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Default Extension="png" ContentType="image/png"/>
  <Default Extension="svg" ContentType="image/svg+xml"/>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theme/themeOverride1.xml" ContentType="application/vnd.openxmlformats-officedocument.themeOverride+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theme/themeOverride2.xml" ContentType="application/vnd.openxmlformats-officedocument.themeOverride+xml"/>
  <Override PartName="/xl/charts/style15.xml" ContentType="application/vnd.ms-office.chartstyle+xml"/>
  <Override PartName="/xl/charts/colors15.xml" ContentType="application/vnd.ms-office.chartcolorstyle+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10.xml" ContentType="application/vnd.openxmlformats-officedocument.drawing+xml"/>
  <Override PartName="/xl/worksheets/sheet13.xml" ContentType="application/vnd.openxmlformats-officedocument.spreadsheetml.worksheet+xml"/>
  <Override PartName="/xl/drawings/drawing11.xml" ContentType="application/vnd.openxmlformats-officedocument.drawing+xml"/>
  <Override PartName="/xl/worksheets/sheet14.xml" ContentType="application/vnd.openxmlformats-officedocument.spreadsheetml.worksheet+xml"/>
  <Override PartName="/xl/drawings/drawing12.xml" ContentType="application/vnd.openxmlformats-officedocument.drawing+xml"/>
  <Override PartName="/xl/worksheets/sheet15.xml" ContentType="application/vnd.openxmlformats-officedocument.spreadsheetml.worksheet+xml"/>
  <Override PartName="/xl/drawings/drawing13.xml" ContentType="application/vnd.openxmlformats-officedocument.drawing+xml"/>
  <Override PartName="/xl/worksheets/sheet16.xml" ContentType="application/vnd.openxmlformats-officedocument.spreadsheetml.worksheet+xml"/>
  <Override PartName="/xl/drawings/drawing14.xml" ContentType="application/vnd.openxmlformats-officedocument.drawing+xml"/>
  <Override PartName="/xl/worksheets/sheet17.xml" ContentType="application/vnd.openxmlformats-officedocument.spreadsheetml.worksheet+xml"/>
  <Override PartName="/xl/drawings/drawing15.xml" ContentType="application/vnd.openxmlformats-officedocument.drawing+xml"/>
  <Override PartName="/xl/worksheets/sheet18.xml" ContentType="application/vnd.openxmlformats-officedocument.spreadsheetml.worksheet+xml"/>
  <Override PartName="/xl/drawings/drawing16.xml" ContentType="application/vnd.openxmlformats-officedocument.drawing+xml"/>
  <Override PartName="/xl/worksheets/sheet19.xml" ContentType="application/vnd.openxmlformats-officedocument.spreadsheetml.worksheet+xml"/>
  <Override PartName="/xl/drawings/drawing17.xml" ContentType="application/vnd.openxmlformats-officedocument.drawing+xml"/>
  <Override PartName="/xl/worksheets/sheet20.xml" ContentType="application/vnd.openxmlformats-officedocument.spreadsheetml.worksheet+xml"/>
  <Override PartName="/xl/worksheets/sheet21.xml" ContentType="application/vnd.openxmlformats-officedocument.spreadsheetml.worksheet+xml"/>
  <Override PartName="/xl/drawings/drawing18.xml" ContentType="application/vnd.openxmlformats-officedocument.drawing+xml"/>
  <Override PartName="/xl/worksheets/sheet22.xml" ContentType="application/vnd.openxmlformats-officedocument.spreadsheetml.worksheet+xml"/>
  <Override PartName="/xl/drawings/drawing19.xml" ContentType="application/vnd.openxmlformats-officedocument.drawing+xml"/>
  <Override PartName="/xl/worksheets/sheet23.xml" ContentType="application/vnd.openxmlformats-officedocument.spreadsheetml.worksheet+xml"/>
  <Override PartName="/xl/drawings/drawing20.xml" ContentType="application/vnd.openxmlformats-officedocument.drawing+xml"/>
  <Override PartName="/xl/worksheets/sheet24.xml" ContentType="application/vnd.openxmlformats-officedocument.spreadsheetml.worksheet+xml"/>
  <Override PartName="/xl/drawings/drawing21.xml" ContentType="application/vnd.openxmlformats-officedocument.drawing+xml"/>
  <Override PartName="/xl/worksheets/sheet25.xml" ContentType="application/vnd.openxmlformats-officedocument.spreadsheetml.worksheet+xml"/>
  <Override PartName="/xl/drawings/drawing22.xml" ContentType="application/vnd.openxmlformats-officedocument.drawing+xml"/>
  <Override PartName="/xl/worksheets/sheet26.xml" ContentType="application/vnd.openxmlformats-officedocument.spreadsheetml.worksheet+xml"/>
  <Override PartName="/xl/drawings/drawing23.xml" ContentType="application/vnd.openxmlformats-officedocument.drawing+xml"/>
  <Override PartName="/xl/worksheets/sheet27.xml" ContentType="application/vnd.openxmlformats-officedocument.spreadsheetml.worksheet+xml"/>
  <Override PartName="/xl/drawings/drawing24.xml" ContentType="application/vnd.openxmlformats-officedocument.drawing+xml"/>
  <Override PartName="/xl/worksheets/sheet28.xml" ContentType="application/vnd.openxmlformats-officedocument.spreadsheetml.worksheet+xml"/>
  <Override PartName="/xl/drawings/drawing25.xml" ContentType="application/vnd.openxmlformats-officedocument.drawing+xml"/>
  <Override PartName="/xl/worksheets/sheet29.xml" ContentType="application/vnd.openxmlformats-officedocument.spreadsheetml.worksheet+xml"/>
  <Override PartName="/xl/drawings/drawing26.xml" ContentType="application/vnd.openxmlformats-officedocument.drawing+xml"/>
  <Override PartName="/xl/worksheets/sheet30.xml" ContentType="application/vnd.openxmlformats-officedocument.spreadsheetml.worksheet+xml"/>
  <Override PartName="/xl/drawings/drawing27.xml" ContentType="application/vnd.openxmlformats-officedocument.drawing+xml"/>
  <Override PartName="/xl/worksheets/sheet31.xml" ContentType="application/vnd.openxmlformats-officedocument.spreadsheetml.worksheet+xml"/>
  <Override PartName="/xl/worksheets/sheet32.xml" ContentType="application/vnd.openxmlformats-officedocument.spreadsheetml.worksheet+xml"/>
  <Override PartName="/xl/drawings/drawing28.xml" ContentType="application/vnd.openxmlformats-officedocument.drawing+xml"/>
  <Override PartName="/xl/worksheets/sheet33.xml" ContentType="application/vnd.openxmlformats-officedocument.spreadsheetml.worksheet+xml"/>
  <Override PartName="/xl/drawings/drawing29.xml" ContentType="application/vnd.openxmlformats-officedocument.drawing+xml"/>
  <Override PartName="/xl/worksheets/sheet34.xml" ContentType="application/vnd.openxmlformats-officedocument.spreadsheetml.worksheet+xml"/>
  <Override PartName="/xl/drawings/drawing30.xml" ContentType="application/vnd.openxmlformats-officedocument.drawing+xml"/>
  <Override PartName="/xl/worksheets/sheet35.xml" ContentType="application/vnd.openxmlformats-officedocument.spreadsheetml.worksheet+xml"/>
  <Override PartName="/xl/drawings/drawing31.xml" ContentType="application/vnd.openxmlformats-officedocument.drawing+xml"/>
  <Override PartName="/xl/worksheets/sheet36.xml" ContentType="application/vnd.openxmlformats-officedocument.spreadsheetml.worksheet+xml"/>
  <Override PartName="/xl/drawings/drawing32.xml" ContentType="application/vnd.openxmlformats-officedocument.drawing+xml"/>
  <Override PartName="/xl/worksheets/sheet37.xml" ContentType="application/vnd.openxmlformats-officedocument.spreadsheetml.worksheet+xml"/>
  <Override PartName="/xl/drawings/drawing33.xml" ContentType="application/vnd.openxmlformats-officedocument.drawing+xml"/>
  <Override PartName="/xl/worksheets/sheet38.xml" ContentType="application/vnd.openxmlformats-officedocument.spreadsheetml.worksheet+xml"/>
  <Override PartName="/xl/drawings/drawing34.xml" ContentType="application/vnd.openxmlformats-officedocument.drawing+xml"/>
  <Override PartName="/xl/worksheets/sheet39.xml" ContentType="application/vnd.openxmlformats-officedocument.spreadsheetml.worksheet+xml"/>
  <Override PartName="/xl/drawings/drawing35.xml" ContentType="application/vnd.openxmlformats-officedocument.drawing+xml"/>
  <Override PartName="/xl/worksheets/sheet40.xml" ContentType="application/vnd.openxmlformats-officedocument.spreadsheetml.worksheet+xml"/>
  <Override PartName="/xl/worksheets/sheet41.xml" ContentType="application/vnd.openxmlformats-officedocument.spreadsheetml.worksheet+xml"/>
  <Override PartName="/xl/drawings/drawing36.xml" ContentType="application/vnd.openxmlformats-officedocument.drawing+xml"/>
  <Override PartName="/xl/worksheets/sheet42.xml" ContentType="application/vnd.openxmlformats-officedocument.spreadsheetml.worksheet+xml"/>
  <Override PartName="/xl/drawings/drawing37.xml" ContentType="application/vnd.openxmlformats-officedocument.drawing+xml"/>
  <Override PartName="/xl/worksheets/sheet43.xml" ContentType="application/vnd.openxmlformats-officedocument.spreadsheetml.worksheet+xml"/>
  <Override PartName="/xl/worksheets/sheet44.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530"/>
  <workbookPr updateLinks="never" codeName="ThisWorkbook" hidePivotFieldList="1"/>
  <mc:AlternateContent xmlns:mc="http://schemas.openxmlformats.org/markup-compatibility/2006">
    <mc:Choice Requires="x15">
      <x15ac:absPath xmlns:x15ac="http://schemas.microsoft.com/office/spreadsheetml/2010/11/ac" url="C:\Users\matthew.hull\Downloads\"/>
    </mc:Choice>
  </mc:AlternateContent>
  <bookViews>
    <workbookView xWindow="28680" yWindow="-120" windowWidth="29040" windowHeight="15720" tabRatio="761" firstSheet="1" activeTab="17"/>
  </bookViews>
  <sheets>
    <sheet name="Introduction" sheetId="101" state="hidden" r:id="rId3"/>
    <sheet name="Start" sheetId="96" r:id="rId4"/>
    <sheet name="Main Menu" sheetId="78" r:id="rId5"/>
    <sheet name="Results" sheetId="79" r:id="rId6"/>
    <sheet name="Headline Results" sheetId="73" r:id="rId7"/>
    <sheet name="Detailed Results" sheetId="36" state="hidden" r:id="rId8"/>
    <sheet name="Trading Summary Area Habitats" sheetId="72" state="hidden" r:id="rId9"/>
    <sheet name="Trading Summary Hedgerows" sheetId="104" state="hidden" r:id="rId10"/>
    <sheet name="Trading Summary WaterC's" sheetId="105" state="hidden" r:id="rId11"/>
    <sheet name="Credits Summary" sheetId="109" state="hidden" r:id="rId12"/>
    <sheet name="Off-site gain site summary" sheetId="107" state="hidden" r:id="rId13"/>
    <sheet name="Irreplaceable Habitats" sheetId="108" state="hidden" r:id="rId14"/>
    <sheet name="A-1 On-Site Habitat Baseline" sheetId="11" r:id="rId15"/>
    <sheet name="A-3 On-Site Habitat Enhancement" sheetId="32" state="hidden" r:id="rId16"/>
    <sheet name="D-1 Off-Site Habitat Baseline" sheetId="59" state="hidden" r:id="rId17"/>
    <sheet name="D-2 Off-Site Habitat Creation" sheetId="71" state="hidden" r:id="rId18"/>
    <sheet name="D-3 Off-Site Habitat Enhancment" sheetId="50" state="hidden" r:id="rId19"/>
    <sheet name="A-2 On-Site Habitat Creation" sheetId="46" r:id="rId20"/>
    <sheet name="B-1 On-Site Hedge Baseline" sheetId="52" r:id="rId21"/>
    <sheet name="B-2 On-Site Hedge Creation" sheetId="42" r:id="rId22"/>
    <sheet name="Sheet1" sheetId="112" state="hidden" r:id="rId23"/>
    <sheet name="B-3 On-Site Hedge Enhancement" sheetId="53" state="hidden" r:id="rId24"/>
    <sheet name="E-1 Off-Site Hedge Baseline" sheetId="55" state="hidden" r:id="rId25"/>
    <sheet name="E-2 Off-Site Hedge Creation" sheetId="58" state="hidden" r:id="rId26"/>
    <sheet name="E-3 Off-Site Hedge Enhancement" sheetId="57" state="hidden" r:id="rId27"/>
    <sheet name="C-1 On-Site WaterC' Baseline" sheetId="63" r:id="rId28"/>
    <sheet name="C-2 On-Site WaterC' Creation" sheetId="64" state="hidden" r:id="rId29"/>
    <sheet name="C-3 On-Site WaterC' Enhancement" sheetId="65" state="hidden" r:id="rId30"/>
    <sheet name="F-1 Off-Site WaterC' Baseline" sheetId="67" state="hidden" r:id="rId31"/>
    <sheet name="F-2 Off-Site WaterC' Creation" sheetId="68" state="hidden" r:id="rId32"/>
    <sheet name="F-3 Off-Site WaterC Enhancement" sheetId="69" state="hidden" r:id="rId33"/>
    <sheet name="Credits calculations" sheetId="110" state="hidden" r:id="rId34"/>
    <sheet name="G-1 All Habitats" sheetId="29" state="hidden" r:id="rId35"/>
    <sheet name="G-2 Habitat groups" sheetId="22" state="hidden" r:id="rId36"/>
    <sheet name="G-3 Multipliers" sheetId="28" state="hidden" r:id="rId37"/>
    <sheet name="G-4 Temporal multipliers" sheetId="20" state="hidden" r:id="rId38"/>
    <sheet name="G-5 Enhancement Temporal" sheetId="33" state="hidden" r:id="rId39"/>
    <sheet name="G-6 Hedgerow Data" sheetId="39" state="hidden" r:id="rId40"/>
    <sheet name="G-7 WaterC' Data" sheetId="66" state="hidden" r:id="rId41"/>
    <sheet name="G-8 Condition Look up" sheetId="99" state="hidden" r:id="rId42"/>
    <sheet name="Version History" sheetId="111" state="hidden" r:id="rId43"/>
    <sheet name="Phase 1 Translation Tool" sheetId="103" state="hidden" r:id="rId44"/>
    <sheet name="Technical Data" sheetId="95" state="hidden" r:id="rId45"/>
    <sheet name="Lists" sheetId="61" state="hidden" r:id="rId46"/>
  </sheets>
  <definedNames>
    <definedName name="_xlnm._FilterDatabase" localSheetId="12" hidden="1">'A-1 On-Site Habitat Baseline'!$E$10:$Q$259</definedName>
    <definedName name="_xlnm._FilterDatabase" localSheetId="17" hidden="1">'A-2 On-Site Habitat Creation'!$F$10:$AA$257</definedName>
    <definedName name="_xlnm._FilterDatabase" localSheetId="13"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1" hidden="1">'B-3 On-Site Hedge Enhancement'!$B$11:$AD$261</definedName>
    <definedName name="_xlnm._FilterDatabase" localSheetId="25" hidden="1">'C-1 On-Site WaterC'' Baseline'!$C$9:$N$258</definedName>
    <definedName name="_xlnm._FilterDatabase" localSheetId="26" hidden="1">'C-2 On-Site WaterC'' Creation'!$C$11:$X$261</definedName>
    <definedName name="_xlnm._FilterDatabase" localSheetId="27" hidden="1">'C-3 On-Site WaterC'' Enhancement'!$B$11:$M$11</definedName>
    <definedName name="_xlnm._FilterDatabase" localSheetId="14" hidden="1">'D-1 Off-Site Habitat Baseline'!$E$10:$Q$259</definedName>
    <definedName name="_xlnm._FilterDatabase" localSheetId="15" hidden="1">'D-2 Off-Site Habitat Creation'!$F$10:$AD$10</definedName>
    <definedName name="_xlnm._FilterDatabase" localSheetId="16" hidden="1">'D-3 Off-Site Habitat Enhancment'!$E$11:$AS$495</definedName>
    <definedName name="_xlnm._FilterDatabase" localSheetId="22" hidden="1">'E-1 Off-Site Hedge Baseline'!$C$9:$N$258</definedName>
    <definedName name="_xlnm._FilterDatabase" localSheetId="23" hidden="1">'E-2 Off-Site Hedge Creation'!$B$11:$U$11</definedName>
    <definedName name="_xlnm._FilterDatabase" localSheetId="24" hidden="1">'E-3 Off-Site Hedge Enhancement'!$B$11:$AH$11</definedName>
    <definedName name="_xlnm._FilterDatabase" localSheetId="28" hidden="1">'F-1 Off-Site WaterC'' Baseline'!$C$9:$N$258</definedName>
    <definedName name="_xlnm._FilterDatabase" localSheetId="29" hidden="1">'F-2 Off-Site WaterC'' Creation'!$B$11:$AB$11</definedName>
    <definedName name="_xlnm._FilterDatabase" localSheetId="30" hidden="1">'F-3 Off-Site WaterC Enhancement'!$B$11:$AO$261</definedName>
    <definedName name="_xlnm._FilterDatabase" localSheetId="32" hidden="1">'G-1 All Habitats'!$B$2:$S$134</definedName>
    <definedName name="_xlnm._FilterDatabase" localSheetId="33" hidden="1">'G-2 Habitat groups'!$A$3:$R$81</definedName>
    <definedName name="_xlnm._FilterDatabase" localSheetId="34" hidden="1">'G-3 Multipliers'!$A$2:$E$124</definedName>
    <definedName name="_xlnm._FilterDatabase" localSheetId="35" hidden="1">'G-4 Temporal multipliers'!$F$3:$M$130</definedName>
    <definedName name="_xlnm._FilterDatabase" localSheetId="36" hidden="1">'G-5 Enhancement Temporal'!$C$3:$Y$134</definedName>
    <definedName name="_xlnm._FilterDatabase" localSheetId="39" hidden="1">'G-8 Condition Look up'!$A$3:$H$81</definedName>
    <definedName name="_xlnm._FilterDatabase" localSheetId="43" hidden="1">Lists!$D$1:$D$140</definedName>
    <definedName name="_xlnm._FilterDatabase" localSheetId="41" hidden="1">'Phase 1 Translation Tool'!$B$3:$D$154</definedName>
    <definedName name="_xlnm._FilterDatabase" localSheetId="6" hidden="1">'Trading Summary Area Habitats'!$B$12:$D$36</definedName>
    <definedName name="_xlnm._FilterDatabase" localSheetId="7" hidden="1">'Trading Summary Hedgerows'!#REF!</definedName>
    <definedName name="_xlnm._FilterDatabase" localSheetId="8" hidden="1">'Trading Summary WaterC''s'!$B$12:$D$17</definedName>
    <definedName name="AA">'G-7 WaterC'' Data'!$B$4</definedName>
    <definedName name="AllHabsSummaryData" localSheetId="31">'G-2 Habitat groups'!$A$3:$AF$135</definedName>
    <definedName name="AllHabsSummaryData">'G-2 Habitat groups'!$A$3:$AF$135</definedName>
    <definedName name="BaselineHabOffsite" localSheetId="31">'D-1 Off-Site Habitat Baseline'!$D$11:$AA$258</definedName>
    <definedName name="BaselineHabOffsite">'D-1 Off-Site Habitat Baseline'!$D$11:$AA$258</definedName>
    <definedName name="BaselineHabSite" localSheetId="3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Habitats'!$A$104</definedName>
    <definedName name="Coastal_saltmarsh">'G-1 All Habitats'!$A$113:$A$114</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9">'G-8 Condition Look up'!$B$3:$H$3</definedName>
    <definedName name="ConditionData" localSheetId="39">'G-8 Condition Look up'!$A$4:$H$102</definedName>
    <definedName name="ConditionHabitats" localSheetId="39">'G-8 Condition Look up'!$A$4:$A$128</definedName>
    <definedName name="Cropland">'G-1 All Habitats'!$A$3:$A$12</definedName>
    <definedName name="Difficulty" localSheetId="31">'G-3 Multipliers'!$P$3:$Q$6</definedName>
    <definedName name="Difficulty">'G-3 Multipliers'!$P$3:$Q$6</definedName>
    <definedName name="Encroachment1" localSheetId="31">'G-7 WaterC'' Data'!$AD$4:$AD$13</definedName>
    <definedName name="Encroachment1">'G-7 WaterC'' Data'!$AD$4:$AD$13</definedName>
    <definedName name="Encroachment2" localSheetId="31">'G-7 WaterC'' Data'!$AD$14</definedName>
    <definedName name="Encroachment2">'G-7 WaterC'' Data'!$AD$14</definedName>
    <definedName name="EnhanceCondition" localSheetId="31">'G-5 Enhancement Temporal'!$C$4:$X$4</definedName>
    <definedName name="EnhanceCondition">'G-5 Enhancement Temporal'!$C$4:$X$4</definedName>
    <definedName name="EnhanceHabitat" localSheetId="31">'G-5 Enhancement Temporal'!$C$4:$C$136</definedName>
    <definedName name="EnhanceHabitat">'G-5 Enhancement Temporal'!$C$4:$C$136</definedName>
    <definedName name="EnhanceTemporal" localSheetId="3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Habitats'!$A$132:$A$134</definedName>
    <definedName name="Intertidal_sediment">'G-1 All Habitats'!$A$115:$A$131</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 localSheetId="31">'G-7 WaterC'' Data'!$AA$4:$AA$6</definedName>
    <definedName name="riparianencroachment1">'G-7 WaterC'' Data'!$AA$4:$AA$6</definedName>
    <definedName name="riparianencroachment2" localSheetId="31">'G-7 WaterC'' Data'!$AA$7</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Habitats'!$A$105:$A$112</definedName>
    <definedName name="Sparsely_vegetated_land">'G-1 All Habitats'!$A$50:$A$58</definedName>
    <definedName name="TemporalConditions" localSheetId="31">'G-4 Temporal multipliers'!$F$3:$M$3</definedName>
    <definedName name="TemporalConditions">'G-4 Temporal multipliers'!$F$3:$M$3</definedName>
    <definedName name="TemporalData" localSheetId="31">'G-4 Temporal multipliers'!$F$3:$M$135</definedName>
    <definedName name="TemporalData">'G-4 Temporal multipliers'!$F$3:$M$135</definedName>
    <definedName name="TemporalHabitats" localSheetId="31">'G-4 Temporal multipliers'!$F$3:$F$135</definedName>
    <definedName name="TemporalHabitats">'G-4 Temporal multipliers'!$F$3:$F$135</definedName>
    <definedName name="TemporalMultipliers" localSheetId="31">'G-4 Temporal multipliers'!$A$4:$C$36</definedName>
    <definedName name="TemporalMultipliers">'G-4 Temporal multipliers'!$A$4:$C$36</definedName>
    <definedName name="Urban">'G-1 All Habitats'!$A$59:$A$79</definedName>
    <definedName name="Watercourse_footprint">'G-1 All Habitats'!$A$135</definedName>
    <definedName name="Wetland">'G-1 All Habitats'!$A$82:$A$89</definedName>
    <definedName name="Woodland_and_forest">'G-1 All Habitats'!$A$90:$A$102</definedName>
    <definedName name="Woodland_and_forest_2">'G-1 All Habitats'!$A$91:$A$103</definedName>
    <definedName name="Woodland_and_forest_3">'G-1 All Habitats'!$A$91:$A$102</definedName>
  </definedNames>
  <calcPr calcId="191028"/>
  <customWorkbookViews>
    <customWorkbookView name="h" guid="{8bda793c-c9c5-4fc6-a0a5-f1109f6d4f22}" activeSheetId="78" xWindow="0" yWindow="-314" windowWidth="1936" windowHeight="1056" mergeInterval="0" maximized="1" includeHiddenRowCol="0" includePrintSettings="0" tabRatio="76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96" l="1"/>
</calcChain>
</file>

<file path=xl/metadata.xml><?xml version="1.0" encoding="utf-8"?>
<metadata xmlns="http://schemas.openxmlformats.org/spreadsheetml/2006/main" xmlns:xda="http://schemas.microsoft.com/office/spreadsheetml/2017/dynamicarray" xmlns:xlrd="http://schemas.microsoft.com/office/spreadsheetml/2017/richdata">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<sst xmlns="http://schemas.openxmlformats.org/spreadsheetml/2006/main" count="8464" uniqueCount="1797">
  <si>
    <t>Project details</t>
  </si>
  <si>
    <t>Planning authority:</t>
  </si>
  <si>
    <t>Wiltshire Council</t>
  </si>
  <si>
    <t>Project name:</t>
  </si>
  <si>
    <t>Land east of Calne Road, Lyneham</t>
  </si>
  <si>
    <t>Applicant:</t>
  </si>
  <si>
    <t>Application type:</t>
  </si>
  <si>
    <t>Outline, Residential development</t>
  </si>
  <si>
    <t>Planning application reference:</t>
  </si>
  <si>
    <t>Completed by:</t>
  </si>
  <si>
    <t>CR17</t>
  </si>
  <si>
    <t>Date of metric completion:</t>
  </si>
  <si>
    <t>Reviewer:</t>
  </si>
  <si>
    <t>TC47</t>
  </si>
  <si>
    <t>Calculation iteration:</t>
  </si>
  <si>
    <t>REV00</t>
  </si>
  <si>
    <t>Planning authority reviewer:</t>
  </si>
  <si>
    <t>Date of planning authority review:</t>
  </si>
  <si>
    <t>Target % net gain:</t>
  </si>
  <si>
    <t>Irreplaceable habitat present at baseline:</t>
  </si>
  <si>
    <t>Total site area - including irreplaceable habitat area (hectares):</t>
  </si>
  <si>
    <t>Irreplaceable habitat site area (hectares):</t>
  </si>
  <si>
    <t>Total off-site area - including irreplaceable habitat area (hectares):</t>
  </si>
  <si>
    <t>Irreplaceable habitat area off-site (hectares):</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</si>
  <si>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</si>
  <si>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</si>
  <si>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</si>
  <si>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</si>
  <si>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</si>
  <si>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</si>
  <si>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</si>
  <si>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</si>
  <si>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</si>
  <si>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</si>
  <si>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</si>
  <si>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</si>
  <si>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</si>
  <si>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</si>
  <si>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</si>
  <si>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</si>
  <si>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</si>
  <si>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</si>
  <si>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</si>
  <si>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</si>
  <si>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</si>
  <si>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</si>
  <si>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</si>
  <si>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</si>
  <si>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</si>
  <si>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</si>
  <si>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Scroll down for final results ⚠</t>
  </si>
  <si>
    <t>On-site baseline</t>
  </si>
  <si>
    <t>Area 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</si>
  <si>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</si>
  <si>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</si>
  <si>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</si>
  <si>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</si>
  <si>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</si>
  <si>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</si>
  <si>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</si>
  <si>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</si>
  <si>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t>Habitat units</t>
  </si>
  <si>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</si>
  <si>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</si>
  <si>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</si>
  <si>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</si>
  <si>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</si>
  <si>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</si>
  <si>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</si>
  <si>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</si>
  <si>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</si>
  <si>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</si>
  <si>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</si>
  <si>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</si>
  <si>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</si>
  <si>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</si>
  <si>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</si>
  <si>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Area Habitats</t>
  </si>
  <si>
    <t>Hedgerows</t>
  </si>
  <si>
    <t>Watercourses</t>
  </si>
  <si>
    <t>Total on-site and off-site baseline area / length</t>
  </si>
  <si>
    <t>Total on-site and off-site baseline units</t>
  </si>
  <si>
    <t>Total on-site and off-site baseline area / length retained</t>
  </si>
  <si>
    <t>Total on-site and off-site baseline units retained</t>
  </si>
  <si>
    <t>Total on-site and off-site area / length proposed for enhancement</t>
  </si>
  <si>
    <t>Total on-site and off-site baseline units proposed for enhancement</t>
  </si>
  <si>
    <t>Total on-site and off-site baseline area / length lost</t>
  </si>
  <si>
    <t>Total on-site and off-site baseline units lost</t>
  </si>
  <si>
    <t>Area Habitats                                                                                                                          Area Habitats                                                                                                                          Area Habitats</t>
  </si>
  <si>
    <t>Area habitats</t>
  </si>
  <si>
    <t>On-site change by broad habitat type</t>
  </si>
  <si>
    <t>Combined area lost from baseline(s)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</si>
  <si>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</si>
  <si>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</si>
  <si>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</si>
  <si>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</si>
  <si>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</si>
  <si>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</si>
  <si>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</si>
  <si>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</si>
  <si>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</si>
  <si>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</si>
  <si>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</si>
  <si>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</si>
  <si>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</si>
  <si>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</si>
  <si>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</si>
  <si>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</si>
  <si>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</si>
  <si>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</si>
  <si>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</si>
  <si>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</si>
  <si>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</si>
  <si>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</si>
  <si>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</si>
  <si>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</si>
  <si>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</si>
  <si>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</si>
  <si>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</si>
  <si>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</si>
  <si>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</si>
  <si>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</si>
  <si>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</si>
  <si>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</si>
  <si>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</si>
  <si>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</si>
  <si>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</si>
  <si>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</si>
  <si>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</si>
  <si>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</si>
  <si>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</si>
  <si>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</si>
  <si>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</si>
  <si>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</si>
  <si>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</si>
  <si>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</si>
  <si>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</si>
  <si>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</si>
  <si>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</si>
  <si>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</si>
  <si>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</si>
  <si>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from baseline(s)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</si>
  <si>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</si>
  <si>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</si>
  <si>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</si>
  <si>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</si>
  <si>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</si>
  <si>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</si>
  <si>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</si>
  <si>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</si>
  <si>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</si>
  <si>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</si>
  <si>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</si>
  <si>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</si>
  <si>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</si>
  <si>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</si>
  <si>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</si>
  <si>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</si>
  <si>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</si>
  <si>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</si>
  <si>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</si>
  <si>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</si>
  <si>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</si>
  <si>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</si>
  <si>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</si>
  <si>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</si>
  <si>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</si>
  <si>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</si>
  <si>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</si>
  <si>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</si>
  <si>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</si>
  <si>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</si>
  <si>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</si>
  <si>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</si>
  <si>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</si>
  <si>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</si>
  <si>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</si>
  <si>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</si>
  <si>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</si>
  <si>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</si>
  <si>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</si>
  <si>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</si>
  <si>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</si>
  <si>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</si>
  <si>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</si>
  <si>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</si>
  <si>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</si>
  <si>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</si>
  <si>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</si>
  <si>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</si>
  <si>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</si>
  <si>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</si>
  <si>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</si>
  <si>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Same habitat required – bespoke compensation option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</si>
  <si>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</si>
  <si>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</si>
  <si>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</si>
  <si>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</si>
  <si>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</si>
  <si>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</si>
  <si>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</si>
  <si>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</si>
  <si>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</si>
  <si>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</si>
  <si>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</si>
  <si>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</si>
  <si>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Remaining losses; Like for like not satisfied</t>
  </si>
  <si>
    <t>High Distinctiveness</t>
  </si>
  <si>
    <t>High Distinctiveness Summary</t>
  </si>
  <si>
    <t xml:space="preserve">Losses not yet accounted for </t>
  </si>
  <si>
    <t>High Distinctiveness Units available to offset lower distinctiveness deficit</t>
  </si>
  <si>
    <t>Woodland and forest - Felled/Replacement for felled woodland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</si>
  <si>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</si>
  <si>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</si>
  <si>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</si>
  <si>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</si>
  <si>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</si>
  <si>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</si>
  <si>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Medium Distinctiveness broad habitat losses to be offset by trading up</t>
  </si>
  <si>
    <t>Medium Distinctiveness Unit deficit (required to meet trading rules)</t>
  </si>
  <si>
    <t>Cumulative surplus of units</t>
  </si>
  <si>
    <t>Low Distinctiveness</t>
  </si>
  <si>
    <t>Low Distinctiveness Summary</t>
  </si>
  <si>
    <t>Units available to offset Low Distinctiveness deficit</t>
  </si>
  <si>
    <t>Low Distinctiveness net change in units</t>
  </si>
  <si>
    <t>Same habitat required =</t>
  </si>
  <si>
    <t>Like for like or better</t>
  </si>
  <si>
    <t xml:space="preserve">Same distinctiveness or better habitat required </t>
  </si>
  <si>
    <t>Very Low</t>
  </si>
  <si>
    <t xml:space="preserve">High Distinctiveness losses to be offset by trading up </t>
  </si>
  <si>
    <t>Higher Distinctiveness surplus units minus any high distinctiveness deficit</t>
  </si>
  <si>
    <t>Units available from higher distinctiveness habitats</t>
  </si>
  <si>
    <t>Medium Distinctiveness net change in units</t>
  </si>
  <si>
    <t>Cumulative availability of units</t>
  </si>
  <si>
    <t>Very Low Distinctiveness</t>
  </si>
  <si>
    <t>Very Low Distinctiveness Summary</t>
  </si>
  <si>
    <t xml:space="preserve"> Very Low Distinctiveness net change in units</t>
  </si>
  <si>
    <t>Better distinctiveness habitat required</t>
  </si>
  <si>
    <t>Medium Distinctiveness Units available to offset Lower Distinctiveness Deficit</t>
  </si>
  <si>
    <t xml:space="preserve">Credits Required by Tier/Module </t>
  </si>
  <si>
    <t>Tier</t>
  </si>
  <si>
    <t>Credits Required</t>
  </si>
  <si>
    <t>A1</t>
  </si>
  <si>
    <t>A2</t>
  </si>
  <si>
    <t>A3</t>
  </si>
  <si>
    <t>A4</t>
  </si>
  <si>
    <t>A5</t>
  </si>
  <si>
    <t>H</t>
  </si>
  <si>
    <t>W</t>
  </si>
  <si>
    <t xml:space="preserve">*The spatial risk multiplier has already been applied to calculate these values. </t>
  </si>
  <si>
    <t>Summary of sites providing area habitat unit gains</t>
  </si>
  <si>
    <t xml:space="preserve">Summary of sites providing hedgerow unit gains 
</t>
  </si>
  <si>
    <t xml:space="preserve">Summary of sites providing watercourse unit gains 
</t>
  </si>
  <si>
    <t>Gain site reference</t>
  </si>
  <si>
    <t>Off-site units baseline</t>
  </si>
  <si>
    <t>SRM Off-site units baseline</t>
  </si>
  <si>
    <t>Off-site units retained</t>
  </si>
  <si>
    <t>SRM Off-site units retained</t>
  </si>
  <si>
    <t>Off-site units enhanced</t>
  </si>
  <si>
    <t>SRM Off-site units enhanced</t>
  </si>
  <si>
    <t>Off-site units created</t>
  </si>
  <si>
    <t>SRM Off-site units created</t>
  </si>
  <si>
    <t>Off-site unit change per gain site (pre-SRM)</t>
  </si>
  <si>
    <t xml:space="preserve">SRM </t>
  </si>
  <si>
    <t>Off-site unit change per gain site (post-SRM)</t>
  </si>
  <si>
    <t>SRM</t>
  </si>
  <si>
    <t>Irreplaceable area habitats on-site</t>
  </si>
  <si>
    <t>Irreplaceable Watercourses on-site</t>
  </si>
  <si>
    <t xml:space="preserve">👁 For further information please refer to the irreplaceable habitats section of the metric user guide. This sheet is autopopulated from the A1 on-site habitat baseline tab, with the exception of irreplaceable habitat name.
</t>
  </si>
  <si>
    <t xml:space="preserve">👁 For further information please refer to the irreplaceable habitats section of the metric user guide. This sheet is autopopulated from the C1 on-site waterC' baseline tab, with the exception of irreplaceable habitat name.
</t>
  </si>
  <si>
    <t>Habitat reference</t>
  </si>
  <si>
    <t>Metric habitat type</t>
  </si>
  <si>
    <t>Irreplaceable habitat name</t>
  </si>
  <si>
    <t>Total area at baseline</t>
  </si>
  <si>
    <t>Area retained</t>
  </si>
  <si>
    <t>Area enhanced</t>
  </si>
  <si>
    <t>Area lost</t>
  </si>
  <si>
    <t>Bespoke compensation agreed for losses?</t>
  </si>
  <si>
    <t xml:space="preserve">User comments </t>
  </si>
  <si>
    <t>Planning authority comments</t>
  </si>
  <si>
    <t>Habitat reference number</t>
  </si>
  <si>
    <t>Onsite</t>
  </si>
  <si>
    <t>Column no</t>
  </si>
  <si>
    <t>Off-site</t>
  </si>
  <si>
    <t>Habitat type</t>
  </si>
  <si>
    <t>Length (km) at baseline</t>
  </si>
  <si>
    <t>Length retained (km)</t>
  </si>
  <si>
    <t>Length enhanced (km)</t>
  </si>
  <si>
    <t>Bespoke compensation agreed?</t>
  </si>
  <si>
    <t xml:space="preserve">Consenting body comments </t>
  </si>
  <si>
    <t>GIS reference number</t>
  </si>
  <si>
    <t>Offsite</t>
  </si>
  <si>
    <t>Bespoke compensation agreed WC?</t>
  </si>
  <si>
    <t>Bespoke compensation agreed area?</t>
  </si>
  <si>
    <t>Irreplaceable habitat area including individual trees, green walls and intertidal hard structures:</t>
  </si>
  <si>
    <t>Total irreplaceable watercourse length:</t>
  </si>
  <si>
    <t>Total irreplaceable habitat area excluding individual trees, green walls and intertidal hard structures:</t>
  </si>
  <si>
    <t>Irreplaceable area habitats off-site</t>
  </si>
  <si>
    <t>Irreplaceable Watercourses off-site</t>
  </si>
  <si>
    <t xml:space="preserve">👁 For further information please refer to the irreplaceable habitats section of the metric user guide. This sheet is autopopulated from the D1 off-site habitat baseline tab, with the exception of irreplaceable habitat name.
</t>
  </si>
  <si>
    <t xml:space="preserve">👁 For further information please refer to the irreplaceable habitats section of the metric user guide. This sheet is autopopulated from the F1 off-site waterC' baseline tab, with the exception of irreplaceable habitat name.
</t>
  </si>
  <si>
    <t>Metric Habitat type</t>
  </si>
  <si>
    <t>User comments</t>
  </si>
  <si>
    <t xml:space="preserve">Planning authority comments </t>
  </si>
  <si>
    <t>Total irreplaceable habitat area excluding individual trees, Green walls and intertidal hard structures:</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</si>
  <si>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</si>
  <si>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</si>
  <si>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</si>
  <si>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</si>
  <si>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</si>
  <si>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</si>
  <si>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</si>
  <si>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</si>
  <si>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</si>
  <si>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</si>
  <si>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</si>
  <si>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</si>
  <si>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</si>
  <si>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</si>
  <si>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</si>
  <si>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</si>
  <si>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</si>
  <si>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</si>
  <si>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</si>
  <si>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</si>
  <si>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</si>
  <si>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</si>
  <si>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</si>
  <si>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</si>
  <si>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</si>
  <si>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</si>
  <si>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Baseline units retained</t>
  </si>
  <si>
    <t>Baseline units enhanced</t>
  </si>
  <si>
    <t>Area habitat lost</t>
  </si>
  <si>
    <t>Units lost</t>
  </si>
  <si>
    <t>Area of Unacceptable Losses</t>
  </si>
  <si>
    <t>Units Unacceptable Losses</t>
  </si>
  <si>
    <t>Retained</t>
  </si>
  <si>
    <t>Enhanced</t>
  </si>
  <si>
    <t>Succession</t>
  </si>
  <si>
    <t>line number</t>
  </si>
  <si>
    <t>VHDH bespoke compensation units</t>
  </si>
  <si>
    <t xml:space="preserve"> Habitat type</t>
  </si>
  <si>
    <t>Modified grassland</t>
  </si>
  <si>
    <t>No</t>
  </si>
  <si>
    <t>Poor</t>
  </si>
  <si>
    <t>Area/compensation not in local strategy/ no local strategy</t>
  </si>
  <si>
    <t>Northern field. Assume total loss due to development and new landscaping</t>
  </si>
  <si>
    <t>Yes</t>
  </si>
  <si>
    <t>Southern field. Assume total loss due to development and new landscaping</t>
  </si>
  <si>
    <t>Other neutral grassland</t>
  </si>
  <si>
    <t>Location ecologically desirable but not in local strategy</t>
  </si>
  <si>
    <t>Road verge. Assumes total loss during works for new access and improving pavement</t>
  </si>
  <si>
    <t>Rural tree</t>
  </si>
  <si>
    <t>Tree 6 good dbh 25 small</t>
  </si>
  <si>
    <t>Tree 7 good dbh 20 small</t>
  </si>
  <si>
    <t>Tree 9 moderate dbh 35 medium</t>
  </si>
  <si>
    <t>Tree 10 moderate dbh 20 small</t>
  </si>
  <si>
    <t>Tree 13 good dbh 25 small</t>
  </si>
  <si>
    <t>Tree 14 good dbh 40 medium</t>
  </si>
  <si>
    <t>Utility line</t>
  </si>
  <si>
    <t>Developed land; sealed surface</t>
  </si>
  <si>
    <t>N/A - Other</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</si>
  <si>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</si>
  <si>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</si>
  <si>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</si>
  <si>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</si>
  <si>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</si>
  <si>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</si>
  <si>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</si>
  <si>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</si>
  <si>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 xml:space="preserve">Post intervention habitats </t>
  </si>
  <si>
    <t>Baseline habitats</t>
  </si>
  <si>
    <t>Proposed Habitat (Broad habitat pre-populated but can be overridden)</t>
  </si>
  <si>
    <t>Change in distinctiveness and condition</t>
  </si>
  <si>
    <t xml:space="preserve">Area (hectares) </t>
  </si>
  <si>
    <t>Temporal risk multiplier</t>
  </si>
  <si>
    <t>Difficulty risk multipliers</t>
  </si>
  <si>
    <t>Habitat units delivered</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</si>
  <si>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</si>
  <si>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</si>
  <si>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</si>
  <si>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</si>
  <si>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</si>
  <si>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</si>
  <si>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</si>
  <si>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</si>
  <si>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</si>
  <si>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</si>
  <si>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</si>
  <si>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</si>
  <si>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</si>
  <si>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Proposed habitat</t>
  </si>
  <si>
    <t xml:space="preserve"> Distinctiveness change</t>
  </si>
  <si>
    <t>Condition change</t>
  </si>
  <si>
    <t>Standard time to target condition (years)</t>
  </si>
  <si>
    <t xml:space="preserve">Habitat enhanced in advance (years) </t>
  </si>
  <si>
    <t>Delay in starting habitat enhancement (years)</t>
  </si>
  <si>
    <t>Standard or adjusted time to target condition</t>
  </si>
  <si>
    <t>Final time to target condition (years)</t>
  </si>
  <si>
    <t>Final time to target multiplier</t>
  </si>
  <si>
    <t>Standard difficulty of enhancement</t>
  </si>
  <si>
    <t>Applied difficulty multiplier</t>
  </si>
  <si>
    <t>Final difficulty of enhancement</t>
  </si>
  <si>
    <t>Difficulty multiplier applied</t>
  </si>
  <si>
    <t>Change in broad habitat type</t>
  </si>
  <si>
    <t>Total habitat area</t>
  </si>
  <si>
    <t>Condition</t>
  </si>
  <si>
    <t>Spatial risk multiplier</t>
  </si>
  <si>
    <t>Broad habitat</t>
  </si>
  <si>
    <t>Total habitat units (SRM)</t>
  </si>
  <si>
    <t>Spatial risk category</t>
  </si>
  <si>
    <t xml:space="preserve">Habitat reference </t>
  </si>
  <si>
    <t>Off-site reference</t>
  </si>
  <si>
    <t>Units unacceptable Losses</t>
  </si>
  <si>
    <t>Baseline units retained (srm)</t>
  </si>
  <si>
    <t>Area Check</t>
  </si>
  <si>
    <t>Time to Poor cond</t>
  </si>
  <si>
    <t>Habitat units delivered (inc. SRM)</t>
  </si>
  <si>
    <t>Conditional Data Validation</t>
  </si>
  <si>
    <t xml:space="preserve">Habitat created in advance (years) </t>
  </si>
  <si>
    <t>Delay in starting habitat creation (years)</t>
  </si>
  <si>
    <t xml:space="preserve">Standard difficulty of creation </t>
  </si>
  <si>
    <t xml:space="preserve">Final difficulty of creation </t>
  </si>
  <si>
    <t>Baseline Ref</t>
  </si>
  <si>
    <t>Totals</t>
  </si>
  <si>
    <t>Total Units</t>
  </si>
  <si>
    <t>take account of trading</t>
  </si>
  <si>
    <t>Temporal multiplier</t>
  </si>
  <si>
    <t>Difficulty multipliers</t>
  </si>
  <si>
    <t>Habitat units delivered (inc SRM)</t>
  </si>
  <si>
    <t>Proposed Habitat</t>
  </si>
  <si>
    <t>Proposed habitat    (Pre-Populated but can be overridden)</t>
  </si>
  <si>
    <t>Habitat enhanced in advance (years)</t>
  </si>
  <si>
    <t>Difficulty of enhancement category</t>
  </si>
  <si>
    <t>Difficulty</t>
  </si>
  <si>
    <t>Habitat created in advance (years)</t>
  </si>
  <si>
    <t>Grassland + play area</t>
  </si>
  <si>
    <t>Sustainable drainage system</t>
  </si>
  <si>
    <t>SUDS</t>
  </si>
  <si>
    <t>Buildings/Hardstanding</t>
  </si>
  <si>
    <t>Artificial unvegetated, unsealed surface</t>
  </si>
  <si>
    <t>Pathways within landscaping around development</t>
  </si>
  <si>
    <t>Grassland around development</t>
  </si>
  <si>
    <t>Vegetated garden</t>
  </si>
  <si>
    <t>Condition Assessment N/A</t>
  </si>
  <si>
    <t>Gardens</t>
  </si>
  <si>
    <t>4 Trees needed for planting to satisfy trading rules</t>
  </si>
  <si>
    <t>Hedgerow summary</t>
  </si>
  <si>
    <t>Existing hedgerow habitats</t>
  </si>
  <si>
    <t>Hedge number</t>
  </si>
  <si>
    <t>Length (km)</t>
  </si>
  <si>
    <t>Total hedgerow units</t>
  </si>
  <si>
    <t>Length retained</t>
  </si>
  <si>
    <t>Length enhanced</t>
  </si>
  <si>
    <t>Units retained</t>
  </si>
  <si>
    <t>Units enhanced</t>
  </si>
  <si>
    <t>Length lost</t>
  </si>
  <si>
    <t>Utility Line</t>
  </si>
  <si>
    <t>Proposed habitats</t>
  </si>
  <si>
    <t>Hedge units delivered</t>
  </si>
  <si>
    <t>New hedge number</t>
  </si>
  <si>
    <t>Standard Time to target condition (years)</t>
  </si>
  <si>
    <t>Applied  difficulty multiplier</t>
  </si>
  <si>
    <t xml:space="preserve">hedge perimeter </t>
  </si>
  <si>
    <t>30 m needed to satisfy trading rules needs to be 0.5 m height  with 2 trees needed. Alonside ditch in north or east of site.</t>
  </si>
  <si>
    <t>Baseline Habitats</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</si>
  <si>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</si>
  <si>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</si>
  <si>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</si>
  <si>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</si>
  <si>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</si>
  <si>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</si>
  <si>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</si>
  <si>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intervention habitats</t>
  </si>
  <si>
    <t>Watercourse summary</t>
  </si>
  <si>
    <t>Existing watercourse type</t>
  </si>
  <si>
    <t>Watercourse encroachment</t>
  </si>
  <si>
    <t>Riparian encroachment</t>
  </si>
  <si>
    <t>Bespoke compensation agreed for losses of VHDH</t>
  </si>
  <si>
    <t>Extent of encroachment</t>
  </si>
  <si>
    <t>Multiplier</t>
  </si>
  <si>
    <t>Extent of encroachment for both banks</t>
  </si>
  <si>
    <t>Total watercourse units</t>
  </si>
  <si>
    <t>Length Lost</t>
  </si>
  <si>
    <t>Units Lost</t>
  </si>
  <si>
    <t>User Comments</t>
  </si>
  <si>
    <t>Length match</t>
  </si>
  <si>
    <t>Encroachment group</t>
  </si>
  <si>
    <t>Ditch with fairly category used</t>
  </si>
  <si>
    <t>Minor</t>
  </si>
  <si>
    <t>Minor/ Minor</t>
  </si>
  <si>
    <t>Watercourse units delivered</t>
  </si>
  <si>
    <t xml:space="preserve">Applied difficulty multiplier </t>
  </si>
  <si>
    <t>Ditch and fairly category</t>
  </si>
  <si>
    <t xml:space="preserve">Proposed habitat
</t>
  </si>
  <si>
    <t>Habitat distinctiveness</t>
  </si>
  <si>
    <t>Habitat condition</t>
  </si>
  <si>
    <t>Baseline strategic significance Score</t>
  </si>
  <si>
    <t>Baseline WC encroachment multiplier</t>
  </si>
  <si>
    <t>Baseline R encroachment multiplier</t>
  </si>
  <si>
    <t>Baseline Units Enhanced</t>
  </si>
  <si>
    <t>Baseline Units Enhanced not including lengthening</t>
  </si>
  <si>
    <t>Baseline Units Retained</t>
  </si>
  <si>
    <t>Baseline length retained</t>
  </si>
  <si>
    <t>Ditches and fairly category used</t>
  </si>
  <si>
    <t>Total river units (SRM)</t>
  </si>
  <si>
    <t>Length Match</t>
  </si>
  <si>
    <t>River units delivered (inc SRM)</t>
  </si>
  <si>
    <t>Final time to target condition/years</t>
  </si>
  <si>
    <t>Final time to target Multiplier</t>
  </si>
  <si>
    <t>ditches and fairly category</t>
  </si>
  <si>
    <t>`</t>
  </si>
  <si>
    <t xml:space="preserve">Proposed habitat 
</t>
  </si>
  <si>
    <t>Watercourse units delivered (inc SRM)</t>
  </si>
  <si>
    <t>Required Units</t>
  </si>
  <si>
    <t xml:space="preserve">Unit Deficit </t>
  </si>
  <si>
    <t>Unit Shortfall by Tier</t>
  </si>
  <si>
    <t>VH</t>
  </si>
  <si>
    <t xml:space="preserve">Habitat </t>
  </si>
  <si>
    <t>Habitat Group</t>
  </si>
  <si>
    <t xml:space="preserve">Net Gains </t>
  </si>
  <si>
    <t>Net Losses</t>
  </si>
  <si>
    <t>All Very High Distinctiveness Habitats</t>
  </si>
  <si>
    <t>Various</t>
  </si>
  <si>
    <t>Unit Change</t>
  </si>
  <si>
    <t>Losses in Tier</t>
  </si>
  <si>
    <t>Credits (SRM applied)</t>
  </si>
  <si>
    <t>HIGH</t>
  </si>
  <si>
    <t>Lakes - High alkalinity lakes</t>
  </si>
  <si>
    <t>Lakes - Low alkalinity lakes</t>
  </si>
  <si>
    <t>Lakes - Marl lakes</t>
  </si>
  <si>
    <t>Lakes - Moderate alkalinity lakes</t>
  </si>
  <si>
    <t>Lakes - Peat lakes</t>
  </si>
  <si>
    <t>Grassland - Floodplain wetland mosaic and CFGM</t>
  </si>
  <si>
    <t>Lakes - Ponds (priority habitat)</t>
  </si>
  <si>
    <t>Lakes - Temporary lakes ponds and pools (H3170)</t>
  </si>
  <si>
    <t>Sparsely vegetated land - Coastal sand dunes</t>
  </si>
  <si>
    <t>Sparsely vegetated land - Coastal vegetated shingle</t>
  </si>
  <si>
    <t>Sparsely vegetated land - Inland rock outcrop and scree habitats</t>
  </si>
  <si>
    <t>Sparsely vegetated land - Maritime cliff and slopes</t>
  </si>
  <si>
    <t>Woodland and forest - Lowland mixed deciduous woodland</t>
  </si>
  <si>
    <t>Woodland and forest - Native pine woodlands</t>
  </si>
  <si>
    <t>Woodland and forest - Upland mixed ashwoods</t>
  </si>
  <si>
    <t>Woodland and forest - Lowland beech and yew woodland</t>
  </si>
  <si>
    <t>Woodland and forest - Upland oakwood</t>
  </si>
  <si>
    <t>Coastal lagoons - Coastal lagoons</t>
  </si>
  <si>
    <t>Rocky shore - High energy littoral rock</t>
  </si>
  <si>
    <t>Rocky shore</t>
  </si>
  <si>
    <t>Rocky shore - Moderate energy littoral rock</t>
  </si>
  <si>
    <t>Rocky shore - Low energy littoral rock</t>
  </si>
  <si>
    <t>Rocky shore - Features of littoral rock</t>
  </si>
  <si>
    <t>Coastal saltmarsh - Saltmarshes and saline reedbeds</t>
  </si>
  <si>
    <t>Coastal saltmarsh</t>
  </si>
  <si>
    <t>Woodland and forest - Felled./Replacement for felled woodland</t>
  </si>
  <si>
    <t>Woodland and forest - Upland birchwoods</t>
  </si>
  <si>
    <t>Woodland and forest - Wet woodland</t>
  </si>
  <si>
    <t>Intertidal sediment - Littoral mud</t>
  </si>
  <si>
    <t>Intertidal sediment - Littoral mixed sediments</t>
  </si>
  <si>
    <t>Intertidal sediment - Littoral biogenic reefs - Mussels</t>
  </si>
  <si>
    <t>Intertidal sediment - Littoral biogenic reefs - Sabellaria</t>
  </si>
  <si>
    <t>Intertidal sediment - Features of littoral sediment</t>
  </si>
  <si>
    <t>Intertidal sediment - Littoral muddy sand</t>
  </si>
  <si>
    <t>Grassland - Lowland calcareous grassland</t>
  </si>
  <si>
    <t>Grassland - Tall herb communities (H6430)</t>
  </si>
  <si>
    <t>Grassland - Upland calcareous grassland</t>
  </si>
  <si>
    <t>Heathland and shrub - Lowland Heathland</t>
  </si>
  <si>
    <t>Heathland and shrub - Dunes with sea buckthorn (H2160)</t>
  </si>
  <si>
    <t>Heathland and shrub - Upland heathland</t>
  </si>
  <si>
    <t>Urban - Open mosaic habitats on previously developed land</t>
  </si>
  <si>
    <t>Grassland - Traditional orchards</t>
  </si>
  <si>
    <t>Wetland - Reedbeds</t>
  </si>
  <si>
    <t>Rule 1</t>
  </si>
  <si>
    <t>Higher surplus is used to offset loss of medium distinctiveness of the same broad habitat category.</t>
  </si>
  <si>
    <t>Rule 2</t>
  </si>
  <si>
    <t>Remaining higher surplus is used to offset the loss of the most expensive medium credit tier of A4</t>
  </si>
  <si>
    <t>Rule 3</t>
  </si>
  <si>
    <t>Remaining higher surplus is used to offset the loss of the second most expensive medium credit tier of A2</t>
  </si>
  <si>
    <t>Rule 4</t>
  </si>
  <si>
    <t>Remaining higher surplus is used to offset the loss of the third most expensive medium credit tier A1</t>
  </si>
  <si>
    <t>Rule 5</t>
  </si>
  <si>
    <t>Remaining higher surplus is used to offset losses from low distinctiveness habitats</t>
  </si>
  <si>
    <t>Net Change Units</t>
  </si>
  <si>
    <t>Very High + High Distinctiveness Surplus Availability</t>
  </si>
  <si>
    <t>Medium Distinctiveness Losses</t>
  </si>
  <si>
    <t>Final Losses in Tier</t>
  </si>
  <si>
    <t>Calculations for Losses by Broad Habitat Group</t>
  </si>
  <si>
    <t xml:space="preserve">Unit Gain Available in Broad Habitat Group </t>
  </si>
  <si>
    <t>Losses Requiring Offset</t>
  </si>
  <si>
    <t>Remaining Available After Rule 1</t>
  </si>
  <si>
    <t>Remaining Available After Rule 2</t>
  </si>
  <si>
    <t>Remaining Available After Rule 3</t>
  </si>
  <si>
    <t>Remaining Available After Rule 4</t>
  </si>
  <si>
    <t>Losses after Rule 1</t>
  </si>
  <si>
    <t>Sum of Rule 1 by Tier</t>
  </si>
  <si>
    <t>Ratio (Final losses/Sum of Rule 1)</t>
  </si>
  <si>
    <t>Ratio X Broad Habitat Loss (After Rule 1)</t>
  </si>
  <si>
    <t>Medium Distinctiveness Credits by Broad Habitat Group (SRM applied)</t>
  </si>
  <si>
    <t>MEDIUM</t>
  </si>
  <si>
    <t xml:space="preserve">Total Remaining Units Available </t>
  </si>
  <si>
    <t>Net Unit Change for Low Distinctiveness Habitats</t>
  </si>
  <si>
    <t>Total Unit Change for Low Distinctiveness Habitats Following Offset from Higher Distinctiveness Habitats</t>
  </si>
  <si>
    <t>Units Remaining Available After Rule 5</t>
  </si>
  <si>
    <t>LOW</t>
  </si>
  <si>
    <t>Losses</t>
  </si>
  <si>
    <t>Final Losses</t>
  </si>
  <si>
    <t>VHD Losses Not Offset</t>
  </si>
  <si>
    <t>Trading rules applied</t>
  </si>
  <si>
    <t>HD Losses Not Offset</t>
  </si>
  <si>
    <t>MD Losses Not Offset</t>
  </si>
  <si>
    <t>LD Losses Not Offset</t>
  </si>
  <si>
    <t>VLD Losses Not Offset</t>
  </si>
  <si>
    <t>All Habitats Based on UKHab</t>
  </si>
  <si>
    <t>Distinctiveness categories</t>
  </si>
  <si>
    <t>Condition categories</t>
  </si>
  <si>
    <t xml:space="preserve">Broad Habitats </t>
  </si>
  <si>
    <t>Conditional Broad Habitat Label</t>
  </si>
  <si>
    <t>Labelling column</t>
  </si>
  <si>
    <t>Definitive UKHAB / EUNIS/ NE Code</t>
  </si>
  <si>
    <t>Level 1</t>
  </si>
  <si>
    <t>Level 2 code</t>
  </si>
  <si>
    <t>Level 2 Label</t>
  </si>
  <si>
    <t>Level 3 code</t>
  </si>
  <si>
    <t>Level 3 Label</t>
  </si>
  <si>
    <t>Level 4 code</t>
  </si>
  <si>
    <t>Level 4 Label
(Priority Habitats in Bold)</t>
  </si>
  <si>
    <t xml:space="preserve">Distinctiveness Category </t>
  </si>
  <si>
    <t>Distinctiveness Score</t>
  </si>
  <si>
    <t>Trading Rules</t>
  </si>
  <si>
    <t>Technical Difficulty Creation</t>
  </si>
  <si>
    <t>Technical Difficulty Enhancement</t>
  </si>
  <si>
    <t>Basic Description</t>
  </si>
  <si>
    <t>Condition Assessment Notes</t>
  </si>
  <si>
    <t>Irreplaceable</t>
  </si>
  <si>
    <t>Distinctiveness category</t>
  </si>
  <si>
    <t>Distinctiveness score</t>
  </si>
  <si>
    <t>Suggested action</t>
  </si>
  <si>
    <t>Condition Multiplier</t>
  </si>
  <si>
    <t>Condition Assessment Score</t>
  </si>
  <si>
    <t>Bespoke Compensation For Unacceptable Losses Agreed</t>
  </si>
  <si>
    <t>Arable field margins cultivated annually</t>
  </si>
  <si>
    <t>Cropland - Arable field margins cultivated annually</t>
  </si>
  <si>
    <t>c1a7</t>
  </si>
  <si>
    <t>Terrestrial</t>
  </si>
  <si>
    <t>c</t>
  </si>
  <si>
    <t>c1</t>
  </si>
  <si>
    <t>Arable and horticulture</t>
  </si>
  <si>
    <t>c1a</t>
  </si>
  <si>
    <t>Arable field margins</t>
  </si>
  <si>
    <t>V.High</t>
  </si>
  <si>
    <t>Arable field margins game bird mix</t>
  </si>
  <si>
    <t>Cropland - Arable field margins game bird mix</t>
  </si>
  <si>
    <t>c1a8</t>
  </si>
  <si>
    <t>Fairly Good</t>
  </si>
  <si>
    <t>Arable field margins pollen and nectar</t>
  </si>
  <si>
    <t>Cropland - Arable field margins pollen and nectar</t>
  </si>
  <si>
    <t>c1a6</t>
  </si>
  <si>
    <t>Pending</t>
  </si>
  <si>
    <t>Heathland_and_shrub</t>
  </si>
  <si>
    <t>Arable field margins tussocky</t>
  </si>
  <si>
    <t>Cropland - Arable field margins tussocky</t>
  </si>
  <si>
    <t>c1a5</t>
  </si>
  <si>
    <t>Fairly Poor</t>
  </si>
  <si>
    <t>Cereal crops</t>
  </si>
  <si>
    <t>Cropland - Cereal crops</t>
  </si>
  <si>
    <t>c1c</t>
  </si>
  <si>
    <t>V.Low</t>
  </si>
  <si>
    <t>Compensation Not Required</t>
  </si>
  <si>
    <t>Sparsely_vegetated_land</t>
  </si>
  <si>
    <t>Winter stubble</t>
  </si>
  <si>
    <t>Cropland - Winter stubble</t>
  </si>
  <si>
    <t>c1c5</t>
  </si>
  <si>
    <t>Horticulture</t>
  </si>
  <si>
    <t>Cropland - Horticulture</t>
  </si>
  <si>
    <t>c1f</t>
  </si>
  <si>
    <t>Irreplaceable Habitats</t>
  </si>
  <si>
    <t>Bespoke compensation likely to be required</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</si>
  <si>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</si>
  <si>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</si>
  <si>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</si>
  <si>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</si>
  <si>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</si>
  <si>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</si>
  <si>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</si>
  <si>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</si>
  <si>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</si>
  <si>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</si>
  <si>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</si>
  <si>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Rocky_shore</t>
  </si>
  <si>
    <t>Traditional orchards</t>
  </si>
  <si>
    <t>Coastal_saltmarsh</t>
  </si>
  <si>
    <t>Bracken</t>
  </si>
  <si>
    <t>Grassland - Bracken</t>
  </si>
  <si>
    <t>g1c</t>
  </si>
  <si>
    <t>g</t>
  </si>
  <si>
    <t>g1</t>
  </si>
  <si>
    <t>Acid grassland</t>
  </si>
  <si>
    <t>Intertidal_sediment</t>
  </si>
  <si>
    <t>Floodplain wetland mosaic and CFGM</t>
  </si>
  <si>
    <t>Intertidal_hard_structures</t>
  </si>
  <si>
    <t>Lowland calcareous grassland</t>
  </si>
  <si>
    <t>g2a</t>
  </si>
  <si>
    <t>g2</t>
  </si>
  <si>
    <t>Calcareous grassland</t>
  </si>
  <si>
    <t>Watercourse_footprint</t>
  </si>
  <si>
    <t>Lowland dry acid grassland</t>
  </si>
  <si>
    <t>Grassland - Lowland dry acid grassland</t>
  </si>
  <si>
    <t>g1a</t>
  </si>
  <si>
    <t>Individual_trees</t>
  </si>
  <si>
    <t>Lowland meadows</t>
  </si>
  <si>
    <t>Grassland - Lowland meadows</t>
  </si>
  <si>
    <t>g3a</t>
  </si>
  <si>
    <t>g3</t>
  </si>
  <si>
    <t>Neutral grassland</t>
  </si>
  <si>
    <t>Grassland - Modified grassland</t>
  </si>
  <si>
    <t>g4</t>
  </si>
  <si>
    <t>Carried forward</t>
  </si>
  <si>
    <t>Other lowland acid grassland</t>
  </si>
  <si>
    <t>Grassland - Other lowland acid grassland</t>
  </si>
  <si>
    <t>g1d</t>
  </si>
  <si>
    <t>Grassland - Other neutral grassland</t>
  </si>
  <si>
    <t>g3c</t>
  </si>
  <si>
    <t>Tall herb communities (H6430)</t>
  </si>
  <si>
    <t>s1a9</t>
  </si>
  <si>
    <t>s</t>
  </si>
  <si>
    <t>s1</t>
  </si>
  <si>
    <t>Inland rock</t>
  </si>
  <si>
    <t>s1a</t>
  </si>
  <si>
    <t>Inland rock outcrop and scree habitats</t>
  </si>
  <si>
    <t>Upland acid grassland</t>
  </si>
  <si>
    <t>Grassland - Upland acid grassland</t>
  </si>
  <si>
    <t>g1b</t>
  </si>
  <si>
    <t>Creation</t>
  </si>
  <si>
    <t>Upland calcareous grassland</t>
  </si>
  <si>
    <t>g2b</t>
  </si>
  <si>
    <t>Upland hay meadows</t>
  </si>
  <si>
    <t>Grassland - Upland hay meadows</t>
  </si>
  <si>
    <t>g3b</t>
  </si>
  <si>
    <t>Blackthorn scrub</t>
  </si>
  <si>
    <t>Heathland and shrub - Blackthorn scrub</t>
  </si>
  <si>
    <t>h3a</t>
  </si>
  <si>
    <t>h</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</si>
  <si>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</si>
  <si>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</si>
  <si>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</si>
  <si>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</si>
  <si>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</si>
  <si>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</si>
  <si>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</si>
  <si>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</si>
  <si>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</si>
  <si>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</si>
  <si>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</si>
  <si>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</si>
  <si>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</si>
  <si>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</si>
  <si>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</si>
  <si>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</si>
  <si>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</si>
  <si>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h1</t>
  </si>
  <si>
    <t>Dwarf shrub heath</t>
  </si>
  <si>
    <t>Mixed scrub</t>
  </si>
  <si>
    <t>Heathland and shrub - Mixed scrub</t>
  </si>
  <si>
    <t>h3h</t>
  </si>
  <si>
    <t>Mountain heaths and willow scrub</t>
  </si>
  <si>
    <t>Heathland and shrub - Mountain heaths and willow scrub</t>
  </si>
  <si>
    <t>h1c</t>
  </si>
  <si>
    <t>Rhododendron scrub</t>
  </si>
  <si>
    <t>Heathland and shrub - Rhododendron scrub</t>
  </si>
  <si>
    <t>h3g</t>
  </si>
  <si>
    <t>Woodland_and_forest_2</t>
  </si>
  <si>
    <t>Dunes with sea buckthorn (H2160)</t>
  </si>
  <si>
    <t>h3c5</t>
  </si>
  <si>
    <t>h3c</t>
  </si>
  <si>
    <t>Sea buckthorn scrub</t>
  </si>
  <si>
    <t>Other sea buckthorn scrub</t>
  </si>
  <si>
    <t>Heathland and shrub - Other sea buckthorn scrub</t>
  </si>
  <si>
    <t>h3c6</t>
  </si>
  <si>
    <t>Willow scrub</t>
  </si>
  <si>
    <t>Heathland and shrub - Willow scrub</t>
  </si>
  <si>
    <t>h3j</t>
  </si>
  <si>
    <t>Upland heathland</t>
  </si>
  <si>
    <t>h1b</t>
  </si>
  <si>
    <t>Aquifer fed naturally fluctuating water bodies</t>
  </si>
  <si>
    <t>Lakes - Aquifer fed naturally fluctuating water bodies</t>
  </si>
  <si>
    <t>r1d</t>
  </si>
  <si>
    <t>Freshwater</t>
  </si>
  <si>
    <t>r</t>
  </si>
  <si>
    <t>Rivers and lakes</t>
  </si>
  <si>
    <t>r1</t>
  </si>
  <si>
    <t>Standing open water and canals</t>
  </si>
  <si>
    <t>Ornamental lake or pond</t>
  </si>
  <si>
    <t>Lakes - Ornamental lake or pond</t>
  </si>
  <si>
    <t>High alkalinity lakes</t>
  </si>
  <si>
    <t>Water Framework Directive</t>
  </si>
  <si>
    <t>Low alkalinity lakes</t>
  </si>
  <si>
    <t>Marl lakes</t>
  </si>
  <si>
    <t>Moderate alkalinity lakes</t>
  </si>
  <si>
    <t>Peat lakes</t>
  </si>
  <si>
    <t>Enhancement</t>
  </si>
  <si>
    <t>Ponds (priority habitat)</t>
  </si>
  <si>
    <t>Ponds (non-priority habitat)</t>
  </si>
  <si>
    <t>Lakes - Ponds (non-priority habitat)</t>
  </si>
  <si>
    <t>Reservoirs</t>
  </si>
  <si>
    <t>Lakes - Reservoirs</t>
  </si>
  <si>
    <t>Temporary lakes ponds and pools (H3170)</t>
  </si>
  <si>
    <t>r1f5</t>
  </si>
  <si>
    <t>r1f</t>
  </si>
  <si>
    <t>Temporary water bodies</t>
  </si>
  <si>
    <t>Calaminarian grasslands</t>
  </si>
  <si>
    <t>Sparsely vegetated land - Calaminarian grasslands</t>
  </si>
  <si>
    <t>s1c</t>
  </si>
  <si>
    <t>Coastal sand dunes</t>
  </si>
  <si>
    <t>s3a</t>
  </si>
  <si>
    <t>s3</t>
  </si>
  <si>
    <t>Supralittoral sediment</t>
  </si>
  <si>
    <t>Sand dunes</t>
  </si>
  <si>
    <t>Coastal vegetated shingle</t>
  </si>
  <si>
    <t>s3b</t>
  </si>
  <si>
    <t>Ruderal/Ephemeral</t>
  </si>
  <si>
    <t>Sparsely vegetated land - Ruderal/Ephemeral</t>
  </si>
  <si>
    <t>Tall forbs</t>
  </si>
  <si>
    <t>Sparsely vegetated land - Tall forbs</t>
  </si>
  <si>
    <t>Limestone pavement</t>
  </si>
  <si>
    <t>Sparsely vegetated land - Limestone pavement</t>
  </si>
  <si>
    <t>s1b</t>
  </si>
  <si>
    <t>Woodland_and_forest_3</t>
  </si>
  <si>
    <t>Maritime cliff and slopes</t>
  </si>
  <si>
    <t>s2a</t>
  </si>
  <si>
    <t>s2</t>
  </si>
  <si>
    <t>Supralittoral rock</t>
  </si>
  <si>
    <t>Other inland rock and scree</t>
  </si>
  <si>
    <t>Sparsely vegetated land - Other inland rock and scree</t>
  </si>
  <si>
    <t>s1d</t>
  </si>
  <si>
    <t>Allotments</t>
  </si>
  <si>
    <t>Urban - Allotments</t>
  </si>
  <si>
    <t>Urban - Artificial unvegetated, unsealed surface</t>
  </si>
  <si>
    <t>u1c</t>
  </si>
  <si>
    <t>u</t>
  </si>
  <si>
    <t>u1</t>
  </si>
  <si>
    <t>Built-up areas and gardens</t>
  </si>
  <si>
    <t>Bioswale</t>
  </si>
  <si>
    <t>Urban - Bioswale</t>
  </si>
  <si>
    <t>Intensive green roof</t>
  </si>
  <si>
    <t>Urban - Intensive green roof</t>
  </si>
  <si>
    <t>u1b</t>
  </si>
  <si>
    <t>Built linear features</t>
  </si>
  <si>
    <t>Urban - Built linear features</t>
  </si>
  <si>
    <t>u1e</t>
  </si>
  <si>
    <t>Cemeteries and churchyards</t>
  </si>
  <si>
    <t>Urban - Cemeteries and churchyards</t>
  </si>
  <si>
    <t>Urban - Developed land; sealed surface</t>
  </si>
  <si>
    <t>Other green roof</t>
  </si>
  <si>
    <t>Urban - Other green roof</t>
  </si>
  <si>
    <t>Facade-bound green wall</t>
  </si>
  <si>
    <t>Urban - Facade-bound green wall</t>
  </si>
  <si>
    <t>Ground based green wall</t>
  </si>
  <si>
    <t>Urban - Ground based green wall</t>
  </si>
  <si>
    <t>Ground level planters</t>
  </si>
  <si>
    <t>Urban - Ground level planters</t>
  </si>
  <si>
    <t>Biodiverse green roof</t>
  </si>
  <si>
    <t>Urban - Biodiverse green roof</t>
  </si>
  <si>
    <t>Introduced shrub</t>
  </si>
  <si>
    <t>Urban - Introduced shrub</t>
  </si>
  <si>
    <t>Open mosaic habitats on previously developed land</t>
  </si>
  <si>
    <t>Rain garden</t>
  </si>
  <si>
    <t>Urban - Rain garden</t>
  </si>
  <si>
    <t>Actively worked sand pit quarry or open cast mine</t>
  </si>
  <si>
    <t>Urban - Actively worked sand pit quarry or open cast mine</t>
  </si>
  <si>
    <t>Urban - Sustainable drainage system</t>
  </si>
  <si>
    <t>Unvegetated garden</t>
  </si>
  <si>
    <t>Urban - Unvegetated garden</t>
  </si>
  <si>
    <t>Vacant or derelict land</t>
  </si>
  <si>
    <t>Urban - Vacant or derelict land</t>
  </si>
  <si>
    <t>Justify why not Open Mosaic Habitat.</t>
  </si>
  <si>
    <t>Bare ground</t>
  </si>
  <si>
    <t>Urban - Bare ground</t>
  </si>
  <si>
    <t>Urban - Vegetated garden</t>
  </si>
  <si>
    <t>Urban tree</t>
  </si>
  <si>
    <t>Individual trees - Urban tree</t>
  </si>
  <si>
    <t>NE0014</t>
  </si>
  <si>
    <t>Yes/No</t>
  </si>
  <si>
    <t>Individual trees - Rural tree</t>
  </si>
  <si>
    <t>NE0016</t>
  </si>
  <si>
    <t>Blanket bog</t>
  </si>
  <si>
    <t>Wetland - Blanket bog</t>
  </si>
  <si>
    <t>f1a</t>
  </si>
  <si>
    <t>f</t>
  </si>
  <si>
    <t>f1</t>
  </si>
  <si>
    <t>Bog</t>
  </si>
  <si>
    <t>Depressions on peat substrates (H7150)</t>
  </si>
  <si>
    <t>Wetland - Depressions on peat substrates (H7150)</t>
  </si>
  <si>
    <t>Fens (upland and lowland)</t>
  </si>
  <si>
    <t>Wetland - Fens (upland and lowland)</t>
  </si>
  <si>
    <t>f2a/f2c/f2f</t>
  </si>
  <si>
    <t>f2</t>
  </si>
  <si>
    <t>Fen marsh and swamp</t>
  </si>
  <si>
    <t>Lowland fens/Upland flushes, fens and swamps/Other wetlands</t>
  </si>
  <si>
    <t>Lowland raised bog</t>
  </si>
  <si>
    <t>Wetland - Lowland raised bog</t>
  </si>
  <si>
    <t>f1b</t>
  </si>
  <si>
    <t>Oceanic valley mire[1] (D2.1)</t>
  </si>
  <si>
    <t>Wetland - Oceanic valley mire[1] (D2.1)</t>
  </si>
  <si>
    <t>D2.1</t>
  </si>
  <si>
    <t>Purple moor grass and rush pastures</t>
  </si>
  <si>
    <t>Wetland - Purple moor grass and rush pastures</t>
  </si>
  <si>
    <t>f2b</t>
  </si>
  <si>
    <t>Reedbeds</t>
  </si>
  <si>
    <t>f2e</t>
  </si>
  <si>
    <t>Transition mires and quaking bogs (H7140)</t>
  </si>
  <si>
    <t>Wetland - Transition mires and quaking bogs (H7140)</t>
  </si>
  <si>
    <t>f2c8/f2a8</t>
  </si>
  <si>
    <t>Lowland fens/Upland flushes, fens and swamps</t>
  </si>
  <si>
    <t>Felled</t>
  </si>
  <si>
    <t>Woodland and forest - Felled</t>
  </si>
  <si>
    <t>Lowland beech and yew woodland</t>
  </si>
  <si>
    <t>w1c</t>
  </si>
  <si>
    <t>w</t>
  </si>
  <si>
    <t>w1</t>
  </si>
  <si>
    <t>Broadleaved and mixed woodland</t>
  </si>
  <si>
    <t>Lowland mixed deciduous woodland</t>
  </si>
  <si>
    <t>w1f</t>
  </si>
  <si>
    <t>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</si>
  <si>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</si>
  <si>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</si>
  <si>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</si>
  <si>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</si>
  <si>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</si>
  <si>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</si>
  <si>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</si>
  <si>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</si>
  <si>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</si>
  <si>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</si>
  <si>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</si>
  <si>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</si>
  <si>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</si>
  <si>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</si>
  <si>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</si>
  <si>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</si>
  <si>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w1e</t>
  </si>
  <si>
    <t>Upland mixed ashwoods</t>
  </si>
  <si>
    <t>w1b</t>
  </si>
  <si>
    <t>Upland oakwood</t>
  </si>
  <si>
    <t>w1a</t>
  </si>
  <si>
    <t>Wet woodland</t>
  </si>
  <si>
    <t>w1d</t>
  </si>
  <si>
    <t>Wood-pasture and parkland</t>
  </si>
  <si>
    <t>Woodland and forest - Wood-pasture and parkland</t>
  </si>
  <si>
    <t>Replacement for felled woodland</t>
  </si>
  <si>
    <t>x02</t>
  </si>
  <si>
    <t>Intertidal</t>
  </si>
  <si>
    <t>X02/03</t>
  </si>
  <si>
    <t>High energy littoral rock</t>
  </si>
  <si>
    <t>a1.1</t>
  </si>
  <si>
    <t>High energy littoral rock - on peat, clay or chalk</t>
  </si>
  <si>
    <t>Rocky shore - High energy littoral rock - on peat, clay or chalk</t>
  </si>
  <si>
    <t>A1.1</t>
  </si>
  <si>
    <t>High energy littoral rock - on bedrock including chalk, peat or clay</t>
  </si>
  <si>
    <t>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</si>
  <si>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</si>
  <si>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</si>
  <si>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</si>
  <si>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</si>
  <si>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</si>
  <si>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</si>
  <si>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</si>
  <si>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</si>
  <si>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</si>
  <si>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</si>
  <si>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</si>
  <si>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</si>
  <si>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</si>
  <si>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</si>
  <si>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</si>
  <si>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</si>
  <si>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</si>
  <si>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</si>
  <si>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A2.5</t>
  </si>
  <si>
    <t>Coastal saltmarshes and saline reedbeds</t>
  </si>
  <si>
    <t>Artificial saltmarshes and saline reedbeds</t>
  </si>
  <si>
    <t>Coastal saltmarsh - Artificial saltmarshes and saline reedbeds</t>
  </si>
  <si>
    <t>ART_A2.5</t>
  </si>
  <si>
    <t>For these habitats the artificial nature is determined by the underlying substrate, most restoration activities will fall under the net gain definition of recreated natural habitats. Situations that fall under artificial will be limited but not impossible and include any base substrate that falls under artificial in the definition above. Example: floating habitat creation systems where the underlying substrate is artificially contained.</t>
  </si>
  <si>
    <t>Littoral coarse sediment</t>
  </si>
  <si>
    <t>Intertidal sediment - Littoral coarse sediment</t>
  </si>
  <si>
    <t>A2.1</t>
  </si>
  <si>
    <t>Littoral mud</t>
  </si>
  <si>
    <t>A2.3</t>
  </si>
  <si>
    <t>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</si>
  <si>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</si>
  <si>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</si>
  <si>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</si>
  <si>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</si>
  <si>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</si>
  <si>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</si>
  <si>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</si>
  <si>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</si>
  <si>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</si>
  <si>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A2.7 M</t>
  </si>
  <si>
    <t xml:space="preserve"> Littoral biogenic reefs - Mussels</t>
  </si>
  <si>
    <t>Littoral biogenic reefs - Sabellaria</t>
  </si>
  <si>
    <t>A2.7 S</t>
  </si>
  <si>
    <t>Features of littoral sediment</t>
  </si>
  <si>
    <t>A2.8</t>
  </si>
  <si>
    <t>Artificial littoral coarse sediment</t>
  </si>
  <si>
    <t>Intertidal sediment - Artificial littoral coarse sediment</t>
  </si>
  <si>
    <t>ART_A2.1</t>
  </si>
  <si>
    <t>Artificial sedimentary habitats will be those that cannot meet the general natural definition, particularly in respect to using substrate that is not of marine origin or that cannot remain in situation without significant engineering. Beneficial use &amp; beach recharge or replenishment: Provided these use the same sediment type as originally present they fall into enhancement of existing habitats. In these situations, do not use the artificial habitat definition. Ensuring condition is as good as or better than originally and still requiring the 10% biodiversity unit gain. If it’s a different sediment type then it will be habitat creation – to be considered natural sediment creation the scheme must meet the natural habitat definition including an aim for biodiversity conservation. Otherwise, they will be considered artificial in the metric. Examples of artificial littoral sediment habitats: Sediments deposited around artificial islands, sediments contained in floating devices</t>
  </si>
  <si>
    <t>Artificial littoral mud</t>
  </si>
  <si>
    <t>Intertidal sediment - Artificial littoral mud</t>
  </si>
  <si>
    <t>ART_A2.3</t>
  </si>
  <si>
    <t>See above</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</si>
  <si>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</si>
  <si>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</si>
  <si>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</si>
  <si>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</si>
  <si>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</si>
  <si>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</si>
  <si>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</si>
  <si>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</si>
  <si>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</si>
  <si>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</si>
  <si>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</si>
  <si>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</si>
  <si>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See basic description for 'Artificial saltmarshes and saline reedbeds'.</t>
  </si>
  <si>
    <t>Artificial littoral biogenic reefs</t>
  </si>
  <si>
    <t>Intertidal sediment - Artificial littoral biogenic reefs</t>
  </si>
  <si>
    <t>ART_A2.7</t>
  </si>
  <si>
    <t>Littoral sand</t>
  </si>
  <si>
    <t>Intertidal sediment - Littoral sand</t>
  </si>
  <si>
    <t>A2.21/A2.22/A2.23</t>
  </si>
  <si>
    <t>Littoral muddy sand</t>
  </si>
  <si>
    <t>A2.24</t>
  </si>
  <si>
    <t>Artificial hard structures</t>
  </si>
  <si>
    <t>Intertidal hard structures - Artificial hard structures</t>
  </si>
  <si>
    <t>ART_A1</t>
  </si>
  <si>
    <t>Artificial hard structures are man-made structures fulfilling a range of functions (for example coastal defences, port, harbour and marina installations, energy infrastructure, aquaculture). They can be made of various hard materials (artificial or natural rock, wood, plastics, metal) that would not normally be found in the area they are being deployed. Examples: seawalls, breakwaters, groynes, jetties, pilings, aquaculture trestles.</t>
  </si>
  <si>
    <t>Artificial features of hard structures</t>
  </si>
  <si>
    <t>Intertidal hard structures - Artificial features of hard structures</t>
  </si>
  <si>
    <t>ART_A1.4</t>
  </si>
  <si>
    <t>Where man-made materials are used to create artificial versions of A1.4 Features of littoral rock</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</si>
  <si>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</si>
  <si>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</si>
  <si>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</si>
  <si>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</si>
  <si>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Where natural materials (most commonly naturally occurring rock) are used to create man-made structures for a range of functions (for example coastal defences, aquaculture). The structures’ designs must maximise likeness to the naturally occurring hard habitats from that area in terms of material (for example geological origin), position (tidal level, exposure, aspect), topographic complexity (surface roughness, availability of microhabitat like rock pools or crevices, slope), to support their colonisation with species naturally occurring in the area and to maximise benefits for biodiversity and ecosystem function. Examples: breakwaters or seawalls built with materials local to the region, and with depressions (rock pools) added during the design process or retrospectively</t>
  </si>
  <si>
    <t>Watercourse footprint - Watercourse footprint</t>
  </si>
  <si>
    <t>NE0017</t>
  </si>
  <si>
    <t>V.low</t>
  </si>
  <si>
    <t>Area footprint of watercourse included in the watercourse tab</t>
  </si>
  <si>
    <t>All Habitats</t>
  </si>
  <si>
    <t>Group Sub-totals</t>
  </si>
  <si>
    <t>Distinctiveness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</si>
  <si>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</si>
  <si>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</si>
  <si>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</si>
  <si>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</si>
  <si>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</si>
  <si>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</si>
  <si>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</si>
  <si>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</si>
  <si>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</si>
  <si>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</si>
  <si>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</si>
  <si>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</si>
  <si>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</si>
  <si>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</si>
  <si>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</si>
  <si>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</si>
  <si>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</si>
  <si>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</si>
  <si>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</si>
  <si>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</si>
  <si>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</si>
  <si>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</si>
  <si>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</si>
  <si>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</si>
  <si>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</si>
  <si>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</si>
  <si>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</si>
  <si>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</si>
  <si>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</si>
  <si>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</si>
  <si>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</si>
  <si>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</si>
  <si>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</si>
  <si>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</si>
  <si>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</si>
  <si>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</si>
  <si>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</si>
  <si>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</si>
  <si>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</si>
  <si>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</si>
  <si>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</si>
  <si>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</si>
  <si>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</si>
  <si>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</si>
  <si>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</si>
  <si>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</si>
  <si>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</si>
  <si>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</si>
  <si>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</si>
  <si>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</si>
  <si>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On-site  Unit Change</t>
  </si>
  <si>
    <t>Units Required Off-site or Trading Up</t>
  </si>
  <si>
    <t>Sparsely vegetated land - Ruderal/ephemeral</t>
  </si>
  <si>
    <t xml:space="preserve">Hedgerow type </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</si>
  <si>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</si>
  <si>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</si>
  <si>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</si>
  <si>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</si>
  <si>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</si>
  <si>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</si>
  <si>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</si>
  <si>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</si>
  <si>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</si>
  <si>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</si>
  <si>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</si>
  <si>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</si>
  <si>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</si>
  <si>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</si>
  <si>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</si>
  <si>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</si>
  <si>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</si>
  <si>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 xml:space="preserve">Watercourse type </t>
  </si>
  <si>
    <t>Existing length lost on-site</t>
  </si>
  <si>
    <t>Existing units lost baseline on-site</t>
  </si>
  <si>
    <t>Risk</t>
  </si>
  <si>
    <t>Spatial multipliers</t>
  </si>
  <si>
    <t>connectivity</t>
  </si>
  <si>
    <t>Strategic Significance</t>
  </si>
  <si>
    <t>Value</t>
  </si>
  <si>
    <t>Spatial risk</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</si>
  <si>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</si>
  <si>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</si>
  <si>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</si>
  <si>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</si>
  <si>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</si>
  <si>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</si>
  <si>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</si>
  <si>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</si>
  <si>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</si>
  <si>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</si>
  <si>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 xml:space="preserve">Medium strategic significance </t>
  </si>
  <si>
    <t xml:space="preserve">Compensation outside LPA or NCA of impact site, but in neighbouring LPA or NCA </t>
  </si>
  <si>
    <t>Unconnected habitat</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</si>
  <si>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</si>
  <si>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</si>
  <si>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</si>
  <si>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</si>
  <si>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</si>
  <si>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</si>
  <si>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val="single"/>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</si>
  <si>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val="single"/>
        <sz val="11"/>
        <color theme="4"/>
        <rFont val="Rockwell Light"/>
        <family val="1"/>
      </rPr>
      <t>outside</t>
    </r>
    <r>
      <rPr>
        <sz val="11"/>
        <color theme="4"/>
        <rFont val="Rockwell Light"/>
        <family val="1"/>
      </rPr>
      <t xml:space="preserve"> Marine Plan Area of impact site and beyond neighbouring Marine Plan Area </t>
    </r>
  </si>
  <si>
    <t>Temporal multipliers</t>
  </si>
  <si>
    <t>Year</t>
  </si>
  <si>
    <t>% of original unit</t>
  </si>
  <si>
    <t>Time to target Multiplier</t>
  </si>
  <si>
    <t>Not Possible ▲</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</si>
  <si>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</si>
  <si>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</si>
  <si>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</si>
  <si>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</si>
  <si>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</si>
  <si>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</si>
  <si>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</si>
  <si>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</si>
  <si>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</si>
  <si>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</si>
  <si>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</si>
  <si>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</si>
  <si>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</si>
  <si>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</si>
  <si>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</si>
  <si>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</si>
  <si>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</si>
  <si>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</si>
  <si>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</si>
  <si>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</si>
  <si>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</si>
  <si>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</si>
  <si>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</si>
  <si>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</si>
  <si>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</si>
  <si>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</si>
  <si>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</si>
  <si>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</si>
  <si>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</si>
  <si>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</si>
  <si>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</si>
  <si>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</si>
  <si>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</si>
  <si>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</si>
  <si>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</si>
  <si>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</si>
  <si>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</si>
  <si>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</si>
  <si>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</si>
  <si>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 ▲</t>
  </si>
  <si>
    <t>Like for like</t>
  </si>
  <si>
    <t>V.High -  V.High</t>
  </si>
  <si>
    <t>Error Trading Down ▲</t>
  </si>
  <si>
    <t>High - V.High</t>
  </si>
  <si>
    <t>High - High</t>
  </si>
  <si>
    <t>Error - Enhancement not possible ▲</t>
  </si>
  <si>
    <t>Same distinctiveness band or better</t>
  </si>
  <si>
    <t>Medium - V.High</t>
  </si>
  <si>
    <t>Medium - High</t>
  </si>
  <si>
    <t>Medium - Medium</t>
  </si>
  <si>
    <t>Low - V.High</t>
  </si>
  <si>
    <t>Low - High</t>
  </si>
  <si>
    <t>Low - Medium</t>
  </si>
  <si>
    <t>Low - Low</t>
  </si>
  <si>
    <t>Not possible ▲</t>
  </si>
  <si>
    <t>V.Low - V.Low</t>
  </si>
  <si>
    <t xml:space="preserve">Creation - Years to Target Condition for All Habitats </t>
  </si>
  <si>
    <t xml:space="preserve">Enhancement - Years to Target Condition for All Habitats </t>
  </si>
  <si>
    <t>Enhancement  - Years to Target Condition</t>
  </si>
  <si>
    <t>Encroachment</t>
  </si>
  <si>
    <t>Spatial</t>
  </si>
  <si>
    <t>Rivercond1</t>
  </si>
  <si>
    <t>Rivercond2</t>
  </si>
  <si>
    <t>Baseline Condition</t>
  </si>
  <si>
    <t>Proposed Condition</t>
  </si>
  <si>
    <t>Encroachment into Watercourse</t>
  </si>
  <si>
    <t>multiplier</t>
  </si>
  <si>
    <t>Riparian Encroachment for Both Banks</t>
  </si>
  <si>
    <t>Description of multiplier</t>
  </si>
  <si>
    <t>Strategic multiplier</t>
  </si>
  <si>
    <t>Distinctiveness Category</t>
  </si>
  <si>
    <t>Suggested Action</t>
  </si>
  <si>
    <t>Priority Habitat</t>
  </si>
  <si>
    <t>No Encroachment</t>
  </si>
  <si>
    <t>Major/Major</t>
  </si>
  <si>
    <t>Low potential/action not identified in any plan</t>
  </si>
  <si>
    <t>Loss Unacceptable</t>
  </si>
  <si>
    <t>Other Rivers and Streams</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</si>
  <si>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</si>
  <si>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</si>
  <si>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</si>
  <si>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</si>
  <si>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</si>
  <si>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</si>
  <si>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</si>
  <si>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</si>
  <si>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</si>
  <si>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</si>
  <si>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</si>
  <si>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</si>
  <si>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</si>
  <si>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</si>
  <si>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</si>
  <si>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</si>
  <si>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</si>
  <si>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</si>
  <si>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</si>
  <si>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No Encroachment</t>
  </si>
  <si>
    <t>No Encroachment/ No Encroachment</t>
  </si>
  <si>
    <t>Condition groups</t>
  </si>
  <si>
    <t>Cond1</t>
  </si>
  <si>
    <t>Cond2</t>
  </si>
  <si>
    <t>Cond3</t>
  </si>
  <si>
    <t>Cond4</t>
  </si>
  <si>
    <t>Cond5</t>
  </si>
  <si>
    <t>Version</t>
  </si>
  <si>
    <t>Changes made</t>
  </si>
  <si>
    <t>Date released</t>
  </si>
  <si>
    <t>Version 1.0.0</t>
  </si>
  <si>
    <t xml:space="preserve"> Initial statutory version</t>
  </si>
  <si>
    <t>29th November 2023</t>
  </si>
  <si>
    <t>Version 1.0.1</t>
  </si>
  <si>
    <t>Amended to fix an error in the irreplaceable habitats dropdown and minor changes to the working of the tool such as ensuring the rows auto populate correctly and cells adjust their height so error messages can be read</t>
  </si>
  <si>
    <t>15th December 2023</t>
  </si>
  <si>
    <t>Version 1.0.2</t>
  </si>
  <si>
    <t>Updated to correct some labelling errors, minor formula errors and expand width of columns</t>
  </si>
  <si>
    <t>12th February 2024</t>
  </si>
  <si>
    <t>Version 1.0.3</t>
  </si>
  <si>
    <t>Minor formatting errors corrected to ensure text is visible and flags appear correctly, version history sheet added.</t>
  </si>
  <si>
    <t>23rd July 2024</t>
  </si>
  <si>
    <t>Version 1.0.4</t>
  </si>
  <si>
    <t>Tab names – Unit Shortfall changed to Credits
Formula Correction in Tab D2 – Column V
Formula Correction in Headline Results B19 and M7, correcting a typo in cell output
Corrections to UKHab codes in tab G1
Amended habitat definitions and codes in tab G1
Corrections to cell references in tab G2
Minor Changes to the layout of Area Habitat Trading Summary
Corrections to the Credits tiers of Littoral Sea Grass and Lowland Beech and YewMinor formatting corrections
Change of ‘Habitats’ to ‘Area Habitats’ where appropriate
Change to enhancement rules for IH ‘Other Woodland’ with changes to formula in columns T and U of A3 and D3</t>
  </si>
  <si>
    <t>3rd July 2025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</si>
  <si>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</si>
  <si>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</si>
  <si>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</si>
  <si>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</si>
  <si>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</si>
  <si>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</si>
  <si>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</si>
  <si>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</si>
  <si>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</si>
  <si>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</si>
  <si>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</si>
  <si>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</si>
  <si>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</si>
  <si>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</si>
  <si>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</si>
  <si>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</si>
  <si>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</si>
  <si>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</si>
  <si>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</si>
  <si>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</si>
  <si>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</si>
  <si>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</si>
  <si>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</si>
  <si>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</si>
  <si>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</si>
  <si>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</si>
  <si>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</si>
  <si>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</si>
  <si>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</si>
  <si>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</si>
  <si>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</si>
  <si>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</si>
  <si>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</si>
  <si>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</si>
  <si>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</si>
  <si>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</si>
  <si>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</si>
  <si>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</si>
  <si>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</si>
  <si>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</si>
  <si>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</si>
  <si>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</si>
  <si>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</si>
  <si>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</si>
  <si>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</si>
  <si>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</si>
  <si>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</si>
  <si>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</si>
  <si>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</si>
  <si>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</si>
  <si>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</si>
  <si>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</si>
  <si>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</si>
  <si>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</si>
  <si>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</si>
  <si>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</si>
  <si>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</si>
  <si>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</si>
  <si>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</si>
  <si>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</si>
  <si>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</si>
  <si>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</si>
  <si>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</si>
  <si>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</si>
  <si>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</si>
  <si>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</si>
  <si>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</si>
  <si>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</si>
  <si>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</si>
  <si>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</si>
  <si>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</si>
  <si>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</si>
  <si>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</si>
  <si>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</si>
  <si>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</si>
  <si>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</si>
  <si>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</si>
  <si>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</si>
  <si>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</si>
  <si>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</si>
  <si>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</si>
  <si>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</si>
  <si>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</si>
  <si>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</si>
  <si>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</si>
  <si>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</si>
  <si>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</si>
  <si>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</si>
  <si>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</si>
  <si>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</si>
  <si>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</si>
  <si>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</si>
  <si>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</si>
  <si>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</si>
  <si>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</si>
  <si>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</si>
  <si>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</si>
  <si>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</si>
  <si>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</si>
  <si>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</si>
  <si>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</si>
  <si>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</si>
  <si>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</si>
  <si>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</si>
  <si>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</si>
  <si>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</si>
  <si>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</si>
  <si>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</si>
  <si>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</si>
  <si>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</si>
  <si>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</si>
  <si>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type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</si>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</sst>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00"/>
    <numFmt numFmtId="167" formatCode="0.0000"/>
    <numFmt numFmtId="168" formatCode="[$-F800]dddd\,\ mmmm\ dd\,\ yyyy"/>
  </numFmts>
  <fonts count="82">
    <font>
      <sz val="11"/>
      <color theme="1"/>
      <name val="Calibri"/>
      <family val="2"/>
      <scheme val="minor"/>
    </font>
    <font>
      <sz val="10"/>
      <color theme="1"/>
      <name val="Arial"/>
      <family val="2"/>
    </font>
    <font>
      <b/>
      <sz val="16"/>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val="single"/>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val="single"/>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26"/>
      <color theme="4"/>
      <name val="Rockwell Light"/>
      <family val="1"/>
    </font>
    <font>
      <u val="single"/>
      <sz val="11"/>
      <color theme="10"/>
      <name val="Rockwell Light"/>
      <family val="1"/>
    </font>
    <font>
      <b/>
      <sz val="16"/>
      <color theme="1"/>
      <name val="Rockwell Light"/>
      <family val="1"/>
    </font>
    <font>
      <u val="single"/>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
      <b/>
      <sz val="20"/>
      <color theme="0"/>
      <name val="Rockwell Light"/>
      <family val="1"/>
    </font>
    <font>
      <sz val="11"/>
      <color theme="0"/>
      <name val="Rockwell Light"/>
      <family val="1"/>
    </font>
    <font>
      <b/>
      <sz val="11"/>
      <color rgb="FFABC3C9"/>
      <name val="Rockwell Light"/>
      <family val="1"/>
    </font>
    <font>
      <sz val="12"/>
      <name val="Segoe UI Symbol"/>
      <family val="2"/>
    </font>
    <font>
      <b/>
      <sz val="11"/>
      <color theme="1"/>
      <name val="Calibri"/>
      <family val="2"/>
      <scheme val="minor"/>
    </font>
    <font>
      <b/>
      <sz val="20"/>
      <color theme="1"/>
      <name val="Rockwell Light"/>
      <family val="1"/>
    </font>
    <font>
      <sz val="10"/>
      <color theme="4"/>
      <name val="Calibri"/>
      <family val="2"/>
    </font>
    <font>
      <sz val="14"/>
      <color theme="4"/>
      <name val="Calibri"/>
      <family val="2"/>
      <scheme val="minor"/>
    </font>
    <font>
      <sz val="9"/>
      <color theme="4"/>
      <name val="Calibri"/>
      <family val="2"/>
      <scheme val="minor"/>
    </font>
    <font>
      <sz val="10"/>
      <color theme="4"/>
      <name val="Calibri"/>
      <family val="2"/>
      <scheme val="minor"/>
    </font>
    <font>
      <sz val="12"/>
      <color theme="4"/>
      <name val="Calibri"/>
      <family val="2"/>
      <scheme val="minor"/>
    </font>
    <font>
      <sz val="11"/>
      <color theme="4"/>
      <name val="Calibri"/>
      <family val="2"/>
      <scheme val="minor"/>
    </font>
    <font>
      <sz val="9"/>
      <color rgb="FF382119"/>
      <name val="Calibri"/>
      <family val="2"/>
      <scheme val="minor"/>
    </font>
    <font>
      <sz val="10"/>
      <color rgb="FF382119"/>
      <name val="Calibri"/>
      <family val="2"/>
      <scheme val="minor"/>
    </font>
  </fonts>
  <fills count="29">
    <fill>
      <patternFill patternType="none"/>
    </fill>
    <fill>
      <patternFill patternType="gray125"/>
    </fill>
    <fill>
      <patternFill patternType="solid">
        <fgColor rgb="FFABC3C9"/>
        <bgColor indexed="64"/>
      </patternFill>
    </fill>
    <fill>
      <patternFill patternType="solid">
        <fgColor theme="1"/>
        <bgColor indexed="64"/>
      </patternFill>
    </fill>
    <fill>
      <patternFill patternType="solid">
        <fgColor theme="0"/>
        <bgColor indexed="64"/>
      </patternFill>
    </fill>
    <fill>
      <patternFill patternType="solid">
        <fgColor rgb="FFE0DCD3"/>
        <bgColor indexed="64"/>
      </patternFill>
    </fill>
    <fill>
      <patternFill patternType="solid">
        <fgColor theme="2"/>
        <bgColor indexed="64"/>
      </patternFill>
    </fill>
    <fill>
      <patternFill patternType="solid">
        <fgColor rgb="FFFF3300"/>
        <bgColor indexed="64"/>
      </patternFill>
    </fill>
    <fill>
      <patternFill patternType="solid">
        <fgColor theme="4" tint="0.599990010261536"/>
        <bgColor indexed="64"/>
      </patternFill>
    </fill>
    <fill>
      <patternFill patternType="solid">
        <fgColor theme="3"/>
        <bgColor indexed="64"/>
      </patternFill>
    </fill>
    <fill>
      <patternFill patternType="solid">
        <fgColor theme="4" tint="0.399980008602142"/>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theme="8" tint="-0.249970003962517"/>
        <bgColor indexed="64"/>
      </patternFill>
    </fill>
    <fill>
      <patternFill patternType="solid">
        <fgColor theme="8" tint="0.599990010261536"/>
        <bgColor indexed="64"/>
      </patternFill>
    </fill>
    <fill>
      <patternFill patternType="solid">
        <fgColor theme="4" tint="0.799979984760284"/>
        <bgColor indexed="64"/>
      </patternFill>
    </fill>
    <fill>
      <patternFill patternType="solid">
        <fgColor rgb="FF000000"/>
        <bgColor indexed="64"/>
      </patternFill>
    </fill>
    <fill>
      <patternFill patternType="solid">
        <fgColor rgb="FF006600"/>
        <bgColor indexed="64"/>
      </patternFill>
    </fill>
    <fill>
      <patternFill patternType="solid">
        <fgColor rgb="FFDD7979"/>
        <bgColor indexed="64"/>
      </patternFill>
    </fill>
    <fill>
      <patternFill patternType="solid">
        <fgColor rgb="FF663300"/>
        <bgColor indexed="64"/>
      </patternFill>
    </fill>
    <fill>
      <patternFill patternType="solid">
        <fgColor rgb="FF0033CC"/>
        <bgColor indexed="64"/>
      </patternFill>
    </fill>
    <fill>
      <patternFill patternType="solid">
        <fgColor rgb="FFFFFF00"/>
        <bgColor indexed="64"/>
      </patternFill>
    </fill>
    <fill>
      <patternFill patternType="solid">
        <fgColor theme="7" tint="-0.249970003962517"/>
        <bgColor indexed="64"/>
      </patternFill>
    </fill>
    <fill>
      <patternFill patternType="solid">
        <fgColor rgb="FFCB0000"/>
        <bgColor indexed="64"/>
      </patternFill>
    </fill>
    <fill>
      <patternFill patternType="solid">
        <fgColor rgb="FFFFC000"/>
        <bgColor indexed="64"/>
      </patternFill>
    </fill>
    <fill>
      <patternFill patternType="solid">
        <fgColor theme="5"/>
        <bgColor indexed="64"/>
      </patternFill>
    </fill>
    <fill>
      <patternFill patternType="solid">
        <fgColor theme="6"/>
        <bgColor indexed="64"/>
      </patternFill>
    </fill>
    <fill>
      <patternFill patternType="solid">
        <fgColor rgb="FFBEE296"/>
        <bgColor indexed="64"/>
      </patternFill>
    </fill>
  </fills>
  <borders count="85">
    <border>
      <left/>
      <right/>
      <top/>
      <bottom/>
      <diagonal/>
    </border>
    <border>
      <left style="thin">
        <color auto="1"/>
      </left>
      <right style="thin">
        <color auto="1"/>
      </right>
      <top style="thin">
        <color auto="1"/>
      </top>
      <bottom style="thin">
        <color auto="1"/>
      </bottom>
    </border>
    <border>
      <left/>
      <right/>
      <top style="medium">
        <color auto="1"/>
      </top>
      <bottom/>
    </border>
    <border>
      <left style="medium">
        <color auto="1"/>
      </left>
      <right style="medium">
        <color auto="1"/>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style="thin">
        <color auto="1"/>
      </right>
      <top style="medium">
        <color auto="1"/>
      </top>
      <bottom style="medium">
        <color auto="1"/>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thin">
        <color auto="1"/>
      </right>
      <top style="thin">
        <color auto="1"/>
      </top>
      <bottom/>
    </border>
    <border>
      <left/>
      <right style="thin">
        <color auto="1"/>
      </right>
      <top style="thin">
        <color auto="1"/>
      </top>
      <bottom style="medium">
        <color auto="1"/>
      </bottom>
    </border>
    <border>
      <left style="thin">
        <color auto="1"/>
      </left>
      <right style="thin">
        <color auto="1"/>
      </right>
      <top style="medium">
        <color auto="1"/>
      </top>
      <bottom/>
    </border>
    <border>
      <left style="thin">
        <color auto="1"/>
      </left>
      <right style="medium">
        <color auto="1"/>
      </right>
      <top/>
      <bottom style="thin">
        <color auto="1"/>
      </bottom>
    </border>
    <border>
      <left style="medium">
        <color auto="1"/>
      </left>
      <right style="thin">
        <color auto="1"/>
      </right>
      <top/>
      <bottom style="thin">
        <color auto="1"/>
      </bottom>
    </border>
    <border>
      <left/>
      <right style="thin">
        <color auto="1"/>
      </right>
      <top/>
      <bottom style="thin">
        <color auto="1"/>
      </bottom>
    </border>
    <border>
      <left style="thin">
        <color auto="1"/>
      </left>
      <right style="thin">
        <color auto="1"/>
      </right>
      <top/>
      <bottom style="thin">
        <color auto="1"/>
      </bottom>
    </border>
    <border>
      <left/>
      <right/>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medium">
        <color auto="1"/>
      </top>
      <bottom style="thin">
        <color auto="1"/>
      </bottom>
    </border>
    <border>
      <left style="thin">
        <color auto="1"/>
      </left>
      <right/>
      <top style="thin">
        <color auto="1"/>
      </top>
      <bottom style="thin">
        <color auto="1"/>
      </bottom>
    </border>
    <border>
      <left style="thin">
        <color auto="1"/>
      </left>
      <right/>
      <top/>
      <bottom style="thin">
        <color auto="1"/>
      </bottom>
    </border>
    <border>
      <left style="thin">
        <color auto="1"/>
      </left>
      <right/>
      <top/>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thin">
        <color auto="1"/>
      </left>
      <right style="medium">
        <color auto="1"/>
      </right>
      <top style="thin">
        <color auto="1"/>
      </top>
      <bottom style="thin">
        <color auto="1"/>
      </bottom>
    </border>
    <border>
      <left style="medium">
        <color auto="1"/>
      </left>
      <right style="thin">
        <color auto="1"/>
      </right>
      <top/>
      <bottom style="medium">
        <color auto="1"/>
      </bottom>
    </border>
    <border>
      <left style="medium">
        <color auto="1"/>
      </left>
      <right style="medium">
        <color auto="1"/>
      </right>
      <top style="medium">
        <color auto="1"/>
      </top>
      <bottom style="thin">
        <color auto="1"/>
      </bottom>
    </border>
    <border>
      <left style="thin">
        <color auto="1"/>
      </left>
      <right style="thin">
        <color auto="1"/>
      </right>
      <top style="medium">
        <color auto="1"/>
      </top>
      <bottom style="medium">
        <color auto="1"/>
      </bottom>
    </border>
    <border>
      <left/>
      <right style="medium">
        <color auto="1"/>
      </right>
      <top style="medium">
        <color auto="1"/>
      </top>
      <bottom style="medium">
        <color auto="1"/>
      </bottom>
    </border>
    <border>
      <left/>
      <right style="thin">
        <color auto="1"/>
      </right>
      <top style="thin">
        <color auto="1"/>
      </top>
      <bottom style="thin">
        <color auto="1"/>
      </bottom>
    </border>
    <border>
      <left/>
      <right style="medium">
        <color auto="1"/>
      </right>
      <top/>
      <bottom/>
    </border>
    <border>
      <left/>
      <right style="medium">
        <color auto="1"/>
      </right>
      <top/>
      <bottom style="medium">
        <color auto="1"/>
      </bottom>
    </border>
    <border>
      <left/>
      <right/>
      <top/>
      <bottom style="medium">
        <color auto="1"/>
      </bottom>
    </border>
    <border>
      <left style="medium">
        <color auto="1"/>
      </left>
      <right style="medium">
        <color auto="1"/>
      </right>
      <top style="thin">
        <color auto="1"/>
      </top>
      <bottom style="medium">
        <color auto="1"/>
      </bottom>
    </border>
    <border>
      <left style="thin">
        <color auto="1"/>
      </left>
      <right style="thin">
        <color auto="1"/>
      </right>
      <top style="thin">
        <color auto="1"/>
      </top>
      <bottom/>
    </border>
    <border>
      <left style="medium">
        <color auto="1"/>
      </left>
      <right style="medium">
        <color auto="1"/>
      </right>
      <top/>
      <bottom style="thin">
        <color auto="1"/>
      </bottom>
    </border>
    <border>
      <left style="medium">
        <color auto="1"/>
      </left>
      <right/>
      <top/>
      <bottom/>
    </border>
    <border>
      <left style="medium">
        <color auto="1"/>
      </left>
      <right/>
      <top/>
      <bottom style="thin">
        <color auto="1"/>
      </bottom>
    </border>
    <border>
      <left/>
      <right/>
      <top style="thin">
        <color auto="1"/>
      </top>
      <bottom/>
    </border>
    <border>
      <left/>
      <right style="thin">
        <color auto="1"/>
      </right>
      <top style="thin">
        <color auto="1"/>
      </top>
      <bottom/>
    </border>
    <border>
      <left style="thin">
        <color rgb="FFD0D7E5"/>
      </left>
      <right style="thin">
        <color rgb="FFD0D7E5"/>
      </right>
      <top/>
      <bottom style="thin">
        <color rgb="FFD0D7E5"/>
      </bottom>
    </border>
    <border>
      <left/>
      <right/>
      <top style="thin">
        <color auto="1"/>
      </top>
      <bottom style="medium">
        <color auto="1"/>
      </bottom>
    </border>
    <border>
      <left style="medium">
        <color auto="1"/>
      </left>
      <right/>
      <top/>
      <bottom style="medium">
        <color auto="1"/>
      </bottom>
    </border>
    <border>
      <left style="thin">
        <color auto="1"/>
      </left>
      <right style="thin">
        <color auto="1"/>
      </right>
      <top/>
      <bottom/>
    </border>
    <border>
      <left style="medium">
        <color auto="1"/>
      </left>
      <right/>
      <top style="medium">
        <color auto="1"/>
      </top>
      <bottom style="medium">
        <color auto="1"/>
      </bottom>
    </border>
    <border>
      <left/>
      <right style="thin">
        <color auto="1"/>
      </right>
      <top style="medium">
        <color auto="1"/>
      </top>
      <bottom style="medium">
        <color auto="1"/>
      </bottom>
    </border>
    <border>
      <left style="medium">
        <color auto="1"/>
      </left>
      <right style="thin">
        <color auto="1"/>
      </right>
      <top/>
      <bottom/>
    </border>
    <border>
      <left/>
      <right style="thin">
        <color auto="1"/>
      </right>
      <top/>
      <bottom/>
    </border>
    <border>
      <left style="thin">
        <color auto="1"/>
      </left>
      <right/>
      <top style="thin">
        <color auto="1"/>
      </top>
      <bottom style="medium">
        <color auto="1"/>
      </bottom>
    </border>
    <border>
      <left style="thin">
        <color auto="1"/>
      </left>
      <right style="medium">
        <color auto="1"/>
      </right>
      <top/>
      <bottom/>
    </border>
    <border>
      <left/>
      <right/>
      <top style="thin">
        <color auto="1"/>
      </top>
      <bottom style="thin">
        <color auto="1"/>
      </bottom>
    </border>
    <border>
      <left/>
      <right/>
      <top style="medium">
        <color auto="1"/>
      </top>
      <bottom style="thin">
        <color auto="1"/>
      </bottom>
    </border>
    <border>
      <left/>
      <right style="medium">
        <color auto="1"/>
      </right>
      <top style="medium">
        <color auto="1"/>
      </top>
      <bottom/>
    </border>
    <border>
      <left style="thin">
        <color auto="1"/>
      </left>
      <right style="thin">
        <color auto="1"/>
      </right>
      <top/>
      <bottom style="medium">
        <color auto="1"/>
      </bottom>
    </border>
    <border>
      <left style="thin">
        <color auto="1"/>
      </left>
      <right style="medium">
        <color auto="1"/>
      </right>
      <top/>
      <bottom style="medium">
        <color auto="1"/>
      </bottom>
    </border>
    <border>
      <left style="medium">
        <color auto="1"/>
      </left>
      <right style="medium">
        <color auto="1"/>
      </right>
      <top/>
      <bottom style="medium">
        <color auto="1"/>
      </bottom>
    </border>
    <border>
      <left/>
      <right style="medium">
        <color auto="1"/>
      </right>
      <top/>
      <bottom style="thin">
        <color auto="1"/>
      </bottom>
    </border>
    <border>
      <left/>
      <right style="medium">
        <color auto="1"/>
      </right>
      <top style="thin">
        <color auto="1"/>
      </top>
      <bottom style="medium">
        <color auto="1"/>
      </bottom>
    </border>
    <border>
      <left style="medium">
        <color auto="1"/>
      </left>
      <right/>
      <top style="thin">
        <color auto="1"/>
      </top>
      <bottom style="medium">
        <color auto="1"/>
      </bottom>
    </border>
    <border>
      <left style="thin">
        <color auto="1"/>
      </left>
      <right style="medium">
        <color auto="1"/>
      </right>
      <top style="thin">
        <color auto="1"/>
      </top>
      <bottom/>
    </border>
    <border>
      <left style="thick">
        <color auto="1"/>
      </left>
      <right style="medium">
        <color auto="1"/>
      </right>
      <top style="medium">
        <color auto="1"/>
      </top>
      <bottom style="medium">
        <color auto="1"/>
      </bottom>
    </border>
    <border>
      <left/>
      <right style="medium">
        <color auto="1"/>
      </right>
      <top style="medium">
        <color auto="1"/>
      </top>
      <bottom style="thin">
        <color auto="1"/>
      </bottom>
    </border>
    <border>
      <left/>
      <right style="medium">
        <color auto="1"/>
      </right>
      <top style="thin">
        <color auto="1"/>
      </top>
      <bottom style="thin">
        <color auto="1"/>
      </bottom>
    </border>
    <border>
      <left style="medium">
        <color auto="1"/>
      </left>
      <right style="medium">
        <color auto="1"/>
      </right>
      <top style="thin">
        <color auto="1"/>
      </top>
      <bottom style="thin">
        <color auto="1"/>
      </bottom>
    </border>
    <border>
      <left style="thin">
        <color auto="1"/>
      </left>
      <right/>
      <top style="thin">
        <color auto="1"/>
      </top>
      <bottom/>
    </border>
    <border>
      <left style="medium">
        <color auto="1"/>
      </left>
      <right/>
      <top style="medium">
        <color auto="1"/>
      </top>
      <bottom style="thin">
        <color auto="1"/>
      </bottom>
    </border>
    <border>
      <left style="medium">
        <color auto="1"/>
      </left>
      <right style="thin">
        <color auto="1"/>
      </right>
      <top style="medium">
        <color auto="1"/>
      </top>
      <bottom/>
    </border>
    <border>
      <left style="medium">
        <color auto="1"/>
      </left>
      <right style="medium">
        <color auto="1"/>
      </right>
      <top style="medium">
        <color auto="1"/>
      </top>
      <bottom/>
    </border>
    <border>
      <left style="medium">
        <color auto="1"/>
      </left>
      <right/>
      <top style="thin">
        <color auto="1"/>
      </top>
      <bottom style="thin">
        <color auto="1"/>
      </bottom>
    </border>
    <border>
      <left/>
      <right/>
      <top style="thick">
        <color auto="1"/>
      </top>
      <bottom/>
    </border>
    <border>
      <left/>
      <right/>
      <top/>
      <bottom style="thick">
        <color auto="1"/>
      </bottom>
    </border>
    <border>
      <left style="medium">
        <color auto="1"/>
      </left>
      <right/>
      <top style="thin">
        <color auto="1"/>
      </top>
      <bottom/>
    </border>
    <border>
      <left style="thin">
        <color auto="1"/>
      </left>
      <right style="medium">
        <color auto="1"/>
      </right>
      <top style="medium">
        <color auto="1"/>
      </top>
      <bottom/>
    </border>
    <border>
      <left style="medium">
        <color auto="1"/>
      </left>
      <right/>
      <top style="medium">
        <color auto="1"/>
      </top>
      <bottom/>
    </border>
    <border>
      <left style="medium">
        <color auto="1"/>
      </left>
      <right style="medium">
        <color auto="1"/>
      </right>
      <top/>
      <bottom/>
    </border>
    <border>
      <left/>
      <right style="thin">
        <color auto="1"/>
      </right>
      <top style="medium">
        <color auto="1"/>
      </top>
      <bottom style="thin">
        <color auto="1"/>
      </bottom>
    </border>
    <border>
      <left/>
      <right style="thin">
        <color auto="1"/>
      </right>
      <top/>
      <bottom style="medium">
        <color auto="1"/>
      </bottom>
    </border>
    <border>
      <left style="thin">
        <color auto="1"/>
      </left>
      <right/>
      <top style="medium">
        <color auto="1"/>
      </top>
      <bottom style="thin">
        <color auto="1"/>
      </bottom>
    </border>
    <border>
      <left style="thin">
        <color auto="1"/>
      </left>
      <right/>
      <top/>
      <bottom style="medium">
        <color auto="1"/>
      </bottom>
    </border>
    <border>
      <left/>
      <right/>
      <top style="medium">
        <color auto="1"/>
      </top>
      <bottom style="medium">
        <color auto="1"/>
      </bottom>
    </border>
    <border>
      <left style="thin">
        <color auto="1"/>
      </left>
      <right/>
      <top style="medium">
        <color auto="1"/>
      </top>
      <bottom/>
    </border>
    <border>
      <left style="thin">
        <color auto="1"/>
      </left>
      <right/>
      <top style="medium">
        <color auto="1"/>
      </top>
      <bottom style="medium">
        <color auto="1"/>
      </bottom>
    </border>
    <border>
      <left/>
      <right style="medium">
        <color auto="1"/>
      </right>
      <top style="thin">
        <color auto="1"/>
      </top>
      <bottom/>
    </border>
    <border>
      <left style="medium">
        <color auto="1"/>
      </left>
      <right style="medium">
        <color auto="1"/>
      </right>
      <top style="thin">
        <color auto="1"/>
      </top>
      <bottom/>
    </border>
    <border>
      <left/>
      <right style="thin">
        <color auto="1"/>
      </right>
      <top style="medium">
        <color auto="1"/>
      </top>
      <bottom/>
    </border>
  </borders>
  <cellStyleXfs count="5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lignment/>
      <protection/>
    </xf>
    <xf numFmtId="164" fontId="3" fillId="0" borderId="0" applyFont="0" applyFill="0" applyBorder="0" applyAlignment="0" applyProtection="0"/>
    <xf numFmtId="0" fontId="3" fillId="0" borderId="0">
      <alignment/>
      <protection/>
    </xf>
    <xf numFmtId="164" fontId="3" fillId="0" borderId="0" applyFont="0" applyFill="0" applyBorder="0" applyAlignment="0" applyProtection="0"/>
    <xf numFmtId="0" fontId="3" fillId="0" borderId="0">
      <alignment/>
      <protection/>
    </xf>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alignment/>
      <protection/>
    </xf>
    <xf numFmtId="0" fontId="3" fillId="0" borderId="0">
      <alignment/>
      <protection/>
    </xf>
    <xf numFmtId="0" fontId="3" fillId="0" borderId="0">
      <alignment/>
      <protection/>
    </xf>
    <xf numFmtId="0" fontId="0" fillId="0" borderId="0">
      <alignment/>
      <protection/>
    </xf>
    <xf numFmtId="0" fontId="3" fillId="0" borderId="0">
      <alignment/>
      <protection/>
    </xf>
    <xf numFmtId="0" fontId="3" fillId="0" borderId="0">
      <alignment/>
      <protection/>
    </xf>
    <xf numFmtId="0" fontId="4" fillId="0" borderId="0">
      <alignment/>
      <protection/>
    </xf>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933">
    <xf numFmtId="0" fontId="0" fillId="0" borderId="0" xfId="0"/>
    <xf numFmtId="0" fontId="0" fillId="2" borderId="0" xfId="0" applyFill="1"/>
    <xf numFmtId="0" fontId="0" fillId="2" borderId="0" xfId="0" applyFill="1" applyAlignment="1">
      <alignment horizontal="center" vertical="center"/>
    </xf>
    <xf numFmtId="0" fontId="0" fillId="2" borderId="0" xfId="0" applyFill="1" applyAlignment="1">
      <alignment horizontal="justify"/>
    </xf>
    <xf numFmtId="0" fontId="6" fillId="2" borderId="0" xfId="0" applyFont="1" applyFill="1" applyAlignment="1">
      <alignment horizontal="left" vertical="top" wrapText="1"/>
    </xf>
    <xf numFmtId="0" fontId="2" fillId="2" borderId="0" xfId="0" applyFont="1" applyFill="1"/>
    <xf numFmtId="0" fontId="5" fillId="2" borderId="0" xfId="0" applyFont="1" applyFill="1"/>
    <xf numFmtId="0" fontId="5" fillId="2" borderId="0" xfId="0" applyFont="1" applyFill="1" applyAlignment="1">
      <alignment horizontal="center"/>
    </xf>
    <xf numFmtId="0" fontId="2" fillId="3" borderId="0" xfId="0" applyFont="1" applyFill="1"/>
    <xf numFmtId="0" fontId="0" fillId="3" borderId="0" xfId="0" applyFill="1"/>
    <xf numFmtId="0" fontId="8" fillId="3" borderId="0" xfId="0" applyFont="1" applyFill="1" applyAlignment="1">
      <alignment horizontal="left" vertical="center" indent="8"/>
    </xf>
    <xf numFmtId="0" fontId="10" fillId="2" borderId="0" xfId="0" applyFont="1" applyFill="1"/>
    <xf numFmtId="0" fontId="10" fillId="2" borderId="0" xfId="0" applyFont="1" applyFill="1" applyAlignment="1">
      <alignment horizontal="center" vertical="center"/>
    </xf>
    <xf numFmtId="0" fontId="11" fillId="2" borderId="0" xfId="0" applyFont="1" applyFill="1"/>
    <xf numFmtId="0" fontId="13" fillId="2" borderId="0" xfId="0" applyFont="1" applyFill="1" applyAlignment="1">
      <alignment vertical="top" wrapText="1"/>
    </xf>
    <xf numFmtId="0" fontId="18" fillId="2" borderId="0" xfId="0" applyFont="1" applyFill="1"/>
    <xf numFmtId="0" fontId="0" fillId="3" borderId="0" xfId="0" applyFill="1" applyAlignment="1">
      <alignment horizontal="center" vertical="center"/>
    </xf>
    <xf numFmtId="0" fontId="5" fillId="3" borderId="0" xfId="0" applyFont="1" applyFill="1"/>
    <xf numFmtId="0" fontId="5" fillId="3" borderId="0" xfId="0" applyFont="1" applyFill="1" applyAlignment="1">
      <alignment horizontal="center"/>
    </xf>
    <xf numFmtId="0" fontId="6" fillId="3" borderId="0" xfId="0" applyFont="1" applyFill="1" applyAlignment="1">
      <alignment horizontal="left" vertical="top" wrapText="1"/>
    </xf>
    <xf numFmtId="0" fontId="0" fillId="3" borderId="0" xfId="0" applyFill="1" applyAlignment="1">
      <alignment horizontal="justify"/>
    </xf>
    <xf numFmtId="0" fontId="22" fillId="4" borderId="1" xfId="0" applyFont="1" applyFill="1" applyBorder="1" applyAlignment="1" applyProtection="1">
      <alignment horizontal="center" vertical="center" wrapText="1"/>
      <protection locked="0"/>
    </xf>
    <xf numFmtId="0" fontId="25" fillId="3" borderId="0" xfId="0" applyFont="1" applyFill="1"/>
    <xf numFmtId="0" fontId="27" fillId="3" borderId="0" xfId="0" applyFont="1" applyFill="1" applyAlignment="1">
      <alignment horizontal="center"/>
    </xf>
    <xf numFmtId="0" fontId="28" fillId="3" borderId="0" xfId="0" applyFont="1" applyFill="1"/>
    <xf numFmtId="2" fontId="25" fillId="3" borderId="0" xfId="0" applyNumberFormat="1" applyFont="1" applyFill="1"/>
    <xf numFmtId="0" fontId="25" fillId="3" borderId="0" xfId="0" applyFont="1" applyFill="1" applyAlignment="1">
      <alignment horizontal="center" vertical="center" wrapText="1"/>
    </xf>
    <xf numFmtId="0" fontId="29" fillId="3" borderId="0" xfId="0" applyFont="1" applyFill="1"/>
    <xf numFmtId="0" fontId="25" fillId="3" borderId="0" xfId="0" applyFont="1" applyFill="1" applyAlignment="1">
      <alignment wrapText="1"/>
    </xf>
    <xf numFmtId="0" fontId="30" fillId="3" borderId="0" xfId="0" applyFont="1" applyFill="1" applyAlignment="1">
      <alignment horizontal="center" vertical="center" wrapText="1"/>
    </xf>
    <xf numFmtId="0" fontId="31" fillId="3" borderId="0" xfId="0" applyFont="1" applyFill="1"/>
    <xf numFmtId="0" fontId="15" fillId="3" borderId="0" xfId="0" applyFont="1" applyFill="1"/>
    <xf numFmtId="0" fontId="31" fillId="3" borderId="0" xfId="0" applyFont="1" applyFill="1" applyAlignment="1">
      <alignment horizontal="center" vertical="center" wrapText="1"/>
    </xf>
    <xf numFmtId="0" fontId="31" fillId="3" borderId="0" xfId="0" applyFont="1" applyFill="1" applyAlignment="1">
      <alignment wrapText="1"/>
    </xf>
    <xf numFmtId="0" fontId="31" fillId="3" borderId="2" xfId="0" applyFont="1" applyFill="1" applyBorder="1"/>
    <xf numFmtId="0" fontId="31" fillId="2" borderId="0" xfId="0" applyFont="1" applyFill="1"/>
    <xf numFmtId="0" fontId="31" fillId="2" borderId="0" xfId="0" applyFont="1" applyFill="1" applyAlignment="1">
      <alignment horizontal="center" vertical="center"/>
    </xf>
    <xf numFmtId="0" fontId="31" fillId="2" borderId="0" xfId="0" applyFont="1" applyFill="1" applyAlignment="1">
      <alignment wrapText="1"/>
    </xf>
    <xf numFmtId="0" fontId="31" fillId="2" borderId="0" xfId="0" applyFont="1" applyFill="1" applyAlignment="1">
      <alignment horizontal="center" vertical="center" wrapText="1"/>
    </xf>
    <xf numFmtId="0" fontId="35" fillId="2" borderId="0" xfId="0" applyFont="1" applyFill="1" applyAlignment="1">
      <alignment vertical="center" wrapText="1"/>
    </xf>
    <xf numFmtId="0" fontId="31" fillId="2" borderId="1" xfId="0" applyFont="1" applyFill="1" applyBorder="1"/>
    <xf numFmtId="0" fontId="35" fillId="2" borderId="0" xfId="0" applyFont="1" applyFill="1"/>
    <xf numFmtId="0" fontId="35" fillId="5" borderId="3" xfId="0" applyFont="1" applyFill="1" applyBorder="1" applyAlignment="1">
      <alignment horizontal="center" vertical="center" wrapText="1"/>
    </xf>
    <xf numFmtId="0" fontId="35" fillId="5" borderId="4"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2" borderId="10" xfId="0" applyFont="1" applyFill="1" applyBorder="1" applyAlignment="1">
      <alignment horizontal="center" vertical="center" wrapText="1"/>
    </xf>
    <xf numFmtId="0" fontId="31" fillId="0" borderId="11" xfId="0" applyFont="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0" borderId="13" xfId="0" applyFont="1" applyBorder="1" applyAlignment="1" applyProtection="1">
      <alignment horizontal="center" vertical="center" wrapText="1"/>
      <protection locked="0"/>
    </xf>
    <xf numFmtId="0" fontId="31" fillId="0" borderId="14" xfId="0" applyFont="1" applyBorder="1" applyAlignment="1" applyProtection="1">
      <alignment horizontal="center" vertical="center" wrapText="1"/>
      <protection locked="0"/>
    </xf>
    <xf numFmtId="2" fontId="31" fillId="2" borderId="14" xfId="0" applyNumberFormat="1" applyFont="1" applyFill="1" applyBorder="1" applyAlignment="1">
      <alignment horizontal="center" vertical="center" wrapText="1"/>
    </xf>
    <xf numFmtId="2" fontId="31" fillId="2" borderId="15" xfId="0" applyNumberFormat="1" applyFont="1" applyFill="1" applyBorder="1" applyAlignment="1">
      <alignment horizontal="center" vertical="center" wrapText="1"/>
    </xf>
    <xf numFmtId="0" fontId="31" fillId="0" borderId="16"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0" borderId="15" xfId="0" applyFont="1" applyBorder="1" applyAlignment="1" applyProtection="1">
      <alignment horizontal="center" vertical="center" wrapText="1"/>
      <protection locked="0"/>
    </xf>
    <xf numFmtId="2" fontId="35" fillId="2" borderId="0" xfId="0" applyNumberFormat="1" applyFont="1" applyFill="1" applyAlignment="1">
      <alignment horizontal="center" vertical="center" wrapText="1"/>
    </xf>
    <xf numFmtId="0" fontId="35" fillId="2" borderId="0" xfId="0" applyFont="1" applyFill="1" applyAlignment="1">
      <alignment horizontal="center" vertical="center" wrapText="1"/>
    </xf>
    <xf numFmtId="0" fontId="31" fillId="6" borderId="17" xfId="0" applyFont="1" applyFill="1" applyBorder="1"/>
    <xf numFmtId="0" fontId="31" fillId="6" borderId="1" xfId="0" applyFont="1" applyFill="1" applyBorder="1"/>
    <xf numFmtId="0" fontId="31" fillId="6" borderId="6" xfId="0" applyFont="1" applyFill="1" applyBorder="1"/>
    <xf numFmtId="0" fontId="31" fillId="6" borderId="18"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3" borderId="16" xfId="0" applyFont="1" applyFill="1" applyBorder="1"/>
    <xf numFmtId="0" fontId="38" fillId="3" borderId="16" xfId="0" applyFont="1" applyFill="1" applyBorder="1" applyAlignment="1">
      <alignment horizontal="center"/>
    </xf>
    <xf numFmtId="0" fontId="37" fillId="6" borderId="1" xfId="0" applyFont="1" applyFill="1" applyBorder="1" applyAlignment="1">
      <alignment horizontal="center"/>
    </xf>
    <xf numFmtId="0" fontId="35" fillId="6" borderId="1" xfId="0" applyFont="1" applyFill="1" applyBorder="1" applyAlignment="1">
      <alignment horizontal="center" vertical="center" wrapText="1"/>
    </xf>
    <xf numFmtId="0" fontId="31" fillId="6" borderId="1" xfId="0" applyFont="1" applyFill="1" applyBorder="1" applyAlignment="1">
      <alignment horizontal="center" vertical="center"/>
    </xf>
    <xf numFmtId="0" fontId="31" fillId="6" borderId="1" xfId="0" applyFont="1" applyFill="1" applyBorder="1" applyAlignment="1">
      <alignment wrapText="1"/>
    </xf>
    <xf numFmtId="0" fontId="31" fillId="6" borderId="1" xfId="0" applyFont="1" applyFill="1" applyBorder="1" applyAlignment="1">
      <alignment horizontal="left" vertical="center"/>
    </xf>
    <xf numFmtId="0" fontId="31" fillId="6" borderId="1" xfId="0" applyFont="1" applyFill="1" applyBorder="1" applyAlignment="1">
      <alignment vertical="center"/>
    </xf>
    <xf numFmtId="0" fontId="38" fillId="6" borderId="19" xfId="0" applyFont="1" applyFill="1" applyBorder="1"/>
    <xf numFmtId="0" fontId="38" fillId="3" borderId="20" xfId="0" applyFont="1" applyFill="1" applyBorder="1"/>
    <xf numFmtId="0" fontId="38" fillId="3" borderId="16" xfId="0" applyFont="1" applyFill="1" applyBorder="1"/>
    <xf numFmtId="0" fontId="31" fillId="6" borderId="0" xfId="0" applyFont="1" applyFill="1"/>
    <xf numFmtId="0" fontId="31" fillId="6" borderId="1" xfId="0" applyFont="1" applyFill="1" applyBorder="1" applyAlignment="1">
      <alignment horizontal="left" vertical="top"/>
    </xf>
    <xf numFmtId="0" fontId="38" fillId="3" borderId="0" xfId="0" applyFont="1" applyFill="1" applyAlignment="1">
      <alignment horizontal="center"/>
    </xf>
    <xf numFmtId="0" fontId="31" fillId="3" borderId="21" xfId="0" applyFont="1" applyFill="1" applyBorder="1"/>
    <xf numFmtId="0" fontId="15" fillId="6" borderId="1" xfId="0" applyFont="1" applyFill="1" applyBorder="1"/>
    <xf numFmtId="0" fontId="31" fillId="6" borderId="1" xfId="0" applyFont="1" applyFill="1" applyBorder="1" applyAlignment="1">
      <alignment horizontal="center"/>
    </xf>
    <xf numFmtId="0" fontId="32" fillId="3" borderId="0" xfId="0" applyFont="1" applyFill="1"/>
    <xf numFmtId="0" fontId="15" fillId="6" borderId="1" xfId="0" applyFont="1" applyFill="1" applyBorder="1" applyAlignment="1">
      <alignment wrapText="1"/>
    </xf>
    <xf numFmtId="2" fontId="15" fillId="6" borderId="1" xfId="0" applyNumberFormat="1" applyFont="1" applyFill="1" applyBorder="1" applyAlignment="1">
      <alignment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5" fillId="3" borderId="0" xfId="0" applyFont="1" applyFill="1"/>
    <xf numFmtId="0" fontId="31" fillId="3" borderId="0" xfId="0" applyFont="1" applyFill="1" applyAlignment="1">
      <alignment horizontal="center" vertical="center"/>
    </xf>
    <xf numFmtId="0" fontId="35" fillId="3" borderId="0" xfId="0" applyFont="1" applyFill="1" applyAlignment="1">
      <alignment vertical="center"/>
    </xf>
    <xf numFmtId="0" fontId="35" fillId="6" borderId="18" xfId="0" applyFont="1" applyFill="1" applyBorder="1" applyAlignment="1">
      <alignment horizontal="center" vertical="center" wrapText="1"/>
    </xf>
    <xf numFmtId="0" fontId="35" fillId="6" borderId="22" xfId="0" applyFont="1" applyFill="1" applyBorder="1" applyAlignment="1">
      <alignment horizontal="center" vertical="center" wrapText="1"/>
    </xf>
    <xf numFmtId="0" fontId="35" fillId="6" borderId="23" xfId="0" applyFont="1" applyFill="1" applyBorder="1" applyAlignment="1">
      <alignment horizontal="center" vertical="center" wrapText="1"/>
    </xf>
    <xf numFmtId="0" fontId="35" fillId="3" borderId="0" xfId="0" applyFont="1" applyFill="1" applyAlignment="1">
      <alignment vertical="center" wrapText="1"/>
    </xf>
    <xf numFmtId="0" fontId="31" fillId="7" borderId="1" xfId="0" applyFont="1" applyFill="1" applyBorder="1"/>
    <xf numFmtId="0" fontId="31" fillId="8" borderId="0" xfId="0" applyFont="1" applyFill="1"/>
    <xf numFmtId="0" fontId="35" fillId="6" borderId="17" xfId="0" applyFont="1" applyFill="1" applyBorder="1" applyAlignment="1">
      <alignment horizontal="center" vertical="center" wrapText="1"/>
    </xf>
    <xf numFmtId="0" fontId="31" fillId="0" borderId="24" xfId="0" applyFont="1" applyBorder="1" applyAlignment="1" applyProtection="1">
      <alignment horizontal="center" vertical="center" wrapText="1"/>
      <protection locked="0"/>
    </xf>
    <xf numFmtId="0" fontId="31" fillId="9" borderId="13" xfId="0" applyFont="1" applyFill="1" applyBorder="1" applyAlignment="1">
      <alignment horizontal="center" vertical="center" wrapText="1"/>
    </xf>
    <xf numFmtId="0" fontId="31" fillId="9" borderId="12" xfId="0" applyFont="1" applyFill="1" applyBorder="1" applyAlignment="1">
      <alignment horizontal="center" vertical="center" wrapText="1"/>
    </xf>
    <xf numFmtId="0" fontId="31" fillId="4" borderId="13" xfId="0" applyFont="1" applyFill="1" applyBorder="1" applyAlignment="1" applyProtection="1">
      <alignment horizontal="center" vertical="center" wrapText="1"/>
      <protection locked="0"/>
    </xf>
    <xf numFmtId="0" fontId="31" fillId="0" borderId="17" xfId="0" applyFont="1" applyBorder="1" applyAlignment="1" applyProtection="1">
      <alignment horizontal="center" vertical="center" wrapText="1"/>
      <protection locked="0"/>
    </xf>
    <xf numFmtId="0" fontId="31" fillId="9" borderId="1" xfId="0" applyFont="1" applyFill="1" applyBorder="1" applyAlignment="1">
      <alignment horizontal="center" vertical="center" wrapText="1"/>
    </xf>
    <xf numFmtId="0" fontId="31" fillId="4" borderId="24" xfId="0" applyFont="1" applyFill="1" applyBorder="1" applyAlignment="1" applyProtection="1">
      <alignment horizontal="center" vertical="center" wrapText="1"/>
      <protection locked="0"/>
    </xf>
    <xf numFmtId="0" fontId="31" fillId="4" borderId="17" xfId="0" applyFont="1" applyFill="1" applyBorder="1" applyAlignment="1" applyProtection="1">
      <alignment horizontal="center" vertical="center" wrapText="1"/>
      <protection locked="0"/>
    </xf>
    <xf numFmtId="0" fontId="31" fillId="4" borderId="16" xfId="0" applyFont="1" applyFill="1" applyBorder="1" applyAlignment="1" applyProtection="1">
      <alignment horizontal="center" vertical="center" wrapText="1"/>
      <protection locked="0"/>
    </xf>
    <xf numFmtId="0" fontId="31" fillId="3" borderId="1" xfId="0" applyFont="1" applyFill="1" applyBorder="1"/>
    <xf numFmtId="0" fontId="31" fillId="4" borderId="14" xfId="0" applyFont="1" applyFill="1" applyBorder="1" applyAlignment="1" applyProtection="1">
      <alignment horizontal="center" vertical="center" wrapText="1"/>
      <protection locked="0"/>
    </xf>
    <xf numFmtId="0" fontId="35" fillId="6" borderId="6" xfId="0" applyFont="1" applyFill="1" applyBorder="1" applyAlignment="1">
      <alignment horizontal="center" vertical="center" wrapText="1"/>
    </xf>
    <xf numFmtId="0" fontId="31" fillId="4" borderId="8" xfId="0" applyFont="1" applyFill="1" applyBorder="1" applyAlignment="1" applyProtection="1">
      <alignment horizontal="center" vertical="center" wrapText="1"/>
      <protection locked="0"/>
    </xf>
    <xf numFmtId="0" fontId="31" fillId="4" borderId="6" xfId="0" applyFont="1" applyFill="1" applyBorder="1" applyAlignment="1" applyProtection="1">
      <alignment horizontal="center" vertical="center" wrapText="1"/>
      <protection locked="0"/>
    </xf>
    <xf numFmtId="0" fontId="35" fillId="6" borderId="25" xfId="0" applyFont="1" applyFill="1" applyBorder="1" applyAlignment="1">
      <alignment horizontal="center" vertical="center" wrapText="1"/>
    </xf>
    <xf numFmtId="0" fontId="35" fillId="3" borderId="0" xfId="0" applyFont="1" applyFill="1" applyAlignment="1">
      <alignment horizontal="center" vertical="center" wrapText="1"/>
    </xf>
    <xf numFmtId="0" fontId="35" fillId="6" borderId="26" xfId="0" applyFont="1" applyFill="1" applyBorder="1" applyAlignment="1">
      <alignment horizontal="center" vertical="center" wrapText="1"/>
    </xf>
    <xf numFmtId="0" fontId="31" fillId="4" borderId="12" xfId="0" applyFont="1" applyFill="1" applyBorder="1" applyAlignment="1" applyProtection="1">
      <alignment horizontal="center" vertical="center" wrapText="1"/>
      <protection locked="0"/>
    </xf>
    <xf numFmtId="0" fontId="35" fillId="6" borderId="5" xfId="0" applyFont="1" applyFill="1" applyBorder="1" applyAlignment="1">
      <alignment horizontal="center" vertical="center" wrapText="1"/>
    </xf>
    <xf numFmtId="0" fontId="14" fillId="6" borderId="16" xfId="0" applyFont="1" applyFill="1" applyBorder="1" applyAlignment="1">
      <alignment vertical="center" wrapText="1"/>
    </xf>
    <xf numFmtId="0" fontId="31" fillId="4" borderId="0" xfId="0" applyFont="1" applyFill="1"/>
    <xf numFmtId="0" fontId="35" fillId="6" borderId="3" xfId="0" applyFont="1" applyFill="1" applyBorder="1"/>
    <xf numFmtId="0" fontId="35" fillId="6" borderId="4" xfId="0" applyFont="1" applyFill="1" applyBorder="1" applyAlignment="1">
      <alignment horizontal="center" vertical="center" wrapText="1"/>
    </xf>
    <xf numFmtId="0" fontId="35" fillId="6" borderId="27" xfId="0" applyFont="1" applyFill="1" applyBorder="1" applyAlignment="1">
      <alignment horizontal="center" vertical="center" wrapText="1"/>
    </xf>
    <xf numFmtId="0" fontId="35" fillId="6" borderId="28" xfId="0" applyFont="1" applyFill="1" applyBorder="1" applyAlignment="1">
      <alignment horizontal="center" vertical="center" wrapText="1"/>
    </xf>
    <xf numFmtId="0" fontId="14" fillId="6" borderId="29" xfId="0" applyFont="1" applyFill="1" applyBorder="1" applyAlignment="1">
      <alignment vertical="center" wrapText="1"/>
    </xf>
    <xf numFmtId="0" fontId="31" fillId="3" borderId="0" xfId="0" applyFont="1" applyFill="1" applyAlignment="1">
      <alignment horizontal="left" vertical="top" wrapText="1"/>
    </xf>
    <xf numFmtId="0" fontId="31" fillId="6" borderId="3" xfId="0" applyFont="1" applyFill="1" applyBorder="1" applyAlignment="1">
      <alignment horizontal="left" vertical="top" wrapText="1"/>
    </xf>
    <xf numFmtId="0" fontId="31" fillId="6" borderId="13" xfId="0" applyFont="1" applyFill="1" applyBorder="1" applyAlignment="1">
      <alignment vertical="center"/>
    </xf>
    <xf numFmtId="0" fontId="31" fillId="9" borderId="6" xfId="0" applyFont="1" applyFill="1" applyBorder="1"/>
    <xf numFmtId="0" fontId="31" fillId="9" borderId="17" xfId="0" applyFont="1" applyFill="1" applyBorder="1" applyAlignment="1">
      <alignment horizontal="center" vertical="center" wrapText="1"/>
    </xf>
    <xf numFmtId="0" fontId="31" fillId="9" borderId="1" xfId="0" applyFont="1" applyFill="1" applyBorder="1" applyAlignment="1">
      <alignment horizontal="center" vertical="center"/>
    </xf>
    <xf numFmtId="0" fontId="31" fillId="9" borderId="6" xfId="0" applyFont="1" applyFill="1" applyBorder="1" applyAlignment="1">
      <alignment horizontal="center" vertical="center" wrapText="1"/>
    </xf>
    <xf numFmtId="0" fontId="31" fillId="3" borderId="30" xfId="0" applyFont="1" applyFill="1" applyBorder="1"/>
    <xf numFmtId="0" fontId="20" fillId="3" borderId="0" xfId="0" applyFont="1" applyFill="1"/>
    <xf numFmtId="0" fontId="31" fillId="4" borderId="15" xfId="0" applyFont="1" applyFill="1" applyBorder="1" applyAlignment="1" applyProtection="1">
      <alignment horizontal="center" vertical="center" wrapText="1"/>
      <protection locked="0"/>
    </xf>
    <xf numFmtId="2" fontId="31" fillId="4" borderId="16" xfId="0" applyNumberFormat="1" applyFont="1" applyFill="1" applyBorder="1" applyAlignment="1" applyProtection="1">
      <alignment horizontal="center" vertical="center" wrapText="1"/>
      <protection locked="0"/>
    </xf>
    <xf numFmtId="0" fontId="31" fillId="3" borderId="31" xfId="0" applyFont="1" applyFill="1" applyBorder="1"/>
    <xf numFmtId="0" fontId="31" fillId="4" borderId="29" xfId="0" applyFont="1" applyFill="1" applyBorder="1" applyAlignment="1" applyProtection="1">
      <alignment horizontal="center" vertical="center" wrapText="1"/>
      <protection locked="0"/>
    </xf>
    <xf numFmtId="0" fontId="35" fillId="3" borderId="32" xfId="0" applyFont="1" applyFill="1" applyBorder="1"/>
    <xf numFmtId="0" fontId="31" fillId="4" borderId="1" xfId="0" applyFont="1" applyFill="1" applyBorder="1" applyAlignment="1" applyProtection="1">
      <alignment horizontal="center" vertical="center" wrapText="1"/>
      <protection locked="0"/>
    </xf>
    <xf numFmtId="0" fontId="35" fillId="0" borderId="16" xfId="0" applyFont="1" applyBorder="1" applyAlignment="1" applyProtection="1">
      <alignment horizontal="center" vertical="center" wrapText="1"/>
      <protection locked="0"/>
    </xf>
    <xf numFmtId="0" fontId="35" fillId="4" borderId="16" xfId="0" applyFont="1" applyFill="1" applyBorder="1" applyAlignment="1" applyProtection="1">
      <alignment horizontal="center" vertical="center" wrapText="1"/>
      <protection locked="0"/>
    </xf>
    <xf numFmtId="0" fontId="31" fillId="4" borderId="7" xfId="0" applyFont="1" applyFill="1" applyBorder="1" applyAlignment="1" applyProtection="1">
      <alignment horizontal="center" vertical="center" wrapText="1"/>
      <protection locked="0"/>
    </xf>
    <xf numFmtId="0" fontId="35" fillId="6" borderId="33" xfId="0" applyFont="1" applyFill="1" applyBorder="1" applyAlignment="1">
      <alignment horizontal="center" vertical="center" wrapText="1"/>
    </xf>
    <xf numFmtId="0" fontId="31" fillId="4" borderId="9" xfId="0" applyFont="1" applyFill="1" applyBorder="1" applyAlignment="1" applyProtection="1">
      <alignment horizontal="center" vertical="center" wrapText="1"/>
      <protection locked="0"/>
    </xf>
    <xf numFmtId="0" fontId="31" fillId="4" borderId="34" xfId="0" applyFont="1" applyFill="1" applyBorder="1" applyAlignment="1" applyProtection="1">
      <alignment horizontal="center" vertical="center" wrapText="1"/>
      <protection locked="0"/>
    </xf>
    <xf numFmtId="0" fontId="26" fillId="3" borderId="0" xfId="0" applyFont="1" applyFill="1"/>
    <xf numFmtId="0" fontId="31" fillId="3" borderId="1" xfId="0" applyFont="1" applyFill="1" applyBorder="1" applyAlignment="1">
      <alignment horizontal="center" vertical="center"/>
    </xf>
    <xf numFmtId="0" fontId="35" fillId="3" borderId="2" xfId="0" applyFont="1" applyFill="1" applyBorder="1" applyAlignment="1">
      <alignment horizontal="center" vertical="center"/>
    </xf>
    <xf numFmtId="0" fontId="31" fillId="3" borderId="35" xfId="0" applyFont="1" applyFill="1" applyBorder="1" applyAlignment="1">
      <alignment horizontal="center" vertical="center" wrapText="1"/>
    </xf>
    <xf numFmtId="0" fontId="35" fillId="4" borderId="17" xfId="0" applyFont="1" applyFill="1" applyBorder="1" applyAlignment="1" applyProtection="1">
      <alignment horizontal="center" vertical="center" wrapText="1"/>
      <protection locked="0"/>
    </xf>
    <xf numFmtId="0" fontId="35" fillId="4" borderId="24" xfId="0" applyFont="1" applyFill="1" applyBorder="1" applyAlignment="1" applyProtection="1">
      <alignment horizontal="center" vertical="center" wrapText="1"/>
      <protection locked="0"/>
    </xf>
    <xf numFmtId="0" fontId="31" fillId="3" borderId="13" xfId="0" applyFont="1" applyFill="1" applyBorder="1" applyAlignment="1">
      <alignment horizontal="center" vertical="center" wrapText="1"/>
    </xf>
    <xf numFmtId="0" fontId="31" fillId="2" borderId="36" xfId="0" applyFont="1" applyFill="1" applyBorder="1" applyAlignment="1">
      <alignment horizontal="center" vertical="center" wrapText="1"/>
    </xf>
    <xf numFmtId="0" fontId="20" fillId="2" borderId="0" xfId="0" applyFont="1" applyFill="1"/>
    <xf numFmtId="0" fontId="31" fillId="0" borderId="37" xfId="0" applyFont="1" applyBorder="1" applyAlignment="1">
      <alignment horizontal="center" vertical="center" wrapText="1"/>
    </xf>
    <xf numFmtId="0" fontId="35" fillId="0" borderId="17" xfId="0" applyFont="1" applyBorder="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31" fillId="3" borderId="36" xfId="0" applyFont="1" applyFill="1" applyBorder="1"/>
    <xf numFmtId="0" fontId="31" fillId="4" borderId="1" xfId="0" applyFont="1" applyFill="1" applyBorder="1" applyAlignment="1">
      <alignment horizontal="center" vertical="top" wrapText="1"/>
    </xf>
    <xf numFmtId="0" fontId="15" fillId="2" borderId="0" xfId="0" applyFont="1" applyFill="1"/>
    <xf numFmtId="0" fontId="31" fillId="3" borderId="31" xfId="0" applyFont="1" applyFill="1" applyBorder="1" applyAlignment="1">
      <alignment horizontal="center" vertical="center" wrapText="1"/>
    </xf>
    <xf numFmtId="2" fontId="35" fillId="3" borderId="0" xfId="0" applyNumberFormat="1" applyFont="1" applyFill="1" applyAlignment="1">
      <alignment horizontal="center" vertical="center"/>
    </xf>
    <xf numFmtId="0" fontId="25" fillId="2" borderId="0" xfId="0" applyFont="1" applyFill="1"/>
    <xf numFmtId="0" fontId="25" fillId="2" borderId="0" xfId="0" applyFont="1" applyFill="1" applyAlignment="1">
      <alignment horizontal="center" vertical="center"/>
    </xf>
    <xf numFmtId="0" fontId="27" fillId="2" borderId="0" xfId="0" applyFont="1" applyFill="1"/>
    <xf numFmtId="0" fontId="27" fillId="2" borderId="0" xfId="0" applyFont="1" applyFill="1" applyAlignment="1">
      <alignment horizontal="center"/>
    </xf>
    <xf numFmtId="0" fontId="30" fillId="2" borderId="0" xfId="0" applyFont="1" applyFill="1" applyAlignment="1">
      <alignment horizontal="left" vertical="top" wrapText="1"/>
    </xf>
    <xf numFmtId="0" fontId="25" fillId="2" borderId="0" xfId="0" applyFont="1" applyFill="1" applyAlignment="1">
      <alignment horizontal="justify"/>
    </xf>
    <xf numFmtId="0" fontId="35" fillId="3" borderId="0" xfId="0" applyFont="1" applyFill="1" applyAlignment="1">
      <alignment wrapText="1"/>
    </xf>
    <xf numFmtId="0" fontId="31" fillId="6" borderId="6" xfId="0" applyFont="1" applyFill="1" applyBorder="1" applyAlignment="1">
      <alignment horizontal="center" vertical="center"/>
    </xf>
    <xf numFmtId="0" fontId="31" fillId="6" borderId="17" xfId="0" applyFont="1" applyFill="1" applyBorder="1" applyAlignment="1">
      <alignment horizontal="center" vertical="center"/>
    </xf>
    <xf numFmtId="0" fontId="35" fillId="4" borderId="15" xfId="0" applyFont="1" applyFill="1" applyBorder="1" applyAlignment="1" applyProtection="1">
      <alignment horizontal="center" vertical="center" wrapText="1"/>
      <protection locked="0"/>
    </xf>
    <xf numFmtId="0" fontId="35" fillId="4" borderId="7" xfId="0" applyFont="1" applyFill="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locked="0"/>
    </xf>
    <xf numFmtId="0" fontId="17" fillId="3" borderId="0" xfId="0" applyFont="1" applyFill="1" applyAlignment="1">
      <alignment vertical="center" wrapText="1"/>
    </xf>
    <xf numFmtId="0" fontId="22" fillId="3" borderId="0" xfId="0" applyFont="1" applyFill="1"/>
    <xf numFmtId="0" fontId="21" fillId="3" borderId="0" xfId="0" applyFont="1" applyFill="1"/>
    <xf numFmtId="0" fontId="31" fillId="3" borderId="3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21" fillId="6" borderId="1" xfId="0" applyFont="1" applyFill="1" applyBorder="1"/>
    <xf numFmtId="0" fontId="35" fillId="6" borderId="1" xfId="0" applyFont="1" applyFill="1" applyBorder="1" applyAlignment="1">
      <alignment horizontal="center" vertical="center"/>
    </xf>
    <xf numFmtId="0" fontId="32" fillId="3" borderId="38" xfId="0" applyFont="1" applyFill="1" applyBorder="1"/>
    <xf numFmtId="0" fontId="32" fillId="6" borderId="19" xfId="0" applyFont="1" applyFill="1" applyBorder="1"/>
    <xf numFmtId="0" fontId="35" fillId="6" borderId="1" xfId="0" applyFont="1" applyFill="1" applyBorder="1"/>
    <xf numFmtId="0" fontId="31" fillId="6" borderId="0" xfId="0" applyFont="1" applyFill="1" applyAlignment="1">
      <alignment wrapText="1"/>
    </xf>
    <xf numFmtId="0" fontId="35" fillId="6" borderId="0" xfId="0" applyFont="1" applyFill="1" applyAlignment="1">
      <alignment wrapText="1"/>
    </xf>
    <xf numFmtId="0" fontId="17" fillId="6" borderId="16" xfId="0" applyFont="1" applyFill="1" applyBorder="1"/>
    <xf numFmtId="17" fontId="31" fillId="6" borderId="1" xfId="0" applyNumberFormat="1" applyFont="1" applyFill="1" applyBorder="1" applyAlignment="1">
      <alignment horizontal="center" vertical="center" wrapText="1"/>
    </xf>
    <xf numFmtId="0" fontId="31" fillId="6" borderId="5" xfId="0" applyFont="1" applyFill="1" applyBorder="1"/>
    <xf numFmtId="0" fontId="31" fillId="6" borderId="4" xfId="0" applyFont="1" applyFill="1" applyBorder="1"/>
    <xf numFmtId="0" fontId="31" fillId="6" borderId="13" xfId="0" applyFont="1" applyFill="1" applyBorder="1"/>
    <xf numFmtId="0" fontId="31" fillId="9" borderId="12" xfId="0" applyFont="1" applyFill="1" applyBorder="1"/>
    <xf numFmtId="0" fontId="31" fillId="6" borderId="13" xfId="0" applyFont="1" applyFill="1" applyBorder="1" applyAlignment="1">
      <alignment horizontal="center" vertical="center" wrapText="1"/>
    </xf>
    <xf numFmtId="0" fontId="31" fillId="0" borderId="24" xfId="0" applyFont="1" applyBorder="1"/>
    <xf numFmtId="0" fontId="31" fillId="0" borderId="8" xfId="0" applyFont="1" applyBorder="1"/>
    <xf numFmtId="0" fontId="35" fillId="3" borderId="1" xfId="0" applyFont="1" applyFill="1" applyBorder="1" applyAlignment="1">
      <alignment horizontal="center" vertical="center"/>
    </xf>
    <xf numFmtId="0" fontId="32" fillId="3" borderId="39" xfId="0" applyFont="1" applyFill="1" applyBorder="1"/>
    <xf numFmtId="0" fontId="36" fillId="3" borderId="0" xfId="29" applyFont="1" applyFill="1" applyAlignment="1">
      <alignment vertical="center" wrapText="1"/>
      <protection/>
    </xf>
    <xf numFmtId="0" fontId="36" fillId="3" borderId="40" xfId="29" applyFont="1" applyFill="1" applyBorder="1" applyAlignment="1">
      <alignment vertical="center" wrapText="1"/>
      <protection/>
    </xf>
    <xf numFmtId="0" fontId="40" fillId="6" borderId="1" xfId="0" applyFont="1" applyFill="1" applyBorder="1" applyAlignment="1">
      <alignment vertical="center" wrapText="1"/>
    </xf>
    <xf numFmtId="0" fontId="21" fillId="6" borderId="29" xfId="0" applyFont="1" applyFill="1" applyBorder="1"/>
    <xf numFmtId="0" fontId="35" fillId="4" borderId="41" xfId="0" applyFont="1" applyFill="1" applyBorder="1" applyAlignment="1" applyProtection="1">
      <alignment horizontal="center" vertical="center" wrapText="1"/>
      <protection locked="0"/>
    </xf>
    <xf numFmtId="2" fontId="31" fillId="3" borderId="0" xfId="0" applyNumberFormat="1" applyFont="1" applyFill="1" applyAlignment="1">
      <alignment vertical="center"/>
    </xf>
    <xf numFmtId="0" fontId="31" fillId="0" borderId="6" xfId="0"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xf>
    <xf numFmtId="0" fontId="31" fillId="0" borderId="8" xfId="0" applyFont="1" applyBorder="1" applyAlignment="1" applyProtection="1">
      <alignment horizontal="center" vertical="center" wrapText="1"/>
      <protection locked="0"/>
    </xf>
    <xf numFmtId="0" fontId="35" fillId="3" borderId="42" xfId="0" applyFont="1" applyFill="1" applyBorder="1" applyAlignment="1">
      <alignment horizontal="center" vertical="center" wrapText="1"/>
    </xf>
    <xf numFmtId="0" fontId="31" fillId="6" borderId="1" xfId="0" applyFont="1" applyFill="1" applyBorder="1" applyAlignment="1">
      <alignment horizontal="center" vertical="top"/>
    </xf>
    <xf numFmtId="0" fontId="31" fillId="6" borderId="1" xfId="0" applyFont="1" applyFill="1" applyBorder="1" applyAlignment="1">
      <alignment vertical="top"/>
    </xf>
    <xf numFmtId="0" fontId="35" fillId="2" borderId="32" xfId="0" applyFont="1" applyFill="1" applyBorder="1" applyAlignment="1">
      <alignment horizontal="center" vertical="center" wrapText="1"/>
    </xf>
    <xf numFmtId="0" fontId="31" fillId="0" borderId="34" xfId="0" applyFont="1" applyBorder="1" applyAlignment="1" applyProtection="1">
      <alignment horizontal="center" vertical="center" wrapText="1"/>
      <protection locked="0"/>
    </xf>
    <xf numFmtId="0" fontId="31" fillId="6" borderId="43" xfId="0" applyFont="1" applyFill="1" applyBorder="1" applyAlignment="1">
      <alignment horizontal="center"/>
    </xf>
    <xf numFmtId="0" fontId="31" fillId="6" borderId="6" xfId="0" applyFont="1" applyFill="1" applyBorder="1" applyAlignment="1">
      <alignment vertical="center" wrapText="1"/>
    </xf>
    <xf numFmtId="0" fontId="31" fillId="5" borderId="13" xfId="0" applyFont="1" applyFill="1" applyBorder="1" applyAlignment="1">
      <alignment horizontal="center" vertical="center"/>
    </xf>
    <xf numFmtId="0" fontId="31" fillId="5" borderId="17" xfId="0" applyFont="1" applyFill="1" applyBorder="1" applyAlignment="1">
      <alignment horizontal="center" vertical="center"/>
    </xf>
    <xf numFmtId="0" fontId="31" fillId="5" borderId="1" xfId="0" applyFont="1" applyFill="1" applyBorder="1" applyAlignment="1">
      <alignment horizontal="center" vertical="center"/>
    </xf>
    <xf numFmtId="0" fontId="31" fillId="5" borderId="6" xfId="0" applyFont="1" applyFill="1" applyBorder="1" applyAlignment="1">
      <alignment horizontal="center" vertical="center"/>
    </xf>
    <xf numFmtId="0" fontId="31" fillId="5" borderId="7" xfId="0" applyFont="1" applyFill="1" applyBorder="1" applyAlignment="1">
      <alignment horizontal="center" vertical="center"/>
    </xf>
    <xf numFmtId="0" fontId="31" fillId="5" borderId="18" xfId="0" applyFont="1" applyFill="1" applyBorder="1" applyAlignment="1">
      <alignment horizontal="center" vertical="center"/>
    </xf>
    <xf numFmtId="0" fontId="31" fillId="5" borderId="22" xfId="0" applyFont="1" applyFill="1" applyBorder="1" applyAlignment="1">
      <alignment horizontal="center" vertical="center"/>
    </xf>
    <xf numFmtId="0" fontId="31" fillId="5" borderId="5" xfId="0" applyFont="1" applyFill="1" applyBorder="1" applyAlignment="1">
      <alignment horizontal="center" vertical="center"/>
    </xf>
    <xf numFmtId="0" fontId="31" fillId="5" borderId="27" xfId="0" applyFont="1" applyFill="1" applyBorder="1" applyAlignment="1">
      <alignment horizontal="center" vertical="center"/>
    </xf>
    <xf numFmtId="0" fontId="38" fillId="6" borderId="1" xfId="0" applyFont="1" applyFill="1" applyBorder="1" applyAlignment="1">
      <alignment horizontal="center"/>
    </xf>
    <xf numFmtId="0" fontId="35" fillId="5" borderId="4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5" borderId="45" xfId="0" applyFont="1" applyFill="1" applyBorder="1" applyAlignment="1">
      <alignment horizontal="center" vertical="center" wrapText="1"/>
    </xf>
    <xf numFmtId="0" fontId="31" fillId="0" borderId="46" xfId="0" applyFont="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4" borderId="15" xfId="0" applyFont="1" applyFill="1" applyBorder="1" applyAlignment="1">
      <alignment horizontal="center" vertical="top"/>
    </xf>
    <xf numFmtId="0" fontId="31" fillId="10" borderId="15" xfId="0" applyFont="1" applyFill="1" applyBorder="1" applyAlignment="1">
      <alignment horizontal="center" vertical="top" wrapText="1"/>
    </xf>
    <xf numFmtId="0" fontId="31" fillId="2" borderId="16" xfId="0" applyFont="1" applyFill="1" applyBorder="1"/>
    <xf numFmtId="0" fontId="31" fillId="4" borderId="19" xfId="0" applyFont="1" applyFill="1" applyBorder="1" applyAlignment="1" applyProtection="1">
      <alignment horizontal="center" vertical="center" wrapText="1"/>
      <protection locked="0"/>
    </xf>
    <xf numFmtId="0" fontId="31" fillId="4" borderId="48" xfId="0" applyFont="1" applyFill="1" applyBorder="1" applyAlignment="1" applyProtection="1">
      <alignment horizontal="center" vertical="center" wrapText="1"/>
      <protection locked="0"/>
    </xf>
    <xf numFmtId="0" fontId="35" fillId="2" borderId="0" xfId="0" applyFont="1" applyFill="1" applyAlignment="1">
      <alignment wrapText="1"/>
    </xf>
    <xf numFmtId="0" fontId="35" fillId="5" borderId="49" xfId="0" applyFont="1" applyFill="1" applyBorder="1" applyAlignment="1">
      <alignment horizontal="center" vertical="center" wrapText="1"/>
    </xf>
    <xf numFmtId="0" fontId="31" fillId="10" borderId="50" xfId="0" applyFont="1" applyFill="1" applyBorder="1" applyAlignment="1">
      <alignment horizontal="center" vertical="top" wrapText="1"/>
    </xf>
    <xf numFmtId="0" fontId="35" fillId="5" borderId="51" xfId="0" applyFont="1" applyFill="1" applyBorder="1"/>
    <xf numFmtId="0" fontId="14" fillId="2" borderId="0" xfId="0" applyFont="1" applyFill="1"/>
    <xf numFmtId="0" fontId="41" fillId="3" borderId="0" xfId="0" applyFont="1" applyFill="1" applyAlignment="1">
      <alignment vertical="center" wrapText="1"/>
    </xf>
    <xf numFmtId="0" fontId="14" fillId="3" borderId="0" xfId="0" applyFont="1" applyFill="1" applyAlignment="1">
      <alignment vertical="center" wrapText="1"/>
    </xf>
    <xf numFmtId="0" fontId="31" fillId="4" borderId="46" xfId="0" applyFont="1" applyFill="1" applyBorder="1" applyAlignment="1" applyProtection="1">
      <alignment horizontal="center" vertical="center" wrapText="1"/>
      <protection locked="0"/>
    </xf>
    <xf numFmtId="0" fontId="31" fillId="4" borderId="47" xfId="0" applyFont="1" applyFill="1" applyBorder="1" applyAlignment="1" applyProtection="1">
      <alignment horizontal="center" vertical="center" wrapText="1"/>
      <protection locked="0"/>
    </xf>
    <xf numFmtId="0" fontId="31" fillId="4" borderId="37" xfId="0" applyFont="1" applyFill="1" applyBorder="1" applyAlignment="1" applyProtection="1">
      <alignment horizontal="center" vertical="center" wrapText="1"/>
      <protection locked="0"/>
    </xf>
    <xf numFmtId="0" fontId="31" fillId="0" borderId="37" xfId="0" applyFont="1" applyBorder="1" applyAlignment="1" applyProtection="1">
      <alignment horizontal="center" vertical="center" wrapText="1"/>
      <protection locked="0"/>
    </xf>
    <xf numFmtId="0" fontId="35" fillId="3" borderId="2" xfId="0" applyFont="1" applyFill="1" applyBorder="1"/>
    <xf numFmtId="0" fontId="35" fillId="3" borderId="2" xfId="0" applyFont="1" applyFill="1" applyBorder="1" applyAlignment="1">
      <alignment horizontal="center" wrapText="1"/>
    </xf>
    <xf numFmtId="0" fontId="31" fillId="2" borderId="2" xfId="0" applyFont="1" applyFill="1" applyBorder="1"/>
    <xf numFmtId="0" fontId="31" fillId="0" borderId="9" xfId="0" applyFont="1" applyBorder="1" applyAlignment="1" applyProtection="1">
      <alignment horizontal="center" vertical="center" wrapText="1"/>
      <protection locked="0"/>
    </xf>
    <xf numFmtId="0" fontId="35" fillId="3" borderId="2" xfId="0" applyFont="1" applyFill="1" applyBorder="1" applyAlignment="1">
      <alignment wrapText="1"/>
    </xf>
    <xf numFmtId="0" fontId="35" fillId="3" borderId="52" xfId="0" applyFont="1" applyFill="1" applyBorder="1" applyAlignment="1">
      <alignment horizontal="center" vertical="center" wrapText="1"/>
    </xf>
    <xf numFmtId="0" fontId="26" fillId="3" borderId="0" xfId="0" applyFont="1" applyFill="1" applyAlignment="1">
      <alignment vertical="center"/>
    </xf>
    <xf numFmtId="0" fontId="14" fillId="2" borderId="0" xfId="0" applyFont="1" applyFill="1" applyAlignment="1">
      <alignment vertical="center" wrapText="1"/>
    </xf>
    <xf numFmtId="0" fontId="14" fillId="3" borderId="0" xfId="0" applyFont="1" applyFill="1" applyAlignment="1">
      <alignment wrapText="1"/>
    </xf>
    <xf numFmtId="0" fontId="31" fillId="3" borderId="42" xfId="0" applyFont="1" applyFill="1" applyBorder="1"/>
    <xf numFmtId="0" fontId="0" fillId="3" borderId="0" xfId="0" applyFill="1" applyAlignment="1">
      <alignment vertical="center"/>
    </xf>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2" fontId="14" fillId="3" borderId="0" xfId="0" applyNumberFormat="1" applyFont="1" applyFill="1" applyAlignment="1">
      <alignment horizontal="center" vertical="center" wrapText="1"/>
    </xf>
    <xf numFmtId="0" fontId="31" fillId="0" borderId="15" xfId="0" applyFont="1" applyBorder="1" applyAlignment="1" applyProtection="1">
      <alignment horizontal="center" vertical="center"/>
      <protection locked="0"/>
    </xf>
    <xf numFmtId="0" fontId="31" fillId="4" borderId="15" xfId="0" applyFont="1" applyFill="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1" fillId="4" borderId="1" xfId="0" applyFont="1" applyFill="1" applyBorder="1" applyAlignment="1" applyProtection="1">
      <alignment horizontal="center" vertical="center"/>
      <protection locked="0"/>
    </xf>
    <xf numFmtId="0" fontId="31" fillId="4" borderId="7" xfId="0" applyFont="1" applyFill="1" applyBorder="1" applyAlignment="1" applyProtection="1">
      <alignment horizontal="center" vertical="center"/>
      <protection locked="0"/>
    </xf>
    <xf numFmtId="2" fontId="35" fillId="11" borderId="53" xfId="0" applyNumberFormat="1" applyFont="1" applyFill="1" applyBorder="1" applyAlignment="1">
      <alignment horizontal="center" vertical="center" wrapText="1"/>
    </xf>
    <xf numFmtId="2" fontId="35" fillId="11" borderId="54" xfId="0" applyNumberFormat="1" applyFont="1" applyFill="1" applyBorder="1" applyAlignment="1">
      <alignment horizontal="center" vertical="center"/>
    </xf>
    <xf numFmtId="2" fontId="31" fillId="11" borderId="55" xfId="0" applyNumberFormat="1" applyFont="1" applyFill="1" applyBorder="1" applyAlignment="1">
      <alignment horizontal="center" vertical="center" wrapText="1"/>
    </xf>
    <xf numFmtId="2" fontId="31" fillId="12" borderId="1" xfId="0" applyNumberFormat="1" applyFont="1" applyFill="1" applyBorder="1" applyAlignment="1">
      <alignment horizontal="center" vertical="center"/>
    </xf>
    <xf numFmtId="2" fontId="31" fillId="12" borderId="15" xfId="0" applyNumberFormat="1" applyFont="1" applyFill="1" applyBorder="1" applyAlignment="1">
      <alignment horizontal="center" vertical="center"/>
    </xf>
    <xf numFmtId="2" fontId="31" fillId="12" borderId="22" xfId="0" applyNumberFormat="1" applyFont="1" applyFill="1" applyBorder="1" applyAlignment="1">
      <alignment horizontal="center" vertical="center"/>
    </xf>
    <xf numFmtId="2" fontId="31" fillId="12" borderId="7" xfId="0" applyNumberFormat="1" applyFont="1" applyFill="1" applyBorder="1" applyAlignment="1">
      <alignment horizontal="center" vertical="center"/>
    </xf>
    <xf numFmtId="2" fontId="31" fillId="12" borderId="27" xfId="0" applyNumberFormat="1" applyFont="1" applyFill="1" applyBorder="1" applyAlignment="1">
      <alignment horizontal="center" vertical="center"/>
    </xf>
    <xf numFmtId="2" fontId="31" fillId="12" borderId="4" xfId="0" applyNumberFormat="1" applyFont="1" applyFill="1" applyBorder="1" applyAlignment="1">
      <alignment horizontal="center" vertical="center"/>
    </xf>
    <xf numFmtId="2" fontId="31" fillId="12" borderId="1" xfId="0" applyNumberFormat="1" applyFont="1" applyFill="1" applyBorder="1"/>
    <xf numFmtId="0" fontId="31" fillId="12" borderId="13" xfId="0" applyFont="1" applyFill="1" applyBorder="1" applyAlignment="1">
      <alignment horizontal="center" vertical="center" wrapText="1"/>
    </xf>
    <xf numFmtId="0" fontId="31" fillId="12" borderId="12"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8" xfId="0" applyFont="1" applyFill="1" applyBorder="1" applyAlignment="1">
      <alignment horizontal="center" vertical="center" wrapText="1"/>
    </xf>
    <xf numFmtId="2" fontId="35" fillId="11" borderId="3" xfId="0" applyNumberFormat="1" applyFont="1" applyFill="1" applyBorder="1" applyAlignment="1">
      <alignment horizontal="center" vertical="center" wrapText="1"/>
    </xf>
    <xf numFmtId="0" fontId="31" fillId="12" borderId="22" xfId="0" applyFont="1" applyFill="1" applyBorder="1" applyAlignment="1">
      <alignment horizontal="center" vertical="center" wrapText="1"/>
    </xf>
    <xf numFmtId="0" fontId="31" fillId="12" borderId="56" xfId="0" applyFont="1" applyFill="1" applyBorder="1" applyAlignment="1">
      <alignment horizontal="center" vertical="center" wrapText="1"/>
    </xf>
    <xf numFmtId="0" fontId="31" fillId="12" borderId="37" xfId="0" applyFont="1" applyFill="1" applyBorder="1" applyAlignment="1">
      <alignment horizontal="center" vertical="center" wrapText="1"/>
    </xf>
    <xf numFmtId="0" fontId="31" fillId="12" borderId="15" xfId="0" applyFont="1" applyFill="1" applyBorder="1" applyAlignment="1">
      <alignment horizontal="center" vertical="center" wrapText="1"/>
    </xf>
    <xf numFmtId="0" fontId="31" fillId="12" borderId="7" xfId="0" applyFont="1" applyFill="1" applyBorder="1" applyAlignment="1">
      <alignment horizontal="center" vertical="center" wrapText="1"/>
    </xf>
    <xf numFmtId="0" fontId="31" fillId="12" borderId="57" xfId="0" applyFont="1" applyFill="1" applyBorder="1" applyAlignment="1">
      <alignment horizontal="center" vertical="center" wrapText="1"/>
    </xf>
    <xf numFmtId="0" fontId="31" fillId="12" borderId="58" xfId="0" applyFont="1" applyFill="1" applyBorder="1" applyAlignment="1">
      <alignment horizontal="center" vertical="center" wrapText="1"/>
    </xf>
    <xf numFmtId="2" fontId="31" fillId="12" borderId="15" xfId="0" applyNumberFormat="1" applyFont="1" applyFill="1" applyBorder="1" applyAlignment="1">
      <alignment horizontal="center" vertical="center" wrapText="1"/>
    </xf>
    <xf numFmtId="2" fontId="31" fillId="12" borderId="7" xfId="0" applyNumberFormat="1" applyFont="1" applyFill="1" applyBorder="1" applyAlignment="1">
      <alignment horizontal="center" vertical="center" wrapText="1"/>
    </xf>
    <xf numFmtId="2" fontId="31" fillId="11" borderId="35" xfId="0" applyNumberFormat="1" applyFont="1" applyFill="1" applyBorder="1" applyAlignment="1">
      <alignment horizontal="center" vertical="center" wrapText="1"/>
    </xf>
    <xf numFmtId="2" fontId="35" fillId="11" borderId="4" xfId="0" applyNumberFormat="1" applyFont="1" applyFill="1" applyBorder="1" applyAlignment="1">
      <alignment horizontal="center" vertical="center"/>
    </xf>
    <xf numFmtId="2" fontId="31" fillId="11" borderId="15" xfId="0" applyNumberFormat="1" applyFont="1" applyFill="1" applyBorder="1" applyAlignment="1">
      <alignment horizontal="center" vertical="center" wrapText="1"/>
    </xf>
    <xf numFmtId="2" fontId="35" fillId="11" borderId="5" xfId="0" applyNumberFormat="1" applyFont="1" applyFill="1" applyBorder="1" applyAlignment="1">
      <alignment horizontal="center" vertical="center"/>
    </xf>
    <xf numFmtId="2" fontId="35" fillId="11" borderId="27" xfId="0" applyNumberFormat="1" applyFont="1" applyFill="1" applyBorder="1" applyAlignment="1">
      <alignment horizontal="center" vertical="center"/>
    </xf>
    <xf numFmtId="2" fontId="35" fillId="11" borderId="4" xfId="0" applyNumberFormat="1" applyFont="1" applyFill="1" applyBorder="1" applyAlignment="1">
      <alignment horizontal="center" vertical="center" wrapText="1"/>
    </xf>
    <xf numFmtId="0" fontId="31" fillId="12" borderId="1" xfId="0" applyFont="1" applyFill="1" applyBorder="1" applyAlignment="1">
      <alignment horizontal="center" vertical="center" wrapText="1"/>
    </xf>
    <xf numFmtId="0" fontId="31" fillId="12" borderId="15" xfId="0" applyFont="1" applyFill="1" applyBorder="1" applyAlignment="1">
      <alignment horizontal="center" vertical="center"/>
    </xf>
    <xf numFmtId="166" fontId="31" fillId="12" borderId="12" xfId="0" applyNumberFormat="1" applyFont="1" applyFill="1" applyBorder="1" applyAlignment="1">
      <alignment horizontal="center" vertical="center" wrapText="1"/>
    </xf>
    <xf numFmtId="0" fontId="31" fillId="12" borderId="29" xfId="0" applyFont="1" applyFill="1" applyBorder="1" applyAlignment="1">
      <alignment horizontal="center" vertical="center" wrapText="1"/>
    </xf>
    <xf numFmtId="0" fontId="31" fillId="12" borderId="24" xfId="0" applyFont="1" applyFill="1" applyBorder="1" applyAlignment="1">
      <alignment horizontal="center" vertical="center" wrapText="1"/>
    </xf>
    <xf numFmtId="166" fontId="31" fillId="12" borderId="24" xfId="0" applyNumberFormat="1" applyFont="1" applyFill="1" applyBorder="1" applyAlignment="1">
      <alignment horizontal="center" vertical="center" wrapText="1"/>
    </xf>
    <xf numFmtId="0" fontId="31" fillId="12" borderId="7" xfId="0" applyFont="1" applyFill="1" applyBorder="1" applyAlignment="1">
      <alignment horizontal="center" vertical="center"/>
    </xf>
    <xf numFmtId="0" fontId="31" fillId="12" borderId="10" xfId="0" applyFont="1" applyFill="1" applyBorder="1" applyAlignment="1">
      <alignment horizontal="center" vertical="center" wrapText="1"/>
    </xf>
    <xf numFmtId="2" fontId="31" fillId="11" borderId="56" xfId="0" applyNumberFormat="1" applyFont="1" applyFill="1" applyBorder="1" applyAlignment="1">
      <alignment horizontal="center" vertical="center" wrapText="1"/>
    </xf>
    <xf numFmtId="2" fontId="31" fillId="11" borderId="57" xfId="0" applyNumberFormat="1" applyFont="1" applyFill="1" applyBorder="1" applyAlignment="1">
      <alignment horizontal="center" vertical="center" wrapText="1"/>
    </xf>
    <xf numFmtId="0" fontId="39" fillId="12" borderId="17" xfId="28" applyFont="1" applyFill="1" applyBorder="1" applyAlignment="1">
      <alignment horizontal="center" vertical="center"/>
      <protection/>
    </xf>
    <xf numFmtId="2" fontId="31" fillId="12" borderId="1" xfId="0" applyNumberFormat="1" applyFont="1" applyFill="1" applyBorder="1" applyAlignment="1">
      <alignment horizontal="center" vertical="center" wrapText="1"/>
    </xf>
    <xf numFmtId="0" fontId="39" fillId="12" borderId="9" xfId="28" applyFont="1" applyFill="1" applyBorder="1" applyAlignment="1">
      <alignment horizontal="center" vertical="center"/>
      <protection/>
    </xf>
    <xf numFmtId="0" fontId="31" fillId="12" borderId="34" xfId="0" applyFont="1" applyFill="1" applyBorder="1" applyAlignment="1">
      <alignment horizontal="center" vertical="center" wrapText="1"/>
    </xf>
    <xf numFmtId="2" fontId="31" fillId="12" borderId="34" xfId="0" applyNumberFormat="1" applyFont="1" applyFill="1" applyBorder="1" applyAlignment="1">
      <alignment horizontal="center" vertical="center" wrapText="1"/>
    </xf>
    <xf numFmtId="0" fontId="31" fillId="12" borderId="59" xfId="0" applyFont="1" applyFill="1" applyBorder="1" applyAlignment="1">
      <alignment horizontal="center" vertical="center" wrapText="1"/>
    </xf>
    <xf numFmtId="0" fontId="31" fillId="12" borderId="17" xfId="0" applyFont="1" applyFill="1" applyBorder="1" applyAlignment="1">
      <alignment horizontal="center" vertical="center" wrapText="1"/>
    </xf>
    <xf numFmtId="0" fontId="31" fillId="12" borderId="9" xfId="0" applyFont="1" applyFill="1" applyBorder="1" applyAlignment="1">
      <alignment horizontal="center" vertical="center" wrapText="1"/>
    </xf>
    <xf numFmtId="0" fontId="31" fillId="12" borderId="14" xfId="0" applyFont="1" applyFill="1" applyBorder="1" applyAlignment="1">
      <alignment horizontal="center" vertical="center"/>
    </xf>
    <xf numFmtId="0" fontId="31" fillId="12" borderId="20" xfId="0" applyFont="1" applyFill="1" applyBorder="1" applyAlignment="1">
      <alignment horizontal="center" vertical="center" wrapText="1"/>
    </xf>
    <xf numFmtId="2" fontId="35" fillId="11" borderId="54" xfId="0" applyNumberFormat="1" applyFont="1" applyFill="1" applyBorder="1" applyAlignment="1">
      <alignment horizontal="center" vertical="center" wrapText="1"/>
    </xf>
    <xf numFmtId="0" fontId="31" fillId="12" borderId="1" xfId="0" applyFont="1" applyFill="1" applyBorder="1" applyAlignment="1">
      <alignment horizontal="center" vertical="center"/>
    </xf>
    <xf numFmtId="2" fontId="31" fillId="11" borderId="12" xfId="0" applyNumberFormat="1" applyFont="1" applyFill="1" applyBorder="1" applyAlignment="1">
      <alignment horizontal="center" vertical="center" wrapText="1"/>
    </xf>
    <xf numFmtId="2" fontId="31" fillId="11" borderId="8" xfId="0" applyNumberFormat="1" applyFont="1" applyFill="1" applyBorder="1" applyAlignment="1">
      <alignment horizontal="center" vertical="center" wrapText="1"/>
    </xf>
    <xf numFmtId="0" fontId="39" fillId="12" borderId="17" xfId="28" applyFont="1" applyFill="1" applyBorder="1" applyAlignment="1">
      <alignment horizontal="center" vertical="center" wrapText="1"/>
      <protection/>
    </xf>
    <xf numFmtId="0" fontId="39" fillId="12" borderId="9" xfId="28" applyFont="1" applyFill="1" applyBorder="1" applyAlignment="1">
      <alignment horizontal="center" vertical="center" wrapText="1"/>
      <protection/>
    </xf>
    <xf numFmtId="2" fontId="35" fillId="11" borderId="3" xfId="0" applyNumberFormat="1" applyFont="1" applyFill="1" applyBorder="1"/>
    <xf numFmtId="2" fontId="35" fillId="11" borderId="3" xfId="0" applyNumberFormat="1" applyFont="1" applyFill="1" applyBorder="1" applyAlignment="1">
      <alignment horizontal="center" vertical="center"/>
    </xf>
    <xf numFmtId="0" fontId="31" fillId="12" borderId="14" xfId="0" applyFont="1" applyFill="1" applyBorder="1" applyAlignment="1">
      <alignment horizontal="center" vertical="center" wrapText="1"/>
    </xf>
    <xf numFmtId="2" fontId="35" fillId="11" borderId="31" xfId="0" applyNumberFormat="1" applyFont="1" applyFill="1" applyBorder="1" applyAlignment="1">
      <alignment horizontal="center" vertical="center" wrapText="1"/>
    </xf>
    <xf numFmtId="2" fontId="31" fillId="11" borderId="33" xfId="0" applyNumberFormat="1" applyFont="1" applyFill="1" applyBorder="1" applyAlignment="1">
      <alignment horizontal="center" vertical="center" wrapText="1"/>
    </xf>
    <xf numFmtId="2" fontId="35" fillId="11" borderId="55" xfId="0" applyNumberFormat="1" applyFont="1" applyFill="1" applyBorder="1" applyAlignment="1">
      <alignment horizontal="center" vertical="center" wrapText="1"/>
    </xf>
    <xf numFmtId="2" fontId="31" fillId="11" borderId="24" xfId="0" applyNumberFormat="1" applyFont="1" applyFill="1" applyBorder="1" applyAlignment="1">
      <alignment horizontal="center" vertical="center" wrapText="1"/>
    </xf>
    <xf numFmtId="0" fontId="39" fillId="12" borderId="6" xfId="28" applyFont="1" applyFill="1" applyBorder="1" applyAlignment="1">
      <alignment horizontal="center" vertical="center"/>
      <protection/>
    </xf>
    <xf numFmtId="0" fontId="31" fillId="12" borderId="16" xfId="0" applyFont="1" applyFill="1" applyBorder="1" applyAlignment="1">
      <alignment horizontal="center" vertical="center" wrapText="1"/>
    </xf>
    <xf numFmtId="0" fontId="31" fillId="12" borderId="41" xfId="0" applyFont="1" applyFill="1" applyBorder="1" applyAlignment="1">
      <alignment horizontal="center" vertical="center" wrapText="1"/>
    </xf>
    <xf numFmtId="167" fontId="21" fillId="11" borderId="1" xfId="0" applyNumberFormat="1" applyFont="1" applyFill="1" applyBorder="1" applyAlignment="1">
      <alignment horizontal="center" vertical="center" wrapText="1"/>
    </xf>
    <xf numFmtId="167" fontId="22" fillId="12" borderId="1" xfId="0" applyNumberFormat="1" applyFont="1" applyFill="1" applyBorder="1" applyAlignment="1">
      <alignment horizontal="center" vertical="center" wrapText="1"/>
    </xf>
    <xf numFmtId="2" fontId="35" fillId="11" borderId="28" xfId="0" applyNumberFormat="1" applyFont="1" applyFill="1" applyBorder="1" applyAlignment="1">
      <alignment horizontal="center" vertical="center" wrapText="1"/>
    </xf>
    <xf numFmtId="166" fontId="31" fillId="12" borderId="15" xfId="0" applyNumberFormat="1" applyFont="1" applyFill="1" applyBorder="1" applyAlignment="1">
      <alignment horizontal="center" vertical="center" wrapText="1"/>
    </xf>
    <xf numFmtId="2" fontId="35" fillId="11" borderId="60" xfId="0" applyNumberFormat="1" applyFont="1" applyFill="1" applyBorder="1" applyAlignment="1">
      <alignment horizontal="center" vertical="center" wrapText="1"/>
    </xf>
    <xf numFmtId="0" fontId="31" fillId="12" borderId="35" xfId="0" applyFont="1" applyFill="1" applyBorder="1" applyAlignment="1">
      <alignment horizontal="center" vertical="center" wrapText="1"/>
    </xf>
    <xf numFmtId="0" fontId="31" fillId="12" borderId="33" xfId="0" applyFont="1" applyFill="1" applyBorder="1" applyAlignment="1">
      <alignment horizontal="center" vertical="center" wrapText="1"/>
    </xf>
    <xf numFmtId="2" fontId="31" fillId="11" borderId="3" xfId="0" applyNumberFormat="1" applyFont="1" applyFill="1" applyBorder="1" applyAlignment="1">
      <alignment horizontal="center" vertical="center" wrapText="1"/>
    </xf>
    <xf numFmtId="0" fontId="31" fillId="12" borderId="1" xfId="0" applyFont="1" applyFill="1" applyBorder="1" applyAlignment="1">
      <alignment horizontal="center"/>
    </xf>
    <xf numFmtId="0" fontId="31" fillId="12" borderId="1" xfId="0" applyFont="1" applyFill="1" applyBorder="1" applyAlignment="1">
      <alignment horizontal="center" vertical="top"/>
    </xf>
    <xf numFmtId="0" fontId="31" fillId="12" borderId="27" xfId="0" applyFont="1" applyFill="1" applyBorder="1" applyAlignment="1">
      <alignment horizontal="center" vertical="center"/>
    </xf>
    <xf numFmtId="0" fontId="31" fillId="12" borderId="27" xfId="0" applyFont="1" applyFill="1" applyBorder="1" applyAlignment="1">
      <alignment horizontal="center" vertical="center" wrapText="1"/>
    </xf>
    <xf numFmtId="2" fontId="31" fillId="12" borderId="1" xfId="0" applyNumberFormat="1" applyFont="1" applyFill="1" applyBorder="1" applyAlignment="1">
      <alignment vertical="top"/>
    </xf>
    <xf numFmtId="0" fontId="31" fillId="12" borderId="0" xfId="0" applyFont="1" applyFill="1" applyAlignment="1">
      <alignment horizontal="center" vertical="center"/>
    </xf>
    <xf numFmtId="0" fontId="31" fillId="12" borderId="8" xfId="0" applyFont="1" applyFill="1" applyBorder="1" applyAlignment="1">
      <alignment horizontal="center" vertical="center"/>
    </xf>
    <xf numFmtId="0" fontId="31" fillId="12" borderId="18" xfId="0" applyFont="1" applyFill="1" applyBorder="1" applyAlignment="1">
      <alignment horizontal="center" vertical="center" wrapText="1"/>
    </xf>
    <xf numFmtId="0" fontId="31" fillId="12" borderId="23" xfId="0" applyFont="1" applyFill="1" applyBorder="1" applyAlignment="1">
      <alignment horizontal="center" vertical="center"/>
    </xf>
    <xf numFmtId="0" fontId="31" fillId="12" borderId="18" xfId="0" applyFont="1" applyFill="1" applyBorder="1" applyAlignment="1">
      <alignment horizontal="center" vertical="center"/>
    </xf>
    <xf numFmtId="0" fontId="31" fillId="12" borderId="22" xfId="0" applyFont="1" applyFill="1" applyBorder="1" applyAlignment="1">
      <alignment horizontal="center" vertical="center"/>
    </xf>
    <xf numFmtId="0" fontId="31" fillId="12" borderId="61" xfId="0" applyFont="1" applyFill="1" applyBorder="1" applyAlignment="1">
      <alignment horizontal="center" vertical="center"/>
    </xf>
    <xf numFmtId="0" fontId="39" fillId="12" borderId="1" xfId="0" applyFont="1" applyFill="1" applyBorder="1" applyAlignment="1">
      <alignment vertical="center" wrapText="1"/>
    </xf>
    <xf numFmtId="0" fontId="31" fillId="12" borderId="17" xfId="0" applyFont="1" applyFill="1" applyBorder="1" applyAlignment="1">
      <alignment horizontal="center" vertical="center"/>
    </xf>
    <xf numFmtId="0" fontId="31" fillId="12" borderId="24" xfId="0" applyFont="1" applyFill="1" applyBorder="1" applyAlignment="1">
      <alignment horizontal="center" vertical="center"/>
    </xf>
    <xf numFmtId="0" fontId="31" fillId="12" borderId="26" xfId="0" applyFont="1" applyFill="1" applyBorder="1" applyAlignment="1">
      <alignment horizontal="center" vertical="center" wrapText="1"/>
    </xf>
    <xf numFmtId="0" fontId="31" fillId="12" borderId="62" xfId="0" applyFont="1" applyFill="1" applyBorder="1" applyAlignment="1">
      <alignment horizontal="center" vertical="center"/>
    </xf>
    <xf numFmtId="0" fontId="31" fillId="12" borderId="63" xfId="0" applyFont="1" applyFill="1" applyBorder="1" applyAlignment="1">
      <alignment horizontal="center" vertical="center" wrapText="1"/>
    </xf>
    <xf numFmtId="0" fontId="31" fillId="12" borderId="6" xfId="0" applyFont="1" applyFill="1" applyBorder="1" applyAlignment="1">
      <alignment horizontal="center" vertical="center"/>
    </xf>
    <xf numFmtId="0" fontId="31" fillId="12" borderId="57" xfId="0" applyFont="1" applyFill="1" applyBorder="1" applyAlignment="1">
      <alignment horizontal="center" vertical="center"/>
    </xf>
    <xf numFmtId="0" fontId="31" fillId="12" borderId="12" xfId="0" applyFont="1" applyFill="1" applyBorder="1" applyAlignment="1">
      <alignment vertical="center"/>
    </xf>
    <xf numFmtId="0" fontId="31" fillId="12" borderId="24" xfId="0" applyFont="1" applyFill="1" applyBorder="1"/>
    <xf numFmtId="0" fontId="31" fillId="12" borderId="8" xfId="0" applyFont="1" applyFill="1" applyBorder="1"/>
    <xf numFmtId="0" fontId="39" fillId="12" borderId="1" xfId="0" applyFont="1" applyFill="1" applyBorder="1" applyAlignment="1">
      <alignment horizontal="center" vertical="center" wrapText="1"/>
    </xf>
    <xf numFmtId="2" fontId="31" fillId="12" borderId="43" xfId="0" applyNumberFormat="1" applyFont="1" applyFill="1" applyBorder="1" applyAlignment="1">
      <alignment horizontal="center" vertical="center" wrapText="1"/>
    </xf>
    <xf numFmtId="0" fontId="31" fillId="12" borderId="43" xfId="0" applyFont="1" applyFill="1" applyBorder="1" applyAlignment="1">
      <alignment horizontal="center" vertical="center" wrapText="1"/>
    </xf>
    <xf numFmtId="0" fontId="35" fillId="13" borderId="1" xfId="0" applyFont="1" applyFill="1" applyBorder="1" applyAlignment="1">
      <alignment horizontal="center" vertical="top" wrapText="1"/>
    </xf>
    <xf numFmtId="0" fontId="35" fillId="14" borderId="1" xfId="0" applyFont="1" applyFill="1" applyBorder="1" applyAlignment="1">
      <alignment horizontal="center" vertical="top" wrapText="1"/>
    </xf>
    <xf numFmtId="0" fontId="35" fillId="15" borderId="1" xfId="0" applyFont="1" applyFill="1" applyBorder="1" applyAlignment="1">
      <alignment horizontal="center" vertical="top" wrapText="1"/>
    </xf>
    <xf numFmtId="0" fontId="35" fillId="5" borderId="1" xfId="0" applyFont="1" applyFill="1" applyBorder="1" applyAlignment="1">
      <alignment horizontal="center" vertical="center"/>
    </xf>
    <xf numFmtId="0" fontId="35" fillId="5" borderId="16" xfId="0" applyFont="1" applyFill="1" applyBorder="1" applyAlignment="1">
      <alignment horizontal="center" vertical="center" wrapText="1"/>
    </xf>
    <xf numFmtId="0" fontId="35" fillId="5" borderId="15" xfId="0" applyFont="1" applyFill="1" applyBorder="1" applyAlignment="1">
      <alignment horizontal="center" vertical="center"/>
    </xf>
    <xf numFmtId="0" fontId="35" fillId="5" borderId="16" xfId="0" applyFont="1" applyFill="1" applyBorder="1" applyAlignment="1">
      <alignment horizontal="center" vertical="center"/>
    </xf>
    <xf numFmtId="1" fontId="31" fillId="12" borderId="13" xfId="0" applyNumberFormat="1" applyFont="1" applyFill="1" applyBorder="1" applyAlignment="1">
      <alignment horizontal="center" vertical="center" wrapText="1"/>
    </xf>
    <xf numFmtId="1" fontId="31" fillId="12" borderId="6" xfId="0" applyNumberFormat="1" applyFont="1" applyFill="1" applyBorder="1" applyAlignment="1">
      <alignment horizontal="center" vertical="center" wrapText="1"/>
    </xf>
    <xf numFmtId="0" fontId="31" fillId="6" borderId="26" xfId="0" applyFont="1" applyFill="1" applyBorder="1" applyAlignment="1">
      <alignment horizontal="left" vertical="top" wrapText="1"/>
    </xf>
    <xf numFmtId="0" fontId="31" fillId="6" borderId="63" xfId="0" applyFont="1" applyFill="1" applyBorder="1" applyAlignment="1">
      <alignment horizontal="left" vertical="top" wrapText="1"/>
    </xf>
    <xf numFmtId="0" fontId="31" fillId="6" borderId="33" xfId="0" applyFont="1" applyFill="1" applyBorder="1" applyAlignment="1">
      <alignment horizontal="left" vertical="top" wrapText="1"/>
    </xf>
    <xf numFmtId="0" fontId="31" fillId="12" borderId="12" xfId="0" applyFont="1" applyFill="1" applyBorder="1" applyAlignment="1">
      <alignment horizontal="center" vertical="center"/>
    </xf>
    <xf numFmtId="1" fontId="21" fillId="11" borderId="1" xfId="0" applyNumberFormat="1" applyFont="1" applyFill="1" applyBorder="1" applyAlignment="1">
      <alignment horizontal="center" vertical="center" wrapText="1"/>
    </xf>
    <xf numFmtId="166" fontId="31" fillId="12" borderId="1" xfId="0" applyNumberFormat="1" applyFont="1" applyFill="1" applyBorder="1" applyAlignment="1">
      <alignment horizontal="center" vertical="center"/>
    </xf>
    <xf numFmtId="0" fontId="22" fillId="12" borderId="1" xfId="0" applyFont="1" applyFill="1" applyBorder="1"/>
    <xf numFmtId="0" fontId="22" fillId="12" borderId="29" xfId="0" applyFont="1" applyFill="1" applyBorder="1"/>
    <xf numFmtId="0" fontId="31" fillId="3" borderId="0" xfId="0" applyFont="1" applyFill="1" applyAlignment="1">
      <alignment horizontal="center"/>
    </xf>
    <xf numFmtId="0" fontId="35" fillId="5" borderId="8" xfId="0" applyFont="1" applyFill="1" applyBorder="1" applyAlignment="1">
      <alignment horizontal="center" vertical="center"/>
    </xf>
    <xf numFmtId="0" fontId="35" fillId="5" borderId="22" xfId="0" applyFont="1" applyFill="1" applyBorder="1" applyAlignment="1">
      <alignment vertical="center"/>
    </xf>
    <xf numFmtId="0" fontId="35" fillId="5" borderId="17" xfId="0" applyFont="1" applyFill="1" applyBorder="1" applyAlignment="1">
      <alignment horizontal="center" vertical="center"/>
    </xf>
    <xf numFmtId="0" fontId="35" fillId="5" borderId="1" xfId="0" applyFont="1" applyFill="1" applyBorder="1" applyAlignment="1">
      <alignment vertical="center"/>
    </xf>
    <xf numFmtId="0" fontId="35" fillId="5" borderId="7" xfId="0" applyFont="1" applyFill="1" applyBorder="1" applyAlignment="1">
      <alignment vertical="center"/>
    </xf>
    <xf numFmtId="0" fontId="35" fillId="2" borderId="0" xfId="0" applyFont="1" applyFill="1" applyAlignment="1">
      <alignment vertical="center"/>
    </xf>
    <xf numFmtId="0" fontId="14" fillId="3" borderId="0" xfId="0" applyFont="1" applyFill="1" applyAlignment="1">
      <alignment vertical="center"/>
    </xf>
    <xf numFmtId="2" fontId="35" fillId="5" borderId="23" xfId="0" applyNumberFormat="1" applyFont="1" applyFill="1" applyBorder="1" applyAlignment="1">
      <alignment horizontal="center" vertical="center"/>
    </xf>
    <xf numFmtId="10" fontId="35" fillId="5" borderId="24" xfId="0" applyNumberFormat="1" applyFont="1" applyFill="1" applyBorder="1" applyAlignment="1">
      <alignment horizontal="center" vertical="center"/>
    </xf>
    <xf numFmtId="0" fontId="35" fillId="5" borderId="24" xfId="0" applyFont="1" applyFill="1" applyBorder="1" applyAlignment="1">
      <alignment horizontal="center" vertical="center"/>
    </xf>
    <xf numFmtId="2" fontId="31" fillId="4" borderId="35" xfId="0" applyNumberFormat="1" applyFont="1" applyFill="1" applyBorder="1" applyAlignment="1" applyProtection="1">
      <alignment horizontal="center" vertical="center" wrapText="1"/>
      <protection locked="0"/>
    </xf>
    <xf numFmtId="0" fontId="31" fillId="12" borderId="1" xfId="0" applyFont="1" applyFill="1" applyBorder="1" applyAlignment="1">
      <alignment horizontal="left" vertical="center"/>
    </xf>
    <xf numFmtId="0" fontId="31" fillId="12" borderId="7" xfId="0" applyFont="1" applyFill="1" applyBorder="1" applyAlignment="1">
      <alignment horizontal="left" vertical="center"/>
    </xf>
    <xf numFmtId="0" fontId="31" fillId="12" borderId="27" xfId="0" applyFont="1" applyFill="1" applyBorder="1" applyAlignment="1">
      <alignment horizontal="left" vertical="center"/>
    </xf>
    <xf numFmtId="0" fontId="31" fillId="12" borderId="1" xfId="0" applyFont="1" applyFill="1" applyBorder="1" applyAlignment="1">
      <alignment horizontal="left" vertical="center" wrapText="1"/>
    </xf>
    <xf numFmtId="0" fontId="31" fillId="12" borderId="7" xfId="0" applyFont="1" applyFill="1" applyBorder="1" applyAlignment="1">
      <alignment horizontal="left" vertical="center" wrapText="1"/>
    </xf>
    <xf numFmtId="0" fontId="35" fillId="5" borderId="64" xfId="0" applyFont="1" applyFill="1" applyBorder="1" applyAlignment="1">
      <alignment horizontal="center" vertical="center" wrapText="1"/>
    </xf>
    <xf numFmtId="0" fontId="31" fillId="6" borderId="9" xfId="0" applyFont="1" applyFill="1" applyBorder="1" applyAlignment="1">
      <alignment horizontal="center" vertical="center"/>
    </xf>
    <xf numFmtId="0" fontId="31" fillId="6" borderId="34" xfId="0" applyFont="1" applyFill="1" applyBorder="1" applyAlignment="1">
      <alignment horizontal="center" vertical="center"/>
    </xf>
    <xf numFmtId="0" fontId="31" fillId="6" borderId="7" xfId="0" applyFont="1" applyFill="1" applyBorder="1" applyAlignment="1">
      <alignment horizontal="center" vertical="center"/>
    </xf>
    <xf numFmtId="0" fontId="35" fillId="5" borderId="18" xfId="0" applyFont="1" applyFill="1" applyBorder="1" applyAlignment="1">
      <alignment horizontal="center" vertical="center"/>
    </xf>
    <xf numFmtId="0" fontId="35" fillId="5" borderId="6" xfId="0" applyFont="1" applyFill="1" applyBorder="1" applyAlignment="1">
      <alignment horizontal="center" vertical="center"/>
    </xf>
    <xf numFmtId="2" fontId="35" fillId="6" borderId="1" xfId="0" applyNumberFormat="1" applyFont="1" applyFill="1" applyBorder="1"/>
    <xf numFmtId="0" fontId="31" fillId="0" borderId="0" xfId="0" applyFont="1"/>
    <xf numFmtId="0" fontId="31" fillId="0" borderId="0" xfId="0" applyFont="1" applyAlignment="1">
      <alignment wrapText="1"/>
    </xf>
    <xf numFmtId="2" fontId="35" fillId="11" borderId="0" xfId="0" applyNumberFormat="1" applyFont="1" applyFill="1" applyAlignment="1">
      <alignment horizontal="center" vertical="center" wrapText="1"/>
    </xf>
    <xf numFmtId="0" fontId="51" fillId="3" borderId="0" xfId="0" applyFont="1" applyFill="1" applyAlignment="1">
      <alignment horizontal="center" vertical="center" wrapText="1"/>
    </xf>
    <xf numFmtId="0" fontId="31" fillId="12" borderId="58" xfId="0" applyFont="1" applyFill="1" applyBorder="1" applyAlignment="1">
      <alignment horizontal="center" vertical="center"/>
    </xf>
    <xf numFmtId="0" fontId="31" fillId="4" borderId="42" xfId="0" applyFont="1" applyFill="1" applyBorder="1" applyAlignment="1" applyProtection="1">
      <alignment horizontal="center" vertical="center"/>
      <protection locked="0"/>
    </xf>
    <xf numFmtId="0" fontId="35" fillId="4" borderId="65" xfId="0" applyFont="1" applyFill="1" applyBorder="1" applyAlignment="1" applyProtection="1">
      <alignment horizontal="center" vertical="center"/>
      <protection locked="0"/>
    </xf>
    <xf numFmtId="2" fontId="27" fillId="3" borderId="0" xfId="0" applyNumberFormat="1" applyFont="1" applyFill="1" applyAlignment="1">
      <alignment horizontal="center"/>
    </xf>
    <xf numFmtId="0" fontId="50" fillId="3" borderId="0" xfId="0" applyFont="1" applyFill="1" applyAlignment="1">
      <alignment vertical="center" wrapText="1"/>
    </xf>
    <xf numFmtId="0" fontId="31" fillId="12" borderId="34" xfId="0" applyFont="1" applyFill="1" applyBorder="1" applyAlignment="1">
      <alignment horizontal="left" vertical="center" wrapText="1"/>
    </xf>
    <xf numFmtId="0" fontId="31" fillId="12" borderId="34" xfId="0" applyFont="1" applyFill="1" applyBorder="1" applyAlignment="1">
      <alignment horizontal="left" vertical="center"/>
    </xf>
    <xf numFmtId="2" fontId="35" fillId="2" borderId="0" xfId="0" applyNumberFormat="1" applyFont="1" applyFill="1" applyAlignment="1">
      <alignment horizontal="center" vertical="center"/>
    </xf>
    <xf numFmtId="0" fontId="10" fillId="3" borderId="0" xfId="0" applyFont="1" applyFill="1" applyAlignment="1">
      <alignment horizontal="center"/>
    </xf>
    <xf numFmtId="0" fontId="14" fillId="6" borderId="66"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31" fillId="6" borderId="18" xfId="0" applyFont="1" applyFill="1" applyBorder="1" applyAlignment="1">
      <alignment horizontal="center"/>
    </xf>
    <xf numFmtId="0" fontId="31" fillId="6" borderId="22" xfId="0" applyFont="1" applyFill="1" applyBorder="1" applyAlignment="1">
      <alignment horizontal="center"/>
    </xf>
    <xf numFmtId="2" fontId="31" fillId="12" borderId="22" xfId="0" applyNumberFormat="1" applyFont="1" applyFill="1" applyBorder="1" applyAlignment="1">
      <alignment horizontal="center"/>
    </xf>
    <xf numFmtId="0" fontId="31" fillId="6" borderId="6" xfId="0" applyFont="1" applyFill="1" applyBorder="1" applyAlignment="1">
      <alignment horizontal="center"/>
    </xf>
    <xf numFmtId="0" fontId="31" fillId="6" borderId="7" xfId="0" applyFont="1" applyFill="1" applyBorder="1" applyAlignment="1">
      <alignment horizontal="center"/>
    </xf>
    <xf numFmtId="2" fontId="31" fillId="12" borderId="7" xfId="0" applyNumberFormat="1" applyFont="1" applyFill="1" applyBorder="1" applyAlignment="1">
      <alignment horizontal="center"/>
    </xf>
    <xf numFmtId="0" fontId="35" fillId="6" borderId="67" xfId="0" applyFont="1" applyFill="1" applyBorder="1" applyAlignment="1" applyProtection="1">
      <alignment horizontal="center" vertical="center" wrapText="1"/>
      <protection locked="0"/>
    </xf>
    <xf numFmtId="2" fontId="31" fillId="4" borderId="26" xfId="0" applyNumberFormat="1" applyFont="1" applyFill="1" applyBorder="1" applyAlignment="1" applyProtection="1">
      <alignment horizontal="center" vertical="center" wrapText="1"/>
      <protection locked="0"/>
    </xf>
    <xf numFmtId="2" fontId="31" fillId="4" borderId="55" xfId="0" applyNumberFormat="1" applyFont="1" applyFill="1" applyBorder="1" applyAlignment="1" applyProtection="1">
      <alignment horizontal="center" vertical="center" wrapText="1"/>
      <protection locked="0"/>
    </xf>
    <xf numFmtId="0" fontId="31" fillId="12" borderId="55" xfId="0" applyFont="1" applyFill="1" applyBorder="1" applyAlignment="1">
      <alignment horizontal="center" vertical="center" wrapText="1"/>
    </xf>
    <xf numFmtId="10" fontId="35" fillId="4" borderId="24" xfId="0" applyNumberFormat="1" applyFont="1" applyFill="1" applyBorder="1" applyAlignment="1">
      <alignment horizontal="center" vertical="center"/>
    </xf>
    <xf numFmtId="0" fontId="31" fillId="4" borderId="68" xfId="0" applyFont="1" applyFill="1" applyBorder="1" applyAlignment="1" applyProtection="1">
      <alignment horizontal="center" vertical="center" wrapText="1"/>
      <protection locked="0"/>
    </xf>
    <xf numFmtId="0" fontId="37" fillId="3" borderId="0" xfId="0" applyFont="1" applyFill="1"/>
    <xf numFmtId="0" fontId="35" fillId="4" borderId="3" xfId="0" applyFont="1" applyFill="1" applyBorder="1" applyAlignment="1" applyProtection="1">
      <alignment horizontal="center" vertical="center"/>
      <protection locked="0"/>
    </xf>
    <xf numFmtId="2" fontId="31" fillId="12" borderId="49" xfId="0" applyNumberFormat="1" applyFont="1" applyFill="1" applyBorder="1" applyAlignment="1">
      <alignment horizontal="center" vertical="center"/>
    </xf>
    <xf numFmtId="0" fontId="50" fillId="5" borderId="1" xfId="0" applyFont="1" applyFill="1" applyBorder="1" applyAlignment="1">
      <alignment horizontal="center" vertical="center" wrapText="1"/>
    </xf>
    <xf numFmtId="2" fontId="50" fillId="12" borderId="24" xfId="0" applyNumberFormat="1" applyFont="1" applyFill="1" applyBorder="1" applyAlignment="1">
      <alignment horizontal="center" vertical="center" wrapText="1"/>
    </xf>
    <xf numFmtId="2" fontId="31" fillId="2" borderId="0" xfId="0" applyNumberFormat="1" applyFont="1" applyFill="1" applyAlignment="1">
      <alignment horizontal="center" vertical="center"/>
    </xf>
    <xf numFmtId="2" fontId="31" fillId="2" borderId="0" xfId="0" applyNumberFormat="1" applyFont="1" applyFill="1" applyAlignment="1">
      <alignment vertical="center"/>
    </xf>
    <xf numFmtId="2" fontId="35" fillId="11" borderId="25" xfId="0" applyNumberFormat="1" applyFont="1" applyFill="1" applyBorder="1" applyAlignment="1">
      <alignment horizontal="center" vertical="center"/>
    </xf>
    <xf numFmtId="2" fontId="35" fillId="11" borderId="53" xfId="0" applyNumberFormat="1" applyFont="1" applyFill="1" applyBorder="1" applyAlignment="1">
      <alignment horizontal="center" vertical="center"/>
    </xf>
    <xf numFmtId="0" fontId="39" fillId="6" borderId="17" xfId="29" applyFont="1" applyFill="1" applyBorder="1" applyAlignment="1">
      <alignment vertical="center" wrapText="1"/>
      <protection/>
    </xf>
    <xf numFmtId="0" fontId="39" fillId="6" borderId="17" xfId="29" applyFont="1" applyFill="1" applyBorder="1" applyAlignment="1">
      <alignment wrapText="1"/>
      <protection/>
    </xf>
    <xf numFmtId="0" fontId="31" fillId="12" borderId="24" xfId="0" applyFont="1" applyFill="1" applyBorder="1" applyAlignment="1">
      <alignment horizontal="center"/>
    </xf>
    <xf numFmtId="0" fontId="39" fillId="6" borderId="6" xfId="29" applyFont="1" applyFill="1" applyBorder="1" applyAlignment="1">
      <alignment vertical="center" wrapText="1"/>
      <protection/>
    </xf>
    <xf numFmtId="0" fontId="31" fillId="2" borderId="0" xfId="0" applyFont="1" applyFill="1" applyAlignment="1">
      <alignment horizontal="left" vertical="center"/>
    </xf>
    <xf numFmtId="0" fontId="10" fillId="3" borderId="0" xfId="0" applyFont="1" applyFill="1"/>
    <xf numFmtId="0" fontId="11" fillId="3" borderId="0" xfId="0" applyFont="1" applyFill="1" applyAlignment="1">
      <alignment horizontal="left"/>
    </xf>
    <xf numFmtId="0" fontId="16" fillId="3" borderId="0" xfId="0" applyFont="1" applyFill="1"/>
    <xf numFmtId="2" fontId="10" fillId="3" borderId="0" xfId="0" applyNumberFormat="1" applyFont="1" applyFill="1"/>
    <xf numFmtId="0" fontId="10" fillId="3" borderId="69" xfId="0" applyFont="1" applyFill="1" applyBorder="1"/>
    <xf numFmtId="2" fontId="10" fillId="3" borderId="69" xfId="0" applyNumberFormat="1" applyFont="1" applyFill="1" applyBorder="1"/>
    <xf numFmtId="0" fontId="52" fillId="6" borderId="3" xfId="0" applyFont="1" applyFill="1" applyBorder="1"/>
    <xf numFmtId="0" fontId="13" fillId="6" borderId="3" xfId="0" applyFont="1" applyFill="1" applyBorder="1" applyAlignment="1">
      <alignment horizontal="center" vertical="center" wrapText="1"/>
    </xf>
    <xf numFmtId="2" fontId="13" fillId="11" borderId="15" xfId="0" applyNumberFormat="1" applyFont="1" applyFill="1" applyBorder="1" applyAlignment="1">
      <alignment horizontal="center" vertical="center"/>
    </xf>
    <xf numFmtId="2" fontId="13" fillId="11" borderId="1" xfId="0" applyNumberFormat="1" applyFont="1" applyFill="1" applyBorder="1" applyAlignment="1">
      <alignment horizontal="center" vertical="center"/>
    </xf>
    <xf numFmtId="2" fontId="13" fillId="11" borderId="24" xfId="0" applyNumberFormat="1" applyFont="1" applyFill="1" applyBorder="1" applyAlignment="1">
      <alignment horizontal="center" vertical="center"/>
    </xf>
    <xf numFmtId="2" fontId="13" fillId="11" borderId="7" xfId="0" applyNumberFormat="1" applyFont="1" applyFill="1" applyBorder="1" applyAlignment="1">
      <alignment horizontal="center" vertical="center"/>
    </xf>
    <xf numFmtId="2" fontId="13" fillId="11" borderId="8" xfId="0" applyNumberFormat="1" applyFont="1" applyFill="1" applyBorder="1" applyAlignment="1">
      <alignment horizontal="center" vertical="center"/>
    </xf>
    <xf numFmtId="0" fontId="59" fillId="3" borderId="0" xfId="0" applyFont="1" applyFill="1"/>
    <xf numFmtId="0" fontId="10" fillId="3" borderId="0" xfId="0" applyFont="1" applyFill="1" applyAlignment="1">
      <alignment horizontal="center" vertical="center" wrapText="1"/>
    </xf>
    <xf numFmtId="0" fontId="10" fillId="3" borderId="0" xfId="0" applyFont="1" applyFill="1" applyAlignment="1">
      <alignment wrapText="1"/>
    </xf>
    <xf numFmtId="0" fontId="16" fillId="6" borderId="67" xfId="0" applyFont="1" applyFill="1" applyBorder="1" applyAlignment="1">
      <alignment horizontal="center" vertical="center" wrapText="1"/>
    </xf>
    <xf numFmtId="0" fontId="13" fillId="6" borderId="67" xfId="0" applyFont="1" applyFill="1" applyBorder="1" applyAlignment="1">
      <alignment horizontal="center" vertical="center" wrapText="1"/>
    </xf>
    <xf numFmtId="0" fontId="13" fillId="6" borderId="18" xfId="0" applyFont="1" applyFill="1" applyBorder="1" applyAlignment="1">
      <alignment horizontal="center" vertical="center" wrapText="1"/>
    </xf>
    <xf numFmtId="2" fontId="13" fillId="11" borderId="22" xfId="0" applyNumberFormat="1" applyFont="1" applyFill="1" applyBorder="1" applyAlignment="1">
      <alignment horizontal="center" vertical="center"/>
    </xf>
    <xf numFmtId="2" fontId="13" fillId="11" borderId="23" xfId="0" applyNumberFormat="1" applyFont="1" applyFill="1" applyBorder="1" applyAlignment="1">
      <alignment horizontal="center" vertical="center"/>
    </xf>
    <xf numFmtId="0" fontId="13" fillId="6" borderId="17" xfId="0" applyFont="1" applyFill="1" applyBorder="1" applyAlignment="1">
      <alignment horizontal="center" vertical="center" wrapText="1"/>
    </xf>
    <xf numFmtId="0" fontId="13" fillId="6" borderId="17" xfId="0" applyFont="1" applyFill="1" applyBorder="1" applyAlignment="1">
      <alignment horizontal="center" vertical="center"/>
    </xf>
    <xf numFmtId="0" fontId="13" fillId="5" borderId="6" xfId="0" applyFont="1" applyFill="1" applyBorder="1" applyAlignment="1">
      <alignment horizontal="center" vertical="center" wrapText="1"/>
    </xf>
    <xf numFmtId="0" fontId="10" fillId="3" borderId="70" xfId="0" applyFont="1" applyFill="1" applyBorder="1"/>
    <xf numFmtId="0" fontId="13" fillId="6" borderId="37" xfId="0" applyFont="1" applyFill="1" applyBorder="1" applyAlignment="1">
      <alignment horizontal="center" vertical="top" wrapText="1"/>
    </xf>
    <xf numFmtId="0" fontId="13" fillId="6" borderId="68" xfId="0" applyFont="1" applyFill="1" applyBorder="1" applyAlignment="1">
      <alignment horizontal="center" vertical="top" wrapText="1"/>
    </xf>
    <xf numFmtId="0" fontId="13" fillId="6" borderId="71" xfId="0" applyFont="1" applyFill="1" applyBorder="1" applyAlignment="1">
      <alignment horizontal="center" vertical="top" wrapText="1"/>
    </xf>
    <xf numFmtId="165" fontId="13" fillId="11" borderId="15" xfId="0" applyNumberFormat="1" applyFont="1" applyFill="1" applyBorder="1" applyAlignment="1">
      <alignment horizontal="center" vertical="center"/>
    </xf>
    <xf numFmtId="2" fontId="31" fillId="2" borderId="0" xfId="0" applyNumberFormat="1" applyFont="1" applyFill="1" applyAlignment="1">
      <alignment horizontal="center" vertical="center" wrapText="1"/>
    </xf>
    <xf numFmtId="0" fontId="31" fillId="5" borderId="1" xfId="0" applyFont="1" applyFill="1" applyBorder="1"/>
    <xf numFmtId="0" fontId="13" fillId="5" borderId="17"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17" xfId="0" applyFont="1" applyFill="1" applyBorder="1" applyAlignment="1">
      <alignment horizontal="center" vertical="center" wrapText="1"/>
    </xf>
    <xf numFmtId="0" fontId="35" fillId="12" borderId="42" xfId="0" applyFont="1" applyFill="1" applyBorder="1" applyAlignment="1">
      <alignment horizontal="right" vertical="center" wrapText="1"/>
    </xf>
    <xf numFmtId="0" fontId="50" fillId="3" borderId="0" xfId="0" applyFont="1" applyFill="1" applyAlignment="1">
      <alignment horizontal="center"/>
    </xf>
    <xf numFmtId="10" fontId="14" fillId="16" borderId="23" xfId="0" applyNumberFormat="1" applyFont="1" applyFill="1" applyBorder="1" applyAlignment="1">
      <alignment horizontal="center" vertical="center" wrapText="1"/>
    </xf>
    <xf numFmtId="10" fontId="14" fillId="16" borderId="24" xfId="0" applyNumberFormat="1" applyFont="1" applyFill="1" applyBorder="1" applyAlignment="1">
      <alignment horizontal="center" vertical="center" wrapText="1"/>
    </xf>
    <xf numFmtId="10" fontId="14" fillId="16" borderId="8" xfId="0" applyNumberFormat="1" applyFont="1" applyFill="1" applyBorder="1" applyAlignment="1">
      <alignment horizontal="center" vertical="center" wrapText="1"/>
    </xf>
    <xf numFmtId="0" fontId="31" fillId="3" borderId="0" xfId="0" applyFont="1" applyFill="1" applyAlignment="1">
      <alignment vertical="center"/>
    </xf>
    <xf numFmtId="0" fontId="11" fillId="2" borderId="0" xfId="0" applyFont="1" applyFill="1" applyAlignment="1">
      <alignment horizontal="center"/>
    </xf>
    <xf numFmtId="0" fontId="35" fillId="6" borderId="49" xfId="0" applyFont="1" applyFill="1" applyBorder="1" applyAlignment="1">
      <alignment horizontal="center" vertical="center" wrapText="1"/>
    </xf>
    <xf numFmtId="0" fontId="35" fillId="6" borderId="46" xfId="0" applyFont="1" applyFill="1" applyBorder="1" applyAlignment="1">
      <alignment horizontal="center" vertical="center" wrapText="1"/>
    </xf>
    <xf numFmtId="0" fontId="26" fillId="3" borderId="0" xfId="0" applyFont="1" applyFill="1" applyAlignment="1">
      <alignment horizontal="center" vertical="center"/>
    </xf>
    <xf numFmtId="2" fontId="31" fillId="11" borderId="20" xfId="0" applyNumberFormat="1" applyFont="1" applyFill="1" applyBorder="1" applyAlignment="1">
      <alignment horizontal="center" vertical="center" wrapText="1"/>
    </xf>
    <xf numFmtId="0" fontId="61" fillId="2" borderId="0" xfId="0" applyFont="1" applyFill="1" applyAlignment="1">
      <alignment vertical="center"/>
    </xf>
    <xf numFmtId="0" fontId="60" fillId="2" borderId="0" xfId="0" applyFont="1" applyFill="1" applyAlignment="1">
      <alignment vertical="center" wrapText="1"/>
    </xf>
    <xf numFmtId="0" fontId="35" fillId="5" borderId="72" xfId="0" applyFont="1" applyFill="1" applyBorder="1" applyAlignment="1">
      <alignment horizontal="center" vertical="center" wrapText="1"/>
    </xf>
    <xf numFmtId="0" fontId="15" fillId="6" borderId="66" xfId="0" applyFont="1" applyFill="1" applyBorder="1"/>
    <xf numFmtId="0" fontId="39" fillId="6" borderId="18" xfId="29" applyFont="1" applyFill="1" applyBorder="1" applyAlignment="1">
      <alignment vertical="center" wrapText="1"/>
      <protection/>
    </xf>
    <xf numFmtId="2" fontId="14" fillId="16" borderId="22" xfId="0" applyNumberFormat="1" applyFont="1" applyFill="1" applyBorder="1" applyAlignment="1">
      <alignment horizontal="center" vertical="center"/>
    </xf>
    <xf numFmtId="2" fontId="14" fillId="16" borderId="1" xfId="0" applyNumberFormat="1" applyFont="1" applyFill="1" applyBorder="1" applyAlignment="1">
      <alignment horizontal="center" vertical="center"/>
    </xf>
    <xf numFmtId="2" fontId="14" fillId="16" borderId="7" xfId="0" applyNumberFormat="1" applyFont="1" applyFill="1" applyBorder="1" applyAlignment="1">
      <alignment horizontal="center" vertical="center"/>
    </xf>
    <xf numFmtId="10" fontId="14" fillId="16" borderId="1" xfId="0" applyNumberFormat="1" applyFont="1" applyFill="1" applyBorder="1" applyAlignment="1">
      <alignment horizontal="center" vertical="center"/>
    </xf>
    <xf numFmtId="10" fontId="14" fillId="16" borderId="22" xfId="0" applyNumberFormat="1" applyFont="1" applyFill="1" applyBorder="1" applyAlignment="1">
      <alignment horizontal="center" vertical="center"/>
    </xf>
    <xf numFmtId="10" fontId="14" fillId="16" borderId="7" xfId="0" applyNumberFormat="1" applyFont="1" applyFill="1" applyBorder="1" applyAlignment="1">
      <alignment horizontal="center" vertical="center"/>
    </xf>
    <xf numFmtId="2" fontId="35" fillId="11" borderId="31" xfId="0" applyNumberFormat="1" applyFont="1" applyFill="1" applyBorder="1" applyAlignment="1">
      <alignment horizontal="center" vertical="center"/>
    </xf>
    <xf numFmtId="0" fontId="15" fillId="6" borderId="1" xfId="0" applyFont="1" applyFill="1" applyBorder="1" applyAlignment="1">
      <alignment horizontal="center" vertical="center" wrapText="1"/>
    </xf>
    <xf numFmtId="0" fontId="35" fillId="5" borderId="67" xfId="0" applyFont="1" applyFill="1" applyBorder="1" applyAlignment="1">
      <alignment horizontal="center" vertical="center" wrapText="1"/>
    </xf>
    <xf numFmtId="0" fontId="35" fillId="6" borderId="3" xfId="0" applyFont="1" applyFill="1" applyBorder="1" applyAlignment="1">
      <alignment horizontal="center" vertical="center" wrapText="1"/>
    </xf>
    <xf numFmtId="0" fontId="35" fillId="6" borderId="3" xfId="0" applyFont="1" applyFill="1" applyBorder="1" applyAlignment="1">
      <alignment horizontal="center" vertical="center"/>
    </xf>
    <xf numFmtId="0" fontId="0" fillId="17" borderId="0" xfId="0" applyFill="1"/>
    <xf numFmtId="0" fontId="31" fillId="12" borderId="13" xfId="0" applyFont="1" applyFill="1" applyBorder="1" applyAlignment="1">
      <alignment horizontal="center" vertical="center"/>
    </xf>
    <xf numFmtId="0" fontId="31" fillId="12" borderId="56" xfId="0" applyFont="1" applyFill="1" applyBorder="1" applyAlignment="1">
      <alignment horizontal="center" vertical="center"/>
    </xf>
    <xf numFmtId="2" fontId="31" fillId="11" borderId="35" xfId="0" applyNumberFormat="1" applyFont="1" applyFill="1" applyBorder="1" applyAlignment="1">
      <alignment horizontal="center" vertical="center"/>
    </xf>
    <xf numFmtId="2" fontId="31" fillId="2" borderId="14" xfId="0" applyNumberFormat="1" applyFont="1" applyFill="1" applyBorder="1" applyAlignment="1">
      <alignment horizontal="center" vertical="center"/>
    </xf>
    <xf numFmtId="2" fontId="31" fillId="2" borderId="15" xfId="0" applyNumberFormat="1" applyFont="1" applyFill="1" applyBorder="1" applyAlignment="1">
      <alignment horizontal="center" vertical="center"/>
    </xf>
    <xf numFmtId="0" fontId="35" fillId="5" borderId="45" xfId="0" applyFont="1" applyFill="1" applyBorder="1" applyAlignment="1">
      <alignment horizontal="center" vertical="center"/>
    </xf>
    <xf numFmtId="0" fontId="35" fillId="4" borderId="65" xfId="0" applyFont="1" applyFill="1" applyBorder="1" applyAlignment="1" applyProtection="1">
      <alignment horizontal="center" vertical="center" wrapText="1"/>
      <protection locked="0"/>
    </xf>
    <xf numFmtId="2" fontId="35" fillId="11" borderId="5" xfId="0" applyNumberFormat="1" applyFont="1" applyFill="1" applyBorder="1" applyAlignment="1">
      <alignment horizontal="center" vertical="center" wrapText="1"/>
    </xf>
    <xf numFmtId="2" fontId="35" fillId="11" borderId="27" xfId="0" applyNumberFormat="1" applyFont="1" applyFill="1" applyBorder="1" applyAlignment="1">
      <alignment horizontal="center" vertical="center" wrapText="1"/>
    </xf>
    <xf numFmtId="0" fontId="35" fillId="2" borderId="10" xfId="0" applyFont="1" applyFill="1" applyBorder="1" applyAlignment="1">
      <alignment horizontal="center" vertical="center"/>
    </xf>
    <xf numFmtId="0" fontId="25" fillId="2" borderId="0" xfId="0" applyFont="1" applyFill="1" applyAlignment="1">
      <alignment wrapText="1"/>
    </xf>
    <xf numFmtId="0" fontId="31" fillId="4" borderId="42" xfId="0" applyFont="1" applyFill="1" applyBorder="1" applyAlignment="1" applyProtection="1">
      <alignment horizontal="center" vertical="center" wrapText="1"/>
      <protection locked="0"/>
    </xf>
    <xf numFmtId="0" fontId="35" fillId="6" borderId="42" xfId="0" applyFont="1" applyFill="1" applyBorder="1" applyAlignment="1">
      <alignment horizontal="center" vertical="center"/>
    </xf>
    <xf numFmtId="0" fontId="50" fillId="2" borderId="0" xfId="0" applyFont="1" applyFill="1" applyAlignment="1">
      <alignment horizontal="center" vertical="center"/>
    </xf>
    <xf numFmtId="2" fontId="10" fillId="2" borderId="0" xfId="0" applyNumberFormat="1" applyFont="1" applyFill="1" applyAlignment="1">
      <alignment horizontal="center" vertical="center"/>
    </xf>
    <xf numFmtId="0" fontId="35" fillId="5" borderId="1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6" borderId="67" xfId="0" applyFont="1" applyFill="1" applyBorder="1" applyAlignment="1">
      <alignment horizontal="center" vertical="center"/>
    </xf>
    <xf numFmtId="0" fontId="35" fillId="6" borderId="67" xfId="0" applyFont="1" applyFill="1" applyBorder="1" applyAlignment="1">
      <alignment horizontal="center" vertical="center" wrapText="1"/>
    </xf>
    <xf numFmtId="0" fontId="35" fillId="6" borderId="55" xfId="0" applyFont="1" applyFill="1" applyBorder="1" applyAlignment="1">
      <alignment horizontal="center" vertical="center" wrapText="1"/>
    </xf>
    <xf numFmtId="0" fontId="35" fillId="6" borderId="73" xfId="0" applyFont="1" applyFill="1" applyBorder="1" applyAlignment="1">
      <alignment horizontal="center" vertical="center" wrapText="1"/>
    </xf>
    <xf numFmtId="0" fontId="35" fillId="6" borderId="54" xfId="0" applyFont="1" applyFill="1" applyBorder="1" applyAlignment="1">
      <alignment horizontal="center" vertical="center" wrapText="1"/>
    </xf>
    <xf numFmtId="0" fontId="35" fillId="5" borderId="34" xfId="0" applyFont="1" applyFill="1" applyBorder="1" applyAlignment="1">
      <alignment horizontal="center" vertical="center" wrapText="1"/>
    </xf>
    <xf numFmtId="0" fontId="15" fillId="6" borderId="17" xfId="0" applyFont="1" applyFill="1" applyBorder="1" applyAlignment="1">
      <alignment horizontal="center" vertical="center" wrapText="1"/>
    </xf>
    <xf numFmtId="2" fontId="35" fillId="11" borderId="25" xfId="0" applyNumberFormat="1" applyFont="1" applyFill="1" applyBorder="1" applyAlignment="1">
      <alignment horizontal="center"/>
    </xf>
    <xf numFmtId="0" fontId="66" fillId="2" borderId="0" xfId="0" applyFont="1" applyFill="1"/>
    <xf numFmtId="0" fontId="66" fillId="17" borderId="0" xfId="0" applyFont="1" applyFill="1"/>
    <xf numFmtId="0" fontId="0" fillId="5" borderId="25" xfId="0" applyFill="1" applyBorder="1" applyAlignment="1">
      <alignment horizontal="center" vertical="center"/>
    </xf>
    <xf numFmtId="0" fontId="0" fillId="5" borderId="53" xfId="0" applyFill="1" applyBorder="1" applyAlignment="1">
      <alignment horizontal="center" vertical="center"/>
    </xf>
    <xf numFmtId="0" fontId="0" fillId="5" borderId="54" xfId="0" applyFill="1" applyBorder="1" applyAlignment="1">
      <alignment horizontal="center" vertical="center"/>
    </xf>
    <xf numFmtId="2" fontId="35" fillId="11" borderId="74" xfId="0" applyNumberFormat="1" applyFont="1" applyFill="1" applyBorder="1" applyAlignment="1">
      <alignment horizontal="center" vertical="center" wrapText="1"/>
    </xf>
    <xf numFmtId="0" fontId="35" fillId="2" borderId="30"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1" fillId="10" borderId="22" xfId="0" applyFont="1" applyFill="1" applyBorder="1" applyAlignment="1">
      <alignment horizontal="center" vertical="top"/>
    </xf>
    <xf numFmtId="0" fontId="31" fillId="0" borderId="23" xfId="0" applyFont="1" applyBorder="1" applyAlignment="1" applyProtection="1">
      <alignment horizontal="center" vertical="center" wrapText="1"/>
      <protection locked="0"/>
    </xf>
    <xf numFmtId="0" fontId="31" fillId="12" borderId="23" xfId="0" applyFont="1" applyFill="1" applyBorder="1" applyAlignment="1">
      <alignment horizontal="center" vertical="center" wrapText="1"/>
    </xf>
    <xf numFmtId="0" fontId="31" fillId="0" borderId="18" xfId="0" applyFont="1" applyBorder="1" applyAlignment="1" applyProtection="1">
      <alignment horizontal="center" vertical="center" wrapText="1"/>
      <protection locked="0"/>
    </xf>
    <xf numFmtId="0" fontId="31" fillId="12" borderId="61" xfId="0" applyFont="1" applyFill="1" applyBorder="1" applyAlignment="1">
      <alignment horizontal="center" vertical="center" wrapText="1"/>
    </xf>
    <xf numFmtId="0" fontId="31" fillId="12" borderId="65" xfId="0" applyFont="1" applyFill="1" applyBorder="1" applyAlignment="1">
      <alignment horizontal="center" vertical="center" wrapText="1"/>
    </xf>
    <xf numFmtId="2" fontId="31" fillId="11" borderId="26" xfId="0" applyNumberFormat="1" applyFont="1" applyFill="1" applyBorder="1" applyAlignment="1">
      <alignment horizontal="center" vertical="center" wrapText="1"/>
    </xf>
    <xf numFmtId="0" fontId="31" fillId="12" borderId="25" xfId="0" applyFont="1" applyFill="1" applyBorder="1" applyAlignment="1">
      <alignment horizontal="center" vertical="center" wrapText="1"/>
    </xf>
    <xf numFmtId="0" fontId="31" fillId="12" borderId="54" xfId="0" applyFont="1" applyFill="1" applyBorder="1" applyAlignment="1">
      <alignment horizontal="center" vertical="center" wrapText="1"/>
    </xf>
    <xf numFmtId="0" fontId="31" fillId="12" borderId="53" xfId="0" applyFont="1" applyFill="1" applyBorder="1" applyAlignment="1">
      <alignment horizontal="center" vertical="center" wrapText="1"/>
    </xf>
    <xf numFmtId="0" fontId="31" fillId="12" borderId="42" xfId="0" applyFont="1" applyFill="1" applyBorder="1" applyAlignment="1">
      <alignment horizontal="center" vertical="center" wrapText="1"/>
    </xf>
    <xf numFmtId="2" fontId="35" fillId="11" borderId="25" xfId="0" applyNumberFormat="1" applyFont="1" applyFill="1" applyBorder="1" applyAlignment="1">
      <alignment horizontal="center" vertical="center" wrapText="1"/>
    </xf>
    <xf numFmtId="0" fontId="31" fillId="0" borderId="75" xfId="0" applyFont="1" applyBorder="1" applyAlignment="1" applyProtection="1">
      <alignment horizontal="center" vertical="center" wrapText="1"/>
      <protection locked="0"/>
    </xf>
    <xf numFmtId="2" fontId="31" fillId="12" borderId="22" xfId="0" applyNumberFormat="1" applyFont="1" applyFill="1" applyBorder="1" applyAlignment="1">
      <alignment horizontal="center" vertical="center" wrapText="1"/>
    </xf>
    <xf numFmtId="2" fontId="31" fillId="11" borderId="22" xfId="0" applyNumberFormat="1" applyFont="1" applyFill="1" applyBorder="1" applyAlignment="1">
      <alignment horizontal="center" vertical="center" wrapText="1"/>
    </xf>
    <xf numFmtId="2" fontId="31" fillId="12" borderId="53" xfId="0" applyNumberFormat="1" applyFont="1" applyFill="1" applyBorder="1" applyAlignment="1">
      <alignment horizontal="center" vertical="center" wrapText="1"/>
    </xf>
    <xf numFmtId="2" fontId="31" fillId="11" borderId="53" xfId="0" applyNumberFormat="1" applyFont="1" applyFill="1" applyBorder="1" applyAlignment="1">
      <alignment horizontal="center" vertical="center" wrapText="1"/>
    </xf>
    <xf numFmtId="0" fontId="31" fillId="0" borderId="76" xfId="0" applyFont="1" applyBorder="1" applyAlignment="1" applyProtection="1">
      <alignment horizontal="center" vertical="center" wrapText="1"/>
      <protection locked="0"/>
    </xf>
    <xf numFmtId="0" fontId="35" fillId="5" borderId="46" xfId="0" applyFont="1" applyFill="1" applyBorder="1" applyAlignment="1">
      <alignment horizontal="center" vertical="center" wrapText="1"/>
    </xf>
    <xf numFmtId="0" fontId="35" fillId="5" borderId="46" xfId="0" applyFont="1" applyFill="1" applyBorder="1" applyAlignment="1">
      <alignment horizontal="center" vertical="center"/>
    </xf>
    <xf numFmtId="0" fontId="35" fillId="5" borderId="49"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6" borderId="53" xfId="0" applyFont="1" applyFill="1" applyBorder="1" applyAlignment="1">
      <alignment horizontal="center" vertical="center" wrapText="1"/>
    </xf>
    <xf numFmtId="0" fontId="31" fillId="0" borderId="22" xfId="0" applyFont="1" applyBorder="1" applyAlignment="1" applyProtection="1">
      <alignment horizontal="center" vertical="center" wrapText="1"/>
      <protection locked="0"/>
    </xf>
    <xf numFmtId="0" fontId="31" fillId="10" borderId="22" xfId="0" applyFont="1" applyFill="1" applyBorder="1" applyAlignment="1">
      <alignment horizontal="center" vertical="top" wrapText="1"/>
    </xf>
    <xf numFmtId="166" fontId="31" fillId="12" borderId="23" xfId="0" applyNumberFormat="1" applyFont="1" applyFill="1" applyBorder="1" applyAlignment="1">
      <alignment horizontal="center" vertical="center" wrapText="1"/>
    </xf>
    <xf numFmtId="0" fontId="31" fillId="12" borderId="75" xfId="0" applyFont="1" applyFill="1" applyBorder="1" applyAlignment="1">
      <alignment horizontal="center" vertical="center" wrapText="1"/>
    </xf>
    <xf numFmtId="0" fontId="31" fillId="0" borderId="25" xfId="0" applyFont="1" applyBorder="1" applyAlignment="1" applyProtection="1">
      <alignment horizontal="center" vertical="center" wrapText="1"/>
      <protection locked="0"/>
    </xf>
    <xf numFmtId="0" fontId="31" fillId="10" borderId="53" xfId="0" applyFont="1" applyFill="1" applyBorder="1" applyAlignment="1">
      <alignment horizontal="center" vertical="top" wrapText="1"/>
    </xf>
    <xf numFmtId="0" fontId="31" fillId="12" borderId="31" xfId="0" applyFont="1" applyFill="1" applyBorder="1" applyAlignment="1">
      <alignment horizontal="center" vertical="center" wrapText="1"/>
    </xf>
    <xf numFmtId="0" fontId="31" fillId="12" borderId="53" xfId="0" applyFont="1" applyFill="1" applyBorder="1" applyAlignment="1">
      <alignment horizontal="center" vertical="center"/>
    </xf>
    <xf numFmtId="166" fontId="31" fillId="12" borderId="54" xfId="0" applyNumberFormat="1" applyFont="1" applyFill="1" applyBorder="1" applyAlignment="1">
      <alignment horizontal="center" vertical="center" wrapText="1"/>
    </xf>
    <xf numFmtId="0" fontId="35" fillId="6" borderId="30" xfId="0" applyFont="1" applyFill="1" applyBorder="1" applyAlignment="1" applyProtection="1">
      <alignment horizontal="center" vertical="center"/>
      <protection locked="0"/>
    </xf>
    <xf numFmtId="0" fontId="31" fillId="0" borderId="22" xfId="0" applyFont="1" applyBorder="1" applyAlignment="1" applyProtection="1">
      <alignment horizontal="center" vertical="center"/>
      <protection locked="0"/>
    </xf>
    <xf numFmtId="0" fontId="31" fillId="4" borderId="22" xfId="0" applyFont="1" applyFill="1" applyBorder="1" applyAlignment="1">
      <alignment horizontal="center" vertical="top"/>
    </xf>
    <xf numFmtId="2" fontId="31" fillId="11" borderId="26" xfId="0" applyNumberFormat="1" applyFont="1" applyFill="1" applyBorder="1" applyAlignment="1">
      <alignment horizontal="center" vertical="center"/>
    </xf>
    <xf numFmtId="0" fontId="31" fillId="0" borderId="7" xfId="0" applyFont="1" applyBorder="1" applyAlignment="1" applyProtection="1">
      <alignment horizontal="center" vertical="center"/>
      <protection locked="0"/>
    </xf>
    <xf numFmtId="0" fontId="31" fillId="4" borderId="53" xfId="0" applyFont="1" applyFill="1" applyBorder="1" applyAlignment="1">
      <alignment horizontal="center" vertical="top"/>
    </xf>
    <xf numFmtId="0" fontId="31" fillId="12" borderId="25" xfId="0" applyFont="1" applyFill="1" applyBorder="1" applyAlignment="1">
      <alignment horizontal="center" vertical="center"/>
    </xf>
    <xf numFmtId="2" fontId="31" fillId="11" borderId="55" xfId="0" applyNumberFormat="1" applyFont="1" applyFill="1" applyBorder="1" applyAlignment="1">
      <alignment horizontal="center" vertical="center"/>
    </xf>
    <xf numFmtId="0" fontId="31" fillId="12" borderId="31" xfId="0" applyFont="1" applyFill="1" applyBorder="1" applyAlignment="1">
      <alignment horizontal="center" vertical="center"/>
    </xf>
    <xf numFmtId="0" fontId="35" fillId="6" borderId="27" xfId="0" applyFont="1" applyFill="1" applyBorder="1" applyAlignment="1">
      <alignment horizontal="center" vertical="center"/>
    </xf>
    <xf numFmtId="0" fontId="35" fillId="6" borderId="5" xfId="0" applyFont="1" applyFill="1" applyBorder="1" applyAlignment="1">
      <alignment horizontal="center" vertical="center"/>
    </xf>
    <xf numFmtId="0" fontId="35" fillId="6" borderId="4" xfId="0" applyFont="1" applyFill="1" applyBorder="1" applyAlignment="1">
      <alignment horizontal="center" vertical="center"/>
    </xf>
    <xf numFmtId="0" fontId="31" fillId="0" borderId="26" xfId="0" applyFont="1" applyBorder="1" applyAlignment="1" applyProtection="1">
      <alignment horizontal="center" vertical="center" wrapText="1"/>
      <protection locked="0"/>
    </xf>
    <xf numFmtId="0" fontId="31" fillId="0" borderId="35" xfId="0" applyFont="1" applyBorder="1" applyAlignment="1" applyProtection="1">
      <alignment horizontal="center" vertical="center" wrapText="1"/>
      <protection locked="0"/>
    </xf>
    <xf numFmtId="0" fontId="31" fillId="0" borderId="55" xfId="0" applyFont="1" applyBorder="1" applyAlignment="1" applyProtection="1">
      <alignment horizontal="center" vertical="center" wrapText="1"/>
      <protection locked="0"/>
    </xf>
    <xf numFmtId="0" fontId="35" fillId="6" borderId="3" xfId="0" applyFont="1" applyFill="1" applyBorder="1" applyAlignment="1" applyProtection="1">
      <alignment horizontal="center" vertical="center" wrapText="1"/>
      <protection locked="0"/>
    </xf>
    <xf numFmtId="0" fontId="35" fillId="6" borderId="43" xfId="0" applyFont="1" applyFill="1" applyBorder="1" applyAlignment="1">
      <alignment horizontal="center" vertical="center" wrapText="1"/>
    </xf>
    <xf numFmtId="0" fontId="31" fillId="4" borderId="18" xfId="0" applyFont="1" applyFill="1" applyBorder="1" applyAlignment="1" applyProtection="1">
      <alignment horizontal="center" vertical="center" wrapText="1"/>
      <protection locked="0"/>
    </xf>
    <xf numFmtId="0" fontId="31" fillId="4" borderId="22" xfId="0" applyFont="1" applyFill="1" applyBorder="1" applyAlignment="1" applyProtection="1">
      <alignment horizontal="center" vertical="center" wrapText="1"/>
      <protection locked="0"/>
    </xf>
    <xf numFmtId="0" fontId="31" fillId="4" borderId="22" xfId="0" applyFont="1" applyFill="1" applyBorder="1" applyAlignment="1">
      <alignment horizontal="center" vertical="top" wrapText="1"/>
    </xf>
    <xf numFmtId="0" fontId="31" fillId="4" borderId="77" xfId="0" applyFont="1" applyFill="1" applyBorder="1" applyAlignment="1" applyProtection="1">
      <alignment horizontal="center" vertical="center" wrapText="1"/>
      <protection locked="0"/>
    </xf>
    <xf numFmtId="0" fontId="31" fillId="4" borderId="75" xfId="0" applyFont="1" applyFill="1" applyBorder="1" applyAlignment="1" applyProtection="1">
      <alignment horizontal="center" vertical="center" wrapText="1"/>
      <protection locked="0"/>
    </xf>
    <xf numFmtId="0" fontId="31" fillId="12" borderId="77" xfId="0" applyFont="1" applyFill="1" applyBorder="1" applyAlignment="1">
      <alignment horizontal="center" vertical="center" wrapText="1"/>
    </xf>
    <xf numFmtId="2" fontId="31" fillId="11" borderId="23" xfId="0" applyNumberFormat="1" applyFont="1" applyFill="1" applyBorder="1" applyAlignment="1">
      <alignment horizontal="center" vertical="center" wrapText="1"/>
    </xf>
    <xf numFmtId="0" fontId="31" fillId="4" borderId="7" xfId="0" applyFont="1" applyFill="1" applyBorder="1" applyAlignment="1">
      <alignment horizontal="center" vertical="top" wrapText="1"/>
    </xf>
    <xf numFmtId="0" fontId="31" fillId="12" borderId="78" xfId="0" applyFont="1" applyFill="1" applyBorder="1" applyAlignment="1">
      <alignment horizontal="center" vertical="center" wrapText="1"/>
    </xf>
    <xf numFmtId="166" fontId="31" fillId="12" borderId="8" xfId="0" applyNumberFormat="1" applyFont="1" applyFill="1" applyBorder="1" applyAlignment="1">
      <alignment horizontal="center" vertical="center" wrapText="1"/>
    </xf>
    <xf numFmtId="2" fontId="31" fillId="11" borderId="54" xfId="0" applyNumberFormat="1" applyFont="1" applyFill="1" applyBorder="1" applyAlignment="1">
      <alignment horizontal="center" vertical="center" wrapText="1"/>
    </xf>
    <xf numFmtId="0" fontId="35" fillId="6" borderId="33" xfId="0" applyFont="1" applyFill="1" applyBorder="1" applyAlignment="1" applyProtection="1">
      <alignment horizontal="center" vertical="center" wrapText="1"/>
      <protection locked="0"/>
    </xf>
    <xf numFmtId="0" fontId="39" fillId="12" borderId="13" xfId="28" applyFont="1" applyFill="1" applyBorder="1" applyAlignment="1">
      <alignment horizontal="center" vertical="center" wrapText="1"/>
      <protection/>
    </xf>
    <xf numFmtId="0" fontId="35" fillId="3" borderId="3" xfId="0" applyFont="1" applyFill="1" applyBorder="1" applyAlignment="1">
      <alignment horizontal="center" vertical="center" wrapText="1"/>
    </xf>
    <xf numFmtId="0" fontId="35" fillId="6" borderId="31" xfId="0" applyFont="1" applyFill="1" applyBorder="1" applyAlignment="1">
      <alignment horizontal="center" vertical="center" wrapText="1"/>
    </xf>
    <xf numFmtId="0" fontId="35" fillId="3" borderId="30" xfId="0" applyFont="1" applyFill="1" applyBorder="1" applyAlignment="1">
      <alignment horizontal="center" vertical="center" wrapText="1"/>
    </xf>
    <xf numFmtId="0" fontId="31" fillId="4" borderId="23" xfId="0" applyFont="1" applyFill="1" applyBorder="1" applyAlignment="1" applyProtection="1">
      <alignment horizontal="center" vertical="center" wrapText="1"/>
      <protection locked="0"/>
    </xf>
    <xf numFmtId="0" fontId="35" fillId="6" borderId="8" xfId="0" applyFont="1" applyFill="1" applyBorder="1" applyAlignment="1">
      <alignment horizontal="center" vertical="center" wrapText="1"/>
    </xf>
    <xf numFmtId="0" fontId="35" fillId="6" borderId="76" xfId="0" applyFont="1" applyFill="1" applyBorder="1" applyAlignment="1">
      <alignment horizontal="center" vertical="center" wrapText="1"/>
    </xf>
    <xf numFmtId="0" fontId="39" fillId="12" borderId="13" xfId="28" applyFont="1" applyFill="1" applyBorder="1" applyAlignment="1">
      <alignment horizontal="center" vertical="center"/>
      <protection/>
    </xf>
    <xf numFmtId="0" fontId="31" fillId="4" borderId="35" xfId="0" applyFont="1" applyFill="1" applyBorder="1" applyAlignment="1" applyProtection="1">
      <alignment horizontal="center" vertical="center" wrapText="1"/>
      <protection locked="0"/>
    </xf>
    <xf numFmtId="0" fontId="35" fillId="6" borderId="10" xfId="0" applyFont="1" applyFill="1" applyBorder="1" applyAlignment="1">
      <alignment horizontal="center" vertical="center" wrapText="1"/>
    </xf>
    <xf numFmtId="0" fontId="35" fillId="6" borderId="31" xfId="0" applyFont="1" applyFill="1" applyBorder="1" applyAlignment="1" applyProtection="1">
      <alignment horizontal="center" vertical="center" wrapText="1"/>
      <protection locked="0"/>
    </xf>
    <xf numFmtId="0" fontId="35" fillId="5" borderId="25" xfId="0" applyFont="1" applyFill="1" applyBorder="1" applyAlignment="1">
      <alignment horizontal="center" vertical="center" wrapText="1"/>
    </xf>
    <xf numFmtId="0" fontId="35" fillId="5" borderId="76"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54" xfId="0" applyFont="1" applyFill="1" applyBorder="1" applyAlignment="1">
      <alignment horizontal="center" vertical="center" wrapText="1"/>
    </xf>
    <xf numFmtId="2" fontId="35" fillId="11" borderId="32" xfId="0" applyNumberFormat="1" applyFont="1" applyFill="1" applyBorder="1" applyAlignment="1">
      <alignment horizontal="center" vertical="center" wrapText="1"/>
    </xf>
    <xf numFmtId="0" fontId="31" fillId="4" borderId="25" xfId="0" applyFont="1" applyFill="1" applyBorder="1" applyAlignment="1" applyProtection="1">
      <alignment horizontal="center" vertical="center" wrapText="1"/>
      <protection locked="0"/>
    </xf>
    <xf numFmtId="0" fontId="35" fillId="6" borderId="7" xfId="0" applyFont="1" applyFill="1" applyBorder="1" applyAlignment="1">
      <alignment horizontal="center" vertical="center" wrapText="1"/>
    </xf>
    <xf numFmtId="0" fontId="31" fillId="4" borderId="76" xfId="0" applyFont="1" applyFill="1" applyBorder="1" applyAlignment="1" applyProtection="1">
      <alignment horizontal="center" vertical="center" wrapText="1"/>
      <protection locked="0"/>
    </xf>
    <xf numFmtId="166" fontId="31" fillId="12" borderId="22" xfId="0" applyNumberFormat="1" applyFont="1" applyFill="1" applyBorder="1" applyAlignment="1">
      <alignment horizontal="center" vertical="center" wrapText="1"/>
    </xf>
    <xf numFmtId="0" fontId="31" fillId="4" borderId="51" xfId="0" applyFont="1" applyFill="1" applyBorder="1" applyAlignment="1" applyProtection="1">
      <alignment horizontal="center" vertical="center" wrapText="1"/>
      <protection locked="0"/>
    </xf>
    <xf numFmtId="166" fontId="31" fillId="12" borderId="53" xfId="0" applyNumberFormat="1" applyFont="1" applyFill="1" applyBorder="1" applyAlignment="1">
      <alignment horizontal="center" vertical="center" wrapText="1"/>
    </xf>
    <xf numFmtId="0" fontId="31" fillId="4" borderId="32" xfId="0" applyFont="1" applyFill="1" applyBorder="1" applyAlignment="1" applyProtection="1">
      <alignment horizontal="center" vertical="center" wrapText="1"/>
      <protection locked="0"/>
    </xf>
    <xf numFmtId="0" fontId="31" fillId="0" borderId="51" xfId="0" applyFont="1" applyBorder="1" applyAlignment="1" applyProtection="1">
      <alignment horizontal="center" vertical="center" wrapText="1"/>
      <protection locked="0"/>
    </xf>
    <xf numFmtId="0" fontId="31" fillId="0" borderId="32" xfId="0" applyFont="1" applyBorder="1" applyAlignment="1" applyProtection="1">
      <alignment horizontal="center" vertical="center" wrapText="1"/>
      <protection locked="0"/>
    </xf>
    <xf numFmtId="0" fontId="31" fillId="12" borderId="49" xfId="0" applyFont="1" applyFill="1" applyBorder="1" applyAlignment="1">
      <alignment horizontal="center" vertical="center" wrapText="1"/>
    </xf>
    <xf numFmtId="0" fontId="35" fillId="6" borderId="78" xfId="0" applyFont="1" applyFill="1" applyBorder="1" applyAlignment="1">
      <alignment horizontal="center" vertical="center" wrapText="1"/>
    </xf>
    <xf numFmtId="0" fontId="31" fillId="3" borderId="29" xfId="0" applyFont="1" applyFill="1" applyBorder="1"/>
    <xf numFmtId="0" fontId="35" fillId="6" borderId="44" xfId="0" applyFont="1" applyFill="1" applyBorder="1" applyAlignment="1">
      <alignment horizontal="center" vertical="center" wrapText="1"/>
    </xf>
    <xf numFmtId="0" fontId="35" fillId="12" borderId="3" xfId="0" applyFont="1" applyFill="1" applyBorder="1" applyAlignment="1">
      <alignment horizontal="right" vertical="center" wrapText="1"/>
    </xf>
    <xf numFmtId="0" fontId="31" fillId="0" borderId="43" xfId="0" applyFont="1" applyBorder="1" applyAlignment="1" applyProtection="1">
      <alignment horizontal="center" vertical="center" wrapText="1"/>
      <protection locked="0"/>
    </xf>
    <xf numFmtId="0" fontId="35" fillId="6" borderId="45" xfId="0" applyFont="1" applyFill="1" applyBorder="1" applyAlignment="1">
      <alignment horizontal="center" vertical="center"/>
    </xf>
    <xf numFmtId="0" fontId="67" fillId="2" borderId="0" xfId="0" applyFont="1" applyFill="1"/>
    <xf numFmtId="0" fontId="67" fillId="3" borderId="36" xfId="0" applyFont="1" applyFill="1" applyBorder="1"/>
    <xf numFmtId="0" fontId="50" fillId="3" borderId="0" xfId="0" applyFont="1" applyFill="1" applyAlignment="1">
      <alignment horizontal="center" vertical="center" wrapText="1"/>
    </xf>
    <xf numFmtId="0" fontId="31" fillId="2" borderId="0" xfId="0" applyFont="1" applyFill="1" applyAlignment="1">
      <alignment horizontal="center" vertical="top"/>
    </xf>
    <xf numFmtId="0" fontId="13" fillId="12" borderId="18" xfId="0" applyFont="1" applyFill="1" applyBorder="1" applyAlignment="1">
      <alignment vertical="center"/>
    </xf>
    <xf numFmtId="0" fontId="53" fillId="12" borderId="22" xfId="0" applyFont="1" applyFill="1" applyBorder="1" applyAlignment="1">
      <alignment vertical="center"/>
    </xf>
    <xf numFmtId="0" fontId="13" fillId="12" borderId="17" xfId="0" applyFont="1" applyFill="1" applyBorder="1" applyAlignment="1">
      <alignment vertical="center"/>
    </xf>
    <xf numFmtId="0" fontId="53" fillId="12" borderId="1" xfId="0" applyFont="1" applyFill="1" applyBorder="1" applyAlignment="1">
      <alignment vertical="center"/>
    </xf>
    <xf numFmtId="0" fontId="13" fillId="12" borderId="6" xfId="0" applyFont="1" applyFill="1" applyBorder="1" applyAlignment="1">
      <alignment vertical="center"/>
    </xf>
    <xf numFmtId="0" fontId="53" fillId="12" borderId="7" xfId="0" applyFont="1" applyFill="1" applyBorder="1" applyAlignment="1">
      <alignment vertical="center"/>
    </xf>
    <xf numFmtId="0" fontId="13" fillId="12" borderId="22" xfId="0" applyFont="1" applyFill="1" applyBorder="1" applyAlignment="1">
      <alignment vertical="center" wrapText="1"/>
    </xf>
    <xf numFmtId="0" fontId="13" fillId="12" borderId="1" xfId="0" applyFont="1" applyFill="1" applyBorder="1" applyAlignment="1">
      <alignment vertical="center" wrapText="1"/>
    </xf>
    <xf numFmtId="0" fontId="13" fillId="12" borderId="7" xfId="0" applyFont="1" applyFill="1" applyBorder="1" applyAlignment="1">
      <alignment vertical="center" wrapText="1"/>
    </xf>
    <xf numFmtId="0" fontId="16" fillId="12" borderId="1" xfId="0" applyFont="1" applyFill="1" applyBorder="1" applyAlignment="1">
      <alignment horizontal="center" vertical="center" wrapText="1"/>
    </xf>
    <xf numFmtId="0" fontId="16" fillId="12" borderId="22" xfId="0" applyFont="1" applyFill="1" applyBorder="1" applyAlignment="1">
      <alignment horizontal="center" vertical="center" wrapText="1"/>
    </xf>
    <xf numFmtId="0" fontId="16" fillId="12" borderId="7"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3" fillId="12" borderId="22" xfId="0" applyFont="1" applyFill="1" applyBorder="1" applyAlignment="1">
      <alignment horizontal="center" vertical="center" wrapText="1"/>
    </xf>
    <xf numFmtId="0" fontId="13" fillId="2" borderId="0" xfId="0" applyFont="1" applyFill="1"/>
    <xf numFmtId="0" fontId="16" fillId="5" borderId="36" xfId="0" applyFont="1" applyFill="1" applyBorder="1" applyAlignment="1">
      <alignment vertical="top" wrapText="1"/>
    </xf>
    <xf numFmtId="0" fontId="16" fillId="5" borderId="0" xfId="0" applyFont="1" applyFill="1" applyAlignment="1">
      <alignment vertical="top" wrapText="1"/>
    </xf>
    <xf numFmtId="0" fontId="16" fillId="2" borderId="0" xfId="0" applyFont="1" applyFill="1" applyAlignment="1">
      <alignment vertical="top" wrapText="1"/>
    </xf>
    <xf numFmtId="0" fontId="16" fillId="5" borderId="42" xfId="0" applyFont="1" applyFill="1" applyBorder="1" applyAlignment="1">
      <alignment vertical="top" wrapText="1"/>
    </xf>
    <xf numFmtId="0" fontId="16" fillId="5" borderId="32" xfId="0" applyFont="1" applyFill="1" applyBorder="1" applyAlignment="1">
      <alignment vertical="top" wrapText="1"/>
    </xf>
    <xf numFmtId="0" fontId="16" fillId="5" borderId="2" xfId="0" applyFont="1" applyFill="1" applyBorder="1" applyAlignment="1">
      <alignment vertical="center"/>
    </xf>
    <xf numFmtId="0" fontId="16" fillId="5" borderId="52" xfId="0" applyFont="1" applyFill="1" applyBorder="1" applyAlignment="1">
      <alignment vertical="center"/>
    </xf>
    <xf numFmtId="0" fontId="16" fillId="5" borderId="73" xfId="0" applyFont="1" applyFill="1" applyBorder="1" applyAlignment="1">
      <alignment horizontal="center" vertical="center"/>
    </xf>
    <xf numFmtId="0" fontId="16" fillId="5" borderId="73" xfId="0" applyFont="1" applyFill="1" applyBorder="1" applyAlignment="1">
      <alignment horizontal="center" vertical="center" wrapText="1"/>
    </xf>
    <xf numFmtId="0" fontId="16" fillId="5" borderId="67"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3" fillId="2" borderId="29" xfId="0" applyFont="1" applyFill="1" applyBorder="1" applyAlignment="1">
      <alignment horizontal="left" vertical="top"/>
    </xf>
    <xf numFmtId="0" fontId="13" fillId="2" borderId="1" xfId="0" applyFont="1" applyFill="1" applyBorder="1" applyAlignment="1">
      <alignment horizontal="left" vertical="top" wrapText="1"/>
    </xf>
    <xf numFmtId="0" fontId="13" fillId="2" borderId="1" xfId="0" applyFont="1" applyFill="1" applyBorder="1" applyAlignment="1">
      <alignment horizontal="left" vertical="top"/>
    </xf>
    <xf numFmtId="0" fontId="13" fillId="2" borderId="0" xfId="0" applyFont="1" applyFill="1" applyAlignment="1">
      <alignment horizontal="left" vertical="top"/>
    </xf>
    <xf numFmtId="0" fontId="16" fillId="5" borderId="73" xfId="0" applyFont="1" applyFill="1" applyBorder="1" applyAlignment="1">
      <alignment vertical="center"/>
    </xf>
    <xf numFmtId="0" fontId="13" fillId="12" borderId="23" xfId="0" applyFont="1" applyFill="1" applyBorder="1" applyAlignment="1">
      <alignment horizontal="center" vertical="center" wrapText="1"/>
    </xf>
    <xf numFmtId="0" fontId="16" fillId="2" borderId="0" xfId="0" applyFont="1" applyFill="1" applyAlignment="1">
      <alignment vertical="center" wrapText="1"/>
    </xf>
    <xf numFmtId="0" fontId="13" fillId="2" borderId="0" xfId="0" applyFont="1" applyFill="1" applyAlignment="1">
      <alignment horizontal="center" vertical="center" wrapText="1"/>
    </xf>
    <xf numFmtId="0" fontId="13" fillId="12" borderId="24" xfId="0" applyFont="1" applyFill="1" applyBorder="1" applyAlignment="1">
      <alignment horizontal="center" vertical="center" wrapText="1"/>
    </xf>
    <xf numFmtId="0" fontId="13" fillId="2" borderId="0" xfId="0" applyFont="1" applyFill="1" applyAlignment="1">
      <alignment horizontal="center"/>
    </xf>
    <xf numFmtId="0" fontId="13" fillId="12" borderId="1" xfId="0" applyFont="1" applyFill="1" applyBorder="1" applyAlignment="1">
      <alignment horizontal="center" wrapText="1"/>
    </xf>
    <xf numFmtId="0" fontId="13" fillId="12" borderId="7" xfId="0" applyFont="1" applyFill="1" applyBorder="1" applyAlignment="1">
      <alignment horizontal="center" wrapText="1"/>
    </xf>
    <xf numFmtId="0" fontId="13" fillId="12" borderId="8" xfId="0" applyFont="1" applyFill="1" applyBorder="1" applyAlignment="1">
      <alignment horizontal="center" vertical="center" wrapText="1"/>
    </xf>
    <xf numFmtId="0" fontId="16" fillId="2" borderId="0" xfId="0" applyFont="1" applyFill="1"/>
    <xf numFmtId="0" fontId="13" fillId="2" borderId="0" xfId="0" applyFont="1" applyFill="1" applyAlignment="1">
      <alignment horizontal="center" vertical="center"/>
    </xf>
    <xf numFmtId="0" fontId="16" fillId="5" borderId="3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3" fillId="12" borderId="18" xfId="0" applyFont="1" applyFill="1" applyBorder="1" applyAlignment="1">
      <alignment horizontal="center" vertical="center"/>
    </xf>
    <xf numFmtId="0" fontId="13" fillId="12" borderId="17" xfId="0" applyFont="1" applyFill="1" applyBorder="1" applyAlignment="1">
      <alignment horizontal="center" vertical="center"/>
    </xf>
    <xf numFmtId="0" fontId="13" fillId="12" borderId="6" xfId="0" applyFont="1" applyFill="1" applyBorder="1" applyAlignment="1">
      <alignment horizontal="center" vertical="center"/>
    </xf>
    <xf numFmtId="0" fontId="13" fillId="5" borderId="32" xfId="0" applyFont="1" applyFill="1" applyBorder="1"/>
    <xf numFmtId="0" fontId="13" fillId="12" borderId="24" xfId="0" applyFont="1" applyFill="1" applyBorder="1" applyAlignment="1">
      <alignment horizontal="center"/>
    </xf>
    <xf numFmtId="0" fontId="13" fillId="12" borderId="8" xfId="0" applyFont="1" applyFill="1" applyBorder="1" applyAlignment="1">
      <alignment horizontal="center"/>
    </xf>
    <xf numFmtId="0" fontId="51" fillId="3" borderId="0" xfId="0" applyFont="1" applyFill="1" applyAlignment="1">
      <alignment horizontal="center" vertical="center"/>
    </xf>
    <xf numFmtId="0" fontId="13" fillId="5" borderId="42" xfId="0" applyFont="1" applyFill="1" applyBorder="1"/>
    <xf numFmtId="0" fontId="13" fillId="5" borderId="79" xfId="0" applyFont="1" applyFill="1" applyBorder="1"/>
    <xf numFmtId="0" fontId="13" fillId="5" borderId="3" xfId="0" applyFont="1" applyFill="1" applyBorder="1"/>
    <xf numFmtId="2" fontId="31" fillId="12" borderId="26" xfId="0" applyNumberFormat="1" applyFont="1" applyFill="1" applyBorder="1" applyAlignment="1">
      <alignment horizontal="center" vertical="center" wrapText="1"/>
    </xf>
    <xf numFmtId="2" fontId="31" fillId="12" borderId="63" xfId="0" applyNumberFormat="1" applyFont="1" applyFill="1" applyBorder="1" applyAlignment="1">
      <alignment horizontal="center" vertical="center" wrapText="1"/>
    </xf>
    <xf numFmtId="2" fontId="31" fillId="12" borderId="33" xfId="0" applyNumberFormat="1" applyFont="1" applyFill="1" applyBorder="1" applyAlignment="1">
      <alignment horizontal="center" vertical="center" wrapText="1"/>
    </xf>
    <xf numFmtId="0" fontId="31" fillId="4" borderId="22" xfId="0" applyFont="1" applyFill="1" applyBorder="1" applyAlignment="1" applyProtection="1">
      <alignment horizontal="center" vertical="center"/>
      <protection locked="0"/>
    </xf>
    <xf numFmtId="0" fontId="31" fillId="4" borderId="53" xfId="0" applyFont="1" applyFill="1" applyBorder="1" applyAlignment="1" applyProtection="1">
      <alignment horizontal="center" vertical="center" wrapText="1"/>
      <protection locked="0"/>
    </xf>
    <xf numFmtId="2" fontId="35" fillId="5" borderId="23" xfId="0" applyNumberFormat="1" applyFont="1" applyFill="1" applyBorder="1" applyAlignment="1">
      <alignment horizontal="center" vertical="center" wrapText="1"/>
    </xf>
    <xf numFmtId="10" fontId="35" fillId="5" borderId="24" xfId="0" applyNumberFormat="1" applyFont="1" applyFill="1" applyBorder="1" applyAlignment="1">
      <alignment horizontal="center" vertical="center" wrapText="1"/>
    </xf>
    <xf numFmtId="0" fontId="35" fillId="6" borderId="30" xfId="0" applyFont="1" applyFill="1" applyBorder="1" applyAlignment="1" applyProtection="1">
      <alignment horizontal="center" vertical="center" wrapText="1"/>
      <protection locked="0"/>
    </xf>
    <xf numFmtId="0" fontId="31" fillId="12" borderId="48" xfId="0" applyFont="1" applyFill="1" applyBorder="1" applyAlignment="1">
      <alignment horizontal="center" vertical="center" wrapText="1"/>
    </xf>
    <xf numFmtId="0" fontId="31" fillId="0" borderId="29" xfId="0" applyFont="1" applyBorder="1" applyAlignment="1" applyProtection="1">
      <alignment horizontal="center" vertical="center" wrapText="1"/>
      <protection locked="0"/>
    </xf>
    <xf numFmtId="0" fontId="35" fillId="4" borderId="3" xfId="0" applyFont="1" applyFill="1" applyBorder="1" applyAlignment="1" applyProtection="1">
      <alignment horizontal="center" vertical="center" wrapText="1"/>
      <protection locked="0"/>
    </xf>
    <xf numFmtId="2" fontId="31" fillId="2" borderId="0" xfId="0" applyNumberFormat="1" applyFont="1" applyFill="1"/>
    <xf numFmtId="2" fontId="10" fillId="2" borderId="0" xfId="0" applyNumberFormat="1" applyFont="1" applyFill="1"/>
    <xf numFmtId="2" fontId="31" fillId="3" borderId="0" xfId="0" applyNumberFormat="1" applyFont="1" applyFill="1"/>
    <xf numFmtId="0" fontId="16" fillId="5" borderId="0" xfId="0" applyFont="1" applyFill="1" applyAlignment="1">
      <alignment horizontal="center" vertical="center" wrapText="1"/>
    </xf>
    <xf numFmtId="0" fontId="16" fillId="5" borderId="32" xfId="0" applyFont="1" applyFill="1" applyBorder="1" applyAlignment="1">
      <alignment horizontal="center" vertical="center" wrapText="1"/>
    </xf>
    <xf numFmtId="2" fontId="13" fillId="2" borderId="0" xfId="0" applyNumberFormat="1" applyFont="1" applyFill="1"/>
    <xf numFmtId="2" fontId="16" fillId="5" borderId="0" xfId="0" applyNumberFormat="1" applyFont="1" applyFill="1" applyAlignment="1">
      <alignment vertical="top" wrapText="1"/>
    </xf>
    <xf numFmtId="2" fontId="16" fillId="5" borderId="32" xfId="0" applyNumberFormat="1" applyFont="1" applyFill="1" applyBorder="1" applyAlignment="1">
      <alignment vertical="top" wrapText="1"/>
    </xf>
    <xf numFmtId="2" fontId="31" fillId="12" borderId="35" xfId="0" applyNumberFormat="1" applyFont="1" applyFill="1" applyBorder="1" applyAlignment="1">
      <alignment horizontal="center" vertical="center" wrapText="1"/>
    </xf>
    <xf numFmtId="2" fontId="31" fillId="12" borderId="16" xfId="0" applyNumberFormat="1" applyFont="1" applyFill="1" applyBorder="1" applyAlignment="1">
      <alignment horizontal="center" vertical="center" wrapText="1"/>
    </xf>
    <xf numFmtId="0" fontId="14" fillId="3" borderId="0" xfId="0" applyFont="1" applyFill="1"/>
    <xf numFmtId="0" fontId="16" fillId="5" borderId="7"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2" borderId="0" xfId="0" applyFont="1" applyFill="1" applyAlignment="1">
      <alignment horizontal="center" vertical="center"/>
    </xf>
    <xf numFmtId="2" fontId="50" fillId="12" borderId="8" xfId="0" applyNumberFormat="1" applyFont="1" applyFill="1" applyBorder="1" applyAlignment="1">
      <alignment horizontal="center" vertical="center"/>
    </xf>
    <xf numFmtId="0" fontId="64" fillId="2" borderId="32" xfId="0" applyFont="1" applyFill="1" applyBorder="1"/>
    <xf numFmtId="0" fontId="35" fillId="5" borderId="80"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6" borderId="81" xfId="0" applyFont="1" applyFill="1" applyBorder="1" applyAlignment="1">
      <alignment horizontal="center" vertical="center" wrapText="1"/>
    </xf>
    <xf numFmtId="0" fontId="35" fillId="5" borderId="27"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5" fillId="5" borderId="66" xfId="0" applyFont="1" applyFill="1" applyBorder="1" applyAlignment="1">
      <alignment horizontal="center" vertical="center"/>
    </xf>
    <xf numFmtId="2" fontId="35" fillId="12" borderId="65" xfId="0" applyNumberFormat="1" applyFont="1" applyFill="1" applyBorder="1" applyAlignment="1">
      <alignment horizontal="center" vertical="center"/>
    </xf>
    <xf numFmtId="2" fontId="50" fillId="12" borderId="68" xfId="0" applyNumberFormat="1" applyFont="1" applyFill="1" applyBorder="1" applyAlignment="1">
      <alignment horizontal="center" vertical="center"/>
    </xf>
    <xf numFmtId="2" fontId="50" fillId="12" borderId="42" xfId="0" applyNumberFormat="1" applyFont="1" applyFill="1" applyBorder="1" applyAlignment="1">
      <alignment horizontal="center" vertical="center"/>
    </xf>
    <xf numFmtId="2" fontId="35" fillId="12" borderId="68" xfId="0" applyNumberFormat="1" applyFont="1" applyFill="1" applyBorder="1" applyAlignment="1">
      <alignment horizontal="center" vertical="center"/>
    </xf>
    <xf numFmtId="2" fontId="35" fillId="12" borderId="58" xfId="0" applyNumberFormat="1" applyFont="1" applyFill="1" applyBorder="1" applyAlignment="1">
      <alignment horizontal="center" vertical="center"/>
    </xf>
    <xf numFmtId="0" fontId="35" fillId="5" borderId="67" xfId="0" applyFont="1" applyFill="1" applyBorder="1" applyAlignment="1">
      <alignment horizontal="center" vertical="center"/>
    </xf>
    <xf numFmtId="0" fontId="60" fillId="2" borderId="0" xfId="0" applyFont="1" applyFill="1"/>
    <xf numFmtId="2" fontId="60" fillId="2" borderId="0" xfId="0" applyNumberFormat="1" applyFont="1" applyFill="1"/>
    <xf numFmtId="0" fontId="35" fillId="5" borderId="3" xfId="0" applyFont="1" applyFill="1" applyBorder="1" applyAlignment="1">
      <alignment horizontal="center" vertical="center"/>
    </xf>
    <xf numFmtId="0" fontId="35" fillId="5" borderId="5" xfId="0" applyFont="1" applyFill="1" applyBorder="1" applyAlignment="1">
      <alignment horizontal="center" vertical="center"/>
    </xf>
    <xf numFmtId="0" fontId="60" fillId="2" borderId="0" xfId="0" applyFont="1" applyFill="1" applyAlignment="1">
      <alignment wrapText="1"/>
    </xf>
    <xf numFmtId="0" fontId="31" fillId="2" borderId="17" xfId="0" applyFont="1" applyFill="1" applyBorder="1" applyAlignment="1">
      <alignment horizontal="center" vertical="center"/>
    </xf>
    <xf numFmtId="0" fontId="31" fillId="2" borderId="1" xfId="0" applyFont="1" applyFill="1" applyBorder="1" applyAlignment="1">
      <alignment horizontal="center" vertical="center"/>
    </xf>
    <xf numFmtId="2" fontId="31" fillId="2" borderId="1" xfId="0" applyNumberFormat="1" applyFont="1" applyFill="1" applyBorder="1" applyAlignment="1">
      <alignment horizontal="center" vertical="center"/>
    </xf>
    <xf numFmtId="0" fontId="60" fillId="2" borderId="0" xfId="0" applyFont="1" applyFill="1" applyAlignment="1">
      <alignment horizontal="center"/>
    </xf>
    <xf numFmtId="0" fontId="31" fillId="2" borderId="6" xfId="0" applyFont="1" applyFill="1" applyBorder="1" applyAlignment="1">
      <alignment horizontal="center" vertical="center"/>
    </xf>
    <xf numFmtId="2" fontId="31" fillId="2" borderId="7" xfId="0" applyNumberFormat="1" applyFont="1" applyFill="1" applyBorder="1" applyAlignment="1">
      <alignment horizontal="center" vertical="center"/>
    </xf>
    <xf numFmtId="0" fontId="35" fillId="5" borderId="27" xfId="0" applyFont="1" applyFill="1" applyBorder="1" applyAlignment="1">
      <alignment horizontal="center" vertical="center"/>
    </xf>
    <xf numFmtId="0" fontId="35" fillId="5" borderId="4" xfId="0" applyFont="1" applyFill="1" applyBorder="1" applyAlignment="1">
      <alignment horizontal="center" vertical="center"/>
    </xf>
    <xf numFmtId="0" fontId="48" fillId="2" borderId="0" xfId="0" applyFont="1" applyFill="1" applyAlignment="1">
      <alignment vertical="center" textRotation="90"/>
    </xf>
    <xf numFmtId="0" fontId="35" fillId="5" borderId="80" xfId="0" applyFont="1" applyFill="1" applyBorder="1" applyAlignment="1">
      <alignment horizontal="center" vertical="center"/>
    </xf>
    <xf numFmtId="0" fontId="35" fillId="5" borderId="11" xfId="0" applyFont="1" applyFill="1" applyBorder="1" applyAlignment="1">
      <alignment horizontal="center" vertical="center"/>
    </xf>
    <xf numFmtId="0" fontId="35" fillId="5" borderId="72" xfId="0" applyFont="1" applyFill="1" applyBorder="1" applyAlignment="1">
      <alignment horizontal="center" vertical="center"/>
    </xf>
    <xf numFmtId="0" fontId="31" fillId="5" borderId="3" xfId="0" applyFont="1" applyFill="1" applyBorder="1" applyAlignment="1">
      <alignment horizontal="center" vertical="center"/>
    </xf>
    <xf numFmtId="2" fontId="31" fillId="12" borderId="79" xfId="0" applyNumberFormat="1" applyFont="1" applyFill="1" applyBorder="1" applyAlignment="1">
      <alignment horizontal="center" vertical="center"/>
    </xf>
    <xf numFmtId="0" fontId="31" fillId="5" borderId="44" xfId="0" applyFont="1" applyFill="1" applyBorder="1" applyAlignment="1">
      <alignment horizontal="center" vertical="center"/>
    </xf>
    <xf numFmtId="2" fontId="31" fillId="12" borderId="26" xfId="0" applyNumberFormat="1" applyFont="1" applyFill="1" applyBorder="1" applyAlignment="1">
      <alignment horizontal="center" vertical="center"/>
    </xf>
    <xf numFmtId="2" fontId="31" fillId="12" borderId="56" xfId="0" applyNumberFormat="1" applyFont="1" applyFill="1" applyBorder="1" applyAlignment="1">
      <alignment horizontal="center" vertical="center"/>
    </xf>
    <xf numFmtId="0" fontId="31" fillId="5" borderId="33" xfId="0" applyFont="1" applyFill="1" applyBorder="1" applyAlignment="1">
      <alignment horizontal="center" vertical="center"/>
    </xf>
    <xf numFmtId="2" fontId="31" fillId="12" borderId="41" xfId="0" applyNumberFormat="1" applyFont="1" applyFill="1" applyBorder="1" applyAlignment="1">
      <alignment horizontal="center" vertical="center"/>
    </xf>
    <xf numFmtId="0" fontId="31" fillId="5" borderId="58" xfId="0" applyFont="1" applyFill="1" applyBorder="1" applyAlignment="1">
      <alignment horizontal="center" vertical="center"/>
    </xf>
    <xf numFmtId="2" fontId="31" fillId="12" borderId="63" xfId="0" applyNumberFormat="1" applyFont="1" applyFill="1" applyBorder="1" applyAlignment="1">
      <alignment horizontal="center" vertical="center"/>
    </xf>
    <xf numFmtId="2" fontId="31" fillId="12" borderId="62" xfId="0" applyNumberFormat="1" applyFont="1" applyFill="1" applyBorder="1" applyAlignment="1">
      <alignment horizontal="center" vertical="center"/>
    </xf>
    <xf numFmtId="0" fontId="31" fillId="5" borderId="55" xfId="0" applyFont="1" applyFill="1" applyBorder="1" applyAlignment="1">
      <alignment horizontal="center" vertical="center"/>
    </xf>
    <xf numFmtId="0" fontId="31" fillId="5" borderId="42" xfId="0" applyFont="1" applyFill="1" applyBorder="1" applyAlignment="1">
      <alignment horizontal="center" vertical="center"/>
    </xf>
    <xf numFmtId="2" fontId="31" fillId="12" borderId="33" xfId="0" applyNumberFormat="1" applyFont="1" applyFill="1" applyBorder="1" applyAlignment="1">
      <alignment horizontal="center" vertical="center"/>
    </xf>
    <xf numFmtId="2" fontId="31" fillId="12" borderId="57" xfId="0" applyNumberFormat="1" applyFont="1" applyFill="1" applyBorder="1" applyAlignment="1">
      <alignment horizontal="center" vertical="center"/>
    </xf>
    <xf numFmtId="0" fontId="50" fillId="5" borderId="3" xfId="0" applyFont="1" applyFill="1" applyBorder="1" applyAlignment="1">
      <alignment horizontal="center" vertical="center" wrapText="1"/>
    </xf>
    <xf numFmtId="0" fontId="65" fillId="18" borderId="44" xfId="0" applyFont="1" applyFill="1" applyBorder="1" applyAlignment="1">
      <alignment horizontal="center" vertical="center"/>
    </xf>
    <xf numFmtId="2" fontId="10" fillId="12" borderId="3" xfId="0" applyNumberFormat="1" applyFont="1" applyFill="1" applyBorder="1" applyAlignment="1">
      <alignment horizontal="center" vertical="center"/>
    </xf>
    <xf numFmtId="2" fontId="31" fillId="12" borderId="45" xfId="0" applyNumberFormat="1" applyFont="1" applyFill="1" applyBorder="1" applyAlignment="1">
      <alignment horizontal="center" vertical="center"/>
    </xf>
    <xf numFmtId="2" fontId="31" fillId="12" borderId="3" xfId="0" applyNumberFormat="1" applyFont="1" applyFill="1" applyBorder="1" applyAlignment="1">
      <alignment horizontal="center" vertical="center"/>
    </xf>
    <xf numFmtId="0" fontId="31" fillId="6" borderId="65" xfId="0" applyFont="1" applyFill="1" applyBorder="1" applyAlignment="1">
      <alignment horizontal="left" vertical="top" wrapText="1"/>
    </xf>
    <xf numFmtId="0" fontId="70" fillId="2" borderId="0" xfId="0" applyFont="1" applyFill="1" applyAlignment="1">
      <alignment vertical="center"/>
    </xf>
    <xf numFmtId="0" fontId="67" fillId="2" borderId="0" xfId="0" applyFont="1" applyFill="1" applyAlignment="1">
      <alignment horizontal="left" vertical="top" wrapText="1"/>
    </xf>
    <xf numFmtId="2" fontId="67" fillId="2" borderId="0" xfId="0" applyNumberFormat="1" applyFont="1" applyFill="1" applyAlignment="1">
      <alignment horizontal="center" vertical="center"/>
    </xf>
    <xf numFmtId="2" fontId="67" fillId="2" borderId="0" xfId="0" applyNumberFormat="1" applyFont="1" applyFill="1" applyAlignment="1">
      <alignment vertical="center"/>
    </xf>
    <xf numFmtId="0" fontId="60" fillId="2" borderId="0" xfId="0" applyFont="1" applyFill="1" applyAlignment="1">
      <alignment horizontal="right"/>
    </xf>
    <xf numFmtId="0" fontId="31" fillId="6" borderId="44" xfId="0" applyFont="1" applyFill="1" applyBorder="1" applyAlignment="1">
      <alignment horizontal="left" vertical="top" wrapText="1"/>
    </xf>
    <xf numFmtId="0" fontId="50" fillId="5" borderId="3" xfId="0" applyFont="1" applyFill="1" applyBorder="1" applyAlignment="1">
      <alignment horizontal="center"/>
    </xf>
    <xf numFmtId="0" fontId="67" fillId="3" borderId="0" xfId="0" applyFont="1" applyFill="1"/>
    <xf numFmtId="0" fontId="31" fillId="0" borderId="37" xfId="0" applyFont="1" applyBorder="1" applyAlignment="1" applyProtection="1" quotePrefix="1">
      <alignment horizontal="center" vertical="center" wrapText="1"/>
      <protection locked="0"/>
    </xf>
    <xf numFmtId="0" fontId="10" fillId="3" borderId="1" xfId="0" applyFont="1" applyFill="1" applyBorder="1"/>
    <xf numFmtId="0" fontId="48" fillId="5" borderId="26" xfId="0" applyFont="1" applyFill="1" applyBorder="1" applyAlignment="1">
      <alignment horizontal="center" vertical="center"/>
    </xf>
    <xf numFmtId="0" fontId="48" fillId="5" borderId="63" xfId="0" applyFont="1" applyFill="1" applyBorder="1" applyAlignment="1">
      <alignment horizontal="center" vertical="center"/>
    </xf>
    <xf numFmtId="0" fontId="48" fillId="5" borderId="33" xfId="0" applyFont="1" applyFill="1" applyBorder="1" applyAlignment="1">
      <alignment horizontal="center" vertical="center"/>
    </xf>
    <xf numFmtId="0" fontId="31" fillId="12" borderId="22" xfId="0" applyFont="1" applyFill="1" applyBorder="1" applyAlignment="1">
      <alignment horizontal="left" vertical="center" wrapText="1"/>
    </xf>
    <xf numFmtId="0" fontId="31" fillId="12" borderId="22" xfId="0" applyFont="1" applyFill="1" applyBorder="1" applyAlignment="1">
      <alignment horizontal="left" vertical="center"/>
    </xf>
    <xf numFmtId="0" fontId="31" fillId="6" borderId="1" xfId="0" applyFont="1" applyFill="1" applyBorder="1" applyAlignment="1">
      <alignment horizontal="center" textRotation="90" wrapText="1"/>
    </xf>
    <xf numFmtId="0" fontId="39" fillId="6" borderId="1" xfId="0" applyFont="1" applyFill="1" applyBorder="1" applyAlignment="1">
      <alignment horizontal="center" vertical="center" textRotation="90" wrapText="1"/>
    </xf>
    <xf numFmtId="0" fontId="39" fillId="12" borderId="17" xfId="0" applyFont="1" applyFill="1" applyBorder="1" applyAlignment="1">
      <alignment horizontal="center" vertical="center" wrapText="1"/>
    </xf>
    <xf numFmtId="0" fontId="39" fillId="12" borderId="24" xfId="0" applyFont="1" applyFill="1" applyBorder="1" applyAlignment="1">
      <alignment horizontal="center" vertical="center" wrapText="1"/>
    </xf>
    <xf numFmtId="0" fontId="39" fillId="12" borderId="6" xfId="0" applyFont="1" applyFill="1" applyBorder="1" applyAlignment="1">
      <alignment horizontal="center" vertical="center" wrapText="1"/>
    </xf>
    <xf numFmtId="0" fontId="39" fillId="12" borderId="7" xfId="0" applyFont="1" applyFill="1" applyBorder="1" applyAlignment="1">
      <alignment horizontal="center" vertical="center" wrapText="1"/>
    </xf>
    <xf numFmtId="0" fontId="39" fillId="12" borderId="8" xfId="0" applyFont="1" applyFill="1" applyBorder="1" applyAlignment="1">
      <alignment horizontal="center" vertical="center" wrapText="1"/>
    </xf>
    <xf numFmtId="0" fontId="71" fillId="2" borderId="0" xfId="0" applyFont="1" applyFill="1" applyAlignment="1">
      <alignment vertical="top" wrapText="1"/>
    </xf>
    <xf numFmtId="0" fontId="48" fillId="5" borderId="3" xfId="0" applyFont="1" applyFill="1" applyBorder="1" applyAlignment="1">
      <alignment vertical="center" textRotation="90"/>
    </xf>
    <xf numFmtId="0" fontId="0" fillId="2" borderId="0" xfId="0" applyFill="1" applyAlignment="1">
      <alignment horizontal="left"/>
    </xf>
    <xf numFmtId="0" fontId="15" fillId="6" borderId="11" xfId="0" applyFont="1" applyFill="1" applyBorder="1" applyAlignment="1">
      <alignment horizontal="center" vertical="center"/>
    </xf>
    <xf numFmtId="0" fontId="15" fillId="6" borderId="72" xfId="0" applyFont="1" applyFill="1" applyBorder="1" applyAlignment="1">
      <alignment horizontal="center"/>
    </xf>
    <xf numFmtId="0" fontId="35" fillId="12" borderId="3" xfId="0" applyFont="1" applyFill="1" applyBorder="1" applyAlignment="1">
      <alignment horizontal="right" wrapText="1"/>
    </xf>
    <xf numFmtId="0" fontId="35" fillId="6" borderId="74" xfId="0" applyFont="1" applyFill="1" applyBorder="1" applyAlignment="1">
      <alignment horizontal="center" vertical="center" wrapText="1"/>
    </xf>
    <xf numFmtId="2" fontId="31" fillId="12" borderId="54" xfId="0" applyNumberFormat="1" applyFont="1" applyFill="1" applyBorder="1" applyAlignment="1">
      <alignment horizontal="center" vertical="center"/>
    </xf>
    <xf numFmtId="2" fontId="31" fillId="4" borderId="75" xfId="0" applyNumberFormat="1" applyFont="1" applyFill="1" applyBorder="1" applyAlignment="1" applyProtection="1">
      <alignment horizontal="center" vertical="center" wrapText="1"/>
      <protection locked="0"/>
    </xf>
    <xf numFmtId="2" fontId="31" fillId="4" borderId="29" xfId="0" applyNumberFormat="1" applyFont="1" applyFill="1" applyBorder="1" applyAlignment="1" applyProtection="1">
      <alignment horizontal="center" vertical="center" wrapText="1"/>
      <protection locked="0"/>
    </xf>
    <xf numFmtId="2" fontId="31" fillId="4" borderId="10" xfId="0" applyNumberFormat="1" applyFont="1" applyFill="1" applyBorder="1" applyAlignment="1" applyProtection="1">
      <alignment horizontal="center" vertical="center" wrapText="1"/>
      <protection locked="0"/>
    </xf>
    <xf numFmtId="2" fontId="31" fillId="12" borderId="61" xfId="0" applyNumberFormat="1" applyFont="1" applyFill="1" applyBorder="1" applyAlignment="1">
      <alignment horizontal="center" vertical="center" wrapText="1"/>
    </xf>
    <xf numFmtId="2" fontId="31" fillId="12" borderId="62" xfId="0" applyNumberFormat="1" applyFont="1" applyFill="1" applyBorder="1" applyAlignment="1">
      <alignment horizontal="center" vertical="center" wrapText="1"/>
    </xf>
    <xf numFmtId="2" fontId="31" fillId="12" borderId="57" xfId="0" applyNumberFormat="1" applyFont="1" applyFill="1" applyBorder="1" applyAlignment="1">
      <alignment horizontal="center" vertical="center" wrapText="1"/>
    </xf>
    <xf numFmtId="0" fontId="31" fillId="12" borderId="34" xfId="0" applyFont="1" applyFill="1" applyBorder="1" applyAlignment="1">
      <alignment horizontal="center" vertical="center"/>
    </xf>
    <xf numFmtId="2" fontId="31" fillId="12" borderId="77" xfId="0" applyNumberFormat="1" applyFont="1" applyFill="1" applyBorder="1" applyAlignment="1">
      <alignment horizontal="center" vertical="center"/>
    </xf>
    <xf numFmtId="2" fontId="31" fillId="12" borderId="19" xfId="0" applyNumberFormat="1" applyFont="1" applyFill="1" applyBorder="1" applyAlignment="1">
      <alignment horizontal="center" vertical="center"/>
    </xf>
    <xf numFmtId="2" fontId="31" fillId="12" borderId="48" xfId="0" applyNumberFormat="1" applyFont="1" applyFill="1" applyBorder="1" applyAlignment="1">
      <alignment horizontal="center" vertical="center"/>
    </xf>
    <xf numFmtId="0" fontId="69" fillId="18" borderId="25" xfId="0" applyFont="1" applyFill="1" applyBorder="1" applyAlignment="1">
      <alignment horizontal="center" vertical="center"/>
    </xf>
    <xf numFmtId="0" fontId="31" fillId="5" borderId="53" xfId="0" applyFont="1" applyFill="1" applyBorder="1" applyAlignment="1">
      <alignment horizontal="center" vertical="center"/>
    </xf>
    <xf numFmtId="2" fontId="31" fillId="12" borderId="53" xfId="0" applyNumberFormat="1" applyFont="1" applyFill="1" applyBorder="1" applyAlignment="1">
      <alignment horizontal="center" vertical="center"/>
    </xf>
    <xf numFmtId="0" fontId="31" fillId="12" borderId="34" xfId="0" applyFont="1" applyFill="1" applyBorder="1"/>
    <xf numFmtId="0" fontId="31" fillId="12" borderId="15" xfId="0" applyFont="1" applyFill="1" applyBorder="1"/>
    <xf numFmtId="0" fontId="31" fillId="12" borderId="15" xfId="0" applyFont="1" applyFill="1" applyBorder="1" applyAlignment="1">
      <alignment horizontal="center" vertical="top"/>
    </xf>
    <xf numFmtId="0" fontId="31" fillId="19" borderId="34" xfId="0" applyFont="1" applyFill="1" applyBorder="1"/>
    <xf numFmtId="0" fontId="35" fillId="19" borderId="15" xfId="0" applyFont="1" applyFill="1" applyBorder="1" applyAlignment="1">
      <alignment horizontal="center" vertical="top" wrapText="1"/>
    </xf>
    <xf numFmtId="0" fontId="35" fillId="12" borderId="34" xfId="0" applyFont="1" applyFill="1" applyBorder="1" applyAlignment="1">
      <alignment horizontal="center" vertical="center" wrapText="1"/>
    </xf>
    <xf numFmtId="0" fontId="15" fillId="6" borderId="13"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31" fillId="12" borderId="62" xfId="0" applyFont="1" applyFill="1" applyBorder="1" applyAlignment="1">
      <alignment horizontal="center" vertical="center" wrapText="1"/>
    </xf>
    <xf numFmtId="2" fontId="31" fillId="12" borderId="81" xfId="0" applyNumberFormat="1" applyFont="1" applyFill="1" applyBorder="1" applyAlignment="1">
      <alignment horizontal="center" vertical="center"/>
    </xf>
    <xf numFmtId="0" fontId="31" fillId="12" borderId="82" xfId="0" applyFont="1" applyFill="1" applyBorder="1" applyAlignment="1">
      <alignment horizontal="center" vertical="center" wrapText="1"/>
    </xf>
    <xf numFmtId="0" fontId="31" fillId="5" borderId="15" xfId="0" applyFont="1" applyFill="1" applyBorder="1" applyAlignment="1">
      <alignment horizontal="center" vertical="center"/>
    </xf>
    <xf numFmtId="2" fontId="31" fillId="12" borderId="20" xfId="0" applyNumberFormat="1" applyFont="1" applyFill="1" applyBorder="1" applyAlignment="1">
      <alignment horizontal="center" vertical="center"/>
    </xf>
    <xf numFmtId="0" fontId="15" fillId="6" borderId="7" xfId="0" applyFont="1" applyFill="1" applyBorder="1" applyAlignment="1">
      <alignment horizontal="center" vertical="center" wrapText="1"/>
    </xf>
    <xf numFmtId="0" fontId="31" fillId="12" borderId="28" xfId="0" applyFont="1" applyFill="1" applyBorder="1" applyAlignment="1">
      <alignment horizontal="center" vertical="center" wrapText="1"/>
    </xf>
    <xf numFmtId="0" fontId="15" fillId="6" borderId="6" xfId="0" applyFont="1" applyFill="1" applyBorder="1" applyAlignment="1">
      <alignment horizontal="center" vertical="center" wrapText="1"/>
    </xf>
    <xf numFmtId="2" fontId="31" fillId="12" borderId="19" xfId="0" applyNumberFormat="1" applyFont="1" applyFill="1" applyBorder="1" applyAlignment="1">
      <alignment horizontal="center" vertical="center" wrapText="1"/>
    </xf>
    <xf numFmtId="0" fontId="31" fillId="6" borderId="58" xfId="0" applyFont="1" applyFill="1" applyBorder="1" applyAlignment="1">
      <alignment horizontal="center" vertical="center" wrapText="1"/>
    </xf>
    <xf numFmtId="2" fontId="31" fillId="12" borderId="64" xfId="0" applyNumberFormat="1" applyFont="1" applyFill="1" applyBorder="1" applyAlignment="1">
      <alignment horizontal="center" vertical="center" wrapText="1"/>
    </xf>
    <xf numFmtId="0" fontId="31" fillId="6" borderId="73" xfId="0" applyFont="1" applyFill="1" applyBorder="1" applyAlignment="1">
      <alignment horizontal="center" vertical="center" wrapText="1"/>
    </xf>
    <xf numFmtId="2" fontId="31" fillId="12" borderId="80" xfId="0" applyNumberFormat="1" applyFont="1" applyFill="1" applyBorder="1" applyAlignment="1">
      <alignment horizontal="center" vertical="center" wrapText="1"/>
    </xf>
    <xf numFmtId="0" fontId="31" fillId="12" borderId="52" xfId="0" applyFont="1" applyFill="1" applyBorder="1" applyAlignment="1">
      <alignment horizontal="center" vertical="center" wrapText="1"/>
    </xf>
    <xf numFmtId="2" fontId="31" fillId="12" borderId="48" xfId="0" applyNumberFormat="1" applyFont="1" applyFill="1" applyBorder="1" applyAlignment="1">
      <alignment horizontal="center" vertical="center" wrapText="1"/>
    </xf>
    <xf numFmtId="0" fontId="31" fillId="6" borderId="65" xfId="0" applyFont="1" applyFill="1" applyBorder="1" applyAlignment="1">
      <alignment horizontal="center" vertical="center" wrapText="1"/>
    </xf>
    <xf numFmtId="2" fontId="31" fillId="12" borderId="77" xfId="0" applyNumberFormat="1" applyFont="1" applyFill="1" applyBorder="1" applyAlignment="1">
      <alignment horizontal="center" vertical="center" wrapText="1"/>
    </xf>
    <xf numFmtId="0" fontId="31" fillId="6" borderId="68" xfId="0" applyFont="1" applyFill="1" applyBorder="1" applyAlignment="1">
      <alignment horizontal="center" vertical="center" wrapText="1"/>
    </xf>
    <xf numFmtId="2" fontId="31" fillId="12" borderId="2" xfId="0" applyNumberFormat="1" applyFont="1" applyFill="1" applyBorder="1" applyAlignment="1">
      <alignment horizontal="center" vertical="center"/>
    </xf>
    <xf numFmtId="2" fontId="35" fillId="11" borderId="78" xfId="0" applyNumberFormat="1" applyFont="1" applyFill="1" applyBorder="1" applyAlignment="1">
      <alignment horizontal="center" vertical="center"/>
    </xf>
    <xf numFmtId="0" fontId="33" fillId="2" borderId="0" xfId="0" applyFont="1" applyFill="1" applyAlignment="1">
      <alignment vertical="center" wrapText="1"/>
    </xf>
    <xf numFmtId="2" fontId="35" fillId="11" borderId="78" xfId="0" applyNumberFormat="1" applyFont="1" applyFill="1" applyBorder="1" applyAlignment="1">
      <alignment horizontal="center" vertical="center" wrapText="1"/>
    </xf>
    <xf numFmtId="2" fontId="31" fillId="12" borderId="43" xfId="0" applyNumberFormat="1" applyFont="1" applyFill="1" applyBorder="1" applyAlignment="1">
      <alignment horizontal="center" vertical="center"/>
    </xf>
    <xf numFmtId="0" fontId="31" fillId="5" borderId="65" xfId="0" applyFont="1" applyFill="1" applyBorder="1" applyAlignment="1">
      <alignment horizontal="center" vertical="center" wrapText="1"/>
    </xf>
    <xf numFmtId="2" fontId="35" fillId="11" borderId="79" xfId="0" applyNumberFormat="1" applyFont="1" applyFill="1" applyBorder="1" applyAlignment="1">
      <alignment horizontal="center" vertical="center" wrapText="1"/>
    </xf>
    <xf numFmtId="2" fontId="31" fillId="12" borderId="48" xfId="0" applyNumberFormat="1" applyFont="1" applyFill="1" applyBorder="1" applyAlignment="1">
      <alignment horizontal="right" vertical="center"/>
    </xf>
    <xf numFmtId="2" fontId="31" fillId="12" borderId="19" xfId="0" applyNumberFormat="1" applyFont="1" applyFill="1" applyBorder="1" applyAlignment="1">
      <alignment horizontal="right" vertical="center"/>
    </xf>
    <xf numFmtId="2" fontId="31" fillId="12" borderId="64" xfId="0" applyNumberFormat="1" applyFont="1" applyFill="1" applyBorder="1" applyAlignment="1">
      <alignment horizontal="right" vertical="center"/>
    </xf>
    <xf numFmtId="2" fontId="35" fillId="11" borderId="44" xfId="0" applyNumberFormat="1" applyFont="1" applyFill="1" applyBorder="1" applyAlignment="1">
      <alignment vertical="center"/>
    </xf>
    <xf numFmtId="2" fontId="35" fillId="11" borderId="28" xfId="0" applyNumberFormat="1" applyFont="1" applyFill="1" applyBorder="1" applyAlignment="1">
      <alignment vertical="center"/>
    </xf>
    <xf numFmtId="2" fontId="35" fillId="11" borderId="44" xfId="0" applyNumberFormat="1" applyFont="1" applyFill="1" applyBorder="1" applyAlignment="1">
      <alignment vertical="center" wrapText="1"/>
    </xf>
    <xf numFmtId="2" fontId="35" fillId="11" borderId="28" xfId="0" applyNumberFormat="1" applyFont="1" applyFill="1" applyBorder="1" applyAlignment="1">
      <alignment vertical="center" wrapText="1"/>
    </xf>
    <xf numFmtId="2" fontId="35" fillId="11" borderId="42" xfId="0" applyNumberFormat="1" applyFont="1" applyFill="1" applyBorder="1" applyAlignment="1">
      <alignment vertical="center" wrapText="1"/>
    </xf>
    <xf numFmtId="2" fontId="35" fillId="11" borderId="31" xfId="0" applyNumberFormat="1" applyFont="1" applyFill="1" applyBorder="1" applyAlignment="1">
      <alignment vertical="center" wrapText="1"/>
    </xf>
    <xf numFmtId="2" fontId="35" fillId="11" borderId="42" xfId="0" applyNumberFormat="1" applyFont="1" applyFill="1" applyBorder="1" applyAlignment="1">
      <alignment vertical="center"/>
    </xf>
    <xf numFmtId="2" fontId="35" fillId="11" borderId="31" xfId="0" applyNumberFormat="1" applyFont="1" applyFill="1" applyBorder="1" applyAlignment="1">
      <alignment vertical="center"/>
    </xf>
    <xf numFmtId="0" fontId="31" fillId="6" borderId="42" xfId="0" applyFont="1" applyFill="1" applyBorder="1" applyAlignment="1">
      <alignment horizontal="center" vertical="center" wrapText="1"/>
    </xf>
    <xf numFmtId="0" fontId="26" fillId="2" borderId="0" xfId="0" applyFont="1" applyFill="1" applyAlignment="1">
      <alignment vertical="center" wrapText="1"/>
    </xf>
    <xf numFmtId="0" fontId="0" fillId="12" borderId="62" xfId="0" applyFill="1" applyBorder="1"/>
    <xf numFmtId="0" fontId="0" fillId="12" borderId="82" xfId="0" applyFill="1" applyBorder="1"/>
    <xf numFmtId="0" fontId="0" fillId="12" borderId="28" xfId="0" applyFill="1" applyBorder="1"/>
    <xf numFmtId="0" fontId="35" fillId="5" borderId="73" xfId="0" applyFont="1" applyFill="1" applyBorder="1" applyAlignment="1">
      <alignment horizontal="center" vertical="center"/>
    </xf>
    <xf numFmtId="2" fontId="31" fillId="12" borderId="61" xfId="0" applyNumberFormat="1" applyFont="1" applyFill="1" applyBorder="1" applyAlignment="1">
      <alignment horizontal="center" vertical="center"/>
    </xf>
    <xf numFmtId="2" fontId="31" fillId="12" borderId="31" xfId="0" applyNumberFormat="1" applyFont="1" applyFill="1" applyBorder="1" applyAlignment="1">
      <alignment horizontal="center" vertical="center"/>
    </xf>
    <xf numFmtId="2" fontId="35" fillId="12" borderId="65" xfId="0" applyNumberFormat="1" applyFont="1" applyFill="1" applyBorder="1" applyAlignment="1">
      <alignment horizontal="right" vertical="center"/>
    </xf>
    <xf numFmtId="2" fontId="35" fillId="12" borderId="68" xfId="0" applyNumberFormat="1" applyFont="1" applyFill="1" applyBorder="1" applyAlignment="1">
      <alignment horizontal="right" vertical="center"/>
    </xf>
    <xf numFmtId="2" fontId="35" fillId="12" borderId="58" xfId="0" applyNumberFormat="1" applyFont="1" applyFill="1" applyBorder="1" applyAlignment="1">
      <alignment horizontal="right" vertical="center"/>
    </xf>
    <xf numFmtId="10" fontId="35" fillId="12" borderId="51" xfId="0" applyNumberFormat="1" applyFont="1" applyFill="1" applyBorder="1" applyAlignment="1">
      <alignment horizontal="center" vertical="center"/>
    </xf>
    <xf numFmtId="10" fontId="35" fillId="12" borderId="50" xfId="0" applyNumberFormat="1" applyFont="1" applyFill="1" applyBorder="1" applyAlignment="1">
      <alignment horizontal="center" vertical="center"/>
    </xf>
    <xf numFmtId="10" fontId="35" fillId="12" borderId="41" xfId="0" applyNumberFormat="1" applyFont="1" applyFill="1" applyBorder="1" applyAlignment="1">
      <alignment horizontal="center" vertical="center"/>
    </xf>
    <xf numFmtId="0" fontId="65" fillId="18" borderId="65" xfId="0" applyFont="1" applyFill="1" applyBorder="1" applyAlignment="1">
      <alignment horizontal="center" vertical="center"/>
    </xf>
    <xf numFmtId="0" fontId="65" fillId="18" borderId="68" xfId="0" applyFont="1" applyFill="1" applyBorder="1" applyAlignment="1">
      <alignment horizontal="center" vertical="center"/>
    </xf>
    <xf numFmtId="0" fontId="65" fillId="20" borderId="44" xfId="0" applyFont="1" applyFill="1" applyBorder="1" applyAlignment="1">
      <alignment horizontal="center" vertical="center"/>
    </xf>
    <xf numFmtId="0" fontId="65" fillId="21" borderId="44" xfId="0" applyFont="1" applyFill="1" applyBorder="1" applyAlignment="1">
      <alignment horizontal="center" vertical="center"/>
    </xf>
    <xf numFmtId="2" fontId="50" fillId="12" borderId="19" xfId="0" applyNumberFormat="1" applyFont="1" applyFill="1" applyBorder="1" applyAlignment="1">
      <alignment horizontal="center" vertical="center"/>
    </xf>
    <xf numFmtId="0" fontId="65" fillId="18" borderId="71" xfId="0" applyFont="1" applyFill="1" applyBorder="1" applyAlignment="1">
      <alignment horizontal="center" vertical="center"/>
    </xf>
    <xf numFmtId="2" fontId="50" fillId="12" borderId="64" xfId="0" applyNumberFormat="1" applyFont="1" applyFill="1" applyBorder="1" applyAlignment="1">
      <alignment horizontal="center" vertical="center"/>
    </xf>
    <xf numFmtId="2" fontId="50" fillId="12" borderId="81" xfId="0" applyNumberFormat="1" applyFont="1" applyFill="1" applyBorder="1" applyAlignment="1">
      <alignment horizontal="center" vertical="center"/>
    </xf>
    <xf numFmtId="2" fontId="50" fillId="12" borderId="77" xfId="0" applyNumberFormat="1" applyFont="1" applyFill="1" applyBorder="1" applyAlignment="1">
      <alignment horizontal="center" vertical="center"/>
    </xf>
    <xf numFmtId="0" fontId="0" fillId="12" borderId="61" xfId="0" applyFill="1" applyBorder="1"/>
    <xf numFmtId="2" fontId="31" fillId="12" borderId="34" xfId="0" applyNumberFormat="1" applyFont="1" applyFill="1" applyBorder="1" applyAlignment="1">
      <alignment horizontal="center" vertical="center"/>
    </xf>
    <xf numFmtId="2" fontId="31" fillId="12" borderId="64" xfId="0" applyNumberFormat="1" applyFont="1" applyFill="1" applyBorder="1" applyAlignment="1">
      <alignment horizontal="center" vertical="center"/>
    </xf>
    <xf numFmtId="2" fontId="35" fillId="11" borderId="28" xfId="0" applyNumberFormat="1" applyFont="1" applyFill="1" applyBorder="1" applyAlignment="1">
      <alignment horizontal="center" vertical="center"/>
    </xf>
    <xf numFmtId="0" fontId="31" fillId="12" borderId="52" xfId="0" applyFont="1" applyFill="1" applyBorder="1" applyAlignment="1">
      <alignment horizontal="center" vertical="center"/>
    </xf>
    <xf numFmtId="0" fontId="31" fillId="12" borderId="82" xfId="0" applyFont="1" applyFill="1" applyBorder="1" applyAlignment="1">
      <alignment horizontal="center" vertical="center"/>
    </xf>
    <xf numFmtId="0" fontId="31" fillId="22" borderId="0" xfId="0" applyFont="1" applyFill="1"/>
    <xf numFmtId="0" fontId="31" fillId="22" borderId="0" xfId="0" applyFont="1" applyFill="1" applyAlignment="1">
      <alignment wrapText="1"/>
    </xf>
    <xf numFmtId="0" fontId="60" fillId="12" borderId="61" xfId="0" applyFont="1" applyFill="1" applyBorder="1" applyAlignment="1">
      <alignment horizontal="center"/>
    </xf>
    <xf numFmtId="0" fontId="60" fillId="12" borderId="62" xfId="0" applyFont="1" applyFill="1" applyBorder="1" applyAlignment="1">
      <alignment horizontal="center"/>
    </xf>
    <xf numFmtId="0" fontId="0" fillId="12" borderId="62" xfId="0" applyFill="1" applyBorder="1" applyAlignment="1">
      <alignment horizontal="center"/>
    </xf>
    <xf numFmtId="0" fontId="0" fillId="12" borderId="31" xfId="0" applyFill="1" applyBorder="1" applyAlignment="1">
      <alignment horizontal="center"/>
    </xf>
    <xf numFmtId="0" fontId="35" fillId="5" borderId="55" xfId="0" applyFont="1" applyFill="1" applyBorder="1" applyAlignment="1">
      <alignment horizontal="center" vertical="center"/>
    </xf>
    <xf numFmtId="0" fontId="69" fillId="18" borderId="65" xfId="0" applyFont="1" applyFill="1" applyBorder="1" applyAlignment="1">
      <alignment horizontal="center" vertical="center"/>
    </xf>
    <xf numFmtId="0" fontId="69" fillId="18" borderId="68" xfId="0" applyFont="1" applyFill="1" applyBorder="1" applyAlignment="1">
      <alignment horizontal="center" vertical="center"/>
    </xf>
    <xf numFmtId="0" fontId="69" fillId="18" borderId="58" xfId="0" applyFont="1" applyFill="1" applyBorder="1" applyAlignment="1">
      <alignment horizontal="center" vertical="center"/>
    </xf>
    <xf numFmtId="0" fontId="0" fillId="12" borderId="57" xfId="0" applyFill="1" applyBorder="1" applyAlignment="1">
      <alignment horizontal="center"/>
    </xf>
    <xf numFmtId="0" fontId="69" fillId="20" borderId="42" xfId="0" applyFont="1" applyFill="1" applyBorder="1" applyAlignment="1">
      <alignment horizontal="center" vertical="center"/>
    </xf>
    <xf numFmtId="0" fontId="69" fillId="21" borderId="42" xfId="0" applyFont="1" applyFill="1" applyBorder="1" applyAlignment="1">
      <alignment horizontal="center" vertical="center"/>
    </xf>
    <xf numFmtId="2" fontId="35" fillId="12" borderId="51" xfId="0" applyNumberFormat="1" applyFont="1" applyFill="1" applyBorder="1" applyAlignment="1">
      <alignment horizontal="right" vertical="center"/>
    </xf>
    <xf numFmtId="2" fontId="35" fillId="12" borderId="50" xfId="0" applyNumberFormat="1" applyFont="1" applyFill="1" applyBorder="1" applyAlignment="1">
      <alignment horizontal="right" vertical="center"/>
    </xf>
    <xf numFmtId="2" fontId="35" fillId="12" borderId="41" xfId="0" applyNumberFormat="1" applyFont="1" applyFill="1" applyBorder="1" applyAlignment="1">
      <alignment horizontal="right" vertical="center"/>
    </xf>
    <xf numFmtId="2" fontId="35" fillId="12" borderId="32" xfId="0" applyNumberFormat="1" applyFont="1" applyFill="1" applyBorder="1" applyAlignment="1">
      <alignment horizontal="right" vertical="center"/>
    </xf>
    <xf numFmtId="2" fontId="35" fillId="12" borderId="26" xfId="0" applyNumberFormat="1" applyFont="1" applyFill="1" applyBorder="1" applyAlignment="1">
      <alignment horizontal="center" vertical="center"/>
    </xf>
    <xf numFmtId="2" fontId="35" fillId="12" borderId="63" xfId="0" applyNumberFormat="1" applyFont="1" applyFill="1" applyBorder="1" applyAlignment="1">
      <alignment horizontal="center" vertical="center"/>
    </xf>
    <xf numFmtId="2" fontId="35" fillId="12" borderId="33" xfId="0" applyNumberFormat="1" applyFont="1" applyFill="1" applyBorder="1" applyAlignment="1">
      <alignment horizontal="center" vertical="center"/>
    </xf>
    <xf numFmtId="2" fontId="35" fillId="12" borderId="55" xfId="0" applyNumberFormat="1" applyFont="1" applyFill="1" applyBorder="1" applyAlignment="1">
      <alignment horizontal="center" vertical="center"/>
    </xf>
    <xf numFmtId="0" fontId="35" fillId="6" borderId="11" xfId="0" applyFont="1" applyFill="1" applyBorder="1" applyAlignment="1">
      <alignment horizontal="center" vertical="center" wrapText="1"/>
    </xf>
    <xf numFmtId="0" fontId="35" fillId="6" borderId="66" xfId="0" applyFont="1" applyFill="1" applyBorder="1" applyAlignment="1">
      <alignment horizontal="center" vertical="center" wrapText="1"/>
    </xf>
    <xf numFmtId="0" fontId="31" fillId="3" borderId="19" xfId="0" applyFont="1" applyFill="1" applyBorder="1" applyAlignment="1">
      <alignment horizontal="left" vertical="top" wrapText="1"/>
    </xf>
    <xf numFmtId="0" fontId="31" fillId="3" borderId="19" xfId="0" applyFont="1" applyFill="1" applyBorder="1" applyAlignment="1">
      <alignment wrapText="1"/>
    </xf>
    <xf numFmtId="0" fontId="31" fillId="3" borderId="64" xfId="0" applyFont="1" applyFill="1" applyBorder="1" applyAlignment="1">
      <alignment wrapText="1"/>
    </xf>
    <xf numFmtId="0" fontId="31" fillId="12" borderId="53" xfId="0" applyFont="1" applyFill="1" applyBorder="1" applyAlignment="1">
      <alignment horizontal="left" vertical="center"/>
    </xf>
    <xf numFmtId="0" fontId="31" fillId="12" borderId="4" xfId="0" applyFont="1" applyFill="1" applyBorder="1" applyAlignment="1">
      <alignment horizontal="center" vertical="center"/>
    </xf>
    <xf numFmtId="0" fontId="31" fillId="3" borderId="20" xfId="0" applyFont="1" applyFill="1" applyBorder="1" applyAlignment="1">
      <alignment horizontal="left" vertical="top" wrapText="1"/>
    </xf>
    <xf numFmtId="0" fontId="31" fillId="12" borderId="53" xfId="0" applyFont="1" applyFill="1" applyBorder="1" applyAlignment="1">
      <alignment horizontal="left" vertical="center" wrapText="1"/>
    </xf>
    <xf numFmtId="0" fontId="31" fillId="12" borderId="54" xfId="0" applyFont="1" applyFill="1" applyBorder="1" applyAlignment="1">
      <alignment horizontal="center" vertical="center"/>
    </xf>
    <xf numFmtId="0" fontId="31" fillId="3" borderId="64" xfId="0" applyFont="1" applyFill="1" applyBorder="1" applyAlignment="1">
      <alignment horizontal="left" vertical="top" wrapText="1"/>
    </xf>
    <xf numFmtId="0" fontId="31" fillId="12" borderId="1" xfId="0" applyFont="1" applyFill="1" applyBorder="1" applyAlignment="1">
      <alignment horizontal="center" wrapText="1"/>
    </xf>
    <xf numFmtId="0" fontId="39" fillId="0" borderId="15" xfId="0" applyFont="1" applyBorder="1" applyAlignment="1" applyProtection="1">
      <alignment horizontal="center" vertical="center"/>
      <protection locked="0"/>
    </xf>
    <xf numFmtId="0" fontId="39" fillId="0" borderId="15" xfId="0" applyFont="1" applyBorder="1" applyAlignment="1" applyProtection="1">
      <alignment horizontal="center"/>
      <protection locked="0"/>
    </xf>
    <xf numFmtId="0" fontId="39" fillId="4" borderId="15" xfId="0" applyFont="1" applyFill="1" applyBorder="1" applyAlignment="1" applyProtection="1">
      <alignment horizontal="center"/>
      <protection locked="0"/>
    </xf>
    <xf numFmtId="0" fontId="39" fillId="4" borderId="7" xfId="0" applyFont="1" applyFill="1" applyBorder="1" applyAlignment="1" applyProtection="1">
      <alignment horizontal="center"/>
      <protection locked="0"/>
    </xf>
    <xf numFmtId="0" fontId="39" fillId="0" borderId="1" xfId="0" applyFont="1" applyBorder="1" applyAlignment="1" applyProtection="1">
      <alignment horizontal="center" vertical="center"/>
      <protection locked="0"/>
    </xf>
    <xf numFmtId="0" fontId="39" fillId="4" borderId="1" xfId="0" applyFont="1" applyFill="1" applyBorder="1" applyAlignment="1" applyProtection="1">
      <alignment horizontal="center" vertical="center"/>
      <protection locked="0"/>
    </xf>
    <xf numFmtId="0" fontId="39" fillId="4" borderId="7" xfId="0" applyFont="1" applyFill="1" applyBorder="1" applyAlignment="1" applyProtection="1">
      <alignment horizontal="center" vertical="center"/>
      <protection locked="0"/>
    </xf>
    <xf numFmtId="2" fontId="31" fillId="11" borderId="77" xfId="0" applyNumberFormat="1" applyFont="1" applyFill="1" applyBorder="1" applyAlignment="1">
      <alignment horizontal="center" vertical="center"/>
    </xf>
    <xf numFmtId="2" fontId="31" fillId="11" borderId="20" xfId="0" applyNumberFormat="1" applyFont="1" applyFill="1" applyBorder="1" applyAlignment="1">
      <alignment horizontal="center" vertical="center"/>
    </xf>
    <xf numFmtId="2" fontId="31" fillId="11" borderId="48" xfId="0" applyNumberFormat="1" applyFont="1" applyFill="1" applyBorder="1" applyAlignment="1">
      <alignment horizontal="center" vertical="center"/>
    </xf>
    <xf numFmtId="2" fontId="31" fillId="11" borderId="63" xfId="0" applyNumberFormat="1" applyFont="1" applyFill="1" applyBorder="1" applyAlignment="1">
      <alignment horizontal="center" vertical="center" wrapText="1"/>
    </xf>
    <xf numFmtId="0" fontId="31" fillId="4" borderId="33" xfId="0" applyFont="1" applyFill="1" applyBorder="1" applyAlignment="1" applyProtection="1">
      <alignment horizontal="center" vertical="center" wrapText="1"/>
      <protection locked="0"/>
    </xf>
    <xf numFmtId="0" fontId="31" fillId="0" borderId="59" xfId="0" applyFont="1" applyBorder="1" applyAlignment="1" applyProtection="1">
      <alignment horizontal="center" vertical="center" wrapText="1"/>
      <protection locked="0"/>
    </xf>
    <xf numFmtId="0" fontId="31" fillId="4" borderId="26" xfId="0" applyFont="1" applyFill="1" applyBorder="1" applyAlignment="1" applyProtection="1">
      <alignment horizontal="center" vertical="center" wrapText="1"/>
      <protection locked="0"/>
    </xf>
    <xf numFmtId="0" fontId="31" fillId="4" borderId="55" xfId="0" applyFont="1" applyFill="1" applyBorder="1" applyAlignment="1" applyProtection="1">
      <alignment horizontal="center" vertical="center" wrapText="1"/>
      <protection locked="0"/>
    </xf>
    <xf numFmtId="0" fontId="31" fillId="4" borderId="61" xfId="0" applyFont="1" applyFill="1" applyBorder="1" applyAlignment="1" applyProtection="1">
      <alignment horizontal="center" vertical="center" wrapText="1"/>
      <protection locked="0"/>
    </xf>
    <xf numFmtId="0" fontId="31" fillId="4" borderId="62" xfId="0" applyFont="1" applyFill="1" applyBorder="1" applyAlignment="1" applyProtection="1">
      <alignment horizontal="center" vertical="center" wrapText="1"/>
      <protection locked="0"/>
    </xf>
    <xf numFmtId="0" fontId="31" fillId="4" borderId="78" xfId="0" applyFont="1" applyFill="1" applyBorder="1" applyAlignment="1" applyProtection="1">
      <alignment horizontal="center" vertical="center" wrapText="1"/>
      <protection locked="0"/>
    </xf>
    <xf numFmtId="0" fontId="31" fillId="4" borderId="31" xfId="0" applyFont="1" applyFill="1" applyBorder="1" applyAlignment="1" applyProtection="1">
      <alignment horizontal="center" vertical="center" wrapText="1"/>
      <protection locked="0"/>
    </xf>
    <xf numFmtId="0" fontId="31" fillId="4" borderId="63" xfId="0" applyFont="1" applyFill="1" applyBorder="1" applyAlignment="1" applyProtection="1">
      <alignment horizontal="center" vertical="center" wrapText="1"/>
      <protection locked="0"/>
    </xf>
    <xf numFmtId="0" fontId="31" fillId="4" borderId="20" xfId="0" applyFont="1" applyFill="1" applyBorder="1" applyAlignment="1" applyProtection="1">
      <alignment horizontal="center" vertical="center" wrapText="1"/>
      <protection locked="0"/>
    </xf>
    <xf numFmtId="0" fontId="31" fillId="4" borderId="56" xfId="0" applyFont="1" applyFill="1" applyBorder="1" applyAlignment="1" applyProtection="1">
      <alignment horizontal="center" vertical="center" wrapText="1"/>
      <protection locked="0"/>
    </xf>
    <xf numFmtId="0" fontId="31" fillId="4" borderId="82" xfId="0" applyFont="1" applyFill="1" applyBorder="1" applyAlignment="1" applyProtection="1">
      <alignment horizontal="center" vertical="center" wrapText="1"/>
      <protection locked="0"/>
    </xf>
    <xf numFmtId="0" fontId="31" fillId="4" borderId="57" xfId="0" applyFont="1" applyFill="1" applyBorder="1" applyAlignment="1" applyProtection="1">
      <alignment horizontal="center" vertical="center" wrapText="1"/>
      <protection locked="0"/>
    </xf>
    <xf numFmtId="0" fontId="31" fillId="4" borderId="59" xfId="0" applyFont="1" applyFill="1" applyBorder="1" applyAlignment="1" applyProtection="1">
      <alignment horizontal="center" vertical="center" wrapText="1"/>
      <protection locked="0"/>
    </xf>
    <xf numFmtId="0" fontId="31" fillId="0" borderId="20"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5" fillId="5" borderId="2" xfId="0" applyFont="1" applyFill="1" applyBorder="1" applyAlignment="1">
      <alignment horizontal="center" vertical="center"/>
    </xf>
    <xf numFmtId="0" fontId="16" fillId="6" borderId="3" xfId="0" applyFont="1" applyFill="1" applyBorder="1" applyAlignment="1">
      <alignment horizontal="center" vertical="center" wrapText="1"/>
    </xf>
    <xf numFmtId="0" fontId="35" fillId="5" borderId="79" xfId="0" applyFont="1" applyFill="1" applyBorder="1" applyAlignment="1">
      <alignment horizontal="center" vertical="center" wrapText="1"/>
    </xf>
    <xf numFmtId="0" fontId="35" fillId="5" borderId="32" xfId="0" applyFont="1" applyFill="1" applyBorder="1" applyAlignment="1">
      <alignment horizontal="center" vertical="center" wrapText="1"/>
    </xf>
    <xf numFmtId="0" fontId="35" fillId="6" borderId="45" xfId="0" applyFont="1" applyFill="1" applyBorder="1" applyAlignment="1">
      <alignment horizontal="center" vertical="center" wrapText="1"/>
    </xf>
    <xf numFmtId="2" fontId="13" fillId="11" borderId="12" xfId="0" applyNumberFormat="1" applyFont="1" applyFill="1" applyBorder="1" applyAlignment="1">
      <alignment horizontal="center" vertical="center"/>
    </xf>
    <xf numFmtId="0" fontId="13" fillId="6" borderId="68" xfId="0" applyFont="1" applyFill="1" applyBorder="1" applyAlignment="1">
      <alignment horizontal="center" vertical="top"/>
    </xf>
    <xf numFmtId="0" fontId="13" fillId="6" borderId="58" xfId="0" applyFont="1" applyFill="1" applyBorder="1" applyAlignment="1">
      <alignment horizontal="center" vertical="top"/>
    </xf>
    <xf numFmtId="2" fontId="13" fillId="11" borderId="53" xfId="0" applyNumberFormat="1" applyFont="1" applyFill="1" applyBorder="1" applyAlignment="1">
      <alignment horizontal="center" vertical="center"/>
    </xf>
    <xf numFmtId="2" fontId="13" fillId="11" borderId="54" xfId="0" applyNumberFormat="1" applyFont="1" applyFill="1" applyBorder="1" applyAlignment="1">
      <alignment horizontal="center" vertical="center"/>
    </xf>
    <xf numFmtId="165" fontId="13" fillId="11" borderId="12" xfId="0" applyNumberFormat="1" applyFont="1" applyFill="1" applyBorder="1" applyAlignment="1">
      <alignment horizontal="center" vertical="center"/>
    </xf>
    <xf numFmtId="0" fontId="13" fillId="6" borderId="58" xfId="0" applyFont="1" applyFill="1" applyBorder="1" applyAlignment="1">
      <alignment horizontal="center" vertical="top" wrapText="1"/>
    </xf>
    <xf numFmtId="165" fontId="13" fillId="11" borderId="53" xfId="0" applyNumberFormat="1" applyFont="1" applyFill="1" applyBorder="1" applyAlignment="1">
      <alignment horizontal="center" vertical="center"/>
    </xf>
    <xf numFmtId="165" fontId="13" fillId="11" borderId="54" xfId="0" applyNumberFormat="1" applyFont="1" applyFill="1" applyBorder="1" applyAlignment="1">
      <alignment horizontal="center" vertical="center"/>
    </xf>
    <xf numFmtId="0" fontId="35" fillId="0" borderId="13" xfId="0" applyFont="1" applyBorder="1" applyAlignment="1" applyProtection="1">
      <alignment horizontal="center" vertical="center" wrapText="1"/>
      <protection locked="0"/>
    </xf>
    <xf numFmtId="0" fontId="31" fillId="10" borderId="16" xfId="0" applyFont="1" applyFill="1" applyBorder="1" applyAlignment="1">
      <alignment horizontal="center" vertical="top" wrapText="1"/>
    </xf>
    <xf numFmtId="0" fontId="35" fillId="5" borderId="78" xfId="0" applyFont="1" applyFill="1" applyBorder="1" applyAlignment="1">
      <alignment horizontal="center" vertical="center" wrapText="1"/>
    </xf>
    <xf numFmtId="0" fontId="35" fillId="6" borderId="45" xfId="0" applyFont="1" applyFill="1" applyBorder="1" applyAlignment="1">
      <alignment vertical="center" wrapText="1"/>
    </xf>
    <xf numFmtId="0" fontId="35" fillId="6" borderId="28" xfId="0" applyFont="1" applyFill="1" applyBorder="1" applyAlignment="1">
      <alignment vertical="center"/>
    </xf>
    <xf numFmtId="0" fontId="31" fillId="3" borderId="30" xfId="0" applyFont="1" applyFill="1" applyBorder="1" applyAlignment="1">
      <alignment horizontal="center" vertical="center" wrapText="1"/>
    </xf>
    <xf numFmtId="0" fontId="35" fillId="6" borderId="72" xfId="0" applyFont="1" applyFill="1" applyBorder="1" applyAlignment="1">
      <alignment horizontal="center" vertical="center" wrapText="1"/>
    </xf>
    <xf numFmtId="0" fontId="35" fillId="6" borderId="18" xfId="0" applyFont="1" applyFill="1" applyBorder="1" applyAlignment="1">
      <alignment horizontal="center" vertical="center"/>
    </xf>
    <xf numFmtId="0" fontId="35" fillId="6" borderId="23" xfId="0" applyFont="1" applyFill="1" applyBorder="1" applyAlignment="1">
      <alignment horizontal="center" vertical="center"/>
    </xf>
    <xf numFmtId="0" fontId="31" fillId="5" borderId="17"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5" fillId="6" borderId="22" xfId="0" applyFont="1" applyFill="1" applyBorder="1" applyAlignment="1">
      <alignment horizontal="center" vertical="center"/>
    </xf>
    <xf numFmtId="167" fontId="31" fillId="12" borderId="24" xfId="0" applyNumberFormat="1" applyFont="1" applyFill="1" applyBorder="1" applyAlignment="1">
      <alignment horizontal="center" vertical="center"/>
    </xf>
    <xf numFmtId="167" fontId="31" fillId="12" borderId="8" xfId="0" applyNumberFormat="1" applyFont="1" applyFill="1" applyBorder="1" applyAlignment="1">
      <alignment horizontal="center" vertical="center"/>
    </xf>
    <xf numFmtId="0" fontId="35" fillId="6" borderId="17" xfId="0" applyFont="1" applyFill="1" applyBorder="1" applyAlignment="1">
      <alignment horizontal="center" vertical="center"/>
    </xf>
    <xf numFmtId="0" fontId="35" fillId="6" borderId="24" xfId="0" applyFont="1" applyFill="1" applyBorder="1" applyAlignment="1">
      <alignment horizontal="center" vertical="center"/>
    </xf>
    <xf numFmtId="0" fontId="31" fillId="6" borderId="17" xfId="0" applyFont="1" applyFill="1" applyBorder="1" applyAlignment="1">
      <alignment horizontal="left" vertical="center"/>
    </xf>
    <xf numFmtId="0" fontId="31" fillId="6" borderId="6" xfId="0" applyFont="1" applyFill="1" applyBorder="1" applyAlignment="1">
      <alignment horizontal="left" vertical="center"/>
    </xf>
    <xf numFmtId="0" fontId="10" fillId="12" borderId="29" xfId="0" applyFont="1" applyFill="1" applyBorder="1" applyAlignment="1">
      <alignment horizontal="center" vertical="center"/>
    </xf>
    <xf numFmtId="0" fontId="31" fillId="6" borderId="18" xfId="0" applyFont="1" applyFill="1" applyBorder="1"/>
    <xf numFmtId="0" fontId="10" fillId="12" borderId="50" xfId="0" applyFont="1" applyFill="1" applyBorder="1" applyAlignment="1">
      <alignment horizontal="center" vertical="center"/>
    </xf>
    <xf numFmtId="0" fontId="31" fillId="6" borderId="15" xfId="0" applyFont="1" applyFill="1" applyBorder="1" applyAlignment="1">
      <alignment horizontal="center" vertical="center" wrapText="1"/>
    </xf>
    <xf numFmtId="0" fontId="31" fillId="6" borderId="24" xfId="0" applyFont="1" applyFill="1" applyBorder="1" applyAlignment="1">
      <alignment horizontal="center" vertical="center" wrapText="1"/>
    </xf>
    <xf numFmtId="0" fontId="31" fillId="6" borderId="15" xfId="0" applyFont="1" applyFill="1" applyBorder="1" applyAlignment="1">
      <alignment horizontal="center" vertical="center"/>
    </xf>
    <xf numFmtId="2" fontId="60" fillId="12" borderId="12" xfId="0" applyNumberFormat="1" applyFont="1" applyFill="1" applyBorder="1" applyAlignment="1">
      <alignment horizontal="center" vertical="center" wrapText="1"/>
    </xf>
    <xf numFmtId="0" fontId="0" fillId="2" borderId="0" xfId="0" applyFill="1" applyAlignment="1">
      <alignment wrapText="1"/>
    </xf>
    <xf numFmtId="2" fontId="60" fillId="12" borderId="23" xfId="0" applyNumberFormat="1" applyFont="1" applyFill="1" applyBorder="1" applyAlignment="1">
      <alignment horizontal="center" vertical="center" wrapText="1"/>
    </xf>
    <xf numFmtId="2" fontId="60" fillId="12" borderId="24" xfId="0" applyNumberFormat="1" applyFont="1" applyFill="1" applyBorder="1" applyAlignment="1">
      <alignment horizontal="center" vertical="center" wrapText="1"/>
    </xf>
    <xf numFmtId="2" fontId="60" fillId="12" borderId="8" xfId="0" applyNumberFormat="1" applyFont="1" applyFill="1" applyBorder="1" applyAlignment="1">
      <alignment horizontal="center" vertical="center" wrapText="1"/>
    </xf>
    <xf numFmtId="0" fontId="66" fillId="2" borderId="0" xfId="0" applyFont="1" applyFill="1" applyAlignment="1">
      <alignment horizontal="center" vertical="center" wrapText="1"/>
    </xf>
    <xf numFmtId="0" fontId="60" fillId="12" borderId="13" xfId="0" applyFont="1" applyFill="1" applyBorder="1" applyAlignment="1">
      <alignment horizontal="center" vertical="center" wrapText="1"/>
    </xf>
    <xf numFmtId="2" fontId="60" fillId="12" borderId="16" xfId="0" applyNumberFormat="1" applyFont="1" applyFill="1" applyBorder="1" applyAlignment="1">
      <alignment horizontal="center" vertical="center" wrapText="1"/>
    </xf>
    <xf numFmtId="2" fontId="60" fillId="12" borderId="15" xfId="0" applyNumberFormat="1" applyFont="1" applyFill="1" applyBorder="1" applyAlignment="1">
      <alignment horizontal="center" vertical="center" wrapText="1"/>
    </xf>
    <xf numFmtId="0" fontId="0" fillId="2" borderId="0" xfId="0" applyFill="1" applyAlignment="1">
      <alignment horizontal="center" vertical="center" wrapText="1"/>
    </xf>
    <xf numFmtId="0" fontId="60" fillId="12" borderId="18" xfId="0" applyFont="1" applyFill="1" applyBorder="1" applyAlignment="1">
      <alignment horizontal="center" vertical="center" wrapText="1"/>
    </xf>
    <xf numFmtId="2" fontId="60" fillId="12" borderId="22" xfId="0" applyNumberFormat="1" applyFont="1" applyFill="1" applyBorder="1" applyAlignment="1">
      <alignment horizontal="center" vertical="center" wrapText="1"/>
    </xf>
    <xf numFmtId="0" fontId="60" fillId="2" borderId="0" xfId="0" applyFont="1" applyFill="1" applyAlignment="1">
      <alignment horizontal="center" vertical="center" wrapText="1"/>
    </xf>
    <xf numFmtId="0" fontId="60" fillId="12" borderId="17" xfId="0" applyFont="1" applyFill="1" applyBorder="1" applyAlignment="1">
      <alignment horizontal="center" vertical="center" wrapText="1"/>
    </xf>
    <xf numFmtId="2" fontId="60" fillId="12" borderId="50" xfId="0" applyNumberFormat="1" applyFont="1" applyFill="1" applyBorder="1" applyAlignment="1">
      <alignment horizontal="center" vertical="center" wrapText="1"/>
    </xf>
    <xf numFmtId="2" fontId="60" fillId="12" borderId="19" xfId="0" applyNumberFormat="1" applyFont="1" applyFill="1" applyBorder="1" applyAlignment="1">
      <alignment horizontal="center" vertical="center" wrapText="1"/>
    </xf>
    <xf numFmtId="2" fontId="60" fillId="12" borderId="29" xfId="0" applyNumberFormat="1" applyFont="1" applyFill="1" applyBorder="1" applyAlignment="1">
      <alignment horizontal="center" vertical="center" wrapText="1"/>
    </xf>
    <xf numFmtId="2" fontId="60" fillId="12" borderId="1" xfId="0" applyNumberFormat="1" applyFont="1" applyFill="1" applyBorder="1" applyAlignment="1">
      <alignment horizontal="center" vertical="center" wrapText="1"/>
    </xf>
    <xf numFmtId="0" fontId="60" fillId="12" borderId="6" xfId="0" applyFont="1" applyFill="1" applyBorder="1" applyAlignment="1">
      <alignment horizontal="center" vertical="center" wrapText="1"/>
    </xf>
    <xf numFmtId="2" fontId="60" fillId="12" borderId="41" xfId="0" applyNumberFormat="1" applyFont="1" applyFill="1" applyBorder="1" applyAlignment="1">
      <alignment horizontal="center" vertical="center" wrapText="1"/>
    </xf>
    <xf numFmtId="2" fontId="60" fillId="12" borderId="32" xfId="0" applyNumberFormat="1" applyFont="1" applyFill="1" applyBorder="1" applyAlignment="1">
      <alignment horizontal="center" vertical="center" wrapText="1"/>
    </xf>
    <xf numFmtId="2" fontId="60" fillId="12" borderId="48" xfId="0" applyNumberFormat="1" applyFont="1" applyFill="1" applyBorder="1" applyAlignment="1">
      <alignment horizontal="center" vertical="center" wrapText="1"/>
    </xf>
    <xf numFmtId="2" fontId="60" fillId="12" borderId="10" xfId="0" applyNumberFormat="1" applyFont="1" applyFill="1" applyBorder="1" applyAlignment="1">
      <alignment horizontal="center" vertical="center" wrapText="1"/>
    </xf>
    <xf numFmtId="2" fontId="60" fillId="12" borderId="7" xfId="0" applyNumberFormat="1" applyFont="1" applyFill="1" applyBorder="1" applyAlignment="1">
      <alignment horizontal="center" vertical="center" wrapText="1"/>
    </xf>
    <xf numFmtId="2" fontId="60" fillId="12" borderId="53" xfId="0" applyNumberFormat="1" applyFont="1" applyFill="1" applyBorder="1" applyAlignment="1">
      <alignment horizontal="center" vertical="center" wrapText="1"/>
    </xf>
    <xf numFmtId="0" fontId="66" fillId="2" borderId="0" xfId="0" applyFont="1" applyFill="1" applyAlignment="1">
      <alignment horizontal="center" vertical="center"/>
    </xf>
    <xf numFmtId="2" fontId="60" fillId="12" borderId="51" xfId="0" applyNumberFormat="1" applyFont="1" applyFill="1" applyBorder="1" applyAlignment="1">
      <alignment horizontal="center" vertical="center" wrapText="1"/>
    </xf>
    <xf numFmtId="2" fontId="60" fillId="12" borderId="77" xfId="0" applyNumberFormat="1" applyFont="1" applyFill="1" applyBorder="1" applyAlignment="1">
      <alignment horizontal="center" vertical="center" wrapText="1"/>
    </xf>
    <xf numFmtId="2" fontId="60" fillId="12" borderId="75" xfId="0" applyNumberFormat="1" applyFont="1" applyFill="1" applyBorder="1" applyAlignment="1">
      <alignment horizontal="center" vertical="center" wrapText="1"/>
    </xf>
    <xf numFmtId="2" fontId="60" fillId="12" borderId="54" xfId="0" applyNumberFormat="1" applyFont="1" applyFill="1" applyBorder="1" applyAlignment="1">
      <alignment horizontal="center" vertical="center" wrapText="1"/>
    </xf>
    <xf numFmtId="0" fontId="39" fillId="2" borderId="0" xfId="29" applyFont="1" applyFill="1" applyAlignment="1">
      <alignment vertical="center" wrapText="1"/>
      <protection/>
    </xf>
    <xf numFmtId="0" fontId="39" fillId="6" borderId="17" xfId="29" applyFont="1" applyFill="1" applyBorder="1" applyAlignment="1">
      <alignment horizontal="center" vertical="center" wrapText="1"/>
      <protection/>
    </xf>
    <xf numFmtId="0" fontId="35" fillId="5" borderId="65" xfId="0" applyFont="1" applyFill="1" applyBorder="1" applyAlignment="1">
      <alignment horizontal="center" vertical="center" wrapText="1"/>
    </xf>
    <xf numFmtId="0" fontId="35" fillId="5" borderId="65" xfId="0" applyFont="1" applyFill="1" applyBorder="1" applyAlignment="1">
      <alignment horizontal="center" vertical="center"/>
    </xf>
    <xf numFmtId="2" fontId="10" fillId="12" borderId="63" xfId="0" applyNumberFormat="1" applyFont="1" applyFill="1" applyBorder="1" applyAlignment="1">
      <alignment horizontal="center" vertical="center"/>
    </xf>
    <xf numFmtId="2" fontId="10" fillId="12" borderId="33" xfId="0" applyNumberFormat="1" applyFont="1" applyFill="1" applyBorder="1" applyAlignment="1">
      <alignment horizontal="center" vertical="center"/>
    </xf>
    <xf numFmtId="0" fontId="10" fillId="5" borderId="63" xfId="0" applyFont="1" applyFill="1" applyBorder="1" applyAlignment="1">
      <alignment horizontal="center" vertical="center"/>
    </xf>
    <xf numFmtId="0" fontId="10" fillId="5" borderId="33" xfId="0" applyFont="1" applyFill="1" applyBorder="1" applyAlignment="1">
      <alignment horizontal="center" vertical="center"/>
    </xf>
    <xf numFmtId="0" fontId="50" fillId="5" borderId="35" xfId="0" applyFont="1" applyFill="1" applyBorder="1" applyAlignment="1">
      <alignment horizontal="center" vertical="center"/>
    </xf>
    <xf numFmtId="0" fontId="50" fillId="5" borderId="26" xfId="0" applyFont="1" applyFill="1" applyBorder="1" applyAlignment="1">
      <alignment horizontal="center" vertical="center" wrapText="1"/>
    </xf>
    <xf numFmtId="0" fontId="31" fillId="5" borderId="68" xfId="0" applyFont="1" applyFill="1" applyBorder="1" applyAlignment="1">
      <alignment horizontal="center" vertical="center"/>
    </xf>
    <xf numFmtId="0" fontId="31" fillId="5" borderId="65" xfId="0" applyFont="1" applyFill="1" applyBorder="1" applyAlignment="1">
      <alignment horizontal="center" vertical="center"/>
    </xf>
    <xf numFmtId="0" fontId="31" fillId="5" borderId="26" xfId="0" applyFont="1" applyFill="1" applyBorder="1" applyAlignment="1">
      <alignment horizontal="center" vertical="center"/>
    </xf>
    <xf numFmtId="0" fontId="31" fillId="5" borderId="63" xfId="0" applyFont="1" applyFill="1" applyBorder="1" applyAlignment="1">
      <alignment horizontal="center" vertical="center"/>
    </xf>
    <xf numFmtId="2" fontId="60" fillId="12" borderId="26" xfId="0" applyNumberFormat="1" applyFont="1" applyFill="1" applyBorder="1" applyAlignment="1">
      <alignment horizontal="center" vertical="center"/>
    </xf>
    <xf numFmtId="2" fontId="60" fillId="12" borderId="63" xfId="0" applyNumberFormat="1" applyFont="1" applyFill="1" applyBorder="1" applyAlignment="1">
      <alignment horizontal="center" vertical="center"/>
    </xf>
    <xf numFmtId="2" fontId="60" fillId="12" borderId="33" xfId="0" applyNumberFormat="1" applyFont="1" applyFill="1" applyBorder="1" applyAlignment="1">
      <alignment horizontal="center" vertical="center"/>
    </xf>
    <xf numFmtId="2" fontId="60" fillId="2" borderId="0" xfId="0" applyNumberFormat="1" applyFont="1" applyFill="1" applyAlignment="1">
      <alignment horizontal="center" vertical="center"/>
    </xf>
    <xf numFmtId="0" fontId="35" fillId="5" borderId="44" xfId="0" applyFont="1" applyFill="1" applyBorder="1" applyAlignment="1">
      <alignment horizontal="center" vertical="center"/>
    </xf>
    <xf numFmtId="2" fontId="31" fillId="12" borderId="21" xfId="0" applyNumberFormat="1" applyFont="1" applyFill="1" applyBorder="1" applyAlignment="1">
      <alignment horizontal="center" vertical="center"/>
    </xf>
    <xf numFmtId="0" fontId="31" fillId="12" borderId="30"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5" borderId="52" xfId="0" applyFont="1" applyFill="1" applyBorder="1" applyAlignment="1">
      <alignment horizontal="center" vertical="center"/>
    </xf>
    <xf numFmtId="0" fontId="31" fillId="12" borderId="77" xfId="0" applyFont="1" applyFill="1" applyBorder="1" applyAlignment="1">
      <alignment horizontal="center" vertical="center"/>
    </xf>
    <xf numFmtId="0" fontId="31" fillId="12" borderId="19" xfId="0" applyFont="1" applyFill="1" applyBorder="1" applyAlignment="1">
      <alignment horizontal="center" vertical="center"/>
    </xf>
    <xf numFmtId="0" fontId="31" fillId="12" borderId="64" xfId="0" applyFont="1" applyFill="1" applyBorder="1" applyAlignment="1">
      <alignment horizontal="center" vertical="center"/>
    </xf>
    <xf numFmtId="0" fontId="31" fillId="12" borderId="48" xfId="0" applyFont="1" applyFill="1" applyBorder="1" applyAlignment="1">
      <alignment horizontal="center" vertical="center"/>
    </xf>
    <xf numFmtId="0" fontId="31" fillId="12" borderId="39" xfId="0" applyFont="1" applyFill="1" applyBorder="1" applyAlignment="1">
      <alignment horizontal="center" vertical="center" wrapText="1"/>
    </xf>
    <xf numFmtId="0" fontId="31" fillId="12" borderId="59" xfId="0" applyFont="1" applyFill="1" applyBorder="1" applyAlignment="1">
      <alignment horizontal="center" vertical="center"/>
    </xf>
    <xf numFmtId="0" fontId="31" fillId="12" borderId="15" xfId="0" applyFont="1" applyFill="1" applyBorder="1" applyAlignment="1">
      <alignment horizontal="left" vertical="center" wrapText="1"/>
    </xf>
    <xf numFmtId="0" fontId="31" fillId="12" borderId="15" xfId="0" applyFont="1" applyFill="1" applyBorder="1" applyAlignment="1">
      <alignment horizontal="left" vertical="center"/>
    </xf>
    <xf numFmtId="0" fontId="31" fillId="6" borderId="37" xfId="0" applyFont="1" applyFill="1" applyBorder="1" applyAlignment="1">
      <alignment horizontal="center" vertical="center" wrapText="1"/>
    </xf>
    <xf numFmtId="0" fontId="67" fillId="3" borderId="0" xfId="0" applyFont="1" applyFill="1" applyAlignment="1">
      <alignment horizontal="center" vertical="center" wrapText="1"/>
    </xf>
    <xf numFmtId="0" fontId="31" fillId="5" borderId="71" xfId="0" applyFont="1" applyFill="1" applyBorder="1" applyAlignment="1">
      <alignment horizontal="center" vertical="center"/>
    </xf>
    <xf numFmtId="2" fontId="60" fillId="12" borderId="83" xfId="0" applyNumberFormat="1" applyFont="1" applyFill="1" applyBorder="1" applyAlignment="1">
      <alignment horizontal="center" vertical="center"/>
    </xf>
    <xf numFmtId="0" fontId="31" fillId="5" borderId="75" xfId="0" applyFont="1" applyFill="1" applyBorder="1" applyAlignment="1">
      <alignment horizontal="center" vertical="center"/>
    </xf>
    <xf numFmtId="0" fontId="31" fillId="5" borderId="29" xfId="0" applyFont="1" applyFill="1" applyBorder="1" applyAlignment="1">
      <alignment horizontal="center" vertical="center"/>
    </xf>
    <xf numFmtId="0" fontId="31" fillId="5" borderId="76" xfId="0" applyFont="1" applyFill="1" applyBorder="1" applyAlignment="1">
      <alignment horizontal="center" vertical="center"/>
    </xf>
    <xf numFmtId="0" fontId="35" fillId="5" borderId="28" xfId="0" applyFont="1" applyFill="1" applyBorder="1" applyAlignment="1">
      <alignment vertical="center"/>
    </xf>
    <xf numFmtId="0" fontId="31" fillId="12" borderId="75" xfId="0" applyFont="1" applyFill="1" applyBorder="1" applyAlignment="1">
      <alignment horizontal="left" vertical="center" wrapText="1"/>
    </xf>
    <xf numFmtId="0" fontId="31" fillId="12" borderId="43" xfId="0" applyFont="1" applyFill="1" applyBorder="1" applyAlignment="1">
      <alignment horizontal="left" vertical="center" wrapText="1"/>
    </xf>
    <xf numFmtId="165" fontId="31" fillId="12" borderId="1" xfId="0" applyNumberFormat="1" applyFont="1" applyFill="1" applyBorder="1" applyAlignment="1">
      <alignment horizontal="center"/>
    </xf>
    <xf numFmtId="165" fontId="31" fillId="12" borderId="1" xfId="0" applyNumberFormat="1" applyFont="1" applyFill="1" applyBorder="1" applyAlignment="1">
      <alignment horizontal="center" vertical="center"/>
    </xf>
    <xf numFmtId="2" fontId="31" fillId="12" borderId="1" xfId="0" applyNumberFormat="1" applyFont="1" applyFill="1" applyBorder="1" applyAlignment="1">
      <alignment horizontal="right" vertical="center"/>
    </xf>
    <xf numFmtId="0" fontId="35" fillId="6" borderId="1" xfId="0" applyFont="1" applyFill="1" applyBorder="1" applyAlignment="1">
      <alignment horizontal="left" vertical="center" wrapText="1"/>
    </xf>
    <xf numFmtId="0" fontId="39" fillId="6" borderId="1" xfId="0" applyFont="1" applyFill="1" applyBorder="1" applyAlignment="1">
      <alignment horizontal="center" wrapText="1"/>
    </xf>
    <xf numFmtId="0" fontId="39" fillId="6" borderId="1" xfId="0" applyFont="1" applyFill="1" applyBorder="1" applyAlignment="1">
      <alignment horizontal="center"/>
    </xf>
    <xf numFmtId="0" fontId="39" fillId="6" borderId="1" xfId="0" applyFont="1" applyFill="1" applyBorder="1" applyAlignment="1">
      <alignment horizontal="center" vertical="center"/>
    </xf>
    <xf numFmtId="0" fontId="31" fillId="5" borderId="1" xfId="0" applyFont="1" applyFill="1" applyBorder="1" applyAlignment="1">
      <alignment horizontal="center"/>
    </xf>
    <xf numFmtId="0" fontId="39" fillId="6" borderId="1" xfId="0" applyFont="1" applyFill="1" applyBorder="1" applyAlignment="1">
      <alignment horizontal="center" vertical="center" wrapText="1"/>
    </xf>
    <xf numFmtId="0" fontId="31" fillId="6" borderId="18" xfId="0" applyFont="1" applyFill="1" applyBorder="1" applyAlignment="1">
      <alignment horizontal="left" vertical="center"/>
    </xf>
    <xf numFmtId="0" fontId="31" fillId="6" borderId="13" xfId="0" applyFont="1" applyFill="1" applyBorder="1" applyAlignment="1">
      <alignment horizontal="left" vertical="center"/>
    </xf>
    <xf numFmtId="0" fontId="31" fillId="6" borderId="9" xfId="0" applyFont="1" applyFill="1" applyBorder="1" applyAlignment="1">
      <alignment horizontal="left" vertical="center"/>
    </xf>
    <xf numFmtId="0" fontId="31" fillId="6" borderId="25" xfId="0" applyFont="1" applyFill="1" applyBorder="1" applyAlignment="1">
      <alignment horizontal="left" vertical="center"/>
    </xf>
    <xf numFmtId="0" fontId="31" fillId="6" borderId="5" xfId="0" applyFont="1" applyFill="1" applyBorder="1" applyAlignment="1">
      <alignment horizontal="left" vertical="center"/>
    </xf>
    <xf numFmtId="0" fontId="31" fillId="3" borderId="0" xfId="0" applyFont="1" applyFill="1" applyAlignment="1">
      <alignment horizontal="left" vertical="center"/>
    </xf>
    <xf numFmtId="0" fontId="35" fillId="6" borderId="66" xfId="0" applyFont="1" applyFill="1" applyBorder="1" applyAlignment="1">
      <alignment horizontal="left" vertical="center" wrapText="1"/>
    </xf>
    <xf numFmtId="0" fontId="31" fillId="6" borderId="6" xfId="0" applyFont="1" applyFill="1" applyBorder="1" applyAlignment="1">
      <alignment horizontal="left" vertical="center" wrapText="1"/>
    </xf>
    <xf numFmtId="0" fontId="31" fillId="6" borderId="17" xfId="0" applyFont="1" applyFill="1" applyBorder="1" applyAlignment="1">
      <alignment horizontal="left" vertical="center" wrapText="1"/>
    </xf>
    <xf numFmtId="0" fontId="31" fillId="6" borderId="18" xfId="0" applyFont="1" applyFill="1" applyBorder="1" applyAlignment="1">
      <alignment horizontal="left" vertical="center" wrapText="1"/>
    </xf>
    <xf numFmtId="0" fontId="31" fillId="6" borderId="5" xfId="0" applyFont="1" applyFill="1" applyBorder="1" applyAlignment="1">
      <alignment horizontal="left" vertical="center" wrapText="1"/>
    </xf>
    <xf numFmtId="0" fontId="37" fillId="6" borderId="1" xfId="0" applyFont="1" applyFill="1" applyBorder="1" applyAlignment="1">
      <alignment horizontal="left" vertical="center"/>
    </xf>
    <xf numFmtId="0" fontId="46" fillId="6" borderId="0" xfId="0" applyFont="1" applyFill="1" applyAlignment="1">
      <alignment horizontal="left" vertical="center"/>
    </xf>
    <xf numFmtId="0" fontId="39" fillId="5" borderId="6" xfId="29" applyFont="1" applyFill="1" applyBorder="1" applyAlignment="1">
      <alignment horizontal="center" vertical="center" wrapText="1"/>
      <protection/>
    </xf>
    <xf numFmtId="0" fontId="39" fillId="6" borderId="13" xfId="29" applyFont="1" applyFill="1" applyBorder="1" applyAlignment="1">
      <alignment horizontal="center" vertical="center" wrapText="1"/>
      <protection/>
    </xf>
    <xf numFmtId="0" fontId="15" fillId="6" borderId="5" xfId="0" applyFont="1" applyFill="1" applyBorder="1" applyAlignment="1">
      <alignment horizontal="center" vertical="center"/>
    </xf>
    <xf numFmtId="0" fontId="15" fillId="6" borderId="27" xfId="0" applyFont="1" applyFill="1" applyBorder="1" applyAlignment="1">
      <alignment horizontal="center" vertical="center"/>
    </xf>
    <xf numFmtId="0" fontId="15" fillId="6" borderId="4" xfId="0" applyFont="1" applyFill="1" applyBorder="1" applyAlignment="1">
      <alignment horizontal="center"/>
    </xf>
    <xf numFmtId="0" fontId="16" fillId="5" borderId="17" xfId="28" applyFont="1" applyFill="1" applyBorder="1" applyAlignment="1">
      <alignment horizontal="center" vertical="center"/>
      <protection/>
    </xf>
    <xf numFmtId="0" fontId="16" fillId="5" borderId="1" xfId="28" applyFont="1" applyFill="1" applyBorder="1" applyAlignment="1">
      <alignment horizontal="center" vertical="center"/>
      <protection/>
    </xf>
    <xf numFmtId="9" fontId="16" fillId="4" borderId="1" xfId="15" applyFont="1" applyFill="1" applyBorder="1" applyAlignment="1" applyProtection="1">
      <alignment horizontal="center" vertical="center"/>
      <protection locked="0"/>
    </xf>
    <xf numFmtId="2" fontId="16" fillId="12" borderId="1" xfId="28" applyNumberFormat="1" applyFont="1" applyFill="1" applyBorder="1" applyAlignment="1">
      <alignment horizontal="center" vertical="center"/>
      <protection/>
    </xf>
    <xf numFmtId="2" fontId="16" fillId="12" borderId="24" xfId="28" applyNumberFormat="1" applyFont="1" applyFill="1" applyBorder="1" applyAlignment="1">
      <alignment horizontal="center" vertical="center"/>
      <protection/>
    </xf>
    <xf numFmtId="0" fontId="16" fillId="5" borderId="17" xfId="0" applyFont="1" applyFill="1" applyBorder="1" applyAlignment="1">
      <alignment horizontal="center" vertical="center" wrapText="1"/>
    </xf>
    <xf numFmtId="0" fontId="16" fillId="5" borderId="1" xfId="0" applyFont="1" applyFill="1" applyBorder="1" applyAlignment="1">
      <alignment horizontal="center" vertical="center" wrapText="1"/>
    </xf>
    <xf numFmtId="2" fontId="50" fillId="4" borderId="1" xfId="0" applyNumberFormat="1" applyFont="1" applyFill="1" applyBorder="1" applyAlignment="1">
      <alignment horizontal="center" vertical="center"/>
    </xf>
    <xf numFmtId="2" fontId="50" fillId="4" borderId="24" xfId="0" applyNumberFormat="1" applyFont="1" applyFill="1" applyBorder="1" applyAlignment="1">
      <alignment horizontal="center" vertical="center"/>
    </xf>
    <xf numFmtId="0" fontId="13" fillId="4" borderId="1" xfId="28" applyFont="1" applyFill="1" applyBorder="1" applyAlignment="1" applyProtection="1">
      <alignment horizontal="center" vertical="center"/>
      <protection locked="0"/>
    </xf>
    <xf numFmtId="0" fontId="13" fillId="4" borderId="24" xfId="28" applyFont="1" applyFill="1" applyBorder="1" applyAlignment="1" applyProtection="1">
      <alignment horizontal="center" vertical="center"/>
      <protection locked="0"/>
    </xf>
    <xf numFmtId="168" fontId="13" fillId="4" borderId="1" xfId="0" applyNumberFormat="1" applyFont="1" applyFill="1" applyBorder="1" applyAlignment="1" applyProtection="1">
      <alignment horizontal="center"/>
      <protection locked="0"/>
    </xf>
    <xf numFmtId="168" fontId="13" fillId="4" borderId="24" xfId="0" applyNumberFormat="1" applyFont="1" applyFill="1" applyBorder="1" applyAlignment="1" applyProtection="1">
      <alignment horizontal="center"/>
      <protection locked="0"/>
    </xf>
    <xf numFmtId="0" fontId="16" fillId="5" borderId="17" xfId="0" applyFont="1" applyFill="1" applyBorder="1" applyAlignment="1">
      <alignment horizontal="center" vertical="center"/>
    </xf>
    <xf numFmtId="0" fontId="16" fillId="5" borderId="1" xfId="0" applyFont="1" applyFill="1" applyBorder="1" applyAlignment="1">
      <alignment horizontal="center" vertical="center"/>
    </xf>
    <xf numFmtId="168" fontId="13" fillId="4" borderId="1" xfId="28" applyNumberFormat="1" applyFont="1" applyFill="1" applyBorder="1" applyAlignment="1" applyProtection="1">
      <alignment horizontal="center" vertical="center"/>
      <protection locked="0"/>
    </xf>
    <xf numFmtId="168" fontId="13" fillId="4" borderId="24" xfId="28" applyNumberFormat="1" applyFont="1" applyFill="1" applyBorder="1" applyAlignment="1" applyProtection="1">
      <alignment horizontal="center" vertical="center"/>
      <protection locked="0"/>
    </xf>
    <xf numFmtId="0" fontId="10" fillId="2" borderId="0" xfId="0" applyFont="1" applyFill="1" applyAlignment="1">
      <alignment horizontal="right" vertical="top"/>
    </xf>
    <xf numFmtId="0" fontId="12" fillId="2" borderId="0" xfId="40" applyFont="1" applyFill="1" applyAlignment="1" applyProtection="1">
      <alignment horizontal="left" vertical="top"/>
      <protection locked="0"/>
    </xf>
    <xf numFmtId="0" fontId="11" fillId="2" borderId="0" xfId="0" applyFont="1" applyFill="1" applyAlignment="1">
      <alignment horizontal="center"/>
    </xf>
    <xf numFmtId="0" fontId="16" fillId="5" borderId="18" xfId="28" applyFont="1" applyFill="1" applyBorder="1" applyAlignment="1">
      <alignment horizontal="center" vertical="center"/>
      <protection/>
    </xf>
    <xf numFmtId="0" fontId="16" fillId="5" borderId="22" xfId="28" applyFont="1" applyFill="1" applyBorder="1" applyAlignment="1">
      <alignment horizontal="center" vertical="center"/>
      <protection/>
    </xf>
    <xf numFmtId="0" fontId="13" fillId="4" borderId="22" xfId="28" applyFont="1" applyFill="1" applyBorder="1" applyAlignment="1" applyProtection="1">
      <alignment horizontal="center" vertical="center"/>
      <protection locked="0"/>
    </xf>
    <xf numFmtId="0" fontId="13" fillId="4" borderId="23" xfId="28" applyFont="1" applyFill="1" applyBorder="1" applyAlignment="1" applyProtection="1">
      <alignment horizontal="center" vertical="center"/>
      <protection locked="0"/>
    </xf>
    <xf numFmtId="0" fontId="16" fillId="2" borderId="32" xfId="0" applyFont="1" applyFill="1" applyBorder="1" applyAlignment="1">
      <alignment horizontal="center" vertical="center"/>
    </xf>
    <xf numFmtId="0" fontId="18" fillId="5" borderId="73" xfId="0" applyFont="1" applyFill="1" applyBorder="1" applyAlignment="1">
      <alignment horizontal="center" vertical="center"/>
    </xf>
    <xf numFmtId="0" fontId="45" fillId="5" borderId="2" xfId="0" applyFont="1" applyFill="1" applyBorder="1" applyAlignment="1">
      <alignment horizontal="center" vertical="center"/>
    </xf>
    <xf numFmtId="0" fontId="45" fillId="5" borderId="52" xfId="0" applyFont="1" applyFill="1" applyBorder="1" applyAlignment="1">
      <alignment horizontal="center" vertical="center"/>
    </xf>
    <xf numFmtId="0" fontId="45" fillId="5" borderId="36" xfId="0" applyFont="1" applyFill="1" applyBorder="1" applyAlignment="1">
      <alignment horizontal="center" vertical="center"/>
    </xf>
    <xf numFmtId="0" fontId="45" fillId="5" borderId="0" xfId="0" applyFont="1" applyFill="1" applyAlignment="1">
      <alignment horizontal="center" vertical="center"/>
    </xf>
    <xf numFmtId="0" fontId="45" fillId="5" borderId="30" xfId="0" applyFont="1" applyFill="1" applyBorder="1" applyAlignment="1">
      <alignment horizontal="center" vertical="center"/>
    </xf>
    <xf numFmtId="0" fontId="13" fillId="11" borderId="6" xfId="28" applyFont="1" applyFill="1" applyBorder="1" applyAlignment="1">
      <alignment horizontal="center"/>
      <protection/>
    </xf>
    <xf numFmtId="0" fontId="13" fillId="11" borderId="7" xfId="28" applyFont="1" applyFill="1" applyBorder="1" applyAlignment="1">
      <alignment horizontal="center"/>
      <protection/>
    </xf>
    <xf numFmtId="0" fontId="13" fillId="5" borderId="7" xfId="28" applyFont="1" applyFill="1" applyBorder="1" applyAlignment="1">
      <alignment horizontal="center"/>
      <protection/>
    </xf>
    <xf numFmtId="0" fontId="13" fillId="5" borderId="8" xfId="28" applyFont="1" applyFill="1" applyBorder="1" applyAlignment="1">
      <alignment horizontal="center"/>
      <protection/>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2" fontId="50" fillId="0" borderId="7" xfId="0" applyNumberFormat="1" applyFont="1" applyBorder="1" applyAlignment="1" applyProtection="1">
      <alignment horizontal="center" vertical="center"/>
      <protection locked="0"/>
    </xf>
    <xf numFmtId="0" fontId="50" fillId="12" borderId="7" xfId="0" applyFont="1" applyFill="1" applyBorder="1" applyAlignment="1">
      <alignment horizontal="center" vertical="center" wrapText="1"/>
    </xf>
    <xf numFmtId="0" fontId="50" fillId="12" borderId="8" xfId="0" applyFont="1" applyFill="1" applyBorder="1" applyAlignment="1">
      <alignment horizontal="center" vertical="center" wrapText="1"/>
    </xf>
    <xf numFmtId="0" fontId="13" fillId="12" borderId="17" xfId="28" applyFont="1" applyFill="1" applyBorder="1" applyAlignment="1">
      <alignment horizontal="center"/>
      <protection/>
    </xf>
    <xf numFmtId="0" fontId="13" fillId="12" borderId="1" xfId="28" applyFont="1" applyFill="1" applyBorder="1" applyAlignment="1">
      <alignment horizontal="center"/>
      <protection/>
    </xf>
    <xf numFmtId="0" fontId="13" fillId="5" borderId="1" xfId="28" applyFont="1" applyFill="1" applyBorder="1" applyAlignment="1">
      <alignment horizontal="center"/>
      <protection/>
    </xf>
    <xf numFmtId="0" fontId="13" fillId="5" borderId="24" xfId="28" applyFont="1" applyFill="1" applyBorder="1" applyAlignment="1">
      <alignment horizontal="center"/>
      <protection/>
    </xf>
    <xf numFmtId="0" fontId="53" fillId="23" borderId="68" xfId="0" applyFont="1" applyFill="1" applyBorder="1" applyAlignment="1">
      <alignment horizontal="center"/>
    </xf>
    <xf numFmtId="0" fontId="53" fillId="23" borderId="29" xfId="0" applyFont="1" applyFill="1" applyBorder="1" applyAlignment="1">
      <alignment horizontal="center"/>
    </xf>
    <xf numFmtId="0" fontId="13" fillId="5" borderId="19" xfId="0" applyFont="1" applyFill="1" applyBorder="1" applyAlignment="1">
      <alignment horizontal="center"/>
    </xf>
    <xf numFmtId="0" fontId="13" fillId="5" borderId="50" xfId="0" applyFont="1" applyFill="1" applyBorder="1" applyAlignment="1">
      <alignment horizontal="center"/>
    </xf>
    <xf numFmtId="0" fontId="13" fillId="5" borderId="62" xfId="0" applyFont="1" applyFill="1" applyBorder="1" applyAlignment="1">
      <alignment horizontal="center"/>
    </xf>
    <xf numFmtId="0" fontId="10" fillId="4" borderId="27" xfId="0" applyFont="1" applyFill="1" applyBorder="1" applyAlignment="1" applyProtection="1">
      <alignment horizontal="center"/>
      <protection locked="0"/>
    </xf>
    <xf numFmtId="0" fontId="10" fillId="4" borderId="4" xfId="0" applyFont="1" applyFill="1" applyBorder="1" applyAlignment="1" applyProtection="1">
      <alignment horizontal="center"/>
      <protection locked="0"/>
    </xf>
    <xf numFmtId="0" fontId="50" fillId="5" borderId="5" xfId="0" applyFont="1" applyFill="1" applyBorder="1" applyAlignment="1">
      <alignment horizontal="left" vertical="center"/>
    </xf>
    <xf numFmtId="0" fontId="50" fillId="5" borderId="27" xfId="0" applyFont="1" applyFill="1" applyBorder="1" applyAlignment="1">
      <alignment horizontal="left" vertical="center"/>
    </xf>
    <xf numFmtId="0" fontId="50" fillId="5" borderId="5" xfId="0" applyFont="1" applyFill="1" applyBorder="1" applyAlignment="1">
      <alignment horizontal="left"/>
    </xf>
    <xf numFmtId="0" fontId="50" fillId="5" borderId="27" xfId="0" applyFont="1" applyFill="1" applyBorder="1" applyAlignment="1">
      <alignment horizontal="left"/>
    </xf>
    <xf numFmtId="0" fontId="19" fillId="4" borderId="17" xfId="0" applyFont="1" applyFill="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17" fillId="5" borderId="73" xfId="0" applyFont="1" applyFill="1" applyBorder="1" applyAlignment="1">
      <alignment horizontal="center"/>
    </xf>
    <xf numFmtId="0" fontId="17" fillId="5" borderId="2" xfId="0" applyFont="1" applyFill="1" applyBorder="1" applyAlignment="1">
      <alignment horizontal="center"/>
    </xf>
    <xf numFmtId="0" fontId="17" fillId="5" borderId="52" xfId="0" applyFont="1" applyFill="1" applyBorder="1" applyAlignment="1">
      <alignment horizontal="center"/>
    </xf>
    <xf numFmtId="0" fontId="53" fillId="24" borderId="17" xfId="0" applyFont="1" applyFill="1" applyBorder="1" applyAlignment="1">
      <alignment horizontal="center"/>
    </xf>
    <xf numFmtId="0" fontId="53" fillId="24" borderId="1" xfId="0" applyFont="1" applyFill="1" applyBorder="1" applyAlignment="1">
      <alignment horizontal="center"/>
    </xf>
    <xf numFmtId="0" fontId="13" fillId="5" borderId="1" xfId="0" applyFont="1" applyFill="1" applyBorder="1" applyAlignment="1">
      <alignment horizontal="center"/>
    </xf>
    <xf numFmtId="0" fontId="13" fillId="5" borderId="24" xfId="0" applyFont="1" applyFill="1" applyBorder="1" applyAlignment="1">
      <alignment horizontal="center"/>
    </xf>
    <xf numFmtId="0" fontId="17" fillId="25" borderId="18" xfId="0" applyFont="1" applyFill="1" applyBorder="1" applyAlignment="1">
      <alignment horizontal="center"/>
    </xf>
    <xf numFmtId="0" fontId="17" fillId="25" borderId="22" xfId="0" applyFont="1" applyFill="1" applyBorder="1" applyAlignment="1">
      <alignment horizontal="center"/>
    </xf>
    <xf numFmtId="0" fontId="13" fillId="5" borderId="22" xfId="0" applyFont="1" applyFill="1" applyBorder="1" applyAlignment="1">
      <alignment horizontal="center"/>
    </xf>
    <xf numFmtId="0" fontId="13" fillId="5" borderId="23" xfId="0" applyFont="1" applyFill="1" applyBorder="1" applyAlignment="1">
      <alignment horizontal="center"/>
    </xf>
    <xf numFmtId="2" fontId="50" fillId="12" borderId="1" xfId="0" applyNumberFormat="1" applyFont="1" applyFill="1" applyBorder="1" applyAlignment="1">
      <alignment horizontal="center" vertical="center"/>
    </xf>
    <xf numFmtId="0" fontId="50" fillId="12" borderId="1" xfId="0" applyFont="1" applyFill="1" applyBorder="1" applyAlignment="1">
      <alignment horizontal="center" vertical="center"/>
    </xf>
    <xf numFmtId="2" fontId="50" fillId="12" borderId="7" xfId="0" applyNumberFormat="1" applyFont="1" applyFill="1" applyBorder="1" applyAlignment="1">
      <alignment horizontal="center" vertical="center"/>
    </xf>
    <xf numFmtId="0" fontId="35" fillId="5" borderId="50" xfId="0" applyFont="1" applyFill="1" applyBorder="1" applyAlignment="1">
      <alignment horizontal="center" vertical="center" wrapText="1"/>
    </xf>
    <xf numFmtId="0" fontId="35" fillId="5" borderId="29" xfId="0" applyFont="1" applyFill="1" applyBorder="1" applyAlignment="1">
      <alignment horizontal="center" vertical="center" wrapText="1"/>
    </xf>
    <xf numFmtId="0" fontId="14" fillId="5" borderId="1" xfId="0" applyFont="1" applyFill="1" applyBorder="1" applyAlignment="1">
      <alignment horizontal="center" vertical="center"/>
    </xf>
    <xf numFmtId="0" fontId="14" fillId="5" borderId="34" xfId="0" applyFont="1" applyFill="1" applyBorder="1" applyAlignment="1">
      <alignment horizontal="center" vertical="center"/>
    </xf>
    <xf numFmtId="0" fontId="0" fillId="2" borderId="0" xfId="0" applyFill="1" applyAlignment="1">
      <alignment horizontal="right" vertical="top"/>
    </xf>
    <xf numFmtId="0" fontId="7" fillId="2" borderId="0" xfId="40" applyFill="1" applyBorder="1" applyAlignment="1" applyProtection="1">
      <alignment horizontal="left" vertical="top"/>
      <protection/>
    </xf>
    <xf numFmtId="0" fontId="47" fillId="2" borderId="0" xfId="0" applyFont="1" applyFill="1" applyAlignment="1">
      <alignment horizontal="center" vertical="top" wrapText="1"/>
    </xf>
    <xf numFmtId="0" fontId="35" fillId="5" borderId="34" xfId="0" applyFont="1" applyFill="1" applyBorder="1" applyAlignment="1">
      <alignment horizontal="center" vertical="center"/>
    </xf>
    <xf numFmtId="0" fontId="35" fillId="5" borderId="15" xfId="0" applyFont="1" applyFill="1" applyBorder="1" applyAlignment="1">
      <alignment horizontal="center" vertical="center"/>
    </xf>
    <xf numFmtId="0" fontId="48" fillId="2" borderId="0" xfId="0" applyFont="1" applyFill="1" applyAlignment="1">
      <alignment horizontal="center" vertical="center"/>
    </xf>
    <xf numFmtId="0" fontId="25" fillId="2" borderId="0" xfId="0" applyFont="1" applyFill="1" applyAlignment="1">
      <alignment horizontal="right" vertical="top"/>
    </xf>
    <xf numFmtId="0" fontId="42" fillId="2" borderId="0" xfId="40" applyFont="1" applyFill="1" applyAlignment="1" applyProtection="1">
      <alignment horizontal="left" vertical="top"/>
      <protection locked="0"/>
    </xf>
    <xf numFmtId="0" fontId="43" fillId="2" borderId="0" xfId="0" applyFont="1" applyFill="1" applyAlignment="1">
      <alignment horizontal="center"/>
    </xf>
    <xf numFmtId="0" fontId="37" fillId="6" borderId="73"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52" xfId="0" applyFont="1" applyFill="1" applyBorder="1" applyAlignment="1">
      <alignment horizontal="center" vertical="center" wrapText="1"/>
    </xf>
    <xf numFmtId="0" fontId="23" fillId="6" borderId="36" xfId="0" applyFont="1" applyFill="1" applyBorder="1" applyAlignment="1">
      <alignment horizontal="center" vertical="center" wrapText="1"/>
    </xf>
    <xf numFmtId="0" fontId="23" fillId="6" borderId="0" xfId="0" applyFont="1" applyFill="1" applyAlignment="1">
      <alignment horizontal="center" vertical="center" wrapText="1"/>
    </xf>
    <xf numFmtId="0" fontId="23" fillId="6" borderId="30" xfId="0" applyFont="1" applyFill="1" applyBorder="1" applyAlignment="1">
      <alignment horizontal="center" vertical="center" wrapText="1"/>
    </xf>
    <xf numFmtId="0" fontId="23" fillId="6" borderId="42" xfId="0" applyFont="1" applyFill="1" applyBorder="1" applyAlignment="1">
      <alignment horizontal="center" vertical="center" wrapText="1"/>
    </xf>
    <xf numFmtId="0" fontId="23" fillId="6" borderId="32" xfId="0" applyFont="1" applyFill="1" applyBorder="1" applyAlignment="1">
      <alignment horizontal="center" vertical="center" wrapText="1"/>
    </xf>
    <xf numFmtId="0" fontId="23" fillId="6" borderId="31" xfId="0" applyFont="1" applyFill="1" applyBorder="1" applyAlignment="1">
      <alignment horizontal="center" vertical="center" wrapText="1"/>
    </xf>
    <xf numFmtId="0" fontId="24" fillId="6" borderId="18" xfId="0" applyFont="1" applyFill="1" applyBorder="1" applyAlignment="1">
      <alignment horizontal="center" vertical="center" wrapText="1"/>
    </xf>
    <xf numFmtId="0" fontId="24" fillId="6" borderId="22" xfId="0" applyFont="1" applyFill="1" applyBorder="1" applyAlignment="1">
      <alignment horizontal="center" vertical="center" wrapText="1"/>
    </xf>
    <xf numFmtId="2" fontId="14" fillId="16" borderId="77" xfId="0" applyNumberFormat="1" applyFont="1" applyFill="1" applyBorder="1" applyAlignment="1">
      <alignment horizontal="center" vertical="center" wrapText="1"/>
    </xf>
    <xf numFmtId="2" fontId="14" fillId="16" borderId="61" xfId="0" applyNumberFormat="1" applyFont="1" applyFill="1" applyBorder="1" applyAlignment="1">
      <alignment horizontal="center" vertical="center" wrapText="1"/>
    </xf>
    <xf numFmtId="0" fontId="24" fillId="6" borderId="17" xfId="0" applyFont="1" applyFill="1" applyBorder="1" applyAlignment="1">
      <alignment horizontal="center" vertical="center" wrapText="1"/>
    </xf>
    <xf numFmtId="0" fontId="24" fillId="6" borderId="1" xfId="0" applyFont="1" applyFill="1" applyBorder="1" applyAlignment="1">
      <alignment horizontal="center" vertical="center" wrapText="1"/>
    </xf>
    <xf numFmtId="2" fontId="14" fillId="16" borderId="19" xfId="0" applyNumberFormat="1" applyFont="1" applyFill="1" applyBorder="1" applyAlignment="1">
      <alignment horizontal="center" vertical="center" wrapText="1"/>
    </xf>
    <xf numFmtId="2" fontId="14" fillId="16" borderId="62" xfId="0" applyNumberFormat="1" applyFont="1" applyFill="1" applyBorder="1" applyAlignment="1">
      <alignment horizontal="center" vertical="center" wrapText="1"/>
    </xf>
    <xf numFmtId="0" fontId="24" fillId="6" borderId="6" xfId="0" applyFont="1" applyFill="1" applyBorder="1" applyAlignment="1">
      <alignment horizontal="center" vertical="center" wrapText="1"/>
    </xf>
    <xf numFmtId="0" fontId="24" fillId="6" borderId="7" xfId="0" applyFont="1" applyFill="1" applyBorder="1" applyAlignment="1">
      <alignment horizontal="center" vertical="center" wrapText="1"/>
    </xf>
    <xf numFmtId="2" fontId="14" fillId="16" borderId="48" xfId="0" applyNumberFormat="1" applyFont="1" applyFill="1" applyBorder="1" applyAlignment="1">
      <alignment horizontal="center" vertical="center" wrapText="1"/>
    </xf>
    <xf numFmtId="2" fontId="14" fillId="16" borderId="57" xfId="0" applyNumberFormat="1" applyFont="1" applyFill="1" applyBorder="1" applyAlignment="1">
      <alignment horizontal="center" vertical="center" wrapText="1"/>
    </xf>
    <xf numFmtId="0" fontId="11" fillId="9" borderId="44" xfId="0" applyFont="1" applyFill="1" applyBorder="1" applyAlignment="1">
      <alignment horizontal="center" vertical="center"/>
    </xf>
    <xf numFmtId="0" fontId="11" fillId="9" borderId="79" xfId="0" applyFont="1" applyFill="1" applyBorder="1" applyAlignment="1">
      <alignment horizontal="center" vertical="center"/>
    </xf>
    <xf numFmtId="0" fontId="11" fillId="9" borderId="28" xfId="0" applyFont="1" applyFill="1" applyBorder="1" applyAlignment="1">
      <alignment horizontal="center" vertical="center"/>
    </xf>
    <xf numFmtId="0" fontId="27" fillId="3" borderId="0" xfId="0" applyFont="1" applyFill="1" applyAlignment="1">
      <alignment horizontal="center"/>
    </xf>
    <xf numFmtId="0" fontId="23" fillId="6" borderId="73" xfId="0" applyFont="1" applyFill="1" applyBorder="1" applyAlignment="1">
      <alignment horizontal="center" vertical="center" wrapText="1"/>
    </xf>
    <xf numFmtId="0" fontId="45" fillId="2" borderId="79" xfId="0" applyFont="1" applyFill="1" applyBorder="1" applyAlignment="1">
      <alignment horizontal="center" vertical="center"/>
    </xf>
    <xf numFmtId="0" fontId="18" fillId="3" borderId="0" xfId="0" applyFont="1" applyFill="1" applyAlignment="1">
      <alignment horizontal="center" vertical="center" wrapText="1"/>
    </xf>
    <xf numFmtId="2" fontId="14" fillId="16" borderId="1" xfId="0" applyNumberFormat="1" applyFont="1" applyFill="1" applyBorder="1" applyAlignment="1">
      <alignment horizontal="center" vertical="center" wrapText="1"/>
    </xf>
    <xf numFmtId="2" fontId="14" fillId="16" borderId="7" xfId="0" applyNumberFormat="1" applyFont="1" applyFill="1" applyBorder="1" applyAlignment="1">
      <alignment horizontal="center" vertical="center" wrapText="1"/>
    </xf>
    <xf numFmtId="2" fontId="14" fillId="16" borderId="1" xfId="0" applyNumberFormat="1" applyFont="1" applyFill="1" applyBorder="1" applyAlignment="1">
      <alignment horizontal="center" vertical="center"/>
    </xf>
    <xf numFmtId="2" fontId="14" fillId="16" borderId="7" xfId="0" applyNumberFormat="1" applyFont="1" applyFill="1" applyBorder="1" applyAlignment="1">
      <alignment horizontal="center" vertical="center"/>
    </xf>
    <xf numFmtId="0" fontId="50" fillId="3" borderId="0" xfId="0" applyFont="1" applyFill="1" applyAlignment="1">
      <alignment horizontal="center" vertical="center"/>
    </xf>
    <xf numFmtId="0" fontId="26" fillId="6" borderId="73" xfId="0" applyFont="1" applyFill="1" applyBorder="1" applyAlignment="1">
      <alignment horizontal="center" vertical="center"/>
    </xf>
    <xf numFmtId="0" fontId="26" fillId="6" borderId="2" xfId="0" applyFont="1" applyFill="1" applyBorder="1" applyAlignment="1">
      <alignment horizontal="center" vertical="center"/>
    </xf>
    <xf numFmtId="0" fontId="26" fillId="6" borderId="52" xfId="0" applyFont="1" applyFill="1" applyBorder="1" applyAlignment="1">
      <alignment horizontal="center" vertical="center"/>
    </xf>
    <xf numFmtId="0" fontId="26" fillId="6" borderId="42" xfId="0" applyFont="1" applyFill="1" applyBorder="1" applyAlignment="1">
      <alignment horizontal="center" vertical="center"/>
    </xf>
    <xf numFmtId="0" fontId="26" fillId="6" borderId="32" xfId="0" applyFont="1" applyFill="1" applyBorder="1" applyAlignment="1">
      <alignment horizontal="center" vertical="center"/>
    </xf>
    <xf numFmtId="0" fontId="26" fillId="6" borderId="31" xfId="0" applyFont="1" applyFill="1" applyBorder="1" applyAlignment="1">
      <alignment horizontal="center" vertical="center"/>
    </xf>
    <xf numFmtId="0" fontId="14" fillId="6" borderId="44" xfId="0" applyFont="1" applyFill="1" applyBorder="1" applyAlignment="1">
      <alignment horizontal="left" vertical="center"/>
    </xf>
    <xf numFmtId="0" fontId="14" fillId="6" borderId="79" xfId="0" applyFont="1" applyFill="1" applyBorder="1" applyAlignment="1">
      <alignment horizontal="left" vertical="center"/>
    </xf>
    <xf numFmtId="0" fontId="14" fillId="6" borderId="28" xfId="0" applyFont="1" applyFill="1" applyBorder="1" applyAlignment="1">
      <alignment horizontal="left" vertical="center"/>
    </xf>
    <xf numFmtId="2" fontId="14" fillId="16" borderId="24" xfId="0" applyNumberFormat="1" applyFont="1" applyFill="1" applyBorder="1" applyAlignment="1">
      <alignment horizontal="center" vertical="center"/>
    </xf>
    <xf numFmtId="2" fontId="14" fillId="11" borderId="22" xfId="0" applyNumberFormat="1" applyFont="1" applyFill="1" applyBorder="1" applyAlignment="1">
      <alignment horizontal="center" vertical="center" wrapText="1"/>
    </xf>
    <xf numFmtId="2" fontId="14" fillId="11" borderId="23" xfId="0" applyNumberFormat="1" applyFont="1" applyFill="1" applyBorder="1" applyAlignment="1">
      <alignment horizontal="center" vertical="center" wrapText="1"/>
    </xf>
    <xf numFmtId="2" fontId="14" fillId="16" borderId="24" xfId="0" applyNumberFormat="1" applyFont="1" applyFill="1" applyBorder="1" applyAlignment="1">
      <alignment horizontal="center" vertical="center" wrapText="1"/>
    </xf>
    <xf numFmtId="0" fontId="32" fillId="6" borderId="44" xfId="0" applyFont="1" applyFill="1" applyBorder="1" applyAlignment="1">
      <alignment horizontal="center" vertical="center" wrapText="1"/>
    </xf>
    <xf numFmtId="0" fontId="32" fillId="6" borderId="79" xfId="0" applyFont="1" applyFill="1" applyBorder="1" applyAlignment="1">
      <alignment horizontal="center" vertical="center" wrapText="1"/>
    </xf>
    <xf numFmtId="0" fontId="32" fillId="6" borderId="28" xfId="0" applyFont="1" applyFill="1" applyBorder="1" applyAlignment="1">
      <alignment horizontal="center" vertical="center" wrapText="1"/>
    </xf>
    <xf numFmtId="2" fontId="14" fillId="16" borderId="22" xfId="0" applyNumberFormat="1" applyFont="1" applyFill="1" applyBorder="1" applyAlignment="1">
      <alignment horizontal="center" vertical="center"/>
    </xf>
    <xf numFmtId="2" fontId="14" fillId="16" borderId="23" xfId="0" applyNumberFormat="1" applyFont="1" applyFill="1" applyBorder="1" applyAlignment="1">
      <alignment horizontal="center" vertical="center"/>
    </xf>
    <xf numFmtId="0" fontId="25" fillId="3" borderId="36" xfId="0" applyFont="1" applyFill="1" applyBorder="1" applyAlignment="1">
      <alignment horizontal="center"/>
    </xf>
    <xf numFmtId="0" fontId="25" fillId="3" borderId="0" xfId="0" applyFont="1" applyFill="1" applyAlignment="1">
      <alignment horizontal="center"/>
    </xf>
    <xf numFmtId="2" fontId="14" fillId="16" borderId="48" xfId="0" applyNumberFormat="1" applyFont="1" applyFill="1" applyBorder="1" applyAlignment="1">
      <alignment horizontal="center" vertical="center"/>
    </xf>
    <xf numFmtId="2" fontId="14" fillId="16" borderId="57" xfId="0" applyNumberFormat="1" applyFont="1" applyFill="1" applyBorder="1" applyAlignment="1">
      <alignment horizontal="center" vertical="center"/>
    </xf>
    <xf numFmtId="2" fontId="14" fillId="16" borderId="58" xfId="0" applyNumberFormat="1" applyFont="1" applyFill="1" applyBorder="1" applyAlignment="1">
      <alignment horizontal="center" vertical="center" wrapText="1"/>
    </xf>
    <xf numFmtId="2" fontId="14" fillId="16" borderId="18" xfId="0" applyNumberFormat="1" applyFont="1" applyFill="1" applyBorder="1" applyAlignment="1">
      <alignment horizontal="center" vertical="center"/>
    </xf>
    <xf numFmtId="2" fontId="14" fillId="16" borderId="17" xfId="0" applyNumberFormat="1" applyFont="1" applyFill="1" applyBorder="1" applyAlignment="1">
      <alignment horizontal="center" vertical="center"/>
    </xf>
    <xf numFmtId="2" fontId="14" fillId="16" borderId="58" xfId="0" applyNumberFormat="1" applyFont="1" applyFill="1" applyBorder="1" applyAlignment="1">
      <alignment horizontal="center" vertical="center"/>
    </xf>
    <xf numFmtId="2" fontId="14" fillId="16" borderId="65" xfId="0" applyNumberFormat="1" applyFont="1" applyFill="1" applyBorder="1" applyAlignment="1">
      <alignment horizontal="center" vertical="center" wrapText="1"/>
    </xf>
    <xf numFmtId="2" fontId="14" fillId="16" borderId="68" xfId="0" applyNumberFormat="1" applyFont="1" applyFill="1" applyBorder="1" applyAlignment="1">
      <alignment horizontal="center" vertical="center" wrapText="1"/>
    </xf>
    <xf numFmtId="2" fontId="14" fillId="16" borderId="8" xfId="0" applyNumberFormat="1" applyFont="1" applyFill="1" applyBorder="1" applyAlignment="1">
      <alignment horizontal="center" vertical="center"/>
    </xf>
    <xf numFmtId="0" fontId="27" fillId="3" borderId="0" xfId="0" applyFont="1" applyFill="1" applyAlignment="1">
      <alignment horizontal="left"/>
    </xf>
    <xf numFmtId="2" fontId="14" fillId="16" borderId="19" xfId="0" applyNumberFormat="1" applyFont="1" applyFill="1" applyBorder="1" applyAlignment="1" quotePrefix="1">
      <alignment horizontal="center" vertical="center" wrapText="1"/>
    </xf>
    <xf numFmtId="0" fontId="14" fillId="6" borderId="66" xfId="0" applyFont="1" applyFill="1" applyBorder="1" applyAlignment="1">
      <alignment horizontal="center" vertical="center" wrapText="1"/>
    </xf>
    <xf numFmtId="0" fontId="14" fillId="6" borderId="80"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6" fillId="3" borderId="0" xfId="0" applyFont="1" applyFill="1" applyAlignment="1">
      <alignment horizontal="center" vertical="center" wrapText="1"/>
    </xf>
    <xf numFmtId="0" fontId="15" fillId="2" borderId="0" xfId="0" applyFont="1" applyFill="1" applyAlignment="1">
      <alignment horizontal="center" vertical="center" wrapText="1"/>
    </xf>
    <xf numFmtId="10" fontId="14" fillId="16" borderId="77" xfId="0" applyNumberFormat="1" applyFont="1" applyFill="1" applyBorder="1" applyAlignment="1">
      <alignment horizontal="center" vertical="center" wrapText="1"/>
    </xf>
    <xf numFmtId="10" fontId="14" fillId="16" borderId="61" xfId="0" applyNumberFormat="1" applyFont="1" applyFill="1" applyBorder="1" applyAlignment="1">
      <alignment horizontal="center" vertical="center" wrapText="1"/>
    </xf>
    <xf numFmtId="10" fontId="14" fillId="16" borderId="21" xfId="0" applyNumberFormat="1" applyFont="1" applyFill="1" applyBorder="1" applyAlignment="1">
      <alignment horizontal="center" vertical="center" wrapText="1"/>
    </xf>
    <xf numFmtId="10" fontId="14" fillId="16" borderId="30" xfId="0" applyNumberFormat="1" applyFont="1" applyFill="1" applyBorder="1" applyAlignment="1">
      <alignment horizontal="center" vertical="center" wrapText="1"/>
    </xf>
    <xf numFmtId="0" fontId="24" fillId="6" borderId="48" xfId="0" applyFont="1" applyFill="1" applyBorder="1" applyAlignment="1">
      <alignment horizontal="center" vertical="center" wrapText="1"/>
    </xf>
    <xf numFmtId="10" fontId="14" fillId="11" borderId="48" xfId="0" applyNumberFormat="1" applyFont="1" applyFill="1" applyBorder="1" applyAlignment="1">
      <alignment horizontal="center" vertical="center" wrapText="1"/>
    </xf>
    <xf numFmtId="10" fontId="14" fillId="11" borderId="57" xfId="0" applyNumberFormat="1" applyFont="1" applyFill="1" applyBorder="1" applyAlignment="1">
      <alignment horizontal="center" vertical="center" wrapText="1"/>
    </xf>
    <xf numFmtId="0" fontId="32" fillId="6" borderId="73"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52" xfId="0" applyFont="1" applyFill="1" applyBorder="1" applyAlignment="1">
      <alignment horizontal="center" vertical="center" wrapText="1"/>
    </xf>
    <xf numFmtId="0" fontId="32" fillId="6" borderId="36" xfId="0" applyFont="1" applyFill="1" applyBorder="1" applyAlignment="1">
      <alignment horizontal="center" vertical="center" wrapText="1"/>
    </xf>
    <xf numFmtId="0" fontId="32" fillId="6" borderId="0" xfId="0" applyFont="1" applyFill="1" applyAlignment="1">
      <alignment horizontal="center" vertical="center" wrapText="1"/>
    </xf>
    <xf numFmtId="0" fontId="32" fillId="6" borderId="30" xfId="0" applyFont="1" applyFill="1" applyBorder="1" applyAlignment="1">
      <alignment horizontal="center" vertical="center" wrapText="1"/>
    </xf>
    <xf numFmtId="0" fontId="32" fillId="6" borderId="42" xfId="0" applyFont="1" applyFill="1" applyBorder="1" applyAlignment="1">
      <alignment horizontal="center" vertical="center" wrapText="1"/>
    </xf>
    <xf numFmtId="0" fontId="32" fillId="6" borderId="32" xfId="0" applyFont="1" applyFill="1" applyBorder="1" applyAlignment="1">
      <alignment horizontal="center" vertical="center" wrapText="1"/>
    </xf>
    <xf numFmtId="0" fontId="32" fillId="6" borderId="31" xfId="0" applyFont="1" applyFill="1" applyBorder="1" applyAlignment="1">
      <alignment horizontal="center" vertical="center" wrapText="1"/>
    </xf>
    <xf numFmtId="0" fontId="45" fillId="26" borderId="44" xfId="0" applyFont="1" applyFill="1" applyBorder="1" applyAlignment="1">
      <alignment horizontal="center" vertical="center" wrapText="1"/>
    </xf>
    <xf numFmtId="0" fontId="45" fillId="26" borderId="79" xfId="0" applyFont="1" applyFill="1" applyBorder="1" applyAlignment="1">
      <alignment horizontal="center" vertical="center" wrapText="1"/>
    </xf>
    <xf numFmtId="0" fontId="45" fillId="26" borderId="28"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27" fillId="3" borderId="2" xfId="0" applyFont="1" applyFill="1" applyBorder="1" applyAlignment="1">
      <alignment horizontal="center" vertical="center"/>
    </xf>
    <xf numFmtId="0" fontId="27" fillId="3" borderId="0" xfId="0" applyFont="1" applyFill="1" applyAlignment="1">
      <alignment horizontal="center" vertical="center"/>
    </xf>
    <xf numFmtId="0" fontId="73" fillId="3" borderId="79" xfId="0" applyFont="1" applyFill="1" applyBorder="1" applyAlignment="1">
      <alignment horizontal="center" vertical="center"/>
    </xf>
    <xf numFmtId="0" fontId="11" fillId="2" borderId="0" xfId="0" applyFont="1" applyFill="1" applyAlignment="1">
      <alignment horizontal="center" vertical="center"/>
    </xf>
    <xf numFmtId="0" fontId="62" fillId="25" borderId="73" xfId="0" applyFont="1" applyFill="1" applyBorder="1" applyAlignment="1">
      <alignment horizontal="center" vertical="center"/>
    </xf>
    <xf numFmtId="0" fontId="63" fillId="25" borderId="2" xfId="0" applyFont="1" applyFill="1" applyBorder="1" applyAlignment="1">
      <alignment horizontal="center" vertical="center"/>
    </xf>
    <xf numFmtId="0" fontId="63" fillId="25" borderId="52" xfId="0" applyFont="1" applyFill="1" applyBorder="1" applyAlignment="1">
      <alignment horizontal="center" vertical="center"/>
    </xf>
    <xf numFmtId="0" fontId="63" fillId="25" borderId="36" xfId="0" applyFont="1" applyFill="1" applyBorder="1" applyAlignment="1">
      <alignment horizontal="center" vertical="center"/>
    </xf>
    <xf numFmtId="0" fontId="63" fillId="25" borderId="0" xfId="0" applyFont="1" applyFill="1" applyAlignment="1">
      <alignment horizontal="center" vertical="center"/>
    </xf>
    <xf numFmtId="0" fontId="63" fillId="25" borderId="30" xfId="0" applyFont="1" applyFill="1" applyBorder="1" applyAlignment="1">
      <alignment horizontal="center" vertical="center"/>
    </xf>
    <xf numFmtId="0" fontId="63" fillId="25" borderId="42" xfId="0" applyFont="1" applyFill="1" applyBorder="1" applyAlignment="1">
      <alignment horizontal="center" vertical="center"/>
    </xf>
    <xf numFmtId="0" fontId="63" fillId="25" borderId="32" xfId="0" applyFont="1" applyFill="1" applyBorder="1" applyAlignment="1">
      <alignment horizontal="center" vertical="center"/>
    </xf>
    <xf numFmtId="0" fontId="63" fillId="25" borderId="31" xfId="0" applyFont="1" applyFill="1" applyBorder="1" applyAlignment="1">
      <alignment horizontal="center" vertical="center"/>
    </xf>
    <xf numFmtId="0" fontId="50" fillId="3" borderId="36" xfId="0" applyFont="1" applyFill="1" applyBorder="1" applyAlignment="1">
      <alignment horizontal="center"/>
    </xf>
    <xf numFmtId="0" fontId="50" fillId="3" borderId="0" xfId="0" applyFont="1" applyFill="1" applyAlignment="1">
      <alignment horizontal="center"/>
    </xf>
    <xf numFmtId="0" fontId="50" fillId="3" borderId="36" xfId="0" applyFont="1" applyFill="1" applyBorder="1" applyAlignment="1">
      <alignment horizontal="center" vertical="center" wrapText="1"/>
    </xf>
    <xf numFmtId="0" fontId="50" fillId="3" borderId="0" xfId="0" applyFont="1" applyFill="1" applyAlignment="1">
      <alignment horizontal="center" vertical="center" wrapText="1"/>
    </xf>
    <xf numFmtId="0" fontId="14" fillId="6" borderId="72" xfId="0" applyFont="1" applyFill="1" applyBorder="1" applyAlignment="1">
      <alignment horizontal="center" vertical="center" wrapText="1"/>
    </xf>
    <xf numFmtId="0" fontId="18" fillId="6" borderId="73"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8" fillId="6" borderId="52"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8" fillId="6" borderId="16" xfId="0" applyFont="1" applyFill="1" applyBorder="1" applyAlignment="1">
      <alignment horizontal="center" vertical="center" wrapText="1"/>
    </xf>
    <xf numFmtId="0" fontId="18" fillId="6" borderId="56" xfId="0" applyFont="1" applyFill="1" applyBorder="1" applyAlignment="1">
      <alignment horizontal="center" vertical="center" wrapText="1"/>
    </xf>
    <xf numFmtId="1" fontId="10" fillId="11" borderId="59" xfId="0" applyNumberFormat="1" applyFont="1" applyFill="1" applyBorder="1" applyAlignment="1">
      <alignment horizontal="center" vertical="center"/>
    </xf>
    <xf numFmtId="1" fontId="10" fillId="11" borderId="12" xfId="0" applyNumberFormat="1" applyFont="1" applyFill="1" applyBorder="1" applyAlignment="1">
      <alignment horizontal="center" vertical="center"/>
    </xf>
    <xf numFmtId="0" fontId="10" fillId="11" borderId="34" xfId="0" applyFont="1" applyFill="1" applyBorder="1" applyAlignment="1">
      <alignment horizontal="center" vertical="center"/>
    </xf>
    <xf numFmtId="0" fontId="10" fillId="11" borderId="15" xfId="0" applyFont="1" applyFill="1" applyBorder="1" applyAlignment="1">
      <alignment horizontal="center" vertical="center"/>
    </xf>
    <xf numFmtId="0" fontId="10" fillId="6" borderId="9"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6" fillId="6" borderId="59"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34" xfId="0"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56" fillId="6" borderId="18" xfId="0" applyFont="1" applyFill="1" applyBorder="1" applyAlignment="1">
      <alignment horizontal="center" vertical="center" wrapText="1"/>
    </xf>
    <xf numFmtId="0" fontId="56" fillId="6" borderId="22" xfId="0" applyFont="1" applyFill="1" applyBorder="1" applyAlignment="1">
      <alignment horizontal="center" vertical="center" wrapText="1"/>
    </xf>
    <xf numFmtId="0" fontId="56" fillId="6" borderId="6" xfId="0" applyFont="1" applyFill="1" applyBorder="1" applyAlignment="1">
      <alignment horizontal="center" vertical="center" wrapText="1"/>
    </xf>
    <xf numFmtId="0" fontId="56" fillId="6" borderId="7" xfId="0" applyFont="1" applyFill="1" applyBorder="1" applyAlignment="1">
      <alignment horizontal="center" vertical="center" wrapText="1"/>
    </xf>
    <xf numFmtId="0" fontId="65" fillId="18" borderId="69" xfId="0" applyFont="1" applyFill="1" applyBorder="1" applyAlignment="1">
      <alignment horizontal="center" vertical="center" textRotation="90"/>
    </xf>
    <xf numFmtId="0" fontId="65" fillId="18" borderId="0" xfId="0" applyFont="1" applyFill="1" applyAlignment="1">
      <alignment horizontal="center" vertical="center" textRotation="90"/>
    </xf>
    <xf numFmtId="0" fontId="65" fillId="18" borderId="70" xfId="0" applyFont="1" applyFill="1" applyBorder="1" applyAlignment="1">
      <alignment horizontal="center" vertical="center" textRotation="90"/>
    </xf>
    <xf numFmtId="0" fontId="65" fillId="20" borderId="69" xfId="0" applyFont="1" applyFill="1" applyBorder="1" applyAlignment="1">
      <alignment horizontal="center" vertical="center" textRotation="90"/>
    </xf>
    <xf numFmtId="0" fontId="65" fillId="20" borderId="0" xfId="0" applyFont="1" applyFill="1" applyAlignment="1">
      <alignment horizontal="center" vertical="center" textRotation="90"/>
    </xf>
    <xf numFmtId="0" fontId="65" fillId="20" borderId="70" xfId="0" applyFont="1" applyFill="1" applyBorder="1" applyAlignment="1">
      <alignment horizontal="center" vertical="center" textRotation="90"/>
    </xf>
    <xf numFmtId="0" fontId="65" fillId="21" borderId="69" xfId="0" applyFont="1" applyFill="1" applyBorder="1" applyAlignment="1">
      <alignment textRotation="90"/>
    </xf>
    <xf numFmtId="0" fontId="65" fillId="21" borderId="0" xfId="0" applyFont="1" applyFill="1" applyAlignment="1">
      <alignment textRotation="90"/>
    </xf>
    <xf numFmtId="0" fontId="45" fillId="6" borderId="3" xfId="0" applyFont="1" applyFill="1" applyBorder="1" applyAlignment="1">
      <alignment horizontal="center" vertical="center"/>
    </xf>
    <xf numFmtId="0" fontId="10" fillId="6" borderId="25" xfId="0" applyFont="1" applyFill="1" applyBorder="1" applyAlignment="1">
      <alignment horizontal="center" vertical="center" wrapText="1"/>
    </xf>
    <xf numFmtId="0" fontId="10" fillId="11" borderId="53" xfId="0" applyFont="1" applyFill="1" applyBorder="1" applyAlignment="1">
      <alignment horizontal="center" vertical="center"/>
    </xf>
    <xf numFmtId="0" fontId="45" fillId="6" borderId="3" xfId="0" applyFont="1" applyFill="1" applyBorder="1" applyAlignment="1">
      <alignment horizontal="center"/>
    </xf>
    <xf numFmtId="1" fontId="10" fillId="11" borderId="54" xfId="0" applyNumberFormat="1" applyFont="1" applyFill="1" applyBorder="1" applyAlignment="1">
      <alignment horizontal="center" vertical="center"/>
    </xf>
    <xf numFmtId="2" fontId="10" fillId="11" borderId="22" xfId="0" applyNumberFormat="1" applyFont="1" applyFill="1" applyBorder="1" applyAlignment="1">
      <alignment horizontal="center"/>
    </xf>
    <xf numFmtId="2" fontId="10" fillId="11" borderId="23" xfId="0" applyNumberFormat="1" applyFont="1" applyFill="1" applyBorder="1" applyAlignment="1">
      <alignment horizontal="center"/>
    </xf>
    <xf numFmtId="2" fontId="10" fillId="11" borderId="7" xfId="0" applyNumberFormat="1" applyFont="1" applyFill="1" applyBorder="1" applyAlignment="1">
      <alignment horizontal="center"/>
    </xf>
    <xf numFmtId="2" fontId="10" fillId="11" borderId="8" xfId="0" applyNumberFormat="1" applyFont="1" applyFill="1" applyBorder="1" applyAlignment="1">
      <alignment horizontal="center"/>
    </xf>
    <xf numFmtId="0" fontId="52" fillId="6" borderId="44" xfId="0" applyFont="1" applyFill="1" applyBorder="1" applyAlignment="1">
      <alignment horizontal="center"/>
    </xf>
    <xf numFmtId="0" fontId="52" fillId="6" borderId="79" xfId="0" applyFont="1" applyFill="1" applyBorder="1" applyAlignment="1">
      <alignment horizontal="center"/>
    </xf>
    <xf numFmtId="0" fontId="52" fillId="6" borderId="28" xfId="0" applyFont="1" applyFill="1" applyBorder="1" applyAlignment="1">
      <alignment horizontal="center"/>
    </xf>
    <xf numFmtId="0" fontId="11" fillId="6" borderId="55" xfId="0" applyFont="1" applyFill="1" applyBorder="1" applyAlignment="1">
      <alignment horizontal="center"/>
    </xf>
    <xf numFmtId="2" fontId="10" fillId="11" borderId="22" xfId="0" applyNumberFormat="1" applyFont="1" applyFill="1" applyBorder="1" applyAlignment="1">
      <alignment horizontal="center" vertical="center"/>
    </xf>
    <xf numFmtId="2" fontId="10" fillId="11" borderId="7" xfId="0" applyNumberFormat="1" applyFont="1" applyFill="1" applyBorder="1" applyAlignment="1">
      <alignment horizontal="center" vertical="center"/>
    </xf>
    <xf numFmtId="0" fontId="56" fillId="6" borderId="3" xfId="0" applyFont="1" applyFill="1" applyBorder="1" applyAlignment="1">
      <alignment horizontal="center" vertical="center" wrapText="1"/>
    </xf>
    <xf numFmtId="0" fontId="45" fillId="6" borderId="44" xfId="0" applyFont="1" applyFill="1" applyBorder="1" applyAlignment="1">
      <alignment horizontal="center" vertical="center"/>
    </xf>
    <xf numFmtId="0" fontId="45" fillId="6" borderId="79" xfId="0" applyFont="1" applyFill="1" applyBorder="1" applyAlignment="1">
      <alignment horizontal="center" vertical="center"/>
    </xf>
    <xf numFmtId="0" fontId="45" fillId="6" borderId="28" xfId="0" applyFont="1" applyFill="1" applyBorder="1" applyAlignment="1">
      <alignment horizontal="center" vertical="center"/>
    </xf>
    <xf numFmtId="0" fontId="57" fillId="6" borderId="58" xfId="0" applyFont="1" applyFill="1" applyBorder="1" applyAlignment="1">
      <alignment horizontal="center" vertical="center" wrapText="1"/>
    </xf>
    <xf numFmtId="0" fontId="57" fillId="6" borderId="10" xfId="0" applyFont="1" applyFill="1" applyBorder="1" applyAlignment="1">
      <alignment horizontal="center" vertical="center" wrapText="1"/>
    </xf>
    <xf numFmtId="2" fontId="45" fillId="11" borderId="48" xfId="0" applyNumberFormat="1" applyFont="1" applyFill="1" applyBorder="1" applyAlignment="1">
      <alignment horizontal="center" wrapText="1"/>
    </xf>
    <xf numFmtId="2" fontId="45" fillId="11" borderId="57" xfId="0" applyNumberFormat="1" applyFont="1" applyFill="1" applyBorder="1" applyAlignment="1">
      <alignment horizontal="center" wrapText="1"/>
    </xf>
    <xf numFmtId="0" fontId="54" fillId="6" borderId="73" xfId="0" applyFont="1" applyFill="1" applyBorder="1" applyAlignment="1">
      <alignment horizontal="center" vertical="center"/>
    </xf>
    <xf numFmtId="0" fontId="54" fillId="6" borderId="2" xfId="0" applyFont="1" applyFill="1" applyBorder="1" applyAlignment="1">
      <alignment horizontal="center" vertical="center"/>
    </xf>
    <xf numFmtId="0" fontId="54" fillId="6" borderId="52" xfId="0" applyFont="1" applyFill="1" applyBorder="1" applyAlignment="1">
      <alignment horizontal="center" vertical="center"/>
    </xf>
    <xf numFmtId="0" fontId="54" fillId="6" borderId="42" xfId="0" applyFont="1" applyFill="1" applyBorder="1" applyAlignment="1">
      <alignment horizontal="center" vertical="center"/>
    </xf>
    <xf numFmtId="0" fontId="54" fillId="6" borderId="32" xfId="0" applyFont="1" applyFill="1" applyBorder="1" applyAlignment="1">
      <alignment horizontal="center" vertical="center"/>
    </xf>
    <xf numFmtId="0" fontId="54" fillId="6" borderId="31" xfId="0" applyFont="1" applyFill="1" applyBorder="1" applyAlignment="1">
      <alignment horizontal="center" vertical="center"/>
    </xf>
    <xf numFmtId="0" fontId="52" fillId="6" borderId="73" xfId="0" applyFont="1" applyFill="1" applyBorder="1" applyAlignment="1">
      <alignment horizontal="center" vertical="center"/>
    </xf>
    <xf numFmtId="0" fontId="52" fillId="6" borderId="52" xfId="0" applyFont="1" applyFill="1" applyBorder="1" applyAlignment="1">
      <alignment horizontal="center" vertical="center"/>
    </xf>
    <xf numFmtId="0" fontId="52" fillId="6" borderId="42" xfId="0" applyFont="1" applyFill="1" applyBorder="1" applyAlignment="1">
      <alignment horizontal="center" vertical="center"/>
    </xf>
    <xf numFmtId="0" fontId="52" fillId="6" borderId="31" xfId="0" applyFont="1" applyFill="1" applyBorder="1" applyAlignment="1">
      <alignment horizontal="center" vertical="center"/>
    </xf>
    <xf numFmtId="0" fontId="55" fillId="6" borderId="73" xfId="0" applyFont="1" applyFill="1" applyBorder="1" applyAlignment="1">
      <alignment horizontal="center" vertical="center" wrapText="1"/>
    </xf>
    <xf numFmtId="0" fontId="55" fillId="6" borderId="2" xfId="0" applyFont="1" applyFill="1" applyBorder="1" applyAlignment="1">
      <alignment horizontal="center" vertical="center" wrapText="1"/>
    </xf>
    <xf numFmtId="0" fontId="55" fillId="6" borderId="52" xfId="0" applyFont="1" applyFill="1" applyBorder="1" applyAlignment="1">
      <alignment horizontal="center" vertical="center" wrapText="1"/>
    </xf>
    <xf numFmtId="0" fontId="55" fillId="6" borderId="36" xfId="0" applyFont="1" applyFill="1" applyBorder="1" applyAlignment="1">
      <alignment horizontal="center" vertical="center" wrapText="1"/>
    </xf>
    <xf numFmtId="0" fontId="55" fillId="6" borderId="0" xfId="0" applyFont="1" applyFill="1" applyAlignment="1">
      <alignment horizontal="center" vertical="center" wrapText="1"/>
    </xf>
    <xf numFmtId="0" fontId="55" fillId="6" borderId="30" xfId="0" applyFont="1" applyFill="1" applyBorder="1" applyAlignment="1">
      <alignment horizontal="center" vertical="center" wrapText="1"/>
    </xf>
    <xf numFmtId="0" fontId="55" fillId="6" borderId="42" xfId="0" applyFont="1" applyFill="1" applyBorder="1" applyAlignment="1">
      <alignment horizontal="center" vertical="center" wrapText="1"/>
    </xf>
    <xf numFmtId="0" fontId="55" fillId="6" borderId="32" xfId="0" applyFont="1" applyFill="1" applyBorder="1" applyAlignment="1">
      <alignment horizontal="center" vertical="center" wrapText="1"/>
    </xf>
    <xf numFmtId="0" fontId="55" fillId="6" borderId="31" xfId="0" applyFont="1" applyFill="1" applyBorder="1" applyAlignment="1">
      <alignment horizontal="center" vertical="center" wrapText="1"/>
    </xf>
    <xf numFmtId="2" fontId="45" fillId="11" borderId="77" xfId="0" applyNumberFormat="1" applyFont="1" applyFill="1" applyBorder="1" applyAlignment="1">
      <alignment horizontal="center" wrapText="1"/>
    </xf>
    <xf numFmtId="2" fontId="45" fillId="11" borderId="61" xfId="0" applyNumberFormat="1" applyFont="1" applyFill="1" applyBorder="1" applyAlignment="1">
      <alignment horizontal="center" wrapText="1"/>
    </xf>
    <xf numFmtId="0" fontId="57" fillId="6" borderId="65" xfId="0" applyFont="1" applyFill="1" applyBorder="1" applyAlignment="1">
      <alignment horizontal="center" vertical="center" wrapText="1"/>
    </xf>
    <xf numFmtId="0" fontId="57" fillId="6" borderId="75" xfId="0" applyFont="1" applyFill="1" applyBorder="1" applyAlignment="1">
      <alignment horizontal="center" vertical="center" wrapText="1"/>
    </xf>
    <xf numFmtId="10" fontId="45" fillId="11" borderId="1" xfId="0" applyNumberFormat="1" applyFont="1" applyFill="1" applyBorder="1" applyAlignment="1">
      <alignment horizontal="center" vertical="center" wrapText="1"/>
    </xf>
    <xf numFmtId="10" fontId="45" fillId="11" borderId="24" xfId="0" applyNumberFormat="1" applyFont="1" applyFill="1" applyBorder="1" applyAlignment="1">
      <alignment horizontal="center" vertical="center" wrapText="1"/>
    </xf>
    <xf numFmtId="0" fontId="57" fillId="6" borderId="68" xfId="0" applyFont="1" applyFill="1" applyBorder="1" applyAlignment="1">
      <alignment horizontal="center" vertical="center" wrapText="1"/>
    </xf>
    <xf numFmtId="0" fontId="57" fillId="6" borderId="50" xfId="0" applyFont="1" applyFill="1" applyBorder="1" applyAlignment="1">
      <alignment horizontal="center" vertical="center" wrapText="1"/>
    </xf>
    <xf numFmtId="10" fontId="45" fillId="11" borderId="22" xfId="0" applyNumberFormat="1" applyFont="1" applyFill="1" applyBorder="1" applyAlignment="1">
      <alignment horizontal="center" vertical="center" wrapText="1"/>
    </xf>
    <xf numFmtId="10" fontId="45" fillId="11" borderId="23" xfId="0" applyNumberFormat="1" applyFont="1" applyFill="1" applyBorder="1" applyAlignment="1">
      <alignment horizontal="center" vertical="center" wrapText="1"/>
    </xf>
    <xf numFmtId="0" fontId="57" fillId="6" borderId="51" xfId="0" applyFont="1" applyFill="1" applyBorder="1" applyAlignment="1">
      <alignment horizontal="center" vertical="center" wrapText="1"/>
    </xf>
    <xf numFmtId="2" fontId="45" fillId="11" borderId="19" xfId="0" applyNumberFormat="1" applyFont="1" applyFill="1" applyBorder="1" applyAlignment="1">
      <alignment horizontal="center" wrapText="1"/>
    </xf>
    <xf numFmtId="2" fontId="45" fillId="11" borderId="62" xfId="0" applyNumberFormat="1" applyFont="1" applyFill="1" applyBorder="1" applyAlignment="1">
      <alignment horizontal="center" wrapText="1"/>
    </xf>
    <xf numFmtId="0" fontId="57" fillId="6" borderId="29" xfId="0" applyFont="1" applyFill="1" applyBorder="1" applyAlignment="1">
      <alignment horizontal="center" vertical="center" wrapText="1"/>
    </xf>
    <xf numFmtId="10" fontId="45" fillId="11" borderId="7" xfId="0" applyNumberFormat="1" applyFont="1" applyFill="1" applyBorder="1" applyAlignment="1">
      <alignment horizontal="center" vertical="center" wrapText="1"/>
    </xf>
    <xf numFmtId="10" fontId="45" fillId="11" borderId="8" xfId="0" applyNumberFormat="1" applyFont="1" applyFill="1" applyBorder="1" applyAlignment="1">
      <alignment horizontal="center" vertical="center" wrapText="1"/>
    </xf>
    <xf numFmtId="0" fontId="57" fillId="6" borderId="41" xfId="0" applyFont="1" applyFill="1" applyBorder="1" applyAlignment="1">
      <alignment horizontal="center" vertical="center" wrapText="1"/>
    </xf>
    <xf numFmtId="0" fontId="58" fillId="6" borderId="67" xfId="0" applyFont="1" applyFill="1" applyBorder="1" applyAlignment="1">
      <alignment horizontal="center" wrapText="1"/>
    </xf>
    <xf numFmtId="0" fontId="58" fillId="6" borderId="74" xfId="0" applyFont="1" applyFill="1" applyBorder="1" applyAlignment="1">
      <alignment horizontal="center" wrapText="1"/>
    </xf>
    <xf numFmtId="0" fontId="11" fillId="3" borderId="0" xfId="0" applyFont="1" applyFill="1" applyAlignment="1">
      <alignment horizontal="left"/>
    </xf>
    <xf numFmtId="0" fontId="33" fillId="6" borderId="18" xfId="0" applyFont="1" applyFill="1" applyBorder="1" applyAlignment="1">
      <alignment horizontal="center" vertical="center" wrapText="1"/>
    </xf>
    <xf numFmtId="0" fontId="33" fillId="6" borderId="22" xfId="0" applyFont="1" applyFill="1" applyBorder="1" applyAlignment="1">
      <alignment horizontal="center" vertical="center" wrapText="1"/>
    </xf>
    <xf numFmtId="0" fontId="33" fillId="6" borderId="23" xfId="0" applyFont="1" applyFill="1" applyBorder="1" applyAlignment="1">
      <alignment horizontal="center" vertical="center" wrapText="1"/>
    </xf>
    <xf numFmtId="0" fontId="33" fillId="6" borderId="17"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3" fillId="6" borderId="24" xfId="0" applyFont="1" applyFill="1" applyBorder="1" applyAlignment="1">
      <alignment horizontal="center" vertical="center" wrapText="1"/>
    </xf>
    <xf numFmtId="0" fontId="33" fillId="6" borderId="73" xfId="0" applyFont="1" applyFill="1" applyBorder="1" applyAlignment="1">
      <alignment horizontal="center" vertical="center" wrapText="1"/>
    </xf>
    <xf numFmtId="0" fontId="33" fillId="6" borderId="2" xfId="0" applyFont="1" applyFill="1" applyBorder="1" applyAlignment="1">
      <alignment horizontal="center" vertical="center" wrapText="1"/>
    </xf>
    <xf numFmtId="0" fontId="33" fillId="6" borderId="52"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5" fillId="6" borderId="24" xfId="0" applyFont="1" applyFill="1" applyBorder="1" applyAlignment="1">
      <alignment horizontal="center" vertical="center" wrapText="1"/>
    </xf>
    <xf numFmtId="2" fontId="35" fillId="9" borderId="1" xfId="0" applyNumberFormat="1" applyFont="1" applyFill="1" applyBorder="1" applyAlignment="1">
      <alignment horizontal="center" vertical="center" wrapText="1"/>
    </xf>
    <xf numFmtId="2" fontId="35" fillId="9" borderId="24" xfId="0" applyNumberFormat="1" applyFont="1" applyFill="1" applyBorder="1" applyAlignment="1">
      <alignment horizontal="center" vertical="center" wrapText="1"/>
    </xf>
    <xf numFmtId="2" fontId="31" fillId="12" borderId="80" xfId="0" applyNumberFormat="1" applyFont="1" applyFill="1" applyBorder="1" applyAlignment="1">
      <alignment horizontal="center" vertical="center"/>
    </xf>
    <xf numFmtId="2" fontId="31" fillId="12" borderId="21" xfId="0" applyNumberFormat="1" applyFont="1" applyFill="1" applyBorder="1" applyAlignment="1">
      <alignment horizontal="center" vertical="center"/>
    </xf>
    <xf numFmtId="2" fontId="31" fillId="12" borderId="78" xfId="0" applyNumberFormat="1"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24" xfId="0" applyFont="1" applyFill="1" applyBorder="1" applyAlignment="1">
      <alignment horizontal="center" vertical="center" wrapText="1"/>
    </xf>
    <xf numFmtId="2" fontId="35" fillId="11" borderId="44" xfId="0" applyNumberFormat="1" applyFont="1" applyFill="1" applyBorder="1" applyAlignment="1">
      <alignment horizontal="center" vertical="center"/>
    </xf>
    <xf numFmtId="2" fontId="35" fillId="11" borderId="28" xfId="0" applyNumberFormat="1" applyFont="1" applyFill="1" applyBorder="1" applyAlignment="1">
      <alignment horizontal="center" vertical="center"/>
    </xf>
    <xf numFmtId="0" fontId="35" fillId="6" borderId="17" xfId="0" applyFont="1" applyFill="1" applyBorder="1" applyAlignment="1">
      <alignment horizontal="center" vertical="center" wrapText="1"/>
    </xf>
    <xf numFmtId="0" fontId="31" fillId="25" borderId="1" xfId="0" applyFont="1" applyFill="1" applyBorder="1" applyAlignment="1">
      <alignment horizontal="center" vertical="center"/>
    </xf>
    <xf numFmtId="0" fontId="31" fillId="27" borderId="1" xfId="0" applyFont="1" applyFill="1" applyBorder="1" applyAlignment="1">
      <alignment horizontal="center" vertical="center"/>
    </xf>
    <xf numFmtId="0" fontId="31" fillId="14" borderId="1" xfId="0" applyFont="1" applyFill="1" applyBorder="1" applyAlignment="1">
      <alignment horizontal="center" vertical="center"/>
    </xf>
    <xf numFmtId="0" fontId="31" fillId="15" borderId="7" xfId="0" applyFont="1" applyFill="1" applyBorder="1" applyAlignment="1">
      <alignment horizontal="center" vertical="top"/>
    </xf>
    <xf numFmtId="0" fontId="35" fillId="9" borderId="1" xfId="0" applyFont="1" applyFill="1" applyBorder="1" applyAlignment="1">
      <alignment horizontal="center" vertical="center" wrapText="1"/>
    </xf>
    <xf numFmtId="0" fontId="35" fillId="9" borderId="24" xfId="0" applyFont="1" applyFill="1" applyBorder="1" applyAlignment="1">
      <alignment horizontal="center" vertical="center" wrapText="1"/>
    </xf>
    <xf numFmtId="0" fontId="35" fillId="9" borderId="7" xfId="0" applyFont="1" applyFill="1" applyBorder="1" applyAlignment="1">
      <alignment horizontal="center" vertical="center" wrapText="1"/>
    </xf>
    <xf numFmtId="0" fontId="35" fillId="9" borderId="8" xfId="0" applyFont="1" applyFill="1" applyBorder="1" applyAlignment="1">
      <alignment horizontal="center" vertical="center" wrapText="1"/>
    </xf>
    <xf numFmtId="0" fontId="15" fillId="6" borderId="19" xfId="0" applyFont="1" applyFill="1" applyBorder="1" applyAlignment="1">
      <alignment horizontal="center" vertical="center" wrapText="1"/>
    </xf>
    <xf numFmtId="0" fontId="15" fillId="6" borderId="62" xfId="0" applyFont="1" applyFill="1" applyBorder="1" applyAlignment="1">
      <alignment horizontal="center" vertical="center" wrapText="1"/>
    </xf>
    <xf numFmtId="0" fontId="31" fillId="12" borderId="52" xfId="0" applyFont="1" applyFill="1" applyBorder="1" applyAlignment="1">
      <alignment horizontal="center" vertical="center" wrapText="1"/>
    </xf>
    <xf numFmtId="0" fontId="31" fillId="12" borderId="31" xfId="0" applyFont="1" applyFill="1" applyBorder="1" applyAlignment="1">
      <alignment horizontal="center" vertical="center" wrapText="1"/>
    </xf>
    <xf numFmtId="0" fontId="31" fillId="12" borderId="30" xfId="0" applyFont="1" applyFill="1" applyBorder="1" applyAlignment="1">
      <alignment horizontal="center" vertical="center" wrapText="1"/>
    </xf>
    <xf numFmtId="0" fontId="34" fillId="6" borderId="73" xfId="0" applyFont="1" applyFill="1" applyBorder="1" applyAlignment="1">
      <alignment horizontal="center" vertical="center" wrapText="1"/>
    </xf>
    <xf numFmtId="0" fontId="34" fillId="6" borderId="2" xfId="0" applyFont="1" applyFill="1" applyBorder="1" applyAlignment="1">
      <alignment horizontal="center" vertical="center" wrapText="1"/>
    </xf>
    <xf numFmtId="0" fontId="34" fillId="6" borderId="52"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xf numFmtId="2" fontId="31" fillId="12" borderId="19" xfId="0" applyNumberFormat="1" applyFont="1" applyFill="1" applyBorder="1" applyAlignment="1">
      <alignment horizontal="center" vertical="center"/>
    </xf>
    <xf numFmtId="2" fontId="31" fillId="12" borderId="50" xfId="0" applyNumberFormat="1" applyFont="1" applyFill="1" applyBorder="1" applyAlignment="1">
      <alignment horizontal="center" vertical="center"/>
    </xf>
    <xf numFmtId="0" fontId="15" fillId="6" borderId="20" xfId="0"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56" xfId="0" applyFont="1" applyFill="1" applyBorder="1" applyAlignment="1">
      <alignment horizontal="center" vertical="center" wrapText="1"/>
    </xf>
    <xf numFmtId="2" fontId="35" fillId="11" borderId="44" xfId="0" applyNumberFormat="1" applyFont="1" applyFill="1" applyBorder="1" applyAlignment="1">
      <alignment horizontal="center" vertical="center" wrapText="1"/>
    </xf>
    <xf numFmtId="2" fontId="35" fillId="11" borderId="79" xfId="0" applyNumberFormat="1" applyFont="1" applyFill="1" applyBorder="1" applyAlignment="1">
      <alignment horizontal="center" vertical="center" wrapText="1"/>
    </xf>
    <xf numFmtId="0" fontId="26" fillId="6" borderId="73"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6" borderId="52" xfId="0" applyFont="1" applyFill="1" applyBorder="1" applyAlignment="1">
      <alignment horizontal="center" vertical="center" wrapText="1"/>
    </xf>
    <xf numFmtId="2" fontId="31" fillId="12" borderId="48" xfId="0" applyNumberFormat="1" applyFont="1" applyFill="1" applyBorder="1" applyAlignment="1">
      <alignment horizontal="center" vertical="center"/>
    </xf>
    <xf numFmtId="2" fontId="31" fillId="12" borderId="41" xfId="0" applyNumberFormat="1" applyFont="1" applyFill="1" applyBorder="1" applyAlignment="1">
      <alignment horizontal="center" vertical="center"/>
    </xf>
    <xf numFmtId="0" fontId="33" fillId="6" borderId="44" xfId="0" applyFont="1" applyFill="1" applyBorder="1" applyAlignment="1">
      <alignment horizontal="center" vertical="center" wrapText="1"/>
    </xf>
    <xf numFmtId="0" fontId="33" fillId="6" borderId="79" xfId="0"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15" borderId="19" xfId="0" applyFont="1" applyFill="1" applyBorder="1" applyAlignment="1">
      <alignment horizontal="center" vertical="center"/>
    </xf>
    <xf numFmtId="0" fontId="35" fillId="15" borderId="50" xfId="0" applyFont="1" applyFill="1" applyBorder="1" applyAlignment="1">
      <alignment horizontal="center" vertical="center"/>
    </xf>
    <xf numFmtId="0" fontId="35" fillId="15" borderId="29" xfId="0" applyFont="1" applyFill="1" applyBorder="1" applyAlignment="1">
      <alignment horizontal="center" vertical="center"/>
    </xf>
    <xf numFmtId="0" fontId="15" fillId="6" borderId="21" xfId="0" applyFont="1" applyFill="1" applyBorder="1" applyAlignment="1">
      <alignment horizontal="center" vertical="center" wrapText="1"/>
    </xf>
    <xf numFmtId="0" fontId="15" fillId="6" borderId="30" xfId="0" applyFont="1" applyFill="1" applyBorder="1" applyAlignment="1">
      <alignment horizontal="center" vertical="center" wrapText="1"/>
    </xf>
    <xf numFmtId="0" fontId="35" fillId="15" borderId="48" xfId="0" applyFont="1" applyFill="1" applyBorder="1" applyAlignment="1">
      <alignment horizontal="center" vertical="center"/>
    </xf>
    <xf numFmtId="0" fontId="35" fillId="15" borderId="41" xfId="0" applyFont="1" applyFill="1" applyBorder="1" applyAlignment="1">
      <alignment horizontal="center" vertical="center"/>
    </xf>
    <xf numFmtId="0" fontId="35" fillId="15" borderId="10" xfId="0" applyFont="1" applyFill="1" applyBorder="1" applyAlignment="1">
      <alignment horizontal="center" vertical="center"/>
    </xf>
    <xf numFmtId="0" fontId="35" fillId="6" borderId="80" xfId="0" applyFont="1" applyFill="1" applyBorder="1" applyAlignment="1">
      <alignment horizontal="center" vertical="center" wrapText="1"/>
    </xf>
    <xf numFmtId="0" fontId="35" fillId="6" borderId="52" xfId="0" applyFont="1" applyFill="1" applyBorder="1" applyAlignment="1">
      <alignment horizontal="center" vertical="center" wrapText="1"/>
    </xf>
    <xf numFmtId="0" fontId="35" fillId="6" borderId="20" xfId="0" applyFont="1" applyFill="1" applyBorder="1" applyAlignment="1">
      <alignment horizontal="center" vertical="center" wrapText="1"/>
    </xf>
    <xf numFmtId="0" fontId="35" fillId="6" borderId="56" xfId="0" applyFont="1" applyFill="1" applyBorder="1" applyAlignment="1">
      <alignment horizontal="center" vertical="center" wrapText="1"/>
    </xf>
    <xf numFmtId="0" fontId="35" fillId="9" borderId="19" xfId="0" applyFont="1" applyFill="1" applyBorder="1" applyAlignment="1">
      <alignment horizontal="center" vertical="center" wrapText="1"/>
    </xf>
    <xf numFmtId="0" fontId="35" fillId="9" borderId="62" xfId="0" applyFont="1" applyFill="1" applyBorder="1" applyAlignment="1">
      <alignment horizontal="center" vertical="center" wrapText="1"/>
    </xf>
    <xf numFmtId="0" fontId="35" fillId="9" borderId="48" xfId="0" applyFont="1" applyFill="1" applyBorder="1" applyAlignment="1">
      <alignment horizontal="center" vertical="center" wrapText="1"/>
    </xf>
    <xf numFmtId="0" fontId="35" fillId="9" borderId="57"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6" borderId="84" xfId="0" applyFont="1" applyFill="1" applyBorder="1" applyAlignment="1">
      <alignment horizontal="center" vertical="center" wrapText="1"/>
    </xf>
    <xf numFmtId="0" fontId="35" fillId="6" borderId="16"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27" borderId="19" xfId="0" applyFont="1" applyFill="1" applyBorder="1" applyAlignment="1">
      <alignment horizontal="center" vertical="center"/>
    </xf>
    <xf numFmtId="0" fontId="35" fillId="27" borderId="50" xfId="0" applyFont="1" applyFill="1" applyBorder="1" applyAlignment="1">
      <alignment horizontal="center" vertical="center"/>
    </xf>
    <xf numFmtId="0" fontId="35" fillId="27" borderId="29" xfId="0" applyFont="1" applyFill="1" applyBorder="1" applyAlignment="1">
      <alignment horizontal="center" vertical="center"/>
    </xf>
    <xf numFmtId="0" fontId="35" fillId="14" borderId="19" xfId="0" applyFont="1" applyFill="1" applyBorder="1" applyAlignment="1">
      <alignment horizontal="center" vertical="center"/>
    </xf>
    <xf numFmtId="0" fontId="35" fillId="14" borderId="50" xfId="0" applyFont="1" applyFill="1" applyBorder="1" applyAlignment="1">
      <alignment horizontal="center" vertical="center"/>
    </xf>
    <xf numFmtId="0" fontId="35" fillId="14" borderId="29" xfId="0" applyFont="1" applyFill="1" applyBorder="1" applyAlignment="1">
      <alignment horizontal="center" vertical="center"/>
    </xf>
    <xf numFmtId="0" fontId="26" fillId="6" borderId="44" xfId="0" applyFont="1" applyFill="1" applyBorder="1" applyAlignment="1">
      <alignment horizontal="center" vertical="center" wrapText="1"/>
    </xf>
    <xf numFmtId="0" fontId="26" fillId="6" borderId="79" xfId="0" applyFont="1" applyFill="1" applyBorder="1" applyAlignment="1">
      <alignment horizontal="center" vertical="center" wrapText="1"/>
    </xf>
    <xf numFmtId="0" fontId="26" fillId="6" borderId="28" xfId="0" applyFont="1" applyFill="1" applyBorder="1" applyAlignment="1">
      <alignment horizontal="center" vertical="center" wrapText="1"/>
    </xf>
    <xf numFmtId="0" fontId="26" fillId="6" borderId="44" xfId="0" applyFont="1" applyFill="1" applyBorder="1" applyAlignment="1">
      <alignment horizontal="center" vertical="center"/>
    </xf>
    <xf numFmtId="0" fontId="26" fillId="6" borderId="79" xfId="0" applyFont="1" applyFill="1" applyBorder="1" applyAlignment="1">
      <alignment horizontal="center" vertical="center"/>
    </xf>
    <xf numFmtId="0" fontId="26" fillId="6" borderId="28" xfId="0" applyFont="1" applyFill="1" applyBorder="1" applyAlignment="1">
      <alignment horizontal="center" vertical="center"/>
    </xf>
    <xf numFmtId="0" fontId="34" fillId="6" borderId="65" xfId="0" applyFont="1" applyFill="1" applyBorder="1" applyAlignment="1">
      <alignment horizontal="center" vertical="center" wrapText="1"/>
    </xf>
    <xf numFmtId="0" fontId="34" fillId="6" borderId="51" xfId="0" applyFont="1" applyFill="1" applyBorder="1" applyAlignment="1">
      <alignment horizontal="center" vertical="center" wrapText="1"/>
    </xf>
    <xf numFmtId="0" fontId="34" fillId="6" borderId="61" xfId="0" applyFont="1" applyFill="1" applyBorder="1" applyAlignment="1">
      <alignment horizontal="center" vertical="center" wrapText="1"/>
    </xf>
    <xf numFmtId="0" fontId="33" fillId="6" borderId="65" xfId="0" applyFont="1" applyFill="1" applyBorder="1" applyAlignment="1">
      <alignment horizontal="center" vertical="center" wrapText="1"/>
    </xf>
    <xf numFmtId="0" fontId="33" fillId="6" borderId="51" xfId="0" applyFont="1" applyFill="1" applyBorder="1" applyAlignment="1">
      <alignment horizontal="center" vertical="center" wrapText="1"/>
    </xf>
    <xf numFmtId="0" fontId="33" fillId="6" borderId="61" xfId="0" applyFont="1" applyFill="1" applyBorder="1" applyAlignment="1">
      <alignment horizontal="center" vertical="center" wrapText="1"/>
    </xf>
    <xf numFmtId="0" fontId="35" fillId="6" borderId="22" xfId="0" applyFont="1" applyFill="1" applyBorder="1" applyAlignment="1">
      <alignment horizontal="center" vertical="center" wrapText="1"/>
    </xf>
    <xf numFmtId="0" fontId="35" fillId="6" borderId="23" xfId="0" applyFont="1" applyFill="1" applyBorder="1" applyAlignment="1">
      <alignment horizontal="center" vertical="center" wrapText="1"/>
    </xf>
    <xf numFmtId="0" fontId="35" fillId="25" borderId="1" xfId="0" applyFont="1" applyFill="1" applyBorder="1" applyAlignment="1">
      <alignment horizontal="center" vertical="center"/>
    </xf>
    <xf numFmtId="0" fontId="35" fillId="13" borderId="1" xfId="0" applyFont="1" applyFill="1" applyBorder="1" applyAlignment="1">
      <alignment horizontal="center" vertical="center"/>
    </xf>
    <xf numFmtId="0" fontId="35" fillId="28" borderId="7" xfId="0" applyFont="1" applyFill="1" applyBorder="1" applyAlignment="1">
      <alignment horizontal="center" vertical="center"/>
    </xf>
    <xf numFmtId="0" fontId="35" fillId="5" borderId="44" xfId="0" applyFont="1" applyFill="1" applyBorder="1" applyAlignment="1">
      <alignment horizontal="center" vertical="center"/>
    </xf>
    <xf numFmtId="0" fontId="35" fillId="5" borderId="79" xfId="0" applyFont="1" applyFill="1" applyBorder="1" applyAlignment="1">
      <alignment horizontal="center" vertical="center"/>
    </xf>
    <xf numFmtId="0" fontId="35" fillId="5" borderId="28" xfId="0" applyFont="1" applyFill="1" applyBorder="1" applyAlignment="1">
      <alignment horizontal="center" vertical="center"/>
    </xf>
    <xf numFmtId="0" fontId="72" fillId="2" borderId="0" xfId="0" applyFont="1" applyFill="1" applyAlignment="1">
      <alignment horizontal="center" vertical="center" wrapText="1"/>
    </xf>
    <xf numFmtId="0" fontId="60" fillId="5" borderId="11" xfId="0" applyFont="1" applyFill="1" applyBorder="1" applyAlignment="1">
      <alignment horizontal="center" vertical="center" wrapText="1"/>
    </xf>
    <xf numFmtId="0" fontId="60" fillId="5" borderId="53" xfId="0" applyFont="1" applyFill="1" applyBorder="1" applyAlignment="1">
      <alignment horizontal="center" vertical="center" wrapText="1"/>
    </xf>
    <xf numFmtId="0" fontId="60" fillId="2" borderId="0" xfId="0" applyFont="1" applyFill="1" applyAlignment="1">
      <alignment horizontal="center" vertical="center" wrapText="1"/>
    </xf>
    <xf numFmtId="0" fontId="60" fillId="5" borderId="23" xfId="0" applyFont="1" applyFill="1" applyBorder="1" applyAlignment="1">
      <alignment horizontal="center" vertical="center" wrapText="1"/>
    </xf>
    <xf numFmtId="0" fontId="60" fillId="5" borderId="8" xfId="0" applyFont="1" applyFill="1" applyBorder="1" applyAlignment="1">
      <alignment horizontal="center" vertical="center" wrapText="1"/>
    </xf>
    <xf numFmtId="0" fontId="60" fillId="5" borderId="22" xfId="0" applyFont="1" applyFill="1" applyBorder="1" applyAlignment="1">
      <alignment horizontal="center" vertical="center" wrapText="1"/>
    </xf>
    <xf numFmtId="0" fontId="60" fillId="5" borderId="7" xfId="0" applyFont="1" applyFill="1" applyBorder="1" applyAlignment="1">
      <alignment horizontal="center" vertical="center" wrapText="1"/>
    </xf>
    <xf numFmtId="0" fontId="61" fillId="20" borderId="73" xfId="0" applyFont="1" applyFill="1" applyBorder="1" applyAlignment="1">
      <alignment horizontal="center" vertical="center"/>
    </xf>
    <xf numFmtId="0" fontId="61" fillId="20" borderId="2" xfId="0" applyFont="1" applyFill="1" applyBorder="1" applyAlignment="1">
      <alignment horizontal="center" vertical="center"/>
    </xf>
    <xf numFmtId="0" fontId="61" fillId="20" borderId="52" xfId="0" applyFont="1" applyFill="1" applyBorder="1" applyAlignment="1">
      <alignment horizontal="center" vertical="center"/>
    </xf>
    <xf numFmtId="0" fontId="61" fillId="20" borderId="36" xfId="0" applyFont="1" applyFill="1" applyBorder="1" applyAlignment="1">
      <alignment horizontal="center" vertical="center"/>
    </xf>
    <xf numFmtId="0" fontId="61" fillId="20" borderId="0" xfId="0" applyFont="1" applyFill="1" applyAlignment="1">
      <alignment horizontal="center" vertical="center"/>
    </xf>
    <xf numFmtId="0" fontId="61" fillId="20" borderId="30" xfId="0" applyFont="1" applyFill="1" applyBorder="1" applyAlignment="1">
      <alignment horizontal="center" vertical="center"/>
    </xf>
    <xf numFmtId="0" fontId="61" fillId="18" borderId="73" xfId="0" applyFont="1" applyFill="1" applyBorder="1" applyAlignment="1">
      <alignment horizontal="center" vertical="center"/>
    </xf>
    <xf numFmtId="0" fontId="61" fillId="18" borderId="2" xfId="0" applyFont="1" applyFill="1" applyBorder="1" applyAlignment="1">
      <alignment horizontal="center" vertical="center"/>
    </xf>
    <xf numFmtId="0" fontId="61" fillId="18" borderId="52" xfId="0" applyFont="1" applyFill="1" applyBorder="1" applyAlignment="1">
      <alignment horizontal="center" vertical="center"/>
    </xf>
    <xf numFmtId="0" fontId="61" fillId="18" borderId="36" xfId="0" applyFont="1" applyFill="1" applyBorder="1" applyAlignment="1">
      <alignment horizontal="center" vertical="center"/>
    </xf>
    <xf numFmtId="0" fontId="61" fillId="18" borderId="0" xfId="0" applyFont="1" applyFill="1" applyAlignment="1">
      <alignment horizontal="center" vertical="center"/>
    </xf>
    <xf numFmtId="0" fontId="61" fillId="18" borderId="30" xfId="0" applyFont="1" applyFill="1" applyBorder="1" applyAlignment="1">
      <alignment horizontal="center" vertical="center"/>
    </xf>
    <xf numFmtId="0" fontId="60" fillId="5" borderId="18" xfId="0" applyFont="1" applyFill="1" applyBorder="1" applyAlignment="1">
      <alignment horizontal="center" vertical="center" wrapText="1"/>
    </xf>
    <xf numFmtId="0" fontId="60" fillId="5" borderId="6" xfId="0" applyFont="1" applyFill="1" applyBorder="1" applyAlignment="1">
      <alignment horizontal="center" vertical="center" wrapText="1"/>
    </xf>
    <xf numFmtId="0" fontId="60" fillId="5" borderId="2" xfId="0" applyFont="1" applyFill="1" applyBorder="1" applyAlignment="1">
      <alignment horizontal="center" vertical="center" wrapText="1"/>
    </xf>
    <xf numFmtId="0" fontId="60" fillId="5" borderId="32" xfId="0" applyFont="1" applyFill="1" applyBorder="1" applyAlignment="1">
      <alignment horizontal="center" vertical="center" wrapText="1"/>
    </xf>
    <xf numFmtId="0" fontId="60" fillId="5" borderId="80" xfId="0" applyFont="1" applyFill="1" applyBorder="1" applyAlignment="1">
      <alignment horizontal="center" vertical="center" wrapText="1"/>
    </xf>
    <xf numFmtId="0" fontId="60" fillId="5" borderId="78" xfId="0" applyFont="1" applyFill="1" applyBorder="1" applyAlignment="1">
      <alignment horizontal="center" vertical="center" wrapText="1"/>
    </xf>
    <xf numFmtId="0" fontId="60" fillId="5" borderId="72" xfId="0" applyFont="1" applyFill="1" applyBorder="1" applyAlignment="1">
      <alignment horizontal="center" vertical="center" wrapText="1"/>
    </xf>
    <xf numFmtId="0" fontId="60" fillId="5" borderId="54" xfId="0" applyFont="1" applyFill="1" applyBorder="1" applyAlignment="1">
      <alignment horizontal="center" vertical="center" wrapText="1"/>
    </xf>
    <xf numFmtId="0" fontId="60" fillId="5" borderId="84" xfId="0" applyFont="1" applyFill="1" applyBorder="1" applyAlignment="1">
      <alignment horizontal="center" vertical="center" wrapText="1"/>
    </xf>
    <xf numFmtId="0" fontId="60" fillId="5" borderId="76" xfId="0" applyFont="1" applyFill="1" applyBorder="1" applyAlignment="1">
      <alignment horizontal="center" vertical="center" wrapText="1"/>
    </xf>
    <xf numFmtId="0" fontId="61" fillId="21" borderId="73" xfId="0" applyFont="1" applyFill="1" applyBorder="1" applyAlignment="1">
      <alignment horizontal="center" vertical="center"/>
    </xf>
    <xf numFmtId="0" fontId="61" fillId="21" borderId="2" xfId="0" applyFont="1" applyFill="1" applyBorder="1" applyAlignment="1">
      <alignment horizontal="center" vertical="center"/>
    </xf>
    <xf numFmtId="0" fontId="61" fillId="21" borderId="52" xfId="0" applyFont="1" applyFill="1" applyBorder="1" applyAlignment="1">
      <alignment horizontal="center" vertical="center"/>
    </xf>
    <xf numFmtId="0" fontId="61" fillId="21" borderId="42" xfId="0" applyFont="1" applyFill="1" applyBorder="1" applyAlignment="1">
      <alignment horizontal="center" vertical="center"/>
    </xf>
    <xf numFmtId="0" fontId="61" fillId="21" borderId="32" xfId="0" applyFont="1" applyFill="1" applyBorder="1" applyAlignment="1">
      <alignment horizontal="center" vertical="center"/>
    </xf>
    <xf numFmtId="0" fontId="61" fillId="21" borderId="31" xfId="0" applyFont="1" applyFill="1" applyBorder="1" applyAlignment="1">
      <alignment horizontal="center" vertical="center"/>
    </xf>
    <xf numFmtId="0" fontId="0" fillId="5" borderId="44" xfId="0" applyFill="1" applyBorder="1" applyAlignment="1">
      <alignment horizontal="center"/>
    </xf>
    <xf numFmtId="0" fontId="0" fillId="5" borderId="79" xfId="0" applyFill="1" applyBorder="1" applyAlignment="1">
      <alignment horizontal="center"/>
    </xf>
    <xf numFmtId="0" fontId="0" fillId="5" borderId="28" xfId="0" applyFill="1" applyBorder="1" applyAlignment="1">
      <alignment horizontal="center"/>
    </xf>
    <xf numFmtId="0" fontId="0" fillId="5" borderId="42" xfId="0" applyFill="1" applyBorder="1" applyAlignment="1">
      <alignment horizontal="center"/>
    </xf>
    <xf numFmtId="0" fontId="0" fillId="5" borderId="32" xfId="0" applyFill="1" applyBorder="1" applyAlignment="1">
      <alignment horizontal="center"/>
    </xf>
    <xf numFmtId="0" fontId="0" fillId="5" borderId="31" xfId="0" applyFill="1" applyBorder="1" applyAlignment="1">
      <alignment horizontal="center"/>
    </xf>
    <xf numFmtId="0" fontId="16" fillId="5" borderId="44" xfId="0" applyFont="1" applyFill="1" applyBorder="1" applyAlignment="1">
      <alignment horizontal="center" vertical="center" wrapText="1"/>
    </xf>
    <xf numFmtId="0" fontId="16" fillId="5" borderId="79" xfId="0" applyFont="1" applyFill="1" applyBorder="1" applyAlignment="1">
      <alignment horizontal="center" vertical="center" wrapText="1"/>
    </xf>
    <xf numFmtId="0" fontId="16" fillId="5" borderId="28" xfId="0" applyFont="1" applyFill="1" applyBorder="1" applyAlignment="1">
      <alignment horizontal="center" vertical="center" wrapText="1"/>
    </xf>
    <xf numFmtId="2" fontId="16" fillId="11" borderId="44" xfId="0" applyNumberFormat="1" applyFont="1" applyFill="1" applyBorder="1" applyAlignment="1">
      <alignment horizontal="center" vertical="center"/>
    </xf>
    <xf numFmtId="2" fontId="16" fillId="11" borderId="28" xfId="0" applyNumberFormat="1" applyFont="1" applyFill="1" applyBorder="1" applyAlignment="1">
      <alignment horizontal="center" vertical="center"/>
    </xf>
    <xf numFmtId="0" fontId="13" fillId="5" borderId="73" xfId="0" applyFont="1" applyFill="1" applyBorder="1" applyAlignment="1">
      <alignment horizontal="center"/>
    </xf>
    <xf numFmtId="0" fontId="13" fillId="5" borderId="2" xfId="0" applyFont="1" applyFill="1" applyBorder="1" applyAlignment="1">
      <alignment horizontal="center"/>
    </xf>
    <xf numFmtId="0" fontId="13" fillId="5" borderId="52" xfId="0" applyFont="1" applyFill="1" applyBorder="1" applyAlignment="1">
      <alignment horizontal="center"/>
    </xf>
    <xf numFmtId="0" fontId="13" fillId="5" borderId="42" xfId="0" applyFont="1" applyFill="1" applyBorder="1" applyAlignment="1">
      <alignment horizontal="center"/>
    </xf>
    <xf numFmtId="0" fontId="13" fillId="5" borderId="32" xfId="0" applyFont="1" applyFill="1" applyBorder="1" applyAlignment="1">
      <alignment horizontal="center"/>
    </xf>
    <xf numFmtId="0" fontId="13" fillId="5" borderId="31" xfId="0" applyFont="1" applyFill="1" applyBorder="1" applyAlignment="1">
      <alignment horizontal="center"/>
    </xf>
    <xf numFmtId="2" fontId="16" fillId="5" borderId="73" xfId="0" applyNumberFormat="1" applyFont="1" applyFill="1" applyBorder="1" applyAlignment="1">
      <alignment horizontal="center"/>
    </xf>
    <xf numFmtId="2" fontId="16" fillId="5" borderId="2" xfId="0" applyNumberFormat="1" applyFont="1" applyFill="1" applyBorder="1" applyAlignment="1">
      <alignment horizontal="center"/>
    </xf>
    <xf numFmtId="2" fontId="16" fillId="5" borderId="52" xfId="0" applyNumberFormat="1" applyFont="1" applyFill="1" applyBorder="1" applyAlignment="1">
      <alignment horizontal="center"/>
    </xf>
    <xf numFmtId="2" fontId="16" fillId="5" borderId="42" xfId="0" applyNumberFormat="1" applyFont="1" applyFill="1" applyBorder="1" applyAlignment="1">
      <alignment horizontal="center"/>
    </xf>
    <xf numFmtId="2" fontId="16" fillId="5" borderId="32" xfId="0" applyNumberFormat="1" applyFont="1" applyFill="1" applyBorder="1" applyAlignment="1">
      <alignment horizontal="center"/>
    </xf>
    <xf numFmtId="2" fontId="16" fillId="5" borderId="31" xfId="0" applyNumberFormat="1" applyFont="1" applyFill="1" applyBorder="1" applyAlignment="1">
      <alignment horizontal="center"/>
    </xf>
    <xf numFmtId="2" fontId="16" fillId="5" borderId="44" xfId="0" applyNumberFormat="1" applyFont="1" applyFill="1" applyBorder="1" applyAlignment="1">
      <alignment horizontal="center"/>
    </xf>
    <xf numFmtId="2" fontId="16" fillId="5" borderId="79" xfId="0" applyNumberFormat="1" applyFont="1" applyFill="1" applyBorder="1" applyAlignment="1">
      <alignment horizontal="center"/>
    </xf>
    <xf numFmtId="2" fontId="16" fillId="5" borderId="28" xfId="0" applyNumberFormat="1" applyFont="1" applyFill="1" applyBorder="1" applyAlignment="1">
      <alignment horizontal="center"/>
    </xf>
    <xf numFmtId="0" fontId="16" fillId="5" borderId="79" xfId="0" applyFont="1" applyFill="1" applyBorder="1" applyAlignment="1">
      <alignment horizontal="center" vertical="center"/>
    </xf>
    <xf numFmtId="0" fontId="16" fillId="5" borderId="28" xfId="0" applyFont="1" applyFill="1" applyBorder="1" applyAlignment="1">
      <alignment horizontal="center" vertical="center"/>
    </xf>
    <xf numFmtId="0" fontId="16" fillId="5" borderId="44" xfId="0" applyFont="1" applyFill="1" applyBorder="1" applyAlignment="1">
      <alignment horizontal="center" vertical="center"/>
    </xf>
    <xf numFmtId="2" fontId="13" fillId="12" borderId="19" xfId="0" applyNumberFormat="1" applyFont="1" applyFill="1" applyBorder="1" applyAlignment="1">
      <alignment horizontal="center" vertical="center" wrapText="1"/>
    </xf>
    <xf numFmtId="2" fontId="13" fillId="12" borderId="50" xfId="0" applyNumberFormat="1" applyFont="1" applyFill="1" applyBorder="1" applyAlignment="1">
      <alignment horizontal="center" vertical="center" wrapText="1"/>
    </xf>
    <xf numFmtId="2" fontId="13" fillId="12" borderId="29" xfId="0" applyNumberFormat="1" applyFont="1" applyFill="1" applyBorder="1" applyAlignment="1">
      <alignment horizontal="center" vertical="center" wrapText="1"/>
    </xf>
    <xf numFmtId="2" fontId="13" fillId="12" borderId="1" xfId="0" applyNumberFormat="1" applyFont="1" applyFill="1" applyBorder="1" applyAlignment="1">
      <alignment horizontal="center" vertical="center" wrapText="1"/>
    </xf>
    <xf numFmtId="0" fontId="16" fillId="12" borderId="19" xfId="0" applyFont="1" applyFill="1" applyBorder="1" applyAlignment="1">
      <alignment horizontal="center" vertical="center" wrapText="1"/>
    </xf>
    <xf numFmtId="0" fontId="16" fillId="12" borderId="50" xfId="0" applyFont="1" applyFill="1" applyBorder="1" applyAlignment="1">
      <alignment horizontal="center" vertical="center" wrapText="1"/>
    </xf>
    <xf numFmtId="0" fontId="16" fillId="12" borderId="29" xfId="0" applyFont="1" applyFill="1" applyBorder="1" applyAlignment="1">
      <alignment horizontal="center" vertical="center" wrapText="1"/>
    </xf>
    <xf numFmtId="2" fontId="13" fillId="12" borderId="7" xfId="0" applyNumberFormat="1" applyFont="1" applyFill="1" applyBorder="1" applyAlignment="1">
      <alignment horizontal="center" vertical="center" wrapText="1"/>
    </xf>
    <xf numFmtId="2" fontId="13" fillId="12" borderId="48" xfId="0" applyNumberFormat="1" applyFont="1" applyFill="1" applyBorder="1" applyAlignment="1">
      <alignment horizontal="center" vertical="center" wrapText="1"/>
    </xf>
    <xf numFmtId="2" fontId="13" fillId="12" borderId="10" xfId="0" applyNumberFormat="1" applyFont="1" applyFill="1" applyBorder="1" applyAlignment="1">
      <alignment horizontal="center" vertical="center" wrapText="1"/>
    </xf>
    <xf numFmtId="2" fontId="13" fillId="12" borderId="41" xfId="0" applyNumberFormat="1" applyFont="1" applyFill="1" applyBorder="1" applyAlignment="1">
      <alignment horizontal="center" vertical="center" wrapText="1"/>
    </xf>
    <xf numFmtId="0" fontId="16" fillId="12" borderId="48" xfId="0" applyFont="1" applyFill="1" applyBorder="1" applyAlignment="1">
      <alignment horizontal="center" vertical="center" wrapText="1"/>
    </xf>
    <xf numFmtId="0" fontId="16" fillId="12" borderId="41" xfId="0" applyFont="1" applyFill="1" applyBorder="1" applyAlignment="1">
      <alignment horizontal="center" vertical="center" wrapText="1"/>
    </xf>
    <xf numFmtId="0" fontId="16" fillId="12" borderId="10" xfId="0" applyFont="1" applyFill="1" applyBorder="1" applyAlignment="1">
      <alignment horizontal="center" vertical="center" wrapText="1"/>
    </xf>
    <xf numFmtId="0" fontId="13" fillId="12" borderId="1" xfId="0" applyFont="1" applyFill="1" applyBorder="1" applyAlignment="1">
      <alignment horizontal="center" vertical="center" wrapText="1"/>
    </xf>
    <xf numFmtId="2" fontId="16" fillId="11" borderId="42" xfId="0" applyNumberFormat="1" applyFont="1" applyFill="1" applyBorder="1" applyAlignment="1">
      <alignment horizontal="center" vertical="center"/>
    </xf>
    <xf numFmtId="2" fontId="16" fillId="11" borderId="31" xfId="0" applyNumberFormat="1" applyFont="1" applyFill="1" applyBorder="1" applyAlignment="1">
      <alignment horizontal="center" vertical="center"/>
    </xf>
    <xf numFmtId="0" fontId="68" fillId="18" borderId="73" xfId="0" applyFont="1" applyFill="1" applyBorder="1" applyAlignment="1">
      <alignment horizontal="center" vertical="center"/>
    </xf>
    <xf numFmtId="0" fontId="68" fillId="18" borderId="2" xfId="0" applyFont="1" applyFill="1" applyBorder="1" applyAlignment="1">
      <alignment horizontal="center" vertical="center"/>
    </xf>
    <xf numFmtId="0" fontId="68" fillId="18" borderId="52" xfId="0" applyFont="1" applyFill="1" applyBorder="1" applyAlignment="1">
      <alignment horizontal="center" vertical="center"/>
    </xf>
    <xf numFmtId="0" fontId="68" fillId="18" borderId="42" xfId="0" applyFont="1" applyFill="1" applyBorder="1" applyAlignment="1">
      <alignment horizontal="center" vertical="center"/>
    </xf>
    <xf numFmtId="0" fontId="68" fillId="18" borderId="32" xfId="0" applyFont="1" applyFill="1" applyBorder="1" applyAlignment="1">
      <alignment horizontal="center" vertical="center"/>
    </xf>
    <xf numFmtId="0" fontId="68" fillId="18" borderId="31" xfId="0" applyFont="1" applyFill="1" applyBorder="1" applyAlignment="1">
      <alignment horizontal="center" vertical="center"/>
    </xf>
    <xf numFmtId="0" fontId="16" fillId="5" borderId="73" xfId="0" applyFont="1" applyFill="1" applyBorder="1" applyAlignment="1">
      <alignment horizontal="center" vertical="top" wrapText="1"/>
    </xf>
    <xf numFmtId="0" fontId="16" fillId="5" borderId="2" xfId="0" applyFont="1" applyFill="1" applyBorder="1" applyAlignment="1">
      <alignment horizontal="center" vertical="top" wrapText="1"/>
    </xf>
    <xf numFmtId="0" fontId="16" fillId="5" borderId="52" xfId="0" applyFont="1" applyFill="1" applyBorder="1" applyAlignment="1">
      <alignment horizontal="center" vertical="top" wrapText="1"/>
    </xf>
    <xf numFmtId="0" fontId="16" fillId="5" borderId="42" xfId="0" applyFont="1" applyFill="1" applyBorder="1" applyAlignment="1">
      <alignment horizontal="center" vertical="top" wrapText="1"/>
    </xf>
    <xf numFmtId="0" fontId="16" fillId="5" borderId="32" xfId="0" applyFont="1" applyFill="1" applyBorder="1" applyAlignment="1">
      <alignment horizontal="center" vertical="top" wrapText="1"/>
    </xf>
    <xf numFmtId="0" fontId="16" fillId="5" borderId="31" xfId="0" applyFont="1" applyFill="1" applyBorder="1" applyAlignment="1">
      <alignment horizontal="center" vertical="top" wrapText="1"/>
    </xf>
    <xf numFmtId="0" fontId="13" fillId="5" borderId="67" xfId="0" applyFont="1" applyFill="1" applyBorder="1" applyAlignment="1">
      <alignment horizontal="center" vertical="center"/>
    </xf>
    <xf numFmtId="0" fontId="13" fillId="5" borderId="55" xfId="0" applyFont="1" applyFill="1" applyBorder="1" applyAlignment="1">
      <alignment horizontal="center" vertical="center"/>
    </xf>
    <xf numFmtId="0" fontId="16" fillId="12" borderId="77" xfId="0" applyFont="1" applyFill="1" applyBorder="1" applyAlignment="1">
      <alignment horizontal="center" vertical="center" wrapText="1"/>
    </xf>
    <xf numFmtId="0" fontId="16" fillId="12" borderId="51" xfId="0" applyFont="1" applyFill="1" applyBorder="1" applyAlignment="1">
      <alignment horizontal="center" vertical="center" wrapText="1"/>
    </xf>
    <xf numFmtId="0" fontId="16" fillId="12" borderId="75" xfId="0" applyFont="1" applyFill="1" applyBorder="1" applyAlignment="1">
      <alignment horizontal="center" vertical="center" wrapText="1"/>
    </xf>
    <xf numFmtId="2" fontId="16" fillId="5" borderId="73" xfId="0" applyNumberFormat="1" applyFont="1" applyFill="1" applyBorder="1" applyAlignment="1">
      <alignment horizontal="center" vertical="center" wrapText="1"/>
    </xf>
    <xf numFmtId="2" fontId="16" fillId="5" borderId="52" xfId="0" applyNumberFormat="1" applyFont="1" applyFill="1" applyBorder="1" applyAlignment="1">
      <alignment horizontal="center" vertical="center" wrapText="1"/>
    </xf>
    <xf numFmtId="2" fontId="13" fillId="12" borderId="22" xfId="0" applyNumberFormat="1" applyFont="1" applyFill="1" applyBorder="1" applyAlignment="1">
      <alignment horizontal="center" vertical="center" wrapText="1"/>
    </xf>
    <xf numFmtId="2" fontId="16" fillId="11" borderId="32" xfId="0" applyNumberFormat="1" applyFont="1" applyFill="1" applyBorder="1" applyAlignment="1">
      <alignment horizontal="center" vertical="center"/>
    </xf>
    <xf numFmtId="0" fontId="16" fillId="5" borderId="73" xfId="0" applyFont="1" applyFill="1" applyBorder="1" applyAlignment="1">
      <alignment horizontal="center" vertical="center" wrapText="1"/>
    </xf>
    <xf numFmtId="0" fontId="16" fillId="5" borderId="5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13" fillId="12" borderId="22" xfId="0" applyFont="1" applyFill="1" applyBorder="1" applyAlignment="1">
      <alignment horizontal="center" vertical="center" wrapText="1"/>
    </xf>
    <xf numFmtId="0" fontId="13" fillId="0" borderId="22" xfId="0" applyFont="1" applyBorder="1" applyAlignment="1" applyProtection="1">
      <alignment horizontal="center" vertical="center" wrapText="1"/>
      <protection locked="0"/>
    </xf>
    <xf numFmtId="0" fontId="16" fillId="5" borderId="73" xfId="0" applyFont="1" applyFill="1" applyBorder="1" applyAlignment="1">
      <alignment horizontal="center" vertical="center"/>
    </xf>
    <xf numFmtId="0" fontId="16" fillId="5" borderId="52"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44" xfId="0" applyFont="1" applyFill="1" applyBorder="1" applyAlignment="1">
      <alignment horizontal="center" wrapText="1"/>
    </xf>
    <xf numFmtId="0" fontId="16" fillId="5" borderId="79" xfId="0" applyFont="1" applyFill="1" applyBorder="1" applyAlignment="1">
      <alignment horizontal="center" wrapText="1"/>
    </xf>
    <xf numFmtId="0" fontId="16" fillId="5" borderId="28" xfId="0" applyFont="1" applyFill="1" applyBorder="1" applyAlignment="1">
      <alignment horizontal="center" wrapText="1"/>
    </xf>
    <xf numFmtId="0" fontId="68" fillId="21" borderId="73" xfId="0" applyFont="1" applyFill="1" applyBorder="1" applyAlignment="1">
      <alignment horizontal="center" vertical="top"/>
    </xf>
    <xf numFmtId="0" fontId="68" fillId="21" borderId="2" xfId="0" applyFont="1" applyFill="1" applyBorder="1" applyAlignment="1">
      <alignment horizontal="center" vertical="top"/>
    </xf>
    <xf numFmtId="0" fontId="68" fillId="21" borderId="52" xfId="0" applyFont="1" applyFill="1" applyBorder="1" applyAlignment="1">
      <alignment horizontal="center" vertical="top"/>
    </xf>
    <xf numFmtId="0" fontId="68" fillId="21" borderId="42" xfId="0" applyFont="1" applyFill="1" applyBorder="1" applyAlignment="1">
      <alignment horizontal="center" vertical="top"/>
    </xf>
    <xf numFmtId="0" fontId="68" fillId="21" borderId="32" xfId="0" applyFont="1" applyFill="1" applyBorder="1" applyAlignment="1">
      <alignment horizontal="center" vertical="top"/>
    </xf>
    <xf numFmtId="0" fontId="68" fillId="21" borderId="31" xfId="0" applyFont="1" applyFill="1" applyBorder="1" applyAlignment="1">
      <alignment horizontal="center" vertical="top"/>
    </xf>
    <xf numFmtId="0" fontId="35" fillId="12" borderId="73" xfId="0" applyFont="1" applyFill="1" applyBorder="1" applyAlignment="1">
      <alignment horizontal="center" vertical="center" wrapText="1"/>
    </xf>
    <xf numFmtId="0" fontId="35" fillId="12" borderId="52" xfId="0" applyFont="1" applyFill="1" applyBorder="1" applyAlignment="1">
      <alignment horizontal="center" vertical="center" wrapText="1"/>
    </xf>
    <xf numFmtId="0" fontId="35" fillId="12" borderId="42" xfId="0" applyFont="1" applyFill="1" applyBorder="1" applyAlignment="1">
      <alignment horizontal="center" vertical="center" wrapText="1"/>
    </xf>
    <xf numFmtId="0" fontId="35" fillId="12" borderId="31" xfId="0" applyFont="1" applyFill="1" applyBorder="1" applyAlignment="1">
      <alignment horizontal="center" vertical="center" wrapText="1"/>
    </xf>
    <xf numFmtId="0" fontId="35" fillId="12" borderId="44" xfId="0" applyFont="1" applyFill="1" applyBorder="1" applyAlignment="1">
      <alignment horizontal="right" wrapText="1"/>
    </xf>
    <xf numFmtId="0" fontId="35" fillId="12" borderId="28" xfId="0" applyFont="1" applyFill="1" applyBorder="1" applyAlignment="1">
      <alignment horizontal="right" wrapText="1"/>
    </xf>
    <xf numFmtId="0" fontId="35" fillId="12" borderId="44" xfId="0" applyFont="1" applyFill="1" applyBorder="1" applyAlignment="1">
      <alignment horizontal="right" vertical="center" wrapText="1"/>
    </xf>
    <xf numFmtId="0" fontId="35" fillId="12" borderId="28" xfId="0" applyFont="1" applyFill="1" applyBorder="1" applyAlignment="1">
      <alignment horizontal="right" vertical="center" wrapText="1"/>
    </xf>
    <xf numFmtId="0" fontId="14" fillId="5" borderId="44" xfId="0" applyFont="1" applyFill="1" applyBorder="1" applyAlignment="1">
      <alignment horizontal="center" vertical="center"/>
    </xf>
    <xf numFmtId="0" fontId="14" fillId="5" borderId="79" xfId="0" applyFont="1" applyFill="1" applyBorder="1" applyAlignment="1">
      <alignment horizontal="center" vertical="center"/>
    </xf>
    <xf numFmtId="0" fontId="14" fillId="5" borderId="28" xfId="0" applyFont="1" applyFill="1" applyBorder="1" applyAlignment="1">
      <alignment horizontal="center" vertical="center"/>
    </xf>
    <xf numFmtId="0" fontId="35" fillId="5" borderId="65" xfId="0" applyFont="1" applyFill="1" applyBorder="1" applyAlignment="1">
      <alignment horizontal="center" vertical="center" wrapText="1"/>
    </xf>
    <xf numFmtId="0" fontId="35" fillId="5" borderId="51"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44" xfId="0" applyFont="1" applyFill="1" applyBorder="1" applyAlignment="1">
      <alignment horizontal="center" vertical="center" wrapText="1"/>
    </xf>
    <xf numFmtId="0" fontId="35" fillId="5" borderId="79"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67" xfId="0" applyFont="1" applyFill="1" applyBorder="1" applyAlignment="1">
      <alignment horizontal="center" vertical="center" wrapText="1"/>
    </xf>
    <xf numFmtId="0" fontId="35" fillId="5" borderId="5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35" fillId="5" borderId="65" xfId="0" applyFont="1" applyFill="1" applyBorder="1" applyAlignment="1">
      <alignment horizontal="center" vertical="center"/>
    </xf>
    <xf numFmtId="0" fontId="35" fillId="5" borderId="61" xfId="0" applyFont="1" applyFill="1" applyBorder="1" applyAlignment="1">
      <alignment horizontal="center" vertical="center"/>
    </xf>
    <xf numFmtId="0" fontId="31" fillId="12" borderId="58" xfId="0" applyFont="1" applyFill="1" applyBorder="1" applyAlignment="1">
      <alignment horizontal="center" vertical="center"/>
    </xf>
    <xf numFmtId="0" fontId="31" fillId="12" borderId="57" xfId="0" applyFont="1" applyFill="1" applyBorder="1" applyAlignment="1">
      <alignment horizontal="center" vertical="center"/>
    </xf>
    <xf numFmtId="0" fontId="51" fillId="2" borderId="0" xfId="0" applyFont="1" applyFill="1" applyAlignment="1">
      <alignment horizontal="center" vertical="center" wrapText="1"/>
    </xf>
    <xf numFmtId="0" fontId="35" fillId="12" borderId="44" xfId="0" applyFont="1" applyFill="1" applyBorder="1" applyAlignment="1">
      <alignment horizontal="center" vertical="center" wrapText="1"/>
    </xf>
    <xf numFmtId="0" fontId="35" fillId="12" borderId="79" xfId="0" applyFont="1" applyFill="1" applyBorder="1" applyAlignment="1">
      <alignment horizontal="center" vertical="center" wrapText="1"/>
    </xf>
    <xf numFmtId="0" fontId="35" fillId="12" borderId="28" xfId="0" applyFont="1" applyFill="1" applyBorder="1" applyAlignment="1">
      <alignment horizontal="center" vertical="center" wrapText="1"/>
    </xf>
    <xf numFmtId="0" fontId="26" fillId="5" borderId="7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52" xfId="0" applyFont="1" applyFill="1" applyBorder="1" applyAlignment="1">
      <alignment horizontal="center" vertical="center" wrapText="1"/>
    </xf>
    <xf numFmtId="0" fontId="26" fillId="5" borderId="42" xfId="0" applyFont="1" applyFill="1" applyBorder="1" applyAlignment="1">
      <alignment horizontal="center" vertical="center" wrapText="1"/>
    </xf>
    <xf numFmtId="0" fontId="26" fillId="5" borderId="32" xfId="0" applyFont="1" applyFill="1" applyBorder="1" applyAlignment="1">
      <alignment horizontal="center" vertical="center" wrapText="1"/>
    </xf>
    <xf numFmtId="0" fontId="26" fillId="5" borderId="31" xfId="0" applyFont="1" applyFill="1" applyBorder="1" applyAlignment="1">
      <alignment horizontal="center" vertical="center" wrapText="1"/>
    </xf>
    <xf numFmtId="0" fontId="14" fillId="5" borderId="44" xfId="0" applyFont="1" applyFill="1" applyBorder="1" applyAlignment="1">
      <alignment horizontal="center" vertical="top" wrapText="1"/>
    </xf>
    <xf numFmtId="0" fontId="14" fillId="5" borderId="79" xfId="0" applyFont="1" applyFill="1" applyBorder="1" applyAlignment="1">
      <alignment horizontal="center" vertical="top" wrapText="1"/>
    </xf>
    <xf numFmtId="0" fontId="14" fillId="5" borderId="28" xfId="0" applyFont="1" applyFill="1" applyBorder="1" applyAlignment="1">
      <alignment horizontal="center" vertical="top" wrapText="1"/>
    </xf>
    <xf numFmtId="2" fontId="35" fillId="5" borderId="22" xfId="0" applyNumberFormat="1" applyFont="1" applyFill="1" applyBorder="1" applyAlignment="1">
      <alignment horizontal="center"/>
    </xf>
    <xf numFmtId="2" fontId="35" fillId="5" borderId="23" xfId="0" applyNumberFormat="1" applyFont="1" applyFill="1" applyBorder="1" applyAlignment="1">
      <alignment horizontal="center"/>
    </xf>
    <xf numFmtId="10" fontId="50" fillId="4" borderId="1" xfId="0" applyNumberFormat="1" applyFont="1" applyFill="1" applyBorder="1" applyAlignment="1">
      <alignment horizontal="center"/>
    </xf>
    <xf numFmtId="10" fontId="50" fillId="4" borderId="24" xfId="0" applyNumberFormat="1" applyFont="1" applyFill="1" applyBorder="1" applyAlignment="1">
      <alignment horizontal="center"/>
    </xf>
    <xf numFmtId="0" fontId="35" fillId="5" borderId="7" xfId="0" applyFont="1" applyFill="1" applyBorder="1" applyAlignment="1">
      <alignment horizontal="center"/>
    </xf>
    <xf numFmtId="0" fontId="35" fillId="5" borderId="8" xfId="0" applyFont="1" applyFill="1" applyBorder="1" applyAlignment="1">
      <alignment horizontal="center"/>
    </xf>
    <xf numFmtId="0" fontId="35" fillId="5" borderId="18" xfId="0" applyFont="1" applyFill="1" applyBorder="1" applyAlignment="1">
      <alignment horizontal="center"/>
    </xf>
    <xf numFmtId="0" fontId="35" fillId="5" borderId="22" xfId="0" applyFont="1" applyFill="1" applyBorder="1" applyAlignment="1">
      <alignment horizontal="center"/>
    </xf>
    <xf numFmtId="0" fontId="35" fillId="5" borderId="17" xfId="0" applyFont="1" applyFill="1" applyBorder="1" applyAlignment="1">
      <alignment horizontal="center"/>
    </xf>
    <xf numFmtId="0" fontId="35" fillId="5" borderId="1" xfId="0" applyFont="1" applyFill="1" applyBorder="1" applyAlignment="1">
      <alignment horizontal="center"/>
    </xf>
    <xf numFmtId="0" fontId="35" fillId="5" borderId="6" xfId="0" applyFont="1" applyFill="1" applyBorder="1" applyAlignment="1">
      <alignment horizontal="center"/>
    </xf>
    <xf numFmtId="0" fontId="14" fillId="2" borderId="0" xfId="0" applyFont="1" applyFill="1" applyAlignment="1">
      <alignment horizontal="center"/>
    </xf>
    <xf numFmtId="0" fontId="35" fillId="5" borderId="73" xfId="0" applyFont="1" applyFill="1" applyBorder="1" applyAlignment="1">
      <alignment horizontal="center" vertical="center"/>
    </xf>
    <xf numFmtId="0" fontId="35" fillId="5" borderId="2" xfId="0" applyFont="1" applyFill="1" applyBorder="1" applyAlignment="1">
      <alignment horizontal="center" vertical="center"/>
    </xf>
    <xf numFmtId="0" fontId="35" fillId="5" borderId="52" xfId="0" applyFont="1" applyFill="1" applyBorder="1" applyAlignment="1">
      <alignment horizontal="center" vertical="center"/>
    </xf>
    <xf numFmtId="0" fontId="35" fillId="5" borderId="22"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14" fillId="5" borderId="44" xfId="0" applyFont="1" applyFill="1" applyBorder="1" applyAlignment="1">
      <alignment horizontal="center" vertical="top"/>
    </xf>
    <xf numFmtId="0" fontId="14" fillId="5" borderId="79" xfId="0" applyFont="1" applyFill="1" applyBorder="1" applyAlignment="1">
      <alignment horizontal="center" vertical="top"/>
    </xf>
    <xf numFmtId="0" fontId="14" fillId="5" borderId="28" xfId="0" applyFont="1" applyFill="1" applyBorder="1" applyAlignment="1">
      <alignment horizontal="center" vertical="top"/>
    </xf>
    <xf numFmtId="0" fontId="26" fillId="5" borderId="73" xfId="0" applyFont="1" applyFill="1" applyBorder="1" applyAlignment="1">
      <alignment horizontal="center" vertical="center"/>
    </xf>
    <xf numFmtId="0" fontId="26" fillId="5" borderId="2" xfId="0" applyFont="1" applyFill="1" applyBorder="1" applyAlignment="1">
      <alignment horizontal="center" vertical="center"/>
    </xf>
    <xf numFmtId="0" fontId="26" fillId="5" borderId="52" xfId="0" applyFont="1" applyFill="1" applyBorder="1" applyAlignment="1">
      <alignment horizontal="center" vertical="center"/>
    </xf>
    <xf numFmtId="0" fontId="26" fillId="5" borderId="42" xfId="0" applyFont="1" applyFill="1" applyBorder="1" applyAlignment="1">
      <alignment horizontal="center" vertical="center"/>
    </xf>
    <xf numFmtId="0" fontId="26" fillId="5" borderId="32" xfId="0" applyFont="1" applyFill="1" applyBorder="1" applyAlignment="1">
      <alignment horizontal="center" vertical="center"/>
    </xf>
    <xf numFmtId="0" fontId="26" fillId="5" borderId="31" xfId="0" applyFont="1" applyFill="1" applyBorder="1" applyAlignment="1">
      <alignment horizontal="center" vertical="center"/>
    </xf>
    <xf numFmtId="0" fontId="35" fillId="5" borderId="51" xfId="0" applyFont="1" applyFill="1" applyBorder="1" applyAlignment="1">
      <alignment horizontal="center" vertical="center"/>
    </xf>
    <xf numFmtId="0" fontId="14" fillId="2" borderId="0" xfId="0" applyFont="1" applyFill="1" applyAlignment="1">
      <alignment horizontal="center" vertical="center" wrapText="1"/>
    </xf>
    <xf numFmtId="0" fontId="51" fillId="2" borderId="0" xfId="0" applyFont="1" applyFill="1" applyAlignment="1">
      <alignment horizontal="center" vertical="center"/>
    </xf>
    <xf numFmtId="0" fontId="31" fillId="2" borderId="0" xfId="0" applyFont="1" applyFill="1" applyAlignment="1">
      <alignment horizontal="center"/>
    </xf>
    <xf numFmtId="0" fontId="31" fillId="2" borderId="32" xfId="0" applyFont="1" applyFill="1" applyBorder="1" applyAlignment="1">
      <alignment horizontal="center"/>
    </xf>
    <xf numFmtId="2" fontId="35" fillId="5" borderId="22" xfId="0" applyNumberFormat="1" applyFont="1" applyFill="1" applyBorder="1" applyAlignment="1">
      <alignment horizontal="center" vertical="center"/>
    </xf>
    <xf numFmtId="2" fontId="35" fillId="5" borderId="23" xfId="0" applyNumberFormat="1" applyFont="1" applyFill="1" applyBorder="1" applyAlignment="1">
      <alignment horizontal="center" vertical="center"/>
    </xf>
    <xf numFmtId="10" fontId="35" fillId="5" borderId="1" xfId="0" applyNumberFormat="1" applyFont="1" applyFill="1" applyBorder="1" applyAlignment="1">
      <alignment horizontal="center" vertical="center"/>
    </xf>
    <xf numFmtId="10" fontId="35" fillId="5" borderId="24" xfId="0" applyNumberFormat="1" applyFont="1" applyFill="1" applyBorder="1" applyAlignment="1">
      <alignment horizontal="center" vertical="center"/>
    </xf>
    <xf numFmtId="0" fontId="35" fillId="5" borderId="7" xfId="0" applyFont="1" applyFill="1" applyBorder="1" applyAlignment="1">
      <alignment horizontal="center" vertical="center" wrapText="1"/>
    </xf>
    <xf numFmtId="0" fontId="35" fillId="5" borderId="18" xfId="0" applyFont="1" applyFill="1" applyBorder="1" applyAlignment="1">
      <alignment horizontal="center" vertical="center"/>
    </xf>
    <xf numFmtId="0" fontId="35" fillId="5" borderId="22" xfId="0" applyFont="1" applyFill="1" applyBorder="1" applyAlignment="1">
      <alignment horizontal="center" vertical="center"/>
    </xf>
    <xf numFmtId="0" fontId="35" fillId="5" borderId="1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2" borderId="0" xfId="0" applyFont="1" applyFill="1" applyAlignment="1">
      <alignment horizontal="center" vertical="center"/>
    </xf>
    <xf numFmtId="0" fontId="35" fillId="5" borderId="8" xfId="0" applyFont="1" applyFill="1" applyBorder="1" applyAlignment="1">
      <alignment horizontal="center" vertical="center" wrapText="1"/>
    </xf>
    <xf numFmtId="0" fontId="35" fillId="12" borderId="44" xfId="0" applyFont="1" applyFill="1" applyBorder="1" applyAlignment="1">
      <alignment horizontal="right" vertical="center"/>
    </xf>
    <xf numFmtId="0" fontId="35" fillId="12" borderId="28" xfId="0" applyFont="1" applyFill="1" applyBorder="1" applyAlignment="1">
      <alignment horizontal="right" vertical="center"/>
    </xf>
    <xf numFmtId="0" fontId="35" fillId="12" borderId="73" xfId="0" applyFont="1" applyFill="1" applyBorder="1" applyAlignment="1">
      <alignment horizontal="center" vertical="center"/>
    </xf>
    <xf numFmtId="0" fontId="35" fillId="12" borderId="52" xfId="0" applyFont="1" applyFill="1" applyBorder="1" applyAlignment="1">
      <alignment horizontal="center" vertical="center"/>
    </xf>
    <xf numFmtId="0" fontId="35" fillId="12" borderId="42" xfId="0" applyFont="1" applyFill="1" applyBorder="1" applyAlignment="1">
      <alignment horizontal="center" vertical="center"/>
    </xf>
    <xf numFmtId="0" fontId="35" fillId="12" borderId="31" xfId="0" applyFont="1" applyFill="1" applyBorder="1" applyAlignment="1">
      <alignment horizontal="center" vertical="center"/>
    </xf>
    <xf numFmtId="0" fontId="26" fillId="6" borderId="73" xfId="0" applyFont="1" applyFill="1" applyBorder="1" applyAlignment="1">
      <alignment horizontal="center" vertical="top"/>
    </xf>
    <xf numFmtId="0" fontId="26" fillId="6" borderId="2" xfId="0" applyFont="1" applyFill="1" applyBorder="1" applyAlignment="1">
      <alignment horizontal="center" vertical="top"/>
    </xf>
    <xf numFmtId="0" fontId="26" fillId="6" borderId="52" xfId="0" applyFont="1" applyFill="1" applyBorder="1" applyAlignment="1">
      <alignment horizontal="center" vertical="top"/>
    </xf>
    <xf numFmtId="0" fontId="26" fillId="6" borderId="42" xfId="0" applyFont="1" applyFill="1" applyBorder="1" applyAlignment="1">
      <alignment horizontal="center" vertical="top"/>
    </xf>
    <xf numFmtId="0" fontId="26" fillId="6" borderId="32" xfId="0" applyFont="1" applyFill="1" applyBorder="1" applyAlignment="1">
      <alignment horizontal="center" vertical="top"/>
    </xf>
    <xf numFmtId="0" fontId="26" fillId="6" borderId="31" xfId="0" applyFont="1" applyFill="1" applyBorder="1" applyAlignment="1">
      <alignment horizontal="center" vertical="top"/>
    </xf>
    <xf numFmtId="0" fontId="51" fillId="3" borderId="0" xfId="0" applyFont="1" applyFill="1" applyAlignment="1">
      <alignment horizontal="center" vertical="center"/>
    </xf>
    <xf numFmtId="0" fontId="14" fillId="6" borderId="44" xfId="0" applyFont="1" applyFill="1" applyBorder="1" applyAlignment="1">
      <alignment horizontal="center" vertical="top"/>
    </xf>
    <xf numFmtId="0" fontId="14" fillId="6" borderId="79" xfId="0" applyFont="1" applyFill="1" applyBorder="1" applyAlignment="1">
      <alignment horizontal="center" vertical="top"/>
    </xf>
    <xf numFmtId="0" fontId="14" fillId="6" borderId="28" xfId="0" applyFont="1" applyFill="1" applyBorder="1" applyAlignment="1">
      <alignment horizontal="center" vertical="top"/>
    </xf>
    <xf numFmtId="0" fontId="35" fillId="5" borderId="75" xfId="0" applyFont="1" applyFill="1" applyBorder="1" applyAlignment="1">
      <alignment horizontal="center" vertical="center"/>
    </xf>
    <xf numFmtId="0" fontId="35" fillId="5" borderId="68" xfId="0" applyFont="1" applyFill="1" applyBorder="1" applyAlignment="1">
      <alignment horizontal="center" vertical="center"/>
    </xf>
    <xf numFmtId="0" fontId="35" fillId="5" borderId="50"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58" xfId="0" applyFont="1" applyFill="1" applyBorder="1" applyAlignment="1">
      <alignment horizontal="center" vertical="center"/>
    </xf>
    <xf numFmtId="0" fontId="35" fillId="5" borderId="41" xfId="0" applyFont="1" applyFill="1" applyBorder="1" applyAlignment="1">
      <alignment horizontal="center" vertical="center"/>
    </xf>
    <xf numFmtId="0" fontId="35" fillId="5" borderId="10" xfId="0" applyFont="1" applyFill="1" applyBorder="1" applyAlignment="1">
      <alignment horizontal="center" vertical="center"/>
    </xf>
    <xf numFmtId="0" fontId="35" fillId="6" borderId="67" xfId="0" applyFont="1" applyFill="1" applyBorder="1" applyAlignment="1">
      <alignment horizontal="center" vertical="center" wrapText="1"/>
    </xf>
    <xf numFmtId="0" fontId="31" fillId="3" borderId="0" xfId="0" applyFont="1" applyFill="1" applyAlignment="1">
      <alignment horizontal="center" wrapText="1"/>
    </xf>
    <xf numFmtId="0" fontId="31" fillId="3" borderId="47" xfId="0" applyFont="1" applyFill="1" applyBorder="1" applyAlignment="1">
      <alignment horizontal="center" wrapText="1"/>
    </xf>
    <xf numFmtId="0" fontId="35" fillId="3" borderId="2" xfId="0" applyFont="1" applyFill="1" applyBorder="1" applyAlignment="1">
      <alignment horizontal="center" vertical="center" wrapText="1"/>
    </xf>
    <xf numFmtId="0" fontId="35" fillId="3" borderId="0" xfId="0" applyFont="1" applyFill="1" applyAlignment="1">
      <alignment horizontal="center" vertical="center" wrapText="1"/>
    </xf>
    <xf numFmtId="0" fontId="35" fillId="3" borderId="32" xfId="0" applyFont="1" applyFill="1" applyBorder="1" applyAlignment="1">
      <alignment horizontal="center" vertical="center" wrapText="1"/>
    </xf>
    <xf numFmtId="0" fontId="35" fillId="6" borderId="3" xfId="0" applyFont="1" applyFill="1" applyBorder="1" applyAlignment="1">
      <alignment horizontal="center" vertical="center" wrapText="1"/>
    </xf>
    <xf numFmtId="0" fontId="35" fillId="6" borderId="67" xfId="0" applyFont="1" applyFill="1" applyBorder="1" applyAlignment="1">
      <alignment horizontal="center" vertical="center"/>
    </xf>
    <xf numFmtId="0" fontId="35" fillId="6" borderId="26" xfId="0" applyFont="1" applyFill="1" applyBorder="1" applyAlignment="1">
      <alignment horizontal="center" vertical="center"/>
    </xf>
    <xf numFmtId="0" fontId="35" fillId="6" borderId="44" xfId="0" applyFont="1" applyFill="1" applyBorder="1" applyAlignment="1">
      <alignment horizontal="center" vertical="center" wrapText="1"/>
    </xf>
    <xf numFmtId="0" fontId="35" fillId="6" borderId="79" xfId="0" applyFont="1" applyFill="1" applyBorder="1" applyAlignment="1">
      <alignment horizontal="center" vertical="center" wrapText="1"/>
    </xf>
    <xf numFmtId="0" fontId="35" fillId="6" borderId="28" xfId="0" applyFont="1" applyFill="1" applyBorder="1" applyAlignment="1">
      <alignment horizontal="center" vertical="center" wrapText="1"/>
    </xf>
    <xf numFmtId="0" fontId="31" fillId="2" borderId="0" xfId="0" applyFont="1" applyFill="1" applyAlignment="1">
      <alignment horizontal="center" wrapText="1"/>
    </xf>
    <xf numFmtId="0" fontId="35" fillId="6" borderId="9" xfId="0" applyFont="1" applyFill="1" applyBorder="1" applyAlignment="1">
      <alignment horizontal="center" vertical="center" wrapText="1"/>
    </xf>
    <xf numFmtId="0" fontId="35" fillId="6" borderId="77" xfId="0" applyFont="1" applyFill="1" applyBorder="1" applyAlignment="1">
      <alignment horizontal="center" vertical="center" wrapText="1"/>
    </xf>
    <xf numFmtId="0" fontId="35" fillId="6" borderId="64" xfId="0" applyFont="1" applyFill="1" applyBorder="1" applyAlignment="1">
      <alignment horizontal="center" vertical="center" wrapText="1"/>
    </xf>
    <xf numFmtId="0" fontId="35" fillId="6" borderId="34" xfId="0" applyFont="1" applyFill="1" applyBorder="1" applyAlignment="1">
      <alignment horizontal="center" vertical="center" wrapText="1"/>
    </xf>
    <xf numFmtId="0" fontId="35" fillId="6" borderId="44" xfId="0" applyFont="1" applyFill="1" applyBorder="1" applyAlignment="1">
      <alignment horizontal="center" vertical="center"/>
    </xf>
    <xf numFmtId="0" fontId="35" fillId="6" borderId="79" xfId="0" applyFont="1" applyFill="1" applyBorder="1" applyAlignment="1">
      <alignment horizontal="center" vertical="center"/>
    </xf>
    <xf numFmtId="0" fontId="35" fillId="6" borderId="28" xfId="0" applyFont="1" applyFill="1" applyBorder="1" applyAlignment="1">
      <alignment horizontal="center" vertical="center"/>
    </xf>
    <xf numFmtId="0" fontId="35" fillId="6" borderId="59" xfId="0" applyFont="1" applyFill="1" applyBorder="1" applyAlignment="1">
      <alignment horizontal="center" vertical="center" wrapText="1"/>
    </xf>
    <xf numFmtId="0" fontId="35" fillId="6" borderId="75" xfId="0" applyFont="1" applyFill="1" applyBorder="1" applyAlignment="1">
      <alignment horizontal="center" vertical="center" wrapText="1"/>
    </xf>
    <xf numFmtId="0" fontId="35" fillId="6" borderId="39"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5" borderId="7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52" xfId="0" applyFont="1" applyFill="1" applyBorder="1" applyAlignment="1">
      <alignment horizontal="center" vertical="center"/>
    </xf>
    <xf numFmtId="0" fontId="35" fillId="6" borderId="3" xfId="0" applyFont="1" applyFill="1" applyBorder="1" applyAlignment="1">
      <alignment horizontal="center" vertical="center"/>
    </xf>
    <xf numFmtId="0" fontId="35" fillId="5" borderId="5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6" borderId="26" xfId="0" applyFont="1" applyFill="1" applyBorder="1" applyAlignment="1">
      <alignment horizontal="center" vertical="center" wrapText="1"/>
    </xf>
    <xf numFmtId="0" fontId="35" fillId="3" borderId="0" xfId="0" applyFont="1" applyFill="1" applyAlignment="1">
      <alignment horizontal="center" wrapText="1"/>
    </xf>
    <xf numFmtId="0" fontId="35" fillId="6" borderId="73" xfId="0" applyFont="1" applyFill="1" applyBorder="1" applyAlignment="1">
      <alignment horizontal="center" vertical="center" wrapText="1"/>
    </xf>
    <xf numFmtId="0" fontId="35" fillId="12" borderId="67" xfId="0" applyFont="1" applyFill="1" applyBorder="1" applyAlignment="1">
      <alignment horizontal="center" vertical="center"/>
    </xf>
    <xf numFmtId="0" fontId="35" fillId="12" borderId="55" xfId="0" applyFont="1" applyFill="1" applyBorder="1" applyAlignment="1">
      <alignment horizontal="center" vertical="center"/>
    </xf>
    <xf numFmtId="0" fontId="14" fillId="6" borderId="44" xfId="0" applyFont="1" applyFill="1" applyBorder="1" applyAlignment="1">
      <alignment horizontal="center" vertical="center"/>
    </xf>
    <xf numFmtId="0" fontId="14" fillId="6" borderId="79" xfId="0" applyFont="1" applyFill="1" applyBorder="1" applyAlignment="1">
      <alignment horizontal="center" vertical="center"/>
    </xf>
    <xf numFmtId="0" fontId="14" fillId="6" borderId="28" xfId="0" applyFont="1" applyFill="1" applyBorder="1" applyAlignment="1">
      <alignment horizontal="center" vertical="center"/>
    </xf>
    <xf numFmtId="0" fontId="35" fillId="6" borderId="73" xfId="0" applyFont="1" applyFill="1" applyBorder="1" applyAlignment="1">
      <alignment horizontal="center" vertical="center"/>
    </xf>
    <xf numFmtId="0" fontId="35" fillId="6" borderId="61" xfId="0" applyFont="1" applyFill="1" applyBorder="1" applyAlignment="1">
      <alignment horizontal="center" vertical="center"/>
    </xf>
    <xf numFmtId="0" fontId="35" fillId="6" borderId="2" xfId="0" applyFont="1" applyFill="1" applyBorder="1" applyAlignment="1">
      <alignment horizontal="center" vertical="center"/>
    </xf>
    <xf numFmtId="0" fontId="35" fillId="6" borderId="52" xfId="0" applyFont="1" applyFill="1" applyBorder="1" applyAlignment="1">
      <alignment horizontal="center" vertical="center"/>
    </xf>
    <xf numFmtId="0" fontId="14" fillId="3" borderId="0" xfId="0" applyFont="1" applyFill="1" applyAlignment="1">
      <alignment horizontal="center" wrapText="1"/>
    </xf>
    <xf numFmtId="0" fontId="35" fillId="6" borderId="65" xfId="0" applyFont="1" applyFill="1" applyBorder="1" applyAlignment="1">
      <alignment horizontal="center" vertical="center"/>
    </xf>
    <xf numFmtId="0" fontId="35" fillId="6" borderId="51" xfId="0" applyFont="1" applyFill="1" applyBorder="1" applyAlignment="1">
      <alignment horizontal="center" vertical="center"/>
    </xf>
    <xf numFmtId="0" fontId="35" fillId="6" borderId="72" xfId="0" applyFont="1" applyFill="1" applyBorder="1" applyAlignment="1">
      <alignment horizontal="center" vertical="center" wrapText="1"/>
    </xf>
    <xf numFmtId="0" fontId="35" fillId="6" borderId="54" xfId="0" applyFont="1" applyFill="1" applyBorder="1" applyAlignment="1">
      <alignment horizontal="center" vertical="center" wrapText="1"/>
    </xf>
    <xf numFmtId="0" fontId="35" fillId="6" borderId="11" xfId="0" applyFont="1" applyFill="1" applyBorder="1" applyAlignment="1">
      <alignment horizontal="center" vertical="center" wrapText="1"/>
    </xf>
    <xf numFmtId="0" fontId="35" fillId="6" borderId="53" xfId="0" applyFont="1" applyFill="1" applyBorder="1" applyAlignment="1">
      <alignment horizontal="center" vertical="center" wrapText="1"/>
    </xf>
    <xf numFmtId="0" fontId="35" fillId="6" borderId="55" xfId="0" applyFont="1" applyFill="1" applyBorder="1" applyAlignment="1">
      <alignment horizontal="center" vertical="center" wrapText="1"/>
    </xf>
    <xf numFmtId="0" fontId="35" fillId="6" borderId="66" xfId="0" applyFont="1" applyFill="1" applyBorder="1" applyAlignment="1">
      <alignment horizontal="center" vertical="center" wrapText="1"/>
    </xf>
    <xf numFmtId="0" fontId="35" fillId="6" borderId="25" xfId="0" applyFont="1" applyFill="1" applyBorder="1" applyAlignment="1">
      <alignment horizontal="center" vertical="center" wrapText="1"/>
    </xf>
    <xf numFmtId="0" fontId="35" fillId="6" borderId="65" xfId="0" applyFont="1" applyFill="1" applyBorder="1" applyAlignment="1">
      <alignment horizontal="center" vertical="center" wrapText="1"/>
    </xf>
    <xf numFmtId="0" fontId="35" fillId="6" borderId="51" xfId="0" applyFont="1" applyFill="1" applyBorder="1" applyAlignment="1">
      <alignment horizontal="center" vertical="center" wrapText="1"/>
    </xf>
    <xf numFmtId="0" fontId="35" fillId="6" borderId="61" xfId="0" applyFont="1" applyFill="1" applyBorder="1" applyAlignment="1">
      <alignment horizontal="center" vertical="center" wrapText="1"/>
    </xf>
    <xf numFmtId="0" fontId="35" fillId="6" borderId="74" xfId="0" applyFont="1" applyFill="1" applyBorder="1" applyAlignment="1">
      <alignment horizontal="center" vertical="center" wrapText="1"/>
    </xf>
    <xf numFmtId="0" fontId="35" fillId="3" borderId="0" xfId="0" applyFont="1" applyFill="1" applyAlignment="1">
      <alignment horizontal="center" vertical="center"/>
    </xf>
    <xf numFmtId="0" fontId="35" fillId="5" borderId="7" xfId="0" applyFont="1" applyFill="1" applyBorder="1" applyAlignment="1">
      <alignment horizontal="center" vertical="center"/>
    </xf>
    <xf numFmtId="0" fontId="35" fillId="5" borderId="8" xfId="0" applyFont="1" applyFill="1" applyBorder="1" applyAlignment="1">
      <alignment horizontal="center" vertical="center"/>
    </xf>
    <xf numFmtId="0" fontId="35" fillId="3" borderId="32" xfId="0" applyFont="1" applyFill="1" applyBorder="1" applyAlignment="1">
      <alignment horizontal="center" wrapText="1"/>
    </xf>
    <xf numFmtId="0" fontId="35" fillId="5" borderId="43"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16"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74" xfId="0" applyFont="1" applyFill="1" applyBorder="1" applyAlignment="1">
      <alignment horizontal="center" vertical="center" wrapText="1"/>
    </xf>
    <xf numFmtId="0" fontId="35" fillId="5" borderId="42" xfId="0" applyFont="1" applyFill="1" applyBorder="1" applyAlignment="1">
      <alignment horizontal="center" vertical="center" wrapText="1"/>
    </xf>
    <xf numFmtId="0" fontId="35" fillId="5" borderId="32" xfId="0" applyFont="1" applyFill="1" applyBorder="1" applyAlignment="1">
      <alignment horizontal="center" vertical="center" wrapText="1"/>
    </xf>
    <xf numFmtId="0" fontId="35" fillId="5" borderId="31" xfId="0" applyFont="1" applyFill="1" applyBorder="1" applyAlignment="1">
      <alignment horizontal="center" vertical="center" wrapText="1"/>
    </xf>
    <xf numFmtId="2" fontId="35" fillId="5" borderId="77" xfId="0" applyNumberFormat="1" applyFont="1" applyFill="1" applyBorder="1" applyAlignment="1">
      <alignment horizontal="center" vertical="center"/>
    </xf>
    <xf numFmtId="2" fontId="35" fillId="5" borderId="61" xfId="0" applyNumberFormat="1" applyFont="1" applyFill="1" applyBorder="1" applyAlignment="1">
      <alignment horizontal="center" vertical="center"/>
    </xf>
    <xf numFmtId="10" fontId="35" fillId="5" borderId="19" xfId="0" applyNumberFormat="1" applyFont="1" applyFill="1" applyBorder="1" applyAlignment="1">
      <alignment horizontal="center" vertical="center"/>
    </xf>
    <xf numFmtId="10" fontId="35" fillId="5" borderId="62" xfId="0" applyNumberFormat="1" applyFont="1" applyFill="1" applyBorder="1" applyAlignment="1">
      <alignment horizontal="center" vertical="center"/>
    </xf>
    <xf numFmtId="0" fontId="35" fillId="5" borderId="19" xfId="0" applyFont="1" applyFill="1" applyBorder="1" applyAlignment="1">
      <alignment horizontal="center" vertical="center"/>
    </xf>
    <xf numFmtId="0" fontId="35" fillId="5" borderId="62" xfId="0" applyFont="1" applyFill="1" applyBorder="1" applyAlignment="1">
      <alignment horizontal="center" vertical="center"/>
    </xf>
    <xf numFmtId="0" fontId="35" fillId="5" borderId="48" xfId="0" applyFont="1" applyFill="1" applyBorder="1" applyAlignment="1">
      <alignment horizontal="center" vertical="center"/>
    </xf>
    <xf numFmtId="0" fontId="35" fillId="5" borderId="57" xfId="0" applyFont="1" applyFill="1" applyBorder="1" applyAlignment="1">
      <alignment horizontal="center" vertical="center"/>
    </xf>
    <xf numFmtId="0" fontId="31" fillId="2" borderId="2" xfId="0" applyFont="1" applyFill="1" applyBorder="1" applyAlignment="1">
      <alignment horizontal="center" wrapText="1"/>
    </xf>
    <xf numFmtId="0" fontId="35" fillId="5" borderId="17" xfId="0" applyFont="1" applyFill="1" applyBorder="1" applyAlignment="1">
      <alignment horizontal="center" vertical="center"/>
    </xf>
    <xf numFmtId="0" fontId="35" fillId="5" borderId="1" xfId="0" applyFont="1" applyFill="1" applyBorder="1" applyAlignment="1">
      <alignment horizontal="center" vertical="center"/>
    </xf>
    <xf numFmtId="0" fontId="35" fillId="5" borderId="6" xfId="0" applyFont="1" applyFill="1" applyBorder="1" applyAlignment="1">
      <alignment horizontal="center" vertical="center"/>
    </xf>
    <xf numFmtId="0" fontId="35" fillId="3" borderId="0" xfId="0" applyFont="1" applyFill="1" applyAlignment="1">
      <alignment horizontal="center"/>
    </xf>
    <xf numFmtId="0" fontId="35" fillId="3" borderId="2" xfId="0" applyFont="1" applyFill="1" applyBorder="1" applyAlignment="1">
      <alignment horizontal="center" wrapText="1"/>
    </xf>
    <xf numFmtId="0" fontId="35" fillId="3" borderId="52" xfId="0" applyFont="1" applyFill="1" applyBorder="1" applyAlignment="1">
      <alignment horizontal="center" wrapText="1"/>
    </xf>
    <xf numFmtId="0" fontId="35" fillId="6" borderId="33" xfId="0" applyFont="1" applyFill="1" applyBorder="1" applyAlignment="1">
      <alignment horizontal="center" vertical="center" wrapText="1"/>
    </xf>
    <xf numFmtId="0" fontId="35" fillId="3" borderId="2" xfId="0" applyFont="1" applyFill="1" applyBorder="1" applyAlignment="1">
      <alignment horizontal="center" vertical="center"/>
    </xf>
    <xf numFmtId="0" fontId="35" fillId="6" borderId="31" xfId="0" applyFont="1" applyFill="1" applyBorder="1" applyAlignment="1">
      <alignment horizontal="center" vertical="center" wrapText="1"/>
    </xf>
    <xf numFmtId="0" fontId="35" fillId="6" borderId="44" xfId="0" applyFont="1" applyFill="1" applyBorder="1" applyAlignment="1">
      <alignment horizontal="center"/>
    </xf>
    <xf numFmtId="0" fontId="35" fillId="6" borderId="79" xfId="0" applyFont="1" applyFill="1" applyBorder="1" applyAlignment="1">
      <alignment horizontal="center"/>
    </xf>
    <xf numFmtId="0" fontId="35" fillId="6" borderId="28" xfId="0" applyFont="1" applyFill="1" applyBorder="1" applyAlignment="1">
      <alignment horizontal="center"/>
    </xf>
    <xf numFmtId="0" fontId="14" fillId="6" borderId="44"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79" xfId="0" applyFont="1" applyFill="1" applyBorder="1" applyAlignment="1">
      <alignment horizontal="center" vertical="center" wrapText="1"/>
    </xf>
    <xf numFmtId="0" fontId="26" fillId="6" borderId="36" xfId="0" applyFont="1" applyFill="1" applyBorder="1" applyAlignment="1">
      <alignment horizontal="center" vertical="center"/>
    </xf>
    <xf numFmtId="0" fontId="26" fillId="6" borderId="0" xfId="0" applyFont="1" applyFill="1" applyAlignment="1">
      <alignment horizontal="center" vertical="center"/>
    </xf>
    <xf numFmtId="0" fontId="26" fillId="6" borderId="30" xfId="0" applyFont="1" applyFill="1" applyBorder="1" applyAlignment="1">
      <alignment horizontal="center" vertical="center"/>
    </xf>
    <xf numFmtId="0" fontId="35" fillId="3" borderId="52" xfId="0" applyFont="1" applyFill="1" applyBorder="1" applyAlignment="1">
      <alignment horizontal="center" vertical="center" wrapText="1"/>
    </xf>
    <xf numFmtId="0" fontId="26" fillId="3" borderId="0" xfId="0" applyFont="1" applyFill="1" applyAlignment="1">
      <alignment horizontal="center" vertical="center"/>
    </xf>
    <xf numFmtId="0" fontId="51" fillId="3" borderId="0" xfId="0" applyFont="1" applyFill="1" applyAlignment="1">
      <alignment horizontal="center" vertical="center" wrapText="1"/>
    </xf>
    <xf numFmtId="0" fontId="35" fillId="6" borderId="58" xfId="0" applyFont="1" applyFill="1" applyBorder="1" applyAlignment="1">
      <alignment horizontal="center" vertical="center" wrapText="1"/>
    </xf>
    <xf numFmtId="0" fontId="15" fillId="3" borderId="0" xfId="0" applyFont="1" applyFill="1" applyAlignment="1">
      <alignment horizontal="center" vertical="center" wrapText="1"/>
    </xf>
    <xf numFmtId="0" fontId="35" fillId="3" borderId="84" xfId="0" applyFont="1" applyFill="1" applyBorder="1" applyAlignment="1">
      <alignment horizontal="center" vertical="center" wrapText="1"/>
    </xf>
    <xf numFmtId="0" fontId="35" fillId="3" borderId="80" xfId="0" applyFont="1" applyFill="1" applyBorder="1" applyAlignment="1">
      <alignment horizontal="center" vertical="center" wrapText="1"/>
    </xf>
    <xf numFmtId="0" fontId="35" fillId="6" borderId="42" xfId="0" applyFont="1" applyFill="1" applyBorder="1" applyAlignment="1">
      <alignment horizontal="center" vertical="center" wrapText="1"/>
    </xf>
    <xf numFmtId="0" fontId="35" fillId="6" borderId="57" xfId="0" applyFont="1" applyFill="1" applyBorder="1" applyAlignment="1">
      <alignment horizontal="center" vertical="center" wrapText="1"/>
    </xf>
    <xf numFmtId="0" fontId="26" fillId="6" borderId="13" xfId="0" applyFont="1" applyFill="1" applyBorder="1" applyAlignment="1">
      <alignment horizontal="center" vertical="center"/>
    </xf>
    <xf numFmtId="0" fontId="26" fillId="6" borderId="24" xfId="0" applyFont="1" applyFill="1" applyBorder="1" applyAlignment="1">
      <alignment horizontal="center" vertical="center"/>
    </xf>
    <xf numFmtId="0" fontId="26" fillId="6" borderId="6" xfId="0" applyFont="1" applyFill="1" applyBorder="1" applyAlignment="1">
      <alignment horizontal="center" vertical="center"/>
    </xf>
    <xf numFmtId="0" fontId="26" fillId="6" borderId="8" xfId="0" applyFont="1" applyFill="1" applyBorder="1" applyAlignment="1">
      <alignment horizontal="center" vertical="center"/>
    </xf>
    <xf numFmtId="0" fontId="35" fillId="6" borderId="18" xfId="0" applyFont="1" applyFill="1" applyBorder="1" applyAlignment="1">
      <alignment horizontal="center" vertical="center"/>
    </xf>
    <xf numFmtId="0" fontId="35" fillId="6" borderId="23" xfId="0" applyFont="1" applyFill="1" applyBorder="1" applyAlignment="1">
      <alignment horizontal="center" vertical="center"/>
    </xf>
    <xf numFmtId="0" fontId="31" fillId="3" borderId="0" xfId="0" applyFont="1" applyFill="1" applyAlignment="1">
      <alignment horizontal="center"/>
    </xf>
    <xf numFmtId="0" fontId="60" fillId="2" borderId="0" xfId="0" applyFont="1" applyFill="1" applyAlignment="1">
      <alignment horizontal="center" wrapText="1"/>
    </xf>
    <xf numFmtId="0" fontId="48" fillId="5" borderId="18" xfId="0" applyFont="1" applyFill="1" applyBorder="1" applyAlignment="1">
      <alignment horizontal="center" vertical="center"/>
    </xf>
    <xf numFmtId="0" fontId="48" fillId="5" borderId="23" xfId="0" applyFont="1" applyFill="1" applyBorder="1" applyAlignment="1">
      <alignment horizontal="center" vertical="center"/>
    </xf>
    <xf numFmtId="0" fontId="48" fillId="5" borderId="17" xfId="0" applyFont="1" applyFill="1" applyBorder="1" applyAlignment="1">
      <alignment horizontal="center" vertical="center"/>
    </xf>
    <xf numFmtId="0" fontId="48" fillId="5" borderId="24" xfId="0" applyFont="1" applyFill="1" applyBorder="1" applyAlignment="1">
      <alignment horizontal="center" vertical="center"/>
    </xf>
    <xf numFmtId="0" fontId="48" fillId="5" borderId="6" xfId="0" applyFont="1" applyFill="1" applyBorder="1" applyAlignment="1">
      <alignment horizontal="center" vertical="center"/>
    </xf>
    <xf numFmtId="0" fontId="48" fillId="5" borderId="8" xfId="0" applyFont="1" applyFill="1" applyBorder="1" applyAlignment="1">
      <alignment horizontal="center" vertical="center"/>
    </xf>
    <xf numFmtId="0" fontId="48" fillId="5" borderId="67" xfId="0" applyFont="1" applyFill="1" applyBorder="1" applyAlignment="1">
      <alignment horizontal="center" vertical="center" textRotation="90"/>
    </xf>
    <xf numFmtId="0" fontId="48" fillId="5" borderId="55" xfId="0" applyFont="1" applyFill="1" applyBorder="1" applyAlignment="1">
      <alignment horizontal="center" vertical="center" textRotation="90"/>
    </xf>
    <xf numFmtId="0" fontId="48" fillId="5" borderId="74" xfId="0" applyFont="1" applyFill="1" applyBorder="1" applyAlignment="1">
      <alignment horizontal="center" vertical="center" textRotation="90"/>
    </xf>
    <xf numFmtId="0" fontId="69" fillId="18" borderId="67" xfId="0" applyFont="1" applyFill="1" applyBorder="1" applyAlignment="1">
      <alignment horizontal="center" vertical="center"/>
    </xf>
    <xf numFmtId="0" fontId="69" fillId="18" borderId="74" xfId="0" applyFont="1" applyFill="1" applyBorder="1" applyAlignment="1">
      <alignment horizontal="center" vertical="center"/>
    </xf>
    <xf numFmtId="0" fontId="69" fillId="18" borderId="55" xfId="0" applyFont="1" applyFill="1" applyBorder="1" applyAlignment="1">
      <alignment horizontal="center" vertical="center"/>
    </xf>
    <xf numFmtId="2" fontId="31" fillId="12" borderId="72" xfId="0" applyNumberFormat="1" applyFont="1" applyFill="1" applyBorder="1" applyAlignment="1">
      <alignment horizontal="center" vertical="center"/>
    </xf>
    <xf numFmtId="2" fontId="31" fillId="12" borderId="49" xfId="0" applyNumberFormat="1" applyFont="1" applyFill="1" applyBorder="1" applyAlignment="1">
      <alignment horizontal="center" vertical="center"/>
    </xf>
    <xf numFmtId="2" fontId="31" fillId="12" borderId="54" xfId="0" applyNumberFormat="1" applyFont="1" applyFill="1" applyBorder="1" applyAlignment="1">
      <alignment horizontal="center" vertical="center"/>
    </xf>
    <xf numFmtId="2" fontId="31" fillId="12" borderId="12" xfId="0" applyNumberFormat="1" applyFont="1" applyFill="1" applyBorder="1" applyAlignment="1">
      <alignment horizontal="center" vertical="center"/>
    </xf>
    <xf numFmtId="2" fontId="31" fillId="12" borderId="24" xfId="0" applyNumberFormat="1" applyFont="1" applyFill="1" applyBorder="1" applyAlignment="1">
      <alignment horizontal="center" vertical="center"/>
    </xf>
    <xf numFmtId="2" fontId="31" fillId="12" borderId="8" xfId="0" applyNumberFormat="1" applyFont="1" applyFill="1" applyBorder="1" applyAlignment="1">
      <alignment horizontal="center" vertical="center"/>
    </xf>
    <xf numFmtId="0" fontId="69" fillId="18" borderId="66" xfId="0" applyFont="1" applyFill="1" applyBorder="1" applyAlignment="1">
      <alignment horizontal="center" vertical="center"/>
    </xf>
    <xf numFmtId="0" fontId="69" fillId="18" borderId="46" xfId="0" applyFont="1" applyFill="1" applyBorder="1" applyAlignment="1">
      <alignment horizontal="center" vertical="center"/>
    </xf>
    <xf numFmtId="0" fontId="69" fillId="18" borderId="25" xfId="0" applyFont="1" applyFill="1" applyBorder="1" applyAlignment="1">
      <alignment horizontal="center" vertical="center"/>
    </xf>
    <xf numFmtId="0" fontId="60" fillId="2" borderId="21" xfId="0" applyFont="1" applyFill="1" applyBorder="1" applyAlignment="1">
      <alignment horizontal="center"/>
    </xf>
    <xf numFmtId="2" fontId="31" fillId="12" borderId="72" xfId="0" applyNumberFormat="1" applyFont="1" applyFill="1" applyBorder="1" applyAlignment="1">
      <alignment horizontal="center" vertical="center" wrapText="1"/>
    </xf>
    <xf numFmtId="2" fontId="31" fillId="12" borderId="54" xfId="0" applyNumberFormat="1" applyFont="1" applyFill="1" applyBorder="1" applyAlignment="1">
      <alignment horizontal="center" vertical="center" wrapText="1"/>
    </xf>
    <xf numFmtId="0" fontId="60" fillId="5" borderId="75" xfId="0" applyFont="1" applyFill="1" applyBorder="1" applyAlignment="1" quotePrefix="1">
      <alignment horizontal="center" vertical="center" wrapText="1"/>
    </xf>
    <xf numFmtId="0" fontId="60" fillId="5" borderId="22" xfId="0" applyFont="1" applyFill="1" applyBorder="1" applyAlignment="1" quotePrefix="1">
      <alignment horizontal="center" vertical="center" wrapText="1"/>
    </xf>
    <xf numFmtId="0" fontId="60" fillId="5" borderId="23" xfId="0" applyFont="1" applyFill="1" applyBorder="1" applyAlignment="1" quotePrefix="1">
      <alignment horizontal="center" vertical="center" wrapText="1"/>
    </xf>
    <xf numFmtId="0" fontId="60" fillId="5" borderId="29" xfId="0" applyFont="1" applyFill="1" applyBorder="1" applyAlignment="1">
      <alignment horizontal="center" vertical="center" wrapText="1"/>
    </xf>
    <xf numFmtId="0" fontId="60" fillId="5" borderId="1" xfId="0" applyFont="1" applyFill="1" applyBorder="1" applyAlignment="1">
      <alignment horizontal="center" vertical="center" wrapText="1"/>
    </xf>
    <xf numFmtId="0" fontId="60" fillId="5" borderId="24" xfId="0" applyFont="1" applyFill="1" applyBorder="1" applyAlignment="1">
      <alignment horizontal="center" vertical="center" wrapText="1"/>
    </xf>
    <xf numFmtId="0" fontId="60" fillId="5" borderId="50" xfId="0" applyFont="1" applyFill="1" applyBorder="1" applyAlignment="1">
      <alignment horizontal="center" vertical="center" wrapText="1"/>
    </xf>
    <xf numFmtId="0" fontId="60" fillId="5" borderId="62" xfId="0" applyFont="1" applyFill="1" applyBorder="1" applyAlignment="1">
      <alignment horizontal="center" vertical="center" wrapText="1"/>
    </xf>
    <xf numFmtId="0" fontId="60" fillId="5" borderId="41" xfId="0" applyFont="1" applyFill="1" applyBorder="1" applyAlignment="1">
      <alignment horizontal="center" vertical="center" wrapText="1"/>
    </xf>
    <xf numFmtId="0" fontId="60" fillId="5" borderId="57" xfId="0" applyFont="1" applyFill="1" applyBorder="1" applyAlignment="1">
      <alignment horizontal="center" vertical="center" wrapText="1"/>
    </xf>
    <xf numFmtId="0" fontId="60" fillId="2" borderId="0" xfId="0" applyFont="1" applyFill="1" applyAlignment="1">
      <alignment horizontal="center"/>
    </xf>
    <xf numFmtId="0" fontId="35" fillId="5" borderId="45" xfId="0" applyFont="1" applyFill="1" applyBorder="1" applyAlignment="1">
      <alignment horizontal="center" vertical="center"/>
    </xf>
    <xf numFmtId="0" fontId="35" fillId="5" borderId="81" xfId="0" applyFont="1" applyFill="1" applyBorder="1" applyAlignment="1">
      <alignment horizontal="center" vertical="center"/>
    </xf>
    <xf numFmtId="0" fontId="65" fillId="18" borderId="2" xfId="0" applyFont="1" applyFill="1" applyBorder="1" applyAlignment="1">
      <alignment horizontal="center" vertical="center"/>
    </xf>
    <xf numFmtId="0" fontId="65" fillId="18" borderId="0" xfId="0" applyFont="1" applyFill="1" applyAlignment="1">
      <alignment horizontal="center" vertical="center"/>
    </xf>
    <xf numFmtId="0" fontId="65" fillId="18" borderId="32" xfId="0" applyFont="1" applyFill="1" applyBorder="1" applyAlignment="1">
      <alignment horizontal="center" vertical="center"/>
    </xf>
    <xf numFmtId="0" fontId="65" fillId="18" borderId="67" xfId="0" applyFont="1" applyFill="1" applyBorder="1" applyAlignment="1">
      <alignment horizontal="center" vertical="center"/>
    </xf>
    <xf numFmtId="0" fontId="65" fillId="18" borderId="74" xfId="0" applyFont="1" applyFill="1" applyBorder="1" applyAlignment="1">
      <alignment horizontal="center" vertical="center"/>
    </xf>
    <xf numFmtId="0" fontId="65" fillId="18" borderId="55" xfId="0" applyFont="1" applyFill="1" applyBorder="1" applyAlignment="1">
      <alignment horizontal="center" vertical="center"/>
    </xf>
    <xf numFmtId="2" fontId="31" fillId="12" borderId="22" xfId="0" applyNumberFormat="1" applyFont="1" applyFill="1" applyBorder="1" applyAlignment="1">
      <alignment horizontal="center" vertical="center"/>
    </xf>
    <xf numFmtId="2" fontId="31" fillId="12" borderId="1" xfId="0" applyNumberFormat="1" applyFont="1" applyFill="1" applyBorder="1" applyAlignment="1">
      <alignment horizontal="center" vertical="center"/>
    </xf>
    <xf numFmtId="2" fontId="31" fillId="12" borderId="23" xfId="0" applyNumberFormat="1" applyFont="1" applyFill="1" applyBorder="1" applyAlignment="1">
      <alignment horizontal="center" vertical="center"/>
    </xf>
    <xf numFmtId="0" fontId="65" fillId="18" borderId="73" xfId="0" applyFont="1" applyFill="1" applyBorder="1" applyAlignment="1">
      <alignment horizontal="center" vertical="center"/>
    </xf>
    <xf numFmtId="0" fontId="65" fillId="18" borderId="42" xfId="0" applyFont="1" applyFill="1" applyBorder="1" applyAlignment="1">
      <alignment horizontal="center" vertical="center"/>
    </xf>
    <xf numFmtId="2" fontId="31" fillId="12" borderId="29" xfId="0" applyNumberFormat="1" applyFont="1" applyFill="1" applyBorder="1" applyAlignment="1">
      <alignment horizontal="center" vertical="center"/>
    </xf>
    <xf numFmtId="2" fontId="31" fillId="12" borderId="75" xfId="0" applyNumberFormat="1" applyFont="1" applyFill="1" applyBorder="1" applyAlignment="1">
      <alignment horizontal="center" vertical="center"/>
    </xf>
    <xf numFmtId="2" fontId="31" fillId="12" borderId="7" xfId="0" applyNumberFormat="1" applyFont="1" applyFill="1" applyBorder="1" applyAlignment="1">
      <alignment horizontal="center" vertical="center"/>
    </xf>
    <xf numFmtId="2" fontId="31" fillId="12" borderId="10" xfId="0" applyNumberFormat="1" applyFont="1" applyFill="1" applyBorder="1" applyAlignment="1">
      <alignment horizontal="center" vertical="center"/>
    </xf>
    <xf numFmtId="2" fontId="31" fillId="12" borderId="67" xfId="0" applyNumberFormat="1" applyFont="1" applyFill="1" applyBorder="1" applyAlignment="1">
      <alignment horizontal="center" vertical="center"/>
    </xf>
    <xf numFmtId="2" fontId="31" fillId="12" borderId="74" xfId="0" applyNumberFormat="1" applyFont="1" applyFill="1" applyBorder="1" applyAlignment="1">
      <alignment horizontal="center" vertical="center"/>
    </xf>
    <xf numFmtId="2" fontId="31" fillId="12" borderId="55" xfId="0" applyNumberFormat="1" applyFont="1" applyFill="1" applyBorder="1" applyAlignment="1">
      <alignment horizontal="center" vertical="center"/>
    </xf>
    <xf numFmtId="0" fontId="65" fillId="20" borderId="67" xfId="0" applyFont="1" applyFill="1" applyBorder="1" applyAlignment="1">
      <alignment horizontal="center" vertical="center"/>
    </xf>
    <xf numFmtId="0" fontId="65" fillId="20" borderId="74" xfId="0" applyFont="1" applyFill="1" applyBorder="1" applyAlignment="1">
      <alignment horizontal="center" vertical="center"/>
    </xf>
    <xf numFmtId="0" fontId="65" fillId="20" borderId="55" xfId="0" applyFont="1" applyFill="1" applyBorder="1" applyAlignment="1">
      <alignment horizontal="center" vertical="center"/>
    </xf>
    <xf numFmtId="0" fontId="50" fillId="5" borderId="44" xfId="0" applyFont="1" applyFill="1" applyBorder="1" applyAlignment="1">
      <alignment horizontal="center"/>
    </xf>
    <xf numFmtId="0" fontId="50" fillId="5" borderId="79" xfId="0" applyFont="1" applyFill="1" applyBorder="1" applyAlignment="1">
      <alignment horizontal="center"/>
    </xf>
    <xf numFmtId="0" fontId="50" fillId="5" borderId="28" xfId="0" applyFont="1" applyFill="1" applyBorder="1" applyAlignment="1">
      <alignment horizontal="center"/>
    </xf>
    <xf numFmtId="0" fontId="65" fillId="21" borderId="67" xfId="0" applyFont="1" applyFill="1" applyBorder="1" applyAlignment="1">
      <alignment horizontal="center" vertical="center"/>
    </xf>
    <xf numFmtId="0" fontId="65" fillId="21" borderId="74" xfId="0" applyFont="1" applyFill="1" applyBorder="1" applyAlignment="1">
      <alignment horizontal="center" vertical="center"/>
    </xf>
    <xf numFmtId="0" fontId="65" fillId="21" borderId="55" xfId="0" applyFont="1" applyFill="1" applyBorder="1" applyAlignment="1">
      <alignment horizontal="center" vertical="center"/>
    </xf>
    <xf numFmtId="0" fontId="50" fillId="5" borderId="5" xfId="0" applyFont="1" applyFill="1" applyBorder="1" applyAlignment="1">
      <alignment horizontal="center" vertical="center"/>
    </xf>
    <xf numFmtId="0" fontId="50" fillId="5" borderId="27" xfId="0" applyFont="1" applyFill="1" applyBorder="1" applyAlignment="1">
      <alignment horizontal="center" vertical="center"/>
    </xf>
    <xf numFmtId="0" fontId="50" fillId="5" borderId="4" xfId="0" applyFont="1" applyFill="1" applyBorder="1" applyAlignment="1">
      <alignment horizontal="center" vertical="center"/>
    </xf>
    <xf numFmtId="2" fontId="10" fillId="12" borderId="63" xfId="0" applyNumberFormat="1" applyFont="1" applyFill="1" applyBorder="1" applyAlignment="1">
      <alignment horizontal="center" vertical="center"/>
    </xf>
    <xf numFmtId="2" fontId="10" fillId="12" borderId="33" xfId="0" applyNumberFormat="1" applyFont="1" applyFill="1" applyBorder="1" applyAlignment="1">
      <alignment horizontal="center" vertical="center"/>
    </xf>
    <xf numFmtId="0" fontId="35" fillId="5" borderId="15" xfId="0" applyFont="1" applyFill="1" applyBorder="1" applyAlignment="1">
      <alignment horizontal="center" vertical="center" wrapText="1"/>
    </xf>
    <xf numFmtId="0" fontId="26" fillId="6" borderId="34" xfId="0" applyFont="1" applyFill="1" applyBorder="1" applyAlignment="1">
      <alignment horizontal="center"/>
    </xf>
    <xf numFmtId="0" fontId="35" fillId="6" borderId="19" xfId="0" applyFont="1" applyFill="1" applyBorder="1" applyAlignment="1">
      <alignment horizontal="center" vertical="center" wrapText="1"/>
    </xf>
    <xf numFmtId="0" fontId="35" fillId="6" borderId="29" xfId="0" applyFont="1" applyFill="1" applyBorder="1" applyAlignment="1">
      <alignment horizontal="center" vertical="center" wrapText="1"/>
    </xf>
    <xf numFmtId="0" fontId="35" fillId="6" borderId="50" xfId="0" applyFont="1" applyFill="1" applyBorder="1" applyAlignment="1">
      <alignment horizontal="center" vertical="center" wrapText="1"/>
    </xf>
    <xf numFmtId="0" fontId="35" fillId="5" borderId="34" xfId="0" applyFont="1" applyFill="1" applyBorder="1" applyAlignment="1">
      <alignment horizontal="center" vertical="center" wrapText="1"/>
    </xf>
    <xf numFmtId="0" fontId="38" fillId="6" borderId="1" xfId="0" applyFont="1" applyFill="1" applyBorder="1" applyAlignment="1">
      <alignment horizontal="center"/>
    </xf>
    <xf numFmtId="0" fontId="38" fillId="6" borderId="19" xfId="0" applyFont="1" applyFill="1" applyBorder="1" applyAlignment="1">
      <alignment horizontal="center" vertical="center"/>
    </xf>
    <xf numFmtId="0" fontId="38" fillId="6" borderId="50" xfId="0" applyFont="1" applyFill="1" applyBorder="1" applyAlignment="1">
      <alignment horizontal="center" vertical="center"/>
    </xf>
    <xf numFmtId="0" fontId="38" fillId="6" borderId="29" xfId="0" applyFont="1" applyFill="1" applyBorder="1" applyAlignment="1">
      <alignment horizontal="center" vertical="center"/>
    </xf>
    <xf numFmtId="0" fontId="38" fillId="6" borderId="19" xfId="0" applyFont="1" applyFill="1" applyBorder="1" applyAlignment="1">
      <alignment horizontal="center"/>
    </xf>
    <xf numFmtId="0" fontId="38" fillId="6" borderId="50" xfId="0" applyFont="1" applyFill="1" applyBorder="1" applyAlignment="1">
      <alignment horizontal="center"/>
    </xf>
    <xf numFmtId="0" fontId="38" fillId="6" borderId="29" xfId="0" applyFont="1" applyFill="1" applyBorder="1" applyAlignment="1">
      <alignment horizontal="center"/>
    </xf>
    <xf numFmtId="0" fontId="38" fillId="6" borderId="16" xfId="0" applyFont="1" applyFill="1" applyBorder="1" applyAlignment="1">
      <alignment horizontal="center"/>
    </xf>
    <xf numFmtId="0" fontId="33" fillId="6" borderId="44" xfId="0" applyFont="1" applyFill="1" applyBorder="1" applyAlignment="1">
      <alignment horizontal="center" vertical="center"/>
    </xf>
    <xf numFmtId="0" fontId="33" fillId="6" borderId="79" xfId="0" applyFont="1" applyFill="1" applyBorder="1" applyAlignment="1">
      <alignment horizontal="center" vertical="center"/>
    </xf>
    <xf numFmtId="0" fontId="33" fillId="6" borderId="28" xfId="0" applyFont="1" applyFill="1" applyBorder="1" applyAlignment="1">
      <alignment horizontal="center" vertical="center"/>
    </xf>
    <xf numFmtId="0" fontId="35" fillId="6" borderId="65" xfId="0" applyFont="1" applyFill="1" applyBorder="1" applyAlignment="1">
      <alignment horizontal="center"/>
    </xf>
    <xf numFmtId="0" fontId="35" fillId="6" borderId="51" xfId="0" applyFont="1" applyFill="1" applyBorder="1" applyAlignment="1">
      <alignment horizontal="center"/>
    </xf>
    <xf numFmtId="0" fontId="35" fillId="6" borderId="61" xfId="0" applyFont="1" applyFill="1" applyBorder="1" applyAlignment="1">
      <alignment horizontal="center"/>
    </xf>
    <xf numFmtId="0" fontId="35" fillId="6" borderId="19" xfId="0" applyFont="1" applyFill="1" applyBorder="1" applyAlignment="1">
      <alignment horizontal="center"/>
    </xf>
    <xf numFmtId="0" fontId="35" fillId="6" borderId="50" xfId="0" applyFont="1" applyFill="1" applyBorder="1" applyAlignment="1">
      <alignment horizontal="center"/>
    </xf>
    <xf numFmtId="0" fontId="35" fillId="6" borderId="29" xfId="0" applyFont="1" applyFill="1" applyBorder="1" applyAlignment="1">
      <alignment horizontal="center"/>
    </xf>
    <xf numFmtId="0" fontId="34" fillId="6" borderId="16" xfId="0" applyFont="1" applyFill="1" applyBorder="1" applyAlignment="1">
      <alignment horizontal="center" wrapText="1"/>
    </xf>
    <xf numFmtId="0" fontId="33" fillId="6" borderId="50" xfId="0" applyFont="1" applyFill="1" applyBorder="1" applyAlignment="1">
      <alignment horizontal="center"/>
    </xf>
    <xf numFmtId="0" fontId="33" fillId="6" borderId="29" xfId="0" applyFont="1" applyFill="1" applyBorder="1" applyAlignment="1">
      <alignment horizontal="center"/>
    </xf>
    <xf numFmtId="0" fontId="31" fillId="3" borderId="30" xfId="0" applyFont="1" applyFill="1" applyBorder="1" applyAlignment="1">
      <alignment horizontal="center"/>
    </xf>
    <xf numFmtId="0" fontId="14" fillId="6" borderId="44" xfId="0" applyFont="1" applyFill="1" applyBorder="1" applyAlignment="1">
      <alignment horizontal="center" wrapText="1"/>
    </xf>
    <xf numFmtId="0" fontId="14" fillId="6" borderId="79" xfId="0" applyFont="1" applyFill="1" applyBorder="1" applyAlignment="1">
      <alignment horizontal="center" wrapText="1"/>
    </xf>
    <xf numFmtId="0" fontId="14" fillId="6" borderId="28" xfId="0" applyFont="1" applyFill="1" applyBorder="1" applyAlignment="1">
      <alignment horizontal="center" wrapText="1"/>
    </xf>
    <xf numFmtId="0" fontId="14" fillId="6" borderId="44" xfId="0" applyFont="1" applyFill="1" applyBorder="1" applyAlignment="1">
      <alignment horizontal="center"/>
    </xf>
    <xf numFmtId="0" fontId="14" fillId="6" borderId="28" xfId="0" applyFont="1" applyFill="1" applyBorder="1" applyAlignment="1">
      <alignment horizontal="center"/>
    </xf>
    <xf numFmtId="0" fontId="17" fillId="6" borderId="58" xfId="0" applyFont="1" applyFill="1" applyBorder="1" applyAlignment="1">
      <alignment horizontal="center"/>
    </xf>
    <xf numFmtId="0" fontId="17" fillId="6" borderId="10" xfId="0" applyFont="1" applyFill="1" applyBorder="1" applyAlignment="1">
      <alignment horizontal="center"/>
    </xf>
    <xf numFmtId="0" fontId="14" fillId="6" borderId="1" xfId="0" applyFont="1" applyFill="1" applyBorder="1" applyAlignment="1">
      <alignment horizontal="center" vertical="center" wrapText="1"/>
    </xf>
    <xf numFmtId="0" fontId="35" fillId="6" borderId="18" xfId="0" applyFont="1" applyFill="1" applyBorder="1" applyAlignment="1">
      <alignment horizontal="center" wrapText="1"/>
    </xf>
    <xf numFmtId="0" fontId="35" fillId="6" borderId="23" xfId="0" applyFont="1" applyFill="1" applyBorder="1" applyAlignment="1">
      <alignment horizontal="center" wrapText="1"/>
    </xf>
    <xf numFmtId="0" fontId="14" fillId="6" borderId="66" xfId="0" applyFont="1" applyFill="1" applyBorder="1" applyAlignment="1">
      <alignment horizontal="center"/>
    </xf>
    <xf numFmtId="0" fontId="14" fillId="6" borderId="72" xfId="0" applyFont="1" applyFill="1" applyBorder="1" applyAlignment="1">
      <alignment horizontal="center"/>
    </xf>
    <xf numFmtId="0" fontId="35" fillId="6" borderId="79" xfId="0" applyFont="1" applyFill="1" applyBorder="1" applyAlignment="1">
      <alignment horizontal="center" wrapText="1"/>
    </xf>
    <xf numFmtId="0" fontId="35" fillId="6" borderId="28" xfId="0" applyFont="1" applyFill="1" applyBorder="1" applyAlignment="1">
      <alignment horizontal="center" wrapText="1"/>
    </xf>
    <xf numFmtId="0" fontId="35" fillId="5" borderId="0" xfId="0" applyFont="1" applyFill="1" applyAlignment="1">
      <alignment horizontal="center" vertical="center" wrapText="1"/>
    </xf>
    <xf numFmtId="0" fontId="14" fillId="6" borderId="66" xfId="0" applyFont="1" applyFill="1" applyBorder="1" applyAlignment="1">
      <alignment horizontal="center" vertical="center"/>
    </xf>
    <xf numFmtId="0" fontId="14" fillId="6" borderId="72" xfId="0" applyFont="1" applyFill="1" applyBorder="1" applyAlignment="1">
      <alignment horizontal="center" vertical="center"/>
    </xf>
    <xf numFmtId="0" fontId="14" fillId="6" borderId="2" xfId="0" applyFont="1" applyFill="1" applyBorder="1" applyAlignment="1">
      <alignment horizontal="center" vertical="center"/>
    </xf>
    <xf numFmtId="0" fontId="32" fillId="6" borderId="1" xfId="0" applyFont="1" applyFill="1" applyBorder="1" applyAlignment="1">
      <alignment horizontal="center"/>
    </xf>
    <xf numFmtId="0" fontId="32" fillId="3" borderId="64" xfId="0" applyFont="1" applyFill="1" applyBorder="1" applyAlignment="1">
      <alignment horizontal="center"/>
    </xf>
    <xf numFmtId="0" fontId="32" fillId="3" borderId="20" xfId="0" applyFont="1" applyFill="1" applyBorder="1" applyAlignment="1">
      <alignment horizontal="center"/>
    </xf>
    <xf numFmtId="0" fontId="26" fillId="3" borderId="19" xfId="0" applyFont="1" applyFill="1" applyBorder="1" applyAlignment="1">
      <alignment horizontal="center"/>
    </xf>
    <xf numFmtId="0" fontId="26" fillId="3" borderId="50" xfId="0" applyFont="1" applyFill="1" applyBorder="1" applyAlignment="1">
      <alignment horizontal="center"/>
    </xf>
    <xf numFmtId="0" fontId="26" fillId="3" borderId="29" xfId="0" applyFont="1" applyFill="1" applyBorder="1" applyAlignment="1">
      <alignment horizontal="center"/>
    </xf>
    <xf numFmtId="0" fontId="22" fillId="5" borderId="44" xfId="0" applyFont="1" applyFill="1" applyBorder="1" applyAlignment="1">
      <alignment horizontal="center" vertical="center" wrapText="1"/>
    </xf>
    <xf numFmtId="0" fontId="22" fillId="5" borderId="79"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0" fillId="3" borderId="0" xfId="0" applyFill="1" applyAlignment="1">
      <alignment horizontal="right" vertical="top"/>
    </xf>
    <xf numFmtId="0" fontId="7" fillId="3" borderId="0" xfId="40" applyFill="1" applyAlignment="1" applyProtection="1">
      <alignment horizontal="left" vertical="top"/>
      <protection locked="0"/>
    </xf>
    <xf numFmtId="0" fontId="2" fillId="3" borderId="0" xfId="0" applyFont="1" applyFill="1" applyAlignment="1">
      <alignment horizontal="center"/>
    </xf>
  </cellXfs>
  <cellStyles count="37">
    <cellStyle name="Normal" xfId="0" builtinId="0"/>
    <cellStyle name="Percent" xfId="15" builtinId="5"/>
    <cellStyle name="Currency" xfId="16" builtinId="4"/>
    <cellStyle name="Currency [0]" xfId="17" builtinId="7"/>
    <cellStyle name="Comma" xfId="18" builtinId="3"/>
    <cellStyle name="Comma [0]" xfId="19" builtinId="6"/>
    <cellStyle name="Normal 7" xfId="20"/>
    <cellStyle name="Comma 5" xfId="21"/>
    <cellStyle name="Comma 2" xfId="22"/>
    <cellStyle name="Comma 2 2" xfId="23"/>
    <cellStyle name="Comma 2 3" xfId="24"/>
    <cellStyle name="Comma 3" xfId="25"/>
    <cellStyle name="Comma 3 2" xfId="26"/>
    <cellStyle name="Comma 4" xfId="27"/>
    <cellStyle name="Normal 2" xfId="28"/>
    <cellStyle name="Normal 2 2" xfId="29"/>
    <cellStyle name="Normal 3" xfId="30"/>
    <cellStyle name="Normal 4" xfId="31"/>
    <cellStyle name="Normal 5" xfId="32"/>
    <cellStyle name="Normal 5 2" xfId="33"/>
    <cellStyle name="Normal 6" xfId="34"/>
    <cellStyle name="Comma 5 2" xfId="35"/>
    <cellStyle name="Comma 2 2 2" xfId="36"/>
    <cellStyle name="Comma 3 3" xfId="37"/>
    <cellStyle name="Comma 3 2 2" xfId="38"/>
    <cellStyle name="Comma 4 2" xfId="39"/>
    <cellStyle name="Hyperlink" xfId="40" builtinId="8"/>
    <cellStyle name="Comma 5 3" xfId="41"/>
    <cellStyle name="Comma 2 2 3" xfId="42"/>
    <cellStyle name="Comma 3 4" xfId="43"/>
    <cellStyle name="Comma 3 2 3" xfId="44"/>
    <cellStyle name="Comma 4 3" xfId="45"/>
    <cellStyle name="Comma 5 2 2" xfId="46"/>
    <cellStyle name="Comma 2 2 2 2" xfId="47"/>
    <cellStyle name="Comma 3 3 2" xfId="48"/>
    <cellStyle name="Comma 3 2 2 2" xfId="49"/>
    <cellStyle name="Comma 4 2 2" xfId="50"/>
  </cellStyles>
  <dxfs count="129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FF99"/>
        </patternFill>
      </fill>
    </dxf>
    <dxf>
      <fill>
        <patternFill>
          <bgColor rgb="FFFFC000"/>
        </patternFill>
      </fill>
    </dxf>
    <dxf>
      <font>
        <b/>
        <i val="0"/>
        <color theme="0"/>
      </font>
      <fill>
        <patternFill>
          <bgColor rgb="FFC00000"/>
        </patternFill>
      </fill>
    </dxf>
    <dxf>
      <font>
        <color theme="0"/>
      </font>
      <fill>
        <patternFill>
          <bgColor rgb="FFC00000"/>
        </patternFill>
      </fill>
    </dxf>
    <dxf>
      <font>
        <color theme="4" tint="-0.499969989061356"/>
      </font>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FFC000"/>
        </patternFill>
      </fill>
    </dxf>
    <dxf>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theme="6" tint="-0.249939993023872"/>
        </patternFill>
      </fill>
    </dxf>
    <dxf>
      <fill>
        <patternFill>
          <bgColor rgb="FFFFC000"/>
        </patternFill>
      </fill>
    </dxf>
    <dxf>
      <fill>
        <patternFill>
          <bgColor rgb="FFBEE296"/>
        </patternFill>
      </fill>
    </dxf>
    <dxf>
      <font>
        <color theme="0"/>
      </font>
      <fill>
        <patternFill>
          <bgColor rgb="FFC00000"/>
        </patternFill>
      </fill>
    </dxf>
    <dxf>
      <fill>
        <patternFill>
          <bgColor rgb="FF00B0F0"/>
        </patternFill>
      </fill>
    </dxf>
    <dxf>
      <fill>
        <patternFill>
          <bgColor rgb="FFE0DCD3"/>
        </patternFill>
      </fill>
    </dxf>
    <dxf>
      <font>
        <color theme="0"/>
      </font>
      <fill>
        <patternFill>
          <bgColor rgb="FFC00000"/>
        </patternFill>
      </fill>
    </dxf>
    <dxf>
      <fill>
        <patternFill>
          <bgColor rgb="FFFFC000"/>
        </patternFill>
      </fill>
    </dxf>
    <dxf>
      <fill>
        <patternFill>
          <bgColor theme="4" tint="0.799979984760284"/>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rgb="FFFFFFFF"/>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E0DCD3"/>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ill>
        <patternFill>
          <bgColor rgb="FFBEE296"/>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ont>
        <color auto="1"/>
      </font>
      <fill>
        <patternFill>
          <bgColor rgb="FF92D05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39993023872"/>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FFC000"/>
        </patternFill>
      </fill>
    </dxf>
    <dxf>
      <font>
        <color theme="0"/>
      </font>
      <fill>
        <patternFill>
          <bgColor rgb="FFC00000"/>
        </patternFill>
      </fill>
    </dxf>
    <dxf>
      <fill>
        <patternFill>
          <bgColor rgb="FFFFC000"/>
        </patternFill>
      </fill>
    </dxf>
    <dxf>
      <fill>
        <patternFill>
          <bgColor theme="6" tint="-0.249939993023872"/>
        </patternFill>
      </fill>
    </dxf>
    <dxf>
      <fill>
        <patternFill>
          <bgColor theme="6"/>
        </patternFill>
      </fill>
    </dxf>
    <dxf>
      <fill>
        <patternFill>
          <bgColor rgb="FFFFC000"/>
        </patternFill>
      </fill>
    </dxf>
    <dxf>
      <fill>
        <patternFill>
          <bgColor rgb="FFBEE296"/>
        </patternFill>
      </fill>
    </dxf>
    <dxf>
      <fill>
        <patternFill>
          <bgColor rgb="FFFFC00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ill>
        <patternFill>
          <bgColor rgb="FFD5D3DC"/>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rgb="FF00B0F0"/>
        </patternFill>
      </fill>
    </dxf>
    <dxf>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E0DCD3"/>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ill>
        <patternFill>
          <bgColor rgb="FFFFC000"/>
        </patternFill>
      </fill>
    </dxf>
    <dxf>
      <fill>
        <patternFill>
          <bgColor rgb="FFBEE296"/>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theme="6"/>
        </patternFill>
      </fill>
    </dxf>
    <dxf>
      <font>
        <color auto="1"/>
      </font>
      <fill>
        <patternFill>
          <bgColor theme="6" tint="-0.249939993023872"/>
        </patternFill>
      </fill>
    </dxf>
    <dxf>
      <fill>
        <patternFill>
          <bgColor theme="6"/>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ont>
        <color theme="0"/>
      </font>
      <fill>
        <patternFill>
          <bgColor rgb="FFC00000"/>
        </patternFill>
      </fill>
    </dxf>
    <dxf>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E0DCD3"/>
        </patternFill>
      </fill>
    </dxf>
    <dxf>
      <font>
        <color rgb="FFFFFFFF"/>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ill>
        <patternFill>
          <bgColor theme="8" tint="-0.249939993023872"/>
        </patternFill>
      </fill>
    </dxf>
    <dxf>
      <fill>
        <patternFill>
          <bgColor theme="8" tint="0.599960029125214"/>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rgb="FFFFC000"/>
        </patternFill>
      </fill>
    </dxf>
    <dxf>
      <fill>
        <patternFill>
          <bgColor rgb="FFE0DCD3"/>
        </patternFill>
      </fill>
    </dxf>
    <dxf>
      <font>
        <color rgb="FF383745"/>
      </font>
      <fill>
        <patternFill>
          <bgColor rgb="FFFFC000"/>
        </patternFill>
      </fill>
    </dxf>
    <dxf>
      <font>
        <color rgb="FF383745"/>
      </font>
      <fill>
        <patternFill>
          <bgColor rgb="FFFFC000"/>
        </patternFill>
      </fill>
    </dxf>
    <dxf>
      <font>
        <color rgb="FFFFFFFF"/>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ont>
        <color rgb="FF383745"/>
      </font>
      <fill>
        <patternFill>
          <bgColor rgb="FFE0DCD3"/>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theme="0"/>
      </font>
      <fill>
        <patternFill>
          <bgColor rgb="FFC0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00000"/>
        </patternFill>
      </fill>
    </dxf>
    <dxf>
      <font>
        <color theme="0"/>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0000"/>
        </patternFill>
      </fill>
    </dxf>
    <dxf>
      <fill>
        <patternFill>
          <bgColor rgb="FFFF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0029125214"/>
        </patternFill>
      </fill>
    </dxf>
    <dxf>
      <fill>
        <patternFill>
          <bgColor theme="6"/>
        </patternFill>
      </fill>
    </dxf>
    <dxf>
      <fill>
        <patternFill>
          <bgColor theme="8" tint="-0.249939993023872"/>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FFC000"/>
        </patternFill>
      </fill>
    </dxf>
    <dxf>
      <font>
        <color auto="1"/>
      </font>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39993023872"/>
        </patternFill>
      </fill>
    </dxf>
    <dxf>
      <fill>
        <patternFill>
          <bgColor theme="8" tint="0.599960029125214"/>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auto="1"/>
      </font>
      <fill>
        <patternFill>
          <bgColor rgb="FFFFC000"/>
        </patternFill>
      </fill>
    </dxf>
    <dxf>
      <font>
        <color auto="1"/>
      </font>
      <fill>
        <patternFill>
          <bgColor rgb="FFFFC000"/>
        </patternFill>
      </fill>
    </dxf>
    <dxf>
      <font>
        <color theme="0"/>
      </font>
      <fill>
        <patternFill>
          <bgColor rgb="FFC00000"/>
        </patternFill>
      </fill>
    </dxf>
    <dxf>
      <fill>
        <patternFill>
          <bgColor rgb="FFFFC000"/>
        </patternFill>
      </fill>
    </dxf>
    <dxf>
      <fill>
        <patternFill>
          <bgColor rgb="FFFFC000"/>
        </patternFill>
      </fill>
    </dxf>
    <dxf>
      <fill>
        <patternFill>
          <bgColor rgb="FFE0DCD3"/>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theme="8" tint="0.599960029125214"/>
        </patternFill>
      </fill>
    </dxf>
    <dxf>
      <fill>
        <patternFill>
          <bgColor theme="6"/>
        </patternFill>
      </fill>
    </dxf>
    <dxf>
      <fill>
        <patternFill>
          <bgColor theme="8" tint="-0.249939993023872"/>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b val="0"/>
        <i val="0"/>
        <color theme="0"/>
      </font>
      <fill>
        <patternFill>
          <bgColor rgb="FFC00000"/>
        </patternFill>
      </fill>
    </dxf>
    <dxf>
      <fill>
        <patternFill>
          <bgColor rgb="FFFFC000"/>
        </patternFill>
      </fill>
    </dxf>
    <dxf>
      <fill>
        <patternFill>
          <bgColor rgb="FFE0DCD3"/>
        </patternFill>
      </fill>
    </dxf>
    <dxf>
      <font>
        <color rgb="FFFFFFFF"/>
      </font>
      <fill>
        <patternFill>
          <bgColor rgb="FFCB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B0000"/>
        </patternFill>
      </fill>
    </dxf>
    <dxf>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FFC000"/>
        </patternFill>
      </fill>
    </dxf>
    <dxf>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00B0F0"/>
        </patternFill>
      </fill>
    </dxf>
    <dxf>
      <fill>
        <patternFill>
          <bgColor rgb="FF00B0F0"/>
        </patternFill>
      </fill>
    </dxf>
    <dxf>
      <fill>
        <patternFill>
          <bgColor rgb="FFE0DCD3"/>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theme="6"/>
        </patternFill>
      </fill>
    </dxf>
    <dxf>
      <font>
        <color rgb="FF383745"/>
      </font>
      <fill>
        <patternFill>
          <bgColor theme="8" tint="-0.249939993023872"/>
        </patternFill>
      </fill>
    </dxf>
    <dxf>
      <font>
        <color rgb="FF383745"/>
      </font>
      <fill>
        <patternFill>
          <bgColor theme="8" tint="0.599960029125214"/>
        </patternFill>
      </fill>
    </dxf>
    <dxf>
      <font>
        <color auto="1"/>
      </font>
      <fill>
        <patternFill>
          <bgColor theme="6" tint="-0.249939993023872"/>
        </patternFill>
      </fill>
    </dxf>
    <dxf>
      <font>
        <color rgb="FFFFFFFF"/>
      </font>
      <fill>
        <patternFill>
          <bgColor rgb="FFCB0000"/>
        </patternFill>
      </fill>
    </dxf>
    <dxf>
      <font>
        <color theme="0"/>
      </font>
      <fill>
        <patternFill>
          <bgColor rgb="FFCB0000"/>
        </patternFill>
      </fill>
    </dxf>
    <dxf>
      <fill>
        <patternFill>
          <bgColor theme="5" tint="0.799979984760284"/>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79984760284"/>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rgb="FFE0DCD3"/>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rgb="FFE0DCD3"/>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FF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auto="1"/>
      </font>
      <fill>
        <patternFill>
          <bgColor theme="6" tint="-0.249939993023872"/>
        </patternFill>
      </fill>
    </dxf>
    <dxf>
      <font>
        <color rgb="FF383745"/>
      </font>
      <fill>
        <patternFill>
          <bgColor theme="6"/>
        </patternFill>
      </fill>
    </dxf>
    <dxf>
      <font>
        <color rgb="FF383745"/>
      </font>
      <fill>
        <patternFill>
          <bgColor theme="8" tint="-0.249939993023872"/>
        </patternFill>
      </fill>
    </dxf>
    <dxf>
      <font>
        <color rgb="FF383745"/>
      </font>
      <fill>
        <patternFill>
          <bgColor theme="8" tint="0.599960029125214"/>
        </patternFill>
      </fill>
    </dxf>
    <dxf>
      <font>
        <color auto="1"/>
      </font>
      <fill>
        <patternFill>
          <bgColor rgb="FFE0DCD3"/>
        </patternFill>
      </fill>
    </dxf>
    <dxf>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theme="0"/>
      </font>
      <fill>
        <patternFill>
          <bgColor rgb="FFCB0000"/>
        </patternFill>
      </fill>
    </dxf>
    <dxf>
      <font>
        <b/>
        <i val="0"/>
        <color theme="0"/>
      </font>
      <fill>
        <patternFill>
          <bgColor rgb="FFC0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ont>
        <color theme="0"/>
      </font>
      <fill>
        <patternFill>
          <bgColor rgb="FFC0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92D05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ill>
        <patternFill>
          <bgColor rgb="FFFFC000"/>
        </patternFill>
      </fill>
    </dxf>
    <dxf>
      <font>
        <b/>
        <i val="0"/>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ont>
        <color auto="1"/>
      </font>
      <fill>
        <patternFill>
          <bgColor rgb="FFE0DCD3"/>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rgb="FF00B0F0"/>
        </patternFill>
      </fill>
    </dxf>
    <dxf>
      <fill>
        <patternFill>
          <bgColor rgb="FFE0DCD3"/>
        </patternFill>
      </fill>
    </dxf>
    <dxf>
      <fill>
        <patternFill>
          <bgColor rgb="FFFFC000"/>
        </patternFill>
      </fill>
    </dxf>
    <dxf>
      <fill>
        <patternFill>
          <bgColor rgb="FFFF0000"/>
        </patternFill>
      </fill>
    </dxf>
    <dxf>
      <font>
        <color rgb="FF383745"/>
      </font>
      <fill>
        <patternFill>
          <bgColor rgb="FFE0DCD3"/>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theme="6"/>
        </patternFill>
      </fill>
    </dxf>
    <dxf>
      <font>
        <color rgb="FF383745"/>
      </font>
      <fill>
        <patternFill>
          <bgColor theme="8" tint="-0.249939993023872"/>
        </patternFill>
      </fill>
    </dxf>
    <dxf>
      <font>
        <color rgb="FF383745"/>
      </font>
      <fill>
        <patternFill>
          <bgColor theme="8" tint="0.599960029125214"/>
        </patternFill>
      </fill>
    </dxf>
    <dxf>
      <font>
        <color auto="1"/>
      </font>
      <fill>
        <patternFill>
          <bgColor theme="6" tint="-0.249939993023872"/>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000000"/>
      </font>
      <fill>
        <patternFill>
          <bgColor theme="6" tint="-0.249939993023872"/>
        </patternFill>
      </fill>
    </dxf>
    <dxf>
      <font>
        <color rgb="FF383745"/>
      </font>
      <fill>
        <patternFill>
          <bgColor theme="6"/>
        </patternFill>
      </fill>
    </dxf>
    <dxf>
      <font>
        <color rgb="FF383745"/>
      </font>
      <fill>
        <patternFill>
          <bgColor theme="8" tint="-0.249939993023872"/>
        </patternFill>
      </fill>
    </dxf>
    <dxf>
      <font>
        <color rgb="FF383745"/>
      </font>
      <fill>
        <patternFill>
          <bgColor theme="8" tint="0.599960029125214"/>
        </patternFill>
      </fill>
    </dxf>
    <dxf>
      <font>
        <color auto="1"/>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E0DCD3"/>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FF"/>
      </font>
      <fill>
        <patternFill>
          <bgColor rgb="FFCB0000"/>
        </patternFill>
      </fill>
    </dxf>
    <dxf>
      <fill>
        <patternFill>
          <bgColor rgb="FFFFC000"/>
        </patternFill>
      </fill>
    </dxf>
    <dxf>
      <font>
        <color rgb="FFFFFFFF"/>
      </font>
      <fill>
        <patternFill>
          <bgColor rgb="FFCB0000"/>
        </patternFill>
      </fill>
    </dxf>
    <dxf>
      <fill>
        <patternFill>
          <bgColor rgb="FFFFC000"/>
        </patternFill>
      </fill>
    </dxf>
    <dxf>
      <font>
        <color auto="1"/>
      </font>
      <fill>
        <patternFill>
          <bgColor rgb="FFE0DCD3"/>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ill>
        <patternFill>
          <bgColor rgb="FFFFC000"/>
        </patternFill>
      </fill>
    </dxf>
    <dxf>
      <fill>
        <patternFill>
          <bgColor rgb="FFFF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ill>
        <patternFill>
          <bgColor rgb="FFFFC000"/>
        </patternFill>
      </fill>
    </dxf>
    <dxf>
      <font>
        <b/>
        <i val="0"/>
        <color rgb="FFFFFFFF"/>
      </font>
      <fill>
        <patternFill>
          <bgColor rgb="FFCB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FF0000"/>
        </patternFill>
      </fill>
    </dxf>
    <dxf>
      <fill>
        <patternFill>
          <bgColor theme="5" tint="0.599960029125214"/>
        </patternFill>
      </fill>
    </dxf>
    <dxf>
      <fill>
        <patternFill>
          <bgColor theme="5" tint="0.599960029125214"/>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theme="7" tint="-0.499969989061356"/>
        </patternFill>
      </fill>
    </dxf>
    <dxf>
      <fill>
        <patternFill>
          <bgColor theme="7" tint="-0.499969989061356"/>
        </patternFill>
      </fill>
    </dxf>
    <dxf>
      <fill>
        <patternFill>
          <bgColor theme="7" tint="-0.499969989061356"/>
        </patternFill>
      </fill>
    </dxf>
    <dxf>
      <fill>
        <patternFill>
          <bgColor rgb="FF663300"/>
        </patternFill>
      </fill>
    </dxf>
    <dxf>
      <fill>
        <patternFill>
          <bgColor rgb="FF0033CC"/>
        </patternFill>
      </fill>
    </dxf>
    <dxf>
      <fill>
        <patternFill>
          <bgColor rgb="FF006600"/>
        </patternFill>
      </fill>
    </dxf>
    <dxf>
      <font>
        <color theme="0"/>
      </font>
      <fill>
        <patternFill>
          <bgColor rgb="FFC00000"/>
        </patternFill>
      </fill>
    </dxf>
    <dxf>
      <fill>
        <patternFill>
          <bgColor rgb="FF92D050"/>
        </patternFill>
      </fill>
    </dxf>
    <dxf>
      <fill>
        <patternFill>
          <bgColor theme="7" tint="-0.499969989061356"/>
        </patternFill>
      </fill>
    </dxf>
    <dxf>
      <fill>
        <patternFill>
          <bgColor theme="7" tint="-0.499969989061356"/>
        </patternFill>
      </fill>
    </dxf>
    <dxf>
      <fill>
        <patternFill>
          <bgColor theme="7" tint="-0.499969989061356"/>
        </patternFill>
      </fill>
    </dxf>
    <dxf>
      <fill>
        <patternFill>
          <bgColor rgb="FF663300"/>
        </patternFill>
      </fill>
    </dxf>
    <dxf>
      <fill>
        <patternFill>
          <bgColor rgb="FF0033CC"/>
        </patternFill>
      </fill>
    </dxf>
    <dxf>
      <fill>
        <patternFill>
          <bgColor rgb="FF0066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7" tint="-0.499969989061356"/>
        </patternFill>
      </fill>
    </dxf>
    <dxf>
      <fill>
        <patternFill>
          <bgColor theme="7" tint="-0.499969989061356"/>
        </patternFill>
      </fill>
    </dxf>
    <dxf>
      <fill>
        <patternFill>
          <bgColor theme="7" tint="-0.499969989061356"/>
        </patternFill>
      </fill>
    </dxf>
    <dxf>
      <fill>
        <patternFill>
          <bgColor rgb="FF663300"/>
        </patternFill>
      </fill>
    </dxf>
    <dxf>
      <fill>
        <patternFill>
          <bgColor rgb="FF0033CC"/>
        </patternFill>
      </fill>
    </dxf>
    <dxf>
      <fill>
        <patternFill>
          <bgColor rgb="FF006600"/>
        </patternFill>
      </fill>
    </dxf>
    <dxf>
      <fill>
        <patternFill>
          <bgColor rgb="FFFFC000"/>
        </patternFill>
      </fill>
    </dxf>
    <dxf>
      <fill>
        <patternFill>
          <bgColor theme="7" tint="-0.499969989061356"/>
        </patternFill>
      </fill>
    </dxf>
    <dxf>
      <fill>
        <patternFill>
          <bgColor theme="7" tint="-0.499969989061356"/>
        </patternFill>
      </fill>
    </dxf>
    <dxf>
      <fill>
        <patternFill>
          <bgColor theme="7" tint="-0.499969989061356"/>
        </patternFill>
      </fill>
    </dxf>
    <dxf>
      <fill>
        <patternFill>
          <bgColor rgb="FF663300"/>
        </patternFill>
      </fill>
    </dxf>
    <dxf>
      <fill>
        <patternFill>
          <bgColor rgb="FF0033CC"/>
        </patternFill>
      </fill>
    </dxf>
    <dxf>
      <fill>
        <patternFill>
          <bgColor rgb="FF0066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2" tint="-0.89995002746582"/>
      </font>
      <fill>
        <patternFill>
          <bgColor rgb="FF92D050"/>
        </patternFill>
      </fill>
    </dxf>
    <dxf>
      <fill>
        <patternFill>
          <bgColor rgb="FF92D050"/>
        </patternFill>
      </fill>
    </dxf>
    <dxf>
      <font>
        <color theme="0"/>
      </font>
      <fill>
        <patternFill>
          <bgColor rgb="FFC00000"/>
        </patternFill>
      </fill>
    </dxf>
    <dxf>
      <font>
        <color theme="0"/>
      </font>
      <fill>
        <patternFill>
          <bgColor rgb="FFC00000"/>
        </patternFill>
      </fill>
    </dxf>
    <dxf>
      <font>
        <color theme="2" tint="-0.89995002746582"/>
      </font>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theme="6" tint="-0.249939993023872"/>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ont>
        <color auto="1"/>
      </font>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ont>
        <color theme="2" tint="-0.89995002746582"/>
      </font>
      <fill>
        <patternFill>
          <bgColor rgb="FF92D050"/>
        </patternFill>
      </fill>
    </dxf>
    <dxf>
      <font>
        <color theme="0"/>
      </font>
      <fill>
        <patternFill>
          <bgColor rgb="FFC00000"/>
        </patternFill>
      </fill>
    </dxf>
    <dxf>
      <fill>
        <patternFill>
          <bgColor rgb="FF92D050"/>
        </patternFill>
      </fill>
    </dxf>
    <dxf>
      <font>
        <color theme="2" tint="-0.89995002746582"/>
      </font>
      <fill>
        <patternFill>
          <bgColor rgb="FFFFC000"/>
        </patternFill>
      </fill>
    </dxf>
    <dxf>
      <font>
        <color theme="2" tint="-0.89995002746582"/>
      </font>
      <fill>
        <patternFill>
          <bgColor rgb="FF92D050"/>
        </patternFill>
      </fill>
    </dxf>
    <dxf>
      <font>
        <color theme="0"/>
      </font>
      <fill>
        <patternFill>
          <bgColor rgb="FFC00000"/>
        </patternFill>
      </fill>
    </dxf>
    <dxf>
      <font>
        <color theme="2" tint="-0.89995002746582"/>
      </font>
      <fill>
        <patternFill>
          <bgColor rgb="FFFFC00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ont>
        <b val="0"/>
        <i val="0"/>
        <color theme="0"/>
      </font>
      <fill>
        <patternFill>
          <bgColor rgb="FFC00000"/>
        </patternFill>
      </fill>
    </dxf>
    <dxf>
      <font>
        <b val="0"/>
        <i val="0"/>
        <color auto="1"/>
      </font>
      <fill>
        <patternFill>
          <bgColor rgb="FFFFC000"/>
        </patternFill>
      </fill>
    </dxf>
    <dxf>
      <fill>
        <patternFill>
          <bgColor rgb="FFFFFF99"/>
        </patternFill>
      </fill>
    </dxf>
    <dxf>
      <font>
        <color theme="0"/>
      </font>
      <fill>
        <patternFill>
          <bgColor rgb="FFC00000"/>
        </patternFill>
      </fill>
    </dxf>
    <dxf>
      <font>
        <color theme="4" tint="-0.499969989061356"/>
      </font>
      <fill>
        <patternFill>
          <bgColor rgb="FF92D050"/>
        </patternFill>
      </fill>
    </dxf>
    <dxf>
      <fill>
        <patternFill>
          <bgColor rgb="FFFFC000"/>
        </patternFill>
      </fill>
    </dxf>
    <dxf>
      <fill>
        <patternFill>
          <bgColor rgb="FF92D050"/>
        </patternFill>
      </fill>
    </dxf>
    <dxf>
      <fill>
        <patternFill>
          <bgColor rgb="FF92D050"/>
        </patternFill>
      </fill>
    </dxf>
    <dxf>
      <font>
        <color theme="0"/>
      </font>
      <fill>
        <patternFill>
          <bgColor rgb="FFC00000"/>
        </patternFill>
      </fill>
    </dxf>
    <dxf>
      <font>
        <color theme="2" tint="-0.89995002746582"/>
      </font>
      <fill>
        <patternFill>
          <bgColor rgb="FFFFC000"/>
        </patternFill>
      </fill>
    </dxf>
    <dxf>
      <fill>
        <patternFill>
          <bgColor rgb="FF92D050"/>
        </patternFill>
      </fill>
    </dxf>
    <dxf>
      <font>
        <color theme="0"/>
      </font>
      <fill>
        <patternFill>
          <bgColor rgb="FFC00000"/>
        </patternFill>
      </fill>
    </dxf>
    <dxf>
      <font>
        <color theme="2" tint="-0.89995002746582"/>
      </font>
      <fill>
        <patternFill>
          <bgColor rgb="FFFFC000"/>
        </patternFill>
      </fill>
    </dxf>
    <dxf>
      <font>
        <color theme="2" tint="-0.89995002746582"/>
      </font>
      <fill>
        <patternFill>
          <bgColor rgb="FF92D050"/>
        </patternFill>
      </fill>
    </dxf>
    <dxf>
      <font>
        <color theme="0"/>
      </font>
      <fill>
        <patternFill>
          <bgColor rgb="FFC00000"/>
        </patternFill>
      </fill>
    </dxf>
    <dxf>
      <font>
        <color theme="0"/>
      </font>
      <fill>
        <patternFill>
          <bgColor rgb="FFC00000"/>
        </patternFill>
      </fill>
    </dxf>
    <dxf>
      <font>
        <color theme="2" tint="-0.89995002746582"/>
      </font>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ill>
        <patternFill>
          <bgColor rgb="FF92D050"/>
        </patternFill>
      </fill>
    </dxf>
    <dxf>
      <font>
        <color auto="1"/>
      </font>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auto="1"/>
      </font>
      <fill>
        <patternFill>
          <bgColor rgb="FFFFC000"/>
        </patternFill>
      </fill>
    </dxf>
    <dxf>
      <fill>
        <patternFill>
          <bgColor rgb="FF92D050"/>
        </patternFill>
      </fill>
    </dxf>
    <dxf>
      <font>
        <color theme="2" tint="-0.89995002746582"/>
      </font>
      <fill>
        <patternFill>
          <bgColor rgb="FFD5D3DC"/>
        </patternFill>
      </fill>
    </dxf>
    <dxf>
      <fill>
        <patternFill>
          <bgColor rgb="FF92D050"/>
        </patternFill>
      </fill>
    </dxf>
    <dxf>
      <fill>
        <patternFill>
          <bgColor rgb="FF92D050"/>
        </patternFill>
      </fill>
    </dxf>
    <dxf>
      <font>
        <color theme="0"/>
      </font>
      <fill>
        <patternFill>
          <bgColor rgb="FFC00000"/>
        </patternFill>
      </fill>
    </dxf>
    <dxf>
      <font>
        <color auto="1"/>
      </font>
      <fill>
        <patternFill>
          <bgColor rgb="FFD5D3DC"/>
        </patternFill>
      </fill>
    </dxf>
    <dxf>
      <font>
        <color auto="1"/>
      </font>
      <fill>
        <patternFill>
          <bgColor rgb="FFD5D3DC"/>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ont>
        <color auto="1"/>
      </font>
      <fill>
        <patternFill>
          <bgColor rgb="FFD5D3DC"/>
        </patternFill>
      </fill>
    </dxf>
    <dxf>
      <font>
        <b/>
        <i val="0"/>
        <color rgb="FFFF0000"/>
      </font>
    </dxf>
    <dxf>
      <font>
        <color auto="1"/>
      </font>
      <fill>
        <patternFill>
          <bgColor rgb="FFFFC000"/>
        </patternFill>
      </fill>
    </dxf>
    <dxf>
      <font>
        <color theme="0"/>
      </font>
      <fill>
        <patternFill>
          <bgColor rgb="FFC00000"/>
        </patternFill>
      </fill>
    </dxf>
    <dxf>
      <fill>
        <patternFill>
          <bgColor rgb="FFFF0000"/>
        </patternFill>
      </fill>
    </dxf>
    <dxf>
      <fill>
        <patternFill>
          <bgColor theme="5"/>
        </patternFill>
      </fill>
    </dxf>
    <dxf>
      <fill>
        <patternFill>
          <bgColor theme="7" tint="0.399949997663498"/>
        </patternFill>
      </fill>
    </dxf>
    <dxf>
      <fill>
        <patternFill>
          <bgColor theme="4" tint="0.599960029125214"/>
        </patternFill>
      </fill>
    </dxf>
    <dxf>
      <fill>
        <patternFill>
          <bgColor theme="7" tint="0.799979984760284"/>
        </patternFill>
      </fill>
    </dxf>
    <dxf>
      <font>
        <color theme="0"/>
      </font>
      <fill>
        <patternFill>
          <bgColor rgb="FFC00000"/>
        </patternFill>
      </fill>
    </dxf>
    <dxf>
      <fill>
        <patternFill>
          <bgColor theme="5"/>
        </patternFill>
      </fill>
    </dxf>
    <dxf>
      <fill>
        <patternFill>
          <bgColor theme="7" tint="0.399949997663498"/>
        </patternFill>
      </fill>
    </dxf>
    <dxf>
      <fill>
        <patternFill>
          <bgColor theme="4" tint="0.599960029125214"/>
        </patternFill>
      </fill>
    </dxf>
    <dxf>
      <fill>
        <patternFill>
          <bgColor theme="7" tint="0.799979984760284"/>
        </patternFill>
      </fill>
    </dxf>
    <dxf>
      <font>
        <color rgb="FF383745"/>
      </font>
      <fill>
        <patternFill>
          <bgColor rgb="FF92D050"/>
        </patternFill>
      </fill>
    </dxf>
    <dxf>
      <font>
        <color rgb="FF383745"/>
      </font>
      <fill>
        <patternFill>
          <bgColor rgb="FF92D05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theme="0"/>
      </font>
      <fill>
        <patternFill>
          <bgColor rgb="FFC00000"/>
        </patternFill>
      </fill>
    </dxf>
    <dxf>
      <fill>
        <patternFill>
          <bgColor rgb="FFFFC000"/>
        </patternFill>
      </fill>
    </dxf>
    <dxf>
      <font>
        <b/>
        <i val="0"/>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b/>
        <i val="0"/>
        <color rgb="FFFF0000"/>
      </font>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ont>
        <b/>
        <i val="0"/>
        <color rgb="FFFF0000"/>
      </font>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D5D3DC"/>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D5D3DC"/>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ill>
        <patternFill>
          <bgColor rgb="FFD5D3DC"/>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theme="1"/>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C000"/>
        </patternFill>
      </fill>
    </dxf>
    <dxf>
      <font>
        <color auto="1"/>
      </font>
      <fill>
        <patternFill>
          <bgColor rgb="FFD5D3DC"/>
        </patternFill>
      </fill>
    </dxf>
    <dxf>
      <font>
        <color rgb="FF383745"/>
      </font>
      <fill>
        <patternFill>
          <bgColor rgb="FFFFC000"/>
        </patternFill>
      </fill>
    </dxf>
    <dxf>
      <font>
        <color auto="1"/>
      </font>
      <fill>
        <patternFill>
          <bgColor rgb="FFD5D3DC"/>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b/>
        <i val="0"/>
        <color rgb="FFFF0000"/>
      </font>
    </dxf>
    <dxf>
      <font>
        <color rgb="FF383745"/>
      </font>
      <fill>
        <patternFill>
          <bgColor rgb="FFFFC000"/>
        </patternFill>
      </fill>
    </dxf>
    <dxf>
      <font>
        <color auto="1"/>
      </font>
      <fill>
        <patternFill>
          <bgColor rgb="FFD5D3DC"/>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ont>
        <color rgb="FFC00000"/>
      </font>
      <fill>
        <patternFill>
          <bgColor rgb="FFC00000"/>
        </patternFill>
      </fill>
    </dxf>
    <dxf>
      <font>
        <color theme="0"/>
      </font>
      <fill>
        <patternFill>
          <bgColor rgb="FFC00000"/>
        </patternFill>
      </fill>
    </dxf>
    <dxf>
      <fill>
        <patternFill>
          <bgColor rgb="FFC00000"/>
        </patternFill>
      </fill>
    </dxf>
    <dxf>
      <fill>
        <patternFill>
          <bgColor rgb="FFC000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92D050"/>
        </patternFill>
      </fill>
    </dxf>
    <dxf>
      <font>
        <color rgb="FFFFFFFF"/>
      </font>
      <fill>
        <patternFill>
          <bgColor rgb="FFCB0000"/>
        </patternFill>
      </fill>
    </dxf>
    <dxf>
      <font>
        <color rgb="FF383745"/>
      </font>
      <fill>
        <patternFill>
          <bgColor rgb="FF92D050"/>
        </patternFill>
      </fill>
    </dxf>
    <dxf>
      <font>
        <color theme="0"/>
      </font>
      <fill>
        <patternFill>
          <bgColor rgb="FFC00000"/>
        </patternFill>
      </fill>
    </dxf>
    <dxf>
      <font>
        <color auto="1"/>
      </font>
      <fill>
        <patternFill>
          <bgColor rgb="FFFFC000"/>
        </patternFill>
      </fill>
    </dxf>
    <dxf>
      <font>
        <color auto="1"/>
      </font>
      <fill>
        <patternFill>
          <bgColor rgb="FFD5D3DC"/>
        </patternFill>
      </fill>
    </dxf>
    <dxf>
      <font>
        <color theme="2" tint="-0.89995002746582"/>
      </font>
      <fill>
        <patternFill>
          <bgColor rgb="FFD5D3DC"/>
        </patternFill>
      </fill>
    </dxf>
    <dxf>
      <font>
        <color auto="1"/>
      </font>
      <fill>
        <patternFill>
          <bgColor rgb="FFE0DCD3"/>
        </patternFill>
      </fill>
    </dxf>
    <dxf>
      <font>
        <color rgb="FF383745"/>
      </font>
      <fill>
        <patternFill>
          <bgColor theme="8" tint="0.599960029125214"/>
        </patternFill>
      </fill>
    </dxf>
    <dxf>
      <font>
        <color rgb="FF383745"/>
      </font>
      <fill>
        <patternFill>
          <bgColor theme="8" tint="-0.249939993023872"/>
        </patternFill>
      </fill>
    </dxf>
    <dxf>
      <font>
        <color rgb="FF383745"/>
      </font>
      <fill>
        <patternFill>
          <bgColor theme="6"/>
        </patternFill>
      </fill>
    </dxf>
    <dxf>
      <font>
        <color rgb="FF000000"/>
      </font>
      <fill>
        <patternFill>
          <bgColor theme="6" tint="-0.249939993023872"/>
        </patternFill>
      </fill>
    </dxf>
    <dxf>
      <font>
        <color rgb="FF383745"/>
      </font>
      <fill>
        <patternFill>
          <bgColor rgb="FFFFC000"/>
        </patternFill>
      </fill>
    </dxf>
    <dxf>
      <font>
        <color auto="1"/>
      </font>
      <fill>
        <patternFill>
          <bgColor theme="6" tint="-0.24993999302387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0" Type="http://schemas.openxmlformats.org/officeDocument/2006/relationships/worksheet" Target="worksheets/sheet38.xml" /><Relationship Id="rId42" Type="http://schemas.openxmlformats.org/officeDocument/2006/relationships/worksheet" Target="worksheets/sheet40.xml" /><Relationship Id="rId41" Type="http://schemas.openxmlformats.org/officeDocument/2006/relationships/worksheet" Target="worksheets/sheet39.xml" /><Relationship Id="rId44" Type="http://schemas.openxmlformats.org/officeDocument/2006/relationships/worksheet" Target="worksheets/sheet42.xml" /><Relationship Id="rId43" Type="http://schemas.openxmlformats.org/officeDocument/2006/relationships/worksheet" Target="worksheets/sheet41.xml" /><Relationship Id="rId46" Type="http://schemas.openxmlformats.org/officeDocument/2006/relationships/worksheet" Target="worksheets/sheet44.xml" /><Relationship Id="rId45" Type="http://schemas.openxmlformats.org/officeDocument/2006/relationships/worksheet" Target="worksheets/sheet43.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9" Type="http://schemas.openxmlformats.org/officeDocument/2006/relationships/worksheet" Target="worksheets/sheet7.xml" /><Relationship Id="rId48" Type="http://schemas.openxmlformats.org/officeDocument/2006/relationships/customXml" Target="../customXml/item1.xml" /><Relationship Id="rId47" Type="http://schemas.openxmlformats.org/officeDocument/2006/relationships/sharedStrings" Target="sharedStrings.xml" /><Relationship Id="rId49" Type="http://schemas.openxmlformats.org/officeDocument/2006/relationships/customXml" Target="../customXml/item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31" Type="http://schemas.openxmlformats.org/officeDocument/2006/relationships/worksheet" Target="worksheets/sheet29.xml" /><Relationship Id="rId30" Type="http://schemas.openxmlformats.org/officeDocument/2006/relationships/worksheet" Target="worksheets/sheet28.xml" /><Relationship Id="rId33" Type="http://schemas.openxmlformats.org/officeDocument/2006/relationships/worksheet" Target="worksheets/sheet31.xml" /><Relationship Id="rId32" Type="http://schemas.openxmlformats.org/officeDocument/2006/relationships/worksheet" Target="worksheets/sheet30.xml" /><Relationship Id="rId35" Type="http://schemas.openxmlformats.org/officeDocument/2006/relationships/worksheet" Target="worksheets/sheet33.xml" /><Relationship Id="rId34" Type="http://schemas.openxmlformats.org/officeDocument/2006/relationships/worksheet" Target="worksheets/sheet32.xml" /><Relationship Id="rId37" Type="http://schemas.openxmlformats.org/officeDocument/2006/relationships/worksheet" Target="worksheets/sheet35.xml" /><Relationship Id="rId36" Type="http://schemas.openxmlformats.org/officeDocument/2006/relationships/worksheet" Target="worksheets/sheet34.xml" /><Relationship Id="rId39" Type="http://schemas.openxmlformats.org/officeDocument/2006/relationships/worksheet" Target="worksheets/sheet37.xml" /><Relationship Id="rId38" Type="http://schemas.openxmlformats.org/officeDocument/2006/relationships/worksheet" Target="worksheets/sheet36.xml" /><Relationship Id="rId20" Type="http://schemas.openxmlformats.org/officeDocument/2006/relationships/worksheet" Target="worksheets/sheet18.xml" /><Relationship Id="rId22" Type="http://schemas.openxmlformats.org/officeDocument/2006/relationships/worksheet" Target="worksheets/sheet20.xml" /><Relationship Id="rId21" Type="http://schemas.openxmlformats.org/officeDocument/2006/relationships/worksheet" Target="worksheets/sheet19.xml" /><Relationship Id="rId24" Type="http://schemas.openxmlformats.org/officeDocument/2006/relationships/worksheet" Target="worksheets/sheet22.xml" /><Relationship Id="rId23" Type="http://schemas.openxmlformats.org/officeDocument/2006/relationships/worksheet" Target="worksheets/sheet21.xml" /><Relationship Id="rId26" Type="http://schemas.openxmlformats.org/officeDocument/2006/relationships/worksheet" Target="worksheets/sheet24.xml" /><Relationship Id="rId25" Type="http://schemas.openxmlformats.org/officeDocument/2006/relationships/worksheet" Target="worksheets/sheet23.xml" /><Relationship Id="rId28" Type="http://schemas.openxmlformats.org/officeDocument/2006/relationships/worksheet" Target="worksheets/sheet26.xml" /><Relationship Id="rId27" Type="http://schemas.openxmlformats.org/officeDocument/2006/relationships/worksheet" Target="worksheets/sheet25.xml" /><Relationship Id="rId29" Type="http://schemas.openxmlformats.org/officeDocument/2006/relationships/worksheet" Target="worksheets/sheet27.xml" /><Relationship Id="rId51" Type="http://schemas.openxmlformats.org/officeDocument/2006/relationships/customXml" Target="../customXml/item4.xml" /><Relationship Id="rId50" Type="http://schemas.openxmlformats.org/officeDocument/2006/relationships/customXml" Target="../customXml/item3.xml" /><Relationship Id="rId53" Type="http://schemas.openxmlformats.org/officeDocument/2006/relationships/calcChain" Target="calcChain.xml" /><Relationship Id="rId52" Type="http://schemas.openxmlformats.org/officeDocument/2006/relationships/sheetMetadata" Target="metadata.xml" /><Relationship Id="rId11" Type="http://schemas.openxmlformats.org/officeDocument/2006/relationships/worksheet" Target="worksheets/sheet9.xml" /><Relationship Id="rId10" Type="http://schemas.openxmlformats.org/officeDocument/2006/relationships/worksheet" Target="worksheets/sheet8.xml" /><Relationship Id="rId13" Type="http://schemas.openxmlformats.org/officeDocument/2006/relationships/worksheet" Target="worksheets/sheet11.xml" /><Relationship Id="rId12" Type="http://schemas.openxmlformats.org/officeDocument/2006/relationships/worksheet" Target="worksheets/sheet10.xml" /><Relationship Id="rId15" Type="http://schemas.openxmlformats.org/officeDocument/2006/relationships/worksheet" Target="worksheets/sheet13.xml" /><Relationship Id="rId14" Type="http://schemas.openxmlformats.org/officeDocument/2006/relationships/worksheet" Target="worksheets/sheet12.xml" /><Relationship Id="rId17" Type="http://schemas.openxmlformats.org/officeDocument/2006/relationships/worksheet" Target="worksheets/sheet15.xml" /><Relationship Id="rId16" Type="http://schemas.openxmlformats.org/officeDocument/2006/relationships/worksheet" Target="worksheets/sheet14.xml" /><Relationship Id="rId19" Type="http://schemas.openxmlformats.org/officeDocument/2006/relationships/worksheet" Target="worksheets/sheet17.xml" /><Relationship Id="rId18" Type="http://schemas.openxmlformats.org/officeDocument/2006/relationships/worksheet" Target="worksheets/sheet16.xml" /></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_rels/chart2.xml.rels><?xml version="1.0" encoding="UTF-8" standalone="yes"?><Relationships xmlns="http://schemas.openxmlformats.org/package/2006/relationships"><Relationship Id="rId1" Type="http://schemas.microsoft.com/office/2011/relationships/chartStyle" Target="style2.xml" /><Relationship Id="rId2" Type="http://schemas.microsoft.com/office/2011/relationships/chartColorStyle" Target="colors2.xml" /></Relationships>
</file>

<file path=xl/charts/_rels/chart3.xml.rels><?xml version="1.0" encoding="UTF-8" standalone="yes"?><Relationships xmlns="http://schemas.openxmlformats.org/package/2006/relationships"><Relationship Id="rId1" Type="http://schemas.microsoft.com/office/2011/relationships/chartStyle" Target="style3.xml" /><Relationship Id="rId2" Type="http://schemas.microsoft.com/office/2011/relationships/chartColorStyle" Target="colors3.xml" /></Relationships>
</file>

<file path=xl/charts/_rels/chart4.xml.rels><?xml version="1.0" encoding="UTF-8" standalone="yes"?><Relationships xmlns="http://schemas.openxmlformats.org/package/2006/relationships"><Relationship Id="rId1" Type="http://schemas.microsoft.com/office/2011/relationships/chartStyle" Target="style4.xml" /><Relationship Id="rId2" Type="http://schemas.microsoft.com/office/2011/relationships/chartColorStyle" Target="colors4.xml" /></Relationships>
</file>

<file path=xl/charts/_rels/chart5.xml.rels><?xml version="1.0" encoding="UTF-8" standalone="yes"?><Relationships xmlns="http://schemas.openxmlformats.org/package/2006/relationships"><Relationship Id="rId1" Type="http://schemas.microsoft.com/office/2011/relationships/chartStyle" Target="style5.xml" /><Relationship Id="rId2" Type="http://schemas.microsoft.com/office/2011/relationships/chartColorStyle" Target="colors5.xml" /></Relationships>
</file>

<file path=xl/charts/_rels/chart6.xml.rels><?xml version="1.0" encoding="UTF-8" standalone="yes"?><Relationships xmlns="http://schemas.openxmlformats.org/package/2006/relationships"><Relationship Id="rId1" Type="http://schemas.microsoft.com/office/2011/relationships/chartStyle" Target="style6.xml" /><Relationship Id="rId2" Type="http://schemas.microsoft.com/office/2011/relationships/chartColorStyle" Target="colors6.xml" /></Relationships>
</file>

<file path=xl/charts/_rels/chart7.xml.rels><?xml version="1.0" encoding="UTF-8" standalone="yes"?><Relationships xmlns="http://schemas.openxmlformats.org/package/2006/relationships"><Relationship Id="rId1" Type="http://schemas.microsoft.com/office/2011/relationships/chartStyle" Target="style7.xml" /><Relationship Id="rId2" Type="http://schemas.microsoft.com/office/2011/relationships/chartColorStyle" Target="colors7.xml" /></Relationships>
</file>

<file path=xl/charts/_rels/chart8.xml.rels><?xml version="1.0" encoding="UTF-8" standalone="yes"?><Relationships xmlns="http://schemas.openxmlformats.org/package/2006/relationships"><Relationship Id="rId1" Type="http://schemas.microsoft.com/office/2011/relationships/chartStyle" Target="style8.xml" /><Relationship Id="rId2" Type="http://schemas.microsoft.com/office/2011/relationships/chartColorStyle" Target="colors8.xml" /></Relationships>
</file>

<file path=xl/charts/_rels/chart9.xml.rels><?xml version="1.0" encoding="UTF-8" standalone="yes"?><Relationships xmlns="http://schemas.openxmlformats.org/package/2006/relationships"><Relationship Id="rId1" Type="http://schemas.microsoft.com/office/2011/relationships/chartStyle" Target="style9.xml" /><Relationship Id="rId2" Type="http://schemas.microsoft.com/office/2011/relationships/chartColorStyle" Target="colors9.xml" /></Relationships>
</file>

<file path=xl/charts/_rels/chart10.xml.rels><?xml version="1.0" encoding="UTF-8" standalone="yes"?><Relationships xmlns="http://schemas.openxmlformats.org/package/2006/relationships"><Relationship Id="rId1" Type="http://schemas.openxmlformats.org/officeDocument/2006/relationships/themeOverride" Target="../theme/themeOverride1.xml" /><Relationship Id="rId2" Type="http://schemas.microsoft.com/office/2011/relationships/chartStyle" Target="style10.xml" /><Relationship Id="rId3" Type="http://schemas.microsoft.com/office/2011/relationships/chartColorStyle" Target="colors10.xml" /></Relationships>
</file>

<file path=xl/charts/_rels/chart11.xml.rels><?xml version="1.0" encoding="UTF-8" standalone="yes"?><Relationships xmlns="http://schemas.openxmlformats.org/package/2006/relationships"><Relationship Id="rId1" Type="http://schemas.microsoft.com/office/2011/relationships/chartStyle" Target="style11.xml" /><Relationship Id="rId2" Type="http://schemas.microsoft.com/office/2011/relationships/chartColorStyle" Target="colors11.xml" /></Relationships>
</file>

<file path=xl/charts/_rels/chart12.xml.rels><?xml version="1.0" encoding="UTF-8" standalone="yes"?><Relationships xmlns="http://schemas.openxmlformats.org/package/2006/relationships"><Relationship Id="rId1" Type="http://schemas.microsoft.com/office/2011/relationships/chartStyle" Target="style12.xml" /><Relationship Id="rId2" Type="http://schemas.microsoft.com/office/2011/relationships/chartColorStyle" Target="colors12.xml" /></Relationships>
</file>

<file path=xl/charts/_rels/chart13.xml.rels><?xml version="1.0" encoding="UTF-8" standalone="yes"?><Relationships xmlns="http://schemas.openxmlformats.org/package/2006/relationships"><Relationship Id="rId1" Type="http://schemas.microsoft.com/office/2011/relationships/chartStyle" Target="style13.xml" /><Relationship Id="rId2" Type="http://schemas.microsoft.com/office/2011/relationships/chartColorStyle" Target="colors13.xml" /></Relationships>
</file>

<file path=xl/charts/_rels/chart14.xml.rels><?xml version="1.0" encoding="UTF-8" standalone="yes"?><Relationships xmlns="http://schemas.openxmlformats.org/package/2006/relationships"><Relationship Id="rId1" Type="http://schemas.microsoft.com/office/2011/relationships/chartStyle" Target="style14.xml" /><Relationship Id="rId2" Type="http://schemas.microsoft.com/office/2011/relationships/chartColorStyle" Target="colors14.xml" /></Relationships>
</file>

<file path=xl/charts/_rels/chart15.xml.rels><?xml version="1.0" encoding="UTF-8" standalone="yes"?><Relationships xmlns="http://schemas.openxmlformats.org/package/2006/relationships"><Relationship Id="rId1" Type="http://schemas.openxmlformats.org/officeDocument/2006/relationships/themeOverride" Target="../theme/themeOverride2.xml" /><Relationship Id="rId2" Type="http://schemas.microsoft.com/office/2011/relationships/chartStyle" Target="style15.xml" /><Relationship Id="rId3" Type="http://schemas.microsoft.com/office/2011/relationships/chartColorStyle" Target="colors15.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On-site</a:t>
            </a:r>
            <a:r>
              <a:rPr lang="en-GB" sz="1400" b="0" i="0" u="none" baseline="0">
                <a:solidFill>
                  <a:schemeClr val="accent1"/>
                </a:solidFill>
                <a:latin typeface="+mn-lt"/>
                <a:ea typeface="+mn-ea"/>
                <a:cs typeface="+mn-cs"/>
              </a:rPr>
              <a:t> and off-site h</a:t>
            </a:r>
            <a:r>
              <a:rPr lang="en-GB" sz="1400" b="0" i="0" u="none" baseline="0">
                <a:solidFill>
                  <a:schemeClr val="accent1"/>
                </a:solidFill>
                <a:latin typeface="+mn-lt"/>
                <a:ea typeface="+mn-ea"/>
                <a:cs typeface="+mn-cs"/>
              </a:rPr>
              <a:t>abitat retention by category</a:t>
            </a:r>
          </a:p>
          <a:p>
            <a:pPr>
              <a:defRPr/>
            </a:pPr>
            <a:r>
              <a:rPr lang="en-GB" sz="1400" b="0" i="0" u="none" baseline="0">
                <a:solidFill>
                  <a:schemeClr val="accent1"/>
                </a:solidFill>
                <a:latin typeface="+mn-lt"/>
                <a:ea typeface="+mn-ea"/>
                <a:cs typeface="+mn-cs"/>
              </a:rPr>
              <a:t>area (hectares) </a:t>
            </a:r>
          </a:p>
        </c:rich>
      </c:tx>
      <c:layout>
        <c:manualLayout>
          <c:xMode val="edge"/>
          <c:yMode val="edge"/>
          <c:x val="0.13457223611893"/>
          <c:y val="0.0511593984062723"/>
        </c:manualLayout>
      </c:layout>
      <c:overlay val="0"/>
      <c:spPr>
        <a:noFill/>
        <a:ln w="6350">
          <a:noFill/>
        </a:ln>
        <a:effectLst/>
      </c:spPr>
    </c:title>
    <c:autoTitleDeleted val="0"/>
    <c:plotArea>
      <c:layout>
        <c:manualLayout>
          <c:layoutTarget val="inner"/>
          <c:xMode val="edge"/>
          <c:yMode val="edge"/>
          <c:x val="0.0928676033886042"/>
          <c:y val="0.256697844165686"/>
          <c:w val="0.841845011056354"/>
          <c:h val="0.585180049359507"/>
        </c:manualLayout>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a:lstStyle/>
              <a:p>
                <a:pPr algn="ctr">
                  <a:defRPr lang="en-US" sz="900" b="0" i="0" u="none" baseline="0" kern="1200">
                    <a:solidFill>
                      <a:schemeClr val="accent1"/>
                    </a:solidFill>
                    <a:latin typeface="+mn-lt"/>
                    <a:ea typeface="+mn-ea"/>
                    <a:cs typeface="+mn-cs"/>
                  </a:defRPr>
                </a:pPr>
                <a:endParaRPr lang="en-US"/>
              </a:p>
            </c:tx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Total on-site and off-site area / length proposed for enhancement</c:v>
                </c:pt>
                <c:pt idx="2">
                  <c:v>Total on-site and off-site baseline area / length lost</c:v>
                </c:pt>
              </c:strCache>
            </c:strRef>
          </c:cat>
          <c:val>
            <c:numRef>
              <c:f>('Detailed Results'!$D$24,'Detailed Results'!$D$27,'Detailed Results'!$D$30)</c:f>
              <c:numCache>
                <c:formatCode>0.00</c:formatCode>
                <c:ptCount val="3"/>
                <c:pt idx="0">
                  <c:v>0.6259</c:v>
                </c:pt>
                <c:pt idx="1">
                  <c:v>0</c:v>
                </c:pt>
                <c:pt idx="2">
                  <c:v>8.2341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showLeaderLines val="1"/>
        </c:dLbls>
        <c:gapWidth val="100"/>
        <c:axId val="1518277024"/>
        <c:axId val="-299914761"/>
      </c:barChart>
      <c:catAx>
        <c:axId val="1518277024"/>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crossAx val="-299914761"/>
        <c:crosses val="autoZero"/>
        <c:auto val="1"/>
        <c:lblOffset val="100"/>
        <c:noMultiLvlLbl val="0"/>
      </c:catAx>
      <c:valAx>
        <c:axId val="-299914761"/>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518277024"/>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On-site and off-site habitat retention category </a:t>
            </a:r>
          </a:p>
          <a:p>
            <a:pPr>
              <a:defRPr/>
            </a:pPr>
            <a:r>
              <a:rPr lang="en-GB" sz="1400" b="0" i="0" u="none" baseline="0">
                <a:solidFill>
                  <a:schemeClr val="accent1"/>
                </a:solidFill>
                <a:latin typeface="+mn-lt"/>
                <a:ea typeface="+mn-ea"/>
                <a:cs typeface="+mn-cs"/>
              </a:rPr>
              <a:t>(biodiversity units)</a:t>
            </a:r>
          </a:p>
        </c:rich>
      </c:tx>
      <c:layout>
        <c:manualLayout>
          <c:xMode val="edge"/>
          <c:yMode val="edge"/>
          <c:x val="0.185092192593907"/>
          <c:y val="0.0390542655466479"/>
        </c:manualLayout>
      </c:layout>
      <c:overlay val="0"/>
      <c:spPr>
        <a:noFill/>
        <a:ln w="6350">
          <a:noFill/>
        </a:ln>
        <a:effectLst/>
      </c:spPr>
    </c:title>
    <c:autoTitleDeleted val="0"/>
    <c:plotArea>
      <c:layout>
        <c:manualLayout>
          <c:layoutTarget val="inner"/>
          <c:xMode val="edge"/>
          <c:yMode val="edge"/>
          <c:x val="0.0751274314260514"/>
          <c:y val="0.205329033000803"/>
          <c:w val="0.876202654507557"/>
          <c:h val="0.612703112591806"/>
        </c:manualLayout>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Pt>
            <c:idx val="3"/>
            <c:invertIfNegative val="0"/>
            <c:spPr>
              <a:solidFill>
                <a:schemeClr val="accent4"/>
              </a:solidFill>
              <a:ln w="19050" cap="flat" cmpd="sng">
                <a:solidFill>
                  <a:schemeClr val="bg1"/>
                </a:solidFill>
              </a:ln>
              <a:effectLst/>
            </c:spPr>
          </c:dPt>
          <c:dLbls>
            <c:numFmt formatCode="General" sourceLinked="1"/>
            <c:spPr>
              <a:noFill/>
              <a:ln w="6350">
                <a:noFill/>
              </a:ln>
              <a:effectLst/>
            </c:sp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Results'!$D$25,'Detailed Results'!$D$28,'Detailed Results'!$D$31)</c:f>
              <c:numCache>
                <c:formatCode>0.00</c:formatCode>
                <c:ptCount val="3"/>
                <c:pt idx="0">
                  <c:v>3.51572</c:v>
                </c:pt>
                <c:pt idx="1">
                  <c:v>0</c:v>
                </c:pt>
                <c:pt idx="2">
                  <c:v>16.51412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showLeaderLines val="1"/>
        </c:dLbls>
        <c:gapWidth val="100"/>
        <c:axId val="-1765589096"/>
        <c:axId val="-280733591"/>
      </c:barChart>
      <c:catAx>
        <c:axId val="-1765589096"/>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crossAx val="-280733591"/>
        <c:crosses val="autoZero"/>
        <c:auto val="1"/>
        <c:lblOffset val="100"/>
        <c:noMultiLvlLbl val="0"/>
      </c:catAx>
      <c:valAx>
        <c:axId val="-280733591"/>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crossAx val="-1765589096"/>
        <c:crosses val="autoZero"/>
        <c:crossBetween val="between"/>
      </c:valAx>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sz="1000" b="0" i="0" u="none" baseline="0" kern="1200">
          <a:solidFill>
            <a:schemeClr val="accent1"/>
          </a:solidFill>
          <a:latin typeface="+mn-lt"/>
          <a:ea typeface="+mn-ea"/>
          <a:cs typeface="+mn-cs"/>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lang="en-GB" sz="1400" b="0" i="0" u="none" baseline="0" kern="1200" spc="0">
                <a:solidFill>
                  <a:schemeClr val="accent1"/>
                </a:solidFill>
                <a:latin typeface="+mn-lt"/>
                <a:ea typeface="+mn-ea"/>
                <a:cs typeface="+mn-cs"/>
              </a:defRPr>
            </a:pPr>
            <a:r>
              <a:rPr lang="en-GB"/>
              <a:t>Area change by habitat group (hectares)</a:t>
            </a:r>
          </a:p>
        </c:rich>
      </c:tx>
      <c:layout/>
      <c:overlay val="0"/>
      <c:spPr>
        <a:noFill/>
        <a:ln w="6350">
          <a:noFill/>
        </a:ln>
        <a:effectLst/>
      </c:spPr>
    </c:title>
    <c:autoTitleDeleted val="0"/>
    <c:plotArea>
      <c:layout>
        <c:manualLayout>
          <c:layoutTarget val="inner"/>
          <c:xMode val="edge"/>
          <c:yMode val="edge"/>
          <c:x val="0.0253450284704865"/>
          <c:y val="0.112447330826494"/>
          <c:w val="0.955561892770564"/>
          <c:h val="0.713516850393701"/>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8.806</c:v>
                </c:pt>
                <c:pt idx="2">
                  <c:v>0</c:v>
                </c:pt>
                <c:pt idx="3">
                  <c:v>0</c:v>
                </c:pt>
                <c:pt idx="4">
                  <c:v>0</c:v>
                </c:pt>
                <c:pt idx="5">
                  <c:v>0.005</c:v>
                </c:pt>
                <c:pt idx="6">
                  <c:v>0</c:v>
                </c:pt>
                <c:pt idx="7">
                  <c:v>0</c:v>
                </c:pt>
                <c:pt idx="8">
                  <c:v>0</c:v>
                </c:pt>
                <c:pt idx="9">
                  <c:v>0</c:v>
                </c:pt>
                <c:pt idx="10">
                  <c:v>0</c:v>
                </c:pt>
                <c:pt idx="11">
                  <c:v>0</c:v>
                </c:pt>
                <c:pt idx="12">
                  <c:v>0</c:v>
                </c:pt>
                <c:pt idx="13">
                  <c:v>0</c:v>
                </c:pt>
                <c:pt idx="14">
                  <c:v>0.049</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3.044</c:v>
                </c:pt>
                <c:pt idx="2">
                  <c:v>0</c:v>
                </c:pt>
                <c:pt idx="3">
                  <c:v>0</c:v>
                </c:pt>
                <c:pt idx="4">
                  <c:v>0</c:v>
                </c:pt>
                <c:pt idx="5">
                  <c:v>5.759</c:v>
                </c:pt>
                <c:pt idx="6">
                  <c:v>0</c:v>
                </c:pt>
                <c:pt idx="7">
                  <c:v>0</c:v>
                </c:pt>
                <c:pt idx="8">
                  <c:v>0</c:v>
                </c:pt>
                <c:pt idx="9">
                  <c:v>0</c:v>
                </c:pt>
                <c:pt idx="10">
                  <c:v>0</c:v>
                </c:pt>
                <c:pt idx="11">
                  <c:v>0</c:v>
                </c:pt>
                <c:pt idx="12">
                  <c:v>0</c:v>
                </c:pt>
                <c:pt idx="13">
                  <c:v>0</c:v>
                </c:pt>
                <c:pt idx="14">
                  <c:v>0.0613</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-5.762</c:v>
                </c:pt>
                <c:pt idx="2">
                  <c:v>0</c:v>
                </c:pt>
                <c:pt idx="3">
                  <c:v>0</c:v>
                </c:pt>
                <c:pt idx="4">
                  <c:v>0</c:v>
                </c:pt>
                <c:pt idx="5">
                  <c:v>5.754</c:v>
                </c:pt>
                <c:pt idx="6">
                  <c:v>0</c:v>
                </c:pt>
                <c:pt idx="7">
                  <c:v>0</c:v>
                </c:pt>
                <c:pt idx="8">
                  <c:v>0</c:v>
                </c:pt>
                <c:pt idx="9">
                  <c:v>0</c:v>
                </c:pt>
                <c:pt idx="10">
                  <c:v>0</c:v>
                </c:pt>
                <c:pt idx="11">
                  <c:v>0</c:v>
                </c:pt>
                <c:pt idx="12">
                  <c:v>0</c:v>
                </c:pt>
                <c:pt idx="13">
                  <c:v>0</c:v>
                </c:pt>
                <c:pt idx="14">
                  <c:v>0.0123</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showLeaderLines val="0"/>
        </c:dLbls>
        <c:overlap val="-27"/>
        <c:gapWidth val="219"/>
        <c:axId val="821035467"/>
        <c:axId val="773040118"/>
      </c:barChart>
      <c:catAx>
        <c:axId val="821035467"/>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773040118"/>
        <c:crosses val="autoZero"/>
        <c:auto val="1"/>
        <c:lblOffset val="100"/>
        <c:noMultiLvlLbl val="0"/>
      </c:catAx>
      <c:valAx>
        <c:axId val="773040118"/>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821035467"/>
        <c:crosses val="autoZero"/>
        <c:crossBetween val="between"/>
      </c:valAx>
      <c:spPr>
        <a:noFill/>
        <a:ln w="6350">
          <a:noFill/>
        </a:ln>
        <a:effectLst/>
      </c:spPr>
    </c:plotArea>
    <c:legend>
      <c:legendPos val="b"/>
      <c:layout>
        <c:manualLayout>
          <c:xMode val="edge"/>
          <c:yMode val="edge"/>
          <c:x val="0.23709357517691"/>
          <c:y val="0.930799942734431"/>
          <c:w val="0.642557805610501"/>
          <c:h val="0.026851655573233"/>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Biodiversity</a:t>
            </a:r>
            <a:r>
              <a:rPr lang="en-GB" sz="1400" b="0" i="0" u="none" baseline="0">
                <a:solidFill>
                  <a:schemeClr val="accent1"/>
                </a:solidFill>
                <a:latin typeface="+mn-lt"/>
                <a:ea typeface="+mn-ea"/>
                <a:cs typeface="+mn-cs"/>
              </a:rPr>
              <a:t> u</a:t>
            </a:r>
            <a:r>
              <a:rPr lang="en-GB" sz="1400" b="0" i="0" u="none" baseline="0">
                <a:solidFill>
                  <a:schemeClr val="accent1"/>
                </a:solidFill>
                <a:latin typeface="+mn-lt"/>
                <a:ea typeface="+mn-ea"/>
                <a:cs typeface="+mn-cs"/>
              </a:rPr>
              <a:t>nit change by habitat group</a:t>
            </a:r>
          </a:p>
        </c:rich>
      </c:tx>
      <c:layout>
        <c:manualLayout>
          <c:xMode val="edge"/>
          <c:yMode val="edge"/>
          <c:x val="0.371681740205501"/>
          <c:y val="0.00929787932800686"/>
        </c:manualLayout>
      </c:layout>
      <c:overlay val="0"/>
      <c:spPr>
        <a:noFill/>
        <a:ln w="6350">
          <a:noFill/>
        </a:ln>
        <a:effectLst/>
      </c:spPr>
    </c:title>
    <c:autoTitleDeleted val="0"/>
    <c:plotArea>
      <c:layout>
        <c:manualLayout>
          <c:layoutTarget val="inner"/>
          <c:xMode val="edge"/>
          <c:yMode val="edge"/>
          <c:x val="0.0475768442638204"/>
          <c:y val="0.132666096884959"/>
          <c:w val="0.927930046850777"/>
          <c:h val="0.687039018018751"/>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19.4728</c:v>
                </c:pt>
                <c:pt idx="2">
                  <c:v>0</c:v>
                </c:pt>
                <c:pt idx="3">
                  <c:v>0</c:v>
                </c:pt>
                <c:pt idx="4">
                  <c:v>0</c:v>
                </c:pt>
                <c:pt idx="5">
                  <c:v>0</c:v>
                </c:pt>
                <c:pt idx="6">
                  <c:v>0</c:v>
                </c:pt>
                <c:pt idx="7">
                  <c:v>0</c:v>
                </c:pt>
                <c:pt idx="8">
                  <c:v>0</c:v>
                </c:pt>
                <c:pt idx="9">
                  <c:v>0</c:v>
                </c:pt>
                <c:pt idx="10">
                  <c:v>0</c:v>
                </c:pt>
                <c:pt idx="11">
                  <c:v>0</c:v>
                </c:pt>
                <c:pt idx="12">
                  <c:v>0</c:v>
                </c:pt>
                <c:pt idx="13">
                  <c:v>0</c:v>
                </c:pt>
                <c:pt idx="14">
                  <c:v>0.55704</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20.546157528408</c:v>
                </c:pt>
                <c:pt idx="2">
                  <c:v>0</c:v>
                </c:pt>
                <c:pt idx="3">
                  <c:v>0</c:v>
                </c:pt>
                <c:pt idx="4">
                  <c:v>0</c:v>
                </c:pt>
                <c:pt idx="5">
                  <c:v>5.14565047985</c:v>
                </c:pt>
                <c:pt idx="6">
                  <c:v>0</c:v>
                </c:pt>
                <c:pt idx="7">
                  <c:v>0</c:v>
                </c:pt>
                <c:pt idx="8">
                  <c:v>0</c:v>
                </c:pt>
                <c:pt idx="9">
                  <c:v>0</c:v>
                </c:pt>
                <c:pt idx="10">
                  <c:v>0</c:v>
                </c:pt>
                <c:pt idx="11">
                  <c:v>0</c:v>
                </c:pt>
                <c:pt idx="12">
                  <c:v>0</c:v>
                </c:pt>
                <c:pt idx="13">
                  <c:v>0</c:v>
                </c:pt>
                <c:pt idx="14">
                  <c:v>0.56585599766448</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w="6350">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1.073357528408</c:v>
                </c:pt>
                <c:pt idx="2">
                  <c:v>0</c:v>
                </c:pt>
                <c:pt idx="3">
                  <c:v>0</c:v>
                </c:pt>
                <c:pt idx="4">
                  <c:v>0</c:v>
                </c:pt>
                <c:pt idx="5">
                  <c:v>5.14565047985</c:v>
                </c:pt>
                <c:pt idx="6">
                  <c:v>0</c:v>
                </c:pt>
                <c:pt idx="7">
                  <c:v>0</c:v>
                </c:pt>
                <c:pt idx="8">
                  <c:v>0</c:v>
                </c:pt>
                <c:pt idx="9">
                  <c:v>0</c:v>
                </c:pt>
                <c:pt idx="10">
                  <c:v>0</c:v>
                </c:pt>
                <c:pt idx="11">
                  <c:v>0</c:v>
                </c:pt>
                <c:pt idx="12">
                  <c:v>0</c:v>
                </c:pt>
                <c:pt idx="13">
                  <c:v>0</c:v>
                </c:pt>
                <c:pt idx="14">
                  <c:v>0.00881599766448005</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showLeaderLines val="0"/>
        </c:dLbls>
        <c:overlap val="-27"/>
        <c:gapWidth val="219"/>
        <c:axId val="-1377433020"/>
        <c:axId val="-2040818913"/>
      </c:barChart>
      <c:catAx>
        <c:axId val="-1377433020"/>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2040818913"/>
        <c:crosses val="autoZero"/>
        <c:auto val="1"/>
        <c:lblOffset val="100"/>
        <c:noMultiLvlLbl val="0"/>
      </c:catAx>
      <c:valAx>
        <c:axId val="-2040818913"/>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377433020"/>
        <c:crosses val="autoZero"/>
        <c:crossBetween val="between"/>
      </c:valAx>
      <c:spPr>
        <a:noFill/>
        <a:ln w="6350">
          <a:noFill/>
        </a:ln>
        <a:effectLst/>
      </c:spPr>
    </c:plotArea>
    <c:legend>
      <c:legendPos val="b"/>
      <c:layout>
        <c:manualLayout>
          <c:xMode val="edge"/>
          <c:yMode val="edge"/>
          <c:x val="0.226374080295652"/>
          <c:y val="0.931769877801426"/>
          <c:w val="0.699626760243879"/>
          <c:h val="0.0268371805494042"/>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vert="horz" rot="0" spcFirstLastPara="1" vertOverflow="ellipsis" anchor="ctr" anchorCtr="1" wrap="square"/>
          <a:lstStyle/>
          <a:p>
            <a:pPr>
              <a:defRPr lang="en-US" sz="1400" b="0" i="0" u="none" baseline="0" kern="1200" spc="0">
                <a:solidFill>
                  <a:schemeClr val="accent1"/>
                </a:solidFill>
                <a:latin typeface="+mn-lt"/>
                <a:ea typeface="+mn-ea"/>
                <a:cs typeface="+mn-cs"/>
              </a:defRPr>
            </a:pPr>
            <a:r>
              <a:rPr lang="en-US"/>
              <a:t>% Area lost by distinctiveness category</a:t>
            </a:r>
          </a:p>
        </c:rich>
      </c:tx>
      <c:layout/>
      <c:overlay val="0"/>
      <c:spPr>
        <a:noFill/>
        <a:ln w="6350">
          <a:noFill/>
        </a:ln>
        <a:effectLst/>
      </c:spPr>
    </c:title>
    <c:autoTitleDeleted val="0"/>
    <c:plotArea>
      <c:layout>
        <c:manualLayout>
          <c:layoutTarget val="inner"/>
          <c:xMode val="edge"/>
          <c:yMode val="edge"/>
          <c:x val="0.154778162502307"/>
          <c:y val="0.209854748006673"/>
          <c:w val="0.504331441830813"/>
          <c:h val="0.677574697086811"/>
        </c:manualLayout>
      </c:layout>
      <c:pieChart>
        <c:varyColors val="1"/>
        <c:ser>
          <c:idx val="0"/>
          <c:order val="0"/>
          <c:tx>
            <c:strRef>
              <c:f>'Detailed Results'!$K$38</c:f>
              <c:strCache>
                <c:ptCount val="1"/>
                <c:pt idx="0">
                  <c:v>Area lost (hectares)</c:v>
                </c:pt>
              </c:strCache>
            </c:strRef>
          </c:tx>
          <c:explosion val="0"/>
          <c:dPt>
            <c:idx val="0"/>
            <c:spPr>
              <a:solidFill>
                <a:schemeClr val="accent3">
                  <a:lumMod val="50000"/>
                </a:schemeClr>
              </a:solidFill>
              <a:ln w="19050" cap="flat" cmpd="sng">
                <a:solidFill>
                  <a:schemeClr val="bg1"/>
                </a:solidFill>
              </a:ln>
              <a:effectLst/>
            </c:spPr>
          </c:dPt>
          <c:dPt>
            <c:idx val="1"/>
            <c:spPr>
              <a:solidFill>
                <a:schemeClr val="accent3">
                  <a:lumMod val="75000"/>
                </a:schemeClr>
              </a:solidFill>
              <a:ln w="19050" cap="flat" cmpd="sng">
                <a:solidFill>
                  <a:schemeClr val="bg1"/>
                </a:solidFill>
              </a:ln>
              <a:effectLst/>
            </c:spPr>
          </c:dPt>
          <c:dPt>
            <c:idx val="2"/>
            <c:spPr>
              <a:solidFill>
                <a:schemeClr val="accent3">
                  <a:lumMod val="90000"/>
                </a:schemeClr>
              </a:solidFill>
              <a:ln w="19050" cap="flat" cmpd="sng">
                <a:solidFill>
                  <a:schemeClr val="bg1"/>
                </a:solidFill>
              </a:ln>
              <a:effectLst/>
            </c:spPr>
          </c:dPt>
          <c:dPt>
            <c:idx val="3"/>
            <c:spPr>
              <a:solidFill>
                <a:schemeClr val="accent6">
                  <a:lumMod val="40000"/>
                  <a:lumOff val="60000"/>
                </a:schemeClr>
              </a:solidFill>
              <a:ln w="19050" cap="flat" cmpd="sng">
                <a:solidFill>
                  <a:schemeClr val="bg1"/>
                </a:solidFill>
              </a:ln>
              <a:effectLst/>
            </c:spPr>
          </c:dPt>
          <c:dPt>
            <c:idx val="4"/>
            <c:spPr>
              <a:solidFill>
                <a:schemeClr val="accent6">
                  <a:lumMod val="20000"/>
                  <a:lumOff val="80000"/>
                </a:schemeClr>
              </a:solidFill>
              <a:ln w="19050" cap="flat" cmpd="sng">
                <a:solidFill>
                  <a:schemeClr val="bg1"/>
                </a:solidFill>
              </a:ln>
              <a:effectLst/>
            </c:spPr>
          </c:dPt>
          <c:dLbls>
            <c:numFmt formatCode="General" sourceLinked="1"/>
            <c:spPr>
              <a:solidFill>
                <a:srgbClr val="FFFFFF"/>
              </a:solidFill>
              <a:ln w="6350" cap="flat" cmpd="sng">
                <a:solidFill>
                  <a:srgbClr val="ABC3C9">
                    <a:lumMod val="25000"/>
                    <a:lumOff val="75000"/>
                  </a:srgbClr>
                </a:solidFill>
              </a:ln>
              <a:effectLst/>
            </c:spPr>
            <c:txPr>
              <a:bodyPr vert="horz" rot="0" spcFirstLastPara="1" vertOverflow="clip" anchor="ctr" anchorCtr="1" wrap="square" lIns="38100" tIns="19050" rIns="38100" bIns="19050">
                <a:spAutoFit/>
              </a:bodyPr>
              <a:lstStyle/>
              <a:p>
                <a:pPr algn="ctr">
                  <a:defRPr lang="en-US" sz="900" b="0" i="0" u="none" baseline="0" kern="120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0.0041</c:v>
                </c:pt>
                <c:pt idx="3">
                  <c:v>8.23</c:v>
                </c:pt>
                <c:pt idx="4">
                  <c:v>0</c:v>
                </c:pt>
              </c:numCache>
            </c:numRef>
          </c:val>
          <c:extLs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pieChart>
      <c:spPr>
        <a:noFill/>
        <a:ln w="6350">
          <a:noFill/>
        </a:ln>
        <a:effectLst/>
      </c:spPr>
    </c:plotArea>
    <c:legend>
      <c:legendPos val="r"/>
      <c:layout>
        <c:manualLayout>
          <c:xMode val="edge"/>
          <c:yMode val="edge"/>
          <c:x val="0.764512737378416"/>
          <c:y val="0.130244821366636"/>
          <c:w val="0.206302484678055"/>
          <c:h val="0.801893532680449"/>
        </c:manualLayout>
      </c:layout>
      <c:overlay val="0"/>
      <c:spPr>
        <a:noFill/>
        <a:ln w="6350">
          <a:noFill/>
        </a:ln>
        <a:effectLst/>
      </c:spPr>
      <c:txPr>
        <a:bodyPr vert="horz" rot="0" spcFirstLastPara="1" vertOverflow="ellipsis" anchor="ctr" anchorCtr="1" wrap="square"/>
        <a:lstStyle/>
        <a:p>
          <a:pPr>
            <a:defRPr lang="en-US" sz="11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US" sz="1400" b="0" i="0" u="none" baseline="0">
                <a:solidFill>
                  <a:schemeClr val="accent1"/>
                </a:solidFill>
                <a:latin typeface="+mn-lt"/>
                <a:ea typeface="+mn-ea"/>
                <a:cs typeface="+mn-cs"/>
              </a:rPr>
              <a:t>% Length</a:t>
            </a:r>
            <a:r>
              <a:rPr lang="en-US" sz="1400" b="0" i="0" u="none" baseline="0">
                <a:solidFill>
                  <a:schemeClr val="accent1"/>
                </a:solidFill>
                <a:latin typeface="+mn-lt"/>
                <a:ea typeface="+mn-ea"/>
                <a:cs typeface="+mn-cs"/>
              </a:rPr>
              <a:t> lost by d</a:t>
            </a:r>
            <a:r>
              <a:rPr lang="en-US" sz="1400" b="0" i="0" u="none" baseline="0">
                <a:solidFill>
                  <a:schemeClr val="accent1"/>
                </a:solidFill>
                <a:latin typeface="+mn-lt"/>
                <a:ea typeface="+mn-ea"/>
                <a:cs typeface="+mn-cs"/>
              </a:rPr>
              <a:t>istinctiveness category</a:t>
            </a:r>
          </a:p>
        </c:rich>
      </c:tx>
      <c:layout/>
      <c:overlay val="0"/>
      <c:spPr>
        <a:noFill/>
        <a:ln w="6350">
          <a:noFill/>
        </a:ln>
        <a:effectLst/>
      </c:spPr>
    </c:title>
    <c:autoTitleDeleted val="0"/>
    <c:plotArea>
      <c:layout>
        <c:manualLayout>
          <c:layoutTarget val="inner"/>
          <c:xMode val="edge"/>
          <c:yMode val="edge"/>
          <c:x val="0.076339810693133"/>
          <c:y val="0.182596161541148"/>
          <c:w val="0.534716860263101"/>
          <c:h val="0.724303749262961"/>
        </c:manualLayout>
      </c:layout>
      <c:pieChart>
        <c:varyColors val="1"/>
        <c:ser>
          <c:idx val="0"/>
          <c:order val="0"/>
          <c:tx>
            <c:strRef>
              <c:f>'Detailed Results'!$K$99</c:f>
              <c:strCache>
                <c:ptCount val="1"/>
                <c:pt idx="0">
                  <c:v>Length lost (km)</c:v>
                </c:pt>
              </c:strCache>
            </c:strRef>
          </c:tx>
          <c:explosion val="0"/>
          <c:dPt>
            <c:idx val="0"/>
            <c:spPr>
              <a:solidFill>
                <a:schemeClr val="accent3">
                  <a:lumMod val="50000"/>
                </a:schemeClr>
              </a:solidFill>
              <a:ln w="19050" cap="flat" cmpd="sng">
                <a:solidFill>
                  <a:schemeClr val="bg1"/>
                </a:solidFill>
              </a:ln>
              <a:effectLst/>
            </c:spPr>
          </c:dPt>
          <c:dPt>
            <c:idx val="1"/>
            <c:explosion val="5"/>
            <c:spPr>
              <a:solidFill>
                <a:schemeClr val="accent3">
                  <a:lumMod val="75000"/>
                </a:schemeClr>
              </a:solidFill>
              <a:ln w="19050" cap="flat" cmpd="sng">
                <a:solidFill>
                  <a:schemeClr val="bg1"/>
                </a:solidFill>
              </a:ln>
              <a:effectLst/>
            </c:spPr>
          </c:dPt>
          <c:dPt>
            <c:idx val="2"/>
            <c:spPr>
              <a:solidFill>
                <a:schemeClr val="accent3">
                  <a:lumMod val="90000"/>
                </a:schemeClr>
              </a:solidFill>
              <a:ln w="19050" cap="flat" cmpd="sng">
                <a:solidFill>
                  <a:schemeClr val="bg1"/>
                </a:solidFill>
              </a:ln>
              <a:effectLst/>
            </c:spPr>
          </c:dPt>
          <c:dPt>
            <c:idx val="3"/>
            <c:spPr>
              <a:solidFill>
                <a:schemeClr val="accent6">
                  <a:lumMod val="40000"/>
                  <a:lumOff val="60000"/>
                </a:schemeClr>
              </a:solidFill>
              <a:ln w="19050" cap="flat" cmpd="sng">
                <a:solidFill>
                  <a:schemeClr val="bg1"/>
                </a:solidFill>
              </a:ln>
              <a:effectLst/>
            </c:spPr>
          </c:dPt>
          <c:dPt>
            <c:idx val="4"/>
            <c:spPr>
              <a:solidFill>
                <a:schemeClr val="accent6">
                  <a:lumMod val="20000"/>
                  <a:lumOff val="80000"/>
                </a:schemeClr>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a:lstStyle/>
              <a:p>
                <a:pPr algn="ctr">
                  <a:defRPr lang="en-US" sz="900" b="0" i="0" u="none" baseline="0" kern="120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solidFill>
                    <a:schemeClr val="tx1">
                      <a:lumMod val="35000"/>
                      <a:lumOff val="65000"/>
                    </a:schemeClr>
                  </a:solidFill>
                  <a:round/>
                </a:ln>
                <a:effectLst/>
              </c:spPr>
            </c:leaderLines>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0.021</c:v>
                </c:pt>
                <c:pt idx="2">
                  <c:v>0</c:v>
                </c:pt>
                <c:pt idx="3">
                  <c:v>0</c:v>
                </c:pt>
                <c:pt idx="4">
                  <c:v>0</c:v>
                </c:pt>
              </c:numCache>
            </c:numRef>
          </c:val>
          <c:extLs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pieChart>
      <c:spPr>
        <a:noFill/>
        <a:ln w="6350">
          <a:noFill/>
        </a:ln>
        <a:effectLst/>
      </c:spPr>
    </c:plotArea>
    <c:legend>
      <c:legendPos val="r"/>
      <c:layout>
        <c:manualLayout>
          <c:xMode val="edge"/>
          <c:yMode val="edge"/>
          <c:x val="0.697529367690617"/>
          <c:y val="0.133803000055137"/>
          <c:w val="0.235050405245269"/>
          <c:h val="0.801893532680449"/>
        </c:manualLayout>
      </c:layout>
      <c:overlay val="0"/>
      <c:spPr>
        <a:noFill/>
        <a:ln w="6350">
          <a:noFill/>
        </a:ln>
        <a:effectLst/>
      </c:spPr>
      <c:txPr>
        <a:bodyPr vert="horz" rot="0" spcFirstLastPara="1" vertOverflow="ellipsis" anchor="ctr" anchorCtr="1" wrap="square"/>
        <a:lstStyle/>
        <a:p>
          <a:pPr>
            <a:defRPr lang="en-US" sz="11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800" u="none" baseline="0">
                <a:solidFill>
                  <a:schemeClr val="accent1"/>
                </a:solidFill>
              </a:rPr>
              <a:t>On-site and off-site hedge retention by category</a:t>
            </a:r>
          </a:p>
          <a:p>
            <a:pPr>
              <a:defRPr/>
            </a:pPr>
            <a:r>
              <a:rPr lang="en-GB" sz="1800" u="none" baseline="0">
                <a:solidFill>
                  <a:schemeClr val="accent1"/>
                </a:solidFill>
              </a:rPr>
              <a:t>length (km) </a:t>
            </a:r>
          </a:p>
        </c:rich>
      </c:tx>
      <c:layout>
        <c:manualLayout>
          <c:xMode val="edge"/>
          <c:yMode val="edge"/>
          <c:x val="0.11246012245842"/>
          <c:y val="0.0511595148704072"/>
        </c:manualLayout>
      </c:layout>
      <c:overlay val="0"/>
      <c:spPr>
        <a:noFill/>
        <a:ln w="6350">
          <a:noFill/>
        </a:ln>
        <a:effectLst/>
      </c:spPr>
    </c:title>
    <c:autoTitleDeleted val="0"/>
    <c:plotArea>
      <c:layout>
        <c:manualLayout>
          <c:layoutTarget val="inner"/>
          <c:xMode val="edge"/>
          <c:yMode val="edge"/>
          <c:x val="0.0841114299784688"/>
          <c:y val="0.224686042681966"/>
          <c:w val="0.852709297293153"/>
          <c:h val="0.578653288974382"/>
        </c:manualLayout>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lIns="38100" tIns="19050" rIns="38100" bIns="19050">
                <a:spAutoFit/>
              </a:bodyPr>
              <a:lstStyle/>
              <a:p>
                <a:pPr algn="ctr">
                  <a:defRPr lang="en-US" sz="900" b="0" i="0" u="none" baseline="0" kern="1200">
                    <a:solidFill>
                      <a:srgbClr val="382119"/>
                    </a:solidFill>
                    <a:latin typeface="+mn-lt"/>
                    <a:ea typeface="+mn-ea"/>
                    <a:cs typeface="+mn-cs"/>
                  </a:defRPr>
                </a:pPr>
                <a:endParaRPr lang="en-US"/>
              </a:p>
            </c:tx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0.075</c:v>
                </c:pt>
                <c:pt idx="1">
                  <c:v>0</c:v>
                </c:pt>
                <c:pt idx="2">
                  <c:v>0.021</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showLeaderLines val="1"/>
        </c:dLbls>
        <c:gapWidth val="100"/>
        <c:axId val="429852973"/>
        <c:axId val="854978886"/>
      </c:barChart>
      <c:catAx>
        <c:axId val="429852973"/>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1000" b="0" i="0" u="none" baseline="0" kern="1200">
                <a:solidFill>
                  <a:srgbClr val="382119"/>
                </a:solidFill>
                <a:latin typeface="+mn-lt"/>
                <a:ea typeface="+mn-ea"/>
                <a:cs typeface="+mn-cs"/>
              </a:defRPr>
            </a:pPr>
            <a:endParaRPr lang="en-US"/>
          </a:p>
        </c:txPr>
        <c:crossAx val="854978886"/>
        <c:crosses val="autoZero"/>
        <c:auto val="1"/>
        <c:lblOffset val="100"/>
        <c:noMultiLvlLbl val="0"/>
      </c:catAx>
      <c:valAx>
        <c:axId val="854978886"/>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rgbClr val="382119"/>
                </a:solidFill>
                <a:latin typeface="+mn-lt"/>
                <a:ea typeface="+mn-ea"/>
                <a:cs typeface="+mn-cs"/>
              </a:defRPr>
            </a:pPr>
            <a:endParaRPr lang="en-US"/>
          </a:p>
        </c:txPr>
        <c:crossAx val="429852973"/>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accent1"/>
      </a:solidFill>
      <a:round/>
    </a:ln>
    <a:effectLst/>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On-site and off-site hedge retention category </a:t>
            </a:r>
          </a:p>
          <a:p>
            <a:pPr>
              <a:defRPr/>
            </a:pPr>
            <a:r>
              <a:rPr lang="en-GB" sz="1400" b="0" i="0" u="none" baseline="0">
                <a:solidFill>
                  <a:schemeClr val="accent1"/>
                </a:solidFill>
                <a:latin typeface="+mn-lt"/>
                <a:ea typeface="+mn-ea"/>
                <a:cs typeface="+mn-cs"/>
              </a:rPr>
              <a:t>(biodiversity units)</a:t>
            </a:r>
          </a:p>
        </c:rich>
      </c:tx>
      <c:layout>
        <c:manualLayout>
          <c:xMode val="edge"/>
          <c:yMode val="edge"/>
          <c:x val="0.181980951450488"/>
          <c:y val="0.0281891666842406"/>
        </c:manualLayout>
      </c:layout>
      <c:overlay val="0"/>
      <c:spPr>
        <a:noFill/>
        <a:ln w="6350">
          <a:noFill/>
        </a:ln>
        <a:effectLst/>
      </c:spPr>
    </c:title>
    <c:autoTitleDeleted val="0"/>
    <c:plotArea>
      <c:layout>
        <c:manualLayout>
          <c:layoutTarget val="inner"/>
          <c:xMode val="edge"/>
          <c:yMode val="edge"/>
          <c:x val="0.102796948088433"/>
          <c:y val="0.189045357833768"/>
          <c:w val="0.845156453116272"/>
          <c:h val="0.664902712482437"/>
        </c:manualLayout>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Pt>
            <c:idx val="3"/>
            <c:invertIfNegative val="0"/>
            <c:spPr>
              <a:solidFill>
                <a:schemeClr val="accent4"/>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a:lstStyle/>
              <a:p>
                <a:pPr algn="ctr">
                  <a:defRPr lang="en-GB" sz="1000" b="0" i="0" u="none" baseline="0" kern="1200">
                    <a:solidFill>
                      <a:srgbClr val="382119"/>
                    </a:solidFill>
                    <a:latin typeface="+mn-lt"/>
                    <a:ea typeface="+mn-ea"/>
                    <a:cs typeface="+mn-cs"/>
                  </a:defRPr>
                </a:pPr>
                <a:endParaRPr lang="en-US"/>
              </a:p>
            </c:tx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Results'!$F$25,'Detailed Results'!$F$28,'Detailed Results'!$F$31)</c:f>
              <c:numCache>
                <c:formatCode>0.00</c:formatCode>
                <c:ptCount val="3"/>
                <c:pt idx="0">
                  <c:v>0.9922</c:v>
                </c:pt>
                <c:pt idx="1">
                  <c:v>0</c:v>
                </c:pt>
                <c:pt idx="2">
                  <c:v>0.2772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showLeaderLines val="1"/>
        </c:dLbls>
        <c:gapWidth val="100"/>
        <c:axId val="338580820"/>
        <c:axId val="-2105745568"/>
      </c:barChart>
      <c:catAx>
        <c:axId val="338580820"/>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crossAx val="-2105745568"/>
        <c:crosses val="autoZero"/>
        <c:auto val="1"/>
        <c:lblOffset val="100"/>
        <c:noMultiLvlLbl val="0"/>
      </c:catAx>
      <c:valAx>
        <c:axId val="-2105745568"/>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crossAx val="338580820"/>
        <c:crosses val="autoZero"/>
        <c:crossBetween val="between"/>
      </c:valAx>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sz="1000" b="0" i="0" u="none" baseline="0" kern="1200">
          <a:solidFill>
            <a:schemeClr val="accent1"/>
          </a:solidFill>
          <a:latin typeface="+mn-lt"/>
          <a:ea typeface="+mn-ea"/>
          <a:cs typeface="+mn-cs"/>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Hedgerow</a:t>
            </a:r>
            <a:r>
              <a:rPr lang="en-GB" sz="1400" b="0" i="0" u="none" baseline="0">
                <a:solidFill>
                  <a:schemeClr val="accent1"/>
                </a:solidFill>
                <a:latin typeface="+mn-lt"/>
                <a:ea typeface="+mn-ea"/>
                <a:cs typeface="+mn-cs"/>
              </a:rPr>
              <a:t> </a:t>
            </a:r>
            <a:r>
              <a:rPr lang="en-GB" sz="1400" b="0" i="0" u="none" baseline="0">
                <a:solidFill>
                  <a:schemeClr val="accent1"/>
                </a:solidFill>
                <a:latin typeface="+mn-lt"/>
                <a:ea typeface="+mn-ea"/>
                <a:cs typeface="+mn-cs"/>
              </a:rPr>
              <a:t>biodiversity unit change</a:t>
            </a:r>
          </a:p>
        </c:rich>
      </c:tx>
      <c:layout/>
      <c:overlay val="0"/>
      <c:spPr>
        <a:noFill/>
        <a:ln w="6350">
          <a:noFill/>
        </a:ln>
        <a:effectLst/>
      </c:spPr>
    </c:title>
    <c:autoTitleDeleted val="0"/>
    <c:plotArea>
      <c:layout>
        <c:manualLayout>
          <c:layoutTarget val="inner"/>
          <c:xMode val="edge"/>
          <c:yMode val="edge"/>
          <c:x val="0.0522709622626351"/>
          <c:y val="0.0794806834891279"/>
          <c:w val="0.924742644941884"/>
          <c:h val="0.74303648598056"/>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0.3366</c:v>
                </c:pt>
                <c:pt idx="3">
                  <c:v>0.858</c:v>
                </c:pt>
                <c:pt idx="4">
                  <c:v>0.0528</c:v>
                </c:pt>
                <c:pt idx="5">
                  <c:v>0</c:v>
                </c:pt>
                <c:pt idx="6">
                  <c:v>0</c:v>
                </c:pt>
                <c:pt idx="7">
                  <c:v>0</c:v>
                </c:pt>
                <c:pt idx="8">
                  <c:v>0</c:v>
                </c:pt>
                <c:pt idx="9">
                  <c:v>0.022</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0.45602381695904</c:v>
                </c:pt>
                <c:pt idx="1">
                  <c:v>0</c:v>
                </c:pt>
                <c:pt idx="2">
                  <c:v>0.3366</c:v>
                </c:pt>
                <c:pt idx="3">
                  <c:v>0.5808</c:v>
                </c:pt>
                <c:pt idx="4">
                  <c:v>6.3490991433144</c:v>
                </c:pt>
                <c:pt idx="5">
                  <c:v>0</c:v>
                </c:pt>
                <c:pt idx="6">
                  <c:v>0</c:v>
                </c:pt>
                <c:pt idx="7">
                  <c:v>0</c:v>
                </c:pt>
                <c:pt idx="8">
                  <c:v>0</c:v>
                </c:pt>
                <c:pt idx="9">
                  <c:v>0.022</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0.45602381695904</c:v>
                </c:pt>
                <c:pt idx="1">
                  <c:v>0</c:v>
                </c:pt>
                <c:pt idx="2">
                  <c:v>0</c:v>
                </c:pt>
                <c:pt idx="3">
                  <c:v>-0.2772</c:v>
                </c:pt>
                <c:pt idx="4">
                  <c:v>6.2962991433144</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showLeaderLines val="0"/>
        </c:dLbls>
        <c:overlap val="-27"/>
        <c:gapWidth val="219"/>
        <c:axId val="-406952856"/>
        <c:axId val="-676716199"/>
      </c:barChart>
      <c:catAx>
        <c:axId val="-406952856"/>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676716199"/>
        <c:crosses val="autoZero"/>
        <c:auto val="1"/>
        <c:lblOffset val="100"/>
        <c:noMultiLvlLbl val="0"/>
      </c:catAx>
      <c:valAx>
        <c:axId val="-676716199"/>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406952856"/>
        <c:crosses val="autoZero"/>
        <c:crossBetween val="between"/>
      </c:valAx>
      <c:spPr>
        <a:noFill/>
        <a:ln w="6350" cap="flat" cmpd="sng">
          <a:solidFill>
            <a:srgbClr val="ABC3C9">
              <a:lumMod val="25000"/>
              <a:lumOff val="75000"/>
            </a:srgbClr>
          </a:solidFill>
        </a:ln>
        <a:effectLst/>
      </c:spPr>
    </c:plotArea>
    <c:legend>
      <c:legendPos val="b"/>
      <c:layout>
        <c:manualLayout>
          <c:xMode val="edge"/>
          <c:yMode val="edge"/>
          <c:x val="0.148510059107287"/>
          <c:y val="0.954740805042142"/>
          <c:w val="0.701672664495795"/>
          <c:h val="0.0300432609456969"/>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rgbClr val="000000"/>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10.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Hedgerow </a:t>
            </a:r>
            <a:r>
              <a:rPr lang="en-GB" sz="1400" b="0" i="0" u="none" baseline="0">
                <a:solidFill>
                  <a:schemeClr val="accent1"/>
                </a:solidFill>
                <a:latin typeface="+mn-lt"/>
                <a:ea typeface="+mn-ea"/>
                <a:cs typeface="+mn-cs"/>
              </a:rPr>
              <a:t>length</a:t>
            </a:r>
            <a:r>
              <a:rPr lang="en-GB" sz="1400" b="0" i="0" u="none" baseline="0">
                <a:solidFill>
                  <a:schemeClr val="accent1"/>
                </a:solidFill>
                <a:latin typeface="+mn-lt"/>
                <a:ea typeface="+mn-ea"/>
                <a:cs typeface="+mn-cs"/>
              </a:rPr>
              <a:t> change (km)</a:t>
            </a:r>
          </a:p>
        </c:rich>
      </c:tx>
      <c:layout/>
      <c:overlay val="0"/>
      <c:spPr>
        <a:noFill/>
        <a:ln w="6350">
          <a:noFill/>
        </a:ln>
        <a:effectLst/>
      </c:spPr>
    </c:title>
    <c:autoTitleDeleted val="0"/>
    <c:plotArea>
      <c:layout>
        <c:manualLayout>
          <c:layoutTarget val="inner"/>
          <c:xMode val="edge"/>
          <c:yMode val="edge"/>
          <c:x val="0.0290840073773722"/>
          <c:y val="0.0827385919641258"/>
          <c:w val="0.961645812566134"/>
          <c:h val="0.742472602973833"/>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0.017</c:v>
                </c:pt>
                <c:pt idx="3">
                  <c:v>0.065</c:v>
                </c:pt>
                <c:pt idx="4">
                  <c:v>0.004</c:v>
                </c:pt>
                <c:pt idx="5">
                  <c:v>0</c:v>
                </c:pt>
                <c:pt idx="6">
                  <c:v>0</c:v>
                </c:pt>
                <c:pt idx="7">
                  <c:v>0</c:v>
                </c:pt>
                <c:pt idx="8">
                  <c:v>0</c:v>
                </c:pt>
                <c:pt idx="9">
                  <c:v>0.01</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0.037</c:v>
                </c:pt>
                <c:pt idx="1">
                  <c:v>0</c:v>
                </c:pt>
                <c:pt idx="2">
                  <c:v>0.017</c:v>
                </c:pt>
                <c:pt idx="3">
                  <c:v>0.044</c:v>
                </c:pt>
                <c:pt idx="4">
                  <c:v>0.859</c:v>
                </c:pt>
                <c:pt idx="5">
                  <c:v>0</c:v>
                </c:pt>
                <c:pt idx="6">
                  <c:v>0</c:v>
                </c:pt>
                <c:pt idx="7">
                  <c:v>0</c:v>
                </c:pt>
                <c:pt idx="8">
                  <c:v>0</c:v>
                </c:pt>
                <c:pt idx="9">
                  <c:v>0.01</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w="6350">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0.037</c:v>
                </c:pt>
                <c:pt idx="1">
                  <c:v>0</c:v>
                </c:pt>
                <c:pt idx="2">
                  <c:v>0</c:v>
                </c:pt>
                <c:pt idx="3">
                  <c:v>-0.021</c:v>
                </c:pt>
                <c:pt idx="4">
                  <c:v>0.855</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showLeaderLines val="0"/>
        </c:dLbls>
        <c:overlap val="-27"/>
        <c:gapWidth val="219"/>
        <c:axId val="249148372"/>
        <c:axId val="-1630369056"/>
      </c:barChart>
      <c:catAx>
        <c:axId val="249148372"/>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630369056"/>
        <c:crosses val="autoZero"/>
        <c:auto val="1"/>
        <c:lblOffset val="100"/>
        <c:noMultiLvlLbl val="0"/>
      </c:catAx>
      <c:valAx>
        <c:axId val="-1630369056"/>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249148372"/>
        <c:crosses val="autoZero"/>
        <c:crossBetween val="between"/>
      </c:valAx>
      <c:spPr>
        <a:noFill/>
        <a:ln w="6350">
          <a:noFill/>
        </a:ln>
        <a:effectLst/>
      </c:spPr>
    </c:plotArea>
    <c:legend>
      <c:legendPos val="b"/>
      <c:layout>
        <c:manualLayout>
          <c:xMode val="edge"/>
          <c:yMode val="edge"/>
          <c:x val="0.143896003433122"/>
          <c:y val="0.945610217095897"/>
          <c:w val="0.707493991522186"/>
          <c:h val="0.0300432609456969"/>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rgbClr val="000000"/>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11.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US" sz="1400" b="0" i="0" u="none" baseline="0">
                <a:solidFill>
                  <a:schemeClr val="accent1"/>
                </a:solidFill>
                <a:latin typeface="+mn-lt"/>
                <a:ea typeface="+mn-ea"/>
                <a:cs typeface="+mn-cs"/>
              </a:rPr>
              <a:t>% Length lost by</a:t>
            </a:r>
          </a:p>
          <a:p>
            <a:pPr>
              <a:defRPr/>
            </a:pPr>
            <a:r>
              <a:rPr lang="en-US" sz="1400" b="0" i="0" u="none" baseline="0">
                <a:solidFill>
                  <a:schemeClr val="accent1"/>
                </a:solidFill>
                <a:latin typeface="+mn-lt"/>
                <a:ea typeface="+mn-ea"/>
                <a:cs typeface="+mn-cs"/>
              </a:rPr>
              <a:t>distinctiveness category</a:t>
            </a:r>
          </a:p>
        </c:rich>
      </c:tx>
      <c:layout/>
      <c:overlay val="0"/>
      <c:spPr>
        <a:noFill/>
        <a:ln w="6350">
          <a:noFill/>
        </a:ln>
        <a:effectLst/>
      </c:spPr>
    </c:title>
    <c:autoTitleDeleted val="0"/>
    <c:plotArea>
      <c:layout>
        <c:manualLayout>
          <c:layoutTarget val="inner"/>
          <c:xMode val="edge"/>
          <c:yMode val="edge"/>
          <c:x val="0.171626115953475"/>
          <c:y val="0.234539845481872"/>
          <c:w val="0.445606872181788"/>
          <c:h val="0.652889788320726"/>
        </c:manualLayout>
      </c:layout>
      <c:pieChart>
        <c:varyColors val="1"/>
        <c:ser>
          <c:idx val="0"/>
          <c:order val="0"/>
          <c:tx>
            <c:strRef>
              <c:f>'Detailed Results'!$K$162</c:f>
              <c:strCache>
                <c:ptCount val="1"/>
                <c:pt idx="0">
                  <c:v>Length lost (km)</c:v>
                </c:pt>
              </c:strCache>
            </c:strRef>
          </c:tx>
          <c:explosion val="0"/>
          <c:dPt>
            <c:idx val="0"/>
            <c:spPr>
              <a:solidFill>
                <a:schemeClr val="accent3">
                  <a:lumMod val="50000"/>
                </a:schemeClr>
              </a:solidFill>
              <a:ln w="19050" cap="flat" cmpd="sng">
                <a:solidFill>
                  <a:schemeClr val="bg1"/>
                </a:solidFill>
              </a:ln>
              <a:effectLst/>
            </c:spPr>
          </c:dPt>
          <c:dPt>
            <c:idx val="1"/>
            <c:spPr>
              <a:solidFill>
                <a:schemeClr val="accent3">
                  <a:lumMod val="75000"/>
                </a:schemeClr>
              </a:solidFill>
              <a:ln w="19050" cap="flat" cmpd="sng">
                <a:solidFill>
                  <a:schemeClr val="bg1"/>
                </a:solidFill>
              </a:ln>
              <a:effectLst/>
            </c:spPr>
          </c:dPt>
          <c:dPt>
            <c:idx val="2"/>
            <c:spPr>
              <a:solidFill>
                <a:schemeClr val="accent3">
                  <a:lumMod val="90000"/>
                </a:schemeClr>
              </a:solidFill>
              <a:ln w="19050" cap="flat" cmpd="sng">
                <a:solidFill>
                  <a:schemeClr val="bg1"/>
                </a:solidFill>
              </a:ln>
              <a:effectLst/>
            </c:spPr>
          </c:dPt>
          <c:dPt>
            <c:idx val="3"/>
            <c:spPr>
              <a:solidFill>
                <a:schemeClr val="accent6">
                  <a:lumMod val="20000"/>
                  <a:lumOff val="80000"/>
                </a:schemeClr>
              </a:solidFill>
              <a:ln w="19050" cap="flat" cmpd="sng">
                <a:solidFill>
                  <a:schemeClr val="bg1"/>
                </a:solidFill>
              </a:ln>
              <a:effectLst/>
            </c:spPr>
          </c:dPt>
          <c:dPt>
            <c:idx val="4"/>
            <c:spPr>
              <a:solidFill>
                <a:schemeClr val="accent5"/>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a:lstStyle/>
              <a:p>
                <a:pPr algn="ctr">
                  <a:defRPr lang="en-US" sz="900" b="0" i="0" u="none" baseline="0" kern="120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solidFill>
                    <a:schemeClr val="tx1">
                      <a:lumMod val="35000"/>
                      <a:lumOff val="65000"/>
                    </a:schemeClr>
                  </a:solidFill>
                  <a:round/>
                </a:ln>
                <a:effectLst/>
              </c:spPr>
            </c:leaderLines>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pieChart>
      <c:spPr>
        <a:noFill/>
        <a:ln w="6350">
          <a:noFill/>
        </a:ln>
        <a:effectLst/>
      </c:spPr>
    </c:plotArea>
    <c:legend>
      <c:legendPos val="r"/>
      <c:layout>
        <c:manualLayout>
          <c:xMode val="edge"/>
          <c:yMode val="edge"/>
          <c:x val="0.726277344944758"/>
          <c:y val="0.133803000055137"/>
          <c:w val="0.206302484678055"/>
          <c:h val="0.801893532680449"/>
        </c:manualLayout>
      </c:layout>
      <c:overlay val="0"/>
      <c:spPr>
        <a:noFill/>
        <a:ln w="6350">
          <a:noFill/>
        </a:ln>
        <a:effectLst/>
      </c:spPr>
      <c:txPr>
        <a:bodyPr vert="horz" rot="0" spcFirstLastPara="1" vertOverflow="ellipsis" anchor="ctr" anchorCtr="1" wrap="square"/>
        <a:lstStyle/>
        <a:p>
          <a:pPr>
            <a:defRPr lang="en-US" sz="11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12.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Watercourse length</a:t>
            </a:r>
            <a:r>
              <a:rPr lang="en-GB" sz="1400" b="0" i="0" u="none" baseline="0">
                <a:solidFill>
                  <a:schemeClr val="accent1"/>
                </a:solidFill>
                <a:latin typeface="+mn-lt"/>
                <a:ea typeface="+mn-ea"/>
                <a:cs typeface="+mn-cs"/>
              </a:rPr>
              <a:t> retained, proposed for enhancement or lost (</a:t>
            </a:r>
            <a:r>
              <a:rPr lang="en-GB" sz="1400" b="0" i="0" u="none" baseline="0">
                <a:solidFill>
                  <a:schemeClr val="accent1"/>
                </a:solidFill>
                <a:latin typeface="+mn-lt"/>
                <a:ea typeface="+mn-ea"/>
                <a:cs typeface="+mn-cs"/>
              </a:rPr>
              <a:t>length</a:t>
            </a:r>
            <a:r>
              <a:rPr lang="en-GB" sz="1400" b="0" i="0" u="none" baseline="0">
                <a:solidFill>
                  <a:schemeClr val="accent1"/>
                </a:solidFill>
                <a:latin typeface="+mn-lt"/>
                <a:ea typeface="+mn-ea"/>
                <a:cs typeface="+mn-cs"/>
              </a:rPr>
              <a:t> km)</a:t>
            </a:r>
            <a:r>
              <a:rPr lang="en-GB" sz="1400" b="0" i="0" u="none" baseline="0">
                <a:solidFill>
                  <a:schemeClr val="accent1"/>
                </a:solidFill>
                <a:latin typeface="+mn-lt"/>
                <a:ea typeface="+mn-ea"/>
                <a:cs typeface="+mn-cs"/>
              </a:rPr>
              <a:t> </a:t>
            </a:r>
          </a:p>
        </c:rich>
      </c:tx>
      <c:layout>
        <c:manualLayout>
          <c:xMode val="edge"/>
          <c:yMode val="edge"/>
          <c:x val="0.112115405158525"/>
          <c:y val="0.0144674632952482"/>
        </c:manualLayout>
      </c:layout>
      <c:overlay val="0"/>
      <c:spPr>
        <a:noFill/>
        <a:ln w="6350">
          <a:noFill/>
        </a:ln>
        <a:effectLst/>
      </c:spPr>
    </c:title>
    <c:autoTitleDeleted val="0"/>
    <c:plotArea>
      <c:layout>
        <c:manualLayout>
          <c:layoutTarget val="inner"/>
          <c:xMode val="edge"/>
          <c:yMode val="edge"/>
          <c:x val="0.0654435323356751"/>
          <c:y val="0.219027850269496"/>
          <c:w val="0.934556467664325"/>
          <c:h val="0.558962015496813"/>
        </c:manualLayout>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Lbls>
            <c:numFmt formatCode="General" sourceLinked="1"/>
            <c:spPr>
              <a:noFill/>
              <a:ln w="6350">
                <a:noFill/>
              </a:ln>
              <a:effectLst/>
            </c:spPr>
            <c:txPr>
              <a:bodyPr vert="horz" rot="0" spcFirstLastPara="1" vertOverflow="ellipsis" anchor="ctr" anchorCtr="1" wrap="square"/>
              <a:lstStyle/>
              <a:p>
                <a:pPr algn="ctr">
                  <a:defRPr lang="en-US" sz="900" b="0" i="0" u="none" baseline="0" kern="1200">
                    <a:solidFill>
                      <a:schemeClr val="accent1"/>
                    </a:solidFill>
                    <a:latin typeface="+mn-lt"/>
                    <a:ea typeface="+mn-ea"/>
                    <a:cs typeface="+mn-cs"/>
                  </a:defRPr>
                </a:pPr>
                <a:endParaRPr lang="en-US"/>
              </a:p>
            </c:tx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0.01</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showLeaderLines val="1"/>
        </c:dLbls>
        <c:gapWidth val="100"/>
        <c:axId val="541186279"/>
        <c:axId val="-1182097361"/>
      </c:barChart>
      <c:catAx>
        <c:axId val="541186279"/>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crossAx val="-1182097361"/>
        <c:crosses val="autoZero"/>
        <c:auto val="1"/>
        <c:lblOffset val="100"/>
        <c:noMultiLvlLbl val="0"/>
      </c:catAx>
      <c:valAx>
        <c:axId val="-1182097361"/>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541186279"/>
        <c:crosses val="autoZero"/>
        <c:crossBetween val="between"/>
      </c:valAx>
      <c:spPr>
        <a:noFill/>
        <a:ln w="6350">
          <a:noFill/>
        </a:ln>
        <a:effectLst/>
      </c:spPr>
    </c:plotArea>
    <c:plotVisOnly val="1"/>
    <c:dispBlanksAs val="gap"/>
    <c:showDLblsOverMax val="0"/>
  </c:chart>
  <c:spPr>
    <a:solidFill>
      <a:schemeClr val="bg1"/>
    </a:solidFill>
    <a:ln w="9525" cap="flat" cmpd="sng">
      <a:solidFill>
        <a:schemeClr val="accent1"/>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13.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Watercourse retention category </a:t>
            </a:r>
          </a:p>
          <a:p>
            <a:pPr>
              <a:defRPr/>
            </a:pPr>
            <a:r>
              <a:rPr lang="en-GB" sz="1400" b="0" i="0" u="none" baseline="0">
                <a:solidFill>
                  <a:schemeClr val="accent1"/>
                </a:solidFill>
                <a:latin typeface="+mn-lt"/>
                <a:ea typeface="+mn-ea"/>
                <a:cs typeface="+mn-cs"/>
              </a:rPr>
              <a:t>(watercourse</a:t>
            </a:r>
            <a:r>
              <a:rPr lang="en-GB" sz="1400" b="0" i="0" u="none" baseline="0">
                <a:solidFill>
                  <a:schemeClr val="accent1"/>
                </a:solidFill>
                <a:latin typeface="+mn-lt"/>
                <a:ea typeface="+mn-ea"/>
                <a:cs typeface="+mn-cs"/>
              </a:rPr>
              <a:t> b</a:t>
            </a:r>
            <a:r>
              <a:rPr lang="en-GB" sz="1400" b="0" i="0" u="none" baseline="0">
                <a:solidFill>
                  <a:schemeClr val="accent1"/>
                </a:solidFill>
                <a:latin typeface="+mn-lt"/>
                <a:ea typeface="+mn-ea"/>
                <a:cs typeface="+mn-cs"/>
              </a:rPr>
              <a:t>iodiversity units)</a:t>
            </a:r>
          </a:p>
        </c:rich>
      </c:tx>
      <c:layout>
        <c:manualLayout>
          <c:xMode val="edge"/>
          <c:yMode val="edge"/>
          <c:x val="0.258022157900082"/>
          <c:y val="0.00395368171701295"/>
        </c:manualLayout>
      </c:layout>
      <c:overlay val="0"/>
      <c:spPr>
        <a:noFill/>
        <a:ln w="6350">
          <a:noFill/>
        </a:ln>
        <a:effectLst/>
      </c:spPr>
    </c:title>
    <c:autoTitleDeleted val="0"/>
    <c:plotArea>
      <c:layout/>
      <c:barChart>
        <c:barDir val="col"/>
        <c:grouping val="clustered"/>
        <c:varyColors val="1"/>
        <c:ser>
          <c:idx val="0"/>
          <c:order val="0"/>
          <c:invertIfNegative val="0"/>
          <c:dPt>
            <c:idx val="0"/>
            <c:invertIfNegative val="0"/>
            <c:spPr>
              <a:solidFill>
                <a:schemeClr val="accent1"/>
              </a:solidFill>
              <a:ln w="19050" cap="flat" cmpd="sng">
                <a:solidFill>
                  <a:schemeClr val="bg1"/>
                </a:solidFill>
              </a:ln>
              <a:effectLst/>
            </c:spPr>
          </c:dPt>
          <c:dPt>
            <c:idx val="1"/>
            <c:invertIfNegative val="0"/>
            <c:spPr>
              <a:solidFill>
                <a:schemeClr val="accent2"/>
              </a:solidFill>
              <a:ln w="19050" cap="flat" cmpd="sng">
                <a:solidFill>
                  <a:schemeClr val="bg1"/>
                </a:solidFill>
              </a:ln>
              <a:effectLst/>
            </c:spPr>
          </c:dPt>
          <c:dPt>
            <c:idx val="2"/>
            <c:invertIfNegative val="0"/>
            <c:spPr>
              <a:solidFill>
                <a:schemeClr val="accent3"/>
              </a:solidFill>
              <a:ln w="19050" cap="flat" cmpd="sng">
                <a:solidFill>
                  <a:schemeClr val="bg1"/>
                </a:solidFill>
              </a:ln>
              <a:effectLst/>
            </c:spPr>
          </c:dPt>
          <c:dPt>
            <c:idx val="3"/>
            <c:invertIfNegative val="0"/>
            <c:spPr>
              <a:solidFill>
                <a:schemeClr val="accent4"/>
              </a:solidFill>
              <a:ln w="19050" cap="flat" cmpd="sng">
                <a:solidFill>
                  <a:schemeClr val="bg1"/>
                </a:solidFill>
              </a:ln>
              <a:effectLst/>
            </c:spPr>
          </c:dPt>
          <c:dLbls>
            <c:numFmt formatCode="General" sourceLinked="1"/>
            <c:spPr>
              <a:noFill/>
              <a:ln w="6350">
                <a:noFill/>
              </a:ln>
              <a:effectLst/>
            </c:spPr>
            <c:showLegendKey val="0"/>
            <c:showVal val="1"/>
            <c:showCatName val="0"/>
            <c:showSerName val="0"/>
            <c:showPercent val="0"/>
            <c:showBubbleSize val="0"/>
            <c:showLeaderLines val="1"/>
            <c:extLst>
              <c:ext xmlns:c15="http://schemas.microsoft.com/office/drawing/2012/chart" uri="{CE6537A1-D6FC-4f65-9D91-7224C49458BB}">
                <c15:showLeaderLines val="1"/>
                <c15:leaderLines>
                  <c:spPr>
                    <a:ln w="9525" cap="flat" cmpd="sng">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Results'!$H$25,'Detailed Results'!$H$28,'Detailed Results'!$H$31)</c:f>
              <c:numCache>
                <c:formatCode>0.00</c:formatCode>
                <c:ptCount val="3"/>
                <c:pt idx="0">
                  <c:v>0.06688</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showLeaderLines val="1"/>
        </c:dLbls>
        <c:gapWidth val="100"/>
        <c:axId val="-698339813"/>
        <c:axId val="370473793"/>
      </c:barChart>
      <c:catAx>
        <c:axId val="-698339813"/>
        <c:scaling>
          <c:orientation val="minMax"/>
        </c:scaling>
        <c:delete val="0"/>
        <c:axPos val="b"/>
        <c:numFmt formatCode="General" sourceLinked="1"/>
        <c:majorTickMark val="out"/>
        <c:minorTickMark val="none"/>
        <c:tickLblPos val="nextTo"/>
        <c:spPr>
          <a:noFill/>
          <a:ln w="9525" cap="flat" cmpd="sng">
            <a:solidFill>
              <a:schemeClr val="tx1">
                <a:lumMod val="15000"/>
                <a:lumOff val="85000"/>
              </a:schemeClr>
            </a:solidFill>
            <a:round/>
          </a:ln>
          <a:effectLst/>
        </c:spPr>
        <c:crossAx val="370473793"/>
        <c:crosses val="autoZero"/>
        <c:auto val="1"/>
        <c:lblOffset val="100"/>
        <c:noMultiLvlLbl val="0"/>
      </c:catAx>
      <c:valAx>
        <c:axId val="370473793"/>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out"/>
        <c:minorTickMark val="none"/>
        <c:tickLblPos val="nextTo"/>
        <c:spPr>
          <a:noFill/>
          <a:ln w="6350">
            <a:noFill/>
          </a:ln>
          <a:effectLst/>
        </c:spPr>
        <c:crossAx val="-698339813"/>
        <c:crosses val="autoZero"/>
        <c:crossBetween val="between"/>
      </c:valAx>
      <c:spPr>
        <a:noFill/>
        <a:ln w="635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chemeClr val="accent1"/>
      </a:solidFill>
      <a:round/>
    </a:ln>
    <a:effectLst/>
  </c:spPr>
  <c:txPr>
    <a:bodyPr vert="horz" rot="0" wrap="square"/>
    <a:lstStyle/>
    <a:p>
      <a:pPr>
        <a:defRPr lang="en-US" sz="1000" b="0" i="0" u="none" baseline="0" kern="1200">
          <a:solidFill>
            <a:schemeClr val="accent1"/>
          </a:solidFill>
          <a:latin typeface="+mn-lt"/>
          <a:ea typeface="+mn-ea"/>
          <a:cs typeface="+mn-cs"/>
        </a:defRPr>
      </a:pPr>
      <a:endParaRPr lang="en-US"/>
    </a:p>
  </c:txPr>
</c:chartSpace>
</file>

<file path=xl/charts/chart14.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Watercourse </a:t>
            </a:r>
            <a:r>
              <a:rPr lang="en-GB" sz="1400" b="0" i="0" u="none" baseline="0">
                <a:solidFill>
                  <a:schemeClr val="accent1"/>
                </a:solidFill>
                <a:latin typeface="+mn-lt"/>
                <a:ea typeface="+mn-ea"/>
                <a:cs typeface="+mn-cs"/>
              </a:rPr>
              <a:t>b</a:t>
            </a:r>
            <a:r>
              <a:rPr lang="en-GB" sz="1400" b="0" i="0" u="none" baseline="0">
                <a:solidFill>
                  <a:schemeClr val="accent1"/>
                </a:solidFill>
                <a:latin typeface="+mn-lt"/>
                <a:ea typeface="+mn-ea"/>
                <a:cs typeface="+mn-cs"/>
              </a:rPr>
              <a:t>iodiversity unit change</a:t>
            </a:r>
          </a:p>
        </c:rich>
      </c:tx>
      <c:layout/>
      <c:overlay val="0"/>
      <c:spPr>
        <a:noFill/>
        <a:ln w="6350">
          <a:noFill/>
        </a:ln>
        <a:effectLst/>
      </c:spPr>
    </c:title>
    <c:autoTitleDeleted val="0"/>
    <c:plotArea>
      <c:layout>
        <c:manualLayout>
          <c:layoutTarget val="inner"/>
          <c:xMode val="edge"/>
          <c:yMode val="edge"/>
          <c:x val="0.0389524332959659"/>
          <c:y val="0.133286221759976"/>
          <c:w val="0.955322146857671"/>
          <c:h val="0.710074530740089"/>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0.06688</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0.06688</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showLeaderLines val="0"/>
        </c:dLbls>
        <c:overlap val="-27"/>
        <c:gapWidth val="219"/>
        <c:axId val="636862939"/>
        <c:axId val="-1569361908"/>
      </c:barChart>
      <c:catAx>
        <c:axId val="636862939"/>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569361908"/>
        <c:crosses val="autoZero"/>
        <c:auto val="1"/>
        <c:lblOffset val="100"/>
        <c:noMultiLvlLbl val="0"/>
      </c:catAx>
      <c:valAx>
        <c:axId val="-1569361908"/>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636862939"/>
        <c:crosses val="autoZero"/>
        <c:crossBetween val="between"/>
      </c:valAx>
      <c:spPr>
        <a:noFill/>
        <a:ln w="6350">
          <a:noFill/>
        </a:ln>
        <a:effectLst/>
      </c:spPr>
    </c:plotArea>
    <c:legend>
      <c:legendPos val="b"/>
      <c:layout>
        <c:manualLayout>
          <c:xMode val="edge"/>
          <c:yMode val="edge"/>
          <c:x val="0.135986551076577"/>
          <c:y val="0.924098118722669"/>
          <c:w val="0.701638146695299"/>
          <c:h val="0.0312616600112576"/>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rgbClr val="000000"/>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hart15.xml><?xml version="1.0" encoding="utf-8"?>
<c:chartSpace xmlns:c="http://schemas.openxmlformats.org/drawingml/2006/chart" xmlns:a="http://schemas.openxmlformats.org/drawingml/2006/main" xmlns:r="http://schemas.openxmlformats.org/officeDocument/2006/relationships">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vert="horz" rot="0" spcFirstLastPara="1" vertOverflow="ellipsis" anchor="ctr" anchorCtr="1" wrap="square"/>
          <a:lstStyle/>
          <a:p>
            <a:pPr>
              <a:defRPr/>
            </a:pPr>
            <a:r>
              <a:rPr lang="en-GB" sz="1400" b="0" i="0" u="none" baseline="0">
                <a:solidFill>
                  <a:schemeClr val="accent1"/>
                </a:solidFill>
                <a:latin typeface="+mn-lt"/>
                <a:ea typeface="+mn-ea"/>
                <a:cs typeface="+mn-cs"/>
              </a:rPr>
              <a:t>Watercourse </a:t>
            </a:r>
            <a:r>
              <a:rPr lang="en-GB" sz="1400" b="0" i="0" u="none" baseline="0">
                <a:solidFill>
                  <a:schemeClr val="accent1"/>
                </a:solidFill>
                <a:latin typeface="+mn-lt"/>
                <a:ea typeface="+mn-ea"/>
                <a:cs typeface="+mn-cs"/>
              </a:rPr>
              <a:t>length</a:t>
            </a:r>
            <a:r>
              <a:rPr lang="en-GB" sz="1400" b="0" i="0" u="none" baseline="0">
                <a:solidFill>
                  <a:schemeClr val="accent1"/>
                </a:solidFill>
                <a:latin typeface="+mn-lt"/>
                <a:ea typeface="+mn-ea"/>
                <a:cs typeface="+mn-cs"/>
              </a:rPr>
              <a:t> change (km)</a:t>
            </a:r>
          </a:p>
        </c:rich>
      </c:tx>
      <c:layout/>
      <c:overlay val="0"/>
      <c:spPr>
        <a:noFill/>
        <a:ln w="6350">
          <a:noFill/>
        </a:ln>
        <a:effectLst/>
      </c:spPr>
    </c:title>
    <c:autoTitleDeleted val="0"/>
    <c:plotArea>
      <c:layout>
        <c:manualLayout>
          <c:layoutTarget val="inner"/>
          <c:xMode val="edge"/>
          <c:yMode val="edge"/>
          <c:x val="0.0290840073773722"/>
          <c:y val="0.0827385919641258"/>
          <c:w val="0.961645812566134"/>
          <c:h val="0.745964090397008"/>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0.01</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0.01</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w="6350">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showLeaderLines val="0"/>
        </c:dLbls>
        <c:overlap val="-27"/>
        <c:gapWidth val="219"/>
        <c:axId val="-1584732846"/>
        <c:axId val="1116194008"/>
      </c:barChart>
      <c:catAx>
        <c:axId val="-1584732846"/>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116194008"/>
        <c:crosses val="autoZero"/>
        <c:auto val="1"/>
        <c:lblOffset val="100"/>
        <c:noMultiLvlLbl val="0"/>
      </c:catAx>
      <c:valAx>
        <c:axId val="1116194008"/>
        <c:scaling>
          <c:orientation val="minMax"/>
        </c:scaling>
        <c:delete val="0"/>
        <c:axPos val="l"/>
        <c:majorGridlines>
          <c:spPr>
            <a:ln w="9525" cap="flat" cmpd="sng">
              <a:solidFill>
                <a:schemeClr val="tx1">
                  <a:lumMod val="15000"/>
                  <a:lumOff val="85000"/>
                </a:schemeClr>
              </a:solidFill>
              <a:round/>
            </a:ln>
            <a:effectLst/>
          </c:spPr>
        </c:majorGridlines>
        <c:numFmt formatCode="General" sourceLinked="1"/>
        <c:majorTickMark val="none"/>
        <c:minorTickMark val="none"/>
        <c:tickLblPos val="nextTo"/>
        <c:spPr>
          <a:noFill/>
          <a:ln w="6350">
            <a:noFill/>
          </a:ln>
          <a:effectLst/>
        </c:spPr>
        <c:txPr>
          <a:bodyPr vert="horz" rot="-60000000" spcFirstLastPara="1" vertOverflow="ellipsis" anchor="ctr" anchorCtr="1" wrap="square"/>
          <a:lstStyle/>
          <a:p>
            <a:pPr>
              <a:defRPr lang="en-US" sz="900" b="0" i="0" u="none" baseline="0" kern="1200">
                <a:solidFill>
                  <a:schemeClr val="accent1"/>
                </a:solidFill>
                <a:latin typeface="+mn-lt"/>
                <a:ea typeface="+mn-ea"/>
                <a:cs typeface="+mn-cs"/>
              </a:defRPr>
            </a:pPr>
            <a:endParaRPr lang="en-US"/>
          </a:p>
        </c:txPr>
        <c:crossAx val="-1584732846"/>
        <c:crosses val="autoZero"/>
        <c:crossBetween val="between"/>
      </c:valAx>
      <c:spPr>
        <a:noFill/>
        <a:ln w="6350">
          <a:noFill/>
        </a:ln>
        <a:effectLst/>
      </c:spPr>
    </c:plotArea>
    <c:legend>
      <c:legendPos val="b"/>
      <c:layout>
        <c:manualLayout>
          <c:xMode val="edge"/>
          <c:yMode val="edge"/>
          <c:x val="0.123419911354223"/>
          <c:y val="0.931749182872107"/>
          <c:w val="0.693435524713432"/>
          <c:h val="0.0314938850000693"/>
        </c:manualLayout>
      </c:layout>
      <c:overlay val="0"/>
      <c:spPr>
        <a:noFill/>
        <a:ln w="6350">
          <a:noFill/>
        </a:ln>
        <a:effectLst/>
      </c:spPr>
      <c:txPr>
        <a:bodyPr vert="horz" rot="0" spcFirstLastPara="1" vertOverflow="ellipsis" anchor="ctr" anchorCtr="1" wrap="square"/>
        <a:lstStyle/>
        <a:p>
          <a:pPr>
            <a:defRPr lang="en-US" sz="1000" b="0" i="0" u="none" baseline="0" kern="120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solidFill>
        <a:srgbClr val="000000"/>
      </a:solidFill>
      <a:round/>
    </a:ln>
    <a:effectLst/>
  </c:spPr>
  <c:txPr>
    <a:bodyPr vert="horz" rot="0" wrap="square"/>
    <a:lstStyle/>
    <a:p>
      <a:pPr>
        <a:defRPr lang="en-US" u="none" baseline="0">
          <a:solidFill>
            <a:schemeClr val="accent1"/>
          </a:solidFill>
          <a:latin typeface="Calibri"/>
          <a:ea typeface="Calibri"/>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1.svg" /><Relationship Id="rId3" Type="http://schemas.openxmlformats.org/officeDocument/2006/relationships/image" Target="../media/image2.png" /><Relationship Id="rId4" Type="http://schemas.openxmlformats.org/officeDocument/2006/relationships/image" Target="../media/image2.svg" /></Relationships>
</file>

<file path=xl/drawings/_rels/drawing6.xml.rels><?xml version="1.0" encoding="UTF-8" standalone="yes"?><Relationships xmlns="http://schemas.openxmlformats.org/package/2006/relationships"><Relationship Id="rId11" Type="http://schemas.openxmlformats.org/officeDocument/2006/relationships/chart" Target="../charts/chart11.xml" /><Relationship Id="rId10" Type="http://schemas.openxmlformats.org/officeDocument/2006/relationships/chart" Target="../charts/chart10.xml" /><Relationship Id="rId13" Type="http://schemas.openxmlformats.org/officeDocument/2006/relationships/chart" Target="../charts/chart13.xml" /><Relationship Id="rId12" Type="http://schemas.openxmlformats.org/officeDocument/2006/relationships/chart" Target="../charts/chart12.xml" /><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9" Type="http://schemas.openxmlformats.org/officeDocument/2006/relationships/chart" Target="../charts/chart9.xml" /><Relationship Id="rId15" Type="http://schemas.openxmlformats.org/officeDocument/2006/relationships/chart" Target="../charts/chart15.xml" /><Relationship Id="rId14" Type="http://schemas.openxmlformats.org/officeDocument/2006/relationships/chart" Target="../charts/chart1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47623</xdr:colOff>
      <xdr:row>4</xdr:row>
      <xdr:rowOff>15875</xdr:rowOff>
    </xdr:from>
    <xdr:to>
      <xdr:col>9</xdr:col>
      <xdr:colOff>1047748</xdr:colOff>
      <xdr:row>16</xdr:row>
      <xdr:rowOff>182879</xdr:rowOff>
    </xdr:to>
    <xdr:sp>
      <xdr:nvSpPr>
        <xdr:cNvPr id="7" name="TextBox 6">
          <a:extLst>
            <a:ext uri="{FF2B5EF4-FFF2-40B4-BE49-F238E27FC236}">
              <a16:creationId xmlns:a16="http://schemas.microsoft.com/office/drawing/2014/main" id="{00000000-0008-0000-0000-000007000000}"/>
            </a:ext>
          </a:extLst>
        </xdr:cNvPr>
        <xdr:cNvSpPr txBox="1"/>
      </xdr:nvSpPr>
      <xdr:spPr>
        <a:xfrm>
          <a:off x="47625" y="1028700"/>
          <a:ext cx="6438900" cy="2686050"/>
        </a:xfrm>
        <a:prstGeom prst="rect"/>
        <a:solidFill>
          <a:schemeClr val="tx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ctr" defTabSz="914400" fontAlgn="auto" indent="0" lvl="0" marL="0" marR="0" hangingPunct="1" eaLnBrk="1" latinLnBrk="0">
            <a:lnSpc>
              <a:spcPct val="100000"/>
            </a:lnSpc>
            <a:spcBef>
              <a:spcPts val="600"/>
            </a:spcBef>
            <a:spcAft>
              <a:spcPts val="0"/>
            </a:spcAft>
            <a:buClrTx/>
            <a:buSzTx/>
            <a:buFontTx/>
            <a:buNone/>
          </a:pPr>
          <a:r>
            <a:rPr lang="en-GB" sz="3600" u="none" b="0" i="0" kern="1400" spc="-50" baseline="0" kumimoji="0">
              <a:ln>
                <a:noFill/>
              </a:ln>
              <a:solidFill>
                <a:schemeClr val="accent1"/>
              </a:solidFill>
              <a:effectLst/>
              <a:latin typeface="Source Sans Pro" panose="020B0503030403020204" pitchFamily="34" charset="0"/>
              <a:ea typeface="Source Sans Pro" panose="020B0503030403020204" pitchFamily="34" charset="0"/>
              <a:cs typeface="Arial" panose="020B0604020202020204" pitchFamily="34" charset="0"/>
            </a:rPr>
            <a:t>The Statutory Biodiversity Metric</a:t>
          </a:r>
        </a:p>
        <a:p>
          <a:pPr algn="ctr" defTabSz="914400" fontAlgn="auto" indent="0" lvl="0" marL="0" marR="0" hangingPunct="1" eaLnBrk="1" latinLnBrk="0">
            <a:lnSpc>
              <a:spcPct val="100000"/>
            </a:lnSpc>
            <a:spcBef>
              <a:spcPts val="600"/>
            </a:spcBef>
            <a:spcAft>
              <a:spcPts val="0"/>
            </a:spcAft>
            <a:buClrTx/>
            <a:buSzTx/>
            <a:buFontTx/>
            <a:buNone/>
          </a:pPr>
          <a:r>
            <a:rPr lang="en-GB" sz="2000" u="none" b="0" i="0" kern="0" spc="75" baseline="0" kumimoji="0">
              <a:ln>
                <a:noFill/>
              </a:ln>
              <a:solidFill>
                <a:schemeClr val="accent1"/>
              </a:solidFill>
              <a:effectLst/>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algn="ctr" defTabSz="914400" fontAlgn="auto" indent="-90170" lvl="0" marL="810260" marR="600710" hangingPunct="1" eaLnBrk="1" latinLnBrk="0">
            <a:lnSpc>
              <a:spcPct val="107000"/>
            </a:lnSpc>
            <a:spcBef>
              <a:spcPts val="600"/>
            </a:spcBef>
            <a:spcAft>
              <a:spcPts val="600"/>
            </a:spcAft>
            <a:buClrTx/>
            <a:buSzTx/>
            <a:buFontTx/>
            <a:buNone/>
          </a:pPr>
          <a:r>
            <a:rPr lang="en-GB" sz="2800" u="none" b="1" i="0" kern="0" spc="0" baseline="0" kumimoji="0">
              <a:ln>
                <a:noFill/>
              </a:ln>
              <a:solidFill>
                <a:schemeClr val="accent1"/>
              </a:solidFill>
              <a:effectLst/>
              <a:latin typeface="Source Sans Pro" panose="020B0503030403020204" pitchFamily="34" charset="0"/>
              <a:ea typeface="Source Sans Pro" panose="020B0503030403020204" pitchFamily="34" charset="0"/>
              <a:cs typeface="Arial" panose="020B0604020202020204" pitchFamily="34" charset="0"/>
            </a:rPr>
            <a:t>Calculation Tool</a:t>
          </a:r>
        </a:p>
        <a:p>
          <a:pPr algn="ctr" defTabSz="914400" fontAlgn="auto" indent="-90170" lvl="0" marL="810260" marR="600710" hangingPunct="1" eaLnBrk="1" latinLnBrk="0">
            <a:lnSpc>
              <a:spcPct val="107000"/>
            </a:lnSpc>
            <a:spcBef>
              <a:spcPts val="600"/>
            </a:spcBef>
            <a:spcAft>
              <a:spcPts val="600"/>
            </a:spcAft>
            <a:buClrTx/>
            <a:buSzTx/>
            <a:buFontTx/>
            <a:buNone/>
          </a:pPr>
          <a:endParaRPr lang="en-GB" sz="2800" u="none" b="1" i="0" kern="0" spc="0" baseline="0" kumimoji="0">
            <a:ln>
              <a:noFill/>
            </a:ln>
            <a:solidFill>
              <a:schemeClr val="accent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9</xdr:col>
      <xdr:colOff>1106964</xdr:colOff>
      <xdr:row>0</xdr:row>
      <xdr:rowOff>66674</xdr:rowOff>
    </xdr:from>
    <xdr:to>
      <xdr:col>15</xdr:col>
      <xdr:colOff>393427</xdr:colOff>
      <xdr:row>23</xdr:row>
      <xdr:rowOff>104775</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6543675" y="66675"/>
          <a:ext cx="5676900" cy="5029200"/>
        </a:xfrm>
        <a:prstGeom prst="rect"/>
        <a:noFill/>
        <a:ln>
          <a:noFill/>
        </a:ln>
      </xdr:spPr>
    </xdr:pic>
    <xdr:clientData/>
  </xdr:twoCellAnchor>
  <xdr:twoCellAnchor>
    <xdr:from>
      <xdr:col>2</xdr:col>
      <xdr:colOff>126999</xdr:colOff>
      <xdr:row>11</xdr:row>
      <xdr:rowOff>31749</xdr:rowOff>
    </xdr:from>
    <xdr:to>
      <xdr:col>8</xdr:col>
      <xdr:colOff>357188</xdr:colOff>
      <xdr:row>14</xdr:row>
      <xdr:rowOff>190500</xdr:rowOff>
    </xdr:to>
    <xdr:sp>
      <xdr:nvSpPr>
        <xdr:cNvPr id="2" name="TextBox 1">
          <a:extLst>
            <a:ext uri="{FF2B5EF4-FFF2-40B4-BE49-F238E27FC236}">
              <a16:creationId xmlns:a16="http://schemas.microsoft.com/office/drawing/2014/main" id="{00000000-0008-0000-0000-000002000000}"/>
            </a:ext>
          </a:extLst>
        </xdr:cNvPr>
        <xdr:cNvSpPr txBox="1"/>
      </xdr:nvSpPr>
      <xdr:spPr>
        <a:xfrm>
          <a:off x="1381125" y="2505075"/>
          <a:ext cx="3781425" cy="790575"/>
        </a:xfrm>
        <a:prstGeom prst="rect"/>
        <a:solidFill>
          <a:schemeClr val="tx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ctr" defTabSz="914400" fontAlgn="auto" indent="-90170" lvl="0" marL="810260" marR="600710" hangingPunct="1" eaLnBrk="1" latinLnBrk="0">
            <a:lnSpc>
              <a:spcPct val="107000"/>
            </a:lnSpc>
            <a:spcBef>
              <a:spcPts val="600"/>
            </a:spcBef>
            <a:spcAft>
              <a:spcPts val="600"/>
            </a:spcAft>
            <a:buClrTx/>
            <a:buSzTx/>
            <a:buFontTx/>
            <a:buNone/>
          </a:pPr>
          <a:r>
            <a:rPr lang="en-GB" sz="900" u="none" b="1" i="0" kern="0" spc="0" baseline="0" kumimoji="0">
              <a:ln>
                <a:noFill/>
              </a:ln>
              <a:solidFill>
                <a:schemeClr val="accent1"/>
              </a:solidFill>
              <a:effectLst/>
              <a:latin typeface="Arial" panose="020B0604020202020204" pitchFamily="34" charset="0"/>
              <a:ea typeface="+mn-ea"/>
              <a:cs typeface="Arial" panose="020B0604020202020204" pitchFamily="34" charset="0"/>
            </a:rPr>
            <a:t>Version 1.0.4</a:t>
          </a:r>
        </a:p>
      </xdr:txBody>
    </xdr:sp>
    <xdr:clientData/>
  </xdr:twoCellAnchor>
  <xdr:twoCellAnchor>
    <xdr:from>
      <xdr:col>4</xdr:col>
      <xdr:colOff>94457</xdr:colOff>
      <xdr:row>12</xdr:row>
      <xdr:rowOff>103795</xdr:rowOff>
    </xdr:from>
    <xdr:to>
      <xdr:col>6</xdr:col>
      <xdr:colOff>576048</xdr:colOff>
      <xdr:row>14</xdr:row>
      <xdr:rowOff>104371</xdr:rowOff>
    </xdr:to>
    <xdr:sp macro="[0]!Activatestartmenu">
      <xdr:nvSpPr>
        <xdr:cNvPr id="14" name="TextBox 13">
          <a:extLst>
            <a:ext uri="{FF2B5EF4-FFF2-40B4-BE49-F238E27FC236}">
              <a16:creationId xmlns:a16="http://schemas.microsoft.com/office/drawing/2014/main" id="{00000000-0008-0000-0000-00000e000000}"/>
            </a:ext>
          </a:extLst>
        </xdr:cNvPr>
        <xdr:cNvSpPr txBox="1"/>
      </xdr:nvSpPr>
      <xdr:spPr>
        <a:xfrm>
          <a:off x="2447925" y="2790825"/>
          <a:ext cx="1743075" cy="4191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tx1"/>
        </a:lnRef>
        <a:fillRef idx="1">
          <a:schemeClr val="bg1"/>
        </a:fillRef>
        <a:effectRef idx="0">
          <a:schemeClr val="tx1"/>
        </a:effectRef>
        <a:fontRef idx="minor">
          <a:schemeClr val="tx1"/>
        </a:fontRef>
      </xdr:style>
      <xdr:txBody>
        <a:bodyPr vertOverflow="clip" horzOverflow="clip" wrap="square" rtlCol="0" anchor="ctr"/>
        <a:lstStyle/>
        <a:p>
          <a:pPr algn="ctr" defTabSz="914400" fontAlgn="auto" indent="0" lvl="0" marL="0" marR="0" hangingPunct="1" eaLnBrk="1" latinLnBrk="0">
            <a:lnSpc>
              <a:spcPct val="100000"/>
            </a:lnSpc>
            <a:spcBef>
              <a:spcPts val="0"/>
            </a:spcBef>
            <a:spcAft>
              <a:spcPts val="0"/>
            </a:spcAft>
            <a:buClrTx/>
            <a:buSzTx/>
            <a:buFontTx/>
            <a:buNone/>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xdr:from>
      <xdr:col>20</xdr:col>
      <xdr:colOff>0</xdr:colOff>
      <xdr:row>7</xdr:row>
      <xdr:rowOff>0</xdr:rowOff>
    </xdr:from>
    <xdr:to>
      <xdr:col>22</xdr:col>
      <xdr:colOff>29369</xdr:colOff>
      <xdr:row>9</xdr:row>
      <xdr:rowOff>81756</xdr:rowOff>
    </xdr:to>
    <xdr:sp macro="[0]!Protectall">
      <xdr:nvSpPr>
        <xdr:cNvPr id="3" name="Rectangle: Rounded Corners 2" descr="Protect all&#10;">
          <a:extLst>
            <a:ext uri="{FF2B5EF4-FFF2-40B4-BE49-F238E27FC236}">
              <a16:creationId xmlns:a16="http://schemas.microsoft.com/office/drawing/2014/main" id="{00000000-0008-0000-0000-000003000000}"/>
            </a:ext>
          </a:extLst>
        </xdr:cNvPr>
        <xdr:cNvSpPr/>
      </xdr:nvSpPr>
      <xdr:spPr>
        <a:xfrm>
          <a:off x="14344650" y="1638300"/>
          <a:ext cx="0" cy="504825"/>
        </a:xfrm>
        <a:prstGeom prst="roundRect"/>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600" b="1">
              <a:solidFill>
                <a:schemeClr val="bg1"/>
              </a:solidFill>
            </a:rPr>
            <a:t>Protect all</a:t>
          </a:r>
        </a:p>
        <a:p>
          <a:pPr algn="ctr"/>
          <a:endParaRPr lang="en-GB" sz="11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0</xdr:colOff>
      <xdr:row>55</xdr:row>
      <xdr:rowOff>95250</xdr:rowOff>
    </xdr:from>
    <xdr:to>
      <xdr:col>7</xdr:col>
      <xdr:colOff>31750</xdr:colOff>
      <xdr:row>64</xdr:row>
      <xdr:rowOff>577849</xdr:rowOff>
    </xdr:to>
    <xdr:sp>
      <xdr:nvSpPr>
        <xdr:cNvPr id="21" name="TextBox 20">
          <a:extLst>
            <a:ext uri="{FF2B5EF4-FFF2-40B4-BE49-F238E27FC236}">
              <a16:creationId xmlns:a16="http://schemas.microsoft.com/office/drawing/2014/main" id="{00000000-0008-0000-0100-000015000000}"/>
            </a:ext>
          </a:extLst>
        </xdr:cNvPr>
        <xdr:cNvSpPr txBox="1"/>
      </xdr:nvSpPr>
      <xdr:spPr>
        <a:xfrm>
          <a:off x="523875" y="13058775"/>
          <a:ext cx="4572000" cy="3743325"/>
        </a:xfrm>
        <a:prstGeom prst="rect"/>
        <a:solidFill>
          <a:schemeClr val="bg2"/>
        </a:solidFill>
        <a:ln w="34925" cmpd="sng">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xdr:nvSpPr>
        <xdr:cNvPr id="22" name="TextBox 21">
          <a:extLst>
            <a:ext uri="{FF2B5EF4-FFF2-40B4-BE49-F238E27FC236}">
              <a16:creationId xmlns:a16="http://schemas.microsoft.com/office/drawing/2014/main" id="{00000000-0008-0000-0100-000016000000}"/>
            </a:ext>
          </a:extLst>
        </xdr:cNvPr>
        <xdr:cNvSpPr txBox="1"/>
      </xdr:nvSpPr>
      <xdr:spPr>
        <a:xfrm>
          <a:off x="5572125" y="13058775"/>
          <a:ext cx="5657850" cy="3743325"/>
        </a:xfrm>
        <a:prstGeom prst="rect"/>
        <a:solidFill>
          <a:schemeClr val="bg2"/>
        </a:solidFill>
        <a:ln w="34925" cmpd="sng">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xdr:nvSpPr>
        <xdr:cNvPr id="19" name="TextBox 18">
          <a:extLst>
            <a:ext uri="{FF2B5EF4-FFF2-40B4-BE49-F238E27FC236}">
              <a16:creationId xmlns:a16="http://schemas.microsoft.com/office/drawing/2014/main" id="{00000000-0008-0000-0100-000013000000}"/>
            </a:ext>
          </a:extLst>
        </xdr:cNvPr>
        <xdr:cNvSpPr txBox="1"/>
      </xdr:nvSpPr>
      <xdr:spPr>
        <a:xfrm>
          <a:off x="5572125" y="9115425"/>
          <a:ext cx="5638800" cy="3638550"/>
        </a:xfrm>
        <a:prstGeom prst="rect"/>
        <a:solidFill>
          <a:schemeClr val="bg2"/>
        </a:solidFill>
        <a:ln w="34925" cmpd="sng">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2000">
              <a:solidFill>
                <a:srgbClr val="000000"/>
              </a:solidFill>
              <a:latin typeface="Rockwell Light" panose="02040303020102020203" pitchFamily="18" charset="0"/>
            </a:rPr>
            <a:t>On-site</a:t>
          </a:r>
          <a:r>
            <a:rPr lang="en-GB" sz="2000" baseline="0">
              <a:solidFill>
                <a:srgbClr val="000000"/>
              </a:solidFill>
              <a:latin typeface="Rockwell Light" panose="02040303020102020203" pitchFamily="18" charset="0"/>
            </a:rPr>
            <a:t> p</a:t>
          </a:r>
          <a:r>
            <a:rPr lang="en-GB" sz="2000">
              <a:solidFill>
                <a:srgbClr val="000000"/>
              </a:solidFill>
              <a:latin typeface="Rockwell Light" panose="02040303020102020203" pitchFamily="18" charset="0"/>
            </a:rPr>
            <a:t>ost intervention</a:t>
          </a:r>
          <a:r>
            <a:rPr lang="en-GB" sz="2000" baseline="0">
              <a:solidFill>
                <a:srgbClr val="000000"/>
              </a:solidFill>
              <a:latin typeface="Rockwell Light" panose="02040303020102020203" pitchFamily="18" charset="0"/>
            </a:rPr>
            <a:t> </a:t>
          </a:r>
          <a:r>
            <a:rPr lang="en-GB" sz="2000">
              <a:solidFill>
                <a:srgbClr val="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xdr:nvSpPr>
        <xdr:cNvPr id="13" name="TextBox 12">
          <a:extLst>
            <a:ext uri="{FF2B5EF4-FFF2-40B4-BE49-F238E27FC236}">
              <a16:creationId xmlns:a16="http://schemas.microsoft.com/office/drawing/2014/main" id="{00000000-0008-0000-0100-00000d000000}"/>
            </a:ext>
          </a:extLst>
        </xdr:cNvPr>
        <xdr:cNvSpPr txBox="1"/>
      </xdr:nvSpPr>
      <xdr:spPr>
        <a:xfrm>
          <a:off x="514350" y="9115425"/>
          <a:ext cx="4562475" cy="3638550"/>
        </a:xfrm>
        <a:prstGeom prst="rect"/>
        <a:solidFill>
          <a:schemeClr val="bg2"/>
        </a:solidFill>
        <a:ln w="34925" cmpd="sng">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2000">
              <a:solidFill>
                <a:srgbClr val="000000"/>
              </a:solidFill>
              <a:latin typeface="Rockwell Light" panose="02040303020102020203" pitchFamily="18" charset="0"/>
            </a:rPr>
            <a:t>On-site baseline</a:t>
          </a:r>
          <a:r>
            <a:rPr lang="en-GB" sz="2000" baseline="0">
              <a:solidFill>
                <a:srgbClr val="000000"/>
              </a:solidFill>
              <a:latin typeface="Rockwell Light" panose="02040303020102020203" pitchFamily="18" charset="0"/>
            </a:rPr>
            <a:t> map</a:t>
          </a:r>
          <a:endParaRPr lang="en-GB" sz="2000">
            <a:solidFill>
              <a:srgbClr val="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xdr:nvSpPr>
        <xdr:cNvPr id="4" name="TextBox 3">
          <a:extLst>
            <a:ext uri="{FF2B5EF4-FFF2-40B4-BE49-F238E27FC236}">
              <a16:creationId xmlns:a16="http://schemas.microsoft.com/office/drawing/2014/main" id="{00000000-0008-0000-0100-000004000000}"/>
            </a:ext>
          </a:extLst>
        </xdr:cNvPr>
        <xdr:cNvSpPr txBox="1"/>
      </xdr:nvSpPr>
      <xdr:spPr>
        <a:xfrm>
          <a:off x="10277475" y="2876550"/>
          <a:ext cx="1790700" cy="14001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xdr:nvSpPr>
        <xdr:cNvPr id="5" name="TextBox 4">
          <a:extLst>
            <a:ext uri="{FF2B5EF4-FFF2-40B4-BE49-F238E27FC236}">
              <a16:creationId xmlns:a16="http://schemas.microsoft.com/office/drawing/2014/main" id="{00000000-0008-0000-0100-000005000000}"/>
            </a:ext>
          </a:extLst>
        </xdr:cNvPr>
        <xdr:cNvSpPr txBox="1"/>
      </xdr:nvSpPr>
      <xdr:spPr>
        <a:xfrm>
          <a:off x="409575" y="114300"/>
          <a:ext cx="11706225" cy="1181100"/>
        </a:xfrm>
        <a:prstGeom prst="roundRect"/>
        <a:solidFill>
          <a:srgbClr val="E0DCD3"/>
        </a:solidFill>
        <a:ln w="9525" cmpd="sng">
          <a:solidFill>
            <a:schemeClr val="bg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2800" u="none" b="0" i="0">
              <a:solidFill>
                <a:srgbClr val="000000"/>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u="none" b="0" i="0">
              <a:solidFill>
                <a:srgbClr val="000000"/>
              </a:solidFill>
              <a:effectLst/>
              <a:latin typeface="Rockwell Light" panose="02040303020102020203" pitchFamily="18" charset="0"/>
              <a:ea typeface="Source Sans Pro" panose="020B0503030403020204" pitchFamily="34" charset="0"/>
              <a:cs typeface="+mn-cs"/>
            </a:rPr>
            <a:t>Start</a:t>
          </a:r>
          <a:r>
            <a:rPr lang="en-GB" sz="2800" u="none" b="0" i="0" baseline="0">
              <a:solidFill>
                <a:srgbClr val="000000"/>
              </a:solidFill>
              <a:effectLst/>
              <a:latin typeface="Rockwell Light" panose="02040303020102020203" pitchFamily="18" charset="0"/>
              <a:ea typeface="Source Sans Pro" panose="020B0503030403020204" pitchFamily="34" charset="0"/>
              <a:cs typeface="+mn-cs"/>
            </a:rPr>
            <a:t> page</a:t>
          </a:r>
          <a:r>
            <a:rPr lang="en-GB" sz="2800" b="0">
              <a:solidFill>
                <a:srgbClr val="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xdr:nvSpPr>
        <xdr:cNvPr id="9" name="Rounded Rectangle 8">
          <a:extLst>
            <a:ext uri="{FF2B5EF4-FFF2-40B4-BE49-F238E27FC236}">
              <a16:creationId xmlns:a16="http://schemas.microsoft.com/office/drawing/2014/main" id="{00000000-0008-0000-0100-000009000000}"/>
            </a:ext>
          </a:extLst>
        </xdr:cNvPr>
        <xdr:cNvSpPr/>
      </xdr:nvSpPr>
      <xdr:spPr>
        <a:xfrm>
          <a:off x="10296525" y="4476750"/>
          <a:ext cx="1828800" cy="1485900"/>
        </a:xfrm>
        <a:prstGeom prst="roundRect"/>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xdr:nvSpPr>
        <xdr:cNvPr id="14" name="Rounded Rectangle 13">
          <a:extLst>
            <a:ext uri="{FF2B5EF4-FFF2-40B4-BE49-F238E27FC236}">
              <a16:creationId xmlns:a16="http://schemas.microsoft.com/office/drawing/2014/main" id="{00000000-0008-0000-0100-00000e000000}"/>
            </a:ext>
          </a:extLst>
        </xdr:cNvPr>
        <xdr:cNvSpPr/>
      </xdr:nvSpPr>
      <xdr:spPr>
        <a:xfrm>
          <a:off x="10315575" y="8582025"/>
          <a:ext cx="1733550"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xdr:nvSpPr>
        <xdr:cNvPr id="11" name="Rounded Rectangle 10">
          <a:extLst>
            <a:ext uri="{FF2B5EF4-FFF2-40B4-BE49-F238E27FC236}">
              <a16:creationId xmlns:a16="http://schemas.microsoft.com/office/drawing/2014/main" id="{00000000-0008-0000-0100-00000b000000}"/>
            </a:ext>
          </a:extLst>
        </xdr:cNvPr>
        <xdr:cNvSpPr/>
      </xdr:nvSpPr>
      <xdr:spPr>
        <a:xfrm>
          <a:off x="10325100" y="7553325"/>
          <a:ext cx="1704975" cy="8953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xdr:nvSpPr>
        <xdr:cNvPr id="10" name="Rounded Rectangle 13">
          <a:extLst>
            <a:ext uri="{FF2B5EF4-FFF2-40B4-BE49-F238E27FC236}">
              <a16:creationId xmlns:a16="http://schemas.microsoft.com/office/drawing/2014/main" id="{00000000-0008-0000-0100-00000a000000}"/>
            </a:ext>
          </a:extLst>
        </xdr:cNvPr>
        <xdr:cNvSpPr/>
      </xdr:nvSpPr>
      <xdr:spPr>
        <a:xfrm>
          <a:off x="4114800" y="9220200"/>
          <a:ext cx="800100" cy="3905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xdr:nvSpPr>
        <xdr:cNvPr id="12" name="Rounded Rectangle 13">
          <a:extLst>
            <a:ext uri="{FF2B5EF4-FFF2-40B4-BE49-F238E27FC236}">
              <a16:creationId xmlns:a16="http://schemas.microsoft.com/office/drawing/2014/main" id="{00000000-0008-0000-0100-00000c000000}"/>
            </a:ext>
          </a:extLst>
        </xdr:cNvPr>
        <xdr:cNvSpPr/>
      </xdr:nvSpPr>
      <xdr:spPr>
        <a:xfrm>
          <a:off x="10287000" y="9201150"/>
          <a:ext cx="800100" cy="4000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xdr:nvSpPr>
        <xdr:cNvPr id="23" name="Rounded Rectangle 13">
          <a:extLst>
            <a:ext uri="{FF2B5EF4-FFF2-40B4-BE49-F238E27FC236}">
              <a16:creationId xmlns:a16="http://schemas.microsoft.com/office/drawing/2014/main" id="{00000000-0008-0000-0100-000017000000}"/>
            </a:ext>
          </a:extLst>
        </xdr:cNvPr>
        <xdr:cNvSpPr/>
      </xdr:nvSpPr>
      <xdr:spPr>
        <a:xfrm>
          <a:off x="4086225" y="13134975"/>
          <a:ext cx="800100"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xdr:nvSpPr>
        <xdr:cNvPr id="34" name="Rounded Rectangle 13">
          <a:extLst>
            <a:ext uri="{FF2B5EF4-FFF2-40B4-BE49-F238E27FC236}">
              <a16:creationId xmlns:a16="http://schemas.microsoft.com/office/drawing/2014/main" id="{00000000-0008-0000-0100-000022000000}"/>
            </a:ext>
          </a:extLst>
        </xdr:cNvPr>
        <xdr:cNvSpPr/>
      </xdr:nvSpPr>
      <xdr:spPr>
        <a:xfrm>
          <a:off x="10229850" y="13134975"/>
          <a:ext cx="838200"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137974</xdr:colOff>
      <xdr:row>14</xdr:row>
      <xdr:rowOff>125458</xdr:rowOff>
    </xdr:from>
    <xdr:to>
      <xdr:col>4</xdr:col>
      <xdr:colOff>364065</xdr:colOff>
      <xdr:row>39</xdr:row>
      <xdr:rowOff>1016000</xdr:rowOff>
    </xdr:to>
    <xdr:sp>
      <xdr:nvSpPr>
        <xdr:cNvPr id="33" name="TextBox 32">
          <a:extLst>
            <a:ext uri="{FF2B5EF4-FFF2-40B4-BE49-F238E27FC236}">
              <a16:creationId xmlns:a16="http://schemas.microsoft.com/office/drawing/2014/main" id="{00000000-0008-0000-0300-000021000000}"/>
            </a:ext>
          </a:extLst>
        </xdr:cNvPr>
        <xdr:cNvSpPr txBox="1"/>
      </xdr:nvSpPr>
      <xdr:spPr>
        <a:xfrm>
          <a:off x="295275" y="3476625"/>
          <a:ext cx="1790700" cy="5781675"/>
        </a:xfrm>
        <a:prstGeom prst="roundRect"/>
        <a:solidFill>
          <a:srgbClr val="E0DCD3"/>
        </a:solidFill>
        <a:ln>
          <a:noFill/>
        </a:ln>
        <a:effectLst>
          <a:outerShdw blurRad="107950" dist="12700" dir="5400000" algn="ctr">
            <a:srgbClr val="000000"/>
          </a:outerShdw>
          <a:softEdge rad="0"/>
        </a:effectLst>
      </xdr:spPr>
      <xdr:style>
        <a:lnRef idx="2">
          <a:schemeClr val="tx1"/>
        </a:lnRef>
        <a:fillRef idx="1">
          <a:schemeClr val="bg1"/>
        </a:fillRef>
        <a:effectRef idx="0">
          <a:schemeClr val="tx1"/>
        </a:effectRef>
        <a:fontRef idx="minor">
          <a:schemeClr val="tx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14</xdr:row>
      <xdr:rowOff>67733</xdr:rowOff>
    </xdr:from>
    <xdr:to>
      <xdr:col>12</xdr:col>
      <xdr:colOff>536637</xdr:colOff>
      <xdr:row>39</xdr:row>
      <xdr:rowOff>1109132</xdr:rowOff>
    </xdr:to>
    <xdr:sp>
      <xdr:nvSpPr>
        <xdr:cNvPr id="35" name="TextBox 34">
          <a:extLst>
            <a:ext uri="{FF2B5EF4-FFF2-40B4-BE49-F238E27FC236}">
              <a16:creationId xmlns:a16="http://schemas.microsoft.com/office/drawing/2014/main" id="{00000000-0008-0000-0300-000023000000}"/>
            </a:ext>
          </a:extLst>
        </xdr:cNvPr>
        <xdr:cNvSpPr txBox="1"/>
      </xdr:nvSpPr>
      <xdr:spPr>
        <a:xfrm>
          <a:off x="2219325" y="3419475"/>
          <a:ext cx="4905375" cy="5934075"/>
        </a:xfrm>
        <a:prstGeom prst="roundRect"/>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tx1"/>
        </a:lnRef>
        <a:fillRef idx="1">
          <a:schemeClr val="bg1"/>
        </a:fillRef>
        <a:effectRef idx="0">
          <a:schemeClr val="tx1"/>
        </a:effectRef>
        <a:fontRef idx="minor">
          <a:schemeClr val="tx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19</xdr:row>
      <xdr:rowOff>151039</xdr:rowOff>
    </xdr:from>
    <xdr:to>
      <xdr:col>4</xdr:col>
      <xdr:colOff>185057</xdr:colOff>
      <xdr:row>26</xdr:row>
      <xdr:rowOff>1</xdr:rowOff>
    </xdr:to>
    <xdr:sp macro="[0]!ActivateA1baseline">
      <xdr:nvSpPr>
        <xdr:cNvPr id="39" name="TextBox 38">
          <a:extLst>
            <a:ext uri="{FF2B5EF4-FFF2-40B4-BE49-F238E27FC236}">
              <a16:creationId xmlns:a16="http://schemas.microsoft.com/office/drawing/2014/main" id="{00000000-0008-0000-0300-000027000000}"/>
            </a:ext>
          </a:extLst>
        </xdr:cNvPr>
        <xdr:cNvSpPr txBox="1"/>
      </xdr:nvSpPr>
      <xdr:spPr>
        <a:xfrm>
          <a:off x="542925" y="4552950"/>
          <a:ext cx="1362075" cy="1314450"/>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19</xdr:row>
      <xdr:rowOff>143933</xdr:rowOff>
    </xdr:from>
    <xdr:to>
      <xdr:col>8</xdr:col>
      <xdr:colOff>194733</xdr:colOff>
      <xdr:row>25</xdr:row>
      <xdr:rowOff>194732</xdr:rowOff>
    </xdr:to>
    <xdr:sp macro="[0]!Activatecreation">
      <xdr:nvSpPr>
        <xdr:cNvPr id="41" name="TextBox 40">
          <a:extLst>
            <a:ext uri="{FF2B5EF4-FFF2-40B4-BE49-F238E27FC236}">
              <a16:creationId xmlns:a16="http://schemas.microsoft.com/office/drawing/2014/main" id="{00000000-0008-0000-0300-000029000000}"/>
            </a:ext>
          </a:extLst>
        </xdr:cNvPr>
        <xdr:cNvSpPr txBox="1"/>
      </xdr:nvSpPr>
      <xdr:spPr>
        <a:xfrm>
          <a:off x="2771775" y="4543425"/>
          <a:ext cx="1657350" cy="1304925"/>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19</xdr:row>
      <xdr:rowOff>159354</xdr:rowOff>
    </xdr:from>
    <xdr:to>
      <xdr:col>11</xdr:col>
      <xdr:colOff>499534</xdr:colOff>
      <xdr:row>26</xdr:row>
      <xdr:rowOff>25399</xdr:rowOff>
    </xdr:to>
    <xdr:sp macro="[0]!ActivateEnhancement">
      <xdr:nvSpPr>
        <xdr:cNvPr id="42" name="TextBox 41">
          <a:extLst>
            <a:ext uri="{FF2B5EF4-FFF2-40B4-BE49-F238E27FC236}">
              <a16:creationId xmlns:a16="http://schemas.microsoft.com/office/drawing/2014/main" id="{00000000-0008-0000-0300-00002a000000}"/>
            </a:ext>
          </a:extLst>
        </xdr:cNvPr>
        <xdr:cNvSpPr txBox="1"/>
      </xdr:nvSpPr>
      <xdr:spPr>
        <a:xfrm>
          <a:off x="4695825" y="4562475"/>
          <a:ext cx="1771650" cy="1333500"/>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14</xdr:row>
      <xdr:rowOff>50800</xdr:rowOff>
    </xdr:from>
    <xdr:to>
      <xdr:col>21</xdr:col>
      <xdr:colOff>400050</xdr:colOff>
      <xdr:row>40</xdr:row>
      <xdr:rowOff>30479</xdr:rowOff>
    </xdr:to>
    <xdr:sp>
      <xdr:nvSpPr>
        <xdr:cNvPr id="46" name="TextBox 45">
          <a:extLst>
            <a:ext uri="{FF2B5EF4-FFF2-40B4-BE49-F238E27FC236}">
              <a16:creationId xmlns:a16="http://schemas.microsoft.com/office/drawing/2014/main" id="{00000000-0008-0000-0300-00002e000000}"/>
            </a:ext>
          </a:extLst>
        </xdr:cNvPr>
        <xdr:cNvSpPr txBox="1"/>
      </xdr:nvSpPr>
      <xdr:spPr>
        <a:xfrm>
          <a:off x="9572625" y="3400425"/>
          <a:ext cx="5019675" cy="6010275"/>
        </a:xfrm>
        <a:prstGeom prst="roundRect"/>
        <a:solidFill>
          <a:srgbClr val="E0DCD3"/>
        </a:solidFill>
        <a:ln w="9525" cmpd="sng">
          <a:noFill/>
        </a:ln>
        <a:effectLst>
          <a:outerShdw blurRad="107950" dist="12700" dir="5400000" algn="ctr">
            <a:srgbClr val="000000"/>
          </a:outerShdw>
        </a:effectLst>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19</xdr:row>
      <xdr:rowOff>152400</xdr:rowOff>
    </xdr:from>
    <xdr:to>
      <xdr:col>17</xdr:col>
      <xdr:colOff>441960</xdr:colOff>
      <xdr:row>26</xdr:row>
      <xdr:rowOff>99060</xdr:rowOff>
    </xdr:to>
    <xdr:sp macro="[0]!ActivateD2creation">
      <xdr:nvSpPr>
        <xdr:cNvPr id="51" name="TextBox 50">
          <a:extLst>
            <a:ext uri="{FF2B5EF4-FFF2-40B4-BE49-F238E27FC236}">
              <a16:creationId xmlns:a16="http://schemas.microsoft.com/office/drawing/2014/main" id="{00000000-0008-0000-0300-000033000000}"/>
            </a:ext>
          </a:extLst>
        </xdr:cNvPr>
        <xdr:cNvSpPr txBox="1"/>
      </xdr:nvSpPr>
      <xdr:spPr>
        <a:xfrm>
          <a:off x="9982200" y="4552950"/>
          <a:ext cx="1781175" cy="1409700"/>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807356</xdr:colOff>
      <xdr:row>19</xdr:row>
      <xdr:rowOff>160655</xdr:rowOff>
    </xdr:from>
    <xdr:to>
      <xdr:col>21</xdr:col>
      <xdr:colOff>23812</xdr:colOff>
      <xdr:row>26</xdr:row>
      <xdr:rowOff>88265</xdr:rowOff>
    </xdr:to>
    <xdr:sp macro="[0]!ActivateD3Enhancement">
      <xdr:nvSpPr>
        <xdr:cNvPr id="55" name="TextBox 54">
          <a:extLst>
            <a:ext uri="{FF2B5EF4-FFF2-40B4-BE49-F238E27FC236}">
              <a16:creationId xmlns:a16="http://schemas.microsoft.com/office/drawing/2014/main" id="{00000000-0008-0000-0300-000037000000}"/>
            </a:ext>
          </a:extLst>
        </xdr:cNvPr>
        <xdr:cNvSpPr txBox="1"/>
      </xdr:nvSpPr>
      <xdr:spPr>
        <a:xfrm>
          <a:off x="12134850" y="4562475"/>
          <a:ext cx="2085975" cy="1390650"/>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27</xdr:row>
      <xdr:rowOff>88853</xdr:rowOff>
    </xdr:from>
    <xdr:to>
      <xdr:col>11</xdr:col>
      <xdr:colOff>499533</xdr:colOff>
      <xdr:row>34</xdr:row>
      <xdr:rowOff>135466</xdr:rowOff>
    </xdr:to>
    <xdr:sp macro="[0]!ActivateB3hedgeencancement">
      <xdr:nvSpPr>
        <xdr:cNvPr id="58" name="TextBox 57">
          <a:extLst>
            <a:ext uri="{FF2B5EF4-FFF2-40B4-BE49-F238E27FC236}">
              <a16:creationId xmlns:a16="http://schemas.microsoft.com/office/drawing/2014/main" id="{00000000-0008-0000-0300-00003a000000}"/>
            </a:ext>
          </a:extLst>
        </xdr:cNvPr>
        <xdr:cNvSpPr txBox="1"/>
      </xdr:nvSpPr>
      <xdr:spPr>
        <a:xfrm>
          <a:off x="4686300" y="6162675"/>
          <a:ext cx="1771650" cy="1314450"/>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27</xdr:row>
      <xdr:rowOff>87795</xdr:rowOff>
    </xdr:from>
    <xdr:to>
      <xdr:col>8</xdr:col>
      <xdr:colOff>135467</xdr:colOff>
      <xdr:row>34</xdr:row>
      <xdr:rowOff>118532</xdr:rowOff>
    </xdr:to>
    <xdr:sp macro="[0]!ActivateB2hedgecreation">
      <xdr:nvSpPr>
        <xdr:cNvPr id="60" name="TextBox 59">
          <a:extLst>
            <a:ext uri="{FF2B5EF4-FFF2-40B4-BE49-F238E27FC236}">
              <a16:creationId xmlns:a16="http://schemas.microsoft.com/office/drawing/2014/main" id="{00000000-0008-0000-0300-00003c000000}"/>
            </a:ext>
          </a:extLst>
        </xdr:cNvPr>
        <xdr:cNvSpPr txBox="1"/>
      </xdr:nvSpPr>
      <xdr:spPr>
        <a:xfrm>
          <a:off x="2743200" y="6162675"/>
          <a:ext cx="1628775" cy="1295400"/>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36</xdr:row>
      <xdr:rowOff>61215</xdr:rowOff>
    </xdr:from>
    <xdr:to>
      <xdr:col>11</xdr:col>
      <xdr:colOff>541865</xdr:colOff>
      <xdr:row>39</xdr:row>
      <xdr:rowOff>905932</xdr:rowOff>
    </xdr:to>
    <xdr:sp macro="[0]!Activatec3riverenhancement">
      <xdr:nvSpPr>
        <xdr:cNvPr id="61" name="TextBox 60">
          <a:extLst>
            <a:ext uri="{FF2B5EF4-FFF2-40B4-BE49-F238E27FC236}">
              <a16:creationId xmlns:a16="http://schemas.microsoft.com/office/drawing/2014/main" id="{00000000-0008-0000-0300-00003d000000}"/>
            </a:ext>
          </a:extLst>
        </xdr:cNvPr>
        <xdr:cNvSpPr txBox="1"/>
      </xdr:nvSpPr>
      <xdr:spPr>
        <a:xfrm>
          <a:off x="4676775" y="7762875"/>
          <a:ext cx="1828800" cy="1390650"/>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36</xdr:row>
      <xdr:rowOff>59267</xdr:rowOff>
    </xdr:from>
    <xdr:to>
      <xdr:col>8</xdr:col>
      <xdr:colOff>152400</xdr:colOff>
      <xdr:row>39</xdr:row>
      <xdr:rowOff>902714</xdr:rowOff>
    </xdr:to>
    <xdr:sp macro="[0]!ActivateC2rivercreation">
      <xdr:nvSpPr>
        <xdr:cNvPr id="63" name="TextBox 62">
          <a:extLst>
            <a:ext uri="{FF2B5EF4-FFF2-40B4-BE49-F238E27FC236}">
              <a16:creationId xmlns:a16="http://schemas.microsoft.com/office/drawing/2014/main" id="{00000000-0008-0000-0300-00003f000000}"/>
            </a:ext>
          </a:extLst>
        </xdr:cNvPr>
        <xdr:cNvSpPr txBox="1"/>
      </xdr:nvSpPr>
      <xdr:spPr>
        <a:xfrm>
          <a:off x="2724150" y="7762875"/>
          <a:ext cx="1666875" cy="1390650"/>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27</xdr:row>
      <xdr:rowOff>175666</xdr:rowOff>
    </xdr:from>
    <xdr:to>
      <xdr:col>21</xdr:col>
      <xdr:colOff>0</xdr:colOff>
      <xdr:row>34</xdr:row>
      <xdr:rowOff>114300</xdr:rowOff>
    </xdr:to>
    <xdr:sp macro="[0]!ActivateE3hedgeencancement">
      <xdr:nvSpPr>
        <xdr:cNvPr id="64" name="TextBox 63">
          <a:extLst>
            <a:ext uri="{FF2B5EF4-FFF2-40B4-BE49-F238E27FC236}">
              <a16:creationId xmlns:a16="http://schemas.microsoft.com/office/drawing/2014/main" id="{00000000-0008-0000-0300-000040000000}"/>
            </a:ext>
          </a:extLst>
        </xdr:cNvPr>
        <xdr:cNvSpPr txBox="1"/>
      </xdr:nvSpPr>
      <xdr:spPr>
        <a:xfrm>
          <a:off x="12096750" y="6248400"/>
          <a:ext cx="2095500" cy="1209675"/>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27</xdr:row>
      <xdr:rowOff>123414</xdr:rowOff>
    </xdr:from>
    <xdr:to>
      <xdr:col>17</xdr:col>
      <xdr:colOff>426720</xdr:colOff>
      <xdr:row>34</xdr:row>
      <xdr:rowOff>114300</xdr:rowOff>
    </xdr:to>
    <xdr:sp macro="[0]!ActivateE2hedgecreation">
      <xdr:nvSpPr>
        <xdr:cNvPr id="66" name="TextBox 65">
          <a:extLst>
            <a:ext uri="{FF2B5EF4-FFF2-40B4-BE49-F238E27FC236}">
              <a16:creationId xmlns:a16="http://schemas.microsoft.com/office/drawing/2014/main" id="{00000000-0008-0000-0300-000042000000}"/>
            </a:ext>
          </a:extLst>
        </xdr:cNvPr>
        <xdr:cNvSpPr txBox="1"/>
      </xdr:nvSpPr>
      <xdr:spPr>
        <a:xfrm>
          <a:off x="9991725" y="6200775"/>
          <a:ext cx="1762125" cy="1257300"/>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36</xdr:row>
      <xdr:rowOff>13063</xdr:rowOff>
    </xdr:from>
    <xdr:to>
      <xdr:col>21</xdr:col>
      <xdr:colOff>38099</xdr:colOff>
      <xdr:row>39</xdr:row>
      <xdr:rowOff>861061</xdr:rowOff>
    </xdr:to>
    <xdr:sp macro="[0]!ActivateF3riverenhancement">
      <xdr:nvSpPr>
        <xdr:cNvPr id="70" name="TextBox 69">
          <a:extLst>
            <a:ext uri="{FF2B5EF4-FFF2-40B4-BE49-F238E27FC236}">
              <a16:creationId xmlns:a16="http://schemas.microsoft.com/office/drawing/2014/main" id="{00000000-0008-0000-0300-000046000000}"/>
            </a:ext>
          </a:extLst>
        </xdr:cNvPr>
        <xdr:cNvSpPr txBox="1"/>
      </xdr:nvSpPr>
      <xdr:spPr>
        <a:xfrm>
          <a:off x="12087225" y="7715250"/>
          <a:ext cx="2143125" cy="1390650"/>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36</xdr:row>
      <xdr:rowOff>23676</xdr:rowOff>
    </xdr:from>
    <xdr:to>
      <xdr:col>17</xdr:col>
      <xdr:colOff>464820</xdr:colOff>
      <xdr:row>39</xdr:row>
      <xdr:rowOff>861060</xdr:rowOff>
    </xdr:to>
    <xdr:sp macro="[0]!ActivateF2rivercreation">
      <xdr:nvSpPr>
        <xdr:cNvPr id="71" name="TextBox 70">
          <a:extLst>
            <a:ext uri="{FF2B5EF4-FFF2-40B4-BE49-F238E27FC236}">
              <a16:creationId xmlns:a16="http://schemas.microsoft.com/office/drawing/2014/main" id="{00000000-0008-0000-0300-000047000000}"/>
            </a:ext>
          </a:extLst>
        </xdr:cNvPr>
        <xdr:cNvSpPr txBox="1"/>
      </xdr:nvSpPr>
      <xdr:spPr>
        <a:xfrm>
          <a:off x="9944100" y="7724775"/>
          <a:ext cx="1847850" cy="1381125"/>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27</xdr:row>
      <xdr:rowOff>9675</xdr:rowOff>
    </xdr:from>
    <xdr:to>
      <xdr:col>4</xdr:col>
      <xdr:colOff>186266</xdr:colOff>
      <xdr:row>34</xdr:row>
      <xdr:rowOff>152400</xdr:rowOff>
    </xdr:to>
    <xdr:sp macro="[0]!Activateb1hedge1baseline">
      <xdr:nvSpPr>
        <xdr:cNvPr id="38" name="TextBox 37">
          <a:extLst>
            <a:ext uri="{FF2B5EF4-FFF2-40B4-BE49-F238E27FC236}">
              <a16:creationId xmlns:a16="http://schemas.microsoft.com/office/drawing/2014/main" id="{00000000-0008-0000-0300-000026000000}"/>
            </a:ext>
          </a:extLst>
        </xdr:cNvPr>
        <xdr:cNvSpPr txBox="1"/>
      </xdr:nvSpPr>
      <xdr:spPr>
        <a:xfrm>
          <a:off x="514350" y="6086475"/>
          <a:ext cx="1400175" cy="1409700"/>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36</xdr:row>
      <xdr:rowOff>10429</xdr:rowOff>
    </xdr:from>
    <xdr:to>
      <xdr:col>4</xdr:col>
      <xdr:colOff>186267</xdr:colOff>
      <xdr:row>39</xdr:row>
      <xdr:rowOff>804332</xdr:rowOff>
    </xdr:to>
    <xdr:sp macro="[0]!Activatec1siteriverbaseline">
      <xdr:nvSpPr>
        <xdr:cNvPr id="43" name="TextBox 42">
          <a:extLst>
            <a:ext uri="{FF2B5EF4-FFF2-40B4-BE49-F238E27FC236}">
              <a16:creationId xmlns:a16="http://schemas.microsoft.com/office/drawing/2014/main" id="{00000000-0008-0000-0300-00002b000000}"/>
            </a:ext>
          </a:extLst>
        </xdr:cNvPr>
        <xdr:cNvSpPr txBox="1"/>
      </xdr:nvSpPr>
      <xdr:spPr>
        <a:xfrm>
          <a:off x="485775" y="7715250"/>
          <a:ext cx="1419225" cy="1333500"/>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1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14</xdr:row>
      <xdr:rowOff>44903</xdr:rowOff>
    </xdr:from>
    <xdr:to>
      <xdr:col>15</xdr:col>
      <xdr:colOff>956733</xdr:colOff>
      <xdr:row>40</xdr:row>
      <xdr:rowOff>8467</xdr:rowOff>
    </xdr:to>
    <xdr:sp>
      <xdr:nvSpPr>
        <xdr:cNvPr id="36" name="TextBox 35">
          <a:extLst>
            <a:ext uri="{FF2B5EF4-FFF2-40B4-BE49-F238E27FC236}">
              <a16:creationId xmlns:a16="http://schemas.microsoft.com/office/drawing/2014/main" id="{00000000-0008-0000-0300-000024000000}"/>
            </a:ext>
          </a:extLst>
        </xdr:cNvPr>
        <xdr:cNvSpPr txBox="1"/>
      </xdr:nvSpPr>
      <xdr:spPr>
        <a:xfrm>
          <a:off x="7286625" y="3400425"/>
          <a:ext cx="2085975" cy="5991225"/>
        </a:xfrm>
        <a:prstGeom prst="roundRect"/>
        <a:solidFill>
          <a:srgbClr val="E0DCD3"/>
        </a:solidFill>
        <a:ln>
          <a:noFill/>
        </a:ln>
        <a:effectLst>
          <a:outerShdw blurRad="107950" dist="12700" dir="5400000" algn="ctr">
            <a:srgbClr val="000000"/>
          </a:outerShdw>
        </a:effectLst>
      </xdr:spPr>
      <xdr:style>
        <a:lnRef idx="2">
          <a:schemeClr val="tx1"/>
        </a:lnRef>
        <a:fillRef idx="1">
          <a:schemeClr val="bg1"/>
        </a:fillRef>
        <a:effectRef idx="0">
          <a:schemeClr val="tx1"/>
        </a:effectRef>
        <a:fontRef idx="minor">
          <a:schemeClr val="tx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36</xdr:row>
      <xdr:rowOff>112423</xdr:rowOff>
    </xdr:from>
    <xdr:to>
      <xdr:col>15</xdr:col>
      <xdr:colOff>863600</xdr:colOff>
      <xdr:row>39</xdr:row>
      <xdr:rowOff>812800</xdr:rowOff>
    </xdr:to>
    <xdr:sp macro="[0]!ActivateF1offriverbaseline">
      <xdr:nvSpPr>
        <xdr:cNvPr id="49" name="TextBox 48">
          <a:extLst>
            <a:ext uri="{FF2B5EF4-FFF2-40B4-BE49-F238E27FC236}">
              <a16:creationId xmlns:a16="http://schemas.microsoft.com/office/drawing/2014/main" id="{00000000-0008-0000-0300-000031000000}"/>
            </a:ext>
          </a:extLst>
        </xdr:cNvPr>
        <xdr:cNvSpPr txBox="1"/>
      </xdr:nvSpPr>
      <xdr:spPr>
        <a:xfrm>
          <a:off x="7429500" y="7820025"/>
          <a:ext cx="1847850" cy="1247775"/>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27</xdr:row>
      <xdr:rowOff>76200</xdr:rowOff>
    </xdr:from>
    <xdr:to>
      <xdr:col>15</xdr:col>
      <xdr:colOff>863599</xdr:colOff>
      <xdr:row>34</xdr:row>
      <xdr:rowOff>101600</xdr:rowOff>
    </xdr:to>
    <xdr:sp macro="[0]!ActivateE1hedgeoffbaseline">
      <xdr:nvSpPr>
        <xdr:cNvPr id="47" name="TextBox 46">
          <a:extLst>
            <a:ext uri="{FF2B5EF4-FFF2-40B4-BE49-F238E27FC236}">
              <a16:creationId xmlns:a16="http://schemas.microsoft.com/office/drawing/2014/main" id="{00000000-0008-0000-0300-00002f000000}"/>
            </a:ext>
          </a:extLst>
        </xdr:cNvPr>
        <xdr:cNvSpPr txBox="1"/>
      </xdr:nvSpPr>
      <xdr:spPr>
        <a:xfrm>
          <a:off x="7410450" y="6153150"/>
          <a:ext cx="1866900" cy="1295400"/>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19</xdr:row>
      <xdr:rowOff>142875</xdr:rowOff>
    </xdr:from>
    <xdr:to>
      <xdr:col>15</xdr:col>
      <xdr:colOff>872066</xdr:colOff>
      <xdr:row>26</xdr:row>
      <xdr:rowOff>59267</xdr:rowOff>
    </xdr:to>
    <xdr:sp macro="[0]!ActivateD1offbaseline">
      <xdr:nvSpPr>
        <xdr:cNvPr id="40" name="TextBox 39">
          <a:extLst>
            <a:ext uri="{FF2B5EF4-FFF2-40B4-BE49-F238E27FC236}">
              <a16:creationId xmlns:a16="http://schemas.microsoft.com/office/drawing/2014/main" id="{00000000-0008-0000-0300-000028000000}"/>
            </a:ext>
          </a:extLst>
        </xdr:cNvPr>
        <xdr:cNvSpPr txBox="1"/>
      </xdr:nvSpPr>
      <xdr:spPr>
        <a:xfrm>
          <a:off x="7410450" y="4543425"/>
          <a:ext cx="1876425" cy="1381125"/>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10</xdr:row>
      <xdr:rowOff>133350</xdr:rowOff>
    </xdr:from>
    <xdr:to>
      <xdr:col>3</xdr:col>
      <xdr:colOff>1172634</xdr:colOff>
      <xdr:row>11</xdr:row>
      <xdr:rowOff>37343</xdr:rowOff>
    </xdr:to>
    <xdr:sp>
      <xdr:nvSpPr>
        <xdr:cNvPr id="7" name="TextBox 6">
          <a:extLst>
            <a:ext uri="{FF2B5EF4-FFF2-40B4-BE49-F238E27FC236}">
              <a16:creationId xmlns:a16="http://schemas.microsoft.com/office/drawing/2014/main" id="{00000000-0008-0000-0300-000007000000}"/>
            </a:ext>
          </a:extLst>
        </xdr:cNvPr>
        <xdr:cNvSpPr txBox="1"/>
      </xdr:nvSpPr>
      <xdr:spPr>
        <a:xfrm>
          <a:off x="619125" y="2476500"/>
          <a:ext cx="1038225" cy="285750"/>
        </a:xfrm>
        <a:prstGeom prst="rect"/>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11</xdr:row>
      <xdr:rowOff>142875</xdr:rowOff>
    </xdr:from>
    <xdr:to>
      <xdr:col>3</xdr:col>
      <xdr:colOff>1025525</xdr:colOff>
      <xdr:row>13</xdr:row>
      <xdr:rowOff>161925</xdr:rowOff>
    </xdr:to>
    <xdr:sp>
      <xdr:nvSpPr>
        <xdr:cNvPr id="9" name="TextBox 8">
          <a:extLst>
            <a:ext uri="{FF2B5EF4-FFF2-40B4-BE49-F238E27FC236}">
              <a16:creationId xmlns:a16="http://schemas.microsoft.com/office/drawing/2014/main" id="{00000000-0008-0000-0300-000009000000}"/>
            </a:ext>
          </a:extLst>
        </xdr:cNvPr>
        <xdr:cNvSpPr txBox="1"/>
      </xdr:nvSpPr>
      <xdr:spPr>
        <a:xfrm>
          <a:off x="857250" y="2867025"/>
          <a:ext cx="657225" cy="438150"/>
        </a:xfrm>
        <a:prstGeom prst="ellipse"/>
        <a:solidFill>
          <a:srgbClr val="E0DCD3"/>
        </a:solidFill>
        <a:ln>
          <a:solidFill>
            <a:schemeClr val="accent1"/>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bg1"/>
        </a:fillRef>
        <a:effectRef idx="0">
          <a:schemeClr val="accent1"/>
        </a:effectRef>
        <a:fontRef idx="minor">
          <a:schemeClr val="tx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11</xdr:row>
      <xdr:rowOff>15875</xdr:rowOff>
    </xdr:from>
    <xdr:to>
      <xdr:col>9</xdr:col>
      <xdr:colOff>155575</xdr:colOff>
      <xdr:row>13</xdr:row>
      <xdr:rowOff>34925</xdr:rowOff>
    </xdr:to>
    <xdr:sp>
      <xdr:nvSpPr>
        <xdr:cNvPr id="45" name="TextBox 44">
          <a:extLst>
            <a:ext uri="{FF2B5EF4-FFF2-40B4-BE49-F238E27FC236}">
              <a16:creationId xmlns:a16="http://schemas.microsoft.com/office/drawing/2014/main" id="{00000000-0008-0000-0300-00002d000000}"/>
            </a:ext>
          </a:extLst>
        </xdr:cNvPr>
        <xdr:cNvSpPr txBox="1"/>
      </xdr:nvSpPr>
      <xdr:spPr>
        <a:xfrm>
          <a:off x="4219575" y="2743200"/>
          <a:ext cx="638175" cy="438150"/>
        </a:xfrm>
        <a:prstGeom prst="ellipse"/>
        <a:solidFill>
          <a:srgbClr val="E0DCD3"/>
        </a:solidFill>
        <a:ln>
          <a:solidFill>
            <a:schemeClr val="accent1"/>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bg1"/>
        </a:fillRef>
        <a:effectRef idx="0">
          <a:schemeClr val="accent1"/>
        </a:effectRef>
        <a:fontRef idx="minor">
          <a:schemeClr val="tx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11</xdr:row>
      <xdr:rowOff>24946</xdr:rowOff>
    </xdr:from>
    <xdr:to>
      <xdr:col>15</xdr:col>
      <xdr:colOff>177346</xdr:colOff>
      <xdr:row>13</xdr:row>
      <xdr:rowOff>43996</xdr:rowOff>
    </xdr:to>
    <xdr:sp>
      <xdr:nvSpPr>
        <xdr:cNvPr id="54" name="TextBox 53">
          <a:extLst>
            <a:ext uri="{FF2B5EF4-FFF2-40B4-BE49-F238E27FC236}">
              <a16:creationId xmlns:a16="http://schemas.microsoft.com/office/drawing/2014/main" id="{00000000-0008-0000-0300-000036000000}"/>
            </a:ext>
          </a:extLst>
        </xdr:cNvPr>
        <xdr:cNvSpPr txBox="1"/>
      </xdr:nvSpPr>
      <xdr:spPr>
        <a:xfrm>
          <a:off x="7934325" y="2752725"/>
          <a:ext cx="666750" cy="438150"/>
        </a:xfrm>
        <a:prstGeom prst="ellipse"/>
        <a:solidFill>
          <a:srgbClr val="E0DCD3"/>
        </a:solidFill>
        <a:ln>
          <a:solidFill>
            <a:schemeClr val="accent1"/>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bg1"/>
        </a:fillRef>
        <a:effectRef idx="0">
          <a:schemeClr val="accent1"/>
        </a:effectRef>
        <a:fontRef idx="minor">
          <a:schemeClr val="tx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11</xdr:row>
      <xdr:rowOff>2267</xdr:rowOff>
    </xdr:from>
    <xdr:to>
      <xdr:col>17</xdr:col>
      <xdr:colOff>863599</xdr:colOff>
      <xdr:row>13</xdr:row>
      <xdr:rowOff>24038</xdr:rowOff>
    </xdr:to>
    <xdr:sp>
      <xdr:nvSpPr>
        <xdr:cNvPr id="57" name="TextBox 56">
          <a:extLst>
            <a:ext uri="{FF2B5EF4-FFF2-40B4-BE49-F238E27FC236}">
              <a16:creationId xmlns:a16="http://schemas.microsoft.com/office/drawing/2014/main" id="{00000000-0008-0000-0300-000039000000}"/>
            </a:ext>
          </a:extLst>
        </xdr:cNvPr>
        <xdr:cNvSpPr txBox="1"/>
      </xdr:nvSpPr>
      <xdr:spPr>
        <a:xfrm>
          <a:off x="11506200" y="2724150"/>
          <a:ext cx="657225" cy="438150"/>
        </a:xfrm>
        <a:prstGeom prst="ellipse"/>
        <a:solidFill>
          <a:srgbClr val="E0DCD3"/>
        </a:solidFill>
        <a:ln>
          <a:solidFill>
            <a:schemeClr val="accent1"/>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bg1"/>
        </a:fillRef>
        <a:effectRef idx="0">
          <a:schemeClr val="accent1"/>
        </a:effectRef>
        <a:fontRef idx="minor">
          <a:schemeClr val="tx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11</xdr:row>
      <xdr:rowOff>89353</xdr:rowOff>
    </xdr:from>
    <xdr:to>
      <xdr:col>5</xdr:col>
      <xdr:colOff>540657</xdr:colOff>
      <xdr:row>12</xdr:row>
      <xdr:rowOff>184603</xdr:rowOff>
    </xdr:to>
    <xdr:sp>
      <xdr:nvSpPr>
        <xdr:cNvPr id="10" name="Right Arrow 9">
          <a:extLst>
            <a:ext uri="{FF2B5EF4-FFF2-40B4-BE49-F238E27FC236}">
              <a16:creationId xmlns:a16="http://schemas.microsoft.com/office/drawing/2014/main" id="{00000000-0008-0000-0300-00000a000000}"/>
            </a:ext>
          </a:extLst>
        </xdr:cNvPr>
        <xdr:cNvSpPr/>
      </xdr:nvSpPr>
      <xdr:spPr>
        <a:xfrm>
          <a:off x="2057400" y="2809875"/>
          <a:ext cx="838200" cy="304800"/>
        </a:xfrm>
        <a:prstGeom prst="rightArrow"/>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pPr algn="l"/>
          <a:endParaRPr lang="en-GB" sz="1100"/>
        </a:p>
      </xdr:txBody>
    </xdr:sp>
    <xdr:clientData/>
  </xdr:twoCellAnchor>
  <xdr:twoCellAnchor>
    <xdr:from>
      <xdr:col>6</xdr:col>
      <xdr:colOff>103323</xdr:colOff>
      <xdr:row>6</xdr:row>
      <xdr:rowOff>167604</xdr:rowOff>
    </xdr:from>
    <xdr:to>
      <xdr:col>8</xdr:col>
      <xdr:colOff>301262</xdr:colOff>
      <xdr:row>9</xdr:row>
      <xdr:rowOff>154684</xdr:rowOff>
    </xdr:to>
    <xdr:sp macro="[0]!Activatestart">
      <xdr:nvSpPr>
        <xdr:cNvPr id="32" name="TextBox 31">
          <a:extLst>
            <a:ext uri="{FF2B5EF4-FFF2-40B4-BE49-F238E27FC236}">
              <a16:creationId xmlns:a16="http://schemas.microsoft.com/office/drawing/2014/main" id="{00000000-0008-0000-0300-000020000000}"/>
            </a:ext>
          </a:extLst>
        </xdr:cNvPr>
        <xdr:cNvSpPr txBox="1"/>
      </xdr:nvSpPr>
      <xdr:spPr>
        <a:xfrm>
          <a:off x="3086100" y="1638300"/>
          <a:ext cx="1457325" cy="657225"/>
        </a:xfrm>
        <a:prstGeom prst="roundRect"/>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15</xdr:col>
      <xdr:colOff>268782</xdr:colOff>
      <xdr:row>6</xdr:row>
      <xdr:rowOff>152282</xdr:rowOff>
    </xdr:from>
    <xdr:to>
      <xdr:col>15</xdr:col>
      <xdr:colOff>1744799</xdr:colOff>
      <xdr:row>9</xdr:row>
      <xdr:rowOff>139362</xdr:rowOff>
    </xdr:to>
    <xdr:sp macro="[0]!ActivateResults">
      <xdr:nvSpPr>
        <xdr:cNvPr id="34" name="Rounded Rectangle 33">
          <a:extLst>
            <a:ext uri="{FF2B5EF4-FFF2-40B4-BE49-F238E27FC236}">
              <a16:creationId xmlns:a16="http://schemas.microsoft.com/office/drawing/2014/main" id="{00000000-0008-0000-0300-000022000000}"/>
            </a:ext>
          </a:extLst>
        </xdr:cNvPr>
        <xdr:cNvSpPr/>
      </xdr:nvSpPr>
      <xdr:spPr>
        <a:xfrm>
          <a:off x="8686800" y="1619250"/>
          <a:ext cx="1476375" cy="657225"/>
        </a:xfrm>
        <a:prstGeom prst="roundRect"/>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10</xdr:col>
      <xdr:colOff>596994</xdr:colOff>
      <xdr:row>6</xdr:row>
      <xdr:rowOff>191198</xdr:rowOff>
    </xdr:from>
    <xdr:to>
      <xdr:col>12</xdr:col>
      <xdr:colOff>773565</xdr:colOff>
      <xdr:row>9</xdr:row>
      <xdr:rowOff>171928</xdr:rowOff>
    </xdr:to>
    <xdr:sp macro="[0]!ActivateTechnicaldata">
      <xdr:nvSpPr>
        <xdr:cNvPr id="52" name="TextBox 51">
          <a:extLst>
            <a:ext uri="{FF2B5EF4-FFF2-40B4-BE49-F238E27FC236}">
              <a16:creationId xmlns:a16="http://schemas.microsoft.com/office/drawing/2014/main" id="{00000000-0008-0000-0300-000034000000}"/>
            </a:ext>
          </a:extLst>
        </xdr:cNvPr>
        <xdr:cNvSpPr txBox="1"/>
      </xdr:nvSpPr>
      <xdr:spPr>
        <a:xfrm>
          <a:off x="5934075" y="1657350"/>
          <a:ext cx="1438275" cy="647700"/>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11</xdr:col>
      <xdr:colOff>158750</xdr:colOff>
      <xdr:row>11</xdr:row>
      <xdr:rowOff>85725</xdr:rowOff>
    </xdr:from>
    <xdr:to>
      <xdr:col>12</xdr:col>
      <xdr:colOff>368300</xdr:colOff>
      <xdr:row>12</xdr:row>
      <xdr:rowOff>180975</xdr:rowOff>
    </xdr:to>
    <xdr:sp>
      <xdr:nvSpPr>
        <xdr:cNvPr id="44" name="Right Arrow 9">
          <a:extLst>
            <a:ext uri="{FF2B5EF4-FFF2-40B4-BE49-F238E27FC236}">
              <a16:creationId xmlns:a16="http://schemas.microsoft.com/office/drawing/2014/main" id="{00000000-0008-0000-0300-00002c000000}"/>
            </a:ext>
          </a:extLst>
        </xdr:cNvPr>
        <xdr:cNvSpPr/>
      </xdr:nvSpPr>
      <xdr:spPr>
        <a:xfrm>
          <a:off x="6124575" y="2809875"/>
          <a:ext cx="838200" cy="304800"/>
        </a:xfrm>
        <a:prstGeom prst="rightArrow"/>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pPr algn="l"/>
          <a:endParaRPr lang="en-GB" sz="1100"/>
        </a:p>
      </xdr:txBody>
    </xdr:sp>
    <xdr:clientData/>
  </xdr:twoCellAnchor>
  <xdr:twoCellAnchor>
    <xdr:from>
      <xdr:col>15</xdr:col>
      <xdr:colOff>1152525</xdr:colOff>
      <xdr:row>11</xdr:row>
      <xdr:rowOff>114300</xdr:rowOff>
    </xdr:from>
    <xdr:to>
      <xdr:col>15</xdr:col>
      <xdr:colOff>1971675</xdr:colOff>
      <xdr:row>13</xdr:row>
      <xdr:rowOff>0</xdr:rowOff>
    </xdr:to>
    <xdr:sp>
      <xdr:nvSpPr>
        <xdr:cNvPr id="53" name="Right Arrow 9">
          <a:extLst>
            <a:ext uri="{FF2B5EF4-FFF2-40B4-BE49-F238E27FC236}">
              <a16:creationId xmlns:a16="http://schemas.microsoft.com/office/drawing/2014/main" id="{00000000-0008-0000-0300-000035000000}"/>
            </a:ext>
          </a:extLst>
        </xdr:cNvPr>
        <xdr:cNvSpPr/>
      </xdr:nvSpPr>
      <xdr:spPr>
        <a:xfrm>
          <a:off x="9572625" y="2838450"/>
          <a:ext cx="819150" cy="304800"/>
        </a:xfrm>
        <a:prstGeom prst="rightArrow"/>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xdr:nvSpPr>
        <xdr:cNvPr id="56" name="TextBox 55">
          <a:extLst>
            <a:ext uri="{FF2B5EF4-FFF2-40B4-BE49-F238E27FC236}">
              <a16:creationId xmlns:a16="http://schemas.microsoft.com/office/drawing/2014/main" id="{00000000-0008-0000-0300-000038000000}"/>
            </a:ext>
          </a:extLst>
        </xdr:cNvPr>
        <xdr:cNvSpPr txBox="1"/>
      </xdr:nvSpPr>
      <xdr:spPr>
        <a:xfrm>
          <a:off x="2638425" y="142875"/>
          <a:ext cx="7677150" cy="1343025"/>
        </a:xfrm>
        <a:prstGeom prst="roundRect"/>
        <a:solidFill>
          <a:srgbClr val="E0DCD3"/>
        </a:solidFill>
        <a:ln w="9525" cmpd="sng">
          <a:solidFill>
            <a:schemeClr val="bg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2800" u="none" b="0" i="0">
              <a:solidFill>
                <a:schemeClr val="accent1"/>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u="none" b="0" i="0">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23</xdr:row>
      <xdr:rowOff>36739</xdr:rowOff>
    </xdr:from>
    <xdr:to>
      <xdr:col>3</xdr:col>
      <xdr:colOff>996950</xdr:colOff>
      <xdr:row>25</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1019175" y="5276850"/>
          <a:ext cx="457200" cy="419100"/>
        </a:xfrm>
        <a:prstGeom prst="rect"/>
      </xdr:spPr>
    </xdr:pic>
    <xdr:clientData/>
  </xdr:twoCellAnchor>
  <xdr:twoCellAnchor editAs="oneCell">
    <xdr:from>
      <xdr:col>6</xdr:col>
      <xdr:colOff>366183</xdr:colOff>
      <xdr:row>22</xdr:row>
      <xdr:rowOff>156633</xdr:rowOff>
    </xdr:from>
    <xdr:to>
      <xdr:col>7</xdr:col>
      <xdr:colOff>189894</xdr:colOff>
      <xdr:row>24</xdr:row>
      <xdr:rowOff>161169</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3343275" y="5181600"/>
          <a:ext cx="447675" cy="419100"/>
        </a:xfrm>
        <a:prstGeom prst="rect"/>
      </xdr:spPr>
    </xdr:pic>
    <xdr:clientData/>
  </xdr:twoCellAnchor>
  <xdr:twoCellAnchor editAs="oneCell">
    <xdr:from>
      <xdr:col>9</xdr:col>
      <xdr:colOff>626473</xdr:colOff>
      <xdr:row>23</xdr:row>
      <xdr:rowOff>64104</xdr:rowOff>
    </xdr:from>
    <xdr:to>
      <xdr:col>10</xdr:col>
      <xdr:colOff>447009</xdr:colOff>
      <xdr:row>25</xdr:row>
      <xdr:rowOff>68640</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5334000" y="5305425"/>
          <a:ext cx="447675" cy="419100"/>
        </a:xfrm>
        <a:prstGeom prst="rect"/>
      </xdr:spPr>
    </xdr:pic>
    <xdr:clientData/>
  </xdr:twoCellAnchor>
  <xdr:twoCellAnchor editAs="oneCell">
    <xdr:from>
      <xdr:col>14</xdr:col>
      <xdr:colOff>294216</xdr:colOff>
      <xdr:row>23</xdr:row>
      <xdr:rowOff>73025</xdr:rowOff>
    </xdr:from>
    <xdr:to>
      <xdr:col>15</xdr:col>
      <xdr:colOff>121102</xdr:colOff>
      <xdr:row>25</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8086725" y="5314950"/>
          <a:ext cx="457200" cy="419100"/>
        </a:xfrm>
        <a:prstGeom prst="rect"/>
      </xdr:spPr>
    </xdr:pic>
    <xdr:clientData/>
  </xdr:twoCellAnchor>
  <xdr:twoCellAnchor editAs="oneCell">
    <xdr:from>
      <xdr:col>16</xdr:col>
      <xdr:colOff>221253</xdr:colOff>
      <xdr:row>23</xdr:row>
      <xdr:rowOff>66992</xdr:rowOff>
    </xdr:from>
    <xdr:to>
      <xdr:col>16</xdr:col>
      <xdr:colOff>686314</xdr:colOff>
      <xdr:row>25</xdr:row>
      <xdr:rowOff>65178</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10639425" y="5305425"/>
          <a:ext cx="466725" cy="419100"/>
        </a:xfrm>
        <a:prstGeom prst="rect"/>
      </xdr:spPr>
    </xdr:pic>
    <xdr:clientData/>
  </xdr:twoCellAnchor>
  <xdr:twoCellAnchor editAs="oneCell">
    <xdr:from>
      <xdr:col>19</xdr:col>
      <xdr:colOff>131081</xdr:colOff>
      <xdr:row>23</xdr:row>
      <xdr:rowOff>73342</xdr:rowOff>
    </xdr:from>
    <xdr:to>
      <xdr:col>19</xdr:col>
      <xdr:colOff>599317</xdr:colOff>
      <xdr:row>25</xdr:row>
      <xdr:rowOff>74703</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12925425" y="5314950"/>
          <a:ext cx="466725" cy="419100"/>
        </a:xfrm>
        <a:prstGeom prst="rect"/>
      </xdr:spPr>
    </xdr:pic>
    <xdr:clientData/>
  </xdr:twoCellAnchor>
  <xdr:twoCellAnchor>
    <xdr:from>
      <xdr:col>3</xdr:col>
      <xdr:colOff>479576</xdr:colOff>
      <xdr:row>32</xdr:row>
      <xdr:rowOff>16025</xdr:rowOff>
    </xdr:from>
    <xdr:to>
      <xdr:col>3</xdr:col>
      <xdr:colOff>1022501</xdr:colOff>
      <xdr:row>32</xdr:row>
      <xdr:rowOff>111275</xdr:rowOff>
    </xdr:to>
    <xdr:sp>
      <xdr:nvSpPr>
        <xdr:cNvPr id="69" name="Minus Sign 68">
          <a:extLst>
            <a:ext uri="{FF2B5EF4-FFF2-40B4-BE49-F238E27FC236}">
              <a16:creationId xmlns:a16="http://schemas.microsoft.com/office/drawing/2014/main" id="{00000000-0008-0000-0300-000045000000}"/>
            </a:ext>
          </a:extLst>
        </xdr:cNvPr>
        <xdr:cNvSpPr/>
      </xdr:nvSpPr>
      <xdr:spPr>
        <a:xfrm>
          <a:off x="962025" y="7000875"/>
          <a:ext cx="542925"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xdr:from>
      <xdr:col>6</xdr:col>
      <xdr:colOff>315837</xdr:colOff>
      <xdr:row>31</xdr:row>
      <xdr:rowOff>183045</xdr:rowOff>
    </xdr:from>
    <xdr:to>
      <xdr:col>7</xdr:col>
      <xdr:colOff>217412</xdr:colOff>
      <xdr:row>32</xdr:row>
      <xdr:rowOff>94145</xdr:rowOff>
    </xdr:to>
    <xdr:sp>
      <xdr:nvSpPr>
        <xdr:cNvPr id="72" name="Minus Sign 71">
          <a:extLst>
            <a:ext uri="{FF2B5EF4-FFF2-40B4-BE49-F238E27FC236}">
              <a16:creationId xmlns:a16="http://schemas.microsoft.com/office/drawing/2014/main" id="{00000000-0008-0000-0300-000048000000}"/>
            </a:ext>
          </a:extLst>
        </xdr:cNvPr>
        <xdr:cNvSpPr/>
      </xdr:nvSpPr>
      <xdr:spPr>
        <a:xfrm>
          <a:off x="3295650" y="6981825"/>
          <a:ext cx="533400"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xdr:from>
      <xdr:col>9</xdr:col>
      <xdr:colOff>612562</xdr:colOff>
      <xdr:row>31</xdr:row>
      <xdr:rowOff>177753</xdr:rowOff>
    </xdr:from>
    <xdr:to>
      <xdr:col>10</xdr:col>
      <xdr:colOff>514137</xdr:colOff>
      <xdr:row>32</xdr:row>
      <xdr:rowOff>88853</xdr:rowOff>
    </xdr:to>
    <xdr:sp>
      <xdr:nvSpPr>
        <xdr:cNvPr id="73" name="Minus Sign 72">
          <a:extLst>
            <a:ext uri="{FF2B5EF4-FFF2-40B4-BE49-F238E27FC236}">
              <a16:creationId xmlns:a16="http://schemas.microsoft.com/office/drawing/2014/main" id="{00000000-0008-0000-0300-000049000000}"/>
            </a:ext>
          </a:extLst>
        </xdr:cNvPr>
        <xdr:cNvSpPr/>
      </xdr:nvSpPr>
      <xdr:spPr>
        <a:xfrm>
          <a:off x="5314950" y="6981825"/>
          <a:ext cx="533400"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xdr:from>
      <xdr:col>14</xdr:col>
      <xdr:colOff>268817</xdr:colOff>
      <xdr:row>32</xdr:row>
      <xdr:rowOff>6350</xdr:rowOff>
    </xdr:from>
    <xdr:to>
      <xdr:col>15</xdr:col>
      <xdr:colOff>170392</xdr:colOff>
      <xdr:row>32</xdr:row>
      <xdr:rowOff>101600</xdr:rowOff>
    </xdr:to>
    <xdr:sp>
      <xdr:nvSpPr>
        <xdr:cNvPr id="74" name="Minus Sign 73">
          <a:extLst>
            <a:ext uri="{FF2B5EF4-FFF2-40B4-BE49-F238E27FC236}">
              <a16:creationId xmlns:a16="http://schemas.microsoft.com/office/drawing/2014/main" id="{00000000-0008-0000-0300-00004a000000}"/>
            </a:ext>
          </a:extLst>
        </xdr:cNvPr>
        <xdr:cNvSpPr/>
      </xdr:nvSpPr>
      <xdr:spPr>
        <a:xfrm>
          <a:off x="8058150" y="6991350"/>
          <a:ext cx="533400"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xdr:from>
      <xdr:col>16</xdr:col>
      <xdr:colOff>236674</xdr:colOff>
      <xdr:row>31</xdr:row>
      <xdr:rowOff>180564</xdr:rowOff>
    </xdr:from>
    <xdr:to>
      <xdr:col>16</xdr:col>
      <xdr:colOff>779599</xdr:colOff>
      <xdr:row>32</xdr:row>
      <xdr:rowOff>91664</xdr:rowOff>
    </xdr:to>
    <xdr:sp>
      <xdr:nvSpPr>
        <xdr:cNvPr id="75" name="Minus Sign 74">
          <a:extLst>
            <a:ext uri="{FF2B5EF4-FFF2-40B4-BE49-F238E27FC236}">
              <a16:creationId xmlns:a16="http://schemas.microsoft.com/office/drawing/2014/main" id="{00000000-0008-0000-0300-00004b000000}"/>
            </a:ext>
          </a:extLst>
        </xdr:cNvPr>
        <xdr:cNvSpPr/>
      </xdr:nvSpPr>
      <xdr:spPr>
        <a:xfrm>
          <a:off x="10658475" y="6981825"/>
          <a:ext cx="542925"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xdr:from>
      <xdr:col>19</xdr:col>
      <xdr:colOff>182062</xdr:colOff>
      <xdr:row>31</xdr:row>
      <xdr:rowOff>169316</xdr:rowOff>
    </xdr:from>
    <xdr:to>
      <xdr:col>19</xdr:col>
      <xdr:colOff>724987</xdr:colOff>
      <xdr:row>32</xdr:row>
      <xdr:rowOff>80416</xdr:rowOff>
    </xdr:to>
    <xdr:sp>
      <xdr:nvSpPr>
        <xdr:cNvPr id="76" name="Minus Sign 75">
          <a:extLst>
            <a:ext uri="{FF2B5EF4-FFF2-40B4-BE49-F238E27FC236}">
              <a16:creationId xmlns:a16="http://schemas.microsoft.com/office/drawing/2014/main" id="{00000000-0008-0000-0300-00004c000000}"/>
            </a:ext>
          </a:extLst>
        </xdr:cNvPr>
        <xdr:cNvSpPr/>
      </xdr:nvSpPr>
      <xdr:spPr>
        <a:xfrm>
          <a:off x="12973050" y="6972300"/>
          <a:ext cx="542925" cy="95250"/>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editAs="oneCell">
    <xdr:from>
      <xdr:col>3</xdr:col>
      <xdr:colOff>592592</xdr:colOff>
      <xdr:row>39</xdr:row>
      <xdr:rowOff>272366</xdr:rowOff>
    </xdr:from>
    <xdr:to>
      <xdr:col>3</xdr:col>
      <xdr:colOff>925512</xdr:colOff>
      <xdr:row>39</xdr:row>
      <xdr:rowOff>601662</xdr:rowOff>
    </xdr:to>
    <xdr:pic>
      <xdr:nvPicPr>
        <xdr:cNvPr id="77" name="Graphic 3" descr="Aquarius with solid fill">
          <a:extLst>
            <a:ext uri="{FF2B5EF4-FFF2-40B4-BE49-F238E27FC236}">
              <a16:creationId xmlns:a16="http://schemas.microsoft.com/office/drawing/2014/main" id="{00000000-0008-0000-0300-00004d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1076325" y="8524875"/>
          <a:ext cx="333375" cy="333375"/>
        </a:xfrm>
        <a:prstGeom prst="rect"/>
      </xdr:spPr>
    </xdr:pic>
    <xdr:clientData/>
  </xdr:twoCellAnchor>
  <xdr:twoCellAnchor editAs="oneCell">
    <xdr:from>
      <xdr:col>6</xdr:col>
      <xdr:colOff>390040</xdr:colOff>
      <xdr:row>39</xdr:row>
      <xdr:rowOff>262467</xdr:rowOff>
    </xdr:from>
    <xdr:to>
      <xdr:col>7</xdr:col>
      <xdr:colOff>87960</xdr:colOff>
      <xdr:row>39</xdr:row>
      <xdr:rowOff>582238</xdr:rowOff>
    </xdr:to>
    <xdr:pic>
      <xdr:nvPicPr>
        <xdr:cNvPr id="78" name="Graphic 3" descr="Aquarius with solid fill">
          <a:extLst>
            <a:ext uri="{FF2B5EF4-FFF2-40B4-BE49-F238E27FC236}">
              <a16:creationId xmlns:a16="http://schemas.microsoft.com/office/drawing/2014/main" id="{00000000-0008-0000-0300-00004e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3371850" y="8515350"/>
          <a:ext cx="323850" cy="323850"/>
        </a:xfrm>
        <a:prstGeom prst="rect"/>
      </xdr:spPr>
    </xdr:pic>
    <xdr:clientData/>
  </xdr:twoCellAnchor>
  <xdr:twoCellAnchor editAs="oneCell">
    <xdr:from>
      <xdr:col>10</xdr:col>
      <xdr:colOff>79825</xdr:colOff>
      <xdr:row>39</xdr:row>
      <xdr:rowOff>304102</xdr:rowOff>
    </xdr:from>
    <xdr:to>
      <xdr:col>10</xdr:col>
      <xdr:colOff>412745</xdr:colOff>
      <xdr:row>39</xdr:row>
      <xdr:rowOff>636573</xdr:rowOff>
    </xdr:to>
    <xdr:pic>
      <xdr:nvPicPr>
        <xdr:cNvPr id="79" name="Graphic 3" descr="Aquarius with solid fill">
          <a:extLst>
            <a:ext uri="{FF2B5EF4-FFF2-40B4-BE49-F238E27FC236}">
              <a16:creationId xmlns:a16="http://schemas.microsoft.com/office/drawing/2014/main" id="{00000000-0008-0000-0300-00004f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5410200" y="8553450"/>
          <a:ext cx="333375" cy="333375"/>
        </a:xfrm>
        <a:prstGeom prst="rect"/>
      </xdr:spPr>
    </xdr:pic>
    <xdr:clientData/>
  </xdr:twoCellAnchor>
  <xdr:twoCellAnchor editAs="oneCell">
    <xdr:from>
      <xdr:col>14</xdr:col>
      <xdr:colOff>375130</xdr:colOff>
      <xdr:row>39</xdr:row>
      <xdr:rowOff>315623</xdr:rowOff>
    </xdr:from>
    <xdr:to>
      <xdr:col>15</xdr:col>
      <xdr:colOff>66700</xdr:colOff>
      <xdr:row>39</xdr:row>
      <xdr:rowOff>635394</xdr:rowOff>
    </xdr:to>
    <xdr:pic>
      <xdr:nvPicPr>
        <xdr:cNvPr id="80" name="Graphic 3" descr="Aquarius with solid fill">
          <a:extLst>
            <a:ext uri="{FF2B5EF4-FFF2-40B4-BE49-F238E27FC236}">
              <a16:creationId xmlns:a16="http://schemas.microsoft.com/office/drawing/2014/main" id="{00000000-0008-0000-0300-000050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8162925" y="8562975"/>
          <a:ext cx="323850" cy="323850"/>
        </a:xfrm>
        <a:prstGeom prst="rect"/>
      </xdr:spPr>
    </xdr:pic>
    <xdr:clientData/>
  </xdr:twoCellAnchor>
  <xdr:twoCellAnchor editAs="oneCell">
    <xdr:from>
      <xdr:col>16</xdr:col>
      <xdr:colOff>229554</xdr:colOff>
      <xdr:row>39</xdr:row>
      <xdr:rowOff>304346</xdr:rowOff>
    </xdr:from>
    <xdr:to>
      <xdr:col>16</xdr:col>
      <xdr:colOff>562474</xdr:colOff>
      <xdr:row>39</xdr:row>
      <xdr:rowOff>636817</xdr:rowOff>
    </xdr:to>
    <xdr:pic>
      <xdr:nvPicPr>
        <xdr:cNvPr id="81" name="Graphic 3" descr="Aquarius with solid fill">
          <a:extLst>
            <a:ext uri="{FF2B5EF4-FFF2-40B4-BE49-F238E27FC236}">
              <a16:creationId xmlns:a16="http://schemas.microsoft.com/office/drawing/2014/main" id="{00000000-0008-0000-0300-000051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10648950" y="8553450"/>
          <a:ext cx="333375" cy="333375"/>
        </a:xfrm>
        <a:prstGeom prst="rect"/>
      </xdr:spPr>
    </xdr:pic>
    <xdr:clientData/>
  </xdr:twoCellAnchor>
  <xdr:twoCellAnchor editAs="oneCell">
    <xdr:from>
      <xdr:col>19</xdr:col>
      <xdr:colOff>273050</xdr:colOff>
      <xdr:row>39</xdr:row>
      <xdr:rowOff>309925</xdr:rowOff>
    </xdr:from>
    <xdr:to>
      <xdr:col>19</xdr:col>
      <xdr:colOff>609145</xdr:colOff>
      <xdr:row>39</xdr:row>
      <xdr:rowOff>639221</xdr:rowOff>
    </xdr:to>
    <xdr:pic>
      <xdr:nvPicPr>
        <xdr:cNvPr id="82" name="Graphic 3" descr="Aquarius with solid fill">
          <a:extLst>
            <a:ext uri="{FF2B5EF4-FFF2-40B4-BE49-F238E27FC236}">
              <a16:creationId xmlns:a16="http://schemas.microsoft.com/office/drawing/2014/main" id="{00000000-0008-0000-0300-000052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13068300" y="8562975"/>
          <a:ext cx="333375" cy="333375"/>
        </a:xfrm>
        <a:prstGeom prst="rect"/>
      </xdr:spPr>
    </xdr:pic>
    <xdr:clientData/>
  </xdr:twoCellAnchor>
  <xdr:twoCellAnchor>
    <xdr:from>
      <xdr:col>2</xdr:col>
      <xdr:colOff>95250</xdr:colOff>
      <xdr:row>0</xdr:row>
      <xdr:rowOff>76200</xdr:rowOff>
    </xdr:from>
    <xdr:to>
      <xdr:col>5</xdr:col>
      <xdr:colOff>69850</xdr:colOff>
      <xdr:row>10</xdr:row>
      <xdr:rowOff>25400</xdr:rowOff>
    </xdr:to>
    <xdr:sp>
      <xdr:nvSpPr>
        <xdr:cNvPr id="83" name="TextBox 82">
          <a:extLst>
            <a:ext uri="{FF2B5EF4-FFF2-40B4-BE49-F238E27FC236}">
              <a16:creationId xmlns:a16="http://schemas.microsoft.com/office/drawing/2014/main" id="{00000000-0008-0000-0300-000053000000}"/>
            </a:ext>
          </a:extLst>
        </xdr:cNvPr>
        <xdr:cNvSpPr txBox="1"/>
      </xdr:nvSpPr>
      <xdr:spPr>
        <a:xfrm>
          <a:off x="419100" y="76200"/>
          <a:ext cx="2000250" cy="2295525"/>
        </a:xfrm>
        <a:prstGeom prst="roundRect"/>
        <a:solidFill>
          <a:srgbClr val="E0DCD3"/>
        </a:solidFill>
        <a:ln>
          <a:noFill/>
        </a:ln>
        <a:effectLst>
          <a:outerShdw blurRad="107950" dist="12700" dir="5400000" algn="ctr">
            <a:srgbClr val="000000"/>
          </a:outerShdw>
          <a:softEdge rad="0"/>
        </a:effectLst>
      </xdr:spPr>
      <xdr:style>
        <a:lnRef idx="2">
          <a:schemeClr val="tx1"/>
        </a:lnRef>
        <a:fillRef idx="1">
          <a:schemeClr val="bg1"/>
        </a:fillRef>
        <a:effectRef idx="0">
          <a:schemeClr val="tx1"/>
        </a:effectRef>
        <a:fontRef idx="minor">
          <a:schemeClr val="tx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xdr:nvSpPr>
        <xdr:cNvPr id="91" name="TextBox 90">
          <a:extLst>
            <a:ext uri="{FF2B5EF4-FFF2-40B4-BE49-F238E27FC236}">
              <a16:creationId xmlns:a16="http://schemas.microsoft.com/office/drawing/2014/main" id="{00000000-0008-0000-0300-00005b000000}"/>
            </a:ext>
          </a:extLst>
        </xdr:cNvPr>
        <xdr:cNvSpPr txBox="1"/>
      </xdr:nvSpPr>
      <xdr:spPr>
        <a:xfrm>
          <a:off x="571500" y="504825"/>
          <a:ext cx="485775" cy="476250"/>
        </a:xfrm>
        <a:prstGeom prst="roundRect"/>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80964</xdr:colOff>
      <xdr:row>3</xdr:row>
      <xdr:rowOff>435768</xdr:rowOff>
    </xdr:from>
    <xdr:to>
      <xdr:col>3</xdr:col>
      <xdr:colOff>547688</xdr:colOff>
      <xdr:row>6</xdr:row>
      <xdr:rowOff>2381</xdr:rowOff>
    </xdr:to>
    <xdr:sp>
      <xdr:nvSpPr>
        <xdr:cNvPr id="92" name="TextBox 91">
          <a:extLst>
            <a:ext uri="{FF2B5EF4-FFF2-40B4-BE49-F238E27FC236}">
              <a16:creationId xmlns:a16="http://schemas.microsoft.com/office/drawing/2014/main" id="{00000000-0008-0000-0300-00005c000000}"/>
            </a:ext>
          </a:extLst>
        </xdr:cNvPr>
        <xdr:cNvSpPr txBox="1"/>
      </xdr:nvSpPr>
      <xdr:spPr>
        <a:xfrm>
          <a:off x="571500" y="1038225"/>
          <a:ext cx="466725" cy="438150"/>
        </a:xfrm>
        <a:prstGeom prst="roundRect"/>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159545</xdr:colOff>
      <xdr:row>4</xdr:row>
      <xdr:rowOff>164306</xdr:rowOff>
    </xdr:from>
    <xdr:to>
      <xdr:col>3</xdr:col>
      <xdr:colOff>473870</xdr:colOff>
      <xdr:row>5</xdr:row>
      <xdr:rowOff>7143</xdr:rowOff>
    </xdr:to>
    <xdr:sp>
      <xdr:nvSpPr>
        <xdr:cNvPr id="85" name="Minus Sign 84">
          <a:extLst>
            <a:ext uri="{FF2B5EF4-FFF2-40B4-BE49-F238E27FC236}">
              <a16:creationId xmlns:a16="http://schemas.microsoft.com/office/drawing/2014/main" id="{00000000-0008-0000-0300-000055000000}"/>
            </a:ext>
          </a:extLst>
        </xdr:cNvPr>
        <xdr:cNvSpPr/>
      </xdr:nvSpPr>
      <xdr:spPr>
        <a:xfrm>
          <a:off x="647700" y="1209675"/>
          <a:ext cx="314325" cy="47625"/>
        </a:xfrm>
        <a:prstGeom prst="mathMinus"/>
        <a:solidFill>
          <a:srgbClr val="FFFFFF"/>
        </a:solidFill>
        <a:ln>
          <a:solidFill>
            <a:schemeClr val="bg1"/>
          </a:solid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45720" rIns="91440" bIns="45720" vert="horz" wrap="square" numCol="1" spcCol="0" rtlCol="0" anchor="ctr" anchorCtr="0">
          <a:prstTxWarp prst="textNoShape"/>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a:picLocks noChangeAspect="1"/>
        </xdr:cNvPicPr>
      </xdr:nvPicPr>
      <xdr:blipFill>
        <a:blip r:embed="rId1">
          <a:extLst>
            <a:ext uri="{28A0092B-C50C-407E-A947-70E740481C1C}">
              <a14:useLocalDpi xmlns:a14="http://schemas.microsoft.com/office/drawing/2010/main"/>
            </a:ext>
            <a:ext uri="{96DAC541-7B7A-43D3-8B79-37D633B846F1}">
              <asvg:svgBlip xmlns:asvg="http://schemas.microsoft.com/office/drawing/2016/SVG/main" r:embed="rId2"/>
            </a:ext>
          </a:extLst>
        </a:blip>
        <a:stretch>
          <a:fillRect/>
        </a:stretch>
      </xdr:blipFill>
      <xdr:spPr>
        <a:xfrm>
          <a:off x="638175" y="542925"/>
          <a:ext cx="333375" cy="361950"/>
        </a:xfrm>
        <a:prstGeom prst="rect"/>
      </xdr:spPr>
    </xdr:pic>
    <xdr:clientData/>
  </xdr:twoCellAnchor>
  <xdr:twoCellAnchor>
    <xdr:from>
      <xdr:col>3</xdr:col>
      <xdr:colOff>85725</xdr:colOff>
      <xdr:row>6</xdr:row>
      <xdr:rowOff>104775</xdr:rowOff>
    </xdr:from>
    <xdr:to>
      <xdr:col>3</xdr:col>
      <xdr:colOff>561975</xdr:colOff>
      <xdr:row>8</xdr:row>
      <xdr:rowOff>119062</xdr:rowOff>
    </xdr:to>
    <xdr:sp>
      <xdr:nvSpPr>
        <xdr:cNvPr id="93" name="TextBox 92">
          <a:extLst>
            <a:ext uri="{FF2B5EF4-FFF2-40B4-BE49-F238E27FC236}">
              <a16:creationId xmlns:a16="http://schemas.microsoft.com/office/drawing/2014/main" id="{00000000-0008-0000-0300-00005d000000}"/>
            </a:ext>
          </a:extLst>
        </xdr:cNvPr>
        <xdr:cNvSpPr txBox="1"/>
      </xdr:nvSpPr>
      <xdr:spPr>
        <a:xfrm>
          <a:off x="571500" y="1571625"/>
          <a:ext cx="476250" cy="447675"/>
        </a:xfrm>
        <a:prstGeom prst="roundRect"/>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300-000056000000}"/>
            </a:ext>
          </a:extLst>
        </xdr:cNvPr>
        <xdr:cNvPicPr>
          <a:picLocks noChangeAspect="1"/>
        </xdr:cNvPicPr>
      </xdr:nvPicPr>
      <xdr:blipFill>
        <a:blip r:embed="rId3">
          <a:extLst>
            <a:ext uri="{28A0092B-C50C-407E-A947-70E740481C1C}">
              <a14:useLocalDpi xmlns:a14="http://schemas.microsoft.com/office/drawing/2010/main"/>
            </a:ext>
            <a:ext uri="{96DAC541-7B7A-43D3-8B79-37D633B846F1}">
              <asvg:svgBlip xmlns:asvg="http://schemas.microsoft.com/office/drawing/2016/SVG/main" r:embed="rId4"/>
            </a:ext>
          </a:extLst>
        </a:blip>
        <a:stretch>
          <a:fillRect/>
        </a:stretch>
      </xdr:blipFill>
      <xdr:spPr>
        <a:xfrm>
          <a:off x="638175" y="1609725"/>
          <a:ext cx="333375" cy="333375"/>
        </a:xfrm>
        <a:prstGeom prst="rect"/>
      </xdr:spPr>
    </xdr:pic>
    <xdr:clientData/>
  </xdr:twoCellAnchor>
  <xdr:twoCellAnchor>
    <xdr:from>
      <xdr:col>3</xdr:col>
      <xdr:colOff>615950</xdr:colOff>
      <xdr:row>2</xdr:row>
      <xdr:rowOff>177800</xdr:rowOff>
    </xdr:from>
    <xdr:to>
      <xdr:col>4</xdr:col>
      <xdr:colOff>393700</xdr:colOff>
      <xdr:row>3</xdr:row>
      <xdr:rowOff>241300</xdr:rowOff>
    </xdr:to>
    <xdr:sp>
      <xdr:nvSpPr>
        <xdr:cNvPr id="2" name="TextBox 1">
          <a:extLst>
            <a:ext uri="{FF2B5EF4-FFF2-40B4-BE49-F238E27FC236}">
              <a16:creationId xmlns:a16="http://schemas.microsoft.com/office/drawing/2014/main" id="{00000000-0008-0000-0300-000002000000}"/>
            </a:ext>
          </a:extLst>
        </xdr:cNvPr>
        <xdr:cNvSpPr txBox="1"/>
      </xdr:nvSpPr>
      <xdr:spPr>
        <a:xfrm>
          <a:off x="1104900" y="581025"/>
          <a:ext cx="1019175" cy="26670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1100" b="1">
              <a:solidFill>
                <a:srgbClr val="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xdr:nvSpPr>
        <xdr:cNvPr id="94" name="TextBox 93">
          <a:extLst>
            <a:ext uri="{FF2B5EF4-FFF2-40B4-BE49-F238E27FC236}">
              <a16:creationId xmlns:a16="http://schemas.microsoft.com/office/drawing/2014/main" id="{00000000-0008-0000-0300-00005e000000}"/>
            </a:ext>
          </a:extLst>
        </xdr:cNvPr>
        <xdr:cNvSpPr txBox="1"/>
      </xdr:nvSpPr>
      <xdr:spPr>
        <a:xfrm>
          <a:off x="1085850" y="1057275"/>
          <a:ext cx="1133475" cy="44767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1100" b="1">
              <a:solidFill>
                <a:srgbClr val="000000"/>
              </a:solidFill>
              <a:latin typeface="Rockwell Light" panose="02040303020102020203" pitchFamily="18" charset="0"/>
            </a:rPr>
            <a:t>Hedgerows</a:t>
          </a:r>
          <a:r>
            <a:rPr lang="en-GB" sz="1100" b="1" baseline="0">
              <a:solidFill>
                <a:srgbClr val="000000"/>
              </a:solidFill>
              <a:latin typeface="Rockwell Light" panose="02040303020102020203" pitchFamily="18" charset="0"/>
            </a:rPr>
            <a:t> and lines of trees</a:t>
          </a:r>
        </a:p>
        <a:p>
          <a:endParaRPr lang="en-GB" sz="1100">
            <a:solidFill>
              <a:srgbClr val="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xdr:nvSpPr>
        <xdr:cNvPr id="95" name="TextBox 94">
          <a:extLst>
            <a:ext uri="{FF2B5EF4-FFF2-40B4-BE49-F238E27FC236}">
              <a16:creationId xmlns:a16="http://schemas.microsoft.com/office/drawing/2014/main" id="{00000000-0008-0000-0300-00005f000000}"/>
            </a:ext>
          </a:extLst>
        </xdr:cNvPr>
        <xdr:cNvSpPr txBox="1"/>
      </xdr:nvSpPr>
      <xdr:spPr>
        <a:xfrm>
          <a:off x="1095375" y="1609725"/>
          <a:ext cx="1295400" cy="257175"/>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GB" sz="1100" b="1">
              <a:solidFill>
                <a:srgbClr val="000000"/>
              </a:solidFill>
              <a:latin typeface="Rockwell Light" panose="02040303020102020203" pitchFamily="18" charset="0"/>
            </a:rPr>
            <a:t>Watercourses</a:t>
          </a: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412751</xdr:colOff>
      <xdr:row>9</xdr:row>
      <xdr:rowOff>314324</xdr:rowOff>
    </xdr:from>
    <xdr:to>
      <xdr:col>8</xdr:col>
      <xdr:colOff>293689</xdr:colOff>
      <xdr:row>14</xdr:row>
      <xdr:rowOff>158750</xdr:rowOff>
    </xdr:to>
    <xdr:sp macro="[0]!ActivateHeadlineResults">
      <xdr:nvSpPr>
        <xdr:cNvPr id="6" name="TextBox 5">
          <a:extLst>
            <a:ext uri="{FF2B5EF4-FFF2-40B4-BE49-F238E27FC236}">
              <a16:creationId xmlns:a16="http://schemas.microsoft.com/office/drawing/2014/main" id="{00000000-0008-0000-0600-000006000000}"/>
            </a:ext>
          </a:extLst>
        </xdr:cNvPr>
        <xdr:cNvSpPr txBox="1"/>
      </xdr:nvSpPr>
      <xdr:spPr>
        <a:xfrm>
          <a:off x="2762250" y="2171700"/>
          <a:ext cx="1771650" cy="1066800"/>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9</xdr:col>
      <xdr:colOff>123296</xdr:colOff>
      <xdr:row>9</xdr:row>
      <xdr:rowOff>279399</xdr:rowOff>
    </xdr:from>
    <xdr:to>
      <xdr:col>11</xdr:col>
      <xdr:colOff>601421</xdr:colOff>
      <xdr:row>14</xdr:row>
      <xdr:rowOff>188899</xdr:rowOff>
    </xdr:to>
    <xdr:sp macro="[0]!ActivateDetailedResults">
      <xdr:nvSpPr>
        <xdr:cNvPr id="9" name="Rounded Rectangle 8">
          <a:extLst>
            <a:ext uri="{FF2B5EF4-FFF2-40B4-BE49-F238E27FC236}">
              <a16:creationId xmlns:a16="http://schemas.microsoft.com/office/drawing/2014/main" id="{00000000-0008-0000-0600-000009000000}"/>
            </a:ext>
          </a:extLst>
        </xdr:cNvPr>
        <xdr:cNvSpPr/>
      </xdr:nvSpPr>
      <xdr:spPr>
        <a:xfrm>
          <a:off x="4829175" y="2133600"/>
          <a:ext cx="1733550" cy="1123950"/>
        </a:xfrm>
        <a:prstGeom prst="roundRect"/>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308504</xdr:colOff>
      <xdr:row>9</xdr:row>
      <xdr:rowOff>285750</xdr:rowOff>
    </xdr:from>
    <xdr:to>
      <xdr:col>15</xdr:col>
      <xdr:colOff>183379</xdr:colOff>
      <xdr:row>14</xdr:row>
      <xdr:rowOff>195250</xdr:rowOff>
    </xdr:to>
    <xdr:sp macro="[0]!ActivateTradingSummary">
      <xdr:nvSpPr>
        <xdr:cNvPr id="17" name="Rounded Rectangle 16">
          <a:extLst>
            <a:ext uri="{FF2B5EF4-FFF2-40B4-BE49-F238E27FC236}">
              <a16:creationId xmlns:a16="http://schemas.microsoft.com/office/drawing/2014/main" id="{00000000-0008-0000-0600-000011000000}"/>
            </a:ext>
          </a:extLst>
        </xdr:cNvPr>
        <xdr:cNvSpPr/>
      </xdr:nvSpPr>
      <xdr:spPr>
        <a:xfrm>
          <a:off x="6896100" y="2143125"/>
          <a:ext cx="1704975" cy="1123950"/>
        </a:xfrm>
        <a:prstGeom prst="roundRect"/>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3</xdr:col>
      <xdr:colOff>299508</xdr:colOff>
      <xdr:row>9</xdr:row>
      <xdr:rowOff>301625</xdr:rowOff>
    </xdr:from>
    <xdr:to>
      <xdr:col>5</xdr:col>
      <xdr:colOff>110883</xdr:colOff>
      <xdr:row>15</xdr:row>
      <xdr:rowOff>4750</xdr:rowOff>
    </xdr:to>
    <xdr:sp macro="[0]!Activatestart">
      <xdr:nvSpPr>
        <xdr:cNvPr id="11" name="TextBox 10">
          <a:extLst>
            <a:ext uri="{FF2B5EF4-FFF2-40B4-BE49-F238E27FC236}">
              <a16:creationId xmlns:a16="http://schemas.microsoft.com/office/drawing/2014/main" id="{00000000-0008-0000-0600-00000b000000}"/>
            </a:ext>
          </a:extLst>
        </xdr:cNvPr>
        <xdr:cNvSpPr txBox="1"/>
      </xdr:nvSpPr>
      <xdr:spPr>
        <a:xfrm>
          <a:off x="781050" y="2162175"/>
          <a:ext cx="1676400" cy="11334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272256</xdr:colOff>
      <xdr:row>1</xdr:row>
      <xdr:rowOff>153194</xdr:rowOff>
    </xdr:from>
    <xdr:to>
      <xdr:col>16</xdr:col>
      <xdr:colOff>206375</xdr:colOff>
      <xdr:row>8</xdr:row>
      <xdr:rowOff>189706</xdr:rowOff>
    </xdr:to>
    <xdr:sp>
      <xdr:nvSpPr>
        <xdr:cNvPr id="8" name="TextBox 7">
          <a:extLst>
            <a:ext uri="{FF2B5EF4-FFF2-40B4-BE49-F238E27FC236}">
              <a16:creationId xmlns:a16="http://schemas.microsoft.com/office/drawing/2014/main" id="{00000000-0008-0000-0600-000008000000}"/>
            </a:ext>
          </a:extLst>
        </xdr:cNvPr>
        <xdr:cNvSpPr txBox="1"/>
      </xdr:nvSpPr>
      <xdr:spPr>
        <a:xfrm>
          <a:off x="762000" y="352425"/>
          <a:ext cx="10172700" cy="1485900"/>
        </a:xfrm>
        <a:prstGeom prst="roundRect"/>
        <a:solidFill>
          <a:srgbClr val="E0DCD3"/>
        </a:solidFill>
        <a:ln w="9525" cmpd="sng">
          <a:solidFill>
            <a:schemeClr val="bg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2800" u="none" b="0" i="0">
              <a:solidFill>
                <a:schemeClr val="accent1"/>
              </a:solidFill>
              <a:effectLst/>
              <a:latin typeface="Source Sans Pro" panose="020B0503030403020204" pitchFamily="34" charset="0"/>
              <a:ea typeface="Source Sans Pro" panose="020B0503030403020204" pitchFamily="34" charset="0"/>
              <a:cs typeface="+mn-cs"/>
            </a:rPr>
            <a:t>The Statutory Biodiversity Metric </a:t>
          </a:r>
        </a:p>
        <a:p>
          <a:pPr algn="ctr"/>
          <a:r>
            <a:rPr lang="en-GB" sz="2800" u="none" b="0" i="0">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5</xdr:col>
      <xdr:colOff>448733</xdr:colOff>
      <xdr:row>16</xdr:row>
      <xdr:rowOff>109537</xdr:rowOff>
    </xdr:from>
    <xdr:to>
      <xdr:col>8</xdr:col>
      <xdr:colOff>283921</xdr:colOff>
      <xdr:row>21</xdr:row>
      <xdr:rowOff>193662</xdr:rowOff>
    </xdr:to>
    <xdr:sp macro="[0]!ActivateSelectOffsitesummary">
      <xdr:nvSpPr>
        <xdr:cNvPr id="7" name="TextBox 6">
          <a:extLst>
            <a:ext uri="{FF2B5EF4-FFF2-40B4-BE49-F238E27FC236}">
              <a16:creationId xmlns:a16="http://schemas.microsoft.com/office/drawing/2014/main" id="{00000000-0008-0000-0600-000007000000}"/>
            </a:ext>
          </a:extLst>
        </xdr:cNvPr>
        <xdr:cNvSpPr txBox="1"/>
      </xdr:nvSpPr>
      <xdr:spPr>
        <a:xfrm>
          <a:off x="2800350" y="3600450"/>
          <a:ext cx="1724025" cy="113347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twoCellAnchor>
    <xdr:from>
      <xdr:col>9</xdr:col>
      <xdr:colOff>134936</xdr:colOff>
      <xdr:row>16</xdr:row>
      <xdr:rowOff>119061</xdr:rowOff>
    </xdr:from>
    <xdr:to>
      <xdr:col>11</xdr:col>
      <xdr:colOff>613061</xdr:colOff>
      <xdr:row>21</xdr:row>
      <xdr:rowOff>203186</xdr:rowOff>
    </xdr:to>
    <xdr:sp macro="[0]!ActivateIrreplaceablehabitatstab">
      <xdr:nvSpPr>
        <xdr:cNvPr id="2" name="TextBox 1">
          <a:extLst>
            <a:ext uri="{FF2B5EF4-FFF2-40B4-BE49-F238E27FC236}">
              <a16:creationId xmlns:a16="http://schemas.microsoft.com/office/drawing/2014/main" id="{00000000-0008-0000-0600-000002000000}"/>
            </a:ext>
          </a:extLst>
        </xdr:cNvPr>
        <xdr:cNvSpPr txBox="1"/>
      </xdr:nvSpPr>
      <xdr:spPr>
        <a:xfrm>
          <a:off x="4838700" y="3609975"/>
          <a:ext cx="1733550" cy="113347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Irreplaceable</a:t>
          </a:r>
          <a:r>
            <a:rPr lang="en-GB" sz="1400" b="1" baseline="0">
              <a:solidFill>
                <a:schemeClr val="accent1"/>
              </a:solidFill>
              <a:latin typeface="Rockwell Light" panose="02040303020102020203" pitchFamily="18" charset="0"/>
            </a:rPr>
            <a:t> habitats summary</a:t>
          </a:r>
          <a:endParaRPr lang="en-GB" sz="1400" b="1">
            <a:solidFill>
              <a:schemeClr val="accent1"/>
            </a:solidFill>
            <a:latin typeface="Rockwell Light" panose="02040303020102020203" pitchFamily="18" charset="0"/>
          </a:endParaRPr>
        </a:p>
      </xdr:txBody>
    </xdr:sp>
    <xdr:clientData/>
  </xdr:twoCellAnchor>
  <xdr:twoCellAnchor>
    <xdr:from>
      <xdr:col>12</xdr:col>
      <xdr:colOff>325439</xdr:colOff>
      <xdr:row>16</xdr:row>
      <xdr:rowOff>126999</xdr:rowOff>
    </xdr:from>
    <xdr:to>
      <xdr:col>15</xdr:col>
      <xdr:colOff>194734</xdr:colOff>
      <xdr:row>22</xdr:row>
      <xdr:rowOff>4749</xdr:rowOff>
    </xdr:to>
    <xdr:sp macro="[0]!ActivateCreditsSummary">
      <xdr:nvSpPr>
        <xdr:cNvPr id="13" name="Rounded Rectangle 16">
          <a:extLst>
            <a:ext uri="{FF2B5EF4-FFF2-40B4-BE49-F238E27FC236}">
              <a16:creationId xmlns:a16="http://schemas.microsoft.com/office/drawing/2014/main" id="{00000000-0008-0000-0600-00000d000000}"/>
            </a:ext>
          </a:extLst>
        </xdr:cNvPr>
        <xdr:cNvSpPr/>
      </xdr:nvSpPr>
      <xdr:spPr>
        <a:xfrm>
          <a:off x="6915150" y="3619500"/>
          <a:ext cx="1695450" cy="1133475"/>
        </a:xfrm>
        <a:prstGeom prst="roundRect"/>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b="1">
              <a:solidFill>
                <a:schemeClr val="accent1"/>
              </a:solidFill>
              <a:latin typeface="Rockwell Light" panose="02040303020102020203" pitchFamily="18" charset="0"/>
            </a:rPr>
            <a:t>Credits Summary</a:t>
          </a:r>
          <a:endParaRPr lang="en-GB" sz="1400" b="1" baseline="0">
            <a:solidFill>
              <a:schemeClr val="accent1"/>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166791</xdr:colOff>
      <xdr:row>1</xdr:row>
      <xdr:rowOff>12701</xdr:rowOff>
    </xdr:from>
    <xdr:to>
      <xdr:col>4</xdr:col>
      <xdr:colOff>1466850</xdr:colOff>
      <xdr:row>3</xdr:row>
      <xdr:rowOff>190500</xdr:rowOff>
    </xdr:to>
    <xdr:sp macro="[0]!ActivateResults">
      <xdr:nvSpPr>
        <xdr:cNvPr id="26" name="TextBox 25">
          <a:extLst>
            <a:ext uri="{FF2B5EF4-FFF2-40B4-BE49-F238E27FC236}">
              <a16:creationId xmlns:a16="http://schemas.microsoft.com/office/drawing/2014/main" id="{00000000-0008-0000-0700-00001a000000}"/>
            </a:ext>
          </a:extLst>
        </xdr:cNvPr>
        <xdr:cNvSpPr txBox="1"/>
      </xdr:nvSpPr>
      <xdr:spPr>
        <a:xfrm>
          <a:off x="4772025" y="209550"/>
          <a:ext cx="1295400" cy="61912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absolute">
    <xdr:from>
      <xdr:col>18</xdr:col>
      <xdr:colOff>628913</xdr:colOff>
      <xdr:row>35</xdr:row>
      <xdr:rowOff>8504</xdr:rowOff>
    </xdr:from>
    <xdr:to>
      <xdr:col>27</xdr:col>
      <xdr:colOff>255587</xdr:colOff>
      <xdr:row>49</xdr:row>
      <xdr:rowOff>8731</xdr:rowOff>
    </xdr:to>
    <xdr:graphicFrame>
      <xdr:nvGraphicFramePr>
        <xdr:cNvPr id="23" name="Chart 22">
          <a:extLst>
            <a:ext uri="{FF2B5EF4-FFF2-40B4-BE49-F238E27FC236}">
              <a16:creationId xmlns:a16="http://schemas.microsoft.com/office/drawing/2014/main" id="{00000000-0008-0000-0800-000017000000}"/>
            </a:ext>
          </a:extLst>
        </xdr:cNvPr>
        <xdr:cNvGraphicFramePr/>
      </xdr:nvGraphicFramePr>
      <xdr:xfrm>
        <a:off x="23431500" y="8934450"/>
        <a:ext cx="5229225" cy="3467100"/>
      </xdr:xfrm>
      <a:graphic>
        <a:graphicData uri="http://schemas.openxmlformats.org/drawingml/2006/chart">
          <c:chart xmlns:c="http://schemas.openxmlformats.org/drawingml/2006/chart" r:id="rId1"/>
        </a:graphicData>
      </a:graphic>
    </xdr:graphicFrame>
    <xdr:clientData/>
  </xdr:twoCellAnchor>
  <xdr:twoCellAnchor editAs="absolute">
    <xdr:from>
      <xdr:col>28</xdr:col>
      <xdr:colOff>35719</xdr:colOff>
      <xdr:row>34</xdr:row>
      <xdr:rowOff>220821</xdr:rowOff>
    </xdr:from>
    <xdr:to>
      <xdr:col>36</xdr:col>
      <xdr:colOff>539910</xdr:colOff>
      <xdr:row>49</xdr:row>
      <xdr:rowOff>35717</xdr:rowOff>
    </xdr:to>
    <xdr:graphicFrame>
      <xdr:nvGraphicFramePr>
        <xdr:cNvPr id="25" name="Chart 24">
          <a:extLst>
            <a:ext uri="{FF2B5EF4-FFF2-40B4-BE49-F238E27FC236}">
              <a16:creationId xmlns:a16="http://schemas.microsoft.com/office/drawing/2014/main" id="{00000000-0008-0000-0800-000019000000}"/>
            </a:ext>
          </a:extLst>
        </xdr:cNvPr>
        <xdr:cNvGraphicFramePr/>
      </xdr:nvGraphicFramePr>
      <xdr:xfrm>
        <a:off x="29013150" y="8905875"/>
        <a:ext cx="5334000" cy="3524250"/>
      </xdr:xfrm>
      <a:graphic>
        <a:graphicData uri="http://schemas.openxmlformats.org/drawingml/2006/chart">
          <c:chart xmlns:c="http://schemas.openxmlformats.org/drawingml/2006/chart" r:id="rId2"/>
        </a:graphicData>
      </a:graphic>
    </xdr:graphicFrame>
    <xdr:clientData/>
  </xdr:twoCellAnchor>
  <xdr:twoCellAnchor editAs="absolute">
    <xdr:from>
      <xdr:col>18</xdr:col>
      <xdr:colOff>637379</xdr:colOff>
      <xdr:row>52</xdr:row>
      <xdr:rowOff>82550</xdr:rowOff>
    </xdr:from>
    <xdr:to>
      <xdr:col>36</xdr:col>
      <xdr:colOff>569117</xdr:colOff>
      <xdr:row>90</xdr:row>
      <xdr:rowOff>38894</xdr:rowOff>
    </xdr:to>
    <xdr:graphicFrame>
      <xdr:nvGraphicFramePr>
        <xdr:cNvPr id="27" name="Chart 26">
          <a:extLst>
            <a:ext uri="{FF2B5EF4-FFF2-40B4-BE49-F238E27FC236}">
              <a16:creationId xmlns:a16="http://schemas.microsoft.com/office/drawing/2014/main" id="{00000000-0008-0000-0800-00001b000000}"/>
            </a:ext>
          </a:extLst>
        </xdr:cNvPr>
        <xdr:cNvGraphicFramePr/>
      </xdr:nvGraphicFramePr>
      <xdr:xfrm>
        <a:off x="23441025" y="13058775"/>
        <a:ext cx="10934700" cy="8724900"/>
      </xdr:xfrm>
      <a:graphic>
        <a:graphicData uri="http://schemas.openxmlformats.org/drawingml/2006/chart">
          <c:chart xmlns:c="http://schemas.openxmlformats.org/drawingml/2006/chart" r:id="rId3"/>
        </a:graphicData>
      </a:graphic>
    </xdr:graphicFrame>
    <xdr:clientData/>
  </xdr:twoCellAnchor>
  <xdr:twoCellAnchor editAs="absolute">
    <xdr:from>
      <xdr:col>9</xdr:col>
      <xdr:colOff>10160</xdr:colOff>
      <xdr:row>52</xdr:row>
      <xdr:rowOff>86668</xdr:rowOff>
    </xdr:from>
    <xdr:to>
      <xdr:col>18</xdr:col>
      <xdr:colOff>163512</xdr:colOff>
      <xdr:row>90</xdr:row>
      <xdr:rowOff>55563</xdr:rowOff>
    </xdr:to>
    <xdr:graphicFrame>
      <xdr:nvGraphicFramePr>
        <xdr:cNvPr id="28" name="Chart 27">
          <a:extLst>
            <a:ext uri="{FF2B5EF4-FFF2-40B4-BE49-F238E27FC236}">
              <a16:creationId xmlns:a16="http://schemas.microsoft.com/office/drawing/2014/main" id="{00000000-0008-0000-0800-00001c000000}"/>
            </a:ext>
          </a:extLst>
        </xdr:cNvPr>
        <xdr:cNvGraphicFramePr/>
      </xdr:nvGraphicFramePr>
      <xdr:xfrm>
        <a:off x="12277725" y="13058775"/>
        <a:ext cx="10687050" cy="8743950"/>
      </xdr:xfrm>
      <a:graphic>
        <a:graphicData uri="http://schemas.openxmlformats.org/drawingml/2006/chart">
          <c:chart xmlns:c="http://schemas.openxmlformats.org/drawingml/2006/chart" r:id="rId4"/>
        </a:graphicData>
      </a:graphic>
    </xdr:graphicFrame>
    <xdr:clientData/>
  </xdr:twoCellAnchor>
  <xdr:twoCellAnchor editAs="absolute">
    <xdr:from>
      <xdr:col>12</xdr:col>
      <xdr:colOff>497682</xdr:colOff>
      <xdr:row>35</xdr:row>
      <xdr:rowOff>10093</xdr:rowOff>
    </xdr:from>
    <xdr:to>
      <xdr:col>17</xdr:col>
      <xdr:colOff>619125</xdr:colOff>
      <xdr:row>49</xdr:row>
      <xdr:rowOff>10930</xdr:rowOff>
    </xdr:to>
    <xdr:graphicFrame>
      <xdr:nvGraphicFramePr>
        <xdr:cNvPr id="31" name="Chart 30">
          <a:extLst>
            <a:ext uri="{FF2B5EF4-FFF2-40B4-BE49-F238E27FC236}">
              <a16:creationId xmlns:a16="http://schemas.microsoft.com/office/drawing/2014/main" id="{00000000-0008-0000-0800-00001f000000}"/>
            </a:ext>
          </a:extLst>
        </xdr:cNvPr>
        <xdr:cNvGraphicFramePr/>
      </xdr:nvGraphicFramePr>
      <xdr:xfrm>
        <a:off x="17583150" y="8934450"/>
        <a:ext cx="5010150" cy="3467100"/>
      </xdr:xfrm>
      <a:graphic>
        <a:graphicData uri="http://schemas.openxmlformats.org/drawingml/2006/chart">
          <c:chart xmlns:c="http://schemas.openxmlformats.org/drawingml/2006/chart"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xdr:nvSpPr>
        <xdr:cNvPr id="29" name="TextBox 28">
          <a:extLst>
            <a:ext uri="{FF2B5EF4-FFF2-40B4-BE49-F238E27FC236}">
              <a16:creationId xmlns:a16="http://schemas.microsoft.com/office/drawing/2014/main" id="{00000000-0008-0000-0800-00001d000000}"/>
            </a:ext>
          </a:extLst>
        </xdr:cNvPr>
        <xdr:cNvSpPr txBox="1"/>
      </xdr:nvSpPr>
      <xdr:spPr>
        <a:xfrm>
          <a:off x="7400925" y="200025"/>
          <a:ext cx="1857375" cy="73342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389730</xdr:colOff>
      <xdr:row>96</xdr:row>
      <xdr:rowOff>67468</xdr:rowOff>
    </xdr:from>
    <xdr:to>
      <xdr:col>18</xdr:col>
      <xdr:colOff>130967</xdr:colOff>
      <xdr:row>110</xdr:row>
      <xdr:rowOff>111389</xdr:rowOff>
    </xdr:to>
    <xdr:graphicFrame>
      <xdr:nvGraphicFramePr>
        <xdr:cNvPr id="15" name="Chart 14">
          <a:extLst>
            <a:ext uri="{FF2B5EF4-FFF2-40B4-BE49-F238E27FC236}">
              <a16:creationId xmlns:a16="http://schemas.microsoft.com/office/drawing/2014/main" id="{00000000-0008-0000-0800-00000f000000}"/>
            </a:ext>
          </a:extLst>
        </xdr:cNvPr>
        <xdr:cNvGraphicFramePr/>
      </xdr:nvGraphicFramePr>
      <xdr:xfrm>
        <a:off x="17478375" y="23364825"/>
        <a:ext cx="5457825" cy="3533775"/>
      </xdr:xfrm>
      <a:graphic>
        <a:graphicData uri="http://schemas.openxmlformats.org/drawingml/2006/chart">
          <c:chart xmlns:c="http://schemas.openxmlformats.org/drawingml/2006/chart" r:id="rId6"/>
        </a:graphicData>
      </a:graphic>
    </xdr:graphicFrame>
    <xdr:clientData/>
  </xdr:twoCellAnchor>
  <xdr:twoCellAnchor editAs="absolute">
    <xdr:from>
      <xdr:col>18</xdr:col>
      <xdr:colOff>658813</xdr:colOff>
      <xdr:row>96</xdr:row>
      <xdr:rowOff>100012</xdr:rowOff>
    </xdr:from>
    <xdr:to>
      <xdr:col>27</xdr:col>
      <xdr:colOff>95250</xdr:colOff>
      <xdr:row>110</xdr:row>
      <xdr:rowOff>169447</xdr:rowOff>
    </xdr:to>
    <xdr:graphicFrame>
      <xdr:nvGraphicFramePr>
        <xdr:cNvPr id="16" name="Chart 15">
          <a:extLst>
            <a:ext uri="{FF2B5EF4-FFF2-40B4-BE49-F238E27FC236}">
              <a16:creationId xmlns:a16="http://schemas.microsoft.com/office/drawing/2014/main" id="{00000000-0008-0000-0800-000010000000}"/>
            </a:ext>
          </a:extLst>
        </xdr:cNvPr>
        <xdr:cNvGraphicFramePr/>
      </xdr:nvGraphicFramePr>
      <xdr:xfrm>
        <a:off x="23460075" y="23393400"/>
        <a:ext cx="5038725" cy="3552825"/>
      </xdr:xfrm>
      <a:graphic>
        <a:graphicData uri="http://schemas.openxmlformats.org/drawingml/2006/chart">
          <c:chart xmlns:c="http://schemas.openxmlformats.org/drawingml/2006/chart" r:id="rId7"/>
        </a:graphicData>
      </a:graphic>
    </xdr:graphicFrame>
    <xdr:clientData/>
  </xdr:twoCellAnchor>
  <xdr:twoCellAnchor editAs="absolute">
    <xdr:from>
      <xdr:col>28</xdr:col>
      <xdr:colOff>190500</xdr:colOff>
      <xdr:row>96</xdr:row>
      <xdr:rowOff>64293</xdr:rowOff>
    </xdr:from>
    <xdr:to>
      <xdr:col>36</xdr:col>
      <xdr:colOff>488383</xdr:colOff>
      <xdr:row>111</xdr:row>
      <xdr:rowOff>0</xdr:rowOff>
    </xdr:to>
    <xdr:graphicFrame>
      <xdr:nvGraphicFramePr>
        <xdr:cNvPr id="17" name="Chart 16">
          <a:extLst>
            <a:ext uri="{FF2B5EF4-FFF2-40B4-BE49-F238E27FC236}">
              <a16:creationId xmlns:a16="http://schemas.microsoft.com/office/drawing/2014/main" id="{00000000-0008-0000-0800-000011000000}"/>
            </a:ext>
          </a:extLst>
        </xdr:cNvPr>
        <xdr:cNvGraphicFramePr/>
      </xdr:nvGraphicFramePr>
      <xdr:xfrm>
        <a:off x="29165550" y="23364825"/>
        <a:ext cx="5124450" cy="3609975"/>
      </xdr:xfrm>
      <a:graphic>
        <a:graphicData uri="http://schemas.openxmlformats.org/drawingml/2006/chart">
          <c:chart xmlns:c="http://schemas.openxmlformats.org/drawingml/2006/chart" r:id="rId8"/>
        </a:graphicData>
      </a:graphic>
    </xdr:graphicFrame>
    <xdr:clientData/>
  </xdr:twoCellAnchor>
  <xdr:twoCellAnchor editAs="absolute">
    <xdr:from>
      <xdr:col>9</xdr:col>
      <xdr:colOff>10071</xdr:colOff>
      <xdr:row>113</xdr:row>
      <xdr:rowOff>12701</xdr:rowOff>
    </xdr:from>
    <xdr:to>
      <xdr:col>18</xdr:col>
      <xdr:colOff>130968</xdr:colOff>
      <xdr:row>149</xdr:row>
      <xdr:rowOff>152665</xdr:rowOff>
    </xdr:to>
    <xdr:graphicFrame>
      <xdr:nvGraphicFramePr>
        <xdr:cNvPr id="19" name="Chart 18">
          <a:extLst>
            <a:ext uri="{FF2B5EF4-FFF2-40B4-BE49-F238E27FC236}">
              <a16:creationId xmlns:a16="http://schemas.microsoft.com/office/drawing/2014/main" id="{00000000-0008-0000-0800-000013000000}"/>
            </a:ext>
          </a:extLst>
        </xdr:cNvPr>
        <xdr:cNvGraphicFramePr/>
      </xdr:nvGraphicFramePr>
      <xdr:xfrm>
        <a:off x="12277725" y="27346275"/>
        <a:ext cx="10658475" cy="7724775"/>
      </xdr:xfrm>
      <a:graphic>
        <a:graphicData uri="http://schemas.openxmlformats.org/drawingml/2006/chart">
          <c:chart xmlns:c="http://schemas.openxmlformats.org/drawingml/2006/chart" r:id="rId9"/>
        </a:graphicData>
      </a:graphic>
    </xdr:graphicFrame>
    <xdr:clientData/>
  </xdr:twoCellAnchor>
  <xdr:twoCellAnchor editAs="absolute">
    <xdr:from>
      <xdr:col>18</xdr:col>
      <xdr:colOff>669924</xdr:colOff>
      <xdr:row>113</xdr:row>
      <xdr:rowOff>17463</xdr:rowOff>
    </xdr:from>
    <xdr:to>
      <xdr:col>36</xdr:col>
      <xdr:colOff>541904</xdr:colOff>
      <xdr:row>149</xdr:row>
      <xdr:rowOff>151077</xdr:rowOff>
    </xdr:to>
    <xdr:graphicFrame>
      <xdr:nvGraphicFramePr>
        <xdr:cNvPr id="21" name="Chart 20">
          <a:extLst>
            <a:ext uri="{FF2B5EF4-FFF2-40B4-BE49-F238E27FC236}">
              <a16:creationId xmlns:a16="http://schemas.microsoft.com/office/drawing/2014/main" id="{00000000-0008-0000-0800-000015000000}"/>
            </a:ext>
          </a:extLst>
        </xdr:cNvPr>
        <xdr:cNvGraphicFramePr/>
      </xdr:nvGraphicFramePr>
      <xdr:xfrm>
        <a:off x="23469600" y="27355800"/>
        <a:ext cx="10877550" cy="7715250"/>
      </xdr:xfrm>
      <a:graphic>
        <a:graphicData uri="http://schemas.openxmlformats.org/drawingml/2006/chart">
          <c:chart xmlns:c="http://schemas.openxmlformats.org/drawingml/2006/chart" r:id="rId10"/>
        </a:graphicData>
      </a:graphic>
    </xdr:graphicFrame>
    <xdr:clientData/>
  </xdr:twoCellAnchor>
  <xdr:twoCellAnchor editAs="absolute">
    <xdr:from>
      <xdr:col>12</xdr:col>
      <xdr:colOff>844550</xdr:colOff>
      <xdr:row>156</xdr:row>
      <xdr:rowOff>158062</xdr:rowOff>
    </xdr:from>
    <xdr:to>
      <xdr:col>18</xdr:col>
      <xdr:colOff>35718</xdr:colOff>
      <xdr:row>168</xdr:row>
      <xdr:rowOff>91908</xdr:rowOff>
    </xdr:to>
    <xdr:graphicFrame>
      <xdr:nvGraphicFramePr>
        <xdr:cNvPr id="24" name="Chart 23">
          <a:extLst>
            <a:ext uri="{FF2B5EF4-FFF2-40B4-BE49-F238E27FC236}">
              <a16:creationId xmlns:a16="http://schemas.microsoft.com/office/drawing/2014/main" id="{00000000-0008-0000-0800-000018000000}"/>
            </a:ext>
          </a:extLst>
        </xdr:cNvPr>
        <xdr:cNvGraphicFramePr/>
      </xdr:nvGraphicFramePr>
      <xdr:xfrm>
        <a:off x="17935575" y="36585525"/>
        <a:ext cx="4905375" cy="3114675"/>
      </xdr:xfrm>
      <a:graphic>
        <a:graphicData uri="http://schemas.openxmlformats.org/drawingml/2006/chart">
          <c:chart xmlns:c="http://schemas.openxmlformats.org/drawingml/2006/chart" r:id="rId11"/>
        </a:graphicData>
      </a:graphic>
    </xdr:graphicFrame>
    <xdr:clientData/>
  </xdr:twoCellAnchor>
  <xdr:twoCellAnchor editAs="absolute">
    <xdr:from>
      <xdr:col>18</xdr:col>
      <xdr:colOff>657874</xdr:colOff>
      <xdr:row>156</xdr:row>
      <xdr:rowOff>119235</xdr:rowOff>
    </xdr:from>
    <xdr:to>
      <xdr:col>27</xdr:col>
      <xdr:colOff>241299</xdr:colOff>
      <xdr:row>168</xdr:row>
      <xdr:rowOff>43750</xdr:rowOff>
    </xdr:to>
    <xdr:graphicFrame>
      <xdr:nvGraphicFramePr>
        <xdr:cNvPr id="26" name="Chart 25">
          <a:extLst>
            <a:ext uri="{FF2B5EF4-FFF2-40B4-BE49-F238E27FC236}">
              <a16:creationId xmlns:a16="http://schemas.microsoft.com/office/drawing/2014/main" id="{00000000-0008-0000-0800-00001a000000}"/>
            </a:ext>
          </a:extLst>
        </xdr:cNvPr>
        <xdr:cNvGraphicFramePr/>
      </xdr:nvGraphicFramePr>
      <xdr:xfrm>
        <a:off x="23460075" y="36547425"/>
        <a:ext cx="5181600" cy="3105150"/>
      </xdr:xfrm>
      <a:graphic>
        <a:graphicData uri="http://schemas.openxmlformats.org/drawingml/2006/chart">
          <c:chart xmlns:c="http://schemas.openxmlformats.org/drawingml/2006/chart" r:id="rId12"/>
        </a:graphicData>
      </a:graphic>
    </xdr:graphicFrame>
    <xdr:clientData/>
  </xdr:twoCellAnchor>
  <xdr:twoCellAnchor editAs="absolute">
    <xdr:from>
      <xdr:col>28</xdr:col>
      <xdr:colOff>160337</xdr:colOff>
      <xdr:row>156</xdr:row>
      <xdr:rowOff>118420</xdr:rowOff>
    </xdr:from>
    <xdr:to>
      <xdr:col>36</xdr:col>
      <xdr:colOff>488837</xdr:colOff>
      <xdr:row>168</xdr:row>
      <xdr:rowOff>45507</xdr:rowOff>
    </xdr:to>
    <xdr:graphicFrame>
      <xdr:nvGraphicFramePr>
        <xdr:cNvPr id="30" name="Chart 29">
          <a:extLst>
            <a:ext uri="{FF2B5EF4-FFF2-40B4-BE49-F238E27FC236}">
              <a16:creationId xmlns:a16="http://schemas.microsoft.com/office/drawing/2014/main" id="{00000000-0008-0000-0800-00001e000000}"/>
            </a:ext>
          </a:extLst>
        </xdr:cNvPr>
        <xdr:cNvGraphicFramePr/>
      </xdr:nvGraphicFramePr>
      <xdr:xfrm>
        <a:off x="29136975" y="36537900"/>
        <a:ext cx="5153025" cy="3105150"/>
      </xdr:xfrm>
      <a:graphic>
        <a:graphicData uri="http://schemas.openxmlformats.org/drawingml/2006/chart">
          <c:chart xmlns:c="http://schemas.openxmlformats.org/drawingml/2006/chart" r:id="rId13"/>
        </a:graphicData>
      </a:graphic>
    </xdr:graphicFrame>
    <xdr:clientData/>
  </xdr:twoCellAnchor>
  <xdr:twoCellAnchor editAs="absolute">
    <xdr:from>
      <xdr:col>9</xdr:col>
      <xdr:colOff>225</xdr:colOff>
      <xdr:row>174</xdr:row>
      <xdr:rowOff>55223</xdr:rowOff>
    </xdr:from>
    <xdr:to>
      <xdr:col>18</xdr:col>
      <xdr:colOff>28913</xdr:colOff>
      <xdr:row>208</xdr:row>
      <xdr:rowOff>118609</xdr:rowOff>
    </xdr:to>
    <xdr:graphicFrame>
      <xdr:nvGraphicFramePr>
        <xdr:cNvPr id="35" name="Chart 34">
          <a:extLst>
            <a:ext uri="{FF2B5EF4-FFF2-40B4-BE49-F238E27FC236}">
              <a16:creationId xmlns:a16="http://schemas.microsoft.com/office/drawing/2014/main" id="{00000000-0008-0000-0800-000023000000}"/>
            </a:ext>
          </a:extLst>
        </xdr:cNvPr>
        <xdr:cNvGraphicFramePr/>
      </xdr:nvGraphicFramePr>
      <xdr:xfrm>
        <a:off x="12268200" y="40700325"/>
        <a:ext cx="10563225" cy="7058025"/>
      </xdr:xfrm>
      <a:graphic>
        <a:graphicData uri="http://schemas.openxmlformats.org/drawingml/2006/chart">
          <c:chart xmlns:c="http://schemas.openxmlformats.org/drawingml/2006/chart" r:id="rId14"/>
        </a:graphicData>
      </a:graphic>
    </xdr:graphicFrame>
    <xdr:clientData/>
  </xdr:twoCellAnchor>
  <xdr:twoCellAnchor editAs="absolute">
    <xdr:from>
      <xdr:col>18</xdr:col>
      <xdr:colOff>580571</xdr:colOff>
      <xdr:row>174</xdr:row>
      <xdr:rowOff>54962</xdr:rowOff>
    </xdr:from>
    <xdr:to>
      <xdr:col>36</xdr:col>
      <xdr:colOff>540883</xdr:colOff>
      <xdr:row>208</xdr:row>
      <xdr:rowOff>61005</xdr:rowOff>
    </xdr:to>
    <xdr:graphicFrame>
      <xdr:nvGraphicFramePr>
        <xdr:cNvPr id="36" name="Chart 35">
          <a:extLst>
            <a:ext uri="{FF2B5EF4-FFF2-40B4-BE49-F238E27FC236}">
              <a16:creationId xmlns:a16="http://schemas.microsoft.com/office/drawing/2014/main" id="{00000000-0008-0000-0800-000024000000}"/>
            </a:ext>
          </a:extLst>
        </xdr:cNvPr>
        <xdr:cNvGraphicFramePr/>
      </xdr:nvGraphicFramePr>
      <xdr:xfrm>
        <a:off x="23383875" y="40700325"/>
        <a:ext cx="10963275" cy="7000875"/>
      </xdr:xfrm>
      <a:graphic>
        <a:graphicData uri="http://schemas.openxmlformats.org/drawingml/2006/chart">
          <c:chart xmlns:c="http://schemas.openxmlformats.org/drawingml/2006/chart" r:id="rId15"/>
        </a:graphicData>
      </a:graphic>
    </xdr:graphicFrame>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49439</xdr:colOff>
      <xdr:row>0</xdr:row>
      <xdr:rowOff>117749</xdr:rowOff>
    </xdr:from>
    <xdr:to>
      <xdr:col>0</xdr:col>
      <xdr:colOff>1124857</xdr:colOff>
      <xdr:row>4</xdr:row>
      <xdr:rowOff>25853</xdr:rowOff>
    </xdr:to>
    <xdr:sp macro="[0]!ActivateResults">
      <xdr:nvSpPr>
        <xdr:cNvPr id="4" name="TextBox 3">
          <a:extLst>
            <a:ext uri="{FF2B5EF4-FFF2-40B4-BE49-F238E27FC236}">
              <a16:creationId xmlns:a16="http://schemas.microsoft.com/office/drawing/2014/main" id="{00000000-0008-0000-0900-000004000000}"/>
            </a:ext>
          </a:extLst>
        </xdr:cNvPr>
        <xdr:cNvSpPr txBox="1"/>
      </xdr:nvSpPr>
      <xdr:spPr>
        <a:xfrm>
          <a:off x="47625" y="114300"/>
          <a:ext cx="1076325" cy="781050"/>
        </a:xfrm>
        <a:prstGeom prst="roundRect"/>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xdr:nvSpPr>
        <xdr:cNvPr id="3" name="TextBox 2">
          <a:extLst>
            <a:ext uri="{FF2B5EF4-FFF2-40B4-BE49-F238E27FC236}">
              <a16:creationId xmlns:a16="http://schemas.microsoft.com/office/drawing/2014/main" id="{00000000-0008-0000-0900-000003000000}"/>
            </a:ext>
          </a:extLst>
        </xdr:cNvPr>
        <xdr:cNvSpPr txBox="1"/>
      </xdr:nvSpPr>
      <xdr:spPr>
        <a:xfrm>
          <a:off x="0" y="1114425"/>
          <a:ext cx="1114425" cy="79057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xdr:nvSpPr>
        <xdr:cNvPr id="5" name="TextBox 4">
          <a:extLst>
            <a:ext uri="{FF2B5EF4-FFF2-40B4-BE49-F238E27FC236}">
              <a16:creationId xmlns:a16="http://schemas.microsoft.com/office/drawing/2014/main" id="{00000000-0008-0000-0900-000005000000}"/>
            </a:ext>
          </a:extLst>
        </xdr:cNvPr>
        <xdr:cNvSpPr txBox="1"/>
      </xdr:nvSpPr>
      <xdr:spPr>
        <a:xfrm>
          <a:off x="0" y="2171700"/>
          <a:ext cx="1076325" cy="111442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53975</xdr:colOff>
      <xdr:row>0</xdr:row>
      <xdr:rowOff>72391</xdr:rowOff>
    </xdr:from>
    <xdr:to>
      <xdr:col>0</xdr:col>
      <xdr:colOff>1100667</xdr:colOff>
      <xdr:row>4</xdr:row>
      <xdr:rowOff>21166</xdr:rowOff>
    </xdr:to>
    <xdr:sp macro="[0]!ActivateResults">
      <xdr:nvSpPr>
        <xdr:cNvPr id="2" name="TextBox 1">
          <a:extLst>
            <a:ext uri="{FF2B5EF4-FFF2-40B4-BE49-F238E27FC236}">
              <a16:creationId xmlns:a16="http://schemas.microsoft.com/office/drawing/2014/main" id="{00000000-0008-0000-0a00-000002000000}"/>
            </a:ext>
          </a:extLst>
        </xdr:cNvPr>
        <xdr:cNvSpPr txBox="1"/>
      </xdr:nvSpPr>
      <xdr:spPr>
        <a:xfrm>
          <a:off x="57150" y="76200"/>
          <a:ext cx="1047750" cy="838200"/>
        </a:xfrm>
        <a:prstGeom prst="roundRect"/>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xdr:nvSpPr>
        <xdr:cNvPr id="5" name="TextBox 4">
          <a:extLst>
            <a:ext uri="{FF2B5EF4-FFF2-40B4-BE49-F238E27FC236}">
              <a16:creationId xmlns:a16="http://schemas.microsoft.com/office/drawing/2014/main" id="{00000000-0008-0000-0a00-000005000000}"/>
            </a:ext>
          </a:extLst>
        </xdr:cNvPr>
        <xdr:cNvSpPr txBox="1"/>
      </xdr:nvSpPr>
      <xdr:spPr>
        <a:xfrm>
          <a:off x="0" y="1085850"/>
          <a:ext cx="1114425" cy="781050"/>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xdr:nvSpPr>
        <xdr:cNvPr id="6" name="TextBox 5">
          <a:extLst>
            <a:ext uri="{FF2B5EF4-FFF2-40B4-BE49-F238E27FC236}">
              <a16:creationId xmlns:a16="http://schemas.microsoft.com/office/drawing/2014/main" id="{00000000-0008-0000-0a00-000006000000}"/>
            </a:ext>
          </a:extLst>
        </xdr:cNvPr>
        <xdr:cNvSpPr txBox="1"/>
      </xdr:nvSpPr>
      <xdr:spPr>
        <a:xfrm>
          <a:off x="28575" y="2085975"/>
          <a:ext cx="1076325" cy="79057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85725</xdr:colOff>
      <xdr:row>0</xdr:row>
      <xdr:rowOff>72392</xdr:rowOff>
    </xdr:from>
    <xdr:to>
      <xdr:col>0</xdr:col>
      <xdr:colOff>1057275</xdr:colOff>
      <xdr:row>3</xdr:row>
      <xdr:rowOff>161925</xdr:rowOff>
    </xdr:to>
    <xdr:sp macro="[0]!ActivateResults">
      <xdr:nvSpPr>
        <xdr:cNvPr id="2" name="TextBox 1">
          <a:extLst>
            <a:ext uri="{FF2B5EF4-FFF2-40B4-BE49-F238E27FC236}">
              <a16:creationId xmlns:a16="http://schemas.microsoft.com/office/drawing/2014/main" id="{00000000-0008-0000-0b00-000002000000}"/>
            </a:ext>
          </a:extLst>
        </xdr:cNvPr>
        <xdr:cNvSpPr txBox="1"/>
      </xdr:nvSpPr>
      <xdr:spPr>
        <a:xfrm>
          <a:off x="85725" y="76200"/>
          <a:ext cx="971550" cy="790575"/>
        </a:xfrm>
        <a:prstGeom prst="roundRect"/>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xdr:nvSpPr>
        <xdr:cNvPr id="4" name="TextBox 3">
          <a:extLst>
            <a:ext uri="{FF2B5EF4-FFF2-40B4-BE49-F238E27FC236}">
              <a16:creationId xmlns:a16="http://schemas.microsoft.com/office/drawing/2014/main" id="{00000000-0008-0000-0b00-000004000000}"/>
            </a:ext>
          </a:extLst>
        </xdr:cNvPr>
        <xdr:cNvSpPr txBox="1"/>
      </xdr:nvSpPr>
      <xdr:spPr>
        <a:xfrm>
          <a:off x="28575" y="1009650"/>
          <a:ext cx="1104900" cy="781050"/>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xdr:nvSpPr>
        <xdr:cNvPr id="5" name="TextBox 4">
          <a:extLst>
            <a:ext uri="{FF2B5EF4-FFF2-40B4-BE49-F238E27FC236}">
              <a16:creationId xmlns:a16="http://schemas.microsoft.com/office/drawing/2014/main" id="{00000000-0008-0000-0b00-000005000000}"/>
            </a:ext>
          </a:extLst>
        </xdr:cNvPr>
        <xdr:cNvSpPr txBox="1"/>
      </xdr:nvSpPr>
      <xdr:spPr>
        <a:xfrm>
          <a:off x="28575" y="1905000"/>
          <a:ext cx="1104900" cy="790575"/>
        </a:xfrm>
        <a:prstGeom prst="roundRect"/>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2535440</xdr:colOff>
      <xdr:row>4</xdr:row>
      <xdr:rowOff>131094</xdr:rowOff>
    </xdr:from>
    <xdr:to>
      <xdr:col>7</xdr:col>
      <xdr:colOff>15156</xdr:colOff>
      <xdr:row>6</xdr:row>
      <xdr:rowOff>98823</xdr:rowOff>
    </xdr:to>
    <xdr:sp macro="[0]!ToggleHideRows">
      <xdr:nvSpPr>
        <xdr:cNvPr id="17" name="Rectangle: Rounded Corners 19">
          <a:extLst>
            <a:ext uri="{FF2B5EF4-FFF2-40B4-BE49-F238E27FC236}">
              <a16:creationId xmlns:a16="http://schemas.microsoft.com/office/drawing/2014/main" id="{00000000-0008-0000-0e00-000011000000}"/>
            </a:ext>
          </a:extLst>
        </xdr:cNvPr>
        <xdr:cNvSpPr/>
      </xdr:nvSpPr>
      <xdr:spPr>
        <a:xfrm>
          <a:off x="4524375" y="895350"/>
          <a:ext cx="4010025" cy="3238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0">
              <a:solidFill>
                <a:schemeClr val="bg1"/>
              </a:solidFill>
              <a:latin typeface="+mn-lt"/>
            </a:rPr>
            <a:t>Condense / Show Rows</a:t>
          </a:r>
        </a:p>
      </xdr:txBody>
    </xdr:sp>
    <xdr:clientData/>
  </xdr:twoCellAnchor>
  <xdr:twoCellAnchor>
    <xdr:from>
      <xdr:col>0</xdr:col>
      <xdr:colOff>0</xdr:colOff>
      <xdr:row>7</xdr:row>
      <xdr:rowOff>7960</xdr:rowOff>
    </xdr:from>
    <xdr:to>
      <xdr:col>5</xdr:col>
      <xdr:colOff>2289842</xdr:colOff>
      <xdr:row>7</xdr:row>
      <xdr:rowOff>267893</xdr:rowOff>
    </xdr:to>
    <xdr:sp macro="[0]!ActivateSelectWorksheet">
      <xdr:nvSpPr>
        <xdr:cNvPr id="15" name="Rounded Rectangle 14">
          <a:extLst>
            <a:ext uri="{FF2B5EF4-FFF2-40B4-BE49-F238E27FC236}">
              <a16:creationId xmlns:a16="http://schemas.microsoft.com/office/drawing/2014/main" id="{00000000-0008-0000-0e00-00000f000000}"/>
            </a:ext>
          </a:extLst>
        </xdr:cNvPr>
        <xdr:cNvSpPr/>
      </xdr:nvSpPr>
      <xdr:spPr>
        <a:xfrm>
          <a:off x="0" y="1295400"/>
          <a:ext cx="4276725" cy="2571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clientData/>
  </xdr:twoCellAnchor>
  <xdr:twoCellAnchor>
    <xdr:from>
      <xdr:col>0</xdr:col>
      <xdr:colOff>2053</xdr:colOff>
      <xdr:row>4</xdr:row>
      <xdr:rowOff>105070</xdr:rowOff>
    </xdr:from>
    <xdr:to>
      <xdr:col>5</xdr:col>
      <xdr:colOff>2291895</xdr:colOff>
      <xdr:row>6</xdr:row>
      <xdr:rowOff>72799</xdr:rowOff>
    </xdr:to>
    <xdr:sp macro="[0]!ToggleHideColumns">
      <xdr:nvSpPr>
        <xdr:cNvPr id="19" name="Rectangle: Rounded Corners 19">
          <a:extLst>
            <a:ext uri="{FF2B5EF4-FFF2-40B4-BE49-F238E27FC236}">
              <a16:creationId xmlns:a16="http://schemas.microsoft.com/office/drawing/2014/main" id="{00000000-0008-0000-0e00-000013000000}"/>
            </a:ext>
          </a:extLst>
        </xdr:cNvPr>
        <xdr:cNvSpPr/>
      </xdr:nvSpPr>
      <xdr:spPr>
        <a:xfrm>
          <a:off x="0" y="866775"/>
          <a:ext cx="4286250" cy="3238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mn-lt"/>
            </a:rPr>
            <a:t>Condense / Show Columns</a:t>
          </a: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2173555</xdr:colOff>
      <xdr:row>4</xdr:row>
      <xdr:rowOff>93742</xdr:rowOff>
    </xdr:from>
    <xdr:to>
      <xdr:col>7</xdr:col>
      <xdr:colOff>10335</xdr:colOff>
      <xdr:row>6</xdr:row>
      <xdr:rowOff>58245</xdr:rowOff>
    </xdr:to>
    <xdr:sp macro="[0]!ToggleHideRows">
      <xdr:nvSpPr>
        <xdr:cNvPr id="22" name="Rectangle: Rounded Corners 19">
          <a:extLst>
            <a:ext uri="{FF2B5EF4-FFF2-40B4-BE49-F238E27FC236}">
              <a16:creationId xmlns:a16="http://schemas.microsoft.com/office/drawing/2014/main" id="{00000000-0008-0000-1000-000016000000}"/>
            </a:ext>
          </a:extLst>
        </xdr:cNvPr>
        <xdr:cNvSpPr/>
      </xdr:nvSpPr>
      <xdr:spPr>
        <a:xfrm>
          <a:off x="2933700" y="885825"/>
          <a:ext cx="25717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4</xdr:col>
      <xdr:colOff>12066</xdr:colOff>
      <xdr:row>6</xdr:row>
      <xdr:rowOff>161126</xdr:rowOff>
    </xdr:from>
    <xdr:to>
      <xdr:col>5</xdr:col>
      <xdr:colOff>2016033</xdr:colOff>
      <xdr:row>8</xdr:row>
      <xdr:rowOff>42240</xdr:rowOff>
    </xdr:to>
    <xdr:sp macro="[0]!ActivateSelectWorksheet">
      <xdr:nvSpPr>
        <xdr:cNvPr id="23" name="Rounded Rectangle 22">
          <a:extLst>
            <a:ext uri="{FF2B5EF4-FFF2-40B4-BE49-F238E27FC236}">
              <a16:creationId xmlns:a16="http://schemas.microsoft.com/office/drawing/2014/main" id="{00000000-0008-0000-1000-000017000000}"/>
            </a:ext>
          </a:extLst>
        </xdr:cNvPr>
        <xdr:cNvSpPr/>
      </xdr:nvSpPr>
      <xdr:spPr>
        <a:xfrm>
          <a:off x="9525" y="1343025"/>
          <a:ext cx="2762250" cy="2857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4</xdr:col>
      <xdr:colOff>13383</xdr:colOff>
      <xdr:row>4</xdr:row>
      <xdr:rowOff>86995</xdr:rowOff>
    </xdr:from>
    <xdr:to>
      <xdr:col>5</xdr:col>
      <xdr:colOff>2017350</xdr:colOff>
      <xdr:row>6</xdr:row>
      <xdr:rowOff>51498</xdr:rowOff>
    </xdr:to>
    <xdr:sp macro="[0]!ToggleHideColumns">
      <xdr:nvSpPr>
        <xdr:cNvPr id="25" name="Rectangle: Rounded Corners 19">
          <a:extLst>
            <a:ext uri="{FF2B5EF4-FFF2-40B4-BE49-F238E27FC236}">
              <a16:creationId xmlns:a16="http://schemas.microsoft.com/office/drawing/2014/main" id="{00000000-0008-0000-1000-000019000000}"/>
            </a:ext>
          </a:extLst>
        </xdr:cNvPr>
        <xdr:cNvSpPr/>
      </xdr:nvSpPr>
      <xdr:spPr>
        <a:xfrm>
          <a:off x="9525" y="876300"/>
          <a:ext cx="27622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1447763</xdr:colOff>
      <xdr:row>4</xdr:row>
      <xdr:rowOff>131583</xdr:rowOff>
    </xdr:from>
    <xdr:to>
      <xdr:col>5</xdr:col>
      <xdr:colOff>4830203</xdr:colOff>
      <xdr:row>6</xdr:row>
      <xdr:rowOff>50794</xdr:rowOff>
    </xdr:to>
    <xdr:sp macro="[0]!ToggleHideRows">
      <xdr:nvSpPr>
        <xdr:cNvPr id="37" name="Rectangle: Rounded Corners 19">
          <a:extLst>
            <a:ext uri="{FF2B5EF4-FFF2-40B4-BE49-F238E27FC236}">
              <a16:creationId xmlns:a16="http://schemas.microsoft.com/office/drawing/2014/main" id="{00000000-0008-0000-1100-000025000000}"/>
            </a:ext>
          </a:extLst>
        </xdr:cNvPr>
        <xdr:cNvSpPr/>
      </xdr:nvSpPr>
      <xdr:spPr>
        <a:xfrm>
          <a:off x="3638550" y="895350"/>
          <a:ext cx="324802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3</xdr:col>
      <xdr:colOff>160337</xdr:colOff>
      <xdr:row>6</xdr:row>
      <xdr:rowOff>130356</xdr:rowOff>
    </xdr:from>
    <xdr:to>
      <xdr:col>5</xdr:col>
      <xdr:colOff>1256777</xdr:colOff>
      <xdr:row>7</xdr:row>
      <xdr:rowOff>172881</xdr:rowOff>
    </xdr:to>
    <xdr:sp macro="[0]!ActivateSelectWorksheet">
      <xdr:nvSpPr>
        <xdr:cNvPr id="38" name="Rounded Rectangle 37">
          <a:extLst>
            <a:ext uri="{FF2B5EF4-FFF2-40B4-BE49-F238E27FC236}">
              <a16:creationId xmlns:a16="http://schemas.microsoft.com/office/drawing/2014/main" id="{00000000-0008-0000-1100-000026000000}"/>
            </a:ext>
          </a:extLst>
        </xdr:cNvPr>
        <xdr:cNvSpPr/>
      </xdr:nvSpPr>
      <xdr:spPr>
        <a:xfrm>
          <a:off x="161925" y="1247775"/>
          <a:ext cx="3286125" cy="2095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161934</xdr:colOff>
      <xdr:row>4</xdr:row>
      <xdr:rowOff>126365</xdr:rowOff>
    </xdr:from>
    <xdr:to>
      <xdr:col>5</xdr:col>
      <xdr:colOff>1258374</xdr:colOff>
      <xdr:row>6</xdr:row>
      <xdr:rowOff>45576</xdr:rowOff>
    </xdr:to>
    <xdr:sp macro="[0]!ToggleHideColumns">
      <xdr:nvSpPr>
        <xdr:cNvPr id="40" name="Rectangle: Rounded Corners 19">
          <a:extLst>
            <a:ext uri="{FF2B5EF4-FFF2-40B4-BE49-F238E27FC236}">
              <a16:creationId xmlns:a16="http://schemas.microsoft.com/office/drawing/2014/main" id="{00000000-0008-0000-1100-000028000000}"/>
            </a:ext>
          </a:extLst>
        </xdr:cNvPr>
        <xdr:cNvSpPr/>
      </xdr:nvSpPr>
      <xdr:spPr>
        <a:xfrm>
          <a:off x="161925" y="885825"/>
          <a:ext cx="328612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1677655</xdr:colOff>
      <xdr:row>4</xdr:row>
      <xdr:rowOff>104855</xdr:rowOff>
    </xdr:from>
    <xdr:to>
      <xdr:col>4</xdr:col>
      <xdr:colOff>4711198</xdr:colOff>
      <xdr:row>5</xdr:row>
      <xdr:rowOff>203203</xdr:rowOff>
    </xdr:to>
    <xdr:sp macro="[0]!ToggleHideRows">
      <xdr:nvSpPr>
        <xdr:cNvPr id="35" name="Rectangle: Rounded Corners 19">
          <a:extLst>
            <a:ext uri="{FF2B5EF4-FFF2-40B4-BE49-F238E27FC236}">
              <a16:creationId xmlns:a16="http://schemas.microsoft.com/office/drawing/2014/main" id="{00000000-0008-0000-1200-000023000000}"/>
            </a:ext>
          </a:extLst>
        </xdr:cNvPr>
        <xdr:cNvSpPr/>
      </xdr:nvSpPr>
      <xdr:spPr>
        <a:xfrm>
          <a:off x="3876675" y="1104900"/>
          <a:ext cx="3028950" cy="4000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3</xdr:col>
      <xdr:colOff>44450</xdr:colOff>
      <xdr:row>5</xdr:row>
      <xdr:rowOff>320621</xdr:rowOff>
    </xdr:from>
    <xdr:to>
      <xdr:col>4</xdr:col>
      <xdr:colOff>1506368</xdr:colOff>
      <xdr:row>6</xdr:row>
      <xdr:rowOff>87356</xdr:rowOff>
    </xdr:to>
    <xdr:sp macro="[0]!ActivateSelectWorksheet">
      <xdr:nvSpPr>
        <xdr:cNvPr id="36" name="Rounded Rectangle 35">
          <a:extLst>
            <a:ext uri="{FF2B5EF4-FFF2-40B4-BE49-F238E27FC236}">
              <a16:creationId xmlns:a16="http://schemas.microsoft.com/office/drawing/2014/main" id="{00000000-0008-0000-1200-000024000000}"/>
            </a:ext>
          </a:extLst>
        </xdr:cNvPr>
        <xdr:cNvSpPr/>
      </xdr:nvSpPr>
      <xdr:spPr>
        <a:xfrm>
          <a:off x="742950" y="1628775"/>
          <a:ext cx="2962275" cy="3238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45882</xdr:colOff>
      <xdr:row>4</xdr:row>
      <xdr:rowOff>97155</xdr:rowOff>
    </xdr:from>
    <xdr:to>
      <xdr:col>4</xdr:col>
      <xdr:colOff>1507800</xdr:colOff>
      <xdr:row>5</xdr:row>
      <xdr:rowOff>195503</xdr:rowOff>
    </xdr:to>
    <xdr:sp macro="[0]!ToggleHideColumns">
      <xdr:nvSpPr>
        <xdr:cNvPr id="38" name="Rectangle: Rounded Corners 19">
          <a:extLst>
            <a:ext uri="{FF2B5EF4-FFF2-40B4-BE49-F238E27FC236}">
              <a16:creationId xmlns:a16="http://schemas.microsoft.com/office/drawing/2014/main" id="{00000000-0008-0000-1200-000026000000}"/>
            </a:ext>
          </a:extLst>
        </xdr:cNvPr>
        <xdr:cNvSpPr/>
      </xdr:nvSpPr>
      <xdr:spPr>
        <a:xfrm>
          <a:off x="742950" y="1095375"/>
          <a:ext cx="2962275" cy="4000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2219760</xdr:colOff>
      <xdr:row>4</xdr:row>
      <xdr:rowOff>93658</xdr:rowOff>
    </xdr:from>
    <xdr:to>
      <xdr:col>5</xdr:col>
      <xdr:colOff>5131113</xdr:colOff>
      <xdr:row>6</xdr:row>
      <xdr:rowOff>53718</xdr:rowOff>
    </xdr:to>
    <xdr:sp macro="[0]!ToggleHideRows">
      <xdr:nvSpPr>
        <xdr:cNvPr id="32" name="Rectangle: Rounded Corners 19">
          <a:extLst>
            <a:ext uri="{FF2B5EF4-FFF2-40B4-BE49-F238E27FC236}">
              <a16:creationId xmlns:a16="http://schemas.microsoft.com/office/drawing/2014/main" id="{00000000-0008-0000-1300-000020000000}"/>
            </a:ext>
          </a:extLst>
        </xdr:cNvPr>
        <xdr:cNvSpPr/>
      </xdr:nvSpPr>
      <xdr:spPr>
        <a:xfrm>
          <a:off x="3048000" y="942975"/>
          <a:ext cx="267652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1270</xdr:colOff>
      <xdr:row>6</xdr:row>
      <xdr:rowOff>155321</xdr:rowOff>
    </xdr:from>
    <xdr:to>
      <xdr:col>5</xdr:col>
      <xdr:colOff>2055373</xdr:colOff>
      <xdr:row>8</xdr:row>
      <xdr:rowOff>80505</xdr:rowOff>
    </xdr:to>
    <xdr:sp macro="[0]!ActivateSelectWorksheet">
      <xdr:nvSpPr>
        <xdr:cNvPr id="33" name="Rounded Rectangle 32">
          <a:extLst>
            <a:ext uri="{FF2B5EF4-FFF2-40B4-BE49-F238E27FC236}">
              <a16:creationId xmlns:a16="http://schemas.microsoft.com/office/drawing/2014/main" id="{00000000-0008-0000-1300-000021000000}"/>
            </a:ext>
          </a:extLst>
        </xdr:cNvPr>
        <xdr:cNvSpPr/>
      </xdr:nvSpPr>
      <xdr:spPr>
        <a:xfrm>
          <a:off x="0" y="1390650"/>
          <a:ext cx="288607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2644</xdr:colOff>
      <xdr:row>4</xdr:row>
      <xdr:rowOff>86994</xdr:rowOff>
    </xdr:from>
    <xdr:to>
      <xdr:col>5</xdr:col>
      <xdr:colOff>2056747</xdr:colOff>
      <xdr:row>6</xdr:row>
      <xdr:rowOff>47053</xdr:rowOff>
    </xdr:to>
    <xdr:sp macro="[0]!ToggleHideColumns">
      <xdr:nvSpPr>
        <xdr:cNvPr id="41" name="Rectangle: Rounded Corners 19">
          <a:extLst>
            <a:ext uri="{FF2B5EF4-FFF2-40B4-BE49-F238E27FC236}">
              <a16:creationId xmlns:a16="http://schemas.microsoft.com/office/drawing/2014/main" id="{00000000-0008-0000-1300-000029000000}"/>
            </a:ext>
          </a:extLst>
        </xdr:cNvPr>
        <xdr:cNvSpPr/>
      </xdr:nvSpPr>
      <xdr:spPr>
        <a:xfrm>
          <a:off x="0" y="933450"/>
          <a:ext cx="288607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1986733</xdr:colOff>
      <xdr:row>3</xdr:row>
      <xdr:rowOff>113360</xdr:rowOff>
    </xdr:from>
    <xdr:to>
      <xdr:col>5</xdr:col>
      <xdr:colOff>0</xdr:colOff>
      <xdr:row>5</xdr:row>
      <xdr:rowOff>149757</xdr:rowOff>
    </xdr:to>
    <xdr:sp macro="[0]!ToggleHideRows">
      <xdr:nvSpPr>
        <xdr:cNvPr id="39" name="Rectangle: Rounded Corners 19">
          <a:extLst>
            <a:ext uri="{FF2B5EF4-FFF2-40B4-BE49-F238E27FC236}">
              <a16:creationId xmlns:a16="http://schemas.microsoft.com/office/drawing/2014/main" id="{00000000-0008-0000-0f00-000027000000}"/>
            </a:ext>
          </a:extLst>
        </xdr:cNvPr>
        <xdr:cNvSpPr/>
      </xdr:nvSpPr>
      <xdr:spPr>
        <a:xfrm>
          <a:off x="4524375" y="838200"/>
          <a:ext cx="3009900" cy="5334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3</xdr:col>
      <xdr:colOff>120650</xdr:colOff>
      <xdr:row>5</xdr:row>
      <xdr:rowOff>275483</xdr:rowOff>
    </xdr:from>
    <xdr:to>
      <xdr:col>4</xdr:col>
      <xdr:colOff>1688969</xdr:colOff>
      <xdr:row>6</xdr:row>
      <xdr:rowOff>273050</xdr:rowOff>
    </xdr:to>
    <xdr:sp macro="[0]!ActivateSelectWorksheet">
      <xdr:nvSpPr>
        <xdr:cNvPr id="40" name="Rounded Rectangle 39">
          <a:extLst>
            <a:ext uri="{FF2B5EF4-FFF2-40B4-BE49-F238E27FC236}">
              <a16:creationId xmlns:a16="http://schemas.microsoft.com/office/drawing/2014/main" id="{00000000-0008-0000-0f00-000028000000}"/>
            </a:ext>
          </a:extLst>
        </xdr:cNvPr>
        <xdr:cNvSpPr/>
      </xdr:nvSpPr>
      <xdr:spPr>
        <a:xfrm>
          <a:off x="828675" y="1495425"/>
          <a:ext cx="3400425" cy="4572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3</xdr:col>
      <xdr:colOff>152172</xdr:colOff>
      <xdr:row>3</xdr:row>
      <xdr:rowOff>160838</xdr:rowOff>
    </xdr:from>
    <xdr:to>
      <xdr:col>4</xdr:col>
      <xdr:colOff>1661197</xdr:colOff>
      <xdr:row>5</xdr:row>
      <xdr:rowOff>149753</xdr:rowOff>
    </xdr:to>
    <xdr:sp macro="[0]!ToggleHideColumns">
      <xdr:nvSpPr>
        <xdr:cNvPr id="42" name="Rectangle: Rounded Corners 19">
          <a:extLst>
            <a:ext uri="{FF2B5EF4-FFF2-40B4-BE49-F238E27FC236}">
              <a16:creationId xmlns:a16="http://schemas.microsoft.com/office/drawing/2014/main" id="{00000000-0008-0000-0f00-00002a000000}"/>
            </a:ext>
          </a:extLst>
        </xdr:cNvPr>
        <xdr:cNvSpPr/>
      </xdr:nvSpPr>
      <xdr:spPr>
        <a:xfrm>
          <a:off x="857250" y="885825"/>
          <a:ext cx="3333750" cy="4857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1091265</xdr:colOff>
      <xdr:row>4</xdr:row>
      <xdr:rowOff>92898</xdr:rowOff>
    </xdr:from>
    <xdr:to>
      <xdr:col>3</xdr:col>
      <xdr:colOff>3759394</xdr:colOff>
      <xdr:row>5</xdr:row>
      <xdr:rowOff>159703</xdr:rowOff>
    </xdr:to>
    <xdr:sp macro="[0]!ToggleHideRows">
      <xdr:nvSpPr>
        <xdr:cNvPr id="12" name="Rectangle: Rounded Corners 19">
          <a:extLst>
            <a:ext uri="{FF2B5EF4-FFF2-40B4-BE49-F238E27FC236}">
              <a16:creationId xmlns:a16="http://schemas.microsoft.com/office/drawing/2014/main" id="{00000000-0008-0000-1400-00000c000000}"/>
            </a:ext>
          </a:extLst>
        </xdr:cNvPr>
        <xdr:cNvSpPr/>
      </xdr:nvSpPr>
      <xdr:spPr>
        <a:xfrm>
          <a:off x="2905125" y="857250"/>
          <a:ext cx="2667000" cy="2476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201295</xdr:colOff>
      <xdr:row>6</xdr:row>
      <xdr:rowOff>51748</xdr:rowOff>
    </xdr:from>
    <xdr:to>
      <xdr:col>3</xdr:col>
      <xdr:colOff>940611</xdr:colOff>
      <xdr:row>6</xdr:row>
      <xdr:rowOff>248067</xdr:rowOff>
    </xdr:to>
    <xdr:sp macro="[0]!ActivateSelectWorksheet">
      <xdr:nvSpPr>
        <xdr:cNvPr id="13" name="Rounded Rectangle 12">
          <a:extLst>
            <a:ext uri="{FF2B5EF4-FFF2-40B4-BE49-F238E27FC236}">
              <a16:creationId xmlns:a16="http://schemas.microsoft.com/office/drawing/2014/main" id="{00000000-0008-0000-1400-00000d000000}"/>
            </a:ext>
          </a:extLst>
        </xdr:cNvPr>
        <xdr:cNvSpPr/>
      </xdr:nvSpPr>
      <xdr:spPr>
        <a:xfrm>
          <a:off x="200025" y="1162050"/>
          <a:ext cx="2552700" cy="2000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202554</xdr:colOff>
      <xdr:row>4</xdr:row>
      <xdr:rowOff>88265</xdr:rowOff>
    </xdr:from>
    <xdr:to>
      <xdr:col>3</xdr:col>
      <xdr:colOff>941870</xdr:colOff>
      <xdr:row>5</xdr:row>
      <xdr:rowOff>155070</xdr:rowOff>
    </xdr:to>
    <xdr:sp macro="[0]!ToggleHideColumns">
      <xdr:nvSpPr>
        <xdr:cNvPr id="15" name="Rectangle: Rounded Corners 19">
          <a:extLst>
            <a:ext uri="{FF2B5EF4-FFF2-40B4-BE49-F238E27FC236}">
              <a16:creationId xmlns:a16="http://schemas.microsoft.com/office/drawing/2014/main" id="{00000000-0008-0000-1400-00000f000000}"/>
            </a:ext>
          </a:extLst>
        </xdr:cNvPr>
        <xdr:cNvSpPr/>
      </xdr:nvSpPr>
      <xdr:spPr>
        <a:xfrm>
          <a:off x="200025" y="847725"/>
          <a:ext cx="2552700" cy="2476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1425876</xdr:colOff>
      <xdr:row>4</xdr:row>
      <xdr:rowOff>108983</xdr:rowOff>
    </xdr:from>
    <xdr:to>
      <xdr:col>4</xdr:col>
      <xdr:colOff>49668</xdr:colOff>
      <xdr:row>6</xdr:row>
      <xdr:rowOff>61654</xdr:rowOff>
    </xdr:to>
    <xdr:sp macro="[0]!ToggleHideRows">
      <xdr:nvSpPr>
        <xdr:cNvPr id="12" name="Rectangle: Rounded Corners 19">
          <a:extLst>
            <a:ext uri="{FF2B5EF4-FFF2-40B4-BE49-F238E27FC236}">
              <a16:creationId xmlns:a16="http://schemas.microsoft.com/office/drawing/2014/main" id="{00000000-0008-0000-1500-00000c000000}"/>
            </a:ext>
          </a:extLst>
        </xdr:cNvPr>
        <xdr:cNvSpPr/>
      </xdr:nvSpPr>
      <xdr:spPr>
        <a:xfrm>
          <a:off x="3267075" y="962025"/>
          <a:ext cx="28003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179706</xdr:colOff>
      <xdr:row>6</xdr:row>
      <xdr:rowOff>164556</xdr:rowOff>
    </xdr:from>
    <xdr:to>
      <xdr:col>3</xdr:col>
      <xdr:colOff>1256185</xdr:colOff>
      <xdr:row>8</xdr:row>
      <xdr:rowOff>69542</xdr:rowOff>
    </xdr:to>
    <xdr:sp macro="[0]!ActivateSelectWorksheet">
      <xdr:nvSpPr>
        <xdr:cNvPr id="13" name="Rounded Rectangle 12">
          <a:extLst>
            <a:ext uri="{FF2B5EF4-FFF2-40B4-BE49-F238E27FC236}">
              <a16:creationId xmlns:a16="http://schemas.microsoft.com/office/drawing/2014/main" id="{00000000-0008-0000-1500-00000d000000}"/>
            </a:ext>
          </a:extLst>
        </xdr:cNvPr>
        <xdr:cNvSpPr/>
      </xdr:nvSpPr>
      <xdr:spPr>
        <a:xfrm>
          <a:off x="171450" y="1419225"/>
          <a:ext cx="292417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181125</xdr:colOff>
      <xdr:row>4</xdr:row>
      <xdr:rowOff>102235</xdr:rowOff>
    </xdr:from>
    <xdr:to>
      <xdr:col>3</xdr:col>
      <xdr:colOff>1257604</xdr:colOff>
      <xdr:row>6</xdr:row>
      <xdr:rowOff>54906</xdr:rowOff>
    </xdr:to>
    <xdr:sp macro="[0]!ToggleHideColumns">
      <xdr:nvSpPr>
        <xdr:cNvPr id="15" name="Rectangle: Rounded Corners 19">
          <a:extLst>
            <a:ext uri="{FF2B5EF4-FFF2-40B4-BE49-F238E27FC236}">
              <a16:creationId xmlns:a16="http://schemas.microsoft.com/office/drawing/2014/main" id="{00000000-0008-0000-1500-00000f000000}"/>
            </a:ext>
          </a:extLst>
        </xdr:cNvPr>
        <xdr:cNvSpPr/>
      </xdr:nvSpPr>
      <xdr:spPr>
        <a:xfrm>
          <a:off x="171450" y="962025"/>
          <a:ext cx="292417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1920751</xdr:colOff>
      <xdr:row>4</xdr:row>
      <xdr:rowOff>93181</xdr:rowOff>
    </xdr:from>
    <xdr:to>
      <xdr:col>4</xdr:col>
      <xdr:colOff>28802</xdr:colOff>
      <xdr:row>6</xdr:row>
      <xdr:rowOff>49702</xdr:rowOff>
    </xdr:to>
    <xdr:sp macro="[0]!ToggleHideRows">
      <xdr:nvSpPr>
        <xdr:cNvPr id="8" name="Rectangle: Rounded Corners 19">
          <a:extLst>
            <a:ext uri="{FF2B5EF4-FFF2-40B4-BE49-F238E27FC236}">
              <a16:creationId xmlns:a16="http://schemas.microsoft.com/office/drawing/2014/main" id="{00000000-0008-0000-1600-000008000000}"/>
            </a:ext>
          </a:extLst>
        </xdr:cNvPr>
        <xdr:cNvSpPr/>
      </xdr:nvSpPr>
      <xdr:spPr>
        <a:xfrm>
          <a:off x="2924175" y="1009650"/>
          <a:ext cx="22669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6350</xdr:colOff>
      <xdr:row>6</xdr:row>
      <xdr:rowOff>153713</xdr:rowOff>
    </xdr:from>
    <xdr:to>
      <xdr:col>2</xdr:col>
      <xdr:colOff>1781525</xdr:colOff>
      <xdr:row>8</xdr:row>
      <xdr:rowOff>14154</xdr:rowOff>
    </xdr:to>
    <xdr:sp macro="[0]!ActivateSelectWorksheet">
      <xdr:nvSpPr>
        <xdr:cNvPr id="9" name="Rounded Rectangle 8">
          <a:extLst>
            <a:ext uri="{FF2B5EF4-FFF2-40B4-BE49-F238E27FC236}">
              <a16:creationId xmlns:a16="http://schemas.microsoft.com/office/drawing/2014/main" id="{00000000-0008-0000-1600-000009000000}"/>
            </a:ext>
          </a:extLst>
        </xdr:cNvPr>
        <xdr:cNvSpPr/>
      </xdr:nvSpPr>
      <xdr:spPr>
        <a:xfrm>
          <a:off x="180975" y="1466850"/>
          <a:ext cx="260032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7514</xdr:colOff>
      <xdr:row>4</xdr:row>
      <xdr:rowOff>86360</xdr:rowOff>
    </xdr:from>
    <xdr:to>
      <xdr:col>2</xdr:col>
      <xdr:colOff>1782689</xdr:colOff>
      <xdr:row>6</xdr:row>
      <xdr:rowOff>42881</xdr:rowOff>
    </xdr:to>
    <xdr:sp macro="[0]!ToggleHideColumns">
      <xdr:nvSpPr>
        <xdr:cNvPr id="16" name="Rectangle: Rounded Corners 19">
          <a:extLst>
            <a:ext uri="{FF2B5EF4-FFF2-40B4-BE49-F238E27FC236}">
              <a16:creationId xmlns:a16="http://schemas.microsoft.com/office/drawing/2014/main" id="{00000000-0008-0000-1600-000010000000}"/>
            </a:ext>
          </a:extLst>
        </xdr:cNvPr>
        <xdr:cNvSpPr/>
      </xdr:nvSpPr>
      <xdr:spPr>
        <a:xfrm>
          <a:off x="180975" y="1000125"/>
          <a:ext cx="260032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1238452</xdr:colOff>
      <xdr:row>4</xdr:row>
      <xdr:rowOff>107245</xdr:rowOff>
    </xdr:from>
    <xdr:to>
      <xdr:col>4</xdr:col>
      <xdr:colOff>10378</xdr:colOff>
      <xdr:row>5</xdr:row>
      <xdr:rowOff>86861</xdr:rowOff>
    </xdr:to>
    <xdr:sp macro="[0]!ToggleHideRows">
      <xdr:nvSpPr>
        <xdr:cNvPr id="31" name="Rectangle: Rounded Corners 19">
          <a:extLst>
            <a:ext uri="{FF2B5EF4-FFF2-40B4-BE49-F238E27FC236}">
              <a16:creationId xmlns:a16="http://schemas.microsoft.com/office/drawing/2014/main" id="{00000000-0008-0000-1700-00001f000000}"/>
            </a:ext>
          </a:extLst>
        </xdr:cNvPr>
        <xdr:cNvSpPr/>
      </xdr:nvSpPr>
      <xdr:spPr>
        <a:xfrm>
          <a:off x="2971800" y="952500"/>
          <a:ext cx="2343150" cy="2667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38100</xdr:colOff>
      <xdr:row>5</xdr:row>
      <xdr:rowOff>163247</xdr:rowOff>
    </xdr:from>
    <xdr:to>
      <xdr:col>3</xdr:col>
      <xdr:colOff>1096027</xdr:colOff>
      <xdr:row>6</xdr:row>
      <xdr:rowOff>18351</xdr:rowOff>
    </xdr:to>
    <xdr:sp macro="[0]!ActivateSelectWorksheet">
      <xdr:nvSpPr>
        <xdr:cNvPr id="32" name="Rounded Rectangle 31">
          <a:extLst>
            <a:ext uri="{FF2B5EF4-FFF2-40B4-BE49-F238E27FC236}">
              <a16:creationId xmlns:a16="http://schemas.microsoft.com/office/drawing/2014/main" id="{00000000-0008-0000-1700-000020000000}"/>
            </a:ext>
          </a:extLst>
        </xdr:cNvPr>
        <xdr:cNvSpPr/>
      </xdr:nvSpPr>
      <xdr:spPr>
        <a:xfrm>
          <a:off x="371475" y="1295400"/>
          <a:ext cx="2457450" cy="2190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39291</xdr:colOff>
      <xdr:row>4</xdr:row>
      <xdr:rowOff>102235</xdr:rowOff>
    </xdr:from>
    <xdr:to>
      <xdr:col>3</xdr:col>
      <xdr:colOff>1097218</xdr:colOff>
      <xdr:row>5</xdr:row>
      <xdr:rowOff>81851</xdr:rowOff>
    </xdr:to>
    <xdr:sp macro="[0]!ToggleHideColumns">
      <xdr:nvSpPr>
        <xdr:cNvPr id="34" name="Rectangle: Rounded Corners 19">
          <a:extLst>
            <a:ext uri="{FF2B5EF4-FFF2-40B4-BE49-F238E27FC236}">
              <a16:creationId xmlns:a16="http://schemas.microsoft.com/office/drawing/2014/main" id="{00000000-0008-0000-1700-000022000000}"/>
            </a:ext>
          </a:extLst>
        </xdr:cNvPr>
        <xdr:cNvSpPr/>
      </xdr:nvSpPr>
      <xdr:spPr>
        <a:xfrm>
          <a:off x="371475" y="952500"/>
          <a:ext cx="2457450" cy="2667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1743602</xdr:colOff>
      <xdr:row>4</xdr:row>
      <xdr:rowOff>131843</xdr:rowOff>
    </xdr:from>
    <xdr:to>
      <xdr:col>4</xdr:col>
      <xdr:colOff>543692</xdr:colOff>
      <xdr:row>6</xdr:row>
      <xdr:rowOff>84514</xdr:rowOff>
    </xdr:to>
    <xdr:sp macro="[0]!ToggleHideRows">
      <xdr:nvSpPr>
        <xdr:cNvPr id="48" name="Rectangle: Rounded Corners 19">
          <a:extLst>
            <a:ext uri="{FF2B5EF4-FFF2-40B4-BE49-F238E27FC236}">
              <a16:creationId xmlns:a16="http://schemas.microsoft.com/office/drawing/2014/main" id="{00000000-0008-0000-1800-000030000000}"/>
            </a:ext>
          </a:extLst>
        </xdr:cNvPr>
        <xdr:cNvSpPr/>
      </xdr:nvSpPr>
      <xdr:spPr>
        <a:xfrm>
          <a:off x="3505200" y="981075"/>
          <a:ext cx="28384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Condense / Show Rows</a:t>
          </a:r>
        </a:p>
      </xdr:txBody>
    </xdr:sp>
    <xdr:clientData/>
  </xdr:twoCellAnchor>
  <xdr:twoCellAnchor>
    <xdr:from>
      <xdr:col>0</xdr:col>
      <xdr:colOff>164465</xdr:colOff>
      <xdr:row>6</xdr:row>
      <xdr:rowOff>187416</xdr:rowOff>
    </xdr:from>
    <xdr:to>
      <xdr:col>3</xdr:col>
      <xdr:colOff>1572024</xdr:colOff>
      <xdr:row>8</xdr:row>
      <xdr:rowOff>92402</xdr:rowOff>
    </xdr:to>
    <xdr:sp macro="[0]!ActivateSelectWorksheet">
      <xdr:nvSpPr>
        <xdr:cNvPr id="49" name="Rounded Rectangle 48">
          <a:extLst>
            <a:ext uri="{FF2B5EF4-FFF2-40B4-BE49-F238E27FC236}">
              <a16:creationId xmlns:a16="http://schemas.microsoft.com/office/drawing/2014/main" id="{00000000-0008-0000-1800-000031000000}"/>
            </a:ext>
          </a:extLst>
        </xdr:cNvPr>
        <xdr:cNvSpPr/>
      </xdr:nvSpPr>
      <xdr:spPr>
        <a:xfrm>
          <a:off x="161925" y="1438275"/>
          <a:ext cx="3171825"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clientData/>
  </xdr:twoCellAnchor>
  <xdr:twoCellAnchor>
    <xdr:from>
      <xdr:col>0</xdr:col>
      <xdr:colOff>165899</xdr:colOff>
      <xdr:row>4</xdr:row>
      <xdr:rowOff>125095</xdr:rowOff>
    </xdr:from>
    <xdr:to>
      <xdr:col>3</xdr:col>
      <xdr:colOff>1573458</xdr:colOff>
      <xdr:row>6</xdr:row>
      <xdr:rowOff>77766</xdr:rowOff>
    </xdr:to>
    <xdr:sp macro="[0]!ToggleHideColumns">
      <xdr:nvSpPr>
        <xdr:cNvPr id="51" name="Rectangle: Rounded Corners 19">
          <a:extLst>
            <a:ext uri="{FF2B5EF4-FFF2-40B4-BE49-F238E27FC236}">
              <a16:creationId xmlns:a16="http://schemas.microsoft.com/office/drawing/2014/main" id="{00000000-0008-0000-1800-000033000000}"/>
            </a:ext>
          </a:extLst>
        </xdr:cNvPr>
        <xdr:cNvSpPr/>
      </xdr:nvSpPr>
      <xdr:spPr>
        <a:xfrm>
          <a:off x="161925" y="971550"/>
          <a:ext cx="317182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Condense / Show Columns</a:t>
          </a:r>
        </a:p>
      </xdr:txBody>
    </xdr:sp>
    <xdr:clientData/>
  </xdr:two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1461993</xdr:colOff>
      <xdr:row>4</xdr:row>
      <xdr:rowOff>121060</xdr:rowOff>
    </xdr:from>
    <xdr:to>
      <xdr:col>2</xdr:col>
      <xdr:colOff>3553749</xdr:colOff>
      <xdr:row>5</xdr:row>
      <xdr:rowOff>276729</xdr:rowOff>
    </xdr:to>
    <xdr:sp macro="[0]!ToggleHideRows">
      <xdr:nvSpPr>
        <xdr:cNvPr id="60" name="Rectangle: Rounded Corners 19">
          <a:extLst>
            <a:ext uri="{FF2B5EF4-FFF2-40B4-BE49-F238E27FC236}">
              <a16:creationId xmlns:a16="http://schemas.microsoft.com/office/drawing/2014/main" id="{00000000-0008-0000-1900-00003c000000}"/>
            </a:ext>
          </a:extLst>
        </xdr:cNvPr>
        <xdr:cNvSpPr/>
      </xdr:nvSpPr>
      <xdr:spPr>
        <a:xfrm>
          <a:off x="2362200" y="1009650"/>
          <a:ext cx="2038350" cy="352425"/>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26035</xdr:colOff>
      <xdr:row>6</xdr:row>
      <xdr:rowOff>22614</xdr:rowOff>
    </xdr:from>
    <xdr:to>
      <xdr:col>2</xdr:col>
      <xdr:colOff>1343884</xdr:colOff>
      <xdr:row>7</xdr:row>
      <xdr:rowOff>130481</xdr:rowOff>
    </xdr:to>
    <xdr:sp macro="[0]!ActivateSelectWorksheet">
      <xdr:nvSpPr>
        <xdr:cNvPr id="61" name="Rounded Rectangle 60">
          <a:extLst>
            <a:ext uri="{FF2B5EF4-FFF2-40B4-BE49-F238E27FC236}">
              <a16:creationId xmlns:a16="http://schemas.microsoft.com/office/drawing/2014/main" id="{00000000-0008-0000-1900-00003d000000}"/>
            </a:ext>
          </a:extLst>
        </xdr:cNvPr>
        <xdr:cNvSpPr/>
      </xdr:nvSpPr>
      <xdr:spPr>
        <a:xfrm>
          <a:off x="200025" y="1447800"/>
          <a:ext cx="2047875" cy="285750"/>
        </a:xfrm>
        <a:prstGeom prst="roundRect"/>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27022</xdr:colOff>
      <xdr:row>4</xdr:row>
      <xdr:rowOff>114300</xdr:rowOff>
    </xdr:from>
    <xdr:to>
      <xdr:col>2</xdr:col>
      <xdr:colOff>1344871</xdr:colOff>
      <xdr:row>5</xdr:row>
      <xdr:rowOff>269969</xdr:rowOff>
    </xdr:to>
    <xdr:sp macro="[0]!ToggleHideColumns">
      <xdr:nvSpPr>
        <xdr:cNvPr id="63" name="Rectangle: Rounded Corners 19">
          <a:extLst>
            <a:ext uri="{FF2B5EF4-FFF2-40B4-BE49-F238E27FC236}">
              <a16:creationId xmlns:a16="http://schemas.microsoft.com/office/drawing/2014/main" id="{00000000-0008-0000-1900-00003f000000}"/>
            </a:ext>
          </a:extLst>
        </xdr:cNvPr>
        <xdr:cNvSpPr/>
      </xdr:nvSpPr>
      <xdr:spPr>
        <a:xfrm>
          <a:off x="200025" y="1000125"/>
          <a:ext cx="2047875" cy="352425"/>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1348786</xdr:colOff>
      <xdr:row>4</xdr:row>
      <xdr:rowOff>148221</xdr:rowOff>
    </xdr:from>
    <xdr:to>
      <xdr:col>3</xdr:col>
      <xdr:colOff>3811829</xdr:colOff>
      <xdr:row>6</xdr:row>
      <xdr:rowOff>38814</xdr:rowOff>
    </xdr:to>
    <xdr:sp macro="[0]!ToggleHideRows">
      <xdr:nvSpPr>
        <xdr:cNvPr id="80" name="Rectangle: Rounded Corners 19">
          <a:extLst>
            <a:ext uri="{FF2B5EF4-FFF2-40B4-BE49-F238E27FC236}">
              <a16:creationId xmlns:a16="http://schemas.microsoft.com/office/drawing/2014/main" id="{00000000-0008-0000-1a00-000050000000}"/>
            </a:ext>
          </a:extLst>
        </xdr:cNvPr>
        <xdr:cNvSpPr/>
      </xdr:nvSpPr>
      <xdr:spPr>
        <a:xfrm>
          <a:off x="2686050" y="981075"/>
          <a:ext cx="2314575"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151607</xdr:colOff>
      <xdr:row>6</xdr:row>
      <xdr:rowOff>147838</xdr:rowOff>
    </xdr:from>
    <xdr:to>
      <xdr:col>3</xdr:col>
      <xdr:colOff>1209712</xdr:colOff>
      <xdr:row>6</xdr:row>
      <xdr:rowOff>450836</xdr:rowOff>
    </xdr:to>
    <xdr:sp macro="[0]!ActivateSelectWorksheet">
      <xdr:nvSpPr>
        <xdr:cNvPr id="81" name="Rounded Rectangle 80">
          <a:extLst>
            <a:ext uri="{FF2B5EF4-FFF2-40B4-BE49-F238E27FC236}">
              <a16:creationId xmlns:a16="http://schemas.microsoft.com/office/drawing/2014/main" id="{00000000-0008-0000-1a00-000051000000}"/>
            </a:ext>
          </a:extLst>
        </xdr:cNvPr>
        <xdr:cNvSpPr/>
      </xdr:nvSpPr>
      <xdr:spPr>
        <a:xfrm>
          <a:off x="152400" y="1457325"/>
          <a:ext cx="2390775" cy="3048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152770</xdr:colOff>
      <xdr:row>4</xdr:row>
      <xdr:rowOff>141071</xdr:rowOff>
    </xdr:from>
    <xdr:to>
      <xdr:col>3</xdr:col>
      <xdr:colOff>1210875</xdr:colOff>
      <xdr:row>6</xdr:row>
      <xdr:rowOff>31664</xdr:rowOff>
    </xdr:to>
    <xdr:sp macro="[0]!ToggleHideColumns">
      <xdr:nvSpPr>
        <xdr:cNvPr id="83" name="Rectangle: Rounded Corners 19">
          <a:extLst>
            <a:ext uri="{FF2B5EF4-FFF2-40B4-BE49-F238E27FC236}">
              <a16:creationId xmlns:a16="http://schemas.microsoft.com/office/drawing/2014/main" id="{00000000-0008-0000-1a00-000053000000}"/>
            </a:ext>
          </a:extLst>
        </xdr:cNvPr>
        <xdr:cNvSpPr/>
      </xdr:nvSpPr>
      <xdr:spPr>
        <a:xfrm>
          <a:off x="152400" y="971550"/>
          <a:ext cx="2390775"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1978334</xdr:colOff>
      <xdr:row>4</xdr:row>
      <xdr:rowOff>93524</xdr:rowOff>
    </xdr:from>
    <xdr:to>
      <xdr:col>4</xdr:col>
      <xdr:colOff>1000968</xdr:colOff>
      <xdr:row>5</xdr:row>
      <xdr:rowOff>165538</xdr:rowOff>
    </xdr:to>
    <xdr:sp macro="[0]!ToggleHideRows">
      <xdr:nvSpPr>
        <xdr:cNvPr id="97" name="Rectangle: Rounded Corners 19">
          <a:extLst>
            <a:ext uri="{FF2B5EF4-FFF2-40B4-BE49-F238E27FC236}">
              <a16:creationId xmlns:a16="http://schemas.microsoft.com/office/drawing/2014/main" id="{00000000-0008-0000-1b00-000061000000}"/>
            </a:ext>
          </a:extLst>
        </xdr:cNvPr>
        <xdr:cNvSpPr/>
      </xdr:nvSpPr>
      <xdr:spPr>
        <a:xfrm>
          <a:off x="2857500" y="857250"/>
          <a:ext cx="24193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0</xdr:colOff>
      <xdr:row>5</xdr:row>
      <xdr:rowOff>265094</xdr:rowOff>
    </xdr:from>
    <xdr:to>
      <xdr:col>2</xdr:col>
      <xdr:colOff>1832509</xdr:colOff>
      <xdr:row>8</xdr:row>
      <xdr:rowOff>65529</xdr:rowOff>
    </xdr:to>
    <xdr:sp macro="[0]!ActivateSelectWorksheet">
      <xdr:nvSpPr>
        <xdr:cNvPr id="98" name="Rounded Rectangle 97">
          <a:extLst>
            <a:ext uri="{FF2B5EF4-FFF2-40B4-BE49-F238E27FC236}">
              <a16:creationId xmlns:a16="http://schemas.microsoft.com/office/drawing/2014/main" id="{00000000-0008-0000-1b00-000062000000}"/>
            </a:ext>
          </a:extLst>
        </xdr:cNvPr>
        <xdr:cNvSpPr/>
      </xdr:nvSpPr>
      <xdr:spPr>
        <a:xfrm>
          <a:off x="171450" y="1304925"/>
          <a:ext cx="2533650"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1219</xdr:colOff>
      <xdr:row>4</xdr:row>
      <xdr:rowOff>86995</xdr:rowOff>
    </xdr:from>
    <xdr:to>
      <xdr:col>2</xdr:col>
      <xdr:colOff>1833728</xdr:colOff>
      <xdr:row>5</xdr:row>
      <xdr:rowOff>159009</xdr:rowOff>
    </xdr:to>
    <xdr:sp macro="[0]!ToggleHideColumns">
      <xdr:nvSpPr>
        <xdr:cNvPr id="100" name="Rectangle: Rounded Corners 19">
          <a:extLst>
            <a:ext uri="{FF2B5EF4-FFF2-40B4-BE49-F238E27FC236}">
              <a16:creationId xmlns:a16="http://schemas.microsoft.com/office/drawing/2014/main" id="{00000000-0008-0000-1b00-000064000000}"/>
            </a:ext>
          </a:extLst>
        </xdr:cNvPr>
        <xdr:cNvSpPr/>
      </xdr:nvSpPr>
      <xdr:spPr>
        <a:xfrm>
          <a:off x="171450" y="847725"/>
          <a:ext cx="2533650"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1866498</xdr:colOff>
      <xdr:row>4</xdr:row>
      <xdr:rowOff>110234</xdr:rowOff>
    </xdr:from>
    <xdr:to>
      <xdr:col>4</xdr:col>
      <xdr:colOff>1029513</xdr:colOff>
      <xdr:row>6</xdr:row>
      <xdr:rowOff>53704</xdr:rowOff>
    </xdr:to>
    <xdr:sp macro="[0]!ToggleHideRows">
      <xdr:nvSpPr>
        <xdr:cNvPr id="39" name="Rectangle: Rounded Corners 19">
          <a:extLst>
            <a:ext uri="{FF2B5EF4-FFF2-40B4-BE49-F238E27FC236}">
              <a16:creationId xmlns:a16="http://schemas.microsoft.com/office/drawing/2014/main" id="{00000000-0008-0000-1c00-000027000000}"/>
            </a:ext>
          </a:extLst>
        </xdr:cNvPr>
        <xdr:cNvSpPr/>
      </xdr:nvSpPr>
      <xdr:spPr>
        <a:xfrm>
          <a:off x="3000375" y="1209675"/>
          <a:ext cx="2524125" cy="3333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28296</xdr:colOff>
      <xdr:row>6</xdr:row>
      <xdr:rowOff>153958</xdr:rowOff>
    </xdr:from>
    <xdr:to>
      <xdr:col>2</xdr:col>
      <xdr:colOff>1715436</xdr:colOff>
      <xdr:row>8</xdr:row>
      <xdr:rowOff>75397</xdr:rowOff>
    </xdr:to>
    <xdr:sp macro="[0]!ActivateSelectWorksheet">
      <xdr:nvSpPr>
        <xdr:cNvPr id="40" name="Rounded Rectangle 39">
          <a:extLst>
            <a:ext uri="{FF2B5EF4-FFF2-40B4-BE49-F238E27FC236}">
              <a16:creationId xmlns:a16="http://schemas.microsoft.com/office/drawing/2014/main" id="{00000000-0008-0000-1c00-000028000000}"/>
            </a:ext>
          </a:extLst>
        </xdr:cNvPr>
        <xdr:cNvSpPr/>
      </xdr:nvSpPr>
      <xdr:spPr>
        <a:xfrm>
          <a:off x="200025" y="1638300"/>
          <a:ext cx="2647950" cy="2762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1</xdr:col>
      <xdr:colOff>29559</xdr:colOff>
      <xdr:row>4</xdr:row>
      <xdr:rowOff>103659</xdr:rowOff>
    </xdr:from>
    <xdr:to>
      <xdr:col>2</xdr:col>
      <xdr:colOff>1716699</xdr:colOff>
      <xdr:row>6</xdr:row>
      <xdr:rowOff>47129</xdr:rowOff>
    </xdr:to>
    <xdr:sp macro="[0]!ToggleHideColumns">
      <xdr:nvSpPr>
        <xdr:cNvPr id="42" name="Rectangle: Rounded Corners 19">
          <a:extLst>
            <a:ext uri="{FF2B5EF4-FFF2-40B4-BE49-F238E27FC236}">
              <a16:creationId xmlns:a16="http://schemas.microsoft.com/office/drawing/2014/main" id="{00000000-0008-0000-1c00-00002a000000}"/>
            </a:ext>
          </a:extLst>
        </xdr:cNvPr>
        <xdr:cNvSpPr/>
      </xdr:nvSpPr>
      <xdr:spPr>
        <a:xfrm>
          <a:off x="200025" y="1200150"/>
          <a:ext cx="2647950" cy="3333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1727189</xdr:colOff>
      <xdr:row>4</xdr:row>
      <xdr:rowOff>111456</xdr:rowOff>
    </xdr:from>
    <xdr:to>
      <xdr:col>4</xdr:col>
      <xdr:colOff>468414</xdr:colOff>
      <xdr:row>5</xdr:row>
      <xdr:rowOff>120129</xdr:rowOff>
    </xdr:to>
    <xdr:sp macro="[0]!ToggleHideRows">
      <xdr:nvSpPr>
        <xdr:cNvPr id="153" name="Rectangle: Rounded Corners 19">
          <a:extLst>
            <a:ext uri="{FF2B5EF4-FFF2-40B4-BE49-F238E27FC236}">
              <a16:creationId xmlns:a16="http://schemas.microsoft.com/office/drawing/2014/main" id="{00000000-0008-0000-1d00-000099000000}"/>
            </a:ext>
          </a:extLst>
        </xdr:cNvPr>
        <xdr:cNvSpPr/>
      </xdr:nvSpPr>
      <xdr:spPr>
        <a:xfrm>
          <a:off x="2895600" y="904875"/>
          <a:ext cx="240982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1</xdr:col>
      <xdr:colOff>30690</xdr:colOff>
      <xdr:row>5</xdr:row>
      <xdr:rowOff>222015</xdr:rowOff>
    </xdr:from>
    <xdr:to>
      <xdr:col>3</xdr:col>
      <xdr:colOff>1581791</xdr:colOff>
      <xdr:row>6</xdr:row>
      <xdr:rowOff>5114</xdr:rowOff>
    </xdr:to>
    <xdr:sp macro="[0]!ActivateSelectWorksheet">
      <xdr:nvSpPr>
        <xdr:cNvPr id="154" name="Rounded Rectangle 153">
          <a:extLst>
            <a:ext uri="{FF2B5EF4-FFF2-40B4-BE49-F238E27FC236}">
              <a16:creationId xmlns:a16="http://schemas.microsoft.com/office/drawing/2014/main" id="{00000000-0008-0000-1d00-00009a000000}"/>
            </a:ext>
          </a:extLst>
        </xdr:cNvPr>
        <xdr:cNvSpPr/>
      </xdr:nvSpPr>
      <xdr:spPr>
        <a:xfrm>
          <a:off x="228600" y="1352550"/>
          <a:ext cx="2524125" cy="2857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clientData/>
  </xdr:twoCellAnchor>
  <xdr:twoCellAnchor>
    <xdr:from>
      <xdr:col>1</xdr:col>
      <xdr:colOff>31905</xdr:colOff>
      <xdr:row>4</xdr:row>
      <xdr:rowOff>104774</xdr:rowOff>
    </xdr:from>
    <xdr:to>
      <xdr:col>3</xdr:col>
      <xdr:colOff>1583006</xdr:colOff>
      <xdr:row>5</xdr:row>
      <xdr:rowOff>113447</xdr:rowOff>
    </xdr:to>
    <xdr:sp macro="[0]!ToggleHideColumns">
      <xdr:nvSpPr>
        <xdr:cNvPr id="156" name="Rectangle: Rounded Corners 19">
          <a:extLst>
            <a:ext uri="{FF2B5EF4-FFF2-40B4-BE49-F238E27FC236}">
              <a16:creationId xmlns:a16="http://schemas.microsoft.com/office/drawing/2014/main" id="{00000000-0008-0000-1d00-00009c000000}"/>
            </a:ext>
          </a:extLst>
        </xdr:cNvPr>
        <xdr:cNvSpPr/>
      </xdr:nvSpPr>
      <xdr:spPr>
        <a:xfrm>
          <a:off x="228600" y="895350"/>
          <a:ext cx="2524125" cy="35242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1698282</xdr:colOff>
      <xdr:row>4</xdr:row>
      <xdr:rowOff>159213</xdr:rowOff>
    </xdr:from>
    <xdr:to>
      <xdr:col>4</xdr:col>
      <xdr:colOff>26915</xdr:colOff>
      <xdr:row>5</xdr:row>
      <xdr:rowOff>186728</xdr:rowOff>
    </xdr:to>
    <xdr:sp macro="[0]!ToggleHideRows">
      <xdr:nvSpPr>
        <xdr:cNvPr id="65" name="Rectangle: Rounded Corners 19">
          <a:extLst>
            <a:ext uri="{FF2B5EF4-FFF2-40B4-BE49-F238E27FC236}">
              <a16:creationId xmlns:a16="http://schemas.microsoft.com/office/drawing/2014/main" id="{00000000-0008-0000-1e00-000041000000}"/>
            </a:ext>
          </a:extLst>
        </xdr:cNvPr>
        <xdr:cNvSpPr/>
      </xdr:nvSpPr>
      <xdr:spPr>
        <a:xfrm>
          <a:off x="2571750" y="1009650"/>
          <a:ext cx="2190750" cy="361950"/>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152401</xdr:colOff>
      <xdr:row>5</xdr:row>
      <xdr:rowOff>290610</xdr:rowOff>
    </xdr:from>
    <xdr:to>
      <xdr:col>2</xdr:col>
      <xdr:colOff>1564753</xdr:colOff>
      <xdr:row>7</xdr:row>
      <xdr:rowOff>103071</xdr:rowOff>
    </xdr:to>
    <xdr:sp macro="[0]!ActivateSelectWorksheet">
      <xdr:nvSpPr>
        <xdr:cNvPr id="66" name="Rounded Rectangle 65">
          <a:extLst>
            <a:ext uri="{FF2B5EF4-FFF2-40B4-BE49-F238E27FC236}">
              <a16:creationId xmlns:a16="http://schemas.microsoft.com/office/drawing/2014/main" id="{00000000-0008-0000-1e00-000042000000}"/>
            </a:ext>
          </a:extLst>
        </xdr:cNvPr>
        <xdr:cNvSpPr/>
      </xdr:nvSpPr>
      <xdr:spPr>
        <a:xfrm>
          <a:off x="152400" y="1476375"/>
          <a:ext cx="2286000" cy="276225"/>
        </a:xfrm>
        <a:prstGeom prst="roundRect"/>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153517</xdr:colOff>
      <xdr:row>4</xdr:row>
      <xdr:rowOff>152400</xdr:rowOff>
    </xdr:from>
    <xdr:to>
      <xdr:col>2</xdr:col>
      <xdr:colOff>1565869</xdr:colOff>
      <xdr:row>5</xdr:row>
      <xdr:rowOff>179915</xdr:rowOff>
    </xdr:to>
    <xdr:sp macro="[0]!ToggleHideColumns">
      <xdr:nvSpPr>
        <xdr:cNvPr id="68" name="Rectangle: Rounded Corners 19">
          <a:extLst>
            <a:ext uri="{FF2B5EF4-FFF2-40B4-BE49-F238E27FC236}">
              <a16:creationId xmlns:a16="http://schemas.microsoft.com/office/drawing/2014/main" id="{00000000-0008-0000-1e00-000044000000}"/>
            </a:ext>
          </a:extLst>
        </xdr:cNvPr>
        <xdr:cNvSpPr/>
      </xdr:nvSpPr>
      <xdr:spPr>
        <a:xfrm>
          <a:off x="152400" y="1000125"/>
          <a:ext cx="2286000" cy="361950"/>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1295749</xdr:colOff>
      <xdr:row>4</xdr:row>
      <xdr:rowOff>81980</xdr:rowOff>
    </xdr:from>
    <xdr:to>
      <xdr:col>2</xdr:col>
      <xdr:colOff>3477868</xdr:colOff>
      <xdr:row>6</xdr:row>
      <xdr:rowOff>39615</xdr:rowOff>
    </xdr:to>
    <xdr:sp macro="[0]!ToggleHideRows">
      <xdr:nvSpPr>
        <xdr:cNvPr id="43" name="Rectangle: Rounded Corners 19">
          <a:extLst>
            <a:ext uri="{FF2B5EF4-FFF2-40B4-BE49-F238E27FC236}">
              <a16:creationId xmlns:a16="http://schemas.microsoft.com/office/drawing/2014/main" id="{00000000-0008-0000-1f00-00002b000000}"/>
            </a:ext>
          </a:extLst>
        </xdr:cNvPr>
        <xdr:cNvSpPr/>
      </xdr:nvSpPr>
      <xdr:spPr>
        <a:xfrm>
          <a:off x="2428875" y="1219200"/>
          <a:ext cx="2133600" cy="342900"/>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Rows</a:t>
          </a:r>
        </a:p>
      </xdr:txBody>
    </xdr:sp>
    <xdr:clientData/>
  </xdr:twoCellAnchor>
  <xdr:twoCellAnchor>
    <xdr:from>
      <xdr:col>0</xdr:col>
      <xdr:colOff>181044</xdr:colOff>
      <xdr:row>6</xdr:row>
      <xdr:rowOff>140520</xdr:rowOff>
    </xdr:from>
    <xdr:to>
      <xdr:col>2</xdr:col>
      <xdr:colOff>1172538</xdr:colOff>
      <xdr:row>8</xdr:row>
      <xdr:rowOff>63764</xdr:rowOff>
    </xdr:to>
    <xdr:sp macro="[0]!ActivateSelectWorksheet">
      <xdr:nvSpPr>
        <xdr:cNvPr id="44" name="Rounded Rectangle 43">
          <a:extLst>
            <a:ext uri="{FF2B5EF4-FFF2-40B4-BE49-F238E27FC236}">
              <a16:creationId xmlns:a16="http://schemas.microsoft.com/office/drawing/2014/main" id="{00000000-0008-0000-1f00-00002c000000}"/>
            </a:ext>
          </a:extLst>
        </xdr:cNvPr>
        <xdr:cNvSpPr/>
      </xdr:nvSpPr>
      <xdr:spPr>
        <a:xfrm>
          <a:off x="171450" y="1657350"/>
          <a:ext cx="2133600" cy="276225"/>
        </a:xfrm>
        <a:prstGeom prst="roundRect"/>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clientData/>
  </xdr:twoCellAnchor>
  <xdr:twoCellAnchor>
    <xdr:from>
      <xdr:col>0</xdr:col>
      <xdr:colOff>182074</xdr:colOff>
      <xdr:row>4</xdr:row>
      <xdr:rowOff>75363</xdr:rowOff>
    </xdr:from>
    <xdr:to>
      <xdr:col>2</xdr:col>
      <xdr:colOff>1173568</xdr:colOff>
      <xdr:row>6</xdr:row>
      <xdr:rowOff>32998</xdr:rowOff>
    </xdr:to>
    <xdr:sp macro="[0]!ToggleHideColumns">
      <xdr:nvSpPr>
        <xdr:cNvPr id="46" name="Rectangle: Rounded Corners 19">
          <a:extLst>
            <a:ext uri="{FF2B5EF4-FFF2-40B4-BE49-F238E27FC236}">
              <a16:creationId xmlns:a16="http://schemas.microsoft.com/office/drawing/2014/main" id="{00000000-0008-0000-1f00-00002e000000}"/>
            </a:ext>
          </a:extLst>
        </xdr:cNvPr>
        <xdr:cNvSpPr/>
      </xdr:nvSpPr>
      <xdr:spPr>
        <a:xfrm>
          <a:off x="171450" y="1209675"/>
          <a:ext cx="2133600" cy="342900"/>
        </a:xfrm>
        <a:prstGeom prst="roundRect"/>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latin typeface="Rockwell Light" panose="02040303020102020203" pitchFamily="18" charset="0"/>
            </a:rPr>
            <a:t>Condense / Show Columns</a:t>
          </a:r>
        </a:p>
      </xdr:txBody>
    </xdr:sp>
    <xdr:clientData/>
  </xdr:two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67946</xdr:colOff>
      <xdr:row>0</xdr:row>
      <xdr:rowOff>88899</xdr:rowOff>
    </xdr:from>
    <xdr:to>
      <xdr:col>1</xdr:col>
      <xdr:colOff>1499236</xdr:colOff>
      <xdr:row>0</xdr:row>
      <xdr:rowOff>505459</xdr:rowOff>
    </xdr:to>
    <xdr:sp macro="[0]!returnstartG1">
      <xdr:nvSpPr>
        <xdr:cNvPr id="3" name="Rounded Rectangle 2">
          <a:extLst>
            <a:ext uri="{FF2B5EF4-FFF2-40B4-BE49-F238E27FC236}">
              <a16:creationId xmlns:a16="http://schemas.microsoft.com/office/drawing/2014/main" id="{00000000-0008-0000-2000-000003000000}"/>
            </a:ext>
          </a:extLst>
        </xdr:cNvPr>
        <xdr:cNvSpPr/>
      </xdr:nvSpPr>
      <xdr:spPr>
        <a:xfrm>
          <a:off x="66675" y="85725"/>
          <a:ext cx="1428750" cy="4191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66675</xdr:colOff>
      <xdr:row>0</xdr:row>
      <xdr:rowOff>66675</xdr:rowOff>
    </xdr:from>
    <xdr:to>
      <xdr:col>0</xdr:col>
      <xdr:colOff>1583055</xdr:colOff>
      <xdr:row>0</xdr:row>
      <xdr:rowOff>619125</xdr:rowOff>
    </xdr:to>
    <xdr:sp macro="[0]!returnstartG2">
      <xdr:nvSpPr>
        <xdr:cNvPr id="3" name="Rounded Rectangle 2">
          <a:extLst>
            <a:ext uri="{FF2B5EF4-FFF2-40B4-BE49-F238E27FC236}">
              <a16:creationId xmlns:a16="http://schemas.microsoft.com/office/drawing/2014/main" id="{00000000-0008-0000-2100-000003000000}"/>
            </a:ext>
          </a:extLst>
        </xdr:cNvPr>
        <xdr:cNvSpPr/>
      </xdr:nvSpPr>
      <xdr:spPr>
        <a:xfrm>
          <a:off x="66675" y="66675"/>
          <a:ext cx="1514475" cy="5524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68580</xdr:colOff>
      <xdr:row>0</xdr:row>
      <xdr:rowOff>53340</xdr:rowOff>
    </xdr:from>
    <xdr:to>
      <xdr:col>0</xdr:col>
      <xdr:colOff>1584960</xdr:colOff>
      <xdr:row>0</xdr:row>
      <xdr:rowOff>426720</xdr:rowOff>
    </xdr:to>
    <xdr:sp macro="[0]!returnstartG3">
      <xdr:nvSpPr>
        <xdr:cNvPr id="2" name="Rounded Rectangle 1">
          <a:extLst>
            <a:ext uri="{FF2B5EF4-FFF2-40B4-BE49-F238E27FC236}">
              <a16:creationId xmlns:a16="http://schemas.microsoft.com/office/drawing/2014/main" id="{00000000-0008-0000-2200-000002000000}"/>
            </a:ext>
          </a:extLst>
        </xdr:cNvPr>
        <xdr:cNvSpPr/>
      </xdr:nvSpPr>
      <xdr:spPr>
        <a:xfrm>
          <a:off x="66675" y="57150"/>
          <a:ext cx="1514475"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91440</xdr:colOff>
      <xdr:row>0</xdr:row>
      <xdr:rowOff>91440</xdr:rowOff>
    </xdr:from>
    <xdr:to>
      <xdr:col>5</xdr:col>
      <xdr:colOff>1607820</xdr:colOff>
      <xdr:row>0</xdr:row>
      <xdr:rowOff>571500</xdr:rowOff>
    </xdr:to>
    <xdr:sp macro="[0]!returnstartG4">
      <xdr:nvSpPr>
        <xdr:cNvPr id="3" name="Rounded Rectangle 2">
          <a:extLst>
            <a:ext uri="{FF2B5EF4-FFF2-40B4-BE49-F238E27FC236}">
              <a16:creationId xmlns:a16="http://schemas.microsoft.com/office/drawing/2014/main" id="{00000000-0008-0000-2300-000003000000}"/>
            </a:ext>
          </a:extLst>
        </xdr:cNvPr>
        <xdr:cNvSpPr/>
      </xdr:nvSpPr>
      <xdr:spPr>
        <a:xfrm>
          <a:off x="590550" y="95250"/>
          <a:ext cx="1514475" cy="4762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2</xdr:col>
      <xdr:colOff>60960</xdr:colOff>
      <xdr:row>0</xdr:row>
      <xdr:rowOff>30480</xdr:rowOff>
    </xdr:from>
    <xdr:to>
      <xdr:col>2</xdr:col>
      <xdr:colOff>1577340</xdr:colOff>
      <xdr:row>0</xdr:row>
      <xdr:rowOff>403860</xdr:rowOff>
    </xdr:to>
    <xdr:sp macro="[0]!returnstartG5">
      <xdr:nvSpPr>
        <xdr:cNvPr id="2" name="Rounded Rectangle 1">
          <a:extLst>
            <a:ext uri="{FF2B5EF4-FFF2-40B4-BE49-F238E27FC236}">
              <a16:creationId xmlns:a16="http://schemas.microsoft.com/office/drawing/2014/main" id="{00000000-0008-0000-2400-000002000000}"/>
            </a:ext>
          </a:extLst>
        </xdr:cNvPr>
        <xdr:cNvSpPr/>
      </xdr:nvSpPr>
      <xdr:spPr>
        <a:xfrm>
          <a:off x="523875" y="28575"/>
          <a:ext cx="1514475" cy="3714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56926</xdr:colOff>
      <xdr:row>0</xdr:row>
      <xdr:rowOff>49754</xdr:rowOff>
    </xdr:from>
    <xdr:to>
      <xdr:col>1</xdr:col>
      <xdr:colOff>674146</xdr:colOff>
      <xdr:row>0</xdr:row>
      <xdr:rowOff>484094</xdr:rowOff>
    </xdr:to>
    <xdr:sp macro="[0]!returnstartG6">
      <xdr:nvSpPr>
        <xdr:cNvPr id="3" name="Rounded Rectangle 2">
          <a:extLst>
            <a:ext uri="{FF2B5EF4-FFF2-40B4-BE49-F238E27FC236}">
              <a16:creationId xmlns:a16="http://schemas.microsoft.com/office/drawing/2014/main" id="{00000000-0008-0000-2500-000003000000}"/>
            </a:ext>
          </a:extLst>
        </xdr:cNvPr>
        <xdr:cNvSpPr/>
      </xdr:nvSpPr>
      <xdr:spPr>
        <a:xfrm>
          <a:off x="57150" y="47625"/>
          <a:ext cx="1181100" cy="4381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53340</xdr:colOff>
      <xdr:row>0</xdr:row>
      <xdr:rowOff>38100</xdr:rowOff>
    </xdr:from>
    <xdr:to>
      <xdr:col>1</xdr:col>
      <xdr:colOff>632460</xdr:colOff>
      <xdr:row>1</xdr:row>
      <xdr:rowOff>198120</xdr:rowOff>
    </xdr:to>
    <xdr:sp macro="[0]!returnstartG7">
      <xdr:nvSpPr>
        <xdr:cNvPr id="3" name="Rounded Rectangle 2">
          <a:extLst>
            <a:ext uri="{FF2B5EF4-FFF2-40B4-BE49-F238E27FC236}">
              <a16:creationId xmlns:a16="http://schemas.microsoft.com/office/drawing/2014/main" id="{00000000-0008-0000-2600-000003000000}"/>
            </a:ext>
          </a:extLst>
        </xdr:cNvPr>
        <xdr:cNvSpPr/>
      </xdr:nvSpPr>
      <xdr:spPr>
        <a:xfrm>
          <a:off x="57150" y="38100"/>
          <a:ext cx="1209675" cy="342900"/>
        </a:xfrm>
        <a:prstGeom prst="roundRect"/>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xdr:nvSpPr>
        <xdr:cNvPr id="4" name="Rounded Rectangle 2">
          <a:extLst>
            <a:ext uri="{FF2B5EF4-FFF2-40B4-BE49-F238E27FC236}">
              <a16:creationId xmlns:a16="http://schemas.microsoft.com/office/drawing/2014/main" id="{00000000-0008-0000-2600-000004000000}"/>
            </a:ext>
          </a:extLst>
        </xdr:cNvPr>
        <xdr:cNvSpPr/>
      </xdr:nvSpPr>
      <xdr:spPr>
        <a:xfrm>
          <a:off x="57150" y="38100"/>
          <a:ext cx="1209675" cy="3429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60960</xdr:colOff>
      <xdr:row>0</xdr:row>
      <xdr:rowOff>68580</xdr:rowOff>
    </xdr:from>
    <xdr:to>
      <xdr:col>0</xdr:col>
      <xdr:colOff>1577340</xdr:colOff>
      <xdr:row>1</xdr:row>
      <xdr:rowOff>114300</xdr:rowOff>
    </xdr:to>
    <xdr:sp macro="[0]!returnstartG8">
      <xdr:nvSpPr>
        <xdr:cNvPr id="3" name="Rounded Rectangle 2">
          <a:extLst>
            <a:ext uri="{FF2B5EF4-FFF2-40B4-BE49-F238E27FC236}">
              <a16:creationId xmlns:a16="http://schemas.microsoft.com/office/drawing/2014/main" id="{00000000-0008-0000-2700-000003000000}"/>
            </a:ext>
          </a:extLst>
        </xdr:cNvPr>
        <xdr:cNvSpPr/>
      </xdr:nvSpPr>
      <xdr:spPr>
        <a:xfrm>
          <a:off x="57150" y="66675"/>
          <a:ext cx="1514475" cy="409575"/>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91440</xdr:colOff>
      <xdr:row>0</xdr:row>
      <xdr:rowOff>60960</xdr:rowOff>
    </xdr:from>
    <xdr:to>
      <xdr:col>1</xdr:col>
      <xdr:colOff>1516380</xdr:colOff>
      <xdr:row>0</xdr:row>
      <xdr:rowOff>617220</xdr:rowOff>
    </xdr:to>
    <xdr:sp macro="[0]!returnstartG9">
      <xdr:nvSpPr>
        <xdr:cNvPr id="2" name="Rounded Rectangle 1">
          <a:extLst>
            <a:ext uri="{FF2B5EF4-FFF2-40B4-BE49-F238E27FC236}">
              <a16:creationId xmlns:a16="http://schemas.microsoft.com/office/drawing/2014/main" id="{00000000-0008-0000-2800-000002000000}"/>
            </a:ext>
          </a:extLst>
        </xdr:cNvPr>
        <xdr:cNvSpPr/>
      </xdr:nvSpPr>
      <xdr:spPr>
        <a:xfrm>
          <a:off x="723900" y="57150"/>
          <a:ext cx="1428750" cy="55245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59267</xdr:colOff>
      <xdr:row>9</xdr:row>
      <xdr:rowOff>200025</xdr:rowOff>
    </xdr:from>
    <xdr:to>
      <xdr:col>8</xdr:col>
      <xdr:colOff>162842</xdr:colOff>
      <xdr:row>15</xdr:row>
      <xdr:rowOff>59850</xdr:rowOff>
    </xdr:to>
    <xdr:sp macro="[0]!ActivateG1AllHabitats">
      <xdr:nvSpPr>
        <xdr:cNvPr id="6" name="TextBox 5">
          <a:extLst>
            <a:ext uri="{FF2B5EF4-FFF2-40B4-BE49-F238E27FC236}">
              <a16:creationId xmlns:a16="http://schemas.microsoft.com/office/drawing/2014/main" id="{00000000-0008-0000-2900-000006000000}"/>
            </a:ext>
          </a:extLst>
        </xdr:cNvPr>
        <xdr:cNvSpPr txBox="1"/>
      </xdr:nvSpPr>
      <xdr:spPr>
        <a:xfrm>
          <a:off x="2409825" y="2057400"/>
          <a:ext cx="1990725" cy="12858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xdr:nvSpPr>
        <xdr:cNvPr id="8" name="Rounded Rectangle 7">
          <a:extLst>
            <a:ext uri="{FF2B5EF4-FFF2-40B4-BE49-F238E27FC236}">
              <a16:creationId xmlns:a16="http://schemas.microsoft.com/office/drawing/2014/main" id="{00000000-0008-0000-2900-000008000000}"/>
            </a:ext>
          </a:extLst>
        </xdr:cNvPr>
        <xdr:cNvSpPr/>
      </xdr:nvSpPr>
      <xdr:spPr>
        <a:xfrm>
          <a:off x="4638675" y="2076450"/>
          <a:ext cx="1971675" cy="12954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245534</xdr:colOff>
      <xdr:row>9</xdr:row>
      <xdr:rowOff>193673</xdr:rowOff>
    </xdr:from>
    <xdr:to>
      <xdr:col>15</xdr:col>
      <xdr:colOff>379801</xdr:colOff>
      <xdr:row>15</xdr:row>
      <xdr:rowOff>56673</xdr:rowOff>
    </xdr:to>
    <xdr:sp macro="[0]!ActivateG3Multipliers">
      <xdr:nvSpPr>
        <xdr:cNvPr id="9" name="Rounded Rectangle 8">
          <a:extLst>
            <a:ext uri="{FF2B5EF4-FFF2-40B4-BE49-F238E27FC236}">
              <a16:creationId xmlns:a16="http://schemas.microsoft.com/office/drawing/2014/main" id="{00000000-0008-0000-2900-000009000000}"/>
            </a:ext>
          </a:extLst>
        </xdr:cNvPr>
        <xdr:cNvSpPr/>
      </xdr:nvSpPr>
      <xdr:spPr>
        <a:xfrm>
          <a:off x="6838950" y="2047875"/>
          <a:ext cx="1962150" cy="1295400"/>
        </a:xfrm>
        <a:prstGeom prst="roundRect"/>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4</xdr:col>
      <xdr:colOff>499409</xdr:colOff>
      <xdr:row>15</xdr:row>
      <xdr:rowOff>83784</xdr:rowOff>
    </xdr:to>
    <xdr:sp macro="[0]!returnstarttechdata">
      <xdr:nvSpPr>
        <xdr:cNvPr id="10" name="TextBox 9">
          <a:extLst>
            <a:ext uri="{FF2B5EF4-FFF2-40B4-BE49-F238E27FC236}">
              <a16:creationId xmlns:a16="http://schemas.microsoft.com/office/drawing/2014/main" id="{00000000-0008-0000-2900-00000a000000}"/>
            </a:ext>
          </a:extLst>
        </xdr:cNvPr>
        <xdr:cNvSpPr txBox="1"/>
      </xdr:nvSpPr>
      <xdr:spPr>
        <a:xfrm>
          <a:off x="257175" y="2076450"/>
          <a:ext cx="1971675" cy="1295400"/>
        </a:xfrm>
        <a:prstGeom prst="roundRect"/>
        <a:solidFill>
          <a:srgbClr val="F4D4D4"/>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Return to start</a:t>
          </a:r>
        </a:p>
        <a:p>
          <a:pPr algn="ctr"/>
          <a:r>
            <a:rPr lang="en-GB" sz="1400" b="1">
              <a:solidFill>
                <a:schemeClr val="accent1"/>
              </a:solidFill>
              <a:latin typeface="Rockwell Light" panose="02040303020102020203" pitchFamily="18" charset="0"/>
            </a:rPr>
            <a:t>page</a:t>
          </a:r>
        </a:p>
      </xdr:txBody>
    </xdr:sp>
    <xdr:clientData/>
  </xdr:twoCellAnchor>
  <xdr:twoCellAnchor>
    <xdr:from>
      <xdr:col>1</xdr:col>
      <xdr:colOff>114300</xdr:colOff>
      <xdr:row>16</xdr:row>
      <xdr:rowOff>168275</xdr:rowOff>
    </xdr:from>
    <xdr:to>
      <xdr:col>4</xdr:col>
      <xdr:colOff>525850</xdr:colOff>
      <xdr:row>23</xdr:row>
      <xdr:rowOff>9050</xdr:rowOff>
    </xdr:to>
    <xdr:sp macro="[0]!ActivateG4Temporalmultipliers">
      <xdr:nvSpPr>
        <xdr:cNvPr id="12" name="TextBox 11">
          <a:extLst>
            <a:ext uri="{FF2B5EF4-FFF2-40B4-BE49-F238E27FC236}">
              <a16:creationId xmlns:a16="http://schemas.microsoft.com/office/drawing/2014/main" id="{00000000-0008-0000-2900-00000c000000}"/>
            </a:ext>
          </a:extLst>
        </xdr:cNvPr>
        <xdr:cNvSpPr txBox="1"/>
      </xdr:nvSpPr>
      <xdr:spPr>
        <a:xfrm>
          <a:off x="276225" y="3667125"/>
          <a:ext cx="1971675" cy="130492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5</xdr:col>
      <xdr:colOff>120651</xdr:colOff>
      <xdr:row>16</xdr:row>
      <xdr:rowOff>173567</xdr:rowOff>
    </xdr:from>
    <xdr:to>
      <xdr:col>8</xdr:col>
      <xdr:colOff>212584</xdr:colOff>
      <xdr:row>23</xdr:row>
      <xdr:rowOff>17517</xdr:rowOff>
    </xdr:to>
    <xdr:sp macro="[0]!ActivateG5EnhancementTemporaldata">
      <xdr:nvSpPr>
        <xdr:cNvPr id="13" name="TextBox 12">
          <a:extLst>
            <a:ext uri="{FF2B5EF4-FFF2-40B4-BE49-F238E27FC236}">
              <a16:creationId xmlns:a16="http://schemas.microsoft.com/office/drawing/2014/main" id="{00000000-0008-0000-2900-00000d000000}"/>
            </a:ext>
          </a:extLst>
        </xdr:cNvPr>
        <xdr:cNvSpPr txBox="1"/>
      </xdr:nvSpPr>
      <xdr:spPr>
        <a:xfrm>
          <a:off x="2476500" y="3667125"/>
          <a:ext cx="1981200" cy="1314450"/>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8</xdr:col>
      <xdr:colOff>446617</xdr:colOff>
      <xdr:row>16</xdr:row>
      <xdr:rowOff>183092</xdr:rowOff>
    </xdr:from>
    <xdr:to>
      <xdr:col>12</xdr:col>
      <xdr:colOff>66534</xdr:colOff>
      <xdr:row>23</xdr:row>
      <xdr:rowOff>7992</xdr:rowOff>
    </xdr:to>
    <xdr:sp macro="[0]!ActivateG6Hedgerowdata">
      <xdr:nvSpPr>
        <xdr:cNvPr id="14" name="TextBox 13">
          <a:extLst>
            <a:ext uri="{FF2B5EF4-FFF2-40B4-BE49-F238E27FC236}">
              <a16:creationId xmlns:a16="http://schemas.microsoft.com/office/drawing/2014/main" id="{00000000-0008-0000-2900-00000e000000}"/>
            </a:ext>
          </a:extLst>
        </xdr:cNvPr>
        <xdr:cNvSpPr txBox="1"/>
      </xdr:nvSpPr>
      <xdr:spPr>
        <a:xfrm>
          <a:off x="4686300" y="3676650"/>
          <a:ext cx="1971675" cy="1295400"/>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1</xdr:col>
      <xdr:colOff>136524</xdr:colOff>
      <xdr:row>24</xdr:row>
      <xdr:rowOff>7409</xdr:rowOff>
    </xdr:from>
    <xdr:to>
      <xdr:col>4</xdr:col>
      <xdr:colOff>544899</xdr:colOff>
      <xdr:row>30</xdr:row>
      <xdr:rowOff>115942</xdr:rowOff>
    </xdr:to>
    <xdr:sp macro="[0]!ActivateG7WaterCdata">
      <xdr:nvSpPr>
        <xdr:cNvPr id="16" name="TextBox 15">
          <a:extLst>
            <a:ext uri="{FF2B5EF4-FFF2-40B4-BE49-F238E27FC236}">
              <a16:creationId xmlns:a16="http://schemas.microsoft.com/office/drawing/2014/main" id="{00000000-0008-0000-2900-000010000000}"/>
            </a:ext>
          </a:extLst>
        </xdr:cNvPr>
        <xdr:cNvSpPr txBox="1"/>
      </xdr:nvSpPr>
      <xdr:spPr>
        <a:xfrm>
          <a:off x="295275" y="5181600"/>
          <a:ext cx="1971675" cy="12477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5</xdr:col>
      <xdr:colOff>151341</xdr:colOff>
      <xdr:row>23</xdr:row>
      <xdr:rowOff>198967</xdr:rowOff>
    </xdr:from>
    <xdr:to>
      <xdr:col>8</xdr:col>
      <xdr:colOff>258091</xdr:colOff>
      <xdr:row>30</xdr:row>
      <xdr:rowOff>97950</xdr:rowOff>
    </xdr:to>
    <xdr:sp macro="[0]!ActivateConditionlookup">
      <xdr:nvSpPr>
        <xdr:cNvPr id="17" name="TextBox 16">
          <a:extLst>
            <a:ext uri="{FF2B5EF4-FFF2-40B4-BE49-F238E27FC236}">
              <a16:creationId xmlns:a16="http://schemas.microsoft.com/office/drawing/2014/main" id="{00000000-0008-0000-2900-000011000000}"/>
            </a:ext>
          </a:extLst>
        </xdr:cNvPr>
        <xdr:cNvSpPr txBox="1"/>
      </xdr:nvSpPr>
      <xdr:spPr>
        <a:xfrm>
          <a:off x="2505075" y="5162550"/>
          <a:ext cx="1990725" cy="12477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302683</xdr:colOff>
      <xdr:row>16</xdr:row>
      <xdr:rowOff>154517</xdr:rowOff>
    </xdr:from>
    <xdr:to>
      <xdr:col>15</xdr:col>
      <xdr:colOff>436950</xdr:colOff>
      <xdr:row>22</xdr:row>
      <xdr:rowOff>145575</xdr:rowOff>
    </xdr:to>
    <xdr:sp macro="[0]!ActivateTranslationTool">
      <xdr:nvSpPr>
        <xdr:cNvPr id="18" name="TextBox 17">
          <a:extLst>
            <a:ext uri="{FF2B5EF4-FFF2-40B4-BE49-F238E27FC236}">
              <a16:creationId xmlns:a16="http://schemas.microsoft.com/office/drawing/2014/main" id="{00000000-0008-0000-2900-000012000000}"/>
            </a:ext>
          </a:extLst>
        </xdr:cNvPr>
        <xdr:cNvSpPr txBox="1"/>
      </xdr:nvSpPr>
      <xdr:spPr>
        <a:xfrm>
          <a:off x="6896100" y="3648075"/>
          <a:ext cx="1962150" cy="12477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xdr:nvSpPr>
        <xdr:cNvPr id="15" name="TextBox 14">
          <a:extLst>
            <a:ext uri="{FF2B5EF4-FFF2-40B4-BE49-F238E27FC236}">
              <a16:creationId xmlns:a16="http://schemas.microsoft.com/office/drawing/2014/main" id="{00000000-0008-0000-2900-00000f000000}"/>
            </a:ext>
          </a:extLst>
        </xdr:cNvPr>
        <xdr:cNvSpPr txBox="1"/>
      </xdr:nvSpPr>
      <xdr:spPr>
        <a:xfrm>
          <a:off x="485775" y="200025"/>
          <a:ext cx="8543925" cy="1457325"/>
        </a:xfrm>
        <a:prstGeom prst="roundRect"/>
        <a:solidFill>
          <a:srgbClr val="E0DCD3"/>
        </a:solidFill>
        <a:ln w="9525" cmpd="sng">
          <a:solidFill>
            <a:schemeClr val="bg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2800" u="none" b="0" i="0">
              <a:solidFill>
                <a:schemeClr val="accent1"/>
              </a:solidFill>
              <a:effectLst/>
              <a:latin typeface="Rockwell Light" panose="02040303020102020203" pitchFamily="18" charset="0"/>
              <a:ea typeface="Source Sans Pro" panose="020B0503030403020204" pitchFamily="34" charset="0"/>
              <a:cs typeface="+mn-cs"/>
            </a:rPr>
            <a:t>The Statutory Biodiversity Metric </a:t>
          </a:r>
        </a:p>
        <a:p>
          <a:pPr algn="ctr"/>
          <a:r>
            <a:rPr lang="en-GB" sz="2800" u="none" b="0" i="0">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9</xdr:col>
      <xdr:colOff>19050</xdr:colOff>
      <xdr:row>24</xdr:row>
      <xdr:rowOff>28575</xdr:rowOff>
    </xdr:from>
    <xdr:to>
      <xdr:col>12</xdr:col>
      <xdr:colOff>122625</xdr:colOff>
      <xdr:row>30</xdr:row>
      <xdr:rowOff>130758</xdr:rowOff>
    </xdr:to>
    <xdr:sp macro="[0]!Activatecalculations">
      <xdr:nvSpPr>
        <xdr:cNvPr id="2" name="TextBox 1">
          <a:extLst>
            <a:ext uri="{FF2B5EF4-FFF2-40B4-BE49-F238E27FC236}">
              <a16:creationId xmlns:a16="http://schemas.microsoft.com/office/drawing/2014/main" id="{00000000-0008-0000-2900-000002000000}"/>
            </a:ext>
          </a:extLst>
        </xdr:cNvPr>
        <xdr:cNvSpPr txBox="1"/>
      </xdr:nvSpPr>
      <xdr:spPr>
        <a:xfrm>
          <a:off x="4724400" y="5200650"/>
          <a:ext cx="1990725" cy="12477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Credits calculations</a:t>
          </a:r>
        </a:p>
      </xdr:txBody>
    </xdr:sp>
    <xdr:clientData/>
  </xdr:twoCellAnchor>
  <xdr:twoCellAnchor>
    <xdr:from>
      <xdr:col>12</xdr:col>
      <xdr:colOff>321469</xdr:colOff>
      <xdr:row>24</xdr:row>
      <xdr:rowOff>23812</xdr:rowOff>
    </xdr:from>
    <xdr:to>
      <xdr:col>15</xdr:col>
      <xdr:colOff>436951</xdr:colOff>
      <xdr:row>30</xdr:row>
      <xdr:rowOff>125995</xdr:rowOff>
    </xdr:to>
    <xdr:sp macro="[0]!VersionHistory">
      <xdr:nvSpPr>
        <xdr:cNvPr id="4" name="TextBox 3">
          <a:extLst>
            <a:ext uri="{FF2B5EF4-FFF2-40B4-BE49-F238E27FC236}">
              <a16:creationId xmlns:a16="http://schemas.microsoft.com/office/drawing/2014/main" id="{71c6ad97-0009-40c5-a96a-fe25aafb93aa}"/>
            </a:ext>
          </a:extLst>
        </xdr:cNvPr>
        <xdr:cNvSpPr txBox="1"/>
      </xdr:nvSpPr>
      <xdr:spPr>
        <a:xfrm>
          <a:off x="6915150" y="5191125"/>
          <a:ext cx="1943100" cy="1247775"/>
        </a:xfrm>
        <a:prstGeom prst="roundRect"/>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Version history</a:t>
          </a:r>
        </a:p>
      </xdr:txBody>
    </xdr:sp>
    <xdr:clientData/>
  </xdr:twoCellAnchor>
</xdr:wsDr>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2.xml" /><Relationship Id="rId2" Type="http://schemas.openxmlformats.org/officeDocument/2006/relationships/printerSettings" Target="../printerSettings/printerSettings15.bin" /></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6.bin" /></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7.bin" /></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8.bin" /></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6.xml" /><Relationship Id="rId2" Type="http://schemas.openxmlformats.org/officeDocument/2006/relationships/printerSettings" Target="../printerSettings/printerSettings19.bin" /></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17.xml" /><Relationship Id="rId2" Type="http://schemas.openxmlformats.org/officeDocument/2006/relationships/printerSettings" Target="../printerSettings/printerSettings20.bin" /></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18.xml" /><Relationship Id="rId2" Type="http://schemas.openxmlformats.org/officeDocument/2006/relationships/printerSettings" Target="../printerSettings/printerSettings21.bin" /></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19.xml" /><Relationship Id="rId2" Type="http://schemas.openxmlformats.org/officeDocument/2006/relationships/printerSettings" Target="../printerSettings/printerSettings22.bin" /></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0.xml" /><Relationship Id="rId2" Type="http://schemas.openxmlformats.org/officeDocument/2006/relationships/printerSettings" Target="../printerSettings/printerSettings23.bin" /></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1.xml" /><Relationship Id="rId2" Type="http://schemas.openxmlformats.org/officeDocument/2006/relationships/printerSettings" Target="../printerSettings/printerSettings24.bin" /></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2.xml" /><Relationship Id="rId2" Type="http://schemas.openxmlformats.org/officeDocument/2006/relationships/printerSettings" Target="../printerSettings/printerSettings25.bin" /></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3.xml" /><Relationship Id="rId2" Type="http://schemas.openxmlformats.org/officeDocument/2006/relationships/printerSettings" Target="../printerSettings/printerSettings26.bin" /></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4.xml" /><Relationship Id="rId2" Type="http://schemas.openxmlformats.org/officeDocument/2006/relationships/printerSettings" Target="../printerSettings/printerSettings27.bin" /></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5.xml" /><Relationship Id="rId2" Type="http://schemas.openxmlformats.org/officeDocument/2006/relationships/printerSettings" Target="../printerSettings/printerSettings28.bin" /></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26.xml" /><Relationship Id="rId2" Type="http://schemas.openxmlformats.org/officeDocument/2006/relationships/printerSettings" Target="../printerSettings/printerSettings29.bin" /></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27.xml" /><Relationship Id="rId2" Type="http://schemas.openxmlformats.org/officeDocument/2006/relationships/printerSettings" Target="../printerSettings/printerSettings30.bin" /></Relationships>
</file>

<file path=xl/worksheets/_rels/sheet32.xml.rels><?xml version="1.0" encoding="UTF-8" standalone="yes"?><Relationships xmlns="http://schemas.openxmlformats.org/package/2006/relationships"><Relationship Id="rId1" Type="http://schemas.openxmlformats.org/officeDocument/2006/relationships/printerSettings" Target="../printerSettings/printerSettings31.bin" /></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28.xml" /><Relationship Id="rId2" Type="http://schemas.openxmlformats.org/officeDocument/2006/relationships/printerSettings" Target="../printerSettings/printerSettings32.bin" /></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29.xml" /><Relationship Id="rId2" Type="http://schemas.openxmlformats.org/officeDocument/2006/relationships/printerSettings" Target="../printerSettings/printerSettings33.bin"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0.xml" /><Relationship Id="rId2" Type="http://schemas.openxmlformats.org/officeDocument/2006/relationships/printerSettings" Target="../printerSettings/printerSettings34.bin"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1.xml" /><Relationship Id="rId2" Type="http://schemas.openxmlformats.org/officeDocument/2006/relationships/printerSettings" Target="../printerSettings/printerSettings35.bin" /></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2.xml" /><Relationship Id="rId2" Type="http://schemas.openxmlformats.org/officeDocument/2006/relationships/printerSettings" Target="../printerSettings/printerSettings36.bin" /></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3.xml" /><Relationship Id="rId2" Type="http://schemas.openxmlformats.org/officeDocument/2006/relationships/printerSettings" Target="../printerSettings/printerSettings37.bin" /></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4.xml" /><Relationship Id="rId2" Type="http://schemas.openxmlformats.org/officeDocument/2006/relationships/printerSettings" Target="../printerSettings/printerSettings38.bin" /></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35.xml" /><Relationship Id="rId2" Type="http://schemas.openxmlformats.org/officeDocument/2006/relationships/printerSettings" Target="../printerSettings/printerSettings39.bin" /></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36.xml" /><Relationship Id="rId2" Type="http://schemas.openxmlformats.org/officeDocument/2006/relationships/printerSettings" Target="../printerSettings/printerSettings40.bin" /></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37.xml" /><Relationship Id="rId2" Type="http://schemas.openxmlformats.org/officeDocument/2006/relationships/printerSettings" Target="../printerSettings/printerSettings41.bin" /></Relationships>
</file>

<file path=xl/worksheets/_rels/sheet44.xml.rels><?xml version="1.0" encoding="UTF-8" standalone="yes"?><Relationships xmlns="http://schemas.openxmlformats.org/package/2006/relationships"><Relationship Id="rId1" Type="http://schemas.openxmlformats.org/officeDocument/2006/relationships/printerSettings" Target="../printerSettings/printerSettings4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rgb="FFBFBFBF"/>
  </sheetPr>
  <dimension ref="A1:J25"/>
  <sheetViews>
    <sheetView showRowColHeaders="0" zoomScale="80" zoomScaleNormal="80" workbookViewId="0" topLeftCell="A1">
      <selection pane="topLeft" activeCell="X14" sqref="X14"/>
    </sheetView>
  </sheetViews>
  <sheetFormatPr defaultColWidth="9.45428571428571" defaultRowHeight="14.9" customHeight="1" zeroHeight="1"/>
  <cols>
    <col min="1" max="2" width="9.42857142857143" style="9" customWidth="1"/>
    <col min="3" max="3" width="7" style="9" customWidth="1"/>
    <col min="4" max="6" width="9.42857142857143" style="9" customWidth="1"/>
    <col min="7" max="7" width="12.4285714285714" style="9" customWidth="1"/>
    <col min="8" max="8" width="5.57142857142857" style="9" customWidth="1"/>
    <col min="9" max="9" width="9.42857142857143" style="9" customWidth="1"/>
    <col min="10" max="10" width="34.5714285714286" style="9" customWidth="1"/>
    <col min="11" max="11" width="13.5714285714286" style="9" bestFit="1" customWidth="1"/>
    <col min="12" max="12" width="19.4285714285714" style="9" customWidth="1"/>
    <col min="13" max="14" width="9.42857142857143" style="9" customWidth="1"/>
    <col min="15" max="18" width="9.42857142857143" style="9"/>
    <col min="19" max="19" width="9.42857142857143" style="9" customWidth="1"/>
    <col min="20" max="26" width="9.42857142857143" style="9" hidden="1" customWidth="1"/>
    <col min="27" max="27" width="9.42857142857143" style="9" customWidth="1"/>
    <col min="28" max="16384" width="9.42857142857143" style="9"/>
  </cols>
  <sheetData>
    <row r="1" spans="1:7" ht="30" customHeight="1">
      <c r="A1" s="8"/>
      <c r="B1" s="8"/>
      <c r="C1" s="8"/>
      <c r="D1" s="8"/>
      <c r="E1" s="8"/>
      <c r="F1" s="8"/>
      <c r="G1" s="8"/>
    </row>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spans="10:10" ht="16.5" customHeight="1">
      <c r="J25" s="10"/>
    </row>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4.5"/>
    <row r="557" ht="14.5"/>
    <row r="558" ht="14.5"/>
    <row r="559" ht="14.5"/>
    <row r="560" ht="14.5"/>
    <row r="561" ht="14.5"/>
    <row r="562" ht="14.5"/>
    <row r="563" ht="14.5"/>
    <row r="564" ht="14.5"/>
    <row r="565" ht="14.5"/>
    <row r="566" ht="14.5"/>
    <row r="567" ht="14.5"/>
    <row r="568" ht="14.5"/>
    <row r="569" ht="14.5"/>
    <row r="570" ht="14.5"/>
    <row r="571" ht="14.5"/>
    <row r="572" ht="14.5"/>
    <row r="573" ht="14.5"/>
    <row r="574" ht="14.5"/>
    <row r="575" ht="14.5"/>
    <row r="576" ht="14.5"/>
    <row r="577" ht="14.5"/>
    <row r="578" ht="14.5"/>
    <row r="579" ht="14.5"/>
    <row r="580" ht="14.5"/>
    <row r="581" ht="14.5"/>
    <row r="583" ht="14.9" customHeight="1"/>
    <row r="584" ht="14.9" customHeight="1"/>
    <row r="585" ht="14.9" customHeight="1"/>
    <row r="586" ht="14.9" customHeight="1"/>
    <row r="587" ht="14.9" customHeight="1"/>
    <row r="588" ht="14.9" customHeight="1"/>
    <row r="589" ht="14.9" customHeight="1"/>
    <row r="590" ht="14.9" customHeight="1"/>
    <row r="591" ht="14.9" customHeight="1"/>
  </sheetData>
  <sheetProtection algorithmName="SHA-512" hashValue="1ww4Fhqif9dH9Cj5BunW9YnC4mxUQqK/zNFAAJtprJNh3weTkwQsOYRAekXV785WYWvOLSjZLFKouMjBVG02bw==" saltValue="0BoLb41+q3/AVjOka/QJVg==" spinCount="100000" sheet="1" objects="1" scenarios="1"/>
  <customSheetViews>
    <customSheetView guid="{8bda793c-c9c5-4fc6-a0a5-f1109f6d4f22}" scale="80" state="hidden" topLeftCell="A1">
      <selection pane="topLeft" activeCell="D14" sqref="D14"/>
      <pageMargins left="0.75" right="0.75" top="1" bottom="1" header="0.5" footer="0.5"/>
    </customSheetView>
  </customSheetViews>
  <pageMargins left="0.7" right="0.7" top="0.75" bottom="0.75" header="0.3" footer="0.3"/>
  <pageSetup orientation="portrait" paperSize="9"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0003962517"/>
  </sheetPr>
  <dimension ref="A1:S66"/>
  <sheetViews>
    <sheetView showRowColHeaders="0" zoomScale="80" zoomScaleNormal="80" workbookViewId="0" topLeftCell="A1">
      <selection pane="topLeft" activeCell="Q29" sqref="Q29"/>
    </sheetView>
  </sheetViews>
  <sheetFormatPr defaultColWidth="0" defaultRowHeight="109.4" customHeight="1" zeroHeight="1"/>
  <cols>
    <col min="1" max="2" width="2.42857142857143" style="11" customWidth="1"/>
    <col min="3" max="3" width="3" style="11" customWidth="1"/>
    <col min="4" max="4" width="10.5714285714286" style="11" customWidth="1"/>
    <col min="5" max="5" width="33.5714285714286" style="11" customWidth="1"/>
    <col min="6" max="6" width="14.5714285714286" style="11" customWidth="1"/>
    <col min="7" max="7" width="9.42857142857143" style="11" customWidth="1"/>
    <col min="8" max="8" width="7.57142857142857" style="11" customWidth="1"/>
    <col min="9" max="9" width="42.5714285714286" style="11" customWidth="1"/>
    <col min="10" max="10" width="23.5714285714286" style="11" customWidth="1"/>
    <col min="11" max="11" width="2.57142857142857" style="11" customWidth="1"/>
    <col min="12" max="12" width="1.57142857142857" style="11" customWidth="1"/>
    <col min="13" max="14" width="4.42857142857143" style="11" customWidth="1"/>
    <col min="15" max="15" width="5.57142857142857" style="11" customWidth="1"/>
    <col min="16" max="16" width="9.42857142857143" style="11" customWidth="1"/>
    <col min="17" max="17" width="34.5714285714286" style="11" customWidth="1"/>
    <col min="18" max="18" width="13.5714285714286" style="11" bestFit="1" customWidth="1"/>
    <col min="19" max="19" width="19.4285714285714" style="11" customWidth="1"/>
    <col min="20" max="20" width="9.42857142857143" style="11" customWidth="1"/>
    <col min="21" max="27" width="9.42857142857143" style="11" hidden="1"/>
    <col min="28" max="16383" width="10.5714285714286" style="11" hidden="1"/>
    <col min="16384" max="16384" width="15.5714285714286" style="11" hidden="1"/>
  </cols>
  <sheetData>
    <row r="1" spans="2:16" ht="15.65" customHeight="1">
      <c r="B1" s="12"/>
      <c r="C1" s="12"/>
      <c r="E1" s="13"/>
      <c r="F1" s="1098"/>
      <c r="G1" s="1098"/>
      <c r="H1" s="1098"/>
      <c r="I1" s="1098"/>
      <c r="J1" s="1098"/>
      <c r="K1" s="1099"/>
      <c r="L1" s="1099"/>
      <c r="M1" s="1099"/>
      <c r="N1" s="1099"/>
      <c r="O1" s="1099"/>
      <c r="P1" s="1099"/>
    </row>
    <row r="2" spans="2:5" ht="15.75" customHeight="1">
      <c r="B2" s="12"/>
      <c r="C2" s="12"/>
      <c r="E2" s="13"/>
    </row>
    <row r="3" spans="1:17" ht="15.75" customHeight="1">
      <c r="A3" s="13"/>
      <c r="B3" s="13"/>
      <c r="C3" s="13"/>
      <c r="D3" s="13"/>
      <c r="E3" s="13"/>
      <c r="F3" s="1100"/>
      <c r="G3" s="1100"/>
      <c r="H3" s="1100"/>
      <c r="I3" s="1100"/>
      <c r="J3" s="1100"/>
      <c r="K3" s="1100"/>
      <c r="L3" s="1100"/>
      <c r="M3" s="1100"/>
      <c r="N3" s="1100"/>
      <c r="O3" s="1100"/>
      <c r="P3" s="1100"/>
      <c r="Q3" s="1100"/>
    </row>
    <row r="4" spans="1:17" ht="16.5" customHeight="1">
      <c r="A4" s="13"/>
      <c r="B4" s="13"/>
      <c r="C4" s="13"/>
      <c r="D4" s="13"/>
      <c r="E4" s="13"/>
      <c r="F4" s="1100"/>
      <c r="G4" s="1100"/>
      <c r="H4" s="1100"/>
      <c r="I4" s="1100"/>
      <c r="J4" s="1100"/>
      <c r="K4" s="1100"/>
      <c r="L4" s="1100"/>
      <c r="M4" s="1100"/>
      <c r="N4" s="1100"/>
      <c r="O4" s="1100"/>
      <c r="P4" s="1100"/>
      <c r="Q4" s="1100"/>
    </row>
    <row r="5" spans="1:19" ht="16.5" customHeight="1">
      <c r="A5" s="13"/>
      <c r="B5" s="13"/>
      <c r="C5" s="13"/>
      <c r="D5" s="13"/>
      <c r="E5" s="13"/>
      <c r="F5" s="14"/>
      <c r="G5" s="14"/>
      <c r="H5" s="14"/>
      <c r="I5" s="14"/>
      <c r="J5" s="14"/>
      <c r="K5" s="14"/>
      <c r="L5" s="14"/>
      <c r="M5" s="14"/>
      <c r="N5" s="14"/>
      <c r="O5" s="14"/>
      <c r="P5" s="14"/>
      <c r="Q5" s="14"/>
      <c r="R5" s="14"/>
      <c r="S5" s="14"/>
    </row>
    <row r="6" spans="2:19" ht="16.5" customHeight="1">
      <c r="B6" s="12"/>
      <c r="C6" s="12"/>
      <c r="D6" s="13"/>
      <c r="E6" s="13"/>
      <c r="F6" s="14"/>
      <c r="G6" s="14"/>
      <c r="H6" s="14"/>
      <c r="I6" s="14"/>
      <c r="J6" s="14"/>
      <c r="K6" s="14"/>
      <c r="L6" s="14"/>
      <c r="M6" s="14"/>
      <c r="N6" s="14"/>
      <c r="O6" s="14"/>
      <c r="P6" s="14"/>
      <c r="Q6" s="14"/>
      <c r="R6" s="14"/>
      <c r="S6" s="14"/>
    </row>
    <row r="7" spans="2:19" ht="16.5" customHeight="1">
      <c r="B7" s="12"/>
      <c r="C7" s="13"/>
      <c r="D7" s="13"/>
      <c r="E7" s="13"/>
      <c r="F7" s="14"/>
      <c r="G7" s="14"/>
      <c r="H7" s="14"/>
      <c r="I7" s="14"/>
      <c r="J7" s="14"/>
      <c r="K7" s="14"/>
      <c r="L7" s="14"/>
      <c r="M7" s="14"/>
      <c r="N7" s="14"/>
      <c r="O7" s="14"/>
      <c r="P7" s="14"/>
      <c r="Q7" s="14"/>
      <c r="R7" s="14"/>
      <c r="S7" s="14"/>
    </row>
    <row r="8" spans="2:19" ht="23.9" customHeight="1" thickBot="1">
      <c r="B8" s="12"/>
      <c r="C8" s="12"/>
      <c r="D8" s="719">
        <v>4.1</v>
      </c>
      <c r="E8" s="1105" t="str">
        <f>IF(OR(F16="",F17=""),"'Completed by' and 'Date of metric completion' fields must be filled in ▲","")</f>
        <v/>
      </c>
      <c r="F8" s="1105"/>
      <c r="G8" s="1105"/>
      <c r="H8" s="1105"/>
      <c r="I8" s="1105"/>
      <c r="J8" s="1105"/>
      <c r="K8" s="14"/>
      <c r="L8" s="14"/>
      <c r="M8" s="14"/>
      <c r="N8" s="14"/>
      <c r="O8" s="14"/>
      <c r="P8" s="14"/>
      <c r="Q8" s="14"/>
      <c r="R8" s="791"/>
      <c r="S8" s="14"/>
    </row>
    <row r="9" spans="2:19" ht="23.9" customHeight="1">
      <c r="B9" s="12"/>
      <c r="D9" s="1106" t="s">
        <v>0</v>
      </c>
      <c r="E9" s="1107"/>
      <c r="F9" s="1107"/>
      <c r="G9" s="1107"/>
      <c r="H9" s="1107"/>
      <c r="I9" s="1107"/>
      <c r="J9" s="1108"/>
      <c r="K9" s="14"/>
      <c r="L9" s="14"/>
      <c r="M9" s="14"/>
      <c r="N9" s="14"/>
      <c r="O9" s="14"/>
      <c r="P9" s="14"/>
      <c r="Q9" s="14"/>
      <c r="R9" s="14"/>
      <c r="S9" s="14"/>
    </row>
    <row r="10" spans="2:18" ht="21.65" customHeight="1" thickBot="1">
      <c r="B10" s="12"/>
      <c r="D10" s="1109"/>
      <c r="E10" s="1110"/>
      <c r="F10" s="1110"/>
      <c r="G10" s="1110"/>
      <c r="H10" s="1110"/>
      <c r="I10" s="1110"/>
      <c r="J10" s="1111"/>
      <c r="K10" s="14"/>
      <c r="L10" s="14"/>
      <c r="M10" s="14"/>
      <c r="N10" s="14"/>
      <c r="P10" s="14"/>
      <c r="Q10" s="14"/>
      <c r="R10" s="14"/>
    </row>
    <row r="11" spans="2:18" ht="26.15" customHeight="1">
      <c r="B11" s="12"/>
      <c r="D11" s="1101" t="s">
        <v>1</v>
      </c>
      <c r="E11" s="1102"/>
      <c r="F11" s="1103" t="s">
        <v>2</v>
      </c>
      <c r="G11" s="1103"/>
      <c r="H11" s="1103"/>
      <c r="I11" s="1103"/>
      <c r="J11" s="1104"/>
      <c r="K11" s="14"/>
      <c r="L11" s="14"/>
      <c r="M11" s="14"/>
      <c r="N11" s="14"/>
      <c r="P11" s="14"/>
      <c r="Q11" s="14"/>
      <c r="R11" s="14"/>
    </row>
    <row r="12" spans="2:18" ht="24" customHeight="1">
      <c r="B12" s="12"/>
      <c r="D12" s="1081" t="s">
        <v>3</v>
      </c>
      <c r="E12" s="1082"/>
      <c r="F12" s="1090" t="s">
        <v>4</v>
      </c>
      <c r="G12" s="1090"/>
      <c r="H12" s="1090"/>
      <c r="I12" s="1090"/>
      <c r="J12" s="1091"/>
      <c r="K12" s="14"/>
      <c r="L12" s="14"/>
      <c r="M12" s="14"/>
      <c r="N12" s="14"/>
      <c r="P12" s="14"/>
      <c r="Q12" s="14"/>
      <c r="R12" s="14"/>
    </row>
    <row r="13" spans="2:18" ht="21.65" customHeight="1">
      <c r="B13" s="12"/>
      <c r="D13" s="1081" t="s">
        <v>5</v>
      </c>
      <c r="E13" s="1082"/>
      <c r="F13" s="1090"/>
      <c r="G13" s="1090"/>
      <c r="H13" s="1090"/>
      <c r="I13" s="1090"/>
      <c r="J13" s="1091"/>
      <c r="K13" s="14"/>
      <c r="L13" s="14"/>
      <c r="M13" s="14"/>
      <c r="N13" s="14"/>
      <c r="P13" s="14"/>
      <c r="Q13" s="14"/>
      <c r="R13" s="14"/>
    </row>
    <row r="14" spans="2:18" ht="22.4" customHeight="1">
      <c r="B14" s="12"/>
      <c r="D14" s="1081" t="s">
        <v>6</v>
      </c>
      <c r="E14" s="1082"/>
      <c r="F14" s="1090" t="s">
        <v>7</v>
      </c>
      <c r="G14" s="1090"/>
      <c r="H14" s="1090"/>
      <c r="I14" s="1090"/>
      <c r="J14" s="1091"/>
      <c r="K14" s="14"/>
      <c r="L14" s="14"/>
      <c r="M14" s="14"/>
      <c r="N14" s="14"/>
      <c r="P14" s="14"/>
      <c r="Q14" s="14"/>
      <c r="R14" s="14"/>
    </row>
    <row r="15" spans="2:18" ht="21.65" customHeight="1">
      <c r="B15" s="12"/>
      <c r="D15" s="1081" t="s">
        <v>8</v>
      </c>
      <c r="E15" s="1082"/>
      <c r="F15" s="1090"/>
      <c r="G15" s="1090"/>
      <c r="H15" s="1090"/>
      <c r="I15" s="1090"/>
      <c r="J15" s="1091"/>
      <c r="K15" s="14"/>
      <c r="L15" s="14"/>
      <c r="M15" s="14"/>
      <c r="N15" s="14"/>
      <c r="P15" s="14"/>
      <c r="Q15" s="14"/>
      <c r="R15" s="14"/>
    </row>
    <row r="16" spans="4:18" ht="21" customHeight="1">
      <c r="D16" s="1081" t="s">
        <v>9</v>
      </c>
      <c r="E16" s="1082"/>
      <c r="F16" s="1090" t="s">
        <v>10</v>
      </c>
      <c r="G16" s="1090"/>
      <c r="H16" s="1090"/>
      <c r="I16" s="1090"/>
      <c r="J16" s="1091"/>
      <c r="K16" s="14"/>
      <c r="L16" s="14"/>
      <c r="M16" s="14"/>
      <c r="N16" s="14"/>
      <c r="P16" s="14"/>
      <c r="Q16" s="14"/>
      <c r="R16" s="14"/>
    </row>
    <row r="17" spans="4:18" ht="21" customHeight="1">
      <c r="D17" s="1081" t="s">
        <v>11</v>
      </c>
      <c r="E17" s="1082"/>
      <c r="F17" s="1096">
        <v>46010</v>
      </c>
      <c r="G17" s="1096"/>
      <c r="H17" s="1096"/>
      <c r="I17" s="1096"/>
      <c r="J17" s="1097"/>
      <c r="K17" s="14"/>
      <c r="L17" s="14"/>
      <c r="M17" s="14"/>
      <c r="N17" s="14"/>
      <c r="P17" s="14"/>
      <c r="Q17" s="14"/>
      <c r="R17" s="14"/>
    </row>
    <row r="18" spans="4:18" ht="23.9" customHeight="1">
      <c r="D18" s="1081" t="s">
        <v>12</v>
      </c>
      <c r="E18" s="1082"/>
      <c r="F18" s="1090" t="s">
        <v>13</v>
      </c>
      <c r="G18" s="1090"/>
      <c r="H18" s="1090"/>
      <c r="I18" s="1090"/>
      <c r="J18" s="1091"/>
      <c r="K18" s="14"/>
      <c r="L18" s="14"/>
      <c r="M18" s="14"/>
      <c r="N18" s="14"/>
      <c r="P18" s="14"/>
      <c r="Q18" s="14"/>
      <c r="R18" s="14"/>
    </row>
    <row r="19" spans="4:18" ht="24.65" customHeight="1">
      <c r="D19" s="1081" t="s">
        <v>14</v>
      </c>
      <c r="E19" s="1082"/>
      <c r="F19" s="1090" t="s">
        <v>15</v>
      </c>
      <c r="G19" s="1090"/>
      <c r="H19" s="1090"/>
      <c r="I19" s="1090"/>
      <c r="J19" s="1091"/>
      <c r="K19" s="14"/>
      <c r="L19" s="14"/>
      <c r="M19" s="14"/>
      <c r="N19" s="14"/>
      <c r="P19" s="14"/>
      <c r="Q19" s="14"/>
      <c r="R19" s="14"/>
    </row>
    <row r="20" spans="4:18" ht="24.65" customHeight="1">
      <c r="D20" s="1081" t="s">
        <v>16</v>
      </c>
      <c r="E20" s="1082"/>
      <c r="F20" s="1090"/>
      <c r="G20" s="1090"/>
      <c r="H20" s="1090"/>
      <c r="I20" s="1090"/>
      <c r="J20" s="1091"/>
      <c r="K20" s="14"/>
      <c r="L20" s="14"/>
      <c r="M20" s="14"/>
      <c r="N20" s="14"/>
      <c r="P20" s="14"/>
      <c r="Q20" s="14"/>
      <c r="R20" s="14"/>
    </row>
    <row r="21" spans="4:18" ht="20.15" customHeight="1">
      <c r="D21" s="1094" t="s">
        <v>17</v>
      </c>
      <c r="E21" s="1095"/>
      <c r="F21" s="1092"/>
      <c r="G21" s="1092"/>
      <c r="H21" s="1092"/>
      <c r="I21" s="1092"/>
      <c r="J21" s="1093"/>
      <c r="K21" s="14"/>
      <c r="L21" s="14"/>
      <c r="M21" s="14"/>
      <c r="N21" s="14"/>
      <c r="P21" s="14"/>
      <c r="Q21" s="14"/>
      <c r="R21" s="14"/>
    </row>
    <row r="22" spans="4:18" ht="20.15" customHeight="1">
      <c r="D22" s="1081" t="s">
        <v>18</v>
      </c>
      <c r="E22" s="1082"/>
      <c r="F22" s="1083">
        <v>0.10</v>
      </c>
      <c r="G22" s="1083"/>
      <c r="H22" s="1083"/>
      <c r="I22" s="1084" t="str">
        <f>IF(OR(F22&gt;=10%,F22=""),"","Target set below 10% ▲")</f>
        <v/>
      </c>
      <c r="J22" s="1085"/>
      <c r="K22" s="14"/>
      <c r="L22" s="14"/>
      <c r="M22" s="14"/>
      <c r="N22" s="14"/>
      <c r="P22" s="14"/>
      <c r="Q22" s="14"/>
      <c r="R22" s="14"/>
    </row>
    <row r="23" spans="4:18" ht="31.4" customHeight="1">
      <c r="D23" s="1086" t="s">
        <v>19</v>
      </c>
      <c r="E23" s="1087"/>
      <c r="F23" s="1088" t="str">
        <f>IF(AND('Irreplaceable Habitats'!K32=0,'Irreplaceable Habitats'!K65=0,'Irreplaceable Habitats'!AP65=0,'Irreplaceable Habitats'!AP32=0),"No ✓","Yes ⚠")</f>
        <v>No ✓</v>
      </c>
      <c r="G23" s="1088"/>
      <c r="H23" s="1088"/>
      <c r="I23" s="1088"/>
      <c r="J23" s="1089"/>
      <c r="K23" s="14"/>
      <c r="L23" s="14"/>
      <c r="M23" s="14"/>
      <c r="N23" s="14"/>
      <c r="P23" s="14"/>
      <c r="Q23" s="14"/>
      <c r="R23" s="14"/>
    </row>
    <row r="24" spans="4:18" ht="37.4" customHeight="1">
      <c r="D24" s="1086" t="s">
        <v>20</v>
      </c>
      <c r="E24" s="1087"/>
      <c r="F24" s="1149">
        <f>'A-1 On-Site Habitat Baseline'!H260</f>
        <v>8.811000000000003</v>
      </c>
      <c r="G24" s="1150"/>
      <c r="H24" s="1150"/>
      <c r="I24" s="436" t="s">
        <v>21</v>
      </c>
      <c r="J24" s="437">
        <f>'Irreplaceable Habitats'!K33</f>
        <v>0</v>
      </c>
      <c r="K24" s="14"/>
      <c r="L24" s="14"/>
      <c r="M24" s="14"/>
      <c r="N24" s="14"/>
      <c r="P24" s="14"/>
      <c r="Q24" s="14"/>
      <c r="R24" s="14"/>
    </row>
    <row r="25" spans="4:18" ht="39" customHeight="1" thickBot="1">
      <c r="D25" s="1116" t="s">
        <v>22</v>
      </c>
      <c r="E25" s="1117"/>
      <c r="F25" s="1151" t="str">
        <f>IF('D-1 Off-Site Habitat Baseline'!H261=0,"N/A",'D-1 Off-Site Habitat Baseline'!H261)</f>
        <v>N/A</v>
      </c>
      <c r="G25" s="1151"/>
      <c r="H25" s="1151"/>
      <c r="I25" s="715" t="s">
        <v>23</v>
      </c>
      <c r="J25" s="718" t="str">
        <f>IF('Irreplaceable Habitats'!K66=0,"N/A",'Irreplaceable Habitats'!K66)</f>
        <v>N/A</v>
      </c>
      <c r="P25" s="14"/>
      <c r="Q25" s="14"/>
      <c r="R25" s="14"/>
    </row>
    <row r="26" spans="16:18" ht="14.15" customHeight="1">
      <c r="P26" s="14"/>
      <c r="Q26" s="14"/>
      <c r="R26" s="14"/>
    </row>
    <row r="27" spans="4:18" ht="51" customHeight="1" hidden="1" thickBot="1">
      <c r="D27" s="1116" t="s">
        <v>24</v>
      </c>
      <c r="E27" s="1117"/>
      <c r="F27" s="1118"/>
      <c r="G27" s="1118"/>
      <c r="H27" s="1118"/>
      <c r="I27" s="1119" t="str">
        <f>IF(F27="Yes","Only acceptable in exceptionally rare circumstances, ensure any deviations have been agreed with the consenting body ⚠","")</f>
        <v/>
      </c>
      <c r="J27" s="1120"/>
      <c r="P27" s="14"/>
      <c r="Q27" s="14"/>
      <c r="R27" s="14"/>
    </row>
    <row r="28" spans="3:18" ht="16.5" customHeight="1" thickBot="1">
      <c r="C28" s="14"/>
      <c r="K28" s="14"/>
      <c r="P28" s="14"/>
      <c r="Q28" s="14"/>
      <c r="R28" s="14"/>
    </row>
    <row r="29" spans="3:18" ht="20.25" customHeight="1" thickBot="1">
      <c r="C29" s="14"/>
      <c r="D29" s="1138" t="s">
        <v>25</v>
      </c>
      <c r="E29" s="1139"/>
      <c r="F29" s="1139"/>
      <c r="G29" s="1139"/>
      <c r="H29" s="1139"/>
      <c r="I29" s="1139"/>
      <c r="J29" s="1140"/>
      <c r="K29" s="14"/>
      <c r="L29" s="15"/>
      <c r="M29" s="15"/>
      <c r="N29" s="15"/>
      <c r="P29" s="14"/>
      <c r="Q29" s="14"/>
      <c r="R29" s="14"/>
    </row>
    <row r="30" spans="3:18" ht="20.25" customHeight="1">
      <c r="C30" s="14"/>
      <c r="D30" s="1145" t="s">
        <v>26</v>
      </c>
      <c r="E30" s="1146"/>
      <c r="F30" s="1147" t="s">
        <v>27</v>
      </c>
      <c r="G30" s="1147"/>
      <c r="H30" s="1147"/>
      <c r="I30" s="1147"/>
      <c r="J30" s="1148"/>
      <c r="K30" s="14"/>
      <c r="L30" s="15"/>
      <c r="M30" s="15"/>
      <c r="N30" s="15"/>
      <c r="P30" s="14"/>
      <c r="Q30" s="14"/>
      <c r="R30" s="14"/>
    </row>
    <row r="31" spans="4:18" ht="16.5" customHeight="1">
      <c r="D31" s="1141" t="s">
        <v>28</v>
      </c>
      <c r="E31" s="1142"/>
      <c r="F31" s="1143" t="s">
        <v>29</v>
      </c>
      <c r="G31" s="1143"/>
      <c r="H31" s="1143"/>
      <c r="I31" s="1143"/>
      <c r="J31" s="1144"/>
      <c r="P31" s="14"/>
      <c r="Q31" s="14"/>
      <c r="R31" s="14"/>
    </row>
    <row r="32" spans="4:18" ht="16.5" customHeight="1">
      <c r="D32" s="1125"/>
      <c r="E32" s="1126"/>
      <c r="F32" s="1127" t="s">
        <v>30</v>
      </c>
      <c r="G32" s="1128"/>
      <c r="H32" s="1128"/>
      <c r="I32" s="1128"/>
      <c r="J32" s="1129"/>
      <c r="P32" s="14"/>
      <c r="Q32" s="14"/>
      <c r="R32" s="14"/>
    </row>
    <row r="33" spans="4:18" ht="16.5" customHeight="1">
      <c r="D33" s="1136"/>
      <c r="E33" s="1137"/>
      <c r="F33" s="1123" t="s">
        <v>31</v>
      </c>
      <c r="G33" s="1123"/>
      <c r="H33" s="1123"/>
      <c r="I33" s="1123"/>
      <c r="J33" s="1124"/>
      <c r="K33" s="14"/>
      <c r="L33" s="14"/>
      <c r="M33" s="14"/>
      <c r="N33" s="14"/>
      <c r="P33" s="14"/>
      <c r="Q33" s="14"/>
      <c r="R33" s="14"/>
    </row>
    <row r="34" spans="4:18" ht="16.5" customHeight="1">
      <c r="D34" s="1121"/>
      <c r="E34" s="1122"/>
      <c r="F34" s="1123" t="s">
        <v>32</v>
      </c>
      <c r="G34" s="1123"/>
      <c r="H34" s="1123"/>
      <c r="I34" s="1123"/>
      <c r="J34" s="1124"/>
      <c r="K34" s="14"/>
      <c r="L34" s="14"/>
      <c r="M34" s="14"/>
      <c r="N34" s="14"/>
      <c r="P34" s="14"/>
      <c r="Q34" s="14"/>
      <c r="R34" s="14"/>
    </row>
    <row r="35" spans="4:18" ht="16.5" customHeight="1" thickBot="1">
      <c r="D35" s="1112"/>
      <c r="E35" s="1113"/>
      <c r="F35" s="1114" t="s">
        <v>33</v>
      </c>
      <c r="G35" s="1114"/>
      <c r="H35" s="1114"/>
      <c r="I35" s="1114"/>
      <c r="J35" s="1115"/>
      <c r="K35" s="14"/>
      <c r="L35" s="14"/>
      <c r="M35" s="14"/>
      <c r="N35" s="14"/>
      <c r="P35" s="14"/>
      <c r="Q35" s="14"/>
      <c r="R35" s="14"/>
    </row>
    <row r="36" spans="4:18" ht="16.5" customHeight="1">
      <c r="D36" s="14"/>
      <c r="E36" s="14"/>
      <c r="F36" s="14"/>
      <c r="G36" s="14"/>
      <c r="H36" s="14"/>
      <c r="I36" s="14"/>
      <c r="J36" s="14"/>
      <c r="K36" s="14"/>
      <c r="L36" s="14"/>
      <c r="M36" s="14"/>
      <c r="N36" s="14"/>
      <c r="P36" s="14"/>
      <c r="Q36" s="14"/>
      <c r="R36" s="14"/>
    </row>
    <row r="37" spans="4:18" ht="24" customHeight="1">
      <c r="D37" s="14"/>
      <c r="E37" s="14"/>
      <c r="F37" s="14"/>
      <c r="G37" s="14"/>
      <c r="H37" s="14"/>
      <c r="I37" s="14"/>
      <c r="J37" s="14"/>
      <c r="K37" s="14"/>
      <c r="L37" s="14"/>
      <c r="M37" s="14"/>
      <c r="N37" s="14"/>
      <c r="P37" s="14"/>
      <c r="Q37" s="14"/>
      <c r="R37" s="14"/>
    </row>
    <row r="38" spans="4:18" ht="15">
      <c r="D38" s="14"/>
      <c r="E38" s="14"/>
      <c r="F38" s="14"/>
      <c r="G38" s="14"/>
      <c r="H38" s="14"/>
      <c r="I38" s="14"/>
      <c r="J38" s="14"/>
      <c r="K38" s="14"/>
      <c r="L38" s="14"/>
      <c r="M38" s="14"/>
      <c r="N38" s="14"/>
      <c r="P38" s="14"/>
      <c r="Q38" s="14"/>
      <c r="R38" s="14"/>
    </row>
    <row r="39" spans="4:18" ht="15">
      <c r="D39" s="14"/>
      <c r="E39" s="14"/>
      <c r="F39" s="14"/>
      <c r="G39" s="14"/>
      <c r="H39" s="14"/>
      <c r="I39" s="14"/>
      <c r="J39" s="14"/>
      <c r="K39" s="14"/>
      <c r="L39" s="14"/>
      <c r="M39" s="14"/>
      <c r="N39" s="14"/>
      <c r="O39" s="14"/>
      <c r="P39" s="14"/>
      <c r="Q39" s="14"/>
      <c r="R39" s="14"/>
    </row>
    <row r="40" spans="4:18" ht="15">
      <c r="D40" s="14"/>
      <c r="E40" s="14"/>
      <c r="F40" s="14"/>
      <c r="G40" s="14"/>
      <c r="H40" s="14"/>
      <c r="I40" s="14"/>
      <c r="J40" s="14"/>
      <c r="K40" s="14"/>
      <c r="L40" s="14"/>
      <c r="M40" s="14"/>
      <c r="N40" s="14"/>
      <c r="O40" s="14"/>
      <c r="P40" s="14"/>
      <c r="Q40" s="14"/>
      <c r="R40" s="14"/>
    </row>
    <row r="41" spans="4:18" ht="15">
      <c r="D41" s="14"/>
      <c r="E41" s="14"/>
      <c r="F41" s="14"/>
      <c r="G41" s="14"/>
      <c r="H41" s="14"/>
      <c r="I41" s="14"/>
      <c r="J41" s="14"/>
      <c r="K41" s="14"/>
      <c r="L41" s="14"/>
      <c r="M41" s="14"/>
      <c r="N41" s="14"/>
      <c r="O41" s="14"/>
      <c r="P41" s="14"/>
      <c r="Q41" s="14"/>
      <c r="R41" s="14"/>
    </row>
    <row r="42" spans="4:18" ht="15">
      <c r="D42" s="14"/>
      <c r="E42" s="14"/>
      <c r="F42" s="14"/>
      <c r="G42" s="14"/>
      <c r="H42" s="14"/>
      <c r="I42" s="14"/>
      <c r="J42" s="14"/>
      <c r="K42" s="14"/>
      <c r="L42" s="14"/>
      <c r="M42" s="14"/>
      <c r="N42" s="14"/>
      <c r="O42" s="14"/>
      <c r="P42" s="14"/>
      <c r="Q42" s="14"/>
      <c r="R42" s="14"/>
    </row>
    <row r="43" spans="4:18" ht="15">
      <c r="D43" s="14"/>
      <c r="E43" s="14"/>
      <c r="F43" s="14"/>
      <c r="G43" s="14"/>
      <c r="H43" s="14"/>
      <c r="I43" s="14"/>
      <c r="J43" s="14"/>
      <c r="K43" s="14"/>
      <c r="L43" s="14"/>
      <c r="M43" s="14"/>
      <c r="N43" s="14"/>
      <c r="O43" s="14"/>
      <c r="P43" s="14"/>
      <c r="Q43" s="14"/>
      <c r="R43" s="14"/>
    </row>
    <row r="44" spans="4:18" ht="15">
      <c r="D44" s="14"/>
      <c r="E44" s="14"/>
      <c r="F44" s="14"/>
      <c r="G44" s="14"/>
      <c r="H44" s="14"/>
      <c r="I44" s="14"/>
      <c r="J44" s="14"/>
      <c r="K44" s="14"/>
      <c r="L44" s="14"/>
      <c r="M44" s="14"/>
      <c r="N44" s="14"/>
      <c r="O44" s="14"/>
      <c r="P44" s="14"/>
      <c r="Q44" s="14"/>
      <c r="R44" s="14"/>
    </row>
    <row r="45" spans="4:18" ht="15">
      <c r="D45" s="14"/>
      <c r="E45" s="14"/>
      <c r="F45" s="14"/>
      <c r="G45" s="14"/>
      <c r="H45" s="14"/>
      <c r="I45" s="14"/>
      <c r="J45" s="14"/>
      <c r="K45" s="14"/>
      <c r="L45" s="14"/>
      <c r="M45" s="14"/>
      <c r="N45" s="14"/>
      <c r="O45" s="14"/>
      <c r="P45" s="14"/>
      <c r="Q45" s="14"/>
      <c r="R45" s="14"/>
    </row>
    <row r="46" spans="4:18" ht="15">
      <c r="D46" s="14"/>
      <c r="E46" s="14"/>
      <c r="F46" s="14"/>
      <c r="G46" s="14"/>
      <c r="H46" s="14"/>
      <c r="I46" s="14"/>
      <c r="J46" s="14"/>
      <c r="K46" s="14"/>
      <c r="L46" s="14"/>
      <c r="M46" s="14"/>
      <c r="N46" s="14"/>
      <c r="O46" s="14"/>
      <c r="P46" s="14"/>
      <c r="Q46" s="14"/>
      <c r="R46" s="14"/>
    </row>
    <row r="47" spans="4:18" ht="15">
      <c r="D47" s="14"/>
      <c r="E47" s="14"/>
      <c r="F47" s="14"/>
      <c r="G47" s="14"/>
      <c r="H47" s="14"/>
      <c r="I47" s="14"/>
      <c r="J47" s="14"/>
      <c r="K47" s="14"/>
      <c r="L47" s="14"/>
      <c r="M47" s="14"/>
      <c r="N47" s="14"/>
      <c r="O47" s="14"/>
      <c r="P47" s="14"/>
      <c r="Q47" s="14"/>
      <c r="R47" s="14"/>
    </row>
    <row r="48" spans="4:18" ht="15">
      <c r="D48" s="14"/>
      <c r="E48" s="14"/>
      <c r="F48" s="14"/>
      <c r="G48" s="14"/>
      <c r="H48" s="14"/>
      <c r="I48" s="14"/>
      <c r="J48" s="14"/>
      <c r="K48" s="14"/>
      <c r="L48" s="14"/>
      <c r="M48" s="14"/>
      <c r="N48" s="14"/>
      <c r="O48" s="14"/>
      <c r="P48" s="14"/>
      <c r="Q48" s="14"/>
      <c r="R48" s="14"/>
    </row>
    <row r="49" spans="4:18" ht="15">
      <c r="D49" s="14"/>
      <c r="E49" s="14"/>
      <c r="F49" s="14"/>
      <c r="G49" s="14"/>
      <c r="H49" s="14"/>
      <c r="I49" s="14"/>
      <c r="J49" s="14"/>
      <c r="K49" s="14"/>
      <c r="L49" s="14"/>
      <c r="M49" s="14"/>
      <c r="N49" s="14"/>
      <c r="O49" s="14"/>
      <c r="P49" s="14"/>
      <c r="Q49" s="14"/>
      <c r="R49" s="14"/>
    </row>
    <row r="50" spans="4:18" ht="15">
      <c r="D50" s="14"/>
      <c r="E50" s="14"/>
      <c r="F50" s="14"/>
      <c r="G50" s="14"/>
      <c r="H50" s="14"/>
      <c r="I50" s="14"/>
      <c r="J50" s="14"/>
      <c r="K50" s="14"/>
      <c r="L50" s="14"/>
      <c r="M50" s="14"/>
      <c r="N50" s="14"/>
      <c r="O50" s="14"/>
      <c r="P50" s="14"/>
      <c r="Q50" s="14"/>
      <c r="R50" s="14"/>
    </row>
    <row r="51" spans="4:18" ht="15">
      <c r="D51" s="14"/>
      <c r="E51" s="14"/>
      <c r="F51" s="14"/>
      <c r="G51" s="14"/>
      <c r="H51" s="14"/>
      <c r="I51" s="14"/>
      <c r="J51" s="14"/>
      <c r="K51" s="14"/>
      <c r="L51" s="14"/>
      <c r="M51" s="14"/>
      <c r="N51" s="14"/>
      <c r="O51" s="14"/>
      <c r="P51" s="14"/>
      <c r="Q51" s="14"/>
      <c r="R51" s="14"/>
    </row>
    <row r="52" spans="4:18" ht="15">
      <c r="D52" s="14"/>
      <c r="E52" s="14"/>
      <c r="F52" s="14"/>
      <c r="G52" s="14"/>
      <c r="H52" s="14"/>
      <c r="I52" s="14"/>
      <c r="J52" s="14"/>
      <c r="K52" s="14"/>
      <c r="L52" s="14"/>
      <c r="M52" s="14"/>
      <c r="N52" s="14"/>
      <c r="O52" s="14"/>
      <c r="P52" s="14"/>
      <c r="Q52" s="14"/>
      <c r="R52" s="14"/>
    </row>
    <row r="53" spans="4:18" ht="21" customHeight="1">
      <c r="D53" s="14"/>
      <c r="E53" s="14"/>
      <c r="F53" s="14"/>
      <c r="G53" s="14"/>
      <c r="H53" s="14"/>
      <c r="I53" s="14"/>
      <c r="J53" s="14"/>
      <c r="K53" s="14"/>
      <c r="L53" s="14"/>
      <c r="M53" s="14"/>
      <c r="N53" s="14"/>
      <c r="O53" s="14"/>
      <c r="P53" s="14"/>
      <c r="Q53" s="14"/>
      <c r="R53" s="14"/>
    </row>
    <row r="54" spans="16:18" ht="15.5" thickBot="1">
      <c r="P54" s="14"/>
      <c r="Q54" s="14"/>
      <c r="R54" s="14"/>
    </row>
    <row r="55" spans="4:15" ht="14.5" thickBot="1">
      <c r="D55" s="1134" t="s">
        <v>34</v>
      </c>
      <c r="E55" s="1135"/>
      <c r="F55" s="1130"/>
      <c r="G55" s="1131"/>
      <c r="I55" s="1132" t="s">
        <v>35</v>
      </c>
      <c r="J55" s="1133"/>
      <c r="K55" s="1130"/>
      <c r="L55" s="1130"/>
      <c r="M55" s="1130"/>
      <c r="N55" s="1130"/>
      <c r="O55" s="1131"/>
    </row>
    <row r="56" ht="14"/>
    <row r="57" ht="14"/>
    <row r="58" ht="14"/>
    <row r="59" ht="6" customHeight="1"/>
    <row r="60" ht="14"/>
    <row r="61" ht="14"/>
    <row r="62" ht="14"/>
    <row r="63" ht="63.75" customHeight="1"/>
    <row r="64" ht="105.75" customHeight="1"/>
    <row r="65" ht="48.75" customHeight="1" thickBot="1"/>
    <row r="66" spans="4:15" ht="16.5" customHeight="1" thickBot="1">
      <c r="D66" s="1132" t="s">
        <v>36</v>
      </c>
      <c r="E66" s="1133"/>
      <c r="F66" s="1130"/>
      <c r="G66" s="1131"/>
      <c r="I66" s="1132" t="s">
        <v>37</v>
      </c>
      <c r="J66" s="1133"/>
      <c r="K66" s="1130"/>
      <c r="L66" s="1130"/>
      <c r="M66" s="1130"/>
      <c r="N66" s="1130"/>
      <c r="O66" s="1131"/>
    </row>
    <row r="67" ht="105.75" customHeight="1"/>
  </sheetData>
  <sheetProtection algorithmName="SHA-512" hashValue="zyhxhhdz7CpkaZpipbBXfXjP/6wRhTqlQti6qqFmEApxBFV9BBNe0kH2lK7qliO2oZXIMq7WeLMBhn7LNmFkUQ==" saltValue="rjmNQwhk52jzvU1d1surTA==" spinCount="100000" sheet="1" objects="1" scenarios="1"/>
  <customSheetViews>
    <customSheetView guid="{8bda793c-c9c5-4fc6-a0a5-f1109f6d4f22}" scale="90" topLeftCell="A1">
      <pageMargins left="0.75" right="0.75" top="1" bottom="1" header="0.5" footer="0.5"/>
    </customSheetView>
  </customSheetViews>
  <mergeCells count="60">
    <mergeCell ref="D24:E24"/>
    <mergeCell ref="D33:E33"/>
    <mergeCell ref="D29:J29"/>
    <mergeCell ref="F33:J33"/>
    <mergeCell ref="D31:E31"/>
    <mergeCell ref="F31:J31"/>
    <mergeCell ref="D30:E30"/>
    <mergeCell ref="F30:J30"/>
    <mergeCell ref="F24:H24"/>
    <mergeCell ref="D25:E25"/>
    <mergeCell ref="F25:H25"/>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I22:J22"/>
    <mergeCell ref="D23:E23"/>
    <mergeCell ref="F23:J23"/>
  </mergeCells>
  <conditionalFormatting sqref="I22">
    <cfRule type="containsText" priority="17" dxfId="1283" operator="containsText" text="▲">
      <formula>NOT(ISERROR(SEARCH("▲",I22)))</formula>
    </cfRule>
  </conditionalFormatting>
  <conditionalFormatting sqref="F23:F24 F27">
    <cfRule type="containsText" priority="15" dxfId="1282" operator="containsText" text="No">
      <formula>NOT(ISERROR(SEARCH("No",F23)))</formula>
    </cfRule>
    <cfRule type="containsText" priority="16" dxfId="1281" operator="containsText" text="Yes">
      <formula>NOT(ISERROR(SEARCH("Yes",F23)))</formula>
    </cfRule>
  </conditionalFormatting>
  <conditionalFormatting sqref="I24 I27">
    <cfRule type="containsText" priority="11" dxfId="1281" operator="containsText" text="tab">
      <formula>NOT(ISERROR(SEARCH("tab",I24)))</formula>
    </cfRule>
    <cfRule type="containsText" priority="12" dxfId="1279" operator="containsText" text="▲">
      <formula>NOT(ISERROR(SEARCH("▲",I24)))</formula>
    </cfRule>
  </conditionalFormatting>
  <conditionalFormatting sqref="J24">
    <cfRule type="containsText" priority="7" dxfId="1281" operator="containsText" text="tab">
      <formula>NOT(ISERROR(SEARCH("tab",J24)))</formula>
    </cfRule>
    <cfRule type="containsText" priority="8" dxfId="1279" operator="containsText" text="▲">
      <formula>NOT(ISERROR(SEARCH("▲",J24)))</formula>
    </cfRule>
  </conditionalFormatting>
  <conditionalFormatting sqref="I27:J27">
    <cfRule type="containsBlanks" priority="6" dxfId="1282">
      <formula>LEN(TRIM(I27))=0</formula>
    </cfRule>
  </conditionalFormatting>
  <conditionalFormatting sqref="F16:J16">
    <cfRule type="containsBlanks" priority="5" dxfId="1275">
      <formula>LEN(TRIM(F16))=0</formula>
    </cfRule>
  </conditionalFormatting>
  <conditionalFormatting sqref="F17:J17">
    <cfRule type="containsBlanks" priority="4" dxfId="1275">
      <formula>LEN(TRIM(F17))=0</formula>
    </cfRule>
  </conditionalFormatting>
  <conditionalFormatting sqref="E8:J8">
    <cfRule type="containsText" priority="3" dxfId="1273" operator="containsText" text="▲">
      <formula>NOT(ISERROR(SEARCH("▲",E8)))</formula>
    </cfRule>
  </conditionalFormatting>
  <conditionalFormatting sqref="D8">
    <cfRule type="expression" priority="1" dxfId="1272">
      <formula>$E$8="'Completed by' and 'Date of metric completion' fields must be filled in ▲"</formula>
    </cfRule>
  </conditionalFormatting>
  <dataValidations count="1">
    <dataValidation type="list" showInputMessage="1" showErrorMessage="1" sqref="F27:H27">
      <formula1>"Yes, No"</formula1>
    </dataValidation>
  </dataValidations>
  <pageMargins left="0.7" right="0.7" top="0.75" bottom="0.75" header="0.3" footer="0.3"/>
  <pageSetup orientation="portrait" paperSize="9"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0003962517"/>
  </sheetPr>
  <dimension ref="A1:W16"/>
  <sheetViews>
    <sheetView showRowColHeaders="0" zoomScale="80" zoomScaleNormal="80" workbookViewId="0" topLeftCell="A4">
      <selection pane="topLeft" activeCell="V8" sqref="V8"/>
    </sheetView>
  </sheetViews>
  <sheetFormatPr defaultColWidth="0" defaultRowHeight="24.65" customHeight="1" zeroHeight="1"/>
  <cols>
    <col min="1" max="3" width="2.42857142857143" style="1" customWidth="1"/>
    <col min="4" max="4" width="18.5714285714286" style="1" customWidth="1"/>
    <col min="5" max="8" width="9.42857142857143" style="1" customWidth="1"/>
    <col min="9" max="9" width="7" style="1" customWidth="1"/>
    <col min="10" max="12" width="9.42857142857143" style="1" customWidth="1"/>
    <col min="13" max="13" width="12.4285714285714" style="1" customWidth="1"/>
    <col min="14" max="14" width="5.57142857142857" style="1" customWidth="1"/>
    <col min="15" max="15" width="9.42857142857143" style="1" customWidth="1"/>
    <col min="16" max="16" width="30" style="1" customWidth="1"/>
    <col min="17" max="17" width="13.5714285714286" style="1" bestFit="1" customWidth="1"/>
    <col min="18" max="18" width="12.5714285714286" style="1" bestFit="1" customWidth="1"/>
    <col min="19" max="19" width="9.42857142857143" style="1" customWidth="1"/>
    <col min="20" max="20" width="12.5714285714286" style="1" bestFit="1" customWidth="1"/>
    <col min="21" max="21" width="8.42857142857143" style="1" customWidth="1"/>
    <col min="22" max="22" width="12.5714285714286" style="1" bestFit="1" customWidth="1"/>
    <col min="23" max="23" width="9.57142857142857" style="1" customWidth="1"/>
    <col min="24" max="31" width="9.42857142857143" style="1" customWidth="1"/>
    <col min="32" max="16384" width="9.42857142857143" style="1" hidden="1"/>
  </cols>
  <sheetData>
    <row r="1" spans="2:15" ht="15.75" customHeight="1">
      <c r="B1" s="2"/>
      <c r="C1" s="2"/>
      <c r="E1" s="6"/>
      <c r="F1" s="1156"/>
      <c r="G1" s="1156"/>
      <c r="H1" s="1156"/>
      <c r="I1" s="1156"/>
      <c r="J1" s="1156"/>
      <c r="K1" s="1157"/>
      <c r="L1" s="1157"/>
      <c r="M1" s="1157"/>
      <c r="N1" s="1157"/>
      <c r="O1" s="1157"/>
    </row>
    <row r="2" spans="2:5" ht="15.75" customHeight="1">
      <c r="B2" s="2"/>
      <c r="C2" s="2"/>
      <c r="D2" s="1161"/>
      <c r="E2" s="1161"/>
    </row>
    <row r="3" spans="1:19" ht="15.75" customHeight="1">
      <c r="A3" s="6"/>
      <c r="B3" s="6"/>
      <c r="C3" s="6"/>
      <c r="D3" s="6"/>
      <c r="E3" s="6"/>
      <c r="F3" s="7"/>
      <c r="G3" s="7"/>
      <c r="H3" s="7"/>
      <c r="I3" s="7"/>
      <c r="J3" s="7"/>
      <c r="K3" s="7"/>
      <c r="L3" s="7"/>
      <c r="M3" s="7"/>
      <c r="N3" s="7"/>
      <c r="O3" s="7"/>
      <c r="P3" s="7"/>
      <c r="Q3" s="1154" t="s">
        <v>38</v>
      </c>
      <c r="R3" s="1155"/>
      <c r="S3" s="1155"/>
    </row>
    <row r="4" spans="1:23" ht="35.25" customHeight="1">
      <c r="A4" s="6"/>
      <c r="B4" s="6"/>
      <c r="C4" s="6"/>
      <c r="D4" s="6"/>
      <c r="E4" s="6"/>
      <c r="F4" s="7"/>
      <c r="G4" s="7"/>
      <c r="H4" s="7"/>
      <c r="I4" s="7"/>
      <c r="J4" s="7"/>
      <c r="K4" s="7"/>
      <c r="L4" s="7"/>
      <c r="M4" s="7"/>
      <c r="N4" s="7"/>
      <c r="O4" s="7"/>
      <c r="P4" s="7"/>
      <c r="Q4" s="1159" t="s">
        <v>39</v>
      </c>
      <c r="R4" s="1152" t="s">
        <v>40</v>
      </c>
      <c r="S4" s="1152"/>
      <c r="T4" s="1152"/>
      <c r="U4" s="1152"/>
      <c r="V4" s="1152"/>
      <c r="W4" s="1153"/>
    </row>
    <row r="5" spans="1:23" ht="16.5" customHeight="1">
      <c r="A5" s="6"/>
      <c r="B5" s="6"/>
      <c r="C5" s="6"/>
      <c r="D5" s="6"/>
      <c r="E5" s="6"/>
      <c r="F5" s="4"/>
      <c r="G5" s="4"/>
      <c r="H5" s="4"/>
      <c r="I5" s="4"/>
      <c r="J5" s="4"/>
      <c r="K5" s="4"/>
      <c r="L5" s="4"/>
      <c r="M5" s="4"/>
      <c r="N5" s="4"/>
      <c r="O5" s="4"/>
      <c r="P5" s="4"/>
      <c r="Q5" s="1160"/>
      <c r="R5" s="369" t="s">
        <v>41</v>
      </c>
      <c r="S5" s="370" t="s">
        <v>42</v>
      </c>
      <c r="T5" s="371" t="s">
        <v>43</v>
      </c>
      <c r="U5" s="370" t="s">
        <v>42</v>
      </c>
      <c r="V5" s="370" t="s">
        <v>44</v>
      </c>
      <c r="W5" s="370" t="s">
        <v>42</v>
      </c>
    </row>
    <row r="6" spans="2:23" ht="16.5" customHeight="1">
      <c r="B6" s="2"/>
      <c r="C6" s="2"/>
      <c r="D6" s="6"/>
      <c r="E6" s="6"/>
      <c r="F6" s="4"/>
      <c r="G6" s="4"/>
      <c r="H6" s="4"/>
      <c r="I6" s="4"/>
      <c r="J6" s="4"/>
      <c r="K6" s="4"/>
      <c r="L6" s="4"/>
      <c r="M6" s="4"/>
      <c r="N6" s="4"/>
      <c r="O6" s="4"/>
      <c r="P6" s="4"/>
      <c r="Q6" s="368" t="s">
        <v>45</v>
      </c>
      <c r="R6" s="21"/>
      <c r="S6" s="332">
        <f>R6*'G-3 Multipliers'!$Z$4</f>
        <v>0</v>
      </c>
      <c r="T6" s="21"/>
      <c r="U6" s="332">
        <f>T6*'G-3 Multipliers'!$Z$4</f>
        <v>0</v>
      </c>
      <c r="V6" s="21"/>
      <c r="W6" s="332">
        <f>V6*'G-3 Multipliers'!$Z$4</f>
        <v>0</v>
      </c>
    </row>
    <row r="7" spans="2:23" ht="16.5" customHeight="1">
      <c r="B7" s="2"/>
      <c r="C7" s="6"/>
      <c r="D7" s="6"/>
      <c r="E7" s="6"/>
      <c r="F7" s="4"/>
      <c r="G7" s="4"/>
      <c r="H7" s="4"/>
      <c r="I7" s="4"/>
      <c r="J7" s="4"/>
      <c r="K7" s="4"/>
      <c r="L7" s="4"/>
      <c r="M7" s="4"/>
      <c r="N7" s="4"/>
      <c r="O7" s="4"/>
      <c r="P7" s="4"/>
      <c r="Q7" s="368" t="s">
        <v>46</v>
      </c>
      <c r="R7" s="21"/>
      <c r="S7" s="332">
        <f>R7*'G-3 Multipliers'!$Z$5</f>
        <v>0</v>
      </c>
      <c r="T7" s="21">
        <v>3</v>
      </c>
      <c r="U7" s="332">
        <f>T7*'G-3 Multipliers'!$Z$5</f>
        <v>0.048858048948628406</v>
      </c>
      <c r="V7" s="21"/>
      <c r="W7" s="332">
        <f>V7*'G-3 Multipliers'!$Z$5</f>
        <v>0</v>
      </c>
    </row>
    <row r="8" spans="2:23" ht="18" customHeight="1">
      <c r="B8" s="2"/>
      <c r="C8" s="2"/>
      <c r="D8" s="6"/>
      <c r="E8" s="6"/>
      <c r="F8" s="4"/>
      <c r="G8" s="4"/>
      <c r="H8" s="4"/>
      <c r="I8" s="4"/>
      <c r="J8" s="4"/>
      <c r="K8" s="4"/>
      <c r="L8" s="4"/>
      <c r="M8" s="4"/>
      <c r="N8" s="4"/>
      <c r="O8" s="4"/>
      <c r="P8" s="4"/>
      <c r="Q8" s="368" t="s">
        <v>47</v>
      </c>
      <c r="R8" s="21"/>
      <c r="S8" s="332">
        <f>R8*'G-3 Multipliers'!$Z6</f>
        <v>0</v>
      </c>
      <c r="T8" s="21">
        <v>2</v>
      </c>
      <c r="U8" s="332">
        <f>T8*'G-3 Multipliers'!$Z6</f>
        <v>0.07328707342294262</v>
      </c>
      <c r="V8" s="21"/>
      <c r="W8" s="332">
        <f>V8*'G-3 Multipliers'!$Z6</f>
        <v>0</v>
      </c>
    </row>
    <row r="9" spans="2:23" ht="18" customHeight="1">
      <c r="B9" s="2"/>
      <c r="C9" s="2"/>
      <c r="D9" s="6"/>
      <c r="E9" s="6"/>
      <c r="F9" s="4"/>
      <c r="G9" s="4"/>
      <c r="H9" s="4"/>
      <c r="I9" s="4"/>
      <c r="J9" s="4"/>
      <c r="K9" s="4"/>
      <c r="L9" s="4"/>
      <c r="M9" s="4"/>
      <c r="N9" s="4"/>
      <c r="O9" s="4"/>
      <c r="P9" s="4"/>
      <c r="Q9" s="368" t="s">
        <v>48</v>
      </c>
      <c r="R9" s="21"/>
      <c r="S9" s="332">
        <f>R9*'G-3 Multipliers'!$Z7</f>
        <v>0</v>
      </c>
      <c r="T9" s="21"/>
      <c r="U9" s="332">
        <f>T9*'G-3 Multipliers'!$Z7</f>
        <v>0</v>
      </c>
      <c r="V9" s="21"/>
      <c r="W9" s="332">
        <f>V9*'G-3 Multipliers'!$Z7</f>
        <v>0</v>
      </c>
    </row>
    <row r="10" spans="2:23" ht="16.5" customHeight="1">
      <c r="B10" s="2"/>
      <c r="C10" s="2"/>
      <c r="D10" s="3"/>
      <c r="E10" s="3"/>
      <c r="F10" s="4"/>
      <c r="G10" s="4"/>
      <c r="H10" s="4"/>
      <c r="I10" s="4"/>
      <c r="J10" s="4"/>
      <c r="K10" s="4"/>
      <c r="L10" s="4"/>
      <c r="M10" s="4"/>
      <c r="N10" s="4"/>
      <c r="O10" s="4"/>
      <c r="P10" s="4"/>
      <c r="Q10" s="368" t="s">
        <v>49</v>
      </c>
      <c r="R10" s="378">
        <f t="shared" si="0" ref="R10:W10">SUM(R6:R9)</f>
        <v>0</v>
      </c>
      <c r="S10" s="331">
        <f t="shared" si="0"/>
        <v>0</v>
      </c>
      <c r="T10" s="378">
        <f t="shared" si="0"/>
        <v>5</v>
      </c>
      <c r="U10" s="331">
        <f t="shared" si="0"/>
        <v>0.12214512237157102</v>
      </c>
      <c r="V10" s="378">
        <f t="shared" si="0"/>
        <v>0</v>
      </c>
      <c r="W10" s="331">
        <f t="shared" si="0"/>
        <v>0</v>
      </c>
    </row>
    <row r="11" spans="2:16" ht="30" customHeight="1">
      <c r="B11" s="2"/>
      <c r="C11" s="2"/>
      <c r="D11" s="5"/>
      <c r="E11" s="5"/>
      <c r="F11" s="1158"/>
      <c r="G11" s="1158"/>
      <c r="H11" s="1158"/>
      <c r="I11" s="1158"/>
      <c r="J11" s="1158"/>
      <c r="K11" s="1158"/>
      <c r="L11" s="1158"/>
      <c r="M11" s="1158"/>
      <c r="N11" s="1158"/>
      <c r="O11" s="1158"/>
      <c r="P11" s="1158"/>
    </row>
    <row r="12" spans="2:3" ht="16.5" customHeight="1">
      <c r="B12" s="2"/>
      <c r="C12" s="2"/>
    </row>
    <row r="13" spans="2:3" ht="16.5" customHeight="1">
      <c r="B13" s="2"/>
      <c r="C13" s="2"/>
    </row>
    <row r="14" spans="2:3" ht="16.5" customHeight="1">
      <c r="B14" s="2"/>
      <c r="C14" s="2"/>
    </row>
    <row r="15" spans="2:3" ht="16.5" customHeight="1">
      <c r="B15" s="2"/>
      <c r="C15" s="2"/>
    </row>
    <row r="16" spans="2:3" ht="16.5" customHeight="1">
      <c r="B16" s="2"/>
      <c r="C16" s="2"/>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4.5"/>
    <row r="29" ht="14.5"/>
    <row r="30" ht="14.5"/>
    <row r="31" ht="14.5"/>
    <row r="32" ht="14.5"/>
    <row r="33" ht="14.5"/>
    <row r="34" ht="14.5"/>
    <row r="35" ht="14.5"/>
    <row r="36" ht="14.5"/>
    <row r="37" ht="14.5"/>
    <row r="38" ht="14.5"/>
    <row r="39" ht="14.5"/>
    <row r="40" ht="89.9" customHeight="1"/>
    <row r="41" ht="14.5"/>
    <row r="42" ht="14.5"/>
    <row r="43" ht="14.5"/>
    <row r="44" ht="14.5"/>
    <row r="45" ht="14.5"/>
    <row r="46" ht="14.5"/>
    <row r="47" ht="14.5"/>
    <row r="48" ht="14.5"/>
    <row r="49" ht="14.5"/>
    <row r="50" ht="14.5"/>
    <row r="51" ht="24.65" customHeight="1"/>
  </sheetData>
  <sheetProtection algorithmName="SHA-512" hashValue="MzrquZNYD9OJrgiCfC6KoPaLsRoWmntvleP6IlwaGi4fcU+whHdWA/R58RgubWKuc+VDLoISzu5GhXimfa8ZYQ==" saltValue="OmRQtMT9CiRpgLpyqexkpQ==" spinCount="100000" sheet="1" objects="1" scenarios="1"/>
  <customSheetViews>
    <customSheetView guid="{8bda793c-c9c5-4fc6-a0a5-f1109f6d4f22}" scale="70" topLeftCell="A1">
      <selection pane="topLeft" activeCell="A1" sqref="A1:XFD1048576"/>
      <pageMargins left="0.75" right="0.75" top="1" bottom="1" header="0.5" footer="0.5"/>
    </customSheetView>
  </customSheetViews>
  <mergeCells count="7">
    <mergeCell ref="D2:E2"/>
    <mergeCell ref="R4:W4"/>
    <mergeCell ref="Q3:S3"/>
    <mergeCell ref="F1:J1"/>
    <mergeCell ref="K1:O1"/>
    <mergeCell ref="F11:P11"/>
    <mergeCell ref="Q4:Q5"/>
  </mergeCells>
  <pageMargins left="0.7" right="0.7" top="0.75" bottom="0.75" header="0.3" footer="0.3"/>
  <pageSetup orientation="portrait" paperSize="9"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R15"/>
  <sheetViews>
    <sheetView showRowColHeaders="0" zoomScale="80" zoomScaleNormal="80" workbookViewId="0" topLeftCell="A1"/>
  </sheetViews>
  <sheetFormatPr defaultColWidth="0" defaultRowHeight="0" customHeight="1" zeroHeight="1"/>
  <cols>
    <col min="1" max="3" width="2.42857142857143" style="162" customWidth="1"/>
    <col min="4" max="4" width="18.5714285714286" style="162" customWidth="1"/>
    <col min="5" max="8" width="9.42857142857143" style="162" customWidth="1"/>
    <col min="9" max="9" width="7" style="162" customWidth="1"/>
    <col min="10" max="12" width="9.42857142857143" style="162" customWidth="1"/>
    <col min="13" max="13" width="12.4285714285714" style="162" customWidth="1"/>
    <col min="14" max="14" width="5.57142857142857" style="162" customWidth="1"/>
    <col min="15" max="15" width="9.42857142857143" style="162" customWidth="1"/>
    <col min="16" max="16" width="34.5714285714286" style="162" customWidth="1"/>
    <col min="17" max="17" width="13.5714285714286" style="162" bestFit="1" customWidth="1"/>
    <col min="18" max="18" width="19.4285714285714" style="162" customWidth="1"/>
    <col min="19" max="31" width="9.42857142857143" style="162" customWidth="1"/>
    <col min="32" max="16384" width="9.42857142857143" style="162" hidden="1"/>
  </cols>
  <sheetData>
    <row r="1" spans="2:15" ht="15.75" customHeight="1">
      <c r="B1" s="163"/>
      <c r="C1" s="163"/>
      <c r="E1" s="164"/>
      <c r="F1" s="1162"/>
      <c r="G1" s="1162"/>
      <c r="H1" s="1162"/>
      <c r="I1" s="1162"/>
      <c r="J1" s="1162"/>
      <c r="K1" s="1163"/>
      <c r="L1" s="1163"/>
      <c r="M1" s="1163"/>
      <c r="N1" s="1163"/>
      <c r="O1" s="1163"/>
    </row>
    <row r="2" spans="2:5" ht="15.75" customHeight="1">
      <c r="B2" s="163"/>
      <c r="C2" s="163"/>
      <c r="E2" s="164"/>
    </row>
    <row r="3" spans="1:16" ht="15.75" customHeight="1">
      <c r="A3" s="164"/>
      <c r="B3" s="164"/>
      <c r="C3" s="164"/>
      <c r="D3" s="164"/>
      <c r="E3" s="164"/>
      <c r="F3" s="165"/>
      <c r="G3" s="165"/>
      <c r="H3" s="165"/>
      <c r="I3" s="165"/>
      <c r="J3" s="165"/>
      <c r="K3" s="165"/>
      <c r="L3" s="165"/>
      <c r="M3" s="165"/>
      <c r="N3" s="165"/>
      <c r="O3" s="165"/>
      <c r="P3" s="165"/>
    </row>
    <row r="4" spans="1:16" ht="16.5" customHeight="1">
      <c r="A4" s="164"/>
      <c r="B4" s="164"/>
      <c r="C4" s="164"/>
      <c r="D4" s="164"/>
      <c r="E4" s="164"/>
      <c r="F4" s="165"/>
      <c r="G4" s="165"/>
      <c r="H4" s="165"/>
      <c r="I4" s="165"/>
      <c r="J4" s="165"/>
      <c r="K4" s="165"/>
      <c r="L4" s="165"/>
      <c r="M4" s="165"/>
      <c r="N4" s="165"/>
      <c r="O4" s="165"/>
      <c r="P4" s="165"/>
    </row>
    <row r="5" spans="1:18" ht="16.5" customHeight="1">
      <c r="A5" s="164"/>
      <c r="B5" s="164"/>
      <c r="C5" s="164"/>
      <c r="D5" s="164"/>
      <c r="E5" s="164"/>
      <c r="F5" s="166"/>
      <c r="G5" s="166"/>
      <c r="H5" s="166"/>
      <c r="I5" s="166"/>
      <c r="J5" s="166"/>
      <c r="K5" s="166"/>
      <c r="L5" s="166"/>
      <c r="M5" s="166"/>
      <c r="N5" s="166"/>
      <c r="O5" s="166"/>
      <c r="P5" s="166"/>
      <c r="Q5" s="166"/>
      <c r="R5" s="166"/>
    </row>
    <row r="6" spans="2:18" ht="16.5" customHeight="1">
      <c r="B6" s="163"/>
      <c r="C6" s="163"/>
      <c r="D6" s="164"/>
      <c r="E6" s="164"/>
      <c r="F6" s="166"/>
      <c r="G6" s="166"/>
      <c r="H6" s="166"/>
      <c r="I6" s="166"/>
      <c r="J6" s="166"/>
      <c r="K6" s="166"/>
      <c r="L6" s="166"/>
      <c r="M6" s="166"/>
      <c r="N6" s="166"/>
      <c r="O6" s="166"/>
      <c r="P6" s="166"/>
      <c r="Q6" s="166"/>
      <c r="R6" s="166"/>
    </row>
    <row r="7" spans="2:18" ht="16.5" customHeight="1">
      <c r="B7" s="163"/>
      <c r="C7" s="164"/>
      <c r="D7" s="164"/>
      <c r="E7" s="164"/>
      <c r="F7" s="166"/>
      <c r="G7" s="166"/>
      <c r="H7" s="166"/>
      <c r="I7" s="166"/>
      <c r="J7" s="166"/>
      <c r="K7" s="166"/>
      <c r="L7" s="166"/>
      <c r="M7" s="166"/>
      <c r="N7" s="166"/>
      <c r="O7" s="166"/>
      <c r="P7" s="166"/>
      <c r="Q7" s="166"/>
      <c r="R7" s="166"/>
    </row>
    <row r="8" spans="2:18" ht="16.5" customHeight="1">
      <c r="B8" s="163"/>
      <c r="C8" s="163"/>
      <c r="D8" s="164"/>
      <c r="E8" s="164"/>
      <c r="F8" s="166"/>
      <c r="G8" s="166"/>
      <c r="H8" s="166"/>
      <c r="I8" s="166"/>
      <c r="J8" s="166"/>
      <c r="K8" s="166"/>
      <c r="L8" s="166"/>
      <c r="M8" s="166"/>
      <c r="N8" s="166"/>
      <c r="O8" s="166"/>
      <c r="P8" s="166"/>
      <c r="Q8" s="166"/>
      <c r="R8" s="166"/>
    </row>
    <row r="9" spans="2:18" ht="16.5" customHeight="1">
      <c r="B9" s="163"/>
      <c r="C9" s="163"/>
      <c r="D9" s="167"/>
      <c r="E9" s="167"/>
      <c r="F9" s="166"/>
      <c r="G9" s="166"/>
      <c r="H9" s="166"/>
      <c r="I9" s="166"/>
      <c r="J9" s="166"/>
      <c r="K9" s="166"/>
      <c r="L9" s="166"/>
      <c r="M9" s="166"/>
      <c r="N9" s="166"/>
      <c r="O9" s="166"/>
      <c r="P9" s="166"/>
      <c r="Q9" s="166"/>
      <c r="R9" s="166"/>
    </row>
    <row r="10" spans="2:13" ht="30" customHeight="1">
      <c r="B10" s="163"/>
      <c r="C10" s="163"/>
      <c r="D10" s="1164"/>
      <c r="E10" s="1164"/>
      <c r="F10" s="1164"/>
      <c r="G10" s="1164"/>
      <c r="H10" s="1164"/>
      <c r="I10" s="1164"/>
      <c r="J10" s="1164"/>
      <c r="K10" s="1164"/>
      <c r="L10" s="1164"/>
      <c r="M10" s="1164"/>
    </row>
    <row r="11" spans="2:3" ht="16.5" customHeight="1">
      <c r="B11" s="163"/>
      <c r="C11" s="163"/>
    </row>
    <row r="12" spans="2:3" ht="16.5" customHeight="1">
      <c r="B12" s="163"/>
      <c r="C12" s="163"/>
    </row>
    <row r="13" spans="2:3" ht="16.5" customHeight="1">
      <c r="B13" s="163"/>
      <c r="C13" s="163"/>
    </row>
    <row r="14" spans="2:3" ht="16.5" customHeight="1">
      <c r="B14" s="163"/>
      <c r="C14" s="163"/>
    </row>
    <row r="15" spans="2:3" ht="16.5" customHeight="1">
      <c r="B15" s="163"/>
      <c r="C15" s="163"/>
    </row>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
    <row r="28" ht="14"/>
    <row r="29" ht="14"/>
    <row r="30" ht="14"/>
    <row r="31" ht="14"/>
    <row r="32" ht="14"/>
    <row r="33" ht="14"/>
    <row r="34" ht="14"/>
    <row r="35" ht="14"/>
    <row r="36" ht="14"/>
    <row r="37" ht="14"/>
    <row r="38" ht="14"/>
    <row r="39" ht="14"/>
    <row r="40" ht="14"/>
    <row r="41" ht="14"/>
    <row r="42" ht="14"/>
    <row r="43" ht="14"/>
    <row r="44" ht="14"/>
    <row r="45" ht="14"/>
    <row r="46" ht="14"/>
    <row r="47" ht="14"/>
    <row r="48" ht="14"/>
    <row r="49" ht="14"/>
    <row r="50" ht="14"/>
    <row r="51" ht="14"/>
    <row r="52" ht="14"/>
    <row r="53" ht="14" hidden="1"/>
  </sheetData>
  <sheetProtection algorithmName="SHA-512" hashValue="ieMPunYfg/dNyQkOJ/9DcYPMhBW+MnEJxHK4cGAw3l1nJnB7OL0LLo4kQwu+TIF3JqDk1dvmsNpk+e83KzfVoA==" saltValue="ET0IZx2XwnCjqp/2FsjG3A==" spinCount="100000" sheet="1" objects="1" scenarios="1"/>
  <customSheetViews>
    <customSheetView guid="{8bda793c-c9c5-4fc6-a0a5-f1109f6d4f22}" topLeftCell="A1">
      <pageMargins left="0.75" right="0.75" top="1" bottom="1" header="0.5" footer="0.5"/>
    </customSheetView>
  </customSheetViews>
  <mergeCells count="3">
    <mergeCell ref="F1:J1"/>
    <mergeCell ref="K1:O1"/>
    <mergeCell ref="D10:M10"/>
  </mergeCells>
  <pageMargins left="0.7" right="0.7" top="0.75" bottom="0.75" header="0.3" footer="0.3"/>
  <pageSetup orientation="portrait" paperSize="9"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2:AG98"/>
  <sheetViews>
    <sheetView showRowColHeaders="0" zoomScale="70" zoomScaleNormal="70" workbookViewId="0" topLeftCell="A1">
      <selection pane="topLeft" activeCell="H63" sqref="H63:I63"/>
    </sheetView>
  </sheetViews>
  <sheetFormatPr defaultColWidth="46.5442857142857" defaultRowHeight="14" zeroHeight="1"/>
  <cols>
    <col min="1" max="1" width="10.5714285714286" style="22" customWidth="1"/>
    <col min="2" max="2" width="31.4285714285714" style="22" customWidth="1"/>
    <col min="3" max="3" width="13.5714285714286" style="22" customWidth="1"/>
    <col min="4" max="4" width="13.4285714285714" style="22" customWidth="1"/>
    <col min="5" max="5" width="36.5714285714286" style="22" customWidth="1"/>
    <col min="6" max="7" width="11.5714285714286" style="22" customWidth="1"/>
    <col min="8" max="8" width="13.4285714285714" style="22" customWidth="1"/>
    <col min="9" max="9" width="11.5714285714286" style="22" customWidth="1"/>
    <col min="10" max="10" width="23.4285714285714" style="22" customWidth="1"/>
    <col min="11" max="11" width="46.5714285714286" style="22"/>
    <col min="12" max="16382" width="0" style="22" hidden="1" customWidth="1"/>
    <col min="16383" max="16384" width="46.5714285714286" style="22"/>
  </cols>
  <sheetData>
    <row r="1" ht="15.75" customHeight="1" thickBot="1"/>
    <row r="2" spans="2:9" ht="19.4" customHeight="1" thickBot="1">
      <c r="B2" s="1204" t="str">
        <f>IF(Start!$F$12="","",Start!$F$12)</f>
        <v>Land east of Calne Road, Lyneham</v>
      </c>
      <c r="C2" s="1205"/>
      <c r="D2" s="1206"/>
      <c r="F2" s="1192"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92"/>
      <c r="H2" s="1192"/>
      <c r="I2" s="1192"/>
    </row>
    <row r="3" spans="2:9" ht="15.75" customHeight="1">
      <c r="B3" s="1198" t="str">
        <f ca="1">MID(CELL("filename",A1),FIND("]",CELL("filename",A1))+1,256)</f>
        <v>Headline Results</v>
      </c>
      <c r="C3" s="1199"/>
      <c r="D3" s="1200"/>
      <c r="F3" s="1192"/>
      <c r="G3" s="1192"/>
      <c r="H3" s="1192"/>
      <c r="I3" s="1192"/>
    </row>
    <row r="4" spans="2:9" ht="15.75" customHeight="1" thickBot="1">
      <c r="B4" s="1201"/>
      <c r="C4" s="1202"/>
      <c r="D4" s="1203"/>
      <c r="F4" s="1192"/>
      <c r="G4" s="1192"/>
      <c r="H4" s="1192"/>
      <c r="I4" s="1192"/>
    </row>
    <row r="5" spans="2:9" ht="10.4" customHeight="1">
      <c r="B5" s="1258" t="s">
        <v>50</v>
      </c>
      <c r="C5" s="1259"/>
      <c r="D5" s="1260"/>
      <c r="F5" s="1192"/>
      <c r="G5" s="1192"/>
      <c r="H5" s="1192"/>
      <c r="I5" s="1192"/>
    </row>
    <row r="6" spans="2:14" ht="10.4" customHeight="1">
      <c r="B6" s="1261"/>
      <c r="C6" s="1262"/>
      <c r="D6" s="1263"/>
      <c r="K6" s="23"/>
      <c r="L6" s="23"/>
      <c r="M6" s="23"/>
      <c r="N6" s="23"/>
    </row>
    <row r="7" spans="2:18" ht="10.4" customHeight="1" thickBot="1">
      <c r="B7" s="1264"/>
      <c r="C7" s="1265"/>
      <c r="D7" s="1266"/>
      <c r="K7" s="23"/>
      <c r="L7" s="23"/>
      <c r="M7" s="23"/>
      <c r="N7" s="23"/>
      <c r="O7" s="24"/>
      <c r="Q7" s="24"/>
      <c r="R7" s="24"/>
    </row>
    <row r="8" spans="2:19" ht="22.4" customHeight="1">
      <c r="B8" s="1190" t="s">
        <v>51</v>
      </c>
      <c r="C8" s="1166"/>
      <c r="D8" s="1166"/>
      <c r="E8" s="1166"/>
      <c r="F8" s="1174" t="s">
        <v>52</v>
      </c>
      <c r="G8" s="1175"/>
      <c r="H8" s="1208">
        <f>IFERROR('A-1 On-Site Habitat Baseline'!Q259,"Check Data ⚠")</f>
        <v>20.029840000000007</v>
      </c>
      <c r="I8" s="1209"/>
      <c r="J8" s="25"/>
      <c r="K8" s="23"/>
      <c r="L8" s="23"/>
      <c r="M8" s="23"/>
      <c r="N8" s="23"/>
      <c r="O8" s="24"/>
      <c r="P8" s="24"/>
      <c r="Q8" s="24"/>
      <c r="R8" s="24"/>
      <c r="S8" s="24"/>
    </row>
    <row r="9" spans="2:14" ht="22.4" customHeight="1">
      <c r="B9" s="1168"/>
      <c r="C9" s="1169"/>
      <c r="D9" s="1169"/>
      <c r="E9" s="1169"/>
      <c r="F9" s="1178" t="s">
        <v>53</v>
      </c>
      <c r="G9" s="1179"/>
      <c r="H9" s="1193">
        <f>IFERROR('B-1 On-Site Hedge Baseline'!N258,"Check Data ⚠")</f>
        <v>1.2694</v>
      </c>
      <c r="I9" s="1210"/>
      <c r="K9" s="23"/>
      <c r="L9" s="23"/>
      <c r="M9" s="23"/>
      <c r="N9" s="23"/>
    </row>
    <row r="10" spans="2:14" ht="22.4" customHeight="1" thickBot="1">
      <c r="B10" s="1171"/>
      <c r="C10" s="1172"/>
      <c r="D10" s="1172"/>
      <c r="E10" s="1172"/>
      <c r="F10" s="1182" t="s">
        <v>54</v>
      </c>
      <c r="G10" s="1183"/>
      <c r="H10" s="1184">
        <f>'C-1 On-Site WaterC'' Baseline'!R258</f>
        <v>0.06688</v>
      </c>
      <c r="I10" s="1185"/>
      <c r="K10" s="23"/>
      <c r="L10" s="23"/>
      <c r="M10" s="23"/>
      <c r="N10" s="23"/>
    </row>
    <row r="11" spans="8:14" ht="4.5" customHeight="1" thickBot="1">
      <c r="H11" s="203"/>
      <c r="I11" s="203"/>
      <c r="K11" s="23"/>
      <c r="L11" s="23"/>
      <c r="M11" s="23"/>
      <c r="N11" s="23"/>
    </row>
    <row r="12" spans="2:22" ht="22.4" customHeight="1">
      <c r="B12" s="1190" t="s">
        <v>55</v>
      </c>
      <c r="C12" s="1166"/>
      <c r="D12" s="1166"/>
      <c r="E12" s="1167"/>
      <c r="F12" s="1174" t="s">
        <v>52</v>
      </c>
      <c r="G12" s="1175"/>
      <c r="H12" s="1176">
        <f>IFERROR('A-2 On-Site Habitat Creation'!Y257+'A-3 On-Site Habitat Enhancement'!AN258+'A-1 On-Site Habitat Baseline'!U259+'A-1 On-Site Habitat Baseline'!AT259,"Check Data ⚠")</f>
        <v>26.25766400592248</v>
      </c>
      <c r="I12" s="1177"/>
      <c r="K12" s="23"/>
      <c r="L12" s="23"/>
      <c r="M12" s="23"/>
      <c r="N12" s="23"/>
      <c r="U12" s="1227"/>
      <c r="V12" s="1227"/>
    </row>
    <row r="13" spans="2:22" ht="22.4" customHeight="1">
      <c r="B13" s="1168"/>
      <c r="C13" s="1169"/>
      <c r="D13" s="1169"/>
      <c r="E13" s="1170"/>
      <c r="F13" s="1178" t="s">
        <v>53</v>
      </c>
      <c r="G13" s="1179"/>
      <c r="H13" s="1228">
        <f>IFERROR('B-2 On-Site Hedge Creation'!W260+'B-3 On-Site Hedge Enhancement'!AH258+'B-1 On-Site Hedge Baseline'!R258,"Check Data⚠")</f>
        <v>7.744522960273441</v>
      </c>
      <c r="I13" s="1181"/>
      <c r="K13" s="23"/>
      <c r="L13" s="23"/>
      <c r="M13" s="23"/>
      <c r="N13" s="23"/>
      <c r="U13" s="1227"/>
      <c r="V13" s="1227"/>
    </row>
    <row r="14" spans="2:14" ht="22.4" customHeight="1" thickBot="1">
      <c r="B14" s="1171"/>
      <c r="C14" s="1172"/>
      <c r="D14" s="1172"/>
      <c r="E14" s="1173"/>
      <c r="F14" s="1182" t="s">
        <v>54</v>
      </c>
      <c r="G14" s="1183"/>
      <c r="H14" s="1184">
        <f>IFERROR('C-2 On-Site WaterC'' Creation'!Z260+'C-3 On-Site WaterC'' Enhancement'!AM258+'C-1 On-Site WaterC'' Baseline'!W258+'C-1 On-Site WaterC'' Baseline'!AT258,"Check Data ⚠")</f>
        <v>0.06688</v>
      </c>
      <c r="I14" s="1185"/>
      <c r="K14" s="23"/>
      <c r="L14" s="23"/>
      <c r="M14" s="23"/>
      <c r="N14" s="23"/>
    </row>
    <row r="15" spans="2:14" ht="4.5" customHeight="1" thickBot="1">
      <c r="B15" s="257"/>
      <c r="C15" s="257"/>
      <c r="D15" s="257"/>
      <c r="E15" s="257"/>
      <c r="F15" s="258"/>
      <c r="G15" s="258"/>
      <c r="H15" s="259"/>
      <c r="I15" s="259"/>
      <c r="K15" s="414"/>
      <c r="L15" s="23"/>
      <c r="M15" s="23"/>
      <c r="N15" s="23"/>
    </row>
    <row r="16" spans="2:14" ht="22.4" customHeight="1">
      <c r="B16" s="1190" t="s">
        <v>56</v>
      </c>
      <c r="C16" s="1166"/>
      <c r="D16" s="1166"/>
      <c r="E16" s="1166"/>
      <c r="F16" s="1174" t="s">
        <v>52</v>
      </c>
      <c r="G16" s="1175"/>
      <c r="H16" s="1208">
        <f>IFERROR(H12-H8,"Error ▲")</f>
        <v>6.227824005922471</v>
      </c>
      <c r="I16" s="1208"/>
      <c r="J16" s="483">
        <f>IF(AND(H8=0,H12=0),0,IF(AND(H8=0,H12&gt;0),"N/A",IFERROR((H12/H8)-1,"Check Data ⚠")))</f>
        <v>0.3109272967693435</v>
      </c>
      <c r="K16" s="637" t="str">
        <f>IF(J16="N/A","Zero baseline units - % cannot be calculated",IF(OR(AND(H8=0,H12=0),J16&gt;=Start!$F$22)," ","On-site net gain is less than target set ⚠"))</f>
        <v xml:space="preserve"> </v>
      </c>
      <c r="L16" s="23"/>
      <c r="M16" s="23"/>
      <c r="N16" s="23"/>
    </row>
    <row r="17" spans="2:14" ht="22.4" customHeight="1">
      <c r="B17" s="1168"/>
      <c r="C17" s="1169"/>
      <c r="D17" s="1169"/>
      <c r="E17" s="1169"/>
      <c r="F17" s="1178" t="s">
        <v>53</v>
      </c>
      <c r="G17" s="1179"/>
      <c r="H17" s="1193">
        <f>IFERROR(H13-H9,"Error ▲")</f>
        <v>6.475122960273441</v>
      </c>
      <c r="I17" s="1193"/>
      <c r="J17" s="484">
        <f>IF(AND(H9=0,H13=0),0,IF(AND(H9=0,H13&gt;0),"N/A",IFERROR((H13/H9)-1,"Check Data ⚠")))</f>
        <v>5.10093190505234</v>
      </c>
      <c r="K17" s="637" t="str">
        <f>IF(J17="N/A","Zero baseline units - % cannot be calculated",IF(OR(AND(H9=0,H13=0),J17&gt;=Start!$F$22)," ","On-site net gain is less than target set ⚠"))</f>
        <v xml:space="preserve"> </v>
      </c>
      <c r="L17" s="23"/>
      <c r="M17" s="23"/>
      <c r="N17" s="23"/>
    </row>
    <row r="18" spans="2:14" ht="22.4" customHeight="1" thickBot="1">
      <c r="B18" s="1171"/>
      <c r="C18" s="1172"/>
      <c r="D18" s="1172"/>
      <c r="E18" s="1172"/>
      <c r="F18" s="1182" t="s">
        <v>54</v>
      </c>
      <c r="G18" s="1183"/>
      <c r="H18" s="1194">
        <f>IFERROR(H14-H10,"Error ▲")</f>
        <v>0</v>
      </c>
      <c r="I18" s="1194"/>
      <c r="J18" s="485">
        <f>IF(AND(H10=0,H14=0),0,IF(AND(H10=0,H14&gt;0),"N/A",IFERROR((H14/H10)-1,"Check Data ⚠")))</f>
        <v>0</v>
      </c>
      <c r="K18" s="637" t="str">
        <f>IF(J18="N/A","Zero baseline units - % cannot be calculated",IF(OR(AND(H10=0,H14=0),J18&gt;=Start!$F$22)," ","On-site net gain is less than target set ⚠"))</f>
        <v>On-site net gain is less than target set ⚠</v>
      </c>
      <c r="L18" s="23"/>
      <c r="M18" s="23"/>
      <c r="N18" s="23"/>
    </row>
    <row r="19" spans="2:14" ht="25.4" customHeight="1" thickBot="1">
      <c r="B19" s="1256" t="str" cm="1">
        <f t="array" ref="B19">IF(OR('Off-site gain site summary'!M7:M107="Error - gain sites must be positive ▲",'Off-site gain site summary'!Z7:Z107="Error - gain sites must be positive ▲",'Off-site gain site summary'!AM7:AM107="Error - gain sites must be positive ▲"),"Error - off-site gain sites must be postive ▲","")</f>
        <v/>
      </c>
      <c r="C19" s="1256"/>
      <c r="D19" s="1256"/>
      <c r="E19" s="1256"/>
      <c r="F19" s="1256"/>
      <c r="G19" s="1256"/>
      <c r="H19" s="1256"/>
      <c r="I19" s="1256"/>
      <c r="K19" s="23"/>
      <c r="L19" s="23"/>
      <c r="M19" s="23"/>
      <c r="N19" s="23"/>
    </row>
    <row r="20" spans="2:14" ht="22.4" customHeight="1">
      <c r="B20" s="1190" t="s">
        <v>57</v>
      </c>
      <c r="C20" s="1166"/>
      <c r="D20" s="1166"/>
      <c r="E20" s="1166"/>
      <c r="F20" s="1174" t="s">
        <v>52</v>
      </c>
      <c r="G20" s="1175"/>
      <c r="H20" s="1214">
        <f>IFERROR('D-1 Off-Site Habitat Baseline'!T259,"Check Data ⚠")</f>
        <v>0</v>
      </c>
      <c r="I20" s="1215"/>
      <c r="K20" s="23"/>
      <c r="L20" s="1221">
        <f>IFERROR('D-1 Off-Site Habitat Baseline'!Q259,"Check Data ⚠")</f>
        <v>0</v>
      </c>
      <c r="M20" s="1215"/>
      <c r="N20" s="23"/>
    </row>
    <row r="21" spans="2:14" ht="22.4" customHeight="1">
      <c r="B21" s="1168"/>
      <c r="C21" s="1169"/>
      <c r="D21" s="1169"/>
      <c r="E21" s="1169"/>
      <c r="F21" s="1178" t="s">
        <v>53</v>
      </c>
      <c r="G21" s="1179"/>
      <c r="H21" s="1195">
        <f>IFERROR('E-1 Off-Site Hedge Baseline'!Q258,"Check Data ⚠")</f>
        <v>0</v>
      </c>
      <c r="I21" s="1207"/>
      <c r="K21" s="23"/>
      <c r="L21" s="1222">
        <f>IFERROR('E-1 Off-Site Hedge Baseline'!N258,"Check Data ⚠")</f>
        <v>0</v>
      </c>
      <c r="M21" s="1207"/>
      <c r="N21" s="23"/>
    </row>
    <row r="22" spans="2:14" ht="22.4" customHeight="1" thickBot="1">
      <c r="B22" s="1171"/>
      <c r="C22" s="1172"/>
      <c r="D22" s="1172"/>
      <c r="E22" s="1172"/>
      <c r="F22" s="1182" t="s">
        <v>54</v>
      </c>
      <c r="G22" s="1183"/>
      <c r="H22" s="1218">
        <f>IFERROR('F-1 Off-Site WaterC'' Baseline'!U258,"Check Data ⚠")</f>
        <v>0</v>
      </c>
      <c r="I22" s="1219"/>
      <c r="K22" s="23"/>
      <c r="L22" s="1223">
        <f>IFERROR('F-1 Off-Site WaterC'' Baseline'!R258,"Check Data ⚠")</f>
        <v>0</v>
      </c>
      <c r="M22" s="1219"/>
      <c r="N22" s="23"/>
    </row>
    <row r="23" spans="8:14" ht="5.9" customHeight="1" thickBot="1">
      <c r="H23" s="203"/>
      <c r="I23" s="203"/>
      <c r="K23" s="23"/>
      <c r="L23" s="203"/>
      <c r="M23" s="203"/>
      <c r="N23" s="23"/>
    </row>
    <row r="24" spans="2:14" ht="22.4" customHeight="1">
      <c r="B24" s="1190" t="s">
        <v>58</v>
      </c>
      <c r="C24" s="1166"/>
      <c r="D24" s="1166"/>
      <c r="E24" s="1167"/>
      <c r="F24" s="1174" t="s">
        <v>52</v>
      </c>
      <c r="G24" s="1175"/>
      <c r="H24" s="1176">
        <f>IFERROR('D-1 Off-Site Habitat Baseline'!$X$259+'D-2 Off-Site Habitat Creation'!AB257+'D-3 Off-Site Habitat Enhancment'!AQ259+'D-1 Off-Site Habitat Baseline'!AS259,"Check Data ⚠")</f>
        <v>0</v>
      </c>
      <c r="I24" s="1177"/>
      <c r="K24" s="23"/>
      <c r="L24" s="1224">
        <f>IFERROR('D-1 Off-Site Habitat Baseline'!$AY$259+'D-2 Off-Site Habitat Creation'!AA257+'D-3 Off-Site Habitat Enhancment'!AP259,"Check Data ⚠")</f>
        <v>0</v>
      </c>
      <c r="M24" s="1177"/>
      <c r="N24" s="23"/>
    </row>
    <row r="25" spans="2:14" ht="22.4" customHeight="1">
      <c r="B25" s="1168"/>
      <c r="C25" s="1169"/>
      <c r="D25" s="1169"/>
      <c r="E25" s="1170"/>
      <c r="F25" s="1178" t="s">
        <v>53</v>
      </c>
      <c r="G25" s="1179"/>
      <c r="H25" s="1180">
        <f>IFERROR('E-1 Off-Site Hedge Baseline'!U258+'E-2 Off-Site Hedge Creation'!Z260+'E-3 Off-Site Hedge Enhancement'!AK258,"Check Data ⚠")</f>
        <v>0</v>
      </c>
      <c r="I25" s="1181"/>
      <c r="K25" s="23"/>
      <c r="L25" s="1225">
        <f>IFERROR('E-1 Off-Site Hedge Baseline'!AY258+'E-2 Off-Site Hedge Creation'!Y260+'E-3 Off-Site Hedge Enhancement'!AJ258,"Check Data ⚠")</f>
        <v>0</v>
      </c>
      <c r="M25" s="1181"/>
      <c r="N25" s="23"/>
    </row>
    <row r="26" spans="2:14" ht="22.4" customHeight="1" thickBot="1">
      <c r="B26" s="1171"/>
      <c r="C26" s="1172"/>
      <c r="D26" s="1172"/>
      <c r="E26" s="1173"/>
      <c r="F26" s="1182" t="s">
        <v>54</v>
      </c>
      <c r="G26" s="1183"/>
      <c r="H26" s="1184">
        <f>IFERROR('F-1 Off-Site WaterC'' Baseline'!Z258+'F-2 Off-Site WaterC'' Creation'!AC260+'F-3 Off-Site WaterC Enhancement'!AP258+'F-1 Off-Site WaterC'' Baseline'!AT258,"Check Data ⚠")</f>
        <v>0</v>
      </c>
      <c r="I26" s="1185"/>
      <c r="K26" s="23"/>
      <c r="L26" s="1220">
        <f>IFERROR('F-1 Off-Site WaterC'' Baseline'!BA258+'F-2 Off-Site WaterC'' Creation'!AB260+'F-3 Off-Site WaterC Enhancement'!AO258,"Check Data ⚠")</f>
        <v>0</v>
      </c>
      <c r="M26" s="1185"/>
      <c r="N26" s="23"/>
    </row>
    <row r="27" spans="11:14" ht="5.15" customHeight="1" thickBot="1">
      <c r="K27" s="23"/>
      <c r="L27" s="23"/>
      <c r="M27" s="23"/>
      <c r="N27" s="23"/>
    </row>
    <row r="28" spans="2:14" ht="22.4" customHeight="1">
      <c r="B28" s="1190" t="s">
        <v>59</v>
      </c>
      <c r="C28" s="1166"/>
      <c r="D28" s="1166"/>
      <c r="E28" s="1166"/>
      <c r="F28" s="1174" t="s">
        <v>52</v>
      </c>
      <c r="G28" s="1175"/>
      <c r="H28" s="1214">
        <f>IFERROR(H24-H20,"Error ▲")</f>
        <v>0</v>
      </c>
      <c r="I28" s="1214"/>
      <c r="J28" s="483">
        <f>IF(AND(H20=0,H24=0),0,IF(AND(H20=0,H24&gt;0),"N/A",IFERROR((H24/H20)-1,"Check Data ⚠")))</f>
        <v>0</v>
      </c>
      <c r="K28" s="482" t="str">
        <f t="shared" si="0" ref="K28:K29">IF(J28="N/A","Zero baseline units - % cannot be calculated","")</f>
        <v/>
      </c>
      <c r="L28" s="23"/>
      <c r="M28" s="23"/>
      <c r="N28" s="23"/>
    </row>
    <row r="29" spans="2:14" ht="22.4" customHeight="1">
      <c r="B29" s="1168"/>
      <c r="C29" s="1169"/>
      <c r="D29" s="1169"/>
      <c r="E29" s="1169"/>
      <c r="F29" s="1178" t="s">
        <v>53</v>
      </c>
      <c r="G29" s="1179"/>
      <c r="H29" s="1195">
        <f>IFERROR(H25-H21,"Error ▲")</f>
        <v>0</v>
      </c>
      <c r="I29" s="1195"/>
      <c r="J29" s="484">
        <f>IF(AND(H21=0,H25=0),0,IF(AND(H21=0,H25&gt;0),"N/A",IFERROR((H25/H21)-1,"Check Data ⚠")))</f>
        <v>0</v>
      </c>
      <c r="K29" s="482" t="str">
        <f t="shared" si="0"/>
        <v/>
      </c>
      <c r="L29" s="23"/>
      <c r="M29" s="23"/>
      <c r="N29" s="23"/>
    </row>
    <row r="30" spans="2:14" ht="22.4" customHeight="1" thickBot="1">
      <c r="B30" s="1171"/>
      <c r="C30" s="1172"/>
      <c r="D30" s="1172"/>
      <c r="E30" s="1172"/>
      <c r="F30" s="1182" t="s">
        <v>54</v>
      </c>
      <c r="G30" s="1183"/>
      <c r="H30" s="1196">
        <f>IFERROR(H26-H22,"Error ▲")</f>
        <v>0</v>
      </c>
      <c r="I30" s="1196"/>
      <c r="J30" s="485">
        <f>IF(AND(H22=0,H26=0),0,IF(AND(H22=0,H26&gt;0),"N/A",IFERROR((H26/H22)-1,"Check Data ⚠")))</f>
        <v>0</v>
      </c>
      <c r="K30" s="482" t="str">
        <f>IF(J30="N/A","Zero baseline units - % cannot be calculated","")</f>
        <v/>
      </c>
      <c r="L30" s="23"/>
      <c r="M30" s="23"/>
      <c r="N30" s="23"/>
    </row>
    <row r="31" spans="11:14" ht="22.4" customHeight="1" thickBot="1">
      <c r="K31" s="23"/>
      <c r="L31" s="23"/>
      <c r="M31" s="23"/>
      <c r="N31" s="23"/>
    </row>
    <row r="32" spans="2:14" ht="7.5" customHeight="1" hidden="1">
      <c r="B32" s="1190" t="s">
        <v>60</v>
      </c>
      <c r="C32" s="1166"/>
      <c r="D32" s="1166"/>
      <c r="E32" s="1166"/>
      <c r="F32" s="1174" t="s">
        <v>61</v>
      </c>
      <c r="G32" s="1175"/>
      <c r="H32" s="1214" t="str">
        <f>IF((H28&lt;=0),"N/A",(L24-L20))</f>
        <v>N/A</v>
      </c>
      <c r="I32" s="1215"/>
      <c r="J32" s="1267" t="str">
        <f>IF(H32="N/A","SRM only applies where unit change is positive (uplift)"," ")</f>
        <v>SRM only applies where unit change is positive (uplift)</v>
      </c>
      <c r="K32" s="1268"/>
      <c r="L32" s="23"/>
      <c r="M32" s="23"/>
      <c r="N32" s="23"/>
    </row>
    <row r="33" spans="2:14" ht="22.5" customHeight="1" hidden="1">
      <c r="B33" s="1168"/>
      <c r="C33" s="1169"/>
      <c r="D33" s="1169"/>
      <c r="E33" s="1169"/>
      <c r="F33" s="1178" t="s">
        <v>53</v>
      </c>
      <c r="G33" s="1179"/>
      <c r="H33" s="1195" t="str">
        <f>IF((H29&lt;=0),"N/A",(L25-L21))</f>
        <v>N/A</v>
      </c>
      <c r="I33" s="1207"/>
      <c r="J33" s="1267" t="str">
        <f>IF(H33="N/A","SRM only applies where unit change is positive"," ")</f>
        <v>SRM only applies where unit change is positive</v>
      </c>
      <c r="K33" s="1268"/>
      <c r="L33" s="23"/>
      <c r="M33" s="23"/>
      <c r="N33" s="23"/>
    </row>
    <row r="34" spans="2:14" ht="21" customHeight="1" hidden="1" thickBot="1">
      <c r="B34" s="1171"/>
      <c r="C34" s="1172"/>
      <c r="D34" s="1172"/>
      <c r="E34" s="1172"/>
      <c r="F34" s="1182" t="s">
        <v>54</v>
      </c>
      <c r="G34" s="1183"/>
      <c r="H34" s="1196" t="str">
        <f>IF((H30&lt;=0),"N/A",(L26-L22))</f>
        <v>N/A</v>
      </c>
      <c r="I34" s="1226"/>
      <c r="J34" s="1267" t="str">
        <f>IF(H34="N/A","SRM only applies where unit change is positive"," ")</f>
        <v>SRM only applies where unit change is positive</v>
      </c>
      <c r="K34" s="1268"/>
      <c r="L34" s="23"/>
      <c r="M34" s="23"/>
      <c r="N34" s="23"/>
    </row>
    <row r="35" spans="2:14" ht="13.5" customHeight="1" hidden="1">
      <c r="B35" s="482"/>
      <c r="C35" s="482"/>
      <c r="D35" s="23"/>
      <c r="E35" s="23"/>
      <c r="F35" s="482"/>
      <c r="G35" s="482"/>
      <c r="H35" s="23"/>
      <c r="I35" s="23"/>
      <c r="J35" s="482"/>
      <c r="K35" s="482"/>
      <c r="L35" s="23"/>
      <c r="M35" s="23"/>
      <c r="N35" s="23"/>
    </row>
    <row r="36" spans="2:14" ht="22.4" customHeight="1" thickBot="1">
      <c r="B36" s="482"/>
      <c r="C36" s="482"/>
      <c r="D36" s="23"/>
      <c r="E36" s="23"/>
      <c r="F36" s="482"/>
      <c r="G36" s="482"/>
      <c r="H36" s="23"/>
      <c r="I36" s="23"/>
      <c r="J36" s="482"/>
      <c r="K36" s="23"/>
      <c r="L36" s="23"/>
      <c r="M36" s="23"/>
      <c r="N36" s="23"/>
    </row>
    <row r="37" spans="2:14" ht="22.4" customHeight="1">
      <c r="B37" s="1190" t="s">
        <v>62</v>
      </c>
      <c r="C37" s="1166"/>
      <c r="D37" s="1166"/>
      <c r="E37" s="1167"/>
      <c r="F37" s="1174" t="s">
        <v>52</v>
      </c>
      <c r="G37" s="1175"/>
      <c r="H37" s="1176">
        <f>IFERROR((H16)+(H28),"Check Data ⚠")</f>
        <v>6.227824005922471</v>
      </c>
      <c r="I37" s="1177"/>
      <c r="J37" s="482"/>
      <c r="K37" s="23"/>
      <c r="L37" s="23"/>
      <c r="M37" s="23"/>
      <c r="N37" s="23"/>
    </row>
    <row r="38" spans="2:14" ht="22.4" customHeight="1">
      <c r="B38" s="1168"/>
      <c r="C38" s="1169"/>
      <c r="D38" s="1169"/>
      <c r="E38" s="1170"/>
      <c r="F38" s="1178" t="s">
        <v>53</v>
      </c>
      <c r="G38" s="1179"/>
      <c r="H38" s="1180">
        <f>IFERROR((H17)+(H29),"Check Data ⚠")</f>
        <v>6.475122960273441</v>
      </c>
      <c r="I38" s="1181"/>
      <c r="J38" s="482"/>
      <c r="K38" s="23"/>
      <c r="L38" s="23"/>
      <c r="M38" s="23"/>
      <c r="N38" s="23"/>
    </row>
    <row r="39" spans="2:14" ht="22.4" customHeight="1" thickBot="1">
      <c r="B39" s="1171"/>
      <c r="C39" s="1172"/>
      <c r="D39" s="1172"/>
      <c r="E39" s="1173"/>
      <c r="F39" s="1182" t="s">
        <v>54</v>
      </c>
      <c r="G39" s="1183"/>
      <c r="H39" s="1184">
        <f>IFERROR((H18)+(H30),"Check Data ⚠")</f>
        <v>0</v>
      </c>
      <c r="I39" s="1185"/>
      <c r="J39" s="482"/>
      <c r="K39" s="23"/>
      <c r="L39" s="23"/>
      <c r="M39" s="23"/>
      <c r="N39" s="23"/>
    </row>
    <row r="40" spans="2:14" ht="5.9" customHeight="1" thickBot="1">
      <c r="B40" s="482"/>
      <c r="C40" s="482"/>
      <c r="D40" s="23"/>
      <c r="E40" s="23"/>
      <c r="F40" s="482"/>
      <c r="G40" s="482"/>
      <c r="H40" s="23"/>
      <c r="I40" s="23"/>
      <c r="J40" s="482"/>
      <c r="K40" s="23"/>
      <c r="L40" s="23"/>
      <c r="M40" s="23"/>
      <c r="N40" s="23"/>
    </row>
    <row r="41" spans="2:14" ht="22.4" customHeight="1">
      <c r="B41" s="1165" t="s">
        <v>63</v>
      </c>
      <c r="C41" s="1166"/>
      <c r="D41" s="1166"/>
      <c r="E41" s="1167"/>
      <c r="F41" s="1174" t="s">
        <v>52</v>
      </c>
      <c r="G41" s="1175"/>
      <c r="H41" s="1176" t="str">
        <f>IFERROR(H28-H32,"0.00")</f>
        <v>0.00</v>
      </c>
      <c r="I41" s="1177"/>
      <c r="J41" s="482"/>
      <c r="K41" s="23"/>
      <c r="L41" s="23"/>
      <c r="M41" s="23"/>
      <c r="N41" s="23"/>
    </row>
    <row r="42" spans="2:14" ht="22.4" customHeight="1">
      <c r="B42" s="1168"/>
      <c r="C42" s="1169"/>
      <c r="D42" s="1169"/>
      <c r="E42" s="1170"/>
      <c r="F42" s="1178" t="s">
        <v>53</v>
      </c>
      <c r="G42" s="1179"/>
      <c r="H42" s="1180" t="str">
        <f>IFERROR(H29-H33,"0.00")</f>
        <v>0.00</v>
      </c>
      <c r="I42" s="1181"/>
      <c r="J42" s="482"/>
      <c r="K42" s="23"/>
      <c r="L42" s="23"/>
      <c r="M42" s="23"/>
      <c r="N42" s="23"/>
    </row>
    <row r="43" spans="2:14" ht="22.4" customHeight="1" thickBot="1">
      <c r="B43" s="1171"/>
      <c r="C43" s="1172"/>
      <c r="D43" s="1172"/>
      <c r="E43" s="1173"/>
      <c r="F43" s="1182" t="s">
        <v>54</v>
      </c>
      <c r="G43" s="1183"/>
      <c r="H43" s="1184" t="str">
        <f>IFERROR(H30-H34,"0.00")</f>
        <v>0.00</v>
      </c>
      <c r="I43" s="1185"/>
      <c r="J43" s="482"/>
      <c r="K43" s="23"/>
      <c r="L43" s="23"/>
      <c r="M43" s="23"/>
      <c r="N43" s="23"/>
    </row>
    <row r="44" spans="2:14" ht="37.4" customHeight="1" thickBot="1">
      <c r="B44" s="1191" t="str" cm="1">
        <f t="array" ref="B44">IF(OR('A-1 On-Site Habitat Baseline'!Y11:Y258="Yes",'D-1 Off-Site Habitat Baseline'!AB14:AB258="Yes",'C-1 On-Site WaterC'' Baseline'!AA10:AA257="Yes",'F-1 Off-Site WaterC'' Baseline'!AD10:AD257="Yes"),"Ensure bespoke compensation has been agreed where stated ⚠","")</f>
        <v/>
      </c>
      <c r="C44" s="1191"/>
      <c r="D44" s="1191"/>
      <c r="E44" s="1191"/>
      <c r="F44" s="1191"/>
      <c r="G44" s="1191"/>
      <c r="H44" s="1191"/>
      <c r="I44" s="1191"/>
      <c r="J44" s="482"/>
      <c r="K44" s="23"/>
      <c r="L44" s="23"/>
      <c r="M44" s="23"/>
      <c r="N44" s="23"/>
    </row>
    <row r="45" spans="2:14" ht="35.15" customHeight="1" thickBot="1">
      <c r="B45" s="1186" t="s">
        <v>64</v>
      </c>
      <c r="C45" s="1187"/>
      <c r="D45" s="1187"/>
      <c r="E45" s="1187"/>
      <c r="F45" s="1187"/>
      <c r="G45" s="1187"/>
      <c r="H45" s="1187"/>
      <c r="I45" s="1188"/>
      <c r="K45" s="23"/>
      <c r="L45" s="23"/>
      <c r="M45" s="23"/>
      <c r="N45" s="23"/>
    </row>
    <row r="46" spans="2:14" ht="10.4" customHeight="1" thickBot="1">
      <c r="B46" s="487"/>
      <c r="C46" s="487"/>
      <c r="D46" s="487"/>
      <c r="E46" s="487"/>
      <c r="F46" s="487"/>
      <c r="G46" s="487"/>
      <c r="H46" s="487"/>
      <c r="I46" s="487"/>
      <c r="K46" s="23"/>
      <c r="L46" s="23"/>
      <c r="M46" s="23"/>
      <c r="N46" s="23"/>
    </row>
    <row r="47" spans="2:14" ht="22.4" customHeight="1">
      <c r="B47" s="1241" t="s">
        <v>65</v>
      </c>
      <c r="C47" s="1242"/>
      <c r="D47" s="1242"/>
      <c r="E47" s="1243"/>
      <c r="F47" s="1174" t="s">
        <v>52</v>
      </c>
      <c r="G47" s="1175"/>
      <c r="H47" s="1176">
        <f>IFERROR(IF(H32="N/A",(H12-H8)+(H28),(H12-H8)+(H32)),"Check Data ⚠")</f>
        <v>6.227824005922471</v>
      </c>
      <c r="I47" s="1177"/>
      <c r="J47" s="1216"/>
      <c r="K47" s="1217"/>
      <c r="L47" s="23"/>
      <c r="M47" s="23"/>
      <c r="N47" s="23"/>
    </row>
    <row r="48" spans="2:14" ht="22.4" customHeight="1">
      <c r="B48" s="1244"/>
      <c r="C48" s="1245"/>
      <c r="D48" s="1245"/>
      <c r="E48" s="1246"/>
      <c r="F48" s="1178" t="s">
        <v>53</v>
      </c>
      <c r="G48" s="1179"/>
      <c r="H48" s="1180">
        <f>IFERROR(IF(H33="N/A",(H13-H9)+(H29),(H13-H9)+(H33)),"Check Data ⚠")</f>
        <v>6.475122960273441</v>
      </c>
      <c r="I48" s="1181"/>
      <c r="J48" s="1216"/>
      <c r="K48" s="1217"/>
      <c r="L48" s="23"/>
      <c r="M48" s="23"/>
      <c r="N48" s="23"/>
    </row>
    <row r="49" spans="2:14" ht="22.4" customHeight="1" thickBot="1">
      <c r="B49" s="1247"/>
      <c r="C49" s="1248"/>
      <c r="D49" s="1248"/>
      <c r="E49" s="1249"/>
      <c r="F49" s="1182" t="s">
        <v>54</v>
      </c>
      <c r="G49" s="1183"/>
      <c r="H49" s="1180">
        <f>IFERROR(IF(H34="N/A",(H14-H10)+(H30),(H14-H10)+(H34)),"Check Data ⚠")</f>
        <v>0</v>
      </c>
      <c r="I49" s="1181"/>
      <c r="J49" s="1216"/>
      <c r="K49" s="1217"/>
      <c r="L49" s="413"/>
      <c r="M49" s="23"/>
      <c r="N49" s="23"/>
    </row>
    <row r="50" spans="8:14" ht="10.4" customHeight="1" thickBot="1">
      <c r="H50" s="486"/>
      <c r="I50" s="486"/>
      <c r="K50" s="23"/>
      <c r="L50" s="23"/>
      <c r="M50" s="23"/>
      <c r="N50" s="23"/>
    </row>
    <row r="51" spans="2:14" ht="33.65" customHeight="1">
      <c r="B51" s="1190" t="s">
        <v>66</v>
      </c>
      <c r="C51" s="1166"/>
      <c r="D51" s="1166"/>
      <c r="E51" s="1167"/>
      <c r="F51" s="1174" t="s">
        <v>52</v>
      </c>
      <c r="G51" s="1175"/>
      <c r="H51" s="1234">
        <f>IF(H47=0,0,IF(H8=0,"N/A",IFERROR((H47/H8),"Check Data ⚠")))</f>
        <v>0.3109272967693436</v>
      </c>
      <c r="I51" s="1235"/>
      <c r="J51" s="1269" t="str">
        <f>IF(H51="N/A","0 baseline units - % cannot be calculated",IF(OR(AND(H8=0,H12=0),H51&gt;=Start!$F$22)," ","Total net gain achieved is less than target set ▲"))</f>
        <v xml:space="preserve"> </v>
      </c>
      <c r="K51" s="1270"/>
      <c r="L51" s="413"/>
      <c r="M51" s="413"/>
      <c r="N51" s="23"/>
    </row>
    <row r="52" spans="1:14" ht="32.15" customHeight="1">
      <c r="A52" s="26"/>
      <c r="B52" s="1168"/>
      <c r="C52" s="1169"/>
      <c r="D52" s="1169"/>
      <c r="E52" s="1170"/>
      <c r="F52" s="1178" t="s">
        <v>53</v>
      </c>
      <c r="G52" s="1179"/>
      <c r="H52" s="1236">
        <f>IF(AND(H48=0,H9=0),0,IF(H9=0,"N/A",IFERROR((H48/H9),"Check Data ⚠")))</f>
        <v>5.10093190505234</v>
      </c>
      <c r="I52" s="1237"/>
      <c r="J52" s="1269" t="str">
        <f>IF(H52="N/A","0 baseline units - % cannot be calculated",IF(OR(AND(H9=0,H13=0),H52&gt;=Start!$F$22)," ","Total net gain achieved is less than target set ▲"))</f>
        <v xml:space="preserve"> </v>
      </c>
      <c r="K52" s="1270"/>
      <c r="L52" s="23"/>
      <c r="M52" s="23"/>
      <c r="N52" s="23"/>
    </row>
    <row r="53" spans="1:14" ht="32.9" customHeight="1" thickBot="1">
      <c r="A53" s="26"/>
      <c r="B53" s="1171"/>
      <c r="C53" s="1172"/>
      <c r="D53" s="1172"/>
      <c r="E53" s="1173"/>
      <c r="F53" s="1182" t="s">
        <v>54</v>
      </c>
      <c r="G53" s="1238"/>
      <c r="H53" s="1239">
        <f>IF(H49=0,0,IF(H10=0,"N/A",IFERROR((H49/H10),"Check Data ⚠")))</f>
        <v>0</v>
      </c>
      <c r="I53" s="1240"/>
      <c r="J53" s="1269" t="str">
        <f>IF(H53="N/A","0 baseline units - % cannot be calculated",IF(OR(AND(H10=0,H14=0),H53&gt;=Start!$F$22)," ","Total net gain achieved is less than target set ▲"))</f>
        <v>Total net gain achieved is less than target set ▲</v>
      </c>
      <c r="K53" s="1270"/>
      <c r="L53" s="23"/>
      <c r="M53" s="23"/>
      <c r="N53" s="23"/>
    </row>
    <row r="54" spans="2:13" ht="10.4" customHeight="1" thickBot="1">
      <c r="B54" s="1189"/>
      <c r="C54" s="1189"/>
      <c r="D54" s="1189"/>
      <c r="F54" s="27"/>
      <c r="G54" s="27"/>
      <c r="H54" s="27"/>
      <c r="I54" s="27"/>
      <c r="J54" s="27"/>
      <c r="K54" s="27"/>
      <c r="L54" s="27"/>
      <c r="M54" s="27"/>
    </row>
    <row r="55" spans="2:33" s="28" customFormat="1" ht="38.25" customHeight="1" thickBot="1">
      <c r="B55" s="1211" t="s">
        <v>67</v>
      </c>
      <c r="C55" s="1212"/>
      <c r="D55" s="1212"/>
      <c r="E55" s="1213"/>
      <c r="F55" s="1250" t="str" cm="1">
        <f t="array" ref="F55">IF(OR('Trading Summary Area Habitats'!G5="No ▲",'Trading Summary Area Habitats'!G6="No ▲",'Trading Summary Area Habitats'!G7="No ▲",'Trading Summary Area Habitats'!G8="No ▲",'Trading Summary Hedgerows'!F5="No ▲",'Trading Summary Hedgerows'!F6:H6="No ▲",'Trading Summary Hedgerows'!F7="No ▲",'Trading Summary Hedgerows'!F8="No ▲",'Trading Summary Hedgerows'!F9="No ▲",'Trading Summary WaterC''s'!G5="No ▲",'Trading Summary WaterC''s'!G6="No ▲",'Trading Summary WaterC''s'!G7="No ▲",'Trading Summary WaterC''s'!G8="No ▲",B58="Unacceptable loss of irreplaceable habitat recorded - no bespoke compensation for lossess has been agreed  ▲"),"No - Check Trading Summaries ▲","Yes ✓")</f>
        <v>Yes ✓</v>
      </c>
      <c r="G55" s="1251"/>
      <c r="H55" s="1251"/>
      <c r="I55" s="1252"/>
      <c r="J55" s="29"/>
      <c r="K55" s="29"/>
      <c r="L55" s="29"/>
      <c r="M55" s="29"/>
      <c r="N55" s="22"/>
      <c r="O55" s="22"/>
      <c r="P55" s="22"/>
      <c r="Q55" s="22"/>
      <c r="X55" s="22"/>
      <c r="Y55" s="22"/>
      <c r="Z55" s="22"/>
      <c r="AA55" s="22"/>
      <c r="AB55" s="22"/>
      <c r="AC55" s="22"/>
      <c r="AD55" s="22"/>
      <c r="AE55" s="22"/>
      <c r="AF55" s="22"/>
      <c r="AG55" s="22"/>
    </row>
    <row r="56" spans="2:33" s="28" customFormat="1" ht="12" customHeight="1" hidden="1">
      <c r="B56" s="1233" t="str">
        <f>IF(Start!F27="Yes","This metric contains deviations from the statutory metric - these deviations are only acceptable in extremely rare circumstances and must be agreed with the consenting body ⚠","")</f>
        <v/>
      </c>
      <c r="C56" s="1233"/>
      <c r="D56" s="1233"/>
      <c r="E56" s="1233"/>
      <c r="F56" s="1233"/>
      <c r="G56" s="1233"/>
      <c r="H56" s="1233"/>
      <c r="I56" s="1233"/>
      <c r="J56" s="29"/>
      <c r="K56" s="29"/>
      <c r="L56" s="29"/>
      <c r="M56" s="29"/>
      <c r="N56" s="22"/>
      <c r="O56" s="22"/>
      <c r="P56" s="22"/>
      <c r="Q56" s="22"/>
      <c r="X56" s="22"/>
      <c r="Y56" s="22"/>
      <c r="Z56" s="22"/>
      <c r="AA56" s="22"/>
      <c r="AB56" s="22"/>
      <c r="AC56" s="22"/>
      <c r="AD56" s="22"/>
      <c r="AE56" s="22"/>
      <c r="AF56" s="22"/>
      <c r="AG56" s="22"/>
    </row>
    <row r="57" spans="2:28" ht="15">
      <c r="B57" s="1232" t="str">
        <f>IF(Start!I23="You must specify if irreplaceable habitats are on-site at baseline ▲","You must specify if irreplaceable habitats are on-site at baseline ▲","")</f>
        <v/>
      </c>
      <c r="C57" s="1232"/>
      <c r="D57" s="1232"/>
      <c r="E57" s="1232"/>
      <c r="F57" s="1232"/>
      <c r="G57" s="1232"/>
      <c r="H57" s="1232"/>
      <c r="I57" s="1232"/>
      <c r="J57" s="29"/>
      <c r="K57" s="29"/>
      <c r="L57" s="29"/>
      <c r="M57" s="29"/>
      <c r="X57" s="28"/>
      <c r="Y57" s="28"/>
      <c r="Z57" s="28"/>
      <c r="AA57" s="28"/>
      <c r="AB57" s="28"/>
    </row>
    <row r="58" spans="2:28" ht="33.65" customHeight="1">
      <c r="B58" s="1232" t="str" cm="1">
        <f t="array" ref="B58">IF(OR('A-1 On-Site Habitat Baseline'!X11:X258="Any Loss Unacceptable ▲",'D-1 Off-Site Habitat Baseline'!AA11:AA258="Any Loss Unacceptable ▲",'C-1 On-Site WaterC'' Baseline'!Z10:Z257="Any Loss Unacceptable ▲",'F-1 Off-Site WaterC'' Baseline'!AC10:AC256="Any Loss Unacceptable ▲",'A-1 On-Site Habitat Baseline'!X11:X258="Bespoke compensation must be agreed  ▲",'D-1 Off-Site Habitat Baseline'!AA11:AA258="Bespoke compensation must be agreed  ▲"),"Unacceptable loss of irreplaceable habitat recorded - no bespoke compensation for losses has been agreed  ▲","")</f>
        <v/>
      </c>
      <c r="C58" s="1232"/>
      <c r="D58" s="1232"/>
      <c r="E58" s="1232"/>
      <c r="F58" s="1232"/>
      <c r="G58" s="1232"/>
      <c r="H58" s="1232"/>
      <c r="I58" s="1232"/>
      <c r="J58" s="29"/>
      <c r="K58" s="29"/>
      <c r="L58" s="29"/>
      <c r="M58" s="29"/>
      <c r="X58" s="28"/>
      <c r="Y58" s="28"/>
      <c r="Z58" s="28"/>
      <c r="AA58" s="28"/>
      <c r="AB58" s="28"/>
    </row>
    <row r="59" spans="2:28" ht="17.15" customHeight="1" thickBot="1">
      <c r="B59" s="1253" t="str" cm="1">
        <f t="array" ref="B59">IF(OR('A-2 On-Site Habitat Creation'!K6:L6="Error - Area created does not equal area lost ▲",'D-2 Off-Site Habitat Creation'!L6="Error - Area created does not equal area lost ▲"),"Area created must match area lost for both onsite and offsite ▲","")</f>
        <v/>
      </c>
      <c r="C59" s="1253"/>
      <c r="D59" s="1253"/>
      <c r="E59" s="1253"/>
      <c r="F59" s="1253"/>
      <c r="G59" s="1253"/>
      <c r="H59" s="1253"/>
      <c r="I59" s="1253"/>
      <c r="J59" s="29"/>
      <c r="K59" s="29"/>
      <c r="L59" s="29"/>
      <c r="M59" s="29"/>
      <c r="X59" s="28"/>
      <c r="Y59" s="28"/>
      <c r="Z59" s="28"/>
      <c r="AA59" s="28"/>
      <c r="AB59" s="28"/>
    </row>
    <row r="60" spans="2:10" ht="23.9" customHeight="1" thickBot="1">
      <c r="B60" s="1229" t="s">
        <v>68</v>
      </c>
      <c r="C60" s="1230"/>
      <c r="D60" s="419" t="s">
        <v>69</v>
      </c>
      <c r="E60" s="420" t="s">
        <v>70</v>
      </c>
      <c r="F60" s="1231" t="s">
        <v>71</v>
      </c>
      <c r="G60" s="1231"/>
      <c r="H60" s="1231" t="s">
        <v>72</v>
      </c>
      <c r="I60" s="1271"/>
      <c r="J60" s="418"/>
    </row>
    <row r="61" spans="2:11" ht="17.5">
      <c r="B61" s="1174" t="s">
        <v>52</v>
      </c>
      <c r="C61" s="1175"/>
      <c r="D61" s="501">
        <f>Start!F22</f>
        <v>0.10</v>
      </c>
      <c r="E61" s="497">
        <f>H8</f>
        <v>20.029840000000007</v>
      </c>
      <c r="F61" s="1214">
        <f>IFERROR(E61*(1+D61),"Error ▲")</f>
        <v>22.03282400000001</v>
      </c>
      <c r="G61" s="1214"/>
      <c r="H61" s="1214">
        <f>IF(B19="Error - off-site gain sites must be postive ▲","Error ▲",IFERROR(IF(H32="N/A",(IF(F61-(H12+(H28))&lt;0,0,F61-(H12+(H28)))),(IF(F61-(H12+H32)&lt;0,0,F61-(H12+H32)))),"Error ▲"))</f>
        <v>0</v>
      </c>
      <c r="I61" s="1215"/>
      <c r="J61" s="1197" t="str">
        <f>IF(H61=0,"No additional area habitat units required to meet target  ✓"," ")</f>
        <v>No additional area habitat units required to meet target  ✓</v>
      </c>
      <c r="K61" s="1197"/>
    </row>
    <row r="62" spans="2:11" ht="17.5">
      <c r="B62" s="1178" t="s">
        <v>53</v>
      </c>
      <c r="C62" s="1179"/>
      <c r="D62" s="500">
        <f>Start!F22</f>
        <v>0.10</v>
      </c>
      <c r="E62" s="498">
        <f>H9</f>
        <v>1.2694</v>
      </c>
      <c r="F62" s="1195">
        <f>IFERROR(E62*(1+D62),"Error ▲")</f>
        <v>1.3963400000000001</v>
      </c>
      <c r="G62" s="1195"/>
      <c r="H62" s="1195">
        <f>IF(B19="Error - off-site gain sites must be postive ▲","Error ▲",IFERROR(IF(H33="N/A",(IF(F62-(H13+(H29))&lt;0,0,F62-(H13+(H29)))),(IF(F62-(H13+H33)&lt;0,0,F62-(H13+H33)))),"Error ▲"))</f>
        <v>0</v>
      </c>
      <c r="I62" s="1207"/>
      <c r="J62" s="1197" t="str">
        <f>IF(H62=0,"No additional hedgerow units required to meet target  ✓"," ")</f>
        <v>No additional hedgerow units required to meet target  ✓</v>
      </c>
      <c r="K62" s="1197"/>
    </row>
    <row r="63" spans="2:11" ht="18" thickBot="1">
      <c r="B63" s="1182" t="s">
        <v>54</v>
      </c>
      <c r="C63" s="1183"/>
      <c r="D63" s="502">
        <f>Start!F22</f>
        <v>0.10</v>
      </c>
      <c r="E63" s="499">
        <f>H10</f>
        <v>0.06688</v>
      </c>
      <c r="F63" s="1196">
        <f>IFERROR(E63*(1+D63),"Error ▲")</f>
        <v>0.073568</v>
      </c>
      <c r="G63" s="1196"/>
      <c r="H63" s="1196">
        <f>IF(B19="Error - off-site gain sites must be postive ▲","Error ▲",IFERROR(IF(H34="N/A",(IF(F63-(H14+(H30))&lt;0,0,F63-(H14+(H30)))),(IF(F63-(H14+H34)&lt;0,0,F63-(H14+H34)))),"Error ▲"))</f>
        <v>0.0066879999999999995</v>
      </c>
      <c r="I63" s="1226"/>
      <c r="J63" s="1197" t="str">
        <f>IF(H63=0,"No additional watercourse units required to meet target  ✓"," ")</f>
        <v xml:space="preserve"> </v>
      </c>
      <c r="K63" s="1197"/>
    </row>
    <row r="64" spans="2:9" ht="14">
      <c r="B64" s="1254"/>
      <c r="C64" s="1254"/>
      <c r="D64" s="1254"/>
      <c r="E64" s="1254"/>
      <c r="F64" s="1254"/>
      <c r="G64" s="1254"/>
      <c r="H64" s="1254"/>
      <c r="I64" s="1254"/>
    </row>
    <row r="65" spans="2:9" ht="26.15" customHeight="1">
      <c r="B65" s="1255"/>
      <c r="C65" s="1255"/>
      <c r="D65" s="1255"/>
      <c r="E65" s="1255"/>
      <c r="F65" s="1255"/>
      <c r="G65" s="1255"/>
      <c r="H65" s="1255"/>
      <c r="I65" s="1255"/>
    </row>
    <row r="66" ht="15.75" customHeight="1" hidden="1"/>
    <row r="67" ht="15.75" customHeight="1" hidden="1"/>
    <row r="68" ht="15.75" customHeight="1" hidden="1"/>
    <row r="69" ht="15.75" customHeight="1" hidden="1"/>
    <row r="70" ht="15.75" customHeight="1" hidden="1"/>
    <row r="71" ht="15.75" customHeight="1" hidden="1"/>
    <row r="72" ht="15.75" customHeight="1" hidden="1"/>
    <row r="73" ht="15.75" customHeight="1" hidden="1"/>
    <row r="74" ht="15.75" customHeight="1" hidden="1"/>
    <row r="75" ht="15.75" customHeight="1" hidden="1"/>
    <row r="76" ht="15.75" customHeight="1" hidden="1"/>
    <row r="77" ht="15.75" customHeight="1" hidden="1"/>
    <row r="78" ht="15.75" customHeight="1" hidden="1"/>
    <row r="79" ht="15.75" customHeight="1" hidden="1"/>
    <row r="80" ht="15.75" customHeight="1" hidden="1"/>
    <row r="81" ht="15.75" customHeight="1" hidden="1"/>
    <row r="82" ht="15.75" customHeight="1" hidden="1"/>
    <row r="83" ht="15.75" customHeight="1" hidden="1"/>
    <row r="94" spans="2:9" ht="14.9" customHeight="1">
      <c r="B94" s="1257" t="str" cm="1">
        <f t="array" ca="1" aca="1" ref="B94">IF(OR(ISNUMBER(SEARCH("▲",A1:K64))),"Input errors/rule breaks present in metric ▲",IF(OR(ISNUMBER(SEARCH("▲",'A-1 On-Site Habitat Baseline'!D1:AB261))),"Input errors/rule breaks present in metric ▲",IF(OR(ISNUMBER(SEARCH("▲",'A-2 On-Site Habitat Creation'!D1:AB259))),"Input errors/rule breaks present in metric ▲",IF(OR(ISNUMBER(SEARCH("▲",'A-3 On-Site Habitat Enhancement'!E1:AR261))),"Input errors/rule breaks present in metric ▲",IF(OR(ISNUMBER(SEARCH("▲",'D-1 Off-Site Habitat Baseline'!D1:AF264))),"Input errors/rule breaks present in metric ▲",IF(OR(ISNUMBER(SEARCH("▲",'D-2 Off-Site Habitat Creation'!D1:AG262))),"Input errors/rule breaks present in metric ▲",IF(OR(ISNUMBER(SEARCH("▲",'D-3 Off-Site Habitat Enhancment'!E1:AU262))),"Input errors/rule breaks present in metric ▲",IF(OR(ISNUMBER(SEARCH("▲",'B-1 On-Site Hedge Baseline'!A1:X263))),"Input errors/rule breaks present in metric ▲",IF(OR(ISNUMBER(SEARCH("▲",'B-3 On-Site Hedge Enhancement'!A1:AK264))),"Input errors/rule breaks present in metric ▲",IF(OR(ISNUMBER(SEARCH("▲",'B-2 On-Site Hedge Creation'!A1:Z262))),"Input errors/rule breaks present in metric ▲",IF(OR(ISNUMBER(SEARCH("▲",'E-1 Off-Site Hedge Baseline'!A1:XAB261))),"Input errors/rule breaks present in metric ▲",IF(OR(ISNUMBER(SEARCH("▲",'E-2 Off-Site Hedge Creation'!A1:AE262))),"Input errors/rule breaks present in metric ▲",IF(OR(ISNUMBER(SEARCH("▲",'E-3 Off-Site Hedge Enhancement'!A1:AO261))),"Input errors/rule breaks present in metric ▲",IF(OR(ISNUMBER(SEARCH("▲",'C-1 On-Site WaterC'' Baseline'!A1:AD264))),"Input errors/rule breaks present in metric ▲",IF(OR(ISNUMBER(SEARCH("▲",'C-2 On-Site WaterC'' Creation'!A2:AC261))),"Input errors/rule breaks present in metric ▲",IF(OR(ISNUMBER(SEARCH("▲",'C-3 On-Site WaterC'' Enhancement'!A1:AP262))),"Input errors/rule breaks present in metric ▲",IF(OR(ISNUMBER(SEARCH("▲",'F-1 Off-Site WaterC'' Baseline'!A1:AH263))),"Input errors/rule breaks present in metric ▲",IF(OR(ISNUMBER(SEARCH("▲",'F-2 Off-Site WaterC'' Creation'!A1:AH262))),"Input errors/rule breaks present in metric ▲",IF(OR(ISNUMBER(SEARCH("▲",'F-3 Off-Site WaterC Enhancement'!B1:AT260))),"Input errors/rule breaks present in metric ▲",IF(OR(ISNUMBER(SEARCH("▲",Start!A1:R28))),"Input errors/rule breaks present in metric ▲",""))))))))))))))))))))</f>
        <v>Input errors/rule breaks present in metric ▲</v>
      </c>
      <c r="C94" s="1257"/>
      <c r="D94" s="1257"/>
      <c r="E94" s="1257"/>
      <c r="F94" s="1257"/>
      <c r="G94" s="1257"/>
      <c r="H94" s="1257"/>
      <c r="I94" s="1257"/>
    </row>
    <row r="95" spans="2:9" ht="14.15" customHeight="1" hidden="1">
      <c r="B95" s="1257"/>
      <c r="C95" s="1257"/>
      <c r="D95" s="1257"/>
      <c r="E95" s="1257"/>
      <c r="F95" s="1257"/>
      <c r="G95" s="1257"/>
      <c r="H95" s="1257"/>
      <c r="I95" s="1257"/>
    </row>
    <row r="96" spans="2:9" ht="14.15" customHeight="1" hidden="1">
      <c r="B96" s="1257"/>
      <c r="C96" s="1257"/>
      <c r="D96" s="1257"/>
      <c r="E96" s="1257"/>
      <c r="F96" s="1257"/>
      <c r="G96" s="1257"/>
      <c r="H96" s="1257"/>
      <c r="I96" s="1257"/>
    </row>
    <row r="97" spans="2:9" ht="14.9" customHeight="1">
      <c r="B97" s="1257"/>
      <c r="C97" s="1257"/>
      <c r="D97" s="1257"/>
      <c r="E97" s="1257"/>
      <c r="F97" s="1257"/>
      <c r="G97" s="1257"/>
      <c r="H97" s="1257"/>
      <c r="I97" s="1257"/>
    </row>
    <row r="98" spans="2:9" ht="15" customHeight="1">
      <c r="B98" s="1257"/>
      <c r="C98" s="1257"/>
      <c r="D98" s="1257"/>
      <c r="E98" s="1257"/>
      <c r="F98" s="1257"/>
      <c r="G98" s="1257"/>
      <c r="H98" s="1257"/>
      <c r="I98" s="1257"/>
    </row>
    <row r="99" ht="14"/>
    <row r="100" ht="14"/>
    <row r="107" ht="14"/>
    <row r="110" ht="21.65" customHeight="1" hidden="1"/>
    <row r="113" ht="14"/>
    <row r="114" ht="14"/>
    <row r="115" ht="14"/>
    <row r="116" ht="14"/>
    <row r="117" ht="14"/>
    <row r="118" ht="14"/>
    <row r="119" ht="14"/>
    <row r="120" ht="14"/>
    <row r="121" ht="14"/>
    <row r="122" ht="14"/>
    <row r="123" ht="65.15" customHeight="1" hidden="1"/>
    <row r="124" ht="14"/>
    <row r="125" ht="14"/>
    <row r="126" ht="29.9" customHeight="1" hidden="1"/>
    <row r="127" ht="14"/>
    <row r="128" ht="14"/>
    <row r="129" ht="14"/>
  </sheetData>
  <sheetProtection algorithmName="SHA-512" hashValue="GvJ8gaDF4TvTZy28nizPd6fG/q1/T+KZRf16YkiNwLeqAutBPIFZanpvxWazgQHnw/yfGRHhQ/1ljhzs4P6DVw==" saltValue="+TtVkBfiOVguLttD5RI2qg==" spinCount="100000" sheet="1" objects="1" scenarios="1"/>
  <customSheetViews>
    <customSheetView guid="{8bda793c-c9c5-4fc6-a0a5-f1109f6d4f22}" state="hidden" topLeftCell="A23">
      <selection pane="topLeft" activeCell="D14" sqref="D14"/>
      <pageMargins left="0.75" right="0.75" top="1" bottom="1" header="0.5" footer="0.5"/>
    </customSheetView>
  </customSheetViews>
  <mergeCells count="124">
    <mergeCell ref="B64:I65"/>
    <mergeCell ref="B19:I19"/>
    <mergeCell ref="B94:I98"/>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B60:C60"/>
    <mergeCell ref="F60:G60"/>
    <mergeCell ref="B24:E26"/>
    <mergeCell ref="B20:E22"/>
    <mergeCell ref="F20:G20"/>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F55:I55"/>
    <mergeCell ref="B37:E39"/>
    <mergeCell ref="F37:G37"/>
    <mergeCell ref="H37:I37"/>
    <mergeCell ref="B59:I59"/>
    <mergeCell ref="U12:V13"/>
    <mergeCell ref="F13:G13"/>
    <mergeCell ref="H13:I13"/>
    <mergeCell ref="F14:G14"/>
    <mergeCell ref="H14:I14"/>
    <mergeCell ref="J47:K47"/>
    <mergeCell ref="J48:K48"/>
    <mergeCell ref="F16:G16"/>
    <mergeCell ref="H16:I16"/>
    <mergeCell ref="F17:G17"/>
    <mergeCell ref="H33:I33"/>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39:G39"/>
    <mergeCell ref="H39:I39"/>
    <mergeCell ref="F38:G38"/>
    <mergeCell ref="H38:I3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H20:I20"/>
    <mergeCell ref="B28:E30"/>
    <mergeCell ref="F28:G28"/>
    <mergeCell ref="H28:I28"/>
    <mergeCell ref="F2:I5"/>
    <mergeCell ref="H17:I17"/>
    <mergeCell ref="F18:G18"/>
    <mergeCell ref="H18:I18"/>
    <mergeCell ref="F29:G29"/>
    <mergeCell ref="H29:I29"/>
    <mergeCell ref="F30:G30"/>
    <mergeCell ref="H30:I30"/>
    <mergeCell ref="H24:I24"/>
    <mergeCell ref="F24:G24"/>
    <mergeCell ref="B41:E43"/>
    <mergeCell ref="F41:G41"/>
    <mergeCell ref="H41:I41"/>
    <mergeCell ref="F42:G42"/>
    <mergeCell ref="H42:I42"/>
    <mergeCell ref="F43:G43"/>
    <mergeCell ref="H43:I43"/>
    <mergeCell ref="B45:I45"/>
    <mergeCell ref="B54:D54"/>
    <mergeCell ref="B51:E53"/>
    <mergeCell ref="F51:G51"/>
    <mergeCell ref="F48:G48"/>
    <mergeCell ref="B44:I44"/>
  </mergeCells>
  <conditionalFormatting sqref="K58:L59">
    <cfRule type="cellIs" priority="167" dxfId="1271" operator="lessThan">
      <formula>0</formula>
    </cfRule>
    <cfRule type="cellIs" priority="168" dxfId="1270" operator="greaterThan">
      <formula>0</formula>
    </cfRule>
  </conditionalFormatting>
  <conditionalFormatting sqref="H47:I47">
    <cfRule type="cellIs" priority="160" dxfId="1273" operator="equal">
      <formula>"Error"</formula>
    </cfRule>
  </conditionalFormatting>
  <conditionalFormatting sqref="H51:I51">
    <cfRule type="expression" priority="25" dxfId="1268">
      <formula>$H$8=0</formula>
    </cfRule>
    <cfRule type="expression" priority="143" dxfId="1267">
      <formula>AND(OR($H$8&gt;0,$H$20&gt;0),$H$51&lt;0.1)</formula>
    </cfRule>
  </conditionalFormatting>
  <conditionalFormatting sqref="L27:L35 L37:L44">
    <cfRule type="cellIs" priority="158" dxfId="1266" operator="greaterThan">
      <formula>0</formula>
    </cfRule>
  </conditionalFormatting>
  <conditionalFormatting sqref="L8:L9">
    <cfRule type="cellIs" priority="157" dxfId="1273" operator="equal">
      <formula>"Error"</formula>
    </cfRule>
  </conditionalFormatting>
  <conditionalFormatting sqref="L11">
    <cfRule type="cellIs" priority="156" dxfId="1273" operator="equal">
      <formula>"Error"</formula>
    </cfRule>
  </conditionalFormatting>
  <conditionalFormatting sqref="L13:L18">
    <cfRule type="cellIs" priority="154" dxfId="1273" operator="equal">
      <formula>"Error"</formula>
    </cfRule>
  </conditionalFormatting>
  <conditionalFormatting sqref="H52:I53">
    <cfRule type="cellIs" priority="148" dxfId="1273" operator="equal">
      <formula>"Error"</formula>
    </cfRule>
  </conditionalFormatting>
  <conditionalFormatting sqref="H52:I53">
    <cfRule type="cellIs" priority="147" dxfId="1273" operator="equal">
      <formula>"Error"</formula>
    </cfRule>
  </conditionalFormatting>
  <conditionalFormatting sqref="H52:I52">
    <cfRule type="expression" priority="23" dxfId="1268">
      <formula>$H$9=0</formula>
    </cfRule>
    <cfRule type="expression" priority="146" dxfId="1267">
      <formula>AND(OR($H$9&gt;0,$H$21&gt;0),$H$52&lt;0.1)</formula>
    </cfRule>
  </conditionalFormatting>
  <conditionalFormatting sqref="H53:I53">
    <cfRule type="expression" priority="22" dxfId="1268">
      <formula>$H$10=0</formula>
    </cfRule>
    <cfRule type="expression" priority="144" dxfId="1257">
      <formula>AND(OR($H$10&gt;0,$H$22&gt;0),$H$53&lt;0.1)</formula>
    </cfRule>
  </conditionalFormatting>
  <conditionalFormatting sqref="H8:I15 H20:I26 H47:I53">
    <cfRule type="containsText" priority="21" dxfId="1257" operator="containsText" text="Check">
      <formula>NOT(ISERROR(SEARCH("Check",H8)))</formula>
    </cfRule>
    <cfRule type="containsText" priority="448" dxfId="1273" operator="containsText" text="Error">
      <formula>NOT(ISERROR(SEARCH("Error",H8)))</formula>
    </cfRule>
  </conditionalFormatting>
  <conditionalFormatting sqref="F55:I55">
    <cfRule type="containsText" priority="133" dxfId="1273" operator="containsText" text="No">
      <formula>NOT(ISERROR(SEARCH("No",F55)))</formula>
    </cfRule>
    <cfRule type="containsText" priority="134" dxfId="1253" operator="containsText" text="Yes">
      <formula>NOT(ISERROR(SEARCH("Yes",F55)))</formula>
    </cfRule>
  </conditionalFormatting>
  <conditionalFormatting sqref="K15 J51:J53">
    <cfRule type="containsText" priority="111" dxfId="1281" operator="containsText" text="⚠">
      <formula>NOT(ISERROR(SEARCH("⚠",J15)))</formula>
    </cfRule>
  </conditionalFormatting>
  <conditionalFormatting sqref="B57:I57">
    <cfRule type="containsText" priority="109" dxfId="1273" operator="containsText" text="▲">
      <formula>NOT(ISERROR(SEARCH("▲",B57)))</formula>
    </cfRule>
  </conditionalFormatting>
  <conditionalFormatting sqref="H28:I30">
    <cfRule type="containsText" priority="107" dxfId="1281" operator="containsText" text="Check">
      <formula>NOT(ISERROR(SEARCH("Check",H28)))</formula>
    </cfRule>
    <cfRule type="containsText" priority="108" dxfId="1273" operator="containsText" text="Error">
      <formula>NOT(ISERROR(SEARCH("Error",H28)))</formula>
    </cfRule>
  </conditionalFormatting>
  <conditionalFormatting sqref="H32:I34">
    <cfRule type="containsText" priority="105" dxfId="1281" operator="containsText" text="Check">
      <formula>NOT(ISERROR(SEARCH("Check",H32)))</formula>
    </cfRule>
    <cfRule type="containsText" priority="106" dxfId="1279" operator="containsText" text="Error">
      <formula>NOT(ISERROR(SEARCH("Error",H32)))</formula>
    </cfRule>
  </conditionalFormatting>
  <conditionalFormatting sqref="L20:M26">
    <cfRule type="containsText" priority="103" dxfId="1281" operator="containsText" text="Check">
      <formula>NOT(ISERROR(SEARCH("Check",L20)))</formula>
    </cfRule>
    <cfRule type="containsText" priority="104" dxfId="1273" operator="containsText" text="Error">
      <formula>NOT(ISERROR(SEARCH("Error",L20)))</formula>
    </cfRule>
  </conditionalFormatting>
  <conditionalFormatting sqref="D61:I63">
    <cfRule type="containsText" priority="101" dxfId="1281" operator="containsText" text="Check">
      <formula>NOT(ISERROR(SEARCH("Check",D61)))</formula>
    </cfRule>
    <cfRule type="containsText" priority="102" dxfId="1273" operator="containsText" text="Error">
      <formula>NOT(ISERROR(SEARCH("Error",D61)))</formula>
    </cfRule>
  </conditionalFormatting>
  <conditionalFormatting sqref="J61:K63">
    <cfRule type="containsBlanks" priority="99" dxfId="1242">
      <formula>LEN(TRIM(J61))=0</formula>
    </cfRule>
    <cfRule type="containsText" priority="100" dxfId="1282" operator="containsText" text="✓">
      <formula>NOT(ISERROR(SEARCH("✓",J61)))</formula>
    </cfRule>
  </conditionalFormatting>
  <conditionalFormatting sqref="B58:I58">
    <cfRule type="containsText" priority="98" dxfId="1273" operator="containsText" text="▲">
      <formula>NOT(ISERROR(SEARCH("▲",B58)))</formula>
    </cfRule>
  </conditionalFormatting>
  <conditionalFormatting sqref="B56:I56">
    <cfRule type="containsText" priority="97" dxfId="1281" operator="containsText" text="⚠">
      <formula>NOT(ISERROR(SEARCH("⚠",B56)))</formula>
    </cfRule>
  </conditionalFormatting>
  <conditionalFormatting sqref="F2:I5">
    <cfRule type="containsText" priority="30" dxfId="1273" operator="containsText" text="▲">
      <formula>NOT(ISERROR(SEARCH("▲",F2)))</formula>
    </cfRule>
    <cfRule type="containsText" priority="96" dxfId="1281" operator="containsText" text="⚠">
      <formula>NOT(ISERROR(SEARCH("⚠",F2)))</formula>
    </cfRule>
  </conditionalFormatting>
  <conditionalFormatting sqref="H51:I53">
    <cfRule type="containsText" priority="1" dxfId="1273" operator="containsText" text="Error">
      <formula>NOT(ISERROR(SEARCH("Error",H51)))</formula>
    </cfRule>
    <cfRule type="containsText" priority="141" dxfId="1281" operator="containsText" text="N/A">
      <formula>NOT(ISERROR(SEARCH("N/A",H51)))</formula>
    </cfRule>
    <cfRule type="cellIs" priority="142" dxfId="1273" operator="lessThan">
      <formula>0</formula>
    </cfRule>
  </conditionalFormatting>
  <conditionalFormatting sqref="K16:K18">
    <cfRule type="containsText" priority="27" dxfId="1281" operator="containsText" text="cannot be calculated">
      <formula>NOT(ISERROR(SEARCH("cannot be calculated",K16)))</formula>
    </cfRule>
    <cfRule type="containsText" priority="92" dxfId="1281" operator="containsText" text="⚠">
      <formula>NOT(ISERROR(SEARCH("⚠",K16)))</formula>
    </cfRule>
  </conditionalFormatting>
  <conditionalFormatting sqref="J16">
    <cfRule type="expression" priority="15" dxfId="1231">
      <formula>$H$8=0</formula>
    </cfRule>
    <cfRule type="cellIs" priority="85" dxfId="1267" operator="lessThan">
      <formula>0</formula>
    </cfRule>
    <cfRule type="containsText" priority="87" dxfId="1267" operator="containsText" text="Check">
      <formula>NOT(ISERROR(SEARCH("Check",J16)))</formula>
    </cfRule>
    <cfRule type="containsText" priority="90" dxfId="1273" operator="containsText" text="Error">
      <formula>NOT(ISERROR(SEARCH("Error",J16)))</formula>
    </cfRule>
  </conditionalFormatting>
  <conditionalFormatting sqref="J16">
    <cfRule type="expression" priority="88" dxfId="1267">
      <formula>AND($H$8&gt;0,$H$16&lt;0.1)</formula>
    </cfRule>
    <cfRule type="expression" priority="89" dxfId="1253">
      <formula>AND($H$8&gt;0,$H$16&gt;=0.1)</formula>
    </cfRule>
  </conditionalFormatting>
  <conditionalFormatting sqref="J16:J18">
    <cfRule type="containsText" priority="28" dxfId="1281" operator="containsText" text="N/A">
      <formula>NOT(ISERROR(SEARCH("N/A",J16)))</formula>
    </cfRule>
    <cfRule type="cellIs" priority="79" dxfId="1267" operator="lessThan">
      <formula>0</formula>
    </cfRule>
    <cfRule type="containsText" priority="81" dxfId="1267" operator="containsText" text="Check">
      <formula>NOT(ISERROR(SEARCH("Check",J16)))</formula>
    </cfRule>
    <cfRule type="containsText" priority="84" dxfId="1273" operator="containsText" text="Error">
      <formula>NOT(ISERROR(SEARCH("Error",J16)))</formula>
    </cfRule>
  </conditionalFormatting>
  <conditionalFormatting sqref="J16:J18">
    <cfRule type="expression" priority="82" dxfId="1267">
      <formula>AND($H$8&gt;0,$H$16&lt;0.1)</formula>
    </cfRule>
    <cfRule type="expression" priority="83" dxfId="1253">
      <formula>AND($H$8&gt;0,$H$16&gt;=0.1)</formula>
    </cfRule>
  </conditionalFormatting>
  <conditionalFormatting sqref="J18">
    <cfRule type="expression" priority="13" dxfId="1231">
      <formula>$H$10=0</formula>
    </cfRule>
    <cfRule type="cellIs" priority="73" dxfId="1267" operator="lessThan">
      <formula>0</formula>
    </cfRule>
    <cfRule type="containsText" priority="75" dxfId="1267" operator="containsText" text="Check">
      <formula>NOT(ISERROR(SEARCH("Check",J18)))</formula>
    </cfRule>
    <cfRule type="containsText" priority="78" dxfId="1273" operator="containsText" text="Error">
      <formula>NOT(ISERROR(SEARCH("Error",J18)))</formula>
    </cfRule>
  </conditionalFormatting>
  <conditionalFormatting sqref="J18">
    <cfRule type="expression" priority="76" dxfId="1267">
      <formula>AND($H$8&gt;0,$H$16&lt;0.1)</formula>
    </cfRule>
    <cfRule type="expression" priority="77" dxfId="1253">
      <formula>AND($H$8&gt;0,$H$16&gt;=0.1)</formula>
    </cfRule>
  </conditionalFormatting>
  <conditionalFormatting sqref="H16:I18">
    <cfRule type="containsText" priority="69" dxfId="1267" operator="containsText" text="Check">
      <formula>NOT(ISERROR(SEARCH("Check",H16)))</formula>
    </cfRule>
    <cfRule type="containsText" priority="70" dxfId="1273" operator="containsText" text="Error">
      <formula>NOT(ISERROR(SEARCH("Error",H16)))</formula>
    </cfRule>
  </conditionalFormatting>
  <conditionalFormatting sqref="J28">
    <cfRule type="expression" priority="12" dxfId="1231">
      <formula>$H$20=0</formula>
    </cfRule>
    <cfRule type="cellIs" priority="61" dxfId="1273" operator="lessThan">
      <formula>0</formula>
    </cfRule>
    <cfRule type="containsText" priority="63" dxfId="1267" operator="containsText" text="Check">
      <formula>NOT(ISERROR(SEARCH("Check",J28)))</formula>
    </cfRule>
    <cfRule type="containsText" priority="66" dxfId="1273" operator="containsText" text="Error">
      <formula>NOT(ISERROR(SEARCH("Error",J28)))</formula>
    </cfRule>
  </conditionalFormatting>
  <conditionalFormatting sqref="J29">
    <cfRule type="expression" priority="11" dxfId="1231">
      <formula>$H$21=0</formula>
    </cfRule>
    <cfRule type="cellIs" priority="55" dxfId="1273" operator="lessThan">
      <formula>0</formula>
    </cfRule>
    <cfRule type="containsText" priority="57" dxfId="1267" operator="containsText" text="Check">
      <formula>NOT(ISERROR(SEARCH("Check",J29)))</formula>
    </cfRule>
    <cfRule type="containsText" priority="60" dxfId="1273" operator="containsText" text="Error">
      <formula>NOT(ISERROR(SEARCH("Error",J29)))</formula>
    </cfRule>
  </conditionalFormatting>
  <conditionalFormatting sqref="J30">
    <cfRule type="expression" priority="10" dxfId="1231">
      <formula>$H$22=0</formula>
    </cfRule>
    <cfRule type="cellIs" priority="49" dxfId="1273" operator="lessThan">
      <formula>0</formula>
    </cfRule>
    <cfRule type="containsText" priority="51" dxfId="1267" operator="containsText" text="Check">
      <formula>NOT(ISERROR(SEARCH("Check",J30)))</formula>
    </cfRule>
    <cfRule type="containsText" priority="54" dxfId="1273" operator="containsText" text="Error">
      <formula>NOT(ISERROR(SEARCH("Error",J30)))</formula>
    </cfRule>
  </conditionalFormatting>
  <conditionalFormatting sqref="D36 H36">
    <cfRule type="cellIs" priority="48" dxfId="1266" operator="greaterThan">
      <formula>0</formula>
    </cfRule>
  </conditionalFormatting>
  <conditionalFormatting sqref="H37:I37">
    <cfRule type="cellIs" priority="47" dxfId="1273" operator="equal">
      <formula>"Error"</formula>
    </cfRule>
  </conditionalFormatting>
  <conditionalFormatting sqref="H37:I39">
    <cfRule type="containsText" priority="45" dxfId="1267" operator="containsText" text="Check">
      <formula>NOT(ISERROR(SEARCH("Check",H37)))</formula>
    </cfRule>
    <cfRule type="containsText" priority="46" dxfId="1273" operator="containsText" text="Error">
      <formula>NOT(ISERROR(SEARCH("Error",H37)))</formula>
    </cfRule>
  </conditionalFormatting>
  <conditionalFormatting sqref="D35 H35">
    <cfRule type="cellIs" priority="44" dxfId="1266" operator="greaterThan">
      <formula>0</formula>
    </cfRule>
  </conditionalFormatting>
  <conditionalFormatting sqref="L36">
    <cfRule type="cellIs" priority="43" dxfId="1266" operator="greaterThan">
      <formula>0</formula>
    </cfRule>
  </conditionalFormatting>
  <conditionalFormatting sqref="D40 H40">
    <cfRule type="cellIs" priority="39" dxfId="1266" operator="greaterThan">
      <formula>0</formula>
    </cfRule>
  </conditionalFormatting>
  <conditionalFormatting sqref="H41:I41">
    <cfRule type="cellIs" priority="38" dxfId="1273" operator="equal">
      <formula>"Error"</formula>
    </cfRule>
  </conditionalFormatting>
  <conditionalFormatting sqref="H41:I43">
    <cfRule type="containsText" priority="36" dxfId="1267" operator="containsText" text="Check">
      <formula>NOT(ISERROR(SEARCH("Check",H41)))</formula>
    </cfRule>
    <cfRule type="containsText" priority="37" dxfId="1273" operator="containsText" text="Error">
      <formula>NOT(ISERROR(SEARCH("Error",H41)))</formula>
    </cfRule>
  </conditionalFormatting>
  <conditionalFormatting sqref="H20:I22">
    <cfRule type="cellIs" priority="29" dxfId="1257" operator="lessThan">
      <formula>0</formula>
    </cfRule>
  </conditionalFormatting>
  <conditionalFormatting sqref="J51:K53">
    <cfRule type="containsText" priority="5" dxfId="1188" operator="containsText" text="▲">
      <formula>NOT(ISERROR(SEARCH("▲",J51)))</formula>
    </cfRule>
    <cfRule type="containsText" priority="26" dxfId="1281" operator="containsText" text="cannot be calculated">
      <formula>NOT(ISERROR(SEARCH("cannot be calculated",J51)))</formula>
    </cfRule>
  </conditionalFormatting>
  <conditionalFormatting sqref="B59:I59">
    <cfRule type="containsText" priority="17" dxfId="1273" operator="containsText" text="▲">
      <formula>NOT(ISERROR(SEARCH("▲",B59)))</formula>
    </cfRule>
  </conditionalFormatting>
  <conditionalFormatting sqref="H61:I63">
    <cfRule type="cellIs" priority="16" dxfId="1273" operator="greaterThan">
      <formula>0</formula>
    </cfRule>
  </conditionalFormatting>
  <conditionalFormatting sqref="J17">
    <cfRule type="expression" priority="14" dxfId="1231">
      <formula>$H$9=0</formula>
    </cfRule>
  </conditionalFormatting>
  <conditionalFormatting sqref="B94:I98">
    <cfRule type="containsText" priority="9" dxfId="1273" operator="containsText" text="error">
      <formula>NOT(ISERROR(SEARCH("error",B94)))</formula>
    </cfRule>
  </conditionalFormatting>
  <conditionalFormatting sqref="K28:K30">
    <cfRule type="containsText" priority="8" dxfId="1281" operator="containsText" text="Zero">
      <formula>NOT(ISERROR(SEARCH("Zero",K28)))</formula>
    </cfRule>
  </conditionalFormatting>
  <conditionalFormatting sqref="B44:I44">
    <cfRule type="containsText" priority="7" dxfId="1281" operator="containsText" text="⚠">
      <formula>NOT(ISERROR(SEARCH("⚠",B44)))</formula>
    </cfRule>
  </conditionalFormatting>
  <conditionalFormatting sqref="J1:J1048576">
    <cfRule type="containsText" priority="6" dxfId="1281" operator="containsText" text="⚠">
      <formula>NOT(ISERROR(SEARCH("⚠",J1)))</formula>
    </cfRule>
  </conditionalFormatting>
  <conditionalFormatting sqref="B19:I19">
    <cfRule type="containsText" priority="3" dxfId="1273" operator="containsText" text="Error - off-site gain sites must be postive ▲">
      <formula>NOT(ISERROR(SEARCH("Error - off-site gain sites must be postive ▲",B19)))</formula>
    </cfRule>
  </conditionalFormatting>
  <conditionalFormatting sqref="J29:J30">
    <cfRule type="containsText" priority="2" dxfId="1273" operator="containsText" text="Error">
      <formula>NOT(ISERROR(SEARCH("Error",J29)))</formula>
    </cfRule>
  </conditionalFormatting>
  <conditionalFormatting sqref="H51:I51">
    <cfRule type="cellIs" priority="159" dxfId="1284" operator="greaterThanOrEqual">
      <formula>Start!$F$22</formula>
    </cfRule>
  </conditionalFormatting>
  <conditionalFormatting sqref="H52:I52">
    <cfRule type="cellIs" priority="135" dxfId="1284" operator="greaterThanOrEqual">
      <formula>Start!$F$22</formula>
    </cfRule>
  </conditionalFormatting>
  <conditionalFormatting sqref="H53:I53">
    <cfRule type="cellIs" priority="145" dxfId="1284" operator="greaterThanOrEqual">
      <formula>Start!$F$22</formula>
    </cfRule>
  </conditionalFormatting>
  <conditionalFormatting sqref="K25:K31 K45:K46 K50">
    <cfRule type="cellIs" priority="149" dxfId="1174" operator="equal">
      <formula>'G-1 All Habitats'!$X$6</formula>
    </cfRule>
    <cfRule type="cellIs" priority="150" dxfId="1173" operator="equal">
      <formula>'G-1 All Habitats'!$X$7</formula>
    </cfRule>
    <cfRule type="cellIs" priority="151" dxfId="1172" operator="equal">
      <formula>'G-1 All Habitats'!$X$5</formula>
    </cfRule>
    <cfRule type="cellIs" priority="152" dxfId="1171" operator="equal">
      <formula>'G-1 All Habitats'!$X$4</formula>
    </cfRule>
    <cfRule type="cellIs" priority="153" dxfId="1285" operator="equal">
      <formula>'G-1 All Habitats'!$X$3</formula>
    </cfRule>
  </conditionalFormatting>
  <conditionalFormatting sqref="K36:K44">
    <cfRule type="cellIs" priority="31" dxfId="1174" operator="equal">
      <formula>'G-1 All Habitats'!$X$6</formula>
    </cfRule>
    <cfRule type="cellIs" priority="32" dxfId="1173" operator="equal">
      <formula>'G-1 All Habitats'!$X$7</formula>
    </cfRule>
    <cfRule type="cellIs" priority="33" dxfId="1172" operator="equal">
      <formula>'G-1 All Habitats'!$X$5</formula>
    </cfRule>
    <cfRule type="cellIs" priority="34" dxfId="1171" operator="equal">
      <formula>'G-1 All Habitats'!$X$4</formula>
    </cfRule>
    <cfRule type="cellIs" priority="35" dxfId="1279" operator="equal">
      <formula>'G-1 All Habitats'!$X$3</formula>
    </cfRule>
  </conditionalFormatting>
  <conditionalFormatting sqref="H51:H53">
    <cfRule type="cellIs" priority="94" dxfId="1285" operator="lessThan">
      <formula>Start!$F$22</formula>
    </cfRule>
  </conditionalFormatting>
  <conditionalFormatting sqref="J16:J18 J28:J30">
    <cfRule type="cellIs" priority="24" dxfId="1286" operator="lessThan">
      <formula>Start!$F$22</formula>
    </cfRule>
  </conditionalFormatting>
  <pageMargins left="0.7" right="0.7" top="0.75" bottom="0.75" header="0.3" footer="0.3"/>
  <pageSetup orientation="landscape" paperSize="9"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2:AG215"/>
  <sheetViews>
    <sheetView zoomScale="80" zoomScaleNormal="80" workbookViewId="0" topLeftCell="A1"/>
  </sheetViews>
  <sheetFormatPr defaultColWidth="8.54428571428571" defaultRowHeight="14" zeroHeight="1"/>
  <cols>
    <col min="1" max="1" width="4.42857142857143" style="447" customWidth="1"/>
    <col min="2" max="2" width="72.5714285714286" style="447" customWidth="1"/>
    <col min="3" max="3" width="13.5714285714286" style="447" customWidth="1"/>
    <col min="4" max="4" width="18.4285714285714" style="447" customWidth="1"/>
    <col min="5" max="5" width="16" style="447" customWidth="1"/>
    <col min="6" max="6" width="14.5714285714286" style="447" customWidth="1"/>
    <col min="7" max="7" width="12.4285714285714" style="447" customWidth="1"/>
    <col min="8" max="8" width="15.5714285714286" style="447" customWidth="1"/>
    <col min="9" max="9" width="16.4285714285714" style="447" customWidth="1"/>
    <col min="10" max="10" width="20.4285714285714" style="447" customWidth="1"/>
    <col min="11" max="11" width="23.4285714285714" style="447" customWidth="1"/>
    <col min="12" max="12" width="28.4285714285714" style="447" customWidth="1"/>
    <col min="13" max="13" width="15" style="447" customWidth="1"/>
    <col min="14" max="14" width="16.4285714285714" style="447" customWidth="1"/>
    <col min="15" max="15" width="11.4285714285714" style="447" customWidth="1"/>
    <col min="16" max="16" width="16.4285714285714" style="447" customWidth="1"/>
    <col min="17" max="17" width="14" style="447" customWidth="1"/>
    <col min="18" max="18" width="12.4285714285714" style="447" customWidth="1"/>
    <col min="19" max="19" width="13.4285714285714" style="447" customWidth="1"/>
    <col min="20" max="20" width="10.5714285714286" style="447" customWidth="1"/>
    <col min="21" max="30" width="8.57142857142857" style="447"/>
    <col min="31" max="31" width="12.4285714285714" style="447" customWidth="1"/>
    <col min="32" max="16384" width="8.57142857142857" style="447"/>
  </cols>
  <sheetData>
    <row r="1" ht="15.75" customHeight="1" thickBot="1"/>
    <row r="2" spans="2:4" ht="22.4" customHeight="1" thickBot="1">
      <c r="B2" s="1319" t="str">
        <f>IF(Start!$F$12="","",Start!$F$12)</f>
        <v>Land east of Calne Road, Lyneham</v>
      </c>
      <c r="C2" s="1320"/>
      <c r="D2" s="1321"/>
    </row>
    <row r="3" spans="2:4" ht="20.15" customHeight="1">
      <c r="B3" s="1326" t="str">
        <f ca="1">MID(CELL("filename",A1),FIND("]",CELL("filename",A1))+1,256)</f>
        <v>Detailed Results</v>
      </c>
      <c r="C3" s="1327"/>
      <c r="D3" s="1328"/>
    </row>
    <row r="4" spans="2:4" ht="21.65" customHeight="1" thickBot="1">
      <c r="B4" s="1329"/>
      <c r="C4" s="1330"/>
      <c r="D4" s="1331"/>
    </row>
    <row r="5" ht="15.75" customHeight="1"/>
    <row r="6" ht="25.5" customHeight="1" thickBot="1"/>
    <row r="7" spans="2:3" ht="18.75" customHeight="1">
      <c r="B7" s="1332" t="s">
        <v>73</v>
      </c>
      <c r="C7" s="1333"/>
    </row>
    <row r="8" spans="2:3" ht="20.25" customHeight="1" thickBot="1">
      <c r="B8" s="1334"/>
      <c r="C8" s="1335"/>
    </row>
    <row r="9" spans="2:18" ht="15.75" customHeight="1" thickBot="1">
      <c r="B9" s="448"/>
      <c r="C9" s="448"/>
      <c r="O9" s="449"/>
      <c r="Q9" s="449"/>
      <c r="R9" s="449"/>
    </row>
    <row r="10" spans="2:19" ht="18" customHeight="1">
      <c r="B10" s="1336" t="s">
        <v>74</v>
      </c>
      <c r="C10" s="1337"/>
      <c r="D10" s="1337"/>
      <c r="E10" s="1338"/>
      <c r="F10" s="1347" t="s">
        <v>52</v>
      </c>
      <c r="G10" s="1348"/>
      <c r="H10" s="1345">
        <f>IFERROR('Headline Results'!$H$47:$I$47,"Check Data ⚠")</f>
        <v>6.227824005922471</v>
      </c>
      <c r="I10" s="1346"/>
      <c r="J10" s="450"/>
      <c r="O10" s="449"/>
      <c r="P10" s="449"/>
      <c r="Q10" s="449"/>
      <c r="R10" s="449"/>
      <c r="S10" s="449"/>
    </row>
    <row r="11" spans="2:9" ht="15.75" customHeight="1">
      <c r="B11" s="1339"/>
      <c r="C11" s="1340"/>
      <c r="D11" s="1340"/>
      <c r="E11" s="1341"/>
      <c r="F11" s="1351" t="s">
        <v>53</v>
      </c>
      <c r="G11" s="1358"/>
      <c r="H11" s="1356">
        <f>IFERROR('Headline Results'!$H$48:$I$48,"Check Data ⚠")</f>
        <v>6.475122960273441</v>
      </c>
      <c r="I11" s="1357"/>
    </row>
    <row r="12" spans="2:9" ht="18.65" customHeight="1" thickBot="1">
      <c r="B12" s="1342"/>
      <c r="C12" s="1343"/>
      <c r="D12" s="1343"/>
      <c r="E12" s="1344"/>
      <c r="F12" s="1322" t="s">
        <v>54</v>
      </c>
      <c r="G12" s="1323"/>
      <c r="H12" s="1324">
        <f>IFERROR('Headline Results'!$H$49:$I$49,"Check Data ⚠")</f>
        <v>0</v>
      </c>
      <c r="I12" s="1325"/>
    </row>
    <row r="13" ht="15.75" customHeight="1" thickBot="1"/>
    <row r="14" spans="2:9" ht="18.75" customHeight="1">
      <c r="B14" s="1336" t="s">
        <v>75</v>
      </c>
      <c r="C14" s="1337"/>
      <c r="D14" s="1337"/>
      <c r="E14" s="1338"/>
      <c r="F14" s="1347" t="s">
        <v>52</v>
      </c>
      <c r="G14" s="1355"/>
      <c r="H14" s="1353">
        <f>IFERROR('Headline Results'!$H$51:$I$51,"Check Data ⚠")</f>
        <v>0.3109272967693436</v>
      </c>
      <c r="I14" s="1354"/>
    </row>
    <row r="15" spans="2:9" ht="18.75" customHeight="1">
      <c r="B15" s="1339"/>
      <c r="C15" s="1340"/>
      <c r="D15" s="1340"/>
      <c r="E15" s="1341"/>
      <c r="F15" s="1351" t="s">
        <v>53</v>
      </c>
      <c r="G15" s="1352"/>
      <c r="H15" s="1349">
        <f>IFERROR('Headline Results'!$H$52:$I$52,"Check Data ⚠")</f>
        <v>5.10093190505234</v>
      </c>
      <c r="I15" s="1350"/>
    </row>
    <row r="16" spans="2:9" ht="18.75" customHeight="1" thickBot="1">
      <c r="B16" s="1342"/>
      <c r="C16" s="1343"/>
      <c r="D16" s="1343"/>
      <c r="E16" s="1344"/>
      <c r="F16" s="1322" t="s">
        <v>54</v>
      </c>
      <c r="G16" s="1361"/>
      <c r="H16" s="1359">
        <f>IFERROR('Headline Results'!$H$53:$I$53,"Check Data ⚠")</f>
        <v>0</v>
      </c>
      <c r="I16" s="1360"/>
    </row>
    <row r="17" ht="18.75" customHeight="1" thickBot="1"/>
    <row r="18" spans="2:9" ht="25.5" customHeight="1">
      <c r="B18" s="1362" t="s">
        <v>76</v>
      </c>
      <c r="C18" s="1362"/>
      <c r="D18" s="1362"/>
      <c r="E18" s="1362"/>
      <c r="F18" s="1362"/>
      <c r="G18" s="1362"/>
      <c r="H18" s="1362"/>
      <c r="I18" s="1362"/>
    </row>
    <row r="19" spans="2:9" ht="22.5" customHeight="1" thickBot="1">
      <c r="B19" s="1363"/>
      <c r="C19" s="1363"/>
      <c r="D19" s="1363"/>
      <c r="E19" s="1363"/>
      <c r="F19" s="1363"/>
      <c r="G19" s="1363"/>
      <c r="H19" s="1363"/>
      <c r="I19" s="1363"/>
    </row>
    <row r="20" spans="2:9" ht="18.75" customHeight="1" thickBot="1">
      <c r="B20" s="1315"/>
      <c r="C20" s="1315"/>
      <c r="D20" s="1318" t="s">
        <v>77</v>
      </c>
      <c r="E20" s="1318"/>
      <c r="F20" s="1318" t="s">
        <v>78</v>
      </c>
      <c r="G20" s="1318"/>
      <c r="H20" s="1318" t="s">
        <v>79</v>
      </c>
      <c r="I20" s="1318"/>
    </row>
    <row r="21" spans="2:9" ht="18.75" customHeight="1">
      <c r="B21" s="1291" t="s">
        <v>80</v>
      </c>
      <c r="C21" s="1292"/>
      <c r="D21" s="1316">
        <f>IFERROR('A-1 On-Site Habitat Baseline'!$H259+'D-1 Off-Site Habitat Baseline'!H259,"Error ▲")</f>
        <v>8.86</v>
      </c>
      <c r="E21" s="1316"/>
      <c r="F21" s="1308">
        <f>'B-1 On-Site Hedge Baseline'!$E$258+'E-1 Off-Site Hedge Baseline'!$E$258</f>
        <v>0.096</v>
      </c>
      <c r="G21" s="1308"/>
      <c r="H21" s="1308">
        <f>'C-1 On-Site WaterC'' Baseline'!$E$258+'F-1 Off-Site WaterC'' Baseline'!$E$258</f>
        <v>0.01</v>
      </c>
      <c r="I21" s="1309"/>
    </row>
    <row r="22" spans="2:9" ht="18.75" customHeight="1" thickBot="1">
      <c r="B22" s="1293" t="s">
        <v>81</v>
      </c>
      <c r="C22" s="1294"/>
      <c r="D22" s="1317">
        <f>IFERROR('A-1 On-Site Habitat Baseline'!$Q259+'D-1 Off-Site Habitat Baseline'!T259,"Error ▲")</f>
        <v>20.029840000000007</v>
      </c>
      <c r="E22" s="1317"/>
      <c r="F22" s="1310">
        <f>'B-1 On-Site Hedge Baseline'!$N$258+'E-1 Off-Site Hedge Baseline'!$Q$258</f>
        <v>1.2694</v>
      </c>
      <c r="G22" s="1310"/>
      <c r="H22" s="1310">
        <f>'C-1 On-Site WaterC'' Baseline'!$R$258+'F-1 Off-Site WaterC'' Baseline'!$U$258</f>
        <v>0.06688</v>
      </c>
      <c r="I22" s="1311"/>
    </row>
    <row r="23" spans="4:8" ht="18.75" customHeight="1" thickBot="1">
      <c r="D23" s="450"/>
      <c r="F23" s="450"/>
      <c r="H23" s="450"/>
    </row>
    <row r="24" spans="2:9" ht="18.75" customHeight="1">
      <c r="B24" s="1291" t="s">
        <v>82</v>
      </c>
      <c r="C24" s="1292"/>
      <c r="D24" s="1316">
        <f>IFERROR('A-1 On-Site Habitat Baseline'!$S259+'D-1 Off-Site Habitat Baseline'!V259,"Error ▲")</f>
        <v>0.6259</v>
      </c>
      <c r="E24" s="1316"/>
      <c r="F24" s="1308">
        <f>'B-1 On-Site Hedge Baseline'!$P$258+'E-1 Off-Site Hedge Baseline'!$S$258</f>
        <v>0.075</v>
      </c>
      <c r="G24" s="1308"/>
      <c r="H24" s="1308">
        <f>'C-1 On-Site WaterC'' Baseline'!U258+'F-1 Off-Site WaterC'' Baseline'!X258</f>
        <v>0.01</v>
      </c>
      <c r="I24" s="1309"/>
    </row>
    <row r="25" spans="2:9" ht="18.75" customHeight="1" thickBot="1">
      <c r="B25" s="1293" t="s">
        <v>83</v>
      </c>
      <c r="C25" s="1294"/>
      <c r="D25" s="1317">
        <f>IFERROR('A-1 On-Site Habitat Baseline'!$U259+'D-1 Off-Site Habitat Baseline'!X259,"Error ▲")</f>
        <v>3.51572</v>
      </c>
      <c r="E25" s="1317"/>
      <c r="F25" s="1310">
        <f>'B-1 On-Site Hedge Baseline'!R258+'E-1 Off-Site Hedge Baseline'!U258</f>
        <v>0.9922000000000002</v>
      </c>
      <c r="G25" s="1310"/>
      <c r="H25" s="1310">
        <f>'C-1 On-Site WaterC'' Baseline'!W258+'F-1 Off-Site WaterC'' Baseline'!Z258</f>
        <v>0.06688</v>
      </c>
      <c r="I25" s="1311"/>
    </row>
    <row r="26" spans="4:8" ht="18.75" customHeight="1" thickBot="1">
      <c r="D26" s="450"/>
      <c r="F26" s="450"/>
      <c r="H26" s="450"/>
    </row>
    <row r="27" spans="2:9" ht="18.75" customHeight="1">
      <c r="B27" s="1291" t="s">
        <v>84</v>
      </c>
      <c r="C27" s="1292"/>
      <c r="D27" s="1316">
        <f>IFERROR('A-1 On-Site Habitat Baseline'!$T259+'D-1 Off-Site Habitat Baseline'!W259,"Error ▲")</f>
        <v>0</v>
      </c>
      <c r="E27" s="1316"/>
      <c r="F27" s="1308">
        <f>'B-1 On-Site Hedge Baseline'!$Q$258+'E-1 Off-Site Hedge Baseline'!$T$258</f>
        <v>0</v>
      </c>
      <c r="G27" s="1308"/>
      <c r="H27" s="1308">
        <f>'C-1 On-Site WaterC'' Baseline'!V258+'F-1 Off-Site WaterC'' Baseline'!Y258</f>
        <v>0</v>
      </c>
      <c r="I27" s="1309"/>
    </row>
    <row r="28" spans="2:9" ht="18.75" customHeight="1" thickBot="1">
      <c r="B28" s="1293" t="s">
        <v>85</v>
      </c>
      <c r="C28" s="1294"/>
      <c r="D28" s="1317">
        <f>IFERROR('A-1 On-Site Habitat Baseline'!$V259+'D-1 Off-Site Habitat Baseline'!Y259,"Error ▲")</f>
        <v>0</v>
      </c>
      <c r="E28" s="1317"/>
      <c r="F28" s="1310">
        <f>'B-1 On-Site Hedge Baseline'!$S$258+'E-1 Off-Site Hedge Baseline'!$V$258</f>
        <v>0</v>
      </c>
      <c r="G28" s="1310"/>
      <c r="H28" s="1310">
        <f>'C-1 On-Site WaterC'' Baseline'!X258+'F-1 Off-Site WaterC'' Baseline'!AA258</f>
        <v>0</v>
      </c>
      <c r="I28" s="1311"/>
    </row>
    <row r="29" spans="4:8" ht="18.75" customHeight="1" thickBot="1">
      <c r="D29" s="450"/>
      <c r="F29" s="450"/>
      <c r="H29" s="450"/>
    </row>
    <row r="30" spans="2:9" ht="18.75" customHeight="1">
      <c r="B30" s="1291" t="s">
        <v>86</v>
      </c>
      <c r="C30" s="1292"/>
      <c r="D30" s="1316">
        <f>IFERROR('A-1 On-Site Habitat Baseline'!$W259+'D-1 Off-Site Habitat Baseline'!Z259,"Error ▲")</f>
        <v>8.2341</v>
      </c>
      <c r="E30" s="1316"/>
      <c r="F30" s="1308">
        <f>'B-1 On-Site Hedge Baseline'!$T$258+'E-1 Off-Site Hedge Baseline'!$W$258</f>
        <v>0.021000000000000005</v>
      </c>
      <c r="G30" s="1308"/>
      <c r="H30" s="1308">
        <f>'C-1 On-Site WaterC'' Baseline'!Y258+'F-1 Off-Site WaterC'' Baseline'!AB258</f>
        <v>0</v>
      </c>
      <c r="I30" s="1309"/>
    </row>
    <row r="31" spans="2:9" ht="18.75" customHeight="1" thickBot="1">
      <c r="B31" s="1293" t="s">
        <v>87</v>
      </c>
      <c r="C31" s="1294"/>
      <c r="D31" s="1317">
        <f>IFERROR('A-1 On-Site Habitat Baseline'!$X259+'D-1 Off-Site Habitat Baseline'!AA259,"Error ▲")</f>
        <v>16.514120000000002</v>
      </c>
      <c r="E31" s="1317"/>
      <c r="F31" s="1310">
        <f>'B-1 On-Site Hedge Baseline'!$U$258+'E-1 Off-Site Hedge Baseline'!$X$258</f>
        <v>0.2772</v>
      </c>
      <c r="G31" s="1310"/>
      <c r="H31" s="1310">
        <f>'C-1 On-Site WaterC'' Baseline'!Z258+'F-1 Off-Site WaterC'' Baseline'!AC258</f>
        <v>0</v>
      </c>
      <c r="I31" s="1311"/>
    </row>
    <row r="32" spans="3:5" ht="26.15" customHeight="1" thickBot="1">
      <c r="C32" s="450"/>
      <c r="D32" s="450"/>
      <c r="E32" s="450"/>
    </row>
    <row r="33" spans="1:5" s="451" customFormat="1" ht="44.15" customHeight="1" thickTop="1" thickBot="1">
      <c r="A33" s="1295" t="s">
        <v>88</v>
      </c>
      <c r="C33" s="452"/>
      <c r="D33" s="452"/>
      <c r="E33" s="452"/>
    </row>
    <row r="34" spans="1:2" ht="25.5" thickBot="1">
      <c r="A34" s="1296"/>
      <c r="B34" s="453" t="s">
        <v>89</v>
      </c>
    </row>
    <row r="35" spans="1:1" ht="18.75" customHeight="1" thickBot="1">
      <c r="A35" s="1296"/>
    </row>
    <row r="36" spans="1:12" ht="22.4" customHeight="1" thickBot="1">
      <c r="A36" s="1296"/>
      <c r="B36" s="1306" t="s">
        <v>90</v>
      </c>
      <c r="C36" s="1306"/>
      <c r="D36" s="1306"/>
      <c r="E36" s="1306"/>
      <c r="F36" s="1306"/>
      <c r="G36" s="1306"/>
      <c r="H36" s="1306"/>
      <c r="J36" s="1272" t="s">
        <v>91</v>
      </c>
      <c r="K36" s="1273"/>
      <c r="L36" s="1274"/>
    </row>
    <row r="37" spans="1:22" ht="34.4" customHeight="1" thickBot="1">
      <c r="A37" s="1296"/>
      <c r="B37" s="454"/>
      <c r="C37" s="1290" t="s">
        <v>92</v>
      </c>
      <c r="D37" s="1290"/>
      <c r="E37" s="1290" t="s">
        <v>93</v>
      </c>
      <c r="F37" s="1290"/>
      <c r="G37" s="1290" t="s">
        <v>94</v>
      </c>
      <c r="H37" s="1290"/>
      <c r="J37" s="1275"/>
      <c r="K37" s="1276"/>
      <c r="L37" s="1277"/>
      <c r="U37" s="1364"/>
      <c r="V37" s="1364"/>
    </row>
    <row r="38" spans="1:22" ht="53.15" customHeight="1" thickBot="1">
      <c r="A38" s="1296"/>
      <c r="B38" s="463" t="s">
        <v>95</v>
      </c>
      <c r="C38" s="464" t="s">
        <v>96</v>
      </c>
      <c r="D38" s="464" t="s">
        <v>97</v>
      </c>
      <c r="E38" s="464" t="s">
        <v>98</v>
      </c>
      <c r="F38" s="464" t="s">
        <v>99</v>
      </c>
      <c r="G38" s="464" t="s">
        <v>100</v>
      </c>
      <c r="H38" s="464" t="s">
        <v>101</v>
      </c>
      <c r="J38" s="1288" t="s">
        <v>102</v>
      </c>
      <c r="K38" s="1286" t="s">
        <v>103</v>
      </c>
      <c r="L38" s="1284" t="s">
        <v>104</v>
      </c>
      <c r="U38" s="1364"/>
      <c r="V38" s="1364"/>
    </row>
    <row r="39" spans="1:12" ht="15">
      <c r="A39" s="1296"/>
      <c r="B39" s="465" t="s">
        <v>105</v>
      </c>
      <c r="C39" s="466">
        <f>'G-2 Habitat groups'!$AK$4</f>
        <v>0</v>
      </c>
      <c r="D39" s="466">
        <f>'G-2 Habitat groups'!$AL$4</f>
        <v>0</v>
      </c>
      <c r="E39" s="466">
        <f>'G-2 Habitat groups'!$AM$4</f>
        <v>0</v>
      </c>
      <c r="F39" s="466">
        <f>'G-2 Habitat groups'!$AN$4</f>
        <v>0</v>
      </c>
      <c r="G39" s="466">
        <f>E39-C39</f>
        <v>0</v>
      </c>
      <c r="H39" s="467">
        <f>F39-D39</f>
        <v>0</v>
      </c>
      <c r="J39" s="1289"/>
      <c r="K39" s="1287"/>
      <c r="L39" s="1285"/>
    </row>
    <row r="40" spans="1:12" ht="15">
      <c r="A40" s="1296"/>
      <c r="B40" s="468" t="s">
        <v>106</v>
      </c>
      <c r="C40" s="456">
        <f>'G-2 Habitat groups'!$AK$5</f>
        <v>8.806000000000003</v>
      </c>
      <c r="D40" s="456">
        <f>'G-2 Habitat groups'!$AL$5</f>
        <v>19.472800000000003</v>
      </c>
      <c r="E40" s="456">
        <f>'G-2 Habitat groups'!$AM$5</f>
        <v>3.044</v>
      </c>
      <c r="F40" s="456">
        <f>'G-2 Habitat groups'!$AN$5</f>
        <v>20.546157528408003</v>
      </c>
      <c r="G40" s="456">
        <f t="shared" si="0" ref="G40:G50">E40-C40</f>
        <v>-5.762000000000002</v>
      </c>
      <c r="H40" s="457">
        <f t="shared" si="1" ref="H40:H50">F40-D40</f>
        <v>1.0733575284079997</v>
      </c>
      <c r="J40" s="1282" t="str">
        <f>'G-1 All Habitats'!$V$3</f>
        <v>V.High</v>
      </c>
      <c r="K40" s="1280">
        <f>SUMIF('A-1 On-Site Habitat Baseline'!$I$11:$I$258,'Detailed Results'!J40,'A-1 On-Site Habitat Baseline'!$W$11:$W$258)+SUMIF('D-1 Off-Site Habitat Baseline'!$I$11:$I$258,'Detailed Results'!J40,'D-1 Off-Site Habitat Baseline'!$Z$11:$Z$258)</f>
        <v>0</v>
      </c>
      <c r="L40" s="1278" t="str">
        <f>IF(K40=0,"",(K40/(SUM($K$40:$K$49)))*100)</f>
        <v/>
      </c>
    </row>
    <row r="41" spans="1:12" ht="15">
      <c r="A41" s="1296"/>
      <c r="B41" s="468" t="s">
        <v>107</v>
      </c>
      <c r="C41" s="456">
        <f>'G-2 Habitat groups'!$AK$6</f>
        <v>0</v>
      </c>
      <c r="D41" s="456">
        <f>'G-2 Habitat groups'!$AL$6</f>
        <v>0</v>
      </c>
      <c r="E41" s="456">
        <f>'G-2 Habitat groups'!$AM$6</f>
        <v>0</v>
      </c>
      <c r="F41" s="456">
        <f>'G-2 Habitat groups'!$AN$6</f>
        <v>0</v>
      </c>
      <c r="G41" s="456">
        <f t="shared" si="0"/>
        <v>0</v>
      </c>
      <c r="H41" s="457">
        <f t="shared" si="1"/>
        <v>0</v>
      </c>
      <c r="J41" s="1283"/>
      <c r="K41" s="1281"/>
      <c r="L41" s="1279"/>
    </row>
    <row r="42" spans="1:12" ht="15">
      <c r="A42" s="1296"/>
      <c r="B42" s="468" t="s">
        <v>108</v>
      </c>
      <c r="C42" s="456">
        <f>'G-2 Habitat groups'!$AK$7</f>
        <v>0</v>
      </c>
      <c r="D42" s="456">
        <f>'G-2 Habitat groups'!$AL$7</f>
        <v>0</v>
      </c>
      <c r="E42" s="456">
        <f>'G-2 Habitat groups'!$AM$7</f>
        <v>0</v>
      </c>
      <c r="F42" s="456">
        <f>'G-2 Habitat groups'!$AN$7</f>
        <v>0</v>
      </c>
      <c r="G42" s="456">
        <f t="shared" si="0"/>
        <v>0</v>
      </c>
      <c r="H42" s="457">
        <f t="shared" si="1"/>
        <v>0</v>
      </c>
      <c r="J42" s="1282" t="str">
        <f>'G-1 All Habitats'!$V$4</f>
        <v>High</v>
      </c>
      <c r="K42" s="1280">
        <f>SUMIF('A-1 On-Site Habitat Baseline'!$I$11:$I$258,'Detailed Results'!J42,'A-1 On-Site Habitat Baseline'!$W$11:$W$258)+SUMIF('D-1 Off-Site Habitat Baseline'!$I$11:$I$258,'Detailed Results'!J42,'D-1 Off-Site Habitat Baseline'!$Z$11:$Z$258)</f>
        <v>0</v>
      </c>
      <c r="L42" s="1278" t="str">
        <f>IF(K42=0,"",(K42/(SUM($K$40:$K$49)))*100)</f>
        <v/>
      </c>
    </row>
    <row r="43" spans="1:12" ht="15">
      <c r="A43" s="1296"/>
      <c r="B43" s="468" t="s">
        <v>109</v>
      </c>
      <c r="C43" s="456">
        <f>'G-2 Habitat groups'!$AK$8</f>
        <v>0</v>
      </c>
      <c r="D43" s="456">
        <f>'G-2 Habitat groups'!$AL$8</f>
        <v>0</v>
      </c>
      <c r="E43" s="456">
        <f>'G-2 Habitat groups'!$AM$8</f>
        <v>0</v>
      </c>
      <c r="F43" s="456">
        <f>'G-2 Habitat groups'!$AN$8</f>
        <v>0</v>
      </c>
      <c r="G43" s="456">
        <f t="shared" si="0"/>
        <v>0</v>
      </c>
      <c r="H43" s="457">
        <f t="shared" si="1"/>
        <v>0</v>
      </c>
      <c r="J43" s="1283"/>
      <c r="K43" s="1281"/>
      <c r="L43" s="1279"/>
    </row>
    <row r="44" spans="1:12" ht="15">
      <c r="A44" s="1296"/>
      <c r="B44" s="468" t="s">
        <v>110</v>
      </c>
      <c r="C44" s="456">
        <f>'G-2 Habitat groups'!$AK$9</f>
        <v>0.005</v>
      </c>
      <c r="D44" s="456">
        <f>'G-2 Habitat groups'!$AL$9</f>
        <v>0</v>
      </c>
      <c r="E44" s="456">
        <f>'G-2 Habitat groups'!$AM$9</f>
        <v>5.759</v>
      </c>
      <c r="F44" s="456">
        <f>'G-2 Habitat groups'!$AN$9</f>
        <v>5.14565047985</v>
      </c>
      <c r="G44" s="456">
        <f t="shared" si="0"/>
        <v>5.7540000000000004</v>
      </c>
      <c r="H44" s="457">
        <f t="shared" si="1"/>
        <v>5.14565047985</v>
      </c>
      <c r="J44" s="1282" t="str">
        <f>'G-1 All Habitats'!$V5</f>
        <v>Medium</v>
      </c>
      <c r="K44" s="1280">
        <f>SUMIF('A-1 On-Site Habitat Baseline'!$I$11:$I$258,'Detailed Results'!J44,'A-1 On-Site Habitat Baseline'!$W$11:$W$258)+SUMIF('D-1 Off-Site Habitat Baseline'!$I$11:$I$258,'Detailed Results'!J44,'D-1 Off-Site Habitat Baseline'!$Z$11:$Z$258)</f>
        <v>0.0041</v>
      </c>
      <c r="L44" s="1278">
        <f>IF(K44=0,"",(K44/(SUM($K$40:$K$49)))*100)</f>
        <v>0.04979293426118216</v>
      </c>
    </row>
    <row r="45" spans="1:12" ht="15">
      <c r="A45" s="1296"/>
      <c r="B45" s="468" t="s">
        <v>111</v>
      </c>
      <c r="C45" s="456">
        <f>'G-2 Habitat groups'!$AK$10</f>
        <v>0</v>
      </c>
      <c r="D45" s="456">
        <f>'G-2 Habitat groups'!$AL$10</f>
        <v>0</v>
      </c>
      <c r="E45" s="456">
        <f>'G-2 Habitat groups'!$AM$10</f>
        <v>0</v>
      </c>
      <c r="F45" s="456">
        <f>'G-2 Habitat groups'!$AN$10</f>
        <v>0</v>
      </c>
      <c r="G45" s="456">
        <f t="shared" si="0"/>
        <v>0</v>
      </c>
      <c r="H45" s="457">
        <f t="shared" si="1"/>
        <v>0</v>
      </c>
      <c r="J45" s="1283"/>
      <c r="K45" s="1281"/>
      <c r="L45" s="1279"/>
    </row>
    <row r="46" spans="1:12" ht="15">
      <c r="A46" s="1296"/>
      <c r="B46" s="468" t="s">
        <v>112</v>
      </c>
      <c r="C46" s="456">
        <f>'G-2 Habitat groups'!$AK$11</f>
        <v>0</v>
      </c>
      <c r="D46" s="456">
        <f>'G-2 Habitat groups'!$AL$11</f>
        <v>0</v>
      </c>
      <c r="E46" s="456">
        <f>'G-2 Habitat groups'!$AM$11</f>
        <v>0</v>
      </c>
      <c r="F46" s="456">
        <f>'G-2 Habitat groups'!$AN$11</f>
        <v>0</v>
      </c>
      <c r="G46" s="456">
        <f t="shared" si="0"/>
        <v>0</v>
      </c>
      <c r="H46" s="457">
        <f t="shared" si="1"/>
        <v>0</v>
      </c>
      <c r="J46" s="1282" t="str">
        <f>'G-1 All Habitats'!$V$6</f>
        <v>Low</v>
      </c>
      <c r="K46" s="1280">
        <f>SUMIF('A-1 On-Site Habitat Baseline'!$I$11:$I$258,'Detailed Results'!J46,'A-1 On-Site Habitat Baseline'!$W$11:$W$258)+SUMIF('D-1 Off-Site Habitat Baseline'!$I$11:$I$258,'Detailed Results'!J46,'D-1 Off-Site Habitat Baseline'!$Z$11:$Z$258)</f>
        <v>8.23</v>
      </c>
      <c r="L46" s="1278">
        <f>IF(K46=0,"",(K46/(SUM($K$40:$K$49)))*100)</f>
        <v>99.95020706573882</v>
      </c>
    </row>
    <row r="47" spans="1:12" ht="15">
      <c r="A47" s="1296"/>
      <c r="B47" s="469" t="s">
        <v>113</v>
      </c>
      <c r="C47" s="456">
        <f>'G-2 Habitat groups'!$AK$12</f>
        <v>0</v>
      </c>
      <c r="D47" s="456">
        <f>'G-2 Habitat groups'!$AL$12</f>
        <v>0</v>
      </c>
      <c r="E47" s="456">
        <f>'G-2 Habitat groups'!$AM$12</f>
        <v>0</v>
      </c>
      <c r="F47" s="456">
        <f>'G-2 Habitat groups'!$AN$12</f>
        <v>0</v>
      </c>
      <c r="G47" s="456">
        <f t="shared" si="0"/>
        <v>0</v>
      </c>
      <c r="H47" s="457">
        <f t="shared" si="1"/>
        <v>0</v>
      </c>
      <c r="J47" s="1283"/>
      <c r="K47" s="1281"/>
      <c r="L47" s="1279"/>
    </row>
    <row r="48" spans="1:12" ht="15">
      <c r="A48" s="1296"/>
      <c r="B48" s="469" t="s">
        <v>114</v>
      </c>
      <c r="C48" s="456">
        <f>'G-2 Habitat groups'!$AK$13</f>
        <v>0</v>
      </c>
      <c r="D48" s="456">
        <f>'G-2 Habitat groups'!$AL$13</f>
        <v>0</v>
      </c>
      <c r="E48" s="456">
        <f>'G-2 Habitat groups'!$AM$13</f>
        <v>0</v>
      </c>
      <c r="F48" s="456">
        <f>'G-2 Habitat groups'!$AN$13</f>
        <v>0</v>
      </c>
      <c r="G48" s="456">
        <f t="shared" si="0"/>
        <v>0</v>
      </c>
      <c r="H48" s="457">
        <f t="shared" si="1"/>
        <v>0</v>
      </c>
      <c r="J48" s="1282" t="str">
        <f>'G-1 All Habitats'!$V$7</f>
        <v>V.Low</v>
      </c>
      <c r="K48" s="1280">
        <f>SUMIF('A-1 On-Site Habitat Baseline'!$I$11:$I$258,'Detailed Results'!J48,'A-1 On-Site Habitat Baseline'!$W$11:$W$258)+SUMIF('D-1 Off-Site Habitat Baseline'!$I$11:$I$258,'Detailed Results'!J48,'D-1 Off-Site Habitat Baseline'!$Z$11:$Z$258)</f>
        <v>0</v>
      </c>
      <c r="L48" s="1278" t="str">
        <f>IF(K48=0,"",(K48/(SUM($K$40:$K$49)))*100)</f>
        <v/>
      </c>
    </row>
    <row r="49" spans="1:12" ht="15.5" thickBot="1">
      <c r="A49" s="1296"/>
      <c r="B49" s="469" t="s">
        <v>115</v>
      </c>
      <c r="C49" s="456">
        <f>'G-2 Habitat groups'!$AK$14</f>
        <v>0</v>
      </c>
      <c r="D49" s="456">
        <f>'G-2 Habitat groups'!$AL$14</f>
        <v>0</v>
      </c>
      <c r="E49" s="456">
        <f>'G-2 Habitat groups'!$AM$14</f>
        <v>0</v>
      </c>
      <c r="F49" s="456">
        <f>'G-2 Habitat groups'!$AN$14</f>
        <v>0</v>
      </c>
      <c r="G49" s="456">
        <f t="shared" si="0"/>
        <v>0</v>
      </c>
      <c r="H49" s="457">
        <f t="shared" si="1"/>
        <v>0</v>
      </c>
      <c r="J49" s="1304"/>
      <c r="K49" s="1305"/>
      <c r="L49" s="1307"/>
    </row>
    <row r="50" spans="1:8" ht="15">
      <c r="A50" s="1296"/>
      <c r="B50" s="469" t="s">
        <v>116</v>
      </c>
      <c r="C50" s="456">
        <f>'G-2 Habitat groups'!$AK$15</f>
        <v>0</v>
      </c>
      <c r="D50" s="456">
        <f>'G-2 Habitat groups'!$AL$15</f>
        <v>0</v>
      </c>
      <c r="E50" s="456">
        <f>'G-2 Habitat groups'!$AM$15</f>
        <v>0</v>
      </c>
      <c r="F50" s="456">
        <f>'G-2 Habitat groups'!$AN$15</f>
        <v>0</v>
      </c>
      <c r="G50" s="456">
        <f t="shared" si="0"/>
        <v>0</v>
      </c>
      <c r="H50" s="457">
        <f t="shared" si="1"/>
        <v>0</v>
      </c>
    </row>
    <row r="51" spans="1:8" ht="15">
      <c r="A51" s="1296"/>
      <c r="B51" s="469" t="s">
        <v>117</v>
      </c>
      <c r="C51" s="456">
        <f>'G-2 Habitat groups'!$AK$16</f>
        <v>0</v>
      </c>
      <c r="D51" s="456">
        <f>'G-2 Habitat groups'!$AL$16</f>
        <v>0</v>
      </c>
      <c r="E51" s="456">
        <f>'G-2 Habitat groups'!$AM$16</f>
        <v>0</v>
      </c>
      <c r="F51" s="456">
        <f>'G-2 Habitat groups'!$AN$16</f>
        <v>0</v>
      </c>
      <c r="G51" s="456">
        <f t="shared" si="2" ref="G51:H53">E51-C51</f>
        <v>0</v>
      </c>
      <c r="H51" s="457">
        <f t="shared" si="2"/>
        <v>0</v>
      </c>
    </row>
    <row r="52" spans="1:8" ht="15.75" customHeight="1">
      <c r="A52" s="1296"/>
      <c r="B52" s="478" t="s">
        <v>118</v>
      </c>
      <c r="C52" s="456">
        <f>'G-2 Habitat groups'!$AK$18</f>
        <v>0</v>
      </c>
      <c r="D52" s="456">
        <f>'G-2 Habitat groups'!$AL$18</f>
        <v>0</v>
      </c>
      <c r="E52" s="456">
        <f>'G-2 Habitat groups'!$AM$18</f>
        <v>0</v>
      </c>
      <c r="F52" s="456">
        <f>'G-2 Habitat groups'!$AN$18</f>
        <v>0</v>
      </c>
      <c r="G52" s="456">
        <f t="shared" si="2"/>
        <v>0</v>
      </c>
      <c r="H52" s="457">
        <f t="shared" si="2"/>
        <v>0</v>
      </c>
    </row>
    <row r="53" spans="1:8" ht="15.75" customHeight="1" thickBot="1">
      <c r="A53" s="1296"/>
      <c r="B53" s="479" t="s">
        <v>119</v>
      </c>
      <c r="C53" s="458">
        <f>'G-2 Habitat groups'!$AK$17</f>
        <v>0.049</v>
      </c>
      <c r="D53" s="458">
        <f>'G-2 Habitat groups'!$AL$17</f>
        <v>0.55704</v>
      </c>
      <c r="E53" s="458">
        <f>'G-2 Habitat groups'!$AM$17</f>
        <v>0.06129999999999999</v>
      </c>
      <c r="F53" s="458">
        <f>'G-2 Habitat groups'!$AN$17</f>
        <v>0.56585599766448</v>
      </c>
      <c r="G53" s="458">
        <f t="shared" si="2"/>
        <v>0.012299999999999991</v>
      </c>
      <c r="H53" s="459">
        <f t="shared" si="2"/>
        <v>0.008815997664480046</v>
      </c>
    </row>
    <row r="54" spans="1:1" ht="15.75" customHeight="1">
      <c r="A54" s="1296"/>
    </row>
    <row r="55" spans="1:1" ht="10.4" customHeight="1" thickBot="1">
      <c r="A55" s="1296"/>
    </row>
    <row r="56" spans="1:13" ht="23.15" customHeight="1" thickBot="1">
      <c r="A56" s="1296"/>
      <c r="B56" s="1306" t="s">
        <v>120</v>
      </c>
      <c r="C56" s="1306"/>
      <c r="D56" s="1306"/>
      <c r="E56" s="1306"/>
      <c r="F56" s="1306"/>
      <c r="G56" s="1306"/>
      <c r="H56" s="1306"/>
      <c r="I56" s="460"/>
      <c r="J56" s="460"/>
      <c r="K56" s="460"/>
      <c r="L56" s="460"/>
      <c r="M56" s="460"/>
    </row>
    <row r="57" spans="1:33" s="462" customFormat="1" ht="38.25" customHeight="1" thickBot="1">
      <c r="A57" s="1296"/>
      <c r="B57" s="454"/>
      <c r="C57" s="1290" t="s">
        <v>92</v>
      </c>
      <c r="D57" s="1290"/>
      <c r="E57" s="1290" t="s">
        <v>121</v>
      </c>
      <c r="F57" s="1290"/>
      <c r="G57" s="1290" t="s">
        <v>122</v>
      </c>
      <c r="H57" s="1290"/>
      <c r="I57" s="461"/>
      <c r="J57" s="461"/>
      <c r="K57" s="447"/>
      <c r="L57" s="447"/>
      <c r="M57" s="447"/>
      <c r="N57" s="447"/>
      <c r="O57" s="447"/>
      <c r="P57" s="447"/>
      <c r="Q57" s="447"/>
      <c r="R57" s="447"/>
      <c r="S57" s="447"/>
      <c r="T57" s="447"/>
      <c r="U57" s="447"/>
      <c r="V57" s="447"/>
      <c r="W57" s="447"/>
      <c r="X57" s="447"/>
      <c r="Y57" s="447"/>
      <c r="Z57" s="447"/>
      <c r="AA57" s="447"/>
      <c r="AB57" s="447"/>
      <c r="AC57" s="447"/>
      <c r="AD57" s="447"/>
      <c r="AE57" s="447"/>
      <c r="AF57" s="447"/>
      <c r="AG57" s="447"/>
    </row>
    <row r="58" spans="1:10" ht="48" customHeight="1" thickBot="1">
      <c r="A58" s="1296"/>
      <c r="B58" s="463" t="s">
        <v>95</v>
      </c>
      <c r="C58" s="464" t="s">
        <v>123</v>
      </c>
      <c r="D58" s="464" t="s">
        <v>124</v>
      </c>
      <c r="E58" s="464" t="s">
        <v>125</v>
      </c>
      <c r="F58" s="464" t="s">
        <v>126</v>
      </c>
      <c r="G58" s="464" t="s">
        <v>127</v>
      </c>
      <c r="H58" s="464" t="s">
        <v>128</v>
      </c>
      <c r="I58" s="461"/>
      <c r="J58" s="461"/>
    </row>
    <row r="59" spans="1:10" ht="15">
      <c r="A59" s="1296"/>
      <c r="B59" s="465" t="s">
        <v>105</v>
      </c>
      <c r="C59" s="466">
        <f>'G-2 Habitat groups'!$AK$21</f>
        <v>0</v>
      </c>
      <c r="D59" s="466">
        <f>'G-2 Habitat groups'!$AL$21</f>
        <v>0</v>
      </c>
      <c r="E59" s="466">
        <f>'G-2 Habitat groups'!$AM$21</f>
        <v>0</v>
      </c>
      <c r="F59" s="466">
        <f>'G-2 Habitat groups'!$AN$21</f>
        <v>0</v>
      </c>
      <c r="G59" s="466">
        <f t="shared" si="3" ref="G59:G70">E59-C59</f>
        <v>0</v>
      </c>
      <c r="H59" s="467">
        <f t="shared" si="4" ref="H59:H70">F59-D59</f>
        <v>0</v>
      </c>
      <c r="I59" s="461"/>
      <c r="J59" s="461"/>
    </row>
    <row r="60" spans="1:10" ht="15">
      <c r="A60" s="1296"/>
      <c r="B60" s="468" t="s">
        <v>106</v>
      </c>
      <c r="C60" s="456">
        <f>'G-2 Habitat groups'!$AK$22</f>
        <v>0</v>
      </c>
      <c r="D60" s="456">
        <f>'G-2 Habitat groups'!$AL$22</f>
        <v>0</v>
      </c>
      <c r="E60" s="456">
        <f>'G-2 Habitat groups'!$AM$22</f>
        <v>0</v>
      </c>
      <c r="F60" s="456">
        <f>'G-2 Habitat groups'!$AN$22</f>
        <v>0</v>
      </c>
      <c r="G60" s="456">
        <f t="shared" si="3"/>
        <v>0</v>
      </c>
      <c r="H60" s="457">
        <f t="shared" si="4"/>
        <v>0</v>
      </c>
      <c r="I60" s="461"/>
      <c r="J60" s="461"/>
    </row>
    <row r="61" spans="1:10" ht="15.75" customHeight="1">
      <c r="A61" s="1296"/>
      <c r="B61" s="468" t="s">
        <v>107</v>
      </c>
      <c r="C61" s="456">
        <f>'G-2 Habitat groups'!$AK$23</f>
        <v>0</v>
      </c>
      <c r="D61" s="456">
        <f>'G-2 Habitat groups'!$AL$23</f>
        <v>0</v>
      </c>
      <c r="E61" s="456">
        <f>'G-2 Habitat groups'!$AM$23</f>
        <v>0</v>
      </c>
      <c r="F61" s="456">
        <f>'G-2 Habitat groups'!$AN$23</f>
        <v>0</v>
      </c>
      <c r="G61" s="456">
        <f t="shared" si="3"/>
        <v>0</v>
      </c>
      <c r="H61" s="457">
        <f t="shared" si="4"/>
        <v>0</v>
      </c>
      <c r="I61" s="461"/>
      <c r="J61" s="461"/>
    </row>
    <row r="62" spans="1:10" ht="15">
      <c r="A62" s="1296"/>
      <c r="B62" s="468" t="s">
        <v>108</v>
      </c>
      <c r="C62" s="456">
        <f>'G-2 Habitat groups'!$AK$24</f>
        <v>0</v>
      </c>
      <c r="D62" s="456">
        <f>'G-2 Habitat groups'!$AL$24</f>
        <v>0</v>
      </c>
      <c r="E62" s="456">
        <f>'G-2 Habitat groups'!$AM$24</f>
        <v>0</v>
      </c>
      <c r="F62" s="456">
        <f>'G-2 Habitat groups'!$AN$24</f>
        <v>0</v>
      </c>
      <c r="G62" s="456">
        <f t="shared" si="3"/>
        <v>0</v>
      </c>
      <c r="H62" s="457">
        <f t="shared" si="4"/>
        <v>0</v>
      </c>
      <c r="I62" s="461"/>
      <c r="J62" s="461"/>
    </row>
    <row r="63" spans="1:10" ht="15">
      <c r="A63" s="1296"/>
      <c r="B63" s="468" t="s">
        <v>109</v>
      </c>
      <c r="C63" s="456">
        <f>'G-2 Habitat groups'!$AK$25</f>
        <v>0</v>
      </c>
      <c r="D63" s="456">
        <f>'G-2 Habitat groups'!$AL$25</f>
        <v>0</v>
      </c>
      <c r="E63" s="456">
        <f>'G-2 Habitat groups'!$AM$25</f>
        <v>0</v>
      </c>
      <c r="F63" s="456">
        <f>'G-2 Habitat groups'!$AN$25</f>
        <v>0</v>
      </c>
      <c r="G63" s="456">
        <f t="shared" si="3"/>
        <v>0</v>
      </c>
      <c r="H63" s="457">
        <f t="shared" si="4"/>
        <v>0</v>
      </c>
      <c r="I63" s="461"/>
      <c r="J63" s="461"/>
    </row>
    <row r="64" spans="1:10" ht="15">
      <c r="A64" s="1296"/>
      <c r="B64" s="468" t="s">
        <v>110</v>
      </c>
      <c r="C64" s="456">
        <f>'G-2 Habitat groups'!$AK$26</f>
        <v>0</v>
      </c>
      <c r="D64" s="456">
        <f>'G-2 Habitat groups'!$AL$26</f>
        <v>0</v>
      </c>
      <c r="E64" s="456">
        <f>'G-2 Habitat groups'!$AM$26</f>
        <v>0</v>
      </c>
      <c r="F64" s="456">
        <f>'G-2 Habitat groups'!$AN$26</f>
        <v>0</v>
      </c>
      <c r="G64" s="456">
        <f t="shared" si="3"/>
        <v>0</v>
      </c>
      <c r="H64" s="457">
        <f t="shared" si="4"/>
        <v>0</v>
      </c>
      <c r="I64" s="461"/>
      <c r="J64" s="461"/>
    </row>
    <row r="65" spans="1:10" ht="15">
      <c r="A65" s="1296"/>
      <c r="B65" s="468" t="s">
        <v>111</v>
      </c>
      <c r="C65" s="456">
        <f>'G-2 Habitat groups'!$AK$27</f>
        <v>0</v>
      </c>
      <c r="D65" s="456">
        <f>'G-2 Habitat groups'!$AL$27</f>
        <v>0</v>
      </c>
      <c r="E65" s="456">
        <f>'G-2 Habitat groups'!$AM$27</f>
        <v>0</v>
      </c>
      <c r="F65" s="456">
        <f>'G-2 Habitat groups'!$AN$27</f>
        <v>0</v>
      </c>
      <c r="G65" s="456">
        <f t="shared" si="3"/>
        <v>0</v>
      </c>
      <c r="H65" s="457">
        <f t="shared" si="4"/>
        <v>0</v>
      </c>
      <c r="I65" s="461"/>
      <c r="J65" s="461"/>
    </row>
    <row r="66" spans="1:10" ht="15">
      <c r="A66" s="1296"/>
      <c r="B66" s="468" t="s">
        <v>112</v>
      </c>
      <c r="C66" s="456">
        <f>'G-2 Habitat groups'!$AK$28</f>
        <v>0</v>
      </c>
      <c r="D66" s="456">
        <f>'G-2 Habitat groups'!$AL$28</f>
        <v>0</v>
      </c>
      <c r="E66" s="456">
        <f>'G-2 Habitat groups'!$AM$28</f>
        <v>0</v>
      </c>
      <c r="F66" s="456">
        <f>'G-2 Habitat groups'!$AN$28</f>
        <v>0</v>
      </c>
      <c r="G66" s="456">
        <f t="shared" si="3"/>
        <v>0</v>
      </c>
      <c r="H66" s="457">
        <f t="shared" si="4"/>
        <v>0</v>
      </c>
      <c r="I66" s="461"/>
      <c r="J66" s="461"/>
    </row>
    <row r="67" spans="1:10" ht="15.75" customHeight="1">
      <c r="A67" s="1296"/>
      <c r="B67" s="469" t="s">
        <v>113</v>
      </c>
      <c r="C67" s="456">
        <f>'G-2 Habitat groups'!$AK$29</f>
        <v>0</v>
      </c>
      <c r="D67" s="456">
        <f>'G-2 Habitat groups'!$AL$29</f>
        <v>0</v>
      </c>
      <c r="E67" s="456">
        <f>'G-2 Habitat groups'!$AM$29</f>
        <v>0</v>
      </c>
      <c r="F67" s="456">
        <f>'G-2 Habitat groups'!$AN$29</f>
        <v>0</v>
      </c>
      <c r="G67" s="456">
        <f t="shared" si="3"/>
        <v>0</v>
      </c>
      <c r="H67" s="457">
        <f t="shared" si="4"/>
        <v>0</v>
      </c>
      <c r="I67" s="461"/>
      <c r="J67" s="461"/>
    </row>
    <row r="68" spans="1:10" ht="15.75" customHeight="1">
      <c r="A68" s="1296"/>
      <c r="B68" s="469" t="s">
        <v>114</v>
      </c>
      <c r="C68" s="456">
        <f>'G-2 Habitat groups'!$AK$30</f>
        <v>0</v>
      </c>
      <c r="D68" s="456">
        <f>'G-2 Habitat groups'!$AL$30</f>
        <v>0</v>
      </c>
      <c r="E68" s="456">
        <f>'G-2 Habitat groups'!$AM$30</f>
        <v>0</v>
      </c>
      <c r="F68" s="456">
        <f>'G-2 Habitat groups'!$AN$30</f>
        <v>0</v>
      </c>
      <c r="G68" s="456">
        <f t="shared" si="3"/>
        <v>0</v>
      </c>
      <c r="H68" s="457">
        <f t="shared" si="4"/>
        <v>0</v>
      </c>
      <c r="I68" s="461"/>
      <c r="J68" s="461"/>
    </row>
    <row r="69" spans="1:10" ht="15.75" customHeight="1">
      <c r="A69" s="1296"/>
      <c r="B69" s="469" t="s">
        <v>115</v>
      </c>
      <c r="C69" s="456">
        <f>'G-2 Habitat groups'!$AK$31</f>
        <v>0</v>
      </c>
      <c r="D69" s="456">
        <f>'G-2 Habitat groups'!$AL$31</f>
        <v>0</v>
      </c>
      <c r="E69" s="456">
        <f>'G-2 Habitat groups'!$AM$31</f>
        <v>0</v>
      </c>
      <c r="F69" s="456">
        <f>'G-2 Habitat groups'!$AN$31</f>
        <v>0</v>
      </c>
      <c r="G69" s="456">
        <f t="shared" si="3"/>
        <v>0</v>
      </c>
      <c r="H69" s="457">
        <f t="shared" si="4"/>
        <v>0</v>
      </c>
      <c r="I69" s="461"/>
      <c r="J69" s="461"/>
    </row>
    <row r="70" spans="1:10" ht="15.75" customHeight="1">
      <c r="A70" s="1296"/>
      <c r="B70" s="469" t="s">
        <v>116</v>
      </c>
      <c r="C70" s="456">
        <f>'G-2 Habitat groups'!$AK$32</f>
        <v>0</v>
      </c>
      <c r="D70" s="456">
        <f>'G-2 Habitat groups'!$AL$32</f>
        <v>0</v>
      </c>
      <c r="E70" s="456">
        <f>'G-2 Habitat groups'!$AM$32</f>
        <v>0</v>
      </c>
      <c r="F70" s="456">
        <f>'G-2 Habitat groups'!$AN$32</f>
        <v>0</v>
      </c>
      <c r="G70" s="456">
        <f t="shared" si="3"/>
        <v>0</v>
      </c>
      <c r="H70" s="457">
        <f t="shared" si="4"/>
        <v>0</v>
      </c>
      <c r="I70" s="461"/>
      <c r="J70" s="461"/>
    </row>
    <row r="71" spans="1:10" ht="15.75" customHeight="1">
      <c r="A71" s="1296"/>
      <c r="B71" s="469" t="s">
        <v>117</v>
      </c>
      <c r="C71" s="456">
        <f>'G-2 Habitat groups'!$AK$33</f>
        <v>0</v>
      </c>
      <c r="D71" s="456">
        <f>'G-2 Habitat groups'!$AL$33</f>
        <v>0</v>
      </c>
      <c r="E71" s="456">
        <f>'G-2 Habitat groups'!$AM$33</f>
        <v>0</v>
      </c>
      <c r="F71" s="456">
        <f>'G-2 Habitat groups'!$AN$33</f>
        <v>0</v>
      </c>
      <c r="G71" s="456">
        <f t="shared" si="5" ref="G71:H73">E71-C71</f>
        <v>0</v>
      </c>
      <c r="H71" s="457">
        <f t="shared" si="5"/>
        <v>0</v>
      </c>
      <c r="I71" s="461"/>
      <c r="J71" s="461"/>
    </row>
    <row r="72" spans="1:10" ht="15.75" customHeight="1">
      <c r="A72" s="1296"/>
      <c r="B72" s="480" t="s">
        <v>118</v>
      </c>
      <c r="C72" s="456">
        <f>'G-2 Habitat groups'!$AK$35</f>
        <v>0</v>
      </c>
      <c r="D72" s="456">
        <f>'G-2 Habitat groups'!$AL$35</f>
        <v>0</v>
      </c>
      <c r="E72" s="456">
        <f>'G-2 Habitat groups'!$AM$35</f>
        <v>0</v>
      </c>
      <c r="F72" s="456">
        <f>'G-2 Habitat groups'!$AN$35</f>
        <v>0</v>
      </c>
      <c r="G72" s="456">
        <f t="shared" si="5"/>
        <v>0</v>
      </c>
      <c r="H72" s="457">
        <f t="shared" si="5"/>
        <v>0</v>
      </c>
      <c r="I72" s="461"/>
      <c r="J72" s="461"/>
    </row>
    <row r="73" spans="1:10" ht="15.75" customHeight="1" thickBot="1">
      <c r="A73" s="1296"/>
      <c r="B73" s="470" t="s">
        <v>119</v>
      </c>
      <c r="C73" s="458">
        <f>'G-2 Habitat groups'!$AK$34</f>
        <v>0</v>
      </c>
      <c r="D73" s="458">
        <f>'G-2 Habitat groups'!$AL$34</f>
        <v>0</v>
      </c>
      <c r="E73" s="458">
        <f>'G-2 Habitat groups'!$AM$34</f>
        <v>0</v>
      </c>
      <c r="F73" s="458">
        <f>'G-2 Habitat groups'!$AN$34</f>
        <v>0</v>
      </c>
      <c r="G73" s="458">
        <f t="shared" si="5"/>
        <v>0</v>
      </c>
      <c r="H73" s="459">
        <f t="shared" si="5"/>
        <v>0</v>
      </c>
      <c r="I73" s="461"/>
      <c r="J73" s="461"/>
    </row>
    <row r="74" spans="1:10" ht="11.15" customHeight="1" thickBot="1">
      <c r="A74" s="1296"/>
      <c r="B74" s="461"/>
      <c r="C74" s="461"/>
      <c r="D74" s="461"/>
      <c r="E74" s="461"/>
      <c r="F74" s="461"/>
      <c r="G74" s="461"/>
      <c r="H74" s="461"/>
      <c r="I74" s="461"/>
      <c r="J74" s="461"/>
    </row>
    <row r="75" spans="1:10" ht="18" thickBot="1">
      <c r="A75" s="1296"/>
      <c r="B75" s="1306" t="s">
        <v>129</v>
      </c>
      <c r="C75" s="1306"/>
      <c r="D75" s="1306"/>
      <c r="E75" s="1306"/>
      <c r="F75" s="1306"/>
      <c r="G75" s="1306"/>
      <c r="H75" s="1306"/>
      <c r="I75" s="461"/>
      <c r="J75" s="461"/>
    </row>
    <row r="76" spans="1:10" ht="33.65" customHeight="1" thickBot="1">
      <c r="A76" s="1296"/>
      <c r="B76" s="454"/>
      <c r="C76" s="1290" t="s">
        <v>92</v>
      </c>
      <c r="D76" s="1290"/>
      <c r="E76" s="1290" t="s">
        <v>130</v>
      </c>
      <c r="F76" s="1290"/>
      <c r="G76" s="1290" t="s">
        <v>131</v>
      </c>
      <c r="H76" s="1290"/>
      <c r="I76" s="461"/>
      <c r="J76" s="461"/>
    </row>
    <row r="77" spans="1:10" ht="45.65" customHeight="1" thickBot="1">
      <c r="A77" s="1296"/>
      <c r="B77" s="463" t="s">
        <v>95</v>
      </c>
      <c r="C77" s="464" t="s">
        <v>132</v>
      </c>
      <c r="D77" s="464" t="s">
        <v>133</v>
      </c>
      <c r="E77" s="464" t="s">
        <v>134</v>
      </c>
      <c r="F77" s="464" t="s">
        <v>135</v>
      </c>
      <c r="G77" s="464" t="s">
        <v>136</v>
      </c>
      <c r="H77" s="464" t="s">
        <v>137</v>
      </c>
      <c r="I77" s="461"/>
      <c r="J77" s="461"/>
    </row>
    <row r="78" spans="1:10" ht="15.75" customHeight="1">
      <c r="A78" s="1296"/>
      <c r="B78" s="465" t="s">
        <v>105</v>
      </c>
      <c r="C78" s="466">
        <f t="shared" si="6" ref="C78:H91">C39+C59</f>
        <v>0</v>
      </c>
      <c r="D78" s="466">
        <f t="shared" si="6"/>
        <v>0</v>
      </c>
      <c r="E78" s="466">
        <f t="shared" si="6"/>
        <v>0</v>
      </c>
      <c r="F78" s="466">
        <f t="shared" si="6"/>
        <v>0</v>
      </c>
      <c r="G78" s="466">
        <f t="shared" si="6"/>
        <v>0</v>
      </c>
      <c r="H78" s="467">
        <f t="shared" si="6"/>
        <v>0</v>
      </c>
      <c r="I78" s="461"/>
      <c r="J78" s="461"/>
    </row>
    <row r="79" spans="1:10" ht="15.75" customHeight="1">
      <c r="A79" s="1296"/>
      <c r="B79" s="468" t="s">
        <v>106</v>
      </c>
      <c r="C79" s="456">
        <f t="shared" si="6"/>
        <v>8.806000000000003</v>
      </c>
      <c r="D79" s="456">
        <f t="shared" si="6"/>
        <v>19.472800000000003</v>
      </c>
      <c r="E79" s="456">
        <f t="shared" si="6"/>
        <v>3.044</v>
      </c>
      <c r="F79" s="456">
        <f t="shared" si="6"/>
        <v>20.546157528408003</v>
      </c>
      <c r="G79" s="456">
        <f t="shared" si="6"/>
        <v>-5.762000000000002</v>
      </c>
      <c r="H79" s="457">
        <f t="shared" si="6"/>
        <v>1.0733575284079997</v>
      </c>
      <c r="I79" s="461"/>
      <c r="J79" s="461"/>
    </row>
    <row r="80" spans="1:10" ht="15.75" customHeight="1">
      <c r="A80" s="1296"/>
      <c r="B80" s="468" t="s">
        <v>107</v>
      </c>
      <c r="C80" s="456">
        <f t="shared" si="6"/>
        <v>0</v>
      </c>
      <c r="D80" s="456">
        <f t="shared" si="6"/>
        <v>0</v>
      </c>
      <c r="E80" s="456">
        <f t="shared" si="6"/>
        <v>0</v>
      </c>
      <c r="F80" s="456">
        <f t="shared" si="6"/>
        <v>0</v>
      </c>
      <c r="G80" s="456">
        <f t="shared" si="6"/>
        <v>0</v>
      </c>
      <c r="H80" s="457">
        <f t="shared" si="6"/>
        <v>0</v>
      </c>
      <c r="I80" s="461"/>
      <c r="J80" s="461"/>
    </row>
    <row r="81" spans="1:10" ht="15.75" customHeight="1">
      <c r="A81" s="1296"/>
      <c r="B81" s="468" t="s">
        <v>108</v>
      </c>
      <c r="C81" s="456">
        <f t="shared" si="6"/>
        <v>0</v>
      </c>
      <c r="D81" s="456">
        <f t="shared" si="6"/>
        <v>0</v>
      </c>
      <c r="E81" s="456">
        <f t="shared" si="6"/>
        <v>0</v>
      </c>
      <c r="F81" s="456">
        <f t="shared" si="6"/>
        <v>0</v>
      </c>
      <c r="G81" s="456">
        <f t="shared" si="6"/>
        <v>0</v>
      </c>
      <c r="H81" s="457">
        <f t="shared" si="6"/>
        <v>0</v>
      </c>
      <c r="I81" s="461"/>
      <c r="J81" s="461"/>
    </row>
    <row r="82" spans="1:10" ht="15.75" customHeight="1">
      <c r="A82" s="1296"/>
      <c r="B82" s="468" t="s">
        <v>109</v>
      </c>
      <c r="C82" s="456">
        <f t="shared" si="6"/>
        <v>0</v>
      </c>
      <c r="D82" s="456">
        <f t="shared" si="6"/>
        <v>0</v>
      </c>
      <c r="E82" s="456">
        <f t="shared" si="6"/>
        <v>0</v>
      </c>
      <c r="F82" s="456">
        <f t="shared" si="6"/>
        <v>0</v>
      </c>
      <c r="G82" s="456">
        <f t="shared" si="6"/>
        <v>0</v>
      </c>
      <c r="H82" s="457">
        <f t="shared" si="6"/>
        <v>0</v>
      </c>
      <c r="I82" s="461"/>
      <c r="J82" s="461"/>
    </row>
    <row r="83" spans="1:10" ht="15.75" customHeight="1">
      <c r="A83" s="1296"/>
      <c r="B83" s="468" t="s">
        <v>110</v>
      </c>
      <c r="C83" s="456">
        <f t="shared" si="6"/>
        <v>0.005</v>
      </c>
      <c r="D83" s="456">
        <f t="shared" si="6"/>
        <v>0</v>
      </c>
      <c r="E83" s="456">
        <f t="shared" si="6"/>
        <v>5.759</v>
      </c>
      <c r="F83" s="456">
        <f t="shared" si="6"/>
        <v>5.14565047985</v>
      </c>
      <c r="G83" s="456">
        <f t="shared" si="6"/>
        <v>5.7540000000000004</v>
      </c>
      <c r="H83" s="457">
        <f t="shared" si="6"/>
        <v>5.14565047985</v>
      </c>
      <c r="I83" s="461"/>
      <c r="J83" s="461"/>
    </row>
    <row r="84" spans="1:10" ht="15.75" customHeight="1">
      <c r="A84" s="1296"/>
      <c r="B84" s="468" t="s">
        <v>111</v>
      </c>
      <c r="C84" s="456">
        <f t="shared" si="6"/>
        <v>0</v>
      </c>
      <c r="D84" s="456">
        <f t="shared" si="6"/>
        <v>0</v>
      </c>
      <c r="E84" s="456">
        <f t="shared" si="6"/>
        <v>0</v>
      </c>
      <c r="F84" s="456">
        <f t="shared" si="6"/>
        <v>0</v>
      </c>
      <c r="G84" s="456">
        <f t="shared" si="6"/>
        <v>0</v>
      </c>
      <c r="H84" s="457">
        <f t="shared" si="6"/>
        <v>0</v>
      </c>
      <c r="I84" s="461"/>
      <c r="J84" s="461"/>
    </row>
    <row r="85" spans="1:10" ht="18" customHeight="1">
      <c r="A85" s="1296"/>
      <c r="B85" s="468" t="s">
        <v>112</v>
      </c>
      <c r="C85" s="456">
        <f t="shared" si="6"/>
        <v>0</v>
      </c>
      <c r="D85" s="456">
        <f t="shared" si="6"/>
        <v>0</v>
      </c>
      <c r="E85" s="456">
        <f t="shared" si="6"/>
        <v>0</v>
      </c>
      <c r="F85" s="456">
        <f t="shared" si="6"/>
        <v>0</v>
      </c>
      <c r="G85" s="456">
        <f t="shared" si="6"/>
        <v>0</v>
      </c>
      <c r="H85" s="457">
        <f t="shared" si="6"/>
        <v>0</v>
      </c>
      <c r="I85" s="461"/>
      <c r="J85" s="461"/>
    </row>
    <row r="86" spans="1:10" ht="15">
      <c r="A86" s="1296"/>
      <c r="B86" s="469" t="s">
        <v>113</v>
      </c>
      <c r="C86" s="456">
        <f t="shared" si="6"/>
        <v>0</v>
      </c>
      <c r="D86" s="456">
        <f t="shared" si="6"/>
        <v>0</v>
      </c>
      <c r="E86" s="456">
        <f t="shared" si="6"/>
        <v>0</v>
      </c>
      <c r="F86" s="456">
        <f t="shared" si="6"/>
        <v>0</v>
      </c>
      <c r="G86" s="456">
        <f t="shared" si="6"/>
        <v>0</v>
      </c>
      <c r="H86" s="457">
        <f t="shared" si="6"/>
        <v>0</v>
      </c>
      <c r="I86" s="461"/>
      <c r="J86" s="461"/>
    </row>
    <row r="87" spans="1:10" ht="15">
      <c r="A87" s="1296"/>
      <c r="B87" s="469" t="s">
        <v>114</v>
      </c>
      <c r="C87" s="456">
        <f t="shared" si="6"/>
        <v>0</v>
      </c>
      <c r="D87" s="456">
        <f t="shared" si="6"/>
        <v>0</v>
      </c>
      <c r="E87" s="456">
        <f t="shared" si="6"/>
        <v>0</v>
      </c>
      <c r="F87" s="456">
        <f t="shared" si="6"/>
        <v>0</v>
      </c>
      <c r="G87" s="456">
        <f t="shared" si="6"/>
        <v>0</v>
      </c>
      <c r="H87" s="457">
        <f t="shared" si="6"/>
        <v>0</v>
      </c>
      <c r="I87" s="461"/>
      <c r="J87" s="461"/>
    </row>
    <row r="88" spans="1:10" ht="15">
      <c r="A88" s="1296"/>
      <c r="B88" s="469" t="s">
        <v>115</v>
      </c>
      <c r="C88" s="456">
        <f t="shared" si="6"/>
        <v>0</v>
      </c>
      <c r="D88" s="456">
        <f t="shared" si="6"/>
        <v>0</v>
      </c>
      <c r="E88" s="456">
        <f t="shared" si="6"/>
        <v>0</v>
      </c>
      <c r="F88" s="456">
        <f t="shared" si="6"/>
        <v>0</v>
      </c>
      <c r="G88" s="456">
        <f t="shared" si="6"/>
        <v>0</v>
      </c>
      <c r="H88" s="457">
        <f t="shared" si="6"/>
        <v>0</v>
      </c>
      <c r="I88" s="461"/>
      <c r="J88" s="461"/>
    </row>
    <row r="89" spans="1:10" ht="15">
      <c r="A89" s="1296"/>
      <c r="B89" s="469" t="s">
        <v>116</v>
      </c>
      <c r="C89" s="456">
        <f t="shared" si="6"/>
        <v>0</v>
      </c>
      <c r="D89" s="456">
        <f t="shared" si="6"/>
        <v>0</v>
      </c>
      <c r="E89" s="456">
        <f t="shared" si="6"/>
        <v>0</v>
      </c>
      <c r="F89" s="456">
        <f t="shared" si="6"/>
        <v>0</v>
      </c>
      <c r="G89" s="456">
        <f t="shared" si="6"/>
        <v>0</v>
      </c>
      <c r="H89" s="457">
        <f t="shared" si="6"/>
        <v>0</v>
      </c>
      <c r="I89" s="461"/>
      <c r="J89" s="461"/>
    </row>
    <row r="90" spans="1:10" ht="15">
      <c r="A90" s="1296"/>
      <c r="B90" s="469" t="s">
        <v>117</v>
      </c>
      <c r="C90" s="456">
        <f t="shared" si="6"/>
        <v>0</v>
      </c>
      <c r="D90" s="456">
        <f t="shared" si="6"/>
        <v>0</v>
      </c>
      <c r="E90" s="456">
        <f t="shared" si="6"/>
        <v>0</v>
      </c>
      <c r="F90" s="456">
        <f t="shared" si="6"/>
        <v>0</v>
      </c>
      <c r="G90" s="456">
        <f t="shared" si="6"/>
        <v>0</v>
      </c>
      <c r="H90" s="457">
        <f t="shared" si="6"/>
        <v>0</v>
      </c>
      <c r="I90" s="461"/>
      <c r="J90" s="461"/>
    </row>
    <row r="91" spans="1:10" ht="16.4" customHeight="1">
      <c r="A91" s="1296"/>
      <c r="B91" s="480" t="s">
        <v>118</v>
      </c>
      <c r="C91" s="456">
        <f t="shared" si="6"/>
        <v>0</v>
      </c>
      <c r="D91" s="456">
        <f t="shared" si="6"/>
        <v>0</v>
      </c>
      <c r="E91" s="456">
        <f t="shared" si="6"/>
        <v>0</v>
      </c>
      <c r="F91" s="456">
        <f t="shared" si="6"/>
        <v>0</v>
      </c>
      <c r="G91" s="456">
        <f t="shared" si="6"/>
        <v>0</v>
      </c>
      <c r="H91" s="457">
        <f t="shared" si="6"/>
        <v>0</v>
      </c>
      <c r="I91" s="461"/>
      <c r="J91" s="461"/>
    </row>
    <row r="92" spans="1:8" s="471" customFormat="1" ht="15" customHeight="1" thickBot="1">
      <c r="A92" s="1297"/>
      <c r="B92" s="479" t="s">
        <v>119</v>
      </c>
      <c r="C92" s="458">
        <f t="shared" si="7" ref="C92:H92">C53+C73</f>
        <v>0.049</v>
      </c>
      <c r="D92" s="458">
        <f t="shared" si="7"/>
        <v>0.55704</v>
      </c>
      <c r="E92" s="458">
        <f t="shared" si="7"/>
        <v>0.06129999999999999</v>
      </c>
      <c r="F92" s="458">
        <f t="shared" si="7"/>
        <v>0.56585599766448</v>
      </c>
      <c r="G92" s="458">
        <f t="shared" si="7"/>
        <v>0.012299999999999991</v>
      </c>
      <c r="H92" s="459">
        <f t="shared" si="7"/>
        <v>0.008815997664480046</v>
      </c>
    </row>
    <row r="93" spans="1:1" ht="38.15" customHeight="1" thickTop="1" thickBot="1">
      <c r="A93" s="1298" t="s">
        <v>138</v>
      </c>
    </row>
    <row r="94" spans="1:4" ht="25.5" thickBot="1">
      <c r="A94" s="1299"/>
      <c r="B94" s="1312" t="s">
        <v>139</v>
      </c>
      <c r="C94" s="1313"/>
      <c r="D94" s="1314"/>
    </row>
    <row r="95" spans="1:1" ht="14">
      <c r="A95" s="1299"/>
    </row>
    <row r="96" spans="1:1" ht="15" customHeight="1" thickBot="1">
      <c r="A96" s="1299"/>
    </row>
    <row r="97" spans="1:12" ht="28.5" customHeight="1" thickBot="1">
      <c r="A97" s="1299"/>
      <c r="B97" s="1303" t="s">
        <v>140</v>
      </c>
      <c r="C97" s="1303"/>
      <c r="D97" s="1303"/>
      <c r="E97" s="1303"/>
      <c r="F97" s="1303"/>
      <c r="G97" s="1303"/>
      <c r="H97" s="1303"/>
      <c r="J97" s="1272" t="s">
        <v>141</v>
      </c>
      <c r="K97" s="1273"/>
      <c r="L97" s="1274"/>
    </row>
    <row r="98" spans="1:12" ht="36.65" customHeight="1" thickBot="1">
      <c r="A98" s="1299"/>
      <c r="B98" s="454"/>
      <c r="C98" s="1290" t="s">
        <v>92</v>
      </c>
      <c r="D98" s="1290"/>
      <c r="E98" s="1290" t="s">
        <v>93</v>
      </c>
      <c r="F98" s="1290"/>
      <c r="G98" s="1290" t="s">
        <v>94</v>
      </c>
      <c r="H98" s="1290"/>
      <c r="J98" s="1275"/>
      <c r="K98" s="1276"/>
      <c r="L98" s="1277"/>
    </row>
    <row r="99" spans="1:12" ht="45.5" thickBot="1">
      <c r="A99" s="1299"/>
      <c r="B99" s="946" t="s">
        <v>142</v>
      </c>
      <c r="C99" s="454" t="s">
        <v>143</v>
      </c>
      <c r="D99" s="454" t="s">
        <v>97</v>
      </c>
      <c r="E99" s="454" t="s">
        <v>144</v>
      </c>
      <c r="F99" s="454" t="s">
        <v>99</v>
      </c>
      <c r="G99" s="454" t="s">
        <v>145</v>
      </c>
      <c r="H99" s="454" t="s">
        <v>101</v>
      </c>
      <c r="J99" s="1288" t="s">
        <v>102</v>
      </c>
      <c r="K99" s="1286" t="s">
        <v>146</v>
      </c>
      <c r="L99" s="1284" t="s">
        <v>147</v>
      </c>
    </row>
    <row r="100" spans="1:12" ht="15">
      <c r="A100" s="1299"/>
      <c r="B100" s="472" t="s">
        <v>148</v>
      </c>
      <c r="C100" s="455">
        <f>'G-2 Habitat groups'!E150</f>
        <v>0</v>
      </c>
      <c r="D100" s="455">
        <f>'G-2 Habitat groups'!F150</f>
        <v>0</v>
      </c>
      <c r="E100" s="455">
        <f>'G-2 Habitat groups'!O150</f>
        <v>0.037</v>
      </c>
      <c r="F100" s="455">
        <f>'G-2 Habitat groups'!P150</f>
        <v>0.45602381695903993</v>
      </c>
      <c r="G100" s="455">
        <f>E100-C100</f>
        <v>0.037</v>
      </c>
      <c r="H100" s="950">
        <f t="shared" si="8" ref="H100:H112">F100-D100</f>
        <v>0.45602381695903993</v>
      </c>
      <c r="J100" s="1289"/>
      <c r="K100" s="1287"/>
      <c r="L100" s="1285"/>
    </row>
    <row r="101" spans="1:12" ht="15">
      <c r="A101" s="1299"/>
      <c r="B101" s="473" t="s">
        <v>149</v>
      </c>
      <c r="C101" s="455">
        <f>'G-2 Habitat groups'!E151</f>
        <v>0</v>
      </c>
      <c r="D101" s="455">
        <f>'G-2 Habitat groups'!F151</f>
        <v>0</v>
      </c>
      <c r="E101" s="455">
        <f>'G-2 Habitat groups'!O151</f>
        <v>0</v>
      </c>
      <c r="F101" s="455">
        <f>'G-2 Habitat groups'!P151</f>
        <v>0</v>
      </c>
      <c r="G101" s="455">
        <f t="shared" si="9" ref="G101:G112">E101-C101</f>
        <v>0</v>
      </c>
      <c r="H101" s="950">
        <f t="shared" si="8"/>
        <v>0</v>
      </c>
      <c r="J101" s="1282" t="str">
        <f>'G-1 All Habitats'!$V$3</f>
        <v>V.High</v>
      </c>
      <c r="K101" s="1280">
        <f>SUMIF('B-1 On-Site Hedge Baseline'!$F$10:$F$257,'Detailed Results'!J101,'B-1 On-Site Hedge Baseline'!$T$10:$T$257)+SUMIF('E-1 Off-Site Hedge Baseline'!$F$10:$F$257,'Detailed Results'!J101,'E-1 Off-Site Hedge Baseline'!$W$10:$W$257)</f>
        <v>0</v>
      </c>
      <c r="L101" s="1278" t="str">
        <f>IF(K101=0,"",(K101/(SUM($K$101:$K$110)))*100)</f>
        <v/>
      </c>
    </row>
    <row r="102" spans="1:12" ht="15">
      <c r="A102" s="1299"/>
      <c r="B102" s="473" t="s">
        <v>150</v>
      </c>
      <c r="C102" s="455">
        <f>'G-2 Habitat groups'!E152</f>
        <v>0.017</v>
      </c>
      <c r="D102" s="455">
        <f>'G-2 Habitat groups'!F152</f>
        <v>0.33660000000000007</v>
      </c>
      <c r="E102" s="455">
        <f>'G-2 Habitat groups'!O152</f>
        <v>0.017</v>
      </c>
      <c r="F102" s="455">
        <f>'G-2 Habitat groups'!P152</f>
        <v>0.33660000000000007</v>
      </c>
      <c r="G102" s="455">
        <f t="shared" si="9"/>
        <v>0</v>
      </c>
      <c r="H102" s="950">
        <f t="shared" si="8"/>
        <v>0</v>
      </c>
      <c r="J102" s="1283"/>
      <c r="K102" s="1281"/>
      <c r="L102" s="1279"/>
    </row>
    <row r="103" spans="1:12" ht="15">
      <c r="A103" s="1299"/>
      <c r="B103" s="473" t="s">
        <v>151</v>
      </c>
      <c r="C103" s="455">
        <f>'G-2 Habitat groups'!E153</f>
        <v>0.065</v>
      </c>
      <c r="D103" s="455">
        <f>'G-2 Habitat groups'!F153</f>
        <v>0.8580000000000001</v>
      </c>
      <c r="E103" s="455">
        <f>'G-2 Habitat groups'!O153</f>
        <v>0.044</v>
      </c>
      <c r="F103" s="455">
        <f>'G-2 Habitat groups'!P153</f>
        <v>0.5808000000000001</v>
      </c>
      <c r="G103" s="455">
        <f t="shared" si="9"/>
        <v>-0.021000000000000005</v>
      </c>
      <c r="H103" s="950">
        <f t="shared" si="8"/>
        <v>-0.2772</v>
      </c>
      <c r="J103" s="1282" t="str">
        <f>'G-1 All Habitats'!$V$4</f>
        <v>High</v>
      </c>
      <c r="K103" s="1280">
        <f>SUMIF('B-1 On-Site Hedge Baseline'!$F$10:$F$257,'Detailed Results'!J103,'B-1 On-Site Hedge Baseline'!$T$10:$T$257)+SUMIF('E-1 Off-Site Hedge Baseline'!$F$10:$F$257,'Detailed Results'!J103,'E-1 Off-Site Hedge Baseline'!$W$10:$W$257)</f>
        <v>0.021000000000000005</v>
      </c>
      <c r="L103" s="1278">
        <f>IF(K103=0,"",(K103/(SUM($K$101:$K$110)))*100)</f>
        <v>100</v>
      </c>
    </row>
    <row r="104" spans="1:12" ht="15">
      <c r="A104" s="1299"/>
      <c r="B104" s="473" t="s">
        <v>152</v>
      </c>
      <c r="C104" s="455">
        <f>'G-2 Habitat groups'!E154</f>
        <v>0.004</v>
      </c>
      <c r="D104" s="455">
        <f>'G-2 Habitat groups'!F154</f>
        <v>0.05280000000000001</v>
      </c>
      <c r="E104" s="455">
        <f>'G-2 Habitat groups'!O154</f>
        <v>0.859</v>
      </c>
      <c r="F104" s="455">
        <f>'G-2 Habitat groups'!P154</f>
        <v>6.349099143314401</v>
      </c>
      <c r="G104" s="455">
        <f t="shared" si="9"/>
        <v>0.855</v>
      </c>
      <c r="H104" s="950">
        <f t="shared" si="8"/>
        <v>6.296299143314401</v>
      </c>
      <c r="J104" s="1283"/>
      <c r="K104" s="1281"/>
      <c r="L104" s="1279"/>
    </row>
    <row r="105" spans="1:12" ht="15">
      <c r="A105" s="1299"/>
      <c r="B105" s="473" t="s">
        <v>153</v>
      </c>
      <c r="C105" s="455">
        <f>'G-2 Habitat groups'!E155</f>
        <v>0</v>
      </c>
      <c r="D105" s="455">
        <f>'G-2 Habitat groups'!F155</f>
        <v>0</v>
      </c>
      <c r="E105" s="455">
        <f>'G-2 Habitat groups'!O155</f>
        <v>0</v>
      </c>
      <c r="F105" s="455">
        <f>'G-2 Habitat groups'!P155</f>
        <v>0</v>
      </c>
      <c r="G105" s="455">
        <f t="shared" si="9"/>
        <v>0</v>
      </c>
      <c r="H105" s="950">
        <f t="shared" si="8"/>
        <v>0</v>
      </c>
      <c r="J105" s="1282" t="str">
        <f>'G-1 All Habitats'!$V$5</f>
        <v>Medium</v>
      </c>
      <c r="K105" s="1280">
        <f>SUMIF('B-1 On-Site Hedge Baseline'!$F$10:$F$257,'Detailed Results'!J105,'B-1 On-Site Hedge Baseline'!$T$10:$T$257)+SUMIF('E-1 Off-Site Hedge Baseline'!$F$10:$F$257,'Detailed Results'!J105,'E-1 Off-Site Hedge Baseline'!$W$10:$W$257)</f>
        <v>0</v>
      </c>
      <c r="L105" s="1278" t="str">
        <f>IF(K105=0,"",(K105/(SUM($K$101:$K$110)))*100)</f>
        <v/>
      </c>
    </row>
    <row r="106" spans="1:12" ht="15">
      <c r="A106" s="1299"/>
      <c r="B106" s="473" t="s">
        <v>154</v>
      </c>
      <c r="C106" s="455">
        <f>'G-2 Habitat groups'!E156</f>
        <v>0</v>
      </c>
      <c r="D106" s="455">
        <f>'G-2 Habitat groups'!F156</f>
        <v>0</v>
      </c>
      <c r="E106" s="455">
        <f>'G-2 Habitat groups'!O156</f>
        <v>0</v>
      </c>
      <c r="F106" s="455">
        <f>'G-2 Habitat groups'!P156</f>
        <v>0</v>
      </c>
      <c r="G106" s="455">
        <f t="shared" si="9"/>
        <v>0</v>
      </c>
      <c r="H106" s="950">
        <f t="shared" si="8"/>
        <v>0</v>
      </c>
      <c r="J106" s="1283"/>
      <c r="K106" s="1281"/>
      <c r="L106" s="1279"/>
    </row>
    <row r="107" spans="1:12" ht="15">
      <c r="A107" s="1299"/>
      <c r="B107" s="474" t="s">
        <v>155</v>
      </c>
      <c r="C107" s="455">
        <f>'G-2 Habitat groups'!E157</f>
        <v>0</v>
      </c>
      <c r="D107" s="455">
        <f>'G-2 Habitat groups'!F157</f>
        <v>0</v>
      </c>
      <c r="E107" s="455">
        <f>'G-2 Habitat groups'!O157</f>
        <v>0</v>
      </c>
      <c r="F107" s="455">
        <f>'G-2 Habitat groups'!P157</f>
        <v>0</v>
      </c>
      <c r="G107" s="455">
        <f t="shared" si="9"/>
        <v>0</v>
      </c>
      <c r="H107" s="950">
        <f t="shared" si="8"/>
        <v>0</v>
      </c>
      <c r="J107" s="1282" t="str">
        <f>'G-1 All Habitats'!$V$6</f>
        <v>Low</v>
      </c>
      <c r="K107" s="1280">
        <f>SUMIF('B-1 On-Site Hedge Baseline'!$F$10:$F$257,'Detailed Results'!J107,'B-1 On-Site Hedge Baseline'!$T$10:$T$257)+SUMIF('E-1 Off-Site Hedge Baseline'!$F$10:$F$257,'Detailed Results'!J107,'E-1 Off-Site Hedge Baseline'!$W$10:$W$257)</f>
        <v>0</v>
      </c>
      <c r="L107" s="1278" t="str">
        <f>IF(K107=0,"",(K107/(SUM($K$101:$K$110)))*100)</f>
        <v/>
      </c>
    </row>
    <row r="108" spans="1:12" ht="15">
      <c r="A108" s="1299"/>
      <c r="B108" s="951" t="s">
        <v>156</v>
      </c>
      <c r="C108" s="455">
        <f>'G-2 Habitat groups'!E158</f>
        <v>0</v>
      </c>
      <c r="D108" s="455">
        <f>'G-2 Habitat groups'!F158</f>
        <v>0</v>
      </c>
      <c r="E108" s="455">
        <f>'G-2 Habitat groups'!O158</f>
        <v>0</v>
      </c>
      <c r="F108" s="455">
        <f>'G-2 Habitat groups'!P158</f>
        <v>0</v>
      </c>
      <c r="G108" s="455">
        <f t="shared" si="9"/>
        <v>0</v>
      </c>
      <c r="H108" s="950">
        <f t="shared" si="8"/>
        <v>0</v>
      </c>
      <c r="J108" s="1283"/>
      <c r="K108" s="1281"/>
      <c r="L108" s="1279"/>
    </row>
    <row r="109" spans="1:12" ht="15">
      <c r="A109" s="1299"/>
      <c r="B109" s="951" t="s">
        <v>157</v>
      </c>
      <c r="C109" s="455">
        <f>'G-2 Habitat groups'!E159</f>
        <v>0.01</v>
      </c>
      <c r="D109" s="455">
        <f>'G-2 Habitat groups'!F159</f>
        <v>0.022000000000000002</v>
      </c>
      <c r="E109" s="455">
        <f>'G-2 Habitat groups'!O159</f>
        <v>0.01</v>
      </c>
      <c r="F109" s="455">
        <f>'G-2 Habitat groups'!P159</f>
        <v>0.022000000000000002</v>
      </c>
      <c r="G109" s="455">
        <f t="shared" si="9"/>
        <v>0</v>
      </c>
      <c r="H109" s="950">
        <f t="shared" si="8"/>
        <v>0</v>
      </c>
      <c r="J109" s="1282" t="str">
        <f>'G-1 All Habitats'!$V$7</f>
        <v>V.Low</v>
      </c>
      <c r="K109" s="1280">
        <f>SUMIF('B-1 On-Site Hedge Baseline'!$F$10:$F$257,'Detailed Results'!J109,'B-1 On-Site Hedge Baseline'!$T$10:$T$257)+SUMIF('E-1 Off-Site Hedge Baseline'!$F$10:$F$257,'Detailed Results'!J109,'E-1 Off-Site Hedge Baseline'!$W$10:$W$257)</f>
        <v>0</v>
      </c>
      <c r="L109" s="1278" t="str">
        <f>IF(K109=0,"",(K109/(SUM($K$101:$K$110)))*100)</f>
        <v/>
      </c>
    </row>
    <row r="110" spans="1:12" ht="15.5" thickBot="1">
      <c r="A110" s="1299"/>
      <c r="B110" s="951" t="s">
        <v>158</v>
      </c>
      <c r="C110" s="455">
        <f>'G-2 Habitat groups'!E160</f>
        <v>0</v>
      </c>
      <c r="D110" s="455">
        <f>'G-2 Habitat groups'!F160</f>
        <v>0</v>
      </c>
      <c r="E110" s="455">
        <f>'G-2 Habitat groups'!O160</f>
        <v>0</v>
      </c>
      <c r="F110" s="455">
        <f>'G-2 Habitat groups'!P160</f>
        <v>0</v>
      </c>
      <c r="G110" s="455">
        <f t="shared" si="9"/>
        <v>0</v>
      </c>
      <c r="H110" s="950">
        <f t="shared" si="8"/>
        <v>0</v>
      </c>
      <c r="J110" s="1304"/>
      <c r="K110" s="1305"/>
      <c r="L110" s="1307"/>
    </row>
    <row r="111" spans="1:8" ht="15">
      <c r="A111" s="1299"/>
      <c r="B111" s="951" t="s">
        <v>159</v>
      </c>
      <c r="C111" s="455">
        <f>'G-2 Habitat groups'!E161</f>
        <v>0</v>
      </c>
      <c r="D111" s="455">
        <f>'G-2 Habitat groups'!F161</f>
        <v>0</v>
      </c>
      <c r="E111" s="455">
        <f>'G-2 Habitat groups'!O161</f>
        <v>0</v>
      </c>
      <c r="F111" s="455">
        <f>'G-2 Habitat groups'!P161</f>
        <v>0</v>
      </c>
      <c r="G111" s="455">
        <f t="shared" si="9"/>
        <v>0</v>
      </c>
      <c r="H111" s="950">
        <f t="shared" si="8"/>
        <v>0</v>
      </c>
    </row>
    <row r="112" spans="1:8" ht="15.5" thickBot="1">
      <c r="A112" s="1299"/>
      <c r="B112" s="952" t="s">
        <v>160</v>
      </c>
      <c r="C112" s="953">
        <f>'G-2 Habitat groups'!E162</f>
        <v>0</v>
      </c>
      <c r="D112" s="953">
        <f>'G-2 Habitat groups'!F162</f>
        <v>0</v>
      </c>
      <c r="E112" s="953">
        <f>'G-2 Habitat groups'!O162</f>
        <v>0</v>
      </c>
      <c r="F112" s="953">
        <f>'G-2 Habitat groups'!P162</f>
        <v>0</v>
      </c>
      <c r="G112" s="953">
        <f t="shared" si="9"/>
        <v>0</v>
      </c>
      <c r="H112" s="954">
        <f t="shared" si="8"/>
        <v>0</v>
      </c>
    </row>
    <row r="113" spans="1:1" ht="14">
      <c r="A113" s="1299"/>
    </row>
    <row r="114" spans="1:1" ht="14">
      <c r="A114" s="1299"/>
    </row>
    <row r="115" spans="1:1" ht="14">
      <c r="A115" s="1299"/>
    </row>
    <row r="116" spans="1:1" ht="14.5" thickBot="1">
      <c r="A116" s="1299"/>
    </row>
    <row r="117" spans="1:8" ht="18" thickBot="1">
      <c r="A117" s="1299"/>
      <c r="B117" s="1306" t="s">
        <v>161</v>
      </c>
      <c r="C117" s="1306"/>
      <c r="D117" s="1306"/>
      <c r="E117" s="1306"/>
      <c r="F117" s="1306"/>
      <c r="G117" s="1306"/>
      <c r="H117" s="1306"/>
    </row>
    <row r="118" spans="1:8" ht="15.5" thickBot="1">
      <c r="A118" s="1299"/>
      <c r="B118" s="454"/>
      <c r="C118" s="1290" t="s">
        <v>57</v>
      </c>
      <c r="D118" s="1290"/>
      <c r="E118" s="1290" t="s">
        <v>121</v>
      </c>
      <c r="F118" s="1290"/>
      <c r="G118" s="1290" t="s">
        <v>122</v>
      </c>
      <c r="H118" s="1290"/>
    </row>
    <row r="119" spans="1:8" ht="45.5" thickBot="1">
      <c r="A119" s="1299"/>
      <c r="B119" s="946" t="s">
        <v>142</v>
      </c>
      <c r="C119" s="454" t="s">
        <v>162</v>
      </c>
      <c r="D119" s="454" t="s">
        <v>124</v>
      </c>
      <c r="E119" s="454" t="s">
        <v>163</v>
      </c>
      <c r="F119" s="454" t="s">
        <v>126</v>
      </c>
      <c r="G119" s="454" t="s">
        <v>164</v>
      </c>
      <c r="H119" s="454" t="s">
        <v>128</v>
      </c>
    </row>
    <row r="120" spans="1:8" ht="15">
      <c r="A120" s="1299"/>
      <c r="B120" s="472" t="s">
        <v>148</v>
      </c>
      <c r="C120" s="455">
        <f>'G-2 Habitat groups'!S150</f>
        <v>0</v>
      </c>
      <c r="D120" s="455">
        <f>'G-2 Habitat groups'!T150</f>
        <v>0</v>
      </c>
      <c r="E120" s="455">
        <f>'G-2 Habitat groups'!AA150</f>
        <v>0</v>
      </c>
      <c r="F120" s="455">
        <f>'G-2 Habitat groups'!AB150</f>
        <v>0</v>
      </c>
      <c r="G120" s="455">
        <f t="shared" si="10" ref="G120:G132">E120-C120</f>
        <v>0</v>
      </c>
      <c r="H120" s="950">
        <f t="shared" si="11" ref="H120:H132">F120-D120</f>
        <v>0</v>
      </c>
    </row>
    <row r="121" spans="1:8" ht="15">
      <c r="A121" s="1299"/>
      <c r="B121" s="473" t="s">
        <v>149</v>
      </c>
      <c r="C121" s="455">
        <f>'G-2 Habitat groups'!S151</f>
        <v>0</v>
      </c>
      <c r="D121" s="455">
        <f>'G-2 Habitat groups'!T151</f>
        <v>0</v>
      </c>
      <c r="E121" s="455">
        <f>'G-2 Habitat groups'!AA151</f>
        <v>0</v>
      </c>
      <c r="F121" s="455">
        <f>'G-2 Habitat groups'!AB151</f>
        <v>0</v>
      </c>
      <c r="G121" s="455">
        <f t="shared" si="10"/>
        <v>0</v>
      </c>
      <c r="H121" s="950">
        <f t="shared" si="11"/>
        <v>0</v>
      </c>
    </row>
    <row r="122" spans="1:8" ht="15">
      <c r="A122" s="1299"/>
      <c r="B122" s="473" t="s">
        <v>150</v>
      </c>
      <c r="C122" s="455">
        <f>'G-2 Habitat groups'!S152</f>
        <v>0</v>
      </c>
      <c r="D122" s="455">
        <f>'G-2 Habitat groups'!T152</f>
        <v>0</v>
      </c>
      <c r="E122" s="455">
        <f>'G-2 Habitat groups'!AA152</f>
        <v>0</v>
      </c>
      <c r="F122" s="455">
        <f>'G-2 Habitat groups'!AB152</f>
        <v>0</v>
      </c>
      <c r="G122" s="455">
        <f t="shared" si="10"/>
        <v>0</v>
      </c>
      <c r="H122" s="950">
        <f t="shared" si="11"/>
        <v>0</v>
      </c>
    </row>
    <row r="123" spans="1:8" ht="15">
      <c r="A123" s="1299"/>
      <c r="B123" s="473" t="s">
        <v>151</v>
      </c>
      <c r="C123" s="455">
        <f>'G-2 Habitat groups'!S153</f>
        <v>0</v>
      </c>
      <c r="D123" s="455">
        <f>'G-2 Habitat groups'!T153</f>
        <v>0</v>
      </c>
      <c r="E123" s="455">
        <f>'G-2 Habitat groups'!AA153</f>
        <v>0</v>
      </c>
      <c r="F123" s="455">
        <f>'G-2 Habitat groups'!AB153</f>
        <v>0</v>
      </c>
      <c r="G123" s="455">
        <f t="shared" si="10"/>
        <v>0</v>
      </c>
      <c r="H123" s="950">
        <f t="shared" si="11"/>
        <v>0</v>
      </c>
    </row>
    <row r="124" spans="1:8" ht="15">
      <c r="A124" s="1299"/>
      <c r="B124" s="473" t="s">
        <v>152</v>
      </c>
      <c r="C124" s="455">
        <f>'G-2 Habitat groups'!S154</f>
        <v>0</v>
      </c>
      <c r="D124" s="455">
        <f>'G-2 Habitat groups'!T154</f>
        <v>0</v>
      </c>
      <c r="E124" s="455">
        <f>'G-2 Habitat groups'!AA154</f>
        <v>0</v>
      </c>
      <c r="F124" s="455">
        <f>'G-2 Habitat groups'!AB154</f>
        <v>0</v>
      </c>
      <c r="G124" s="455">
        <f t="shared" si="10"/>
        <v>0</v>
      </c>
      <c r="H124" s="950">
        <f t="shared" si="11"/>
        <v>0</v>
      </c>
    </row>
    <row r="125" spans="1:8" ht="15">
      <c r="A125" s="1299"/>
      <c r="B125" s="473" t="s">
        <v>153</v>
      </c>
      <c r="C125" s="455">
        <f>'G-2 Habitat groups'!S155</f>
        <v>0</v>
      </c>
      <c r="D125" s="455">
        <f>'G-2 Habitat groups'!T155</f>
        <v>0</v>
      </c>
      <c r="E125" s="455">
        <f>'G-2 Habitat groups'!AA155</f>
        <v>0</v>
      </c>
      <c r="F125" s="455">
        <f>'G-2 Habitat groups'!AB155</f>
        <v>0</v>
      </c>
      <c r="G125" s="455">
        <f t="shared" si="10"/>
        <v>0</v>
      </c>
      <c r="H125" s="950">
        <f t="shared" si="11"/>
        <v>0</v>
      </c>
    </row>
    <row r="126" spans="1:8" ht="15">
      <c r="A126" s="1299"/>
      <c r="B126" s="473" t="s">
        <v>154</v>
      </c>
      <c r="C126" s="455">
        <f>'G-2 Habitat groups'!S156</f>
        <v>0</v>
      </c>
      <c r="D126" s="455">
        <f>'G-2 Habitat groups'!T156</f>
        <v>0</v>
      </c>
      <c r="E126" s="455">
        <f>'G-2 Habitat groups'!AA156</f>
        <v>0</v>
      </c>
      <c r="F126" s="455">
        <f>'G-2 Habitat groups'!AB156</f>
        <v>0</v>
      </c>
      <c r="G126" s="455">
        <f t="shared" si="10"/>
        <v>0</v>
      </c>
      <c r="H126" s="950">
        <f t="shared" si="11"/>
        <v>0</v>
      </c>
    </row>
    <row r="127" spans="1:8" ht="15">
      <c r="A127" s="1299"/>
      <c r="B127" s="474" t="s">
        <v>155</v>
      </c>
      <c r="C127" s="455">
        <f>'G-2 Habitat groups'!S157</f>
        <v>0</v>
      </c>
      <c r="D127" s="455">
        <f>'G-2 Habitat groups'!T157</f>
        <v>0</v>
      </c>
      <c r="E127" s="455">
        <f>'G-2 Habitat groups'!AA157</f>
        <v>0</v>
      </c>
      <c r="F127" s="455">
        <f>'G-2 Habitat groups'!AB157</f>
        <v>0</v>
      </c>
      <c r="G127" s="455">
        <f t="shared" si="10"/>
        <v>0</v>
      </c>
      <c r="H127" s="950">
        <f t="shared" si="11"/>
        <v>0</v>
      </c>
    </row>
    <row r="128" spans="1:8" ht="15">
      <c r="A128" s="1299"/>
      <c r="B128" s="951" t="s">
        <v>156</v>
      </c>
      <c r="C128" s="455">
        <f>'G-2 Habitat groups'!S158</f>
        <v>0</v>
      </c>
      <c r="D128" s="455">
        <f>'G-2 Habitat groups'!T158</f>
        <v>0</v>
      </c>
      <c r="E128" s="455">
        <f>'G-2 Habitat groups'!AA158</f>
        <v>0</v>
      </c>
      <c r="F128" s="455">
        <f>'G-2 Habitat groups'!AB158</f>
        <v>0</v>
      </c>
      <c r="G128" s="455">
        <f t="shared" si="10"/>
        <v>0</v>
      </c>
      <c r="H128" s="950">
        <f t="shared" si="11"/>
        <v>0</v>
      </c>
    </row>
    <row r="129" spans="1:8" ht="15">
      <c r="A129" s="1299"/>
      <c r="B129" s="951" t="s">
        <v>157</v>
      </c>
      <c r="C129" s="455">
        <f>'G-2 Habitat groups'!S159</f>
        <v>0</v>
      </c>
      <c r="D129" s="455">
        <f>'G-2 Habitat groups'!T159</f>
        <v>0</v>
      </c>
      <c r="E129" s="455">
        <f>'G-2 Habitat groups'!AA159</f>
        <v>0</v>
      </c>
      <c r="F129" s="455">
        <f>'G-2 Habitat groups'!AB159</f>
        <v>0</v>
      </c>
      <c r="G129" s="455">
        <f t="shared" si="10"/>
        <v>0</v>
      </c>
      <c r="H129" s="950">
        <f t="shared" si="11"/>
        <v>0</v>
      </c>
    </row>
    <row r="130" spans="1:8" ht="15">
      <c r="A130" s="1299"/>
      <c r="B130" s="951" t="s">
        <v>158</v>
      </c>
      <c r="C130" s="455">
        <f>'G-2 Habitat groups'!S160</f>
        <v>0</v>
      </c>
      <c r="D130" s="455">
        <f>'G-2 Habitat groups'!T160</f>
        <v>0</v>
      </c>
      <c r="E130" s="455">
        <f>'G-2 Habitat groups'!AA160</f>
        <v>0</v>
      </c>
      <c r="F130" s="455">
        <f>'G-2 Habitat groups'!AB160</f>
        <v>0</v>
      </c>
      <c r="G130" s="455">
        <f t="shared" si="10"/>
        <v>0</v>
      </c>
      <c r="H130" s="950">
        <f t="shared" si="11"/>
        <v>0</v>
      </c>
    </row>
    <row r="131" spans="1:8" ht="15">
      <c r="A131" s="1299"/>
      <c r="B131" s="951" t="s">
        <v>159</v>
      </c>
      <c r="C131" s="455">
        <f>'G-2 Habitat groups'!S161</f>
        <v>0</v>
      </c>
      <c r="D131" s="455">
        <f>'G-2 Habitat groups'!T161</f>
        <v>0</v>
      </c>
      <c r="E131" s="455">
        <f>'G-2 Habitat groups'!AA161</f>
        <v>0</v>
      </c>
      <c r="F131" s="455">
        <f>'G-2 Habitat groups'!AB161</f>
        <v>0</v>
      </c>
      <c r="G131" s="455">
        <f t="shared" si="10"/>
        <v>0</v>
      </c>
      <c r="H131" s="950">
        <f t="shared" si="11"/>
        <v>0</v>
      </c>
    </row>
    <row r="132" spans="1:8" ht="15.5" thickBot="1">
      <c r="A132" s="1299"/>
      <c r="B132" s="952" t="s">
        <v>160</v>
      </c>
      <c r="C132" s="953">
        <f>'G-2 Habitat groups'!S162</f>
        <v>0</v>
      </c>
      <c r="D132" s="953">
        <f>'G-2 Habitat groups'!T162</f>
        <v>0</v>
      </c>
      <c r="E132" s="953">
        <f>'G-2 Habitat groups'!AA162</f>
        <v>0</v>
      </c>
      <c r="F132" s="953">
        <f>'G-2 Habitat groups'!AB162</f>
        <v>0</v>
      </c>
      <c r="G132" s="953">
        <f t="shared" si="10"/>
        <v>0</v>
      </c>
      <c r="H132" s="954">
        <f t="shared" si="11"/>
        <v>0</v>
      </c>
    </row>
    <row r="133" spans="1:3" ht="14">
      <c r="A133" s="1299"/>
      <c r="B133" s="461"/>
      <c r="C133" s="461"/>
    </row>
    <row r="134" spans="1:3" ht="14">
      <c r="A134" s="1299"/>
      <c r="B134" s="461"/>
      <c r="C134" s="461"/>
    </row>
    <row r="135" spans="1:3" ht="14">
      <c r="A135" s="1299"/>
      <c r="B135" s="461"/>
      <c r="C135" s="461"/>
    </row>
    <row r="136" spans="1:3" ht="14.5" thickBot="1">
      <c r="A136" s="1299"/>
      <c r="B136" s="461"/>
      <c r="C136" s="461"/>
    </row>
    <row r="137" spans="1:8" ht="18" thickBot="1">
      <c r="A137" s="1299"/>
      <c r="B137" s="1306" t="s">
        <v>165</v>
      </c>
      <c r="C137" s="1306"/>
      <c r="D137" s="1306"/>
      <c r="E137" s="1306"/>
      <c r="F137" s="1306"/>
      <c r="G137" s="1306"/>
      <c r="H137" s="1306"/>
    </row>
    <row r="138" spans="1:8" ht="15.5" thickBot="1">
      <c r="A138" s="1299"/>
      <c r="B138" s="454"/>
      <c r="C138" s="1290" t="s">
        <v>92</v>
      </c>
      <c r="D138" s="1290"/>
      <c r="E138" s="1290" t="s">
        <v>166</v>
      </c>
      <c r="F138" s="1290"/>
      <c r="G138" s="1290" t="s">
        <v>167</v>
      </c>
      <c r="H138" s="1290"/>
    </row>
    <row r="139" spans="1:8" ht="45.5" thickBot="1">
      <c r="A139" s="1299"/>
      <c r="B139" s="946" t="s">
        <v>142</v>
      </c>
      <c r="C139" s="454" t="s">
        <v>168</v>
      </c>
      <c r="D139" s="454" t="s">
        <v>133</v>
      </c>
      <c r="E139" s="454" t="s">
        <v>169</v>
      </c>
      <c r="F139" s="454" t="s">
        <v>135</v>
      </c>
      <c r="G139" s="454" t="s">
        <v>170</v>
      </c>
      <c r="H139" s="454" t="s">
        <v>137</v>
      </c>
    </row>
    <row r="140" spans="1:8" ht="15">
      <c r="A140" s="1299"/>
      <c r="B140" s="472" t="s">
        <v>148</v>
      </c>
      <c r="C140" s="456">
        <f t="shared" si="12" ref="C140:H140">C100+C120</f>
        <v>0</v>
      </c>
      <c r="D140" s="456">
        <f t="shared" si="12"/>
        <v>0</v>
      </c>
      <c r="E140" s="456">
        <f t="shared" si="12"/>
        <v>0.037</v>
      </c>
      <c r="F140" s="456">
        <f t="shared" si="12"/>
        <v>0.45602381695903993</v>
      </c>
      <c r="G140" s="456">
        <f t="shared" si="12"/>
        <v>0.037</v>
      </c>
      <c r="H140" s="457">
        <f t="shared" si="12"/>
        <v>0.45602381695903993</v>
      </c>
    </row>
    <row r="141" spans="1:8" ht="15">
      <c r="A141" s="1299"/>
      <c r="B141" s="473" t="s">
        <v>149</v>
      </c>
      <c r="C141" s="456">
        <f t="shared" si="13" ref="C141:H141">C101+C121</f>
        <v>0</v>
      </c>
      <c r="D141" s="456">
        <f t="shared" si="13"/>
        <v>0</v>
      </c>
      <c r="E141" s="456">
        <f t="shared" si="13"/>
        <v>0</v>
      </c>
      <c r="F141" s="456">
        <f t="shared" si="13"/>
        <v>0</v>
      </c>
      <c r="G141" s="456">
        <f t="shared" si="13"/>
        <v>0</v>
      </c>
      <c r="H141" s="457">
        <f t="shared" si="13"/>
        <v>0</v>
      </c>
    </row>
    <row r="142" spans="1:8" ht="15">
      <c r="A142" s="1299"/>
      <c r="B142" s="473" t="s">
        <v>150</v>
      </c>
      <c r="C142" s="456">
        <f t="shared" si="14" ref="C142:H142">C102+C122</f>
        <v>0.017</v>
      </c>
      <c r="D142" s="456">
        <f t="shared" si="14"/>
        <v>0.33660000000000007</v>
      </c>
      <c r="E142" s="456">
        <f t="shared" si="14"/>
        <v>0.017</v>
      </c>
      <c r="F142" s="456">
        <f t="shared" si="14"/>
        <v>0.33660000000000007</v>
      </c>
      <c r="G142" s="456">
        <f t="shared" si="14"/>
        <v>0</v>
      </c>
      <c r="H142" s="457">
        <f t="shared" si="14"/>
        <v>0</v>
      </c>
    </row>
    <row r="143" spans="1:8" ht="15">
      <c r="A143" s="1299"/>
      <c r="B143" s="473" t="s">
        <v>151</v>
      </c>
      <c r="C143" s="456">
        <f t="shared" si="15" ref="C143:H143">C103+C123</f>
        <v>0.065</v>
      </c>
      <c r="D143" s="456">
        <f t="shared" si="15"/>
        <v>0.8580000000000001</v>
      </c>
      <c r="E143" s="456">
        <f t="shared" si="15"/>
        <v>0.044</v>
      </c>
      <c r="F143" s="456">
        <f t="shared" si="15"/>
        <v>0.5808000000000001</v>
      </c>
      <c r="G143" s="456">
        <f t="shared" si="15"/>
        <v>-0.021000000000000005</v>
      </c>
      <c r="H143" s="457">
        <f t="shared" si="15"/>
        <v>-0.2772</v>
      </c>
    </row>
    <row r="144" spans="1:8" ht="15">
      <c r="A144" s="1299"/>
      <c r="B144" s="473" t="s">
        <v>152</v>
      </c>
      <c r="C144" s="456">
        <f t="shared" si="16" ref="C144:H144">C104+C124</f>
        <v>0.004</v>
      </c>
      <c r="D144" s="456">
        <f t="shared" si="16"/>
        <v>0.05280000000000001</v>
      </c>
      <c r="E144" s="456">
        <f t="shared" si="16"/>
        <v>0.859</v>
      </c>
      <c r="F144" s="456">
        <f t="shared" si="16"/>
        <v>6.349099143314401</v>
      </c>
      <c r="G144" s="456">
        <f t="shared" si="16"/>
        <v>0.855</v>
      </c>
      <c r="H144" s="457">
        <f t="shared" si="16"/>
        <v>6.296299143314401</v>
      </c>
    </row>
    <row r="145" spans="1:8" ht="15">
      <c r="A145" s="1299"/>
      <c r="B145" s="473" t="s">
        <v>153</v>
      </c>
      <c r="C145" s="456">
        <f t="shared" si="17" ref="C145:H145">C105+C125</f>
        <v>0</v>
      </c>
      <c r="D145" s="456">
        <f t="shared" si="17"/>
        <v>0</v>
      </c>
      <c r="E145" s="456">
        <f t="shared" si="17"/>
        <v>0</v>
      </c>
      <c r="F145" s="456">
        <f t="shared" si="17"/>
        <v>0</v>
      </c>
      <c r="G145" s="456">
        <f t="shared" si="17"/>
        <v>0</v>
      </c>
      <c r="H145" s="457">
        <f t="shared" si="17"/>
        <v>0</v>
      </c>
    </row>
    <row r="146" spans="1:8" ht="15">
      <c r="A146" s="1299"/>
      <c r="B146" s="473" t="s">
        <v>154</v>
      </c>
      <c r="C146" s="456">
        <f t="shared" si="18" ref="C146:H146">C106+C126</f>
        <v>0</v>
      </c>
      <c r="D146" s="456">
        <f t="shared" si="18"/>
        <v>0</v>
      </c>
      <c r="E146" s="456">
        <f t="shared" si="18"/>
        <v>0</v>
      </c>
      <c r="F146" s="456">
        <f t="shared" si="18"/>
        <v>0</v>
      </c>
      <c r="G146" s="456">
        <f t="shared" si="18"/>
        <v>0</v>
      </c>
      <c r="H146" s="457">
        <f t="shared" si="18"/>
        <v>0</v>
      </c>
    </row>
    <row r="147" spans="1:8" ht="15">
      <c r="A147" s="1299"/>
      <c r="B147" s="474" t="s">
        <v>155</v>
      </c>
      <c r="C147" s="456">
        <f t="shared" si="19" ref="C147:H147">C107+C127</f>
        <v>0</v>
      </c>
      <c r="D147" s="456">
        <f t="shared" si="19"/>
        <v>0</v>
      </c>
      <c r="E147" s="456">
        <f t="shared" si="19"/>
        <v>0</v>
      </c>
      <c r="F147" s="456">
        <f t="shared" si="19"/>
        <v>0</v>
      </c>
      <c r="G147" s="456">
        <f t="shared" si="19"/>
        <v>0</v>
      </c>
      <c r="H147" s="457">
        <f t="shared" si="19"/>
        <v>0</v>
      </c>
    </row>
    <row r="148" spans="1:8" ht="15">
      <c r="A148" s="1299"/>
      <c r="B148" s="951" t="s">
        <v>156</v>
      </c>
      <c r="C148" s="456">
        <f t="shared" si="20" ref="C148:H148">C108+C128</f>
        <v>0</v>
      </c>
      <c r="D148" s="456">
        <f t="shared" si="20"/>
        <v>0</v>
      </c>
      <c r="E148" s="456">
        <f t="shared" si="20"/>
        <v>0</v>
      </c>
      <c r="F148" s="456">
        <f t="shared" si="20"/>
        <v>0</v>
      </c>
      <c r="G148" s="456">
        <f t="shared" si="20"/>
        <v>0</v>
      </c>
      <c r="H148" s="457">
        <f t="shared" si="20"/>
        <v>0</v>
      </c>
    </row>
    <row r="149" spans="1:8" ht="15">
      <c r="A149" s="1299"/>
      <c r="B149" s="951" t="s">
        <v>157</v>
      </c>
      <c r="C149" s="456">
        <f t="shared" si="21" ref="C149:H149">C109+C129</f>
        <v>0.01</v>
      </c>
      <c r="D149" s="456">
        <f t="shared" si="21"/>
        <v>0.022000000000000002</v>
      </c>
      <c r="E149" s="456">
        <f t="shared" si="21"/>
        <v>0.01</v>
      </c>
      <c r="F149" s="456">
        <f t="shared" si="21"/>
        <v>0.022000000000000002</v>
      </c>
      <c r="G149" s="456">
        <f t="shared" si="21"/>
        <v>0</v>
      </c>
      <c r="H149" s="457">
        <f t="shared" si="21"/>
        <v>0</v>
      </c>
    </row>
    <row r="150" spans="1:8" ht="15">
      <c r="A150" s="1299"/>
      <c r="B150" s="951" t="s">
        <v>158</v>
      </c>
      <c r="C150" s="456">
        <f t="shared" si="22" ref="C150:H150">C110+C130</f>
        <v>0</v>
      </c>
      <c r="D150" s="456">
        <f t="shared" si="22"/>
        <v>0</v>
      </c>
      <c r="E150" s="456">
        <f t="shared" si="22"/>
        <v>0</v>
      </c>
      <c r="F150" s="456">
        <f t="shared" si="22"/>
        <v>0</v>
      </c>
      <c r="G150" s="456">
        <f t="shared" si="22"/>
        <v>0</v>
      </c>
      <c r="H150" s="457">
        <f t="shared" si="22"/>
        <v>0</v>
      </c>
    </row>
    <row r="151" spans="1:8" ht="15">
      <c r="A151" s="1299"/>
      <c r="B151" s="951" t="s">
        <v>159</v>
      </c>
      <c r="C151" s="456">
        <f t="shared" si="23" ref="C151:H151">C111+C131</f>
        <v>0</v>
      </c>
      <c r="D151" s="456">
        <f t="shared" si="23"/>
        <v>0</v>
      </c>
      <c r="E151" s="456">
        <f t="shared" si="23"/>
        <v>0</v>
      </c>
      <c r="F151" s="456">
        <f t="shared" si="23"/>
        <v>0</v>
      </c>
      <c r="G151" s="456">
        <f t="shared" si="23"/>
        <v>0</v>
      </c>
      <c r="H151" s="457">
        <f t="shared" si="23"/>
        <v>0</v>
      </c>
    </row>
    <row r="152" spans="1:8" ht="15.5" thickBot="1">
      <c r="A152" s="1299"/>
      <c r="B152" s="952" t="s">
        <v>160</v>
      </c>
      <c r="C152" s="458">
        <f t="shared" si="24" ref="C152:H152">C112+C132</f>
        <v>0</v>
      </c>
      <c r="D152" s="458">
        <f t="shared" si="24"/>
        <v>0</v>
      </c>
      <c r="E152" s="458">
        <f t="shared" si="24"/>
        <v>0</v>
      </c>
      <c r="F152" s="458">
        <f t="shared" si="24"/>
        <v>0</v>
      </c>
      <c r="G152" s="458">
        <f t="shared" si="24"/>
        <v>0</v>
      </c>
      <c r="H152" s="459">
        <f t="shared" si="24"/>
        <v>0</v>
      </c>
    </row>
    <row r="153" spans="1:1" ht="14">
      <c r="A153" s="1299"/>
    </row>
    <row r="154" spans="1:1" ht="14.5" thickBot="1">
      <c r="A154" s="1300"/>
    </row>
    <row r="155" spans="1:1" s="451" customFormat="1" ht="32.15" customHeight="1" thickTop="1">
      <c r="A155" s="1301" t="s">
        <v>171</v>
      </c>
    </row>
    <row r="156" spans="1:1" ht="14.5" thickBot="1">
      <c r="A156" s="1302"/>
    </row>
    <row r="157" spans="1:4" ht="25.5" thickBot="1">
      <c r="A157" s="1302"/>
      <c r="B157" s="1312" t="s">
        <v>79</v>
      </c>
      <c r="C157" s="1313"/>
      <c r="D157" s="1314"/>
    </row>
    <row r="158" spans="1:1" ht="14">
      <c r="A158" s="1302"/>
    </row>
    <row r="159" spans="1:1" ht="14.5" thickBot="1">
      <c r="A159" s="1302"/>
    </row>
    <row r="160" spans="1:12" ht="28.4" customHeight="1" thickBot="1">
      <c r="A160" s="1302"/>
      <c r="B160" s="1303" t="s">
        <v>172</v>
      </c>
      <c r="C160" s="1303"/>
      <c r="D160" s="1303"/>
      <c r="E160" s="1303"/>
      <c r="F160" s="1303"/>
      <c r="G160" s="1303"/>
      <c r="H160" s="1303"/>
      <c r="J160" s="1272" t="s">
        <v>141</v>
      </c>
      <c r="K160" s="1273"/>
      <c r="L160" s="1274"/>
    </row>
    <row r="161" spans="1:12" ht="36" customHeight="1" thickBot="1">
      <c r="A161" s="1302"/>
      <c r="B161" s="454"/>
      <c r="C161" s="1290" t="s">
        <v>92</v>
      </c>
      <c r="D161" s="1290"/>
      <c r="E161" s="1290" t="s">
        <v>173</v>
      </c>
      <c r="F161" s="1290"/>
      <c r="G161" s="1290" t="s">
        <v>174</v>
      </c>
      <c r="H161" s="1290"/>
      <c r="J161" s="1275"/>
      <c r="K161" s="1276"/>
      <c r="L161" s="1277"/>
    </row>
    <row r="162" spans="1:12" ht="45.5" thickBot="1">
      <c r="A162" s="1302"/>
      <c r="B162" s="946" t="s">
        <v>175</v>
      </c>
      <c r="C162" s="454" t="s">
        <v>176</v>
      </c>
      <c r="D162" s="454" t="s">
        <v>97</v>
      </c>
      <c r="E162" s="454" t="s">
        <v>177</v>
      </c>
      <c r="F162" s="454" t="s">
        <v>99</v>
      </c>
      <c r="G162" s="454" t="s">
        <v>145</v>
      </c>
      <c r="H162" s="454" t="s">
        <v>101</v>
      </c>
      <c r="J162" s="1288" t="s">
        <v>102</v>
      </c>
      <c r="K162" s="1286" t="s">
        <v>146</v>
      </c>
      <c r="L162" s="1284" t="s">
        <v>147</v>
      </c>
    </row>
    <row r="163" spans="1:12" ht="15">
      <c r="A163" s="1302"/>
      <c r="B163" s="472" t="s">
        <v>178</v>
      </c>
      <c r="C163" s="475">
        <f>'G-2 Habitat groups'!E172</f>
        <v>0</v>
      </c>
      <c r="D163" s="475">
        <f>'G-2 Habitat groups'!F172</f>
        <v>0</v>
      </c>
      <c r="E163" s="475">
        <f>'G-2 Habitat groups'!O172</f>
        <v>0</v>
      </c>
      <c r="F163" s="475">
        <f>'G-2 Habitat groups'!P172</f>
        <v>0</v>
      </c>
      <c r="G163" s="475">
        <f t="shared" si="25" ref="G163:H167">E163-C163</f>
        <v>0</v>
      </c>
      <c r="H163" s="955">
        <f t="shared" si="25"/>
        <v>0</v>
      </c>
      <c r="J163" s="1289"/>
      <c r="K163" s="1287"/>
      <c r="L163" s="1285"/>
    </row>
    <row r="164" spans="1:12" ht="15">
      <c r="A164" s="1302"/>
      <c r="B164" s="473" t="s">
        <v>179</v>
      </c>
      <c r="C164" s="475">
        <f>'G-2 Habitat groups'!E173</f>
        <v>0</v>
      </c>
      <c r="D164" s="475">
        <f>'G-2 Habitat groups'!F173</f>
        <v>0</v>
      </c>
      <c r="E164" s="475">
        <f>'G-2 Habitat groups'!O173</f>
        <v>0</v>
      </c>
      <c r="F164" s="475">
        <f>'G-2 Habitat groups'!P173</f>
        <v>0</v>
      </c>
      <c r="G164" s="475">
        <f t="shared" si="25"/>
        <v>0</v>
      </c>
      <c r="H164" s="955">
        <f t="shared" si="25"/>
        <v>0</v>
      </c>
      <c r="J164" s="1282" t="str">
        <f>'G-1 All Habitats'!$V$3</f>
        <v>V.High</v>
      </c>
      <c r="K164" s="1280">
        <f>SUMIF('C-1 On-Site WaterC'' Baseline'!$F$10:$F$257,'Detailed Results'!J164,'C-1 On-Site WaterC'' Baseline'!$Y$10:$Y$257)+SUMIF('F-1 Off-Site WaterC'' Baseline'!$F$10:$F$257,'Detailed Results'!J164,'F-1 Off-Site WaterC'' Baseline'!$AB$10:$AB$257)</f>
        <v>0</v>
      </c>
      <c r="L164" s="1278" t="str">
        <f>IF(K164=0,"",(K164/(SUM($K$164:$K$171)))*100)</f>
        <v/>
      </c>
    </row>
    <row r="165" spans="1:12" ht="15">
      <c r="A165" s="1302"/>
      <c r="B165" s="473" t="s">
        <v>180</v>
      </c>
      <c r="C165" s="475">
        <f>'G-2 Habitat groups'!E174</f>
        <v>0.01</v>
      </c>
      <c r="D165" s="475">
        <f>'G-2 Habitat groups'!F174</f>
        <v>0.06688</v>
      </c>
      <c r="E165" s="475">
        <f>'G-2 Habitat groups'!O174</f>
        <v>0.01</v>
      </c>
      <c r="F165" s="475">
        <f>'G-2 Habitat groups'!P174</f>
        <v>0.06688</v>
      </c>
      <c r="G165" s="475">
        <f t="shared" si="25"/>
        <v>0</v>
      </c>
      <c r="H165" s="955">
        <f t="shared" si="25"/>
        <v>0</v>
      </c>
      <c r="J165" s="1283"/>
      <c r="K165" s="1281"/>
      <c r="L165" s="1279"/>
    </row>
    <row r="166" spans="1:12" ht="15">
      <c r="A166" s="1302"/>
      <c r="B166" s="473" t="s">
        <v>181</v>
      </c>
      <c r="C166" s="475">
        <f>'G-2 Habitat groups'!E175</f>
        <v>0</v>
      </c>
      <c r="D166" s="475">
        <f>'G-2 Habitat groups'!F175</f>
        <v>0</v>
      </c>
      <c r="E166" s="475">
        <f>'G-2 Habitat groups'!O175</f>
        <v>0</v>
      </c>
      <c r="F166" s="475">
        <f>'G-2 Habitat groups'!P175</f>
        <v>0</v>
      </c>
      <c r="G166" s="475">
        <f t="shared" si="25"/>
        <v>0</v>
      </c>
      <c r="H166" s="955">
        <f t="shared" si="25"/>
        <v>0</v>
      </c>
      <c r="J166" s="1282" t="str">
        <f>'G-1 All Habitats'!$V$4</f>
        <v>High</v>
      </c>
      <c r="K166" s="1280">
        <f>SUMIF('C-1 On-Site WaterC'' Baseline'!$F$10:$F$257,'Detailed Results'!J166,'C-1 On-Site WaterC'' Baseline'!$Y$10:$Y$257)+SUMIF('F-1 Off-Site WaterC'' Baseline'!$F$10:$F$257,'Detailed Results'!J166,'F-1 Off-Site WaterC'' Baseline'!$AB$10:$AB$257)</f>
        <v>0</v>
      </c>
      <c r="L166" s="1278" t="str">
        <f>IF(K166=0,"",(K166/(SUM($K$164:$K$171)))*100)</f>
        <v/>
      </c>
    </row>
    <row r="167" spans="1:12" ht="15.5" thickBot="1">
      <c r="A167" s="1302"/>
      <c r="B167" s="956" t="s">
        <v>182</v>
      </c>
      <c r="C167" s="957">
        <f>'G-2 Habitat groups'!E176</f>
        <v>0</v>
      </c>
      <c r="D167" s="957">
        <f>'G-2 Habitat groups'!F176</f>
        <v>0</v>
      </c>
      <c r="E167" s="957">
        <f>'G-2 Habitat groups'!O176</f>
        <v>0</v>
      </c>
      <c r="F167" s="957">
        <f>'G-2 Habitat groups'!P176</f>
        <v>0</v>
      </c>
      <c r="G167" s="957">
        <f t="shared" si="25"/>
        <v>0</v>
      </c>
      <c r="H167" s="958">
        <f t="shared" si="25"/>
        <v>0</v>
      </c>
      <c r="J167" s="1283"/>
      <c r="K167" s="1281"/>
      <c r="L167" s="1279"/>
    </row>
    <row r="168" spans="1:12" ht="14">
      <c r="A168" s="1302"/>
      <c r="J168" s="1282" t="str">
        <f>'G-1 All Habitats'!$V$5</f>
        <v>Medium</v>
      </c>
      <c r="K168" s="1280">
        <f>SUMIF('C-1 On-Site WaterC'' Baseline'!$F$10:$F$257,'Detailed Results'!J168,'C-1 On-Site WaterC'' Baseline'!$Y$10:$Y$257)+SUMIF('F-1 Off-Site WaterC'' Baseline'!$F$10:$F$257,'Detailed Results'!J168,'F-1 Off-Site WaterC'' Baseline'!$AB$10:$AB$257)</f>
        <v>0</v>
      </c>
      <c r="L168" s="1278" t="str">
        <f>IF(K168=0,"",(K168/(SUM($K$164:$K$171)))*100)</f>
        <v/>
      </c>
    </row>
    <row r="169" spans="1:12" ht="14">
      <c r="A169" s="1302"/>
      <c r="J169" s="1283"/>
      <c r="K169" s="1281"/>
      <c r="L169" s="1279"/>
    </row>
    <row r="170" spans="1:12" ht="14">
      <c r="A170" s="1302"/>
      <c r="J170" s="1282" t="str">
        <f>'G-1 All Habitats'!$V$6</f>
        <v>Low</v>
      </c>
      <c r="K170" s="1280">
        <f>SUMIF('C-1 On-Site WaterC'' Baseline'!$F$10:$F$257,'Detailed Results'!J170,'C-1 On-Site WaterC'' Baseline'!$Y$10:$Y$257)+SUMIF('F-1 Off-Site WaterC'' Baseline'!$F$10:$F$257,'Detailed Results'!J170,'F-1 Off-Site WaterC'' Baseline'!$AB$10:$AB$257)</f>
        <v>0</v>
      </c>
      <c r="L170" s="1278" t="str">
        <f>IF(K170=0,"",(K170/(SUM($K$164:$K$171)))*100)</f>
        <v/>
      </c>
    </row>
    <row r="171" spans="1:12" ht="14.5" thickBot="1">
      <c r="A171" s="1302"/>
      <c r="J171" s="1304"/>
      <c r="K171" s="1305"/>
      <c r="L171" s="1307"/>
    </row>
    <row r="172" spans="1:1" ht="14">
      <c r="A172" s="1302"/>
    </row>
    <row r="173" spans="1:1" ht="14">
      <c r="A173" s="1302"/>
    </row>
    <row r="174" spans="1:1" ht="14">
      <c r="A174" s="1302"/>
    </row>
    <row r="175" spans="1:1" ht="14">
      <c r="A175" s="1302"/>
    </row>
    <row r="176" spans="1:1" ht="14">
      <c r="A176" s="1302"/>
    </row>
    <row r="177" spans="1:1" ht="14">
      <c r="A177" s="1302"/>
    </row>
    <row r="178" spans="1:1" ht="14">
      <c r="A178" s="1302"/>
    </row>
    <row r="179" spans="1:1" ht="14.5" thickBot="1">
      <c r="A179" s="1302"/>
    </row>
    <row r="180" spans="1:8" ht="18" thickBot="1">
      <c r="A180" s="1302"/>
      <c r="B180" s="1306" t="s">
        <v>183</v>
      </c>
      <c r="C180" s="1306"/>
      <c r="D180" s="1306"/>
      <c r="E180" s="1306"/>
      <c r="F180" s="1306"/>
      <c r="G180" s="1306"/>
      <c r="H180" s="1306"/>
    </row>
    <row r="181" spans="1:8" ht="15.5" thickBot="1">
      <c r="A181" s="1302"/>
      <c r="B181" s="454"/>
      <c r="C181" s="1290" t="s">
        <v>92</v>
      </c>
      <c r="D181" s="1290"/>
      <c r="E181" s="1290" t="s">
        <v>184</v>
      </c>
      <c r="F181" s="1290"/>
      <c r="G181" s="1290" t="s">
        <v>185</v>
      </c>
      <c r="H181" s="1290"/>
    </row>
    <row r="182" spans="1:8" ht="45.5" thickBot="1">
      <c r="A182" s="1302"/>
      <c r="B182" s="946" t="s">
        <v>175</v>
      </c>
      <c r="C182" s="454" t="s">
        <v>162</v>
      </c>
      <c r="D182" s="454" t="s">
        <v>124</v>
      </c>
      <c r="E182" s="454" t="s">
        <v>186</v>
      </c>
      <c r="F182" s="454" t="s">
        <v>126</v>
      </c>
      <c r="G182" s="454" t="s">
        <v>164</v>
      </c>
      <c r="H182" s="454" t="s">
        <v>128</v>
      </c>
    </row>
    <row r="183" spans="1:8" ht="15">
      <c r="A183" s="1302"/>
      <c r="B183" s="472" t="s">
        <v>178</v>
      </c>
      <c r="C183" s="475">
        <f>'G-2 Habitat groups'!S172</f>
        <v>0</v>
      </c>
      <c r="D183" s="475">
        <f>'G-2 Habitat groups'!T172</f>
        <v>0</v>
      </c>
      <c r="E183" s="475">
        <f>'G-2 Habitat groups'!AA172</f>
        <v>0</v>
      </c>
      <c r="F183" s="475">
        <f>'G-2 Habitat groups'!AB172</f>
        <v>0</v>
      </c>
      <c r="G183" s="475">
        <f t="shared" si="26" ref="G183:H187">E183-C183</f>
        <v>0</v>
      </c>
      <c r="H183" s="955">
        <f t="shared" si="26"/>
        <v>0</v>
      </c>
    </row>
    <row r="184" spans="1:8" ht="15">
      <c r="A184" s="1302"/>
      <c r="B184" s="473" t="s">
        <v>179</v>
      </c>
      <c r="C184" s="475">
        <f>'G-2 Habitat groups'!S173</f>
        <v>0</v>
      </c>
      <c r="D184" s="475">
        <f>'G-2 Habitat groups'!T173</f>
        <v>0</v>
      </c>
      <c r="E184" s="475">
        <f>'G-2 Habitat groups'!AA173</f>
        <v>0</v>
      </c>
      <c r="F184" s="475">
        <f>'G-2 Habitat groups'!AB173</f>
        <v>0</v>
      </c>
      <c r="G184" s="475">
        <f t="shared" si="26"/>
        <v>0</v>
      </c>
      <c r="H184" s="955">
        <f t="shared" si="26"/>
        <v>0</v>
      </c>
    </row>
    <row r="185" spans="1:8" ht="15">
      <c r="A185" s="1302"/>
      <c r="B185" s="473" t="s">
        <v>180</v>
      </c>
      <c r="C185" s="475">
        <f>'G-2 Habitat groups'!S174</f>
        <v>0</v>
      </c>
      <c r="D185" s="475">
        <f>'G-2 Habitat groups'!T174</f>
        <v>0</v>
      </c>
      <c r="E185" s="475">
        <f>'G-2 Habitat groups'!AA174</f>
        <v>0</v>
      </c>
      <c r="F185" s="475">
        <f>'G-2 Habitat groups'!AB174</f>
        <v>0</v>
      </c>
      <c r="G185" s="475">
        <f t="shared" si="26"/>
        <v>0</v>
      </c>
      <c r="H185" s="955">
        <f t="shared" si="26"/>
        <v>0</v>
      </c>
    </row>
    <row r="186" spans="1:8" ht="15">
      <c r="A186" s="1302"/>
      <c r="B186" s="473" t="s">
        <v>181</v>
      </c>
      <c r="C186" s="475">
        <f>'G-2 Habitat groups'!S175</f>
        <v>0</v>
      </c>
      <c r="D186" s="475">
        <f>'G-2 Habitat groups'!T175</f>
        <v>0</v>
      </c>
      <c r="E186" s="475">
        <f>'G-2 Habitat groups'!AA175</f>
        <v>0</v>
      </c>
      <c r="F186" s="475">
        <f>'G-2 Habitat groups'!AB175</f>
        <v>0</v>
      </c>
      <c r="G186" s="475">
        <f t="shared" si="26"/>
        <v>0</v>
      </c>
      <c r="H186" s="955">
        <f t="shared" si="26"/>
        <v>0</v>
      </c>
    </row>
    <row r="187" spans="1:8" ht="15.5" thickBot="1">
      <c r="A187" s="1302"/>
      <c r="B187" s="956" t="s">
        <v>182</v>
      </c>
      <c r="C187" s="957">
        <f>'G-2 Habitat groups'!S176</f>
        <v>0</v>
      </c>
      <c r="D187" s="957">
        <f>'G-2 Habitat groups'!T176</f>
        <v>0</v>
      </c>
      <c r="E187" s="957">
        <f>'G-2 Habitat groups'!AA176</f>
        <v>0</v>
      </c>
      <c r="F187" s="957">
        <f>'G-2 Habitat groups'!AB176</f>
        <v>0</v>
      </c>
      <c r="G187" s="957">
        <f t="shared" si="26"/>
        <v>0</v>
      </c>
      <c r="H187" s="958">
        <f t="shared" si="26"/>
        <v>0</v>
      </c>
    </row>
    <row r="188" spans="1:8" ht="14">
      <c r="A188" s="1302"/>
      <c r="B188" s="461"/>
      <c r="C188" s="461"/>
      <c r="D188" s="461"/>
      <c r="E188" s="461"/>
      <c r="F188" s="461"/>
      <c r="G188" s="461"/>
      <c r="H188" s="461"/>
    </row>
    <row r="189" spans="1:8" ht="14">
      <c r="A189" s="1302"/>
      <c r="B189" s="461"/>
      <c r="C189" s="461"/>
      <c r="D189" s="461"/>
      <c r="E189" s="461"/>
      <c r="F189" s="461"/>
      <c r="G189" s="461"/>
      <c r="H189" s="461"/>
    </row>
    <row r="190" spans="1:8" ht="14">
      <c r="A190" s="1302"/>
      <c r="B190" s="461"/>
      <c r="C190" s="461"/>
      <c r="D190" s="461"/>
      <c r="E190" s="461"/>
      <c r="F190" s="461"/>
      <c r="G190" s="461"/>
      <c r="H190" s="461"/>
    </row>
    <row r="191" spans="1:8" ht="14">
      <c r="A191" s="1302"/>
      <c r="B191" s="461"/>
      <c r="C191" s="461"/>
      <c r="D191" s="461"/>
      <c r="E191" s="461"/>
      <c r="F191" s="461"/>
      <c r="G191" s="461"/>
      <c r="H191" s="461"/>
    </row>
    <row r="192" spans="1:8" ht="14">
      <c r="A192" s="1302"/>
      <c r="B192" s="461"/>
      <c r="C192" s="461"/>
      <c r="D192" s="461"/>
      <c r="E192" s="461"/>
      <c r="F192" s="461"/>
      <c r="G192" s="461"/>
      <c r="H192" s="461"/>
    </row>
    <row r="193" spans="1:8" ht="14">
      <c r="A193" s="1302"/>
      <c r="B193" s="461"/>
      <c r="C193" s="461"/>
      <c r="D193" s="461"/>
      <c r="E193" s="461"/>
      <c r="F193" s="461"/>
      <c r="G193" s="461"/>
      <c r="H193" s="461"/>
    </row>
    <row r="194" spans="1:8" ht="14">
      <c r="A194" s="1302"/>
      <c r="B194" s="461"/>
      <c r="C194" s="461"/>
      <c r="D194" s="461"/>
      <c r="E194" s="461"/>
      <c r="F194" s="461"/>
      <c r="G194" s="461"/>
      <c r="H194" s="461"/>
    </row>
    <row r="195" spans="1:8" ht="14">
      <c r="A195" s="1302"/>
      <c r="B195" s="461"/>
      <c r="C195" s="461"/>
      <c r="D195" s="461"/>
      <c r="E195" s="461"/>
      <c r="F195" s="461"/>
      <c r="G195" s="461"/>
      <c r="H195" s="461"/>
    </row>
    <row r="196" spans="1:3" ht="14">
      <c r="A196" s="1302"/>
      <c r="B196" s="461"/>
      <c r="C196" s="461"/>
    </row>
    <row r="197" spans="1:3" ht="14">
      <c r="A197" s="1302"/>
      <c r="B197" s="461"/>
      <c r="C197" s="461"/>
    </row>
    <row r="198" spans="1:3" ht="14">
      <c r="A198" s="1302"/>
      <c r="B198" s="461"/>
      <c r="C198" s="461"/>
    </row>
    <row r="199" spans="1:3" ht="14.5" thickBot="1">
      <c r="A199" s="1302"/>
      <c r="B199" s="461"/>
      <c r="C199" s="461"/>
    </row>
    <row r="200" spans="1:8" ht="18" thickBot="1">
      <c r="A200" s="1302"/>
      <c r="B200" s="1306" t="s">
        <v>187</v>
      </c>
      <c r="C200" s="1306"/>
      <c r="D200" s="1306"/>
      <c r="E200" s="1306"/>
      <c r="F200" s="1306"/>
      <c r="G200" s="1306"/>
      <c r="H200" s="1306"/>
    </row>
    <row r="201" spans="1:8" ht="15.5" thickBot="1">
      <c r="A201" s="1302"/>
      <c r="B201" s="454"/>
      <c r="C201" s="1290" t="s">
        <v>92</v>
      </c>
      <c r="D201" s="1290"/>
      <c r="E201" s="1290" t="s">
        <v>93</v>
      </c>
      <c r="F201" s="1290"/>
      <c r="G201" s="1290" t="s">
        <v>94</v>
      </c>
      <c r="H201" s="1290"/>
    </row>
    <row r="202" spans="1:8" ht="45.5" thickBot="1">
      <c r="A202" s="1302"/>
      <c r="B202" s="946" t="s">
        <v>175</v>
      </c>
      <c r="C202" s="454" t="s">
        <v>168</v>
      </c>
      <c r="D202" s="454" t="s">
        <v>133</v>
      </c>
      <c r="E202" s="454" t="s">
        <v>169</v>
      </c>
      <c r="F202" s="454" t="s">
        <v>135</v>
      </c>
      <c r="G202" s="454" t="s">
        <v>170</v>
      </c>
      <c r="H202" s="454" t="s">
        <v>137</v>
      </c>
    </row>
    <row r="203" spans="1:8" ht="15">
      <c r="A203" s="1302"/>
      <c r="B203" s="472" t="s">
        <v>178</v>
      </c>
      <c r="C203" s="475">
        <f t="shared" si="27" ref="C203:H204">C163+C183</f>
        <v>0</v>
      </c>
      <c r="D203" s="475">
        <f t="shared" si="27"/>
        <v>0</v>
      </c>
      <c r="E203" s="475">
        <f t="shared" si="27"/>
        <v>0</v>
      </c>
      <c r="F203" s="475">
        <f t="shared" si="27"/>
        <v>0</v>
      </c>
      <c r="G203" s="475">
        <f t="shared" si="27"/>
        <v>0</v>
      </c>
      <c r="H203" s="955">
        <f t="shared" si="27"/>
        <v>0</v>
      </c>
    </row>
    <row r="204" spans="1:8" ht="15">
      <c r="A204" s="1302"/>
      <c r="B204" s="473" t="s">
        <v>179</v>
      </c>
      <c r="C204" s="475">
        <f t="shared" si="27"/>
        <v>0</v>
      </c>
      <c r="D204" s="475">
        <f t="shared" si="27"/>
        <v>0</v>
      </c>
      <c r="E204" s="475">
        <f t="shared" si="27"/>
        <v>0</v>
      </c>
      <c r="F204" s="475">
        <f t="shared" si="27"/>
        <v>0</v>
      </c>
      <c r="G204" s="475">
        <f t="shared" si="27"/>
        <v>0</v>
      </c>
      <c r="H204" s="955">
        <f t="shared" si="27"/>
        <v>0</v>
      </c>
    </row>
    <row r="205" spans="1:8" ht="15">
      <c r="A205" s="1302"/>
      <c r="B205" s="473" t="s">
        <v>180</v>
      </c>
      <c r="C205" s="475">
        <f t="shared" si="28" ref="C205:H205">C165+C185</f>
        <v>0.01</v>
      </c>
      <c r="D205" s="475">
        <f t="shared" si="28"/>
        <v>0.06688</v>
      </c>
      <c r="E205" s="475">
        <f t="shared" si="28"/>
        <v>0.01</v>
      </c>
      <c r="F205" s="475">
        <f t="shared" si="28"/>
        <v>0.06688</v>
      </c>
      <c r="G205" s="475">
        <f t="shared" si="28"/>
        <v>0</v>
      </c>
      <c r="H205" s="955">
        <f t="shared" si="28"/>
        <v>0</v>
      </c>
    </row>
    <row r="206" spans="1:8" ht="15">
      <c r="A206" s="1302"/>
      <c r="B206" s="473" t="s">
        <v>181</v>
      </c>
      <c r="C206" s="475">
        <f t="shared" si="29" ref="C206:H206">C166+C186</f>
        <v>0</v>
      </c>
      <c r="D206" s="475">
        <f t="shared" si="29"/>
        <v>0</v>
      </c>
      <c r="E206" s="475">
        <f t="shared" si="29"/>
        <v>0</v>
      </c>
      <c r="F206" s="475">
        <f t="shared" si="29"/>
        <v>0</v>
      </c>
      <c r="G206" s="475">
        <f t="shared" si="29"/>
        <v>0</v>
      </c>
      <c r="H206" s="955">
        <f t="shared" si="29"/>
        <v>0</v>
      </c>
    </row>
    <row r="207" spans="1:8" ht="15.5" thickBot="1">
      <c r="A207" s="1302"/>
      <c r="B207" s="956" t="s">
        <v>182</v>
      </c>
      <c r="C207" s="957">
        <f t="shared" si="30" ref="C207:H207">C167+C187</f>
        <v>0</v>
      </c>
      <c r="D207" s="957">
        <f t="shared" si="30"/>
        <v>0</v>
      </c>
      <c r="E207" s="957">
        <f t="shared" si="30"/>
        <v>0</v>
      </c>
      <c r="F207" s="957">
        <f t="shared" si="30"/>
        <v>0</v>
      </c>
      <c r="G207" s="957">
        <f t="shared" si="30"/>
        <v>0</v>
      </c>
      <c r="H207" s="958">
        <f t="shared" si="30"/>
        <v>0</v>
      </c>
    </row>
    <row r="208" spans="1:8" ht="14">
      <c r="A208" s="1302"/>
      <c r="B208" s="461"/>
      <c r="C208" s="461"/>
      <c r="D208" s="461"/>
      <c r="E208" s="461"/>
      <c r="F208" s="461"/>
      <c r="G208" s="461"/>
      <c r="H208" s="461"/>
    </row>
    <row r="209" spans="1:8" ht="14">
      <c r="A209" s="1302"/>
      <c r="B209" s="461"/>
      <c r="C209" s="461"/>
      <c r="D209" s="461"/>
      <c r="E209" s="461"/>
      <c r="F209" s="461"/>
      <c r="G209" s="461"/>
      <c r="H209" s="461"/>
    </row>
    <row r="210" spans="1:8" ht="14">
      <c r="A210" s="1302"/>
      <c r="B210" s="461"/>
      <c r="C210" s="461"/>
      <c r="D210" s="461"/>
      <c r="E210" s="461"/>
      <c r="F210" s="461"/>
      <c r="G210" s="461"/>
      <c r="H210" s="461"/>
    </row>
    <row r="211" spans="1:8" ht="14">
      <c r="A211" s="1302"/>
      <c r="B211" s="461"/>
      <c r="C211" s="461"/>
      <c r="D211" s="461"/>
      <c r="E211" s="461"/>
      <c r="F211" s="461"/>
      <c r="G211" s="461"/>
      <c r="H211" s="461"/>
    </row>
    <row r="212" spans="2:8" ht="14">
      <c r="B212" s="461"/>
      <c r="C212" s="461"/>
      <c r="D212" s="461"/>
      <c r="E212" s="461"/>
      <c r="F212" s="461"/>
      <c r="G212" s="461"/>
      <c r="H212" s="461"/>
    </row>
    <row r="213" spans="2:8" ht="14">
      <c r="B213" s="461"/>
      <c r="C213" s="461"/>
      <c r="D213" s="461"/>
      <c r="E213" s="461"/>
      <c r="F213" s="461"/>
      <c r="G213" s="461"/>
      <c r="H213" s="461"/>
    </row>
    <row r="214" spans="2:8" ht="14">
      <c r="B214" s="461"/>
      <c r="C214" s="461"/>
      <c r="D214" s="461"/>
      <c r="E214" s="461"/>
      <c r="F214" s="461"/>
      <c r="G214" s="461"/>
      <c r="H214" s="461"/>
    </row>
    <row r="215" spans="2:8" ht="14">
      <c r="B215" s="461"/>
      <c r="C215" s="461"/>
      <c r="D215" s="461"/>
      <c r="E215" s="461"/>
      <c r="F215" s="461"/>
      <c r="G215" s="461"/>
      <c r="H215" s="461"/>
    </row>
    <row r="216" ht="14"/>
    <row r="217" ht="14"/>
    <row r="218" ht="14"/>
    <row r="219" ht="14"/>
  </sheetData>
  <sheetProtection algorithmName="SHA-512" hashValue="80k5IY2u052YVJ57KsXM4kHDMiUQN90eYbLTmLDdsVmHmtr0DhLqfS7qUVHDujifB55o5BLhF6JySdjIbuRf4A==" saltValue="E54/LyJOgSwlGsMmLVFxGw==" spinCount="100000" sheet="1" objects="1" scenarios="1"/>
  <customSheetViews>
    <customSheetView guid="{8bda793c-c9c5-4fc6-a0a5-f1109f6d4f22}" scale="80" state="hidden" topLeftCell="A1">
      <selection pane="topLeft" activeCell="D14" sqref="D14"/>
      <pageMargins left="0.75" right="0.75" top="1" bottom="1" header="0.5" footer="0.5"/>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L168:L169"/>
    <mergeCell ref="J170:J171"/>
    <mergeCell ref="K170:K171"/>
    <mergeCell ref="L170:L171"/>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J160:L161"/>
    <mergeCell ref="L166:L167"/>
    <mergeCell ref="K166:K167"/>
    <mergeCell ref="J166:J167"/>
    <mergeCell ref="L164:L165"/>
    <mergeCell ref="K164:K165"/>
    <mergeCell ref="J164:J165"/>
    <mergeCell ref="L162:L163"/>
    <mergeCell ref="K162:K163"/>
    <mergeCell ref="J162:J163"/>
  </mergeCells>
  <conditionalFormatting sqref="K40 K42 K44 K46 K48">
    <cfRule type="cellIs" priority="95" dxfId="1266" operator="greaterThan">
      <formula>0</formula>
    </cfRule>
  </conditionalFormatting>
  <conditionalFormatting sqref="H14:I16">
    <cfRule type="containsText" priority="14" dxfId="1268" operator="containsText" text="N/A">
      <formula>NOT(ISERROR(SEARCH("N/A",H14)))</formula>
    </cfRule>
    <cfRule type="cellIs" priority="352" dxfId="1279" operator="equal">
      <formula>"Error"</formula>
    </cfRule>
  </conditionalFormatting>
  <conditionalFormatting sqref="D21:D22">
    <cfRule type="cellIs" priority="49" dxfId="1273" operator="equal">
      <formula>"Error ▲"</formula>
    </cfRule>
  </conditionalFormatting>
  <conditionalFormatting sqref="D24:D25">
    <cfRule type="cellIs" priority="48" dxfId="1273" operator="equal">
      <formula>"Error ▲"</formula>
    </cfRule>
  </conditionalFormatting>
  <conditionalFormatting sqref="D27:D28">
    <cfRule type="cellIs" priority="47" dxfId="1273" operator="equal">
      <formula>"Error ▲"</formula>
    </cfRule>
  </conditionalFormatting>
  <conditionalFormatting sqref="D30:D31">
    <cfRule type="cellIs" priority="26" dxfId="1273" operator="equal">
      <formula>"Error ▲"</formula>
    </cfRule>
  </conditionalFormatting>
  <conditionalFormatting sqref="H10:I12 H14:I16">
    <cfRule type="containsText" priority="1" dxfId="1281" operator="containsText" text="Check">
      <formula>NOT(ISERROR(SEARCH("Check",H10)))</formula>
    </cfRule>
  </conditionalFormatting>
  <conditionalFormatting sqref="I16">
    <cfRule type="expression" priority="345" dxfId="1281">
      <formula>AND($H$21&gt;0,$H$16&lt;0.1)</formula>
    </cfRule>
  </conditionalFormatting>
  <conditionalFormatting sqref="H15">
    <cfRule type="expression" priority="358" dxfId="1281">
      <formula>AND($F$21&gt;0,$H$15&lt;0.1)</formula>
    </cfRule>
  </conditionalFormatting>
  <conditionalFormatting sqref="H10:I10">
    <cfRule type="cellIs" priority="357" dxfId="1279" operator="equal">
      <formula>"Error"</formula>
    </cfRule>
  </conditionalFormatting>
  <conditionalFormatting sqref="H14">
    <cfRule type="expression" priority="359" dxfId="1257">
      <formula>AND($D$21&gt;0,$H$14&lt;0.1)</formula>
    </cfRule>
  </conditionalFormatting>
  <conditionalFormatting sqref="K103 K105 K107 K109">
    <cfRule type="cellIs" priority="11" dxfId="1266" operator="greaterThan">
      <formula>0</formula>
    </cfRule>
  </conditionalFormatting>
  <conditionalFormatting sqref="K164">
    <cfRule type="cellIs" priority="10" dxfId="1266" operator="greaterThan">
      <formula>0</formula>
    </cfRule>
  </conditionalFormatting>
  <conditionalFormatting sqref="K166 K168 K170">
    <cfRule type="cellIs" priority="9" dxfId="1266" operator="greaterThan">
      <formula>0</formula>
    </cfRule>
  </conditionalFormatting>
  <conditionalFormatting sqref="K101">
    <cfRule type="cellIs" priority="8" dxfId="1266" operator="greaterThan">
      <formula>0</formula>
    </cfRule>
  </conditionalFormatting>
  <conditionalFormatting sqref="H15:I15">
    <cfRule type="expression" priority="340" dxfId="1281">
      <formula>AND($F$21&gt;0,$H$16&lt;0.1)</formula>
    </cfRule>
  </conditionalFormatting>
  <conditionalFormatting sqref="H16:I16">
    <cfRule type="expression" priority="67" dxfId="1281">
      <formula>AND($H$21&gt;0,$H$16&lt;0.1)</formula>
    </cfRule>
  </conditionalFormatting>
  <conditionalFormatting sqref="H15:I15">
    <cfRule type="expression" priority="3" dxfId="1287">
      <formula>'Headline Results'!$H$9:$I$9=0</formula>
    </cfRule>
  </conditionalFormatting>
  <conditionalFormatting sqref="H16:I16">
    <cfRule type="expression" priority="2" dxfId="1287">
      <formula>'Headline Results'!$H$10:$I$10=0</formula>
    </cfRule>
  </conditionalFormatting>
  <conditionalFormatting sqref="H14:I16">
    <cfRule type="cellIs" priority="5" dxfId="1285" operator="lessThan">
      <formula>Start!$F$22</formula>
    </cfRule>
  </conditionalFormatting>
  <conditionalFormatting sqref="H15:H16">
    <cfRule type="cellIs" priority="7" dxfId="1282" operator="greaterThanOrEqual">
      <formula>Start!$F$22</formula>
    </cfRule>
  </conditionalFormatting>
  <conditionalFormatting sqref="H14">
    <cfRule type="cellIs" priority="351" dxfId="1282" operator="greaterThanOrEqual">
      <formula>Start!$F$22</formula>
    </cfRule>
  </conditionalFormatting>
  <conditionalFormatting sqref="H14:I14">
    <cfRule type="expression" priority="4" dxfId="1288">
      <formula>'Headline Results'!$H$8:$I$8=0</formula>
    </cfRule>
  </conditionalFormatting>
  <pageMargins left="0.7" right="0.7" top="0.75" bottom="0.75" header="0.3" footer="0.3"/>
  <pageSetup orientation="portrait" paperSize="9"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Q302"/>
  <sheetViews>
    <sheetView zoomScale="80" zoomScaleNormal="80" workbookViewId="0" topLeftCell="A88">
      <selection pane="topLeft" activeCell="F109" sqref="F109"/>
    </sheetView>
  </sheetViews>
  <sheetFormatPr defaultColWidth="11.4542857142857" defaultRowHeight="14" zeroHeight="1"/>
  <cols>
    <col min="1" max="1" width="17" style="30" customWidth="1"/>
    <col min="2" max="2" width="104.571428571429" style="30" bestFit="1" customWidth="1"/>
    <col min="3" max="3" width="24.4285714285714" style="30" bestFit="1" customWidth="1"/>
    <col min="4" max="4" width="10.5714285714286" style="30" bestFit="1" customWidth="1"/>
    <col min="5" max="5" width="10.4285714285714" style="30" bestFit="1" customWidth="1"/>
    <col min="6" max="6" width="18.4285714285714" style="30" customWidth="1"/>
    <col min="7" max="7" width="31" style="30" customWidth="1"/>
    <col min="8" max="8" width="5" style="30" customWidth="1"/>
    <col min="9" max="9" width="15.5714285714286" style="30" customWidth="1"/>
    <col min="10" max="10" width="38.5714285714286" style="30" customWidth="1"/>
    <col min="11" max="11" width="15.4285714285714" style="30" customWidth="1"/>
    <col min="12" max="12" width="4.57142857142857" style="30" customWidth="1"/>
    <col min="13" max="13" width="4.42857142857143" style="30" customWidth="1"/>
    <col min="14" max="14" width="9.42857142857143" style="30" customWidth="1"/>
    <col min="15" max="16380" width="0" style="30" hidden="1" customWidth="1"/>
    <col min="16381" max="16384" width="11.4285714285714" style="30"/>
  </cols>
  <sheetData>
    <row r="1" spans="1:17" ht="15" thickBot="1">
      <c r="A1" s="256"/>
      <c r="B1" s="32"/>
      <c r="C1" s="32"/>
      <c r="D1" s="32"/>
      <c r="E1" s="32"/>
      <c r="G1" s="32"/>
      <c r="H1" s="32"/>
      <c r="I1" s="32"/>
      <c r="J1" s="32"/>
      <c r="K1" s="32"/>
      <c r="L1" s="32"/>
      <c r="M1" s="32"/>
      <c r="N1" s="32"/>
      <c r="O1" s="32"/>
      <c r="P1" s="32"/>
      <c r="Q1" s="32"/>
    </row>
    <row r="2" spans="1:17" ht="25">
      <c r="A2" s="32"/>
      <c r="B2" s="1371" t="s">
        <v>188</v>
      </c>
      <c r="C2" s="1372"/>
      <c r="D2" s="1372"/>
      <c r="E2" s="1372"/>
      <c r="F2" s="1372"/>
      <c r="G2" s="1372"/>
      <c r="H2" s="1373"/>
      <c r="I2" s="32"/>
      <c r="J2" s="32"/>
      <c r="K2" s="32"/>
      <c r="L2" s="32"/>
      <c r="M2" s="32"/>
      <c r="N2" s="32"/>
      <c r="O2" s="32"/>
      <c r="P2" s="32"/>
      <c r="Q2" s="32"/>
    </row>
    <row r="3" spans="1:17" ht="15" customHeight="1">
      <c r="A3" s="32"/>
      <c r="B3" s="1385" t="s">
        <v>189</v>
      </c>
      <c r="C3" s="1374" t="s">
        <v>190</v>
      </c>
      <c r="D3" s="1374"/>
      <c r="E3" s="1374"/>
      <c r="F3" s="1374"/>
      <c r="G3" s="1374" t="s">
        <v>191</v>
      </c>
      <c r="H3" s="1375"/>
      <c r="I3" s="174"/>
      <c r="J3" s="174"/>
      <c r="K3" s="174"/>
      <c r="L3" s="32"/>
      <c r="M3" s="32"/>
      <c r="N3" s="32"/>
      <c r="O3" s="32"/>
      <c r="P3" s="32"/>
      <c r="Q3" s="32"/>
    </row>
    <row r="4" spans="1:17" ht="14.25" customHeight="1">
      <c r="A4" s="32"/>
      <c r="B4" s="1385"/>
      <c r="C4" s="1374"/>
      <c r="D4" s="1374"/>
      <c r="E4" s="1374"/>
      <c r="F4" s="1374"/>
      <c r="G4" s="1374"/>
      <c r="H4" s="1375"/>
      <c r="I4" s="174"/>
      <c r="J4" s="174"/>
      <c r="K4" s="174"/>
      <c r="L4" s="32"/>
      <c r="M4" s="32"/>
      <c r="N4" s="32"/>
      <c r="O4" s="32"/>
      <c r="P4" s="32"/>
      <c r="Q4" s="32"/>
    </row>
    <row r="5" spans="1:17" ht="20">
      <c r="A5" s="32"/>
      <c r="B5" s="86" t="s">
        <v>192</v>
      </c>
      <c r="C5" s="1386" t="s">
        <v>193</v>
      </c>
      <c r="D5" s="1386"/>
      <c r="E5" s="1386"/>
      <c r="F5" s="1386"/>
      <c r="G5" s="1376" t="str">
        <f>IFERROR(IF(G33&lt;0,"No ▲","Yes ✓"),"")</f>
        <v>Yes ✓</v>
      </c>
      <c r="H5" s="1377"/>
      <c r="I5" s="174"/>
      <c r="J5" s="174"/>
      <c r="K5" s="174"/>
      <c r="L5" s="32"/>
      <c r="M5" s="32"/>
      <c r="N5" s="32"/>
      <c r="O5" s="32"/>
      <c r="P5" s="32"/>
      <c r="Q5" s="32"/>
    </row>
    <row r="6" spans="1:17" ht="22.5" customHeight="1">
      <c r="A6" s="32"/>
      <c r="B6" s="86" t="s">
        <v>194</v>
      </c>
      <c r="C6" s="1387" t="s">
        <v>195</v>
      </c>
      <c r="D6" s="1387"/>
      <c r="E6" s="1387"/>
      <c r="F6" s="1387"/>
      <c r="G6" s="1376" t="str">
        <f>IFERROR(IF(K41&lt;0,"No ▲","Yes ✓"),"")</f>
        <v>Yes ✓</v>
      </c>
      <c r="H6" s="1377"/>
      <c r="I6" s="32"/>
      <c r="J6" s="32"/>
      <c r="K6" s="32"/>
      <c r="L6" s="32"/>
      <c r="M6" s="32"/>
      <c r="N6" s="32"/>
      <c r="O6" s="32"/>
      <c r="P6" s="32"/>
      <c r="Q6" s="32"/>
    </row>
    <row r="7" spans="1:17" ht="19.5" customHeight="1">
      <c r="A7" s="32"/>
      <c r="B7" s="86" t="s">
        <v>46</v>
      </c>
      <c r="C7" s="1388" t="s">
        <v>196</v>
      </c>
      <c r="D7" s="1388"/>
      <c r="E7" s="1388"/>
      <c r="F7" s="1388"/>
      <c r="G7" s="1390" t="str">
        <f>IF(K40+K12+K89&lt;0,"No ▲","Yes ✓")</f>
        <v>Yes ✓</v>
      </c>
      <c r="H7" s="1391"/>
      <c r="I7" s="32"/>
      <c r="J7" s="32"/>
      <c r="K7" s="32"/>
      <c r="L7" s="32"/>
      <c r="M7" s="32"/>
      <c r="N7" s="32"/>
      <c r="O7" s="32"/>
      <c r="P7" s="32"/>
      <c r="Q7" s="32"/>
    </row>
    <row r="8" spans="1:17" ht="18.75" customHeight="1" thickBot="1">
      <c r="A8" s="32"/>
      <c r="B8" s="65" t="s">
        <v>197</v>
      </c>
      <c r="C8" s="1389" t="s">
        <v>198</v>
      </c>
      <c r="D8" s="1389"/>
      <c r="E8" s="1389"/>
      <c r="F8" s="1389"/>
      <c r="G8" s="1392" t="str">
        <f>IF(K125&lt;0,"No ▲","Yes ✓")</f>
        <v>Yes ✓</v>
      </c>
      <c r="H8" s="1393"/>
      <c r="I8" s="32"/>
      <c r="J8" s="32"/>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5" thickBot="1">
      <c r="A10" s="32"/>
      <c r="B10" s="32"/>
      <c r="C10" s="32"/>
      <c r="D10" s="32"/>
      <c r="E10" s="32"/>
      <c r="F10" s="32"/>
      <c r="G10" s="32"/>
      <c r="H10" s="32"/>
      <c r="I10" s="32"/>
      <c r="J10" s="32"/>
      <c r="K10" s="32"/>
      <c r="L10" s="32"/>
      <c r="M10" s="32"/>
      <c r="N10" s="32"/>
      <c r="O10" s="32"/>
      <c r="P10" s="32"/>
      <c r="Q10" s="32"/>
    </row>
    <row r="11" spans="1:17" ht="51" customHeight="1" thickBot="1">
      <c r="A11" s="32"/>
      <c r="B11" s="1365" t="s">
        <v>199</v>
      </c>
      <c r="C11" s="1366"/>
      <c r="D11" s="1366"/>
      <c r="E11" s="1366"/>
      <c r="F11" s="1366"/>
      <c r="G11" s="1366"/>
      <c r="H11" s="1367"/>
      <c r="J11" s="1411" t="s">
        <v>200</v>
      </c>
      <c r="K11" s="1412"/>
      <c r="L11" s="1413"/>
      <c r="M11" s="32"/>
      <c r="N11" s="32"/>
      <c r="O11" s="32"/>
      <c r="P11" s="32"/>
      <c r="Q11" s="32"/>
    </row>
    <row r="12" spans="1:17" s="33" customFormat="1" ht="71.15" customHeight="1">
      <c r="A12" s="32"/>
      <c r="B12" s="532" t="s">
        <v>95</v>
      </c>
      <c r="C12" s="504" t="s">
        <v>201</v>
      </c>
      <c r="D12" s="504" t="s">
        <v>202</v>
      </c>
      <c r="E12" s="504" t="s">
        <v>128</v>
      </c>
      <c r="F12" s="504" t="s">
        <v>203</v>
      </c>
      <c r="G12" s="1381" t="s">
        <v>204</v>
      </c>
      <c r="H12" s="1382"/>
      <c r="J12" s="831" t="s">
        <v>205</v>
      </c>
      <c r="K12" s="832">
        <f>SUMIF($F$13:$F$32,"&gt;0")</f>
        <v>0</v>
      </c>
      <c r="L12" s="833" t="str">
        <f>IF(K12=0,"",IF(K12&lt;0,"⚠","✓"))</f>
        <v/>
      </c>
      <c r="M12" s="32"/>
      <c r="N12" s="32"/>
      <c r="O12" s="32"/>
      <c r="P12" s="32"/>
      <c r="Q12" s="32"/>
    </row>
    <row r="13" spans="1:17" ht="36" customHeight="1" thickBot="1">
      <c r="A13" s="32"/>
      <c r="B13" s="215" t="str">
        <f>'G-2 Habitat groups'!AU5</f>
        <v>Grassland - Lowland dry acid grassland</v>
      </c>
      <c r="C13" s="216" t="str">
        <f>'G-2 Habitat groups'!AV5</f>
        <v>Grassland</v>
      </c>
      <c r="D13" s="268">
        <f>'G-2 Habitat groups'!BB5</f>
        <v>0</v>
      </c>
      <c r="E13" s="268">
        <f>'G-2 Habitat groups'!BD5</f>
        <v>0</v>
      </c>
      <c r="F13" s="807">
        <f>'G-2 Habitat groups'!BE5</f>
        <v>0</v>
      </c>
      <c r="G13" s="807" t="str">
        <f>'G-2 Habitat groups'!BF5</f>
        <v/>
      </c>
      <c r="H13" s="820" t="str">
        <f>IF(F13=0,"",IF(F13&lt;0,"▲","✓"))</f>
        <v/>
      </c>
      <c r="J13" s="829" t="s">
        <v>206</v>
      </c>
      <c r="K13" s="834">
        <f>G33</f>
        <v>0</v>
      </c>
      <c r="L13" s="285" t="str">
        <f>IF(K13=0,"",IF(K13&lt;0,"▲","✓"))</f>
        <v/>
      </c>
      <c r="M13" s="32"/>
      <c r="N13" s="32"/>
      <c r="O13" s="32"/>
      <c r="P13" s="32"/>
      <c r="Q13" s="32"/>
    </row>
    <row r="14" spans="1:17" ht="14">
      <c r="A14" s="32"/>
      <c r="B14" s="215" t="str">
        <f>'G-2 Habitat groups'!AU6</f>
        <v>Grassland - Lowland meadows</v>
      </c>
      <c r="C14" s="216" t="str">
        <f>'G-2 Habitat groups'!AV6</f>
        <v>Grassland</v>
      </c>
      <c r="D14" s="268">
        <f>'G-2 Habitat groups'!BB6</f>
        <v>0</v>
      </c>
      <c r="E14" s="268">
        <f>'G-2 Habitat groups'!BD6</f>
        <v>0</v>
      </c>
      <c r="F14" s="807">
        <f>'G-2 Habitat groups'!BE6</f>
        <v>0</v>
      </c>
      <c r="G14" s="807" t="str">
        <f>'G-2 Habitat groups'!BF6</f>
        <v/>
      </c>
      <c r="H14" s="820" t="str">
        <f t="shared" si="0" ref="H14:H32">IF(F14=0,"",IF(F14&lt;0,"▲","✓"))</f>
        <v/>
      </c>
      <c r="K14" s="32"/>
      <c r="L14" s="32"/>
      <c r="M14" s="32"/>
      <c r="N14" s="32"/>
      <c r="O14" s="32"/>
      <c r="P14" s="32"/>
      <c r="Q14" s="32"/>
    </row>
    <row r="15" spans="1:17" ht="14">
      <c r="A15" s="32"/>
      <c r="B15" s="215" t="str">
        <f>'G-2 Habitat groups'!AU7</f>
        <v>Grassland - Upland hay meadows</v>
      </c>
      <c r="C15" s="216" t="str">
        <f>'G-2 Habitat groups'!AV7</f>
        <v>Grassland</v>
      </c>
      <c r="D15" s="268">
        <f>'G-2 Habitat groups'!BB7</f>
        <v>0</v>
      </c>
      <c r="E15" s="268">
        <f>'G-2 Habitat groups'!BD7</f>
        <v>0</v>
      </c>
      <c r="F15" s="807">
        <f>'G-2 Habitat groups'!BE7</f>
        <v>0</v>
      </c>
      <c r="G15" s="807" t="str">
        <f>'G-2 Habitat groups'!BF7</f>
        <v/>
      </c>
      <c r="H15" s="820" t="str">
        <f t="shared" si="0"/>
        <v/>
      </c>
      <c r="K15" s="32"/>
      <c r="L15" s="32"/>
      <c r="M15" s="32"/>
      <c r="N15" s="32"/>
      <c r="O15" s="32"/>
      <c r="P15" s="32"/>
      <c r="Q15" s="32"/>
    </row>
    <row r="16" spans="1:17" ht="14">
      <c r="A16" s="32"/>
      <c r="B16" s="215" t="str">
        <f>'G-2 Habitat groups'!AU8</f>
        <v>Heathland and shrub - Mountain heaths and willow scrub</v>
      </c>
      <c r="C16" s="216" t="str">
        <f>'G-2 Habitat groups'!AV8</f>
        <v>Heathland and shrub</v>
      </c>
      <c r="D16" s="268">
        <f>'G-2 Habitat groups'!BB8</f>
        <v>0</v>
      </c>
      <c r="E16" s="268">
        <f>'G-2 Habitat groups'!BD8</f>
        <v>0</v>
      </c>
      <c r="F16" s="807">
        <f>'G-2 Habitat groups'!BE8</f>
        <v>0</v>
      </c>
      <c r="G16" s="807" t="str">
        <f>'G-2 Habitat groups'!BF8</f>
        <v/>
      </c>
      <c r="H16" s="820" t="str">
        <f t="shared" si="0"/>
        <v/>
      </c>
      <c r="K16" s="32"/>
      <c r="L16" s="32"/>
      <c r="M16" s="32"/>
      <c r="N16" s="32"/>
      <c r="O16" s="32"/>
      <c r="P16" s="32"/>
      <c r="Q16" s="32"/>
    </row>
    <row r="17" spans="1:17" ht="14">
      <c r="A17" s="32"/>
      <c r="B17" s="215" t="str">
        <f>'G-2 Habitat groups'!AU9</f>
        <v>Lakes - Aquifer fed naturally fluctuating water bodies</v>
      </c>
      <c r="C17" s="216" t="str">
        <f>'G-2 Habitat groups'!AV9</f>
        <v>Lakes</v>
      </c>
      <c r="D17" s="268">
        <f>'G-2 Habitat groups'!BB9</f>
        <v>0</v>
      </c>
      <c r="E17" s="268">
        <f>'G-2 Habitat groups'!BD9</f>
        <v>0</v>
      </c>
      <c r="F17" s="807">
        <f>'G-2 Habitat groups'!BE9</f>
        <v>0</v>
      </c>
      <c r="G17" s="807" t="str">
        <f>'G-2 Habitat groups'!BF9</f>
        <v/>
      </c>
      <c r="H17" s="820" t="str">
        <f t="shared" si="0"/>
        <v/>
      </c>
      <c r="K17" s="32"/>
      <c r="L17" s="32"/>
      <c r="M17" s="32"/>
      <c r="N17" s="32"/>
      <c r="O17" s="32"/>
      <c r="P17" s="32"/>
      <c r="Q17" s="32"/>
    </row>
    <row r="18" spans="1:17" ht="14">
      <c r="A18" s="32"/>
      <c r="B18" s="215" t="str">
        <f>'G-2 Habitat groups'!AU10</f>
        <v>Sparsely vegetated land - Calaminarian grasslands</v>
      </c>
      <c r="C18" s="216" t="str">
        <f>'G-2 Habitat groups'!AV10</f>
        <v>Sparsely vegetated land</v>
      </c>
      <c r="D18" s="268">
        <f>'G-2 Habitat groups'!BB10</f>
        <v>0</v>
      </c>
      <c r="E18" s="268">
        <f>'G-2 Habitat groups'!BD10</f>
        <v>0</v>
      </c>
      <c r="F18" s="807">
        <f>'G-2 Habitat groups'!BE10</f>
        <v>0</v>
      </c>
      <c r="G18" s="807" t="str">
        <f>'G-2 Habitat groups'!BF10</f>
        <v/>
      </c>
      <c r="H18" s="820" t="str">
        <f t="shared" si="0"/>
        <v/>
      </c>
      <c r="K18" s="32"/>
      <c r="L18" s="32"/>
      <c r="M18" s="32"/>
      <c r="N18" s="32"/>
      <c r="O18" s="32"/>
      <c r="P18" s="32"/>
      <c r="Q18" s="32"/>
    </row>
    <row r="19" spans="1:17" ht="14">
      <c r="A19" s="32"/>
      <c r="B19" s="215" t="str">
        <f>'G-2 Habitat groups'!AU11</f>
        <v>Sparsely vegetated land - Limestone pavement</v>
      </c>
      <c r="C19" s="216" t="str">
        <f>'G-2 Habitat groups'!AV11</f>
        <v>Sparsely vegetated land</v>
      </c>
      <c r="D19" s="268">
        <f>'G-2 Habitat groups'!BB11</f>
        <v>0</v>
      </c>
      <c r="E19" s="268">
        <f>'G-2 Habitat groups'!BD11</f>
        <v>0</v>
      </c>
      <c r="F19" s="807">
        <f>'G-2 Habitat groups'!BE11</f>
        <v>0</v>
      </c>
      <c r="G19" s="807" t="str">
        <f>'G-2 Habitat groups'!BF11</f>
        <v/>
      </c>
      <c r="H19" s="820" t="str">
        <f t="shared" si="0"/>
        <v/>
      </c>
      <c r="I19" s="32"/>
      <c r="J19" s="32"/>
      <c r="K19" s="32"/>
      <c r="L19" s="32"/>
      <c r="M19" s="32"/>
      <c r="N19" s="32"/>
      <c r="O19" s="32"/>
      <c r="P19" s="32"/>
      <c r="Q19" s="32"/>
    </row>
    <row r="20" spans="1:17" ht="14">
      <c r="A20" s="32"/>
      <c r="B20" s="215" t="str">
        <f>'G-2 Habitat groups'!AU12</f>
        <v>Wetland - Blanket bog</v>
      </c>
      <c r="C20" s="216" t="str">
        <f>'G-2 Habitat groups'!AV12</f>
        <v>Wetland</v>
      </c>
      <c r="D20" s="268">
        <f>'G-2 Habitat groups'!BB12</f>
        <v>0</v>
      </c>
      <c r="E20" s="268">
        <f>'G-2 Habitat groups'!BD12</f>
        <v>0</v>
      </c>
      <c r="F20" s="807">
        <f>'G-2 Habitat groups'!BE12</f>
        <v>0</v>
      </c>
      <c r="G20" s="807" t="str">
        <f>'G-2 Habitat groups'!BF12</f>
        <v/>
      </c>
      <c r="H20" s="820" t="str">
        <f t="shared" si="0"/>
        <v/>
      </c>
      <c r="I20" s="32"/>
      <c r="J20" s="32"/>
      <c r="K20" s="32"/>
      <c r="L20" s="32"/>
      <c r="M20" s="32"/>
      <c r="N20" s="32"/>
      <c r="O20" s="32"/>
      <c r="P20" s="32"/>
      <c r="Q20" s="32"/>
    </row>
    <row r="21" spans="1:17" ht="14">
      <c r="A21" s="32"/>
      <c r="B21" s="215" t="str">
        <f>'G-2 Habitat groups'!AU13</f>
        <v>Wetland - Depressions on peat substrates (H7150)</v>
      </c>
      <c r="C21" s="216" t="str">
        <f>'G-2 Habitat groups'!AV13</f>
        <v>Wetland</v>
      </c>
      <c r="D21" s="268">
        <f>'G-2 Habitat groups'!BB13</f>
        <v>0</v>
      </c>
      <c r="E21" s="268">
        <f>'G-2 Habitat groups'!BD13</f>
        <v>0</v>
      </c>
      <c r="F21" s="807">
        <f>'G-2 Habitat groups'!BE13</f>
        <v>0</v>
      </c>
      <c r="G21" s="807" t="str">
        <f>'G-2 Habitat groups'!BF13</f>
        <v/>
      </c>
      <c r="H21" s="820" t="str">
        <f t="shared" si="0"/>
        <v/>
      </c>
      <c r="I21" s="32"/>
      <c r="J21" s="32"/>
      <c r="K21" s="32"/>
      <c r="L21" s="32"/>
      <c r="M21" s="32"/>
      <c r="N21" s="32"/>
      <c r="O21" s="32"/>
      <c r="P21" s="32"/>
      <c r="Q21" s="32"/>
    </row>
    <row r="22" spans="1:17" ht="14">
      <c r="A22" s="32"/>
      <c r="B22" s="215" t="str">
        <f>'G-2 Habitat groups'!AU14</f>
        <v>Wetland - Fens (upland and lowland)</v>
      </c>
      <c r="C22" s="216" t="str">
        <f>'G-2 Habitat groups'!AV14</f>
        <v>Wetland</v>
      </c>
      <c r="D22" s="268">
        <f>'G-2 Habitat groups'!BB14</f>
        <v>0</v>
      </c>
      <c r="E22" s="268">
        <f>'G-2 Habitat groups'!BD14</f>
        <v>0</v>
      </c>
      <c r="F22" s="807">
        <f>'G-2 Habitat groups'!BE14</f>
        <v>0</v>
      </c>
      <c r="G22" s="807" t="str">
        <f>'G-2 Habitat groups'!BF14</f>
        <v/>
      </c>
      <c r="H22" s="820" t="str">
        <f t="shared" si="0"/>
        <v/>
      </c>
      <c r="I22" s="32"/>
      <c r="J22" s="32"/>
      <c r="K22" s="32"/>
      <c r="L22" s="32"/>
      <c r="M22" s="32"/>
      <c r="N22" s="32"/>
      <c r="O22" s="32"/>
      <c r="P22" s="32"/>
      <c r="Q22" s="32"/>
    </row>
    <row r="23" spans="1:17" ht="14">
      <c r="A23" s="32"/>
      <c r="B23" s="215" t="str">
        <f>'G-2 Habitat groups'!AU15</f>
        <v>Wetland - Lowland raised bog</v>
      </c>
      <c r="C23" s="216" t="str">
        <f>'G-2 Habitat groups'!AV15</f>
        <v>Wetland</v>
      </c>
      <c r="D23" s="268">
        <f>'G-2 Habitat groups'!BB15</f>
        <v>0</v>
      </c>
      <c r="E23" s="268">
        <f>'G-2 Habitat groups'!BD15</f>
        <v>0</v>
      </c>
      <c r="F23" s="807">
        <f>'G-2 Habitat groups'!BE15</f>
        <v>0</v>
      </c>
      <c r="G23" s="807" t="str">
        <f>'G-2 Habitat groups'!BF15</f>
        <v/>
      </c>
      <c r="H23" s="820" t="str">
        <f t="shared" si="0"/>
        <v/>
      </c>
      <c r="I23" s="32"/>
      <c r="J23" s="32"/>
      <c r="K23" s="32"/>
      <c r="L23" s="32"/>
      <c r="M23" s="32"/>
      <c r="N23" s="32"/>
      <c r="O23" s="32"/>
      <c r="P23" s="32"/>
      <c r="Q23" s="32"/>
    </row>
    <row r="24" spans="1:17" ht="14">
      <c r="A24" s="32"/>
      <c r="B24" s="215" t="str">
        <f>'G-2 Habitat groups'!AU16</f>
        <v>Wetland - Oceanic valley mire[1] (D2.1)</v>
      </c>
      <c r="C24" s="216" t="str">
        <f>'G-2 Habitat groups'!AV16</f>
        <v>Wetland</v>
      </c>
      <c r="D24" s="268">
        <f>'G-2 Habitat groups'!BB16</f>
        <v>0</v>
      </c>
      <c r="E24" s="268">
        <f>'G-2 Habitat groups'!BD16</f>
        <v>0</v>
      </c>
      <c r="F24" s="807">
        <f>'G-2 Habitat groups'!BE16</f>
        <v>0</v>
      </c>
      <c r="G24" s="807" t="str">
        <f>'G-2 Habitat groups'!BF16</f>
        <v/>
      </c>
      <c r="H24" s="820" t="str">
        <f t="shared" si="0"/>
        <v/>
      </c>
      <c r="I24" s="32"/>
      <c r="J24" s="32"/>
      <c r="K24" s="32"/>
      <c r="L24" s="32"/>
      <c r="M24" s="32"/>
      <c r="N24" s="32"/>
      <c r="O24" s="32"/>
      <c r="P24" s="32"/>
      <c r="Q24" s="32"/>
    </row>
    <row r="25" spans="1:17" ht="14">
      <c r="A25" s="32"/>
      <c r="B25" s="215" t="str">
        <f>'G-2 Habitat groups'!AU17</f>
        <v>Wetland - Purple moor grass and rush pastures</v>
      </c>
      <c r="C25" s="216" t="str">
        <f>'G-2 Habitat groups'!AV17</f>
        <v>Wetland</v>
      </c>
      <c r="D25" s="268">
        <f>'G-2 Habitat groups'!BB17</f>
        <v>0</v>
      </c>
      <c r="E25" s="268">
        <f>'G-2 Habitat groups'!BD17</f>
        <v>0</v>
      </c>
      <c r="F25" s="807">
        <f>'G-2 Habitat groups'!BE17</f>
        <v>0</v>
      </c>
      <c r="G25" s="807" t="str">
        <f>'G-2 Habitat groups'!BF17</f>
        <v/>
      </c>
      <c r="H25" s="820" t="str">
        <f t="shared" si="0"/>
        <v/>
      </c>
      <c r="I25" s="32"/>
      <c r="J25" s="32"/>
      <c r="K25" s="32"/>
      <c r="L25" s="32"/>
      <c r="M25" s="32"/>
      <c r="N25" s="32"/>
      <c r="O25" s="32"/>
      <c r="P25" s="32"/>
      <c r="Q25" s="32"/>
    </row>
    <row r="26" spans="1:17" ht="14">
      <c r="A26" s="32"/>
      <c r="B26" s="215" t="str">
        <f>'G-2 Habitat groups'!AU18</f>
        <v>Wetland - Transition mires and quaking bogs (H7140)</v>
      </c>
      <c r="C26" s="216" t="str">
        <f>'G-2 Habitat groups'!AV18</f>
        <v>Wetland</v>
      </c>
      <c r="D26" s="268">
        <f>'G-2 Habitat groups'!BB18</f>
        <v>0</v>
      </c>
      <c r="E26" s="268">
        <f>'G-2 Habitat groups'!BD18</f>
        <v>0</v>
      </c>
      <c r="F26" s="807">
        <f>'G-2 Habitat groups'!BE18</f>
        <v>0</v>
      </c>
      <c r="G26" s="807" t="str">
        <f>'G-2 Habitat groups'!BF18</f>
        <v/>
      </c>
      <c r="H26" s="820" t="str">
        <f t="shared" si="0"/>
        <v/>
      </c>
      <c r="I26" s="32"/>
      <c r="J26" s="32"/>
      <c r="K26" s="32"/>
      <c r="L26" s="32"/>
      <c r="M26" s="32"/>
      <c r="N26" s="32"/>
      <c r="O26" s="32"/>
      <c r="P26" s="32"/>
      <c r="Q26" s="32"/>
    </row>
    <row r="27" spans="1:17" ht="14">
      <c r="A27" s="32"/>
      <c r="B27" s="215" t="str">
        <f>'G-2 Habitat groups'!AU19</f>
        <v>Woodland and forest - Wood-pasture and parkland</v>
      </c>
      <c r="C27" s="216" t="str">
        <f>'G-2 Habitat groups'!AV19</f>
        <v>Woodland and forest</v>
      </c>
      <c r="D27" s="268">
        <f>'G-2 Habitat groups'!BB19</f>
        <v>0</v>
      </c>
      <c r="E27" s="268">
        <f>'G-2 Habitat groups'!BD19</f>
        <v>0</v>
      </c>
      <c r="F27" s="807">
        <f>'G-2 Habitat groups'!BE19</f>
        <v>0</v>
      </c>
      <c r="G27" s="807" t="str">
        <f>'G-2 Habitat groups'!BF19</f>
        <v/>
      </c>
      <c r="H27" s="820" t="str">
        <f t="shared" si="0"/>
        <v/>
      </c>
      <c r="I27" s="32"/>
      <c r="J27" s="32"/>
      <c r="K27" s="32"/>
      <c r="L27" s="32"/>
      <c r="M27" s="32"/>
      <c r="N27" s="32"/>
      <c r="O27" s="32"/>
      <c r="P27" s="32"/>
      <c r="Q27" s="32"/>
    </row>
    <row r="28" spans="1:17" ht="14">
      <c r="A28" s="32"/>
      <c r="B28" s="215" t="str">
        <f>'G-2 Habitat groups'!AU20</f>
        <v>Rocky shore - High energy littoral rock - on peat, clay or chalk</v>
      </c>
      <c r="C28" s="216" t="str">
        <f>'G-2 Habitat groups'!AV20</f>
        <v>Rocky shore</v>
      </c>
      <c r="D28" s="268">
        <f>'G-2 Habitat groups'!BB20</f>
        <v>0</v>
      </c>
      <c r="E28" s="268">
        <f>'G-2 Habitat groups'!BD20</f>
        <v>0</v>
      </c>
      <c r="F28" s="807">
        <f>'G-2 Habitat groups'!BE20</f>
        <v>0</v>
      </c>
      <c r="G28" s="807" t="str">
        <f>'G-2 Habitat groups'!BF20</f>
        <v/>
      </c>
      <c r="H28" s="820" t="str">
        <f t="shared" si="0"/>
        <v/>
      </c>
      <c r="I28" s="32"/>
      <c r="J28" s="32"/>
      <c r="K28" s="32"/>
      <c r="L28" s="32"/>
      <c r="M28" s="32"/>
      <c r="N28" s="32"/>
      <c r="O28" s="32"/>
      <c r="P28" s="32"/>
      <c r="Q28" s="32"/>
    </row>
    <row r="29" spans="1:17" ht="14.25" customHeight="1">
      <c r="A29" s="32"/>
      <c r="B29" s="215" t="str">
        <f>'G-2 Habitat groups'!AU21</f>
        <v>Rocky shore - Moderate energy littoral rock - on peat, clay or chalk</v>
      </c>
      <c r="C29" s="216" t="str">
        <f>'G-2 Habitat groups'!AV21</f>
        <v>Rocky shore</v>
      </c>
      <c r="D29" s="268">
        <f>'G-2 Habitat groups'!BB21</f>
        <v>0</v>
      </c>
      <c r="E29" s="268">
        <f>'G-2 Habitat groups'!BD21</f>
        <v>0</v>
      </c>
      <c r="F29" s="807">
        <f>'G-2 Habitat groups'!BE21</f>
        <v>0</v>
      </c>
      <c r="G29" s="807" t="str">
        <f>'G-2 Habitat groups'!BF21</f>
        <v/>
      </c>
      <c r="H29" s="820" t="str">
        <f t="shared" si="0"/>
        <v/>
      </c>
      <c r="I29" s="32"/>
      <c r="J29" s="32"/>
      <c r="K29" s="32"/>
      <c r="L29" s="32"/>
      <c r="M29" s="32"/>
      <c r="N29" s="32"/>
      <c r="O29" s="32"/>
      <c r="P29" s="32"/>
      <c r="Q29" s="32"/>
    </row>
    <row r="30" spans="1:17" s="33" customFormat="1" ht="14.9" customHeight="1">
      <c r="A30" s="32"/>
      <c r="B30" s="215" t="str">
        <f>'G-2 Habitat groups'!AU22</f>
        <v>Rocky shore - Low energy littoral rock - on peat, clay or chalk</v>
      </c>
      <c r="C30" s="216" t="str">
        <f>'G-2 Habitat groups'!AV22</f>
        <v>Rocky shore</v>
      </c>
      <c r="D30" s="268">
        <f>'G-2 Habitat groups'!BB22</f>
        <v>0</v>
      </c>
      <c r="E30" s="268">
        <f>'G-2 Habitat groups'!BD22</f>
        <v>0</v>
      </c>
      <c r="F30" s="807">
        <f>'G-2 Habitat groups'!BE22</f>
        <v>0</v>
      </c>
      <c r="G30" s="807" t="str">
        <f>'G-2 Habitat groups'!BF22</f>
        <v/>
      </c>
      <c r="H30" s="820" t="str">
        <f t="shared" si="0"/>
        <v/>
      </c>
      <c r="I30" s="32"/>
      <c r="J30" s="32"/>
      <c r="K30" s="32"/>
      <c r="L30" s="32"/>
      <c r="M30" s="32"/>
      <c r="N30" s="32"/>
      <c r="O30" s="32"/>
      <c r="P30" s="32"/>
      <c r="Q30" s="32"/>
    </row>
    <row r="31" spans="1:17" ht="14">
      <c r="A31" s="32"/>
      <c r="B31" s="215" t="str">
        <f>'G-2 Habitat groups'!AU23</f>
        <v>Rocky shore - Features of littoral rock - on peat, clay or chalk</v>
      </c>
      <c r="C31" s="216" t="str">
        <f>'G-2 Habitat groups'!AV23</f>
        <v>Rocky shore</v>
      </c>
      <c r="D31" s="268">
        <f>'G-2 Habitat groups'!BB23</f>
        <v>0</v>
      </c>
      <c r="E31" s="268">
        <f>'G-2 Habitat groups'!BD23</f>
        <v>0</v>
      </c>
      <c r="F31" s="807">
        <f>'G-2 Habitat groups'!BE23</f>
        <v>0</v>
      </c>
      <c r="G31" s="807" t="str">
        <f>'G-2 Habitat groups'!BF23</f>
        <v/>
      </c>
      <c r="H31" s="820" t="str">
        <f t="shared" si="0"/>
        <v/>
      </c>
      <c r="I31" s="32"/>
      <c r="J31" s="32"/>
      <c r="K31" s="32"/>
      <c r="L31" s="32"/>
      <c r="M31" s="32"/>
      <c r="N31" s="32"/>
      <c r="O31" s="32"/>
      <c r="P31" s="32"/>
      <c r="Q31" s="32"/>
    </row>
    <row r="32" spans="1:17" ht="14.5" thickBot="1">
      <c r="A32" s="32"/>
      <c r="B32" s="217" t="str">
        <f>'G-2 Habitat groups'!AU24</f>
        <v>Intertidal sediment - Littoral seagrass on peat, clay or chalk</v>
      </c>
      <c r="C32" s="218" t="str">
        <f>'G-2 Habitat groups'!AV24</f>
        <v>Intertidal sediment</v>
      </c>
      <c r="D32" s="271">
        <f>'G-2 Habitat groups'!BB24</f>
        <v>0</v>
      </c>
      <c r="E32" s="271">
        <f>'G-2 Habitat groups'!BD24</f>
        <v>0</v>
      </c>
      <c r="F32" s="808">
        <f>'G-2 Habitat groups'!BE24</f>
        <v>0</v>
      </c>
      <c r="G32" s="808" t="str">
        <f>'G-2 Habitat groups'!BF24</f>
        <v/>
      </c>
      <c r="H32" s="820" t="str">
        <f t="shared" si="0"/>
        <v/>
      </c>
      <c r="I32" s="32"/>
      <c r="J32" s="32"/>
      <c r="K32" s="32"/>
      <c r="L32" s="32"/>
      <c r="M32" s="32"/>
      <c r="N32" s="32"/>
      <c r="O32" s="32"/>
      <c r="P32" s="32"/>
      <c r="Q32" s="32"/>
    </row>
    <row r="33" spans="1:17" ht="14.5" thickBot="1">
      <c r="A33" s="32"/>
      <c r="B33" s="32"/>
      <c r="C33" s="32"/>
      <c r="D33" s="440">
        <f>SUM(D13:D32)</f>
        <v>0</v>
      </c>
      <c r="E33" s="441">
        <f>SUM(E13:E32)</f>
        <v>0</v>
      </c>
      <c r="F33" s="266">
        <f>SUM(F13:F32)</f>
        <v>0</v>
      </c>
      <c r="G33" s="1383">
        <f>SUM(G13:G32)</f>
        <v>0</v>
      </c>
      <c r="H33" s="1384"/>
      <c r="I33" s="32"/>
      <c r="J33" s="32"/>
      <c r="K33" s="32"/>
      <c r="L33" s="32"/>
      <c r="M33" s="32"/>
      <c r="N33" s="32"/>
      <c r="O33" s="32"/>
      <c r="P33" s="32"/>
      <c r="Q33" s="32"/>
    </row>
    <row r="34" spans="1:17" ht="14">
      <c r="A34" s="32"/>
      <c r="B34" s="32"/>
      <c r="C34" s="32"/>
      <c r="D34" s="32"/>
      <c r="E34" s="32"/>
      <c r="F34" s="32"/>
      <c r="G34" s="32"/>
      <c r="H34" s="32"/>
      <c r="I34" s="32"/>
      <c r="J34" s="32"/>
      <c r="K34" s="32"/>
      <c r="L34" s="32"/>
      <c r="M34" s="32"/>
      <c r="N34" s="32"/>
      <c r="O34" s="32"/>
      <c r="P34" s="32"/>
      <c r="Q34" s="32"/>
    </row>
    <row r="35" spans="1:17" ht="14">
      <c r="A35" s="32"/>
      <c r="B35" s="32"/>
      <c r="C35" s="32"/>
      <c r="D35" s="32"/>
      <c r="E35" s="32"/>
      <c r="F35" s="32"/>
      <c r="G35" s="32"/>
      <c r="H35" s="32"/>
      <c r="I35" s="32"/>
      <c r="J35" s="32"/>
      <c r="K35" s="32"/>
      <c r="L35" s="32"/>
      <c r="M35" s="32"/>
      <c r="N35" s="32"/>
      <c r="O35" s="32"/>
      <c r="P35" s="32"/>
      <c r="Q35" s="32"/>
    </row>
    <row r="36" spans="1:17" ht="14">
      <c r="A36" s="32"/>
      <c r="B36" s="32"/>
      <c r="C36" s="32"/>
      <c r="D36" s="32"/>
      <c r="E36" s="32"/>
      <c r="F36" s="32"/>
      <c r="G36" s="32"/>
      <c r="H36" s="32"/>
      <c r="I36" s="32"/>
      <c r="J36" s="32"/>
      <c r="K36" s="32"/>
      <c r="L36" s="32"/>
      <c r="M36" s="32"/>
      <c r="N36" s="32"/>
      <c r="O36" s="32"/>
      <c r="P36" s="32"/>
      <c r="Q36" s="32"/>
    </row>
    <row r="37" spans="1:17" ht="14">
      <c r="A37" s="32"/>
      <c r="B37" s="32"/>
      <c r="C37" s="32"/>
      <c r="D37" s="32"/>
      <c r="E37" s="32"/>
      <c r="F37" s="32"/>
      <c r="G37" s="32"/>
      <c r="H37" s="32"/>
      <c r="I37" s="32"/>
      <c r="J37" s="32"/>
      <c r="K37" s="32"/>
      <c r="L37" s="32"/>
      <c r="M37" s="32"/>
      <c r="N37" s="32"/>
      <c r="O37" s="32"/>
      <c r="P37" s="32"/>
      <c r="Q37" s="32"/>
    </row>
    <row r="38" spans="1:17" ht="14.5" thickBot="1">
      <c r="A38" s="32"/>
      <c r="B38" s="32"/>
      <c r="C38" s="32"/>
      <c r="D38" s="32"/>
      <c r="E38" s="32"/>
      <c r="F38" s="32"/>
      <c r="G38" s="32"/>
      <c r="H38" s="32"/>
      <c r="I38" s="32"/>
      <c r="J38" s="32"/>
      <c r="K38" s="32"/>
      <c r="L38" s="32"/>
      <c r="M38" s="32"/>
      <c r="N38" s="32"/>
      <c r="O38" s="32"/>
      <c r="P38" s="32"/>
      <c r="Q38" s="32"/>
    </row>
    <row r="39" spans="1:13" ht="53.9" customHeight="1" thickBot="1">
      <c r="A39" s="32"/>
      <c r="B39" s="1371" t="s">
        <v>207</v>
      </c>
      <c r="C39" s="1372"/>
      <c r="D39" s="1372"/>
      <c r="E39" s="1372"/>
      <c r="F39" s="1372"/>
      <c r="G39" s="1372"/>
      <c r="H39" s="1373"/>
      <c r="J39" s="1411" t="s">
        <v>208</v>
      </c>
      <c r="K39" s="1412"/>
      <c r="L39" s="1413"/>
      <c r="M39" s="32"/>
    </row>
    <row r="40" spans="1:15" ht="45">
      <c r="A40" s="32"/>
      <c r="B40" s="532" t="s">
        <v>95</v>
      </c>
      <c r="C40" s="504" t="s">
        <v>201</v>
      </c>
      <c r="D40" s="504" t="s">
        <v>202</v>
      </c>
      <c r="E40" s="504" t="s">
        <v>128</v>
      </c>
      <c r="F40" s="504" t="s">
        <v>203</v>
      </c>
      <c r="G40" s="1394" t="s">
        <v>209</v>
      </c>
      <c r="H40" s="1395"/>
      <c r="J40" s="835" t="s">
        <v>210</v>
      </c>
      <c r="K40" s="836">
        <f>SUMIF($F$41:$F$82,"&gt;0")</f>
        <v>0</v>
      </c>
      <c r="L40" s="546" t="str">
        <f>IF(K40=0,"",IF(K40&lt;0,"⚠","✓"))</f>
        <v/>
      </c>
      <c r="M40" s="32"/>
      <c r="N40" s="32"/>
      <c r="O40" s="32"/>
    </row>
    <row r="41" spans="1:15" ht="29.9" customHeight="1" thickBot="1">
      <c r="A41" s="32"/>
      <c r="B41" s="215" t="str">
        <f>'G-2 Habitat groups'!AU30</f>
        <v>Grassland - Traditional orchards</v>
      </c>
      <c r="C41" s="216" t="str">
        <f>'G-2 Habitat groups'!AV30</f>
        <v>Grassland</v>
      </c>
      <c r="D41" s="268">
        <f>'G-2 Habitat groups'!BB30</f>
        <v>0</v>
      </c>
      <c r="E41" s="268">
        <f>'G-2 Habitat groups'!BD30</f>
        <v>0</v>
      </c>
      <c r="F41" s="807">
        <f>'G-2 Habitat groups'!BE30</f>
        <v>0</v>
      </c>
      <c r="G41" s="807" t="str">
        <f>'G-2 Habitat groups'!BF30</f>
        <v/>
      </c>
      <c r="H41" s="820" t="str">
        <f>IF(F41=0,"",IF(F41&lt;0,"▲","✓"))</f>
        <v/>
      </c>
      <c r="J41" s="829" t="s">
        <v>206</v>
      </c>
      <c r="K41" s="834">
        <f>G83</f>
        <v>0</v>
      </c>
      <c r="L41" s="285" t="str">
        <f>IF(K41=0,"",IF(K41&lt;0,"▲","✓"))</f>
        <v/>
      </c>
      <c r="M41" s="32"/>
      <c r="N41" s="32"/>
      <c r="O41" s="32"/>
    </row>
    <row r="42" spans="1:15" ht="14">
      <c r="A42" s="32"/>
      <c r="B42" s="215" t="str">
        <f>'G-2 Habitat groups'!AU31</f>
        <v>Grassland - Floodplain wetland mosaic and CFGM</v>
      </c>
      <c r="C42" s="216" t="str">
        <f>'G-2 Habitat groups'!AV31</f>
        <v>Grassland</v>
      </c>
      <c r="D42" s="268">
        <f>'G-2 Habitat groups'!BB31</f>
        <v>0</v>
      </c>
      <c r="E42" s="268">
        <f>'G-2 Habitat groups'!BD31</f>
        <v>0</v>
      </c>
      <c r="F42" s="268">
        <f>'G-2 Habitat groups'!BE31</f>
        <v>0</v>
      </c>
      <c r="G42" s="807" t="str">
        <f>'G-2 Habitat groups'!BF31</f>
        <v/>
      </c>
      <c r="H42" s="820" t="str">
        <f t="shared" si="1" ref="H42:H82">IF(F42=0,"",IF(F42&lt;0,"▲","✓"))</f>
        <v/>
      </c>
      <c r="I42" s="32"/>
      <c r="J42" s="32"/>
      <c r="K42" s="32"/>
      <c r="L42" s="32"/>
      <c r="M42" s="32"/>
      <c r="N42" s="32"/>
      <c r="O42" s="32"/>
    </row>
    <row r="43" spans="1:14" ht="14.25" customHeight="1">
      <c r="A43" s="32"/>
      <c r="B43" s="215" t="str">
        <f>'G-2 Habitat groups'!AU32</f>
        <v>Grassland - Lowland calcareous grassland</v>
      </c>
      <c r="C43" s="216" t="str">
        <f>'G-2 Habitat groups'!AV32</f>
        <v>Grassland</v>
      </c>
      <c r="D43" s="268">
        <f>'G-2 Habitat groups'!BB32</f>
        <v>0</v>
      </c>
      <c r="E43" s="268">
        <f>'G-2 Habitat groups'!BD32</f>
        <v>0</v>
      </c>
      <c r="F43" s="268">
        <f>'G-2 Habitat groups'!BE32</f>
        <v>0</v>
      </c>
      <c r="G43" s="807" t="str">
        <f>'G-2 Habitat groups'!BF32</f>
        <v/>
      </c>
      <c r="H43" s="820" t="str">
        <f t="shared" si="1"/>
        <v/>
      </c>
      <c r="K43" s="32"/>
      <c r="L43" s="32"/>
      <c r="M43" s="32"/>
      <c r="N43" s="32"/>
    </row>
    <row r="44" spans="1:14" ht="15" customHeight="1">
      <c r="A44" s="32"/>
      <c r="B44" s="215" t="str">
        <f>'G-2 Habitat groups'!AU33</f>
        <v>Grassland - Tall herb communities (H6430)</v>
      </c>
      <c r="C44" s="216" t="str">
        <f>'G-2 Habitat groups'!AV33</f>
        <v>Grassland</v>
      </c>
      <c r="D44" s="268">
        <f>'G-2 Habitat groups'!BB33</f>
        <v>0</v>
      </c>
      <c r="E44" s="268">
        <f>'G-2 Habitat groups'!BD33</f>
        <v>0</v>
      </c>
      <c r="F44" s="268">
        <f>'G-2 Habitat groups'!BE33</f>
        <v>0</v>
      </c>
      <c r="G44" s="807" t="str">
        <f>'G-2 Habitat groups'!BF33</f>
        <v/>
      </c>
      <c r="H44" s="820" t="str">
        <f t="shared" si="1"/>
        <v/>
      </c>
      <c r="K44" s="32"/>
      <c r="L44" s="32"/>
      <c r="M44" s="32"/>
      <c r="N44" s="32"/>
    </row>
    <row r="45" spans="1:14" ht="15" customHeight="1">
      <c r="A45" s="32"/>
      <c r="B45" s="215" t="str">
        <f>'G-2 Habitat groups'!AU34</f>
        <v>Grassland - Upland calcareous grassland</v>
      </c>
      <c r="C45" s="216" t="str">
        <f>'G-2 Habitat groups'!AV34</f>
        <v>Grassland</v>
      </c>
      <c r="D45" s="268">
        <f>'G-2 Habitat groups'!BB34</f>
        <v>0</v>
      </c>
      <c r="E45" s="268">
        <f>'G-2 Habitat groups'!BD34</f>
        <v>0</v>
      </c>
      <c r="F45" s="268">
        <f>'G-2 Habitat groups'!BE34</f>
        <v>0</v>
      </c>
      <c r="G45" s="807" t="str">
        <f>'G-2 Habitat groups'!BF34</f>
        <v/>
      </c>
      <c r="H45" s="820" t="str">
        <f t="shared" si="1"/>
        <v/>
      </c>
      <c r="K45" s="32"/>
      <c r="L45" s="32"/>
      <c r="M45" s="32"/>
      <c r="N45" s="32"/>
    </row>
    <row r="46" spans="1:14" ht="15" customHeight="1">
      <c r="A46" s="32"/>
      <c r="B46" s="215" t="str">
        <f>'G-2 Habitat groups'!AU35</f>
        <v>Heathland and shrub - Lowland Heathland</v>
      </c>
      <c r="C46" s="216" t="str">
        <f>'G-2 Habitat groups'!AV35</f>
        <v>Heathland and shrub</v>
      </c>
      <c r="D46" s="268">
        <f>'G-2 Habitat groups'!BB35</f>
        <v>0</v>
      </c>
      <c r="E46" s="268">
        <f>'G-2 Habitat groups'!BD35</f>
        <v>0</v>
      </c>
      <c r="F46" s="268">
        <f>'G-2 Habitat groups'!BE35</f>
        <v>0</v>
      </c>
      <c r="G46" s="807" t="str">
        <f>'G-2 Habitat groups'!BF35</f>
        <v/>
      </c>
      <c r="H46" s="820" t="str">
        <f t="shared" si="1"/>
        <v/>
      </c>
      <c r="K46" s="32"/>
      <c r="L46" s="32"/>
      <c r="M46" s="32"/>
      <c r="N46" s="32"/>
    </row>
    <row r="47" spans="1:12" ht="15" customHeight="1">
      <c r="A47" s="32"/>
      <c r="B47" s="215" t="str">
        <f>'G-2 Habitat groups'!AU36</f>
        <v>Heathland and shrub - Dunes with sea buckthorn (H2160)</v>
      </c>
      <c r="C47" s="216" t="str">
        <f>'G-2 Habitat groups'!AV36</f>
        <v>Heathland and shrub</v>
      </c>
      <c r="D47" s="268">
        <f>'G-2 Habitat groups'!BB36</f>
        <v>0</v>
      </c>
      <c r="E47" s="268">
        <f>'G-2 Habitat groups'!BD36</f>
        <v>0</v>
      </c>
      <c r="F47" s="268">
        <f>'G-2 Habitat groups'!BE36</f>
        <v>0</v>
      </c>
      <c r="G47" s="807" t="str">
        <f>'G-2 Habitat groups'!BF36</f>
        <v/>
      </c>
      <c r="H47" s="820" t="str">
        <f t="shared" si="1"/>
        <v/>
      </c>
      <c r="I47" s="32"/>
      <c r="J47" s="32"/>
      <c r="K47" s="32"/>
      <c r="L47" s="32"/>
    </row>
    <row r="48" spans="1:12" ht="15" customHeight="1">
      <c r="A48" s="32"/>
      <c r="B48" s="215" t="str">
        <f>'G-2 Habitat groups'!AU37</f>
        <v>Heathland and shrub - Upland heathland</v>
      </c>
      <c r="C48" s="216" t="str">
        <f>'G-2 Habitat groups'!AV37</f>
        <v>Heathland and shrub</v>
      </c>
      <c r="D48" s="268">
        <f>'G-2 Habitat groups'!BB37</f>
        <v>0</v>
      </c>
      <c r="E48" s="268">
        <f>'G-2 Habitat groups'!BD37</f>
        <v>0</v>
      </c>
      <c r="F48" s="268">
        <f>'G-2 Habitat groups'!BE37</f>
        <v>0</v>
      </c>
      <c r="G48" s="807" t="str">
        <f>'G-2 Habitat groups'!BF37</f>
        <v/>
      </c>
      <c r="H48" s="820" t="str">
        <f t="shared" si="1"/>
        <v/>
      </c>
      <c r="I48" s="32"/>
      <c r="J48" s="32"/>
      <c r="K48" s="32"/>
      <c r="L48" s="32"/>
    </row>
    <row r="49" spans="1:12" ht="15" customHeight="1">
      <c r="A49" s="32"/>
      <c r="B49" s="215" t="str">
        <f>'G-2 Habitat groups'!AU39</f>
        <v>Lakes - High alkalinity lakes</v>
      </c>
      <c r="C49" s="216" t="str">
        <f>'G-2 Habitat groups'!AV39</f>
        <v>Lakes</v>
      </c>
      <c r="D49" s="268">
        <f>'G-2 Habitat groups'!BB39</f>
        <v>0</v>
      </c>
      <c r="E49" s="268">
        <f>'G-2 Habitat groups'!BD39</f>
        <v>0</v>
      </c>
      <c r="F49" s="268">
        <f>'G-2 Habitat groups'!BE39</f>
        <v>0</v>
      </c>
      <c r="G49" s="807" t="str">
        <f>'G-2 Habitat groups'!BF39</f>
        <v/>
      </c>
      <c r="H49" s="820" t="str">
        <f t="shared" si="1"/>
        <v/>
      </c>
      <c r="I49" s="32"/>
      <c r="J49" s="32"/>
      <c r="K49" s="32"/>
      <c r="L49" s="32"/>
    </row>
    <row r="50" spans="1:12" ht="15.75" customHeight="1">
      <c r="A50" s="32"/>
      <c r="B50" s="215" t="str">
        <f>'G-2 Habitat groups'!AU40</f>
        <v>Lakes - Low alkalinity lakes</v>
      </c>
      <c r="C50" s="216" t="str">
        <f>'G-2 Habitat groups'!AV40</f>
        <v>Lakes</v>
      </c>
      <c r="D50" s="268">
        <f>'G-2 Habitat groups'!BB40</f>
        <v>0</v>
      </c>
      <c r="E50" s="268">
        <f>'G-2 Habitat groups'!BD40</f>
        <v>0</v>
      </c>
      <c r="F50" s="268">
        <f>'G-2 Habitat groups'!BE40</f>
        <v>0</v>
      </c>
      <c r="G50" s="807" t="str">
        <f>'G-2 Habitat groups'!BF40</f>
        <v/>
      </c>
      <c r="H50" s="820" t="str">
        <f t="shared" si="1"/>
        <v/>
      </c>
      <c r="I50" s="32"/>
      <c r="J50" s="32"/>
      <c r="K50" s="32"/>
      <c r="L50" s="32"/>
    </row>
    <row r="51" spans="1:13" ht="14">
      <c r="A51" s="32"/>
      <c r="B51" s="215" t="str">
        <f>'G-2 Habitat groups'!AU41</f>
        <v>Lakes - Marl lakes</v>
      </c>
      <c r="C51" s="216" t="str">
        <f>'G-2 Habitat groups'!AV41</f>
        <v>Lakes</v>
      </c>
      <c r="D51" s="268">
        <f>'G-2 Habitat groups'!BB41</f>
        <v>0</v>
      </c>
      <c r="E51" s="268">
        <f>'G-2 Habitat groups'!BD41</f>
        <v>0</v>
      </c>
      <c r="F51" s="268">
        <f>'G-2 Habitat groups'!BE41</f>
        <v>0</v>
      </c>
      <c r="G51" s="807" t="str">
        <f>'G-2 Habitat groups'!BF41</f>
        <v/>
      </c>
      <c r="H51" s="820" t="str">
        <f t="shared" si="1"/>
        <v/>
      </c>
      <c r="I51" s="32"/>
      <c r="J51" s="32"/>
      <c r="K51" s="32"/>
      <c r="L51" s="32"/>
      <c r="M51" s="32"/>
    </row>
    <row r="52" spans="1:13" ht="14">
      <c r="A52" s="32"/>
      <c r="B52" s="215" t="str">
        <f>'G-2 Habitat groups'!AU42</f>
        <v>Lakes - Moderate alkalinity lakes</v>
      </c>
      <c r="C52" s="216" t="str">
        <f>'G-2 Habitat groups'!AV42</f>
        <v>Lakes</v>
      </c>
      <c r="D52" s="268">
        <f>'G-2 Habitat groups'!BB42</f>
        <v>0</v>
      </c>
      <c r="E52" s="268">
        <f>'G-2 Habitat groups'!BD42</f>
        <v>0</v>
      </c>
      <c r="F52" s="268">
        <f>'G-2 Habitat groups'!BE42</f>
        <v>0</v>
      </c>
      <c r="G52" s="807" t="str">
        <f>'G-2 Habitat groups'!BF42</f>
        <v/>
      </c>
      <c r="H52" s="820" t="str">
        <f t="shared" si="1"/>
        <v/>
      </c>
      <c r="I52" s="32"/>
      <c r="J52" s="32"/>
      <c r="K52" s="32"/>
      <c r="L52" s="32"/>
      <c r="M52" s="32"/>
    </row>
    <row r="53" spans="1:13" ht="14">
      <c r="A53" s="32"/>
      <c r="B53" s="215" t="str">
        <f>'G-2 Habitat groups'!AU43</f>
        <v>Lakes - Peat lakes</v>
      </c>
      <c r="C53" s="216" t="str">
        <f>'G-2 Habitat groups'!AV43</f>
        <v>Lakes</v>
      </c>
      <c r="D53" s="268">
        <f>'G-2 Habitat groups'!BB43</f>
        <v>0</v>
      </c>
      <c r="E53" s="268">
        <f>'G-2 Habitat groups'!BD43</f>
        <v>0</v>
      </c>
      <c r="F53" s="268">
        <f>'G-2 Habitat groups'!BE43</f>
        <v>0</v>
      </c>
      <c r="G53" s="807" t="str">
        <f>'G-2 Habitat groups'!BF43</f>
        <v/>
      </c>
      <c r="H53" s="820" t="str">
        <f t="shared" si="1"/>
        <v/>
      </c>
      <c r="I53" s="32"/>
      <c r="J53" s="32"/>
      <c r="K53" s="32"/>
      <c r="L53" s="32"/>
      <c r="M53" s="32"/>
    </row>
    <row r="54" spans="1:13" ht="14">
      <c r="A54" s="32"/>
      <c r="B54" s="215" t="str">
        <f>'G-2 Habitat groups'!AU44</f>
        <v>Lakes - Ponds (priority habitat)</v>
      </c>
      <c r="C54" s="216" t="str">
        <f>'G-2 Habitat groups'!AV44</f>
        <v>Lakes</v>
      </c>
      <c r="D54" s="268">
        <f>'G-2 Habitat groups'!BB44</f>
        <v>0</v>
      </c>
      <c r="E54" s="268">
        <f>'G-2 Habitat groups'!BD44</f>
        <v>0</v>
      </c>
      <c r="F54" s="268">
        <f>'G-2 Habitat groups'!BE44</f>
        <v>0</v>
      </c>
      <c r="G54" s="807" t="str">
        <f>'G-2 Habitat groups'!BF44</f>
        <v/>
      </c>
      <c r="H54" s="820" t="str">
        <f t="shared" si="1"/>
        <v/>
      </c>
      <c r="I54" s="32"/>
      <c r="J54" s="32"/>
      <c r="K54" s="32"/>
      <c r="L54" s="32"/>
      <c r="M54" s="32"/>
    </row>
    <row r="55" spans="1:13" ht="15" customHeight="1">
      <c r="A55" s="32"/>
      <c r="B55" s="215" t="str">
        <f>'G-2 Habitat groups'!AU45</f>
        <v>Lakes - Temporary lakes ponds and pools (H3170)</v>
      </c>
      <c r="C55" s="216" t="str">
        <f>'G-2 Habitat groups'!AV45</f>
        <v>Lakes</v>
      </c>
      <c r="D55" s="268">
        <f>'G-2 Habitat groups'!BB45</f>
        <v>0</v>
      </c>
      <c r="E55" s="268">
        <f>'G-2 Habitat groups'!BD45</f>
        <v>0</v>
      </c>
      <c r="F55" s="268">
        <f>'G-2 Habitat groups'!BE45</f>
        <v>0</v>
      </c>
      <c r="G55" s="807" t="str">
        <f>'G-2 Habitat groups'!BF45</f>
        <v/>
      </c>
      <c r="H55" s="820" t="str">
        <f t="shared" si="1"/>
        <v/>
      </c>
      <c r="I55" s="32"/>
      <c r="J55" s="32"/>
      <c r="K55" s="32"/>
      <c r="L55" s="32"/>
      <c r="M55" s="32"/>
    </row>
    <row r="56" spans="1:12" ht="15" customHeight="1">
      <c r="A56" s="32"/>
      <c r="B56" s="215" t="str">
        <f>'G-2 Habitat groups'!AU46</f>
        <v>Sparsely vegetated land - Coastal sand dunes</v>
      </c>
      <c r="C56" s="216" t="str">
        <f>'G-2 Habitat groups'!AV46</f>
        <v>Sparsely vegetated land</v>
      </c>
      <c r="D56" s="268">
        <f>'G-2 Habitat groups'!BB46</f>
        <v>0</v>
      </c>
      <c r="E56" s="268">
        <f>'G-2 Habitat groups'!BD46</f>
        <v>0</v>
      </c>
      <c r="F56" s="268">
        <f>'G-2 Habitat groups'!BE46</f>
        <v>0</v>
      </c>
      <c r="G56" s="807" t="str">
        <f>'G-2 Habitat groups'!BF46</f>
        <v/>
      </c>
      <c r="H56" s="820" t="str">
        <f t="shared" si="1"/>
        <v/>
      </c>
      <c r="I56" s="32"/>
      <c r="J56" s="32"/>
      <c r="K56" s="32"/>
      <c r="L56" s="32"/>
    </row>
    <row r="57" spans="1:12" ht="14">
      <c r="A57" s="32"/>
      <c r="B57" s="215" t="str">
        <f>'G-2 Habitat groups'!AU47</f>
        <v>Sparsely vegetated land - Coastal vegetated shingle</v>
      </c>
      <c r="C57" s="216" t="str">
        <f>'G-2 Habitat groups'!AV47</f>
        <v>Sparsely vegetated land</v>
      </c>
      <c r="D57" s="268">
        <f>'G-2 Habitat groups'!BB47</f>
        <v>0</v>
      </c>
      <c r="E57" s="268">
        <f>'G-2 Habitat groups'!BD47</f>
        <v>0</v>
      </c>
      <c r="F57" s="268">
        <f>'G-2 Habitat groups'!BE47</f>
        <v>0</v>
      </c>
      <c r="G57" s="807" t="str">
        <f>'G-2 Habitat groups'!BF47</f>
        <v/>
      </c>
      <c r="H57" s="820" t="str">
        <f t="shared" si="1"/>
        <v/>
      </c>
      <c r="I57" s="32"/>
      <c r="J57" s="32"/>
      <c r="K57" s="32"/>
      <c r="L57" s="32"/>
    </row>
    <row r="58" spans="1:15" ht="14">
      <c r="A58" s="32"/>
      <c r="B58" s="215" t="str">
        <f>'G-2 Habitat groups'!AU48</f>
        <v>Sparsely vegetated land - Inland rock outcrop and scree habitats</v>
      </c>
      <c r="C58" s="216" t="str">
        <f>'G-2 Habitat groups'!AV48</f>
        <v>Sparsely vegetated land</v>
      </c>
      <c r="D58" s="268">
        <f>'G-2 Habitat groups'!BB48</f>
        <v>0</v>
      </c>
      <c r="E58" s="268">
        <f>'G-2 Habitat groups'!BD48</f>
        <v>0</v>
      </c>
      <c r="F58" s="268">
        <f>'G-2 Habitat groups'!BE48</f>
        <v>0</v>
      </c>
      <c r="G58" s="807" t="str">
        <f>'G-2 Habitat groups'!BF48</f>
        <v/>
      </c>
      <c r="H58" s="820" t="str">
        <f t="shared" si="1"/>
        <v/>
      </c>
      <c r="I58" s="32"/>
      <c r="J58" s="32"/>
      <c r="K58" s="32"/>
      <c r="L58" s="32"/>
      <c r="M58" s="32"/>
      <c r="N58" s="32"/>
      <c r="O58" s="32"/>
    </row>
    <row r="59" spans="1:15" ht="14">
      <c r="A59" s="32"/>
      <c r="B59" s="215" t="str">
        <f>'G-2 Habitat groups'!AU49</f>
        <v>Sparsely vegetated land - Maritime cliff and slopes</v>
      </c>
      <c r="C59" s="216" t="str">
        <f>'G-2 Habitat groups'!AV49</f>
        <v>Sparsely vegetated land</v>
      </c>
      <c r="D59" s="268">
        <f>'G-2 Habitat groups'!BB49</f>
        <v>0</v>
      </c>
      <c r="E59" s="268">
        <f>'G-2 Habitat groups'!BD49</f>
        <v>0</v>
      </c>
      <c r="F59" s="268">
        <f>'G-2 Habitat groups'!BE49</f>
        <v>0</v>
      </c>
      <c r="G59" s="807" t="str">
        <f>'G-2 Habitat groups'!BF49</f>
        <v/>
      </c>
      <c r="H59" s="820" t="str">
        <f t="shared" si="1"/>
        <v/>
      </c>
      <c r="I59" s="32"/>
      <c r="J59" s="32"/>
      <c r="K59" s="32"/>
      <c r="L59" s="32"/>
      <c r="M59" s="32"/>
      <c r="N59" s="32"/>
      <c r="O59" s="32"/>
    </row>
    <row r="60" spans="1:15" ht="14">
      <c r="A60" s="32"/>
      <c r="B60" s="215" t="str">
        <f>'G-2 Habitat groups'!AU50</f>
        <v>Urban - Open mosaic habitats on previously developed land</v>
      </c>
      <c r="C60" s="216" t="str">
        <f>'G-2 Habitat groups'!AV50</f>
        <v>Urban</v>
      </c>
      <c r="D60" s="268">
        <f>'G-2 Habitat groups'!BB50</f>
        <v>0</v>
      </c>
      <c r="E60" s="268">
        <f>'G-2 Habitat groups'!BD50</f>
        <v>0</v>
      </c>
      <c r="F60" s="268">
        <f>'G-2 Habitat groups'!BE50</f>
        <v>0</v>
      </c>
      <c r="G60" s="807" t="str">
        <f>'G-2 Habitat groups'!BF50</f>
        <v/>
      </c>
      <c r="H60" s="820" t="str">
        <f t="shared" si="1"/>
        <v/>
      </c>
      <c r="K60" s="32"/>
      <c r="L60" s="32"/>
      <c r="M60" s="32"/>
      <c r="N60" s="32"/>
      <c r="O60" s="32"/>
    </row>
    <row r="61" spans="1:15" ht="14">
      <c r="A61" s="32"/>
      <c r="B61" s="215" t="str">
        <f>'G-2 Habitat groups'!AU51</f>
        <v>Wetland - Reedbeds</v>
      </c>
      <c r="C61" s="216" t="str">
        <f>'G-2 Habitat groups'!AV51</f>
        <v>Wetland</v>
      </c>
      <c r="D61" s="268">
        <f>'G-2 Habitat groups'!BB51</f>
        <v>0</v>
      </c>
      <c r="E61" s="268">
        <f>'G-2 Habitat groups'!BD51</f>
        <v>0</v>
      </c>
      <c r="F61" s="268">
        <f>'G-2 Habitat groups'!BE51</f>
        <v>0</v>
      </c>
      <c r="G61" s="807" t="str">
        <f>'G-2 Habitat groups'!BF51</f>
        <v/>
      </c>
      <c r="H61" s="820" t="str">
        <f t="shared" si="1"/>
        <v/>
      </c>
      <c r="K61" s="32"/>
      <c r="L61" s="32"/>
      <c r="M61" s="32"/>
      <c r="N61" s="32"/>
      <c r="O61" s="32"/>
    </row>
    <row r="62" spans="1:15" ht="14">
      <c r="A62" s="32"/>
      <c r="B62" s="215" t="s">
        <v>211</v>
      </c>
      <c r="C62" s="216" t="str">
        <f>'G-2 Habitat groups'!AV52</f>
        <v>Woodland and forest</v>
      </c>
      <c r="D62" s="268">
        <f>'G-2 Habitat groups'!BB52</f>
        <v>0</v>
      </c>
      <c r="E62" s="268">
        <f>'G-2 Habitat groups'!BD52</f>
        <v>0</v>
      </c>
      <c r="F62" s="268">
        <f>'G-2 Habitat groups'!BE52</f>
        <v>0</v>
      </c>
      <c r="G62" s="807" t="str">
        <f>'G-2 Habitat groups'!BF52</f>
        <v/>
      </c>
      <c r="H62" s="820" t="str">
        <f t="shared" si="1"/>
        <v/>
      </c>
      <c r="K62" s="32"/>
      <c r="L62" s="32"/>
      <c r="M62" s="32"/>
      <c r="N62" s="32"/>
      <c r="O62" s="32"/>
    </row>
    <row r="63" spans="1:15" ht="14">
      <c r="A63" s="32"/>
      <c r="B63" s="215" t="str">
        <f>'G-2 Habitat groups'!AU53</f>
        <v>Woodland and forest - Lowland beech and yew woodland</v>
      </c>
      <c r="C63" s="216" t="str">
        <f>'G-2 Habitat groups'!AV53</f>
        <v>Woodland and forest</v>
      </c>
      <c r="D63" s="268">
        <f>'G-2 Habitat groups'!BB53</f>
        <v>0</v>
      </c>
      <c r="E63" s="268">
        <f>'G-2 Habitat groups'!BD53</f>
        <v>0</v>
      </c>
      <c r="F63" s="268">
        <f>'G-2 Habitat groups'!BE53</f>
        <v>0</v>
      </c>
      <c r="G63" s="807" t="str">
        <f>'G-2 Habitat groups'!BF53</f>
        <v/>
      </c>
      <c r="H63" s="820" t="str">
        <f t="shared" si="1"/>
        <v/>
      </c>
      <c r="I63" s="32"/>
      <c r="J63" s="32"/>
      <c r="K63" s="32"/>
      <c r="L63" s="32"/>
      <c r="M63" s="32"/>
      <c r="N63" s="32"/>
      <c r="O63" s="32"/>
    </row>
    <row r="64" spans="1:15" ht="14">
      <c r="A64" s="32"/>
      <c r="B64" s="215" t="str">
        <f>'G-2 Habitat groups'!AU54</f>
        <v>Woodland and forest - Lowland mixed deciduous woodland</v>
      </c>
      <c r="C64" s="216" t="str">
        <f>'G-2 Habitat groups'!AV54</f>
        <v>Woodland and forest</v>
      </c>
      <c r="D64" s="268">
        <f>'G-2 Habitat groups'!BB54</f>
        <v>0</v>
      </c>
      <c r="E64" s="268">
        <f>'G-2 Habitat groups'!BD54</f>
        <v>0</v>
      </c>
      <c r="F64" s="268">
        <f>'G-2 Habitat groups'!BE54</f>
        <v>0</v>
      </c>
      <c r="G64" s="807" t="str">
        <f>'G-2 Habitat groups'!BF54</f>
        <v/>
      </c>
      <c r="H64" s="820" t="str">
        <f t="shared" si="1"/>
        <v/>
      </c>
      <c r="I64" s="32"/>
      <c r="J64" s="32"/>
      <c r="K64" s="32"/>
      <c r="L64" s="32"/>
      <c r="M64" s="32"/>
      <c r="N64" s="32"/>
      <c r="O64" s="32"/>
    </row>
    <row r="65" spans="1:15" ht="14">
      <c r="A65" s="32"/>
      <c r="B65" s="215" t="str">
        <f>'G-2 Habitat groups'!AU56</f>
        <v>Woodland and forest - Native pine woodlands</v>
      </c>
      <c r="C65" s="216" t="str">
        <f>'G-2 Habitat groups'!AV56</f>
        <v>Woodland and forest</v>
      </c>
      <c r="D65" s="268">
        <f>'G-2 Habitat groups'!BB56</f>
        <v>0</v>
      </c>
      <c r="E65" s="268">
        <f>'G-2 Habitat groups'!BD56</f>
        <v>0</v>
      </c>
      <c r="F65" s="268">
        <f>'G-2 Habitat groups'!BE56</f>
        <v>0</v>
      </c>
      <c r="G65" s="807" t="str">
        <f>'G-2 Habitat groups'!BF56</f>
        <v/>
      </c>
      <c r="H65" s="820" t="str">
        <f t="shared" si="1"/>
        <v/>
      </c>
      <c r="I65" s="32"/>
      <c r="J65" s="32"/>
      <c r="K65" s="32"/>
      <c r="L65" s="32"/>
      <c r="M65" s="32"/>
      <c r="N65" s="32"/>
      <c r="O65" s="32"/>
    </row>
    <row r="66" spans="1:15" ht="14">
      <c r="A66" s="32"/>
      <c r="B66" s="215" t="str">
        <f>'G-2 Habitat groups'!AU57</f>
        <v>Woodland and forest - Upland birchwoods</v>
      </c>
      <c r="C66" s="216" t="str">
        <f>'G-2 Habitat groups'!AV57</f>
        <v>Woodland and forest</v>
      </c>
      <c r="D66" s="268">
        <f>'G-2 Habitat groups'!BB57</f>
        <v>0</v>
      </c>
      <c r="E66" s="268">
        <f>'G-2 Habitat groups'!BD57</f>
        <v>0</v>
      </c>
      <c r="F66" s="268">
        <f>'G-2 Habitat groups'!BE57</f>
        <v>0</v>
      </c>
      <c r="G66" s="807" t="str">
        <f>'G-2 Habitat groups'!BF57</f>
        <v/>
      </c>
      <c r="H66" s="820" t="str">
        <f t="shared" si="1"/>
        <v/>
      </c>
      <c r="I66" s="32"/>
      <c r="J66" s="32"/>
      <c r="K66" s="32"/>
      <c r="L66" s="32"/>
      <c r="M66" s="32"/>
      <c r="N66" s="32"/>
      <c r="O66" s="32"/>
    </row>
    <row r="67" spans="1:15" ht="14">
      <c r="A67" s="32"/>
      <c r="B67" s="215" t="str">
        <f>'G-2 Habitat groups'!AU58</f>
        <v>Woodland and forest - Upland mixed ashwoods</v>
      </c>
      <c r="C67" s="216" t="str">
        <f>'G-2 Habitat groups'!AV58</f>
        <v>Woodland and forest</v>
      </c>
      <c r="D67" s="268">
        <f>'G-2 Habitat groups'!BB58</f>
        <v>0</v>
      </c>
      <c r="E67" s="268">
        <f>'G-2 Habitat groups'!BD58</f>
        <v>0</v>
      </c>
      <c r="F67" s="268">
        <f>'G-2 Habitat groups'!BE58</f>
        <v>0</v>
      </c>
      <c r="G67" s="807" t="str">
        <f>'G-2 Habitat groups'!BF58</f>
        <v/>
      </c>
      <c r="H67" s="820" t="str">
        <f t="shared" si="1"/>
        <v/>
      </c>
      <c r="I67" s="32"/>
      <c r="J67" s="32"/>
      <c r="K67" s="32"/>
      <c r="L67" s="32"/>
      <c r="M67" s="32"/>
      <c r="N67" s="32"/>
      <c r="O67" s="32"/>
    </row>
    <row r="68" spans="1:15" ht="14">
      <c r="A68" s="32"/>
      <c r="B68" s="215" t="str">
        <f>'G-2 Habitat groups'!AU59</f>
        <v>Woodland and forest - Upland oakwood</v>
      </c>
      <c r="C68" s="216" t="str">
        <f>'G-2 Habitat groups'!AV59</f>
        <v>Woodland and forest</v>
      </c>
      <c r="D68" s="268">
        <f>'G-2 Habitat groups'!BB59</f>
        <v>0</v>
      </c>
      <c r="E68" s="268">
        <f>'G-2 Habitat groups'!BD59</f>
        <v>0</v>
      </c>
      <c r="F68" s="268">
        <f>'G-2 Habitat groups'!BE59</f>
        <v>0</v>
      </c>
      <c r="G68" s="807" t="str">
        <f>'G-2 Habitat groups'!BF59</f>
        <v/>
      </c>
      <c r="H68" s="820" t="str">
        <f t="shared" si="1"/>
        <v/>
      </c>
      <c r="I68" s="32"/>
      <c r="J68" s="32"/>
      <c r="K68" s="32"/>
      <c r="L68" s="32"/>
      <c r="M68" s="32"/>
      <c r="N68" s="32"/>
      <c r="O68" s="32"/>
    </row>
    <row r="69" spans="1:15" ht="14.9" customHeight="1">
      <c r="A69" s="32"/>
      <c r="B69" s="215" t="str">
        <f>'G-2 Habitat groups'!AU60</f>
        <v>Woodland and forest - Wet woodland</v>
      </c>
      <c r="C69" s="216" t="str">
        <f>'G-2 Habitat groups'!AV60</f>
        <v>Woodland and forest</v>
      </c>
      <c r="D69" s="268">
        <f>'G-2 Habitat groups'!BB60</f>
        <v>0</v>
      </c>
      <c r="E69" s="268">
        <f>'G-2 Habitat groups'!BD60</f>
        <v>0</v>
      </c>
      <c r="F69" s="268">
        <f>'G-2 Habitat groups'!BE60</f>
        <v>0</v>
      </c>
      <c r="G69" s="807" t="str">
        <f>'G-2 Habitat groups'!BF60</f>
        <v/>
      </c>
      <c r="H69" s="820" t="str">
        <f t="shared" si="1"/>
        <v/>
      </c>
      <c r="I69" s="32"/>
      <c r="J69" s="32"/>
      <c r="K69" s="32"/>
      <c r="L69" s="32"/>
      <c r="M69" s="32"/>
      <c r="N69" s="32"/>
      <c r="O69" s="32"/>
    </row>
    <row r="70" spans="1:15" ht="14">
      <c r="A70" s="32"/>
      <c r="B70" s="215" t="str">
        <f>'G-2 Habitat groups'!AU61</f>
        <v>Coastal lagoons - Coastal lagoons</v>
      </c>
      <c r="C70" s="216" t="str">
        <f>'G-2 Habitat groups'!AV61</f>
        <v>Coastal lagoons</v>
      </c>
      <c r="D70" s="268">
        <f>'G-2 Habitat groups'!BB61</f>
        <v>0</v>
      </c>
      <c r="E70" s="268">
        <f>'G-2 Habitat groups'!BD61</f>
        <v>0</v>
      </c>
      <c r="F70" s="268">
        <f>'G-2 Habitat groups'!BE61</f>
        <v>0</v>
      </c>
      <c r="G70" s="807" t="str">
        <f>'G-2 Habitat groups'!BF61</f>
        <v/>
      </c>
      <c r="H70" s="820" t="str">
        <f t="shared" si="1"/>
        <v/>
      </c>
      <c r="I70" s="32"/>
      <c r="J70" s="32"/>
      <c r="K70" s="32"/>
      <c r="L70" s="32"/>
      <c r="M70" s="32"/>
      <c r="N70" s="32"/>
      <c r="O70" s="32"/>
    </row>
    <row r="71" spans="1:15" ht="14">
      <c r="A71" s="32"/>
      <c r="B71" s="215" t="str">
        <f>'G-2 Habitat groups'!AU62</f>
        <v>Rocky shore - High energy littoral rock</v>
      </c>
      <c r="C71" s="216" t="str">
        <f>'G-2 Habitat groups'!AV62</f>
        <v>Rocky shore</v>
      </c>
      <c r="D71" s="268">
        <f>'G-2 Habitat groups'!BB62</f>
        <v>0</v>
      </c>
      <c r="E71" s="268">
        <f>'G-2 Habitat groups'!BD62</f>
        <v>0</v>
      </c>
      <c r="F71" s="268">
        <f>'G-2 Habitat groups'!BE62</f>
        <v>0</v>
      </c>
      <c r="G71" s="807" t="str">
        <f>'G-2 Habitat groups'!BF62</f>
        <v/>
      </c>
      <c r="H71" s="820" t="str">
        <f t="shared" si="1"/>
        <v/>
      </c>
      <c r="I71" s="32"/>
      <c r="J71" s="32"/>
      <c r="K71" s="32"/>
      <c r="L71" s="32"/>
      <c r="M71" s="32"/>
      <c r="N71" s="32"/>
      <c r="O71" s="32"/>
    </row>
    <row r="72" spans="1:15" ht="14">
      <c r="A72" s="32"/>
      <c r="B72" s="215" t="str">
        <f>'G-2 Habitat groups'!AU63</f>
        <v>Rocky shore - Moderate energy littoral rock</v>
      </c>
      <c r="C72" s="216" t="str">
        <f>'G-2 Habitat groups'!AV63</f>
        <v>Rocky shore</v>
      </c>
      <c r="D72" s="268">
        <f>'G-2 Habitat groups'!BB63</f>
        <v>0</v>
      </c>
      <c r="E72" s="268">
        <f>'G-2 Habitat groups'!BD63</f>
        <v>0</v>
      </c>
      <c r="F72" s="268">
        <f>'G-2 Habitat groups'!BE63</f>
        <v>0</v>
      </c>
      <c r="G72" s="807" t="str">
        <f>'G-2 Habitat groups'!BF63</f>
        <v/>
      </c>
      <c r="H72" s="820" t="str">
        <f t="shared" si="1"/>
        <v/>
      </c>
      <c r="I72" s="32"/>
      <c r="J72" s="32"/>
      <c r="K72" s="32"/>
      <c r="L72" s="32"/>
      <c r="M72" s="32"/>
      <c r="N72" s="32"/>
      <c r="O72" s="32"/>
    </row>
    <row r="73" spans="1:15" ht="14">
      <c r="A73" s="32"/>
      <c r="B73" s="215" t="str">
        <f>'G-2 Habitat groups'!AU64</f>
        <v>Rocky shore - Low energy littoral rock</v>
      </c>
      <c r="C73" s="216" t="str">
        <f>'G-2 Habitat groups'!AV64</f>
        <v>Rocky shore</v>
      </c>
      <c r="D73" s="268">
        <f>'G-2 Habitat groups'!BB64</f>
        <v>0</v>
      </c>
      <c r="E73" s="268">
        <f>'G-2 Habitat groups'!BD64</f>
        <v>0</v>
      </c>
      <c r="F73" s="268">
        <f>'G-2 Habitat groups'!BE64</f>
        <v>0</v>
      </c>
      <c r="G73" s="807" t="str">
        <f>'G-2 Habitat groups'!BF64</f>
        <v/>
      </c>
      <c r="H73" s="820" t="str">
        <f t="shared" si="1"/>
        <v/>
      </c>
      <c r="I73" s="32"/>
      <c r="J73" s="32"/>
      <c r="K73" s="32"/>
      <c r="L73" s="32"/>
      <c r="M73" s="32"/>
      <c r="N73" s="32"/>
      <c r="O73" s="32"/>
    </row>
    <row r="74" spans="1:15" ht="14">
      <c r="A74" s="32"/>
      <c r="B74" s="215" t="str">
        <f>'G-2 Habitat groups'!AU65</f>
        <v>Rocky shore - Features of littoral rock</v>
      </c>
      <c r="C74" s="216" t="str">
        <f>'G-2 Habitat groups'!AV65</f>
        <v>Rocky shore</v>
      </c>
      <c r="D74" s="268">
        <f>'G-2 Habitat groups'!BB65</f>
        <v>0</v>
      </c>
      <c r="E74" s="268">
        <f>'G-2 Habitat groups'!BD65</f>
        <v>0</v>
      </c>
      <c r="F74" s="268">
        <f>'G-2 Habitat groups'!BE65</f>
        <v>0</v>
      </c>
      <c r="G74" s="807" t="str">
        <f>'G-2 Habitat groups'!BF65</f>
        <v/>
      </c>
      <c r="H74" s="820" t="str">
        <f t="shared" si="1"/>
        <v/>
      </c>
      <c r="I74" s="32"/>
      <c r="J74" s="32"/>
      <c r="K74" s="32"/>
      <c r="L74" s="32"/>
      <c r="M74" s="32"/>
      <c r="N74" s="32"/>
      <c r="O74" s="32"/>
    </row>
    <row r="75" spans="1:15" ht="14">
      <c r="A75" s="32"/>
      <c r="B75" s="215" t="str">
        <f>'G-2 Habitat groups'!AU66</f>
        <v>Intertidal sediment - Littoral mud</v>
      </c>
      <c r="C75" s="216" t="str">
        <f>'G-2 Habitat groups'!AV66</f>
        <v>Intertidal sediment</v>
      </c>
      <c r="D75" s="268">
        <f>'G-2 Habitat groups'!BB66</f>
        <v>0</v>
      </c>
      <c r="E75" s="268">
        <f>'G-2 Habitat groups'!BD66</f>
        <v>0</v>
      </c>
      <c r="F75" s="268">
        <f>'G-2 Habitat groups'!BE66</f>
        <v>0</v>
      </c>
      <c r="G75" s="807" t="str">
        <f>'G-2 Habitat groups'!BF66</f>
        <v/>
      </c>
      <c r="H75" s="820" t="str">
        <f t="shared" si="1"/>
        <v/>
      </c>
      <c r="I75" s="32"/>
      <c r="J75" s="32"/>
      <c r="K75" s="32"/>
      <c r="L75" s="32"/>
      <c r="M75" s="32"/>
      <c r="N75" s="32"/>
      <c r="O75" s="32"/>
    </row>
    <row r="76" spans="1:15" ht="14">
      <c r="A76" s="32"/>
      <c r="B76" s="215" t="str">
        <f>'G-2 Habitat groups'!AU67</f>
        <v>Intertidal sediment - Littoral mixed sediments</v>
      </c>
      <c r="C76" s="216" t="str">
        <f>'G-2 Habitat groups'!AV67</f>
        <v>Intertidal sediment</v>
      </c>
      <c r="D76" s="268">
        <f>'G-2 Habitat groups'!BB67</f>
        <v>0</v>
      </c>
      <c r="E76" s="268">
        <f>'G-2 Habitat groups'!BD67</f>
        <v>0</v>
      </c>
      <c r="F76" s="268">
        <f>'G-2 Habitat groups'!BE67</f>
        <v>0</v>
      </c>
      <c r="G76" s="807" t="str">
        <f>'G-2 Habitat groups'!BF67</f>
        <v/>
      </c>
      <c r="H76" s="820" t="str">
        <f t="shared" si="1"/>
        <v/>
      </c>
      <c r="I76" s="32"/>
      <c r="J76" s="32"/>
      <c r="K76" s="32"/>
      <c r="L76" s="32"/>
      <c r="M76" s="32"/>
      <c r="N76" s="32"/>
      <c r="O76" s="32"/>
    </row>
    <row r="77" spans="1:15" ht="14">
      <c r="A77" s="32"/>
      <c r="B77" s="215" t="str">
        <f>'G-2 Habitat groups'!AU68</f>
        <v>Coastal saltmarsh - Saltmarshes and saline reedbeds</v>
      </c>
      <c r="C77" s="216" t="str">
        <f>'G-2 Habitat groups'!AV68</f>
        <v>Coastal saltmarsh</v>
      </c>
      <c r="D77" s="268">
        <f>'G-2 Habitat groups'!BB68</f>
        <v>0</v>
      </c>
      <c r="E77" s="268">
        <f>'G-2 Habitat groups'!BD68</f>
        <v>0</v>
      </c>
      <c r="F77" s="268">
        <f>'G-2 Habitat groups'!BE68</f>
        <v>0</v>
      </c>
      <c r="G77" s="807" t="str">
        <f>'G-2 Habitat groups'!BF68</f>
        <v/>
      </c>
      <c r="H77" s="820" t="str">
        <f t="shared" si="1"/>
        <v/>
      </c>
      <c r="I77" s="32"/>
      <c r="J77" s="32"/>
      <c r="K77" s="32"/>
      <c r="L77" s="32"/>
      <c r="M77" s="32"/>
      <c r="N77" s="32"/>
      <c r="O77" s="32"/>
    </row>
    <row r="78" spans="1:15" ht="14">
      <c r="A78" s="32"/>
      <c r="B78" s="215" t="str">
        <f>'G-2 Habitat groups'!AU69</f>
        <v>Intertidal sediment - Littoral biogenic reefs - Mussels</v>
      </c>
      <c r="C78" s="216" t="str">
        <f>'G-2 Habitat groups'!AV69</f>
        <v>Intertidal sediment</v>
      </c>
      <c r="D78" s="268">
        <f>'G-2 Habitat groups'!BB69</f>
        <v>0</v>
      </c>
      <c r="E78" s="268">
        <f>'G-2 Habitat groups'!BD69</f>
        <v>0</v>
      </c>
      <c r="F78" s="268">
        <f>'G-2 Habitat groups'!BE69</f>
        <v>0</v>
      </c>
      <c r="G78" s="807" t="str">
        <f>'G-2 Habitat groups'!BF69</f>
        <v/>
      </c>
      <c r="H78" s="820" t="str">
        <f t="shared" si="1"/>
        <v/>
      </c>
      <c r="I78" s="32"/>
      <c r="J78" s="32"/>
      <c r="K78" s="32"/>
      <c r="L78" s="32"/>
      <c r="M78" s="32"/>
      <c r="N78" s="32"/>
      <c r="O78" s="32"/>
    </row>
    <row r="79" spans="1:15" ht="14">
      <c r="A79" s="32"/>
      <c r="B79" s="215" t="str">
        <f>'G-2 Habitat groups'!AU70</f>
        <v>Intertidal sediment - Littoral biogenic reefs - Sabellaria</v>
      </c>
      <c r="C79" s="216" t="str">
        <f>'G-2 Habitat groups'!AV70</f>
        <v>Intertidal sediment</v>
      </c>
      <c r="D79" s="268">
        <f>'G-2 Habitat groups'!BB70</f>
        <v>0</v>
      </c>
      <c r="E79" s="268">
        <f>'G-2 Habitat groups'!BD70</f>
        <v>0</v>
      </c>
      <c r="F79" s="268">
        <f>'G-2 Habitat groups'!BE70</f>
        <v>0</v>
      </c>
      <c r="G79" s="807" t="str">
        <f>'G-2 Habitat groups'!BF70</f>
        <v/>
      </c>
      <c r="H79" s="820" t="str">
        <f t="shared" si="1"/>
        <v/>
      </c>
      <c r="I79" s="32"/>
      <c r="J79" s="32"/>
      <c r="K79" s="32"/>
      <c r="L79" s="32"/>
      <c r="M79" s="32"/>
      <c r="N79" s="32"/>
      <c r="O79" s="32"/>
    </row>
    <row r="80" spans="1:15" ht="14">
      <c r="A80" s="32"/>
      <c r="B80" s="215" t="str">
        <f>'G-2 Habitat groups'!AU71</f>
        <v>Intertidal sediment - Features of littoral sediment</v>
      </c>
      <c r="C80" s="216" t="str">
        <f>'G-2 Habitat groups'!AV71</f>
        <v>Intertidal sediment</v>
      </c>
      <c r="D80" s="268">
        <f>'G-2 Habitat groups'!BB71</f>
        <v>0</v>
      </c>
      <c r="E80" s="268">
        <f>'G-2 Habitat groups'!BD71</f>
        <v>0</v>
      </c>
      <c r="F80" s="268">
        <f>'G-2 Habitat groups'!BE71</f>
        <v>0</v>
      </c>
      <c r="G80" s="807" t="str">
        <f>'G-2 Habitat groups'!BF71</f>
        <v/>
      </c>
      <c r="H80" s="820" t="str">
        <f t="shared" si="1"/>
        <v/>
      </c>
      <c r="I80" s="32"/>
      <c r="J80" s="32"/>
      <c r="K80" s="32"/>
      <c r="L80" s="32"/>
      <c r="M80" s="32"/>
      <c r="N80" s="32"/>
      <c r="O80" s="32"/>
    </row>
    <row r="81" spans="1:17" ht="14">
      <c r="A81" s="32"/>
      <c r="B81" s="215" t="str">
        <f>'G-2 Habitat groups'!AU72</f>
        <v>Intertidal sediment - Littoral muddy sand</v>
      </c>
      <c r="C81" s="216" t="str">
        <f>'G-2 Habitat groups'!AV72</f>
        <v>Intertidal sediment</v>
      </c>
      <c r="D81" s="268">
        <f>'G-2 Habitat groups'!BB72</f>
        <v>0</v>
      </c>
      <c r="E81" s="268">
        <f>'G-2 Habitat groups'!BD72</f>
        <v>0</v>
      </c>
      <c r="F81" s="268">
        <f>'G-2 Habitat groups'!BE72</f>
        <v>0</v>
      </c>
      <c r="G81" s="807" t="str">
        <f>'G-2 Habitat groups'!BF72</f>
        <v/>
      </c>
      <c r="H81" s="820" t="str">
        <f t="shared" si="1"/>
        <v/>
      </c>
      <c r="I81" s="32"/>
      <c r="J81" s="32"/>
      <c r="K81" s="32"/>
      <c r="L81" s="32"/>
      <c r="M81" s="32"/>
      <c r="N81" s="32"/>
      <c r="O81" s="32"/>
      <c r="P81" s="32"/>
      <c r="Q81" s="32"/>
    </row>
    <row r="82" spans="1:17" ht="14.5" thickBot="1">
      <c r="A82" s="32"/>
      <c r="B82" s="217" t="s">
        <v>212</v>
      </c>
      <c r="C82" s="218" t="str">
        <f>'G-2 Habitat groups'!AV73</f>
        <v>Intertidal sediment</v>
      </c>
      <c r="D82" s="271">
        <f>'G-2 Habitat groups'!BB73</f>
        <v>0</v>
      </c>
      <c r="E82" s="271">
        <f>'G-2 Habitat groups'!BD73</f>
        <v>0</v>
      </c>
      <c r="F82" s="271">
        <f>'G-2 Habitat groups'!BE73</f>
        <v>0</v>
      </c>
      <c r="G82" s="808" t="str">
        <f>'G-2 Habitat groups'!BF73</f>
        <v/>
      </c>
      <c r="H82" s="285" t="str">
        <f t="shared" si="1"/>
        <v/>
      </c>
      <c r="I82" s="32"/>
      <c r="J82" s="32"/>
      <c r="K82" s="32"/>
      <c r="L82" s="32"/>
      <c r="M82" s="32"/>
      <c r="N82" s="32"/>
      <c r="O82" s="32"/>
      <c r="P82" s="32"/>
      <c r="Q82" s="32"/>
    </row>
    <row r="83" spans="1:17" ht="14.5" thickBot="1">
      <c r="A83" s="32"/>
      <c r="B83" s="32"/>
      <c r="C83" s="32"/>
      <c r="D83" s="440">
        <f>SUM(D41:D82)</f>
        <v>0</v>
      </c>
      <c r="E83" s="441">
        <f>SUM(E41:E82)</f>
        <v>0</v>
      </c>
      <c r="F83" s="266">
        <f>SUM(F41:F82)</f>
        <v>0</v>
      </c>
      <c r="G83" s="1383">
        <f>SUM(G41:G82)</f>
        <v>0</v>
      </c>
      <c r="H83" s="1384"/>
      <c r="I83" s="32"/>
      <c r="J83" s="32"/>
      <c r="K83" s="32"/>
      <c r="L83" s="32"/>
      <c r="M83" s="32"/>
      <c r="N83" s="32"/>
      <c r="O83" s="32"/>
      <c r="P83" s="32"/>
      <c r="Q83" s="32"/>
    </row>
    <row r="84" spans="1:17" ht="14">
      <c r="A84" s="32"/>
      <c r="B84" s="32"/>
      <c r="C84" s="32"/>
      <c r="D84" s="32"/>
      <c r="E84" s="32"/>
      <c r="F84" s="32"/>
      <c r="G84" s="32"/>
      <c r="H84" s="32"/>
      <c r="I84" s="32"/>
      <c r="J84" s="32"/>
      <c r="K84" s="32"/>
      <c r="L84" s="32"/>
      <c r="M84" s="32"/>
      <c r="N84" s="32"/>
      <c r="O84" s="32"/>
      <c r="P84" s="32"/>
      <c r="Q84" s="32"/>
    </row>
    <row r="85" spans="1:17" ht="14">
      <c r="A85" s="32"/>
      <c r="B85" s="32"/>
      <c r="C85" s="32"/>
      <c r="D85" s="32"/>
      <c r="E85" s="32"/>
      <c r="F85" s="32"/>
      <c r="G85" s="32"/>
      <c r="H85" s="32"/>
      <c r="I85" s="32"/>
      <c r="J85" s="32"/>
      <c r="K85" s="32"/>
      <c r="L85" s="32"/>
      <c r="M85" s="32"/>
      <c r="N85" s="32"/>
      <c r="O85" s="32"/>
      <c r="P85" s="32"/>
      <c r="Q85" s="32"/>
    </row>
    <row r="86" spans="1:17" ht="14.5" thickBot="1">
      <c r="A86" s="32"/>
      <c r="B86" s="32"/>
      <c r="C86" s="32"/>
      <c r="D86" s="32"/>
      <c r="E86" s="32"/>
      <c r="F86" s="32"/>
      <c r="G86" s="32"/>
      <c r="H86" s="32"/>
      <c r="I86" s="32"/>
      <c r="J86" s="32"/>
      <c r="K86" s="32"/>
      <c r="L86" s="32"/>
      <c r="M86" s="32"/>
      <c r="N86" s="32"/>
      <c r="O86" s="32"/>
      <c r="P86" s="32"/>
      <c r="Q86" s="32"/>
    </row>
    <row r="87" spans="1:15" ht="43.5" customHeight="1" thickBot="1">
      <c r="A87" s="32"/>
      <c r="B87" s="1399" t="s">
        <v>213</v>
      </c>
      <c r="C87" s="1400"/>
      <c r="D87" s="1400"/>
      <c r="E87" s="1400"/>
      <c r="F87" s="1400"/>
      <c r="G87" s="1400"/>
      <c r="H87" s="1401"/>
      <c r="J87" s="1411" t="s">
        <v>214</v>
      </c>
      <c r="K87" s="1412"/>
      <c r="L87" s="1413"/>
      <c r="M87" s="32"/>
      <c r="N87" s="32"/>
      <c r="O87" s="32"/>
    </row>
    <row r="88" spans="1:12" ht="45.5" thickBot="1">
      <c r="A88" s="32"/>
      <c r="B88" s="827" t="s">
        <v>95</v>
      </c>
      <c r="C88" s="825" t="s">
        <v>201</v>
      </c>
      <c r="D88" s="825" t="s">
        <v>101</v>
      </c>
      <c r="E88" s="825" t="s">
        <v>128</v>
      </c>
      <c r="F88" s="825" t="s">
        <v>215</v>
      </c>
      <c r="G88" s="1402" t="s">
        <v>216</v>
      </c>
      <c r="H88" s="1403"/>
      <c r="J88" s="64" t="s">
        <v>217</v>
      </c>
      <c r="K88" s="838">
        <f>SUMIF(G89:G115,"&gt;0")</f>
        <v>17.314433526072484</v>
      </c>
      <c r="L88" s="833" t="str">
        <f>IF(K88=0,"",IF(K88&lt;0,"⚠","✓"))</f>
        <v>✓</v>
      </c>
    </row>
    <row r="89" spans="1:12" ht="28">
      <c r="A89" s="32"/>
      <c r="B89" s="219" t="str">
        <f>'G-2 Habitat groups'!AU79</f>
        <v>Cropland - Arable field margins cultivated annually</v>
      </c>
      <c r="C89" s="220" t="str">
        <f>'G-2 Habitat groups'!AV79</f>
        <v>Cropland</v>
      </c>
      <c r="D89" s="270">
        <f>'G-2 Habitat groups'!BB79</f>
        <v>0</v>
      </c>
      <c r="E89" s="270">
        <f>'G-2 Habitat groups'!BD79</f>
        <v>0</v>
      </c>
      <c r="F89" s="806">
        <f>'G-2 Habitat groups'!BE79</f>
        <v>0</v>
      </c>
      <c r="G89" s="1378">
        <f>SUM(F89:F92)</f>
        <v>0</v>
      </c>
      <c r="H89" s="1396" t="str">
        <f>IF(G89=0,"",IF(G89&lt;0,"⚠","✓"))</f>
        <v/>
      </c>
      <c r="J89" s="837" t="s">
        <v>218</v>
      </c>
      <c r="K89" s="830">
        <f>SUMIF(G89:G115,"&lt;0")</f>
        <v>0</v>
      </c>
      <c r="L89" s="822" t="str">
        <f t="shared" si="2" ref="L89">IF(K89=0,"",IF(K89&lt;0,"⚠","✓"))</f>
        <v/>
      </c>
    </row>
    <row r="90" spans="1:12" ht="28.5" thickBot="1">
      <c r="A90" s="32"/>
      <c r="B90" s="215" t="str">
        <f>'G-2 Habitat groups'!AU81</f>
        <v>Cropland - Arable field margins game bird mix</v>
      </c>
      <c r="C90" s="216" t="str">
        <f>'G-2 Habitat groups'!AV81</f>
        <v>Cropland</v>
      </c>
      <c r="D90" s="268">
        <f>'G-2 Habitat groups'!BB81</f>
        <v>0</v>
      </c>
      <c r="E90" s="268">
        <f>'G-2 Habitat groups'!BD81</f>
        <v>0</v>
      </c>
      <c r="F90" s="807">
        <f>'G-2 Habitat groups'!BE81</f>
        <v>0</v>
      </c>
      <c r="G90" s="1379"/>
      <c r="H90" s="1398"/>
      <c r="J90" s="829" t="s">
        <v>219</v>
      </c>
      <c r="K90" s="834">
        <f>K40+K12+K89</f>
        <v>0</v>
      </c>
      <c r="L90" s="285" t="str">
        <f>IF(K90=0,"",IF(K90&lt;0,"▲","✓"))</f>
        <v/>
      </c>
    </row>
    <row r="91" spans="1:12" ht="14">
      <c r="A91" s="32"/>
      <c r="B91" s="215" t="str">
        <f>'G-2 Habitat groups'!AU82</f>
        <v>Cropland - Arable field margins pollen and nectar</v>
      </c>
      <c r="C91" s="216" t="str">
        <f>'G-2 Habitat groups'!AV82</f>
        <v>Cropland</v>
      </c>
      <c r="D91" s="268">
        <f>'G-2 Habitat groups'!BB82</f>
        <v>0</v>
      </c>
      <c r="E91" s="268">
        <f>'G-2 Habitat groups'!BD82</f>
        <v>0</v>
      </c>
      <c r="F91" s="807">
        <f>'G-2 Habitat groups'!BE82</f>
        <v>0</v>
      </c>
      <c r="G91" s="1379"/>
      <c r="H91" s="1398"/>
      <c r="J91" s="1045" t="s">
        <v>220</v>
      </c>
      <c r="K91" s="1045">
        <f>K90+K88</f>
        <v>17.314433526072484</v>
      </c>
      <c r="L91" s="1045" t="str">
        <f>IF(K91=0,"",IF(K91&lt;0,"⚠","✓"))</f>
        <v>✓</v>
      </c>
    </row>
    <row r="92" spans="1:12" ht="14.5" thickBot="1">
      <c r="A92" s="32"/>
      <c r="B92" s="217" t="str">
        <f>'G-2 Habitat groups'!AU83</f>
        <v>Cropland - Arable field margins tussocky</v>
      </c>
      <c r="C92" s="218" t="str">
        <f>'G-2 Habitat groups'!AV83</f>
        <v>Cropland</v>
      </c>
      <c r="D92" s="271">
        <f>'G-2 Habitat groups'!BB83</f>
        <v>0</v>
      </c>
      <c r="E92" s="271">
        <f>'G-2 Habitat groups'!BD83</f>
        <v>0</v>
      </c>
      <c r="F92" s="808">
        <f>'G-2 Habitat groups'!BE83</f>
        <v>0</v>
      </c>
      <c r="G92" s="1380"/>
      <c r="H92" s="1397"/>
      <c r="I92" s="32"/>
      <c r="J92" s="32"/>
      <c r="K92" s="32"/>
      <c r="L92" s="32"/>
    </row>
    <row r="93" spans="1:12" ht="14">
      <c r="A93" s="32"/>
      <c r="B93" s="219" t="str">
        <f>'G-2 Habitat groups'!AU84</f>
        <v>Grassland - Other lowland acid grassland</v>
      </c>
      <c r="C93" s="220" t="str">
        <f>'G-2 Habitat groups'!AV84</f>
        <v>Grassland</v>
      </c>
      <c r="D93" s="270">
        <f>'G-2 Habitat groups'!BB84</f>
        <v>0</v>
      </c>
      <c r="E93" s="270">
        <f>'G-2 Habitat groups'!BD84</f>
        <v>0</v>
      </c>
      <c r="F93" s="806">
        <f>'G-2 Habitat groups'!BE84</f>
        <v>0</v>
      </c>
      <c r="G93" s="1378">
        <f>SUM(F93:F95)</f>
        <v>17.305617528408003</v>
      </c>
      <c r="H93" s="1396" t="str">
        <f>IF(G93=0,"",IF(G93&lt;0,"⚠","✓"))</f>
        <v>✓</v>
      </c>
      <c r="I93" s="32"/>
      <c r="J93" s="32"/>
      <c r="K93" s="32"/>
      <c r="L93" s="32"/>
    </row>
    <row r="94" spans="1:12" ht="14">
      <c r="A94" s="32"/>
      <c r="B94" s="215" t="str">
        <f>'G-2 Habitat groups'!AU85</f>
        <v>Grassland - Other neutral grassland</v>
      </c>
      <c r="C94" s="216" t="str">
        <f>'G-2 Habitat groups'!AV85</f>
        <v>Grassland</v>
      </c>
      <c r="D94" s="268">
        <f>'G-2 Habitat groups'!BB85</f>
        <v>17.305617528408003</v>
      </c>
      <c r="E94" s="268">
        <f>'G-2 Habitat groups'!BD85</f>
        <v>0</v>
      </c>
      <c r="F94" s="807">
        <f>'G-2 Habitat groups'!BE85</f>
        <v>17.305617528408003</v>
      </c>
      <c r="G94" s="1379"/>
      <c r="H94" s="1398"/>
      <c r="I94" s="32"/>
      <c r="J94" s="32"/>
      <c r="K94" s="32"/>
      <c r="L94" s="32"/>
    </row>
    <row r="95" spans="1:13" ht="14.5" thickBot="1">
      <c r="A95" s="32"/>
      <c r="B95" s="217" t="str">
        <f>'G-2 Habitat groups'!AU86</f>
        <v>Grassland - Upland acid grassland</v>
      </c>
      <c r="C95" s="218" t="str">
        <f>'G-2 Habitat groups'!AV86</f>
        <v>Grassland</v>
      </c>
      <c r="D95" s="271">
        <f>'G-2 Habitat groups'!BB86</f>
        <v>0</v>
      </c>
      <c r="E95" s="271">
        <f>'G-2 Habitat groups'!BD86</f>
        <v>0</v>
      </c>
      <c r="F95" s="808">
        <f>'G-2 Habitat groups'!BE86</f>
        <v>0</v>
      </c>
      <c r="G95" s="1380"/>
      <c r="H95" s="1397"/>
      <c r="I95" s="32"/>
      <c r="J95" s="32"/>
      <c r="K95" s="32"/>
      <c r="L95" s="32"/>
      <c r="M95" s="32"/>
    </row>
    <row r="96" spans="1:13" ht="14">
      <c r="A96" s="32"/>
      <c r="B96" s="219" t="str">
        <f>'G-2 Habitat groups'!AU87</f>
        <v>Heathland and shrub - Blackthorn scrub</v>
      </c>
      <c r="C96" s="220" t="str">
        <f>'G-2 Habitat groups'!AV87</f>
        <v>Heathland and shrub</v>
      </c>
      <c r="D96" s="270">
        <f>'G-2 Habitat groups'!BB87</f>
        <v>0</v>
      </c>
      <c r="E96" s="270">
        <f>'G-2 Habitat groups'!BD87</f>
        <v>0</v>
      </c>
      <c r="F96" s="806">
        <f>'G-2 Habitat groups'!BE87</f>
        <v>0</v>
      </c>
      <c r="G96" s="1378">
        <f>SUM(F96:F102)</f>
        <v>0</v>
      </c>
      <c r="H96" s="1396" t="str">
        <f>IF(G96=0,"",IF(G96&lt;0,"⚠","✓"))</f>
        <v/>
      </c>
      <c r="I96" s="32"/>
      <c r="J96" s="32"/>
      <c r="K96" s="32"/>
      <c r="L96" s="32"/>
      <c r="M96" s="32"/>
    </row>
    <row r="97" spans="1:13" ht="14">
      <c r="A97" s="32"/>
      <c r="B97" s="215" t="str">
        <f>'G-2 Habitat groups'!AU88</f>
        <v>Heathland and shrub - Bramble scrub</v>
      </c>
      <c r="C97" s="216" t="str">
        <f>'G-2 Habitat groups'!AV88</f>
        <v>Heathland and shrub</v>
      </c>
      <c r="D97" s="268">
        <f>'G-2 Habitat groups'!BB88</f>
        <v>0</v>
      </c>
      <c r="E97" s="268">
        <f>'G-2 Habitat groups'!BD88</f>
        <v>0</v>
      </c>
      <c r="F97" s="807">
        <f>'G-2 Habitat groups'!BE88</f>
        <v>0</v>
      </c>
      <c r="G97" s="1379"/>
      <c r="H97" s="1398"/>
      <c r="I97" s="32"/>
      <c r="J97" s="32"/>
      <c r="K97" s="32"/>
      <c r="L97" s="32"/>
      <c r="M97" s="32"/>
    </row>
    <row r="98" spans="1:13" ht="14">
      <c r="A98" s="32"/>
      <c r="B98" s="215" t="str">
        <f>'G-2 Habitat groups'!AU89</f>
        <v>Heathland and shrub - Gorse scrub</v>
      </c>
      <c r="C98" s="216" t="str">
        <f>'G-2 Habitat groups'!AV89</f>
        <v>Heathland and shrub</v>
      </c>
      <c r="D98" s="268">
        <f>'G-2 Habitat groups'!BB89</f>
        <v>0</v>
      </c>
      <c r="E98" s="268">
        <f>'G-2 Habitat groups'!BD89</f>
        <v>0</v>
      </c>
      <c r="F98" s="807">
        <f>'G-2 Habitat groups'!BE89</f>
        <v>0</v>
      </c>
      <c r="G98" s="1379"/>
      <c r="H98" s="1398"/>
      <c r="I98" s="32"/>
      <c r="J98" s="32"/>
      <c r="K98" s="32"/>
      <c r="L98" s="32"/>
      <c r="M98" s="32"/>
    </row>
    <row r="99" spans="1:13" ht="14">
      <c r="A99" s="32"/>
      <c r="B99" s="215" t="str">
        <f>'G-2 Habitat groups'!AU90</f>
        <v>Heathland and shrub - Hawthorn scrub</v>
      </c>
      <c r="C99" s="216" t="str">
        <f>'G-2 Habitat groups'!AV104</f>
        <v>Heathland and shrub</v>
      </c>
      <c r="D99" s="268">
        <f>'G-2 Habitat groups'!BB90</f>
        <v>0</v>
      </c>
      <c r="E99" s="268">
        <f>'G-2 Habitat groups'!BD90</f>
        <v>0</v>
      </c>
      <c r="F99" s="807">
        <f>'G-2 Habitat groups'!BE90</f>
        <v>0</v>
      </c>
      <c r="G99" s="1379"/>
      <c r="H99" s="1398"/>
      <c r="I99" s="32"/>
      <c r="J99" s="32"/>
      <c r="K99" s="32"/>
      <c r="L99" s="32"/>
      <c r="M99" s="32"/>
    </row>
    <row r="100" spans="1:13" ht="14">
      <c r="A100" s="32"/>
      <c r="B100" s="215" t="str">
        <f>'G-2 Habitat groups'!AU104</f>
        <v>Heathland and shrub - Willow scrub</v>
      </c>
      <c r="C100" s="216" t="str">
        <f>'G-2 Habitat groups'!AV91</f>
        <v>Heathland and shrub</v>
      </c>
      <c r="D100" s="268">
        <f>'G-2 Habitat groups'!BB104</f>
        <v>0</v>
      </c>
      <c r="E100" s="268">
        <f>'G-2 Habitat groups'!BD104</f>
        <v>0</v>
      </c>
      <c r="F100" s="807">
        <f>'G-2 Habitat groups'!BE104</f>
        <v>0</v>
      </c>
      <c r="G100" s="1379"/>
      <c r="H100" s="1398"/>
      <c r="I100" s="32"/>
      <c r="J100" s="32"/>
      <c r="K100" s="32"/>
      <c r="L100" s="32"/>
      <c r="M100" s="32"/>
    </row>
    <row r="101" spans="1:15" ht="14">
      <c r="A101" s="32"/>
      <c r="B101" s="215" t="str">
        <f>'G-2 Habitat groups'!AU91</f>
        <v>Heathland and shrub - Hazel scrub</v>
      </c>
      <c r="C101" s="216" t="str">
        <f>'G-2 Habitat groups'!AV91</f>
        <v>Heathland and shrub</v>
      </c>
      <c r="D101" s="268">
        <f>'G-2 Habitat groups'!BB91</f>
        <v>0</v>
      </c>
      <c r="E101" s="268">
        <f>'G-2 Habitat groups'!BD91</f>
        <v>0</v>
      </c>
      <c r="F101" s="807">
        <f>'G-2 Habitat groups'!BE91</f>
        <v>0</v>
      </c>
      <c r="G101" s="1379"/>
      <c r="H101" s="1398"/>
      <c r="I101" s="32"/>
      <c r="J101" s="32"/>
      <c r="K101" s="32"/>
      <c r="L101" s="32"/>
      <c r="M101" s="32"/>
      <c r="N101" s="32"/>
      <c r="O101" s="32"/>
    </row>
    <row r="102" spans="1:15" ht="14.5" thickBot="1">
      <c r="A102" s="32"/>
      <c r="B102" s="217" t="str">
        <f>'G-2 Habitat groups'!AU92</f>
        <v>Heathland and shrub - Mixed scrub</v>
      </c>
      <c r="C102" s="218" t="str">
        <f>'G-2 Habitat groups'!AV92</f>
        <v>Heathland and shrub</v>
      </c>
      <c r="D102" s="271">
        <f>'G-2 Habitat groups'!BB92</f>
        <v>0</v>
      </c>
      <c r="E102" s="271">
        <f>'G-2 Habitat groups'!BD92</f>
        <v>0</v>
      </c>
      <c r="F102" s="808">
        <f>'G-2 Habitat groups'!BE92</f>
        <v>0</v>
      </c>
      <c r="G102" s="1380"/>
      <c r="H102" s="1397"/>
      <c r="I102" s="32"/>
      <c r="J102" s="32"/>
      <c r="K102" s="32"/>
      <c r="L102" s="32"/>
      <c r="M102" s="32"/>
      <c r="N102" s="32"/>
      <c r="O102" s="32"/>
    </row>
    <row r="103" spans="1:15" ht="14">
      <c r="A103" s="32"/>
      <c r="B103" s="219" t="str">
        <f>'G-2 Habitat groups'!AU93</f>
        <v>Lakes - Ponds (non-priority habitat)</v>
      </c>
      <c r="C103" s="220" t="str">
        <f>'G-2 Habitat groups'!AV93</f>
        <v>Lakes</v>
      </c>
      <c r="D103" s="270">
        <f>'G-2 Habitat groups'!BB93</f>
        <v>0</v>
      </c>
      <c r="E103" s="270">
        <f>'G-2 Habitat groups'!BD93</f>
        <v>0</v>
      </c>
      <c r="F103" s="806">
        <f>'G-2 Habitat groups'!BE93</f>
        <v>0</v>
      </c>
      <c r="G103" s="1378">
        <f>SUM(F103:F104)</f>
        <v>0</v>
      </c>
      <c r="H103" s="1396" t="str">
        <f>IF(G103=0,"",IF(G103&lt;0,"⚠","✓"))</f>
        <v/>
      </c>
      <c r="K103" s="32"/>
      <c r="L103" s="32"/>
      <c r="M103" s="32"/>
      <c r="N103" s="32"/>
      <c r="O103" s="32"/>
    </row>
    <row r="104" spans="1:15" ht="14.5" thickBot="1">
      <c r="A104" s="32"/>
      <c r="B104" s="217" t="str">
        <f>'G-2 Habitat groups'!AU94</f>
        <v>Lakes - Reservoirs</v>
      </c>
      <c r="C104" s="218" t="str">
        <f>'G-2 Habitat groups'!AV94</f>
        <v>Lakes</v>
      </c>
      <c r="D104" s="271">
        <f>'G-2 Habitat groups'!BB94</f>
        <v>0</v>
      </c>
      <c r="E104" s="271">
        <f>'G-2 Habitat groups'!BD94</f>
        <v>0</v>
      </c>
      <c r="F104" s="808">
        <f>'G-2 Habitat groups'!BE94</f>
        <v>0</v>
      </c>
      <c r="G104" s="1380"/>
      <c r="H104" s="1397"/>
      <c r="K104" s="32"/>
      <c r="L104" s="32"/>
      <c r="M104" s="32"/>
      <c r="N104" s="32"/>
      <c r="O104" s="32"/>
    </row>
    <row r="105" spans="1:15" ht="14.5" thickBot="1">
      <c r="A105" s="32"/>
      <c r="B105" s="221" t="str">
        <f>'G-2 Habitat groups'!AU95</f>
        <v>Sparsely vegetated land - Other inland rock and scree</v>
      </c>
      <c r="C105" s="222" t="str">
        <f>'G-2 Habitat groups'!AV95</f>
        <v>Sparsely vegetated land</v>
      </c>
      <c r="D105" s="272">
        <f>'G-2 Habitat groups'!BB95</f>
        <v>0</v>
      </c>
      <c r="E105" s="272">
        <f>'G-2 Habitat groups'!BD95</f>
        <v>0</v>
      </c>
      <c r="F105" s="821">
        <f>'G-2 Habitat groups'!BE95</f>
        <v>0</v>
      </c>
      <c r="G105" s="821">
        <f>F105</f>
        <v>0</v>
      </c>
      <c r="H105" s="826" t="str">
        <f>IF(G105=0,"",IF(G105&lt;0,"⚠","✓"))</f>
        <v/>
      </c>
      <c r="K105" s="32"/>
      <c r="L105" s="32"/>
      <c r="M105" s="32"/>
      <c r="N105" s="32"/>
      <c r="O105" s="32"/>
    </row>
    <row r="106" spans="1:15" ht="14">
      <c r="A106" s="32"/>
      <c r="B106" s="219" t="str">
        <f>'G-2 Habitat groups'!AU96</f>
        <v>Urban - Cemeteries and churchyards</v>
      </c>
      <c r="C106" s="220" t="str">
        <f>'G-2 Habitat groups'!AV96</f>
        <v>Urban</v>
      </c>
      <c r="D106" s="270">
        <f>'G-2 Habitat groups'!BB96</f>
        <v>0</v>
      </c>
      <c r="E106" s="270">
        <f>'G-2 Habitat groups'!BD96</f>
        <v>0</v>
      </c>
      <c r="F106" s="806">
        <f>'G-2 Habitat groups'!BE96</f>
        <v>0</v>
      </c>
      <c r="G106" s="1378">
        <f>SUM(F106:F107)</f>
        <v>0</v>
      </c>
      <c r="H106" s="1396" t="str">
        <f>IF(G106=0,"",IF(G106&lt;0,"⚠","✓"))</f>
        <v/>
      </c>
      <c r="I106" s="32"/>
      <c r="J106" s="32"/>
      <c r="K106" s="32"/>
      <c r="L106" s="32"/>
      <c r="M106" s="32"/>
      <c r="N106" s="32"/>
      <c r="O106" s="32"/>
    </row>
    <row r="107" spans="1:15" ht="15" customHeight="1" thickBot="1">
      <c r="A107" s="32"/>
      <c r="B107" s="217" t="str">
        <f>'G-2 Habitat groups'!AU97</f>
        <v>Urban - Biodiverse green roof</v>
      </c>
      <c r="C107" s="218" t="str">
        <f>'G-2 Habitat groups'!AV97</f>
        <v>Urban</v>
      </c>
      <c r="D107" s="271">
        <f>'G-2 Habitat groups'!BB97</f>
        <v>0</v>
      </c>
      <c r="E107" s="271">
        <f>'G-2 Habitat groups'!BD97</f>
        <v>0</v>
      </c>
      <c r="F107" s="808">
        <f>'G-2 Habitat groups'!BE97</f>
        <v>0</v>
      </c>
      <c r="G107" s="1380"/>
      <c r="H107" s="1397"/>
      <c r="I107" s="32"/>
      <c r="J107" s="32"/>
      <c r="K107" s="32"/>
      <c r="L107" s="32"/>
      <c r="M107" s="32"/>
      <c r="N107" s="32"/>
      <c r="O107" s="32"/>
    </row>
    <row r="108" spans="1:15" ht="15.75" customHeight="1">
      <c r="A108" s="32"/>
      <c r="B108" s="421" t="str">
        <f>'G-2 Habitat groups'!AU105</f>
        <v>Individual trees - Urban tree</v>
      </c>
      <c r="C108" s="422" t="str">
        <f>'G-2 Habitat groups'!AV105</f>
        <v>Individual trees</v>
      </c>
      <c r="D108" s="423">
        <f>'G-2 Habitat groups'!BB105</f>
        <v>0</v>
      </c>
      <c r="E108" s="423">
        <f>'G-2 Habitat groups'!BD105</f>
        <v>0</v>
      </c>
      <c r="F108" s="806">
        <f>'G-2 Habitat groups'!BE105</f>
        <v>0</v>
      </c>
      <c r="G108" s="1378">
        <f>SUM(F108:F109)</f>
        <v>0.008815997664480046</v>
      </c>
      <c r="H108" s="1396" t="str">
        <f>IF(G108=0,"",IF(G108&lt;0,"⚠","✓"))</f>
        <v>✓</v>
      </c>
      <c r="I108" s="32"/>
      <c r="J108" s="32"/>
      <c r="K108" s="32"/>
      <c r="L108" s="32"/>
      <c r="M108" s="32"/>
      <c r="N108" s="32"/>
      <c r="O108" s="32"/>
    </row>
    <row r="109" spans="1:15" ht="15.75" customHeight="1" thickBot="1">
      <c r="A109" s="32"/>
      <c r="B109" s="424" t="str">
        <f>'G-2 Habitat groups'!AU80</f>
        <v>Individual trees - Rural tree</v>
      </c>
      <c r="C109" s="425" t="str">
        <f>'G-2 Habitat groups'!AV80</f>
        <v>Individual trees</v>
      </c>
      <c r="D109" s="426">
        <f>'G-2 Habitat groups'!BB80</f>
        <v>0.008815997664480046</v>
      </c>
      <c r="E109" s="426">
        <f>'G-2 Habitat groups'!BD80</f>
        <v>0</v>
      </c>
      <c r="F109" s="808">
        <f>'G-2 Habitat groups'!BE80</f>
        <v>0.008815997664480046</v>
      </c>
      <c r="G109" s="1380"/>
      <c r="H109" s="1397"/>
      <c r="I109" s="32"/>
      <c r="J109" s="32"/>
      <c r="K109" s="32"/>
      <c r="L109" s="32"/>
      <c r="M109" s="32"/>
      <c r="N109" s="32"/>
      <c r="O109" s="32"/>
    </row>
    <row r="110" spans="1:15" ht="14">
      <c r="A110" s="32"/>
      <c r="B110" s="219" t="str">
        <f>'G-2 Habitat groups'!AU98</f>
        <v>Woodland and forest - Other Scot's pine woodland</v>
      </c>
      <c r="C110" s="220" t="str">
        <f>'G-2 Habitat groups'!AV98</f>
        <v>Woodland and forest</v>
      </c>
      <c r="D110" s="270">
        <f>'G-2 Habitat groups'!BB98</f>
        <v>0</v>
      </c>
      <c r="E110" s="270">
        <f>'G-2 Habitat groups'!BD98</f>
        <v>0</v>
      </c>
      <c r="F110" s="806">
        <f>'G-2 Habitat groups'!BE98</f>
        <v>0</v>
      </c>
      <c r="G110" s="1378">
        <f>SUM(F110:F112)</f>
        <v>0</v>
      </c>
      <c r="H110" s="1396" t="str">
        <f>IF(G110=0,"",IF(G110&lt;0,"⚠","✓"))</f>
        <v/>
      </c>
      <c r="I110" s="32"/>
      <c r="J110" s="32"/>
      <c r="K110" s="32"/>
      <c r="L110" s="32"/>
      <c r="M110" s="32"/>
      <c r="N110" s="32"/>
      <c r="O110" s="32"/>
    </row>
    <row r="111" spans="1:15" ht="14">
      <c r="A111" s="32"/>
      <c r="B111" s="215" t="str">
        <f>'G-2 Habitat groups'!AU99</f>
        <v>Woodland and forest - Other woodland; broadleaved</v>
      </c>
      <c r="C111" s="216" t="str">
        <f>'G-2 Habitat groups'!AV99</f>
        <v>Woodland and forest</v>
      </c>
      <c r="D111" s="268">
        <f>'G-2 Habitat groups'!BB99</f>
        <v>0</v>
      </c>
      <c r="E111" s="268">
        <f>'G-2 Habitat groups'!BD99</f>
        <v>0</v>
      </c>
      <c r="F111" s="807">
        <f>'G-2 Habitat groups'!BE99</f>
        <v>0</v>
      </c>
      <c r="G111" s="1379"/>
      <c r="H111" s="1398"/>
      <c r="I111" s="32"/>
      <c r="J111" s="32"/>
      <c r="K111" s="32"/>
      <c r="L111" s="32"/>
      <c r="M111" s="32"/>
      <c r="N111" s="32"/>
      <c r="O111" s="32"/>
    </row>
    <row r="112" spans="1:15" ht="14.5" thickBot="1">
      <c r="A112" s="32"/>
      <c r="B112" s="217" t="str">
        <f>'G-2 Habitat groups'!AU100</f>
        <v>Woodland and forest - Other woodland; mixed</v>
      </c>
      <c r="C112" s="218" t="str">
        <f>'G-2 Habitat groups'!AV100</f>
        <v>Woodland and forest</v>
      </c>
      <c r="D112" s="271">
        <f>'G-2 Habitat groups'!BB100</f>
        <v>0</v>
      </c>
      <c r="E112" s="271">
        <f>'G-2 Habitat groups'!BD100</f>
        <v>0</v>
      </c>
      <c r="F112" s="808">
        <f>'G-2 Habitat groups'!BE100</f>
        <v>0</v>
      </c>
      <c r="G112" s="1380"/>
      <c r="H112" s="1397"/>
      <c r="I112" s="32"/>
      <c r="J112" s="32"/>
      <c r="K112" s="32"/>
      <c r="L112" s="32"/>
      <c r="M112" s="32"/>
      <c r="N112" s="32"/>
      <c r="O112" s="32"/>
    </row>
    <row r="113" spans="1:15" ht="14">
      <c r="A113" s="32"/>
      <c r="B113" s="214" t="str">
        <f>'G-2 Habitat groups'!AU101</f>
        <v>Intertidal sediment - Littoral coarse sediment</v>
      </c>
      <c r="C113" s="823" t="str">
        <f>'G-2 Habitat groups'!AV101</f>
        <v>Intertidal sediment</v>
      </c>
      <c r="D113" s="269">
        <f>'G-2 Habitat groups'!BB101</f>
        <v>0</v>
      </c>
      <c r="E113" s="269">
        <f>'G-2 Habitat groups'!BD101</f>
        <v>0</v>
      </c>
      <c r="F113" s="824">
        <f>'G-2 Habitat groups'!BE101</f>
        <v>0</v>
      </c>
      <c r="G113" s="1379">
        <f>SUM(F113:F115)</f>
        <v>0</v>
      </c>
      <c r="H113" s="1398" t="str">
        <f>IF(G113=0,"",IF(G113&lt;0,"⚠","✓"))</f>
        <v/>
      </c>
      <c r="I113" s="32"/>
      <c r="J113" s="32"/>
      <c r="K113" s="32"/>
      <c r="L113" s="32"/>
      <c r="M113" s="32"/>
      <c r="N113" s="32"/>
      <c r="O113" s="32"/>
    </row>
    <row r="114" spans="1:15" ht="14">
      <c r="A114" s="32"/>
      <c r="B114" s="215" t="str">
        <f>'G-2 Habitat groups'!AU102</f>
        <v>Intertidal sediment - Littoral sand</v>
      </c>
      <c r="C114" s="216" t="str">
        <f>'G-2 Habitat groups'!AV102</f>
        <v>Intertidal sediment</v>
      </c>
      <c r="D114" s="268">
        <f>'G-2 Habitat groups'!BB102</f>
        <v>0</v>
      </c>
      <c r="E114" s="268">
        <f>'G-2 Habitat groups'!BD102</f>
        <v>0</v>
      </c>
      <c r="F114" s="807">
        <f>'G-2 Habitat groups'!BE102</f>
        <v>0</v>
      </c>
      <c r="G114" s="1379"/>
      <c r="H114" s="1398"/>
      <c r="I114" s="32"/>
      <c r="J114" s="32"/>
      <c r="K114" s="32"/>
      <c r="L114" s="32"/>
      <c r="M114" s="32"/>
      <c r="N114" s="32"/>
      <c r="O114" s="32"/>
    </row>
    <row r="115" spans="1:15" ht="21" customHeight="1" thickBot="1">
      <c r="A115" s="32"/>
      <c r="B115" s="217" t="str">
        <f>'G-2 Habitat groups'!AU103</f>
        <v>Intertidal hard structures - Artificial hard structures with integrated greening of grey infrastructure (IGGI)</v>
      </c>
      <c r="C115" s="218" t="str">
        <f>'G-2 Habitat groups'!AV103</f>
        <v>Intertidal hard structures</v>
      </c>
      <c r="D115" s="271">
        <f>'G-2 Habitat groups'!BB103</f>
        <v>0</v>
      </c>
      <c r="E115" s="271">
        <f>'G-2 Habitat groups'!BD103</f>
        <v>0</v>
      </c>
      <c r="F115" s="808">
        <f>'G-2 Habitat groups'!BE103</f>
        <v>0</v>
      </c>
      <c r="G115" s="1380"/>
      <c r="H115" s="1397"/>
      <c r="I115" s="32"/>
      <c r="J115" s="32"/>
      <c r="K115" s="32"/>
      <c r="L115" s="32"/>
      <c r="M115" s="32"/>
      <c r="N115" s="32"/>
      <c r="O115" s="32"/>
    </row>
    <row r="116" spans="1:15" ht="14.9" customHeight="1" thickBot="1">
      <c r="A116" s="32"/>
      <c r="B116" s="32"/>
      <c r="C116" s="32"/>
      <c r="D116" s="533">
        <f>SUM(D89:D115)</f>
        <v>17.314433526072484</v>
      </c>
      <c r="E116" s="265">
        <f>SUM(E89:E115)</f>
        <v>0</v>
      </c>
      <c r="F116" s="266">
        <f>SUM(F89:F115)</f>
        <v>17.314433526072484</v>
      </c>
      <c r="H116" s="32"/>
      <c r="I116" s="32"/>
      <c r="J116" s="32"/>
      <c r="K116" s="32"/>
      <c r="L116" s="32"/>
      <c r="M116" s="32"/>
      <c r="N116" s="32"/>
      <c r="O116" s="32"/>
    </row>
    <row r="117" spans="1:17" ht="14">
      <c r="A117" s="32"/>
      <c r="B117" s="32"/>
      <c r="C117" s="32"/>
      <c r="D117" s="32"/>
      <c r="E117" s="32"/>
      <c r="F117" s="32"/>
      <c r="G117" s="32"/>
      <c r="H117" s="32"/>
      <c r="I117" s="32"/>
      <c r="J117" s="32"/>
      <c r="K117" s="32"/>
      <c r="L117" s="32"/>
      <c r="M117" s="32"/>
      <c r="N117" s="32"/>
      <c r="O117" s="32"/>
      <c r="P117" s="32"/>
      <c r="Q117" s="32"/>
    </row>
    <row r="118" spans="1:17" ht="14">
      <c r="A118" s="32"/>
      <c r="B118" s="32"/>
      <c r="C118" s="32"/>
      <c r="D118" s="32"/>
      <c r="E118" s="32"/>
      <c r="F118" s="32"/>
      <c r="G118" s="32"/>
      <c r="H118" s="32"/>
      <c r="I118" s="32"/>
      <c r="J118" s="32"/>
      <c r="K118" s="32"/>
      <c r="L118" s="32"/>
      <c r="M118" s="32"/>
      <c r="N118" s="32"/>
      <c r="O118" s="32"/>
      <c r="P118" s="32"/>
      <c r="Q118" s="32"/>
    </row>
    <row r="119" spans="1:17" ht="14">
      <c r="A119" s="32"/>
      <c r="B119" s="32"/>
      <c r="C119" s="32"/>
      <c r="D119" s="32"/>
      <c r="E119" s="32"/>
      <c r="F119" s="32"/>
      <c r="G119" s="32"/>
      <c r="H119" s="32"/>
      <c r="I119" s="32"/>
      <c r="J119" s="32"/>
      <c r="K119" s="32"/>
      <c r="L119" s="32"/>
      <c r="M119" s="32"/>
      <c r="N119" s="32"/>
      <c r="O119" s="32"/>
      <c r="P119" s="32"/>
      <c r="Q119" s="32"/>
    </row>
    <row r="120" spans="1:17" ht="14">
      <c r="A120" s="32"/>
      <c r="B120" s="32"/>
      <c r="C120" s="32"/>
      <c r="D120" s="32"/>
      <c r="E120" s="32"/>
      <c r="F120" s="32"/>
      <c r="G120" s="32"/>
      <c r="H120" s="32"/>
      <c r="I120" s="32"/>
      <c r="J120" s="32"/>
      <c r="K120" s="32"/>
      <c r="L120" s="32"/>
      <c r="M120" s="32"/>
      <c r="N120" s="32"/>
      <c r="O120" s="32"/>
      <c r="P120" s="32"/>
      <c r="Q120" s="32"/>
    </row>
    <row r="121" spans="1:17" ht="14.5" thickBot="1">
      <c r="A121" s="32"/>
      <c r="B121" s="32"/>
      <c r="C121" s="32"/>
      <c r="D121" s="32"/>
      <c r="E121" s="32"/>
      <c r="F121" s="32"/>
      <c r="G121" s="32"/>
      <c r="H121" s="32"/>
      <c r="I121" s="32"/>
      <c r="J121" s="32"/>
      <c r="K121" s="32"/>
      <c r="L121" s="32"/>
      <c r="M121" s="32"/>
      <c r="N121" s="32"/>
      <c r="O121" s="32"/>
      <c r="P121" s="32"/>
      <c r="Q121" s="32"/>
    </row>
    <row r="122" spans="1:17" ht="25.5" customHeight="1">
      <c r="A122" s="32"/>
      <c r="B122" s="1365" t="s">
        <v>221</v>
      </c>
      <c r="C122" s="1366"/>
      <c r="D122" s="1366"/>
      <c r="E122" s="1366"/>
      <c r="F122" s="1366"/>
      <c r="G122" s="1366"/>
      <c r="H122" s="1367"/>
      <c r="I122" s="32"/>
      <c r="J122" s="1198" t="s">
        <v>222</v>
      </c>
      <c r="K122" s="1199"/>
      <c r="L122" s="1200"/>
      <c r="M122" s="32"/>
      <c r="N122" s="32"/>
      <c r="O122" s="32"/>
      <c r="P122" s="32"/>
      <c r="Q122" s="32"/>
    </row>
    <row r="123" spans="1:15" ht="28">
      <c r="A123" s="32"/>
      <c r="B123" s="1368"/>
      <c r="C123" s="1369"/>
      <c r="D123" s="1369"/>
      <c r="E123" s="1369"/>
      <c r="F123" s="1369"/>
      <c r="G123" s="1369"/>
      <c r="H123" s="1370"/>
      <c r="J123" s="86" t="s">
        <v>223</v>
      </c>
      <c r="K123" s="807">
        <f>K91</f>
        <v>17.314433526072484</v>
      </c>
      <c r="L123" s="820" t="str">
        <f>IF(K91=0,"",IF(K91&lt;0,"⚠","✓"))</f>
        <v>✓</v>
      </c>
      <c r="M123" s="32"/>
      <c r="N123" s="32"/>
      <c r="O123" s="32"/>
    </row>
    <row r="124" spans="1:14" ht="45">
      <c r="A124" s="32"/>
      <c r="B124" s="818" t="s">
        <v>95</v>
      </c>
      <c r="C124" s="819" t="s">
        <v>201</v>
      </c>
      <c r="D124" s="819" t="s">
        <v>202</v>
      </c>
      <c r="E124" s="819" t="s">
        <v>128</v>
      </c>
      <c r="F124" s="1406" t="s">
        <v>215</v>
      </c>
      <c r="G124" s="1407"/>
      <c r="H124" s="1408"/>
      <c r="J124" s="1044" t="s">
        <v>224</v>
      </c>
      <c r="K124" s="1032">
        <f>F163</f>
        <v>-11.086609520150004</v>
      </c>
      <c r="L124" s="1033" t="str">
        <f>IF(K124=0,"",IF(K124&lt;0,"⚠","✓"))</f>
        <v>⚠</v>
      </c>
      <c r="M124" s="32"/>
      <c r="N124" s="32"/>
    </row>
    <row r="125" spans="1:14" ht="14.15" customHeight="1" thickBot="1">
      <c r="A125" s="32"/>
      <c r="B125" s="170" t="str">
        <f>'G-2 Habitat groups'!AU113</f>
        <v>Cropland - Cereal crops</v>
      </c>
      <c r="C125" s="70" t="str">
        <f>'G-2 Habitat groups'!AV113</f>
        <v>Cropland</v>
      </c>
      <c r="D125" s="268">
        <f>'G-2 Habitat groups'!BB113</f>
        <v>0</v>
      </c>
      <c r="E125" s="807">
        <f>'G-2 Habitat groups'!BD113</f>
        <v>0</v>
      </c>
      <c r="F125" s="1404">
        <f>'G-2 Habitat groups'!BE113</f>
        <v>0</v>
      </c>
      <c r="G125" s="1405"/>
      <c r="H125" s="820" t="str">
        <f>IF(F125=0,"",IF(F125&lt;0,"⚠","✓"))</f>
        <v/>
      </c>
      <c r="J125" s="829" t="s">
        <v>220</v>
      </c>
      <c r="K125" s="834">
        <f>IF(K91&gt;0,K124+K91,K124)</f>
        <v>6.22782400592248</v>
      </c>
      <c r="L125" s="285" t="str">
        <f>IF(K125=0,"",IF(K125&lt;0,"▲","✓"))</f>
        <v>✓</v>
      </c>
      <c r="M125" s="32"/>
      <c r="N125" s="32"/>
    </row>
    <row r="126" spans="1:14" ht="14">
      <c r="A126" s="32"/>
      <c r="B126" s="170" t="str">
        <f>'G-2 Habitat groups'!AU114</f>
        <v>Cropland - Horticulture</v>
      </c>
      <c r="C126" s="70" t="str">
        <f>'G-2 Habitat groups'!AV114</f>
        <v>Cropland</v>
      </c>
      <c r="D126" s="268">
        <f>'G-2 Habitat groups'!BB114</f>
        <v>0</v>
      </c>
      <c r="E126" s="807">
        <f>'G-2 Habitat groups'!BD114</f>
        <v>0</v>
      </c>
      <c r="F126" s="1404">
        <f>'G-2 Habitat groups'!BE114</f>
        <v>0</v>
      </c>
      <c r="G126" s="1405"/>
      <c r="H126" s="820" t="str">
        <f t="shared" si="3" ref="H126:H161">IF(F126=0,"",IF(F126&lt;0,"⚠","✓"))</f>
        <v/>
      </c>
      <c r="K126" s="32"/>
      <c r="L126" s="32"/>
      <c r="M126" s="32"/>
      <c r="N126" s="32"/>
    </row>
    <row r="127" spans="1:14" ht="14">
      <c r="A127" s="32"/>
      <c r="B127" s="170" t="str">
        <f>'G-2 Habitat groups'!AU115</f>
        <v>Cropland - Intensive orchards</v>
      </c>
      <c r="C127" s="70" t="str">
        <f>'G-2 Habitat groups'!AV115</f>
        <v>Cropland</v>
      </c>
      <c r="D127" s="268">
        <f>'G-2 Habitat groups'!BB115</f>
        <v>0</v>
      </c>
      <c r="E127" s="807">
        <f>'G-2 Habitat groups'!BD115</f>
        <v>0</v>
      </c>
      <c r="F127" s="1404">
        <f>'G-2 Habitat groups'!BE115</f>
        <v>0</v>
      </c>
      <c r="G127" s="1405"/>
      <c r="H127" s="820" t="str">
        <f t="shared" si="3"/>
        <v/>
      </c>
      <c r="I127" s="32"/>
      <c r="J127" s="32"/>
      <c r="K127" s="32"/>
      <c r="L127" s="32"/>
      <c r="M127" s="32"/>
      <c r="N127" s="32"/>
    </row>
    <row r="128" spans="1:14" ht="14">
      <c r="A128" s="32"/>
      <c r="B128" s="170" t="str">
        <f>'G-2 Habitat groups'!AU116</f>
        <v>Cropland - Non-cereal crops</v>
      </c>
      <c r="C128" s="70" t="str">
        <f>'G-2 Habitat groups'!AV116</f>
        <v>Cropland</v>
      </c>
      <c r="D128" s="268">
        <f>'G-2 Habitat groups'!BB116</f>
        <v>0</v>
      </c>
      <c r="E128" s="807">
        <f>'G-2 Habitat groups'!BD116</f>
        <v>0</v>
      </c>
      <c r="F128" s="1404">
        <f>'G-2 Habitat groups'!BE116</f>
        <v>0</v>
      </c>
      <c r="G128" s="1405"/>
      <c r="H128" s="820" t="str">
        <f t="shared" si="3"/>
        <v/>
      </c>
      <c r="I128" s="32"/>
      <c r="J128" s="32"/>
      <c r="K128" s="32"/>
      <c r="L128" s="32"/>
      <c r="M128" s="32"/>
      <c r="N128" s="32"/>
    </row>
    <row r="129" spans="1:14" ht="14">
      <c r="A129" s="32"/>
      <c r="B129" s="170" t="str">
        <f>'G-2 Habitat groups'!AU117</f>
        <v>Cropland - Temporary grass and clover leys</v>
      </c>
      <c r="C129" s="70" t="str">
        <f>'G-2 Habitat groups'!AV117</f>
        <v>Cropland</v>
      </c>
      <c r="D129" s="268">
        <f>'G-2 Habitat groups'!BB117</f>
        <v>0</v>
      </c>
      <c r="E129" s="807">
        <f>'G-2 Habitat groups'!BD117</f>
        <v>0</v>
      </c>
      <c r="F129" s="1404">
        <f>'G-2 Habitat groups'!BE117</f>
        <v>0</v>
      </c>
      <c r="G129" s="1405"/>
      <c r="H129" s="820" t="str">
        <f t="shared" si="3"/>
        <v/>
      </c>
      <c r="I129" s="32"/>
      <c r="J129" s="32"/>
      <c r="K129" s="32"/>
      <c r="L129" s="32"/>
      <c r="M129" s="32"/>
      <c r="N129" s="32"/>
    </row>
    <row r="130" spans="1:14" ht="14">
      <c r="A130" s="32"/>
      <c r="B130" s="170" t="str">
        <f>'G-2 Habitat groups'!AU118</f>
        <v>Cropland - Winter stubble</v>
      </c>
      <c r="C130" s="70" t="str">
        <f>'G-2 Habitat groups'!AV118</f>
        <v>Cropland</v>
      </c>
      <c r="D130" s="268">
        <f>'G-2 Habitat groups'!BB118</f>
        <v>0</v>
      </c>
      <c r="E130" s="807">
        <f>'G-2 Habitat groups'!BD118</f>
        <v>0</v>
      </c>
      <c r="F130" s="1404">
        <f>'G-2 Habitat groups'!BE118</f>
        <v>0</v>
      </c>
      <c r="G130" s="1405"/>
      <c r="H130" s="820" t="str">
        <f t="shared" si="3"/>
        <v/>
      </c>
      <c r="I130" s="32"/>
      <c r="J130" s="32"/>
      <c r="K130" s="32"/>
      <c r="L130" s="32"/>
      <c r="M130" s="32"/>
      <c r="N130" s="32"/>
    </row>
    <row r="131" spans="1:14" ht="14">
      <c r="A131" s="32"/>
      <c r="B131" s="170" t="str">
        <f>'G-2 Habitat groups'!AU119</f>
        <v>Grassland - Modified grassland</v>
      </c>
      <c r="C131" s="70" t="str">
        <f>'G-2 Habitat groups'!AV119</f>
        <v>Grassland</v>
      </c>
      <c r="D131" s="268">
        <f>'G-2 Habitat groups'!BB119</f>
        <v>-16.232260000000004</v>
      </c>
      <c r="E131" s="807">
        <f>'G-2 Habitat groups'!BD119</f>
        <v>0</v>
      </c>
      <c r="F131" s="1404">
        <f>'G-2 Habitat groups'!BE119</f>
        <v>-16.232260000000004</v>
      </c>
      <c r="G131" s="1405"/>
      <c r="H131" s="820" t="str">
        <f t="shared" si="3"/>
        <v>⚠</v>
      </c>
      <c r="I131" s="32"/>
      <c r="J131" s="32"/>
      <c r="K131" s="32"/>
      <c r="L131" s="32"/>
      <c r="M131" s="32"/>
      <c r="N131" s="32"/>
    </row>
    <row r="132" spans="1:14" ht="14">
      <c r="A132" s="32"/>
      <c r="B132" s="170" t="str">
        <f>'G-2 Habitat groups'!AU120</f>
        <v>Grassland - Bracken</v>
      </c>
      <c r="C132" s="70" t="str">
        <f>'G-2 Habitat groups'!AV120</f>
        <v>Grassland</v>
      </c>
      <c r="D132" s="268">
        <f>'G-2 Habitat groups'!BB120</f>
        <v>0</v>
      </c>
      <c r="E132" s="807">
        <f>'G-2 Habitat groups'!BD120</f>
        <v>0</v>
      </c>
      <c r="F132" s="1404">
        <f>'G-2 Habitat groups'!BE120</f>
        <v>0</v>
      </c>
      <c r="G132" s="1405"/>
      <c r="H132" s="820" t="str">
        <f t="shared" si="3"/>
        <v/>
      </c>
      <c r="I132" s="32"/>
      <c r="J132" s="32"/>
      <c r="K132" s="32"/>
      <c r="L132" s="32"/>
      <c r="M132" s="32"/>
      <c r="N132" s="32"/>
    </row>
    <row r="133" spans="1:14" ht="14">
      <c r="A133" s="32"/>
      <c r="B133" s="170" t="str">
        <f>'G-2 Habitat groups'!AU121</f>
        <v>Heathland and shrub - Rhododendron scrub</v>
      </c>
      <c r="C133" s="70" t="str">
        <f>'G-2 Habitat groups'!AV121</f>
        <v>Heathland and shrub</v>
      </c>
      <c r="D133" s="268">
        <f>'G-2 Habitat groups'!BB121</f>
        <v>0</v>
      </c>
      <c r="E133" s="807">
        <f>'G-2 Habitat groups'!BD121</f>
        <v>0</v>
      </c>
      <c r="F133" s="1404">
        <f>'G-2 Habitat groups'!BE121</f>
        <v>0</v>
      </c>
      <c r="G133" s="1405"/>
      <c r="H133" s="820" t="str">
        <f t="shared" si="3"/>
        <v/>
      </c>
      <c r="I133" s="32"/>
      <c r="J133" s="32"/>
      <c r="K133" s="32"/>
      <c r="L133" s="32"/>
      <c r="M133" s="32"/>
      <c r="N133" s="32"/>
    </row>
    <row r="134" spans="1:14" ht="14">
      <c r="A134" s="32"/>
      <c r="B134" s="170" t="str">
        <f>'G-2 Habitat groups'!AU122</f>
        <v>Lakes - Ornamental lake or pond</v>
      </c>
      <c r="C134" s="70" t="str">
        <f>'G-2 Habitat groups'!AV122</f>
        <v>Lakes</v>
      </c>
      <c r="D134" s="268">
        <f>'G-2 Habitat groups'!BB122</f>
        <v>0</v>
      </c>
      <c r="E134" s="807">
        <f>'G-2 Habitat groups'!BD122</f>
        <v>0</v>
      </c>
      <c r="F134" s="1404">
        <f>'G-2 Habitat groups'!BE122</f>
        <v>0</v>
      </c>
      <c r="G134" s="1405"/>
      <c r="H134" s="820" t="str">
        <f t="shared" si="3"/>
        <v/>
      </c>
      <c r="I134" s="32"/>
      <c r="J134" s="32"/>
      <c r="K134" s="32"/>
      <c r="L134" s="32"/>
      <c r="M134" s="32"/>
      <c r="N134" s="32"/>
    </row>
    <row r="135" spans="1:14" ht="14">
      <c r="A135" s="32"/>
      <c r="B135" s="170" t="str">
        <f>'G-2 Habitat groups'!AU123</f>
        <v>Sparsely vegetated land - Ruderal/ephemeral</v>
      </c>
      <c r="C135" s="70" t="str">
        <f>'G-2 Habitat groups'!AV123</f>
        <v>Sparsely vegetated land</v>
      </c>
      <c r="D135" s="268">
        <f>'G-2 Habitat groups'!BB123</f>
        <v>0</v>
      </c>
      <c r="E135" s="807">
        <f>'G-2 Habitat groups'!BD123</f>
        <v>0</v>
      </c>
      <c r="F135" s="1404">
        <f>'G-2 Habitat groups'!BE123</f>
        <v>0</v>
      </c>
      <c r="G135" s="1405"/>
      <c r="H135" s="820" t="str">
        <f t="shared" si="3"/>
        <v/>
      </c>
      <c r="I135" s="32"/>
      <c r="J135" s="32"/>
      <c r="K135" s="32"/>
      <c r="L135" s="32"/>
      <c r="M135" s="32"/>
      <c r="N135" s="32"/>
    </row>
    <row r="136" spans="1:14" ht="14">
      <c r="A136" s="32"/>
      <c r="B136" s="170" t="str">
        <f>'G-2 Habitat groups'!AU151</f>
        <v>Sparsely vegetated land - Tall forbs</v>
      </c>
      <c r="C136" s="70" t="str">
        <f>'G-2 Habitat groups'!AV151</f>
        <v>Sparsely vegetated land</v>
      </c>
      <c r="D136" s="268">
        <f>'G-2 Habitat groups'!BB151</f>
        <v>0</v>
      </c>
      <c r="E136" s="807">
        <f>'G-2 Habitat groups'!BD151</f>
        <v>0</v>
      </c>
      <c r="F136" s="1404">
        <f>'G-2 Habitat groups'!BE151</f>
        <v>0</v>
      </c>
      <c r="G136" s="1405"/>
      <c r="H136" s="820" t="str">
        <f t="shared" si="3"/>
        <v/>
      </c>
      <c r="I136" s="32"/>
      <c r="J136" s="32"/>
      <c r="K136" s="32"/>
      <c r="L136" s="32"/>
      <c r="M136" s="32"/>
      <c r="N136" s="32"/>
    </row>
    <row r="137" spans="1:14" ht="14">
      <c r="A137" s="32"/>
      <c r="B137" s="170" t="str">
        <f>'G-2 Habitat groups'!AU124</f>
        <v>Urban - Bioswale</v>
      </c>
      <c r="C137" s="70" t="str">
        <f>'G-2 Habitat groups'!AV124</f>
        <v>Urban</v>
      </c>
      <c r="D137" s="268">
        <f>'G-2 Habitat groups'!BB124</f>
        <v>0</v>
      </c>
      <c r="E137" s="807">
        <f>'G-2 Habitat groups'!BD124</f>
        <v>0</v>
      </c>
      <c r="F137" s="1404">
        <f>'G-2 Habitat groups'!BE124</f>
        <v>0</v>
      </c>
      <c r="G137" s="1405"/>
      <c r="H137" s="820" t="str">
        <f t="shared" si="3"/>
        <v/>
      </c>
      <c r="I137" s="32"/>
      <c r="J137" s="32"/>
      <c r="K137" s="32"/>
      <c r="L137" s="32"/>
      <c r="M137" s="32"/>
      <c r="N137" s="32"/>
    </row>
    <row r="138" spans="1:14" ht="14">
      <c r="A138" s="32"/>
      <c r="B138" s="170" t="str">
        <f>'G-2 Habitat groups'!AU134</f>
        <v>Urban - Bare ground</v>
      </c>
      <c r="C138" s="70" t="str">
        <f>'G-2 Habitat groups'!AV134</f>
        <v>Urban</v>
      </c>
      <c r="D138" s="268">
        <f>'G-2 Habitat groups'!BB134</f>
        <v>0</v>
      </c>
      <c r="E138" s="807">
        <f>'G-2 Habitat groups'!BD134</f>
        <v>0</v>
      </c>
      <c r="F138" s="1404">
        <f>'G-2 Habitat groups'!BE134</f>
        <v>0</v>
      </c>
      <c r="G138" s="1405"/>
      <c r="H138" s="820" t="str">
        <f t="shared" si="3"/>
        <v/>
      </c>
      <c r="I138" s="32"/>
      <c r="J138" s="32"/>
      <c r="K138" s="32"/>
      <c r="L138" s="32"/>
      <c r="M138" s="32"/>
      <c r="N138" s="32"/>
    </row>
    <row r="139" spans="1:14" ht="14">
      <c r="A139" s="32"/>
      <c r="B139" s="170" t="str">
        <f>'G-2 Habitat groups'!AU125</f>
        <v>Urban - Allotments</v>
      </c>
      <c r="C139" s="70" t="str">
        <f>'G-2 Habitat groups'!AV125</f>
        <v>Urban</v>
      </c>
      <c r="D139" s="268">
        <f>'G-2 Habitat groups'!BB125</f>
        <v>0</v>
      </c>
      <c r="E139" s="807">
        <f>'G-2 Habitat groups'!BD125</f>
        <v>0</v>
      </c>
      <c r="F139" s="1404">
        <f>'G-2 Habitat groups'!BE125</f>
        <v>0</v>
      </c>
      <c r="G139" s="1405"/>
      <c r="H139" s="820" t="str">
        <f t="shared" si="3"/>
        <v/>
      </c>
      <c r="I139" s="32"/>
      <c r="J139" s="32"/>
      <c r="K139" s="32"/>
      <c r="L139" s="32"/>
      <c r="M139" s="32"/>
      <c r="N139" s="32"/>
    </row>
    <row r="140" spans="1:14" ht="14">
      <c r="A140" s="32"/>
      <c r="B140" s="170" t="str">
        <f>'G-2 Habitat groups'!AU126</f>
        <v>Urban - Facade-bound green wall</v>
      </c>
      <c r="C140" s="70" t="str">
        <f>'G-2 Habitat groups'!AV126</f>
        <v>Urban</v>
      </c>
      <c r="D140" s="268">
        <f>'G-2 Habitat groups'!BB126</f>
        <v>0</v>
      </c>
      <c r="E140" s="807">
        <f>'G-2 Habitat groups'!BD126</f>
        <v>0</v>
      </c>
      <c r="F140" s="1404">
        <f>'G-2 Habitat groups'!BE126</f>
        <v>0</v>
      </c>
      <c r="G140" s="1405"/>
      <c r="H140" s="820" t="str">
        <f t="shared" si="3"/>
        <v/>
      </c>
      <c r="I140" s="32"/>
      <c r="J140" s="32"/>
      <c r="K140" s="32"/>
      <c r="L140" s="32"/>
      <c r="M140" s="32"/>
      <c r="N140" s="32"/>
    </row>
    <row r="141" spans="1:14" ht="14">
      <c r="A141" s="32"/>
      <c r="B141" s="170" t="str">
        <f>'G-2 Habitat groups'!AU127</f>
        <v>Urban - Ground based green wall</v>
      </c>
      <c r="C141" s="70" t="str">
        <f>'G-2 Habitat groups'!AV127</f>
        <v>Urban</v>
      </c>
      <c r="D141" s="268">
        <f>'G-2 Habitat groups'!BB127</f>
        <v>0</v>
      </c>
      <c r="E141" s="807">
        <f>'G-2 Habitat groups'!BD127</f>
        <v>0</v>
      </c>
      <c r="F141" s="1404">
        <f>'G-2 Habitat groups'!BE127</f>
        <v>0</v>
      </c>
      <c r="G141" s="1405"/>
      <c r="H141" s="820" t="str">
        <f t="shared" si="3"/>
        <v/>
      </c>
      <c r="I141" s="32"/>
      <c r="J141" s="32"/>
      <c r="K141" s="32"/>
      <c r="L141" s="32"/>
      <c r="M141" s="32"/>
      <c r="N141" s="32"/>
    </row>
    <row r="142" spans="1:14" ht="14">
      <c r="A142" s="32"/>
      <c r="B142" s="170" t="str">
        <f>'G-2 Habitat groups'!AU128</f>
        <v>Urban - Ground level planters</v>
      </c>
      <c r="C142" s="70" t="str">
        <f>'G-2 Habitat groups'!AV128</f>
        <v>Urban</v>
      </c>
      <c r="D142" s="268">
        <f>'G-2 Habitat groups'!BB128</f>
        <v>0</v>
      </c>
      <c r="E142" s="807">
        <f>'G-2 Habitat groups'!BD128</f>
        <v>0</v>
      </c>
      <c r="F142" s="1404">
        <f>'G-2 Habitat groups'!BE128</f>
        <v>0</v>
      </c>
      <c r="G142" s="1405"/>
      <c r="H142" s="820" t="str">
        <f t="shared" si="3"/>
        <v/>
      </c>
      <c r="I142" s="32"/>
      <c r="J142" s="32"/>
      <c r="K142" s="32"/>
      <c r="L142" s="32"/>
      <c r="M142" s="32"/>
      <c r="N142" s="32"/>
    </row>
    <row r="143" spans="1:14" ht="14">
      <c r="A143" s="32"/>
      <c r="B143" s="170" t="str">
        <f>'G-2 Habitat groups'!AU129</f>
        <v>Urban - Other green roof</v>
      </c>
      <c r="C143" s="70" t="str">
        <f>'G-2 Habitat groups'!AV129</f>
        <v>Urban</v>
      </c>
      <c r="D143" s="268">
        <f>'G-2 Habitat groups'!BB129</f>
        <v>0</v>
      </c>
      <c r="E143" s="807">
        <f>'G-2 Habitat groups'!BD129</f>
        <v>0</v>
      </c>
      <c r="F143" s="1404">
        <f>'G-2 Habitat groups'!BE129</f>
        <v>0</v>
      </c>
      <c r="G143" s="1405"/>
      <c r="H143" s="820" t="str">
        <f t="shared" si="3"/>
        <v/>
      </c>
      <c r="I143" s="32"/>
      <c r="J143" s="32"/>
      <c r="K143" s="32"/>
      <c r="L143" s="32"/>
      <c r="M143" s="32"/>
      <c r="N143" s="32"/>
    </row>
    <row r="144" spans="1:14" ht="14">
      <c r="A144" s="32"/>
      <c r="B144" s="170" t="str">
        <f>'G-2 Habitat groups'!AU150</f>
        <v>Urban - Intensive green roof</v>
      </c>
      <c r="C144" s="70" t="str">
        <f>'G-2 Habitat groups'!AV150</f>
        <v>Urban</v>
      </c>
      <c r="D144" s="268">
        <f>'G-2 Habitat groups'!BB150</f>
        <v>0</v>
      </c>
      <c r="E144" s="807">
        <f>'G-2 Habitat groups'!BD150</f>
        <v>0</v>
      </c>
      <c r="F144" s="1404">
        <f>'G-2 Habitat groups'!BE150</f>
        <v>0</v>
      </c>
      <c r="G144" s="1405"/>
      <c r="H144" s="820" t="str">
        <f t="shared" si="3"/>
        <v/>
      </c>
      <c r="I144" s="32"/>
      <c r="J144" s="32"/>
      <c r="K144" s="32"/>
      <c r="L144" s="32"/>
      <c r="M144" s="32"/>
      <c r="N144" s="32"/>
    </row>
    <row r="145" spans="1:14" ht="14">
      <c r="A145" s="32"/>
      <c r="B145" s="170" t="str">
        <f>'G-2 Habitat groups'!AU130</f>
        <v>Urban - Introduced shrub</v>
      </c>
      <c r="C145" s="70" t="str">
        <f>'G-2 Habitat groups'!AV130</f>
        <v>Urban</v>
      </c>
      <c r="D145" s="268">
        <f>'G-2 Habitat groups'!BB130</f>
        <v>0</v>
      </c>
      <c r="E145" s="807">
        <f>'G-2 Habitat groups'!BD130</f>
        <v>0</v>
      </c>
      <c r="F145" s="1404">
        <f>'G-2 Habitat groups'!BE130</f>
        <v>0</v>
      </c>
      <c r="G145" s="1405"/>
      <c r="H145" s="820" t="str">
        <f t="shared" si="3"/>
        <v/>
      </c>
      <c r="I145" s="32"/>
      <c r="J145" s="32"/>
      <c r="K145" s="32"/>
      <c r="L145" s="32"/>
      <c r="M145" s="32"/>
      <c r="N145" s="32"/>
    </row>
    <row r="146" spans="1:14" ht="14">
      <c r="A146" s="32"/>
      <c r="B146" s="170" t="str">
        <f>'G-2 Habitat groups'!AU131</f>
        <v>Urban - Rain garden</v>
      </c>
      <c r="C146" s="70" t="str">
        <f>'G-2 Habitat groups'!AV131</f>
        <v>Urban</v>
      </c>
      <c r="D146" s="268">
        <f>'G-2 Habitat groups'!BB131</f>
        <v>0</v>
      </c>
      <c r="E146" s="807">
        <f>'G-2 Habitat groups'!BD131</f>
        <v>0</v>
      </c>
      <c r="F146" s="1404">
        <f>'G-2 Habitat groups'!BE131</f>
        <v>0</v>
      </c>
      <c r="G146" s="1405"/>
      <c r="H146" s="820" t="str">
        <f t="shared" si="3"/>
        <v/>
      </c>
      <c r="I146" s="32"/>
      <c r="J146" s="32"/>
      <c r="K146" s="32"/>
      <c r="L146" s="32"/>
      <c r="M146" s="32"/>
      <c r="N146" s="32"/>
    </row>
    <row r="147" spans="1:14" ht="14">
      <c r="A147" s="32"/>
      <c r="B147" s="170" t="str">
        <f>'G-2 Habitat groups'!AU132</f>
        <v>Urban - Actively worked sand pit quarry or open cast mine</v>
      </c>
      <c r="C147" s="70" t="str">
        <f>'G-2 Habitat groups'!AV132</f>
        <v>Urban</v>
      </c>
      <c r="D147" s="268">
        <f>'G-2 Habitat groups'!BB132</f>
        <v>0</v>
      </c>
      <c r="E147" s="807">
        <f>'G-2 Habitat groups'!BD132</f>
        <v>0</v>
      </c>
      <c r="F147" s="1404">
        <f>'G-2 Habitat groups'!BE132</f>
        <v>0</v>
      </c>
      <c r="G147" s="1405"/>
      <c r="H147" s="820" t="str">
        <f t="shared" si="3"/>
        <v/>
      </c>
      <c r="I147" s="32"/>
      <c r="J147" s="32"/>
      <c r="K147" s="32"/>
      <c r="L147" s="32"/>
      <c r="M147" s="32"/>
      <c r="N147" s="32"/>
    </row>
    <row r="148" spans="1:15" ht="14">
      <c r="A148" s="32"/>
      <c r="B148" s="170" t="str">
        <f>'G-2 Habitat groups'!AU135</f>
        <v>Urban - Sustainable drainage system</v>
      </c>
      <c r="C148" s="70" t="str">
        <f>'G-2 Habitat groups'!AV135</f>
        <v>Urban</v>
      </c>
      <c r="D148" s="268">
        <f>'G-2 Habitat groups'!BB135</f>
        <v>1.5172504798500002</v>
      </c>
      <c r="E148" s="807">
        <f>'G-2 Habitat groups'!BD135</f>
        <v>0</v>
      </c>
      <c r="F148" s="1404">
        <f>'G-2 Habitat groups'!BE135</f>
        <v>1.5172504798500002</v>
      </c>
      <c r="G148" s="1405"/>
      <c r="H148" s="820" t="str">
        <f t="shared" si="3"/>
        <v>✓</v>
      </c>
      <c r="I148" s="32"/>
      <c r="J148" s="32"/>
      <c r="K148" s="32"/>
      <c r="L148" s="32"/>
      <c r="M148" s="32"/>
      <c r="N148" s="32"/>
      <c r="O148" s="32"/>
    </row>
    <row r="149" spans="1:15" ht="14">
      <c r="A149" s="32"/>
      <c r="B149" s="170" t="str">
        <f>'G-2 Habitat groups'!AU136</f>
        <v>Urban - Vacant or derelict land</v>
      </c>
      <c r="C149" s="70" t="str">
        <f>'G-2 Habitat groups'!AV136</f>
        <v>Urban</v>
      </c>
      <c r="D149" s="268">
        <f>'G-2 Habitat groups'!BB136</f>
        <v>0</v>
      </c>
      <c r="E149" s="807">
        <f>'G-2 Habitat groups'!BD136</f>
        <v>0</v>
      </c>
      <c r="F149" s="1404">
        <f>'G-2 Habitat groups'!BE136</f>
        <v>0</v>
      </c>
      <c r="G149" s="1405"/>
      <c r="H149" s="820" t="str">
        <f t="shared" si="3"/>
        <v/>
      </c>
      <c r="I149" s="32"/>
      <c r="J149" s="32"/>
      <c r="K149" s="32"/>
      <c r="L149" s="32"/>
      <c r="M149" s="32"/>
      <c r="N149" s="32"/>
      <c r="O149" s="32"/>
    </row>
    <row r="150" spans="1:15" ht="14">
      <c r="A150" s="32"/>
      <c r="B150" s="170" t="str">
        <f>'G-2 Habitat groups'!AU137</f>
        <v>Urban - Vegetated garden</v>
      </c>
      <c r="C150" s="70" t="str">
        <f>'G-2 Habitat groups'!AV137</f>
        <v>Urban</v>
      </c>
      <c r="D150" s="268">
        <f>'G-2 Habitat groups'!BB137</f>
        <v>3.6283999999999996</v>
      </c>
      <c r="E150" s="807">
        <f>'G-2 Habitat groups'!BD137</f>
        <v>0</v>
      </c>
      <c r="F150" s="1404">
        <f>'G-2 Habitat groups'!BE137</f>
        <v>3.6283999999999996</v>
      </c>
      <c r="G150" s="1405"/>
      <c r="H150" s="820" t="str">
        <f t="shared" si="3"/>
        <v>✓</v>
      </c>
      <c r="I150" s="32"/>
      <c r="J150" s="32"/>
      <c r="K150" s="32"/>
      <c r="L150" s="32"/>
      <c r="M150" s="32"/>
      <c r="N150" s="32"/>
      <c r="O150" s="32"/>
    </row>
    <row r="151" spans="1:15" ht="14">
      <c r="A151" s="32"/>
      <c r="B151" s="400" t="str">
        <f>'G-2 Habitat groups'!AU138</f>
        <v>Woodland and forest - Other coniferous woodland</v>
      </c>
      <c r="C151" s="401" t="str">
        <f>'G-2 Habitat groups'!AV138</f>
        <v>Woodland and forest</v>
      </c>
      <c r="D151" s="880">
        <f>'G-2 Habitat groups'!BB138</f>
        <v>0</v>
      </c>
      <c r="E151" s="881">
        <f>'G-2 Habitat groups'!BD138</f>
        <v>0</v>
      </c>
      <c r="F151" s="1404">
        <f>'G-2 Habitat groups'!BE138</f>
        <v>0</v>
      </c>
      <c r="G151" s="1405"/>
      <c r="H151" s="820" t="str">
        <f t="shared" si="3"/>
        <v/>
      </c>
      <c r="I151" s="32"/>
      <c r="J151" s="32"/>
      <c r="K151" s="32"/>
      <c r="L151" s="32"/>
      <c r="M151" s="32"/>
      <c r="N151" s="32"/>
      <c r="O151" s="32"/>
    </row>
    <row r="152" spans="1:15" ht="14">
      <c r="A152" s="32"/>
      <c r="B152" s="170" t="str">
        <f>'G-2 Habitat groups'!AU139</f>
        <v>Coastal saltmarsh - Artificial saltmarshes and saline reedbeds</v>
      </c>
      <c r="C152" s="70" t="str">
        <f>'G-2 Habitat groups'!AV139</f>
        <v xml:space="preserve">Coastal saltmarsh </v>
      </c>
      <c r="D152" s="268">
        <f>'G-2 Habitat groups'!BB139</f>
        <v>0</v>
      </c>
      <c r="E152" s="807">
        <f>'G-2 Habitat groups'!BD139</f>
        <v>0</v>
      </c>
      <c r="F152" s="1404">
        <f>'G-2 Habitat groups'!BE139</f>
        <v>0</v>
      </c>
      <c r="G152" s="1405"/>
      <c r="H152" s="820" t="str">
        <f t="shared" si="3"/>
        <v/>
      </c>
      <c r="I152" s="32"/>
      <c r="J152" s="32"/>
      <c r="K152" s="32"/>
      <c r="L152" s="32"/>
      <c r="M152" s="32"/>
      <c r="N152" s="32"/>
      <c r="O152" s="32"/>
    </row>
    <row r="153" spans="1:15" ht="14">
      <c r="A153" s="32"/>
      <c r="B153" s="170" t="str">
        <f>'G-2 Habitat groups'!AU140</f>
        <v>Intertidal sediment - Artificial littoral coarse sediment</v>
      </c>
      <c r="C153" s="70" t="str">
        <f>'G-2 Habitat groups'!AV140</f>
        <v>Intertidal sediment</v>
      </c>
      <c r="D153" s="268">
        <f>'G-2 Habitat groups'!BB140</f>
        <v>0</v>
      </c>
      <c r="E153" s="807">
        <f>'G-2 Habitat groups'!BD140</f>
        <v>0</v>
      </c>
      <c r="F153" s="1404">
        <f>'G-2 Habitat groups'!BE140</f>
        <v>0</v>
      </c>
      <c r="G153" s="1405"/>
      <c r="H153" s="820" t="str">
        <f t="shared" si="3"/>
        <v/>
      </c>
      <c r="I153" s="32"/>
      <c r="J153" s="32"/>
      <c r="K153" s="32"/>
      <c r="L153" s="32"/>
      <c r="M153" s="32"/>
      <c r="N153" s="32"/>
      <c r="O153" s="32"/>
    </row>
    <row r="154" spans="1:15" ht="14">
      <c r="A154" s="32"/>
      <c r="B154" s="170" t="str">
        <f>'G-2 Habitat groups'!AU141</f>
        <v>Intertidal sediment - Artificial littoral mud</v>
      </c>
      <c r="C154" s="70" t="str">
        <f>'G-2 Habitat groups'!AV141</f>
        <v>Intertidal sediment</v>
      </c>
      <c r="D154" s="268">
        <f>'G-2 Habitat groups'!BB141</f>
        <v>0</v>
      </c>
      <c r="E154" s="807">
        <f>'G-2 Habitat groups'!BD141</f>
        <v>0</v>
      </c>
      <c r="F154" s="1404">
        <f>'G-2 Habitat groups'!BE141</f>
        <v>0</v>
      </c>
      <c r="G154" s="1405"/>
      <c r="H154" s="820" t="str">
        <f t="shared" si="3"/>
        <v/>
      </c>
      <c r="I154" s="32"/>
      <c r="J154" s="32"/>
      <c r="K154" s="32"/>
      <c r="L154" s="32"/>
      <c r="M154" s="32"/>
      <c r="N154" s="32"/>
      <c r="O154" s="32"/>
    </row>
    <row r="155" spans="1:15" ht="14">
      <c r="A155" s="32"/>
      <c r="B155" s="170" t="str">
        <f>'G-2 Habitat groups'!AU142</f>
        <v>Intertidal sediment - Artificial littoral sand</v>
      </c>
      <c r="C155" s="70" t="str">
        <f>'G-2 Habitat groups'!AV142</f>
        <v>Intertidal sediment</v>
      </c>
      <c r="D155" s="268">
        <f>'G-2 Habitat groups'!BB142</f>
        <v>0</v>
      </c>
      <c r="E155" s="807">
        <f>'G-2 Habitat groups'!BD142</f>
        <v>0</v>
      </c>
      <c r="F155" s="1404">
        <f>'G-2 Habitat groups'!BE142</f>
        <v>0</v>
      </c>
      <c r="G155" s="1405"/>
      <c r="H155" s="820" t="str">
        <f t="shared" si="3"/>
        <v/>
      </c>
      <c r="I155" s="32"/>
      <c r="J155" s="32"/>
      <c r="K155" s="32"/>
      <c r="L155" s="32"/>
      <c r="M155" s="32"/>
      <c r="N155" s="32"/>
      <c r="O155" s="32"/>
    </row>
    <row r="156" spans="1:15" ht="14">
      <c r="A156" s="32"/>
      <c r="B156" s="170" t="str">
        <f>'G-2 Habitat groups'!AU143</f>
        <v>Intertidal sediment - Artificial littoral muddy sand</v>
      </c>
      <c r="C156" s="70" t="str">
        <f>'G-2 Habitat groups'!AV143</f>
        <v>Intertidal sediment</v>
      </c>
      <c r="D156" s="268">
        <f>'G-2 Habitat groups'!BB143</f>
        <v>0</v>
      </c>
      <c r="E156" s="807">
        <f>'G-2 Habitat groups'!BD143</f>
        <v>0</v>
      </c>
      <c r="F156" s="1404">
        <f>'G-2 Habitat groups'!BE143</f>
        <v>0</v>
      </c>
      <c r="G156" s="1405"/>
      <c r="H156" s="820" t="str">
        <f t="shared" si="3"/>
        <v/>
      </c>
      <c r="I156" s="32"/>
      <c r="J156" s="32"/>
      <c r="K156" s="32"/>
      <c r="L156" s="32"/>
      <c r="M156" s="32"/>
      <c r="N156" s="32"/>
      <c r="O156" s="32"/>
    </row>
    <row r="157" spans="1:15" ht="14">
      <c r="A157" s="32"/>
      <c r="B157" s="170" t="str">
        <f>'G-2 Habitat groups'!AU144</f>
        <v>Intertidal sediment - Artificial littoral mixed sediments</v>
      </c>
      <c r="C157" s="70" t="str">
        <f>'G-2 Habitat groups'!AV144</f>
        <v>Intertidal sediment</v>
      </c>
      <c r="D157" s="268">
        <f>'G-2 Habitat groups'!BB144</f>
        <v>0</v>
      </c>
      <c r="E157" s="807">
        <f>'G-2 Habitat groups'!BD144</f>
        <v>0</v>
      </c>
      <c r="F157" s="1404">
        <f>'G-2 Habitat groups'!BE144</f>
        <v>0</v>
      </c>
      <c r="G157" s="1405"/>
      <c r="H157" s="820" t="str">
        <f t="shared" si="3"/>
        <v/>
      </c>
      <c r="I157" s="32"/>
      <c r="J157" s="32"/>
      <c r="K157" s="32"/>
      <c r="L157" s="32"/>
      <c r="M157" s="32"/>
      <c r="N157" s="32"/>
      <c r="O157" s="32"/>
    </row>
    <row r="158" spans="1:15" ht="14">
      <c r="A158" s="32"/>
      <c r="B158" s="170" t="str">
        <f>'G-2 Habitat groups'!AU145</f>
        <v>Intertidal sediment - Artificial littoral seagrass</v>
      </c>
      <c r="C158" s="70" t="str">
        <f>'G-2 Habitat groups'!AV145</f>
        <v>Intertidal sediment</v>
      </c>
      <c r="D158" s="268">
        <f>'G-2 Habitat groups'!BB145</f>
        <v>0</v>
      </c>
      <c r="E158" s="807">
        <f>'G-2 Habitat groups'!BD145</f>
        <v>0</v>
      </c>
      <c r="F158" s="1404">
        <f>'G-2 Habitat groups'!BE145</f>
        <v>0</v>
      </c>
      <c r="G158" s="1405"/>
      <c r="H158" s="820" t="str">
        <f t="shared" si="3"/>
        <v/>
      </c>
      <c r="I158" s="32"/>
      <c r="J158" s="32"/>
      <c r="K158" s="32"/>
      <c r="L158" s="32"/>
      <c r="M158" s="32"/>
      <c r="N158" s="32"/>
      <c r="O158" s="32"/>
    </row>
    <row r="159" spans="1:15" ht="14">
      <c r="A159" s="32"/>
      <c r="B159" s="170" t="str">
        <f>'G-2 Habitat groups'!AU146</f>
        <v>Intertidal sediment - Artificial littoral biogenic reefs</v>
      </c>
      <c r="C159" s="70" t="str">
        <f>'G-2 Habitat groups'!AV146</f>
        <v>Intertidal sediment</v>
      </c>
      <c r="D159" s="268">
        <f>'G-2 Habitat groups'!BB146</f>
        <v>0</v>
      </c>
      <c r="E159" s="807">
        <f>'G-2 Habitat groups'!BD146</f>
        <v>0</v>
      </c>
      <c r="F159" s="1404">
        <f>'G-2 Habitat groups'!BE146</f>
        <v>0</v>
      </c>
      <c r="G159" s="1405"/>
      <c r="H159" s="820" t="str">
        <f t="shared" si="3"/>
        <v/>
      </c>
      <c r="I159" s="32"/>
      <c r="J159" s="32"/>
      <c r="K159" s="32"/>
      <c r="L159" s="32"/>
      <c r="M159" s="32"/>
      <c r="N159" s="32"/>
      <c r="O159" s="32"/>
    </row>
    <row r="160" spans="1:15" ht="14">
      <c r="A160" s="32"/>
      <c r="B160" s="170" t="str">
        <f>'G-2 Habitat groups'!AU147</f>
        <v>Intertidal hard structures - Artificial hard structures</v>
      </c>
      <c r="C160" s="70" t="str">
        <f>'G-2 Habitat groups'!AV147</f>
        <v>Intertidal hard structures</v>
      </c>
      <c r="D160" s="268">
        <f>'G-2 Habitat groups'!BB147</f>
        <v>0</v>
      </c>
      <c r="E160" s="807">
        <f>'G-2 Habitat groups'!BD147</f>
        <v>0</v>
      </c>
      <c r="F160" s="1404">
        <f>'G-2 Habitat groups'!BE147</f>
        <v>0</v>
      </c>
      <c r="G160" s="1405"/>
      <c r="H160" s="820" t="str">
        <f t="shared" si="3"/>
        <v/>
      </c>
      <c r="I160" s="32"/>
      <c r="J160" s="32"/>
      <c r="K160" s="32"/>
      <c r="L160" s="32"/>
      <c r="M160" s="32"/>
      <c r="N160" s="32"/>
      <c r="O160" s="32"/>
    </row>
    <row r="161" spans="1:15" ht="14">
      <c r="A161" s="32"/>
      <c r="B161" s="400" t="str">
        <f>'G-2 Habitat groups'!AU148</f>
        <v>Intertidal hard structures - Artificial features of hard structures</v>
      </c>
      <c r="C161" s="401" t="str">
        <f>'G-2 Habitat groups'!AV148</f>
        <v>Intertidal hard structures</v>
      </c>
      <c r="D161" s="880">
        <f>'G-2 Habitat groups'!BB148</f>
        <v>0</v>
      </c>
      <c r="E161" s="881">
        <f>'G-2 Habitat groups'!BD148</f>
        <v>0</v>
      </c>
      <c r="F161" s="1404">
        <f>'G-2 Habitat groups'!BE148</f>
        <v>0</v>
      </c>
      <c r="G161" s="1405"/>
      <c r="H161" s="820" t="str">
        <f t="shared" si="3"/>
        <v/>
      </c>
      <c r="I161" s="32"/>
      <c r="J161" s="32"/>
      <c r="K161" s="32"/>
      <c r="L161" s="32"/>
      <c r="M161" s="32"/>
      <c r="N161" s="32"/>
      <c r="O161" s="32"/>
    </row>
    <row r="162" spans="1:15" ht="14.5" thickBot="1">
      <c r="A162" s="32"/>
      <c r="B162" s="169" t="str">
        <f>'G-2 Habitat groups'!AU149</f>
        <v>Heathland and shrub - Other sea buckthorn scrub</v>
      </c>
      <c r="C162" s="402" t="str">
        <f>'G-2 Habitat groups'!AV149</f>
        <v>Heathland and shrub</v>
      </c>
      <c r="D162" s="271">
        <f>'G-2 Habitat groups'!BB149</f>
        <v>0</v>
      </c>
      <c r="E162" s="808">
        <f>'G-2 Habitat groups'!BD149</f>
        <v>0</v>
      </c>
      <c r="F162" s="1414">
        <f>'G-2 Habitat groups'!BE149</f>
        <v>0</v>
      </c>
      <c r="G162" s="1415"/>
      <c r="H162" s="285" t="str">
        <f>IF(F162=0,"",IF(F162&lt;0,"⚠","✓"))</f>
        <v/>
      </c>
      <c r="I162" s="32"/>
      <c r="J162" s="32"/>
      <c r="K162" s="32"/>
      <c r="L162" s="32"/>
      <c r="M162" s="32"/>
      <c r="N162" s="32"/>
      <c r="O162" s="32"/>
    </row>
    <row r="163" spans="1:17" ht="15" customHeight="1" thickBot="1">
      <c r="A163" s="32"/>
      <c r="B163" s="32"/>
      <c r="C163" s="32"/>
      <c r="D163" s="326">
        <f>SUM(D125:D162)</f>
        <v>-11.086609520150004</v>
      </c>
      <c r="E163" s="326">
        <f>SUM(E125:E162)</f>
        <v>0</v>
      </c>
      <c r="F163" s="1409">
        <f>SUM(F125:F162)</f>
        <v>-11.086609520150004</v>
      </c>
      <c r="G163" s="1410"/>
      <c r="H163" s="851"/>
      <c r="I163" s="32"/>
      <c r="J163" s="32"/>
      <c r="K163" s="32"/>
      <c r="L163" s="32"/>
      <c r="M163" s="32"/>
      <c r="N163" s="32"/>
      <c r="O163" s="32"/>
      <c r="P163" s="32"/>
      <c r="Q163" s="32"/>
    </row>
    <row r="164" spans="1:17" ht="14">
      <c r="A164" s="32"/>
      <c r="G164" s="32"/>
      <c r="H164" s="32"/>
      <c r="I164" s="32"/>
      <c r="J164" s="32"/>
      <c r="K164" s="32"/>
      <c r="L164" s="32"/>
      <c r="M164" s="32"/>
      <c r="N164" s="32"/>
      <c r="O164" s="32"/>
      <c r="P164" s="32"/>
      <c r="Q164" s="32"/>
    </row>
    <row r="165" spans="1:17" ht="14" hidden="1">
      <c r="A165" s="32"/>
      <c r="B165" s="32"/>
      <c r="C165" s="32"/>
      <c r="D165" s="32"/>
      <c r="E165" s="32"/>
      <c r="F165" s="32"/>
      <c r="G165" s="32"/>
      <c r="H165" s="32"/>
      <c r="I165" s="32"/>
      <c r="J165" s="32"/>
      <c r="K165" s="32"/>
      <c r="L165" s="32"/>
      <c r="M165" s="32"/>
      <c r="N165" s="32"/>
      <c r="O165" s="32"/>
      <c r="P165" s="32"/>
      <c r="Q165" s="32"/>
    </row>
    <row r="166" spans="1:17" ht="14" hidden="1">
      <c r="A166" s="32"/>
      <c r="B166" s="32"/>
      <c r="C166" s="32"/>
      <c r="D166" s="32"/>
      <c r="E166" s="32"/>
      <c r="F166" s="32"/>
      <c r="G166" s="32"/>
      <c r="H166" s="32"/>
      <c r="I166" s="32"/>
      <c r="J166" s="32"/>
      <c r="K166" s="32"/>
      <c r="L166" s="32"/>
      <c r="M166" s="32"/>
      <c r="N166" s="32"/>
      <c r="O166" s="32"/>
      <c r="P166" s="32"/>
      <c r="Q166" s="32"/>
    </row>
    <row r="167" spans="1:17" ht="14" hidden="1">
      <c r="A167" s="32"/>
      <c r="B167" s="32"/>
      <c r="C167" s="32"/>
      <c r="D167" s="32"/>
      <c r="E167" s="32"/>
      <c r="F167" s="32"/>
      <c r="G167" s="32"/>
      <c r="H167" s="32"/>
      <c r="I167" s="32"/>
      <c r="J167" s="32"/>
      <c r="K167" s="32"/>
      <c r="L167" s="32"/>
      <c r="M167" s="32"/>
      <c r="N167" s="32"/>
      <c r="O167" s="32"/>
      <c r="P167" s="32"/>
      <c r="Q167" s="32"/>
    </row>
    <row r="168" spans="1:17" ht="14" hidden="1">
      <c r="A168" s="32"/>
      <c r="B168" s="32"/>
      <c r="C168" s="32"/>
      <c r="D168" s="32"/>
      <c r="E168" s="32"/>
      <c r="F168" s="32"/>
      <c r="G168" s="32"/>
      <c r="H168" s="32"/>
      <c r="I168" s="32"/>
      <c r="J168" s="32"/>
      <c r="K168" s="32"/>
      <c r="L168" s="32"/>
      <c r="M168" s="32"/>
      <c r="N168" s="32"/>
      <c r="O168" s="32"/>
      <c r="P168" s="32"/>
      <c r="Q168" s="32"/>
    </row>
    <row r="169" spans="1:17" ht="14" hidden="1">
      <c r="A169" s="32"/>
      <c r="B169" s="32"/>
      <c r="C169" s="32"/>
      <c r="D169" s="32"/>
      <c r="E169" s="32"/>
      <c r="F169" s="32"/>
      <c r="G169" s="32"/>
      <c r="H169" s="32"/>
      <c r="I169" s="32"/>
      <c r="J169" s="32"/>
      <c r="K169" s="32"/>
      <c r="L169" s="32"/>
      <c r="M169" s="32"/>
      <c r="N169" s="32"/>
      <c r="O169" s="32"/>
      <c r="P169" s="32"/>
      <c r="Q169" s="32"/>
    </row>
    <row r="170" spans="1:17" ht="14" hidden="1">
      <c r="A170" s="32"/>
      <c r="B170" s="32"/>
      <c r="C170" s="32"/>
      <c r="D170" s="32"/>
      <c r="E170" s="32"/>
      <c r="F170" s="32"/>
      <c r="G170" s="32"/>
      <c r="H170" s="32"/>
      <c r="I170" s="32"/>
      <c r="J170" s="32"/>
      <c r="K170" s="32"/>
      <c r="L170" s="32"/>
      <c r="M170" s="32"/>
      <c r="N170" s="32"/>
      <c r="O170" s="32"/>
      <c r="P170" s="32"/>
      <c r="Q170" s="32"/>
    </row>
    <row r="171" spans="1:17" ht="14" hidden="1">
      <c r="A171" s="32"/>
      <c r="B171" s="32"/>
      <c r="C171" s="32"/>
      <c r="D171" s="32"/>
      <c r="E171" s="32"/>
      <c r="F171" s="32"/>
      <c r="G171" s="32"/>
      <c r="H171" s="32"/>
      <c r="I171" s="32"/>
      <c r="J171" s="32"/>
      <c r="K171" s="32"/>
      <c r="L171" s="32"/>
      <c r="M171" s="32"/>
      <c r="N171" s="32"/>
      <c r="O171" s="32"/>
      <c r="P171" s="32"/>
      <c r="Q171" s="32"/>
    </row>
    <row r="172" spans="1:17" ht="14" hidden="1">
      <c r="A172" s="32"/>
      <c r="B172" s="32"/>
      <c r="C172" s="32"/>
      <c r="D172" s="32"/>
      <c r="E172" s="32"/>
      <c r="F172" s="32"/>
      <c r="G172" s="32"/>
      <c r="H172" s="32"/>
      <c r="I172" s="32"/>
      <c r="J172" s="32"/>
      <c r="K172" s="32"/>
      <c r="L172" s="32"/>
      <c r="M172" s="32"/>
      <c r="N172" s="32"/>
      <c r="O172" s="32"/>
      <c r="P172" s="32"/>
      <c r="Q172" s="32"/>
    </row>
    <row r="173" spans="1:17" ht="14" hidden="1">
      <c r="A173" s="32"/>
      <c r="B173" s="32"/>
      <c r="C173" s="32"/>
      <c r="D173" s="32"/>
      <c r="E173" s="32"/>
      <c r="F173" s="32"/>
      <c r="G173" s="32"/>
      <c r="H173" s="32"/>
      <c r="I173" s="32"/>
      <c r="J173" s="32"/>
      <c r="K173" s="32"/>
      <c r="L173" s="32"/>
      <c r="M173" s="32"/>
      <c r="N173" s="32"/>
      <c r="O173" s="32"/>
      <c r="P173" s="32"/>
      <c r="Q173" s="32"/>
    </row>
    <row r="174" spans="1:17" ht="14" hidden="1">
      <c r="A174" s="32"/>
      <c r="B174" s="32"/>
      <c r="C174" s="32"/>
      <c r="D174" s="32"/>
      <c r="E174" s="32"/>
      <c r="F174" s="32"/>
      <c r="G174" s="32"/>
      <c r="H174" s="32"/>
      <c r="I174" s="32"/>
      <c r="J174" s="32"/>
      <c r="K174" s="32"/>
      <c r="L174" s="32"/>
      <c r="M174" s="32"/>
      <c r="N174" s="32"/>
      <c r="O174" s="32"/>
      <c r="P174" s="32"/>
      <c r="Q174" s="32"/>
    </row>
    <row r="175" spans="1:17" ht="14" hidden="1">
      <c r="A175" s="32"/>
      <c r="B175" s="32"/>
      <c r="C175" s="32"/>
      <c r="D175" s="32"/>
      <c r="E175" s="32"/>
      <c r="F175" s="32"/>
      <c r="G175" s="32"/>
      <c r="H175" s="32"/>
      <c r="I175" s="32"/>
      <c r="J175" s="32"/>
      <c r="K175" s="32"/>
      <c r="L175" s="32"/>
      <c r="M175" s="32"/>
      <c r="N175" s="32"/>
      <c r="O175" s="32"/>
      <c r="P175" s="32"/>
      <c r="Q175" s="32"/>
    </row>
    <row r="176" spans="1:17" ht="14" hidden="1">
      <c r="A176" s="32"/>
      <c r="B176" s="32"/>
      <c r="C176" s="32"/>
      <c r="D176" s="32"/>
      <c r="E176" s="32"/>
      <c r="F176" s="32"/>
      <c r="G176" s="32"/>
      <c r="H176" s="32"/>
      <c r="I176" s="32"/>
      <c r="J176" s="32"/>
      <c r="K176" s="32"/>
      <c r="L176" s="32"/>
      <c r="M176" s="32"/>
      <c r="N176" s="32"/>
      <c r="O176" s="32"/>
      <c r="P176" s="32"/>
      <c r="Q176" s="32"/>
    </row>
    <row r="177" spans="1:17" ht="14" hidden="1">
      <c r="A177" s="32"/>
      <c r="B177" s="32"/>
      <c r="C177" s="32"/>
      <c r="D177" s="32"/>
      <c r="E177" s="32"/>
      <c r="F177" s="32"/>
      <c r="G177" s="32"/>
      <c r="H177" s="32"/>
      <c r="I177" s="32"/>
      <c r="J177" s="32"/>
      <c r="K177" s="32"/>
      <c r="L177" s="32"/>
      <c r="M177" s="32"/>
      <c r="N177" s="32"/>
      <c r="O177" s="32"/>
      <c r="P177" s="32"/>
      <c r="Q177" s="32"/>
    </row>
    <row r="178" spans="1:17" ht="14" hidden="1">
      <c r="A178" s="32"/>
      <c r="B178" s="32"/>
      <c r="C178" s="32"/>
      <c r="D178" s="32"/>
      <c r="E178" s="32"/>
      <c r="F178" s="32"/>
      <c r="G178" s="32"/>
      <c r="H178" s="32"/>
      <c r="I178" s="32"/>
      <c r="J178" s="32"/>
      <c r="K178" s="32"/>
      <c r="L178" s="32"/>
      <c r="M178" s="32"/>
      <c r="N178" s="32"/>
      <c r="O178" s="32"/>
      <c r="P178" s="32"/>
      <c r="Q178" s="32"/>
    </row>
    <row r="179" spans="1:17" ht="14" hidden="1">
      <c r="A179" s="32"/>
      <c r="B179" s="32"/>
      <c r="C179" s="32"/>
      <c r="D179" s="32"/>
      <c r="E179" s="32"/>
      <c r="F179" s="32"/>
      <c r="G179" s="32"/>
      <c r="H179" s="32"/>
      <c r="I179" s="32"/>
      <c r="J179" s="32"/>
      <c r="K179" s="32"/>
      <c r="L179" s="32"/>
      <c r="M179" s="32"/>
      <c r="N179" s="32"/>
      <c r="O179" s="32"/>
      <c r="P179" s="32"/>
      <c r="Q179" s="32"/>
    </row>
    <row r="180" spans="1:17" ht="14" hidden="1">
      <c r="A180" s="32"/>
      <c r="B180" s="32"/>
      <c r="C180" s="32"/>
      <c r="D180" s="32"/>
      <c r="E180" s="32"/>
      <c r="F180" s="32"/>
      <c r="G180" s="32"/>
      <c r="H180" s="32"/>
      <c r="I180" s="32"/>
      <c r="J180" s="32"/>
      <c r="K180" s="32"/>
      <c r="L180" s="32"/>
      <c r="M180" s="32"/>
      <c r="N180" s="32"/>
      <c r="O180" s="32"/>
      <c r="P180" s="32"/>
      <c r="Q180" s="32"/>
    </row>
    <row r="181" spans="1:17" ht="14" hidden="1">
      <c r="A181" s="32"/>
      <c r="B181" s="32"/>
      <c r="C181" s="32"/>
      <c r="D181" s="32"/>
      <c r="E181" s="32"/>
      <c r="F181" s="32"/>
      <c r="G181" s="32"/>
      <c r="H181" s="32"/>
      <c r="I181" s="32"/>
      <c r="J181" s="32"/>
      <c r="K181" s="32"/>
      <c r="L181" s="32"/>
      <c r="M181" s="32"/>
      <c r="N181" s="32"/>
      <c r="O181" s="32"/>
      <c r="P181" s="32"/>
      <c r="Q181" s="32"/>
    </row>
    <row r="182" spans="1:17" ht="14" hidden="1">
      <c r="A182" s="32"/>
      <c r="B182" s="32"/>
      <c r="C182" s="32"/>
      <c r="D182" s="32"/>
      <c r="E182" s="32"/>
      <c r="F182" s="32"/>
      <c r="G182" s="32"/>
      <c r="H182" s="32"/>
      <c r="I182" s="32"/>
      <c r="J182" s="32"/>
      <c r="K182" s="32"/>
      <c r="L182" s="32"/>
      <c r="M182" s="32"/>
      <c r="N182" s="32"/>
      <c r="O182" s="32"/>
      <c r="P182" s="32"/>
      <c r="Q182" s="32"/>
    </row>
    <row r="183" spans="1:17" ht="14" hidden="1">
      <c r="A183" s="32"/>
      <c r="B183" s="32"/>
      <c r="C183" s="32"/>
      <c r="D183" s="32"/>
      <c r="E183" s="32"/>
      <c r="F183" s="32"/>
      <c r="G183" s="32"/>
      <c r="H183" s="32"/>
      <c r="I183" s="32"/>
      <c r="J183" s="32"/>
      <c r="K183" s="32"/>
      <c r="L183" s="32"/>
      <c r="M183" s="32"/>
      <c r="N183" s="32"/>
      <c r="O183" s="32"/>
      <c r="P183" s="32"/>
      <c r="Q183" s="32"/>
    </row>
    <row r="184" spans="1:17" ht="14" hidden="1">
      <c r="A184" s="32"/>
      <c r="B184" s="32"/>
      <c r="C184" s="32"/>
      <c r="D184" s="32"/>
      <c r="E184" s="32"/>
      <c r="F184" s="32"/>
      <c r="G184" s="32"/>
      <c r="H184" s="32"/>
      <c r="I184" s="32"/>
      <c r="J184" s="32"/>
      <c r="K184" s="32"/>
      <c r="L184" s="32"/>
      <c r="M184" s="32"/>
      <c r="N184" s="32"/>
      <c r="O184" s="32"/>
      <c r="P184" s="32"/>
      <c r="Q184" s="32"/>
    </row>
    <row r="185" spans="1:17" ht="14" hidden="1">
      <c r="A185" s="32"/>
      <c r="B185" s="32"/>
      <c r="C185" s="32"/>
      <c r="D185" s="32"/>
      <c r="E185" s="32"/>
      <c r="F185" s="32"/>
      <c r="G185" s="32"/>
      <c r="H185" s="32"/>
      <c r="I185" s="32"/>
      <c r="J185" s="32"/>
      <c r="K185" s="32"/>
      <c r="L185" s="32"/>
      <c r="M185" s="32"/>
      <c r="N185" s="32"/>
      <c r="O185" s="32"/>
      <c r="P185" s="32"/>
      <c r="Q185" s="32"/>
    </row>
    <row r="186" spans="1:17" ht="14" hidden="1">
      <c r="A186" s="32"/>
      <c r="B186" s="32"/>
      <c r="C186" s="32"/>
      <c r="D186" s="32"/>
      <c r="E186" s="32"/>
      <c r="F186" s="32"/>
      <c r="G186" s="32"/>
      <c r="H186" s="32"/>
      <c r="I186" s="32"/>
      <c r="J186" s="32"/>
      <c r="K186" s="32"/>
      <c r="L186" s="32"/>
      <c r="M186" s="32"/>
      <c r="N186" s="32"/>
      <c r="O186" s="32"/>
      <c r="P186" s="32"/>
      <c r="Q186" s="32"/>
    </row>
    <row r="187" spans="1:17" ht="14" hidden="1">
      <c r="A187" s="32"/>
      <c r="B187" s="32"/>
      <c r="C187" s="32"/>
      <c r="D187" s="32"/>
      <c r="E187" s="32"/>
      <c r="F187" s="32"/>
      <c r="G187" s="32"/>
      <c r="H187" s="32"/>
      <c r="I187" s="32"/>
      <c r="J187" s="32"/>
      <c r="K187" s="32"/>
      <c r="L187" s="32"/>
      <c r="M187" s="32"/>
      <c r="N187" s="32"/>
      <c r="O187" s="32"/>
      <c r="P187" s="32"/>
      <c r="Q187" s="32"/>
    </row>
    <row r="188" spans="1:17" ht="14" hidden="1">
      <c r="A188" s="32"/>
      <c r="B188" s="32"/>
      <c r="C188" s="32"/>
      <c r="D188" s="32"/>
      <c r="E188" s="32"/>
      <c r="F188" s="32"/>
      <c r="G188" s="32"/>
      <c r="H188" s="32"/>
      <c r="I188" s="32"/>
      <c r="J188" s="32"/>
      <c r="K188" s="32"/>
      <c r="L188" s="32"/>
      <c r="M188" s="32"/>
      <c r="N188" s="32"/>
      <c r="O188" s="32"/>
      <c r="P188" s="32"/>
      <c r="Q188" s="32"/>
    </row>
    <row r="189" spans="1:17" ht="14" hidden="1">
      <c r="A189" s="32"/>
      <c r="B189" s="32"/>
      <c r="C189" s="32"/>
      <c r="D189" s="32"/>
      <c r="E189" s="32"/>
      <c r="F189" s="32"/>
      <c r="G189" s="32"/>
      <c r="H189" s="32"/>
      <c r="I189" s="32"/>
      <c r="J189" s="32"/>
      <c r="K189" s="32"/>
      <c r="L189" s="32"/>
      <c r="M189" s="32"/>
      <c r="N189" s="32"/>
      <c r="O189" s="32"/>
      <c r="P189" s="32"/>
      <c r="Q189" s="32"/>
    </row>
    <row r="190" spans="1:17" ht="14" hidden="1">
      <c r="A190" s="32"/>
      <c r="B190" s="32"/>
      <c r="C190" s="32"/>
      <c r="D190" s="32"/>
      <c r="E190" s="32"/>
      <c r="F190" s="32"/>
      <c r="G190" s="32"/>
      <c r="H190" s="32"/>
      <c r="I190" s="32"/>
      <c r="J190" s="32"/>
      <c r="K190" s="32"/>
      <c r="L190" s="32"/>
      <c r="M190" s="32"/>
      <c r="N190" s="32"/>
      <c r="O190" s="32"/>
      <c r="P190" s="32"/>
      <c r="Q190" s="32"/>
    </row>
    <row r="191" spans="1:17" ht="14" hidden="1">
      <c r="A191" s="32"/>
      <c r="B191" s="32"/>
      <c r="C191" s="32"/>
      <c r="D191" s="32"/>
      <c r="E191" s="32"/>
      <c r="F191" s="32"/>
      <c r="G191" s="32"/>
      <c r="H191" s="32"/>
      <c r="I191" s="32"/>
      <c r="J191" s="32"/>
      <c r="K191" s="32"/>
      <c r="L191" s="32"/>
      <c r="M191" s="32"/>
      <c r="N191" s="32"/>
      <c r="O191" s="32"/>
      <c r="P191" s="32"/>
      <c r="Q191" s="32"/>
    </row>
    <row r="192" spans="1:17" ht="14" hidden="1">
      <c r="A192" s="32"/>
      <c r="B192" s="32"/>
      <c r="C192" s="32"/>
      <c r="D192" s="32"/>
      <c r="E192" s="32"/>
      <c r="F192" s="32"/>
      <c r="G192" s="32"/>
      <c r="H192" s="32"/>
      <c r="I192" s="32"/>
      <c r="J192" s="32"/>
      <c r="K192" s="32"/>
      <c r="L192" s="32"/>
      <c r="M192" s="32"/>
      <c r="N192" s="32"/>
      <c r="O192" s="32"/>
      <c r="P192" s="32"/>
      <c r="Q192" s="32"/>
    </row>
    <row r="193" spans="1:17" ht="14" hidden="1">
      <c r="A193" s="32"/>
      <c r="B193" s="32"/>
      <c r="C193" s="32"/>
      <c r="D193" s="32"/>
      <c r="E193" s="32"/>
      <c r="F193" s="32"/>
      <c r="G193" s="32"/>
      <c r="H193" s="32"/>
      <c r="I193" s="32"/>
      <c r="J193" s="32"/>
      <c r="K193" s="32"/>
      <c r="L193" s="32"/>
      <c r="M193" s="32"/>
      <c r="N193" s="32"/>
      <c r="O193" s="32"/>
      <c r="P193" s="32"/>
      <c r="Q193" s="32"/>
    </row>
    <row r="194" spans="1:17" ht="14" hidden="1">
      <c r="A194" s="32"/>
      <c r="B194" s="32"/>
      <c r="C194" s="32"/>
      <c r="D194" s="32"/>
      <c r="E194" s="32"/>
      <c r="F194" s="32"/>
      <c r="G194" s="32"/>
      <c r="H194" s="32"/>
      <c r="I194" s="32"/>
      <c r="J194" s="32"/>
      <c r="K194" s="32"/>
      <c r="L194" s="32"/>
      <c r="M194" s="32"/>
      <c r="N194" s="32"/>
      <c r="O194" s="32"/>
      <c r="P194" s="32"/>
      <c r="Q194" s="32"/>
    </row>
    <row r="195" spans="1:17" ht="14" hidden="1">
      <c r="A195" s="32"/>
      <c r="B195" s="32"/>
      <c r="C195" s="32"/>
      <c r="D195" s="32"/>
      <c r="E195" s="32"/>
      <c r="F195" s="32"/>
      <c r="G195" s="32"/>
      <c r="H195" s="32"/>
      <c r="I195" s="32"/>
      <c r="J195" s="32"/>
      <c r="K195" s="32"/>
      <c r="L195" s="32"/>
      <c r="M195" s="32"/>
      <c r="N195" s="32"/>
      <c r="O195" s="32"/>
      <c r="P195" s="32"/>
      <c r="Q195" s="32"/>
    </row>
    <row r="196" spans="1:17" ht="14" hidden="1">
      <c r="A196" s="32"/>
      <c r="B196" s="32"/>
      <c r="C196" s="32"/>
      <c r="D196" s="32"/>
      <c r="E196" s="32"/>
      <c r="F196" s="32"/>
      <c r="G196" s="32"/>
      <c r="H196" s="32"/>
      <c r="I196" s="32"/>
      <c r="J196" s="32"/>
      <c r="K196" s="32"/>
      <c r="L196" s="32"/>
      <c r="M196" s="32"/>
      <c r="N196" s="32"/>
      <c r="O196" s="32"/>
      <c r="P196" s="32"/>
      <c r="Q196" s="32"/>
    </row>
    <row r="197" spans="1:17" ht="14" hidden="1">
      <c r="A197" s="32"/>
      <c r="B197" s="32"/>
      <c r="C197" s="32"/>
      <c r="D197" s="32"/>
      <c r="E197" s="32"/>
      <c r="F197" s="32"/>
      <c r="G197" s="32"/>
      <c r="H197" s="32"/>
      <c r="I197" s="32"/>
      <c r="J197" s="32"/>
      <c r="K197" s="32"/>
      <c r="L197" s="32"/>
      <c r="M197" s="32"/>
      <c r="N197" s="32"/>
      <c r="O197" s="32"/>
      <c r="P197" s="32"/>
      <c r="Q197" s="32"/>
    </row>
    <row r="198" spans="1:17" ht="14" hidden="1">
      <c r="A198" s="32"/>
      <c r="B198" s="32"/>
      <c r="C198" s="32"/>
      <c r="D198" s="32"/>
      <c r="E198" s="32"/>
      <c r="F198" s="32"/>
      <c r="G198" s="32"/>
      <c r="H198" s="32"/>
      <c r="I198" s="32"/>
      <c r="J198" s="32"/>
      <c r="K198" s="32"/>
      <c r="L198" s="32"/>
      <c r="M198" s="32"/>
      <c r="N198" s="32"/>
      <c r="O198" s="32"/>
      <c r="P198" s="32"/>
      <c r="Q198" s="32"/>
    </row>
    <row r="199" spans="1:17" ht="14" hidden="1">
      <c r="A199" s="32"/>
      <c r="B199" s="32"/>
      <c r="C199" s="32"/>
      <c r="D199" s="32"/>
      <c r="E199" s="32"/>
      <c r="F199" s="32"/>
      <c r="G199" s="32"/>
      <c r="H199" s="32"/>
      <c r="I199" s="32"/>
      <c r="J199" s="32"/>
      <c r="K199" s="32"/>
      <c r="L199" s="32"/>
      <c r="M199" s="32"/>
      <c r="N199" s="32"/>
      <c r="O199" s="32"/>
      <c r="P199" s="32"/>
      <c r="Q199" s="32"/>
    </row>
    <row r="200" spans="1:17" ht="14" hidden="1">
      <c r="A200" s="32"/>
      <c r="B200" s="32"/>
      <c r="C200" s="32"/>
      <c r="D200" s="32"/>
      <c r="E200" s="32"/>
      <c r="F200" s="32"/>
      <c r="G200" s="32"/>
      <c r="H200" s="32"/>
      <c r="I200" s="32"/>
      <c r="J200" s="32"/>
      <c r="K200" s="32"/>
      <c r="L200" s="32"/>
      <c r="M200" s="32"/>
      <c r="N200" s="32"/>
      <c r="O200" s="32"/>
      <c r="P200" s="32"/>
      <c r="Q200" s="32"/>
    </row>
    <row r="201" spans="1:17" ht="14" hidden="1">
      <c r="A201" s="32"/>
      <c r="B201" s="32"/>
      <c r="C201" s="32"/>
      <c r="D201" s="32"/>
      <c r="E201" s="32"/>
      <c r="F201" s="32"/>
      <c r="G201" s="32"/>
      <c r="H201" s="32"/>
      <c r="I201" s="32"/>
      <c r="J201" s="32"/>
      <c r="K201" s="32"/>
      <c r="L201" s="32"/>
      <c r="M201" s="32"/>
      <c r="N201" s="32"/>
      <c r="O201" s="32"/>
      <c r="P201" s="32"/>
      <c r="Q201" s="32"/>
    </row>
    <row r="202" spans="1:17" ht="14" hidden="1">
      <c r="A202" s="32"/>
      <c r="B202" s="32"/>
      <c r="C202" s="32"/>
      <c r="D202" s="32"/>
      <c r="E202" s="32"/>
      <c r="F202" s="32"/>
      <c r="G202" s="32"/>
      <c r="H202" s="32"/>
      <c r="I202" s="32"/>
      <c r="J202" s="32"/>
      <c r="K202" s="32"/>
      <c r="L202" s="32"/>
      <c r="M202" s="32"/>
      <c r="N202" s="32"/>
      <c r="O202" s="32"/>
      <c r="P202" s="32"/>
      <c r="Q202" s="32"/>
    </row>
    <row r="203" spans="1:17" ht="14" hidden="1">
      <c r="A203" s="32"/>
      <c r="B203" s="32"/>
      <c r="C203" s="32"/>
      <c r="D203" s="32"/>
      <c r="E203" s="32"/>
      <c r="F203" s="32"/>
      <c r="G203" s="32"/>
      <c r="H203" s="32"/>
      <c r="I203" s="32"/>
      <c r="J203" s="32"/>
      <c r="K203" s="32"/>
      <c r="L203" s="32"/>
      <c r="M203" s="32"/>
      <c r="N203" s="32"/>
      <c r="O203" s="32"/>
      <c r="P203" s="32"/>
      <c r="Q203" s="32"/>
    </row>
    <row r="204" spans="1:17" ht="14" hidden="1">
      <c r="A204" s="32"/>
      <c r="B204" s="32"/>
      <c r="C204" s="32"/>
      <c r="D204" s="32"/>
      <c r="E204" s="32"/>
      <c r="F204" s="32"/>
      <c r="G204" s="32"/>
      <c r="H204" s="32"/>
      <c r="I204" s="32"/>
      <c r="J204" s="32"/>
      <c r="K204" s="32"/>
      <c r="L204" s="32"/>
      <c r="M204" s="32"/>
      <c r="N204" s="32"/>
      <c r="O204" s="32"/>
      <c r="P204" s="32"/>
      <c r="Q204" s="32"/>
    </row>
    <row r="205" spans="1:17" ht="14" hidden="1">
      <c r="A205" s="32"/>
      <c r="B205" s="32"/>
      <c r="C205" s="32"/>
      <c r="D205" s="32"/>
      <c r="E205" s="32"/>
      <c r="F205" s="32"/>
      <c r="G205" s="32"/>
      <c r="H205" s="32"/>
      <c r="I205" s="32"/>
      <c r="J205" s="32"/>
      <c r="K205" s="32"/>
      <c r="L205" s="32"/>
      <c r="M205" s="32"/>
      <c r="N205" s="32"/>
      <c r="O205" s="32"/>
      <c r="P205" s="32"/>
      <c r="Q205" s="32"/>
    </row>
    <row r="206" spans="1:17" ht="14" hidden="1">
      <c r="A206" s="32"/>
      <c r="B206" s="32"/>
      <c r="C206" s="32"/>
      <c r="D206" s="32"/>
      <c r="E206" s="32"/>
      <c r="F206" s="32"/>
      <c r="G206" s="32"/>
      <c r="H206" s="32"/>
      <c r="I206" s="32"/>
      <c r="J206" s="32"/>
      <c r="K206" s="32"/>
      <c r="L206" s="32"/>
      <c r="M206" s="32"/>
      <c r="N206" s="32"/>
      <c r="O206" s="32"/>
      <c r="P206" s="32"/>
      <c r="Q206" s="32"/>
    </row>
    <row r="207" spans="1:17" ht="14" hidden="1">
      <c r="A207" s="32"/>
      <c r="B207" s="32"/>
      <c r="C207" s="32"/>
      <c r="D207" s="32"/>
      <c r="E207" s="32"/>
      <c r="F207" s="32"/>
      <c r="G207" s="32"/>
      <c r="H207" s="32"/>
      <c r="I207" s="32"/>
      <c r="J207" s="32"/>
      <c r="K207" s="32"/>
      <c r="L207" s="32"/>
      <c r="M207" s="32"/>
      <c r="N207" s="32"/>
      <c r="O207" s="32"/>
      <c r="P207" s="32"/>
      <c r="Q207" s="32"/>
    </row>
    <row r="208" spans="1:17" ht="14" hidden="1">
      <c r="A208" s="32"/>
      <c r="B208" s="32"/>
      <c r="C208" s="32"/>
      <c r="D208" s="32"/>
      <c r="E208" s="32"/>
      <c r="F208" s="32"/>
      <c r="G208" s="32"/>
      <c r="H208" s="32"/>
      <c r="I208" s="32"/>
      <c r="J208" s="32"/>
      <c r="K208" s="32"/>
      <c r="L208" s="32"/>
      <c r="M208" s="32"/>
      <c r="N208" s="32"/>
      <c r="O208" s="32"/>
      <c r="P208" s="32"/>
      <c r="Q208" s="32"/>
    </row>
    <row r="209" spans="1:17" ht="14" hidden="1">
      <c r="A209" s="32"/>
      <c r="B209" s="32"/>
      <c r="C209" s="32"/>
      <c r="D209" s="32"/>
      <c r="E209" s="32"/>
      <c r="F209" s="32"/>
      <c r="G209" s="32"/>
      <c r="H209" s="32"/>
      <c r="I209" s="32"/>
      <c r="J209" s="32"/>
      <c r="K209" s="32"/>
      <c r="L209" s="32"/>
      <c r="M209" s="32"/>
      <c r="N209" s="32"/>
      <c r="O209" s="32"/>
      <c r="P209" s="32"/>
      <c r="Q209" s="32"/>
    </row>
    <row r="210" spans="1:17" ht="14" hidden="1">
      <c r="A210" s="32"/>
      <c r="B210" s="32"/>
      <c r="C210" s="32"/>
      <c r="D210" s="32"/>
      <c r="E210" s="32"/>
      <c r="F210" s="32"/>
      <c r="G210" s="32"/>
      <c r="H210" s="32"/>
      <c r="I210" s="32"/>
      <c r="J210" s="32"/>
      <c r="K210" s="32"/>
      <c r="L210" s="32"/>
      <c r="M210" s="32"/>
      <c r="N210" s="32"/>
      <c r="O210" s="32"/>
      <c r="P210" s="32"/>
      <c r="Q210" s="32"/>
    </row>
    <row r="211" spans="1:17" ht="14" hidden="1">
      <c r="A211" s="32"/>
      <c r="B211" s="32"/>
      <c r="C211" s="32"/>
      <c r="D211" s="32"/>
      <c r="E211" s="32"/>
      <c r="F211" s="32"/>
      <c r="G211" s="32"/>
      <c r="H211" s="32"/>
      <c r="I211" s="32"/>
      <c r="J211" s="32"/>
      <c r="K211" s="32"/>
      <c r="L211" s="32"/>
      <c r="M211" s="32"/>
      <c r="N211" s="32"/>
      <c r="O211" s="32"/>
      <c r="P211" s="32"/>
      <c r="Q211" s="32"/>
    </row>
    <row r="212" spans="1:17" ht="14" hidden="1">
      <c r="A212" s="32"/>
      <c r="B212" s="32"/>
      <c r="C212" s="32"/>
      <c r="D212" s="32"/>
      <c r="E212" s="32"/>
      <c r="F212" s="32"/>
      <c r="G212" s="32"/>
      <c r="H212" s="32"/>
      <c r="I212" s="32"/>
      <c r="J212" s="32"/>
      <c r="K212" s="32"/>
      <c r="L212" s="32"/>
      <c r="M212" s="32"/>
      <c r="N212" s="32"/>
      <c r="O212" s="32"/>
      <c r="P212" s="32"/>
      <c r="Q212" s="32"/>
    </row>
    <row r="213" spans="1:17" ht="14" hidden="1">
      <c r="A213" s="32"/>
      <c r="B213" s="32"/>
      <c r="C213" s="32"/>
      <c r="D213" s="32"/>
      <c r="E213" s="32"/>
      <c r="F213" s="32"/>
      <c r="G213" s="32"/>
      <c r="H213" s="32"/>
      <c r="I213" s="32"/>
      <c r="J213" s="32"/>
      <c r="K213" s="32"/>
      <c r="L213" s="32"/>
      <c r="M213" s="32"/>
      <c r="N213" s="32"/>
      <c r="O213" s="32"/>
      <c r="P213" s="32"/>
      <c r="Q213" s="32"/>
    </row>
    <row r="214" spans="1:17" ht="14" hidden="1">
      <c r="A214" s="32"/>
      <c r="B214" s="32"/>
      <c r="C214" s="32"/>
      <c r="D214" s="32"/>
      <c r="E214" s="32"/>
      <c r="F214" s="32"/>
      <c r="G214" s="32"/>
      <c r="H214" s="32"/>
      <c r="I214" s="32"/>
      <c r="J214" s="32"/>
      <c r="K214" s="32"/>
      <c r="L214" s="32"/>
      <c r="M214" s="32"/>
      <c r="N214" s="32"/>
      <c r="O214" s="32"/>
      <c r="P214" s="32"/>
      <c r="Q214" s="32"/>
    </row>
    <row r="215" spans="1:17" ht="14" hidden="1">
      <c r="A215" s="32"/>
      <c r="B215" s="32"/>
      <c r="C215" s="32"/>
      <c r="D215" s="32"/>
      <c r="E215" s="32"/>
      <c r="F215" s="32"/>
      <c r="G215" s="32"/>
      <c r="H215" s="32"/>
      <c r="I215" s="32"/>
      <c r="J215" s="32"/>
      <c r="K215" s="32"/>
      <c r="L215" s="32"/>
      <c r="M215" s="32"/>
      <c r="N215" s="32"/>
      <c r="O215" s="32"/>
      <c r="P215" s="32"/>
      <c r="Q215" s="32"/>
    </row>
    <row r="216" spans="1:17" ht="14" hidden="1">
      <c r="A216" s="32"/>
      <c r="B216" s="32"/>
      <c r="C216" s="32"/>
      <c r="D216" s="32"/>
      <c r="E216" s="32"/>
      <c r="F216" s="32"/>
      <c r="G216" s="32"/>
      <c r="H216" s="32"/>
      <c r="I216" s="32"/>
      <c r="J216" s="32"/>
      <c r="K216" s="32"/>
      <c r="L216" s="32"/>
      <c r="M216" s="32"/>
      <c r="N216" s="32"/>
      <c r="O216" s="32"/>
      <c r="P216" s="32"/>
      <c r="Q216" s="32"/>
    </row>
    <row r="217" spans="1:17" ht="14" hidden="1">
      <c r="A217" s="32"/>
      <c r="B217" s="32"/>
      <c r="C217" s="32"/>
      <c r="D217" s="32"/>
      <c r="E217" s="32"/>
      <c r="F217" s="32"/>
      <c r="G217" s="32"/>
      <c r="H217" s="32"/>
      <c r="I217" s="32"/>
      <c r="J217" s="32"/>
      <c r="K217" s="32"/>
      <c r="L217" s="32"/>
      <c r="M217" s="32"/>
      <c r="N217" s="32"/>
      <c r="O217" s="32"/>
      <c r="P217" s="32"/>
      <c r="Q217" s="32"/>
    </row>
    <row r="218" spans="1:17" ht="14" hidden="1">
      <c r="A218" s="32"/>
      <c r="B218" s="32"/>
      <c r="C218" s="32"/>
      <c r="D218" s="32"/>
      <c r="E218" s="32"/>
      <c r="F218" s="32"/>
      <c r="G218" s="32"/>
      <c r="H218" s="32"/>
      <c r="I218" s="32"/>
      <c r="J218" s="32"/>
      <c r="K218" s="32"/>
      <c r="L218" s="32"/>
      <c r="M218" s="32"/>
      <c r="N218" s="32"/>
      <c r="O218" s="32"/>
      <c r="P218" s="32"/>
      <c r="Q218" s="32"/>
    </row>
    <row r="219" spans="1:17" ht="14" hidden="1">
      <c r="A219" s="32"/>
      <c r="B219" s="32"/>
      <c r="C219" s="32"/>
      <c r="D219" s="32"/>
      <c r="E219" s="32"/>
      <c r="F219" s="32"/>
      <c r="G219" s="32"/>
      <c r="H219" s="32"/>
      <c r="I219" s="32"/>
      <c r="J219" s="32"/>
      <c r="K219" s="32"/>
      <c r="L219" s="32"/>
      <c r="M219" s="32"/>
      <c r="N219" s="32"/>
      <c r="O219" s="32"/>
      <c r="P219" s="32"/>
      <c r="Q219" s="32"/>
    </row>
    <row r="220" spans="1:17" ht="14" hidden="1">
      <c r="A220" s="32"/>
      <c r="B220" s="32"/>
      <c r="C220" s="32"/>
      <c r="D220" s="32"/>
      <c r="E220" s="32"/>
      <c r="F220" s="32"/>
      <c r="G220" s="32"/>
      <c r="H220" s="32"/>
      <c r="I220" s="32"/>
      <c r="J220" s="32"/>
      <c r="K220" s="32"/>
      <c r="L220" s="32"/>
      <c r="M220" s="32"/>
      <c r="N220" s="32"/>
      <c r="O220" s="32"/>
      <c r="P220" s="32"/>
      <c r="Q220" s="32"/>
    </row>
    <row r="221" spans="1:17" ht="14" hidden="1">
      <c r="A221" s="32"/>
      <c r="B221" s="32"/>
      <c r="C221" s="32"/>
      <c r="D221" s="32"/>
      <c r="E221" s="32"/>
      <c r="F221" s="32"/>
      <c r="G221" s="32"/>
      <c r="H221" s="32"/>
      <c r="I221" s="32"/>
      <c r="J221" s="32"/>
      <c r="K221" s="32"/>
      <c r="L221" s="32"/>
      <c r="M221" s="32"/>
      <c r="N221" s="32"/>
      <c r="O221" s="32"/>
      <c r="P221" s="32"/>
      <c r="Q221" s="32"/>
    </row>
    <row r="222" spans="1:17" ht="14" hidden="1">
      <c r="A222" s="32"/>
      <c r="B222" s="32"/>
      <c r="C222" s="32"/>
      <c r="D222" s="32"/>
      <c r="E222" s="32"/>
      <c r="F222" s="32"/>
      <c r="G222" s="32"/>
      <c r="H222" s="32"/>
      <c r="I222" s="32"/>
      <c r="J222" s="32"/>
      <c r="K222" s="32"/>
      <c r="L222" s="32"/>
      <c r="M222" s="32"/>
      <c r="N222" s="32"/>
      <c r="O222" s="32"/>
      <c r="P222" s="32"/>
      <c r="Q222" s="32"/>
    </row>
    <row r="223" spans="1:17" ht="14" hidden="1">
      <c r="A223" s="32"/>
      <c r="B223" s="32"/>
      <c r="C223" s="32"/>
      <c r="D223" s="32"/>
      <c r="E223" s="32"/>
      <c r="F223" s="32"/>
      <c r="G223" s="32"/>
      <c r="H223" s="32"/>
      <c r="I223" s="32"/>
      <c r="J223" s="32"/>
      <c r="K223" s="32"/>
      <c r="L223" s="32"/>
      <c r="M223" s="32"/>
      <c r="N223" s="32"/>
      <c r="O223" s="32"/>
      <c r="P223" s="32"/>
      <c r="Q223" s="32"/>
    </row>
    <row r="224" spans="1:17" ht="14" hidden="1">
      <c r="A224" s="32"/>
      <c r="B224" s="32"/>
      <c r="C224" s="32"/>
      <c r="D224" s="32"/>
      <c r="E224" s="32"/>
      <c r="F224" s="32"/>
      <c r="G224" s="32"/>
      <c r="H224" s="32"/>
      <c r="I224" s="32"/>
      <c r="J224" s="32"/>
      <c r="K224" s="32"/>
      <c r="L224" s="32"/>
      <c r="M224" s="32"/>
      <c r="N224" s="32"/>
      <c r="O224" s="32"/>
      <c r="P224" s="32"/>
      <c r="Q224" s="32"/>
    </row>
    <row r="225" spans="1:17" ht="14" hidden="1">
      <c r="A225" s="32"/>
      <c r="B225" s="32"/>
      <c r="C225" s="32"/>
      <c r="D225" s="32"/>
      <c r="E225" s="32"/>
      <c r="F225" s="32"/>
      <c r="G225" s="32"/>
      <c r="H225" s="32"/>
      <c r="I225" s="32"/>
      <c r="J225" s="32"/>
      <c r="K225" s="32"/>
      <c r="L225" s="32"/>
      <c r="M225" s="32"/>
      <c r="N225" s="32"/>
      <c r="O225" s="32"/>
      <c r="P225" s="32"/>
      <c r="Q225" s="32"/>
    </row>
    <row r="226" spans="1:17" ht="14" hidden="1">
      <c r="A226" s="32"/>
      <c r="B226" s="32"/>
      <c r="C226" s="32"/>
      <c r="D226" s="32"/>
      <c r="E226" s="32"/>
      <c r="F226" s="32"/>
      <c r="H226" s="32"/>
      <c r="I226" s="32"/>
      <c r="J226" s="32"/>
      <c r="K226" s="32"/>
      <c r="L226" s="32"/>
      <c r="M226" s="32"/>
      <c r="N226" s="32"/>
      <c r="O226" s="32"/>
      <c r="P226" s="32"/>
      <c r="Q226" s="32"/>
    </row>
    <row r="227" spans="1:17" ht="14" hidden="1">
      <c r="A227" s="32"/>
      <c r="B227" s="32"/>
      <c r="C227" s="32"/>
      <c r="D227" s="32"/>
      <c r="E227" s="32"/>
      <c r="F227" s="32"/>
      <c r="H227" s="32"/>
      <c r="I227" s="32"/>
      <c r="J227" s="32"/>
      <c r="K227" s="32"/>
      <c r="L227" s="32"/>
      <c r="M227" s="32"/>
      <c r="N227" s="32"/>
      <c r="O227" s="32"/>
      <c r="P227" s="32"/>
      <c r="Q227" s="32"/>
    </row>
    <row r="228" spans="1:17" ht="14" hidden="1">
      <c r="A228" s="32"/>
      <c r="B228" s="32"/>
      <c r="C228" s="32"/>
      <c r="D228" s="32"/>
      <c r="E228" s="32"/>
      <c r="F228" s="32"/>
      <c r="H228" s="32"/>
      <c r="I228" s="32"/>
      <c r="J228" s="32"/>
      <c r="K228" s="32"/>
      <c r="L228" s="32"/>
      <c r="M228" s="32"/>
      <c r="N228" s="32"/>
      <c r="O228" s="32"/>
      <c r="P228" s="32"/>
      <c r="Q228" s="32"/>
    </row>
    <row r="229" spans="1:17" ht="14" hidden="1">
      <c r="A229" s="32"/>
      <c r="B229" s="32"/>
      <c r="C229" s="32"/>
      <c r="D229" s="32"/>
      <c r="E229" s="32"/>
      <c r="F229" s="32"/>
      <c r="H229" s="32"/>
      <c r="I229" s="32"/>
      <c r="J229" s="32"/>
      <c r="K229" s="32"/>
      <c r="L229" s="32"/>
      <c r="M229" s="32"/>
      <c r="N229" s="32"/>
      <c r="O229" s="32"/>
      <c r="P229" s="32"/>
      <c r="Q229" s="32"/>
    </row>
    <row r="230" spans="1:17" ht="14" hidden="1">
      <c r="A230" s="32"/>
      <c r="B230" s="32"/>
      <c r="C230" s="32"/>
      <c r="D230" s="32"/>
      <c r="E230" s="32"/>
      <c r="F230" s="32"/>
      <c r="H230" s="32"/>
      <c r="I230" s="32"/>
      <c r="J230" s="32"/>
      <c r="K230" s="32"/>
      <c r="L230" s="32"/>
      <c r="M230" s="32"/>
      <c r="N230" s="32"/>
      <c r="O230" s="32"/>
      <c r="P230" s="32"/>
      <c r="Q230" s="32"/>
    </row>
    <row r="231" spans="1:17" ht="14" hidden="1">
      <c r="A231" s="32"/>
      <c r="B231" s="32"/>
      <c r="C231" s="32"/>
      <c r="D231" s="32"/>
      <c r="E231" s="32"/>
      <c r="F231" s="32"/>
      <c r="H231" s="32"/>
      <c r="I231" s="32"/>
      <c r="J231" s="32"/>
      <c r="K231" s="32"/>
      <c r="L231" s="32"/>
      <c r="M231" s="32"/>
      <c r="N231" s="32"/>
      <c r="O231" s="32"/>
      <c r="P231" s="32"/>
      <c r="Q231" s="32"/>
    </row>
    <row r="232" spans="1:17" ht="14" hidden="1">
      <c r="A232" s="32"/>
      <c r="B232" s="32"/>
      <c r="C232" s="32"/>
      <c r="D232" s="32"/>
      <c r="E232" s="32"/>
      <c r="F232" s="32"/>
      <c r="H232" s="32"/>
      <c r="I232" s="32"/>
      <c r="J232" s="32"/>
      <c r="K232" s="32"/>
      <c r="L232" s="32"/>
      <c r="M232" s="32"/>
      <c r="N232" s="32"/>
      <c r="O232" s="32"/>
      <c r="P232" s="32"/>
      <c r="Q232" s="32"/>
    </row>
    <row r="233" spans="1:17" ht="14" hidden="1">
      <c r="A233" s="32"/>
      <c r="B233" s="32"/>
      <c r="C233" s="32"/>
      <c r="D233" s="32"/>
      <c r="E233" s="32"/>
      <c r="F233" s="32"/>
      <c r="H233" s="32"/>
      <c r="I233" s="32"/>
      <c r="J233" s="32"/>
      <c r="K233" s="32"/>
      <c r="L233" s="32"/>
      <c r="M233" s="32"/>
      <c r="N233" s="32"/>
      <c r="O233" s="32"/>
      <c r="P233" s="32"/>
      <c r="Q233" s="32"/>
    </row>
    <row r="234" spans="1:17" ht="14" hidden="1">
      <c r="A234" s="32"/>
      <c r="B234" s="32"/>
      <c r="C234" s="32"/>
      <c r="D234" s="32"/>
      <c r="E234" s="32"/>
      <c r="F234" s="32"/>
      <c r="H234" s="32"/>
      <c r="I234" s="32"/>
      <c r="J234" s="32"/>
      <c r="K234" s="32"/>
      <c r="L234" s="32"/>
      <c r="M234" s="32"/>
      <c r="N234" s="32"/>
      <c r="O234" s="32"/>
      <c r="P234" s="32"/>
      <c r="Q234" s="32"/>
    </row>
    <row r="235" spans="1:17" ht="14" hidden="1">
      <c r="A235" s="32"/>
      <c r="B235" s="32"/>
      <c r="C235" s="32"/>
      <c r="D235" s="32"/>
      <c r="E235" s="32"/>
      <c r="F235" s="32"/>
      <c r="H235" s="32"/>
      <c r="I235" s="32"/>
      <c r="J235" s="32"/>
      <c r="K235" s="32"/>
      <c r="L235" s="32"/>
      <c r="M235" s="32"/>
      <c r="N235" s="32"/>
      <c r="O235" s="32"/>
      <c r="P235" s="32"/>
      <c r="Q235" s="32"/>
    </row>
    <row r="236" spans="1:17" ht="14" hidden="1">
      <c r="A236" s="32"/>
      <c r="B236" s="32"/>
      <c r="C236" s="32"/>
      <c r="D236" s="32"/>
      <c r="E236" s="32"/>
      <c r="F236" s="32"/>
      <c r="H236" s="32"/>
      <c r="I236" s="32"/>
      <c r="J236" s="32"/>
      <c r="K236" s="32"/>
      <c r="L236" s="32"/>
      <c r="M236" s="32"/>
      <c r="N236" s="32"/>
      <c r="O236" s="32"/>
      <c r="P236" s="32"/>
      <c r="Q236" s="32"/>
    </row>
    <row r="237" spans="1:17" ht="14" hidden="1">
      <c r="A237" s="32"/>
      <c r="B237" s="32"/>
      <c r="C237" s="32"/>
      <c r="D237" s="32"/>
      <c r="E237" s="32"/>
      <c r="F237" s="32"/>
      <c r="H237" s="32"/>
      <c r="I237" s="32"/>
      <c r="J237" s="32"/>
      <c r="K237" s="32"/>
      <c r="L237" s="32"/>
      <c r="M237" s="32"/>
      <c r="N237" s="32"/>
      <c r="O237" s="32"/>
      <c r="P237" s="32"/>
      <c r="Q237" s="32"/>
    </row>
    <row r="238" spans="1:17" ht="14" hidden="1">
      <c r="A238" s="32"/>
      <c r="B238" s="32"/>
      <c r="C238" s="32"/>
      <c r="D238" s="32"/>
      <c r="E238" s="32"/>
      <c r="F238" s="32"/>
      <c r="H238" s="32"/>
      <c r="I238" s="32"/>
      <c r="J238" s="32"/>
      <c r="K238" s="32"/>
      <c r="L238" s="32"/>
      <c r="M238" s="32"/>
      <c r="N238" s="32"/>
      <c r="O238" s="32"/>
      <c r="P238" s="32"/>
      <c r="Q238" s="32"/>
    </row>
    <row r="239" spans="1:17" ht="14" hidden="1">
      <c r="A239" s="32"/>
      <c r="B239" s="32"/>
      <c r="C239" s="32"/>
      <c r="D239" s="32"/>
      <c r="E239" s="32"/>
      <c r="F239" s="32"/>
      <c r="H239" s="32"/>
      <c r="I239" s="32"/>
      <c r="J239" s="32"/>
      <c r="K239" s="32"/>
      <c r="L239" s="32"/>
      <c r="M239" s="32"/>
      <c r="N239" s="32"/>
      <c r="O239" s="32"/>
      <c r="P239" s="32"/>
      <c r="Q239" s="32"/>
    </row>
    <row r="240" spans="1:17" ht="14" hidden="1">
      <c r="A240" s="32"/>
      <c r="B240" s="32"/>
      <c r="C240" s="32"/>
      <c r="D240" s="32"/>
      <c r="E240" s="32"/>
      <c r="F240" s="32"/>
      <c r="H240" s="32"/>
      <c r="I240" s="32"/>
      <c r="J240" s="32"/>
      <c r="K240" s="32"/>
      <c r="L240" s="32"/>
      <c r="M240" s="32"/>
      <c r="N240" s="32"/>
      <c r="O240" s="32"/>
      <c r="P240" s="32"/>
      <c r="Q240" s="32"/>
    </row>
    <row r="241" spans="1:17" ht="14" hidden="1">
      <c r="A241" s="32"/>
      <c r="B241" s="32"/>
      <c r="C241" s="32"/>
      <c r="D241" s="32"/>
      <c r="E241" s="32"/>
      <c r="F241" s="32"/>
      <c r="H241" s="32"/>
      <c r="I241" s="32"/>
      <c r="J241" s="32"/>
      <c r="K241" s="32"/>
      <c r="L241" s="32"/>
      <c r="M241" s="32"/>
      <c r="N241" s="32"/>
      <c r="O241" s="32"/>
      <c r="P241" s="32"/>
      <c r="Q241" s="32"/>
    </row>
    <row r="242" spans="1:17" ht="14" hidden="1">
      <c r="A242" s="32"/>
      <c r="B242" s="32"/>
      <c r="C242" s="32"/>
      <c r="D242" s="32"/>
      <c r="E242" s="32"/>
      <c r="F242" s="32"/>
      <c r="H242" s="32"/>
      <c r="I242" s="32"/>
      <c r="J242" s="32"/>
      <c r="K242" s="32"/>
      <c r="L242" s="32"/>
      <c r="M242" s="32"/>
      <c r="N242" s="32"/>
      <c r="O242" s="32"/>
      <c r="P242" s="32"/>
      <c r="Q242" s="32"/>
    </row>
    <row r="243" spans="1:17" ht="14" hidden="1">
      <c r="A243" s="32"/>
      <c r="B243" s="32"/>
      <c r="C243" s="32"/>
      <c r="D243" s="32"/>
      <c r="E243" s="32"/>
      <c r="F243" s="32"/>
      <c r="H243" s="32"/>
      <c r="I243" s="32"/>
      <c r="J243" s="32"/>
      <c r="K243" s="32"/>
      <c r="L243" s="32"/>
      <c r="M243" s="32"/>
      <c r="N243" s="32"/>
      <c r="O243" s="32"/>
      <c r="P243" s="32"/>
      <c r="Q243" s="32"/>
    </row>
    <row r="244" spans="1:17" ht="14" hidden="1">
      <c r="A244" s="32"/>
      <c r="B244" s="32"/>
      <c r="C244" s="32"/>
      <c r="D244" s="32"/>
      <c r="E244" s="32"/>
      <c r="F244" s="32"/>
      <c r="H244" s="32"/>
      <c r="I244" s="32"/>
      <c r="J244" s="32"/>
      <c r="K244" s="32"/>
      <c r="L244" s="32"/>
      <c r="M244" s="32"/>
      <c r="N244" s="32"/>
      <c r="O244" s="32"/>
      <c r="P244" s="32"/>
      <c r="Q244" s="32"/>
    </row>
    <row r="245" spans="1:17" ht="14" hidden="1">
      <c r="A245" s="32"/>
      <c r="B245" s="32"/>
      <c r="C245" s="32"/>
      <c r="D245" s="32"/>
      <c r="E245" s="32"/>
      <c r="F245" s="32"/>
      <c r="H245" s="32"/>
      <c r="I245" s="32"/>
      <c r="J245" s="32"/>
      <c r="K245" s="32"/>
      <c r="L245" s="32"/>
      <c r="M245" s="32"/>
      <c r="N245" s="32"/>
      <c r="O245" s="32"/>
      <c r="P245" s="32"/>
      <c r="Q245" s="32"/>
    </row>
    <row r="246" spans="1:17" ht="14" hidden="1">
      <c r="A246" s="32"/>
      <c r="B246" s="32"/>
      <c r="C246" s="32"/>
      <c r="D246" s="32"/>
      <c r="E246" s="32"/>
      <c r="F246" s="32"/>
      <c r="H246" s="32"/>
      <c r="I246" s="32"/>
      <c r="J246" s="32"/>
      <c r="K246" s="32"/>
      <c r="L246" s="32"/>
      <c r="M246" s="32"/>
      <c r="N246" s="32"/>
      <c r="O246" s="32"/>
      <c r="P246" s="32"/>
      <c r="Q246" s="32"/>
    </row>
    <row r="247" spans="1:17" ht="14" hidden="1">
      <c r="A247" s="32"/>
      <c r="B247" s="32"/>
      <c r="C247" s="32"/>
      <c r="D247" s="32"/>
      <c r="E247" s="32"/>
      <c r="F247" s="32"/>
      <c r="H247" s="32"/>
      <c r="I247" s="32"/>
      <c r="J247" s="32"/>
      <c r="K247" s="32"/>
      <c r="L247" s="32"/>
      <c r="M247" s="32"/>
      <c r="N247" s="32"/>
      <c r="O247" s="32"/>
      <c r="P247" s="32"/>
      <c r="Q247" s="32"/>
    </row>
    <row r="248" spans="1:17" ht="14" hidden="1">
      <c r="A248" s="32"/>
      <c r="B248" s="32"/>
      <c r="C248" s="32"/>
      <c r="D248" s="32"/>
      <c r="E248" s="32"/>
      <c r="F248" s="32"/>
      <c r="H248" s="32"/>
      <c r="I248" s="32"/>
      <c r="J248" s="32"/>
      <c r="K248" s="32"/>
      <c r="L248" s="32"/>
      <c r="M248" s="32"/>
      <c r="N248" s="32"/>
      <c r="O248" s="32"/>
      <c r="P248" s="32"/>
      <c r="Q248" s="32"/>
    </row>
    <row r="249" spans="1:17" ht="14" hidden="1">
      <c r="A249" s="32"/>
      <c r="B249" s="32"/>
      <c r="C249" s="32"/>
      <c r="D249" s="32"/>
      <c r="E249" s="32"/>
      <c r="F249" s="32"/>
      <c r="H249" s="32"/>
      <c r="I249" s="32"/>
      <c r="J249" s="32"/>
      <c r="K249" s="32"/>
      <c r="L249" s="32"/>
      <c r="M249" s="32"/>
      <c r="N249" s="32"/>
      <c r="O249" s="32"/>
      <c r="P249" s="32"/>
      <c r="Q249" s="32"/>
    </row>
    <row r="250" spans="1:17" ht="14" hidden="1">
      <c r="A250" s="32"/>
      <c r="B250" s="32"/>
      <c r="C250" s="32"/>
      <c r="D250" s="32"/>
      <c r="E250" s="32"/>
      <c r="F250" s="32"/>
      <c r="H250" s="32"/>
      <c r="K250" s="32"/>
      <c r="L250" s="32"/>
      <c r="M250" s="32"/>
      <c r="N250" s="32"/>
      <c r="O250" s="32"/>
      <c r="P250" s="32"/>
      <c r="Q250" s="32"/>
    </row>
    <row r="251" spans="1:17" ht="14" hidden="1">
      <c r="A251" s="32"/>
      <c r="B251" s="32"/>
      <c r="C251" s="32"/>
      <c r="D251" s="32"/>
      <c r="E251" s="32"/>
      <c r="F251" s="32"/>
      <c r="H251" s="32"/>
      <c r="K251" s="32"/>
      <c r="L251" s="32"/>
      <c r="M251" s="32"/>
      <c r="N251" s="32"/>
      <c r="O251" s="32"/>
      <c r="P251" s="32"/>
      <c r="Q251" s="32"/>
    </row>
    <row r="252" spans="1:17" ht="14" hidden="1">
      <c r="A252" s="32"/>
      <c r="B252" s="32"/>
      <c r="C252" s="32"/>
      <c r="D252" s="32"/>
      <c r="E252" s="32"/>
      <c r="F252" s="32"/>
      <c r="H252" s="32"/>
      <c r="K252" s="32"/>
      <c r="L252" s="32"/>
      <c r="M252" s="32"/>
      <c r="N252" s="32"/>
      <c r="O252" s="32"/>
      <c r="P252" s="32"/>
      <c r="Q252" s="32"/>
    </row>
    <row r="253" spans="1:17" ht="14" hidden="1">
      <c r="A253" s="32"/>
      <c r="B253" s="32"/>
      <c r="C253" s="32"/>
      <c r="D253" s="32"/>
      <c r="E253" s="32"/>
      <c r="F253" s="32"/>
      <c r="H253" s="32"/>
      <c r="K253" s="32"/>
      <c r="L253" s="32"/>
      <c r="M253" s="32"/>
      <c r="N253" s="32"/>
      <c r="O253" s="32"/>
      <c r="P253" s="32"/>
      <c r="Q253" s="32"/>
    </row>
    <row r="254" spans="1:17" ht="14" hidden="1">
      <c r="A254" s="32"/>
      <c r="B254" s="32"/>
      <c r="C254" s="32"/>
      <c r="D254" s="32"/>
      <c r="E254" s="32"/>
      <c r="F254" s="32"/>
      <c r="H254" s="32"/>
      <c r="K254" s="32"/>
      <c r="L254" s="32"/>
      <c r="M254" s="32"/>
      <c r="N254" s="32"/>
      <c r="O254" s="32"/>
      <c r="P254" s="32"/>
      <c r="Q254" s="32"/>
    </row>
    <row r="255" spans="1:17" ht="14" hidden="1">
      <c r="A255" s="32"/>
      <c r="B255" s="32"/>
      <c r="C255" s="32"/>
      <c r="D255" s="32"/>
      <c r="E255" s="32"/>
      <c r="F255" s="32"/>
      <c r="H255" s="32"/>
      <c r="K255" s="32"/>
      <c r="L255" s="32"/>
      <c r="M255" s="32"/>
      <c r="N255" s="32"/>
      <c r="O255" s="32"/>
      <c r="P255" s="32"/>
      <c r="Q255" s="32"/>
    </row>
    <row r="256" spans="1:17" ht="14" hidden="1">
      <c r="A256" s="32"/>
      <c r="B256" s="32"/>
      <c r="C256" s="32"/>
      <c r="D256" s="32"/>
      <c r="E256" s="32"/>
      <c r="F256" s="32"/>
      <c r="H256" s="32"/>
      <c r="K256" s="32"/>
      <c r="L256" s="32"/>
      <c r="M256" s="32"/>
      <c r="N256" s="32"/>
      <c r="O256" s="32"/>
      <c r="P256" s="32"/>
      <c r="Q256" s="32"/>
    </row>
    <row r="257" spans="1:17" ht="14" hidden="1">
      <c r="A257" s="32"/>
      <c r="B257" s="32"/>
      <c r="C257" s="32"/>
      <c r="D257" s="32"/>
      <c r="E257" s="32"/>
      <c r="F257" s="32"/>
      <c r="H257" s="32"/>
      <c r="K257" s="32"/>
      <c r="L257" s="32"/>
      <c r="M257" s="32"/>
      <c r="N257" s="32"/>
      <c r="O257" s="32"/>
      <c r="P257" s="32"/>
      <c r="Q257" s="32"/>
    </row>
    <row r="258" spans="1:17" ht="14" hidden="1">
      <c r="A258" s="32"/>
      <c r="B258" s="32"/>
      <c r="C258" s="32"/>
      <c r="D258" s="32"/>
      <c r="E258" s="32"/>
      <c r="F258" s="32"/>
      <c r="H258" s="32"/>
      <c r="K258" s="32"/>
      <c r="L258" s="32"/>
      <c r="M258" s="32"/>
      <c r="N258" s="32"/>
      <c r="O258" s="32"/>
      <c r="P258" s="32"/>
      <c r="Q258" s="32"/>
    </row>
    <row r="259" spans="1:17" ht="14" hidden="1">
      <c r="A259" s="32"/>
      <c r="B259" s="32"/>
      <c r="C259" s="32"/>
      <c r="D259" s="32"/>
      <c r="E259" s="32"/>
      <c r="F259" s="32"/>
      <c r="H259" s="32"/>
      <c r="K259" s="32"/>
      <c r="L259" s="32"/>
      <c r="M259" s="32"/>
      <c r="N259" s="32"/>
      <c r="O259" s="32"/>
      <c r="P259" s="32"/>
      <c r="Q259" s="32"/>
    </row>
    <row r="260" spans="1:17" ht="14" hidden="1">
      <c r="A260" s="32"/>
      <c r="B260" s="32"/>
      <c r="C260" s="32"/>
      <c r="D260" s="32"/>
      <c r="E260" s="32"/>
      <c r="F260" s="32"/>
      <c r="H260" s="32"/>
      <c r="K260" s="32"/>
      <c r="L260" s="32"/>
      <c r="M260" s="32"/>
      <c r="N260" s="32"/>
      <c r="O260" s="32"/>
      <c r="P260" s="32"/>
      <c r="Q260" s="32"/>
    </row>
    <row r="261" spans="1:17" ht="14" hidden="1">
      <c r="A261" s="32"/>
      <c r="B261" s="32"/>
      <c r="C261" s="32"/>
      <c r="D261" s="32"/>
      <c r="E261" s="32"/>
      <c r="F261" s="32"/>
      <c r="H261" s="32"/>
      <c r="K261" s="32"/>
      <c r="L261" s="32"/>
      <c r="M261" s="32"/>
      <c r="N261" s="32"/>
      <c r="O261" s="32"/>
      <c r="P261" s="32"/>
      <c r="Q261" s="32"/>
    </row>
    <row r="262" spans="1:17" ht="14" hidden="1">
      <c r="A262" s="32"/>
      <c r="B262" s="32"/>
      <c r="C262" s="32"/>
      <c r="D262" s="32"/>
      <c r="E262" s="32"/>
      <c r="F262" s="32"/>
      <c r="H262" s="32"/>
      <c r="K262" s="32"/>
      <c r="L262" s="32"/>
      <c r="M262" s="32"/>
      <c r="N262" s="32"/>
      <c r="O262" s="32"/>
      <c r="P262" s="32"/>
      <c r="Q262" s="32"/>
    </row>
    <row r="263" spans="1:1" ht="14" hidden="1">
      <c r="A263" s="32"/>
    </row>
    <row r="264" spans="1:1" ht="14" hidden="1">
      <c r="A264" s="32"/>
    </row>
    <row r="265" spans="1:1" ht="14" hidden="1">
      <c r="A265" s="32"/>
    </row>
    <row r="266" spans="1:1" ht="14" hidden="1">
      <c r="A266" s="32"/>
    </row>
    <row r="267" spans="1:1" ht="14" hidden="1">
      <c r="A267" s="32"/>
    </row>
    <row r="268" spans="1:1" ht="14" hidden="1">
      <c r="A268" s="32"/>
    </row>
    <row r="269" spans="1:1" ht="14" hidden="1">
      <c r="A269" s="32"/>
    </row>
    <row r="270" spans="1:1" ht="14" hidden="1">
      <c r="A270" s="32"/>
    </row>
    <row r="271" spans="1:1" ht="14" hidden="1">
      <c r="A271" s="32"/>
    </row>
    <row r="272" spans="1:1" ht="14" hidden="1">
      <c r="A272" s="32"/>
    </row>
    <row r="273" spans="1:1" ht="14" hidden="1">
      <c r="A273" s="32"/>
    </row>
    <row r="274" spans="1:1" ht="14" hidden="1">
      <c r="A274" s="32"/>
    </row>
    <row r="275" spans="1:1" ht="14" hidden="1">
      <c r="A275" s="32"/>
    </row>
    <row r="276" spans="1:1" ht="14" hidden="1">
      <c r="A276" s="32"/>
    </row>
    <row r="277" spans="1:1" ht="14" hidden="1">
      <c r="A277" s="32"/>
    </row>
    <row r="278" spans="1:1" ht="14" hidden="1">
      <c r="A278" s="32"/>
    </row>
    <row r="279" spans="1:1" ht="14" hidden="1">
      <c r="A279" s="32"/>
    </row>
    <row r="280" spans="1:1" ht="14" hidden="1">
      <c r="A280" s="32"/>
    </row>
    <row r="281" spans="1:1" ht="14" hidden="1">
      <c r="A281" s="32"/>
    </row>
    <row r="282" spans="1:1" ht="14" hidden="1">
      <c r="A282" s="32"/>
    </row>
    <row r="283" spans="1:1" ht="14" hidden="1">
      <c r="A283" s="32"/>
    </row>
    <row r="284" spans="1:1" ht="14" hidden="1">
      <c r="A284" s="32"/>
    </row>
    <row r="285" spans="1:1" ht="14" hidden="1">
      <c r="A285" s="32"/>
    </row>
    <row r="286" spans="1:1" ht="14" hidden="1">
      <c r="A286" s="32"/>
    </row>
    <row r="287" spans="1:1" ht="14" hidden="1">
      <c r="A287" s="32"/>
    </row>
    <row r="288" spans="1:1" ht="14" hidden="1">
      <c r="A288" s="32"/>
    </row>
    <row r="289" spans="1:1" ht="14" hidden="1">
      <c r="A289" s="32"/>
    </row>
    <row r="290" spans="1:1" ht="14" hidden="1">
      <c r="A290" s="32"/>
    </row>
    <row r="291" spans="1:1" ht="14" hidden="1">
      <c r="A291" s="32"/>
    </row>
    <row r="292" spans="1:1" ht="14" hidden="1">
      <c r="A292" s="32"/>
    </row>
    <row r="293" spans="1:1" ht="14" hidden="1">
      <c r="A293" s="32"/>
    </row>
    <row r="294" spans="1:1" ht="14" hidden="1">
      <c r="A294" s="32"/>
    </row>
    <row r="295" spans="1:1" ht="14" hidden="1">
      <c r="A295" s="32"/>
    </row>
    <row r="296" spans="1:1" ht="14" hidden="1">
      <c r="A296" s="32"/>
    </row>
    <row r="297" spans="1:1" ht="14" hidden="1">
      <c r="A297" s="32"/>
    </row>
    <row r="298" spans="1:1" ht="14" hidden="1">
      <c r="A298" s="32"/>
    </row>
    <row r="299" spans="1:1" ht="14" hidden="1">
      <c r="A299" s="32"/>
    </row>
    <row r="300" spans="1:1" ht="14" hidden="1">
      <c r="A300" s="32"/>
    </row>
    <row r="301" spans="1:1" ht="14" hidden="1">
      <c r="A301" s="32"/>
    </row>
    <row r="302" spans="1:1" ht="14" hidden="1">
      <c r="A302" s="32"/>
    </row>
    <row r="303" ht="14"/>
    <row r="304" ht="14"/>
    <row r="305" ht="14"/>
    <row r="306" ht="14"/>
    <row r="307" ht="14"/>
    <row r="308" ht="14"/>
    <row r="309" ht="14"/>
    <row r="310" ht="14"/>
  </sheetData>
  <sheetProtection algorithmName="SHA-512" hashValue="jh+hB1k6A9wXM9A8bRjMFMUfaEid6lRVGQ5Aq/xT/7niyNWt4I/A3VVfyKlAp6A4mcZZPGZRr12bB8xI+2epzw==" saltValue="qNwKhEoSwiPOgPknk0xzhA==" spinCount="100000" sheet="1" objects="1" scenarios="1"/>
  <customSheetViews>
    <customSheetView guid="{8bda793c-c9c5-4fc6-a0a5-f1109f6d4f22}" state="hidden" topLeftCell="A81">
      <selection pane="topLeft" activeCell="D14" sqref="D14"/>
      <pageMargins left="0.75" right="0.75" top="1" bottom="1" header="0.5" footer="0.5"/>
    </customSheetView>
  </customSheetViews>
  <mergeCells count="81">
    <mergeCell ref="F163:G163"/>
    <mergeCell ref="J11:L11"/>
    <mergeCell ref="J39:L39"/>
    <mergeCell ref="J87:L87"/>
    <mergeCell ref="F158:G158"/>
    <mergeCell ref="F159:G159"/>
    <mergeCell ref="F160:G160"/>
    <mergeCell ref="F161:G161"/>
    <mergeCell ref="F162:G162"/>
    <mergeCell ref="F153:G153"/>
    <mergeCell ref="F154:G154"/>
    <mergeCell ref="F155:G155"/>
    <mergeCell ref="F156:G156"/>
    <mergeCell ref="F157:G157"/>
    <mergeCell ref="F148:G148"/>
    <mergeCell ref="F149:G149"/>
    <mergeCell ref="F150:G150"/>
    <mergeCell ref="F151:G151"/>
    <mergeCell ref="F152:G152"/>
    <mergeCell ref="F143:G143"/>
    <mergeCell ref="F144:G144"/>
    <mergeCell ref="F145:G145"/>
    <mergeCell ref="F146:G146"/>
    <mergeCell ref="F147:G147"/>
    <mergeCell ref="F138:G138"/>
    <mergeCell ref="F139:G139"/>
    <mergeCell ref="F140:G140"/>
    <mergeCell ref="F141:G141"/>
    <mergeCell ref="F142:G142"/>
    <mergeCell ref="F133:G133"/>
    <mergeCell ref="F134:G134"/>
    <mergeCell ref="F135:G135"/>
    <mergeCell ref="F136:G136"/>
    <mergeCell ref="F137:G137"/>
    <mergeCell ref="F128:G128"/>
    <mergeCell ref="F129:G129"/>
    <mergeCell ref="F130:G130"/>
    <mergeCell ref="F131:G131"/>
    <mergeCell ref="F132:G132"/>
    <mergeCell ref="H113:H115"/>
    <mergeCell ref="F125:G125"/>
    <mergeCell ref="F126:G126"/>
    <mergeCell ref="F127:G127"/>
    <mergeCell ref="F124:H124"/>
    <mergeCell ref="G40:H40"/>
    <mergeCell ref="H103:H104"/>
    <mergeCell ref="H106:H107"/>
    <mergeCell ref="H108:H109"/>
    <mergeCell ref="H110:H112"/>
    <mergeCell ref="H96:H102"/>
    <mergeCell ref="G83:H83"/>
    <mergeCell ref="B87:H87"/>
    <mergeCell ref="G88:H88"/>
    <mergeCell ref="H89:H92"/>
    <mergeCell ref="H93:H95"/>
    <mergeCell ref="B39:H39"/>
    <mergeCell ref="B3:B4"/>
    <mergeCell ref="C3:F4"/>
    <mergeCell ref="C5:F5"/>
    <mergeCell ref="C6:F6"/>
    <mergeCell ref="C7:F7"/>
    <mergeCell ref="C8:F8"/>
    <mergeCell ref="G6:H6"/>
    <mergeCell ref="G7:H7"/>
    <mergeCell ref="G8:H8"/>
    <mergeCell ref="J122:L122"/>
    <mergeCell ref="B122:H123"/>
    <mergeCell ref="B2:H2"/>
    <mergeCell ref="G3:H4"/>
    <mergeCell ref="G5:H5"/>
    <mergeCell ref="G110:G112"/>
    <mergeCell ref="G113:G115"/>
    <mergeCell ref="G89:G92"/>
    <mergeCell ref="G93:G95"/>
    <mergeCell ref="G96:G102"/>
    <mergeCell ref="G103:G104"/>
    <mergeCell ref="G106:G107"/>
    <mergeCell ref="G108:G109"/>
    <mergeCell ref="B11:H11"/>
    <mergeCell ref="G12:H12"/>
    <mergeCell ref="G33:H33"/>
  </mergeCells>
  <conditionalFormatting sqref="K12">
    <cfRule type="cellIs" priority="88" dxfId="1282" operator="greaterThan">
      <formula>0</formula>
    </cfRule>
    <cfRule type="cellIs" priority="89" dxfId="1257" operator="lessThan">
      <formula>0</formula>
    </cfRule>
  </conditionalFormatting>
  <conditionalFormatting sqref="K41">
    <cfRule type="cellIs" priority="81" dxfId="1282" operator="greaterThan">
      <formula>0</formula>
    </cfRule>
    <cfRule type="cellIs" priority="84" dxfId="1273" operator="lessThan">
      <formula>0</formula>
    </cfRule>
  </conditionalFormatting>
  <conditionalFormatting sqref="K40">
    <cfRule type="cellIs" priority="82" dxfId="1282" operator="greaterThan">
      <formula>0</formula>
    </cfRule>
    <cfRule type="cellIs" priority="83" dxfId="1257" operator="lessThan">
      <formula>0</formula>
    </cfRule>
  </conditionalFormatting>
  <conditionalFormatting sqref="K88 K90 K123:K124">
    <cfRule type="cellIs" priority="56" dxfId="1282" operator="greaterThan">
      <formula>0</formula>
    </cfRule>
  </conditionalFormatting>
  <conditionalFormatting sqref="G5:G8">
    <cfRule type="containsText" priority="85" dxfId="1282" operator="containsText" text="Yes">
      <formula>NOT(ISERROR(SEARCH("Yes",G5)))</formula>
    </cfRule>
    <cfRule type="containsText" priority="86" dxfId="1273" operator="containsText" text="No">
      <formula>NOT(ISERROR(SEARCH("No",G5)))</formula>
    </cfRule>
  </conditionalFormatting>
  <conditionalFormatting sqref="K89">
    <cfRule type="cellIs" priority="52" dxfId="1281" operator="lessThan">
      <formula>0</formula>
    </cfRule>
  </conditionalFormatting>
  <conditionalFormatting sqref="B89:F115 B125:F162">
    <cfRule type="expression" priority="36" dxfId="1282">
      <formula>$F89&gt;0</formula>
    </cfRule>
    <cfRule type="expression" priority="37" dxfId="1281">
      <formula>$F89&lt;0</formula>
    </cfRule>
  </conditionalFormatting>
  <conditionalFormatting sqref="G89:G105 G110:G115">
    <cfRule type="expression" priority="34" dxfId="1282">
      <formula>$G89&gt;0</formula>
    </cfRule>
    <cfRule type="expression" priority="35" dxfId="1281">
      <formula>$G89&lt;0</formula>
    </cfRule>
  </conditionalFormatting>
  <conditionalFormatting sqref="B13:G32">
    <cfRule type="expression" priority="28" dxfId="1282">
      <formula>$F13&gt;0</formula>
    </cfRule>
    <cfRule type="expression" priority="29" dxfId="1273">
      <formula>$F13&lt;0</formula>
    </cfRule>
  </conditionalFormatting>
  <conditionalFormatting sqref="G106 G108">
    <cfRule type="expression" priority="24" dxfId="1282">
      <formula>$G106&gt;0</formula>
    </cfRule>
    <cfRule type="expression" priority="25" dxfId="1281">
      <formula>$G106&lt;0</formula>
    </cfRule>
  </conditionalFormatting>
  <conditionalFormatting sqref="K13">
    <cfRule type="cellIs" priority="20" dxfId="1120" operator="greaterThan">
      <formula>0</formula>
    </cfRule>
    <cfRule type="cellIs" priority="21" dxfId="1273" operator="lessThan">
      <formula>0</formula>
    </cfRule>
  </conditionalFormatting>
  <conditionalFormatting sqref="H13:H86 H89 H93 H96 H103 H105:H106 H108 H110 H113 H116:H121 H164:H200">
    <cfRule type="containsText" priority="18" dxfId="1273" operator="containsText" text="▲">
      <formula>NOT(ISERROR(SEARCH("▲",H13)))</formula>
    </cfRule>
    <cfRule type="containsText" priority="19" dxfId="1120" operator="containsText" text="✓">
      <formula>NOT(ISERROR(SEARCH("✓",H13)))</formula>
    </cfRule>
  </conditionalFormatting>
  <conditionalFormatting sqref="H89:H115">
    <cfRule type="containsText" priority="17" dxfId="1116" operator="containsText" text="⚠">
      <formula>NOT(ISERROR(SEARCH("⚠",H89)))</formula>
    </cfRule>
  </conditionalFormatting>
  <conditionalFormatting sqref="L12:L38 L40:L86 L88:L90 L92:L121 L123:L200">
    <cfRule type="containsText" priority="14" dxfId="1273" operator="containsText" text="▲">
      <formula>NOT(ISERROR(SEARCH("▲",L12)))</formula>
    </cfRule>
    <cfRule type="containsText" priority="15" dxfId="1282" operator="containsText" text="✓">
      <formula>NOT(ISERROR(SEARCH("✓",L12)))</formula>
    </cfRule>
    <cfRule type="containsText" priority="16" dxfId="1116" operator="containsText" text="⚠">
      <formula>NOT(ISERROR(SEARCH("⚠",L12)))</formula>
    </cfRule>
  </conditionalFormatting>
  <conditionalFormatting sqref="K125">
    <cfRule type="cellIs" priority="12" dxfId="1273" operator="lessThan">
      <formula>0</formula>
    </cfRule>
    <cfRule type="cellIs" priority="13" dxfId="1282" operator="greaterThan">
      <formula>0</formula>
    </cfRule>
  </conditionalFormatting>
  <conditionalFormatting sqref="H125:H162">
    <cfRule type="containsText" priority="10" dxfId="1282" operator="containsText" text="✓">
      <formula>NOT(ISERROR(SEARCH("✓",H125)))</formula>
    </cfRule>
    <cfRule type="containsText" priority="11" dxfId="1281" operator="containsText" text="⚠">
      <formula>NOT(ISERROR(SEARCH("⚠",H125)))</formula>
    </cfRule>
  </conditionalFormatting>
  <conditionalFormatting sqref="B41:G82">
    <cfRule type="expression" priority="2" dxfId="1108">
      <formula>$F41&gt;0</formula>
    </cfRule>
    <cfRule type="expression" priority="3" dxfId="1273">
      <formula>$F41&lt;0</formula>
    </cfRule>
  </conditionalFormatting>
  <conditionalFormatting sqref="D41:G82">
    <cfRule type="expression" priority="4" dxfId="1106">
      <formula>$G41=""</formula>
    </cfRule>
  </conditionalFormatting>
  <conditionalFormatting sqref="K88 K123:K124">
    <cfRule type="cellIs" priority="55" dxfId="1257" operator="lessThan">
      <formula>0</formula>
    </cfRule>
  </conditionalFormatting>
  <conditionalFormatting sqref="K90">
    <cfRule type="cellIs" priority="1" dxfId="1273" operator="lessThan">
      <formula>0</formula>
    </cfRule>
  </conditionalFormatting>
  <pageMargins left="0.7" right="0.7" top="0.75" bottom="0.75" header="0.3" footer="0.3"/>
  <pageSetup orientation="portrait" paperSize="9"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Q163"/>
  <sheetViews>
    <sheetView showGridLines="0" zoomScale="80" zoomScaleNormal="80" workbookViewId="0" topLeftCell="A1">
      <selection pane="topLeft" activeCell="G30" sqref="G30"/>
    </sheetView>
  </sheetViews>
  <sheetFormatPr defaultColWidth="0" defaultRowHeight="32.9" customHeight="1" zeroHeight="1"/>
  <cols>
    <col min="1" max="1" width="18.4285714285714" style="30" customWidth="1"/>
    <col min="2" max="2" width="91.4285714285714" style="30" customWidth="1"/>
    <col min="3" max="3" width="24.4285714285714" style="30" bestFit="1" customWidth="1"/>
    <col min="4" max="5" width="16.4285714285714" style="30" customWidth="1"/>
    <col min="6" max="6" width="18.4285714285714" style="30" customWidth="1"/>
    <col min="7" max="7" width="31" style="30" customWidth="1"/>
    <col min="8" max="8" width="27.5714285714286" style="30" customWidth="1"/>
    <col min="9" max="9" width="30.5714285714286" style="30" customWidth="1"/>
    <col min="10" max="10" width="10.5714285714286" style="30" customWidth="1"/>
    <col min="11" max="11" width="2" style="30" customWidth="1"/>
    <col min="12" max="12" width="2.57142857142857" style="30" customWidth="1"/>
    <col min="13" max="13" width="4.42857142857143" style="30" customWidth="1"/>
    <col min="14" max="16" width="9.42857142857143" style="30" customWidth="1"/>
    <col min="17" max="17" width="10.5714285714286" style="30" customWidth="1"/>
    <col min="18" max="18" width="9.42857142857143" style="30" customWidth="1"/>
    <col min="19" max="16384" width="13.4285714285714" style="30" hidden="1"/>
  </cols>
  <sheetData>
    <row r="1" spans="1:17" ht="15" thickBot="1">
      <c r="A1" s="256"/>
      <c r="B1" s="32"/>
      <c r="C1" s="32"/>
      <c r="D1" s="32"/>
      <c r="E1" s="32"/>
      <c r="G1" s="32"/>
      <c r="H1" s="32"/>
      <c r="I1" s="32"/>
      <c r="J1" s="32"/>
      <c r="K1" s="32"/>
      <c r="L1" s="32"/>
      <c r="M1" s="32"/>
      <c r="N1" s="32"/>
      <c r="O1" s="32"/>
      <c r="P1" s="32"/>
      <c r="Q1" s="32"/>
    </row>
    <row r="2" spans="1:17" ht="25.5" thickBot="1">
      <c r="A2" s="32"/>
      <c r="B2" s="1416" t="s">
        <v>188</v>
      </c>
      <c r="C2" s="1417"/>
      <c r="D2" s="1417"/>
      <c r="E2" s="1417"/>
      <c r="F2" s="1417"/>
      <c r="G2" s="1418"/>
      <c r="H2" s="840"/>
      <c r="I2" s="32"/>
      <c r="J2" s="32"/>
      <c r="K2" s="32"/>
      <c r="L2" s="32"/>
      <c r="M2" s="32"/>
      <c r="N2" s="32"/>
      <c r="O2" s="32"/>
      <c r="P2" s="32"/>
      <c r="Q2" s="32"/>
    </row>
    <row r="3" spans="1:17" ht="15" customHeight="1">
      <c r="A3" s="32"/>
      <c r="B3" s="1419" t="s">
        <v>189</v>
      </c>
      <c r="C3" s="1428" t="s">
        <v>190</v>
      </c>
      <c r="D3" s="1436"/>
      <c r="E3" s="1437"/>
      <c r="F3" s="1428" t="s">
        <v>191</v>
      </c>
      <c r="G3" s="1429"/>
      <c r="H3" s="39"/>
      <c r="I3" s="174"/>
      <c r="J3" s="174"/>
      <c r="K3" s="174"/>
      <c r="L3" s="32"/>
      <c r="M3" s="32"/>
      <c r="N3" s="32"/>
      <c r="O3" s="32"/>
      <c r="P3" s="32"/>
      <c r="Q3" s="32"/>
    </row>
    <row r="4" spans="1:17" ht="14.25" customHeight="1">
      <c r="A4" s="32"/>
      <c r="B4" s="1385"/>
      <c r="C4" s="1430"/>
      <c r="D4" s="1438"/>
      <c r="E4" s="1439"/>
      <c r="F4" s="1430"/>
      <c r="G4" s="1431"/>
      <c r="H4" s="39"/>
      <c r="I4" s="174"/>
      <c r="J4" s="174"/>
      <c r="K4" s="174"/>
      <c r="L4" s="32"/>
      <c r="M4" s="32"/>
      <c r="N4" s="32"/>
      <c r="O4" s="32"/>
      <c r="P4" s="32"/>
      <c r="Q4" s="32"/>
    </row>
    <row r="5" spans="1:17" ht="20">
      <c r="A5" s="32"/>
      <c r="B5" s="86" t="s">
        <v>192</v>
      </c>
      <c r="C5" s="1440" t="s">
        <v>225</v>
      </c>
      <c r="D5" s="1441"/>
      <c r="E5" s="1442"/>
      <c r="F5" s="1432" t="str">
        <f>IFERROR(IF(I14&lt;0,"No ▲","Yes ✓"),"")</f>
        <v>Yes ✓</v>
      </c>
      <c r="G5" s="1433"/>
      <c r="H5" s="39"/>
      <c r="I5" s="174"/>
      <c r="J5" s="174"/>
      <c r="K5" s="174"/>
      <c r="L5" s="32"/>
      <c r="M5" s="32"/>
      <c r="N5" s="32"/>
      <c r="O5" s="32"/>
      <c r="P5" s="32"/>
      <c r="Q5" s="32"/>
    </row>
    <row r="6" spans="1:17" ht="20">
      <c r="A6" s="32"/>
      <c r="B6" s="86" t="s">
        <v>194</v>
      </c>
      <c r="C6" s="1443" t="s">
        <v>226</v>
      </c>
      <c r="D6" s="1444"/>
      <c r="E6" s="1445"/>
      <c r="F6" s="1432" t="str">
        <f>IF(I22+I13&lt;0,"No ▲","Yes ✓")</f>
        <v>Yes ✓</v>
      </c>
      <c r="G6" s="1433"/>
      <c r="H6" s="39"/>
      <c r="I6" s="174"/>
      <c r="J6" s="174"/>
      <c r="K6" s="174"/>
      <c r="L6" s="32"/>
      <c r="M6" s="32"/>
      <c r="N6" s="32"/>
      <c r="O6" s="32"/>
      <c r="P6" s="32"/>
      <c r="Q6" s="32"/>
    </row>
    <row r="7" spans="1:17" ht="22.5" customHeight="1">
      <c r="A7" s="32"/>
      <c r="B7" s="86" t="s">
        <v>46</v>
      </c>
      <c r="C7" s="1420" t="s">
        <v>227</v>
      </c>
      <c r="D7" s="1421"/>
      <c r="E7" s="1422"/>
      <c r="F7" s="1432" t="str">
        <f>IF(I33&lt;0,"No ▲","Yes ✓")</f>
        <v>Yes ✓</v>
      </c>
      <c r="G7" s="1433"/>
      <c r="H7" s="39"/>
      <c r="I7" s="32"/>
      <c r="J7" s="32"/>
      <c r="K7" s="32"/>
      <c r="L7" s="32"/>
      <c r="M7" s="32"/>
      <c r="N7" s="32"/>
      <c r="O7" s="32"/>
      <c r="P7" s="32"/>
      <c r="Q7" s="32"/>
    </row>
    <row r="8" spans="1:17" ht="19.5" customHeight="1">
      <c r="A8" s="32"/>
      <c r="B8" s="86" t="s">
        <v>197</v>
      </c>
      <c r="C8" s="1420" t="s">
        <v>227</v>
      </c>
      <c r="D8" s="1421"/>
      <c r="E8" s="1422"/>
      <c r="F8" s="1432" t="str">
        <f>IF(I44&lt;0,"No ▲","Yes ✓")</f>
        <v>Yes ✓</v>
      </c>
      <c r="G8" s="1433"/>
      <c r="H8" s="39"/>
      <c r="I8" s="32"/>
      <c r="J8" s="32"/>
      <c r="K8" s="32"/>
      <c r="L8" s="32"/>
      <c r="M8" s="32"/>
      <c r="N8" s="32"/>
      <c r="O8" s="32"/>
      <c r="P8" s="32"/>
      <c r="Q8" s="32"/>
    </row>
    <row r="9" spans="1:17" ht="18.75" customHeight="1" thickBot="1">
      <c r="A9" s="32"/>
      <c r="B9" s="65" t="s">
        <v>228</v>
      </c>
      <c r="C9" s="1425" t="s">
        <v>227</v>
      </c>
      <c r="D9" s="1426"/>
      <c r="E9" s="1427"/>
      <c r="F9" s="1434" t="str">
        <f>IF(I54&lt;0,"No ▲","Yes ✓")</f>
        <v>Yes ✓</v>
      </c>
      <c r="G9" s="1435"/>
      <c r="H9" s="39"/>
      <c r="I9" s="32"/>
      <c r="J9" s="32"/>
      <c r="K9" s="32"/>
      <c r="L9" s="32"/>
      <c r="M9" s="32"/>
      <c r="N9" s="32"/>
      <c r="O9" s="32"/>
      <c r="P9" s="32"/>
      <c r="Q9" s="32"/>
    </row>
    <row r="10" spans="1:17" ht="14">
      <c r="A10" s="32"/>
      <c r="B10" s="32"/>
      <c r="C10" s="32"/>
      <c r="D10" s="32"/>
      <c r="E10" s="32"/>
      <c r="F10" s="32"/>
      <c r="G10" s="32"/>
      <c r="H10" s="32"/>
      <c r="I10" s="32"/>
      <c r="J10" s="32"/>
      <c r="K10" s="32"/>
      <c r="L10" s="32"/>
      <c r="M10" s="32"/>
      <c r="N10" s="32"/>
      <c r="O10" s="32"/>
      <c r="P10" s="32"/>
      <c r="Q10" s="32"/>
    </row>
    <row r="11" spans="1:17" ht="14.5" thickBot="1">
      <c r="A11" s="32"/>
      <c r="B11" s="32"/>
      <c r="C11" s="32"/>
      <c r="D11" s="32"/>
      <c r="E11" s="32"/>
      <c r="F11" s="32"/>
      <c r="G11" s="32"/>
      <c r="H11" s="32"/>
      <c r="I11" s="32"/>
      <c r="J11" s="32"/>
      <c r="K11" s="32"/>
      <c r="L11" s="32"/>
      <c r="M11" s="32"/>
      <c r="N11" s="32"/>
      <c r="O11" s="32"/>
      <c r="P11" s="32"/>
      <c r="Q11" s="32"/>
    </row>
    <row r="12" spans="1:13" s="33" customFormat="1" ht="52.5" customHeight="1" thickBot="1">
      <c r="A12" s="32"/>
      <c r="B12" s="1365" t="s">
        <v>199</v>
      </c>
      <c r="C12" s="1366"/>
      <c r="D12" s="1366"/>
      <c r="E12" s="1366"/>
      <c r="F12" s="1367"/>
      <c r="H12" s="1446" t="s">
        <v>200</v>
      </c>
      <c r="I12" s="1447"/>
      <c r="J12" s="1448"/>
      <c r="K12" s="32"/>
      <c r="L12" s="32"/>
      <c r="M12" s="32"/>
    </row>
    <row r="13" spans="1:15" ht="42">
      <c r="A13" s="32"/>
      <c r="B13" s="818" t="s">
        <v>95</v>
      </c>
      <c r="C13" s="819" t="s">
        <v>202</v>
      </c>
      <c r="D13" s="819" t="s">
        <v>128</v>
      </c>
      <c r="E13" s="1423" t="s">
        <v>203</v>
      </c>
      <c r="F13" s="1424"/>
      <c r="H13" s="835" t="s">
        <v>205</v>
      </c>
      <c r="I13" s="832">
        <f>SUMIF($E$14:$E$14,"&gt;0")</f>
        <v>0.45602381695903993</v>
      </c>
      <c r="J13" s="883" t="str">
        <f>IF(I13=0,"",IF(I13&lt;0,"⚠","✓"))</f>
        <v>✓</v>
      </c>
      <c r="K13" s="32"/>
      <c r="L13" s="32"/>
      <c r="M13" s="32"/>
      <c r="N13" s="32"/>
      <c r="O13" s="32"/>
    </row>
    <row r="14" spans="1:15" ht="28.5" thickBot="1">
      <c r="A14" s="32"/>
      <c r="B14" s="217" t="str">
        <f>'G-2 Habitat groups'!A150</f>
        <v>Species-rich native hedgerow with trees - associated with bank or ditch</v>
      </c>
      <c r="C14" s="271">
        <f>'G-2 Habitat groups'!R150</f>
        <v>0.45602381695903993</v>
      </c>
      <c r="D14" s="808">
        <f>'G-2 Habitat groups'!AD150</f>
        <v>0</v>
      </c>
      <c r="E14" s="845">
        <f>'G-2 Habitat groups'!AF150</f>
        <v>0.45602381695903993</v>
      </c>
      <c r="F14" s="358" t="str">
        <f>IF(E14=0,"",IF(E14&lt;0,"▲","✓"))</f>
        <v>✓</v>
      </c>
      <c r="H14" s="829" t="s">
        <v>206</v>
      </c>
      <c r="I14" s="834">
        <f>SUMIF(E14,"&lt;0",E14)</f>
        <v>0</v>
      </c>
      <c r="J14" s="358" t="str">
        <f>IF(I14=0,"",IF(I14&lt;0,"▲","✓"))</f>
        <v/>
      </c>
      <c r="K14" s="32"/>
      <c r="L14" s="32"/>
      <c r="M14" s="32"/>
      <c r="N14" s="32"/>
      <c r="O14" s="32"/>
    </row>
    <row r="15" spans="1:17" ht="14.5" thickBot="1">
      <c r="A15" s="32"/>
      <c r="C15" s="440">
        <f>SUM(C14:C14)</f>
        <v>0.45602381695903993</v>
      </c>
      <c r="D15" s="839">
        <f>SUM(D14:D14)</f>
        <v>0</v>
      </c>
      <c r="E15" s="848">
        <f>SUM(E14:E14)</f>
        <v>0.45602381695903993</v>
      </c>
      <c r="F15" s="849"/>
      <c r="G15" s="417"/>
      <c r="H15" s="32"/>
      <c r="I15" s="32"/>
      <c r="J15" s="32"/>
      <c r="K15" s="32"/>
      <c r="L15" s="32"/>
      <c r="M15" s="32"/>
      <c r="N15" s="32"/>
      <c r="O15" s="32"/>
      <c r="P15" s="32"/>
      <c r="Q15" s="32"/>
    </row>
    <row r="16" spans="1:17" ht="14">
      <c r="A16" s="32"/>
      <c r="B16" s="32"/>
      <c r="C16" s="32"/>
      <c r="D16" s="32"/>
      <c r="E16" s="32"/>
      <c r="F16" s="32"/>
      <c r="G16" s="32"/>
      <c r="H16" s="32"/>
      <c r="I16" s="32"/>
      <c r="J16" s="32"/>
      <c r="K16" s="32"/>
      <c r="L16" s="32"/>
      <c r="M16" s="32"/>
      <c r="N16" s="32"/>
      <c r="O16" s="32"/>
      <c r="P16" s="32"/>
      <c r="Q16" s="32"/>
    </row>
    <row r="17" spans="1:17" ht="14">
      <c r="A17" s="32"/>
      <c r="B17" s="32"/>
      <c r="C17" s="32"/>
      <c r="D17" s="32"/>
      <c r="E17" s="32"/>
      <c r="F17" s="32"/>
      <c r="G17" s="32"/>
      <c r="H17" s="32"/>
      <c r="I17" s="32"/>
      <c r="J17" s="32"/>
      <c r="K17" s="32"/>
      <c r="L17" s="32"/>
      <c r="M17" s="32"/>
      <c r="N17" s="32"/>
      <c r="O17" s="32"/>
      <c r="P17" s="32"/>
      <c r="Q17" s="32"/>
    </row>
    <row r="18" spans="1:17" ht="14">
      <c r="A18" s="32"/>
      <c r="B18" s="32"/>
      <c r="C18" s="32"/>
      <c r="D18" s="32"/>
      <c r="E18" s="32"/>
      <c r="F18" s="32"/>
      <c r="G18" s="32"/>
      <c r="H18" s="32"/>
      <c r="I18" s="32"/>
      <c r="J18" s="32"/>
      <c r="K18" s="32"/>
      <c r="L18" s="32"/>
      <c r="M18" s="32"/>
      <c r="N18" s="32"/>
      <c r="O18" s="32"/>
      <c r="P18" s="32"/>
      <c r="Q18" s="32"/>
    </row>
    <row r="19" spans="1:17" ht="14.5" thickBot="1">
      <c r="A19" s="32"/>
      <c r="B19" s="32"/>
      <c r="C19" s="32"/>
      <c r="D19" s="32"/>
      <c r="E19" s="32"/>
      <c r="F19" s="32"/>
      <c r="G19" s="32"/>
      <c r="H19" s="32"/>
      <c r="I19" s="32"/>
      <c r="J19" s="32"/>
      <c r="K19" s="32"/>
      <c r="L19" s="32"/>
      <c r="M19" s="32"/>
      <c r="N19" s="32"/>
      <c r="O19" s="32"/>
      <c r="P19" s="32"/>
      <c r="Q19" s="32"/>
    </row>
    <row r="20" spans="1:15" ht="50.15" customHeight="1" thickBot="1">
      <c r="A20" s="32"/>
      <c r="B20" s="1452" t="s">
        <v>207</v>
      </c>
      <c r="C20" s="1453"/>
      <c r="D20" s="1453"/>
      <c r="E20" s="1453"/>
      <c r="F20" s="1454"/>
      <c r="H20" s="1446" t="s">
        <v>208</v>
      </c>
      <c r="I20" s="1447"/>
      <c r="J20" s="1448"/>
      <c r="K20" s="32"/>
      <c r="L20" s="32"/>
      <c r="M20" s="32"/>
      <c r="N20" s="32"/>
      <c r="O20" s="32"/>
    </row>
    <row r="21" spans="1:12" ht="42">
      <c r="A21" s="32"/>
      <c r="B21" s="818" t="s">
        <v>95</v>
      </c>
      <c r="C21" s="819" t="s">
        <v>101</v>
      </c>
      <c r="D21" s="819" t="s">
        <v>128</v>
      </c>
      <c r="E21" s="1423" t="s">
        <v>215</v>
      </c>
      <c r="F21" s="1424"/>
      <c r="H21" s="835" t="s">
        <v>210</v>
      </c>
      <c r="I21" s="836">
        <f>SUMIF(E22:E24,"&gt;0")</f>
        <v>0</v>
      </c>
      <c r="J21" s="350" t="str">
        <f>IF(I21=0,"",IF(I21&lt;0,"⚠","✓"))</f>
        <v/>
      </c>
      <c r="K21" s="32"/>
      <c r="L21" s="32"/>
    </row>
    <row r="22" spans="1:12" ht="28">
      <c r="A22" s="32"/>
      <c r="B22" s="215" t="str">
        <f>'G-2 Habitat groups'!A151</f>
        <v>Species-rich native hedgerow with trees</v>
      </c>
      <c r="C22" s="268">
        <f>'G-2 Habitat groups'!R151</f>
        <v>0</v>
      </c>
      <c r="D22" s="807">
        <f>'G-2 Habitat groups'!AD151</f>
        <v>0</v>
      </c>
      <c r="E22" s="846">
        <f>'G-2 Habitat groups'!AF151</f>
        <v>0</v>
      </c>
      <c r="F22" s="355" t="str">
        <f>IF(E22=0,"",IF(E22&lt;0,"⚠","✓"))</f>
        <v/>
      </c>
      <c r="H22" s="86" t="s">
        <v>229</v>
      </c>
      <c r="I22" s="828">
        <f>SUMIF(E22:E24,"&lt;0")</f>
        <v>-0.2772</v>
      </c>
      <c r="J22" s="355" t="str">
        <f t="shared" si="0" ref="J22">IF(I22=0,"",IF(I22&lt;0,"⚠","✓"))</f>
        <v>⚠</v>
      </c>
      <c r="K22" s="32"/>
      <c r="L22" s="32"/>
    </row>
    <row r="23" spans="1:10" ht="51.65" customHeight="1" thickBot="1">
      <c r="A23" s="32"/>
      <c r="B23" s="215" t="str">
        <f>'G-2 Habitat groups'!A152</f>
        <v>Species-rich native hedgerow - associated with bank or ditch</v>
      </c>
      <c r="C23" s="268">
        <f>'G-2 Habitat groups'!R152</f>
        <v>0</v>
      </c>
      <c r="D23" s="268">
        <f>'G-2 Habitat groups'!AD152</f>
        <v>0</v>
      </c>
      <c r="E23" s="846">
        <f>'G-2 Habitat groups'!AF152</f>
        <v>0</v>
      </c>
      <c r="F23" s="355" t="str">
        <f>IF(E23=0,"",IF(E23&lt;0,"⚠","✓"))</f>
        <v/>
      </c>
      <c r="H23" s="65" t="s">
        <v>230</v>
      </c>
      <c r="I23" s="834">
        <f>I13+I22</f>
        <v>0.17882381695903993</v>
      </c>
      <c r="J23" s="358" t="str">
        <f>IF(I23=0,"",IF(I23&lt;0,"⚠","✓"))</f>
        <v>✓</v>
      </c>
    </row>
    <row r="24" spans="1:12" ht="15" customHeight="1" thickBot="1">
      <c r="A24" s="32"/>
      <c r="B24" s="217" t="str">
        <f>'G-2 Habitat groups'!A153</f>
        <v>Native hedgerow with trees - associated with bank or ditch</v>
      </c>
      <c r="C24" s="271">
        <f>'G-2 Habitat groups'!R153</f>
        <v>-0.2772</v>
      </c>
      <c r="D24" s="271">
        <f>'G-2 Habitat groups'!AD153</f>
        <v>0</v>
      </c>
      <c r="E24" s="845">
        <f>'G-2 Habitat groups'!AF153</f>
        <v>-0.2772</v>
      </c>
      <c r="F24" s="358" t="str">
        <f>IF(E24=0,"",IF(E24&lt;0,"⚠","✓"))</f>
        <v>⚠</v>
      </c>
      <c r="G24" s="439"/>
      <c r="H24" s="32"/>
      <c r="K24" s="32"/>
      <c r="L24" s="32"/>
    </row>
    <row r="25" spans="1:13" ht="14.5" hidden="1" thickBot="1">
      <c r="A25" s="32"/>
      <c r="B25" s="214"/>
      <c r="C25" s="269"/>
      <c r="D25" s="269"/>
      <c r="E25" s="842"/>
      <c r="G25" s="435"/>
      <c r="H25" s="32"/>
      <c r="K25" s="32"/>
      <c r="L25" s="32"/>
      <c r="M25" s="32"/>
    </row>
    <row r="26" spans="1:15" ht="14.9" customHeight="1" thickBot="1">
      <c r="A26" s="32"/>
      <c r="B26" s="32"/>
      <c r="C26" s="533">
        <f>SUM(C22:C24)</f>
        <v>-0.2772</v>
      </c>
      <c r="D26" s="841">
        <f>SUM(D22:D24)</f>
        <v>0</v>
      </c>
      <c r="E26" s="848">
        <f>SUM(E22:E24)</f>
        <v>-0.2772</v>
      </c>
      <c r="F26" s="849"/>
      <c r="H26" s="32"/>
      <c r="K26" s="32"/>
      <c r="L26" s="32"/>
      <c r="M26" s="32"/>
      <c r="N26" s="32"/>
      <c r="O26" s="32"/>
    </row>
    <row r="27" spans="1:17" ht="14">
      <c r="A27" s="32"/>
      <c r="B27" s="32"/>
      <c r="C27" s="32"/>
      <c r="D27" s="32"/>
      <c r="E27" s="32"/>
      <c r="F27" s="32"/>
      <c r="G27" s="32"/>
      <c r="H27" s="32"/>
      <c r="I27" s="32"/>
      <c r="J27" s="32"/>
      <c r="K27" s="32"/>
      <c r="L27" s="32"/>
      <c r="M27" s="32"/>
      <c r="N27" s="32"/>
      <c r="O27" s="32"/>
      <c r="P27" s="32"/>
      <c r="Q27" s="32"/>
    </row>
    <row r="28" spans="1:17" ht="14">
      <c r="A28" s="32"/>
      <c r="B28" s="32"/>
      <c r="C28" s="32"/>
      <c r="D28" s="32"/>
      <c r="E28" s="32"/>
      <c r="F28" s="32"/>
      <c r="G28" s="32"/>
      <c r="H28" s="32"/>
      <c r="I28" s="32"/>
      <c r="J28" s="32"/>
      <c r="K28" s="32"/>
      <c r="L28" s="32"/>
      <c r="M28" s="32"/>
      <c r="N28" s="32"/>
      <c r="O28" s="32"/>
      <c r="P28" s="32"/>
      <c r="Q28" s="32"/>
    </row>
    <row r="29" spans="1:17" ht="14.5" thickBot="1">
      <c r="A29" s="32"/>
      <c r="B29" s="32"/>
      <c r="C29" s="32"/>
      <c r="D29" s="32"/>
      <c r="E29" s="32"/>
      <c r="F29" s="32"/>
      <c r="G29" s="32"/>
      <c r="H29" s="32"/>
      <c r="I29" s="32"/>
      <c r="J29" s="32"/>
      <c r="K29" s="32"/>
      <c r="L29" s="32"/>
      <c r="M29" s="32"/>
      <c r="N29" s="32"/>
      <c r="O29" s="32"/>
      <c r="P29" s="32"/>
      <c r="Q29" s="32"/>
    </row>
    <row r="30" spans="1:17" ht="38.9" customHeight="1" thickBot="1">
      <c r="A30" s="32"/>
      <c r="B30" s="1452" t="s">
        <v>213</v>
      </c>
      <c r="C30" s="1453"/>
      <c r="D30" s="1453"/>
      <c r="E30" s="1453"/>
      <c r="F30" s="1454"/>
      <c r="H30" s="1449" t="s">
        <v>214</v>
      </c>
      <c r="I30" s="1450"/>
      <c r="J30" s="1451"/>
      <c r="K30" s="32"/>
      <c r="L30" s="32"/>
      <c r="M30" s="32"/>
      <c r="N30" s="32"/>
      <c r="O30" s="32"/>
      <c r="P30" s="32"/>
      <c r="Q30" s="32"/>
    </row>
    <row r="31" spans="1:17" ht="30">
      <c r="A31" s="32"/>
      <c r="B31" s="818" t="s">
        <v>95</v>
      </c>
      <c r="C31" s="819" t="s">
        <v>101</v>
      </c>
      <c r="D31" s="819" t="s">
        <v>128</v>
      </c>
      <c r="E31" s="1423" t="s">
        <v>215</v>
      </c>
      <c r="F31" s="1424"/>
      <c r="H31" s="843" t="s">
        <v>231</v>
      </c>
      <c r="I31" s="806">
        <f>IF(I23&gt;0,I23,0)+I21</f>
        <v>0.17882381695903993</v>
      </c>
      <c r="J31" s="350" t="str">
        <f>IF(I31=0,"",IF(I31&lt;0,"⚠","✓"))</f>
        <v>✓</v>
      </c>
      <c r="K31" s="32"/>
      <c r="L31" s="32"/>
      <c r="M31" s="32"/>
      <c r="N31" s="32"/>
      <c r="O31" s="32"/>
      <c r="P31" s="32"/>
      <c r="Q31" s="32"/>
    </row>
    <row r="32" spans="1:17" ht="28">
      <c r="A32" s="32"/>
      <c r="B32" s="215" t="str">
        <f>'G-2 Habitat groups'!A154</f>
        <v>Species-rich native hedgerow</v>
      </c>
      <c r="C32" s="268">
        <f>'G-2 Habitat groups'!R154</f>
        <v>6.296299143314401</v>
      </c>
      <c r="D32" s="807">
        <f>'G-2 Habitat groups'!AD154</f>
        <v>0</v>
      </c>
      <c r="E32" s="846">
        <f>'G-2 Habitat groups'!AF154</f>
        <v>6.296299143314401</v>
      </c>
      <c r="F32" s="355" t="str">
        <f>IF(E32=0,"",IF(E32&lt;0,"⚠","✓"))</f>
        <v>✓</v>
      </c>
      <c r="H32" s="86" t="s">
        <v>232</v>
      </c>
      <c r="I32" s="807">
        <f>E38</f>
        <v>6.296299143314401</v>
      </c>
      <c r="J32" s="355" t="str">
        <f t="shared" si="1" ref="J32">IF(I32=0,"",IF(I32&lt;0,"⚠","✓"))</f>
        <v>✓</v>
      </c>
      <c r="K32" s="32"/>
      <c r="L32" s="32"/>
      <c r="M32" s="32"/>
      <c r="N32" s="32"/>
      <c r="O32" s="32"/>
      <c r="P32" s="32"/>
      <c r="Q32" s="32"/>
    </row>
    <row r="33" spans="1:15" ht="32.15" customHeight="1" thickBot="1">
      <c r="A33" s="32"/>
      <c r="B33" s="215" t="str">
        <f>'G-2 Habitat groups'!A155</f>
        <v>Native hedgerow - associated with bank or ditch</v>
      </c>
      <c r="C33" s="268">
        <f>'G-2 Habitat groups'!R155</f>
        <v>0</v>
      </c>
      <c r="D33" s="268">
        <f>'G-2 Habitat groups'!AD155</f>
        <v>0</v>
      </c>
      <c r="E33" s="846">
        <f>'G-2 Habitat groups'!AF155</f>
        <v>0</v>
      </c>
      <c r="F33" s="355" t="str">
        <f t="shared" si="2" ref="F33:F35">IF(E33=0,"",IF(E33&lt;0,"⚠","✓"))</f>
        <v/>
      </c>
      <c r="H33" s="65" t="s">
        <v>233</v>
      </c>
      <c r="I33" s="808">
        <f>I32+I31</f>
        <v>6.47512296027344</v>
      </c>
      <c r="J33" s="358" t="str">
        <f>IF(I33=0,"",IF(I33&lt;0,"⚠","✓"))</f>
        <v>✓</v>
      </c>
      <c r="K33" s="32"/>
      <c r="L33" s="32"/>
      <c r="M33" s="32"/>
      <c r="N33" s="32"/>
      <c r="O33" s="32"/>
    </row>
    <row r="34" spans="1:14" ht="14">
      <c r="A34" s="32"/>
      <c r="B34" s="215" t="str">
        <f>'G-2 Habitat groups'!A156</f>
        <v>Native hedgerow with trees</v>
      </c>
      <c r="C34" s="268">
        <f>'G-2 Habitat groups'!R156</f>
        <v>0</v>
      </c>
      <c r="D34" s="268">
        <f>'G-2 Habitat groups'!AD156</f>
        <v>0</v>
      </c>
      <c r="E34" s="846">
        <f>'G-2 Habitat groups'!AF156</f>
        <v>0</v>
      </c>
      <c r="F34" s="355" t="str">
        <f t="shared" si="2"/>
        <v/>
      </c>
      <c r="K34" s="32"/>
      <c r="L34" s="32"/>
      <c r="M34" s="32"/>
      <c r="N34" s="32"/>
    </row>
    <row r="35" spans="1:14" ht="14">
      <c r="A35" s="32"/>
      <c r="B35" s="215" t="str">
        <f>'G-2 Habitat groups'!A157</f>
        <v>Ecologically valuable line of trees</v>
      </c>
      <c r="C35" s="268">
        <f>'G-2 Habitat groups'!R157</f>
        <v>0</v>
      </c>
      <c r="D35" s="268">
        <f>'G-2 Habitat groups'!AD157</f>
        <v>0</v>
      </c>
      <c r="E35" s="846">
        <f>'G-2 Habitat groups'!AF157</f>
        <v>0</v>
      </c>
      <c r="F35" s="355" t="str">
        <f t="shared" si="2"/>
        <v/>
      </c>
      <c r="G35" s="38"/>
      <c r="H35" s="476"/>
      <c r="K35" s="32"/>
      <c r="L35" s="32"/>
      <c r="M35" s="32"/>
      <c r="N35" s="32"/>
    </row>
    <row r="36" spans="1:14" ht="14.5" thickBot="1">
      <c r="A36" s="32"/>
      <c r="B36" s="217" t="str">
        <f>'G-2 Habitat groups'!A158</f>
        <v>Ecologically valuable line of trees - associated with bank or ditch</v>
      </c>
      <c r="C36" s="271">
        <f>'G-2 Habitat groups'!R158</f>
        <v>0</v>
      </c>
      <c r="D36" s="271">
        <f>'G-2 Habitat groups'!AD158</f>
        <v>0</v>
      </c>
      <c r="E36" s="845">
        <f>'G-2 Habitat groups'!AF158</f>
        <v>0</v>
      </c>
      <c r="F36" s="358" t="str">
        <f>IF(E36=0,"",IF(E36&lt;0,"⚠","✓"))</f>
        <v/>
      </c>
      <c r="G36" s="439"/>
      <c r="H36" s="32"/>
      <c r="K36" s="32"/>
      <c r="L36" s="32"/>
      <c r="M36" s="32"/>
      <c r="N36" s="32"/>
    </row>
    <row r="37" spans="1:14" ht="14.5" hidden="1" thickBot="1">
      <c r="A37" s="32"/>
      <c r="B37" s="214"/>
      <c r="C37" s="269"/>
      <c r="D37" s="269"/>
      <c r="E37" s="842"/>
      <c r="F37" s="89"/>
      <c r="G37" s="435"/>
      <c r="H37" s="32"/>
      <c r="K37" s="32"/>
      <c r="L37" s="32"/>
      <c r="M37" s="32"/>
      <c r="N37" s="32"/>
    </row>
    <row r="38" spans="1:17" ht="14.9" customHeight="1" thickBot="1">
      <c r="A38" s="32"/>
      <c r="B38" s="32"/>
      <c r="C38" s="440">
        <f>SUM(C32:C36)</f>
        <v>6.296299143314401</v>
      </c>
      <c r="D38" s="841">
        <f>SUM(D32:D36)</f>
        <v>0</v>
      </c>
      <c r="E38" s="848">
        <f>SUM(E32:E36)</f>
        <v>6.296299143314401</v>
      </c>
      <c r="F38" s="882"/>
      <c r="H38" s="32"/>
      <c r="I38" s="32"/>
      <c r="J38" s="32"/>
      <c r="K38" s="32"/>
      <c r="L38" s="32"/>
      <c r="M38" s="32"/>
      <c r="N38" s="32"/>
      <c r="O38" s="32"/>
      <c r="P38" s="32"/>
      <c r="Q38" s="32"/>
    </row>
    <row r="39" spans="1:17" ht="14">
      <c r="A39" s="32"/>
      <c r="B39" s="32"/>
      <c r="C39" s="32"/>
      <c r="D39" s="32"/>
      <c r="E39" s="32"/>
      <c r="F39" s="32"/>
      <c r="G39" s="32"/>
      <c r="H39" s="32"/>
      <c r="I39" s="32"/>
      <c r="J39" s="32"/>
      <c r="K39" s="32"/>
      <c r="L39" s="32"/>
      <c r="M39" s="32"/>
      <c r="N39" s="32"/>
      <c r="O39" s="32"/>
      <c r="P39" s="32"/>
      <c r="Q39" s="32"/>
    </row>
    <row r="40" spans="1:17" ht="14">
      <c r="A40" s="32"/>
      <c r="B40" s="32"/>
      <c r="C40" s="32"/>
      <c r="D40" s="32"/>
      <c r="E40" s="32"/>
      <c r="F40" s="32"/>
      <c r="G40" s="32"/>
      <c r="H40" s="32"/>
      <c r="I40" s="32"/>
      <c r="J40" s="32"/>
      <c r="K40" s="32"/>
      <c r="L40" s="32"/>
      <c r="M40" s="32"/>
      <c r="N40" s="32"/>
      <c r="O40" s="32"/>
      <c r="P40" s="32"/>
      <c r="Q40" s="32"/>
    </row>
    <row r="41" spans="1:17" ht="14.5" thickBot="1">
      <c r="A41" s="32"/>
      <c r="B41" s="32"/>
      <c r="C41" s="32"/>
      <c r="D41" s="32"/>
      <c r="E41" s="32"/>
      <c r="F41" s="32"/>
      <c r="G41" s="32"/>
      <c r="H41" s="32"/>
      <c r="I41" s="32"/>
      <c r="J41" s="32"/>
      <c r="K41" s="32"/>
      <c r="L41" s="32"/>
      <c r="M41" s="32"/>
      <c r="N41" s="32"/>
      <c r="O41" s="32"/>
      <c r="P41" s="32"/>
      <c r="Q41" s="32"/>
    </row>
    <row r="42" spans="1:17" ht="46.5" customHeight="1" thickBot="1">
      <c r="A42" s="32"/>
      <c r="B42" s="1452" t="s">
        <v>221</v>
      </c>
      <c r="C42" s="1453"/>
      <c r="D42" s="1453"/>
      <c r="E42" s="1453"/>
      <c r="F42" s="1454"/>
      <c r="H42" s="1411" t="s">
        <v>222</v>
      </c>
      <c r="I42" s="1412"/>
      <c r="J42" s="1413"/>
      <c r="K42" s="32"/>
      <c r="L42" s="32"/>
      <c r="M42" s="32"/>
      <c r="N42" s="32"/>
      <c r="O42" s="32"/>
      <c r="P42" s="32"/>
      <c r="Q42" s="32"/>
    </row>
    <row r="43" spans="1:17" ht="30">
      <c r="A43" s="32"/>
      <c r="B43" s="818" t="s">
        <v>95</v>
      </c>
      <c r="C43" s="819" t="s">
        <v>101</v>
      </c>
      <c r="D43" s="819" t="s">
        <v>128</v>
      </c>
      <c r="E43" s="1423" t="s">
        <v>215</v>
      </c>
      <c r="F43" s="1424"/>
      <c r="H43" s="835" t="s">
        <v>224</v>
      </c>
      <c r="I43" s="806">
        <f>E47</f>
        <v>0</v>
      </c>
      <c r="J43" s="546" t="str">
        <f>IF(I43=0,"",IF(I43&lt;0,"⚠","✓"))</f>
        <v/>
      </c>
      <c r="K43" s="32"/>
      <c r="L43" s="32"/>
      <c r="M43" s="32"/>
      <c r="N43" s="32"/>
      <c r="O43" s="32"/>
      <c r="P43" s="32"/>
      <c r="Q43" s="32"/>
    </row>
    <row r="44" spans="1:17" ht="28.4" customHeight="1" thickBot="1">
      <c r="A44" s="32"/>
      <c r="B44" s="170" t="str">
        <f>'G-2 Habitat groups'!A159</f>
        <v>Native hedgerow</v>
      </c>
      <c r="C44" s="268">
        <f>'G-2 Habitat groups'!R159</f>
        <v>0</v>
      </c>
      <c r="D44" s="807">
        <f>'G-2 Habitat groups'!AD159</f>
        <v>0</v>
      </c>
      <c r="E44" s="846">
        <f>'G-2 Habitat groups'!AF159</f>
        <v>0</v>
      </c>
      <c r="F44" s="820" t="str">
        <f>IF(E44=0,"",IF(E44&lt;0,"⚠","✓"))</f>
        <v/>
      </c>
      <c r="H44" s="65" t="s">
        <v>233</v>
      </c>
      <c r="I44" s="808">
        <f>IF(I33&gt;0,I43+I33,I43)</f>
        <v>6.47512296027344</v>
      </c>
      <c r="J44" s="285" t="str">
        <f>IF(I44=0,"",IF(I44&lt;0,"⚠","✓"))</f>
        <v>✓</v>
      </c>
      <c r="K44" s="32"/>
      <c r="L44" s="32"/>
      <c r="M44" s="32"/>
      <c r="N44" s="32"/>
      <c r="O44" s="32"/>
      <c r="P44" s="32"/>
      <c r="Q44" s="32"/>
    </row>
    <row r="45" spans="1:17" ht="14">
      <c r="A45" s="32"/>
      <c r="B45" s="170" t="str">
        <f>'G-2 Habitat groups'!A160</f>
        <v>Line of trees</v>
      </c>
      <c r="C45" s="268">
        <f>'G-2 Habitat groups'!R160</f>
        <v>0</v>
      </c>
      <c r="D45" s="268">
        <f>'G-2 Habitat groups'!AD160</f>
        <v>0</v>
      </c>
      <c r="E45" s="846">
        <f>'G-2 Habitat groups'!AF160</f>
        <v>0</v>
      </c>
      <c r="F45" s="820" t="str">
        <f t="shared" si="3" ref="F45:F46">IF(E45=0,"",IF(E45&lt;0,"⚠","✓"))</f>
        <v/>
      </c>
      <c r="G45" s="32"/>
      <c r="H45" s="32"/>
      <c r="I45" s="32"/>
      <c r="J45" s="32"/>
      <c r="K45" s="32"/>
      <c r="L45" s="32"/>
      <c r="M45" s="32"/>
      <c r="N45" s="32"/>
      <c r="O45" s="32"/>
      <c r="P45" s="32"/>
      <c r="Q45" s="32"/>
    </row>
    <row r="46" spans="1:17" ht="14.5" thickBot="1">
      <c r="A46" s="32"/>
      <c r="B46" s="169" t="str">
        <f>'G-2 Habitat groups'!A161</f>
        <v>Line of trees - associated with bank or ditch</v>
      </c>
      <c r="C46" s="271">
        <f>'G-2 Habitat groups'!R161</f>
        <v>0</v>
      </c>
      <c r="D46" s="271">
        <f>'G-2 Habitat groups'!AD161</f>
        <v>0</v>
      </c>
      <c r="E46" s="845">
        <f>'G-2 Habitat groups'!AF161</f>
        <v>0</v>
      </c>
      <c r="F46" s="820" t="str">
        <f t="shared" si="3"/>
        <v/>
      </c>
      <c r="K46" s="32"/>
      <c r="L46" s="32"/>
      <c r="M46" s="32"/>
      <c r="N46" s="32"/>
      <c r="O46" s="32"/>
      <c r="P46" s="32"/>
      <c r="Q46" s="32"/>
    </row>
    <row r="47" spans="1:17" ht="14.5" thickBot="1">
      <c r="A47" s="32"/>
      <c r="B47" s="32"/>
      <c r="C47" s="553">
        <f>SUM(C44:C46)</f>
        <v>0</v>
      </c>
      <c r="D47" s="841">
        <f>SUM(D44:D46)</f>
        <v>0</v>
      </c>
      <c r="E47" s="850">
        <f>SUM(E44:E46)</f>
        <v>0</v>
      </c>
      <c r="F47" s="851"/>
      <c r="K47" s="32"/>
      <c r="L47" s="32"/>
      <c r="M47" s="32"/>
      <c r="N47" s="32"/>
      <c r="O47" s="32"/>
      <c r="P47" s="32"/>
      <c r="Q47" s="32"/>
    </row>
    <row r="48" spans="1:17" ht="14">
      <c r="A48" s="32"/>
      <c r="G48" s="32"/>
      <c r="H48" s="32"/>
      <c r="I48" s="32"/>
      <c r="J48" s="32"/>
      <c r="K48" s="32"/>
      <c r="L48" s="32"/>
      <c r="M48" s="32"/>
      <c r="N48" s="32"/>
      <c r="O48" s="32"/>
      <c r="P48" s="32"/>
      <c r="Q48" s="32"/>
    </row>
    <row r="49" spans="1:17" ht="14">
      <c r="A49" s="32"/>
      <c r="G49" s="32"/>
      <c r="H49" s="32"/>
      <c r="I49" s="32"/>
      <c r="J49" s="32"/>
      <c r="K49" s="32"/>
      <c r="L49" s="32"/>
      <c r="M49" s="32"/>
      <c r="N49" s="32"/>
      <c r="O49" s="32"/>
      <c r="P49" s="32"/>
      <c r="Q49" s="32"/>
    </row>
    <row r="50" spans="1:17" ht="14">
      <c r="A50" s="32"/>
      <c r="G50" s="32"/>
      <c r="H50" s="32"/>
      <c r="I50" s="32"/>
      <c r="J50" s="32"/>
      <c r="K50" s="32"/>
      <c r="L50" s="32"/>
      <c r="M50" s="32"/>
      <c r="N50" s="32"/>
      <c r="O50" s="32"/>
      <c r="P50" s="32"/>
      <c r="Q50" s="32"/>
    </row>
    <row r="51" spans="1:17" ht="14.5" thickBot="1">
      <c r="A51" s="32"/>
      <c r="G51" s="32"/>
      <c r="H51" s="32"/>
      <c r="I51" s="32"/>
      <c r="J51" s="32"/>
      <c r="K51" s="32"/>
      <c r="L51" s="32"/>
      <c r="M51" s="32"/>
      <c r="N51" s="32"/>
      <c r="O51" s="32"/>
      <c r="P51" s="32"/>
      <c r="Q51" s="32"/>
    </row>
    <row r="52" spans="1:17" ht="35.15" customHeight="1" thickBot="1">
      <c r="A52" s="32"/>
      <c r="B52" s="1455" t="s">
        <v>234</v>
      </c>
      <c r="C52" s="1456"/>
      <c r="D52" s="1456"/>
      <c r="E52" s="1456"/>
      <c r="F52" s="1457"/>
      <c r="H52" s="1411" t="s">
        <v>235</v>
      </c>
      <c r="I52" s="1412"/>
      <c r="J52" s="1413"/>
      <c r="K52" s="32"/>
      <c r="L52" s="32"/>
      <c r="M52" s="32"/>
      <c r="N52" s="32"/>
      <c r="O52" s="32"/>
      <c r="P52" s="32"/>
      <c r="Q52" s="32"/>
    </row>
    <row r="53" spans="1:17" ht="30">
      <c r="A53" s="32"/>
      <c r="B53" s="818" t="s">
        <v>95</v>
      </c>
      <c r="C53" s="819" t="s">
        <v>101</v>
      </c>
      <c r="D53" s="819" t="s">
        <v>128</v>
      </c>
      <c r="E53" s="1423" t="s">
        <v>215</v>
      </c>
      <c r="F53" s="1424"/>
      <c r="H53" s="835" t="s">
        <v>236</v>
      </c>
      <c r="I53" s="806">
        <f>E55</f>
        <v>0</v>
      </c>
      <c r="J53" s="546" t="str">
        <f>IF(I53=0,"",IF(I53&lt;0,"⚠","✓"))</f>
        <v/>
      </c>
      <c r="K53" s="32"/>
      <c r="L53" s="32"/>
      <c r="M53" s="32"/>
      <c r="N53" s="32"/>
      <c r="O53" s="32"/>
      <c r="P53" s="32"/>
      <c r="Q53" s="32"/>
    </row>
    <row r="54" spans="1:17" ht="28.5" thickBot="1">
      <c r="A54" s="32"/>
      <c r="B54" s="169" t="s">
        <v>160</v>
      </c>
      <c r="C54" s="271">
        <f>'G-2 Habitat groups'!R162</f>
        <v>0</v>
      </c>
      <c r="D54" s="808">
        <f>'G-2 Habitat groups'!AD162</f>
        <v>0</v>
      </c>
      <c r="E54" s="845">
        <f>'G-2 Habitat groups'!AF162</f>
        <v>0</v>
      </c>
      <c r="F54" s="285" t="str">
        <f>IF(E54=0,"",IF(E54&lt;0,"⚠","✓"))</f>
        <v/>
      </c>
      <c r="H54" s="65" t="s">
        <v>233</v>
      </c>
      <c r="I54" s="808">
        <f>IF(I44&gt;0,I53+I44,I53)</f>
        <v>6.47512296027344</v>
      </c>
      <c r="J54" s="285" t="str">
        <f>IF(I54=0,"",IF(I54&lt;0,"▲","✓"))</f>
        <v>✓</v>
      </c>
      <c r="K54" s="32"/>
      <c r="L54" s="32"/>
      <c r="M54" s="32"/>
      <c r="N54" s="32"/>
      <c r="O54" s="32"/>
      <c r="P54" s="32"/>
      <c r="Q54" s="32"/>
    </row>
    <row r="55" spans="1:17" ht="14.5" thickBot="1">
      <c r="A55" s="32"/>
      <c r="B55" s="32"/>
      <c r="C55" s="553">
        <f>SUM(C54)</f>
        <v>0</v>
      </c>
      <c r="D55" s="841">
        <f>SUM(D54)</f>
        <v>0</v>
      </c>
      <c r="E55" s="852">
        <f>SUM(E54)</f>
        <v>0</v>
      </c>
      <c r="F55" s="853"/>
      <c r="G55" s="32"/>
      <c r="H55" s="32"/>
      <c r="I55" s="32"/>
      <c r="J55" s="32"/>
      <c r="K55" s="32"/>
      <c r="L55" s="32"/>
      <c r="M55" s="32"/>
      <c r="N55" s="32"/>
      <c r="O55" s="32"/>
      <c r="P55" s="32"/>
      <c r="Q55" s="32"/>
    </row>
    <row r="56" spans="1:17" ht="14">
      <c r="A56" s="32"/>
      <c r="B56" s="32"/>
      <c r="C56" s="32"/>
      <c r="D56" s="32"/>
      <c r="E56" s="32"/>
      <c r="F56" s="32"/>
      <c r="G56" s="32"/>
      <c r="H56" s="32"/>
      <c r="I56" s="32"/>
      <c r="J56" s="32"/>
      <c r="K56" s="32"/>
      <c r="L56" s="32"/>
      <c r="M56" s="32"/>
      <c r="N56" s="32"/>
      <c r="O56" s="32"/>
      <c r="P56" s="32"/>
      <c r="Q56" s="32"/>
    </row>
    <row r="57" spans="1:17" ht="14">
      <c r="A57" s="32"/>
      <c r="B57" s="32"/>
      <c r="C57" s="32"/>
      <c r="D57" s="32"/>
      <c r="E57" s="32"/>
      <c r="F57" s="32"/>
      <c r="G57" s="32"/>
      <c r="H57" s="32"/>
      <c r="I57" s="32"/>
      <c r="J57" s="32"/>
      <c r="K57" s="32"/>
      <c r="L57" s="32"/>
      <c r="M57" s="32"/>
      <c r="N57" s="32"/>
      <c r="O57" s="32"/>
      <c r="P57" s="32"/>
      <c r="Q57" s="32"/>
    </row>
    <row r="58" spans="1:17" ht="14">
      <c r="A58" s="32"/>
      <c r="B58" s="32"/>
      <c r="C58" s="32"/>
      <c r="D58" s="32"/>
      <c r="E58" s="32"/>
      <c r="F58" s="32"/>
      <c r="G58" s="32"/>
      <c r="H58" s="32"/>
      <c r="I58" s="32"/>
      <c r="J58" s="32"/>
      <c r="K58" s="32"/>
      <c r="L58" s="32"/>
      <c r="M58" s="32"/>
      <c r="N58" s="32"/>
      <c r="O58" s="32"/>
      <c r="P58" s="32"/>
      <c r="Q58" s="32"/>
    </row>
    <row r="59" spans="1:17" ht="14">
      <c r="A59" s="32"/>
      <c r="B59" s="32"/>
      <c r="C59" s="32"/>
      <c r="D59" s="32"/>
      <c r="E59" s="32"/>
      <c r="F59" s="32"/>
      <c r="G59" s="32"/>
      <c r="H59" s="32"/>
      <c r="I59" s="32"/>
      <c r="J59" s="32"/>
      <c r="K59" s="32"/>
      <c r="L59" s="32"/>
      <c r="M59" s="32"/>
      <c r="N59" s="32"/>
      <c r="O59" s="32"/>
      <c r="P59" s="32"/>
      <c r="Q59" s="32"/>
    </row>
    <row r="60" spans="1:17" ht="14">
      <c r="A60" s="32"/>
      <c r="B60" s="32"/>
      <c r="C60" s="32"/>
      <c r="D60" s="32"/>
      <c r="E60" s="32"/>
      <c r="F60" s="32"/>
      <c r="G60" s="32"/>
      <c r="H60" s="32"/>
      <c r="I60" s="32"/>
      <c r="J60" s="32"/>
      <c r="K60" s="32"/>
      <c r="L60" s="32"/>
      <c r="M60" s="32"/>
      <c r="N60" s="32"/>
      <c r="O60" s="32"/>
      <c r="P60" s="32"/>
      <c r="Q60" s="32"/>
    </row>
    <row r="61" spans="1:17" ht="14">
      <c r="A61" s="32"/>
      <c r="B61" s="32"/>
      <c r="C61" s="32"/>
      <c r="D61" s="32"/>
      <c r="E61" s="32"/>
      <c r="F61" s="32"/>
      <c r="G61" s="32"/>
      <c r="H61" s="32"/>
      <c r="I61" s="32"/>
      <c r="J61" s="32"/>
      <c r="K61" s="32"/>
      <c r="L61" s="32"/>
      <c r="M61" s="32"/>
      <c r="N61" s="32"/>
      <c r="O61" s="32"/>
      <c r="P61" s="32"/>
      <c r="Q61" s="32"/>
    </row>
    <row r="62" spans="1:17" ht="14">
      <c r="A62" s="32"/>
      <c r="B62" s="32"/>
      <c r="C62" s="32"/>
      <c r="D62" s="32"/>
      <c r="E62" s="32"/>
      <c r="F62" s="32"/>
      <c r="G62" s="32"/>
      <c r="H62" s="32"/>
      <c r="I62" s="32"/>
      <c r="J62" s="32"/>
      <c r="K62" s="32"/>
      <c r="L62" s="32"/>
      <c r="M62" s="32"/>
      <c r="N62" s="32"/>
      <c r="O62" s="32"/>
      <c r="P62" s="32"/>
      <c r="Q62" s="32"/>
    </row>
    <row r="63" spans="1:17" ht="56.9" customHeight="1" hidden="1">
      <c r="A63" s="32"/>
      <c r="B63" s="32"/>
      <c r="C63" s="32"/>
      <c r="D63" s="32"/>
      <c r="E63" s="32"/>
      <c r="F63" s="32"/>
      <c r="G63" s="32"/>
      <c r="H63" s="32"/>
      <c r="I63" s="32"/>
      <c r="J63" s="32"/>
      <c r="K63" s="32"/>
      <c r="L63" s="32"/>
      <c r="M63" s="32"/>
      <c r="N63" s="32"/>
      <c r="O63" s="32"/>
      <c r="P63" s="32"/>
      <c r="Q63" s="32"/>
    </row>
    <row r="64" spans="1:17" ht="14" hidden="1">
      <c r="A64" s="32"/>
      <c r="B64" s="32"/>
      <c r="C64" s="32"/>
      <c r="D64" s="32"/>
      <c r="E64" s="32"/>
      <c r="F64" s="32"/>
      <c r="G64" s="32"/>
      <c r="H64" s="32"/>
      <c r="I64" s="32"/>
      <c r="J64" s="32"/>
      <c r="K64" s="32"/>
      <c r="L64" s="32"/>
      <c r="M64" s="32"/>
      <c r="N64" s="32"/>
      <c r="O64" s="32"/>
      <c r="P64" s="32"/>
      <c r="Q64" s="32"/>
    </row>
    <row r="65" spans="1:17" ht="14" hidden="1">
      <c r="A65" s="32"/>
      <c r="B65" s="32"/>
      <c r="C65" s="32"/>
      <c r="D65" s="32"/>
      <c r="E65" s="32"/>
      <c r="F65" s="32"/>
      <c r="G65" s="32"/>
      <c r="H65" s="32"/>
      <c r="I65" s="32"/>
      <c r="J65" s="32"/>
      <c r="K65" s="32"/>
      <c r="L65" s="32"/>
      <c r="M65" s="32"/>
      <c r="N65" s="32"/>
      <c r="O65" s="32"/>
      <c r="P65" s="32"/>
      <c r="Q65" s="32"/>
    </row>
    <row r="66" spans="1:17" ht="14" hidden="1">
      <c r="A66" s="32"/>
      <c r="B66" s="32"/>
      <c r="C66" s="32"/>
      <c r="D66" s="32"/>
      <c r="E66" s="32"/>
      <c r="F66" s="32"/>
      <c r="G66" s="32"/>
      <c r="H66" s="32"/>
      <c r="I66" s="32"/>
      <c r="J66" s="32"/>
      <c r="K66" s="32"/>
      <c r="L66" s="32"/>
      <c r="M66" s="32"/>
      <c r="N66" s="32"/>
      <c r="O66" s="32"/>
      <c r="P66" s="32"/>
      <c r="Q66" s="32"/>
    </row>
    <row r="67" spans="1:17" ht="14" hidden="1">
      <c r="A67" s="32"/>
      <c r="B67" s="32"/>
      <c r="C67" s="32"/>
      <c r="D67" s="32"/>
      <c r="E67" s="32"/>
      <c r="F67" s="32"/>
      <c r="G67" s="32"/>
      <c r="H67" s="32"/>
      <c r="I67" s="32"/>
      <c r="J67" s="32"/>
      <c r="K67" s="32"/>
      <c r="L67" s="32"/>
      <c r="M67" s="32"/>
      <c r="N67" s="32"/>
      <c r="O67" s="32"/>
      <c r="P67" s="32"/>
      <c r="Q67" s="32"/>
    </row>
    <row r="68" spans="1:17" ht="14" hidden="1">
      <c r="A68" s="32"/>
      <c r="B68" s="32"/>
      <c r="C68" s="32"/>
      <c r="D68" s="32"/>
      <c r="E68" s="32"/>
      <c r="F68" s="32"/>
      <c r="G68" s="32"/>
      <c r="H68" s="32"/>
      <c r="I68" s="32"/>
      <c r="J68" s="32"/>
      <c r="K68" s="32"/>
      <c r="L68" s="32"/>
      <c r="M68" s="32"/>
      <c r="N68" s="32"/>
      <c r="O68" s="32"/>
      <c r="P68" s="32"/>
      <c r="Q68" s="32"/>
    </row>
    <row r="69" spans="1:17" ht="14" hidden="1">
      <c r="A69" s="32"/>
      <c r="B69" s="32"/>
      <c r="C69" s="32"/>
      <c r="D69" s="32"/>
      <c r="E69" s="32"/>
      <c r="F69" s="32"/>
      <c r="G69" s="32"/>
      <c r="H69" s="32"/>
      <c r="I69" s="32"/>
      <c r="J69" s="32"/>
      <c r="K69" s="32"/>
      <c r="L69" s="32"/>
      <c r="M69" s="32"/>
      <c r="N69" s="32"/>
      <c r="O69" s="32"/>
      <c r="P69" s="32"/>
      <c r="Q69" s="32"/>
    </row>
    <row r="70" spans="1:17" ht="14" hidden="1">
      <c r="A70" s="32"/>
      <c r="B70" s="32"/>
      <c r="C70" s="32"/>
      <c r="D70" s="32"/>
      <c r="E70" s="32"/>
      <c r="F70" s="32"/>
      <c r="G70" s="32"/>
      <c r="H70" s="32"/>
      <c r="I70" s="32"/>
      <c r="J70" s="32"/>
      <c r="K70" s="32"/>
      <c r="L70" s="32"/>
      <c r="M70" s="32"/>
      <c r="N70" s="32"/>
      <c r="O70" s="32"/>
      <c r="P70" s="32"/>
      <c r="Q70" s="32"/>
    </row>
    <row r="71" spans="1:17" ht="14" hidden="1">
      <c r="A71" s="32"/>
      <c r="B71" s="32"/>
      <c r="C71" s="32"/>
      <c r="D71" s="32"/>
      <c r="E71" s="32"/>
      <c r="F71" s="32"/>
      <c r="G71" s="32"/>
      <c r="H71" s="32"/>
      <c r="I71" s="32"/>
      <c r="J71" s="32"/>
      <c r="K71" s="32"/>
      <c r="L71" s="32"/>
      <c r="M71" s="32"/>
      <c r="N71" s="32"/>
      <c r="O71" s="32"/>
      <c r="P71" s="32"/>
      <c r="Q71" s="32"/>
    </row>
    <row r="72" spans="1:17" ht="14" hidden="1">
      <c r="A72" s="32"/>
      <c r="B72" s="32"/>
      <c r="C72" s="32"/>
      <c r="D72" s="32"/>
      <c r="E72" s="32"/>
      <c r="F72" s="32"/>
      <c r="G72" s="32"/>
      <c r="H72" s="32"/>
      <c r="I72" s="32"/>
      <c r="J72" s="32"/>
      <c r="K72" s="32"/>
      <c r="L72" s="32"/>
      <c r="M72" s="32"/>
      <c r="N72" s="32"/>
      <c r="O72" s="32"/>
      <c r="P72" s="32"/>
      <c r="Q72" s="32"/>
    </row>
    <row r="73" spans="1:17" ht="14" hidden="1">
      <c r="A73" s="32"/>
      <c r="B73" s="32"/>
      <c r="C73" s="32"/>
      <c r="D73" s="32"/>
      <c r="E73" s="32"/>
      <c r="F73" s="32"/>
      <c r="G73" s="32"/>
      <c r="H73" s="32"/>
      <c r="I73" s="32"/>
      <c r="J73" s="32"/>
      <c r="K73" s="32"/>
      <c r="L73" s="32"/>
      <c r="M73" s="32"/>
      <c r="N73" s="32"/>
      <c r="O73" s="32"/>
      <c r="P73" s="32"/>
      <c r="Q73" s="32"/>
    </row>
    <row r="74" spans="1:17" ht="14" hidden="1">
      <c r="A74" s="32"/>
      <c r="B74" s="32"/>
      <c r="C74" s="32"/>
      <c r="D74" s="32"/>
      <c r="E74" s="32"/>
      <c r="F74" s="32"/>
      <c r="G74" s="32"/>
      <c r="H74" s="32"/>
      <c r="I74" s="32"/>
      <c r="J74" s="32"/>
      <c r="K74" s="32"/>
      <c r="L74" s="32"/>
      <c r="M74" s="32"/>
      <c r="N74" s="32"/>
      <c r="O74" s="32"/>
      <c r="P74" s="32"/>
      <c r="Q74" s="32"/>
    </row>
    <row r="75" spans="1:17" ht="14" hidden="1">
      <c r="A75" s="32"/>
      <c r="B75" s="32"/>
      <c r="C75" s="32"/>
      <c r="D75" s="32"/>
      <c r="E75" s="32"/>
      <c r="F75" s="32"/>
      <c r="G75" s="32"/>
      <c r="H75" s="32"/>
      <c r="I75" s="32"/>
      <c r="J75" s="32"/>
      <c r="K75" s="32"/>
      <c r="L75" s="32"/>
      <c r="M75" s="32"/>
      <c r="N75" s="32"/>
      <c r="O75" s="32"/>
      <c r="P75" s="32"/>
      <c r="Q75" s="32"/>
    </row>
    <row r="76" spans="1:17" ht="14" hidden="1">
      <c r="A76" s="32"/>
      <c r="B76" s="32"/>
      <c r="C76" s="32"/>
      <c r="D76" s="32"/>
      <c r="E76" s="32"/>
      <c r="F76" s="32"/>
      <c r="G76" s="32"/>
      <c r="H76" s="32"/>
      <c r="I76" s="32"/>
      <c r="J76" s="32"/>
      <c r="K76" s="32"/>
      <c r="L76" s="32"/>
      <c r="M76" s="32"/>
      <c r="N76" s="32"/>
      <c r="O76" s="32"/>
      <c r="P76" s="32"/>
      <c r="Q76" s="32"/>
    </row>
    <row r="77" spans="1:17" ht="14" hidden="1">
      <c r="A77" s="32"/>
      <c r="B77" s="32"/>
      <c r="C77" s="32"/>
      <c r="D77" s="32"/>
      <c r="E77" s="32"/>
      <c r="F77" s="32"/>
      <c r="G77" s="32"/>
      <c r="H77" s="32"/>
      <c r="I77" s="32"/>
      <c r="J77" s="32"/>
      <c r="K77" s="32"/>
      <c r="L77" s="32"/>
      <c r="M77" s="32"/>
      <c r="N77" s="32"/>
      <c r="O77" s="32"/>
      <c r="P77" s="32"/>
      <c r="Q77" s="32"/>
    </row>
    <row r="78" spans="1:17" ht="14" hidden="1">
      <c r="A78" s="32"/>
      <c r="B78" s="32"/>
      <c r="C78" s="32"/>
      <c r="D78" s="32"/>
      <c r="E78" s="32"/>
      <c r="F78" s="32"/>
      <c r="G78" s="32"/>
      <c r="H78" s="32"/>
      <c r="I78" s="32"/>
      <c r="J78" s="32"/>
      <c r="K78" s="32"/>
      <c r="L78" s="32"/>
      <c r="M78" s="32"/>
      <c r="N78" s="32"/>
      <c r="O78" s="32"/>
      <c r="P78" s="32"/>
      <c r="Q78" s="32"/>
    </row>
    <row r="79" spans="1:17" ht="14" hidden="1">
      <c r="A79" s="32"/>
      <c r="B79" s="32"/>
      <c r="C79" s="32"/>
      <c r="D79" s="32"/>
      <c r="E79" s="32"/>
      <c r="F79" s="32"/>
      <c r="G79" s="32"/>
      <c r="H79" s="32"/>
      <c r="I79" s="32"/>
      <c r="J79" s="32"/>
      <c r="K79" s="32"/>
      <c r="L79" s="32"/>
      <c r="M79" s="32"/>
      <c r="N79" s="32"/>
      <c r="O79" s="32"/>
      <c r="P79" s="32"/>
      <c r="Q79" s="32"/>
    </row>
    <row r="80" spans="1:17" ht="14" hidden="1">
      <c r="A80" s="32"/>
      <c r="B80" s="32"/>
      <c r="C80" s="32"/>
      <c r="D80" s="32"/>
      <c r="E80" s="32"/>
      <c r="F80" s="32"/>
      <c r="G80" s="32"/>
      <c r="H80" s="32"/>
      <c r="I80" s="32"/>
      <c r="J80" s="32"/>
      <c r="K80" s="32"/>
      <c r="L80" s="32"/>
      <c r="M80" s="32"/>
      <c r="N80" s="32"/>
      <c r="O80" s="32"/>
      <c r="P80" s="32"/>
      <c r="Q80" s="32"/>
    </row>
    <row r="81" spans="1:17" ht="14" hidden="1">
      <c r="A81" s="32"/>
      <c r="B81" s="32"/>
      <c r="C81" s="32"/>
      <c r="D81" s="32"/>
      <c r="E81" s="32"/>
      <c r="F81" s="32"/>
      <c r="G81" s="32"/>
      <c r="H81" s="32"/>
      <c r="I81" s="32"/>
      <c r="J81" s="32"/>
      <c r="K81" s="32"/>
      <c r="L81" s="32"/>
      <c r="M81" s="32"/>
      <c r="N81" s="32"/>
      <c r="O81" s="32"/>
      <c r="P81" s="32"/>
      <c r="Q81" s="32"/>
    </row>
    <row r="82" spans="1:17" ht="14" hidden="1">
      <c r="A82" s="32"/>
      <c r="B82" s="32"/>
      <c r="C82" s="32"/>
      <c r="D82" s="32"/>
      <c r="E82" s="32"/>
      <c r="F82" s="32"/>
      <c r="G82" s="32"/>
      <c r="H82" s="32"/>
      <c r="I82" s="32"/>
      <c r="J82" s="32"/>
      <c r="K82" s="32"/>
      <c r="L82" s="32"/>
      <c r="M82" s="32"/>
      <c r="N82" s="32"/>
      <c r="O82" s="32"/>
      <c r="P82" s="32"/>
      <c r="Q82" s="32"/>
    </row>
    <row r="83" spans="1:17" ht="14" hidden="1">
      <c r="A83" s="32"/>
      <c r="B83" s="32"/>
      <c r="C83" s="32"/>
      <c r="D83" s="32"/>
      <c r="E83" s="32"/>
      <c r="F83" s="32"/>
      <c r="G83" s="32"/>
      <c r="H83" s="32"/>
      <c r="I83" s="32"/>
      <c r="J83" s="32"/>
      <c r="K83" s="32"/>
      <c r="L83" s="32"/>
      <c r="M83" s="32"/>
      <c r="N83" s="32"/>
      <c r="O83" s="32"/>
      <c r="P83" s="32"/>
      <c r="Q83" s="32"/>
    </row>
    <row r="84" spans="1:17" ht="14" hidden="1">
      <c r="A84" s="32"/>
      <c r="B84" s="32"/>
      <c r="C84" s="32"/>
      <c r="D84" s="32"/>
      <c r="E84" s="32"/>
      <c r="F84" s="32"/>
      <c r="G84" s="32"/>
      <c r="H84" s="32"/>
      <c r="I84" s="32"/>
      <c r="J84" s="32"/>
      <c r="K84" s="32"/>
      <c r="L84" s="32"/>
      <c r="M84" s="32"/>
      <c r="N84" s="32"/>
      <c r="O84" s="32"/>
      <c r="P84" s="32"/>
      <c r="Q84" s="32"/>
    </row>
    <row r="85" spans="1:17" ht="14" hidden="1">
      <c r="A85" s="32"/>
      <c r="B85" s="32"/>
      <c r="C85" s="32"/>
      <c r="D85" s="32"/>
      <c r="E85" s="32"/>
      <c r="F85" s="32"/>
      <c r="G85" s="32"/>
      <c r="H85" s="32"/>
      <c r="I85" s="32"/>
      <c r="J85" s="32"/>
      <c r="K85" s="32"/>
      <c r="L85" s="32"/>
      <c r="M85" s="32"/>
      <c r="N85" s="32"/>
      <c r="O85" s="32"/>
      <c r="P85" s="32"/>
      <c r="Q85" s="32"/>
    </row>
    <row r="86" spans="1:17" ht="14" hidden="1">
      <c r="A86" s="32"/>
      <c r="B86" s="32"/>
      <c r="C86" s="32"/>
      <c r="D86" s="32"/>
      <c r="E86" s="32"/>
      <c r="F86" s="32"/>
      <c r="G86" s="32"/>
      <c r="H86" s="32"/>
      <c r="I86" s="32"/>
      <c r="J86" s="32"/>
      <c r="K86" s="32"/>
      <c r="L86" s="32"/>
      <c r="M86" s="32"/>
      <c r="N86" s="32"/>
      <c r="O86" s="32"/>
      <c r="P86" s="32"/>
      <c r="Q86" s="32"/>
    </row>
    <row r="87" spans="1:17" ht="14" hidden="1">
      <c r="A87" s="32"/>
      <c r="B87" s="32"/>
      <c r="C87" s="32"/>
      <c r="D87" s="32"/>
      <c r="E87" s="32"/>
      <c r="F87" s="32"/>
      <c r="G87" s="32"/>
      <c r="H87" s="32"/>
      <c r="I87" s="32"/>
      <c r="J87" s="32"/>
      <c r="K87" s="32"/>
      <c r="L87" s="32"/>
      <c r="M87" s="32"/>
      <c r="N87" s="32"/>
      <c r="O87" s="32"/>
      <c r="P87" s="32"/>
      <c r="Q87" s="32"/>
    </row>
    <row r="88" spans="1:17" ht="14" hidden="1">
      <c r="A88" s="32"/>
      <c r="B88" s="32"/>
      <c r="C88" s="32"/>
      <c r="D88" s="32"/>
      <c r="E88" s="32"/>
      <c r="F88" s="32"/>
      <c r="G88" s="32"/>
      <c r="H88" s="32"/>
      <c r="I88" s="32"/>
      <c r="J88" s="32"/>
      <c r="K88" s="32"/>
      <c r="L88" s="32"/>
      <c r="M88" s="32"/>
      <c r="N88" s="32"/>
      <c r="O88" s="32"/>
      <c r="P88" s="32"/>
      <c r="Q88" s="32"/>
    </row>
    <row r="89" spans="1:17" ht="14" hidden="1">
      <c r="A89" s="32"/>
      <c r="B89" s="32"/>
      <c r="C89" s="32"/>
      <c r="D89" s="32"/>
      <c r="E89" s="32"/>
      <c r="F89" s="32"/>
      <c r="G89" s="32"/>
      <c r="H89" s="32"/>
      <c r="I89" s="32"/>
      <c r="J89" s="32"/>
      <c r="K89" s="32"/>
      <c r="L89" s="32"/>
      <c r="M89" s="32"/>
      <c r="N89" s="32"/>
      <c r="O89" s="32"/>
      <c r="P89" s="32"/>
      <c r="Q89" s="32"/>
    </row>
    <row r="90" spans="1:17" ht="14" hidden="1">
      <c r="A90" s="32"/>
      <c r="B90" s="32"/>
      <c r="C90" s="32"/>
      <c r="D90" s="32"/>
      <c r="E90" s="32"/>
      <c r="F90" s="32"/>
      <c r="G90" s="32"/>
      <c r="H90" s="32"/>
      <c r="I90" s="32"/>
      <c r="J90" s="32"/>
      <c r="K90" s="32"/>
      <c r="L90" s="32"/>
      <c r="M90" s="32"/>
      <c r="N90" s="32"/>
      <c r="O90" s="32"/>
      <c r="P90" s="32"/>
      <c r="Q90" s="32"/>
    </row>
    <row r="91" spans="1:17" ht="14" hidden="1">
      <c r="A91" s="32"/>
      <c r="B91" s="32"/>
      <c r="C91" s="32"/>
      <c r="D91" s="32"/>
      <c r="E91" s="32"/>
      <c r="F91" s="32"/>
      <c r="G91" s="32"/>
      <c r="H91" s="32"/>
      <c r="I91" s="32"/>
      <c r="J91" s="32"/>
      <c r="K91" s="32"/>
      <c r="L91" s="32"/>
      <c r="M91" s="32"/>
      <c r="N91" s="32"/>
      <c r="O91" s="32"/>
      <c r="P91" s="32"/>
      <c r="Q91" s="32"/>
    </row>
    <row r="92" spans="1:17" ht="14" hidden="1">
      <c r="A92" s="32"/>
      <c r="B92" s="32"/>
      <c r="C92" s="32"/>
      <c r="D92" s="32"/>
      <c r="E92" s="32"/>
      <c r="F92" s="32"/>
      <c r="G92" s="32"/>
      <c r="H92" s="32"/>
      <c r="I92" s="32"/>
      <c r="J92" s="32"/>
      <c r="K92" s="32"/>
      <c r="L92" s="32"/>
      <c r="M92" s="32"/>
      <c r="N92" s="32"/>
      <c r="O92" s="32"/>
      <c r="P92" s="32"/>
      <c r="Q92" s="32"/>
    </row>
    <row r="93" spans="1:17" ht="14" hidden="1">
      <c r="A93" s="32"/>
      <c r="B93" s="32"/>
      <c r="C93" s="32"/>
      <c r="D93" s="32"/>
      <c r="E93" s="32"/>
      <c r="F93" s="32"/>
      <c r="G93" s="32"/>
      <c r="H93" s="32"/>
      <c r="I93" s="32"/>
      <c r="J93" s="32"/>
      <c r="K93" s="32"/>
      <c r="L93" s="32"/>
      <c r="M93" s="32"/>
      <c r="N93" s="32"/>
      <c r="O93" s="32"/>
      <c r="P93" s="32"/>
      <c r="Q93" s="32"/>
    </row>
    <row r="94" spans="1:17" ht="14" hidden="1">
      <c r="A94" s="32"/>
      <c r="B94" s="32"/>
      <c r="C94" s="32"/>
      <c r="D94" s="32"/>
      <c r="E94" s="32"/>
      <c r="F94" s="32"/>
      <c r="G94" s="32"/>
      <c r="H94" s="32"/>
      <c r="I94" s="32"/>
      <c r="J94" s="32"/>
      <c r="K94" s="32"/>
      <c r="L94" s="32"/>
      <c r="M94" s="32"/>
      <c r="N94" s="32"/>
      <c r="O94" s="32"/>
      <c r="P94" s="32"/>
      <c r="Q94" s="32"/>
    </row>
    <row r="95" spans="1:17" ht="14" hidden="1">
      <c r="A95" s="32"/>
      <c r="B95" s="32"/>
      <c r="C95" s="32"/>
      <c r="D95" s="32"/>
      <c r="E95" s="32"/>
      <c r="F95" s="32"/>
      <c r="G95" s="32"/>
      <c r="H95" s="32"/>
      <c r="I95" s="32"/>
      <c r="J95" s="32"/>
      <c r="K95" s="32"/>
      <c r="L95" s="32"/>
      <c r="M95" s="32"/>
      <c r="N95" s="32"/>
      <c r="O95" s="32"/>
      <c r="P95" s="32"/>
      <c r="Q95" s="32"/>
    </row>
    <row r="96" spans="1:17" ht="14" hidden="1">
      <c r="A96" s="32"/>
      <c r="B96" s="32"/>
      <c r="C96" s="32"/>
      <c r="D96" s="32"/>
      <c r="E96" s="32"/>
      <c r="F96" s="32"/>
      <c r="G96" s="32"/>
      <c r="H96" s="32"/>
      <c r="I96" s="32"/>
      <c r="J96" s="32"/>
      <c r="K96" s="32"/>
      <c r="L96" s="32"/>
      <c r="M96" s="32"/>
      <c r="N96" s="32"/>
      <c r="O96" s="32"/>
      <c r="P96" s="32"/>
      <c r="Q96" s="32"/>
    </row>
    <row r="97" spans="1:17" ht="14" hidden="1">
      <c r="A97" s="32"/>
      <c r="B97" s="32"/>
      <c r="C97" s="32"/>
      <c r="D97" s="32"/>
      <c r="E97" s="32"/>
      <c r="F97" s="32"/>
      <c r="G97" s="32"/>
      <c r="H97" s="32"/>
      <c r="I97" s="32"/>
      <c r="J97" s="32"/>
      <c r="K97" s="32"/>
      <c r="L97" s="32"/>
      <c r="M97" s="32"/>
      <c r="N97" s="32"/>
      <c r="O97" s="32"/>
      <c r="P97" s="32"/>
      <c r="Q97" s="32"/>
    </row>
    <row r="98" spans="1:17" ht="14" hidden="1">
      <c r="A98" s="32"/>
      <c r="B98" s="32"/>
      <c r="C98" s="32"/>
      <c r="D98" s="32"/>
      <c r="E98" s="32"/>
      <c r="F98" s="32"/>
      <c r="G98" s="32"/>
      <c r="H98" s="32"/>
      <c r="I98" s="32"/>
      <c r="J98" s="32"/>
      <c r="K98" s="32"/>
      <c r="L98" s="32"/>
      <c r="M98" s="32"/>
      <c r="N98" s="32"/>
      <c r="O98" s="32"/>
      <c r="P98" s="32"/>
      <c r="Q98" s="32"/>
    </row>
    <row r="99" spans="1:17" ht="14" hidden="1">
      <c r="A99" s="32"/>
      <c r="B99" s="32"/>
      <c r="C99" s="32"/>
      <c r="D99" s="32"/>
      <c r="E99" s="32"/>
      <c r="F99" s="32"/>
      <c r="G99" s="32"/>
      <c r="H99" s="32"/>
      <c r="I99" s="32"/>
      <c r="J99" s="32"/>
      <c r="K99" s="32"/>
      <c r="L99" s="32"/>
      <c r="M99" s="32"/>
      <c r="N99" s="32"/>
      <c r="O99" s="32"/>
      <c r="P99" s="32"/>
      <c r="Q99" s="32"/>
    </row>
    <row r="100" spans="1:17" ht="14" hidden="1">
      <c r="A100" s="32"/>
      <c r="B100" s="32"/>
      <c r="C100" s="32"/>
      <c r="D100" s="32"/>
      <c r="E100" s="32"/>
      <c r="F100" s="32"/>
      <c r="G100" s="32"/>
      <c r="H100" s="32"/>
      <c r="I100" s="32"/>
      <c r="J100" s="32"/>
      <c r="K100" s="32"/>
      <c r="L100" s="32"/>
      <c r="M100" s="32"/>
      <c r="N100" s="32"/>
      <c r="O100" s="32"/>
      <c r="P100" s="32"/>
      <c r="Q100" s="32"/>
    </row>
    <row r="101" spans="1:17" ht="14" hidden="1">
      <c r="A101" s="32"/>
      <c r="B101" s="32"/>
      <c r="C101" s="32"/>
      <c r="D101" s="32"/>
      <c r="E101" s="32"/>
      <c r="F101" s="32"/>
      <c r="G101" s="32"/>
      <c r="H101" s="32"/>
      <c r="I101" s="32"/>
      <c r="J101" s="32"/>
      <c r="K101" s="32"/>
      <c r="L101" s="32"/>
      <c r="M101" s="32"/>
      <c r="N101" s="32"/>
      <c r="O101" s="32"/>
      <c r="P101" s="32"/>
      <c r="Q101" s="32"/>
    </row>
    <row r="102" spans="1:17" ht="14" hidden="1">
      <c r="A102" s="32"/>
      <c r="B102" s="32"/>
      <c r="C102" s="32"/>
      <c r="D102" s="32"/>
      <c r="E102" s="32"/>
      <c r="F102" s="32"/>
      <c r="G102" s="32"/>
      <c r="H102" s="32"/>
      <c r="I102" s="32"/>
      <c r="J102" s="32"/>
      <c r="K102" s="32"/>
      <c r="L102" s="32"/>
      <c r="M102" s="32"/>
      <c r="N102" s="32"/>
      <c r="O102" s="32"/>
      <c r="P102" s="32"/>
      <c r="Q102" s="32"/>
    </row>
    <row r="103" spans="1:17" ht="14" hidden="1">
      <c r="A103" s="32"/>
      <c r="B103" s="32"/>
      <c r="C103" s="32"/>
      <c r="D103" s="32"/>
      <c r="E103" s="32"/>
      <c r="F103" s="32"/>
      <c r="G103" s="32"/>
      <c r="H103" s="32"/>
      <c r="I103" s="32"/>
      <c r="J103" s="32"/>
      <c r="K103" s="32"/>
      <c r="L103" s="32"/>
      <c r="M103" s="32"/>
      <c r="N103" s="32"/>
      <c r="O103" s="32"/>
      <c r="P103" s="32"/>
      <c r="Q103" s="32"/>
    </row>
    <row r="104" spans="1:17" ht="14" hidden="1">
      <c r="A104" s="32"/>
      <c r="B104" s="32"/>
      <c r="C104" s="32"/>
      <c r="D104" s="32"/>
      <c r="E104" s="32"/>
      <c r="F104" s="32"/>
      <c r="G104" s="32"/>
      <c r="H104" s="32"/>
      <c r="K104" s="32"/>
      <c r="L104" s="32"/>
      <c r="M104" s="32"/>
      <c r="N104" s="32"/>
      <c r="O104" s="32"/>
      <c r="P104" s="32"/>
      <c r="Q104" s="32"/>
    </row>
    <row r="105" spans="1:17" ht="14" hidden="1">
      <c r="A105" s="32"/>
      <c r="B105" s="32"/>
      <c r="C105" s="32"/>
      <c r="D105" s="32"/>
      <c r="E105" s="32"/>
      <c r="F105" s="32"/>
      <c r="G105" s="32"/>
      <c r="H105" s="32"/>
      <c r="K105" s="32"/>
      <c r="L105" s="32"/>
      <c r="M105" s="32"/>
      <c r="N105" s="32"/>
      <c r="O105" s="32"/>
      <c r="P105" s="32"/>
      <c r="Q105" s="32"/>
    </row>
    <row r="106" spans="1:17" ht="14" hidden="1">
      <c r="A106" s="32"/>
      <c r="B106" s="32"/>
      <c r="C106" s="32"/>
      <c r="D106" s="32"/>
      <c r="E106" s="32"/>
      <c r="F106" s="32"/>
      <c r="G106" s="32"/>
      <c r="H106" s="32"/>
      <c r="K106" s="32"/>
      <c r="L106" s="32"/>
      <c r="M106" s="32"/>
      <c r="N106" s="32"/>
      <c r="O106" s="32"/>
      <c r="P106" s="32"/>
      <c r="Q106" s="32"/>
    </row>
    <row r="107" spans="1:17" ht="14" hidden="1">
      <c r="A107" s="32"/>
      <c r="B107" s="32"/>
      <c r="C107" s="32"/>
      <c r="D107" s="32"/>
      <c r="E107" s="32"/>
      <c r="F107" s="32"/>
      <c r="G107" s="32"/>
      <c r="H107" s="32"/>
      <c r="K107" s="32"/>
      <c r="L107" s="32"/>
      <c r="M107" s="32"/>
      <c r="N107" s="32"/>
      <c r="O107" s="32"/>
      <c r="P107" s="32"/>
      <c r="Q107" s="32"/>
    </row>
    <row r="108" spans="1:17" ht="14" hidden="1">
      <c r="A108" s="32"/>
      <c r="B108" s="32"/>
      <c r="C108" s="32"/>
      <c r="D108" s="32"/>
      <c r="E108" s="32"/>
      <c r="F108" s="32"/>
      <c r="G108" s="32"/>
      <c r="H108" s="32"/>
      <c r="K108" s="32"/>
      <c r="L108" s="32"/>
      <c r="M108" s="32"/>
      <c r="N108" s="32"/>
      <c r="O108" s="32"/>
      <c r="P108" s="32"/>
      <c r="Q108" s="32"/>
    </row>
    <row r="109" spans="1:17" ht="14" hidden="1">
      <c r="A109" s="32"/>
      <c r="B109" s="32"/>
      <c r="C109" s="32"/>
      <c r="D109" s="32"/>
      <c r="E109" s="32"/>
      <c r="F109" s="32"/>
      <c r="G109" s="32"/>
      <c r="H109" s="32"/>
      <c r="K109" s="32"/>
      <c r="L109" s="32"/>
      <c r="M109" s="32"/>
      <c r="N109" s="32"/>
      <c r="O109" s="32"/>
      <c r="P109" s="32"/>
      <c r="Q109" s="32"/>
    </row>
    <row r="110" spans="1:17" ht="14" hidden="1">
      <c r="A110" s="32"/>
      <c r="B110" s="32"/>
      <c r="C110" s="32"/>
      <c r="D110" s="32"/>
      <c r="E110" s="32"/>
      <c r="F110" s="32"/>
      <c r="G110" s="32"/>
      <c r="H110" s="32"/>
      <c r="K110" s="32"/>
      <c r="L110" s="32"/>
      <c r="M110" s="32"/>
      <c r="N110" s="32"/>
      <c r="O110" s="32"/>
      <c r="P110" s="32"/>
      <c r="Q110" s="32"/>
    </row>
    <row r="111" spans="1:17" ht="14" hidden="1">
      <c r="A111" s="32"/>
      <c r="B111" s="32"/>
      <c r="C111" s="32"/>
      <c r="D111" s="32"/>
      <c r="E111" s="32"/>
      <c r="F111" s="32"/>
      <c r="G111" s="32"/>
      <c r="H111" s="32"/>
      <c r="K111" s="32"/>
      <c r="L111" s="32"/>
      <c r="M111" s="32"/>
      <c r="N111" s="32"/>
      <c r="O111" s="32"/>
      <c r="P111" s="32"/>
      <c r="Q111" s="32"/>
    </row>
    <row r="112" spans="1:17" ht="14" hidden="1">
      <c r="A112" s="32"/>
      <c r="B112" s="32"/>
      <c r="C112" s="32"/>
      <c r="D112" s="32"/>
      <c r="E112" s="32"/>
      <c r="F112" s="32"/>
      <c r="G112" s="32"/>
      <c r="H112" s="32"/>
      <c r="K112" s="32"/>
      <c r="L112" s="32"/>
      <c r="M112" s="32"/>
      <c r="N112" s="32"/>
      <c r="O112" s="32"/>
      <c r="P112" s="32"/>
      <c r="Q112" s="32"/>
    </row>
    <row r="113" spans="1:17" ht="14" hidden="1">
      <c r="A113" s="32"/>
      <c r="B113" s="32"/>
      <c r="C113" s="32"/>
      <c r="D113" s="32"/>
      <c r="E113" s="32"/>
      <c r="F113" s="32"/>
      <c r="G113" s="32"/>
      <c r="H113" s="32"/>
      <c r="K113" s="32"/>
      <c r="L113" s="32"/>
      <c r="M113" s="32"/>
      <c r="N113" s="32"/>
      <c r="O113" s="32"/>
      <c r="P113" s="32"/>
      <c r="Q113" s="32"/>
    </row>
    <row r="114" spans="1:17" ht="14" hidden="1">
      <c r="A114" s="32"/>
      <c r="B114" s="32"/>
      <c r="C114" s="32"/>
      <c r="D114" s="32"/>
      <c r="E114" s="32"/>
      <c r="F114" s="32"/>
      <c r="G114" s="32"/>
      <c r="H114" s="32"/>
      <c r="K114" s="32"/>
      <c r="L114" s="32"/>
      <c r="M114" s="32"/>
      <c r="N114" s="32"/>
      <c r="O114" s="32"/>
      <c r="P114" s="32"/>
      <c r="Q114" s="32"/>
    </row>
    <row r="115" spans="1:17" ht="14" hidden="1">
      <c r="A115" s="32"/>
      <c r="B115" s="32"/>
      <c r="C115" s="32"/>
      <c r="D115" s="32"/>
      <c r="E115" s="32"/>
      <c r="F115" s="32"/>
      <c r="G115" s="32"/>
      <c r="H115" s="32"/>
      <c r="K115" s="32"/>
      <c r="L115" s="32"/>
      <c r="M115" s="32"/>
      <c r="N115" s="32"/>
      <c r="O115" s="32"/>
      <c r="P115" s="32"/>
      <c r="Q115" s="32"/>
    </row>
    <row r="116" spans="1:17" ht="14" hidden="1">
      <c r="A116" s="32"/>
      <c r="B116" s="32"/>
      <c r="C116" s="32"/>
      <c r="D116" s="32"/>
      <c r="E116" s="32"/>
      <c r="F116" s="32"/>
      <c r="G116" s="32"/>
      <c r="H116" s="32"/>
      <c r="K116" s="32"/>
      <c r="L116" s="32"/>
      <c r="M116" s="32"/>
      <c r="N116" s="32"/>
      <c r="O116" s="32"/>
      <c r="P116" s="32"/>
      <c r="Q116" s="32"/>
    </row>
    <row r="117" spans="1:7" ht="14" hidden="1">
      <c r="A117" s="32"/>
      <c r="B117" s="32"/>
      <c r="C117" s="32"/>
      <c r="D117" s="32"/>
      <c r="E117" s="32"/>
      <c r="F117" s="32"/>
      <c r="G117" s="32"/>
    </row>
    <row r="118" spans="1:7" ht="14" hidden="1">
      <c r="A118" s="32"/>
      <c r="B118" s="32"/>
      <c r="C118" s="32"/>
      <c r="D118" s="32"/>
      <c r="E118" s="32"/>
      <c r="F118" s="32"/>
      <c r="G118" s="32"/>
    </row>
    <row r="119" spans="1:7" ht="14" hidden="1">
      <c r="A119" s="32"/>
      <c r="B119" s="32"/>
      <c r="C119" s="32"/>
      <c r="D119" s="32"/>
      <c r="E119" s="32"/>
      <c r="F119" s="32"/>
      <c r="G119" s="32"/>
    </row>
    <row r="120" spans="1:7" ht="14" hidden="1">
      <c r="A120" s="32"/>
      <c r="B120" s="32"/>
      <c r="C120" s="32"/>
      <c r="D120" s="32"/>
      <c r="E120" s="32"/>
      <c r="F120" s="32"/>
      <c r="G120" s="32"/>
    </row>
    <row r="121" spans="1:7" ht="14" hidden="1">
      <c r="A121" s="32"/>
      <c r="B121" s="32"/>
      <c r="C121" s="32"/>
      <c r="D121" s="32"/>
      <c r="E121" s="32"/>
      <c r="F121" s="32"/>
      <c r="G121" s="32"/>
    </row>
    <row r="122" spans="1:7" ht="14" hidden="1">
      <c r="A122" s="32"/>
      <c r="B122" s="32"/>
      <c r="C122" s="32"/>
      <c r="D122" s="32"/>
      <c r="E122" s="32"/>
      <c r="F122" s="32"/>
      <c r="G122" s="32"/>
    </row>
    <row r="123" spans="1:7" ht="14" hidden="1">
      <c r="A123" s="32"/>
      <c r="B123" s="32"/>
      <c r="C123" s="32"/>
      <c r="D123" s="32"/>
      <c r="E123" s="32"/>
      <c r="F123" s="32"/>
      <c r="G123" s="32"/>
    </row>
    <row r="124" spans="1:7" ht="14" hidden="1">
      <c r="A124" s="32"/>
      <c r="B124" s="32"/>
      <c r="C124" s="32"/>
      <c r="D124" s="32"/>
      <c r="E124" s="32"/>
      <c r="F124" s="32"/>
      <c r="G124" s="32"/>
    </row>
    <row r="125" spans="1:7" ht="14" hidden="1">
      <c r="A125" s="32"/>
      <c r="B125" s="32"/>
      <c r="C125" s="32"/>
      <c r="D125" s="32"/>
      <c r="E125" s="32"/>
      <c r="F125" s="32"/>
      <c r="G125" s="32"/>
    </row>
    <row r="126" spans="1:7" ht="14" hidden="1">
      <c r="A126" s="32"/>
      <c r="B126" s="32"/>
      <c r="C126" s="32"/>
      <c r="D126" s="32"/>
      <c r="E126" s="32"/>
      <c r="F126" s="32"/>
      <c r="G126" s="32"/>
    </row>
    <row r="127" spans="1:7" ht="14" hidden="1">
      <c r="A127" s="32"/>
      <c r="B127" s="32"/>
      <c r="C127" s="32"/>
      <c r="D127" s="32"/>
      <c r="E127" s="32"/>
      <c r="F127" s="32"/>
      <c r="G127" s="32"/>
    </row>
    <row r="128" spans="1:7" ht="14" hidden="1">
      <c r="A128" s="32"/>
      <c r="B128" s="32"/>
      <c r="C128" s="32"/>
      <c r="D128" s="32"/>
      <c r="E128" s="32"/>
      <c r="F128" s="32"/>
      <c r="G128" s="32"/>
    </row>
    <row r="129" spans="1:7" ht="14" hidden="1">
      <c r="A129" s="32"/>
      <c r="B129" s="32"/>
      <c r="C129" s="32"/>
      <c r="D129" s="32"/>
      <c r="E129" s="32"/>
      <c r="F129" s="32"/>
      <c r="G129" s="32"/>
    </row>
    <row r="130" spans="1:7" ht="14" hidden="1">
      <c r="A130" s="32"/>
      <c r="B130" s="32"/>
      <c r="C130" s="32"/>
      <c r="D130" s="32"/>
      <c r="E130" s="32"/>
      <c r="F130" s="32"/>
      <c r="G130" s="32"/>
    </row>
    <row r="131" spans="1:7" ht="14" hidden="1">
      <c r="A131" s="32"/>
      <c r="B131" s="32"/>
      <c r="C131" s="32"/>
      <c r="D131" s="32"/>
      <c r="E131" s="32"/>
      <c r="F131" s="32"/>
      <c r="G131" s="32"/>
    </row>
    <row r="132" spans="1:7" ht="14" hidden="1">
      <c r="A132" s="32"/>
      <c r="B132" s="32"/>
      <c r="C132" s="32"/>
      <c r="D132" s="32"/>
      <c r="E132" s="32"/>
      <c r="F132" s="32"/>
      <c r="G132" s="32"/>
    </row>
    <row r="133" spans="1:7" ht="14" hidden="1">
      <c r="A133" s="32"/>
      <c r="B133" s="32"/>
      <c r="C133" s="32"/>
      <c r="D133" s="32"/>
      <c r="E133" s="32"/>
      <c r="F133" s="32"/>
      <c r="G133" s="32"/>
    </row>
    <row r="134" spans="1:7" ht="14" hidden="1">
      <c r="A134" s="32"/>
      <c r="B134" s="32"/>
      <c r="C134" s="32"/>
      <c r="D134" s="32"/>
      <c r="E134" s="32"/>
      <c r="F134" s="32"/>
      <c r="G134" s="32"/>
    </row>
    <row r="135" spans="1:7" ht="14" hidden="1">
      <c r="A135" s="32"/>
      <c r="B135" s="32"/>
      <c r="C135" s="32"/>
      <c r="D135" s="32"/>
      <c r="E135" s="32"/>
      <c r="F135" s="32"/>
      <c r="G135" s="32"/>
    </row>
    <row r="136" spans="1:7" ht="14" hidden="1">
      <c r="A136" s="32"/>
      <c r="B136" s="32"/>
      <c r="C136" s="32"/>
      <c r="D136" s="32"/>
      <c r="E136" s="32"/>
      <c r="F136" s="32"/>
      <c r="G136" s="32"/>
    </row>
    <row r="137" spans="1:7" ht="14" hidden="1">
      <c r="A137" s="32"/>
      <c r="B137" s="32"/>
      <c r="C137" s="32"/>
      <c r="D137" s="32"/>
      <c r="E137" s="32"/>
      <c r="F137" s="32"/>
      <c r="G137" s="32"/>
    </row>
    <row r="138" spans="1:7" ht="14" hidden="1">
      <c r="A138" s="32"/>
      <c r="B138" s="32"/>
      <c r="C138" s="32"/>
      <c r="D138" s="32"/>
      <c r="E138" s="32"/>
      <c r="F138" s="32"/>
      <c r="G138" s="32"/>
    </row>
    <row r="139" spans="1:7" ht="14" hidden="1">
      <c r="A139" s="32"/>
      <c r="B139" s="32"/>
      <c r="C139" s="32"/>
      <c r="D139" s="32"/>
      <c r="E139" s="32"/>
      <c r="F139" s="32"/>
      <c r="G139" s="32"/>
    </row>
    <row r="140" spans="1:7" ht="14" hidden="1">
      <c r="A140" s="32"/>
      <c r="B140" s="32"/>
      <c r="C140" s="32"/>
      <c r="D140" s="32"/>
      <c r="E140" s="32"/>
      <c r="F140" s="32"/>
      <c r="G140" s="32"/>
    </row>
    <row r="141" spans="1:7" ht="14" hidden="1">
      <c r="A141" s="32"/>
      <c r="B141" s="32"/>
      <c r="C141" s="32"/>
      <c r="D141" s="32"/>
      <c r="E141" s="32"/>
      <c r="F141" s="32"/>
      <c r="G141" s="32"/>
    </row>
    <row r="142" spans="1:7" ht="14" hidden="1">
      <c r="A142" s="32"/>
      <c r="B142" s="32"/>
      <c r="C142" s="32"/>
      <c r="D142" s="32"/>
      <c r="E142" s="32"/>
      <c r="F142" s="32"/>
      <c r="G142" s="32"/>
    </row>
    <row r="143" spans="1:7" ht="14" hidden="1">
      <c r="A143" s="32"/>
      <c r="B143" s="32"/>
      <c r="C143" s="32"/>
      <c r="D143" s="32"/>
      <c r="E143" s="32"/>
      <c r="F143" s="32"/>
      <c r="G143" s="32"/>
    </row>
    <row r="144" spans="1:7" ht="14" hidden="1">
      <c r="A144" s="32"/>
      <c r="B144" s="32"/>
      <c r="C144" s="32"/>
      <c r="D144" s="32"/>
      <c r="E144" s="32"/>
      <c r="F144" s="32"/>
      <c r="G144" s="32"/>
    </row>
    <row r="145" spans="1:7" ht="14" hidden="1">
      <c r="A145" s="32"/>
      <c r="B145" s="32"/>
      <c r="C145" s="32"/>
      <c r="D145" s="32"/>
      <c r="E145" s="32"/>
      <c r="F145" s="32"/>
      <c r="G145" s="32"/>
    </row>
    <row r="146" spans="1:7" ht="14" hidden="1">
      <c r="A146" s="32"/>
      <c r="B146" s="32"/>
      <c r="C146" s="32"/>
      <c r="D146" s="32"/>
      <c r="E146" s="32"/>
      <c r="F146" s="32"/>
      <c r="G146" s="32"/>
    </row>
    <row r="147" spans="1:7" ht="14" hidden="1">
      <c r="A147" s="32"/>
      <c r="B147" s="32"/>
      <c r="C147" s="32"/>
      <c r="D147" s="32"/>
      <c r="E147" s="32"/>
      <c r="F147" s="32"/>
      <c r="G147" s="32"/>
    </row>
    <row r="148" spans="1:7" ht="14" hidden="1">
      <c r="A148" s="32"/>
      <c r="B148" s="32"/>
      <c r="C148" s="32"/>
      <c r="D148" s="32"/>
      <c r="E148" s="32"/>
      <c r="F148" s="32"/>
      <c r="G148" s="32"/>
    </row>
    <row r="149" spans="1:7" ht="14" hidden="1">
      <c r="A149" s="32"/>
      <c r="B149" s="32"/>
      <c r="C149" s="32"/>
      <c r="D149" s="32"/>
      <c r="E149" s="32"/>
      <c r="F149" s="32"/>
      <c r="G149" s="32"/>
    </row>
    <row r="150" spans="1:7" ht="14" hidden="1">
      <c r="A150" s="32"/>
      <c r="B150" s="32"/>
      <c r="C150" s="32"/>
      <c r="D150" s="32"/>
      <c r="E150" s="32"/>
      <c r="F150" s="32"/>
      <c r="G150" s="32"/>
    </row>
    <row r="151" spans="1:7" ht="14" hidden="1">
      <c r="A151" s="32"/>
      <c r="B151" s="32"/>
      <c r="C151" s="32"/>
      <c r="D151" s="32"/>
      <c r="E151" s="32"/>
      <c r="F151" s="32"/>
      <c r="G151" s="32"/>
    </row>
    <row r="152" spans="1:7" ht="14" hidden="1">
      <c r="A152" s="32"/>
      <c r="B152" s="32"/>
      <c r="C152" s="32"/>
      <c r="D152" s="32"/>
      <c r="E152" s="32"/>
      <c r="F152" s="32"/>
      <c r="G152" s="32"/>
    </row>
    <row r="153" spans="1:7" ht="14" hidden="1">
      <c r="A153" s="32"/>
      <c r="B153" s="32"/>
      <c r="C153" s="32"/>
      <c r="D153" s="32"/>
      <c r="E153" s="32"/>
      <c r="F153" s="32"/>
      <c r="G153" s="32"/>
    </row>
    <row r="154" spans="1:7" ht="14" hidden="1">
      <c r="A154" s="32"/>
      <c r="B154" s="32"/>
      <c r="C154" s="32"/>
      <c r="D154" s="32"/>
      <c r="E154" s="32"/>
      <c r="F154" s="32"/>
      <c r="G154" s="32"/>
    </row>
    <row r="155" spans="1:7" ht="14" hidden="1">
      <c r="A155" s="32"/>
      <c r="B155" s="32"/>
      <c r="C155" s="32"/>
      <c r="D155" s="32"/>
      <c r="E155" s="32"/>
      <c r="F155" s="32"/>
      <c r="G155" s="32"/>
    </row>
    <row r="156" spans="1:7" ht="14" hidden="1">
      <c r="A156" s="32"/>
      <c r="B156" s="32"/>
      <c r="C156" s="32"/>
      <c r="D156" s="32"/>
      <c r="E156" s="32"/>
      <c r="F156" s="32"/>
      <c r="G156" s="32"/>
    </row>
    <row r="157" spans="2:7" ht="14" hidden="1">
      <c r="B157" s="32"/>
      <c r="C157" s="32"/>
      <c r="D157" s="32"/>
      <c r="E157" s="32"/>
      <c r="F157" s="32"/>
      <c r="G157" s="32"/>
    </row>
    <row r="158" spans="2:7" ht="14" hidden="1">
      <c r="B158" s="32"/>
      <c r="C158" s="32"/>
      <c r="D158" s="32"/>
      <c r="E158" s="32"/>
      <c r="F158" s="32"/>
      <c r="G158" s="32"/>
    </row>
    <row r="159" spans="2:7" ht="14" hidden="1">
      <c r="B159" s="32"/>
      <c r="C159" s="32"/>
      <c r="D159" s="32"/>
      <c r="E159" s="32"/>
      <c r="F159" s="32"/>
      <c r="G159" s="32"/>
    </row>
    <row r="160" spans="2:7" ht="14" hidden="1">
      <c r="B160" s="32"/>
      <c r="C160" s="32"/>
      <c r="D160" s="32"/>
      <c r="E160" s="32"/>
      <c r="F160" s="32"/>
      <c r="G160" s="32"/>
    </row>
    <row r="161" spans="2:7" ht="14" hidden="1">
      <c r="B161" s="32"/>
      <c r="C161" s="32"/>
      <c r="D161" s="32"/>
      <c r="E161" s="32"/>
      <c r="F161" s="32"/>
      <c r="G161" s="32"/>
    </row>
    <row r="162" spans="2:7" ht="14" hidden="1">
      <c r="B162" s="32"/>
      <c r="C162" s="32"/>
      <c r="D162" s="32"/>
      <c r="E162" s="32"/>
      <c r="F162" s="32"/>
      <c r="G162" s="32"/>
    </row>
    <row r="163" spans="2:7" ht="14" hidden="1">
      <c r="B163" s="32"/>
      <c r="C163" s="32"/>
      <c r="D163" s="32"/>
      <c r="E163" s="32"/>
      <c r="F163" s="32"/>
      <c r="G163" s="32"/>
    </row>
    <row r="164" ht="14" hidden="1"/>
    <row r="165" ht="14.15" customHeight="1" hidden="1"/>
    <row r="166" ht="14.15" customHeight="1" hidden="1"/>
    <row r="167" ht="14.15" customHeight="1" hidden="1"/>
    <row r="168" ht="14.15" customHeight="1" hidden="1"/>
    <row r="169" ht="14.15" customHeight="1" hidden="1"/>
    <row r="170" ht="14.15" customHeight="1" hidden="1"/>
    <row r="171" ht="14.15" customHeight="1" hidden="1"/>
    <row r="172" ht="14.15" customHeight="1" hidden="1"/>
    <row r="173" ht="14.15" customHeight="1" hidden="1"/>
    <row r="174" ht="14.15" customHeight="1" hidden="1"/>
    <row r="175" ht="14.15" customHeight="1" hidden="1"/>
    <row r="176" ht="14.15" customHeight="1" hidden="1"/>
    <row r="177" ht="14.15" customHeight="1" hidden="1"/>
    <row r="178" ht="14.15" customHeight="1" hidden="1"/>
    <row r="179" ht="14.15" customHeight="1" hidden="1"/>
    <row r="180" ht="14.15" customHeight="1" hidden="1"/>
    <row r="181" ht="14.15" customHeight="1" hidden="1"/>
    <row r="182" ht="14.15" customHeight="1" hidden="1"/>
    <row r="183" ht="14.15" customHeight="1" hidden="1"/>
    <row r="184" ht="14.15" customHeight="1" hidden="1"/>
    <row r="185" ht="14.15" customHeight="1" hidden="1"/>
    <row r="186" ht="14.15" customHeight="1" hidden="1"/>
    <row r="187" ht="14.15" customHeight="1" hidden="1"/>
    <row r="188" ht="14.15" customHeight="1" hidden="1"/>
    <row r="189" ht="14.15" customHeight="1" hidden="1"/>
    <row r="190" ht="14.15" customHeight="1" hidden="1"/>
    <row r="191" ht="14.15" customHeight="1" hidden="1"/>
    <row r="192" ht="14.15" customHeight="1" hidden="1"/>
    <row r="193" ht="14.15" customHeight="1" hidden="1"/>
    <row r="194" ht="14.15" customHeight="1" hidden="1"/>
    <row r="195" ht="14.15" customHeight="1" hidden="1"/>
    <row r="196" ht="14.15" customHeight="1" hidden="1"/>
    <row r="197" ht="14.15" customHeight="1" hidden="1"/>
    <row r="198" ht="14.15" customHeight="1" hidden="1"/>
    <row r="199" ht="14.15" customHeight="1" hidden="1"/>
    <row r="200" ht="14.15" customHeight="1" hidden="1"/>
    <row r="201" ht="14.15" customHeight="1" hidden="1"/>
    <row r="202" ht="14.15" customHeight="1" hidden="1"/>
    <row r="203" ht="14.15" customHeight="1" hidden="1"/>
    <row r="204" ht="14.15" customHeight="1" hidden="1"/>
    <row r="205" ht="14.15" customHeight="1" hidden="1"/>
    <row r="206" ht="14.15" customHeight="1" hidden="1"/>
    <row r="207" ht="14.15" customHeight="1" hidden="1"/>
    <row r="208" ht="14.15" customHeight="1" hidden="1"/>
    <row r="209" ht="14.15" customHeight="1" hidden="1"/>
    <row r="210" ht="14.15" customHeight="1" hidden="1"/>
    <row r="211" ht="14.15" customHeight="1" hidden="1"/>
    <row r="212" ht="14.15" customHeight="1" hidden="1"/>
    <row r="213" ht="14.15" customHeight="1" hidden="1"/>
    <row r="214" ht="14.15" customHeight="1" hidden="1"/>
    <row r="215" ht="14.15" customHeight="1" hidden="1"/>
    <row r="216" ht="14.15" customHeight="1" hidden="1"/>
    <row r="217" ht="14.15" customHeight="1" hidden="1"/>
    <row r="218" ht="14.15" customHeight="1" hidden="1"/>
    <row r="219" ht="14.15" customHeight="1" hidden="1"/>
    <row r="220" ht="14.15" customHeight="1" hidden="1"/>
    <row r="221" ht="14.15" customHeight="1" hidden="1"/>
    <row r="222" ht="14.15" customHeight="1" hidden="1"/>
    <row r="223" ht="14.15" customHeight="1" hidden="1"/>
    <row r="224" ht="14.15" customHeight="1" hidden="1"/>
    <row r="225" ht="14.15" customHeight="1" hidden="1"/>
    <row r="226" ht="14.15" customHeight="1" hidden="1"/>
    <row r="227" ht="14.15" customHeight="1" hidden="1"/>
    <row r="228" ht="14.15" customHeight="1" hidden="1"/>
    <row r="229" ht="14.15" customHeight="1" hidden="1"/>
    <row r="230" ht="14.15" customHeight="1" hidden="1"/>
    <row r="231" ht="14.15" customHeight="1" hidden="1"/>
    <row r="232" ht="14.15" customHeight="1" hidden="1"/>
    <row r="233" ht="14.15" customHeight="1" hidden="1"/>
    <row r="234" ht="14.15" customHeight="1" hidden="1"/>
    <row r="235" ht="14.15" customHeight="1" hidden="1"/>
    <row r="236" ht="14.15" customHeight="1" hidden="1"/>
    <row r="237" ht="14.15" customHeight="1" hidden="1"/>
    <row r="238" ht="14.15" customHeight="1" hidden="1"/>
    <row r="239" ht="14.15" customHeight="1" hidden="1"/>
    <row r="240" ht="14.15" customHeight="1" hidden="1"/>
    <row r="241" ht="14.15" customHeight="1" hidden="1"/>
    <row r="242" ht="14.15" customHeight="1" hidden="1"/>
    <row r="243" ht="14.15" customHeight="1" hidden="1"/>
    <row r="244" ht="14.15" customHeight="1" hidden="1"/>
    <row r="245" ht="14.15" customHeight="1" hidden="1"/>
    <row r="246" ht="14.15" customHeight="1" hidden="1"/>
    <row r="247" ht="14.15" customHeight="1" hidden="1"/>
    <row r="248" ht="14.15" customHeight="1" hidden="1"/>
    <row r="249" ht="14.15" customHeight="1" hidden="1"/>
    <row r="250" ht="14.15" customHeight="1" hidden="1"/>
    <row r="251" ht="14.15" customHeight="1" hidden="1"/>
    <row r="252" ht="14.15" customHeight="1" hidden="1"/>
    <row r="253" ht="14.15" customHeight="1" hidden="1"/>
    <row r="254" ht="14.15" customHeight="1" hidden="1"/>
    <row r="255" ht="14.15" customHeight="1" hidden="1"/>
    <row r="256" ht="14.15" customHeight="1" hidden="1"/>
    <row r="257" ht="14.15" customHeight="1" hidden="1"/>
    <row r="258" ht="14.15" customHeight="1" hidden="1"/>
    <row r="259" ht="14.15" customHeight="1" hidden="1"/>
    <row r="260" ht="14.15" customHeight="1" hidden="1"/>
    <row r="261" ht="14.15" customHeight="1" hidden="1"/>
    <row r="262" ht="14.15" customHeight="1" hidden="1"/>
    <row r="263" ht="14.15" customHeight="1" hidden="1"/>
    <row r="264" ht="14.15" customHeight="1" hidden="1"/>
    <row r="265" ht="14.15" customHeight="1" hidden="1"/>
    <row r="266" ht="14.15" customHeight="1" hidden="1"/>
    <row r="267" ht="14.15" customHeight="1" hidden="1"/>
    <row r="268" ht="14.15" customHeight="1" hidden="1"/>
    <row r="269" ht="14.15" customHeight="1" hidden="1"/>
    <row r="270" ht="14.15" customHeight="1" hidden="1"/>
    <row r="271" ht="14.15" customHeight="1" hidden="1"/>
    <row r="272" ht="14.15" customHeight="1" hidden="1"/>
    <row r="273" ht="14.15" customHeight="1" hidden="1"/>
    <row r="274" ht="14.15" customHeight="1" hidden="1"/>
    <row r="275" ht="14.15" customHeight="1" hidden="1"/>
    <row r="276" ht="14.15" customHeight="1" hidden="1"/>
    <row r="277" ht="14.15" customHeight="1" hidden="1"/>
    <row r="278" ht="14.15" customHeight="1" hidden="1"/>
    <row r="279" ht="14.15" customHeight="1" hidden="1"/>
    <row r="280" ht="14.15" customHeight="1" hidden="1"/>
    <row r="281" ht="14.15" customHeight="1" hidden="1"/>
    <row r="282" ht="14.15" customHeight="1" hidden="1"/>
    <row r="283" ht="14.15" customHeight="1" hidden="1"/>
    <row r="284" ht="14.15" customHeight="1" hidden="1"/>
    <row r="285" ht="14.15" customHeight="1" hidden="1"/>
    <row r="286" ht="14.15" customHeight="1" hidden="1"/>
    <row r="287" ht="14.15" customHeight="1" hidden="1"/>
    <row r="288" ht="14.15" customHeight="1" hidden="1"/>
    <row r="289" ht="14.15" customHeight="1" hidden="1"/>
    <row r="290" ht="14.15" customHeight="1" hidden="1"/>
    <row r="291" ht="14.15" customHeight="1" hidden="1"/>
    <row r="292" ht="14.15" customHeight="1" hidden="1"/>
    <row r="293" ht="14.15" customHeight="1" hidden="1"/>
    <row r="294" ht="14.15" customHeight="1" hidden="1"/>
    <row r="295" ht="14.15" customHeight="1" hidden="1"/>
    <row r="296" ht="14.15" customHeight="1" hidden="1"/>
    <row r="297" ht="14.15" customHeight="1" hidden="1"/>
    <row r="298" ht="14.15" customHeight="1" hidden="1"/>
    <row r="299" ht="14.15" customHeight="1" hidden="1"/>
    <row r="300" ht="14.15" customHeight="1" hidden="1"/>
    <row r="301" ht="14.15" customHeight="1" hidden="1"/>
    <row r="302" ht="14.15" customHeight="1" hidden="1"/>
    <row r="303" ht="14.15" customHeight="1" hidden="1"/>
    <row r="304" ht="14.15" customHeight="1" hidden="1"/>
    <row r="305" ht="14.15" customHeight="1" hidden="1"/>
    <row r="306" ht="14.15" customHeight="1" hidden="1"/>
    <row r="1048576" ht="74.9" customHeight="1" hidden="1"/>
  </sheetData>
  <sheetProtection algorithmName="SHA-512" hashValue="GXzLx/aDHNA6yBsDg/M3Dk1kFjMQbthd32EXsAsjNdi6H5+SHXc7q+1YSfiLfwXxN8iOJS192qFneWvPi7Nmvg==" saltValue="mDN/ZNEDnu7ibUY92VtxIA==" spinCount="100000" sheet="1" objects="1" scenarios="1"/>
  <mergeCells count="29">
    <mergeCell ref="E53:F53"/>
    <mergeCell ref="H12:J12"/>
    <mergeCell ref="H20:J20"/>
    <mergeCell ref="H30:J30"/>
    <mergeCell ref="H42:J42"/>
    <mergeCell ref="H52:J52"/>
    <mergeCell ref="B42:F42"/>
    <mergeCell ref="E43:F43"/>
    <mergeCell ref="B52:F52"/>
    <mergeCell ref="E21:F21"/>
    <mergeCell ref="B30:F30"/>
    <mergeCell ref="E31:F31"/>
    <mergeCell ref="B20:F20"/>
    <mergeCell ref="B2:G2"/>
    <mergeCell ref="B3:B4"/>
    <mergeCell ref="C8:E8"/>
    <mergeCell ref="B12:F12"/>
    <mergeCell ref="E13:F13"/>
    <mergeCell ref="C9:E9"/>
    <mergeCell ref="F3:G4"/>
    <mergeCell ref="F5:G5"/>
    <mergeCell ref="F6:G6"/>
    <mergeCell ref="F7:G7"/>
    <mergeCell ref="F8:G8"/>
    <mergeCell ref="F9:G9"/>
    <mergeCell ref="C3:E4"/>
    <mergeCell ref="C5:E5"/>
    <mergeCell ref="C6:E6"/>
    <mergeCell ref="C7:E7"/>
  </mergeCells>
  <conditionalFormatting sqref="I14">
    <cfRule type="cellIs" priority="67" dxfId="1273" operator="lessThan">
      <formula>0</formula>
    </cfRule>
    <cfRule type="cellIs" priority="70" dxfId="1282" operator="greaterThan">
      <formula>0</formula>
    </cfRule>
  </conditionalFormatting>
  <conditionalFormatting sqref="I13">
    <cfRule type="cellIs" priority="68" dxfId="1282" operator="greaterThan">
      <formula>0</formula>
    </cfRule>
    <cfRule type="cellIs" priority="69" dxfId="1281" operator="lessThan">
      <formula>0</formula>
    </cfRule>
  </conditionalFormatting>
  <conditionalFormatting sqref="H35 I43:I44">
    <cfRule type="cellIs" priority="65" dxfId="1281" operator="lessThan">
      <formula>0</formula>
    </cfRule>
    <cfRule type="cellIs" priority="66" dxfId="1282" operator="greaterThan">
      <formula>0</formula>
    </cfRule>
  </conditionalFormatting>
  <conditionalFormatting sqref="F5:F8">
    <cfRule type="containsText" priority="71" dxfId="1282" operator="containsText" text="Yes">
      <formula>NOT(ISERROR(SEARCH("Yes",F5)))</formula>
    </cfRule>
    <cfRule type="containsText" priority="72" dxfId="1273" operator="containsText" text="No">
      <formula>NOT(ISERROR(SEARCH("No",F5)))</formula>
    </cfRule>
  </conditionalFormatting>
  <conditionalFormatting sqref="G25 G36:G37">
    <cfRule type="expression" priority="60" dxfId="1282">
      <formula>$G25&gt;0</formula>
    </cfRule>
    <cfRule type="expression" priority="61" dxfId="1281">
      <formula>$G25&lt;0</formula>
    </cfRule>
  </conditionalFormatting>
  <conditionalFormatting sqref="I21:I23">
    <cfRule type="cellIs" priority="41" dxfId="1282" operator="greaterThan">
      <formula>0</formula>
    </cfRule>
    <cfRule type="cellIs" priority="42" dxfId="1257" operator="lessThan">
      <formula>0</formula>
    </cfRule>
  </conditionalFormatting>
  <conditionalFormatting sqref="B14 B25:E25 B37:E37">
    <cfRule type="expression" priority="392" dxfId="1282">
      <formula>$E14&gt;0</formula>
    </cfRule>
    <cfRule type="expression" priority="393" dxfId="1273">
      <formula>$E14&lt;0</formula>
    </cfRule>
  </conditionalFormatting>
  <conditionalFormatting sqref="C14:E14">
    <cfRule type="expression" priority="394" dxfId="1282">
      <formula>$E14&gt;0</formula>
    </cfRule>
    <cfRule type="expression" priority="395" dxfId="1273">
      <formula>$E14&lt;0</formula>
    </cfRule>
  </conditionalFormatting>
  <conditionalFormatting sqref="I31:I33">
    <cfRule type="cellIs" priority="29" dxfId="1281" operator="lessThan">
      <formula>0</formula>
    </cfRule>
    <cfRule type="cellIs" priority="30" dxfId="1282" operator="greaterThan">
      <formula>0</formula>
    </cfRule>
  </conditionalFormatting>
  <conditionalFormatting sqref="B54:E54">
    <cfRule type="expression" priority="23" dxfId="1282">
      <formula>$E54&gt;0</formula>
    </cfRule>
    <cfRule type="expression" priority="24" dxfId="1281">
      <formula>$E54&lt;0</formula>
    </cfRule>
  </conditionalFormatting>
  <conditionalFormatting sqref="I53">
    <cfRule type="cellIs" priority="21" dxfId="1281" operator="lessThan">
      <formula>0</formula>
    </cfRule>
    <cfRule type="cellIs" priority="22" dxfId="1282" operator="greaterThan">
      <formula>0</formula>
    </cfRule>
  </conditionalFormatting>
  <conditionalFormatting sqref="F9">
    <cfRule type="containsText" priority="19" dxfId="1282" operator="containsText" text="Yes">
      <formula>NOT(ISERROR(SEARCH("Yes",F9)))</formula>
    </cfRule>
    <cfRule type="containsText" priority="20" dxfId="1273" operator="containsText" text="No">
      <formula>NOT(ISERROR(SEARCH("No",F9)))</formula>
    </cfRule>
  </conditionalFormatting>
  <conditionalFormatting sqref="F14:F41 F44:F46 F48:F51 F54 F56:F200">
    <cfRule type="containsText" priority="16" dxfId="1116" operator="containsText" text="⚠">
      <formula>NOT(ISERROR(SEARCH("⚠",F14)))</formula>
    </cfRule>
    <cfRule type="containsText" priority="17" dxfId="1273" operator="containsText" text="▲">
      <formula>NOT(ISERROR(SEARCH("▲",F14)))</formula>
    </cfRule>
    <cfRule type="containsText" priority="18" dxfId="1120" operator="containsText" text="✓">
      <formula>NOT(ISERROR(SEARCH("✓",F14)))</formula>
    </cfRule>
  </conditionalFormatting>
  <conditionalFormatting sqref="J13:J19 J21:J29 J31:J41 J43:J51 J53:J200">
    <cfRule type="containsText" priority="13" dxfId="1116" operator="containsText" text="⚠">
      <formula>NOT(ISERROR(SEARCH("⚠",J13)))</formula>
    </cfRule>
    <cfRule type="containsText" priority="14" dxfId="1282" operator="containsText" text="✓">
      <formula>NOT(ISERROR(SEARCH("✓",J13)))</formula>
    </cfRule>
    <cfRule type="containsText" priority="15" dxfId="1273" operator="containsText" text="▲">
      <formula>NOT(ISERROR(SEARCH("▲",J13)))</formula>
    </cfRule>
  </conditionalFormatting>
  <conditionalFormatting sqref="I54">
    <cfRule type="cellIs" priority="11" dxfId="1120" operator="greaterThan">
      <formula>0</formula>
    </cfRule>
    <cfRule type="cellIs" priority="12" dxfId="1273" operator="lessThan">
      <formula>0</formula>
    </cfRule>
  </conditionalFormatting>
  <conditionalFormatting sqref="B54:E54">
    <cfRule type="expression" priority="10" dxfId="1281">
      <formula>"$E22&lt;0"</formula>
    </cfRule>
  </conditionalFormatting>
  <conditionalFormatting sqref="B32:E36">
    <cfRule type="expression" priority="5" dxfId="1282">
      <formula>$E32&gt;0</formula>
    </cfRule>
    <cfRule type="expression" priority="6" dxfId="1281">
      <formula>$E32&lt;0</formula>
    </cfRule>
  </conditionalFormatting>
  <conditionalFormatting sqref="B44:E46">
    <cfRule type="expression" priority="3" dxfId="1281">
      <formula>$E44&lt;0</formula>
    </cfRule>
    <cfRule type="expression" priority="4" dxfId="1282">
      <formula>$E44&gt;0</formula>
    </cfRule>
  </conditionalFormatting>
  <conditionalFormatting sqref="B22:E24">
    <cfRule type="expression" priority="1" dxfId="1281">
      <formula>$E22&lt;0</formula>
    </cfRule>
    <cfRule type="expression" priority="2" dxfId="1282">
      <formula>$E22&gt;0</formula>
    </cfRule>
  </conditionalFormatting>
  <pageMargins left="0.7" right="0.7" top="0.75" bottom="0.75" header="0.3" footer="0.3"/>
  <pageSetup orientation="portrait" paperSize="9"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Q183"/>
  <sheetViews>
    <sheetView showGridLines="0" zoomScale="80" zoomScaleNormal="80" workbookViewId="0" topLeftCell="A1">
      <selection pane="topLeft" activeCell="B11" sqref="B11:F11"/>
    </sheetView>
  </sheetViews>
  <sheetFormatPr defaultColWidth="0" defaultRowHeight="14.15" customHeight="1" zeroHeight="1"/>
  <cols>
    <col min="1" max="1" width="17" style="30" customWidth="1"/>
    <col min="2" max="2" width="104.571428571429" style="30" bestFit="1" customWidth="1"/>
    <col min="3" max="3" width="24.4285714285714" style="30" bestFit="1" customWidth="1"/>
    <col min="4" max="4" width="10.5714285714286" style="30" bestFit="1" customWidth="1"/>
    <col min="5" max="5" width="12.5714285714286" style="30" customWidth="1"/>
    <col min="6" max="6" width="18.4285714285714" style="30" customWidth="1"/>
    <col min="7" max="7" width="31" style="30" customWidth="1"/>
    <col min="8" max="8" width="24" style="30" customWidth="1"/>
    <col min="9" max="9" width="17.4285714285714" style="30" customWidth="1"/>
    <col min="10" max="10" width="7.57142857142857" style="30" customWidth="1"/>
    <col min="11" max="11" width="2" style="30" customWidth="1"/>
    <col min="12" max="12" width="2.57142857142857" style="30" customWidth="1"/>
    <col min="13" max="13" width="4.42857142857143" style="30" customWidth="1"/>
    <col min="14" max="16" width="9.42857142857143" style="30" customWidth="1"/>
    <col min="17" max="17" width="10.5714285714286" style="30" customWidth="1"/>
    <col min="18" max="18" width="9.42857142857143" style="30" customWidth="1"/>
    <col min="19" max="16384" width="13.5714285714286" style="30" hidden="1"/>
  </cols>
  <sheetData>
    <row r="1" spans="1:17" ht="15" thickBot="1">
      <c r="A1" s="256"/>
      <c r="B1" s="32"/>
      <c r="C1" s="32"/>
      <c r="D1" s="32"/>
      <c r="E1" s="32"/>
      <c r="G1" s="32"/>
      <c r="H1" s="32"/>
      <c r="I1" s="32"/>
      <c r="J1" s="32"/>
      <c r="K1" s="32"/>
      <c r="L1" s="32"/>
      <c r="M1" s="32"/>
      <c r="N1" s="32"/>
      <c r="O1" s="32"/>
      <c r="P1" s="32"/>
      <c r="Q1" s="32"/>
    </row>
    <row r="2" spans="1:17" ht="25.5" thickBot="1">
      <c r="A2" s="32"/>
      <c r="B2" s="1416" t="s">
        <v>188</v>
      </c>
      <c r="C2" s="1417"/>
      <c r="D2" s="1417"/>
      <c r="E2" s="1417"/>
      <c r="F2" s="1417"/>
      <c r="G2" s="1417"/>
      <c r="H2" s="1417"/>
      <c r="I2" s="1417"/>
      <c r="J2" s="1418"/>
      <c r="K2" s="32"/>
      <c r="L2" s="32"/>
      <c r="M2" s="32"/>
      <c r="N2" s="32"/>
      <c r="O2" s="32"/>
      <c r="P2" s="32"/>
      <c r="Q2" s="32"/>
    </row>
    <row r="3" spans="1:17" ht="15" customHeight="1">
      <c r="A3" s="32"/>
      <c r="B3" s="1419" t="s">
        <v>189</v>
      </c>
      <c r="C3" s="1458" t="s">
        <v>190</v>
      </c>
      <c r="D3" s="1458"/>
      <c r="E3" s="1458"/>
      <c r="F3" s="1458"/>
      <c r="G3" s="1458" t="s">
        <v>191</v>
      </c>
      <c r="H3" s="1458"/>
      <c r="I3" s="1458"/>
      <c r="J3" s="1459"/>
      <c r="K3" s="174"/>
      <c r="L3" s="32"/>
      <c r="M3" s="32"/>
      <c r="N3" s="32"/>
      <c r="O3" s="32"/>
      <c r="P3" s="32"/>
      <c r="Q3" s="32"/>
    </row>
    <row r="4" spans="1:17" ht="14.25" customHeight="1">
      <c r="A4" s="32"/>
      <c r="B4" s="1385"/>
      <c r="C4" s="1374"/>
      <c r="D4" s="1374"/>
      <c r="E4" s="1374"/>
      <c r="F4" s="1374"/>
      <c r="G4" s="1374"/>
      <c r="H4" s="1374"/>
      <c r="I4" s="1374"/>
      <c r="J4" s="1375"/>
      <c r="K4" s="174"/>
      <c r="L4" s="32"/>
      <c r="M4" s="32"/>
      <c r="N4" s="32"/>
      <c r="O4" s="32"/>
      <c r="P4" s="32"/>
      <c r="Q4" s="32"/>
    </row>
    <row r="5" spans="1:17" ht="20">
      <c r="A5" s="32"/>
      <c r="B5" s="86" t="s">
        <v>192</v>
      </c>
      <c r="C5" s="1460" t="s">
        <v>193</v>
      </c>
      <c r="D5" s="1460"/>
      <c r="E5" s="1460"/>
      <c r="F5" s="1460"/>
      <c r="G5" s="1376" t="str">
        <f>IF(E14&lt;0,"No ▲","Yes ✓")</f>
        <v>Yes ✓</v>
      </c>
      <c r="H5" s="1376"/>
      <c r="I5" s="1376"/>
      <c r="J5" s="1377"/>
      <c r="K5" s="174"/>
      <c r="L5" s="32"/>
      <c r="M5" s="32"/>
      <c r="N5" s="32"/>
      <c r="O5" s="32"/>
      <c r="P5" s="32"/>
      <c r="Q5" s="32"/>
    </row>
    <row r="6" spans="1:17" ht="22.5" customHeight="1">
      <c r="A6" s="32"/>
      <c r="B6" s="86" t="s">
        <v>194</v>
      </c>
      <c r="C6" s="1461" t="s">
        <v>225</v>
      </c>
      <c r="D6" s="1461"/>
      <c r="E6" s="1461"/>
      <c r="F6" s="1461"/>
      <c r="G6" s="1376" t="str">
        <f>IF(I22&lt;0,"No ▲","Yes ✓")</f>
        <v>Yes ✓</v>
      </c>
      <c r="H6" s="1376"/>
      <c r="I6" s="1376"/>
      <c r="J6" s="1377"/>
      <c r="K6" s="32"/>
      <c r="L6" s="32"/>
      <c r="M6" s="32"/>
      <c r="N6" s="32"/>
      <c r="O6" s="32"/>
      <c r="P6" s="32"/>
      <c r="Q6" s="32"/>
    </row>
    <row r="7" spans="1:17" ht="19.5" customHeight="1">
      <c r="A7" s="32"/>
      <c r="B7" s="86" t="s">
        <v>46</v>
      </c>
      <c r="C7" s="1461" t="s">
        <v>225</v>
      </c>
      <c r="D7" s="1461"/>
      <c r="E7" s="1461"/>
      <c r="F7" s="1461"/>
      <c r="G7" s="1390" t="str">
        <f>IF(I30&lt;0,"No ▲","Yes ✓")</f>
        <v>Yes ✓</v>
      </c>
      <c r="H7" s="1390"/>
      <c r="I7" s="1390"/>
      <c r="J7" s="1391"/>
      <c r="K7" s="32"/>
      <c r="L7" s="32"/>
      <c r="M7" s="32"/>
      <c r="N7" s="32"/>
      <c r="O7" s="32"/>
      <c r="P7" s="32"/>
      <c r="Q7" s="32"/>
    </row>
    <row r="8" spans="1:17" ht="18.75" customHeight="1" thickBot="1">
      <c r="A8" s="32"/>
      <c r="B8" s="65" t="s">
        <v>197</v>
      </c>
      <c r="C8" s="1462" t="s">
        <v>237</v>
      </c>
      <c r="D8" s="1462"/>
      <c r="E8" s="1462"/>
      <c r="F8" s="1462"/>
      <c r="G8" s="1392" t="str">
        <f>IF(I42&lt;0,"No ▲","Yes ✓")</f>
        <v>Yes ✓</v>
      </c>
      <c r="H8" s="1392"/>
      <c r="I8" s="1392"/>
      <c r="J8" s="1393"/>
      <c r="K8" s="32"/>
      <c r="L8" s="32"/>
      <c r="M8" s="32"/>
      <c r="N8" s="32"/>
      <c r="O8" s="32"/>
      <c r="P8" s="32"/>
      <c r="Q8" s="32"/>
    </row>
    <row r="9" spans="1:17" ht="14.25" customHeight="1">
      <c r="A9" s="32"/>
      <c r="B9" s="32"/>
      <c r="C9" s="32"/>
      <c r="D9" s="32"/>
      <c r="E9" s="32"/>
      <c r="F9" s="32"/>
      <c r="G9" s="32"/>
      <c r="H9" s="32"/>
      <c r="I9" s="32"/>
      <c r="J9" s="32"/>
      <c r="K9" s="32"/>
      <c r="L9" s="32"/>
      <c r="M9" s="32"/>
      <c r="N9" s="32"/>
      <c r="O9" s="32"/>
      <c r="P9" s="32"/>
      <c r="Q9" s="32"/>
    </row>
    <row r="10" spans="1:17" ht="14.5" thickBot="1">
      <c r="A10" s="32"/>
      <c r="B10" s="32"/>
      <c r="C10" s="32"/>
      <c r="D10" s="32"/>
      <c r="E10" s="32"/>
      <c r="F10" s="32"/>
      <c r="G10" s="32"/>
      <c r="H10" s="32"/>
      <c r="I10" s="32"/>
      <c r="J10" s="32"/>
      <c r="K10" s="32"/>
      <c r="L10" s="32"/>
      <c r="M10" s="32"/>
      <c r="N10" s="32"/>
      <c r="O10" s="32"/>
      <c r="P10" s="32"/>
      <c r="Q10" s="32"/>
    </row>
    <row r="11" spans="1:17" ht="48.65" customHeight="1" thickBot="1">
      <c r="A11" s="32"/>
      <c r="B11" s="1371" t="s">
        <v>199</v>
      </c>
      <c r="C11" s="1372"/>
      <c r="D11" s="1372"/>
      <c r="E11" s="1372"/>
      <c r="F11" s="1373"/>
      <c r="H11" s="1411" t="s">
        <v>200</v>
      </c>
      <c r="I11" s="1412"/>
      <c r="J11" s="1413"/>
      <c r="K11" s="32"/>
      <c r="L11" s="32"/>
      <c r="M11" s="32"/>
      <c r="N11" s="32"/>
      <c r="O11" s="32"/>
      <c r="P11" s="32"/>
      <c r="Q11" s="32"/>
    </row>
    <row r="12" spans="1:17" s="33" customFormat="1" ht="71.15" customHeight="1">
      <c r="A12" s="32"/>
      <c r="B12" s="532" t="s">
        <v>95</v>
      </c>
      <c r="C12" s="504" t="s">
        <v>202</v>
      </c>
      <c r="D12" s="504" t="s">
        <v>128</v>
      </c>
      <c r="E12" s="1381" t="s">
        <v>203</v>
      </c>
      <c r="F12" s="1382"/>
      <c r="H12" s="64" t="s">
        <v>205</v>
      </c>
      <c r="I12" s="836">
        <f>SUMIF($E$13:$E$13,"&gt;0")</f>
        <v>0</v>
      </c>
      <c r="J12" s="546" t="str">
        <f>IF(I12=0,"",IF(I12&lt;0,"⚠","✓"))</f>
        <v/>
      </c>
      <c r="K12" s="32"/>
      <c r="L12" s="32"/>
      <c r="M12" s="32"/>
      <c r="N12" s="32"/>
      <c r="O12" s="32"/>
      <c r="P12" s="32"/>
      <c r="Q12" s="32"/>
    </row>
    <row r="13" spans="1:17" ht="27.65" customHeight="1" thickBot="1">
      <c r="A13" s="32"/>
      <c r="B13" s="217" t="str">
        <f>'G-2 Habitat groups'!A172</f>
        <v>Priority habitat</v>
      </c>
      <c r="C13" s="271">
        <f>'G-2 Habitat groups'!R172</f>
        <v>0</v>
      </c>
      <c r="D13" s="271">
        <f>'G-2 Habitat groups'!AD172</f>
        <v>0</v>
      </c>
      <c r="E13" s="845">
        <f>'G-2 Habitat groups'!AF172</f>
        <v>0</v>
      </c>
      <c r="F13" s="762" t="str">
        <f>IF(E13=0,"",IF(E13&lt;0,"▲","✓"))</f>
        <v/>
      </c>
      <c r="H13" s="856" t="s">
        <v>206</v>
      </c>
      <c r="I13" s="834">
        <f>IF(E14&lt;0,E14,0)</f>
        <v>0</v>
      </c>
      <c r="J13" s="285" t="str">
        <f>IF(I13=0,"",IF(I13&lt;0,"▲","✓"))</f>
        <v/>
      </c>
      <c r="K13" s="32"/>
      <c r="L13" s="32"/>
      <c r="M13" s="32"/>
      <c r="N13" s="32"/>
      <c r="O13" s="32"/>
      <c r="P13" s="32"/>
      <c r="Q13" s="32"/>
    </row>
    <row r="14" spans="1:17" ht="14.5" thickBot="1">
      <c r="A14" s="32"/>
      <c r="B14" s="32"/>
      <c r="C14" s="440">
        <f>SUM(C13:C13)</f>
        <v>0</v>
      </c>
      <c r="D14" s="839">
        <f>SUM(D13:D13)</f>
        <v>0</v>
      </c>
      <c r="E14" s="854">
        <f>SUM(E13:E13)</f>
        <v>0</v>
      </c>
      <c r="F14" s="855"/>
      <c r="H14" s="32"/>
      <c r="I14" s="32"/>
      <c r="J14" s="32"/>
      <c r="K14" s="32"/>
      <c r="L14" s="32"/>
      <c r="M14" s="32"/>
      <c r="N14" s="32"/>
      <c r="O14" s="32"/>
      <c r="P14" s="32"/>
      <c r="Q14" s="32"/>
    </row>
    <row r="15" spans="1:17" ht="14">
      <c r="A15" s="32"/>
      <c r="B15" s="32"/>
      <c r="C15" s="32"/>
      <c r="D15" s="32"/>
      <c r="E15" s="32"/>
      <c r="F15" s="32"/>
      <c r="G15" s="32"/>
      <c r="H15" s="32"/>
      <c r="I15" s="32"/>
      <c r="J15" s="32"/>
      <c r="K15" s="32"/>
      <c r="L15" s="32"/>
      <c r="M15" s="32"/>
      <c r="N15" s="32"/>
      <c r="O15" s="32"/>
      <c r="P15" s="32"/>
      <c r="Q15" s="32"/>
    </row>
    <row r="16" spans="1:17" ht="14">
      <c r="A16" s="32"/>
      <c r="B16" s="32"/>
      <c r="C16" s="32"/>
      <c r="D16" s="32"/>
      <c r="E16" s="32"/>
      <c r="F16" s="32"/>
      <c r="G16" s="32"/>
      <c r="H16" s="32"/>
      <c r="I16" s="32"/>
      <c r="J16" s="32"/>
      <c r="K16" s="32"/>
      <c r="L16" s="32"/>
      <c r="M16" s="32"/>
      <c r="N16" s="32"/>
      <c r="O16" s="32"/>
      <c r="P16" s="32"/>
      <c r="Q16" s="32"/>
    </row>
    <row r="17" spans="1:17" ht="14">
      <c r="A17" s="32"/>
      <c r="B17" s="32"/>
      <c r="C17" s="32"/>
      <c r="D17" s="32"/>
      <c r="E17" s="32"/>
      <c r="F17" s="32"/>
      <c r="G17" s="32"/>
      <c r="H17" s="32"/>
      <c r="I17" s="32"/>
      <c r="J17" s="32"/>
      <c r="K17" s="32"/>
      <c r="L17" s="32"/>
      <c r="M17" s="32"/>
      <c r="N17" s="32"/>
      <c r="O17" s="32"/>
      <c r="P17" s="32"/>
      <c r="Q17" s="32"/>
    </row>
    <row r="18" spans="1:17" ht="14">
      <c r="A18" s="32"/>
      <c r="B18" s="32"/>
      <c r="C18" s="32"/>
      <c r="D18" s="32"/>
      <c r="E18" s="32"/>
      <c r="F18" s="32"/>
      <c r="G18" s="32"/>
      <c r="H18" s="32"/>
      <c r="I18" s="32"/>
      <c r="J18" s="32"/>
      <c r="K18" s="32"/>
      <c r="L18" s="32"/>
      <c r="M18" s="32"/>
      <c r="N18" s="32"/>
      <c r="O18" s="32"/>
      <c r="P18" s="32"/>
      <c r="Q18" s="32"/>
    </row>
    <row r="19" spans="1:17" ht="14.5" thickBot="1">
      <c r="A19" s="32"/>
      <c r="B19" s="32"/>
      <c r="C19" s="32"/>
      <c r="D19" s="32"/>
      <c r="E19" s="32"/>
      <c r="F19" s="32"/>
      <c r="G19" s="32"/>
      <c r="H19" s="32"/>
      <c r="I19" s="32"/>
      <c r="J19" s="32"/>
      <c r="K19" s="32"/>
      <c r="L19" s="32"/>
      <c r="M19" s="32"/>
      <c r="N19" s="32"/>
      <c r="O19" s="32"/>
      <c r="P19" s="32"/>
      <c r="Q19" s="32"/>
    </row>
    <row r="20" spans="1:13" ht="45.65" customHeight="1" thickBot="1">
      <c r="A20" s="32"/>
      <c r="B20" s="1455" t="s">
        <v>207</v>
      </c>
      <c r="C20" s="1456"/>
      <c r="D20" s="1456"/>
      <c r="E20" s="1456"/>
      <c r="F20" s="1457"/>
      <c r="H20" s="1446" t="s">
        <v>208</v>
      </c>
      <c r="I20" s="1447"/>
      <c r="J20" s="1448"/>
      <c r="K20" s="857"/>
      <c r="L20" s="32"/>
      <c r="M20" s="32"/>
    </row>
    <row r="21" spans="1:15" ht="56">
      <c r="A21" s="32"/>
      <c r="B21" s="818" t="s">
        <v>95</v>
      </c>
      <c r="C21" s="819" t="s">
        <v>202</v>
      </c>
      <c r="D21" s="819" t="s">
        <v>128</v>
      </c>
      <c r="E21" s="1423" t="s">
        <v>203</v>
      </c>
      <c r="F21" s="1424"/>
      <c r="H21" s="835" t="s">
        <v>210</v>
      </c>
      <c r="I21" s="836">
        <f>IF(E23&gt;0,E23,0)</f>
        <v>0</v>
      </c>
      <c r="J21" s="350" t="str">
        <f>IF(I21=0,"",IF(I21&lt;0,"⚠","✓"))</f>
        <v/>
      </c>
      <c r="K21" s="32"/>
      <c r="L21" s="32"/>
      <c r="M21" s="32"/>
      <c r="N21" s="32"/>
      <c r="O21" s="32"/>
    </row>
    <row r="22" spans="1:15" ht="28.5" thickBot="1">
      <c r="A22" s="32"/>
      <c r="B22" s="217" t="str">
        <f>'G-2 Habitat groups'!A173</f>
        <v>Other rivers and streams</v>
      </c>
      <c r="C22" s="271">
        <f>'G-2 Habitat groups'!R173</f>
        <v>0</v>
      </c>
      <c r="D22" s="808">
        <f>'G-2 Habitat groups'!AD173</f>
        <v>0</v>
      </c>
      <c r="E22" s="845">
        <f>'G-2 Habitat groups'!AF173</f>
        <v>0</v>
      </c>
      <c r="F22" s="358" t="str">
        <f>IF(E22=0,"",IF(E22&lt;0,"▲","✓"))</f>
        <v/>
      </c>
      <c r="H22" s="829" t="s">
        <v>206</v>
      </c>
      <c r="I22" s="834">
        <f>IF(E23&lt;0,E23,0)</f>
        <v>0</v>
      </c>
      <c r="J22" s="358" t="str">
        <f>IF(I22=0,"",IF(I22&lt;0,"▲","✓"))</f>
        <v/>
      </c>
      <c r="K22" s="32"/>
      <c r="L22" s="32"/>
      <c r="M22" s="32"/>
      <c r="N22" s="32"/>
      <c r="O22" s="32"/>
    </row>
    <row r="23" spans="1:17" ht="14.5" thickBot="1">
      <c r="A23" s="32"/>
      <c r="C23" s="440">
        <f>SUM(C22:C22)</f>
        <v>0</v>
      </c>
      <c r="D23" s="839">
        <f>SUM(D22:D22)</f>
        <v>0</v>
      </c>
      <c r="E23" s="848">
        <f>SUM(E22:E22)</f>
        <v>0</v>
      </c>
      <c r="F23" s="849"/>
      <c r="G23" s="417"/>
      <c r="H23" s="32"/>
      <c r="I23" s="32"/>
      <c r="J23" s="32"/>
      <c r="K23" s="32"/>
      <c r="L23" s="32"/>
      <c r="M23" s="32"/>
      <c r="N23" s="32"/>
      <c r="O23" s="32"/>
      <c r="P23" s="32"/>
      <c r="Q23" s="32"/>
    </row>
    <row r="24" spans="1:17" ht="14">
      <c r="A24" s="32"/>
      <c r="B24" s="32"/>
      <c r="C24" s="32"/>
      <c r="D24" s="32"/>
      <c r="E24" s="32"/>
      <c r="F24" s="32"/>
      <c r="G24" s="32"/>
      <c r="H24" s="32"/>
      <c r="I24" s="32"/>
      <c r="J24" s="32"/>
      <c r="K24" s="32"/>
      <c r="L24" s="32"/>
      <c r="M24" s="32"/>
      <c r="N24" s="32"/>
      <c r="O24" s="32"/>
      <c r="P24" s="32"/>
      <c r="Q24" s="32"/>
    </row>
    <row r="25" spans="1:17" ht="14">
      <c r="A25" s="32"/>
      <c r="B25" s="32"/>
      <c r="C25" s="32"/>
      <c r="D25" s="32"/>
      <c r="E25" s="32"/>
      <c r="F25" s="32"/>
      <c r="G25" s="32"/>
      <c r="H25" s="32"/>
      <c r="I25" s="32"/>
      <c r="J25" s="32"/>
      <c r="K25" s="32"/>
      <c r="L25" s="32"/>
      <c r="M25" s="32"/>
      <c r="N25" s="32"/>
      <c r="O25" s="32"/>
      <c r="P25" s="32"/>
      <c r="Q25" s="32"/>
    </row>
    <row r="26" spans="1:17" ht="14">
      <c r="A26" s="32"/>
      <c r="B26" s="32"/>
      <c r="C26" s="32"/>
      <c r="D26" s="32"/>
      <c r="E26" s="32"/>
      <c r="F26" s="32"/>
      <c r="G26" s="32"/>
      <c r="H26" s="32"/>
      <c r="I26" s="32"/>
      <c r="J26" s="32"/>
      <c r="K26" s="32"/>
      <c r="L26" s="32"/>
      <c r="M26" s="32"/>
      <c r="N26" s="32"/>
      <c r="O26" s="32"/>
      <c r="P26" s="32"/>
      <c r="Q26" s="32"/>
    </row>
    <row r="27" spans="1:17" ht="14.5" thickBot="1">
      <c r="A27" s="32"/>
      <c r="B27" s="32"/>
      <c r="C27" s="32"/>
      <c r="D27" s="32"/>
      <c r="E27" s="32"/>
      <c r="F27" s="32"/>
      <c r="G27" s="32"/>
      <c r="H27" s="32"/>
      <c r="I27" s="32"/>
      <c r="J27" s="32"/>
      <c r="K27" s="32"/>
      <c r="L27" s="32"/>
      <c r="M27" s="32"/>
      <c r="N27" s="32"/>
      <c r="O27" s="32"/>
      <c r="P27" s="32"/>
      <c r="Q27" s="32"/>
    </row>
    <row r="28" spans="1:15" ht="46.4" customHeight="1" thickBot="1">
      <c r="A28" s="32"/>
      <c r="B28" s="1452" t="s">
        <v>213</v>
      </c>
      <c r="C28" s="1453"/>
      <c r="D28" s="1453"/>
      <c r="E28" s="1453"/>
      <c r="F28" s="1454"/>
      <c r="H28" s="1446" t="s">
        <v>214</v>
      </c>
      <c r="I28" s="1447"/>
      <c r="J28" s="1448"/>
      <c r="K28" s="32"/>
      <c r="L28" s="32"/>
      <c r="M28" s="32"/>
      <c r="N28" s="32"/>
      <c r="O28" s="32"/>
    </row>
    <row r="29" spans="1:12" ht="56">
      <c r="A29" s="32"/>
      <c r="B29" s="818" t="s">
        <v>95</v>
      </c>
      <c r="C29" s="819" t="s">
        <v>101</v>
      </c>
      <c r="D29" s="819" t="s">
        <v>128</v>
      </c>
      <c r="E29" s="1423" t="s">
        <v>215</v>
      </c>
      <c r="F29" s="1424"/>
      <c r="H29" s="835" t="s">
        <v>238</v>
      </c>
      <c r="I29" s="806">
        <f>SUMIF(E30:E31,"&gt;0")</f>
        <v>0</v>
      </c>
      <c r="J29" s="350" t="str">
        <f>IF(I29=0,"",IF(I29&lt;0,"⚠","✓"))</f>
        <v/>
      </c>
      <c r="K29" s="32"/>
      <c r="L29" s="32"/>
    </row>
    <row r="30" spans="1:12" ht="28.5" thickBot="1">
      <c r="A30" s="32"/>
      <c r="B30" s="215" t="str">
        <f>'G-2 Habitat groups'!A174</f>
        <v>Ditches</v>
      </c>
      <c r="C30" s="268">
        <f>'G-2 Habitat groups'!R174</f>
        <v>0</v>
      </c>
      <c r="D30" s="807">
        <f>'G-2 Habitat groups'!AD174</f>
        <v>0</v>
      </c>
      <c r="E30" s="847">
        <f>'G-2 Habitat groups'!AF174</f>
        <v>0</v>
      </c>
      <c r="F30" s="884" t="str">
        <f>IF(E30=0,"",IF(E30&lt;0,"▲","✓"))</f>
        <v/>
      </c>
      <c r="H30" s="829" t="s">
        <v>206</v>
      </c>
      <c r="I30" s="834">
        <f>SUMIF(E30:E31,"&lt;0",E30:E31)</f>
        <v>0</v>
      </c>
      <c r="J30" s="358" t="str">
        <f>IF(I30=0,"",IF(I30&lt;0,"▲","✓"))</f>
        <v/>
      </c>
      <c r="K30" s="32"/>
      <c r="L30" s="32"/>
    </row>
    <row r="31" spans="1:8" ht="14.5" thickBot="1">
      <c r="A31" s="32"/>
      <c r="B31" s="217" t="str">
        <f>'G-2 Habitat groups'!A175</f>
        <v>Canals</v>
      </c>
      <c r="C31" s="271">
        <f>'G-2 Habitat groups'!R175</f>
        <v>0</v>
      </c>
      <c r="D31" s="808">
        <f>'G-2 Habitat groups'!AD175</f>
        <v>0</v>
      </c>
      <c r="E31" s="845">
        <f>'G-2 Habitat groups'!AF175</f>
        <v>0</v>
      </c>
      <c r="F31" s="358" t="str">
        <f>IF(E31=0,"",IF(E31&lt;0,"▲","✓"))</f>
        <v/>
      </c>
      <c r="H31" s="32"/>
    </row>
    <row r="32" spans="1:12" ht="14.5" thickBot="1">
      <c r="A32" s="32"/>
      <c r="B32" s="36"/>
      <c r="C32" s="322">
        <f>SUM(C30:C31)</f>
        <v>0</v>
      </c>
      <c r="D32" s="844">
        <f>SUM(D30:D31)</f>
        <v>0</v>
      </c>
      <c r="E32" s="848">
        <f>SUM(E30:E31)</f>
        <v>0</v>
      </c>
      <c r="F32" s="849"/>
      <c r="H32" s="32"/>
      <c r="K32" s="32"/>
      <c r="L32" s="32"/>
    </row>
    <row r="33" spans="1:15" ht="14.9" customHeight="1">
      <c r="A33" s="32"/>
      <c r="B33" s="32"/>
      <c r="C33" s="32"/>
      <c r="H33" s="32"/>
      <c r="I33" s="32"/>
      <c r="J33" s="32"/>
      <c r="K33" s="32"/>
      <c r="L33" s="32"/>
      <c r="M33" s="32"/>
      <c r="N33" s="32"/>
      <c r="O33" s="32"/>
    </row>
    <row r="34" spans="1:17" ht="14">
      <c r="A34" s="32"/>
      <c r="B34" s="32"/>
      <c r="C34" s="32"/>
      <c r="D34" s="32"/>
      <c r="E34" s="32"/>
      <c r="F34" s="32"/>
      <c r="G34" s="32"/>
      <c r="H34" s="32"/>
      <c r="I34" s="32"/>
      <c r="J34" s="32"/>
      <c r="K34" s="32"/>
      <c r="L34" s="32"/>
      <c r="M34" s="32"/>
      <c r="N34" s="32"/>
      <c r="O34" s="32"/>
      <c r="P34" s="32"/>
      <c r="Q34" s="32"/>
    </row>
    <row r="35" spans="1:17" ht="14">
      <c r="A35" s="32"/>
      <c r="B35" s="32"/>
      <c r="C35" s="32"/>
      <c r="D35" s="32"/>
      <c r="E35" s="32"/>
      <c r="F35" s="32"/>
      <c r="G35" s="32"/>
      <c r="H35" s="32"/>
      <c r="I35" s="32"/>
      <c r="J35" s="32"/>
      <c r="K35" s="32"/>
      <c r="L35" s="32"/>
      <c r="M35" s="32"/>
      <c r="N35" s="32"/>
      <c r="O35" s="32"/>
      <c r="P35" s="32"/>
      <c r="Q35" s="32"/>
    </row>
    <row r="36" spans="1:17" ht="14">
      <c r="A36" s="32"/>
      <c r="B36" s="32"/>
      <c r="C36" s="32"/>
      <c r="D36" s="32"/>
      <c r="E36" s="32"/>
      <c r="F36" s="32"/>
      <c r="G36" s="32"/>
      <c r="H36" s="32"/>
      <c r="I36" s="32"/>
      <c r="J36" s="32"/>
      <c r="K36" s="32"/>
      <c r="L36" s="32"/>
      <c r="M36" s="32"/>
      <c r="N36" s="32"/>
      <c r="O36" s="32"/>
      <c r="P36" s="32"/>
      <c r="Q36" s="32"/>
    </row>
    <row r="37" spans="1:17" ht="14">
      <c r="A37" s="32"/>
      <c r="B37" s="32"/>
      <c r="C37" s="32"/>
      <c r="D37" s="32"/>
      <c r="E37" s="32"/>
      <c r="F37" s="32"/>
      <c r="G37" s="32"/>
      <c r="H37" s="32"/>
      <c r="I37" s="32"/>
      <c r="J37" s="32"/>
      <c r="K37" s="32"/>
      <c r="L37" s="32"/>
      <c r="M37" s="32"/>
      <c r="N37" s="32"/>
      <c r="O37" s="32"/>
      <c r="P37" s="32"/>
      <c r="Q37" s="32"/>
    </row>
    <row r="38" spans="1:17" ht="14">
      <c r="A38" s="32"/>
      <c r="B38" s="32"/>
      <c r="C38" s="32"/>
      <c r="D38" s="32"/>
      <c r="E38" s="32"/>
      <c r="F38" s="32"/>
      <c r="G38" s="32"/>
      <c r="H38" s="32"/>
      <c r="I38" s="32"/>
      <c r="J38" s="32"/>
      <c r="K38" s="32"/>
      <c r="L38" s="32"/>
      <c r="M38" s="32"/>
      <c r="N38" s="32"/>
      <c r="O38" s="32"/>
      <c r="P38" s="32"/>
      <c r="Q38" s="32"/>
    </row>
    <row r="39" spans="1:17" ht="14.5" thickBot="1">
      <c r="A39" s="32"/>
      <c r="B39" s="32"/>
      <c r="C39" s="32"/>
      <c r="D39" s="32"/>
      <c r="E39" s="32"/>
      <c r="F39" s="38"/>
      <c r="G39" s="32"/>
      <c r="H39" s="32"/>
      <c r="I39" s="32"/>
      <c r="J39" s="32"/>
      <c r="K39" s="32"/>
      <c r="L39" s="32"/>
      <c r="M39" s="32"/>
      <c r="N39" s="32"/>
      <c r="O39" s="32"/>
      <c r="P39" s="32"/>
      <c r="Q39" s="32"/>
    </row>
    <row r="40" spans="1:15" ht="45.65" customHeight="1" thickBot="1">
      <c r="A40" s="32"/>
      <c r="B40" s="1455" t="s">
        <v>221</v>
      </c>
      <c r="C40" s="1456"/>
      <c r="D40" s="1456"/>
      <c r="E40" s="1456"/>
      <c r="F40" s="1457"/>
      <c r="H40" s="1411" t="s">
        <v>222</v>
      </c>
      <c r="I40" s="1412"/>
      <c r="J40" s="1413"/>
      <c r="K40" s="32"/>
      <c r="L40" s="32"/>
      <c r="M40" s="32"/>
      <c r="N40" s="32"/>
      <c r="O40" s="32"/>
    </row>
    <row r="41" spans="1:14" ht="45">
      <c r="A41" s="32"/>
      <c r="B41" s="818" t="s">
        <v>95</v>
      </c>
      <c r="C41" s="819" t="s">
        <v>202</v>
      </c>
      <c r="D41" s="819" t="s">
        <v>128</v>
      </c>
      <c r="E41" s="1423" t="s">
        <v>215</v>
      </c>
      <c r="F41" s="1424"/>
      <c r="H41" s="835" t="s">
        <v>224</v>
      </c>
      <c r="I41" s="806">
        <f>E43</f>
        <v>0</v>
      </c>
      <c r="J41" s="350" t="str">
        <f>IF(I41=0,"",IF(I41&lt;0,"⚠","✓"))</f>
        <v/>
      </c>
      <c r="K41" s="32"/>
      <c r="L41" s="32"/>
      <c r="M41" s="32"/>
      <c r="N41" s="32"/>
    </row>
    <row r="42" spans="1:14" ht="28.5" thickBot="1">
      <c r="A42" s="32"/>
      <c r="B42" s="169" t="str">
        <f>'G-2 Habitat groups'!A176</f>
        <v>Culvert</v>
      </c>
      <c r="C42" s="271">
        <f>'G-2 Habitat groups'!R176</f>
        <v>0</v>
      </c>
      <c r="D42" s="808">
        <f>'G-2 Habitat groups'!AD176</f>
        <v>0</v>
      </c>
      <c r="E42" s="845">
        <f>'G-2 Habitat groups'!AF176</f>
        <v>0</v>
      </c>
      <c r="F42" s="358" t="str">
        <f>IF(E42=0,"",IF(E42&lt;0,"⚠","✓"))</f>
        <v/>
      </c>
      <c r="H42" s="829" t="s">
        <v>233</v>
      </c>
      <c r="I42" s="834">
        <f>I41+(I29+I21+I12)</f>
        <v>0</v>
      </c>
      <c r="J42" s="358" t="str">
        <f>IF(I42=0,"",IF(I42&lt;0,"▲","✓"))</f>
        <v/>
      </c>
      <c r="K42" s="32"/>
      <c r="L42" s="32"/>
      <c r="M42" s="32"/>
      <c r="N42" s="32"/>
    </row>
    <row r="43" spans="1:14" ht="14.5" thickBot="1">
      <c r="A43" s="32"/>
      <c r="B43" s="36"/>
      <c r="C43" s="326">
        <f>SUM(C42:C42)</f>
        <v>0</v>
      </c>
      <c r="D43" s="326">
        <f>D42</f>
        <v>0</v>
      </c>
      <c r="E43" s="850">
        <f>SUM(E42:E42)</f>
        <v>0</v>
      </c>
      <c r="F43" s="851"/>
      <c r="G43" s="32"/>
      <c r="H43" s="32"/>
      <c r="K43" s="32"/>
      <c r="L43" s="32"/>
      <c r="M43" s="32"/>
      <c r="N43" s="32"/>
    </row>
    <row r="44" spans="1:17" ht="14">
      <c r="A44" s="32"/>
      <c r="B44" s="32"/>
      <c r="C44" s="32"/>
      <c r="G44" s="32"/>
      <c r="H44" s="32"/>
      <c r="I44" s="32"/>
      <c r="J44" s="32"/>
      <c r="K44" s="32"/>
      <c r="L44" s="32"/>
      <c r="M44" s="32"/>
      <c r="N44" s="32"/>
      <c r="O44" s="32"/>
      <c r="P44" s="32"/>
      <c r="Q44" s="32"/>
    </row>
    <row r="45" spans="1:17" ht="14">
      <c r="A45" s="32"/>
      <c r="G45" s="32"/>
      <c r="H45" s="32"/>
      <c r="I45" s="32"/>
      <c r="J45" s="32"/>
      <c r="K45" s="32"/>
      <c r="L45" s="32"/>
      <c r="M45" s="32"/>
      <c r="N45" s="32"/>
      <c r="O45" s="32"/>
      <c r="P45" s="32"/>
      <c r="Q45" s="32"/>
    </row>
    <row r="46" spans="1:17" ht="14" hidden="1">
      <c r="A46" s="32"/>
      <c r="B46" s="32"/>
      <c r="C46" s="32"/>
      <c r="D46" s="32"/>
      <c r="E46" s="32"/>
      <c r="F46" s="32"/>
      <c r="G46" s="32"/>
      <c r="H46" s="32"/>
      <c r="I46" s="32"/>
      <c r="J46" s="32"/>
      <c r="K46" s="32"/>
      <c r="L46" s="32"/>
      <c r="M46" s="32"/>
      <c r="N46" s="32"/>
      <c r="O46" s="32"/>
      <c r="P46" s="32"/>
      <c r="Q46" s="32"/>
    </row>
    <row r="47" spans="1:17" ht="14" hidden="1">
      <c r="A47" s="32"/>
      <c r="B47" s="32"/>
      <c r="C47" s="32"/>
      <c r="D47" s="32"/>
      <c r="E47" s="32"/>
      <c r="F47" s="32"/>
      <c r="G47" s="32"/>
      <c r="H47" s="32"/>
      <c r="I47" s="32"/>
      <c r="J47" s="32"/>
      <c r="K47" s="32"/>
      <c r="L47" s="32"/>
      <c r="M47" s="32"/>
      <c r="N47" s="32"/>
      <c r="O47" s="32"/>
      <c r="P47" s="32"/>
      <c r="Q47" s="32"/>
    </row>
    <row r="48" spans="1:17" ht="14" hidden="1">
      <c r="A48" s="32"/>
      <c r="B48" s="32"/>
      <c r="C48" s="32"/>
      <c r="D48" s="32"/>
      <c r="E48" s="32"/>
      <c r="F48" s="32"/>
      <c r="G48" s="32"/>
      <c r="H48" s="32"/>
      <c r="I48" s="32"/>
      <c r="J48" s="32"/>
      <c r="K48" s="32"/>
      <c r="L48" s="32"/>
      <c r="M48" s="32"/>
      <c r="N48" s="32"/>
      <c r="O48" s="32"/>
      <c r="P48" s="32"/>
      <c r="Q48" s="32"/>
    </row>
    <row r="49" spans="1:17" ht="14" hidden="1">
      <c r="A49" s="32"/>
      <c r="B49" s="32"/>
      <c r="C49" s="32"/>
      <c r="D49" s="32"/>
      <c r="E49" s="32"/>
      <c r="F49" s="32"/>
      <c r="G49" s="32"/>
      <c r="H49" s="32"/>
      <c r="I49" s="32"/>
      <c r="J49" s="32"/>
      <c r="K49" s="32"/>
      <c r="L49" s="32"/>
      <c r="M49" s="32"/>
      <c r="N49" s="32"/>
      <c r="O49" s="32"/>
      <c r="P49" s="32"/>
      <c r="Q49" s="32"/>
    </row>
    <row r="50" spans="1:17" ht="14" hidden="1">
      <c r="A50" s="32"/>
      <c r="B50" s="32"/>
      <c r="C50" s="32"/>
      <c r="D50" s="32"/>
      <c r="E50" s="32"/>
      <c r="F50" s="32"/>
      <c r="G50" s="32"/>
      <c r="H50" s="32"/>
      <c r="I50" s="32"/>
      <c r="J50" s="32"/>
      <c r="K50" s="32"/>
      <c r="L50" s="32"/>
      <c r="M50" s="32"/>
      <c r="N50" s="32"/>
      <c r="O50" s="32"/>
      <c r="P50" s="32"/>
      <c r="Q50" s="32"/>
    </row>
    <row r="51" spans="1:17" ht="14" hidden="1">
      <c r="A51" s="32"/>
      <c r="B51" s="32"/>
      <c r="C51" s="32"/>
      <c r="D51" s="32"/>
      <c r="E51" s="32"/>
      <c r="F51" s="32"/>
      <c r="G51" s="32"/>
      <c r="H51" s="32"/>
      <c r="I51" s="32"/>
      <c r="J51" s="32"/>
      <c r="K51" s="32"/>
      <c r="L51" s="32"/>
      <c r="M51" s="32"/>
      <c r="N51" s="32"/>
      <c r="O51" s="32"/>
      <c r="P51" s="32"/>
      <c r="Q51" s="32"/>
    </row>
    <row r="52" spans="1:17" ht="14" hidden="1">
      <c r="A52" s="32"/>
      <c r="B52" s="32"/>
      <c r="C52" s="32"/>
      <c r="D52" s="32"/>
      <c r="E52" s="32"/>
      <c r="F52" s="32"/>
      <c r="G52" s="32"/>
      <c r="H52" s="32"/>
      <c r="I52" s="32"/>
      <c r="J52" s="32"/>
      <c r="K52" s="32"/>
      <c r="L52" s="32"/>
      <c r="M52" s="32"/>
      <c r="N52" s="32"/>
      <c r="O52" s="32"/>
      <c r="P52" s="32"/>
      <c r="Q52" s="32"/>
    </row>
    <row r="53" spans="1:17" ht="14" hidden="1">
      <c r="A53" s="32"/>
      <c r="B53" s="32"/>
      <c r="C53" s="32"/>
      <c r="D53" s="32"/>
      <c r="E53" s="32"/>
      <c r="F53" s="32"/>
      <c r="G53" s="32"/>
      <c r="H53" s="32"/>
      <c r="I53" s="32"/>
      <c r="J53" s="32"/>
      <c r="K53" s="32"/>
      <c r="L53" s="32"/>
      <c r="M53" s="32"/>
      <c r="N53" s="32"/>
      <c r="O53" s="32"/>
      <c r="P53" s="32"/>
      <c r="Q53" s="32"/>
    </row>
    <row r="54" spans="1:17" ht="14" hidden="1">
      <c r="A54" s="32"/>
      <c r="B54" s="32"/>
      <c r="C54" s="32"/>
      <c r="D54" s="32"/>
      <c r="E54" s="32"/>
      <c r="F54" s="32"/>
      <c r="G54" s="32"/>
      <c r="H54" s="32"/>
      <c r="I54" s="32"/>
      <c r="J54" s="32"/>
      <c r="K54" s="32"/>
      <c r="L54" s="32"/>
      <c r="M54" s="32"/>
      <c r="N54" s="32"/>
      <c r="O54" s="32"/>
      <c r="P54" s="32"/>
      <c r="Q54" s="32"/>
    </row>
    <row r="55" spans="1:17" ht="14" hidden="1">
      <c r="A55" s="32"/>
      <c r="B55" s="32"/>
      <c r="C55" s="32"/>
      <c r="D55" s="32"/>
      <c r="E55" s="32"/>
      <c r="F55" s="32"/>
      <c r="G55" s="32"/>
      <c r="H55" s="32"/>
      <c r="I55" s="32"/>
      <c r="J55" s="32"/>
      <c r="K55" s="32"/>
      <c r="L55" s="32"/>
      <c r="M55" s="32"/>
      <c r="N55" s="32"/>
      <c r="O55" s="32"/>
      <c r="P55" s="32"/>
      <c r="Q55" s="32"/>
    </row>
    <row r="56" spans="1:17" ht="14" hidden="1">
      <c r="A56" s="32"/>
      <c r="B56" s="32"/>
      <c r="C56" s="32"/>
      <c r="D56" s="32"/>
      <c r="E56" s="32"/>
      <c r="F56" s="32"/>
      <c r="G56" s="32"/>
      <c r="H56" s="32"/>
      <c r="I56" s="32"/>
      <c r="J56" s="32"/>
      <c r="K56" s="32"/>
      <c r="L56" s="32"/>
      <c r="M56" s="32"/>
      <c r="N56" s="32"/>
      <c r="O56" s="32"/>
      <c r="P56" s="32"/>
      <c r="Q56" s="32"/>
    </row>
    <row r="57" spans="1:17" ht="14" hidden="1">
      <c r="A57" s="32"/>
      <c r="B57" s="32"/>
      <c r="C57" s="32"/>
      <c r="D57" s="32"/>
      <c r="E57" s="32"/>
      <c r="F57" s="32"/>
      <c r="G57" s="32"/>
      <c r="H57" s="32"/>
      <c r="I57" s="32"/>
      <c r="J57" s="32"/>
      <c r="K57" s="32"/>
      <c r="L57" s="32"/>
      <c r="M57" s="32"/>
      <c r="N57" s="32"/>
      <c r="O57" s="32"/>
      <c r="P57" s="32"/>
      <c r="Q57" s="32"/>
    </row>
    <row r="58" spans="1:17" ht="14" hidden="1">
      <c r="A58" s="32"/>
      <c r="B58" s="32"/>
      <c r="C58" s="32"/>
      <c r="D58" s="32"/>
      <c r="E58" s="32"/>
      <c r="F58" s="32"/>
      <c r="G58" s="32"/>
      <c r="H58" s="32"/>
      <c r="I58" s="32"/>
      <c r="J58" s="32"/>
      <c r="K58" s="32"/>
      <c r="L58" s="32"/>
      <c r="M58" s="32"/>
      <c r="N58" s="32"/>
      <c r="O58" s="32"/>
      <c r="P58" s="32"/>
      <c r="Q58" s="32"/>
    </row>
    <row r="59" spans="1:17" ht="14" hidden="1">
      <c r="A59" s="32"/>
      <c r="B59" s="32"/>
      <c r="C59" s="32"/>
      <c r="D59" s="32"/>
      <c r="E59" s="32"/>
      <c r="F59" s="32"/>
      <c r="G59" s="32"/>
      <c r="H59" s="32"/>
      <c r="I59" s="32"/>
      <c r="J59" s="32"/>
      <c r="K59" s="32"/>
      <c r="L59" s="32"/>
      <c r="M59" s="32"/>
      <c r="N59" s="32"/>
      <c r="O59" s="32"/>
      <c r="P59" s="32"/>
      <c r="Q59" s="32"/>
    </row>
    <row r="60" spans="1:17" ht="14" hidden="1">
      <c r="A60" s="32"/>
      <c r="B60" s="32"/>
      <c r="C60" s="32"/>
      <c r="D60" s="32"/>
      <c r="E60" s="32"/>
      <c r="F60" s="32"/>
      <c r="G60" s="32"/>
      <c r="H60" s="32"/>
      <c r="I60" s="32"/>
      <c r="J60" s="32"/>
      <c r="K60" s="32"/>
      <c r="L60" s="32"/>
      <c r="M60" s="32"/>
      <c r="N60" s="32"/>
      <c r="O60" s="32"/>
      <c r="P60" s="32"/>
      <c r="Q60" s="32"/>
    </row>
    <row r="61" spans="1:17" ht="14" hidden="1">
      <c r="A61" s="32"/>
      <c r="B61" s="32"/>
      <c r="C61" s="32"/>
      <c r="D61" s="32"/>
      <c r="E61" s="32"/>
      <c r="F61" s="32"/>
      <c r="G61" s="32"/>
      <c r="H61" s="32"/>
      <c r="I61" s="32"/>
      <c r="J61" s="32"/>
      <c r="K61" s="32"/>
      <c r="L61" s="32"/>
      <c r="M61" s="32"/>
      <c r="N61" s="32"/>
      <c r="O61" s="32"/>
      <c r="P61" s="32"/>
      <c r="Q61" s="32"/>
    </row>
    <row r="62" spans="1:17" ht="14" hidden="1">
      <c r="A62" s="32"/>
      <c r="B62" s="32"/>
      <c r="C62" s="32"/>
      <c r="D62" s="32"/>
      <c r="E62" s="32"/>
      <c r="F62" s="32"/>
      <c r="G62" s="32"/>
      <c r="H62" s="32"/>
      <c r="I62" s="32"/>
      <c r="J62" s="32"/>
      <c r="K62" s="32"/>
      <c r="L62" s="32"/>
      <c r="M62" s="32"/>
      <c r="N62" s="32"/>
      <c r="O62" s="32"/>
      <c r="P62" s="32"/>
      <c r="Q62" s="32"/>
    </row>
    <row r="63" spans="1:17" ht="14" hidden="1">
      <c r="A63" s="32"/>
      <c r="B63" s="32"/>
      <c r="C63" s="32"/>
      <c r="D63" s="32"/>
      <c r="E63" s="32"/>
      <c r="F63" s="32"/>
      <c r="G63" s="32"/>
      <c r="H63" s="32"/>
      <c r="I63" s="32"/>
      <c r="J63" s="32"/>
      <c r="K63" s="32"/>
      <c r="L63" s="32"/>
      <c r="M63" s="32"/>
      <c r="N63" s="32"/>
      <c r="O63" s="32"/>
      <c r="P63" s="32"/>
      <c r="Q63" s="32"/>
    </row>
    <row r="64" spans="1:17" ht="14" hidden="1">
      <c r="A64" s="32"/>
      <c r="B64" s="32"/>
      <c r="C64" s="32"/>
      <c r="D64" s="32"/>
      <c r="E64" s="32"/>
      <c r="F64" s="32"/>
      <c r="G64" s="32"/>
      <c r="H64" s="32"/>
      <c r="I64" s="32"/>
      <c r="J64" s="32"/>
      <c r="K64" s="32"/>
      <c r="L64" s="32"/>
      <c r="M64" s="32"/>
      <c r="N64" s="32"/>
      <c r="O64" s="32"/>
      <c r="P64" s="32"/>
      <c r="Q64" s="32"/>
    </row>
    <row r="65" spans="1:17" ht="14" hidden="1">
      <c r="A65" s="32"/>
      <c r="B65" s="32"/>
      <c r="C65" s="32"/>
      <c r="D65" s="32"/>
      <c r="E65" s="32"/>
      <c r="F65" s="32"/>
      <c r="G65" s="32"/>
      <c r="H65" s="32"/>
      <c r="I65" s="32"/>
      <c r="J65" s="32"/>
      <c r="K65" s="32"/>
      <c r="L65" s="32"/>
      <c r="M65" s="32"/>
      <c r="N65" s="32"/>
      <c r="O65" s="32"/>
      <c r="P65" s="32"/>
      <c r="Q65" s="32"/>
    </row>
    <row r="66" spans="1:17" ht="14" hidden="1">
      <c r="A66" s="32"/>
      <c r="B66" s="32"/>
      <c r="C66" s="32"/>
      <c r="D66" s="32"/>
      <c r="E66" s="32"/>
      <c r="F66" s="32"/>
      <c r="G66" s="32"/>
      <c r="H66" s="32"/>
      <c r="I66" s="32"/>
      <c r="J66" s="32"/>
      <c r="K66" s="32"/>
      <c r="L66" s="32"/>
      <c r="M66" s="32"/>
      <c r="N66" s="32"/>
      <c r="O66" s="32"/>
      <c r="P66" s="32"/>
      <c r="Q66" s="32"/>
    </row>
    <row r="67" spans="1:17" ht="14" hidden="1">
      <c r="A67" s="32"/>
      <c r="B67" s="32"/>
      <c r="C67" s="32"/>
      <c r="D67" s="32"/>
      <c r="E67" s="32"/>
      <c r="F67" s="32"/>
      <c r="G67" s="32"/>
      <c r="H67" s="32"/>
      <c r="I67" s="32"/>
      <c r="J67" s="32"/>
      <c r="K67" s="32"/>
      <c r="L67" s="32"/>
      <c r="M67" s="32"/>
      <c r="N67" s="32"/>
      <c r="O67" s="32"/>
      <c r="P67" s="32"/>
      <c r="Q67" s="32"/>
    </row>
    <row r="68" spans="1:17" ht="14" hidden="1">
      <c r="A68" s="32"/>
      <c r="B68" s="32"/>
      <c r="C68" s="32"/>
      <c r="D68" s="32"/>
      <c r="E68" s="32"/>
      <c r="F68" s="32"/>
      <c r="G68" s="32"/>
      <c r="H68" s="32"/>
      <c r="I68" s="32"/>
      <c r="J68" s="32"/>
      <c r="K68" s="32"/>
      <c r="L68" s="32"/>
      <c r="M68" s="32"/>
      <c r="N68" s="32"/>
      <c r="O68" s="32"/>
      <c r="P68" s="32"/>
      <c r="Q68" s="32"/>
    </row>
    <row r="69" spans="1:17" ht="14" hidden="1">
      <c r="A69" s="32"/>
      <c r="B69" s="32"/>
      <c r="C69" s="32"/>
      <c r="D69" s="32"/>
      <c r="E69" s="32"/>
      <c r="F69" s="32"/>
      <c r="G69" s="32"/>
      <c r="H69" s="32"/>
      <c r="I69" s="32"/>
      <c r="J69" s="32"/>
      <c r="K69" s="32"/>
      <c r="L69" s="32"/>
      <c r="M69" s="32"/>
      <c r="N69" s="32"/>
      <c r="O69" s="32"/>
      <c r="P69" s="32"/>
      <c r="Q69" s="32"/>
    </row>
    <row r="70" spans="1:17" ht="14" hidden="1">
      <c r="A70" s="32"/>
      <c r="B70" s="32"/>
      <c r="C70" s="32"/>
      <c r="D70" s="32"/>
      <c r="E70" s="32"/>
      <c r="F70" s="32"/>
      <c r="G70" s="32"/>
      <c r="H70" s="32"/>
      <c r="I70" s="32"/>
      <c r="J70" s="32"/>
      <c r="K70" s="32"/>
      <c r="L70" s="32"/>
      <c r="M70" s="32"/>
      <c r="N70" s="32"/>
      <c r="O70" s="32"/>
      <c r="P70" s="32"/>
      <c r="Q70" s="32"/>
    </row>
    <row r="71" spans="1:17" ht="14" hidden="1">
      <c r="A71" s="32"/>
      <c r="B71" s="32"/>
      <c r="C71" s="32"/>
      <c r="D71" s="32"/>
      <c r="E71" s="32"/>
      <c r="F71" s="32"/>
      <c r="G71" s="32"/>
      <c r="H71" s="32"/>
      <c r="I71" s="32"/>
      <c r="J71" s="32"/>
      <c r="K71" s="32"/>
      <c r="L71" s="32"/>
      <c r="M71" s="32"/>
      <c r="N71" s="32"/>
      <c r="O71" s="32"/>
      <c r="P71" s="32"/>
      <c r="Q71" s="32"/>
    </row>
    <row r="72" spans="1:17" ht="14" hidden="1">
      <c r="A72" s="32"/>
      <c r="B72" s="32"/>
      <c r="C72" s="32"/>
      <c r="D72" s="32"/>
      <c r="E72" s="32"/>
      <c r="F72" s="32"/>
      <c r="G72" s="32"/>
      <c r="H72" s="32"/>
      <c r="I72" s="32"/>
      <c r="J72" s="32"/>
      <c r="K72" s="32"/>
      <c r="L72" s="32"/>
      <c r="M72" s="32"/>
      <c r="N72" s="32"/>
      <c r="O72" s="32"/>
      <c r="P72" s="32"/>
      <c r="Q72" s="32"/>
    </row>
    <row r="73" spans="1:17" ht="14" hidden="1">
      <c r="A73" s="32"/>
      <c r="B73" s="32"/>
      <c r="C73" s="32"/>
      <c r="D73" s="32"/>
      <c r="E73" s="32"/>
      <c r="F73" s="32"/>
      <c r="G73" s="32"/>
      <c r="H73" s="32"/>
      <c r="I73" s="32"/>
      <c r="J73" s="32"/>
      <c r="K73" s="32"/>
      <c r="L73" s="32"/>
      <c r="M73" s="32"/>
      <c r="N73" s="32"/>
      <c r="O73" s="32"/>
      <c r="P73" s="32"/>
      <c r="Q73" s="32"/>
    </row>
    <row r="74" spans="1:17" ht="14" hidden="1">
      <c r="A74" s="32"/>
      <c r="B74" s="32"/>
      <c r="C74" s="32"/>
      <c r="D74" s="32"/>
      <c r="E74" s="32"/>
      <c r="F74" s="32"/>
      <c r="G74" s="32"/>
      <c r="H74" s="32"/>
      <c r="I74" s="32"/>
      <c r="J74" s="32"/>
      <c r="K74" s="32"/>
      <c r="L74" s="32"/>
      <c r="M74" s="32"/>
      <c r="N74" s="32"/>
      <c r="O74" s="32"/>
      <c r="P74" s="32"/>
      <c r="Q74" s="32"/>
    </row>
    <row r="75" spans="1:17" ht="14" hidden="1">
      <c r="A75" s="32"/>
      <c r="B75" s="32"/>
      <c r="C75" s="32"/>
      <c r="D75" s="32"/>
      <c r="E75" s="32"/>
      <c r="F75" s="32"/>
      <c r="G75" s="32"/>
      <c r="H75" s="32"/>
      <c r="I75" s="32"/>
      <c r="J75" s="32"/>
      <c r="K75" s="32"/>
      <c r="L75" s="32"/>
      <c r="M75" s="32"/>
      <c r="N75" s="32"/>
      <c r="O75" s="32"/>
      <c r="P75" s="32"/>
      <c r="Q75" s="32"/>
    </row>
    <row r="76" spans="1:17" ht="14" hidden="1">
      <c r="A76" s="32"/>
      <c r="B76" s="32"/>
      <c r="C76" s="32"/>
      <c r="D76" s="32"/>
      <c r="E76" s="32"/>
      <c r="F76" s="32"/>
      <c r="G76" s="32"/>
      <c r="H76" s="32"/>
      <c r="I76" s="32"/>
      <c r="J76" s="32"/>
      <c r="K76" s="32"/>
      <c r="L76" s="32"/>
      <c r="M76" s="32"/>
      <c r="N76" s="32"/>
      <c r="O76" s="32"/>
      <c r="P76" s="32"/>
      <c r="Q76" s="32"/>
    </row>
    <row r="77" spans="1:17" ht="14" hidden="1">
      <c r="A77" s="32"/>
      <c r="B77" s="32"/>
      <c r="C77" s="32"/>
      <c r="D77" s="32"/>
      <c r="E77" s="32"/>
      <c r="F77" s="32"/>
      <c r="G77" s="32"/>
      <c r="H77" s="32"/>
      <c r="I77" s="32"/>
      <c r="J77" s="32"/>
      <c r="K77" s="32"/>
      <c r="L77" s="32"/>
      <c r="M77" s="32"/>
      <c r="N77" s="32"/>
      <c r="O77" s="32"/>
      <c r="P77" s="32"/>
      <c r="Q77" s="32"/>
    </row>
    <row r="78" spans="1:17" ht="14" hidden="1">
      <c r="A78" s="32"/>
      <c r="B78" s="32"/>
      <c r="C78" s="32"/>
      <c r="D78" s="32"/>
      <c r="E78" s="32"/>
      <c r="F78" s="32"/>
      <c r="G78" s="32"/>
      <c r="H78" s="32"/>
      <c r="I78" s="32"/>
      <c r="J78" s="32"/>
      <c r="K78" s="32"/>
      <c r="L78" s="32"/>
      <c r="M78" s="32"/>
      <c r="N78" s="32"/>
      <c r="O78" s="32"/>
      <c r="P78" s="32"/>
      <c r="Q78" s="32"/>
    </row>
    <row r="79" spans="1:17" ht="14" hidden="1">
      <c r="A79" s="32"/>
      <c r="B79" s="32"/>
      <c r="C79" s="32"/>
      <c r="D79" s="32"/>
      <c r="E79" s="32"/>
      <c r="F79" s="32"/>
      <c r="G79" s="32"/>
      <c r="H79" s="32"/>
      <c r="I79" s="32"/>
      <c r="J79" s="32"/>
      <c r="K79" s="32"/>
      <c r="L79" s="32"/>
      <c r="M79" s="32"/>
      <c r="N79" s="32"/>
      <c r="O79" s="32"/>
      <c r="P79" s="32"/>
      <c r="Q79" s="32"/>
    </row>
    <row r="80" spans="1:17" ht="14" hidden="1">
      <c r="A80" s="32"/>
      <c r="B80" s="32"/>
      <c r="C80" s="32"/>
      <c r="D80" s="32"/>
      <c r="E80" s="32"/>
      <c r="F80" s="32"/>
      <c r="G80" s="32"/>
      <c r="H80" s="32"/>
      <c r="I80" s="32"/>
      <c r="J80" s="32"/>
      <c r="K80" s="32"/>
      <c r="L80" s="32"/>
      <c r="M80" s="32"/>
      <c r="N80" s="32"/>
      <c r="O80" s="32"/>
      <c r="P80" s="32"/>
      <c r="Q80" s="32"/>
    </row>
    <row r="81" spans="1:17" ht="14" hidden="1">
      <c r="A81" s="32"/>
      <c r="B81" s="32"/>
      <c r="C81" s="32"/>
      <c r="D81" s="32"/>
      <c r="E81" s="32"/>
      <c r="F81" s="32"/>
      <c r="G81" s="32"/>
      <c r="H81" s="32"/>
      <c r="I81" s="32"/>
      <c r="J81" s="32"/>
      <c r="K81" s="32"/>
      <c r="L81" s="32"/>
      <c r="M81" s="32"/>
      <c r="N81" s="32"/>
      <c r="O81" s="32"/>
      <c r="P81" s="32"/>
      <c r="Q81" s="32"/>
    </row>
    <row r="82" spans="1:17" ht="14" hidden="1">
      <c r="A82" s="32"/>
      <c r="B82" s="32"/>
      <c r="C82" s="32"/>
      <c r="D82" s="32"/>
      <c r="E82" s="32"/>
      <c r="F82" s="32"/>
      <c r="G82" s="32"/>
      <c r="H82" s="32"/>
      <c r="I82" s="32"/>
      <c r="J82" s="32"/>
      <c r="K82" s="32"/>
      <c r="L82" s="32"/>
      <c r="M82" s="32"/>
      <c r="N82" s="32"/>
      <c r="O82" s="32"/>
      <c r="P82" s="32"/>
      <c r="Q82" s="32"/>
    </row>
    <row r="83" spans="1:17" ht="14" hidden="1">
      <c r="A83" s="32"/>
      <c r="B83" s="32"/>
      <c r="C83" s="32"/>
      <c r="D83" s="32"/>
      <c r="E83" s="32"/>
      <c r="F83" s="32"/>
      <c r="G83" s="32"/>
      <c r="H83" s="32"/>
      <c r="I83" s="32"/>
      <c r="J83" s="32"/>
      <c r="K83" s="32"/>
      <c r="L83" s="32"/>
      <c r="M83" s="32"/>
      <c r="N83" s="32"/>
      <c r="O83" s="32"/>
      <c r="P83" s="32"/>
      <c r="Q83" s="32"/>
    </row>
    <row r="84" spans="1:17" ht="14" hidden="1">
      <c r="A84" s="32"/>
      <c r="B84" s="32"/>
      <c r="C84" s="32"/>
      <c r="D84" s="32"/>
      <c r="E84" s="32"/>
      <c r="F84" s="32"/>
      <c r="G84" s="32"/>
      <c r="H84" s="32"/>
      <c r="I84" s="32"/>
      <c r="J84" s="32"/>
      <c r="K84" s="32"/>
      <c r="L84" s="32"/>
      <c r="M84" s="32"/>
      <c r="N84" s="32"/>
      <c r="O84" s="32"/>
      <c r="P84" s="32"/>
      <c r="Q84" s="32"/>
    </row>
    <row r="85" spans="1:17" ht="14" hidden="1">
      <c r="A85" s="32"/>
      <c r="B85" s="32"/>
      <c r="C85" s="32"/>
      <c r="D85" s="32"/>
      <c r="E85" s="32"/>
      <c r="F85" s="32"/>
      <c r="G85" s="32"/>
      <c r="H85" s="32"/>
      <c r="I85" s="32"/>
      <c r="J85" s="32"/>
      <c r="K85" s="32"/>
      <c r="L85" s="32"/>
      <c r="M85" s="32"/>
      <c r="N85" s="32"/>
      <c r="O85" s="32"/>
      <c r="P85" s="32"/>
      <c r="Q85" s="32"/>
    </row>
    <row r="86" spans="1:17" ht="14" hidden="1">
      <c r="A86" s="32"/>
      <c r="B86" s="32"/>
      <c r="C86" s="32"/>
      <c r="D86" s="32"/>
      <c r="E86" s="32"/>
      <c r="F86" s="32"/>
      <c r="G86" s="32"/>
      <c r="H86" s="32"/>
      <c r="I86" s="32"/>
      <c r="J86" s="32"/>
      <c r="K86" s="32"/>
      <c r="L86" s="32"/>
      <c r="M86" s="32"/>
      <c r="N86" s="32"/>
      <c r="O86" s="32"/>
      <c r="P86" s="32"/>
      <c r="Q86" s="32"/>
    </row>
    <row r="87" spans="1:17" ht="14" hidden="1">
      <c r="A87" s="32"/>
      <c r="B87" s="32"/>
      <c r="C87" s="32"/>
      <c r="D87" s="32"/>
      <c r="E87" s="32"/>
      <c r="F87" s="32"/>
      <c r="G87" s="32"/>
      <c r="H87" s="32"/>
      <c r="I87" s="32"/>
      <c r="J87" s="32"/>
      <c r="K87" s="32"/>
      <c r="L87" s="32"/>
      <c r="M87" s="32"/>
      <c r="N87" s="32"/>
      <c r="O87" s="32"/>
      <c r="P87" s="32"/>
      <c r="Q87" s="32"/>
    </row>
    <row r="88" spans="1:17" ht="14" hidden="1">
      <c r="A88" s="32"/>
      <c r="B88" s="32"/>
      <c r="C88" s="32"/>
      <c r="D88" s="32"/>
      <c r="E88" s="32"/>
      <c r="F88" s="32"/>
      <c r="G88" s="32"/>
      <c r="H88" s="32"/>
      <c r="I88" s="32"/>
      <c r="J88" s="32"/>
      <c r="K88" s="32"/>
      <c r="L88" s="32"/>
      <c r="M88" s="32"/>
      <c r="N88" s="32"/>
      <c r="O88" s="32"/>
      <c r="P88" s="32"/>
      <c r="Q88" s="32"/>
    </row>
    <row r="89" spans="1:17" ht="14" hidden="1">
      <c r="A89" s="32"/>
      <c r="B89" s="32"/>
      <c r="C89" s="32"/>
      <c r="D89" s="32"/>
      <c r="E89" s="32"/>
      <c r="F89" s="32"/>
      <c r="G89" s="32"/>
      <c r="H89" s="32"/>
      <c r="I89" s="32"/>
      <c r="J89" s="32"/>
      <c r="K89" s="32"/>
      <c r="L89" s="32"/>
      <c r="M89" s="32"/>
      <c r="N89" s="32"/>
      <c r="O89" s="32"/>
      <c r="P89" s="32"/>
      <c r="Q89" s="32"/>
    </row>
    <row r="90" spans="1:17" ht="14" hidden="1">
      <c r="A90" s="32"/>
      <c r="B90" s="32"/>
      <c r="C90" s="32"/>
      <c r="D90" s="32"/>
      <c r="E90" s="32"/>
      <c r="F90" s="32"/>
      <c r="G90" s="32"/>
      <c r="H90" s="32"/>
      <c r="I90" s="32"/>
      <c r="J90" s="32"/>
      <c r="K90" s="32"/>
      <c r="L90" s="32"/>
      <c r="M90" s="32"/>
      <c r="N90" s="32"/>
      <c r="O90" s="32"/>
      <c r="P90" s="32"/>
      <c r="Q90" s="32"/>
    </row>
    <row r="91" spans="1:17" ht="14" hidden="1">
      <c r="A91" s="32"/>
      <c r="B91" s="32"/>
      <c r="C91" s="32"/>
      <c r="D91" s="32"/>
      <c r="E91" s="32"/>
      <c r="F91" s="32"/>
      <c r="G91" s="32"/>
      <c r="H91" s="32"/>
      <c r="I91" s="32"/>
      <c r="J91" s="32"/>
      <c r="K91" s="32"/>
      <c r="L91" s="32"/>
      <c r="M91" s="32"/>
      <c r="N91" s="32"/>
      <c r="O91" s="32"/>
      <c r="P91" s="32"/>
      <c r="Q91" s="32"/>
    </row>
    <row r="92" spans="1:17" ht="14" hidden="1">
      <c r="A92" s="32"/>
      <c r="B92" s="32"/>
      <c r="C92" s="32"/>
      <c r="D92" s="32"/>
      <c r="E92" s="32"/>
      <c r="F92" s="32"/>
      <c r="G92" s="32"/>
      <c r="H92" s="32"/>
      <c r="I92" s="32"/>
      <c r="J92" s="32"/>
      <c r="K92" s="32"/>
      <c r="L92" s="32"/>
      <c r="M92" s="32"/>
      <c r="N92" s="32"/>
      <c r="O92" s="32"/>
      <c r="P92" s="32"/>
      <c r="Q92" s="32"/>
    </row>
    <row r="93" spans="1:17" ht="14" hidden="1">
      <c r="A93" s="32"/>
      <c r="B93" s="32"/>
      <c r="C93" s="32"/>
      <c r="D93" s="32"/>
      <c r="E93" s="32"/>
      <c r="F93" s="32"/>
      <c r="G93" s="32"/>
      <c r="H93" s="32"/>
      <c r="I93" s="32"/>
      <c r="J93" s="32"/>
      <c r="K93" s="32"/>
      <c r="L93" s="32"/>
      <c r="M93" s="32"/>
      <c r="N93" s="32"/>
      <c r="O93" s="32"/>
      <c r="P93" s="32"/>
      <c r="Q93" s="32"/>
    </row>
    <row r="94" spans="1:17" ht="14" hidden="1">
      <c r="A94" s="32"/>
      <c r="B94" s="32"/>
      <c r="C94" s="32"/>
      <c r="D94" s="32"/>
      <c r="E94" s="32"/>
      <c r="F94" s="32"/>
      <c r="G94" s="32"/>
      <c r="H94" s="32"/>
      <c r="I94" s="32"/>
      <c r="J94" s="32"/>
      <c r="K94" s="32"/>
      <c r="L94" s="32"/>
      <c r="M94" s="32"/>
      <c r="N94" s="32"/>
      <c r="O94" s="32"/>
      <c r="P94" s="32"/>
      <c r="Q94" s="32"/>
    </row>
    <row r="95" spans="1:17" ht="14" hidden="1">
      <c r="A95" s="32"/>
      <c r="B95" s="32"/>
      <c r="C95" s="32"/>
      <c r="D95" s="32"/>
      <c r="E95" s="32"/>
      <c r="F95" s="32"/>
      <c r="G95" s="32"/>
      <c r="H95" s="32"/>
      <c r="I95" s="32"/>
      <c r="J95" s="32"/>
      <c r="K95" s="32"/>
      <c r="L95" s="32"/>
      <c r="M95" s="32"/>
      <c r="N95" s="32"/>
      <c r="O95" s="32"/>
      <c r="P95" s="32"/>
      <c r="Q95" s="32"/>
    </row>
    <row r="96" spans="1:17" ht="14" hidden="1">
      <c r="A96" s="32"/>
      <c r="B96" s="32"/>
      <c r="C96" s="32"/>
      <c r="D96" s="32"/>
      <c r="E96" s="32"/>
      <c r="F96" s="32"/>
      <c r="G96" s="32"/>
      <c r="H96" s="32"/>
      <c r="I96" s="32"/>
      <c r="J96" s="32"/>
      <c r="K96" s="32"/>
      <c r="L96" s="32"/>
      <c r="M96" s="32"/>
      <c r="N96" s="32"/>
      <c r="O96" s="32"/>
      <c r="P96" s="32"/>
      <c r="Q96" s="32"/>
    </row>
    <row r="97" spans="1:17" ht="14" hidden="1">
      <c r="A97" s="32"/>
      <c r="B97" s="32"/>
      <c r="C97" s="32"/>
      <c r="D97" s="32"/>
      <c r="E97" s="32"/>
      <c r="F97" s="32"/>
      <c r="G97" s="32"/>
      <c r="H97" s="32"/>
      <c r="I97" s="32"/>
      <c r="J97" s="32"/>
      <c r="K97" s="32"/>
      <c r="L97" s="32"/>
      <c r="M97" s="32"/>
      <c r="N97" s="32"/>
      <c r="O97" s="32"/>
      <c r="P97" s="32"/>
      <c r="Q97" s="32"/>
    </row>
    <row r="98" spans="1:17" ht="14" hidden="1">
      <c r="A98" s="32"/>
      <c r="B98" s="32"/>
      <c r="C98" s="32"/>
      <c r="D98" s="32"/>
      <c r="E98" s="32"/>
      <c r="F98" s="32"/>
      <c r="G98" s="32"/>
      <c r="H98" s="32"/>
      <c r="I98" s="32"/>
      <c r="J98" s="32"/>
      <c r="K98" s="32"/>
      <c r="L98" s="32"/>
      <c r="M98" s="32"/>
      <c r="N98" s="32"/>
      <c r="O98" s="32"/>
      <c r="P98" s="32"/>
      <c r="Q98" s="32"/>
    </row>
    <row r="99" spans="1:17" ht="14" hidden="1">
      <c r="A99" s="32"/>
      <c r="B99" s="32"/>
      <c r="C99" s="32"/>
      <c r="D99" s="32"/>
      <c r="E99" s="32"/>
      <c r="F99" s="32"/>
      <c r="G99" s="32"/>
      <c r="H99" s="32"/>
      <c r="I99" s="32"/>
      <c r="J99" s="32"/>
      <c r="K99" s="32"/>
      <c r="L99" s="32"/>
      <c r="M99" s="32"/>
      <c r="N99" s="32"/>
      <c r="O99" s="32"/>
      <c r="P99" s="32"/>
      <c r="Q99" s="32"/>
    </row>
    <row r="100" spans="1:17" ht="14" hidden="1">
      <c r="A100" s="32"/>
      <c r="B100" s="32"/>
      <c r="C100" s="32"/>
      <c r="D100" s="32"/>
      <c r="E100" s="32"/>
      <c r="F100" s="32"/>
      <c r="G100" s="32"/>
      <c r="H100" s="32"/>
      <c r="I100" s="32"/>
      <c r="J100" s="32"/>
      <c r="K100" s="32"/>
      <c r="L100" s="32"/>
      <c r="M100" s="32"/>
      <c r="N100" s="32"/>
      <c r="O100" s="32"/>
      <c r="P100" s="32"/>
      <c r="Q100" s="32"/>
    </row>
    <row r="101" spans="1:17" ht="14" hidden="1">
      <c r="A101" s="32"/>
      <c r="B101" s="32"/>
      <c r="C101" s="32"/>
      <c r="D101" s="32"/>
      <c r="E101" s="32"/>
      <c r="F101" s="32"/>
      <c r="G101" s="32"/>
      <c r="H101" s="32"/>
      <c r="I101" s="32"/>
      <c r="J101" s="32"/>
      <c r="K101" s="32"/>
      <c r="L101" s="32"/>
      <c r="M101" s="32"/>
      <c r="N101" s="32"/>
      <c r="O101" s="32"/>
      <c r="P101" s="32"/>
      <c r="Q101" s="32"/>
    </row>
    <row r="102" spans="1:17" ht="14" hidden="1">
      <c r="A102" s="32"/>
      <c r="B102" s="32"/>
      <c r="C102" s="32"/>
      <c r="D102" s="32"/>
      <c r="E102" s="32"/>
      <c r="F102" s="32"/>
      <c r="G102" s="32"/>
      <c r="H102" s="32"/>
      <c r="I102" s="32"/>
      <c r="J102" s="32"/>
      <c r="K102" s="32"/>
      <c r="L102" s="32"/>
      <c r="M102" s="32"/>
      <c r="N102" s="32"/>
      <c r="O102" s="32"/>
      <c r="P102" s="32"/>
      <c r="Q102" s="32"/>
    </row>
    <row r="103" spans="1:17" ht="14" hidden="1">
      <c r="A103" s="32"/>
      <c r="B103" s="32"/>
      <c r="C103" s="32"/>
      <c r="D103" s="32"/>
      <c r="E103" s="32"/>
      <c r="F103" s="32"/>
      <c r="G103" s="32"/>
      <c r="H103" s="32"/>
      <c r="I103" s="32"/>
      <c r="J103" s="32"/>
      <c r="K103" s="32"/>
      <c r="L103" s="32"/>
      <c r="M103" s="32"/>
      <c r="N103" s="32"/>
      <c r="O103" s="32"/>
      <c r="P103" s="32"/>
      <c r="Q103" s="32"/>
    </row>
    <row r="104" spans="1:17" ht="14" hidden="1">
      <c r="A104" s="32"/>
      <c r="B104" s="32"/>
      <c r="C104" s="32"/>
      <c r="D104" s="32"/>
      <c r="E104" s="32"/>
      <c r="F104" s="32"/>
      <c r="G104" s="32"/>
      <c r="H104" s="32"/>
      <c r="I104" s="32"/>
      <c r="J104" s="32"/>
      <c r="K104" s="32"/>
      <c r="L104" s="32"/>
      <c r="M104" s="32"/>
      <c r="N104" s="32"/>
      <c r="O104" s="32"/>
      <c r="P104" s="32"/>
      <c r="Q104" s="32"/>
    </row>
    <row r="105" spans="1:17" ht="14" hidden="1">
      <c r="A105" s="32"/>
      <c r="B105" s="32"/>
      <c r="C105" s="32"/>
      <c r="D105" s="32"/>
      <c r="E105" s="32"/>
      <c r="F105" s="32"/>
      <c r="G105" s="32"/>
      <c r="H105" s="32"/>
      <c r="I105" s="32"/>
      <c r="J105" s="32"/>
      <c r="K105" s="32"/>
      <c r="L105" s="32"/>
      <c r="M105" s="32"/>
      <c r="N105" s="32"/>
      <c r="O105" s="32"/>
      <c r="P105" s="32"/>
      <c r="Q105" s="32"/>
    </row>
    <row r="106" spans="1:17" ht="14" hidden="1">
      <c r="A106" s="32"/>
      <c r="B106" s="32"/>
      <c r="C106" s="32"/>
      <c r="D106" s="32"/>
      <c r="E106" s="32"/>
      <c r="F106" s="32"/>
      <c r="G106" s="32"/>
      <c r="H106" s="32"/>
      <c r="I106" s="32"/>
      <c r="J106" s="32"/>
      <c r="K106" s="32"/>
      <c r="L106" s="32"/>
      <c r="M106" s="32"/>
      <c r="N106" s="32"/>
      <c r="O106" s="32"/>
      <c r="P106" s="32"/>
      <c r="Q106" s="32"/>
    </row>
    <row r="107" spans="1:17" ht="14" hidden="1">
      <c r="A107" s="32"/>
      <c r="B107" s="32"/>
      <c r="C107" s="32"/>
      <c r="D107" s="32"/>
      <c r="E107" s="32"/>
      <c r="F107" s="32"/>
      <c r="H107" s="32"/>
      <c r="I107" s="32"/>
      <c r="J107" s="32"/>
      <c r="K107" s="32"/>
      <c r="L107" s="32"/>
      <c r="M107" s="32"/>
      <c r="N107" s="32"/>
      <c r="O107" s="32"/>
      <c r="P107" s="32"/>
      <c r="Q107" s="32"/>
    </row>
    <row r="108" spans="1:17" ht="14" hidden="1">
      <c r="A108" s="32"/>
      <c r="B108" s="32"/>
      <c r="C108" s="32"/>
      <c r="D108" s="32"/>
      <c r="E108" s="32"/>
      <c r="F108" s="32"/>
      <c r="H108" s="32"/>
      <c r="I108" s="32"/>
      <c r="J108" s="32"/>
      <c r="K108" s="32"/>
      <c r="L108" s="32"/>
      <c r="M108" s="32"/>
      <c r="N108" s="32"/>
      <c r="O108" s="32"/>
      <c r="P108" s="32"/>
      <c r="Q108" s="32"/>
    </row>
    <row r="109" spans="1:17" ht="14" hidden="1">
      <c r="A109" s="32"/>
      <c r="B109" s="32"/>
      <c r="C109" s="32"/>
      <c r="D109" s="32"/>
      <c r="E109" s="32"/>
      <c r="F109" s="32"/>
      <c r="H109" s="32"/>
      <c r="I109" s="32"/>
      <c r="J109" s="32"/>
      <c r="K109" s="32"/>
      <c r="L109" s="32"/>
      <c r="M109" s="32"/>
      <c r="N109" s="32"/>
      <c r="O109" s="32"/>
      <c r="P109" s="32"/>
      <c r="Q109" s="32"/>
    </row>
    <row r="110" spans="1:17" ht="14" hidden="1">
      <c r="A110" s="32"/>
      <c r="B110" s="32"/>
      <c r="C110" s="32"/>
      <c r="D110" s="32"/>
      <c r="E110" s="32"/>
      <c r="F110" s="32"/>
      <c r="H110" s="32"/>
      <c r="I110" s="32"/>
      <c r="J110" s="32"/>
      <c r="K110" s="32"/>
      <c r="L110" s="32"/>
      <c r="M110" s="32"/>
      <c r="N110" s="32"/>
      <c r="O110" s="32"/>
      <c r="P110" s="32"/>
      <c r="Q110" s="32"/>
    </row>
    <row r="111" spans="1:17" ht="14" hidden="1">
      <c r="A111" s="32"/>
      <c r="B111" s="32"/>
      <c r="C111" s="32"/>
      <c r="D111" s="32"/>
      <c r="E111" s="32"/>
      <c r="F111" s="32"/>
      <c r="H111" s="32"/>
      <c r="I111" s="32"/>
      <c r="J111" s="32"/>
      <c r="K111" s="32"/>
      <c r="L111" s="32"/>
      <c r="M111" s="32"/>
      <c r="N111" s="32"/>
      <c r="O111" s="32"/>
      <c r="P111" s="32"/>
      <c r="Q111" s="32"/>
    </row>
    <row r="112" spans="1:17" ht="14" hidden="1">
      <c r="A112" s="32"/>
      <c r="B112" s="32"/>
      <c r="C112" s="32"/>
      <c r="D112" s="32"/>
      <c r="E112" s="32"/>
      <c r="F112" s="32"/>
      <c r="H112" s="32"/>
      <c r="I112" s="32"/>
      <c r="J112" s="32"/>
      <c r="K112" s="32"/>
      <c r="L112" s="32"/>
      <c r="M112" s="32"/>
      <c r="N112" s="32"/>
      <c r="O112" s="32"/>
      <c r="P112" s="32"/>
      <c r="Q112" s="32"/>
    </row>
    <row r="113" spans="1:17" ht="14" hidden="1">
      <c r="A113" s="32"/>
      <c r="B113" s="32"/>
      <c r="C113" s="32"/>
      <c r="D113" s="32"/>
      <c r="E113" s="32"/>
      <c r="F113" s="32"/>
      <c r="H113" s="32"/>
      <c r="I113" s="32"/>
      <c r="J113" s="32"/>
      <c r="K113" s="32"/>
      <c r="L113" s="32"/>
      <c r="M113" s="32"/>
      <c r="N113" s="32"/>
      <c r="O113" s="32"/>
      <c r="P113" s="32"/>
      <c r="Q113" s="32"/>
    </row>
    <row r="114" spans="1:17" ht="14" hidden="1">
      <c r="A114" s="32"/>
      <c r="B114" s="32"/>
      <c r="C114" s="32"/>
      <c r="D114" s="32"/>
      <c r="E114" s="32"/>
      <c r="F114" s="32"/>
      <c r="H114" s="32"/>
      <c r="I114" s="32"/>
      <c r="J114" s="32"/>
      <c r="K114" s="32"/>
      <c r="L114" s="32"/>
      <c r="M114" s="32"/>
      <c r="N114" s="32"/>
      <c r="O114" s="32"/>
      <c r="P114" s="32"/>
      <c r="Q114" s="32"/>
    </row>
    <row r="115" spans="1:17" ht="14" hidden="1">
      <c r="A115" s="32"/>
      <c r="B115" s="32"/>
      <c r="C115" s="32"/>
      <c r="D115" s="32"/>
      <c r="E115" s="32"/>
      <c r="F115" s="32"/>
      <c r="H115" s="32"/>
      <c r="I115" s="32"/>
      <c r="J115" s="32"/>
      <c r="K115" s="32"/>
      <c r="L115" s="32"/>
      <c r="M115" s="32"/>
      <c r="N115" s="32"/>
      <c r="O115" s="32"/>
      <c r="P115" s="32"/>
      <c r="Q115" s="32"/>
    </row>
    <row r="116" spans="1:17" ht="14" hidden="1">
      <c r="A116" s="32"/>
      <c r="B116" s="32"/>
      <c r="C116" s="32"/>
      <c r="D116" s="32"/>
      <c r="E116" s="32"/>
      <c r="F116" s="32"/>
      <c r="H116" s="32"/>
      <c r="I116" s="32"/>
      <c r="J116" s="32"/>
      <c r="K116" s="32"/>
      <c r="L116" s="32"/>
      <c r="M116" s="32"/>
      <c r="N116" s="32"/>
      <c r="O116" s="32"/>
      <c r="P116" s="32"/>
      <c r="Q116" s="32"/>
    </row>
    <row r="117" spans="1:17" ht="14" hidden="1">
      <c r="A117" s="32"/>
      <c r="B117" s="32"/>
      <c r="C117" s="32"/>
      <c r="D117" s="32"/>
      <c r="E117" s="32"/>
      <c r="F117" s="32"/>
      <c r="H117" s="32"/>
      <c r="I117" s="32"/>
      <c r="J117" s="32"/>
      <c r="K117" s="32"/>
      <c r="L117" s="32"/>
      <c r="M117" s="32"/>
      <c r="N117" s="32"/>
      <c r="O117" s="32"/>
      <c r="P117" s="32"/>
      <c r="Q117" s="32"/>
    </row>
    <row r="118" spans="1:17" ht="14" hidden="1">
      <c r="A118" s="32"/>
      <c r="B118" s="32"/>
      <c r="C118" s="32"/>
      <c r="D118" s="32"/>
      <c r="E118" s="32"/>
      <c r="F118" s="32"/>
      <c r="H118" s="32"/>
      <c r="I118" s="32"/>
      <c r="J118" s="32"/>
      <c r="K118" s="32"/>
      <c r="L118" s="32"/>
      <c r="M118" s="32"/>
      <c r="N118" s="32"/>
      <c r="O118" s="32"/>
      <c r="P118" s="32"/>
      <c r="Q118" s="32"/>
    </row>
    <row r="119" spans="1:17" ht="14" hidden="1">
      <c r="A119" s="32"/>
      <c r="B119" s="32"/>
      <c r="C119" s="32"/>
      <c r="D119" s="32"/>
      <c r="E119" s="32"/>
      <c r="F119" s="32"/>
      <c r="H119" s="32"/>
      <c r="I119" s="32"/>
      <c r="J119" s="32"/>
      <c r="K119" s="32"/>
      <c r="L119" s="32"/>
      <c r="M119" s="32"/>
      <c r="N119" s="32"/>
      <c r="O119" s="32"/>
      <c r="P119" s="32"/>
      <c r="Q119" s="32"/>
    </row>
    <row r="120" spans="1:17" ht="14" hidden="1">
      <c r="A120" s="32"/>
      <c r="B120" s="32"/>
      <c r="C120" s="32"/>
      <c r="D120" s="32"/>
      <c r="E120" s="32"/>
      <c r="F120" s="32"/>
      <c r="H120" s="32"/>
      <c r="I120" s="32"/>
      <c r="J120" s="32"/>
      <c r="K120" s="32"/>
      <c r="L120" s="32"/>
      <c r="M120" s="32"/>
      <c r="N120" s="32"/>
      <c r="O120" s="32"/>
      <c r="P120" s="32"/>
      <c r="Q120" s="32"/>
    </row>
    <row r="121" spans="1:17" ht="14" hidden="1">
      <c r="A121" s="32"/>
      <c r="B121" s="32"/>
      <c r="C121" s="32"/>
      <c r="D121" s="32"/>
      <c r="E121" s="32"/>
      <c r="F121" s="32"/>
      <c r="H121" s="32"/>
      <c r="I121" s="32"/>
      <c r="J121" s="32"/>
      <c r="K121" s="32"/>
      <c r="L121" s="32"/>
      <c r="M121" s="32"/>
      <c r="N121" s="32"/>
      <c r="O121" s="32"/>
      <c r="P121" s="32"/>
      <c r="Q121" s="32"/>
    </row>
    <row r="122" spans="1:17" ht="14" hidden="1">
      <c r="A122" s="32"/>
      <c r="B122" s="32"/>
      <c r="C122" s="32"/>
      <c r="D122" s="32"/>
      <c r="E122" s="32"/>
      <c r="F122" s="32"/>
      <c r="H122" s="32"/>
      <c r="I122" s="32"/>
      <c r="J122" s="32"/>
      <c r="K122" s="32"/>
      <c r="L122" s="32"/>
      <c r="M122" s="32"/>
      <c r="N122" s="32"/>
      <c r="O122" s="32"/>
      <c r="P122" s="32"/>
      <c r="Q122" s="32"/>
    </row>
    <row r="123" spans="1:17" ht="14" hidden="1">
      <c r="A123" s="32"/>
      <c r="B123" s="32"/>
      <c r="C123" s="32"/>
      <c r="D123" s="32"/>
      <c r="E123" s="32"/>
      <c r="F123" s="32"/>
      <c r="H123" s="32"/>
      <c r="I123" s="32"/>
      <c r="J123" s="32"/>
      <c r="K123" s="32"/>
      <c r="L123" s="32"/>
      <c r="M123" s="32"/>
      <c r="N123" s="32"/>
      <c r="O123" s="32"/>
      <c r="P123" s="32"/>
      <c r="Q123" s="32"/>
    </row>
    <row r="124" spans="1:17" ht="14" hidden="1">
      <c r="A124" s="32"/>
      <c r="B124" s="32"/>
      <c r="C124" s="32"/>
      <c r="D124" s="32"/>
      <c r="E124" s="32"/>
      <c r="F124" s="32"/>
      <c r="H124" s="32"/>
      <c r="I124" s="32"/>
      <c r="J124" s="32"/>
      <c r="K124" s="32"/>
      <c r="L124" s="32"/>
      <c r="M124" s="32"/>
      <c r="N124" s="32"/>
      <c r="O124" s="32"/>
      <c r="P124" s="32"/>
      <c r="Q124" s="32"/>
    </row>
    <row r="125" spans="1:17" ht="14" hidden="1">
      <c r="A125" s="32"/>
      <c r="B125" s="32"/>
      <c r="C125" s="32"/>
      <c r="D125" s="32"/>
      <c r="E125" s="32"/>
      <c r="F125" s="32"/>
      <c r="H125" s="32"/>
      <c r="I125" s="32"/>
      <c r="J125" s="32"/>
      <c r="K125" s="32"/>
      <c r="L125" s="32"/>
      <c r="M125" s="32"/>
      <c r="N125" s="32"/>
      <c r="O125" s="32"/>
      <c r="P125" s="32"/>
      <c r="Q125" s="32"/>
    </row>
    <row r="126" spans="1:17" ht="14" hidden="1">
      <c r="A126" s="32"/>
      <c r="B126" s="32"/>
      <c r="C126" s="32"/>
      <c r="D126" s="32"/>
      <c r="E126" s="32"/>
      <c r="F126" s="32"/>
      <c r="H126" s="32"/>
      <c r="I126" s="32"/>
      <c r="J126" s="32"/>
      <c r="K126" s="32"/>
      <c r="L126" s="32"/>
      <c r="M126" s="32"/>
      <c r="N126" s="32"/>
      <c r="O126" s="32"/>
      <c r="P126" s="32"/>
      <c r="Q126" s="32"/>
    </row>
    <row r="127" spans="1:17" ht="14" hidden="1">
      <c r="A127" s="32"/>
      <c r="B127" s="32"/>
      <c r="C127" s="32"/>
      <c r="D127" s="32"/>
      <c r="E127" s="32"/>
      <c r="F127" s="32"/>
      <c r="H127" s="32"/>
      <c r="I127" s="32"/>
      <c r="J127" s="32"/>
      <c r="K127" s="32"/>
      <c r="L127" s="32"/>
      <c r="M127" s="32"/>
      <c r="N127" s="32"/>
      <c r="O127" s="32"/>
      <c r="P127" s="32"/>
      <c r="Q127" s="32"/>
    </row>
    <row r="128" spans="1:17" ht="14" hidden="1">
      <c r="A128" s="32"/>
      <c r="B128" s="32"/>
      <c r="C128" s="32"/>
      <c r="D128" s="32"/>
      <c r="E128" s="32"/>
      <c r="F128" s="32"/>
      <c r="H128" s="32"/>
      <c r="I128" s="32"/>
      <c r="J128" s="32"/>
      <c r="K128" s="32"/>
      <c r="L128" s="32"/>
      <c r="M128" s="32"/>
      <c r="N128" s="32"/>
      <c r="O128" s="32"/>
      <c r="P128" s="32"/>
      <c r="Q128" s="32"/>
    </row>
    <row r="129" spans="1:17" ht="14" hidden="1">
      <c r="A129" s="32"/>
      <c r="B129" s="32"/>
      <c r="C129" s="32"/>
      <c r="D129" s="32"/>
      <c r="E129" s="32"/>
      <c r="F129" s="32"/>
      <c r="H129" s="32"/>
      <c r="I129" s="32"/>
      <c r="J129" s="32"/>
      <c r="K129" s="32"/>
      <c r="L129" s="32"/>
      <c r="M129" s="32"/>
      <c r="N129" s="32"/>
      <c r="O129" s="32"/>
      <c r="P129" s="32"/>
      <c r="Q129" s="32"/>
    </row>
    <row r="130" spans="1:17" ht="14" hidden="1">
      <c r="A130" s="32"/>
      <c r="B130" s="32"/>
      <c r="C130" s="32"/>
      <c r="D130" s="32"/>
      <c r="E130" s="32"/>
      <c r="F130" s="32"/>
      <c r="H130" s="32"/>
      <c r="I130" s="32"/>
      <c r="J130" s="32"/>
      <c r="K130" s="32"/>
      <c r="L130" s="32"/>
      <c r="M130" s="32"/>
      <c r="N130" s="32"/>
      <c r="O130" s="32"/>
      <c r="P130" s="32"/>
      <c r="Q130" s="32"/>
    </row>
    <row r="131" spans="1:17" ht="14" hidden="1">
      <c r="A131" s="32"/>
      <c r="B131" s="32"/>
      <c r="C131" s="32"/>
      <c r="D131" s="32"/>
      <c r="E131" s="32"/>
      <c r="F131" s="32"/>
      <c r="H131" s="32"/>
      <c r="K131" s="32"/>
      <c r="L131" s="32"/>
      <c r="M131" s="32"/>
      <c r="N131" s="32"/>
      <c r="O131" s="32"/>
      <c r="P131" s="32"/>
      <c r="Q131" s="32"/>
    </row>
    <row r="132" spans="1:17" ht="14" hidden="1">
      <c r="A132" s="32"/>
      <c r="B132" s="32"/>
      <c r="C132" s="32"/>
      <c r="D132" s="32"/>
      <c r="E132" s="32"/>
      <c r="F132" s="32"/>
      <c r="H132" s="32"/>
      <c r="K132" s="32"/>
      <c r="L132" s="32"/>
      <c r="M132" s="32"/>
      <c r="N132" s="32"/>
      <c r="O132" s="32"/>
      <c r="P132" s="32"/>
      <c r="Q132" s="32"/>
    </row>
    <row r="133" spans="1:17" ht="14" hidden="1">
      <c r="A133" s="32"/>
      <c r="B133" s="32"/>
      <c r="C133" s="32"/>
      <c r="D133" s="32"/>
      <c r="E133" s="32"/>
      <c r="F133" s="32"/>
      <c r="H133" s="32"/>
      <c r="K133" s="32"/>
      <c r="L133" s="32"/>
      <c r="M133" s="32"/>
      <c r="N133" s="32"/>
      <c r="O133" s="32"/>
      <c r="P133" s="32"/>
      <c r="Q133" s="32"/>
    </row>
    <row r="134" spans="1:17" ht="14" hidden="1">
      <c r="A134" s="32"/>
      <c r="B134" s="32"/>
      <c r="C134" s="32"/>
      <c r="D134" s="32"/>
      <c r="E134" s="32"/>
      <c r="F134" s="32"/>
      <c r="H134" s="32"/>
      <c r="K134" s="32"/>
      <c r="L134" s="32"/>
      <c r="M134" s="32"/>
      <c r="N134" s="32"/>
      <c r="O134" s="32"/>
      <c r="P134" s="32"/>
      <c r="Q134" s="32"/>
    </row>
    <row r="135" spans="1:17" ht="14" hidden="1">
      <c r="A135" s="32"/>
      <c r="B135" s="32"/>
      <c r="C135" s="32"/>
      <c r="D135" s="32"/>
      <c r="E135" s="32"/>
      <c r="F135" s="32"/>
      <c r="H135" s="32"/>
      <c r="K135" s="32"/>
      <c r="L135" s="32"/>
      <c r="M135" s="32"/>
      <c r="N135" s="32"/>
      <c r="O135" s="32"/>
      <c r="P135" s="32"/>
      <c r="Q135" s="32"/>
    </row>
    <row r="136" spans="1:17" ht="14" hidden="1">
      <c r="A136" s="32"/>
      <c r="B136" s="32"/>
      <c r="C136" s="32"/>
      <c r="D136" s="32"/>
      <c r="E136" s="32"/>
      <c r="F136" s="32"/>
      <c r="H136" s="32"/>
      <c r="K136" s="32"/>
      <c r="L136" s="32"/>
      <c r="M136" s="32"/>
      <c r="N136" s="32"/>
      <c r="O136" s="32"/>
      <c r="P136" s="32"/>
      <c r="Q136" s="32"/>
    </row>
    <row r="137" spans="1:17" ht="14" hidden="1">
      <c r="A137" s="32"/>
      <c r="B137" s="32"/>
      <c r="C137" s="32"/>
      <c r="D137" s="32"/>
      <c r="E137" s="32"/>
      <c r="F137" s="32"/>
      <c r="H137" s="32"/>
      <c r="K137" s="32"/>
      <c r="L137" s="32"/>
      <c r="M137" s="32"/>
      <c r="N137" s="32"/>
      <c r="O137" s="32"/>
      <c r="P137" s="32"/>
      <c r="Q137" s="32"/>
    </row>
    <row r="138" spans="1:17" ht="14" hidden="1">
      <c r="A138" s="32"/>
      <c r="B138" s="32"/>
      <c r="C138" s="32"/>
      <c r="D138" s="32"/>
      <c r="E138" s="32"/>
      <c r="F138" s="32"/>
      <c r="H138" s="32"/>
      <c r="K138" s="32"/>
      <c r="L138" s="32"/>
      <c r="M138" s="32"/>
      <c r="N138" s="32"/>
      <c r="O138" s="32"/>
      <c r="P138" s="32"/>
      <c r="Q138" s="32"/>
    </row>
    <row r="139" spans="1:17" ht="14" hidden="1">
      <c r="A139" s="32"/>
      <c r="B139" s="32"/>
      <c r="C139" s="32"/>
      <c r="D139" s="32"/>
      <c r="E139" s="32"/>
      <c r="F139" s="32"/>
      <c r="H139" s="32"/>
      <c r="K139" s="32"/>
      <c r="L139" s="32"/>
      <c r="M139" s="32"/>
      <c r="N139" s="32"/>
      <c r="O139" s="32"/>
      <c r="P139" s="32"/>
      <c r="Q139" s="32"/>
    </row>
    <row r="140" spans="1:17" ht="14" hidden="1">
      <c r="A140" s="32"/>
      <c r="B140" s="32"/>
      <c r="C140" s="32"/>
      <c r="D140" s="32"/>
      <c r="E140" s="32"/>
      <c r="F140" s="32"/>
      <c r="H140" s="32"/>
      <c r="K140" s="32"/>
      <c r="L140" s="32"/>
      <c r="M140" s="32"/>
      <c r="N140" s="32"/>
      <c r="O140" s="32"/>
      <c r="P140" s="32"/>
      <c r="Q140" s="32"/>
    </row>
    <row r="141" spans="1:17" ht="14" hidden="1">
      <c r="A141" s="32"/>
      <c r="B141" s="32"/>
      <c r="C141" s="32"/>
      <c r="D141" s="32"/>
      <c r="E141" s="32"/>
      <c r="F141" s="32"/>
      <c r="H141" s="32"/>
      <c r="K141" s="32"/>
      <c r="L141" s="32"/>
      <c r="M141" s="32"/>
      <c r="N141" s="32"/>
      <c r="O141" s="32"/>
      <c r="P141" s="32"/>
      <c r="Q141" s="32"/>
    </row>
    <row r="142" spans="1:17" ht="14" hidden="1">
      <c r="A142" s="32"/>
      <c r="B142" s="32"/>
      <c r="C142" s="32"/>
      <c r="D142" s="32"/>
      <c r="E142" s="32"/>
      <c r="F142" s="32"/>
      <c r="H142" s="32"/>
      <c r="K142" s="32"/>
      <c r="L142" s="32"/>
      <c r="M142" s="32"/>
      <c r="N142" s="32"/>
      <c r="O142" s="32"/>
      <c r="P142" s="32"/>
      <c r="Q142" s="32"/>
    </row>
    <row r="143" spans="1:17" ht="14" hidden="1">
      <c r="A143" s="32"/>
      <c r="B143" s="32"/>
      <c r="C143" s="32"/>
      <c r="D143" s="32"/>
      <c r="E143" s="32"/>
      <c r="F143" s="32"/>
      <c r="H143" s="32"/>
      <c r="K143" s="32"/>
      <c r="L143" s="32"/>
      <c r="M143" s="32"/>
      <c r="N143" s="32"/>
      <c r="O143" s="32"/>
      <c r="P143" s="32"/>
      <c r="Q143" s="32"/>
    </row>
    <row r="144" spans="1:1" ht="14" hidden="1">
      <c r="A144" s="32"/>
    </row>
    <row r="145" spans="1:1" ht="14" hidden="1">
      <c r="A145" s="32"/>
    </row>
    <row r="146" spans="1:1" ht="14" hidden="1">
      <c r="A146" s="32"/>
    </row>
    <row r="147" spans="1:1" ht="14" hidden="1">
      <c r="A147" s="32"/>
    </row>
    <row r="148" spans="1:1" ht="14" hidden="1">
      <c r="A148" s="32"/>
    </row>
    <row r="149" spans="1:1" ht="14" hidden="1">
      <c r="A149" s="32"/>
    </row>
    <row r="150" spans="1:1" ht="14" hidden="1">
      <c r="A150" s="32"/>
    </row>
    <row r="151" spans="1:1" ht="14" hidden="1">
      <c r="A151" s="32"/>
    </row>
    <row r="152" spans="1:1" ht="14" hidden="1">
      <c r="A152" s="32"/>
    </row>
    <row r="153" spans="1:1" ht="14" hidden="1">
      <c r="A153" s="32"/>
    </row>
    <row r="154" spans="1:1" ht="14" hidden="1">
      <c r="A154" s="32"/>
    </row>
    <row r="155" spans="1:1" ht="14" hidden="1">
      <c r="A155" s="32"/>
    </row>
    <row r="156" spans="1:1" ht="14" hidden="1">
      <c r="A156" s="32"/>
    </row>
    <row r="157" spans="1:1" ht="14" hidden="1">
      <c r="A157" s="32"/>
    </row>
    <row r="158" spans="1:1" ht="14" hidden="1">
      <c r="A158" s="32"/>
    </row>
    <row r="159" spans="1:1" ht="14" hidden="1">
      <c r="A159" s="32"/>
    </row>
    <row r="160" spans="1:1" ht="14" hidden="1">
      <c r="A160" s="32"/>
    </row>
    <row r="161" spans="1:1" ht="14" hidden="1">
      <c r="A161" s="32"/>
    </row>
    <row r="162" spans="1:1" ht="14" hidden="1">
      <c r="A162" s="32"/>
    </row>
    <row r="163" spans="1:1" ht="14" hidden="1">
      <c r="A163" s="32"/>
    </row>
    <row r="164" spans="1:1" ht="14" hidden="1">
      <c r="A164" s="32"/>
    </row>
    <row r="165" spans="1:1" ht="14" hidden="1">
      <c r="A165" s="32"/>
    </row>
    <row r="166" spans="1:1" ht="14" hidden="1">
      <c r="A166" s="32"/>
    </row>
    <row r="167" spans="1:1" ht="14" hidden="1">
      <c r="A167" s="32"/>
    </row>
    <row r="168" spans="1:1" ht="14" hidden="1">
      <c r="A168" s="32"/>
    </row>
    <row r="169" spans="1:1" ht="14" hidden="1">
      <c r="A169" s="32"/>
    </row>
    <row r="170" spans="1:1" ht="14" hidden="1">
      <c r="A170" s="32"/>
    </row>
    <row r="171" spans="1:1" ht="14" hidden="1">
      <c r="A171" s="32"/>
    </row>
    <row r="172" spans="1:1" ht="14" hidden="1">
      <c r="A172" s="32"/>
    </row>
    <row r="173" spans="1:1" ht="14" hidden="1">
      <c r="A173" s="32"/>
    </row>
    <row r="174" spans="1:1" ht="14" hidden="1">
      <c r="A174" s="32"/>
    </row>
    <row r="175" spans="1:1" ht="14" hidden="1">
      <c r="A175" s="32"/>
    </row>
    <row r="176" spans="1:1" ht="14" hidden="1">
      <c r="A176" s="32"/>
    </row>
    <row r="177" spans="1:1" ht="14" hidden="1">
      <c r="A177" s="32"/>
    </row>
    <row r="178" spans="1:1" ht="14" hidden="1">
      <c r="A178" s="32"/>
    </row>
    <row r="179" spans="1:1" ht="14" hidden="1">
      <c r="A179" s="32"/>
    </row>
    <row r="180" spans="1:1" ht="14" hidden="1">
      <c r="A180" s="32"/>
    </row>
    <row r="181" spans="1:1" ht="14" hidden="1">
      <c r="A181" s="32"/>
    </row>
    <row r="182" spans="1:1" ht="14" hidden="1">
      <c r="A182" s="32"/>
    </row>
    <row r="183" spans="1:1" ht="14" hidden="1">
      <c r="A183" s="32"/>
    </row>
    <row r="184" ht="14"/>
    <row r="185" ht="14"/>
    <row r="186" ht="14"/>
    <row r="187" ht="14" hidden="1"/>
    <row r="188" ht="14" hidden="1"/>
    <row r="189" ht="14" hidden="1"/>
    <row r="190" ht="14" hidden="1"/>
    <row r="191" ht="14" hidden="1"/>
  </sheetData>
  <sheetProtection algorithmName="SHA-512" hashValue="k6xermOcfahU5Zs6mL0AgIMZH6Vldcm8oeFGbmBZBd2nPmz0v4Ngviatbjunc1/Tghgtt3HsXHRK+T1DLfGWcA==" saltValue="fabhmgnddybQpOZZHwkDGA==" spinCount="100000" sheet="1" objects="1" scenarios="1"/>
  <mergeCells count="24">
    <mergeCell ref="B2:J2"/>
    <mergeCell ref="G3:J4"/>
    <mergeCell ref="G5:J5"/>
    <mergeCell ref="G6:J6"/>
    <mergeCell ref="B20:F20"/>
    <mergeCell ref="B3:B4"/>
    <mergeCell ref="C3:F4"/>
    <mergeCell ref="C5:F5"/>
    <mergeCell ref="C6:F6"/>
    <mergeCell ref="C7:F7"/>
    <mergeCell ref="G7:J7"/>
    <mergeCell ref="G8:J8"/>
    <mergeCell ref="B11:F11"/>
    <mergeCell ref="E12:F12"/>
    <mergeCell ref="C8:F8"/>
    <mergeCell ref="E41:F41"/>
    <mergeCell ref="H11:J11"/>
    <mergeCell ref="H20:J20"/>
    <mergeCell ref="H28:J28"/>
    <mergeCell ref="H40:J40"/>
    <mergeCell ref="E21:F21"/>
    <mergeCell ref="B28:F28"/>
    <mergeCell ref="E29:F29"/>
    <mergeCell ref="B40:F40"/>
  </mergeCells>
  <conditionalFormatting sqref="I12">
    <cfRule type="cellIs" priority="40" dxfId="1282" operator="greaterThan">
      <formula>0</formula>
    </cfRule>
    <cfRule type="cellIs" priority="41" dxfId="1257" operator="lessThan">
      <formula>0</formula>
    </cfRule>
  </conditionalFormatting>
  <conditionalFormatting sqref="I22">
    <cfRule type="cellIs" priority="34" dxfId="1282" operator="greaterThan">
      <formula>0</formula>
    </cfRule>
    <cfRule type="cellIs" priority="37" dxfId="1273" operator="lessThan">
      <formula>0</formula>
    </cfRule>
  </conditionalFormatting>
  <conditionalFormatting sqref="I21">
    <cfRule type="cellIs" priority="35" dxfId="1282" operator="greaterThan">
      <formula>0</formula>
    </cfRule>
    <cfRule type="cellIs" priority="36" dxfId="1257" operator="lessThan">
      <formula>0</formula>
    </cfRule>
  </conditionalFormatting>
  <conditionalFormatting sqref="I29 I41">
    <cfRule type="cellIs" priority="32" dxfId="1281" operator="lessThan">
      <formula>0</formula>
    </cfRule>
    <cfRule type="cellIs" priority="33" dxfId="1282" operator="greaterThan">
      <formula>0</formula>
    </cfRule>
  </conditionalFormatting>
  <conditionalFormatting sqref="G5:G8">
    <cfRule type="containsText" priority="38" dxfId="1282" operator="containsText" text="Yes">
      <formula>NOT(ISERROR(SEARCH("Yes",G5)))</formula>
    </cfRule>
    <cfRule type="containsText" priority="39" dxfId="1273" operator="containsText" text="No">
      <formula>NOT(ISERROR(SEARCH("No",G5)))</formula>
    </cfRule>
  </conditionalFormatting>
  <conditionalFormatting sqref="I30">
    <cfRule type="cellIs" priority="31" dxfId="1273" operator="lessThan">
      <formula>0</formula>
    </cfRule>
  </conditionalFormatting>
  <conditionalFormatting sqref="J13">
    <cfRule type="containsText" priority="24" dxfId="1053" operator="containsText" text="Very high distinctiveness unit defecit - CHECK DATA">
      <formula>NOT(ISERROR(SEARCH("Very high distinctiveness unit defecit - CHECK DATA",J13)))</formula>
    </cfRule>
  </conditionalFormatting>
  <conditionalFormatting sqref="B32 B43">
    <cfRule type="expression" priority="375" dxfId="1282">
      <formula>#REF!&gt;0</formula>
    </cfRule>
    <cfRule type="expression" priority="376" dxfId="1281">
      <formula>#REF!&lt;0</formula>
    </cfRule>
  </conditionalFormatting>
  <conditionalFormatting sqref="B22:E22 B30:E31">
    <cfRule type="expression" priority="383" dxfId="1282">
      <formula>$E22&gt;0</formula>
    </cfRule>
  </conditionalFormatting>
  <conditionalFormatting sqref="B13:E13">
    <cfRule type="expression" priority="381" dxfId="1282">
      <formula>$E13&gt;0</formula>
    </cfRule>
    <cfRule type="expression" priority="382" dxfId="1273">
      <formula>$E13&lt;0</formula>
    </cfRule>
  </conditionalFormatting>
  <conditionalFormatting sqref="I13">
    <cfRule type="cellIs" priority="15" dxfId="1282" operator="greaterThan">
      <formula>0</formula>
    </cfRule>
    <cfRule type="cellIs" priority="16" dxfId="1273" operator="lessThan">
      <formula>0</formula>
    </cfRule>
  </conditionalFormatting>
  <conditionalFormatting sqref="F13:F19 F22 F24:F27 F30:F31 F33:F39 F44:F200">
    <cfRule type="containsText" priority="14" dxfId="1273" operator="containsText" text="▲">
      <formula>NOT(ISERROR(SEARCH("▲",F13)))</formula>
    </cfRule>
  </conditionalFormatting>
  <conditionalFormatting sqref="F42">
    <cfRule type="containsText" priority="13" dxfId="1281" operator="containsText" text="⚠">
      <formula>NOT(ISERROR(SEARCH("⚠",F42)))</formula>
    </cfRule>
  </conditionalFormatting>
  <conditionalFormatting sqref="F13:F200">
    <cfRule type="containsText" priority="12" dxfId="1282" operator="containsText" text="✓">
      <formula>NOT(ISERROR(SEARCH("✓",F13)))</formula>
    </cfRule>
  </conditionalFormatting>
  <conditionalFormatting sqref="B22:E22 B30:E31 B41:E41">
    <cfRule type="expression" priority="384" dxfId="1273">
      <formula>$E22&lt;0</formula>
    </cfRule>
  </conditionalFormatting>
  <conditionalFormatting sqref="J12:J200">
    <cfRule type="containsText" priority="7" dxfId="1273" operator="containsText" text="▲">
      <formula>NOT(ISERROR(SEARCH("▲",J12)))</formula>
    </cfRule>
    <cfRule type="containsText" priority="8" dxfId="1282" operator="containsText" text="✓">
      <formula>NOT(ISERROR(SEARCH("✓",J12)))</formula>
    </cfRule>
    <cfRule type="containsText" priority="9" dxfId="1281" operator="containsText" text="⚠">
      <formula>NOT(ISERROR(SEARCH("⚠",J12)))</formula>
    </cfRule>
  </conditionalFormatting>
  <conditionalFormatting sqref="B42:E42">
    <cfRule type="expression" priority="3" dxfId="1282">
      <formula>$E$42&gt;0</formula>
    </cfRule>
    <cfRule type="expression" priority="4" dxfId="1281">
      <formula>$E$42&lt;0</formula>
    </cfRule>
  </conditionalFormatting>
  <conditionalFormatting sqref="I42">
    <cfRule type="cellIs" priority="1" dxfId="1120" operator="greaterThan">
      <formula>0</formula>
    </cfRule>
    <cfRule type="cellIs" priority="2" dxfId="1273" operator="lessThan">
      <formula>0</formula>
    </cfRule>
  </conditionalFormatting>
  <pageMargins left="0.7" right="0.7" top="0.75" bottom="0.75" header="0.3" footer="0.3"/>
  <pageSetup orientation="portrait" paperSize="9" r:id="rId2"/>
  <ignoredErrors>
    <ignoredError sqref="D43" formula="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1A96DF1-227C-4746-8765-798D7567E210}">
  <sheetPr codeName="Sheet40">
    <tabColor rgb="FFF4D4D4"/>
  </sheetPr>
  <dimension ref="A1:AC58"/>
  <sheetViews>
    <sheetView workbookViewId="0" topLeftCell="A1"/>
  </sheetViews>
  <sheetFormatPr defaultColWidth="0" defaultRowHeight="14.5" zeroHeight="1"/>
  <cols>
    <col min="1" max="2" width="8.57142857142857" customWidth="1"/>
    <col min="3" max="3" width="32.4285714285714" customWidth="1"/>
    <col min="4" max="4" width="40.4285714285714" customWidth="1"/>
    <col min="5" max="29" width="8.57142857142857" customWidth="1"/>
    <col min="30" max="16384" width="8.57142857142857" hidden="1"/>
  </cols>
  <sheetData>
    <row r="1" spans="1:29" ht="15" thickBot="1">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15" thickBot="1">
      <c r="A2" s="1"/>
      <c r="B2" s="1"/>
      <c r="C2" s="1463" t="s">
        <v>239</v>
      </c>
      <c r="D2" s="1464"/>
      <c r="E2" s="1465"/>
      <c r="F2" s="1"/>
      <c r="G2" s="1"/>
      <c r="H2" s="1"/>
      <c r="I2" s="1"/>
      <c r="J2" s="1"/>
      <c r="K2" s="1"/>
      <c r="L2" s="1"/>
      <c r="M2" s="1"/>
      <c r="N2" s="1"/>
      <c r="O2" s="1"/>
      <c r="P2" s="1"/>
      <c r="Q2" s="1"/>
      <c r="R2" s="1"/>
      <c r="S2" s="1"/>
      <c r="T2" s="1"/>
      <c r="U2" s="1"/>
      <c r="V2" s="1"/>
      <c r="W2" s="1"/>
      <c r="X2" s="1"/>
      <c r="Y2" s="1"/>
      <c r="Z2" s="1"/>
      <c r="AA2" s="1"/>
      <c r="AB2" s="1"/>
      <c r="AC2" s="1"/>
    </row>
    <row r="3" spans="1:29" ht="15" thickBot="1">
      <c r="A3" s="1"/>
      <c r="B3" s="1"/>
      <c r="C3" s="1"/>
      <c r="D3" s="1"/>
      <c r="E3" s="1"/>
      <c r="F3" s="1"/>
      <c r="G3" s="1"/>
      <c r="H3" s="1"/>
      <c r="I3" s="1"/>
      <c r="J3" s="1"/>
      <c r="K3" s="1"/>
      <c r="L3" s="1"/>
      <c r="M3" s="1"/>
      <c r="N3" s="1"/>
      <c r="O3" s="1"/>
      <c r="P3" s="1"/>
      <c r="Q3" s="1"/>
      <c r="R3" s="1"/>
      <c r="S3" s="1"/>
      <c r="T3" s="1"/>
      <c r="U3" s="1"/>
      <c r="V3" s="1"/>
      <c r="W3" s="1"/>
      <c r="X3" s="1"/>
      <c r="Y3" s="1"/>
      <c r="Z3" s="1"/>
      <c r="AA3" s="1"/>
      <c r="AB3" s="1"/>
      <c r="AC3" s="1"/>
    </row>
    <row r="4" spans="1:29" ht="15" thickBot="1">
      <c r="A4" s="1"/>
      <c r="B4" s="1"/>
      <c r="C4" s="734" t="s">
        <v>240</v>
      </c>
      <c r="D4" s="1031" t="s">
        <v>241</v>
      </c>
      <c r="E4" s="1051"/>
      <c r="F4" s="1"/>
      <c r="G4" s="1"/>
      <c r="H4" s="1"/>
      <c r="I4" s="1"/>
      <c r="J4" s="1"/>
      <c r="K4" s="1"/>
      <c r="L4" s="1"/>
      <c r="M4" s="1"/>
      <c r="N4" s="1"/>
      <c r="O4" s="1"/>
      <c r="P4" s="1"/>
      <c r="Q4" s="1"/>
      <c r="R4" s="1"/>
      <c r="S4" s="1"/>
      <c r="T4" s="1"/>
      <c r="U4" s="1"/>
      <c r="V4" s="1"/>
      <c r="W4" s="1"/>
      <c r="X4" s="1"/>
      <c r="Y4" s="1"/>
      <c r="Z4" s="1"/>
      <c r="AA4" s="1"/>
      <c r="AB4" s="1"/>
      <c r="AC4" s="1"/>
    </row>
    <row r="5" spans="1:29" ht="14.5">
      <c r="A5" s="1"/>
      <c r="B5" s="1"/>
      <c r="C5" s="870" t="s">
        <v>242</v>
      </c>
      <c r="D5" s="878">
        <f>IFERROR(IF(OR('Trading Summary Area Habitats'!$K$13&lt;0,'Trading Summary WaterC''s'!$I$13&lt;0),"ERROR",'Credits calculations'!G9),"Error")</f>
        <v>0</v>
      </c>
      <c r="E5" s="879" t="str">
        <f t="shared" si="0" ref="E5:E10">IF(D5=0,"",IF(D5&gt;0,"▲","✓"))</f>
        <v/>
      </c>
      <c r="F5" s="1"/>
      <c r="G5" s="1"/>
      <c r="H5" s="1"/>
      <c r="I5" s="1"/>
      <c r="J5" s="1"/>
      <c r="K5" s="1"/>
      <c r="L5" s="1"/>
      <c r="M5" s="1"/>
      <c r="N5" s="1"/>
      <c r="O5" s="1"/>
      <c r="P5" s="1"/>
      <c r="Q5" s="1"/>
      <c r="R5" s="1"/>
      <c r="S5" s="1"/>
      <c r="T5" s="1"/>
      <c r="U5" s="1"/>
      <c r="V5" s="1"/>
      <c r="W5" s="1"/>
      <c r="X5" s="1"/>
      <c r="Y5" s="1"/>
      <c r="Z5" s="1"/>
      <c r="AA5" s="1"/>
      <c r="AB5" s="1"/>
      <c r="AC5" s="1"/>
    </row>
    <row r="6" spans="1:29" ht="14.5">
      <c r="A6" s="1"/>
      <c r="B6" s="1"/>
      <c r="C6" s="871" t="s">
        <v>243</v>
      </c>
      <c r="D6" s="874">
        <f>IFERROR(IF(OR('Trading Summary Area Habitats'!$K$13&lt;0,'Trading Summary WaterC''s'!$I$13&lt;0),"ERROR",'Credits calculations'!G10),"Error")</f>
        <v>0</v>
      </c>
      <c r="E6" s="858" t="str">
        <f t="shared" si="0"/>
        <v/>
      </c>
      <c r="F6" s="1"/>
      <c r="G6" s="1"/>
      <c r="H6" s="1"/>
      <c r="I6" s="1"/>
      <c r="J6" s="1"/>
      <c r="K6" s="1"/>
      <c r="L6" s="1"/>
      <c r="M6" s="1"/>
      <c r="N6" s="1"/>
      <c r="O6" s="1"/>
      <c r="P6" s="1"/>
      <c r="Q6" s="1"/>
      <c r="R6" s="1"/>
      <c r="S6" s="1"/>
      <c r="T6" s="1"/>
      <c r="U6" s="1"/>
      <c r="V6" s="1"/>
      <c r="W6" s="1"/>
      <c r="X6" s="1"/>
      <c r="Y6" s="1"/>
      <c r="Z6" s="1"/>
      <c r="AA6" s="1"/>
      <c r="AB6" s="1"/>
      <c r="AC6" s="1"/>
    </row>
    <row r="7" spans="1:29" ht="14.5">
      <c r="A7" s="1"/>
      <c r="B7" s="1"/>
      <c r="C7" s="871" t="s">
        <v>244</v>
      </c>
      <c r="D7" s="874">
        <f>IFERROR(IF(OR('Trading Summary Area Habitats'!$K$13&lt;0,'Trading Summary WaterC''s'!$I$13&lt;0),"ERROR",'Credits calculations'!G11),"Error")</f>
        <v>0</v>
      </c>
      <c r="E7" s="858" t="str">
        <f t="shared" si="0"/>
        <v/>
      </c>
      <c r="F7" s="1"/>
      <c r="G7" s="1"/>
      <c r="H7" s="1"/>
      <c r="I7" s="1"/>
      <c r="J7" s="1"/>
      <c r="K7" s="1"/>
      <c r="L7" s="1"/>
      <c r="M7" s="1"/>
      <c r="N7" s="1"/>
      <c r="O7" s="1"/>
      <c r="P7" s="1"/>
      <c r="Q7" s="1"/>
      <c r="R7" s="1"/>
      <c r="S7" s="1"/>
      <c r="T7" s="1"/>
      <c r="U7" s="1"/>
      <c r="V7" s="1"/>
      <c r="W7" s="1"/>
      <c r="X7" s="1"/>
      <c r="Y7" s="1"/>
      <c r="Z7" s="1"/>
      <c r="AA7" s="1"/>
      <c r="AB7" s="1"/>
      <c r="AC7" s="1"/>
    </row>
    <row r="8" spans="1:29" ht="14.5">
      <c r="A8" s="1"/>
      <c r="B8" s="1"/>
      <c r="C8" s="871" t="s">
        <v>245</v>
      </c>
      <c r="D8" s="874">
        <f>IFERROR(IF(OR('Trading Summary Area Habitats'!$K$13&lt;0,'Trading Summary WaterC''s'!$I$13&lt;0),"ERROR",'Credits calculations'!G12),"Error")</f>
        <v>0</v>
      </c>
      <c r="E8" s="858" t="str">
        <f t="shared" si="0"/>
        <v/>
      </c>
      <c r="F8" s="1"/>
      <c r="G8" s="1"/>
      <c r="H8" s="1"/>
      <c r="I8" s="1"/>
      <c r="J8" s="1"/>
      <c r="K8" s="1"/>
      <c r="L8" s="1"/>
      <c r="M8" s="1"/>
      <c r="N8" s="1"/>
      <c r="O8" s="1"/>
      <c r="P8" s="1"/>
      <c r="Q8" s="1"/>
      <c r="R8" s="1"/>
      <c r="S8" s="1"/>
      <c r="T8" s="1"/>
      <c r="U8" s="1"/>
      <c r="V8" s="1"/>
      <c r="W8" s="1"/>
      <c r="X8" s="1"/>
      <c r="Y8" s="1"/>
      <c r="Z8" s="1"/>
      <c r="AA8" s="1"/>
      <c r="AB8" s="1"/>
      <c r="AC8" s="1"/>
    </row>
    <row r="9" spans="1:29" ht="15" thickBot="1">
      <c r="A9" s="1"/>
      <c r="B9" s="1"/>
      <c r="C9" s="875" t="s">
        <v>246</v>
      </c>
      <c r="D9" s="876">
        <f>IFERROR(IF(OR('Trading Summary Area Habitats'!$K$13&lt;0,'Trading Summary WaterC''s'!$I$13&lt;0),"ERROR",'Credits calculations'!G13),"Error")</f>
        <v>0</v>
      </c>
      <c r="E9" s="859" t="str">
        <f t="shared" si="0"/>
        <v/>
      </c>
      <c r="F9" s="1"/>
      <c r="G9" s="1"/>
      <c r="H9" s="1"/>
      <c r="I9" s="1"/>
      <c r="J9" s="1"/>
      <c r="K9" s="1"/>
      <c r="L9" s="1"/>
      <c r="M9" s="1"/>
      <c r="N9" s="1"/>
      <c r="O9" s="1"/>
      <c r="P9" s="1"/>
      <c r="Q9" s="1"/>
      <c r="R9" s="1"/>
      <c r="S9" s="1"/>
      <c r="T9" s="1"/>
      <c r="U9" s="1"/>
      <c r="V9" s="1"/>
      <c r="W9" s="1"/>
      <c r="X9" s="1"/>
      <c r="Y9" s="1"/>
      <c r="Z9" s="1"/>
      <c r="AA9" s="1"/>
      <c r="AB9" s="1"/>
      <c r="AC9" s="1"/>
    </row>
    <row r="10" spans="1:29" ht="15" thickBot="1">
      <c r="A10" s="1"/>
      <c r="B10" s="1"/>
      <c r="C10" s="872" t="s">
        <v>247</v>
      </c>
      <c r="D10" s="877">
        <f>IFERROR(IF(OR('Trading Summary Area Habitats'!K13&lt;0,'Trading Summary WaterC''s'!I13&lt;0),"ERROR",'Credits calculations'!G14),"Error")</f>
        <v>0</v>
      </c>
      <c r="E10" s="860" t="str">
        <f t="shared" si="0"/>
        <v/>
      </c>
      <c r="F10" s="1"/>
      <c r="G10" s="1"/>
      <c r="H10" s="1"/>
      <c r="I10" s="1"/>
      <c r="J10" s="1"/>
      <c r="K10" s="1"/>
      <c r="L10" s="1"/>
      <c r="M10" s="1"/>
      <c r="N10" s="1"/>
      <c r="O10" s="1"/>
      <c r="P10" s="1"/>
      <c r="Q10" s="1"/>
      <c r="R10" s="1"/>
      <c r="S10" s="1"/>
      <c r="T10" s="1"/>
      <c r="U10" s="1"/>
      <c r="V10" s="1"/>
      <c r="W10" s="1"/>
      <c r="X10" s="1"/>
      <c r="Y10" s="1"/>
      <c r="Z10" s="1"/>
      <c r="AA10" s="1"/>
      <c r="AB10" s="1"/>
      <c r="AC10" s="1"/>
    </row>
    <row r="11" spans="1:29" ht="15" thickBot="1">
      <c r="A11" s="1"/>
      <c r="B11" s="1"/>
      <c r="C11" s="873" t="s">
        <v>248</v>
      </c>
      <c r="D11" s="877">
        <f>IFERROR(IF(OR('Trading Summary Area Habitats'!K13&lt;0,'Trading Summary WaterC''s'!I13&lt;0),"ERROR",'Credits calculations'!G15),"Error")</f>
        <v>0.013375999999999999</v>
      </c>
      <c r="E11" s="860" t="str">
        <f>IF(D11=0,"",IF(D11&gt;0,"▲","✓"))</f>
        <v>▲</v>
      </c>
      <c r="F11" s="1"/>
      <c r="G11" s="1"/>
      <c r="H11" s="1"/>
      <c r="I11" s="1"/>
      <c r="J11" s="1"/>
      <c r="K11" s="1"/>
      <c r="L11" s="1"/>
      <c r="M11" s="1"/>
      <c r="N11" s="1"/>
      <c r="O11" s="1"/>
      <c r="P11" s="1"/>
      <c r="Q11" s="1"/>
      <c r="R11" s="1"/>
      <c r="S11" s="1"/>
      <c r="T11" s="1"/>
      <c r="U11" s="1"/>
      <c r="V11" s="1"/>
      <c r="W11" s="1"/>
      <c r="X11" s="1"/>
      <c r="Y11" s="1"/>
      <c r="Z11" s="1"/>
      <c r="AA11" s="1"/>
      <c r="AB11" s="1"/>
      <c r="AC11" s="1"/>
    </row>
    <row r="12" spans="1:29" ht="14.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row>
    <row r="13" spans="1:29" ht="14.5">
      <c r="A13" s="1"/>
      <c r="B13" s="1"/>
      <c r="C13" s="1"/>
      <c r="D13" s="773" t="s">
        <v>249</v>
      </c>
      <c r="E13" s="1"/>
      <c r="F13" s="1"/>
      <c r="G13" s="1"/>
      <c r="H13" s="1"/>
      <c r="I13" s="1"/>
      <c r="J13" s="1"/>
      <c r="K13" s="1"/>
      <c r="L13" s="1"/>
      <c r="M13" s="1"/>
      <c r="N13" s="1"/>
      <c r="O13" s="1"/>
      <c r="P13" s="1"/>
      <c r="Q13" s="1"/>
      <c r="R13" s="1"/>
      <c r="S13" s="1"/>
      <c r="T13" s="1"/>
      <c r="U13" s="1"/>
      <c r="V13" s="1"/>
      <c r="W13" s="1"/>
      <c r="X13" s="1"/>
      <c r="Y13" s="1"/>
      <c r="Z13" s="1"/>
      <c r="AA13" s="1"/>
      <c r="AB13" s="1"/>
      <c r="AC13" s="1"/>
    </row>
    <row r="14" spans="1:29" ht="14.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row r="15" spans="1:29" ht="52.5" customHeight="1">
      <c r="A15" s="1"/>
      <c r="B15" s="1"/>
      <c r="C15" s="1466" t="str">
        <f>IF(OR('Trading Summary Area Habitats'!$K$13&lt;0,'Trading Summary WaterC''s'!$I$13&lt;0),"ERROR - This metric still includes losses of very high distinctiveness habitat. Losses of very high distinctiveness units must be compensated for through this metric or through bespoke compensation ▲"," ")</f>
        <v xml:space="preserve"> </v>
      </c>
      <c r="D15" s="1466"/>
      <c r="E15" s="1466"/>
      <c r="F15" s="1"/>
      <c r="G15" s="1"/>
      <c r="H15" s="1"/>
      <c r="I15" s="1"/>
      <c r="J15" s="1"/>
      <c r="K15" s="1"/>
      <c r="L15" s="1"/>
      <c r="M15" s="1"/>
      <c r="N15" s="1"/>
      <c r="O15" s="1"/>
      <c r="P15" s="1"/>
      <c r="Q15" s="1"/>
      <c r="R15" s="1"/>
      <c r="S15" s="1"/>
      <c r="T15" s="1"/>
      <c r="U15" s="1"/>
      <c r="V15" s="1"/>
      <c r="W15" s="1"/>
      <c r="X15" s="1"/>
      <c r="Y15" s="1"/>
      <c r="Z15" s="1"/>
      <c r="AA15" s="1"/>
      <c r="AB15" s="1"/>
      <c r="AC15" s="1"/>
    </row>
    <row r="16" spans="1:29" ht="14.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spans="1:29" ht="14.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row>
    <row r="18" spans="1:29" ht="14.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spans="1:29" ht="14.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ht="14.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spans="1:29" ht="14.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ht="14.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4.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4.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4.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4.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4.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4.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4.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4.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4.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4.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4.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4.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4.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4.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4.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4.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4.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4.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4.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4.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4.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4.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4.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4.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4.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4.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4.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4.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4.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4.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4.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4.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4.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4.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4.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4.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sheetData>
  <sheetProtection algorithmName="SHA-512" hashValue="9iu2vYqOgI/HzHUaPCKpXsz/73zioQ6mVlGNsxMAgM7V9RkSA6lKDPmBY0ExM9E14TtSFMf8fClTZxu57pcjfg==" saltValue="3ea1alhc4YLLrRAIfUScMg==" spinCount="100000" sheet="1" objects="1" scenarios="1"/>
  <mergeCells count="2">
    <mergeCell ref="C2:E2"/>
    <mergeCell ref="C15:E15"/>
  </mergeCells>
  <conditionalFormatting sqref="D5:D11">
    <cfRule type="cellIs" priority="4" dxfId="1273" operator="greaterThan">
      <formula>0</formula>
    </cfRule>
    <cfRule type="cellIs" priority="5" dxfId="1282" operator="lessThan">
      <formula>0</formula>
    </cfRule>
  </conditionalFormatting>
  <conditionalFormatting sqref="E5:E11">
    <cfRule type="containsText" priority="2" dxfId="1120" operator="containsText" text="✓">
      <formula>NOT(ISERROR(SEARCH("✓",E5)))</formula>
    </cfRule>
    <cfRule type="containsText" priority="3" dxfId="1273" operator="containsText" text="▲">
      <formula>NOT(ISERROR(SEARCH("▲",E5)))</formula>
    </cfRule>
  </conditionalFormatting>
  <conditionalFormatting sqref="C15:E15">
    <cfRule type="containsText" priority="1" dxfId="1273" operator="containsText" text="▲">
      <formula>NOT(ISERROR(SEARCH("▲",C15)))</formula>
    </cfRule>
  </conditionalFormatting>
  <pageMargins left="0.7" right="0.7" top="0.75" bottom="0.75" header="0.3" footer="0.3"/>
  <pageSetup orientation="portrait" paperSize="9"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3:AO749"/>
  <sheetViews>
    <sheetView zoomScale="80" zoomScaleNormal="80" workbookViewId="0" topLeftCell="A1"/>
  </sheetViews>
  <sheetFormatPr defaultColWidth="8.54428571428571" defaultRowHeight="14.5" zeroHeight="1"/>
  <cols>
    <col min="1" max="1" width="8.57142857142857" style="534"/>
    <col min="2" max="2" width="23.5714285714286" style="1" customWidth="1"/>
    <col min="3" max="3" width="15" style="1" customWidth="1"/>
    <col min="4" max="4" width="16.5714285714286" style="1" hidden="1" customWidth="1"/>
    <col min="5" max="5" width="14.5714285714286" style="1" customWidth="1"/>
    <col min="6" max="6" width="9.42857142857143" style="1" hidden="1" customWidth="1"/>
    <col min="7" max="7" width="14.5714285714286" style="1" customWidth="1"/>
    <col min="8" max="8" width="0" style="1" hidden="1" customWidth="1"/>
    <col min="9" max="9" width="15" style="1" customWidth="1"/>
    <col min="10" max="10" width="11.5714285714286" style="1" hidden="1" customWidth="1"/>
    <col min="11" max="11" width="15" style="1" customWidth="1"/>
    <col min="12" max="12" width="12.4285714285714" style="1" hidden="1" customWidth="1"/>
    <col min="13" max="13" width="14.5714285714286" style="984" customWidth="1"/>
    <col min="14" max="14" width="8.57142857142857" style="534"/>
    <col min="15" max="15" width="23.5714285714286" style="1" customWidth="1"/>
    <col min="16" max="16" width="14.5714285714286" style="1" customWidth="1"/>
    <col min="17" max="17" width="13.5714285714286" style="1" hidden="1" customWidth="1"/>
    <col min="18" max="18" width="15" style="1" customWidth="1"/>
    <col min="19" max="19" width="1.57142857142857" style="1" hidden="1" customWidth="1"/>
    <col min="20" max="20" width="14.5714285714286" style="1" customWidth="1"/>
    <col min="21" max="21" width="19.4285714285714" style="1" hidden="1" customWidth="1"/>
    <col min="22" max="22" width="14.5714285714286" style="1" customWidth="1"/>
    <col min="23" max="23" width="15.4285714285714" style="1" hidden="1" customWidth="1"/>
    <col min="24" max="24" width="14.5714285714286" style="1" customWidth="1"/>
    <col min="25" max="25" width="12.4285714285714" style="1" hidden="1" customWidth="1"/>
    <col min="26" max="26" width="15" style="1" customWidth="1"/>
    <col min="27" max="27" width="8.57142857142857" style="1"/>
    <col min="28" max="28" width="23.5714285714286" style="1" customWidth="1"/>
    <col min="29" max="29" width="14.5714285714286" style="1" customWidth="1"/>
    <col min="30" max="30" width="9.57142857142857" style="1" hidden="1" customWidth="1"/>
    <col min="31" max="31" width="15.4285714285714" style="1" customWidth="1"/>
    <col min="32" max="32" width="10.4285714285714" style="1" hidden="1" customWidth="1"/>
    <col min="33" max="33" width="14.5714285714286" style="1" customWidth="1"/>
    <col min="34" max="34" width="12" style="1" hidden="1" customWidth="1"/>
    <col min="35" max="35" width="14.5714285714286" style="1" customWidth="1"/>
    <col min="36" max="36" width="9.57142857142857" style="1" hidden="1" customWidth="1"/>
    <col min="37" max="37" width="15" style="1" customWidth="1"/>
    <col min="38" max="38" width="0" style="1" hidden="1" customWidth="1"/>
    <col min="39" max="39" width="14.5714285714286" style="984" customWidth="1"/>
    <col min="40" max="40" width="8.57142857142857" style="1"/>
    <col min="41" max="41" width="11.4285714285714" style="1" customWidth="1"/>
    <col min="42" max="16384" width="8.57142857142857" style="1"/>
  </cols>
  <sheetData>
    <row r="1" ht="14.5"/>
    <row r="2" ht="15" thickBot="1"/>
    <row r="3" spans="2:41" ht="18.5">
      <c r="B3" s="1480" t="s">
        <v>250</v>
      </c>
      <c r="C3" s="1481"/>
      <c r="D3" s="1481"/>
      <c r="E3" s="1481"/>
      <c r="F3" s="1481"/>
      <c r="G3" s="1481"/>
      <c r="H3" s="1481"/>
      <c r="I3" s="1481"/>
      <c r="J3" s="1481"/>
      <c r="K3" s="1481"/>
      <c r="L3" s="1481"/>
      <c r="M3" s="1482"/>
      <c r="N3" s="1008"/>
      <c r="O3" s="1474" t="s">
        <v>251</v>
      </c>
      <c r="P3" s="1475"/>
      <c r="Q3" s="1475"/>
      <c r="R3" s="1475"/>
      <c r="S3" s="1475"/>
      <c r="T3" s="1475"/>
      <c r="U3" s="1475"/>
      <c r="V3" s="1475"/>
      <c r="W3" s="1475"/>
      <c r="X3" s="1475"/>
      <c r="Y3" s="1475"/>
      <c r="Z3" s="1476"/>
      <c r="AA3" s="2"/>
      <c r="AB3" s="1496" t="s">
        <v>252</v>
      </c>
      <c r="AC3" s="1497"/>
      <c r="AD3" s="1497"/>
      <c r="AE3" s="1497"/>
      <c r="AF3" s="1497"/>
      <c r="AG3" s="1497"/>
      <c r="AH3" s="1497"/>
      <c r="AI3" s="1497"/>
      <c r="AJ3" s="1497"/>
      <c r="AK3" s="1497"/>
      <c r="AL3" s="1497"/>
      <c r="AM3" s="1498"/>
      <c r="AN3" s="492"/>
      <c r="AO3" s="492"/>
    </row>
    <row r="4" spans="2:41" ht="19" thickBot="1">
      <c r="B4" s="1483"/>
      <c r="C4" s="1484"/>
      <c r="D4" s="1484"/>
      <c r="E4" s="1484"/>
      <c r="F4" s="1484"/>
      <c r="G4" s="1484"/>
      <c r="H4" s="1484"/>
      <c r="I4" s="1484"/>
      <c r="J4" s="1484"/>
      <c r="K4" s="1484"/>
      <c r="L4" s="1484"/>
      <c r="M4" s="1485"/>
      <c r="N4" s="1008"/>
      <c r="O4" s="1477"/>
      <c r="P4" s="1478"/>
      <c r="Q4" s="1478"/>
      <c r="R4" s="1478"/>
      <c r="S4" s="1478"/>
      <c r="T4" s="1478"/>
      <c r="U4" s="1478"/>
      <c r="V4" s="1478"/>
      <c r="W4" s="1478"/>
      <c r="X4" s="1478"/>
      <c r="Y4" s="1478"/>
      <c r="Z4" s="1479"/>
      <c r="AA4" s="2"/>
      <c r="AB4" s="1499"/>
      <c r="AC4" s="1500"/>
      <c r="AD4" s="1500"/>
      <c r="AE4" s="1500"/>
      <c r="AF4" s="1500"/>
      <c r="AG4" s="1500"/>
      <c r="AH4" s="1500"/>
      <c r="AI4" s="1500"/>
      <c r="AJ4" s="1500"/>
      <c r="AK4" s="1500"/>
      <c r="AL4" s="1500"/>
      <c r="AM4" s="1501"/>
      <c r="AN4" s="492"/>
      <c r="AO4" s="492"/>
    </row>
    <row r="5" spans="2:41" ht="14.9" customHeight="1">
      <c r="B5" s="1486" t="s">
        <v>253</v>
      </c>
      <c r="C5" s="1488" t="s">
        <v>254</v>
      </c>
      <c r="D5" s="1488" t="s">
        <v>255</v>
      </c>
      <c r="E5" s="1490" t="s">
        <v>256</v>
      </c>
      <c r="F5" s="1494" t="s">
        <v>257</v>
      </c>
      <c r="G5" s="1490" t="s">
        <v>258</v>
      </c>
      <c r="H5" s="1494" t="s">
        <v>259</v>
      </c>
      <c r="I5" s="1490" t="s">
        <v>260</v>
      </c>
      <c r="J5" s="1494" t="s">
        <v>261</v>
      </c>
      <c r="K5" s="1490" t="s">
        <v>262</v>
      </c>
      <c r="L5" s="1467" t="s">
        <v>263</v>
      </c>
      <c r="M5" s="1492" t="s">
        <v>264</v>
      </c>
      <c r="O5" s="1486" t="s">
        <v>253</v>
      </c>
      <c r="P5" s="1488" t="s">
        <v>254</v>
      </c>
      <c r="Q5" s="1467" t="s">
        <v>255</v>
      </c>
      <c r="R5" s="1467" t="s">
        <v>256</v>
      </c>
      <c r="S5" s="1467" t="s">
        <v>257</v>
      </c>
      <c r="T5" s="1467" t="s">
        <v>258</v>
      </c>
      <c r="U5" s="1467" t="s">
        <v>259</v>
      </c>
      <c r="V5" s="1490" t="s">
        <v>260</v>
      </c>
      <c r="W5" s="1467" t="s">
        <v>261</v>
      </c>
      <c r="X5" s="1472" t="s">
        <v>262</v>
      </c>
      <c r="Y5" s="1488" t="s">
        <v>265</v>
      </c>
      <c r="Z5" s="1470" t="s">
        <v>264</v>
      </c>
      <c r="AB5" s="1486" t="s">
        <v>253</v>
      </c>
      <c r="AC5" s="1472" t="s">
        <v>254</v>
      </c>
      <c r="AD5" s="1467" t="s">
        <v>255</v>
      </c>
      <c r="AE5" s="1472" t="s">
        <v>256</v>
      </c>
      <c r="AF5" s="1467" t="s">
        <v>257</v>
      </c>
      <c r="AG5" s="1472" t="s">
        <v>258</v>
      </c>
      <c r="AH5" s="1467" t="s">
        <v>259</v>
      </c>
      <c r="AI5" s="1472" t="s">
        <v>260</v>
      </c>
      <c r="AJ5" s="1467" t="s">
        <v>261</v>
      </c>
      <c r="AK5" s="1472" t="s">
        <v>262</v>
      </c>
      <c r="AL5" s="1472" t="s">
        <v>265</v>
      </c>
      <c r="AM5" s="1470" t="s">
        <v>264</v>
      </c>
      <c r="AO5" s="493"/>
    </row>
    <row r="6" spans="2:41" ht="43.4" customHeight="1" thickBot="1">
      <c r="B6" s="1487"/>
      <c r="C6" s="1489"/>
      <c r="D6" s="1489"/>
      <c r="E6" s="1491"/>
      <c r="F6" s="1495"/>
      <c r="G6" s="1491"/>
      <c r="H6" s="1495"/>
      <c r="I6" s="1491"/>
      <c r="J6" s="1495"/>
      <c r="K6" s="1491"/>
      <c r="L6" s="1468"/>
      <c r="M6" s="1493"/>
      <c r="O6" s="1487"/>
      <c r="P6" s="1489"/>
      <c r="Q6" s="1468"/>
      <c r="R6" s="1468"/>
      <c r="S6" s="1468"/>
      <c r="T6" s="1468"/>
      <c r="U6" s="1468"/>
      <c r="V6" s="1491"/>
      <c r="W6" s="1468"/>
      <c r="X6" s="1473"/>
      <c r="Y6" s="1489"/>
      <c r="Z6" s="1471"/>
      <c r="AB6" s="1487"/>
      <c r="AC6" s="1473"/>
      <c r="AD6" s="1468"/>
      <c r="AE6" s="1473"/>
      <c r="AF6" s="1468"/>
      <c r="AG6" s="1473"/>
      <c r="AH6" s="1468"/>
      <c r="AI6" s="1473"/>
      <c r="AJ6" s="1468"/>
      <c r="AK6" s="1473"/>
      <c r="AL6" s="1473"/>
      <c r="AM6" s="1471"/>
      <c r="AO6" s="493"/>
    </row>
    <row r="7" spans="1:41" s="992" customFormat="1" ht="43.5" customHeight="1">
      <c r="A7" s="988">
        <f>'D-1 Off-Site Habitat Baseline'!AF11</f>
        <v>0</v>
      </c>
      <c r="B7" s="993" t="str" cm="1">
        <f t="array" ref="B7">IFERROR(_xlfn.UNIQUE(_xlfn._xlws.FILTER(A7:A747,A7:A747&lt;&gt;0)),"")</f>
        <v/>
      </c>
      <c r="C7" s="1009" t="str">
        <f>IF(B7="","",SUMIF('D-1 Off-Site Habitat Baseline'!AF11:AF258,B7,'D-1 Off-Site Habitat Baseline'!T11:T258))</f>
        <v/>
      </c>
      <c r="D7" s="1009" t="str">
        <f>IF(B7="","",SUMIF('D-1 Off-Site Habitat Baseline'!$AF$11:$AF$258,B7,'D-1 Off-Site Habitat Baseline'!$Q$11:$Q$258))</f>
        <v/>
      </c>
      <c r="E7" s="1010" t="str">
        <f>IF(B7="","",SUMIF('D-1 Off-Site Habitat Baseline'!$AF$11:$AF$258,'Off-site gain site summary'!$B7,'D-1 Off-Site Habitat Baseline'!$X$11:$X$258))</f>
        <v/>
      </c>
      <c r="F7" s="1011" t="str">
        <f>IF(B7="","",SUMIF('D-1 Off-Site Habitat Baseline'!$AF$11:$AF$258,'Off-site gain site summary'!$B7,'D-1 Off-Site Habitat Baseline'!$AY$11:$AY$258))</f>
        <v/>
      </c>
      <c r="G7" s="1010" t="str">
        <f>IF(B7="","",SUMIF('D-3 Off-Site Habitat Enhancment'!$AU$12:$AU$258,'Off-site gain site summary'!B7,'D-3 Off-Site Habitat Enhancment'!$AQ$12:$AQ$258))</f>
        <v/>
      </c>
      <c r="H7" s="1011" t="str">
        <f>IF(B7="","",SUMIF('D-3 Off-Site Habitat Enhancment'!$AU$12:$AU$258,'Off-site gain site summary'!B7,'D-3 Off-Site Habitat Enhancment'!$AP$12:$AP$258))</f>
        <v/>
      </c>
      <c r="I7" s="1010" t="str">
        <f>IF(B7="","",SUMIF('D-2 Off-Site Habitat Creation'!$AF$11:$AF$256,'Off-site gain site summary'!B7,'D-2 Off-Site Habitat Creation'!$AB$11:$AB$256))</f>
        <v/>
      </c>
      <c r="J7" s="1011" t="str">
        <f>IF(B7="","",SUMIF('D-2 Off-Site Habitat Creation'!$AF$11:$AF$256,'Off-site gain site summary'!B7,'D-2 Off-Site Habitat Creation'!$AA$11:$AA$256))</f>
        <v/>
      </c>
      <c r="K7" s="994" t="str">
        <f>IF(B7="","",(I7+G7+E7)-(C7))</f>
        <v/>
      </c>
      <c r="L7" s="1009" t="str">
        <f>IF(ISBLANK(B7),"",IFERROR(_xlfn.XLOOKUP(B7,'D-2 Off-Site Habitat Creation'!$AF$11:$AF$256,'D-2 Off-Site Habitat Creation'!$Z$11:$Z$256),IFERROR(_xlfn.XLOOKUP(B7,'D-1 Off-Site Habitat Baseline'!AF$11:AF$258,'D-1 Off-Site Habitat Baseline'!S$11:S$258)," ")))</f>
        <v xml:space="preserve"> </v>
      </c>
      <c r="M7" s="985" t="str">
        <f>IF(B7="","",IF(K7&lt;0,"Error - gain sites must be positive ▲",(J7+H7+F7)-(D7)))</f>
        <v/>
      </c>
      <c r="N7" s="988">
        <f>'E-1 Off-Site Hedge Baseline'!AB10</f>
        <v>0</v>
      </c>
      <c r="O7" s="989" t="str" cm="1">
        <f t="array" ref="O7">IFERROR(_xlfn.UNIQUE(_xlfn._xlws.FILTER(N7:N745,N7:N745&lt;&gt;0)),"")</f>
        <v/>
      </c>
      <c r="P7" s="991" t="str">
        <f>IF(O7="","",SUMIF('E-1 Off-Site Hedge Baseline'!AB$10:AB$257,'Off-site gain site summary'!O7,'E-1 Off-Site Hedge Baseline'!Q$10:Q$257))</f>
        <v/>
      </c>
      <c r="Q7" s="991" t="str">
        <f>IF(O7="","",SUMIF('E-1 Off-Site Hedge Baseline'!AB$10:AB$257,O7,'E-1 Off-Site Hedge Baseline'!N$10:N$257))</f>
        <v/>
      </c>
      <c r="R7" s="991" t="str">
        <f>IF(O7="","",SUMIF('E-1 Off-Site Hedge Baseline'!$AB$10:$AB$257,'Off-site gain site summary'!$O7,'E-1 Off-Site Hedge Baseline'!$U$10:$U$257))</f>
        <v/>
      </c>
      <c r="S7" s="991" t="str">
        <f>IF(O7="","",SUMIF('E-1 Off-Site Hedge Baseline'!$AB$10:$AB$257,'Off-site gain site summary'!$O7,'E-1 Off-Site Hedge Baseline'!$AY$10:$AY$257))</f>
        <v/>
      </c>
      <c r="T7" s="991" t="str">
        <f>IF(O7="","",SUMIF('E-3 Off-Site Hedge Enhancement'!$AO$12:$AO$257,'Off-site gain site summary'!$O7,'E-3 Off-Site Hedge Enhancement'!$AK$12:$AK$257))</f>
        <v/>
      </c>
      <c r="U7" s="991" t="str">
        <f>IF(O7="","",SUMIF('E-3 Off-Site Hedge Enhancement'!$AO$12:$AO$257,'Off-site gain site summary'!$O7,'E-3 Off-Site Hedge Enhancement'!$AJ$12:$AJ$257))</f>
        <v/>
      </c>
      <c r="V7" s="991" t="str">
        <f>IF(O7="","",SUMIF('E-2 Off-Site Hedge Creation'!$AD$12:$AD$259,'Off-site gain site summary'!$O7,'E-2 Off-Site Hedge Creation'!$Z$12:$Z$259))</f>
        <v/>
      </c>
      <c r="W7" s="991" t="str">
        <f>IF(O7="","",SUMIF('E-2 Off-Site Hedge Creation'!$AD$12:$AD$259,'Off-site gain site summary'!$O7,'E-2 Off-Site Hedge Creation'!$Y$12:$Y$259))</f>
        <v/>
      </c>
      <c r="X7" s="991" t="str">
        <f>IF(O7="","",(V7+T7+R7)-P7)</f>
        <v/>
      </c>
      <c r="Y7" s="991" t="str">
        <f>IF(ISBLANK(O7),"",IFERROR(_xlfn.XLOOKUP(O7,'E-2 Off-Site Hedge Creation'!$AD$12:$AD$259,'E-2 Off-Site Hedge Creation'!$N$12:$N$259),IFERROR(_xlfn.XLOOKUP(O7,'E-1 Off-Site Hedge Baseline'!$AB$10:$AB$257,'E-1 Off-Site Hedge Baseline'!$P$10:$P$257)," ")))</f>
        <v xml:space="preserve"> </v>
      </c>
      <c r="Z7" s="983" t="str">
        <f>IF(O7="","",IF(X7&lt;0,"Error - gain sites must be positive ▲",(W7+U7+S7)-Q7))</f>
        <v/>
      </c>
      <c r="AA7" s="992">
        <f>'F-1 Off-Site WaterC'' Baseline'!AH10</f>
        <v>0</v>
      </c>
      <c r="AB7" s="993" t="str" cm="1">
        <f t="array" ref="AB7">IFERROR(_xlfn.UNIQUE(_xlfn._xlws.FILTER(AA7:AA748,AA7:AA748&lt;&gt;0)),"")</f>
        <v/>
      </c>
      <c r="AC7" s="994" t="str">
        <f>IF(AB7="","",SUMIF('F-1 Off-Site WaterC'' Baseline'!$AH$10:$AH$257,'Off-site gain site summary'!$AB7,'F-1 Off-Site WaterC'' Baseline'!$U$10:$U$257))</f>
        <v/>
      </c>
      <c r="AD7" s="994" t="str">
        <f>IF(AB7="","",SUMIF('F-1 Off-Site WaterC'' Baseline'!$AH$10:$AH$257,'Off-site gain site summary'!$AB7,'F-1 Off-Site WaterC'' Baseline'!$R$10:$R$257))</f>
        <v/>
      </c>
      <c r="AE7" s="994" t="str">
        <f>IF(AB7="","",SUMIF('F-1 Off-Site WaterC'' Baseline'!$AH$10:$AH$257,'Off-site gain site summary'!$AB7,'F-1 Off-Site WaterC'' Baseline'!$Z$10:$Z$257))</f>
        <v/>
      </c>
      <c r="AF7" s="994" t="str">
        <f>IF(AB7="","",SUMIF('F-1 Off-Site WaterC'' Baseline'!$AH$10:$AH$257,'Off-site gain site summary'!$AB7,'F-1 Off-Site WaterC'' Baseline'!$BA$10:$BA$257))</f>
        <v/>
      </c>
      <c r="AG7" s="994" t="str">
        <f>IF(AB7="","",SUMIF('F-3 Off-Site WaterC Enhancement'!$AT$12:$AT$257,'Off-site gain site summary'!$AB7,'F-3 Off-Site WaterC Enhancement'!$AP$12:$AP$257))</f>
        <v/>
      </c>
      <c r="AH7" s="994" t="str">
        <f>IF(AB7="","",SUMIF('F-3 Off-Site WaterC Enhancement'!$AT$12:$AT$257,'Off-site gain site summary'!$AB7,'F-3 Off-Site WaterC Enhancement'!$AO$12:$AO$257))</f>
        <v/>
      </c>
      <c r="AI7" s="994" t="str">
        <f>IF(AB7="","",SUMIF('F-2 Off-Site WaterC'' Creation'!$AG$12:$AG$259,'Off-site gain site summary'!$AB7,'F-2 Off-Site WaterC'' Creation'!$AC$12:$AC$259))</f>
        <v/>
      </c>
      <c r="AJ7" s="994" t="str">
        <f>IF(AB7="","",SUMIF('F-2 Off-Site WaterC'' Creation'!$AG$12:$AG$259,'Off-site gain site summary'!$AB7,'F-2 Off-Site WaterC'' Creation'!$AB$12:$AB$259))</f>
        <v/>
      </c>
      <c r="AK7" s="994" t="str">
        <f>IF(AB7="","",(AG7+AI7+AE7)-AC7)</f>
        <v/>
      </c>
      <c r="AL7" s="994" t="str">
        <f>IF(ISBLANK(AB7),"",IFERROR(_xlfn.XLOOKUP(AB7,'F-2 Off-Site WaterC'' Creation'!$AG$12:$AG$258,'F-2 Off-Site WaterC'' Creation'!$AA$12:$AA$258),IFERROR(_xlfn.XLOOKUP(AB7,'F-1 Off-Site WaterC'' Baseline'!$AH$10:$AH$257,'F-1 Off-Site WaterC'' Baseline'!$T$10:$T$257)," ")))</f>
        <v xml:space="preserve"> </v>
      </c>
      <c r="AM7" s="985" t="str">
        <f>IF(AB7="","",IF(AK7&lt;0,"Error - gain sites must be positive ▲",(AH7+AJ7+AF7)-AD7))</f>
        <v/>
      </c>
      <c r="AN7" s="995"/>
      <c r="AO7" s="995"/>
    </row>
    <row r="8" spans="1:41" s="992" customFormat="1" ht="43.5" customHeight="1">
      <c r="A8" s="988">
        <f>'D-1 Off-Site Habitat Baseline'!AF12</f>
        <v>0</v>
      </c>
      <c r="B8" s="996"/>
      <c r="C8" s="997" t="str">
        <f>IF(B8="","",SUMIF('D-1 Off-Site Habitat Baseline'!AF12:AF259,B8,'D-1 Off-Site Habitat Baseline'!T12:T259))</f>
        <v/>
      </c>
      <c r="D8" s="990" t="str">
        <f>IF(B8="","",SUMIF('D-1 Off-Site Habitat Baseline'!$AF$11:$AF$258,B8,'D-1 Off-Site Habitat Baseline'!$Q$11:$Q$258))</f>
        <v/>
      </c>
      <c r="E8" s="998" t="str">
        <f>IF(B8="","",SUMIF('D-1 Off-Site Habitat Baseline'!$AF$11:$AF$258,'Off-site gain site summary'!$B8,'D-1 Off-Site Habitat Baseline'!$X$11:$X$258))</f>
        <v/>
      </c>
      <c r="F8" s="999" t="str">
        <f>IF(B8="","",SUMIF('D-1 Off-Site Habitat Baseline'!$AF$11:$AF$258,'Off-site gain site summary'!$B8,'D-1 Off-Site Habitat Baseline'!$AY$11:$AY$258))</f>
        <v/>
      </c>
      <c r="G8" s="998" t="str">
        <f>IF(B8="","",SUMIF('D-3 Off-Site Habitat Enhancment'!$AU$12:$AU$258,'Off-site gain site summary'!B8,'D-3 Off-Site Habitat Enhancment'!$AQ$12:$AQ$258))</f>
        <v/>
      </c>
      <c r="H8" s="999" t="str">
        <f>IF(B8="","",SUMIF('D-3 Off-Site Habitat Enhancment'!$AU$12:$AU$258,'Off-site gain site summary'!B8,'D-3 Off-Site Habitat Enhancment'!$AP$12:$AP$258))</f>
        <v/>
      </c>
      <c r="I8" s="998" t="str">
        <f>IF(B8="","",SUMIF('D-2 Off-Site Habitat Creation'!$AF$11:$AF$256,'Off-site gain site summary'!B8,'D-2 Off-Site Habitat Creation'!$AB$11:$AB$256))</f>
        <v/>
      </c>
      <c r="J8" s="999" t="str">
        <f>IF(B8="","",SUMIF('D-2 Off-Site Habitat Creation'!$AF$11:$AF$256,'Off-site gain site summary'!B8,'D-2 Off-Site Habitat Creation'!$AA$11:$AA$256))</f>
        <v/>
      </c>
      <c r="K8" s="1000" t="str">
        <f t="shared" si="0" ref="K8:K71">IF(B8="","",(I8+G8+E8)-(C8))</f>
        <v/>
      </c>
      <c r="L8" s="997" t="str">
        <f>IF(ISBLANK(B8),"",IFERROR(_xlfn.XLOOKUP(B8,'D-2 Off-Site Habitat Creation'!$AF$11:$AF$256,'D-2 Off-Site Habitat Creation'!$Z$11:$Z$256),IFERROR(_xlfn.XLOOKUP(B8,'D-1 Off-Site Habitat Baseline'!AF$11:AF$258,'D-1 Off-Site Habitat Baseline'!S$11:S$258)," ")))</f>
        <v/>
      </c>
      <c r="M8" s="983" t="str">
        <f t="shared" si="1" ref="M8:M71">IF(B8="","",IF(K8&lt;0,"Error - gain sites must be positive ▲",(J8+H8+F8)-(D8)))</f>
        <v/>
      </c>
      <c r="N8" s="988">
        <f>'E-1 Off-Site Hedge Baseline'!AB11</f>
        <v>0</v>
      </c>
      <c r="O8" s="996"/>
      <c r="P8" s="1000" t="str">
        <f>IF(O8="","",SUMIF('E-1 Off-Site Hedge Baseline'!AB$10:AB$257,'Off-site gain site summary'!O8,'E-1 Off-Site Hedge Baseline'!Q$10:Q$257))</f>
        <v/>
      </c>
      <c r="Q8" s="1000" t="str">
        <f>IF(O8="","",SUMIF('E-1 Off-Site Hedge Baseline'!AB$10:AB$257,O8,'E-1 Off-Site Hedge Baseline'!N$10:N$257))</f>
        <v/>
      </c>
      <c r="R8" s="1000" t="str">
        <f>IF(O8="","",SUMIF('E-1 Off-Site Hedge Baseline'!$AB$10:$AB$257,'Off-site gain site summary'!$O8,'E-1 Off-Site Hedge Baseline'!$U$10:$U$257))</f>
        <v/>
      </c>
      <c r="S8" s="1000" t="str">
        <f>IF(O8="","",SUMIF('E-1 Off-Site Hedge Baseline'!$AB$10:$AB$257,'Off-site gain site summary'!$O8,'E-1 Off-Site Hedge Baseline'!$AY$10:$AY$257))</f>
        <v/>
      </c>
      <c r="T8" s="1000" t="str">
        <f>IF(O8="","",SUMIF('E-3 Off-Site Hedge Enhancement'!$AO$12:$AO$257,'Off-site gain site summary'!$O8,'E-3 Off-Site Hedge Enhancement'!$AK$12:$AK$257))</f>
        <v/>
      </c>
      <c r="U8" s="1000" t="str">
        <f>IF(O8="","",SUMIF('E-3 Off-Site Hedge Enhancement'!$AO$12:$AO$257,'Off-site gain site summary'!$O8,'E-3 Off-Site Hedge Enhancement'!$AJ$12:$AJ$257))</f>
        <v/>
      </c>
      <c r="V8" s="1000" t="str">
        <f>IF(O8="","",SUMIF('E-2 Off-Site Hedge Creation'!$AD$12:$AD$259,'Off-site gain site summary'!$O8,'E-2 Off-Site Hedge Creation'!$Z$12:$Z$259))</f>
        <v/>
      </c>
      <c r="W8" s="991" t="str">
        <f>IF(O8="","",SUMIF('E-2 Off-Site Hedge Creation'!$AD$12:$AD$259,'Off-site gain site summary'!$O8,'E-2 Off-Site Hedge Creation'!$Y$12:$Y$259))</f>
        <v/>
      </c>
      <c r="X8" s="991" t="str">
        <f t="shared" si="2" ref="X8:X71">IF(O8="","",(V8+T8+R8)-P8)</f>
        <v/>
      </c>
      <c r="Y8" s="991" t="str">
        <f>IF(ISBLANK(O8),"",IFERROR(_xlfn.XLOOKUP(O8,'E-2 Off-Site Hedge Creation'!$AD$12:$AD$259,'E-2 Off-Site Hedge Creation'!$N$12:$N$259),IFERROR(_xlfn.XLOOKUP(O8,'E-1 Off-Site Hedge Baseline'!$AB$10:$AB$257,'E-1 Off-Site Hedge Baseline'!$P$10:$P$257)," ")))</f>
        <v/>
      </c>
      <c r="Z8" s="986" t="str">
        <f t="shared" si="3" ref="Z8:Z71">IF(O8="","",IF(X8&lt;0,"Error - gain sites must be positive ▲",(W8+U8+S8)-Q8))</f>
        <v/>
      </c>
      <c r="AA8" s="992">
        <f>'F-1 Off-Site WaterC'' Baseline'!AH11</f>
        <v>0</v>
      </c>
      <c r="AB8" s="996"/>
      <c r="AC8" s="1000" t="str">
        <f>IF(AB8="","",SUMIF('F-1 Off-Site WaterC'' Baseline'!$AH$10:$AH$257,'Off-site gain site summary'!$AB8,'F-1 Off-Site WaterC'' Baseline'!$U$10:$U$257))</f>
        <v/>
      </c>
      <c r="AD8" s="1000" t="str">
        <f>IF(AB8="","",SUMIF('F-1 Off-Site WaterC'' Baseline'!$AH$10:$AH$257,'Off-site gain site summary'!$AB8,'F-1 Off-Site WaterC'' Baseline'!$R$10:$R$257))</f>
        <v/>
      </c>
      <c r="AE8" s="1000" t="str">
        <f>IF(AB8="","",SUMIF('F-1 Off-Site WaterC'' Baseline'!$AH$10:$AH$257,'Off-site gain site summary'!$AB8,'F-1 Off-Site WaterC'' Baseline'!$Z$10:$Z$257))</f>
        <v/>
      </c>
      <c r="AF8" s="1000" t="str">
        <f>IF(AB8="","",SUMIF('F-1 Off-Site WaterC'' Baseline'!$AH$10:$AH$257,'Off-site gain site summary'!$AB8,'F-1 Off-Site WaterC'' Baseline'!$BA$10:$BA$257))</f>
        <v/>
      </c>
      <c r="AG8" s="1000" t="str">
        <f>IF(AB8="","",SUMIF('F-3 Off-Site WaterC Enhancement'!$AT$12:$AT$257,'Off-site gain site summary'!$AB8,'F-3 Off-Site WaterC Enhancement'!$AP$12:$AP$257))</f>
        <v/>
      </c>
      <c r="AH8" s="1000" t="str">
        <f>IF(AB8="","",SUMIF('F-3 Off-Site WaterC Enhancement'!$AT$12:$AT$257,'Off-site gain site summary'!$AB8,'F-3 Off-Site WaterC Enhancement'!$AO$12:$AO$257))</f>
        <v/>
      </c>
      <c r="AI8" s="1000" t="str">
        <f>IF(AB8="","",SUMIF('F-2 Off-Site WaterC'' Creation'!$AG$12:$AG$259,'Off-site gain site summary'!$AB8,'F-2 Off-Site WaterC'' Creation'!$AC$12:$AC$259))</f>
        <v/>
      </c>
      <c r="AJ8" s="1000" t="str">
        <f>IF(AB8="","",SUMIF('F-2 Off-Site WaterC'' Creation'!$AG$12:$AG$259,'Off-site gain site summary'!$AB8,'F-2 Off-Site WaterC'' Creation'!$AB$12:$AB$259))</f>
        <v/>
      </c>
      <c r="AK8" s="1000" t="str">
        <f t="shared" si="4" ref="AK8:AK71">IF(AB8="","",(AG8+AI8+AE8)-AC8)</f>
        <v/>
      </c>
      <c r="AL8" s="1000" t="str">
        <f>IF(ISBLANK(AB8),"",IFERROR(_xlfn.XLOOKUP(AB8,'F-2 Off-Site WaterC'' Creation'!$AG$12:$AG$258,'F-2 Off-Site WaterC'' Creation'!$AA$12:$AA$258),IFERROR(_xlfn.XLOOKUP(AB8,'F-1 Off-Site WaterC'' Baseline'!$AH$10:$AH$257,'F-1 Off-Site WaterC'' Baseline'!$T$10:$T$257)," ")))</f>
        <v/>
      </c>
      <c r="AM8" s="986" t="str">
        <f t="shared" si="5" ref="AM8:AM71">IF(AB8="","",IF(AK8&lt;0,"Error - gain sites must be positive ▲",(AH8+AJ8+AF8)-AD8))</f>
        <v/>
      </c>
      <c r="AN8" s="1469"/>
      <c r="AO8" s="1469"/>
    </row>
    <row r="9" spans="1:41" s="992" customFormat="1" ht="43.5" customHeight="1">
      <c r="A9" s="988">
        <f>'D-1 Off-Site Habitat Baseline'!AF13</f>
        <v>0</v>
      </c>
      <c r="B9" s="996"/>
      <c r="C9" s="997" t="str">
        <f>IF(B9="","",SUMIF('D-1 Off-Site Habitat Baseline'!AF13:AF260,B9,'D-1 Off-Site Habitat Baseline'!T13:T260))</f>
        <v/>
      </c>
      <c r="D9" s="990" t="str">
        <f>IF(B9="","",SUMIF('D-1 Off-Site Habitat Baseline'!$AF$11:$AF$258,B9,'D-1 Off-Site Habitat Baseline'!$Q$11:$Q$258))</f>
        <v/>
      </c>
      <c r="E9" s="998" t="str">
        <f>IF(B9="","",SUMIF('D-1 Off-Site Habitat Baseline'!$AF$11:$AF$258,'Off-site gain site summary'!$B9,'D-1 Off-Site Habitat Baseline'!$X$11:$X$258))</f>
        <v/>
      </c>
      <c r="F9" s="999" t="str">
        <f>IF(B9="","",SUMIF('D-1 Off-Site Habitat Baseline'!$AF$11:$AF$258,'Off-site gain site summary'!$B9,'D-1 Off-Site Habitat Baseline'!$AY$11:$AY$258))</f>
        <v/>
      </c>
      <c r="G9" s="998" t="str">
        <f>IF(B9="","",SUMIF('D-3 Off-Site Habitat Enhancment'!$AU$12:$AU$258,'Off-site gain site summary'!B9,'D-3 Off-Site Habitat Enhancment'!$AQ$12:$AQ$258))</f>
        <v/>
      </c>
      <c r="H9" s="999" t="str">
        <f>IF(B9="","",SUMIF('D-3 Off-Site Habitat Enhancment'!$AU$12:$AU$258,'Off-site gain site summary'!B9,'D-3 Off-Site Habitat Enhancment'!$AP$12:$AP$258))</f>
        <v/>
      </c>
      <c r="I9" s="998" t="str">
        <f>IF(B9="","",SUMIF('D-2 Off-Site Habitat Creation'!$AF$11:$AF$256,'Off-site gain site summary'!B9,'D-2 Off-Site Habitat Creation'!$AB$11:$AB$256))</f>
        <v/>
      </c>
      <c r="J9" s="999" t="str">
        <f>IF(B9="","",SUMIF('D-2 Off-Site Habitat Creation'!$AF$11:$AF$256,'Off-site gain site summary'!B9,'D-2 Off-Site Habitat Creation'!$AA$11:$AA$256))</f>
        <v/>
      </c>
      <c r="K9" s="1000" t="str">
        <f t="shared" si="0"/>
        <v/>
      </c>
      <c r="L9" s="997" t="str">
        <f>IF(ISBLANK(B9),"",IFERROR(_xlfn.XLOOKUP(B9,'D-2 Off-Site Habitat Creation'!$AF$11:$AF$256,'D-2 Off-Site Habitat Creation'!$Z$11:$Z$256),IFERROR(_xlfn.XLOOKUP(B9,'D-1 Off-Site Habitat Baseline'!AF$11:AF$258,'D-1 Off-Site Habitat Baseline'!S$11:S$258)," ")))</f>
        <v/>
      </c>
      <c r="M9" s="983" t="str">
        <f t="shared" si="1"/>
        <v/>
      </c>
      <c r="N9" s="988">
        <f>'E-1 Off-Site Hedge Baseline'!AB12</f>
        <v>0</v>
      </c>
      <c r="O9" s="996"/>
      <c r="P9" s="1000" t="str">
        <f>IF(O9="","",SUMIF('E-1 Off-Site Hedge Baseline'!AB$10:AB$257,'Off-site gain site summary'!O9,'E-1 Off-Site Hedge Baseline'!Q$10:Q$257))</f>
        <v/>
      </c>
      <c r="Q9" s="1000" t="str">
        <f>IF(O9="","",SUMIF('E-1 Off-Site Hedge Baseline'!AB$10:AB$257,O9,'E-1 Off-Site Hedge Baseline'!N$10:N$257))</f>
        <v/>
      </c>
      <c r="R9" s="1000" t="str">
        <f>IF(O9="","",SUMIF('E-1 Off-Site Hedge Baseline'!$AB$10:$AB$257,'Off-site gain site summary'!$O9,'E-1 Off-Site Hedge Baseline'!$U$10:$U$257))</f>
        <v/>
      </c>
      <c r="S9" s="1000" t="str">
        <f>IF(O9="","",SUMIF('E-1 Off-Site Hedge Baseline'!$AB$10:$AB$257,'Off-site gain site summary'!$O9,'E-1 Off-Site Hedge Baseline'!$AY$10:$AY$257))</f>
        <v/>
      </c>
      <c r="T9" s="1000" t="str">
        <f>IF(O9="","",SUMIF('E-3 Off-Site Hedge Enhancement'!$AO$12:$AO$257,'Off-site gain site summary'!$O9,'E-3 Off-Site Hedge Enhancement'!$AK$12:$AK$257))</f>
        <v/>
      </c>
      <c r="U9" s="1000" t="str">
        <f>IF(O9="","",SUMIF('E-3 Off-Site Hedge Enhancement'!$AO$12:$AO$257,'Off-site gain site summary'!$O9,'E-3 Off-Site Hedge Enhancement'!$AJ$12:$AJ$257))</f>
        <v/>
      </c>
      <c r="V9" s="1000" t="str">
        <f>IF(O9="","",SUMIF('E-2 Off-Site Hedge Creation'!$AD$12:$AD$259,'Off-site gain site summary'!$O9,'E-2 Off-Site Hedge Creation'!$Z$12:$Z$259))</f>
        <v/>
      </c>
      <c r="W9" s="991" t="str">
        <f>IF(O9="","",SUMIF('E-2 Off-Site Hedge Creation'!$AD$12:$AD$259,'Off-site gain site summary'!$O9,'E-2 Off-Site Hedge Creation'!$Y$12:$Y$259))</f>
        <v/>
      </c>
      <c r="X9" s="991" t="str">
        <f t="shared" si="2"/>
        <v/>
      </c>
      <c r="Y9" s="991" t="str">
        <f>IF(ISBLANK(O9),"",IFERROR(_xlfn.XLOOKUP(O9,'E-2 Off-Site Hedge Creation'!$AD$12:$AD$259,'E-2 Off-Site Hedge Creation'!$N$12:$N$259),IFERROR(_xlfn.XLOOKUP(O9,'E-1 Off-Site Hedge Baseline'!$AB$10:$AB$257,'E-1 Off-Site Hedge Baseline'!$P$10:$P$257)," ")))</f>
        <v/>
      </c>
      <c r="Z9" s="986" t="str">
        <f t="shared" si="3"/>
        <v/>
      </c>
      <c r="AA9" s="992">
        <f>'F-1 Off-Site WaterC'' Baseline'!AH12</f>
        <v>0</v>
      </c>
      <c r="AB9" s="996"/>
      <c r="AC9" s="1000" t="str">
        <f>IF(AB9="","",SUMIF('F-1 Off-Site WaterC'' Baseline'!$AH$10:$AH$257,'Off-site gain site summary'!$AB9,'F-1 Off-Site WaterC'' Baseline'!$U$10:$U$257))</f>
        <v/>
      </c>
      <c r="AD9" s="1000" t="str">
        <f>IF(AB9="","",SUMIF('F-1 Off-Site WaterC'' Baseline'!$AH$10:$AH$257,'Off-site gain site summary'!$AB9,'F-1 Off-Site WaterC'' Baseline'!$R$10:$R$257))</f>
        <v/>
      </c>
      <c r="AE9" s="1000" t="str">
        <f>IF(AB9="","",SUMIF('F-1 Off-Site WaterC'' Baseline'!$AH$10:$AH$257,'Off-site gain site summary'!$AB9,'F-1 Off-Site WaterC'' Baseline'!$Z$10:$Z$257))</f>
        <v/>
      </c>
      <c r="AF9" s="1000" t="str">
        <f>IF(AB9="","",SUMIF('F-1 Off-Site WaterC'' Baseline'!$AH$10:$AH$257,'Off-site gain site summary'!$AB9,'F-1 Off-Site WaterC'' Baseline'!$BA$10:$BA$257))</f>
        <v/>
      </c>
      <c r="AG9" s="1000" t="str">
        <f>IF(AB9="","",SUMIF('F-3 Off-Site WaterC Enhancement'!$AT$12:$AT$257,'Off-site gain site summary'!$AB9,'F-3 Off-Site WaterC Enhancement'!$AP$12:$AP$257))</f>
        <v/>
      </c>
      <c r="AH9" s="1000" t="str">
        <f>IF(AB9="","",SUMIF('F-3 Off-Site WaterC Enhancement'!$AT$12:$AT$257,'Off-site gain site summary'!$AB9,'F-3 Off-Site WaterC Enhancement'!$AO$12:$AO$257))</f>
        <v/>
      </c>
      <c r="AI9" s="1000" t="str">
        <f>IF(AB9="","",SUMIF('F-2 Off-Site WaterC'' Creation'!$AG$12:$AG$259,'Off-site gain site summary'!$AB9,'F-2 Off-Site WaterC'' Creation'!$AC$12:$AC$259))</f>
        <v/>
      </c>
      <c r="AJ9" s="1000" t="str">
        <f>IF(AB9="","",SUMIF('F-2 Off-Site WaterC'' Creation'!$AG$12:$AG$259,'Off-site gain site summary'!$AB9,'F-2 Off-Site WaterC'' Creation'!$AB$12:$AB$259))</f>
        <v/>
      </c>
      <c r="AK9" s="1000" t="str">
        <f t="shared" si="4"/>
        <v/>
      </c>
      <c r="AL9" s="1000" t="str">
        <f>IF(ISBLANK(AB9),"",IFERROR(_xlfn.XLOOKUP(AB9,'F-2 Off-Site WaterC'' Creation'!$AG$12:$AG$258,'F-2 Off-Site WaterC'' Creation'!$AA$12:$AA$258),IFERROR(_xlfn.XLOOKUP(AB9,'F-1 Off-Site WaterC'' Baseline'!$AH$10:$AH$257,'F-1 Off-Site WaterC'' Baseline'!$T$10:$T$257)," ")))</f>
        <v/>
      </c>
      <c r="AM9" s="986" t="str">
        <f t="shared" si="5"/>
        <v/>
      </c>
      <c r="AN9" s="1469"/>
      <c r="AO9" s="1469"/>
    </row>
    <row r="10" spans="1:41" s="992" customFormat="1" ht="43.5" customHeight="1">
      <c r="A10" s="988">
        <f>'D-1 Off-Site Habitat Baseline'!AF14</f>
        <v>0</v>
      </c>
      <c r="B10" s="996"/>
      <c r="C10" s="997" t="str">
        <f>IF(B10="","",SUMIF('D-1 Off-Site Habitat Baseline'!AF14:AF261,B10,'D-1 Off-Site Habitat Baseline'!T14:T261))</f>
        <v/>
      </c>
      <c r="D10" s="990" t="str">
        <f>IF(B10="","",SUMIF('D-1 Off-Site Habitat Baseline'!$AF$11:$AF$258,B10,'D-1 Off-Site Habitat Baseline'!$Q$11:$Q$258))</f>
        <v/>
      </c>
      <c r="E10" s="998" t="str">
        <f>IF(B10="","",SUMIF('D-1 Off-Site Habitat Baseline'!$AF$11:$AF$258,'Off-site gain site summary'!$B10,'D-1 Off-Site Habitat Baseline'!$X$11:$X$258))</f>
        <v/>
      </c>
      <c r="F10" s="999" t="str">
        <f>IF(B10="","",SUMIF('D-1 Off-Site Habitat Baseline'!$AF$11:$AF$258,'Off-site gain site summary'!$B10,'D-1 Off-Site Habitat Baseline'!$AY$11:$AY$258))</f>
        <v/>
      </c>
      <c r="G10" s="998" t="str">
        <f>IF(B10="","",SUMIF('D-3 Off-Site Habitat Enhancment'!$AU$12:$AU$258,'Off-site gain site summary'!B10,'D-3 Off-Site Habitat Enhancment'!$AQ$12:$AQ$258))</f>
        <v/>
      </c>
      <c r="H10" s="999" t="str">
        <f>IF(B10="","",SUMIF('D-3 Off-Site Habitat Enhancment'!$AU$12:$AU$258,'Off-site gain site summary'!B10,'D-3 Off-Site Habitat Enhancment'!$AP$12:$AP$258))</f>
        <v/>
      </c>
      <c r="I10" s="998" t="str">
        <f>IF(B10="","",SUMIF('D-2 Off-Site Habitat Creation'!$AF$11:$AF$256,'Off-site gain site summary'!B10,'D-2 Off-Site Habitat Creation'!$AB$11:$AB$256))</f>
        <v/>
      </c>
      <c r="J10" s="999" t="str">
        <f>IF(B10="","",SUMIF('D-2 Off-Site Habitat Creation'!$AF$11:$AF$256,'Off-site gain site summary'!B10,'D-2 Off-Site Habitat Creation'!$AA$11:$AA$256))</f>
        <v/>
      </c>
      <c r="K10" s="1000" t="str">
        <f t="shared" si="0"/>
        <v/>
      </c>
      <c r="L10" s="997" t="str">
        <f>IF(ISBLANK(B10),"",IFERROR(_xlfn.XLOOKUP(B10,'D-2 Off-Site Habitat Creation'!$AF$11:$AF$256,'D-2 Off-Site Habitat Creation'!$Z$11:$Z$256),IFERROR(_xlfn.XLOOKUP(B10,'D-1 Off-Site Habitat Baseline'!AF$11:AF$258,'D-1 Off-Site Habitat Baseline'!S$11:S$258)," ")))</f>
        <v/>
      </c>
      <c r="M10" s="983" t="str">
        <f t="shared" si="1"/>
        <v/>
      </c>
      <c r="N10" s="988">
        <f>'E-1 Off-Site Hedge Baseline'!AB13</f>
        <v>0</v>
      </c>
      <c r="O10" s="996"/>
      <c r="P10" s="1000" t="str">
        <f>IF(O10="","",SUMIF('E-1 Off-Site Hedge Baseline'!AB$10:AB$257,'Off-site gain site summary'!O10,'E-1 Off-Site Hedge Baseline'!Q$10:Q$257))</f>
        <v/>
      </c>
      <c r="Q10" s="1000" t="str">
        <f>IF(O10="","",SUMIF('E-1 Off-Site Hedge Baseline'!AB$10:AB$257,O10,'E-1 Off-Site Hedge Baseline'!N$10:N$257))</f>
        <v/>
      </c>
      <c r="R10" s="1000" t="str">
        <f>IF(O10="","",SUMIF('E-1 Off-Site Hedge Baseline'!$AB$10:$AB$257,'Off-site gain site summary'!$O10,'E-1 Off-Site Hedge Baseline'!$U$10:$U$257))</f>
        <v/>
      </c>
      <c r="S10" s="1000" t="str">
        <f>IF(O10="","",SUMIF('E-1 Off-Site Hedge Baseline'!$AB$10:$AB$257,'Off-site gain site summary'!$O10,'E-1 Off-Site Hedge Baseline'!$AY$10:$AY$257))</f>
        <v/>
      </c>
      <c r="T10" s="1000" t="str">
        <f>IF(O10="","",SUMIF('E-3 Off-Site Hedge Enhancement'!$AO$12:$AO$257,'Off-site gain site summary'!$O10,'E-3 Off-Site Hedge Enhancement'!$AK$12:$AK$257))</f>
        <v/>
      </c>
      <c r="U10" s="1000" t="str">
        <f>IF(O10="","",SUMIF('E-3 Off-Site Hedge Enhancement'!$AO$12:$AO$257,'Off-site gain site summary'!$O10,'E-3 Off-Site Hedge Enhancement'!$AJ$12:$AJ$257))</f>
        <v/>
      </c>
      <c r="V10" s="1000" t="str">
        <f>IF(O10="","",SUMIF('E-2 Off-Site Hedge Creation'!$AD$12:$AD$259,'Off-site gain site summary'!$O10,'E-2 Off-Site Hedge Creation'!$Z$12:$Z$259))</f>
        <v/>
      </c>
      <c r="W10" s="991" t="str">
        <f>IF(O10="","",SUMIF('E-2 Off-Site Hedge Creation'!$AD$12:$AD$259,'Off-site gain site summary'!$O10,'E-2 Off-Site Hedge Creation'!$Y$12:$Y$259))</f>
        <v/>
      </c>
      <c r="X10" s="991" t="str">
        <f t="shared" si="2"/>
        <v/>
      </c>
      <c r="Y10" s="991" t="str">
        <f>IF(ISBLANK(O10),"",IFERROR(_xlfn.XLOOKUP(O10,'E-2 Off-Site Hedge Creation'!$AD$12:$AD$259,'E-2 Off-Site Hedge Creation'!$N$12:$N$259),IFERROR(_xlfn.XLOOKUP(O10,'E-1 Off-Site Hedge Baseline'!$AB$10:$AB$257,'E-1 Off-Site Hedge Baseline'!$P$10:$P$257)," ")))</f>
        <v/>
      </c>
      <c r="Z10" s="986" t="str">
        <f t="shared" si="3"/>
        <v/>
      </c>
      <c r="AA10" s="992">
        <f>'F-1 Off-Site WaterC'' Baseline'!AH13</f>
        <v>0</v>
      </c>
      <c r="AB10" s="996"/>
      <c r="AC10" s="1000" t="str">
        <f>IF(AB10="","",SUMIF('F-1 Off-Site WaterC'' Baseline'!$AH$10:$AH$257,'Off-site gain site summary'!$AB10,'F-1 Off-Site WaterC'' Baseline'!$U$10:$U$257))</f>
        <v/>
      </c>
      <c r="AD10" s="1000" t="str">
        <f>IF(AB10="","",SUMIF('F-1 Off-Site WaterC'' Baseline'!$AH$10:$AH$257,'Off-site gain site summary'!$AB10,'F-1 Off-Site WaterC'' Baseline'!$R$10:$R$257))</f>
        <v/>
      </c>
      <c r="AE10" s="1000" t="str">
        <f>IF(AB10="","",SUMIF('F-1 Off-Site WaterC'' Baseline'!$AH$10:$AH$257,'Off-site gain site summary'!$AB10,'F-1 Off-Site WaterC'' Baseline'!$Z$10:$Z$257))</f>
        <v/>
      </c>
      <c r="AF10" s="1000" t="str">
        <f>IF(AB10="","",SUMIF('F-1 Off-Site WaterC'' Baseline'!$AH$10:$AH$257,'Off-site gain site summary'!$AB10,'F-1 Off-Site WaterC'' Baseline'!$BA$10:$BA$257))</f>
        <v/>
      </c>
      <c r="AG10" s="1000" t="str">
        <f>IF(AB10="","",SUMIF('F-3 Off-Site WaterC Enhancement'!$AT$12:$AT$257,'Off-site gain site summary'!$AB10,'F-3 Off-Site WaterC Enhancement'!$AP$12:$AP$257))</f>
        <v/>
      </c>
      <c r="AH10" s="1000" t="str">
        <f>IF(AB10="","",SUMIF('F-3 Off-Site WaterC Enhancement'!$AT$12:$AT$257,'Off-site gain site summary'!$AB10,'F-3 Off-Site WaterC Enhancement'!$AO$12:$AO$257))</f>
        <v/>
      </c>
      <c r="AI10" s="1000" t="str">
        <f>IF(AB10="","",SUMIF('F-2 Off-Site WaterC'' Creation'!$AG$12:$AG$259,'Off-site gain site summary'!$AB10,'F-2 Off-Site WaterC'' Creation'!$AC$12:$AC$259))</f>
        <v/>
      </c>
      <c r="AJ10" s="1000" t="str">
        <f>IF(AB10="","",SUMIF('F-2 Off-Site WaterC'' Creation'!$AG$12:$AG$259,'Off-site gain site summary'!$AB10,'F-2 Off-Site WaterC'' Creation'!$AB$12:$AB$259))</f>
        <v/>
      </c>
      <c r="AK10" s="1000" t="str">
        <f t="shared" si="4"/>
        <v/>
      </c>
      <c r="AL10" s="1000" t="str">
        <f>IF(ISBLANK(AB10),"",IFERROR(_xlfn.XLOOKUP(AB10,'F-2 Off-Site WaterC'' Creation'!$AG$12:$AG$258,'F-2 Off-Site WaterC'' Creation'!$AA$12:$AA$258),IFERROR(_xlfn.XLOOKUP(AB10,'F-1 Off-Site WaterC'' Baseline'!$AH$10:$AH$257,'F-1 Off-Site WaterC'' Baseline'!$T$10:$T$257)," ")))</f>
        <v/>
      </c>
      <c r="AM10" s="986" t="str">
        <f t="shared" si="5"/>
        <v/>
      </c>
      <c r="AN10" s="1469"/>
      <c r="AO10" s="1469"/>
    </row>
    <row r="11" spans="1:41" s="992" customFormat="1" ht="43.5" customHeight="1">
      <c r="A11" s="988">
        <f>'D-1 Off-Site Habitat Baseline'!AF15</f>
        <v>0</v>
      </c>
      <c r="B11" s="996"/>
      <c r="C11" s="997" t="str">
        <f>IF(B11="","",SUMIF('D-1 Off-Site Habitat Baseline'!AF15:AF262,B11,'D-1 Off-Site Habitat Baseline'!T15:T262))</f>
        <v/>
      </c>
      <c r="D11" s="990" t="str">
        <f>IF(B11="","",SUMIF('D-1 Off-Site Habitat Baseline'!$AF$11:$AF$258,B11,'D-1 Off-Site Habitat Baseline'!$Q$11:$Q$258))</f>
        <v/>
      </c>
      <c r="E11" s="998" t="str">
        <f>IF(B11="","",SUMIF('D-1 Off-Site Habitat Baseline'!$AF$11:$AF$258,'Off-site gain site summary'!$B11,'D-1 Off-Site Habitat Baseline'!$X$11:$X$258))</f>
        <v/>
      </c>
      <c r="F11" s="999" t="str">
        <f>IF(B11="","",SUMIF('D-1 Off-Site Habitat Baseline'!$AF$11:$AF$258,'Off-site gain site summary'!$B11,'D-1 Off-Site Habitat Baseline'!$AY$11:$AY$258))</f>
        <v/>
      </c>
      <c r="G11" s="998" t="str">
        <f>IF(B11="","",SUMIF('D-3 Off-Site Habitat Enhancment'!$AU$12:$AU$258,'Off-site gain site summary'!B11,'D-3 Off-Site Habitat Enhancment'!$AQ$12:$AQ$258))</f>
        <v/>
      </c>
      <c r="H11" s="999" t="str">
        <f>IF(B11="","",SUMIF('D-3 Off-Site Habitat Enhancment'!$AU$12:$AU$258,'Off-site gain site summary'!B11,'D-3 Off-Site Habitat Enhancment'!$AP$12:$AP$258))</f>
        <v/>
      </c>
      <c r="I11" s="998" t="str">
        <f>IF(B11="","",SUMIF('D-2 Off-Site Habitat Creation'!$AF$11:$AF$256,'Off-site gain site summary'!B11,'D-2 Off-Site Habitat Creation'!$AB$11:$AB$256))</f>
        <v/>
      </c>
      <c r="J11" s="999" t="str">
        <f>IF(B11="","",SUMIF('D-2 Off-Site Habitat Creation'!$AF$11:$AF$256,'Off-site gain site summary'!B11,'D-2 Off-Site Habitat Creation'!$AA$11:$AA$256))</f>
        <v/>
      </c>
      <c r="K11" s="1000" t="str">
        <f t="shared" si="0"/>
        <v/>
      </c>
      <c r="L11" s="997" t="str">
        <f>IF(ISBLANK(B11),"",IFERROR(_xlfn.XLOOKUP(B11,'D-2 Off-Site Habitat Creation'!$AF$11:$AF$256,'D-2 Off-Site Habitat Creation'!$Z$11:$Z$256),IFERROR(_xlfn.XLOOKUP(B11,'D-1 Off-Site Habitat Baseline'!AF$11:AF$258,'D-1 Off-Site Habitat Baseline'!S$11:S$258)," ")))</f>
        <v/>
      </c>
      <c r="M11" s="983" t="str">
        <f t="shared" si="1"/>
        <v/>
      </c>
      <c r="N11" s="988">
        <f>'E-1 Off-Site Hedge Baseline'!AB14</f>
        <v>0</v>
      </c>
      <c r="O11" s="996"/>
      <c r="P11" s="1000" t="str">
        <f>IF(O11="","",SUMIF('E-1 Off-Site Hedge Baseline'!AB$10:AB$257,'Off-site gain site summary'!O11,'E-1 Off-Site Hedge Baseline'!Q$10:Q$257))</f>
        <v/>
      </c>
      <c r="Q11" s="1000" t="str">
        <f>IF(O11="","",SUMIF('E-1 Off-Site Hedge Baseline'!AB$10:AB$257,O11,'E-1 Off-Site Hedge Baseline'!N$10:N$257))</f>
        <v/>
      </c>
      <c r="R11" s="1000" t="str">
        <f>IF(O11="","",SUMIF('E-1 Off-Site Hedge Baseline'!$AB$10:$AB$257,'Off-site gain site summary'!$O11,'E-1 Off-Site Hedge Baseline'!$U$10:$U$257))</f>
        <v/>
      </c>
      <c r="S11" s="1000" t="str">
        <f>IF(O11="","",SUMIF('E-1 Off-Site Hedge Baseline'!$AB$10:$AB$257,'Off-site gain site summary'!$O11,'E-1 Off-Site Hedge Baseline'!$AY$10:$AY$257))</f>
        <v/>
      </c>
      <c r="T11" s="1000" t="str">
        <f>IF(O11="","",SUMIF('E-3 Off-Site Hedge Enhancement'!$AO$12:$AO$257,'Off-site gain site summary'!$O11,'E-3 Off-Site Hedge Enhancement'!$AK$12:$AK$257))</f>
        <v/>
      </c>
      <c r="U11" s="1000" t="str">
        <f>IF(O11="","",SUMIF('E-3 Off-Site Hedge Enhancement'!$AO$12:$AO$257,'Off-site gain site summary'!$O11,'E-3 Off-Site Hedge Enhancement'!$AJ$12:$AJ$257))</f>
        <v/>
      </c>
      <c r="V11" s="1000" t="str">
        <f>IF(O11="","",SUMIF('E-2 Off-Site Hedge Creation'!$AD$12:$AD$259,'Off-site gain site summary'!$O11,'E-2 Off-Site Hedge Creation'!$Z$12:$Z$259))</f>
        <v/>
      </c>
      <c r="W11" s="991" t="str">
        <f>IF(O11="","",SUMIF('E-2 Off-Site Hedge Creation'!$AD$12:$AD$259,'Off-site gain site summary'!$O11,'E-2 Off-Site Hedge Creation'!$Y$12:$Y$259))</f>
        <v/>
      </c>
      <c r="X11" s="991" t="str">
        <f t="shared" si="2"/>
        <v/>
      </c>
      <c r="Y11" s="991" t="str">
        <f>IF(ISBLANK(O11),"",IFERROR(_xlfn.XLOOKUP(O11,'E-2 Off-Site Hedge Creation'!$AD$12:$AD$259,'E-2 Off-Site Hedge Creation'!$N$12:$N$259),IFERROR(_xlfn.XLOOKUP(O11,'E-1 Off-Site Hedge Baseline'!$AB$10:$AB$257,'E-1 Off-Site Hedge Baseline'!$P$10:$P$257)," ")))</f>
        <v/>
      </c>
      <c r="Z11" s="986" t="str">
        <f t="shared" si="3"/>
        <v/>
      </c>
      <c r="AA11" s="992">
        <f>'F-1 Off-Site WaterC'' Baseline'!AH14</f>
        <v>0</v>
      </c>
      <c r="AB11" s="996"/>
      <c r="AC11" s="1000" t="str">
        <f>IF(AB11="","",SUMIF('F-1 Off-Site WaterC'' Baseline'!$AH$10:$AH$257,'Off-site gain site summary'!$AB11,'F-1 Off-Site WaterC'' Baseline'!$U$10:$U$257))</f>
        <v/>
      </c>
      <c r="AD11" s="1000" t="str">
        <f>IF(AB11="","",SUMIF('F-1 Off-Site WaterC'' Baseline'!$AH$10:$AH$257,'Off-site gain site summary'!$AB11,'F-1 Off-Site WaterC'' Baseline'!$R$10:$R$257))</f>
        <v/>
      </c>
      <c r="AE11" s="1000" t="str">
        <f>IF(AB11="","",SUMIF('F-1 Off-Site WaterC'' Baseline'!$AH$10:$AH$257,'Off-site gain site summary'!$AB11,'F-1 Off-Site WaterC'' Baseline'!$Z$10:$Z$257))</f>
        <v/>
      </c>
      <c r="AF11" s="1000" t="str">
        <f>IF(AB11="","",SUMIF('F-1 Off-Site WaterC'' Baseline'!$AH$10:$AH$257,'Off-site gain site summary'!$AB11,'F-1 Off-Site WaterC'' Baseline'!$BA$10:$BA$257))</f>
        <v/>
      </c>
      <c r="AG11" s="1000" t="str">
        <f>IF(AB11="","",SUMIF('F-3 Off-Site WaterC Enhancement'!$AT$12:$AT$257,'Off-site gain site summary'!$AB11,'F-3 Off-Site WaterC Enhancement'!$AP$12:$AP$257))</f>
        <v/>
      </c>
      <c r="AH11" s="1000" t="str">
        <f>IF(AB11="","",SUMIF('F-3 Off-Site WaterC Enhancement'!$AT$12:$AT$257,'Off-site gain site summary'!$AB11,'F-3 Off-Site WaterC Enhancement'!$AO$12:$AO$257))</f>
        <v/>
      </c>
      <c r="AI11" s="1000" t="str">
        <f>IF(AB11="","",SUMIF('F-2 Off-Site WaterC'' Creation'!$AG$12:$AG$259,'Off-site gain site summary'!$AB11,'F-2 Off-Site WaterC'' Creation'!$AC$12:$AC$259))</f>
        <v/>
      </c>
      <c r="AJ11" s="1000" t="str">
        <f>IF(AB11="","",SUMIF('F-2 Off-Site WaterC'' Creation'!$AG$12:$AG$259,'Off-site gain site summary'!$AB11,'F-2 Off-Site WaterC'' Creation'!$AB$12:$AB$259))</f>
        <v/>
      </c>
      <c r="AK11" s="1000" t="str">
        <f t="shared" si="4"/>
        <v/>
      </c>
      <c r="AL11" s="1000" t="str">
        <f>IF(ISBLANK(AB11),"",IFERROR(_xlfn.XLOOKUP(AB11,'F-2 Off-Site WaterC'' Creation'!$AG$12:$AG$258,'F-2 Off-Site WaterC'' Creation'!$AA$12:$AA$258),IFERROR(_xlfn.XLOOKUP(AB11,'F-1 Off-Site WaterC'' Baseline'!$AH$10:$AH$257,'F-1 Off-Site WaterC'' Baseline'!$T$10:$T$257)," ")))</f>
        <v/>
      </c>
      <c r="AM11" s="986" t="str">
        <f t="shared" si="5"/>
        <v/>
      </c>
      <c r="AN11" s="1469"/>
      <c r="AO11" s="1469"/>
    </row>
    <row r="12" spans="1:41" s="992" customFormat="1" ht="43.5" customHeight="1">
      <c r="A12" s="988">
        <f>'D-1 Off-Site Habitat Baseline'!AF16</f>
        <v>0</v>
      </c>
      <c r="B12" s="996"/>
      <c r="C12" s="997" t="str">
        <f>IF(B12="","",SUMIF('D-1 Off-Site Habitat Baseline'!AF16:AF263,B12,'D-1 Off-Site Habitat Baseline'!T16:T263))</f>
        <v/>
      </c>
      <c r="D12" s="990" t="str">
        <f>IF(B12="","",SUMIF('D-1 Off-Site Habitat Baseline'!$AF$11:$AF$258,B12,'D-1 Off-Site Habitat Baseline'!$Q$11:$Q$258))</f>
        <v/>
      </c>
      <c r="E12" s="998" t="str">
        <f>IF(B12="","",SUMIF('D-1 Off-Site Habitat Baseline'!$AF$11:$AF$258,'Off-site gain site summary'!$B12,'D-1 Off-Site Habitat Baseline'!$X$11:$X$258))</f>
        <v/>
      </c>
      <c r="F12" s="999" t="str">
        <f>IF(B12="","",SUMIF('D-1 Off-Site Habitat Baseline'!$AF$11:$AF$258,'Off-site gain site summary'!$B12,'D-1 Off-Site Habitat Baseline'!$AY$11:$AY$258))</f>
        <v/>
      </c>
      <c r="G12" s="998" t="str">
        <f>IF(B12="","",SUMIF('D-3 Off-Site Habitat Enhancment'!$AU$12:$AU$258,'Off-site gain site summary'!B12,'D-3 Off-Site Habitat Enhancment'!$AQ$12:$AQ$258))</f>
        <v/>
      </c>
      <c r="H12" s="999" t="str">
        <f>IF(B12="","",SUMIF('D-3 Off-Site Habitat Enhancment'!$AU$12:$AU$258,'Off-site gain site summary'!B12,'D-3 Off-Site Habitat Enhancment'!$AP$12:$AP$258))</f>
        <v/>
      </c>
      <c r="I12" s="998" t="str">
        <f>IF(B12="","",SUMIF('D-2 Off-Site Habitat Creation'!$AF$11:$AF$256,'Off-site gain site summary'!B12,'D-2 Off-Site Habitat Creation'!$AB$11:$AB$256))</f>
        <v/>
      </c>
      <c r="J12" s="999" t="str">
        <f>IF(B12="","",SUMIF('D-2 Off-Site Habitat Creation'!$AF$11:$AF$256,'Off-site gain site summary'!B12,'D-2 Off-Site Habitat Creation'!$AA$11:$AA$256))</f>
        <v/>
      </c>
      <c r="K12" s="1000" t="str">
        <f t="shared" si="0"/>
        <v/>
      </c>
      <c r="L12" s="997" t="str">
        <f>IF(ISBLANK(B12),"",IFERROR(_xlfn.XLOOKUP(B12,'D-2 Off-Site Habitat Creation'!$AF$11:$AF$256,'D-2 Off-Site Habitat Creation'!$Z$11:$Z$256),IFERROR(_xlfn.XLOOKUP(B12,'D-1 Off-Site Habitat Baseline'!AF$11:AF$258,'D-1 Off-Site Habitat Baseline'!S$11:S$258)," ")))</f>
        <v/>
      </c>
      <c r="M12" s="983" t="str">
        <f t="shared" si="1"/>
        <v/>
      </c>
      <c r="N12" s="988">
        <f>'E-1 Off-Site Hedge Baseline'!AB15</f>
        <v>0</v>
      </c>
      <c r="O12" s="996"/>
      <c r="P12" s="1000" t="str">
        <f>IF(O12="","",SUMIF('E-1 Off-Site Hedge Baseline'!AB$10:AB$257,'Off-site gain site summary'!O12,'E-1 Off-Site Hedge Baseline'!Q$10:Q$257))</f>
        <v/>
      </c>
      <c r="Q12" s="1000" t="str">
        <f>IF(O12="","",SUMIF('E-1 Off-Site Hedge Baseline'!AB$10:AB$257,O12,'E-1 Off-Site Hedge Baseline'!N$10:N$257))</f>
        <v/>
      </c>
      <c r="R12" s="1000" t="str">
        <f>IF(O12="","",SUMIF('E-1 Off-Site Hedge Baseline'!$AB$10:$AB$257,'Off-site gain site summary'!$O12,'E-1 Off-Site Hedge Baseline'!$U$10:$U$257))</f>
        <v/>
      </c>
      <c r="S12" s="1000" t="str">
        <f>IF(O12="","",SUMIF('E-1 Off-Site Hedge Baseline'!$AB$10:$AB$257,'Off-site gain site summary'!$O12,'E-1 Off-Site Hedge Baseline'!$AY$10:$AY$257))</f>
        <v/>
      </c>
      <c r="T12" s="1000" t="str">
        <f>IF(O12="","",SUMIF('E-3 Off-Site Hedge Enhancement'!$AO$12:$AO$257,'Off-site gain site summary'!$O12,'E-3 Off-Site Hedge Enhancement'!$AK$12:$AK$257))</f>
        <v/>
      </c>
      <c r="U12" s="1000" t="str">
        <f>IF(O12="","",SUMIF('E-3 Off-Site Hedge Enhancement'!$AO$12:$AO$257,'Off-site gain site summary'!$O12,'E-3 Off-Site Hedge Enhancement'!$AJ$12:$AJ$257))</f>
        <v/>
      </c>
      <c r="V12" s="1000" t="str">
        <f>IF(O12="","",SUMIF('E-2 Off-Site Hedge Creation'!$AD$12:$AD$259,'Off-site gain site summary'!$O12,'E-2 Off-Site Hedge Creation'!$Z$12:$Z$259))</f>
        <v/>
      </c>
      <c r="W12" s="991" t="str">
        <f>IF(O12="","",SUMIF('E-2 Off-Site Hedge Creation'!$AD$12:$AD$259,'Off-site gain site summary'!$O12,'E-2 Off-Site Hedge Creation'!$Y$12:$Y$259))</f>
        <v/>
      </c>
      <c r="X12" s="991" t="str">
        <f t="shared" si="2"/>
        <v/>
      </c>
      <c r="Y12" s="991" t="str">
        <f>IF(ISBLANK(O12),"",IFERROR(_xlfn.XLOOKUP(O12,'E-2 Off-Site Hedge Creation'!$AD$12:$AD$259,'E-2 Off-Site Hedge Creation'!$N$12:$N$259),IFERROR(_xlfn.XLOOKUP(O12,'E-1 Off-Site Hedge Baseline'!$AB$10:$AB$257,'E-1 Off-Site Hedge Baseline'!$P$10:$P$257)," ")))</f>
        <v/>
      </c>
      <c r="Z12" s="986" t="str">
        <f t="shared" si="3"/>
        <v/>
      </c>
      <c r="AA12" s="992">
        <f>'F-1 Off-Site WaterC'' Baseline'!AH15</f>
        <v>0</v>
      </c>
      <c r="AB12" s="996"/>
      <c r="AC12" s="1000" t="str">
        <f>IF(AB12="","",SUMIF('F-1 Off-Site WaterC'' Baseline'!$AH$10:$AH$257,'Off-site gain site summary'!$AB12,'F-1 Off-Site WaterC'' Baseline'!$U$10:$U$257))</f>
        <v/>
      </c>
      <c r="AD12" s="1000" t="str">
        <f>IF(AB12="","",SUMIF('F-1 Off-Site WaterC'' Baseline'!$AH$10:$AH$257,'Off-site gain site summary'!$AB12,'F-1 Off-Site WaterC'' Baseline'!$R$10:$R$257))</f>
        <v/>
      </c>
      <c r="AE12" s="1000" t="str">
        <f>IF(AB12="","",SUMIF('F-1 Off-Site WaterC'' Baseline'!$AH$10:$AH$257,'Off-site gain site summary'!$AB12,'F-1 Off-Site WaterC'' Baseline'!$Z$10:$Z$257))</f>
        <v/>
      </c>
      <c r="AF12" s="1000" t="str">
        <f>IF(AB12="","",SUMIF('F-1 Off-Site WaterC'' Baseline'!$AH$10:$AH$257,'Off-site gain site summary'!$AB12,'F-1 Off-Site WaterC'' Baseline'!$BA$10:$BA$257))</f>
        <v/>
      </c>
      <c r="AG12" s="1000" t="str">
        <f>IF(AB12="","",SUMIF('F-3 Off-Site WaterC Enhancement'!$AT$12:$AT$257,'Off-site gain site summary'!$AB12,'F-3 Off-Site WaterC Enhancement'!$AP$12:$AP$257))</f>
        <v/>
      </c>
      <c r="AH12" s="1000" t="str">
        <f>IF(AB12="","",SUMIF('F-3 Off-Site WaterC Enhancement'!$AT$12:$AT$257,'Off-site gain site summary'!$AB12,'F-3 Off-Site WaterC Enhancement'!$AO$12:$AO$257))</f>
        <v/>
      </c>
      <c r="AI12" s="1000" t="str">
        <f>IF(AB12="","",SUMIF('F-2 Off-Site WaterC'' Creation'!$AG$12:$AG$259,'Off-site gain site summary'!$AB12,'F-2 Off-Site WaterC'' Creation'!$AC$12:$AC$259))</f>
        <v/>
      </c>
      <c r="AJ12" s="1000" t="str">
        <f>IF(AB12="","",SUMIF('F-2 Off-Site WaterC'' Creation'!$AG$12:$AG$259,'Off-site gain site summary'!$AB12,'F-2 Off-Site WaterC'' Creation'!$AB$12:$AB$259))</f>
        <v/>
      </c>
      <c r="AK12" s="1000" t="str">
        <f t="shared" si="4"/>
        <v/>
      </c>
      <c r="AL12" s="1000" t="str">
        <f>IF(ISBLANK(AB12),"",IFERROR(_xlfn.XLOOKUP(AB12,'F-2 Off-Site WaterC'' Creation'!$AG$12:$AG$258,'F-2 Off-Site WaterC'' Creation'!$AA$12:$AA$258),IFERROR(_xlfn.XLOOKUP(AB12,'F-1 Off-Site WaterC'' Baseline'!$AH$10:$AH$257,'F-1 Off-Site WaterC'' Baseline'!$T$10:$T$257)," ")))</f>
        <v/>
      </c>
      <c r="AM12" s="986" t="str">
        <f t="shared" si="5"/>
        <v/>
      </c>
      <c r="AN12" s="1469"/>
      <c r="AO12" s="1469"/>
    </row>
    <row r="13" spans="1:41" s="992" customFormat="1" ht="43.5" customHeight="1">
      <c r="A13" s="988">
        <f>'D-1 Off-Site Habitat Baseline'!AF17</f>
        <v>0</v>
      </c>
      <c r="B13" s="996"/>
      <c r="C13" s="997" t="str">
        <f>IF(B13="","",SUMIF('D-1 Off-Site Habitat Baseline'!AF17:AF264,B13,'D-1 Off-Site Habitat Baseline'!T17:T264))</f>
        <v/>
      </c>
      <c r="D13" s="990" t="str">
        <f>IF(B13="","",SUMIF('D-1 Off-Site Habitat Baseline'!$AF$11:$AF$258,B13,'D-1 Off-Site Habitat Baseline'!$Q$11:$Q$258))</f>
        <v/>
      </c>
      <c r="E13" s="998" t="str">
        <f>IF(B13="","",SUMIF('D-1 Off-Site Habitat Baseline'!$AF$11:$AF$258,'Off-site gain site summary'!$B13,'D-1 Off-Site Habitat Baseline'!$X$11:$X$258))</f>
        <v/>
      </c>
      <c r="F13" s="999" t="str">
        <f>IF(B13="","",SUMIF('D-1 Off-Site Habitat Baseline'!$AF$11:$AF$258,'Off-site gain site summary'!$B13,'D-1 Off-Site Habitat Baseline'!$AY$11:$AY$258))</f>
        <v/>
      </c>
      <c r="G13" s="998" t="str">
        <f>IF(B13="","",SUMIF('D-3 Off-Site Habitat Enhancment'!$AU$12:$AU$258,'Off-site gain site summary'!B13,'D-3 Off-Site Habitat Enhancment'!$AQ$12:$AQ$258))</f>
        <v/>
      </c>
      <c r="H13" s="999" t="str">
        <f>IF(B13="","",SUMIF('D-3 Off-Site Habitat Enhancment'!$AU$12:$AU$258,'Off-site gain site summary'!B13,'D-3 Off-Site Habitat Enhancment'!$AP$12:$AP$258))</f>
        <v/>
      </c>
      <c r="I13" s="998" t="str">
        <f>IF(B13="","",SUMIF('D-2 Off-Site Habitat Creation'!$AF$11:$AF$256,'Off-site gain site summary'!B13,'D-2 Off-Site Habitat Creation'!$AB$11:$AB$256))</f>
        <v/>
      </c>
      <c r="J13" s="999" t="str">
        <f>IF(B13="","",SUMIF('D-2 Off-Site Habitat Creation'!$AF$11:$AF$256,'Off-site gain site summary'!B13,'D-2 Off-Site Habitat Creation'!$AA$11:$AA$256))</f>
        <v/>
      </c>
      <c r="K13" s="1000" t="str">
        <f t="shared" si="0"/>
        <v/>
      </c>
      <c r="L13" s="997" t="str">
        <f>IF(ISBLANK(B13),"",IFERROR(_xlfn.XLOOKUP(B13,'D-2 Off-Site Habitat Creation'!$AF$11:$AF$256,'D-2 Off-Site Habitat Creation'!$Z$11:$Z$256),IFERROR(_xlfn.XLOOKUP(B13,'D-1 Off-Site Habitat Baseline'!AF$11:AF$258,'D-1 Off-Site Habitat Baseline'!S$11:S$258)," ")))</f>
        <v/>
      </c>
      <c r="M13" s="983" t="str">
        <f t="shared" si="1"/>
        <v/>
      </c>
      <c r="N13" s="988">
        <f>'E-1 Off-Site Hedge Baseline'!AB16</f>
        <v>0</v>
      </c>
      <c r="O13" s="996"/>
      <c r="P13" s="1000" t="str">
        <f>IF(O13="","",SUMIF('E-1 Off-Site Hedge Baseline'!AB$10:AB$257,'Off-site gain site summary'!O13,'E-1 Off-Site Hedge Baseline'!Q$10:Q$257))</f>
        <v/>
      </c>
      <c r="Q13" s="1000" t="str">
        <f>IF(O13="","",SUMIF('E-1 Off-Site Hedge Baseline'!AB$10:AB$257,O13,'E-1 Off-Site Hedge Baseline'!N$10:N$257))</f>
        <v/>
      </c>
      <c r="R13" s="1000" t="str">
        <f>IF(O13="","",SUMIF('E-1 Off-Site Hedge Baseline'!$AB$10:$AB$257,'Off-site gain site summary'!$O13,'E-1 Off-Site Hedge Baseline'!$U$10:$U$257))</f>
        <v/>
      </c>
      <c r="S13" s="1000" t="str">
        <f>IF(O13="","",SUMIF('E-1 Off-Site Hedge Baseline'!$AB$10:$AB$257,'Off-site gain site summary'!$O13,'E-1 Off-Site Hedge Baseline'!$AY$10:$AY$257))</f>
        <v/>
      </c>
      <c r="T13" s="1000" t="str">
        <f>IF(O13="","",SUMIF('E-3 Off-Site Hedge Enhancement'!$AO$12:$AO$257,'Off-site gain site summary'!$O13,'E-3 Off-Site Hedge Enhancement'!$AK$12:$AK$257))</f>
        <v/>
      </c>
      <c r="U13" s="1000" t="str">
        <f>IF(O13="","",SUMIF('E-3 Off-Site Hedge Enhancement'!$AO$12:$AO$257,'Off-site gain site summary'!$O13,'E-3 Off-Site Hedge Enhancement'!$AJ$12:$AJ$257))</f>
        <v/>
      </c>
      <c r="V13" s="1000" t="str">
        <f>IF(O13="","",SUMIF('E-2 Off-Site Hedge Creation'!$AD$12:$AD$259,'Off-site gain site summary'!$O13,'E-2 Off-Site Hedge Creation'!$Z$12:$Z$259))</f>
        <v/>
      </c>
      <c r="W13" s="991" t="str">
        <f>IF(O13="","",SUMIF('E-2 Off-Site Hedge Creation'!$AD$12:$AD$259,'Off-site gain site summary'!$O13,'E-2 Off-Site Hedge Creation'!$Y$12:$Y$259))</f>
        <v/>
      </c>
      <c r="X13" s="991" t="str">
        <f t="shared" si="2"/>
        <v/>
      </c>
      <c r="Y13" s="991" t="str">
        <f>IF(ISBLANK(O13),"",IFERROR(_xlfn.XLOOKUP(O13,'E-2 Off-Site Hedge Creation'!$AD$12:$AD$259,'E-2 Off-Site Hedge Creation'!$N$12:$N$259),IFERROR(_xlfn.XLOOKUP(O13,'E-1 Off-Site Hedge Baseline'!$AB$10:$AB$257,'E-1 Off-Site Hedge Baseline'!$P$10:$P$257)," ")))</f>
        <v/>
      </c>
      <c r="Z13" s="986" t="str">
        <f t="shared" si="3"/>
        <v/>
      </c>
      <c r="AA13" s="992">
        <f>'F-1 Off-Site WaterC'' Baseline'!AH16</f>
        <v>0</v>
      </c>
      <c r="AB13" s="996"/>
      <c r="AC13" s="1000" t="str">
        <f>IF(AB13="","",SUMIF('F-1 Off-Site WaterC'' Baseline'!$AH$10:$AH$257,'Off-site gain site summary'!$AB13,'F-1 Off-Site WaterC'' Baseline'!$U$10:$U$257))</f>
        <v/>
      </c>
      <c r="AD13" s="1000" t="str">
        <f>IF(AB13="","",SUMIF('F-1 Off-Site WaterC'' Baseline'!$AH$10:$AH$257,'Off-site gain site summary'!$AB13,'F-1 Off-Site WaterC'' Baseline'!$R$10:$R$257))</f>
        <v/>
      </c>
      <c r="AE13" s="1000" t="str">
        <f>IF(AB13="","",SUMIF('F-1 Off-Site WaterC'' Baseline'!$AH$10:$AH$257,'Off-site gain site summary'!$AB13,'F-1 Off-Site WaterC'' Baseline'!$Z$10:$Z$257))</f>
        <v/>
      </c>
      <c r="AF13" s="1000" t="str">
        <f>IF(AB13="","",SUMIF('F-1 Off-Site WaterC'' Baseline'!$AH$10:$AH$257,'Off-site gain site summary'!$AB13,'F-1 Off-Site WaterC'' Baseline'!$BA$10:$BA$257))</f>
        <v/>
      </c>
      <c r="AG13" s="1000" t="str">
        <f>IF(AB13="","",SUMIF('F-3 Off-Site WaterC Enhancement'!$AT$12:$AT$257,'Off-site gain site summary'!$AB13,'F-3 Off-Site WaterC Enhancement'!$AP$12:$AP$257))</f>
        <v/>
      </c>
      <c r="AH13" s="1000" t="str">
        <f>IF(AB13="","",SUMIF('F-3 Off-Site WaterC Enhancement'!$AT$12:$AT$257,'Off-site gain site summary'!$AB13,'F-3 Off-Site WaterC Enhancement'!$AO$12:$AO$257))</f>
        <v/>
      </c>
      <c r="AI13" s="1000" t="str">
        <f>IF(AB13="","",SUMIF('F-2 Off-Site WaterC'' Creation'!$AG$12:$AG$259,'Off-site gain site summary'!$AB13,'F-2 Off-Site WaterC'' Creation'!$AC$12:$AC$259))</f>
        <v/>
      </c>
      <c r="AJ13" s="1000" t="str">
        <f>IF(AB13="","",SUMIF('F-2 Off-Site WaterC'' Creation'!$AG$12:$AG$259,'Off-site gain site summary'!$AB13,'F-2 Off-Site WaterC'' Creation'!$AB$12:$AB$259))</f>
        <v/>
      </c>
      <c r="AK13" s="1000" t="str">
        <f t="shared" si="4"/>
        <v/>
      </c>
      <c r="AL13" s="1000" t="str">
        <f>IF(ISBLANK(AB13),"",IFERROR(_xlfn.XLOOKUP(AB13,'F-2 Off-Site WaterC'' Creation'!$AG$12:$AG$258,'F-2 Off-Site WaterC'' Creation'!$AA$12:$AA$258),IFERROR(_xlfn.XLOOKUP(AB13,'F-1 Off-Site WaterC'' Baseline'!$AH$10:$AH$257,'F-1 Off-Site WaterC'' Baseline'!$T$10:$T$257)," ")))</f>
        <v/>
      </c>
      <c r="AM13" s="986" t="str">
        <f t="shared" si="5"/>
        <v/>
      </c>
      <c r="AN13" s="1469"/>
      <c r="AO13" s="1469"/>
    </row>
    <row r="14" spans="1:41" s="992" customFormat="1" ht="43.5" customHeight="1">
      <c r="A14" s="988">
        <f>'D-1 Off-Site Habitat Baseline'!AF18</f>
        <v>0</v>
      </c>
      <c r="B14" s="996"/>
      <c r="C14" s="997" t="str">
        <f>IF(B14="","",SUMIF('D-1 Off-Site Habitat Baseline'!AF18:AF265,B14,'D-1 Off-Site Habitat Baseline'!T18:T265))</f>
        <v/>
      </c>
      <c r="D14" s="990" t="str">
        <f>IF(B14="","",SUMIF('D-1 Off-Site Habitat Baseline'!$AF$11:$AF$258,B14,'D-1 Off-Site Habitat Baseline'!$Q$11:$Q$258))</f>
        <v/>
      </c>
      <c r="E14" s="998" t="str">
        <f>IF(B14="","",SUMIF('D-1 Off-Site Habitat Baseline'!$AF$11:$AF$258,'Off-site gain site summary'!$B14,'D-1 Off-Site Habitat Baseline'!$X$11:$X$258))</f>
        <v/>
      </c>
      <c r="F14" s="999" t="str">
        <f>IF(B14="","",SUMIF('D-1 Off-Site Habitat Baseline'!$AF$11:$AF$258,'Off-site gain site summary'!$B14,'D-1 Off-Site Habitat Baseline'!$AY$11:$AY$258))</f>
        <v/>
      </c>
      <c r="G14" s="998" t="str">
        <f>IF(B14="","",SUMIF('D-3 Off-Site Habitat Enhancment'!$AU$12:$AU$258,'Off-site gain site summary'!B14,'D-3 Off-Site Habitat Enhancment'!$AQ$12:$AQ$258))</f>
        <v/>
      </c>
      <c r="H14" s="999" t="str">
        <f>IF(B14="","",SUMIF('D-3 Off-Site Habitat Enhancment'!$AU$12:$AU$258,'Off-site gain site summary'!B14,'D-3 Off-Site Habitat Enhancment'!$AP$12:$AP$258))</f>
        <v/>
      </c>
      <c r="I14" s="998" t="str">
        <f>IF(B14="","",SUMIF('D-2 Off-Site Habitat Creation'!$AF$11:$AF$256,'Off-site gain site summary'!B14,'D-2 Off-Site Habitat Creation'!$AB$11:$AB$256))</f>
        <v/>
      </c>
      <c r="J14" s="999" t="str">
        <f>IF(B14="","",SUMIF('D-2 Off-Site Habitat Creation'!$AF$11:$AF$256,'Off-site gain site summary'!B14,'D-2 Off-Site Habitat Creation'!$AA$11:$AA$256))</f>
        <v/>
      </c>
      <c r="K14" s="1000" t="str">
        <f t="shared" si="0"/>
        <v/>
      </c>
      <c r="L14" s="997" t="str">
        <f>IF(ISBLANK(B14),"",IFERROR(_xlfn.XLOOKUP(B14,'D-2 Off-Site Habitat Creation'!$AF$11:$AF$256,'D-2 Off-Site Habitat Creation'!$Z$11:$Z$256),IFERROR(_xlfn.XLOOKUP(B14,'D-1 Off-Site Habitat Baseline'!AF$11:AF$258,'D-1 Off-Site Habitat Baseline'!S$11:S$258)," ")))</f>
        <v/>
      </c>
      <c r="M14" s="983" t="str">
        <f t="shared" si="1"/>
        <v/>
      </c>
      <c r="N14" s="988">
        <f>'E-1 Off-Site Hedge Baseline'!AB17</f>
        <v>0</v>
      </c>
      <c r="O14" s="996"/>
      <c r="P14" s="1000" t="str">
        <f>IF(O14="","",SUMIF('E-1 Off-Site Hedge Baseline'!AB$10:AB$257,'Off-site gain site summary'!O14,'E-1 Off-Site Hedge Baseline'!Q$10:Q$257))</f>
        <v/>
      </c>
      <c r="Q14" s="1000" t="str">
        <f>IF(O14="","",SUMIF('E-1 Off-Site Hedge Baseline'!AB$10:AB$257,O14,'E-1 Off-Site Hedge Baseline'!N$10:N$257))</f>
        <v/>
      </c>
      <c r="R14" s="1000" t="str">
        <f>IF(O14="","",SUMIF('E-1 Off-Site Hedge Baseline'!$AB$10:$AB$257,'Off-site gain site summary'!$O14,'E-1 Off-Site Hedge Baseline'!$U$10:$U$257))</f>
        <v/>
      </c>
      <c r="S14" s="1000" t="str">
        <f>IF(O14="","",SUMIF('E-1 Off-Site Hedge Baseline'!$AB$10:$AB$257,'Off-site gain site summary'!$O14,'E-1 Off-Site Hedge Baseline'!$AY$10:$AY$257))</f>
        <v/>
      </c>
      <c r="T14" s="1000" t="str">
        <f>IF(O14="","",SUMIF('E-3 Off-Site Hedge Enhancement'!$AO$12:$AO$257,'Off-site gain site summary'!$O14,'E-3 Off-Site Hedge Enhancement'!$AK$12:$AK$257))</f>
        <v/>
      </c>
      <c r="U14" s="1000" t="str">
        <f>IF(O14="","",SUMIF('E-3 Off-Site Hedge Enhancement'!$AO$12:$AO$257,'Off-site gain site summary'!$O14,'E-3 Off-Site Hedge Enhancement'!$AJ$12:$AJ$257))</f>
        <v/>
      </c>
      <c r="V14" s="1000" t="str">
        <f>IF(O14="","",SUMIF('E-2 Off-Site Hedge Creation'!$AD$12:$AD$259,'Off-site gain site summary'!$O14,'E-2 Off-Site Hedge Creation'!$Z$12:$Z$259))</f>
        <v/>
      </c>
      <c r="W14" s="991" t="str">
        <f>IF(O14="","",SUMIF('E-2 Off-Site Hedge Creation'!$AD$12:$AD$259,'Off-site gain site summary'!$O14,'E-2 Off-Site Hedge Creation'!$Y$12:$Y$259))</f>
        <v/>
      </c>
      <c r="X14" s="991" t="str">
        <f t="shared" si="2"/>
        <v/>
      </c>
      <c r="Y14" s="991" t="str">
        <f>IF(ISBLANK(O14),"",IFERROR(_xlfn.XLOOKUP(O14,'E-2 Off-Site Hedge Creation'!$AD$12:$AD$259,'E-2 Off-Site Hedge Creation'!$N$12:$N$259),IFERROR(_xlfn.XLOOKUP(O14,'E-1 Off-Site Hedge Baseline'!$AB$10:$AB$257,'E-1 Off-Site Hedge Baseline'!$P$10:$P$257)," ")))</f>
        <v/>
      </c>
      <c r="Z14" s="986" t="str">
        <f t="shared" si="3"/>
        <v/>
      </c>
      <c r="AA14" s="992">
        <f>'F-1 Off-Site WaterC'' Baseline'!AH17</f>
        <v>0</v>
      </c>
      <c r="AB14" s="996"/>
      <c r="AC14" s="1000" t="str">
        <f>IF(AB14="","",SUMIF('F-1 Off-Site WaterC'' Baseline'!$AH$10:$AH$257,'Off-site gain site summary'!$AB14,'F-1 Off-Site WaterC'' Baseline'!$U$10:$U$257))</f>
        <v/>
      </c>
      <c r="AD14" s="1000" t="str">
        <f>IF(AB14="","",SUMIF('F-1 Off-Site WaterC'' Baseline'!$AH$10:$AH$257,'Off-site gain site summary'!$AB14,'F-1 Off-Site WaterC'' Baseline'!$R$10:$R$257))</f>
        <v/>
      </c>
      <c r="AE14" s="1000" t="str">
        <f>IF(AB14="","",SUMIF('F-1 Off-Site WaterC'' Baseline'!$AH$10:$AH$257,'Off-site gain site summary'!$AB14,'F-1 Off-Site WaterC'' Baseline'!$Z$10:$Z$257))</f>
        <v/>
      </c>
      <c r="AF14" s="1000" t="str">
        <f>IF(AB14="","",SUMIF('F-1 Off-Site WaterC'' Baseline'!$AH$10:$AH$257,'Off-site gain site summary'!$AB14,'F-1 Off-Site WaterC'' Baseline'!$BA$10:$BA$257))</f>
        <v/>
      </c>
      <c r="AG14" s="1000" t="str">
        <f>IF(AB14="","",SUMIF('F-3 Off-Site WaterC Enhancement'!$AT$12:$AT$257,'Off-site gain site summary'!$AB14,'F-3 Off-Site WaterC Enhancement'!$AP$12:$AP$257))</f>
        <v/>
      </c>
      <c r="AH14" s="1000" t="str">
        <f>IF(AB14="","",SUMIF('F-3 Off-Site WaterC Enhancement'!$AT$12:$AT$257,'Off-site gain site summary'!$AB14,'F-3 Off-Site WaterC Enhancement'!$AO$12:$AO$257))</f>
        <v/>
      </c>
      <c r="AI14" s="1000" t="str">
        <f>IF(AB14="","",SUMIF('F-2 Off-Site WaterC'' Creation'!$AG$12:$AG$259,'Off-site gain site summary'!$AB14,'F-2 Off-Site WaterC'' Creation'!$AC$12:$AC$259))</f>
        <v/>
      </c>
      <c r="AJ14" s="1000" t="str">
        <f>IF(AB14="","",SUMIF('F-2 Off-Site WaterC'' Creation'!$AG$12:$AG$259,'Off-site gain site summary'!$AB14,'F-2 Off-Site WaterC'' Creation'!$AB$12:$AB$259))</f>
        <v/>
      </c>
      <c r="AK14" s="1000" t="str">
        <f t="shared" si="4"/>
        <v/>
      </c>
      <c r="AL14" s="1000" t="str">
        <f>IF(ISBLANK(AB14),"",IFERROR(_xlfn.XLOOKUP(AB14,'F-2 Off-Site WaterC'' Creation'!$AG$12:$AG$258,'F-2 Off-Site WaterC'' Creation'!$AA$12:$AA$258),IFERROR(_xlfn.XLOOKUP(AB14,'F-1 Off-Site WaterC'' Baseline'!$AH$10:$AH$257,'F-1 Off-Site WaterC'' Baseline'!$T$10:$T$257)," ")))</f>
        <v/>
      </c>
      <c r="AM14" s="986" t="str">
        <f t="shared" si="5"/>
        <v/>
      </c>
      <c r="AN14" s="1469"/>
      <c r="AO14" s="1469"/>
    </row>
    <row r="15" spans="1:41" s="992" customFormat="1" ht="43.5" customHeight="1">
      <c r="A15" s="988">
        <f>'D-1 Off-Site Habitat Baseline'!AF19</f>
        <v>0</v>
      </c>
      <c r="B15" s="996"/>
      <c r="C15" s="997" t="str">
        <f>IF(B15="","",SUMIF('D-1 Off-Site Habitat Baseline'!AF19:AF266,B15,'D-1 Off-Site Habitat Baseline'!T19:T266))</f>
        <v/>
      </c>
      <c r="D15" s="990" t="str">
        <f>IF(B15="","",SUMIF('D-1 Off-Site Habitat Baseline'!$AF$11:$AF$258,B15,'D-1 Off-Site Habitat Baseline'!$Q$11:$Q$258))</f>
        <v/>
      </c>
      <c r="E15" s="998" t="str">
        <f>IF(B15="","",SUMIF('D-1 Off-Site Habitat Baseline'!$AF$11:$AF$258,'Off-site gain site summary'!$B15,'D-1 Off-Site Habitat Baseline'!$X$11:$X$258))</f>
        <v/>
      </c>
      <c r="F15" s="999" t="str">
        <f>IF(B15="","",SUMIF('D-1 Off-Site Habitat Baseline'!$AF$11:$AF$258,'Off-site gain site summary'!$B15,'D-1 Off-Site Habitat Baseline'!$AY$11:$AY$258))</f>
        <v/>
      </c>
      <c r="G15" s="998" t="str">
        <f>IF(B15="","",SUMIF('D-3 Off-Site Habitat Enhancment'!$AU$12:$AU$258,'Off-site gain site summary'!B15,'D-3 Off-Site Habitat Enhancment'!$AQ$12:$AQ$258))</f>
        <v/>
      </c>
      <c r="H15" s="999" t="str">
        <f>IF(B15="","",SUMIF('D-3 Off-Site Habitat Enhancment'!$AU$12:$AU$258,'Off-site gain site summary'!B15,'D-3 Off-Site Habitat Enhancment'!$AP$12:$AP$258))</f>
        <v/>
      </c>
      <c r="I15" s="998" t="str">
        <f>IF(B15="","",SUMIF('D-2 Off-Site Habitat Creation'!$AF$11:$AF$256,'Off-site gain site summary'!B15,'D-2 Off-Site Habitat Creation'!$AB$11:$AB$256))</f>
        <v/>
      </c>
      <c r="J15" s="999" t="str">
        <f>IF(B15="","",SUMIF('D-2 Off-Site Habitat Creation'!$AF$11:$AF$256,'Off-site gain site summary'!B15,'D-2 Off-Site Habitat Creation'!$AA$11:$AA$256))</f>
        <v/>
      </c>
      <c r="K15" s="1000" t="str">
        <f t="shared" si="0"/>
        <v/>
      </c>
      <c r="L15" s="997" t="str">
        <f>IF(ISBLANK(B15),"",IFERROR(_xlfn.XLOOKUP(B15,'D-2 Off-Site Habitat Creation'!$AF$11:$AF$256,'D-2 Off-Site Habitat Creation'!$Z$11:$Z$256),IFERROR(_xlfn.XLOOKUP(B15,'D-1 Off-Site Habitat Baseline'!AF$11:AF$258,'D-1 Off-Site Habitat Baseline'!S$11:S$258)," ")))</f>
        <v/>
      </c>
      <c r="M15" s="983" t="str">
        <f t="shared" si="1"/>
        <v/>
      </c>
      <c r="N15" s="988">
        <f>'E-1 Off-Site Hedge Baseline'!AB18</f>
        <v>0</v>
      </c>
      <c r="O15" s="996"/>
      <c r="P15" s="1000" t="str">
        <f>IF(O15="","",SUMIF('E-1 Off-Site Hedge Baseline'!AB$10:AB$257,'Off-site gain site summary'!O15,'E-1 Off-Site Hedge Baseline'!Q$10:Q$257))</f>
        <v/>
      </c>
      <c r="Q15" s="1000" t="str">
        <f>IF(O15="","",SUMIF('E-1 Off-Site Hedge Baseline'!AB$10:AB$257,O15,'E-1 Off-Site Hedge Baseline'!N$10:N$257))</f>
        <v/>
      </c>
      <c r="R15" s="1000" t="str">
        <f>IF(O15="","",SUMIF('E-1 Off-Site Hedge Baseline'!$AB$10:$AB$257,'Off-site gain site summary'!$O15,'E-1 Off-Site Hedge Baseline'!$U$10:$U$257))</f>
        <v/>
      </c>
      <c r="S15" s="1000" t="str">
        <f>IF(O15="","",SUMIF('E-1 Off-Site Hedge Baseline'!$AB$10:$AB$257,'Off-site gain site summary'!$O15,'E-1 Off-Site Hedge Baseline'!$AY$10:$AY$257))</f>
        <v/>
      </c>
      <c r="T15" s="1000" t="str">
        <f>IF(O15="","",SUMIF('E-3 Off-Site Hedge Enhancement'!$AO$12:$AO$257,'Off-site gain site summary'!$O15,'E-3 Off-Site Hedge Enhancement'!$AK$12:$AK$257))</f>
        <v/>
      </c>
      <c r="U15" s="1000" t="str">
        <f>IF(O15="","",SUMIF('E-3 Off-Site Hedge Enhancement'!$AO$12:$AO$257,'Off-site gain site summary'!$O15,'E-3 Off-Site Hedge Enhancement'!$AJ$12:$AJ$257))</f>
        <v/>
      </c>
      <c r="V15" s="1000" t="str">
        <f>IF(O15="","",SUMIF('E-2 Off-Site Hedge Creation'!$AD$12:$AD$259,'Off-site gain site summary'!$O15,'E-2 Off-Site Hedge Creation'!$Z$12:$Z$259))</f>
        <v/>
      </c>
      <c r="W15" s="991" t="str">
        <f>IF(O15="","",SUMIF('E-2 Off-Site Hedge Creation'!$AD$12:$AD$259,'Off-site gain site summary'!$O15,'E-2 Off-Site Hedge Creation'!$Y$12:$Y$259))</f>
        <v/>
      </c>
      <c r="X15" s="991" t="str">
        <f t="shared" si="2"/>
        <v/>
      </c>
      <c r="Y15" s="991" t="str">
        <f>IF(ISBLANK(O15),"",IFERROR(_xlfn.XLOOKUP(O15,'E-2 Off-Site Hedge Creation'!$AD$12:$AD$259,'E-2 Off-Site Hedge Creation'!$N$12:$N$259),IFERROR(_xlfn.XLOOKUP(O15,'E-1 Off-Site Hedge Baseline'!$AB$10:$AB$257,'E-1 Off-Site Hedge Baseline'!$P$10:$P$257)," ")))</f>
        <v/>
      </c>
      <c r="Z15" s="986" t="str">
        <f t="shared" si="3"/>
        <v/>
      </c>
      <c r="AA15" s="992">
        <f>'F-1 Off-Site WaterC'' Baseline'!AH18</f>
        <v>0</v>
      </c>
      <c r="AB15" s="996"/>
      <c r="AC15" s="1000" t="str">
        <f>IF(AB15="","",SUMIF('F-1 Off-Site WaterC'' Baseline'!$AH$10:$AH$257,'Off-site gain site summary'!$AB15,'F-1 Off-Site WaterC'' Baseline'!$U$10:$U$257))</f>
        <v/>
      </c>
      <c r="AD15" s="1000" t="str">
        <f>IF(AB15="","",SUMIF('F-1 Off-Site WaterC'' Baseline'!$AH$10:$AH$257,'Off-site gain site summary'!$AB15,'F-1 Off-Site WaterC'' Baseline'!$R$10:$R$257))</f>
        <v/>
      </c>
      <c r="AE15" s="1000" t="str">
        <f>IF(AB15="","",SUMIF('F-1 Off-Site WaterC'' Baseline'!$AH$10:$AH$257,'Off-site gain site summary'!$AB15,'F-1 Off-Site WaterC'' Baseline'!$Z$10:$Z$257))</f>
        <v/>
      </c>
      <c r="AF15" s="1000" t="str">
        <f>IF(AB15="","",SUMIF('F-1 Off-Site WaterC'' Baseline'!$AH$10:$AH$257,'Off-site gain site summary'!$AB15,'F-1 Off-Site WaterC'' Baseline'!$BA$10:$BA$257))</f>
        <v/>
      </c>
      <c r="AG15" s="1000" t="str">
        <f>IF(AB15="","",SUMIF('F-3 Off-Site WaterC Enhancement'!$AT$12:$AT$257,'Off-site gain site summary'!$AB15,'F-3 Off-Site WaterC Enhancement'!$AP$12:$AP$257))</f>
        <v/>
      </c>
      <c r="AH15" s="1000" t="str">
        <f>IF(AB15="","",SUMIF('F-3 Off-Site WaterC Enhancement'!$AT$12:$AT$257,'Off-site gain site summary'!$AB15,'F-3 Off-Site WaterC Enhancement'!$AO$12:$AO$257))</f>
        <v/>
      </c>
      <c r="AI15" s="1000" t="str">
        <f>IF(AB15="","",SUMIF('F-2 Off-Site WaterC'' Creation'!$AG$12:$AG$259,'Off-site gain site summary'!$AB15,'F-2 Off-Site WaterC'' Creation'!$AC$12:$AC$259))</f>
        <v/>
      </c>
      <c r="AJ15" s="1000" t="str">
        <f>IF(AB15="","",SUMIF('F-2 Off-Site WaterC'' Creation'!$AG$12:$AG$259,'Off-site gain site summary'!$AB15,'F-2 Off-Site WaterC'' Creation'!$AB$12:$AB$259))</f>
        <v/>
      </c>
      <c r="AK15" s="1000" t="str">
        <f t="shared" si="4"/>
        <v/>
      </c>
      <c r="AL15" s="1000" t="str">
        <f>IF(ISBLANK(AB15),"",IFERROR(_xlfn.XLOOKUP(AB15,'F-2 Off-Site WaterC'' Creation'!$AG$12:$AG$258,'F-2 Off-Site WaterC'' Creation'!$AA$12:$AA$258),IFERROR(_xlfn.XLOOKUP(AB15,'F-1 Off-Site WaterC'' Baseline'!$AH$10:$AH$257,'F-1 Off-Site WaterC'' Baseline'!$T$10:$T$257)," ")))</f>
        <v/>
      </c>
      <c r="AM15" s="986" t="str">
        <f t="shared" si="5"/>
        <v/>
      </c>
      <c r="AN15" s="1469"/>
      <c r="AO15" s="1469"/>
    </row>
    <row r="16" spans="1:41" s="992" customFormat="1" ht="43.5" customHeight="1">
      <c r="A16" s="988">
        <f>'D-1 Off-Site Habitat Baseline'!AF20</f>
        <v>0</v>
      </c>
      <c r="B16" s="996"/>
      <c r="C16" s="997" t="str">
        <f>IF(B16="","",SUMIF('D-1 Off-Site Habitat Baseline'!AF20:AF267,B16,'D-1 Off-Site Habitat Baseline'!T20:T267))</f>
        <v/>
      </c>
      <c r="D16" s="990" t="str">
        <f>IF(B16="","",SUMIF('D-1 Off-Site Habitat Baseline'!$AF$11:$AF$258,B16,'D-1 Off-Site Habitat Baseline'!$Q$11:$Q$258))</f>
        <v/>
      </c>
      <c r="E16" s="998" t="str">
        <f>IF(B16="","",SUMIF('D-1 Off-Site Habitat Baseline'!$AF$11:$AF$258,'Off-site gain site summary'!$B16,'D-1 Off-Site Habitat Baseline'!$X$11:$X$258))</f>
        <v/>
      </c>
      <c r="F16" s="999" t="str">
        <f>IF(B16="","",SUMIF('D-1 Off-Site Habitat Baseline'!$AF$11:$AF$258,'Off-site gain site summary'!$B16,'D-1 Off-Site Habitat Baseline'!$AY$11:$AY$258))</f>
        <v/>
      </c>
      <c r="G16" s="998" t="str">
        <f>IF(B16="","",SUMIF('D-3 Off-Site Habitat Enhancment'!$AU$12:$AU$258,'Off-site gain site summary'!B16,'D-3 Off-Site Habitat Enhancment'!$AQ$12:$AQ$258))</f>
        <v/>
      </c>
      <c r="H16" s="999" t="str">
        <f>IF(B16="","",SUMIF('D-3 Off-Site Habitat Enhancment'!$AU$12:$AU$258,'Off-site gain site summary'!B16,'D-3 Off-Site Habitat Enhancment'!$AP$12:$AP$258))</f>
        <v/>
      </c>
      <c r="I16" s="998" t="str">
        <f>IF(B16="","",SUMIF('D-2 Off-Site Habitat Creation'!$AF$11:$AF$256,'Off-site gain site summary'!B16,'D-2 Off-Site Habitat Creation'!$AB$11:$AB$256))</f>
        <v/>
      </c>
      <c r="J16" s="999" t="str">
        <f>IF(B16="","",SUMIF('D-2 Off-Site Habitat Creation'!$AF$11:$AF$256,'Off-site gain site summary'!B16,'D-2 Off-Site Habitat Creation'!$AA$11:$AA$256))</f>
        <v/>
      </c>
      <c r="K16" s="1000" t="str">
        <f t="shared" si="0"/>
        <v/>
      </c>
      <c r="L16" s="997" t="str">
        <f>IF(ISBLANK(B16),"",IFERROR(_xlfn.XLOOKUP(B16,'D-2 Off-Site Habitat Creation'!$AF$11:$AF$256,'D-2 Off-Site Habitat Creation'!$Z$11:$Z$256),IFERROR(_xlfn.XLOOKUP(B16,'D-1 Off-Site Habitat Baseline'!AF$11:AF$258,'D-1 Off-Site Habitat Baseline'!S$11:S$258)," ")))</f>
        <v/>
      </c>
      <c r="M16" s="983" t="str">
        <f t="shared" si="1"/>
        <v/>
      </c>
      <c r="N16" s="988">
        <f>'E-1 Off-Site Hedge Baseline'!AB19</f>
        <v>0</v>
      </c>
      <c r="O16" s="996"/>
      <c r="P16" s="1000" t="str">
        <f>IF(O16="","",SUMIF('E-1 Off-Site Hedge Baseline'!AB$10:AB$257,'Off-site gain site summary'!O16,'E-1 Off-Site Hedge Baseline'!Q$10:Q$257))</f>
        <v/>
      </c>
      <c r="Q16" s="1000" t="str">
        <f>IF(O16="","",SUMIF('E-1 Off-Site Hedge Baseline'!AB$10:AB$257,O16,'E-1 Off-Site Hedge Baseline'!N$10:N$257))</f>
        <v/>
      </c>
      <c r="R16" s="1000" t="str">
        <f>IF(O16="","",SUMIF('E-1 Off-Site Hedge Baseline'!$AB$10:$AB$257,'Off-site gain site summary'!$O16,'E-1 Off-Site Hedge Baseline'!$U$10:$U$257))</f>
        <v/>
      </c>
      <c r="S16" s="1000" t="str">
        <f>IF(O16="","",SUMIF('E-1 Off-Site Hedge Baseline'!$AB$10:$AB$257,'Off-site gain site summary'!$O16,'E-1 Off-Site Hedge Baseline'!$AY$10:$AY$257))</f>
        <v/>
      </c>
      <c r="T16" s="1000" t="str">
        <f>IF(O16="","",SUMIF('E-3 Off-Site Hedge Enhancement'!$AO$12:$AO$257,'Off-site gain site summary'!$O16,'E-3 Off-Site Hedge Enhancement'!$AK$12:$AK$257))</f>
        <v/>
      </c>
      <c r="U16" s="1000" t="str">
        <f>IF(O16="","",SUMIF('E-3 Off-Site Hedge Enhancement'!$AO$12:$AO$257,'Off-site gain site summary'!$O16,'E-3 Off-Site Hedge Enhancement'!$AJ$12:$AJ$257))</f>
        <v/>
      </c>
      <c r="V16" s="1000" t="str">
        <f>IF(O16="","",SUMIF('E-2 Off-Site Hedge Creation'!$AD$12:$AD$259,'Off-site gain site summary'!$O16,'E-2 Off-Site Hedge Creation'!$Z$12:$Z$259))</f>
        <v/>
      </c>
      <c r="W16" s="991" t="str">
        <f>IF(O16="","",SUMIF('E-2 Off-Site Hedge Creation'!$AD$12:$AD$259,'Off-site gain site summary'!$O16,'E-2 Off-Site Hedge Creation'!$Y$12:$Y$259))</f>
        <v/>
      </c>
      <c r="X16" s="991" t="str">
        <f t="shared" si="2"/>
        <v/>
      </c>
      <c r="Y16" s="991" t="str">
        <f>IF(ISBLANK(O16),"",IFERROR(_xlfn.XLOOKUP(O16,'E-2 Off-Site Hedge Creation'!$AD$12:$AD$259,'E-2 Off-Site Hedge Creation'!$N$12:$N$259),IFERROR(_xlfn.XLOOKUP(O16,'E-1 Off-Site Hedge Baseline'!$AB$10:$AB$257,'E-1 Off-Site Hedge Baseline'!$P$10:$P$257)," ")))</f>
        <v/>
      </c>
      <c r="Z16" s="986" t="str">
        <f t="shared" si="3"/>
        <v/>
      </c>
      <c r="AA16" s="992">
        <f>'F-1 Off-Site WaterC'' Baseline'!AH19</f>
        <v>0</v>
      </c>
      <c r="AB16" s="996"/>
      <c r="AC16" s="1000" t="str">
        <f>IF(AB16="","",SUMIF('F-1 Off-Site WaterC'' Baseline'!$AH$10:$AH$257,'Off-site gain site summary'!$AB16,'F-1 Off-Site WaterC'' Baseline'!$U$10:$U$257))</f>
        <v/>
      </c>
      <c r="AD16" s="1000" t="str">
        <f>IF(AB16="","",SUMIF('F-1 Off-Site WaterC'' Baseline'!$AH$10:$AH$257,'Off-site gain site summary'!$AB16,'F-1 Off-Site WaterC'' Baseline'!$R$10:$R$257))</f>
        <v/>
      </c>
      <c r="AE16" s="1000" t="str">
        <f>IF(AB16="","",SUMIF('F-1 Off-Site WaterC'' Baseline'!$AH$10:$AH$257,'Off-site gain site summary'!$AB16,'F-1 Off-Site WaterC'' Baseline'!$Z$10:$Z$257))</f>
        <v/>
      </c>
      <c r="AF16" s="1000" t="str">
        <f>IF(AB16="","",SUMIF('F-1 Off-Site WaterC'' Baseline'!$AH$10:$AH$257,'Off-site gain site summary'!$AB16,'F-1 Off-Site WaterC'' Baseline'!$BA$10:$BA$257))</f>
        <v/>
      </c>
      <c r="AG16" s="1000" t="str">
        <f>IF(AB16="","",SUMIF('F-3 Off-Site WaterC Enhancement'!$AT$12:$AT$257,'Off-site gain site summary'!$AB16,'F-3 Off-Site WaterC Enhancement'!$AP$12:$AP$257))</f>
        <v/>
      </c>
      <c r="AH16" s="1000" t="str">
        <f>IF(AB16="","",SUMIF('F-3 Off-Site WaterC Enhancement'!$AT$12:$AT$257,'Off-site gain site summary'!$AB16,'F-3 Off-Site WaterC Enhancement'!$AO$12:$AO$257))</f>
        <v/>
      </c>
      <c r="AI16" s="1000" t="str">
        <f>IF(AB16="","",SUMIF('F-2 Off-Site WaterC'' Creation'!$AG$12:$AG$259,'Off-site gain site summary'!$AB16,'F-2 Off-Site WaterC'' Creation'!$AC$12:$AC$259))</f>
        <v/>
      </c>
      <c r="AJ16" s="1000" t="str">
        <f>IF(AB16="","",SUMIF('F-2 Off-Site WaterC'' Creation'!$AG$12:$AG$259,'Off-site gain site summary'!$AB16,'F-2 Off-Site WaterC'' Creation'!$AB$12:$AB$259))</f>
        <v/>
      </c>
      <c r="AK16" s="1000" t="str">
        <f t="shared" si="4"/>
        <v/>
      </c>
      <c r="AL16" s="1000" t="str">
        <f>IF(ISBLANK(AB16),"",IFERROR(_xlfn.XLOOKUP(AB16,'F-2 Off-Site WaterC'' Creation'!$AG$12:$AG$258,'F-2 Off-Site WaterC'' Creation'!$AA$12:$AA$258),IFERROR(_xlfn.XLOOKUP(AB16,'F-1 Off-Site WaterC'' Baseline'!$AH$10:$AH$257,'F-1 Off-Site WaterC'' Baseline'!$T$10:$T$257)," ")))</f>
        <v/>
      </c>
      <c r="AM16" s="986" t="str">
        <f t="shared" si="5"/>
        <v/>
      </c>
      <c r="AN16" s="1469"/>
      <c r="AO16" s="1469"/>
    </row>
    <row r="17" spans="1:41" s="992" customFormat="1" ht="43.5" customHeight="1">
      <c r="A17" s="988">
        <f>'D-1 Off-Site Habitat Baseline'!AF21</f>
        <v>0</v>
      </c>
      <c r="B17" s="996"/>
      <c r="C17" s="997" t="str">
        <f>IF(B17="","",SUMIF('D-1 Off-Site Habitat Baseline'!AF21:AF268,B17,'D-1 Off-Site Habitat Baseline'!T21:T268))</f>
        <v/>
      </c>
      <c r="D17" s="990" t="str">
        <f>IF(B17="","",SUMIF('D-1 Off-Site Habitat Baseline'!$AF$11:$AF$258,B17,'D-1 Off-Site Habitat Baseline'!$Q$11:$Q$258))</f>
        <v/>
      </c>
      <c r="E17" s="998" t="str">
        <f>IF(B17="","",SUMIF('D-1 Off-Site Habitat Baseline'!$AF$11:$AF$258,'Off-site gain site summary'!$B17,'D-1 Off-Site Habitat Baseline'!$X$11:$X$258))</f>
        <v/>
      </c>
      <c r="F17" s="999" t="str">
        <f>IF(B17="","",SUMIF('D-1 Off-Site Habitat Baseline'!$AF$11:$AF$258,'Off-site gain site summary'!$B17,'D-1 Off-Site Habitat Baseline'!$AY$11:$AY$258))</f>
        <v/>
      </c>
      <c r="G17" s="998" t="str">
        <f>IF(B17="","",SUMIF('D-3 Off-Site Habitat Enhancment'!$AU$12:$AU$258,'Off-site gain site summary'!B17,'D-3 Off-Site Habitat Enhancment'!$AQ$12:$AQ$258))</f>
        <v/>
      </c>
      <c r="H17" s="999" t="str">
        <f>IF(B17="","",SUMIF('D-3 Off-Site Habitat Enhancment'!$AU$12:$AU$258,'Off-site gain site summary'!B17,'D-3 Off-Site Habitat Enhancment'!$AP$12:$AP$258))</f>
        <v/>
      </c>
      <c r="I17" s="998" t="str">
        <f>IF(B17="","",SUMIF('D-2 Off-Site Habitat Creation'!$AF$11:$AF$256,'Off-site gain site summary'!B17,'D-2 Off-Site Habitat Creation'!$AB$11:$AB$256))</f>
        <v/>
      </c>
      <c r="J17" s="999" t="str">
        <f>IF(B17="","",SUMIF('D-2 Off-Site Habitat Creation'!$AF$11:$AF$256,'Off-site gain site summary'!B17,'D-2 Off-Site Habitat Creation'!$AA$11:$AA$256))</f>
        <v/>
      </c>
      <c r="K17" s="1000" t="str">
        <f t="shared" si="0"/>
        <v/>
      </c>
      <c r="L17" s="997" t="str">
        <f>IF(ISBLANK(B17),"",IFERROR(_xlfn.XLOOKUP(B17,'D-2 Off-Site Habitat Creation'!$AF$11:$AF$256,'D-2 Off-Site Habitat Creation'!$Z$11:$Z$256),IFERROR(_xlfn.XLOOKUP(B17,'D-1 Off-Site Habitat Baseline'!AF$11:AF$258,'D-1 Off-Site Habitat Baseline'!S$11:S$258)," ")))</f>
        <v/>
      </c>
      <c r="M17" s="983" t="str">
        <f t="shared" si="1"/>
        <v/>
      </c>
      <c r="N17" s="988">
        <f>'E-1 Off-Site Hedge Baseline'!AB20</f>
        <v>0</v>
      </c>
      <c r="O17" s="996"/>
      <c r="P17" s="1000" t="str">
        <f>IF(O17="","",SUMIF('E-1 Off-Site Hedge Baseline'!AB$10:AB$257,'Off-site gain site summary'!O17,'E-1 Off-Site Hedge Baseline'!Q$10:Q$257))</f>
        <v/>
      </c>
      <c r="Q17" s="1000" t="str">
        <f>IF(O17="","",SUMIF('E-1 Off-Site Hedge Baseline'!AB$10:AB$257,O17,'E-1 Off-Site Hedge Baseline'!N$10:N$257))</f>
        <v/>
      </c>
      <c r="R17" s="1000" t="str">
        <f>IF(O17="","",SUMIF('E-1 Off-Site Hedge Baseline'!$AB$10:$AB$257,'Off-site gain site summary'!$O17,'E-1 Off-Site Hedge Baseline'!$U$10:$U$257))</f>
        <v/>
      </c>
      <c r="S17" s="1000" t="str">
        <f>IF(O17="","",SUMIF('E-1 Off-Site Hedge Baseline'!$AB$10:$AB$257,'Off-site gain site summary'!$O17,'E-1 Off-Site Hedge Baseline'!$AY$10:$AY$257))</f>
        <v/>
      </c>
      <c r="T17" s="1000" t="str">
        <f>IF(O17="","",SUMIF('E-3 Off-Site Hedge Enhancement'!$AO$12:$AO$257,'Off-site gain site summary'!$O17,'E-3 Off-Site Hedge Enhancement'!$AK$12:$AK$257))</f>
        <v/>
      </c>
      <c r="U17" s="1000" t="str">
        <f>IF(O17="","",SUMIF('E-3 Off-Site Hedge Enhancement'!$AO$12:$AO$257,'Off-site gain site summary'!$O17,'E-3 Off-Site Hedge Enhancement'!$AJ$12:$AJ$257))</f>
        <v/>
      </c>
      <c r="V17" s="1000" t="str">
        <f>IF(O17="","",SUMIF('E-2 Off-Site Hedge Creation'!$AD$12:$AD$259,'Off-site gain site summary'!$O17,'E-2 Off-Site Hedge Creation'!$Z$12:$Z$259))</f>
        <v/>
      </c>
      <c r="W17" s="991" t="str">
        <f>IF(O17="","",SUMIF('E-2 Off-Site Hedge Creation'!$AD$12:$AD$259,'Off-site gain site summary'!$O17,'E-2 Off-Site Hedge Creation'!$Y$12:$Y$259))</f>
        <v/>
      </c>
      <c r="X17" s="991" t="str">
        <f t="shared" si="2"/>
        <v/>
      </c>
      <c r="Y17" s="991" t="str">
        <f>IF(ISBLANK(O17),"",IFERROR(_xlfn.XLOOKUP(O17,'E-2 Off-Site Hedge Creation'!$AD$12:$AD$259,'E-2 Off-Site Hedge Creation'!$N$12:$N$259),IFERROR(_xlfn.XLOOKUP(O17,'E-1 Off-Site Hedge Baseline'!$AB$10:$AB$257,'E-1 Off-Site Hedge Baseline'!$P$10:$P$257)," ")))</f>
        <v/>
      </c>
      <c r="Z17" s="986" t="str">
        <f t="shared" si="3"/>
        <v/>
      </c>
      <c r="AA17" s="992">
        <f>'F-1 Off-Site WaterC'' Baseline'!AH20</f>
        <v>0</v>
      </c>
      <c r="AB17" s="996"/>
      <c r="AC17" s="1000" t="str">
        <f>IF(AB17="","",SUMIF('F-1 Off-Site WaterC'' Baseline'!$AH$10:$AH$257,'Off-site gain site summary'!$AB17,'F-1 Off-Site WaterC'' Baseline'!$U$10:$U$257))</f>
        <v/>
      </c>
      <c r="AD17" s="1000" t="str">
        <f>IF(AB17="","",SUMIF('F-1 Off-Site WaterC'' Baseline'!$AH$10:$AH$257,'Off-site gain site summary'!$AB17,'F-1 Off-Site WaterC'' Baseline'!$R$10:$R$257))</f>
        <v/>
      </c>
      <c r="AE17" s="1000" t="str">
        <f>IF(AB17="","",SUMIF('F-1 Off-Site WaterC'' Baseline'!$AH$10:$AH$257,'Off-site gain site summary'!$AB17,'F-1 Off-Site WaterC'' Baseline'!$Z$10:$Z$257))</f>
        <v/>
      </c>
      <c r="AF17" s="1000" t="str">
        <f>IF(AB17="","",SUMIF('F-1 Off-Site WaterC'' Baseline'!$AH$10:$AH$257,'Off-site gain site summary'!$AB17,'F-1 Off-Site WaterC'' Baseline'!$BA$10:$BA$257))</f>
        <v/>
      </c>
      <c r="AG17" s="1000" t="str">
        <f>IF(AB17="","",SUMIF('F-3 Off-Site WaterC Enhancement'!$AT$12:$AT$257,'Off-site gain site summary'!$AB17,'F-3 Off-Site WaterC Enhancement'!$AP$12:$AP$257))</f>
        <v/>
      </c>
      <c r="AH17" s="1000" t="str">
        <f>IF(AB17="","",SUMIF('F-3 Off-Site WaterC Enhancement'!$AT$12:$AT$257,'Off-site gain site summary'!$AB17,'F-3 Off-Site WaterC Enhancement'!$AO$12:$AO$257))</f>
        <v/>
      </c>
      <c r="AI17" s="1000" t="str">
        <f>IF(AB17="","",SUMIF('F-2 Off-Site WaterC'' Creation'!$AG$12:$AG$259,'Off-site gain site summary'!$AB17,'F-2 Off-Site WaterC'' Creation'!$AC$12:$AC$259))</f>
        <v/>
      </c>
      <c r="AJ17" s="1000" t="str">
        <f>IF(AB17="","",SUMIF('F-2 Off-Site WaterC'' Creation'!$AG$12:$AG$259,'Off-site gain site summary'!$AB17,'F-2 Off-Site WaterC'' Creation'!$AB$12:$AB$259))</f>
        <v/>
      </c>
      <c r="AK17" s="1000" t="str">
        <f t="shared" si="4"/>
        <v/>
      </c>
      <c r="AL17" s="1000" t="str">
        <f>IF(ISBLANK(AB17),"",IFERROR(_xlfn.XLOOKUP(AB17,'F-2 Off-Site WaterC'' Creation'!$AG$12:$AG$258,'F-2 Off-Site WaterC'' Creation'!$AA$12:$AA$258),IFERROR(_xlfn.XLOOKUP(AB17,'F-1 Off-Site WaterC'' Baseline'!$AH$10:$AH$257,'F-1 Off-Site WaterC'' Baseline'!$T$10:$T$257)," ")))</f>
        <v/>
      </c>
      <c r="AM17" s="986" t="str">
        <f t="shared" si="5"/>
        <v/>
      </c>
      <c r="AN17" s="1469"/>
      <c r="AO17" s="1469"/>
    </row>
    <row r="18" spans="1:41" s="992" customFormat="1" ht="43.5" customHeight="1">
      <c r="A18" s="988">
        <f>'D-1 Off-Site Habitat Baseline'!AF22</f>
        <v>0</v>
      </c>
      <c r="B18" s="996"/>
      <c r="C18" s="997" t="str">
        <f>IF(B18="","",SUMIF('D-1 Off-Site Habitat Baseline'!AF22:AF269,B18,'D-1 Off-Site Habitat Baseline'!T22:T269))</f>
        <v/>
      </c>
      <c r="D18" s="990" t="str">
        <f>IF(B18="","",SUMIF('D-1 Off-Site Habitat Baseline'!$AF$11:$AF$258,B18,'D-1 Off-Site Habitat Baseline'!$Q$11:$Q$258))</f>
        <v/>
      </c>
      <c r="E18" s="998" t="str">
        <f>IF(B18="","",SUMIF('D-1 Off-Site Habitat Baseline'!$AF$11:$AF$258,'Off-site gain site summary'!$B18,'D-1 Off-Site Habitat Baseline'!$X$11:$X$258))</f>
        <v/>
      </c>
      <c r="F18" s="999" t="str">
        <f>IF(B18="","",SUMIF('D-1 Off-Site Habitat Baseline'!$AF$11:$AF$258,'Off-site gain site summary'!$B18,'D-1 Off-Site Habitat Baseline'!$AY$11:$AY$258))</f>
        <v/>
      </c>
      <c r="G18" s="998" t="str">
        <f>IF(B18="","",SUMIF('D-3 Off-Site Habitat Enhancment'!$AU$12:$AU$258,'Off-site gain site summary'!B18,'D-3 Off-Site Habitat Enhancment'!$AQ$12:$AQ$258))</f>
        <v/>
      </c>
      <c r="H18" s="999" t="str">
        <f>IF(B18="","",SUMIF('D-3 Off-Site Habitat Enhancment'!$AU$12:$AU$258,'Off-site gain site summary'!B18,'D-3 Off-Site Habitat Enhancment'!$AP$12:$AP$258))</f>
        <v/>
      </c>
      <c r="I18" s="998" t="str">
        <f>IF(B18="","",SUMIF('D-2 Off-Site Habitat Creation'!$AF$11:$AF$256,'Off-site gain site summary'!B18,'D-2 Off-Site Habitat Creation'!$AB$11:$AB$256))</f>
        <v/>
      </c>
      <c r="J18" s="999" t="str">
        <f>IF(B18="","",SUMIF('D-2 Off-Site Habitat Creation'!$AF$11:$AF$256,'Off-site gain site summary'!B18,'D-2 Off-Site Habitat Creation'!$AA$11:$AA$256))</f>
        <v/>
      </c>
      <c r="K18" s="1000" t="str">
        <f t="shared" si="0"/>
        <v/>
      </c>
      <c r="L18" s="997" t="str">
        <f>IF(ISBLANK(B18),"",IFERROR(_xlfn.XLOOKUP(B18,'D-2 Off-Site Habitat Creation'!$AF$11:$AF$256,'D-2 Off-Site Habitat Creation'!$Z$11:$Z$256),IFERROR(_xlfn.XLOOKUP(B18,'D-1 Off-Site Habitat Baseline'!AF$11:AF$258,'D-1 Off-Site Habitat Baseline'!S$11:S$258)," ")))</f>
        <v/>
      </c>
      <c r="M18" s="983" t="str">
        <f t="shared" si="1"/>
        <v/>
      </c>
      <c r="N18" s="988">
        <f>'E-1 Off-Site Hedge Baseline'!AB21</f>
        <v>0</v>
      </c>
      <c r="O18" s="996"/>
      <c r="P18" s="1000" t="str">
        <f>IF(O18="","",SUMIF('E-1 Off-Site Hedge Baseline'!AB$10:AB$257,'Off-site gain site summary'!O18,'E-1 Off-Site Hedge Baseline'!Q$10:Q$257))</f>
        <v/>
      </c>
      <c r="Q18" s="1000" t="str">
        <f>IF(O18="","",SUMIF('E-1 Off-Site Hedge Baseline'!AB$10:AB$257,O18,'E-1 Off-Site Hedge Baseline'!N$10:N$257))</f>
        <v/>
      </c>
      <c r="R18" s="1000" t="str">
        <f>IF(O18="","",SUMIF('E-1 Off-Site Hedge Baseline'!$AB$10:$AB$257,'Off-site gain site summary'!$O18,'E-1 Off-Site Hedge Baseline'!$U$10:$U$257))</f>
        <v/>
      </c>
      <c r="S18" s="1000" t="str">
        <f>IF(O18="","",SUMIF('E-1 Off-Site Hedge Baseline'!$AB$10:$AB$257,'Off-site gain site summary'!$O18,'E-1 Off-Site Hedge Baseline'!$AY$10:$AY$257))</f>
        <v/>
      </c>
      <c r="T18" s="1000" t="str">
        <f>IF(O18="","",SUMIF('E-3 Off-Site Hedge Enhancement'!$AO$12:$AO$257,'Off-site gain site summary'!$O18,'E-3 Off-Site Hedge Enhancement'!$AK$12:$AK$257))</f>
        <v/>
      </c>
      <c r="U18" s="1000" t="str">
        <f>IF(O18="","",SUMIF('E-3 Off-Site Hedge Enhancement'!$AO$12:$AO$257,'Off-site gain site summary'!$O18,'E-3 Off-Site Hedge Enhancement'!$AJ$12:$AJ$257))</f>
        <v/>
      </c>
      <c r="V18" s="1000" t="str">
        <f>IF(O18="","",SUMIF('E-2 Off-Site Hedge Creation'!$AD$12:$AD$259,'Off-site gain site summary'!$O18,'E-2 Off-Site Hedge Creation'!$Z$12:$Z$259))</f>
        <v/>
      </c>
      <c r="W18" s="991" t="str">
        <f>IF(O18="","",SUMIF('E-2 Off-Site Hedge Creation'!$AD$12:$AD$259,'Off-site gain site summary'!$O18,'E-2 Off-Site Hedge Creation'!$Y$12:$Y$259))</f>
        <v/>
      </c>
      <c r="X18" s="991" t="str">
        <f t="shared" si="2"/>
        <v/>
      </c>
      <c r="Y18" s="991" t="str">
        <f>IF(ISBLANK(O18),"",IFERROR(_xlfn.XLOOKUP(O18,'E-2 Off-Site Hedge Creation'!$AD$12:$AD$259,'E-2 Off-Site Hedge Creation'!$N$12:$N$259),IFERROR(_xlfn.XLOOKUP(O18,'E-1 Off-Site Hedge Baseline'!$AB$10:$AB$257,'E-1 Off-Site Hedge Baseline'!$P$10:$P$257)," ")))</f>
        <v/>
      </c>
      <c r="Z18" s="986" t="str">
        <f t="shared" si="3"/>
        <v/>
      </c>
      <c r="AA18" s="992">
        <f>'F-1 Off-Site WaterC'' Baseline'!AH21</f>
        <v>0</v>
      </c>
      <c r="AB18" s="996"/>
      <c r="AC18" s="1000" t="str">
        <f>IF(AB18="","",SUMIF('F-1 Off-Site WaterC'' Baseline'!$AH$10:$AH$257,'Off-site gain site summary'!$AB18,'F-1 Off-Site WaterC'' Baseline'!$U$10:$U$257))</f>
        <v/>
      </c>
      <c r="AD18" s="1000" t="str">
        <f>IF(AB18="","",SUMIF('F-1 Off-Site WaterC'' Baseline'!$AH$10:$AH$257,'Off-site gain site summary'!$AB18,'F-1 Off-Site WaterC'' Baseline'!$R$10:$R$257))</f>
        <v/>
      </c>
      <c r="AE18" s="1000" t="str">
        <f>IF(AB18="","",SUMIF('F-1 Off-Site WaterC'' Baseline'!$AH$10:$AH$257,'Off-site gain site summary'!$AB18,'F-1 Off-Site WaterC'' Baseline'!$Z$10:$Z$257))</f>
        <v/>
      </c>
      <c r="AF18" s="1000" t="str">
        <f>IF(AB18="","",SUMIF('F-1 Off-Site WaterC'' Baseline'!$AH$10:$AH$257,'Off-site gain site summary'!$AB18,'F-1 Off-Site WaterC'' Baseline'!$BA$10:$BA$257))</f>
        <v/>
      </c>
      <c r="AG18" s="1000" t="str">
        <f>IF(AB18="","",SUMIF('F-3 Off-Site WaterC Enhancement'!$AT$12:$AT$257,'Off-site gain site summary'!$AB18,'F-3 Off-Site WaterC Enhancement'!$AP$12:$AP$257))</f>
        <v/>
      </c>
      <c r="AH18" s="1000" t="str">
        <f>IF(AB18="","",SUMIF('F-3 Off-Site WaterC Enhancement'!$AT$12:$AT$257,'Off-site gain site summary'!$AB18,'F-3 Off-Site WaterC Enhancement'!$AO$12:$AO$257))</f>
        <v/>
      </c>
      <c r="AI18" s="1000" t="str">
        <f>IF(AB18="","",SUMIF('F-2 Off-Site WaterC'' Creation'!$AG$12:$AG$259,'Off-site gain site summary'!$AB18,'F-2 Off-Site WaterC'' Creation'!$AC$12:$AC$259))</f>
        <v/>
      </c>
      <c r="AJ18" s="1000" t="str">
        <f>IF(AB18="","",SUMIF('F-2 Off-Site WaterC'' Creation'!$AG$12:$AG$259,'Off-site gain site summary'!$AB18,'F-2 Off-Site WaterC'' Creation'!$AB$12:$AB$259))</f>
        <v/>
      </c>
      <c r="AK18" s="1000" t="str">
        <f t="shared" si="4"/>
        <v/>
      </c>
      <c r="AL18" s="1000" t="str">
        <f>IF(ISBLANK(AB18),"",IFERROR(_xlfn.XLOOKUP(AB18,'F-2 Off-Site WaterC'' Creation'!$AG$12:$AG$258,'F-2 Off-Site WaterC'' Creation'!$AA$12:$AA$258),IFERROR(_xlfn.XLOOKUP(AB18,'F-1 Off-Site WaterC'' Baseline'!$AH$10:$AH$257,'F-1 Off-Site WaterC'' Baseline'!$T$10:$T$257)," ")))</f>
        <v/>
      </c>
      <c r="AM18" s="986" t="str">
        <f t="shared" si="5"/>
        <v/>
      </c>
      <c r="AN18" s="1469"/>
      <c r="AO18" s="1469"/>
    </row>
    <row r="19" spans="1:41" s="992" customFormat="1" ht="43.5" customHeight="1">
      <c r="A19" s="988">
        <f>'D-1 Off-Site Habitat Baseline'!AF23</f>
        <v>0</v>
      </c>
      <c r="B19" s="996"/>
      <c r="C19" s="997" t="str">
        <f>IF(B19="","",SUMIF('D-1 Off-Site Habitat Baseline'!AF23:AF270,B19,'D-1 Off-Site Habitat Baseline'!T23:T270))</f>
        <v/>
      </c>
      <c r="D19" s="990" t="str">
        <f>IF(B19="","",SUMIF('D-1 Off-Site Habitat Baseline'!$AF$11:$AF$258,B19,'D-1 Off-Site Habitat Baseline'!$Q$11:$Q$258))</f>
        <v/>
      </c>
      <c r="E19" s="998" t="str">
        <f>IF(B19="","",SUMIF('D-1 Off-Site Habitat Baseline'!$AF$11:$AF$258,'Off-site gain site summary'!$B19,'D-1 Off-Site Habitat Baseline'!$X$11:$X$258))</f>
        <v/>
      </c>
      <c r="F19" s="999" t="str">
        <f>IF(B19="","",SUMIF('D-1 Off-Site Habitat Baseline'!$AF$11:$AF$258,'Off-site gain site summary'!$B19,'D-1 Off-Site Habitat Baseline'!$AY$11:$AY$258))</f>
        <v/>
      </c>
      <c r="G19" s="998" t="str">
        <f>IF(B19="","",SUMIF('D-3 Off-Site Habitat Enhancment'!$AU$12:$AU$258,'Off-site gain site summary'!B19,'D-3 Off-Site Habitat Enhancment'!$AQ$12:$AQ$258))</f>
        <v/>
      </c>
      <c r="H19" s="999" t="str">
        <f>IF(B19="","",SUMIF('D-3 Off-Site Habitat Enhancment'!$AU$12:$AU$258,'Off-site gain site summary'!B19,'D-3 Off-Site Habitat Enhancment'!$AP$12:$AP$258))</f>
        <v/>
      </c>
      <c r="I19" s="998" t="str">
        <f>IF(B19="","",SUMIF('D-2 Off-Site Habitat Creation'!$AF$11:$AF$256,'Off-site gain site summary'!B19,'D-2 Off-Site Habitat Creation'!$AB$11:$AB$256))</f>
        <v/>
      </c>
      <c r="J19" s="999" t="str">
        <f>IF(B19="","",SUMIF('D-2 Off-Site Habitat Creation'!$AF$11:$AF$256,'Off-site gain site summary'!B19,'D-2 Off-Site Habitat Creation'!$AA$11:$AA$256))</f>
        <v/>
      </c>
      <c r="K19" s="1000" t="str">
        <f t="shared" si="0"/>
        <v/>
      </c>
      <c r="L19" s="997" t="str">
        <f>IF(ISBLANK(B19),"",IFERROR(_xlfn.XLOOKUP(B19,'D-2 Off-Site Habitat Creation'!$AF$11:$AF$256,'D-2 Off-Site Habitat Creation'!$Z$11:$Z$256),IFERROR(_xlfn.XLOOKUP(B19,'D-1 Off-Site Habitat Baseline'!AF$11:AF$258,'D-1 Off-Site Habitat Baseline'!S$11:S$258)," ")))</f>
        <v/>
      </c>
      <c r="M19" s="983" t="str">
        <f t="shared" si="1"/>
        <v/>
      </c>
      <c r="N19" s="988">
        <f>'E-1 Off-Site Hedge Baseline'!AB22</f>
        <v>0</v>
      </c>
      <c r="O19" s="996"/>
      <c r="P19" s="1000" t="str">
        <f>IF(O19="","",SUMIF('E-1 Off-Site Hedge Baseline'!AB$10:AB$257,'Off-site gain site summary'!O19,'E-1 Off-Site Hedge Baseline'!Q$10:Q$257))</f>
        <v/>
      </c>
      <c r="Q19" s="1000" t="str">
        <f>IF(O19="","",SUMIF('E-1 Off-Site Hedge Baseline'!AB$10:AB$257,O19,'E-1 Off-Site Hedge Baseline'!N$10:N$257))</f>
        <v/>
      </c>
      <c r="R19" s="1000" t="str">
        <f>IF(O19="","",SUMIF('E-1 Off-Site Hedge Baseline'!$AB$10:$AB$257,'Off-site gain site summary'!$O19,'E-1 Off-Site Hedge Baseline'!$U$10:$U$257))</f>
        <v/>
      </c>
      <c r="S19" s="1000" t="str">
        <f>IF(O19="","",SUMIF('E-1 Off-Site Hedge Baseline'!$AB$10:$AB$257,'Off-site gain site summary'!$O19,'E-1 Off-Site Hedge Baseline'!$AY$10:$AY$257))</f>
        <v/>
      </c>
      <c r="T19" s="1000" t="str">
        <f>IF(O19="","",SUMIF('E-3 Off-Site Hedge Enhancement'!$AO$12:$AO$257,'Off-site gain site summary'!$O19,'E-3 Off-Site Hedge Enhancement'!$AK$12:$AK$257))</f>
        <v/>
      </c>
      <c r="U19" s="1000" t="str">
        <f>IF(O19="","",SUMIF('E-3 Off-Site Hedge Enhancement'!$AO$12:$AO$257,'Off-site gain site summary'!$O19,'E-3 Off-Site Hedge Enhancement'!$AJ$12:$AJ$257))</f>
        <v/>
      </c>
      <c r="V19" s="1000" t="str">
        <f>IF(O19="","",SUMIF('E-2 Off-Site Hedge Creation'!$AD$12:$AD$259,'Off-site gain site summary'!$O19,'E-2 Off-Site Hedge Creation'!$Z$12:$Z$259))</f>
        <v/>
      </c>
      <c r="W19" s="991" t="str">
        <f>IF(O19="","",SUMIF('E-2 Off-Site Hedge Creation'!$AD$12:$AD$259,'Off-site gain site summary'!$O19,'E-2 Off-Site Hedge Creation'!$Y$12:$Y$259))</f>
        <v/>
      </c>
      <c r="X19" s="991" t="str">
        <f t="shared" si="2"/>
        <v/>
      </c>
      <c r="Y19" s="991" t="str">
        <f>IF(ISBLANK(O19),"",IFERROR(_xlfn.XLOOKUP(O19,'E-2 Off-Site Hedge Creation'!$AD$12:$AD$259,'E-2 Off-Site Hedge Creation'!$N$12:$N$259),IFERROR(_xlfn.XLOOKUP(O19,'E-1 Off-Site Hedge Baseline'!$AB$10:$AB$257,'E-1 Off-Site Hedge Baseline'!$P$10:$P$257)," ")))</f>
        <v/>
      </c>
      <c r="Z19" s="986" t="str">
        <f t="shared" si="3"/>
        <v/>
      </c>
      <c r="AA19" s="992">
        <f>'F-1 Off-Site WaterC'' Baseline'!AH22</f>
        <v>0</v>
      </c>
      <c r="AB19" s="996"/>
      <c r="AC19" s="1000" t="str">
        <f>IF(AB19="","",SUMIF('F-1 Off-Site WaterC'' Baseline'!$AH$10:$AH$257,'Off-site gain site summary'!$AB19,'F-1 Off-Site WaterC'' Baseline'!$U$10:$U$257))</f>
        <v/>
      </c>
      <c r="AD19" s="1000" t="str">
        <f>IF(AB19="","",SUMIF('F-1 Off-Site WaterC'' Baseline'!$AH$10:$AH$257,'Off-site gain site summary'!$AB19,'F-1 Off-Site WaterC'' Baseline'!$R$10:$R$257))</f>
        <v/>
      </c>
      <c r="AE19" s="1000" t="str">
        <f>IF(AB19="","",SUMIF('F-1 Off-Site WaterC'' Baseline'!$AH$10:$AH$257,'Off-site gain site summary'!$AB19,'F-1 Off-Site WaterC'' Baseline'!$Z$10:$Z$257))</f>
        <v/>
      </c>
      <c r="AF19" s="1000" t="str">
        <f>IF(AB19="","",SUMIF('F-1 Off-Site WaterC'' Baseline'!$AH$10:$AH$257,'Off-site gain site summary'!$AB19,'F-1 Off-Site WaterC'' Baseline'!$BA$10:$BA$257))</f>
        <v/>
      </c>
      <c r="AG19" s="1000" t="str">
        <f>IF(AB19="","",SUMIF('F-3 Off-Site WaterC Enhancement'!$AT$12:$AT$257,'Off-site gain site summary'!$AB19,'F-3 Off-Site WaterC Enhancement'!$AP$12:$AP$257))</f>
        <v/>
      </c>
      <c r="AH19" s="1000" t="str">
        <f>IF(AB19="","",SUMIF('F-3 Off-Site WaterC Enhancement'!$AT$12:$AT$257,'Off-site gain site summary'!$AB19,'F-3 Off-Site WaterC Enhancement'!$AO$12:$AO$257))</f>
        <v/>
      </c>
      <c r="AI19" s="1000" t="str">
        <f>IF(AB19="","",SUMIF('F-2 Off-Site WaterC'' Creation'!$AG$12:$AG$259,'Off-site gain site summary'!$AB19,'F-2 Off-Site WaterC'' Creation'!$AC$12:$AC$259))</f>
        <v/>
      </c>
      <c r="AJ19" s="1000" t="str">
        <f>IF(AB19="","",SUMIF('F-2 Off-Site WaterC'' Creation'!$AG$12:$AG$259,'Off-site gain site summary'!$AB19,'F-2 Off-Site WaterC'' Creation'!$AB$12:$AB$259))</f>
        <v/>
      </c>
      <c r="AK19" s="1000" t="str">
        <f t="shared" si="4"/>
        <v/>
      </c>
      <c r="AL19" s="1000" t="str">
        <f>IF(ISBLANK(AB19),"",IFERROR(_xlfn.XLOOKUP(AB19,'F-2 Off-Site WaterC'' Creation'!$AG$12:$AG$258,'F-2 Off-Site WaterC'' Creation'!$AA$12:$AA$258),IFERROR(_xlfn.XLOOKUP(AB19,'F-1 Off-Site WaterC'' Baseline'!$AH$10:$AH$257,'F-1 Off-Site WaterC'' Baseline'!$T$10:$T$257)," ")))</f>
        <v/>
      </c>
      <c r="AM19" s="986" t="str">
        <f t="shared" si="5"/>
        <v/>
      </c>
      <c r="AN19" s="1469"/>
      <c r="AO19" s="1469"/>
    </row>
    <row r="20" spans="1:41" s="992" customFormat="1" ht="43.5" customHeight="1">
      <c r="A20" s="988">
        <f>'D-1 Off-Site Habitat Baseline'!AF24</f>
        <v>0</v>
      </c>
      <c r="B20" s="996"/>
      <c r="C20" s="997" t="str">
        <f>IF(B20="","",SUMIF('D-1 Off-Site Habitat Baseline'!AF24:AF271,B20,'D-1 Off-Site Habitat Baseline'!T24:T271))</f>
        <v/>
      </c>
      <c r="D20" s="990" t="str">
        <f>IF(B20="","",SUMIF('D-1 Off-Site Habitat Baseline'!$AF$11:$AF$258,B20,'D-1 Off-Site Habitat Baseline'!$Q$11:$Q$258))</f>
        <v/>
      </c>
      <c r="E20" s="998" t="str">
        <f>IF(B20="","",SUMIF('D-1 Off-Site Habitat Baseline'!$AF$11:$AF$258,'Off-site gain site summary'!$B20,'D-1 Off-Site Habitat Baseline'!$X$11:$X$258))</f>
        <v/>
      </c>
      <c r="F20" s="999" t="str">
        <f>IF(B20="","",SUMIF('D-1 Off-Site Habitat Baseline'!$AF$11:$AF$258,'Off-site gain site summary'!$B20,'D-1 Off-Site Habitat Baseline'!$AY$11:$AY$258))</f>
        <v/>
      </c>
      <c r="G20" s="998" t="str">
        <f>IF(B20="","",SUMIF('D-3 Off-Site Habitat Enhancment'!$AU$12:$AU$258,'Off-site gain site summary'!B20,'D-3 Off-Site Habitat Enhancment'!$AQ$12:$AQ$258))</f>
        <v/>
      </c>
      <c r="H20" s="999" t="str">
        <f>IF(B20="","",SUMIF('D-3 Off-Site Habitat Enhancment'!$AU$12:$AU$258,'Off-site gain site summary'!B20,'D-3 Off-Site Habitat Enhancment'!$AP$12:$AP$258))</f>
        <v/>
      </c>
      <c r="I20" s="998" t="str">
        <f>IF(B20="","",SUMIF('D-2 Off-Site Habitat Creation'!$AF$11:$AF$256,'Off-site gain site summary'!B20,'D-2 Off-Site Habitat Creation'!$AB$11:$AB$256))</f>
        <v/>
      </c>
      <c r="J20" s="999" t="str">
        <f>IF(B20="","",SUMIF('D-2 Off-Site Habitat Creation'!$AF$11:$AF$256,'Off-site gain site summary'!B20,'D-2 Off-Site Habitat Creation'!$AA$11:$AA$256))</f>
        <v/>
      </c>
      <c r="K20" s="1000" t="str">
        <f t="shared" si="0"/>
        <v/>
      </c>
      <c r="L20" s="997" t="str">
        <f>IF(ISBLANK(B20),"",IFERROR(_xlfn.XLOOKUP(B20,'D-2 Off-Site Habitat Creation'!$AF$11:$AF$256,'D-2 Off-Site Habitat Creation'!$Z$11:$Z$256),IFERROR(_xlfn.XLOOKUP(B20,'D-1 Off-Site Habitat Baseline'!AF$11:AF$258,'D-1 Off-Site Habitat Baseline'!S$11:S$258)," ")))</f>
        <v/>
      </c>
      <c r="M20" s="983" t="str">
        <f t="shared" si="1"/>
        <v/>
      </c>
      <c r="N20" s="988">
        <f>'E-1 Off-Site Hedge Baseline'!AB23</f>
        <v>0</v>
      </c>
      <c r="O20" s="996"/>
      <c r="P20" s="1000" t="str">
        <f>IF(O20="","",SUMIF('E-1 Off-Site Hedge Baseline'!AB$10:AB$257,'Off-site gain site summary'!O20,'E-1 Off-Site Hedge Baseline'!Q$10:Q$257))</f>
        <v/>
      </c>
      <c r="Q20" s="1000" t="str">
        <f>IF(O20="","",SUMIF('E-1 Off-Site Hedge Baseline'!AB$10:AB$257,O20,'E-1 Off-Site Hedge Baseline'!N$10:N$257))</f>
        <v/>
      </c>
      <c r="R20" s="1000" t="str">
        <f>IF(O20="","",SUMIF('E-1 Off-Site Hedge Baseline'!$AB$10:$AB$257,'Off-site gain site summary'!$O20,'E-1 Off-Site Hedge Baseline'!$U$10:$U$257))</f>
        <v/>
      </c>
      <c r="S20" s="1000" t="str">
        <f>IF(O20="","",SUMIF('E-1 Off-Site Hedge Baseline'!$AB$10:$AB$257,'Off-site gain site summary'!$O20,'E-1 Off-Site Hedge Baseline'!$AY$10:$AY$257))</f>
        <v/>
      </c>
      <c r="T20" s="1000" t="str">
        <f>IF(O20="","",SUMIF('E-3 Off-Site Hedge Enhancement'!$AO$12:$AO$257,'Off-site gain site summary'!$O20,'E-3 Off-Site Hedge Enhancement'!$AK$12:$AK$257))</f>
        <v/>
      </c>
      <c r="U20" s="1000" t="str">
        <f>IF(O20="","",SUMIF('E-3 Off-Site Hedge Enhancement'!$AO$12:$AO$257,'Off-site gain site summary'!$O20,'E-3 Off-Site Hedge Enhancement'!$AJ$12:$AJ$257))</f>
        <v/>
      </c>
      <c r="V20" s="1000" t="str">
        <f>IF(O20="","",SUMIF('E-2 Off-Site Hedge Creation'!$AD$12:$AD$259,'Off-site gain site summary'!$O20,'E-2 Off-Site Hedge Creation'!$Z$12:$Z$259))</f>
        <v/>
      </c>
      <c r="W20" s="991" t="str">
        <f>IF(O20="","",SUMIF('E-2 Off-Site Hedge Creation'!$AD$12:$AD$259,'Off-site gain site summary'!$O20,'E-2 Off-Site Hedge Creation'!$Y$12:$Y$259))</f>
        <v/>
      </c>
      <c r="X20" s="991" t="str">
        <f t="shared" si="2"/>
        <v/>
      </c>
      <c r="Y20" s="991" t="str">
        <f>IF(ISBLANK(O20),"",IFERROR(_xlfn.XLOOKUP(O20,'E-2 Off-Site Hedge Creation'!$AD$12:$AD$259,'E-2 Off-Site Hedge Creation'!$N$12:$N$259),IFERROR(_xlfn.XLOOKUP(O20,'E-1 Off-Site Hedge Baseline'!$AB$10:$AB$257,'E-1 Off-Site Hedge Baseline'!$P$10:$P$257)," ")))</f>
        <v/>
      </c>
      <c r="Z20" s="986" t="str">
        <f t="shared" si="3"/>
        <v/>
      </c>
      <c r="AA20" s="992">
        <f>'F-1 Off-Site WaterC'' Baseline'!AH23</f>
        <v>0</v>
      </c>
      <c r="AB20" s="996"/>
      <c r="AC20" s="1000" t="str">
        <f>IF(AB20="","",SUMIF('F-1 Off-Site WaterC'' Baseline'!$AH$10:$AH$257,'Off-site gain site summary'!$AB20,'F-1 Off-Site WaterC'' Baseline'!$U$10:$U$257))</f>
        <v/>
      </c>
      <c r="AD20" s="1000" t="str">
        <f>IF(AB20="","",SUMIF('F-1 Off-Site WaterC'' Baseline'!$AH$10:$AH$257,'Off-site gain site summary'!$AB20,'F-1 Off-Site WaterC'' Baseline'!$R$10:$R$257))</f>
        <v/>
      </c>
      <c r="AE20" s="1000" t="str">
        <f>IF(AB20="","",SUMIF('F-1 Off-Site WaterC'' Baseline'!$AH$10:$AH$257,'Off-site gain site summary'!$AB20,'F-1 Off-Site WaterC'' Baseline'!$Z$10:$Z$257))</f>
        <v/>
      </c>
      <c r="AF20" s="1000" t="str">
        <f>IF(AB20="","",SUMIF('F-1 Off-Site WaterC'' Baseline'!$AH$10:$AH$257,'Off-site gain site summary'!$AB20,'F-1 Off-Site WaterC'' Baseline'!$BA$10:$BA$257))</f>
        <v/>
      </c>
      <c r="AG20" s="1000" t="str">
        <f>IF(AB20="","",SUMIF('F-3 Off-Site WaterC Enhancement'!$AT$12:$AT$257,'Off-site gain site summary'!$AB20,'F-3 Off-Site WaterC Enhancement'!$AP$12:$AP$257))</f>
        <v/>
      </c>
      <c r="AH20" s="1000" t="str">
        <f>IF(AB20="","",SUMIF('F-3 Off-Site WaterC Enhancement'!$AT$12:$AT$257,'Off-site gain site summary'!$AB20,'F-3 Off-Site WaterC Enhancement'!$AO$12:$AO$257))</f>
        <v/>
      </c>
      <c r="AI20" s="1000" t="str">
        <f>IF(AB20="","",SUMIF('F-2 Off-Site WaterC'' Creation'!$AG$12:$AG$259,'Off-site gain site summary'!$AB20,'F-2 Off-Site WaterC'' Creation'!$AC$12:$AC$259))</f>
        <v/>
      </c>
      <c r="AJ20" s="1000" t="str">
        <f>IF(AB20="","",SUMIF('F-2 Off-Site WaterC'' Creation'!$AG$12:$AG$259,'Off-site gain site summary'!$AB20,'F-2 Off-Site WaterC'' Creation'!$AB$12:$AB$259))</f>
        <v/>
      </c>
      <c r="AK20" s="1000" t="str">
        <f t="shared" si="4"/>
        <v/>
      </c>
      <c r="AL20" s="1000" t="str">
        <f>IF(ISBLANK(AB20),"",IFERROR(_xlfn.XLOOKUP(AB20,'F-2 Off-Site WaterC'' Creation'!$AG$12:$AG$258,'F-2 Off-Site WaterC'' Creation'!$AA$12:$AA$258),IFERROR(_xlfn.XLOOKUP(AB20,'F-1 Off-Site WaterC'' Baseline'!$AH$10:$AH$257,'F-1 Off-Site WaterC'' Baseline'!$T$10:$T$257)," ")))</f>
        <v/>
      </c>
      <c r="AM20" s="986" t="str">
        <f t="shared" si="5"/>
        <v/>
      </c>
      <c r="AN20" s="1469"/>
      <c r="AO20" s="1469"/>
    </row>
    <row r="21" spans="1:41" s="992" customFormat="1" ht="43.5" customHeight="1">
      <c r="A21" s="988">
        <f>'D-1 Off-Site Habitat Baseline'!AF25</f>
        <v>0</v>
      </c>
      <c r="B21" s="996"/>
      <c r="C21" s="997" t="str">
        <f>IF(B21="","",SUMIF('D-1 Off-Site Habitat Baseline'!AF25:AF272,B21,'D-1 Off-Site Habitat Baseline'!T25:T272))</f>
        <v/>
      </c>
      <c r="D21" s="990" t="str">
        <f>IF(B21="","",SUMIF('D-1 Off-Site Habitat Baseline'!$AF$11:$AF$258,B21,'D-1 Off-Site Habitat Baseline'!$Q$11:$Q$258))</f>
        <v/>
      </c>
      <c r="E21" s="998" t="str">
        <f>IF(B21="","",SUMIF('D-1 Off-Site Habitat Baseline'!$AF$11:$AF$258,'Off-site gain site summary'!$B21,'D-1 Off-Site Habitat Baseline'!$X$11:$X$258))</f>
        <v/>
      </c>
      <c r="F21" s="999" t="str">
        <f>IF(B21="","",SUMIF('D-1 Off-Site Habitat Baseline'!$AF$11:$AF$258,'Off-site gain site summary'!$B21,'D-1 Off-Site Habitat Baseline'!$AY$11:$AY$258))</f>
        <v/>
      </c>
      <c r="G21" s="998" t="str">
        <f>IF(B21="","",SUMIF('D-3 Off-Site Habitat Enhancment'!$AU$12:$AU$258,'Off-site gain site summary'!B21,'D-3 Off-Site Habitat Enhancment'!$AQ$12:$AQ$258))</f>
        <v/>
      </c>
      <c r="H21" s="999" t="str">
        <f>IF(B21="","",SUMIF('D-3 Off-Site Habitat Enhancment'!$AU$12:$AU$258,'Off-site gain site summary'!B21,'D-3 Off-Site Habitat Enhancment'!$AP$12:$AP$258))</f>
        <v/>
      </c>
      <c r="I21" s="998" t="str">
        <f>IF(B21="","",SUMIF('D-2 Off-Site Habitat Creation'!$AF$11:$AF$256,'Off-site gain site summary'!B21,'D-2 Off-Site Habitat Creation'!$AB$11:$AB$256))</f>
        <v/>
      </c>
      <c r="J21" s="999" t="str">
        <f>IF(B21="","",SUMIF('D-2 Off-Site Habitat Creation'!$AF$11:$AF$256,'Off-site gain site summary'!B21,'D-2 Off-Site Habitat Creation'!$AA$11:$AA$256))</f>
        <v/>
      </c>
      <c r="K21" s="1000" t="str">
        <f t="shared" si="0"/>
        <v/>
      </c>
      <c r="L21" s="997" t="str">
        <f>IF(ISBLANK(B21),"",IFERROR(_xlfn.XLOOKUP(B21,'D-2 Off-Site Habitat Creation'!$AF$11:$AF$256,'D-2 Off-Site Habitat Creation'!$Z$11:$Z$256),IFERROR(_xlfn.XLOOKUP(B21,'D-1 Off-Site Habitat Baseline'!AF$11:AF$258,'D-1 Off-Site Habitat Baseline'!S$11:S$258)," ")))</f>
        <v/>
      </c>
      <c r="M21" s="983" t="str">
        <f t="shared" si="1"/>
        <v/>
      </c>
      <c r="N21" s="988">
        <f>'E-1 Off-Site Hedge Baseline'!AB24</f>
        <v>0</v>
      </c>
      <c r="O21" s="996"/>
      <c r="P21" s="1000" t="str">
        <f>IF(O21="","",SUMIF('E-1 Off-Site Hedge Baseline'!AB$10:AB$257,'Off-site gain site summary'!O21,'E-1 Off-Site Hedge Baseline'!Q$10:Q$257))</f>
        <v/>
      </c>
      <c r="Q21" s="1000" t="str">
        <f>IF(O21="","",SUMIF('E-1 Off-Site Hedge Baseline'!AB$10:AB$257,O21,'E-1 Off-Site Hedge Baseline'!N$10:N$257))</f>
        <v/>
      </c>
      <c r="R21" s="1000" t="str">
        <f>IF(O21="","",SUMIF('E-1 Off-Site Hedge Baseline'!$AB$10:$AB$257,'Off-site gain site summary'!$O21,'E-1 Off-Site Hedge Baseline'!$U$10:$U$257))</f>
        <v/>
      </c>
      <c r="S21" s="1000" t="str">
        <f>IF(O21="","",SUMIF('E-1 Off-Site Hedge Baseline'!$AB$10:$AB$257,'Off-site gain site summary'!$O21,'E-1 Off-Site Hedge Baseline'!$AY$10:$AY$257))</f>
        <v/>
      </c>
      <c r="T21" s="1000" t="str">
        <f>IF(O21="","",SUMIF('E-3 Off-Site Hedge Enhancement'!$AO$12:$AO$257,'Off-site gain site summary'!$O21,'E-3 Off-Site Hedge Enhancement'!$AK$12:$AK$257))</f>
        <v/>
      </c>
      <c r="U21" s="1000" t="str">
        <f>IF(O21="","",SUMIF('E-3 Off-Site Hedge Enhancement'!$AO$12:$AO$257,'Off-site gain site summary'!$O21,'E-3 Off-Site Hedge Enhancement'!$AJ$12:$AJ$257))</f>
        <v/>
      </c>
      <c r="V21" s="1000" t="str">
        <f>IF(O21="","",SUMIF('E-2 Off-Site Hedge Creation'!$AD$12:$AD$259,'Off-site gain site summary'!$O21,'E-2 Off-Site Hedge Creation'!$Z$12:$Z$259))</f>
        <v/>
      </c>
      <c r="W21" s="991" t="str">
        <f>IF(O21="","",SUMIF('E-2 Off-Site Hedge Creation'!$AD$12:$AD$259,'Off-site gain site summary'!$O21,'E-2 Off-Site Hedge Creation'!$Y$12:$Y$259))</f>
        <v/>
      </c>
      <c r="X21" s="991" t="str">
        <f t="shared" si="2"/>
        <v/>
      </c>
      <c r="Y21" s="991" t="str">
        <f>IF(ISBLANK(O21),"",IFERROR(_xlfn.XLOOKUP(O21,'E-2 Off-Site Hedge Creation'!$AD$12:$AD$259,'E-2 Off-Site Hedge Creation'!$N$12:$N$259),IFERROR(_xlfn.XLOOKUP(O21,'E-1 Off-Site Hedge Baseline'!$AB$10:$AB$257,'E-1 Off-Site Hedge Baseline'!$P$10:$P$257)," ")))</f>
        <v/>
      </c>
      <c r="Z21" s="986" t="str">
        <f t="shared" si="3"/>
        <v/>
      </c>
      <c r="AA21" s="992">
        <f>'F-1 Off-Site WaterC'' Baseline'!AH24</f>
        <v>0</v>
      </c>
      <c r="AB21" s="996"/>
      <c r="AC21" s="1000" t="str">
        <f>IF(AB21="","",SUMIF('F-1 Off-Site WaterC'' Baseline'!$AH$10:$AH$257,'Off-site gain site summary'!$AB21,'F-1 Off-Site WaterC'' Baseline'!$U$10:$U$257))</f>
        <v/>
      </c>
      <c r="AD21" s="1000" t="str">
        <f>IF(AB21="","",SUMIF('F-1 Off-Site WaterC'' Baseline'!$AH$10:$AH$257,'Off-site gain site summary'!$AB21,'F-1 Off-Site WaterC'' Baseline'!$R$10:$R$257))</f>
        <v/>
      </c>
      <c r="AE21" s="1000" t="str">
        <f>IF(AB21="","",SUMIF('F-1 Off-Site WaterC'' Baseline'!$AH$10:$AH$257,'Off-site gain site summary'!$AB21,'F-1 Off-Site WaterC'' Baseline'!$Z$10:$Z$257))</f>
        <v/>
      </c>
      <c r="AF21" s="1000" t="str">
        <f>IF(AB21="","",SUMIF('F-1 Off-Site WaterC'' Baseline'!$AH$10:$AH$257,'Off-site gain site summary'!$AB21,'F-1 Off-Site WaterC'' Baseline'!$BA$10:$BA$257))</f>
        <v/>
      </c>
      <c r="AG21" s="1000" t="str">
        <f>IF(AB21="","",SUMIF('F-3 Off-Site WaterC Enhancement'!$AT$12:$AT$257,'Off-site gain site summary'!$AB21,'F-3 Off-Site WaterC Enhancement'!$AP$12:$AP$257))</f>
        <v/>
      </c>
      <c r="AH21" s="1000" t="str">
        <f>IF(AB21="","",SUMIF('F-3 Off-Site WaterC Enhancement'!$AT$12:$AT$257,'Off-site gain site summary'!$AB21,'F-3 Off-Site WaterC Enhancement'!$AO$12:$AO$257))</f>
        <v/>
      </c>
      <c r="AI21" s="1000" t="str">
        <f>IF(AB21="","",SUMIF('F-2 Off-Site WaterC'' Creation'!$AG$12:$AG$259,'Off-site gain site summary'!$AB21,'F-2 Off-Site WaterC'' Creation'!$AC$12:$AC$259))</f>
        <v/>
      </c>
      <c r="AJ21" s="1000" t="str">
        <f>IF(AB21="","",SUMIF('F-2 Off-Site WaterC'' Creation'!$AG$12:$AG$259,'Off-site gain site summary'!$AB21,'F-2 Off-Site WaterC'' Creation'!$AB$12:$AB$259))</f>
        <v/>
      </c>
      <c r="AK21" s="1000" t="str">
        <f t="shared" si="4"/>
        <v/>
      </c>
      <c r="AL21" s="1000" t="str">
        <f>IF(ISBLANK(AB21),"",IFERROR(_xlfn.XLOOKUP(AB21,'F-2 Off-Site WaterC'' Creation'!$AG$12:$AG$258,'F-2 Off-Site WaterC'' Creation'!$AA$12:$AA$258),IFERROR(_xlfn.XLOOKUP(AB21,'F-1 Off-Site WaterC'' Baseline'!$AH$10:$AH$257,'F-1 Off-Site WaterC'' Baseline'!$T$10:$T$257)," ")))</f>
        <v/>
      </c>
      <c r="AM21" s="986" t="str">
        <f t="shared" si="5"/>
        <v/>
      </c>
      <c r="AN21" s="1469"/>
      <c r="AO21" s="1469"/>
    </row>
    <row r="22" spans="1:41" s="992" customFormat="1" ht="43.5" customHeight="1">
      <c r="A22" s="988">
        <f>'D-1 Off-Site Habitat Baseline'!AF26</f>
        <v>0</v>
      </c>
      <c r="B22" s="996"/>
      <c r="C22" s="997" t="str">
        <f>IF(B22="","",SUMIF('D-1 Off-Site Habitat Baseline'!AF26:AF273,B22,'D-1 Off-Site Habitat Baseline'!T26:T273))</f>
        <v/>
      </c>
      <c r="D22" s="990" t="str">
        <f>IF(B22="","",SUMIF('D-1 Off-Site Habitat Baseline'!$AF$11:$AF$258,B22,'D-1 Off-Site Habitat Baseline'!$Q$11:$Q$258))</f>
        <v/>
      </c>
      <c r="E22" s="998" t="str">
        <f>IF(B22="","",SUMIF('D-1 Off-Site Habitat Baseline'!$AF$11:$AF$258,'Off-site gain site summary'!$B22,'D-1 Off-Site Habitat Baseline'!$X$11:$X$258))</f>
        <v/>
      </c>
      <c r="F22" s="999" t="str">
        <f>IF(B22="","",SUMIF('D-1 Off-Site Habitat Baseline'!$AF$11:$AF$258,'Off-site gain site summary'!$B22,'D-1 Off-Site Habitat Baseline'!$AY$11:$AY$258))</f>
        <v/>
      </c>
      <c r="G22" s="998" t="str">
        <f>IF(B22="","",SUMIF('D-3 Off-Site Habitat Enhancment'!$AU$12:$AU$258,'Off-site gain site summary'!B22,'D-3 Off-Site Habitat Enhancment'!$AQ$12:$AQ$258))</f>
        <v/>
      </c>
      <c r="H22" s="999" t="str">
        <f>IF(B22="","",SUMIF('D-3 Off-Site Habitat Enhancment'!$AU$12:$AU$258,'Off-site gain site summary'!B22,'D-3 Off-Site Habitat Enhancment'!$AP$12:$AP$258))</f>
        <v/>
      </c>
      <c r="I22" s="998" t="str">
        <f>IF(B22="","",SUMIF('D-2 Off-Site Habitat Creation'!$AF$11:$AF$256,'Off-site gain site summary'!B22,'D-2 Off-Site Habitat Creation'!$AB$11:$AB$256))</f>
        <v/>
      </c>
      <c r="J22" s="999" t="str">
        <f>IF(B22="","",SUMIF('D-2 Off-Site Habitat Creation'!$AF$11:$AF$256,'Off-site gain site summary'!B22,'D-2 Off-Site Habitat Creation'!$AA$11:$AA$256))</f>
        <v/>
      </c>
      <c r="K22" s="1000" t="str">
        <f t="shared" si="0"/>
        <v/>
      </c>
      <c r="L22" s="997" t="str">
        <f>IF(ISBLANK(B22),"",IFERROR(_xlfn.XLOOKUP(B22,'D-2 Off-Site Habitat Creation'!$AF$11:$AF$256,'D-2 Off-Site Habitat Creation'!$Z$11:$Z$256),IFERROR(_xlfn.XLOOKUP(B22,'D-1 Off-Site Habitat Baseline'!AF$11:AF$258,'D-1 Off-Site Habitat Baseline'!S$11:S$258)," ")))</f>
        <v/>
      </c>
      <c r="M22" s="983" t="str">
        <f t="shared" si="1"/>
        <v/>
      </c>
      <c r="N22" s="988">
        <f>'E-1 Off-Site Hedge Baseline'!AB25</f>
        <v>0</v>
      </c>
      <c r="O22" s="996"/>
      <c r="P22" s="1000" t="str">
        <f>IF(O22="","",SUMIF('E-1 Off-Site Hedge Baseline'!AB$10:AB$257,'Off-site gain site summary'!O22,'E-1 Off-Site Hedge Baseline'!Q$10:Q$257))</f>
        <v/>
      </c>
      <c r="Q22" s="1000" t="str">
        <f>IF(O22="","",SUMIF('E-1 Off-Site Hedge Baseline'!AB$10:AB$257,O22,'E-1 Off-Site Hedge Baseline'!N$10:N$257))</f>
        <v/>
      </c>
      <c r="R22" s="1000" t="str">
        <f>IF(O22="","",SUMIF('E-1 Off-Site Hedge Baseline'!$AB$10:$AB$257,'Off-site gain site summary'!$O22,'E-1 Off-Site Hedge Baseline'!$U$10:$U$257))</f>
        <v/>
      </c>
      <c r="S22" s="1000" t="str">
        <f>IF(O22="","",SUMIF('E-1 Off-Site Hedge Baseline'!$AB$10:$AB$257,'Off-site gain site summary'!$O22,'E-1 Off-Site Hedge Baseline'!$AY$10:$AY$257))</f>
        <v/>
      </c>
      <c r="T22" s="1000" t="str">
        <f>IF(O22="","",SUMIF('E-3 Off-Site Hedge Enhancement'!$AO$12:$AO$257,'Off-site gain site summary'!$O22,'E-3 Off-Site Hedge Enhancement'!$AK$12:$AK$257))</f>
        <v/>
      </c>
      <c r="U22" s="1000" t="str">
        <f>IF(O22="","",SUMIF('E-3 Off-Site Hedge Enhancement'!$AO$12:$AO$257,'Off-site gain site summary'!$O22,'E-3 Off-Site Hedge Enhancement'!$AJ$12:$AJ$257))</f>
        <v/>
      </c>
      <c r="V22" s="1000" t="str">
        <f>IF(O22="","",SUMIF('E-2 Off-Site Hedge Creation'!$AD$12:$AD$259,'Off-site gain site summary'!$O22,'E-2 Off-Site Hedge Creation'!$Z$12:$Z$259))</f>
        <v/>
      </c>
      <c r="W22" s="991" t="str">
        <f>IF(O22="","",SUMIF('E-2 Off-Site Hedge Creation'!$AD$12:$AD$259,'Off-site gain site summary'!$O22,'E-2 Off-Site Hedge Creation'!$Y$12:$Y$259))</f>
        <v/>
      </c>
      <c r="X22" s="991" t="str">
        <f t="shared" si="2"/>
        <v/>
      </c>
      <c r="Y22" s="991" t="str">
        <f>IF(ISBLANK(O22),"",IFERROR(_xlfn.XLOOKUP(O22,'E-2 Off-Site Hedge Creation'!$AD$12:$AD$259,'E-2 Off-Site Hedge Creation'!$N$12:$N$259),IFERROR(_xlfn.XLOOKUP(O22,'E-1 Off-Site Hedge Baseline'!$AB$10:$AB$257,'E-1 Off-Site Hedge Baseline'!$P$10:$P$257)," ")))</f>
        <v/>
      </c>
      <c r="Z22" s="986" t="str">
        <f t="shared" si="3"/>
        <v/>
      </c>
      <c r="AA22" s="992">
        <f>'F-1 Off-Site WaterC'' Baseline'!AH25</f>
        <v>0</v>
      </c>
      <c r="AB22" s="996"/>
      <c r="AC22" s="1000" t="str">
        <f>IF(AB22="","",SUMIF('F-1 Off-Site WaterC'' Baseline'!$AH$10:$AH$257,'Off-site gain site summary'!$AB22,'F-1 Off-Site WaterC'' Baseline'!$U$10:$U$257))</f>
        <v/>
      </c>
      <c r="AD22" s="1000" t="str">
        <f>IF(AB22="","",SUMIF('F-1 Off-Site WaterC'' Baseline'!$AH$10:$AH$257,'Off-site gain site summary'!$AB22,'F-1 Off-Site WaterC'' Baseline'!$R$10:$R$257))</f>
        <v/>
      </c>
      <c r="AE22" s="1000" t="str">
        <f>IF(AB22="","",SUMIF('F-1 Off-Site WaterC'' Baseline'!$AH$10:$AH$257,'Off-site gain site summary'!$AB22,'F-1 Off-Site WaterC'' Baseline'!$Z$10:$Z$257))</f>
        <v/>
      </c>
      <c r="AF22" s="1000" t="str">
        <f>IF(AB22="","",SUMIF('F-1 Off-Site WaterC'' Baseline'!$AH$10:$AH$257,'Off-site gain site summary'!$AB22,'F-1 Off-Site WaterC'' Baseline'!$BA$10:$BA$257))</f>
        <v/>
      </c>
      <c r="AG22" s="1000" t="str">
        <f>IF(AB22="","",SUMIF('F-3 Off-Site WaterC Enhancement'!$AT$12:$AT$257,'Off-site gain site summary'!$AB22,'F-3 Off-Site WaterC Enhancement'!$AP$12:$AP$257))</f>
        <v/>
      </c>
      <c r="AH22" s="1000" t="str">
        <f>IF(AB22="","",SUMIF('F-3 Off-Site WaterC Enhancement'!$AT$12:$AT$257,'Off-site gain site summary'!$AB22,'F-3 Off-Site WaterC Enhancement'!$AO$12:$AO$257))</f>
        <v/>
      </c>
      <c r="AI22" s="1000" t="str">
        <f>IF(AB22="","",SUMIF('F-2 Off-Site WaterC'' Creation'!$AG$12:$AG$259,'Off-site gain site summary'!$AB22,'F-2 Off-Site WaterC'' Creation'!$AC$12:$AC$259))</f>
        <v/>
      </c>
      <c r="AJ22" s="1000" t="str">
        <f>IF(AB22="","",SUMIF('F-2 Off-Site WaterC'' Creation'!$AG$12:$AG$259,'Off-site gain site summary'!$AB22,'F-2 Off-Site WaterC'' Creation'!$AB$12:$AB$259))</f>
        <v/>
      </c>
      <c r="AK22" s="1000" t="str">
        <f t="shared" si="4"/>
        <v/>
      </c>
      <c r="AL22" s="1000" t="str">
        <f>IF(ISBLANK(AB22),"",IFERROR(_xlfn.XLOOKUP(AB22,'F-2 Off-Site WaterC'' Creation'!$AG$12:$AG$258,'F-2 Off-Site WaterC'' Creation'!$AA$12:$AA$258),IFERROR(_xlfn.XLOOKUP(AB22,'F-1 Off-Site WaterC'' Baseline'!$AH$10:$AH$257,'F-1 Off-Site WaterC'' Baseline'!$T$10:$T$257)," ")))</f>
        <v/>
      </c>
      <c r="AM22" s="986" t="str">
        <f t="shared" si="5"/>
        <v/>
      </c>
      <c r="AN22" s="1469"/>
      <c r="AO22" s="1469"/>
    </row>
    <row r="23" spans="1:41" s="992" customFormat="1" ht="43.5" customHeight="1">
      <c r="A23" s="988">
        <f>'D-1 Off-Site Habitat Baseline'!AF27</f>
        <v>0</v>
      </c>
      <c r="B23" s="996"/>
      <c r="C23" s="997" t="str">
        <f>IF(B23="","",SUMIF('D-1 Off-Site Habitat Baseline'!AF27:AF274,B23,'D-1 Off-Site Habitat Baseline'!T27:T274))</f>
        <v/>
      </c>
      <c r="D23" s="990" t="str">
        <f>IF(B23="","",SUMIF('D-1 Off-Site Habitat Baseline'!$AF$11:$AF$258,B23,'D-1 Off-Site Habitat Baseline'!$Q$11:$Q$258))</f>
        <v/>
      </c>
      <c r="E23" s="998" t="str">
        <f>IF(B23="","",SUMIF('D-1 Off-Site Habitat Baseline'!$AF$11:$AF$258,'Off-site gain site summary'!$B23,'D-1 Off-Site Habitat Baseline'!$X$11:$X$258))</f>
        <v/>
      </c>
      <c r="F23" s="999" t="str">
        <f>IF(B23="","",SUMIF('D-1 Off-Site Habitat Baseline'!$AF$11:$AF$258,'Off-site gain site summary'!$B23,'D-1 Off-Site Habitat Baseline'!$AY$11:$AY$258))</f>
        <v/>
      </c>
      <c r="G23" s="998" t="str">
        <f>IF(B23="","",SUMIF('D-3 Off-Site Habitat Enhancment'!$AU$12:$AU$258,'Off-site gain site summary'!B23,'D-3 Off-Site Habitat Enhancment'!$AQ$12:$AQ$258))</f>
        <v/>
      </c>
      <c r="H23" s="999" t="str">
        <f>IF(B23="","",SUMIF('D-3 Off-Site Habitat Enhancment'!$AU$12:$AU$258,'Off-site gain site summary'!B23,'D-3 Off-Site Habitat Enhancment'!$AP$12:$AP$258))</f>
        <v/>
      </c>
      <c r="I23" s="998" t="str">
        <f>IF(B23="","",SUMIF('D-2 Off-Site Habitat Creation'!$AF$11:$AF$256,'Off-site gain site summary'!B23,'D-2 Off-Site Habitat Creation'!$AB$11:$AB$256))</f>
        <v/>
      </c>
      <c r="J23" s="999" t="str">
        <f>IF(B23="","",SUMIF('D-2 Off-Site Habitat Creation'!$AF$11:$AF$256,'Off-site gain site summary'!B23,'D-2 Off-Site Habitat Creation'!$AA$11:$AA$256))</f>
        <v/>
      </c>
      <c r="K23" s="1000" t="str">
        <f t="shared" si="0"/>
        <v/>
      </c>
      <c r="L23" s="997" t="str">
        <f>IF(ISBLANK(B23),"",IFERROR(_xlfn.XLOOKUP(B23,'D-2 Off-Site Habitat Creation'!$AF$11:$AF$256,'D-2 Off-Site Habitat Creation'!$Z$11:$Z$256),IFERROR(_xlfn.XLOOKUP(B23,'D-1 Off-Site Habitat Baseline'!AF$11:AF$258,'D-1 Off-Site Habitat Baseline'!S$11:S$258)," ")))</f>
        <v/>
      </c>
      <c r="M23" s="983" t="str">
        <f t="shared" si="1"/>
        <v/>
      </c>
      <c r="N23" s="988">
        <f>'E-1 Off-Site Hedge Baseline'!AB26</f>
        <v>0</v>
      </c>
      <c r="O23" s="996"/>
      <c r="P23" s="1000" t="str">
        <f>IF(O23="","",SUMIF('E-1 Off-Site Hedge Baseline'!AB$10:AB$257,'Off-site gain site summary'!O23,'E-1 Off-Site Hedge Baseline'!Q$10:Q$257))</f>
        <v/>
      </c>
      <c r="Q23" s="1000" t="str">
        <f>IF(O23="","",SUMIF('E-1 Off-Site Hedge Baseline'!AB$10:AB$257,O23,'E-1 Off-Site Hedge Baseline'!N$10:N$257))</f>
        <v/>
      </c>
      <c r="R23" s="1000" t="str">
        <f>IF(O23="","",SUMIF('E-1 Off-Site Hedge Baseline'!$AB$10:$AB$257,'Off-site gain site summary'!$O23,'E-1 Off-Site Hedge Baseline'!$U$10:$U$257))</f>
        <v/>
      </c>
      <c r="S23" s="1000" t="str">
        <f>IF(O23="","",SUMIF('E-1 Off-Site Hedge Baseline'!$AB$10:$AB$257,'Off-site gain site summary'!$O23,'E-1 Off-Site Hedge Baseline'!$AY$10:$AY$257))</f>
        <v/>
      </c>
      <c r="T23" s="1000" t="str">
        <f>IF(O23="","",SUMIF('E-3 Off-Site Hedge Enhancement'!$AO$12:$AO$257,'Off-site gain site summary'!$O23,'E-3 Off-Site Hedge Enhancement'!$AK$12:$AK$257))</f>
        <v/>
      </c>
      <c r="U23" s="1000" t="str">
        <f>IF(O23="","",SUMIF('E-3 Off-Site Hedge Enhancement'!$AO$12:$AO$257,'Off-site gain site summary'!$O23,'E-3 Off-Site Hedge Enhancement'!$AJ$12:$AJ$257))</f>
        <v/>
      </c>
      <c r="V23" s="1000" t="str">
        <f>IF(O23="","",SUMIF('E-2 Off-Site Hedge Creation'!$AD$12:$AD$259,'Off-site gain site summary'!$O23,'E-2 Off-Site Hedge Creation'!$Z$12:$Z$259))</f>
        <v/>
      </c>
      <c r="W23" s="991" t="str">
        <f>IF(O23="","",SUMIF('E-2 Off-Site Hedge Creation'!$AD$12:$AD$259,'Off-site gain site summary'!$O23,'E-2 Off-Site Hedge Creation'!$Y$12:$Y$259))</f>
        <v/>
      </c>
      <c r="X23" s="991" t="str">
        <f t="shared" si="2"/>
        <v/>
      </c>
      <c r="Y23" s="991" t="str">
        <f>IF(ISBLANK(O23),"",IFERROR(_xlfn.XLOOKUP(O23,'E-2 Off-Site Hedge Creation'!$AD$12:$AD$259,'E-2 Off-Site Hedge Creation'!$N$12:$N$259),IFERROR(_xlfn.XLOOKUP(O23,'E-1 Off-Site Hedge Baseline'!$AB$10:$AB$257,'E-1 Off-Site Hedge Baseline'!$P$10:$P$257)," ")))</f>
        <v/>
      </c>
      <c r="Z23" s="986" t="str">
        <f t="shared" si="3"/>
        <v/>
      </c>
      <c r="AA23" s="992">
        <f>'F-1 Off-Site WaterC'' Baseline'!AH26</f>
        <v>0</v>
      </c>
      <c r="AB23" s="996"/>
      <c r="AC23" s="1000" t="str">
        <f>IF(AB23="","",SUMIF('F-1 Off-Site WaterC'' Baseline'!$AH$10:$AH$257,'Off-site gain site summary'!$AB23,'F-1 Off-Site WaterC'' Baseline'!$U$10:$U$257))</f>
        <v/>
      </c>
      <c r="AD23" s="1000" t="str">
        <f>IF(AB23="","",SUMIF('F-1 Off-Site WaterC'' Baseline'!$AH$10:$AH$257,'Off-site gain site summary'!$AB23,'F-1 Off-Site WaterC'' Baseline'!$R$10:$R$257))</f>
        <v/>
      </c>
      <c r="AE23" s="1000" t="str">
        <f>IF(AB23="","",SUMIF('F-1 Off-Site WaterC'' Baseline'!$AH$10:$AH$257,'Off-site gain site summary'!$AB23,'F-1 Off-Site WaterC'' Baseline'!$Z$10:$Z$257))</f>
        <v/>
      </c>
      <c r="AF23" s="1000" t="str">
        <f>IF(AB23="","",SUMIF('F-1 Off-Site WaterC'' Baseline'!$AH$10:$AH$257,'Off-site gain site summary'!$AB23,'F-1 Off-Site WaterC'' Baseline'!$BA$10:$BA$257))</f>
        <v/>
      </c>
      <c r="AG23" s="1000" t="str">
        <f>IF(AB23="","",SUMIF('F-3 Off-Site WaterC Enhancement'!$AT$12:$AT$257,'Off-site gain site summary'!$AB23,'F-3 Off-Site WaterC Enhancement'!$AP$12:$AP$257))</f>
        <v/>
      </c>
      <c r="AH23" s="1000" t="str">
        <f>IF(AB23="","",SUMIF('F-3 Off-Site WaterC Enhancement'!$AT$12:$AT$257,'Off-site gain site summary'!$AB23,'F-3 Off-Site WaterC Enhancement'!$AO$12:$AO$257))</f>
        <v/>
      </c>
      <c r="AI23" s="1000" t="str">
        <f>IF(AB23="","",SUMIF('F-2 Off-Site WaterC'' Creation'!$AG$12:$AG$259,'Off-site gain site summary'!$AB23,'F-2 Off-Site WaterC'' Creation'!$AC$12:$AC$259))</f>
        <v/>
      </c>
      <c r="AJ23" s="1000" t="str">
        <f>IF(AB23="","",SUMIF('F-2 Off-Site WaterC'' Creation'!$AG$12:$AG$259,'Off-site gain site summary'!$AB23,'F-2 Off-Site WaterC'' Creation'!$AB$12:$AB$259))</f>
        <v/>
      </c>
      <c r="AK23" s="1000" t="str">
        <f t="shared" si="4"/>
        <v/>
      </c>
      <c r="AL23" s="1000" t="str">
        <f>IF(ISBLANK(AB23),"",IFERROR(_xlfn.XLOOKUP(AB23,'F-2 Off-Site WaterC'' Creation'!$AG$12:$AG$258,'F-2 Off-Site WaterC'' Creation'!$AA$12:$AA$258),IFERROR(_xlfn.XLOOKUP(AB23,'F-1 Off-Site WaterC'' Baseline'!$AH$10:$AH$257,'F-1 Off-Site WaterC'' Baseline'!$T$10:$T$257)," ")))</f>
        <v/>
      </c>
      <c r="AM23" s="986" t="str">
        <f t="shared" si="5"/>
        <v/>
      </c>
      <c r="AN23" s="1469"/>
      <c r="AO23" s="1469"/>
    </row>
    <row r="24" spans="1:41" s="992" customFormat="1" ht="43.5" customHeight="1">
      <c r="A24" s="988">
        <f>'D-1 Off-Site Habitat Baseline'!AF28</f>
        <v>0</v>
      </c>
      <c r="B24" s="996"/>
      <c r="C24" s="997" t="str">
        <f>IF(B24="","",SUMIF('D-1 Off-Site Habitat Baseline'!AF28:AF275,B24,'D-1 Off-Site Habitat Baseline'!T28:T275))</f>
        <v/>
      </c>
      <c r="D24" s="990" t="str">
        <f>IF(B24="","",SUMIF('D-1 Off-Site Habitat Baseline'!$AF$11:$AF$258,B24,'D-1 Off-Site Habitat Baseline'!$Q$11:$Q$258))</f>
        <v/>
      </c>
      <c r="E24" s="998" t="str">
        <f>IF(B24="","",SUMIF('D-1 Off-Site Habitat Baseline'!$AF$11:$AF$258,'Off-site gain site summary'!$B24,'D-1 Off-Site Habitat Baseline'!$X$11:$X$258))</f>
        <v/>
      </c>
      <c r="F24" s="999" t="str">
        <f>IF(B24="","",SUMIF('D-1 Off-Site Habitat Baseline'!$AF$11:$AF$258,'Off-site gain site summary'!$B24,'D-1 Off-Site Habitat Baseline'!$AY$11:$AY$258))</f>
        <v/>
      </c>
      <c r="G24" s="998" t="str">
        <f>IF(B24="","",SUMIF('D-3 Off-Site Habitat Enhancment'!$AU$12:$AU$258,'Off-site gain site summary'!B24,'D-3 Off-Site Habitat Enhancment'!$AQ$12:$AQ$258))</f>
        <v/>
      </c>
      <c r="H24" s="999" t="str">
        <f>IF(B24="","",SUMIF('D-3 Off-Site Habitat Enhancment'!$AU$12:$AU$258,'Off-site gain site summary'!B24,'D-3 Off-Site Habitat Enhancment'!$AP$12:$AP$258))</f>
        <v/>
      </c>
      <c r="I24" s="998" t="str">
        <f>IF(B24="","",SUMIF('D-2 Off-Site Habitat Creation'!$AF$11:$AF$256,'Off-site gain site summary'!B24,'D-2 Off-Site Habitat Creation'!$AB$11:$AB$256))</f>
        <v/>
      </c>
      <c r="J24" s="999" t="str">
        <f>IF(B24="","",SUMIF('D-2 Off-Site Habitat Creation'!$AF$11:$AF$256,'Off-site gain site summary'!B24,'D-2 Off-Site Habitat Creation'!$AA$11:$AA$256))</f>
        <v/>
      </c>
      <c r="K24" s="1000" t="str">
        <f t="shared" si="0"/>
        <v/>
      </c>
      <c r="L24" s="997" t="str">
        <f>IF(ISBLANK(B24),"",IFERROR(_xlfn.XLOOKUP(B24,'D-2 Off-Site Habitat Creation'!$AF$11:$AF$256,'D-2 Off-Site Habitat Creation'!$Z$11:$Z$256),IFERROR(_xlfn.XLOOKUP(B24,'D-1 Off-Site Habitat Baseline'!AF$11:AF$258,'D-1 Off-Site Habitat Baseline'!S$11:S$258)," ")))</f>
        <v/>
      </c>
      <c r="M24" s="983" t="str">
        <f t="shared" si="1"/>
        <v/>
      </c>
      <c r="N24" s="988">
        <f>'E-1 Off-Site Hedge Baseline'!AB27</f>
        <v>0</v>
      </c>
      <c r="O24" s="996"/>
      <c r="P24" s="1000" t="str">
        <f>IF(O24="","",SUMIF('E-1 Off-Site Hedge Baseline'!AB$10:AB$257,'Off-site gain site summary'!O24,'E-1 Off-Site Hedge Baseline'!Q$10:Q$257))</f>
        <v/>
      </c>
      <c r="Q24" s="1000" t="str">
        <f>IF(O24="","",SUMIF('E-1 Off-Site Hedge Baseline'!AB$10:AB$257,O24,'E-1 Off-Site Hedge Baseline'!N$10:N$257))</f>
        <v/>
      </c>
      <c r="R24" s="1000" t="str">
        <f>IF(O24="","",SUMIF('E-1 Off-Site Hedge Baseline'!$AB$10:$AB$257,'Off-site gain site summary'!$O24,'E-1 Off-Site Hedge Baseline'!$U$10:$U$257))</f>
        <v/>
      </c>
      <c r="S24" s="1000" t="str">
        <f>IF(O24="","",SUMIF('E-1 Off-Site Hedge Baseline'!$AB$10:$AB$257,'Off-site gain site summary'!$O24,'E-1 Off-Site Hedge Baseline'!$AY$10:$AY$257))</f>
        <v/>
      </c>
      <c r="T24" s="1000" t="str">
        <f>IF(O24="","",SUMIF('E-3 Off-Site Hedge Enhancement'!$AO$12:$AO$257,'Off-site gain site summary'!$O24,'E-3 Off-Site Hedge Enhancement'!$AK$12:$AK$257))</f>
        <v/>
      </c>
      <c r="U24" s="1000" t="str">
        <f>IF(O24="","",SUMIF('E-3 Off-Site Hedge Enhancement'!$AO$12:$AO$257,'Off-site gain site summary'!$O24,'E-3 Off-Site Hedge Enhancement'!$AJ$12:$AJ$257))</f>
        <v/>
      </c>
      <c r="V24" s="1000" t="str">
        <f>IF(O24="","",SUMIF('E-2 Off-Site Hedge Creation'!$AD$12:$AD$259,'Off-site gain site summary'!$O24,'E-2 Off-Site Hedge Creation'!$Z$12:$Z$259))</f>
        <v/>
      </c>
      <c r="W24" s="991" t="str">
        <f>IF(O24="","",SUMIF('E-2 Off-Site Hedge Creation'!$AD$12:$AD$259,'Off-site gain site summary'!$O24,'E-2 Off-Site Hedge Creation'!$Y$12:$Y$259))</f>
        <v/>
      </c>
      <c r="X24" s="991" t="str">
        <f t="shared" si="2"/>
        <v/>
      </c>
      <c r="Y24" s="991" t="str">
        <f>IF(ISBLANK(O24),"",IFERROR(_xlfn.XLOOKUP(O24,'E-2 Off-Site Hedge Creation'!$AD$12:$AD$259,'E-2 Off-Site Hedge Creation'!$N$12:$N$259),IFERROR(_xlfn.XLOOKUP(O24,'E-1 Off-Site Hedge Baseline'!$AB$10:$AB$257,'E-1 Off-Site Hedge Baseline'!$P$10:$P$257)," ")))</f>
        <v/>
      </c>
      <c r="Z24" s="986" t="str">
        <f t="shared" si="3"/>
        <v/>
      </c>
      <c r="AA24" s="992">
        <f>'F-1 Off-Site WaterC'' Baseline'!AH27</f>
        <v>0</v>
      </c>
      <c r="AB24" s="996"/>
      <c r="AC24" s="1000" t="str">
        <f>IF(AB24="","",SUMIF('F-1 Off-Site WaterC'' Baseline'!$AH$10:$AH$257,'Off-site gain site summary'!$AB24,'F-1 Off-Site WaterC'' Baseline'!$U$10:$U$257))</f>
        <v/>
      </c>
      <c r="AD24" s="1000" t="str">
        <f>IF(AB24="","",SUMIF('F-1 Off-Site WaterC'' Baseline'!$AH$10:$AH$257,'Off-site gain site summary'!$AB24,'F-1 Off-Site WaterC'' Baseline'!$R$10:$R$257))</f>
        <v/>
      </c>
      <c r="AE24" s="1000" t="str">
        <f>IF(AB24="","",SUMIF('F-1 Off-Site WaterC'' Baseline'!$AH$10:$AH$257,'Off-site gain site summary'!$AB24,'F-1 Off-Site WaterC'' Baseline'!$Z$10:$Z$257))</f>
        <v/>
      </c>
      <c r="AF24" s="1000" t="str">
        <f>IF(AB24="","",SUMIF('F-1 Off-Site WaterC'' Baseline'!$AH$10:$AH$257,'Off-site gain site summary'!$AB24,'F-1 Off-Site WaterC'' Baseline'!$BA$10:$BA$257))</f>
        <v/>
      </c>
      <c r="AG24" s="1000" t="str">
        <f>IF(AB24="","",SUMIF('F-3 Off-Site WaterC Enhancement'!$AT$12:$AT$257,'Off-site gain site summary'!$AB24,'F-3 Off-Site WaterC Enhancement'!$AP$12:$AP$257))</f>
        <v/>
      </c>
      <c r="AH24" s="1000" t="str">
        <f>IF(AB24="","",SUMIF('F-3 Off-Site WaterC Enhancement'!$AT$12:$AT$257,'Off-site gain site summary'!$AB24,'F-3 Off-Site WaterC Enhancement'!$AO$12:$AO$257))</f>
        <v/>
      </c>
      <c r="AI24" s="1000" t="str">
        <f>IF(AB24="","",SUMIF('F-2 Off-Site WaterC'' Creation'!$AG$12:$AG$259,'Off-site gain site summary'!$AB24,'F-2 Off-Site WaterC'' Creation'!$AC$12:$AC$259))</f>
        <v/>
      </c>
      <c r="AJ24" s="1000" t="str">
        <f>IF(AB24="","",SUMIF('F-2 Off-Site WaterC'' Creation'!$AG$12:$AG$259,'Off-site gain site summary'!$AB24,'F-2 Off-Site WaterC'' Creation'!$AB$12:$AB$259))</f>
        <v/>
      </c>
      <c r="AK24" s="1000" t="str">
        <f t="shared" si="4"/>
        <v/>
      </c>
      <c r="AL24" s="1000" t="str">
        <f>IF(ISBLANK(AB24),"",IFERROR(_xlfn.XLOOKUP(AB24,'F-2 Off-Site WaterC'' Creation'!$AG$12:$AG$258,'F-2 Off-Site WaterC'' Creation'!$AA$12:$AA$258),IFERROR(_xlfn.XLOOKUP(AB24,'F-1 Off-Site WaterC'' Baseline'!$AH$10:$AH$257,'F-1 Off-Site WaterC'' Baseline'!$T$10:$T$257)," ")))</f>
        <v/>
      </c>
      <c r="AM24" s="986" t="str">
        <f t="shared" si="5"/>
        <v/>
      </c>
      <c r="AN24" s="1469"/>
      <c r="AO24" s="1469"/>
    </row>
    <row r="25" spans="1:41" s="992" customFormat="1" ht="43.5" customHeight="1">
      <c r="A25" s="988">
        <f>'D-1 Off-Site Habitat Baseline'!AF29</f>
        <v>0</v>
      </c>
      <c r="B25" s="996"/>
      <c r="C25" s="997" t="str">
        <f>IF(B25="","",SUMIF('D-1 Off-Site Habitat Baseline'!AF29:AF276,B25,'D-1 Off-Site Habitat Baseline'!T29:T276))</f>
        <v/>
      </c>
      <c r="D25" s="990" t="str">
        <f>IF(B25="","",SUMIF('D-1 Off-Site Habitat Baseline'!$AF$11:$AF$258,B25,'D-1 Off-Site Habitat Baseline'!$Q$11:$Q$258))</f>
        <v/>
      </c>
      <c r="E25" s="998" t="str">
        <f>IF(B25="","",SUMIF('D-1 Off-Site Habitat Baseline'!$AF$11:$AF$258,'Off-site gain site summary'!$B25,'D-1 Off-Site Habitat Baseline'!$X$11:$X$258))</f>
        <v/>
      </c>
      <c r="F25" s="999" t="str">
        <f>IF(B25="","",SUMIF('D-1 Off-Site Habitat Baseline'!$AF$11:$AF$258,'Off-site gain site summary'!$B25,'D-1 Off-Site Habitat Baseline'!$AY$11:$AY$258))</f>
        <v/>
      </c>
      <c r="G25" s="998" t="str">
        <f>IF(B25="","",SUMIF('D-3 Off-Site Habitat Enhancment'!$AU$12:$AU$258,'Off-site gain site summary'!B25,'D-3 Off-Site Habitat Enhancment'!$AQ$12:$AQ$258))</f>
        <v/>
      </c>
      <c r="H25" s="999" t="str">
        <f>IF(B25="","",SUMIF('D-3 Off-Site Habitat Enhancment'!$AU$12:$AU$258,'Off-site gain site summary'!B25,'D-3 Off-Site Habitat Enhancment'!$AP$12:$AP$258))</f>
        <v/>
      </c>
      <c r="I25" s="998" t="str">
        <f>IF(B25="","",SUMIF('D-2 Off-Site Habitat Creation'!$AF$11:$AF$256,'Off-site gain site summary'!B25,'D-2 Off-Site Habitat Creation'!$AB$11:$AB$256))</f>
        <v/>
      </c>
      <c r="J25" s="999" t="str">
        <f>IF(B25="","",SUMIF('D-2 Off-Site Habitat Creation'!$AF$11:$AF$256,'Off-site gain site summary'!B25,'D-2 Off-Site Habitat Creation'!$AA$11:$AA$256))</f>
        <v/>
      </c>
      <c r="K25" s="1000" t="str">
        <f t="shared" si="0"/>
        <v/>
      </c>
      <c r="L25" s="997" t="str">
        <f>IF(ISBLANK(B25),"",IFERROR(_xlfn.XLOOKUP(B25,'D-2 Off-Site Habitat Creation'!$AF$11:$AF$256,'D-2 Off-Site Habitat Creation'!$Z$11:$Z$256),IFERROR(_xlfn.XLOOKUP(B25,'D-1 Off-Site Habitat Baseline'!AF$11:AF$258,'D-1 Off-Site Habitat Baseline'!S$11:S$258)," ")))</f>
        <v/>
      </c>
      <c r="M25" s="983" t="str">
        <f t="shared" si="1"/>
        <v/>
      </c>
      <c r="N25" s="988">
        <f>'E-1 Off-Site Hedge Baseline'!AB28</f>
        <v>0</v>
      </c>
      <c r="O25" s="996"/>
      <c r="P25" s="1000" t="str">
        <f>IF(O25="","",SUMIF('E-1 Off-Site Hedge Baseline'!AB$10:AB$257,'Off-site gain site summary'!O25,'E-1 Off-Site Hedge Baseline'!Q$10:Q$257))</f>
        <v/>
      </c>
      <c r="Q25" s="1000" t="str">
        <f>IF(O25="","",SUMIF('E-1 Off-Site Hedge Baseline'!AB$10:AB$257,O25,'E-1 Off-Site Hedge Baseline'!N$10:N$257))</f>
        <v/>
      </c>
      <c r="R25" s="1000" t="str">
        <f>IF(O25="","",SUMIF('E-1 Off-Site Hedge Baseline'!$AB$10:$AB$257,'Off-site gain site summary'!$O25,'E-1 Off-Site Hedge Baseline'!$U$10:$U$257))</f>
        <v/>
      </c>
      <c r="S25" s="1000" t="str">
        <f>IF(O25="","",SUMIF('E-1 Off-Site Hedge Baseline'!$AB$10:$AB$257,'Off-site gain site summary'!$O25,'E-1 Off-Site Hedge Baseline'!$AY$10:$AY$257))</f>
        <v/>
      </c>
      <c r="T25" s="1000" t="str">
        <f>IF(O25="","",SUMIF('E-3 Off-Site Hedge Enhancement'!$AO$12:$AO$257,'Off-site gain site summary'!$O25,'E-3 Off-Site Hedge Enhancement'!$AK$12:$AK$257))</f>
        <v/>
      </c>
      <c r="U25" s="1000" t="str">
        <f>IF(O25="","",SUMIF('E-3 Off-Site Hedge Enhancement'!$AO$12:$AO$257,'Off-site gain site summary'!$O25,'E-3 Off-Site Hedge Enhancement'!$AJ$12:$AJ$257))</f>
        <v/>
      </c>
      <c r="V25" s="1000" t="str">
        <f>IF(O25="","",SUMIF('E-2 Off-Site Hedge Creation'!$AD$12:$AD$259,'Off-site gain site summary'!$O25,'E-2 Off-Site Hedge Creation'!$Z$12:$Z$259))</f>
        <v/>
      </c>
      <c r="W25" s="991" t="str">
        <f>IF(O25="","",SUMIF('E-2 Off-Site Hedge Creation'!$AD$12:$AD$259,'Off-site gain site summary'!$O25,'E-2 Off-Site Hedge Creation'!$Y$12:$Y$259))</f>
        <v/>
      </c>
      <c r="X25" s="991" t="str">
        <f t="shared" si="2"/>
        <v/>
      </c>
      <c r="Y25" s="991" t="str">
        <f>IF(ISBLANK(O25),"",IFERROR(_xlfn.XLOOKUP(O25,'E-2 Off-Site Hedge Creation'!$AD$12:$AD$259,'E-2 Off-Site Hedge Creation'!$N$12:$N$259),IFERROR(_xlfn.XLOOKUP(O25,'E-1 Off-Site Hedge Baseline'!$AB$10:$AB$257,'E-1 Off-Site Hedge Baseline'!$P$10:$P$257)," ")))</f>
        <v/>
      </c>
      <c r="Z25" s="986" t="str">
        <f t="shared" si="3"/>
        <v/>
      </c>
      <c r="AA25" s="992">
        <f>'F-1 Off-Site WaterC'' Baseline'!AH28</f>
        <v>0</v>
      </c>
      <c r="AB25" s="996"/>
      <c r="AC25" s="1000" t="str">
        <f>IF(AB25="","",SUMIF('F-1 Off-Site WaterC'' Baseline'!$AH$10:$AH$257,'Off-site gain site summary'!$AB25,'F-1 Off-Site WaterC'' Baseline'!$U$10:$U$257))</f>
        <v/>
      </c>
      <c r="AD25" s="1000" t="str">
        <f>IF(AB25="","",SUMIF('F-1 Off-Site WaterC'' Baseline'!$AH$10:$AH$257,'Off-site gain site summary'!$AB25,'F-1 Off-Site WaterC'' Baseline'!$R$10:$R$257))</f>
        <v/>
      </c>
      <c r="AE25" s="1000" t="str">
        <f>IF(AB25="","",SUMIF('F-1 Off-Site WaterC'' Baseline'!$AH$10:$AH$257,'Off-site gain site summary'!$AB25,'F-1 Off-Site WaterC'' Baseline'!$Z$10:$Z$257))</f>
        <v/>
      </c>
      <c r="AF25" s="1000" t="str">
        <f>IF(AB25="","",SUMIF('F-1 Off-Site WaterC'' Baseline'!$AH$10:$AH$257,'Off-site gain site summary'!$AB25,'F-1 Off-Site WaterC'' Baseline'!$BA$10:$BA$257))</f>
        <v/>
      </c>
      <c r="AG25" s="1000" t="str">
        <f>IF(AB25="","",SUMIF('F-3 Off-Site WaterC Enhancement'!$AT$12:$AT$257,'Off-site gain site summary'!$AB25,'F-3 Off-Site WaterC Enhancement'!$AP$12:$AP$257))</f>
        <v/>
      </c>
      <c r="AH25" s="1000" t="str">
        <f>IF(AB25="","",SUMIF('F-3 Off-Site WaterC Enhancement'!$AT$12:$AT$257,'Off-site gain site summary'!$AB25,'F-3 Off-Site WaterC Enhancement'!$AO$12:$AO$257))</f>
        <v/>
      </c>
      <c r="AI25" s="1000" t="str">
        <f>IF(AB25="","",SUMIF('F-2 Off-Site WaterC'' Creation'!$AG$12:$AG$259,'Off-site gain site summary'!$AB25,'F-2 Off-Site WaterC'' Creation'!$AC$12:$AC$259))</f>
        <v/>
      </c>
      <c r="AJ25" s="1000" t="str">
        <f>IF(AB25="","",SUMIF('F-2 Off-Site WaterC'' Creation'!$AG$12:$AG$259,'Off-site gain site summary'!$AB25,'F-2 Off-Site WaterC'' Creation'!$AB$12:$AB$259))</f>
        <v/>
      </c>
      <c r="AK25" s="1000" t="str">
        <f t="shared" si="4"/>
        <v/>
      </c>
      <c r="AL25" s="1000" t="str">
        <f>IF(ISBLANK(AB25),"",IFERROR(_xlfn.XLOOKUP(AB25,'F-2 Off-Site WaterC'' Creation'!$AG$12:$AG$258,'F-2 Off-Site WaterC'' Creation'!$AA$12:$AA$258),IFERROR(_xlfn.XLOOKUP(AB25,'F-1 Off-Site WaterC'' Baseline'!$AH$10:$AH$257,'F-1 Off-Site WaterC'' Baseline'!$T$10:$T$257)," ")))</f>
        <v/>
      </c>
      <c r="AM25" s="986" t="str">
        <f t="shared" si="5"/>
        <v/>
      </c>
      <c r="AN25" s="1469"/>
      <c r="AO25" s="1469"/>
    </row>
    <row r="26" spans="1:41" s="992" customFormat="1" ht="43.5" customHeight="1">
      <c r="A26" s="988">
        <f>'D-1 Off-Site Habitat Baseline'!AF30</f>
        <v>0</v>
      </c>
      <c r="B26" s="996"/>
      <c r="C26" s="997" t="str">
        <f>IF(B26="","",SUMIF('D-1 Off-Site Habitat Baseline'!AF30:AF277,B26,'D-1 Off-Site Habitat Baseline'!T30:T277))</f>
        <v/>
      </c>
      <c r="D26" s="990" t="str">
        <f>IF(B26="","",SUMIF('D-1 Off-Site Habitat Baseline'!$AF$11:$AF$258,B26,'D-1 Off-Site Habitat Baseline'!$Q$11:$Q$258))</f>
        <v/>
      </c>
      <c r="E26" s="998" t="str">
        <f>IF(B26="","",SUMIF('D-1 Off-Site Habitat Baseline'!$AF$11:$AF$258,'Off-site gain site summary'!$B26,'D-1 Off-Site Habitat Baseline'!$X$11:$X$258))</f>
        <v/>
      </c>
      <c r="F26" s="999" t="str">
        <f>IF(B26="","",SUMIF('D-1 Off-Site Habitat Baseline'!$AF$11:$AF$258,'Off-site gain site summary'!$B26,'D-1 Off-Site Habitat Baseline'!$AY$11:$AY$258))</f>
        <v/>
      </c>
      <c r="G26" s="998" t="str">
        <f>IF(B26="","",SUMIF('D-3 Off-Site Habitat Enhancment'!$AU$12:$AU$258,'Off-site gain site summary'!B26,'D-3 Off-Site Habitat Enhancment'!$AQ$12:$AQ$258))</f>
        <v/>
      </c>
      <c r="H26" s="999" t="str">
        <f>IF(B26="","",SUMIF('D-3 Off-Site Habitat Enhancment'!$AU$12:$AU$258,'Off-site gain site summary'!B26,'D-3 Off-Site Habitat Enhancment'!$AP$12:$AP$258))</f>
        <v/>
      </c>
      <c r="I26" s="998" t="str">
        <f>IF(B26="","",SUMIF('D-2 Off-Site Habitat Creation'!$AF$11:$AF$256,'Off-site gain site summary'!B26,'D-2 Off-Site Habitat Creation'!$AB$11:$AB$256))</f>
        <v/>
      </c>
      <c r="J26" s="999" t="str">
        <f>IF(B26="","",SUMIF('D-2 Off-Site Habitat Creation'!$AF$11:$AF$256,'Off-site gain site summary'!B26,'D-2 Off-Site Habitat Creation'!$AA$11:$AA$256))</f>
        <v/>
      </c>
      <c r="K26" s="1000" t="str">
        <f t="shared" si="0"/>
        <v/>
      </c>
      <c r="L26" s="997" t="str">
        <f>IF(ISBLANK(B26),"",IFERROR(_xlfn.XLOOKUP(B26,'D-2 Off-Site Habitat Creation'!$AF$11:$AF$256,'D-2 Off-Site Habitat Creation'!$Z$11:$Z$256),IFERROR(_xlfn.XLOOKUP(B26,'D-1 Off-Site Habitat Baseline'!AF$11:AF$258,'D-1 Off-Site Habitat Baseline'!S$11:S$258)," ")))</f>
        <v/>
      </c>
      <c r="M26" s="983" t="str">
        <f t="shared" si="1"/>
        <v/>
      </c>
      <c r="N26" s="988">
        <f>'E-1 Off-Site Hedge Baseline'!AB29</f>
        <v>0</v>
      </c>
      <c r="O26" s="996"/>
      <c r="P26" s="1000" t="str">
        <f>IF(O26="","",SUMIF('E-1 Off-Site Hedge Baseline'!AB$10:AB$257,'Off-site gain site summary'!O26,'E-1 Off-Site Hedge Baseline'!Q$10:Q$257))</f>
        <v/>
      </c>
      <c r="Q26" s="1000" t="str">
        <f>IF(O26="","",SUMIF('E-1 Off-Site Hedge Baseline'!AB$10:AB$257,O26,'E-1 Off-Site Hedge Baseline'!N$10:N$257))</f>
        <v/>
      </c>
      <c r="R26" s="1000" t="str">
        <f>IF(O26="","",SUMIF('E-1 Off-Site Hedge Baseline'!$AB$10:$AB$257,'Off-site gain site summary'!$O26,'E-1 Off-Site Hedge Baseline'!$U$10:$U$257))</f>
        <v/>
      </c>
      <c r="S26" s="1000" t="str">
        <f>IF(O26="","",SUMIF('E-1 Off-Site Hedge Baseline'!$AB$10:$AB$257,'Off-site gain site summary'!$O26,'E-1 Off-Site Hedge Baseline'!$AY$10:$AY$257))</f>
        <v/>
      </c>
      <c r="T26" s="1000" t="str">
        <f>IF(O26="","",SUMIF('E-3 Off-Site Hedge Enhancement'!$AO$12:$AO$257,'Off-site gain site summary'!$O26,'E-3 Off-Site Hedge Enhancement'!$AK$12:$AK$257))</f>
        <v/>
      </c>
      <c r="U26" s="1000" t="str">
        <f>IF(O26="","",SUMIF('E-3 Off-Site Hedge Enhancement'!$AO$12:$AO$257,'Off-site gain site summary'!$O26,'E-3 Off-Site Hedge Enhancement'!$AJ$12:$AJ$257))</f>
        <v/>
      </c>
      <c r="V26" s="1000" t="str">
        <f>IF(O26="","",SUMIF('E-2 Off-Site Hedge Creation'!$AD$12:$AD$259,'Off-site gain site summary'!$O26,'E-2 Off-Site Hedge Creation'!$Z$12:$Z$259))</f>
        <v/>
      </c>
      <c r="W26" s="991" t="str">
        <f>IF(O26="","",SUMIF('E-2 Off-Site Hedge Creation'!$AD$12:$AD$259,'Off-site gain site summary'!$O26,'E-2 Off-Site Hedge Creation'!$Y$12:$Y$259))</f>
        <v/>
      </c>
      <c r="X26" s="991" t="str">
        <f t="shared" si="2"/>
        <v/>
      </c>
      <c r="Y26" s="991" t="str">
        <f>IF(ISBLANK(O26),"",IFERROR(_xlfn.XLOOKUP(O26,'E-2 Off-Site Hedge Creation'!$AD$12:$AD$259,'E-2 Off-Site Hedge Creation'!$N$12:$N$259),IFERROR(_xlfn.XLOOKUP(O26,'E-1 Off-Site Hedge Baseline'!$AB$10:$AB$257,'E-1 Off-Site Hedge Baseline'!$P$10:$P$257)," ")))</f>
        <v/>
      </c>
      <c r="Z26" s="986" t="str">
        <f t="shared" si="3"/>
        <v/>
      </c>
      <c r="AA26" s="992">
        <f>'F-1 Off-Site WaterC'' Baseline'!AH29</f>
        <v>0</v>
      </c>
      <c r="AB26" s="996"/>
      <c r="AC26" s="1000" t="str">
        <f>IF(AB26="","",SUMIF('F-1 Off-Site WaterC'' Baseline'!$AH$10:$AH$257,'Off-site gain site summary'!$AB26,'F-1 Off-Site WaterC'' Baseline'!$U$10:$U$257))</f>
        <v/>
      </c>
      <c r="AD26" s="1000" t="str">
        <f>IF(AB26="","",SUMIF('F-1 Off-Site WaterC'' Baseline'!$AH$10:$AH$257,'Off-site gain site summary'!$AB26,'F-1 Off-Site WaterC'' Baseline'!$R$10:$R$257))</f>
        <v/>
      </c>
      <c r="AE26" s="1000" t="str">
        <f>IF(AB26="","",SUMIF('F-1 Off-Site WaterC'' Baseline'!$AH$10:$AH$257,'Off-site gain site summary'!$AB26,'F-1 Off-Site WaterC'' Baseline'!$Z$10:$Z$257))</f>
        <v/>
      </c>
      <c r="AF26" s="1000" t="str">
        <f>IF(AB26="","",SUMIF('F-1 Off-Site WaterC'' Baseline'!$AH$10:$AH$257,'Off-site gain site summary'!$AB26,'F-1 Off-Site WaterC'' Baseline'!$BA$10:$BA$257))</f>
        <v/>
      </c>
      <c r="AG26" s="1000" t="str">
        <f>IF(AB26="","",SUMIF('F-3 Off-Site WaterC Enhancement'!$AT$12:$AT$257,'Off-site gain site summary'!$AB26,'F-3 Off-Site WaterC Enhancement'!$AP$12:$AP$257))</f>
        <v/>
      </c>
      <c r="AH26" s="1000" t="str">
        <f>IF(AB26="","",SUMIF('F-3 Off-Site WaterC Enhancement'!$AT$12:$AT$257,'Off-site gain site summary'!$AB26,'F-3 Off-Site WaterC Enhancement'!$AO$12:$AO$257))</f>
        <v/>
      </c>
      <c r="AI26" s="1000" t="str">
        <f>IF(AB26="","",SUMIF('F-2 Off-Site WaterC'' Creation'!$AG$12:$AG$259,'Off-site gain site summary'!$AB26,'F-2 Off-Site WaterC'' Creation'!$AC$12:$AC$259))</f>
        <v/>
      </c>
      <c r="AJ26" s="1000" t="str">
        <f>IF(AB26="","",SUMIF('F-2 Off-Site WaterC'' Creation'!$AG$12:$AG$259,'Off-site gain site summary'!$AB26,'F-2 Off-Site WaterC'' Creation'!$AB$12:$AB$259))</f>
        <v/>
      </c>
      <c r="AK26" s="1000" t="str">
        <f t="shared" si="4"/>
        <v/>
      </c>
      <c r="AL26" s="1000" t="str">
        <f>IF(ISBLANK(AB26),"",IFERROR(_xlfn.XLOOKUP(AB26,'F-2 Off-Site WaterC'' Creation'!$AG$12:$AG$258,'F-2 Off-Site WaterC'' Creation'!$AA$12:$AA$258),IFERROR(_xlfn.XLOOKUP(AB26,'F-1 Off-Site WaterC'' Baseline'!$AH$10:$AH$257,'F-1 Off-Site WaterC'' Baseline'!$T$10:$T$257)," ")))</f>
        <v/>
      </c>
      <c r="AM26" s="986" t="str">
        <f t="shared" si="5"/>
        <v/>
      </c>
      <c r="AN26" s="1469"/>
      <c r="AO26" s="1469"/>
    </row>
    <row r="27" spans="1:41" s="992" customFormat="1" ht="43.5" customHeight="1">
      <c r="A27" s="988">
        <f>'D-1 Off-Site Habitat Baseline'!AF31</f>
        <v>0</v>
      </c>
      <c r="B27" s="996"/>
      <c r="C27" s="997" t="str">
        <f>IF(B27="","",SUMIF('D-1 Off-Site Habitat Baseline'!AF31:AF278,B27,'D-1 Off-Site Habitat Baseline'!T31:T278))</f>
        <v/>
      </c>
      <c r="D27" s="990" t="str">
        <f>IF(B27="","",SUMIF('D-1 Off-Site Habitat Baseline'!$AF$11:$AF$258,B27,'D-1 Off-Site Habitat Baseline'!$Q$11:$Q$258))</f>
        <v/>
      </c>
      <c r="E27" s="998" t="str">
        <f>IF(B27="","",SUMIF('D-1 Off-Site Habitat Baseline'!$AF$11:$AF$258,'Off-site gain site summary'!$B27,'D-1 Off-Site Habitat Baseline'!$X$11:$X$258))</f>
        <v/>
      </c>
      <c r="F27" s="999" t="str">
        <f>IF(B27="","",SUMIF('D-1 Off-Site Habitat Baseline'!$AF$11:$AF$258,'Off-site gain site summary'!$B27,'D-1 Off-Site Habitat Baseline'!$AY$11:$AY$258))</f>
        <v/>
      </c>
      <c r="G27" s="998" t="str">
        <f>IF(B27="","",SUMIF('D-3 Off-Site Habitat Enhancment'!$AU$12:$AU$258,'Off-site gain site summary'!B27,'D-3 Off-Site Habitat Enhancment'!$AQ$12:$AQ$258))</f>
        <v/>
      </c>
      <c r="H27" s="999" t="str">
        <f>IF(B27="","",SUMIF('D-3 Off-Site Habitat Enhancment'!$AU$12:$AU$258,'Off-site gain site summary'!B27,'D-3 Off-Site Habitat Enhancment'!$AP$12:$AP$258))</f>
        <v/>
      </c>
      <c r="I27" s="998" t="str">
        <f>IF(B27="","",SUMIF('D-2 Off-Site Habitat Creation'!$AF$11:$AF$256,'Off-site gain site summary'!B27,'D-2 Off-Site Habitat Creation'!$AB$11:$AB$256))</f>
        <v/>
      </c>
      <c r="J27" s="999" t="str">
        <f>IF(B27="","",SUMIF('D-2 Off-Site Habitat Creation'!$AF$11:$AF$256,'Off-site gain site summary'!B27,'D-2 Off-Site Habitat Creation'!$AA$11:$AA$256))</f>
        <v/>
      </c>
      <c r="K27" s="1000" t="str">
        <f t="shared" si="0"/>
        <v/>
      </c>
      <c r="L27" s="997" t="str">
        <f>IF(ISBLANK(B27),"",IFERROR(_xlfn.XLOOKUP(B27,'D-2 Off-Site Habitat Creation'!$AF$11:$AF$256,'D-2 Off-Site Habitat Creation'!$Z$11:$Z$256),IFERROR(_xlfn.XLOOKUP(B27,'D-1 Off-Site Habitat Baseline'!AF$11:AF$258,'D-1 Off-Site Habitat Baseline'!S$11:S$258)," ")))</f>
        <v/>
      </c>
      <c r="M27" s="983" t="str">
        <f t="shared" si="1"/>
        <v/>
      </c>
      <c r="N27" s="988">
        <f>'E-1 Off-Site Hedge Baseline'!AB30</f>
        <v>0</v>
      </c>
      <c r="O27" s="996"/>
      <c r="P27" s="1000" t="str">
        <f>IF(O27="","",SUMIF('E-1 Off-Site Hedge Baseline'!AB$10:AB$257,'Off-site gain site summary'!O27,'E-1 Off-Site Hedge Baseline'!Q$10:Q$257))</f>
        <v/>
      </c>
      <c r="Q27" s="1000" t="str">
        <f>IF(O27="","",SUMIF('E-1 Off-Site Hedge Baseline'!AB$10:AB$257,O27,'E-1 Off-Site Hedge Baseline'!N$10:N$257))</f>
        <v/>
      </c>
      <c r="R27" s="1000" t="str">
        <f>IF(O27="","",SUMIF('E-1 Off-Site Hedge Baseline'!$AB$10:$AB$257,'Off-site gain site summary'!$O27,'E-1 Off-Site Hedge Baseline'!$U$10:$U$257))</f>
        <v/>
      </c>
      <c r="S27" s="1000" t="str">
        <f>IF(O27="","",SUMIF('E-1 Off-Site Hedge Baseline'!$AB$10:$AB$257,'Off-site gain site summary'!$O27,'E-1 Off-Site Hedge Baseline'!$AY$10:$AY$257))</f>
        <v/>
      </c>
      <c r="T27" s="1000" t="str">
        <f>IF(O27="","",SUMIF('E-3 Off-Site Hedge Enhancement'!$AO$12:$AO$257,'Off-site gain site summary'!$O27,'E-3 Off-Site Hedge Enhancement'!$AK$12:$AK$257))</f>
        <v/>
      </c>
      <c r="U27" s="1000" t="str">
        <f>IF(O27="","",SUMIF('E-3 Off-Site Hedge Enhancement'!$AO$12:$AO$257,'Off-site gain site summary'!$O27,'E-3 Off-Site Hedge Enhancement'!$AJ$12:$AJ$257))</f>
        <v/>
      </c>
      <c r="V27" s="1000" t="str">
        <f>IF(O27="","",SUMIF('E-2 Off-Site Hedge Creation'!$AD$12:$AD$259,'Off-site gain site summary'!$O27,'E-2 Off-Site Hedge Creation'!$Z$12:$Z$259))</f>
        <v/>
      </c>
      <c r="W27" s="991" t="str">
        <f>IF(O27="","",SUMIF('E-2 Off-Site Hedge Creation'!$AD$12:$AD$259,'Off-site gain site summary'!$O27,'E-2 Off-Site Hedge Creation'!$Y$12:$Y$259))</f>
        <v/>
      </c>
      <c r="X27" s="991" t="str">
        <f t="shared" si="2"/>
        <v/>
      </c>
      <c r="Y27" s="991" t="str">
        <f>IF(ISBLANK(O27),"",IFERROR(_xlfn.XLOOKUP(O27,'E-2 Off-Site Hedge Creation'!$AD$12:$AD$259,'E-2 Off-Site Hedge Creation'!$N$12:$N$259),IFERROR(_xlfn.XLOOKUP(O27,'E-1 Off-Site Hedge Baseline'!$AB$10:$AB$257,'E-1 Off-Site Hedge Baseline'!$P$10:$P$257)," ")))</f>
        <v/>
      </c>
      <c r="Z27" s="986" t="str">
        <f t="shared" si="3"/>
        <v/>
      </c>
      <c r="AA27" s="992">
        <f>'F-1 Off-Site WaterC'' Baseline'!AH30</f>
        <v>0</v>
      </c>
      <c r="AB27" s="996"/>
      <c r="AC27" s="1000" t="str">
        <f>IF(AB27="","",SUMIF('F-1 Off-Site WaterC'' Baseline'!$AH$10:$AH$257,'Off-site gain site summary'!$AB27,'F-1 Off-Site WaterC'' Baseline'!$U$10:$U$257))</f>
        <v/>
      </c>
      <c r="AD27" s="1000" t="str">
        <f>IF(AB27="","",SUMIF('F-1 Off-Site WaterC'' Baseline'!$AH$10:$AH$257,'Off-site gain site summary'!$AB27,'F-1 Off-Site WaterC'' Baseline'!$R$10:$R$257))</f>
        <v/>
      </c>
      <c r="AE27" s="1000" t="str">
        <f>IF(AB27="","",SUMIF('F-1 Off-Site WaterC'' Baseline'!$AH$10:$AH$257,'Off-site gain site summary'!$AB27,'F-1 Off-Site WaterC'' Baseline'!$Z$10:$Z$257))</f>
        <v/>
      </c>
      <c r="AF27" s="1000" t="str">
        <f>IF(AB27="","",SUMIF('F-1 Off-Site WaterC'' Baseline'!$AH$10:$AH$257,'Off-site gain site summary'!$AB27,'F-1 Off-Site WaterC'' Baseline'!$BA$10:$BA$257))</f>
        <v/>
      </c>
      <c r="AG27" s="1000" t="str">
        <f>IF(AB27="","",SUMIF('F-3 Off-Site WaterC Enhancement'!$AT$12:$AT$257,'Off-site gain site summary'!$AB27,'F-3 Off-Site WaterC Enhancement'!$AP$12:$AP$257))</f>
        <v/>
      </c>
      <c r="AH27" s="1000" t="str">
        <f>IF(AB27="","",SUMIF('F-3 Off-Site WaterC Enhancement'!$AT$12:$AT$257,'Off-site gain site summary'!$AB27,'F-3 Off-Site WaterC Enhancement'!$AO$12:$AO$257))</f>
        <v/>
      </c>
      <c r="AI27" s="1000" t="str">
        <f>IF(AB27="","",SUMIF('F-2 Off-Site WaterC'' Creation'!$AG$12:$AG$259,'Off-site gain site summary'!$AB27,'F-2 Off-Site WaterC'' Creation'!$AC$12:$AC$259))</f>
        <v/>
      </c>
      <c r="AJ27" s="1000" t="str">
        <f>IF(AB27="","",SUMIF('F-2 Off-Site WaterC'' Creation'!$AG$12:$AG$259,'Off-site gain site summary'!$AB27,'F-2 Off-Site WaterC'' Creation'!$AB$12:$AB$259))</f>
        <v/>
      </c>
      <c r="AK27" s="1000" t="str">
        <f t="shared" si="4"/>
        <v/>
      </c>
      <c r="AL27" s="1000" t="str">
        <f>IF(ISBLANK(AB27),"",IFERROR(_xlfn.XLOOKUP(AB27,'F-2 Off-Site WaterC'' Creation'!$AG$12:$AG$258,'F-2 Off-Site WaterC'' Creation'!$AA$12:$AA$258),IFERROR(_xlfn.XLOOKUP(AB27,'F-1 Off-Site WaterC'' Baseline'!$AH$10:$AH$257,'F-1 Off-Site WaterC'' Baseline'!$T$10:$T$257)," ")))</f>
        <v/>
      </c>
      <c r="AM27" s="986" t="str">
        <f t="shared" si="5"/>
        <v/>
      </c>
      <c r="AN27" s="1469"/>
      <c r="AO27" s="1469"/>
    </row>
    <row r="28" spans="1:41" s="992" customFormat="1" ht="43.5" customHeight="1">
      <c r="A28" s="988">
        <f>'D-1 Off-Site Habitat Baseline'!AF32</f>
        <v>0</v>
      </c>
      <c r="B28" s="996"/>
      <c r="C28" s="997" t="str">
        <f>IF(B28="","",SUMIF('D-1 Off-Site Habitat Baseline'!AF32:AF279,B28,'D-1 Off-Site Habitat Baseline'!T32:T279))</f>
        <v/>
      </c>
      <c r="D28" s="990" t="str">
        <f>IF(B28="","",SUMIF('D-1 Off-Site Habitat Baseline'!$AF$11:$AF$258,B28,'D-1 Off-Site Habitat Baseline'!$Q$11:$Q$258))</f>
        <v/>
      </c>
      <c r="E28" s="998" t="str">
        <f>IF(B28="","",SUMIF('D-1 Off-Site Habitat Baseline'!$AF$11:$AF$258,'Off-site gain site summary'!$B28,'D-1 Off-Site Habitat Baseline'!$X$11:$X$258))</f>
        <v/>
      </c>
      <c r="F28" s="999" t="str">
        <f>IF(B28="","",SUMIF('D-1 Off-Site Habitat Baseline'!$AF$11:$AF$258,'Off-site gain site summary'!$B28,'D-1 Off-Site Habitat Baseline'!$AY$11:$AY$258))</f>
        <v/>
      </c>
      <c r="G28" s="998" t="str">
        <f>IF(B28="","",SUMIF('D-3 Off-Site Habitat Enhancment'!$AU$12:$AU$258,'Off-site gain site summary'!B28,'D-3 Off-Site Habitat Enhancment'!$AQ$12:$AQ$258))</f>
        <v/>
      </c>
      <c r="H28" s="999" t="str">
        <f>IF(B28="","",SUMIF('D-3 Off-Site Habitat Enhancment'!$AU$12:$AU$258,'Off-site gain site summary'!B28,'D-3 Off-Site Habitat Enhancment'!$AP$12:$AP$258))</f>
        <v/>
      </c>
      <c r="I28" s="998" t="str">
        <f>IF(B28="","",SUMIF('D-2 Off-Site Habitat Creation'!$AF$11:$AF$256,'Off-site gain site summary'!B28,'D-2 Off-Site Habitat Creation'!$AB$11:$AB$256))</f>
        <v/>
      </c>
      <c r="J28" s="999" t="str">
        <f>IF(B28="","",SUMIF('D-2 Off-Site Habitat Creation'!$AF$11:$AF$256,'Off-site gain site summary'!B28,'D-2 Off-Site Habitat Creation'!$AA$11:$AA$256))</f>
        <v/>
      </c>
      <c r="K28" s="1000" t="str">
        <f t="shared" si="0"/>
        <v/>
      </c>
      <c r="L28" s="997" t="str">
        <f>IF(ISBLANK(B28),"",IFERROR(_xlfn.XLOOKUP(B28,'D-2 Off-Site Habitat Creation'!$AF$11:$AF$256,'D-2 Off-Site Habitat Creation'!$Z$11:$Z$256),IFERROR(_xlfn.XLOOKUP(B28,'D-1 Off-Site Habitat Baseline'!AF$11:AF$258,'D-1 Off-Site Habitat Baseline'!S$11:S$258)," ")))</f>
        <v/>
      </c>
      <c r="M28" s="983" t="str">
        <f t="shared" si="1"/>
        <v/>
      </c>
      <c r="N28" s="988">
        <f>'E-1 Off-Site Hedge Baseline'!AB31</f>
        <v>0</v>
      </c>
      <c r="O28" s="996"/>
      <c r="P28" s="1000" t="str">
        <f>IF(O28="","",SUMIF('E-1 Off-Site Hedge Baseline'!AB$10:AB$257,'Off-site gain site summary'!O28,'E-1 Off-Site Hedge Baseline'!Q$10:Q$257))</f>
        <v/>
      </c>
      <c r="Q28" s="1000" t="str">
        <f>IF(O28="","",SUMIF('E-1 Off-Site Hedge Baseline'!AB$10:AB$257,O28,'E-1 Off-Site Hedge Baseline'!N$10:N$257))</f>
        <v/>
      </c>
      <c r="R28" s="1000" t="str">
        <f>IF(O28="","",SUMIF('E-1 Off-Site Hedge Baseline'!$AB$10:$AB$257,'Off-site gain site summary'!$O28,'E-1 Off-Site Hedge Baseline'!$U$10:$U$257))</f>
        <v/>
      </c>
      <c r="S28" s="1000" t="str">
        <f>IF(O28="","",SUMIF('E-1 Off-Site Hedge Baseline'!$AB$10:$AB$257,'Off-site gain site summary'!$O28,'E-1 Off-Site Hedge Baseline'!$AY$10:$AY$257))</f>
        <v/>
      </c>
      <c r="T28" s="1000" t="str">
        <f>IF(O28="","",SUMIF('E-3 Off-Site Hedge Enhancement'!$AO$12:$AO$257,'Off-site gain site summary'!$O28,'E-3 Off-Site Hedge Enhancement'!$AK$12:$AK$257))</f>
        <v/>
      </c>
      <c r="U28" s="1000" t="str">
        <f>IF(O28="","",SUMIF('E-3 Off-Site Hedge Enhancement'!$AO$12:$AO$257,'Off-site gain site summary'!$O28,'E-3 Off-Site Hedge Enhancement'!$AJ$12:$AJ$257))</f>
        <v/>
      </c>
      <c r="V28" s="1000" t="str">
        <f>IF(O28="","",SUMIF('E-2 Off-Site Hedge Creation'!$AD$12:$AD$259,'Off-site gain site summary'!$O28,'E-2 Off-Site Hedge Creation'!$Z$12:$Z$259))</f>
        <v/>
      </c>
      <c r="W28" s="991" t="str">
        <f>IF(O28="","",SUMIF('E-2 Off-Site Hedge Creation'!$AD$12:$AD$259,'Off-site gain site summary'!$O28,'E-2 Off-Site Hedge Creation'!$Y$12:$Y$259))</f>
        <v/>
      </c>
      <c r="X28" s="991" t="str">
        <f t="shared" si="2"/>
        <v/>
      </c>
      <c r="Y28" s="991" t="str">
        <f>IF(ISBLANK(O28),"",IFERROR(_xlfn.XLOOKUP(O28,'E-2 Off-Site Hedge Creation'!$AD$12:$AD$259,'E-2 Off-Site Hedge Creation'!$N$12:$N$259),IFERROR(_xlfn.XLOOKUP(O28,'E-1 Off-Site Hedge Baseline'!$AB$10:$AB$257,'E-1 Off-Site Hedge Baseline'!$P$10:$P$257)," ")))</f>
        <v/>
      </c>
      <c r="Z28" s="986" t="str">
        <f t="shared" si="3"/>
        <v/>
      </c>
      <c r="AA28" s="992">
        <f>'F-1 Off-Site WaterC'' Baseline'!AH31</f>
        <v>0</v>
      </c>
      <c r="AB28" s="996"/>
      <c r="AC28" s="1000" t="str">
        <f>IF(AB28="","",SUMIF('F-1 Off-Site WaterC'' Baseline'!$AH$10:$AH$257,'Off-site gain site summary'!$AB28,'F-1 Off-Site WaterC'' Baseline'!$U$10:$U$257))</f>
        <v/>
      </c>
      <c r="AD28" s="1000" t="str">
        <f>IF(AB28="","",SUMIF('F-1 Off-Site WaterC'' Baseline'!$AH$10:$AH$257,'Off-site gain site summary'!$AB28,'F-1 Off-Site WaterC'' Baseline'!$R$10:$R$257))</f>
        <v/>
      </c>
      <c r="AE28" s="1000" t="str">
        <f>IF(AB28="","",SUMIF('F-1 Off-Site WaterC'' Baseline'!$AH$10:$AH$257,'Off-site gain site summary'!$AB28,'F-1 Off-Site WaterC'' Baseline'!$Z$10:$Z$257))</f>
        <v/>
      </c>
      <c r="AF28" s="1000" t="str">
        <f>IF(AB28="","",SUMIF('F-1 Off-Site WaterC'' Baseline'!$AH$10:$AH$257,'Off-site gain site summary'!$AB28,'F-1 Off-Site WaterC'' Baseline'!$BA$10:$BA$257))</f>
        <v/>
      </c>
      <c r="AG28" s="1000" t="str">
        <f>IF(AB28="","",SUMIF('F-3 Off-Site WaterC Enhancement'!$AT$12:$AT$257,'Off-site gain site summary'!$AB28,'F-3 Off-Site WaterC Enhancement'!$AP$12:$AP$257))</f>
        <v/>
      </c>
      <c r="AH28" s="1000" t="str">
        <f>IF(AB28="","",SUMIF('F-3 Off-Site WaterC Enhancement'!$AT$12:$AT$257,'Off-site gain site summary'!$AB28,'F-3 Off-Site WaterC Enhancement'!$AO$12:$AO$257))</f>
        <v/>
      </c>
      <c r="AI28" s="1000" t="str">
        <f>IF(AB28="","",SUMIF('F-2 Off-Site WaterC'' Creation'!$AG$12:$AG$259,'Off-site gain site summary'!$AB28,'F-2 Off-Site WaterC'' Creation'!$AC$12:$AC$259))</f>
        <v/>
      </c>
      <c r="AJ28" s="1000" t="str">
        <f>IF(AB28="","",SUMIF('F-2 Off-Site WaterC'' Creation'!$AG$12:$AG$259,'Off-site gain site summary'!$AB28,'F-2 Off-Site WaterC'' Creation'!$AB$12:$AB$259))</f>
        <v/>
      </c>
      <c r="AK28" s="1000" t="str">
        <f t="shared" si="4"/>
        <v/>
      </c>
      <c r="AL28" s="1000" t="str">
        <f>IF(ISBLANK(AB28),"",IFERROR(_xlfn.XLOOKUP(AB28,'F-2 Off-Site WaterC'' Creation'!$AG$12:$AG$258,'F-2 Off-Site WaterC'' Creation'!$AA$12:$AA$258),IFERROR(_xlfn.XLOOKUP(AB28,'F-1 Off-Site WaterC'' Baseline'!$AH$10:$AH$257,'F-1 Off-Site WaterC'' Baseline'!$T$10:$T$257)," ")))</f>
        <v/>
      </c>
      <c r="AM28" s="986" t="str">
        <f t="shared" si="5"/>
        <v/>
      </c>
      <c r="AN28" s="1469"/>
      <c r="AO28" s="1469"/>
    </row>
    <row r="29" spans="1:41" s="992" customFormat="1" ht="43.5" customHeight="1">
      <c r="A29" s="988">
        <f>'D-1 Off-Site Habitat Baseline'!AF33</f>
        <v>0</v>
      </c>
      <c r="B29" s="996"/>
      <c r="C29" s="997" t="str">
        <f>IF(B29="","",SUMIF('D-1 Off-Site Habitat Baseline'!AF33:AF280,B29,'D-1 Off-Site Habitat Baseline'!T33:T280))</f>
        <v/>
      </c>
      <c r="D29" s="990" t="str">
        <f>IF(B29="","",SUMIF('D-1 Off-Site Habitat Baseline'!$AF$11:$AF$258,B29,'D-1 Off-Site Habitat Baseline'!$Q$11:$Q$258))</f>
        <v/>
      </c>
      <c r="E29" s="998" t="str">
        <f>IF(B29="","",SUMIF('D-1 Off-Site Habitat Baseline'!$AF$11:$AF$258,'Off-site gain site summary'!$B29,'D-1 Off-Site Habitat Baseline'!$X$11:$X$258))</f>
        <v/>
      </c>
      <c r="F29" s="999" t="str">
        <f>IF(B29="","",SUMIF('D-1 Off-Site Habitat Baseline'!$AF$11:$AF$258,'Off-site gain site summary'!$B29,'D-1 Off-Site Habitat Baseline'!$AY$11:$AY$258))</f>
        <v/>
      </c>
      <c r="G29" s="998" t="str">
        <f>IF(B29="","",SUMIF('D-3 Off-Site Habitat Enhancment'!$AU$12:$AU$258,'Off-site gain site summary'!B29,'D-3 Off-Site Habitat Enhancment'!$AQ$12:$AQ$258))</f>
        <v/>
      </c>
      <c r="H29" s="999" t="str">
        <f>IF(B29="","",SUMIF('D-3 Off-Site Habitat Enhancment'!$AU$12:$AU$258,'Off-site gain site summary'!B29,'D-3 Off-Site Habitat Enhancment'!$AP$12:$AP$258))</f>
        <v/>
      </c>
      <c r="I29" s="998" t="str">
        <f>IF(B29="","",SUMIF('D-2 Off-Site Habitat Creation'!$AF$11:$AF$256,'Off-site gain site summary'!B29,'D-2 Off-Site Habitat Creation'!$AB$11:$AB$256))</f>
        <v/>
      </c>
      <c r="J29" s="999" t="str">
        <f>IF(B29="","",SUMIF('D-2 Off-Site Habitat Creation'!$AF$11:$AF$256,'Off-site gain site summary'!B29,'D-2 Off-Site Habitat Creation'!$AA$11:$AA$256))</f>
        <v/>
      </c>
      <c r="K29" s="1000" t="str">
        <f t="shared" si="0"/>
        <v/>
      </c>
      <c r="L29" s="997" t="str">
        <f>IF(ISBLANK(B29),"",IFERROR(_xlfn.XLOOKUP(B29,'D-2 Off-Site Habitat Creation'!$AF$11:$AF$256,'D-2 Off-Site Habitat Creation'!$Z$11:$Z$256),IFERROR(_xlfn.XLOOKUP(B29,'D-1 Off-Site Habitat Baseline'!AF$11:AF$258,'D-1 Off-Site Habitat Baseline'!S$11:S$258)," ")))</f>
        <v/>
      </c>
      <c r="M29" s="983" t="str">
        <f t="shared" si="1"/>
        <v/>
      </c>
      <c r="N29" s="988">
        <f>'E-1 Off-Site Hedge Baseline'!AB32</f>
        <v>0</v>
      </c>
      <c r="O29" s="996"/>
      <c r="P29" s="1000" t="str">
        <f>IF(O29="","",SUMIF('E-1 Off-Site Hedge Baseline'!AB$10:AB$257,'Off-site gain site summary'!O29,'E-1 Off-Site Hedge Baseline'!Q$10:Q$257))</f>
        <v/>
      </c>
      <c r="Q29" s="1000" t="str">
        <f>IF(O29="","",SUMIF('E-1 Off-Site Hedge Baseline'!AB$10:AB$257,O29,'E-1 Off-Site Hedge Baseline'!N$10:N$257))</f>
        <v/>
      </c>
      <c r="R29" s="1000" t="str">
        <f>IF(O29="","",SUMIF('E-1 Off-Site Hedge Baseline'!$AB$10:$AB$257,'Off-site gain site summary'!$O29,'E-1 Off-Site Hedge Baseline'!$U$10:$U$257))</f>
        <v/>
      </c>
      <c r="S29" s="1000" t="str">
        <f>IF(O29="","",SUMIF('E-1 Off-Site Hedge Baseline'!$AB$10:$AB$257,'Off-site gain site summary'!$O29,'E-1 Off-Site Hedge Baseline'!$AY$10:$AY$257))</f>
        <v/>
      </c>
      <c r="T29" s="1000" t="str">
        <f>IF(O29="","",SUMIF('E-3 Off-Site Hedge Enhancement'!$AO$12:$AO$257,'Off-site gain site summary'!$O29,'E-3 Off-Site Hedge Enhancement'!$AK$12:$AK$257))</f>
        <v/>
      </c>
      <c r="U29" s="1000" t="str">
        <f>IF(O29="","",SUMIF('E-3 Off-Site Hedge Enhancement'!$AO$12:$AO$257,'Off-site gain site summary'!$O29,'E-3 Off-Site Hedge Enhancement'!$AJ$12:$AJ$257))</f>
        <v/>
      </c>
      <c r="V29" s="1000" t="str">
        <f>IF(O29="","",SUMIF('E-2 Off-Site Hedge Creation'!$AD$12:$AD$259,'Off-site gain site summary'!$O29,'E-2 Off-Site Hedge Creation'!$Z$12:$Z$259))</f>
        <v/>
      </c>
      <c r="W29" s="991" t="str">
        <f>IF(O29="","",SUMIF('E-2 Off-Site Hedge Creation'!$AD$12:$AD$259,'Off-site gain site summary'!$O29,'E-2 Off-Site Hedge Creation'!$Y$12:$Y$259))</f>
        <v/>
      </c>
      <c r="X29" s="991" t="str">
        <f t="shared" si="2"/>
        <v/>
      </c>
      <c r="Y29" s="991" t="str">
        <f>IF(ISBLANK(O29),"",IFERROR(_xlfn.XLOOKUP(O29,'E-2 Off-Site Hedge Creation'!$AD$12:$AD$259,'E-2 Off-Site Hedge Creation'!$N$12:$N$259),IFERROR(_xlfn.XLOOKUP(O29,'E-1 Off-Site Hedge Baseline'!$AB$10:$AB$257,'E-1 Off-Site Hedge Baseline'!$P$10:$P$257)," ")))</f>
        <v/>
      </c>
      <c r="Z29" s="986" t="str">
        <f t="shared" si="3"/>
        <v/>
      </c>
      <c r="AA29" s="992">
        <f>'F-1 Off-Site WaterC'' Baseline'!AH32</f>
        <v>0</v>
      </c>
      <c r="AB29" s="996"/>
      <c r="AC29" s="1000" t="str">
        <f>IF(AB29="","",SUMIF('F-1 Off-Site WaterC'' Baseline'!$AH$10:$AH$257,'Off-site gain site summary'!$AB29,'F-1 Off-Site WaterC'' Baseline'!$U$10:$U$257))</f>
        <v/>
      </c>
      <c r="AD29" s="1000" t="str">
        <f>IF(AB29="","",SUMIF('F-1 Off-Site WaterC'' Baseline'!$AH$10:$AH$257,'Off-site gain site summary'!$AB29,'F-1 Off-Site WaterC'' Baseline'!$R$10:$R$257))</f>
        <v/>
      </c>
      <c r="AE29" s="1000" t="str">
        <f>IF(AB29="","",SUMIF('F-1 Off-Site WaterC'' Baseline'!$AH$10:$AH$257,'Off-site gain site summary'!$AB29,'F-1 Off-Site WaterC'' Baseline'!$Z$10:$Z$257))</f>
        <v/>
      </c>
      <c r="AF29" s="1000" t="str">
        <f>IF(AB29="","",SUMIF('F-1 Off-Site WaterC'' Baseline'!$AH$10:$AH$257,'Off-site gain site summary'!$AB29,'F-1 Off-Site WaterC'' Baseline'!$BA$10:$BA$257))</f>
        <v/>
      </c>
      <c r="AG29" s="1000" t="str">
        <f>IF(AB29="","",SUMIF('F-3 Off-Site WaterC Enhancement'!$AT$12:$AT$257,'Off-site gain site summary'!$AB29,'F-3 Off-Site WaterC Enhancement'!$AP$12:$AP$257))</f>
        <v/>
      </c>
      <c r="AH29" s="1000" t="str">
        <f>IF(AB29="","",SUMIF('F-3 Off-Site WaterC Enhancement'!$AT$12:$AT$257,'Off-site gain site summary'!$AB29,'F-3 Off-Site WaterC Enhancement'!$AO$12:$AO$257))</f>
        <v/>
      </c>
      <c r="AI29" s="1000" t="str">
        <f>IF(AB29="","",SUMIF('F-2 Off-Site WaterC'' Creation'!$AG$12:$AG$259,'Off-site gain site summary'!$AB29,'F-2 Off-Site WaterC'' Creation'!$AC$12:$AC$259))</f>
        <v/>
      </c>
      <c r="AJ29" s="1000" t="str">
        <f>IF(AB29="","",SUMIF('F-2 Off-Site WaterC'' Creation'!$AG$12:$AG$259,'Off-site gain site summary'!$AB29,'F-2 Off-Site WaterC'' Creation'!$AB$12:$AB$259))</f>
        <v/>
      </c>
      <c r="AK29" s="1000" t="str">
        <f t="shared" si="4"/>
        <v/>
      </c>
      <c r="AL29" s="1000" t="str">
        <f>IF(ISBLANK(AB29),"",IFERROR(_xlfn.XLOOKUP(AB29,'F-2 Off-Site WaterC'' Creation'!$AG$12:$AG$258,'F-2 Off-Site WaterC'' Creation'!$AA$12:$AA$258),IFERROR(_xlfn.XLOOKUP(AB29,'F-1 Off-Site WaterC'' Baseline'!$AH$10:$AH$257,'F-1 Off-Site WaterC'' Baseline'!$T$10:$T$257)," ")))</f>
        <v/>
      </c>
      <c r="AM29" s="986" t="str">
        <f t="shared" si="5"/>
        <v/>
      </c>
      <c r="AN29" s="1469"/>
      <c r="AO29" s="1469"/>
    </row>
    <row r="30" spans="1:41" s="992" customFormat="1" ht="43.5" customHeight="1">
      <c r="A30" s="988">
        <f>'D-1 Off-Site Habitat Baseline'!AF34</f>
        <v>0</v>
      </c>
      <c r="B30" s="996"/>
      <c r="C30" s="997" t="str">
        <f>IF(B30="","",SUMIF('D-1 Off-Site Habitat Baseline'!AF34:AF281,B30,'D-1 Off-Site Habitat Baseline'!T34:T281))</f>
        <v/>
      </c>
      <c r="D30" s="990" t="str">
        <f>IF(B30="","",SUMIF('D-1 Off-Site Habitat Baseline'!$AF$11:$AF$258,B30,'D-1 Off-Site Habitat Baseline'!$Q$11:$Q$258))</f>
        <v/>
      </c>
      <c r="E30" s="998" t="str">
        <f>IF(B30="","",SUMIF('D-1 Off-Site Habitat Baseline'!$AF$11:$AF$258,'Off-site gain site summary'!$B30,'D-1 Off-Site Habitat Baseline'!$X$11:$X$258))</f>
        <v/>
      </c>
      <c r="F30" s="999" t="str">
        <f>IF(B30="","",SUMIF('D-1 Off-Site Habitat Baseline'!$AF$11:$AF$258,'Off-site gain site summary'!$B30,'D-1 Off-Site Habitat Baseline'!$AY$11:$AY$258))</f>
        <v/>
      </c>
      <c r="G30" s="998" t="str">
        <f>IF(B30="","",SUMIF('D-3 Off-Site Habitat Enhancment'!$AU$12:$AU$258,'Off-site gain site summary'!B30,'D-3 Off-Site Habitat Enhancment'!$AQ$12:$AQ$258))</f>
        <v/>
      </c>
      <c r="H30" s="999" t="str">
        <f>IF(B30="","",SUMIF('D-3 Off-Site Habitat Enhancment'!$AU$12:$AU$258,'Off-site gain site summary'!B30,'D-3 Off-Site Habitat Enhancment'!$AP$12:$AP$258))</f>
        <v/>
      </c>
      <c r="I30" s="998" t="str">
        <f>IF(B30="","",SUMIF('D-2 Off-Site Habitat Creation'!$AF$11:$AF$256,'Off-site gain site summary'!B30,'D-2 Off-Site Habitat Creation'!$AB$11:$AB$256))</f>
        <v/>
      </c>
      <c r="J30" s="999" t="str">
        <f>IF(B30="","",SUMIF('D-2 Off-Site Habitat Creation'!$AF$11:$AF$256,'Off-site gain site summary'!B30,'D-2 Off-Site Habitat Creation'!$AA$11:$AA$256))</f>
        <v/>
      </c>
      <c r="K30" s="1000" t="str">
        <f t="shared" si="0"/>
        <v/>
      </c>
      <c r="L30" s="997" t="str">
        <f>IF(ISBLANK(B30),"",IFERROR(_xlfn.XLOOKUP(B30,'D-2 Off-Site Habitat Creation'!$AF$11:$AF$256,'D-2 Off-Site Habitat Creation'!$Z$11:$Z$256),IFERROR(_xlfn.XLOOKUP(B30,'D-1 Off-Site Habitat Baseline'!AF$11:AF$258,'D-1 Off-Site Habitat Baseline'!S$11:S$258)," ")))</f>
        <v/>
      </c>
      <c r="M30" s="983" t="str">
        <f t="shared" si="1"/>
        <v/>
      </c>
      <c r="N30" s="988">
        <f>'E-1 Off-Site Hedge Baseline'!AB33</f>
        <v>0</v>
      </c>
      <c r="O30" s="996"/>
      <c r="P30" s="1000" t="str">
        <f>IF(O30="","",SUMIF('E-1 Off-Site Hedge Baseline'!AB$10:AB$257,'Off-site gain site summary'!O30,'E-1 Off-Site Hedge Baseline'!Q$10:Q$257))</f>
        <v/>
      </c>
      <c r="Q30" s="1000" t="str">
        <f>IF(O30="","",SUMIF('E-1 Off-Site Hedge Baseline'!AB$10:AB$257,O30,'E-1 Off-Site Hedge Baseline'!N$10:N$257))</f>
        <v/>
      </c>
      <c r="R30" s="1000" t="str">
        <f>IF(O30="","",SUMIF('E-1 Off-Site Hedge Baseline'!$AB$10:$AB$257,'Off-site gain site summary'!$O30,'E-1 Off-Site Hedge Baseline'!$U$10:$U$257))</f>
        <v/>
      </c>
      <c r="S30" s="1000" t="str">
        <f>IF(O30="","",SUMIF('E-1 Off-Site Hedge Baseline'!$AB$10:$AB$257,'Off-site gain site summary'!$O30,'E-1 Off-Site Hedge Baseline'!$AY$10:$AY$257))</f>
        <v/>
      </c>
      <c r="T30" s="1000" t="str">
        <f>IF(O30="","",SUMIF('E-3 Off-Site Hedge Enhancement'!$AO$12:$AO$257,'Off-site gain site summary'!$O30,'E-3 Off-Site Hedge Enhancement'!$AK$12:$AK$257))</f>
        <v/>
      </c>
      <c r="U30" s="1000" t="str">
        <f>IF(O30="","",SUMIF('E-3 Off-Site Hedge Enhancement'!$AO$12:$AO$257,'Off-site gain site summary'!$O30,'E-3 Off-Site Hedge Enhancement'!$AJ$12:$AJ$257))</f>
        <v/>
      </c>
      <c r="V30" s="1000" t="str">
        <f>IF(O30="","",SUMIF('E-2 Off-Site Hedge Creation'!$AD$12:$AD$259,'Off-site gain site summary'!$O30,'E-2 Off-Site Hedge Creation'!$Z$12:$Z$259))</f>
        <v/>
      </c>
      <c r="W30" s="991" t="str">
        <f>IF(O30="","",SUMIF('E-2 Off-Site Hedge Creation'!$AD$12:$AD$259,'Off-site gain site summary'!$O30,'E-2 Off-Site Hedge Creation'!$Y$12:$Y$259))</f>
        <v/>
      </c>
      <c r="X30" s="991" t="str">
        <f t="shared" si="2"/>
        <v/>
      </c>
      <c r="Y30" s="991" t="str">
        <f>IF(ISBLANK(O30),"",IFERROR(_xlfn.XLOOKUP(O30,'E-2 Off-Site Hedge Creation'!$AD$12:$AD$259,'E-2 Off-Site Hedge Creation'!$N$12:$N$259),IFERROR(_xlfn.XLOOKUP(O30,'E-1 Off-Site Hedge Baseline'!$AB$10:$AB$257,'E-1 Off-Site Hedge Baseline'!$P$10:$P$257)," ")))</f>
        <v/>
      </c>
      <c r="Z30" s="986" t="str">
        <f t="shared" si="3"/>
        <v/>
      </c>
      <c r="AA30" s="992">
        <f>'F-1 Off-Site WaterC'' Baseline'!AH33</f>
        <v>0</v>
      </c>
      <c r="AB30" s="996"/>
      <c r="AC30" s="1000" t="str">
        <f>IF(AB30="","",SUMIF('F-1 Off-Site WaterC'' Baseline'!$AH$10:$AH$257,'Off-site gain site summary'!$AB30,'F-1 Off-Site WaterC'' Baseline'!$U$10:$U$257))</f>
        <v/>
      </c>
      <c r="AD30" s="1000" t="str">
        <f>IF(AB30="","",SUMIF('F-1 Off-Site WaterC'' Baseline'!$AH$10:$AH$257,'Off-site gain site summary'!$AB30,'F-1 Off-Site WaterC'' Baseline'!$R$10:$R$257))</f>
        <v/>
      </c>
      <c r="AE30" s="1000" t="str">
        <f>IF(AB30="","",SUMIF('F-1 Off-Site WaterC'' Baseline'!$AH$10:$AH$257,'Off-site gain site summary'!$AB30,'F-1 Off-Site WaterC'' Baseline'!$Z$10:$Z$257))</f>
        <v/>
      </c>
      <c r="AF30" s="1000" t="str">
        <f>IF(AB30="","",SUMIF('F-1 Off-Site WaterC'' Baseline'!$AH$10:$AH$257,'Off-site gain site summary'!$AB30,'F-1 Off-Site WaterC'' Baseline'!$BA$10:$BA$257))</f>
        <v/>
      </c>
      <c r="AG30" s="1000" t="str">
        <f>IF(AB30="","",SUMIF('F-3 Off-Site WaterC Enhancement'!$AT$12:$AT$257,'Off-site gain site summary'!$AB30,'F-3 Off-Site WaterC Enhancement'!$AP$12:$AP$257))</f>
        <v/>
      </c>
      <c r="AH30" s="1000" t="str">
        <f>IF(AB30="","",SUMIF('F-3 Off-Site WaterC Enhancement'!$AT$12:$AT$257,'Off-site gain site summary'!$AB30,'F-3 Off-Site WaterC Enhancement'!$AO$12:$AO$257))</f>
        <v/>
      </c>
      <c r="AI30" s="1000" t="str">
        <f>IF(AB30="","",SUMIF('F-2 Off-Site WaterC'' Creation'!$AG$12:$AG$259,'Off-site gain site summary'!$AB30,'F-2 Off-Site WaterC'' Creation'!$AC$12:$AC$259))</f>
        <v/>
      </c>
      <c r="AJ30" s="1000" t="str">
        <f>IF(AB30="","",SUMIF('F-2 Off-Site WaterC'' Creation'!$AG$12:$AG$259,'Off-site gain site summary'!$AB30,'F-2 Off-Site WaterC'' Creation'!$AB$12:$AB$259))</f>
        <v/>
      </c>
      <c r="AK30" s="1000" t="str">
        <f t="shared" si="4"/>
        <v/>
      </c>
      <c r="AL30" s="1000" t="str">
        <f>IF(ISBLANK(AB30),"",IFERROR(_xlfn.XLOOKUP(AB30,'F-2 Off-Site WaterC'' Creation'!$AG$12:$AG$258,'F-2 Off-Site WaterC'' Creation'!$AA$12:$AA$258),IFERROR(_xlfn.XLOOKUP(AB30,'F-1 Off-Site WaterC'' Baseline'!$AH$10:$AH$257,'F-1 Off-Site WaterC'' Baseline'!$T$10:$T$257)," ")))</f>
        <v/>
      </c>
      <c r="AM30" s="986" t="str">
        <f t="shared" si="5"/>
        <v/>
      </c>
      <c r="AN30" s="1469"/>
      <c r="AO30" s="1469"/>
    </row>
    <row r="31" spans="1:41" s="992" customFormat="1" ht="43.5" customHeight="1">
      <c r="A31" s="988">
        <f>'D-1 Off-Site Habitat Baseline'!AF35</f>
        <v>0</v>
      </c>
      <c r="B31" s="996"/>
      <c r="C31" s="997" t="str">
        <f>IF(B31="","",SUMIF('D-1 Off-Site Habitat Baseline'!AF35:AF282,B31,'D-1 Off-Site Habitat Baseline'!T35:T282))</f>
        <v/>
      </c>
      <c r="D31" s="990" t="str">
        <f>IF(B31="","",SUMIF('D-1 Off-Site Habitat Baseline'!$AF$11:$AF$258,B31,'D-1 Off-Site Habitat Baseline'!$Q$11:$Q$258))</f>
        <v/>
      </c>
      <c r="E31" s="998" t="str">
        <f>IF(B31="","",SUMIF('D-1 Off-Site Habitat Baseline'!$AF$11:$AF$258,'Off-site gain site summary'!$B31,'D-1 Off-Site Habitat Baseline'!$X$11:$X$258))</f>
        <v/>
      </c>
      <c r="F31" s="999" t="str">
        <f>IF(B31="","",SUMIF('D-1 Off-Site Habitat Baseline'!$AF$11:$AF$258,'Off-site gain site summary'!$B31,'D-1 Off-Site Habitat Baseline'!$AY$11:$AY$258))</f>
        <v/>
      </c>
      <c r="G31" s="998" t="str">
        <f>IF(B31="","",SUMIF('D-3 Off-Site Habitat Enhancment'!$AU$12:$AU$258,'Off-site gain site summary'!B31,'D-3 Off-Site Habitat Enhancment'!$AQ$12:$AQ$258))</f>
        <v/>
      </c>
      <c r="H31" s="999" t="str">
        <f>IF(B31="","",SUMIF('D-3 Off-Site Habitat Enhancment'!$AU$12:$AU$258,'Off-site gain site summary'!B31,'D-3 Off-Site Habitat Enhancment'!$AP$12:$AP$258))</f>
        <v/>
      </c>
      <c r="I31" s="998" t="str">
        <f>IF(B31="","",SUMIF('D-2 Off-Site Habitat Creation'!$AF$11:$AF$256,'Off-site gain site summary'!B31,'D-2 Off-Site Habitat Creation'!$AB$11:$AB$256))</f>
        <v/>
      </c>
      <c r="J31" s="999" t="str">
        <f>IF(B31="","",SUMIF('D-2 Off-Site Habitat Creation'!$AF$11:$AF$256,'Off-site gain site summary'!B31,'D-2 Off-Site Habitat Creation'!$AA$11:$AA$256))</f>
        <v/>
      </c>
      <c r="K31" s="1000" t="str">
        <f t="shared" si="0"/>
        <v/>
      </c>
      <c r="L31" s="997" t="str">
        <f>IF(ISBLANK(B31),"",IFERROR(_xlfn.XLOOKUP(B31,'D-2 Off-Site Habitat Creation'!$AF$11:$AF$256,'D-2 Off-Site Habitat Creation'!$Z$11:$Z$256),IFERROR(_xlfn.XLOOKUP(B31,'D-1 Off-Site Habitat Baseline'!AF$11:AF$258,'D-1 Off-Site Habitat Baseline'!S$11:S$258)," ")))</f>
        <v/>
      </c>
      <c r="M31" s="983" t="str">
        <f t="shared" si="1"/>
        <v/>
      </c>
      <c r="N31" s="988">
        <f>'E-1 Off-Site Hedge Baseline'!AB34</f>
        <v>0</v>
      </c>
      <c r="O31" s="996"/>
      <c r="P31" s="1000" t="str">
        <f>IF(O31="","",SUMIF('E-1 Off-Site Hedge Baseline'!AB$10:AB$257,'Off-site gain site summary'!O31,'E-1 Off-Site Hedge Baseline'!Q$10:Q$257))</f>
        <v/>
      </c>
      <c r="Q31" s="1000" t="str">
        <f>IF(O31="","",SUMIF('E-1 Off-Site Hedge Baseline'!AB$10:AB$257,O31,'E-1 Off-Site Hedge Baseline'!N$10:N$257))</f>
        <v/>
      </c>
      <c r="R31" s="1000" t="str">
        <f>IF(O31="","",SUMIF('E-1 Off-Site Hedge Baseline'!$AB$10:$AB$257,'Off-site gain site summary'!$O31,'E-1 Off-Site Hedge Baseline'!$U$10:$U$257))</f>
        <v/>
      </c>
      <c r="S31" s="1000" t="str">
        <f>IF(O31="","",SUMIF('E-1 Off-Site Hedge Baseline'!$AB$10:$AB$257,'Off-site gain site summary'!$O31,'E-1 Off-Site Hedge Baseline'!$AY$10:$AY$257))</f>
        <v/>
      </c>
      <c r="T31" s="1000" t="str">
        <f>IF(O31="","",SUMIF('E-3 Off-Site Hedge Enhancement'!$AO$12:$AO$257,'Off-site gain site summary'!$O31,'E-3 Off-Site Hedge Enhancement'!$AK$12:$AK$257))</f>
        <v/>
      </c>
      <c r="U31" s="1000" t="str">
        <f>IF(O31="","",SUMIF('E-3 Off-Site Hedge Enhancement'!$AO$12:$AO$257,'Off-site gain site summary'!$O31,'E-3 Off-Site Hedge Enhancement'!$AJ$12:$AJ$257))</f>
        <v/>
      </c>
      <c r="V31" s="1000" t="str">
        <f>IF(O31="","",SUMIF('E-2 Off-Site Hedge Creation'!$AD$12:$AD$259,'Off-site gain site summary'!$O31,'E-2 Off-Site Hedge Creation'!$Z$12:$Z$259))</f>
        <v/>
      </c>
      <c r="W31" s="991" t="str">
        <f>IF(O31="","",SUMIF('E-2 Off-Site Hedge Creation'!$AD$12:$AD$259,'Off-site gain site summary'!$O31,'E-2 Off-Site Hedge Creation'!$Y$12:$Y$259))</f>
        <v/>
      </c>
      <c r="X31" s="991" t="str">
        <f t="shared" si="2"/>
        <v/>
      </c>
      <c r="Y31" s="991" t="str">
        <f>IF(ISBLANK(O31),"",IFERROR(_xlfn.XLOOKUP(O31,'E-2 Off-Site Hedge Creation'!$AD$12:$AD$259,'E-2 Off-Site Hedge Creation'!$N$12:$N$259),IFERROR(_xlfn.XLOOKUP(O31,'E-1 Off-Site Hedge Baseline'!$AB$10:$AB$257,'E-1 Off-Site Hedge Baseline'!$P$10:$P$257)," ")))</f>
        <v/>
      </c>
      <c r="Z31" s="986" t="str">
        <f t="shared" si="3"/>
        <v/>
      </c>
      <c r="AA31" s="992">
        <f>'F-1 Off-Site WaterC'' Baseline'!AH34</f>
        <v>0</v>
      </c>
      <c r="AB31" s="996"/>
      <c r="AC31" s="1000" t="str">
        <f>IF(AB31="","",SUMIF('F-1 Off-Site WaterC'' Baseline'!$AH$10:$AH$257,'Off-site gain site summary'!$AB31,'F-1 Off-Site WaterC'' Baseline'!$U$10:$U$257))</f>
        <v/>
      </c>
      <c r="AD31" s="1000" t="str">
        <f>IF(AB31="","",SUMIF('F-1 Off-Site WaterC'' Baseline'!$AH$10:$AH$257,'Off-site gain site summary'!$AB31,'F-1 Off-Site WaterC'' Baseline'!$R$10:$R$257))</f>
        <v/>
      </c>
      <c r="AE31" s="1000" t="str">
        <f>IF(AB31="","",SUMIF('F-1 Off-Site WaterC'' Baseline'!$AH$10:$AH$257,'Off-site gain site summary'!$AB31,'F-1 Off-Site WaterC'' Baseline'!$Z$10:$Z$257))</f>
        <v/>
      </c>
      <c r="AF31" s="1000" t="str">
        <f>IF(AB31="","",SUMIF('F-1 Off-Site WaterC'' Baseline'!$AH$10:$AH$257,'Off-site gain site summary'!$AB31,'F-1 Off-Site WaterC'' Baseline'!$BA$10:$BA$257))</f>
        <v/>
      </c>
      <c r="AG31" s="1000" t="str">
        <f>IF(AB31="","",SUMIF('F-3 Off-Site WaterC Enhancement'!$AT$12:$AT$257,'Off-site gain site summary'!$AB31,'F-3 Off-Site WaterC Enhancement'!$AP$12:$AP$257))</f>
        <v/>
      </c>
      <c r="AH31" s="1000" t="str">
        <f>IF(AB31="","",SUMIF('F-3 Off-Site WaterC Enhancement'!$AT$12:$AT$257,'Off-site gain site summary'!$AB31,'F-3 Off-Site WaterC Enhancement'!$AO$12:$AO$257))</f>
        <v/>
      </c>
      <c r="AI31" s="1000" t="str">
        <f>IF(AB31="","",SUMIF('F-2 Off-Site WaterC'' Creation'!$AG$12:$AG$259,'Off-site gain site summary'!$AB31,'F-2 Off-Site WaterC'' Creation'!$AC$12:$AC$259))</f>
        <v/>
      </c>
      <c r="AJ31" s="1000" t="str">
        <f>IF(AB31="","",SUMIF('F-2 Off-Site WaterC'' Creation'!$AG$12:$AG$259,'Off-site gain site summary'!$AB31,'F-2 Off-Site WaterC'' Creation'!$AB$12:$AB$259))</f>
        <v/>
      </c>
      <c r="AK31" s="1000" t="str">
        <f t="shared" si="4"/>
        <v/>
      </c>
      <c r="AL31" s="1000" t="str">
        <f>IF(ISBLANK(AB31),"",IFERROR(_xlfn.XLOOKUP(AB31,'F-2 Off-Site WaterC'' Creation'!$AG$12:$AG$258,'F-2 Off-Site WaterC'' Creation'!$AA$12:$AA$258),IFERROR(_xlfn.XLOOKUP(AB31,'F-1 Off-Site WaterC'' Baseline'!$AH$10:$AH$257,'F-1 Off-Site WaterC'' Baseline'!$T$10:$T$257)," ")))</f>
        <v/>
      </c>
      <c r="AM31" s="986" t="str">
        <f t="shared" si="5"/>
        <v/>
      </c>
      <c r="AN31" s="1469"/>
      <c r="AO31" s="1469"/>
    </row>
    <row r="32" spans="1:41" s="992" customFormat="1" ht="43.5" customHeight="1">
      <c r="A32" s="988">
        <f>'D-1 Off-Site Habitat Baseline'!AF36</f>
        <v>0</v>
      </c>
      <c r="B32" s="996"/>
      <c r="C32" s="997" t="str">
        <f>IF(B32="","",SUMIF('D-1 Off-Site Habitat Baseline'!AF36:AF283,B32,'D-1 Off-Site Habitat Baseline'!T36:T283))</f>
        <v/>
      </c>
      <c r="D32" s="990" t="str">
        <f>IF(B32="","",SUMIF('D-1 Off-Site Habitat Baseline'!$AF$11:$AF$258,B32,'D-1 Off-Site Habitat Baseline'!$Q$11:$Q$258))</f>
        <v/>
      </c>
      <c r="E32" s="998" t="str">
        <f>IF(B32="","",SUMIF('D-1 Off-Site Habitat Baseline'!$AF$11:$AF$258,'Off-site gain site summary'!$B32,'D-1 Off-Site Habitat Baseline'!$X$11:$X$258))</f>
        <v/>
      </c>
      <c r="F32" s="999" t="str">
        <f>IF(B32="","",SUMIF('D-1 Off-Site Habitat Baseline'!$AF$11:$AF$258,'Off-site gain site summary'!$B32,'D-1 Off-Site Habitat Baseline'!$AY$11:$AY$258))</f>
        <v/>
      </c>
      <c r="G32" s="998" t="str">
        <f>IF(B32="","",SUMIF('D-3 Off-Site Habitat Enhancment'!$AU$12:$AU$258,'Off-site gain site summary'!B32,'D-3 Off-Site Habitat Enhancment'!$AQ$12:$AQ$258))</f>
        <v/>
      </c>
      <c r="H32" s="999" t="str">
        <f>IF(B32="","",SUMIF('D-3 Off-Site Habitat Enhancment'!$AU$12:$AU$258,'Off-site gain site summary'!B32,'D-3 Off-Site Habitat Enhancment'!$AP$12:$AP$258))</f>
        <v/>
      </c>
      <c r="I32" s="998" t="str">
        <f>IF(B32="","",SUMIF('D-2 Off-Site Habitat Creation'!$AF$11:$AF$256,'Off-site gain site summary'!B32,'D-2 Off-Site Habitat Creation'!$AB$11:$AB$256))</f>
        <v/>
      </c>
      <c r="J32" s="999" t="str">
        <f>IF(B32="","",SUMIF('D-2 Off-Site Habitat Creation'!$AF$11:$AF$256,'Off-site gain site summary'!B32,'D-2 Off-Site Habitat Creation'!$AA$11:$AA$256))</f>
        <v/>
      </c>
      <c r="K32" s="1000" t="str">
        <f t="shared" si="0"/>
        <v/>
      </c>
      <c r="L32" s="997" t="str">
        <f>IF(ISBLANK(B32),"",IFERROR(_xlfn.XLOOKUP(B32,'D-2 Off-Site Habitat Creation'!$AF$11:$AF$256,'D-2 Off-Site Habitat Creation'!$Z$11:$Z$256),IFERROR(_xlfn.XLOOKUP(B32,'D-1 Off-Site Habitat Baseline'!AF$11:AF$258,'D-1 Off-Site Habitat Baseline'!S$11:S$258)," ")))</f>
        <v/>
      </c>
      <c r="M32" s="983" t="str">
        <f t="shared" si="1"/>
        <v/>
      </c>
      <c r="N32" s="988">
        <f>'E-1 Off-Site Hedge Baseline'!AB35</f>
        <v>0</v>
      </c>
      <c r="O32" s="996"/>
      <c r="P32" s="1000" t="str">
        <f>IF(O32="","",SUMIF('E-1 Off-Site Hedge Baseline'!AB$10:AB$257,'Off-site gain site summary'!O32,'E-1 Off-Site Hedge Baseline'!Q$10:Q$257))</f>
        <v/>
      </c>
      <c r="Q32" s="1000" t="str">
        <f>IF(O32="","",SUMIF('E-1 Off-Site Hedge Baseline'!AB$10:AB$257,O32,'E-1 Off-Site Hedge Baseline'!N$10:N$257))</f>
        <v/>
      </c>
      <c r="R32" s="1000" t="str">
        <f>IF(O32="","",SUMIF('E-1 Off-Site Hedge Baseline'!$AB$10:$AB$257,'Off-site gain site summary'!$O32,'E-1 Off-Site Hedge Baseline'!$U$10:$U$257))</f>
        <v/>
      </c>
      <c r="S32" s="1000" t="str">
        <f>IF(O32="","",SUMIF('E-1 Off-Site Hedge Baseline'!$AB$10:$AB$257,'Off-site gain site summary'!$O32,'E-1 Off-Site Hedge Baseline'!$AY$10:$AY$257))</f>
        <v/>
      </c>
      <c r="T32" s="1000" t="str">
        <f>IF(O32="","",SUMIF('E-3 Off-Site Hedge Enhancement'!$AO$12:$AO$257,'Off-site gain site summary'!$O32,'E-3 Off-Site Hedge Enhancement'!$AK$12:$AK$257))</f>
        <v/>
      </c>
      <c r="U32" s="1000" t="str">
        <f>IF(O32="","",SUMIF('E-3 Off-Site Hedge Enhancement'!$AO$12:$AO$257,'Off-site gain site summary'!$O32,'E-3 Off-Site Hedge Enhancement'!$AJ$12:$AJ$257))</f>
        <v/>
      </c>
      <c r="V32" s="1000" t="str">
        <f>IF(O32="","",SUMIF('E-2 Off-Site Hedge Creation'!$AD$12:$AD$259,'Off-site gain site summary'!$O32,'E-2 Off-Site Hedge Creation'!$Z$12:$Z$259))</f>
        <v/>
      </c>
      <c r="W32" s="991" t="str">
        <f>IF(O32="","",SUMIF('E-2 Off-Site Hedge Creation'!$AD$12:$AD$259,'Off-site gain site summary'!$O32,'E-2 Off-Site Hedge Creation'!$Y$12:$Y$259))</f>
        <v/>
      </c>
      <c r="X32" s="991" t="str">
        <f t="shared" si="2"/>
        <v/>
      </c>
      <c r="Y32" s="991" t="str">
        <f>IF(ISBLANK(O32),"",IFERROR(_xlfn.XLOOKUP(O32,'E-2 Off-Site Hedge Creation'!$AD$12:$AD$259,'E-2 Off-Site Hedge Creation'!$N$12:$N$259),IFERROR(_xlfn.XLOOKUP(O32,'E-1 Off-Site Hedge Baseline'!$AB$10:$AB$257,'E-1 Off-Site Hedge Baseline'!$P$10:$P$257)," ")))</f>
        <v/>
      </c>
      <c r="Z32" s="986" t="str">
        <f t="shared" si="3"/>
        <v/>
      </c>
      <c r="AA32" s="992">
        <f>'F-1 Off-Site WaterC'' Baseline'!AH35</f>
        <v>0</v>
      </c>
      <c r="AB32" s="996"/>
      <c r="AC32" s="1000" t="str">
        <f>IF(AB32="","",SUMIF('F-1 Off-Site WaterC'' Baseline'!$AH$10:$AH$257,'Off-site gain site summary'!$AB32,'F-1 Off-Site WaterC'' Baseline'!$U$10:$U$257))</f>
        <v/>
      </c>
      <c r="AD32" s="1000" t="str">
        <f>IF(AB32="","",SUMIF('F-1 Off-Site WaterC'' Baseline'!$AH$10:$AH$257,'Off-site gain site summary'!$AB32,'F-1 Off-Site WaterC'' Baseline'!$R$10:$R$257))</f>
        <v/>
      </c>
      <c r="AE32" s="1000" t="str">
        <f>IF(AB32="","",SUMIF('F-1 Off-Site WaterC'' Baseline'!$AH$10:$AH$257,'Off-site gain site summary'!$AB32,'F-1 Off-Site WaterC'' Baseline'!$Z$10:$Z$257))</f>
        <v/>
      </c>
      <c r="AF32" s="1000" t="str">
        <f>IF(AB32="","",SUMIF('F-1 Off-Site WaterC'' Baseline'!$AH$10:$AH$257,'Off-site gain site summary'!$AB32,'F-1 Off-Site WaterC'' Baseline'!$BA$10:$BA$257))</f>
        <v/>
      </c>
      <c r="AG32" s="1000" t="str">
        <f>IF(AB32="","",SUMIF('F-3 Off-Site WaterC Enhancement'!$AT$12:$AT$257,'Off-site gain site summary'!$AB32,'F-3 Off-Site WaterC Enhancement'!$AP$12:$AP$257))</f>
        <v/>
      </c>
      <c r="AH32" s="1000" t="str">
        <f>IF(AB32="","",SUMIF('F-3 Off-Site WaterC Enhancement'!$AT$12:$AT$257,'Off-site gain site summary'!$AB32,'F-3 Off-Site WaterC Enhancement'!$AO$12:$AO$257))</f>
        <v/>
      </c>
      <c r="AI32" s="1000" t="str">
        <f>IF(AB32="","",SUMIF('F-2 Off-Site WaterC'' Creation'!$AG$12:$AG$259,'Off-site gain site summary'!$AB32,'F-2 Off-Site WaterC'' Creation'!$AC$12:$AC$259))</f>
        <v/>
      </c>
      <c r="AJ32" s="1000" t="str">
        <f>IF(AB32="","",SUMIF('F-2 Off-Site WaterC'' Creation'!$AG$12:$AG$259,'Off-site gain site summary'!$AB32,'F-2 Off-Site WaterC'' Creation'!$AB$12:$AB$259))</f>
        <v/>
      </c>
      <c r="AK32" s="1000" t="str">
        <f t="shared" si="4"/>
        <v/>
      </c>
      <c r="AL32" s="1000" t="str">
        <f>IF(ISBLANK(AB32),"",IFERROR(_xlfn.XLOOKUP(AB32,'F-2 Off-Site WaterC'' Creation'!$AG$12:$AG$258,'F-2 Off-Site WaterC'' Creation'!$AA$12:$AA$258),IFERROR(_xlfn.XLOOKUP(AB32,'F-1 Off-Site WaterC'' Baseline'!$AH$10:$AH$257,'F-1 Off-Site WaterC'' Baseline'!$T$10:$T$257)," ")))</f>
        <v/>
      </c>
      <c r="AM32" s="986" t="str">
        <f t="shared" si="5"/>
        <v/>
      </c>
      <c r="AN32" s="1469"/>
      <c r="AO32" s="1469"/>
    </row>
    <row r="33" spans="1:41" s="992" customFormat="1" ht="43.5" customHeight="1">
      <c r="A33" s="988">
        <f>'D-1 Off-Site Habitat Baseline'!AF37</f>
        <v>0</v>
      </c>
      <c r="B33" s="996"/>
      <c r="C33" s="997" t="str">
        <f>IF(B33="","",SUMIF('D-1 Off-Site Habitat Baseline'!AF37:AF284,B33,'D-1 Off-Site Habitat Baseline'!T37:T284))</f>
        <v/>
      </c>
      <c r="D33" s="990" t="str">
        <f>IF(B33="","",SUMIF('D-1 Off-Site Habitat Baseline'!$AF$11:$AF$258,B33,'D-1 Off-Site Habitat Baseline'!$Q$11:$Q$258))</f>
        <v/>
      </c>
      <c r="E33" s="998" t="str">
        <f>IF(B33="","",SUMIF('D-1 Off-Site Habitat Baseline'!$AF$11:$AF$258,'Off-site gain site summary'!$B33,'D-1 Off-Site Habitat Baseline'!$X$11:$X$258))</f>
        <v/>
      </c>
      <c r="F33" s="999" t="str">
        <f>IF(B33="","",SUMIF('D-1 Off-Site Habitat Baseline'!$AF$11:$AF$258,'Off-site gain site summary'!$B33,'D-1 Off-Site Habitat Baseline'!$AY$11:$AY$258))</f>
        <v/>
      </c>
      <c r="G33" s="998" t="str">
        <f>IF(B33="","",SUMIF('D-3 Off-Site Habitat Enhancment'!$AU$12:$AU$258,'Off-site gain site summary'!B33,'D-3 Off-Site Habitat Enhancment'!$AQ$12:$AQ$258))</f>
        <v/>
      </c>
      <c r="H33" s="999" t="str">
        <f>IF(B33="","",SUMIF('D-3 Off-Site Habitat Enhancment'!$AU$12:$AU$258,'Off-site gain site summary'!B33,'D-3 Off-Site Habitat Enhancment'!$AP$12:$AP$258))</f>
        <v/>
      </c>
      <c r="I33" s="998" t="str">
        <f>IF(B33="","",SUMIF('D-2 Off-Site Habitat Creation'!$AF$11:$AF$256,'Off-site gain site summary'!B33,'D-2 Off-Site Habitat Creation'!$AB$11:$AB$256))</f>
        <v/>
      </c>
      <c r="J33" s="999" t="str">
        <f>IF(B33="","",SUMIF('D-2 Off-Site Habitat Creation'!$AF$11:$AF$256,'Off-site gain site summary'!B33,'D-2 Off-Site Habitat Creation'!$AA$11:$AA$256))</f>
        <v/>
      </c>
      <c r="K33" s="1000" t="str">
        <f t="shared" si="0"/>
        <v/>
      </c>
      <c r="L33" s="997" t="str">
        <f>IF(ISBLANK(B33),"",IFERROR(_xlfn.XLOOKUP(B33,'D-2 Off-Site Habitat Creation'!$AF$11:$AF$256,'D-2 Off-Site Habitat Creation'!$Z$11:$Z$256),IFERROR(_xlfn.XLOOKUP(B33,'D-1 Off-Site Habitat Baseline'!AF$11:AF$258,'D-1 Off-Site Habitat Baseline'!S$11:S$258)," ")))</f>
        <v/>
      </c>
      <c r="M33" s="983" t="str">
        <f t="shared" si="1"/>
        <v/>
      </c>
      <c r="N33" s="988">
        <f>'E-1 Off-Site Hedge Baseline'!AB36</f>
        <v>0</v>
      </c>
      <c r="O33" s="996"/>
      <c r="P33" s="1000" t="str">
        <f>IF(O33="","",SUMIF('E-1 Off-Site Hedge Baseline'!AB$10:AB$257,'Off-site gain site summary'!O33,'E-1 Off-Site Hedge Baseline'!Q$10:Q$257))</f>
        <v/>
      </c>
      <c r="Q33" s="1000" t="str">
        <f>IF(O33="","",SUMIF('E-1 Off-Site Hedge Baseline'!AB$10:AB$257,O33,'E-1 Off-Site Hedge Baseline'!N$10:N$257))</f>
        <v/>
      </c>
      <c r="R33" s="1000" t="str">
        <f>IF(O33="","",SUMIF('E-1 Off-Site Hedge Baseline'!$AB$10:$AB$257,'Off-site gain site summary'!$O33,'E-1 Off-Site Hedge Baseline'!$U$10:$U$257))</f>
        <v/>
      </c>
      <c r="S33" s="1000" t="str">
        <f>IF(O33="","",SUMIF('E-1 Off-Site Hedge Baseline'!$AB$10:$AB$257,'Off-site gain site summary'!$O33,'E-1 Off-Site Hedge Baseline'!$AY$10:$AY$257))</f>
        <v/>
      </c>
      <c r="T33" s="1000" t="str">
        <f>IF(O33="","",SUMIF('E-3 Off-Site Hedge Enhancement'!$AO$12:$AO$257,'Off-site gain site summary'!$O33,'E-3 Off-Site Hedge Enhancement'!$AK$12:$AK$257))</f>
        <v/>
      </c>
      <c r="U33" s="1000" t="str">
        <f>IF(O33="","",SUMIF('E-3 Off-Site Hedge Enhancement'!$AO$12:$AO$257,'Off-site gain site summary'!$O33,'E-3 Off-Site Hedge Enhancement'!$AJ$12:$AJ$257))</f>
        <v/>
      </c>
      <c r="V33" s="1000" t="str">
        <f>IF(O33="","",SUMIF('E-2 Off-Site Hedge Creation'!$AD$12:$AD$259,'Off-site gain site summary'!$O33,'E-2 Off-Site Hedge Creation'!$Z$12:$Z$259))</f>
        <v/>
      </c>
      <c r="W33" s="991" t="str">
        <f>IF(O33="","",SUMIF('E-2 Off-Site Hedge Creation'!$AD$12:$AD$259,'Off-site gain site summary'!$O33,'E-2 Off-Site Hedge Creation'!$Y$12:$Y$259))</f>
        <v/>
      </c>
      <c r="X33" s="991" t="str">
        <f t="shared" si="2"/>
        <v/>
      </c>
      <c r="Y33" s="991" t="str">
        <f>IF(ISBLANK(O33),"",IFERROR(_xlfn.XLOOKUP(O33,'E-2 Off-Site Hedge Creation'!$AD$12:$AD$259,'E-2 Off-Site Hedge Creation'!$N$12:$N$259),IFERROR(_xlfn.XLOOKUP(O33,'E-1 Off-Site Hedge Baseline'!$AB$10:$AB$257,'E-1 Off-Site Hedge Baseline'!$P$10:$P$257)," ")))</f>
        <v/>
      </c>
      <c r="Z33" s="986" t="str">
        <f t="shared" si="3"/>
        <v/>
      </c>
      <c r="AA33" s="992">
        <f>'F-1 Off-Site WaterC'' Baseline'!AH36</f>
        <v>0</v>
      </c>
      <c r="AB33" s="996"/>
      <c r="AC33" s="1000" t="str">
        <f>IF(AB33="","",SUMIF('F-1 Off-Site WaterC'' Baseline'!$AH$10:$AH$257,'Off-site gain site summary'!$AB33,'F-1 Off-Site WaterC'' Baseline'!$U$10:$U$257))</f>
        <v/>
      </c>
      <c r="AD33" s="1000" t="str">
        <f>IF(AB33="","",SUMIF('F-1 Off-Site WaterC'' Baseline'!$AH$10:$AH$257,'Off-site gain site summary'!$AB33,'F-1 Off-Site WaterC'' Baseline'!$R$10:$R$257))</f>
        <v/>
      </c>
      <c r="AE33" s="1000" t="str">
        <f>IF(AB33="","",SUMIF('F-1 Off-Site WaterC'' Baseline'!$AH$10:$AH$257,'Off-site gain site summary'!$AB33,'F-1 Off-Site WaterC'' Baseline'!$Z$10:$Z$257))</f>
        <v/>
      </c>
      <c r="AF33" s="1000" t="str">
        <f>IF(AB33="","",SUMIF('F-1 Off-Site WaterC'' Baseline'!$AH$10:$AH$257,'Off-site gain site summary'!$AB33,'F-1 Off-Site WaterC'' Baseline'!$BA$10:$BA$257))</f>
        <v/>
      </c>
      <c r="AG33" s="1000" t="str">
        <f>IF(AB33="","",SUMIF('F-3 Off-Site WaterC Enhancement'!$AT$12:$AT$257,'Off-site gain site summary'!$AB33,'F-3 Off-Site WaterC Enhancement'!$AP$12:$AP$257))</f>
        <v/>
      </c>
      <c r="AH33" s="1000" t="str">
        <f>IF(AB33="","",SUMIF('F-3 Off-Site WaterC Enhancement'!$AT$12:$AT$257,'Off-site gain site summary'!$AB33,'F-3 Off-Site WaterC Enhancement'!$AO$12:$AO$257))</f>
        <v/>
      </c>
      <c r="AI33" s="1000" t="str">
        <f>IF(AB33="","",SUMIF('F-2 Off-Site WaterC'' Creation'!$AG$12:$AG$259,'Off-site gain site summary'!$AB33,'F-2 Off-Site WaterC'' Creation'!$AC$12:$AC$259))</f>
        <v/>
      </c>
      <c r="AJ33" s="1000" t="str">
        <f>IF(AB33="","",SUMIF('F-2 Off-Site WaterC'' Creation'!$AG$12:$AG$259,'Off-site gain site summary'!$AB33,'F-2 Off-Site WaterC'' Creation'!$AB$12:$AB$259))</f>
        <v/>
      </c>
      <c r="AK33" s="1000" t="str">
        <f t="shared" si="4"/>
        <v/>
      </c>
      <c r="AL33" s="1000" t="str">
        <f>IF(ISBLANK(AB33),"",IFERROR(_xlfn.XLOOKUP(AB33,'F-2 Off-Site WaterC'' Creation'!$AG$12:$AG$258,'F-2 Off-Site WaterC'' Creation'!$AA$12:$AA$258),IFERROR(_xlfn.XLOOKUP(AB33,'F-1 Off-Site WaterC'' Baseline'!$AH$10:$AH$257,'F-1 Off-Site WaterC'' Baseline'!$T$10:$T$257)," ")))</f>
        <v/>
      </c>
      <c r="AM33" s="986" t="str">
        <f t="shared" si="5"/>
        <v/>
      </c>
      <c r="AN33" s="1469"/>
      <c r="AO33" s="1469"/>
    </row>
    <row r="34" spans="1:41" s="992" customFormat="1" ht="43.5" customHeight="1">
      <c r="A34" s="988">
        <f>'D-1 Off-Site Habitat Baseline'!AF38</f>
        <v>0</v>
      </c>
      <c r="B34" s="996"/>
      <c r="C34" s="997" t="str">
        <f>IF(B34="","",SUMIF('D-1 Off-Site Habitat Baseline'!AF38:AF285,B34,'D-1 Off-Site Habitat Baseline'!T38:T285))</f>
        <v/>
      </c>
      <c r="D34" s="990" t="str">
        <f>IF(B34="","",SUMIF('D-1 Off-Site Habitat Baseline'!$AF$11:$AF$258,B34,'D-1 Off-Site Habitat Baseline'!$Q$11:$Q$258))</f>
        <v/>
      </c>
      <c r="E34" s="998" t="str">
        <f>IF(B34="","",SUMIF('D-1 Off-Site Habitat Baseline'!$AF$11:$AF$258,'Off-site gain site summary'!$B34,'D-1 Off-Site Habitat Baseline'!$X$11:$X$258))</f>
        <v/>
      </c>
      <c r="F34" s="999" t="str">
        <f>IF(B34="","",SUMIF('D-1 Off-Site Habitat Baseline'!$AF$11:$AF$258,'Off-site gain site summary'!$B34,'D-1 Off-Site Habitat Baseline'!$AY$11:$AY$258))</f>
        <v/>
      </c>
      <c r="G34" s="998" t="str">
        <f>IF(B34="","",SUMIF('D-3 Off-Site Habitat Enhancment'!$AU$12:$AU$258,'Off-site gain site summary'!B34,'D-3 Off-Site Habitat Enhancment'!$AQ$12:$AQ$258))</f>
        <v/>
      </c>
      <c r="H34" s="999" t="str">
        <f>IF(B34="","",SUMIF('D-3 Off-Site Habitat Enhancment'!$AU$12:$AU$258,'Off-site gain site summary'!B34,'D-3 Off-Site Habitat Enhancment'!$AP$12:$AP$258))</f>
        <v/>
      </c>
      <c r="I34" s="998" t="str">
        <f>IF(B34="","",SUMIF('D-2 Off-Site Habitat Creation'!$AF$11:$AF$256,'Off-site gain site summary'!B34,'D-2 Off-Site Habitat Creation'!$AB$11:$AB$256))</f>
        <v/>
      </c>
      <c r="J34" s="999" t="str">
        <f>IF(B34="","",SUMIF('D-2 Off-Site Habitat Creation'!$AF$11:$AF$256,'Off-site gain site summary'!B34,'D-2 Off-Site Habitat Creation'!$AA$11:$AA$256))</f>
        <v/>
      </c>
      <c r="K34" s="1000" t="str">
        <f t="shared" si="0"/>
        <v/>
      </c>
      <c r="L34" s="997" t="str">
        <f>IF(ISBLANK(B34),"",IFERROR(_xlfn.XLOOKUP(B34,'D-2 Off-Site Habitat Creation'!$AF$11:$AF$256,'D-2 Off-Site Habitat Creation'!$Z$11:$Z$256),IFERROR(_xlfn.XLOOKUP(B34,'D-1 Off-Site Habitat Baseline'!AF$11:AF$258,'D-1 Off-Site Habitat Baseline'!S$11:S$258)," ")))</f>
        <v/>
      </c>
      <c r="M34" s="983" t="str">
        <f t="shared" si="1"/>
        <v/>
      </c>
      <c r="N34" s="988">
        <f>'E-1 Off-Site Hedge Baseline'!AB37</f>
        <v>0</v>
      </c>
      <c r="O34" s="996"/>
      <c r="P34" s="1000" t="str">
        <f>IF(O34="","",SUMIF('E-1 Off-Site Hedge Baseline'!AB$10:AB$257,'Off-site gain site summary'!O34,'E-1 Off-Site Hedge Baseline'!Q$10:Q$257))</f>
        <v/>
      </c>
      <c r="Q34" s="1000" t="str">
        <f>IF(O34="","",SUMIF('E-1 Off-Site Hedge Baseline'!AB$10:AB$257,O34,'E-1 Off-Site Hedge Baseline'!N$10:N$257))</f>
        <v/>
      </c>
      <c r="R34" s="1000" t="str">
        <f>IF(O34="","",SUMIF('E-1 Off-Site Hedge Baseline'!$AB$10:$AB$257,'Off-site gain site summary'!$O34,'E-1 Off-Site Hedge Baseline'!$U$10:$U$257))</f>
        <v/>
      </c>
      <c r="S34" s="1000" t="str">
        <f>IF(O34="","",SUMIF('E-1 Off-Site Hedge Baseline'!$AB$10:$AB$257,'Off-site gain site summary'!$O34,'E-1 Off-Site Hedge Baseline'!$AY$10:$AY$257))</f>
        <v/>
      </c>
      <c r="T34" s="1000" t="str">
        <f>IF(O34="","",SUMIF('E-3 Off-Site Hedge Enhancement'!$AO$12:$AO$257,'Off-site gain site summary'!$O34,'E-3 Off-Site Hedge Enhancement'!$AK$12:$AK$257))</f>
        <v/>
      </c>
      <c r="U34" s="1000" t="str">
        <f>IF(O34="","",SUMIF('E-3 Off-Site Hedge Enhancement'!$AO$12:$AO$257,'Off-site gain site summary'!$O34,'E-3 Off-Site Hedge Enhancement'!$AJ$12:$AJ$257))</f>
        <v/>
      </c>
      <c r="V34" s="1000" t="str">
        <f>IF(O34="","",SUMIF('E-2 Off-Site Hedge Creation'!$AD$12:$AD$259,'Off-site gain site summary'!$O34,'E-2 Off-Site Hedge Creation'!$Z$12:$Z$259))</f>
        <v/>
      </c>
      <c r="W34" s="991" t="str">
        <f>IF(O34="","",SUMIF('E-2 Off-Site Hedge Creation'!$AD$12:$AD$259,'Off-site gain site summary'!$O34,'E-2 Off-Site Hedge Creation'!$Y$12:$Y$259))</f>
        <v/>
      </c>
      <c r="X34" s="991" t="str">
        <f t="shared" si="2"/>
        <v/>
      </c>
      <c r="Y34" s="991" t="str">
        <f>IF(ISBLANK(O34),"",IFERROR(_xlfn.XLOOKUP(O34,'E-2 Off-Site Hedge Creation'!$AD$12:$AD$259,'E-2 Off-Site Hedge Creation'!$N$12:$N$259),IFERROR(_xlfn.XLOOKUP(O34,'E-1 Off-Site Hedge Baseline'!$AB$10:$AB$257,'E-1 Off-Site Hedge Baseline'!$P$10:$P$257)," ")))</f>
        <v/>
      </c>
      <c r="Z34" s="986" t="str">
        <f t="shared" si="3"/>
        <v/>
      </c>
      <c r="AA34" s="992">
        <f>'F-1 Off-Site WaterC'' Baseline'!AH37</f>
        <v>0</v>
      </c>
      <c r="AB34" s="996"/>
      <c r="AC34" s="1000" t="str">
        <f>IF(AB34="","",SUMIF('F-1 Off-Site WaterC'' Baseline'!$AH$10:$AH$257,'Off-site gain site summary'!$AB34,'F-1 Off-Site WaterC'' Baseline'!$U$10:$U$257))</f>
        <v/>
      </c>
      <c r="AD34" s="1000" t="str">
        <f>IF(AB34="","",SUMIF('F-1 Off-Site WaterC'' Baseline'!$AH$10:$AH$257,'Off-site gain site summary'!$AB34,'F-1 Off-Site WaterC'' Baseline'!$R$10:$R$257))</f>
        <v/>
      </c>
      <c r="AE34" s="1000" t="str">
        <f>IF(AB34="","",SUMIF('F-1 Off-Site WaterC'' Baseline'!$AH$10:$AH$257,'Off-site gain site summary'!$AB34,'F-1 Off-Site WaterC'' Baseline'!$Z$10:$Z$257))</f>
        <v/>
      </c>
      <c r="AF34" s="1000" t="str">
        <f>IF(AB34="","",SUMIF('F-1 Off-Site WaterC'' Baseline'!$AH$10:$AH$257,'Off-site gain site summary'!$AB34,'F-1 Off-Site WaterC'' Baseline'!$BA$10:$BA$257))</f>
        <v/>
      </c>
      <c r="AG34" s="1000" t="str">
        <f>IF(AB34="","",SUMIF('F-3 Off-Site WaterC Enhancement'!$AT$12:$AT$257,'Off-site gain site summary'!$AB34,'F-3 Off-Site WaterC Enhancement'!$AP$12:$AP$257))</f>
        <v/>
      </c>
      <c r="AH34" s="1000" t="str">
        <f>IF(AB34="","",SUMIF('F-3 Off-Site WaterC Enhancement'!$AT$12:$AT$257,'Off-site gain site summary'!$AB34,'F-3 Off-Site WaterC Enhancement'!$AO$12:$AO$257))</f>
        <v/>
      </c>
      <c r="AI34" s="1000" t="str">
        <f>IF(AB34="","",SUMIF('F-2 Off-Site WaterC'' Creation'!$AG$12:$AG$259,'Off-site gain site summary'!$AB34,'F-2 Off-Site WaterC'' Creation'!$AC$12:$AC$259))</f>
        <v/>
      </c>
      <c r="AJ34" s="1000" t="str">
        <f>IF(AB34="","",SUMIF('F-2 Off-Site WaterC'' Creation'!$AG$12:$AG$259,'Off-site gain site summary'!$AB34,'F-2 Off-Site WaterC'' Creation'!$AB$12:$AB$259))</f>
        <v/>
      </c>
      <c r="AK34" s="1000" t="str">
        <f t="shared" si="4"/>
        <v/>
      </c>
      <c r="AL34" s="1000" t="str">
        <f>IF(ISBLANK(AB34),"",IFERROR(_xlfn.XLOOKUP(AB34,'F-2 Off-Site WaterC'' Creation'!$AG$12:$AG$258,'F-2 Off-Site WaterC'' Creation'!$AA$12:$AA$258),IFERROR(_xlfn.XLOOKUP(AB34,'F-1 Off-Site WaterC'' Baseline'!$AH$10:$AH$257,'F-1 Off-Site WaterC'' Baseline'!$T$10:$T$257)," ")))</f>
        <v/>
      </c>
      <c r="AM34" s="986" t="str">
        <f t="shared" si="5"/>
        <v/>
      </c>
      <c r="AN34" s="1469"/>
      <c r="AO34" s="1469"/>
    </row>
    <row r="35" spans="1:41" s="992" customFormat="1" ht="43.5" customHeight="1">
      <c r="A35" s="988">
        <f>'D-1 Off-Site Habitat Baseline'!AF39</f>
        <v>0</v>
      </c>
      <c r="B35" s="996"/>
      <c r="C35" s="997" t="str">
        <f>IF(B35="","",SUMIF('D-1 Off-Site Habitat Baseline'!AF39:AF286,B35,'D-1 Off-Site Habitat Baseline'!T39:T286))</f>
        <v/>
      </c>
      <c r="D35" s="990" t="str">
        <f>IF(B35="","",SUMIF('D-1 Off-Site Habitat Baseline'!$AF$11:$AF$258,B35,'D-1 Off-Site Habitat Baseline'!$Q$11:$Q$258))</f>
        <v/>
      </c>
      <c r="E35" s="998" t="str">
        <f>IF(B35="","",SUMIF('D-1 Off-Site Habitat Baseline'!$AF$11:$AF$258,'Off-site gain site summary'!$B35,'D-1 Off-Site Habitat Baseline'!$X$11:$X$258))</f>
        <v/>
      </c>
      <c r="F35" s="999" t="str">
        <f>IF(B35="","",SUMIF('D-1 Off-Site Habitat Baseline'!$AF$11:$AF$258,'Off-site gain site summary'!$B35,'D-1 Off-Site Habitat Baseline'!$AY$11:$AY$258))</f>
        <v/>
      </c>
      <c r="G35" s="998" t="str">
        <f>IF(B35="","",SUMIF('D-3 Off-Site Habitat Enhancment'!$AU$12:$AU$258,'Off-site gain site summary'!B35,'D-3 Off-Site Habitat Enhancment'!$AQ$12:$AQ$258))</f>
        <v/>
      </c>
      <c r="H35" s="999" t="str">
        <f>IF(B35="","",SUMIF('D-3 Off-Site Habitat Enhancment'!$AU$12:$AU$258,'Off-site gain site summary'!B35,'D-3 Off-Site Habitat Enhancment'!$AP$12:$AP$258))</f>
        <v/>
      </c>
      <c r="I35" s="998" t="str">
        <f>IF(B35="","",SUMIF('D-2 Off-Site Habitat Creation'!$AF$11:$AF$256,'Off-site gain site summary'!B35,'D-2 Off-Site Habitat Creation'!$AB$11:$AB$256))</f>
        <v/>
      </c>
      <c r="J35" s="999" t="str">
        <f>IF(B35="","",SUMIF('D-2 Off-Site Habitat Creation'!$AF$11:$AF$256,'Off-site gain site summary'!B35,'D-2 Off-Site Habitat Creation'!$AA$11:$AA$256))</f>
        <v/>
      </c>
      <c r="K35" s="1000" t="str">
        <f t="shared" si="0"/>
        <v/>
      </c>
      <c r="L35" s="997" t="str">
        <f>IF(ISBLANK(B35),"",IFERROR(_xlfn.XLOOKUP(B35,'D-2 Off-Site Habitat Creation'!$AF$11:$AF$256,'D-2 Off-Site Habitat Creation'!$Z$11:$Z$256),IFERROR(_xlfn.XLOOKUP(B35,'D-1 Off-Site Habitat Baseline'!AF$11:AF$258,'D-1 Off-Site Habitat Baseline'!S$11:S$258)," ")))</f>
        <v/>
      </c>
      <c r="M35" s="983" t="str">
        <f t="shared" si="1"/>
        <v/>
      </c>
      <c r="N35" s="988">
        <f>'E-1 Off-Site Hedge Baseline'!AB38</f>
        <v>0</v>
      </c>
      <c r="O35" s="996"/>
      <c r="P35" s="1000" t="str">
        <f>IF(O35="","",SUMIF('E-1 Off-Site Hedge Baseline'!AB$10:AB$257,'Off-site gain site summary'!O35,'E-1 Off-Site Hedge Baseline'!Q$10:Q$257))</f>
        <v/>
      </c>
      <c r="Q35" s="1000" t="str">
        <f>IF(O35="","",SUMIF('E-1 Off-Site Hedge Baseline'!AB$10:AB$257,O35,'E-1 Off-Site Hedge Baseline'!N$10:N$257))</f>
        <v/>
      </c>
      <c r="R35" s="1000" t="str">
        <f>IF(O35="","",SUMIF('E-1 Off-Site Hedge Baseline'!$AB$10:$AB$257,'Off-site gain site summary'!$O35,'E-1 Off-Site Hedge Baseline'!$U$10:$U$257))</f>
        <v/>
      </c>
      <c r="S35" s="1000" t="str">
        <f>IF(O35="","",SUMIF('E-1 Off-Site Hedge Baseline'!$AB$10:$AB$257,'Off-site gain site summary'!$O35,'E-1 Off-Site Hedge Baseline'!$AY$10:$AY$257))</f>
        <v/>
      </c>
      <c r="T35" s="1000" t="str">
        <f>IF(O35="","",SUMIF('E-3 Off-Site Hedge Enhancement'!$AO$12:$AO$257,'Off-site gain site summary'!$O35,'E-3 Off-Site Hedge Enhancement'!$AK$12:$AK$257))</f>
        <v/>
      </c>
      <c r="U35" s="1000" t="str">
        <f>IF(O35="","",SUMIF('E-3 Off-Site Hedge Enhancement'!$AO$12:$AO$257,'Off-site gain site summary'!$O35,'E-3 Off-Site Hedge Enhancement'!$AJ$12:$AJ$257))</f>
        <v/>
      </c>
      <c r="V35" s="1000" t="str">
        <f>IF(O35="","",SUMIF('E-2 Off-Site Hedge Creation'!$AD$12:$AD$259,'Off-site gain site summary'!$O35,'E-2 Off-Site Hedge Creation'!$Z$12:$Z$259))</f>
        <v/>
      </c>
      <c r="W35" s="991" t="str">
        <f>IF(O35="","",SUMIF('E-2 Off-Site Hedge Creation'!$AD$12:$AD$259,'Off-site gain site summary'!$O35,'E-2 Off-Site Hedge Creation'!$Y$12:$Y$259))</f>
        <v/>
      </c>
      <c r="X35" s="991" t="str">
        <f t="shared" si="2"/>
        <v/>
      </c>
      <c r="Y35" s="991" t="str">
        <f>IF(ISBLANK(O35),"",IFERROR(_xlfn.XLOOKUP(O35,'E-2 Off-Site Hedge Creation'!$AD$12:$AD$259,'E-2 Off-Site Hedge Creation'!$N$12:$N$259),IFERROR(_xlfn.XLOOKUP(O35,'E-1 Off-Site Hedge Baseline'!$AB$10:$AB$257,'E-1 Off-Site Hedge Baseline'!$P$10:$P$257)," ")))</f>
        <v/>
      </c>
      <c r="Z35" s="986" t="str">
        <f t="shared" si="3"/>
        <v/>
      </c>
      <c r="AA35" s="992">
        <f>'F-1 Off-Site WaterC'' Baseline'!AH38</f>
        <v>0</v>
      </c>
      <c r="AB35" s="996"/>
      <c r="AC35" s="1000" t="str">
        <f>IF(AB35="","",SUMIF('F-1 Off-Site WaterC'' Baseline'!$AH$10:$AH$257,'Off-site gain site summary'!$AB35,'F-1 Off-Site WaterC'' Baseline'!$U$10:$U$257))</f>
        <v/>
      </c>
      <c r="AD35" s="1000" t="str">
        <f>IF(AB35="","",SUMIF('F-1 Off-Site WaterC'' Baseline'!$AH$10:$AH$257,'Off-site gain site summary'!$AB35,'F-1 Off-Site WaterC'' Baseline'!$R$10:$R$257))</f>
        <v/>
      </c>
      <c r="AE35" s="1000" t="str">
        <f>IF(AB35="","",SUMIF('F-1 Off-Site WaterC'' Baseline'!$AH$10:$AH$257,'Off-site gain site summary'!$AB35,'F-1 Off-Site WaterC'' Baseline'!$Z$10:$Z$257))</f>
        <v/>
      </c>
      <c r="AF35" s="1000" t="str">
        <f>IF(AB35="","",SUMIF('F-1 Off-Site WaterC'' Baseline'!$AH$10:$AH$257,'Off-site gain site summary'!$AB35,'F-1 Off-Site WaterC'' Baseline'!$BA$10:$BA$257))</f>
        <v/>
      </c>
      <c r="AG35" s="1000" t="str">
        <f>IF(AB35="","",SUMIF('F-3 Off-Site WaterC Enhancement'!$AT$12:$AT$257,'Off-site gain site summary'!$AB35,'F-3 Off-Site WaterC Enhancement'!$AP$12:$AP$257))</f>
        <v/>
      </c>
      <c r="AH35" s="1000" t="str">
        <f>IF(AB35="","",SUMIF('F-3 Off-Site WaterC Enhancement'!$AT$12:$AT$257,'Off-site gain site summary'!$AB35,'F-3 Off-Site WaterC Enhancement'!$AO$12:$AO$257))</f>
        <v/>
      </c>
      <c r="AI35" s="1000" t="str">
        <f>IF(AB35="","",SUMIF('F-2 Off-Site WaterC'' Creation'!$AG$12:$AG$259,'Off-site gain site summary'!$AB35,'F-2 Off-Site WaterC'' Creation'!$AC$12:$AC$259))</f>
        <v/>
      </c>
      <c r="AJ35" s="1000" t="str">
        <f>IF(AB35="","",SUMIF('F-2 Off-Site WaterC'' Creation'!$AG$12:$AG$259,'Off-site gain site summary'!$AB35,'F-2 Off-Site WaterC'' Creation'!$AB$12:$AB$259))</f>
        <v/>
      </c>
      <c r="AK35" s="1000" t="str">
        <f t="shared" si="4"/>
        <v/>
      </c>
      <c r="AL35" s="1000" t="str">
        <f>IF(ISBLANK(AB35),"",IFERROR(_xlfn.XLOOKUP(AB35,'F-2 Off-Site WaterC'' Creation'!$AG$12:$AG$258,'F-2 Off-Site WaterC'' Creation'!$AA$12:$AA$258),IFERROR(_xlfn.XLOOKUP(AB35,'F-1 Off-Site WaterC'' Baseline'!$AH$10:$AH$257,'F-1 Off-Site WaterC'' Baseline'!$T$10:$T$257)," ")))</f>
        <v/>
      </c>
      <c r="AM35" s="986" t="str">
        <f t="shared" si="5"/>
        <v/>
      </c>
      <c r="AN35" s="1469"/>
      <c r="AO35" s="1469"/>
    </row>
    <row r="36" spans="1:41" s="992" customFormat="1" ht="43.5" customHeight="1">
      <c r="A36" s="988">
        <f>'D-1 Off-Site Habitat Baseline'!AF40</f>
        <v>0</v>
      </c>
      <c r="B36" s="996"/>
      <c r="C36" s="997" t="str">
        <f>IF(B36="","",SUMIF('D-1 Off-Site Habitat Baseline'!AF40:AF287,B36,'D-1 Off-Site Habitat Baseline'!T40:T287))</f>
        <v/>
      </c>
      <c r="D36" s="990" t="str">
        <f>IF(B36="","",SUMIF('D-1 Off-Site Habitat Baseline'!$AF$11:$AF$258,B36,'D-1 Off-Site Habitat Baseline'!$Q$11:$Q$258))</f>
        <v/>
      </c>
      <c r="E36" s="998" t="str">
        <f>IF(B36="","",SUMIF('D-1 Off-Site Habitat Baseline'!$AF$11:$AF$258,'Off-site gain site summary'!$B36,'D-1 Off-Site Habitat Baseline'!$X$11:$X$258))</f>
        <v/>
      </c>
      <c r="F36" s="999" t="str">
        <f>IF(B36="","",SUMIF('D-1 Off-Site Habitat Baseline'!$AF$11:$AF$258,'Off-site gain site summary'!$B36,'D-1 Off-Site Habitat Baseline'!$AY$11:$AY$258))</f>
        <v/>
      </c>
      <c r="G36" s="998" t="str">
        <f>IF(B36="","",SUMIF('D-3 Off-Site Habitat Enhancment'!$AU$12:$AU$258,'Off-site gain site summary'!B36,'D-3 Off-Site Habitat Enhancment'!$AQ$12:$AQ$258))</f>
        <v/>
      </c>
      <c r="H36" s="999" t="str">
        <f>IF(B36="","",SUMIF('D-3 Off-Site Habitat Enhancment'!$AU$12:$AU$258,'Off-site gain site summary'!B36,'D-3 Off-Site Habitat Enhancment'!$AP$12:$AP$258))</f>
        <v/>
      </c>
      <c r="I36" s="998" t="str">
        <f>IF(B36="","",SUMIF('D-2 Off-Site Habitat Creation'!$AF$11:$AF$256,'Off-site gain site summary'!B36,'D-2 Off-Site Habitat Creation'!$AB$11:$AB$256))</f>
        <v/>
      </c>
      <c r="J36" s="999" t="str">
        <f>IF(B36="","",SUMIF('D-2 Off-Site Habitat Creation'!$AF$11:$AF$256,'Off-site gain site summary'!B36,'D-2 Off-Site Habitat Creation'!$AA$11:$AA$256))</f>
        <v/>
      </c>
      <c r="K36" s="1000" t="str">
        <f t="shared" si="0"/>
        <v/>
      </c>
      <c r="L36" s="997" t="str">
        <f>IF(ISBLANK(B36),"",IFERROR(_xlfn.XLOOKUP(B36,'D-2 Off-Site Habitat Creation'!$AF$11:$AF$256,'D-2 Off-Site Habitat Creation'!$Z$11:$Z$256),IFERROR(_xlfn.XLOOKUP(B36,'D-1 Off-Site Habitat Baseline'!AF$11:AF$258,'D-1 Off-Site Habitat Baseline'!S$11:S$258)," ")))</f>
        <v/>
      </c>
      <c r="M36" s="983" t="str">
        <f t="shared" si="1"/>
        <v/>
      </c>
      <c r="N36" s="988">
        <f>'E-1 Off-Site Hedge Baseline'!AB39</f>
        <v>0</v>
      </c>
      <c r="O36" s="996"/>
      <c r="P36" s="1000" t="str">
        <f>IF(O36="","",SUMIF('E-1 Off-Site Hedge Baseline'!AB$10:AB$257,'Off-site gain site summary'!O36,'E-1 Off-Site Hedge Baseline'!Q$10:Q$257))</f>
        <v/>
      </c>
      <c r="Q36" s="1000" t="str">
        <f>IF(O36="","",SUMIF('E-1 Off-Site Hedge Baseline'!AB$10:AB$257,O36,'E-1 Off-Site Hedge Baseline'!N$10:N$257))</f>
        <v/>
      </c>
      <c r="R36" s="1000" t="str">
        <f>IF(O36="","",SUMIF('E-1 Off-Site Hedge Baseline'!$AB$10:$AB$257,'Off-site gain site summary'!$O36,'E-1 Off-Site Hedge Baseline'!$U$10:$U$257))</f>
        <v/>
      </c>
      <c r="S36" s="1000" t="str">
        <f>IF(O36="","",SUMIF('E-1 Off-Site Hedge Baseline'!$AB$10:$AB$257,'Off-site gain site summary'!$O36,'E-1 Off-Site Hedge Baseline'!$AY$10:$AY$257))</f>
        <v/>
      </c>
      <c r="T36" s="1000" t="str">
        <f>IF(O36="","",SUMIF('E-3 Off-Site Hedge Enhancement'!$AO$12:$AO$257,'Off-site gain site summary'!$O36,'E-3 Off-Site Hedge Enhancement'!$AK$12:$AK$257))</f>
        <v/>
      </c>
      <c r="U36" s="1000" t="str">
        <f>IF(O36="","",SUMIF('E-3 Off-Site Hedge Enhancement'!$AO$12:$AO$257,'Off-site gain site summary'!$O36,'E-3 Off-Site Hedge Enhancement'!$AJ$12:$AJ$257))</f>
        <v/>
      </c>
      <c r="V36" s="1000" t="str">
        <f>IF(O36="","",SUMIF('E-2 Off-Site Hedge Creation'!$AD$12:$AD$259,'Off-site gain site summary'!$O36,'E-2 Off-Site Hedge Creation'!$Z$12:$Z$259))</f>
        <v/>
      </c>
      <c r="W36" s="991" t="str">
        <f>IF(O36="","",SUMIF('E-2 Off-Site Hedge Creation'!$AD$12:$AD$259,'Off-site gain site summary'!$O36,'E-2 Off-Site Hedge Creation'!$Y$12:$Y$259))</f>
        <v/>
      </c>
      <c r="X36" s="991" t="str">
        <f t="shared" si="2"/>
        <v/>
      </c>
      <c r="Y36" s="991" t="str">
        <f>IF(ISBLANK(O36),"",IFERROR(_xlfn.XLOOKUP(O36,'E-2 Off-Site Hedge Creation'!$AD$12:$AD$259,'E-2 Off-Site Hedge Creation'!$N$12:$N$259),IFERROR(_xlfn.XLOOKUP(O36,'E-1 Off-Site Hedge Baseline'!$AB$10:$AB$257,'E-1 Off-Site Hedge Baseline'!$P$10:$P$257)," ")))</f>
        <v/>
      </c>
      <c r="Z36" s="986" t="str">
        <f t="shared" si="3"/>
        <v/>
      </c>
      <c r="AA36" s="992">
        <f>'F-1 Off-Site WaterC'' Baseline'!AH39</f>
        <v>0</v>
      </c>
      <c r="AB36" s="996"/>
      <c r="AC36" s="1000" t="str">
        <f>IF(AB36="","",SUMIF('F-1 Off-Site WaterC'' Baseline'!$AH$10:$AH$257,'Off-site gain site summary'!$AB36,'F-1 Off-Site WaterC'' Baseline'!$U$10:$U$257))</f>
        <v/>
      </c>
      <c r="AD36" s="1000" t="str">
        <f>IF(AB36="","",SUMIF('F-1 Off-Site WaterC'' Baseline'!$AH$10:$AH$257,'Off-site gain site summary'!$AB36,'F-1 Off-Site WaterC'' Baseline'!$R$10:$R$257))</f>
        <v/>
      </c>
      <c r="AE36" s="1000" t="str">
        <f>IF(AB36="","",SUMIF('F-1 Off-Site WaterC'' Baseline'!$AH$10:$AH$257,'Off-site gain site summary'!$AB36,'F-1 Off-Site WaterC'' Baseline'!$Z$10:$Z$257))</f>
        <v/>
      </c>
      <c r="AF36" s="1000" t="str">
        <f>IF(AB36="","",SUMIF('F-1 Off-Site WaterC'' Baseline'!$AH$10:$AH$257,'Off-site gain site summary'!$AB36,'F-1 Off-Site WaterC'' Baseline'!$BA$10:$BA$257))</f>
        <v/>
      </c>
      <c r="AG36" s="1000" t="str">
        <f>IF(AB36="","",SUMIF('F-3 Off-Site WaterC Enhancement'!$AT$12:$AT$257,'Off-site gain site summary'!$AB36,'F-3 Off-Site WaterC Enhancement'!$AP$12:$AP$257))</f>
        <v/>
      </c>
      <c r="AH36" s="1000" t="str">
        <f>IF(AB36="","",SUMIF('F-3 Off-Site WaterC Enhancement'!$AT$12:$AT$257,'Off-site gain site summary'!$AB36,'F-3 Off-Site WaterC Enhancement'!$AO$12:$AO$257))</f>
        <v/>
      </c>
      <c r="AI36" s="1000" t="str">
        <f>IF(AB36="","",SUMIF('F-2 Off-Site WaterC'' Creation'!$AG$12:$AG$259,'Off-site gain site summary'!$AB36,'F-2 Off-Site WaterC'' Creation'!$AC$12:$AC$259))</f>
        <v/>
      </c>
      <c r="AJ36" s="1000" t="str">
        <f>IF(AB36="","",SUMIF('F-2 Off-Site WaterC'' Creation'!$AG$12:$AG$259,'Off-site gain site summary'!$AB36,'F-2 Off-Site WaterC'' Creation'!$AB$12:$AB$259))</f>
        <v/>
      </c>
      <c r="AK36" s="1000" t="str">
        <f t="shared" si="4"/>
        <v/>
      </c>
      <c r="AL36" s="1000" t="str">
        <f>IF(ISBLANK(AB36),"",IFERROR(_xlfn.XLOOKUP(AB36,'F-2 Off-Site WaterC'' Creation'!$AG$12:$AG$258,'F-2 Off-Site WaterC'' Creation'!$AA$12:$AA$258),IFERROR(_xlfn.XLOOKUP(AB36,'F-1 Off-Site WaterC'' Baseline'!$AH$10:$AH$257,'F-1 Off-Site WaterC'' Baseline'!$T$10:$T$257)," ")))</f>
        <v/>
      </c>
      <c r="AM36" s="986" t="str">
        <f t="shared" si="5"/>
        <v/>
      </c>
      <c r="AN36" s="1469"/>
      <c r="AO36" s="1469"/>
    </row>
    <row r="37" spans="1:41" s="992" customFormat="1" ht="43.5" customHeight="1">
      <c r="A37" s="988">
        <f>'D-1 Off-Site Habitat Baseline'!AF41</f>
        <v>0</v>
      </c>
      <c r="B37" s="996"/>
      <c r="C37" s="997" t="str">
        <f>IF(B37="","",SUMIF('D-1 Off-Site Habitat Baseline'!AF41:AF288,B37,'D-1 Off-Site Habitat Baseline'!T41:T288))</f>
        <v/>
      </c>
      <c r="D37" s="990" t="str">
        <f>IF(B37="","",SUMIF('D-1 Off-Site Habitat Baseline'!$AF$11:$AF$258,B37,'D-1 Off-Site Habitat Baseline'!$Q$11:$Q$258))</f>
        <v/>
      </c>
      <c r="E37" s="998" t="str">
        <f>IF(B37="","",SUMIF('D-1 Off-Site Habitat Baseline'!$AF$11:$AF$258,'Off-site gain site summary'!$B37,'D-1 Off-Site Habitat Baseline'!$X$11:$X$258))</f>
        <v/>
      </c>
      <c r="F37" s="999" t="str">
        <f>IF(B37="","",SUMIF('D-1 Off-Site Habitat Baseline'!$AF$11:$AF$258,'Off-site gain site summary'!$B37,'D-1 Off-Site Habitat Baseline'!$AY$11:$AY$258))</f>
        <v/>
      </c>
      <c r="G37" s="998" t="str">
        <f>IF(B37="","",SUMIF('D-3 Off-Site Habitat Enhancment'!$AU$12:$AU$258,'Off-site gain site summary'!B37,'D-3 Off-Site Habitat Enhancment'!$AQ$12:$AQ$258))</f>
        <v/>
      </c>
      <c r="H37" s="999" t="str">
        <f>IF(B37="","",SUMIF('D-3 Off-Site Habitat Enhancment'!$AU$12:$AU$258,'Off-site gain site summary'!B37,'D-3 Off-Site Habitat Enhancment'!$AP$12:$AP$258))</f>
        <v/>
      </c>
      <c r="I37" s="998" t="str">
        <f>IF(B37="","",SUMIF('D-2 Off-Site Habitat Creation'!$AF$11:$AF$256,'Off-site gain site summary'!B37,'D-2 Off-Site Habitat Creation'!$AB$11:$AB$256))</f>
        <v/>
      </c>
      <c r="J37" s="999" t="str">
        <f>IF(B37="","",SUMIF('D-2 Off-Site Habitat Creation'!$AF$11:$AF$256,'Off-site gain site summary'!B37,'D-2 Off-Site Habitat Creation'!$AA$11:$AA$256))</f>
        <v/>
      </c>
      <c r="K37" s="1000" t="str">
        <f t="shared" si="0"/>
        <v/>
      </c>
      <c r="L37" s="997" t="str">
        <f>IF(ISBLANK(B37),"",IFERROR(_xlfn.XLOOKUP(B37,'D-2 Off-Site Habitat Creation'!$AF$11:$AF$256,'D-2 Off-Site Habitat Creation'!$Z$11:$Z$256),IFERROR(_xlfn.XLOOKUP(B37,'D-1 Off-Site Habitat Baseline'!AF$11:AF$258,'D-1 Off-Site Habitat Baseline'!S$11:S$258)," ")))</f>
        <v/>
      </c>
      <c r="M37" s="983" t="str">
        <f t="shared" si="1"/>
        <v/>
      </c>
      <c r="N37" s="988">
        <f>'E-1 Off-Site Hedge Baseline'!AB40</f>
        <v>0</v>
      </c>
      <c r="O37" s="996"/>
      <c r="P37" s="1000" t="str">
        <f>IF(O37="","",SUMIF('E-1 Off-Site Hedge Baseline'!AB$10:AB$257,'Off-site gain site summary'!O37,'E-1 Off-Site Hedge Baseline'!Q$10:Q$257))</f>
        <v/>
      </c>
      <c r="Q37" s="1000" t="str">
        <f>IF(O37="","",SUMIF('E-1 Off-Site Hedge Baseline'!AB$10:AB$257,O37,'E-1 Off-Site Hedge Baseline'!N$10:N$257))</f>
        <v/>
      </c>
      <c r="R37" s="1000" t="str">
        <f>IF(O37="","",SUMIF('E-1 Off-Site Hedge Baseline'!$AB$10:$AB$257,'Off-site gain site summary'!$O37,'E-1 Off-Site Hedge Baseline'!$U$10:$U$257))</f>
        <v/>
      </c>
      <c r="S37" s="1000" t="str">
        <f>IF(O37="","",SUMIF('E-1 Off-Site Hedge Baseline'!$AB$10:$AB$257,'Off-site gain site summary'!$O37,'E-1 Off-Site Hedge Baseline'!$AY$10:$AY$257))</f>
        <v/>
      </c>
      <c r="T37" s="1000" t="str">
        <f>IF(O37="","",SUMIF('E-3 Off-Site Hedge Enhancement'!$AO$12:$AO$257,'Off-site gain site summary'!$O37,'E-3 Off-Site Hedge Enhancement'!$AK$12:$AK$257))</f>
        <v/>
      </c>
      <c r="U37" s="1000" t="str">
        <f>IF(O37="","",SUMIF('E-3 Off-Site Hedge Enhancement'!$AO$12:$AO$257,'Off-site gain site summary'!$O37,'E-3 Off-Site Hedge Enhancement'!$AJ$12:$AJ$257))</f>
        <v/>
      </c>
      <c r="V37" s="1000" t="str">
        <f>IF(O37="","",SUMIF('E-2 Off-Site Hedge Creation'!$AD$12:$AD$259,'Off-site gain site summary'!$O37,'E-2 Off-Site Hedge Creation'!$Z$12:$Z$259))</f>
        <v/>
      </c>
      <c r="W37" s="991" t="str">
        <f>IF(O37="","",SUMIF('E-2 Off-Site Hedge Creation'!$AD$12:$AD$259,'Off-site gain site summary'!$O37,'E-2 Off-Site Hedge Creation'!$Y$12:$Y$259))</f>
        <v/>
      </c>
      <c r="X37" s="991" t="str">
        <f t="shared" si="2"/>
        <v/>
      </c>
      <c r="Y37" s="991" t="str">
        <f>IF(ISBLANK(O37),"",IFERROR(_xlfn.XLOOKUP(O37,'E-2 Off-Site Hedge Creation'!$AD$12:$AD$259,'E-2 Off-Site Hedge Creation'!$N$12:$N$259),IFERROR(_xlfn.XLOOKUP(O37,'E-1 Off-Site Hedge Baseline'!$AB$10:$AB$257,'E-1 Off-Site Hedge Baseline'!$P$10:$P$257)," ")))</f>
        <v/>
      </c>
      <c r="Z37" s="986" t="str">
        <f t="shared" si="3"/>
        <v/>
      </c>
      <c r="AA37" s="992">
        <f>'F-1 Off-Site WaterC'' Baseline'!AH40</f>
        <v>0</v>
      </c>
      <c r="AB37" s="996"/>
      <c r="AC37" s="1000" t="str">
        <f>IF(AB37="","",SUMIF('F-1 Off-Site WaterC'' Baseline'!$AH$10:$AH$257,'Off-site gain site summary'!$AB37,'F-1 Off-Site WaterC'' Baseline'!$U$10:$U$257))</f>
        <v/>
      </c>
      <c r="AD37" s="1000" t="str">
        <f>IF(AB37="","",SUMIF('F-1 Off-Site WaterC'' Baseline'!$AH$10:$AH$257,'Off-site gain site summary'!$AB37,'F-1 Off-Site WaterC'' Baseline'!$R$10:$R$257))</f>
        <v/>
      </c>
      <c r="AE37" s="1000" t="str">
        <f>IF(AB37="","",SUMIF('F-1 Off-Site WaterC'' Baseline'!$AH$10:$AH$257,'Off-site gain site summary'!$AB37,'F-1 Off-Site WaterC'' Baseline'!$Z$10:$Z$257))</f>
        <v/>
      </c>
      <c r="AF37" s="1000" t="str">
        <f>IF(AB37="","",SUMIF('F-1 Off-Site WaterC'' Baseline'!$AH$10:$AH$257,'Off-site gain site summary'!$AB37,'F-1 Off-Site WaterC'' Baseline'!$BA$10:$BA$257))</f>
        <v/>
      </c>
      <c r="AG37" s="1000" t="str">
        <f>IF(AB37="","",SUMIF('F-3 Off-Site WaterC Enhancement'!$AT$12:$AT$257,'Off-site gain site summary'!$AB37,'F-3 Off-Site WaterC Enhancement'!$AP$12:$AP$257))</f>
        <v/>
      </c>
      <c r="AH37" s="1000" t="str">
        <f>IF(AB37="","",SUMIF('F-3 Off-Site WaterC Enhancement'!$AT$12:$AT$257,'Off-site gain site summary'!$AB37,'F-3 Off-Site WaterC Enhancement'!$AO$12:$AO$257))</f>
        <v/>
      </c>
      <c r="AI37" s="1000" t="str">
        <f>IF(AB37="","",SUMIF('F-2 Off-Site WaterC'' Creation'!$AG$12:$AG$259,'Off-site gain site summary'!$AB37,'F-2 Off-Site WaterC'' Creation'!$AC$12:$AC$259))</f>
        <v/>
      </c>
      <c r="AJ37" s="1000" t="str">
        <f>IF(AB37="","",SUMIF('F-2 Off-Site WaterC'' Creation'!$AG$12:$AG$259,'Off-site gain site summary'!$AB37,'F-2 Off-Site WaterC'' Creation'!$AB$12:$AB$259))</f>
        <v/>
      </c>
      <c r="AK37" s="1000" t="str">
        <f t="shared" si="4"/>
        <v/>
      </c>
      <c r="AL37" s="1000" t="str">
        <f>IF(ISBLANK(AB37),"",IFERROR(_xlfn.XLOOKUP(AB37,'F-2 Off-Site WaterC'' Creation'!$AG$12:$AG$258,'F-2 Off-Site WaterC'' Creation'!$AA$12:$AA$258),IFERROR(_xlfn.XLOOKUP(AB37,'F-1 Off-Site WaterC'' Baseline'!$AH$10:$AH$257,'F-1 Off-Site WaterC'' Baseline'!$T$10:$T$257)," ")))</f>
        <v/>
      </c>
      <c r="AM37" s="986" t="str">
        <f t="shared" si="5"/>
        <v/>
      </c>
      <c r="AN37" s="1469"/>
      <c r="AO37" s="1469"/>
    </row>
    <row r="38" spans="1:41" s="992" customFormat="1" ht="43.5" customHeight="1">
      <c r="A38" s="988">
        <f>'D-1 Off-Site Habitat Baseline'!AF42</f>
        <v>0</v>
      </c>
      <c r="B38" s="996"/>
      <c r="C38" s="997" t="str">
        <f>IF(B38="","",SUMIF('D-1 Off-Site Habitat Baseline'!AF42:AF289,B38,'D-1 Off-Site Habitat Baseline'!T42:T289))</f>
        <v/>
      </c>
      <c r="D38" s="990" t="str">
        <f>IF(B38="","",SUMIF('D-1 Off-Site Habitat Baseline'!$AF$11:$AF$258,B38,'D-1 Off-Site Habitat Baseline'!$Q$11:$Q$258))</f>
        <v/>
      </c>
      <c r="E38" s="998" t="str">
        <f>IF(B38="","",SUMIF('D-1 Off-Site Habitat Baseline'!$AF$11:$AF$258,'Off-site gain site summary'!$B38,'D-1 Off-Site Habitat Baseline'!$X$11:$X$258))</f>
        <v/>
      </c>
      <c r="F38" s="999" t="str">
        <f>IF(B38="","",SUMIF('D-1 Off-Site Habitat Baseline'!$AF$11:$AF$258,'Off-site gain site summary'!$B38,'D-1 Off-Site Habitat Baseline'!$AY$11:$AY$258))</f>
        <v/>
      </c>
      <c r="G38" s="998" t="str">
        <f>IF(B38="","",SUMIF('D-3 Off-Site Habitat Enhancment'!$AU$12:$AU$258,'Off-site gain site summary'!B38,'D-3 Off-Site Habitat Enhancment'!$AQ$12:$AQ$258))</f>
        <v/>
      </c>
      <c r="H38" s="999" t="str">
        <f>IF(B38="","",SUMIF('D-3 Off-Site Habitat Enhancment'!$AU$12:$AU$258,'Off-site gain site summary'!B38,'D-3 Off-Site Habitat Enhancment'!$AP$12:$AP$258))</f>
        <v/>
      </c>
      <c r="I38" s="998" t="str">
        <f>IF(B38="","",SUMIF('D-2 Off-Site Habitat Creation'!$AF$11:$AF$256,'Off-site gain site summary'!B38,'D-2 Off-Site Habitat Creation'!$AB$11:$AB$256))</f>
        <v/>
      </c>
      <c r="J38" s="999" t="str">
        <f>IF(B38="","",SUMIF('D-2 Off-Site Habitat Creation'!$AF$11:$AF$256,'Off-site gain site summary'!B38,'D-2 Off-Site Habitat Creation'!$AA$11:$AA$256))</f>
        <v/>
      </c>
      <c r="K38" s="1000" t="str">
        <f t="shared" si="0"/>
        <v/>
      </c>
      <c r="L38" s="997" t="str">
        <f>IF(ISBLANK(B38),"",IFERROR(_xlfn.XLOOKUP(B38,'D-2 Off-Site Habitat Creation'!$AF$11:$AF$256,'D-2 Off-Site Habitat Creation'!$Z$11:$Z$256),IFERROR(_xlfn.XLOOKUP(B38,'D-1 Off-Site Habitat Baseline'!AF$11:AF$258,'D-1 Off-Site Habitat Baseline'!S$11:S$258)," ")))</f>
        <v/>
      </c>
      <c r="M38" s="983" t="str">
        <f t="shared" si="1"/>
        <v/>
      </c>
      <c r="N38" s="988">
        <f>'E-1 Off-Site Hedge Baseline'!AB41</f>
        <v>0</v>
      </c>
      <c r="O38" s="996"/>
      <c r="P38" s="1000" t="str">
        <f>IF(O38="","",SUMIF('E-1 Off-Site Hedge Baseline'!AB$10:AB$257,'Off-site gain site summary'!O38,'E-1 Off-Site Hedge Baseline'!Q$10:Q$257))</f>
        <v/>
      </c>
      <c r="Q38" s="1000" t="str">
        <f>IF(O38="","",SUMIF('E-1 Off-Site Hedge Baseline'!AB$10:AB$257,O38,'E-1 Off-Site Hedge Baseline'!N$10:N$257))</f>
        <v/>
      </c>
      <c r="R38" s="1000" t="str">
        <f>IF(O38="","",SUMIF('E-1 Off-Site Hedge Baseline'!$AB$10:$AB$257,'Off-site gain site summary'!$O38,'E-1 Off-Site Hedge Baseline'!$U$10:$U$257))</f>
        <v/>
      </c>
      <c r="S38" s="1000" t="str">
        <f>IF(O38="","",SUMIF('E-1 Off-Site Hedge Baseline'!$AB$10:$AB$257,'Off-site gain site summary'!$O38,'E-1 Off-Site Hedge Baseline'!$AY$10:$AY$257))</f>
        <v/>
      </c>
      <c r="T38" s="1000" t="str">
        <f>IF(O38="","",SUMIF('E-3 Off-Site Hedge Enhancement'!$AO$12:$AO$257,'Off-site gain site summary'!$O38,'E-3 Off-Site Hedge Enhancement'!$AK$12:$AK$257))</f>
        <v/>
      </c>
      <c r="U38" s="1000" t="str">
        <f>IF(O38="","",SUMIF('E-3 Off-Site Hedge Enhancement'!$AO$12:$AO$257,'Off-site gain site summary'!$O38,'E-3 Off-Site Hedge Enhancement'!$AJ$12:$AJ$257))</f>
        <v/>
      </c>
      <c r="V38" s="1000" t="str">
        <f>IF(O38="","",SUMIF('E-2 Off-Site Hedge Creation'!$AD$12:$AD$259,'Off-site gain site summary'!$O38,'E-2 Off-Site Hedge Creation'!$Z$12:$Z$259))</f>
        <v/>
      </c>
      <c r="W38" s="991" t="str">
        <f>IF(O38="","",SUMIF('E-2 Off-Site Hedge Creation'!$AD$12:$AD$259,'Off-site gain site summary'!$O38,'E-2 Off-Site Hedge Creation'!$Y$12:$Y$259))</f>
        <v/>
      </c>
      <c r="X38" s="991" t="str">
        <f t="shared" si="2"/>
        <v/>
      </c>
      <c r="Y38" s="991" t="str">
        <f>IF(ISBLANK(O38),"",IFERROR(_xlfn.XLOOKUP(O38,'E-2 Off-Site Hedge Creation'!$AD$12:$AD$259,'E-2 Off-Site Hedge Creation'!$N$12:$N$259),IFERROR(_xlfn.XLOOKUP(O38,'E-1 Off-Site Hedge Baseline'!$AB$10:$AB$257,'E-1 Off-Site Hedge Baseline'!$P$10:$P$257)," ")))</f>
        <v/>
      </c>
      <c r="Z38" s="986" t="str">
        <f t="shared" si="3"/>
        <v/>
      </c>
      <c r="AA38" s="992">
        <f>'F-1 Off-Site WaterC'' Baseline'!AH41</f>
        <v>0</v>
      </c>
      <c r="AB38" s="996"/>
      <c r="AC38" s="1000" t="str">
        <f>IF(AB38="","",SUMIF('F-1 Off-Site WaterC'' Baseline'!$AH$10:$AH$257,'Off-site gain site summary'!$AB38,'F-1 Off-Site WaterC'' Baseline'!$U$10:$U$257))</f>
        <v/>
      </c>
      <c r="AD38" s="1000" t="str">
        <f>IF(AB38="","",SUMIF('F-1 Off-Site WaterC'' Baseline'!$AH$10:$AH$257,'Off-site gain site summary'!$AB38,'F-1 Off-Site WaterC'' Baseline'!$R$10:$R$257))</f>
        <v/>
      </c>
      <c r="AE38" s="1000" t="str">
        <f>IF(AB38="","",SUMIF('F-1 Off-Site WaterC'' Baseline'!$AH$10:$AH$257,'Off-site gain site summary'!$AB38,'F-1 Off-Site WaterC'' Baseline'!$Z$10:$Z$257))</f>
        <v/>
      </c>
      <c r="AF38" s="1000" t="str">
        <f>IF(AB38="","",SUMIF('F-1 Off-Site WaterC'' Baseline'!$AH$10:$AH$257,'Off-site gain site summary'!$AB38,'F-1 Off-Site WaterC'' Baseline'!$BA$10:$BA$257))</f>
        <v/>
      </c>
      <c r="AG38" s="1000" t="str">
        <f>IF(AB38="","",SUMIF('F-3 Off-Site WaterC Enhancement'!$AT$12:$AT$257,'Off-site gain site summary'!$AB38,'F-3 Off-Site WaterC Enhancement'!$AP$12:$AP$257))</f>
        <v/>
      </c>
      <c r="AH38" s="1000" t="str">
        <f>IF(AB38="","",SUMIF('F-3 Off-Site WaterC Enhancement'!$AT$12:$AT$257,'Off-site gain site summary'!$AB38,'F-3 Off-Site WaterC Enhancement'!$AO$12:$AO$257))</f>
        <v/>
      </c>
      <c r="AI38" s="1000" t="str">
        <f>IF(AB38="","",SUMIF('F-2 Off-Site WaterC'' Creation'!$AG$12:$AG$259,'Off-site gain site summary'!$AB38,'F-2 Off-Site WaterC'' Creation'!$AC$12:$AC$259))</f>
        <v/>
      </c>
      <c r="AJ38" s="1000" t="str">
        <f>IF(AB38="","",SUMIF('F-2 Off-Site WaterC'' Creation'!$AG$12:$AG$259,'Off-site gain site summary'!$AB38,'F-2 Off-Site WaterC'' Creation'!$AB$12:$AB$259))</f>
        <v/>
      </c>
      <c r="AK38" s="1000" t="str">
        <f t="shared" si="4"/>
        <v/>
      </c>
      <c r="AL38" s="1000" t="str">
        <f>IF(ISBLANK(AB38),"",IFERROR(_xlfn.XLOOKUP(AB38,'F-2 Off-Site WaterC'' Creation'!$AG$12:$AG$258,'F-2 Off-Site WaterC'' Creation'!$AA$12:$AA$258),IFERROR(_xlfn.XLOOKUP(AB38,'F-1 Off-Site WaterC'' Baseline'!$AH$10:$AH$257,'F-1 Off-Site WaterC'' Baseline'!$T$10:$T$257)," ")))</f>
        <v/>
      </c>
      <c r="AM38" s="986" t="str">
        <f t="shared" si="5"/>
        <v/>
      </c>
      <c r="AN38" s="1469"/>
      <c r="AO38" s="1469"/>
    </row>
    <row r="39" spans="1:41" s="992" customFormat="1" ht="43.5" customHeight="1">
      <c r="A39" s="988">
        <f>'D-1 Off-Site Habitat Baseline'!AF43</f>
        <v>0</v>
      </c>
      <c r="B39" s="996"/>
      <c r="C39" s="997" t="str">
        <f>IF(B39="","",SUMIF('D-1 Off-Site Habitat Baseline'!AF43:AF290,B39,'D-1 Off-Site Habitat Baseline'!T43:T290))</f>
        <v/>
      </c>
      <c r="D39" s="990" t="str">
        <f>IF(B39="","",SUMIF('D-1 Off-Site Habitat Baseline'!$AF$11:$AF$258,B39,'D-1 Off-Site Habitat Baseline'!$Q$11:$Q$258))</f>
        <v/>
      </c>
      <c r="E39" s="998" t="str">
        <f>IF(B39="","",SUMIF('D-1 Off-Site Habitat Baseline'!$AF$11:$AF$258,'Off-site gain site summary'!$B39,'D-1 Off-Site Habitat Baseline'!$X$11:$X$258))</f>
        <v/>
      </c>
      <c r="F39" s="999" t="str">
        <f>IF(B39="","",SUMIF('D-1 Off-Site Habitat Baseline'!$AF$11:$AF$258,'Off-site gain site summary'!$B39,'D-1 Off-Site Habitat Baseline'!$AY$11:$AY$258))</f>
        <v/>
      </c>
      <c r="G39" s="998" t="str">
        <f>IF(B39="","",SUMIF('D-3 Off-Site Habitat Enhancment'!$AU$12:$AU$258,'Off-site gain site summary'!B39,'D-3 Off-Site Habitat Enhancment'!$AQ$12:$AQ$258))</f>
        <v/>
      </c>
      <c r="H39" s="999" t="str">
        <f>IF(B39="","",SUMIF('D-3 Off-Site Habitat Enhancment'!$AU$12:$AU$258,'Off-site gain site summary'!B39,'D-3 Off-Site Habitat Enhancment'!$AP$12:$AP$258))</f>
        <v/>
      </c>
      <c r="I39" s="998" t="str">
        <f>IF(B39="","",SUMIF('D-2 Off-Site Habitat Creation'!$AF$11:$AF$256,'Off-site gain site summary'!B39,'D-2 Off-Site Habitat Creation'!$AB$11:$AB$256))</f>
        <v/>
      </c>
      <c r="J39" s="999" t="str">
        <f>IF(B39="","",SUMIF('D-2 Off-Site Habitat Creation'!$AF$11:$AF$256,'Off-site gain site summary'!B39,'D-2 Off-Site Habitat Creation'!$AA$11:$AA$256))</f>
        <v/>
      </c>
      <c r="K39" s="1000" t="str">
        <f t="shared" si="0"/>
        <v/>
      </c>
      <c r="L39" s="997" t="str">
        <f>IF(ISBLANK(B39),"",IFERROR(_xlfn.XLOOKUP(B39,'D-2 Off-Site Habitat Creation'!$AF$11:$AF$256,'D-2 Off-Site Habitat Creation'!$Z$11:$Z$256),IFERROR(_xlfn.XLOOKUP(B39,'D-1 Off-Site Habitat Baseline'!AF$11:AF$258,'D-1 Off-Site Habitat Baseline'!S$11:S$258)," ")))</f>
        <v/>
      </c>
      <c r="M39" s="983" t="str">
        <f t="shared" si="1"/>
        <v/>
      </c>
      <c r="N39" s="988">
        <f>'E-1 Off-Site Hedge Baseline'!AB42</f>
        <v>0</v>
      </c>
      <c r="O39" s="996"/>
      <c r="P39" s="1000" t="str">
        <f>IF(O39="","",SUMIF('E-1 Off-Site Hedge Baseline'!AB$10:AB$257,'Off-site gain site summary'!O39,'E-1 Off-Site Hedge Baseline'!Q$10:Q$257))</f>
        <v/>
      </c>
      <c r="Q39" s="1000" t="str">
        <f>IF(O39="","",SUMIF('E-1 Off-Site Hedge Baseline'!AB$10:AB$257,O39,'E-1 Off-Site Hedge Baseline'!N$10:N$257))</f>
        <v/>
      </c>
      <c r="R39" s="1000" t="str">
        <f>IF(O39="","",SUMIF('E-1 Off-Site Hedge Baseline'!$AB$10:$AB$257,'Off-site gain site summary'!$O39,'E-1 Off-Site Hedge Baseline'!$U$10:$U$257))</f>
        <v/>
      </c>
      <c r="S39" s="1000" t="str">
        <f>IF(O39="","",SUMIF('E-1 Off-Site Hedge Baseline'!$AB$10:$AB$257,'Off-site gain site summary'!$O39,'E-1 Off-Site Hedge Baseline'!$AY$10:$AY$257))</f>
        <v/>
      </c>
      <c r="T39" s="1000" t="str">
        <f>IF(O39="","",SUMIF('E-3 Off-Site Hedge Enhancement'!$AO$12:$AO$257,'Off-site gain site summary'!$O39,'E-3 Off-Site Hedge Enhancement'!$AK$12:$AK$257))</f>
        <v/>
      </c>
      <c r="U39" s="1000" t="str">
        <f>IF(O39="","",SUMIF('E-3 Off-Site Hedge Enhancement'!$AO$12:$AO$257,'Off-site gain site summary'!$O39,'E-3 Off-Site Hedge Enhancement'!$AJ$12:$AJ$257))</f>
        <v/>
      </c>
      <c r="V39" s="1000" t="str">
        <f>IF(O39="","",SUMIF('E-2 Off-Site Hedge Creation'!$AD$12:$AD$259,'Off-site gain site summary'!$O39,'E-2 Off-Site Hedge Creation'!$Z$12:$Z$259))</f>
        <v/>
      </c>
      <c r="W39" s="991" t="str">
        <f>IF(O39="","",SUMIF('E-2 Off-Site Hedge Creation'!$AD$12:$AD$259,'Off-site gain site summary'!$O39,'E-2 Off-Site Hedge Creation'!$Y$12:$Y$259))</f>
        <v/>
      </c>
      <c r="X39" s="991" t="str">
        <f t="shared" si="2"/>
        <v/>
      </c>
      <c r="Y39" s="991" t="str">
        <f>IF(ISBLANK(O39),"",IFERROR(_xlfn.XLOOKUP(O39,'E-2 Off-Site Hedge Creation'!$AD$12:$AD$259,'E-2 Off-Site Hedge Creation'!$N$12:$N$259),IFERROR(_xlfn.XLOOKUP(O39,'E-1 Off-Site Hedge Baseline'!$AB$10:$AB$257,'E-1 Off-Site Hedge Baseline'!$P$10:$P$257)," ")))</f>
        <v/>
      </c>
      <c r="Z39" s="986" t="str">
        <f t="shared" si="3"/>
        <v/>
      </c>
      <c r="AA39" s="992">
        <f>'F-1 Off-Site WaterC'' Baseline'!AH42</f>
        <v>0</v>
      </c>
      <c r="AB39" s="996"/>
      <c r="AC39" s="1000" t="str">
        <f>IF(AB39="","",SUMIF('F-1 Off-Site WaterC'' Baseline'!$AH$10:$AH$257,'Off-site gain site summary'!$AB39,'F-1 Off-Site WaterC'' Baseline'!$U$10:$U$257))</f>
        <v/>
      </c>
      <c r="AD39" s="1000" t="str">
        <f>IF(AB39="","",SUMIF('F-1 Off-Site WaterC'' Baseline'!$AH$10:$AH$257,'Off-site gain site summary'!$AB39,'F-1 Off-Site WaterC'' Baseline'!$R$10:$R$257))</f>
        <v/>
      </c>
      <c r="AE39" s="1000" t="str">
        <f>IF(AB39="","",SUMIF('F-1 Off-Site WaterC'' Baseline'!$AH$10:$AH$257,'Off-site gain site summary'!$AB39,'F-1 Off-Site WaterC'' Baseline'!$Z$10:$Z$257))</f>
        <v/>
      </c>
      <c r="AF39" s="1000" t="str">
        <f>IF(AB39="","",SUMIF('F-1 Off-Site WaterC'' Baseline'!$AH$10:$AH$257,'Off-site gain site summary'!$AB39,'F-1 Off-Site WaterC'' Baseline'!$BA$10:$BA$257))</f>
        <v/>
      </c>
      <c r="AG39" s="1000" t="str">
        <f>IF(AB39="","",SUMIF('F-3 Off-Site WaterC Enhancement'!$AT$12:$AT$257,'Off-site gain site summary'!$AB39,'F-3 Off-Site WaterC Enhancement'!$AP$12:$AP$257))</f>
        <v/>
      </c>
      <c r="AH39" s="1000" t="str">
        <f>IF(AB39="","",SUMIF('F-3 Off-Site WaterC Enhancement'!$AT$12:$AT$257,'Off-site gain site summary'!$AB39,'F-3 Off-Site WaterC Enhancement'!$AO$12:$AO$257))</f>
        <v/>
      </c>
      <c r="AI39" s="1000" t="str">
        <f>IF(AB39="","",SUMIF('F-2 Off-Site WaterC'' Creation'!$AG$12:$AG$259,'Off-site gain site summary'!$AB39,'F-2 Off-Site WaterC'' Creation'!$AC$12:$AC$259))</f>
        <v/>
      </c>
      <c r="AJ39" s="1000" t="str">
        <f>IF(AB39="","",SUMIF('F-2 Off-Site WaterC'' Creation'!$AG$12:$AG$259,'Off-site gain site summary'!$AB39,'F-2 Off-Site WaterC'' Creation'!$AB$12:$AB$259))</f>
        <v/>
      </c>
      <c r="AK39" s="1000" t="str">
        <f t="shared" si="4"/>
        <v/>
      </c>
      <c r="AL39" s="1000" t="str">
        <f>IF(ISBLANK(AB39),"",IFERROR(_xlfn.XLOOKUP(AB39,'F-2 Off-Site WaterC'' Creation'!$AG$12:$AG$258,'F-2 Off-Site WaterC'' Creation'!$AA$12:$AA$258),IFERROR(_xlfn.XLOOKUP(AB39,'F-1 Off-Site WaterC'' Baseline'!$AH$10:$AH$257,'F-1 Off-Site WaterC'' Baseline'!$T$10:$T$257)," ")))</f>
        <v/>
      </c>
      <c r="AM39" s="986" t="str">
        <f t="shared" si="5"/>
        <v/>
      </c>
      <c r="AN39" s="1469"/>
      <c r="AO39" s="1469"/>
    </row>
    <row r="40" spans="1:41" s="992" customFormat="1" ht="43.5" customHeight="1">
      <c r="A40" s="988">
        <f>'D-1 Off-Site Habitat Baseline'!AF44</f>
        <v>0</v>
      </c>
      <c r="B40" s="996"/>
      <c r="C40" s="997" t="str">
        <f>IF(B40="","",SUMIF('D-1 Off-Site Habitat Baseline'!AF44:AF291,B40,'D-1 Off-Site Habitat Baseline'!T44:T291))</f>
        <v/>
      </c>
      <c r="D40" s="990" t="str">
        <f>IF(B40="","",SUMIF('D-1 Off-Site Habitat Baseline'!$AF$11:$AF$258,B40,'D-1 Off-Site Habitat Baseline'!$Q$11:$Q$258))</f>
        <v/>
      </c>
      <c r="E40" s="998" t="str">
        <f>IF(B40="","",SUMIF('D-1 Off-Site Habitat Baseline'!$AF$11:$AF$258,'Off-site gain site summary'!$B40,'D-1 Off-Site Habitat Baseline'!$X$11:$X$258))</f>
        <v/>
      </c>
      <c r="F40" s="999" t="str">
        <f>IF(B40="","",SUMIF('D-1 Off-Site Habitat Baseline'!$AF$11:$AF$258,'Off-site gain site summary'!$B40,'D-1 Off-Site Habitat Baseline'!$AY$11:$AY$258))</f>
        <v/>
      </c>
      <c r="G40" s="998" t="str">
        <f>IF(B40="","",SUMIF('D-3 Off-Site Habitat Enhancment'!$AU$12:$AU$258,'Off-site gain site summary'!B40,'D-3 Off-Site Habitat Enhancment'!$AQ$12:$AQ$258))</f>
        <v/>
      </c>
      <c r="H40" s="999" t="str">
        <f>IF(B40="","",SUMIF('D-3 Off-Site Habitat Enhancment'!$AU$12:$AU$258,'Off-site gain site summary'!B40,'D-3 Off-Site Habitat Enhancment'!$AP$12:$AP$258))</f>
        <v/>
      </c>
      <c r="I40" s="998" t="str">
        <f>IF(B40="","",SUMIF('D-2 Off-Site Habitat Creation'!$AF$11:$AF$256,'Off-site gain site summary'!B40,'D-2 Off-Site Habitat Creation'!$AB$11:$AB$256))</f>
        <v/>
      </c>
      <c r="J40" s="999" t="str">
        <f>IF(B40="","",SUMIF('D-2 Off-Site Habitat Creation'!$AF$11:$AF$256,'Off-site gain site summary'!B40,'D-2 Off-Site Habitat Creation'!$AA$11:$AA$256))</f>
        <v/>
      </c>
      <c r="K40" s="1000" t="str">
        <f t="shared" si="0"/>
        <v/>
      </c>
      <c r="L40" s="997" t="str">
        <f>IF(ISBLANK(B40),"",IFERROR(_xlfn.XLOOKUP(B40,'D-2 Off-Site Habitat Creation'!$AF$11:$AF$256,'D-2 Off-Site Habitat Creation'!$Z$11:$Z$256),IFERROR(_xlfn.XLOOKUP(B40,'D-1 Off-Site Habitat Baseline'!AF$11:AF$258,'D-1 Off-Site Habitat Baseline'!S$11:S$258)," ")))</f>
        <v/>
      </c>
      <c r="M40" s="983" t="str">
        <f t="shared" si="1"/>
        <v/>
      </c>
      <c r="N40" s="988">
        <f>'E-1 Off-Site Hedge Baseline'!AB43</f>
        <v>0</v>
      </c>
      <c r="O40" s="996"/>
      <c r="P40" s="1000" t="str">
        <f>IF(O40="","",SUMIF('E-1 Off-Site Hedge Baseline'!AB$10:AB$257,'Off-site gain site summary'!O40,'E-1 Off-Site Hedge Baseline'!Q$10:Q$257))</f>
        <v/>
      </c>
      <c r="Q40" s="1000" t="str">
        <f>IF(O40="","",SUMIF('E-1 Off-Site Hedge Baseline'!AB$10:AB$257,O40,'E-1 Off-Site Hedge Baseline'!N$10:N$257))</f>
        <v/>
      </c>
      <c r="R40" s="1000" t="str">
        <f>IF(O40="","",SUMIF('E-1 Off-Site Hedge Baseline'!$AB$10:$AB$257,'Off-site gain site summary'!$O40,'E-1 Off-Site Hedge Baseline'!$U$10:$U$257))</f>
        <v/>
      </c>
      <c r="S40" s="1000" t="str">
        <f>IF(O40="","",SUMIF('E-1 Off-Site Hedge Baseline'!$AB$10:$AB$257,'Off-site gain site summary'!$O40,'E-1 Off-Site Hedge Baseline'!$AY$10:$AY$257))</f>
        <v/>
      </c>
      <c r="T40" s="1000" t="str">
        <f>IF(O40="","",SUMIF('E-3 Off-Site Hedge Enhancement'!$AO$12:$AO$257,'Off-site gain site summary'!$O40,'E-3 Off-Site Hedge Enhancement'!$AK$12:$AK$257))</f>
        <v/>
      </c>
      <c r="U40" s="1000" t="str">
        <f>IF(O40="","",SUMIF('E-3 Off-Site Hedge Enhancement'!$AO$12:$AO$257,'Off-site gain site summary'!$O40,'E-3 Off-Site Hedge Enhancement'!$AJ$12:$AJ$257))</f>
        <v/>
      </c>
      <c r="V40" s="1000" t="str">
        <f>IF(O40="","",SUMIF('E-2 Off-Site Hedge Creation'!$AD$12:$AD$259,'Off-site gain site summary'!$O40,'E-2 Off-Site Hedge Creation'!$Z$12:$Z$259))</f>
        <v/>
      </c>
      <c r="W40" s="991" t="str">
        <f>IF(O40="","",SUMIF('E-2 Off-Site Hedge Creation'!$AD$12:$AD$259,'Off-site gain site summary'!$O40,'E-2 Off-Site Hedge Creation'!$Y$12:$Y$259))</f>
        <v/>
      </c>
      <c r="X40" s="991" t="str">
        <f t="shared" si="2"/>
        <v/>
      </c>
      <c r="Y40" s="991" t="str">
        <f>IF(ISBLANK(O40),"",IFERROR(_xlfn.XLOOKUP(O40,'E-2 Off-Site Hedge Creation'!$AD$12:$AD$259,'E-2 Off-Site Hedge Creation'!$N$12:$N$259),IFERROR(_xlfn.XLOOKUP(O40,'E-1 Off-Site Hedge Baseline'!$AB$10:$AB$257,'E-1 Off-Site Hedge Baseline'!$P$10:$P$257)," ")))</f>
        <v/>
      </c>
      <c r="Z40" s="986" t="str">
        <f t="shared" si="3"/>
        <v/>
      </c>
      <c r="AA40" s="992">
        <f>'F-1 Off-Site WaterC'' Baseline'!AH43</f>
        <v>0</v>
      </c>
      <c r="AB40" s="996"/>
      <c r="AC40" s="1000" t="str">
        <f>IF(AB40="","",SUMIF('F-1 Off-Site WaterC'' Baseline'!$AH$10:$AH$257,'Off-site gain site summary'!$AB40,'F-1 Off-Site WaterC'' Baseline'!$U$10:$U$257))</f>
        <v/>
      </c>
      <c r="AD40" s="1000" t="str">
        <f>IF(AB40="","",SUMIF('F-1 Off-Site WaterC'' Baseline'!$AH$10:$AH$257,'Off-site gain site summary'!$AB40,'F-1 Off-Site WaterC'' Baseline'!$R$10:$R$257))</f>
        <v/>
      </c>
      <c r="AE40" s="1000" t="str">
        <f>IF(AB40="","",SUMIF('F-1 Off-Site WaterC'' Baseline'!$AH$10:$AH$257,'Off-site gain site summary'!$AB40,'F-1 Off-Site WaterC'' Baseline'!$Z$10:$Z$257))</f>
        <v/>
      </c>
      <c r="AF40" s="1000" t="str">
        <f>IF(AB40="","",SUMIF('F-1 Off-Site WaterC'' Baseline'!$AH$10:$AH$257,'Off-site gain site summary'!$AB40,'F-1 Off-Site WaterC'' Baseline'!$BA$10:$BA$257))</f>
        <v/>
      </c>
      <c r="AG40" s="1000" t="str">
        <f>IF(AB40="","",SUMIF('F-3 Off-Site WaterC Enhancement'!$AT$12:$AT$257,'Off-site gain site summary'!$AB40,'F-3 Off-Site WaterC Enhancement'!$AP$12:$AP$257))</f>
        <v/>
      </c>
      <c r="AH40" s="1000" t="str">
        <f>IF(AB40="","",SUMIF('F-3 Off-Site WaterC Enhancement'!$AT$12:$AT$257,'Off-site gain site summary'!$AB40,'F-3 Off-Site WaterC Enhancement'!$AO$12:$AO$257))</f>
        <v/>
      </c>
      <c r="AI40" s="1000" t="str">
        <f>IF(AB40="","",SUMIF('F-2 Off-Site WaterC'' Creation'!$AG$12:$AG$259,'Off-site gain site summary'!$AB40,'F-2 Off-Site WaterC'' Creation'!$AC$12:$AC$259))</f>
        <v/>
      </c>
      <c r="AJ40" s="1000" t="str">
        <f>IF(AB40="","",SUMIF('F-2 Off-Site WaterC'' Creation'!$AG$12:$AG$259,'Off-site gain site summary'!$AB40,'F-2 Off-Site WaterC'' Creation'!$AB$12:$AB$259))</f>
        <v/>
      </c>
      <c r="AK40" s="1000" t="str">
        <f t="shared" si="4"/>
        <v/>
      </c>
      <c r="AL40" s="1000" t="str">
        <f>IF(ISBLANK(AB40),"",IFERROR(_xlfn.XLOOKUP(AB40,'F-2 Off-Site WaterC'' Creation'!$AG$12:$AG$258,'F-2 Off-Site WaterC'' Creation'!$AA$12:$AA$258),IFERROR(_xlfn.XLOOKUP(AB40,'F-1 Off-Site WaterC'' Baseline'!$AH$10:$AH$257,'F-1 Off-Site WaterC'' Baseline'!$T$10:$T$257)," ")))</f>
        <v/>
      </c>
      <c r="AM40" s="986" t="str">
        <f t="shared" si="5"/>
        <v/>
      </c>
      <c r="AN40" s="1469"/>
      <c r="AO40" s="1469"/>
    </row>
    <row r="41" spans="1:41" s="992" customFormat="1" ht="43.5" customHeight="1">
      <c r="A41" s="988">
        <f>'D-1 Off-Site Habitat Baseline'!AF45</f>
        <v>0</v>
      </c>
      <c r="B41" s="996"/>
      <c r="C41" s="997" t="str">
        <f>IF(B41="","",SUMIF('D-1 Off-Site Habitat Baseline'!AF45:AF292,B41,'D-1 Off-Site Habitat Baseline'!T45:T292))</f>
        <v/>
      </c>
      <c r="D41" s="990" t="str">
        <f>IF(B41="","",SUMIF('D-1 Off-Site Habitat Baseline'!$AF$11:$AF$258,B41,'D-1 Off-Site Habitat Baseline'!$Q$11:$Q$258))</f>
        <v/>
      </c>
      <c r="E41" s="998" t="str">
        <f>IF(B41="","",SUMIF('D-1 Off-Site Habitat Baseline'!$AF$11:$AF$258,'Off-site gain site summary'!$B41,'D-1 Off-Site Habitat Baseline'!$X$11:$X$258))</f>
        <v/>
      </c>
      <c r="F41" s="999" t="str">
        <f>IF(B41="","",SUMIF('D-1 Off-Site Habitat Baseline'!$AF$11:$AF$258,'Off-site gain site summary'!$B41,'D-1 Off-Site Habitat Baseline'!$AY$11:$AY$258))</f>
        <v/>
      </c>
      <c r="G41" s="998" t="str">
        <f>IF(B41="","",SUMIF('D-3 Off-Site Habitat Enhancment'!$AU$12:$AU$258,'Off-site gain site summary'!B41,'D-3 Off-Site Habitat Enhancment'!$AQ$12:$AQ$258))</f>
        <v/>
      </c>
      <c r="H41" s="999" t="str">
        <f>IF(B41="","",SUMIF('D-3 Off-Site Habitat Enhancment'!$AU$12:$AU$258,'Off-site gain site summary'!B41,'D-3 Off-Site Habitat Enhancment'!$AP$12:$AP$258))</f>
        <v/>
      </c>
      <c r="I41" s="998" t="str">
        <f>IF(B41="","",SUMIF('D-2 Off-Site Habitat Creation'!$AF$11:$AF$256,'Off-site gain site summary'!B41,'D-2 Off-Site Habitat Creation'!$AB$11:$AB$256))</f>
        <v/>
      </c>
      <c r="J41" s="999" t="str">
        <f>IF(B41="","",SUMIF('D-2 Off-Site Habitat Creation'!$AF$11:$AF$256,'Off-site gain site summary'!B41,'D-2 Off-Site Habitat Creation'!$AA$11:$AA$256))</f>
        <v/>
      </c>
      <c r="K41" s="1000" t="str">
        <f t="shared" si="0"/>
        <v/>
      </c>
      <c r="L41" s="997" t="str">
        <f>IF(ISBLANK(B41),"",IFERROR(_xlfn.XLOOKUP(B41,'D-2 Off-Site Habitat Creation'!$AF$11:$AF$256,'D-2 Off-Site Habitat Creation'!$Z$11:$Z$256),IFERROR(_xlfn.XLOOKUP(B41,'D-1 Off-Site Habitat Baseline'!AF$11:AF$258,'D-1 Off-Site Habitat Baseline'!S$11:S$258)," ")))</f>
        <v/>
      </c>
      <c r="M41" s="983" t="str">
        <f t="shared" si="1"/>
        <v/>
      </c>
      <c r="N41" s="988">
        <f>'E-1 Off-Site Hedge Baseline'!AB44</f>
        <v>0</v>
      </c>
      <c r="O41" s="996"/>
      <c r="P41" s="1000" t="str">
        <f>IF(O41="","",SUMIF('E-1 Off-Site Hedge Baseline'!AB$10:AB$257,'Off-site gain site summary'!O41,'E-1 Off-Site Hedge Baseline'!Q$10:Q$257))</f>
        <v/>
      </c>
      <c r="Q41" s="1000" t="str">
        <f>IF(O41="","",SUMIF('E-1 Off-Site Hedge Baseline'!AB$10:AB$257,O41,'E-1 Off-Site Hedge Baseline'!N$10:N$257))</f>
        <v/>
      </c>
      <c r="R41" s="1000" t="str">
        <f>IF(O41="","",SUMIF('E-1 Off-Site Hedge Baseline'!$AB$10:$AB$257,'Off-site gain site summary'!$O41,'E-1 Off-Site Hedge Baseline'!$U$10:$U$257))</f>
        <v/>
      </c>
      <c r="S41" s="1000" t="str">
        <f>IF(O41="","",SUMIF('E-1 Off-Site Hedge Baseline'!$AB$10:$AB$257,'Off-site gain site summary'!$O41,'E-1 Off-Site Hedge Baseline'!$AY$10:$AY$257))</f>
        <v/>
      </c>
      <c r="T41" s="1000" t="str">
        <f>IF(O41="","",SUMIF('E-3 Off-Site Hedge Enhancement'!$AO$12:$AO$257,'Off-site gain site summary'!$O41,'E-3 Off-Site Hedge Enhancement'!$AK$12:$AK$257))</f>
        <v/>
      </c>
      <c r="U41" s="1000" t="str">
        <f>IF(O41="","",SUMIF('E-3 Off-Site Hedge Enhancement'!$AO$12:$AO$257,'Off-site gain site summary'!$O41,'E-3 Off-Site Hedge Enhancement'!$AJ$12:$AJ$257))</f>
        <v/>
      </c>
      <c r="V41" s="1000" t="str">
        <f>IF(O41="","",SUMIF('E-2 Off-Site Hedge Creation'!$AD$12:$AD$259,'Off-site gain site summary'!$O41,'E-2 Off-Site Hedge Creation'!$Z$12:$Z$259))</f>
        <v/>
      </c>
      <c r="W41" s="991" t="str">
        <f>IF(O41="","",SUMIF('E-2 Off-Site Hedge Creation'!$AD$12:$AD$259,'Off-site gain site summary'!$O41,'E-2 Off-Site Hedge Creation'!$Y$12:$Y$259))</f>
        <v/>
      </c>
      <c r="X41" s="991" t="str">
        <f t="shared" si="2"/>
        <v/>
      </c>
      <c r="Y41" s="991" t="str">
        <f>IF(ISBLANK(O41),"",IFERROR(_xlfn.XLOOKUP(O41,'E-2 Off-Site Hedge Creation'!$AD$12:$AD$259,'E-2 Off-Site Hedge Creation'!$N$12:$N$259),IFERROR(_xlfn.XLOOKUP(O41,'E-1 Off-Site Hedge Baseline'!$AB$10:$AB$257,'E-1 Off-Site Hedge Baseline'!$P$10:$P$257)," ")))</f>
        <v/>
      </c>
      <c r="Z41" s="986" t="str">
        <f t="shared" si="3"/>
        <v/>
      </c>
      <c r="AA41" s="992">
        <f>'F-1 Off-Site WaterC'' Baseline'!AH44</f>
        <v>0</v>
      </c>
      <c r="AB41" s="996"/>
      <c r="AC41" s="1000" t="str">
        <f>IF(AB41="","",SUMIF('F-1 Off-Site WaterC'' Baseline'!$AH$10:$AH$257,'Off-site gain site summary'!$AB41,'F-1 Off-Site WaterC'' Baseline'!$U$10:$U$257))</f>
        <v/>
      </c>
      <c r="AD41" s="1000" t="str">
        <f>IF(AB41="","",SUMIF('F-1 Off-Site WaterC'' Baseline'!$AH$10:$AH$257,'Off-site gain site summary'!$AB41,'F-1 Off-Site WaterC'' Baseline'!$R$10:$R$257))</f>
        <v/>
      </c>
      <c r="AE41" s="1000" t="str">
        <f>IF(AB41="","",SUMIF('F-1 Off-Site WaterC'' Baseline'!$AH$10:$AH$257,'Off-site gain site summary'!$AB41,'F-1 Off-Site WaterC'' Baseline'!$Z$10:$Z$257))</f>
        <v/>
      </c>
      <c r="AF41" s="1000" t="str">
        <f>IF(AB41="","",SUMIF('F-1 Off-Site WaterC'' Baseline'!$AH$10:$AH$257,'Off-site gain site summary'!$AB41,'F-1 Off-Site WaterC'' Baseline'!$BA$10:$BA$257))</f>
        <v/>
      </c>
      <c r="AG41" s="1000" t="str">
        <f>IF(AB41="","",SUMIF('F-3 Off-Site WaterC Enhancement'!$AT$12:$AT$257,'Off-site gain site summary'!$AB41,'F-3 Off-Site WaterC Enhancement'!$AP$12:$AP$257))</f>
        <v/>
      </c>
      <c r="AH41" s="1000" t="str">
        <f>IF(AB41="","",SUMIF('F-3 Off-Site WaterC Enhancement'!$AT$12:$AT$257,'Off-site gain site summary'!$AB41,'F-3 Off-Site WaterC Enhancement'!$AO$12:$AO$257))</f>
        <v/>
      </c>
      <c r="AI41" s="1000" t="str">
        <f>IF(AB41="","",SUMIF('F-2 Off-Site WaterC'' Creation'!$AG$12:$AG$259,'Off-site gain site summary'!$AB41,'F-2 Off-Site WaterC'' Creation'!$AC$12:$AC$259))</f>
        <v/>
      </c>
      <c r="AJ41" s="1000" t="str">
        <f>IF(AB41="","",SUMIF('F-2 Off-Site WaterC'' Creation'!$AG$12:$AG$259,'Off-site gain site summary'!$AB41,'F-2 Off-Site WaterC'' Creation'!$AB$12:$AB$259))</f>
        <v/>
      </c>
      <c r="AK41" s="1000" t="str">
        <f t="shared" si="4"/>
        <v/>
      </c>
      <c r="AL41" s="1000" t="str">
        <f>IF(ISBLANK(AB41),"",IFERROR(_xlfn.XLOOKUP(AB41,'F-2 Off-Site WaterC'' Creation'!$AG$12:$AG$258,'F-2 Off-Site WaterC'' Creation'!$AA$12:$AA$258),IFERROR(_xlfn.XLOOKUP(AB41,'F-1 Off-Site WaterC'' Baseline'!$AH$10:$AH$257,'F-1 Off-Site WaterC'' Baseline'!$T$10:$T$257)," ")))</f>
        <v/>
      </c>
      <c r="AM41" s="986" t="str">
        <f t="shared" si="5"/>
        <v/>
      </c>
      <c r="AN41" s="1469"/>
      <c r="AO41" s="1469"/>
    </row>
    <row r="42" spans="1:41" s="992" customFormat="1" ht="43.5" customHeight="1">
      <c r="A42" s="988">
        <f>'D-1 Off-Site Habitat Baseline'!AF46</f>
        <v>0</v>
      </c>
      <c r="B42" s="996"/>
      <c r="C42" s="997" t="str">
        <f>IF(B42="","",SUMIF('D-1 Off-Site Habitat Baseline'!AF46:AF293,B42,'D-1 Off-Site Habitat Baseline'!T46:T293))</f>
        <v/>
      </c>
      <c r="D42" s="990" t="str">
        <f>IF(B42="","",SUMIF('D-1 Off-Site Habitat Baseline'!$AF$11:$AF$258,B42,'D-1 Off-Site Habitat Baseline'!$Q$11:$Q$258))</f>
        <v/>
      </c>
      <c r="E42" s="998" t="str">
        <f>IF(B42="","",SUMIF('D-1 Off-Site Habitat Baseline'!$AF$11:$AF$258,'Off-site gain site summary'!$B42,'D-1 Off-Site Habitat Baseline'!$X$11:$X$258))</f>
        <v/>
      </c>
      <c r="F42" s="999" t="str">
        <f>IF(B42="","",SUMIF('D-1 Off-Site Habitat Baseline'!$AF$11:$AF$258,'Off-site gain site summary'!$B42,'D-1 Off-Site Habitat Baseline'!$AY$11:$AY$258))</f>
        <v/>
      </c>
      <c r="G42" s="998" t="str">
        <f>IF(B42="","",SUMIF('D-3 Off-Site Habitat Enhancment'!$AU$12:$AU$258,'Off-site gain site summary'!B42,'D-3 Off-Site Habitat Enhancment'!$AQ$12:$AQ$258))</f>
        <v/>
      </c>
      <c r="H42" s="999" t="str">
        <f>IF(B42="","",SUMIF('D-3 Off-Site Habitat Enhancment'!$AU$12:$AU$258,'Off-site gain site summary'!B42,'D-3 Off-Site Habitat Enhancment'!$AP$12:$AP$258))</f>
        <v/>
      </c>
      <c r="I42" s="998" t="str">
        <f>IF(B42="","",SUMIF('D-2 Off-Site Habitat Creation'!$AF$11:$AF$256,'Off-site gain site summary'!B42,'D-2 Off-Site Habitat Creation'!$AB$11:$AB$256))</f>
        <v/>
      </c>
      <c r="J42" s="999" t="str">
        <f>IF(B42="","",SUMIF('D-2 Off-Site Habitat Creation'!$AF$11:$AF$256,'Off-site gain site summary'!B42,'D-2 Off-Site Habitat Creation'!$AA$11:$AA$256))</f>
        <v/>
      </c>
      <c r="K42" s="1000" t="str">
        <f t="shared" si="0"/>
        <v/>
      </c>
      <c r="L42" s="997" t="str">
        <f>IF(ISBLANK(B42),"",IFERROR(_xlfn.XLOOKUP(B42,'D-2 Off-Site Habitat Creation'!$AF$11:$AF$256,'D-2 Off-Site Habitat Creation'!$Z$11:$Z$256),IFERROR(_xlfn.XLOOKUP(B42,'D-1 Off-Site Habitat Baseline'!AF$11:AF$258,'D-1 Off-Site Habitat Baseline'!S$11:S$258)," ")))</f>
        <v/>
      </c>
      <c r="M42" s="983" t="str">
        <f t="shared" si="1"/>
        <v/>
      </c>
      <c r="N42" s="988">
        <f>'E-1 Off-Site Hedge Baseline'!AB45</f>
        <v>0</v>
      </c>
      <c r="O42" s="996"/>
      <c r="P42" s="1000" t="str">
        <f>IF(O42="","",SUMIF('E-1 Off-Site Hedge Baseline'!AB$10:AB$257,'Off-site gain site summary'!O42,'E-1 Off-Site Hedge Baseline'!Q$10:Q$257))</f>
        <v/>
      </c>
      <c r="Q42" s="1000" t="str">
        <f>IF(O42="","",SUMIF('E-1 Off-Site Hedge Baseline'!AB$10:AB$257,O42,'E-1 Off-Site Hedge Baseline'!N$10:N$257))</f>
        <v/>
      </c>
      <c r="R42" s="1000" t="str">
        <f>IF(O42="","",SUMIF('E-1 Off-Site Hedge Baseline'!$AB$10:$AB$257,'Off-site gain site summary'!$O42,'E-1 Off-Site Hedge Baseline'!$U$10:$U$257))</f>
        <v/>
      </c>
      <c r="S42" s="1000" t="str">
        <f>IF(O42="","",SUMIF('E-1 Off-Site Hedge Baseline'!$AB$10:$AB$257,'Off-site gain site summary'!$O42,'E-1 Off-Site Hedge Baseline'!$AY$10:$AY$257))</f>
        <v/>
      </c>
      <c r="T42" s="1000" t="str">
        <f>IF(O42="","",SUMIF('E-3 Off-Site Hedge Enhancement'!$AO$12:$AO$257,'Off-site gain site summary'!$O42,'E-3 Off-Site Hedge Enhancement'!$AK$12:$AK$257))</f>
        <v/>
      </c>
      <c r="U42" s="1000" t="str">
        <f>IF(O42="","",SUMIF('E-3 Off-Site Hedge Enhancement'!$AO$12:$AO$257,'Off-site gain site summary'!$O42,'E-3 Off-Site Hedge Enhancement'!$AJ$12:$AJ$257))</f>
        <v/>
      </c>
      <c r="V42" s="1000" t="str">
        <f>IF(O42="","",SUMIF('E-2 Off-Site Hedge Creation'!$AD$12:$AD$259,'Off-site gain site summary'!$O42,'E-2 Off-Site Hedge Creation'!$Z$12:$Z$259))</f>
        <v/>
      </c>
      <c r="W42" s="991" t="str">
        <f>IF(O42="","",SUMIF('E-2 Off-Site Hedge Creation'!$AD$12:$AD$259,'Off-site gain site summary'!$O42,'E-2 Off-Site Hedge Creation'!$Y$12:$Y$259))</f>
        <v/>
      </c>
      <c r="X42" s="991" t="str">
        <f t="shared" si="2"/>
        <v/>
      </c>
      <c r="Y42" s="991" t="str">
        <f>IF(ISBLANK(O42),"",IFERROR(_xlfn.XLOOKUP(O42,'E-2 Off-Site Hedge Creation'!$AD$12:$AD$259,'E-2 Off-Site Hedge Creation'!$N$12:$N$259),IFERROR(_xlfn.XLOOKUP(O42,'E-1 Off-Site Hedge Baseline'!$AB$10:$AB$257,'E-1 Off-Site Hedge Baseline'!$P$10:$P$257)," ")))</f>
        <v/>
      </c>
      <c r="Z42" s="986" t="str">
        <f t="shared" si="3"/>
        <v/>
      </c>
      <c r="AA42" s="992">
        <f>'F-1 Off-Site WaterC'' Baseline'!AH45</f>
        <v>0</v>
      </c>
      <c r="AB42" s="996"/>
      <c r="AC42" s="1000" t="str">
        <f>IF(AB42="","",SUMIF('F-1 Off-Site WaterC'' Baseline'!$AH$10:$AH$257,'Off-site gain site summary'!$AB42,'F-1 Off-Site WaterC'' Baseline'!$U$10:$U$257))</f>
        <v/>
      </c>
      <c r="AD42" s="1000" t="str">
        <f>IF(AB42="","",SUMIF('F-1 Off-Site WaterC'' Baseline'!$AH$10:$AH$257,'Off-site gain site summary'!$AB42,'F-1 Off-Site WaterC'' Baseline'!$R$10:$R$257))</f>
        <v/>
      </c>
      <c r="AE42" s="1000" t="str">
        <f>IF(AB42="","",SUMIF('F-1 Off-Site WaterC'' Baseline'!$AH$10:$AH$257,'Off-site gain site summary'!$AB42,'F-1 Off-Site WaterC'' Baseline'!$Z$10:$Z$257))</f>
        <v/>
      </c>
      <c r="AF42" s="1000" t="str">
        <f>IF(AB42="","",SUMIF('F-1 Off-Site WaterC'' Baseline'!$AH$10:$AH$257,'Off-site gain site summary'!$AB42,'F-1 Off-Site WaterC'' Baseline'!$BA$10:$BA$257))</f>
        <v/>
      </c>
      <c r="AG42" s="1000" t="str">
        <f>IF(AB42="","",SUMIF('F-3 Off-Site WaterC Enhancement'!$AT$12:$AT$257,'Off-site gain site summary'!$AB42,'F-3 Off-Site WaterC Enhancement'!$AP$12:$AP$257))</f>
        <v/>
      </c>
      <c r="AH42" s="1000" t="str">
        <f>IF(AB42="","",SUMIF('F-3 Off-Site WaterC Enhancement'!$AT$12:$AT$257,'Off-site gain site summary'!$AB42,'F-3 Off-Site WaterC Enhancement'!$AO$12:$AO$257))</f>
        <v/>
      </c>
      <c r="AI42" s="1000" t="str">
        <f>IF(AB42="","",SUMIF('F-2 Off-Site WaterC'' Creation'!$AG$12:$AG$259,'Off-site gain site summary'!$AB42,'F-2 Off-Site WaterC'' Creation'!$AC$12:$AC$259))</f>
        <v/>
      </c>
      <c r="AJ42" s="1000" t="str">
        <f>IF(AB42="","",SUMIF('F-2 Off-Site WaterC'' Creation'!$AG$12:$AG$259,'Off-site gain site summary'!$AB42,'F-2 Off-Site WaterC'' Creation'!$AB$12:$AB$259))</f>
        <v/>
      </c>
      <c r="AK42" s="1000" t="str">
        <f t="shared" si="4"/>
        <v/>
      </c>
      <c r="AL42" s="1000" t="str">
        <f>IF(ISBLANK(AB42),"",IFERROR(_xlfn.XLOOKUP(AB42,'F-2 Off-Site WaterC'' Creation'!$AG$12:$AG$258,'F-2 Off-Site WaterC'' Creation'!$AA$12:$AA$258),IFERROR(_xlfn.XLOOKUP(AB42,'F-1 Off-Site WaterC'' Baseline'!$AH$10:$AH$257,'F-1 Off-Site WaterC'' Baseline'!$T$10:$T$257)," ")))</f>
        <v/>
      </c>
      <c r="AM42" s="986" t="str">
        <f t="shared" si="5"/>
        <v/>
      </c>
      <c r="AN42" s="1469"/>
      <c r="AO42" s="1469"/>
    </row>
    <row r="43" spans="1:41" s="992" customFormat="1" ht="43.5" customHeight="1">
      <c r="A43" s="988">
        <f>'D-1 Off-Site Habitat Baseline'!AF47</f>
        <v>0</v>
      </c>
      <c r="B43" s="996"/>
      <c r="C43" s="997" t="str">
        <f>IF(B43="","",SUMIF('D-1 Off-Site Habitat Baseline'!AF47:AF294,B43,'D-1 Off-Site Habitat Baseline'!T47:T294))</f>
        <v/>
      </c>
      <c r="D43" s="990" t="str">
        <f>IF(B43="","",SUMIF('D-1 Off-Site Habitat Baseline'!$AF$11:$AF$258,B43,'D-1 Off-Site Habitat Baseline'!$Q$11:$Q$258))</f>
        <v/>
      </c>
      <c r="E43" s="998" t="str">
        <f>IF(B43="","",SUMIF('D-1 Off-Site Habitat Baseline'!$AF$11:$AF$258,'Off-site gain site summary'!$B43,'D-1 Off-Site Habitat Baseline'!$X$11:$X$258))</f>
        <v/>
      </c>
      <c r="F43" s="999" t="str">
        <f>IF(B43="","",SUMIF('D-1 Off-Site Habitat Baseline'!$AF$11:$AF$258,'Off-site gain site summary'!$B43,'D-1 Off-Site Habitat Baseline'!$AY$11:$AY$258))</f>
        <v/>
      </c>
      <c r="G43" s="998" t="str">
        <f>IF(B43="","",SUMIF('D-3 Off-Site Habitat Enhancment'!$AU$12:$AU$258,'Off-site gain site summary'!B43,'D-3 Off-Site Habitat Enhancment'!$AQ$12:$AQ$258))</f>
        <v/>
      </c>
      <c r="H43" s="999" t="str">
        <f>IF(B43="","",SUMIF('D-3 Off-Site Habitat Enhancment'!$AU$12:$AU$258,'Off-site gain site summary'!B43,'D-3 Off-Site Habitat Enhancment'!$AP$12:$AP$258))</f>
        <v/>
      </c>
      <c r="I43" s="998" t="str">
        <f>IF(B43="","",SUMIF('D-2 Off-Site Habitat Creation'!$AF$11:$AF$256,'Off-site gain site summary'!B43,'D-2 Off-Site Habitat Creation'!$AB$11:$AB$256))</f>
        <v/>
      </c>
      <c r="J43" s="999" t="str">
        <f>IF(B43="","",SUMIF('D-2 Off-Site Habitat Creation'!$AF$11:$AF$256,'Off-site gain site summary'!B43,'D-2 Off-Site Habitat Creation'!$AA$11:$AA$256))</f>
        <v/>
      </c>
      <c r="K43" s="1000" t="str">
        <f t="shared" si="0"/>
        <v/>
      </c>
      <c r="L43" s="997" t="str">
        <f>IF(ISBLANK(B43),"",IFERROR(_xlfn.XLOOKUP(B43,'D-2 Off-Site Habitat Creation'!$AF$11:$AF$256,'D-2 Off-Site Habitat Creation'!$Z$11:$Z$256),IFERROR(_xlfn.XLOOKUP(B43,'D-1 Off-Site Habitat Baseline'!AF$11:AF$258,'D-1 Off-Site Habitat Baseline'!S$11:S$258)," ")))</f>
        <v/>
      </c>
      <c r="M43" s="983" t="str">
        <f t="shared" si="1"/>
        <v/>
      </c>
      <c r="N43" s="988">
        <f>'E-1 Off-Site Hedge Baseline'!AB46</f>
        <v>0</v>
      </c>
      <c r="O43" s="996"/>
      <c r="P43" s="1000" t="str">
        <f>IF(O43="","",SUMIF('E-1 Off-Site Hedge Baseline'!AB$10:AB$257,'Off-site gain site summary'!O43,'E-1 Off-Site Hedge Baseline'!Q$10:Q$257))</f>
        <v/>
      </c>
      <c r="Q43" s="1000" t="str">
        <f>IF(O43="","",SUMIF('E-1 Off-Site Hedge Baseline'!AB$10:AB$257,O43,'E-1 Off-Site Hedge Baseline'!N$10:N$257))</f>
        <v/>
      </c>
      <c r="R43" s="1000" t="str">
        <f>IF(O43="","",SUMIF('E-1 Off-Site Hedge Baseline'!$AB$10:$AB$257,'Off-site gain site summary'!$O43,'E-1 Off-Site Hedge Baseline'!$U$10:$U$257))</f>
        <v/>
      </c>
      <c r="S43" s="1000" t="str">
        <f>IF(O43="","",SUMIF('E-1 Off-Site Hedge Baseline'!$AB$10:$AB$257,'Off-site gain site summary'!$O43,'E-1 Off-Site Hedge Baseline'!$AY$10:$AY$257))</f>
        <v/>
      </c>
      <c r="T43" s="1000" t="str">
        <f>IF(O43="","",SUMIF('E-3 Off-Site Hedge Enhancement'!$AO$12:$AO$257,'Off-site gain site summary'!$O43,'E-3 Off-Site Hedge Enhancement'!$AK$12:$AK$257))</f>
        <v/>
      </c>
      <c r="U43" s="1000" t="str">
        <f>IF(O43="","",SUMIF('E-3 Off-Site Hedge Enhancement'!$AO$12:$AO$257,'Off-site gain site summary'!$O43,'E-3 Off-Site Hedge Enhancement'!$AJ$12:$AJ$257))</f>
        <v/>
      </c>
      <c r="V43" s="1000" t="str">
        <f>IF(O43="","",SUMIF('E-2 Off-Site Hedge Creation'!$AD$12:$AD$259,'Off-site gain site summary'!$O43,'E-2 Off-Site Hedge Creation'!$Z$12:$Z$259))</f>
        <v/>
      </c>
      <c r="W43" s="991" t="str">
        <f>IF(O43="","",SUMIF('E-2 Off-Site Hedge Creation'!$AD$12:$AD$259,'Off-site gain site summary'!$O43,'E-2 Off-Site Hedge Creation'!$Y$12:$Y$259))</f>
        <v/>
      </c>
      <c r="X43" s="991" t="str">
        <f t="shared" si="2"/>
        <v/>
      </c>
      <c r="Y43" s="991" t="str">
        <f>IF(ISBLANK(O43),"",IFERROR(_xlfn.XLOOKUP(O43,'E-2 Off-Site Hedge Creation'!$AD$12:$AD$259,'E-2 Off-Site Hedge Creation'!$N$12:$N$259),IFERROR(_xlfn.XLOOKUP(O43,'E-1 Off-Site Hedge Baseline'!$AB$10:$AB$257,'E-1 Off-Site Hedge Baseline'!$P$10:$P$257)," ")))</f>
        <v/>
      </c>
      <c r="Z43" s="986" t="str">
        <f t="shared" si="3"/>
        <v/>
      </c>
      <c r="AA43" s="992">
        <f>'F-1 Off-Site WaterC'' Baseline'!AH46</f>
        <v>0</v>
      </c>
      <c r="AB43" s="996"/>
      <c r="AC43" s="1000" t="str">
        <f>IF(AB43="","",SUMIF('F-1 Off-Site WaterC'' Baseline'!$AH$10:$AH$257,'Off-site gain site summary'!$AB43,'F-1 Off-Site WaterC'' Baseline'!$U$10:$U$257))</f>
        <v/>
      </c>
      <c r="AD43" s="1000" t="str">
        <f>IF(AB43="","",SUMIF('F-1 Off-Site WaterC'' Baseline'!$AH$10:$AH$257,'Off-site gain site summary'!$AB43,'F-1 Off-Site WaterC'' Baseline'!$R$10:$R$257))</f>
        <v/>
      </c>
      <c r="AE43" s="1000" t="str">
        <f>IF(AB43="","",SUMIF('F-1 Off-Site WaterC'' Baseline'!$AH$10:$AH$257,'Off-site gain site summary'!$AB43,'F-1 Off-Site WaterC'' Baseline'!$Z$10:$Z$257))</f>
        <v/>
      </c>
      <c r="AF43" s="1000" t="str">
        <f>IF(AB43="","",SUMIF('F-1 Off-Site WaterC'' Baseline'!$AH$10:$AH$257,'Off-site gain site summary'!$AB43,'F-1 Off-Site WaterC'' Baseline'!$BA$10:$BA$257))</f>
        <v/>
      </c>
      <c r="AG43" s="1000" t="str">
        <f>IF(AB43="","",SUMIF('F-3 Off-Site WaterC Enhancement'!$AT$12:$AT$257,'Off-site gain site summary'!$AB43,'F-3 Off-Site WaterC Enhancement'!$AP$12:$AP$257))</f>
        <v/>
      </c>
      <c r="AH43" s="1000" t="str">
        <f>IF(AB43="","",SUMIF('F-3 Off-Site WaterC Enhancement'!$AT$12:$AT$257,'Off-site gain site summary'!$AB43,'F-3 Off-Site WaterC Enhancement'!$AO$12:$AO$257))</f>
        <v/>
      </c>
      <c r="AI43" s="1000" t="str">
        <f>IF(AB43="","",SUMIF('F-2 Off-Site WaterC'' Creation'!$AG$12:$AG$259,'Off-site gain site summary'!$AB43,'F-2 Off-Site WaterC'' Creation'!$AC$12:$AC$259))</f>
        <v/>
      </c>
      <c r="AJ43" s="1000" t="str">
        <f>IF(AB43="","",SUMIF('F-2 Off-Site WaterC'' Creation'!$AG$12:$AG$259,'Off-site gain site summary'!$AB43,'F-2 Off-Site WaterC'' Creation'!$AB$12:$AB$259))</f>
        <v/>
      </c>
      <c r="AK43" s="1000" t="str">
        <f t="shared" si="4"/>
        <v/>
      </c>
      <c r="AL43" s="1000" t="str">
        <f>IF(ISBLANK(AB43),"",IFERROR(_xlfn.XLOOKUP(AB43,'F-2 Off-Site WaterC'' Creation'!$AG$12:$AG$258,'F-2 Off-Site WaterC'' Creation'!$AA$12:$AA$258),IFERROR(_xlfn.XLOOKUP(AB43,'F-1 Off-Site WaterC'' Baseline'!$AH$10:$AH$257,'F-1 Off-Site WaterC'' Baseline'!$T$10:$T$257)," ")))</f>
        <v/>
      </c>
      <c r="AM43" s="986" t="str">
        <f t="shared" si="5"/>
        <v/>
      </c>
      <c r="AN43" s="1469"/>
      <c r="AO43" s="1469"/>
    </row>
    <row r="44" spans="1:41" s="992" customFormat="1" ht="43.5" customHeight="1">
      <c r="A44" s="988">
        <f>'D-1 Off-Site Habitat Baseline'!AF48</f>
        <v>0</v>
      </c>
      <c r="B44" s="996"/>
      <c r="C44" s="997" t="str">
        <f>IF(B44="","",SUMIF('D-1 Off-Site Habitat Baseline'!AF48:AF295,B44,'D-1 Off-Site Habitat Baseline'!T48:T295))</f>
        <v/>
      </c>
      <c r="D44" s="990" t="str">
        <f>IF(B44="","",SUMIF('D-1 Off-Site Habitat Baseline'!$AF$11:$AF$258,B44,'D-1 Off-Site Habitat Baseline'!$Q$11:$Q$258))</f>
        <v/>
      </c>
      <c r="E44" s="998" t="str">
        <f>IF(B44="","",SUMIF('D-1 Off-Site Habitat Baseline'!$AF$11:$AF$258,'Off-site gain site summary'!$B44,'D-1 Off-Site Habitat Baseline'!$X$11:$X$258))</f>
        <v/>
      </c>
      <c r="F44" s="999" t="str">
        <f>IF(B44="","",SUMIF('D-1 Off-Site Habitat Baseline'!$AF$11:$AF$258,'Off-site gain site summary'!$B44,'D-1 Off-Site Habitat Baseline'!$AY$11:$AY$258))</f>
        <v/>
      </c>
      <c r="G44" s="998" t="str">
        <f>IF(B44="","",SUMIF('D-3 Off-Site Habitat Enhancment'!$AU$12:$AU$258,'Off-site gain site summary'!B44,'D-3 Off-Site Habitat Enhancment'!$AQ$12:$AQ$258))</f>
        <v/>
      </c>
      <c r="H44" s="999" t="str">
        <f>IF(B44="","",SUMIF('D-3 Off-Site Habitat Enhancment'!$AU$12:$AU$258,'Off-site gain site summary'!B44,'D-3 Off-Site Habitat Enhancment'!$AP$12:$AP$258))</f>
        <v/>
      </c>
      <c r="I44" s="998" t="str">
        <f>IF(B44="","",SUMIF('D-2 Off-Site Habitat Creation'!$AF$11:$AF$256,'Off-site gain site summary'!B44,'D-2 Off-Site Habitat Creation'!$AB$11:$AB$256))</f>
        <v/>
      </c>
      <c r="J44" s="999" t="str">
        <f>IF(B44="","",SUMIF('D-2 Off-Site Habitat Creation'!$AF$11:$AF$256,'Off-site gain site summary'!B44,'D-2 Off-Site Habitat Creation'!$AA$11:$AA$256))</f>
        <v/>
      </c>
      <c r="K44" s="1000" t="str">
        <f t="shared" si="0"/>
        <v/>
      </c>
      <c r="L44" s="997" t="str">
        <f>IF(ISBLANK(B44),"",IFERROR(_xlfn.XLOOKUP(B44,'D-2 Off-Site Habitat Creation'!$AF$11:$AF$256,'D-2 Off-Site Habitat Creation'!$Z$11:$Z$256),IFERROR(_xlfn.XLOOKUP(B44,'D-1 Off-Site Habitat Baseline'!AF$11:AF$258,'D-1 Off-Site Habitat Baseline'!S$11:S$258)," ")))</f>
        <v/>
      </c>
      <c r="M44" s="983" t="str">
        <f t="shared" si="1"/>
        <v/>
      </c>
      <c r="N44" s="988">
        <f>'E-1 Off-Site Hedge Baseline'!AB47</f>
        <v>0</v>
      </c>
      <c r="O44" s="996"/>
      <c r="P44" s="1000" t="str">
        <f>IF(O44="","",SUMIF('E-1 Off-Site Hedge Baseline'!AB$10:AB$257,'Off-site gain site summary'!O44,'E-1 Off-Site Hedge Baseline'!Q$10:Q$257))</f>
        <v/>
      </c>
      <c r="Q44" s="1000" t="str">
        <f>IF(O44="","",SUMIF('E-1 Off-Site Hedge Baseline'!AB$10:AB$257,O44,'E-1 Off-Site Hedge Baseline'!N$10:N$257))</f>
        <v/>
      </c>
      <c r="R44" s="1000" t="str">
        <f>IF(O44="","",SUMIF('E-1 Off-Site Hedge Baseline'!$AB$10:$AB$257,'Off-site gain site summary'!$O44,'E-1 Off-Site Hedge Baseline'!$U$10:$U$257))</f>
        <v/>
      </c>
      <c r="S44" s="1000" t="str">
        <f>IF(O44="","",SUMIF('E-1 Off-Site Hedge Baseline'!$AB$10:$AB$257,'Off-site gain site summary'!$O44,'E-1 Off-Site Hedge Baseline'!$AY$10:$AY$257))</f>
        <v/>
      </c>
      <c r="T44" s="1000" t="str">
        <f>IF(O44="","",SUMIF('E-3 Off-Site Hedge Enhancement'!$AO$12:$AO$257,'Off-site gain site summary'!$O44,'E-3 Off-Site Hedge Enhancement'!$AK$12:$AK$257))</f>
        <v/>
      </c>
      <c r="U44" s="1000" t="str">
        <f>IF(O44="","",SUMIF('E-3 Off-Site Hedge Enhancement'!$AO$12:$AO$257,'Off-site gain site summary'!$O44,'E-3 Off-Site Hedge Enhancement'!$AJ$12:$AJ$257))</f>
        <v/>
      </c>
      <c r="V44" s="1000" t="str">
        <f>IF(O44="","",SUMIF('E-2 Off-Site Hedge Creation'!$AD$12:$AD$259,'Off-site gain site summary'!$O44,'E-2 Off-Site Hedge Creation'!$Z$12:$Z$259))</f>
        <v/>
      </c>
      <c r="W44" s="991" t="str">
        <f>IF(O44="","",SUMIF('E-2 Off-Site Hedge Creation'!$AD$12:$AD$259,'Off-site gain site summary'!$O44,'E-2 Off-Site Hedge Creation'!$Y$12:$Y$259))</f>
        <v/>
      </c>
      <c r="X44" s="991" t="str">
        <f t="shared" si="2"/>
        <v/>
      </c>
      <c r="Y44" s="991" t="str">
        <f>IF(ISBLANK(O44),"",IFERROR(_xlfn.XLOOKUP(O44,'E-2 Off-Site Hedge Creation'!$AD$12:$AD$259,'E-2 Off-Site Hedge Creation'!$N$12:$N$259),IFERROR(_xlfn.XLOOKUP(O44,'E-1 Off-Site Hedge Baseline'!$AB$10:$AB$257,'E-1 Off-Site Hedge Baseline'!$P$10:$P$257)," ")))</f>
        <v/>
      </c>
      <c r="Z44" s="986" t="str">
        <f t="shared" si="3"/>
        <v/>
      </c>
      <c r="AA44" s="992">
        <f>'F-1 Off-Site WaterC'' Baseline'!AH47</f>
        <v>0</v>
      </c>
      <c r="AB44" s="996"/>
      <c r="AC44" s="1000" t="str">
        <f>IF(AB44="","",SUMIF('F-1 Off-Site WaterC'' Baseline'!$AH$10:$AH$257,'Off-site gain site summary'!$AB44,'F-1 Off-Site WaterC'' Baseline'!$U$10:$U$257))</f>
        <v/>
      </c>
      <c r="AD44" s="1000" t="str">
        <f>IF(AB44="","",SUMIF('F-1 Off-Site WaterC'' Baseline'!$AH$10:$AH$257,'Off-site gain site summary'!$AB44,'F-1 Off-Site WaterC'' Baseline'!$R$10:$R$257))</f>
        <v/>
      </c>
      <c r="AE44" s="1000" t="str">
        <f>IF(AB44="","",SUMIF('F-1 Off-Site WaterC'' Baseline'!$AH$10:$AH$257,'Off-site gain site summary'!$AB44,'F-1 Off-Site WaterC'' Baseline'!$Z$10:$Z$257))</f>
        <v/>
      </c>
      <c r="AF44" s="1000" t="str">
        <f>IF(AB44="","",SUMIF('F-1 Off-Site WaterC'' Baseline'!$AH$10:$AH$257,'Off-site gain site summary'!$AB44,'F-1 Off-Site WaterC'' Baseline'!$BA$10:$BA$257))</f>
        <v/>
      </c>
      <c r="AG44" s="1000" t="str">
        <f>IF(AB44="","",SUMIF('F-3 Off-Site WaterC Enhancement'!$AT$12:$AT$257,'Off-site gain site summary'!$AB44,'F-3 Off-Site WaterC Enhancement'!$AP$12:$AP$257))</f>
        <v/>
      </c>
      <c r="AH44" s="1000" t="str">
        <f>IF(AB44="","",SUMIF('F-3 Off-Site WaterC Enhancement'!$AT$12:$AT$257,'Off-site gain site summary'!$AB44,'F-3 Off-Site WaterC Enhancement'!$AO$12:$AO$257))</f>
        <v/>
      </c>
      <c r="AI44" s="1000" t="str">
        <f>IF(AB44="","",SUMIF('F-2 Off-Site WaterC'' Creation'!$AG$12:$AG$259,'Off-site gain site summary'!$AB44,'F-2 Off-Site WaterC'' Creation'!$AC$12:$AC$259))</f>
        <v/>
      </c>
      <c r="AJ44" s="1000" t="str">
        <f>IF(AB44="","",SUMIF('F-2 Off-Site WaterC'' Creation'!$AG$12:$AG$259,'Off-site gain site summary'!$AB44,'F-2 Off-Site WaterC'' Creation'!$AB$12:$AB$259))</f>
        <v/>
      </c>
      <c r="AK44" s="1000" t="str">
        <f t="shared" si="4"/>
        <v/>
      </c>
      <c r="AL44" s="1000" t="str">
        <f>IF(ISBLANK(AB44),"",IFERROR(_xlfn.XLOOKUP(AB44,'F-2 Off-Site WaterC'' Creation'!$AG$12:$AG$258,'F-2 Off-Site WaterC'' Creation'!$AA$12:$AA$258),IFERROR(_xlfn.XLOOKUP(AB44,'F-1 Off-Site WaterC'' Baseline'!$AH$10:$AH$257,'F-1 Off-Site WaterC'' Baseline'!$T$10:$T$257)," ")))</f>
        <v/>
      </c>
      <c r="AM44" s="986" t="str">
        <f t="shared" si="5"/>
        <v/>
      </c>
      <c r="AN44" s="1469"/>
      <c r="AO44" s="1469"/>
    </row>
    <row r="45" spans="1:41" s="992" customFormat="1" ht="43.5" customHeight="1">
      <c r="A45" s="988">
        <f>'D-1 Off-Site Habitat Baseline'!AF49</f>
        <v>0</v>
      </c>
      <c r="B45" s="996"/>
      <c r="C45" s="997" t="str">
        <f>IF(B45="","",SUMIF('D-1 Off-Site Habitat Baseline'!AF49:AF296,B45,'D-1 Off-Site Habitat Baseline'!T49:T296))</f>
        <v/>
      </c>
      <c r="D45" s="990" t="str">
        <f>IF(B45="","",SUMIF('D-1 Off-Site Habitat Baseline'!$AF$11:$AF$258,B45,'D-1 Off-Site Habitat Baseline'!$Q$11:$Q$258))</f>
        <v/>
      </c>
      <c r="E45" s="998" t="str">
        <f>IF(B45="","",SUMIF('D-1 Off-Site Habitat Baseline'!$AF$11:$AF$258,'Off-site gain site summary'!$B45,'D-1 Off-Site Habitat Baseline'!$X$11:$X$258))</f>
        <v/>
      </c>
      <c r="F45" s="999" t="str">
        <f>IF(B45="","",SUMIF('D-1 Off-Site Habitat Baseline'!$AF$11:$AF$258,'Off-site gain site summary'!$B45,'D-1 Off-Site Habitat Baseline'!$AY$11:$AY$258))</f>
        <v/>
      </c>
      <c r="G45" s="998" t="str">
        <f>IF(B45="","",SUMIF('D-3 Off-Site Habitat Enhancment'!$AU$12:$AU$258,'Off-site gain site summary'!B45,'D-3 Off-Site Habitat Enhancment'!$AQ$12:$AQ$258))</f>
        <v/>
      </c>
      <c r="H45" s="999" t="str">
        <f>IF(B45="","",SUMIF('D-3 Off-Site Habitat Enhancment'!$AU$12:$AU$258,'Off-site gain site summary'!B45,'D-3 Off-Site Habitat Enhancment'!$AP$12:$AP$258))</f>
        <v/>
      </c>
      <c r="I45" s="998" t="str">
        <f>IF(B45="","",SUMIF('D-2 Off-Site Habitat Creation'!$AF$11:$AF$256,'Off-site gain site summary'!B45,'D-2 Off-Site Habitat Creation'!$AB$11:$AB$256))</f>
        <v/>
      </c>
      <c r="J45" s="999" t="str">
        <f>IF(B45="","",SUMIF('D-2 Off-Site Habitat Creation'!$AF$11:$AF$256,'Off-site gain site summary'!B45,'D-2 Off-Site Habitat Creation'!$AA$11:$AA$256))</f>
        <v/>
      </c>
      <c r="K45" s="1000" t="str">
        <f t="shared" si="0"/>
        <v/>
      </c>
      <c r="L45" s="997" t="str">
        <f>IF(ISBLANK(B45),"",IFERROR(_xlfn.XLOOKUP(B45,'D-2 Off-Site Habitat Creation'!$AF$11:$AF$256,'D-2 Off-Site Habitat Creation'!$Z$11:$Z$256),IFERROR(_xlfn.XLOOKUP(B45,'D-1 Off-Site Habitat Baseline'!AF$11:AF$258,'D-1 Off-Site Habitat Baseline'!S$11:S$258)," ")))</f>
        <v/>
      </c>
      <c r="M45" s="983" t="str">
        <f t="shared" si="1"/>
        <v/>
      </c>
      <c r="N45" s="988">
        <f>'E-1 Off-Site Hedge Baseline'!AB48</f>
        <v>0</v>
      </c>
      <c r="O45" s="996"/>
      <c r="P45" s="1000" t="str">
        <f>IF(O45="","",SUMIF('E-1 Off-Site Hedge Baseline'!AB$10:AB$257,'Off-site gain site summary'!O45,'E-1 Off-Site Hedge Baseline'!Q$10:Q$257))</f>
        <v/>
      </c>
      <c r="Q45" s="1000" t="str">
        <f>IF(O45="","",SUMIF('E-1 Off-Site Hedge Baseline'!AB$10:AB$257,O45,'E-1 Off-Site Hedge Baseline'!N$10:N$257))</f>
        <v/>
      </c>
      <c r="R45" s="1000" t="str">
        <f>IF(O45="","",SUMIF('E-1 Off-Site Hedge Baseline'!$AB$10:$AB$257,'Off-site gain site summary'!$O45,'E-1 Off-Site Hedge Baseline'!$U$10:$U$257))</f>
        <v/>
      </c>
      <c r="S45" s="1000" t="str">
        <f>IF(O45="","",SUMIF('E-1 Off-Site Hedge Baseline'!$AB$10:$AB$257,'Off-site gain site summary'!$O45,'E-1 Off-Site Hedge Baseline'!$AY$10:$AY$257))</f>
        <v/>
      </c>
      <c r="T45" s="1000" t="str">
        <f>IF(O45="","",SUMIF('E-3 Off-Site Hedge Enhancement'!$AO$12:$AO$257,'Off-site gain site summary'!$O45,'E-3 Off-Site Hedge Enhancement'!$AK$12:$AK$257))</f>
        <v/>
      </c>
      <c r="U45" s="1000" t="str">
        <f>IF(O45="","",SUMIF('E-3 Off-Site Hedge Enhancement'!$AO$12:$AO$257,'Off-site gain site summary'!$O45,'E-3 Off-Site Hedge Enhancement'!$AJ$12:$AJ$257))</f>
        <v/>
      </c>
      <c r="V45" s="1000" t="str">
        <f>IF(O45="","",SUMIF('E-2 Off-Site Hedge Creation'!$AD$12:$AD$259,'Off-site gain site summary'!$O45,'E-2 Off-Site Hedge Creation'!$Z$12:$Z$259))</f>
        <v/>
      </c>
      <c r="W45" s="991" t="str">
        <f>IF(O45="","",SUMIF('E-2 Off-Site Hedge Creation'!$AD$12:$AD$259,'Off-site gain site summary'!$O45,'E-2 Off-Site Hedge Creation'!$Y$12:$Y$259))</f>
        <v/>
      </c>
      <c r="X45" s="991" t="str">
        <f t="shared" si="2"/>
        <v/>
      </c>
      <c r="Y45" s="991" t="str">
        <f>IF(ISBLANK(O45),"",IFERROR(_xlfn.XLOOKUP(O45,'E-2 Off-Site Hedge Creation'!$AD$12:$AD$259,'E-2 Off-Site Hedge Creation'!$N$12:$N$259),IFERROR(_xlfn.XLOOKUP(O45,'E-1 Off-Site Hedge Baseline'!$AB$10:$AB$257,'E-1 Off-Site Hedge Baseline'!$P$10:$P$257)," ")))</f>
        <v/>
      </c>
      <c r="Z45" s="986" t="str">
        <f t="shared" si="3"/>
        <v/>
      </c>
      <c r="AA45" s="992">
        <f>'F-1 Off-Site WaterC'' Baseline'!AH48</f>
        <v>0</v>
      </c>
      <c r="AB45" s="996"/>
      <c r="AC45" s="1000" t="str">
        <f>IF(AB45="","",SUMIF('F-1 Off-Site WaterC'' Baseline'!$AH$10:$AH$257,'Off-site gain site summary'!$AB45,'F-1 Off-Site WaterC'' Baseline'!$U$10:$U$257))</f>
        <v/>
      </c>
      <c r="AD45" s="1000" t="str">
        <f>IF(AB45="","",SUMIF('F-1 Off-Site WaterC'' Baseline'!$AH$10:$AH$257,'Off-site gain site summary'!$AB45,'F-1 Off-Site WaterC'' Baseline'!$R$10:$R$257))</f>
        <v/>
      </c>
      <c r="AE45" s="1000" t="str">
        <f>IF(AB45="","",SUMIF('F-1 Off-Site WaterC'' Baseline'!$AH$10:$AH$257,'Off-site gain site summary'!$AB45,'F-1 Off-Site WaterC'' Baseline'!$Z$10:$Z$257))</f>
        <v/>
      </c>
      <c r="AF45" s="1000" t="str">
        <f>IF(AB45="","",SUMIF('F-1 Off-Site WaterC'' Baseline'!$AH$10:$AH$257,'Off-site gain site summary'!$AB45,'F-1 Off-Site WaterC'' Baseline'!$BA$10:$BA$257))</f>
        <v/>
      </c>
      <c r="AG45" s="1000" t="str">
        <f>IF(AB45="","",SUMIF('F-3 Off-Site WaterC Enhancement'!$AT$12:$AT$257,'Off-site gain site summary'!$AB45,'F-3 Off-Site WaterC Enhancement'!$AP$12:$AP$257))</f>
        <v/>
      </c>
      <c r="AH45" s="1000" t="str">
        <f>IF(AB45="","",SUMIF('F-3 Off-Site WaterC Enhancement'!$AT$12:$AT$257,'Off-site gain site summary'!$AB45,'F-3 Off-Site WaterC Enhancement'!$AO$12:$AO$257))</f>
        <v/>
      </c>
      <c r="AI45" s="1000" t="str">
        <f>IF(AB45="","",SUMIF('F-2 Off-Site WaterC'' Creation'!$AG$12:$AG$259,'Off-site gain site summary'!$AB45,'F-2 Off-Site WaterC'' Creation'!$AC$12:$AC$259))</f>
        <v/>
      </c>
      <c r="AJ45" s="1000" t="str">
        <f>IF(AB45="","",SUMIF('F-2 Off-Site WaterC'' Creation'!$AG$12:$AG$259,'Off-site gain site summary'!$AB45,'F-2 Off-Site WaterC'' Creation'!$AB$12:$AB$259))</f>
        <v/>
      </c>
      <c r="AK45" s="1000" t="str">
        <f t="shared" si="4"/>
        <v/>
      </c>
      <c r="AL45" s="1000" t="str">
        <f>IF(ISBLANK(AB45),"",IFERROR(_xlfn.XLOOKUP(AB45,'F-2 Off-Site WaterC'' Creation'!$AG$12:$AG$258,'F-2 Off-Site WaterC'' Creation'!$AA$12:$AA$258),IFERROR(_xlfn.XLOOKUP(AB45,'F-1 Off-Site WaterC'' Baseline'!$AH$10:$AH$257,'F-1 Off-Site WaterC'' Baseline'!$T$10:$T$257)," ")))</f>
        <v/>
      </c>
      <c r="AM45" s="986" t="str">
        <f t="shared" si="5"/>
        <v/>
      </c>
      <c r="AN45" s="1469"/>
      <c r="AO45" s="1469"/>
    </row>
    <row r="46" spans="1:41" s="992" customFormat="1" ht="43.5" customHeight="1">
      <c r="A46" s="988">
        <f>'D-1 Off-Site Habitat Baseline'!AF50</f>
        <v>0</v>
      </c>
      <c r="B46" s="996"/>
      <c r="C46" s="997" t="str">
        <f>IF(B46="","",SUMIF('D-1 Off-Site Habitat Baseline'!AF50:AF297,B46,'D-1 Off-Site Habitat Baseline'!T50:T297))</f>
        <v/>
      </c>
      <c r="D46" s="990" t="str">
        <f>IF(B46="","",SUMIF('D-1 Off-Site Habitat Baseline'!$AF$11:$AF$258,B46,'D-1 Off-Site Habitat Baseline'!$Q$11:$Q$258))</f>
        <v/>
      </c>
      <c r="E46" s="998" t="str">
        <f>IF(B46="","",SUMIF('D-1 Off-Site Habitat Baseline'!$AF$11:$AF$258,'Off-site gain site summary'!$B46,'D-1 Off-Site Habitat Baseline'!$X$11:$X$258))</f>
        <v/>
      </c>
      <c r="F46" s="999" t="str">
        <f>IF(B46="","",SUMIF('D-1 Off-Site Habitat Baseline'!$AF$11:$AF$258,'Off-site gain site summary'!$B46,'D-1 Off-Site Habitat Baseline'!$AY$11:$AY$258))</f>
        <v/>
      </c>
      <c r="G46" s="998" t="str">
        <f>IF(B46="","",SUMIF('D-3 Off-Site Habitat Enhancment'!$AU$12:$AU$258,'Off-site gain site summary'!B46,'D-3 Off-Site Habitat Enhancment'!$AQ$12:$AQ$258))</f>
        <v/>
      </c>
      <c r="H46" s="999" t="str">
        <f>IF(B46="","",SUMIF('D-3 Off-Site Habitat Enhancment'!$AU$12:$AU$258,'Off-site gain site summary'!B46,'D-3 Off-Site Habitat Enhancment'!$AP$12:$AP$258))</f>
        <v/>
      </c>
      <c r="I46" s="998" t="str">
        <f>IF(B46="","",SUMIF('D-2 Off-Site Habitat Creation'!$AF$11:$AF$256,'Off-site gain site summary'!B46,'D-2 Off-Site Habitat Creation'!$AB$11:$AB$256))</f>
        <v/>
      </c>
      <c r="J46" s="999" t="str">
        <f>IF(B46="","",SUMIF('D-2 Off-Site Habitat Creation'!$AF$11:$AF$256,'Off-site gain site summary'!B46,'D-2 Off-Site Habitat Creation'!$AA$11:$AA$256))</f>
        <v/>
      </c>
      <c r="K46" s="1000" t="str">
        <f t="shared" si="0"/>
        <v/>
      </c>
      <c r="L46" s="997" t="str">
        <f>IF(ISBLANK(B46),"",IFERROR(_xlfn.XLOOKUP(B46,'D-2 Off-Site Habitat Creation'!$AF$11:$AF$256,'D-2 Off-Site Habitat Creation'!$Z$11:$Z$256),IFERROR(_xlfn.XLOOKUP(B46,'D-1 Off-Site Habitat Baseline'!AF$11:AF$258,'D-1 Off-Site Habitat Baseline'!S$11:S$258)," ")))</f>
        <v/>
      </c>
      <c r="M46" s="983" t="str">
        <f t="shared" si="1"/>
        <v/>
      </c>
      <c r="N46" s="988">
        <f>'E-1 Off-Site Hedge Baseline'!AB49</f>
        <v>0</v>
      </c>
      <c r="O46" s="996"/>
      <c r="P46" s="1000" t="str">
        <f>IF(O46="","",SUMIF('E-1 Off-Site Hedge Baseline'!AB$10:AB$257,'Off-site gain site summary'!O46,'E-1 Off-Site Hedge Baseline'!Q$10:Q$257))</f>
        <v/>
      </c>
      <c r="Q46" s="1000" t="str">
        <f>IF(O46="","",SUMIF('E-1 Off-Site Hedge Baseline'!AB$10:AB$257,O46,'E-1 Off-Site Hedge Baseline'!N$10:N$257))</f>
        <v/>
      </c>
      <c r="R46" s="1000" t="str">
        <f>IF(O46="","",SUMIF('E-1 Off-Site Hedge Baseline'!$AB$10:$AB$257,'Off-site gain site summary'!$O46,'E-1 Off-Site Hedge Baseline'!$U$10:$U$257))</f>
        <v/>
      </c>
      <c r="S46" s="1000" t="str">
        <f>IF(O46="","",SUMIF('E-1 Off-Site Hedge Baseline'!$AB$10:$AB$257,'Off-site gain site summary'!$O46,'E-1 Off-Site Hedge Baseline'!$AY$10:$AY$257))</f>
        <v/>
      </c>
      <c r="T46" s="1000" t="str">
        <f>IF(O46="","",SUMIF('E-3 Off-Site Hedge Enhancement'!$AO$12:$AO$257,'Off-site gain site summary'!$O46,'E-3 Off-Site Hedge Enhancement'!$AK$12:$AK$257))</f>
        <v/>
      </c>
      <c r="U46" s="1000" t="str">
        <f>IF(O46="","",SUMIF('E-3 Off-Site Hedge Enhancement'!$AO$12:$AO$257,'Off-site gain site summary'!$O46,'E-3 Off-Site Hedge Enhancement'!$AJ$12:$AJ$257))</f>
        <v/>
      </c>
      <c r="V46" s="1000" t="str">
        <f>IF(O46="","",SUMIF('E-2 Off-Site Hedge Creation'!$AD$12:$AD$259,'Off-site gain site summary'!$O46,'E-2 Off-Site Hedge Creation'!$Z$12:$Z$259))</f>
        <v/>
      </c>
      <c r="W46" s="991" t="str">
        <f>IF(O46="","",SUMIF('E-2 Off-Site Hedge Creation'!$AD$12:$AD$259,'Off-site gain site summary'!$O46,'E-2 Off-Site Hedge Creation'!$Y$12:$Y$259))</f>
        <v/>
      </c>
      <c r="X46" s="991" t="str">
        <f t="shared" si="2"/>
        <v/>
      </c>
      <c r="Y46" s="991" t="str">
        <f>IF(ISBLANK(O46),"",IFERROR(_xlfn.XLOOKUP(O46,'E-2 Off-Site Hedge Creation'!$AD$12:$AD$259,'E-2 Off-Site Hedge Creation'!$N$12:$N$259),IFERROR(_xlfn.XLOOKUP(O46,'E-1 Off-Site Hedge Baseline'!$AB$10:$AB$257,'E-1 Off-Site Hedge Baseline'!$P$10:$P$257)," ")))</f>
        <v/>
      </c>
      <c r="Z46" s="986" t="str">
        <f t="shared" si="3"/>
        <v/>
      </c>
      <c r="AA46" s="992">
        <f>'F-1 Off-Site WaterC'' Baseline'!AH49</f>
        <v>0</v>
      </c>
      <c r="AB46" s="996"/>
      <c r="AC46" s="1000" t="str">
        <f>IF(AB46="","",SUMIF('F-1 Off-Site WaterC'' Baseline'!$AH$10:$AH$257,'Off-site gain site summary'!$AB46,'F-1 Off-Site WaterC'' Baseline'!$U$10:$U$257))</f>
        <v/>
      </c>
      <c r="AD46" s="1000" t="str">
        <f>IF(AB46="","",SUMIF('F-1 Off-Site WaterC'' Baseline'!$AH$10:$AH$257,'Off-site gain site summary'!$AB46,'F-1 Off-Site WaterC'' Baseline'!$R$10:$R$257))</f>
        <v/>
      </c>
      <c r="AE46" s="1000" t="str">
        <f>IF(AB46="","",SUMIF('F-1 Off-Site WaterC'' Baseline'!$AH$10:$AH$257,'Off-site gain site summary'!$AB46,'F-1 Off-Site WaterC'' Baseline'!$Z$10:$Z$257))</f>
        <v/>
      </c>
      <c r="AF46" s="1000" t="str">
        <f>IF(AB46="","",SUMIF('F-1 Off-Site WaterC'' Baseline'!$AH$10:$AH$257,'Off-site gain site summary'!$AB46,'F-1 Off-Site WaterC'' Baseline'!$BA$10:$BA$257))</f>
        <v/>
      </c>
      <c r="AG46" s="1000" t="str">
        <f>IF(AB46="","",SUMIF('F-3 Off-Site WaterC Enhancement'!$AT$12:$AT$257,'Off-site gain site summary'!$AB46,'F-3 Off-Site WaterC Enhancement'!$AP$12:$AP$257))</f>
        <v/>
      </c>
      <c r="AH46" s="1000" t="str">
        <f>IF(AB46="","",SUMIF('F-3 Off-Site WaterC Enhancement'!$AT$12:$AT$257,'Off-site gain site summary'!$AB46,'F-3 Off-Site WaterC Enhancement'!$AO$12:$AO$257))</f>
        <v/>
      </c>
      <c r="AI46" s="1000" t="str">
        <f>IF(AB46="","",SUMIF('F-2 Off-Site WaterC'' Creation'!$AG$12:$AG$259,'Off-site gain site summary'!$AB46,'F-2 Off-Site WaterC'' Creation'!$AC$12:$AC$259))</f>
        <v/>
      </c>
      <c r="AJ46" s="1000" t="str">
        <f>IF(AB46="","",SUMIF('F-2 Off-Site WaterC'' Creation'!$AG$12:$AG$259,'Off-site gain site summary'!$AB46,'F-2 Off-Site WaterC'' Creation'!$AB$12:$AB$259))</f>
        <v/>
      </c>
      <c r="AK46" s="1000" t="str">
        <f t="shared" si="4"/>
        <v/>
      </c>
      <c r="AL46" s="1000" t="str">
        <f>IF(ISBLANK(AB46),"",IFERROR(_xlfn.XLOOKUP(AB46,'F-2 Off-Site WaterC'' Creation'!$AG$12:$AG$258,'F-2 Off-Site WaterC'' Creation'!$AA$12:$AA$258),IFERROR(_xlfn.XLOOKUP(AB46,'F-1 Off-Site WaterC'' Baseline'!$AH$10:$AH$257,'F-1 Off-Site WaterC'' Baseline'!$T$10:$T$257)," ")))</f>
        <v/>
      </c>
      <c r="AM46" s="986" t="str">
        <f t="shared" si="5"/>
        <v/>
      </c>
      <c r="AN46" s="1469"/>
      <c r="AO46" s="1469"/>
    </row>
    <row r="47" spans="1:41" s="992" customFormat="1" ht="43.5" customHeight="1">
      <c r="A47" s="988">
        <f>'D-1 Off-Site Habitat Baseline'!AF51</f>
        <v>0</v>
      </c>
      <c r="B47" s="996"/>
      <c r="C47" s="997" t="str">
        <f>IF(B47="","",SUMIF('D-1 Off-Site Habitat Baseline'!AF51:AF298,B47,'D-1 Off-Site Habitat Baseline'!T51:T298))</f>
        <v/>
      </c>
      <c r="D47" s="990" t="str">
        <f>IF(B47="","",SUMIF('D-1 Off-Site Habitat Baseline'!$AF$11:$AF$258,B47,'D-1 Off-Site Habitat Baseline'!$Q$11:$Q$258))</f>
        <v/>
      </c>
      <c r="E47" s="998" t="str">
        <f>IF(B47="","",SUMIF('D-1 Off-Site Habitat Baseline'!$AF$11:$AF$258,'Off-site gain site summary'!$B47,'D-1 Off-Site Habitat Baseline'!$X$11:$X$258))</f>
        <v/>
      </c>
      <c r="F47" s="999" t="str">
        <f>IF(B47="","",SUMIF('D-1 Off-Site Habitat Baseline'!$AF$11:$AF$258,'Off-site gain site summary'!$B47,'D-1 Off-Site Habitat Baseline'!$AY$11:$AY$258))</f>
        <v/>
      </c>
      <c r="G47" s="998" t="str">
        <f>IF(B47="","",SUMIF('D-3 Off-Site Habitat Enhancment'!$AU$12:$AU$258,'Off-site gain site summary'!B47,'D-3 Off-Site Habitat Enhancment'!$AQ$12:$AQ$258))</f>
        <v/>
      </c>
      <c r="H47" s="999" t="str">
        <f>IF(B47="","",SUMIF('D-3 Off-Site Habitat Enhancment'!$AU$12:$AU$258,'Off-site gain site summary'!B47,'D-3 Off-Site Habitat Enhancment'!$AP$12:$AP$258))</f>
        <v/>
      </c>
      <c r="I47" s="998" t="str">
        <f>IF(B47="","",SUMIF('D-2 Off-Site Habitat Creation'!$AF$11:$AF$256,'Off-site gain site summary'!B47,'D-2 Off-Site Habitat Creation'!$AB$11:$AB$256))</f>
        <v/>
      </c>
      <c r="J47" s="999" t="str">
        <f>IF(B47="","",SUMIF('D-2 Off-Site Habitat Creation'!$AF$11:$AF$256,'Off-site gain site summary'!B47,'D-2 Off-Site Habitat Creation'!$AA$11:$AA$256))</f>
        <v/>
      </c>
      <c r="K47" s="1000" t="str">
        <f t="shared" si="0"/>
        <v/>
      </c>
      <c r="L47" s="997" t="str">
        <f>IF(ISBLANK(B47),"",IFERROR(_xlfn.XLOOKUP(B47,'D-2 Off-Site Habitat Creation'!$AF$11:$AF$256,'D-2 Off-Site Habitat Creation'!$Z$11:$Z$256),IFERROR(_xlfn.XLOOKUP(B47,'D-1 Off-Site Habitat Baseline'!AF$11:AF$258,'D-1 Off-Site Habitat Baseline'!S$11:S$258)," ")))</f>
        <v/>
      </c>
      <c r="M47" s="983" t="str">
        <f t="shared" si="1"/>
        <v/>
      </c>
      <c r="N47" s="988">
        <f>'E-1 Off-Site Hedge Baseline'!AB50</f>
        <v>0</v>
      </c>
      <c r="O47" s="996"/>
      <c r="P47" s="1000" t="str">
        <f>IF(O47="","",SUMIF('E-1 Off-Site Hedge Baseline'!AB$10:AB$257,'Off-site gain site summary'!O47,'E-1 Off-Site Hedge Baseline'!Q$10:Q$257))</f>
        <v/>
      </c>
      <c r="Q47" s="1000" t="str">
        <f>IF(O47="","",SUMIF('E-1 Off-Site Hedge Baseline'!AB$10:AB$257,O47,'E-1 Off-Site Hedge Baseline'!N$10:N$257))</f>
        <v/>
      </c>
      <c r="R47" s="1000" t="str">
        <f>IF(O47="","",SUMIF('E-1 Off-Site Hedge Baseline'!$AB$10:$AB$257,'Off-site gain site summary'!$O47,'E-1 Off-Site Hedge Baseline'!$U$10:$U$257))</f>
        <v/>
      </c>
      <c r="S47" s="1000" t="str">
        <f>IF(O47="","",SUMIF('E-1 Off-Site Hedge Baseline'!$AB$10:$AB$257,'Off-site gain site summary'!$O47,'E-1 Off-Site Hedge Baseline'!$AY$10:$AY$257))</f>
        <v/>
      </c>
      <c r="T47" s="1000" t="str">
        <f>IF(O47="","",SUMIF('E-3 Off-Site Hedge Enhancement'!$AO$12:$AO$257,'Off-site gain site summary'!$O47,'E-3 Off-Site Hedge Enhancement'!$AK$12:$AK$257))</f>
        <v/>
      </c>
      <c r="U47" s="1000" t="str">
        <f>IF(O47="","",SUMIF('E-3 Off-Site Hedge Enhancement'!$AO$12:$AO$257,'Off-site gain site summary'!$O47,'E-3 Off-Site Hedge Enhancement'!$AJ$12:$AJ$257))</f>
        <v/>
      </c>
      <c r="V47" s="1000" t="str">
        <f>IF(O47="","",SUMIF('E-2 Off-Site Hedge Creation'!$AD$12:$AD$259,'Off-site gain site summary'!$O47,'E-2 Off-Site Hedge Creation'!$Z$12:$Z$259))</f>
        <v/>
      </c>
      <c r="W47" s="991" t="str">
        <f>IF(O47="","",SUMIF('E-2 Off-Site Hedge Creation'!$AD$12:$AD$259,'Off-site gain site summary'!$O47,'E-2 Off-Site Hedge Creation'!$Y$12:$Y$259))</f>
        <v/>
      </c>
      <c r="X47" s="991" t="str">
        <f t="shared" si="2"/>
        <v/>
      </c>
      <c r="Y47" s="991" t="str">
        <f>IF(ISBLANK(O47),"",IFERROR(_xlfn.XLOOKUP(O47,'E-2 Off-Site Hedge Creation'!$AD$12:$AD$259,'E-2 Off-Site Hedge Creation'!$N$12:$N$259),IFERROR(_xlfn.XLOOKUP(O47,'E-1 Off-Site Hedge Baseline'!$AB$10:$AB$257,'E-1 Off-Site Hedge Baseline'!$P$10:$P$257)," ")))</f>
        <v/>
      </c>
      <c r="Z47" s="986" t="str">
        <f t="shared" si="3"/>
        <v/>
      </c>
      <c r="AA47" s="992">
        <f>'F-1 Off-Site WaterC'' Baseline'!AH50</f>
        <v>0</v>
      </c>
      <c r="AB47" s="996"/>
      <c r="AC47" s="1000" t="str">
        <f>IF(AB47="","",SUMIF('F-1 Off-Site WaterC'' Baseline'!$AH$10:$AH$257,'Off-site gain site summary'!$AB47,'F-1 Off-Site WaterC'' Baseline'!$U$10:$U$257))</f>
        <v/>
      </c>
      <c r="AD47" s="1000" t="str">
        <f>IF(AB47="","",SUMIF('F-1 Off-Site WaterC'' Baseline'!$AH$10:$AH$257,'Off-site gain site summary'!$AB47,'F-1 Off-Site WaterC'' Baseline'!$R$10:$R$257))</f>
        <v/>
      </c>
      <c r="AE47" s="1000" t="str">
        <f>IF(AB47="","",SUMIF('F-1 Off-Site WaterC'' Baseline'!$AH$10:$AH$257,'Off-site gain site summary'!$AB47,'F-1 Off-Site WaterC'' Baseline'!$Z$10:$Z$257))</f>
        <v/>
      </c>
      <c r="AF47" s="1000" t="str">
        <f>IF(AB47="","",SUMIF('F-1 Off-Site WaterC'' Baseline'!$AH$10:$AH$257,'Off-site gain site summary'!$AB47,'F-1 Off-Site WaterC'' Baseline'!$BA$10:$BA$257))</f>
        <v/>
      </c>
      <c r="AG47" s="1000" t="str">
        <f>IF(AB47="","",SUMIF('F-3 Off-Site WaterC Enhancement'!$AT$12:$AT$257,'Off-site gain site summary'!$AB47,'F-3 Off-Site WaterC Enhancement'!$AP$12:$AP$257))</f>
        <v/>
      </c>
      <c r="AH47" s="1000" t="str">
        <f>IF(AB47="","",SUMIF('F-3 Off-Site WaterC Enhancement'!$AT$12:$AT$257,'Off-site gain site summary'!$AB47,'F-3 Off-Site WaterC Enhancement'!$AO$12:$AO$257))</f>
        <v/>
      </c>
      <c r="AI47" s="1000" t="str">
        <f>IF(AB47="","",SUMIF('F-2 Off-Site WaterC'' Creation'!$AG$12:$AG$259,'Off-site gain site summary'!$AB47,'F-2 Off-Site WaterC'' Creation'!$AC$12:$AC$259))</f>
        <v/>
      </c>
      <c r="AJ47" s="1000" t="str">
        <f>IF(AB47="","",SUMIF('F-2 Off-Site WaterC'' Creation'!$AG$12:$AG$259,'Off-site gain site summary'!$AB47,'F-2 Off-Site WaterC'' Creation'!$AB$12:$AB$259))</f>
        <v/>
      </c>
      <c r="AK47" s="1000" t="str">
        <f t="shared" si="4"/>
        <v/>
      </c>
      <c r="AL47" s="1000" t="str">
        <f>IF(ISBLANK(AB47),"",IFERROR(_xlfn.XLOOKUP(AB47,'F-2 Off-Site WaterC'' Creation'!$AG$12:$AG$258,'F-2 Off-Site WaterC'' Creation'!$AA$12:$AA$258),IFERROR(_xlfn.XLOOKUP(AB47,'F-1 Off-Site WaterC'' Baseline'!$AH$10:$AH$257,'F-1 Off-Site WaterC'' Baseline'!$T$10:$T$257)," ")))</f>
        <v/>
      </c>
      <c r="AM47" s="986" t="str">
        <f t="shared" si="5"/>
        <v/>
      </c>
      <c r="AN47" s="1469"/>
      <c r="AO47" s="1469"/>
    </row>
    <row r="48" spans="1:41" s="992" customFormat="1" ht="43.5" customHeight="1">
      <c r="A48" s="988">
        <f>'D-1 Off-Site Habitat Baseline'!AF52</f>
        <v>0</v>
      </c>
      <c r="B48" s="996"/>
      <c r="C48" s="997" t="str">
        <f>IF(B48="","",SUMIF('D-1 Off-Site Habitat Baseline'!AF52:AF299,B48,'D-1 Off-Site Habitat Baseline'!T52:T299))</f>
        <v/>
      </c>
      <c r="D48" s="990" t="str">
        <f>IF(B48="","",SUMIF('D-1 Off-Site Habitat Baseline'!$AF$11:$AF$258,B48,'D-1 Off-Site Habitat Baseline'!$Q$11:$Q$258))</f>
        <v/>
      </c>
      <c r="E48" s="998" t="str">
        <f>IF(B48="","",SUMIF('D-1 Off-Site Habitat Baseline'!$AF$11:$AF$258,'Off-site gain site summary'!$B48,'D-1 Off-Site Habitat Baseline'!$X$11:$X$258))</f>
        <v/>
      </c>
      <c r="F48" s="999" t="str">
        <f>IF(B48="","",SUMIF('D-1 Off-Site Habitat Baseline'!$AF$11:$AF$258,'Off-site gain site summary'!$B48,'D-1 Off-Site Habitat Baseline'!$AY$11:$AY$258))</f>
        <v/>
      </c>
      <c r="G48" s="998" t="str">
        <f>IF(B48="","",SUMIF('D-3 Off-Site Habitat Enhancment'!$AU$12:$AU$258,'Off-site gain site summary'!B48,'D-3 Off-Site Habitat Enhancment'!$AQ$12:$AQ$258))</f>
        <v/>
      </c>
      <c r="H48" s="999" t="str">
        <f>IF(B48="","",SUMIF('D-3 Off-Site Habitat Enhancment'!$AU$12:$AU$258,'Off-site gain site summary'!B48,'D-3 Off-Site Habitat Enhancment'!$AP$12:$AP$258))</f>
        <v/>
      </c>
      <c r="I48" s="998" t="str">
        <f>IF(B48="","",SUMIF('D-2 Off-Site Habitat Creation'!$AF$11:$AF$256,'Off-site gain site summary'!B48,'D-2 Off-Site Habitat Creation'!$AB$11:$AB$256))</f>
        <v/>
      </c>
      <c r="J48" s="999" t="str">
        <f>IF(B48="","",SUMIF('D-2 Off-Site Habitat Creation'!$AF$11:$AF$256,'Off-site gain site summary'!B48,'D-2 Off-Site Habitat Creation'!$AA$11:$AA$256))</f>
        <v/>
      </c>
      <c r="K48" s="1000" t="str">
        <f t="shared" si="0"/>
        <v/>
      </c>
      <c r="L48" s="997" t="str">
        <f>IF(ISBLANK(B48),"",IFERROR(_xlfn.XLOOKUP(B48,'D-2 Off-Site Habitat Creation'!$AF$11:$AF$256,'D-2 Off-Site Habitat Creation'!$Z$11:$Z$256),IFERROR(_xlfn.XLOOKUP(B48,'D-1 Off-Site Habitat Baseline'!AF$11:AF$258,'D-1 Off-Site Habitat Baseline'!S$11:S$258)," ")))</f>
        <v/>
      </c>
      <c r="M48" s="983" t="str">
        <f t="shared" si="1"/>
        <v/>
      </c>
      <c r="N48" s="988">
        <f>'E-1 Off-Site Hedge Baseline'!AB51</f>
        <v>0</v>
      </c>
      <c r="O48" s="996"/>
      <c r="P48" s="1000" t="str">
        <f>IF(O48="","",SUMIF('E-1 Off-Site Hedge Baseline'!AB$10:AB$257,'Off-site gain site summary'!O48,'E-1 Off-Site Hedge Baseline'!Q$10:Q$257))</f>
        <v/>
      </c>
      <c r="Q48" s="1000" t="str">
        <f>IF(O48="","",SUMIF('E-1 Off-Site Hedge Baseline'!AB$10:AB$257,O48,'E-1 Off-Site Hedge Baseline'!N$10:N$257))</f>
        <v/>
      </c>
      <c r="R48" s="1000" t="str">
        <f>IF(O48="","",SUMIF('E-1 Off-Site Hedge Baseline'!$AB$10:$AB$257,'Off-site gain site summary'!$O48,'E-1 Off-Site Hedge Baseline'!$U$10:$U$257))</f>
        <v/>
      </c>
      <c r="S48" s="1000" t="str">
        <f>IF(O48="","",SUMIF('E-1 Off-Site Hedge Baseline'!$AB$10:$AB$257,'Off-site gain site summary'!$O48,'E-1 Off-Site Hedge Baseline'!$AY$10:$AY$257))</f>
        <v/>
      </c>
      <c r="T48" s="1000" t="str">
        <f>IF(O48="","",SUMIF('E-3 Off-Site Hedge Enhancement'!$AO$12:$AO$257,'Off-site gain site summary'!$O48,'E-3 Off-Site Hedge Enhancement'!$AK$12:$AK$257))</f>
        <v/>
      </c>
      <c r="U48" s="1000" t="str">
        <f>IF(O48="","",SUMIF('E-3 Off-Site Hedge Enhancement'!$AO$12:$AO$257,'Off-site gain site summary'!$O48,'E-3 Off-Site Hedge Enhancement'!$AJ$12:$AJ$257))</f>
        <v/>
      </c>
      <c r="V48" s="1000" t="str">
        <f>IF(O48="","",SUMIF('E-2 Off-Site Hedge Creation'!$AD$12:$AD$259,'Off-site gain site summary'!$O48,'E-2 Off-Site Hedge Creation'!$Z$12:$Z$259))</f>
        <v/>
      </c>
      <c r="W48" s="991" t="str">
        <f>IF(O48="","",SUMIF('E-2 Off-Site Hedge Creation'!$AD$12:$AD$259,'Off-site gain site summary'!$O48,'E-2 Off-Site Hedge Creation'!$Y$12:$Y$259))</f>
        <v/>
      </c>
      <c r="X48" s="991" t="str">
        <f t="shared" si="2"/>
        <v/>
      </c>
      <c r="Y48" s="991" t="str">
        <f>IF(ISBLANK(O48),"",IFERROR(_xlfn.XLOOKUP(O48,'E-2 Off-Site Hedge Creation'!$AD$12:$AD$259,'E-2 Off-Site Hedge Creation'!$N$12:$N$259),IFERROR(_xlfn.XLOOKUP(O48,'E-1 Off-Site Hedge Baseline'!$AB$10:$AB$257,'E-1 Off-Site Hedge Baseline'!$P$10:$P$257)," ")))</f>
        <v/>
      </c>
      <c r="Z48" s="986" t="str">
        <f t="shared" si="3"/>
        <v/>
      </c>
      <c r="AA48" s="992">
        <f>'F-1 Off-Site WaterC'' Baseline'!AH51</f>
        <v>0</v>
      </c>
      <c r="AB48" s="996"/>
      <c r="AC48" s="1000" t="str">
        <f>IF(AB48="","",SUMIF('F-1 Off-Site WaterC'' Baseline'!$AH$10:$AH$257,'Off-site gain site summary'!$AB48,'F-1 Off-Site WaterC'' Baseline'!$U$10:$U$257))</f>
        <v/>
      </c>
      <c r="AD48" s="1000" t="str">
        <f>IF(AB48="","",SUMIF('F-1 Off-Site WaterC'' Baseline'!$AH$10:$AH$257,'Off-site gain site summary'!$AB48,'F-1 Off-Site WaterC'' Baseline'!$R$10:$R$257))</f>
        <v/>
      </c>
      <c r="AE48" s="1000" t="str">
        <f>IF(AB48="","",SUMIF('F-1 Off-Site WaterC'' Baseline'!$AH$10:$AH$257,'Off-site gain site summary'!$AB48,'F-1 Off-Site WaterC'' Baseline'!$Z$10:$Z$257))</f>
        <v/>
      </c>
      <c r="AF48" s="1000" t="str">
        <f>IF(AB48="","",SUMIF('F-1 Off-Site WaterC'' Baseline'!$AH$10:$AH$257,'Off-site gain site summary'!$AB48,'F-1 Off-Site WaterC'' Baseline'!$BA$10:$BA$257))</f>
        <v/>
      </c>
      <c r="AG48" s="1000" t="str">
        <f>IF(AB48="","",SUMIF('F-3 Off-Site WaterC Enhancement'!$AT$12:$AT$257,'Off-site gain site summary'!$AB48,'F-3 Off-Site WaterC Enhancement'!$AP$12:$AP$257))</f>
        <v/>
      </c>
      <c r="AH48" s="1000" t="str">
        <f>IF(AB48="","",SUMIF('F-3 Off-Site WaterC Enhancement'!$AT$12:$AT$257,'Off-site gain site summary'!$AB48,'F-3 Off-Site WaterC Enhancement'!$AO$12:$AO$257))</f>
        <v/>
      </c>
      <c r="AI48" s="1000" t="str">
        <f>IF(AB48="","",SUMIF('F-2 Off-Site WaterC'' Creation'!$AG$12:$AG$259,'Off-site gain site summary'!$AB48,'F-2 Off-Site WaterC'' Creation'!$AC$12:$AC$259))</f>
        <v/>
      </c>
      <c r="AJ48" s="1000" t="str">
        <f>IF(AB48="","",SUMIF('F-2 Off-Site WaterC'' Creation'!$AG$12:$AG$259,'Off-site gain site summary'!$AB48,'F-2 Off-Site WaterC'' Creation'!$AB$12:$AB$259))</f>
        <v/>
      </c>
      <c r="AK48" s="1000" t="str">
        <f t="shared" si="4"/>
        <v/>
      </c>
      <c r="AL48" s="1000" t="str">
        <f>IF(ISBLANK(AB48),"",IFERROR(_xlfn.XLOOKUP(AB48,'F-2 Off-Site WaterC'' Creation'!$AG$12:$AG$258,'F-2 Off-Site WaterC'' Creation'!$AA$12:$AA$258),IFERROR(_xlfn.XLOOKUP(AB48,'F-1 Off-Site WaterC'' Baseline'!$AH$10:$AH$257,'F-1 Off-Site WaterC'' Baseline'!$T$10:$T$257)," ")))</f>
        <v/>
      </c>
      <c r="AM48" s="986" t="str">
        <f t="shared" si="5"/>
        <v/>
      </c>
      <c r="AN48" s="1469"/>
      <c r="AO48" s="1469"/>
    </row>
    <row r="49" spans="1:41" s="992" customFormat="1" ht="43.5" customHeight="1">
      <c r="A49" s="988">
        <f>'D-1 Off-Site Habitat Baseline'!AF53</f>
        <v>0</v>
      </c>
      <c r="B49" s="996"/>
      <c r="C49" s="997" t="str">
        <f>IF(B49="","",SUMIF('D-1 Off-Site Habitat Baseline'!AF53:AF300,B49,'D-1 Off-Site Habitat Baseline'!T53:T300))</f>
        <v/>
      </c>
      <c r="D49" s="990" t="str">
        <f>IF(B49="","",SUMIF('D-1 Off-Site Habitat Baseline'!$AF$11:$AF$258,B49,'D-1 Off-Site Habitat Baseline'!$Q$11:$Q$258))</f>
        <v/>
      </c>
      <c r="E49" s="998" t="str">
        <f>IF(B49="","",SUMIF('D-1 Off-Site Habitat Baseline'!$AF$11:$AF$258,'Off-site gain site summary'!$B49,'D-1 Off-Site Habitat Baseline'!$X$11:$X$258))</f>
        <v/>
      </c>
      <c r="F49" s="999" t="str">
        <f>IF(B49="","",SUMIF('D-1 Off-Site Habitat Baseline'!$AF$11:$AF$258,'Off-site gain site summary'!$B49,'D-1 Off-Site Habitat Baseline'!$AY$11:$AY$258))</f>
        <v/>
      </c>
      <c r="G49" s="998" t="str">
        <f>IF(B49="","",SUMIF('D-3 Off-Site Habitat Enhancment'!$AU$12:$AU$258,'Off-site gain site summary'!B49,'D-3 Off-Site Habitat Enhancment'!$AQ$12:$AQ$258))</f>
        <v/>
      </c>
      <c r="H49" s="999" t="str">
        <f>IF(B49="","",SUMIF('D-3 Off-Site Habitat Enhancment'!$AU$12:$AU$258,'Off-site gain site summary'!B49,'D-3 Off-Site Habitat Enhancment'!$AP$12:$AP$258))</f>
        <v/>
      </c>
      <c r="I49" s="998" t="str">
        <f>IF(B49="","",SUMIF('D-2 Off-Site Habitat Creation'!$AF$11:$AF$256,'Off-site gain site summary'!B49,'D-2 Off-Site Habitat Creation'!$AB$11:$AB$256))</f>
        <v/>
      </c>
      <c r="J49" s="999" t="str">
        <f>IF(B49="","",SUMIF('D-2 Off-Site Habitat Creation'!$AF$11:$AF$256,'Off-site gain site summary'!B49,'D-2 Off-Site Habitat Creation'!$AA$11:$AA$256))</f>
        <v/>
      </c>
      <c r="K49" s="1000" t="str">
        <f t="shared" si="0"/>
        <v/>
      </c>
      <c r="L49" s="997" t="str">
        <f>IF(ISBLANK(B49),"",IFERROR(_xlfn.XLOOKUP(B49,'D-2 Off-Site Habitat Creation'!$AF$11:$AF$256,'D-2 Off-Site Habitat Creation'!$Z$11:$Z$256),IFERROR(_xlfn.XLOOKUP(B49,'D-1 Off-Site Habitat Baseline'!AF$11:AF$258,'D-1 Off-Site Habitat Baseline'!S$11:S$258)," ")))</f>
        <v/>
      </c>
      <c r="M49" s="983" t="str">
        <f t="shared" si="1"/>
        <v/>
      </c>
      <c r="N49" s="988">
        <f>'E-1 Off-Site Hedge Baseline'!AB52</f>
        <v>0</v>
      </c>
      <c r="O49" s="996"/>
      <c r="P49" s="1000" t="str">
        <f>IF(O49="","",SUMIF('E-1 Off-Site Hedge Baseline'!AB$10:AB$257,'Off-site gain site summary'!O49,'E-1 Off-Site Hedge Baseline'!Q$10:Q$257))</f>
        <v/>
      </c>
      <c r="Q49" s="1000" t="str">
        <f>IF(O49="","",SUMIF('E-1 Off-Site Hedge Baseline'!AB$10:AB$257,O49,'E-1 Off-Site Hedge Baseline'!N$10:N$257))</f>
        <v/>
      </c>
      <c r="R49" s="1000" t="str">
        <f>IF(O49="","",SUMIF('E-1 Off-Site Hedge Baseline'!$AB$10:$AB$257,'Off-site gain site summary'!$O49,'E-1 Off-Site Hedge Baseline'!$U$10:$U$257))</f>
        <v/>
      </c>
      <c r="S49" s="1000" t="str">
        <f>IF(O49="","",SUMIF('E-1 Off-Site Hedge Baseline'!$AB$10:$AB$257,'Off-site gain site summary'!$O49,'E-1 Off-Site Hedge Baseline'!$AY$10:$AY$257))</f>
        <v/>
      </c>
      <c r="T49" s="1000" t="str">
        <f>IF(O49="","",SUMIF('E-3 Off-Site Hedge Enhancement'!$AO$12:$AO$257,'Off-site gain site summary'!$O49,'E-3 Off-Site Hedge Enhancement'!$AK$12:$AK$257))</f>
        <v/>
      </c>
      <c r="U49" s="1000" t="str">
        <f>IF(O49="","",SUMIF('E-3 Off-Site Hedge Enhancement'!$AO$12:$AO$257,'Off-site gain site summary'!$O49,'E-3 Off-Site Hedge Enhancement'!$AJ$12:$AJ$257))</f>
        <v/>
      </c>
      <c r="V49" s="1000" t="str">
        <f>IF(O49="","",SUMIF('E-2 Off-Site Hedge Creation'!$AD$12:$AD$259,'Off-site gain site summary'!$O49,'E-2 Off-Site Hedge Creation'!$Z$12:$Z$259))</f>
        <v/>
      </c>
      <c r="W49" s="991" t="str">
        <f>IF(O49="","",SUMIF('E-2 Off-Site Hedge Creation'!$AD$12:$AD$259,'Off-site gain site summary'!$O49,'E-2 Off-Site Hedge Creation'!$Y$12:$Y$259))</f>
        <v/>
      </c>
      <c r="X49" s="991" t="str">
        <f t="shared" si="2"/>
        <v/>
      </c>
      <c r="Y49" s="991" t="str">
        <f>IF(ISBLANK(O49),"",IFERROR(_xlfn.XLOOKUP(O49,'E-2 Off-Site Hedge Creation'!$AD$12:$AD$259,'E-2 Off-Site Hedge Creation'!$N$12:$N$259),IFERROR(_xlfn.XLOOKUP(O49,'E-1 Off-Site Hedge Baseline'!$AB$10:$AB$257,'E-1 Off-Site Hedge Baseline'!$P$10:$P$257)," ")))</f>
        <v/>
      </c>
      <c r="Z49" s="986" t="str">
        <f t="shared" si="3"/>
        <v/>
      </c>
      <c r="AA49" s="992">
        <f>'F-1 Off-Site WaterC'' Baseline'!AH52</f>
        <v>0</v>
      </c>
      <c r="AB49" s="996"/>
      <c r="AC49" s="1000" t="str">
        <f>IF(AB49="","",SUMIF('F-1 Off-Site WaterC'' Baseline'!$AH$10:$AH$257,'Off-site gain site summary'!$AB49,'F-1 Off-Site WaterC'' Baseline'!$U$10:$U$257))</f>
        <v/>
      </c>
      <c r="AD49" s="1000" t="str">
        <f>IF(AB49="","",SUMIF('F-1 Off-Site WaterC'' Baseline'!$AH$10:$AH$257,'Off-site gain site summary'!$AB49,'F-1 Off-Site WaterC'' Baseline'!$R$10:$R$257))</f>
        <v/>
      </c>
      <c r="AE49" s="1000" t="str">
        <f>IF(AB49="","",SUMIF('F-1 Off-Site WaterC'' Baseline'!$AH$10:$AH$257,'Off-site gain site summary'!$AB49,'F-1 Off-Site WaterC'' Baseline'!$Z$10:$Z$257))</f>
        <v/>
      </c>
      <c r="AF49" s="1000" t="str">
        <f>IF(AB49="","",SUMIF('F-1 Off-Site WaterC'' Baseline'!$AH$10:$AH$257,'Off-site gain site summary'!$AB49,'F-1 Off-Site WaterC'' Baseline'!$BA$10:$BA$257))</f>
        <v/>
      </c>
      <c r="AG49" s="1000" t="str">
        <f>IF(AB49="","",SUMIF('F-3 Off-Site WaterC Enhancement'!$AT$12:$AT$257,'Off-site gain site summary'!$AB49,'F-3 Off-Site WaterC Enhancement'!$AP$12:$AP$257))</f>
        <v/>
      </c>
      <c r="AH49" s="1000" t="str">
        <f>IF(AB49="","",SUMIF('F-3 Off-Site WaterC Enhancement'!$AT$12:$AT$257,'Off-site gain site summary'!$AB49,'F-3 Off-Site WaterC Enhancement'!$AO$12:$AO$257))</f>
        <v/>
      </c>
      <c r="AI49" s="1000" t="str">
        <f>IF(AB49="","",SUMIF('F-2 Off-Site WaterC'' Creation'!$AG$12:$AG$259,'Off-site gain site summary'!$AB49,'F-2 Off-Site WaterC'' Creation'!$AC$12:$AC$259))</f>
        <v/>
      </c>
      <c r="AJ49" s="1000" t="str">
        <f>IF(AB49="","",SUMIF('F-2 Off-Site WaterC'' Creation'!$AG$12:$AG$259,'Off-site gain site summary'!$AB49,'F-2 Off-Site WaterC'' Creation'!$AB$12:$AB$259))</f>
        <v/>
      </c>
      <c r="AK49" s="1000" t="str">
        <f t="shared" si="4"/>
        <v/>
      </c>
      <c r="AL49" s="1000" t="str">
        <f>IF(ISBLANK(AB49),"",IFERROR(_xlfn.XLOOKUP(AB49,'F-2 Off-Site WaterC'' Creation'!$AG$12:$AG$258,'F-2 Off-Site WaterC'' Creation'!$AA$12:$AA$258),IFERROR(_xlfn.XLOOKUP(AB49,'F-1 Off-Site WaterC'' Baseline'!$AH$10:$AH$257,'F-1 Off-Site WaterC'' Baseline'!$T$10:$T$257)," ")))</f>
        <v/>
      </c>
      <c r="AM49" s="986" t="str">
        <f t="shared" si="5"/>
        <v/>
      </c>
      <c r="AN49" s="1469"/>
      <c r="AO49" s="1469"/>
    </row>
    <row r="50" spans="1:41" s="992" customFormat="1" ht="43.5" customHeight="1">
      <c r="A50" s="988">
        <f>'D-1 Off-Site Habitat Baseline'!AF54</f>
        <v>0</v>
      </c>
      <c r="B50" s="996"/>
      <c r="C50" s="997" t="str">
        <f>IF(B50="","",SUMIF('D-1 Off-Site Habitat Baseline'!AF54:AF301,B50,'D-1 Off-Site Habitat Baseline'!T54:T301))</f>
        <v/>
      </c>
      <c r="D50" s="990" t="str">
        <f>IF(B50="","",SUMIF('D-1 Off-Site Habitat Baseline'!$AF$11:$AF$258,B50,'D-1 Off-Site Habitat Baseline'!$Q$11:$Q$258))</f>
        <v/>
      </c>
      <c r="E50" s="998" t="str">
        <f>IF(B50="","",SUMIF('D-1 Off-Site Habitat Baseline'!$AF$11:$AF$258,'Off-site gain site summary'!$B50,'D-1 Off-Site Habitat Baseline'!$X$11:$X$258))</f>
        <v/>
      </c>
      <c r="F50" s="999" t="str">
        <f>IF(B50="","",SUMIF('D-1 Off-Site Habitat Baseline'!$AF$11:$AF$258,'Off-site gain site summary'!$B50,'D-1 Off-Site Habitat Baseline'!$AY$11:$AY$258))</f>
        <v/>
      </c>
      <c r="G50" s="998" t="str">
        <f>IF(B50="","",SUMIF('D-3 Off-Site Habitat Enhancment'!$AU$12:$AU$258,'Off-site gain site summary'!B50,'D-3 Off-Site Habitat Enhancment'!$AQ$12:$AQ$258))</f>
        <v/>
      </c>
      <c r="H50" s="999" t="str">
        <f>IF(B50="","",SUMIF('D-3 Off-Site Habitat Enhancment'!$AU$12:$AU$258,'Off-site gain site summary'!B50,'D-3 Off-Site Habitat Enhancment'!$AP$12:$AP$258))</f>
        <v/>
      </c>
      <c r="I50" s="998" t="str">
        <f>IF(B50="","",SUMIF('D-2 Off-Site Habitat Creation'!$AF$11:$AF$256,'Off-site gain site summary'!B50,'D-2 Off-Site Habitat Creation'!$AB$11:$AB$256))</f>
        <v/>
      </c>
      <c r="J50" s="999" t="str">
        <f>IF(B50="","",SUMIF('D-2 Off-Site Habitat Creation'!$AF$11:$AF$256,'Off-site gain site summary'!B50,'D-2 Off-Site Habitat Creation'!$AA$11:$AA$256))</f>
        <v/>
      </c>
      <c r="K50" s="1000" t="str">
        <f t="shared" si="0"/>
        <v/>
      </c>
      <c r="L50" s="997" t="str">
        <f>IF(ISBLANK(B50),"",IFERROR(_xlfn.XLOOKUP(B50,'D-2 Off-Site Habitat Creation'!$AF$11:$AF$256,'D-2 Off-Site Habitat Creation'!$Z$11:$Z$256),IFERROR(_xlfn.XLOOKUP(B50,'D-1 Off-Site Habitat Baseline'!AF$11:AF$258,'D-1 Off-Site Habitat Baseline'!S$11:S$258)," ")))</f>
        <v/>
      </c>
      <c r="M50" s="983" t="str">
        <f t="shared" si="1"/>
        <v/>
      </c>
      <c r="N50" s="988">
        <f>'E-1 Off-Site Hedge Baseline'!AB53</f>
        <v>0</v>
      </c>
      <c r="O50" s="996"/>
      <c r="P50" s="1000" t="str">
        <f>IF(O50="","",SUMIF('E-1 Off-Site Hedge Baseline'!AB$10:AB$257,'Off-site gain site summary'!O50,'E-1 Off-Site Hedge Baseline'!Q$10:Q$257))</f>
        <v/>
      </c>
      <c r="Q50" s="1000" t="str">
        <f>IF(O50="","",SUMIF('E-1 Off-Site Hedge Baseline'!AB$10:AB$257,O50,'E-1 Off-Site Hedge Baseline'!N$10:N$257))</f>
        <v/>
      </c>
      <c r="R50" s="1000" t="str">
        <f>IF(O50="","",SUMIF('E-1 Off-Site Hedge Baseline'!$AB$10:$AB$257,'Off-site gain site summary'!$O50,'E-1 Off-Site Hedge Baseline'!$U$10:$U$257))</f>
        <v/>
      </c>
      <c r="S50" s="1000" t="str">
        <f>IF(O50="","",SUMIF('E-1 Off-Site Hedge Baseline'!$AB$10:$AB$257,'Off-site gain site summary'!$O50,'E-1 Off-Site Hedge Baseline'!$AY$10:$AY$257))</f>
        <v/>
      </c>
      <c r="T50" s="1000" t="str">
        <f>IF(O50="","",SUMIF('E-3 Off-Site Hedge Enhancement'!$AO$12:$AO$257,'Off-site gain site summary'!$O50,'E-3 Off-Site Hedge Enhancement'!$AK$12:$AK$257))</f>
        <v/>
      </c>
      <c r="U50" s="1000" t="str">
        <f>IF(O50="","",SUMIF('E-3 Off-Site Hedge Enhancement'!$AO$12:$AO$257,'Off-site gain site summary'!$O50,'E-3 Off-Site Hedge Enhancement'!$AJ$12:$AJ$257))</f>
        <v/>
      </c>
      <c r="V50" s="1000" t="str">
        <f>IF(O50="","",SUMIF('E-2 Off-Site Hedge Creation'!$AD$12:$AD$259,'Off-site gain site summary'!$O50,'E-2 Off-Site Hedge Creation'!$Z$12:$Z$259))</f>
        <v/>
      </c>
      <c r="W50" s="991" t="str">
        <f>IF(O50="","",SUMIF('E-2 Off-Site Hedge Creation'!$AD$12:$AD$259,'Off-site gain site summary'!$O50,'E-2 Off-Site Hedge Creation'!$Y$12:$Y$259))</f>
        <v/>
      </c>
      <c r="X50" s="991" t="str">
        <f t="shared" si="2"/>
        <v/>
      </c>
      <c r="Y50" s="991" t="str">
        <f>IF(ISBLANK(O50),"",IFERROR(_xlfn.XLOOKUP(O50,'E-2 Off-Site Hedge Creation'!$AD$12:$AD$259,'E-2 Off-Site Hedge Creation'!$N$12:$N$259),IFERROR(_xlfn.XLOOKUP(O50,'E-1 Off-Site Hedge Baseline'!$AB$10:$AB$257,'E-1 Off-Site Hedge Baseline'!$P$10:$P$257)," ")))</f>
        <v/>
      </c>
      <c r="Z50" s="986" t="str">
        <f t="shared" si="3"/>
        <v/>
      </c>
      <c r="AA50" s="992">
        <f>'F-1 Off-Site WaterC'' Baseline'!AH53</f>
        <v>0</v>
      </c>
      <c r="AB50" s="996"/>
      <c r="AC50" s="1000" t="str">
        <f>IF(AB50="","",SUMIF('F-1 Off-Site WaterC'' Baseline'!$AH$10:$AH$257,'Off-site gain site summary'!$AB50,'F-1 Off-Site WaterC'' Baseline'!$U$10:$U$257))</f>
        <v/>
      </c>
      <c r="AD50" s="1000" t="str">
        <f>IF(AB50="","",SUMIF('F-1 Off-Site WaterC'' Baseline'!$AH$10:$AH$257,'Off-site gain site summary'!$AB50,'F-1 Off-Site WaterC'' Baseline'!$R$10:$R$257))</f>
        <v/>
      </c>
      <c r="AE50" s="1000" t="str">
        <f>IF(AB50="","",SUMIF('F-1 Off-Site WaterC'' Baseline'!$AH$10:$AH$257,'Off-site gain site summary'!$AB50,'F-1 Off-Site WaterC'' Baseline'!$Z$10:$Z$257))</f>
        <v/>
      </c>
      <c r="AF50" s="1000" t="str">
        <f>IF(AB50="","",SUMIF('F-1 Off-Site WaterC'' Baseline'!$AH$10:$AH$257,'Off-site gain site summary'!$AB50,'F-1 Off-Site WaterC'' Baseline'!$BA$10:$BA$257))</f>
        <v/>
      </c>
      <c r="AG50" s="1000" t="str">
        <f>IF(AB50="","",SUMIF('F-3 Off-Site WaterC Enhancement'!$AT$12:$AT$257,'Off-site gain site summary'!$AB50,'F-3 Off-Site WaterC Enhancement'!$AP$12:$AP$257))</f>
        <v/>
      </c>
      <c r="AH50" s="1000" t="str">
        <f>IF(AB50="","",SUMIF('F-3 Off-Site WaterC Enhancement'!$AT$12:$AT$257,'Off-site gain site summary'!$AB50,'F-3 Off-Site WaterC Enhancement'!$AO$12:$AO$257))</f>
        <v/>
      </c>
      <c r="AI50" s="1000" t="str">
        <f>IF(AB50="","",SUMIF('F-2 Off-Site WaterC'' Creation'!$AG$12:$AG$259,'Off-site gain site summary'!$AB50,'F-2 Off-Site WaterC'' Creation'!$AC$12:$AC$259))</f>
        <v/>
      </c>
      <c r="AJ50" s="1000" t="str">
        <f>IF(AB50="","",SUMIF('F-2 Off-Site WaterC'' Creation'!$AG$12:$AG$259,'Off-site gain site summary'!$AB50,'F-2 Off-Site WaterC'' Creation'!$AB$12:$AB$259))</f>
        <v/>
      </c>
      <c r="AK50" s="1000" t="str">
        <f t="shared" si="4"/>
        <v/>
      </c>
      <c r="AL50" s="1000" t="str">
        <f>IF(ISBLANK(AB50),"",IFERROR(_xlfn.XLOOKUP(AB50,'F-2 Off-Site WaterC'' Creation'!$AG$12:$AG$258,'F-2 Off-Site WaterC'' Creation'!$AA$12:$AA$258),IFERROR(_xlfn.XLOOKUP(AB50,'F-1 Off-Site WaterC'' Baseline'!$AH$10:$AH$257,'F-1 Off-Site WaterC'' Baseline'!$T$10:$T$257)," ")))</f>
        <v/>
      </c>
      <c r="AM50" s="986" t="str">
        <f t="shared" si="5"/>
        <v/>
      </c>
      <c r="AN50" s="1469"/>
      <c r="AO50" s="1469"/>
    </row>
    <row r="51" spans="1:41" s="992" customFormat="1" ht="43.5" customHeight="1">
      <c r="A51" s="988">
        <f>'D-1 Off-Site Habitat Baseline'!AF55</f>
        <v>0</v>
      </c>
      <c r="B51" s="996"/>
      <c r="C51" s="997" t="str">
        <f>IF(B51="","",SUMIF('D-1 Off-Site Habitat Baseline'!AF55:AF302,B51,'D-1 Off-Site Habitat Baseline'!T55:T302))</f>
        <v/>
      </c>
      <c r="D51" s="990" t="str">
        <f>IF(B51="","",SUMIF('D-1 Off-Site Habitat Baseline'!$AF$11:$AF$258,B51,'D-1 Off-Site Habitat Baseline'!$Q$11:$Q$258))</f>
        <v/>
      </c>
      <c r="E51" s="998" t="str">
        <f>IF(B51="","",SUMIF('D-1 Off-Site Habitat Baseline'!$AF$11:$AF$258,'Off-site gain site summary'!$B51,'D-1 Off-Site Habitat Baseline'!$X$11:$X$258))</f>
        <v/>
      </c>
      <c r="F51" s="999" t="str">
        <f>IF(B51="","",SUMIF('D-1 Off-Site Habitat Baseline'!$AF$11:$AF$258,'Off-site gain site summary'!$B51,'D-1 Off-Site Habitat Baseline'!$AY$11:$AY$258))</f>
        <v/>
      </c>
      <c r="G51" s="998" t="str">
        <f>IF(B51="","",SUMIF('D-3 Off-Site Habitat Enhancment'!$AU$12:$AU$258,'Off-site gain site summary'!B51,'D-3 Off-Site Habitat Enhancment'!$AQ$12:$AQ$258))</f>
        <v/>
      </c>
      <c r="H51" s="999" t="str">
        <f>IF(B51="","",SUMIF('D-3 Off-Site Habitat Enhancment'!$AU$12:$AU$258,'Off-site gain site summary'!B51,'D-3 Off-Site Habitat Enhancment'!$AP$12:$AP$258))</f>
        <v/>
      </c>
      <c r="I51" s="998" t="str">
        <f>IF(B51="","",SUMIF('D-2 Off-Site Habitat Creation'!$AF$11:$AF$256,'Off-site gain site summary'!B51,'D-2 Off-Site Habitat Creation'!$AB$11:$AB$256))</f>
        <v/>
      </c>
      <c r="J51" s="999" t="str">
        <f>IF(B51="","",SUMIF('D-2 Off-Site Habitat Creation'!$AF$11:$AF$256,'Off-site gain site summary'!B51,'D-2 Off-Site Habitat Creation'!$AA$11:$AA$256))</f>
        <v/>
      </c>
      <c r="K51" s="1000" t="str">
        <f t="shared" si="0"/>
        <v/>
      </c>
      <c r="L51" s="997" t="str">
        <f>IF(ISBLANK(B51),"",IFERROR(_xlfn.XLOOKUP(B51,'D-2 Off-Site Habitat Creation'!$AF$11:$AF$256,'D-2 Off-Site Habitat Creation'!$Z$11:$Z$256),IFERROR(_xlfn.XLOOKUP(B51,'D-1 Off-Site Habitat Baseline'!AF$11:AF$258,'D-1 Off-Site Habitat Baseline'!S$11:S$258)," ")))</f>
        <v/>
      </c>
      <c r="M51" s="983" t="str">
        <f t="shared" si="1"/>
        <v/>
      </c>
      <c r="N51" s="988">
        <f>'E-1 Off-Site Hedge Baseline'!AB54</f>
        <v>0</v>
      </c>
      <c r="O51" s="996"/>
      <c r="P51" s="1000" t="str">
        <f>IF(O51="","",SUMIF('E-1 Off-Site Hedge Baseline'!AB$10:AB$257,'Off-site gain site summary'!O51,'E-1 Off-Site Hedge Baseline'!Q$10:Q$257))</f>
        <v/>
      </c>
      <c r="Q51" s="1000" t="str">
        <f>IF(O51="","",SUMIF('E-1 Off-Site Hedge Baseline'!AB$10:AB$257,O51,'E-1 Off-Site Hedge Baseline'!N$10:N$257))</f>
        <v/>
      </c>
      <c r="R51" s="1000" t="str">
        <f>IF(O51="","",SUMIF('E-1 Off-Site Hedge Baseline'!$AB$10:$AB$257,'Off-site gain site summary'!$O51,'E-1 Off-Site Hedge Baseline'!$U$10:$U$257))</f>
        <v/>
      </c>
      <c r="S51" s="1000" t="str">
        <f>IF(O51="","",SUMIF('E-1 Off-Site Hedge Baseline'!$AB$10:$AB$257,'Off-site gain site summary'!$O51,'E-1 Off-Site Hedge Baseline'!$AY$10:$AY$257))</f>
        <v/>
      </c>
      <c r="T51" s="1000" t="str">
        <f>IF(O51="","",SUMIF('E-3 Off-Site Hedge Enhancement'!$AO$12:$AO$257,'Off-site gain site summary'!$O51,'E-3 Off-Site Hedge Enhancement'!$AK$12:$AK$257))</f>
        <v/>
      </c>
      <c r="U51" s="1000" t="str">
        <f>IF(O51="","",SUMIF('E-3 Off-Site Hedge Enhancement'!$AO$12:$AO$257,'Off-site gain site summary'!$O51,'E-3 Off-Site Hedge Enhancement'!$AJ$12:$AJ$257))</f>
        <v/>
      </c>
      <c r="V51" s="1000" t="str">
        <f>IF(O51="","",SUMIF('E-2 Off-Site Hedge Creation'!$AD$12:$AD$259,'Off-site gain site summary'!$O51,'E-2 Off-Site Hedge Creation'!$Z$12:$Z$259))</f>
        <v/>
      </c>
      <c r="W51" s="991" t="str">
        <f>IF(O51="","",SUMIF('E-2 Off-Site Hedge Creation'!$AD$12:$AD$259,'Off-site gain site summary'!$O51,'E-2 Off-Site Hedge Creation'!$Y$12:$Y$259))</f>
        <v/>
      </c>
      <c r="X51" s="991" t="str">
        <f t="shared" si="2"/>
        <v/>
      </c>
      <c r="Y51" s="991" t="str">
        <f>IF(ISBLANK(O51),"",IFERROR(_xlfn.XLOOKUP(O51,'E-2 Off-Site Hedge Creation'!$AD$12:$AD$259,'E-2 Off-Site Hedge Creation'!$N$12:$N$259),IFERROR(_xlfn.XLOOKUP(O51,'E-1 Off-Site Hedge Baseline'!$AB$10:$AB$257,'E-1 Off-Site Hedge Baseline'!$P$10:$P$257)," ")))</f>
        <v/>
      </c>
      <c r="Z51" s="986" t="str">
        <f t="shared" si="3"/>
        <v/>
      </c>
      <c r="AA51" s="992">
        <f>'F-1 Off-Site WaterC'' Baseline'!AH54</f>
        <v>0</v>
      </c>
      <c r="AB51" s="996"/>
      <c r="AC51" s="1000" t="str">
        <f>IF(AB51="","",SUMIF('F-1 Off-Site WaterC'' Baseline'!$AH$10:$AH$257,'Off-site gain site summary'!$AB51,'F-1 Off-Site WaterC'' Baseline'!$U$10:$U$257))</f>
        <v/>
      </c>
      <c r="AD51" s="1000" t="str">
        <f>IF(AB51="","",SUMIF('F-1 Off-Site WaterC'' Baseline'!$AH$10:$AH$257,'Off-site gain site summary'!$AB51,'F-1 Off-Site WaterC'' Baseline'!$R$10:$R$257))</f>
        <v/>
      </c>
      <c r="AE51" s="1000" t="str">
        <f>IF(AB51="","",SUMIF('F-1 Off-Site WaterC'' Baseline'!$AH$10:$AH$257,'Off-site gain site summary'!$AB51,'F-1 Off-Site WaterC'' Baseline'!$Z$10:$Z$257))</f>
        <v/>
      </c>
      <c r="AF51" s="1000" t="str">
        <f>IF(AB51="","",SUMIF('F-1 Off-Site WaterC'' Baseline'!$AH$10:$AH$257,'Off-site gain site summary'!$AB51,'F-1 Off-Site WaterC'' Baseline'!$BA$10:$BA$257))</f>
        <v/>
      </c>
      <c r="AG51" s="1000" t="str">
        <f>IF(AB51="","",SUMIF('F-3 Off-Site WaterC Enhancement'!$AT$12:$AT$257,'Off-site gain site summary'!$AB51,'F-3 Off-Site WaterC Enhancement'!$AP$12:$AP$257))</f>
        <v/>
      </c>
      <c r="AH51" s="1000" t="str">
        <f>IF(AB51="","",SUMIF('F-3 Off-Site WaterC Enhancement'!$AT$12:$AT$257,'Off-site gain site summary'!$AB51,'F-3 Off-Site WaterC Enhancement'!$AO$12:$AO$257))</f>
        <v/>
      </c>
      <c r="AI51" s="1000" t="str">
        <f>IF(AB51="","",SUMIF('F-2 Off-Site WaterC'' Creation'!$AG$12:$AG$259,'Off-site gain site summary'!$AB51,'F-2 Off-Site WaterC'' Creation'!$AC$12:$AC$259))</f>
        <v/>
      </c>
      <c r="AJ51" s="1000" t="str">
        <f>IF(AB51="","",SUMIF('F-2 Off-Site WaterC'' Creation'!$AG$12:$AG$259,'Off-site gain site summary'!$AB51,'F-2 Off-Site WaterC'' Creation'!$AB$12:$AB$259))</f>
        <v/>
      </c>
      <c r="AK51" s="1000" t="str">
        <f t="shared" si="4"/>
        <v/>
      </c>
      <c r="AL51" s="1000" t="str">
        <f>IF(ISBLANK(AB51),"",IFERROR(_xlfn.XLOOKUP(AB51,'F-2 Off-Site WaterC'' Creation'!$AG$12:$AG$258,'F-2 Off-Site WaterC'' Creation'!$AA$12:$AA$258),IFERROR(_xlfn.XLOOKUP(AB51,'F-1 Off-Site WaterC'' Baseline'!$AH$10:$AH$257,'F-1 Off-Site WaterC'' Baseline'!$T$10:$T$257)," ")))</f>
        <v/>
      </c>
      <c r="AM51" s="986" t="str">
        <f t="shared" si="5"/>
        <v/>
      </c>
      <c r="AN51" s="1469"/>
      <c r="AO51" s="1469"/>
    </row>
    <row r="52" spans="1:41" s="992" customFormat="1" ht="43.5" customHeight="1">
      <c r="A52" s="988">
        <f>'D-1 Off-Site Habitat Baseline'!AF56</f>
        <v>0</v>
      </c>
      <c r="B52" s="996"/>
      <c r="C52" s="997" t="str">
        <f>IF(B52="","",SUMIF('D-1 Off-Site Habitat Baseline'!AF56:AF303,B52,'D-1 Off-Site Habitat Baseline'!T56:T303))</f>
        <v/>
      </c>
      <c r="D52" s="990" t="str">
        <f>IF(B52="","",SUMIF('D-1 Off-Site Habitat Baseline'!$AF$11:$AF$258,B52,'D-1 Off-Site Habitat Baseline'!$Q$11:$Q$258))</f>
        <v/>
      </c>
      <c r="E52" s="998" t="str">
        <f>IF(B52="","",SUMIF('D-1 Off-Site Habitat Baseline'!$AF$11:$AF$258,'Off-site gain site summary'!$B52,'D-1 Off-Site Habitat Baseline'!$X$11:$X$258))</f>
        <v/>
      </c>
      <c r="F52" s="999" t="str">
        <f>IF(B52="","",SUMIF('D-1 Off-Site Habitat Baseline'!$AF$11:$AF$258,'Off-site gain site summary'!$B52,'D-1 Off-Site Habitat Baseline'!$AY$11:$AY$258))</f>
        <v/>
      </c>
      <c r="G52" s="998" t="str">
        <f>IF(B52="","",SUMIF('D-3 Off-Site Habitat Enhancment'!$AU$12:$AU$258,'Off-site gain site summary'!B52,'D-3 Off-Site Habitat Enhancment'!$AQ$12:$AQ$258))</f>
        <v/>
      </c>
      <c r="H52" s="999" t="str">
        <f>IF(B52="","",SUMIF('D-3 Off-Site Habitat Enhancment'!$AU$12:$AU$258,'Off-site gain site summary'!B52,'D-3 Off-Site Habitat Enhancment'!$AP$12:$AP$258))</f>
        <v/>
      </c>
      <c r="I52" s="998" t="str">
        <f>IF(B52="","",SUMIF('D-2 Off-Site Habitat Creation'!$AF$11:$AF$256,'Off-site gain site summary'!B52,'D-2 Off-Site Habitat Creation'!$AB$11:$AB$256))</f>
        <v/>
      </c>
      <c r="J52" s="999" t="str">
        <f>IF(B52="","",SUMIF('D-2 Off-Site Habitat Creation'!$AF$11:$AF$256,'Off-site gain site summary'!B52,'D-2 Off-Site Habitat Creation'!$AA$11:$AA$256))</f>
        <v/>
      </c>
      <c r="K52" s="1000" t="str">
        <f t="shared" si="0"/>
        <v/>
      </c>
      <c r="L52" s="997" t="str">
        <f>IF(ISBLANK(B52),"",IFERROR(_xlfn.XLOOKUP(B52,'D-2 Off-Site Habitat Creation'!$AF$11:$AF$256,'D-2 Off-Site Habitat Creation'!$Z$11:$Z$256),IFERROR(_xlfn.XLOOKUP(B52,'D-1 Off-Site Habitat Baseline'!AF$11:AF$258,'D-1 Off-Site Habitat Baseline'!S$11:S$258)," ")))</f>
        <v/>
      </c>
      <c r="M52" s="983" t="str">
        <f t="shared" si="1"/>
        <v/>
      </c>
      <c r="N52" s="988">
        <f>'E-1 Off-Site Hedge Baseline'!AB55</f>
        <v>0</v>
      </c>
      <c r="O52" s="996"/>
      <c r="P52" s="1000" t="str">
        <f>IF(O52="","",SUMIF('E-1 Off-Site Hedge Baseline'!AB$10:AB$257,'Off-site gain site summary'!O52,'E-1 Off-Site Hedge Baseline'!Q$10:Q$257))</f>
        <v/>
      </c>
      <c r="Q52" s="1000" t="str">
        <f>IF(O52="","",SUMIF('E-1 Off-Site Hedge Baseline'!AB$10:AB$257,O52,'E-1 Off-Site Hedge Baseline'!N$10:N$257))</f>
        <v/>
      </c>
      <c r="R52" s="1000" t="str">
        <f>IF(O52="","",SUMIF('E-1 Off-Site Hedge Baseline'!$AB$10:$AB$257,'Off-site gain site summary'!$O52,'E-1 Off-Site Hedge Baseline'!$U$10:$U$257))</f>
        <v/>
      </c>
      <c r="S52" s="1000" t="str">
        <f>IF(O52="","",SUMIF('E-1 Off-Site Hedge Baseline'!$AB$10:$AB$257,'Off-site gain site summary'!$O52,'E-1 Off-Site Hedge Baseline'!$AY$10:$AY$257))</f>
        <v/>
      </c>
      <c r="T52" s="1000" t="str">
        <f>IF(O52="","",SUMIF('E-3 Off-Site Hedge Enhancement'!$AO$12:$AO$257,'Off-site gain site summary'!$O52,'E-3 Off-Site Hedge Enhancement'!$AK$12:$AK$257))</f>
        <v/>
      </c>
      <c r="U52" s="1000" t="str">
        <f>IF(O52="","",SUMIF('E-3 Off-Site Hedge Enhancement'!$AO$12:$AO$257,'Off-site gain site summary'!$O52,'E-3 Off-Site Hedge Enhancement'!$AJ$12:$AJ$257))</f>
        <v/>
      </c>
      <c r="V52" s="1000" t="str">
        <f>IF(O52="","",SUMIF('E-2 Off-Site Hedge Creation'!$AD$12:$AD$259,'Off-site gain site summary'!$O52,'E-2 Off-Site Hedge Creation'!$Z$12:$Z$259))</f>
        <v/>
      </c>
      <c r="W52" s="991" t="str">
        <f>IF(O52="","",SUMIF('E-2 Off-Site Hedge Creation'!$AD$12:$AD$259,'Off-site gain site summary'!$O52,'E-2 Off-Site Hedge Creation'!$Y$12:$Y$259))</f>
        <v/>
      </c>
      <c r="X52" s="991" t="str">
        <f t="shared" si="2"/>
        <v/>
      </c>
      <c r="Y52" s="991" t="str">
        <f>IF(ISBLANK(O52),"",IFERROR(_xlfn.XLOOKUP(O52,'E-2 Off-Site Hedge Creation'!$AD$12:$AD$259,'E-2 Off-Site Hedge Creation'!$N$12:$N$259),IFERROR(_xlfn.XLOOKUP(O52,'E-1 Off-Site Hedge Baseline'!$AB$10:$AB$257,'E-1 Off-Site Hedge Baseline'!$P$10:$P$257)," ")))</f>
        <v/>
      </c>
      <c r="Z52" s="986" t="str">
        <f t="shared" si="3"/>
        <v/>
      </c>
      <c r="AA52" s="992">
        <f>'F-1 Off-Site WaterC'' Baseline'!AH55</f>
        <v>0</v>
      </c>
      <c r="AB52" s="996"/>
      <c r="AC52" s="1000" t="str">
        <f>IF(AB52="","",SUMIF('F-1 Off-Site WaterC'' Baseline'!$AH$10:$AH$257,'Off-site gain site summary'!$AB52,'F-1 Off-Site WaterC'' Baseline'!$U$10:$U$257))</f>
        <v/>
      </c>
      <c r="AD52" s="1000" t="str">
        <f>IF(AB52="","",SUMIF('F-1 Off-Site WaterC'' Baseline'!$AH$10:$AH$257,'Off-site gain site summary'!$AB52,'F-1 Off-Site WaterC'' Baseline'!$R$10:$R$257))</f>
        <v/>
      </c>
      <c r="AE52" s="1000" t="str">
        <f>IF(AB52="","",SUMIF('F-1 Off-Site WaterC'' Baseline'!$AH$10:$AH$257,'Off-site gain site summary'!$AB52,'F-1 Off-Site WaterC'' Baseline'!$Z$10:$Z$257))</f>
        <v/>
      </c>
      <c r="AF52" s="1000" t="str">
        <f>IF(AB52="","",SUMIF('F-1 Off-Site WaterC'' Baseline'!$AH$10:$AH$257,'Off-site gain site summary'!$AB52,'F-1 Off-Site WaterC'' Baseline'!$BA$10:$BA$257))</f>
        <v/>
      </c>
      <c r="AG52" s="1000" t="str">
        <f>IF(AB52="","",SUMIF('F-3 Off-Site WaterC Enhancement'!$AT$12:$AT$257,'Off-site gain site summary'!$AB52,'F-3 Off-Site WaterC Enhancement'!$AP$12:$AP$257))</f>
        <v/>
      </c>
      <c r="AH52" s="1000" t="str">
        <f>IF(AB52="","",SUMIF('F-3 Off-Site WaterC Enhancement'!$AT$12:$AT$257,'Off-site gain site summary'!$AB52,'F-3 Off-Site WaterC Enhancement'!$AO$12:$AO$257))</f>
        <v/>
      </c>
      <c r="AI52" s="1000" t="str">
        <f>IF(AB52="","",SUMIF('F-2 Off-Site WaterC'' Creation'!$AG$12:$AG$259,'Off-site gain site summary'!$AB52,'F-2 Off-Site WaterC'' Creation'!$AC$12:$AC$259))</f>
        <v/>
      </c>
      <c r="AJ52" s="1000" t="str">
        <f>IF(AB52="","",SUMIF('F-2 Off-Site WaterC'' Creation'!$AG$12:$AG$259,'Off-site gain site summary'!$AB52,'F-2 Off-Site WaterC'' Creation'!$AB$12:$AB$259))</f>
        <v/>
      </c>
      <c r="AK52" s="1000" t="str">
        <f t="shared" si="4"/>
        <v/>
      </c>
      <c r="AL52" s="1000" t="str">
        <f>IF(ISBLANK(AB52),"",IFERROR(_xlfn.XLOOKUP(AB52,'F-2 Off-Site WaterC'' Creation'!$AG$12:$AG$258,'F-2 Off-Site WaterC'' Creation'!$AA$12:$AA$258),IFERROR(_xlfn.XLOOKUP(AB52,'F-1 Off-Site WaterC'' Baseline'!$AH$10:$AH$257,'F-1 Off-Site WaterC'' Baseline'!$T$10:$T$257)," ")))</f>
        <v/>
      </c>
      <c r="AM52" s="986" t="str">
        <f t="shared" si="5"/>
        <v/>
      </c>
      <c r="AN52" s="1469"/>
      <c r="AO52" s="1469"/>
    </row>
    <row r="53" spans="1:41" s="992" customFormat="1" ht="43.5" customHeight="1">
      <c r="A53" s="988">
        <f>'D-1 Off-Site Habitat Baseline'!AF57</f>
        <v>0</v>
      </c>
      <c r="B53" s="996"/>
      <c r="C53" s="997" t="str">
        <f>IF(B53="","",SUMIF('D-1 Off-Site Habitat Baseline'!AF57:AF304,B53,'D-1 Off-Site Habitat Baseline'!T57:T304))</f>
        <v/>
      </c>
      <c r="D53" s="990" t="str">
        <f>IF(B53="","",SUMIF('D-1 Off-Site Habitat Baseline'!$AF$11:$AF$258,B53,'D-1 Off-Site Habitat Baseline'!$Q$11:$Q$258))</f>
        <v/>
      </c>
      <c r="E53" s="998" t="str">
        <f>IF(B53="","",SUMIF('D-1 Off-Site Habitat Baseline'!$AF$11:$AF$258,'Off-site gain site summary'!$B53,'D-1 Off-Site Habitat Baseline'!$X$11:$X$258))</f>
        <v/>
      </c>
      <c r="F53" s="999" t="str">
        <f>IF(B53="","",SUMIF('D-1 Off-Site Habitat Baseline'!$AF$11:$AF$258,'Off-site gain site summary'!$B53,'D-1 Off-Site Habitat Baseline'!$AY$11:$AY$258))</f>
        <v/>
      </c>
      <c r="G53" s="998" t="str">
        <f>IF(B53="","",SUMIF('D-3 Off-Site Habitat Enhancment'!$AU$12:$AU$258,'Off-site gain site summary'!B53,'D-3 Off-Site Habitat Enhancment'!$AQ$12:$AQ$258))</f>
        <v/>
      </c>
      <c r="H53" s="999" t="str">
        <f>IF(B53="","",SUMIF('D-3 Off-Site Habitat Enhancment'!$AU$12:$AU$258,'Off-site gain site summary'!B53,'D-3 Off-Site Habitat Enhancment'!$AP$12:$AP$258))</f>
        <v/>
      </c>
      <c r="I53" s="998" t="str">
        <f>IF(B53="","",SUMIF('D-2 Off-Site Habitat Creation'!$AF$11:$AF$256,'Off-site gain site summary'!B53,'D-2 Off-Site Habitat Creation'!$AB$11:$AB$256))</f>
        <v/>
      </c>
      <c r="J53" s="999" t="str">
        <f>IF(B53="","",SUMIF('D-2 Off-Site Habitat Creation'!$AF$11:$AF$256,'Off-site gain site summary'!B53,'D-2 Off-Site Habitat Creation'!$AA$11:$AA$256))</f>
        <v/>
      </c>
      <c r="K53" s="1000" t="str">
        <f t="shared" si="0"/>
        <v/>
      </c>
      <c r="L53" s="997" t="str">
        <f>IF(ISBLANK(B53),"",IFERROR(_xlfn.XLOOKUP(B53,'D-2 Off-Site Habitat Creation'!$AF$11:$AF$256,'D-2 Off-Site Habitat Creation'!$Z$11:$Z$256),IFERROR(_xlfn.XLOOKUP(B53,'D-1 Off-Site Habitat Baseline'!AF$11:AF$258,'D-1 Off-Site Habitat Baseline'!S$11:S$258)," ")))</f>
        <v/>
      </c>
      <c r="M53" s="983" t="str">
        <f t="shared" si="1"/>
        <v/>
      </c>
      <c r="N53" s="988">
        <f>'E-1 Off-Site Hedge Baseline'!AB56</f>
        <v>0</v>
      </c>
      <c r="O53" s="996"/>
      <c r="P53" s="1000" t="str">
        <f>IF(O53="","",SUMIF('E-1 Off-Site Hedge Baseline'!AB$10:AB$257,'Off-site gain site summary'!O53,'E-1 Off-Site Hedge Baseline'!Q$10:Q$257))</f>
        <v/>
      </c>
      <c r="Q53" s="1000" t="str">
        <f>IF(O53="","",SUMIF('E-1 Off-Site Hedge Baseline'!AB$10:AB$257,O53,'E-1 Off-Site Hedge Baseline'!N$10:N$257))</f>
        <v/>
      </c>
      <c r="R53" s="1000" t="str">
        <f>IF(O53="","",SUMIF('E-1 Off-Site Hedge Baseline'!$AB$10:$AB$257,'Off-site gain site summary'!$O53,'E-1 Off-Site Hedge Baseline'!$U$10:$U$257))</f>
        <v/>
      </c>
      <c r="S53" s="1000" t="str">
        <f>IF(O53="","",SUMIF('E-1 Off-Site Hedge Baseline'!$AB$10:$AB$257,'Off-site gain site summary'!$O53,'E-1 Off-Site Hedge Baseline'!$AY$10:$AY$257))</f>
        <v/>
      </c>
      <c r="T53" s="1000" t="str">
        <f>IF(O53="","",SUMIF('E-3 Off-Site Hedge Enhancement'!$AO$12:$AO$257,'Off-site gain site summary'!$O53,'E-3 Off-Site Hedge Enhancement'!$AK$12:$AK$257))</f>
        <v/>
      </c>
      <c r="U53" s="1000" t="str">
        <f>IF(O53="","",SUMIF('E-3 Off-Site Hedge Enhancement'!$AO$12:$AO$257,'Off-site gain site summary'!$O53,'E-3 Off-Site Hedge Enhancement'!$AJ$12:$AJ$257))</f>
        <v/>
      </c>
      <c r="V53" s="1000" t="str">
        <f>IF(O53="","",SUMIF('E-2 Off-Site Hedge Creation'!$AD$12:$AD$259,'Off-site gain site summary'!$O53,'E-2 Off-Site Hedge Creation'!$Z$12:$Z$259))</f>
        <v/>
      </c>
      <c r="W53" s="991" t="str">
        <f>IF(O53="","",SUMIF('E-2 Off-Site Hedge Creation'!$AD$12:$AD$259,'Off-site gain site summary'!$O53,'E-2 Off-Site Hedge Creation'!$Y$12:$Y$259))</f>
        <v/>
      </c>
      <c r="X53" s="991" t="str">
        <f t="shared" si="2"/>
        <v/>
      </c>
      <c r="Y53" s="991" t="str">
        <f>IF(ISBLANK(O53),"",IFERROR(_xlfn.XLOOKUP(O53,'E-2 Off-Site Hedge Creation'!$AD$12:$AD$259,'E-2 Off-Site Hedge Creation'!$N$12:$N$259),IFERROR(_xlfn.XLOOKUP(O53,'E-1 Off-Site Hedge Baseline'!$AB$10:$AB$257,'E-1 Off-Site Hedge Baseline'!$P$10:$P$257)," ")))</f>
        <v/>
      </c>
      <c r="Z53" s="986" t="str">
        <f t="shared" si="3"/>
        <v/>
      </c>
      <c r="AA53" s="992">
        <f>'F-1 Off-Site WaterC'' Baseline'!AH56</f>
        <v>0</v>
      </c>
      <c r="AB53" s="996"/>
      <c r="AC53" s="1000" t="str">
        <f>IF(AB53="","",SUMIF('F-1 Off-Site WaterC'' Baseline'!$AH$10:$AH$257,'Off-site gain site summary'!$AB53,'F-1 Off-Site WaterC'' Baseline'!$U$10:$U$257))</f>
        <v/>
      </c>
      <c r="AD53" s="1000" t="str">
        <f>IF(AB53="","",SUMIF('F-1 Off-Site WaterC'' Baseline'!$AH$10:$AH$257,'Off-site gain site summary'!$AB53,'F-1 Off-Site WaterC'' Baseline'!$R$10:$R$257))</f>
        <v/>
      </c>
      <c r="AE53" s="1000" t="str">
        <f>IF(AB53="","",SUMIF('F-1 Off-Site WaterC'' Baseline'!$AH$10:$AH$257,'Off-site gain site summary'!$AB53,'F-1 Off-Site WaterC'' Baseline'!$Z$10:$Z$257))</f>
        <v/>
      </c>
      <c r="AF53" s="1000" t="str">
        <f>IF(AB53="","",SUMIF('F-1 Off-Site WaterC'' Baseline'!$AH$10:$AH$257,'Off-site gain site summary'!$AB53,'F-1 Off-Site WaterC'' Baseline'!$BA$10:$BA$257))</f>
        <v/>
      </c>
      <c r="AG53" s="1000" t="str">
        <f>IF(AB53="","",SUMIF('F-3 Off-Site WaterC Enhancement'!$AT$12:$AT$257,'Off-site gain site summary'!$AB53,'F-3 Off-Site WaterC Enhancement'!$AP$12:$AP$257))</f>
        <v/>
      </c>
      <c r="AH53" s="1000" t="str">
        <f>IF(AB53="","",SUMIF('F-3 Off-Site WaterC Enhancement'!$AT$12:$AT$257,'Off-site gain site summary'!$AB53,'F-3 Off-Site WaterC Enhancement'!$AO$12:$AO$257))</f>
        <v/>
      </c>
      <c r="AI53" s="1000" t="str">
        <f>IF(AB53="","",SUMIF('F-2 Off-Site WaterC'' Creation'!$AG$12:$AG$259,'Off-site gain site summary'!$AB53,'F-2 Off-Site WaterC'' Creation'!$AC$12:$AC$259))</f>
        <v/>
      </c>
      <c r="AJ53" s="1000" t="str">
        <f>IF(AB53="","",SUMIF('F-2 Off-Site WaterC'' Creation'!$AG$12:$AG$259,'Off-site gain site summary'!$AB53,'F-2 Off-Site WaterC'' Creation'!$AB$12:$AB$259))</f>
        <v/>
      </c>
      <c r="AK53" s="1000" t="str">
        <f t="shared" si="4"/>
        <v/>
      </c>
      <c r="AL53" s="1000" t="str">
        <f>IF(ISBLANK(AB53),"",IFERROR(_xlfn.XLOOKUP(AB53,'F-2 Off-Site WaterC'' Creation'!$AG$12:$AG$258,'F-2 Off-Site WaterC'' Creation'!$AA$12:$AA$258),IFERROR(_xlfn.XLOOKUP(AB53,'F-1 Off-Site WaterC'' Baseline'!$AH$10:$AH$257,'F-1 Off-Site WaterC'' Baseline'!$T$10:$T$257)," ")))</f>
        <v/>
      </c>
      <c r="AM53" s="986" t="str">
        <f t="shared" si="5"/>
        <v/>
      </c>
      <c r="AN53" s="1469"/>
      <c r="AO53" s="1469"/>
    </row>
    <row r="54" spans="1:41" s="992" customFormat="1" ht="43.5" customHeight="1">
      <c r="A54" s="988">
        <f>'D-1 Off-Site Habitat Baseline'!AF58</f>
        <v>0</v>
      </c>
      <c r="B54" s="996"/>
      <c r="C54" s="997" t="str">
        <f>IF(B54="","",SUMIF('D-1 Off-Site Habitat Baseline'!AF58:AF305,B54,'D-1 Off-Site Habitat Baseline'!T58:T305))</f>
        <v/>
      </c>
      <c r="D54" s="990" t="str">
        <f>IF(B54="","",SUMIF('D-1 Off-Site Habitat Baseline'!$AF$11:$AF$258,B54,'D-1 Off-Site Habitat Baseline'!$Q$11:$Q$258))</f>
        <v/>
      </c>
      <c r="E54" s="998" t="str">
        <f>IF(B54="","",SUMIF('D-1 Off-Site Habitat Baseline'!$AF$11:$AF$258,'Off-site gain site summary'!$B54,'D-1 Off-Site Habitat Baseline'!$X$11:$X$258))</f>
        <v/>
      </c>
      <c r="F54" s="999" t="str">
        <f>IF(B54="","",SUMIF('D-1 Off-Site Habitat Baseline'!$AF$11:$AF$258,'Off-site gain site summary'!$B54,'D-1 Off-Site Habitat Baseline'!$AY$11:$AY$258))</f>
        <v/>
      </c>
      <c r="G54" s="998" t="str">
        <f>IF(B54="","",SUMIF('D-3 Off-Site Habitat Enhancment'!$AU$12:$AU$258,'Off-site gain site summary'!B54,'D-3 Off-Site Habitat Enhancment'!$AQ$12:$AQ$258))</f>
        <v/>
      </c>
      <c r="H54" s="999" t="str">
        <f>IF(B54="","",SUMIF('D-3 Off-Site Habitat Enhancment'!$AU$12:$AU$258,'Off-site gain site summary'!B54,'D-3 Off-Site Habitat Enhancment'!$AP$12:$AP$258))</f>
        <v/>
      </c>
      <c r="I54" s="998" t="str">
        <f>IF(B54="","",SUMIF('D-2 Off-Site Habitat Creation'!$AF$11:$AF$256,'Off-site gain site summary'!B54,'D-2 Off-Site Habitat Creation'!$AB$11:$AB$256))</f>
        <v/>
      </c>
      <c r="J54" s="999" t="str">
        <f>IF(B54="","",SUMIF('D-2 Off-Site Habitat Creation'!$AF$11:$AF$256,'Off-site gain site summary'!B54,'D-2 Off-Site Habitat Creation'!$AA$11:$AA$256))</f>
        <v/>
      </c>
      <c r="K54" s="1000" t="str">
        <f t="shared" si="0"/>
        <v/>
      </c>
      <c r="L54" s="997" t="str">
        <f>IF(ISBLANK(B54),"",IFERROR(_xlfn.XLOOKUP(B54,'D-2 Off-Site Habitat Creation'!$AF$11:$AF$256,'D-2 Off-Site Habitat Creation'!$Z$11:$Z$256),IFERROR(_xlfn.XLOOKUP(B54,'D-1 Off-Site Habitat Baseline'!AF$11:AF$258,'D-1 Off-Site Habitat Baseline'!S$11:S$258)," ")))</f>
        <v/>
      </c>
      <c r="M54" s="983" t="str">
        <f t="shared" si="1"/>
        <v/>
      </c>
      <c r="N54" s="988">
        <f>'E-1 Off-Site Hedge Baseline'!AB57</f>
        <v>0</v>
      </c>
      <c r="O54" s="996"/>
      <c r="P54" s="1000" t="str">
        <f>IF(O54="","",SUMIF('E-1 Off-Site Hedge Baseline'!AB$10:AB$257,'Off-site gain site summary'!O54,'E-1 Off-Site Hedge Baseline'!Q$10:Q$257))</f>
        <v/>
      </c>
      <c r="Q54" s="1000" t="str">
        <f>IF(O54="","",SUMIF('E-1 Off-Site Hedge Baseline'!AB$10:AB$257,O54,'E-1 Off-Site Hedge Baseline'!N$10:N$257))</f>
        <v/>
      </c>
      <c r="R54" s="1000" t="str">
        <f>IF(O54="","",SUMIF('E-1 Off-Site Hedge Baseline'!$AB$10:$AB$257,'Off-site gain site summary'!$O54,'E-1 Off-Site Hedge Baseline'!$U$10:$U$257))</f>
        <v/>
      </c>
      <c r="S54" s="1000" t="str">
        <f>IF(O54="","",SUMIF('E-1 Off-Site Hedge Baseline'!$AB$10:$AB$257,'Off-site gain site summary'!$O54,'E-1 Off-Site Hedge Baseline'!$AY$10:$AY$257))</f>
        <v/>
      </c>
      <c r="T54" s="1000" t="str">
        <f>IF(O54="","",SUMIF('E-3 Off-Site Hedge Enhancement'!$AO$12:$AO$257,'Off-site gain site summary'!$O54,'E-3 Off-Site Hedge Enhancement'!$AK$12:$AK$257))</f>
        <v/>
      </c>
      <c r="U54" s="1000" t="str">
        <f>IF(O54="","",SUMIF('E-3 Off-Site Hedge Enhancement'!$AO$12:$AO$257,'Off-site gain site summary'!$O54,'E-3 Off-Site Hedge Enhancement'!$AJ$12:$AJ$257))</f>
        <v/>
      </c>
      <c r="V54" s="1000" t="str">
        <f>IF(O54="","",SUMIF('E-2 Off-Site Hedge Creation'!$AD$12:$AD$259,'Off-site gain site summary'!$O54,'E-2 Off-Site Hedge Creation'!$Z$12:$Z$259))</f>
        <v/>
      </c>
      <c r="W54" s="991" t="str">
        <f>IF(O54="","",SUMIF('E-2 Off-Site Hedge Creation'!$AD$12:$AD$259,'Off-site gain site summary'!$O54,'E-2 Off-Site Hedge Creation'!$Y$12:$Y$259))</f>
        <v/>
      </c>
      <c r="X54" s="991" t="str">
        <f t="shared" si="2"/>
        <v/>
      </c>
      <c r="Y54" s="991" t="str">
        <f>IF(ISBLANK(O54),"",IFERROR(_xlfn.XLOOKUP(O54,'E-2 Off-Site Hedge Creation'!$AD$12:$AD$259,'E-2 Off-Site Hedge Creation'!$N$12:$N$259),IFERROR(_xlfn.XLOOKUP(O54,'E-1 Off-Site Hedge Baseline'!$AB$10:$AB$257,'E-1 Off-Site Hedge Baseline'!$P$10:$P$257)," ")))</f>
        <v/>
      </c>
      <c r="Z54" s="986" t="str">
        <f t="shared" si="3"/>
        <v/>
      </c>
      <c r="AA54" s="992">
        <f>'F-1 Off-Site WaterC'' Baseline'!AH57</f>
        <v>0</v>
      </c>
      <c r="AB54" s="996"/>
      <c r="AC54" s="1000" t="str">
        <f>IF(AB54="","",SUMIF('F-1 Off-Site WaterC'' Baseline'!$AH$10:$AH$257,'Off-site gain site summary'!$AB54,'F-1 Off-Site WaterC'' Baseline'!$U$10:$U$257))</f>
        <v/>
      </c>
      <c r="AD54" s="1000" t="str">
        <f>IF(AB54="","",SUMIF('F-1 Off-Site WaterC'' Baseline'!$AH$10:$AH$257,'Off-site gain site summary'!$AB54,'F-1 Off-Site WaterC'' Baseline'!$R$10:$R$257))</f>
        <v/>
      </c>
      <c r="AE54" s="1000" t="str">
        <f>IF(AB54="","",SUMIF('F-1 Off-Site WaterC'' Baseline'!$AH$10:$AH$257,'Off-site gain site summary'!$AB54,'F-1 Off-Site WaterC'' Baseline'!$Z$10:$Z$257))</f>
        <v/>
      </c>
      <c r="AF54" s="1000" t="str">
        <f>IF(AB54="","",SUMIF('F-1 Off-Site WaterC'' Baseline'!$AH$10:$AH$257,'Off-site gain site summary'!$AB54,'F-1 Off-Site WaterC'' Baseline'!$BA$10:$BA$257))</f>
        <v/>
      </c>
      <c r="AG54" s="1000" t="str">
        <f>IF(AB54="","",SUMIF('F-3 Off-Site WaterC Enhancement'!$AT$12:$AT$257,'Off-site gain site summary'!$AB54,'F-3 Off-Site WaterC Enhancement'!$AP$12:$AP$257))</f>
        <v/>
      </c>
      <c r="AH54" s="1000" t="str">
        <f>IF(AB54="","",SUMIF('F-3 Off-Site WaterC Enhancement'!$AT$12:$AT$257,'Off-site gain site summary'!$AB54,'F-3 Off-Site WaterC Enhancement'!$AO$12:$AO$257))</f>
        <v/>
      </c>
      <c r="AI54" s="1000" t="str">
        <f>IF(AB54="","",SUMIF('F-2 Off-Site WaterC'' Creation'!$AG$12:$AG$259,'Off-site gain site summary'!$AB54,'F-2 Off-Site WaterC'' Creation'!$AC$12:$AC$259))</f>
        <v/>
      </c>
      <c r="AJ54" s="1000" t="str">
        <f>IF(AB54="","",SUMIF('F-2 Off-Site WaterC'' Creation'!$AG$12:$AG$259,'Off-site gain site summary'!$AB54,'F-2 Off-Site WaterC'' Creation'!$AB$12:$AB$259))</f>
        <v/>
      </c>
      <c r="AK54" s="1000" t="str">
        <f t="shared" si="4"/>
        <v/>
      </c>
      <c r="AL54" s="1000" t="str">
        <f>IF(ISBLANK(AB54),"",IFERROR(_xlfn.XLOOKUP(AB54,'F-2 Off-Site WaterC'' Creation'!$AG$12:$AG$258,'F-2 Off-Site WaterC'' Creation'!$AA$12:$AA$258),IFERROR(_xlfn.XLOOKUP(AB54,'F-1 Off-Site WaterC'' Baseline'!$AH$10:$AH$257,'F-1 Off-Site WaterC'' Baseline'!$T$10:$T$257)," ")))</f>
        <v/>
      </c>
      <c r="AM54" s="986" t="str">
        <f t="shared" si="5"/>
        <v/>
      </c>
      <c r="AN54" s="1469"/>
      <c r="AO54" s="1469"/>
    </row>
    <row r="55" spans="1:41" s="992" customFormat="1" ht="43.5" customHeight="1">
      <c r="A55" s="988">
        <f>'D-1 Off-Site Habitat Baseline'!AF59</f>
        <v>0</v>
      </c>
      <c r="B55" s="996"/>
      <c r="C55" s="997" t="str">
        <f>IF(B55="","",SUMIF('D-1 Off-Site Habitat Baseline'!AF59:AF306,B55,'D-1 Off-Site Habitat Baseline'!T59:T306))</f>
        <v/>
      </c>
      <c r="D55" s="990" t="str">
        <f>IF(B55="","",SUMIF('D-1 Off-Site Habitat Baseline'!$AF$11:$AF$258,B55,'D-1 Off-Site Habitat Baseline'!$Q$11:$Q$258))</f>
        <v/>
      </c>
      <c r="E55" s="998" t="str">
        <f>IF(B55="","",SUMIF('D-1 Off-Site Habitat Baseline'!$AF$11:$AF$258,'Off-site gain site summary'!$B55,'D-1 Off-Site Habitat Baseline'!$X$11:$X$258))</f>
        <v/>
      </c>
      <c r="F55" s="999" t="str">
        <f>IF(B55="","",SUMIF('D-1 Off-Site Habitat Baseline'!$AF$11:$AF$258,'Off-site gain site summary'!$B55,'D-1 Off-Site Habitat Baseline'!$AY$11:$AY$258))</f>
        <v/>
      </c>
      <c r="G55" s="998" t="str">
        <f>IF(B55="","",SUMIF('D-3 Off-Site Habitat Enhancment'!$AU$12:$AU$258,'Off-site gain site summary'!B55,'D-3 Off-Site Habitat Enhancment'!$AQ$12:$AQ$258))</f>
        <v/>
      </c>
      <c r="H55" s="999" t="str">
        <f>IF(B55="","",SUMIF('D-3 Off-Site Habitat Enhancment'!$AU$12:$AU$258,'Off-site gain site summary'!B55,'D-3 Off-Site Habitat Enhancment'!$AP$12:$AP$258))</f>
        <v/>
      </c>
      <c r="I55" s="998" t="str">
        <f>IF(B55="","",SUMIF('D-2 Off-Site Habitat Creation'!$AF$11:$AF$256,'Off-site gain site summary'!B55,'D-2 Off-Site Habitat Creation'!$AB$11:$AB$256))</f>
        <v/>
      </c>
      <c r="J55" s="999" t="str">
        <f>IF(B55="","",SUMIF('D-2 Off-Site Habitat Creation'!$AF$11:$AF$256,'Off-site gain site summary'!B55,'D-2 Off-Site Habitat Creation'!$AA$11:$AA$256))</f>
        <v/>
      </c>
      <c r="K55" s="1000" t="str">
        <f t="shared" si="0"/>
        <v/>
      </c>
      <c r="L55" s="997" t="str">
        <f>IF(ISBLANK(B55),"",IFERROR(_xlfn.XLOOKUP(B55,'D-2 Off-Site Habitat Creation'!$AF$11:$AF$256,'D-2 Off-Site Habitat Creation'!$Z$11:$Z$256),IFERROR(_xlfn.XLOOKUP(B55,'D-1 Off-Site Habitat Baseline'!AF$11:AF$258,'D-1 Off-Site Habitat Baseline'!S$11:S$258)," ")))</f>
        <v/>
      </c>
      <c r="M55" s="983" t="str">
        <f t="shared" si="1"/>
        <v/>
      </c>
      <c r="N55" s="988">
        <f>'E-1 Off-Site Hedge Baseline'!AB58</f>
        <v>0</v>
      </c>
      <c r="O55" s="996"/>
      <c r="P55" s="1000" t="str">
        <f>IF(O55="","",SUMIF('E-1 Off-Site Hedge Baseline'!AB$10:AB$257,'Off-site gain site summary'!O55,'E-1 Off-Site Hedge Baseline'!Q$10:Q$257))</f>
        <v/>
      </c>
      <c r="Q55" s="1000" t="str">
        <f>IF(O55="","",SUMIF('E-1 Off-Site Hedge Baseline'!AB$10:AB$257,O55,'E-1 Off-Site Hedge Baseline'!N$10:N$257))</f>
        <v/>
      </c>
      <c r="R55" s="1000" t="str">
        <f>IF(O55="","",SUMIF('E-1 Off-Site Hedge Baseline'!$AB$10:$AB$257,'Off-site gain site summary'!$O55,'E-1 Off-Site Hedge Baseline'!$U$10:$U$257))</f>
        <v/>
      </c>
      <c r="S55" s="1000" t="str">
        <f>IF(O55="","",SUMIF('E-1 Off-Site Hedge Baseline'!$AB$10:$AB$257,'Off-site gain site summary'!$O55,'E-1 Off-Site Hedge Baseline'!$AY$10:$AY$257))</f>
        <v/>
      </c>
      <c r="T55" s="1000" t="str">
        <f>IF(O55="","",SUMIF('E-3 Off-Site Hedge Enhancement'!$AO$12:$AO$257,'Off-site gain site summary'!$O55,'E-3 Off-Site Hedge Enhancement'!$AK$12:$AK$257))</f>
        <v/>
      </c>
      <c r="U55" s="1000" t="str">
        <f>IF(O55="","",SUMIF('E-3 Off-Site Hedge Enhancement'!$AO$12:$AO$257,'Off-site gain site summary'!$O55,'E-3 Off-Site Hedge Enhancement'!$AJ$12:$AJ$257))</f>
        <v/>
      </c>
      <c r="V55" s="1000" t="str">
        <f>IF(O55="","",SUMIF('E-2 Off-Site Hedge Creation'!$AD$12:$AD$259,'Off-site gain site summary'!$O55,'E-2 Off-Site Hedge Creation'!$Z$12:$Z$259))</f>
        <v/>
      </c>
      <c r="W55" s="991" t="str">
        <f>IF(O55="","",SUMIF('E-2 Off-Site Hedge Creation'!$AD$12:$AD$259,'Off-site gain site summary'!$O55,'E-2 Off-Site Hedge Creation'!$Y$12:$Y$259))</f>
        <v/>
      </c>
      <c r="X55" s="991" t="str">
        <f t="shared" si="2"/>
        <v/>
      </c>
      <c r="Y55" s="991" t="str">
        <f>IF(ISBLANK(O55),"",IFERROR(_xlfn.XLOOKUP(O55,'E-2 Off-Site Hedge Creation'!$AD$12:$AD$259,'E-2 Off-Site Hedge Creation'!$N$12:$N$259),IFERROR(_xlfn.XLOOKUP(O55,'E-1 Off-Site Hedge Baseline'!$AB$10:$AB$257,'E-1 Off-Site Hedge Baseline'!$P$10:$P$257)," ")))</f>
        <v/>
      </c>
      <c r="Z55" s="986" t="str">
        <f t="shared" si="3"/>
        <v/>
      </c>
      <c r="AA55" s="992">
        <f>'F-1 Off-Site WaterC'' Baseline'!AH58</f>
        <v>0</v>
      </c>
      <c r="AB55" s="996"/>
      <c r="AC55" s="1000" t="str">
        <f>IF(AB55="","",SUMIF('F-1 Off-Site WaterC'' Baseline'!$AH$10:$AH$257,'Off-site gain site summary'!$AB55,'F-1 Off-Site WaterC'' Baseline'!$U$10:$U$257))</f>
        <v/>
      </c>
      <c r="AD55" s="1000" t="str">
        <f>IF(AB55="","",SUMIF('F-1 Off-Site WaterC'' Baseline'!$AH$10:$AH$257,'Off-site gain site summary'!$AB55,'F-1 Off-Site WaterC'' Baseline'!$R$10:$R$257))</f>
        <v/>
      </c>
      <c r="AE55" s="1000" t="str">
        <f>IF(AB55="","",SUMIF('F-1 Off-Site WaterC'' Baseline'!$AH$10:$AH$257,'Off-site gain site summary'!$AB55,'F-1 Off-Site WaterC'' Baseline'!$Z$10:$Z$257))</f>
        <v/>
      </c>
      <c r="AF55" s="1000" t="str">
        <f>IF(AB55="","",SUMIF('F-1 Off-Site WaterC'' Baseline'!$AH$10:$AH$257,'Off-site gain site summary'!$AB55,'F-1 Off-Site WaterC'' Baseline'!$BA$10:$BA$257))</f>
        <v/>
      </c>
      <c r="AG55" s="1000" t="str">
        <f>IF(AB55="","",SUMIF('F-3 Off-Site WaterC Enhancement'!$AT$12:$AT$257,'Off-site gain site summary'!$AB55,'F-3 Off-Site WaterC Enhancement'!$AP$12:$AP$257))</f>
        <v/>
      </c>
      <c r="AH55" s="1000" t="str">
        <f>IF(AB55="","",SUMIF('F-3 Off-Site WaterC Enhancement'!$AT$12:$AT$257,'Off-site gain site summary'!$AB55,'F-3 Off-Site WaterC Enhancement'!$AO$12:$AO$257))</f>
        <v/>
      </c>
      <c r="AI55" s="1000" t="str">
        <f>IF(AB55="","",SUMIF('F-2 Off-Site WaterC'' Creation'!$AG$12:$AG$259,'Off-site gain site summary'!$AB55,'F-2 Off-Site WaterC'' Creation'!$AC$12:$AC$259))</f>
        <v/>
      </c>
      <c r="AJ55" s="1000" t="str">
        <f>IF(AB55="","",SUMIF('F-2 Off-Site WaterC'' Creation'!$AG$12:$AG$259,'Off-site gain site summary'!$AB55,'F-2 Off-Site WaterC'' Creation'!$AB$12:$AB$259))</f>
        <v/>
      </c>
      <c r="AK55" s="1000" t="str">
        <f t="shared" si="4"/>
        <v/>
      </c>
      <c r="AL55" s="1000" t="str">
        <f>IF(ISBLANK(AB55),"",IFERROR(_xlfn.XLOOKUP(AB55,'F-2 Off-Site WaterC'' Creation'!$AG$12:$AG$258,'F-2 Off-Site WaterC'' Creation'!$AA$12:$AA$258),IFERROR(_xlfn.XLOOKUP(AB55,'F-1 Off-Site WaterC'' Baseline'!$AH$10:$AH$257,'F-1 Off-Site WaterC'' Baseline'!$T$10:$T$257)," ")))</f>
        <v/>
      </c>
      <c r="AM55" s="986" t="str">
        <f t="shared" si="5"/>
        <v/>
      </c>
      <c r="AN55" s="1469"/>
      <c r="AO55" s="1469"/>
    </row>
    <row r="56" spans="1:41" s="992" customFormat="1" ht="43.5" customHeight="1">
      <c r="A56" s="988">
        <f>'D-1 Off-Site Habitat Baseline'!AF60</f>
        <v>0</v>
      </c>
      <c r="B56" s="996"/>
      <c r="C56" s="997" t="str">
        <f>IF(B56="","",SUMIF('D-1 Off-Site Habitat Baseline'!AF60:AF307,B56,'D-1 Off-Site Habitat Baseline'!T60:T307))</f>
        <v/>
      </c>
      <c r="D56" s="990" t="str">
        <f>IF(B56="","",SUMIF('D-1 Off-Site Habitat Baseline'!$AF$11:$AF$258,B56,'D-1 Off-Site Habitat Baseline'!$Q$11:$Q$258))</f>
        <v/>
      </c>
      <c r="E56" s="998" t="str">
        <f>IF(B56="","",SUMIF('D-1 Off-Site Habitat Baseline'!$AF$11:$AF$258,'Off-site gain site summary'!$B56,'D-1 Off-Site Habitat Baseline'!$X$11:$X$258))</f>
        <v/>
      </c>
      <c r="F56" s="999" t="str">
        <f>IF(B56="","",SUMIF('D-1 Off-Site Habitat Baseline'!$AF$11:$AF$258,'Off-site gain site summary'!$B56,'D-1 Off-Site Habitat Baseline'!$AY$11:$AY$258))</f>
        <v/>
      </c>
      <c r="G56" s="998" t="str">
        <f>IF(B56="","",SUMIF('D-3 Off-Site Habitat Enhancment'!$AU$12:$AU$258,'Off-site gain site summary'!B56,'D-3 Off-Site Habitat Enhancment'!$AQ$12:$AQ$258))</f>
        <v/>
      </c>
      <c r="H56" s="999" t="str">
        <f>IF(B56="","",SUMIF('D-3 Off-Site Habitat Enhancment'!$AU$12:$AU$258,'Off-site gain site summary'!B56,'D-3 Off-Site Habitat Enhancment'!$AP$12:$AP$258))</f>
        <v/>
      </c>
      <c r="I56" s="998" t="str">
        <f>IF(B56="","",SUMIF('D-2 Off-Site Habitat Creation'!$AF$11:$AF$256,'Off-site gain site summary'!B56,'D-2 Off-Site Habitat Creation'!$AB$11:$AB$256))</f>
        <v/>
      </c>
      <c r="J56" s="999" t="str">
        <f>IF(B56="","",SUMIF('D-2 Off-Site Habitat Creation'!$AF$11:$AF$256,'Off-site gain site summary'!B56,'D-2 Off-Site Habitat Creation'!$AA$11:$AA$256))</f>
        <v/>
      </c>
      <c r="K56" s="1000" t="str">
        <f t="shared" si="0"/>
        <v/>
      </c>
      <c r="L56" s="997" t="str">
        <f>IF(ISBLANK(B56),"",IFERROR(_xlfn.XLOOKUP(B56,'D-2 Off-Site Habitat Creation'!$AF$11:$AF$256,'D-2 Off-Site Habitat Creation'!$Z$11:$Z$256),IFERROR(_xlfn.XLOOKUP(B56,'D-1 Off-Site Habitat Baseline'!AF$11:AF$258,'D-1 Off-Site Habitat Baseline'!S$11:S$258)," ")))</f>
        <v/>
      </c>
      <c r="M56" s="983" t="str">
        <f t="shared" si="1"/>
        <v/>
      </c>
      <c r="N56" s="988">
        <f>'E-1 Off-Site Hedge Baseline'!AB59</f>
        <v>0</v>
      </c>
      <c r="O56" s="996"/>
      <c r="P56" s="1000" t="str">
        <f>IF(O56="","",SUMIF('E-1 Off-Site Hedge Baseline'!AB$10:AB$257,'Off-site gain site summary'!O56,'E-1 Off-Site Hedge Baseline'!Q$10:Q$257))</f>
        <v/>
      </c>
      <c r="Q56" s="1000" t="str">
        <f>IF(O56="","",SUMIF('E-1 Off-Site Hedge Baseline'!AB$10:AB$257,O56,'E-1 Off-Site Hedge Baseline'!N$10:N$257))</f>
        <v/>
      </c>
      <c r="R56" s="1000" t="str">
        <f>IF(O56="","",SUMIF('E-1 Off-Site Hedge Baseline'!$AB$10:$AB$257,'Off-site gain site summary'!$O56,'E-1 Off-Site Hedge Baseline'!$U$10:$U$257))</f>
        <v/>
      </c>
      <c r="S56" s="1000" t="str">
        <f>IF(O56="","",SUMIF('E-1 Off-Site Hedge Baseline'!$AB$10:$AB$257,'Off-site gain site summary'!$O56,'E-1 Off-Site Hedge Baseline'!$AY$10:$AY$257))</f>
        <v/>
      </c>
      <c r="T56" s="1000" t="str">
        <f>IF(O56="","",SUMIF('E-3 Off-Site Hedge Enhancement'!$AO$12:$AO$257,'Off-site gain site summary'!$O56,'E-3 Off-Site Hedge Enhancement'!$AK$12:$AK$257))</f>
        <v/>
      </c>
      <c r="U56" s="1000" t="str">
        <f>IF(O56="","",SUMIF('E-3 Off-Site Hedge Enhancement'!$AO$12:$AO$257,'Off-site gain site summary'!$O56,'E-3 Off-Site Hedge Enhancement'!$AJ$12:$AJ$257))</f>
        <v/>
      </c>
      <c r="V56" s="1000" t="str">
        <f>IF(O56="","",SUMIF('E-2 Off-Site Hedge Creation'!$AD$12:$AD$259,'Off-site gain site summary'!$O56,'E-2 Off-Site Hedge Creation'!$Z$12:$Z$259))</f>
        <v/>
      </c>
      <c r="W56" s="991" t="str">
        <f>IF(O56="","",SUMIF('E-2 Off-Site Hedge Creation'!$AD$12:$AD$259,'Off-site gain site summary'!$O56,'E-2 Off-Site Hedge Creation'!$Y$12:$Y$259))</f>
        <v/>
      </c>
      <c r="X56" s="991" t="str">
        <f t="shared" si="2"/>
        <v/>
      </c>
      <c r="Y56" s="991" t="str">
        <f>IF(ISBLANK(O56),"",IFERROR(_xlfn.XLOOKUP(O56,'E-2 Off-Site Hedge Creation'!$AD$12:$AD$259,'E-2 Off-Site Hedge Creation'!$N$12:$N$259),IFERROR(_xlfn.XLOOKUP(O56,'E-1 Off-Site Hedge Baseline'!$AB$10:$AB$257,'E-1 Off-Site Hedge Baseline'!$P$10:$P$257)," ")))</f>
        <v/>
      </c>
      <c r="Z56" s="986" t="str">
        <f t="shared" si="3"/>
        <v/>
      </c>
      <c r="AA56" s="992">
        <f>'F-1 Off-Site WaterC'' Baseline'!AH59</f>
        <v>0</v>
      </c>
      <c r="AB56" s="996"/>
      <c r="AC56" s="1000" t="str">
        <f>IF(AB56="","",SUMIF('F-1 Off-Site WaterC'' Baseline'!$AH$10:$AH$257,'Off-site gain site summary'!$AB56,'F-1 Off-Site WaterC'' Baseline'!$U$10:$U$257))</f>
        <v/>
      </c>
      <c r="AD56" s="1000" t="str">
        <f>IF(AB56="","",SUMIF('F-1 Off-Site WaterC'' Baseline'!$AH$10:$AH$257,'Off-site gain site summary'!$AB56,'F-1 Off-Site WaterC'' Baseline'!$R$10:$R$257))</f>
        <v/>
      </c>
      <c r="AE56" s="1000" t="str">
        <f>IF(AB56="","",SUMIF('F-1 Off-Site WaterC'' Baseline'!$AH$10:$AH$257,'Off-site gain site summary'!$AB56,'F-1 Off-Site WaterC'' Baseline'!$Z$10:$Z$257))</f>
        <v/>
      </c>
      <c r="AF56" s="1000" t="str">
        <f>IF(AB56="","",SUMIF('F-1 Off-Site WaterC'' Baseline'!$AH$10:$AH$257,'Off-site gain site summary'!$AB56,'F-1 Off-Site WaterC'' Baseline'!$BA$10:$BA$257))</f>
        <v/>
      </c>
      <c r="AG56" s="1000" t="str">
        <f>IF(AB56="","",SUMIF('F-3 Off-Site WaterC Enhancement'!$AT$12:$AT$257,'Off-site gain site summary'!$AB56,'F-3 Off-Site WaterC Enhancement'!$AP$12:$AP$257))</f>
        <v/>
      </c>
      <c r="AH56" s="1000" t="str">
        <f>IF(AB56="","",SUMIF('F-3 Off-Site WaterC Enhancement'!$AT$12:$AT$257,'Off-site gain site summary'!$AB56,'F-3 Off-Site WaterC Enhancement'!$AO$12:$AO$257))</f>
        <v/>
      </c>
      <c r="AI56" s="1000" t="str">
        <f>IF(AB56="","",SUMIF('F-2 Off-Site WaterC'' Creation'!$AG$12:$AG$259,'Off-site gain site summary'!$AB56,'F-2 Off-Site WaterC'' Creation'!$AC$12:$AC$259))</f>
        <v/>
      </c>
      <c r="AJ56" s="1000" t="str">
        <f>IF(AB56="","",SUMIF('F-2 Off-Site WaterC'' Creation'!$AG$12:$AG$259,'Off-site gain site summary'!$AB56,'F-2 Off-Site WaterC'' Creation'!$AB$12:$AB$259))</f>
        <v/>
      </c>
      <c r="AK56" s="1000" t="str">
        <f t="shared" si="4"/>
        <v/>
      </c>
      <c r="AL56" s="1000" t="str">
        <f>IF(ISBLANK(AB56),"",IFERROR(_xlfn.XLOOKUP(AB56,'F-2 Off-Site WaterC'' Creation'!$AG$12:$AG$258,'F-2 Off-Site WaterC'' Creation'!$AA$12:$AA$258),IFERROR(_xlfn.XLOOKUP(AB56,'F-1 Off-Site WaterC'' Baseline'!$AH$10:$AH$257,'F-1 Off-Site WaterC'' Baseline'!$T$10:$T$257)," ")))</f>
        <v/>
      </c>
      <c r="AM56" s="986" t="str">
        <f t="shared" si="5"/>
        <v/>
      </c>
      <c r="AN56" s="1469"/>
      <c r="AO56" s="1469"/>
    </row>
    <row r="57" spans="1:41" s="992" customFormat="1" ht="43.5" customHeight="1">
      <c r="A57" s="988">
        <f>'D-1 Off-Site Habitat Baseline'!AF61</f>
        <v>0</v>
      </c>
      <c r="B57" s="996"/>
      <c r="C57" s="997" t="str">
        <f>IF(B57="","",SUMIF('D-1 Off-Site Habitat Baseline'!AF61:AF308,B57,'D-1 Off-Site Habitat Baseline'!T61:T308))</f>
        <v/>
      </c>
      <c r="D57" s="990" t="str">
        <f>IF(B57="","",SUMIF('D-1 Off-Site Habitat Baseline'!$AF$11:$AF$258,B57,'D-1 Off-Site Habitat Baseline'!$Q$11:$Q$258))</f>
        <v/>
      </c>
      <c r="E57" s="998" t="str">
        <f>IF(B57="","",SUMIF('D-1 Off-Site Habitat Baseline'!$AF$11:$AF$258,'Off-site gain site summary'!$B57,'D-1 Off-Site Habitat Baseline'!$X$11:$X$258))</f>
        <v/>
      </c>
      <c r="F57" s="999" t="str">
        <f>IF(B57="","",SUMIF('D-1 Off-Site Habitat Baseline'!$AF$11:$AF$258,'Off-site gain site summary'!$B57,'D-1 Off-Site Habitat Baseline'!$AY$11:$AY$258))</f>
        <v/>
      </c>
      <c r="G57" s="998" t="str">
        <f>IF(B57="","",SUMIF('D-3 Off-Site Habitat Enhancment'!$AU$12:$AU$258,'Off-site gain site summary'!B57,'D-3 Off-Site Habitat Enhancment'!$AQ$12:$AQ$258))</f>
        <v/>
      </c>
      <c r="H57" s="999" t="str">
        <f>IF(B57="","",SUMIF('D-3 Off-Site Habitat Enhancment'!$AU$12:$AU$258,'Off-site gain site summary'!B57,'D-3 Off-Site Habitat Enhancment'!$AP$12:$AP$258))</f>
        <v/>
      </c>
      <c r="I57" s="998" t="str">
        <f>IF(B57="","",SUMIF('D-2 Off-Site Habitat Creation'!$AF$11:$AF$256,'Off-site gain site summary'!B57,'D-2 Off-Site Habitat Creation'!$AB$11:$AB$256))</f>
        <v/>
      </c>
      <c r="J57" s="999" t="str">
        <f>IF(B57="","",SUMIF('D-2 Off-Site Habitat Creation'!$AF$11:$AF$256,'Off-site gain site summary'!B57,'D-2 Off-Site Habitat Creation'!$AA$11:$AA$256))</f>
        <v/>
      </c>
      <c r="K57" s="1000" t="str">
        <f t="shared" si="0"/>
        <v/>
      </c>
      <c r="L57" s="997" t="str">
        <f>IF(ISBLANK(B57),"",IFERROR(_xlfn.XLOOKUP(B57,'D-2 Off-Site Habitat Creation'!$AF$11:$AF$256,'D-2 Off-Site Habitat Creation'!$Z$11:$Z$256),IFERROR(_xlfn.XLOOKUP(B57,'D-1 Off-Site Habitat Baseline'!AF$11:AF$258,'D-1 Off-Site Habitat Baseline'!S$11:S$258)," ")))</f>
        <v/>
      </c>
      <c r="M57" s="983" t="str">
        <f t="shared" si="1"/>
        <v/>
      </c>
      <c r="N57" s="988">
        <f>'E-1 Off-Site Hedge Baseline'!AB60</f>
        <v>0</v>
      </c>
      <c r="O57" s="996"/>
      <c r="P57" s="1000" t="str">
        <f>IF(O57="","",SUMIF('E-1 Off-Site Hedge Baseline'!AB$10:AB$257,'Off-site gain site summary'!O57,'E-1 Off-Site Hedge Baseline'!Q$10:Q$257))</f>
        <v/>
      </c>
      <c r="Q57" s="1000" t="str">
        <f>IF(O57="","",SUMIF('E-1 Off-Site Hedge Baseline'!AB$10:AB$257,O57,'E-1 Off-Site Hedge Baseline'!N$10:N$257))</f>
        <v/>
      </c>
      <c r="R57" s="1000" t="str">
        <f>IF(O57="","",SUMIF('E-1 Off-Site Hedge Baseline'!$AB$10:$AB$257,'Off-site gain site summary'!$O57,'E-1 Off-Site Hedge Baseline'!$U$10:$U$257))</f>
        <v/>
      </c>
      <c r="S57" s="1000" t="str">
        <f>IF(O57="","",SUMIF('E-1 Off-Site Hedge Baseline'!$AB$10:$AB$257,'Off-site gain site summary'!$O57,'E-1 Off-Site Hedge Baseline'!$AY$10:$AY$257))</f>
        <v/>
      </c>
      <c r="T57" s="1000" t="str">
        <f>IF(O57="","",SUMIF('E-3 Off-Site Hedge Enhancement'!$AO$12:$AO$257,'Off-site gain site summary'!$O57,'E-3 Off-Site Hedge Enhancement'!$AK$12:$AK$257))</f>
        <v/>
      </c>
      <c r="U57" s="1000" t="str">
        <f>IF(O57="","",SUMIF('E-3 Off-Site Hedge Enhancement'!$AO$12:$AO$257,'Off-site gain site summary'!$O57,'E-3 Off-Site Hedge Enhancement'!$AJ$12:$AJ$257))</f>
        <v/>
      </c>
      <c r="V57" s="1000" t="str">
        <f>IF(O57="","",SUMIF('E-2 Off-Site Hedge Creation'!$AD$12:$AD$259,'Off-site gain site summary'!$O57,'E-2 Off-Site Hedge Creation'!$Z$12:$Z$259))</f>
        <v/>
      </c>
      <c r="W57" s="991" t="str">
        <f>IF(O57="","",SUMIF('E-2 Off-Site Hedge Creation'!$AD$12:$AD$259,'Off-site gain site summary'!$O57,'E-2 Off-Site Hedge Creation'!$Y$12:$Y$259))</f>
        <v/>
      </c>
      <c r="X57" s="991" t="str">
        <f t="shared" si="2"/>
        <v/>
      </c>
      <c r="Y57" s="991" t="str">
        <f>IF(ISBLANK(O57),"",IFERROR(_xlfn.XLOOKUP(O57,'E-2 Off-Site Hedge Creation'!$AD$12:$AD$259,'E-2 Off-Site Hedge Creation'!$N$12:$N$259),IFERROR(_xlfn.XLOOKUP(O57,'E-1 Off-Site Hedge Baseline'!$AB$10:$AB$257,'E-1 Off-Site Hedge Baseline'!$P$10:$P$257)," ")))</f>
        <v/>
      </c>
      <c r="Z57" s="986" t="str">
        <f t="shared" si="3"/>
        <v/>
      </c>
      <c r="AA57" s="992">
        <f>'F-1 Off-Site WaterC'' Baseline'!AH60</f>
        <v>0</v>
      </c>
      <c r="AB57" s="996"/>
      <c r="AC57" s="1000" t="str">
        <f>IF(AB57="","",SUMIF('F-1 Off-Site WaterC'' Baseline'!$AH$10:$AH$257,'Off-site gain site summary'!$AB57,'F-1 Off-Site WaterC'' Baseline'!$U$10:$U$257))</f>
        <v/>
      </c>
      <c r="AD57" s="1000" t="str">
        <f>IF(AB57="","",SUMIF('F-1 Off-Site WaterC'' Baseline'!$AH$10:$AH$257,'Off-site gain site summary'!$AB57,'F-1 Off-Site WaterC'' Baseline'!$R$10:$R$257))</f>
        <v/>
      </c>
      <c r="AE57" s="1000" t="str">
        <f>IF(AB57="","",SUMIF('F-1 Off-Site WaterC'' Baseline'!$AH$10:$AH$257,'Off-site gain site summary'!$AB57,'F-1 Off-Site WaterC'' Baseline'!$Z$10:$Z$257))</f>
        <v/>
      </c>
      <c r="AF57" s="1000" t="str">
        <f>IF(AB57="","",SUMIF('F-1 Off-Site WaterC'' Baseline'!$AH$10:$AH$257,'Off-site gain site summary'!$AB57,'F-1 Off-Site WaterC'' Baseline'!$BA$10:$BA$257))</f>
        <v/>
      </c>
      <c r="AG57" s="1000" t="str">
        <f>IF(AB57="","",SUMIF('F-3 Off-Site WaterC Enhancement'!$AT$12:$AT$257,'Off-site gain site summary'!$AB57,'F-3 Off-Site WaterC Enhancement'!$AP$12:$AP$257))</f>
        <v/>
      </c>
      <c r="AH57" s="1000" t="str">
        <f>IF(AB57="","",SUMIF('F-3 Off-Site WaterC Enhancement'!$AT$12:$AT$257,'Off-site gain site summary'!$AB57,'F-3 Off-Site WaterC Enhancement'!$AO$12:$AO$257))</f>
        <v/>
      </c>
      <c r="AI57" s="1000" t="str">
        <f>IF(AB57="","",SUMIF('F-2 Off-Site WaterC'' Creation'!$AG$12:$AG$259,'Off-site gain site summary'!$AB57,'F-2 Off-Site WaterC'' Creation'!$AC$12:$AC$259))</f>
        <v/>
      </c>
      <c r="AJ57" s="1000" t="str">
        <f>IF(AB57="","",SUMIF('F-2 Off-Site WaterC'' Creation'!$AG$12:$AG$259,'Off-site gain site summary'!$AB57,'F-2 Off-Site WaterC'' Creation'!$AB$12:$AB$259))</f>
        <v/>
      </c>
      <c r="AK57" s="1000" t="str">
        <f t="shared" si="4"/>
        <v/>
      </c>
      <c r="AL57" s="1000" t="str">
        <f>IF(ISBLANK(AB57),"",IFERROR(_xlfn.XLOOKUP(AB57,'F-2 Off-Site WaterC'' Creation'!$AG$12:$AG$258,'F-2 Off-Site WaterC'' Creation'!$AA$12:$AA$258),IFERROR(_xlfn.XLOOKUP(AB57,'F-1 Off-Site WaterC'' Baseline'!$AH$10:$AH$257,'F-1 Off-Site WaterC'' Baseline'!$T$10:$T$257)," ")))</f>
        <v/>
      </c>
      <c r="AM57" s="986" t="str">
        <f t="shared" si="5"/>
        <v/>
      </c>
      <c r="AN57" s="1469"/>
      <c r="AO57" s="1469"/>
    </row>
    <row r="58" spans="1:41" s="992" customFormat="1" ht="43.5" customHeight="1">
      <c r="A58" s="988">
        <f>'D-1 Off-Site Habitat Baseline'!AF62</f>
        <v>0</v>
      </c>
      <c r="B58" s="996"/>
      <c r="C58" s="997" t="str">
        <f>IF(B58="","",SUMIF('D-1 Off-Site Habitat Baseline'!AF62:AF309,B58,'D-1 Off-Site Habitat Baseline'!T62:T309))</f>
        <v/>
      </c>
      <c r="D58" s="990" t="str">
        <f>IF(B58="","",SUMIF('D-1 Off-Site Habitat Baseline'!$AF$11:$AF$258,B58,'D-1 Off-Site Habitat Baseline'!$Q$11:$Q$258))</f>
        <v/>
      </c>
      <c r="E58" s="998" t="str">
        <f>IF(B58="","",SUMIF('D-1 Off-Site Habitat Baseline'!$AF$11:$AF$258,'Off-site gain site summary'!$B58,'D-1 Off-Site Habitat Baseline'!$X$11:$X$258))</f>
        <v/>
      </c>
      <c r="F58" s="999" t="str">
        <f>IF(B58="","",SUMIF('D-1 Off-Site Habitat Baseline'!$AF$11:$AF$258,'Off-site gain site summary'!$B58,'D-1 Off-Site Habitat Baseline'!$AY$11:$AY$258))</f>
        <v/>
      </c>
      <c r="G58" s="998" t="str">
        <f>IF(B58="","",SUMIF('D-3 Off-Site Habitat Enhancment'!$AU$12:$AU$258,'Off-site gain site summary'!B58,'D-3 Off-Site Habitat Enhancment'!$AQ$12:$AQ$258))</f>
        <v/>
      </c>
      <c r="H58" s="999" t="str">
        <f>IF(B58="","",SUMIF('D-3 Off-Site Habitat Enhancment'!$AU$12:$AU$258,'Off-site gain site summary'!B58,'D-3 Off-Site Habitat Enhancment'!$AP$12:$AP$258))</f>
        <v/>
      </c>
      <c r="I58" s="998" t="str">
        <f>IF(B58="","",SUMIF('D-2 Off-Site Habitat Creation'!$AF$11:$AF$256,'Off-site gain site summary'!B58,'D-2 Off-Site Habitat Creation'!$AB$11:$AB$256))</f>
        <v/>
      </c>
      <c r="J58" s="999" t="str">
        <f>IF(B58="","",SUMIF('D-2 Off-Site Habitat Creation'!$AF$11:$AF$256,'Off-site gain site summary'!B58,'D-2 Off-Site Habitat Creation'!$AA$11:$AA$256))</f>
        <v/>
      </c>
      <c r="K58" s="1000" t="str">
        <f t="shared" si="0"/>
        <v/>
      </c>
      <c r="L58" s="997" t="str">
        <f>IF(ISBLANK(B58),"",IFERROR(_xlfn.XLOOKUP(B58,'D-2 Off-Site Habitat Creation'!$AF$11:$AF$256,'D-2 Off-Site Habitat Creation'!$Z$11:$Z$256),IFERROR(_xlfn.XLOOKUP(B58,'D-1 Off-Site Habitat Baseline'!AF$11:AF$258,'D-1 Off-Site Habitat Baseline'!S$11:S$258)," ")))</f>
        <v/>
      </c>
      <c r="M58" s="983" t="str">
        <f t="shared" si="1"/>
        <v/>
      </c>
      <c r="N58" s="988">
        <f>'E-1 Off-Site Hedge Baseline'!AB61</f>
        <v>0</v>
      </c>
      <c r="O58" s="996"/>
      <c r="P58" s="1000" t="str">
        <f>IF(O58="","",SUMIF('E-1 Off-Site Hedge Baseline'!AB$10:AB$257,'Off-site gain site summary'!O58,'E-1 Off-Site Hedge Baseline'!Q$10:Q$257))</f>
        <v/>
      </c>
      <c r="Q58" s="1000" t="str">
        <f>IF(O58="","",SUMIF('E-1 Off-Site Hedge Baseline'!AB$10:AB$257,O58,'E-1 Off-Site Hedge Baseline'!N$10:N$257))</f>
        <v/>
      </c>
      <c r="R58" s="1000" t="str">
        <f>IF(O58="","",SUMIF('E-1 Off-Site Hedge Baseline'!$AB$10:$AB$257,'Off-site gain site summary'!$O58,'E-1 Off-Site Hedge Baseline'!$U$10:$U$257))</f>
        <v/>
      </c>
      <c r="S58" s="1000" t="str">
        <f>IF(O58="","",SUMIF('E-1 Off-Site Hedge Baseline'!$AB$10:$AB$257,'Off-site gain site summary'!$O58,'E-1 Off-Site Hedge Baseline'!$AY$10:$AY$257))</f>
        <v/>
      </c>
      <c r="T58" s="1000" t="str">
        <f>IF(O58="","",SUMIF('E-3 Off-Site Hedge Enhancement'!$AO$12:$AO$257,'Off-site gain site summary'!$O58,'E-3 Off-Site Hedge Enhancement'!$AK$12:$AK$257))</f>
        <v/>
      </c>
      <c r="U58" s="1000" t="str">
        <f>IF(O58="","",SUMIF('E-3 Off-Site Hedge Enhancement'!$AO$12:$AO$257,'Off-site gain site summary'!$O58,'E-3 Off-Site Hedge Enhancement'!$AJ$12:$AJ$257))</f>
        <v/>
      </c>
      <c r="V58" s="1000" t="str">
        <f>IF(O58="","",SUMIF('E-2 Off-Site Hedge Creation'!$AD$12:$AD$259,'Off-site gain site summary'!$O58,'E-2 Off-Site Hedge Creation'!$Z$12:$Z$259))</f>
        <v/>
      </c>
      <c r="W58" s="991" t="str">
        <f>IF(O58="","",SUMIF('E-2 Off-Site Hedge Creation'!$AD$12:$AD$259,'Off-site gain site summary'!$O58,'E-2 Off-Site Hedge Creation'!$Y$12:$Y$259))</f>
        <v/>
      </c>
      <c r="X58" s="991" t="str">
        <f t="shared" si="2"/>
        <v/>
      </c>
      <c r="Y58" s="991" t="str">
        <f>IF(ISBLANK(O58),"",IFERROR(_xlfn.XLOOKUP(O58,'E-2 Off-Site Hedge Creation'!$AD$12:$AD$259,'E-2 Off-Site Hedge Creation'!$N$12:$N$259),IFERROR(_xlfn.XLOOKUP(O58,'E-1 Off-Site Hedge Baseline'!$AB$10:$AB$257,'E-1 Off-Site Hedge Baseline'!$P$10:$P$257)," ")))</f>
        <v/>
      </c>
      <c r="Z58" s="986" t="str">
        <f t="shared" si="3"/>
        <v/>
      </c>
      <c r="AA58" s="992">
        <f>'F-1 Off-Site WaterC'' Baseline'!AH61</f>
        <v>0</v>
      </c>
      <c r="AB58" s="996"/>
      <c r="AC58" s="1000" t="str">
        <f>IF(AB58="","",SUMIF('F-1 Off-Site WaterC'' Baseline'!$AH$10:$AH$257,'Off-site gain site summary'!$AB58,'F-1 Off-Site WaterC'' Baseline'!$U$10:$U$257))</f>
        <v/>
      </c>
      <c r="AD58" s="1000" t="str">
        <f>IF(AB58="","",SUMIF('F-1 Off-Site WaterC'' Baseline'!$AH$10:$AH$257,'Off-site gain site summary'!$AB58,'F-1 Off-Site WaterC'' Baseline'!$R$10:$R$257))</f>
        <v/>
      </c>
      <c r="AE58" s="1000" t="str">
        <f>IF(AB58="","",SUMIF('F-1 Off-Site WaterC'' Baseline'!$AH$10:$AH$257,'Off-site gain site summary'!$AB58,'F-1 Off-Site WaterC'' Baseline'!$Z$10:$Z$257))</f>
        <v/>
      </c>
      <c r="AF58" s="1000" t="str">
        <f>IF(AB58="","",SUMIF('F-1 Off-Site WaterC'' Baseline'!$AH$10:$AH$257,'Off-site gain site summary'!$AB58,'F-1 Off-Site WaterC'' Baseline'!$BA$10:$BA$257))</f>
        <v/>
      </c>
      <c r="AG58" s="1000" t="str">
        <f>IF(AB58="","",SUMIF('F-3 Off-Site WaterC Enhancement'!$AT$12:$AT$257,'Off-site gain site summary'!$AB58,'F-3 Off-Site WaterC Enhancement'!$AP$12:$AP$257))</f>
        <v/>
      </c>
      <c r="AH58" s="1000" t="str">
        <f>IF(AB58="","",SUMIF('F-3 Off-Site WaterC Enhancement'!$AT$12:$AT$257,'Off-site gain site summary'!$AB58,'F-3 Off-Site WaterC Enhancement'!$AO$12:$AO$257))</f>
        <v/>
      </c>
      <c r="AI58" s="1000" t="str">
        <f>IF(AB58="","",SUMIF('F-2 Off-Site WaterC'' Creation'!$AG$12:$AG$259,'Off-site gain site summary'!$AB58,'F-2 Off-Site WaterC'' Creation'!$AC$12:$AC$259))</f>
        <v/>
      </c>
      <c r="AJ58" s="1000" t="str">
        <f>IF(AB58="","",SUMIF('F-2 Off-Site WaterC'' Creation'!$AG$12:$AG$259,'Off-site gain site summary'!$AB58,'F-2 Off-Site WaterC'' Creation'!$AB$12:$AB$259))</f>
        <v/>
      </c>
      <c r="AK58" s="1000" t="str">
        <f t="shared" si="4"/>
        <v/>
      </c>
      <c r="AL58" s="1000" t="str">
        <f>IF(ISBLANK(AB58),"",IFERROR(_xlfn.XLOOKUP(AB58,'F-2 Off-Site WaterC'' Creation'!$AG$12:$AG$258,'F-2 Off-Site WaterC'' Creation'!$AA$12:$AA$258),IFERROR(_xlfn.XLOOKUP(AB58,'F-1 Off-Site WaterC'' Baseline'!$AH$10:$AH$257,'F-1 Off-Site WaterC'' Baseline'!$T$10:$T$257)," ")))</f>
        <v/>
      </c>
      <c r="AM58" s="986" t="str">
        <f t="shared" si="5"/>
        <v/>
      </c>
      <c r="AN58" s="1469"/>
      <c r="AO58" s="1469"/>
    </row>
    <row r="59" spans="1:41" s="992" customFormat="1" ht="43.5" customHeight="1">
      <c r="A59" s="988">
        <f>'D-1 Off-Site Habitat Baseline'!AF63</f>
        <v>0</v>
      </c>
      <c r="B59" s="996"/>
      <c r="C59" s="997" t="str">
        <f>IF(B59="","",SUMIF('D-1 Off-Site Habitat Baseline'!AF63:AF310,B59,'D-1 Off-Site Habitat Baseline'!T63:T310))</f>
        <v/>
      </c>
      <c r="D59" s="990" t="str">
        <f>IF(B59="","",SUMIF('D-1 Off-Site Habitat Baseline'!$AF$11:$AF$258,B59,'D-1 Off-Site Habitat Baseline'!$Q$11:$Q$258))</f>
        <v/>
      </c>
      <c r="E59" s="998" t="str">
        <f>IF(B59="","",SUMIF('D-1 Off-Site Habitat Baseline'!$AF$11:$AF$258,'Off-site gain site summary'!$B59,'D-1 Off-Site Habitat Baseline'!$X$11:$X$258))</f>
        <v/>
      </c>
      <c r="F59" s="999" t="str">
        <f>IF(B59="","",SUMIF('D-1 Off-Site Habitat Baseline'!$AF$11:$AF$258,'Off-site gain site summary'!$B59,'D-1 Off-Site Habitat Baseline'!$AY$11:$AY$258))</f>
        <v/>
      </c>
      <c r="G59" s="998" t="str">
        <f>IF(B59="","",SUMIF('D-3 Off-Site Habitat Enhancment'!$AU$12:$AU$258,'Off-site gain site summary'!B59,'D-3 Off-Site Habitat Enhancment'!$AQ$12:$AQ$258))</f>
        <v/>
      </c>
      <c r="H59" s="999" t="str">
        <f>IF(B59="","",SUMIF('D-3 Off-Site Habitat Enhancment'!$AU$12:$AU$258,'Off-site gain site summary'!B59,'D-3 Off-Site Habitat Enhancment'!$AP$12:$AP$258))</f>
        <v/>
      </c>
      <c r="I59" s="998" t="str">
        <f>IF(B59="","",SUMIF('D-2 Off-Site Habitat Creation'!$AF$11:$AF$256,'Off-site gain site summary'!B59,'D-2 Off-Site Habitat Creation'!$AB$11:$AB$256))</f>
        <v/>
      </c>
      <c r="J59" s="999" t="str">
        <f>IF(B59="","",SUMIF('D-2 Off-Site Habitat Creation'!$AF$11:$AF$256,'Off-site gain site summary'!B59,'D-2 Off-Site Habitat Creation'!$AA$11:$AA$256))</f>
        <v/>
      </c>
      <c r="K59" s="1000" t="str">
        <f t="shared" si="0"/>
        <v/>
      </c>
      <c r="L59" s="997" t="str">
        <f>IF(ISBLANK(B59),"",IFERROR(_xlfn.XLOOKUP(B59,'D-2 Off-Site Habitat Creation'!$AF$11:$AF$256,'D-2 Off-Site Habitat Creation'!$Z$11:$Z$256),IFERROR(_xlfn.XLOOKUP(B59,'D-1 Off-Site Habitat Baseline'!AF$11:AF$258,'D-1 Off-Site Habitat Baseline'!S$11:S$258)," ")))</f>
        <v/>
      </c>
      <c r="M59" s="983" t="str">
        <f t="shared" si="1"/>
        <v/>
      </c>
      <c r="N59" s="988">
        <f>'E-1 Off-Site Hedge Baseline'!AB62</f>
        <v>0</v>
      </c>
      <c r="O59" s="996"/>
      <c r="P59" s="1000" t="str">
        <f>IF(O59="","",SUMIF('E-1 Off-Site Hedge Baseline'!AB$10:AB$257,'Off-site gain site summary'!O59,'E-1 Off-Site Hedge Baseline'!Q$10:Q$257))</f>
        <v/>
      </c>
      <c r="Q59" s="1000" t="str">
        <f>IF(O59="","",SUMIF('E-1 Off-Site Hedge Baseline'!AB$10:AB$257,O59,'E-1 Off-Site Hedge Baseline'!N$10:N$257))</f>
        <v/>
      </c>
      <c r="R59" s="1000" t="str">
        <f>IF(O59="","",SUMIF('E-1 Off-Site Hedge Baseline'!$AB$10:$AB$257,'Off-site gain site summary'!$O59,'E-1 Off-Site Hedge Baseline'!$U$10:$U$257))</f>
        <v/>
      </c>
      <c r="S59" s="1000" t="str">
        <f>IF(O59="","",SUMIF('E-1 Off-Site Hedge Baseline'!$AB$10:$AB$257,'Off-site gain site summary'!$O59,'E-1 Off-Site Hedge Baseline'!$AY$10:$AY$257))</f>
        <v/>
      </c>
      <c r="T59" s="1000" t="str">
        <f>IF(O59="","",SUMIF('E-3 Off-Site Hedge Enhancement'!$AO$12:$AO$257,'Off-site gain site summary'!$O59,'E-3 Off-Site Hedge Enhancement'!$AK$12:$AK$257))</f>
        <v/>
      </c>
      <c r="U59" s="1000" t="str">
        <f>IF(O59="","",SUMIF('E-3 Off-Site Hedge Enhancement'!$AO$12:$AO$257,'Off-site gain site summary'!$O59,'E-3 Off-Site Hedge Enhancement'!$AJ$12:$AJ$257))</f>
        <v/>
      </c>
      <c r="V59" s="1000" t="str">
        <f>IF(O59="","",SUMIF('E-2 Off-Site Hedge Creation'!$AD$12:$AD$259,'Off-site gain site summary'!$O59,'E-2 Off-Site Hedge Creation'!$Z$12:$Z$259))</f>
        <v/>
      </c>
      <c r="W59" s="991" t="str">
        <f>IF(O59="","",SUMIF('E-2 Off-Site Hedge Creation'!$AD$12:$AD$259,'Off-site gain site summary'!$O59,'E-2 Off-Site Hedge Creation'!$Y$12:$Y$259))</f>
        <v/>
      </c>
      <c r="X59" s="991" t="str">
        <f t="shared" si="2"/>
        <v/>
      </c>
      <c r="Y59" s="991" t="str">
        <f>IF(ISBLANK(O59),"",IFERROR(_xlfn.XLOOKUP(O59,'E-2 Off-Site Hedge Creation'!$AD$12:$AD$259,'E-2 Off-Site Hedge Creation'!$N$12:$N$259),IFERROR(_xlfn.XLOOKUP(O59,'E-1 Off-Site Hedge Baseline'!$AB$10:$AB$257,'E-1 Off-Site Hedge Baseline'!$P$10:$P$257)," ")))</f>
        <v/>
      </c>
      <c r="Z59" s="986" t="str">
        <f t="shared" si="3"/>
        <v/>
      </c>
      <c r="AA59" s="992">
        <f>'F-1 Off-Site WaterC'' Baseline'!AH62</f>
        <v>0</v>
      </c>
      <c r="AB59" s="996"/>
      <c r="AC59" s="1000" t="str">
        <f>IF(AB59="","",SUMIF('F-1 Off-Site WaterC'' Baseline'!$AH$10:$AH$257,'Off-site gain site summary'!$AB59,'F-1 Off-Site WaterC'' Baseline'!$U$10:$U$257))</f>
        <v/>
      </c>
      <c r="AD59" s="1000" t="str">
        <f>IF(AB59="","",SUMIF('F-1 Off-Site WaterC'' Baseline'!$AH$10:$AH$257,'Off-site gain site summary'!$AB59,'F-1 Off-Site WaterC'' Baseline'!$R$10:$R$257))</f>
        <v/>
      </c>
      <c r="AE59" s="1000" t="str">
        <f>IF(AB59="","",SUMIF('F-1 Off-Site WaterC'' Baseline'!$AH$10:$AH$257,'Off-site gain site summary'!$AB59,'F-1 Off-Site WaterC'' Baseline'!$Z$10:$Z$257))</f>
        <v/>
      </c>
      <c r="AF59" s="1000" t="str">
        <f>IF(AB59="","",SUMIF('F-1 Off-Site WaterC'' Baseline'!$AH$10:$AH$257,'Off-site gain site summary'!$AB59,'F-1 Off-Site WaterC'' Baseline'!$BA$10:$BA$257))</f>
        <v/>
      </c>
      <c r="AG59" s="1000" t="str">
        <f>IF(AB59="","",SUMIF('F-3 Off-Site WaterC Enhancement'!$AT$12:$AT$257,'Off-site gain site summary'!$AB59,'F-3 Off-Site WaterC Enhancement'!$AP$12:$AP$257))</f>
        <v/>
      </c>
      <c r="AH59" s="1000" t="str">
        <f>IF(AB59="","",SUMIF('F-3 Off-Site WaterC Enhancement'!$AT$12:$AT$257,'Off-site gain site summary'!$AB59,'F-3 Off-Site WaterC Enhancement'!$AO$12:$AO$257))</f>
        <v/>
      </c>
      <c r="AI59" s="1000" t="str">
        <f>IF(AB59="","",SUMIF('F-2 Off-Site WaterC'' Creation'!$AG$12:$AG$259,'Off-site gain site summary'!$AB59,'F-2 Off-Site WaterC'' Creation'!$AC$12:$AC$259))</f>
        <v/>
      </c>
      <c r="AJ59" s="1000" t="str">
        <f>IF(AB59="","",SUMIF('F-2 Off-Site WaterC'' Creation'!$AG$12:$AG$259,'Off-site gain site summary'!$AB59,'F-2 Off-Site WaterC'' Creation'!$AB$12:$AB$259))</f>
        <v/>
      </c>
      <c r="AK59" s="1000" t="str">
        <f t="shared" si="4"/>
        <v/>
      </c>
      <c r="AL59" s="1000" t="str">
        <f>IF(ISBLANK(AB59),"",IFERROR(_xlfn.XLOOKUP(AB59,'F-2 Off-Site WaterC'' Creation'!$AG$12:$AG$258,'F-2 Off-Site WaterC'' Creation'!$AA$12:$AA$258),IFERROR(_xlfn.XLOOKUP(AB59,'F-1 Off-Site WaterC'' Baseline'!$AH$10:$AH$257,'F-1 Off-Site WaterC'' Baseline'!$T$10:$T$257)," ")))</f>
        <v/>
      </c>
      <c r="AM59" s="986" t="str">
        <f t="shared" si="5"/>
        <v/>
      </c>
      <c r="AN59" s="1469"/>
      <c r="AO59" s="1469"/>
    </row>
    <row r="60" spans="1:41" s="992" customFormat="1" ht="43.5" customHeight="1">
      <c r="A60" s="988">
        <f>'D-1 Off-Site Habitat Baseline'!AF64</f>
        <v>0</v>
      </c>
      <c r="B60" s="996"/>
      <c r="C60" s="997" t="str">
        <f>IF(B60="","",SUMIF('D-1 Off-Site Habitat Baseline'!AF64:AF311,B60,'D-1 Off-Site Habitat Baseline'!T64:T311))</f>
        <v/>
      </c>
      <c r="D60" s="990" t="str">
        <f>IF(B60="","",SUMIF('D-1 Off-Site Habitat Baseline'!$AF$11:$AF$258,B60,'D-1 Off-Site Habitat Baseline'!$Q$11:$Q$258))</f>
        <v/>
      </c>
      <c r="E60" s="998" t="str">
        <f>IF(B60="","",SUMIF('D-1 Off-Site Habitat Baseline'!$AF$11:$AF$258,'Off-site gain site summary'!$B60,'D-1 Off-Site Habitat Baseline'!$X$11:$X$258))</f>
        <v/>
      </c>
      <c r="F60" s="999" t="str">
        <f>IF(B60="","",SUMIF('D-1 Off-Site Habitat Baseline'!$AF$11:$AF$258,'Off-site gain site summary'!$B60,'D-1 Off-Site Habitat Baseline'!$AY$11:$AY$258))</f>
        <v/>
      </c>
      <c r="G60" s="998" t="str">
        <f>IF(B60="","",SUMIF('D-3 Off-Site Habitat Enhancment'!$AU$12:$AU$258,'Off-site gain site summary'!B60,'D-3 Off-Site Habitat Enhancment'!$AQ$12:$AQ$258))</f>
        <v/>
      </c>
      <c r="H60" s="999" t="str">
        <f>IF(B60="","",SUMIF('D-3 Off-Site Habitat Enhancment'!$AU$12:$AU$258,'Off-site gain site summary'!B60,'D-3 Off-Site Habitat Enhancment'!$AP$12:$AP$258))</f>
        <v/>
      </c>
      <c r="I60" s="998" t="str">
        <f>IF(B60="","",SUMIF('D-2 Off-Site Habitat Creation'!$AF$11:$AF$256,'Off-site gain site summary'!B60,'D-2 Off-Site Habitat Creation'!$AB$11:$AB$256))</f>
        <v/>
      </c>
      <c r="J60" s="999" t="str">
        <f>IF(B60="","",SUMIF('D-2 Off-Site Habitat Creation'!$AF$11:$AF$256,'Off-site gain site summary'!B60,'D-2 Off-Site Habitat Creation'!$AA$11:$AA$256))</f>
        <v/>
      </c>
      <c r="K60" s="1000" t="str">
        <f t="shared" si="0"/>
        <v/>
      </c>
      <c r="L60" s="997" t="str">
        <f>IF(ISBLANK(B60),"",IFERROR(_xlfn.XLOOKUP(B60,'D-2 Off-Site Habitat Creation'!$AF$11:$AF$256,'D-2 Off-Site Habitat Creation'!$Z$11:$Z$256),IFERROR(_xlfn.XLOOKUP(B60,'D-1 Off-Site Habitat Baseline'!AF$11:AF$258,'D-1 Off-Site Habitat Baseline'!S$11:S$258)," ")))</f>
        <v/>
      </c>
      <c r="M60" s="983" t="str">
        <f t="shared" si="1"/>
        <v/>
      </c>
      <c r="N60" s="988">
        <f>'E-1 Off-Site Hedge Baseline'!AB63</f>
        <v>0</v>
      </c>
      <c r="O60" s="996"/>
      <c r="P60" s="1000" t="str">
        <f>IF(O60="","",SUMIF('E-1 Off-Site Hedge Baseline'!AB$10:AB$257,'Off-site gain site summary'!O60,'E-1 Off-Site Hedge Baseline'!Q$10:Q$257))</f>
        <v/>
      </c>
      <c r="Q60" s="1000" t="str">
        <f>IF(O60="","",SUMIF('E-1 Off-Site Hedge Baseline'!AB$10:AB$257,O60,'E-1 Off-Site Hedge Baseline'!N$10:N$257))</f>
        <v/>
      </c>
      <c r="R60" s="1000" t="str">
        <f>IF(O60="","",SUMIF('E-1 Off-Site Hedge Baseline'!$AB$10:$AB$257,'Off-site gain site summary'!$O60,'E-1 Off-Site Hedge Baseline'!$U$10:$U$257))</f>
        <v/>
      </c>
      <c r="S60" s="1000" t="str">
        <f>IF(O60="","",SUMIF('E-1 Off-Site Hedge Baseline'!$AB$10:$AB$257,'Off-site gain site summary'!$O60,'E-1 Off-Site Hedge Baseline'!$AY$10:$AY$257))</f>
        <v/>
      </c>
      <c r="T60" s="1000" t="str">
        <f>IF(O60="","",SUMIF('E-3 Off-Site Hedge Enhancement'!$AO$12:$AO$257,'Off-site gain site summary'!$O60,'E-3 Off-Site Hedge Enhancement'!$AK$12:$AK$257))</f>
        <v/>
      </c>
      <c r="U60" s="1000" t="str">
        <f>IF(O60="","",SUMIF('E-3 Off-Site Hedge Enhancement'!$AO$12:$AO$257,'Off-site gain site summary'!$O60,'E-3 Off-Site Hedge Enhancement'!$AJ$12:$AJ$257))</f>
        <v/>
      </c>
      <c r="V60" s="1000" t="str">
        <f>IF(O60="","",SUMIF('E-2 Off-Site Hedge Creation'!$AD$12:$AD$259,'Off-site gain site summary'!$O60,'E-2 Off-Site Hedge Creation'!$Z$12:$Z$259))</f>
        <v/>
      </c>
      <c r="W60" s="991" t="str">
        <f>IF(O60="","",SUMIF('E-2 Off-Site Hedge Creation'!$AD$12:$AD$259,'Off-site gain site summary'!$O60,'E-2 Off-Site Hedge Creation'!$Y$12:$Y$259))</f>
        <v/>
      </c>
      <c r="X60" s="991" t="str">
        <f t="shared" si="2"/>
        <v/>
      </c>
      <c r="Y60" s="991" t="str">
        <f>IF(ISBLANK(O60),"",IFERROR(_xlfn.XLOOKUP(O60,'E-2 Off-Site Hedge Creation'!$AD$12:$AD$259,'E-2 Off-Site Hedge Creation'!$N$12:$N$259),IFERROR(_xlfn.XLOOKUP(O60,'E-1 Off-Site Hedge Baseline'!$AB$10:$AB$257,'E-1 Off-Site Hedge Baseline'!$P$10:$P$257)," ")))</f>
        <v/>
      </c>
      <c r="Z60" s="986" t="str">
        <f t="shared" si="3"/>
        <v/>
      </c>
      <c r="AA60" s="992">
        <f>'F-1 Off-Site WaterC'' Baseline'!AH63</f>
        <v>0</v>
      </c>
      <c r="AB60" s="996"/>
      <c r="AC60" s="1000" t="str">
        <f>IF(AB60="","",SUMIF('F-1 Off-Site WaterC'' Baseline'!$AH$10:$AH$257,'Off-site gain site summary'!$AB60,'F-1 Off-Site WaterC'' Baseline'!$U$10:$U$257))</f>
        <v/>
      </c>
      <c r="AD60" s="1000" t="str">
        <f>IF(AB60="","",SUMIF('F-1 Off-Site WaterC'' Baseline'!$AH$10:$AH$257,'Off-site gain site summary'!$AB60,'F-1 Off-Site WaterC'' Baseline'!$R$10:$R$257))</f>
        <v/>
      </c>
      <c r="AE60" s="1000" t="str">
        <f>IF(AB60="","",SUMIF('F-1 Off-Site WaterC'' Baseline'!$AH$10:$AH$257,'Off-site gain site summary'!$AB60,'F-1 Off-Site WaterC'' Baseline'!$Z$10:$Z$257))</f>
        <v/>
      </c>
      <c r="AF60" s="1000" t="str">
        <f>IF(AB60="","",SUMIF('F-1 Off-Site WaterC'' Baseline'!$AH$10:$AH$257,'Off-site gain site summary'!$AB60,'F-1 Off-Site WaterC'' Baseline'!$BA$10:$BA$257))</f>
        <v/>
      </c>
      <c r="AG60" s="1000" t="str">
        <f>IF(AB60="","",SUMIF('F-3 Off-Site WaterC Enhancement'!$AT$12:$AT$257,'Off-site gain site summary'!$AB60,'F-3 Off-Site WaterC Enhancement'!$AP$12:$AP$257))</f>
        <v/>
      </c>
      <c r="AH60" s="1000" t="str">
        <f>IF(AB60="","",SUMIF('F-3 Off-Site WaterC Enhancement'!$AT$12:$AT$257,'Off-site gain site summary'!$AB60,'F-3 Off-Site WaterC Enhancement'!$AO$12:$AO$257))</f>
        <v/>
      </c>
      <c r="AI60" s="1000" t="str">
        <f>IF(AB60="","",SUMIF('F-2 Off-Site WaterC'' Creation'!$AG$12:$AG$259,'Off-site gain site summary'!$AB60,'F-2 Off-Site WaterC'' Creation'!$AC$12:$AC$259))</f>
        <v/>
      </c>
      <c r="AJ60" s="1000" t="str">
        <f>IF(AB60="","",SUMIF('F-2 Off-Site WaterC'' Creation'!$AG$12:$AG$259,'Off-site gain site summary'!$AB60,'F-2 Off-Site WaterC'' Creation'!$AB$12:$AB$259))</f>
        <v/>
      </c>
      <c r="AK60" s="1000" t="str">
        <f t="shared" si="4"/>
        <v/>
      </c>
      <c r="AL60" s="1000" t="str">
        <f>IF(ISBLANK(AB60),"",IFERROR(_xlfn.XLOOKUP(AB60,'F-2 Off-Site WaterC'' Creation'!$AG$12:$AG$258,'F-2 Off-Site WaterC'' Creation'!$AA$12:$AA$258),IFERROR(_xlfn.XLOOKUP(AB60,'F-1 Off-Site WaterC'' Baseline'!$AH$10:$AH$257,'F-1 Off-Site WaterC'' Baseline'!$T$10:$T$257)," ")))</f>
        <v/>
      </c>
      <c r="AM60" s="986" t="str">
        <f t="shared" si="5"/>
        <v/>
      </c>
      <c r="AN60" s="1469"/>
      <c r="AO60" s="1469"/>
    </row>
    <row r="61" spans="1:41" s="992" customFormat="1" ht="43.5" customHeight="1">
      <c r="A61" s="988">
        <f>'D-1 Off-Site Habitat Baseline'!AF65</f>
        <v>0</v>
      </c>
      <c r="B61" s="996"/>
      <c r="C61" s="997" t="str">
        <f>IF(B61="","",SUMIF('D-1 Off-Site Habitat Baseline'!AF65:AF312,B61,'D-1 Off-Site Habitat Baseline'!T65:T312))</f>
        <v/>
      </c>
      <c r="D61" s="990" t="str">
        <f>IF(B61="","",SUMIF('D-1 Off-Site Habitat Baseline'!$AF$11:$AF$258,B61,'D-1 Off-Site Habitat Baseline'!$Q$11:$Q$258))</f>
        <v/>
      </c>
      <c r="E61" s="998" t="str">
        <f>IF(B61="","",SUMIF('D-1 Off-Site Habitat Baseline'!$AF$11:$AF$258,'Off-site gain site summary'!$B61,'D-1 Off-Site Habitat Baseline'!$X$11:$X$258))</f>
        <v/>
      </c>
      <c r="F61" s="999" t="str">
        <f>IF(B61="","",SUMIF('D-1 Off-Site Habitat Baseline'!$AF$11:$AF$258,'Off-site gain site summary'!$B61,'D-1 Off-Site Habitat Baseline'!$AY$11:$AY$258))</f>
        <v/>
      </c>
      <c r="G61" s="998" t="str">
        <f>IF(B61="","",SUMIF('D-3 Off-Site Habitat Enhancment'!$AU$12:$AU$258,'Off-site gain site summary'!B61,'D-3 Off-Site Habitat Enhancment'!$AQ$12:$AQ$258))</f>
        <v/>
      </c>
      <c r="H61" s="999" t="str">
        <f>IF(B61="","",SUMIF('D-3 Off-Site Habitat Enhancment'!$AU$12:$AU$258,'Off-site gain site summary'!B61,'D-3 Off-Site Habitat Enhancment'!$AP$12:$AP$258))</f>
        <v/>
      </c>
      <c r="I61" s="998" t="str">
        <f>IF(B61="","",SUMIF('D-2 Off-Site Habitat Creation'!$AF$11:$AF$256,'Off-site gain site summary'!B61,'D-2 Off-Site Habitat Creation'!$AB$11:$AB$256))</f>
        <v/>
      </c>
      <c r="J61" s="999" t="str">
        <f>IF(B61="","",SUMIF('D-2 Off-Site Habitat Creation'!$AF$11:$AF$256,'Off-site gain site summary'!B61,'D-2 Off-Site Habitat Creation'!$AA$11:$AA$256))</f>
        <v/>
      </c>
      <c r="K61" s="1000" t="str">
        <f t="shared" si="0"/>
        <v/>
      </c>
      <c r="L61" s="997" t="str">
        <f>IF(ISBLANK(B61),"",IFERROR(_xlfn.XLOOKUP(B61,'D-2 Off-Site Habitat Creation'!$AF$11:$AF$256,'D-2 Off-Site Habitat Creation'!$Z$11:$Z$256),IFERROR(_xlfn.XLOOKUP(B61,'D-1 Off-Site Habitat Baseline'!AF$11:AF$258,'D-1 Off-Site Habitat Baseline'!S$11:S$258)," ")))</f>
        <v/>
      </c>
      <c r="M61" s="983" t="str">
        <f t="shared" si="1"/>
        <v/>
      </c>
      <c r="N61" s="988">
        <f>'E-1 Off-Site Hedge Baseline'!AB64</f>
        <v>0</v>
      </c>
      <c r="O61" s="996"/>
      <c r="P61" s="1000" t="str">
        <f>IF(O61="","",SUMIF('E-1 Off-Site Hedge Baseline'!AB$10:AB$257,'Off-site gain site summary'!O61,'E-1 Off-Site Hedge Baseline'!Q$10:Q$257))</f>
        <v/>
      </c>
      <c r="Q61" s="1000" t="str">
        <f>IF(O61="","",SUMIF('E-1 Off-Site Hedge Baseline'!AB$10:AB$257,O61,'E-1 Off-Site Hedge Baseline'!N$10:N$257))</f>
        <v/>
      </c>
      <c r="R61" s="1000" t="str">
        <f>IF(O61="","",SUMIF('E-1 Off-Site Hedge Baseline'!$AB$10:$AB$257,'Off-site gain site summary'!$O61,'E-1 Off-Site Hedge Baseline'!$U$10:$U$257))</f>
        <v/>
      </c>
      <c r="S61" s="1000" t="str">
        <f>IF(O61="","",SUMIF('E-1 Off-Site Hedge Baseline'!$AB$10:$AB$257,'Off-site gain site summary'!$O61,'E-1 Off-Site Hedge Baseline'!$AY$10:$AY$257))</f>
        <v/>
      </c>
      <c r="T61" s="1000" t="str">
        <f>IF(O61="","",SUMIF('E-3 Off-Site Hedge Enhancement'!$AO$12:$AO$257,'Off-site gain site summary'!$O61,'E-3 Off-Site Hedge Enhancement'!$AK$12:$AK$257))</f>
        <v/>
      </c>
      <c r="U61" s="1000" t="str">
        <f>IF(O61="","",SUMIF('E-3 Off-Site Hedge Enhancement'!$AO$12:$AO$257,'Off-site gain site summary'!$O61,'E-3 Off-Site Hedge Enhancement'!$AJ$12:$AJ$257))</f>
        <v/>
      </c>
      <c r="V61" s="1000" t="str">
        <f>IF(O61="","",SUMIF('E-2 Off-Site Hedge Creation'!$AD$12:$AD$259,'Off-site gain site summary'!$O61,'E-2 Off-Site Hedge Creation'!$Z$12:$Z$259))</f>
        <v/>
      </c>
      <c r="W61" s="991" t="str">
        <f>IF(O61="","",SUMIF('E-2 Off-Site Hedge Creation'!$AD$12:$AD$259,'Off-site gain site summary'!$O61,'E-2 Off-Site Hedge Creation'!$Y$12:$Y$259))</f>
        <v/>
      </c>
      <c r="X61" s="991" t="str">
        <f t="shared" si="2"/>
        <v/>
      </c>
      <c r="Y61" s="991" t="str">
        <f>IF(ISBLANK(O61),"",IFERROR(_xlfn.XLOOKUP(O61,'E-2 Off-Site Hedge Creation'!$AD$12:$AD$259,'E-2 Off-Site Hedge Creation'!$N$12:$N$259),IFERROR(_xlfn.XLOOKUP(O61,'E-1 Off-Site Hedge Baseline'!$AB$10:$AB$257,'E-1 Off-Site Hedge Baseline'!$P$10:$P$257)," ")))</f>
        <v/>
      </c>
      <c r="Z61" s="986" t="str">
        <f t="shared" si="3"/>
        <v/>
      </c>
      <c r="AA61" s="992">
        <f>'F-1 Off-Site WaterC'' Baseline'!AH64</f>
        <v>0</v>
      </c>
      <c r="AB61" s="996"/>
      <c r="AC61" s="1000" t="str">
        <f>IF(AB61="","",SUMIF('F-1 Off-Site WaterC'' Baseline'!$AH$10:$AH$257,'Off-site gain site summary'!$AB61,'F-1 Off-Site WaterC'' Baseline'!$U$10:$U$257))</f>
        <v/>
      </c>
      <c r="AD61" s="1000" t="str">
        <f>IF(AB61="","",SUMIF('F-1 Off-Site WaterC'' Baseline'!$AH$10:$AH$257,'Off-site gain site summary'!$AB61,'F-1 Off-Site WaterC'' Baseline'!$R$10:$R$257))</f>
        <v/>
      </c>
      <c r="AE61" s="1000" t="str">
        <f>IF(AB61="","",SUMIF('F-1 Off-Site WaterC'' Baseline'!$AH$10:$AH$257,'Off-site gain site summary'!$AB61,'F-1 Off-Site WaterC'' Baseline'!$Z$10:$Z$257))</f>
        <v/>
      </c>
      <c r="AF61" s="1000" t="str">
        <f>IF(AB61="","",SUMIF('F-1 Off-Site WaterC'' Baseline'!$AH$10:$AH$257,'Off-site gain site summary'!$AB61,'F-1 Off-Site WaterC'' Baseline'!$BA$10:$BA$257))</f>
        <v/>
      </c>
      <c r="AG61" s="1000" t="str">
        <f>IF(AB61="","",SUMIF('F-3 Off-Site WaterC Enhancement'!$AT$12:$AT$257,'Off-site gain site summary'!$AB61,'F-3 Off-Site WaterC Enhancement'!$AP$12:$AP$257))</f>
        <v/>
      </c>
      <c r="AH61" s="1000" t="str">
        <f>IF(AB61="","",SUMIF('F-3 Off-Site WaterC Enhancement'!$AT$12:$AT$257,'Off-site gain site summary'!$AB61,'F-3 Off-Site WaterC Enhancement'!$AO$12:$AO$257))</f>
        <v/>
      </c>
      <c r="AI61" s="1000" t="str">
        <f>IF(AB61="","",SUMIF('F-2 Off-Site WaterC'' Creation'!$AG$12:$AG$259,'Off-site gain site summary'!$AB61,'F-2 Off-Site WaterC'' Creation'!$AC$12:$AC$259))</f>
        <v/>
      </c>
      <c r="AJ61" s="1000" t="str">
        <f>IF(AB61="","",SUMIF('F-2 Off-Site WaterC'' Creation'!$AG$12:$AG$259,'Off-site gain site summary'!$AB61,'F-2 Off-Site WaterC'' Creation'!$AB$12:$AB$259))</f>
        <v/>
      </c>
      <c r="AK61" s="1000" t="str">
        <f t="shared" si="4"/>
        <v/>
      </c>
      <c r="AL61" s="1000" t="str">
        <f>IF(ISBLANK(AB61),"",IFERROR(_xlfn.XLOOKUP(AB61,'F-2 Off-Site WaterC'' Creation'!$AG$12:$AG$258,'F-2 Off-Site WaterC'' Creation'!$AA$12:$AA$258),IFERROR(_xlfn.XLOOKUP(AB61,'F-1 Off-Site WaterC'' Baseline'!$AH$10:$AH$257,'F-1 Off-Site WaterC'' Baseline'!$T$10:$T$257)," ")))</f>
        <v/>
      </c>
      <c r="AM61" s="986" t="str">
        <f t="shared" si="5"/>
        <v/>
      </c>
      <c r="AN61" s="1469"/>
      <c r="AO61" s="1469"/>
    </row>
    <row r="62" spans="1:41" s="992" customFormat="1" ht="43.5" customHeight="1">
      <c r="A62" s="988">
        <f>'D-1 Off-Site Habitat Baseline'!AF66</f>
        <v>0</v>
      </c>
      <c r="B62" s="996"/>
      <c r="C62" s="997" t="str">
        <f>IF(B62="","",SUMIF('D-1 Off-Site Habitat Baseline'!AF66:AF313,B62,'D-1 Off-Site Habitat Baseline'!T66:T313))</f>
        <v/>
      </c>
      <c r="D62" s="990" t="str">
        <f>IF(B62="","",SUMIF('D-1 Off-Site Habitat Baseline'!$AF$11:$AF$258,B62,'D-1 Off-Site Habitat Baseline'!$Q$11:$Q$258))</f>
        <v/>
      </c>
      <c r="E62" s="998" t="str">
        <f>IF(B62="","",SUMIF('D-1 Off-Site Habitat Baseline'!$AF$11:$AF$258,'Off-site gain site summary'!$B62,'D-1 Off-Site Habitat Baseline'!$X$11:$X$258))</f>
        <v/>
      </c>
      <c r="F62" s="999" t="str">
        <f>IF(B62="","",SUMIF('D-1 Off-Site Habitat Baseline'!$AF$11:$AF$258,'Off-site gain site summary'!$B62,'D-1 Off-Site Habitat Baseline'!$AY$11:$AY$258))</f>
        <v/>
      </c>
      <c r="G62" s="998" t="str">
        <f>IF(B62="","",SUMIF('D-3 Off-Site Habitat Enhancment'!$AU$12:$AU$258,'Off-site gain site summary'!B62,'D-3 Off-Site Habitat Enhancment'!$AQ$12:$AQ$258))</f>
        <v/>
      </c>
      <c r="H62" s="999" t="str">
        <f>IF(B62="","",SUMIF('D-3 Off-Site Habitat Enhancment'!$AU$12:$AU$258,'Off-site gain site summary'!B62,'D-3 Off-Site Habitat Enhancment'!$AP$12:$AP$258))</f>
        <v/>
      </c>
      <c r="I62" s="998" t="str">
        <f>IF(B62="","",SUMIF('D-2 Off-Site Habitat Creation'!$AF$11:$AF$256,'Off-site gain site summary'!B62,'D-2 Off-Site Habitat Creation'!$AB$11:$AB$256))</f>
        <v/>
      </c>
      <c r="J62" s="999" t="str">
        <f>IF(B62="","",SUMIF('D-2 Off-Site Habitat Creation'!$AF$11:$AF$256,'Off-site gain site summary'!B62,'D-2 Off-Site Habitat Creation'!$AA$11:$AA$256))</f>
        <v/>
      </c>
      <c r="K62" s="1000" t="str">
        <f t="shared" si="0"/>
        <v/>
      </c>
      <c r="L62" s="997" t="str">
        <f>IF(ISBLANK(B62),"",IFERROR(_xlfn.XLOOKUP(B62,'D-2 Off-Site Habitat Creation'!$AF$11:$AF$256,'D-2 Off-Site Habitat Creation'!$Z$11:$Z$256),IFERROR(_xlfn.XLOOKUP(B62,'D-1 Off-Site Habitat Baseline'!AF$11:AF$258,'D-1 Off-Site Habitat Baseline'!S$11:S$258)," ")))</f>
        <v/>
      </c>
      <c r="M62" s="983" t="str">
        <f t="shared" si="1"/>
        <v/>
      </c>
      <c r="N62" s="988">
        <f>'E-1 Off-Site Hedge Baseline'!AB65</f>
        <v>0</v>
      </c>
      <c r="O62" s="996"/>
      <c r="P62" s="1000" t="str">
        <f>IF(O62="","",SUMIF('E-1 Off-Site Hedge Baseline'!AB$10:AB$257,'Off-site gain site summary'!O62,'E-1 Off-Site Hedge Baseline'!Q$10:Q$257))</f>
        <v/>
      </c>
      <c r="Q62" s="1000" t="str">
        <f>IF(O62="","",SUMIF('E-1 Off-Site Hedge Baseline'!AB$10:AB$257,O62,'E-1 Off-Site Hedge Baseline'!N$10:N$257))</f>
        <v/>
      </c>
      <c r="R62" s="1000" t="str">
        <f>IF(O62="","",SUMIF('E-1 Off-Site Hedge Baseline'!$AB$10:$AB$257,'Off-site gain site summary'!$O62,'E-1 Off-Site Hedge Baseline'!$U$10:$U$257))</f>
        <v/>
      </c>
      <c r="S62" s="1000" t="str">
        <f>IF(O62="","",SUMIF('E-1 Off-Site Hedge Baseline'!$AB$10:$AB$257,'Off-site gain site summary'!$O62,'E-1 Off-Site Hedge Baseline'!$AY$10:$AY$257))</f>
        <v/>
      </c>
      <c r="T62" s="1000" t="str">
        <f>IF(O62="","",SUMIF('E-3 Off-Site Hedge Enhancement'!$AO$12:$AO$257,'Off-site gain site summary'!$O62,'E-3 Off-Site Hedge Enhancement'!$AK$12:$AK$257))</f>
        <v/>
      </c>
      <c r="U62" s="1000" t="str">
        <f>IF(O62="","",SUMIF('E-3 Off-Site Hedge Enhancement'!$AO$12:$AO$257,'Off-site gain site summary'!$O62,'E-3 Off-Site Hedge Enhancement'!$AJ$12:$AJ$257))</f>
        <v/>
      </c>
      <c r="V62" s="1000" t="str">
        <f>IF(O62="","",SUMIF('E-2 Off-Site Hedge Creation'!$AD$12:$AD$259,'Off-site gain site summary'!$O62,'E-2 Off-Site Hedge Creation'!$Z$12:$Z$259))</f>
        <v/>
      </c>
      <c r="W62" s="991" t="str">
        <f>IF(O62="","",SUMIF('E-2 Off-Site Hedge Creation'!$AD$12:$AD$259,'Off-site gain site summary'!$O62,'E-2 Off-Site Hedge Creation'!$Y$12:$Y$259))</f>
        <v/>
      </c>
      <c r="X62" s="991" t="str">
        <f t="shared" si="2"/>
        <v/>
      </c>
      <c r="Y62" s="991" t="str">
        <f>IF(ISBLANK(O62),"",IFERROR(_xlfn.XLOOKUP(O62,'E-2 Off-Site Hedge Creation'!$AD$12:$AD$259,'E-2 Off-Site Hedge Creation'!$N$12:$N$259),IFERROR(_xlfn.XLOOKUP(O62,'E-1 Off-Site Hedge Baseline'!$AB$10:$AB$257,'E-1 Off-Site Hedge Baseline'!$P$10:$P$257)," ")))</f>
        <v/>
      </c>
      <c r="Z62" s="986" t="str">
        <f t="shared" si="3"/>
        <v/>
      </c>
      <c r="AA62" s="992">
        <f>'F-1 Off-Site WaterC'' Baseline'!AH65</f>
        <v>0</v>
      </c>
      <c r="AB62" s="996"/>
      <c r="AC62" s="1000" t="str">
        <f>IF(AB62="","",SUMIF('F-1 Off-Site WaterC'' Baseline'!$AH$10:$AH$257,'Off-site gain site summary'!$AB62,'F-1 Off-Site WaterC'' Baseline'!$U$10:$U$257))</f>
        <v/>
      </c>
      <c r="AD62" s="1000" t="str">
        <f>IF(AB62="","",SUMIF('F-1 Off-Site WaterC'' Baseline'!$AH$10:$AH$257,'Off-site gain site summary'!$AB62,'F-1 Off-Site WaterC'' Baseline'!$R$10:$R$257))</f>
        <v/>
      </c>
      <c r="AE62" s="1000" t="str">
        <f>IF(AB62="","",SUMIF('F-1 Off-Site WaterC'' Baseline'!$AH$10:$AH$257,'Off-site gain site summary'!$AB62,'F-1 Off-Site WaterC'' Baseline'!$Z$10:$Z$257))</f>
        <v/>
      </c>
      <c r="AF62" s="1000" t="str">
        <f>IF(AB62="","",SUMIF('F-1 Off-Site WaterC'' Baseline'!$AH$10:$AH$257,'Off-site gain site summary'!$AB62,'F-1 Off-Site WaterC'' Baseline'!$BA$10:$BA$257))</f>
        <v/>
      </c>
      <c r="AG62" s="1000" t="str">
        <f>IF(AB62="","",SUMIF('F-3 Off-Site WaterC Enhancement'!$AT$12:$AT$257,'Off-site gain site summary'!$AB62,'F-3 Off-Site WaterC Enhancement'!$AP$12:$AP$257))</f>
        <v/>
      </c>
      <c r="AH62" s="1000" t="str">
        <f>IF(AB62="","",SUMIF('F-3 Off-Site WaterC Enhancement'!$AT$12:$AT$257,'Off-site gain site summary'!$AB62,'F-3 Off-Site WaterC Enhancement'!$AO$12:$AO$257))</f>
        <v/>
      </c>
      <c r="AI62" s="1000" t="str">
        <f>IF(AB62="","",SUMIF('F-2 Off-Site WaterC'' Creation'!$AG$12:$AG$259,'Off-site gain site summary'!$AB62,'F-2 Off-Site WaterC'' Creation'!$AC$12:$AC$259))</f>
        <v/>
      </c>
      <c r="AJ62" s="1000" t="str">
        <f>IF(AB62="","",SUMIF('F-2 Off-Site WaterC'' Creation'!$AG$12:$AG$259,'Off-site gain site summary'!$AB62,'F-2 Off-Site WaterC'' Creation'!$AB$12:$AB$259))</f>
        <v/>
      </c>
      <c r="AK62" s="1000" t="str">
        <f t="shared" si="4"/>
        <v/>
      </c>
      <c r="AL62" s="1000" t="str">
        <f>IF(ISBLANK(AB62),"",IFERROR(_xlfn.XLOOKUP(AB62,'F-2 Off-Site WaterC'' Creation'!$AG$12:$AG$258,'F-2 Off-Site WaterC'' Creation'!$AA$12:$AA$258),IFERROR(_xlfn.XLOOKUP(AB62,'F-1 Off-Site WaterC'' Baseline'!$AH$10:$AH$257,'F-1 Off-Site WaterC'' Baseline'!$T$10:$T$257)," ")))</f>
        <v/>
      </c>
      <c r="AM62" s="986" t="str">
        <f t="shared" si="5"/>
        <v/>
      </c>
      <c r="AN62" s="1469"/>
      <c r="AO62" s="1469"/>
    </row>
    <row r="63" spans="1:41" s="992" customFormat="1" ht="43.5" customHeight="1">
      <c r="A63" s="988">
        <f>'D-1 Off-Site Habitat Baseline'!AF67</f>
        <v>0</v>
      </c>
      <c r="B63" s="996"/>
      <c r="C63" s="997" t="str">
        <f>IF(B63="","",SUMIF('D-1 Off-Site Habitat Baseline'!AF67:AF314,B63,'D-1 Off-Site Habitat Baseline'!T67:T314))</f>
        <v/>
      </c>
      <c r="D63" s="990" t="str">
        <f>IF(B63="","",SUMIF('D-1 Off-Site Habitat Baseline'!$AF$11:$AF$258,B63,'D-1 Off-Site Habitat Baseline'!$Q$11:$Q$258))</f>
        <v/>
      </c>
      <c r="E63" s="998" t="str">
        <f>IF(B63="","",SUMIF('D-1 Off-Site Habitat Baseline'!$AF$11:$AF$258,'Off-site gain site summary'!$B63,'D-1 Off-Site Habitat Baseline'!$X$11:$X$258))</f>
        <v/>
      </c>
      <c r="F63" s="999" t="str">
        <f>IF(B63="","",SUMIF('D-1 Off-Site Habitat Baseline'!$AF$11:$AF$258,'Off-site gain site summary'!$B63,'D-1 Off-Site Habitat Baseline'!$AY$11:$AY$258))</f>
        <v/>
      </c>
      <c r="G63" s="998" t="str">
        <f>IF(B63="","",SUMIF('D-3 Off-Site Habitat Enhancment'!$AU$12:$AU$258,'Off-site gain site summary'!B63,'D-3 Off-Site Habitat Enhancment'!$AQ$12:$AQ$258))</f>
        <v/>
      </c>
      <c r="H63" s="999" t="str">
        <f>IF(B63="","",SUMIF('D-3 Off-Site Habitat Enhancment'!$AU$12:$AU$258,'Off-site gain site summary'!B63,'D-3 Off-Site Habitat Enhancment'!$AP$12:$AP$258))</f>
        <v/>
      </c>
      <c r="I63" s="998" t="str">
        <f>IF(B63="","",SUMIF('D-2 Off-Site Habitat Creation'!$AF$11:$AF$256,'Off-site gain site summary'!B63,'D-2 Off-Site Habitat Creation'!$AB$11:$AB$256))</f>
        <v/>
      </c>
      <c r="J63" s="999" t="str">
        <f>IF(B63="","",SUMIF('D-2 Off-Site Habitat Creation'!$AF$11:$AF$256,'Off-site gain site summary'!B63,'D-2 Off-Site Habitat Creation'!$AA$11:$AA$256))</f>
        <v/>
      </c>
      <c r="K63" s="1000" t="str">
        <f t="shared" si="0"/>
        <v/>
      </c>
      <c r="L63" s="997" t="str">
        <f>IF(ISBLANK(B63),"",IFERROR(_xlfn.XLOOKUP(B63,'D-2 Off-Site Habitat Creation'!$AF$11:$AF$256,'D-2 Off-Site Habitat Creation'!$Z$11:$Z$256),IFERROR(_xlfn.XLOOKUP(B63,'D-1 Off-Site Habitat Baseline'!AF$11:AF$258,'D-1 Off-Site Habitat Baseline'!S$11:S$258)," ")))</f>
        <v/>
      </c>
      <c r="M63" s="983" t="str">
        <f t="shared" si="1"/>
        <v/>
      </c>
      <c r="N63" s="988">
        <f>'E-1 Off-Site Hedge Baseline'!AB66</f>
        <v>0</v>
      </c>
      <c r="O63" s="996"/>
      <c r="P63" s="1000" t="str">
        <f>IF(O63="","",SUMIF('E-1 Off-Site Hedge Baseline'!AB$10:AB$257,'Off-site gain site summary'!O63,'E-1 Off-Site Hedge Baseline'!Q$10:Q$257))</f>
        <v/>
      </c>
      <c r="Q63" s="1000" t="str">
        <f>IF(O63="","",SUMIF('E-1 Off-Site Hedge Baseline'!AB$10:AB$257,O63,'E-1 Off-Site Hedge Baseline'!N$10:N$257))</f>
        <v/>
      </c>
      <c r="R63" s="1000" t="str">
        <f>IF(O63="","",SUMIF('E-1 Off-Site Hedge Baseline'!$AB$10:$AB$257,'Off-site gain site summary'!$O63,'E-1 Off-Site Hedge Baseline'!$U$10:$U$257))</f>
        <v/>
      </c>
      <c r="S63" s="1000" t="str">
        <f>IF(O63="","",SUMIF('E-1 Off-Site Hedge Baseline'!$AB$10:$AB$257,'Off-site gain site summary'!$O63,'E-1 Off-Site Hedge Baseline'!$AY$10:$AY$257))</f>
        <v/>
      </c>
      <c r="T63" s="1000" t="str">
        <f>IF(O63="","",SUMIF('E-3 Off-Site Hedge Enhancement'!$AO$12:$AO$257,'Off-site gain site summary'!$O63,'E-3 Off-Site Hedge Enhancement'!$AK$12:$AK$257))</f>
        <v/>
      </c>
      <c r="U63" s="1000" t="str">
        <f>IF(O63="","",SUMIF('E-3 Off-Site Hedge Enhancement'!$AO$12:$AO$257,'Off-site gain site summary'!$O63,'E-3 Off-Site Hedge Enhancement'!$AJ$12:$AJ$257))</f>
        <v/>
      </c>
      <c r="V63" s="1000" t="str">
        <f>IF(O63="","",SUMIF('E-2 Off-Site Hedge Creation'!$AD$12:$AD$259,'Off-site gain site summary'!$O63,'E-2 Off-Site Hedge Creation'!$Z$12:$Z$259))</f>
        <v/>
      </c>
      <c r="W63" s="991" t="str">
        <f>IF(O63="","",SUMIF('E-2 Off-Site Hedge Creation'!$AD$12:$AD$259,'Off-site gain site summary'!$O63,'E-2 Off-Site Hedge Creation'!$Y$12:$Y$259))</f>
        <v/>
      </c>
      <c r="X63" s="991" t="str">
        <f t="shared" si="2"/>
        <v/>
      </c>
      <c r="Y63" s="991" t="str">
        <f>IF(ISBLANK(O63),"",IFERROR(_xlfn.XLOOKUP(O63,'E-2 Off-Site Hedge Creation'!$AD$12:$AD$259,'E-2 Off-Site Hedge Creation'!$N$12:$N$259),IFERROR(_xlfn.XLOOKUP(O63,'E-1 Off-Site Hedge Baseline'!$AB$10:$AB$257,'E-1 Off-Site Hedge Baseline'!$P$10:$P$257)," ")))</f>
        <v/>
      </c>
      <c r="Z63" s="986" t="str">
        <f t="shared" si="3"/>
        <v/>
      </c>
      <c r="AA63" s="992">
        <f>'F-1 Off-Site WaterC'' Baseline'!AH66</f>
        <v>0</v>
      </c>
      <c r="AB63" s="996"/>
      <c r="AC63" s="1000" t="str">
        <f>IF(AB63="","",SUMIF('F-1 Off-Site WaterC'' Baseline'!$AH$10:$AH$257,'Off-site gain site summary'!$AB63,'F-1 Off-Site WaterC'' Baseline'!$U$10:$U$257))</f>
        <v/>
      </c>
      <c r="AD63" s="1000" t="str">
        <f>IF(AB63="","",SUMIF('F-1 Off-Site WaterC'' Baseline'!$AH$10:$AH$257,'Off-site gain site summary'!$AB63,'F-1 Off-Site WaterC'' Baseline'!$R$10:$R$257))</f>
        <v/>
      </c>
      <c r="AE63" s="1000" t="str">
        <f>IF(AB63="","",SUMIF('F-1 Off-Site WaterC'' Baseline'!$AH$10:$AH$257,'Off-site gain site summary'!$AB63,'F-1 Off-Site WaterC'' Baseline'!$Z$10:$Z$257))</f>
        <v/>
      </c>
      <c r="AF63" s="1000" t="str">
        <f>IF(AB63="","",SUMIF('F-1 Off-Site WaterC'' Baseline'!$AH$10:$AH$257,'Off-site gain site summary'!$AB63,'F-1 Off-Site WaterC'' Baseline'!$BA$10:$BA$257))</f>
        <v/>
      </c>
      <c r="AG63" s="1000" t="str">
        <f>IF(AB63="","",SUMIF('F-3 Off-Site WaterC Enhancement'!$AT$12:$AT$257,'Off-site gain site summary'!$AB63,'F-3 Off-Site WaterC Enhancement'!$AP$12:$AP$257))</f>
        <v/>
      </c>
      <c r="AH63" s="1000" t="str">
        <f>IF(AB63="","",SUMIF('F-3 Off-Site WaterC Enhancement'!$AT$12:$AT$257,'Off-site gain site summary'!$AB63,'F-3 Off-Site WaterC Enhancement'!$AO$12:$AO$257))</f>
        <v/>
      </c>
      <c r="AI63" s="1000" t="str">
        <f>IF(AB63="","",SUMIF('F-2 Off-Site WaterC'' Creation'!$AG$12:$AG$259,'Off-site gain site summary'!$AB63,'F-2 Off-Site WaterC'' Creation'!$AC$12:$AC$259))</f>
        <v/>
      </c>
      <c r="AJ63" s="1000" t="str">
        <f>IF(AB63="","",SUMIF('F-2 Off-Site WaterC'' Creation'!$AG$12:$AG$259,'Off-site gain site summary'!$AB63,'F-2 Off-Site WaterC'' Creation'!$AB$12:$AB$259))</f>
        <v/>
      </c>
      <c r="AK63" s="1000" t="str">
        <f t="shared" si="4"/>
        <v/>
      </c>
      <c r="AL63" s="1000" t="str">
        <f>IF(ISBLANK(AB63),"",IFERROR(_xlfn.XLOOKUP(AB63,'F-2 Off-Site WaterC'' Creation'!$AG$12:$AG$258,'F-2 Off-Site WaterC'' Creation'!$AA$12:$AA$258),IFERROR(_xlfn.XLOOKUP(AB63,'F-1 Off-Site WaterC'' Baseline'!$AH$10:$AH$257,'F-1 Off-Site WaterC'' Baseline'!$T$10:$T$257)," ")))</f>
        <v/>
      </c>
      <c r="AM63" s="986" t="str">
        <f t="shared" si="5"/>
        <v/>
      </c>
      <c r="AN63" s="1469"/>
      <c r="AO63" s="1469"/>
    </row>
    <row r="64" spans="1:41" s="992" customFormat="1" ht="43.5" customHeight="1">
      <c r="A64" s="988">
        <f>'D-1 Off-Site Habitat Baseline'!AF68</f>
        <v>0</v>
      </c>
      <c r="B64" s="996"/>
      <c r="C64" s="997" t="str">
        <f>IF(B64="","",SUMIF('D-1 Off-Site Habitat Baseline'!AF68:AF315,B64,'D-1 Off-Site Habitat Baseline'!T68:T315))</f>
        <v/>
      </c>
      <c r="D64" s="990" t="str">
        <f>IF(B64="","",SUMIF('D-1 Off-Site Habitat Baseline'!$AF$11:$AF$258,B64,'D-1 Off-Site Habitat Baseline'!$Q$11:$Q$258))</f>
        <v/>
      </c>
      <c r="E64" s="998" t="str">
        <f>IF(B64="","",SUMIF('D-1 Off-Site Habitat Baseline'!$AF$11:$AF$258,'Off-site gain site summary'!$B64,'D-1 Off-Site Habitat Baseline'!$X$11:$X$258))</f>
        <v/>
      </c>
      <c r="F64" s="999" t="str">
        <f>IF(B64="","",SUMIF('D-1 Off-Site Habitat Baseline'!$AF$11:$AF$258,'Off-site gain site summary'!$B64,'D-1 Off-Site Habitat Baseline'!$AY$11:$AY$258))</f>
        <v/>
      </c>
      <c r="G64" s="998" t="str">
        <f>IF(B64="","",SUMIF('D-3 Off-Site Habitat Enhancment'!$AU$12:$AU$258,'Off-site gain site summary'!B64,'D-3 Off-Site Habitat Enhancment'!$AQ$12:$AQ$258))</f>
        <v/>
      </c>
      <c r="H64" s="999" t="str">
        <f>IF(B64="","",SUMIF('D-3 Off-Site Habitat Enhancment'!$AU$12:$AU$258,'Off-site gain site summary'!B64,'D-3 Off-Site Habitat Enhancment'!$AP$12:$AP$258))</f>
        <v/>
      </c>
      <c r="I64" s="998" t="str">
        <f>IF(B64="","",SUMIF('D-2 Off-Site Habitat Creation'!$AF$11:$AF$256,'Off-site gain site summary'!B64,'D-2 Off-Site Habitat Creation'!$AB$11:$AB$256))</f>
        <v/>
      </c>
      <c r="J64" s="999" t="str">
        <f>IF(B64="","",SUMIF('D-2 Off-Site Habitat Creation'!$AF$11:$AF$256,'Off-site gain site summary'!B64,'D-2 Off-Site Habitat Creation'!$AA$11:$AA$256))</f>
        <v/>
      </c>
      <c r="K64" s="1000" t="str">
        <f t="shared" si="0"/>
        <v/>
      </c>
      <c r="L64" s="997" t="str">
        <f>IF(ISBLANK(B64),"",IFERROR(_xlfn.XLOOKUP(B64,'D-2 Off-Site Habitat Creation'!$AF$11:$AF$256,'D-2 Off-Site Habitat Creation'!$Z$11:$Z$256),IFERROR(_xlfn.XLOOKUP(B64,'D-1 Off-Site Habitat Baseline'!AF$11:AF$258,'D-1 Off-Site Habitat Baseline'!S$11:S$258)," ")))</f>
        <v/>
      </c>
      <c r="M64" s="983" t="str">
        <f t="shared" si="1"/>
        <v/>
      </c>
      <c r="N64" s="988">
        <f>'E-1 Off-Site Hedge Baseline'!AB67</f>
        <v>0</v>
      </c>
      <c r="O64" s="996"/>
      <c r="P64" s="1000" t="str">
        <f>IF(O64="","",SUMIF('E-1 Off-Site Hedge Baseline'!AB$10:AB$257,'Off-site gain site summary'!O64,'E-1 Off-Site Hedge Baseline'!Q$10:Q$257))</f>
        <v/>
      </c>
      <c r="Q64" s="1000" t="str">
        <f>IF(O64="","",SUMIF('E-1 Off-Site Hedge Baseline'!AB$10:AB$257,O64,'E-1 Off-Site Hedge Baseline'!N$10:N$257))</f>
        <v/>
      </c>
      <c r="R64" s="1000" t="str">
        <f>IF(O64="","",SUMIF('E-1 Off-Site Hedge Baseline'!$AB$10:$AB$257,'Off-site gain site summary'!$O64,'E-1 Off-Site Hedge Baseline'!$U$10:$U$257))</f>
        <v/>
      </c>
      <c r="S64" s="1000" t="str">
        <f>IF(O64="","",SUMIF('E-1 Off-Site Hedge Baseline'!$AB$10:$AB$257,'Off-site gain site summary'!$O64,'E-1 Off-Site Hedge Baseline'!$AY$10:$AY$257))</f>
        <v/>
      </c>
      <c r="T64" s="1000" t="str">
        <f>IF(O64="","",SUMIF('E-3 Off-Site Hedge Enhancement'!$AO$12:$AO$257,'Off-site gain site summary'!$O64,'E-3 Off-Site Hedge Enhancement'!$AK$12:$AK$257))</f>
        <v/>
      </c>
      <c r="U64" s="1000" t="str">
        <f>IF(O64="","",SUMIF('E-3 Off-Site Hedge Enhancement'!$AO$12:$AO$257,'Off-site gain site summary'!$O64,'E-3 Off-Site Hedge Enhancement'!$AJ$12:$AJ$257))</f>
        <v/>
      </c>
      <c r="V64" s="1000" t="str">
        <f>IF(O64="","",SUMIF('E-2 Off-Site Hedge Creation'!$AD$12:$AD$259,'Off-site gain site summary'!$O64,'E-2 Off-Site Hedge Creation'!$Z$12:$Z$259))</f>
        <v/>
      </c>
      <c r="W64" s="991" t="str">
        <f>IF(O64="","",SUMIF('E-2 Off-Site Hedge Creation'!$AD$12:$AD$259,'Off-site gain site summary'!$O64,'E-2 Off-Site Hedge Creation'!$Y$12:$Y$259))</f>
        <v/>
      </c>
      <c r="X64" s="991" t="str">
        <f t="shared" si="2"/>
        <v/>
      </c>
      <c r="Y64" s="991" t="str">
        <f>IF(ISBLANK(O64),"",IFERROR(_xlfn.XLOOKUP(O64,'E-2 Off-Site Hedge Creation'!$AD$12:$AD$259,'E-2 Off-Site Hedge Creation'!$N$12:$N$259),IFERROR(_xlfn.XLOOKUP(O64,'E-1 Off-Site Hedge Baseline'!$AB$10:$AB$257,'E-1 Off-Site Hedge Baseline'!$P$10:$P$257)," ")))</f>
        <v/>
      </c>
      <c r="Z64" s="986" t="str">
        <f t="shared" si="3"/>
        <v/>
      </c>
      <c r="AA64" s="992">
        <f>'F-1 Off-Site WaterC'' Baseline'!AH67</f>
        <v>0</v>
      </c>
      <c r="AB64" s="996"/>
      <c r="AC64" s="1000" t="str">
        <f>IF(AB64="","",SUMIF('F-1 Off-Site WaterC'' Baseline'!$AH$10:$AH$257,'Off-site gain site summary'!$AB64,'F-1 Off-Site WaterC'' Baseline'!$U$10:$U$257))</f>
        <v/>
      </c>
      <c r="AD64" s="1000" t="str">
        <f>IF(AB64="","",SUMIF('F-1 Off-Site WaterC'' Baseline'!$AH$10:$AH$257,'Off-site gain site summary'!$AB64,'F-1 Off-Site WaterC'' Baseline'!$R$10:$R$257))</f>
        <v/>
      </c>
      <c r="AE64" s="1000" t="str">
        <f>IF(AB64="","",SUMIF('F-1 Off-Site WaterC'' Baseline'!$AH$10:$AH$257,'Off-site gain site summary'!$AB64,'F-1 Off-Site WaterC'' Baseline'!$Z$10:$Z$257))</f>
        <v/>
      </c>
      <c r="AF64" s="1000" t="str">
        <f>IF(AB64="","",SUMIF('F-1 Off-Site WaterC'' Baseline'!$AH$10:$AH$257,'Off-site gain site summary'!$AB64,'F-1 Off-Site WaterC'' Baseline'!$BA$10:$BA$257))</f>
        <v/>
      </c>
      <c r="AG64" s="1000" t="str">
        <f>IF(AB64="","",SUMIF('F-3 Off-Site WaterC Enhancement'!$AT$12:$AT$257,'Off-site gain site summary'!$AB64,'F-3 Off-Site WaterC Enhancement'!$AP$12:$AP$257))</f>
        <v/>
      </c>
      <c r="AH64" s="1000" t="str">
        <f>IF(AB64="","",SUMIF('F-3 Off-Site WaterC Enhancement'!$AT$12:$AT$257,'Off-site gain site summary'!$AB64,'F-3 Off-Site WaterC Enhancement'!$AO$12:$AO$257))</f>
        <v/>
      </c>
      <c r="AI64" s="1000" t="str">
        <f>IF(AB64="","",SUMIF('F-2 Off-Site WaterC'' Creation'!$AG$12:$AG$259,'Off-site gain site summary'!$AB64,'F-2 Off-Site WaterC'' Creation'!$AC$12:$AC$259))</f>
        <v/>
      </c>
      <c r="AJ64" s="1000" t="str">
        <f>IF(AB64="","",SUMIF('F-2 Off-Site WaterC'' Creation'!$AG$12:$AG$259,'Off-site gain site summary'!$AB64,'F-2 Off-Site WaterC'' Creation'!$AB$12:$AB$259))</f>
        <v/>
      </c>
      <c r="AK64" s="1000" t="str">
        <f t="shared" si="4"/>
        <v/>
      </c>
      <c r="AL64" s="1000" t="str">
        <f>IF(ISBLANK(AB64),"",IFERROR(_xlfn.XLOOKUP(AB64,'F-2 Off-Site WaterC'' Creation'!$AG$12:$AG$258,'F-2 Off-Site WaterC'' Creation'!$AA$12:$AA$258),IFERROR(_xlfn.XLOOKUP(AB64,'F-1 Off-Site WaterC'' Baseline'!$AH$10:$AH$257,'F-1 Off-Site WaterC'' Baseline'!$T$10:$T$257)," ")))</f>
        <v/>
      </c>
      <c r="AM64" s="986" t="str">
        <f t="shared" si="5"/>
        <v/>
      </c>
      <c r="AN64" s="1469"/>
      <c r="AO64" s="1469"/>
    </row>
    <row r="65" spans="1:41" s="992" customFormat="1" ht="43.5" customHeight="1">
      <c r="A65" s="988">
        <f>'D-1 Off-Site Habitat Baseline'!AF69</f>
        <v>0</v>
      </c>
      <c r="B65" s="996"/>
      <c r="C65" s="997" t="str">
        <f>IF(B65="","",SUMIF('D-1 Off-Site Habitat Baseline'!AF69:AF316,B65,'D-1 Off-Site Habitat Baseline'!T69:T316))</f>
        <v/>
      </c>
      <c r="D65" s="990" t="str">
        <f>IF(B65="","",SUMIF('D-1 Off-Site Habitat Baseline'!$AF$11:$AF$258,B65,'D-1 Off-Site Habitat Baseline'!$Q$11:$Q$258))</f>
        <v/>
      </c>
      <c r="E65" s="998" t="str">
        <f>IF(B65="","",SUMIF('D-1 Off-Site Habitat Baseline'!$AF$11:$AF$258,'Off-site gain site summary'!$B65,'D-1 Off-Site Habitat Baseline'!$X$11:$X$258))</f>
        <v/>
      </c>
      <c r="F65" s="999" t="str">
        <f>IF(B65="","",SUMIF('D-1 Off-Site Habitat Baseline'!$AF$11:$AF$258,'Off-site gain site summary'!$B65,'D-1 Off-Site Habitat Baseline'!$AY$11:$AY$258))</f>
        <v/>
      </c>
      <c r="G65" s="998" t="str">
        <f>IF(B65="","",SUMIF('D-3 Off-Site Habitat Enhancment'!$AU$12:$AU$258,'Off-site gain site summary'!B65,'D-3 Off-Site Habitat Enhancment'!$AQ$12:$AQ$258))</f>
        <v/>
      </c>
      <c r="H65" s="999" t="str">
        <f>IF(B65="","",SUMIF('D-3 Off-Site Habitat Enhancment'!$AU$12:$AU$258,'Off-site gain site summary'!B65,'D-3 Off-Site Habitat Enhancment'!$AP$12:$AP$258))</f>
        <v/>
      </c>
      <c r="I65" s="998" t="str">
        <f>IF(B65="","",SUMIF('D-2 Off-Site Habitat Creation'!$AF$11:$AF$256,'Off-site gain site summary'!B65,'D-2 Off-Site Habitat Creation'!$AB$11:$AB$256))</f>
        <v/>
      </c>
      <c r="J65" s="999" t="str">
        <f>IF(B65="","",SUMIF('D-2 Off-Site Habitat Creation'!$AF$11:$AF$256,'Off-site gain site summary'!B65,'D-2 Off-Site Habitat Creation'!$AA$11:$AA$256))</f>
        <v/>
      </c>
      <c r="K65" s="1000" t="str">
        <f t="shared" si="0"/>
        <v/>
      </c>
      <c r="L65" s="997" t="str">
        <f>IF(ISBLANK(B65),"",IFERROR(_xlfn.XLOOKUP(B65,'D-2 Off-Site Habitat Creation'!$AF$11:$AF$256,'D-2 Off-Site Habitat Creation'!$Z$11:$Z$256),IFERROR(_xlfn.XLOOKUP(B65,'D-1 Off-Site Habitat Baseline'!AF$11:AF$258,'D-1 Off-Site Habitat Baseline'!S$11:S$258)," ")))</f>
        <v/>
      </c>
      <c r="M65" s="983" t="str">
        <f t="shared" si="1"/>
        <v/>
      </c>
      <c r="N65" s="988">
        <f>'E-1 Off-Site Hedge Baseline'!AB68</f>
        <v>0</v>
      </c>
      <c r="O65" s="996"/>
      <c r="P65" s="1000" t="str">
        <f>IF(O65="","",SUMIF('E-1 Off-Site Hedge Baseline'!AB$10:AB$257,'Off-site gain site summary'!O65,'E-1 Off-Site Hedge Baseline'!Q$10:Q$257))</f>
        <v/>
      </c>
      <c r="Q65" s="1000" t="str">
        <f>IF(O65="","",SUMIF('E-1 Off-Site Hedge Baseline'!AB$10:AB$257,O65,'E-1 Off-Site Hedge Baseline'!N$10:N$257))</f>
        <v/>
      </c>
      <c r="R65" s="1000" t="str">
        <f>IF(O65="","",SUMIF('E-1 Off-Site Hedge Baseline'!$AB$10:$AB$257,'Off-site gain site summary'!$O65,'E-1 Off-Site Hedge Baseline'!$U$10:$U$257))</f>
        <v/>
      </c>
      <c r="S65" s="1000" t="str">
        <f>IF(O65="","",SUMIF('E-1 Off-Site Hedge Baseline'!$AB$10:$AB$257,'Off-site gain site summary'!$O65,'E-1 Off-Site Hedge Baseline'!$AY$10:$AY$257))</f>
        <v/>
      </c>
      <c r="T65" s="1000" t="str">
        <f>IF(O65="","",SUMIF('E-3 Off-Site Hedge Enhancement'!$AO$12:$AO$257,'Off-site gain site summary'!$O65,'E-3 Off-Site Hedge Enhancement'!$AK$12:$AK$257))</f>
        <v/>
      </c>
      <c r="U65" s="1000" t="str">
        <f>IF(O65="","",SUMIF('E-3 Off-Site Hedge Enhancement'!$AO$12:$AO$257,'Off-site gain site summary'!$O65,'E-3 Off-Site Hedge Enhancement'!$AJ$12:$AJ$257))</f>
        <v/>
      </c>
      <c r="V65" s="1000" t="str">
        <f>IF(O65="","",SUMIF('E-2 Off-Site Hedge Creation'!$AD$12:$AD$259,'Off-site gain site summary'!$O65,'E-2 Off-Site Hedge Creation'!$Z$12:$Z$259))</f>
        <v/>
      </c>
      <c r="W65" s="991" t="str">
        <f>IF(O65="","",SUMIF('E-2 Off-Site Hedge Creation'!$AD$12:$AD$259,'Off-site gain site summary'!$O65,'E-2 Off-Site Hedge Creation'!$Y$12:$Y$259))</f>
        <v/>
      </c>
      <c r="X65" s="991" t="str">
        <f t="shared" si="2"/>
        <v/>
      </c>
      <c r="Y65" s="991" t="str">
        <f>IF(ISBLANK(O65),"",IFERROR(_xlfn.XLOOKUP(O65,'E-2 Off-Site Hedge Creation'!$AD$12:$AD$259,'E-2 Off-Site Hedge Creation'!$N$12:$N$259),IFERROR(_xlfn.XLOOKUP(O65,'E-1 Off-Site Hedge Baseline'!$AB$10:$AB$257,'E-1 Off-Site Hedge Baseline'!$P$10:$P$257)," ")))</f>
        <v/>
      </c>
      <c r="Z65" s="986" t="str">
        <f t="shared" si="3"/>
        <v/>
      </c>
      <c r="AA65" s="992">
        <f>'F-1 Off-Site WaterC'' Baseline'!AH68</f>
        <v>0</v>
      </c>
      <c r="AB65" s="996"/>
      <c r="AC65" s="1000" t="str">
        <f>IF(AB65="","",SUMIF('F-1 Off-Site WaterC'' Baseline'!$AH$10:$AH$257,'Off-site gain site summary'!$AB65,'F-1 Off-Site WaterC'' Baseline'!$U$10:$U$257))</f>
        <v/>
      </c>
      <c r="AD65" s="1000" t="str">
        <f>IF(AB65="","",SUMIF('F-1 Off-Site WaterC'' Baseline'!$AH$10:$AH$257,'Off-site gain site summary'!$AB65,'F-1 Off-Site WaterC'' Baseline'!$R$10:$R$257))</f>
        <v/>
      </c>
      <c r="AE65" s="1000" t="str">
        <f>IF(AB65="","",SUMIF('F-1 Off-Site WaterC'' Baseline'!$AH$10:$AH$257,'Off-site gain site summary'!$AB65,'F-1 Off-Site WaterC'' Baseline'!$Z$10:$Z$257))</f>
        <v/>
      </c>
      <c r="AF65" s="1000" t="str">
        <f>IF(AB65="","",SUMIF('F-1 Off-Site WaterC'' Baseline'!$AH$10:$AH$257,'Off-site gain site summary'!$AB65,'F-1 Off-Site WaterC'' Baseline'!$BA$10:$BA$257))</f>
        <v/>
      </c>
      <c r="AG65" s="1000" t="str">
        <f>IF(AB65="","",SUMIF('F-3 Off-Site WaterC Enhancement'!$AT$12:$AT$257,'Off-site gain site summary'!$AB65,'F-3 Off-Site WaterC Enhancement'!$AP$12:$AP$257))</f>
        <v/>
      </c>
      <c r="AH65" s="1000" t="str">
        <f>IF(AB65="","",SUMIF('F-3 Off-Site WaterC Enhancement'!$AT$12:$AT$257,'Off-site gain site summary'!$AB65,'F-3 Off-Site WaterC Enhancement'!$AO$12:$AO$257))</f>
        <v/>
      </c>
      <c r="AI65" s="1000" t="str">
        <f>IF(AB65="","",SUMIF('F-2 Off-Site WaterC'' Creation'!$AG$12:$AG$259,'Off-site gain site summary'!$AB65,'F-2 Off-Site WaterC'' Creation'!$AC$12:$AC$259))</f>
        <v/>
      </c>
      <c r="AJ65" s="1000" t="str">
        <f>IF(AB65="","",SUMIF('F-2 Off-Site WaterC'' Creation'!$AG$12:$AG$259,'Off-site gain site summary'!$AB65,'F-2 Off-Site WaterC'' Creation'!$AB$12:$AB$259))</f>
        <v/>
      </c>
      <c r="AK65" s="1000" t="str">
        <f t="shared" si="4"/>
        <v/>
      </c>
      <c r="AL65" s="1000" t="str">
        <f>IF(ISBLANK(AB65),"",IFERROR(_xlfn.XLOOKUP(AB65,'F-2 Off-Site WaterC'' Creation'!$AG$12:$AG$258,'F-2 Off-Site WaterC'' Creation'!$AA$12:$AA$258),IFERROR(_xlfn.XLOOKUP(AB65,'F-1 Off-Site WaterC'' Baseline'!$AH$10:$AH$257,'F-1 Off-Site WaterC'' Baseline'!$T$10:$T$257)," ")))</f>
        <v/>
      </c>
      <c r="AM65" s="986" t="str">
        <f t="shared" si="5"/>
        <v/>
      </c>
      <c r="AN65" s="1469"/>
      <c r="AO65" s="1469"/>
    </row>
    <row r="66" spans="1:41" s="992" customFormat="1" ht="43.5" customHeight="1">
      <c r="A66" s="988">
        <f>'D-1 Off-Site Habitat Baseline'!AF70</f>
        <v>0</v>
      </c>
      <c r="B66" s="996"/>
      <c r="C66" s="997" t="str">
        <f>IF(B66="","",SUMIF('D-1 Off-Site Habitat Baseline'!AF70:AF317,B66,'D-1 Off-Site Habitat Baseline'!T70:T317))</f>
        <v/>
      </c>
      <c r="D66" s="990" t="str">
        <f>IF(B66="","",SUMIF('D-1 Off-Site Habitat Baseline'!$AF$11:$AF$258,B66,'D-1 Off-Site Habitat Baseline'!$Q$11:$Q$258))</f>
        <v/>
      </c>
      <c r="E66" s="998" t="str">
        <f>IF(B66="","",SUMIF('D-1 Off-Site Habitat Baseline'!$AF$11:$AF$258,'Off-site gain site summary'!$B66,'D-1 Off-Site Habitat Baseline'!$X$11:$X$258))</f>
        <v/>
      </c>
      <c r="F66" s="999" t="str">
        <f>IF(B66="","",SUMIF('D-1 Off-Site Habitat Baseline'!$AF$11:$AF$258,'Off-site gain site summary'!$B66,'D-1 Off-Site Habitat Baseline'!$AY$11:$AY$258))</f>
        <v/>
      </c>
      <c r="G66" s="998" t="str">
        <f>IF(B66="","",SUMIF('D-3 Off-Site Habitat Enhancment'!$AU$12:$AU$258,'Off-site gain site summary'!B66,'D-3 Off-Site Habitat Enhancment'!$AQ$12:$AQ$258))</f>
        <v/>
      </c>
      <c r="H66" s="999" t="str">
        <f>IF(B66="","",SUMIF('D-3 Off-Site Habitat Enhancment'!$AU$12:$AU$258,'Off-site gain site summary'!B66,'D-3 Off-Site Habitat Enhancment'!$AP$12:$AP$258))</f>
        <v/>
      </c>
      <c r="I66" s="998" t="str">
        <f>IF(B66="","",SUMIF('D-2 Off-Site Habitat Creation'!$AF$11:$AF$256,'Off-site gain site summary'!B66,'D-2 Off-Site Habitat Creation'!$AB$11:$AB$256))</f>
        <v/>
      </c>
      <c r="J66" s="999" t="str">
        <f>IF(B66="","",SUMIF('D-2 Off-Site Habitat Creation'!$AF$11:$AF$256,'Off-site gain site summary'!B66,'D-2 Off-Site Habitat Creation'!$AA$11:$AA$256))</f>
        <v/>
      </c>
      <c r="K66" s="1000" t="str">
        <f t="shared" si="0"/>
        <v/>
      </c>
      <c r="L66" s="997" t="str">
        <f>IF(ISBLANK(B66),"",IFERROR(_xlfn.XLOOKUP(B66,'D-2 Off-Site Habitat Creation'!$AF$11:$AF$256,'D-2 Off-Site Habitat Creation'!$Z$11:$Z$256),IFERROR(_xlfn.XLOOKUP(B66,'D-1 Off-Site Habitat Baseline'!AF$11:AF$258,'D-1 Off-Site Habitat Baseline'!S$11:S$258)," ")))</f>
        <v/>
      </c>
      <c r="M66" s="983" t="str">
        <f t="shared" si="1"/>
        <v/>
      </c>
      <c r="N66" s="988">
        <f>'E-1 Off-Site Hedge Baseline'!AB69</f>
        <v>0</v>
      </c>
      <c r="O66" s="996"/>
      <c r="P66" s="1000" t="str">
        <f>IF(O66="","",SUMIF('E-1 Off-Site Hedge Baseline'!AB$10:AB$257,'Off-site gain site summary'!O66,'E-1 Off-Site Hedge Baseline'!Q$10:Q$257))</f>
        <v/>
      </c>
      <c r="Q66" s="1000" t="str">
        <f>IF(O66="","",SUMIF('E-1 Off-Site Hedge Baseline'!AB$10:AB$257,O66,'E-1 Off-Site Hedge Baseline'!N$10:N$257))</f>
        <v/>
      </c>
      <c r="R66" s="1000" t="str">
        <f>IF(O66="","",SUMIF('E-1 Off-Site Hedge Baseline'!$AB$10:$AB$257,'Off-site gain site summary'!$O66,'E-1 Off-Site Hedge Baseline'!$U$10:$U$257))</f>
        <v/>
      </c>
      <c r="S66" s="1000" t="str">
        <f>IF(O66="","",SUMIF('E-1 Off-Site Hedge Baseline'!$AB$10:$AB$257,'Off-site gain site summary'!$O66,'E-1 Off-Site Hedge Baseline'!$AY$10:$AY$257))</f>
        <v/>
      </c>
      <c r="T66" s="1000" t="str">
        <f>IF(O66="","",SUMIF('E-3 Off-Site Hedge Enhancement'!$AO$12:$AO$257,'Off-site gain site summary'!$O66,'E-3 Off-Site Hedge Enhancement'!$AK$12:$AK$257))</f>
        <v/>
      </c>
      <c r="U66" s="1000" t="str">
        <f>IF(O66="","",SUMIF('E-3 Off-Site Hedge Enhancement'!$AO$12:$AO$257,'Off-site gain site summary'!$O66,'E-3 Off-Site Hedge Enhancement'!$AJ$12:$AJ$257))</f>
        <v/>
      </c>
      <c r="V66" s="1000" t="str">
        <f>IF(O66="","",SUMIF('E-2 Off-Site Hedge Creation'!$AD$12:$AD$259,'Off-site gain site summary'!$O66,'E-2 Off-Site Hedge Creation'!$Z$12:$Z$259))</f>
        <v/>
      </c>
      <c r="W66" s="991" t="str">
        <f>IF(O66="","",SUMIF('E-2 Off-Site Hedge Creation'!$AD$12:$AD$259,'Off-site gain site summary'!$O66,'E-2 Off-Site Hedge Creation'!$Y$12:$Y$259))</f>
        <v/>
      </c>
      <c r="X66" s="991" t="str">
        <f t="shared" si="2"/>
        <v/>
      </c>
      <c r="Y66" s="991" t="str">
        <f>IF(ISBLANK(O66),"",IFERROR(_xlfn.XLOOKUP(O66,'E-2 Off-Site Hedge Creation'!$AD$12:$AD$259,'E-2 Off-Site Hedge Creation'!$N$12:$N$259),IFERROR(_xlfn.XLOOKUP(O66,'E-1 Off-Site Hedge Baseline'!$AB$10:$AB$257,'E-1 Off-Site Hedge Baseline'!$P$10:$P$257)," ")))</f>
        <v/>
      </c>
      <c r="Z66" s="986" t="str">
        <f t="shared" si="3"/>
        <v/>
      </c>
      <c r="AA66" s="992">
        <f>'F-1 Off-Site WaterC'' Baseline'!AH69</f>
        <v>0</v>
      </c>
      <c r="AB66" s="996"/>
      <c r="AC66" s="1000" t="str">
        <f>IF(AB66="","",SUMIF('F-1 Off-Site WaterC'' Baseline'!$AH$10:$AH$257,'Off-site gain site summary'!$AB66,'F-1 Off-Site WaterC'' Baseline'!$U$10:$U$257))</f>
        <v/>
      </c>
      <c r="AD66" s="1000" t="str">
        <f>IF(AB66="","",SUMIF('F-1 Off-Site WaterC'' Baseline'!$AH$10:$AH$257,'Off-site gain site summary'!$AB66,'F-1 Off-Site WaterC'' Baseline'!$R$10:$R$257))</f>
        <v/>
      </c>
      <c r="AE66" s="1000" t="str">
        <f>IF(AB66="","",SUMIF('F-1 Off-Site WaterC'' Baseline'!$AH$10:$AH$257,'Off-site gain site summary'!$AB66,'F-1 Off-Site WaterC'' Baseline'!$Z$10:$Z$257))</f>
        <v/>
      </c>
      <c r="AF66" s="1000" t="str">
        <f>IF(AB66="","",SUMIF('F-1 Off-Site WaterC'' Baseline'!$AH$10:$AH$257,'Off-site gain site summary'!$AB66,'F-1 Off-Site WaterC'' Baseline'!$BA$10:$BA$257))</f>
        <v/>
      </c>
      <c r="AG66" s="1000" t="str">
        <f>IF(AB66="","",SUMIF('F-3 Off-Site WaterC Enhancement'!$AT$12:$AT$257,'Off-site gain site summary'!$AB66,'F-3 Off-Site WaterC Enhancement'!$AP$12:$AP$257))</f>
        <v/>
      </c>
      <c r="AH66" s="1000" t="str">
        <f>IF(AB66="","",SUMIF('F-3 Off-Site WaterC Enhancement'!$AT$12:$AT$257,'Off-site gain site summary'!$AB66,'F-3 Off-Site WaterC Enhancement'!$AO$12:$AO$257))</f>
        <v/>
      </c>
      <c r="AI66" s="1000" t="str">
        <f>IF(AB66="","",SUMIF('F-2 Off-Site WaterC'' Creation'!$AG$12:$AG$259,'Off-site gain site summary'!$AB66,'F-2 Off-Site WaterC'' Creation'!$AC$12:$AC$259))</f>
        <v/>
      </c>
      <c r="AJ66" s="1000" t="str">
        <f>IF(AB66="","",SUMIF('F-2 Off-Site WaterC'' Creation'!$AG$12:$AG$259,'Off-site gain site summary'!$AB66,'F-2 Off-Site WaterC'' Creation'!$AB$12:$AB$259))</f>
        <v/>
      </c>
      <c r="AK66" s="1000" t="str">
        <f t="shared" si="4"/>
        <v/>
      </c>
      <c r="AL66" s="1000" t="str">
        <f>IF(ISBLANK(AB66),"",IFERROR(_xlfn.XLOOKUP(AB66,'F-2 Off-Site WaterC'' Creation'!$AG$12:$AG$258,'F-2 Off-Site WaterC'' Creation'!$AA$12:$AA$258),IFERROR(_xlfn.XLOOKUP(AB66,'F-1 Off-Site WaterC'' Baseline'!$AH$10:$AH$257,'F-1 Off-Site WaterC'' Baseline'!$T$10:$T$257)," ")))</f>
        <v/>
      </c>
      <c r="AM66" s="986" t="str">
        <f t="shared" si="5"/>
        <v/>
      </c>
      <c r="AN66" s="1469"/>
      <c r="AO66" s="1469"/>
    </row>
    <row r="67" spans="1:41" s="992" customFormat="1" ht="43.5" customHeight="1">
      <c r="A67" s="988">
        <f>'D-1 Off-Site Habitat Baseline'!AF71</f>
        <v>0</v>
      </c>
      <c r="B67" s="996"/>
      <c r="C67" s="997" t="str">
        <f>IF(B67="","",SUMIF('D-1 Off-Site Habitat Baseline'!AF71:AF318,B67,'D-1 Off-Site Habitat Baseline'!T71:T318))</f>
        <v/>
      </c>
      <c r="D67" s="990" t="str">
        <f>IF(B67="","",SUMIF('D-1 Off-Site Habitat Baseline'!$AF$11:$AF$258,B67,'D-1 Off-Site Habitat Baseline'!$Q$11:$Q$258))</f>
        <v/>
      </c>
      <c r="E67" s="998" t="str">
        <f>IF(B67="","",SUMIF('D-1 Off-Site Habitat Baseline'!$AF$11:$AF$258,'Off-site gain site summary'!$B67,'D-1 Off-Site Habitat Baseline'!$X$11:$X$258))</f>
        <v/>
      </c>
      <c r="F67" s="999" t="str">
        <f>IF(B67="","",SUMIF('D-1 Off-Site Habitat Baseline'!$AF$11:$AF$258,'Off-site gain site summary'!$B67,'D-1 Off-Site Habitat Baseline'!$AY$11:$AY$258))</f>
        <v/>
      </c>
      <c r="G67" s="998" t="str">
        <f>IF(B67="","",SUMIF('D-3 Off-Site Habitat Enhancment'!$AU$12:$AU$258,'Off-site gain site summary'!B67,'D-3 Off-Site Habitat Enhancment'!$AQ$12:$AQ$258))</f>
        <v/>
      </c>
      <c r="H67" s="999" t="str">
        <f>IF(B67="","",SUMIF('D-3 Off-Site Habitat Enhancment'!$AU$12:$AU$258,'Off-site gain site summary'!B67,'D-3 Off-Site Habitat Enhancment'!$AP$12:$AP$258))</f>
        <v/>
      </c>
      <c r="I67" s="998" t="str">
        <f>IF(B67="","",SUMIF('D-2 Off-Site Habitat Creation'!$AF$11:$AF$256,'Off-site gain site summary'!B67,'D-2 Off-Site Habitat Creation'!$AB$11:$AB$256))</f>
        <v/>
      </c>
      <c r="J67" s="999" t="str">
        <f>IF(B67="","",SUMIF('D-2 Off-Site Habitat Creation'!$AF$11:$AF$256,'Off-site gain site summary'!B67,'D-2 Off-Site Habitat Creation'!$AA$11:$AA$256))</f>
        <v/>
      </c>
      <c r="K67" s="1000" t="str">
        <f t="shared" si="0"/>
        <v/>
      </c>
      <c r="L67" s="997" t="str">
        <f>IF(ISBLANK(B67),"",IFERROR(_xlfn.XLOOKUP(B67,'D-2 Off-Site Habitat Creation'!$AF$11:$AF$256,'D-2 Off-Site Habitat Creation'!$Z$11:$Z$256),IFERROR(_xlfn.XLOOKUP(B67,'D-1 Off-Site Habitat Baseline'!AF$11:AF$258,'D-1 Off-Site Habitat Baseline'!S$11:S$258)," ")))</f>
        <v/>
      </c>
      <c r="M67" s="983" t="str">
        <f t="shared" si="1"/>
        <v/>
      </c>
      <c r="N67" s="988">
        <f>'E-1 Off-Site Hedge Baseline'!AB70</f>
        <v>0</v>
      </c>
      <c r="O67" s="996"/>
      <c r="P67" s="1000" t="str">
        <f>IF(O67="","",SUMIF('E-1 Off-Site Hedge Baseline'!AB$10:AB$257,'Off-site gain site summary'!O67,'E-1 Off-Site Hedge Baseline'!Q$10:Q$257))</f>
        <v/>
      </c>
      <c r="Q67" s="1000" t="str">
        <f>IF(O67="","",SUMIF('E-1 Off-Site Hedge Baseline'!AB$10:AB$257,O67,'E-1 Off-Site Hedge Baseline'!N$10:N$257))</f>
        <v/>
      </c>
      <c r="R67" s="1000" t="str">
        <f>IF(O67="","",SUMIF('E-1 Off-Site Hedge Baseline'!$AB$10:$AB$257,'Off-site gain site summary'!$O67,'E-1 Off-Site Hedge Baseline'!$U$10:$U$257))</f>
        <v/>
      </c>
      <c r="S67" s="1000" t="str">
        <f>IF(O67="","",SUMIF('E-1 Off-Site Hedge Baseline'!$AB$10:$AB$257,'Off-site gain site summary'!$O67,'E-1 Off-Site Hedge Baseline'!$AY$10:$AY$257))</f>
        <v/>
      </c>
      <c r="T67" s="1000" t="str">
        <f>IF(O67="","",SUMIF('E-3 Off-Site Hedge Enhancement'!$AO$12:$AO$257,'Off-site gain site summary'!$O67,'E-3 Off-Site Hedge Enhancement'!$AK$12:$AK$257))</f>
        <v/>
      </c>
      <c r="U67" s="1000" t="str">
        <f>IF(O67="","",SUMIF('E-3 Off-Site Hedge Enhancement'!$AO$12:$AO$257,'Off-site gain site summary'!$O67,'E-3 Off-Site Hedge Enhancement'!$AJ$12:$AJ$257))</f>
        <v/>
      </c>
      <c r="V67" s="1000" t="str">
        <f>IF(O67="","",SUMIF('E-2 Off-Site Hedge Creation'!$AD$12:$AD$259,'Off-site gain site summary'!$O67,'E-2 Off-Site Hedge Creation'!$Z$12:$Z$259))</f>
        <v/>
      </c>
      <c r="W67" s="991" t="str">
        <f>IF(O67="","",SUMIF('E-2 Off-Site Hedge Creation'!$AD$12:$AD$259,'Off-site gain site summary'!$O67,'E-2 Off-Site Hedge Creation'!$Y$12:$Y$259))</f>
        <v/>
      </c>
      <c r="X67" s="991" t="str">
        <f t="shared" si="2"/>
        <v/>
      </c>
      <c r="Y67" s="991" t="str">
        <f>IF(ISBLANK(O67),"",IFERROR(_xlfn.XLOOKUP(O67,'E-2 Off-Site Hedge Creation'!$AD$12:$AD$259,'E-2 Off-Site Hedge Creation'!$N$12:$N$259),IFERROR(_xlfn.XLOOKUP(O67,'E-1 Off-Site Hedge Baseline'!$AB$10:$AB$257,'E-1 Off-Site Hedge Baseline'!$P$10:$P$257)," ")))</f>
        <v/>
      </c>
      <c r="Z67" s="986" t="str">
        <f t="shared" si="3"/>
        <v/>
      </c>
      <c r="AA67" s="992">
        <f>'F-1 Off-Site WaterC'' Baseline'!AH70</f>
        <v>0</v>
      </c>
      <c r="AB67" s="996"/>
      <c r="AC67" s="1000" t="str">
        <f>IF(AB67="","",SUMIF('F-1 Off-Site WaterC'' Baseline'!$AH$10:$AH$257,'Off-site gain site summary'!$AB67,'F-1 Off-Site WaterC'' Baseline'!$U$10:$U$257))</f>
        <v/>
      </c>
      <c r="AD67" s="1000" t="str">
        <f>IF(AB67="","",SUMIF('F-1 Off-Site WaterC'' Baseline'!$AH$10:$AH$257,'Off-site gain site summary'!$AB67,'F-1 Off-Site WaterC'' Baseline'!$R$10:$R$257))</f>
        <v/>
      </c>
      <c r="AE67" s="1000" t="str">
        <f>IF(AB67="","",SUMIF('F-1 Off-Site WaterC'' Baseline'!$AH$10:$AH$257,'Off-site gain site summary'!$AB67,'F-1 Off-Site WaterC'' Baseline'!$Z$10:$Z$257))</f>
        <v/>
      </c>
      <c r="AF67" s="1000" t="str">
        <f>IF(AB67="","",SUMIF('F-1 Off-Site WaterC'' Baseline'!$AH$10:$AH$257,'Off-site gain site summary'!$AB67,'F-1 Off-Site WaterC'' Baseline'!$BA$10:$BA$257))</f>
        <v/>
      </c>
      <c r="AG67" s="1000" t="str">
        <f>IF(AB67="","",SUMIF('F-3 Off-Site WaterC Enhancement'!$AT$12:$AT$257,'Off-site gain site summary'!$AB67,'F-3 Off-Site WaterC Enhancement'!$AP$12:$AP$257))</f>
        <v/>
      </c>
      <c r="AH67" s="1000" t="str">
        <f>IF(AB67="","",SUMIF('F-3 Off-Site WaterC Enhancement'!$AT$12:$AT$257,'Off-site gain site summary'!$AB67,'F-3 Off-Site WaterC Enhancement'!$AO$12:$AO$257))</f>
        <v/>
      </c>
      <c r="AI67" s="1000" t="str">
        <f>IF(AB67="","",SUMIF('F-2 Off-Site WaterC'' Creation'!$AG$12:$AG$259,'Off-site gain site summary'!$AB67,'F-2 Off-Site WaterC'' Creation'!$AC$12:$AC$259))</f>
        <v/>
      </c>
      <c r="AJ67" s="1000" t="str">
        <f>IF(AB67="","",SUMIF('F-2 Off-Site WaterC'' Creation'!$AG$12:$AG$259,'Off-site gain site summary'!$AB67,'F-2 Off-Site WaterC'' Creation'!$AB$12:$AB$259))</f>
        <v/>
      </c>
      <c r="AK67" s="1000" t="str">
        <f t="shared" si="4"/>
        <v/>
      </c>
      <c r="AL67" s="1000" t="str">
        <f>IF(ISBLANK(AB67),"",IFERROR(_xlfn.XLOOKUP(AB67,'F-2 Off-Site WaterC'' Creation'!$AG$12:$AG$258,'F-2 Off-Site WaterC'' Creation'!$AA$12:$AA$258),IFERROR(_xlfn.XLOOKUP(AB67,'F-1 Off-Site WaterC'' Baseline'!$AH$10:$AH$257,'F-1 Off-Site WaterC'' Baseline'!$T$10:$T$257)," ")))</f>
        <v/>
      </c>
      <c r="AM67" s="986" t="str">
        <f t="shared" si="5"/>
        <v/>
      </c>
      <c r="AN67" s="1469"/>
      <c r="AO67" s="1469"/>
    </row>
    <row r="68" spans="1:41" s="992" customFormat="1" ht="43.5" customHeight="1">
      <c r="A68" s="988">
        <f>'D-1 Off-Site Habitat Baseline'!AF72</f>
        <v>0</v>
      </c>
      <c r="B68" s="996"/>
      <c r="C68" s="997" t="str">
        <f>IF(B68="","",SUMIF('D-1 Off-Site Habitat Baseline'!AF72:AF319,B68,'D-1 Off-Site Habitat Baseline'!T72:T319))</f>
        <v/>
      </c>
      <c r="D68" s="990" t="str">
        <f>IF(B68="","",SUMIF('D-1 Off-Site Habitat Baseline'!$AF$11:$AF$258,B68,'D-1 Off-Site Habitat Baseline'!$Q$11:$Q$258))</f>
        <v/>
      </c>
      <c r="E68" s="998" t="str">
        <f>IF(B68="","",SUMIF('D-1 Off-Site Habitat Baseline'!$AF$11:$AF$258,'Off-site gain site summary'!$B68,'D-1 Off-Site Habitat Baseline'!$X$11:$X$258))</f>
        <v/>
      </c>
      <c r="F68" s="999" t="str">
        <f>IF(B68="","",SUMIF('D-1 Off-Site Habitat Baseline'!$AF$11:$AF$258,'Off-site gain site summary'!$B68,'D-1 Off-Site Habitat Baseline'!$AY$11:$AY$258))</f>
        <v/>
      </c>
      <c r="G68" s="998" t="str">
        <f>IF(B68="","",SUMIF('D-3 Off-Site Habitat Enhancment'!$AU$12:$AU$258,'Off-site gain site summary'!B68,'D-3 Off-Site Habitat Enhancment'!$AQ$12:$AQ$258))</f>
        <v/>
      </c>
      <c r="H68" s="999" t="str">
        <f>IF(B68="","",SUMIF('D-3 Off-Site Habitat Enhancment'!$AU$12:$AU$258,'Off-site gain site summary'!B68,'D-3 Off-Site Habitat Enhancment'!$AP$12:$AP$258))</f>
        <v/>
      </c>
      <c r="I68" s="998" t="str">
        <f>IF(B68="","",SUMIF('D-2 Off-Site Habitat Creation'!$AF$11:$AF$256,'Off-site gain site summary'!B68,'D-2 Off-Site Habitat Creation'!$AB$11:$AB$256))</f>
        <v/>
      </c>
      <c r="J68" s="999" t="str">
        <f>IF(B68="","",SUMIF('D-2 Off-Site Habitat Creation'!$AF$11:$AF$256,'Off-site gain site summary'!B68,'D-2 Off-Site Habitat Creation'!$AA$11:$AA$256))</f>
        <v/>
      </c>
      <c r="K68" s="1000" t="str">
        <f t="shared" si="0"/>
        <v/>
      </c>
      <c r="L68" s="997" t="str">
        <f>IF(ISBLANK(B68),"",IFERROR(_xlfn.XLOOKUP(B68,'D-2 Off-Site Habitat Creation'!$AF$11:$AF$256,'D-2 Off-Site Habitat Creation'!$Z$11:$Z$256),IFERROR(_xlfn.XLOOKUP(B68,'D-1 Off-Site Habitat Baseline'!AF$11:AF$258,'D-1 Off-Site Habitat Baseline'!S$11:S$258)," ")))</f>
        <v/>
      </c>
      <c r="M68" s="983" t="str">
        <f t="shared" si="1"/>
        <v/>
      </c>
      <c r="N68" s="988">
        <f>'E-1 Off-Site Hedge Baseline'!AB71</f>
        <v>0</v>
      </c>
      <c r="O68" s="996"/>
      <c r="P68" s="1000" t="str">
        <f>IF(O68="","",SUMIF('E-1 Off-Site Hedge Baseline'!AB$10:AB$257,'Off-site gain site summary'!O68,'E-1 Off-Site Hedge Baseline'!Q$10:Q$257))</f>
        <v/>
      </c>
      <c r="Q68" s="1000" t="str">
        <f>IF(O68="","",SUMIF('E-1 Off-Site Hedge Baseline'!AB$10:AB$257,O68,'E-1 Off-Site Hedge Baseline'!N$10:N$257))</f>
        <v/>
      </c>
      <c r="R68" s="1000" t="str">
        <f>IF(O68="","",SUMIF('E-1 Off-Site Hedge Baseline'!$AB$10:$AB$257,'Off-site gain site summary'!$O68,'E-1 Off-Site Hedge Baseline'!$U$10:$U$257))</f>
        <v/>
      </c>
      <c r="S68" s="1000" t="str">
        <f>IF(O68="","",SUMIF('E-1 Off-Site Hedge Baseline'!$AB$10:$AB$257,'Off-site gain site summary'!$O68,'E-1 Off-Site Hedge Baseline'!$AY$10:$AY$257))</f>
        <v/>
      </c>
      <c r="T68" s="1000" t="str">
        <f>IF(O68="","",SUMIF('E-3 Off-Site Hedge Enhancement'!$AO$12:$AO$257,'Off-site gain site summary'!$O68,'E-3 Off-Site Hedge Enhancement'!$AK$12:$AK$257))</f>
        <v/>
      </c>
      <c r="U68" s="1000" t="str">
        <f>IF(O68="","",SUMIF('E-3 Off-Site Hedge Enhancement'!$AO$12:$AO$257,'Off-site gain site summary'!$O68,'E-3 Off-Site Hedge Enhancement'!$AJ$12:$AJ$257))</f>
        <v/>
      </c>
      <c r="V68" s="1000" t="str">
        <f>IF(O68="","",SUMIF('E-2 Off-Site Hedge Creation'!$AD$12:$AD$259,'Off-site gain site summary'!$O68,'E-2 Off-Site Hedge Creation'!$Z$12:$Z$259))</f>
        <v/>
      </c>
      <c r="W68" s="991" t="str">
        <f>IF(O68="","",SUMIF('E-2 Off-Site Hedge Creation'!$AD$12:$AD$259,'Off-site gain site summary'!$O68,'E-2 Off-Site Hedge Creation'!$Y$12:$Y$259))</f>
        <v/>
      </c>
      <c r="X68" s="991" t="str">
        <f t="shared" si="2"/>
        <v/>
      </c>
      <c r="Y68" s="991" t="str">
        <f>IF(ISBLANK(O68),"",IFERROR(_xlfn.XLOOKUP(O68,'E-2 Off-Site Hedge Creation'!$AD$12:$AD$259,'E-2 Off-Site Hedge Creation'!$N$12:$N$259),IFERROR(_xlfn.XLOOKUP(O68,'E-1 Off-Site Hedge Baseline'!$AB$10:$AB$257,'E-1 Off-Site Hedge Baseline'!$P$10:$P$257)," ")))</f>
        <v/>
      </c>
      <c r="Z68" s="986" t="str">
        <f t="shared" si="3"/>
        <v/>
      </c>
      <c r="AA68" s="992">
        <f>'F-1 Off-Site WaterC'' Baseline'!AH71</f>
        <v>0</v>
      </c>
      <c r="AB68" s="996"/>
      <c r="AC68" s="1000" t="str">
        <f>IF(AB68="","",SUMIF('F-1 Off-Site WaterC'' Baseline'!$AH$10:$AH$257,'Off-site gain site summary'!$AB68,'F-1 Off-Site WaterC'' Baseline'!$U$10:$U$257))</f>
        <v/>
      </c>
      <c r="AD68" s="1000" t="str">
        <f>IF(AB68="","",SUMIF('F-1 Off-Site WaterC'' Baseline'!$AH$10:$AH$257,'Off-site gain site summary'!$AB68,'F-1 Off-Site WaterC'' Baseline'!$R$10:$R$257))</f>
        <v/>
      </c>
      <c r="AE68" s="1000" t="str">
        <f>IF(AB68="","",SUMIF('F-1 Off-Site WaterC'' Baseline'!$AH$10:$AH$257,'Off-site gain site summary'!$AB68,'F-1 Off-Site WaterC'' Baseline'!$Z$10:$Z$257))</f>
        <v/>
      </c>
      <c r="AF68" s="1000" t="str">
        <f>IF(AB68="","",SUMIF('F-1 Off-Site WaterC'' Baseline'!$AH$10:$AH$257,'Off-site gain site summary'!$AB68,'F-1 Off-Site WaterC'' Baseline'!$BA$10:$BA$257))</f>
        <v/>
      </c>
      <c r="AG68" s="1000" t="str">
        <f>IF(AB68="","",SUMIF('F-3 Off-Site WaterC Enhancement'!$AT$12:$AT$257,'Off-site gain site summary'!$AB68,'F-3 Off-Site WaterC Enhancement'!$AP$12:$AP$257))</f>
        <v/>
      </c>
      <c r="AH68" s="1000" t="str">
        <f>IF(AB68="","",SUMIF('F-3 Off-Site WaterC Enhancement'!$AT$12:$AT$257,'Off-site gain site summary'!$AB68,'F-3 Off-Site WaterC Enhancement'!$AO$12:$AO$257))</f>
        <v/>
      </c>
      <c r="AI68" s="1000" t="str">
        <f>IF(AB68="","",SUMIF('F-2 Off-Site WaterC'' Creation'!$AG$12:$AG$259,'Off-site gain site summary'!$AB68,'F-2 Off-Site WaterC'' Creation'!$AC$12:$AC$259))</f>
        <v/>
      </c>
      <c r="AJ68" s="1000" t="str">
        <f>IF(AB68="","",SUMIF('F-2 Off-Site WaterC'' Creation'!$AG$12:$AG$259,'Off-site gain site summary'!$AB68,'F-2 Off-Site WaterC'' Creation'!$AB$12:$AB$259))</f>
        <v/>
      </c>
      <c r="AK68" s="1000" t="str">
        <f t="shared" si="4"/>
        <v/>
      </c>
      <c r="AL68" s="1000" t="str">
        <f>IF(ISBLANK(AB68),"",IFERROR(_xlfn.XLOOKUP(AB68,'F-2 Off-Site WaterC'' Creation'!$AG$12:$AG$258,'F-2 Off-Site WaterC'' Creation'!$AA$12:$AA$258),IFERROR(_xlfn.XLOOKUP(AB68,'F-1 Off-Site WaterC'' Baseline'!$AH$10:$AH$257,'F-1 Off-Site WaterC'' Baseline'!$T$10:$T$257)," ")))</f>
        <v/>
      </c>
      <c r="AM68" s="986" t="str">
        <f t="shared" si="5"/>
        <v/>
      </c>
      <c r="AN68" s="1469"/>
      <c r="AO68" s="1469"/>
    </row>
    <row r="69" spans="1:41" s="992" customFormat="1" ht="43.5" customHeight="1">
      <c r="A69" s="988">
        <f>'D-1 Off-Site Habitat Baseline'!AF73</f>
        <v>0</v>
      </c>
      <c r="B69" s="996"/>
      <c r="C69" s="997" t="str">
        <f>IF(B69="","",SUMIF('D-1 Off-Site Habitat Baseline'!AF73:AF320,B69,'D-1 Off-Site Habitat Baseline'!T73:T320))</f>
        <v/>
      </c>
      <c r="D69" s="990" t="str">
        <f>IF(B69="","",SUMIF('D-1 Off-Site Habitat Baseline'!$AF$11:$AF$258,B69,'D-1 Off-Site Habitat Baseline'!$Q$11:$Q$258))</f>
        <v/>
      </c>
      <c r="E69" s="998" t="str">
        <f>IF(B69="","",SUMIF('D-1 Off-Site Habitat Baseline'!$AF$11:$AF$258,'Off-site gain site summary'!$B69,'D-1 Off-Site Habitat Baseline'!$X$11:$X$258))</f>
        <v/>
      </c>
      <c r="F69" s="999" t="str">
        <f>IF(B69="","",SUMIF('D-1 Off-Site Habitat Baseline'!$AF$11:$AF$258,'Off-site gain site summary'!$B69,'D-1 Off-Site Habitat Baseline'!$AY$11:$AY$258))</f>
        <v/>
      </c>
      <c r="G69" s="998" t="str">
        <f>IF(B69="","",SUMIF('D-3 Off-Site Habitat Enhancment'!$AU$12:$AU$258,'Off-site gain site summary'!B69,'D-3 Off-Site Habitat Enhancment'!$AQ$12:$AQ$258))</f>
        <v/>
      </c>
      <c r="H69" s="999" t="str">
        <f>IF(B69="","",SUMIF('D-3 Off-Site Habitat Enhancment'!$AU$12:$AU$258,'Off-site gain site summary'!B69,'D-3 Off-Site Habitat Enhancment'!$AP$12:$AP$258))</f>
        <v/>
      </c>
      <c r="I69" s="998" t="str">
        <f>IF(B69="","",SUMIF('D-2 Off-Site Habitat Creation'!$AF$11:$AF$256,'Off-site gain site summary'!B69,'D-2 Off-Site Habitat Creation'!$AB$11:$AB$256))</f>
        <v/>
      </c>
      <c r="J69" s="999" t="str">
        <f>IF(B69="","",SUMIF('D-2 Off-Site Habitat Creation'!$AF$11:$AF$256,'Off-site gain site summary'!B69,'D-2 Off-Site Habitat Creation'!$AA$11:$AA$256))</f>
        <v/>
      </c>
      <c r="K69" s="1000" t="str">
        <f t="shared" si="0"/>
        <v/>
      </c>
      <c r="L69" s="997" t="str">
        <f>IF(ISBLANK(B69),"",IFERROR(_xlfn.XLOOKUP(B69,'D-2 Off-Site Habitat Creation'!$AF$11:$AF$256,'D-2 Off-Site Habitat Creation'!$Z$11:$Z$256),IFERROR(_xlfn.XLOOKUP(B69,'D-1 Off-Site Habitat Baseline'!AF$11:AF$258,'D-1 Off-Site Habitat Baseline'!S$11:S$258)," ")))</f>
        <v/>
      </c>
      <c r="M69" s="983" t="str">
        <f t="shared" si="1"/>
        <v/>
      </c>
      <c r="N69" s="988">
        <f>'E-1 Off-Site Hedge Baseline'!AB72</f>
        <v>0</v>
      </c>
      <c r="O69" s="996"/>
      <c r="P69" s="1000" t="str">
        <f>IF(O69="","",SUMIF('E-1 Off-Site Hedge Baseline'!AB$10:AB$257,'Off-site gain site summary'!O69,'E-1 Off-Site Hedge Baseline'!Q$10:Q$257))</f>
        <v/>
      </c>
      <c r="Q69" s="1000" t="str">
        <f>IF(O69="","",SUMIF('E-1 Off-Site Hedge Baseline'!AB$10:AB$257,O69,'E-1 Off-Site Hedge Baseline'!N$10:N$257))</f>
        <v/>
      </c>
      <c r="R69" s="1000" t="str">
        <f>IF(O69="","",SUMIF('E-1 Off-Site Hedge Baseline'!$AB$10:$AB$257,'Off-site gain site summary'!$O69,'E-1 Off-Site Hedge Baseline'!$U$10:$U$257))</f>
        <v/>
      </c>
      <c r="S69" s="1000" t="str">
        <f>IF(O69="","",SUMIF('E-1 Off-Site Hedge Baseline'!$AB$10:$AB$257,'Off-site gain site summary'!$O69,'E-1 Off-Site Hedge Baseline'!$AY$10:$AY$257))</f>
        <v/>
      </c>
      <c r="T69" s="1000" t="str">
        <f>IF(O69="","",SUMIF('E-3 Off-Site Hedge Enhancement'!$AO$12:$AO$257,'Off-site gain site summary'!$O69,'E-3 Off-Site Hedge Enhancement'!$AK$12:$AK$257))</f>
        <v/>
      </c>
      <c r="U69" s="1000" t="str">
        <f>IF(O69="","",SUMIF('E-3 Off-Site Hedge Enhancement'!$AO$12:$AO$257,'Off-site gain site summary'!$O69,'E-3 Off-Site Hedge Enhancement'!$AJ$12:$AJ$257))</f>
        <v/>
      </c>
      <c r="V69" s="1000" t="str">
        <f>IF(O69="","",SUMIF('E-2 Off-Site Hedge Creation'!$AD$12:$AD$259,'Off-site gain site summary'!$O69,'E-2 Off-Site Hedge Creation'!$Z$12:$Z$259))</f>
        <v/>
      </c>
      <c r="W69" s="991" t="str">
        <f>IF(O69="","",SUMIF('E-2 Off-Site Hedge Creation'!$AD$12:$AD$259,'Off-site gain site summary'!$O69,'E-2 Off-Site Hedge Creation'!$Y$12:$Y$259))</f>
        <v/>
      </c>
      <c r="X69" s="991" t="str">
        <f t="shared" si="2"/>
        <v/>
      </c>
      <c r="Y69" s="991" t="str">
        <f>IF(ISBLANK(O69),"",IFERROR(_xlfn.XLOOKUP(O69,'E-2 Off-Site Hedge Creation'!$AD$12:$AD$259,'E-2 Off-Site Hedge Creation'!$N$12:$N$259),IFERROR(_xlfn.XLOOKUP(O69,'E-1 Off-Site Hedge Baseline'!$AB$10:$AB$257,'E-1 Off-Site Hedge Baseline'!$P$10:$P$257)," ")))</f>
        <v/>
      </c>
      <c r="Z69" s="986" t="str">
        <f t="shared" si="3"/>
        <v/>
      </c>
      <c r="AA69" s="992">
        <f>'F-1 Off-Site WaterC'' Baseline'!AH72</f>
        <v>0</v>
      </c>
      <c r="AB69" s="996"/>
      <c r="AC69" s="1000" t="str">
        <f>IF(AB69="","",SUMIF('F-1 Off-Site WaterC'' Baseline'!$AH$10:$AH$257,'Off-site gain site summary'!$AB69,'F-1 Off-Site WaterC'' Baseline'!$U$10:$U$257))</f>
        <v/>
      </c>
      <c r="AD69" s="1000" t="str">
        <f>IF(AB69="","",SUMIF('F-1 Off-Site WaterC'' Baseline'!$AH$10:$AH$257,'Off-site gain site summary'!$AB69,'F-1 Off-Site WaterC'' Baseline'!$R$10:$R$257))</f>
        <v/>
      </c>
      <c r="AE69" s="1000" t="str">
        <f>IF(AB69="","",SUMIF('F-1 Off-Site WaterC'' Baseline'!$AH$10:$AH$257,'Off-site gain site summary'!$AB69,'F-1 Off-Site WaterC'' Baseline'!$Z$10:$Z$257))</f>
        <v/>
      </c>
      <c r="AF69" s="1000" t="str">
        <f>IF(AB69="","",SUMIF('F-1 Off-Site WaterC'' Baseline'!$AH$10:$AH$257,'Off-site gain site summary'!$AB69,'F-1 Off-Site WaterC'' Baseline'!$BA$10:$BA$257))</f>
        <v/>
      </c>
      <c r="AG69" s="1000" t="str">
        <f>IF(AB69="","",SUMIF('F-3 Off-Site WaterC Enhancement'!$AT$12:$AT$257,'Off-site gain site summary'!$AB69,'F-3 Off-Site WaterC Enhancement'!$AP$12:$AP$257))</f>
        <v/>
      </c>
      <c r="AH69" s="1000" t="str">
        <f>IF(AB69="","",SUMIF('F-3 Off-Site WaterC Enhancement'!$AT$12:$AT$257,'Off-site gain site summary'!$AB69,'F-3 Off-Site WaterC Enhancement'!$AO$12:$AO$257))</f>
        <v/>
      </c>
      <c r="AI69" s="1000" t="str">
        <f>IF(AB69="","",SUMIF('F-2 Off-Site WaterC'' Creation'!$AG$12:$AG$259,'Off-site gain site summary'!$AB69,'F-2 Off-Site WaterC'' Creation'!$AC$12:$AC$259))</f>
        <v/>
      </c>
      <c r="AJ69" s="1000" t="str">
        <f>IF(AB69="","",SUMIF('F-2 Off-Site WaterC'' Creation'!$AG$12:$AG$259,'Off-site gain site summary'!$AB69,'F-2 Off-Site WaterC'' Creation'!$AB$12:$AB$259))</f>
        <v/>
      </c>
      <c r="AK69" s="1000" t="str">
        <f t="shared" si="4"/>
        <v/>
      </c>
      <c r="AL69" s="1000" t="str">
        <f>IF(ISBLANK(AB69),"",IFERROR(_xlfn.XLOOKUP(AB69,'F-2 Off-Site WaterC'' Creation'!$AG$12:$AG$258,'F-2 Off-Site WaterC'' Creation'!$AA$12:$AA$258),IFERROR(_xlfn.XLOOKUP(AB69,'F-1 Off-Site WaterC'' Baseline'!$AH$10:$AH$257,'F-1 Off-Site WaterC'' Baseline'!$T$10:$T$257)," ")))</f>
        <v/>
      </c>
      <c r="AM69" s="986" t="str">
        <f t="shared" si="5"/>
        <v/>
      </c>
      <c r="AN69" s="1469"/>
      <c r="AO69" s="1469"/>
    </row>
    <row r="70" spans="1:41" s="992" customFormat="1" ht="43.5" customHeight="1">
      <c r="A70" s="988">
        <f>'D-1 Off-Site Habitat Baseline'!AF74</f>
        <v>0</v>
      </c>
      <c r="B70" s="996"/>
      <c r="C70" s="997" t="str">
        <f>IF(B70="","",SUMIF('D-1 Off-Site Habitat Baseline'!AF74:AF321,B70,'D-1 Off-Site Habitat Baseline'!T74:T321))</f>
        <v/>
      </c>
      <c r="D70" s="990" t="str">
        <f>IF(B70="","",SUMIF('D-1 Off-Site Habitat Baseline'!$AF$11:$AF$258,B70,'D-1 Off-Site Habitat Baseline'!$Q$11:$Q$258))</f>
        <v/>
      </c>
      <c r="E70" s="998" t="str">
        <f>IF(B70="","",SUMIF('D-1 Off-Site Habitat Baseline'!$AF$11:$AF$258,'Off-site gain site summary'!$B70,'D-1 Off-Site Habitat Baseline'!$X$11:$X$258))</f>
        <v/>
      </c>
      <c r="F70" s="999" t="str">
        <f>IF(B70="","",SUMIF('D-1 Off-Site Habitat Baseline'!$AF$11:$AF$258,'Off-site gain site summary'!$B70,'D-1 Off-Site Habitat Baseline'!$AY$11:$AY$258))</f>
        <v/>
      </c>
      <c r="G70" s="998" t="str">
        <f>IF(B70="","",SUMIF('D-3 Off-Site Habitat Enhancment'!$AU$12:$AU$258,'Off-site gain site summary'!B70,'D-3 Off-Site Habitat Enhancment'!$AQ$12:$AQ$258))</f>
        <v/>
      </c>
      <c r="H70" s="999" t="str">
        <f>IF(B70="","",SUMIF('D-3 Off-Site Habitat Enhancment'!$AU$12:$AU$258,'Off-site gain site summary'!B70,'D-3 Off-Site Habitat Enhancment'!$AP$12:$AP$258))</f>
        <v/>
      </c>
      <c r="I70" s="998" t="str">
        <f>IF(B70="","",SUMIF('D-2 Off-Site Habitat Creation'!$AF$11:$AF$256,'Off-site gain site summary'!B70,'D-2 Off-Site Habitat Creation'!$AB$11:$AB$256))</f>
        <v/>
      </c>
      <c r="J70" s="999" t="str">
        <f>IF(B70="","",SUMIF('D-2 Off-Site Habitat Creation'!$AF$11:$AF$256,'Off-site gain site summary'!B70,'D-2 Off-Site Habitat Creation'!$AA$11:$AA$256))</f>
        <v/>
      </c>
      <c r="K70" s="1000" t="str">
        <f t="shared" si="0"/>
        <v/>
      </c>
      <c r="L70" s="997" t="str">
        <f>IF(ISBLANK(B70),"",IFERROR(_xlfn.XLOOKUP(B70,'D-2 Off-Site Habitat Creation'!$AF$11:$AF$256,'D-2 Off-Site Habitat Creation'!$Z$11:$Z$256),IFERROR(_xlfn.XLOOKUP(B70,'D-1 Off-Site Habitat Baseline'!AF$11:AF$258,'D-1 Off-Site Habitat Baseline'!S$11:S$258)," ")))</f>
        <v/>
      </c>
      <c r="M70" s="983" t="str">
        <f t="shared" si="1"/>
        <v/>
      </c>
      <c r="N70" s="988">
        <f>'E-1 Off-Site Hedge Baseline'!AB73</f>
        <v>0</v>
      </c>
      <c r="O70" s="996"/>
      <c r="P70" s="1000" t="str">
        <f>IF(O70="","",SUMIF('E-1 Off-Site Hedge Baseline'!AB$10:AB$257,'Off-site gain site summary'!O70,'E-1 Off-Site Hedge Baseline'!Q$10:Q$257))</f>
        <v/>
      </c>
      <c r="Q70" s="1000" t="str">
        <f>IF(O70="","",SUMIF('E-1 Off-Site Hedge Baseline'!AB$10:AB$257,O70,'E-1 Off-Site Hedge Baseline'!N$10:N$257))</f>
        <v/>
      </c>
      <c r="R70" s="1000" t="str">
        <f>IF(O70="","",SUMIF('E-1 Off-Site Hedge Baseline'!$AB$10:$AB$257,'Off-site gain site summary'!$O70,'E-1 Off-Site Hedge Baseline'!$U$10:$U$257))</f>
        <v/>
      </c>
      <c r="S70" s="1000" t="str">
        <f>IF(O70="","",SUMIF('E-1 Off-Site Hedge Baseline'!$AB$10:$AB$257,'Off-site gain site summary'!$O70,'E-1 Off-Site Hedge Baseline'!$AY$10:$AY$257))</f>
        <v/>
      </c>
      <c r="T70" s="1000" t="str">
        <f>IF(O70="","",SUMIF('E-3 Off-Site Hedge Enhancement'!$AO$12:$AO$257,'Off-site gain site summary'!$O70,'E-3 Off-Site Hedge Enhancement'!$AK$12:$AK$257))</f>
        <v/>
      </c>
      <c r="U70" s="1000" t="str">
        <f>IF(O70="","",SUMIF('E-3 Off-Site Hedge Enhancement'!$AO$12:$AO$257,'Off-site gain site summary'!$O70,'E-3 Off-Site Hedge Enhancement'!$AJ$12:$AJ$257))</f>
        <v/>
      </c>
      <c r="V70" s="1000" t="str">
        <f>IF(O70="","",SUMIF('E-2 Off-Site Hedge Creation'!$AD$12:$AD$259,'Off-site gain site summary'!$O70,'E-2 Off-Site Hedge Creation'!$Z$12:$Z$259))</f>
        <v/>
      </c>
      <c r="W70" s="991" t="str">
        <f>IF(O70="","",SUMIF('E-2 Off-Site Hedge Creation'!$AD$12:$AD$259,'Off-site gain site summary'!$O70,'E-2 Off-Site Hedge Creation'!$Y$12:$Y$259))</f>
        <v/>
      </c>
      <c r="X70" s="991" t="str">
        <f t="shared" si="2"/>
        <v/>
      </c>
      <c r="Y70" s="991" t="str">
        <f>IF(ISBLANK(O70),"",IFERROR(_xlfn.XLOOKUP(O70,'E-2 Off-Site Hedge Creation'!$AD$12:$AD$259,'E-2 Off-Site Hedge Creation'!$N$12:$N$259),IFERROR(_xlfn.XLOOKUP(O70,'E-1 Off-Site Hedge Baseline'!$AB$10:$AB$257,'E-1 Off-Site Hedge Baseline'!$P$10:$P$257)," ")))</f>
        <v/>
      </c>
      <c r="Z70" s="986" t="str">
        <f t="shared" si="3"/>
        <v/>
      </c>
      <c r="AA70" s="992">
        <f>'F-1 Off-Site WaterC'' Baseline'!AH73</f>
        <v>0</v>
      </c>
      <c r="AB70" s="996"/>
      <c r="AC70" s="1000" t="str">
        <f>IF(AB70="","",SUMIF('F-1 Off-Site WaterC'' Baseline'!$AH$10:$AH$257,'Off-site gain site summary'!$AB70,'F-1 Off-Site WaterC'' Baseline'!$U$10:$U$257))</f>
        <v/>
      </c>
      <c r="AD70" s="1000" t="str">
        <f>IF(AB70="","",SUMIF('F-1 Off-Site WaterC'' Baseline'!$AH$10:$AH$257,'Off-site gain site summary'!$AB70,'F-1 Off-Site WaterC'' Baseline'!$R$10:$R$257))</f>
        <v/>
      </c>
      <c r="AE70" s="1000" t="str">
        <f>IF(AB70="","",SUMIF('F-1 Off-Site WaterC'' Baseline'!$AH$10:$AH$257,'Off-site gain site summary'!$AB70,'F-1 Off-Site WaterC'' Baseline'!$Z$10:$Z$257))</f>
        <v/>
      </c>
      <c r="AF70" s="1000" t="str">
        <f>IF(AB70="","",SUMIF('F-1 Off-Site WaterC'' Baseline'!$AH$10:$AH$257,'Off-site gain site summary'!$AB70,'F-1 Off-Site WaterC'' Baseline'!$BA$10:$BA$257))</f>
        <v/>
      </c>
      <c r="AG70" s="1000" t="str">
        <f>IF(AB70="","",SUMIF('F-3 Off-Site WaterC Enhancement'!$AT$12:$AT$257,'Off-site gain site summary'!$AB70,'F-3 Off-Site WaterC Enhancement'!$AP$12:$AP$257))</f>
        <v/>
      </c>
      <c r="AH70" s="1000" t="str">
        <f>IF(AB70="","",SUMIF('F-3 Off-Site WaterC Enhancement'!$AT$12:$AT$257,'Off-site gain site summary'!$AB70,'F-3 Off-Site WaterC Enhancement'!$AO$12:$AO$257))</f>
        <v/>
      </c>
      <c r="AI70" s="1000" t="str">
        <f>IF(AB70="","",SUMIF('F-2 Off-Site WaterC'' Creation'!$AG$12:$AG$259,'Off-site gain site summary'!$AB70,'F-2 Off-Site WaterC'' Creation'!$AC$12:$AC$259))</f>
        <v/>
      </c>
      <c r="AJ70" s="1000" t="str">
        <f>IF(AB70="","",SUMIF('F-2 Off-Site WaterC'' Creation'!$AG$12:$AG$259,'Off-site gain site summary'!$AB70,'F-2 Off-Site WaterC'' Creation'!$AB$12:$AB$259))</f>
        <v/>
      </c>
      <c r="AK70" s="1000" t="str">
        <f t="shared" si="4"/>
        <v/>
      </c>
      <c r="AL70" s="1000" t="str">
        <f>IF(ISBLANK(AB70),"",IFERROR(_xlfn.XLOOKUP(AB70,'F-2 Off-Site WaterC'' Creation'!$AG$12:$AG$258,'F-2 Off-Site WaterC'' Creation'!$AA$12:$AA$258),IFERROR(_xlfn.XLOOKUP(AB70,'F-1 Off-Site WaterC'' Baseline'!$AH$10:$AH$257,'F-1 Off-Site WaterC'' Baseline'!$T$10:$T$257)," ")))</f>
        <v/>
      </c>
      <c r="AM70" s="986" t="str">
        <f t="shared" si="5"/>
        <v/>
      </c>
      <c r="AN70" s="1469"/>
      <c r="AO70" s="1469"/>
    </row>
    <row r="71" spans="1:41" s="992" customFormat="1" ht="43.5" customHeight="1">
      <c r="A71" s="988">
        <f>'D-1 Off-Site Habitat Baseline'!AF75</f>
        <v>0</v>
      </c>
      <c r="B71" s="996"/>
      <c r="C71" s="997" t="str">
        <f>IF(B71="","",SUMIF('D-1 Off-Site Habitat Baseline'!AF75:AF322,B71,'D-1 Off-Site Habitat Baseline'!T75:T322))</f>
        <v/>
      </c>
      <c r="D71" s="990" t="str">
        <f>IF(B71="","",SUMIF('D-1 Off-Site Habitat Baseline'!$AF$11:$AF$258,B71,'D-1 Off-Site Habitat Baseline'!$Q$11:$Q$258))</f>
        <v/>
      </c>
      <c r="E71" s="998" t="str">
        <f>IF(B71="","",SUMIF('D-1 Off-Site Habitat Baseline'!$AF$11:$AF$258,'Off-site gain site summary'!$B71,'D-1 Off-Site Habitat Baseline'!$X$11:$X$258))</f>
        <v/>
      </c>
      <c r="F71" s="999" t="str">
        <f>IF(B71="","",SUMIF('D-1 Off-Site Habitat Baseline'!$AF$11:$AF$258,'Off-site gain site summary'!$B71,'D-1 Off-Site Habitat Baseline'!$AY$11:$AY$258))</f>
        <v/>
      </c>
      <c r="G71" s="998" t="str">
        <f>IF(B71="","",SUMIF('D-3 Off-Site Habitat Enhancment'!$AU$12:$AU$258,'Off-site gain site summary'!B71,'D-3 Off-Site Habitat Enhancment'!$AQ$12:$AQ$258))</f>
        <v/>
      </c>
      <c r="H71" s="999" t="str">
        <f>IF(B71="","",SUMIF('D-3 Off-Site Habitat Enhancment'!$AU$12:$AU$258,'Off-site gain site summary'!B71,'D-3 Off-Site Habitat Enhancment'!$AP$12:$AP$258))</f>
        <v/>
      </c>
      <c r="I71" s="998" t="str">
        <f>IF(B71="","",SUMIF('D-2 Off-Site Habitat Creation'!$AF$11:$AF$256,'Off-site gain site summary'!B71,'D-2 Off-Site Habitat Creation'!$AB$11:$AB$256))</f>
        <v/>
      </c>
      <c r="J71" s="999" t="str">
        <f>IF(B71="","",SUMIF('D-2 Off-Site Habitat Creation'!$AF$11:$AF$256,'Off-site gain site summary'!B71,'D-2 Off-Site Habitat Creation'!$AA$11:$AA$256))</f>
        <v/>
      </c>
      <c r="K71" s="1000" t="str">
        <f t="shared" si="0"/>
        <v/>
      </c>
      <c r="L71" s="997" t="str">
        <f>IF(ISBLANK(B71),"",IFERROR(_xlfn.XLOOKUP(B71,'D-2 Off-Site Habitat Creation'!$AF$11:$AF$256,'D-2 Off-Site Habitat Creation'!$Z$11:$Z$256),IFERROR(_xlfn.XLOOKUP(B71,'D-1 Off-Site Habitat Baseline'!AF$11:AF$258,'D-1 Off-Site Habitat Baseline'!S$11:S$258)," ")))</f>
        <v/>
      </c>
      <c r="M71" s="983" t="str">
        <f t="shared" si="1"/>
        <v/>
      </c>
      <c r="N71" s="988">
        <f>'E-1 Off-Site Hedge Baseline'!AB74</f>
        <v>0</v>
      </c>
      <c r="O71" s="996"/>
      <c r="P71" s="1000" t="str">
        <f>IF(O71="","",SUMIF('E-1 Off-Site Hedge Baseline'!AB$10:AB$257,'Off-site gain site summary'!O71,'E-1 Off-Site Hedge Baseline'!Q$10:Q$257))</f>
        <v/>
      </c>
      <c r="Q71" s="1000" t="str">
        <f>IF(O71="","",SUMIF('E-1 Off-Site Hedge Baseline'!AB$10:AB$257,O71,'E-1 Off-Site Hedge Baseline'!N$10:N$257))</f>
        <v/>
      </c>
      <c r="R71" s="1000" t="str">
        <f>IF(O71="","",SUMIF('E-1 Off-Site Hedge Baseline'!$AB$10:$AB$257,'Off-site gain site summary'!$O71,'E-1 Off-Site Hedge Baseline'!$U$10:$U$257))</f>
        <v/>
      </c>
      <c r="S71" s="1000" t="str">
        <f>IF(O71="","",SUMIF('E-1 Off-Site Hedge Baseline'!$AB$10:$AB$257,'Off-site gain site summary'!$O71,'E-1 Off-Site Hedge Baseline'!$AY$10:$AY$257))</f>
        <v/>
      </c>
      <c r="T71" s="1000" t="str">
        <f>IF(O71="","",SUMIF('E-3 Off-Site Hedge Enhancement'!$AO$12:$AO$257,'Off-site gain site summary'!$O71,'E-3 Off-Site Hedge Enhancement'!$AK$12:$AK$257))</f>
        <v/>
      </c>
      <c r="U71" s="1000" t="str">
        <f>IF(O71="","",SUMIF('E-3 Off-Site Hedge Enhancement'!$AO$12:$AO$257,'Off-site gain site summary'!$O71,'E-3 Off-Site Hedge Enhancement'!$AJ$12:$AJ$257))</f>
        <v/>
      </c>
      <c r="V71" s="1000" t="str">
        <f>IF(O71="","",SUMIF('E-2 Off-Site Hedge Creation'!$AD$12:$AD$259,'Off-site gain site summary'!$O71,'E-2 Off-Site Hedge Creation'!$Z$12:$Z$259))</f>
        <v/>
      </c>
      <c r="W71" s="991" t="str">
        <f>IF(O71="","",SUMIF('E-2 Off-Site Hedge Creation'!$AD$12:$AD$259,'Off-site gain site summary'!$O71,'E-2 Off-Site Hedge Creation'!$Y$12:$Y$259))</f>
        <v/>
      </c>
      <c r="X71" s="991" t="str">
        <f t="shared" si="2"/>
        <v/>
      </c>
      <c r="Y71" s="991" t="str">
        <f>IF(ISBLANK(O71),"",IFERROR(_xlfn.XLOOKUP(O71,'E-2 Off-Site Hedge Creation'!$AD$12:$AD$259,'E-2 Off-Site Hedge Creation'!$N$12:$N$259),IFERROR(_xlfn.XLOOKUP(O71,'E-1 Off-Site Hedge Baseline'!$AB$10:$AB$257,'E-1 Off-Site Hedge Baseline'!$P$10:$P$257)," ")))</f>
        <v/>
      </c>
      <c r="Z71" s="986" t="str">
        <f t="shared" si="3"/>
        <v/>
      </c>
      <c r="AA71" s="992">
        <f>'F-1 Off-Site WaterC'' Baseline'!AH74</f>
        <v>0</v>
      </c>
      <c r="AB71" s="996"/>
      <c r="AC71" s="1000" t="str">
        <f>IF(AB71="","",SUMIF('F-1 Off-Site WaterC'' Baseline'!$AH$10:$AH$257,'Off-site gain site summary'!$AB71,'F-1 Off-Site WaterC'' Baseline'!$U$10:$U$257))</f>
        <v/>
      </c>
      <c r="AD71" s="1000" t="str">
        <f>IF(AB71="","",SUMIF('F-1 Off-Site WaterC'' Baseline'!$AH$10:$AH$257,'Off-site gain site summary'!$AB71,'F-1 Off-Site WaterC'' Baseline'!$R$10:$R$257))</f>
        <v/>
      </c>
      <c r="AE71" s="1000" t="str">
        <f>IF(AB71="","",SUMIF('F-1 Off-Site WaterC'' Baseline'!$AH$10:$AH$257,'Off-site gain site summary'!$AB71,'F-1 Off-Site WaterC'' Baseline'!$Z$10:$Z$257))</f>
        <v/>
      </c>
      <c r="AF71" s="1000" t="str">
        <f>IF(AB71="","",SUMIF('F-1 Off-Site WaterC'' Baseline'!$AH$10:$AH$257,'Off-site gain site summary'!$AB71,'F-1 Off-Site WaterC'' Baseline'!$BA$10:$BA$257))</f>
        <v/>
      </c>
      <c r="AG71" s="1000" t="str">
        <f>IF(AB71="","",SUMIF('F-3 Off-Site WaterC Enhancement'!$AT$12:$AT$257,'Off-site gain site summary'!$AB71,'F-3 Off-Site WaterC Enhancement'!$AP$12:$AP$257))</f>
        <v/>
      </c>
      <c r="AH71" s="1000" t="str">
        <f>IF(AB71="","",SUMIF('F-3 Off-Site WaterC Enhancement'!$AT$12:$AT$257,'Off-site gain site summary'!$AB71,'F-3 Off-Site WaterC Enhancement'!$AO$12:$AO$257))</f>
        <v/>
      </c>
      <c r="AI71" s="1000" t="str">
        <f>IF(AB71="","",SUMIF('F-2 Off-Site WaterC'' Creation'!$AG$12:$AG$259,'Off-site gain site summary'!$AB71,'F-2 Off-Site WaterC'' Creation'!$AC$12:$AC$259))</f>
        <v/>
      </c>
      <c r="AJ71" s="1000" t="str">
        <f>IF(AB71="","",SUMIF('F-2 Off-Site WaterC'' Creation'!$AG$12:$AG$259,'Off-site gain site summary'!$AB71,'F-2 Off-Site WaterC'' Creation'!$AB$12:$AB$259))</f>
        <v/>
      </c>
      <c r="AK71" s="1000" t="str">
        <f t="shared" si="4"/>
        <v/>
      </c>
      <c r="AL71" s="1000" t="str">
        <f>IF(ISBLANK(AB71),"",IFERROR(_xlfn.XLOOKUP(AB71,'F-2 Off-Site WaterC'' Creation'!$AG$12:$AG$258,'F-2 Off-Site WaterC'' Creation'!$AA$12:$AA$258),IFERROR(_xlfn.XLOOKUP(AB71,'F-1 Off-Site WaterC'' Baseline'!$AH$10:$AH$257,'F-1 Off-Site WaterC'' Baseline'!$T$10:$T$257)," ")))</f>
        <v/>
      </c>
      <c r="AM71" s="986" t="str">
        <f t="shared" si="5"/>
        <v/>
      </c>
      <c r="AN71" s="1469"/>
      <c r="AO71" s="1469"/>
    </row>
    <row r="72" spans="1:41" s="992" customFormat="1" ht="43.5" customHeight="1">
      <c r="A72" s="988">
        <f>'D-1 Off-Site Habitat Baseline'!AF76</f>
        <v>0</v>
      </c>
      <c r="B72" s="996"/>
      <c r="C72" s="997" t="str">
        <f>IF(B72="","",SUMIF('D-1 Off-Site Habitat Baseline'!AF76:AF323,B72,'D-1 Off-Site Habitat Baseline'!T76:T323))</f>
        <v/>
      </c>
      <c r="D72" s="990" t="str">
        <f>IF(B72="","",SUMIF('D-1 Off-Site Habitat Baseline'!$AF$11:$AF$258,B72,'D-1 Off-Site Habitat Baseline'!$Q$11:$Q$258))</f>
        <v/>
      </c>
      <c r="E72" s="998" t="str">
        <f>IF(B72="","",SUMIF('D-1 Off-Site Habitat Baseline'!$AF$11:$AF$258,'Off-site gain site summary'!$B72,'D-1 Off-Site Habitat Baseline'!$X$11:$X$258))</f>
        <v/>
      </c>
      <c r="F72" s="999" t="str">
        <f>IF(B72="","",SUMIF('D-1 Off-Site Habitat Baseline'!$AF$11:$AF$258,'Off-site gain site summary'!$B72,'D-1 Off-Site Habitat Baseline'!$AY$11:$AY$258))</f>
        <v/>
      </c>
      <c r="G72" s="998" t="str">
        <f>IF(B72="","",SUMIF('D-3 Off-Site Habitat Enhancment'!$AU$12:$AU$258,'Off-site gain site summary'!B72,'D-3 Off-Site Habitat Enhancment'!$AQ$12:$AQ$258))</f>
        <v/>
      </c>
      <c r="H72" s="999" t="str">
        <f>IF(B72="","",SUMIF('D-3 Off-Site Habitat Enhancment'!$AU$12:$AU$258,'Off-site gain site summary'!B72,'D-3 Off-Site Habitat Enhancment'!$AP$12:$AP$258))</f>
        <v/>
      </c>
      <c r="I72" s="998" t="str">
        <f>IF(B72="","",SUMIF('D-2 Off-Site Habitat Creation'!$AF$11:$AF$256,'Off-site gain site summary'!B72,'D-2 Off-Site Habitat Creation'!$AB$11:$AB$256))</f>
        <v/>
      </c>
      <c r="J72" s="999" t="str">
        <f>IF(B72="","",SUMIF('D-2 Off-Site Habitat Creation'!$AF$11:$AF$256,'Off-site gain site summary'!B72,'D-2 Off-Site Habitat Creation'!$AA$11:$AA$256))</f>
        <v/>
      </c>
      <c r="K72" s="1000" t="str">
        <f t="shared" si="6" ref="K72:K107">IF(B72="","",(I72+G72+E72)-(C72))</f>
        <v/>
      </c>
      <c r="L72" s="997" t="str">
        <f>IF(ISBLANK(B72),"",IFERROR(_xlfn.XLOOKUP(B72,'D-2 Off-Site Habitat Creation'!$AF$11:$AF$256,'D-2 Off-Site Habitat Creation'!$Z$11:$Z$256),IFERROR(_xlfn.XLOOKUP(B72,'D-1 Off-Site Habitat Baseline'!AF$11:AF$258,'D-1 Off-Site Habitat Baseline'!S$11:S$258)," ")))</f>
        <v/>
      </c>
      <c r="M72" s="983" t="str">
        <f t="shared" si="7" ref="M72:M107">IF(B72="","",IF(K72&lt;0,"Error - gain sites must be positive ▲",(J72+H72+F72)-(D72)))</f>
        <v/>
      </c>
      <c r="N72" s="988">
        <f>'E-1 Off-Site Hedge Baseline'!AB75</f>
        <v>0</v>
      </c>
      <c r="O72" s="996"/>
      <c r="P72" s="1000" t="str">
        <f>IF(O72="","",SUMIF('E-1 Off-Site Hedge Baseline'!AB$10:AB$257,'Off-site gain site summary'!O72,'E-1 Off-Site Hedge Baseline'!Q$10:Q$257))</f>
        <v/>
      </c>
      <c r="Q72" s="1000" t="str">
        <f>IF(O72="","",SUMIF('E-1 Off-Site Hedge Baseline'!AB$10:AB$257,O72,'E-1 Off-Site Hedge Baseline'!N$10:N$257))</f>
        <v/>
      </c>
      <c r="R72" s="1000" t="str">
        <f>IF(O72="","",SUMIF('E-1 Off-Site Hedge Baseline'!$AB$10:$AB$257,'Off-site gain site summary'!$O72,'E-1 Off-Site Hedge Baseline'!$U$10:$U$257))</f>
        <v/>
      </c>
      <c r="S72" s="1000" t="str">
        <f>IF(O72="","",SUMIF('E-1 Off-Site Hedge Baseline'!$AB$10:$AB$257,'Off-site gain site summary'!$O72,'E-1 Off-Site Hedge Baseline'!$AY$10:$AY$257))</f>
        <v/>
      </c>
      <c r="T72" s="1000" t="str">
        <f>IF(O72="","",SUMIF('E-3 Off-Site Hedge Enhancement'!$AO$12:$AO$257,'Off-site gain site summary'!$O72,'E-3 Off-Site Hedge Enhancement'!$AK$12:$AK$257))</f>
        <v/>
      </c>
      <c r="U72" s="1000" t="str">
        <f>IF(O72="","",SUMIF('E-3 Off-Site Hedge Enhancement'!$AO$12:$AO$257,'Off-site gain site summary'!$O72,'E-3 Off-Site Hedge Enhancement'!$AJ$12:$AJ$257))</f>
        <v/>
      </c>
      <c r="V72" s="1000" t="str">
        <f>IF(O72="","",SUMIF('E-2 Off-Site Hedge Creation'!$AD$12:$AD$259,'Off-site gain site summary'!$O72,'E-2 Off-Site Hedge Creation'!$Z$12:$Z$259))</f>
        <v/>
      </c>
      <c r="W72" s="991" t="str">
        <f>IF(O72="","",SUMIF('E-2 Off-Site Hedge Creation'!$AD$12:$AD$259,'Off-site gain site summary'!$O72,'E-2 Off-Site Hedge Creation'!$Y$12:$Y$259))</f>
        <v/>
      </c>
      <c r="X72" s="991" t="str">
        <f t="shared" si="8" ref="X72:X107">IF(O72="","",(V72+T72+R72)-P72)</f>
        <v/>
      </c>
      <c r="Y72" s="991" t="str">
        <f>IF(ISBLANK(O72),"",IFERROR(_xlfn.XLOOKUP(O72,'E-2 Off-Site Hedge Creation'!$AD$12:$AD$259,'E-2 Off-Site Hedge Creation'!$N$12:$N$259),IFERROR(_xlfn.XLOOKUP(O72,'E-1 Off-Site Hedge Baseline'!$AB$10:$AB$257,'E-1 Off-Site Hedge Baseline'!$P$10:$P$257)," ")))</f>
        <v/>
      </c>
      <c r="Z72" s="986" t="str">
        <f t="shared" si="9" ref="Z72:Z107">IF(O72="","",IF(X72&lt;0,"Error - gain sites must be positive ▲",(W72+U72+S72)-Q72))</f>
        <v/>
      </c>
      <c r="AA72" s="992">
        <f>'F-1 Off-Site WaterC'' Baseline'!AH75</f>
        <v>0</v>
      </c>
      <c r="AB72" s="996"/>
      <c r="AC72" s="1000" t="str">
        <f>IF(AB72="","",SUMIF('F-1 Off-Site WaterC'' Baseline'!$AH$10:$AH$257,'Off-site gain site summary'!$AB72,'F-1 Off-Site WaterC'' Baseline'!$U$10:$U$257))</f>
        <v/>
      </c>
      <c r="AD72" s="1000" t="str">
        <f>IF(AB72="","",SUMIF('F-1 Off-Site WaterC'' Baseline'!$AH$10:$AH$257,'Off-site gain site summary'!$AB72,'F-1 Off-Site WaterC'' Baseline'!$R$10:$R$257))</f>
        <v/>
      </c>
      <c r="AE72" s="1000" t="str">
        <f>IF(AB72="","",SUMIF('F-1 Off-Site WaterC'' Baseline'!$AH$10:$AH$257,'Off-site gain site summary'!$AB72,'F-1 Off-Site WaterC'' Baseline'!$Z$10:$Z$257))</f>
        <v/>
      </c>
      <c r="AF72" s="1000" t="str">
        <f>IF(AB72="","",SUMIF('F-1 Off-Site WaterC'' Baseline'!$AH$10:$AH$257,'Off-site gain site summary'!$AB72,'F-1 Off-Site WaterC'' Baseline'!$BA$10:$BA$257))</f>
        <v/>
      </c>
      <c r="AG72" s="1000" t="str">
        <f>IF(AB72="","",SUMIF('F-3 Off-Site WaterC Enhancement'!$AT$12:$AT$257,'Off-site gain site summary'!$AB72,'F-3 Off-Site WaterC Enhancement'!$AP$12:$AP$257))</f>
        <v/>
      </c>
      <c r="AH72" s="1000" t="str">
        <f>IF(AB72="","",SUMIF('F-3 Off-Site WaterC Enhancement'!$AT$12:$AT$257,'Off-site gain site summary'!$AB72,'F-3 Off-Site WaterC Enhancement'!$AO$12:$AO$257))</f>
        <v/>
      </c>
      <c r="AI72" s="1000" t="str">
        <f>IF(AB72="","",SUMIF('F-2 Off-Site WaterC'' Creation'!$AG$12:$AG$259,'Off-site gain site summary'!$AB72,'F-2 Off-Site WaterC'' Creation'!$AC$12:$AC$259))</f>
        <v/>
      </c>
      <c r="AJ72" s="1000" t="str">
        <f>IF(AB72="","",SUMIF('F-2 Off-Site WaterC'' Creation'!$AG$12:$AG$259,'Off-site gain site summary'!$AB72,'F-2 Off-Site WaterC'' Creation'!$AB$12:$AB$259))</f>
        <v/>
      </c>
      <c r="AK72" s="1000" t="str">
        <f t="shared" si="10" ref="AK72:AK107">IF(AB72="","",(AG72+AI72+AE72)-AC72)</f>
        <v/>
      </c>
      <c r="AL72" s="1000" t="str">
        <f>IF(ISBLANK(AB72),"",IFERROR(_xlfn.XLOOKUP(AB72,'F-2 Off-Site WaterC'' Creation'!$AG$12:$AG$258,'F-2 Off-Site WaterC'' Creation'!$AA$12:$AA$258),IFERROR(_xlfn.XLOOKUP(AB72,'F-1 Off-Site WaterC'' Baseline'!$AH$10:$AH$257,'F-1 Off-Site WaterC'' Baseline'!$T$10:$T$257)," ")))</f>
        <v/>
      </c>
      <c r="AM72" s="986" t="str">
        <f t="shared" si="11" ref="AM72:AM107">IF(AB72="","",IF(AK72&lt;0,"Error - gain sites must be positive ▲",(AH72+AJ72+AF72)-AD72))</f>
        <v/>
      </c>
      <c r="AN72" s="1469"/>
      <c r="AO72" s="1469"/>
    </row>
    <row r="73" spans="1:41" s="992" customFormat="1" ht="43.5" customHeight="1">
      <c r="A73" s="988">
        <f>'D-1 Off-Site Habitat Baseline'!AF77</f>
        <v>0</v>
      </c>
      <c r="B73" s="996"/>
      <c r="C73" s="997" t="str">
        <f>IF(B73="","",SUMIF('D-1 Off-Site Habitat Baseline'!AF77:AF324,B73,'D-1 Off-Site Habitat Baseline'!T77:T324))</f>
        <v/>
      </c>
      <c r="D73" s="990" t="str">
        <f>IF(B73="","",SUMIF('D-1 Off-Site Habitat Baseline'!$AF$11:$AF$258,B73,'D-1 Off-Site Habitat Baseline'!$Q$11:$Q$258))</f>
        <v/>
      </c>
      <c r="E73" s="998" t="str">
        <f>IF(B73="","",SUMIF('D-1 Off-Site Habitat Baseline'!$AF$11:$AF$258,'Off-site gain site summary'!$B73,'D-1 Off-Site Habitat Baseline'!$X$11:$X$258))</f>
        <v/>
      </c>
      <c r="F73" s="999" t="str">
        <f>IF(B73="","",SUMIF('D-1 Off-Site Habitat Baseline'!$AF$11:$AF$258,'Off-site gain site summary'!$B73,'D-1 Off-Site Habitat Baseline'!$AY$11:$AY$258))</f>
        <v/>
      </c>
      <c r="G73" s="998" t="str">
        <f>IF(B73="","",SUMIF('D-3 Off-Site Habitat Enhancment'!$AU$12:$AU$258,'Off-site gain site summary'!B73,'D-3 Off-Site Habitat Enhancment'!$AQ$12:$AQ$258))</f>
        <v/>
      </c>
      <c r="H73" s="999" t="str">
        <f>IF(B73="","",SUMIF('D-3 Off-Site Habitat Enhancment'!$AU$12:$AU$258,'Off-site gain site summary'!B73,'D-3 Off-Site Habitat Enhancment'!$AP$12:$AP$258))</f>
        <v/>
      </c>
      <c r="I73" s="998" t="str">
        <f>IF(B73="","",SUMIF('D-2 Off-Site Habitat Creation'!$AF$11:$AF$256,'Off-site gain site summary'!B73,'D-2 Off-Site Habitat Creation'!$AB$11:$AB$256))</f>
        <v/>
      </c>
      <c r="J73" s="999" t="str">
        <f>IF(B73="","",SUMIF('D-2 Off-Site Habitat Creation'!$AF$11:$AF$256,'Off-site gain site summary'!B73,'D-2 Off-Site Habitat Creation'!$AA$11:$AA$256))</f>
        <v/>
      </c>
      <c r="K73" s="1000" t="str">
        <f t="shared" si="6"/>
        <v/>
      </c>
      <c r="L73" s="997" t="str">
        <f>IF(ISBLANK(B73),"",IFERROR(_xlfn.XLOOKUP(B73,'D-2 Off-Site Habitat Creation'!$AF$11:$AF$256,'D-2 Off-Site Habitat Creation'!$Z$11:$Z$256),IFERROR(_xlfn.XLOOKUP(B73,'D-1 Off-Site Habitat Baseline'!AF$11:AF$258,'D-1 Off-Site Habitat Baseline'!S$11:S$258)," ")))</f>
        <v/>
      </c>
      <c r="M73" s="983" t="str">
        <f t="shared" si="7"/>
        <v/>
      </c>
      <c r="N73" s="988">
        <f>'E-1 Off-Site Hedge Baseline'!AB76</f>
        <v>0</v>
      </c>
      <c r="O73" s="996"/>
      <c r="P73" s="1000" t="str">
        <f>IF(O73="","",SUMIF('E-1 Off-Site Hedge Baseline'!AB$10:AB$257,'Off-site gain site summary'!O73,'E-1 Off-Site Hedge Baseline'!Q$10:Q$257))</f>
        <v/>
      </c>
      <c r="Q73" s="1000" t="str">
        <f>IF(O73="","",SUMIF('E-1 Off-Site Hedge Baseline'!AB$10:AB$257,O73,'E-1 Off-Site Hedge Baseline'!N$10:N$257))</f>
        <v/>
      </c>
      <c r="R73" s="1000" t="str">
        <f>IF(O73="","",SUMIF('E-1 Off-Site Hedge Baseline'!$AB$10:$AB$257,'Off-site gain site summary'!$O73,'E-1 Off-Site Hedge Baseline'!$U$10:$U$257))</f>
        <v/>
      </c>
      <c r="S73" s="1000" t="str">
        <f>IF(O73="","",SUMIF('E-1 Off-Site Hedge Baseline'!$AB$10:$AB$257,'Off-site gain site summary'!$O73,'E-1 Off-Site Hedge Baseline'!$AY$10:$AY$257))</f>
        <v/>
      </c>
      <c r="T73" s="1000" t="str">
        <f>IF(O73="","",SUMIF('E-3 Off-Site Hedge Enhancement'!$AO$12:$AO$257,'Off-site gain site summary'!$O73,'E-3 Off-Site Hedge Enhancement'!$AK$12:$AK$257))</f>
        <v/>
      </c>
      <c r="U73" s="1000" t="str">
        <f>IF(O73="","",SUMIF('E-3 Off-Site Hedge Enhancement'!$AO$12:$AO$257,'Off-site gain site summary'!$O73,'E-3 Off-Site Hedge Enhancement'!$AJ$12:$AJ$257))</f>
        <v/>
      </c>
      <c r="V73" s="1000" t="str">
        <f>IF(O73="","",SUMIF('E-2 Off-Site Hedge Creation'!$AD$12:$AD$259,'Off-site gain site summary'!$O73,'E-2 Off-Site Hedge Creation'!$Z$12:$Z$259))</f>
        <v/>
      </c>
      <c r="W73" s="991" t="str">
        <f>IF(O73="","",SUMIF('E-2 Off-Site Hedge Creation'!$AD$12:$AD$259,'Off-site gain site summary'!$O73,'E-2 Off-Site Hedge Creation'!$Y$12:$Y$259))</f>
        <v/>
      </c>
      <c r="X73" s="991" t="str">
        <f t="shared" si="8"/>
        <v/>
      </c>
      <c r="Y73" s="991" t="str">
        <f>IF(ISBLANK(O73),"",IFERROR(_xlfn.XLOOKUP(O73,'E-2 Off-Site Hedge Creation'!$AD$12:$AD$259,'E-2 Off-Site Hedge Creation'!$N$12:$N$259),IFERROR(_xlfn.XLOOKUP(O73,'E-1 Off-Site Hedge Baseline'!$AB$10:$AB$257,'E-1 Off-Site Hedge Baseline'!$P$10:$P$257)," ")))</f>
        <v/>
      </c>
      <c r="Z73" s="986" t="str">
        <f t="shared" si="9"/>
        <v/>
      </c>
      <c r="AA73" s="992">
        <f>'F-1 Off-Site WaterC'' Baseline'!AH76</f>
        <v>0</v>
      </c>
      <c r="AB73" s="996"/>
      <c r="AC73" s="1000" t="str">
        <f>IF(AB73="","",SUMIF('F-1 Off-Site WaterC'' Baseline'!$AH$10:$AH$257,'Off-site gain site summary'!$AB73,'F-1 Off-Site WaterC'' Baseline'!$U$10:$U$257))</f>
        <v/>
      </c>
      <c r="AD73" s="1000" t="str">
        <f>IF(AB73="","",SUMIF('F-1 Off-Site WaterC'' Baseline'!$AH$10:$AH$257,'Off-site gain site summary'!$AB73,'F-1 Off-Site WaterC'' Baseline'!$R$10:$R$257))</f>
        <v/>
      </c>
      <c r="AE73" s="1000" t="str">
        <f>IF(AB73="","",SUMIF('F-1 Off-Site WaterC'' Baseline'!$AH$10:$AH$257,'Off-site gain site summary'!$AB73,'F-1 Off-Site WaterC'' Baseline'!$Z$10:$Z$257))</f>
        <v/>
      </c>
      <c r="AF73" s="1000" t="str">
        <f>IF(AB73="","",SUMIF('F-1 Off-Site WaterC'' Baseline'!$AH$10:$AH$257,'Off-site gain site summary'!$AB73,'F-1 Off-Site WaterC'' Baseline'!$BA$10:$BA$257))</f>
        <v/>
      </c>
      <c r="AG73" s="1000" t="str">
        <f>IF(AB73="","",SUMIF('F-3 Off-Site WaterC Enhancement'!$AT$12:$AT$257,'Off-site gain site summary'!$AB73,'F-3 Off-Site WaterC Enhancement'!$AP$12:$AP$257))</f>
        <v/>
      </c>
      <c r="AH73" s="1000" t="str">
        <f>IF(AB73="","",SUMIF('F-3 Off-Site WaterC Enhancement'!$AT$12:$AT$257,'Off-site gain site summary'!$AB73,'F-3 Off-Site WaterC Enhancement'!$AO$12:$AO$257))</f>
        <v/>
      </c>
      <c r="AI73" s="1000" t="str">
        <f>IF(AB73="","",SUMIF('F-2 Off-Site WaterC'' Creation'!$AG$12:$AG$259,'Off-site gain site summary'!$AB73,'F-2 Off-Site WaterC'' Creation'!$AC$12:$AC$259))</f>
        <v/>
      </c>
      <c r="AJ73" s="1000" t="str">
        <f>IF(AB73="","",SUMIF('F-2 Off-Site WaterC'' Creation'!$AG$12:$AG$259,'Off-site gain site summary'!$AB73,'F-2 Off-Site WaterC'' Creation'!$AB$12:$AB$259))</f>
        <v/>
      </c>
      <c r="AK73" s="1000" t="str">
        <f t="shared" si="10"/>
        <v/>
      </c>
      <c r="AL73" s="1000" t="str">
        <f>IF(ISBLANK(AB73),"",IFERROR(_xlfn.XLOOKUP(AB73,'F-2 Off-Site WaterC'' Creation'!$AG$12:$AG$258,'F-2 Off-Site WaterC'' Creation'!$AA$12:$AA$258),IFERROR(_xlfn.XLOOKUP(AB73,'F-1 Off-Site WaterC'' Baseline'!$AH$10:$AH$257,'F-1 Off-Site WaterC'' Baseline'!$T$10:$T$257)," ")))</f>
        <v/>
      </c>
      <c r="AM73" s="986" t="str">
        <f t="shared" si="11"/>
        <v/>
      </c>
      <c r="AN73" s="1469"/>
      <c r="AO73" s="1469"/>
    </row>
    <row r="74" spans="1:41" s="992" customFormat="1" ht="43.5" customHeight="1">
      <c r="A74" s="988">
        <f>'D-1 Off-Site Habitat Baseline'!AF78</f>
        <v>0</v>
      </c>
      <c r="B74" s="996"/>
      <c r="C74" s="997" t="str">
        <f>IF(B74="","",SUMIF('D-1 Off-Site Habitat Baseline'!AF78:AF325,B74,'D-1 Off-Site Habitat Baseline'!T78:T325))</f>
        <v/>
      </c>
      <c r="D74" s="990" t="str">
        <f>IF(B74="","",SUMIF('D-1 Off-Site Habitat Baseline'!$AF$11:$AF$258,B74,'D-1 Off-Site Habitat Baseline'!$Q$11:$Q$258))</f>
        <v/>
      </c>
      <c r="E74" s="998" t="str">
        <f>IF(B74="","",SUMIF('D-1 Off-Site Habitat Baseline'!$AF$11:$AF$258,'Off-site gain site summary'!$B74,'D-1 Off-Site Habitat Baseline'!$X$11:$X$258))</f>
        <v/>
      </c>
      <c r="F74" s="999" t="str">
        <f>IF(B74="","",SUMIF('D-1 Off-Site Habitat Baseline'!$AF$11:$AF$258,'Off-site gain site summary'!$B74,'D-1 Off-Site Habitat Baseline'!$AY$11:$AY$258))</f>
        <v/>
      </c>
      <c r="G74" s="998" t="str">
        <f>IF(B74="","",SUMIF('D-3 Off-Site Habitat Enhancment'!$AU$12:$AU$258,'Off-site gain site summary'!B74,'D-3 Off-Site Habitat Enhancment'!$AQ$12:$AQ$258))</f>
        <v/>
      </c>
      <c r="H74" s="999" t="str">
        <f>IF(B74="","",SUMIF('D-3 Off-Site Habitat Enhancment'!$AU$12:$AU$258,'Off-site gain site summary'!B74,'D-3 Off-Site Habitat Enhancment'!$AP$12:$AP$258))</f>
        <v/>
      </c>
      <c r="I74" s="998" t="str">
        <f>IF(B74="","",SUMIF('D-2 Off-Site Habitat Creation'!$AF$11:$AF$256,'Off-site gain site summary'!B74,'D-2 Off-Site Habitat Creation'!$AB$11:$AB$256))</f>
        <v/>
      </c>
      <c r="J74" s="999" t="str">
        <f>IF(B74="","",SUMIF('D-2 Off-Site Habitat Creation'!$AF$11:$AF$256,'Off-site gain site summary'!B74,'D-2 Off-Site Habitat Creation'!$AA$11:$AA$256))</f>
        <v/>
      </c>
      <c r="K74" s="1000" t="str">
        <f t="shared" si="6"/>
        <v/>
      </c>
      <c r="L74" s="997" t="str">
        <f>IF(ISBLANK(B74),"",IFERROR(_xlfn.XLOOKUP(B74,'D-2 Off-Site Habitat Creation'!$AF$11:$AF$256,'D-2 Off-Site Habitat Creation'!$Z$11:$Z$256),IFERROR(_xlfn.XLOOKUP(B74,'D-1 Off-Site Habitat Baseline'!AF$11:AF$258,'D-1 Off-Site Habitat Baseline'!S$11:S$258)," ")))</f>
        <v/>
      </c>
      <c r="M74" s="983" t="str">
        <f t="shared" si="7"/>
        <v/>
      </c>
      <c r="N74" s="988">
        <f>'E-1 Off-Site Hedge Baseline'!AB77</f>
        <v>0</v>
      </c>
      <c r="O74" s="996"/>
      <c r="P74" s="1000" t="str">
        <f>IF(O74="","",SUMIF('E-1 Off-Site Hedge Baseline'!AB$10:AB$257,'Off-site gain site summary'!O74,'E-1 Off-Site Hedge Baseline'!Q$10:Q$257))</f>
        <v/>
      </c>
      <c r="Q74" s="1000" t="str">
        <f>IF(O74="","",SUMIF('E-1 Off-Site Hedge Baseline'!AB$10:AB$257,O74,'E-1 Off-Site Hedge Baseline'!N$10:N$257))</f>
        <v/>
      </c>
      <c r="R74" s="1000" t="str">
        <f>IF(O74="","",SUMIF('E-1 Off-Site Hedge Baseline'!$AB$10:$AB$257,'Off-site gain site summary'!$O74,'E-1 Off-Site Hedge Baseline'!$U$10:$U$257))</f>
        <v/>
      </c>
      <c r="S74" s="1000" t="str">
        <f>IF(O74="","",SUMIF('E-1 Off-Site Hedge Baseline'!$AB$10:$AB$257,'Off-site gain site summary'!$O74,'E-1 Off-Site Hedge Baseline'!$AY$10:$AY$257))</f>
        <v/>
      </c>
      <c r="T74" s="1000" t="str">
        <f>IF(O74="","",SUMIF('E-3 Off-Site Hedge Enhancement'!$AO$12:$AO$257,'Off-site gain site summary'!$O74,'E-3 Off-Site Hedge Enhancement'!$AK$12:$AK$257))</f>
        <v/>
      </c>
      <c r="U74" s="1000" t="str">
        <f>IF(O74="","",SUMIF('E-3 Off-Site Hedge Enhancement'!$AO$12:$AO$257,'Off-site gain site summary'!$O74,'E-3 Off-Site Hedge Enhancement'!$AJ$12:$AJ$257))</f>
        <v/>
      </c>
      <c r="V74" s="1000" t="str">
        <f>IF(O74="","",SUMIF('E-2 Off-Site Hedge Creation'!$AD$12:$AD$259,'Off-site gain site summary'!$O74,'E-2 Off-Site Hedge Creation'!$Z$12:$Z$259))</f>
        <v/>
      </c>
      <c r="W74" s="991" t="str">
        <f>IF(O74="","",SUMIF('E-2 Off-Site Hedge Creation'!$AD$12:$AD$259,'Off-site gain site summary'!$O74,'E-2 Off-Site Hedge Creation'!$Y$12:$Y$259))</f>
        <v/>
      </c>
      <c r="X74" s="991" t="str">
        <f t="shared" si="8"/>
        <v/>
      </c>
      <c r="Y74" s="991" t="str">
        <f>IF(ISBLANK(O74),"",IFERROR(_xlfn.XLOOKUP(O74,'E-2 Off-Site Hedge Creation'!$AD$12:$AD$259,'E-2 Off-Site Hedge Creation'!$N$12:$N$259),IFERROR(_xlfn.XLOOKUP(O74,'E-1 Off-Site Hedge Baseline'!$AB$10:$AB$257,'E-1 Off-Site Hedge Baseline'!$P$10:$P$257)," ")))</f>
        <v/>
      </c>
      <c r="Z74" s="986" t="str">
        <f t="shared" si="9"/>
        <v/>
      </c>
      <c r="AA74" s="992">
        <f>'F-1 Off-Site WaterC'' Baseline'!AH77</f>
        <v>0</v>
      </c>
      <c r="AB74" s="996"/>
      <c r="AC74" s="1000" t="str">
        <f>IF(AB74="","",SUMIF('F-1 Off-Site WaterC'' Baseline'!$AH$10:$AH$257,'Off-site gain site summary'!$AB74,'F-1 Off-Site WaterC'' Baseline'!$U$10:$U$257))</f>
        <v/>
      </c>
      <c r="AD74" s="1000" t="str">
        <f>IF(AB74="","",SUMIF('F-1 Off-Site WaterC'' Baseline'!$AH$10:$AH$257,'Off-site gain site summary'!$AB74,'F-1 Off-Site WaterC'' Baseline'!$R$10:$R$257))</f>
        <v/>
      </c>
      <c r="AE74" s="1000" t="str">
        <f>IF(AB74="","",SUMIF('F-1 Off-Site WaterC'' Baseline'!$AH$10:$AH$257,'Off-site gain site summary'!$AB74,'F-1 Off-Site WaterC'' Baseline'!$Z$10:$Z$257))</f>
        <v/>
      </c>
      <c r="AF74" s="1000" t="str">
        <f>IF(AB74="","",SUMIF('F-1 Off-Site WaterC'' Baseline'!$AH$10:$AH$257,'Off-site gain site summary'!$AB74,'F-1 Off-Site WaterC'' Baseline'!$BA$10:$BA$257))</f>
        <v/>
      </c>
      <c r="AG74" s="1000" t="str">
        <f>IF(AB74="","",SUMIF('F-3 Off-Site WaterC Enhancement'!$AT$12:$AT$257,'Off-site gain site summary'!$AB74,'F-3 Off-Site WaterC Enhancement'!$AP$12:$AP$257))</f>
        <v/>
      </c>
      <c r="AH74" s="1000" t="str">
        <f>IF(AB74="","",SUMIF('F-3 Off-Site WaterC Enhancement'!$AT$12:$AT$257,'Off-site gain site summary'!$AB74,'F-3 Off-Site WaterC Enhancement'!$AO$12:$AO$257))</f>
        <v/>
      </c>
      <c r="AI74" s="1000" t="str">
        <f>IF(AB74="","",SUMIF('F-2 Off-Site WaterC'' Creation'!$AG$12:$AG$259,'Off-site gain site summary'!$AB74,'F-2 Off-Site WaterC'' Creation'!$AC$12:$AC$259))</f>
        <v/>
      </c>
      <c r="AJ74" s="1000" t="str">
        <f>IF(AB74="","",SUMIF('F-2 Off-Site WaterC'' Creation'!$AG$12:$AG$259,'Off-site gain site summary'!$AB74,'F-2 Off-Site WaterC'' Creation'!$AB$12:$AB$259))</f>
        <v/>
      </c>
      <c r="AK74" s="1000" t="str">
        <f t="shared" si="10"/>
        <v/>
      </c>
      <c r="AL74" s="1000" t="str">
        <f>IF(ISBLANK(AB74),"",IFERROR(_xlfn.XLOOKUP(AB74,'F-2 Off-Site WaterC'' Creation'!$AG$12:$AG$258,'F-2 Off-Site WaterC'' Creation'!$AA$12:$AA$258),IFERROR(_xlfn.XLOOKUP(AB74,'F-1 Off-Site WaterC'' Baseline'!$AH$10:$AH$257,'F-1 Off-Site WaterC'' Baseline'!$T$10:$T$257)," ")))</f>
        <v/>
      </c>
      <c r="AM74" s="986" t="str">
        <f t="shared" si="11"/>
        <v/>
      </c>
      <c r="AN74" s="1469"/>
      <c r="AO74" s="1469"/>
    </row>
    <row r="75" spans="1:41" s="992" customFormat="1" ht="43.5" customHeight="1">
      <c r="A75" s="988">
        <f>'D-1 Off-Site Habitat Baseline'!AF79</f>
        <v>0</v>
      </c>
      <c r="B75" s="996"/>
      <c r="C75" s="997" t="str">
        <f>IF(B75="","",SUMIF('D-1 Off-Site Habitat Baseline'!AF79:AF326,B75,'D-1 Off-Site Habitat Baseline'!T79:T326))</f>
        <v/>
      </c>
      <c r="D75" s="990" t="str">
        <f>IF(B75="","",SUMIF('D-1 Off-Site Habitat Baseline'!$AF$11:$AF$258,B75,'D-1 Off-Site Habitat Baseline'!$Q$11:$Q$258))</f>
        <v/>
      </c>
      <c r="E75" s="998" t="str">
        <f>IF(B75="","",SUMIF('D-1 Off-Site Habitat Baseline'!$AF$11:$AF$258,'Off-site gain site summary'!$B75,'D-1 Off-Site Habitat Baseline'!$X$11:$X$258))</f>
        <v/>
      </c>
      <c r="F75" s="999" t="str">
        <f>IF(B75="","",SUMIF('D-1 Off-Site Habitat Baseline'!$AF$11:$AF$258,'Off-site gain site summary'!$B75,'D-1 Off-Site Habitat Baseline'!$AY$11:$AY$258))</f>
        <v/>
      </c>
      <c r="G75" s="998" t="str">
        <f>IF(B75="","",SUMIF('D-3 Off-Site Habitat Enhancment'!$AU$12:$AU$258,'Off-site gain site summary'!B75,'D-3 Off-Site Habitat Enhancment'!$AQ$12:$AQ$258))</f>
        <v/>
      </c>
      <c r="H75" s="999" t="str">
        <f>IF(B75="","",SUMIF('D-3 Off-Site Habitat Enhancment'!$AU$12:$AU$258,'Off-site gain site summary'!B75,'D-3 Off-Site Habitat Enhancment'!$AP$12:$AP$258))</f>
        <v/>
      </c>
      <c r="I75" s="998" t="str">
        <f>IF(B75="","",SUMIF('D-2 Off-Site Habitat Creation'!$AF$11:$AF$256,'Off-site gain site summary'!B75,'D-2 Off-Site Habitat Creation'!$AB$11:$AB$256))</f>
        <v/>
      </c>
      <c r="J75" s="999" t="str">
        <f>IF(B75="","",SUMIF('D-2 Off-Site Habitat Creation'!$AF$11:$AF$256,'Off-site gain site summary'!B75,'D-2 Off-Site Habitat Creation'!$AA$11:$AA$256))</f>
        <v/>
      </c>
      <c r="K75" s="1000" t="str">
        <f t="shared" si="6"/>
        <v/>
      </c>
      <c r="L75" s="997" t="str">
        <f>IF(ISBLANK(B75),"",IFERROR(_xlfn.XLOOKUP(B75,'D-2 Off-Site Habitat Creation'!$AF$11:$AF$256,'D-2 Off-Site Habitat Creation'!$Z$11:$Z$256),IFERROR(_xlfn.XLOOKUP(B75,'D-1 Off-Site Habitat Baseline'!AF$11:AF$258,'D-1 Off-Site Habitat Baseline'!S$11:S$258)," ")))</f>
        <v/>
      </c>
      <c r="M75" s="983" t="str">
        <f t="shared" si="7"/>
        <v/>
      </c>
      <c r="N75" s="988">
        <f>'E-1 Off-Site Hedge Baseline'!AB78</f>
        <v>0</v>
      </c>
      <c r="O75" s="996"/>
      <c r="P75" s="1000" t="str">
        <f>IF(O75="","",SUMIF('E-1 Off-Site Hedge Baseline'!AB$10:AB$257,'Off-site gain site summary'!O75,'E-1 Off-Site Hedge Baseline'!Q$10:Q$257))</f>
        <v/>
      </c>
      <c r="Q75" s="1000" t="str">
        <f>IF(O75="","",SUMIF('E-1 Off-Site Hedge Baseline'!AB$10:AB$257,O75,'E-1 Off-Site Hedge Baseline'!N$10:N$257))</f>
        <v/>
      </c>
      <c r="R75" s="1000" t="str">
        <f>IF(O75="","",SUMIF('E-1 Off-Site Hedge Baseline'!$AB$10:$AB$257,'Off-site gain site summary'!$O75,'E-1 Off-Site Hedge Baseline'!$U$10:$U$257))</f>
        <v/>
      </c>
      <c r="S75" s="1000" t="str">
        <f>IF(O75="","",SUMIF('E-1 Off-Site Hedge Baseline'!$AB$10:$AB$257,'Off-site gain site summary'!$O75,'E-1 Off-Site Hedge Baseline'!$AY$10:$AY$257))</f>
        <v/>
      </c>
      <c r="T75" s="1000" t="str">
        <f>IF(O75="","",SUMIF('E-3 Off-Site Hedge Enhancement'!$AO$12:$AO$257,'Off-site gain site summary'!$O75,'E-3 Off-Site Hedge Enhancement'!$AK$12:$AK$257))</f>
        <v/>
      </c>
      <c r="U75" s="1000" t="str">
        <f>IF(O75="","",SUMIF('E-3 Off-Site Hedge Enhancement'!$AO$12:$AO$257,'Off-site gain site summary'!$O75,'E-3 Off-Site Hedge Enhancement'!$AJ$12:$AJ$257))</f>
        <v/>
      </c>
      <c r="V75" s="1000" t="str">
        <f>IF(O75="","",SUMIF('E-2 Off-Site Hedge Creation'!$AD$12:$AD$259,'Off-site gain site summary'!$O75,'E-2 Off-Site Hedge Creation'!$Z$12:$Z$259))</f>
        <v/>
      </c>
      <c r="W75" s="991" t="str">
        <f>IF(O75="","",SUMIF('E-2 Off-Site Hedge Creation'!$AD$12:$AD$259,'Off-site gain site summary'!$O75,'E-2 Off-Site Hedge Creation'!$Y$12:$Y$259))</f>
        <v/>
      </c>
      <c r="X75" s="991" t="str">
        <f t="shared" si="8"/>
        <v/>
      </c>
      <c r="Y75" s="991" t="str">
        <f>IF(ISBLANK(O75),"",IFERROR(_xlfn.XLOOKUP(O75,'E-2 Off-Site Hedge Creation'!$AD$12:$AD$259,'E-2 Off-Site Hedge Creation'!$N$12:$N$259),IFERROR(_xlfn.XLOOKUP(O75,'E-1 Off-Site Hedge Baseline'!$AB$10:$AB$257,'E-1 Off-Site Hedge Baseline'!$P$10:$P$257)," ")))</f>
        <v/>
      </c>
      <c r="Z75" s="986" t="str">
        <f t="shared" si="9"/>
        <v/>
      </c>
      <c r="AA75" s="992">
        <f>'F-1 Off-Site WaterC'' Baseline'!AH78</f>
        <v>0</v>
      </c>
      <c r="AB75" s="996"/>
      <c r="AC75" s="1000" t="str">
        <f>IF(AB75="","",SUMIF('F-1 Off-Site WaterC'' Baseline'!$AH$10:$AH$257,'Off-site gain site summary'!$AB75,'F-1 Off-Site WaterC'' Baseline'!$U$10:$U$257))</f>
        <v/>
      </c>
      <c r="AD75" s="1000" t="str">
        <f>IF(AB75="","",SUMIF('F-1 Off-Site WaterC'' Baseline'!$AH$10:$AH$257,'Off-site gain site summary'!$AB75,'F-1 Off-Site WaterC'' Baseline'!$R$10:$R$257))</f>
        <v/>
      </c>
      <c r="AE75" s="1000" t="str">
        <f>IF(AB75="","",SUMIF('F-1 Off-Site WaterC'' Baseline'!$AH$10:$AH$257,'Off-site gain site summary'!$AB75,'F-1 Off-Site WaterC'' Baseline'!$Z$10:$Z$257))</f>
        <v/>
      </c>
      <c r="AF75" s="1000" t="str">
        <f>IF(AB75="","",SUMIF('F-1 Off-Site WaterC'' Baseline'!$AH$10:$AH$257,'Off-site gain site summary'!$AB75,'F-1 Off-Site WaterC'' Baseline'!$BA$10:$BA$257))</f>
        <v/>
      </c>
      <c r="AG75" s="1000" t="str">
        <f>IF(AB75="","",SUMIF('F-3 Off-Site WaterC Enhancement'!$AT$12:$AT$257,'Off-site gain site summary'!$AB75,'F-3 Off-Site WaterC Enhancement'!$AP$12:$AP$257))</f>
        <v/>
      </c>
      <c r="AH75" s="1000" t="str">
        <f>IF(AB75="","",SUMIF('F-3 Off-Site WaterC Enhancement'!$AT$12:$AT$257,'Off-site gain site summary'!$AB75,'F-3 Off-Site WaterC Enhancement'!$AO$12:$AO$257))</f>
        <v/>
      </c>
      <c r="AI75" s="1000" t="str">
        <f>IF(AB75="","",SUMIF('F-2 Off-Site WaterC'' Creation'!$AG$12:$AG$259,'Off-site gain site summary'!$AB75,'F-2 Off-Site WaterC'' Creation'!$AC$12:$AC$259))</f>
        <v/>
      </c>
      <c r="AJ75" s="1000" t="str">
        <f>IF(AB75="","",SUMIF('F-2 Off-Site WaterC'' Creation'!$AG$12:$AG$259,'Off-site gain site summary'!$AB75,'F-2 Off-Site WaterC'' Creation'!$AB$12:$AB$259))</f>
        <v/>
      </c>
      <c r="AK75" s="1000" t="str">
        <f t="shared" si="10"/>
        <v/>
      </c>
      <c r="AL75" s="1000" t="str">
        <f>IF(ISBLANK(AB75),"",IFERROR(_xlfn.XLOOKUP(AB75,'F-2 Off-Site WaterC'' Creation'!$AG$12:$AG$258,'F-2 Off-Site WaterC'' Creation'!$AA$12:$AA$258),IFERROR(_xlfn.XLOOKUP(AB75,'F-1 Off-Site WaterC'' Baseline'!$AH$10:$AH$257,'F-1 Off-Site WaterC'' Baseline'!$T$10:$T$257)," ")))</f>
        <v/>
      </c>
      <c r="AM75" s="986" t="str">
        <f t="shared" si="11"/>
        <v/>
      </c>
      <c r="AN75" s="1469"/>
      <c r="AO75" s="1469"/>
    </row>
    <row r="76" spans="1:41" s="992" customFormat="1" ht="43.5" customHeight="1">
      <c r="A76" s="988">
        <f>'D-1 Off-Site Habitat Baseline'!AF80</f>
        <v>0</v>
      </c>
      <c r="B76" s="996"/>
      <c r="C76" s="997" t="str">
        <f>IF(B76="","",SUMIF('D-1 Off-Site Habitat Baseline'!AF80:AF327,B76,'D-1 Off-Site Habitat Baseline'!T80:T327))</f>
        <v/>
      </c>
      <c r="D76" s="990" t="str">
        <f>IF(B76="","",SUMIF('D-1 Off-Site Habitat Baseline'!$AF$11:$AF$258,B76,'D-1 Off-Site Habitat Baseline'!$Q$11:$Q$258))</f>
        <v/>
      </c>
      <c r="E76" s="998" t="str">
        <f>IF(B76="","",SUMIF('D-1 Off-Site Habitat Baseline'!$AF$11:$AF$258,'Off-site gain site summary'!$B76,'D-1 Off-Site Habitat Baseline'!$X$11:$X$258))</f>
        <v/>
      </c>
      <c r="F76" s="999" t="str">
        <f>IF(B76="","",SUMIF('D-1 Off-Site Habitat Baseline'!$AF$11:$AF$258,'Off-site gain site summary'!$B76,'D-1 Off-Site Habitat Baseline'!$AY$11:$AY$258))</f>
        <v/>
      </c>
      <c r="G76" s="998" t="str">
        <f>IF(B76="","",SUMIF('D-3 Off-Site Habitat Enhancment'!$AU$12:$AU$258,'Off-site gain site summary'!B76,'D-3 Off-Site Habitat Enhancment'!$AQ$12:$AQ$258))</f>
        <v/>
      </c>
      <c r="H76" s="999" t="str">
        <f>IF(B76="","",SUMIF('D-3 Off-Site Habitat Enhancment'!$AU$12:$AU$258,'Off-site gain site summary'!B76,'D-3 Off-Site Habitat Enhancment'!$AP$12:$AP$258))</f>
        <v/>
      </c>
      <c r="I76" s="998" t="str">
        <f>IF(B76="","",SUMIF('D-2 Off-Site Habitat Creation'!$AF$11:$AF$256,'Off-site gain site summary'!B76,'D-2 Off-Site Habitat Creation'!$AB$11:$AB$256))</f>
        <v/>
      </c>
      <c r="J76" s="999" t="str">
        <f>IF(B76="","",SUMIF('D-2 Off-Site Habitat Creation'!$AF$11:$AF$256,'Off-site gain site summary'!B76,'D-2 Off-Site Habitat Creation'!$AA$11:$AA$256))</f>
        <v/>
      </c>
      <c r="K76" s="1000" t="str">
        <f t="shared" si="6"/>
        <v/>
      </c>
      <c r="L76" s="997" t="str">
        <f>IF(ISBLANK(B76),"",IFERROR(_xlfn.XLOOKUP(B76,'D-2 Off-Site Habitat Creation'!$AF$11:$AF$256,'D-2 Off-Site Habitat Creation'!$Z$11:$Z$256),IFERROR(_xlfn.XLOOKUP(B76,'D-1 Off-Site Habitat Baseline'!AF$11:AF$258,'D-1 Off-Site Habitat Baseline'!S$11:S$258)," ")))</f>
        <v/>
      </c>
      <c r="M76" s="983" t="str">
        <f t="shared" si="7"/>
        <v/>
      </c>
      <c r="N76" s="988">
        <f>'E-1 Off-Site Hedge Baseline'!AB79</f>
        <v>0</v>
      </c>
      <c r="O76" s="996"/>
      <c r="P76" s="1000" t="str">
        <f>IF(O76="","",SUMIF('E-1 Off-Site Hedge Baseline'!AB$10:AB$257,'Off-site gain site summary'!O76,'E-1 Off-Site Hedge Baseline'!Q$10:Q$257))</f>
        <v/>
      </c>
      <c r="Q76" s="1000" t="str">
        <f>IF(O76="","",SUMIF('E-1 Off-Site Hedge Baseline'!AB$10:AB$257,O76,'E-1 Off-Site Hedge Baseline'!N$10:N$257))</f>
        <v/>
      </c>
      <c r="R76" s="1000" t="str">
        <f>IF(O76="","",SUMIF('E-1 Off-Site Hedge Baseline'!$AB$10:$AB$257,'Off-site gain site summary'!$O76,'E-1 Off-Site Hedge Baseline'!$U$10:$U$257))</f>
        <v/>
      </c>
      <c r="S76" s="1000" t="str">
        <f>IF(O76="","",SUMIF('E-1 Off-Site Hedge Baseline'!$AB$10:$AB$257,'Off-site gain site summary'!$O76,'E-1 Off-Site Hedge Baseline'!$AY$10:$AY$257))</f>
        <v/>
      </c>
      <c r="T76" s="1000" t="str">
        <f>IF(O76="","",SUMIF('E-3 Off-Site Hedge Enhancement'!$AO$12:$AO$257,'Off-site gain site summary'!$O76,'E-3 Off-Site Hedge Enhancement'!$AK$12:$AK$257))</f>
        <v/>
      </c>
      <c r="U76" s="1000" t="str">
        <f>IF(O76="","",SUMIF('E-3 Off-Site Hedge Enhancement'!$AO$12:$AO$257,'Off-site gain site summary'!$O76,'E-3 Off-Site Hedge Enhancement'!$AJ$12:$AJ$257))</f>
        <v/>
      </c>
      <c r="V76" s="1000" t="str">
        <f>IF(O76="","",SUMIF('E-2 Off-Site Hedge Creation'!$AD$12:$AD$259,'Off-site gain site summary'!$O76,'E-2 Off-Site Hedge Creation'!$Z$12:$Z$259))</f>
        <v/>
      </c>
      <c r="W76" s="991" t="str">
        <f>IF(O76="","",SUMIF('E-2 Off-Site Hedge Creation'!$AD$12:$AD$259,'Off-site gain site summary'!$O76,'E-2 Off-Site Hedge Creation'!$Y$12:$Y$259))</f>
        <v/>
      </c>
      <c r="X76" s="991" t="str">
        <f t="shared" si="8"/>
        <v/>
      </c>
      <c r="Y76" s="991" t="str">
        <f>IF(ISBLANK(O76),"",IFERROR(_xlfn.XLOOKUP(O76,'E-2 Off-Site Hedge Creation'!$AD$12:$AD$259,'E-2 Off-Site Hedge Creation'!$N$12:$N$259),IFERROR(_xlfn.XLOOKUP(O76,'E-1 Off-Site Hedge Baseline'!$AB$10:$AB$257,'E-1 Off-Site Hedge Baseline'!$P$10:$P$257)," ")))</f>
        <v/>
      </c>
      <c r="Z76" s="986" t="str">
        <f t="shared" si="9"/>
        <v/>
      </c>
      <c r="AA76" s="992">
        <f>'F-1 Off-Site WaterC'' Baseline'!AH79</f>
        <v>0</v>
      </c>
      <c r="AB76" s="996"/>
      <c r="AC76" s="1000" t="str">
        <f>IF(AB76="","",SUMIF('F-1 Off-Site WaterC'' Baseline'!$AH$10:$AH$257,'Off-site gain site summary'!$AB76,'F-1 Off-Site WaterC'' Baseline'!$U$10:$U$257))</f>
        <v/>
      </c>
      <c r="AD76" s="1000" t="str">
        <f>IF(AB76="","",SUMIF('F-1 Off-Site WaterC'' Baseline'!$AH$10:$AH$257,'Off-site gain site summary'!$AB76,'F-1 Off-Site WaterC'' Baseline'!$R$10:$R$257))</f>
        <v/>
      </c>
      <c r="AE76" s="1000" t="str">
        <f>IF(AB76="","",SUMIF('F-1 Off-Site WaterC'' Baseline'!$AH$10:$AH$257,'Off-site gain site summary'!$AB76,'F-1 Off-Site WaterC'' Baseline'!$Z$10:$Z$257))</f>
        <v/>
      </c>
      <c r="AF76" s="1000" t="str">
        <f>IF(AB76="","",SUMIF('F-1 Off-Site WaterC'' Baseline'!$AH$10:$AH$257,'Off-site gain site summary'!$AB76,'F-1 Off-Site WaterC'' Baseline'!$BA$10:$BA$257))</f>
        <v/>
      </c>
      <c r="AG76" s="1000" t="str">
        <f>IF(AB76="","",SUMIF('F-3 Off-Site WaterC Enhancement'!$AT$12:$AT$257,'Off-site gain site summary'!$AB76,'F-3 Off-Site WaterC Enhancement'!$AP$12:$AP$257))</f>
        <v/>
      </c>
      <c r="AH76" s="1000" t="str">
        <f>IF(AB76="","",SUMIF('F-3 Off-Site WaterC Enhancement'!$AT$12:$AT$257,'Off-site gain site summary'!$AB76,'F-3 Off-Site WaterC Enhancement'!$AO$12:$AO$257))</f>
        <v/>
      </c>
      <c r="AI76" s="1000" t="str">
        <f>IF(AB76="","",SUMIF('F-2 Off-Site WaterC'' Creation'!$AG$12:$AG$259,'Off-site gain site summary'!$AB76,'F-2 Off-Site WaterC'' Creation'!$AC$12:$AC$259))</f>
        <v/>
      </c>
      <c r="AJ76" s="1000" t="str">
        <f>IF(AB76="","",SUMIF('F-2 Off-Site WaterC'' Creation'!$AG$12:$AG$259,'Off-site gain site summary'!$AB76,'F-2 Off-Site WaterC'' Creation'!$AB$12:$AB$259))</f>
        <v/>
      </c>
      <c r="AK76" s="1000" t="str">
        <f t="shared" si="10"/>
        <v/>
      </c>
      <c r="AL76" s="1000" t="str">
        <f>IF(ISBLANK(AB76),"",IFERROR(_xlfn.XLOOKUP(AB76,'F-2 Off-Site WaterC'' Creation'!$AG$12:$AG$258,'F-2 Off-Site WaterC'' Creation'!$AA$12:$AA$258),IFERROR(_xlfn.XLOOKUP(AB76,'F-1 Off-Site WaterC'' Baseline'!$AH$10:$AH$257,'F-1 Off-Site WaterC'' Baseline'!$T$10:$T$257)," ")))</f>
        <v/>
      </c>
      <c r="AM76" s="986" t="str">
        <f t="shared" si="11"/>
        <v/>
      </c>
      <c r="AN76" s="1469"/>
      <c r="AO76" s="1469"/>
    </row>
    <row r="77" spans="1:41" s="992" customFormat="1" ht="43.5" customHeight="1">
      <c r="A77" s="988">
        <f>'D-1 Off-Site Habitat Baseline'!AF81</f>
        <v>0</v>
      </c>
      <c r="B77" s="996"/>
      <c r="C77" s="997" t="str">
        <f>IF(B77="","",SUMIF('D-1 Off-Site Habitat Baseline'!AF81:AF328,B77,'D-1 Off-Site Habitat Baseline'!T81:T328))</f>
        <v/>
      </c>
      <c r="D77" s="990" t="str">
        <f>IF(B77="","",SUMIF('D-1 Off-Site Habitat Baseline'!$AF$11:$AF$258,B77,'D-1 Off-Site Habitat Baseline'!$Q$11:$Q$258))</f>
        <v/>
      </c>
      <c r="E77" s="998" t="str">
        <f>IF(B77="","",SUMIF('D-1 Off-Site Habitat Baseline'!$AF$11:$AF$258,'Off-site gain site summary'!$B77,'D-1 Off-Site Habitat Baseline'!$X$11:$X$258))</f>
        <v/>
      </c>
      <c r="F77" s="999" t="str">
        <f>IF(B77="","",SUMIF('D-1 Off-Site Habitat Baseline'!$AF$11:$AF$258,'Off-site gain site summary'!$B77,'D-1 Off-Site Habitat Baseline'!$AY$11:$AY$258))</f>
        <v/>
      </c>
      <c r="G77" s="998" t="str">
        <f>IF(B77="","",SUMIF('D-3 Off-Site Habitat Enhancment'!$AU$12:$AU$258,'Off-site gain site summary'!B77,'D-3 Off-Site Habitat Enhancment'!$AQ$12:$AQ$258))</f>
        <v/>
      </c>
      <c r="H77" s="999" t="str">
        <f>IF(B77="","",SUMIF('D-3 Off-Site Habitat Enhancment'!$AU$12:$AU$258,'Off-site gain site summary'!B77,'D-3 Off-Site Habitat Enhancment'!$AP$12:$AP$258))</f>
        <v/>
      </c>
      <c r="I77" s="998" t="str">
        <f>IF(B77="","",SUMIF('D-2 Off-Site Habitat Creation'!$AF$11:$AF$256,'Off-site gain site summary'!B77,'D-2 Off-Site Habitat Creation'!$AB$11:$AB$256))</f>
        <v/>
      </c>
      <c r="J77" s="999" t="str">
        <f>IF(B77="","",SUMIF('D-2 Off-Site Habitat Creation'!$AF$11:$AF$256,'Off-site gain site summary'!B77,'D-2 Off-Site Habitat Creation'!$AA$11:$AA$256))</f>
        <v/>
      </c>
      <c r="K77" s="1000" t="str">
        <f t="shared" si="6"/>
        <v/>
      </c>
      <c r="L77" s="997" t="str">
        <f>IF(ISBLANK(B77),"",IFERROR(_xlfn.XLOOKUP(B77,'D-2 Off-Site Habitat Creation'!$AF$11:$AF$256,'D-2 Off-Site Habitat Creation'!$Z$11:$Z$256),IFERROR(_xlfn.XLOOKUP(B77,'D-1 Off-Site Habitat Baseline'!AF$11:AF$258,'D-1 Off-Site Habitat Baseline'!S$11:S$258)," ")))</f>
        <v/>
      </c>
      <c r="M77" s="983" t="str">
        <f t="shared" si="7"/>
        <v/>
      </c>
      <c r="N77" s="988">
        <f>'E-1 Off-Site Hedge Baseline'!AB80</f>
        <v>0</v>
      </c>
      <c r="O77" s="996"/>
      <c r="P77" s="1000" t="str">
        <f>IF(O77="","",SUMIF('E-1 Off-Site Hedge Baseline'!AB$10:AB$257,'Off-site gain site summary'!O77,'E-1 Off-Site Hedge Baseline'!Q$10:Q$257))</f>
        <v/>
      </c>
      <c r="Q77" s="1000" t="str">
        <f>IF(O77="","",SUMIF('E-1 Off-Site Hedge Baseline'!AB$10:AB$257,O77,'E-1 Off-Site Hedge Baseline'!N$10:N$257))</f>
        <v/>
      </c>
      <c r="R77" s="1000" t="str">
        <f>IF(O77="","",SUMIF('E-1 Off-Site Hedge Baseline'!$AB$10:$AB$257,'Off-site gain site summary'!$O77,'E-1 Off-Site Hedge Baseline'!$U$10:$U$257))</f>
        <v/>
      </c>
      <c r="S77" s="1000" t="str">
        <f>IF(O77="","",SUMIF('E-1 Off-Site Hedge Baseline'!$AB$10:$AB$257,'Off-site gain site summary'!$O77,'E-1 Off-Site Hedge Baseline'!$AY$10:$AY$257))</f>
        <v/>
      </c>
      <c r="T77" s="1000" t="str">
        <f>IF(O77="","",SUMIF('E-3 Off-Site Hedge Enhancement'!$AO$12:$AO$257,'Off-site gain site summary'!$O77,'E-3 Off-Site Hedge Enhancement'!$AK$12:$AK$257))</f>
        <v/>
      </c>
      <c r="U77" s="1000" t="str">
        <f>IF(O77="","",SUMIF('E-3 Off-Site Hedge Enhancement'!$AO$12:$AO$257,'Off-site gain site summary'!$O77,'E-3 Off-Site Hedge Enhancement'!$AJ$12:$AJ$257))</f>
        <v/>
      </c>
      <c r="V77" s="1000" t="str">
        <f>IF(O77="","",SUMIF('E-2 Off-Site Hedge Creation'!$AD$12:$AD$259,'Off-site gain site summary'!$O77,'E-2 Off-Site Hedge Creation'!$Z$12:$Z$259))</f>
        <v/>
      </c>
      <c r="W77" s="991" t="str">
        <f>IF(O77="","",SUMIF('E-2 Off-Site Hedge Creation'!$AD$12:$AD$259,'Off-site gain site summary'!$O77,'E-2 Off-Site Hedge Creation'!$Y$12:$Y$259))</f>
        <v/>
      </c>
      <c r="X77" s="991" t="str">
        <f t="shared" si="8"/>
        <v/>
      </c>
      <c r="Y77" s="991" t="str">
        <f>IF(ISBLANK(O77),"",IFERROR(_xlfn.XLOOKUP(O77,'E-2 Off-Site Hedge Creation'!$AD$12:$AD$259,'E-2 Off-Site Hedge Creation'!$N$12:$N$259),IFERROR(_xlfn.XLOOKUP(O77,'E-1 Off-Site Hedge Baseline'!$AB$10:$AB$257,'E-1 Off-Site Hedge Baseline'!$P$10:$P$257)," ")))</f>
        <v/>
      </c>
      <c r="Z77" s="986" t="str">
        <f t="shared" si="9"/>
        <v/>
      </c>
      <c r="AA77" s="992">
        <f>'F-1 Off-Site WaterC'' Baseline'!AH80</f>
        <v>0</v>
      </c>
      <c r="AB77" s="996"/>
      <c r="AC77" s="1000" t="str">
        <f>IF(AB77="","",SUMIF('F-1 Off-Site WaterC'' Baseline'!$AH$10:$AH$257,'Off-site gain site summary'!$AB77,'F-1 Off-Site WaterC'' Baseline'!$U$10:$U$257))</f>
        <v/>
      </c>
      <c r="AD77" s="1000" t="str">
        <f>IF(AB77="","",SUMIF('F-1 Off-Site WaterC'' Baseline'!$AH$10:$AH$257,'Off-site gain site summary'!$AB77,'F-1 Off-Site WaterC'' Baseline'!$R$10:$R$257))</f>
        <v/>
      </c>
      <c r="AE77" s="1000" t="str">
        <f>IF(AB77="","",SUMIF('F-1 Off-Site WaterC'' Baseline'!$AH$10:$AH$257,'Off-site gain site summary'!$AB77,'F-1 Off-Site WaterC'' Baseline'!$Z$10:$Z$257))</f>
        <v/>
      </c>
      <c r="AF77" s="1000" t="str">
        <f>IF(AB77="","",SUMIF('F-1 Off-Site WaterC'' Baseline'!$AH$10:$AH$257,'Off-site gain site summary'!$AB77,'F-1 Off-Site WaterC'' Baseline'!$BA$10:$BA$257))</f>
        <v/>
      </c>
      <c r="AG77" s="1000" t="str">
        <f>IF(AB77="","",SUMIF('F-3 Off-Site WaterC Enhancement'!$AT$12:$AT$257,'Off-site gain site summary'!$AB77,'F-3 Off-Site WaterC Enhancement'!$AP$12:$AP$257))</f>
        <v/>
      </c>
      <c r="AH77" s="1000" t="str">
        <f>IF(AB77="","",SUMIF('F-3 Off-Site WaterC Enhancement'!$AT$12:$AT$257,'Off-site gain site summary'!$AB77,'F-3 Off-Site WaterC Enhancement'!$AO$12:$AO$257))</f>
        <v/>
      </c>
      <c r="AI77" s="1000" t="str">
        <f>IF(AB77="","",SUMIF('F-2 Off-Site WaterC'' Creation'!$AG$12:$AG$259,'Off-site gain site summary'!$AB77,'F-2 Off-Site WaterC'' Creation'!$AC$12:$AC$259))</f>
        <v/>
      </c>
      <c r="AJ77" s="1000" t="str">
        <f>IF(AB77="","",SUMIF('F-2 Off-Site WaterC'' Creation'!$AG$12:$AG$259,'Off-site gain site summary'!$AB77,'F-2 Off-Site WaterC'' Creation'!$AB$12:$AB$259))</f>
        <v/>
      </c>
      <c r="AK77" s="1000" t="str">
        <f t="shared" si="10"/>
        <v/>
      </c>
      <c r="AL77" s="1000" t="str">
        <f>IF(ISBLANK(AB77),"",IFERROR(_xlfn.XLOOKUP(AB77,'F-2 Off-Site WaterC'' Creation'!$AG$12:$AG$258,'F-2 Off-Site WaterC'' Creation'!$AA$12:$AA$258),IFERROR(_xlfn.XLOOKUP(AB77,'F-1 Off-Site WaterC'' Baseline'!$AH$10:$AH$257,'F-1 Off-Site WaterC'' Baseline'!$T$10:$T$257)," ")))</f>
        <v/>
      </c>
      <c r="AM77" s="986" t="str">
        <f t="shared" si="11"/>
        <v/>
      </c>
      <c r="AN77" s="1469"/>
      <c r="AO77" s="1469"/>
    </row>
    <row r="78" spans="1:41" s="992" customFormat="1" ht="43.5" customHeight="1">
      <c r="A78" s="988">
        <f>'D-1 Off-Site Habitat Baseline'!AF82</f>
        <v>0</v>
      </c>
      <c r="B78" s="996"/>
      <c r="C78" s="997" t="str">
        <f>IF(B78="","",SUMIF('D-1 Off-Site Habitat Baseline'!AF82:AF329,B78,'D-1 Off-Site Habitat Baseline'!T82:T329))</f>
        <v/>
      </c>
      <c r="D78" s="990" t="str">
        <f>IF(B78="","",SUMIF('D-1 Off-Site Habitat Baseline'!$AF$11:$AF$258,B78,'D-1 Off-Site Habitat Baseline'!$Q$11:$Q$258))</f>
        <v/>
      </c>
      <c r="E78" s="998" t="str">
        <f>IF(B78="","",SUMIF('D-1 Off-Site Habitat Baseline'!$AF$11:$AF$258,'Off-site gain site summary'!$B78,'D-1 Off-Site Habitat Baseline'!$X$11:$X$258))</f>
        <v/>
      </c>
      <c r="F78" s="999" t="str">
        <f>IF(B78="","",SUMIF('D-1 Off-Site Habitat Baseline'!$AF$11:$AF$258,'Off-site gain site summary'!$B78,'D-1 Off-Site Habitat Baseline'!$AY$11:$AY$258))</f>
        <v/>
      </c>
      <c r="G78" s="998" t="str">
        <f>IF(B78="","",SUMIF('D-3 Off-Site Habitat Enhancment'!$AU$12:$AU$258,'Off-site gain site summary'!B78,'D-3 Off-Site Habitat Enhancment'!$AQ$12:$AQ$258))</f>
        <v/>
      </c>
      <c r="H78" s="999" t="str">
        <f>IF(B78="","",SUMIF('D-3 Off-Site Habitat Enhancment'!$AU$12:$AU$258,'Off-site gain site summary'!B78,'D-3 Off-Site Habitat Enhancment'!$AP$12:$AP$258))</f>
        <v/>
      </c>
      <c r="I78" s="998" t="str">
        <f>IF(B78="","",SUMIF('D-2 Off-Site Habitat Creation'!$AF$11:$AF$256,'Off-site gain site summary'!B78,'D-2 Off-Site Habitat Creation'!$AB$11:$AB$256))</f>
        <v/>
      </c>
      <c r="J78" s="999" t="str">
        <f>IF(B78="","",SUMIF('D-2 Off-Site Habitat Creation'!$AF$11:$AF$256,'Off-site gain site summary'!B78,'D-2 Off-Site Habitat Creation'!$AA$11:$AA$256))</f>
        <v/>
      </c>
      <c r="K78" s="1000" t="str">
        <f t="shared" si="6"/>
        <v/>
      </c>
      <c r="L78" s="997" t="str">
        <f>IF(ISBLANK(B78),"",IFERROR(_xlfn.XLOOKUP(B78,'D-2 Off-Site Habitat Creation'!$AF$11:$AF$256,'D-2 Off-Site Habitat Creation'!$Z$11:$Z$256),IFERROR(_xlfn.XLOOKUP(B78,'D-1 Off-Site Habitat Baseline'!AF$11:AF$258,'D-1 Off-Site Habitat Baseline'!S$11:S$258)," ")))</f>
        <v/>
      </c>
      <c r="M78" s="983" t="str">
        <f t="shared" si="7"/>
        <v/>
      </c>
      <c r="N78" s="988">
        <f>'E-1 Off-Site Hedge Baseline'!AB81</f>
        <v>0</v>
      </c>
      <c r="O78" s="996"/>
      <c r="P78" s="1000" t="str">
        <f>IF(O78="","",SUMIF('E-1 Off-Site Hedge Baseline'!AB$10:AB$257,'Off-site gain site summary'!O78,'E-1 Off-Site Hedge Baseline'!Q$10:Q$257))</f>
        <v/>
      </c>
      <c r="Q78" s="1000" t="str">
        <f>IF(O78="","",SUMIF('E-1 Off-Site Hedge Baseline'!AB$10:AB$257,O78,'E-1 Off-Site Hedge Baseline'!N$10:N$257))</f>
        <v/>
      </c>
      <c r="R78" s="1000" t="str">
        <f>IF(O78="","",SUMIF('E-1 Off-Site Hedge Baseline'!$AB$10:$AB$257,'Off-site gain site summary'!$O78,'E-1 Off-Site Hedge Baseline'!$U$10:$U$257))</f>
        <v/>
      </c>
      <c r="S78" s="1000" t="str">
        <f>IF(O78="","",SUMIF('E-1 Off-Site Hedge Baseline'!$AB$10:$AB$257,'Off-site gain site summary'!$O78,'E-1 Off-Site Hedge Baseline'!$AY$10:$AY$257))</f>
        <v/>
      </c>
      <c r="T78" s="1000" t="str">
        <f>IF(O78="","",SUMIF('E-3 Off-Site Hedge Enhancement'!$AO$12:$AO$257,'Off-site gain site summary'!$O78,'E-3 Off-Site Hedge Enhancement'!$AK$12:$AK$257))</f>
        <v/>
      </c>
      <c r="U78" s="1000" t="str">
        <f>IF(O78="","",SUMIF('E-3 Off-Site Hedge Enhancement'!$AO$12:$AO$257,'Off-site gain site summary'!$O78,'E-3 Off-Site Hedge Enhancement'!$AJ$12:$AJ$257))</f>
        <v/>
      </c>
      <c r="V78" s="1000" t="str">
        <f>IF(O78="","",SUMIF('E-2 Off-Site Hedge Creation'!$AD$12:$AD$259,'Off-site gain site summary'!$O78,'E-2 Off-Site Hedge Creation'!$Z$12:$Z$259))</f>
        <v/>
      </c>
      <c r="W78" s="991" t="str">
        <f>IF(O78="","",SUMIF('E-2 Off-Site Hedge Creation'!$AD$12:$AD$259,'Off-site gain site summary'!$O78,'E-2 Off-Site Hedge Creation'!$Y$12:$Y$259))</f>
        <v/>
      </c>
      <c r="X78" s="991" t="str">
        <f t="shared" si="8"/>
        <v/>
      </c>
      <c r="Y78" s="991" t="str">
        <f>IF(ISBLANK(O78),"",IFERROR(_xlfn.XLOOKUP(O78,'E-2 Off-Site Hedge Creation'!$AD$12:$AD$259,'E-2 Off-Site Hedge Creation'!$N$12:$N$259),IFERROR(_xlfn.XLOOKUP(O78,'E-1 Off-Site Hedge Baseline'!$AB$10:$AB$257,'E-1 Off-Site Hedge Baseline'!$P$10:$P$257)," ")))</f>
        <v/>
      </c>
      <c r="Z78" s="986" t="str">
        <f t="shared" si="9"/>
        <v/>
      </c>
      <c r="AA78" s="992">
        <f>'F-1 Off-Site WaterC'' Baseline'!AH81</f>
        <v>0</v>
      </c>
      <c r="AB78" s="996"/>
      <c r="AC78" s="1000" t="str">
        <f>IF(AB78="","",SUMIF('F-1 Off-Site WaterC'' Baseline'!$AH$10:$AH$257,'Off-site gain site summary'!$AB78,'F-1 Off-Site WaterC'' Baseline'!$U$10:$U$257))</f>
        <v/>
      </c>
      <c r="AD78" s="1000" t="str">
        <f>IF(AB78="","",SUMIF('F-1 Off-Site WaterC'' Baseline'!$AH$10:$AH$257,'Off-site gain site summary'!$AB78,'F-1 Off-Site WaterC'' Baseline'!$R$10:$R$257))</f>
        <v/>
      </c>
      <c r="AE78" s="1000" t="str">
        <f>IF(AB78="","",SUMIF('F-1 Off-Site WaterC'' Baseline'!$AH$10:$AH$257,'Off-site gain site summary'!$AB78,'F-1 Off-Site WaterC'' Baseline'!$Z$10:$Z$257))</f>
        <v/>
      </c>
      <c r="AF78" s="1000" t="str">
        <f>IF(AB78="","",SUMIF('F-1 Off-Site WaterC'' Baseline'!$AH$10:$AH$257,'Off-site gain site summary'!$AB78,'F-1 Off-Site WaterC'' Baseline'!$BA$10:$BA$257))</f>
        <v/>
      </c>
      <c r="AG78" s="1000" t="str">
        <f>IF(AB78="","",SUMIF('F-3 Off-Site WaterC Enhancement'!$AT$12:$AT$257,'Off-site gain site summary'!$AB78,'F-3 Off-Site WaterC Enhancement'!$AP$12:$AP$257))</f>
        <v/>
      </c>
      <c r="AH78" s="1000" t="str">
        <f>IF(AB78="","",SUMIF('F-3 Off-Site WaterC Enhancement'!$AT$12:$AT$257,'Off-site gain site summary'!$AB78,'F-3 Off-Site WaterC Enhancement'!$AO$12:$AO$257))</f>
        <v/>
      </c>
      <c r="AI78" s="1000" t="str">
        <f>IF(AB78="","",SUMIF('F-2 Off-Site WaterC'' Creation'!$AG$12:$AG$259,'Off-site gain site summary'!$AB78,'F-2 Off-Site WaterC'' Creation'!$AC$12:$AC$259))</f>
        <v/>
      </c>
      <c r="AJ78" s="1000" t="str">
        <f>IF(AB78="","",SUMIF('F-2 Off-Site WaterC'' Creation'!$AG$12:$AG$259,'Off-site gain site summary'!$AB78,'F-2 Off-Site WaterC'' Creation'!$AB$12:$AB$259))</f>
        <v/>
      </c>
      <c r="AK78" s="1000" t="str">
        <f t="shared" si="10"/>
        <v/>
      </c>
      <c r="AL78" s="1000" t="str">
        <f>IF(ISBLANK(AB78),"",IFERROR(_xlfn.XLOOKUP(AB78,'F-2 Off-Site WaterC'' Creation'!$AG$12:$AG$258,'F-2 Off-Site WaterC'' Creation'!$AA$12:$AA$258),IFERROR(_xlfn.XLOOKUP(AB78,'F-1 Off-Site WaterC'' Baseline'!$AH$10:$AH$257,'F-1 Off-Site WaterC'' Baseline'!$T$10:$T$257)," ")))</f>
        <v/>
      </c>
      <c r="AM78" s="986" t="str">
        <f t="shared" si="11"/>
        <v/>
      </c>
      <c r="AN78" s="1469"/>
      <c r="AO78" s="1469"/>
    </row>
    <row r="79" spans="1:41" s="992" customFormat="1" ht="43.5" customHeight="1">
      <c r="A79" s="988">
        <f>'D-1 Off-Site Habitat Baseline'!AF83</f>
        <v>0</v>
      </c>
      <c r="B79" s="996"/>
      <c r="C79" s="997" t="str">
        <f>IF(B79="","",SUMIF('D-1 Off-Site Habitat Baseline'!AF83:AF330,B79,'D-1 Off-Site Habitat Baseline'!T83:T330))</f>
        <v/>
      </c>
      <c r="D79" s="990" t="str">
        <f>IF(B79="","",SUMIF('D-1 Off-Site Habitat Baseline'!$AF$11:$AF$258,B79,'D-1 Off-Site Habitat Baseline'!$Q$11:$Q$258))</f>
        <v/>
      </c>
      <c r="E79" s="998" t="str">
        <f>IF(B79="","",SUMIF('D-1 Off-Site Habitat Baseline'!$AF$11:$AF$258,'Off-site gain site summary'!$B79,'D-1 Off-Site Habitat Baseline'!$X$11:$X$258))</f>
        <v/>
      </c>
      <c r="F79" s="999" t="str">
        <f>IF(B79="","",SUMIF('D-1 Off-Site Habitat Baseline'!$AF$11:$AF$258,'Off-site gain site summary'!$B79,'D-1 Off-Site Habitat Baseline'!$AY$11:$AY$258))</f>
        <v/>
      </c>
      <c r="G79" s="998" t="str">
        <f>IF(B79="","",SUMIF('D-3 Off-Site Habitat Enhancment'!$AU$12:$AU$258,'Off-site gain site summary'!B79,'D-3 Off-Site Habitat Enhancment'!$AQ$12:$AQ$258))</f>
        <v/>
      </c>
      <c r="H79" s="999" t="str">
        <f>IF(B79="","",SUMIF('D-3 Off-Site Habitat Enhancment'!$AU$12:$AU$258,'Off-site gain site summary'!B79,'D-3 Off-Site Habitat Enhancment'!$AP$12:$AP$258))</f>
        <v/>
      </c>
      <c r="I79" s="998" t="str">
        <f>IF(B79="","",SUMIF('D-2 Off-Site Habitat Creation'!$AF$11:$AF$256,'Off-site gain site summary'!B79,'D-2 Off-Site Habitat Creation'!$AB$11:$AB$256))</f>
        <v/>
      </c>
      <c r="J79" s="999" t="str">
        <f>IF(B79="","",SUMIF('D-2 Off-Site Habitat Creation'!$AF$11:$AF$256,'Off-site gain site summary'!B79,'D-2 Off-Site Habitat Creation'!$AA$11:$AA$256))</f>
        <v/>
      </c>
      <c r="K79" s="1000" t="str">
        <f t="shared" si="6"/>
        <v/>
      </c>
      <c r="L79" s="997" t="str">
        <f>IF(ISBLANK(B79),"",IFERROR(_xlfn.XLOOKUP(B79,'D-2 Off-Site Habitat Creation'!$AF$11:$AF$256,'D-2 Off-Site Habitat Creation'!$Z$11:$Z$256),IFERROR(_xlfn.XLOOKUP(B79,'D-1 Off-Site Habitat Baseline'!AF$11:AF$258,'D-1 Off-Site Habitat Baseline'!S$11:S$258)," ")))</f>
        <v/>
      </c>
      <c r="M79" s="983" t="str">
        <f t="shared" si="7"/>
        <v/>
      </c>
      <c r="N79" s="988">
        <f>'E-1 Off-Site Hedge Baseline'!AB82</f>
        <v>0</v>
      </c>
      <c r="O79" s="996"/>
      <c r="P79" s="1000" t="str">
        <f>IF(O79="","",SUMIF('E-1 Off-Site Hedge Baseline'!AB$10:AB$257,'Off-site gain site summary'!O79,'E-1 Off-Site Hedge Baseline'!Q$10:Q$257))</f>
        <v/>
      </c>
      <c r="Q79" s="1000" t="str">
        <f>IF(O79="","",SUMIF('E-1 Off-Site Hedge Baseline'!AB$10:AB$257,O79,'E-1 Off-Site Hedge Baseline'!N$10:N$257))</f>
        <v/>
      </c>
      <c r="R79" s="1000" t="str">
        <f>IF(O79="","",SUMIF('E-1 Off-Site Hedge Baseline'!$AB$10:$AB$257,'Off-site gain site summary'!$O79,'E-1 Off-Site Hedge Baseline'!$U$10:$U$257))</f>
        <v/>
      </c>
      <c r="S79" s="1000" t="str">
        <f>IF(O79="","",SUMIF('E-1 Off-Site Hedge Baseline'!$AB$10:$AB$257,'Off-site gain site summary'!$O79,'E-1 Off-Site Hedge Baseline'!$AY$10:$AY$257))</f>
        <v/>
      </c>
      <c r="T79" s="1000" t="str">
        <f>IF(O79="","",SUMIF('E-3 Off-Site Hedge Enhancement'!$AO$12:$AO$257,'Off-site gain site summary'!$O79,'E-3 Off-Site Hedge Enhancement'!$AK$12:$AK$257))</f>
        <v/>
      </c>
      <c r="U79" s="1000" t="str">
        <f>IF(O79="","",SUMIF('E-3 Off-Site Hedge Enhancement'!$AO$12:$AO$257,'Off-site gain site summary'!$O79,'E-3 Off-Site Hedge Enhancement'!$AJ$12:$AJ$257))</f>
        <v/>
      </c>
      <c r="V79" s="1000" t="str">
        <f>IF(O79="","",SUMIF('E-2 Off-Site Hedge Creation'!$AD$12:$AD$259,'Off-site gain site summary'!$O79,'E-2 Off-Site Hedge Creation'!$Z$12:$Z$259))</f>
        <v/>
      </c>
      <c r="W79" s="991" t="str">
        <f>IF(O79="","",SUMIF('E-2 Off-Site Hedge Creation'!$AD$12:$AD$259,'Off-site gain site summary'!$O79,'E-2 Off-Site Hedge Creation'!$Y$12:$Y$259))</f>
        <v/>
      </c>
      <c r="X79" s="991" t="str">
        <f t="shared" si="8"/>
        <v/>
      </c>
      <c r="Y79" s="991" t="str">
        <f>IF(ISBLANK(O79),"",IFERROR(_xlfn.XLOOKUP(O79,'E-2 Off-Site Hedge Creation'!$AD$12:$AD$259,'E-2 Off-Site Hedge Creation'!$N$12:$N$259),IFERROR(_xlfn.XLOOKUP(O79,'E-1 Off-Site Hedge Baseline'!$AB$10:$AB$257,'E-1 Off-Site Hedge Baseline'!$P$10:$P$257)," ")))</f>
        <v/>
      </c>
      <c r="Z79" s="986" t="str">
        <f t="shared" si="9"/>
        <v/>
      </c>
      <c r="AA79" s="992">
        <f>'F-1 Off-Site WaterC'' Baseline'!AH82</f>
        <v>0</v>
      </c>
      <c r="AB79" s="996"/>
      <c r="AC79" s="1000" t="str">
        <f>IF(AB79="","",SUMIF('F-1 Off-Site WaterC'' Baseline'!$AH$10:$AH$257,'Off-site gain site summary'!$AB79,'F-1 Off-Site WaterC'' Baseline'!$U$10:$U$257))</f>
        <v/>
      </c>
      <c r="AD79" s="1000" t="str">
        <f>IF(AB79="","",SUMIF('F-1 Off-Site WaterC'' Baseline'!$AH$10:$AH$257,'Off-site gain site summary'!$AB79,'F-1 Off-Site WaterC'' Baseline'!$R$10:$R$257))</f>
        <v/>
      </c>
      <c r="AE79" s="1000" t="str">
        <f>IF(AB79="","",SUMIF('F-1 Off-Site WaterC'' Baseline'!$AH$10:$AH$257,'Off-site gain site summary'!$AB79,'F-1 Off-Site WaterC'' Baseline'!$Z$10:$Z$257))</f>
        <v/>
      </c>
      <c r="AF79" s="1000" t="str">
        <f>IF(AB79="","",SUMIF('F-1 Off-Site WaterC'' Baseline'!$AH$10:$AH$257,'Off-site gain site summary'!$AB79,'F-1 Off-Site WaterC'' Baseline'!$BA$10:$BA$257))</f>
        <v/>
      </c>
      <c r="AG79" s="1000" t="str">
        <f>IF(AB79="","",SUMIF('F-3 Off-Site WaterC Enhancement'!$AT$12:$AT$257,'Off-site gain site summary'!$AB79,'F-3 Off-Site WaterC Enhancement'!$AP$12:$AP$257))</f>
        <v/>
      </c>
      <c r="AH79" s="1000" t="str">
        <f>IF(AB79="","",SUMIF('F-3 Off-Site WaterC Enhancement'!$AT$12:$AT$257,'Off-site gain site summary'!$AB79,'F-3 Off-Site WaterC Enhancement'!$AO$12:$AO$257))</f>
        <v/>
      </c>
      <c r="AI79" s="1000" t="str">
        <f>IF(AB79="","",SUMIF('F-2 Off-Site WaterC'' Creation'!$AG$12:$AG$259,'Off-site gain site summary'!$AB79,'F-2 Off-Site WaterC'' Creation'!$AC$12:$AC$259))</f>
        <v/>
      </c>
      <c r="AJ79" s="1000" t="str">
        <f>IF(AB79="","",SUMIF('F-2 Off-Site WaterC'' Creation'!$AG$12:$AG$259,'Off-site gain site summary'!$AB79,'F-2 Off-Site WaterC'' Creation'!$AB$12:$AB$259))</f>
        <v/>
      </c>
      <c r="AK79" s="1000" t="str">
        <f t="shared" si="10"/>
        <v/>
      </c>
      <c r="AL79" s="1000" t="str">
        <f>IF(ISBLANK(AB79),"",IFERROR(_xlfn.XLOOKUP(AB79,'F-2 Off-Site WaterC'' Creation'!$AG$12:$AG$258,'F-2 Off-Site WaterC'' Creation'!$AA$12:$AA$258),IFERROR(_xlfn.XLOOKUP(AB79,'F-1 Off-Site WaterC'' Baseline'!$AH$10:$AH$257,'F-1 Off-Site WaterC'' Baseline'!$T$10:$T$257)," ")))</f>
        <v/>
      </c>
      <c r="AM79" s="986" t="str">
        <f t="shared" si="11"/>
        <v/>
      </c>
      <c r="AN79" s="1469"/>
      <c r="AO79" s="1469"/>
    </row>
    <row r="80" spans="1:41" s="992" customFormat="1" ht="43.5" customHeight="1">
      <c r="A80" s="988">
        <f>'D-1 Off-Site Habitat Baseline'!AF84</f>
        <v>0</v>
      </c>
      <c r="B80" s="996"/>
      <c r="C80" s="997" t="str">
        <f>IF(B80="","",SUMIF('D-1 Off-Site Habitat Baseline'!AF84:AF331,B80,'D-1 Off-Site Habitat Baseline'!T84:T331))</f>
        <v/>
      </c>
      <c r="D80" s="990" t="str">
        <f>IF(B80="","",SUMIF('D-1 Off-Site Habitat Baseline'!$AF$11:$AF$258,B80,'D-1 Off-Site Habitat Baseline'!$Q$11:$Q$258))</f>
        <v/>
      </c>
      <c r="E80" s="998" t="str">
        <f>IF(B80="","",SUMIF('D-1 Off-Site Habitat Baseline'!$AF$11:$AF$258,'Off-site gain site summary'!$B80,'D-1 Off-Site Habitat Baseline'!$X$11:$X$258))</f>
        <v/>
      </c>
      <c r="F80" s="999" t="str">
        <f>IF(B80="","",SUMIF('D-1 Off-Site Habitat Baseline'!$AF$11:$AF$258,'Off-site gain site summary'!$B80,'D-1 Off-Site Habitat Baseline'!$AY$11:$AY$258))</f>
        <v/>
      </c>
      <c r="G80" s="998" t="str">
        <f>IF(B80="","",SUMIF('D-3 Off-Site Habitat Enhancment'!$AU$12:$AU$258,'Off-site gain site summary'!B80,'D-3 Off-Site Habitat Enhancment'!$AQ$12:$AQ$258))</f>
        <v/>
      </c>
      <c r="H80" s="999" t="str">
        <f>IF(B80="","",SUMIF('D-3 Off-Site Habitat Enhancment'!$AU$12:$AU$258,'Off-site gain site summary'!B80,'D-3 Off-Site Habitat Enhancment'!$AP$12:$AP$258))</f>
        <v/>
      </c>
      <c r="I80" s="998" t="str">
        <f>IF(B80="","",SUMIF('D-2 Off-Site Habitat Creation'!$AF$11:$AF$256,'Off-site gain site summary'!B80,'D-2 Off-Site Habitat Creation'!$AB$11:$AB$256))</f>
        <v/>
      </c>
      <c r="J80" s="999" t="str">
        <f>IF(B80="","",SUMIF('D-2 Off-Site Habitat Creation'!$AF$11:$AF$256,'Off-site gain site summary'!B80,'D-2 Off-Site Habitat Creation'!$AA$11:$AA$256))</f>
        <v/>
      </c>
      <c r="K80" s="1000" t="str">
        <f t="shared" si="6"/>
        <v/>
      </c>
      <c r="L80" s="997" t="str">
        <f>IF(ISBLANK(B80),"",IFERROR(_xlfn.XLOOKUP(B80,'D-2 Off-Site Habitat Creation'!$AF$11:$AF$256,'D-2 Off-Site Habitat Creation'!$Z$11:$Z$256),IFERROR(_xlfn.XLOOKUP(B80,'D-1 Off-Site Habitat Baseline'!AF$11:AF$258,'D-1 Off-Site Habitat Baseline'!S$11:S$258)," ")))</f>
        <v/>
      </c>
      <c r="M80" s="983" t="str">
        <f t="shared" si="7"/>
        <v/>
      </c>
      <c r="N80" s="988">
        <f>'E-1 Off-Site Hedge Baseline'!AB83</f>
        <v>0</v>
      </c>
      <c r="O80" s="996"/>
      <c r="P80" s="1000" t="str">
        <f>IF(O80="","",SUMIF('E-1 Off-Site Hedge Baseline'!AB$10:AB$257,'Off-site gain site summary'!O80,'E-1 Off-Site Hedge Baseline'!Q$10:Q$257))</f>
        <v/>
      </c>
      <c r="Q80" s="1000" t="str">
        <f>IF(O80="","",SUMIF('E-1 Off-Site Hedge Baseline'!AB$10:AB$257,O80,'E-1 Off-Site Hedge Baseline'!N$10:N$257))</f>
        <v/>
      </c>
      <c r="R80" s="1000" t="str">
        <f>IF(O80="","",SUMIF('E-1 Off-Site Hedge Baseline'!$AB$10:$AB$257,'Off-site gain site summary'!$O80,'E-1 Off-Site Hedge Baseline'!$U$10:$U$257))</f>
        <v/>
      </c>
      <c r="S80" s="1000" t="str">
        <f>IF(O80="","",SUMIF('E-1 Off-Site Hedge Baseline'!$AB$10:$AB$257,'Off-site gain site summary'!$O80,'E-1 Off-Site Hedge Baseline'!$AY$10:$AY$257))</f>
        <v/>
      </c>
      <c r="T80" s="1000" t="str">
        <f>IF(O80="","",SUMIF('E-3 Off-Site Hedge Enhancement'!$AO$12:$AO$257,'Off-site gain site summary'!$O80,'E-3 Off-Site Hedge Enhancement'!$AK$12:$AK$257))</f>
        <v/>
      </c>
      <c r="U80" s="1000" t="str">
        <f>IF(O80="","",SUMIF('E-3 Off-Site Hedge Enhancement'!$AO$12:$AO$257,'Off-site gain site summary'!$O80,'E-3 Off-Site Hedge Enhancement'!$AJ$12:$AJ$257))</f>
        <v/>
      </c>
      <c r="V80" s="1000" t="str">
        <f>IF(O80="","",SUMIF('E-2 Off-Site Hedge Creation'!$AD$12:$AD$259,'Off-site gain site summary'!$O80,'E-2 Off-Site Hedge Creation'!$Z$12:$Z$259))</f>
        <v/>
      </c>
      <c r="W80" s="991" t="str">
        <f>IF(O80="","",SUMIF('E-2 Off-Site Hedge Creation'!$AD$12:$AD$259,'Off-site gain site summary'!$O80,'E-2 Off-Site Hedge Creation'!$Y$12:$Y$259))</f>
        <v/>
      </c>
      <c r="X80" s="991" t="str">
        <f t="shared" si="8"/>
        <v/>
      </c>
      <c r="Y80" s="991" t="str">
        <f>IF(ISBLANK(O80),"",IFERROR(_xlfn.XLOOKUP(O80,'E-2 Off-Site Hedge Creation'!$AD$12:$AD$259,'E-2 Off-Site Hedge Creation'!$N$12:$N$259),IFERROR(_xlfn.XLOOKUP(O80,'E-1 Off-Site Hedge Baseline'!$AB$10:$AB$257,'E-1 Off-Site Hedge Baseline'!$P$10:$P$257)," ")))</f>
        <v/>
      </c>
      <c r="Z80" s="986" t="str">
        <f t="shared" si="9"/>
        <v/>
      </c>
      <c r="AA80" s="992">
        <f>'F-1 Off-Site WaterC'' Baseline'!AH83</f>
        <v>0</v>
      </c>
      <c r="AB80" s="996"/>
      <c r="AC80" s="1000" t="str">
        <f>IF(AB80="","",SUMIF('F-1 Off-Site WaterC'' Baseline'!$AH$10:$AH$257,'Off-site gain site summary'!$AB80,'F-1 Off-Site WaterC'' Baseline'!$U$10:$U$257))</f>
        <v/>
      </c>
      <c r="AD80" s="1000" t="str">
        <f>IF(AB80="","",SUMIF('F-1 Off-Site WaterC'' Baseline'!$AH$10:$AH$257,'Off-site gain site summary'!$AB80,'F-1 Off-Site WaterC'' Baseline'!$R$10:$R$257))</f>
        <v/>
      </c>
      <c r="AE80" s="1000" t="str">
        <f>IF(AB80="","",SUMIF('F-1 Off-Site WaterC'' Baseline'!$AH$10:$AH$257,'Off-site gain site summary'!$AB80,'F-1 Off-Site WaterC'' Baseline'!$Z$10:$Z$257))</f>
        <v/>
      </c>
      <c r="AF80" s="1000" t="str">
        <f>IF(AB80="","",SUMIF('F-1 Off-Site WaterC'' Baseline'!$AH$10:$AH$257,'Off-site gain site summary'!$AB80,'F-1 Off-Site WaterC'' Baseline'!$BA$10:$BA$257))</f>
        <v/>
      </c>
      <c r="AG80" s="1000" t="str">
        <f>IF(AB80="","",SUMIF('F-3 Off-Site WaterC Enhancement'!$AT$12:$AT$257,'Off-site gain site summary'!$AB80,'F-3 Off-Site WaterC Enhancement'!$AP$12:$AP$257))</f>
        <v/>
      </c>
      <c r="AH80" s="1000" t="str">
        <f>IF(AB80="","",SUMIF('F-3 Off-Site WaterC Enhancement'!$AT$12:$AT$257,'Off-site gain site summary'!$AB80,'F-3 Off-Site WaterC Enhancement'!$AO$12:$AO$257))</f>
        <v/>
      </c>
      <c r="AI80" s="1000" t="str">
        <f>IF(AB80="","",SUMIF('F-2 Off-Site WaterC'' Creation'!$AG$12:$AG$259,'Off-site gain site summary'!$AB80,'F-2 Off-Site WaterC'' Creation'!$AC$12:$AC$259))</f>
        <v/>
      </c>
      <c r="AJ80" s="1000" t="str">
        <f>IF(AB80="","",SUMIF('F-2 Off-Site WaterC'' Creation'!$AG$12:$AG$259,'Off-site gain site summary'!$AB80,'F-2 Off-Site WaterC'' Creation'!$AB$12:$AB$259))</f>
        <v/>
      </c>
      <c r="AK80" s="1000" t="str">
        <f t="shared" si="10"/>
        <v/>
      </c>
      <c r="AL80" s="1000" t="str">
        <f>IF(ISBLANK(AB80),"",IFERROR(_xlfn.XLOOKUP(AB80,'F-2 Off-Site WaterC'' Creation'!$AG$12:$AG$258,'F-2 Off-Site WaterC'' Creation'!$AA$12:$AA$258),IFERROR(_xlfn.XLOOKUP(AB80,'F-1 Off-Site WaterC'' Baseline'!$AH$10:$AH$257,'F-1 Off-Site WaterC'' Baseline'!$T$10:$T$257)," ")))</f>
        <v/>
      </c>
      <c r="AM80" s="986" t="str">
        <f t="shared" si="11"/>
        <v/>
      </c>
      <c r="AN80" s="1469"/>
      <c r="AO80" s="1469"/>
    </row>
    <row r="81" spans="1:41" s="992" customFormat="1" ht="43.5" customHeight="1">
      <c r="A81" s="988">
        <f>'D-1 Off-Site Habitat Baseline'!AF85</f>
        <v>0</v>
      </c>
      <c r="B81" s="996"/>
      <c r="C81" s="997" t="str">
        <f>IF(B81="","",SUMIF('D-1 Off-Site Habitat Baseline'!AF85:AF332,B81,'D-1 Off-Site Habitat Baseline'!T85:T332))</f>
        <v/>
      </c>
      <c r="D81" s="990" t="str">
        <f>IF(B81="","",SUMIF('D-1 Off-Site Habitat Baseline'!$AF$11:$AF$258,B81,'D-1 Off-Site Habitat Baseline'!$Q$11:$Q$258))</f>
        <v/>
      </c>
      <c r="E81" s="998" t="str">
        <f>IF(B81="","",SUMIF('D-1 Off-Site Habitat Baseline'!$AF$11:$AF$258,'Off-site gain site summary'!$B81,'D-1 Off-Site Habitat Baseline'!$X$11:$X$258))</f>
        <v/>
      </c>
      <c r="F81" s="999" t="str">
        <f>IF(B81="","",SUMIF('D-1 Off-Site Habitat Baseline'!$AF$11:$AF$258,'Off-site gain site summary'!$B81,'D-1 Off-Site Habitat Baseline'!$AY$11:$AY$258))</f>
        <v/>
      </c>
      <c r="G81" s="998" t="str">
        <f>IF(B81="","",SUMIF('D-3 Off-Site Habitat Enhancment'!$AU$12:$AU$258,'Off-site gain site summary'!B81,'D-3 Off-Site Habitat Enhancment'!$AQ$12:$AQ$258))</f>
        <v/>
      </c>
      <c r="H81" s="999" t="str">
        <f>IF(B81="","",SUMIF('D-3 Off-Site Habitat Enhancment'!$AU$12:$AU$258,'Off-site gain site summary'!B81,'D-3 Off-Site Habitat Enhancment'!$AP$12:$AP$258))</f>
        <v/>
      </c>
      <c r="I81" s="998" t="str">
        <f>IF(B81="","",SUMIF('D-2 Off-Site Habitat Creation'!$AF$11:$AF$256,'Off-site gain site summary'!B81,'D-2 Off-Site Habitat Creation'!$AB$11:$AB$256))</f>
        <v/>
      </c>
      <c r="J81" s="999" t="str">
        <f>IF(B81="","",SUMIF('D-2 Off-Site Habitat Creation'!$AF$11:$AF$256,'Off-site gain site summary'!B81,'D-2 Off-Site Habitat Creation'!$AA$11:$AA$256))</f>
        <v/>
      </c>
      <c r="K81" s="1000" t="str">
        <f t="shared" si="6"/>
        <v/>
      </c>
      <c r="L81" s="997" t="str">
        <f>IF(ISBLANK(B81),"",IFERROR(_xlfn.XLOOKUP(B81,'D-2 Off-Site Habitat Creation'!$AF$11:$AF$256,'D-2 Off-Site Habitat Creation'!$Z$11:$Z$256),IFERROR(_xlfn.XLOOKUP(B81,'D-1 Off-Site Habitat Baseline'!AF$11:AF$258,'D-1 Off-Site Habitat Baseline'!S$11:S$258)," ")))</f>
        <v/>
      </c>
      <c r="M81" s="983" t="str">
        <f t="shared" si="7"/>
        <v/>
      </c>
      <c r="N81" s="988">
        <f>'E-1 Off-Site Hedge Baseline'!AB84</f>
        <v>0</v>
      </c>
      <c r="O81" s="996"/>
      <c r="P81" s="1000" t="str">
        <f>IF(O81="","",SUMIF('E-1 Off-Site Hedge Baseline'!AB$10:AB$257,'Off-site gain site summary'!O81,'E-1 Off-Site Hedge Baseline'!Q$10:Q$257))</f>
        <v/>
      </c>
      <c r="Q81" s="1000" t="str">
        <f>IF(O81="","",SUMIF('E-1 Off-Site Hedge Baseline'!AB$10:AB$257,O81,'E-1 Off-Site Hedge Baseline'!N$10:N$257))</f>
        <v/>
      </c>
      <c r="R81" s="1000" t="str">
        <f>IF(O81="","",SUMIF('E-1 Off-Site Hedge Baseline'!$AB$10:$AB$257,'Off-site gain site summary'!$O81,'E-1 Off-Site Hedge Baseline'!$U$10:$U$257))</f>
        <v/>
      </c>
      <c r="S81" s="1000" t="str">
        <f>IF(O81="","",SUMIF('E-1 Off-Site Hedge Baseline'!$AB$10:$AB$257,'Off-site gain site summary'!$O81,'E-1 Off-Site Hedge Baseline'!$AY$10:$AY$257))</f>
        <v/>
      </c>
      <c r="T81" s="1000" t="str">
        <f>IF(O81="","",SUMIF('E-3 Off-Site Hedge Enhancement'!$AO$12:$AO$257,'Off-site gain site summary'!$O81,'E-3 Off-Site Hedge Enhancement'!$AK$12:$AK$257))</f>
        <v/>
      </c>
      <c r="U81" s="1000" t="str">
        <f>IF(O81="","",SUMIF('E-3 Off-Site Hedge Enhancement'!$AO$12:$AO$257,'Off-site gain site summary'!$O81,'E-3 Off-Site Hedge Enhancement'!$AJ$12:$AJ$257))</f>
        <v/>
      </c>
      <c r="V81" s="1000" t="str">
        <f>IF(O81="","",SUMIF('E-2 Off-Site Hedge Creation'!$AD$12:$AD$259,'Off-site gain site summary'!$O81,'E-2 Off-Site Hedge Creation'!$Z$12:$Z$259))</f>
        <v/>
      </c>
      <c r="W81" s="991" t="str">
        <f>IF(O81="","",SUMIF('E-2 Off-Site Hedge Creation'!$AD$12:$AD$259,'Off-site gain site summary'!$O81,'E-2 Off-Site Hedge Creation'!$Y$12:$Y$259))</f>
        <v/>
      </c>
      <c r="X81" s="991" t="str">
        <f t="shared" si="8"/>
        <v/>
      </c>
      <c r="Y81" s="991" t="str">
        <f>IF(ISBLANK(O81),"",IFERROR(_xlfn.XLOOKUP(O81,'E-2 Off-Site Hedge Creation'!$AD$12:$AD$259,'E-2 Off-Site Hedge Creation'!$N$12:$N$259),IFERROR(_xlfn.XLOOKUP(O81,'E-1 Off-Site Hedge Baseline'!$AB$10:$AB$257,'E-1 Off-Site Hedge Baseline'!$P$10:$P$257)," ")))</f>
        <v/>
      </c>
      <c r="Z81" s="986" t="str">
        <f t="shared" si="9"/>
        <v/>
      </c>
      <c r="AA81" s="992">
        <f>'F-1 Off-Site WaterC'' Baseline'!AH84</f>
        <v>0</v>
      </c>
      <c r="AB81" s="996"/>
      <c r="AC81" s="1000" t="str">
        <f>IF(AB81="","",SUMIF('F-1 Off-Site WaterC'' Baseline'!$AH$10:$AH$257,'Off-site gain site summary'!$AB81,'F-1 Off-Site WaterC'' Baseline'!$U$10:$U$257))</f>
        <v/>
      </c>
      <c r="AD81" s="1000" t="str">
        <f>IF(AB81="","",SUMIF('F-1 Off-Site WaterC'' Baseline'!$AH$10:$AH$257,'Off-site gain site summary'!$AB81,'F-1 Off-Site WaterC'' Baseline'!$R$10:$R$257))</f>
        <v/>
      </c>
      <c r="AE81" s="1000" t="str">
        <f>IF(AB81="","",SUMIF('F-1 Off-Site WaterC'' Baseline'!$AH$10:$AH$257,'Off-site gain site summary'!$AB81,'F-1 Off-Site WaterC'' Baseline'!$Z$10:$Z$257))</f>
        <v/>
      </c>
      <c r="AF81" s="1000" t="str">
        <f>IF(AB81="","",SUMIF('F-1 Off-Site WaterC'' Baseline'!$AH$10:$AH$257,'Off-site gain site summary'!$AB81,'F-1 Off-Site WaterC'' Baseline'!$BA$10:$BA$257))</f>
        <v/>
      </c>
      <c r="AG81" s="1000" t="str">
        <f>IF(AB81="","",SUMIF('F-3 Off-Site WaterC Enhancement'!$AT$12:$AT$257,'Off-site gain site summary'!$AB81,'F-3 Off-Site WaterC Enhancement'!$AP$12:$AP$257))</f>
        <v/>
      </c>
      <c r="AH81" s="1000" t="str">
        <f>IF(AB81="","",SUMIF('F-3 Off-Site WaterC Enhancement'!$AT$12:$AT$257,'Off-site gain site summary'!$AB81,'F-3 Off-Site WaterC Enhancement'!$AO$12:$AO$257))</f>
        <v/>
      </c>
      <c r="AI81" s="1000" t="str">
        <f>IF(AB81="","",SUMIF('F-2 Off-Site WaterC'' Creation'!$AG$12:$AG$259,'Off-site gain site summary'!$AB81,'F-2 Off-Site WaterC'' Creation'!$AC$12:$AC$259))</f>
        <v/>
      </c>
      <c r="AJ81" s="1000" t="str">
        <f>IF(AB81="","",SUMIF('F-2 Off-Site WaterC'' Creation'!$AG$12:$AG$259,'Off-site gain site summary'!$AB81,'F-2 Off-Site WaterC'' Creation'!$AB$12:$AB$259))</f>
        <v/>
      </c>
      <c r="AK81" s="1000" t="str">
        <f t="shared" si="10"/>
        <v/>
      </c>
      <c r="AL81" s="1000" t="str">
        <f>IF(ISBLANK(AB81),"",IFERROR(_xlfn.XLOOKUP(AB81,'F-2 Off-Site WaterC'' Creation'!$AG$12:$AG$258,'F-2 Off-Site WaterC'' Creation'!$AA$12:$AA$258),IFERROR(_xlfn.XLOOKUP(AB81,'F-1 Off-Site WaterC'' Baseline'!$AH$10:$AH$257,'F-1 Off-Site WaterC'' Baseline'!$T$10:$T$257)," ")))</f>
        <v/>
      </c>
      <c r="AM81" s="986" t="str">
        <f t="shared" si="11"/>
        <v/>
      </c>
      <c r="AN81" s="1469"/>
      <c r="AO81" s="1469"/>
    </row>
    <row r="82" spans="1:41" s="992" customFormat="1" ht="43.5" customHeight="1">
      <c r="A82" s="988">
        <f>'D-1 Off-Site Habitat Baseline'!AF86</f>
        <v>0</v>
      </c>
      <c r="B82" s="996"/>
      <c r="C82" s="997" t="str">
        <f>IF(B82="","",SUMIF('D-1 Off-Site Habitat Baseline'!AF86:AF333,B82,'D-1 Off-Site Habitat Baseline'!T86:T333))</f>
        <v/>
      </c>
      <c r="D82" s="990" t="str">
        <f>IF(B82="","",SUMIF('D-1 Off-Site Habitat Baseline'!$AF$11:$AF$258,B82,'D-1 Off-Site Habitat Baseline'!$Q$11:$Q$258))</f>
        <v/>
      </c>
      <c r="E82" s="998" t="str">
        <f>IF(B82="","",SUMIF('D-1 Off-Site Habitat Baseline'!$AF$11:$AF$258,'Off-site gain site summary'!$B82,'D-1 Off-Site Habitat Baseline'!$X$11:$X$258))</f>
        <v/>
      </c>
      <c r="F82" s="999" t="str">
        <f>IF(B82="","",SUMIF('D-1 Off-Site Habitat Baseline'!$AF$11:$AF$258,'Off-site gain site summary'!$B82,'D-1 Off-Site Habitat Baseline'!$AY$11:$AY$258))</f>
        <v/>
      </c>
      <c r="G82" s="998" t="str">
        <f>IF(B82="","",SUMIF('D-3 Off-Site Habitat Enhancment'!$AU$12:$AU$258,'Off-site gain site summary'!B82,'D-3 Off-Site Habitat Enhancment'!$AQ$12:$AQ$258))</f>
        <v/>
      </c>
      <c r="H82" s="999" t="str">
        <f>IF(B82="","",SUMIF('D-3 Off-Site Habitat Enhancment'!$AU$12:$AU$258,'Off-site gain site summary'!B82,'D-3 Off-Site Habitat Enhancment'!$AP$12:$AP$258))</f>
        <v/>
      </c>
      <c r="I82" s="998" t="str">
        <f>IF(B82="","",SUMIF('D-2 Off-Site Habitat Creation'!$AF$11:$AF$256,'Off-site gain site summary'!B82,'D-2 Off-Site Habitat Creation'!$AB$11:$AB$256))</f>
        <v/>
      </c>
      <c r="J82" s="999" t="str">
        <f>IF(B82="","",SUMIF('D-2 Off-Site Habitat Creation'!$AF$11:$AF$256,'Off-site gain site summary'!B82,'D-2 Off-Site Habitat Creation'!$AA$11:$AA$256))</f>
        <v/>
      </c>
      <c r="K82" s="1000" t="str">
        <f t="shared" si="6"/>
        <v/>
      </c>
      <c r="L82" s="997" t="str">
        <f>IF(ISBLANK(B82),"",IFERROR(_xlfn.XLOOKUP(B82,'D-2 Off-Site Habitat Creation'!$AF$11:$AF$256,'D-2 Off-Site Habitat Creation'!$Z$11:$Z$256),IFERROR(_xlfn.XLOOKUP(B82,'D-1 Off-Site Habitat Baseline'!AF$11:AF$258,'D-1 Off-Site Habitat Baseline'!S$11:S$258)," ")))</f>
        <v/>
      </c>
      <c r="M82" s="983" t="str">
        <f t="shared" si="7"/>
        <v/>
      </c>
      <c r="N82" s="988">
        <f>'E-1 Off-Site Hedge Baseline'!AB85</f>
        <v>0</v>
      </c>
      <c r="O82" s="996"/>
      <c r="P82" s="1000" t="str">
        <f>IF(O82="","",SUMIF('E-1 Off-Site Hedge Baseline'!AB$10:AB$257,'Off-site gain site summary'!O82,'E-1 Off-Site Hedge Baseline'!Q$10:Q$257))</f>
        <v/>
      </c>
      <c r="Q82" s="1000" t="str">
        <f>IF(O82="","",SUMIF('E-1 Off-Site Hedge Baseline'!AB$10:AB$257,O82,'E-1 Off-Site Hedge Baseline'!N$10:N$257))</f>
        <v/>
      </c>
      <c r="R82" s="1000" t="str">
        <f>IF(O82="","",SUMIF('E-1 Off-Site Hedge Baseline'!$AB$10:$AB$257,'Off-site gain site summary'!$O82,'E-1 Off-Site Hedge Baseline'!$U$10:$U$257))</f>
        <v/>
      </c>
      <c r="S82" s="1000" t="str">
        <f>IF(O82="","",SUMIF('E-1 Off-Site Hedge Baseline'!$AB$10:$AB$257,'Off-site gain site summary'!$O82,'E-1 Off-Site Hedge Baseline'!$AY$10:$AY$257))</f>
        <v/>
      </c>
      <c r="T82" s="1000" t="str">
        <f>IF(O82="","",SUMIF('E-3 Off-Site Hedge Enhancement'!$AO$12:$AO$257,'Off-site gain site summary'!$O82,'E-3 Off-Site Hedge Enhancement'!$AK$12:$AK$257))</f>
        <v/>
      </c>
      <c r="U82" s="1000" t="str">
        <f>IF(O82="","",SUMIF('E-3 Off-Site Hedge Enhancement'!$AO$12:$AO$257,'Off-site gain site summary'!$O82,'E-3 Off-Site Hedge Enhancement'!$AJ$12:$AJ$257))</f>
        <v/>
      </c>
      <c r="V82" s="1000" t="str">
        <f>IF(O82="","",SUMIF('E-2 Off-Site Hedge Creation'!$AD$12:$AD$259,'Off-site gain site summary'!$O82,'E-2 Off-Site Hedge Creation'!$Z$12:$Z$259))</f>
        <v/>
      </c>
      <c r="W82" s="991" t="str">
        <f>IF(O82="","",SUMIF('E-2 Off-Site Hedge Creation'!$AD$12:$AD$259,'Off-site gain site summary'!$O82,'E-2 Off-Site Hedge Creation'!$Y$12:$Y$259))</f>
        <v/>
      </c>
      <c r="X82" s="991" t="str">
        <f t="shared" si="8"/>
        <v/>
      </c>
      <c r="Y82" s="991" t="str">
        <f>IF(ISBLANK(O82),"",IFERROR(_xlfn.XLOOKUP(O82,'E-2 Off-Site Hedge Creation'!$AD$12:$AD$259,'E-2 Off-Site Hedge Creation'!$N$12:$N$259),IFERROR(_xlfn.XLOOKUP(O82,'E-1 Off-Site Hedge Baseline'!$AB$10:$AB$257,'E-1 Off-Site Hedge Baseline'!$P$10:$P$257)," ")))</f>
        <v/>
      </c>
      <c r="Z82" s="986" t="str">
        <f t="shared" si="9"/>
        <v/>
      </c>
      <c r="AA82" s="992">
        <f>'F-1 Off-Site WaterC'' Baseline'!AH85</f>
        <v>0</v>
      </c>
      <c r="AB82" s="996"/>
      <c r="AC82" s="1000" t="str">
        <f>IF(AB82="","",SUMIF('F-1 Off-Site WaterC'' Baseline'!$AH$10:$AH$257,'Off-site gain site summary'!$AB82,'F-1 Off-Site WaterC'' Baseline'!$U$10:$U$257))</f>
        <v/>
      </c>
      <c r="AD82" s="1000" t="str">
        <f>IF(AB82="","",SUMIF('F-1 Off-Site WaterC'' Baseline'!$AH$10:$AH$257,'Off-site gain site summary'!$AB82,'F-1 Off-Site WaterC'' Baseline'!$R$10:$R$257))</f>
        <v/>
      </c>
      <c r="AE82" s="1000" t="str">
        <f>IF(AB82="","",SUMIF('F-1 Off-Site WaterC'' Baseline'!$AH$10:$AH$257,'Off-site gain site summary'!$AB82,'F-1 Off-Site WaterC'' Baseline'!$Z$10:$Z$257))</f>
        <v/>
      </c>
      <c r="AF82" s="1000" t="str">
        <f>IF(AB82="","",SUMIF('F-1 Off-Site WaterC'' Baseline'!$AH$10:$AH$257,'Off-site gain site summary'!$AB82,'F-1 Off-Site WaterC'' Baseline'!$BA$10:$BA$257))</f>
        <v/>
      </c>
      <c r="AG82" s="1000" t="str">
        <f>IF(AB82="","",SUMIF('F-3 Off-Site WaterC Enhancement'!$AT$12:$AT$257,'Off-site gain site summary'!$AB82,'F-3 Off-Site WaterC Enhancement'!$AP$12:$AP$257))</f>
        <v/>
      </c>
      <c r="AH82" s="1000" t="str">
        <f>IF(AB82="","",SUMIF('F-3 Off-Site WaterC Enhancement'!$AT$12:$AT$257,'Off-site gain site summary'!$AB82,'F-3 Off-Site WaterC Enhancement'!$AO$12:$AO$257))</f>
        <v/>
      </c>
      <c r="AI82" s="1000" t="str">
        <f>IF(AB82="","",SUMIF('F-2 Off-Site WaterC'' Creation'!$AG$12:$AG$259,'Off-site gain site summary'!$AB82,'F-2 Off-Site WaterC'' Creation'!$AC$12:$AC$259))</f>
        <v/>
      </c>
      <c r="AJ82" s="1000" t="str">
        <f>IF(AB82="","",SUMIF('F-2 Off-Site WaterC'' Creation'!$AG$12:$AG$259,'Off-site gain site summary'!$AB82,'F-2 Off-Site WaterC'' Creation'!$AB$12:$AB$259))</f>
        <v/>
      </c>
      <c r="AK82" s="1000" t="str">
        <f t="shared" si="10"/>
        <v/>
      </c>
      <c r="AL82" s="1000" t="str">
        <f>IF(ISBLANK(AB82),"",IFERROR(_xlfn.XLOOKUP(AB82,'F-2 Off-Site WaterC'' Creation'!$AG$12:$AG$258,'F-2 Off-Site WaterC'' Creation'!$AA$12:$AA$258),IFERROR(_xlfn.XLOOKUP(AB82,'F-1 Off-Site WaterC'' Baseline'!$AH$10:$AH$257,'F-1 Off-Site WaterC'' Baseline'!$T$10:$T$257)," ")))</f>
        <v/>
      </c>
      <c r="AM82" s="986" t="str">
        <f t="shared" si="11"/>
        <v/>
      </c>
      <c r="AN82" s="1469"/>
      <c r="AO82" s="1469"/>
    </row>
    <row r="83" spans="1:41" s="992" customFormat="1" ht="43.5" customHeight="1">
      <c r="A83" s="988">
        <f>'D-1 Off-Site Habitat Baseline'!AF87</f>
        <v>0</v>
      </c>
      <c r="B83" s="996"/>
      <c r="C83" s="997" t="str">
        <f>IF(B83="","",SUMIF('D-1 Off-Site Habitat Baseline'!AF87:AF334,B83,'D-1 Off-Site Habitat Baseline'!T87:T334))</f>
        <v/>
      </c>
      <c r="D83" s="990" t="str">
        <f>IF(B83="","",SUMIF('D-1 Off-Site Habitat Baseline'!$AF$11:$AF$258,B83,'D-1 Off-Site Habitat Baseline'!$Q$11:$Q$258))</f>
        <v/>
      </c>
      <c r="E83" s="998" t="str">
        <f>IF(B83="","",SUMIF('D-1 Off-Site Habitat Baseline'!$AF$11:$AF$258,'Off-site gain site summary'!$B83,'D-1 Off-Site Habitat Baseline'!$X$11:$X$258))</f>
        <v/>
      </c>
      <c r="F83" s="999" t="str">
        <f>IF(B83="","",SUMIF('D-1 Off-Site Habitat Baseline'!$AF$11:$AF$258,'Off-site gain site summary'!$B83,'D-1 Off-Site Habitat Baseline'!$AY$11:$AY$258))</f>
        <v/>
      </c>
      <c r="G83" s="998" t="str">
        <f>IF(B83="","",SUMIF('D-3 Off-Site Habitat Enhancment'!$AU$12:$AU$258,'Off-site gain site summary'!B83,'D-3 Off-Site Habitat Enhancment'!$AQ$12:$AQ$258))</f>
        <v/>
      </c>
      <c r="H83" s="999" t="str">
        <f>IF(B83="","",SUMIF('D-3 Off-Site Habitat Enhancment'!$AU$12:$AU$258,'Off-site gain site summary'!B83,'D-3 Off-Site Habitat Enhancment'!$AP$12:$AP$258))</f>
        <v/>
      </c>
      <c r="I83" s="998" t="str">
        <f>IF(B83="","",SUMIF('D-2 Off-Site Habitat Creation'!$AF$11:$AF$256,'Off-site gain site summary'!B83,'D-2 Off-Site Habitat Creation'!$AB$11:$AB$256))</f>
        <v/>
      </c>
      <c r="J83" s="999" t="str">
        <f>IF(B83="","",SUMIF('D-2 Off-Site Habitat Creation'!$AF$11:$AF$256,'Off-site gain site summary'!B83,'D-2 Off-Site Habitat Creation'!$AA$11:$AA$256))</f>
        <v/>
      </c>
      <c r="K83" s="1000" t="str">
        <f t="shared" si="6"/>
        <v/>
      </c>
      <c r="L83" s="997" t="str">
        <f>IF(ISBLANK(B83),"",IFERROR(_xlfn.XLOOKUP(B83,'D-2 Off-Site Habitat Creation'!$AF$11:$AF$256,'D-2 Off-Site Habitat Creation'!$Z$11:$Z$256),IFERROR(_xlfn.XLOOKUP(B83,'D-1 Off-Site Habitat Baseline'!AF$11:AF$258,'D-1 Off-Site Habitat Baseline'!S$11:S$258)," ")))</f>
        <v/>
      </c>
      <c r="M83" s="983" t="str">
        <f t="shared" si="7"/>
        <v/>
      </c>
      <c r="N83" s="988">
        <f>'E-1 Off-Site Hedge Baseline'!AB86</f>
        <v>0</v>
      </c>
      <c r="O83" s="996"/>
      <c r="P83" s="1000" t="str">
        <f>IF(O83="","",SUMIF('E-1 Off-Site Hedge Baseline'!AB$10:AB$257,'Off-site gain site summary'!O83,'E-1 Off-Site Hedge Baseline'!Q$10:Q$257))</f>
        <v/>
      </c>
      <c r="Q83" s="1000" t="str">
        <f>IF(O83="","",SUMIF('E-1 Off-Site Hedge Baseline'!AB$10:AB$257,O83,'E-1 Off-Site Hedge Baseline'!N$10:N$257))</f>
        <v/>
      </c>
      <c r="R83" s="1000" t="str">
        <f>IF(O83="","",SUMIF('E-1 Off-Site Hedge Baseline'!$AB$10:$AB$257,'Off-site gain site summary'!$O83,'E-1 Off-Site Hedge Baseline'!$U$10:$U$257))</f>
        <v/>
      </c>
      <c r="S83" s="1000" t="str">
        <f>IF(O83="","",SUMIF('E-1 Off-Site Hedge Baseline'!$AB$10:$AB$257,'Off-site gain site summary'!$O83,'E-1 Off-Site Hedge Baseline'!$AY$10:$AY$257))</f>
        <v/>
      </c>
      <c r="T83" s="1000" t="str">
        <f>IF(O83="","",SUMIF('E-3 Off-Site Hedge Enhancement'!$AO$12:$AO$257,'Off-site gain site summary'!$O83,'E-3 Off-Site Hedge Enhancement'!$AK$12:$AK$257))</f>
        <v/>
      </c>
      <c r="U83" s="1000" t="str">
        <f>IF(O83="","",SUMIF('E-3 Off-Site Hedge Enhancement'!$AO$12:$AO$257,'Off-site gain site summary'!$O83,'E-3 Off-Site Hedge Enhancement'!$AJ$12:$AJ$257))</f>
        <v/>
      </c>
      <c r="V83" s="1000" t="str">
        <f>IF(O83="","",SUMIF('E-2 Off-Site Hedge Creation'!$AD$12:$AD$259,'Off-site gain site summary'!$O83,'E-2 Off-Site Hedge Creation'!$Z$12:$Z$259))</f>
        <v/>
      </c>
      <c r="W83" s="991" t="str">
        <f>IF(O83="","",SUMIF('E-2 Off-Site Hedge Creation'!$AD$12:$AD$259,'Off-site gain site summary'!$O83,'E-2 Off-Site Hedge Creation'!$Y$12:$Y$259))</f>
        <v/>
      </c>
      <c r="X83" s="991" t="str">
        <f t="shared" si="8"/>
        <v/>
      </c>
      <c r="Y83" s="991" t="str">
        <f>IF(ISBLANK(O83),"",IFERROR(_xlfn.XLOOKUP(O83,'E-2 Off-Site Hedge Creation'!$AD$12:$AD$259,'E-2 Off-Site Hedge Creation'!$N$12:$N$259),IFERROR(_xlfn.XLOOKUP(O83,'E-1 Off-Site Hedge Baseline'!$AB$10:$AB$257,'E-1 Off-Site Hedge Baseline'!$P$10:$P$257)," ")))</f>
        <v/>
      </c>
      <c r="Z83" s="986" t="str">
        <f t="shared" si="9"/>
        <v/>
      </c>
      <c r="AA83" s="992">
        <f>'F-1 Off-Site WaterC'' Baseline'!AH86</f>
        <v>0</v>
      </c>
      <c r="AB83" s="996"/>
      <c r="AC83" s="1000" t="str">
        <f>IF(AB83="","",SUMIF('F-1 Off-Site WaterC'' Baseline'!$AH$10:$AH$257,'Off-site gain site summary'!$AB83,'F-1 Off-Site WaterC'' Baseline'!$U$10:$U$257))</f>
        <v/>
      </c>
      <c r="AD83" s="1000" t="str">
        <f>IF(AB83="","",SUMIF('F-1 Off-Site WaterC'' Baseline'!$AH$10:$AH$257,'Off-site gain site summary'!$AB83,'F-1 Off-Site WaterC'' Baseline'!$R$10:$R$257))</f>
        <v/>
      </c>
      <c r="AE83" s="1000" t="str">
        <f>IF(AB83="","",SUMIF('F-1 Off-Site WaterC'' Baseline'!$AH$10:$AH$257,'Off-site gain site summary'!$AB83,'F-1 Off-Site WaterC'' Baseline'!$Z$10:$Z$257))</f>
        <v/>
      </c>
      <c r="AF83" s="1000" t="str">
        <f>IF(AB83="","",SUMIF('F-1 Off-Site WaterC'' Baseline'!$AH$10:$AH$257,'Off-site gain site summary'!$AB83,'F-1 Off-Site WaterC'' Baseline'!$BA$10:$BA$257))</f>
        <v/>
      </c>
      <c r="AG83" s="1000" t="str">
        <f>IF(AB83="","",SUMIF('F-3 Off-Site WaterC Enhancement'!$AT$12:$AT$257,'Off-site gain site summary'!$AB83,'F-3 Off-Site WaterC Enhancement'!$AP$12:$AP$257))</f>
        <v/>
      </c>
      <c r="AH83" s="1000" t="str">
        <f>IF(AB83="","",SUMIF('F-3 Off-Site WaterC Enhancement'!$AT$12:$AT$257,'Off-site gain site summary'!$AB83,'F-3 Off-Site WaterC Enhancement'!$AO$12:$AO$257))</f>
        <v/>
      </c>
      <c r="AI83" s="1000" t="str">
        <f>IF(AB83="","",SUMIF('F-2 Off-Site WaterC'' Creation'!$AG$12:$AG$259,'Off-site gain site summary'!$AB83,'F-2 Off-Site WaterC'' Creation'!$AC$12:$AC$259))</f>
        <v/>
      </c>
      <c r="AJ83" s="1000" t="str">
        <f>IF(AB83="","",SUMIF('F-2 Off-Site WaterC'' Creation'!$AG$12:$AG$259,'Off-site gain site summary'!$AB83,'F-2 Off-Site WaterC'' Creation'!$AB$12:$AB$259))</f>
        <v/>
      </c>
      <c r="AK83" s="1000" t="str">
        <f t="shared" si="10"/>
        <v/>
      </c>
      <c r="AL83" s="1000" t="str">
        <f>IF(ISBLANK(AB83),"",IFERROR(_xlfn.XLOOKUP(AB83,'F-2 Off-Site WaterC'' Creation'!$AG$12:$AG$258,'F-2 Off-Site WaterC'' Creation'!$AA$12:$AA$258),IFERROR(_xlfn.XLOOKUP(AB83,'F-1 Off-Site WaterC'' Baseline'!$AH$10:$AH$257,'F-1 Off-Site WaterC'' Baseline'!$T$10:$T$257)," ")))</f>
        <v/>
      </c>
      <c r="AM83" s="986" t="str">
        <f t="shared" si="11"/>
        <v/>
      </c>
      <c r="AN83" s="1469"/>
      <c r="AO83" s="1469"/>
    </row>
    <row r="84" spans="1:41" s="992" customFormat="1" ht="43.5" customHeight="1">
      <c r="A84" s="988">
        <f>'D-1 Off-Site Habitat Baseline'!AF88</f>
        <v>0</v>
      </c>
      <c r="B84" s="996"/>
      <c r="C84" s="997" t="str">
        <f>IF(B84="","",SUMIF('D-1 Off-Site Habitat Baseline'!AF88:AF335,B84,'D-1 Off-Site Habitat Baseline'!T88:T335))</f>
        <v/>
      </c>
      <c r="D84" s="990" t="str">
        <f>IF(B84="","",SUMIF('D-1 Off-Site Habitat Baseline'!$AF$11:$AF$258,B84,'D-1 Off-Site Habitat Baseline'!$Q$11:$Q$258))</f>
        <v/>
      </c>
      <c r="E84" s="998" t="str">
        <f>IF(B84="","",SUMIF('D-1 Off-Site Habitat Baseline'!$AF$11:$AF$258,'Off-site gain site summary'!$B84,'D-1 Off-Site Habitat Baseline'!$X$11:$X$258))</f>
        <v/>
      </c>
      <c r="F84" s="999" t="str">
        <f>IF(B84="","",SUMIF('D-1 Off-Site Habitat Baseline'!$AF$11:$AF$258,'Off-site gain site summary'!$B84,'D-1 Off-Site Habitat Baseline'!$AY$11:$AY$258))</f>
        <v/>
      </c>
      <c r="G84" s="998" t="str">
        <f>IF(B84="","",SUMIF('D-3 Off-Site Habitat Enhancment'!$AU$12:$AU$258,'Off-site gain site summary'!B84,'D-3 Off-Site Habitat Enhancment'!$AQ$12:$AQ$258))</f>
        <v/>
      </c>
      <c r="H84" s="999" t="str">
        <f>IF(B84="","",SUMIF('D-3 Off-Site Habitat Enhancment'!$AU$12:$AU$258,'Off-site gain site summary'!B84,'D-3 Off-Site Habitat Enhancment'!$AP$12:$AP$258))</f>
        <v/>
      </c>
      <c r="I84" s="998" t="str">
        <f>IF(B84="","",SUMIF('D-2 Off-Site Habitat Creation'!$AF$11:$AF$256,'Off-site gain site summary'!B84,'D-2 Off-Site Habitat Creation'!$AB$11:$AB$256))</f>
        <v/>
      </c>
      <c r="J84" s="999" t="str">
        <f>IF(B84="","",SUMIF('D-2 Off-Site Habitat Creation'!$AF$11:$AF$256,'Off-site gain site summary'!B84,'D-2 Off-Site Habitat Creation'!$AA$11:$AA$256))</f>
        <v/>
      </c>
      <c r="K84" s="1000" t="str">
        <f t="shared" si="6"/>
        <v/>
      </c>
      <c r="L84" s="997" t="str">
        <f>IF(ISBLANK(B84),"",IFERROR(_xlfn.XLOOKUP(B84,'D-2 Off-Site Habitat Creation'!$AF$11:$AF$256,'D-2 Off-Site Habitat Creation'!$Z$11:$Z$256),IFERROR(_xlfn.XLOOKUP(B84,'D-1 Off-Site Habitat Baseline'!AF$11:AF$258,'D-1 Off-Site Habitat Baseline'!S$11:S$258)," ")))</f>
        <v/>
      </c>
      <c r="M84" s="983" t="str">
        <f t="shared" si="7"/>
        <v/>
      </c>
      <c r="N84" s="988">
        <f>'E-1 Off-Site Hedge Baseline'!AB87</f>
        <v>0</v>
      </c>
      <c r="O84" s="996"/>
      <c r="P84" s="1000" t="str">
        <f>IF(O84="","",SUMIF('E-1 Off-Site Hedge Baseline'!AB$10:AB$257,'Off-site gain site summary'!O84,'E-1 Off-Site Hedge Baseline'!Q$10:Q$257))</f>
        <v/>
      </c>
      <c r="Q84" s="1000" t="str">
        <f>IF(O84="","",SUMIF('E-1 Off-Site Hedge Baseline'!AB$10:AB$257,O84,'E-1 Off-Site Hedge Baseline'!N$10:N$257))</f>
        <v/>
      </c>
      <c r="R84" s="1000" t="str">
        <f>IF(O84="","",SUMIF('E-1 Off-Site Hedge Baseline'!$AB$10:$AB$257,'Off-site gain site summary'!$O84,'E-1 Off-Site Hedge Baseline'!$U$10:$U$257))</f>
        <v/>
      </c>
      <c r="S84" s="1000" t="str">
        <f>IF(O84="","",SUMIF('E-1 Off-Site Hedge Baseline'!$AB$10:$AB$257,'Off-site gain site summary'!$O84,'E-1 Off-Site Hedge Baseline'!$AY$10:$AY$257))</f>
        <v/>
      </c>
      <c r="T84" s="1000" t="str">
        <f>IF(O84="","",SUMIF('E-3 Off-Site Hedge Enhancement'!$AO$12:$AO$257,'Off-site gain site summary'!$O84,'E-3 Off-Site Hedge Enhancement'!$AK$12:$AK$257))</f>
        <v/>
      </c>
      <c r="U84" s="1000" t="str">
        <f>IF(O84="","",SUMIF('E-3 Off-Site Hedge Enhancement'!$AO$12:$AO$257,'Off-site gain site summary'!$O84,'E-3 Off-Site Hedge Enhancement'!$AJ$12:$AJ$257))</f>
        <v/>
      </c>
      <c r="V84" s="1000" t="str">
        <f>IF(O84="","",SUMIF('E-2 Off-Site Hedge Creation'!$AD$12:$AD$259,'Off-site gain site summary'!$O84,'E-2 Off-Site Hedge Creation'!$Z$12:$Z$259))</f>
        <v/>
      </c>
      <c r="W84" s="991" t="str">
        <f>IF(O84="","",SUMIF('E-2 Off-Site Hedge Creation'!$AD$12:$AD$259,'Off-site gain site summary'!$O84,'E-2 Off-Site Hedge Creation'!$Y$12:$Y$259))</f>
        <v/>
      </c>
      <c r="X84" s="991" t="str">
        <f t="shared" si="8"/>
        <v/>
      </c>
      <c r="Y84" s="991" t="str">
        <f>IF(ISBLANK(O84),"",IFERROR(_xlfn.XLOOKUP(O84,'E-2 Off-Site Hedge Creation'!$AD$12:$AD$259,'E-2 Off-Site Hedge Creation'!$N$12:$N$259),IFERROR(_xlfn.XLOOKUP(O84,'E-1 Off-Site Hedge Baseline'!$AB$10:$AB$257,'E-1 Off-Site Hedge Baseline'!$P$10:$P$257)," ")))</f>
        <v/>
      </c>
      <c r="Z84" s="986" t="str">
        <f t="shared" si="9"/>
        <v/>
      </c>
      <c r="AA84" s="992">
        <f>'F-1 Off-Site WaterC'' Baseline'!AH87</f>
        <v>0</v>
      </c>
      <c r="AB84" s="996"/>
      <c r="AC84" s="1000" t="str">
        <f>IF(AB84="","",SUMIF('F-1 Off-Site WaterC'' Baseline'!$AH$10:$AH$257,'Off-site gain site summary'!$AB84,'F-1 Off-Site WaterC'' Baseline'!$U$10:$U$257))</f>
        <v/>
      </c>
      <c r="AD84" s="1000" t="str">
        <f>IF(AB84="","",SUMIF('F-1 Off-Site WaterC'' Baseline'!$AH$10:$AH$257,'Off-site gain site summary'!$AB84,'F-1 Off-Site WaterC'' Baseline'!$R$10:$R$257))</f>
        <v/>
      </c>
      <c r="AE84" s="1000" t="str">
        <f>IF(AB84="","",SUMIF('F-1 Off-Site WaterC'' Baseline'!$AH$10:$AH$257,'Off-site gain site summary'!$AB84,'F-1 Off-Site WaterC'' Baseline'!$Z$10:$Z$257))</f>
        <v/>
      </c>
      <c r="AF84" s="1000" t="str">
        <f>IF(AB84="","",SUMIF('F-1 Off-Site WaterC'' Baseline'!$AH$10:$AH$257,'Off-site gain site summary'!$AB84,'F-1 Off-Site WaterC'' Baseline'!$BA$10:$BA$257))</f>
        <v/>
      </c>
      <c r="AG84" s="1000" t="str">
        <f>IF(AB84="","",SUMIF('F-3 Off-Site WaterC Enhancement'!$AT$12:$AT$257,'Off-site gain site summary'!$AB84,'F-3 Off-Site WaterC Enhancement'!$AP$12:$AP$257))</f>
        <v/>
      </c>
      <c r="AH84" s="1000" t="str">
        <f>IF(AB84="","",SUMIF('F-3 Off-Site WaterC Enhancement'!$AT$12:$AT$257,'Off-site gain site summary'!$AB84,'F-3 Off-Site WaterC Enhancement'!$AO$12:$AO$257))</f>
        <v/>
      </c>
      <c r="AI84" s="1000" t="str">
        <f>IF(AB84="","",SUMIF('F-2 Off-Site WaterC'' Creation'!$AG$12:$AG$259,'Off-site gain site summary'!$AB84,'F-2 Off-Site WaterC'' Creation'!$AC$12:$AC$259))</f>
        <v/>
      </c>
      <c r="AJ84" s="1000" t="str">
        <f>IF(AB84="","",SUMIF('F-2 Off-Site WaterC'' Creation'!$AG$12:$AG$259,'Off-site gain site summary'!$AB84,'F-2 Off-Site WaterC'' Creation'!$AB$12:$AB$259))</f>
        <v/>
      </c>
      <c r="AK84" s="1000" t="str">
        <f t="shared" si="10"/>
        <v/>
      </c>
      <c r="AL84" s="1000" t="str">
        <f>IF(ISBLANK(AB84),"",IFERROR(_xlfn.XLOOKUP(AB84,'F-2 Off-Site WaterC'' Creation'!$AG$12:$AG$258,'F-2 Off-Site WaterC'' Creation'!$AA$12:$AA$258),IFERROR(_xlfn.XLOOKUP(AB84,'F-1 Off-Site WaterC'' Baseline'!$AH$10:$AH$257,'F-1 Off-Site WaterC'' Baseline'!$T$10:$T$257)," ")))</f>
        <v/>
      </c>
      <c r="AM84" s="986" t="str">
        <f t="shared" si="11"/>
        <v/>
      </c>
      <c r="AN84" s="1469"/>
      <c r="AO84" s="1469"/>
    </row>
    <row r="85" spans="1:41" s="992" customFormat="1" ht="43.5" customHeight="1">
      <c r="A85" s="988">
        <f>'D-1 Off-Site Habitat Baseline'!AF89</f>
        <v>0</v>
      </c>
      <c r="B85" s="996"/>
      <c r="C85" s="997" t="str">
        <f>IF(B85="","",SUMIF('D-1 Off-Site Habitat Baseline'!AF89:AF336,B85,'D-1 Off-Site Habitat Baseline'!T89:T336))</f>
        <v/>
      </c>
      <c r="D85" s="990" t="str">
        <f>IF(B85="","",SUMIF('D-1 Off-Site Habitat Baseline'!$AF$11:$AF$258,B85,'D-1 Off-Site Habitat Baseline'!$Q$11:$Q$258))</f>
        <v/>
      </c>
      <c r="E85" s="998" t="str">
        <f>IF(B85="","",SUMIF('D-1 Off-Site Habitat Baseline'!$AF$11:$AF$258,'Off-site gain site summary'!$B85,'D-1 Off-Site Habitat Baseline'!$X$11:$X$258))</f>
        <v/>
      </c>
      <c r="F85" s="999" t="str">
        <f>IF(B85="","",SUMIF('D-1 Off-Site Habitat Baseline'!$AF$11:$AF$258,'Off-site gain site summary'!$B85,'D-1 Off-Site Habitat Baseline'!$AY$11:$AY$258))</f>
        <v/>
      </c>
      <c r="G85" s="998" t="str">
        <f>IF(B85="","",SUMIF('D-3 Off-Site Habitat Enhancment'!$AU$12:$AU$258,'Off-site gain site summary'!B85,'D-3 Off-Site Habitat Enhancment'!$AQ$12:$AQ$258))</f>
        <v/>
      </c>
      <c r="H85" s="999" t="str">
        <f>IF(B85="","",SUMIF('D-3 Off-Site Habitat Enhancment'!$AU$12:$AU$258,'Off-site gain site summary'!B85,'D-3 Off-Site Habitat Enhancment'!$AP$12:$AP$258))</f>
        <v/>
      </c>
      <c r="I85" s="998" t="str">
        <f>IF(B85="","",SUMIF('D-2 Off-Site Habitat Creation'!$AF$11:$AF$256,'Off-site gain site summary'!B85,'D-2 Off-Site Habitat Creation'!$AB$11:$AB$256))</f>
        <v/>
      </c>
      <c r="J85" s="999" t="str">
        <f>IF(B85="","",SUMIF('D-2 Off-Site Habitat Creation'!$AF$11:$AF$256,'Off-site gain site summary'!B85,'D-2 Off-Site Habitat Creation'!$AA$11:$AA$256))</f>
        <v/>
      </c>
      <c r="K85" s="1000" t="str">
        <f t="shared" si="6"/>
        <v/>
      </c>
      <c r="L85" s="997" t="str">
        <f>IF(ISBLANK(B85),"",IFERROR(_xlfn.XLOOKUP(B85,'D-2 Off-Site Habitat Creation'!$AF$11:$AF$256,'D-2 Off-Site Habitat Creation'!$Z$11:$Z$256),IFERROR(_xlfn.XLOOKUP(B85,'D-1 Off-Site Habitat Baseline'!AF$11:AF$258,'D-1 Off-Site Habitat Baseline'!S$11:S$258)," ")))</f>
        <v/>
      </c>
      <c r="M85" s="983" t="str">
        <f t="shared" si="7"/>
        <v/>
      </c>
      <c r="N85" s="988">
        <f>'E-1 Off-Site Hedge Baseline'!AB88</f>
        <v>0</v>
      </c>
      <c r="O85" s="996"/>
      <c r="P85" s="1000" t="str">
        <f>IF(O85="","",SUMIF('E-1 Off-Site Hedge Baseline'!AB$10:AB$257,'Off-site gain site summary'!O85,'E-1 Off-Site Hedge Baseline'!Q$10:Q$257))</f>
        <v/>
      </c>
      <c r="Q85" s="1000" t="str">
        <f>IF(O85="","",SUMIF('E-1 Off-Site Hedge Baseline'!AB$10:AB$257,O85,'E-1 Off-Site Hedge Baseline'!N$10:N$257))</f>
        <v/>
      </c>
      <c r="R85" s="1000" t="str">
        <f>IF(O85="","",SUMIF('E-1 Off-Site Hedge Baseline'!$AB$10:$AB$257,'Off-site gain site summary'!$O85,'E-1 Off-Site Hedge Baseline'!$U$10:$U$257))</f>
        <v/>
      </c>
      <c r="S85" s="1000" t="str">
        <f>IF(O85="","",SUMIF('E-1 Off-Site Hedge Baseline'!$AB$10:$AB$257,'Off-site gain site summary'!$O85,'E-1 Off-Site Hedge Baseline'!$AY$10:$AY$257))</f>
        <v/>
      </c>
      <c r="T85" s="1000" t="str">
        <f>IF(O85="","",SUMIF('E-3 Off-Site Hedge Enhancement'!$AO$12:$AO$257,'Off-site gain site summary'!$O85,'E-3 Off-Site Hedge Enhancement'!$AK$12:$AK$257))</f>
        <v/>
      </c>
      <c r="U85" s="1000" t="str">
        <f>IF(O85="","",SUMIF('E-3 Off-Site Hedge Enhancement'!$AO$12:$AO$257,'Off-site gain site summary'!$O85,'E-3 Off-Site Hedge Enhancement'!$AJ$12:$AJ$257))</f>
        <v/>
      </c>
      <c r="V85" s="1000" t="str">
        <f>IF(O85="","",SUMIF('E-2 Off-Site Hedge Creation'!$AD$12:$AD$259,'Off-site gain site summary'!$O85,'E-2 Off-Site Hedge Creation'!$Z$12:$Z$259))</f>
        <v/>
      </c>
      <c r="W85" s="991" t="str">
        <f>IF(O85="","",SUMIF('E-2 Off-Site Hedge Creation'!$AD$12:$AD$259,'Off-site gain site summary'!$O85,'E-2 Off-Site Hedge Creation'!$Y$12:$Y$259))</f>
        <v/>
      </c>
      <c r="X85" s="991" t="str">
        <f t="shared" si="8"/>
        <v/>
      </c>
      <c r="Y85" s="991" t="str">
        <f>IF(ISBLANK(O85),"",IFERROR(_xlfn.XLOOKUP(O85,'E-2 Off-Site Hedge Creation'!$AD$12:$AD$259,'E-2 Off-Site Hedge Creation'!$N$12:$N$259),IFERROR(_xlfn.XLOOKUP(O85,'E-1 Off-Site Hedge Baseline'!$AB$10:$AB$257,'E-1 Off-Site Hedge Baseline'!$P$10:$P$257)," ")))</f>
        <v/>
      </c>
      <c r="Z85" s="986" t="str">
        <f t="shared" si="9"/>
        <v/>
      </c>
      <c r="AA85" s="992">
        <f>'F-1 Off-Site WaterC'' Baseline'!AH88</f>
        <v>0</v>
      </c>
      <c r="AB85" s="996"/>
      <c r="AC85" s="1000" t="str">
        <f>IF(AB85="","",SUMIF('F-1 Off-Site WaterC'' Baseline'!$AH$10:$AH$257,'Off-site gain site summary'!$AB85,'F-1 Off-Site WaterC'' Baseline'!$U$10:$U$257))</f>
        <v/>
      </c>
      <c r="AD85" s="1000" t="str">
        <f>IF(AB85="","",SUMIF('F-1 Off-Site WaterC'' Baseline'!$AH$10:$AH$257,'Off-site gain site summary'!$AB85,'F-1 Off-Site WaterC'' Baseline'!$R$10:$R$257))</f>
        <v/>
      </c>
      <c r="AE85" s="1000" t="str">
        <f>IF(AB85="","",SUMIF('F-1 Off-Site WaterC'' Baseline'!$AH$10:$AH$257,'Off-site gain site summary'!$AB85,'F-1 Off-Site WaterC'' Baseline'!$Z$10:$Z$257))</f>
        <v/>
      </c>
      <c r="AF85" s="1000" t="str">
        <f>IF(AB85="","",SUMIF('F-1 Off-Site WaterC'' Baseline'!$AH$10:$AH$257,'Off-site gain site summary'!$AB85,'F-1 Off-Site WaterC'' Baseline'!$BA$10:$BA$257))</f>
        <v/>
      </c>
      <c r="AG85" s="1000" t="str">
        <f>IF(AB85="","",SUMIF('F-3 Off-Site WaterC Enhancement'!$AT$12:$AT$257,'Off-site gain site summary'!$AB85,'F-3 Off-Site WaterC Enhancement'!$AP$12:$AP$257))</f>
        <v/>
      </c>
      <c r="AH85" s="1000" t="str">
        <f>IF(AB85="","",SUMIF('F-3 Off-Site WaterC Enhancement'!$AT$12:$AT$257,'Off-site gain site summary'!$AB85,'F-3 Off-Site WaterC Enhancement'!$AO$12:$AO$257))</f>
        <v/>
      </c>
      <c r="AI85" s="1000" t="str">
        <f>IF(AB85="","",SUMIF('F-2 Off-Site WaterC'' Creation'!$AG$12:$AG$259,'Off-site gain site summary'!$AB85,'F-2 Off-Site WaterC'' Creation'!$AC$12:$AC$259))</f>
        <v/>
      </c>
      <c r="AJ85" s="1000" t="str">
        <f>IF(AB85="","",SUMIF('F-2 Off-Site WaterC'' Creation'!$AG$12:$AG$259,'Off-site gain site summary'!$AB85,'F-2 Off-Site WaterC'' Creation'!$AB$12:$AB$259))</f>
        <v/>
      </c>
      <c r="AK85" s="1000" t="str">
        <f t="shared" si="10"/>
        <v/>
      </c>
      <c r="AL85" s="1000" t="str">
        <f>IF(ISBLANK(AB85),"",IFERROR(_xlfn.XLOOKUP(AB85,'F-2 Off-Site WaterC'' Creation'!$AG$12:$AG$258,'F-2 Off-Site WaterC'' Creation'!$AA$12:$AA$258),IFERROR(_xlfn.XLOOKUP(AB85,'F-1 Off-Site WaterC'' Baseline'!$AH$10:$AH$257,'F-1 Off-Site WaterC'' Baseline'!$T$10:$T$257)," ")))</f>
        <v/>
      </c>
      <c r="AM85" s="986" t="str">
        <f t="shared" si="11"/>
        <v/>
      </c>
      <c r="AN85" s="1469"/>
      <c r="AO85" s="1469"/>
    </row>
    <row r="86" spans="1:41" s="992" customFormat="1" ht="43.5" customHeight="1">
      <c r="A86" s="988">
        <f>'D-1 Off-Site Habitat Baseline'!AF90</f>
        <v>0</v>
      </c>
      <c r="B86" s="996"/>
      <c r="C86" s="997" t="str">
        <f>IF(B86="","",SUMIF('D-1 Off-Site Habitat Baseline'!AF90:AF337,B86,'D-1 Off-Site Habitat Baseline'!T90:T337))</f>
        <v/>
      </c>
      <c r="D86" s="990" t="str">
        <f>IF(B86="","",SUMIF('D-1 Off-Site Habitat Baseline'!$AF$11:$AF$258,B86,'D-1 Off-Site Habitat Baseline'!$Q$11:$Q$258))</f>
        <v/>
      </c>
      <c r="E86" s="998" t="str">
        <f>IF(B86="","",SUMIF('D-1 Off-Site Habitat Baseline'!$AF$11:$AF$258,'Off-site gain site summary'!$B86,'D-1 Off-Site Habitat Baseline'!$X$11:$X$258))</f>
        <v/>
      </c>
      <c r="F86" s="999" t="str">
        <f>IF(B86="","",SUMIF('D-1 Off-Site Habitat Baseline'!$AF$11:$AF$258,'Off-site gain site summary'!$B86,'D-1 Off-Site Habitat Baseline'!$AY$11:$AY$258))</f>
        <v/>
      </c>
      <c r="G86" s="998" t="str">
        <f>IF(B86="","",SUMIF('D-3 Off-Site Habitat Enhancment'!$AU$12:$AU$258,'Off-site gain site summary'!B86,'D-3 Off-Site Habitat Enhancment'!$AQ$12:$AQ$258))</f>
        <v/>
      </c>
      <c r="H86" s="999" t="str">
        <f>IF(B86="","",SUMIF('D-3 Off-Site Habitat Enhancment'!$AU$12:$AU$258,'Off-site gain site summary'!B86,'D-3 Off-Site Habitat Enhancment'!$AP$12:$AP$258))</f>
        <v/>
      </c>
      <c r="I86" s="998" t="str">
        <f>IF(B86="","",SUMIF('D-2 Off-Site Habitat Creation'!$AF$11:$AF$256,'Off-site gain site summary'!B86,'D-2 Off-Site Habitat Creation'!$AB$11:$AB$256))</f>
        <v/>
      </c>
      <c r="J86" s="999" t="str">
        <f>IF(B86="","",SUMIF('D-2 Off-Site Habitat Creation'!$AF$11:$AF$256,'Off-site gain site summary'!B86,'D-2 Off-Site Habitat Creation'!$AA$11:$AA$256))</f>
        <v/>
      </c>
      <c r="K86" s="1000" t="str">
        <f t="shared" si="6"/>
        <v/>
      </c>
      <c r="L86" s="997" t="str">
        <f>IF(ISBLANK(B86),"",IFERROR(_xlfn.XLOOKUP(B86,'D-2 Off-Site Habitat Creation'!$AF$11:$AF$256,'D-2 Off-Site Habitat Creation'!$Z$11:$Z$256),IFERROR(_xlfn.XLOOKUP(B86,'D-1 Off-Site Habitat Baseline'!AF$11:AF$258,'D-1 Off-Site Habitat Baseline'!S$11:S$258)," ")))</f>
        <v/>
      </c>
      <c r="M86" s="983" t="str">
        <f t="shared" si="7"/>
        <v/>
      </c>
      <c r="N86" s="988">
        <f>'E-1 Off-Site Hedge Baseline'!AB89</f>
        <v>0</v>
      </c>
      <c r="O86" s="996"/>
      <c r="P86" s="1000" t="str">
        <f>IF(O86="","",SUMIF('E-1 Off-Site Hedge Baseline'!AB$10:AB$257,'Off-site gain site summary'!O86,'E-1 Off-Site Hedge Baseline'!Q$10:Q$257))</f>
        <v/>
      </c>
      <c r="Q86" s="1000" t="str">
        <f>IF(O86="","",SUMIF('E-1 Off-Site Hedge Baseline'!AB$10:AB$257,O86,'E-1 Off-Site Hedge Baseline'!N$10:N$257))</f>
        <v/>
      </c>
      <c r="R86" s="1000" t="str">
        <f>IF(O86="","",SUMIF('E-1 Off-Site Hedge Baseline'!$AB$10:$AB$257,'Off-site gain site summary'!$O86,'E-1 Off-Site Hedge Baseline'!$U$10:$U$257))</f>
        <v/>
      </c>
      <c r="S86" s="1000" t="str">
        <f>IF(O86="","",SUMIF('E-1 Off-Site Hedge Baseline'!$AB$10:$AB$257,'Off-site gain site summary'!$O86,'E-1 Off-Site Hedge Baseline'!$AY$10:$AY$257))</f>
        <v/>
      </c>
      <c r="T86" s="1000" t="str">
        <f>IF(O86="","",SUMIF('E-3 Off-Site Hedge Enhancement'!$AO$12:$AO$257,'Off-site gain site summary'!$O86,'E-3 Off-Site Hedge Enhancement'!$AK$12:$AK$257))</f>
        <v/>
      </c>
      <c r="U86" s="1000" t="str">
        <f>IF(O86="","",SUMIF('E-3 Off-Site Hedge Enhancement'!$AO$12:$AO$257,'Off-site gain site summary'!$O86,'E-3 Off-Site Hedge Enhancement'!$AJ$12:$AJ$257))</f>
        <v/>
      </c>
      <c r="V86" s="1000" t="str">
        <f>IF(O86="","",SUMIF('E-2 Off-Site Hedge Creation'!$AD$12:$AD$259,'Off-site gain site summary'!$O86,'E-2 Off-Site Hedge Creation'!$Z$12:$Z$259))</f>
        <v/>
      </c>
      <c r="W86" s="991" t="str">
        <f>IF(O86="","",SUMIF('E-2 Off-Site Hedge Creation'!$AD$12:$AD$259,'Off-site gain site summary'!$O86,'E-2 Off-Site Hedge Creation'!$Y$12:$Y$259))</f>
        <v/>
      </c>
      <c r="X86" s="991" t="str">
        <f t="shared" si="8"/>
        <v/>
      </c>
      <c r="Y86" s="991" t="str">
        <f>IF(ISBLANK(O86),"",IFERROR(_xlfn.XLOOKUP(O86,'E-2 Off-Site Hedge Creation'!$AD$12:$AD$259,'E-2 Off-Site Hedge Creation'!$N$12:$N$259),IFERROR(_xlfn.XLOOKUP(O86,'E-1 Off-Site Hedge Baseline'!$AB$10:$AB$257,'E-1 Off-Site Hedge Baseline'!$P$10:$P$257)," ")))</f>
        <v/>
      </c>
      <c r="Z86" s="986" t="str">
        <f t="shared" si="9"/>
        <v/>
      </c>
      <c r="AA86" s="992">
        <f>'F-1 Off-Site WaterC'' Baseline'!AH89</f>
        <v>0</v>
      </c>
      <c r="AB86" s="996"/>
      <c r="AC86" s="1000" t="str">
        <f>IF(AB86="","",SUMIF('F-1 Off-Site WaterC'' Baseline'!$AH$10:$AH$257,'Off-site gain site summary'!$AB86,'F-1 Off-Site WaterC'' Baseline'!$U$10:$U$257))</f>
        <v/>
      </c>
      <c r="AD86" s="1000" t="str">
        <f>IF(AB86="","",SUMIF('F-1 Off-Site WaterC'' Baseline'!$AH$10:$AH$257,'Off-site gain site summary'!$AB86,'F-1 Off-Site WaterC'' Baseline'!$R$10:$R$257))</f>
        <v/>
      </c>
      <c r="AE86" s="1000" t="str">
        <f>IF(AB86="","",SUMIF('F-1 Off-Site WaterC'' Baseline'!$AH$10:$AH$257,'Off-site gain site summary'!$AB86,'F-1 Off-Site WaterC'' Baseline'!$Z$10:$Z$257))</f>
        <v/>
      </c>
      <c r="AF86" s="1000" t="str">
        <f>IF(AB86="","",SUMIF('F-1 Off-Site WaterC'' Baseline'!$AH$10:$AH$257,'Off-site gain site summary'!$AB86,'F-1 Off-Site WaterC'' Baseline'!$BA$10:$BA$257))</f>
        <v/>
      </c>
      <c r="AG86" s="1000" t="str">
        <f>IF(AB86="","",SUMIF('F-3 Off-Site WaterC Enhancement'!$AT$12:$AT$257,'Off-site gain site summary'!$AB86,'F-3 Off-Site WaterC Enhancement'!$AP$12:$AP$257))</f>
        <v/>
      </c>
      <c r="AH86" s="1000" t="str">
        <f>IF(AB86="","",SUMIF('F-3 Off-Site WaterC Enhancement'!$AT$12:$AT$257,'Off-site gain site summary'!$AB86,'F-3 Off-Site WaterC Enhancement'!$AO$12:$AO$257))</f>
        <v/>
      </c>
      <c r="AI86" s="1000" t="str">
        <f>IF(AB86="","",SUMIF('F-2 Off-Site WaterC'' Creation'!$AG$12:$AG$259,'Off-site gain site summary'!$AB86,'F-2 Off-Site WaterC'' Creation'!$AC$12:$AC$259))</f>
        <v/>
      </c>
      <c r="AJ86" s="1000" t="str">
        <f>IF(AB86="","",SUMIF('F-2 Off-Site WaterC'' Creation'!$AG$12:$AG$259,'Off-site gain site summary'!$AB86,'F-2 Off-Site WaterC'' Creation'!$AB$12:$AB$259))</f>
        <v/>
      </c>
      <c r="AK86" s="1000" t="str">
        <f t="shared" si="10"/>
        <v/>
      </c>
      <c r="AL86" s="1000" t="str">
        <f>IF(ISBLANK(AB86),"",IFERROR(_xlfn.XLOOKUP(AB86,'F-2 Off-Site WaterC'' Creation'!$AG$12:$AG$258,'F-2 Off-Site WaterC'' Creation'!$AA$12:$AA$258),IFERROR(_xlfn.XLOOKUP(AB86,'F-1 Off-Site WaterC'' Baseline'!$AH$10:$AH$257,'F-1 Off-Site WaterC'' Baseline'!$T$10:$T$257)," ")))</f>
        <v/>
      </c>
      <c r="AM86" s="986" t="str">
        <f t="shared" si="11"/>
        <v/>
      </c>
      <c r="AN86" s="1469"/>
      <c r="AO86" s="1469"/>
    </row>
    <row r="87" spans="1:41" s="992" customFormat="1" ht="43.5" customHeight="1">
      <c r="A87" s="988">
        <f>'D-1 Off-Site Habitat Baseline'!AF91</f>
        <v>0</v>
      </c>
      <c r="B87" s="996"/>
      <c r="C87" s="997" t="str">
        <f>IF(B87="","",SUMIF('D-1 Off-Site Habitat Baseline'!AF91:AF338,B87,'D-1 Off-Site Habitat Baseline'!T91:T338))</f>
        <v/>
      </c>
      <c r="D87" s="990" t="str">
        <f>IF(B87="","",SUMIF('D-1 Off-Site Habitat Baseline'!$AF$11:$AF$258,B87,'D-1 Off-Site Habitat Baseline'!$Q$11:$Q$258))</f>
        <v/>
      </c>
      <c r="E87" s="998" t="str">
        <f>IF(B87="","",SUMIF('D-1 Off-Site Habitat Baseline'!$AF$11:$AF$258,'Off-site gain site summary'!$B87,'D-1 Off-Site Habitat Baseline'!$X$11:$X$258))</f>
        <v/>
      </c>
      <c r="F87" s="999" t="str">
        <f>IF(B87="","",SUMIF('D-1 Off-Site Habitat Baseline'!$AF$11:$AF$258,'Off-site gain site summary'!$B87,'D-1 Off-Site Habitat Baseline'!$AY$11:$AY$258))</f>
        <v/>
      </c>
      <c r="G87" s="998" t="str">
        <f>IF(B87="","",SUMIF('D-3 Off-Site Habitat Enhancment'!$AU$12:$AU$258,'Off-site gain site summary'!B87,'D-3 Off-Site Habitat Enhancment'!$AQ$12:$AQ$258))</f>
        <v/>
      </c>
      <c r="H87" s="999" t="str">
        <f>IF(B87="","",SUMIF('D-3 Off-Site Habitat Enhancment'!$AU$12:$AU$258,'Off-site gain site summary'!B87,'D-3 Off-Site Habitat Enhancment'!$AP$12:$AP$258))</f>
        <v/>
      </c>
      <c r="I87" s="998" t="str">
        <f>IF(B87="","",SUMIF('D-2 Off-Site Habitat Creation'!$AF$11:$AF$256,'Off-site gain site summary'!B87,'D-2 Off-Site Habitat Creation'!$AB$11:$AB$256))</f>
        <v/>
      </c>
      <c r="J87" s="999" t="str">
        <f>IF(B87="","",SUMIF('D-2 Off-Site Habitat Creation'!$AF$11:$AF$256,'Off-site gain site summary'!B87,'D-2 Off-Site Habitat Creation'!$AA$11:$AA$256))</f>
        <v/>
      </c>
      <c r="K87" s="1000" t="str">
        <f t="shared" si="6"/>
        <v/>
      </c>
      <c r="L87" s="997" t="str">
        <f>IF(ISBLANK(B87),"",IFERROR(_xlfn.XLOOKUP(B87,'D-2 Off-Site Habitat Creation'!$AF$11:$AF$256,'D-2 Off-Site Habitat Creation'!$Z$11:$Z$256),IFERROR(_xlfn.XLOOKUP(B87,'D-1 Off-Site Habitat Baseline'!AF$11:AF$258,'D-1 Off-Site Habitat Baseline'!S$11:S$258)," ")))</f>
        <v/>
      </c>
      <c r="M87" s="983" t="str">
        <f t="shared" si="7"/>
        <v/>
      </c>
      <c r="N87" s="988">
        <f>'E-1 Off-Site Hedge Baseline'!AB90</f>
        <v>0</v>
      </c>
      <c r="O87" s="996"/>
      <c r="P87" s="1000" t="str">
        <f>IF(O87="","",SUMIF('E-1 Off-Site Hedge Baseline'!AB$10:AB$257,'Off-site gain site summary'!O87,'E-1 Off-Site Hedge Baseline'!Q$10:Q$257))</f>
        <v/>
      </c>
      <c r="Q87" s="1000" t="str">
        <f>IF(O87="","",SUMIF('E-1 Off-Site Hedge Baseline'!AB$10:AB$257,O87,'E-1 Off-Site Hedge Baseline'!N$10:N$257))</f>
        <v/>
      </c>
      <c r="R87" s="1000" t="str">
        <f>IF(O87="","",SUMIF('E-1 Off-Site Hedge Baseline'!$AB$10:$AB$257,'Off-site gain site summary'!$O87,'E-1 Off-Site Hedge Baseline'!$U$10:$U$257))</f>
        <v/>
      </c>
      <c r="S87" s="1000" t="str">
        <f>IF(O87="","",SUMIF('E-1 Off-Site Hedge Baseline'!$AB$10:$AB$257,'Off-site gain site summary'!$O87,'E-1 Off-Site Hedge Baseline'!$AY$10:$AY$257))</f>
        <v/>
      </c>
      <c r="T87" s="1000" t="str">
        <f>IF(O87="","",SUMIF('E-3 Off-Site Hedge Enhancement'!$AO$12:$AO$257,'Off-site gain site summary'!$O87,'E-3 Off-Site Hedge Enhancement'!$AK$12:$AK$257))</f>
        <v/>
      </c>
      <c r="U87" s="1000" t="str">
        <f>IF(O87="","",SUMIF('E-3 Off-Site Hedge Enhancement'!$AO$12:$AO$257,'Off-site gain site summary'!$O87,'E-3 Off-Site Hedge Enhancement'!$AJ$12:$AJ$257))</f>
        <v/>
      </c>
      <c r="V87" s="1000" t="str">
        <f>IF(O87="","",SUMIF('E-2 Off-Site Hedge Creation'!$AD$12:$AD$259,'Off-site gain site summary'!$O87,'E-2 Off-Site Hedge Creation'!$Z$12:$Z$259))</f>
        <v/>
      </c>
      <c r="W87" s="991" t="str">
        <f>IF(O87="","",SUMIF('E-2 Off-Site Hedge Creation'!$AD$12:$AD$259,'Off-site gain site summary'!$O87,'E-2 Off-Site Hedge Creation'!$Y$12:$Y$259))</f>
        <v/>
      </c>
      <c r="X87" s="991" t="str">
        <f t="shared" si="8"/>
        <v/>
      </c>
      <c r="Y87" s="991" t="str">
        <f>IF(ISBLANK(O87),"",IFERROR(_xlfn.XLOOKUP(O87,'E-2 Off-Site Hedge Creation'!$AD$12:$AD$259,'E-2 Off-Site Hedge Creation'!$N$12:$N$259),IFERROR(_xlfn.XLOOKUP(O87,'E-1 Off-Site Hedge Baseline'!$AB$10:$AB$257,'E-1 Off-Site Hedge Baseline'!$P$10:$P$257)," ")))</f>
        <v/>
      </c>
      <c r="Z87" s="986" t="str">
        <f t="shared" si="9"/>
        <v/>
      </c>
      <c r="AA87" s="992">
        <f>'F-1 Off-Site WaterC'' Baseline'!AH90</f>
        <v>0</v>
      </c>
      <c r="AB87" s="996"/>
      <c r="AC87" s="1000" t="str">
        <f>IF(AB87="","",SUMIF('F-1 Off-Site WaterC'' Baseline'!$AH$10:$AH$257,'Off-site gain site summary'!$AB87,'F-1 Off-Site WaterC'' Baseline'!$U$10:$U$257))</f>
        <v/>
      </c>
      <c r="AD87" s="1000" t="str">
        <f>IF(AB87="","",SUMIF('F-1 Off-Site WaterC'' Baseline'!$AH$10:$AH$257,'Off-site gain site summary'!$AB87,'F-1 Off-Site WaterC'' Baseline'!$R$10:$R$257))</f>
        <v/>
      </c>
      <c r="AE87" s="1000" t="str">
        <f>IF(AB87="","",SUMIF('F-1 Off-Site WaterC'' Baseline'!$AH$10:$AH$257,'Off-site gain site summary'!$AB87,'F-1 Off-Site WaterC'' Baseline'!$Z$10:$Z$257))</f>
        <v/>
      </c>
      <c r="AF87" s="1000" t="str">
        <f>IF(AB87="","",SUMIF('F-1 Off-Site WaterC'' Baseline'!$AH$10:$AH$257,'Off-site gain site summary'!$AB87,'F-1 Off-Site WaterC'' Baseline'!$BA$10:$BA$257))</f>
        <v/>
      </c>
      <c r="AG87" s="1000" t="str">
        <f>IF(AB87="","",SUMIF('F-3 Off-Site WaterC Enhancement'!$AT$12:$AT$257,'Off-site gain site summary'!$AB87,'F-3 Off-Site WaterC Enhancement'!$AP$12:$AP$257))</f>
        <v/>
      </c>
      <c r="AH87" s="1000" t="str">
        <f>IF(AB87="","",SUMIF('F-3 Off-Site WaterC Enhancement'!$AT$12:$AT$257,'Off-site gain site summary'!$AB87,'F-3 Off-Site WaterC Enhancement'!$AO$12:$AO$257))</f>
        <v/>
      </c>
      <c r="AI87" s="1000" t="str">
        <f>IF(AB87="","",SUMIF('F-2 Off-Site WaterC'' Creation'!$AG$12:$AG$259,'Off-site gain site summary'!$AB87,'F-2 Off-Site WaterC'' Creation'!$AC$12:$AC$259))</f>
        <v/>
      </c>
      <c r="AJ87" s="1000" t="str">
        <f>IF(AB87="","",SUMIF('F-2 Off-Site WaterC'' Creation'!$AG$12:$AG$259,'Off-site gain site summary'!$AB87,'F-2 Off-Site WaterC'' Creation'!$AB$12:$AB$259))</f>
        <v/>
      </c>
      <c r="AK87" s="1000" t="str">
        <f t="shared" si="10"/>
        <v/>
      </c>
      <c r="AL87" s="1000" t="str">
        <f>IF(ISBLANK(AB87),"",IFERROR(_xlfn.XLOOKUP(AB87,'F-2 Off-Site WaterC'' Creation'!$AG$12:$AG$258,'F-2 Off-Site WaterC'' Creation'!$AA$12:$AA$258),IFERROR(_xlfn.XLOOKUP(AB87,'F-1 Off-Site WaterC'' Baseline'!$AH$10:$AH$257,'F-1 Off-Site WaterC'' Baseline'!$T$10:$T$257)," ")))</f>
        <v/>
      </c>
      <c r="AM87" s="986" t="str">
        <f t="shared" si="11"/>
        <v/>
      </c>
      <c r="AN87" s="1469"/>
      <c r="AO87" s="1469"/>
    </row>
    <row r="88" spans="1:41" s="992" customFormat="1" ht="43.5" customHeight="1">
      <c r="A88" s="988">
        <f>'D-1 Off-Site Habitat Baseline'!AF92</f>
        <v>0</v>
      </c>
      <c r="B88" s="996"/>
      <c r="C88" s="997" t="str">
        <f>IF(B88="","",SUMIF('D-1 Off-Site Habitat Baseline'!AF92:AF339,B88,'D-1 Off-Site Habitat Baseline'!T92:T339))</f>
        <v/>
      </c>
      <c r="D88" s="990" t="str">
        <f>IF(B88="","",SUMIF('D-1 Off-Site Habitat Baseline'!$AF$11:$AF$258,B88,'D-1 Off-Site Habitat Baseline'!$Q$11:$Q$258))</f>
        <v/>
      </c>
      <c r="E88" s="998" t="str">
        <f>IF(B88="","",SUMIF('D-1 Off-Site Habitat Baseline'!$AF$11:$AF$258,'Off-site gain site summary'!$B88,'D-1 Off-Site Habitat Baseline'!$X$11:$X$258))</f>
        <v/>
      </c>
      <c r="F88" s="999" t="str">
        <f>IF(B88="","",SUMIF('D-1 Off-Site Habitat Baseline'!$AF$11:$AF$258,'Off-site gain site summary'!$B88,'D-1 Off-Site Habitat Baseline'!$AY$11:$AY$258))</f>
        <v/>
      </c>
      <c r="G88" s="998" t="str">
        <f>IF(B88="","",SUMIF('D-3 Off-Site Habitat Enhancment'!$AU$12:$AU$258,'Off-site gain site summary'!B88,'D-3 Off-Site Habitat Enhancment'!$AQ$12:$AQ$258))</f>
        <v/>
      </c>
      <c r="H88" s="999" t="str">
        <f>IF(B88="","",SUMIF('D-3 Off-Site Habitat Enhancment'!$AU$12:$AU$258,'Off-site gain site summary'!B88,'D-3 Off-Site Habitat Enhancment'!$AP$12:$AP$258))</f>
        <v/>
      </c>
      <c r="I88" s="998" t="str">
        <f>IF(B88="","",SUMIF('D-2 Off-Site Habitat Creation'!$AF$11:$AF$256,'Off-site gain site summary'!B88,'D-2 Off-Site Habitat Creation'!$AB$11:$AB$256))</f>
        <v/>
      </c>
      <c r="J88" s="999" t="str">
        <f>IF(B88="","",SUMIF('D-2 Off-Site Habitat Creation'!$AF$11:$AF$256,'Off-site gain site summary'!B88,'D-2 Off-Site Habitat Creation'!$AA$11:$AA$256))</f>
        <v/>
      </c>
      <c r="K88" s="1000" t="str">
        <f t="shared" si="6"/>
        <v/>
      </c>
      <c r="L88" s="997" t="str">
        <f>IF(ISBLANK(B88),"",IFERROR(_xlfn.XLOOKUP(B88,'D-2 Off-Site Habitat Creation'!$AF$11:$AF$256,'D-2 Off-Site Habitat Creation'!$Z$11:$Z$256),IFERROR(_xlfn.XLOOKUP(B88,'D-1 Off-Site Habitat Baseline'!AF$11:AF$258,'D-1 Off-Site Habitat Baseline'!S$11:S$258)," ")))</f>
        <v/>
      </c>
      <c r="M88" s="983" t="str">
        <f t="shared" si="7"/>
        <v/>
      </c>
      <c r="N88" s="988">
        <f>'E-1 Off-Site Hedge Baseline'!AB91</f>
        <v>0</v>
      </c>
      <c r="O88" s="996"/>
      <c r="P88" s="1000" t="str">
        <f>IF(O88="","",SUMIF('E-1 Off-Site Hedge Baseline'!AB$10:AB$257,'Off-site gain site summary'!O88,'E-1 Off-Site Hedge Baseline'!Q$10:Q$257))</f>
        <v/>
      </c>
      <c r="Q88" s="1000" t="str">
        <f>IF(O88="","",SUMIF('E-1 Off-Site Hedge Baseline'!AB$10:AB$257,O88,'E-1 Off-Site Hedge Baseline'!N$10:N$257))</f>
        <v/>
      </c>
      <c r="R88" s="1000" t="str">
        <f>IF(O88="","",SUMIF('E-1 Off-Site Hedge Baseline'!$AB$10:$AB$257,'Off-site gain site summary'!$O88,'E-1 Off-Site Hedge Baseline'!$U$10:$U$257))</f>
        <v/>
      </c>
      <c r="S88" s="1000" t="str">
        <f>IF(O88="","",SUMIF('E-1 Off-Site Hedge Baseline'!$AB$10:$AB$257,'Off-site gain site summary'!$O88,'E-1 Off-Site Hedge Baseline'!$AY$10:$AY$257))</f>
        <v/>
      </c>
      <c r="T88" s="1000" t="str">
        <f>IF(O88="","",SUMIF('E-3 Off-Site Hedge Enhancement'!$AO$12:$AO$257,'Off-site gain site summary'!$O88,'E-3 Off-Site Hedge Enhancement'!$AK$12:$AK$257))</f>
        <v/>
      </c>
      <c r="U88" s="1000" t="str">
        <f>IF(O88="","",SUMIF('E-3 Off-Site Hedge Enhancement'!$AO$12:$AO$257,'Off-site gain site summary'!$O88,'E-3 Off-Site Hedge Enhancement'!$AJ$12:$AJ$257))</f>
        <v/>
      </c>
      <c r="V88" s="1000" t="str">
        <f>IF(O88="","",SUMIF('E-2 Off-Site Hedge Creation'!$AD$12:$AD$259,'Off-site gain site summary'!$O88,'E-2 Off-Site Hedge Creation'!$Z$12:$Z$259))</f>
        <v/>
      </c>
      <c r="W88" s="991" t="str">
        <f>IF(O88="","",SUMIF('E-2 Off-Site Hedge Creation'!$AD$12:$AD$259,'Off-site gain site summary'!$O88,'E-2 Off-Site Hedge Creation'!$Y$12:$Y$259))</f>
        <v/>
      </c>
      <c r="X88" s="991" t="str">
        <f t="shared" si="8"/>
        <v/>
      </c>
      <c r="Y88" s="991" t="str">
        <f>IF(ISBLANK(O88),"",IFERROR(_xlfn.XLOOKUP(O88,'E-2 Off-Site Hedge Creation'!$AD$12:$AD$259,'E-2 Off-Site Hedge Creation'!$N$12:$N$259),IFERROR(_xlfn.XLOOKUP(O88,'E-1 Off-Site Hedge Baseline'!$AB$10:$AB$257,'E-1 Off-Site Hedge Baseline'!$P$10:$P$257)," ")))</f>
        <v/>
      </c>
      <c r="Z88" s="986" t="str">
        <f t="shared" si="9"/>
        <v/>
      </c>
      <c r="AA88" s="992">
        <f>'F-1 Off-Site WaterC'' Baseline'!AH91</f>
        <v>0</v>
      </c>
      <c r="AB88" s="996"/>
      <c r="AC88" s="1000" t="str">
        <f>IF(AB88="","",SUMIF('F-1 Off-Site WaterC'' Baseline'!$AH$10:$AH$257,'Off-site gain site summary'!$AB88,'F-1 Off-Site WaterC'' Baseline'!$U$10:$U$257))</f>
        <v/>
      </c>
      <c r="AD88" s="1000" t="str">
        <f>IF(AB88="","",SUMIF('F-1 Off-Site WaterC'' Baseline'!$AH$10:$AH$257,'Off-site gain site summary'!$AB88,'F-1 Off-Site WaterC'' Baseline'!$R$10:$R$257))</f>
        <v/>
      </c>
      <c r="AE88" s="1000" t="str">
        <f>IF(AB88="","",SUMIF('F-1 Off-Site WaterC'' Baseline'!$AH$10:$AH$257,'Off-site gain site summary'!$AB88,'F-1 Off-Site WaterC'' Baseline'!$Z$10:$Z$257))</f>
        <v/>
      </c>
      <c r="AF88" s="1000" t="str">
        <f>IF(AB88="","",SUMIF('F-1 Off-Site WaterC'' Baseline'!$AH$10:$AH$257,'Off-site gain site summary'!$AB88,'F-1 Off-Site WaterC'' Baseline'!$BA$10:$BA$257))</f>
        <v/>
      </c>
      <c r="AG88" s="1000" t="str">
        <f>IF(AB88="","",SUMIF('F-3 Off-Site WaterC Enhancement'!$AT$12:$AT$257,'Off-site gain site summary'!$AB88,'F-3 Off-Site WaterC Enhancement'!$AP$12:$AP$257))</f>
        <v/>
      </c>
      <c r="AH88" s="1000" t="str">
        <f>IF(AB88="","",SUMIF('F-3 Off-Site WaterC Enhancement'!$AT$12:$AT$257,'Off-site gain site summary'!$AB88,'F-3 Off-Site WaterC Enhancement'!$AO$12:$AO$257))</f>
        <v/>
      </c>
      <c r="AI88" s="1000" t="str">
        <f>IF(AB88="","",SUMIF('F-2 Off-Site WaterC'' Creation'!$AG$12:$AG$259,'Off-site gain site summary'!$AB88,'F-2 Off-Site WaterC'' Creation'!$AC$12:$AC$259))</f>
        <v/>
      </c>
      <c r="AJ88" s="1000" t="str">
        <f>IF(AB88="","",SUMIF('F-2 Off-Site WaterC'' Creation'!$AG$12:$AG$259,'Off-site gain site summary'!$AB88,'F-2 Off-Site WaterC'' Creation'!$AB$12:$AB$259))</f>
        <v/>
      </c>
      <c r="AK88" s="1000" t="str">
        <f t="shared" si="10"/>
        <v/>
      </c>
      <c r="AL88" s="1000" t="str">
        <f>IF(ISBLANK(AB88),"",IFERROR(_xlfn.XLOOKUP(AB88,'F-2 Off-Site WaterC'' Creation'!$AG$12:$AG$258,'F-2 Off-Site WaterC'' Creation'!$AA$12:$AA$258),IFERROR(_xlfn.XLOOKUP(AB88,'F-1 Off-Site WaterC'' Baseline'!$AH$10:$AH$257,'F-1 Off-Site WaterC'' Baseline'!$T$10:$T$257)," ")))</f>
        <v/>
      </c>
      <c r="AM88" s="986" t="str">
        <f t="shared" si="11"/>
        <v/>
      </c>
      <c r="AN88" s="1469"/>
      <c r="AO88" s="1469"/>
    </row>
    <row r="89" spans="1:41" s="992" customFormat="1" ht="43.5" customHeight="1">
      <c r="A89" s="988">
        <f>'D-1 Off-Site Habitat Baseline'!AF93</f>
        <v>0</v>
      </c>
      <c r="B89" s="996"/>
      <c r="C89" s="997" t="str">
        <f>IF(B89="","",SUMIF('D-1 Off-Site Habitat Baseline'!AF93:AF340,B89,'D-1 Off-Site Habitat Baseline'!T93:T340))</f>
        <v/>
      </c>
      <c r="D89" s="990" t="str">
        <f>IF(B89="","",SUMIF('D-1 Off-Site Habitat Baseline'!$AF$11:$AF$258,B89,'D-1 Off-Site Habitat Baseline'!$Q$11:$Q$258))</f>
        <v/>
      </c>
      <c r="E89" s="998" t="str">
        <f>IF(B89="","",SUMIF('D-1 Off-Site Habitat Baseline'!$AF$11:$AF$258,'Off-site gain site summary'!$B89,'D-1 Off-Site Habitat Baseline'!$X$11:$X$258))</f>
        <v/>
      </c>
      <c r="F89" s="999" t="str">
        <f>IF(B89="","",SUMIF('D-1 Off-Site Habitat Baseline'!$AF$11:$AF$258,'Off-site gain site summary'!$B89,'D-1 Off-Site Habitat Baseline'!$AY$11:$AY$258))</f>
        <v/>
      </c>
      <c r="G89" s="998" t="str">
        <f>IF(B89="","",SUMIF('D-3 Off-Site Habitat Enhancment'!$AU$12:$AU$258,'Off-site gain site summary'!B89,'D-3 Off-Site Habitat Enhancment'!$AQ$12:$AQ$258))</f>
        <v/>
      </c>
      <c r="H89" s="999" t="str">
        <f>IF(B89="","",SUMIF('D-3 Off-Site Habitat Enhancment'!$AU$12:$AU$258,'Off-site gain site summary'!B89,'D-3 Off-Site Habitat Enhancment'!$AP$12:$AP$258))</f>
        <v/>
      </c>
      <c r="I89" s="998" t="str">
        <f>IF(B89="","",SUMIF('D-2 Off-Site Habitat Creation'!$AF$11:$AF$256,'Off-site gain site summary'!B89,'D-2 Off-Site Habitat Creation'!$AB$11:$AB$256))</f>
        <v/>
      </c>
      <c r="J89" s="999" t="str">
        <f>IF(B89="","",SUMIF('D-2 Off-Site Habitat Creation'!$AF$11:$AF$256,'Off-site gain site summary'!B89,'D-2 Off-Site Habitat Creation'!$AA$11:$AA$256))</f>
        <v/>
      </c>
      <c r="K89" s="1000" t="str">
        <f t="shared" si="6"/>
        <v/>
      </c>
      <c r="L89" s="997" t="str">
        <f>IF(ISBLANK(B89),"",IFERROR(_xlfn.XLOOKUP(B89,'D-2 Off-Site Habitat Creation'!$AF$11:$AF$256,'D-2 Off-Site Habitat Creation'!$Z$11:$Z$256),IFERROR(_xlfn.XLOOKUP(B89,'D-1 Off-Site Habitat Baseline'!AF$11:AF$258,'D-1 Off-Site Habitat Baseline'!S$11:S$258)," ")))</f>
        <v/>
      </c>
      <c r="M89" s="983" t="str">
        <f t="shared" si="7"/>
        <v/>
      </c>
      <c r="N89" s="988">
        <f>'E-1 Off-Site Hedge Baseline'!AB92</f>
        <v>0</v>
      </c>
      <c r="O89" s="996"/>
      <c r="P89" s="1000" t="str">
        <f>IF(O89="","",SUMIF('E-1 Off-Site Hedge Baseline'!AB$10:AB$257,'Off-site gain site summary'!O89,'E-1 Off-Site Hedge Baseline'!Q$10:Q$257))</f>
        <v/>
      </c>
      <c r="Q89" s="1000" t="str">
        <f>IF(O89="","",SUMIF('E-1 Off-Site Hedge Baseline'!AB$10:AB$257,O89,'E-1 Off-Site Hedge Baseline'!N$10:N$257))</f>
        <v/>
      </c>
      <c r="R89" s="1000" t="str">
        <f>IF(O89="","",SUMIF('E-1 Off-Site Hedge Baseline'!$AB$10:$AB$257,'Off-site gain site summary'!$O89,'E-1 Off-Site Hedge Baseline'!$U$10:$U$257))</f>
        <v/>
      </c>
      <c r="S89" s="1000" t="str">
        <f>IF(O89="","",SUMIF('E-1 Off-Site Hedge Baseline'!$AB$10:$AB$257,'Off-site gain site summary'!$O89,'E-1 Off-Site Hedge Baseline'!$AY$10:$AY$257))</f>
        <v/>
      </c>
      <c r="T89" s="1000" t="str">
        <f>IF(O89="","",SUMIF('E-3 Off-Site Hedge Enhancement'!$AO$12:$AO$257,'Off-site gain site summary'!$O89,'E-3 Off-Site Hedge Enhancement'!$AK$12:$AK$257))</f>
        <v/>
      </c>
      <c r="U89" s="1000" t="str">
        <f>IF(O89="","",SUMIF('E-3 Off-Site Hedge Enhancement'!$AO$12:$AO$257,'Off-site gain site summary'!$O89,'E-3 Off-Site Hedge Enhancement'!$AJ$12:$AJ$257))</f>
        <v/>
      </c>
      <c r="V89" s="1000" t="str">
        <f>IF(O89="","",SUMIF('E-2 Off-Site Hedge Creation'!$AD$12:$AD$259,'Off-site gain site summary'!$O89,'E-2 Off-Site Hedge Creation'!$Z$12:$Z$259))</f>
        <v/>
      </c>
      <c r="W89" s="991" t="str">
        <f>IF(O89="","",SUMIF('E-2 Off-Site Hedge Creation'!$AD$12:$AD$259,'Off-site gain site summary'!$O89,'E-2 Off-Site Hedge Creation'!$Y$12:$Y$259))</f>
        <v/>
      </c>
      <c r="X89" s="991" t="str">
        <f t="shared" si="8"/>
        <v/>
      </c>
      <c r="Y89" s="991" t="str">
        <f>IF(ISBLANK(O89),"",IFERROR(_xlfn.XLOOKUP(O89,'E-2 Off-Site Hedge Creation'!$AD$12:$AD$259,'E-2 Off-Site Hedge Creation'!$N$12:$N$259),IFERROR(_xlfn.XLOOKUP(O89,'E-1 Off-Site Hedge Baseline'!$AB$10:$AB$257,'E-1 Off-Site Hedge Baseline'!$P$10:$P$257)," ")))</f>
        <v/>
      </c>
      <c r="Z89" s="986" t="str">
        <f t="shared" si="9"/>
        <v/>
      </c>
      <c r="AA89" s="992">
        <f>'F-1 Off-Site WaterC'' Baseline'!AH92</f>
        <v>0</v>
      </c>
      <c r="AB89" s="996"/>
      <c r="AC89" s="1000" t="str">
        <f>IF(AB89="","",SUMIF('F-1 Off-Site WaterC'' Baseline'!$AH$10:$AH$257,'Off-site gain site summary'!$AB89,'F-1 Off-Site WaterC'' Baseline'!$U$10:$U$257))</f>
        <v/>
      </c>
      <c r="AD89" s="1000" t="str">
        <f>IF(AB89="","",SUMIF('F-1 Off-Site WaterC'' Baseline'!$AH$10:$AH$257,'Off-site gain site summary'!$AB89,'F-1 Off-Site WaterC'' Baseline'!$R$10:$R$257))</f>
        <v/>
      </c>
      <c r="AE89" s="1000" t="str">
        <f>IF(AB89="","",SUMIF('F-1 Off-Site WaterC'' Baseline'!$AH$10:$AH$257,'Off-site gain site summary'!$AB89,'F-1 Off-Site WaterC'' Baseline'!$Z$10:$Z$257))</f>
        <v/>
      </c>
      <c r="AF89" s="1000" t="str">
        <f>IF(AB89="","",SUMIF('F-1 Off-Site WaterC'' Baseline'!$AH$10:$AH$257,'Off-site gain site summary'!$AB89,'F-1 Off-Site WaterC'' Baseline'!$BA$10:$BA$257))</f>
        <v/>
      </c>
      <c r="AG89" s="1000" t="str">
        <f>IF(AB89="","",SUMIF('F-3 Off-Site WaterC Enhancement'!$AT$12:$AT$257,'Off-site gain site summary'!$AB89,'F-3 Off-Site WaterC Enhancement'!$AP$12:$AP$257))</f>
        <v/>
      </c>
      <c r="AH89" s="1000" t="str">
        <f>IF(AB89="","",SUMIF('F-3 Off-Site WaterC Enhancement'!$AT$12:$AT$257,'Off-site gain site summary'!$AB89,'F-3 Off-Site WaterC Enhancement'!$AO$12:$AO$257))</f>
        <v/>
      </c>
      <c r="AI89" s="1000" t="str">
        <f>IF(AB89="","",SUMIF('F-2 Off-Site WaterC'' Creation'!$AG$12:$AG$259,'Off-site gain site summary'!$AB89,'F-2 Off-Site WaterC'' Creation'!$AC$12:$AC$259))</f>
        <v/>
      </c>
      <c r="AJ89" s="1000" t="str">
        <f>IF(AB89="","",SUMIF('F-2 Off-Site WaterC'' Creation'!$AG$12:$AG$259,'Off-site gain site summary'!$AB89,'F-2 Off-Site WaterC'' Creation'!$AB$12:$AB$259))</f>
        <v/>
      </c>
      <c r="AK89" s="1000" t="str">
        <f t="shared" si="10"/>
        <v/>
      </c>
      <c r="AL89" s="1000" t="str">
        <f>IF(ISBLANK(AB89),"",IFERROR(_xlfn.XLOOKUP(AB89,'F-2 Off-Site WaterC'' Creation'!$AG$12:$AG$258,'F-2 Off-Site WaterC'' Creation'!$AA$12:$AA$258),IFERROR(_xlfn.XLOOKUP(AB89,'F-1 Off-Site WaterC'' Baseline'!$AH$10:$AH$257,'F-1 Off-Site WaterC'' Baseline'!$T$10:$T$257)," ")))</f>
        <v/>
      </c>
      <c r="AM89" s="986" t="str">
        <f t="shared" si="11"/>
        <v/>
      </c>
      <c r="AN89" s="1469"/>
      <c r="AO89" s="1469"/>
    </row>
    <row r="90" spans="1:41" s="992" customFormat="1" ht="43.5" customHeight="1">
      <c r="A90" s="988">
        <f>'D-1 Off-Site Habitat Baseline'!AF94</f>
        <v>0</v>
      </c>
      <c r="B90" s="996"/>
      <c r="C90" s="997" t="str">
        <f>IF(B90="","",SUMIF('D-1 Off-Site Habitat Baseline'!AF94:AF341,B90,'D-1 Off-Site Habitat Baseline'!T94:T341))</f>
        <v/>
      </c>
      <c r="D90" s="990" t="str">
        <f>IF(B90="","",SUMIF('D-1 Off-Site Habitat Baseline'!$AF$11:$AF$258,B90,'D-1 Off-Site Habitat Baseline'!$Q$11:$Q$258))</f>
        <v/>
      </c>
      <c r="E90" s="998" t="str">
        <f>IF(B90="","",SUMIF('D-1 Off-Site Habitat Baseline'!$AF$11:$AF$258,'Off-site gain site summary'!$B90,'D-1 Off-Site Habitat Baseline'!$X$11:$X$258))</f>
        <v/>
      </c>
      <c r="F90" s="999" t="str">
        <f>IF(B90="","",SUMIF('D-1 Off-Site Habitat Baseline'!$AF$11:$AF$258,'Off-site gain site summary'!$B90,'D-1 Off-Site Habitat Baseline'!$AY$11:$AY$258))</f>
        <v/>
      </c>
      <c r="G90" s="998" t="str">
        <f>IF(B90="","",SUMIF('D-3 Off-Site Habitat Enhancment'!$AU$12:$AU$258,'Off-site gain site summary'!B90,'D-3 Off-Site Habitat Enhancment'!$AQ$12:$AQ$258))</f>
        <v/>
      </c>
      <c r="H90" s="999" t="str">
        <f>IF(B90="","",SUMIF('D-3 Off-Site Habitat Enhancment'!$AU$12:$AU$258,'Off-site gain site summary'!B90,'D-3 Off-Site Habitat Enhancment'!$AP$12:$AP$258))</f>
        <v/>
      </c>
      <c r="I90" s="998" t="str">
        <f>IF(B90="","",SUMIF('D-2 Off-Site Habitat Creation'!$AF$11:$AF$256,'Off-site gain site summary'!B90,'D-2 Off-Site Habitat Creation'!$AB$11:$AB$256))</f>
        <v/>
      </c>
      <c r="J90" s="999" t="str">
        <f>IF(B90="","",SUMIF('D-2 Off-Site Habitat Creation'!$AF$11:$AF$256,'Off-site gain site summary'!B90,'D-2 Off-Site Habitat Creation'!$AA$11:$AA$256))</f>
        <v/>
      </c>
      <c r="K90" s="1000" t="str">
        <f t="shared" si="6"/>
        <v/>
      </c>
      <c r="L90" s="997" t="str">
        <f>IF(ISBLANK(B90),"",IFERROR(_xlfn.XLOOKUP(B90,'D-2 Off-Site Habitat Creation'!$AF$11:$AF$256,'D-2 Off-Site Habitat Creation'!$Z$11:$Z$256),IFERROR(_xlfn.XLOOKUP(B90,'D-1 Off-Site Habitat Baseline'!AF$11:AF$258,'D-1 Off-Site Habitat Baseline'!S$11:S$258)," ")))</f>
        <v/>
      </c>
      <c r="M90" s="983" t="str">
        <f t="shared" si="7"/>
        <v/>
      </c>
      <c r="N90" s="988">
        <f>'E-1 Off-Site Hedge Baseline'!AB93</f>
        <v>0</v>
      </c>
      <c r="O90" s="996"/>
      <c r="P90" s="1000" t="str">
        <f>IF(O90="","",SUMIF('E-1 Off-Site Hedge Baseline'!AB$10:AB$257,'Off-site gain site summary'!O90,'E-1 Off-Site Hedge Baseline'!Q$10:Q$257))</f>
        <v/>
      </c>
      <c r="Q90" s="1000" t="str">
        <f>IF(O90="","",SUMIF('E-1 Off-Site Hedge Baseline'!AB$10:AB$257,O90,'E-1 Off-Site Hedge Baseline'!N$10:N$257))</f>
        <v/>
      </c>
      <c r="R90" s="1000" t="str">
        <f>IF(O90="","",SUMIF('E-1 Off-Site Hedge Baseline'!$AB$10:$AB$257,'Off-site gain site summary'!$O90,'E-1 Off-Site Hedge Baseline'!$U$10:$U$257))</f>
        <v/>
      </c>
      <c r="S90" s="1000" t="str">
        <f>IF(O90="","",SUMIF('E-1 Off-Site Hedge Baseline'!$AB$10:$AB$257,'Off-site gain site summary'!$O90,'E-1 Off-Site Hedge Baseline'!$AY$10:$AY$257))</f>
        <v/>
      </c>
      <c r="T90" s="1000" t="str">
        <f>IF(O90="","",SUMIF('E-3 Off-Site Hedge Enhancement'!$AO$12:$AO$257,'Off-site gain site summary'!$O90,'E-3 Off-Site Hedge Enhancement'!$AK$12:$AK$257))</f>
        <v/>
      </c>
      <c r="U90" s="1000" t="str">
        <f>IF(O90="","",SUMIF('E-3 Off-Site Hedge Enhancement'!$AO$12:$AO$257,'Off-site gain site summary'!$O90,'E-3 Off-Site Hedge Enhancement'!$AJ$12:$AJ$257))</f>
        <v/>
      </c>
      <c r="V90" s="1000" t="str">
        <f>IF(O90="","",SUMIF('E-2 Off-Site Hedge Creation'!$AD$12:$AD$259,'Off-site gain site summary'!$O90,'E-2 Off-Site Hedge Creation'!$Z$12:$Z$259))</f>
        <v/>
      </c>
      <c r="W90" s="991" t="str">
        <f>IF(O90="","",SUMIF('E-2 Off-Site Hedge Creation'!$AD$12:$AD$259,'Off-site gain site summary'!$O90,'E-2 Off-Site Hedge Creation'!$Y$12:$Y$259))</f>
        <v/>
      </c>
      <c r="X90" s="991" t="str">
        <f t="shared" si="8"/>
        <v/>
      </c>
      <c r="Y90" s="991" t="str">
        <f>IF(ISBLANK(O90),"",IFERROR(_xlfn.XLOOKUP(O90,'E-2 Off-Site Hedge Creation'!$AD$12:$AD$259,'E-2 Off-Site Hedge Creation'!$N$12:$N$259),IFERROR(_xlfn.XLOOKUP(O90,'E-1 Off-Site Hedge Baseline'!$AB$10:$AB$257,'E-1 Off-Site Hedge Baseline'!$P$10:$P$257)," ")))</f>
        <v/>
      </c>
      <c r="Z90" s="986" t="str">
        <f t="shared" si="9"/>
        <v/>
      </c>
      <c r="AA90" s="992">
        <f>'F-1 Off-Site WaterC'' Baseline'!AH93</f>
        <v>0</v>
      </c>
      <c r="AB90" s="996"/>
      <c r="AC90" s="1000" t="str">
        <f>IF(AB90="","",SUMIF('F-1 Off-Site WaterC'' Baseline'!$AH$10:$AH$257,'Off-site gain site summary'!$AB90,'F-1 Off-Site WaterC'' Baseline'!$U$10:$U$257))</f>
        <v/>
      </c>
      <c r="AD90" s="1000" t="str">
        <f>IF(AB90="","",SUMIF('F-1 Off-Site WaterC'' Baseline'!$AH$10:$AH$257,'Off-site gain site summary'!$AB90,'F-1 Off-Site WaterC'' Baseline'!$R$10:$R$257))</f>
        <v/>
      </c>
      <c r="AE90" s="1000" t="str">
        <f>IF(AB90="","",SUMIF('F-1 Off-Site WaterC'' Baseline'!$AH$10:$AH$257,'Off-site gain site summary'!$AB90,'F-1 Off-Site WaterC'' Baseline'!$Z$10:$Z$257))</f>
        <v/>
      </c>
      <c r="AF90" s="1000" t="str">
        <f>IF(AB90="","",SUMIF('F-1 Off-Site WaterC'' Baseline'!$AH$10:$AH$257,'Off-site gain site summary'!$AB90,'F-1 Off-Site WaterC'' Baseline'!$BA$10:$BA$257))</f>
        <v/>
      </c>
      <c r="AG90" s="1000" t="str">
        <f>IF(AB90="","",SUMIF('F-3 Off-Site WaterC Enhancement'!$AT$12:$AT$257,'Off-site gain site summary'!$AB90,'F-3 Off-Site WaterC Enhancement'!$AP$12:$AP$257))</f>
        <v/>
      </c>
      <c r="AH90" s="1000" t="str">
        <f>IF(AB90="","",SUMIF('F-3 Off-Site WaterC Enhancement'!$AT$12:$AT$257,'Off-site gain site summary'!$AB90,'F-3 Off-Site WaterC Enhancement'!$AO$12:$AO$257))</f>
        <v/>
      </c>
      <c r="AI90" s="1000" t="str">
        <f>IF(AB90="","",SUMIF('F-2 Off-Site WaterC'' Creation'!$AG$12:$AG$259,'Off-site gain site summary'!$AB90,'F-2 Off-Site WaterC'' Creation'!$AC$12:$AC$259))</f>
        <v/>
      </c>
      <c r="AJ90" s="1000" t="str">
        <f>IF(AB90="","",SUMIF('F-2 Off-Site WaterC'' Creation'!$AG$12:$AG$259,'Off-site gain site summary'!$AB90,'F-2 Off-Site WaterC'' Creation'!$AB$12:$AB$259))</f>
        <v/>
      </c>
      <c r="AK90" s="1000" t="str">
        <f t="shared" si="10"/>
        <v/>
      </c>
      <c r="AL90" s="1000" t="str">
        <f>IF(ISBLANK(AB90),"",IFERROR(_xlfn.XLOOKUP(AB90,'F-2 Off-Site WaterC'' Creation'!$AG$12:$AG$258,'F-2 Off-Site WaterC'' Creation'!$AA$12:$AA$258),IFERROR(_xlfn.XLOOKUP(AB90,'F-1 Off-Site WaterC'' Baseline'!$AH$10:$AH$257,'F-1 Off-Site WaterC'' Baseline'!$T$10:$T$257)," ")))</f>
        <v/>
      </c>
      <c r="AM90" s="986" t="str">
        <f t="shared" si="11"/>
        <v/>
      </c>
      <c r="AN90" s="1469"/>
      <c r="AO90" s="1469"/>
    </row>
    <row r="91" spans="1:41" s="992" customFormat="1" ht="43.5" customHeight="1">
      <c r="A91" s="988">
        <f>'D-1 Off-Site Habitat Baseline'!AF95</f>
        <v>0</v>
      </c>
      <c r="B91" s="996"/>
      <c r="C91" s="997" t="str">
        <f>IF(B91="","",SUMIF('D-1 Off-Site Habitat Baseline'!AF95:AF342,B91,'D-1 Off-Site Habitat Baseline'!T95:T342))</f>
        <v/>
      </c>
      <c r="D91" s="990" t="str">
        <f>IF(B91="","",SUMIF('D-1 Off-Site Habitat Baseline'!$AF$11:$AF$258,B91,'D-1 Off-Site Habitat Baseline'!$Q$11:$Q$258))</f>
        <v/>
      </c>
      <c r="E91" s="998" t="str">
        <f>IF(B91="","",SUMIF('D-1 Off-Site Habitat Baseline'!$AF$11:$AF$258,'Off-site gain site summary'!$B91,'D-1 Off-Site Habitat Baseline'!$X$11:$X$258))</f>
        <v/>
      </c>
      <c r="F91" s="999" t="str">
        <f>IF(B91="","",SUMIF('D-1 Off-Site Habitat Baseline'!$AF$11:$AF$258,'Off-site gain site summary'!$B91,'D-1 Off-Site Habitat Baseline'!$AY$11:$AY$258))</f>
        <v/>
      </c>
      <c r="G91" s="998" t="str">
        <f>IF(B91="","",SUMIF('D-3 Off-Site Habitat Enhancment'!$AU$12:$AU$258,'Off-site gain site summary'!B91,'D-3 Off-Site Habitat Enhancment'!$AQ$12:$AQ$258))</f>
        <v/>
      </c>
      <c r="H91" s="999" t="str">
        <f>IF(B91="","",SUMIF('D-3 Off-Site Habitat Enhancment'!$AU$12:$AU$258,'Off-site gain site summary'!B91,'D-3 Off-Site Habitat Enhancment'!$AP$12:$AP$258))</f>
        <v/>
      </c>
      <c r="I91" s="998" t="str">
        <f>IF(B91="","",SUMIF('D-2 Off-Site Habitat Creation'!$AF$11:$AF$256,'Off-site gain site summary'!B91,'D-2 Off-Site Habitat Creation'!$AB$11:$AB$256))</f>
        <v/>
      </c>
      <c r="J91" s="999" t="str">
        <f>IF(B91="","",SUMIF('D-2 Off-Site Habitat Creation'!$AF$11:$AF$256,'Off-site gain site summary'!B91,'D-2 Off-Site Habitat Creation'!$AA$11:$AA$256))</f>
        <v/>
      </c>
      <c r="K91" s="1000" t="str">
        <f t="shared" si="6"/>
        <v/>
      </c>
      <c r="L91" s="997" t="str">
        <f>IF(ISBLANK(B91),"",IFERROR(_xlfn.XLOOKUP(B91,'D-2 Off-Site Habitat Creation'!$AF$11:$AF$256,'D-2 Off-Site Habitat Creation'!$Z$11:$Z$256),IFERROR(_xlfn.XLOOKUP(B91,'D-1 Off-Site Habitat Baseline'!AF$11:AF$258,'D-1 Off-Site Habitat Baseline'!S$11:S$258)," ")))</f>
        <v/>
      </c>
      <c r="M91" s="983" t="str">
        <f t="shared" si="7"/>
        <v/>
      </c>
      <c r="N91" s="988">
        <f>'E-1 Off-Site Hedge Baseline'!AB94</f>
        <v>0</v>
      </c>
      <c r="O91" s="996"/>
      <c r="P91" s="1000" t="str">
        <f>IF(O91="","",SUMIF('E-1 Off-Site Hedge Baseline'!AB$10:AB$257,'Off-site gain site summary'!O91,'E-1 Off-Site Hedge Baseline'!Q$10:Q$257))</f>
        <v/>
      </c>
      <c r="Q91" s="1000" t="str">
        <f>IF(O91="","",SUMIF('E-1 Off-Site Hedge Baseline'!AB$10:AB$257,O91,'E-1 Off-Site Hedge Baseline'!N$10:N$257))</f>
        <v/>
      </c>
      <c r="R91" s="1000" t="str">
        <f>IF(O91="","",SUMIF('E-1 Off-Site Hedge Baseline'!$AB$10:$AB$257,'Off-site gain site summary'!$O91,'E-1 Off-Site Hedge Baseline'!$U$10:$U$257))</f>
        <v/>
      </c>
      <c r="S91" s="1000" t="str">
        <f>IF(O91="","",SUMIF('E-1 Off-Site Hedge Baseline'!$AB$10:$AB$257,'Off-site gain site summary'!$O91,'E-1 Off-Site Hedge Baseline'!$AY$10:$AY$257))</f>
        <v/>
      </c>
      <c r="T91" s="1000" t="str">
        <f>IF(O91="","",SUMIF('E-3 Off-Site Hedge Enhancement'!$AO$12:$AO$257,'Off-site gain site summary'!$O91,'E-3 Off-Site Hedge Enhancement'!$AK$12:$AK$257))</f>
        <v/>
      </c>
      <c r="U91" s="1000" t="str">
        <f>IF(O91="","",SUMIF('E-3 Off-Site Hedge Enhancement'!$AO$12:$AO$257,'Off-site gain site summary'!$O91,'E-3 Off-Site Hedge Enhancement'!$AJ$12:$AJ$257))</f>
        <v/>
      </c>
      <c r="V91" s="1000" t="str">
        <f>IF(O91="","",SUMIF('E-2 Off-Site Hedge Creation'!$AD$12:$AD$259,'Off-site gain site summary'!$O91,'E-2 Off-Site Hedge Creation'!$Z$12:$Z$259))</f>
        <v/>
      </c>
      <c r="W91" s="991" t="str">
        <f>IF(O91="","",SUMIF('E-2 Off-Site Hedge Creation'!$AD$12:$AD$259,'Off-site gain site summary'!$O91,'E-2 Off-Site Hedge Creation'!$Y$12:$Y$259))</f>
        <v/>
      </c>
      <c r="X91" s="991" t="str">
        <f t="shared" si="8"/>
        <v/>
      </c>
      <c r="Y91" s="991" t="str">
        <f>IF(ISBLANK(O91),"",IFERROR(_xlfn.XLOOKUP(O91,'E-2 Off-Site Hedge Creation'!$AD$12:$AD$259,'E-2 Off-Site Hedge Creation'!$N$12:$N$259),IFERROR(_xlfn.XLOOKUP(O91,'E-1 Off-Site Hedge Baseline'!$AB$10:$AB$257,'E-1 Off-Site Hedge Baseline'!$P$10:$P$257)," ")))</f>
        <v/>
      </c>
      <c r="Z91" s="986" t="str">
        <f t="shared" si="9"/>
        <v/>
      </c>
      <c r="AA91" s="992">
        <f>'F-1 Off-Site WaterC'' Baseline'!AH94</f>
        <v>0</v>
      </c>
      <c r="AB91" s="996"/>
      <c r="AC91" s="1000" t="str">
        <f>IF(AB91="","",SUMIF('F-1 Off-Site WaterC'' Baseline'!$AH$10:$AH$257,'Off-site gain site summary'!$AB91,'F-1 Off-Site WaterC'' Baseline'!$U$10:$U$257))</f>
        <v/>
      </c>
      <c r="AD91" s="1000" t="str">
        <f>IF(AB91="","",SUMIF('F-1 Off-Site WaterC'' Baseline'!$AH$10:$AH$257,'Off-site gain site summary'!$AB91,'F-1 Off-Site WaterC'' Baseline'!$R$10:$R$257))</f>
        <v/>
      </c>
      <c r="AE91" s="1000" t="str">
        <f>IF(AB91="","",SUMIF('F-1 Off-Site WaterC'' Baseline'!$AH$10:$AH$257,'Off-site gain site summary'!$AB91,'F-1 Off-Site WaterC'' Baseline'!$Z$10:$Z$257))</f>
        <v/>
      </c>
      <c r="AF91" s="1000" t="str">
        <f>IF(AB91="","",SUMIF('F-1 Off-Site WaterC'' Baseline'!$AH$10:$AH$257,'Off-site gain site summary'!$AB91,'F-1 Off-Site WaterC'' Baseline'!$BA$10:$BA$257))</f>
        <v/>
      </c>
      <c r="AG91" s="1000" t="str">
        <f>IF(AB91="","",SUMIF('F-3 Off-Site WaterC Enhancement'!$AT$12:$AT$257,'Off-site gain site summary'!$AB91,'F-3 Off-Site WaterC Enhancement'!$AP$12:$AP$257))</f>
        <v/>
      </c>
      <c r="AH91" s="1000" t="str">
        <f>IF(AB91="","",SUMIF('F-3 Off-Site WaterC Enhancement'!$AT$12:$AT$257,'Off-site gain site summary'!$AB91,'F-3 Off-Site WaterC Enhancement'!$AO$12:$AO$257))</f>
        <v/>
      </c>
      <c r="AI91" s="1000" t="str">
        <f>IF(AB91="","",SUMIF('F-2 Off-Site WaterC'' Creation'!$AG$12:$AG$259,'Off-site gain site summary'!$AB91,'F-2 Off-Site WaterC'' Creation'!$AC$12:$AC$259))</f>
        <v/>
      </c>
      <c r="AJ91" s="1000" t="str">
        <f>IF(AB91="","",SUMIF('F-2 Off-Site WaterC'' Creation'!$AG$12:$AG$259,'Off-site gain site summary'!$AB91,'F-2 Off-Site WaterC'' Creation'!$AB$12:$AB$259))</f>
        <v/>
      </c>
      <c r="AK91" s="1000" t="str">
        <f t="shared" si="10"/>
        <v/>
      </c>
      <c r="AL91" s="1000" t="str">
        <f>IF(ISBLANK(AB91),"",IFERROR(_xlfn.XLOOKUP(AB91,'F-2 Off-Site WaterC'' Creation'!$AG$12:$AG$258,'F-2 Off-Site WaterC'' Creation'!$AA$12:$AA$258),IFERROR(_xlfn.XLOOKUP(AB91,'F-1 Off-Site WaterC'' Baseline'!$AH$10:$AH$257,'F-1 Off-Site WaterC'' Baseline'!$T$10:$T$257)," ")))</f>
        <v/>
      </c>
      <c r="AM91" s="986" t="str">
        <f t="shared" si="11"/>
        <v/>
      </c>
      <c r="AN91" s="1469"/>
      <c r="AO91" s="1469"/>
    </row>
    <row r="92" spans="1:41" s="992" customFormat="1" ht="43.5" customHeight="1">
      <c r="A92" s="988">
        <f>'D-1 Off-Site Habitat Baseline'!AF96</f>
        <v>0</v>
      </c>
      <c r="B92" s="996"/>
      <c r="C92" s="997" t="str">
        <f>IF(B92="","",SUMIF('D-1 Off-Site Habitat Baseline'!AF96:AF343,B92,'D-1 Off-Site Habitat Baseline'!T96:T343))</f>
        <v/>
      </c>
      <c r="D92" s="990" t="str">
        <f>IF(B92="","",SUMIF('D-1 Off-Site Habitat Baseline'!$AF$11:$AF$258,B92,'D-1 Off-Site Habitat Baseline'!$Q$11:$Q$258))</f>
        <v/>
      </c>
      <c r="E92" s="998" t="str">
        <f>IF(B92="","",SUMIF('D-1 Off-Site Habitat Baseline'!$AF$11:$AF$258,'Off-site gain site summary'!$B92,'D-1 Off-Site Habitat Baseline'!$X$11:$X$258))</f>
        <v/>
      </c>
      <c r="F92" s="999" t="str">
        <f>IF(B92="","",SUMIF('D-1 Off-Site Habitat Baseline'!$AF$11:$AF$258,'Off-site gain site summary'!$B92,'D-1 Off-Site Habitat Baseline'!$AY$11:$AY$258))</f>
        <v/>
      </c>
      <c r="G92" s="998" t="str">
        <f>IF(B92="","",SUMIF('D-3 Off-Site Habitat Enhancment'!$AU$12:$AU$258,'Off-site gain site summary'!B92,'D-3 Off-Site Habitat Enhancment'!$AQ$12:$AQ$258))</f>
        <v/>
      </c>
      <c r="H92" s="999" t="str">
        <f>IF(B92="","",SUMIF('D-3 Off-Site Habitat Enhancment'!$AU$12:$AU$258,'Off-site gain site summary'!B92,'D-3 Off-Site Habitat Enhancment'!$AP$12:$AP$258))</f>
        <v/>
      </c>
      <c r="I92" s="998" t="str">
        <f>IF(B92="","",SUMIF('D-2 Off-Site Habitat Creation'!$AF$11:$AF$256,'Off-site gain site summary'!B92,'D-2 Off-Site Habitat Creation'!$AB$11:$AB$256))</f>
        <v/>
      </c>
      <c r="J92" s="999" t="str">
        <f>IF(B92="","",SUMIF('D-2 Off-Site Habitat Creation'!$AF$11:$AF$256,'Off-site gain site summary'!B92,'D-2 Off-Site Habitat Creation'!$AA$11:$AA$256))</f>
        <v/>
      </c>
      <c r="K92" s="1000" t="str">
        <f t="shared" si="6"/>
        <v/>
      </c>
      <c r="L92" s="997" t="str">
        <f>IF(ISBLANK(B92),"",IFERROR(_xlfn.XLOOKUP(B92,'D-2 Off-Site Habitat Creation'!$AF$11:$AF$256,'D-2 Off-Site Habitat Creation'!$Z$11:$Z$256),IFERROR(_xlfn.XLOOKUP(B92,'D-1 Off-Site Habitat Baseline'!AF$11:AF$258,'D-1 Off-Site Habitat Baseline'!S$11:S$258)," ")))</f>
        <v/>
      </c>
      <c r="M92" s="983" t="str">
        <f t="shared" si="7"/>
        <v/>
      </c>
      <c r="N92" s="988">
        <f>'E-1 Off-Site Hedge Baseline'!AB95</f>
        <v>0</v>
      </c>
      <c r="O92" s="996"/>
      <c r="P92" s="1000" t="str">
        <f>IF(O92="","",SUMIF('E-1 Off-Site Hedge Baseline'!AB$10:AB$257,'Off-site gain site summary'!O92,'E-1 Off-Site Hedge Baseline'!Q$10:Q$257))</f>
        <v/>
      </c>
      <c r="Q92" s="1000" t="str">
        <f>IF(O92="","",SUMIF('E-1 Off-Site Hedge Baseline'!AB$10:AB$257,O92,'E-1 Off-Site Hedge Baseline'!N$10:N$257))</f>
        <v/>
      </c>
      <c r="R92" s="1000" t="str">
        <f>IF(O92="","",SUMIF('E-1 Off-Site Hedge Baseline'!$AB$10:$AB$257,'Off-site gain site summary'!$O92,'E-1 Off-Site Hedge Baseline'!$U$10:$U$257))</f>
        <v/>
      </c>
      <c r="S92" s="1000" t="str">
        <f>IF(O92="","",SUMIF('E-1 Off-Site Hedge Baseline'!$AB$10:$AB$257,'Off-site gain site summary'!$O92,'E-1 Off-Site Hedge Baseline'!$AY$10:$AY$257))</f>
        <v/>
      </c>
      <c r="T92" s="1000" t="str">
        <f>IF(O92="","",SUMIF('E-3 Off-Site Hedge Enhancement'!$AO$12:$AO$257,'Off-site gain site summary'!$O92,'E-3 Off-Site Hedge Enhancement'!$AK$12:$AK$257))</f>
        <v/>
      </c>
      <c r="U92" s="1000" t="str">
        <f>IF(O92="","",SUMIF('E-3 Off-Site Hedge Enhancement'!$AO$12:$AO$257,'Off-site gain site summary'!$O92,'E-3 Off-Site Hedge Enhancement'!$AJ$12:$AJ$257))</f>
        <v/>
      </c>
      <c r="V92" s="1000" t="str">
        <f>IF(O92="","",SUMIF('E-2 Off-Site Hedge Creation'!$AD$12:$AD$259,'Off-site gain site summary'!$O92,'E-2 Off-Site Hedge Creation'!$Z$12:$Z$259))</f>
        <v/>
      </c>
      <c r="W92" s="991" t="str">
        <f>IF(O92="","",SUMIF('E-2 Off-Site Hedge Creation'!$AD$12:$AD$259,'Off-site gain site summary'!$O92,'E-2 Off-Site Hedge Creation'!$Y$12:$Y$259))</f>
        <v/>
      </c>
      <c r="X92" s="991" t="str">
        <f t="shared" si="8"/>
        <v/>
      </c>
      <c r="Y92" s="991" t="str">
        <f>IF(ISBLANK(O92),"",IFERROR(_xlfn.XLOOKUP(O92,'E-2 Off-Site Hedge Creation'!$AD$12:$AD$259,'E-2 Off-Site Hedge Creation'!$N$12:$N$259),IFERROR(_xlfn.XLOOKUP(O92,'E-1 Off-Site Hedge Baseline'!$AB$10:$AB$257,'E-1 Off-Site Hedge Baseline'!$P$10:$P$257)," ")))</f>
        <v/>
      </c>
      <c r="Z92" s="986" t="str">
        <f t="shared" si="9"/>
        <v/>
      </c>
      <c r="AA92" s="992">
        <f>'F-1 Off-Site WaterC'' Baseline'!AH95</f>
        <v>0</v>
      </c>
      <c r="AB92" s="996"/>
      <c r="AC92" s="1000" t="str">
        <f>IF(AB92="","",SUMIF('F-1 Off-Site WaterC'' Baseline'!$AH$10:$AH$257,'Off-site gain site summary'!$AB92,'F-1 Off-Site WaterC'' Baseline'!$U$10:$U$257))</f>
        <v/>
      </c>
      <c r="AD92" s="1000" t="str">
        <f>IF(AB92="","",SUMIF('F-1 Off-Site WaterC'' Baseline'!$AH$10:$AH$257,'Off-site gain site summary'!$AB92,'F-1 Off-Site WaterC'' Baseline'!$R$10:$R$257))</f>
        <v/>
      </c>
      <c r="AE92" s="1000" t="str">
        <f>IF(AB92="","",SUMIF('F-1 Off-Site WaterC'' Baseline'!$AH$10:$AH$257,'Off-site gain site summary'!$AB92,'F-1 Off-Site WaterC'' Baseline'!$Z$10:$Z$257))</f>
        <v/>
      </c>
      <c r="AF92" s="1000" t="str">
        <f>IF(AB92="","",SUMIF('F-1 Off-Site WaterC'' Baseline'!$AH$10:$AH$257,'Off-site gain site summary'!$AB92,'F-1 Off-Site WaterC'' Baseline'!$BA$10:$BA$257))</f>
        <v/>
      </c>
      <c r="AG92" s="1000" t="str">
        <f>IF(AB92="","",SUMIF('F-3 Off-Site WaterC Enhancement'!$AT$12:$AT$257,'Off-site gain site summary'!$AB92,'F-3 Off-Site WaterC Enhancement'!$AP$12:$AP$257))</f>
        <v/>
      </c>
      <c r="AH92" s="1000" t="str">
        <f>IF(AB92="","",SUMIF('F-3 Off-Site WaterC Enhancement'!$AT$12:$AT$257,'Off-site gain site summary'!$AB92,'F-3 Off-Site WaterC Enhancement'!$AO$12:$AO$257))</f>
        <v/>
      </c>
      <c r="AI92" s="1000" t="str">
        <f>IF(AB92="","",SUMIF('F-2 Off-Site WaterC'' Creation'!$AG$12:$AG$259,'Off-site gain site summary'!$AB92,'F-2 Off-Site WaterC'' Creation'!$AC$12:$AC$259))</f>
        <v/>
      </c>
      <c r="AJ92" s="1000" t="str">
        <f>IF(AB92="","",SUMIF('F-2 Off-Site WaterC'' Creation'!$AG$12:$AG$259,'Off-site gain site summary'!$AB92,'F-2 Off-Site WaterC'' Creation'!$AB$12:$AB$259))</f>
        <v/>
      </c>
      <c r="AK92" s="1000" t="str">
        <f t="shared" si="10"/>
        <v/>
      </c>
      <c r="AL92" s="1000" t="str">
        <f>IF(ISBLANK(AB92),"",IFERROR(_xlfn.XLOOKUP(AB92,'F-2 Off-Site WaterC'' Creation'!$AG$12:$AG$258,'F-2 Off-Site WaterC'' Creation'!$AA$12:$AA$258),IFERROR(_xlfn.XLOOKUP(AB92,'F-1 Off-Site WaterC'' Baseline'!$AH$10:$AH$257,'F-1 Off-Site WaterC'' Baseline'!$T$10:$T$257)," ")))</f>
        <v/>
      </c>
      <c r="AM92" s="986" t="str">
        <f t="shared" si="11"/>
        <v/>
      </c>
      <c r="AN92" s="1469"/>
      <c r="AO92" s="1469"/>
    </row>
    <row r="93" spans="1:41" s="992" customFormat="1" ht="43.5" customHeight="1">
      <c r="A93" s="988">
        <f>'D-1 Off-Site Habitat Baseline'!AF97</f>
        <v>0</v>
      </c>
      <c r="B93" s="996"/>
      <c r="C93" s="997" t="str">
        <f>IF(B93="","",SUMIF('D-1 Off-Site Habitat Baseline'!AF97:AF344,B93,'D-1 Off-Site Habitat Baseline'!T97:T344))</f>
        <v/>
      </c>
      <c r="D93" s="990" t="str">
        <f>IF(B93="","",SUMIF('D-1 Off-Site Habitat Baseline'!$AF$11:$AF$258,B93,'D-1 Off-Site Habitat Baseline'!$Q$11:$Q$258))</f>
        <v/>
      </c>
      <c r="E93" s="998" t="str">
        <f>IF(B93="","",SUMIF('D-1 Off-Site Habitat Baseline'!$AF$11:$AF$258,'Off-site gain site summary'!$B93,'D-1 Off-Site Habitat Baseline'!$X$11:$X$258))</f>
        <v/>
      </c>
      <c r="F93" s="999" t="str">
        <f>IF(B93="","",SUMIF('D-1 Off-Site Habitat Baseline'!$AF$11:$AF$258,'Off-site gain site summary'!$B93,'D-1 Off-Site Habitat Baseline'!$AY$11:$AY$258))</f>
        <v/>
      </c>
      <c r="G93" s="998" t="str">
        <f>IF(B93="","",SUMIF('D-3 Off-Site Habitat Enhancment'!$AU$12:$AU$258,'Off-site gain site summary'!B93,'D-3 Off-Site Habitat Enhancment'!$AQ$12:$AQ$258))</f>
        <v/>
      </c>
      <c r="H93" s="999" t="str">
        <f>IF(B93="","",SUMIF('D-3 Off-Site Habitat Enhancment'!$AU$12:$AU$258,'Off-site gain site summary'!B93,'D-3 Off-Site Habitat Enhancment'!$AP$12:$AP$258))</f>
        <v/>
      </c>
      <c r="I93" s="998" t="str">
        <f>IF(B93="","",SUMIF('D-2 Off-Site Habitat Creation'!$AF$11:$AF$256,'Off-site gain site summary'!B93,'D-2 Off-Site Habitat Creation'!$AB$11:$AB$256))</f>
        <v/>
      </c>
      <c r="J93" s="999" t="str">
        <f>IF(B93="","",SUMIF('D-2 Off-Site Habitat Creation'!$AF$11:$AF$256,'Off-site gain site summary'!B93,'D-2 Off-Site Habitat Creation'!$AA$11:$AA$256))</f>
        <v/>
      </c>
      <c r="K93" s="1000" t="str">
        <f t="shared" si="6"/>
        <v/>
      </c>
      <c r="L93" s="997" t="str">
        <f>IF(ISBLANK(B93),"",IFERROR(_xlfn.XLOOKUP(B93,'D-2 Off-Site Habitat Creation'!$AF$11:$AF$256,'D-2 Off-Site Habitat Creation'!$Z$11:$Z$256),IFERROR(_xlfn.XLOOKUP(B93,'D-1 Off-Site Habitat Baseline'!AF$11:AF$258,'D-1 Off-Site Habitat Baseline'!S$11:S$258)," ")))</f>
        <v/>
      </c>
      <c r="M93" s="983" t="str">
        <f t="shared" si="7"/>
        <v/>
      </c>
      <c r="N93" s="988">
        <f>'E-1 Off-Site Hedge Baseline'!AB96</f>
        <v>0</v>
      </c>
      <c r="O93" s="996"/>
      <c r="P93" s="1000" t="str">
        <f>IF(O93="","",SUMIF('E-1 Off-Site Hedge Baseline'!AB$10:AB$257,'Off-site gain site summary'!O93,'E-1 Off-Site Hedge Baseline'!Q$10:Q$257))</f>
        <v/>
      </c>
      <c r="Q93" s="1000" t="str">
        <f>IF(O93="","",SUMIF('E-1 Off-Site Hedge Baseline'!AB$10:AB$257,O93,'E-1 Off-Site Hedge Baseline'!N$10:N$257))</f>
        <v/>
      </c>
      <c r="R93" s="1000" t="str">
        <f>IF(O93="","",SUMIF('E-1 Off-Site Hedge Baseline'!$AB$10:$AB$257,'Off-site gain site summary'!$O93,'E-1 Off-Site Hedge Baseline'!$U$10:$U$257))</f>
        <v/>
      </c>
      <c r="S93" s="1000" t="str">
        <f>IF(O93="","",SUMIF('E-1 Off-Site Hedge Baseline'!$AB$10:$AB$257,'Off-site gain site summary'!$O93,'E-1 Off-Site Hedge Baseline'!$AY$10:$AY$257))</f>
        <v/>
      </c>
      <c r="T93" s="1000" t="str">
        <f>IF(O93="","",SUMIF('E-3 Off-Site Hedge Enhancement'!$AO$12:$AO$257,'Off-site gain site summary'!$O93,'E-3 Off-Site Hedge Enhancement'!$AK$12:$AK$257))</f>
        <v/>
      </c>
      <c r="U93" s="1000" t="str">
        <f>IF(O93="","",SUMIF('E-3 Off-Site Hedge Enhancement'!$AO$12:$AO$257,'Off-site gain site summary'!$O93,'E-3 Off-Site Hedge Enhancement'!$AJ$12:$AJ$257))</f>
        <v/>
      </c>
      <c r="V93" s="1000" t="str">
        <f>IF(O93="","",SUMIF('E-2 Off-Site Hedge Creation'!$AD$12:$AD$259,'Off-site gain site summary'!$O93,'E-2 Off-Site Hedge Creation'!$Z$12:$Z$259))</f>
        <v/>
      </c>
      <c r="W93" s="991" t="str">
        <f>IF(O93="","",SUMIF('E-2 Off-Site Hedge Creation'!$AD$12:$AD$259,'Off-site gain site summary'!$O93,'E-2 Off-Site Hedge Creation'!$Y$12:$Y$259))</f>
        <v/>
      </c>
      <c r="X93" s="991" t="str">
        <f t="shared" si="8"/>
        <v/>
      </c>
      <c r="Y93" s="991" t="str">
        <f>IF(ISBLANK(O93),"",IFERROR(_xlfn.XLOOKUP(O93,'E-2 Off-Site Hedge Creation'!$AD$12:$AD$259,'E-2 Off-Site Hedge Creation'!$N$12:$N$259),IFERROR(_xlfn.XLOOKUP(O93,'E-1 Off-Site Hedge Baseline'!$AB$10:$AB$257,'E-1 Off-Site Hedge Baseline'!$P$10:$P$257)," ")))</f>
        <v/>
      </c>
      <c r="Z93" s="986" t="str">
        <f t="shared" si="9"/>
        <v/>
      </c>
      <c r="AA93" s="992">
        <f>'F-1 Off-Site WaterC'' Baseline'!AH96</f>
        <v>0</v>
      </c>
      <c r="AB93" s="996"/>
      <c r="AC93" s="1000" t="str">
        <f>IF(AB93="","",SUMIF('F-1 Off-Site WaterC'' Baseline'!$AH$10:$AH$257,'Off-site gain site summary'!$AB93,'F-1 Off-Site WaterC'' Baseline'!$U$10:$U$257))</f>
        <v/>
      </c>
      <c r="AD93" s="1000" t="str">
        <f>IF(AB93="","",SUMIF('F-1 Off-Site WaterC'' Baseline'!$AH$10:$AH$257,'Off-site gain site summary'!$AB93,'F-1 Off-Site WaterC'' Baseline'!$R$10:$R$257))</f>
        <v/>
      </c>
      <c r="AE93" s="1000" t="str">
        <f>IF(AB93="","",SUMIF('F-1 Off-Site WaterC'' Baseline'!$AH$10:$AH$257,'Off-site gain site summary'!$AB93,'F-1 Off-Site WaterC'' Baseline'!$Z$10:$Z$257))</f>
        <v/>
      </c>
      <c r="AF93" s="1000" t="str">
        <f>IF(AB93="","",SUMIF('F-1 Off-Site WaterC'' Baseline'!$AH$10:$AH$257,'Off-site gain site summary'!$AB93,'F-1 Off-Site WaterC'' Baseline'!$BA$10:$BA$257))</f>
        <v/>
      </c>
      <c r="AG93" s="1000" t="str">
        <f>IF(AB93="","",SUMIF('F-3 Off-Site WaterC Enhancement'!$AT$12:$AT$257,'Off-site gain site summary'!$AB93,'F-3 Off-Site WaterC Enhancement'!$AP$12:$AP$257))</f>
        <v/>
      </c>
      <c r="AH93" s="1000" t="str">
        <f>IF(AB93="","",SUMIF('F-3 Off-Site WaterC Enhancement'!$AT$12:$AT$257,'Off-site gain site summary'!$AB93,'F-3 Off-Site WaterC Enhancement'!$AO$12:$AO$257))</f>
        <v/>
      </c>
      <c r="AI93" s="1000" t="str">
        <f>IF(AB93="","",SUMIF('F-2 Off-Site WaterC'' Creation'!$AG$12:$AG$259,'Off-site gain site summary'!$AB93,'F-2 Off-Site WaterC'' Creation'!$AC$12:$AC$259))</f>
        <v/>
      </c>
      <c r="AJ93" s="1000" t="str">
        <f>IF(AB93="","",SUMIF('F-2 Off-Site WaterC'' Creation'!$AG$12:$AG$259,'Off-site gain site summary'!$AB93,'F-2 Off-Site WaterC'' Creation'!$AB$12:$AB$259))</f>
        <v/>
      </c>
      <c r="AK93" s="1000" t="str">
        <f t="shared" si="10"/>
        <v/>
      </c>
      <c r="AL93" s="1000" t="str">
        <f>IF(ISBLANK(AB93),"",IFERROR(_xlfn.XLOOKUP(AB93,'F-2 Off-Site WaterC'' Creation'!$AG$12:$AG$258,'F-2 Off-Site WaterC'' Creation'!$AA$12:$AA$258),IFERROR(_xlfn.XLOOKUP(AB93,'F-1 Off-Site WaterC'' Baseline'!$AH$10:$AH$257,'F-1 Off-Site WaterC'' Baseline'!$T$10:$T$257)," ")))</f>
        <v/>
      </c>
      <c r="AM93" s="986" t="str">
        <f t="shared" si="11"/>
        <v/>
      </c>
      <c r="AN93" s="1469"/>
      <c r="AO93" s="1469"/>
    </row>
    <row r="94" spans="1:41" s="992" customFormat="1" ht="43.5" customHeight="1">
      <c r="A94" s="988">
        <f>'D-1 Off-Site Habitat Baseline'!AF98</f>
        <v>0</v>
      </c>
      <c r="B94" s="996"/>
      <c r="C94" s="997" t="str">
        <f>IF(B94="","",SUMIF('D-1 Off-Site Habitat Baseline'!AF98:AF345,B94,'D-1 Off-Site Habitat Baseline'!T98:T345))</f>
        <v/>
      </c>
      <c r="D94" s="990" t="str">
        <f>IF(B94="","",SUMIF('D-1 Off-Site Habitat Baseline'!$AF$11:$AF$258,B94,'D-1 Off-Site Habitat Baseline'!$Q$11:$Q$258))</f>
        <v/>
      </c>
      <c r="E94" s="998" t="str">
        <f>IF(B94="","",SUMIF('D-1 Off-Site Habitat Baseline'!$AF$11:$AF$258,'Off-site gain site summary'!$B94,'D-1 Off-Site Habitat Baseline'!$X$11:$X$258))</f>
        <v/>
      </c>
      <c r="F94" s="999" t="str">
        <f>IF(B94="","",SUMIF('D-1 Off-Site Habitat Baseline'!$AF$11:$AF$258,'Off-site gain site summary'!$B94,'D-1 Off-Site Habitat Baseline'!$AY$11:$AY$258))</f>
        <v/>
      </c>
      <c r="G94" s="998" t="str">
        <f>IF(B94="","",SUMIF('D-3 Off-Site Habitat Enhancment'!$AU$12:$AU$258,'Off-site gain site summary'!B94,'D-3 Off-Site Habitat Enhancment'!$AQ$12:$AQ$258))</f>
        <v/>
      </c>
      <c r="H94" s="999" t="str">
        <f>IF(B94="","",SUMIF('D-3 Off-Site Habitat Enhancment'!$AU$12:$AU$258,'Off-site gain site summary'!B94,'D-3 Off-Site Habitat Enhancment'!$AP$12:$AP$258))</f>
        <v/>
      </c>
      <c r="I94" s="998" t="str">
        <f>IF(B94="","",SUMIF('D-2 Off-Site Habitat Creation'!$AF$11:$AF$256,'Off-site gain site summary'!B94,'D-2 Off-Site Habitat Creation'!$AB$11:$AB$256))</f>
        <v/>
      </c>
      <c r="J94" s="999" t="str">
        <f>IF(B94="","",SUMIF('D-2 Off-Site Habitat Creation'!$AF$11:$AF$256,'Off-site gain site summary'!B94,'D-2 Off-Site Habitat Creation'!$AA$11:$AA$256))</f>
        <v/>
      </c>
      <c r="K94" s="1000" t="str">
        <f t="shared" si="6"/>
        <v/>
      </c>
      <c r="L94" s="997" t="str">
        <f>IF(ISBLANK(B94),"",IFERROR(_xlfn.XLOOKUP(B94,'D-2 Off-Site Habitat Creation'!$AF$11:$AF$256,'D-2 Off-Site Habitat Creation'!$Z$11:$Z$256),IFERROR(_xlfn.XLOOKUP(B94,'D-1 Off-Site Habitat Baseline'!AF$11:AF$258,'D-1 Off-Site Habitat Baseline'!S$11:S$258)," ")))</f>
        <v/>
      </c>
      <c r="M94" s="983" t="str">
        <f t="shared" si="7"/>
        <v/>
      </c>
      <c r="N94" s="988">
        <f>'E-1 Off-Site Hedge Baseline'!AB97</f>
        <v>0</v>
      </c>
      <c r="O94" s="996"/>
      <c r="P94" s="1000" t="str">
        <f>IF(O94="","",SUMIF('E-1 Off-Site Hedge Baseline'!AB$10:AB$257,'Off-site gain site summary'!O94,'E-1 Off-Site Hedge Baseline'!Q$10:Q$257))</f>
        <v/>
      </c>
      <c r="Q94" s="1000" t="str">
        <f>IF(O94="","",SUMIF('E-1 Off-Site Hedge Baseline'!AB$10:AB$257,O94,'E-1 Off-Site Hedge Baseline'!N$10:N$257))</f>
        <v/>
      </c>
      <c r="R94" s="1000" t="str">
        <f>IF(O94="","",SUMIF('E-1 Off-Site Hedge Baseline'!$AB$10:$AB$257,'Off-site gain site summary'!$O94,'E-1 Off-Site Hedge Baseline'!$U$10:$U$257))</f>
        <v/>
      </c>
      <c r="S94" s="1000" t="str">
        <f>IF(O94="","",SUMIF('E-1 Off-Site Hedge Baseline'!$AB$10:$AB$257,'Off-site gain site summary'!$O94,'E-1 Off-Site Hedge Baseline'!$AY$10:$AY$257))</f>
        <v/>
      </c>
      <c r="T94" s="1000" t="str">
        <f>IF(O94="","",SUMIF('E-3 Off-Site Hedge Enhancement'!$AO$12:$AO$257,'Off-site gain site summary'!$O94,'E-3 Off-Site Hedge Enhancement'!$AK$12:$AK$257))</f>
        <v/>
      </c>
      <c r="U94" s="1000" t="str">
        <f>IF(O94="","",SUMIF('E-3 Off-Site Hedge Enhancement'!$AO$12:$AO$257,'Off-site gain site summary'!$O94,'E-3 Off-Site Hedge Enhancement'!$AJ$12:$AJ$257))</f>
        <v/>
      </c>
      <c r="V94" s="1000" t="str">
        <f>IF(O94="","",SUMIF('E-2 Off-Site Hedge Creation'!$AD$12:$AD$259,'Off-site gain site summary'!$O94,'E-2 Off-Site Hedge Creation'!$Z$12:$Z$259))</f>
        <v/>
      </c>
      <c r="W94" s="991" t="str">
        <f>IF(O94="","",SUMIF('E-2 Off-Site Hedge Creation'!$AD$12:$AD$259,'Off-site gain site summary'!$O94,'E-2 Off-Site Hedge Creation'!$Y$12:$Y$259))</f>
        <v/>
      </c>
      <c r="X94" s="991" t="str">
        <f t="shared" si="8"/>
        <v/>
      </c>
      <c r="Y94" s="991" t="str">
        <f>IF(ISBLANK(O94),"",IFERROR(_xlfn.XLOOKUP(O94,'E-2 Off-Site Hedge Creation'!$AD$12:$AD$259,'E-2 Off-Site Hedge Creation'!$N$12:$N$259),IFERROR(_xlfn.XLOOKUP(O94,'E-1 Off-Site Hedge Baseline'!$AB$10:$AB$257,'E-1 Off-Site Hedge Baseline'!$P$10:$P$257)," ")))</f>
        <v/>
      </c>
      <c r="Z94" s="986" t="str">
        <f t="shared" si="9"/>
        <v/>
      </c>
      <c r="AA94" s="992">
        <f>'F-1 Off-Site WaterC'' Baseline'!AH97</f>
        <v>0</v>
      </c>
      <c r="AB94" s="996"/>
      <c r="AC94" s="1000" t="str">
        <f>IF(AB94="","",SUMIF('F-1 Off-Site WaterC'' Baseline'!$AH$10:$AH$257,'Off-site gain site summary'!$AB94,'F-1 Off-Site WaterC'' Baseline'!$U$10:$U$257))</f>
        <v/>
      </c>
      <c r="AD94" s="1000" t="str">
        <f>IF(AB94="","",SUMIF('F-1 Off-Site WaterC'' Baseline'!$AH$10:$AH$257,'Off-site gain site summary'!$AB94,'F-1 Off-Site WaterC'' Baseline'!$R$10:$R$257))</f>
        <v/>
      </c>
      <c r="AE94" s="1000" t="str">
        <f>IF(AB94="","",SUMIF('F-1 Off-Site WaterC'' Baseline'!$AH$10:$AH$257,'Off-site gain site summary'!$AB94,'F-1 Off-Site WaterC'' Baseline'!$Z$10:$Z$257))</f>
        <v/>
      </c>
      <c r="AF94" s="1000" t="str">
        <f>IF(AB94="","",SUMIF('F-1 Off-Site WaterC'' Baseline'!$AH$10:$AH$257,'Off-site gain site summary'!$AB94,'F-1 Off-Site WaterC'' Baseline'!$BA$10:$BA$257))</f>
        <v/>
      </c>
      <c r="AG94" s="1000" t="str">
        <f>IF(AB94="","",SUMIF('F-3 Off-Site WaterC Enhancement'!$AT$12:$AT$257,'Off-site gain site summary'!$AB94,'F-3 Off-Site WaterC Enhancement'!$AP$12:$AP$257))</f>
        <v/>
      </c>
      <c r="AH94" s="1000" t="str">
        <f>IF(AB94="","",SUMIF('F-3 Off-Site WaterC Enhancement'!$AT$12:$AT$257,'Off-site gain site summary'!$AB94,'F-3 Off-Site WaterC Enhancement'!$AO$12:$AO$257))</f>
        <v/>
      </c>
      <c r="AI94" s="1000" t="str">
        <f>IF(AB94="","",SUMIF('F-2 Off-Site WaterC'' Creation'!$AG$12:$AG$259,'Off-site gain site summary'!$AB94,'F-2 Off-Site WaterC'' Creation'!$AC$12:$AC$259))</f>
        <v/>
      </c>
      <c r="AJ94" s="1000" t="str">
        <f>IF(AB94="","",SUMIF('F-2 Off-Site WaterC'' Creation'!$AG$12:$AG$259,'Off-site gain site summary'!$AB94,'F-2 Off-Site WaterC'' Creation'!$AB$12:$AB$259))</f>
        <v/>
      </c>
      <c r="AK94" s="1000" t="str">
        <f t="shared" si="10"/>
        <v/>
      </c>
      <c r="AL94" s="1000" t="str">
        <f>IF(ISBLANK(AB94),"",IFERROR(_xlfn.XLOOKUP(AB94,'F-2 Off-Site WaterC'' Creation'!$AG$12:$AG$258,'F-2 Off-Site WaterC'' Creation'!$AA$12:$AA$258),IFERROR(_xlfn.XLOOKUP(AB94,'F-1 Off-Site WaterC'' Baseline'!$AH$10:$AH$257,'F-1 Off-Site WaterC'' Baseline'!$T$10:$T$257)," ")))</f>
        <v/>
      </c>
      <c r="AM94" s="986" t="str">
        <f t="shared" si="11"/>
        <v/>
      </c>
      <c r="AN94" s="1469"/>
      <c r="AO94" s="1469"/>
    </row>
    <row r="95" spans="1:41" s="992" customFormat="1" ht="43.5" customHeight="1">
      <c r="A95" s="988">
        <f>'D-1 Off-Site Habitat Baseline'!AF99</f>
        <v>0</v>
      </c>
      <c r="B95" s="996"/>
      <c r="C95" s="997" t="str">
        <f>IF(B95="","",SUMIF('D-1 Off-Site Habitat Baseline'!AF99:AF346,B95,'D-1 Off-Site Habitat Baseline'!T99:T346))</f>
        <v/>
      </c>
      <c r="D95" s="990" t="str">
        <f>IF(B95="","",SUMIF('D-1 Off-Site Habitat Baseline'!$AF$11:$AF$258,B95,'D-1 Off-Site Habitat Baseline'!$Q$11:$Q$258))</f>
        <v/>
      </c>
      <c r="E95" s="998" t="str">
        <f>IF(B95="","",SUMIF('D-1 Off-Site Habitat Baseline'!$AF$11:$AF$258,'Off-site gain site summary'!$B95,'D-1 Off-Site Habitat Baseline'!$X$11:$X$258))</f>
        <v/>
      </c>
      <c r="F95" s="999" t="str">
        <f>IF(B95="","",SUMIF('D-1 Off-Site Habitat Baseline'!$AF$11:$AF$258,'Off-site gain site summary'!$B95,'D-1 Off-Site Habitat Baseline'!$AY$11:$AY$258))</f>
        <v/>
      </c>
      <c r="G95" s="998" t="str">
        <f>IF(B95="","",SUMIF('D-3 Off-Site Habitat Enhancment'!$AU$12:$AU$258,'Off-site gain site summary'!B95,'D-3 Off-Site Habitat Enhancment'!$AQ$12:$AQ$258))</f>
        <v/>
      </c>
      <c r="H95" s="999" t="str">
        <f>IF(B95="","",SUMIF('D-3 Off-Site Habitat Enhancment'!$AU$12:$AU$258,'Off-site gain site summary'!B95,'D-3 Off-Site Habitat Enhancment'!$AP$12:$AP$258))</f>
        <v/>
      </c>
      <c r="I95" s="998" t="str">
        <f>IF(B95="","",SUMIF('D-2 Off-Site Habitat Creation'!$AF$11:$AF$256,'Off-site gain site summary'!B95,'D-2 Off-Site Habitat Creation'!$AB$11:$AB$256))</f>
        <v/>
      </c>
      <c r="J95" s="999" t="str">
        <f>IF(B95="","",SUMIF('D-2 Off-Site Habitat Creation'!$AF$11:$AF$256,'Off-site gain site summary'!B95,'D-2 Off-Site Habitat Creation'!$AA$11:$AA$256))</f>
        <v/>
      </c>
      <c r="K95" s="1000" t="str">
        <f t="shared" si="6"/>
        <v/>
      </c>
      <c r="L95" s="997" t="str">
        <f>IF(ISBLANK(B95),"",IFERROR(_xlfn.XLOOKUP(B95,'D-2 Off-Site Habitat Creation'!$AF$11:$AF$256,'D-2 Off-Site Habitat Creation'!$Z$11:$Z$256),IFERROR(_xlfn.XLOOKUP(B95,'D-1 Off-Site Habitat Baseline'!AF$11:AF$258,'D-1 Off-Site Habitat Baseline'!S$11:S$258)," ")))</f>
        <v/>
      </c>
      <c r="M95" s="983" t="str">
        <f t="shared" si="7"/>
        <v/>
      </c>
      <c r="N95" s="988">
        <f>'E-1 Off-Site Hedge Baseline'!AB98</f>
        <v>0</v>
      </c>
      <c r="O95" s="996"/>
      <c r="P95" s="1000" t="str">
        <f>IF(O95="","",SUMIF('E-1 Off-Site Hedge Baseline'!AB$10:AB$257,'Off-site gain site summary'!O95,'E-1 Off-Site Hedge Baseline'!Q$10:Q$257))</f>
        <v/>
      </c>
      <c r="Q95" s="1000" t="str">
        <f>IF(O95="","",SUMIF('E-1 Off-Site Hedge Baseline'!AB$10:AB$257,O95,'E-1 Off-Site Hedge Baseline'!N$10:N$257))</f>
        <v/>
      </c>
      <c r="R95" s="1000" t="str">
        <f>IF(O95="","",SUMIF('E-1 Off-Site Hedge Baseline'!$AB$10:$AB$257,'Off-site gain site summary'!$O95,'E-1 Off-Site Hedge Baseline'!$U$10:$U$257))</f>
        <v/>
      </c>
      <c r="S95" s="1000" t="str">
        <f>IF(O95="","",SUMIF('E-1 Off-Site Hedge Baseline'!$AB$10:$AB$257,'Off-site gain site summary'!$O95,'E-1 Off-Site Hedge Baseline'!$AY$10:$AY$257))</f>
        <v/>
      </c>
      <c r="T95" s="1000" t="str">
        <f>IF(O95="","",SUMIF('E-3 Off-Site Hedge Enhancement'!$AO$12:$AO$257,'Off-site gain site summary'!$O95,'E-3 Off-Site Hedge Enhancement'!$AK$12:$AK$257))</f>
        <v/>
      </c>
      <c r="U95" s="1000" t="str">
        <f>IF(O95="","",SUMIF('E-3 Off-Site Hedge Enhancement'!$AO$12:$AO$257,'Off-site gain site summary'!$O95,'E-3 Off-Site Hedge Enhancement'!$AJ$12:$AJ$257))</f>
        <v/>
      </c>
      <c r="V95" s="1000" t="str">
        <f>IF(O95="","",SUMIF('E-2 Off-Site Hedge Creation'!$AD$12:$AD$259,'Off-site gain site summary'!$O95,'E-2 Off-Site Hedge Creation'!$Z$12:$Z$259))</f>
        <v/>
      </c>
      <c r="W95" s="991" t="str">
        <f>IF(O95="","",SUMIF('E-2 Off-Site Hedge Creation'!$AD$12:$AD$259,'Off-site gain site summary'!$O95,'E-2 Off-Site Hedge Creation'!$Y$12:$Y$259))</f>
        <v/>
      </c>
      <c r="X95" s="991" t="str">
        <f t="shared" si="8"/>
        <v/>
      </c>
      <c r="Y95" s="991" t="str">
        <f>IF(ISBLANK(O95),"",IFERROR(_xlfn.XLOOKUP(O95,'E-2 Off-Site Hedge Creation'!$AD$12:$AD$259,'E-2 Off-Site Hedge Creation'!$N$12:$N$259),IFERROR(_xlfn.XLOOKUP(O95,'E-1 Off-Site Hedge Baseline'!$AB$10:$AB$257,'E-1 Off-Site Hedge Baseline'!$P$10:$P$257)," ")))</f>
        <v/>
      </c>
      <c r="Z95" s="986" t="str">
        <f t="shared" si="9"/>
        <v/>
      </c>
      <c r="AA95" s="992">
        <f>'F-1 Off-Site WaterC'' Baseline'!AH98</f>
        <v>0</v>
      </c>
      <c r="AB95" s="996"/>
      <c r="AC95" s="1000" t="str">
        <f>IF(AB95="","",SUMIF('F-1 Off-Site WaterC'' Baseline'!$AH$10:$AH$257,'Off-site gain site summary'!$AB95,'F-1 Off-Site WaterC'' Baseline'!$U$10:$U$257))</f>
        <v/>
      </c>
      <c r="AD95" s="1000" t="str">
        <f>IF(AB95="","",SUMIF('F-1 Off-Site WaterC'' Baseline'!$AH$10:$AH$257,'Off-site gain site summary'!$AB95,'F-1 Off-Site WaterC'' Baseline'!$R$10:$R$257))</f>
        <v/>
      </c>
      <c r="AE95" s="1000" t="str">
        <f>IF(AB95="","",SUMIF('F-1 Off-Site WaterC'' Baseline'!$AH$10:$AH$257,'Off-site gain site summary'!$AB95,'F-1 Off-Site WaterC'' Baseline'!$Z$10:$Z$257))</f>
        <v/>
      </c>
      <c r="AF95" s="1000" t="str">
        <f>IF(AB95="","",SUMIF('F-1 Off-Site WaterC'' Baseline'!$AH$10:$AH$257,'Off-site gain site summary'!$AB95,'F-1 Off-Site WaterC'' Baseline'!$BA$10:$BA$257))</f>
        <v/>
      </c>
      <c r="AG95" s="1000" t="str">
        <f>IF(AB95="","",SUMIF('F-3 Off-Site WaterC Enhancement'!$AT$12:$AT$257,'Off-site gain site summary'!$AB95,'F-3 Off-Site WaterC Enhancement'!$AP$12:$AP$257))</f>
        <v/>
      </c>
      <c r="AH95" s="1000" t="str">
        <f>IF(AB95="","",SUMIF('F-3 Off-Site WaterC Enhancement'!$AT$12:$AT$257,'Off-site gain site summary'!$AB95,'F-3 Off-Site WaterC Enhancement'!$AO$12:$AO$257))</f>
        <v/>
      </c>
      <c r="AI95" s="1000" t="str">
        <f>IF(AB95="","",SUMIF('F-2 Off-Site WaterC'' Creation'!$AG$12:$AG$259,'Off-site gain site summary'!$AB95,'F-2 Off-Site WaterC'' Creation'!$AC$12:$AC$259))</f>
        <v/>
      </c>
      <c r="AJ95" s="1000" t="str">
        <f>IF(AB95="","",SUMIF('F-2 Off-Site WaterC'' Creation'!$AG$12:$AG$259,'Off-site gain site summary'!$AB95,'F-2 Off-Site WaterC'' Creation'!$AB$12:$AB$259))</f>
        <v/>
      </c>
      <c r="AK95" s="1000" t="str">
        <f t="shared" si="10"/>
        <v/>
      </c>
      <c r="AL95" s="1000" t="str">
        <f>IF(ISBLANK(AB95),"",IFERROR(_xlfn.XLOOKUP(AB95,'F-2 Off-Site WaterC'' Creation'!$AG$12:$AG$258,'F-2 Off-Site WaterC'' Creation'!$AA$12:$AA$258),IFERROR(_xlfn.XLOOKUP(AB95,'F-1 Off-Site WaterC'' Baseline'!$AH$10:$AH$257,'F-1 Off-Site WaterC'' Baseline'!$T$10:$T$257)," ")))</f>
        <v/>
      </c>
      <c r="AM95" s="986" t="str">
        <f t="shared" si="11"/>
        <v/>
      </c>
      <c r="AN95" s="1469"/>
      <c r="AO95" s="1469"/>
    </row>
    <row r="96" spans="1:41" s="992" customFormat="1" ht="43.5" customHeight="1">
      <c r="A96" s="988">
        <f>'D-1 Off-Site Habitat Baseline'!AF100</f>
        <v>0</v>
      </c>
      <c r="B96" s="996"/>
      <c r="C96" s="997" t="str">
        <f>IF(B96="","",SUMIF('D-1 Off-Site Habitat Baseline'!AF100:AF347,B96,'D-1 Off-Site Habitat Baseline'!T100:T347))</f>
        <v/>
      </c>
      <c r="D96" s="990" t="str">
        <f>IF(B96="","",SUMIF('D-1 Off-Site Habitat Baseline'!$AF$11:$AF$258,B96,'D-1 Off-Site Habitat Baseline'!$Q$11:$Q$258))</f>
        <v/>
      </c>
      <c r="E96" s="998" t="str">
        <f>IF(B96="","",SUMIF('D-1 Off-Site Habitat Baseline'!$AF$11:$AF$258,'Off-site gain site summary'!$B96,'D-1 Off-Site Habitat Baseline'!$X$11:$X$258))</f>
        <v/>
      </c>
      <c r="F96" s="999" t="str">
        <f>IF(B96="","",SUMIF('D-1 Off-Site Habitat Baseline'!$AF$11:$AF$258,'Off-site gain site summary'!$B96,'D-1 Off-Site Habitat Baseline'!$AY$11:$AY$258))</f>
        <v/>
      </c>
      <c r="G96" s="998" t="str">
        <f>IF(B96="","",SUMIF('D-3 Off-Site Habitat Enhancment'!$AU$12:$AU$258,'Off-site gain site summary'!B96,'D-3 Off-Site Habitat Enhancment'!$AQ$12:$AQ$258))</f>
        <v/>
      </c>
      <c r="H96" s="999" t="str">
        <f>IF(B96="","",SUMIF('D-3 Off-Site Habitat Enhancment'!$AU$12:$AU$258,'Off-site gain site summary'!B96,'D-3 Off-Site Habitat Enhancment'!$AP$12:$AP$258))</f>
        <v/>
      </c>
      <c r="I96" s="998" t="str">
        <f>IF(B96="","",SUMIF('D-2 Off-Site Habitat Creation'!$AF$11:$AF$256,'Off-site gain site summary'!B96,'D-2 Off-Site Habitat Creation'!$AB$11:$AB$256))</f>
        <v/>
      </c>
      <c r="J96" s="999" t="str">
        <f>IF(B96="","",SUMIF('D-2 Off-Site Habitat Creation'!$AF$11:$AF$256,'Off-site gain site summary'!B96,'D-2 Off-Site Habitat Creation'!$AA$11:$AA$256))</f>
        <v/>
      </c>
      <c r="K96" s="1000" t="str">
        <f t="shared" si="6"/>
        <v/>
      </c>
      <c r="L96" s="997" t="str">
        <f>IF(ISBLANK(B96),"",IFERROR(_xlfn.XLOOKUP(B96,'D-2 Off-Site Habitat Creation'!$AF$11:$AF$256,'D-2 Off-Site Habitat Creation'!$Z$11:$Z$256),IFERROR(_xlfn.XLOOKUP(B96,'D-1 Off-Site Habitat Baseline'!AF$11:AF$258,'D-1 Off-Site Habitat Baseline'!S$11:S$258)," ")))</f>
        <v/>
      </c>
      <c r="M96" s="983" t="str">
        <f t="shared" si="7"/>
        <v/>
      </c>
      <c r="N96" s="988">
        <f>'E-1 Off-Site Hedge Baseline'!AB99</f>
        <v>0</v>
      </c>
      <c r="O96" s="996"/>
      <c r="P96" s="1000" t="str">
        <f>IF(O96="","",SUMIF('E-1 Off-Site Hedge Baseline'!AB$10:AB$257,'Off-site gain site summary'!O96,'E-1 Off-Site Hedge Baseline'!Q$10:Q$257))</f>
        <v/>
      </c>
      <c r="Q96" s="1000" t="str">
        <f>IF(O96="","",SUMIF('E-1 Off-Site Hedge Baseline'!AB$10:AB$257,O96,'E-1 Off-Site Hedge Baseline'!N$10:N$257))</f>
        <v/>
      </c>
      <c r="R96" s="1000" t="str">
        <f>IF(O96="","",SUMIF('E-1 Off-Site Hedge Baseline'!$AB$10:$AB$257,'Off-site gain site summary'!$O96,'E-1 Off-Site Hedge Baseline'!$U$10:$U$257))</f>
        <v/>
      </c>
      <c r="S96" s="1000" t="str">
        <f>IF(O96="","",SUMIF('E-1 Off-Site Hedge Baseline'!$AB$10:$AB$257,'Off-site gain site summary'!$O96,'E-1 Off-Site Hedge Baseline'!$AY$10:$AY$257))</f>
        <v/>
      </c>
      <c r="T96" s="1000" t="str">
        <f>IF(O96="","",SUMIF('E-3 Off-Site Hedge Enhancement'!$AO$12:$AO$257,'Off-site gain site summary'!$O96,'E-3 Off-Site Hedge Enhancement'!$AK$12:$AK$257))</f>
        <v/>
      </c>
      <c r="U96" s="1000" t="str">
        <f>IF(O96="","",SUMIF('E-3 Off-Site Hedge Enhancement'!$AO$12:$AO$257,'Off-site gain site summary'!$O96,'E-3 Off-Site Hedge Enhancement'!$AJ$12:$AJ$257))</f>
        <v/>
      </c>
      <c r="V96" s="1000" t="str">
        <f>IF(O96="","",SUMIF('E-2 Off-Site Hedge Creation'!$AD$12:$AD$259,'Off-site gain site summary'!$O96,'E-2 Off-Site Hedge Creation'!$Z$12:$Z$259))</f>
        <v/>
      </c>
      <c r="W96" s="991" t="str">
        <f>IF(O96="","",SUMIF('E-2 Off-Site Hedge Creation'!$AD$12:$AD$259,'Off-site gain site summary'!$O96,'E-2 Off-Site Hedge Creation'!$Y$12:$Y$259))</f>
        <v/>
      </c>
      <c r="X96" s="991" t="str">
        <f t="shared" si="8"/>
        <v/>
      </c>
      <c r="Y96" s="991" t="str">
        <f>IF(ISBLANK(O96),"",IFERROR(_xlfn.XLOOKUP(O96,'E-2 Off-Site Hedge Creation'!$AD$12:$AD$259,'E-2 Off-Site Hedge Creation'!$N$12:$N$259),IFERROR(_xlfn.XLOOKUP(O96,'E-1 Off-Site Hedge Baseline'!$AB$10:$AB$257,'E-1 Off-Site Hedge Baseline'!$P$10:$P$257)," ")))</f>
        <v/>
      </c>
      <c r="Z96" s="986" t="str">
        <f t="shared" si="9"/>
        <v/>
      </c>
      <c r="AA96" s="992">
        <f>'F-1 Off-Site WaterC'' Baseline'!AH99</f>
        <v>0</v>
      </c>
      <c r="AB96" s="996"/>
      <c r="AC96" s="1000" t="str">
        <f>IF(AB96="","",SUMIF('F-1 Off-Site WaterC'' Baseline'!$AH$10:$AH$257,'Off-site gain site summary'!$AB96,'F-1 Off-Site WaterC'' Baseline'!$U$10:$U$257))</f>
        <v/>
      </c>
      <c r="AD96" s="1000" t="str">
        <f>IF(AB96="","",SUMIF('F-1 Off-Site WaterC'' Baseline'!$AH$10:$AH$257,'Off-site gain site summary'!$AB96,'F-1 Off-Site WaterC'' Baseline'!$R$10:$R$257))</f>
        <v/>
      </c>
      <c r="AE96" s="1000" t="str">
        <f>IF(AB96="","",SUMIF('F-1 Off-Site WaterC'' Baseline'!$AH$10:$AH$257,'Off-site gain site summary'!$AB96,'F-1 Off-Site WaterC'' Baseline'!$Z$10:$Z$257))</f>
        <v/>
      </c>
      <c r="AF96" s="1000" t="str">
        <f>IF(AB96="","",SUMIF('F-1 Off-Site WaterC'' Baseline'!$AH$10:$AH$257,'Off-site gain site summary'!$AB96,'F-1 Off-Site WaterC'' Baseline'!$BA$10:$BA$257))</f>
        <v/>
      </c>
      <c r="AG96" s="1000" t="str">
        <f>IF(AB96="","",SUMIF('F-3 Off-Site WaterC Enhancement'!$AT$12:$AT$257,'Off-site gain site summary'!$AB96,'F-3 Off-Site WaterC Enhancement'!$AP$12:$AP$257))</f>
        <v/>
      </c>
      <c r="AH96" s="1000" t="str">
        <f>IF(AB96="","",SUMIF('F-3 Off-Site WaterC Enhancement'!$AT$12:$AT$257,'Off-site gain site summary'!$AB96,'F-3 Off-Site WaterC Enhancement'!$AO$12:$AO$257))</f>
        <v/>
      </c>
      <c r="AI96" s="1000" t="str">
        <f>IF(AB96="","",SUMIF('F-2 Off-Site WaterC'' Creation'!$AG$12:$AG$259,'Off-site gain site summary'!$AB96,'F-2 Off-Site WaterC'' Creation'!$AC$12:$AC$259))</f>
        <v/>
      </c>
      <c r="AJ96" s="1000" t="str">
        <f>IF(AB96="","",SUMIF('F-2 Off-Site WaterC'' Creation'!$AG$12:$AG$259,'Off-site gain site summary'!$AB96,'F-2 Off-Site WaterC'' Creation'!$AB$12:$AB$259))</f>
        <v/>
      </c>
      <c r="AK96" s="1000" t="str">
        <f t="shared" si="10"/>
        <v/>
      </c>
      <c r="AL96" s="1000" t="str">
        <f>IF(ISBLANK(AB96),"",IFERROR(_xlfn.XLOOKUP(AB96,'F-2 Off-Site WaterC'' Creation'!$AG$12:$AG$258,'F-2 Off-Site WaterC'' Creation'!$AA$12:$AA$258),IFERROR(_xlfn.XLOOKUP(AB96,'F-1 Off-Site WaterC'' Baseline'!$AH$10:$AH$257,'F-1 Off-Site WaterC'' Baseline'!$T$10:$T$257)," ")))</f>
        <v/>
      </c>
      <c r="AM96" s="986" t="str">
        <f t="shared" si="11"/>
        <v/>
      </c>
      <c r="AN96" s="1469"/>
      <c r="AO96" s="1469"/>
    </row>
    <row r="97" spans="1:41" s="992" customFormat="1" ht="43.5" customHeight="1">
      <c r="A97" s="988">
        <f>'D-1 Off-Site Habitat Baseline'!AF101</f>
        <v>0</v>
      </c>
      <c r="B97" s="996"/>
      <c r="C97" s="997" t="str">
        <f>IF(B97="","",SUMIF('D-1 Off-Site Habitat Baseline'!AF101:AF348,B97,'D-1 Off-Site Habitat Baseline'!T101:T348))</f>
        <v/>
      </c>
      <c r="D97" s="990" t="str">
        <f>IF(B97="","",SUMIF('D-1 Off-Site Habitat Baseline'!$AF$11:$AF$258,B97,'D-1 Off-Site Habitat Baseline'!$Q$11:$Q$258))</f>
        <v/>
      </c>
      <c r="E97" s="998" t="str">
        <f>IF(B97="","",SUMIF('D-1 Off-Site Habitat Baseline'!$AF$11:$AF$258,'Off-site gain site summary'!$B97,'D-1 Off-Site Habitat Baseline'!$X$11:$X$258))</f>
        <v/>
      </c>
      <c r="F97" s="999" t="str">
        <f>IF(B97="","",SUMIF('D-1 Off-Site Habitat Baseline'!$AF$11:$AF$258,'Off-site gain site summary'!$B97,'D-1 Off-Site Habitat Baseline'!$AY$11:$AY$258))</f>
        <v/>
      </c>
      <c r="G97" s="998" t="str">
        <f>IF(B97="","",SUMIF('D-3 Off-Site Habitat Enhancment'!$AU$12:$AU$258,'Off-site gain site summary'!B97,'D-3 Off-Site Habitat Enhancment'!$AQ$12:$AQ$258))</f>
        <v/>
      </c>
      <c r="H97" s="999" t="str">
        <f>IF(B97="","",SUMIF('D-3 Off-Site Habitat Enhancment'!$AU$12:$AU$258,'Off-site gain site summary'!B97,'D-3 Off-Site Habitat Enhancment'!$AP$12:$AP$258))</f>
        <v/>
      </c>
      <c r="I97" s="998" t="str">
        <f>IF(B97="","",SUMIF('D-2 Off-Site Habitat Creation'!$AF$11:$AF$256,'Off-site gain site summary'!B97,'D-2 Off-Site Habitat Creation'!$AB$11:$AB$256))</f>
        <v/>
      </c>
      <c r="J97" s="999" t="str">
        <f>IF(B97="","",SUMIF('D-2 Off-Site Habitat Creation'!$AF$11:$AF$256,'Off-site gain site summary'!B97,'D-2 Off-Site Habitat Creation'!$AA$11:$AA$256))</f>
        <v/>
      </c>
      <c r="K97" s="1000" t="str">
        <f t="shared" si="6"/>
        <v/>
      </c>
      <c r="L97" s="997" t="str">
        <f>IF(ISBLANK(B97),"",IFERROR(_xlfn.XLOOKUP(B97,'D-2 Off-Site Habitat Creation'!$AF$11:$AF$256,'D-2 Off-Site Habitat Creation'!$Z$11:$Z$256),IFERROR(_xlfn.XLOOKUP(B97,'D-1 Off-Site Habitat Baseline'!AF$11:AF$258,'D-1 Off-Site Habitat Baseline'!S$11:S$258)," ")))</f>
        <v/>
      </c>
      <c r="M97" s="983" t="str">
        <f t="shared" si="7"/>
        <v/>
      </c>
      <c r="N97" s="988">
        <f>'E-1 Off-Site Hedge Baseline'!AB100</f>
        <v>0</v>
      </c>
      <c r="O97" s="996"/>
      <c r="P97" s="1000" t="str">
        <f>IF(O97="","",SUMIF('E-1 Off-Site Hedge Baseline'!AB$10:AB$257,'Off-site gain site summary'!O97,'E-1 Off-Site Hedge Baseline'!Q$10:Q$257))</f>
        <v/>
      </c>
      <c r="Q97" s="1000" t="str">
        <f>IF(O97="","",SUMIF('E-1 Off-Site Hedge Baseline'!AB$10:AB$257,O97,'E-1 Off-Site Hedge Baseline'!N$10:N$257))</f>
        <v/>
      </c>
      <c r="R97" s="1000" t="str">
        <f>IF(O97="","",SUMIF('E-1 Off-Site Hedge Baseline'!$AB$10:$AB$257,'Off-site gain site summary'!$O97,'E-1 Off-Site Hedge Baseline'!$U$10:$U$257))</f>
        <v/>
      </c>
      <c r="S97" s="1000" t="str">
        <f>IF(O97="","",SUMIF('E-1 Off-Site Hedge Baseline'!$AB$10:$AB$257,'Off-site gain site summary'!$O97,'E-1 Off-Site Hedge Baseline'!$AY$10:$AY$257))</f>
        <v/>
      </c>
      <c r="T97" s="1000" t="str">
        <f>IF(O97="","",SUMIF('E-3 Off-Site Hedge Enhancement'!$AO$12:$AO$257,'Off-site gain site summary'!$O97,'E-3 Off-Site Hedge Enhancement'!$AK$12:$AK$257))</f>
        <v/>
      </c>
      <c r="U97" s="1000" t="str">
        <f>IF(O97="","",SUMIF('E-3 Off-Site Hedge Enhancement'!$AO$12:$AO$257,'Off-site gain site summary'!$O97,'E-3 Off-Site Hedge Enhancement'!$AJ$12:$AJ$257))</f>
        <v/>
      </c>
      <c r="V97" s="1000" t="str">
        <f>IF(O97="","",SUMIF('E-2 Off-Site Hedge Creation'!$AD$12:$AD$259,'Off-site gain site summary'!$O97,'E-2 Off-Site Hedge Creation'!$Z$12:$Z$259))</f>
        <v/>
      </c>
      <c r="W97" s="991" t="str">
        <f>IF(O97="","",SUMIF('E-2 Off-Site Hedge Creation'!$AD$12:$AD$259,'Off-site gain site summary'!$O97,'E-2 Off-Site Hedge Creation'!$Y$12:$Y$259))</f>
        <v/>
      </c>
      <c r="X97" s="991" t="str">
        <f t="shared" si="8"/>
        <v/>
      </c>
      <c r="Y97" s="991" t="str">
        <f>IF(ISBLANK(O97),"",IFERROR(_xlfn.XLOOKUP(O97,'E-2 Off-Site Hedge Creation'!$AD$12:$AD$259,'E-2 Off-Site Hedge Creation'!$N$12:$N$259),IFERROR(_xlfn.XLOOKUP(O97,'E-1 Off-Site Hedge Baseline'!$AB$10:$AB$257,'E-1 Off-Site Hedge Baseline'!$P$10:$P$257)," ")))</f>
        <v/>
      </c>
      <c r="Z97" s="986" t="str">
        <f t="shared" si="9"/>
        <v/>
      </c>
      <c r="AA97" s="992">
        <f>'F-1 Off-Site WaterC'' Baseline'!AH100</f>
        <v>0</v>
      </c>
      <c r="AB97" s="996"/>
      <c r="AC97" s="1000" t="str">
        <f>IF(AB97="","",SUMIF('F-1 Off-Site WaterC'' Baseline'!$AH$10:$AH$257,'Off-site gain site summary'!$AB97,'F-1 Off-Site WaterC'' Baseline'!$U$10:$U$257))</f>
        <v/>
      </c>
      <c r="AD97" s="1000" t="str">
        <f>IF(AB97="","",SUMIF('F-1 Off-Site WaterC'' Baseline'!$AH$10:$AH$257,'Off-site gain site summary'!$AB97,'F-1 Off-Site WaterC'' Baseline'!$R$10:$R$257))</f>
        <v/>
      </c>
      <c r="AE97" s="1000" t="str">
        <f>IF(AB97="","",SUMIF('F-1 Off-Site WaterC'' Baseline'!$AH$10:$AH$257,'Off-site gain site summary'!$AB97,'F-1 Off-Site WaterC'' Baseline'!$Z$10:$Z$257))</f>
        <v/>
      </c>
      <c r="AF97" s="1000" t="str">
        <f>IF(AB97="","",SUMIF('F-1 Off-Site WaterC'' Baseline'!$AH$10:$AH$257,'Off-site gain site summary'!$AB97,'F-1 Off-Site WaterC'' Baseline'!$BA$10:$BA$257))</f>
        <v/>
      </c>
      <c r="AG97" s="1000" t="str">
        <f>IF(AB97="","",SUMIF('F-3 Off-Site WaterC Enhancement'!$AT$12:$AT$257,'Off-site gain site summary'!$AB97,'F-3 Off-Site WaterC Enhancement'!$AP$12:$AP$257))</f>
        <v/>
      </c>
      <c r="AH97" s="1000" t="str">
        <f>IF(AB97="","",SUMIF('F-3 Off-Site WaterC Enhancement'!$AT$12:$AT$257,'Off-site gain site summary'!$AB97,'F-3 Off-Site WaterC Enhancement'!$AO$12:$AO$257))</f>
        <v/>
      </c>
      <c r="AI97" s="1000" t="str">
        <f>IF(AB97="","",SUMIF('F-2 Off-Site WaterC'' Creation'!$AG$12:$AG$259,'Off-site gain site summary'!$AB97,'F-2 Off-Site WaterC'' Creation'!$AC$12:$AC$259))</f>
        <v/>
      </c>
      <c r="AJ97" s="1000" t="str">
        <f>IF(AB97="","",SUMIF('F-2 Off-Site WaterC'' Creation'!$AG$12:$AG$259,'Off-site gain site summary'!$AB97,'F-2 Off-Site WaterC'' Creation'!$AB$12:$AB$259))</f>
        <v/>
      </c>
      <c r="AK97" s="1000" t="str">
        <f t="shared" si="10"/>
        <v/>
      </c>
      <c r="AL97" s="1000" t="str">
        <f>IF(ISBLANK(AB97),"",IFERROR(_xlfn.XLOOKUP(AB97,'F-2 Off-Site WaterC'' Creation'!$AG$12:$AG$258,'F-2 Off-Site WaterC'' Creation'!$AA$12:$AA$258),IFERROR(_xlfn.XLOOKUP(AB97,'F-1 Off-Site WaterC'' Baseline'!$AH$10:$AH$257,'F-1 Off-Site WaterC'' Baseline'!$T$10:$T$257)," ")))</f>
        <v/>
      </c>
      <c r="AM97" s="986" t="str">
        <f t="shared" si="11"/>
        <v/>
      </c>
      <c r="AN97" s="1469"/>
      <c r="AO97" s="1469"/>
    </row>
    <row r="98" spans="1:41" s="992" customFormat="1" ht="43.5" customHeight="1">
      <c r="A98" s="988">
        <f>'D-1 Off-Site Habitat Baseline'!AF102</f>
        <v>0</v>
      </c>
      <c r="B98" s="996"/>
      <c r="C98" s="997" t="str">
        <f>IF(B98="","",SUMIF('D-1 Off-Site Habitat Baseline'!AF102:AF349,B98,'D-1 Off-Site Habitat Baseline'!T102:T349))</f>
        <v/>
      </c>
      <c r="D98" s="990" t="str">
        <f>IF(B98="","",SUMIF('D-1 Off-Site Habitat Baseline'!$AF$11:$AF$258,B98,'D-1 Off-Site Habitat Baseline'!$Q$11:$Q$258))</f>
        <v/>
      </c>
      <c r="E98" s="998" t="str">
        <f>IF(B98="","",SUMIF('D-1 Off-Site Habitat Baseline'!$AF$11:$AF$258,'Off-site gain site summary'!$B98,'D-1 Off-Site Habitat Baseline'!$X$11:$X$258))</f>
        <v/>
      </c>
      <c r="F98" s="999" t="str">
        <f>IF(B98="","",SUMIF('D-1 Off-Site Habitat Baseline'!$AF$11:$AF$258,'Off-site gain site summary'!$B98,'D-1 Off-Site Habitat Baseline'!$AY$11:$AY$258))</f>
        <v/>
      </c>
      <c r="G98" s="998" t="str">
        <f>IF(B98="","",SUMIF('D-3 Off-Site Habitat Enhancment'!$AU$12:$AU$258,'Off-site gain site summary'!B98,'D-3 Off-Site Habitat Enhancment'!$AQ$12:$AQ$258))</f>
        <v/>
      </c>
      <c r="H98" s="999" t="str">
        <f>IF(B98="","",SUMIF('D-3 Off-Site Habitat Enhancment'!$AU$12:$AU$258,'Off-site gain site summary'!B98,'D-3 Off-Site Habitat Enhancment'!$AP$12:$AP$258))</f>
        <v/>
      </c>
      <c r="I98" s="998" t="str">
        <f>IF(B98="","",SUMIF('D-2 Off-Site Habitat Creation'!$AF$11:$AF$256,'Off-site gain site summary'!B98,'D-2 Off-Site Habitat Creation'!$AB$11:$AB$256))</f>
        <v/>
      </c>
      <c r="J98" s="999" t="str">
        <f>IF(B98="","",SUMIF('D-2 Off-Site Habitat Creation'!$AF$11:$AF$256,'Off-site gain site summary'!B98,'D-2 Off-Site Habitat Creation'!$AA$11:$AA$256))</f>
        <v/>
      </c>
      <c r="K98" s="1000" t="str">
        <f t="shared" si="6"/>
        <v/>
      </c>
      <c r="L98" s="997" t="str">
        <f>IF(ISBLANK(B98),"",IFERROR(_xlfn.XLOOKUP(B98,'D-2 Off-Site Habitat Creation'!$AF$11:$AF$256,'D-2 Off-Site Habitat Creation'!$Z$11:$Z$256),IFERROR(_xlfn.XLOOKUP(B98,'D-1 Off-Site Habitat Baseline'!AF$11:AF$258,'D-1 Off-Site Habitat Baseline'!S$11:S$258)," ")))</f>
        <v/>
      </c>
      <c r="M98" s="983" t="str">
        <f t="shared" si="7"/>
        <v/>
      </c>
      <c r="N98" s="988">
        <f>'E-1 Off-Site Hedge Baseline'!AB101</f>
        <v>0</v>
      </c>
      <c r="O98" s="996"/>
      <c r="P98" s="1000" t="str">
        <f>IF(O98="","",SUMIF('E-1 Off-Site Hedge Baseline'!AB$10:AB$257,'Off-site gain site summary'!O98,'E-1 Off-Site Hedge Baseline'!Q$10:Q$257))</f>
        <v/>
      </c>
      <c r="Q98" s="1000" t="str">
        <f>IF(O98="","",SUMIF('E-1 Off-Site Hedge Baseline'!AB$10:AB$257,O98,'E-1 Off-Site Hedge Baseline'!N$10:N$257))</f>
        <v/>
      </c>
      <c r="R98" s="1000" t="str">
        <f>IF(O98="","",SUMIF('E-1 Off-Site Hedge Baseline'!$AB$10:$AB$257,'Off-site gain site summary'!$O98,'E-1 Off-Site Hedge Baseline'!$U$10:$U$257))</f>
        <v/>
      </c>
      <c r="S98" s="1000" t="str">
        <f>IF(O98="","",SUMIF('E-1 Off-Site Hedge Baseline'!$AB$10:$AB$257,'Off-site gain site summary'!$O98,'E-1 Off-Site Hedge Baseline'!$AY$10:$AY$257))</f>
        <v/>
      </c>
      <c r="T98" s="1000" t="str">
        <f>IF(O98="","",SUMIF('E-3 Off-Site Hedge Enhancement'!$AO$12:$AO$257,'Off-site gain site summary'!$O98,'E-3 Off-Site Hedge Enhancement'!$AK$12:$AK$257))</f>
        <v/>
      </c>
      <c r="U98" s="1000" t="str">
        <f>IF(O98="","",SUMIF('E-3 Off-Site Hedge Enhancement'!$AO$12:$AO$257,'Off-site gain site summary'!$O98,'E-3 Off-Site Hedge Enhancement'!$AJ$12:$AJ$257))</f>
        <v/>
      </c>
      <c r="V98" s="1000" t="str">
        <f>IF(O98="","",SUMIF('E-2 Off-Site Hedge Creation'!$AD$12:$AD$259,'Off-site gain site summary'!$O98,'E-2 Off-Site Hedge Creation'!$Z$12:$Z$259))</f>
        <v/>
      </c>
      <c r="W98" s="991" t="str">
        <f>IF(O98="","",SUMIF('E-2 Off-Site Hedge Creation'!$AD$12:$AD$259,'Off-site gain site summary'!$O98,'E-2 Off-Site Hedge Creation'!$Y$12:$Y$259))</f>
        <v/>
      </c>
      <c r="X98" s="991" t="str">
        <f t="shared" si="8"/>
        <v/>
      </c>
      <c r="Y98" s="991" t="str">
        <f>IF(ISBLANK(O98),"",IFERROR(_xlfn.XLOOKUP(O98,'E-2 Off-Site Hedge Creation'!$AD$12:$AD$259,'E-2 Off-Site Hedge Creation'!$N$12:$N$259),IFERROR(_xlfn.XLOOKUP(O98,'E-1 Off-Site Hedge Baseline'!$AB$10:$AB$257,'E-1 Off-Site Hedge Baseline'!$P$10:$P$257)," ")))</f>
        <v/>
      </c>
      <c r="Z98" s="986" t="str">
        <f t="shared" si="9"/>
        <v/>
      </c>
      <c r="AA98" s="992">
        <f>'F-1 Off-Site WaterC'' Baseline'!AH101</f>
        <v>0</v>
      </c>
      <c r="AB98" s="996"/>
      <c r="AC98" s="1000" t="str">
        <f>IF(AB98="","",SUMIF('F-1 Off-Site WaterC'' Baseline'!$AH$10:$AH$257,'Off-site gain site summary'!$AB98,'F-1 Off-Site WaterC'' Baseline'!$U$10:$U$257))</f>
        <v/>
      </c>
      <c r="AD98" s="1000" t="str">
        <f>IF(AB98="","",SUMIF('F-1 Off-Site WaterC'' Baseline'!$AH$10:$AH$257,'Off-site gain site summary'!$AB98,'F-1 Off-Site WaterC'' Baseline'!$R$10:$R$257))</f>
        <v/>
      </c>
      <c r="AE98" s="1000" t="str">
        <f>IF(AB98="","",SUMIF('F-1 Off-Site WaterC'' Baseline'!$AH$10:$AH$257,'Off-site gain site summary'!$AB98,'F-1 Off-Site WaterC'' Baseline'!$Z$10:$Z$257))</f>
        <v/>
      </c>
      <c r="AF98" s="1000" t="str">
        <f>IF(AB98="","",SUMIF('F-1 Off-Site WaterC'' Baseline'!$AH$10:$AH$257,'Off-site gain site summary'!$AB98,'F-1 Off-Site WaterC'' Baseline'!$BA$10:$BA$257))</f>
        <v/>
      </c>
      <c r="AG98" s="1000" t="str">
        <f>IF(AB98="","",SUMIF('F-3 Off-Site WaterC Enhancement'!$AT$12:$AT$257,'Off-site gain site summary'!$AB98,'F-3 Off-Site WaterC Enhancement'!$AP$12:$AP$257))</f>
        <v/>
      </c>
      <c r="AH98" s="1000" t="str">
        <f>IF(AB98="","",SUMIF('F-3 Off-Site WaterC Enhancement'!$AT$12:$AT$257,'Off-site gain site summary'!$AB98,'F-3 Off-Site WaterC Enhancement'!$AO$12:$AO$257))</f>
        <v/>
      </c>
      <c r="AI98" s="1000" t="str">
        <f>IF(AB98="","",SUMIF('F-2 Off-Site WaterC'' Creation'!$AG$12:$AG$259,'Off-site gain site summary'!$AB98,'F-2 Off-Site WaterC'' Creation'!$AC$12:$AC$259))</f>
        <v/>
      </c>
      <c r="AJ98" s="1000" t="str">
        <f>IF(AB98="","",SUMIF('F-2 Off-Site WaterC'' Creation'!$AG$12:$AG$259,'Off-site gain site summary'!$AB98,'F-2 Off-Site WaterC'' Creation'!$AB$12:$AB$259))</f>
        <v/>
      </c>
      <c r="AK98" s="1000" t="str">
        <f t="shared" si="10"/>
        <v/>
      </c>
      <c r="AL98" s="1000" t="str">
        <f>IF(ISBLANK(AB98),"",IFERROR(_xlfn.XLOOKUP(AB98,'F-2 Off-Site WaterC'' Creation'!$AG$12:$AG$258,'F-2 Off-Site WaterC'' Creation'!$AA$12:$AA$258),IFERROR(_xlfn.XLOOKUP(AB98,'F-1 Off-Site WaterC'' Baseline'!$AH$10:$AH$257,'F-1 Off-Site WaterC'' Baseline'!$T$10:$T$257)," ")))</f>
        <v/>
      </c>
      <c r="AM98" s="986" t="str">
        <f t="shared" si="11"/>
        <v/>
      </c>
      <c r="AN98" s="1469"/>
      <c r="AO98" s="1469"/>
    </row>
    <row r="99" spans="1:41" s="992" customFormat="1" ht="43.5" customHeight="1">
      <c r="A99" s="988">
        <f>'D-1 Off-Site Habitat Baseline'!AF103</f>
        <v>0</v>
      </c>
      <c r="B99" s="996"/>
      <c r="C99" s="997" t="str">
        <f>IF(B99="","",SUMIF('D-1 Off-Site Habitat Baseline'!AF103:AF350,B99,'D-1 Off-Site Habitat Baseline'!T103:T350))</f>
        <v/>
      </c>
      <c r="D99" s="990" t="str">
        <f>IF(B99="","",SUMIF('D-1 Off-Site Habitat Baseline'!$AF$11:$AF$258,B99,'D-1 Off-Site Habitat Baseline'!$Q$11:$Q$258))</f>
        <v/>
      </c>
      <c r="E99" s="998" t="str">
        <f>IF(B99="","",SUMIF('D-1 Off-Site Habitat Baseline'!$AF$11:$AF$258,'Off-site gain site summary'!$B99,'D-1 Off-Site Habitat Baseline'!$X$11:$X$258))</f>
        <v/>
      </c>
      <c r="F99" s="999" t="str">
        <f>IF(B99="","",SUMIF('D-1 Off-Site Habitat Baseline'!$AF$11:$AF$258,'Off-site gain site summary'!$B99,'D-1 Off-Site Habitat Baseline'!$AY$11:$AY$258))</f>
        <v/>
      </c>
      <c r="G99" s="998" t="str">
        <f>IF(B99="","",SUMIF('D-3 Off-Site Habitat Enhancment'!$AU$12:$AU$258,'Off-site gain site summary'!B99,'D-3 Off-Site Habitat Enhancment'!$AQ$12:$AQ$258))</f>
        <v/>
      </c>
      <c r="H99" s="999" t="str">
        <f>IF(B99="","",SUMIF('D-3 Off-Site Habitat Enhancment'!$AU$12:$AU$258,'Off-site gain site summary'!B99,'D-3 Off-Site Habitat Enhancment'!$AP$12:$AP$258))</f>
        <v/>
      </c>
      <c r="I99" s="998" t="str">
        <f>IF(B99="","",SUMIF('D-2 Off-Site Habitat Creation'!$AF$11:$AF$256,'Off-site gain site summary'!B99,'D-2 Off-Site Habitat Creation'!$AB$11:$AB$256))</f>
        <v/>
      </c>
      <c r="J99" s="999" t="str">
        <f>IF(B99="","",SUMIF('D-2 Off-Site Habitat Creation'!$AF$11:$AF$256,'Off-site gain site summary'!B99,'D-2 Off-Site Habitat Creation'!$AA$11:$AA$256))</f>
        <v/>
      </c>
      <c r="K99" s="1000" t="str">
        <f t="shared" si="6"/>
        <v/>
      </c>
      <c r="L99" s="997" t="str">
        <f>IF(ISBLANK(B99),"",IFERROR(_xlfn.XLOOKUP(B99,'D-2 Off-Site Habitat Creation'!$AF$11:$AF$256,'D-2 Off-Site Habitat Creation'!$Z$11:$Z$256),IFERROR(_xlfn.XLOOKUP(B99,'D-1 Off-Site Habitat Baseline'!AF$11:AF$258,'D-1 Off-Site Habitat Baseline'!S$11:S$258)," ")))</f>
        <v/>
      </c>
      <c r="M99" s="983" t="str">
        <f t="shared" si="7"/>
        <v/>
      </c>
      <c r="N99" s="988">
        <f>'E-1 Off-Site Hedge Baseline'!AB102</f>
        <v>0</v>
      </c>
      <c r="O99" s="996"/>
      <c r="P99" s="1000" t="str">
        <f>IF(O99="","",SUMIF('E-1 Off-Site Hedge Baseline'!AB$10:AB$257,'Off-site gain site summary'!O99,'E-1 Off-Site Hedge Baseline'!Q$10:Q$257))</f>
        <v/>
      </c>
      <c r="Q99" s="1000" t="str">
        <f>IF(O99="","",SUMIF('E-1 Off-Site Hedge Baseline'!AB$10:AB$257,O99,'E-1 Off-Site Hedge Baseline'!N$10:N$257))</f>
        <v/>
      </c>
      <c r="R99" s="1000" t="str">
        <f>IF(O99="","",SUMIF('E-1 Off-Site Hedge Baseline'!$AB$10:$AB$257,'Off-site gain site summary'!$O99,'E-1 Off-Site Hedge Baseline'!$U$10:$U$257))</f>
        <v/>
      </c>
      <c r="S99" s="1000" t="str">
        <f>IF(O99="","",SUMIF('E-1 Off-Site Hedge Baseline'!$AB$10:$AB$257,'Off-site gain site summary'!$O99,'E-1 Off-Site Hedge Baseline'!$AY$10:$AY$257))</f>
        <v/>
      </c>
      <c r="T99" s="1000" t="str">
        <f>IF(O99="","",SUMIF('E-3 Off-Site Hedge Enhancement'!$AO$12:$AO$257,'Off-site gain site summary'!$O99,'E-3 Off-Site Hedge Enhancement'!$AK$12:$AK$257))</f>
        <v/>
      </c>
      <c r="U99" s="1000" t="str">
        <f>IF(O99="","",SUMIF('E-3 Off-Site Hedge Enhancement'!$AO$12:$AO$257,'Off-site gain site summary'!$O99,'E-3 Off-Site Hedge Enhancement'!$AJ$12:$AJ$257))</f>
        <v/>
      </c>
      <c r="V99" s="1000" t="str">
        <f>IF(O99="","",SUMIF('E-2 Off-Site Hedge Creation'!$AD$12:$AD$259,'Off-site gain site summary'!$O99,'E-2 Off-Site Hedge Creation'!$Z$12:$Z$259))</f>
        <v/>
      </c>
      <c r="W99" s="991" t="str">
        <f>IF(O99="","",SUMIF('E-2 Off-Site Hedge Creation'!$AD$12:$AD$259,'Off-site gain site summary'!$O99,'E-2 Off-Site Hedge Creation'!$Y$12:$Y$259))</f>
        <v/>
      </c>
      <c r="X99" s="991" t="str">
        <f t="shared" si="8"/>
        <v/>
      </c>
      <c r="Y99" s="991" t="str">
        <f>IF(ISBLANK(O99),"",IFERROR(_xlfn.XLOOKUP(O99,'E-2 Off-Site Hedge Creation'!$AD$12:$AD$259,'E-2 Off-Site Hedge Creation'!$N$12:$N$259),IFERROR(_xlfn.XLOOKUP(O99,'E-1 Off-Site Hedge Baseline'!$AB$10:$AB$257,'E-1 Off-Site Hedge Baseline'!$P$10:$P$257)," ")))</f>
        <v/>
      </c>
      <c r="Z99" s="986" t="str">
        <f t="shared" si="9"/>
        <v/>
      </c>
      <c r="AA99" s="992">
        <f>'F-1 Off-Site WaterC'' Baseline'!AH102</f>
        <v>0</v>
      </c>
      <c r="AB99" s="996"/>
      <c r="AC99" s="1000" t="str">
        <f>IF(AB99="","",SUMIF('F-1 Off-Site WaterC'' Baseline'!$AH$10:$AH$257,'Off-site gain site summary'!$AB99,'F-1 Off-Site WaterC'' Baseline'!$U$10:$U$257))</f>
        <v/>
      </c>
      <c r="AD99" s="1000" t="str">
        <f>IF(AB99="","",SUMIF('F-1 Off-Site WaterC'' Baseline'!$AH$10:$AH$257,'Off-site gain site summary'!$AB99,'F-1 Off-Site WaterC'' Baseline'!$R$10:$R$257))</f>
        <v/>
      </c>
      <c r="AE99" s="1000" t="str">
        <f>IF(AB99="","",SUMIF('F-1 Off-Site WaterC'' Baseline'!$AH$10:$AH$257,'Off-site gain site summary'!$AB99,'F-1 Off-Site WaterC'' Baseline'!$Z$10:$Z$257))</f>
        <v/>
      </c>
      <c r="AF99" s="1000" t="str">
        <f>IF(AB99="","",SUMIF('F-1 Off-Site WaterC'' Baseline'!$AH$10:$AH$257,'Off-site gain site summary'!$AB99,'F-1 Off-Site WaterC'' Baseline'!$BA$10:$BA$257))</f>
        <v/>
      </c>
      <c r="AG99" s="1000" t="str">
        <f>IF(AB99="","",SUMIF('F-3 Off-Site WaterC Enhancement'!$AT$12:$AT$257,'Off-site gain site summary'!$AB99,'F-3 Off-Site WaterC Enhancement'!$AP$12:$AP$257))</f>
        <v/>
      </c>
      <c r="AH99" s="1000" t="str">
        <f>IF(AB99="","",SUMIF('F-3 Off-Site WaterC Enhancement'!$AT$12:$AT$257,'Off-site gain site summary'!$AB99,'F-3 Off-Site WaterC Enhancement'!$AO$12:$AO$257))</f>
        <v/>
      </c>
      <c r="AI99" s="1000" t="str">
        <f>IF(AB99="","",SUMIF('F-2 Off-Site WaterC'' Creation'!$AG$12:$AG$259,'Off-site gain site summary'!$AB99,'F-2 Off-Site WaterC'' Creation'!$AC$12:$AC$259))</f>
        <v/>
      </c>
      <c r="AJ99" s="1000" t="str">
        <f>IF(AB99="","",SUMIF('F-2 Off-Site WaterC'' Creation'!$AG$12:$AG$259,'Off-site gain site summary'!$AB99,'F-2 Off-Site WaterC'' Creation'!$AB$12:$AB$259))</f>
        <v/>
      </c>
      <c r="AK99" s="1000" t="str">
        <f t="shared" si="10"/>
        <v/>
      </c>
      <c r="AL99" s="1000" t="str">
        <f>IF(ISBLANK(AB99),"",IFERROR(_xlfn.XLOOKUP(AB99,'F-2 Off-Site WaterC'' Creation'!$AG$12:$AG$258,'F-2 Off-Site WaterC'' Creation'!$AA$12:$AA$258),IFERROR(_xlfn.XLOOKUP(AB99,'F-1 Off-Site WaterC'' Baseline'!$AH$10:$AH$257,'F-1 Off-Site WaterC'' Baseline'!$T$10:$T$257)," ")))</f>
        <v/>
      </c>
      <c r="AM99" s="986" t="str">
        <f t="shared" si="11"/>
        <v/>
      </c>
      <c r="AN99" s="1469"/>
      <c r="AO99" s="1469"/>
    </row>
    <row r="100" spans="1:41" s="992" customFormat="1" ht="43.5" customHeight="1">
      <c r="A100" s="988">
        <f>'D-1 Off-Site Habitat Baseline'!AF104</f>
        <v>0</v>
      </c>
      <c r="B100" s="996"/>
      <c r="C100" s="997" t="str">
        <f>IF(B100="","",SUMIF('D-1 Off-Site Habitat Baseline'!AF104:AF351,B100,'D-1 Off-Site Habitat Baseline'!T104:T351))</f>
        <v/>
      </c>
      <c r="D100" s="990" t="str">
        <f>IF(B100="","",SUMIF('D-1 Off-Site Habitat Baseline'!$AF$11:$AF$258,B100,'D-1 Off-Site Habitat Baseline'!$Q$11:$Q$258))</f>
        <v/>
      </c>
      <c r="E100" s="998" t="str">
        <f>IF(B100="","",SUMIF('D-1 Off-Site Habitat Baseline'!$AF$11:$AF$258,'Off-site gain site summary'!$B100,'D-1 Off-Site Habitat Baseline'!$X$11:$X$258))</f>
        <v/>
      </c>
      <c r="F100" s="999" t="str">
        <f>IF(B100="","",SUMIF('D-1 Off-Site Habitat Baseline'!$AF$11:$AF$258,'Off-site gain site summary'!$B100,'D-1 Off-Site Habitat Baseline'!$AY$11:$AY$258))</f>
        <v/>
      </c>
      <c r="G100" s="998" t="str">
        <f>IF(B100="","",SUMIF('D-3 Off-Site Habitat Enhancment'!$AU$12:$AU$258,'Off-site gain site summary'!B100,'D-3 Off-Site Habitat Enhancment'!$AQ$12:$AQ$258))</f>
        <v/>
      </c>
      <c r="H100" s="999" t="str">
        <f>IF(B100="","",SUMIF('D-3 Off-Site Habitat Enhancment'!$AU$12:$AU$258,'Off-site gain site summary'!B100,'D-3 Off-Site Habitat Enhancment'!$AP$12:$AP$258))</f>
        <v/>
      </c>
      <c r="I100" s="998" t="str">
        <f>IF(B100="","",SUMIF('D-2 Off-Site Habitat Creation'!$AF$11:$AF$256,'Off-site gain site summary'!B100,'D-2 Off-Site Habitat Creation'!$AB$11:$AB$256))</f>
        <v/>
      </c>
      <c r="J100" s="999" t="str">
        <f>IF(B100="","",SUMIF('D-2 Off-Site Habitat Creation'!$AF$11:$AF$256,'Off-site gain site summary'!B100,'D-2 Off-Site Habitat Creation'!$AA$11:$AA$256))</f>
        <v/>
      </c>
      <c r="K100" s="1000" t="str">
        <f t="shared" si="6"/>
        <v/>
      </c>
      <c r="L100" s="997" t="str">
        <f>IF(ISBLANK(B100),"",IFERROR(_xlfn.XLOOKUP(B100,'D-2 Off-Site Habitat Creation'!$AF$11:$AF$256,'D-2 Off-Site Habitat Creation'!$Z$11:$Z$256),IFERROR(_xlfn.XLOOKUP(B100,'D-1 Off-Site Habitat Baseline'!AF$11:AF$258,'D-1 Off-Site Habitat Baseline'!S$11:S$258)," ")))</f>
        <v/>
      </c>
      <c r="M100" s="983" t="str">
        <f t="shared" si="7"/>
        <v/>
      </c>
      <c r="N100" s="988">
        <f>'E-1 Off-Site Hedge Baseline'!AB103</f>
        <v>0</v>
      </c>
      <c r="O100" s="996"/>
      <c r="P100" s="1000" t="str">
        <f>IF(O100="","",SUMIF('E-1 Off-Site Hedge Baseline'!AB$10:AB$257,'Off-site gain site summary'!O100,'E-1 Off-Site Hedge Baseline'!Q$10:Q$257))</f>
        <v/>
      </c>
      <c r="Q100" s="1000" t="str">
        <f>IF(O100="","",SUMIF('E-1 Off-Site Hedge Baseline'!AB$10:AB$257,O100,'E-1 Off-Site Hedge Baseline'!N$10:N$257))</f>
        <v/>
      </c>
      <c r="R100" s="1000" t="str">
        <f>IF(O100="","",SUMIF('E-1 Off-Site Hedge Baseline'!$AB$10:$AB$257,'Off-site gain site summary'!$O100,'E-1 Off-Site Hedge Baseline'!$U$10:$U$257))</f>
        <v/>
      </c>
      <c r="S100" s="1000" t="str">
        <f>IF(O100="","",SUMIF('E-1 Off-Site Hedge Baseline'!$AB$10:$AB$257,'Off-site gain site summary'!$O100,'E-1 Off-Site Hedge Baseline'!$AY$10:$AY$257))</f>
        <v/>
      </c>
      <c r="T100" s="1000" t="str">
        <f>IF(O100="","",SUMIF('E-3 Off-Site Hedge Enhancement'!$AO$12:$AO$257,'Off-site gain site summary'!$O100,'E-3 Off-Site Hedge Enhancement'!$AK$12:$AK$257))</f>
        <v/>
      </c>
      <c r="U100" s="1000" t="str">
        <f>IF(O100="","",SUMIF('E-3 Off-Site Hedge Enhancement'!$AO$12:$AO$257,'Off-site gain site summary'!$O100,'E-3 Off-Site Hedge Enhancement'!$AJ$12:$AJ$257))</f>
        <v/>
      </c>
      <c r="V100" s="1000" t="str">
        <f>IF(O100="","",SUMIF('E-2 Off-Site Hedge Creation'!$AD$12:$AD$259,'Off-site gain site summary'!$O100,'E-2 Off-Site Hedge Creation'!$Z$12:$Z$259))</f>
        <v/>
      </c>
      <c r="W100" s="991" t="str">
        <f>IF(O100="","",SUMIF('E-2 Off-Site Hedge Creation'!$AD$12:$AD$259,'Off-site gain site summary'!$O100,'E-2 Off-Site Hedge Creation'!$Y$12:$Y$259))</f>
        <v/>
      </c>
      <c r="X100" s="991" t="str">
        <f t="shared" si="8"/>
        <v/>
      </c>
      <c r="Y100" s="991" t="str">
        <f>IF(ISBLANK(O100),"",IFERROR(_xlfn.XLOOKUP(O100,'E-2 Off-Site Hedge Creation'!$AD$12:$AD$259,'E-2 Off-Site Hedge Creation'!$N$12:$N$259),IFERROR(_xlfn.XLOOKUP(O100,'E-1 Off-Site Hedge Baseline'!$AB$10:$AB$257,'E-1 Off-Site Hedge Baseline'!$P$10:$P$257)," ")))</f>
        <v/>
      </c>
      <c r="Z100" s="986" t="str">
        <f t="shared" si="9"/>
        <v/>
      </c>
      <c r="AA100" s="992">
        <f>'F-1 Off-Site WaterC'' Baseline'!AH103</f>
        <v>0</v>
      </c>
      <c r="AB100" s="996"/>
      <c r="AC100" s="1000" t="str">
        <f>IF(AB100="","",SUMIF('F-1 Off-Site WaterC'' Baseline'!$AH$10:$AH$257,'Off-site gain site summary'!$AB100,'F-1 Off-Site WaterC'' Baseline'!$U$10:$U$257))</f>
        <v/>
      </c>
      <c r="AD100" s="1000" t="str">
        <f>IF(AB100="","",SUMIF('F-1 Off-Site WaterC'' Baseline'!$AH$10:$AH$257,'Off-site gain site summary'!$AB100,'F-1 Off-Site WaterC'' Baseline'!$R$10:$R$257))</f>
        <v/>
      </c>
      <c r="AE100" s="1000" t="str">
        <f>IF(AB100="","",SUMIF('F-1 Off-Site WaterC'' Baseline'!$AH$10:$AH$257,'Off-site gain site summary'!$AB100,'F-1 Off-Site WaterC'' Baseline'!$Z$10:$Z$257))</f>
        <v/>
      </c>
      <c r="AF100" s="1000" t="str">
        <f>IF(AB100="","",SUMIF('F-1 Off-Site WaterC'' Baseline'!$AH$10:$AH$257,'Off-site gain site summary'!$AB100,'F-1 Off-Site WaterC'' Baseline'!$BA$10:$BA$257))</f>
        <v/>
      </c>
      <c r="AG100" s="1000" t="str">
        <f>IF(AB100="","",SUMIF('F-3 Off-Site WaterC Enhancement'!$AT$12:$AT$257,'Off-site gain site summary'!$AB100,'F-3 Off-Site WaterC Enhancement'!$AP$12:$AP$257))</f>
        <v/>
      </c>
      <c r="AH100" s="1000" t="str">
        <f>IF(AB100="","",SUMIF('F-3 Off-Site WaterC Enhancement'!$AT$12:$AT$257,'Off-site gain site summary'!$AB100,'F-3 Off-Site WaterC Enhancement'!$AO$12:$AO$257))</f>
        <v/>
      </c>
      <c r="AI100" s="1000" t="str">
        <f>IF(AB100="","",SUMIF('F-2 Off-Site WaterC'' Creation'!$AG$12:$AG$259,'Off-site gain site summary'!$AB100,'F-2 Off-Site WaterC'' Creation'!$AC$12:$AC$259))</f>
        <v/>
      </c>
      <c r="AJ100" s="1000" t="str">
        <f>IF(AB100="","",SUMIF('F-2 Off-Site WaterC'' Creation'!$AG$12:$AG$259,'Off-site gain site summary'!$AB100,'F-2 Off-Site WaterC'' Creation'!$AB$12:$AB$259))</f>
        <v/>
      </c>
      <c r="AK100" s="1000" t="str">
        <f t="shared" si="10"/>
        <v/>
      </c>
      <c r="AL100" s="1000" t="str">
        <f>IF(ISBLANK(AB100),"",IFERROR(_xlfn.XLOOKUP(AB100,'F-2 Off-Site WaterC'' Creation'!$AG$12:$AG$258,'F-2 Off-Site WaterC'' Creation'!$AA$12:$AA$258),IFERROR(_xlfn.XLOOKUP(AB100,'F-1 Off-Site WaterC'' Baseline'!$AH$10:$AH$257,'F-1 Off-Site WaterC'' Baseline'!$T$10:$T$257)," ")))</f>
        <v/>
      </c>
      <c r="AM100" s="986" t="str">
        <f t="shared" si="11"/>
        <v/>
      </c>
      <c r="AN100" s="1469"/>
      <c r="AO100" s="1469"/>
    </row>
    <row r="101" spans="1:41" s="992" customFormat="1" ht="43.5" customHeight="1">
      <c r="A101" s="988">
        <f>'D-1 Off-Site Habitat Baseline'!AF105</f>
        <v>0</v>
      </c>
      <c r="B101" s="996"/>
      <c r="C101" s="997" t="str">
        <f>IF(B101="","",SUMIF('D-1 Off-Site Habitat Baseline'!AF105:AF352,B101,'D-1 Off-Site Habitat Baseline'!T105:T352))</f>
        <v/>
      </c>
      <c r="D101" s="990" t="str">
        <f>IF(B101="","",SUMIF('D-1 Off-Site Habitat Baseline'!$AF$11:$AF$258,B101,'D-1 Off-Site Habitat Baseline'!$Q$11:$Q$258))</f>
        <v/>
      </c>
      <c r="E101" s="998" t="str">
        <f>IF(B101="","",SUMIF('D-1 Off-Site Habitat Baseline'!$AF$11:$AF$258,'Off-site gain site summary'!$B101,'D-1 Off-Site Habitat Baseline'!$X$11:$X$258))</f>
        <v/>
      </c>
      <c r="F101" s="999" t="str">
        <f>IF(B101="","",SUMIF('D-1 Off-Site Habitat Baseline'!$AF$11:$AF$258,'Off-site gain site summary'!$B101,'D-1 Off-Site Habitat Baseline'!$AY$11:$AY$258))</f>
        <v/>
      </c>
      <c r="G101" s="998" t="str">
        <f>IF(B101="","",SUMIF('D-3 Off-Site Habitat Enhancment'!$AU$12:$AU$258,'Off-site gain site summary'!B101,'D-3 Off-Site Habitat Enhancment'!$AQ$12:$AQ$258))</f>
        <v/>
      </c>
      <c r="H101" s="999" t="str">
        <f>IF(B101="","",SUMIF('D-3 Off-Site Habitat Enhancment'!$AU$12:$AU$258,'Off-site gain site summary'!B101,'D-3 Off-Site Habitat Enhancment'!$AP$12:$AP$258))</f>
        <v/>
      </c>
      <c r="I101" s="998" t="str">
        <f>IF(B101="","",SUMIF('D-2 Off-Site Habitat Creation'!$AF$11:$AF$256,'Off-site gain site summary'!B101,'D-2 Off-Site Habitat Creation'!$AB$11:$AB$256))</f>
        <v/>
      </c>
      <c r="J101" s="999" t="str">
        <f>IF(B101="","",SUMIF('D-2 Off-Site Habitat Creation'!$AF$11:$AF$256,'Off-site gain site summary'!B101,'D-2 Off-Site Habitat Creation'!$AA$11:$AA$256))</f>
        <v/>
      </c>
      <c r="K101" s="1000" t="str">
        <f t="shared" si="6"/>
        <v/>
      </c>
      <c r="L101" s="997" t="str">
        <f>IF(ISBLANK(B101),"",IFERROR(_xlfn.XLOOKUP(B101,'D-2 Off-Site Habitat Creation'!$AF$11:$AF$256,'D-2 Off-Site Habitat Creation'!$Z$11:$Z$256),IFERROR(_xlfn.XLOOKUP(B101,'D-1 Off-Site Habitat Baseline'!AF$11:AF$258,'D-1 Off-Site Habitat Baseline'!S$11:S$258)," ")))</f>
        <v/>
      </c>
      <c r="M101" s="983" t="str">
        <f t="shared" si="7"/>
        <v/>
      </c>
      <c r="N101" s="988">
        <f>'E-1 Off-Site Hedge Baseline'!AB104</f>
        <v>0</v>
      </c>
      <c r="O101" s="996"/>
      <c r="P101" s="1000" t="str">
        <f>IF(O101="","",SUMIF('E-1 Off-Site Hedge Baseline'!AB$10:AB$257,'Off-site gain site summary'!O101,'E-1 Off-Site Hedge Baseline'!Q$10:Q$257))</f>
        <v/>
      </c>
      <c r="Q101" s="1000" t="str">
        <f>IF(O101="","",SUMIF('E-1 Off-Site Hedge Baseline'!AB$10:AB$257,O101,'E-1 Off-Site Hedge Baseline'!N$10:N$257))</f>
        <v/>
      </c>
      <c r="R101" s="1000" t="str">
        <f>IF(O101="","",SUMIF('E-1 Off-Site Hedge Baseline'!$AB$10:$AB$257,'Off-site gain site summary'!$O101,'E-1 Off-Site Hedge Baseline'!$U$10:$U$257))</f>
        <v/>
      </c>
      <c r="S101" s="1000" t="str">
        <f>IF(O101="","",SUMIF('E-1 Off-Site Hedge Baseline'!$AB$10:$AB$257,'Off-site gain site summary'!$O101,'E-1 Off-Site Hedge Baseline'!$AY$10:$AY$257))</f>
        <v/>
      </c>
      <c r="T101" s="1000" t="str">
        <f>IF(O101="","",SUMIF('E-3 Off-Site Hedge Enhancement'!$AO$12:$AO$257,'Off-site gain site summary'!$O101,'E-3 Off-Site Hedge Enhancement'!$AK$12:$AK$257))</f>
        <v/>
      </c>
      <c r="U101" s="1000" t="str">
        <f>IF(O101="","",SUMIF('E-3 Off-Site Hedge Enhancement'!$AO$12:$AO$257,'Off-site gain site summary'!$O101,'E-3 Off-Site Hedge Enhancement'!$AJ$12:$AJ$257))</f>
        <v/>
      </c>
      <c r="V101" s="1000" t="str">
        <f>IF(O101="","",SUMIF('E-2 Off-Site Hedge Creation'!$AD$12:$AD$259,'Off-site gain site summary'!$O101,'E-2 Off-Site Hedge Creation'!$Z$12:$Z$259))</f>
        <v/>
      </c>
      <c r="W101" s="991" t="str">
        <f>IF(O101="","",SUMIF('E-2 Off-Site Hedge Creation'!$AD$12:$AD$259,'Off-site gain site summary'!$O101,'E-2 Off-Site Hedge Creation'!$Y$12:$Y$259))</f>
        <v/>
      </c>
      <c r="X101" s="991" t="str">
        <f t="shared" si="8"/>
        <v/>
      </c>
      <c r="Y101" s="991" t="str">
        <f>IF(ISBLANK(O101),"",IFERROR(_xlfn.XLOOKUP(O101,'E-2 Off-Site Hedge Creation'!$AD$12:$AD$259,'E-2 Off-Site Hedge Creation'!$N$12:$N$259),IFERROR(_xlfn.XLOOKUP(O101,'E-1 Off-Site Hedge Baseline'!$AB$10:$AB$257,'E-1 Off-Site Hedge Baseline'!$P$10:$P$257)," ")))</f>
        <v/>
      </c>
      <c r="Z101" s="986" t="str">
        <f t="shared" si="9"/>
        <v/>
      </c>
      <c r="AA101" s="992">
        <f>'F-1 Off-Site WaterC'' Baseline'!AH104</f>
        <v>0</v>
      </c>
      <c r="AB101" s="996"/>
      <c r="AC101" s="1000" t="str">
        <f>IF(AB101="","",SUMIF('F-1 Off-Site WaterC'' Baseline'!$AH$10:$AH$257,'Off-site gain site summary'!$AB101,'F-1 Off-Site WaterC'' Baseline'!$U$10:$U$257))</f>
        <v/>
      </c>
      <c r="AD101" s="1000" t="str">
        <f>IF(AB101="","",SUMIF('F-1 Off-Site WaterC'' Baseline'!$AH$10:$AH$257,'Off-site gain site summary'!$AB101,'F-1 Off-Site WaterC'' Baseline'!$R$10:$R$257))</f>
        <v/>
      </c>
      <c r="AE101" s="1000" t="str">
        <f>IF(AB101="","",SUMIF('F-1 Off-Site WaterC'' Baseline'!$AH$10:$AH$257,'Off-site gain site summary'!$AB101,'F-1 Off-Site WaterC'' Baseline'!$Z$10:$Z$257))</f>
        <v/>
      </c>
      <c r="AF101" s="1000" t="str">
        <f>IF(AB101="","",SUMIF('F-1 Off-Site WaterC'' Baseline'!$AH$10:$AH$257,'Off-site gain site summary'!$AB101,'F-1 Off-Site WaterC'' Baseline'!$BA$10:$BA$257))</f>
        <v/>
      </c>
      <c r="AG101" s="1000" t="str">
        <f>IF(AB101="","",SUMIF('F-3 Off-Site WaterC Enhancement'!$AT$12:$AT$257,'Off-site gain site summary'!$AB101,'F-3 Off-Site WaterC Enhancement'!$AP$12:$AP$257))</f>
        <v/>
      </c>
      <c r="AH101" s="1000" t="str">
        <f>IF(AB101="","",SUMIF('F-3 Off-Site WaterC Enhancement'!$AT$12:$AT$257,'Off-site gain site summary'!$AB101,'F-3 Off-Site WaterC Enhancement'!$AO$12:$AO$257))</f>
        <v/>
      </c>
      <c r="AI101" s="1000" t="str">
        <f>IF(AB101="","",SUMIF('F-2 Off-Site WaterC'' Creation'!$AG$12:$AG$259,'Off-site gain site summary'!$AB101,'F-2 Off-Site WaterC'' Creation'!$AC$12:$AC$259))</f>
        <v/>
      </c>
      <c r="AJ101" s="1000" t="str">
        <f>IF(AB101="","",SUMIF('F-2 Off-Site WaterC'' Creation'!$AG$12:$AG$259,'Off-site gain site summary'!$AB101,'F-2 Off-Site WaterC'' Creation'!$AB$12:$AB$259))</f>
        <v/>
      </c>
      <c r="AK101" s="1000" t="str">
        <f t="shared" si="10"/>
        <v/>
      </c>
      <c r="AL101" s="1000" t="str">
        <f>IF(ISBLANK(AB101),"",IFERROR(_xlfn.XLOOKUP(AB101,'F-2 Off-Site WaterC'' Creation'!$AG$12:$AG$258,'F-2 Off-Site WaterC'' Creation'!$AA$12:$AA$258),IFERROR(_xlfn.XLOOKUP(AB101,'F-1 Off-Site WaterC'' Baseline'!$AH$10:$AH$257,'F-1 Off-Site WaterC'' Baseline'!$T$10:$T$257)," ")))</f>
        <v/>
      </c>
      <c r="AM101" s="986" t="str">
        <f t="shared" si="11"/>
        <v/>
      </c>
      <c r="AN101" s="1469"/>
      <c r="AO101" s="1469"/>
    </row>
    <row r="102" spans="1:41" s="992" customFormat="1" ht="43.5" customHeight="1">
      <c r="A102" s="988">
        <f>'D-1 Off-Site Habitat Baseline'!AF106</f>
        <v>0</v>
      </c>
      <c r="B102" s="996"/>
      <c r="C102" s="997" t="str">
        <f>IF(B102="","",SUMIF('D-1 Off-Site Habitat Baseline'!AF106:AF353,B102,'D-1 Off-Site Habitat Baseline'!T106:T353))</f>
        <v/>
      </c>
      <c r="D102" s="990" t="str">
        <f>IF(B102="","",SUMIF('D-1 Off-Site Habitat Baseline'!$AF$11:$AF$258,B102,'D-1 Off-Site Habitat Baseline'!$Q$11:$Q$258))</f>
        <v/>
      </c>
      <c r="E102" s="998" t="str">
        <f>IF(B102="","",SUMIF('D-1 Off-Site Habitat Baseline'!$AF$11:$AF$258,'Off-site gain site summary'!$B102,'D-1 Off-Site Habitat Baseline'!$X$11:$X$258))</f>
        <v/>
      </c>
      <c r="F102" s="999" t="str">
        <f>IF(B102="","",SUMIF('D-1 Off-Site Habitat Baseline'!$AF$11:$AF$258,'Off-site gain site summary'!$B102,'D-1 Off-Site Habitat Baseline'!$AY$11:$AY$258))</f>
        <v/>
      </c>
      <c r="G102" s="998" t="str">
        <f>IF(B102="","",SUMIF('D-3 Off-Site Habitat Enhancment'!$AU$12:$AU$258,'Off-site gain site summary'!B102,'D-3 Off-Site Habitat Enhancment'!$AQ$12:$AQ$258))</f>
        <v/>
      </c>
      <c r="H102" s="999" t="str">
        <f>IF(B102="","",SUMIF('D-3 Off-Site Habitat Enhancment'!$AU$12:$AU$258,'Off-site gain site summary'!B102,'D-3 Off-Site Habitat Enhancment'!$AP$12:$AP$258))</f>
        <v/>
      </c>
      <c r="I102" s="998" t="str">
        <f>IF(B102="","",SUMIF('D-2 Off-Site Habitat Creation'!$AF$11:$AF$256,'Off-site gain site summary'!B102,'D-2 Off-Site Habitat Creation'!$AB$11:$AB$256))</f>
        <v/>
      </c>
      <c r="J102" s="999" t="str">
        <f>IF(B102="","",SUMIF('D-2 Off-Site Habitat Creation'!$AF$11:$AF$256,'Off-site gain site summary'!B102,'D-2 Off-Site Habitat Creation'!$AA$11:$AA$256))</f>
        <v/>
      </c>
      <c r="K102" s="1000" t="str">
        <f t="shared" si="6"/>
        <v/>
      </c>
      <c r="L102" s="997" t="str">
        <f>IF(ISBLANK(B102),"",IFERROR(_xlfn.XLOOKUP(B102,'D-2 Off-Site Habitat Creation'!$AF$11:$AF$256,'D-2 Off-Site Habitat Creation'!$Z$11:$Z$256),IFERROR(_xlfn.XLOOKUP(B102,'D-1 Off-Site Habitat Baseline'!AF$11:AF$258,'D-1 Off-Site Habitat Baseline'!S$11:S$258)," ")))</f>
        <v/>
      </c>
      <c r="M102" s="983" t="str">
        <f t="shared" si="7"/>
        <v/>
      </c>
      <c r="N102" s="988">
        <f>'E-1 Off-Site Hedge Baseline'!AB105</f>
        <v>0</v>
      </c>
      <c r="O102" s="996"/>
      <c r="P102" s="1000" t="str">
        <f>IF(O102="","",SUMIF('E-1 Off-Site Hedge Baseline'!AB$10:AB$257,'Off-site gain site summary'!O102,'E-1 Off-Site Hedge Baseline'!Q$10:Q$257))</f>
        <v/>
      </c>
      <c r="Q102" s="1000" t="str">
        <f>IF(O102="","",SUMIF('E-1 Off-Site Hedge Baseline'!AB$10:AB$257,O102,'E-1 Off-Site Hedge Baseline'!N$10:N$257))</f>
        <v/>
      </c>
      <c r="R102" s="1000" t="str">
        <f>IF(O102="","",SUMIF('E-1 Off-Site Hedge Baseline'!$AB$10:$AB$257,'Off-site gain site summary'!$O102,'E-1 Off-Site Hedge Baseline'!$U$10:$U$257))</f>
        <v/>
      </c>
      <c r="S102" s="1000" t="str">
        <f>IF(O102="","",SUMIF('E-1 Off-Site Hedge Baseline'!$AB$10:$AB$257,'Off-site gain site summary'!$O102,'E-1 Off-Site Hedge Baseline'!$AY$10:$AY$257))</f>
        <v/>
      </c>
      <c r="T102" s="1000" t="str">
        <f>IF(O102="","",SUMIF('E-3 Off-Site Hedge Enhancement'!$AO$12:$AO$257,'Off-site gain site summary'!$O102,'E-3 Off-Site Hedge Enhancement'!$AK$12:$AK$257))</f>
        <v/>
      </c>
      <c r="U102" s="1000" t="str">
        <f>IF(O102="","",SUMIF('E-3 Off-Site Hedge Enhancement'!$AO$12:$AO$257,'Off-site gain site summary'!$O102,'E-3 Off-Site Hedge Enhancement'!$AJ$12:$AJ$257))</f>
        <v/>
      </c>
      <c r="V102" s="1000" t="str">
        <f>IF(O102="","",SUMIF('E-2 Off-Site Hedge Creation'!$AD$12:$AD$259,'Off-site gain site summary'!$O102,'E-2 Off-Site Hedge Creation'!$Z$12:$Z$259))</f>
        <v/>
      </c>
      <c r="W102" s="991" t="str">
        <f>IF(O102="","",SUMIF('E-2 Off-Site Hedge Creation'!$AD$12:$AD$259,'Off-site gain site summary'!$O102,'E-2 Off-Site Hedge Creation'!$Y$12:$Y$259))</f>
        <v/>
      </c>
      <c r="X102" s="991" t="str">
        <f t="shared" si="8"/>
        <v/>
      </c>
      <c r="Y102" s="991" t="str">
        <f>IF(ISBLANK(O102),"",IFERROR(_xlfn.XLOOKUP(O102,'E-2 Off-Site Hedge Creation'!$AD$12:$AD$259,'E-2 Off-Site Hedge Creation'!$N$12:$N$259),IFERROR(_xlfn.XLOOKUP(O102,'E-1 Off-Site Hedge Baseline'!$AB$10:$AB$257,'E-1 Off-Site Hedge Baseline'!$P$10:$P$257)," ")))</f>
        <v/>
      </c>
      <c r="Z102" s="986" t="str">
        <f t="shared" si="9"/>
        <v/>
      </c>
      <c r="AA102" s="992">
        <f>'F-1 Off-Site WaterC'' Baseline'!AH105</f>
        <v>0</v>
      </c>
      <c r="AB102" s="996"/>
      <c r="AC102" s="1000" t="str">
        <f>IF(AB102="","",SUMIF('F-1 Off-Site WaterC'' Baseline'!$AH$10:$AH$257,'Off-site gain site summary'!$AB102,'F-1 Off-Site WaterC'' Baseline'!$U$10:$U$257))</f>
        <v/>
      </c>
      <c r="AD102" s="1000" t="str">
        <f>IF(AB102="","",SUMIF('F-1 Off-Site WaterC'' Baseline'!$AH$10:$AH$257,'Off-site gain site summary'!$AB102,'F-1 Off-Site WaterC'' Baseline'!$R$10:$R$257))</f>
        <v/>
      </c>
      <c r="AE102" s="1000" t="str">
        <f>IF(AB102="","",SUMIF('F-1 Off-Site WaterC'' Baseline'!$AH$10:$AH$257,'Off-site gain site summary'!$AB102,'F-1 Off-Site WaterC'' Baseline'!$Z$10:$Z$257))</f>
        <v/>
      </c>
      <c r="AF102" s="1000" t="str">
        <f>IF(AB102="","",SUMIF('F-1 Off-Site WaterC'' Baseline'!$AH$10:$AH$257,'Off-site gain site summary'!$AB102,'F-1 Off-Site WaterC'' Baseline'!$BA$10:$BA$257))</f>
        <v/>
      </c>
      <c r="AG102" s="1000" t="str">
        <f>IF(AB102="","",SUMIF('F-3 Off-Site WaterC Enhancement'!$AT$12:$AT$257,'Off-site gain site summary'!$AB102,'F-3 Off-Site WaterC Enhancement'!$AP$12:$AP$257))</f>
        <v/>
      </c>
      <c r="AH102" s="1000" t="str">
        <f>IF(AB102="","",SUMIF('F-3 Off-Site WaterC Enhancement'!$AT$12:$AT$257,'Off-site gain site summary'!$AB102,'F-3 Off-Site WaterC Enhancement'!$AO$12:$AO$257))</f>
        <v/>
      </c>
      <c r="AI102" s="1000" t="str">
        <f>IF(AB102="","",SUMIF('F-2 Off-Site WaterC'' Creation'!$AG$12:$AG$259,'Off-site gain site summary'!$AB102,'F-2 Off-Site WaterC'' Creation'!$AC$12:$AC$259))</f>
        <v/>
      </c>
      <c r="AJ102" s="1000" t="str">
        <f>IF(AB102="","",SUMIF('F-2 Off-Site WaterC'' Creation'!$AG$12:$AG$259,'Off-site gain site summary'!$AB102,'F-2 Off-Site WaterC'' Creation'!$AB$12:$AB$259))</f>
        <v/>
      </c>
      <c r="AK102" s="1000" t="str">
        <f t="shared" si="10"/>
        <v/>
      </c>
      <c r="AL102" s="1000" t="str">
        <f>IF(ISBLANK(AB102),"",IFERROR(_xlfn.XLOOKUP(AB102,'F-2 Off-Site WaterC'' Creation'!$AG$12:$AG$258,'F-2 Off-Site WaterC'' Creation'!$AA$12:$AA$258),IFERROR(_xlfn.XLOOKUP(AB102,'F-1 Off-Site WaterC'' Baseline'!$AH$10:$AH$257,'F-1 Off-Site WaterC'' Baseline'!$T$10:$T$257)," ")))</f>
        <v/>
      </c>
      <c r="AM102" s="986" t="str">
        <f t="shared" si="11"/>
        <v/>
      </c>
      <c r="AN102" s="1469"/>
      <c r="AO102" s="1469"/>
    </row>
    <row r="103" spans="1:41" s="992" customFormat="1" ht="43.5" customHeight="1">
      <c r="A103" s="988">
        <f>'D-1 Off-Site Habitat Baseline'!AF107</f>
        <v>0</v>
      </c>
      <c r="B103" s="996"/>
      <c r="C103" s="997" t="str">
        <f>IF(B103="","",SUMIF('D-1 Off-Site Habitat Baseline'!AF107:AF354,B103,'D-1 Off-Site Habitat Baseline'!T107:T354))</f>
        <v/>
      </c>
      <c r="D103" s="990" t="str">
        <f>IF(B103="","",SUMIF('D-1 Off-Site Habitat Baseline'!$AF$11:$AF$258,B103,'D-1 Off-Site Habitat Baseline'!$Q$11:$Q$258))</f>
        <v/>
      </c>
      <c r="E103" s="998" t="str">
        <f>IF(B103="","",SUMIF('D-1 Off-Site Habitat Baseline'!$AF$11:$AF$258,'Off-site gain site summary'!$B103,'D-1 Off-Site Habitat Baseline'!$X$11:$X$258))</f>
        <v/>
      </c>
      <c r="F103" s="999" t="str">
        <f>IF(B103="","",SUMIF('D-1 Off-Site Habitat Baseline'!$AF$11:$AF$258,'Off-site gain site summary'!$B103,'D-1 Off-Site Habitat Baseline'!$AY$11:$AY$258))</f>
        <v/>
      </c>
      <c r="G103" s="998" t="str">
        <f>IF(B103="","",SUMIF('D-3 Off-Site Habitat Enhancment'!$AU$12:$AU$258,'Off-site gain site summary'!B103,'D-3 Off-Site Habitat Enhancment'!$AQ$12:$AQ$258))</f>
        <v/>
      </c>
      <c r="H103" s="999" t="str">
        <f>IF(B103="","",SUMIF('D-3 Off-Site Habitat Enhancment'!$AU$12:$AU$258,'Off-site gain site summary'!B103,'D-3 Off-Site Habitat Enhancment'!$AP$12:$AP$258))</f>
        <v/>
      </c>
      <c r="I103" s="998" t="str">
        <f>IF(B103="","",SUMIF('D-2 Off-Site Habitat Creation'!$AF$11:$AF$256,'Off-site gain site summary'!B103,'D-2 Off-Site Habitat Creation'!$AB$11:$AB$256))</f>
        <v/>
      </c>
      <c r="J103" s="999" t="str">
        <f>IF(B103="","",SUMIF('D-2 Off-Site Habitat Creation'!$AF$11:$AF$256,'Off-site gain site summary'!B103,'D-2 Off-Site Habitat Creation'!$AA$11:$AA$256))</f>
        <v/>
      </c>
      <c r="K103" s="1000" t="str">
        <f t="shared" si="6"/>
        <v/>
      </c>
      <c r="L103" s="997" t="str">
        <f>IF(ISBLANK(B103),"",IFERROR(_xlfn.XLOOKUP(B103,'D-2 Off-Site Habitat Creation'!$AF$11:$AF$256,'D-2 Off-Site Habitat Creation'!$Z$11:$Z$256),IFERROR(_xlfn.XLOOKUP(B103,'D-1 Off-Site Habitat Baseline'!AF$11:AF$258,'D-1 Off-Site Habitat Baseline'!S$11:S$258)," ")))</f>
        <v/>
      </c>
      <c r="M103" s="983" t="str">
        <f t="shared" si="7"/>
        <v/>
      </c>
      <c r="N103" s="988">
        <f>'E-1 Off-Site Hedge Baseline'!AB106</f>
        <v>0</v>
      </c>
      <c r="O103" s="996"/>
      <c r="P103" s="1000" t="str">
        <f>IF(O103="","",SUMIF('E-1 Off-Site Hedge Baseline'!AB$10:AB$257,'Off-site gain site summary'!O103,'E-1 Off-Site Hedge Baseline'!Q$10:Q$257))</f>
        <v/>
      </c>
      <c r="Q103" s="1000" t="str">
        <f>IF(O103="","",SUMIF('E-1 Off-Site Hedge Baseline'!AB$10:AB$257,O103,'E-1 Off-Site Hedge Baseline'!N$10:N$257))</f>
        <v/>
      </c>
      <c r="R103" s="1000" t="str">
        <f>IF(O103="","",SUMIF('E-1 Off-Site Hedge Baseline'!$AB$10:$AB$257,'Off-site gain site summary'!$O103,'E-1 Off-Site Hedge Baseline'!$U$10:$U$257))</f>
        <v/>
      </c>
      <c r="S103" s="1000" t="str">
        <f>IF(O103="","",SUMIF('E-1 Off-Site Hedge Baseline'!$AB$10:$AB$257,'Off-site gain site summary'!$O103,'E-1 Off-Site Hedge Baseline'!$AY$10:$AY$257))</f>
        <v/>
      </c>
      <c r="T103" s="1000" t="str">
        <f>IF(O103="","",SUMIF('E-3 Off-Site Hedge Enhancement'!$AO$12:$AO$257,'Off-site gain site summary'!$O103,'E-3 Off-Site Hedge Enhancement'!$AK$12:$AK$257))</f>
        <v/>
      </c>
      <c r="U103" s="1000" t="str">
        <f>IF(O103="","",SUMIF('E-3 Off-Site Hedge Enhancement'!$AO$12:$AO$257,'Off-site gain site summary'!$O103,'E-3 Off-Site Hedge Enhancement'!$AJ$12:$AJ$257))</f>
        <v/>
      </c>
      <c r="V103" s="1000" t="str">
        <f>IF(O103="","",SUMIF('E-2 Off-Site Hedge Creation'!$AD$12:$AD$259,'Off-site gain site summary'!$O103,'E-2 Off-Site Hedge Creation'!$Z$12:$Z$259))</f>
        <v/>
      </c>
      <c r="W103" s="991" t="str">
        <f>IF(O103="","",SUMIF('E-2 Off-Site Hedge Creation'!$AD$12:$AD$259,'Off-site gain site summary'!$O103,'E-2 Off-Site Hedge Creation'!$Y$12:$Y$259))</f>
        <v/>
      </c>
      <c r="X103" s="991" t="str">
        <f t="shared" si="8"/>
        <v/>
      </c>
      <c r="Y103" s="991" t="str">
        <f>IF(ISBLANK(O103),"",IFERROR(_xlfn.XLOOKUP(O103,'E-2 Off-Site Hedge Creation'!$AD$12:$AD$259,'E-2 Off-Site Hedge Creation'!$N$12:$N$259),IFERROR(_xlfn.XLOOKUP(O103,'E-1 Off-Site Hedge Baseline'!$AB$10:$AB$257,'E-1 Off-Site Hedge Baseline'!$P$10:$P$257)," ")))</f>
        <v/>
      </c>
      <c r="Z103" s="986" t="str">
        <f t="shared" si="9"/>
        <v/>
      </c>
      <c r="AA103" s="992">
        <f>'F-1 Off-Site WaterC'' Baseline'!AH106</f>
        <v>0</v>
      </c>
      <c r="AB103" s="996"/>
      <c r="AC103" s="1000" t="str">
        <f>IF(AB103="","",SUMIF('F-1 Off-Site WaterC'' Baseline'!$AH$10:$AH$257,'Off-site gain site summary'!$AB103,'F-1 Off-Site WaterC'' Baseline'!$U$10:$U$257))</f>
        <v/>
      </c>
      <c r="AD103" s="1000" t="str">
        <f>IF(AB103="","",SUMIF('F-1 Off-Site WaterC'' Baseline'!$AH$10:$AH$257,'Off-site gain site summary'!$AB103,'F-1 Off-Site WaterC'' Baseline'!$R$10:$R$257))</f>
        <v/>
      </c>
      <c r="AE103" s="1000" t="str">
        <f>IF(AB103="","",SUMIF('F-1 Off-Site WaterC'' Baseline'!$AH$10:$AH$257,'Off-site gain site summary'!$AB103,'F-1 Off-Site WaterC'' Baseline'!$Z$10:$Z$257))</f>
        <v/>
      </c>
      <c r="AF103" s="1000" t="str">
        <f>IF(AB103="","",SUMIF('F-1 Off-Site WaterC'' Baseline'!$AH$10:$AH$257,'Off-site gain site summary'!$AB103,'F-1 Off-Site WaterC'' Baseline'!$BA$10:$BA$257))</f>
        <v/>
      </c>
      <c r="AG103" s="1000" t="str">
        <f>IF(AB103="","",SUMIF('F-3 Off-Site WaterC Enhancement'!$AT$12:$AT$257,'Off-site gain site summary'!$AB103,'F-3 Off-Site WaterC Enhancement'!$AP$12:$AP$257))</f>
        <v/>
      </c>
      <c r="AH103" s="1000" t="str">
        <f>IF(AB103="","",SUMIF('F-3 Off-Site WaterC Enhancement'!$AT$12:$AT$257,'Off-site gain site summary'!$AB103,'F-3 Off-Site WaterC Enhancement'!$AO$12:$AO$257))</f>
        <v/>
      </c>
      <c r="AI103" s="1000" t="str">
        <f>IF(AB103="","",SUMIF('F-2 Off-Site WaterC'' Creation'!$AG$12:$AG$259,'Off-site gain site summary'!$AB103,'F-2 Off-Site WaterC'' Creation'!$AC$12:$AC$259))</f>
        <v/>
      </c>
      <c r="AJ103" s="1000" t="str">
        <f>IF(AB103="","",SUMIF('F-2 Off-Site WaterC'' Creation'!$AG$12:$AG$259,'Off-site gain site summary'!$AB103,'F-2 Off-Site WaterC'' Creation'!$AB$12:$AB$259))</f>
        <v/>
      </c>
      <c r="AK103" s="1000" t="str">
        <f t="shared" si="10"/>
        <v/>
      </c>
      <c r="AL103" s="1000" t="str">
        <f>IF(ISBLANK(AB103),"",IFERROR(_xlfn.XLOOKUP(AB103,'F-2 Off-Site WaterC'' Creation'!$AG$12:$AG$258,'F-2 Off-Site WaterC'' Creation'!$AA$12:$AA$258),IFERROR(_xlfn.XLOOKUP(AB103,'F-1 Off-Site WaterC'' Baseline'!$AH$10:$AH$257,'F-1 Off-Site WaterC'' Baseline'!$T$10:$T$257)," ")))</f>
        <v/>
      </c>
      <c r="AM103" s="986" t="str">
        <f t="shared" si="11"/>
        <v/>
      </c>
      <c r="AN103" s="1469"/>
      <c r="AO103" s="1469"/>
    </row>
    <row r="104" spans="1:41" s="992" customFormat="1" ht="43.5" customHeight="1">
      <c r="A104" s="988">
        <f>'D-1 Off-Site Habitat Baseline'!AF108</f>
        <v>0</v>
      </c>
      <c r="B104" s="996"/>
      <c r="C104" s="997" t="str">
        <f>IF(B104="","",SUMIF('D-1 Off-Site Habitat Baseline'!AF108:AF355,B104,'D-1 Off-Site Habitat Baseline'!T108:T355))</f>
        <v/>
      </c>
      <c r="D104" s="990" t="str">
        <f>IF(B104="","",SUMIF('D-1 Off-Site Habitat Baseline'!$AF$11:$AF$258,B104,'D-1 Off-Site Habitat Baseline'!$Q$11:$Q$258))</f>
        <v/>
      </c>
      <c r="E104" s="998" t="str">
        <f>IF(B104="","",SUMIF('D-1 Off-Site Habitat Baseline'!$AF$11:$AF$258,'Off-site gain site summary'!$B104,'D-1 Off-Site Habitat Baseline'!$X$11:$X$258))</f>
        <v/>
      </c>
      <c r="F104" s="999" t="str">
        <f>IF(B104="","",SUMIF('D-1 Off-Site Habitat Baseline'!$AF$11:$AF$258,'Off-site gain site summary'!$B104,'D-1 Off-Site Habitat Baseline'!$AY$11:$AY$258))</f>
        <v/>
      </c>
      <c r="G104" s="998" t="str">
        <f>IF(B104="","",SUMIF('D-3 Off-Site Habitat Enhancment'!$AU$12:$AU$258,'Off-site gain site summary'!B104,'D-3 Off-Site Habitat Enhancment'!$AQ$12:$AQ$258))</f>
        <v/>
      </c>
      <c r="H104" s="999" t="str">
        <f>IF(B104="","",SUMIF('D-3 Off-Site Habitat Enhancment'!$AU$12:$AU$258,'Off-site gain site summary'!B104,'D-3 Off-Site Habitat Enhancment'!$AP$12:$AP$258))</f>
        <v/>
      </c>
      <c r="I104" s="998" t="str">
        <f>IF(B104="","",SUMIF('D-2 Off-Site Habitat Creation'!$AF$11:$AF$256,'Off-site gain site summary'!B104,'D-2 Off-Site Habitat Creation'!$AB$11:$AB$256))</f>
        <v/>
      </c>
      <c r="J104" s="999" t="str">
        <f>IF(B104="","",SUMIF('D-2 Off-Site Habitat Creation'!$AF$11:$AF$256,'Off-site gain site summary'!B104,'D-2 Off-Site Habitat Creation'!$AA$11:$AA$256))</f>
        <v/>
      </c>
      <c r="K104" s="1000" t="str">
        <f t="shared" si="6"/>
        <v/>
      </c>
      <c r="L104" s="997" t="str">
        <f>IF(ISBLANK(B104),"",IFERROR(_xlfn.XLOOKUP(B104,'D-2 Off-Site Habitat Creation'!$AF$11:$AF$256,'D-2 Off-Site Habitat Creation'!$Z$11:$Z$256),IFERROR(_xlfn.XLOOKUP(B104,'D-1 Off-Site Habitat Baseline'!AF$11:AF$258,'D-1 Off-Site Habitat Baseline'!S$11:S$258)," ")))</f>
        <v/>
      </c>
      <c r="M104" s="983" t="str">
        <f t="shared" si="7"/>
        <v/>
      </c>
      <c r="N104" s="988">
        <f>'E-1 Off-Site Hedge Baseline'!AB107</f>
        <v>0</v>
      </c>
      <c r="O104" s="996"/>
      <c r="P104" s="1000" t="str">
        <f>IF(O104="","",SUMIF('E-1 Off-Site Hedge Baseline'!AB$10:AB$257,'Off-site gain site summary'!O104,'E-1 Off-Site Hedge Baseline'!Q$10:Q$257))</f>
        <v/>
      </c>
      <c r="Q104" s="1000" t="str">
        <f>IF(O104="","",SUMIF('E-1 Off-Site Hedge Baseline'!AB$10:AB$257,O104,'E-1 Off-Site Hedge Baseline'!N$10:N$257))</f>
        <v/>
      </c>
      <c r="R104" s="1000" t="str">
        <f>IF(O104="","",SUMIF('E-1 Off-Site Hedge Baseline'!$AB$10:$AB$257,'Off-site gain site summary'!$O104,'E-1 Off-Site Hedge Baseline'!$U$10:$U$257))</f>
        <v/>
      </c>
      <c r="S104" s="1000" t="str">
        <f>IF(O104="","",SUMIF('E-1 Off-Site Hedge Baseline'!$AB$10:$AB$257,'Off-site gain site summary'!$O104,'E-1 Off-Site Hedge Baseline'!$AY$10:$AY$257))</f>
        <v/>
      </c>
      <c r="T104" s="1000" t="str">
        <f>IF(O104="","",SUMIF('E-3 Off-Site Hedge Enhancement'!$AO$12:$AO$257,'Off-site gain site summary'!$O104,'E-3 Off-Site Hedge Enhancement'!$AK$12:$AK$257))</f>
        <v/>
      </c>
      <c r="U104" s="1000" t="str">
        <f>IF(O104="","",SUMIF('E-3 Off-Site Hedge Enhancement'!$AO$12:$AO$257,'Off-site gain site summary'!$O104,'E-3 Off-Site Hedge Enhancement'!$AJ$12:$AJ$257))</f>
        <v/>
      </c>
      <c r="V104" s="1000" t="str">
        <f>IF(O104="","",SUMIF('E-2 Off-Site Hedge Creation'!$AD$12:$AD$259,'Off-site gain site summary'!$O104,'E-2 Off-Site Hedge Creation'!$Z$12:$Z$259))</f>
        <v/>
      </c>
      <c r="W104" s="991" t="str">
        <f>IF(O104="","",SUMIF('E-2 Off-Site Hedge Creation'!$AD$12:$AD$259,'Off-site gain site summary'!$O104,'E-2 Off-Site Hedge Creation'!$Y$12:$Y$259))</f>
        <v/>
      </c>
      <c r="X104" s="991" t="str">
        <f t="shared" si="8"/>
        <v/>
      </c>
      <c r="Y104" s="991" t="str">
        <f>IF(ISBLANK(O104),"",IFERROR(_xlfn.XLOOKUP(O104,'E-2 Off-Site Hedge Creation'!$AD$12:$AD$259,'E-2 Off-Site Hedge Creation'!$N$12:$N$259),IFERROR(_xlfn.XLOOKUP(O104,'E-1 Off-Site Hedge Baseline'!$AB$10:$AB$257,'E-1 Off-Site Hedge Baseline'!$P$10:$P$257)," ")))</f>
        <v/>
      </c>
      <c r="Z104" s="986" t="str">
        <f t="shared" si="9"/>
        <v/>
      </c>
      <c r="AA104" s="992">
        <f>'F-1 Off-Site WaterC'' Baseline'!AH107</f>
        <v>0</v>
      </c>
      <c r="AB104" s="996"/>
      <c r="AC104" s="1000" t="str">
        <f>IF(AB104="","",SUMIF('F-1 Off-Site WaterC'' Baseline'!$AH$10:$AH$257,'Off-site gain site summary'!$AB104,'F-1 Off-Site WaterC'' Baseline'!$U$10:$U$257))</f>
        <v/>
      </c>
      <c r="AD104" s="1000" t="str">
        <f>IF(AB104="","",SUMIF('F-1 Off-Site WaterC'' Baseline'!$AH$10:$AH$257,'Off-site gain site summary'!$AB104,'F-1 Off-Site WaterC'' Baseline'!$R$10:$R$257))</f>
        <v/>
      </c>
      <c r="AE104" s="1000" t="str">
        <f>IF(AB104="","",SUMIF('F-1 Off-Site WaterC'' Baseline'!$AH$10:$AH$257,'Off-site gain site summary'!$AB104,'F-1 Off-Site WaterC'' Baseline'!$Z$10:$Z$257))</f>
        <v/>
      </c>
      <c r="AF104" s="1000" t="str">
        <f>IF(AB104="","",SUMIF('F-1 Off-Site WaterC'' Baseline'!$AH$10:$AH$257,'Off-site gain site summary'!$AB104,'F-1 Off-Site WaterC'' Baseline'!$BA$10:$BA$257))</f>
        <v/>
      </c>
      <c r="AG104" s="1000" t="str">
        <f>IF(AB104="","",SUMIF('F-3 Off-Site WaterC Enhancement'!$AT$12:$AT$257,'Off-site gain site summary'!$AB104,'F-3 Off-Site WaterC Enhancement'!$AP$12:$AP$257))</f>
        <v/>
      </c>
      <c r="AH104" s="1000" t="str">
        <f>IF(AB104="","",SUMIF('F-3 Off-Site WaterC Enhancement'!$AT$12:$AT$257,'Off-site gain site summary'!$AB104,'F-3 Off-Site WaterC Enhancement'!$AO$12:$AO$257))</f>
        <v/>
      </c>
      <c r="AI104" s="1000" t="str">
        <f>IF(AB104="","",SUMIF('F-2 Off-Site WaterC'' Creation'!$AG$12:$AG$259,'Off-site gain site summary'!$AB104,'F-2 Off-Site WaterC'' Creation'!$AC$12:$AC$259))</f>
        <v/>
      </c>
      <c r="AJ104" s="1000" t="str">
        <f>IF(AB104="","",SUMIF('F-2 Off-Site WaterC'' Creation'!$AG$12:$AG$259,'Off-site gain site summary'!$AB104,'F-2 Off-Site WaterC'' Creation'!$AB$12:$AB$259))</f>
        <v/>
      </c>
      <c r="AK104" s="1000" t="str">
        <f t="shared" si="10"/>
        <v/>
      </c>
      <c r="AL104" s="1000" t="str">
        <f>IF(ISBLANK(AB104),"",IFERROR(_xlfn.XLOOKUP(AB104,'F-2 Off-Site WaterC'' Creation'!$AG$12:$AG$258,'F-2 Off-Site WaterC'' Creation'!$AA$12:$AA$258),IFERROR(_xlfn.XLOOKUP(AB104,'F-1 Off-Site WaterC'' Baseline'!$AH$10:$AH$257,'F-1 Off-Site WaterC'' Baseline'!$T$10:$T$257)," ")))</f>
        <v/>
      </c>
      <c r="AM104" s="986" t="str">
        <f t="shared" si="11"/>
        <v/>
      </c>
      <c r="AN104" s="1469"/>
      <c r="AO104" s="1469"/>
    </row>
    <row r="105" spans="1:41" s="992" customFormat="1" ht="43.5" customHeight="1">
      <c r="A105" s="988">
        <f>'D-1 Off-Site Habitat Baseline'!AF109</f>
        <v>0</v>
      </c>
      <c r="B105" s="996"/>
      <c r="C105" s="997" t="str">
        <f>IF(B105="","",SUMIF('D-1 Off-Site Habitat Baseline'!AF109:AF356,B105,'D-1 Off-Site Habitat Baseline'!T109:T356))</f>
        <v/>
      </c>
      <c r="D105" s="990" t="str">
        <f>IF(B105="","",SUMIF('D-1 Off-Site Habitat Baseline'!$AF$11:$AF$258,B105,'D-1 Off-Site Habitat Baseline'!$Q$11:$Q$258))</f>
        <v/>
      </c>
      <c r="E105" s="998" t="str">
        <f>IF(B105="","",SUMIF('D-1 Off-Site Habitat Baseline'!$AF$11:$AF$258,'Off-site gain site summary'!$B105,'D-1 Off-Site Habitat Baseline'!$X$11:$X$258))</f>
        <v/>
      </c>
      <c r="F105" s="999" t="str">
        <f>IF(B105="","",SUMIF('D-1 Off-Site Habitat Baseline'!$AF$11:$AF$258,'Off-site gain site summary'!$B105,'D-1 Off-Site Habitat Baseline'!$AY$11:$AY$258))</f>
        <v/>
      </c>
      <c r="G105" s="998" t="str">
        <f>IF(B105="","",SUMIF('D-3 Off-Site Habitat Enhancment'!$AU$12:$AU$258,'Off-site gain site summary'!B105,'D-3 Off-Site Habitat Enhancment'!$AQ$12:$AQ$258))</f>
        <v/>
      </c>
      <c r="H105" s="999" t="str">
        <f>IF(B105="","",SUMIF('D-3 Off-Site Habitat Enhancment'!$AU$12:$AU$258,'Off-site gain site summary'!B105,'D-3 Off-Site Habitat Enhancment'!$AP$12:$AP$258))</f>
        <v/>
      </c>
      <c r="I105" s="998" t="str">
        <f>IF(B105="","",SUMIF('D-2 Off-Site Habitat Creation'!$AF$11:$AF$256,'Off-site gain site summary'!B105,'D-2 Off-Site Habitat Creation'!$AB$11:$AB$256))</f>
        <v/>
      </c>
      <c r="J105" s="999" t="str">
        <f>IF(B105="","",SUMIF('D-2 Off-Site Habitat Creation'!$AF$11:$AF$256,'Off-site gain site summary'!B105,'D-2 Off-Site Habitat Creation'!$AA$11:$AA$256))</f>
        <v/>
      </c>
      <c r="K105" s="1000" t="str">
        <f t="shared" si="6"/>
        <v/>
      </c>
      <c r="L105" s="997" t="str">
        <f>IF(ISBLANK(B105),"",IFERROR(_xlfn.XLOOKUP(B105,'D-2 Off-Site Habitat Creation'!$AF$11:$AF$256,'D-2 Off-Site Habitat Creation'!$Z$11:$Z$256),IFERROR(_xlfn.XLOOKUP(B105,'D-1 Off-Site Habitat Baseline'!AF$11:AF$258,'D-1 Off-Site Habitat Baseline'!S$11:S$258)," ")))</f>
        <v/>
      </c>
      <c r="M105" s="983" t="str">
        <f t="shared" si="7"/>
        <v/>
      </c>
      <c r="N105" s="988">
        <f>'E-1 Off-Site Hedge Baseline'!AB108</f>
        <v>0</v>
      </c>
      <c r="O105" s="996"/>
      <c r="P105" s="1000" t="str">
        <f>IF(O105="","",SUMIF('E-1 Off-Site Hedge Baseline'!AB$10:AB$257,'Off-site gain site summary'!O105,'E-1 Off-Site Hedge Baseline'!Q$10:Q$257))</f>
        <v/>
      </c>
      <c r="Q105" s="1000" t="str">
        <f>IF(O105="","",SUMIF('E-1 Off-Site Hedge Baseline'!AB$10:AB$257,O105,'E-1 Off-Site Hedge Baseline'!N$10:N$257))</f>
        <v/>
      </c>
      <c r="R105" s="1000" t="str">
        <f>IF(O105="","",SUMIF('E-1 Off-Site Hedge Baseline'!$AB$10:$AB$257,'Off-site gain site summary'!$O105,'E-1 Off-Site Hedge Baseline'!$U$10:$U$257))</f>
        <v/>
      </c>
      <c r="S105" s="1000" t="str">
        <f>IF(O105="","",SUMIF('E-1 Off-Site Hedge Baseline'!$AB$10:$AB$257,'Off-site gain site summary'!$O105,'E-1 Off-Site Hedge Baseline'!$AY$10:$AY$257))</f>
        <v/>
      </c>
      <c r="T105" s="1000" t="str">
        <f>IF(O105="","",SUMIF('E-3 Off-Site Hedge Enhancement'!$AO$12:$AO$257,'Off-site gain site summary'!$O105,'E-3 Off-Site Hedge Enhancement'!$AK$12:$AK$257))</f>
        <v/>
      </c>
      <c r="U105" s="1000" t="str">
        <f>IF(O105="","",SUMIF('E-3 Off-Site Hedge Enhancement'!$AO$12:$AO$257,'Off-site gain site summary'!$O105,'E-3 Off-Site Hedge Enhancement'!$AJ$12:$AJ$257))</f>
        <v/>
      </c>
      <c r="V105" s="1000" t="str">
        <f>IF(O105="","",SUMIF('E-2 Off-Site Hedge Creation'!$AD$12:$AD$259,'Off-site gain site summary'!$O105,'E-2 Off-Site Hedge Creation'!$Z$12:$Z$259))</f>
        <v/>
      </c>
      <c r="W105" s="991" t="str">
        <f>IF(O105="","",SUMIF('E-2 Off-Site Hedge Creation'!$AD$12:$AD$259,'Off-site gain site summary'!$O105,'E-2 Off-Site Hedge Creation'!$Y$12:$Y$259))</f>
        <v/>
      </c>
      <c r="X105" s="991" t="str">
        <f t="shared" si="8"/>
        <v/>
      </c>
      <c r="Y105" s="991" t="str">
        <f>IF(ISBLANK(O105),"",IFERROR(_xlfn.XLOOKUP(O105,'E-2 Off-Site Hedge Creation'!$AD$12:$AD$259,'E-2 Off-Site Hedge Creation'!$N$12:$N$259),IFERROR(_xlfn.XLOOKUP(O105,'E-1 Off-Site Hedge Baseline'!$AB$10:$AB$257,'E-1 Off-Site Hedge Baseline'!$P$10:$P$257)," ")))</f>
        <v/>
      </c>
      <c r="Z105" s="986" t="str">
        <f t="shared" si="9"/>
        <v/>
      </c>
      <c r="AA105" s="992">
        <f>'F-1 Off-Site WaterC'' Baseline'!AH108</f>
        <v>0</v>
      </c>
      <c r="AB105" s="996"/>
      <c r="AC105" s="1000" t="str">
        <f>IF(AB105="","",SUMIF('F-1 Off-Site WaterC'' Baseline'!$AH$10:$AH$257,'Off-site gain site summary'!$AB105,'F-1 Off-Site WaterC'' Baseline'!$U$10:$U$257))</f>
        <v/>
      </c>
      <c r="AD105" s="1000" t="str">
        <f>IF(AB105="","",SUMIF('F-1 Off-Site WaterC'' Baseline'!$AH$10:$AH$257,'Off-site gain site summary'!$AB105,'F-1 Off-Site WaterC'' Baseline'!$R$10:$R$257))</f>
        <v/>
      </c>
      <c r="AE105" s="1000" t="str">
        <f>IF(AB105="","",SUMIF('F-1 Off-Site WaterC'' Baseline'!$AH$10:$AH$257,'Off-site gain site summary'!$AB105,'F-1 Off-Site WaterC'' Baseline'!$Z$10:$Z$257))</f>
        <v/>
      </c>
      <c r="AF105" s="1000" t="str">
        <f>IF(AB105="","",SUMIF('F-1 Off-Site WaterC'' Baseline'!$AH$10:$AH$257,'Off-site gain site summary'!$AB105,'F-1 Off-Site WaterC'' Baseline'!$BA$10:$BA$257))</f>
        <v/>
      </c>
      <c r="AG105" s="1000" t="str">
        <f>IF(AB105="","",SUMIF('F-3 Off-Site WaterC Enhancement'!$AT$12:$AT$257,'Off-site gain site summary'!$AB105,'F-3 Off-Site WaterC Enhancement'!$AP$12:$AP$257))</f>
        <v/>
      </c>
      <c r="AH105" s="1000" t="str">
        <f>IF(AB105="","",SUMIF('F-3 Off-Site WaterC Enhancement'!$AT$12:$AT$257,'Off-site gain site summary'!$AB105,'F-3 Off-Site WaterC Enhancement'!$AO$12:$AO$257))</f>
        <v/>
      </c>
      <c r="AI105" s="1000" t="str">
        <f>IF(AB105="","",SUMIF('F-2 Off-Site WaterC'' Creation'!$AG$12:$AG$259,'Off-site gain site summary'!$AB105,'F-2 Off-Site WaterC'' Creation'!$AC$12:$AC$259))</f>
        <v/>
      </c>
      <c r="AJ105" s="1000" t="str">
        <f>IF(AB105="","",SUMIF('F-2 Off-Site WaterC'' Creation'!$AG$12:$AG$259,'Off-site gain site summary'!$AB105,'F-2 Off-Site WaterC'' Creation'!$AB$12:$AB$259))</f>
        <v/>
      </c>
      <c r="AK105" s="1000" t="str">
        <f t="shared" si="10"/>
        <v/>
      </c>
      <c r="AL105" s="1000" t="str">
        <f>IF(ISBLANK(AB105),"",IFERROR(_xlfn.XLOOKUP(AB105,'F-2 Off-Site WaterC'' Creation'!$AG$12:$AG$258,'F-2 Off-Site WaterC'' Creation'!$AA$12:$AA$258),IFERROR(_xlfn.XLOOKUP(AB105,'F-1 Off-Site WaterC'' Baseline'!$AH$10:$AH$257,'F-1 Off-Site WaterC'' Baseline'!$T$10:$T$257)," ")))</f>
        <v/>
      </c>
      <c r="AM105" s="986" t="str">
        <f t="shared" si="11"/>
        <v/>
      </c>
      <c r="AN105" s="1469"/>
      <c r="AO105" s="1469"/>
    </row>
    <row r="106" spans="1:41" s="992" customFormat="1" ht="43.5" customHeight="1">
      <c r="A106" s="988">
        <f>'D-1 Off-Site Habitat Baseline'!AF110</f>
        <v>0</v>
      </c>
      <c r="B106" s="996"/>
      <c r="C106" s="997" t="str">
        <f>IF(B106="","",SUMIF('D-1 Off-Site Habitat Baseline'!AF110:AF357,B106,'D-1 Off-Site Habitat Baseline'!T110:T357))</f>
        <v/>
      </c>
      <c r="D106" s="990" t="str">
        <f>IF(B106="","",SUMIF('D-1 Off-Site Habitat Baseline'!$AF$11:$AF$258,B106,'D-1 Off-Site Habitat Baseline'!$Q$11:$Q$258))</f>
        <v/>
      </c>
      <c r="E106" s="998" t="str">
        <f>IF(B106="","",SUMIF('D-1 Off-Site Habitat Baseline'!$AF$11:$AF$258,'Off-site gain site summary'!$B106,'D-1 Off-Site Habitat Baseline'!$X$11:$X$258))</f>
        <v/>
      </c>
      <c r="F106" s="999" t="str">
        <f>IF(B106="","",SUMIF('D-1 Off-Site Habitat Baseline'!$AF$11:$AF$258,'Off-site gain site summary'!$B106,'D-1 Off-Site Habitat Baseline'!$AY$11:$AY$258))</f>
        <v/>
      </c>
      <c r="G106" s="998" t="str">
        <f>IF(B106="","",SUMIF('D-3 Off-Site Habitat Enhancment'!$AU$12:$AU$258,'Off-site gain site summary'!B106,'D-3 Off-Site Habitat Enhancment'!$AQ$12:$AQ$258))</f>
        <v/>
      </c>
      <c r="H106" s="999" t="str">
        <f>IF(B106="","",SUMIF('D-3 Off-Site Habitat Enhancment'!$AU$12:$AU$258,'Off-site gain site summary'!B106,'D-3 Off-Site Habitat Enhancment'!$AP$12:$AP$258))</f>
        <v/>
      </c>
      <c r="I106" s="998" t="str">
        <f>IF(B106="","",SUMIF('D-2 Off-Site Habitat Creation'!$AF$11:$AF$256,'Off-site gain site summary'!B106,'D-2 Off-Site Habitat Creation'!$AB$11:$AB$256))</f>
        <v/>
      </c>
      <c r="J106" s="999" t="str">
        <f>IF(B106="","",SUMIF('D-2 Off-Site Habitat Creation'!$AF$11:$AF$256,'Off-site gain site summary'!B106,'D-2 Off-Site Habitat Creation'!$AA$11:$AA$256))</f>
        <v/>
      </c>
      <c r="K106" s="1000" t="str">
        <f t="shared" si="6"/>
        <v/>
      </c>
      <c r="L106" s="997" t="str">
        <f>IF(ISBLANK(B106),"",IFERROR(_xlfn.XLOOKUP(B106,'D-2 Off-Site Habitat Creation'!$AF$11:$AF$256,'D-2 Off-Site Habitat Creation'!$Z$11:$Z$256),IFERROR(_xlfn.XLOOKUP(B106,'D-1 Off-Site Habitat Baseline'!AF$11:AF$258,'D-1 Off-Site Habitat Baseline'!S$11:S$258)," ")))</f>
        <v/>
      </c>
      <c r="M106" s="983" t="str">
        <f t="shared" si="7"/>
        <v/>
      </c>
      <c r="N106" s="988">
        <f>'E-1 Off-Site Hedge Baseline'!AB109</f>
        <v>0</v>
      </c>
      <c r="O106" s="996"/>
      <c r="P106" s="1000" t="str">
        <f>IF(O106="","",SUMIF('E-1 Off-Site Hedge Baseline'!AB$10:AB$257,'Off-site gain site summary'!O106,'E-1 Off-Site Hedge Baseline'!Q$10:Q$257))</f>
        <v/>
      </c>
      <c r="Q106" s="1000" t="str">
        <f>IF(O106="","",SUMIF('E-1 Off-Site Hedge Baseline'!AB$10:AB$257,O106,'E-1 Off-Site Hedge Baseline'!N$10:N$257))</f>
        <v/>
      </c>
      <c r="R106" s="1000" t="str">
        <f>IF(O106="","",SUMIF('E-1 Off-Site Hedge Baseline'!$AB$10:$AB$257,'Off-site gain site summary'!$O106,'E-1 Off-Site Hedge Baseline'!$U$10:$U$257))</f>
        <v/>
      </c>
      <c r="S106" s="1000" t="str">
        <f>IF(O106="","",SUMIF('E-1 Off-Site Hedge Baseline'!$AB$10:$AB$257,'Off-site gain site summary'!$O106,'E-1 Off-Site Hedge Baseline'!$AY$10:$AY$257))</f>
        <v/>
      </c>
      <c r="T106" s="1000" t="str">
        <f>IF(O106="","",SUMIF('E-3 Off-Site Hedge Enhancement'!$AO$12:$AO$257,'Off-site gain site summary'!$O106,'E-3 Off-Site Hedge Enhancement'!$AK$12:$AK$257))</f>
        <v/>
      </c>
      <c r="U106" s="1000" t="str">
        <f>IF(O106="","",SUMIF('E-3 Off-Site Hedge Enhancement'!$AO$12:$AO$257,'Off-site gain site summary'!$O106,'E-3 Off-Site Hedge Enhancement'!$AJ$12:$AJ$257))</f>
        <v/>
      </c>
      <c r="V106" s="1000" t="str">
        <f>IF(O106="","",SUMIF('E-2 Off-Site Hedge Creation'!$AD$12:$AD$259,'Off-site gain site summary'!$O106,'E-2 Off-Site Hedge Creation'!$Z$12:$Z$259))</f>
        <v/>
      </c>
      <c r="W106" s="991" t="str">
        <f>IF(O106="","",SUMIF('E-2 Off-Site Hedge Creation'!$AD$12:$AD$259,'Off-site gain site summary'!$O106,'E-2 Off-Site Hedge Creation'!$Y$12:$Y$259))</f>
        <v/>
      </c>
      <c r="X106" s="991" t="str">
        <f t="shared" si="8"/>
        <v/>
      </c>
      <c r="Y106" s="991" t="str">
        <f>IF(ISBLANK(O106),"",IFERROR(_xlfn.XLOOKUP(O106,'E-2 Off-Site Hedge Creation'!$AD$12:$AD$259,'E-2 Off-Site Hedge Creation'!$N$12:$N$259),IFERROR(_xlfn.XLOOKUP(O106,'E-1 Off-Site Hedge Baseline'!$AB$10:$AB$257,'E-1 Off-Site Hedge Baseline'!$P$10:$P$257)," ")))</f>
        <v/>
      </c>
      <c r="Z106" s="986" t="str">
        <f t="shared" si="9"/>
        <v/>
      </c>
      <c r="AA106" s="992">
        <f>'F-1 Off-Site WaterC'' Baseline'!AH109</f>
        <v>0</v>
      </c>
      <c r="AB106" s="996"/>
      <c r="AC106" s="1000" t="str">
        <f>IF(AB106="","",SUMIF('F-1 Off-Site WaterC'' Baseline'!$AH$10:$AH$257,'Off-site gain site summary'!$AB106,'F-1 Off-Site WaterC'' Baseline'!$U$10:$U$257))</f>
        <v/>
      </c>
      <c r="AD106" s="1000" t="str">
        <f>IF(AB106="","",SUMIF('F-1 Off-Site WaterC'' Baseline'!$AH$10:$AH$257,'Off-site gain site summary'!$AB106,'F-1 Off-Site WaterC'' Baseline'!$R$10:$R$257))</f>
        <v/>
      </c>
      <c r="AE106" s="1000" t="str">
        <f>IF(AB106="","",SUMIF('F-1 Off-Site WaterC'' Baseline'!$AH$10:$AH$257,'Off-site gain site summary'!$AB106,'F-1 Off-Site WaterC'' Baseline'!$Z$10:$Z$257))</f>
        <v/>
      </c>
      <c r="AF106" s="1000" t="str">
        <f>IF(AB106="","",SUMIF('F-1 Off-Site WaterC'' Baseline'!$AH$10:$AH$257,'Off-site gain site summary'!$AB106,'F-1 Off-Site WaterC'' Baseline'!$BA$10:$BA$257))</f>
        <v/>
      </c>
      <c r="AG106" s="1000" t="str">
        <f>IF(AB106="","",SUMIF('F-3 Off-Site WaterC Enhancement'!$AT$12:$AT$257,'Off-site gain site summary'!$AB106,'F-3 Off-Site WaterC Enhancement'!$AP$12:$AP$257))</f>
        <v/>
      </c>
      <c r="AH106" s="1000" t="str">
        <f>IF(AB106="","",SUMIF('F-3 Off-Site WaterC Enhancement'!$AT$12:$AT$257,'Off-site gain site summary'!$AB106,'F-3 Off-Site WaterC Enhancement'!$AO$12:$AO$257))</f>
        <v/>
      </c>
      <c r="AI106" s="1000" t="str">
        <f>IF(AB106="","",SUMIF('F-2 Off-Site WaterC'' Creation'!$AG$12:$AG$259,'Off-site gain site summary'!$AB106,'F-2 Off-Site WaterC'' Creation'!$AC$12:$AC$259))</f>
        <v/>
      </c>
      <c r="AJ106" s="1000" t="str">
        <f>IF(AB106="","",SUMIF('F-2 Off-Site WaterC'' Creation'!$AG$12:$AG$259,'Off-site gain site summary'!$AB106,'F-2 Off-Site WaterC'' Creation'!$AB$12:$AB$259))</f>
        <v/>
      </c>
      <c r="AK106" s="1000" t="str">
        <f t="shared" si="10"/>
        <v/>
      </c>
      <c r="AL106" s="1000" t="str">
        <f>IF(ISBLANK(AB106),"",IFERROR(_xlfn.XLOOKUP(AB106,'F-2 Off-Site WaterC'' Creation'!$AG$12:$AG$258,'F-2 Off-Site WaterC'' Creation'!$AA$12:$AA$258),IFERROR(_xlfn.XLOOKUP(AB106,'F-1 Off-Site WaterC'' Baseline'!$AH$10:$AH$257,'F-1 Off-Site WaterC'' Baseline'!$T$10:$T$257)," ")))</f>
        <v/>
      </c>
      <c r="AM106" s="986" t="str">
        <f t="shared" si="11"/>
        <v/>
      </c>
      <c r="AN106" s="1469"/>
      <c r="AO106" s="1469"/>
    </row>
    <row r="107" spans="1:41" s="992" customFormat="1" ht="43.5" customHeight="1" thickBot="1">
      <c r="A107" s="988">
        <f>'D-1 Off-Site Habitat Baseline'!AF111</f>
        <v>0</v>
      </c>
      <c r="B107" s="1001"/>
      <c r="C107" s="1002" t="str">
        <f>IF(B107="","",SUMIF('D-1 Off-Site Habitat Baseline'!AF111:AF358,B107,'D-1 Off-Site Habitat Baseline'!T111:T358))</f>
        <v/>
      </c>
      <c r="D107" s="1003" t="str">
        <f>IF(B107="","",SUMIF('D-1 Off-Site Habitat Baseline'!$AF$11:$AF$258,B107,'D-1 Off-Site Habitat Baseline'!$Q$11:$Q$258))</f>
        <v/>
      </c>
      <c r="E107" s="1004" t="str">
        <f>IF(B107="","",SUMIF('D-1 Off-Site Habitat Baseline'!$AF$11:$AF$258,'Off-site gain site summary'!$B107,'D-1 Off-Site Habitat Baseline'!$X$11:$X$258))</f>
        <v/>
      </c>
      <c r="F107" s="1005" t="str">
        <f>IF(B107="","",SUMIF('D-1 Off-Site Habitat Baseline'!$AF$11:$AF$258,'Off-site gain site summary'!$B107,'D-1 Off-Site Habitat Baseline'!$AY$11:$AY$258))</f>
        <v/>
      </c>
      <c r="G107" s="1004" t="str">
        <f>IF(B107="","",SUMIF('D-3 Off-Site Habitat Enhancment'!$AU$12:$AU$258,'Off-site gain site summary'!B107,'D-3 Off-Site Habitat Enhancment'!$AQ$12:$AQ$258))</f>
        <v/>
      </c>
      <c r="H107" s="1005" t="str">
        <f>IF(B107="","",SUMIF('D-3 Off-Site Habitat Enhancment'!$AU$12:$AU$258,'Off-site gain site summary'!B107,'D-3 Off-Site Habitat Enhancment'!$AP$12:$AP$258))</f>
        <v/>
      </c>
      <c r="I107" s="1004" t="str">
        <f>IF(B107="","",SUMIF('D-2 Off-Site Habitat Creation'!$AF$11:$AF$256,'Off-site gain site summary'!B107,'D-2 Off-Site Habitat Creation'!$AB$11:$AB$256))</f>
        <v/>
      </c>
      <c r="J107" s="1005" t="str">
        <f>IF(B107="","",SUMIF('D-2 Off-Site Habitat Creation'!$AF$11:$AF$256,'Off-site gain site summary'!B107,'D-2 Off-Site Habitat Creation'!$AA$11:$AA$256))</f>
        <v/>
      </c>
      <c r="K107" s="1006" t="str">
        <f t="shared" si="6"/>
        <v/>
      </c>
      <c r="L107" s="1002" t="str">
        <f>IF(ISBLANK(B107),"",IFERROR(_xlfn.XLOOKUP(B107,'D-2 Off-Site Habitat Creation'!$AF$11:$AF$256,'D-2 Off-Site Habitat Creation'!$Z$11:$Z$256),IFERROR(_xlfn.XLOOKUP(B107,'D-1 Off-Site Habitat Baseline'!AF$11:AF$258,'D-1 Off-Site Habitat Baseline'!S$11:S$258)," ")))</f>
        <v/>
      </c>
      <c r="M107" s="1012" t="str">
        <f t="shared" si="7"/>
        <v/>
      </c>
      <c r="N107" s="988">
        <f>'E-1 Off-Site Hedge Baseline'!AB110</f>
        <v>0</v>
      </c>
      <c r="O107" s="1001"/>
      <c r="P107" s="1006" t="str">
        <f>IF(O107="","",SUMIF('E-1 Off-Site Hedge Baseline'!AB$10:AB$257,'Off-site gain site summary'!O107,'E-1 Off-Site Hedge Baseline'!Q$10:Q$257))</f>
        <v/>
      </c>
      <c r="Q107" s="1006" t="str">
        <f>IF(O107="","",SUMIF('E-1 Off-Site Hedge Baseline'!AB$10:AB$257,O107,'E-1 Off-Site Hedge Baseline'!N$10:N$257))</f>
        <v/>
      </c>
      <c r="R107" s="1006" t="str">
        <f>IF(O107="","",SUMIF('E-1 Off-Site Hedge Baseline'!$AB$10:$AB$257,'Off-site gain site summary'!$O107,'E-1 Off-Site Hedge Baseline'!$U$10:$U$257))</f>
        <v/>
      </c>
      <c r="S107" s="1006" t="str">
        <f>IF(O107="","",SUMIF('E-1 Off-Site Hedge Baseline'!$AB$10:$AB$257,'Off-site gain site summary'!$O107,'E-1 Off-Site Hedge Baseline'!$AY$10:$AY$257))</f>
        <v/>
      </c>
      <c r="T107" s="1006" t="str">
        <f>IF(O107="","",SUMIF('E-3 Off-Site Hedge Enhancement'!$AO$12:$AO$257,'Off-site gain site summary'!$O107,'E-3 Off-Site Hedge Enhancement'!$AK$12:$AK$257))</f>
        <v/>
      </c>
      <c r="U107" s="1006" t="str">
        <f>IF(O107="","",SUMIF('E-3 Off-Site Hedge Enhancement'!$AO$12:$AO$257,'Off-site gain site summary'!$O107,'E-3 Off-Site Hedge Enhancement'!$AJ$12:$AJ$257))</f>
        <v/>
      </c>
      <c r="V107" s="1006" t="str">
        <f>IF(O107="","",SUMIF('E-2 Off-Site Hedge Creation'!$AD$12:$AD$259,'Off-site gain site summary'!$O107,'E-2 Off-Site Hedge Creation'!$Z$12:$Z$259))</f>
        <v/>
      </c>
      <c r="W107" s="1007" t="str">
        <f>IF(O107="","",SUMIF('E-2 Off-Site Hedge Creation'!$AD$12:$AD$259,'Off-site gain site summary'!$O107,'E-2 Off-Site Hedge Creation'!$Y$12:$Y$259))</f>
        <v/>
      </c>
      <c r="X107" s="1007" t="str">
        <f t="shared" si="8"/>
        <v/>
      </c>
      <c r="Y107" s="1007" t="str">
        <f>IF(ISBLANK(O107),"",IFERROR(_xlfn.XLOOKUP(O107,'E-2 Off-Site Hedge Creation'!$AD$12:$AD$259,'E-2 Off-Site Hedge Creation'!$N$12:$N$259),IFERROR(_xlfn.XLOOKUP(O107,'E-1 Off-Site Hedge Baseline'!$AB$10:$AB$257,'E-1 Off-Site Hedge Baseline'!$P$10:$P$257)," ")))</f>
        <v/>
      </c>
      <c r="Z107" s="987" t="str">
        <f t="shared" si="9"/>
        <v/>
      </c>
      <c r="AA107" s="992">
        <f>'F-1 Off-Site WaterC'' Baseline'!AH110</f>
        <v>0</v>
      </c>
      <c r="AB107" s="1001"/>
      <c r="AC107" s="1006" t="str">
        <f>IF(AB107="","",SUMIF('F-1 Off-Site WaterC'' Baseline'!$AH$10:$AH$257,'Off-site gain site summary'!$AB107,'F-1 Off-Site WaterC'' Baseline'!$U$10:$U$257))</f>
        <v/>
      </c>
      <c r="AD107" s="1006" t="str">
        <f>IF(AB107="","",SUMIF('F-1 Off-Site WaterC'' Baseline'!$AH$10:$AH$257,'Off-site gain site summary'!$AB107,'F-1 Off-Site WaterC'' Baseline'!$R$10:$R$257))</f>
        <v/>
      </c>
      <c r="AE107" s="1006" t="str">
        <f>IF(AB107="","",SUMIF('F-1 Off-Site WaterC'' Baseline'!$AH$10:$AH$257,'Off-site gain site summary'!$AB107,'F-1 Off-Site WaterC'' Baseline'!$Z$10:$Z$257))</f>
        <v/>
      </c>
      <c r="AF107" s="1006" t="str">
        <f>IF(AB107="","",SUMIF('F-1 Off-Site WaterC'' Baseline'!$AH$10:$AH$257,'Off-site gain site summary'!$AB107,'F-1 Off-Site WaterC'' Baseline'!$BA$10:$BA$257))</f>
        <v/>
      </c>
      <c r="AG107" s="1006" t="str">
        <f>IF(AB107="","",SUMIF('F-3 Off-Site WaterC Enhancement'!$AT$12:$AT$257,'Off-site gain site summary'!$AB107,'F-3 Off-Site WaterC Enhancement'!$AP$12:$AP$257))</f>
        <v/>
      </c>
      <c r="AH107" s="1006" t="str">
        <f>IF(AB107="","",SUMIF('F-3 Off-Site WaterC Enhancement'!$AT$12:$AT$257,'Off-site gain site summary'!$AB107,'F-3 Off-Site WaterC Enhancement'!$AO$12:$AO$257))</f>
        <v/>
      </c>
      <c r="AI107" s="1006" t="str">
        <f>IF(AB107="","",SUMIF('F-2 Off-Site WaterC'' Creation'!$AG$12:$AG$259,'Off-site gain site summary'!$AB107,'F-2 Off-Site WaterC'' Creation'!$AC$12:$AC$259))</f>
        <v/>
      </c>
      <c r="AJ107" s="1006" t="str">
        <f>IF(AB107="","",SUMIF('F-2 Off-Site WaterC'' Creation'!$AG$12:$AG$259,'Off-site gain site summary'!$AB107,'F-2 Off-Site WaterC'' Creation'!$AB$12:$AB$259))</f>
        <v/>
      </c>
      <c r="AK107" s="1006" t="str">
        <f t="shared" si="10"/>
        <v/>
      </c>
      <c r="AL107" s="1006" t="str">
        <f>IF(ISBLANK(AB107),"",IFERROR(_xlfn.XLOOKUP(AB107,'F-2 Off-Site WaterC'' Creation'!$AG$12:$AG$258,'F-2 Off-Site WaterC'' Creation'!$AA$12:$AA$258),IFERROR(_xlfn.XLOOKUP(AB107,'F-1 Off-Site WaterC'' Baseline'!$AH$10:$AH$257,'F-1 Off-Site WaterC'' Baseline'!$T$10:$T$257)," ")))</f>
        <v/>
      </c>
      <c r="AM107" s="987" t="str">
        <f t="shared" si="11"/>
        <v/>
      </c>
      <c r="AN107" s="1469"/>
      <c r="AO107" s="1469"/>
    </row>
    <row r="108" spans="1:39" ht="15" thickBot="1">
      <c r="A108" s="534">
        <f>'D-1 Off-Site Habitat Baseline'!AF112</f>
        <v>0</v>
      </c>
      <c r="B108" s="1505"/>
      <c r="C108" s="1506"/>
      <c r="D108" s="1506"/>
      <c r="E108" s="1506"/>
      <c r="F108" s="1506"/>
      <c r="G108" s="1506"/>
      <c r="H108" s="1506"/>
      <c r="I108" s="1506"/>
      <c r="J108" s="1506"/>
      <c r="K108" s="1506"/>
      <c r="L108" s="1506"/>
      <c r="M108" s="1507"/>
      <c r="N108" s="534">
        <f>'E-1 Off-Site Hedge Baseline'!AB111</f>
        <v>0</v>
      </c>
      <c r="O108" s="536"/>
      <c r="P108" s="537"/>
      <c r="Q108" s="537"/>
      <c r="R108" s="537"/>
      <c r="S108" s="537"/>
      <c r="T108" s="537"/>
      <c r="U108" s="537"/>
      <c r="V108" s="537"/>
      <c r="W108" s="537"/>
      <c r="X108" s="537"/>
      <c r="Y108" s="537"/>
      <c r="Z108" s="538"/>
      <c r="AA108" s="1">
        <f>'F-1 Off-Site WaterC'' Baseline'!AH111</f>
        <v>0</v>
      </c>
      <c r="AB108" s="1502"/>
      <c r="AC108" s="1503"/>
      <c r="AD108" s="1503"/>
      <c r="AE108" s="1503"/>
      <c r="AF108" s="1503"/>
      <c r="AG108" s="1503"/>
      <c r="AH108" s="1503"/>
      <c r="AI108" s="1503"/>
      <c r="AJ108" s="1503"/>
      <c r="AK108" s="1503"/>
      <c r="AL108" s="1503"/>
      <c r="AM108" s="1504"/>
    </row>
    <row r="109" spans="1:27" ht="14.5">
      <c r="A109" s="534">
        <f>'D-1 Off-Site Habitat Baseline'!AF113</f>
        <v>0</v>
      </c>
      <c r="N109" s="534">
        <f>'E-1 Off-Site Hedge Baseline'!AB112</f>
        <v>0</v>
      </c>
      <c r="AA109" s="1">
        <f>'F-1 Off-Site WaterC'' Baseline'!AH112</f>
        <v>0</v>
      </c>
    </row>
    <row r="110" spans="1:27" ht="14.5">
      <c r="A110" s="534">
        <f>'D-1 Off-Site Habitat Baseline'!AF114</f>
        <v>0</v>
      </c>
      <c r="N110" s="534">
        <f>'E-1 Off-Site Hedge Baseline'!AB113</f>
        <v>0</v>
      </c>
      <c r="AA110" s="1">
        <f>'F-1 Off-Site WaterC'' Baseline'!AH113</f>
        <v>0</v>
      </c>
    </row>
    <row r="111" spans="1:27" ht="14.5">
      <c r="A111" s="534">
        <f>'D-1 Off-Site Habitat Baseline'!AF115</f>
        <v>0</v>
      </c>
      <c r="N111" s="534">
        <f>'E-1 Off-Site Hedge Baseline'!AB114</f>
        <v>0</v>
      </c>
      <c r="AA111" s="1">
        <f>'F-1 Off-Site WaterC'' Baseline'!AH114</f>
        <v>0</v>
      </c>
    </row>
    <row r="112" spans="1:27" ht="14.5">
      <c r="A112" s="534">
        <f>'D-1 Off-Site Habitat Baseline'!AF116</f>
        <v>0</v>
      </c>
      <c r="N112" s="534">
        <f>'E-1 Off-Site Hedge Baseline'!AB115</f>
        <v>0</v>
      </c>
      <c r="AA112" s="1">
        <f>'F-1 Off-Site WaterC'' Baseline'!AH115</f>
        <v>0</v>
      </c>
    </row>
    <row r="113" spans="1:27" ht="14.5">
      <c r="A113" s="534">
        <f>'D-1 Off-Site Habitat Baseline'!AF117</f>
        <v>0</v>
      </c>
      <c r="N113" s="534">
        <f>'E-1 Off-Site Hedge Baseline'!AB116</f>
        <v>0</v>
      </c>
      <c r="AA113" s="1">
        <f>'F-1 Off-Site WaterC'' Baseline'!AH116</f>
        <v>0</v>
      </c>
    </row>
    <row r="114" spans="1:27" ht="14.5">
      <c r="A114" s="534">
        <f>'D-1 Off-Site Habitat Baseline'!AF118</f>
        <v>0</v>
      </c>
      <c r="N114" s="534">
        <f>'E-1 Off-Site Hedge Baseline'!AB117</f>
        <v>0</v>
      </c>
      <c r="AA114" s="1">
        <f>'F-1 Off-Site WaterC'' Baseline'!AH117</f>
        <v>0</v>
      </c>
    </row>
    <row r="115" spans="1:27" ht="14.5" hidden="1">
      <c r="A115" s="534">
        <f>'D-1 Off-Site Habitat Baseline'!AF119</f>
        <v>0</v>
      </c>
      <c r="N115" s="534">
        <f>'E-1 Off-Site Hedge Baseline'!AB118</f>
        <v>0</v>
      </c>
      <c r="AA115" s="1">
        <f>'F-1 Off-Site WaterC'' Baseline'!AH118</f>
        <v>0</v>
      </c>
    </row>
    <row r="116" spans="1:27" ht="14.5" hidden="1">
      <c r="A116" s="534">
        <f>'D-1 Off-Site Habitat Baseline'!AF120</f>
        <v>0</v>
      </c>
      <c r="N116" s="534">
        <f>'E-1 Off-Site Hedge Baseline'!AB119</f>
        <v>0</v>
      </c>
      <c r="AA116" s="1">
        <f>'F-1 Off-Site WaterC'' Baseline'!AH119</f>
        <v>0</v>
      </c>
    </row>
    <row r="117" spans="1:27" ht="14.5" hidden="1">
      <c r="A117" s="534">
        <f>'D-1 Off-Site Habitat Baseline'!AF121</f>
        <v>0</v>
      </c>
      <c r="N117" s="534">
        <f>'E-1 Off-Site Hedge Baseline'!AB120</f>
        <v>0</v>
      </c>
      <c r="AA117" s="1">
        <f>'F-1 Off-Site WaterC'' Baseline'!AH120</f>
        <v>0</v>
      </c>
    </row>
    <row r="118" spans="1:27" ht="14.5" hidden="1">
      <c r="A118" s="534">
        <f>'D-1 Off-Site Habitat Baseline'!AF122</f>
        <v>0</v>
      </c>
      <c r="N118" s="534">
        <f>'E-1 Off-Site Hedge Baseline'!AB121</f>
        <v>0</v>
      </c>
      <c r="AA118" s="1">
        <f>'F-1 Off-Site WaterC'' Baseline'!AH121</f>
        <v>0</v>
      </c>
    </row>
    <row r="119" spans="1:27" ht="14.5" hidden="1">
      <c r="A119" s="534">
        <f>'D-1 Off-Site Habitat Baseline'!AF123</f>
        <v>0</v>
      </c>
      <c r="N119" s="534">
        <f>'E-1 Off-Site Hedge Baseline'!AB122</f>
        <v>0</v>
      </c>
      <c r="AA119" s="1">
        <f>'F-1 Off-Site WaterC'' Baseline'!AH122</f>
        <v>0</v>
      </c>
    </row>
    <row r="120" spans="1:27" ht="14.5" hidden="1">
      <c r="A120" s="534">
        <f>'D-1 Off-Site Habitat Baseline'!AF124</f>
        <v>0</v>
      </c>
      <c r="N120" s="534">
        <f>'E-1 Off-Site Hedge Baseline'!AB123</f>
        <v>0</v>
      </c>
      <c r="AA120" s="1">
        <f>'F-1 Off-Site WaterC'' Baseline'!AH123</f>
        <v>0</v>
      </c>
    </row>
    <row r="121" spans="1:27" ht="14.5" hidden="1">
      <c r="A121" s="534">
        <f>'D-1 Off-Site Habitat Baseline'!AF125</f>
        <v>0</v>
      </c>
      <c r="N121" s="534">
        <f>'E-1 Off-Site Hedge Baseline'!AB124</f>
        <v>0</v>
      </c>
      <c r="AA121" s="1">
        <f>'F-1 Off-Site WaterC'' Baseline'!AH124</f>
        <v>0</v>
      </c>
    </row>
    <row r="122" spans="1:27" ht="14.5" hidden="1">
      <c r="A122" s="534">
        <f>'D-1 Off-Site Habitat Baseline'!AF126</f>
        <v>0</v>
      </c>
      <c r="N122" s="534">
        <f>'E-1 Off-Site Hedge Baseline'!AB125</f>
        <v>0</v>
      </c>
      <c r="AA122" s="1">
        <f>'F-1 Off-Site WaterC'' Baseline'!AH125</f>
        <v>0</v>
      </c>
    </row>
    <row r="123" spans="1:27" ht="14.5" hidden="1">
      <c r="A123" s="534">
        <f>'D-1 Off-Site Habitat Baseline'!AF127</f>
        <v>0</v>
      </c>
      <c r="N123" s="534">
        <f>'E-1 Off-Site Hedge Baseline'!AB126</f>
        <v>0</v>
      </c>
      <c r="AA123" s="1">
        <f>'F-1 Off-Site WaterC'' Baseline'!AH126</f>
        <v>0</v>
      </c>
    </row>
    <row r="124" spans="1:27" ht="14.5" hidden="1">
      <c r="A124" s="534">
        <f>'D-1 Off-Site Habitat Baseline'!AF128</f>
        <v>0</v>
      </c>
      <c r="N124" s="534">
        <f>'E-1 Off-Site Hedge Baseline'!AB127</f>
        <v>0</v>
      </c>
      <c r="AA124" s="1">
        <f>'F-1 Off-Site WaterC'' Baseline'!AH127</f>
        <v>0</v>
      </c>
    </row>
    <row r="125" spans="1:27" ht="14.5" hidden="1">
      <c r="A125" s="534">
        <f>'D-1 Off-Site Habitat Baseline'!AF129</f>
        <v>0</v>
      </c>
      <c r="N125" s="534">
        <f>'E-1 Off-Site Hedge Baseline'!AB128</f>
        <v>0</v>
      </c>
      <c r="AA125" s="1">
        <f>'F-1 Off-Site WaterC'' Baseline'!AH128</f>
        <v>0</v>
      </c>
    </row>
    <row r="126" spans="1:27" ht="14.5" hidden="1">
      <c r="A126" s="534">
        <f>'D-1 Off-Site Habitat Baseline'!AF130</f>
        <v>0</v>
      </c>
      <c r="N126" s="534">
        <f>'E-1 Off-Site Hedge Baseline'!AB129</f>
        <v>0</v>
      </c>
      <c r="AA126" s="1">
        <f>'F-1 Off-Site WaterC'' Baseline'!AH129</f>
        <v>0</v>
      </c>
    </row>
    <row r="127" spans="1:27" ht="14.5" hidden="1">
      <c r="A127" s="534">
        <f>'D-1 Off-Site Habitat Baseline'!AF131</f>
        <v>0</v>
      </c>
      <c r="N127" s="534">
        <f>'E-1 Off-Site Hedge Baseline'!AB130</f>
        <v>0</v>
      </c>
      <c r="AA127" s="1">
        <f>'F-1 Off-Site WaterC'' Baseline'!AH130</f>
        <v>0</v>
      </c>
    </row>
    <row r="128" spans="1:27" ht="14.5" hidden="1">
      <c r="A128" s="534">
        <f>'D-1 Off-Site Habitat Baseline'!AF132</f>
        <v>0</v>
      </c>
      <c r="N128" s="534">
        <f>'E-1 Off-Site Hedge Baseline'!AB131</f>
        <v>0</v>
      </c>
      <c r="AA128" s="1">
        <f>'F-1 Off-Site WaterC'' Baseline'!AH131</f>
        <v>0</v>
      </c>
    </row>
    <row r="129" spans="1:27" ht="14.5" hidden="1">
      <c r="A129" s="534">
        <f>'D-1 Off-Site Habitat Baseline'!AF133</f>
        <v>0</v>
      </c>
      <c r="N129" s="534">
        <f>'E-1 Off-Site Hedge Baseline'!AB132</f>
        <v>0</v>
      </c>
      <c r="AA129" s="1">
        <f>'F-1 Off-Site WaterC'' Baseline'!AH132</f>
        <v>0</v>
      </c>
    </row>
    <row r="130" spans="1:27" ht="14.5" hidden="1">
      <c r="A130" s="534">
        <f>'D-1 Off-Site Habitat Baseline'!AF134</f>
        <v>0</v>
      </c>
      <c r="N130" s="534">
        <f>'E-1 Off-Site Hedge Baseline'!AB133</f>
        <v>0</v>
      </c>
      <c r="AA130" s="1">
        <f>'F-1 Off-Site WaterC'' Baseline'!AH133</f>
        <v>0</v>
      </c>
    </row>
    <row r="131" spans="1:27" ht="14.5" hidden="1">
      <c r="A131" s="534">
        <f>'D-1 Off-Site Habitat Baseline'!AF135</f>
        <v>0</v>
      </c>
      <c r="N131" s="534">
        <f>'E-1 Off-Site Hedge Baseline'!AB134</f>
        <v>0</v>
      </c>
      <c r="AA131" s="1">
        <f>'F-1 Off-Site WaterC'' Baseline'!AH134</f>
        <v>0</v>
      </c>
    </row>
    <row r="132" spans="1:27" ht="14.5" hidden="1">
      <c r="A132" s="534">
        <f>'D-1 Off-Site Habitat Baseline'!AF136</f>
        <v>0</v>
      </c>
      <c r="N132" s="534">
        <f>'E-1 Off-Site Hedge Baseline'!AB135</f>
        <v>0</v>
      </c>
      <c r="AA132" s="1">
        <f>'F-1 Off-Site WaterC'' Baseline'!AH135</f>
        <v>0</v>
      </c>
    </row>
    <row r="133" spans="1:27" ht="14.5" hidden="1">
      <c r="A133" s="534">
        <f>'D-1 Off-Site Habitat Baseline'!AF137</f>
        <v>0</v>
      </c>
      <c r="N133" s="534">
        <f>'E-1 Off-Site Hedge Baseline'!AB136</f>
        <v>0</v>
      </c>
      <c r="AA133" s="1">
        <f>'F-1 Off-Site WaterC'' Baseline'!AH136</f>
        <v>0</v>
      </c>
    </row>
    <row r="134" spans="1:27" ht="14.5" hidden="1">
      <c r="A134" s="534">
        <f>'D-1 Off-Site Habitat Baseline'!AF138</f>
        <v>0</v>
      </c>
      <c r="N134" s="534">
        <f>'E-1 Off-Site Hedge Baseline'!AB137</f>
        <v>0</v>
      </c>
      <c r="AA134" s="1">
        <f>'F-1 Off-Site WaterC'' Baseline'!AH137</f>
        <v>0</v>
      </c>
    </row>
    <row r="135" spans="1:27" ht="14.5" hidden="1">
      <c r="A135" s="534">
        <f>'D-1 Off-Site Habitat Baseline'!AF139</f>
        <v>0</v>
      </c>
      <c r="N135" s="534">
        <f>'E-1 Off-Site Hedge Baseline'!AB138</f>
        <v>0</v>
      </c>
      <c r="AA135" s="1">
        <f>'F-1 Off-Site WaterC'' Baseline'!AH138</f>
        <v>0</v>
      </c>
    </row>
    <row r="136" spans="1:27" ht="14.5" hidden="1">
      <c r="A136" s="534">
        <f>'D-1 Off-Site Habitat Baseline'!AF140</f>
        <v>0</v>
      </c>
      <c r="N136" s="534">
        <f>'E-1 Off-Site Hedge Baseline'!AB139</f>
        <v>0</v>
      </c>
      <c r="AA136" s="1">
        <f>'F-1 Off-Site WaterC'' Baseline'!AH139</f>
        <v>0</v>
      </c>
    </row>
    <row r="137" spans="1:27" ht="14.5" hidden="1">
      <c r="A137" s="534">
        <f>'D-1 Off-Site Habitat Baseline'!AF141</f>
        <v>0</v>
      </c>
      <c r="N137" s="534">
        <f>'E-1 Off-Site Hedge Baseline'!AB140</f>
        <v>0</v>
      </c>
      <c r="AA137" s="1">
        <f>'F-1 Off-Site WaterC'' Baseline'!AH140</f>
        <v>0</v>
      </c>
    </row>
    <row r="138" spans="1:27" ht="14.5" hidden="1">
      <c r="A138" s="534">
        <f>'D-1 Off-Site Habitat Baseline'!AF142</f>
        <v>0</v>
      </c>
      <c r="N138" s="534">
        <f>'E-1 Off-Site Hedge Baseline'!AB141</f>
        <v>0</v>
      </c>
      <c r="AA138" s="1">
        <f>'F-1 Off-Site WaterC'' Baseline'!AH141</f>
        <v>0</v>
      </c>
    </row>
    <row r="139" spans="1:27" ht="14.5" hidden="1">
      <c r="A139" s="534">
        <f>'D-1 Off-Site Habitat Baseline'!AF143</f>
        <v>0</v>
      </c>
      <c r="N139" s="534">
        <f>'E-1 Off-Site Hedge Baseline'!AB142</f>
        <v>0</v>
      </c>
      <c r="AA139" s="1">
        <f>'F-1 Off-Site WaterC'' Baseline'!AH142</f>
        <v>0</v>
      </c>
    </row>
    <row r="140" spans="1:27" ht="14.5" hidden="1">
      <c r="A140" s="534">
        <f>'D-1 Off-Site Habitat Baseline'!AF144</f>
        <v>0</v>
      </c>
      <c r="N140" s="534">
        <f>'E-1 Off-Site Hedge Baseline'!AB143</f>
        <v>0</v>
      </c>
      <c r="AA140" s="1">
        <f>'F-1 Off-Site WaterC'' Baseline'!AH143</f>
        <v>0</v>
      </c>
    </row>
    <row r="141" spans="1:27" ht="14.5" hidden="1">
      <c r="A141" s="534">
        <f>'D-1 Off-Site Habitat Baseline'!AF145</f>
        <v>0</v>
      </c>
      <c r="N141" s="534">
        <f>'E-1 Off-Site Hedge Baseline'!AB144</f>
        <v>0</v>
      </c>
      <c r="AA141" s="1">
        <f>'F-1 Off-Site WaterC'' Baseline'!AH144</f>
        <v>0</v>
      </c>
    </row>
    <row r="142" spans="1:27" ht="14.5" hidden="1">
      <c r="A142" s="534">
        <f>'D-1 Off-Site Habitat Baseline'!AF146</f>
        <v>0</v>
      </c>
      <c r="N142" s="534">
        <f>'E-1 Off-Site Hedge Baseline'!AB145</f>
        <v>0</v>
      </c>
      <c r="AA142" s="1">
        <f>'F-1 Off-Site WaterC'' Baseline'!AH145</f>
        <v>0</v>
      </c>
    </row>
    <row r="143" spans="1:27" ht="14.5" hidden="1">
      <c r="A143" s="534">
        <f>'D-1 Off-Site Habitat Baseline'!AF147</f>
        <v>0</v>
      </c>
      <c r="N143" s="534">
        <f>'E-1 Off-Site Hedge Baseline'!AB146</f>
        <v>0</v>
      </c>
      <c r="AA143" s="1">
        <f>'F-1 Off-Site WaterC'' Baseline'!AH146</f>
        <v>0</v>
      </c>
    </row>
    <row r="144" spans="1:27" ht="14.5" hidden="1">
      <c r="A144" s="534">
        <f>'D-1 Off-Site Habitat Baseline'!AF148</f>
        <v>0</v>
      </c>
      <c r="N144" s="534">
        <f>'E-1 Off-Site Hedge Baseline'!AB147</f>
        <v>0</v>
      </c>
      <c r="AA144" s="1">
        <f>'F-1 Off-Site WaterC'' Baseline'!AH147</f>
        <v>0</v>
      </c>
    </row>
    <row r="145" spans="1:27" ht="14.5" hidden="1">
      <c r="A145" s="534">
        <f>'D-1 Off-Site Habitat Baseline'!AF149</f>
        <v>0</v>
      </c>
      <c r="N145" s="534">
        <f>'E-1 Off-Site Hedge Baseline'!AB148</f>
        <v>0</v>
      </c>
      <c r="AA145" s="1">
        <f>'F-1 Off-Site WaterC'' Baseline'!AH148</f>
        <v>0</v>
      </c>
    </row>
    <row r="146" spans="1:27" ht="14.5" hidden="1">
      <c r="A146" s="534">
        <f>'D-1 Off-Site Habitat Baseline'!AF150</f>
        <v>0</v>
      </c>
      <c r="N146" s="534">
        <f>'E-1 Off-Site Hedge Baseline'!AB149</f>
        <v>0</v>
      </c>
      <c r="AA146" s="1">
        <f>'F-1 Off-Site WaterC'' Baseline'!AH149</f>
        <v>0</v>
      </c>
    </row>
    <row r="147" spans="1:27" ht="14.5" hidden="1">
      <c r="A147" s="534">
        <f>'D-1 Off-Site Habitat Baseline'!AF151</f>
        <v>0</v>
      </c>
      <c r="N147" s="534">
        <f>'E-1 Off-Site Hedge Baseline'!AB150</f>
        <v>0</v>
      </c>
      <c r="AA147" s="1">
        <f>'F-1 Off-Site WaterC'' Baseline'!AH150</f>
        <v>0</v>
      </c>
    </row>
    <row r="148" spans="1:27" ht="14.5" hidden="1">
      <c r="A148" s="534">
        <f>'D-1 Off-Site Habitat Baseline'!AF152</f>
        <v>0</v>
      </c>
      <c r="N148" s="534">
        <f>'E-1 Off-Site Hedge Baseline'!AB151</f>
        <v>0</v>
      </c>
      <c r="AA148" s="1">
        <f>'F-1 Off-Site WaterC'' Baseline'!AH151</f>
        <v>0</v>
      </c>
    </row>
    <row r="149" spans="1:27" ht="14.5" hidden="1">
      <c r="A149" s="534">
        <f>'D-1 Off-Site Habitat Baseline'!AF153</f>
        <v>0</v>
      </c>
      <c r="N149" s="534">
        <f>'E-1 Off-Site Hedge Baseline'!AB152</f>
        <v>0</v>
      </c>
      <c r="AA149" s="1">
        <f>'F-1 Off-Site WaterC'' Baseline'!AH152</f>
        <v>0</v>
      </c>
    </row>
    <row r="150" spans="1:27" ht="14.5" hidden="1">
      <c r="A150" s="534">
        <f>'D-1 Off-Site Habitat Baseline'!AF154</f>
        <v>0</v>
      </c>
      <c r="N150" s="534">
        <f>'E-1 Off-Site Hedge Baseline'!AB153</f>
        <v>0</v>
      </c>
      <c r="AA150" s="1">
        <f>'F-1 Off-Site WaterC'' Baseline'!AH153</f>
        <v>0</v>
      </c>
    </row>
    <row r="151" spans="1:27" ht="14.5" hidden="1">
      <c r="A151" s="534">
        <f>'D-1 Off-Site Habitat Baseline'!AF155</f>
        <v>0</v>
      </c>
      <c r="N151" s="534">
        <f>'E-1 Off-Site Hedge Baseline'!AB154</f>
        <v>0</v>
      </c>
      <c r="AA151" s="1">
        <f>'F-1 Off-Site WaterC'' Baseline'!AH154</f>
        <v>0</v>
      </c>
    </row>
    <row r="152" spans="1:27" ht="14.5" hidden="1">
      <c r="A152" s="534">
        <f>'D-1 Off-Site Habitat Baseline'!AF156</f>
        <v>0</v>
      </c>
      <c r="N152" s="534">
        <f>'E-1 Off-Site Hedge Baseline'!AB155</f>
        <v>0</v>
      </c>
      <c r="AA152" s="1">
        <f>'F-1 Off-Site WaterC'' Baseline'!AH155</f>
        <v>0</v>
      </c>
    </row>
    <row r="153" spans="1:27" ht="14.5" hidden="1">
      <c r="A153" s="534">
        <f>'D-1 Off-Site Habitat Baseline'!AF157</f>
        <v>0</v>
      </c>
      <c r="N153" s="534">
        <f>'E-1 Off-Site Hedge Baseline'!AB156</f>
        <v>0</v>
      </c>
      <c r="AA153" s="1">
        <f>'F-1 Off-Site WaterC'' Baseline'!AH156</f>
        <v>0</v>
      </c>
    </row>
    <row r="154" spans="1:27" ht="14.5" hidden="1">
      <c r="A154" s="534">
        <f>'D-1 Off-Site Habitat Baseline'!AF158</f>
        <v>0</v>
      </c>
      <c r="N154" s="534">
        <f>'E-1 Off-Site Hedge Baseline'!AB157</f>
        <v>0</v>
      </c>
      <c r="AA154" s="1">
        <f>'F-1 Off-Site WaterC'' Baseline'!AH157</f>
        <v>0</v>
      </c>
    </row>
    <row r="155" spans="1:27" ht="14.5" hidden="1">
      <c r="A155" s="534">
        <f>'D-1 Off-Site Habitat Baseline'!AF159</f>
        <v>0</v>
      </c>
      <c r="N155" s="534">
        <f>'E-1 Off-Site Hedge Baseline'!AB158</f>
        <v>0</v>
      </c>
      <c r="AA155" s="1">
        <f>'F-1 Off-Site WaterC'' Baseline'!AH158</f>
        <v>0</v>
      </c>
    </row>
    <row r="156" spans="1:27" ht="14.5" hidden="1">
      <c r="A156" s="534">
        <f>'D-1 Off-Site Habitat Baseline'!AF160</f>
        <v>0</v>
      </c>
      <c r="N156" s="534">
        <f>'E-1 Off-Site Hedge Baseline'!AB159</f>
        <v>0</v>
      </c>
      <c r="AA156" s="1">
        <f>'F-1 Off-Site WaterC'' Baseline'!AH159</f>
        <v>0</v>
      </c>
    </row>
    <row r="157" spans="1:27" ht="14.5" hidden="1">
      <c r="A157" s="534">
        <f>'D-1 Off-Site Habitat Baseline'!AF161</f>
        <v>0</v>
      </c>
      <c r="N157" s="534">
        <f>'E-1 Off-Site Hedge Baseline'!AB160</f>
        <v>0</v>
      </c>
      <c r="AA157" s="1">
        <f>'F-1 Off-Site WaterC'' Baseline'!AH160</f>
        <v>0</v>
      </c>
    </row>
    <row r="158" spans="1:27" ht="14.5" hidden="1">
      <c r="A158" s="534">
        <f>'D-1 Off-Site Habitat Baseline'!AF162</f>
        <v>0</v>
      </c>
      <c r="N158" s="534">
        <f>'E-1 Off-Site Hedge Baseline'!AB161</f>
        <v>0</v>
      </c>
      <c r="AA158" s="1">
        <f>'F-1 Off-Site WaterC'' Baseline'!AH161</f>
        <v>0</v>
      </c>
    </row>
    <row r="159" spans="1:27" ht="14.5" hidden="1">
      <c r="A159" s="534">
        <f>'D-1 Off-Site Habitat Baseline'!AF163</f>
        <v>0</v>
      </c>
      <c r="N159" s="534">
        <f>'E-1 Off-Site Hedge Baseline'!AB162</f>
        <v>0</v>
      </c>
      <c r="AA159" s="1">
        <f>'F-1 Off-Site WaterC'' Baseline'!AH162</f>
        <v>0</v>
      </c>
    </row>
    <row r="160" spans="1:27" ht="14.5" hidden="1">
      <c r="A160" s="534">
        <f>'D-1 Off-Site Habitat Baseline'!AF164</f>
        <v>0</v>
      </c>
      <c r="N160" s="534">
        <f>'E-1 Off-Site Hedge Baseline'!AB163</f>
        <v>0</v>
      </c>
      <c r="AA160" s="1">
        <f>'F-1 Off-Site WaterC'' Baseline'!AH163</f>
        <v>0</v>
      </c>
    </row>
    <row r="161" spans="1:27" ht="14.5" hidden="1">
      <c r="A161" s="534">
        <f>'D-1 Off-Site Habitat Baseline'!AF165</f>
        <v>0</v>
      </c>
      <c r="N161" s="534">
        <f>'E-1 Off-Site Hedge Baseline'!AB164</f>
        <v>0</v>
      </c>
      <c r="AA161" s="1">
        <f>'F-1 Off-Site WaterC'' Baseline'!AH164</f>
        <v>0</v>
      </c>
    </row>
    <row r="162" spans="1:27" ht="14.5" hidden="1">
      <c r="A162" s="534">
        <f>'D-1 Off-Site Habitat Baseline'!AF166</f>
        <v>0</v>
      </c>
      <c r="N162" s="534">
        <f>'E-1 Off-Site Hedge Baseline'!AB165</f>
        <v>0</v>
      </c>
      <c r="AA162" s="1">
        <f>'F-1 Off-Site WaterC'' Baseline'!AH165</f>
        <v>0</v>
      </c>
    </row>
    <row r="163" spans="1:27" ht="14.5" hidden="1">
      <c r="A163" s="534">
        <f>'D-1 Off-Site Habitat Baseline'!AF167</f>
        <v>0</v>
      </c>
      <c r="N163" s="534">
        <f>'E-1 Off-Site Hedge Baseline'!AB166</f>
        <v>0</v>
      </c>
      <c r="AA163" s="1">
        <f>'F-1 Off-Site WaterC'' Baseline'!AH166</f>
        <v>0</v>
      </c>
    </row>
    <row r="164" spans="1:27" ht="14.5" hidden="1">
      <c r="A164" s="534">
        <f>'D-1 Off-Site Habitat Baseline'!AF168</f>
        <v>0</v>
      </c>
      <c r="N164" s="534">
        <f>'E-1 Off-Site Hedge Baseline'!AB167</f>
        <v>0</v>
      </c>
      <c r="AA164" s="1">
        <f>'F-1 Off-Site WaterC'' Baseline'!AH167</f>
        <v>0</v>
      </c>
    </row>
    <row r="165" spans="1:27" ht="14.5" hidden="1">
      <c r="A165" s="534">
        <f>'D-1 Off-Site Habitat Baseline'!AF169</f>
        <v>0</v>
      </c>
      <c r="N165" s="534">
        <f>'E-1 Off-Site Hedge Baseline'!AB168</f>
        <v>0</v>
      </c>
      <c r="AA165" s="1">
        <f>'F-1 Off-Site WaterC'' Baseline'!AH168</f>
        <v>0</v>
      </c>
    </row>
    <row r="166" spans="1:27" ht="14.5" hidden="1">
      <c r="A166" s="534">
        <f>'D-1 Off-Site Habitat Baseline'!AF170</f>
        <v>0</v>
      </c>
      <c r="N166" s="534">
        <f>'E-1 Off-Site Hedge Baseline'!AB169</f>
        <v>0</v>
      </c>
      <c r="AA166" s="1">
        <f>'F-1 Off-Site WaterC'' Baseline'!AH169</f>
        <v>0</v>
      </c>
    </row>
    <row r="167" spans="1:27" ht="14.5" hidden="1">
      <c r="A167" s="534">
        <f>'D-1 Off-Site Habitat Baseline'!AF171</f>
        <v>0</v>
      </c>
      <c r="N167" s="534">
        <f>'E-1 Off-Site Hedge Baseline'!AB170</f>
        <v>0</v>
      </c>
      <c r="AA167" s="1">
        <f>'F-1 Off-Site WaterC'' Baseline'!AH170</f>
        <v>0</v>
      </c>
    </row>
    <row r="168" spans="1:27" ht="14.5" hidden="1">
      <c r="A168" s="534">
        <f>'D-1 Off-Site Habitat Baseline'!AF172</f>
        <v>0</v>
      </c>
      <c r="N168" s="534">
        <f>'E-1 Off-Site Hedge Baseline'!AB171</f>
        <v>0</v>
      </c>
      <c r="AA168" s="1">
        <f>'F-1 Off-Site WaterC'' Baseline'!AH171</f>
        <v>0</v>
      </c>
    </row>
    <row r="169" spans="1:27" ht="14.5" hidden="1">
      <c r="A169" s="534">
        <f>'D-1 Off-Site Habitat Baseline'!AF173</f>
        <v>0</v>
      </c>
      <c r="N169" s="534">
        <f>'E-1 Off-Site Hedge Baseline'!AB172</f>
        <v>0</v>
      </c>
      <c r="AA169" s="1">
        <f>'F-1 Off-Site WaterC'' Baseline'!AH172</f>
        <v>0</v>
      </c>
    </row>
    <row r="170" spans="1:27" ht="14.5" hidden="1">
      <c r="A170" s="534">
        <f>'D-1 Off-Site Habitat Baseline'!AF174</f>
        <v>0</v>
      </c>
      <c r="N170" s="534">
        <f>'E-1 Off-Site Hedge Baseline'!AB173</f>
        <v>0</v>
      </c>
      <c r="AA170" s="1">
        <f>'F-1 Off-Site WaterC'' Baseline'!AH173</f>
        <v>0</v>
      </c>
    </row>
    <row r="171" spans="1:27" ht="14.5" hidden="1">
      <c r="A171" s="534">
        <f>'D-1 Off-Site Habitat Baseline'!AF175</f>
        <v>0</v>
      </c>
      <c r="N171" s="534">
        <f>'E-1 Off-Site Hedge Baseline'!AB174</f>
        <v>0</v>
      </c>
      <c r="AA171" s="1">
        <f>'F-1 Off-Site WaterC'' Baseline'!AH174</f>
        <v>0</v>
      </c>
    </row>
    <row r="172" spans="1:27" ht="14.5" hidden="1">
      <c r="A172" s="534">
        <f>'D-1 Off-Site Habitat Baseline'!AF176</f>
        <v>0</v>
      </c>
      <c r="N172" s="534">
        <f>'E-1 Off-Site Hedge Baseline'!AB175</f>
        <v>0</v>
      </c>
      <c r="AA172" s="1">
        <f>'F-1 Off-Site WaterC'' Baseline'!AH175</f>
        <v>0</v>
      </c>
    </row>
    <row r="173" spans="1:27" ht="14.5" hidden="1">
      <c r="A173" s="534">
        <f>'D-1 Off-Site Habitat Baseline'!AF177</f>
        <v>0</v>
      </c>
      <c r="N173" s="534">
        <f>'E-1 Off-Site Hedge Baseline'!AB176</f>
        <v>0</v>
      </c>
      <c r="AA173" s="1">
        <f>'F-1 Off-Site WaterC'' Baseline'!AH176</f>
        <v>0</v>
      </c>
    </row>
    <row r="174" spans="1:27" ht="14.5" hidden="1">
      <c r="A174" s="534">
        <f>'D-1 Off-Site Habitat Baseline'!AF178</f>
        <v>0</v>
      </c>
      <c r="N174" s="534">
        <f>'E-1 Off-Site Hedge Baseline'!AB177</f>
        <v>0</v>
      </c>
      <c r="AA174" s="1">
        <f>'F-1 Off-Site WaterC'' Baseline'!AH177</f>
        <v>0</v>
      </c>
    </row>
    <row r="175" spans="1:27" ht="14.5" hidden="1">
      <c r="A175" s="534">
        <f>'D-1 Off-Site Habitat Baseline'!AF179</f>
        <v>0</v>
      </c>
      <c r="N175" s="534">
        <f>'E-1 Off-Site Hedge Baseline'!AB178</f>
        <v>0</v>
      </c>
      <c r="AA175" s="1">
        <f>'F-1 Off-Site WaterC'' Baseline'!AH178</f>
        <v>0</v>
      </c>
    </row>
    <row r="176" spans="1:27" ht="14.5" hidden="1">
      <c r="A176" s="534">
        <f>'D-1 Off-Site Habitat Baseline'!AF180</f>
        <v>0</v>
      </c>
      <c r="N176" s="534">
        <f>'E-1 Off-Site Hedge Baseline'!AB179</f>
        <v>0</v>
      </c>
      <c r="AA176" s="1">
        <f>'F-1 Off-Site WaterC'' Baseline'!AH179</f>
        <v>0</v>
      </c>
    </row>
    <row r="177" spans="1:27" ht="14.5" hidden="1">
      <c r="A177" s="534">
        <f>'D-1 Off-Site Habitat Baseline'!AF181</f>
        <v>0</v>
      </c>
      <c r="N177" s="534">
        <f>'E-1 Off-Site Hedge Baseline'!AB180</f>
        <v>0</v>
      </c>
      <c r="AA177" s="1">
        <f>'F-1 Off-Site WaterC'' Baseline'!AH180</f>
        <v>0</v>
      </c>
    </row>
    <row r="178" spans="1:27" ht="14.5" hidden="1">
      <c r="A178" s="534">
        <f>'D-1 Off-Site Habitat Baseline'!AF182</f>
        <v>0</v>
      </c>
      <c r="N178" s="534">
        <f>'E-1 Off-Site Hedge Baseline'!AB181</f>
        <v>0</v>
      </c>
      <c r="AA178" s="1">
        <f>'F-1 Off-Site WaterC'' Baseline'!AH181</f>
        <v>0</v>
      </c>
    </row>
    <row r="179" spans="1:27" ht="14.5" hidden="1">
      <c r="A179" s="534">
        <f>'D-1 Off-Site Habitat Baseline'!AF183</f>
        <v>0</v>
      </c>
      <c r="N179" s="534">
        <f>'E-1 Off-Site Hedge Baseline'!AB182</f>
        <v>0</v>
      </c>
      <c r="AA179" s="1">
        <f>'F-1 Off-Site WaterC'' Baseline'!AH182</f>
        <v>0</v>
      </c>
    </row>
    <row r="180" spans="1:27" ht="14.5" hidden="1">
      <c r="A180" s="534">
        <f>'D-1 Off-Site Habitat Baseline'!AF184</f>
        <v>0</v>
      </c>
      <c r="N180" s="534">
        <f>'E-1 Off-Site Hedge Baseline'!AB183</f>
        <v>0</v>
      </c>
      <c r="AA180" s="1">
        <f>'F-1 Off-Site WaterC'' Baseline'!AH183</f>
        <v>0</v>
      </c>
    </row>
    <row r="181" spans="1:27" ht="14.5" hidden="1">
      <c r="A181" s="534">
        <f>'D-1 Off-Site Habitat Baseline'!AF185</f>
        <v>0</v>
      </c>
      <c r="N181" s="534">
        <f>'E-1 Off-Site Hedge Baseline'!AB184</f>
        <v>0</v>
      </c>
      <c r="AA181" s="1">
        <f>'F-1 Off-Site WaterC'' Baseline'!AH184</f>
        <v>0</v>
      </c>
    </row>
    <row r="182" spans="1:27" ht="14.5" hidden="1">
      <c r="A182" s="534">
        <f>'D-1 Off-Site Habitat Baseline'!AF186</f>
        <v>0</v>
      </c>
      <c r="N182" s="534">
        <f>'E-1 Off-Site Hedge Baseline'!AB185</f>
        <v>0</v>
      </c>
      <c r="AA182" s="1">
        <f>'F-1 Off-Site WaterC'' Baseline'!AH185</f>
        <v>0</v>
      </c>
    </row>
    <row r="183" spans="1:27" ht="14.5" hidden="1">
      <c r="A183" s="534">
        <f>'D-1 Off-Site Habitat Baseline'!AF187</f>
        <v>0</v>
      </c>
      <c r="N183" s="534">
        <f>'E-1 Off-Site Hedge Baseline'!AB186</f>
        <v>0</v>
      </c>
      <c r="AA183" s="1">
        <f>'F-1 Off-Site WaterC'' Baseline'!AH186</f>
        <v>0</v>
      </c>
    </row>
    <row r="184" spans="1:27" ht="14.5" hidden="1">
      <c r="A184" s="534">
        <f>'D-1 Off-Site Habitat Baseline'!AF188</f>
        <v>0</v>
      </c>
      <c r="N184" s="534">
        <f>'E-1 Off-Site Hedge Baseline'!AB187</f>
        <v>0</v>
      </c>
      <c r="AA184" s="1">
        <f>'F-1 Off-Site WaterC'' Baseline'!AH187</f>
        <v>0</v>
      </c>
    </row>
    <row r="185" spans="1:27" ht="14.5" hidden="1">
      <c r="A185" s="534">
        <f>'D-1 Off-Site Habitat Baseline'!AF189</f>
        <v>0</v>
      </c>
      <c r="N185" s="534">
        <f>'E-1 Off-Site Hedge Baseline'!AB188</f>
        <v>0</v>
      </c>
      <c r="AA185" s="1">
        <f>'F-1 Off-Site WaterC'' Baseline'!AH188</f>
        <v>0</v>
      </c>
    </row>
    <row r="186" spans="1:27" ht="14.5" hidden="1">
      <c r="A186" s="534">
        <f>'D-1 Off-Site Habitat Baseline'!AF190</f>
        <v>0</v>
      </c>
      <c r="N186" s="534">
        <f>'E-1 Off-Site Hedge Baseline'!AB189</f>
        <v>0</v>
      </c>
      <c r="AA186" s="1">
        <f>'F-1 Off-Site WaterC'' Baseline'!AH189</f>
        <v>0</v>
      </c>
    </row>
    <row r="187" spans="1:27" ht="14.5" hidden="1">
      <c r="A187" s="534">
        <f>'D-1 Off-Site Habitat Baseline'!AF191</f>
        <v>0</v>
      </c>
      <c r="N187" s="534">
        <f>'E-1 Off-Site Hedge Baseline'!AB190</f>
        <v>0</v>
      </c>
      <c r="AA187" s="1">
        <f>'F-1 Off-Site WaterC'' Baseline'!AH190</f>
        <v>0</v>
      </c>
    </row>
    <row r="188" spans="1:27" ht="14.5" hidden="1">
      <c r="A188" s="534">
        <f>'D-1 Off-Site Habitat Baseline'!AF192</f>
        <v>0</v>
      </c>
      <c r="N188" s="534">
        <f>'E-1 Off-Site Hedge Baseline'!AB191</f>
        <v>0</v>
      </c>
      <c r="AA188" s="1">
        <f>'F-1 Off-Site WaterC'' Baseline'!AH191</f>
        <v>0</v>
      </c>
    </row>
    <row r="189" spans="1:27" ht="14.5" hidden="1">
      <c r="A189" s="534">
        <f>'D-1 Off-Site Habitat Baseline'!AF193</f>
        <v>0</v>
      </c>
      <c r="N189" s="534">
        <f>'E-1 Off-Site Hedge Baseline'!AB192</f>
        <v>0</v>
      </c>
      <c r="AA189" s="1">
        <f>'F-1 Off-Site WaterC'' Baseline'!AH192</f>
        <v>0</v>
      </c>
    </row>
    <row r="190" spans="1:27" ht="14.5" hidden="1">
      <c r="A190" s="534">
        <f>'D-1 Off-Site Habitat Baseline'!AF194</f>
        <v>0</v>
      </c>
      <c r="N190" s="534">
        <f>'E-1 Off-Site Hedge Baseline'!AB193</f>
        <v>0</v>
      </c>
      <c r="AA190" s="1">
        <f>'F-1 Off-Site WaterC'' Baseline'!AH193</f>
        <v>0</v>
      </c>
    </row>
    <row r="191" spans="1:27" ht="14.5" hidden="1">
      <c r="A191" s="534">
        <f>'D-1 Off-Site Habitat Baseline'!AF195</f>
        <v>0</v>
      </c>
      <c r="N191" s="534">
        <f>'E-1 Off-Site Hedge Baseline'!AB194</f>
        <v>0</v>
      </c>
      <c r="AA191" s="1">
        <f>'F-1 Off-Site WaterC'' Baseline'!AH194</f>
        <v>0</v>
      </c>
    </row>
    <row r="192" spans="1:27" ht="14.5" hidden="1">
      <c r="A192" s="534">
        <f>'D-1 Off-Site Habitat Baseline'!AF196</f>
        <v>0</v>
      </c>
      <c r="N192" s="534">
        <f>'E-1 Off-Site Hedge Baseline'!AB195</f>
        <v>0</v>
      </c>
      <c r="AA192" s="1">
        <f>'F-1 Off-Site WaterC'' Baseline'!AH195</f>
        <v>0</v>
      </c>
    </row>
    <row r="193" spans="1:27" ht="14.5" hidden="1">
      <c r="A193" s="534">
        <f>'D-1 Off-Site Habitat Baseline'!AF197</f>
        <v>0</v>
      </c>
      <c r="N193" s="534">
        <f>'E-1 Off-Site Hedge Baseline'!AB196</f>
        <v>0</v>
      </c>
      <c r="AA193" s="1">
        <f>'F-1 Off-Site WaterC'' Baseline'!AH196</f>
        <v>0</v>
      </c>
    </row>
    <row r="194" spans="1:27" ht="14.5" hidden="1">
      <c r="A194" s="534">
        <f>'D-1 Off-Site Habitat Baseline'!AF198</f>
        <v>0</v>
      </c>
      <c r="N194" s="534">
        <f>'E-1 Off-Site Hedge Baseline'!AB197</f>
        <v>0</v>
      </c>
      <c r="AA194" s="1">
        <f>'F-1 Off-Site WaterC'' Baseline'!AH197</f>
        <v>0</v>
      </c>
    </row>
    <row r="195" spans="1:27" ht="14.5" hidden="1">
      <c r="A195" s="534">
        <f>'D-1 Off-Site Habitat Baseline'!AF199</f>
        <v>0</v>
      </c>
      <c r="N195" s="534">
        <f>'E-1 Off-Site Hedge Baseline'!AB198</f>
        <v>0</v>
      </c>
      <c r="AA195" s="1">
        <f>'F-1 Off-Site WaterC'' Baseline'!AH198</f>
        <v>0</v>
      </c>
    </row>
    <row r="196" spans="1:27" ht="14.5" hidden="1">
      <c r="A196" s="534">
        <f>'D-1 Off-Site Habitat Baseline'!AF200</f>
        <v>0</v>
      </c>
      <c r="N196" s="534">
        <f>'E-1 Off-Site Hedge Baseline'!AB199</f>
        <v>0</v>
      </c>
      <c r="AA196" s="1">
        <f>'F-1 Off-Site WaterC'' Baseline'!AH199</f>
        <v>0</v>
      </c>
    </row>
    <row r="197" spans="1:27" ht="14.5" hidden="1">
      <c r="A197" s="534">
        <f>'D-1 Off-Site Habitat Baseline'!AF201</f>
        <v>0</v>
      </c>
      <c r="N197" s="534">
        <f>'E-1 Off-Site Hedge Baseline'!AB200</f>
        <v>0</v>
      </c>
      <c r="AA197" s="1">
        <f>'F-1 Off-Site WaterC'' Baseline'!AH200</f>
        <v>0</v>
      </c>
    </row>
    <row r="198" spans="1:27" ht="14.5" hidden="1">
      <c r="A198" s="534">
        <f>'D-1 Off-Site Habitat Baseline'!AF202</f>
        <v>0</v>
      </c>
      <c r="N198" s="534">
        <f>'E-1 Off-Site Hedge Baseline'!AB201</f>
        <v>0</v>
      </c>
      <c r="AA198" s="1">
        <f>'F-1 Off-Site WaterC'' Baseline'!AH201</f>
        <v>0</v>
      </c>
    </row>
    <row r="199" spans="1:27" ht="14.5" hidden="1">
      <c r="A199" s="534">
        <f>'D-1 Off-Site Habitat Baseline'!AF203</f>
        <v>0</v>
      </c>
      <c r="N199" s="534">
        <f>'E-1 Off-Site Hedge Baseline'!AB202</f>
        <v>0</v>
      </c>
      <c r="AA199" s="1">
        <f>'F-1 Off-Site WaterC'' Baseline'!AH202</f>
        <v>0</v>
      </c>
    </row>
    <row r="200" spans="1:27" ht="14.5" hidden="1">
      <c r="A200" s="534">
        <f>'D-1 Off-Site Habitat Baseline'!AF204</f>
        <v>0</v>
      </c>
      <c r="N200" s="534">
        <f>'E-1 Off-Site Hedge Baseline'!AB203</f>
        <v>0</v>
      </c>
      <c r="AA200" s="1">
        <f>'F-1 Off-Site WaterC'' Baseline'!AH203</f>
        <v>0</v>
      </c>
    </row>
    <row r="201" spans="1:27" ht="14.5" hidden="1">
      <c r="A201" s="534">
        <f>'D-1 Off-Site Habitat Baseline'!AF205</f>
        <v>0</v>
      </c>
      <c r="N201" s="534">
        <f>'E-1 Off-Site Hedge Baseline'!AB204</f>
        <v>0</v>
      </c>
      <c r="AA201" s="1">
        <f>'F-1 Off-Site WaterC'' Baseline'!AH204</f>
        <v>0</v>
      </c>
    </row>
    <row r="202" spans="1:27" ht="14.5" hidden="1">
      <c r="A202" s="534">
        <f>'D-1 Off-Site Habitat Baseline'!AF206</f>
        <v>0</v>
      </c>
      <c r="N202" s="534">
        <f>'E-1 Off-Site Hedge Baseline'!AB205</f>
        <v>0</v>
      </c>
      <c r="AA202" s="1">
        <f>'F-1 Off-Site WaterC'' Baseline'!AH205</f>
        <v>0</v>
      </c>
    </row>
    <row r="203" spans="1:27" ht="14.5" hidden="1">
      <c r="A203" s="534">
        <f>'D-1 Off-Site Habitat Baseline'!AF207</f>
        <v>0</v>
      </c>
      <c r="N203" s="534">
        <f>'E-1 Off-Site Hedge Baseline'!AB206</f>
        <v>0</v>
      </c>
      <c r="AA203" s="1">
        <f>'F-1 Off-Site WaterC'' Baseline'!AH206</f>
        <v>0</v>
      </c>
    </row>
    <row r="204" spans="1:27" ht="14.5" hidden="1">
      <c r="A204" s="534">
        <f>'D-1 Off-Site Habitat Baseline'!AF208</f>
        <v>0</v>
      </c>
      <c r="N204" s="534">
        <f>'E-1 Off-Site Hedge Baseline'!AB207</f>
        <v>0</v>
      </c>
      <c r="AA204" s="1">
        <f>'F-1 Off-Site WaterC'' Baseline'!AH207</f>
        <v>0</v>
      </c>
    </row>
    <row r="205" spans="1:27" ht="14.5" hidden="1">
      <c r="A205" s="534">
        <f>'D-1 Off-Site Habitat Baseline'!AF209</f>
        <v>0</v>
      </c>
      <c r="N205" s="534">
        <f>'E-1 Off-Site Hedge Baseline'!AB208</f>
        <v>0</v>
      </c>
      <c r="AA205" s="1">
        <f>'F-1 Off-Site WaterC'' Baseline'!AH208</f>
        <v>0</v>
      </c>
    </row>
    <row r="206" spans="1:27" ht="14.5" hidden="1">
      <c r="A206" s="534">
        <f>'D-1 Off-Site Habitat Baseline'!AF210</f>
        <v>0</v>
      </c>
      <c r="N206" s="534">
        <f>'E-1 Off-Site Hedge Baseline'!AB209</f>
        <v>0</v>
      </c>
      <c r="AA206" s="1">
        <f>'F-1 Off-Site WaterC'' Baseline'!AH209</f>
        <v>0</v>
      </c>
    </row>
    <row r="207" spans="1:27" ht="14.5" hidden="1">
      <c r="A207" s="534">
        <f>'D-1 Off-Site Habitat Baseline'!AF211</f>
        <v>0</v>
      </c>
      <c r="N207" s="534">
        <f>'E-1 Off-Site Hedge Baseline'!AB210</f>
        <v>0</v>
      </c>
      <c r="AA207" s="1">
        <f>'F-1 Off-Site WaterC'' Baseline'!AH210</f>
        <v>0</v>
      </c>
    </row>
    <row r="208" spans="1:27" ht="14.5" hidden="1">
      <c r="A208" s="534">
        <f>'D-1 Off-Site Habitat Baseline'!AF212</f>
        <v>0</v>
      </c>
      <c r="N208" s="534">
        <f>'E-1 Off-Site Hedge Baseline'!AB211</f>
        <v>0</v>
      </c>
      <c r="AA208" s="1">
        <f>'F-1 Off-Site WaterC'' Baseline'!AH211</f>
        <v>0</v>
      </c>
    </row>
    <row r="209" spans="1:27" ht="14.5" hidden="1">
      <c r="A209" s="534">
        <f>'D-1 Off-Site Habitat Baseline'!AF213</f>
        <v>0</v>
      </c>
      <c r="N209" s="534">
        <f>'E-1 Off-Site Hedge Baseline'!AB212</f>
        <v>0</v>
      </c>
      <c r="AA209" s="1">
        <f>'F-1 Off-Site WaterC'' Baseline'!AH212</f>
        <v>0</v>
      </c>
    </row>
    <row r="210" spans="1:27" ht="14.5" hidden="1">
      <c r="A210" s="534">
        <f>'D-1 Off-Site Habitat Baseline'!AF214</f>
        <v>0</v>
      </c>
      <c r="N210" s="534">
        <f>'E-1 Off-Site Hedge Baseline'!AB213</f>
        <v>0</v>
      </c>
      <c r="AA210" s="1">
        <f>'F-1 Off-Site WaterC'' Baseline'!AH213</f>
        <v>0</v>
      </c>
    </row>
    <row r="211" spans="1:27" ht="14.5" hidden="1">
      <c r="A211" s="534">
        <f>'D-1 Off-Site Habitat Baseline'!AF215</f>
        <v>0</v>
      </c>
      <c r="N211" s="534">
        <f>'E-1 Off-Site Hedge Baseline'!AB214</f>
        <v>0</v>
      </c>
      <c r="AA211" s="1">
        <f>'F-1 Off-Site WaterC'' Baseline'!AH214</f>
        <v>0</v>
      </c>
    </row>
    <row r="212" spans="1:27" ht="14.5" hidden="1">
      <c r="A212" s="534">
        <f>'D-1 Off-Site Habitat Baseline'!AF216</f>
        <v>0</v>
      </c>
      <c r="N212" s="534">
        <f>'E-1 Off-Site Hedge Baseline'!AB215</f>
        <v>0</v>
      </c>
      <c r="AA212" s="1">
        <f>'F-1 Off-Site WaterC'' Baseline'!AH215</f>
        <v>0</v>
      </c>
    </row>
    <row r="213" spans="1:27" ht="14.5" hidden="1">
      <c r="A213" s="534">
        <f>'D-1 Off-Site Habitat Baseline'!AF217</f>
        <v>0</v>
      </c>
      <c r="N213" s="534">
        <f>'E-1 Off-Site Hedge Baseline'!AB216</f>
        <v>0</v>
      </c>
      <c r="AA213" s="1">
        <f>'F-1 Off-Site WaterC'' Baseline'!AH216</f>
        <v>0</v>
      </c>
    </row>
    <row r="214" spans="1:27" ht="14.5" hidden="1">
      <c r="A214" s="534">
        <f>'D-1 Off-Site Habitat Baseline'!AF218</f>
        <v>0</v>
      </c>
      <c r="N214" s="534">
        <f>'E-1 Off-Site Hedge Baseline'!AB217</f>
        <v>0</v>
      </c>
      <c r="AA214" s="1">
        <f>'F-1 Off-Site WaterC'' Baseline'!AH217</f>
        <v>0</v>
      </c>
    </row>
    <row r="215" spans="1:27" ht="14.5" hidden="1">
      <c r="A215" s="534">
        <f>'D-1 Off-Site Habitat Baseline'!AF219</f>
        <v>0</v>
      </c>
      <c r="N215" s="534">
        <f>'E-1 Off-Site Hedge Baseline'!AB218</f>
        <v>0</v>
      </c>
      <c r="AA215" s="1">
        <f>'F-1 Off-Site WaterC'' Baseline'!AH218</f>
        <v>0</v>
      </c>
    </row>
    <row r="216" spans="1:27" ht="14.5" hidden="1">
      <c r="A216" s="534">
        <f>'D-1 Off-Site Habitat Baseline'!AF220</f>
        <v>0</v>
      </c>
      <c r="N216" s="534">
        <f>'E-1 Off-Site Hedge Baseline'!AB219</f>
        <v>0</v>
      </c>
      <c r="AA216" s="1">
        <f>'F-1 Off-Site WaterC'' Baseline'!AH219</f>
        <v>0</v>
      </c>
    </row>
    <row r="217" spans="1:27" ht="14.5" hidden="1">
      <c r="A217" s="534">
        <f>'D-1 Off-Site Habitat Baseline'!AF221</f>
        <v>0</v>
      </c>
      <c r="N217" s="534">
        <f>'E-1 Off-Site Hedge Baseline'!AB220</f>
        <v>0</v>
      </c>
      <c r="AA217" s="1">
        <f>'F-1 Off-Site WaterC'' Baseline'!AH220</f>
        <v>0</v>
      </c>
    </row>
    <row r="218" spans="1:27" ht="14.5" hidden="1">
      <c r="A218" s="534">
        <f>'D-1 Off-Site Habitat Baseline'!AF222</f>
        <v>0</v>
      </c>
      <c r="N218" s="534">
        <f>'E-1 Off-Site Hedge Baseline'!AB221</f>
        <v>0</v>
      </c>
      <c r="AA218" s="1">
        <f>'F-1 Off-Site WaterC'' Baseline'!AH221</f>
        <v>0</v>
      </c>
    </row>
    <row r="219" spans="1:27" ht="14.5" hidden="1">
      <c r="A219" s="534">
        <f>'D-1 Off-Site Habitat Baseline'!AF223</f>
        <v>0</v>
      </c>
      <c r="N219" s="534">
        <f>'E-1 Off-Site Hedge Baseline'!AB222</f>
        <v>0</v>
      </c>
      <c r="AA219" s="1">
        <f>'F-1 Off-Site WaterC'' Baseline'!AH222</f>
        <v>0</v>
      </c>
    </row>
    <row r="220" spans="1:27" ht="14.5" hidden="1">
      <c r="A220" s="534">
        <f>'D-1 Off-Site Habitat Baseline'!AF224</f>
        <v>0</v>
      </c>
      <c r="N220" s="534">
        <f>'E-1 Off-Site Hedge Baseline'!AB223</f>
        <v>0</v>
      </c>
      <c r="AA220" s="1">
        <f>'F-1 Off-Site WaterC'' Baseline'!AH223</f>
        <v>0</v>
      </c>
    </row>
    <row r="221" spans="1:27" ht="14.5" hidden="1">
      <c r="A221" s="534">
        <f>'D-1 Off-Site Habitat Baseline'!AF225</f>
        <v>0</v>
      </c>
      <c r="N221" s="534">
        <f>'E-1 Off-Site Hedge Baseline'!AB224</f>
        <v>0</v>
      </c>
      <c r="AA221" s="1">
        <f>'F-1 Off-Site WaterC'' Baseline'!AH224</f>
        <v>0</v>
      </c>
    </row>
    <row r="222" spans="1:27" ht="14.5" hidden="1">
      <c r="A222" s="534">
        <f>'D-1 Off-Site Habitat Baseline'!AF226</f>
        <v>0</v>
      </c>
      <c r="N222" s="534">
        <f>'E-1 Off-Site Hedge Baseline'!AB225</f>
        <v>0</v>
      </c>
      <c r="AA222" s="1">
        <f>'F-1 Off-Site WaterC'' Baseline'!AH225</f>
        <v>0</v>
      </c>
    </row>
    <row r="223" spans="1:27" ht="14.5" hidden="1">
      <c r="A223" s="534">
        <f>'D-1 Off-Site Habitat Baseline'!AF227</f>
        <v>0</v>
      </c>
      <c r="N223" s="534">
        <f>'E-1 Off-Site Hedge Baseline'!AB226</f>
        <v>0</v>
      </c>
      <c r="AA223" s="1">
        <f>'F-1 Off-Site WaterC'' Baseline'!AH226</f>
        <v>0</v>
      </c>
    </row>
    <row r="224" spans="1:27" ht="14.5" hidden="1">
      <c r="A224" s="534">
        <f>'D-1 Off-Site Habitat Baseline'!AF228</f>
        <v>0</v>
      </c>
      <c r="N224" s="534">
        <f>'E-1 Off-Site Hedge Baseline'!AB227</f>
        <v>0</v>
      </c>
      <c r="AA224" s="1">
        <f>'F-1 Off-Site WaterC'' Baseline'!AH227</f>
        <v>0</v>
      </c>
    </row>
    <row r="225" spans="1:27" ht="14.5" hidden="1">
      <c r="A225" s="534">
        <f>'D-1 Off-Site Habitat Baseline'!AF229</f>
        <v>0</v>
      </c>
      <c r="N225" s="534">
        <f>'E-1 Off-Site Hedge Baseline'!AB228</f>
        <v>0</v>
      </c>
      <c r="AA225" s="1">
        <f>'F-1 Off-Site WaterC'' Baseline'!AH228</f>
        <v>0</v>
      </c>
    </row>
    <row r="226" spans="1:27" ht="14.5" hidden="1">
      <c r="A226" s="534">
        <f>'D-1 Off-Site Habitat Baseline'!AF230</f>
        <v>0</v>
      </c>
      <c r="N226" s="534">
        <f>'E-1 Off-Site Hedge Baseline'!AB229</f>
        <v>0</v>
      </c>
      <c r="AA226" s="1">
        <f>'F-1 Off-Site WaterC'' Baseline'!AH229</f>
        <v>0</v>
      </c>
    </row>
    <row r="227" spans="1:27" ht="14.5" hidden="1">
      <c r="A227" s="534">
        <f>'D-1 Off-Site Habitat Baseline'!AF231</f>
        <v>0</v>
      </c>
      <c r="N227" s="534">
        <f>'E-1 Off-Site Hedge Baseline'!AB230</f>
        <v>0</v>
      </c>
      <c r="AA227" s="1">
        <f>'F-1 Off-Site WaterC'' Baseline'!AH230</f>
        <v>0</v>
      </c>
    </row>
    <row r="228" spans="1:27" ht="14.5" hidden="1">
      <c r="A228" s="534">
        <f>'D-1 Off-Site Habitat Baseline'!AF232</f>
        <v>0</v>
      </c>
      <c r="N228" s="534">
        <f>'E-1 Off-Site Hedge Baseline'!AB231</f>
        <v>0</v>
      </c>
      <c r="AA228" s="1">
        <f>'F-1 Off-Site WaterC'' Baseline'!AH231</f>
        <v>0</v>
      </c>
    </row>
    <row r="229" spans="1:27" ht="14.5" hidden="1">
      <c r="A229" s="534">
        <f>'D-1 Off-Site Habitat Baseline'!AF233</f>
        <v>0</v>
      </c>
      <c r="N229" s="534">
        <f>'E-1 Off-Site Hedge Baseline'!AB232</f>
        <v>0</v>
      </c>
      <c r="AA229" s="1">
        <f>'F-1 Off-Site WaterC'' Baseline'!AH232</f>
        <v>0</v>
      </c>
    </row>
    <row r="230" spans="1:27" ht="14.5" hidden="1">
      <c r="A230" s="534">
        <f>'D-1 Off-Site Habitat Baseline'!AF234</f>
        <v>0</v>
      </c>
      <c r="N230" s="534">
        <f>'E-1 Off-Site Hedge Baseline'!AB233</f>
        <v>0</v>
      </c>
      <c r="AA230" s="1">
        <f>'F-1 Off-Site WaterC'' Baseline'!AH233</f>
        <v>0</v>
      </c>
    </row>
    <row r="231" spans="1:27" ht="14.5" hidden="1">
      <c r="A231" s="534">
        <f>'D-1 Off-Site Habitat Baseline'!AF235</f>
        <v>0</v>
      </c>
      <c r="N231" s="534">
        <f>'E-1 Off-Site Hedge Baseline'!AB234</f>
        <v>0</v>
      </c>
      <c r="AA231" s="1">
        <f>'F-1 Off-Site WaterC'' Baseline'!AH234</f>
        <v>0</v>
      </c>
    </row>
    <row r="232" spans="1:27" ht="14.5" hidden="1">
      <c r="A232" s="534">
        <f>'D-1 Off-Site Habitat Baseline'!AF236</f>
        <v>0</v>
      </c>
      <c r="N232" s="534">
        <f>'E-1 Off-Site Hedge Baseline'!AB235</f>
        <v>0</v>
      </c>
      <c r="AA232" s="1">
        <f>'F-1 Off-Site WaterC'' Baseline'!AH235</f>
        <v>0</v>
      </c>
    </row>
    <row r="233" spans="1:27" ht="14.5" hidden="1">
      <c r="A233" s="534">
        <f>'D-1 Off-Site Habitat Baseline'!AF237</f>
        <v>0</v>
      </c>
      <c r="N233" s="534">
        <f>'E-1 Off-Site Hedge Baseline'!AB236</f>
        <v>0</v>
      </c>
      <c r="AA233" s="1">
        <f>'F-1 Off-Site WaterC'' Baseline'!AH236</f>
        <v>0</v>
      </c>
    </row>
    <row r="234" spans="1:27" ht="14.5" hidden="1">
      <c r="A234" s="534">
        <f>'D-1 Off-Site Habitat Baseline'!AF238</f>
        <v>0</v>
      </c>
      <c r="N234" s="534">
        <f>'E-1 Off-Site Hedge Baseline'!AB237</f>
        <v>0</v>
      </c>
      <c r="AA234" s="1">
        <f>'F-1 Off-Site WaterC'' Baseline'!AH237</f>
        <v>0</v>
      </c>
    </row>
    <row r="235" spans="1:27" ht="14.5" hidden="1">
      <c r="A235" s="534">
        <f>'D-1 Off-Site Habitat Baseline'!AF239</f>
        <v>0</v>
      </c>
      <c r="N235" s="534">
        <f>'E-1 Off-Site Hedge Baseline'!AB238</f>
        <v>0</v>
      </c>
      <c r="AA235" s="1">
        <f>'F-1 Off-Site WaterC'' Baseline'!AH238</f>
        <v>0</v>
      </c>
    </row>
    <row r="236" spans="1:27" ht="14.5" hidden="1">
      <c r="A236" s="534">
        <f>'D-1 Off-Site Habitat Baseline'!AF240</f>
        <v>0</v>
      </c>
      <c r="N236" s="534">
        <f>'E-1 Off-Site Hedge Baseline'!AB239</f>
        <v>0</v>
      </c>
      <c r="AA236" s="1">
        <f>'F-1 Off-Site WaterC'' Baseline'!AH239</f>
        <v>0</v>
      </c>
    </row>
    <row r="237" spans="1:27" ht="14.5" hidden="1">
      <c r="A237" s="534">
        <f>'D-1 Off-Site Habitat Baseline'!AF241</f>
        <v>0</v>
      </c>
      <c r="N237" s="534">
        <f>'E-1 Off-Site Hedge Baseline'!AB240</f>
        <v>0</v>
      </c>
      <c r="AA237" s="1">
        <f>'F-1 Off-Site WaterC'' Baseline'!AH240</f>
        <v>0</v>
      </c>
    </row>
    <row r="238" spans="1:27" ht="14.5" hidden="1">
      <c r="A238" s="534">
        <f>'D-1 Off-Site Habitat Baseline'!AF242</f>
        <v>0</v>
      </c>
      <c r="N238" s="534">
        <f>'E-1 Off-Site Hedge Baseline'!AB241</f>
        <v>0</v>
      </c>
      <c r="AA238" s="1">
        <f>'F-1 Off-Site WaterC'' Baseline'!AH241</f>
        <v>0</v>
      </c>
    </row>
    <row r="239" spans="1:27" ht="14.5" hidden="1">
      <c r="A239" s="534">
        <f>'D-1 Off-Site Habitat Baseline'!AF243</f>
        <v>0</v>
      </c>
      <c r="N239" s="534">
        <f>'E-1 Off-Site Hedge Baseline'!AB242</f>
        <v>0</v>
      </c>
      <c r="AA239" s="1">
        <f>'F-1 Off-Site WaterC'' Baseline'!AH242</f>
        <v>0</v>
      </c>
    </row>
    <row r="240" spans="1:27" ht="14.5" hidden="1">
      <c r="A240" s="534">
        <f>'D-1 Off-Site Habitat Baseline'!AF244</f>
        <v>0</v>
      </c>
      <c r="N240" s="534">
        <f>'E-1 Off-Site Hedge Baseline'!AB243</f>
        <v>0</v>
      </c>
      <c r="AA240" s="1">
        <f>'F-1 Off-Site WaterC'' Baseline'!AH243</f>
        <v>0</v>
      </c>
    </row>
    <row r="241" spans="1:27" ht="14.5" hidden="1">
      <c r="A241" s="534">
        <f>'D-1 Off-Site Habitat Baseline'!AF245</f>
        <v>0</v>
      </c>
      <c r="N241" s="534">
        <f>'E-1 Off-Site Hedge Baseline'!AB244</f>
        <v>0</v>
      </c>
      <c r="AA241" s="1">
        <f>'F-1 Off-Site WaterC'' Baseline'!AH244</f>
        <v>0</v>
      </c>
    </row>
    <row r="242" spans="1:27" ht="14.5" hidden="1">
      <c r="A242" s="534">
        <f>'D-1 Off-Site Habitat Baseline'!AF246</f>
        <v>0</v>
      </c>
      <c r="N242" s="534">
        <f>'E-1 Off-Site Hedge Baseline'!AB245</f>
        <v>0</v>
      </c>
      <c r="AA242" s="1">
        <f>'F-1 Off-Site WaterC'' Baseline'!AH245</f>
        <v>0</v>
      </c>
    </row>
    <row r="243" spans="1:27" ht="14.5" hidden="1">
      <c r="A243" s="534">
        <f>'D-1 Off-Site Habitat Baseline'!AF247</f>
        <v>0</v>
      </c>
      <c r="N243" s="534">
        <f>'E-1 Off-Site Hedge Baseline'!AB246</f>
        <v>0</v>
      </c>
      <c r="AA243" s="1">
        <f>'F-1 Off-Site WaterC'' Baseline'!AH246</f>
        <v>0</v>
      </c>
    </row>
    <row r="244" spans="1:27" ht="14.5" hidden="1">
      <c r="A244" s="534">
        <f>'D-1 Off-Site Habitat Baseline'!AF248</f>
        <v>0</v>
      </c>
      <c r="N244" s="534">
        <f>'E-1 Off-Site Hedge Baseline'!AB247</f>
        <v>0</v>
      </c>
      <c r="AA244" s="1">
        <f>'F-1 Off-Site WaterC'' Baseline'!AH247</f>
        <v>0</v>
      </c>
    </row>
    <row r="245" spans="1:27" ht="14.5" hidden="1">
      <c r="A245" s="534">
        <f>'D-1 Off-Site Habitat Baseline'!AF249</f>
        <v>0</v>
      </c>
      <c r="N245" s="534">
        <f>'E-1 Off-Site Hedge Baseline'!AB248</f>
        <v>0</v>
      </c>
      <c r="AA245" s="1">
        <f>'F-1 Off-Site WaterC'' Baseline'!AH248</f>
        <v>0</v>
      </c>
    </row>
    <row r="246" spans="1:27" ht="14.5" hidden="1">
      <c r="A246" s="534">
        <f>'D-1 Off-Site Habitat Baseline'!AF250</f>
        <v>0</v>
      </c>
      <c r="N246" s="534">
        <f>'E-1 Off-Site Hedge Baseline'!AB249</f>
        <v>0</v>
      </c>
      <c r="AA246" s="1">
        <f>'F-1 Off-Site WaterC'' Baseline'!AH249</f>
        <v>0</v>
      </c>
    </row>
    <row r="247" spans="1:27" ht="14.5" hidden="1">
      <c r="A247" s="534">
        <f>'D-1 Off-Site Habitat Baseline'!AF251</f>
        <v>0</v>
      </c>
      <c r="N247" s="534">
        <f>'E-1 Off-Site Hedge Baseline'!AB250</f>
        <v>0</v>
      </c>
      <c r="AA247" s="1">
        <f>'F-1 Off-Site WaterC'' Baseline'!AH250</f>
        <v>0</v>
      </c>
    </row>
    <row r="248" spans="1:27" ht="14.5" hidden="1">
      <c r="A248" s="534">
        <f>'D-1 Off-Site Habitat Baseline'!AF252</f>
        <v>0</v>
      </c>
      <c r="N248" s="534">
        <f>'E-1 Off-Site Hedge Baseline'!AB251</f>
        <v>0</v>
      </c>
      <c r="AA248" s="1">
        <f>'F-1 Off-Site WaterC'' Baseline'!AH251</f>
        <v>0</v>
      </c>
    </row>
    <row r="249" spans="1:27" ht="14.5" hidden="1">
      <c r="A249" s="534">
        <f>'D-1 Off-Site Habitat Baseline'!AF253</f>
        <v>0</v>
      </c>
      <c r="N249" s="534">
        <f>'E-1 Off-Site Hedge Baseline'!AB252</f>
        <v>0</v>
      </c>
      <c r="AA249" s="1">
        <f>'F-1 Off-Site WaterC'' Baseline'!AH252</f>
        <v>0</v>
      </c>
    </row>
    <row r="250" spans="1:27" ht="14.5" hidden="1">
      <c r="A250" s="534">
        <f>'D-1 Off-Site Habitat Baseline'!AF254</f>
        <v>0</v>
      </c>
      <c r="N250" s="534">
        <f>'E-1 Off-Site Hedge Baseline'!AB253</f>
        <v>0</v>
      </c>
      <c r="AA250" s="1">
        <f>'F-1 Off-Site WaterC'' Baseline'!AH253</f>
        <v>0</v>
      </c>
    </row>
    <row r="251" spans="1:27" ht="14.5" hidden="1">
      <c r="A251" s="534">
        <f>'D-1 Off-Site Habitat Baseline'!AF255</f>
        <v>0</v>
      </c>
      <c r="N251" s="534">
        <f>'E-1 Off-Site Hedge Baseline'!AB254</f>
        <v>0</v>
      </c>
      <c r="AA251" s="1">
        <f>'F-1 Off-Site WaterC'' Baseline'!AH254</f>
        <v>0</v>
      </c>
    </row>
    <row r="252" spans="1:27" ht="14.5" hidden="1">
      <c r="A252" s="534">
        <f>'D-1 Off-Site Habitat Baseline'!AF256</f>
        <v>0</v>
      </c>
      <c r="N252" s="534">
        <f>'E-1 Off-Site Hedge Baseline'!AB255</f>
        <v>0</v>
      </c>
      <c r="AA252" s="1">
        <f>'F-1 Off-Site WaterC'' Baseline'!AH255</f>
        <v>0</v>
      </c>
    </row>
    <row r="253" spans="1:27" ht="14.5" hidden="1">
      <c r="A253" s="534">
        <f>'D-1 Off-Site Habitat Baseline'!AF257</f>
        <v>0</v>
      </c>
      <c r="N253" s="534">
        <f>'E-1 Off-Site Hedge Baseline'!AB256</f>
        <v>0</v>
      </c>
      <c r="AA253" s="1">
        <f>'F-1 Off-Site WaterC'' Baseline'!AH256</f>
        <v>0</v>
      </c>
    </row>
    <row r="254" spans="1:27" ht="14.5" hidden="1">
      <c r="A254" s="534">
        <f>'D-1 Off-Site Habitat Baseline'!AF258</f>
        <v>0</v>
      </c>
      <c r="N254" s="534">
        <f>'E-1 Off-Site Hedge Baseline'!AB257</f>
        <v>0</v>
      </c>
      <c r="AA254" s="1">
        <f>'F-1 Off-Site WaterC'' Baseline'!AH257</f>
        <v>0</v>
      </c>
    </row>
    <row r="255" spans="1:27" ht="14.5" hidden="1">
      <c r="A255" s="534">
        <f>'D-2 Off-Site Habitat Creation'!AF11</f>
        <v>0</v>
      </c>
      <c r="N255" s="534">
        <f>'E-2 Off-Site Hedge Creation'!AD12</f>
        <v>0</v>
      </c>
      <c r="AA255" s="1">
        <f>'F-2 Off-Site WaterC'' Creation'!AG12</f>
        <v>0</v>
      </c>
    </row>
    <row r="256" spans="1:27" ht="14.5" hidden="1">
      <c r="A256" s="534">
        <f>'D-2 Off-Site Habitat Creation'!AF12</f>
        <v>0</v>
      </c>
      <c r="N256" s="534">
        <f>'E-2 Off-Site Hedge Creation'!AD13</f>
        <v>0</v>
      </c>
      <c r="AA256" s="1">
        <f>'F-2 Off-Site WaterC'' Creation'!AG13</f>
        <v>0</v>
      </c>
    </row>
    <row r="257" spans="1:27" ht="14.5" hidden="1">
      <c r="A257" s="534">
        <f>'D-2 Off-Site Habitat Creation'!AF13</f>
        <v>0</v>
      </c>
      <c r="N257" s="534">
        <f>'E-2 Off-Site Hedge Creation'!AD14</f>
        <v>0</v>
      </c>
      <c r="AA257" s="1">
        <f>'F-2 Off-Site WaterC'' Creation'!AG14</f>
        <v>0</v>
      </c>
    </row>
    <row r="258" spans="1:27" ht="14.5" hidden="1">
      <c r="A258" s="534">
        <f>'D-2 Off-Site Habitat Creation'!AF14</f>
        <v>0</v>
      </c>
      <c r="N258" s="534">
        <f>'E-2 Off-Site Hedge Creation'!AD15</f>
        <v>0</v>
      </c>
      <c r="AA258" s="1">
        <f>'F-2 Off-Site WaterC'' Creation'!AG15</f>
        <v>0</v>
      </c>
    </row>
    <row r="259" spans="1:27" ht="14.5" hidden="1">
      <c r="A259" s="534">
        <f>'D-2 Off-Site Habitat Creation'!AF15</f>
        <v>0</v>
      </c>
      <c r="N259" s="534">
        <f>'E-2 Off-Site Hedge Creation'!AD16</f>
        <v>0</v>
      </c>
      <c r="AA259" s="1">
        <f>'F-2 Off-Site WaterC'' Creation'!AG16</f>
        <v>0</v>
      </c>
    </row>
    <row r="260" spans="1:27" ht="14.5" hidden="1">
      <c r="A260" s="534">
        <f>'D-2 Off-Site Habitat Creation'!AF16</f>
        <v>0</v>
      </c>
      <c r="N260" s="534">
        <f>'E-2 Off-Site Hedge Creation'!AD17</f>
        <v>0</v>
      </c>
      <c r="AA260" s="1">
        <f>'F-2 Off-Site WaterC'' Creation'!AG17</f>
        <v>0</v>
      </c>
    </row>
    <row r="261" spans="1:27" ht="14.5" hidden="1">
      <c r="A261" s="534">
        <f>'D-2 Off-Site Habitat Creation'!AF17</f>
        <v>0</v>
      </c>
      <c r="N261" s="534">
        <f>'E-2 Off-Site Hedge Creation'!AD18</f>
        <v>0</v>
      </c>
      <c r="AA261" s="1">
        <f>'F-2 Off-Site WaterC'' Creation'!AG18</f>
        <v>0</v>
      </c>
    </row>
    <row r="262" spans="1:27" ht="14.5" hidden="1">
      <c r="A262" s="534">
        <f>'D-2 Off-Site Habitat Creation'!AF18</f>
        <v>0</v>
      </c>
      <c r="N262" s="534">
        <f>'E-2 Off-Site Hedge Creation'!AD19</f>
        <v>0</v>
      </c>
      <c r="AA262" s="1">
        <f>'F-2 Off-Site WaterC'' Creation'!AG19</f>
        <v>0</v>
      </c>
    </row>
    <row r="263" spans="1:27" ht="14.5" hidden="1">
      <c r="A263" s="534">
        <f>'D-2 Off-Site Habitat Creation'!AF19</f>
        <v>0</v>
      </c>
      <c r="N263" s="534">
        <f>'E-2 Off-Site Hedge Creation'!AD20</f>
        <v>0</v>
      </c>
      <c r="AA263" s="1">
        <f>'F-2 Off-Site WaterC'' Creation'!AG20</f>
        <v>0</v>
      </c>
    </row>
    <row r="264" spans="1:27" ht="14.5" hidden="1">
      <c r="A264" s="534">
        <f>'D-2 Off-Site Habitat Creation'!AF20</f>
        <v>0</v>
      </c>
      <c r="N264" s="534">
        <f>'E-2 Off-Site Hedge Creation'!AD21</f>
        <v>0</v>
      </c>
      <c r="AA264" s="1">
        <f>'F-2 Off-Site WaterC'' Creation'!AG21</f>
        <v>0</v>
      </c>
    </row>
    <row r="265" spans="1:27" ht="14.5" hidden="1">
      <c r="A265" s="534">
        <f>'D-2 Off-Site Habitat Creation'!AF21</f>
        <v>0</v>
      </c>
      <c r="N265" s="534">
        <f>'E-2 Off-Site Hedge Creation'!AD22</f>
        <v>0</v>
      </c>
      <c r="AA265" s="1">
        <f>'F-2 Off-Site WaterC'' Creation'!AG22</f>
        <v>0</v>
      </c>
    </row>
    <row r="266" spans="1:27" ht="14.5" hidden="1">
      <c r="A266" s="534">
        <f>'D-2 Off-Site Habitat Creation'!AF22</f>
        <v>0</v>
      </c>
      <c r="N266" s="534">
        <f>'E-2 Off-Site Hedge Creation'!AD23</f>
        <v>0</v>
      </c>
      <c r="AA266" s="1">
        <f>'F-2 Off-Site WaterC'' Creation'!AG23</f>
        <v>0</v>
      </c>
    </row>
    <row r="267" spans="1:27" ht="14.5" hidden="1">
      <c r="A267" s="534">
        <f>'D-2 Off-Site Habitat Creation'!AF23</f>
        <v>0</v>
      </c>
      <c r="N267" s="534">
        <f>'E-2 Off-Site Hedge Creation'!AD24</f>
        <v>0</v>
      </c>
      <c r="AA267" s="1">
        <f>'F-2 Off-Site WaterC'' Creation'!AG24</f>
        <v>0</v>
      </c>
    </row>
    <row r="268" spans="1:27" ht="14.5" hidden="1">
      <c r="A268" s="534">
        <f>'D-2 Off-Site Habitat Creation'!AF24</f>
        <v>0</v>
      </c>
      <c r="N268" s="534">
        <f>'E-2 Off-Site Hedge Creation'!AD25</f>
        <v>0</v>
      </c>
      <c r="AA268" s="1">
        <f>'F-2 Off-Site WaterC'' Creation'!AG25</f>
        <v>0</v>
      </c>
    </row>
    <row r="269" spans="1:27" ht="14.5" hidden="1">
      <c r="A269" s="534">
        <f>'D-2 Off-Site Habitat Creation'!AF25</f>
        <v>0</v>
      </c>
      <c r="N269" s="534">
        <f>'E-2 Off-Site Hedge Creation'!AD26</f>
        <v>0</v>
      </c>
      <c r="AA269" s="1">
        <f>'F-2 Off-Site WaterC'' Creation'!AG26</f>
        <v>0</v>
      </c>
    </row>
    <row r="270" spans="1:27" ht="14.5" hidden="1">
      <c r="A270" s="534">
        <f>'D-2 Off-Site Habitat Creation'!AF26</f>
        <v>0</v>
      </c>
      <c r="N270" s="534">
        <f>'E-2 Off-Site Hedge Creation'!AD27</f>
        <v>0</v>
      </c>
      <c r="AA270" s="1">
        <f>'F-2 Off-Site WaterC'' Creation'!AG27</f>
        <v>0</v>
      </c>
    </row>
    <row r="271" spans="1:27" ht="14.5" hidden="1">
      <c r="A271" s="534">
        <f>'D-2 Off-Site Habitat Creation'!AF27</f>
        <v>0</v>
      </c>
      <c r="N271" s="534">
        <f>'E-2 Off-Site Hedge Creation'!AD28</f>
        <v>0</v>
      </c>
      <c r="AA271" s="1">
        <f>'F-2 Off-Site WaterC'' Creation'!AG28</f>
        <v>0</v>
      </c>
    </row>
    <row r="272" spans="1:27" ht="14.5" hidden="1">
      <c r="A272" s="534">
        <f>'D-2 Off-Site Habitat Creation'!AF28</f>
        <v>0</v>
      </c>
      <c r="N272" s="534">
        <f>'E-2 Off-Site Hedge Creation'!AD29</f>
        <v>0</v>
      </c>
      <c r="AA272" s="1">
        <f>'F-2 Off-Site WaterC'' Creation'!AG29</f>
        <v>0</v>
      </c>
    </row>
    <row r="273" spans="1:27" ht="14.5" hidden="1">
      <c r="A273" s="534">
        <f>'D-2 Off-Site Habitat Creation'!AF29</f>
        <v>0</v>
      </c>
      <c r="N273" s="534">
        <f>'E-2 Off-Site Hedge Creation'!AD30</f>
        <v>0</v>
      </c>
      <c r="AA273" s="1">
        <f>'F-2 Off-Site WaterC'' Creation'!AG30</f>
        <v>0</v>
      </c>
    </row>
    <row r="274" spans="1:27" ht="14.5" hidden="1">
      <c r="A274" s="534">
        <f>'D-2 Off-Site Habitat Creation'!AF30</f>
        <v>0</v>
      </c>
      <c r="N274" s="534">
        <f>'E-2 Off-Site Hedge Creation'!AD31</f>
        <v>0</v>
      </c>
      <c r="AA274" s="1">
        <f>'F-2 Off-Site WaterC'' Creation'!AG31</f>
        <v>0</v>
      </c>
    </row>
    <row r="275" spans="1:27" ht="14.5" hidden="1">
      <c r="A275" s="534">
        <f>'D-2 Off-Site Habitat Creation'!AF31</f>
        <v>0</v>
      </c>
      <c r="N275" s="534">
        <f>'E-2 Off-Site Hedge Creation'!AD32</f>
        <v>0</v>
      </c>
      <c r="AA275" s="1">
        <f>'F-2 Off-Site WaterC'' Creation'!AG32</f>
        <v>0</v>
      </c>
    </row>
    <row r="276" spans="1:27" ht="14.5" hidden="1">
      <c r="A276" s="534">
        <f>'D-2 Off-Site Habitat Creation'!AF32</f>
        <v>0</v>
      </c>
      <c r="N276" s="534">
        <f>'E-2 Off-Site Hedge Creation'!AD33</f>
        <v>0</v>
      </c>
      <c r="AA276" s="1">
        <f>'F-2 Off-Site WaterC'' Creation'!AG33</f>
        <v>0</v>
      </c>
    </row>
    <row r="277" spans="1:27" ht="14.5" hidden="1">
      <c r="A277" s="534">
        <f>'D-2 Off-Site Habitat Creation'!AF33</f>
        <v>0</v>
      </c>
      <c r="N277" s="534">
        <f>'E-2 Off-Site Hedge Creation'!AD34</f>
        <v>0</v>
      </c>
      <c r="AA277" s="1">
        <f>'F-2 Off-Site WaterC'' Creation'!AG34</f>
        <v>0</v>
      </c>
    </row>
    <row r="278" spans="1:27" ht="14.5" hidden="1">
      <c r="A278" s="534">
        <f>'D-2 Off-Site Habitat Creation'!AF34</f>
        <v>0</v>
      </c>
      <c r="N278" s="534">
        <f>'E-2 Off-Site Hedge Creation'!AD35</f>
        <v>0</v>
      </c>
      <c r="AA278" s="1">
        <f>'F-2 Off-Site WaterC'' Creation'!AG35</f>
        <v>0</v>
      </c>
    </row>
    <row r="279" spans="1:27" ht="14.5" hidden="1">
      <c r="A279" s="534">
        <f>'D-2 Off-Site Habitat Creation'!AF35</f>
        <v>0</v>
      </c>
      <c r="N279" s="534">
        <f>'E-2 Off-Site Hedge Creation'!AD36</f>
        <v>0</v>
      </c>
      <c r="AA279" s="1">
        <f>'F-2 Off-Site WaterC'' Creation'!AG36</f>
        <v>0</v>
      </c>
    </row>
    <row r="280" spans="1:27" ht="14.5" hidden="1">
      <c r="A280" s="534">
        <f>'D-2 Off-Site Habitat Creation'!AF36</f>
        <v>0</v>
      </c>
      <c r="N280" s="534">
        <f>'E-2 Off-Site Hedge Creation'!AD37</f>
        <v>0</v>
      </c>
      <c r="AA280" s="1">
        <f>'F-2 Off-Site WaterC'' Creation'!AG37</f>
        <v>0</v>
      </c>
    </row>
    <row r="281" spans="1:27" ht="14.5" hidden="1">
      <c r="A281" s="534">
        <f>'D-2 Off-Site Habitat Creation'!AF37</f>
        <v>0</v>
      </c>
      <c r="N281" s="534">
        <f>'E-2 Off-Site Hedge Creation'!AD38</f>
        <v>0</v>
      </c>
      <c r="AA281" s="1">
        <f>'F-2 Off-Site WaterC'' Creation'!AG38</f>
        <v>0</v>
      </c>
    </row>
    <row r="282" spans="1:27" ht="14.5" hidden="1">
      <c r="A282" s="534">
        <f>'D-2 Off-Site Habitat Creation'!AF38</f>
        <v>0</v>
      </c>
      <c r="N282" s="534">
        <f>'E-2 Off-Site Hedge Creation'!AD39</f>
        <v>0</v>
      </c>
      <c r="AA282" s="1">
        <f>'F-2 Off-Site WaterC'' Creation'!AG39</f>
        <v>0</v>
      </c>
    </row>
    <row r="283" spans="1:27" ht="14.5" hidden="1">
      <c r="A283" s="534">
        <f>'D-2 Off-Site Habitat Creation'!AF39</f>
        <v>0</v>
      </c>
      <c r="N283" s="534">
        <f>'E-2 Off-Site Hedge Creation'!AD40</f>
        <v>0</v>
      </c>
      <c r="AA283" s="1">
        <f>'F-2 Off-Site WaterC'' Creation'!AG40</f>
        <v>0</v>
      </c>
    </row>
    <row r="284" spans="1:27" ht="14.5" hidden="1">
      <c r="A284" s="534">
        <f>'D-2 Off-Site Habitat Creation'!AF40</f>
        <v>0</v>
      </c>
      <c r="N284" s="534">
        <f>'E-2 Off-Site Hedge Creation'!AD41</f>
        <v>0</v>
      </c>
      <c r="AA284" s="1">
        <f>'F-2 Off-Site WaterC'' Creation'!AG41</f>
        <v>0</v>
      </c>
    </row>
    <row r="285" spans="1:27" ht="14.5" hidden="1">
      <c r="A285" s="534">
        <f>'D-2 Off-Site Habitat Creation'!AF41</f>
        <v>0</v>
      </c>
      <c r="N285" s="534">
        <f>'E-2 Off-Site Hedge Creation'!AD42</f>
        <v>0</v>
      </c>
      <c r="AA285" s="1">
        <f>'F-2 Off-Site WaterC'' Creation'!AG42</f>
        <v>0</v>
      </c>
    </row>
    <row r="286" spans="1:27" ht="14.5" hidden="1">
      <c r="A286" s="534">
        <f>'D-2 Off-Site Habitat Creation'!AF42</f>
        <v>0</v>
      </c>
      <c r="N286" s="534">
        <f>'E-2 Off-Site Hedge Creation'!AD43</f>
        <v>0</v>
      </c>
      <c r="AA286" s="1">
        <f>'F-2 Off-Site WaterC'' Creation'!AG43</f>
        <v>0</v>
      </c>
    </row>
    <row r="287" spans="1:27" ht="14.5" hidden="1">
      <c r="A287" s="534">
        <f>'D-2 Off-Site Habitat Creation'!AF43</f>
        <v>0</v>
      </c>
      <c r="N287" s="534">
        <f>'E-2 Off-Site Hedge Creation'!AD44</f>
        <v>0</v>
      </c>
      <c r="AA287" s="1">
        <f>'F-2 Off-Site WaterC'' Creation'!AG44</f>
        <v>0</v>
      </c>
    </row>
    <row r="288" spans="1:27" ht="14.5" hidden="1">
      <c r="A288" s="534">
        <f>'D-2 Off-Site Habitat Creation'!AF44</f>
        <v>0</v>
      </c>
      <c r="N288" s="534">
        <f>'E-2 Off-Site Hedge Creation'!AD45</f>
        <v>0</v>
      </c>
      <c r="AA288" s="1">
        <f>'F-2 Off-Site WaterC'' Creation'!AG45</f>
        <v>0</v>
      </c>
    </row>
    <row r="289" spans="1:27" ht="14.5" hidden="1">
      <c r="A289" s="534">
        <f>'D-2 Off-Site Habitat Creation'!AF45</f>
        <v>0</v>
      </c>
      <c r="N289" s="534">
        <f>'E-2 Off-Site Hedge Creation'!AD46</f>
        <v>0</v>
      </c>
      <c r="AA289" s="1">
        <f>'F-2 Off-Site WaterC'' Creation'!AG46</f>
        <v>0</v>
      </c>
    </row>
    <row r="290" spans="1:27" ht="14.5" hidden="1">
      <c r="A290" s="534">
        <f>'D-2 Off-Site Habitat Creation'!AF46</f>
        <v>0</v>
      </c>
      <c r="N290" s="534">
        <f>'E-2 Off-Site Hedge Creation'!AD47</f>
        <v>0</v>
      </c>
      <c r="AA290" s="1">
        <f>'F-2 Off-Site WaterC'' Creation'!AG47</f>
        <v>0</v>
      </c>
    </row>
    <row r="291" spans="1:27" ht="14.5" hidden="1">
      <c r="A291" s="534">
        <f>'D-2 Off-Site Habitat Creation'!AF47</f>
        <v>0</v>
      </c>
      <c r="N291" s="534">
        <f>'E-2 Off-Site Hedge Creation'!AD48</f>
        <v>0</v>
      </c>
      <c r="AA291" s="1">
        <f>'F-2 Off-Site WaterC'' Creation'!AG48</f>
        <v>0</v>
      </c>
    </row>
    <row r="292" spans="1:27" ht="14.5" hidden="1">
      <c r="A292" s="534">
        <f>'D-2 Off-Site Habitat Creation'!AF48</f>
        <v>0</v>
      </c>
      <c r="N292" s="534">
        <f>'E-2 Off-Site Hedge Creation'!AD49</f>
        <v>0</v>
      </c>
      <c r="AA292" s="1">
        <f>'F-2 Off-Site WaterC'' Creation'!AG49</f>
        <v>0</v>
      </c>
    </row>
    <row r="293" spans="1:27" ht="14.5" hidden="1">
      <c r="A293" s="534">
        <f>'D-2 Off-Site Habitat Creation'!AF49</f>
        <v>0</v>
      </c>
      <c r="N293" s="534">
        <f>'E-2 Off-Site Hedge Creation'!AD50</f>
        <v>0</v>
      </c>
      <c r="AA293" s="1">
        <f>'F-2 Off-Site WaterC'' Creation'!AG50</f>
        <v>0</v>
      </c>
    </row>
    <row r="294" spans="1:27" ht="14.5" hidden="1">
      <c r="A294" s="534">
        <f>'D-2 Off-Site Habitat Creation'!AF50</f>
        <v>0</v>
      </c>
      <c r="N294" s="534">
        <f>'E-2 Off-Site Hedge Creation'!AD51</f>
        <v>0</v>
      </c>
      <c r="AA294" s="1">
        <f>'F-2 Off-Site WaterC'' Creation'!AG51</f>
        <v>0</v>
      </c>
    </row>
    <row r="295" spans="1:27" ht="14.5" hidden="1">
      <c r="A295" s="534">
        <f>'D-2 Off-Site Habitat Creation'!AF51</f>
        <v>0</v>
      </c>
      <c r="N295" s="534">
        <f>'E-2 Off-Site Hedge Creation'!AD52</f>
        <v>0</v>
      </c>
      <c r="AA295" s="1">
        <f>'F-2 Off-Site WaterC'' Creation'!AG52</f>
        <v>0</v>
      </c>
    </row>
    <row r="296" spans="1:27" ht="14.5" hidden="1">
      <c r="A296" s="534">
        <f>'D-2 Off-Site Habitat Creation'!AF52</f>
        <v>0</v>
      </c>
      <c r="N296" s="534">
        <f>'E-2 Off-Site Hedge Creation'!AD53</f>
        <v>0</v>
      </c>
      <c r="AA296" s="1">
        <f>'F-2 Off-Site WaterC'' Creation'!AG53</f>
        <v>0</v>
      </c>
    </row>
    <row r="297" spans="1:27" ht="14.5" hidden="1">
      <c r="A297" s="534">
        <f>'D-2 Off-Site Habitat Creation'!AF53</f>
        <v>0</v>
      </c>
      <c r="N297" s="534">
        <f>'E-2 Off-Site Hedge Creation'!AD54</f>
        <v>0</v>
      </c>
      <c r="AA297" s="1">
        <f>'F-2 Off-Site WaterC'' Creation'!AG54</f>
        <v>0</v>
      </c>
    </row>
    <row r="298" spans="1:27" ht="14.5" hidden="1">
      <c r="A298" s="534">
        <f>'D-2 Off-Site Habitat Creation'!AF54</f>
        <v>0</v>
      </c>
      <c r="N298" s="534">
        <f>'E-2 Off-Site Hedge Creation'!AD55</f>
        <v>0</v>
      </c>
      <c r="AA298" s="1">
        <f>'F-2 Off-Site WaterC'' Creation'!AG55</f>
        <v>0</v>
      </c>
    </row>
    <row r="299" spans="1:27" ht="14.5" hidden="1">
      <c r="A299" s="534">
        <f>'D-2 Off-Site Habitat Creation'!AF55</f>
        <v>0</v>
      </c>
      <c r="N299" s="534">
        <f>'E-2 Off-Site Hedge Creation'!AD56</f>
        <v>0</v>
      </c>
      <c r="AA299" s="1">
        <f>'F-2 Off-Site WaterC'' Creation'!AG56</f>
        <v>0</v>
      </c>
    </row>
    <row r="300" spans="1:27" ht="14.5" hidden="1">
      <c r="A300" s="534">
        <f>'D-2 Off-Site Habitat Creation'!AF56</f>
        <v>0</v>
      </c>
      <c r="N300" s="534">
        <f>'E-2 Off-Site Hedge Creation'!AD57</f>
        <v>0</v>
      </c>
      <c r="AA300" s="1">
        <f>'F-2 Off-Site WaterC'' Creation'!AG57</f>
        <v>0</v>
      </c>
    </row>
    <row r="301" spans="1:27" ht="14.5" hidden="1">
      <c r="A301" s="534">
        <f>'D-2 Off-Site Habitat Creation'!AF57</f>
        <v>0</v>
      </c>
      <c r="N301" s="534">
        <f>'E-2 Off-Site Hedge Creation'!AD58</f>
        <v>0</v>
      </c>
      <c r="AA301" s="1">
        <f>'F-2 Off-Site WaterC'' Creation'!AG58</f>
        <v>0</v>
      </c>
    </row>
    <row r="302" spans="1:27" ht="14.5" hidden="1">
      <c r="A302" s="534">
        <f>'D-2 Off-Site Habitat Creation'!AF58</f>
        <v>0</v>
      </c>
      <c r="N302" s="534">
        <f>'E-2 Off-Site Hedge Creation'!AD59</f>
        <v>0</v>
      </c>
      <c r="AA302" s="1">
        <f>'F-2 Off-Site WaterC'' Creation'!AG59</f>
        <v>0</v>
      </c>
    </row>
    <row r="303" spans="1:27" ht="14.5" hidden="1">
      <c r="A303" s="534">
        <f>'D-2 Off-Site Habitat Creation'!AF59</f>
        <v>0</v>
      </c>
      <c r="N303" s="534">
        <f>'E-2 Off-Site Hedge Creation'!AD60</f>
        <v>0</v>
      </c>
      <c r="AA303" s="1">
        <f>'F-2 Off-Site WaterC'' Creation'!AG60</f>
        <v>0</v>
      </c>
    </row>
    <row r="304" spans="1:27" ht="14.5" hidden="1">
      <c r="A304" s="534">
        <f>'D-2 Off-Site Habitat Creation'!AF60</f>
        <v>0</v>
      </c>
      <c r="N304" s="534">
        <f>'E-2 Off-Site Hedge Creation'!AD61</f>
        <v>0</v>
      </c>
      <c r="AA304" s="1">
        <f>'F-2 Off-Site WaterC'' Creation'!AG61</f>
        <v>0</v>
      </c>
    </row>
    <row r="305" spans="1:27" ht="14.5" hidden="1">
      <c r="A305" s="534">
        <f>'D-2 Off-Site Habitat Creation'!AF61</f>
        <v>0</v>
      </c>
      <c r="N305" s="534">
        <f>'E-2 Off-Site Hedge Creation'!AD62</f>
        <v>0</v>
      </c>
      <c r="AA305" s="1">
        <f>'F-2 Off-Site WaterC'' Creation'!AG62</f>
        <v>0</v>
      </c>
    </row>
    <row r="306" spans="1:27" ht="14.5" hidden="1">
      <c r="A306" s="534">
        <f>'D-2 Off-Site Habitat Creation'!AF62</f>
        <v>0</v>
      </c>
      <c r="N306" s="534">
        <f>'E-2 Off-Site Hedge Creation'!AD63</f>
        <v>0</v>
      </c>
      <c r="AA306" s="1">
        <f>'F-2 Off-Site WaterC'' Creation'!AG63</f>
        <v>0</v>
      </c>
    </row>
    <row r="307" spans="1:27" ht="14.5" hidden="1">
      <c r="A307" s="534">
        <f>'D-2 Off-Site Habitat Creation'!AF63</f>
        <v>0</v>
      </c>
      <c r="N307" s="534">
        <f>'E-2 Off-Site Hedge Creation'!AD64</f>
        <v>0</v>
      </c>
      <c r="AA307" s="1">
        <f>'F-2 Off-Site WaterC'' Creation'!AG64</f>
        <v>0</v>
      </c>
    </row>
    <row r="308" spans="1:27" ht="14.5" hidden="1">
      <c r="A308" s="534">
        <f>'D-2 Off-Site Habitat Creation'!AF64</f>
        <v>0</v>
      </c>
      <c r="N308" s="534">
        <f>'E-2 Off-Site Hedge Creation'!AD65</f>
        <v>0</v>
      </c>
      <c r="AA308" s="1">
        <f>'F-2 Off-Site WaterC'' Creation'!AG65</f>
        <v>0</v>
      </c>
    </row>
    <row r="309" spans="1:27" ht="14.5" hidden="1">
      <c r="A309" s="534">
        <f>'D-2 Off-Site Habitat Creation'!AF65</f>
        <v>0</v>
      </c>
      <c r="N309" s="534">
        <f>'E-2 Off-Site Hedge Creation'!AD66</f>
        <v>0</v>
      </c>
      <c r="AA309" s="1">
        <f>'F-2 Off-Site WaterC'' Creation'!AG66</f>
        <v>0</v>
      </c>
    </row>
    <row r="310" spans="1:27" ht="14.5" hidden="1">
      <c r="A310" s="534">
        <f>'D-2 Off-Site Habitat Creation'!AF66</f>
        <v>0</v>
      </c>
      <c r="N310" s="534">
        <f>'E-2 Off-Site Hedge Creation'!AD67</f>
        <v>0</v>
      </c>
      <c r="AA310" s="1">
        <f>'F-2 Off-Site WaterC'' Creation'!AG67</f>
        <v>0</v>
      </c>
    </row>
    <row r="311" spans="1:27" ht="14.5" hidden="1">
      <c r="A311" s="534">
        <f>'D-2 Off-Site Habitat Creation'!AF67</f>
        <v>0</v>
      </c>
      <c r="N311" s="534">
        <f>'E-2 Off-Site Hedge Creation'!AD68</f>
        <v>0</v>
      </c>
      <c r="AA311" s="1">
        <f>'F-2 Off-Site WaterC'' Creation'!AG68</f>
        <v>0</v>
      </c>
    </row>
    <row r="312" spans="1:27" ht="14.5" hidden="1">
      <c r="A312" s="534">
        <f>'D-2 Off-Site Habitat Creation'!AF68</f>
        <v>0</v>
      </c>
      <c r="N312" s="534">
        <f>'E-2 Off-Site Hedge Creation'!AD69</f>
        <v>0</v>
      </c>
      <c r="AA312" s="1">
        <f>'F-2 Off-Site WaterC'' Creation'!AG69</f>
        <v>0</v>
      </c>
    </row>
    <row r="313" spans="1:27" ht="14.5" hidden="1">
      <c r="A313" s="534">
        <f>'D-2 Off-Site Habitat Creation'!AF69</f>
        <v>0</v>
      </c>
      <c r="N313" s="534">
        <f>'E-2 Off-Site Hedge Creation'!AD70</f>
        <v>0</v>
      </c>
      <c r="AA313" s="1">
        <f>'F-2 Off-Site WaterC'' Creation'!AG70</f>
        <v>0</v>
      </c>
    </row>
    <row r="314" spans="1:27" ht="14.5" hidden="1">
      <c r="A314" s="534">
        <f>'D-2 Off-Site Habitat Creation'!AF70</f>
        <v>0</v>
      </c>
      <c r="N314" s="534">
        <f>'E-2 Off-Site Hedge Creation'!AD71</f>
        <v>0</v>
      </c>
      <c r="AA314" s="1">
        <f>'F-2 Off-Site WaterC'' Creation'!AG71</f>
        <v>0</v>
      </c>
    </row>
    <row r="315" spans="1:27" ht="14.5" hidden="1">
      <c r="A315" s="534">
        <f>'D-2 Off-Site Habitat Creation'!AF71</f>
        <v>0</v>
      </c>
      <c r="N315" s="534">
        <f>'E-2 Off-Site Hedge Creation'!AD72</f>
        <v>0</v>
      </c>
      <c r="AA315" s="1">
        <f>'F-2 Off-Site WaterC'' Creation'!AG72</f>
        <v>0</v>
      </c>
    </row>
    <row r="316" spans="1:27" ht="14.5" hidden="1">
      <c r="A316" s="534">
        <f>'D-2 Off-Site Habitat Creation'!AF72</f>
        <v>0</v>
      </c>
      <c r="N316" s="534">
        <f>'E-2 Off-Site Hedge Creation'!AD73</f>
        <v>0</v>
      </c>
      <c r="AA316" s="1">
        <f>'F-2 Off-Site WaterC'' Creation'!AG73</f>
        <v>0</v>
      </c>
    </row>
    <row r="317" spans="1:27" ht="14.5" hidden="1">
      <c r="A317" s="534">
        <f>'D-2 Off-Site Habitat Creation'!AF73</f>
        <v>0</v>
      </c>
      <c r="N317" s="534">
        <f>'E-2 Off-Site Hedge Creation'!AD74</f>
        <v>0</v>
      </c>
      <c r="AA317" s="1">
        <f>'F-2 Off-Site WaterC'' Creation'!AG74</f>
        <v>0</v>
      </c>
    </row>
    <row r="318" spans="1:27" ht="14.5" hidden="1">
      <c r="A318" s="534">
        <f>'D-2 Off-Site Habitat Creation'!AF74</f>
        <v>0</v>
      </c>
      <c r="N318" s="534">
        <f>'E-2 Off-Site Hedge Creation'!AD75</f>
        <v>0</v>
      </c>
      <c r="AA318" s="1">
        <f>'F-2 Off-Site WaterC'' Creation'!AG75</f>
        <v>0</v>
      </c>
    </row>
    <row r="319" spans="1:27" ht="14.5" hidden="1">
      <c r="A319" s="534">
        <f>'D-2 Off-Site Habitat Creation'!AF75</f>
        <v>0</v>
      </c>
      <c r="N319" s="534">
        <f>'E-2 Off-Site Hedge Creation'!AD76</f>
        <v>0</v>
      </c>
      <c r="AA319" s="1">
        <f>'F-2 Off-Site WaterC'' Creation'!AG76</f>
        <v>0</v>
      </c>
    </row>
    <row r="320" spans="1:27" ht="14.5" hidden="1">
      <c r="A320" s="534">
        <f>'D-2 Off-Site Habitat Creation'!AF76</f>
        <v>0</v>
      </c>
      <c r="N320" s="534">
        <f>'E-2 Off-Site Hedge Creation'!AD77</f>
        <v>0</v>
      </c>
      <c r="AA320" s="1">
        <f>'F-2 Off-Site WaterC'' Creation'!AG77</f>
        <v>0</v>
      </c>
    </row>
    <row r="321" spans="1:27" ht="14.5" hidden="1">
      <c r="A321" s="534">
        <f>'D-2 Off-Site Habitat Creation'!AF77</f>
        <v>0</v>
      </c>
      <c r="N321" s="534">
        <f>'E-2 Off-Site Hedge Creation'!AD78</f>
        <v>0</v>
      </c>
      <c r="AA321" s="1">
        <f>'F-2 Off-Site WaterC'' Creation'!AG78</f>
        <v>0</v>
      </c>
    </row>
    <row r="322" spans="1:27" ht="14.5" hidden="1">
      <c r="A322" s="534">
        <f>'D-2 Off-Site Habitat Creation'!AF78</f>
        <v>0</v>
      </c>
      <c r="N322" s="534">
        <f>'E-2 Off-Site Hedge Creation'!AD79</f>
        <v>0</v>
      </c>
      <c r="AA322" s="1">
        <f>'F-2 Off-Site WaterC'' Creation'!AG79</f>
        <v>0</v>
      </c>
    </row>
    <row r="323" spans="1:27" ht="14.5" hidden="1">
      <c r="A323" s="534">
        <f>'D-2 Off-Site Habitat Creation'!AF79</f>
        <v>0</v>
      </c>
      <c r="N323" s="534">
        <f>'E-2 Off-Site Hedge Creation'!AD80</f>
        <v>0</v>
      </c>
      <c r="AA323" s="1">
        <f>'F-2 Off-Site WaterC'' Creation'!AG80</f>
        <v>0</v>
      </c>
    </row>
    <row r="324" spans="1:27" ht="14.5" hidden="1">
      <c r="A324" s="534">
        <f>'D-2 Off-Site Habitat Creation'!AF80</f>
        <v>0</v>
      </c>
      <c r="N324" s="534">
        <f>'E-2 Off-Site Hedge Creation'!AD81</f>
        <v>0</v>
      </c>
      <c r="AA324" s="1">
        <f>'F-2 Off-Site WaterC'' Creation'!AG81</f>
        <v>0</v>
      </c>
    </row>
    <row r="325" spans="1:27" ht="14.5" hidden="1">
      <c r="A325" s="534">
        <f>'D-2 Off-Site Habitat Creation'!AF81</f>
        <v>0</v>
      </c>
      <c r="N325" s="534">
        <f>'E-2 Off-Site Hedge Creation'!AD82</f>
        <v>0</v>
      </c>
      <c r="AA325" s="1">
        <f>'F-2 Off-Site WaterC'' Creation'!AG82</f>
        <v>0</v>
      </c>
    </row>
    <row r="326" spans="1:27" ht="14.5" hidden="1">
      <c r="A326" s="534">
        <f>'D-2 Off-Site Habitat Creation'!AF82</f>
        <v>0</v>
      </c>
      <c r="N326" s="534">
        <f>'E-2 Off-Site Hedge Creation'!AD83</f>
        <v>0</v>
      </c>
      <c r="AA326" s="1">
        <f>'F-2 Off-Site WaterC'' Creation'!AG83</f>
        <v>0</v>
      </c>
    </row>
    <row r="327" spans="1:27" ht="14.5" hidden="1">
      <c r="A327" s="534">
        <f>'D-2 Off-Site Habitat Creation'!AF83</f>
        <v>0</v>
      </c>
      <c r="N327" s="534">
        <f>'E-2 Off-Site Hedge Creation'!AD84</f>
        <v>0</v>
      </c>
      <c r="AA327" s="1">
        <f>'F-2 Off-Site WaterC'' Creation'!AG84</f>
        <v>0</v>
      </c>
    </row>
    <row r="328" spans="1:27" ht="14.5" hidden="1">
      <c r="A328" s="534">
        <f>'D-2 Off-Site Habitat Creation'!AF84</f>
        <v>0</v>
      </c>
      <c r="N328" s="534">
        <f>'E-2 Off-Site Hedge Creation'!AD85</f>
        <v>0</v>
      </c>
      <c r="AA328" s="1">
        <f>'F-2 Off-Site WaterC'' Creation'!AG85</f>
        <v>0</v>
      </c>
    </row>
    <row r="329" spans="1:27" ht="14.5" hidden="1">
      <c r="A329" s="534">
        <f>'D-2 Off-Site Habitat Creation'!AF85</f>
        <v>0</v>
      </c>
      <c r="N329" s="534">
        <f>'E-2 Off-Site Hedge Creation'!AD86</f>
        <v>0</v>
      </c>
      <c r="AA329" s="1">
        <f>'F-2 Off-Site WaterC'' Creation'!AG86</f>
        <v>0</v>
      </c>
    </row>
    <row r="330" spans="1:27" ht="14.5" hidden="1">
      <c r="A330" s="534">
        <f>'D-2 Off-Site Habitat Creation'!AF86</f>
        <v>0</v>
      </c>
      <c r="N330" s="534">
        <f>'E-2 Off-Site Hedge Creation'!AD87</f>
        <v>0</v>
      </c>
      <c r="AA330" s="1">
        <f>'F-2 Off-Site WaterC'' Creation'!AG87</f>
        <v>0</v>
      </c>
    </row>
    <row r="331" spans="1:27" ht="14.5" hidden="1">
      <c r="A331" s="534">
        <f>'D-2 Off-Site Habitat Creation'!AF87</f>
        <v>0</v>
      </c>
      <c r="N331" s="534">
        <f>'E-2 Off-Site Hedge Creation'!AD88</f>
        <v>0</v>
      </c>
      <c r="AA331" s="1">
        <f>'F-2 Off-Site WaterC'' Creation'!AG88</f>
        <v>0</v>
      </c>
    </row>
    <row r="332" spans="1:27" ht="14.5" hidden="1">
      <c r="A332" s="534">
        <f>'D-2 Off-Site Habitat Creation'!AF88</f>
        <v>0</v>
      </c>
      <c r="N332" s="534">
        <f>'E-2 Off-Site Hedge Creation'!AD89</f>
        <v>0</v>
      </c>
      <c r="AA332" s="1">
        <f>'F-2 Off-Site WaterC'' Creation'!AG89</f>
        <v>0</v>
      </c>
    </row>
    <row r="333" spans="1:27" ht="14.5" hidden="1">
      <c r="A333" s="534">
        <f>'D-2 Off-Site Habitat Creation'!AF89</f>
        <v>0</v>
      </c>
      <c r="N333" s="534">
        <f>'E-2 Off-Site Hedge Creation'!AD90</f>
        <v>0</v>
      </c>
      <c r="AA333" s="1">
        <f>'F-2 Off-Site WaterC'' Creation'!AG90</f>
        <v>0</v>
      </c>
    </row>
    <row r="334" spans="1:27" ht="14.5" hidden="1">
      <c r="A334" s="534">
        <f>'D-2 Off-Site Habitat Creation'!AF90</f>
        <v>0</v>
      </c>
      <c r="N334" s="534">
        <f>'E-2 Off-Site Hedge Creation'!AD91</f>
        <v>0</v>
      </c>
      <c r="AA334" s="1">
        <f>'F-2 Off-Site WaterC'' Creation'!AG91</f>
        <v>0</v>
      </c>
    </row>
    <row r="335" spans="1:27" ht="14.5" hidden="1">
      <c r="A335" s="534">
        <f>'D-2 Off-Site Habitat Creation'!AF91</f>
        <v>0</v>
      </c>
      <c r="N335" s="534">
        <f>'E-2 Off-Site Hedge Creation'!AD92</f>
        <v>0</v>
      </c>
      <c r="AA335" s="1">
        <f>'F-2 Off-Site WaterC'' Creation'!AG92</f>
        <v>0</v>
      </c>
    </row>
    <row r="336" spans="1:27" ht="14.5" hidden="1">
      <c r="A336" s="534">
        <f>'D-2 Off-Site Habitat Creation'!AF92</f>
        <v>0</v>
      </c>
      <c r="N336" s="534">
        <f>'E-2 Off-Site Hedge Creation'!AD93</f>
        <v>0</v>
      </c>
      <c r="AA336" s="1">
        <f>'F-2 Off-Site WaterC'' Creation'!AG93</f>
        <v>0</v>
      </c>
    </row>
    <row r="337" spans="1:27" ht="14.5" hidden="1">
      <c r="A337" s="534">
        <f>'D-2 Off-Site Habitat Creation'!AF93</f>
        <v>0</v>
      </c>
      <c r="N337" s="534">
        <f>'E-2 Off-Site Hedge Creation'!AD94</f>
        <v>0</v>
      </c>
      <c r="AA337" s="1">
        <f>'F-2 Off-Site WaterC'' Creation'!AG94</f>
        <v>0</v>
      </c>
    </row>
    <row r="338" spans="1:27" ht="14.5" hidden="1">
      <c r="A338" s="534">
        <f>'D-2 Off-Site Habitat Creation'!AF94</f>
        <v>0</v>
      </c>
      <c r="N338" s="534">
        <f>'E-2 Off-Site Hedge Creation'!AD95</f>
        <v>0</v>
      </c>
      <c r="AA338" s="1">
        <f>'F-2 Off-Site WaterC'' Creation'!AG95</f>
        <v>0</v>
      </c>
    </row>
    <row r="339" spans="1:27" ht="14.5" hidden="1">
      <c r="A339" s="534">
        <f>'D-2 Off-Site Habitat Creation'!AF95</f>
        <v>0</v>
      </c>
      <c r="N339" s="534">
        <f>'E-2 Off-Site Hedge Creation'!AD96</f>
        <v>0</v>
      </c>
      <c r="AA339" s="1">
        <f>'F-2 Off-Site WaterC'' Creation'!AG96</f>
        <v>0</v>
      </c>
    </row>
    <row r="340" spans="1:27" ht="14.5" hidden="1">
      <c r="A340" s="534">
        <f>'D-2 Off-Site Habitat Creation'!AF96</f>
        <v>0</v>
      </c>
      <c r="N340" s="534">
        <f>'E-2 Off-Site Hedge Creation'!AD97</f>
        <v>0</v>
      </c>
      <c r="AA340" s="1">
        <f>'F-2 Off-Site WaterC'' Creation'!AG97</f>
        <v>0</v>
      </c>
    </row>
    <row r="341" spans="1:27" ht="14.5" hidden="1">
      <c r="A341" s="534">
        <f>'D-2 Off-Site Habitat Creation'!AF97</f>
        <v>0</v>
      </c>
      <c r="N341" s="534">
        <f>'E-2 Off-Site Hedge Creation'!AD98</f>
        <v>0</v>
      </c>
      <c r="AA341" s="1">
        <f>'F-2 Off-Site WaterC'' Creation'!AG98</f>
        <v>0</v>
      </c>
    </row>
    <row r="342" spans="1:27" ht="14.5" hidden="1">
      <c r="A342" s="534">
        <f>'D-2 Off-Site Habitat Creation'!AF98</f>
        <v>0</v>
      </c>
      <c r="N342" s="534">
        <f>'E-2 Off-Site Hedge Creation'!AD99</f>
        <v>0</v>
      </c>
      <c r="AA342" s="1">
        <f>'F-2 Off-Site WaterC'' Creation'!AG99</f>
        <v>0</v>
      </c>
    </row>
    <row r="343" spans="1:27" ht="14.5" hidden="1">
      <c r="A343" s="534">
        <f>'D-2 Off-Site Habitat Creation'!AF99</f>
        <v>0</v>
      </c>
      <c r="N343" s="534">
        <f>'E-2 Off-Site Hedge Creation'!AD100</f>
        <v>0</v>
      </c>
      <c r="AA343" s="1">
        <f>'F-2 Off-Site WaterC'' Creation'!AG100</f>
        <v>0</v>
      </c>
    </row>
    <row r="344" spans="1:27" ht="14.5" hidden="1">
      <c r="A344" s="534">
        <f>'D-2 Off-Site Habitat Creation'!AF100</f>
        <v>0</v>
      </c>
      <c r="N344" s="534">
        <f>'E-2 Off-Site Hedge Creation'!AD101</f>
        <v>0</v>
      </c>
      <c r="AA344" s="1">
        <f>'F-2 Off-Site WaterC'' Creation'!AG101</f>
        <v>0</v>
      </c>
    </row>
    <row r="345" spans="1:27" ht="14.5" hidden="1">
      <c r="A345" s="534">
        <f>'D-2 Off-Site Habitat Creation'!AF101</f>
        <v>0</v>
      </c>
      <c r="N345" s="534">
        <f>'E-2 Off-Site Hedge Creation'!AD102</f>
        <v>0</v>
      </c>
      <c r="AA345" s="1">
        <f>'F-2 Off-Site WaterC'' Creation'!AG102</f>
        <v>0</v>
      </c>
    </row>
    <row r="346" spans="1:27" ht="14.5" hidden="1">
      <c r="A346" s="534">
        <f>'D-2 Off-Site Habitat Creation'!AF102</f>
        <v>0</v>
      </c>
      <c r="N346" s="534">
        <f>'E-2 Off-Site Hedge Creation'!AD103</f>
        <v>0</v>
      </c>
      <c r="AA346" s="1">
        <f>'F-2 Off-Site WaterC'' Creation'!AG103</f>
        <v>0</v>
      </c>
    </row>
    <row r="347" spans="1:27" ht="14.5" hidden="1">
      <c r="A347" s="534">
        <f>'D-2 Off-Site Habitat Creation'!AF103</f>
        <v>0</v>
      </c>
      <c r="N347" s="534">
        <f>'E-2 Off-Site Hedge Creation'!AD104</f>
        <v>0</v>
      </c>
      <c r="AA347" s="1">
        <f>'F-2 Off-Site WaterC'' Creation'!AG104</f>
        <v>0</v>
      </c>
    </row>
    <row r="348" spans="1:27" ht="14.5" hidden="1">
      <c r="A348" s="534">
        <f>'D-2 Off-Site Habitat Creation'!AF104</f>
        <v>0</v>
      </c>
      <c r="N348" s="534">
        <f>'E-2 Off-Site Hedge Creation'!AD105</f>
        <v>0</v>
      </c>
      <c r="AA348" s="1">
        <f>'F-2 Off-Site WaterC'' Creation'!AG105</f>
        <v>0</v>
      </c>
    </row>
    <row r="349" spans="1:27" ht="14.5" hidden="1">
      <c r="A349" s="534">
        <f>'D-2 Off-Site Habitat Creation'!AF105</f>
        <v>0</v>
      </c>
      <c r="N349" s="534">
        <f>'E-2 Off-Site Hedge Creation'!AD106</f>
        <v>0</v>
      </c>
      <c r="AA349" s="1">
        <f>'F-2 Off-Site WaterC'' Creation'!AG106</f>
        <v>0</v>
      </c>
    </row>
    <row r="350" spans="1:27" ht="14.5" hidden="1">
      <c r="A350" s="534">
        <f>'D-2 Off-Site Habitat Creation'!AF106</f>
        <v>0</v>
      </c>
      <c r="N350" s="534">
        <f>'E-2 Off-Site Hedge Creation'!AD107</f>
        <v>0</v>
      </c>
      <c r="AA350" s="1">
        <f>'F-2 Off-Site WaterC'' Creation'!AG107</f>
        <v>0</v>
      </c>
    </row>
    <row r="351" spans="1:27" ht="14.5" hidden="1">
      <c r="A351" s="534">
        <f>'D-2 Off-Site Habitat Creation'!AF107</f>
        <v>0</v>
      </c>
      <c r="N351" s="534">
        <f>'E-2 Off-Site Hedge Creation'!AD108</f>
        <v>0</v>
      </c>
      <c r="AA351" s="1">
        <f>'F-2 Off-Site WaterC'' Creation'!AG108</f>
        <v>0</v>
      </c>
    </row>
    <row r="352" spans="1:27" ht="14.5" hidden="1">
      <c r="A352" s="534">
        <f>'D-2 Off-Site Habitat Creation'!AF108</f>
        <v>0</v>
      </c>
      <c r="N352" s="534">
        <f>'E-2 Off-Site Hedge Creation'!AD109</f>
        <v>0</v>
      </c>
      <c r="AA352" s="1">
        <f>'F-2 Off-Site WaterC'' Creation'!AG109</f>
        <v>0</v>
      </c>
    </row>
    <row r="353" spans="1:27" ht="14.5" hidden="1">
      <c r="A353" s="534">
        <f>'D-2 Off-Site Habitat Creation'!AF109</f>
        <v>0</v>
      </c>
      <c r="N353" s="534">
        <f>'E-2 Off-Site Hedge Creation'!AD110</f>
        <v>0</v>
      </c>
      <c r="AA353" s="1">
        <f>'F-2 Off-Site WaterC'' Creation'!AG110</f>
        <v>0</v>
      </c>
    </row>
    <row r="354" spans="1:27" ht="14.5" hidden="1">
      <c r="A354" s="534">
        <f>'D-2 Off-Site Habitat Creation'!AF110</f>
        <v>0</v>
      </c>
      <c r="N354" s="534">
        <f>'E-2 Off-Site Hedge Creation'!AD111</f>
        <v>0</v>
      </c>
      <c r="AA354" s="1">
        <f>'F-2 Off-Site WaterC'' Creation'!AG111</f>
        <v>0</v>
      </c>
    </row>
    <row r="355" spans="1:27" ht="14.5" hidden="1">
      <c r="A355" s="534">
        <f>'D-2 Off-Site Habitat Creation'!AF111</f>
        <v>0</v>
      </c>
      <c r="N355" s="534">
        <f>'E-2 Off-Site Hedge Creation'!AD112</f>
        <v>0</v>
      </c>
      <c r="AA355" s="1">
        <f>'F-2 Off-Site WaterC'' Creation'!AG112</f>
        <v>0</v>
      </c>
    </row>
    <row r="356" spans="1:27" ht="14.5" hidden="1">
      <c r="A356" s="534">
        <f>'D-2 Off-Site Habitat Creation'!AF112</f>
        <v>0</v>
      </c>
      <c r="N356" s="534">
        <f>'E-2 Off-Site Hedge Creation'!AD113</f>
        <v>0</v>
      </c>
      <c r="AA356" s="1">
        <f>'F-2 Off-Site WaterC'' Creation'!AG113</f>
        <v>0</v>
      </c>
    </row>
    <row r="357" spans="1:27" ht="14.5" hidden="1">
      <c r="A357" s="534">
        <f>'D-2 Off-Site Habitat Creation'!AF113</f>
        <v>0</v>
      </c>
      <c r="N357" s="534">
        <f>'E-2 Off-Site Hedge Creation'!AD114</f>
        <v>0</v>
      </c>
      <c r="AA357" s="1">
        <f>'F-2 Off-Site WaterC'' Creation'!AG114</f>
        <v>0</v>
      </c>
    </row>
    <row r="358" spans="1:27" ht="14.5" hidden="1">
      <c r="A358" s="534">
        <f>'D-2 Off-Site Habitat Creation'!AF114</f>
        <v>0</v>
      </c>
      <c r="N358" s="534">
        <f>'E-2 Off-Site Hedge Creation'!AD115</f>
        <v>0</v>
      </c>
      <c r="AA358" s="1">
        <f>'F-2 Off-Site WaterC'' Creation'!AG115</f>
        <v>0</v>
      </c>
    </row>
    <row r="359" spans="1:27" ht="14.5" hidden="1">
      <c r="A359" s="534">
        <f>'D-2 Off-Site Habitat Creation'!AF115</f>
        <v>0</v>
      </c>
      <c r="N359" s="534">
        <f>'E-2 Off-Site Hedge Creation'!AD116</f>
        <v>0</v>
      </c>
      <c r="AA359" s="1">
        <f>'F-2 Off-Site WaterC'' Creation'!AG116</f>
        <v>0</v>
      </c>
    </row>
    <row r="360" spans="1:27" ht="14.5" hidden="1">
      <c r="A360" s="534">
        <f>'D-2 Off-Site Habitat Creation'!AF116</f>
        <v>0</v>
      </c>
      <c r="N360" s="534">
        <f>'E-2 Off-Site Hedge Creation'!AD117</f>
        <v>0</v>
      </c>
      <c r="AA360" s="1">
        <f>'F-2 Off-Site WaterC'' Creation'!AG117</f>
        <v>0</v>
      </c>
    </row>
    <row r="361" spans="1:27" ht="14.5" hidden="1">
      <c r="A361" s="534">
        <f>'D-2 Off-Site Habitat Creation'!AF117</f>
        <v>0</v>
      </c>
      <c r="N361" s="534">
        <f>'E-2 Off-Site Hedge Creation'!AD118</f>
        <v>0</v>
      </c>
      <c r="AA361" s="1">
        <f>'F-2 Off-Site WaterC'' Creation'!AG118</f>
        <v>0</v>
      </c>
    </row>
    <row r="362" spans="1:27" ht="14.5" hidden="1">
      <c r="A362" s="534">
        <f>'D-2 Off-Site Habitat Creation'!AF118</f>
        <v>0</v>
      </c>
      <c r="N362" s="534">
        <f>'E-2 Off-Site Hedge Creation'!AD119</f>
        <v>0</v>
      </c>
      <c r="AA362" s="1">
        <f>'F-2 Off-Site WaterC'' Creation'!AG119</f>
        <v>0</v>
      </c>
    </row>
    <row r="363" spans="1:27" ht="14.5" hidden="1">
      <c r="A363" s="534">
        <f>'D-2 Off-Site Habitat Creation'!AF119</f>
        <v>0</v>
      </c>
      <c r="N363" s="534">
        <f>'E-2 Off-Site Hedge Creation'!AD120</f>
        <v>0</v>
      </c>
      <c r="AA363" s="1">
        <f>'F-2 Off-Site WaterC'' Creation'!AG120</f>
        <v>0</v>
      </c>
    </row>
    <row r="364" spans="1:27" ht="14.5" hidden="1">
      <c r="A364" s="534">
        <f>'D-2 Off-Site Habitat Creation'!AF120</f>
        <v>0</v>
      </c>
      <c r="N364" s="534">
        <f>'E-2 Off-Site Hedge Creation'!AD121</f>
        <v>0</v>
      </c>
      <c r="AA364" s="1">
        <f>'F-2 Off-Site WaterC'' Creation'!AG121</f>
        <v>0</v>
      </c>
    </row>
    <row r="365" spans="1:27" ht="14.5" hidden="1">
      <c r="A365" s="534">
        <f>'D-2 Off-Site Habitat Creation'!AF121</f>
        <v>0</v>
      </c>
      <c r="N365" s="534">
        <f>'E-2 Off-Site Hedge Creation'!AD122</f>
        <v>0</v>
      </c>
      <c r="AA365" s="1">
        <f>'F-2 Off-Site WaterC'' Creation'!AG122</f>
        <v>0</v>
      </c>
    </row>
    <row r="366" spans="1:27" ht="14.5" hidden="1">
      <c r="A366" s="534">
        <f>'D-2 Off-Site Habitat Creation'!AF122</f>
        <v>0</v>
      </c>
      <c r="N366" s="534">
        <f>'E-2 Off-Site Hedge Creation'!AD123</f>
        <v>0</v>
      </c>
      <c r="AA366" s="1">
        <f>'F-2 Off-Site WaterC'' Creation'!AG123</f>
        <v>0</v>
      </c>
    </row>
    <row r="367" spans="1:27" ht="14.5" hidden="1">
      <c r="A367" s="534">
        <f>'D-2 Off-Site Habitat Creation'!AF123</f>
        <v>0</v>
      </c>
      <c r="N367" s="534">
        <f>'E-2 Off-Site Hedge Creation'!AD124</f>
        <v>0</v>
      </c>
      <c r="AA367" s="1">
        <f>'F-2 Off-Site WaterC'' Creation'!AG124</f>
        <v>0</v>
      </c>
    </row>
    <row r="368" spans="1:27" ht="14.5" hidden="1">
      <c r="A368" s="534">
        <f>'D-2 Off-Site Habitat Creation'!AF124</f>
        <v>0</v>
      </c>
      <c r="N368" s="534">
        <f>'E-2 Off-Site Hedge Creation'!AD125</f>
        <v>0</v>
      </c>
      <c r="AA368" s="1">
        <f>'F-2 Off-Site WaterC'' Creation'!AG125</f>
        <v>0</v>
      </c>
    </row>
    <row r="369" spans="1:27" ht="14.5" hidden="1">
      <c r="A369" s="534">
        <f>'D-2 Off-Site Habitat Creation'!AF125</f>
        <v>0</v>
      </c>
      <c r="N369" s="534">
        <f>'E-2 Off-Site Hedge Creation'!AD126</f>
        <v>0</v>
      </c>
      <c r="AA369" s="1">
        <f>'F-2 Off-Site WaterC'' Creation'!AG126</f>
        <v>0</v>
      </c>
    </row>
    <row r="370" spans="1:27" ht="14.5" hidden="1">
      <c r="A370" s="534">
        <f>'D-2 Off-Site Habitat Creation'!AF126</f>
        <v>0</v>
      </c>
      <c r="N370" s="534">
        <f>'E-2 Off-Site Hedge Creation'!AD127</f>
        <v>0</v>
      </c>
      <c r="AA370" s="1">
        <f>'F-2 Off-Site WaterC'' Creation'!AG127</f>
        <v>0</v>
      </c>
    </row>
    <row r="371" spans="1:27" ht="14.5" hidden="1">
      <c r="A371" s="534">
        <f>'D-2 Off-Site Habitat Creation'!AF127</f>
        <v>0</v>
      </c>
      <c r="N371" s="534">
        <f>'E-2 Off-Site Hedge Creation'!AD128</f>
        <v>0</v>
      </c>
      <c r="AA371" s="1">
        <f>'F-2 Off-Site WaterC'' Creation'!AG128</f>
        <v>0</v>
      </c>
    </row>
    <row r="372" spans="1:27" ht="14.5" hidden="1">
      <c r="A372" s="534">
        <f>'D-2 Off-Site Habitat Creation'!AF128</f>
        <v>0</v>
      </c>
      <c r="N372" s="534">
        <f>'E-2 Off-Site Hedge Creation'!AD129</f>
        <v>0</v>
      </c>
      <c r="AA372" s="1">
        <f>'F-2 Off-Site WaterC'' Creation'!AG129</f>
        <v>0</v>
      </c>
    </row>
    <row r="373" spans="1:27" ht="14.5" hidden="1">
      <c r="A373" s="534">
        <f>'D-2 Off-Site Habitat Creation'!AF129</f>
        <v>0</v>
      </c>
      <c r="N373" s="534">
        <f>'E-2 Off-Site Hedge Creation'!AD130</f>
        <v>0</v>
      </c>
      <c r="AA373" s="1">
        <f>'F-2 Off-Site WaterC'' Creation'!AG130</f>
        <v>0</v>
      </c>
    </row>
    <row r="374" spans="1:27" ht="14.5" hidden="1">
      <c r="A374" s="534">
        <f>'D-2 Off-Site Habitat Creation'!AF130</f>
        <v>0</v>
      </c>
      <c r="N374" s="534">
        <f>'E-2 Off-Site Hedge Creation'!AD131</f>
        <v>0</v>
      </c>
      <c r="AA374" s="1">
        <f>'F-2 Off-Site WaterC'' Creation'!AG131</f>
        <v>0</v>
      </c>
    </row>
    <row r="375" spans="1:27" ht="14.5" hidden="1">
      <c r="A375" s="534">
        <f>'D-2 Off-Site Habitat Creation'!AF131</f>
        <v>0</v>
      </c>
      <c r="N375" s="534">
        <f>'E-2 Off-Site Hedge Creation'!AD132</f>
        <v>0</v>
      </c>
      <c r="AA375" s="1">
        <f>'F-2 Off-Site WaterC'' Creation'!AG132</f>
        <v>0</v>
      </c>
    </row>
    <row r="376" spans="1:27" ht="14.5" hidden="1">
      <c r="A376" s="534">
        <f>'D-2 Off-Site Habitat Creation'!AF132</f>
        <v>0</v>
      </c>
      <c r="N376" s="534">
        <f>'E-2 Off-Site Hedge Creation'!AD133</f>
        <v>0</v>
      </c>
      <c r="AA376" s="1">
        <f>'F-2 Off-Site WaterC'' Creation'!AG133</f>
        <v>0</v>
      </c>
    </row>
    <row r="377" spans="1:27" ht="14.5" hidden="1">
      <c r="A377" s="534">
        <f>'D-2 Off-Site Habitat Creation'!AF133</f>
        <v>0</v>
      </c>
      <c r="N377" s="534">
        <f>'E-2 Off-Site Hedge Creation'!AD134</f>
        <v>0</v>
      </c>
      <c r="AA377" s="1">
        <f>'F-2 Off-Site WaterC'' Creation'!AG134</f>
        <v>0</v>
      </c>
    </row>
    <row r="378" spans="1:27" ht="14.5" hidden="1">
      <c r="A378" s="534">
        <f>'D-2 Off-Site Habitat Creation'!AF134</f>
        <v>0</v>
      </c>
      <c r="N378" s="534">
        <f>'E-2 Off-Site Hedge Creation'!AD135</f>
        <v>0</v>
      </c>
      <c r="AA378" s="1">
        <f>'F-2 Off-Site WaterC'' Creation'!AG135</f>
        <v>0</v>
      </c>
    </row>
    <row r="379" spans="1:27" ht="14.5" hidden="1">
      <c r="A379" s="534">
        <f>'D-2 Off-Site Habitat Creation'!AF135</f>
        <v>0</v>
      </c>
      <c r="N379" s="534">
        <f>'E-2 Off-Site Hedge Creation'!AD136</f>
        <v>0</v>
      </c>
      <c r="AA379" s="1">
        <f>'F-2 Off-Site WaterC'' Creation'!AG136</f>
        <v>0</v>
      </c>
    </row>
    <row r="380" spans="1:27" ht="14.5" hidden="1">
      <c r="A380" s="534">
        <f>'D-2 Off-Site Habitat Creation'!AF136</f>
        <v>0</v>
      </c>
      <c r="N380" s="534">
        <f>'E-2 Off-Site Hedge Creation'!AD137</f>
        <v>0</v>
      </c>
      <c r="AA380" s="1">
        <f>'F-2 Off-Site WaterC'' Creation'!AG137</f>
        <v>0</v>
      </c>
    </row>
    <row r="381" spans="1:27" ht="14.5" hidden="1">
      <c r="A381" s="534">
        <f>'D-2 Off-Site Habitat Creation'!AF137</f>
        <v>0</v>
      </c>
      <c r="N381" s="534">
        <f>'E-2 Off-Site Hedge Creation'!AD138</f>
        <v>0</v>
      </c>
      <c r="AA381" s="1">
        <f>'F-2 Off-Site WaterC'' Creation'!AG138</f>
        <v>0</v>
      </c>
    </row>
    <row r="382" spans="1:27" ht="14.5" hidden="1">
      <c r="A382" s="534">
        <f>'D-2 Off-Site Habitat Creation'!AF138</f>
        <v>0</v>
      </c>
      <c r="N382" s="534">
        <f>'E-2 Off-Site Hedge Creation'!AD139</f>
        <v>0</v>
      </c>
      <c r="AA382" s="1">
        <f>'F-2 Off-Site WaterC'' Creation'!AG139</f>
        <v>0</v>
      </c>
    </row>
    <row r="383" spans="1:27" ht="14.5" hidden="1">
      <c r="A383" s="534">
        <f>'D-2 Off-Site Habitat Creation'!AF139</f>
        <v>0</v>
      </c>
      <c r="N383" s="534">
        <f>'E-2 Off-Site Hedge Creation'!AD140</f>
        <v>0</v>
      </c>
      <c r="AA383" s="1">
        <f>'F-2 Off-Site WaterC'' Creation'!AG140</f>
        <v>0</v>
      </c>
    </row>
    <row r="384" spans="1:27" ht="14.5" hidden="1">
      <c r="A384" s="534">
        <f>'D-2 Off-Site Habitat Creation'!AF140</f>
        <v>0</v>
      </c>
      <c r="N384" s="534">
        <f>'E-2 Off-Site Hedge Creation'!AD141</f>
        <v>0</v>
      </c>
      <c r="AA384" s="1">
        <f>'F-2 Off-Site WaterC'' Creation'!AG141</f>
        <v>0</v>
      </c>
    </row>
    <row r="385" spans="1:27" ht="14.5" hidden="1">
      <c r="A385" s="534">
        <f>'D-2 Off-Site Habitat Creation'!AF141</f>
        <v>0</v>
      </c>
      <c r="N385" s="534">
        <f>'E-2 Off-Site Hedge Creation'!AD142</f>
        <v>0</v>
      </c>
      <c r="AA385" s="1">
        <f>'F-2 Off-Site WaterC'' Creation'!AG142</f>
        <v>0</v>
      </c>
    </row>
    <row r="386" spans="1:27" ht="14.5" hidden="1">
      <c r="A386" s="534">
        <f>'D-2 Off-Site Habitat Creation'!AF142</f>
        <v>0</v>
      </c>
      <c r="N386" s="534">
        <f>'E-2 Off-Site Hedge Creation'!AD143</f>
        <v>0</v>
      </c>
      <c r="AA386" s="1">
        <f>'F-2 Off-Site WaterC'' Creation'!AG143</f>
        <v>0</v>
      </c>
    </row>
    <row r="387" spans="1:27" ht="14.5" hidden="1">
      <c r="A387" s="534">
        <f>'D-2 Off-Site Habitat Creation'!AF143</f>
        <v>0</v>
      </c>
      <c r="N387" s="534">
        <f>'E-2 Off-Site Hedge Creation'!AD144</f>
        <v>0</v>
      </c>
      <c r="AA387" s="1">
        <f>'F-2 Off-Site WaterC'' Creation'!AG144</f>
        <v>0</v>
      </c>
    </row>
    <row r="388" spans="1:27" ht="14.5" hidden="1">
      <c r="A388" s="534">
        <f>'D-2 Off-Site Habitat Creation'!AF144</f>
        <v>0</v>
      </c>
      <c r="N388" s="534">
        <f>'E-2 Off-Site Hedge Creation'!AD145</f>
        <v>0</v>
      </c>
      <c r="AA388" s="1">
        <f>'F-2 Off-Site WaterC'' Creation'!AG145</f>
        <v>0</v>
      </c>
    </row>
    <row r="389" spans="1:27" ht="14.5" hidden="1">
      <c r="A389" s="534">
        <f>'D-2 Off-Site Habitat Creation'!AF145</f>
        <v>0</v>
      </c>
      <c r="N389" s="534">
        <f>'E-2 Off-Site Hedge Creation'!AD146</f>
        <v>0</v>
      </c>
      <c r="AA389" s="1">
        <f>'F-2 Off-Site WaterC'' Creation'!AG146</f>
        <v>0</v>
      </c>
    </row>
    <row r="390" spans="1:27" ht="14.5" hidden="1">
      <c r="A390" s="534">
        <f>'D-2 Off-Site Habitat Creation'!AF146</f>
        <v>0</v>
      </c>
      <c r="N390" s="534">
        <f>'E-2 Off-Site Hedge Creation'!AD147</f>
        <v>0</v>
      </c>
      <c r="AA390" s="1">
        <f>'F-2 Off-Site WaterC'' Creation'!AG147</f>
        <v>0</v>
      </c>
    </row>
    <row r="391" spans="1:27" ht="14.5" hidden="1">
      <c r="A391" s="534">
        <f>'D-2 Off-Site Habitat Creation'!AF147</f>
        <v>0</v>
      </c>
      <c r="N391" s="534">
        <f>'E-2 Off-Site Hedge Creation'!AD148</f>
        <v>0</v>
      </c>
      <c r="AA391" s="1">
        <f>'F-2 Off-Site WaterC'' Creation'!AG148</f>
        <v>0</v>
      </c>
    </row>
    <row r="392" spans="1:27" ht="14.5" hidden="1">
      <c r="A392" s="534">
        <f>'D-2 Off-Site Habitat Creation'!AF148</f>
        <v>0</v>
      </c>
      <c r="N392" s="534">
        <f>'E-2 Off-Site Hedge Creation'!AD149</f>
        <v>0</v>
      </c>
      <c r="AA392" s="1">
        <f>'F-2 Off-Site WaterC'' Creation'!AG149</f>
        <v>0</v>
      </c>
    </row>
    <row r="393" spans="1:27" ht="14.5" hidden="1">
      <c r="A393" s="534">
        <f>'D-2 Off-Site Habitat Creation'!AF149</f>
        <v>0</v>
      </c>
      <c r="N393" s="534">
        <f>'E-2 Off-Site Hedge Creation'!AD150</f>
        <v>0</v>
      </c>
      <c r="AA393" s="1">
        <f>'F-2 Off-Site WaterC'' Creation'!AG150</f>
        <v>0</v>
      </c>
    </row>
    <row r="394" spans="1:27" ht="14.5" hidden="1">
      <c r="A394" s="534">
        <f>'D-2 Off-Site Habitat Creation'!AF150</f>
        <v>0</v>
      </c>
      <c r="N394" s="534">
        <f>'E-2 Off-Site Hedge Creation'!AD151</f>
        <v>0</v>
      </c>
      <c r="AA394" s="1">
        <f>'F-2 Off-Site WaterC'' Creation'!AG151</f>
        <v>0</v>
      </c>
    </row>
    <row r="395" spans="1:27" ht="14.5" hidden="1">
      <c r="A395" s="534">
        <f>'D-2 Off-Site Habitat Creation'!AF151</f>
        <v>0</v>
      </c>
      <c r="N395" s="534">
        <f>'E-2 Off-Site Hedge Creation'!AD152</f>
        <v>0</v>
      </c>
      <c r="AA395" s="1">
        <f>'F-2 Off-Site WaterC'' Creation'!AG152</f>
        <v>0</v>
      </c>
    </row>
    <row r="396" spans="1:27" ht="14.5" hidden="1">
      <c r="A396" s="534">
        <f>'D-2 Off-Site Habitat Creation'!AF152</f>
        <v>0</v>
      </c>
      <c r="N396" s="534">
        <f>'E-2 Off-Site Hedge Creation'!AD153</f>
        <v>0</v>
      </c>
      <c r="AA396" s="1">
        <f>'F-2 Off-Site WaterC'' Creation'!AG153</f>
        <v>0</v>
      </c>
    </row>
    <row r="397" spans="1:27" ht="14.5" hidden="1">
      <c r="A397" s="534">
        <f>'D-2 Off-Site Habitat Creation'!AF153</f>
        <v>0</v>
      </c>
      <c r="N397" s="534">
        <f>'E-2 Off-Site Hedge Creation'!AD154</f>
        <v>0</v>
      </c>
      <c r="AA397" s="1">
        <f>'F-2 Off-Site WaterC'' Creation'!AG154</f>
        <v>0</v>
      </c>
    </row>
    <row r="398" spans="1:27" ht="14.5" hidden="1">
      <c r="A398" s="534">
        <f>'D-2 Off-Site Habitat Creation'!AF154</f>
        <v>0</v>
      </c>
      <c r="N398" s="534">
        <f>'E-2 Off-Site Hedge Creation'!AD155</f>
        <v>0</v>
      </c>
      <c r="AA398" s="1">
        <f>'F-2 Off-Site WaterC'' Creation'!AG155</f>
        <v>0</v>
      </c>
    </row>
    <row r="399" spans="1:27" ht="14.5" hidden="1">
      <c r="A399" s="534">
        <f>'D-2 Off-Site Habitat Creation'!AF155</f>
        <v>0</v>
      </c>
      <c r="N399" s="534">
        <f>'E-2 Off-Site Hedge Creation'!AD156</f>
        <v>0</v>
      </c>
      <c r="AA399" s="1">
        <f>'F-2 Off-Site WaterC'' Creation'!AG156</f>
        <v>0</v>
      </c>
    </row>
    <row r="400" spans="1:27" ht="14.5" hidden="1">
      <c r="A400" s="534">
        <f>'D-2 Off-Site Habitat Creation'!AF156</f>
        <v>0</v>
      </c>
      <c r="N400" s="534">
        <f>'E-2 Off-Site Hedge Creation'!AD157</f>
        <v>0</v>
      </c>
      <c r="AA400" s="1">
        <f>'F-2 Off-Site WaterC'' Creation'!AG157</f>
        <v>0</v>
      </c>
    </row>
    <row r="401" spans="1:27" ht="14.5" hidden="1">
      <c r="A401" s="534">
        <f>'D-2 Off-Site Habitat Creation'!AF157</f>
        <v>0</v>
      </c>
      <c r="N401" s="534">
        <f>'E-2 Off-Site Hedge Creation'!AD158</f>
        <v>0</v>
      </c>
      <c r="AA401" s="1">
        <f>'F-2 Off-Site WaterC'' Creation'!AG158</f>
        <v>0</v>
      </c>
    </row>
    <row r="402" spans="1:27" ht="14.5" hidden="1">
      <c r="A402" s="534">
        <f>'D-2 Off-Site Habitat Creation'!AF158</f>
        <v>0</v>
      </c>
      <c r="N402" s="534">
        <f>'E-2 Off-Site Hedge Creation'!AD159</f>
        <v>0</v>
      </c>
      <c r="AA402" s="1">
        <f>'F-2 Off-Site WaterC'' Creation'!AG159</f>
        <v>0</v>
      </c>
    </row>
    <row r="403" spans="1:27" ht="14.5" hidden="1">
      <c r="A403" s="534">
        <f>'D-2 Off-Site Habitat Creation'!AF159</f>
        <v>0</v>
      </c>
      <c r="N403" s="534">
        <f>'E-2 Off-Site Hedge Creation'!AD160</f>
        <v>0</v>
      </c>
      <c r="AA403" s="1">
        <f>'F-2 Off-Site WaterC'' Creation'!AG160</f>
        <v>0</v>
      </c>
    </row>
    <row r="404" spans="1:27" ht="14.5" hidden="1">
      <c r="A404" s="534">
        <f>'D-2 Off-Site Habitat Creation'!AF160</f>
        <v>0</v>
      </c>
      <c r="N404" s="534">
        <f>'E-2 Off-Site Hedge Creation'!AD161</f>
        <v>0</v>
      </c>
      <c r="AA404" s="1">
        <f>'F-2 Off-Site WaterC'' Creation'!AG161</f>
        <v>0</v>
      </c>
    </row>
    <row r="405" spans="1:27" ht="14.5" hidden="1">
      <c r="A405" s="534">
        <f>'D-2 Off-Site Habitat Creation'!AF161</f>
        <v>0</v>
      </c>
      <c r="N405" s="534">
        <f>'E-2 Off-Site Hedge Creation'!AD162</f>
        <v>0</v>
      </c>
      <c r="AA405" s="1">
        <f>'F-2 Off-Site WaterC'' Creation'!AG162</f>
        <v>0</v>
      </c>
    </row>
    <row r="406" spans="1:27" ht="14.5" hidden="1">
      <c r="A406" s="534">
        <f>'D-2 Off-Site Habitat Creation'!AF162</f>
        <v>0</v>
      </c>
      <c r="N406" s="534">
        <f>'E-2 Off-Site Hedge Creation'!AD163</f>
        <v>0</v>
      </c>
      <c r="AA406" s="1">
        <f>'F-2 Off-Site WaterC'' Creation'!AG163</f>
        <v>0</v>
      </c>
    </row>
    <row r="407" spans="1:27" ht="14.5" hidden="1">
      <c r="A407" s="534">
        <f>'D-2 Off-Site Habitat Creation'!AF163</f>
        <v>0</v>
      </c>
      <c r="N407" s="534">
        <f>'E-2 Off-Site Hedge Creation'!AD164</f>
        <v>0</v>
      </c>
      <c r="AA407" s="1">
        <f>'F-2 Off-Site WaterC'' Creation'!AG164</f>
        <v>0</v>
      </c>
    </row>
    <row r="408" spans="1:27" ht="14.5" hidden="1">
      <c r="A408" s="534">
        <f>'D-2 Off-Site Habitat Creation'!AF164</f>
        <v>0</v>
      </c>
      <c r="N408" s="534">
        <f>'E-2 Off-Site Hedge Creation'!AD165</f>
        <v>0</v>
      </c>
      <c r="AA408" s="1">
        <f>'F-2 Off-Site WaterC'' Creation'!AG165</f>
        <v>0</v>
      </c>
    </row>
    <row r="409" spans="1:27" ht="14.5" hidden="1">
      <c r="A409" s="534">
        <f>'D-2 Off-Site Habitat Creation'!AF165</f>
        <v>0</v>
      </c>
      <c r="N409" s="534">
        <f>'E-2 Off-Site Hedge Creation'!AD166</f>
        <v>0</v>
      </c>
      <c r="AA409" s="1">
        <f>'F-2 Off-Site WaterC'' Creation'!AG166</f>
        <v>0</v>
      </c>
    </row>
    <row r="410" spans="1:27" ht="14.5" hidden="1">
      <c r="A410" s="534">
        <f>'D-2 Off-Site Habitat Creation'!AF166</f>
        <v>0</v>
      </c>
      <c r="N410" s="534">
        <f>'E-2 Off-Site Hedge Creation'!AD167</f>
        <v>0</v>
      </c>
      <c r="AA410" s="1">
        <f>'F-2 Off-Site WaterC'' Creation'!AG167</f>
        <v>0</v>
      </c>
    </row>
    <row r="411" spans="1:27" ht="14.5" hidden="1">
      <c r="A411" s="534">
        <f>'D-2 Off-Site Habitat Creation'!AF167</f>
        <v>0</v>
      </c>
      <c r="N411" s="534">
        <f>'E-2 Off-Site Hedge Creation'!AD168</f>
        <v>0</v>
      </c>
      <c r="AA411" s="1">
        <f>'F-2 Off-Site WaterC'' Creation'!AG168</f>
        <v>0</v>
      </c>
    </row>
    <row r="412" spans="1:27" ht="14.5" hidden="1">
      <c r="A412" s="534">
        <f>'D-2 Off-Site Habitat Creation'!AF168</f>
        <v>0</v>
      </c>
      <c r="N412" s="534">
        <f>'E-2 Off-Site Hedge Creation'!AD169</f>
        <v>0</v>
      </c>
      <c r="AA412" s="1">
        <f>'F-2 Off-Site WaterC'' Creation'!AG169</f>
        <v>0</v>
      </c>
    </row>
    <row r="413" spans="1:27" ht="14.5" hidden="1">
      <c r="A413" s="534">
        <f>'D-2 Off-Site Habitat Creation'!AF169</f>
        <v>0</v>
      </c>
      <c r="N413" s="534">
        <f>'E-2 Off-Site Hedge Creation'!AD170</f>
        <v>0</v>
      </c>
      <c r="AA413" s="1">
        <f>'F-2 Off-Site WaterC'' Creation'!AG170</f>
        <v>0</v>
      </c>
    </row>
    <row r="414" spans="1:27" ht="14.5" hidden="1">
      <c r="A414" s="534">
        <f>'D-2 Off-Site Habitat Creation'!AF170</f>
        <v>0</v>
      </c>
      <c r="N414" s="534">
        <f>'E-2 Off-Site Hedge Creation'!AD171</f>
        <v>0</v>
      </c>
      <c r="AA414" s="1">
        <f>'F-2 Off-Site WaterC'' Creation'!AG171</f>
        <v>0</v>
      </c>
    </row>
    <row r="415" spans="1:27" ht="14.5" hidden="1">
      <c r="A415" s="534">
        <f>'D-2 Off-Site Habitat Creation'!AF171</f>
        <v>0</v>
      </c>
      <c r="N415" s="534">
        <f>'E-2 Off-Site Hedge Creation'!AD172</f>
        <v>0</v>
      </c>
      <c r="AA415" s="1">
        <f>'F-2 Off-Site WaterC'' Creation'!AG172</f>
        <v>0</v>
      </c>
    </row>
    <row r="416" spans="1:27" ht="14.5" hidden="1">
      <c r="A416" s="534">
        <f>'D-2 Off-Site Habitat Creation'!AF172</f>
        <v>0</v>
      </c>
      <c r="N416" s="534">
        <f>'E-2 Off-Site Hedge Creation'!AD173</f>
        <v>0</v>
      </c>
      <c r="AA416" s="1">
        <f>'F-2 Off-Site WaterC'' Creation'!AG173</f>
        <v>0</v>
      </c>
    </row>
    <row r="417" spans="1:27" ht="14.5" hidden="1">
      <c r="A417" s="534">
        <f>'D-2 Off-Site Habitat Creation'!AF173</f>
        <v>0</v>
      </c>
      <c r="N417" s="534">
        <f>'E-2 Off-Site Hedge Creation'!AD174</f>
        <v>0</v>
      </c>
      <c r="AA417" s="1">
        <f>'F-2 Off-Site WaterC'' Creation'!AG174</f>
        <v>0</v>
      </c>
    </row>
    <row r="418" spans="1:27" ht="14.5" hidden="1">
      <c r="A418" s="534">
        <f>'D-2 Off-Site Habitat Creation'!AF174</f>
        <v>0</v>
      </c>
      <c r="N418" s="534">
        <f>'E-2 Off-Site Hedge Creation'!AD175</f>
        <v>0</v>
      </c>
      <c r="AA418" s="1">
        <f>'F-2 Off-Site WaterC'' Creation'!AG175</f>
        <v>0</v>
      </c>
    </row>
    <row r="419" spans="1:27" ht="14.5" hidden="1">
      <c r="A419" s="534">
        <f>'D-2 Off-Site Habitat Creation'!AF175</f>
        <v>0</v>
      </c>
      <c r="N419" s="534">
        <f>'E-2 Off-Site Hedge Creation'!AD176</f>
        <v>0</v>
      </c>
      <c r="AA419" s="1">
        <f>'F-2 Off-Site WaterC'' Creation'!AG176</f>
        <v>0</v>
      </c>
    </row>
    <row r="420" spans="1:27" ht="14.5" hidden="1">
      <c r="A420" s="534">
        <f>'D-2 Off-Site Habitat Creation'!AF176</f>
        <v>0</v>
      </c>
      <c r="N420" s="534">
        <f>'E-2 Off-Site Hedge Creation'!AD177</f>
        <v>0</v>
      </c>
      <c r="AA420" s="1">
        <f>'F-2 Off-Site WaterC'' Creation'!AG177</f>
        <v>0</v>
      </c>
    </row>
    <row r="421" spans="1:27" ht="14.5" hidden="1">
      <c r="A421" s="534">
        <f>'D-2 Off-Site Habitat Creation'!AF177</f>
        <v>0</v>
      </c>
      <c r="N421" s="534">
        <f>'E-2 Off-Site Hedge Creation'!AD178</f>
        <v>0</v>
      </c>
      <c r="AA421" s="1">
        <f>'F-2 Off-Site WaterC'' Creation'!AG178</f>
        <v>0</v>
      </c>
    </row>
    <row r="422" spans="1:27" ht="14.5" hidden="1">
      <c r="A422" s="534">
        <f>'D-2 Off-Site Habitat Creation'!AF178</f>
        <v>0</v>
      </c>
      <c r="N422" s="534">
        <f>'E-2 Off-Site Hedge Creation'!AD179</f>
        <v>0</v>
      </c>
      <c r="AA422" s="1">
        <f>'F-2 Off-Site WaterC'' Creation'!AG179</f>
        <v>0</v>
      </c>
    </row>
    <row r="423" spans="1:27" ht="14.5" hidden="1">
      <c r="A423" s="534">
        <f>'D-2 Off-Site Habitat Creation'!AF179</f>
        <v>0</v>
      </c>
      <c r="N423" s="534">
        <f>'E-2 Off-Site Hedge Creation'!AD180</f>
        <v>0</v>
      </c>
      <c r="AA423" s="1">
        <f>'F-2 Off-Site WaterC'' Creation'!AG180</f>
        <v>0</v>
      </c>
    </row>
    <row r="424" spans="1:27" ht="14.5" hidden="1">
      <c r="A424" s="534">
        <f>'D-2 Off-Site Habitat Creation'!AF180</f>
        <v>0</v>
      </c>
      <c r="N424" s="534">
        <f>'E-2 Off-Site Hedge Creation'!AD181</f>
        <v>0</v>
      </c>
      <c r="AA424" s="1">
        <f>'F-2 Off-Site WaterC'' Creation'!AG181</f>
        <v>0</v>
      </c>
    </row>
    <row r="425" spans="1:27" ht="14.5" hidden="1">
      <c r="A425" s="534">
        <f>'D-2 Off-Site Habitat Creation'!AF181</f>
        <v>0</v>
      </c>
      <c r="N425" s="534">
        <f>'E-2 Off-Site Hedge Creation'!AD182</f>
        <v>0</v>
      </c>
      <c r="AA425" s="1">
        <f>'F-2 Off-Site WaterC'' Creation'!AG182</f>
        <v>0</v>
      </c>
    </row>
    <row r="426" spans="1:27" ht="14.5" hidden="1">
      <c r="A426" s="534">
        <f>'D-2 Off-Site Habitat Creation'!AF182</f>
        <v>0</v>
      </c>
      <c r="N426" s="534">
        <f>'E-2 Off-Site Hedge Creation'!AD183</f>
        <v>0</v>
      </c>
      <c r="AA426" s="1">
        <f>'F-2 Off-Site WaterC'' Creation'!AG183</f>
        <v>0</v>
      </c>
    </row>
    <row r="427" spans="1:27" ht="14.5" hidden="1">
      <c r="A427" s="534">
        <f>'D-2 Off-Site Habitat Creation'!AF183</f>
        <v>0</v>
      </c>
      <c r="N427" s="534">
        <f>'E-2 Off-Site Hedge Creation'!AD184</f>
        <v>0</v>
      </c>
      <c r="AA427" s="1">
        <f>'F-2 Off-Site WaterC'' Creation'!AG184</f>
        <v>0</v>
      </c>
    </row>
    <row r="428" spans="1:27" ht="14.5" hidden="1">
      <c r="A428" s="534">
        <f>'D-2 Off-Site Habitat Creation'!AF184</f>
        <v>0</v>
      </c>
      <c r="N428" s="534">
        <f>'E-2 Off-Site Hedge Creation'!AD185</f>
        <v>0</v>
      </c>
      <c r="AA428" s="1">
        <f>'F-2 Off-Site WaterC'' Creation'!AG185</f>
        <v>0</v>
      </c>
    </row>
    <row r="429" spans="1:27" ht="14.5" hidden="1">
      <c r="A429" s="534">
        <f>'D-2 Off-Site Habitat Creation'!AF185</f>
        <v>0</v>
      </c>
      <c r="N429" s="534">
        <f>'E-2 Off-Site Hedge Creation'!AD186</f>
        <v>0</v>
      </c>
      <c r="AA429" s="1">
        <f>'F-2 Off-Site WaterC'' Creation'!AG186</f>
        <v>0</v>
      </c>
    </row>
    <row r="430" spans="1:27" ht="14.5" hidden="1">
      <c r="A430" s="534">
        <f>'D-2 Off-Site Habitat Creation'!AF186</f>
        <v>0</v>
      </c>
      <c r="N430" s="534">
        <f>'E-2 Off-Site Hedge Creation'!AD187</f>
        <v>0</v>
      </c>
      <c r="AA430" s="1">
        <f>'F-2 Off-Site WaterC'' Creation'!AG187</f>
        <v>0</v>
      </c>
    </row>
    <row r="431" spans="1:27" ht="14.5" hidden="1">
      <c r="A431" s="534">
        <f>'D-2 Off-Site Habitat Creation'!AF187</f>
        <v>0</v>
      </c>
      <c r="N431" s="534">
        <f>'E-2 Off-Site Hedge Creation'!AD188</f>
        <v>0</v>
      </c>
      <c r="AA431" s="1">
        <f>'F-2 Off-Site WaterC'' Creation'!AG188</f>
        <v>0</v>
      </c>
    </row>
    <row r="432" spans="1:27" ht="14.5" hidden="1">
      <c r="A432" s="534">
        <f>'D-2 Off-Site Habitat Creation'!AF188</f>
        <v>0</v>
      </c>
      <c r="N432" s="534">
        <f>'E-2 Off-Site Hedge Creation'!AD189</f>
        <v>0</v>
      </c>
      <c r="AA432" s="1">
        <f>'F-2 Off-Site WaterC'' Creation'!AG189</f>
        <v>0</v>
      </c>
    </row>
    <row r="433" spans="1:27" ht="14.5" hidden="1">
      <c r="A433" s="534">
        <f>'D-2 Off-Site Habitat Creation'!AF189</f>
        <v>0</v>
      </c>
      <c r="N433" s="534">
        <f>'E-2 Off-Site Hedge Creation'!AD190</f>
        <v>0</v>
      </c>
      <c r="AA433" s="1">
        <f>'F-2 Off-Site WaterC'' Creation'!AG190</f>
        <v>0</v>
      </c>
    </row>
    <row r="434" spans="1:27" ht="14.5" hidden="1">
      <c r="A434" s="534">
        <f>'D-2 Off-Site Habitat Creation'!AF190</f>
        <v>0</v>
      </c>
      <c r="N434" s="534">
        <f>'E-2 Off-Site Hedge Creation'!AD191</f>
        <v>0</v>
      </c>
      <c r="AA434" s="1">
        <f>'F-2 Off-Site WaterC'' Creation'!AG191</f>
        <v>0</v>
      </c>
    </row>
    <row r="435" spans="1:27" ht="14.5" hidden="1">
      <c r="A435" s="534">
        <f>'D-2 Off-Site Habitat Creation'!AF191</f>
        <v>0</v>
      </c>
      <c r="N435" s="534">
        <f>'E-2 Off-Site Hedge Creation'!AD192</f>
        <v>0</v>
      </c>
      <c r="AA435" s="1">
        <f>'F-2 Off-Site WaterC'' Creation'!AG192</f>
        <v>0</v>
      </c>
    </row>
    <row r="436" spans="1:27" ht="14.5" hidden="1">
      <c r="A436" s="534">
        <f>'D-2 Off-Site Habitat Creation'!AF192</f>
        <v>0</v>
      </c>
      <c r="N436" s="534">
        <f>'E-2 Off-Site Hedge Creation'!AD193</f>
        <v>0</v>
      </c>
      <c r="AA436" s="1">
        <f>'F-2 Off-Site WaterC'' Creation'!AG193</f>
        <v>0</v>
      </c>
    </row>
    <row r="437" spans="1:27" ht="14.5" hidden="1">
      <c r="A437" s="534">
        <f>'D-2 Off-Site Habitat Creation'!AF193</f>
        <v>0</v>
      </c>
      <c r="N437" s="534">
        <f>'E-2 Off-Site Hedge Creation'!AD194</f>
        <v>0</v>
      </c>
      <c r="AA437" s="1">
        <f>'F-2 Off-Site WaterC'' Creation'!AG194</f>
        <v>0</v>
      </c>
    </row>
    <row r="438" spans="1:27" ht="14.5" hidden="1">
      <c r="A438" s="534">
        <f>'D-2 Off-Site Habitat Creation'!AF194</f>
        <v>0</v>
      </c>
      <c r="N438" s="534">
        <f>'E-2 Off-Site Hedge Creation'!AD195</f>
        <v>0</v>
      </c>
      <c r="AA438" s="1">
        <f>'F-2 Off-Site WaterC'' Creation'!AG195</f>
        <v>0</v>
      </c>
    </row>
    <row r="439" spans="1:27" ht="14.5" hidden="1">
      <c r="A439" s="534">
        <f>'D-2 Off-Site Habitat Creation'!AF195</f>
        <v>0</v>
      </c>
      <c r="N439" s="534">
        <f>'E-2 Off-Site Hedge Creation'!AD196</f>
        <v>0</v>
      </c>
      <c r="AA439" s="1">
        <f>'F-2 Off-Site WaterC'' Creation'!AG196</f>
        <v>0</v>
      </c>
    </row>
    <row r="440" spans="1:27" ht="14.5" hidden="1">
      <c r="A440" s="534">
        <f>'D-2 Off-Site Habitat Creation'!AF196</f>
        <v>0</v>
      </c>
      <c r="N440" s="534">
        <f>'E-2 Off-Site Hedge Creation'!AD197</f>
        <v>0</v>
      </c>
      <c r="AA440" s="1">
        <f>'F-2 Off-Site WaterC'' Creation'!AG197</f>
        <v>0</v>
      </c>
    </row>
    <row r="441" spans="1:27" ht="14.5" hidden="1">
      <c r="A441" s="534">
        <f>'D-2 Off-Site Habitat Creation'!AF197</f>
        <v>0</v>
      </c>
      <c r="N441" s="534">
        <f>'E-2 Off-Site Hedge Creation'!AD198</f>
        <v>0</v>
      </c>
      <c r="AA441" s="1">
        <f>'F-2 Off-Site WaterC'' Creation'!AG198</f>
        <v>0</v>
      </c>
    </row>
    <row r="442" spans="1:27" ht="14.5" hidden="1">
      <c r="A442" s="534">
        <f>'D-2 Off-Site Habitat Creation'!AF198</f>
        <v>0</v>
      </c>
      <c r="N442" s="534">
        <f>'E-2 Off-Site Hedge Creation'!AD199</f>
        <v>0</v>
      </c>
      <c r="AA442" s="1">
        <f>'F-2 Off-Site WaterC'' Creation'!AG199</f>
        <v>0</v>
      </c>
    </row>
    <row r="443" spans="1:27" ht="14.5" hidden="1">
      <c r="A443" s="534">
        <f>'D-2 Off-Site Habitat Creation'!AF199</f>
        <v>0</v>
      </c>
      <c r="N443" s="534">
        <f>'E-2 Off-Site Hedge Creation'!AD200</f>
        <v>0</v>
      </c>
      <c r="AA443" s="1">
        <f>'F-2 Off-Site WaterC'' Creation'!AG200</f>
        <v>0</v>
      </c>
    </row>
    <row r="444" spans="1:27" ht="14.5" hidden="1">
      <c r="A444" s="534">
        <f>'D-2 Off-Site Habitat Creation'!AF200</f>
        <v>0</v>
      </c>
      <c r="N444" s="534">
        <f>'E-2 Off-Site Hedge Creation'!AD201</f>
        <v>0</v>
      </c>
      <c r="AA444" s="1">
        <f>'F-2 Off-Site WaterC'' Creation'!AG201</f>
        <v>0</v>
      </c>
    </row>
    <row r="445" spans="1:27" ht="14.5" hidden="1">
      <c r="A445" s="534">
        <f>'D-2 Off-Site Habitat Creation'!AF201</f>
        <v>0</v>
      </c>
      <c r="N445" s="534">
        <f>'E-2 Off-Site Hedge Creation'!AD202</f>
        <v>0</v>
      </c>
      <c r="AA445" s="1">
        <f>'F-2 Off-Site WaterC'' Creation'!AG202</f>
        <v>0</v>
      </c>
    </row>
    <row r="446" spans="1:27" ht="14.5" hidden="1">
      <c r="A446" s="534">
        <f>'D-2 Off-Site Habitat Creation'!AF202</f>
        <v>0</v>
      </c>
      <c r="N446" s="534">
        <f>'E-2 Off-Site Hedge Creation'!AD203</f>
        <v>0</v>
      </c>
      <c r="AA446" s="1">
        <f>'F-2 Off-Site WaterC'' Creation'!AG203</f>
        <v>0</v>
      </c>
    </row>
    <row r="447" spans="1:27" ht="14.5" hidden="1">
      <c r="A447" s="534">
        <f>'D-2 Off-Site Habitat Creation'!AF203</f>
        <v>0</v>
      </c>
      <c r="N447" s="534">
        <f>'E-2 Off-Site Hedge Creation'!AD204</f>
        <v>0</v>
      </c>
      <c r="AA447" s="1">
        <f>'F-2 Off-Site WaterC'' Creation'!AG204</f>
        <v>0</v>
      </c>
    </row>
    <row r="448" spans="1:27" ht="14.5" hidden="1">
      <c r="A448" s="534">
        <f>'D-2 Off-Site Habitat Creation'!AF204</f>
        <v>0</v>
      </c>
      <c r="N448" s="534">
        <f>'E-2 Off-Site Hedge Creation'!AD205</f>
        <v>0</v>
      </c>
      <c r="AA448" s="1">
        <f>'F-2 Off-Site WaterC'' Creation'!AG205</f>
        <v>0</v>
      </c>
    </row>
    <row r="449" spans="1:27" ht="14.5" hidden="1">
      <c r="A449" s="534">
        <f>'D-2 Off-Site Habitat Creation'!AF205</f>
        <v>0</v>
      </c>
      <c r="N449" s="534">
        <f>'E-2 Off-Site Hedge Creation'!AD206</f>
        <v>0</v>
      </c>
      <c r="AA449" s="1">
        <f>'F-2 Off-Site WaterC'' Creation'!AG206</f>
        <v>0</v>
      </c>
    </row>
    <row r="450" spans="1:27" ht="14.5" hidden="1">
      <c r="A450" s="534">
        <f>'D-2 Off-Site Habitat Creation'!AF206</f>
        <v>0</v>
      </c>
      <c r="N450" s="534">
        <f>'E-2 Off-Site Hedge Creation'!AD207</f>
        <v>0</v>
      </c>
      <c r="AA450" s="1">
        <f>'F-2 Off-Site WaterC'' Creation'!AG207</f>
        <v>0</v>
      </c>
    </row>
    <row r="451" spans="1:27" ht="14.5" hidden="1">
      <c r="A451" s="534">
        <f>'D-2 Off-Site Habitat Creation'!AF207</f>
        <v>0</v>
      </c>
      <c r="N451" s="534">
        <f>'E-2 Off-Site Hedge Creation'!AD208</f>
        <v>0</v>
      </c>
      <c r="AA451" s="1">
        <f>'F-2 Off-Site WaterC'' Creation'!AG208</f>
        <v>0</v>
      </c>
    </row>
    <row r="452" spans="1:27" ht="14.5" hidden="1">
      <c r="A452" s="534">
        <f>'D-2 Off-Site Habitat Creation'!AF208</f>
        <v>0</v>
      </c>
      <c r="N452" s="534">
        <f>'E-2 Off-Site Hedge Creation'!AD209</f>
        <v>0</v>
      </c>
      <c r="AA452" s="1">
        <f>'F-2 Off-Site WaterC'' Creation'!AG209</f>
        <v>0</v>
      </c>
    </row>
    <row r="453" spans="1:27" ht="14.5" hidden="1">
      <c r="A453" s="534">
        <f>'D-2 Off-Site Habitat Creation'!AF209</f>
        <v>0</v>
      </c>
      <c r="N453" s="534">
        <f>'E-2 Off-Site Hedge Creation'!AD210</f>
        <v>0</v>
      </c>
      <c r="AA453" s="1">
        <f>'F-2 Off-Site WaterC'' Creation'!AG210</f>
        <v>0</v>
      </c>
    </row>
    <row r="454" spans="1:27" ht="14.5" hidden="1">
      <c r="A454" s="534">
        <f>'D-2 Off-Site Habitat Creation'!AF210</f>
        <v>0</v>
      </c>
      <c r="N454" s="534">
        <f>'E-2 Off-Site Hedge Creation'!AD211</f>
        <v>0</v>
      </c>
      <c r="AA454" s="1">
        <f>'F-2 Off-Site WaterC'' Creation'!AG211</f>
        <v>0</v>
      </c>
    </row>
    <row r="455" spans="1:27" ht="14.5" hidden="1">
      <c r="A455" s="534">
        <f>'D-2 Off-Site Habitat Creation'!AF211</f>
        <v>0</v>
      </c>
      <c r="N455" s="534">
        <f>'E-2 Off-Site Hedge Creation'!AD212</f>
        <v>0</v>
      </c>
      <c r="AA455" s="1">
        <f>'F-2 Off-Site WaterC'' Creation'!AG212</f>
        <v>0</v>
      </c>
    </row>
    <row r="456" spans="1:27" ht="14.5" hidden="1">
      <c r="A456" s="534">
        <f>'D-2 Off-Site Habitat Creation'!AF212</f>
        <v>0</v>
      </c>
      <c r="N456" s="534">
        <f>'E-2 Off-Site Hedge Creation'!AD213</f>
        <v>0</v>
      </c>
      <c r="AA456" s="1">
        <f>'F-2 Off-Site WaterC'' Creation'!AG213</f>
        <v>0</v>
      </c>
    </row>
    <row r="457" spans="1:27" ht="14.5" hidden="1">
      <c r="A457" s="534">
        <f>'D-2 Off-Site Habitat Creation'!AF213</f>
        <v>0</v>
      </c>
      <c r="N457" s="534">
        <f>'E-2 Off-Site Hedge Creation'!AD214</f>
        <v>0</v>
      </c>
      <c r="AA457" s="1">
        <f>'F-2 Off-Site WaterC'' Creation'!AG214</f>
        <v>0</v>
      </c>
    </row>
    <row r="458" spans="1:27" ht="14.5" hidden="1">
      <c r="A458" s="534">
        <f>'D-2 Off-Site Habitat Creation'!AF214</f>
        <v>0</v>
      </c>
      <c r="N458" s="534">
        <f>'E-2 Off-Site Hedge Creation'!AD215</f>
        <v>0</v>
      </c>
      <c r="AA458" s="1">
        <f>'F-2 Off-Site WaterC'' Creation'!AG215</f>
        <v>0</v>
      </c>
    </row>
    <row r="459" spans="1:27" ht="14.5" hidden="1">
      <c r="A459" s="534">
        <f>'D-2 Off-Site Habitat Creation'!AF215</f>
        <v>0</v>
      </c>
      <c r="N459" s="534">
        <f>'E-2 Off-Site Hedge Creation'!AD216</f>
        <v>0</v>
      </c>
      <c r="AA459" s="1">
        <f>'F-2 Off-Site WaterC'' Creation'!AG216</f>
        <v>0</v>
      </c>
    </row>
    <row r="460" spans="1:27" ht="14.5" hidden="1">
      <c r="A460" s="534">
        <f>'D-2 Off-Site Habitat Creation'!AF216</f>
        <v>0</v>
      </c>
      <c r="N460" s="534">
        <f>'E-2 Off-Site Hedge Creation'!AD217</f>
        <v>0</v>
      </c>
      <c r="AA460" s="1">
        <f>'F-2 Off-Site WaterC'' Creation'!AG217</f>
        <v>0</v>
      </c>
    </row>
    <row r="461" spans="1:27" ht="14.5" hidden="1">
      <c r="A461" s="534">
        <f>'D-2 Off-Site Habitat Creation'!AF217</f>
        <v>0</v>
      </c>
      <c r="N461" s="534">
        <f>'E-2 Off-Site Hedge Creation'!AD218</f>
        <v>0</v>
      </c>
      <c r="AA461" s="1">
        <f>'F-2 Off-Site WaterC'' Creation'!AG218</f>
        <v>0</v>
      </c>
    </row>
    <row r="462" spans="1:27" ht="14.5" hidden="1">
      <c r="A462" s="534">
        <f>'D-2 Off-Site Habitat Creation'!AF218</f>
        <v>0</v>
      </c>
      <c r="N462" s="534">
        <f>'E-2 Off-Site Hedge Creation'!AD219</f>
        <v>0</v>
      </c>
      <c r="AA462" s="1">
        <f>'F-2 Off-Site WaterC'' Creation'!AG219</f>
        <v>0</v>
      </c>
    </row>
    <row r="463" spans="1:27" ht="14.5" hidden="1">
      <c r="A463" s="534">
        <f>'D-2 Off-Site Habitat Creation'!AF219</f>
        <v>0</v>
      </c>
      <c r="N463" s="534">
        <f>'E-2 Off-Site Hedge Creation'!AD220</f>
        <v>0</v>
      </c>
      <c r="AA463" s="1">
        <f>'F-2 Off-Site WaterC'' Creation'!AG220</f>
        <v>0</v>
      </c>
    </row>
    <row r="464" spans="1:27" ht="14.5" hidden="1">
      <c r="A464" s="534">
        <f>'D-2 Off-Site Habitat Creation'!AF220</f>
        <v>0</v>
      </c>
      <c r="N464" s="534">
        <f>'E-2 Off-Site Hedge Creation'!AD221</f>
        <v>0</v>
      </c>
      <c r="AA464" s="1">
        <f>'F-2 Off-Site WaterC'' Creation'!AG221</f>
        <v>0</v>
      </c>
    </row>
    <row r="465" spans="1:27" ht="14.5" hidden="1">
      <c r="A465" s="534">
        <f>'D-2 Off-Site Habitat Creation'!AF221</f>
        <v>0</v>
      </c>
      <c r="N465" s="534">
        <f>'E-2 Off-Site Hedge Creation'!AD222</f>
        <v>0</v>
      </c>
      <c r="AA465" s="1">
        <f>'F-2 Off-Site WaterC'' Creation'!AG222</f>
        <v>0</v>
      </c>
    </row>
    <row r="466" spans="1:27" ht="14.5" hidden="1">
      <c r="A466" s="534">
        <f>'D-2 Off-Site Habitat Creation'!AF222</f>
        <v>0</v>
      </c>
      <c r="N466" s="534">
        <f>'E-2 Off-Site Hedge Creation'!AD223</f>
        <v>0</v>
      </c>
      <c r="AA466" s="1">
        <f>'F-2 Off-Site WaterC'' Creation'!AG223</f>
        <v>0</v>
      </c>
    </row>
    <row r="467" spans="1:27" ht="14.5" hidden="1">
      <c r="A467" s="534">
        <f>'D-2 Off-Site Habitat Creation'!AF223</f>
        <v>0</v>
      </c>
      <c r="N467" s="534">
        <f>'E-2 Off-Site Hedge Creation'!AD224</f>
        <v>0</v>
      </c>
      <c r="AA467" s="1">
        <f>'F-2 Off-Site WaterC'' Creation'!AG224</f>
        <v>0</v>
      </c>
    </row>
    <row r="468" spans="1:27" ht="14.5" hidden="1">
      <c r="A468" s="534">
        <f>'D-2 Off-Site Habitat Creation'!AF224</f>
        <v>0</v>
      </c>
      <c r="N468" s="534">
        <f>'E-2 Off-Site Hedge Creation'!AD225</f>
        <v>0</v>
      </c>
      <c r="AA468" s="1">
        <f>'F-2 Off-Site WaterC'' Creation'!AG225</f>
        <v>0</v>
      </c>
    </row>
    <row r="469" spans="1:27" ht="14.5" hidden="1">
      <c r="A469" s="534">
        <f>'D-2 Off-Site Habitat Creation'!AF225</f>
        <v>0</v>
      </c>
      <c r="N469" s="534">
        <f>'E-2 Off-Site Hedge Creation'!AD226</f>
        <v>0</v>
      </c>
      <c r="AA469" s="1">
        <f>'F-2 Off-Site WaterC'' Creation'!AG226</f>
        <v>0</v>
      </c>
    </row>
    <row r="470" spans="1:27" ht="14.5" hidden="1">
      <c r="A470" s="534">
        <f>'D-2 Off-Site Habitat Creation'!AF226</f>
        <v>0</v>
      </c>
      <c r="N470" s="534">
        <f>'E-2 Off-Site Hedge Creation'!AD227</f>
        <v>0</v>
      </c>
      <c r="AA470" s="1">
        <f>'F-2 Off-Site WaterC'' Creation'!AG227</f>
        <v>0</v>
      </c>
    </row>
    <row r="471" spans="1:27" ht="14.5" hidden="1">
      <c r="A471" s="534">
        <f>'D-2 Off-Site Habitat Creation'!AF227</f>
        <v>0</v>
      </c>
      <c r="N471" s="534">
        <f>'E-2 Off-Site Hedge Creation'!AD228</f>
        <v>0</v>
      </c>
      <c r="AA471" s="1">
        <f>'F-2 Off-Site WaterC'' Creation'!AG228</f>
        <v>0</v>
      </c>
    </row>
    <row r="472" spans="1:27" ht="14.5" hidden="1">
      <c r="A472" s="534">
        <f>'D-2 Off-Site Habitat Creation'!AF228</f>
        <v>0</v>
      </c>
      <c r="N472" s="534">
        <f>'E-2 Off-Site Hedge Creation'!AD229</f>
        <v>0</v>
      </c>
      <c r="AA472" s="1">
        <f>'F-2 Off-Site WaterC'' Creation'!AG229</f>
        <v>0</v>
      </c>
    </row>
    <row r="473" spans="1:27" ht="14.5" hidden="1">
      <c r="A473" s="534">
        <f>'D-2 Off-Site Habitat Creation'!AF229</f>
        <v>0</v>
      </c>
      <c r="N473" s="534">
        <f>'E-2 Off-Site Hedge Creation'!AD230</f>
        <v>0</v>
      </c>
      <c r="AA473" s="1">
        <f>'F-2 Off-Site WaterC'' Creation'!AG230</f>
        <v>0</v>
      </c>
    </row>
    <row r="474" spans="1:27" ht="14.5" hidden="1">
      <c r="A474" s="534">
        <f>'D-2 Off-Site Habitat Creation'!AF230</f>
        <v>0</v>
      </c>
      <c r="N474" s="534">
        <f>'E-2 Off-Site Hedge Creation'!AD231</f>
        <v>0</v>
      </c>
      <c r="AA474" s="1">
        <f>'F-2 Off-Site WaterC'' Creation'!AG231</f>
        <v>0</v>
      </c>
    </row>
    <row r="475" spans="1:27" ht="14.5" hidden="1">
      <c r="A475" s="534">
        <f>'D-2 Off-Site Habitat Creation'!AF231</f>
        <v>0</v>
      </c>
      <c r="N475" s="534">
        <f>'E-2 Off-Site Hedge Creation'!AD232</f>
        <v>0</v>
      </c>
      <c r="AA475" s="1">
        <f>'F-2 Off-Site WaterC'' Creation'!AG232</f>
        <v>0</v>
      </c>
    </row>
    <row r="476" spans="1:27" ht="14.5" hidden="1">
      <c r="A476" s="534">
        <f>'D-2 Off-Site Habitat Creation'!AF232</f>
        <v>0</v>
      </c>
      <c r="N476" s="534">
        <f>'E-2 Off-Site Hedge Creation'!AD233</f>
        <v>0</v>
      </c>
      <c r="AA476" s="1">
        <f>'F-2 Off-Site WaterC'' Creation'!AG233</f>
        <v>0</v>
      </c>
    </row>
    <row r="477" spans="1:27" ht="14.5" hidden="1">
      <c r="A477" s="534">
        <f>'D-2 Off-Site Habitat Creation'!AF233</f>
        <v>0</v>
      </c>
      <c r="N477" s="534">
        <f>'E-2 Off-Site Hedge Creation'!AD234</f>
        <v>0</v>
      </c>
      <c r="AA477" s="1">
        <f>'F-2 Off-Site WaterC'' Creation'!AG234</f>
        <v>0</v>
      </c>
    </row>
    <row r="478" spans="1:27" ht="14.5" hidden="1">
      <c r="A478" s="534">
        <f>'D-2 Off-Site Habitat Creation'!AF234</f>
        <v>0</v>
      </c>
      <c r="N478" s="534">
        <f>'E-2 Off-Site Hedge Creation'!AD235</f>
        <v>0</v>
      </c>
      <c r="AA478" s="1">
        <f>'F-2 Off-Site WaterC'' Creation'!AG235</f>
        <v>0</v>
      </c>
    </row>
    <row r="479" spans="1:27" ht="14.5" hidden="1">
      <c r="A479" s="534">
        <f>'D-2 Off-Site Habitat Creation'!AF235</f>
        <v>0</v>
      </c>
      <c r="N479" s="534">
        <f>'E-2 Off-Site Hedge Creation'!AD236</f>
        <v>0</v>
      </c>
      <c r="AA479" s="1">
        <f>'F-2 Off-Site WaterC'' Creation'!AG236</f>
        <v>0</v>
      </c>
    </row>
    <row r="480" spans="1:27" ht="14.5" hidden="1">
      <c r="A480" s="534">
        <f>'D-2 Off-Site Habitat Creation'!AF236</f>
        <v>0</v>
      </c>
      <c r="N480" s="534">
        <f>'E-2 Off-Site Hedge Creation'!AD237</f>
        <v>0</v>
      </c>
      <c r="AA480" s="1">
        <f>'F-2 Off-Site WaterC'' Creation'!AG237</f>
        <v>0</v>
      </c>
    </row>
    <row r="481" spans="1:27" ht="14.5" hidden="1">
      <c r="A481" s="534">
        <f>'D-2 Off-Site Habitat Creation'!AF237</f>
        <v>0</v>
      </c>
      <c r="N481" s="534">
        <f>'E-2 Off-Site Hedge Creation'!AD238</f>
        <v>0</v>
      </c>
      <c r="AA481" s="1">
        <f>'F-2 Off-Site WaterC'' Creation'!AG238</f>
        <v>0</v>
      </c>
    </row>
    <row r="482" spans="1:27" ht="14.5" hidden="1">
      <c r="A482" s="534">
        <f>'D-2 Off-Site Habitat Creation'!AF238</f>
        <v>0</v>
      </c>
      <c r="N482" s="534">
        <f>'E-2 Off-Site Hedge Creation'!AD239</f>
        <v>0</v>
      </c>
      <c r="AA482" s="1">
        <f>'F-2 Off-Site WaterC'' Creation'!AG239</f>
        <v>0</v>
      </c>
    </row>
    <row r="483" spans="1:27" ht="14.5" hidden="1">
      <c r="A483" s="534">
        <f>'D-2 Off-Site Habitat Creation'!AF239</f>
        <v>0</v>
      </c>
      <c r="N483" s="534">
        <f>'E-2 Off-Site Hedge Creation'!AD240</f>
        <v>0</v>
      </c>
      <c r="AA483" s="1">
        <f>'F-2 Off-Site WaterC'' Creation'!AG240</f>
        <v>0</v>
      </c>
    </row>
    <row r="484" spans="1:27" ht="14.5" hidden="1">
      <c r="A484" s="534">
        <f>'D-2 Off-Site Habitat Creation'!AF240</f>
        <v>0</v>
      </c>
      <c r="N484" s="534">
        <f>'E-2 Off-Site Hedge Creation'!AD241</f>
        <v>0</v>
      </c>
      <c r="AA484" s="1">
        <f>'F-2 Off-Site WaterC'' Creation'!AG241</f>
        <v>0</v>
      </c>
    </row>
    <row r="485" spans="1:27" ht="14.5" hidden="1">
      <c r="A485" s="534">
        <f>'D-2 Off-Site Habitat Creation'!AF241</f>
        <v>0</v>
      </c>
      <c r="N485" s="534">
        <f>'E-2 Off-Site Hedge Creation'!AD242</f>
        <v>0</v>
      </c>
      <c r="AA485" s="1">
        <f>'F-2 Off-Site WaterC'' Creation'!AG242</f>
        <v>0</v>
      </c>
    </row>
    <row r="486" spans="1:27" ht="14.5" hidden="1">
      <c r="A486" s="534">
        <f>'D-2 Off-Site Habitat Creation'!AF242</f>
        <v>0</v>
      </c>
      <c r="N486" s="534">
        <f>'E-2 Off-Site Hedge Creation'!AD243</f>
        <v>0</v>
      </c>
      <c r="AA486" s="1">
        <f>'F-2 Off-Site WaterC'' Creation'!AG243</f>
        <v>0</v>
      </c>
    </row>
    <row r="487" spans="1:27" ht="14.5" hidden="1">
      <c r="A487" s="534">
        <f>'D-2 Off-Site Habitat Creation'!AF243</f>
        <v>0</v>
      </c>
      <c r="N487" s="534">
        <f>'E-2 Off-Site Hedge Creation'!AD244</f>
        <v>0</v>
      </c>
      <c r="AA487" s="1">
        <f>'F-2 Off-Site WaterC'' Creation'!AG244</f>
        <v>0</v>
      </c>
    </row>
    <row r="488" spans="1:27" ht="14.5" hidden="1">
      <c r="A488" s="534">
        <f>'D-2 Off-Site Habitat Creation'!AF244</f>
        <v>0</v>
      </c>
      <c r="N488" s="534">
        <f>'E-2 Off-Site Hedge Creation'!AD245</f>
        <v>0</v>
      </c>
      <c r="AA488" s="1">
        <f>'F-2 Off-Site WaterC'' Creation'!AG245</f>
        <v>0</v>
      </c>
    </row>
    <row r="489" spans="1:27" ht="14.5" hidden="1">
      <c r="A489" s="534">
        <f>'D-2 Off-Site Habitat Creation'!AF245</f>
        <v>0</v>
      </c>
      <c r="N489" s="534">
        <f>'E-2 Off-Site Hedge Creation'!AD246</f>
        <v>0</v>
      </c>
      <c r="AA489" s="1">
        <f>'F-2 Off-Site WaterC'' Creation'!AG246</f>
        <v>0</v>
      </c>
    </row>
    <row r="490" spans="1:27" ht="14.5" hidden="1">
      <c r="A490" s="534">
        <f>'D-2 Off-Site Habitat Creation'!AF246</f>
        <v>0</v>
      </c>
      <c r="N490" s="534">
        <f>'E-2 Off-Site Hedge Creation'!AD247</f>
        <v>0</v>
      </c>
      <c r="AA490" s="1">
        <f>'F-2 Off-Site WaterC'' Creation'!AG247</f>
        <v>0</v>
      </c>
    </row>
    <row r="491" spans="1:27" ht="14.5" hidden="1">
      <c r="A491" s="534">
        <f>'D-2 Off-Site Habitat Creation'!AF247</f>
        <v>0</v>
      </c>
      <c r="N491" s="534">
        <f>'E-2 Off-Site Hedge Creation'!AD248</f>
        <v>0</v>
      </c>
      <c r="AA491" s="1">
        <f>'F-2 Off-Site WaterC'' Creation'!AG248</f>
        <v>0</v>
      </c>
    </row>
    <row r="492" spans="1:27" ht="14.5" hidden="1">
      <c r="A492" s="534">
        <f>'D-2 Off-Site Habitat Creation'!AF248</f>
        <v>0</v>
      </c>
      <c r="N492" s="534">
        <f>'E-2 Off-Site Hedge Creation'!AD249</f>
        <v>0</v>
      </c>
      <c r="AA492" s="1">
        <f>'F-2 Off-Site WaterC'' Creation'!AG249</f>
        <v>0</v>
      </c>
    </row>
    <row r="493" spans="1:27" ht="14.5" hidden="1">
      <c r="A493" s="534">
        <f>'D-2 Off-Site Habitat Creation'!AF249</f>
        <v>0</v>
      </c>
      <c r="N493" s="534">
        <f>'E-2 Off-Site Hedge Creation'!AD250</f>
        <v>0</v>
      </c>
      <c r="AA493" s="1">
        <f>'F-2 Off-Site WaterC'' Creation'!AG250</f>
        <v>0</v>
      </c>
    </row>
    <row r="494" spans="1:27" ht="14.5" hidden="1">
      <c r="A494" s="534">
        <f>'D-2 Off-Site Habitat Creation'!AF250</f>
        <v>0</v>
      </c>
      <c r="N494" s="534">
        <f>'E-2 Off-Site Hedge Creation'!AD251</f>
        <v>0</v>
      </c>
      <c r="AA494" s="1">
        <f>'F-2 Off-Site WaterC'' Creation'!AG251</f>
        <v>0</v>
      </c>
    </row>
    <row r="495" spans="1:27" ht="14.5" hidden="1">
      <c r="A495" s="534">
        <f>'D-2 Off-Site Habitat Creation'!AF251</f>
        <v>0</v>
      </c>
      <c r="N495" s="534">
        <f>'E-2 Off-Site Hedge Creation'!AD252</f>
        <v>0</v>
      </c>
      <c r="AA495" s="1">
        <f>'F-2 Off-Site WaterC'' Creation'!AG252</f>
        <v>0</v>
      </c>
    </row>
    <row r="496" spans="1:27" ht="14.5" hidden="1">
      <c r="A496" s="534">
        <f>'D-2 Off-Site Habitat Creation'!AF252</f>
        <v>0</v>
      </c>
      <c r="N496" s="534">
        <f>'E-2 Off-Site Hedge Creation'!AD253</f>
        <v>0</v>
      </c>
      <c r="AA496" s="1">
        <f>'F-2 Off-Site WaterC'' Creation'!AG253</f>
        <v>0</v>
      </c>
    </row>
    <row r="497" spans="1:27" ht="14.5" hidden="1">
      <c r="A497" s="534">
        <f>'D-2 Off-Site Habitat Creation'!AF253</f>
        <v>0</v>
      </c>
      <c r="N497" s="534">
        <f>'E-2 Off-Site Hedge Creation'!AD254</f>
        <v>0</v>
      </c>
      <c r="AA497" s="1">
        <f>'F-2 Off-Site WaterC'' Creation'!AG254</f>
        <v>0</v>
      </c>
    </row>
    <row r="498" spans="1:27" ht="14.5" hidden="1">
      <c r="A498" s="534">
        <f>'D-2 Off-Site Habitat Creation'!AF254</f>
        <v>0</v>
      </c>
      <c r="N498" s="534">
        <f>'E-2 Off-Site Hedge Creation'!AD255</f>
        <v>0</v>
      </c>
      <c r="AA498" s="1">
        <f>'F-2 Off-Site WaterC'' Creation'!AG255</f>
        <v>0</v>
      </c>
    </row>
    <row r="499" spans="1:27" ht="14.5" hidden="1">
      <c r="A499" s="534">
        <f>'D-2 Off-Site Habitat Creation'!AF255</f>
        <v>0</v>
      </c>
      <c r="N499" s="534">
        <f>'E-2 Off-Site Hedge Creation'!AD256</f>
        <v>0</v>
      </c>
      <c r="AA499" s="1">
        <f>'F-2 Off-Site WaterC'' Creation'!AG256</f>
        <v>0</v>
      </c>
    </row>
    <row r="500" spans="1:27" ht="14.5" hidden="1">
      <c r="A500" s="534">
        <f>'D-2 Off-Site Habitat Creation'!AF256</f>
        <v>0</v>
      </c>
      <c r="N500" s="534">
        <f>'E-3 Off-Site Hedge Enhancement'!AO12</f>
        <v>0</v>
      </c>
      <c r="AA500" s="1">
        <f>'F-2 Off-Site WaterC'' Creation'!AG257</f>
        <v>0</v>
      </c>
    </row>
    <row r="501" spans="1:27" ht="14.5" hidden="1">
      <c r="A501" s="534">
        <f>'D-3 Off-Site Habitat Enhancment'!AU12</f>
        <v>0</v>
      </c>
      <c r="N501" s="534">
        <f>'E-3 Off-Site Hedge Enhancement'!AO13</f>
        <v>0</v>
      </c>
      <c r="AA501" s="1">
        <f>'F-2 Off-Site WaterC'' Creation'!AG258</f>
        <v>0</v>
      </c>
    </row>
    <row r="502" spans="1:27" ht="14.5" hidden="1">
      <c r="A502" s="534">
        <f>'D-3 Off-Site Habitat Enhancment'!AU13</f>
        <v>0</v>
      </c>
      <c r="N502" s="534">
        <f>'E-3 Off-Site Hedge Enhancement'!AO14</f>
        <v>0</v>
      </c>
      <c r="AA502" s="1">
        <f>'F-2 Off-Site WaterC'' Creation'!AG259</f>
        <v>0</v>
      </c>
    </row>
    <row r="503" spans="1:27" ht="14.5" hidden="1">
      <c r="A503" s="534">
        <f>'D-3 Off-Site Habitat Enhancment'!AU14</f>
        <v>0</v>
      </c>
      <c r="N503" s="534">
        <f>'E-3 Off-Site Hedge Enhancement'!AO15</f>
        <v>0</v>
      </c>
      <c r="AA503" s="1">
        <f>'F-3 Off-Site WaterC Enhancement'!AT12</f>
        <v>0</v>
      </c>
    </row>
    <row r="504" spans="1:27" ht="14.5" hidden="1">
      <c r="A504" s="534">
        <f>'D-3 Off-Site Habitat Enhancment'!AU15</f>
        <v>0</v>
      </c>
      <c r="N504" s="534">
        <f>'E-3 Off-Site Hedge Enhancement'!AO16</f>
        <v>0</v>
      </c>
      <c r="AA504" s="1">
        <f>'F-3 Off-Site WaterC Enhancement'!AT13</f>
        <v>0</v>
      </c>
    </row>
    <row r="505" spans="1:27" ht="14.5" hidden="1">
      <c r="A505" s="534">
        <f>'D-3 Off-Site Habitat Enhancment'!AU16</f>
        <v>0</v>
      </c>
      <c r="N505" s="534">
        <f>'E-3 Off-Site Hedge Enhancement'!AO17</f>
        <v>0</v>
      </c>
      <c r="AA505" s="1">
        <f>'F-3 Off-Site WaterC Enhancement'!AT14</f>
        <v>0</v>
      </c>
    </row>
    <row r="506" spans="1:27" ht="14.5" hidden="1">
      <c r="A506" s="534">
        <f>'D-3 Off-Site Habitat Enhancment'!AU17</f>
        <v>0</v>
      </c>
      <c r="N506" s="534">
        <f>'E-3 Off-Site Hedge Enhancement'!AO18</f>
        <v>0</v>
      </c>
      <c r="AA506" s="1">
        <f>'F-3 Off-Site WaterC Enhancement'!AT15</f>
        <v>0</v>
      </c>
    </row>
    <row r="507" spans="1:27" ht="14.5" hidden="1">
      <c r="A507" s="534">
        <f>'D-3 Off-Site Habitat Enhancment'!AU18</f>
        <v>0</v>
      </c>
      <c r="N507" s="534">
        <f>'E-3 Off-Site Hedge Enhancement'!AO19</f>
        <v>0</v>
      </c>
      <c r="AA507" s="1">
        <f>'F-3 Off-Site WaterC Enhancement'!AT16</f>
        <v>0</v>
      </c>
    </row>
    <row r="508" spans="1:27" ht="14.5" hidden="1">
      <c r="A508" s="534">
        <f>'D-3 Off-Site Habitat Enhancment'!AU19</f>
        <v>0</v>
      </c>
      <c r="N508" s="534">
        <f>'E-3 Off-Site Hedge Enhancement'!AO20</f>
        <v>0</v>
      </c>
      <c r="AA508" s="1">
        <f>'F-3 Off-Site WaterC Enhancement'!AT17</f>
        <v>0</v>
      </c>
    </row>
    <row r="509" spans="1:27" ht="14.5" hidden="1">
      <c r="A509" s="534">
        <f>'D-3 Off-Site Habitat Enhancment'!AU20</f>
        <v>0</v>
      </c>
      <c r="N509" s="534">
        <f>'E-3 Off-Site Hedge Enhancement'!AO21</f>
        <v>0</v>
      </c>
      <c r="AA509" s="1">
        <f>'F-3 Off-Site WaterC Enhancement'!AT18</f>
        <v>0</v>
      </c>
    </row>
    <row r="510" spans="1:27" ht="14.5" hidden="1">
      <c r="A510" s="534">
        <f>'D-3 Off-Site Habitat Enhancment'!AU21</f>
        <v>0</v>
      </c>
      <c r="N510" s="534">
        <f>'E-3 Off-Site Hedge Enhancement'!AO22</f>
        <v>0</v>
      </c>
      <c r="AA510" s="1">
        <f>'F-3 Off-Site WaterC Enhancement'!AT19</f>
        <v>0</v>
      </c>
    </row>
    <row r="511" spans="1:27" ht="14.5" hidden="1">
      <c r="A511" s="534">
        <f>'D-3 Off-Site Habitat Enhancment'!AU22</f>
        <v>0</v>
      </c>
      <c r="N511" s="534">
        <f>'E-3 Off-Site Hedge Enhancement'!AO23</f>
        <v>0</v>
      </c>
      <c r="AA511" s="1">
        <f>'F-3 Off-Site WaterC Enhancement'!AT20</f>
        <v>0</v>
      </c>
    </row>
    <row r="512" spans="1:27" ht="14.5" hidden="1">
      <c r="A512" s="534">
        <f>'D-3 Off-Site Habitat Enhancment'!AU23</f>
        <v>0</v>
      </c>
      <c r="N512" s="534">
        <f>'E-3 Off-Site Hedge Enhancement'!AO24</f>
        <v>0</v>
      </c>
      <c r="AA512" s="1">
        <f>'F-3 Off-Site WaterC Enhancement'!AT21</f>
        <v>0</v>
      </c>
    </row>
    <row r="513" spans="1:27" ht="14.5" hidden="1">
      <c r="A513" s="534">
        <f>'D-3 Off-Site Habitat Enhancment'!AU24</f>
        <v>0</v>
      </c>
      <c r="N513" s="534">
        <f>'E-3 Off-Site Hedge Enhancement'!AO25</f>
        <v>0</v>
      </c>
      <c r="AA513" s="1">
        <f>'F-3 Off-Site WaterC Enhancement'!AT22</f>
        <v>0</v>
      </c>
    </row>
    <row r="514" spans="1:27" ht="14.5" hidden="1">
      <c r="A514" s="534">
        <f>'D-3 Off-Site Habitat Enhancment'!AU25</f>
        <v>0</v>
      </c>
      <c r="N514" s="534">
        <f>'E-3 Off-Site Hedge Enhancement'!AO26</f>
        <v>0</v>
      </c>
      <c r="AA514" s="1">
        <f>'F-3 Off-Site WaterC Enhancement'!AT23</f>
        <v>0</v>
      </c>
    </row>
    <row r="515" spans="1:27" ht="14.5" hidden="1">
      <c r="A515" s="534">
        <f>'D-3 Off-Site Habitat Enhancment'!AU26</f>
        <v>0</v>
      </c>
      <c r="N515" s="534">
        <f>'E-3 Off-Site Hedge Enhancement'!AO27</f>
        <v>0</v>
      </c>
      <c r="AA515" s="1">
        <f>'F-3 Off-Site WaterC Enhancement'!AT24</f>
        <v>0</v>
      </c>
    </row>
    <row r="516" spans="1:27" ht="14.5" hidden="1">
      <c r="A516" s="534">
        <f>'D-3 Off-Site Habitat Enhancment'!AU27</f>
        <v>0</v>
      </c>
      <c r="N516" s="534">
        <f>'E-3 Off-Site Hedge Enhancement'!AO28</f>
        <v>0</v>
      </c>
      <c r="AA516" s="1">
        <f>'F-3 Off-Site WaterC Enhancement'!AT25</f>
        <v>0</v>
      </c>
    </row>
    <row r="517" spans="1:27" ht="14.5" hidden="1">
      <c r="A517" s="534">
        <f>'D-3 Off-Site Habitat Enhancment'!AU28</f>
        <v>0</v>
      </c>
      <c r="N517" s="534">
        <f>'E-3 Off-Site Hedge Enhancement'!AO29</f>
        <v>0</v>
      </c>
      <c r="AA517" s="1">
        <f>'F-3 Off-Site WaterC Enhancement'!AT26</f>
        <v>0</v>
      </c>
    </row>
    <row r="518" spans="1:27" ht="14.5" hidden="1">
      <c r="A518" s="534">
        <f>'D-3 Off-Site Habitat Enhancment'!AU29</f>
        <v>0</v>
      </c>
      <c r="N518" s="534">
        <f>'E-3 Off-Site Hedge Enhancement'!AO30</f>
        <v>0</v>
      </c>
      <c r="AA518" s="1">
        <f>'F-3 Off-Site WaterC Enhancement'!AT27</f>
        <v>0</v>
      </c>
    </row>
    <row r="519" spans="1:27" ht="14.5" hidden="1">
      <c r="A519" s="534">
        <f>'D-3 Off-Site Habitat Enhancment'!AU30</f>
        <v>0</v>
      </c>
      <c r="N519" s="534">
        <f>'E-3 Off-Site Hedge Enhancement'!AO31</f>
        <v>0</v>
      </c>
      <c r="AA519" s="1">
        <f>'F-3 Off-Site WaterC Enhancement'!AT28</f>
        <v>0</v>
      </c>
    </row>
    <row r="520" spans="1:27" ht="14.5" hidden="1">
      <c r="A520" s="534">
        <f>'D-3 Off-Site Habitat Enhancment'!AU31</f>
        <v>0</v>
      </c>
      <c r="N520" s="534">
        <f>'E-3 Off-Site Hedge Enhancement'!AO32</f>
        <v>0</v>
      </c>
      <c r="AA520" s="1">
        <f>'F-3 Off-Site WaterC Enhancement'!AT29</f>
        <v>0</v>
      </c>
    </row>
    <row r="521" spans="1:27" ht="14.5" hidden="1">
      <c r="A521" s="534">
        <f>'D-3 Off-Site Habitat Enhancment'!AU32</f>
        <v>0</v>
      </c>
      <c r="N521" s="534">
        <f>'E-3 Off-Site Hedge Enhancement'!AO33</f>
        <v>0</v>
      </c>
      <c r="AA521" s="1">
        <f>'F-3 Off-Site WaterC Enhancement'!AT30</f>
        <v>0</v>
      </c>
    </row>
    <row r="522" spans="1:27" ht="14.5" hidden="1">
      <c r="A522" s="534">
        <f>'D-3 Off-Site Habitat Enhancment'!AU33</f>
        <v>0</v>
      </c>
      <c r="N522" s="534">
        <f>'E-3 Off-Site Hedge Enhancement'!AO34</f>
        <v>0</v>
      </c>
      <c r="AA522" s="1">
        <f>'F-3 Off-Site WaterC Enhancement'!AT31</f>
        <v>0</v>
      </c>
    </row>
    <row r="523" spans="1:27" ht="14.5" hidden="1">
      <c r="A523" s="534">
        <f>'D-3 Off-Site Habitat Enhancment'!AU34</f>
        <v>0</v>
      </c>
      <c r="N523" s="534">
        <f>'E-3 Off-Site Hedge Enhancement'!AO35</f>
        <v>0</v>
      </c>
      <c r="AA523" s="1">
        <f>'F-3 Off-Site WaterC Enhancement'!AT32</f>
        <v>0</v>
      </c>
    </row>
    <row r="524" spans="1:27" ht="14.5" hidden="1">
      <c r="A524" s="534">
        <f>'D-3 Off-Site Habitat Enhancment'!AU35</f>
        <v>0</v>
      </c>
      <c r="N524" s="534">
        <f>'E-3 Off-Site Hedge Enhancement'!AO36</f>
        <v>0</v>
      </c>
      <c r="AA524" s="1">
        <f>'F-3 Off-Site WaterC Enhancement'!AT33</f>
        <v>0</v>
      </c>
    </row>
    <row r="525" spans="1:27" ht="14.5" hidden="1">
      <c r="A525" s="534">
        <f>'D-3 Off-Site Habitat Enhancment'!AU36</f>
        <v>0</v>
      </c>
      <c r="N525" s="534">
        <f>'E-3 Off-Site Hedge Enhancement'!AO37</f>
        <v>0</v>
      </c>
      <c r="AA525" s="1">
        <f>'F-3 Off-Site WaterC Enhancement'!AT34</f>
        <v>0</v>
      </c>
    </row>
    <row r="526" spans="1:27" ht="14.5" hidden="1">
      <c r="A526" s="534">
        <f>'D-3 Off-Site Habitat Enhancment'!AU37</f>
        <v>0</v>
      </c>
      <c r="N526" s="534">
        <f>'E-3 Off-Site Hedge Enhancement'!AO38</f>
        <v>0</v>
      </c>
      <c r="AA526" s="1">
        <f>'F-3 Off-Site WaterC Enhancement'!AT35</f>
        <v>0</v>
      </c>
    </row>
    <row r="527" spans="1:27" ht="14.5" hidden="1">
      <c r="A527" s="534">
        <f>'D-3 Off-Site Habitat Enhancment'!AU38</f>
        <v>0</v>
      </c>
      <c r="N527" s="534">
        <f>'E-3 Off-Site Hedge Enhancement'!AO39</f>
        <v>0</v>
      </c>
      <c r="AA527" s="1">
        <f>'F-3 Off-Site WaterC Enhancement'!AT36</f>
        <v>0</v>
      </c>
    </row>
    <row r="528" spans="1:27" ht="14.5" hidden="1">
      <c r="A528" s="534">
        <f>'D-3 Off-Site Habitat Enhancment'!AU39</f>
        <v>0</v>
      </c>
      <c r="N528" s="534">
        <f>'E-3 Off-Site Hedge Enhancement'!AO40</f>
        <v>0</v>
      </c>
      <c r="AA528" s="1">
        <f>'F-3 Off-Site WaterC Enhancement'!AT37</f>
        <v>0</v>
      </c>
    </row>
    <row r="529" spans="1:27" ht="14.5" hidden="1">
      <c r="A529" s="534">
        <f>'D-3 Off-Site Habitat Enhancment'!AU40</f>
        <v>0</v>
      </c>
      <c r="N529" s="534">
        <f>'E-3 Off-Site Hedge Enhancement'!AO41</f>
        <v>0</v>
      </c>
      <c r="AA529" s="1">
        <f>'F-3 Off-Site WaterC Enhancement'!AT38</f>
        <v>0</v>
      </c>
    </row>
    <row r="530" spans="1:27" ht="14.5" hidden="1">
      <c r="A530" s="534">
        <f>'D-3 Off-Site Habitat Enhancment'!AU41</f>
        <v>0</v>
      </c>
      <c r="N530" s="534">
        <f>'E-3 Off-Site Hedge Enhancement'!AO42</f>
        <v>0</v>
      </c>
      <c r="AA530" s="1">
        <f>'F-3 Off-Site WaterC Enhancement'!AT39</f>
        <v>0</v>
      </c>
    </row>
    <row r="531" spans="1:27" ht="14.5" hidden="1">
      <c r="A531" s="534">
        <f>'D-3 Off-Site Habitat Enhancment'!AU42</f>
        <v>0</v>
      </c>
      <c r="N531" s="534">
        <f>'E-3 Off-Site Hedge Enhancement'!AO43</f>
        <v>0</v>
      </c>
      <c r="AA531" s="1">
        <f>'F-3 Off-Site WaterC Enhancement'!AT40</f>
        <v>0</v>
      </c>
    </row>
    <row r="532" spans="1:27" ht="14.5" hidden="1">
      <c r="A532" s="534">
        <f>'D-3 Off-Site Habitat Enhancment'!AU43</f>
        <v>0</v>
      </c>
      <c r="N532" s="534">
        <f>'E-3 Off-Site Hedge Enhancement'!AO44</f>
        <v>0</v>
      </c>
      <c r="AA532" s="1">
        <f>'F-3 Off-Site WaterC Enhancement'!AT41</f>
        <v>0</v>
      </c>
    </row>
    <row r="533" spans="1:27" ht="14.5" hidden="1">
      <c r="A533" s="534">
        <f>'D-3 Off-Site Habitat Enhancment'!AU44</f>
        <v>0</v>
      </c>
      <c r="N533" s="534">
        <f>'E-3 Off-Site Hedge Enhancement'!AO45</f>
        <v>0</v>
      </c>
      <c r="AA533" s="1">
        <f>'F-3 Off-Site WaterC Enhancement'!AT42</f>
        <v>0</v>
      </c>
    </row>
    <row r="534" spans="1:27" ht="14.5" hidden="1">
      <c r="A534" s="534">
        <f>'D-3 Off-Site Habitat Enhancment'!AU45</f>
        <v>0</v>
      </c>
      <c r="N534" s="534">
        <f>'E-3 Off-Site Hedge Enhancement'!AO46</f>
        <v>0</v>
      </c>
      <c r="AA534" s="1">
        <f>'F-3 Off-Site WaterC Enhancement'!AT43</f>
        <v>0</v>
      </c>
    </row>
    <row r="535" spans="1:27" ht="14.5" hidden="1">
      <c r="A535" s="534">
        <f>'D-3 Off-Site Habitat Enhancment'!AU46</f>
        <v>0</v>
      </c>
      <c r="N535" s="534">
        <f>'E-3 Off-Site Hedge Enhancement'!AO47</f>
        <v>0</v>
      </c>
      <c r="AA535" s="1">
        <f>'F-3 Off-Site WaterC Enhancement'!AT44</f>
        <v>0</v>
      </c>
    </row>
    <row r="536" spans="1:27" ht="14.5" hidden="1">
      <c r="A536" s="534">
        <f>'D-3 Off-Site Habitat Enhancment'!AU47</f>
        <v>0</v>
      </c>
      <c r="N536" s="534">
        <f>'E-3 Off-Site Hedge Enhancement'!AO48</f>
        <v>0</v>
      </c>
      <c r="AA536" s="1">
        <f>'F-3 Off-Site WaterC Enhancement'!AT45</f>
        <v>0</v>
      </c>
    </row>
    <row r="537" spans="1:27" ht="14.5" hidden="1">
      <c r="A537" s="534">
        <f>'D-3 Off-Site Habitat Enhancment'!AU48</f>
        <v>0</v>
      </c>
      <c r="N537" s="534">
        <f>'E-3 Off-Site Hedge Enhancement'!AO49</f>
        <v>0</v>
      </c>
      <c r="AA537" s="1">
        <f>'F-3 Off-Site WaterC Enhancement'!AT46</f>
        <v>0</v>
      </c>
    </row>
    <row r="538" spans="1:27" ht="14.5" hidden="1">
      <c r="A538" s="534">
        <f>'D-3 Off-Site Habitat Enhancment'!AU49</f>
        <v>0</v>
      </c>
      <c r="N538" s="534">
        <f>'E-3 Off-Site Hedge Enhancement'!AO50</f>
        <v>0</v>
      </c>
      <c r="AA538" s="1">
        <f>'F-3 Off-Site WaterC Enhancement'!AT47</f>
        <v>0</v>
      </c>
    </row>
    <row r="539" spans="1:27" ht="14.5" hidden="1">
      <c r="A539" s="534">
        <f>'D-3 Off-Site Habitat Enhancment'!AU50</f>
        <v>0</v>
      </c>
      <c r="N539" s="534">
        <f>'E-3 Off-Site Hedge Enhancement'!AO51</f>
        <v>0</v>
      </c>
      <c r="AA539" s="1">
        <f>'F-3 Off-Site WaterC Enhancement'!AT48</f>
        <v>0</v>
      </c>
    </row>
    <row r="540" spans="1:27" ht="14.5" hidden="1">
      <c r="A540" s="534">
        <f>'D-3 Off-Site Habitat Enhancment'!AU51</f>
        <v>0</v>
      </c>
      <c r="N540" s="534">
        <f>'E-3 Off-Site Hedge Enhancement'!AO52</f>
        <v>0</v>
      </c>
      <c r="AA540" s="1">
        <f>'F-3 Off-Site WaterC Enhancement'!AT49</f>
        <v>0</v>
      </c>
    </row>
    <row r="541" spans="1:27" ht="14.5" hidden="1">
      <c r="A541" s="534">
        <f>'D-3 Off-Site Habitat Enhancment'!AU52</f>
        <v>0</v>
      </c>
      <c r="N541" s="534">
        <f>'E-3 Off-Site Hedge Enhancement'!AO53</f>
        <v>0</v>
      </c>
      <c r="AA541" s="1">
        <f>'F-3 Off-Site WaterC Enhancement'!AT50</f>
        <v>0</v>
      </c>
    </row>
    <row r="542" spans="1:27" ht="14.5" hidden="1">
      <c r="A542" s="534">
        <f>'D-3 Off-Site Habitat Enhancment'!AU53</f>
        <v>0</v>
      </c>
      <c r="N542" s="534">
        <f>'E-3 Off-Site Hedge Enhancement'!AO54</f>
        <v>0</v>
      </c>
      <c r="AA542" s="1">
        <f>'F-3 Off-Site WaterC Enhancement'!AT51</f>
        <v>0</v>
      </c>
    </row>
    <row r="543" spans="1:27" ht="14.5" hidden="1">
      <c r="A543" s="534">
        <f>'D-3 Off-Site Habitat Enhancment'!AU54</f>
        <v>0</v>
      </c>
      <c r="N543" s="534">
        <f>'E-3 Off-Site Hedge Enhancement'!AO55</f>
        <v>0</v>
      </c>
      <c r="AA543" s="1">
        <f>'F-3 Off-Site WaterC Enhancement'!AT52</f>
        <v>0</v>
      </c>
    </row>
    <row r="544" spans="1:27" ht="14.5" hidden="1">
      <c r="A544" s="534">
        <f>'D-3 Off-Site Habitat Enhancment'!AU55</f>
        <v>0</v>
      </c>
      <c r="N544" s="534">
        <f>'E-3 Off-Site Hedge Enhancement'!AO56</f>
        <v>0</v>
      </c>
      <c r="AA544" s="1">
        <f>'F-3 Off-Site WaterC Enhancement'!AT53</f>
        <v>0</v>
      </c>
    </row>
    <row r="545" spans="1:27" ht="14.5" hidden="1">
      <c r="A545" s="534">
        <f>'D-3 Off-Site Habitat Enhancment'!AU56</f>
        <v>0</v>
      </c>
      <c r="N545" s="534">
        <f>'E-3 Off-Site Hedge Enhancement'!AO57</f>
        <v>0</v>
      </c>
      <c r="AA545" s="1">
        <f>'F-3 Off-Site WaterC Enhancement'!AT54</f>
        <v>0</v>
      </c>
    </row>
    <row r="546" spans="1:27" ht="14.5" hidden="1">
      <c r="A546" s="534">
        <f>'D-3 Off-Site Habitat Enhancment'!AU57</f>
        <v>0</v>
      </c>
      <c r="N546" s="534">
        <f>'E-3 Off-Site Hedge Enhancement'!AO58</f>
        <v>0</v>
      </c>
      <c r="AA546" s="1">
        <f>'F-3 Off-Site WaterC Enhancement'!AT55</f>
        <v>0</v>
      </c>
    </row>
    <row r="547" spans="1:27" ht="14.5" hidden="1">
      <c r="A547" s="534">
        <f>'D-3 Off-Site Habitat Enhancment'!AU58</f>
        <v>0</v>
      </c>
      <c r="N547" s="534">
        <f>'E-3 Off-Site Hedge Enhancement'!AO59</f>
        <v>0</v>
      </c>
      <c r="AA547" s="1">
        <f>'F-3 Off-Site WaterC Enhancement'!AT56</f>
        <v>0</v>
      </c>
    </row>
    <row r="548" spans="1:27" ht="14.5" hidden="1">
      <c r="A548" s="534">
        <f>'D-3 Off-Site Habitat Enhancment'!AU59</f>
        <v>0</v>
      </c>
      <c r="N548" s="534">
        <f>'E-3 Off-Site Hedge Enhancement'!AO60</f>
        <v>0</v>
      </c>
      <c r="AA548" s="1">
        <f>'F-3 Off-Site WaterC Enhancement'!AT57</f>
        <v>0</v>
      </c>
    </row>
    <row r="549" spans="1:27" ht="14.5" hidden="1">
      <c r="A549" s="534">
        <f>'D-3 Off-Site Habitat Enhancment'!AU60</f>
        <v>0</v>
      </c>
      <c r="N549" s="534">
        <f>'E-3 Off-Site Hedge Enhancement'!AO61</f>
        <v>0</v>
      </c>
      <c r="AA549" s="1">
        <f>'F-3 Off-Site WaterC Enhancement'!AT58</f>
        <v>0</v>
      </c>
    </row>
    <row r="550" spans="1:27" ht="14.5" hidden="1">
      <c r="A550" s="534">
        <f>'D-3 Off-Site Habitat Enhancment'!AU61</f>
        <v>0</v>
      </c>
      <c r="N550" s="534">
        <f>'E-3 Off-Site Hedge Enhancement'!AO62</f>
        <v>0</v>
      </c>
      <c r="AA550" s="1">
        <f>'F-3 Off-Site WaterC Enhancement'!AT59</f>
        <v>0</v>
      </c>
    </row>
    <row r="551" spans="1:27" ht="14.5" hidden="1">
      <c r="A551" s="534">
        <f>'D-3 Off-Site Habitat Enhancment'!AU62</f>
        <v>0</v>
      </c>
      <c r="N551" s="534">
        <f>'E-3 Off-Site Hedge Enhancement'!AO63</f>
        <v>0</v>
      </c>
      <c r="AA551" s="1">
        <f>'F-3 Off-Site WaterC Enhancement'!AT60</f>
        <v>0</v>
      </c>
    </row>
    <row r="552" spans="1:27" ht="14.5" hidden="1">
      <c r="A552" s="534">
        <f>'D-3 Off-Site Habitat Enhancment'!AU63</f>
        <v>0</v>
      </c>
      <c r="N552" s="534">
        <f>'E-3 Off-Site Hedge Enhancement'!AO64</f>
        <v>0</v>
      </c>
      <c r="AA552" s="1">
        <f>'F-3 Off-Site WaterC Enhancement'!AT61</f>
        <v>0</v>
      </c>
    </row>
    <row r="553" spans="1:27" ht="14.5" hidden="1">
      <c r="A553" s="534">
        <f>'D-3 Off-Site Habitat Enhancment'!AU64</f>
        <v>0</v>
      </c>
      <c r="N553" s="534">
        <f>'E-3 Off-Site Hedge Enhancement'!AO65</f>
        <v>0</v>
      </c>
      <c r="AA553" s="1">
        <f>'F-3 Off-Site WaterC Enhancement'!AT62</f>
        <v>0</v>
      </c>
    </row>
    <row r="554" spans="1:27" ht="14.5" hidden="1">
      <c r="A554" s="534">
        <f>'D-3 Off-Site Habitat Enhancment'!AU65</f>
        <v>0</v>
      </c>
      <c r="N554" s="534">
        <f>'E-3 Off-Site Hedge Enhancement'!AO66</f>
        <v>0</v>
      </c>
      <c r="AA554" s="1">
        <f>'F-3 Off-Site WaterC Enhancement'!AT63</f>
        <v>0</v>
      </c>
    </row>
    <row r="555" spans="1:27" ht="14.5" hidden="1">
      <c r="A555" s="534">
        <f>'D-3 Off-Site Habitat Enhancment'!AU66</f>
        <v>0</v>
      </c>
      <c r="N555" s="534">
        <f>'E-3 Off-Site Hedge Enhancement'!AO67</f>
        <v>0</v>
      </c>
      <c r="AA555" s="1">
        <f>'F-3 Off-Site WaterC Enhancement'!AT64</f>
        <v>0</v>
      </c>
    </row>
    <row r="556" spans="1:27" ht="14.5" hidden="1">
      <c r="A556" s="534">
        <f>'D-3 Off-Site Habitat Enhancment'!AU67</f>
        <v>0</v>
      </c>
      <c r="N556" s="534">
        <f>'E-3 Off-Site Hedge Enhancement'!AO68</f>
        <v>0</v>
      </c>
      <c r="AA556" s="1">
        <f>'F-3 Off-Site WaterC Enhancement'!AT65</f>
        <v>0</v>
      </c>
    </row>
    <row r="557" spans="1:27" ht="14.5" hidden="1">
      <c r="A557" s="534">
        <f>'D-3 Off-Site Habitat Enhancment'!AU68</f>
        <v>0</v>
      </c>
      <c r="N557" s="534">
        <f>'E-3 Off-Site Hedge Enhancement'!AO69</f>
        <v>0</v>
      </c>
      <c r="AA557" s="1">
        <f>'F-3 Off-Site WaterC Enhancement'!AT66</f>
        <v>0</v>
      </c>
    </row>
    <row r="558" spans="1:27" ht="14.5" hidden="1">
      <c r="A558" s="534">
        <f>'D-3 Off-Site Habitat Enhancment'!AU69</f>
        <v>0</v>
      </c>
      <c r="N558" s="534">
        <f>'E-3 Off-Site Hedge Enhancement'!AO70</f>
        <v>0</v>
      </c>
      <c r="AA558" s="1">
        <f>'F-3 Off-Site WaterC Enhancement'!AT67</f>
        <v>0</v>
      </c>
    </row>
    <row r="559" spans="1:27" ht="14.5" hidden="1">
      <c r="A559" s="534">
        <f>'D-3 Off-Site Habitat Enhancment'!AU70</f>
        <v>0</v>
      </c>
      <c r="N559" s="534">
        <f>'E-3 Off-Site Hedge Enhancement'!AO71</f>
        <v>0</v>
      </c>
      <c r="AA559" s="1">
        <f>'F-3 Off-Site WaterC Enhancement'!AT68</f>
        <v>0</v>
      </c>
    </row>
    <row r="560" spans="1:27" ht="14.5" hidden="1">
      <c r="A560" s="534">
        <f>'D-3 Off-Site Habitat Enhancment'!AU71</f>
        <v>0</v>
      </c>
      <c r="N560" s="534">
        <f>'E-3 Off-Site Hedge Enhancement'!AO72</f>
        <v>0</v>
      </c>
      <c r="AA560" s="1">
        <f>'F-3 Off-Site WaterC Enhancement'!AT69</f>
        <v>0</v>
      </c>
    </row>
    <row r="561" spans="1:27" ht="14.5" hidden="1">
      <c r="A561" s="534">
        <f>'D-3 Off-Site Habitat Enhancment'!AU72</f>
        <v>0</v>
      </c>
      <c r="N561" s="534">
        <f>'E-3 Off-Site Hedge Enhancement'!AO73</f>
        <v>0</v>
      </c>
      <c r="AA561" s="1">
        <f>'F-3 Off-Site WaterC Enhancement'!AT70</f>
        <v>0</v>
      </c>
    </row>
    <row r="562" spans="1:27" ht="14.5" hidden="1">
      <c r="A562" s="534">
        <f>'D-3 Off-Site Habitat Enhancment'!AU73</f>
        <v>0</v>
      </c>
      <c r="N562" s="534">
        <f>'E-3 Off-Site Hedge Enhancement'!AO74</f>
        <v>0</v>
      </c>
      <c r="AA562" s="1">
        <f>'F-3 Off-Site WaterC Enhancement'!AT71</f>
        <v>0</v>
      </c>
    </row>
    <row r="563" spans="1:27" ht="14.5" hidden="1">
      <c r="A563" s="534">
        <f>'D-3 Off-Site Habitat Enhancment'!AU74</f>
        <v>0</v>
      </c>
      <c r="N563" s="534">
        <f>'E-3 Off-Site Hedge Enhancement'!AO75</f>
        <v>0</v>
      </c>
      <c r="AA563" s="1">
        <f>'F-3 Off-Site WaterC Enhancement'!AT72</f>
        <v>0</v>
      </c>
    </row>
    <row r="564" spans="1:27" ht="14.5" hidden="1">
      <c r="A564" s="534">
        <f>'D-3 Off-Site Habitat Enhancment'!AU75</f>
        <v>0</v>
      </c>
      <c r="N564" s="534">
        <f>'E-3 Off-Site Hedge Enhancement'!AO76</f>
        <v>0</v>
      </c>
      <c r="AA564" s="1">
        <f>'F-3 Off-Site WaterC Enhancement'!AT73</f>
        <v>0</v>
      </c>
    </row>
    <row r="565" spans="1:27" ht="14.5" hidden="1">
      <c r="A565" s="534">
        <f>'D-3 Off-Site Habitat Enhancment'!AU76</f>
        <v>0</v>
      </c>
      <c r="N565" s="534">
        <f>'E-3 Off-Site Hedge Enhancement'!AO77</f>
        <v>0</v>
      </c>
      <c r="AA565" s="1">
        <f>'F-3 Off-Site WaterC Enhancement'!AT74</f>
        <v>0</v>
      </c>
    </row>
    <row r="566" spans="1:27" ht="14.5" hidden="1">
      <c r="A566" s="534">
        <f>'D-3 Off-Site Habitat Enhancment'!AU77</f>
        <v>0</v>
      </c>
      <c r="N566" s="534">
        <f>'E-3 Off-Site Hedge Enhancement'!AO78</f>
        <v>0</v>
      </c>
      <c r="AA566" s="1">
        <f>'F-3 Off-Site WaterC Enhancement'!AT75</f>
        <v>0</v>
      </c>
    </row>
    <row r="567" spans="1:27" ht="14.5" hidden="1">
      <c r="A567" s="534">
        <f>'D-3 Off-Site Habitat Enhancment'!AU78</f>
        <v>0</v>
      </c>
      <c r="N567" s="534">
        <f>'E-3 Off-Site Hedge Enhancement'!AO79</f>
        <v>0</v>
      </c>
      <c r="AA567" s="1">
        <f>'F-3 Off-Site WaterC Enhancement'!AT76</f>
        <v>0</v>
      </c>
    </row>
    <row r="568" spans="1:27" ht="14.5" hidden="1">
      <c r="A568" s="534">
        <f>'D-3 Off-Site Habitat Enhancment'!AU79</f>
        <v>0</v>
      </c>
      <c r="N568" s="534">
        <f>'E-3 Off-Site Hedge Enhancement'!AO80</f>
        <v>0</v>
      </c>
      <c r="AA568" s="1">
        <f>'F-3 Off-Site WaterC Enhancement'!AT77</f>
        <v>0</v>
      </c>
    </row>
    <row r="569" spans="1:27" ht="14.5" hidden="1">
      <c r="A569" s="534">
        <f>'D-3 Off-Site Habitat Enhancment'!AU80</f>
        <v>0</v>
      </c>
      <c r="N569" s="534">
        <f>'E-3 Off-Site Hedge Enhancement'!AO81</f>
        <v>0</v>
      </c>
      <c r="AA569" s="1">
        <f>'F-3 Off-Site WaterC Enhancement'!AT78</f>
        <v>0</v>
      </c>
    </row>
    <row r="570" spans="1:27" ht="14.5" hidden="1">
      <c r="A570" s="534">
        <f>'D-3 Off-Site Habitat Enhancment'!AU81</f>
        <v>0</v>
      </c>
      <c r="N570" s="534">
        <f>'E-3 Off-Site Hedge Enhancement'!AO82</f>
        <v>0</v>
      </c>
      <c r="AA570" s="1">
        <f>'F-3 Off-Site WaterC Enhancement'!AT79</f>
        <v>0</v>
      </c>
    </row>
    <row r="571" spans="1:27" ht="14.5" hidden="1">
      <c r="A571" s="534">
        <f>'D-3 Off-Site Habitat Enhancment'!AU82</f>
        <v>0</v>
      </c>
      <c r="N571" s="534">
        <f>'E-3 Off-Site Hedge Enhancement'!AO83</f>
        <v>0</v>
      </c>
      <c r="AA571" s="1">
        <f>'F-3 Off-Site WaterC Enhancement'!AT80</f>
        <v>0</v>
      </c>
    </row>
    <row r="572" spans="1:27" ht="14.5" hidden="1">
      <c r="A572" s="534">
        <f>'D-3 Off-Site Habitat Enhancment'!AU83</f>
        <v>0</v>
      </c>
      <c r="N572" s="534">
        <f>'E-3 Off-Site Hedge Enhancement'!AO84</f>
        <v>0</v>
      </c>
      <c r="AA572" s="1">
        <f>'F-3 Off-Site WaterC Enhancement'!AT81</f>
        <v>0</v>
      </c>
    </row>
    <row r="573" spans="1:27" ht="14.5" hidden="1">
      <c r="A573" s="534">
        <f>'D-3 Off-Site Habitat Enhancment'!AU84</f>
        <v>0</v>
      </c>
      <c r="N573" s="534">
        <f>'E-3 Off-Site Hedge Enhancement'!AO85</f>
        <v>0</v>
      </c>
      <c r="AA573" s="1">
        <f>'F-3 Off-Site WaterC Enhancement'!AT82</f>
        <v>0</v>
      </c>
    </row>
    <row r="574" spans="1:27" ht="14.5" hidden="1">
      <c r="A574" s="534">
        <f>'D-3 Off-Site Habitat Enhancment'!AU85</f>
        <v>0</v>
      </c>
      <c r="N574" s="534">
        <f>'E-3 Off-Site Hedge Enhancement'!AO86</f>
        <v>0</v>
      </c>
      <c r="AA574" s="1">
        <f>'F-3 Off-Site WaterC Enhancement'!AT83</f>
        <v>0</v>
      </c>
    </row>
    <row r="575" spans="1:27" ht="14.5" hidden="1">
      <c r="A575" s="534">
        <f>'D-3 Off-Site Habitat Enhancment'!AU86</f>
        <v>0</v>
      </c>
      <c r="N575" s="534">
        <f>'E-3 Off-Site Hedge Enhancement'!AO87</f>
        <v>0</v>
      </c>
      <c r="AA575" s="1">
        <f>'F-3 Off-Site WaterC Enhancement'!AT84</f>
        <v>0</v>
      </c>
    </row>
    <row r="576" spans="1:27" ht="14.5" hidden="1">
      <c r="A576" s="534">
        <f>'D-3 Off-Site Habitat Enhancment'!AU87</f>
        <v>0</v>
      </c>
      <c r="N576" s="534">
        <f>'E-3 Off-Site Hedge Enhancement'!AO88</f>
        <v>0</v>
      </c>
      <c r="AA576" s="1">
        <f>'F-3 Off-Site WaterC Enhancement'!AT85</f>
        <v>0</v>
      </c>
    </row>
    <row r="577" spans="1:27" ht="14.5" hidden="1">
      <c r="A577" s="534">
        <f>'D-3 Off-Site Habitat Enhancment'!AU88</f>
        <v>0</v>
      </c>
      <c r="N577" s="534">
        <f>'E-3 Off-Site Hedge Enhancement'!AO89</f>
        <v>0</v>
      </c>
      <c r="AA577" s="1">
        <f>'F-3 Off-Site WaterC Enhancement'!AT86</f>
        <v>0</v>
      </c>
    </row>
    <row r="578" spans="1:27" ht="14.5" hidden="1">
      <c r="A578" s="534">
        <f>'D-3 Off-Site Habitat Enhancment'!AU89</f>
        <v>0</v>
      </c>
      <c r="N578" s="534">
        <f>'E-3 Off-Site Hedge Enhancement'!AO90</f>
        <v>0</v>
      </c>
      <c r="AA578" s="1">
        <f>'F-3 Off-Site WaterC Enhancement'!AT87</f>
        <v>0</v>
      </c>
    </row>
    <row r="579" spans="1:27" ht="14.5" hidden="1">
      <c r="A579" s="534">
        <f>'D-3 Off-Site Habitat Enhancment'!AU90</f>
        <v>0</v>
      </c>
      <c r="N579" s="534">
        <f>'E-3 Off-Site Hedge Enhancement'!AO91</f>
        <v>0</v>
      </c>
      <c r="AA579" s="1">
        <f>'F-3 Off-Site WaterC Enhancement'!AT88</f>
        <v>0</v>
      </c>
    </row>
    <row r="580" spans="1:27" ht="14.5" hidden="1">
      <c r="A580" s="534">
        <f>'D-3 Off-Site Habitat Enhancment'!AU91</f>
        <v>0</v>
      </c>
      <c r="N580" s="534">
        <f>'E-3 Off-Site Hedge Enhancement'!AO92</f>
        <v>0</v>
      </c>
      <c r="AA580" s="1">
        <f>'F-3 Off-Site WaterC Enhancement'!AT89</f>
        <v>0</v>
      </c>
    </row>
    <row r="581" spans="1:27" ht="14.5" hidden="1">
      <c r="A581" s="534">
        <f>'D-3 Off-Site Habitat Enhancment'!AU92</f>
        <v>0</v>
      </c>
      <c r="N581" s="534">
        <f>'E-3 Off-Site Hedge Enhancement'!AO93</f>
        <v>0</v>
      </c>
      <c r="AA581" s="1">
        <f>'F-3 Off-Site WaterC Enhancement'!AT90</f>
        <v>0</v>
      </c>
    </row>
    <row r="582" spans="1:27" ht="14.5" hidden="1">
      <c r="A582" s="534">
        <f>'D-3 Off-Site Habitat Enhancment'!AU93</f>
        <v>0</v>
      </c>
      <c r="N582" s="534">
        <f>'E-3 Off-Site Hedge Enhancement'!AO94</f>
        <v>0</v>
      </c>
      <c r="AA582" s="1">
        <f>'F-3 Off-Site WaterC Enhancement'!AT91</f>
        <v>0</v>
      </c>
    </row>
    <row r="583" spans="1:27" ht="14.5" hidden="1">
      <c r="A583" s="534">
        <f>'D-3 Off-Site Habitat Enhancment'!AU94</f>
        <v>0</v>
      </c>
      <c r="N583" s="534">
        <f>'E-3 Off-Site Hedge Enhancement'!AO95</f>
        <v>0</v>
      </c>
      <c r="AA583" s="1">
        <f>'F-3 Off-Site WaterC Enhancement'!AT92</f>
        <v>0</v>
      </c>
    </row>
    <row r="584" spans="1:27" ht="14.5" hidden="1">
      <c r="A584" s="534">
        <f>'D-3 Off-Site Habitat Enhancment'!AU95</f>
        <v>0</v>
      </c>
      <c r="N584" s="534">
        <f>'E-3 Off-Site Hedge Enhancement'!AO96</f>
        <v>0</v>
      </c>
      <c r="AA584" s="1">
        <f>'F-3 Off-Site WaterC Enhancement'!AT93</f>
        <v>0</v>
      </c>
    </row>
    <row r="585" spans="1:27" ht="14.5" hidden="1">
      <c r="A585" s="534">
        <f>'D-3 Off-Site Habitat Enhancment'!AU96</f>
        <v>0</v>
      </c>
      <c r="N585" s="534">
        <f>'E-3 Off-Site Hedge Enhancement'!AO97</f>
        <v>0</v>
      </c>
      <c r="AA585" s="1">
        <f>'F-3 Off-Site WaterC Enhancement'!AT94</f>
        <v>0</v>
      </c>
    </row>
    <row r="586" spans="1:27" ht="14.5" hidden="1">
      <c r="A586" s="534">
        <f>'D-3 Off-Site Habitat Enhancment'!AU97</f>
        <v>0</v>
      </c>
      <c r="N586" s="534">
        <f>'E-3 Off-Site Hedge Enhancement'!AO98</f>
        <v>0</v>
      </c>
      <c r="AA586" s="1">
        <f>'F-3 Off-Site WaterC Enhancement'!AT95</f>
        <v>0</v>
      </c>
    </row>
    <row r="587" spans="1:27" ht="14.5" hidden="1">
      <c r="A587" s="534">
        <f>'D-3 Off-Site Habitat Enhancment'!AU98</f>
        <v>0</v>
      </c>
      <c r="N587" s="534">
        <f>'E-3 Off-Site Hedge Enhancement'!AO99</f>
        <v>0</v>
      </c>
      <c r="AA587" s="1">
        <f>'F-3 Off-Site WaterC Enhancement'!AT96</f>
        <v>0</v>
      </c>
    </row>
    <row r="588" spans="1:27" ht="14.5" hidden="1">
      <c r="A588" s="534">
        <f>'D-3 Off-Site Habitat Enhancment'!AU99</f>
        <v>0</v>
      </c>
      <c r="N588" s="534">
        <f>'E-3 Off-Site Hedge Enhancement'!AO100</f>
        <v>0</v>
      </c>
      <c r="AA588" s="1">
        <f>'F-3 Off-Site WaterC Enhancement'!AT97</f>
        <v>0</v>
      </c>
    </row>
    <row r="589" spans="1:27" ht="14.5" hidden="1">
      <c r="A589" s="534">
        <f>'D-3 Off-Site Habitat Enhancment'!AU100</f>
        <v>0</v>
      </c>
      <c r="N589" s="534">
        <f>'E-3 Off-Site Hedge Enhancement'!AO101</f>
        <v>0</v>
      </c>
      <c r="AA589" s="1">
        <f>'F-3 Off-Site WaterC Enhancement'!AT98</f>
        <v>0</v>
      </c>
    </row>
    <row r="590" spans="1:27" ht="14.5" hidden="1">
      <c r="A590" s="534">
        <f>'D-3 Off-Site Habitat Enhancment'!AU101</f>
        <v>0</v>
      </c>
      <c r="N590" s="534">
        <f>'E-3 Off-Site Hedge Enhancement'!AO102</f>
        <v>0</v>
      </c>
      <c r="AA590" s="1">
        <f>'F-3 Off-Site WaterC Enhancement'!AT99</f>
        <v>0</v>
      </c>
    </row>
    <row r="591" spans="1:27" ht="14.5" hidden="1">
      <c r="A591" s="534">
        <f>'D-3 Off-Site Habitat Enhancment'!AU102</f>
        <v>0</v>
      </c>
      <c r="N591" s="534">
        <f>'E-3 Off-Site Hedge Enhancement'!AO103</f>
        <v>0</v>
      </c>
      <c r="AA591" s="1">
        <f>'F-3 Off-Site WaterC Enhancement'!AT100</f>
        <v>0</v>
      </c>
    </row>
    <row r="592" spans="1:27" ht="14.5" hidden="1">
      <c r="A592" s="534">
        <f>'D-3 Off-Site Habitat Enhancment'!AU103</f>
        <v>0</v>
      </c>
      <c r="N592" s="534">
        <f>'E-3 Off-Site Hedge Enhancement'!AO104</f>
        <v>0</v>
      </c>
      <c r="AA592" s="1">
        <f>'F-3 Off-Site WaterC Enhancement'!AT101</f>
        <v>0</v>
      </c>
    </row>
    <row r="593" spans="1:27" ht="14.5" hidden="1">
      <c r="A593" s="534">
        <f>'D-3 Off-Site Habitat Enhancment'!AU104</f>
        <v>0</v>
      </c>
      <c r="N593" s="534">
        <f>'E-3 Off-Site Hedge Enhancement'!AO105</f>
        <v>0</v>
      </c>
      <c r="AA593" s="1">
        <f>'F-3 Off-Site WaterC Enhancement'!AT102</f>
        <v>0</v>
      </c>
    </row>
    <row r="594" spans="1:27" ht="14.5" hidden="1">
      <c r="A594" s="534">
        <f>'D-3 Off-Site Habitat Enhancment'!AU105</f>
        <v>0</v>
      </c>
      <c r="N594" s="534">
        <f>'E-3 Off-Site Hedge Enhancement'!AO106</f>
        <v>0</v>
      </c>
      <c r="AA594" s="1">
        <f>'F-3 Off-Site WaterC Enhancement'!AT103</f>
        <v>0</v>
      </c>
    </row>
    <row r="595" spans="1:27" ht="14.5" hidden="1">
      <c r="A595" s="534">
        <f>'D-3 Off-Site Habitat Enhancment'!AU106</f>
        <v>0</v>
      </c>
      <c r="N595" s="534">
        <f>'E-3 Off-Site Hedge Enhancement'!AO107</f>
        <v>0</v>
      </c>
      <c r="AA595" s="1">
        <f>'F-3 Off-Site WaterC Enhancement'!AT104</f>
        <v>0</v>
      </c>
    </row>
    <row r="596" spans="1:27" ht="14.5" hidden="1">
      <c r="A596" s="534">
        <f>'D-3 Off-Site Habitat Enhancment'!AU107</f>
        <v>0</v>
      </c>
      <c r="N596" s="534">
        <f>'E-3 Off-Site Hedge Enhancement'!AO108</f>
        <v>0</v>
      </c>
      <c r="AA596" s="1">
        <f>'F-3 Off-Site WaterC Enhancement'!AT105</f>
        <v>0</v>
      </c>
    </row>
    <row r="597" spans="1:27" ht="14.5" hidden="1">
      <c r="A597" s="534">
        <f>'D-3 Off-Site Habitat Enhancment'!AU108</f>
        <v>0</v>
      </c>
      <c r="N597" s="534">
        <f>'E-3 Off-Site Hedge Enhancement'!AO109</f>
        <v>0</v>
      </c>
      <c r="AA597" s="1">
        <f>'F-3 Off-Site WaterC Enhancement'!AT106</f>
        <v>0</v>
      </c>
    </row>
    <row r="598" spans="1:27" ht="14.5" hidden="1">
      <c r="A598" s="534">
        <f>'D-3 Off-Site Habitat Enhancment'!AU109</f>
        <v>0</v>
      </c>
      <c r="N598" s="534">
        <f>'E-3 Off-Site Hedge Enhancement'!AO110</f>
        <v>0</v>
      </c>
      <c r="AA598" s="1">
        <f>'F-3 Off-Site WaterC Enhancement'!AT107</f>
        <v>0</v>
      </c>
    </row>
    <row r="599" spans="1:27" ht="14.5" hidden="1">
      <c r="A599" s="534">
        <f>'D-3 Off-Site Habitat Enhancment'!AU110</f>
        <v>0</v>
      </c>
      <c r="N599" s="534">
        <f>'E-3 Off-Site Hedge Enhancement'!AO111</f>
        <v>0</v>
      </c>
      <c r="AA599" s="1">
        <f>'F-3 Off-Site WaterC Enhancement'!AT108</f>
        <v>0</v>
      </c>
    </row>
    <row r="600" spans="1:27" ht="14.5" hidden="1">
      <c r="A600" s="534">
        <f>'D-3 Off-Site Habitat Enhancment'!AU111</f>
        <v>0</v>
      </c>
      <c r="N600" s="534">
        <f>'E-3 Off-Site Hedge Enhancement'!AO112</f>
        <v>0</v>
      </c>
      <c r="AA600" s="1">
        <f>'F-3 Off-Site WaterC Enhancement'!AT109</f>
        <v>0</v>
      </c>
    </row>
    <row r="601" spans="1:27" ht="14.5" hidden="1">
      <c r="A601" s="534">
        <f>'D-3 Off-Site Habitat Enhancment'!AU112</f>
        <v>0</v>
      </c>
      <c r="N601" s="534">
        <f>'E-3 Off-Site Hedge Enhancement'!AO113</f>
        <v>0</v>
      </c>
      <c r="AA601" s="1">
        <f>'F-3 Off-Site WaterC Enhancement'!AT110</f>
        <v>0</v>
      </c>
    </row>
    <row r="602" spans="1:27" ht="14.5" hidden="1">
      <c r="A602" s="534">
        <f>'D-3 Off-Site Habitat Enhancment'!AU113</f>
        <v>0</v>
      </c>
      <c r="N602" s="534">
        <f>'E-3 Off-Site Hedge Enhancement'!AO114</f>
        <v>0</v>
      </c>
      <c r="AA602" s="1">
        <f>'F-3 Off-Site WaterC Enhancement'!AT111</f>
        <v>0</v>
      </c>
    </row>
    <row r="603" spans="1:27" ht="14.5" hidden="1">
      <c r="A603" s="534">
        <f>'D-3 Off-Site Habitat Enhancment'!AU114</f>
        <v>0</v>
      </c>
      <c r="N603" s="534">
        <f>'E-3 Off-Site Hedge Enhancement'!AO115</f>
        <v>0</v>
      </c>
      <c r="AA603" s="1">
        <f>'F-3 Off-Site WaterC Enhancement'!AT112</f>
        <v>0</v>
      </c>
    </row>
    <row r="604" spans="1:27" ht="14.5" hidden="1">
      <c r="A604" s="534">
        <f>'D-3 Off-Site Habitat Enhancment'!AU115</f>
        <v>0</v>
      </c>
      <c r="N604" s="534">
        <f>'E-3 Off-Site Hedge Enhancement'!AO116</f>
        <v>0</v>
      </c>
      <c r="AA604" s="1">
        <f>'F-3 Off-Site WaterC Enhancement'!AT113</f>
        <v>0</v>
      </c>
    </row>
    <row r="605" spans="1:27" ht="14.5" hidden="1">
      <c r="A605" s="534">
        <f>'D-3 Off-Site Habitat Enhancment'!AU116</f>
        <v>0</v>
      </c>
      <c r="N605" s="534">
        <f>'E-3 Off-Site Hedge Enhancement'!AO117</f>
        <v>0</v>
      </c>
      <c r="AA605" s="1">
        <f>'F-3 Off-Site WaterC Enhancement'!AT114</f>
        <v>0</v>
      </c>
    </row>
    <row r="606" spans="1:27" ht="14.5" hidden="1">
      <c r="A606" s="534">
        <f>'D-3 Off-Site Habitat Enhancment'!AU117</f>
        <v>0</v>
      </c>
      <c r="N606" s="534">
        <f>'E-3 Off-Site Hedge Enhancement'!AO118</f>
        <v>0</v>
      </c>
      <c r="AA606" s="1">
        <f>'F-3 Off-Site WaterC Enhancement'!AT115</f>
        <v>0</v>
      </c>
    </row>
    <row r="607" spans="1:27" ht="14.5" hidden="1">
      <c r="A607" s="534">
        <f>'D-3 Off-Site Habitat Enhancment'!AU118</f>
        <v>0</v>
      </c>
      <c r="N607" s="534">
        <f>'E-3 Off-Site Hedge Enhancement'!AO119</f>
        <v>0</v>
      </c>
      <c r="AA607" s="1">
        <f>'F-3 Off-Site WaterC Enhancement'!AT116</f>
        <v>0</v>
      </c>
    </row>
    <row r="608" spans="1:27" ht="14.5" hidden="1">
      <c r="A608" s="534">
        <f>'D-3 Off-Site Habitat Enhancment'!AU119</f>
        <v>0</v>
      </c>
      <c r="N608" s="534">
        <f>'E-3 Off-Site Hedge Enhancement'!AO120</f>
        <v>0</v>
      </c>
      <c r="AA608" s="1">
        <f>'F-3 Off-Site WaterC Enhancement'!AT117</f>
        <v>0</v>
      </c>
    </row>
    <row r="609" spans="1:27" ht="14.5" hidden="1">
      <c r="A609" s="534">
        <f>'D-3 Off-Site Habitat Enhancment'!AU120</f>
        <v>0</v>
      </c>
      <c r="N609" s="534">
        <f>'E-3 Off-Site Hedge Enhancement'!AO121</f>
        <v>0</v>
      </c>
      <c r="AA609" s="1">
        <f>'F-3 Off-Site WaterC Enhancement'!AT118</f>
        <v>0</v>
      </c>
    </row>
    <row r="610" spans="1:27" ht="14.5" hidden="1">
      <c r="A610" s="534">
        <f>'D-3 Off-Site Habitat Enhancment'!AU121</f>
        <v>0</v>
      </c>
      <c r="N610" s="534">
        <f>'E-3 Off-Site Hedge Enhancement'!AO122</f>
        <v>0</v>
      </c>
      <c r="AA610" s="1">
        <f>'F-3 Off-Site WaterC Enhancement'!AT119</f>
        <v>0</v>
      </c>
    </row>
    <row r="611" spans="1:27" ht="14.5" hidden="1">
      <c r="A611" s="534">
        <f>'D-3 Off-Site Habitat Enhancment'!AU122</f>
        <v>0</v>
      </c>
      <c r="N611" s="534">
        <f>'E-3 Off-Site Hedge Enhancement'!AO123</f>
        <v>0</v>
      </c>
      <c r="AA611" s="1">
        <f>'F-3 Off-Site WaterC Enhancement'!AT120</f>
        <v>0</v>
      </c>
    </row>
    <row r="612" spans="1:27" ht="14.5" hidden="1">
      <c r="A612" s="534">
        <f>'D-3 Off-Site Habitat Enhancment'!AU123</f>
        <v>0</v>
      </c>
      <c r="N612" s="534">
        <f>'E-3 Off-Site Hedge Enhancement'!AO124</f>
        <v>0</v>
      </c>
      <c r="AA612" s="1">
        <f>'F-3 Off-Site WaterC Enhancement'!AT121</f>
        <v>0</v>
      </c>
    </row>
    <row r="613" spans="1:27" ht="14.5" hidden="1">
      <c r="A613" s="534">
        <f>'D-3 Off-Site Habitat Enhancment'!AU124</f>
        <v>0</v>
      </c>
      <c r="N613" s="534">
        <f>'E-3 Off-Site Hedge Enhancement'!AO125</f>
        <v>0</v>
      </c>
      <c r="AA613" s="1">
        <f>'F-3 Off-Site WaterC Enhancement'!AT122</f>
        <v>0</v>
      </c>
    </row>
    <row r="614" spans="1:27" ht="14.5" hidden="1">
      <c r="A614" s="534">
        <f>'D-3 Off-Site Habitat Enhancment'!AU125</f>
        <v>0</v>
      </c>
      <c r="N614" s="534">
        <f>'E-3 Off-Site Hedge Enhancement'!AO126</f>
        <v>0</v>
      </c>
      <c r="AA614" s="1">
        <f>'F-3 Off-Site WaterC Enhancement'!AT123</f>
        <v>0</v>
      </c>
    </row>
    <row r="615" spans="1:27" ht="14.5" hidden="1">
      <c r="A615" s="534">
        <f>'D-3 Off-Site Habitat Enhancment'!AU126</f>
        <v>0</v>
      </c>
      <c r="N615" s="534">
        <f>'E-3 Off-Site Hedge Enhancement'!AO127</f>
        <v>0</v>
      </c>
      <c r="AA615" s="1">
        <f>'F-3 Off-Site WaterC Enhancement'!AT124</f>
        <v>0</v>
      </c>
    </row>
    <row r="616" spans="1:27" ht="14.5" hidden="1">
      <c r="A616" s="534">
        <f>'D-3 Off-Site Habitat Enhancment'!AU127</f>
        <v>0</v>
      </c>
      <c r="N616" s="534">
        <f>'E-3 Off-Site Hedge Enhancement'!AO128</f>
        <v>0</v>
      </c>
      <c r="AA616" s="1">
        <f>'F-3 Off-Site WaterC Enhancement'!AT125</f>
        <v>0</v>
      </c>
    </row>
    <row r="617" spans="1:27" ht="14.5" hidden="1">
      <c r="A617" s="534">
        <f>'D-3 Off-Site Habitat Enhancment'!AU128</f>
        <v>0</v>
      </c>
      <c r="N617" s="534">
        <f>'E-3 Off-Site Hedge Enhancement'!AO129</f>
        <v>0</v>
      </c>
      <c r="AA617" s="1">
        <f>'F-3 Off-Site WaterC Enhancement'!AT126</f>
        <v>0</v>
      </c>
    </row>
    <row r="618" spans="1:27" ht="14.5" hidden="1">
      <c r="A618" s="534">
        <f>'D-3 Off-Site Habitat Enhancment'!AU129</f>
        <v>0</v>
      </c>
      <c r="N618" s="534">
        <f>'E-3 Off-Site Hedge Enhancement'!AO130</f>
        <v>0</v>
      </c>
      <c r="AA618" s="1">
        <f>'F-3 Off-Site WaterC Enhancement'!AT127</f>
        <v>0</v>
      </c>
    </row>
    <row r="619" spans="1:27" ht="14.5" hidden="1">
      <c r="A619" s="534">
        <f>'D-3 Off-Site Habitat Enhancment'!AU130</f>
        <v>0</v>
      </c>
      <c r="N619" s="534">
        <f>'E-3 Off-Site Hedge Enhancement'!AO131</f>
        <v>0</v>
      </c>
      <c r="AA619" s="1">
        <f>'F-3 Off-Site WaterC Enhancement'!AT128</f>
        <v>0</v>
      </c>
    </row>
    <row r="620" spans="1:27" ht="14.5" hidden="1">
      <c r="A620" s="534">
        <f>'D-3 Off-Site Habitat Enhancment'!AU131</f>
        <v>0</v>
      </c>
      <c r="N620" s="534">
        <f>'E-3 Off-Site Hedge Enhancement'!AO132</f>
        <v>0</v>
      </c>
      <c r="AA620" s="1">
        <f>'F-3 Off-Site WaterC Enhancement'!AT129</f>
        <v>0</v>
      </c>
    </row>
    <row r="621" spans="1:27" ht="14.5" hidden="1">
      <c r="A621" s="534">
        <f>'D-3 Off-Site Habitat Enhancment'!AU132</f>
        <v>0</v>
      </c>
      <c r="N621" s="534">
        <f>'E-3 Off-Site Hedge Enhancement'!AO133</f>
        <v>0</v>
      </c>
      <c r="AA621" s="1">
        <f>'F-3 Off-Site WaterC Enhancement'!AT130</f>
        <v>0</v>
      </c>
    </row>
    <row r="622" spans="1:27" ht="14.5" hidden="1">
      <c r="A622" s="534">
        <f>'D-3 Off-Site Habitat Enhancment'!AU133</f>
        <v>0</v>
      </c>
      <c r="N622" s="534">
        <f>'E-3 Off-Site Hedge Enhancement'!AO134</f>
        <v>0</v>
      </c>
      <c r="AA622" s="1">
        <f>'F-3 Off-Site WaterC Enhancement'!AT131</f>
        <v>0</v>
      </c>
    </row>
    <row r="623" spans="1:27" ht="14.5" hidden="1">
      <c r="A623" s="534">
        <f>'D-3 Off-Site Habitat Enhancment'!AU134</f>
        <v>0</v>
      </c>
      <c r="N623" s="534">
        <f>'E-3 Off-Site Hedge Enhancement'!AO135</f>
        <v>0</v>
      </c>
      <c r="AA623" s="1">
        <f>'F-3 Off-Site WaterC Enhancement'!AT132</f>
        <v>0</v>
      </c>
    </row>
    <row r="624" spans="1:27" ht="14.5" hidden="1">
      <c r="A624" s="534">
        <f>'D-3 Off-Site Habitat Enhancment'!AU135</f>
        <v>0</v>
      </c>
      <c r="N624" s="534">
        <f>'E-3 Off-Site Hedge Enhancement'!AO136</f>
        <v>0</v>
      </c>
      <c r="AA624" s="1">
        <f>'F-3 Off-Site WaterC Enhancement'!AT133</f>
        <v>0</v>
      </c>
    </row>
    <row r="625" spans="1:27" ht="14.5" hidden="1">
      <c r="A625" s="534">
        <f>'D-3 Off-Site Habitat Enhancment'!AU136</f>
        <v>0</v>
      </c>
      <c r="N625" s="534">
        <f>'E-3 Off-Site Hedge Enhancement'!AO137</f>
        <v>0</v>
      </c>
      <c r="AA625" s="1">
        <f>'F-3 Off-Site WaterC Enhancement'!AT134</f>
        <v>0</v>
      </c>
    </row>
    <row r="626" spans="1:27" ht="14.5" hidden="1">
      <c r="A626" s="534">
        <f>'D-3 Off-Site Habitat Enhancment'!AU137</f>
        <v>0</v>
      </c>
      <c r="N626" s="534">
        <f>'E-3 Off-Site Hedge Enhancement'!AO138</f>
        <v>0</v>
      </c>
      <c r="AA626" s="1">
        <f>'F-3 Off-Site WaterC Enhancement'!AT135</f>
        <v>0</v>
      </c>
    </row>
    <row r="627" spans="1:27" ht="14.5" hidden="1">
      <c r="A627" s="534">
        <f>'D-3 Off-Site Habitat Enhancment'!AU138</f>
        <v>0</v>
      </c>
      <c r="N627" s="534">
        <f>'E-3 Off-Site Hedge Enhancement'!AO139</f>
        <v>0</v>
      </c>
      <c r="AA627" s="1">
        <f>'F-3 Off-Site WaterC Enhancement'!AT136</f>
        <v>0</v>
      </c>
    </row>
    <row r="628" spans="1:27" ht="14.5" hidden="1">
      <c r="A628" s="534">
        <f>'D-3 Off-Site Habitat Enhancment'!AU139</f>
        <v>0</v>
      </c>
      <c r="N628" s="534">
        <f>'E-3 Off-Site Hedge Enhancement'!AO140</f>
        <v>0</v>
      </c>
      <c r="AA628" s="1">
        <f>'F-3 Off-Site WaterC Enhancement'!AT137</f>
        <v>0</v>
      </c>
    </row>
    <row r="629" spans="1:27" ht="14.5" hidden="1">
      <c r="A629" s="534">
        <f>'D-3 Off-Site Habitat Enhancment'!AU140</f>
        <v>0</v>
      </c>
      <c r="N629" s="534">
        <f>'E-3 Off-Site Hedge Enhancement'!AO141</f>
        <v>0</v>
      </c>
      <c r="AA629" s="1">
        <f>'F-3 Off-Site WaterC Enhancement'!AT138</f>
        <v>0</v>
      </c>
    </row>
    <row r="630" spans="1:27" ht="14.5" hidden="1">
      <c r="A630" s="534">
        <f>'D-3 Off-Site Habitat Enhancment'!AU141</f>
        <v>0</v>
      </c>
      <c r="N630" s="534">
        <f>'E-3 Off-Site Hedge Enhancement'!AO142</f>
        <v>0</v>
      </c>
      <c r="AA630" s="1">
        <f>'F-3 Off-Site WaterC Enhancement'!AT139</f>
        <v>0</v>
      </c>
    </row>
    <row r="631" spans="1:27" ht="14.5" hidden="1">
      <c r="A631" s="534">
        <f>'D-3 Off-Site Habitat Enhancment'!AU142</f>
        <v>0</v>
      </c>
      <c r="N631" s="534">
        <f>'E-3 Off-Site Hedge Enhancement'!AO143</f>
        <v>0</v>
      </c>
      <c r="AA631" s="1">
        <f>'F-3 Off-Site WaterC Enhancement'!AT140</f>
        <v>0</v>
      </c>
    </row>
    <row r="632" spans="1:27" ht="14.5" hidden="1">
      <c r="A632" s="534">
        <f>'D-3 Off-Site Habitat Enhancment'!AU143</f>
        <v>0</v>
      </c>
      <c r="N632" s="534">
        <f>'E-3 Off-Site Hedge Enhancement'!AO144</f>
        <v>0</v>
      </c>
      <c r="AA632" s="1">
        <f>'F-3 Off-Site WaterC Enhancement'!AT141</f>
        <v>0</v>
      </c>
    </row>
    <row r="633" spans="1:27" ht="14.5" hidden="1">
      <c r="A633" s="534">
        <f>'D-3 Off-Site Habitat Enhancment'!AU144</f>
        <v>0</v>
      </c>
      <c r="N633" s="534">
        <f>'E-3 Off-Site Hedge Enhancement'!AO145</f>
        <v>0</v>
      </c>
      <c r="AA633" s="1">
        <f>'F-3 Off-Site WaterC Enhancement'!AT142</f>
        <v>0</v>
      </c>
    </row>
    <row r="634" spans="1:27" ht="14.5" hidden="1">
      <c r="A634" s="534">
        <f>'D-3 Off-Site Habitat Enhancment'!AU145</f>
        <v>0</v>
      </c>
      <c r="N634" s="534">
        <f>'E-3 Off-Site Hedge Enhancement'!AO146</f>
        <v>0</v>
      </c>
      <c r="AA634" s="1">
        <f>'F-3 Off-Site WaterC Enhancement'!AT143</f>
        <v>0</v>
      </c>
    </row>
    <row r="635" spans="1:27" ht="14.5" hidden="1">
      <c r="A635" s="534">
        <f>'D-3 Off-Site Habitat Enhancment'!AU146</f>
        <v>0</v>
      </c>
      <c r="N635" s="534">
        <f>'E-3 Off-Site Hedge Enhancement'!AO147</f>
        <v>0</v>
      </c>
      <c r="AA635" s="1">
        <f>'F-3 Off-Site WaterC Enhancement'!AT144</f>
        <v>0</v>
      </c>
    </row>
    <row r="636" spans="1:27" ht="14.5" hidden="1">
      <c r="A636" s="534">
        <f>'D-3 Off-Site Habitat Enhancment'!AU147</f>
        <v>0</v>
      </c>
      <c r="N636" s="534">
        <f>'E-3 Off-Site Hedge Enhancement'!AO148</f>
        <v>0</v>
      </c>
      <c r="AA636" s="1">
        <f>'F-3 Off-Site WaterC Enhancement'!AT145</f>
        <v>0</v>
      </c>
    </row>
    <row r="637" spans="1:27" ht="14.5" hidden="1">
      <c r="A637" s="534">
        <f>'D-3 Off-Site Habitat Enhancment'!AU148</f>
        <v>0</v>
      </c>
      <c r="N637" s="534">
        <f>'E-3 Off-Site Hedge Enhancement'!AO149</f>
        <v>0</v>
      </c>
      <c r="AA637" s="1">
        <f>'F-3 Off-Site WaterC Enhancement'!AT146</f>
        <v>0</v>
      </c>
    </row>
    <row r="638" spans="1:27" ht="14.5" hidden="1">
      <c r="A638" s="534">
        <f>'D-3 Off-Site Habitat Enhancment'!AU149</f>
        <v>0</v>
      </c>
      <c r="N638" s="534">
        <f>'E-3 Off-Site Hedge Enhancement'!AO150</f>
        <v>0</v>
      </c>
      <c r="AA638" s="1">
        <f>'F-3 Off-Site WaterC Enhancement'!AT147</f>
        <v>0</v>
      </c>
    </row>
    <row r="639" spans="1:27" ht="14.5" hidden="1">
      <c r="A639" s="534">
        <f>'D-3 Off-Site Habitat Enhancment'!AU150</f>
        <v>0</v>
      </c>
      <c r="N639" s="534">
        <f>'E-3 Off-Site Hedge Enhancement'!AO151</f>
        <v>0</v>
      </c>
      <c r="AA639" s="1">
        <f>'F-3 Off-Site WaterC Enhancement'!AT148</f>
        <v>0</v>
      </c>
    </row>
    <row r="640" spans="1:27" ht="14.5" hidden="1">
      <c r="A640" s="534">
        <f>'D-3 Off-Site Habitat Enhancment'!AU151</f>
        <v>0</v>
      </c>
      <c r="N640" s="534">
        <f>'E-3 Off-Site Hedge Enhancement'!AO152</f>
        <v>0</v>
      </c>
      <c r="AA640" s="1">
        <f>'F-3 Off-Site WaterC Enhancement'!AT149</f>
        <v>0</v>
      </c>
    </row>
    <row r="641" spans="1:27" ht="14.5" hidden="1">
      <c r="A641" s="534">
        <f>'D-3 Off-Site Habitat Enhancment'!AU152</f>
        <v>0</v>
      </c>
      <c r="N641" s="534">
        <f>'E-3 Off-Site Hedge Enhancement'!AO153</f>
        <v>0</v>
      </c>
      <c r="AA641" s="1">
        <f>'F-3 Off-Site WaterC Enhancement'!AT150</f>
        <v>0</v>
      </c>
    </row>
    <row r="642" spans="1:27" ht="14.5" hidden="1">
      <c r="A642" s="534">
        <f>'D-3 Off-Site Habitat Enhancment'!AU153</f>
        <v>0</v>
      </c>
      <c r="N642" s="534">
        <f>'E-3 Off-Site Hedge Enhancement'!AO154</f>
        <v>0</v>
      </c>
      <c r="AA642" s="1">
        <f>'F-3 Off-Site WaterC Enhancement'!AT151</f>
        <v>0</v>
      </c>
    </row>
    <row r="643" spans="1:27" ht="14.5" hidden="1">
      <c r="A643" s="534">
        <f>'D-3 Off-Site Habitat Enhancment'!AU154</f>
        <v>0</v>
      </c>
      <c r="N643" s="534">
        <f>'E-3 Off-Site Hedge Enhancement'!AO155</f>
        <v>0</v>
      </c>
      <c r="AA643" s="1">
        <f>'F-3 Off-Site WaterC Enhancement'!AT152</f>
        <v>0</v>
      </c>
    </row>
    <row r="644" spans="1:27" ht="14.5" hidden="1">
      <c r="A644" s="534">
        <f>'D-3 Off-Site Habitat Enhancment'!AU155</f>
        <v>0</v>
      </c>
      <c r="N644" s="534">
        <f>'E-3 Off-Site Hedge Enhancement'!AO156</f>
        <v>0</v>
      </c>
      <c r="AA644" s="1">
        <f>'F-3 Off-Site WaterC Enhancement'!AT153</f>
        <v>0</v>
      </c>
    </row>
    <row r="645" spans="1:27" ht="14.5" hidden="1">
      <c r="A645" s="534">
        <f>'D-3 Off-Site Habitat Enhancment'!AU156</f>
        <v>0</v>
      </c>
      <c r="N645" s="534">
        <f>'E-3 Off-Site Hedge Enhancement'!AO157</f>
        <v>0</v>
      </c>
      <c r="AA645" s="1">
        <f>'F-3 Off-Site WaterC Enhancement'!AT154</f>
        <v>0</v>
      </c>
    </row>
    <row r="646" spans="1:27" ht="14.5" hidden="1">
      <c r="A646" s="534">
        <f>'D-3 Off-Site Habitat Enhancment'!AU157</f>
        <v>0</v>
      </c>
      <c r="N646" s="534">
        <f>'E-3 Off-Site Hedge Enhancement'!AO158</f>
        <v>0</v>
      </c>
      <c r="AA646" s="1">
        <f>'F-3 Off-Site WaterC Enhancement'!AT155</f>
        <v>0</v>
      </c>
    </row>
    <row r="647" spans="1:27" ht="14.5" hidden="1">
      <c r="A647" s="534">
        <f>'D-3 Off-Site Habitat Enhancment'!AU158</f>
        <v>0</v>
      </c>
      <c r="N647" s="534">
        <f>'E-3 Off-Site Hedge Enhancement'!AO159</f>
        <v>0</v>
      </c>
      <c r="AA647" s="1">
        <f>'F-3 Off-Site WaterC Enhancement'!AT156</f>
        <v>0</v>
      </c>
    </row>
    <row r="648" spans="1:27" ht="14.5" hidden="1">
      <c r="A648" s="534">
        <f>'D-3 Off-Site Habitat Enhancment'!AU159</f>
        <v>0</v>
      </c>
      <c r="N648" s="534">
        <f>'E-3 Off-Site Hedge Enhancement'!AO160</f>
        <v>0</v>
      </c>
      <c r="AA648" s="1">
        <f>'F-3 Off-Site WaterC Enhancement'!AT157</f>
        <v>0</v>
      </c>
    </row>
    <row r="649" spans="1:27" ht="14.5" hidden="1">
      <c r="A649" s="534">
        <f>'D-3 Off-Site Habitat Enhancment'!AU160</f>
        <v>0</v>
      </c>
      <c r="N649" s="534">
        <f>'E-3 Off-Site Hedge Enhancement'!AO161</f>
        <v>0</v>
      </c>
      <c r="AA649" s="1">
        <f>'F-3 Off-Site WaterC Enhancement'!AT158</f>
        <v>0</v>
      </c>
    </row>
    <row r="650" spans="1:27" ht="14.5" hidden="1">
      <c r="A650" s="534">
        <f>'D-3 Off-Site Habitat Enhancment'!AU161</f>
        <v>0</v>
      </c>
      <c r="N650" s="534">
        <f>'E-3 Off-Site Hedge Enhancement'!AO162</f>
        <v>0</v>
      </c>
      <c r="AA650" s="1">
        <f>'F-3 Off-Site WaterC Enhancement'!AT159</f>
        <v>0</v>
      </c>
    </row>
    <row r="651" spans="1:27" ht="14.5" hidden="1">
      <c r="A651" s="534">
        <f>'D-3 Off-Site Habitat Enhancment'!AU162</f>
        <v>0</v>
      </c>
      <c r="N651" s="534">
        <f>'E-3 Off-Site Hedge Enhancement'!AO163</f>
        <v>0</v>
      </c>
      <c r="AA651" s="1">
        <f>'F-3 Off-Site WaterC Enhancement'!AT160</f>
        <v>0</v>
      </c>
    </row>
    <row r="652" spans="1:27" ht="14.5" hidden="1">
      <c r="A652" s="534">
        <f>'D-3 Off-Site Habitat Enhancment'!AU163</f>
        <v>0</v>
      </c>
      <c r="N652" s="534">
        <f>'E-3 Off-Site Hedge Enhancement'!AO164</f>
        <v>0</v>
      </c>
      <c r="AA652" s="1">
        <f>'F-3 Off-Site WaterC Enhancement'!AT161</f>
        <v>0</v>
      </c>
    </row>
    <row r="653" spans="1:27" ht="14.5" hidden="1">
      <c r="A653" s="534">
        <f>'D-3 Off-Site Habitat Enhancment'!AU164</f>
        <v>0</v>
      </c>
      <c r="N653" s="534">
        <f>'E-3 Off-Site Hedge Enhancement'!AO165</f>
        <v>0</v>
      </c>
      <c r="AA653" s="1">
        <f>'F-3 Off-Site WaterC Enhancement'!AT162</f>
        <v>0</v>
      </c>
    </row>
    <row r="654" spans="1:27" ht="14.5" hidden="1">
      <c r="A654" s="534">
        <f>'D-3 Off-Site Habitat Enhancment'!AU165</f>
        <v>0</v>
      </c>
      <c r="N654" s="534">
        <f>'E-3 Off-Site Hedge Enhancement'!AO166</f>
        <v>0</v>
      </c>
      <c r="AA654" s="1">
        <f>'F-3 Off-Site WaterC Enhancement'!AT163</f>
        <v>0</v>
      </c>
    </row>
    <row r="655" spans="1:27" ht="14.5" hidden="1">
      <c r="A655" s="534">
        <f>'D-3 Off-Site Habitat Enhancment'!AU166</f>
        <v>0</v>
      </c>
      <c r="N655" s="534">
        <f>'E-3 Off-Site Hedge Enhancement'!AO167</f>
        <v>0</v>
      </c>
      <c r="AA655" s="1">
        <f>'F-3 Off-Site WaterC Enhancement'!AT164</f>
        <v>0</v>
      </c>
    </row>
    <row r="656" spans="1:27" ht="14.5" hidden="1">
      <c r="A656" s="534">
        <f>'D-3 Off-Site Habitat Enhancment'!AU167</f>
        <v>0</v>
      </c>
      <c r="N656" s="534">
        <f>'E-3 Off-Site Hedge Enhancement'!AO168</f>
        <v>0</v>
      </c>
      <c r="AA656" s="1">
        <f>'F-3 Off-Site WaterC Enhancement'!AT165</f>
        <v>0</v>
      </c>
    </row>
    <row r="657" spans="1:27" ht="14.5" hidden="1">
      <c r="A657" s="534">
        <f>'D-3 Off-Site Habitat Enhancment'!AU168</f>
        <v>0</v>
      </c>
      <c r="N657" s="534">
        <f>'E-3 Off-Site Hedge Enhancement'!AO169</f>
        <v>0</v>
      </c>
      <c r="AA657" s="1">
        <f>'F-3 Off-Site WaterC Enhancement'!AT166</f>
        <v>0</v>
      </c>
    </row>
    <row r="658" spans="1:27" ht="14.5" hidden="1">
      <c r="A658" s="534">
        <f>'D-3 Off-Site Habitat Enhancment'!AU169</f>
        <v>0</v>
      </c>
      <c r="N658" s="534">
        <f>'E-3 Off-Site Hedge Enhancement'!AO170</f>
        <v>0</v>
      </c>
      <c r="AA658" s="1">
        <f>'F-3 Off-Site WaterC Enhancement'!AT167</f>
        <v>0</v>
      </c>
    </row>
    <row r="659" spans="1:27" ht="14.5" hidden="1">
      <c r="A659" s="534">
        <f>'D-3 Off-Site Habitat Enhancment'!AU170</f>
        <v>0</v>
      </c>
      <c r="N659" s="534">
        <f>'E-3 Off-Site Hedge Enhancement'!AO171</f>
        <v>0</v>
      </c>
      <c r="AA659" s="1">
        <f>'F-3 Off-Site WaterC Enhancement'!AT168</f>
        <v>0</v>
      </c>
    </row>
    <row r="660" spans="1:27" ht="14.5" hidden="1">
      <c r="A660" s="534">
        <f>'D-3 Off-Site Habitat Enhancment'!AU171</f>
        <v>0</v>
      </c>
      <c r="N660" s="534">
        <f>'E-3 Off-Site Hedge Enhancement'!AO172</f>
        <v>0</v>
      </c>
      <c r="AA660" s="1">
        <f>'F-3 Off-Site WaterC Enhancement'!AT169</f>
        <v>0</v>
      </c>
    </row>
    <row r="661" spans="1:27" ht="14.5" hidden="1">
      <c r="A661" s="534">
        <f>'D-3 Off-Site Habitat Enhancment'!AU172</f>
        <v>0</v>
      </c>
      <c r="N661" s="534">
        <f>'E-3 Off-Site Hedge Enhancement'!AO173</f>
        <v>0</v>
      </c>
      <c r="AA661" s="1">
        <f>'F-3 Off-Site WaterC Enhancement'!AT170</f>
        <v>0</v>
      </c>
    </row>
    <row r="662" spans="1:27" ht="14.5" hidden="1">
      <c r="A662" s="534">
        <f>'D-3 Off-Site Habitat Enhancment'!AU173</f>
        <v>0</v>
      </c>
      <c r="N662" s="534">
        <f>'E-3 Off-Site Hedge Enhancement'!AO174</f>
        <v>0</v>
      </c>
      <c r="AA662" s="1">
        <f>'F-3 Off-Site WaterC Enhancement'!AT171</f>
        <v>0</v>
      </c>
    </row>
    <row r="663" spans="1:27" ht="14.5" hidden="1">
      <c r="A663" s="534">
        <f>'D-3 Off-Site Habitat Enhancment'!AU174</f>
        <v>0</v>
      </c>
      <c r="N663" s="534">
        <f>'E-3 Off-Site Hedge Enhancement'!AO175</f>
        <v>0</v>
      </c>
      <c r="AA663" s="1">
        <f>'F-3 Off-Site WaterC Enhancement'!AT172</f>
        <v>0</v>
      </c>
    </row>
    <row r="664" spans="1:27" ht="14.5" hidden="1">
      <c r="A664" s="534">
        <f>'D-3 Off-Site Habitat Enhancment'!AU175</f>
        <v>0</v>
      </c>
      <c r="N664" s="534">
        <f>'E-3 Off-Site Hedge Enhancement'!AO176</f>
        <v>0</v>
      </c>
      <c r="AA664" s="1">
        <f>'F-3 Off-Site WaterC Enhancement'!AT173</f>
        <v>0</v>
      </c>
    </row>
    <row r="665" spans="1:27" ht="14.5" hidden="1">
      <c r="A665" s="534">
        <f>'D-3 Off-Site Habitat Enhancment'!AU176</f>
        <v>0</v>
      </c>
      <c r="N665" s="534">
        <f>'E-3 Off-Site Hedge Enhancement'!AO177</f>
        <v>0</v>
      </c>
      <c r="AA665" s="1">
        <f>'F-3 Off-Site WaterC Enhancement'!AT174</f>
        <v>0</v>
      </c>
    </row>
    <row r="666" spans="1:27" ht="14.5" hidden="1">
      <c r="A666" s="534">
        <f>'D-3 Off-Site Habitat Enhancment'!AU177</f>
        <v>0</v>
      </c>
      <c r="N666" s="534">
        <f>'E-3 Off-Site Hedge Enhancement'!AO178</f>
        <v>0</v>
      </c>
      <c r="AA666" s="1">
        <f>'F-3 Off-Site WaterC Enhancement'!AT175</f>
        <v>0</v>
      </c>
    </row>
    <row r="667" spans="1:27" ht="14.5" hidden="1">
      <c r="A667" s="534">
        <f>'D-3 Off-Site Habitat Enhancment'!AU178</f>
        <v>0</v>
      </c>
      <c r="N667" s="534">
        <f>'E-3 Off-Site Hedge Enhancement'!AO179</f>
        <v>0</v>
      </c>
      <c r="AA667" s="1">
        <f>'F-3 Off-Site WaterC Enhancement'!AT176</f>
        <v>0</v>
      </c>
    </row>
    <row r="668" spans="1:27" ht="14.5" hidden="1">
      <c r="A668" s="534">
        <f>'D-3 Off-Site Habitat Enhancment'!AU179</f>
        <v>0</v>
      </c>
      <c r="N668" s="534">
        <f>'E-3 Off-Site Hedge Enhancement'!AO180</f>
        <v>0</v>
      </c>
      <c r="AA668" s="1">
        <f>'F-3 Off-Site WaterC Enhancement'!AT177</f>
        <v>0</v>
      </c>
    </row>
    <row r="669" spans="1:27" ht="14.5" hidden="1">
      <c r="A669" s="534">
        <f>'D-3 Off-Site Habitat Enhancment'!AU180</f>
        <v>0</v>
      </c>
      <c r="N669" s="534">
        <f>'E-3 Off-Site Hedge Enhancement'!AO181</f>
        <v>0</v>
      </c>
      <c r="AA669" s="1">
        <f>'F-3 Off-Site WaterC Enhancement'!AT178</f>
        <v>0</v>
      </c>
    </row>
    <row r="670" spans="1:27" ht="14.5" hidden="1">
      <c r="A670" s="534">
        <f>'D-3 Off-Site Habitat Enhancment'!AU181</f>
        <v>0</v>
      </c>
      <c r="N670" s="534">
        <f>'E-3 Off-Site Hedge Enhancement'!AO182</f>
        <v>0</v>
      </c>
      <c r="AA670" s="1">
        <f>'F-3 Off-Site WaterC Enhancement'!AT179</f>
        <v>0</v>
      </c>
    </row>
    <row r="671" spans="1:27" ht="14.5" hidden="1">
      <c r="A671" s="534">
        <f>'D-3 Off-Site Habitat Enhancment'!AU182</f>
        <v>0</v>
      </c>
      <c r="N671" s="534">
        <f>'E-3 Off-Site Hedge Enhancement'!AO183</f>
        <v>0</v>
      </c>
      <c r="AA671" s="1">
        <f>'F-3 Off-Site WaterC Enhancement'!AT180</f>
        <v>0</v>
      </c>
    </row>
    <row r="672" spans="1:27" ht="14.5" hidden="1">
      <c r="A672" s="534">
        <f>'D-3 Off-Site Habitat Enhancment'!AU183</f>
        <v>0</v>
      </c>
      <c r="N672" s="534">
        <f>'E-3 Off-Site Hedge Enhancement'!AO184</f>
        <v>0</v>
      </c>
      <c r="AA672" s="1">
        <f>'F-3 Off-Site WaterC Enhancement'!AT181</f>
        <v>0</v>
      </c>
    </row>
    <row r="673" spans="1:27" ht="14.5" hidden="1">
      <c r="A673" s="534">
        <f>'D-3 Off-Site Habitat Enhancment'!AU184</f>
        <v>0</v>
      </c>
      <c r="N673" s="534">
        <f>'E-3 Off-Site Hedge Enhancement'!AO185</f>
        <v>0</v>
      </c>
      <c r="AA673" s="1">
        <f>'F-3 Off-Site WaterC Enhancement'!AT182</f>
        <v>0</v>
      </c>
    </row>
    <row r="674" spans="1:27" ht="14.5" hidden="1">
      <c r="A674" s="534">
        <f>'D-3 Off-Site Habitat Enhancment'!AU185</f>
        <v>0</v>
      </c>
      <c r="N674" s="534">
        <f>'E-3 Off-Site Hedge Enhancement'!AO186</f>
        <v>0</v>
      </c>
      <c r="AA674" s="1">
        <f>'F-3 Off-Site WaterC Enhancement'!AT183</f>
        <v>0</v>
      </c>
    </row>
    <row r="675" spans="1:27" ht="14.5" hidden="1">
      <c r="A675" s="534">
        <f>'D-3 Off-Site Habitat Enhancment'!AU186</f>
        <v>0</v>
      </c>
      <c r="N675" s="534">
        <f>'E-3 Off-Site Hedge Enhancement'!AO187</f>
        <v>0</v>
      </c>
      <c r="AA675" s="1">
        <f>'F-3 Off-Site WaterC Enhancement'!AT184</f>
        <v>0</v>
      </c>
    </row>
    <row r="676" spans="1:27" ht="14.5" hidden="1">
      <c r="A676" s="534">
        <f>'D-3 Off-Site Habitat Enhancment'!AU187</f>
        <v>0</v>
      </c>
      <c r="N676" s="534">
        <f>'E-3 Off-Site Hedge Enhancement'!AO188</f>
        <v>0</v>
      </c>
      <c r="AA676" s="1">
        <f>'F-3 Off-Site WaterC Enhancement'!AT185</f>
        <v>0</v>
      </c>
    </row>
    <row r="677" spans="1:27" ht="14.5" hidden="1">
      <c r="A677" s="534">
        <f>'D-3 Off-Site Habitat Enhancment'!AU188</f>
        <v>0</v>
      </c>
      <c r="N677" s="534">
        <f>'E-3 Off-Site Hedge Enhancement'!AO189</f>
        <v>0</v>
      </c>
      <c r="AA677" s="1">
        <f>'F-3 Off-Site WaterC Enhancement'!AT186</f>
        <v>0</v>
      </c>
    </row>
    <row r="678" spans="1:27" ht="14.5" hidden="1">
      <c r="A678" s="534">
        <f>'D-3 Off-Site Habitat Enhancment'!AU189</f>
        <v>0</v>
      </c>
      <c r="N678" s="534">
        <f>'E-3 Off-Site Hedge Enhancement'!AO190</f>
        <v>0</v>
      </c>
      <c r="AA678" s="1">
        <f>'F-3 Off-Site WaterC Enhancement'!AT187</f>
        <v>0</v>
      </c>
    </row>
    <row r="679" spans="1:27" ht="14.5" hidden="1">
      <c r="A679" s="534">
        <f>'D-3 Off-Site Habitat Enhancment'!AU190</f>
        <v>0</v>
      </c>
      <c r="N679" s="534">
        <f>'E-3 Off-Site Hedge Enhancement'!AO191</f>
        <v>0</v>
      </c>
      <c r="AA679" s="1">
        <f>'F-3 Off-Site WaterC Enhancement'!AT188</f>
        <v>0</v>
      </c>
    </row>
    <row r="680" spans="1:27" ht="14.5" hidden="1">
      <c r="A680" s="534">
        <f>'D-3 Off-Site Habitat Enhancment'!AU191</f>
        <v>0</v>
      </c>
      <c r="N680" s="534">
        <f>'E-3 Off-Site Hedge Enhancement'!AO192</f>
        <v>0</v>
      </c>
      <c r="AA680" s="1">
        <f>'F-3 Off-Site WaterC Enhancement'!AT189</f>
        <v>0</v>
      </c>
    </row>
    <row r="681" spans="1:27" ht="14.5" hidden="1">
      <c r="A681" s="534">
        <f>'D-3 Off-Site Habitat Enhancment'!AU192</f>
        <v>0</v>
      </c>
      <c r="N681" s="534">
        <f>'E-3 Off-Site Hedge Enhancement'!AO193</f>
        <v>0</v>
      </c>
      <c r="AA681" s="1">
        <f>'F-3 Off-Site WaterC Enhancement'!AT190</f>
        <v>0</v>
      </c>
    </row>
    <row r="682" spans="1:27" ht="14.5" hidden="1">
      <c r="A682" s="534">
        <f>'D-3 Off-Site Habitat Enhancment'!AU193</f>
        <v>0</v>
      </c>
      <c r="N682" s="534">
        <f>'E-3 Off-Site Hedge Enhancement'!AO194</f>
        <v>0</v>
      </c>
      <c r="AA682" s="1">
        <f>'F-3 Off-Site WaterC Enhancement'!AT191</f>
        <v>0</v>
      </c>
    </row>
    <row r="683" spans="1:27" ht="14.5" hidden="1">
      <c r="A683" s="534">
        <f>'D-3 Off-Site Habitat Enhancment'!AU194</f>
        <v>0</v>
      </c>
      <c r="N683" s="534">
        <f>'E-3 Off-Site Hedge Enhancement'!AO195</f>
        <v>0</v>
      </c>
      <c r="AA683" s="1">
        <f>'F-3 Off-Site WaterC Enhancement'!AT192</f>
        <v>0</v>
      </c>
    </row>
    <row r="684" spans="1:27" ht="14.5" hidden="1">
      <c r="A684" s="534">
        <f>'D-3 Off-Site Habitat Enhancment'!AU195</f>
        <v>0</v>
      </c>
      <c r="N684" s="534">
        <f>'E-3 Off-Site Hedge Enhancement'!AO196</f>
        <v>0</v>
      </c>
      <c r="AA684" s="1">
        <f>'F-3 Off-Site WaterC Enhancement'!AT193</f>
        <v>0</v>
      </c>
    </row>
    <row r="685" spans="1:27" ht="14.5" hidden="1">
      <c r="A685" s="534">
        <f>'D-3 Off-Site Habitat Enhancment'!AU196</f>
        <v>0</v>
      </c>
      <c r="N685" s="534">
        <f>'E-3 Off-Site Hedge Enhancement'!AO197</f>
        <v>0</v>
      </c>
      <c r="AA685" s="1">
        <f>'F-3 Off-Site WaterC Enhancement'!AT194</f>
        <v>0</v>
      </c>
    </row>
    <row r="686" spans="1:27" ht="14.5" hidden="1">
      <c r="A686" s="534">
        <f>'D-3 Off-Site Habitat Enhancment'!AU197</f>
        <v>0</v>
      </c>
      <c r="N686" s="534">
        <f>'E-3 Off-Site Hedge Enhancement'!AO198</f>
        <v>0</v>
      </c>
      <c r="AA686" s="1">
        <f>'F-3 Off-Site WaterC Enhancement'!AT195</f>
        <v>0</v>
      </c>
    </row>
    <row r="687" spans="1:27" ht="14.5" hidden="1">
      <c r="A687" s="534">
        <f>'D-3 Off-Site Habitat Enhancment'!AU198</f>
        <v>0</v>
      </c>
      <c r="N687" s="534">
        <f>'E-3 Off-Site Hedge Enhancement'!AO199</f>
        <v>0</v>
      </c>
      <c r="AA687" s="1">
        <f>'F-3 Off-Site WaterC Enhancement'!AT196</f>
        <v>0</v>
      </c>
    </row>
    <row r="688" spans="1:27" ht="14.5" hidden="1">
      <c r="A688" s="534">
        <f>'D-3 Off-Site Habitat Enhancment'!AU199</f>
        <v>0</v>
      </c>
      <c r="N688" s="534">
        <f>'E-3 Off-Site Hedge Enhancement'!AO200</f>
        <v>0</v>
      </c>
      <c r="AA688" s="1">
        <f>'F-3 Off-Site WaterC Enhancement'!AT197</f>
        <v>0</v>
      </c>
    </row>
    <row r="689" spans="1:27" ht="14.5" hidden="1">
      <c r="A689" s="534">
        <f>'D-3 Off-Site Habitat Enhancment'!AU200</f>
        <v>0</v>
      </c>
      <c r="N689" s="534">
        <f>'E-3 Off-Site Hedge Enhancement'!AO201</f>
        <v>0</v>
      </c>
      <c r="AA689" s="1">
        <f>'F-3 Off-Site WaterC Enhancement'!AT198</f>
        <v>0</v>
      </c>
    </row>
    <row r="690" spans="1:27" ht="14.5" hidden="1">
      <c r="A690" s="534">
        <f>'D-3 Off-Site Habitat Enhancment'!AU201</f>
        <v>0</v>
      </c>
      <c r="N690" s="534">
        <f>'E-3 Off-Site Hedge Enhancement'!AO202</f>
        <v>0</v>
      </c>
      <c r="AA690" s="1">
        <f>'F-3 Off-Site WaterC Enhancement'!AT199</f>
        <v>0</v>
      </c>
    </row>
    <row r="691" spans="1:27" ht="14.5" hidden="1">
      <c r="A691" s="534">
        <f>'D-3 Off-Site Habitat Enhancment'!AU202</f>
        <v>0</v>
      </c>
      <c r="N691" s="534">
        <f>'E-3 Off-Site Hedge Enhancement'!AO203</f>
        <v>0</v>
      </c>
      <c r="AA691" s="1">
        <f>'F-3 Off-Site WaterC Enhancement'!AT200</f>
        <v>0</v>
      </c>
    </row>
    <row r="692" spans="1:27" ht="14.5" hidden="1">
      <c r="A692" s="534">
        <f>'D-3 Off-Site Habitat Enhancment'!AU203</f>
        <v>0</v>
      </c>
      <c r="N692" s="534">
        <f>'E-3 Off-Site Hedge Enhancement'!AO204</f>
        <v>0</v>
      </c>
      <c r="AA692" s="1">
        <f>'F-3 Off-Site WaterC Enhancement'!AT201</f>
        <v>0</v>
      </c>
    </row>
    <row r="693" spans="1:27" ht="14.5" hidden="1">
      <c r="A693" s="534">
        <f>'D-3 Off-Site Habitat Enhancment'!AU204</f>
        <v>0</v>
      </c>
      <c r="N693" s="534">
        <f>'E-3 Off-Site Hedge Enhancement'!AO205</f>
        <v>0</v>
      </c>
      <c r="AA693" s="1">
        <f>'F-3 Off-Site WaterC Enhancement'!AT202</f>
        <v>0</v>
      </c>
    </row>
    <row r="694" spans="1:27" ht="14.5" hidden="1">
      <c r="A694" s="534">
        <f>'D-3 Off-Site Habitat Enhancment'!AU205</f>
        <v>0</v>
      </c>
      <c r="N694" s="534">
        <f>'E-3 Off-Site Hedge Enhancement'!AO206</f>
        <v>0</v>
      </c>
      <c r="AA694" s="1">
        <f>'F-3 Off-Site WaterC Enhancement'!AT203</f>
        <v>0</v>
      </c>
    </row>
    <row r="695" spans="1:27" ht="14.5" hidden="1">
      <c r="A695" s="534">
        <f>'D-3 Off-Site Habitat Enhancment'!AU206</f>
        <v>0</v>
      </c>
      <c r="N695" s="534">
        <f>'E-3 Off-Site Hedge Enhancement'!AO207</f>
        <v>0</v>
      </c>
      <c r="AA695" s="1">
        <f>'F-3 Off-Site WaterC Enhancement'!AT204</f>
        <v>0</v>
      </c>
    </row>
    <row r="696" spans="1:27" ht="14.5" hidden="1">
      <c r="A696" s="534">
        <f>'D-3 Off-Site Habitat Enhancment'!AU207</f>
        <v>0</v>
      </c>
      <c r="N696" s="534">
        <f>'E-3 Off-Site Hedge Enhancement'!AO208</f>
        <v>0</v>
      </c>
      <c r="AA696" s="1">
        <f>'F-3 Off-Site WaterC Enhancement'!AT205</f>
        <v>0</v>
      </c>
    </row>
    <row r="697" spans="1:27" ht="14.5" hidden="1">
      <c r="A697" s="534">
        <f>'D-3 Off-Site Habitat Enhancment'!AU208</f>
        <v>0</v>
      </c>
      <c r="N697" s="534">
        <f>'E-3 Off-Site Hedge Enhancement'!AO209</f>
        <v>0</v>
      </c>
      <c r="AA697" s="1">
        <f>'F-3 Off-Site WaterC Enhancement'!AT206</f>
        <v>0</v>
      </c>
    </row>
    <row r="698" spans="1:27" ht="14.5" hidden="1">
      <c r="A698" s="534">
        <f>'D-3 Off-Site Habitat Enhancment'!AU209</f>
        <v>0</v>
      </c>
      <c r="N698" s="534">
        <f>'E-3 Off-Site Hedge Enhancement'!AO210</f>
        <v>0</v>
      </c>
      <c r="AA698" s="1">
        <f>'F-3 Off-Site WaterC Enhancement'!AT207</f>
        <v>0</v>
      </c>
    </row>
    <row r="699" spans="1:27" ht="14.5" hidden="1">
      <c r="A699" s="534">
        <f>'D-3 Off-Site Habitat Enhancment'!AU210</f>
        <v>0</v>
      </c>
      <c r="N699" s="534">
        <f>'E-3 Off-Site Hedge Enhancement'!AO211</f>
        <v>0</v>
      </c>
      <c r="AA699" s="1">
        <f>'F-3 Off-Site WaterC Enhancement'!AT208</f>
        <v>0</v>
      </c>
    </row>
    <row r="700" spans="1:27" ht="14.5" hidden="1">
      <c r="A700" s="534">
        <f>'D-3 Off-Site Habitat Enhancment'!AU211</f>
        <v>0</v>
      </c>
      <c r="N700" s="534">
        <f>'E-3 Off-Site Hedge Enhancement'!AO212</f>
        <v>0</v>
      </c>
      <c r="AA700" s="1">
        <f>'F-3 Off-Site WaterC Enhancement'!AT209</f>
        <v>0</v>
      </c>
    </row>
    <row r="701" spans="1:27" ht="14.5" hidden="1">
      <c r="A701" s="534">
        <f>'D-3 Off-Site Habitat Enhancment'!AU212</f>
        <v>0</v>
      </c>
      <c r="N701" s="534">
        <f>'E-3 Off-Site Hedge Enhancement'!AO213</f>
        <v>0</v>
      </c>
      <c r="AA701" s="1">
        <f>'F-3 Off-Site WaterC Enhancement'!AT210</f>
        <v>0</v>
      </c>
    </row>
    <row r="702" spans="1:27" ht="14.5" hidden="1">
      <c r="A702" s="534">
        <f>'D-3 Off-Site Habitat Enhancment'!AU213</f>
        <v>0</v>
      </c>
      <c r="N702" s="534">
        <f>'E-3 Off-Site Hedge Enhancement'!AO214</f>
        <v>0</v>
      </c>
      <c r="AA702" s="1">
        <f>'F-3 Off-Site WaterC Enhancement'!AT211</f>
        <v>0</v>
      </c>
    </row>
    <row r="703" spans="1:27" ht="14.5" hidden="1">
      <c r="A703" s="534">
        <f>'D-3 Off-Site Habitat Enhancment'!AU214</f>
        <v>0</v>
      </c>
      <c r="N703" s="534">
        <f>'E-3 Off-Site Hedge Enhancement'!AO215</f>
        <v>0</v>
      </c>
      <c r="AA703" s="1">
        <f>'F-3 Off-Site WaterC Enhancement'!AT212</f>
        <v>0</v>
      </c>
    </row>
    <row r="704" spans="1:27" ht="14.5" hidden="1">
      <c r="A704" s="534">
        <f>'D-3 Off-Site Habitat Enhancment'!AU215</f>
        <v>0</v>
      </c>
      <c r="N704" s="534">
        <f>'E-3 Off-Site Hedge Enhancement'!AO216</f>
        <v>0</v>
      </c>
      <c r="AA704" s="1">
        <f>'F-3 Off-Site WaterC Enhancement'!AT213</f>
        <v>0</v>
      </c>
    </row>
    <row r="705" spans="1:27" ht="14.5" hidden="1">
      <c r="A705" s="534">
        <f>'D-3 Off-Site Habitat Enhancment'!AU216</f>
        <v>0</v>
      </c>
      <c r="N705" s="534">
        <f>'E-3 Off-Site Hedge Enhancement'!AO217</f>
        <v>0</v>
      </c>
      <c r="AA705" s="1">
        <f>'F-3 Off-Site WaterC Enhancement'!AT214</f>
        <v>0</v>
      </c>
    </row>
    <row r="706" spans="1:27" ht="14.5" hidden="1">
      <c r="A706" s="534">
        <f>'D-3 Off-Site Habitat Enhancment'!AU217</f>
        <v>0</v>
      </c>
      <c r="N706" s="534">
        <f>'E-3 Off-Site Hedge Enhancement'!AO218</f>
        <v>0</v>
      </c>
      <c r="AA706" s="1">
        <f>'F-3 Off-Site WaterC Enhancement'!AT215</f>
        <v>0</v>
      </c>
    </row>
    <row r="707" spans="1:27" ht="14.5" hidden="1">
      <c r="A707" s="534">
        <f>'D-3 Off-Site Habitat Enhancment'!AU218</f>
        <v>0</v>
      </c>
      <c r="N707" s="534">
        <f>'E-3 Off-Site Hedge Enhancement'!AO219</f>
        <v>0</v>
      </c>
      <c r="AA707" s="1">
        <f>'F-3 Off-Site WaterC Enhancement'!AT216</f>
        <v>0</v>
      </c>
    </row>
    <row r="708" spans="1:27" ht="14.5" hidden="1">
      <c r="A708" s="534">
        <f>'D-3 Off-Site Habitat Enhancment'!AU219</f>
        <v>0</v>
      </c>
      <c r="N708" s="534">
        <f>'E-3 Off-Site Hedge Enhancement'!AO220</f>
        <v>0</v>
      </c>
      <c r="AA708" s="1">
        <f>'F-3 Off-Site WaterC Enhancement'!AT217</f>
        <v>0</v>
      </c>
    </row>
    <row r="709" spans="1:27" ht="14.5" hidden="1">
      <c r="A709" s="534">
        <f>'D-3 Off-Site Habitat Enhancment'!AU220</f>
        <v>0</v>
      </c>
      <c r="N709" s="534">
        <f>'E-3 Off-Site Hedge Enhancement'!AO221</f>
        <v>0</v>
      </c>
      <c r="AA709" s="1">
        <f>'F-3 Off-Site WaterC Enhancement'!AT218</f>
        <v>0</v>
      </c>
    </row>
    <row r="710" spans="1:27" ht="14.5" hidden="1">
      <c r="A710" s="534">
        <f>'D-3 Off-Site Habitat Enhancment'!AU221</f>
        <v>0</v>
      </c>
      <c r="N710" s="534">
        <f>'E-3 Off-Site Hedge Enhancement'!AO222</f>
        <v>0</v>
      </c>
      <c r="AA710" s="1">
        <f>'F-3 Off-Site WaterC Enhancement'!AT219</f>
        <v>0</v>
      </c>
    </row>
    <row r="711" spans="1:27" ht="14.5" hidden="1">
      <c r="A711" s="534">
        <f>'D-3 Off-Site Habitat Enhancment'!AU222</f>
        <v>0</v>
      </c>
      <c r="N711" s="534">
        <f>'E-3 Off-Site Hedge Enhancement'!AO223</f>
        <v>0</v>
      </c>
      <c r="AA711" s="1">
        <f>'F-3 Off-Site WaterC Enhancement'!AT220</f>
        <v>0</v>
      </c>
    </row>
    <row r="712" spans="1:27" ht="14.5" hidden="1">
      <c r="A712" s="534">
        <f>'D-3 Off-Site Habitat Enhancment'!AU223</f>
        <v>0</v>
      </c>
      <c r="N712" s="534">
        <f>'E-3 Off-Site Hedge Enhancement'!AO224</f>
        <v>0</v>
      </c>
      <c r="AA712" s="1">
        <f>'F-3 Off-Site WaterC Enhancement'!AT221</f>
        <v>0</v>
      </c>
    </row>
    <row r="713" spans="1:27" ht="14.5" hidden="1">
      <c r="A713" s="534">
        <f>'D-3 Off-Site Habitat Enhancment'!AU224</f>
        <v>0</v>
      </c>
      <c r="N713" s="534">
        <f>'E-3 Off-Site Hedge Enhancement'!AO225</f>
        <v>0</v>
      </c>
      <c r="AA713" s="1">
        <f>'F-3 Off-Site WaterC Enhancement'!AT222</f>
        <v>0</v>
      </c>
    </row>
    <row r="714" spans="1:27" ht="14.5" hidden="1">
      <c r="A714" s="534">
        <f>'D-3 Off-Site Habitat Enhancment'!AU225</f>
        <v>0</v>
      </c>
      <c r="N714" s="534">
        <f>'E-3 Off-Site Hedge Enhancement'!AO226</f>
        <v>0</v>
      </c>
      <c r="AA714" s="1">
        <f>'F-3 Off-Site WaterC Enhancement'!AT223</f>
        <v>0</v>
      </c>
    </row>
    <row r="715" spans="1:27" ht="14.5" hidden="1">
      <c r="A715" s="534">
        <f>'D-3 Off-Site Habitat Enhancment'!AU226</f>
        <v>0</v>
      </c>
      <c r="N715" s="534">
        <f>'E-3 Off-Site Hedge Enhancement'!AO227</f>
        <v>0</v>
      </c>
      <c r="AA715" s="1">
        <f>'F-3 Off-Site WaterC Enhancement'!AT224</f>
        <v>0</v>
      </c>
    </row>
    <row r="716" spans="1:27" ht="14.5" hidden="1">
      <c r="A716" s="534">
        <f>'D-3 Off-Site Habitat Enhancment'!AU227</f>
        <v>0</v>
      </c>
      <c r="N716" s="534">
        <f>'E-3 Off-Site Hedge Enhancement'!AO228</f>
        <v>0</v>
      </c>
      <c r="AA716" s="1">
        <f>'F-3 Off-Site WaterC Enhancement'!AT225</f>
        <v>0</v>
      </c>
    </row>
    <row r="717" spans="1:27" ht="14.5" hidden="1">
      <c r="A717" s="534">
        <f>'D-3 Off-Site Habitat Enhancment'!AU228</f>
        <v>0</v>
      </c>
      <c r="N717" s="534">
        <f>'E-3 Off-Site Hedge Enhancement'!AO229</f>
        <v>0</v>
      </c>
      <c r="AA717" s="1">
        <f>'F-3 Off-Site WaterC Enhancement'!AT226</f>
        <v>0</v>
      </c>
    </row>
    <row r="718" spans="1:27" ht="14.5" hidden="1">
      <c r="A718" s="534">
        <f>'D-3 Off-Site Habitat Enhancment'!AU229</f>
        <v>0</v>
      </c>
      <c r="N718" s="534">
        <f>'E-3 Off-Site Hedge Enhancement'!AO230</f>
        <v>0</v>
      </c>
      <c r="AA718" s="1">
        <f>'F-3 Off-Site WaterC Enhancement'!AT227</f>
        <v>0</v>
      </c>
    </row>
    <row r="719" spans="1:27" ht="14.5" hidden="1">
      <c r="A719" s="534">
        <f>'D-3 Off-Site Habitat Enhancment'!AU230</f>
        <v>0</v>
      </c>
      <c r="N719" s="534">
        <f>'E-3 Off-Site Hedge Enhancement'!AO231</f>
        <v>0</v>
      </c>
      <c r="AA719" s="1">
        <f>'F-3 Off-Site WaterC Enhancement'!AT228</f>
        <v>0</v>
      </c>
    </row>
    <row r="720" spans="1:27" ht="14.5" hidden="1">
      <c r="A720" s="534">
        <f>'D-3 Off-Site Habitat Enhancment'!AU231</f>
        <v>0</v>
      </c>
      <c r="N720" s="534">
        <f>'E-3 Off-Site Hedge Enhancement'!AO232</f>
        <v>0</v>
      </c>
      <c r="AA720" s="1">
        <f>'F-3 Off-Site WaterC Enhancement'!AT229</f>
        <v>0</v>
      </c>
    </row>
    <row r="721" spans="1:27" ht="14.5" hidden="1">
      <c r="A721" s="534">
        <f>'D-3 Off-Site Habitat Enhancment'!AU232</f>
        <v>0</v>
      </c>
      <c r="N721" s="534">
        <f>'E-3 Off-Site Hedge Enhancement'!AO233</f>
        <v>0</v>
      </c>
      <c r="AA721" s="1">
        <f>'F-3 Off-Site WaterC Enhancement'!AT230</f>
        <v>0</v>
      </c>
    </row>
    <row r="722" spans="1:27" ht="14.5" hidden="1">
      <c r="A722" s="534">
        <f>'D-3 Off-Site Habitat Enhancment'!AU233</f>
        <v>0</v>
      </c>
      <c r="N722" s="534">
        <f>'E-3 Off-Site Hedge Enhancement'!AO234</f>
        <v>0</v>
      </c>
      <c r="AA722" s="1">
        <f>'F-3 Off-Site WaterC Enhancement'!AT231</f>
        <v>0</v>
      </c>
    </row>
    <row r="723" spans="1:27" ht="14.5" hidden="1">
      <c r="A723" s="534">
        <f>'D-3 Off-Site Habitat Enhancment'!AU234</f>
        <v>0</v>
      </c>
      <c r="N723" s="534">
        <f>'E-3 Off-Site Hedge Enhancement'!AO235</f>
        <v>0</v>
      </c>
      <c r="AA723" s="1">
        <f>'F-3 Off-Site WaterC Enhancement'!AT232</f>
        <v>0</v>
      </c>
    </row>
    <row r="724" spans="1:27" ht="14.5" hidden="1">
      <c r="A724" s="534">
        <f>'D-3 Off-Site Habitat Enhancment'!AU235</f>
        <v>0</v>
      </c>
      <c r="N724" s="534">
        <f>'E-3 Off-Site Hedge Enhancement'!AO236</f>
        <v>0</v>
      </c>
      <c r="AA724" s="1">
        <f>'F-3 Off-Site WaterC Enhancement'!AT233</f>
        <v>0</v>
      </c>
    </row>
    <row r="725" spans="1:27" ht="14.5" hidden="1">
      <c r="A725" s="534">
        <f>'D-3 Off-Site Habitat Enhancment'!AU236</f>
        <v>0</v>
      </c>
      <c r="N725" s="534">
        <f>'E-3 Off-Site Hedge Enhancement'!AO237</f>
        <v>0</v>
      </c>
      <c r="AA725" s="1">
        <f>'F-3 Off-Site WaterC Enhancement'!AT234</f>
        <v>0</v>
      </c>
    </row>
    <row r="726" spans="1:27" ht="14.5" hidden="1">
      <c r="A726" s="534">
        <f>'D-3 Off-Site Habitat Enhancment'!AU237</f>
        <v>0</v>
      </c>
      <c r="N726" s="534">
        <f>'E-3 Off-Site Hedge Enhancement'!AO238</f>
        <v>0</v>
      </c>
      <c r="AA726" s="1">
        <f>'F-3 Off-Site WaterC Enhancement'!AT235</f>
        <v>0</v>
      </c>
    </row>
    <row r="727" spans="1:27" ht="14.5" hidden="1">
      <c r="A727" s="534">
        <f>'D-3 Off-Site Habitat Enhancment'!AU238</f>
        <v>0</v>
      </c>
      <c r="N727" s="534">
        <f>'E-3 Off-Site Hedge Enhancement'!AO239</f>
        <v>0</v>
      </c>
      <c r="AA727" s="1">
        <f>'F-3 Off-Site WaterC Enhancement'!AT236</f>
        <v>0</v>
      </c>
    </row>
    <row r="728" spans="1:27" ht="14.5" hidden="1">
      <c r="A728" s="534">
        <f>'D-3 Off-Site Habitat Enhancment'!AU239</f>
        <v>0</v>
      </c>
      <c r="N728" s="534">
        <f>'E-3 Off-Site Hedge Enhancement'!AO240</f>
        <v>0</v>
      </c>
      <c r="AA728" s="1">
        <f>'F-3 Off-Site WaterC Enhancement'!AT237</f>
        <v>0</v>
      </c>
    </row>
    <row r="729" spans="1:27" ht="14.5" hidden="1">
      <c r="A729" s="534">
        <f>'D-3 Off-Site Habitat Enhancment'!AU240</f>
        <v>0</v>
      </c>
      <c r="N729" s="534">
        <f>'E-3 Off-Site Hedge Enhancement'!AO241</f>
        <v>0</v>
      </c>
      <c r="AA729" s="1">
        <f>'F-3 Off-Site WaterC Enhancement'!AT238</f>
        <v>0</v>
      </c>
    </row>
    <row r="730" spans="1:27" ht="14.5" hidden="1">
      <c r="A730" s="534">
        <f>'D-3 Off-Site Habitat Enhancment'!AU241</f>
        <v>0</v>
      </c>
      <c r="N730" s="534">
        <f>'E-3 Off-Site Hedge Enhancement'!AO242</f>
        <v>0</v>
      </c>
      <c r="AA730" s="1">
        <f>'F-3 Off-Site WaterC Enhancement'!AT239</f>
        <v>0</v>
      </c>
    </row>
    <row r="731" spans="1:27" ht="14.5" hidden="1">
      <c r="A731" s="534">
        <f>'D-3 Off-Site Habitat Enhancment'!AU242</f>
        <v>0</v>
      </c>
      <c r="N731" s="534">
        <f>'E-3 Off-Site Hedge Enhancement'!AO243</f>
        <v>0</v>
      </c>
      <c r="AA731" s="1">
        <f>'F-3 Off-Site WaterC Enhancement'!AT240</f>
        <v>0</v>
      </c>
    </row>
    <row r="732" spans="1:27" ht="14.5" hidden="1">
      <c r="A732" s="534">
        <f>'D-3 Off-Site Habitat Enhancment'!AU243</f>
        <v>0</v>
      </c>
      <c r="N732" s="534">
        <f>'E-3 Off-Site Hedge Enhancement'!AO244</f>
        <v>0</v>
      </c>
      <c r="AA732" s="1">
        <f>'F-3 Off-Site WaterC Enhancement'!AT241</f>
        <v>0</v>
      </c>
    </row>
    <row r="733" spans="1:27" ht="14.5" hidden="1">
      <c r="A733" s="534">
        <f>'D-3 Off-Site Habitat Enhancment'!AU244</f>
        <v>0</v>
      </c>
      <c r="N733" s="534">
        <f>'E-3 Off-Site Hedge Enhancement'!AO245</f>
        <v>0</v>
      </c>
      <c r="AA733" s="1">
        <f>'F-3 Off-Site WaterC Enhancement'!AT242</f>
        <v>0</v>
      </c>
    </row>
    <row r="734" spans="1:27" ht="14.5" hidden="1">
      <c r="A734" s="534">
        <f>'D-3 Off-Site Habitat Enhancment'!AU245</f>
        <v>0</v>
      </c>
      <c r="N734" s="534">
        <f>'E-3 Off-Site Hedge Enhancement'!AO246</f>
        <v>0</v>
      </c>
      <c r="AA734" s="1">
        <f>'F-3 Off-Site WaterC Enhancement'!AT243</f>
        <v>0</v>
      </c>
    </row>
    <row r="735" spans="1:27" ht="14.5" hidden="1">
      <c r="A735" s="534">
        <f>'D-3 Off-Site Habitat Enhancment'!AU246</f>
        <v>0</v>
      </c>
      <c r="N735" s="534">
        <f>'E-3 Off-Site Hedge Enhancement'!AO247</f>
        <v>0</v>
      </c>
      <c r="AA735" s="1">
        <f>'F-3 Off-Site WaterC Enhancement'!AT244</f>
        <v>0</v>
      </c>
    </row>
    <row r="736" spans="1:27" ht="14.5" hidden="1">
      <c r="A736" s="534">
        <f>'D-3 Off-Site Habitat Enhancment'!AU247</f>
        <v>0</v>
      </c>
      <c r="N736" s="534">
        <f>'E-3 Off-Site Hedge Enhancement'!AO248</f>
        <v>0</v>
      </c>
      <c r="AA736" s="1">
        <f>'F-3 Off-Site WaterC Enhancement'!AT245</f>
        <v>0</v>
      </c>
    </row>
    <row r="737" spans="1:27" ht="14.5" hidden="1">
      <c r="A737" s="534">
        <f>'D-3 Off-Site Habitat Enhancment'!AU248</f>
        <v>0</v>
      </c>
      <c r="N737" s="534">
        <f>'E-3 Off-Site Hedge Enhancement'!AO249</f>
        <v>0</v>
      </c>
      <c r="AA737" s="1">
        <f>'F-3 Off-Site WaterC Enhancement'!AT246</f>
        <v>0</v>
      </c>
    </row>
    <row r="738" spans="1:27" ht="14.5" hidden="1">
      <c r="A738" s="534">
        <f>'D-3 Off-Site Habitat Enhancment'!AU249</f>
        <v>0</v>
      </c>
      <c r="N738" s="534">
        <f>'E-3 Off-Site Hedge Enhancement'!AO250</f>
        <v>0</v>
      </c>
      <c r="AA738" s="1">
        <f>'F-3 Off-Site WaterC Enhancement'!AT247</f>
        <v>0</v>
      </c>
    </row>
    <row r="739" spans="1:27" ht="14.5" hidden="1">
      <c r="A739" s="534">
        <f>'D-3 Off-Site Habitat Enhancment'!AU250</f>
        <v>0</v>
      </c>
      <c r="N739" s="534">
        <f>'E-3 Off-Site Hedge Enhancement'!AO251</f>
        <v>0</v>
      </c>
      <c r="AA739" s="1">
        <f>'F-3 Off-Site WaterC Enhancement'!AT248</f>
        <v>0</v>
      </c>
    </row>
    <row r="740" spans="1:27" ht="14.5" hidden="1">
      <c r="A740" s="534">
        <f>'D-3 Off-Site Habitat Enhancment'!AU251</f>
        <v>0</v>
      </c>
      <c r="N740" s="534">
        <f>'E-3 Off-Site Hedge Enhancement'!AO252</f>
        <v>0</v>
      </c>
      <c r="AA740" s="1">
        <f>'F-3 Off-Site WaterC Enhancement'!AT249</f>
        <v>0</v>
      </c>
    </row>
    <row r="741" spans="1:27" ht="14.5" hidden="1">
      <c r="A741" s="534">
        <f>'D-3 Off-Site Habitat Enhancment'!AU252</f>
        <v>0</v>
      </c>
      <c r="N741" s="534">
        <f>'E-3 Off-Site Hedge Enhancement'!AO253</f>
        <v>0</v>
      </c>
      <c r="AA741" s="1">
        <f>'F-3 Off-Site WaterC Enhancement'!AT250</f>
        <v>0</v>
      </c>
    </row>
    <row r="742" spans="1:27" ht="14.5" hidden="1">
      <c r="A742" s="534">
        <f>'D-3 Off-Site Habitat Enhancment'!AU253</f>
        <v>0</v>
      </c>
      <c r="N742" s="534">
        <f>'E-3 Off-Site Hedge Enhancement'!AO254</f>
        <v>0</v>
      </c>
      <c r="AA742" s="1">
        <f>'F-3 Off-Site WaterC Enhancement'!AT251</f>
        <v>0</v>
      </c>
    </row>
    <row r="743" spans="1:27" ht="14.5" hidden="1">
      <c r="A743" s="534">
        <f>'D-3 Off-Site Habitat Enhancment'!AU254</f>
        <v>0</v>
      </c>
      <c r="N743" s="534">
        <f>'E-3 Off-Site Hedge Enhancement'!AO255</f>
        <v>0</v>
      </c>
      <c r="AA743" s="1">
        <f>'F-3 Off-Site WaterC Enhancement'!AT252</f>
        <v>0</v>
      </c>
    </row>
    <row r="744" spans="1:27" ht="14.5" hidden="1">
      <c r="A744" s="534">
        <f>'D-3 Off-Site Habitat Enhancment'!AU255</f>
        <v>0</v>
      </c>
      <c r="N744" s="534">
        <f>'E-3 Off-Site Hedge Enhancement'!AO256</f>
        <v>0</v>
      </c>
      <c r="AA744" s="1">
        <f>'F-3 Off-Site WaterC Enhancement'!AT253</f>
        <v>0</v>
      </c>
    </row>
    <row r="745" spans="1:27" ht="14.5" hidden="1">
      <c r="A745" s="534">
        <f>'D-3 Off-Site Habitat Enhancment'!AU256</f>
        <v>0</v>
      </c>
      <c r="N745" s="534">
        <f>'E-3 Off-Site Hedge Enhancement'!AO257</f>
        <v>0</v>
      </c>
      <c r="AA745" s="1">
        <f>'F-3 Off-Site WaterC Enhancement'!AT254</f>
        <v>0</v>
      </c>
    </row>
    <row r="746" spans="1:27" ht="14.5" hidden="1">
      <c r="A746" s="534">
        <f>'D-3 Off-Site Habitat Enhancment'!AU257</f>
        <v>0</v>
      </c>
      <c r="N746" s="535"/>
      <c r="AA746" s="1">
        <f>'F-3 Off-Site WaterC Enhancement'!AT255</f>
        <v>0</v>
      </c>
    </row>
    <row r="747" spans="1:27" ht="14.5" hidden="1">
      <c r="A747" s="534">
        <f>'D-3 Off-Site Habitat Enhancment'!AU258</f>
        <v>0</v>
      </c>
      <c r="AA747" s="1">
        <f>'F-3 Off-Site WaterC Enhancement'!AT256</f>
        <v>0</v>
      </c>
    </row>
    <row r="748" spans="1:27" ht="14.5" hidden="1">
      <c r="A748" s="535"/>
      <c r="AA748" s="1">
        <f>'F-3 Off-Site WaterC Enhancement'!AT257</f>
        <v>0</v>
      </c>
    </row>
    <row r="749" spans="27:27" ht="14.5" hidden="1">
      <c r="AA749" s="508"/>
    </row>
  </sheetData>
  <sheetProtection algorithmName="SHA-512" hashValue="AHt8rBmim1gm2tOO8cPRzNXb8BLw6q59f/jxF1zfVRCKXXuTHedpITo6Vv1ll4yFOdddlSLOlrvvKKiEynYo0w==" saltValue="KW9dG8AF2kXdD9Ren1kluw==" spinCount="100000" sheet="1" objects="1" scenarios="1"/>
  <mergeCells count="141">
    <mergeCell ref="AB3:AM4"/>
    <mergeCell ref="AB108:AM108"/>
    <mergeCell ref="AB5:AB6"/>
    <mergeCell ref="AC5:AC6"/>
    <mergeCell ref="AE5:AE6"/>
    <mergeCell ref="B108:M108"/>
    <mergeCell ref="AN100:AO100"/>
    <mergeCell ref="AN97:AO97"/>
    <mergeCell ref="AN98:AO98"/>
    <mergeCell ref="AN103:AO103"/>
    <mergeCell ref="AN104:AO104"/>
    <mergeCell ref="AN101:AO101"/>
    <mergeCell ref="AN102:AO102"/>
    <mergeCell ref="AN107:AO107"/>
    <mergeCell ref="AN105:AO105"/>
    <mergeCell ref="AN106:AO106"/>
    <mergeCell ref="AN91:AO91"/>
    <mergeCell ref="AN92:AO92"/>
    <mergeCell ref="AN89:AO89"/>
    <mergeCell ref="AN90:AO90"/>
    <mergeCell ref="AN95:AO95"/>
    <mergeCell ref="AN96:AO96"/>
    <mergeCell ref="AN93:AO93"/>
    <mergeCell ref="AN94:AO94"/>
    <mergeCell ref="AN99:AO99"/>
    <mergeCell ref="AN80:AO80"/>
    <mergeCell ref="AN77:AO77"/>
    <mergeCell ref="AN78:AO78"/>
    <mergeCell ref="AN83:AO83"/>
    <mergeCell ref="AN84:AO84"/>
    <mergeCell ref="AN81:AO81"/>
    <mergeCell ref="AN82:AO82"/>
    <mergeCell ref="AN87:AO87"/>
    <mergeCell ref="AN88:AO88"/>
    <mergeCell ref="AN85:AO85"/>
    <mergeCell ref="AN86:AO86"/>
    <mergeCell ref="AN71:AO71"/>
    <mergeCell ref="AN72:AO72"/>
    <mergeCell ref="AN69:AO69"/>
    <mergeCell ref="AN70:AO70"/>
    <mergeCell ref="AN75:AO75"/>
    <mergeCell ref="AN76:AO76"/>
    <mergeCell ref="AN73:AO73"/>
    <mergeCell ref="AN74:AO74"/>
    <mergeCell ref="AN79:AO79"/>
    <mergeCell ref="AN60:AO60"/>
    <mergeCell ref="AN57:AO57"/>
    <mergeCell ref="AN58:AO58"/>
    <mergeCell ref="AN63:AO63"/>
    <mergeCell ref="AN64:AO64"/>
    <mergeCell ref="AN61:AO61"/>
    <mergeCell ref="AN62:AO62"/>
    <mergeCell ref="AN67:AO67"/>
    <mergeCell ref="AN68:AO68"/>
    <mergeCell ref="AN65:AO65"/>
    <mergeCell ref="AN66:AO66"/>
    <mergeCell ref="AN51:AO51"/>
    <mergeCell ref="AN52:AO52"/>
    <mergeCell ref="AN49:AO49"/>
    <mergeCell ref="AN50:AO50"/>
    <mergeCell ref="AN55:AO55"/>
    <mergeCell ref="AN56:AO56"/>
    <mergeCell ref="AN53:AO53"/>
    <mergeCell ref="AN54:AO54"/>
    <mergeCell ref="AN59:AO59"/>
    <mergeCell ref="AN40:AO40"/>
    <mergeCell ref="AN37:AO37"/>
    <mergeCell ref="AN38:AO38"/>
    <mergeCell ref="AN43:AO43"/>
    <mergeCell ref="AN44:AO44"/>
    <mergeCell ref="AN41:AO41"/>
    <mergeCell ref="AN42:AO42"/>
    <mergeCell ref="AN47:AO47"/>
    <mergeCell ref="AN48:AO48"/>
    <mergeCell ref="AN45:AO45"/>
    <mergeCell ref="AN46:AO46"/>
    <mergeCell ref="AN31:AO31"/>
    <mergeCell ref="AN32:AO32"/>
    <mergeCell ref="AN29:AO29"/>
    <mergeCell ref="AN30:AO30"/>
    <mergeCell ref="AN35:AO35"/>
    <mergeCell ref="AN36:AO36"/>
    <mergeCell ref="AN33:AO33"/>
    <mergeCell ref="AN34:AO34"/>
    <mergeCell ref="AN39:AO39"/>
    <mergeCell ref="AN20:AO20"/>
    <mergeCell ref="AN17:AO17"/>
    <mergeCell ref="AN18:AO18"/>
    <mergeCell ref="AN23:AO23"/>
    <mergeCell ref="AN24:AO24"/>
    <mergeCell ref="AN21:AO21"/>
    <mergeCell ref="AN22:AO22"/>
    <mergeCell ref="AN27:AO27"/>
    <mergeCell ref="AN28:AO28"/>
    <mergeCell ref="AN25:AO25"/>
    <mergeCell ref="AN26:AO26"/>
    <mergeCell ref="AN11:AO11"/>
    <mergeCell ref="AN12:AO12"/>
    <mergeCell ref="AN9:AO9"/>
    <mergeCell ref="AN10:AO10"/>
    <mergeCell ref="AN15:AO15"/>
    <mergeCell ref="AN16:AO16"/>
    <mergeCell ref="AN13:AO13"/>
    <mergeCell ref="AN14:AO14"/>
    <mergeCell ref="AN19:AO19"/>
    <mergeCell ref="O3:Z4"/>
    <mergeCell ref="B3:M4"/>
    <mergeCell ref="B5:B6"/>
    <mergeCell ref="C5:C6"/>
    <mergeCell ref="K5:K6"/>
    <mergeCell ref="M5:M6"/>
    <mergeCell ref="L5:L6"/>
    <mergeCell ref="D5:D6"/>
    <mergeCell ref="S5:S6"/>
    <mergeCell ref="U5:U6"/>
    <mergeCell ref="W5:W6"/>
    <mergeCell ref="P5:P6"/>
    <mergeCell ref="O5:O6"/>
    <mergeCell ref="R5:R6"/>
    <mergeCell ref="T5:T6"/>
    <mergeCell ref="V5:V6"/>
    <mergeCell ref="X5:X6"/>
    <mergeCell ref="Y5:Y6"/>
    <mergeCell ref="E5:E6"/>
    <mergeCell ref="F5:F6"/>
    <mergeCell ref="G5:G6"/>
    <mergeCell ref="H5:H6"/>
    <mergeCell ref="I5:I6"/>
    <mergeCell ref="J5:J6"/>
    <mergeCell ref="Q5:Q6"/>
    <mergeCell ref="AD5:AD6"/>
    <mergeCell ref="AF5:AF6"/>
    <mergeCell ref="AH5:AH6"/>
    <mergeCell ref="AJ5:AJ6"/>
    <mergeCell ref="AN8:AO8"/>
    <mergeCell ref="Z5:Z6"/>
    <mergeCell ref="AG5:AG6"/>
    <mergeCell ref="AI5:AI6"/>
    <mergeCell ref="AK5:AK6"/>
    <mergeCell ref="AL5:AL6"/>
    <mergeCell ref="AM5:AM6"/>
  </mergeCells>
  <conditionalFormatting sqref="M1:M1048576">
    <cfRule type="containsText" priority="3" dxfId="1273" operator="containsText" text="▲">
      <formula>NOT(ISERROR(SEARCH("▲",M1)))</formula>
    </cfRule>
  </conditionalFormatting>
  <conditionalFormatting sqref="Z7:Z107">
    <cfRule type="containsText" priority="2" dxfId="1273" operator="containsText" text="Error">
      <formula>NOT(ISERROR(SEARCH("Error",Z7)))</formula>
    </cfRule>
  </conditionalFormatting>
  <conditionalFormatting sqref="AM7:AM107">
    <cfRule type="containsText" priority="1" dxfId="1273" operator="containsText" text="Error">
      <formula>NOT(ISERROR(SEARCH("Error",AM7)))</formula>
    </cfRule>
  </conditionalFormatting>
  <pageMargins left="0.7" right="0.7" top="0.75" bottom="0.75" header="0.3" footer="0.3"/>
  <pageSetup orientation="portrait" paperSize="9"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7B9B95C-5B32-4A5E-95FB-C1015A90E816}">
  <sheetPr codeName="Sheet27">
    <tabColor rgb="FF00B0F0"/>
  </sheetPr>
  <dimension ref="B1:BM286"/>
  <sheetViews>
    <sheetView showGridLines="0" zoomScale="80" zoomScaleNormal="80" workbookViewId="0" topLeftCell="A1"/>
  </sheetViews>
  <sheetFormatPr defaultColWidth="0" defaultRowHeight="15.5" zeroHeight="1"/>
  <cols>
    <col min="1" max="1" width="8.57142857142857" style="654" customWidth="1"/>
    <col min="2" max="2" width="23.5714285714286" style="680" customWidth="1"/>
    <col min="3" max="4" width="0" style="654" hidden="1" customWidth="1"/>
    <col min="5" max="7" width="8.57142857142857" style="654" customWidth="1"/>
    <col min="8" max="8" width="12.5714285714286" style="654" customWidth="1"/>
    <col min="9" max="9" width="8.57142857142857" style="654" customWidth="1"/>
    <col min="10" max="10" width="3.57142857142857" style="654" customWidth="1"/>
    <col min="11" max="13" width="8.57142857142857" style="654" customWidth="1"/>
    <col min="14" max="14" width="10.4285714285714" style="654" customWidth="1"/>
    <col min="15" max="15" width="8.57142857142857" style="654" customWidth="1"/>
    <col min="16" max="16" width="12.5714285714286" style="654" customWidth="1"/>
    <col min="17" max="17" width="7.42857142857143" style="654" hidden="1" customWidth="1"/>
    <col min="18" max="18" width="4.57142857142857" style="654" hidden="1" customWidth="1"/>
    <col min="19" max="19" width="15.5714285714286" style="654" customWidth="1"/>
    <col min="20" max="20" width="0.571428571428571" style="654" customWidth="1"/>
    <col min="21" max="21" width="22.5714285714286" style="654" customWidth="1"/>
    <col min="22" max="25" width="8.57142857142857" style="654" hidden="1" customWidth="1"/>
    <col min="26" max="26" width="48" style="654" customWidth="1"/>
    <col min="27" max="27" width="27" style="654" customWidth="1"/>
    <col min="28" max="28" width="25.4285714285714" style="654" customWidth="1"/>
    <col min="29" max="32" width="8.57142857142857" style="654" hidden="1" customWidth="1"/>
    <col min="33" max="33" width="20.5714285714286" style="654" hidden="1" customWidth="1"/>
    <col min="34" max="35" width="8.57142857142857" style="654" hidden="1" customWidth="1"/>
    <col min="36" max="36" width="8.57142857142857" hidden="1" customWidth="1"/>
    <col min="37" max="41" width="8.57142857142857" style="654" hidden="1" customWidth="1"/>
    <col min="42" max="45" width="8.57142857142857" style="680" hidden="1" customWidth="1"/>
    <col min="46" max="47" width="8.57142857142857" style="654" hidden="1" customWidth="1"/>
    <col min="48" max="48" width="3.57142857142857" style="654" hidden="1" customWidth="1"/>
    <col min="49" max="49" width="8.57142857142857" style="654" hidden="1" customWidth="1"/>
    <col min="50" max="51" width="8.57142857142857" style="709" hidden="1" customWidth="1"/>
    <col min="52" max="52" width="24.5714285714286" style="679" hidden="1" customWidth="1"/>
    <col min="53" max="55" width="8.57142857142857" style="654" hidden="1" customWidth="1"/>
    <col min="56" max="56" width="1" style="654" hidden="1" customWidth="1"/>
    <col min="57" max="58" width="43.5714285714286" style="654" hidden="1" customWidth="1"/>
    <col min="59" max="59" width="22.5714285714286" style="654" hidden="1" customWidth="1"/>
    <col min="60" max="61" width="8.57142857142857" style="654" hidden="1" customWidth="1"/>
    <col min="62" max="62" width="9.57142857142857" style="654" hidden="1" customWidth="1"/>
    <col min="63" max="63" width="31.4285714285714" style="654" hidden="1" customWidth="1"/>
    <col min="64" max="69" width="8.57142857142857" style="654" hidden="1" customWidth="1"/>
    <col min="70" max="71" width="8.57142857142857" style="654" customWidth="1"/>
    <col min="72" max="16384" width="8.57142857142857" style="654" hidden="1"/>
  </cols>
  <sheetData>
    <row r="1" spans="36:36" ht="16" thickBot="1">
      <c r="AJ1" s="1"/>
    </row>
    <row r="2" spans="2:59" ht="25.4" customHeight="1">
      <c r="B2" s="1548" t="s">
        <v>266</v>
      </c>
      <c r="C2" s="1549"/>
      <c r="D2" s="1549"/>
      <c r="E2" s="1549"/>
      <c r="F2" s="1549"/>
      <c r="G2" s="1549"/>
      <c r="H2" s="1549"/>
      <c r="I2" s="1549"/>
      <c r="J2" s="1549"/>
      <c r="K2" s="1549"/>
      <c r="L2" s="1549"/>
      <c r="M2" s="1549"/>
      <c r="N2" s="1549"/>
      <c r="O2" s="1549"/>
      <c r="P2" s="1549"/>
      <c r="Q2" s="1549"/>
      <c r="R2" s="1549"/>
      <c r="S2" s="1549"/>
      <c r="T2" s="1549"/>
      <c r="U2" s="1549"/>
      <c r="V2" s="1549"/>
      <c r="W2" s="1549"/>
      <c r="X2" s="1549"/>
      <c r="Y2" s="1549"/>
      <c r="Z2" s="1549"/>
      <c r="AA2" s="1549"/>
      <c r="AB2" s="1550"/>
      <c r="AG2" s="1583" t="s">
        <v>267</v>
      </c>
      <c r="AH2" s="1584"/>
      <c r="AI2" s="1584"/>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5"/>
    </row>
    <row r="3" spans="2:59" ht="15" customHeight="1" thickBot="1">
      <c r="B3" s="1551"/>
      <c r="C3" s="1552"/>
      <c r="D3" s="1552"/>
      <c r="E3" s="1552"/>
      <c r="F3" s="1552"/>
      <c r="G3" s="1552"/>
      <c r="H3" s="1552"/>
      <c r="I3" s="1552"/>
      <c r="J3" s="1552"/>
      <c r="K3" s="1552"/>
      <c r="L3" s="1552"/>
      <c r="M3" s="1552"/>
      <c r="N3" s="1552"/>
      <c r="O3" s="1552"/>
      <c r="P3" s="1552"/>
      <c r="Q3" s="1552"/>
      <c r="R3" s="1552"/>
      <c r="S3" s="1552"/>
      <c r="T3" s="1552"/>
      <c r="U3" s="1552"/>
      <c r="V3" s="1552"/>
      <c r="W3" s="1552"/>
      <c r="X3" s="1552"/>
      <c r="Y3" s="1552"/>
      <c r="Z3" s="1552"/>
      <c r="AA3" s="1552"/>
      <c r="AB3" s="1553"/>
      <c r="AG3" s="1586"/>
      <c r="AH3" s="1587"/>
      <c r="AI3" s="1587"/>
      <c r="AJ3" s="1587"/>
      <c r="AK3" s="1587"/>
      <c r="AL3" s="1587"/>
      <c r="AM3" s="1587"/>
      <c r="AN3" s="1587"/>
      <c r="AO3" s="1587"/>
      <c r="AP3" s="1587"/>
      <c r="AQ3" s="1587"/>
      <c r="AR3" s="1587"/>
      <c r="AS3" s="1587"/>
      <c r="AT3" s="1587"/>
      <c r="AU3" s="1587"/>
      <c r="AV3" s="1587"/>
      <c r="AW3" s="1587"/>
      <c r="AX3" s="1587"/>
      <c r="AY3" s="1587"/>
      <c r="AZ3" s="1587"/>
      <c r="BA3" s="1587"/>
      <c r="BB3" s="1587"/>
      <c r="BC3" s="1587"/>
      <c r="BD3" s="1587"/>
      <c r="BE3" s="1587"/>
      <c r="BF3" s="1587"/>
      <c r="BG3" s="1588"/>
    </row>
    <row r="4" spans="2:59" ht="15.65" customHeight="1">
      <c r="B4" s="1554" t="s">
        <v>268</v>
      </c>
      <c r="C4" s="1555"/>
      <c r="D4" s="1555"/>
      <c r="E4" s="1555"/>
      <c r="F4" s="1555"/>
      <c r="G4" s="1555"/>
      <c r="H4" s="1555"/>
      <c r="I4" s="1555"/>
      <c r="J4" s="1555"/>
      <c r="K4" s="1555"/>
      <c r="L4" s="1555"/>
      <c r="M4" s="1555"/>
      <c r="N4" s="1555"/>
      <c r="O4" s="1555"/>
      <c r="P4" s="1555"/>
      <c r="Q4" s="1555"/>
      <c r="R4" s="1555"/>
      <c r="S4" s="1555"/>
      <c r="T4" s="1555"/>
      <c r="U4" s="1555"/>
      <c r="V4" s="1555"/>
      <c r="W4" s="1555"/>
      <c r="X4" s="1555"/>
      <c r="Y4" s="1555"/>
      <c r="Z4" s="1555"/>
      <c r="AA4" s="1555"/>
      <c r="AB4" s="1556"/>
      <c r="AG4" s="1554" t="s">
        <v>269</v>
      </c>
      <c r="AH4" s="1555"/>
      <c r="AI4" s="1555"/>
      <c r="AJ4" s="1555"/>
      <c r="AK4" s="1555"/>
      <c r="AL4" s="1555"/>
      <c r="AM4" s="1555"/>
      <c r="AN4" s="1555"/>
      <c r="AO4" s="1555"/>
      <c r="AP4" s="1555"/>
      <c r="AQ4" s="1555"/>
      <c r="AR4" s="1555"/>
      <c r="AS4" s="1555"/>
      <c r="AT4" s="1555"/>
      <c r="AU4" s="1555"/>
      <c r="AV4" s="1555"/>
      <c r="AW4" s="1555"/>
      <c r="AX4" s="1555"/>
      <c r="AY4" s="1555"/>
      <c r="AZ4" s="1555"/>
      <c r="BA4" s="1555"/>
      <c r="BB4" s="1555"/>
      <c r="BC4" s="1555"/>
      <c r="BD4" s="1555"/>
      <c r="BE4" s="1555"/>
      <c r="BF4" s="1555"/>
      <c r="BG4" s="1556"/>
    </row>
    <row r="5" spans="2:59" ht="5.15" customHeight="1" thickBot="1">
      <c r="B5" s="1557"/>
      <c r="C5" s="1558"/>
      <c r="D5" s="1558"/>
      <c r="E5" s="1558"/>
      <c r="F5" s="1558"/>
      <c r="G5" s="1558"/>
      <c r="H5" s="1558"/>
      <c r="I5" s="1558"/>
      <c r="J5" s="1558"/>
      <c r="K5" s="1558"/>
      <c r="L5" s="1558"/>
      <c r="M5" s="1558"/>
      <c r="N5" s="1558"/>
      <c r="O5" s="1558"/>
      <c r="P5" s="1558"/>
      <c r="Q5" s="1558"/>
      <c r="R5" s="1558"/>
      <c r="S5" s="1558"/>
      <c r="T5" s="1558"/>
      <c r="U5" s="1558"/>
      <c r="V5" s="1558"/>
      <c r="W5" s="1558"/>
      <c r="X5" s="1558"/>
      <c r="Y5" s="1558"/>
      <c r="Z5" s="1558"/>
      <c r="AA5" s="1558"/>
      <c r="AB5" s="1559"/>
      <c r="AG5" s="1557"/>
      <c r="AH5" s="1558"/>
      <c r="AI5" s="1558"/>
      <c r="AJ5" s="1558"/>
      <c r="AK5" s="1558"/>
      <c r="AL5" s="1558"/>
      <c r="AM5" s="1558"/>
      <c r="AN5" s="1558"/>
      <c r="AO5" s="1558"/>
      <c r="AP5" s="1558"/>
      <c r="AQ5" s="1558"/>
      <c r="AR5" s="1558"/>
      <c r="AS5" s="1558"/>
      <c r="AT5" s="1558"/>
      <c r="AU5" s="1558"/>
      <c r="AV5" s="1558"/>
      <c r="AW5" s="1558"/>
      <c r="AX5" s="1558"/>
      <c r="AY5" s="1558"/>
      <c r="AZ5" s="1558"/>
      <c r="BA5" s="1558"/>
      <c r="BB5" s="1558"/>
      <c r="BC5" s="1558"/>
      <c r="BD5" s="1558"/>
      <c r="BE5" s="1558"/>
      <c r="BF5" s="1558"/>
      <c r="BG5" s="1559"/>
    </row>
    <row r="6" spans="2:58" ht="15.65" customHeight="1" hidden="1">
      <c r="B6" s="681"/>
      <c r="C6" s="656"/>
      <c r="D6" s="656"/>
      <c r="E6" s="656"/>
      <c r="F6" s="656"/>
      <c r="G6" s="656"/>
      <c r="H6" s="656"/>
      <c r="I6" s="656"/>
      <c r="J6" s="656"/>
      <c r="K6" s="656"/>
      <c r="L6" s="656"/>
      <c r="M6" s="656"/>
      <c r="N6" s="656"/>
      <c r="O6" s="656"/>
      <c r="P6" s="656"/>
      <c r="Q6" s="656"/>
      <c r="R6" s="656"/>
      <c r="S6" s="656"/>
      <c r="T6" s="656"/>
      <c r="U6" s="656"/>
      <c r="V6" s="656"/>
      <c r="W6" s="656"/>
      <c r="X6" s="656"/>
      <c r="Y6" s="656"/>
      <c r="Z6" s="656"/>
      <c r="AA6" s="657"/>
      <c r="AB6" s="657"/>
      <c r="AG6" s="655"/>
      <c r="AH6" s="656"/>
      <c r="AI6" s="656"/>
      <c r="AJ6" s="656"/>
      <c r="AK6" s="656"/>
      <c r="AL6" s="656"/>
      <c r="AM6" s="656"/>
      <c r="AN6" s="656"/>
      <c r="AO6" s="656"/>
      <c r="AP6" s="707"/>
      <c r="AQ6" s="707"/>
      <c r="AR6" s="707"/>
      <c r="AS6" s="707"/>
      <c r="AT6" s="656"/>
      <c r="AU6" s="656"/>
      <c r="AV6" s="656"/>
      <c r="AW6" s="656"/>
      <c r="AX6" s="710"/>
      <c r="AY6" s="710"/>
      <c r="AZ6" s="656"/>
      <c r="BA6" s="656"/>
      <c r="BB6" s="656"/>
      <c r="BC6" s="656"/>
      <c r="BD6" s="656"/>
      <c r="BE6" s="656"/>
      <c r="BF6" s="656"/>
    </row>
    <row r="7" spans="2:58" ht="14.15" customHeight="1" hidden="1">
      <c r="B7" s="681"/>
      <c r="C7" s="656"/>
      <c r="D7" s="656"/>
      <c r="E7" s="656"/>
      <c r="F7" s="656"/>
      <c r="G7" s="656"/>
      <c r="H7" s="656"/>
      <c r="I7" s="656"/>
      <c r="J7" s="656"/>
      <c r="K7" s="656"/>
      <c r="L7" s="656"/>
      <c r="M7" s="656"/>
      <c r="N7" s="656"/>
      <c r="O7" s="656"/>
      <c r="P7" s="656"/>
      <c r="Q7" s="656"/>
      <c r="R7" s="656"/>
      <c r="S7" s="656"/>
      <c r="T7" s="656"/>
      <c r="U7" s="656"/>
      <c r="V7" s="656"/>
      <c r="W7" s="656"/>
      <c r="X7" s="656"/>
      <c r="Y7" s="656"/>
      <c r="Z7" s="656"/>
      <c r="AA7" s="657"/>
      <c r="AB7" s="657"/>
      <c r="AG7" s="655"/>
      <c r="AH7" s="656"/>
      <c r="AI7" s="656"/>
      <c r="AJ7" s="656"/>
      <c r="AK7" s="656"/>
      <c r="AL7" s="656"/>
      <c r="AM7" s="656"/>
      <c r="AN7" s="656"/>
      <c r="AO7" s="656"/>
      <c r="AP7" s="707"/>
      <c r="AQ7" s="707"/>
      <c r="AR7" s="707"/>
      <c r="AS7" s="707"/>
      <c r="AT7" s="656"/>
      <c r="AU7" s="656"/>
      <c r="AV7" s="656"/>
      <c r="AW7" s="656"/>
      <c r="AX7" s="710"/>
      <c r="AY7" s="710"/>
      <c r="AZ7" s="656"/>
      <c r="BA7" s="656"/>
      <c r="BB7" s="656"/>
      <c r="BC7" s="656"/>
      <c r="BD7" s="656"/>
      <c r="BE7" s="656"/>
      <c r="BF7" s="656"/>
    </row>
    <row r="8" spans="2:58" ht="23.15" customHeight="1" hidden="1" thickBot="1">
      <c r="B8" s="682"/>
      <c r="C8" s="659"/>
      <c r="D8" s="659"/>
      <c r="E8" s="659"/>
      <c r="F8" s="659"/>
      <c r="G8" s="659"/>
      <c r="H8" s="659"/>
      <c r="I8" s="659"/>
      <c r="J8" s="659"/>
      <c r="K8" s="659"/>
      <c r="L8" s="659"/>
      <c r="M8" s="659"/>
      <c r="N8" s="659"/>
      <c r="O8" s="659"/>
      <c r="P8" s="659"/>
      <c r="Q8" s="659"/>
      <c r="R8" s="659"/>
      <c r="S8" s="659"/>
      <c r="T8" s="659"/>
      <c r="U8" s="659"/>
      <c r="V8" s="659"/>
      <c r="W8" s="659"/>
      <c r="X8" s="659"/>
      <c r="Y8" s="659"/>
      <c r="Z8" s="659"/>
      <c r="AA8" s="657"/>
      <c r="AB8" s="657"/>
      <c r="AG8" s="658"/>
      <c r="AH8" s="659"/>
      <c r="AI8" s="659"/>
      <c r="AJ8" s="659"/>
      <c r="AK8" s="659"/>
      <c r="AL8" s="659"/>
      <c r="AM8" s="659"/>
      <c r="AN8" s="659"/>
      <c r="AO8" s="659"/>
      <c r="AP8" s="708"/>
      <c r="AQ8" s="708"/>
      <c r="AR8" s="708"/>
      <c r="AS8" s="708"/>
      <c r="AT8" s="659"/>
      <c r="AU8" s="659"/>
      <c r="AV8" s="659"/>
      <c r="AW8" s="659"/>
      <c r="AX8" s="711"/>
      <c r="AY8" s="711"/>
      <c r="AZ8" s="659"/>
      <c r="BA8" s="659"/>
      <c r="BB8" s="659"/>
      <c r="BC8" s="659"/>
      <c r="BD8" s="659"/>
      <c r="BE8" s="659"/>
      <c r="BF8" s="656"/>
    </row>
    <row r="9" spans="2:65" s="669" customFormat="1" ht="63.65" customHeight="1" thickBot="1">
      <c r="B9" s="662" t="s">
        <v>270</v>
      </c>
      <c r="C9" s="660"/>
      <c r="D9" s="661"/>
      <c r="E9" s="1577" t="s">
        <v>271</v>
      </c>
      <c r="F9" s="1579"/>
      <c r="G9" s="1579"/>
      <c r="H9" s="1569" t="s">
        <v>272</v>
      </c>
      <c r="I9" s="1571"/>
      <c r="J9" s="1570"/>
      <c r="K9" s="1569" t="s">
        <v>273</v>
      </c>
      <c r="L9" s="1570"/>
      <c r="M9" s="1577" t="s">
        <v>274</v>
      </c>
      <c r="N9" s="1578"/>
      <c r="O9" s="1569" t="s">
        <v>275</v>
      </c>
      <c r="P9" s="1571"/>
      <c r="Q9" s="1571"/>
      <c r="R9" s="1570"/>
      <c r="S9" s="1569" t="s">
        <v>276</v>
      </c>
      <c r="T9" s="1570"/>
      <c r="U9" s="663" t="s">
        <v>277</v>
      </c>
      <c r="V9" s="660"/>
      <c r="W9" s="660"/>
      <c r="X9" s="660"/>
      <c r="Y9" s="660"/>
      <c r="Z9" s="664" t="s">
        <v>278</v>
      </c>
      <c r="AA9" s="664" t="s">
        <v>279</v>
      </c>
      <c r="AB9" s="664" t="s">
        <v>280</v>
      </c>
      <c r="AC9" s="666" t="s">
        <v>281</v>
      </c>
      <c r="AD9" s="667" t="s">
        <v>282</v>
      </c>
      <c r="AE9" s="668" t="s">
        <v>283</v>
      </c>
      <c r="AG9" s="670" t="s">
        <v>270</v>
      </c>
      <c r="AH9" s="660"/>
      <c r="AI9" s="661"/>
      <c r="AJ9" s="1577" t="s">
        <v>284</v>
      </c>
      <c r="AK9" s="1579"/>
      <c r="AL9" s="1579"/>
      <c r="AM9" s="1569" t="s">
        <v>272</v>
      </c>
      <c r="AN9" s="1571"/>
      <c r="AO9" s="1570"/>
      <c r="AP9" s="1569" t="s">
        <v>285</v>
      </c>
      <c r="AQ9" s="1570"/>
      <c r="AR9" s="1569" t="s">
        <v>286</v>
      </c>
      <c r="AS9" s="1570"/>
      <c r="AT9" s="1569" t="s">
        <v>287</v>
      </c>
      <c r="AU9" s="1571"/>
      <c r="AV9" s="1571"/>
      <c r="AW9" s="1570"/>
      <c r="AX9" s="1565" t="s">
        <v>146</v>
      </c>
      <c r="AY9" s="1566"/>
      <c r="AZ9" s="663" t="s">
        <v>288</v>
      </c>
      <c r="BA9" s="660"/>
      <c r="BB9" s="660"/>
      <c r="BC9" s="660"/>
      <c r="BD9" s="660"/>
      <c r="BE9" s="664" t="s">
        <v>278</v>
      </c>
      <c r="BF9" s="664" t="s">
        <v>289</v>
      </c>
      <c r="BG9" s="664" t="s">
        <v>290</v>
      </c>
      <c r="BH9" s="665" t="s">
        <v>290</v>
      </c>
      <c r="BI9" s="667" t="s">
        <v>282</v>
      </c>
      <c r="BJ9" s="667" t="s">
        <v>291</v>
      </c>
      <c r="BL9" s="669" t="s">
        <v>292</v>
      </c>
      <c r="BM9" s="669" t="s">
        <v>293</v>
      </c>
    </row>
    <row r="10" spans="2:65" s="673" customFormat="1" ht="44.9" customHeight="1">
      <c r="B10" s="683" t="str" cm="1">
        <f t="array" ref="B10">IFERROR(INDEX($AD$10:$AD$259,MATCH(0,IF(TRUE=$AC$10:$AC$259,COUNTIF($B$9:B9,$AD$10:$AD$259),""),0)),"")</f>
        <v/>
      </c>
      <c r="C10" s="640"/>
      <c r="D10" s="640"/>
      <c r="E10" s="1575" t="str">
        <f>IF(B10="","",IF(ISNA(VLOOKUP($B10,'A-1 On-Site Habitat Baseline'!$D$1:$AV$258,45,FALSE)),"",(VLOOKUP(B10,'A-1 On-Site Habitat Baseline'!$D$1:$AV$258,45,FALSE))))</f>
        <v/>
      </c>
      <c r="F10" s="1575"/>
      <c r="G10" s="1575"/>
      <c r="H10" s="1576"/>
      <c r="I10" s="1576"/>
      <c r="J10" s="1576"/>
      <c r="K10" s="1567" t="str">
        <f>IF(B10="","",IF(ISNA(VLOOKUP($B10,'A-1 On-Site Habitat Baseline'!$D$1:$AV$258,5,FALSE)),"",(VLOOKUP(B10,'A-1 On-Site Habitat Baseline'!$D$1:$AV$258,5,FALSE))))</f>
        <v/>
      </c>
      <c r="L10" s="1567"/>
      <c r="M10" s="1567" t="str">
        <f>IF(B10="","",IF(ISNA(VLOOKUP($B10,'A-1 On-Site Habitat Baseline'!$D$1:$AV$258,16,FALSE)),"",(VLOOKUP(B10,'A-1 On-Site Habitat Baseline'!$D$1:$AV$258,16,FALSE))))</f>
        <v/>
      </c>
      <c r="N10" s="1567"/>
      <c r="O10" s="1567" t="str">
        <f>IF(B10="","",IF(ISNA(VLOOKUP($B10,'A-1 On-Site Habitat Baseline'!$D$1:$AV$258,17,FALSE)),"",(VLOOKUP(B10,'A-1 On-Site Habitat Baseline'!$D$1:$AV$258,17,FALSE))))</f>
        <v/>
      </c>
      <c r="P10" s="1567"/>
      <c r="Q10" s="1567"/>
      <c r="R10" s="1567"/>
      <c r="S10" s="1567" t="str">
        <f>IFERROR(K10-(M10+O10),"")</f>
        <v/>
      </c>
      <c r="T10" s="1575"/>
      <c r="U10" s="1562" t="str">
        <f>IF(OR(E10="",S10=0),"",IF(BM10="No","No ▲",IF(AND(BM10&lt;&gt;"Yes",E10&lt;&gt;""),"No ▲","Yes ✓")))</f>
        <v/>
      </c>
      <c r="V10" s="1563"/>
      <c r="W10" s="1563"/>
      <c r="X10" s="1563"/>
      <c r="Y10" s="1564"/>
      <c r="Z10" s="653" t="str">
        <f ca="1">IFERROR(IF(LEN(VLOOKUP($B10,'A-1 On-Site Habitat Baseline'!$D$1:$AV$258,23,FALSE))=0,"",IF(B10="","",IF(ISNA(VLOOKUP($B10,'A-1 On-Site Habitat Baseline'!$D$1:$AV$258,23,FALSE)),"",(VLOOKUP(B10,'A-1 On-Site Habitat Baseline'!$D$1:$AV$258,23,FALSE))))),"")</f>
        <v/>
      </c>
      <c r="AA10" s="653" t="str">
        <f ca="1">IFERROR(IF(LEN(VLOOKUP($B10,'A-1 On-Site Habitat Baseline'!$D$1:$AV$258,24,FALSE))=0,"",IF(B10="","",IF(ISNA(VLOOKUP($B10,'A-1 On-Site Habitat Baseline'!$D$1:$AV$258,24,FALSE)),"",(VLOOKUP(B10,'A-1 On-Site Habitat Baseline'!$D$1:$AV$258,24,FALSE))))),"")</f>
        <v/>
      </c>
      <c r="AB10" s="671" t="str">
        <f ca="1">IFERROR(IF(LEN(VLOOKUP($B10,'A-1 On-Site Habitat Baseline'!$D$1:$AV$258,25,FALSE))=0,"",IF(B10="","",IF(ISNA(VLOOKUP($B10,'A-1 On-Site Habitat Baseline'!$D$1:$AV$258,25,FALSE)),"",(VLOOKUP(B10,'A-1 On-Site Habitat Baseline'!$D$1:$AV$258,25,FALSE))))),"")</f>
        <v/>
      </c>
      <c r="AC10" s="672" t="b">
        <f>IF('A-1 On-Site Habitat Baseline'!G11="","",IF('A-1 On-Site Habitat Baseline'!G11="Yes",TRUE,FALSE))</f>
        <v>0</v>
      </c>
      <c r="AD10" s="673">
        <v>1</v>
      </c>
      <c r="AE10" s="672" t="str">
        <f>IF('D-1 Off-Site Habitat Baseline'!G11="","",IF('D-1 Off-Site Habitat Baseline'!G11="Yes",TRUE,FALSE))</f>
        <v/>
      </c>
      <c r="AF10" s="672"/>
      <c r="AG10" s="639" t="str" cm="1">
        <f t="array" ref="AG10">IFERROR(INDEX($BI$10:$BI$259,MATCH(0,IF(TRUE=$BH$10:$BH$259,COUNTIF($AG$9:AG9,$BI$10:$BI$259),""),0)),"")</f>
        <v/>
      </c>
      <c r="AH10" s="640"/>
      <c r="AI10" s="640"/>
      <c r="AJ10" s="1575" t="str">
        <f>IF(BH10=FALSE,"",IF(ISNA(VLOOKUP(AG10,'C-1 On-Site WaterC'' Baseline'!C$1:D$257,2,FALSE)),"",(VLOOKUP(AG10,'C-1 On-Site WaterC'' Baseline'!C$1:D$257,2,FALSE))))</f>
        <v/>
      </c>
      <c r="AK10" s="1575"/>
      <c r="AL10" s="1575"/>
      <c r="AM10" s="1576"/>
      <c r="AN10" s="1576"/>
      <c r="AO10" s="1576"/>
      <c r="AP10" s="1567" t="str">
        <f>IF(AG10="","",IF(ISNA(VLOOKUP($AG10,'C-1 On-Site WaterC'' Baseline'!C$1:E$257,3,FALSE)),"",(VLOOKUP(AG10,'C-1 On-Site WaterC'' Baseline'!C$1:E$257,3,FALSE))))</f>
        <v/>
      </c>
      <c r="AQ10" s="1567"/>
      <c r="AR10" s="1567" t="str">
        <f>IF(AG10="","",IF(ISNA(VLOOKUP($AG10,'C-1 On-Site WaterC'' Baseline'!C$1:AA$257,19,FALSE)),"",(VLOOKUP(AG10,'C-1 On-Site WaterC'' Baseline'!C$1:AA$257,19,FALSE))))</f>
        <v/>
      </c>
      <c r="AS10" s="1567"/>
      <c r="AT10" s="1567" t="str">
        <f>IF(AG10="","",IF(ISNA(VLOOKUP($AG10,'C-1 On-Site WaterC'' Baseline'!C$1:AA$257,20,FALSE)),"",(VLOOKUP(AG10,'C-1 On-Site WaterC'' Baseline'!C$1:AA$257,20,FALSE))))</f>
        <v/>
      </c>
      <c r="AU10" s="1567"/>
      <c r="AV10" s="1567"/>
      <c r="AW10" s="1567"/>
      <c r="AX10" s="1567" t="str">
        <f>IF(AJ10="","",AP10-(AR10+AT10))</f>
        <v/>
      </c>
      <c r="AY10" s="1567"/>
      <c r="AZ10" s="1562" t="str">
        <f t="shared" si="0" ref="AZ10:AZ31">IF(OR(AJ10="",AX10=0),"",IF(BL10="No","No",IF(AND(BL10&lt;&gt;"Yes",AJ10&lt;&gt;""),"No ▲","Yes ✓")))</f>
        <v/>
      </c>
      <c r="BA10" s="1563"/>
      <c r="BB10" s="1563"/>
      <c r="BC10" s="1563"/>
      <c r="BD10" s="1564"/>
      <c r="BE10" s="653" t="str">
        <f>IFERROR(IF(LEN(VLOOKUP($AG10,'C-1 On-Site WaterC'' Baseline'!C$1:AE$257,26,FALSE))=0,"",IF(AG10="","",IF(ISNA(VLOOKUP($AG10,'C-1 On-Site WaterC'' Baseline'!C$1:AE$257,26,FALSE)),"",(VLOOKUP(AG10,'C-1 On-Site WaterC'' Baseline'!C$1:AE$257,26,FALSE))))),"")</f>
        <v/>
      </c>
      <c r="BF10" s="653" t="str">
        <f>IFERROR(IF(LEN(VLOOKUP($AG10,'C-1 On-Site WaterC'' Baseline'!C$1:AE$257,27,FALSE))=0,"",IF(AG10="","",IF(ISNA(VLOOKUP($AG10,'C-1 On-Site WaterC'' Baseline'!C$1:AE$257,27,FALSE)),"",(VLOOKUP(AG10,'C-1 On-Site WaterC'' Baseline'!C$1:AE$257,27,FALSE))))),"")</f>
        <v/>
      </c>
      <c r="BG10" s="671" t="str">
        <f>IFERROR(IF(LEN(VLOOKUP($AG10,'C-1 On-Site WaterC'' Baseline'!C$1:AE$257,28,FALSE))=0,"",IF(AG10="","",IF(ISNA(VLOOKUP($AG10,'C-1 On-Site WaterC'' Baseline'!C$1:AE$257,28,FALSE)),"",(VLOOKUP(AG10,'C-1 On-Site WaterC'' Baseline'!C$1:AE$257,28,FALSE))))),"")</f>
        <v/>
      </c>
      <c r="BH10" s="673" t="b">
        <f>IF('C-1 On-Site WaterC'' Baseline'!AU10="","",IF('C-1 On-Site WaterC'' Baseline'!AU10="Yes",TRUE,FALSE))</f>
        <v>0</v>
      </c>
      <c r="BI10" s="673">
        <v>1</v>
      </c>
      <c r="BJ10" s="673" t="str">
        <f>IF('F-1 Off-Site WaterC'' Baseline'!AU10="","",IF('F-1 Off-Site WaterC'' Baseline'!AU10="Yes",TRUE,FALSE))</f>
        <v/>
      </c>
      <c r="BK10" s="673" t="str">
        <f t="shared" si="1" ref="BK10:BK31">IF(AG10="","",IF(AX10=0,"",IF(AND(AG10&lt;&gt;"",AX10&gt;0,AZ10&lt;&gt;"Yes ✓"),"","Irreplaceable habitat lost, bespoke compensation must be agreed with concenting body ▲")))</f>
        <v/>
      </c>
      <c r="BL10" s="673" t="str">
        <f>IF(AG10="","",IF(LEN(VLOOKUP($AG10,'C-1 On-Site WaterC'' Baseline'!$C$1:$AV$257,25,FALSE))=0,"",VLOOKUP(AG10,'C-1 On-Site WaterC'' Baseline'!$C$1:$AV$257,25,FALSE)))</f>
        <v/>
      </c>
      <c r="BM10" s="673" t="str">
        <f>IF(B10="","",IF(LEN(VLOOKUP($B10,'A-1 On-Site Habitat Baseline'!$D$1:$AV$258,22,FALSE))=0,"",(VLOOKUP(B10,'A-1 On-Site Habitat Baseline'!$D$1:$AV$258,22,FALSE))))</f>
        <v/>
      </c>
    </row>
    <row r="11" spans="2:65" s="675" customFormat="1" ht="44.9" customHeight="1">
      <c r="B11" s="684" t="str" cm="1">
        <f t="array" ref="B11">IFERROR(INDEX($AD$10:$AD$259,MATCH(0,IF(TRUE=$AC$10:$AC$259,COUNTIF($B$9:B10,$AD$10:$AD$259),""),0)),"")</f>
        <v/>
      </c>
      <c r="C11" s="642"/>
      <c r="D11" s="642"/>
      <c r="E11" s="1545" t="str">
        <f>IF(B11="","",IF(ISNA(VLOOKUP($B11,'A-1 On-Site Habitat Baseline'!$D$1:$AV$258,45,FALSE)),"",(VLOOKUP(B11,'A-1 On-Site Habitat Baseline'!$D$1:$AV$258,45,FALSE))))</f>
        <v/>
      </c>
      <c r="F11" s="1545"/>
      <c r="G11" s="1545"/>
      <c r="H11" s="1573"/>
      <c r="I11" s="1573"/>
      <c r="J11" s="1573"/>
      <c r="K11" s="1534" t="str">
        <f>IF(B11="","",IF(ISNA(VLOOKUP($B11,'A-1 On-Site Habitat Baseline'!$D$1:$AV$258,5,FALSE)),"",(VLOOKUP(B11,'A-1 On-Site Habitat Baseline'!$D$1:$AV$258,5,FALSE))))</f>
        <v/>
      </c>
      <c r="L11" s="1534"/>
      <c r="M11" s="1534" t="str">
        <f>IF(B11="","",IF(ISNA(VLOOKUP($B11,'A-1 On-Site Habitat Baseline'!$D$1:$AV$258,16,FALSE)),"",(VLOOKUP(B11,'A-1 On-Site Habitat Baseline'!$D$1:$AV$258,16,FALSE))))</f>
        <v/>
      </c>
      <c r="N11" s="1534"/>
      <c r="O11" s="1534" t="str">
        <f>IF(B11="","",IF(ISNA(VLOOKUP($B11,'A-1 On-Site Habitat Baseline'!$D$1:$AV$258,17,FALSE)),"",(VLOOKUP(B11,'A-1 On-Site Habitat Baseline'!$D$1:$AV$258,17,FALSE))))</f>
        <v/>
      </c>
      <c r="P11" s="1534"/>
      <c r="Q11" s="1534"/>
      <c r="R11" s="1534"/>
      <c r="S11" s="1534" t="str">
        <f t="shared" si="2" ref="S11:S31">IFERROR(K11-(M11+O11),"")</f>
        <v/>
      </c>
      <c r="T11" s="1545"/>
      <c r="U11" s="648" t="str">
        <f t="shared" si="3" ref="U11:U31">IF(OR(E11="",S11=0),"",IF(BM11="No","No ▲",IF(AND(BM11&lt;&gt;"Yes",E11&lt;&gt;""),"No ▲","Yes ✓")))</f>
        <v/>
      </c>
      <c r="V11" s="646"/>
      <c r="W11" s="646"/>
      <c r="X11" s="646"/>
      <c r="Y11" s="646"/>
      <c r="Z11" s="652" t="str">
        <f ca="1">IFERROR(IF(LEN(VLOOKUP($B11,'A-1 On-Site Habitat Baseline'!$D$1:$AV$258,23,FALSE))=0,"",IF(B11="","",IF(ISNA(VLOOKUP($B11,'A-1 On-Site Habitat Baseline'!$D$1:$AV$258,23,FALSE)),"",(VLOOKUP(B11,'A-1 On-Site Habitat Baseline'!$D$1:$AV$258,23,FALSE))))),"")</f>
        <v/>
      </c>
      <c r="AA11" s="652" t="str">
        <f ca="1">IFERROR(IF(LEN(VLOOKUP($B11,'A-1 On-Site Habitat Baseline'!$D$1:$AV$258,24,FALSE))=0,"",IF(B11="","",IF(ISNA(VLOOKUP($B11,'A-1 On-Site Habitat Baseline'!$D$1:$AV$258,24,FALSE)),"",(VLOOKUP(B11,'A-1 On-Site Habitat Baseline'!$D$1:$AV$258,24,FALSE))))),"")</f>
        <v/>
      </c>
      <c r="AB11" s="674" t="str">
        <f ca="1">IFERROR(IF(LEN(VLOOKUP($B11,'A-1 On-Site Habitat Baseline'!$D$1:$AV$258,25,FALSE))=0,"",IF(B11="","",IF(ISNA(VLOOKUP($B11,'A-1 On-Site Habitat Baseline'!$D$1:$AV$258,25,FALSE)),"",(VLOOKUP(B11,'A-1 On-Site Habitat Baseline'!$D$1:$AV$258,25,FALSE))))),"")</f>
        <v/>
      </c>
      <c r="AC11" s="672" t="b">
        <f>IF('A-1 On-Site Habitat Baseline'!G12="","",IF('A-1 On-Site Habitat Baseline'!G12="Yes",TRUE,FALSE))</f>
        <v>0</v>
      </c>
      <c r="AD11" s="673">
        <v>2</v>
      </c>
      <c r="AE11" s="672" t="str">
        <f>IF('D-1 Off-Site Habitat Baseline'!G12="","",IF('D-1 Off-Site Habitat Baseline'!G12="Yes",TRUE,FALSE))</f>
        <v/>
      </c>
      <c r="AF11" s="672"/>
      <c r="AG11" s="641" t="str" cm="1">
        <f t="array" ref="AG11">IFERROR(INDEX($BI$10:$BI$259,MATCH(0,IF(TRUE=$BH$10:$BH$259,COUNTIF($AG$9:AG10,$BI$10:$BI$259),""),0)),"")</f>
        <v/>
      </c>
      <c r="AH11" s="642"/>
      <c r="AI11" s="642"/>
      <c r="AJ11" s="1545" t="str">
        <f>IF(BH11=FALSE,"",IF(ISNA(VLOOKUP(AG11,'C-1 On-Site WaterC'' Baseline'!C$1:D$257,2,FALSE)),"",(VLOOKUP(AG11,'C-1 On-Site WaterC'' Baseline'!C$1:D$257,2,FALSE))))</f>
        <v/>
      </c>
      <c r="AK11" s="1545"/>
      <c r="AL11" s="1545"/>
      <c r="AM11" s="1573"/>
      <c r="AN11" s="1573"/>
      <c r="AO11" s="1573"/>
      <c r="AP11" s="1534" t="str">
        <f>IF(AG11="","",IF(ISNA(VLOOKUP($AG11,'C-1 On-Site WaterC'' Baseline'!C$1:E$257,3,FALSE)),"",(VLOOKUP(AG11,'C-1 On-Site WaterC'' Baseline'!C$1:E$257,3,FALSE))))</f>
        <v/>
      </c>
      <c r="AQ11" s="1534"/>
      <c r="AR11" s="1531" t="str">
        <f>IF(AG11="","",IF(ISNA(VLOOKUP($AG11,'C-1 On-Site WaterC'' Baseline'!C$1:AA$257,19,FALSE)),"",(VLOOKUP(AG11,'C-1 On-Site WaterC'' Baseline'!C$1:AA$257,19,FALSE))))</f>
        <v/>
      </c>
      <c r="AS11" s="1533"/>
      <c r="AT11" s="1531" t="str">
        <f>IF(AG11="","",IF(ISNA(VLOOKUP($AG11,'C-1 On-Site WaterC'' Baseline'!C$1:AA$257,20,FALSE)),"",(VLOOKUP(AG11,'C-1 On-Site WaterC'' Baseline'!C$1:AA$257,20,FALSE))))</f>
        <v/>
      </c>
      <c r="AU11" s="1532"/>
      <c r="AV11" s="1532"/>
      <c r="AW11" s="1533"/>
      <c r="AX11" s="1534" t="str">
        <f t="shared" si="4" ref="AX11:AX31">IF(AJ11="","",AP11-(AR11+AT11))</f>
        <v/>
      </c>
      <c r="AY11" s="1534"/>
      <c r="AZ11" s="1535" t="str">
        <f t="shared" si="0"/>
        <v/>
      </c>
      <c r="BA11" s="1536"/>
      <c r="BB11" s="1536"/>
      <c r="BC11" s="1536"/>
      <c r="BD11" s="1537"/>
      <c r="BE11" s="676" t="str">
        <f>IFERROR(IF(LEN(VLOOKUP($AG11,'C-1 On-Site WaterC'' Baseline'!C$1:AE$257,26,FALSE))=0,"",IF(AG11="","",IF(ISNA(VLOOKUP($AG11,'C-1 On-Site WaterC'' Baseline'!C$1:AE$257,26,FALSE)),"",(VLOOKUP(AG11,'C-1 On-Site WaterC'' Baseline'!C$1:AE$257,26,FALSE))))),"")</f>
        <v/>
      </c>
      <c r="BF11" s="652" t="str">
        <f>IFERROR(IF(LEN(VLOOKUP($AG11,'C-1 On-Site WaterC'' Baseline'!C$1:AE$257,27,FALSE))=0,"",IF(AG11="","",IF(ISNA(VLOOKUP($AG11,'C-1 On-Site WaterC'' Baseline'!C$1:AE$257,27,FALSE)),"",(VLOOKUP(AG11,'C-1 On-Site WaterC'' Baseline'!C$1:AE$257,27,FALSE))))),"")</f>
        <v/>
      </c>
      <c r="BG11" s="687" t="str">
        <f>IFERROR(IF(LEN(VLOOKUP($AG11,'C-1 On-Site WaterC'' Baseline'!C$1:AE$257,28,FALSE))=0,"",IF(AG11="","",IF(ISNA(VLOOKUP($AG11,'C-1 On-Site WaterC'' Baseline'!C$1:AE$257,28,FALSE)),"",(VLOOKUP(AG11,'C-1 On-Site WaterC'' Baseline'!C$1:AE$257,28,FALSE))))),"")</f>
        <v/>
      </c>
      <c r="BH11" s="673" t="str">
        <f>IF('C-1 On-Site WaterC'' Baseline'!AU11="","",IF('C-1 On-Site WaterC'' Baseline'!AU11="Yes",TRUE,FALSE))</f>
        <v/>
      </c>
      <c r="BI11" s="673">
        <v>2</v>
      </c>
      <c r="BJ11" s="673" t="str">
        <f>IF('F-1 Off-Site WaterC'' Baseline'!AU11="","",IF('F-1 Off-Site WaterC'' Baseline'!AU11="Yes",TRUE,FALSE))</f>
        <v/>
      </c>
      <c r="BK11" s="673" t="str">
        <f t="shared" si="1"/>
        <v/>
      </c>
      <c r="BL11" s="673" t="str">
        <f>IF(AG11="","",IF(LEN(VLOOKUP($AG11,'C-1 On-Site WaterC'' Baseline'!$C$1:$AV$257,25,FALSE))=0,"",VLOOKUP(AG11,'C-1 On-Site WaterC'' Baseline'!$C$1:$AV$257,25,FALSE)))</f>
        <v/>
      </c>
      <c r="BM11" s="673" t="str">
        <f>IF(B11="","",IF(LEN(VLOOKUP($B11,'A-1 On-Site Habitat Baseline'!$D$1:$AV$258,22,FALSE))=0,"",(VLOOKUP(B11,'A-1 On-Site Habitat Baseline'!$D$1:$AV$258,22,FALSE))))</f>
        <v/>
      </c>
    </row>
    <row r="12" spans="2:65" s="675" customFormat="1" ht="44.9" customHeight="1">
      <c r="B12" s="684" t="str" cm="1">
        <f t="array" ref="B12">IFERROR(INDEX($AD$10:$AD$259,MATCH(0,IF(TRUE=$AC$10:$AC$259,COUNTIF($B$9:B11,$AD$10:$AD$259),""),0)),"")</f>
        <v/>
      </c>
      <c r="C12" s="642"/>
      <c r="D12" s="642"/>
      <c r="E12" s="1545" t="str">
        <f>IF(B12="","",IF(ISNA(VLOOKUP($B12,'A-1 On-Site Habitat Baseline'!$D$1:$AV$258,45,FALSE)),"",(VLOOKUP(B12,'A-1 On-Site Habitat Baseline'!$D$1:$AV$258,45,FALSE))))</f>
        <v/>
      </c>
      <c r="F12" s="1545"/>
      <c r="G12" s="1545"/>
      <c r="H12" s="1573"/>
      <c r="I12" s="1573"/>
      <c r="J12" s="1573"/>
      <c r="K12" s="1534" t="str">
        <f>IF(B12="","",IF(ISNA(VLOOKUP($B12,'A-1 On-Site Habitat Baseline'!$D$1:$AV$258,5,FALSE)),"",(VLOOKUP(B12,'A-1 On-Site Habitat Baseline'!$D$1:$AV$258,5,FALSE))))</f>
        <v/>
      </c>
      <c r="L12" s="1534"/>
      <c r="M12" s="1534" t="str">
        <f>IF(B12="","",IF(ISNA(VLOOKUP($B12,'A-1 On-Site Habitat Baseline'!$D$1:$AV$258,16,FALSE)),"",(VLOOKUP(B12,'A-1 On-Site Habitat Baseline'!$D$1:$AV$258,16,FALSE))))</f>
        <v/>
      </c>
      <c r="N12" s="1534"/>
      <c r="O12" s="1534" t="str">
        <f>IF(B12="","",IF(ISNA(VLOOKUP($B12,'A-1 On-Site Habitat Baseline'!$D$1:$AV$258,17,FALSE)),"",(VLOOKUP(B12,'A-1 On-Site Habitat Baseline'!$D$1:$AV$258,17,FALSE))))</f>
        <v/>
      </c>
      <c r="P12" s="1534"/>
      <c r="Q12" s="1534"/>
      <c r="R12" s="1534"/>
      <c r="S12" s="1534" t="str">
        <f t="shared" si="2"/>
        <v/>
      </c>
      <c r="T12" s="1545"/>
      <c r="U12" s="648" t="str">
        <f t="shared" si="3"/>
        <v/>
      </c>
      <c r="V12" s="646"/>
      <c r="W12" s="646"/>
      <c r="X12" s="646"/>
      <c r="Y12" s="646"/>
      <c r="Z12" s="676" t="str">
        <f ca="1">IFERROR(IF(LEN(VLOOKUP($B12,'A-1 On-Site Habitat Baseline'!$D$1:$AV$258,23,FALSE))=0,"",IF(B12="","",IF(ISNA(VLOOKUP($B12,'A-1 On-Site Habitat Baseline'!$D$1:$AV$258,23,FALSE)),"",(VLOOKUP(B12,'A-1 On-Site Habitat Baseline'!$D$1:$AV$258,23,FALSE))))),"")</f>
        <v/>
      </c>
      <c r="AA12" s="652" t="str">
        <f ca="1">IFERROR(IF(LEN(VLOOKUP($B12,'A-1 On-Site Habitat Baseline'!$D$1:$AV$258,24,FALSE))=0,"",IF(B12="","",IF(ISNA(VLOOKUP($B12,'A-1 On-Site Habitat Baseline'!$D$1:$AV$258,24,FALSE)),"",(VLOOKUP(B12,'A-1 On-Site Habitat Baseline'!$D$1:$AV$258,24,FALSE))))),"")</f>
        <v/>
      </c>
      <c r="AB12" s="674" t="str">
        <f ca="1">IFERROR(IF(LEN(VLOOKUP($B12,'A-1 On-Site Habitat Baseline'!$D$1:$AV$258,25,FALSE))=0,"",IF(B12="","",IF(ISNA(VLOOKUP($B12,'A-1 On-Site Habitat Baseline'!$D$1:$AV$258,25,FALSE)),"",(VLOOKUP(B12,'A-1 On-Site Habitat Baseline'!$D$1:$AV$258,25,FALSE))))),"")</f>
        <v/>
      </c>
      <c r="AC12" s="672" t="b">
        <f>IF('A-1 On-Site Habitat Baseline'!G13="","",IF('A-1 On-Site Habitat Baseline'!G13="Yes",TRUE,FALSE))</f>
        <v>0</v>
      </c>
      <c r="AD12" s="673">
        <v>3</v>
      </c>
      <c r="AE12" s="672" t="str">
        <f>IF('D-1 Off-Site Habitat Baseline'!G13="","",IF('D-1 Off-Site Habitat Baseline'!G13="Yes",TRUE,FALSE))</f>
        <v/>
      </c>
      <c r="AF12" s="672"/>
      <c r="AG12" s="641" t="str" cm="1">
        <f t="array" ref="AG12">IFERROR(INDEX($BI$10:$BI$259,MATCH(0,IF(TRUE=$BH$10:$BH$259,COUNTIF($AG$9:AG11,$BI$10:$BI$259),""),0)),"")</f>
        <v/>
      </c>
      <c r="AH12" s="642"/>
      <c r="AI12" s="642"/>
      <c r="AJ12" s="1545" t="str">
        <f>IF(BH12=FALSE,"",IF(ISNA(VLOOKUP(AG12,'C-1 On-Site WaterC'' Baseline'!C$1:D$257,2,FALSE)),"",(VLOOKUP(AG12,'C-1 On-Site WaterC'' Baseline'!C$1:D$257,2,FALSE))))</f>
        <v/>
      </c>
      <c r="AK12" s="1545"/>
      <c r="AL12" s="1545"/>
      <c r="AM12" s="1573"/>
      <c r="AN12" s="1573"/>
      <c r="AO12" s="1573"/>
      <c r="AP12" s="1534" t="str">
        <f>IF(AG12="","",IF(ISNA(VLOOKUP($AG12,'C-1 On-Site WaterC'' Baseline'!C$1:E$257,3,FALSE)),"",(VLOOKUP(AG12,'C-1 On-Site WaterC'' Baseline'!C$1:E$257,3,FALSE))))</f>
        <v/>
      </c>
      <c r="AQ12" s="1534"/>
      <c r="AR12" s="1531" t="str">
        <f>IF(AG12="","",IF(ISNA(VLOOKUP($AG12,'C-1 On-Site WaterC'' Baseline'!C$1:AA$257,19,FALSE)),"",(VLOOKUP(AG12,'C-1 On-Site WaterC'' Baseline'!C$1:AA$257,19,FALSE))))</f>
        <v/>
      </c>
      <c r="AS12" s="1533"/>
      <c r="AT12" s="1531" t="str">
        <f>IF(AG12="","",IF(ISNA(VLOOKUP($AG12,'C-1 On-Site WaterC'' Baseline'!C$1:AA$257,20,FALSE)),"",(VLOOKUP(AG12,'C-1 On-Site WaterC'' Baseline'!C$1:AA$257,20,FALSE))))</f>
        <v/>
      </c>
      <c r="AU12" s="1532"/>
      <c r="AV12" s="1532"/>
      <c r="AW12" s="1533"/>
      <c r="AX12" s="1534" t="str">
        <f t="shared" si="4"/>
        <v/>
      </c>
      <c r="AY12" s="1534"/>
      <c r="AZ12" s="1535" t="str">
        <f t="shared" si="0"/>
        <v/>
      </c>
      <c r="BA12" s="1536"/>
      <c r="BB12" s="1536"/>
      <c r="BC12" s="1536"/>
      <c r="BD12" s="1537"/>
      <c r="BE12" s="676" t="str">
        <f>IFERROR(IF(LEN(VLOOKUP($AG12,'C-1 On-Site WaterC'' Baseline'!C$1:AE$257,26,FALSE))=0,"",IF(AG12="","",IF(ISNA(VLOOKUP($AG12,'C-1 On-Site WaterC'' Baseline'!C$1:AE$257,26,FALSE)),"",(VLOOKUP(AG12,'C-1 On-Site WaterC'' Baseline'!C$1:AE$257,26,FALSE))))),"")</f>
        <v/>
      </c>
      <c r="BF12" s="652" t="str">
        <f>IFERROR(IF(LEN(VLOOKUP($AG12,'C-1 On-Site WaterC'' Baseline'!C$1:AE$257,27,FALSE))=0,"",IF(AG12="","",IF(ISNA(VLOOKUP($AG12,'C-1 On-Site WaterC'' Baseline'!C$1:AE$257,27,FALSE)),"",(VLOOKUP(AG12,'C-1 On-Site WaterC'' Baseline'!C$1:AE$257,27,FALSE))))),"")</f>
        <v/>
      </c>
      <c r="BG12" s="687" t="str">
        <f>IFERROR(IF(LEN(VLOOKUP($AG12,'C-1 On-Site WaterC'' Baseline'!C$1:AE$257,28,FALSE))=0,"",IF(AG12="","",IF(ISNA(VLOOKUP($AG12,'C-1 On-Site WaterC'' Baseline'!C$1:AE$257,28,FALSE)),"",(VLOOKUP(AG12,'C-1 On-Site WaterC'' Baseline'!C$1:AE$257,28,FALSE))))),"")</f>
        <v/>
      </c>
      <c r="BH12" s="673" t="str">
        <f>IF('C-1 On-Site WaterC'' Baseline'!AU12="","",IF('C-1 On-Site WaterC'' Baseline'!AU12="Yes",TRUE,FALSE))</f>
        <v/>
      </c>
      <c r="BI12" s="673">
        <v>3</v>
      </c>
      <c r="BJ12" s="673" t="str">
        <f>IF('F-1 Off-Site WaterC'' Baseline'!AU12="","",IF('F-1 Off-Site WaterC'' Baseline'!AU12="Yes",TRUE,FALSE))</f>
        <v/>
      </c>
      <c r="BK12" s="673" t="str">
        <f t="shared" si="1"/>
        <v/>
      </c>
      <c r="BL12" s="673" t="str">
        <f>IF(AG12="","",IF(LEN(VLOOKUP($AG12,'C-1 On-Site WaterC'' Baseline'!$C$1:$AV$257,25,FALSE))=0,"",VLOOKUP(AG12,'C-1 On-Site WaterC'' Baseline'!$C$1:$AV$257,25,FALSE)))</f>
        <v/>
      </c>
      <c r="BM12" s="673" t="str">
        <f>IF(B12="","",IF(LEN(VLOOKUP($B12,'A-1 On-Site Habitat Baseline'!$D$1:$AV$258,22,FALSE))=0,"",(VLOOKUP(B12,'A-1 On-Site Habitat Baseline'!$D$1:$AV$258,22,FALSE))))</f>
        <v/>
      </c>
    </row>
    <row r="13" spans="2:65" s="675" customFormat="1" ht="44.9" customHeight="1">
      <c r="B13" s="684" t="str" cm="1">
        <f t="array" ref="B13">IFERROR(INDEX($AD$10:$AD$259,MATCH(0,IF(TRUE=$AC$10:$AC$259,COUNTIF($B$9:B12,$AD$10:$AD$259),""),0)),"")</f>
        <v/>
      </c>
      <c r="C13" s="642"/>
      <c r="D13" s="642"/>
      <c r="E13" s="1545" t="str">
        <f>IF(B13="","",IF(ISNA(VLOOKUP($B13,'A-1 On-Site Habitat Baseline'!$D$1:$AV$258,45,FALSE)),"",(VLOOKUP(B13,'A-1 On-Site Habitat Baseline'!$D$1:$AV$258,45,FALSE))))</f>
        <v/>
      </c>
      <c r="F13" s="1545"/>
      <c r="G13" s="1545"/>
      <c r="H13" s="1573"/>
      <c r="I13" s="1573"/>
      <c r="J13" s="1573"/>
      <c r="K13" s="1534" t="str">
        <f>IF(B13="","",IF(ISNA(VLOOKUP($B13,'A-1 On-Site Habitat Baseline'!$D$1:$AV$258,5,FALSE)),"",(VLOOKUP(B13,'A-1 On-Site Habitat Baseline'!$D$1:$AV$258,5,FALSE))))</f>
        <v/>
      </c>
      <c r="L13" s="1534"/>
      <c r="M13" s="1534" t="str">
        <f>IF(B13="","",IF(ISNA(VLOOKUP($B13,'A-1 On-Site Habitat Baseline'!$D$1:$AV$258,16,FALSE)),"",(VLOOKUP(B13,'A-1 On-Site Habitat Baseline'!$D$1:$AV$258,16,FALSE))))</f>
        <v/>
      </c>
      <c r="N13" s="1534"/>
      <c r="O13" s="1534" t="str">
        <f>IF(B13="","",IF(ISNA(VLOOKUP($B13,'A-1 On-Site Habitat Baseline'!$D$1:$AV$258,17,FALSE)),"",(VLOOKUP(B13,'A-1 On-Site Habitat Baseline'!$D$1:$AV$258,17,FALSE))))</f>
        <v/>
      </c>
      <c r="P13" s="1534"/>
      <c r="Q13" s="1534"/>
      <c r="R13" s="1534"/>
      <c r="S13" s="1534" t="str">
        <f t="shared" si="2"/>
        <v/>
      </c>
      <c r="T13" s="1545"/>
      <c r="U13" s="648" t="str">
        <f t="shared" si="3"/>
        <v/>
      </c>
      <c r="V13" s="646"/>
      <c r="W13" s="646"/>
      <c r="X13" s="646"/>
      <c r="Y13" s="646"/>
      <c r="Z13" s="676" t="str">
        <f ca="1">IFERROR(IF(LEN(VLOOKUP($B13,'A-1 On-Site Habitat Baseline'!$D$1:$AV$258,23,FALSE))=0,"",IF(B13="","",IF(ISNA(VLOOKUP($B13,'A-1 On-Site Habitat Baseline'!$D$1:$AV$258,23,FALSE)),"",(VLOOKUP(B13,'A-1 On-Site Habitat Baseline'!$D$1:$AV$258,23,FALSE))))),"")</f>
        <v/>
      </c>
      <c r="AA13" s="652" t="str">
        <f ca="1">IFERROR(IF(LEN(VLOOKUP($B13,'A-1 On-Site Habitat Baseline'!$D$1:$AV$258,24,FALSE))=0,"",IF(B13="","",IF(ISNA(VLOOKUP($B13,'A-1 On-Site Habitat Baseline'!$D$1:$AV$258,24,FALSE)),"",(VLOOKUP(B13,'A-1 On-Site Habitat Baseline'!$D$1:$AV$258,24,FALSE))))),"")</f>
        <v/>
      </c>
      <c r="AB13" s="674" t="str">
        <f ca="1">IFERROR(IF(LEN(VLOOKUP($B13,'A-1 On-Site Habitat Baseline'!$D$1:$AV$258,25,FALSE))=0,"",IF(B13="","",IF(ISNA(VLOOKUP($B13,'A-1 On-Site Habitat Baseline'!$D$1:$AV$258,25,FALSE)),"",(VLOOKUP(B13,'A-1 On-Site Habitat Baseline'!$D$1:$AV$258,25,FALSE))))),"")</f>
        <v/>
      </c>
      <c r="AC13" s="672" t="b">
        <f>IF('A-1 On-Site Habitat Baseline'!G14="","",IF('A-1 On-Site Habitat Baseline'!G14="Yes",TRUE,FALSE))</f>
        <v>0</v>
      </c>
      <c r="AD13" s="673">
        <v>4</v>
      </c>
      <c r="AE13" s="672" t="str">
        <f>IF('D-1 Off-Site Habitat Baseline'!G14="","",IF('D-1 Off-Site Habitat Baseline'!G14="Yes",TRUE,FALSE))</f>
        <v/>
      </c>
      <c r="AF13" s="672"/>
      <c r="AG13" s="641" t="str" cm="1">
        <f t="array" ref="AG13">IFERROR(INDEX($BI$10:$BI$259,MATCH(0,IF(TRUE=$BH$10:$BH$259,COUNTIF($AG$9:AG12,$BI$10:$BI$259),""),0)),"")</f>
        <v/>
      </c>
      <c r="AH13" s="642"/>
      <c r="AI13" s="642"/>
      <c r="AJ13" s="1545" t="str">
        <f>IF(BH13=FALSE,"",IF(ISNA(VLOOKUP(AG13,'C-1 On-Site WaterC'' Baseline'!C$1:D$257,2,FALSE)),"",(VLOOKUP(AG13,'C-1 On-Site WaterC'' Baseline'!C$1:D$257,2,FALSE))))</f>
        <v/>
      </c>
      <c r="AK13" s="1545"/>
      <c r="AL13" s="1545"/>
      <c r="AM13" s="1573"/>
      <c r="AN13" s="1573"/>
      <c r="AO13" s="1573"/>
      <c r="AP13" s="1534" t="str">
        <f>IF(AG13="","",IF(ISNA(VLOOKUP($AG13,'C-1 On-Site WaterC'' Baseline'!C$1:E$257,3,FALSE)),"",(VLOOKUP(AG13,'C-1 On-Site WaterC'' Baseline'!C$1:E$257,3,FALSE))))</f>
        <v/>
      </c>
      <c r="AQ13" s="1534"/>
      <c r="AR13" s="1531" t="str">
        <f>IF(AG13="","",IF(ISNA(VLOOKUP($AG13,'C-1 On-Site WaterC'' Baseline'!C$1:AA$257,19,FALSE)),"",(VLOOKUP(AG13,'C-1 On-Site WaterC'' Baseline'!C$1:AA$257,19,FALSE))))</f>
        <v/>
      </c>
      <c r="AS13" s="1533"/>
      <c r="AT13" s="1531" t="str">
        <f>IF(AG13="","",IF(ISNA(VLOOKUP($AG13,'C-1 On-Site WaterC'' Baseline'!C$1:AA$257,20,FALSE)),"",(VLOOKUP(AG13,'C-1 On-Site WaterC'' Baseline'!C$1:AA$257,20,FALSE))))</f>
        <v/>
      </c>
      <c r="AU13" s="1532"/>
      <c r="AV13" s="1532"/>
      <c r="AW13" s="1533"/>
      <c r="AX13" s="1534" t="str">
        <f t="shared" si="4"/>
        <v/>
      </c>
      <c r="AY13" s="1534"/>
      <c r="AZ13" s="1535" t="str">
        <f t="shared" si="0"/>
        <v/>
      </c>
      <c r="BA13" s="1536"/>
      <c r="BB13" s="1536"/>
      <c r="BC13" s="1536"/>
      <c r="BD13" s="1537"/>
      <c r="BE13" s="676" t="str">
        <f>IFERROR(IF(LEN(VLOOKUP($AG13,'C-1 On-Site WaterC'' Baseline'!C$1:AE$257,26,FALSE))=0,"",IF(AG13="","",IF(ISNA(VLOOKUP($AG13,'C-1 On-Site WaterC'' Baseline'!C$1:AE$257,26,FALSE)),"",(VLOOKUP(AG13,'C-1 On-Site WaterC'' Baseline'!C$1:AE$257,26,FALSE))))),"")</f>
        <v/>
      </c>
      <c r="BF13" s="652" t="str">
        <f>IFERROR(IF(LEN(VLOOKUP($AG13,'C-1 On-Site WaterC'' Baseline'!C$1:AE$257,27,FALSE))=0,"",IF(AG13="","",IF(ISNA(VLOOKUP($AG13,'C-1 On-Site WaterC'' Baseline'!C$1:AE$257,27,FALSE)),"",(VLOOKUP(AG13,'C-1 On-Site WaterC'' Baseline'!C$1:AE$257,27,FALSE))))),"")</f>
        <v/>
      </c>
      <c r="BG13" s="687" t="str">
        <f>IFERROR(IF(LEN(VLOOKUP($AG13,'C-1 On-Site WaterC'' Baseline'!C$1:AE$257,28,FALSE))=0,"",IF(AG13="","",IF(ISNA(VLOOKUP($AG13,'C-1 On-Site WaterC'' Baseline'!C$1:AE$257,28,FALSE)),"",(VLOOKUP(AG13,'C-1 On-Site WaterC'' Baseline'!C$1:AE$257,28,FALSE))))),"")</f>
        <v/>
      </c>
      <c r="BH13" s="673" t="str">
        <f>IF('C-1 On-Site WaterC'' Baseline'!AU13="","",IF('C-1 On-Site WaterC'' Baseline'!AU13="Yes",TRUE,FALSE))</f>
        <v/>
      </c>
      <c r="BI13" s="673">
        <v>4</v>
      </c>
      <c r="BJ13" s="673" t="str">
        <f>IF('F-1 Off-Site WaterC'' Baseline'!AU13="","",IF('F-1 Off-Site WaterC'' Baseline'!AU13="Yes",TRUE,FALSE))</f>
        <v/>
      </c>
      <c r="BK13" s="673" t="str">
        <f t="shared" si="1"/>
        <v/>
      </c>
      <c r="BL13" s="673" t="str">
        <f>IF(AG13="","",IF(LEN(VLOOKUP($AG13,'C-1 On-Site WaterC'' Baseline'!$C$1:$AV$257,25,FALSE))=0,"",VLOOKUP(AG13,'C-1 On-Site WaterC'' Baseline'!$C$1:$AV$257,25,FALSE)))</f>
        <v/>
      </c>
      <c r="BM13" s="673" t="str">
        <f>IF(B13="","",IF(LEN(VLOOKUP($B13,'A-1 On-Site Habitat Baseline'!$D$1:$AV$258,22,FALSE))=0,"",(VLOOKUP(B13,'A-1 On-Site Habitat Baseline'!$D$1:$AV$258,22,FALSE))))</f>
        <v/>
      </c>
    </row>
    <row r="14" spans="2:65" s="675" customFormat="1" ht="44.9" customHeight="1">
      <c r="B14" s="684" t="str" cm="1">
        <f t="array" ref="B14">IFERROR(INDEX($AD$10:$AD$259,MATCH(0,IF(TRUE=$AC$10:$AC$259,COUNTIF($B$9:B13,$AD$10:$AD$259),""),0)),"")</f>
        <v/>
      </c>
      <c r="C14" s="642"/>
      <c r="D14" s="642"/>
      <c r="E14" s="1545" t="str">
        <f>IF(B14="","",IF(ISNA(VLOOKUP($B14,'A-1 On-Site Habitat Baseline'!$D$1:$AV$258,45,FALSE)),"",(VLOOKUP(B14,'A-1 On-Site Habitat Baseline'!$D$1:$AV$258,45,FALSE))))</f>
        <v/>
      </c>
      <c r="F14" s="1545"/>
      <c r="G14" s="1545"/>
      <c r="H14" s="1573"/>
      <c r="I14" s="1573"/>
      <c r="J14" s="1573"/>
      <c r="K14" s="1534" t="str">
        <f>IF(B14="","",IF(ISNA(VLOOKUP($B14,'A-1 On-Site Habitat Baseline'!$D$1:$AV$258,5,FALSE)),"",(VLOOKUP(B14,'A-1 On-Site Habitat Baseline'!$D$1:$AV$258,5,FALSE))))</f>
        <v/>
      </c>
      <c r="L14" s="1534"/>
      <c r="M14" s="1534" t="str">
        <f>IF(B14="","",IF(ISNA(VLOOKUP($B14,'A-1 On-Site Habitat Baseline'!$D$1:$AV$258,16,FALSE)),"",(VLOOKUP(B14,'A-1 On-Site Habitat Baseline'!$D$1:$AV$258,16,FALSE))))</f>
        <v/>
      </c>
      <c r="N14" s="1534"/>
      <c r="O14" s="1534" t="str">
        <f>IF(B14="","",IF(ISNA(VLOOKUP($B14,'A-1 On-Site Habitat Baseline'!$D$1:$AV$258,17,FALSE)),"",(VLOOKUP(B14,'A-1 On-Site Habitat Baseline'!$D$1:$AV$258,17,FALSE))))</f>
        <v/>
      </c>
      <c r="P14" s="1534"/>
      <c r="Q14" s="1534"/>
      <c r="R14" s="1534"/>
      <c r="S14" s="1534" t="str">
        <f t="shared" si="2"/>
        <v/>
      </c>
      <c r="T14" s="1545"/>
      <c r="U14" s="648" t="str">
        <f t="shared" si="3"/>
        <v/>
      </c>
      <c r="V14" s="646"/>
      <c r="W14" s="646"/>
      <c r="X14" s="646"/>
      <c r="Y14" s="646"/>
      <c r="Z14" s="676" t="str">
        <f ca="1">IFERROR(IF(LEN(VLOOKUP($B14,'A-1 On-Site Habitat Baseline'!$D$1:$AV$258,23,FALSE))=0,"",IF(B14="","",IF(ISNA(VLOOKUP($B14,'A-1 On-Site Habitat Baseline'!$D$1:$AV$258,23,FALSE)),"",(VLOOKUP(B14,'A-1 On-Site Habitat Baseline'!$D$1:$AV$258,23,FALSE))))),"")</f>
        <v/>
      </c>
      <c r="AA14" s="652" t="str">
        <f ca="1">IFERROR(IF(LEN(VLOOKUP($B14,'A-1 On-Site Habitat Baseline'!$D$1:$AV$258,24,FALSE))=0,"",IF(B14="","",IF(ISNA(VLOOKUP($B14,'A-1 On-Site Habitat Baseline'!$D$1:$AV$258,24,FALSE)),"",(VLOOKUP(B14,'A-1 On-Site Habitat Baseline'!$D$1:$AV$258,24,FALSE))))),"")</f>
        <v/>
      </c>
      <c r="AB14" s="674" t="str">
        <f ca="1">IFERROR(IF(LEN(VLOOKUP($B14,'A-1 On-Site Habitat Baseline'!$D$1:$AV$258,25,FALSE))=0,"",IF(B14="","",IF(ISNA(VLOOKUP($B14,'A-1 On-Site Habitat Baseline'!$D$1:$AV$258,25,FALSE)),"",(VLOOKUP(B14,'A-1 On-Site Habitat Baseline'!$D$1:$AV$258,25,FALSE))))),"")</f>
        <v/>
      </c>
      <c r="AC14" s="672" t="b">
        <f>IF('A-1 On-Site Habitat Baseline'!G15="","",IF('A-1 On-Site Habitat Baseline'!G15="Yes",TRUE,FALSE))</f>
        <v>0</v>
      </c>
      <c r="AD14" s="673">
        <v>5</v>
      </c>
      <c r="AE14" s="672" t="str">
        <f>IF('D-1 Off-Site Habitat Baseline'!G15="","",IF('D-1 Off-Site Habitat Baseline'!G15="Yes",TRUE,FALSE))</f>
        <v/>
      </c>
      <c r="AF14" s="672"/>
      <c r="AG14" s="641" t="str" cm="1">
        <f t="array" ref="AG14">IFERROR(INDEX($BI$10:$BI$259,MATCH(0,IF(TRUE=$BH$10:$BH$259,COUNTIF($AG$9:AG13,$BI$10:$BI$259),""),0)),"")</f>
        <v/>
      </c>
      <c r="AH14" s="642"/>
      <c r="AI14" s="642"/>
      <c r="AJ14" s="1545" t="str">
        <f>IF(BH14=FALSE,"",IF(ISNA(VLOOKUP(AG14,'C-1 On-Site WaterC'' Baseline'!C$1:D$257,2,FALSE)),"",(VLOOKUP(AG14,'C-1 On-Site WaterC'' Baseline'!C$1:D$257,2,FALSE))))</f>
        <v/>
      </c>
      <c r="AK14" s="1545"/>
      <c r="AL14" s="1545"/>
      <c r="AM14" s="1573"/>
      <c r="AN14" s="1573"/>
      <c r="AO14" s="1573"/>
      <c r="AP14" s="1534" t="str">
        <f>IF(AG14="","",IF(ISNA(VLOOKUP($AG14,'C-1 On-Site WaterC'' Baseline'!C$1:E$257,3,FALSE)),"",(VLOOKUP(AG14,'C-1 On-Site WaterC'' Baseline'!C$1:E$257,3,FALSE))))</f>
        <v/>
      </c>
      <c r="AQ14" s="1534"/>
      <c r="AR14" s="1531" t="str">
        <f>IF(AG14="","",IF(ISNA(VLOOKUP($AG14,'C-1 On-Site WaterC'' Baseline'!C$1:AA$257,19,FALSE)),"",(VLOOKUP(AG14,'C-1 On-Site WaterC'' Baseline'!C$1:AA$257,19,FALSE))))</f>
        <v/>
      </c>
      <c r="AS14" s="1533"/>
      <c r="AT14" s="1531" t="str">
        <f>IF(AG14="","",IF(ISNA(VLOOKUP($AG14,'C-1 On-Site WaterC'' Baseline'!C$1:AA$257,20,FALSE)),"",(VLOOKUP(AG14,'C-1 On-Site WaterC'' Baseline'!C$1:AA$257,20,FALSE))))</f>
        <v/>
      </c>
      <c r="AU14" s="1532"/>
      <c r="AV14" s="1532"/>
      <c r="AW14" s="1533"/>
      <c r="AX14" s="1534" t="str">
        <f t="shared" si="4"/>
        <v/>
      </c>
      <c r="AY14" s="1534"/>
      <c r="AZ14" s="1535" t="str">
        <f t="shared" si="0"/>
        <v/>
      </c>
      <c r="BA14" s="1536"/>
      <c r="BB14" s="1536"/>
      <c r="BC14" s="1536"/>
      <c r="BD14" s="1537"/>
      <c r="BE14" s="676" t="str">
        <f>IFERROR(IF(LEN(VLOOKUP($AG14,'C-1 On-Site WaterC'' Baseline'!C$1:AE$257,26,FALSE))=0,"",IF(AG14="","",IF(ISNA(VLOOKUP($AG14,'C-1 On-Site WaterC'' Baseline'!C$1:AE$257,26,FALSE)),"",(VLOOKUP(AG14,'C-1 On-Site WaterC'' Baseline'!C$1:AE$257,26,FALSE))))),"")</f>
        <v/>
      </c>
      <c r="BF14" s="652" t="str">
        <f>IFERROR(IF(LEN(VLOOKUP($AG14,'C-1 On-Site WaterC'' Baseline'!C$1:AE$257,27,FALSE))=0,"",IF(AG14="","",IF(ISNA(VLOOKUP($AG14,'C-1 On-Site WaterC'' Baseline'!C$1:AE$257,27,FALSE)),"",(VLOOKUP(AG14,'C-1 On-Site WaterC'' Baseline'!C$1:AE$257,27,FALSE))))),"")</f>
        <v/>
      </c>
      <c r="BG14" s="687" t="str">
        <f>IFERROR(IF(LEN(VLOOKUP($AG14,'C-1 On-Site WaterC'' Baseline'!C$1:AE$257,28,FALSE))=0,"",IF(AG14="","",IF(ISNA(VLOOKUP($AG14,'C-1 On-Site WaterC'' Baseline'!C$1:AE$257,28,FALSE)),"",(VLOOKUP(AG14,'C-1 On-Site WaterC'' Baseline'!C$1:AE$257,28,FALSE))))),"")</f>
        <v/>
      </c>
      <c r="BH14" s="673" t="str">
        <f>IF('C-1 On-Site WaterC'' Baseline'!AU14="","",IF('C-1 On-Site WaterC'' Baseline'!AU14="Yes",TRUE,FALSE))</f>
        <v/>
      </c>
      <c r="BI14" s="673">
        <v>5</v>
      </c>
      <c r="BJ14" s="673" t="str">
        <f>IF('F-1 Off-Site WaterC'' Baseline'!AU14="","",IF('F-1 Off-Site WaterC'' Baseline'!AU14="Yes",TRUE,FALSE))</f>
        <v/>
      </c>
      <c r="BK14" s="673" t="str">
        <f t="shared" si="1"/>
        <v/>
      </c>
      <c r="BL14" s="673" t="str">
        <f>IF(AG14="","",IF(LEN(VLOOKUP($AG14,'C-1 On-Site WaterC'' Baseline'!$C$1:$AV$257,25,FALSE))=0,"",VLOOKUP(AG14,'C-1 On-Site WaterC'' Baseline'!$C$1:$AV$257,25,FALSE)))</f>
        <v/>
      </c>
      <c r="BM14" s="673" t="str">
        <f>IF(B14="","",IF(LEN(VLOOKUP($B14,'A-1 On-Site Habitat Baseline'!$D$1:$AV$258,22,FALSE))=0,"",(VLOOKUP(B14,'A-1 On-Site Habitat Baseline'!$D$1:$AV$258,22,FALSE))))</f>
        <v/>
      </c>
    </row>
    <row r="15" spans="2:65" s="675" customFormat="1" ht="44.9" customHeight="1">
      <c r="B15" s="684" t="str" cm="1">
        <f t="array" ref="B15">IFERROR(INDEX($AD$10:$AD$259,MATCH(0,IF(TRUE=$AC$10:$AC$259,COUNTIF($B$9:B14,$AD$10:$AD$259),""),0)),"")</f>
        <v/>
      </c>
      <c r="C15" s="642"/>
      <c r="D15" s="642"/>
      <c r="E15" s="1545" t="str">
        <f>IF(B15="","",IF(ISNA(VLOOKUP($B15,'A-1 On-Site Habitat Baseline'!$D$1:$AV$258,45,FALSE)),"",(VLOOKUP(B15,'A-1 On-Site Habitat Baseline'!$D$1:$AV$258,45,FALSE))))</f>
        <v/>
      </c>
      <c r="F15" s="1545"/>
      <c r="G15" s="1545"/>
      <c r="H15" s="1573"/>
      <c r="I15" s="1573"/>
      <c r="J15" s="1573"/>
      <c r="K15" s="1534" t="str">
        <f>IF(B15="","",IF(ISNA(VLOOKUP($B15,'A-1 On-Site Habitat Baseline'!$D$1:$AV$258,5,FALSE)),"",(VLOOKUP(B15,'A-1 On-Site Habitat Baseline'!$D$1:$AV$258,5,FALSE))))</f>
        <v/>
      </c>
      <c r="L15" s="1534"/>
      <c r="M15" s="1534" t="str">
        <f>IF(B15="","",IF(ISNA(VLOOKUP($B15,'A-1 On-Site Habitat Baseline'!$D$1:$AV$258,16,FALSE)),"",(VLOOKUP(B15,'A-1 On-Site Habitat Baseline'!$D$1:$AV$258,16,FALSE))))</f>
        <v/>
      </c>
      <c r="N15" s="1534"/>
      <c r="O15" s="1534" t="str">
        <f>IF(B15="","",IF(ISNA(VLOOKUP($B15,'A-1 On-Site Habitat Baseline'!$D$1:$AV$258,17,FALSE)),"",(VLOOKUP(B15,'A-1 On-Site Habitat Baseline'!$D$1:$AV$258,17,FALSE))))</f>
        <v/>
      </c>
      <c r="P15" s="1534"/>
      <c r="Q15" s="1534"/>
      <c r="R15" s="1534"/>
      <c r="S15" s="1534" t="str">
        <f t="shared" si="2"/>
        <v/>
      </c>
      <c r="T15" s="1545"/>
      <c r="U15" s="648" t="str">
        <f t="shared" si="3"/>
        <v/>
      </c>
      <c r="V15" s="646"/>
      <c r="W15" s="646"/>
      <c r="X15" s="646"/>
      <c r="Y15" s="646"/>
      <c r="Z15" s="676" t="str">
        <f ca="1">IFERROR(IF(LEN(VLOOKUP($B15,'A-1 On-Site Habitat Baseline'!$D$1:$AV$258,23,FALSE))=0,"",IF(B15="","",IF(ISNA(VLOOKUP($B15,'A-1 On-Site Habitat Baseline'!$D$1:$AV$258,23,FALSE)),"",(VLOOKUP(B15,'A-1 On-Site Habitat Baseline'!$D$1:$AV$258,23,FALSE))))),"")</f>
        <v/>
      </c>
      <c r="AA15" s="652" t="str">
        <f ca="1">IFERROR(IF(LEN(VLOOKUP($B15,'A-1 On-Site Habitat Baseline'!$D$1:$AV$258,24,FALSE))=0,"",IF(B15="","",IF(ISNA(VLOOKUP($B15,'A-1 On-Site Habitat Baseline'!$D$1:$AV$258,24,FALSE)),"",(VLOOKUP(B15,'A-1 On-Site Habitat Baseline'!$D$1:$AV$258,24,FALSE))))),"")</f>
        <v/>
      </c>
      <c r="AB15" s="674" t="str">
        <f ca="1">IFERROR(IF(LEN(VLOOKUP($B15,'A-1 On-Site Habitat Baseline'!$D$1:$AV$258,25,FALSE))=0,"",IF(B15="","",IF(ISNA(VLOOKUP($B15,'A-1 On-Site Habitat Baseline'!$D$1:$AV$258,25,FALSE)),"",(VLOOKUP(B15,'A-1 On-Site Habitat Baseline'!$D$1:$AV$258,25,FALSE))))),"")</f>
        <v/>
      </c>
      <c r="AC15" s="672" t="b">
        <f>IF('A-1 On-Site Habitat Baseline'!G16="","",IF('A-1 On-Site Habitat Baseline'!G16="Yes",TRUE,FALSE))</f>
        <v>0</v>
      </c>
      <c r="AD15" s="673">
        <v>6</v>
      </c>
      <c r="AE15" s="672" t="str">
        <f>IF('D-1 Off-Site Habitat Baseline'!G16="","",IF('D-1 Off-Site Habitat Baseline'!G16="Yes",TRUE,FALSE))</f>
        <v/>
      </c>
      <c r="AF15" s="672"/>
      <c r="AG15" s="641" t="str" cm="1">
        <f t="array" ref="AG15">IFERROR(INDEX($BI$10:$BI$259,MATCH(0,IF(TRUE=$BH$10:$BH$259,COUNTIF($AG$9:AG14,$BI$10:$BI$259),""),0)),"")</f>
        <v/>
      </c>
      <c r="AH15" s="642"/>
      <c r="AI15" s="642"/>
      <c r="AJ15" s="1545" t="str">
        <f>IF(BH15=FALSE,"",IF(ISNA(VLOOKUP(AG15,'C-1 On-Site WaterC'' Baseline'!C$1:D$257,2,FALSE)),"",(VLOOKUP(AG15,'C-1 On-Site WaterC'' Baseline'!C$1:D$257,2,FALSE))))</f>
        <v/>
      </c>
      <c r="AK15" s="1545"/>
      <c r="AL15" s="1545"/>
      <c r="AM15" s="1573"/>
      <c r="AN15" s="1573"/>
      <c r="AO15" s="1573"/>
      <c r="AP15" s="1534" t="str">
        <f>IF(AG15="","",IF(ISNA(VLOOKUP($AG15,'C-1 On-Site WaterC'' Baseline'!C$1:E$257,3,FALSE)),"",(VLOOKUP(AG15,'C-1 On-Site WaterC'' Baseline'!C$1:E$257,3,FALSE))))</f>
        <v/>
      </c>
      <c r="AQ15" s="1534"/>
      <c r="AR15" s="1531" t="str">
        <f>IF(AG15="","",IF(ISNA(VLOOKUP($AG15,'C-1 On-Site WaterC'' Baseline'!C$1:AA$257,19,FALSE)),"",(VLOOKUP(AG15,'C-1 On-Site WaterC'' Baseline'!C$1:AA$257,19,FALSE))))</f>
        <v/>
      </c>
      <c r="AS15" s="1533"/>
      <c r="AT15" s="1531" t="str">
        <f>IF(AG15="","",IF(ISNA(VLOOKUP($AG15,'C-1 On-Site WaterC'' Baseline'!C$1:AA$257,20,FALSE)),"",(VLOOKUP(AG15,'C-1 On-Site WaterC'' Baseline'!C$1:AA$257,20,FALSE))))</f>
        <v/>
      </c>
      <c r="AU15" s="1532"/>
      <c r="AV15" s="1532"/>
      <c r="AW15" s="1533"/>
      <c r="AX15" s="1534" t="str">
        <f t="shared" si="4"/>
        <v/>
      </c>
      <c r="AY15" s="1534"/>
      <c r="AZ15" s="1535" t="str">
        <f t="shared" si="0"/>
        <v/>
      </c>
      <c r="BA15" s="1536"/>
      <c r="BB15" s="1536"/>
      <c r="BC15" s="1536"/>
      <c r="BD15" s="1537"/>
      <c r="BE15" s="676" t="str">
        <f>IFERROR(IF(LEN(VLOOKUP($AG15,'C-1 On-Site WaterC'' Baseline'!C$1:AE$257,26,FALSE))=0,"",IF(AG15="","",IF(ISNA(VLOOKUP($AG15,'C-1 On-Site WaterC'' Baseline'!C$1:AE$257,26,FALSE)),"",(VLOOKUP(AG15,'C-1 On-Site WaterC'' Baseline'!C$1:AE$257,26,FALSE))))),"")</f>
        <v/>
      </c>
      <c r="BF15" s="652" t="str">
        <f>IFERROR(IF(LEN(VLOOKUP($AG15,'C-1 On-Site WaterC'' Baseline'!C$1:AE$257,27,FALSE))=0,"",IF(AG15="","",IF(ISNA(VLOOKUP($AG15,'C-1 On-Site WaterC'' Baseline'!C$1:AE$257,27,FALSE)),"",(VLOOKUP(AG15,'C-1 On-Site WaterC'' Baseline'!C$1:AE$257,27,FALSE))))),"")</f>
        <v/>
      </c>
      <c r="BG15" s="687" t="str">
        <f>IFERROR(IF(LEN(VLOOKUP($AG15,'C-1 On-Site WaterC'' Baseline'!C$1:AE$257,28,FALSE))=0,"",IF(AG15="","",IF(ISNA(VLOOKUP($AG15,'C-1 On-Site WaterC'' Baseline'!C$1:AE$257,28,FALSE)),"",(VLOOKUP(AG15,'C-1 On-Site WaterC'' Baseline'!C$1:AE$257,28,FALSE))))),"")</f>
        <v/>
      </c>
      <c r="BH15" s="673" t="str">
        <f>IF('C-1 On-Site WaterC'' Baseline'!AU15="","",IF('C-1 On-Site WaterC'' Baseline'!AU15="Yes",TRUE,FALSE))</f>
        <v/>
      </c>
      <c r="BI15" s="673">
        <v>6</v>
      </c>
      <c r="BJ15" s="673" t="str">
        <f>IF('F-1 Off-Site WaterC'' Baseline'!AU15="","",IF('F-1 Off-Site WaterC'' Baseline'!AU15="Yes",TRUE,FALSE))</f>
        <v/>
      </c>
      <c r="BK15" s="673" t="str">
        <f t="shared" si="1"/>
        <v/>
      </c>
      <c r="BL15" s="673" t="str">
        <f>IF(AG15="","",IF(LEN(VLOOKUP($AG15,'C-1 On-Site WaterC'' Baseline'!$C$1:$AV$257,25,FALSE))=0,"",VLOOKUP(AG15,'C-1 On-Site WaterC'' Baseline'!$C$1:$AV$257,25,FALSE)))</f>
        <v/>
      </c>
      <c r="BM15" s="673" t="str">
        <f>IF(B15="","",IF(LEN(VLOOKUP($B15,'A-1 On-Site Habitat Baseline'!$D$1:$AV$258,22,FALSE))=0,"",(VLOOKUP(B15,'A-1 On-Site Habitat Baseline'!$D$1:$AV$258,22,FALSE))))</f>
        <v/>
      </c>
    </row>
    <row r="16" spans="2:65" s="675" customFormat="1" ht="44.9" customHeight="1">
      <c r="B16" s="684" t="str" cm="1">
        <f t="array" ref="B16">IFERROR(INDEX($AD$10:$AD$259,MATCH(0,IF(TRUE=$AC$10:$AC$259,COUNTIF($B$9:B15,$AD$10:$AD$259),""),0)),"")</f>
        <v/>
      </c>
      <c r="C16" s="642"/>
      <c r="D16" s="642"/>
      <c r="E16" s="1545" t="str">
        <f>IF(B16="","",IF(ISNA(VLOOKUP($B16,'A-1 On-Site Habitat Baseline'!$D$1:$AV$258,45,FALSE)),"",(VLOOKUP(B16,'A-1 On-Site Habitat Baseline'!$D$1:$AV$258,45,FALSE))))</f>
        <v/>
      </c>
      <c r="F16" s="1545"/>
      <c r="G16" s="1545"/>
      <c r="H16" s="1573"/>
      <c r="I16" s="1573"/>
      <c r="J16" s="1573"/>
      <c r="K16" s="1534" t="str">
        <f>IF(B16="","",IF(ISNA(VLOOKUP($B16,'A-1 On-Site Habitat Baseline'!$D$1:$AV$258,5,FALSE)),"",(VLOOKUP(B16,'A-1 On-Site Habitat Baseline'!$D$1:$AV$258,5,FALSE))))</f>
        <v/>
      </c>
      <c r="L16" s="1534"/>
      <c r="M16" s="1534" t="str">
        <f>IF(B16="","",IF(ISNA(VLOOKUP($B16,'A-1 On-Site Habitat Baseline'!$D$1:$AV$258,16,FALSE)),"",(VLOOKUP(B16,'A-1 On-Site Habitat Baseline'!$D$1:$AV$258,16,FALSE))))</f>
        <v/>
      </c>
      <c r="N16" s="1534"/>
      <c r="O16" s="1534" t="str">
        <f>IF(B16="","",IF(ISNA(VLOOKUP($B16,'A-1 On-Site Habitat Baseline'!$D$1:$AV$258,17,FALSE)),"",(VLOOKUP(B16,'A-1 On-Site Habitat Baseline'!$D$1:$AV$258,17,FALSE))))</f>
        <v/>
      </c>
      <c r="P16" s="1534"/>
      <c r="Q16" s="1534"/>
      <c r="R16" s="1534"/>
      <c r="S16" s="1534" t="str">
        <f t="shared" si="2"/>
        <v/>
      </c>
      <c r="T16" s="1545"/>
      <c r="U16" s="648" t="str">
        <f t="shared" si="3"/>
        <v/>
      </c>
      <c r="V16" s="646"/>
      <c r="W16" s="646"/>
      <c r="X16" s="646"/>
      <c r="Y16" s="646"/>
      <c r="Z16" s="676" t="str">
        <f ca="1">IFERROR(IF(LEN(VLOOKUP($B16,'A-1 On-Site Habitat Baseline'!$D$1:$AV$258,23,FALSE))=0,"",IF(B16="","",IF(ISNA(VLOOKUP($B16,'A-1 On-Site Habitat Baseline'!$D$1:$AV$258,23,FALSE)),"",(VLOOKUP(B16,'A-1 On-Site Habitat Baseline'!$D$1:$AV$258,23,FALSE))))),"")</f>
        <v/>
      </c>
      <c r="AA16" s="652" t="str">
        <f ca="1">IFERROR(IF(LEN(VLOOKUP($B16,'A-1 On-Site Habitat Baseline'!$D$1:$AV$258,24,FALSE))=0,"",IF(B16="","",IF(ISNA(VLOOKUP($B16,'A-1 On-Site Habitat Baseline'!$D$1:$AV$258,24,FALSE)),"",(VLOOKUP(B16,'A-1 On-Site Habitat Baseline'!$D$1:$AV$258,24,FALSE))))),"")</f>
        <v/>
      </c>
      <c r="AB16" s="674" t="str">
        <f ca="1">IFERROR(IF(LEN(VLOOKUP($B16,'A-1 On-Site Habitat Baseline'!$D$1:$AV$258,25,FALSE))=0,"",IF(B16="","",IF(ISNA(VLOOKUP($B16,'A-1 On-Site Habitat Baseline'!$D$1:$AV$258,25,FALSE)),"",(VLOOKUP(B16,'A-1 On-Site Habitat Baseline'!$D$1:$AV$258,25,FALSE))))),"")</f>
        <v/>
      </c>
      <c r="AC16" s="672" t="b">
        <f>IF('A-1 On-Site Habitat Baseline'!G17="","",IF('A-1 On-Site Habitat Baseline'!G17="Yes",TRUE,FALSE))</f>
        <v>0</v>
      </c>
      <c r="AD16" s="673">
        <v>7</v>
      </c>
      <c r="AE16" s="672" t="str">
        <f>IF('D-1 Off-Site Habitat Baseline'!G17="","",IF('D-1 Off-Site Habitat Baseline'!G17="Yes",TRUE,FALSE))</f>
        <v/>
      </c>
      <c r="AF16" s="672"/>
      <c r="AG16" s="641" t="str" cm="1">
        <f t="array" ref="AG16">IFERROR(INDEX($BI$10:$BI$259,MATCH(0,IF(TRUE=$BH$10:$BH$259,COUNTIF($AG$9:AG15,$BI$10:$BI$259),""),0)),"")</f>
        <v/>
      </c>
      <c r="AH16" s="642"/>
      <c r="AI16" s="642"/>
      <c r="AJ16" s="1545" t="str">
        <f>IF(BH16=FALSE,"",IF(ISNA(VLOOKUP(AG16,'C-1 On-Site WaterC'' Baseline'!C$1:D$257,2,FALSE)),"",(VLOOKUP(AG16,'C-1 On-Site WaterC'' Baseline'!C$1:D$257,2,FALSE))))</f>
        <v/>
      </c>
      <c r="AK16" s="1545"/>
      <c r="AL16" s="1545"/>
      <c r="AM16" s="1573"/>
      <c r="AN16" s="1573"/>
      <c r="AO16" s="1573"/>
      <c r="AP16" s="1534" t="str">
        <f>IF(AG16="","",IF(ISNA(VLOOKUP($AG16,'C-1 On-Site WaterC'' Baseline'!C$1:E$257,3,FALSE)),"",(VLOOKUP(AG16,'C-1 On-Site WaterC'' Baseline'!C$1:E$257,3,FALSE))))</f>
        <v/>
      </c>
      <c r="AQ16" s="1534"/>
      <c r="AR16" s="1531" t="str">
        <f>IF(AG16="","",IF(ISNA(VLOOKUP($AG16,'C-1 On-Site WaterC'' Baseline'!C$1:AA$257,19,FALSE)),"",(VLOOKUP(AG16,'C-1 On-Site WaterC'' Baseline'!C$1:AA$257,19,FALSE))))</f>
        <v/>
      </c>
      <c r="AS16" s="1533"/>
      <c r="AT16" s="1531" t="str">
        <f>IF(AG16="","",IF(ISNA(VLOOKUP($AG16,'C-1 On-Site WaterC'' Baseline'!C$1:AA$257,20,FALSE)),"",(VLOOKUP(AG16,'C-1 On-Site WaterC'' Baseline'!C$1:AA$257,20,FALSE))))</f>
        <v/>
      </c>
      <c r="AU16" s="1532"/>
      <c r="AV16" s="1532"/>
      <c r="AW16" s="1533"/>
      <c r="AX16" s="1534" t="str">
        <f t="shared" si="4"/>
        <v/>
      </c>
      <c r="AY16" s="1534"/>
      <c r="AZ16" s="1535" t="str">
        <f t="shared" si="0"/>
        <v/>
      </c>
      <c r="BA16" s="1536"/>
      <c r="BB16" s="1536"/>
      <c r="BC16" s="1536"/>
      <c r="BD16" s="1537"/>
      <c r="BE16" s="676" t="str">
        <f>IFERROR(IF(LEN(VLOOKUP($AG16,'C-1 On-Site WaterC'' Baseline'!C$1:AE$257,26,FALSE))=0,"",IF(AG16="","",IF(ISNA(VLOOKUP($AG16,'C-1 On-Site WaterC'' Baseline'!C$1:AE$257,26,FALSE)),"",(VLOOKUP(AG16,'C-1 On-Site WaterC'' Baseline'!C$1:AE$257,26,FALSE))))),"")</f>
        <v/>
      </c>
      <c r="BF16" s="652" t="str">
        <f>IFERROR(IF(LEN(VLOOKUP($AG16,'C-1 On-Site WaterC'' Baseline'!C$1:AE$257,27,FALSE))=0,"",IF(AG16="","",IF(ISNA(VLOOKUP($AG16,'C-1 On-Site WaterC'' Baseline'!C$1:AE$257,27,FALSE)),"",(VLOOKUP(AG16,'C-1 On-Site WaterC'' Baseline'!C$1:AE$257,27,FALSE))))),"")</f>
        <v/>
      </c>
      <c r="BG16" s="687" t="str">
        <f>IFERROR(IF(LEN(VLOOKUP($AG16,'C-1 On-Site WaterC'' Baseline'!C$1:AE$257,28,FALSE))=0,"",IF(AG16="","",IF(ISNA(VLOOKUP($AG16,'C-1 On-Site WaterC'' Baseline'!C$1:AE$257,28,FALSE)),"",(VLOOKUP(AG16,'C-1 On-Site WaterC'' Baseline'!C$1:AE$257,28,FALSE))))),"")</f>
        <v/>
      </c>
      <c r="BH16" s="673" t="str">
        <f>IF('C-1 On-Site WaterC'' Baseline'!AU16="","",IF('C-1 On-Site WaterC'' Baseline'!AU16="Yes",TRUE,FALSE))</f>
        <v/>
      </c>
      <c r="BI16" s="673">
        <v>7</v>
      </c>
      <c r="BJ16" s="673" t="str">
        <f>IF('F-1 Off-Site WaterC'' Baseline'!AU16="","",IF('F-1 Off-Site WaterC'' Baseline'!AU16="Yes",TRUE,FALSE))</f>
        <v/>
      </c>
      <c r="BK16" s="673" t="str">
        <f t="shared" si="1"/>
        <v/>
      </c>
      <c r="BL16" s="673" t="str">
        <f>IF(AG16="","",IF(LEN(VLOOKUP($AG16,'C-1 On-Site WaterC'' Baseline'!$C$1:$AV$257,25,FALSE))=0,"",VLOOKUP(AG16,'C-1 On-Site WaterC'' Baseline'!$C$1:$AV$257,25,FALSE)))</f>
        <v/>
      </c>
      <c r="BM16" s="673" t="str">
        <f>IF(B16="","",IF(LEN(VLOOKUP($B16,'A-1 On-Site Habitat Baseline'!$D$1:$AV$258,22,FALSE))=0,"",(VLOOKUP(B16,'A-1 On-Site Habitat Baseline'!$D$1:$AV$258,22,FALSE))))</f>
        <v/>
      </c>
    </row>
    <row r="17" spans="2:65" s="675" customFormat="1" ht="44.9" customHeight="1">
      <c r="B17" s="684" t="str" cm="1">
        <f t="array" ref="B17">IFERROR(INDEX($AD$10:$AD$259,MATCH(0,IF(TRUE=$AC$10:$AC$259,COUNTIF($B$9:B16,$AD$10:$AD$259),""),0)),"")</f>
        <v/>
      </c>
      <c r="C17" s="642"/>
      <c r="D17" s="642"/>
      <c r="E17" s="1545" t="str">
        <f>IF(B17="","",IF(ISNA(VLOOKUP($B17,'A-1 On-Site Habitat Baseline'!$D$1:$AV$258,45,FALSE)),"",(VLOOKUP(B17,'A-1 On-Site Habitat Baseline'!$D$1:$AV$258,45,FALSE))))</f>
        <v/>
      </c>
      <c r="F17" s="1545"/>
      <c r="G17" s="1545"/>
      <c r="H17" s="1573"/>
      <c r="I17" s="1573"/>
      <c r="J17" s="1573"/>
      <c r="K17" s="1534" t="str">
        <f>IF(B17="","",IF(ISNA(VLOOKUP($B17,'A-1 On-Site Habitat Baseline'!$D$1:$AV$258,5,FALSE)),"",(VLOOKUP(B17,'A-1 On-Site Habitat Baseline'!$D$1:$AV$258,5,FALSE))))</f>
        <v/>
      </c>
      <c r="L17" s="1534"/>
      <c r="M17" s="1534" t="str">
        <f>IF(B17="","",IF(ISNA(VLOOKUP($B17,'A-1 On-Site Habitat Baseline'!$D$1:$AV$258,16,FALSE)),"",(VLOOKUP(B17,'A-1 On-Site Habitat Baseline'!$D$1:$AV$258,16,FALSE))))</f>
        <v/>
      </c>
      <c r="N17" s="1534"/>
      <c r="O17" s="1534" t="str">
        <f>IF(B17="","",IF(ISNA(VLOOKUP($B17,'A-1 On-Site Habitat Baseline'!$D$1:$AV$258,17,FALSE)),"",(VLOOKUP(B17,'A-1 On-Site Habitat Baseline'!$D$1:$AV$258,17,FALSE))))</f>
        <v/>
      </c>
      <c r="P17" s="1534"/>
      <c r="Q17" s="1534"/>
      <c r="R17" s="1534"/>
      <c r="S17" s="1534" t="str">
        <f t="shared" si="2"/>
        <v/>
      </c>
      <c r="T17" s="1545"/>
      <c r="U17" s="648" t="str">
        <f t="shared" si="3"/>
        <v/>
      </c>
      <c r="V17" s="646"/>
      <c r="W17" s="646"/>
      <c r="X17" s="646"/>
      <c r="Y17" s="646"/>
      <c r="Z17" s="676" t="str">
        <f ca="1">IFERROR(IF(LEN(VLOOKUP($B17,'A-1 On-Site Habitat Baseline'!$D$1:$AV$258,23,FALSE))=0,"",IF(B17="","",IF(ISNA(VLOOKUP($B17,'A-1 On-Site Habitat Baseline'!$D$1:$AV$258,23,FALSE)),"",(VLOOKUP(B17,'A-1 On-Site Habitat Baseline'!$D$1:$AV$258,23,FALSE))))),"")</f>
        <v/>
      </c>
      <c r="AA17" s="652" t="str">
        <f ca="1">IFERROR(IF(LEN(VLOOKUP($B17,'A-1 On-Site Habitat Baseline'!$D$1:$AV$258,24,FALSE))=0,"",IF(B17="","",IF(ISNA(VLOOKUP($B17,'A-1 On-Site Habitat Baseline'!$D$1:$AV$258,24,FALSE)),"",(VLOOKUP(B17,'A-1 On-Site Habitat Baseline'!$D$1:$AV$258,24,FALSE))))),"")</f>
        <v/>
      </c>
      <c r="AB17" s="674" t="str">
        <f ca="1">IFERROR(IF(LEN(VLOOKUP($B17,'A-1 On-Site Habitat Baseline'!$D$1:$AV$258,25,FALSE))=0,"",IF(B17="","",IF(ISNA(VLOOKUP($B17,'A-1 On-Site Habitat Baseline'!$D$1:$AV$258,25,FALSE)),"",(VLOOKUP(B17,'A-1 On-Site Habitat Baseline'!$D$1:$AV$258,25,FALSE))))),"")</f>
        <v/>
      </c>
      <c r="AC17" s="672" t="b">
        <f>IF('A-1 On-Site Habitat Baseline'!G18="","",IF('A-1 On-Site Habitat Baseline'!G18="Yes",TRUE,FALSE))</f>
        <v>0</v>
      </c>
      <c r="AD17" s="673">
        <v>8</v>
      </c>
      <c r="AE17" s="672" t="str">
        <f>IF('D-1 Off-Site Habitat Baseline'!G18="","",IF('D-1 Off-Site Habitat Baseline'!G18="Yes",TRUE,FALSE))</f>
        <v/>
      </c>
      <c r="AF17" s="672"/>
      <c r="AG17" s="641" t="str" cm="1">
        <f t="array" ref="AG17">IFERROR(INDEX($BI$10:$BI$259,MATCH(0,IF(TRUE=$BH$10:$BH$259,COUNTIF($AG$9:AG16,$BI$10:$BI$259),""),0)),"")</f>
        <v/>
      </c>
      <c r="AH17" s="642"/>
      <c r="AI17" s="642"/>
      <c r="AJ17" s="1545" t="str">
        <f>IF(BH17=FALSE,"",IF(ISNA(VLOOKUP(AG17,'C-1 On-Site WaterC'' Baseline'!C$1:D$257,2,FALSE)),"",(VLOOKUP(AG17,'C-1 On-Site WaterC'' Baseline'!C$1:D$257,2,FALSE))))</f>
        <v/>
      </c>
      <c r="AK17" s="1545"/>
      <c r="AL17" s="1545"/>
      <c r="AM17" s="1573"/>
      <c r="AN17" s="1573"/>
      <c r="AO17" s="1573"/>
      <c r="AP17" s="1534" t="str">
        <f>IF(AG17="","",IF(ISNA(VLOOKUP($AG17,'C-1 On-Site WaterC'' Baseline'!C$1:E$257,3,FALSE)),"",(VLOOKUP(AG17,'C-1 On-Site WaterC'' Baseline'!C$1:E$257,3,FALSE))))</f>
        <v/>
      </c>
      <c r="AQ17" s="1534"/>
      <c r="AR17" s="1531" t="str">
        <f>IF(AG17="","",IF(ISNA(VLOOKUP($AG17,'C-1 On-Site WaterC'' Baseline'!C$1:AA$257,19,FALSE)),"",(VLOOKUP(AG17,'C-1 On-Site WaterC'' Baseline'!C$1:AA$257,19,FALSE))))</f>
        <v/>
      </c>
      <c r="AS17" s="1533"/>
      <c r="AT17" s="1531" t="str">
        <f>IF(AG17="","",IF(ISNA(VLOOKUP($AG17,'C-1 On-Site WaterC'' Baseline'!C$1:AA$257,20,FALSE)),"",(VLOOKUP(AG17,'C-1 On-Site WaterC'' Baseline'!C$1:AA$257,20,FALSE))))</f>
        <v/>
      </c>
      <c r="AU17" s="1532"/>
      <c r="AV17" s="1532"/>
      <c r="AW17" s="1533"/>
      <c r="AX17" s="1534" t="str">
        <f t="shared" si="4"/>
        <v/>
      </c>
      <c r="AY17" s="1534"/>
      <c r="AZ17" s="1535" t="str">
        <f t="shared" si="0"/>
        <v/>
      </c>
      <c r="BA17" s="1536"/>
      <c r="BB17" s="1536"/>
      <c r="BC17" s="1536"/>
      <c r="BD17" s="1537"/>
      <c r="BE17" s="676" t="str">
        <f>IFERROR(IF(LEN(VLOOKUP($AG17,'C-1 On-Site WaterC'' Baseline'!C$1:AE$257,26,FALSE))=0,"",IF(AG17="","",IF(ISNA(VLOOKUP($AG17,'C-1 On-Site WaterC'' Baseline'!C$1:AE$257,26,FALSE)),"",(VLOOKUP(AG17,'C-1 On-Site WaterC'' Baseline'!C$1:AE$257,26,FALSE))))),"")</f>
        <v/>
      </c>
      <c r="BF17" s="652" t="str">
        <f>IFERROR(IF(LEN(VLOOKUP($AG17,'C-1 On-Site WaterC'' Baseline'!C$1:AE$257,27,FALSE))=0,"",IF(AG17="","",IF(ISNA(VLOOKUP($AG17,'C-1 On-Site WaterC'' Baseline'!C$1:AE$257,27,FALSE)),"",(VLOOKUP(AG17,'C-1 On-Site WaterC'' Baseline'!C$1:AE$257,27,FALSE))))),"")</f>
        <v/>
      </c>
      <c r="BG17" s="687" t="str">
        <f>IFERROR(IF(LEN(VLOOKUP($AG17,'C-1 On-Site WaterC'' Baseline'!C$1:AE$257,28,FALSE))=0,"",IF(AG17="","",IF(ISNA(VLOOKUP($AG17,'C-1 On-Site WaterC'' Baseline'!C$1:AE$257,28,FALSE)),"",(VLOOKUP(AG17,'C-1 On-Site WaterC'' Baseline'!C$1:AE$257,28,FALSE))))),"")</f>
        <v/>
      </c>
      <c r="BH17" s="673" t="str">
        <f>IF('C-1 On-Site WaterC'' Baseline'!AU17="","",IF('C-1 On-Site WaterC'' Baseline'!AU17="Yes",TRUE,FALSE))</f>
        <v/>
      </c>
      <c r="BI17" s="673">
        <v>8</v>
      </c>
      <c r="BJ17" s="673" t="str">
        <f>IF('F-1 Off-Site WaterC'' Baseline'!AU17="","",IF('F-1 Off-Site WaterC'' Baseline'!AU17="Yes",TRUE,FALSE))</f>
        <v/>
      </c>
      <c r="BK17" s="673" t="str">
        <f t="shared" si="1"/>
        <v/>
      </c>
      <c r="BL17" s="673" t="str">
        <f>IF(AG17="","",IF(LEN(VLOOKUP($AG17,'C-1 On-Site WaterC'' Baseline'!$C$1:$AV$257,25,FALSE))=0,"",VLOOKUP(AG17,'C-1 On-Site WaterC'' Baseline'!$C$1:$AV$257,25,FALSE)))</f>
        <v/>
      </c>
      <c r="BM17" s="673" t="str">
        <f>IF(B17="","",IF(LEN(VLOOKUP($B17,'A-1 On-Site Habitat Baseline'!$D$1:$AV$258,22,FALSE))=0,"",(VLOOKUP(B17,'A-1 On-Site Habitat Baseline'!$D$1:$AV$258,22,FALSE))))</f>
        <v/>
      </c>
    </row>
    <row r="18" spans="2:65" s="675" customFormat="1" ht="44.9" customHeight="1">
      <c r="B18" s="684" t="str" cm="1">
        <f t="array" ref="B18">IFERROR(INDEX($AD$10:$AD$259,MATCH(0,IF(TRUE=$AC$10:$AC$259,COUNTIF($B$9:B17,$AD$10:$AD$259),""),0)),"")</f>
        <v/>
      </c>
      <c r="C18" s="642"/>
      <c r="D18" s="642"/>
      <c r="E18" s="1545" t="str">
        <f>IF(B18="","",IF(ISNA(VLOOKUP($B18,'A-1 On-Site Habitat Baseline'!$D$1:$AV$258,45,FALSE)),"",(VLOOKUP(B18,'A-1 On-Site Habitat Baseline'!$D$1:$AV$258,45,FALSE))))</f>
        <v/>
      </c>
      <c r="F18" s="1545"/>
      <c r="G18" s="1545"/>
      <c r="H18" s="1573"/>
      <c r="I18" s="1573"/>
      <c r="J18" s="1573"/>
      <c r="K18" s="1534" t="str">
        <f>IF(B18="","",IF(ISNA(VLOOKUP($B18,'A-1 On-Site Habitat Baseline'!$D$1:$AV$258,5,FALSE)),"",(VLOOKUP(B18,'A-1 On-Site Habitat Baseline'!$D$1:$AV$258,5,FALSE))))</f>
        <v/>
      </c>
      <c r="L18" s="1534"/>
      <c r="M18" s="1534" t="str">
        <f>IF(B18="","",IF(ISNA(VLOOKUP($B18,'A-1 On-Site Habitat Baseline'!$D$1:$AV$258,16,FALSE)),"",(VLOOKUP(B18,'A-1 On-Site Habitat Baseline'!$D$1:$AV$258,16,FALSE))))</f>
        <v/>
      </c>
      <c r="N18" s="1534"/>
      <c r="O18" s="1534" t="str">
        <f>IF(B18="","",IF(ISNA(VLOOKUP($B18,'A-1 On-Site Habitat Baseline'!$D$1:$AV$258,17,FALSE)),"",(VLOOKUP(B18,'A-1 On-Site Habitat Baseline'!$D$1:$AV$258,17,FALSE))))</f>
        <v/>
      </c>
      <c r="P18" s="1534"/>
      <c r="Q18" s="1534"/>
      <c r="R18" s="1534"/>
      <c r="S18" s="1534" t="str">
        <f t="shared" si="2"/>
        <v/>
      </c>
      <c r="T18" s="1545"/>
      <c r="U18" s="648" t="str">
        <f t="shared" si="3"/>
        <v/>
      </c>
      <c r="V18" s="646"/>
      <c r="W18" s="646"/>
      <c r="X18" s="646"/>
      <c r="Y18" s="646"/>
      <c r="Z18" s="676" t="str">
        <f ca="1">IFERROR(IF(LEN(VLOOKUP($B18,'A-1 On-Site Habitat Baseline'!$D$1:$AV$258,23,FALSE))=0,"",IF(B18="","",IF(ISNA(VLOOKUP($B18,'A-1 On-Site Habitat Baseline'!$D$1:$AV$258,23,FALSE)),"",(VLOOKUP(B18,'A-1 On-Site Habitat Baseline'!$D$1:$AV$258,23,FALSE))))),"")</f>
        <v/>
      </c>
      <c r="AA18" s="652" t="str">
        <f ca="1">IFERROR(IF(LEN(VLOOKUP($B18,'A-1 On-Site Habitat Baseline'!$D$1:$AV$258,24,FALSE))=0,"",IF(B18="","",IF(ISNA(VLOOKUP($B18,'A-1 On-Site Habitat Baseline'!$D$1:$AV$258,24,FALSE)),"",(VLOOKUP(B18,'A-1 On-Site Habitat Baseline'!$D$1:$AV$258,24,FALSE))))),"")</f>
        <v/>
      </c>
      <c r="AB18" s="674" t="str">
        <f ca="1">IFERROR(IF(LEN(VLOOKUP($B18,'A-1 On-Site Habitat Baseline'!$D$1:$AV$258,25,FALSE))=0,"",IF(B18="","",IF(ISNA(VLOOKUP($B18,'A-1 On-Site Habitat Baseline'!$D$1:$AV$258,25,FALSE)),"",(VLOOKUP(B18,'A-1 On-Site Habitat Baseline'!$D$1:$AV$258,25,FALSE))))),"")</f>
        <v/>
      </c>
      <c r="AC18" s="672" t="b">
        <f>IF('A-1 On-Site Habitat Baseline'!G19="","",IF('A-1 On-Site Habitat Baseline'!G19="Yes",TRUE,FALSE))</f>
        <v>0</v>
      </c>
      <c r="AD18" s="673">
        <v>9</v>
      </c>
      <c r="AE18" s="672" t="str">
        <f>IF('D-1 Off-Site Habitat Baseline'!G19="","",IF('D-1 Off-Site Habitat Baseline'!G19="Yes",TRUE,FALSE))</f>
        <v/>
      </c>
      <c r="AF18" s="672"/>
      <c r="AG18" s="641" t="str" cm="1">
        <f t="array" ref="AG18">IFERROR(INDEX($BI$10:$BI$259,MATCH(0,IF(TRUE=$BH$10:$BH$259,COUNTIF($AG$9:AG17,$BI$10:$BI$259),""),0)),"")</f>
        <v/>
      </c>
      <c r="AH18" s="642"/>
      <c r="AI18" s="642"/>
      <c r="AJ18" s="1545" t="str">
        <f>IF(BH18=FALSE,"",IF(ISNA(VLOOKUP(AG18,'C-1 On-Site WaterC'' Baseline'!C$1:D$257,2,FALSE)),"",(VLOOKUP(AG18,'C-1 On-Site WaterC'' Baseline'!C$1:D$257,2,FALSE))))</f>
        <v/>
      </c>
      <c r="AK18" s="1545"/>
      <c r="AL18" s="1545"/>
      <c r="AM18" s="1573"/>
      <c r="AN18" s="1573"/>
      <c r="AO18" s="1573"/>
      <c r="AP18" s="1534" t="str">
        <f>IF(AG18="","",IF(ISNA(VLOOKUP($AG18,'C-1 On-Site WaterC'' Baseline'!C$1:E$257,3,FALSE)),"",(VLOOKUP(AG18,'C-1 On-Site WaterC'' Baseline'!C$1:E$257,3,FALSE))))</f>
        <v/>
      </c>
      <c r="AQ18" s="1534"/>
      <c r="AR18" s="1531" t="str">
        <f>IF(AG18="","",IF(ISNA(VLOOKUP($AG18,'C-1 On-Site WaterC'' Baseline'!C$1:AA$257,19,FALSE)),"",(VLOOKUP(AG18,'C-1 On-Site WaterC'' Baseline'!C$1:AA$257,19,FALSE))))</f>
        <v/>
      </c>
      <c r="AS18" s="1533"/>
      <c r="AT18" s="1531" t="str">
        <f>IF(AG18="","",IF(ISNA(VLOOKUP($AG18,'C-1 On-Site WaterC'' Baseline'!C$1:AA$257,20,FALSE)),"",(VLOOKUP(AG18,'C-1 On-Site WaterC'' Baseline'!C$1:AA$257,20,FALSE))))</f>
        <v/>
      </c>
      <c r="AU18" s="1532"/>
      <c r="AV18" s="1532"/>
      <c r="AW18" s="1533"/>
      <c r="AX18" s="1534" t="str">
        <f t="shared" si="4"/>
        <v/>
      </c>
      <c r="AY18" s="1534"/>
      <c r="AZ18" s="1535" t="str">
        <f t="shared" si="0"/>
        <v/>
      </c>
      <c r="BA18" s="1536"/>
      <c r="BB18" s="1536"/>
      <c r="BC18" s="1536"/>
      <c r="BD18" s="1537"/>
      <c r="BE18" s="676" t="str">
        <f>IFERROR(IF(LEN(VLOOKUP($AG18,'C-1 On-Site WaterC'' Baseline'!C$1:AE$257,26,FALSE))=0,"",IF(AG18="","",IF(ISNA(VLOOKUP($AG18,'C-1 On-Site WaterC'' Baseline'!C$1:AE$257,26,FALSE)),"",(VLOOKUP(AG18,'C-1 On-Site WaterC'' Baseline'!C$1:AE$257,26,FALSE))))),"")</f>
        <v/>
      </c>
      <c r="BF18" s="652" t="str">
        <f>IFERROR(IF(LEN(VLOOKUP($AG18,'C-1 On-Site WaterC'' Baseline'!C$1:AE$257,27,FALSE))=0,"",IF(AG18="","",IF(ISNA(VLOOKUP($AG18,'C-1 On-Site WaterC'' Baseline'!C$1:AE$257,27,FALSE)),"",(VLOOKUP(AG18,'C-1 On-Site WaterC'' Baseline'!C$1:AE$257,27,FALSE))))),"")</f>
        <v/>
      </c>
      <c r="BG18" s="687" t="str">
        <f>IFERROR(IF(LEN(VLOOKUP($AG18,'C-1 On-Site WaterC'' Baseline'!C$1:AE$257,28,FALSE))=0,"",IF(AG18="","",IF(ISNA(VLOOKUP($AG18,'C-1 On-Site WaterC'' Baseline'!C$1:AE$257,28,FALSE)),"",(VLOOKUP(AG18,'C-1 On-Site WaterC'' Baseline'!C$1:AE$257,28,FALSE))))),"")</f>
        <v/>
      </c>
      <c r="BH18" s="673" t="str">
        <f>IF('C-1 On-Site WaterC'' Baseline'!AU18="","",IF('C-1 On-Site WaterC'' Baseline'!AU18="Yes",TRUE,FALSE))</f>
        <v/>
      </c>
      <c r="BI18" s="673">
        <v>9</v>
      </c>
      <c r="BJ18" s="673" t="str">
        <f>IF('F-1 Off-Site WaterC'' Baseline'!AU18="","",IF('F-1 Off-Site WaterC'' Baseline'!AU18="Yes",TRUE,FALSE))</f>
        <v/>
      </c>
      <c r="BK18" s="673" t="str">
        <f t="shared" si="1"/>
        <v/>
      </c>
      <c r="BL18" s="673" t="str">
        <f>IF(AG18="","",IF(LEN(VLOOKUP($AG18,'C-1 On-Site WaterC'' Baseline'!$C$1:$AV$257,25,FALSE))=0,"",VLOOKUP(AG18,'C-1 On-Site WaterC'' Baseline'!$C$1:$AV$257,25,FALSE)))</f>
        <v/>
      </c>
      <c r="BM18" s="673" t="str">
        <f>IF(B18="","",IF(LEN(VLOOKUP($B18,'A-1 On-Site Habitat Baseline'!$D$1:$AV$258,22,FALSE))=0,"",(VLOOKUP(B18,'A-1 On-Site Habitat Baseline'!$D$1:$AV$258,22,FALSE))))</f>
        <v/>
      </c>
    </row>
    <row r="19" spans="2:65" s="675" customFormat="1" ht="44.9" customHeight="1">
      <c r="B19" s="684" t="str" cm="1">
        <f t="array" ref="B19">IFERROR(INDEX($AD$10:$AD$259,MATCH(0,IF(TRUE=$AC$10:$AC$259,COUNTIF($B$9:B18,$AD$10:$AD$259),""),0)),"")</f>
        <v/>
      </c>
      <c r="C19" s="642"/>
      <c r="D19" s="642"/>
      <c r="E19" s="1545" t="str">
        <f>IF(B19="","",IF(ISNA(VLOOKUP($B19,'A-1 On-Site Habitat Baseline'!$D$1:$AV$258,45,FALSE)),"",(VLOOKUP(B19,'A-1 On-Site Habitat Baseline'!$D$1:$AV$258,45,FALSE))))</f>
        <v/>
      </c>
      <c r="F19" s="1545"/>
      <c r="G19" s="1545"/>
      <c r="H19" s="1573"/>
      <c r="I19" s="1573"/>
      <c r="J19" s="1573"/>
      <c r="K19" s="1534" t="str">
        <f>IF(B19="","",IF(ISNA(VLOOKUP($B19,'A-1 On-Site Habitat Baseline'!$D$1:$AV$258,5,FALSE)),"",(VLOOKUP(B19,'A-1 On-Site Habitat Baseline'!$D$1:$AV$258,5,FALSE))))</f>
        <v/>
      </c>
      <c r="L19" s="1534"/>
      <c r="M19" s="1534" t="str">
        <f>IF(B19="","",IF(ISNA(VLOOKUP($B19,'A-1 On-Site Habitat Baseline'!$D$1:$AV$258,16,FALSE)),"",(VLOOKUP(B19,'A-1 On-Site Habitat Baseline'!$D$1:$AV$258,16,FALSE))))</f>
        <v/>
      </c>
      <c r="N19" s="1534"/>
      <c r="O19" s="1534" t="str">
        <f>IF(B19="","",IF(ISNA(VLOOKUP($B19,'A-1 On-Site Habitat Baseline'!$D$1:$AV$258,17,FALSE)),"",(VLOOKUP(B19,'A-1 On-Site Habitat Baseline'!$D$1:$AV$258,17,FALSE))))</f>
        <v/>
      </c>
      <c r="P19" s="1534"/>
      <c r="Q19" s="1534"/>
      <c r="R19" s="1534"/>
      <c r="S19" s="1534" t="str">
        <f t="shared" si="2"/>
        <v/>
      </c>
      <c r="T19" s="1545"/>
      <c r="U19" s="648" t="str">
        <f t="shared" si="3"/>
        <v/>
      </c>
      <c r="V19" s="646"/>
      <c r="W19" s="646"/>
      <c r="X19" s="646"/>
      <c r="Y19" s="646"/>
      <c r="Z19" s="676" t="str">
        <f ca="1">IFERROR(IF(LEN(VLOOKUP($B19,'A-1 On-Site Habitat Baseline'!$D$1:$AV$258,23,FALSE))=0,"",IF(B19="","",IF(ISNA(VLOOKUP($B19,'A-1 On-Site Habitat Baseline'!$D$1:$AV$258,23,FALSE)),"",(VLOOKUP(B19,'A-1 On-Site Habitat Baseline'!$D$1:$AV$258,23,FALSE))))),"")</f>
        <v/>
      </c>
      <c r="AA19" s="652" t="str">
        <f ca="1">IFERROR(IF(LEN(VLOOKUP($B19,'A-1 On-Site Habitat Baseline'!$D$1:$AV$258,24,FALSE))=0,"",IF(B19="","",IF(ISNA(VLOOKUP($B19,'A-1 On-Site Habitat Baseline'!$D$1:$AV$258,24,FALSE)),"",(VLOOKUP(B19,'A-1 On-Site Habitat Baseline'!$D$1:$AV$258,24,FALSE))))),"")</f>
        <v/>
      </c>
      <c r="AB19" s="674" t="str">
        <f ca="1">IFERROR(IF(LEN(VLOOKUP($B19,'A-1 On-Site Habitat Baseline'!$D$1:$AV$258,25,FALSE))=0,"",IF(B19="","",IF(ISNA(VLOOKUP($B19,'A-1 On-Site Habitat Baseline'!$D$1:$AV$258,25,FALSE)),"",(VLOOKUP(B19,'A-1 On-Site Habitat Baseline'!$D$1:$AV$258,25,FALSE))))),"")</f>
        <v/>
      </c>
      <c r="AC19" s="672" t="b">
        <f>IF('A-1 On-Site Habitat Baseline'!G20="","",IF('A-1 On-Site Habitat Baseline'!G20="Yes",TRUE,FALSE))</f>
        <v>0</v>
      </c>
      <c r="AD19" s="673">
        <v>10</v>
      </c>
      <c r="AE19" s="672" t="str">
        <f>IF('D-1 Off-Site Habitat Baseline'!G20="","",IF('D-1 Off-Site Habitat Baseline'!G20="Yes",TRUE,FALSE))</f>
        <v/>
      </c>
      <c r="AF19" s="672"/>
      <c r="AG19" s="641" t="str" cm="1">
        <f t="array" ref="AG19">IFERROR(INDEX($BI$10:$BI$259,MATCH(0,IF(TRUE=$BH$10:$BH$259,COUNTIF($AG$9:AG18,$BI$10:$BI$259),""),0)),"")</f>
        <v/>
      </c>
      <c r="AH19" s="642"/>
      <c r="AI19" s="642"/>
      <c r="AJ19" s="1545" t="str">
        <f>IF(BH19=FALSE,"",IF(ISNA(VLOOKUP(AG19,'C-1 On-Site WaterC'' Baseline'!C$1:D$257,2,FALSE)),"",(VLOOKUP(AG19,'C-1 On-Site WaterC'' Baseline'!C$1:D$257,2,FALSE))))</f>
        <v/>
      </c>
      <c r="AK19" s="1545"/>
      <c r="AL19" s="1545"/>
      <c r="AM19" s="1573"/>
      <c r="AN19" s="1573"/>
      <c r="AO19" s="1573"/>
      <c r="AP19" s="1534" t="str">
        <f>IF(AG19="","",IF(ISNA(VLOOKUP($AG19,'C-1 On-Site WaterC'' Baseline'!C$1:E$257,3,FALSE)),"",(VLOOKUP(AG19,'C-1 On-Site WaterC'' Baseline'!C$1:E$257,3,FALSE))))</f>
        <v/>
      </c>
      <c r="AQ19" s="1534"/>
      <c r="AR19" s="1531" t="str">
        <f>IF(AG19="","",IF(ISNA(VLOOKUP($AG19,'C-1 On-Site WaterC'' Baseline'!C$1:AA$257,19,FALSE)),"",(VLOOKUP(AG19,'C-1 On-Site WaterC'' Baseline'!C$1:AA$257,19,FALSE))))</f>
        <v/>
      </c>
      <c r="AS19" s="1533"/>
      <c r="AT19" s="1531" t="str">
        <f>IF(AG19="","",IF(ISNA(VLOOKUP($AG19,'C-1 On-Site WaterC'' Baseline'!C$1:AA$257,20,FALSE)),"",(VLOOKUP(AG19,'C-1 On-Site WaterC'' Baseline'!C$1:AA$257,20,FALSE))))</f>
        <v/>
      </c>
      <c r="AU19" s="1532"/>
      <c r="AV19" s="1532"/>
      <c r="AW19" s="1533"/>
      <c r="AX19" s="1534" t="str">
        <f t="shared" si="4"/>
        <v/>
      </c>
      <c r="AY19" s="1534"/>
      <c r="AZ19" s="1535" t="str">
        <f t="shared" si="0"/>
        <v/>
      </c>
      <c r="BA19" s="1536"/>
      <c r="BB19" s="1536"/>
      <c r="BC19" s="1536"/>
      <c r="BD19" s="1537"/>
      <c r="BE19" s="676" t="str">
        <f>IFERROR(IF(LEN(VLOOKUP($AG19,'C-1 On-Site WaterC'' Baseline'!C$1:AE$257,26,FALSE))=0,"",IF(AG19="","",IF(ISNA(VLOOKUP($AG19,'C-1 On-Site WaterC'' Baseline'!C$1:AE$257,26,FALSE)),"",(VLOOKUP(AG19,'C-1 On-Site WaterC'' Baseline'!C$1:AE$257,26,FALSE))))),"")</f>
        <v/>
      </c>
      <c r="BF19" s="652" t="str">
        <f>IFERROR(IF(LEN(VLOOKUP($AG19,'C-1 On-Site WaterC'' Baseline'!C$1:AE$257,27,FALSE))=0,"",IF(AG19="","",IF(ISNA(VLOOKUP($AG19,'C-1 On-Site WaterC'' Baseline'!C$1:AE$257,27,FALSE)),"",(VLOOKUP(AG19,'C-1 On-Site WaterC'' Baseline'!C$1:AE$257,27,FALSE))))),"")</f>
        <v/>
      </c>
      <c r="BG19" s="687" t="str">
        <f>IFERROR(IF(LEN(VLOOKUP($AG19,'C-1 On-Site WaterC'' Baseline'!C$1:AE$257,28,FALSE))=0,"",IF(AG19="","",IF(ISNA(VLOOKUP($AG19,'C-1 On-Site WaterC'' Baseline'!C$1:AE$257,28,FALSE)),"",(VLOOKUP(AG19,'C-1 On-Site WaterC'' Baseline'!C$1:AE$257,28,FALSE))))),"")</f>
        <v/>
      </c>
      <c r="BH19" s="673" t="str">
        <f>IF('C-1 On-Site WaterC'' Baseline'!AU19="","",IF('C-1 On-Site WaterC'' Baseline'!AU19="Yes",TRUE,FALSE))</f>
        <v/>
      </c>
      <c r="BI19" s="673">
        <v>10</v>
      </c>
      <c r="BJ19" s="673" t="str">
        <f>IF('F-1 Off-Site WaterC'' Baseline'!AU19="","",IF('F-1 Off-Site WaterC'' Baseline'!AU19="Yes",TRUE,FALSE))</f>
        <v/>
      </c>
      <c r="BK19" s="673" t="str">
        <f t="shared" si="1"/>
        <v/>
      </c>
      <c r="BL19" s="673" t="str">
        <f>IF(AG19="","",IF(LEN(VLOOKUP($AG19,'C-1 On-Site WaterC'' Baseline'!$C$1:$AV$257,25,FALSE))=0,"",VLOOKUP(AG19,'C-1 On-Site WaterC'' Baseline'!$C$1:$AV$257,25,FALSE)))</f>
        <v/>
      </c>
      <c r="BM19" s="673" t="str">
        <f>IF(B19="","",IF(LEN(VLOOKUP($B19,'A-1 On-Site Habitat Baseline'!$D$1:$AV$258,22,FALSE))=0,"",(VLOOKUP(B19,'A-1 On-Site Habitat Baseline'!$D$1:$AV$258,22,FALSE))))</f>
        <v/>
      </c>
    </row>
    <row r="20" spans="2:65" s="675" customFormat="1" ht="44.9" customHeight="1">
      <c r="B20" s="684" t="str" cm="1">
        <f t="array" ref="B20">IFERROR(INDEX($AD$10:$AD$259,MATCH(0,IF(TRUE=$AC$10:$AC$259,COUNTIF($B$9:B19,$AD$10:$AD$259),""),0)),"")</f>
        <v/>
      </c>
      <c r="C20" s="642"/>
      <c r="D20" s="642"/>
      <c r="E20" s="1545" t="str">
        <f>IF(B20="","",IF(ISNA(VLOOKUP($B20,'A-1 On-Site Habitat Baseline'!$D$1:$AV$258,45,FALSE)),"",(VLOOKUP(B20,'A-1 On-Site Habitat Baseline'!$D$1:$AV$258,45,FALSE))))</f>
        <v/>
      </c>
      <c r="F20" s="1545"/>
      <c r="G20" s="1545"/>
      <c r="H20" s="1573"/>
      <c r="I20" s="1573"/>
      <c r="J20" s="1573"/>
      <c r="K20" s="1534" t="str">
        <f>IF(B20="","",IF(ISNA(VLOOKUP($B20,'A-1 On-Site Habitat Baseline'!$D$1:$AV$258,5,FALSE)),"",(VLOOKUP(B20,'A-1 On-Site Habitat Baseline'!$D$1:$AV$258,5,FALSE))))</f>
        <v/>
      </c>
      <c r="L20" s="1534"/>
      <c r="M20" s="1534" t="str">
        <f>IF(B20="","",IF(ISNA(VLOOKUP($B20,'A-1 On-Site Habitat Baseline'!$D$1:$AV$258,16,FALSE)),"",(VLOOKUP(B20,'A-1 On-Site Habitat Baseline'!$D$1:$AV$258,16,FALSE))))</f>
        <v/>
      </c>
      <c r="N20" s="1534"/>
      <c r="O20" s="1534" t="str">
        <f>IF(B20="","",IF(ISNA(VLOOKUP($B20,'A-1 On-Site Habitat Baseline'!$D$1:$AV$258,17,FALSE)),"",(VLOOKUP(B20,'A-1 On-Site Habitat Baseline'!$D$1:$AV$258,17,FALSE))))</f>
        <v/>
      </c>
      <c r="P20" s="1534"/>
      <c r="Q20" s="1534"/>
      <c r="R20" s="1534"/>
      <c r="S20" s="1534" t="str">
        <f t="shared" si="2"/>
        <v/>
      </c>
      <c r="T20" s="1545"/>
      <c r="U20" s="648" t="str">
        <f t="shared" si="3"/>
        <v/>
      </c>
      <c r="V20" s="646"/>
      <c r="W20" s="646"/>
      <c r="X20" s="646"/>
      <c r="Y20" s="646"/>
      <c r="Z20" s="676" t="str">
        <f ca="1">IFERROR(IF(LEN(VLOOKUP($B20,'A-1 On-Site Habitat Baseline'!$D$1:$AV$258,23,FALSE))=0,"",IF(B20="","",IF(ISNA(VLOOKUP($B20,'A-1 On-Site Habitat Baseline'!$D$1:$AV$258,23,FALSE)),"",(VLOOKUP(B20,'A-1 On-Site Habitat Baseline'!$D$1:$AV$258,23,FALSE))))),"")</f>
        <v/>
      </c>
      <c r="AA20" s="652" t="str">
        <f ca="1">IFERROR(IF(LEN(VLOOKUP($B20,'A-1 On-Site Habitat Baseline'!$D$1:$AV$258,24,FALSE))=0,"",IF(B20="","",IF(ISNA(VLOOKUP($B20,'A-1 On-Site Habitat Baseline'!$D$1:$AV$258,24,FALSE)),"",(VLOOKUP(B20,'A-1 On-Site Habitat Baseline'!$D$1:$AV$258,24,FALSE))))),"")</f>
        <v/>
      </c>
      <c r="AB20" s="674" t="str">
        <f ca="1">IFERROR(IF(LEN(VLOOKUP($B20,'A-1 On-Site Habitat Baseline'!$D$1:$AV$258,25,FALSE))=0,"",IF(B20="","",IF(ISNA(VLOOKUP($B20,'A-1 On-Site Habitat Baseline'!$D$1:$AV$258,25,FALSE)),"",(VLOOKUP(B20,'A-1 On-Site Habitat Baseline'!$D$1:$AV$258,25,FALSE))))),"")</f>
        <v/>
      </c>
      <c r="AC20" s="672" t="b">
        <f>IF('A-1 On-Site Habitat Baseline'!G21="","",IF('A-1 On-Site Habitat Baseline'!G21="Yes",TRUE,FALSE))</f>
        <v>0</v>
      </c>
      <c r="AD20" s="673">
        <v>11</v>
      </c>
      <c r="AE20" s="672" t="str">
        <f>IF('D-1 Off-Site Habitat Baseline'!G21="","",IF('D-1 Off-Site Habitat Baseline'!G21="Yes",TRUE,FALSE))</f>
        <v/>
      </c>
      <c r="AF20" s="672"/>
      <c r="AG20" s="641" t="str" cm="1">
        <f t="array" ref="AG20">IFERROR(INDEX($BI$10:$BI$259,MATCH(0,IF(TRUE=$BH$10:$BH$259,COUNTIF($AG$9:AG19,$BI$10:$BI$259),""),0)),"")</f>
        <v/>
      </c>
      <c r="AH20" s="642"/>
      <c r="AI20" s="642"/>
      <c r="AJ20" s="1545" t="str">
        <f>IF(BH20=FALSE,"",IF(ISNA(VLOOKUP(AG20,'C-1 On-Site WaterC'' Baseline'!C$1:D$257,2,FALSE)),"",(VLOOKUP(AG20,'C-1 On-Site WaterC'' Baseline'!C$1:D$257,2,FALSE))))</f>
        <v/>
      </c>
      <c r="AK20" s="1545"/>
      <c r="AL20" s="1545"/>
      <c r="AM20" s="1573"/>
      <c r="AN20" s="1573"/>
      <c r="AO20" s="1573"/>
      <c r="AP20" s="1534" t="str">
        <f>IF(AG20="","",IF(ISNA(VLOOKUP($AG20,'C-1 On-Site WaterC'' Baseline'!C$1:E$257,3,FALSE)),"",(VLOOKUP(AG20,'C-1 On-Site WaterC'' Baseline'!C$1:E$257,3,FALSE))))</f>
        <v/>
      </c>
      <c r="AQ20" s="1534"/>
      <c r="AR20" s="1531" t="str">
        <f>IF(AG20="","",IF(ISNA(VLOOKUP($AG20,'C-1 On-Site WaterC'' Baseline'!C$1:AA$257,19,FALSE)),"",(VLOOKUP(AG20,'C-1 On-Site WaterC'' Baseline'!C$1:AA$257,19,FALSE))))</f>
        <v/>
      </c>
      <c r="AS20" s="1533"/>
      <c r="AT20" s="1531" t="str">
        <f>IF(AG20="","",IF(ISNA(VLOOKUP($AG20,'C-1 On-Site WaterC'' Baseline'!C$1:AA$257,20,FALSE)),"",(VLOOKUP(AG20,'C-1 On-Site WaterC'' Baseline'!C$1:AA$257,20,FALSE))))</f>
        <v/>
      </c>
      <c r="AU20" s="1532"/>
      <c r="AV20" s="1532"/>
      <c r="AW20" s="1533"/>
      <c r="AX20" s="1534" t="str">
        <f t="shared" si="4"/>
        <v/>
      </c>
      <c r="AY20" s="1534"/>
      <c r="AZ20" s="1535" t="str">
        <f t="shared" si="0"/>
        <v/>
      </c>
      <c r="BA20" s="1536"/>
      <c r="BB20" s="1536"/>
      <c r="BC20" s="1536"/>
      <c r="BD20" s="1537"/>
      <c r="BE20" s="676" t="str">
        <f>IFERROR(IF(LEN(VLOOKUP($AG20,'C-1 On-Site WaterC'' Baseline'!C$1:AE$257,26,FALSE))=0,"",IF(AG20="","",IF(ISNA(VLOOKUP($AG20,'C-1 On-Site WaterC'' Baseline'!C$1:AE$257,26,FALSE)),"",(VLOOKUP(AG20,'C-1 On-Site WaterC'' Baseline'!C$1:AE$257,26,FALSE))))),"")</f>
        <v/>
      </c>
      <c r="BF20" s="652" t="str">
        <f>IFERROR(IF(LEN(VLOOKUP($AG20,'C-1 On-Site WaterC'' Baseline'!C$1:AE$257,27,FALSE))=0,"",IF(AG20="","",IF(ISNA(VLOOKUP($AG20,'C-1 On-Site WaterC'' Baseline'!C$1:AE$257,27,FALSE)),"",(VLOOKUP(AG20,'C-1 On-Site WaterC'' Baseline'!C$1:AE$257,27,FALSE))))),"")</f>
        <v/>
      </c>
      <c r="BG20" s="687" t="str">
        <f>IFERROR(IF(LEN(VLOOKUP($AG20,'C-1 On-Site WaterC'' Baseline'!C$1:AE$257,28,FALSE))=0,"",IF(AG20="","",IF(ISNA(VLOOKUP($AG20,'C-1 On-Site WaterC'' Baseline'!C$1:AE$257,28,FALSE)),"",(VLOOKUP(AG20,'C-1 On-Site WaterC'' Baseline'!C$1:AE$257,28,FALSE))))),"")</f>
        <v/>
      </c>
      <c r="BH20" s="673" t="str">
        <f>IF('C-1 On-Site WaterC'' Baseline'!AU20="","",IF('C-1 On-Site WaterC'' Baseline'!AU20="Yes",TRUE,FALSE))</f>
        <v/>
      </c>
      <c r="BI20" s="673">
        <v>11</v>
      </c>
      <c r="BJ20" s="673" t="str">
        <f>IF('F-1 Off-Site WaterC'' Baseline'!AU20="","",IF('F-1 Off-Site WaterC'' Baseline'!AU20="Yes",TRUE,FALSE))</f>
        <v/>
      </c>
      <c r="BK20" s="673" t="str">
        <f t="shared" si="1"/>
        <v/>
      </c>
      <c r="BL20" s="673" t="str">
        <f>IF(AG20="","",IF(LEN(VLOOKUP($AG20,'C-1 On-Site WaterC'' Baseline'!$C$1:$AV$257,25,FALSE))=0,"",VLOOKUP(AG20,'C-1 On-Site WaterC'' Baseline'!$C$1:$AV$257,25,FALSE)))</f>
        <v/>
      </c>
      <c r="BM20" s="673" t="str">
        <f>IF(B20="","",IF(LEN(VLOOKUP($B20,'A-1 On-Site Habitat Baseline'!$D$1:$AV$258,22,FALSE))=0,"",(VLOOKUP(B20,'A-1 On-Site Habitat Baseline'!$D$1:$AV$258,22,FALSE))))</f>
        <v/>
      </c>
    </row>
    <row r="21" spans="2:65" s="675" customFormat="1" ht="44.9" customHeight="1">
      <c r="B21" s="684" t="str" cm="1">
        <f t="array" ref="B21">IFERROR(INDEX($AD$10:$AD$259,MATCH(0,IF(TRUE=$AC$10:$AC$259,COUNTIF($B$9:B20,$AD$10:$AD$259),""),0)),"")</f>
        <v/>
      </c>
      <c r="C21" s="642"/>
      <c r="D21" s="642"/>
      <c r="E21" s="1545" t="str">
        <f>IF(B21="","",IF(ISNA(VLOOKUP($B21,'A-1 On-Site Habitat Baseline'!$D$1:$AV$258,45,FALSE)),"",(VLOOKUP(B21,'A-1 On-Site Habitat Baseline'!$D$1:$AV$258,45,FALSE))))</f>
        <v/>
      </c>
      <c r="F21" s="1545"/>
      <c r="G21" s="1545"/>
      <c r="H21" s="1573"/>
      <c r="I21" s="1573"/>
      <c r="J21" s="1573"/>
      <c r="K21" s="1534" t="str">
        <f>IF(B21="","",IF(ISNA(VLOOKUP($B21,'A-1 On-Site Habitat Baseline'!$D$1:$AV$258,5,FALSE)),"",(VLOOKUP(B21,'A-1 On-Site Habitat Baseline'!$D$1:$AV$258,5,FALSE))))</f>
        <v/>
      </c>
      <c r="L21" s="1534"/>
      <c r="M21" s="1534" t="str">
        <f>IF(B21="","",IF(ISNA(VLOOKUP($B21,'A-1 On-Site Habitat Baseline'!$D$1:$AV$258,16,FALSE)),"",(VLOOKUP(B21,'A-1 On-Site Habitat Baseline'!$D$1:$AV$258,16,FALSE))))</f>
        <v/>
      </c>
      <c r="N21" s="1534"/>
      <c r="O21" s="1534" t="str">
        <f>IF(B21="","",IF(ISNA(VLOOKUP($B21,'A-1 On-Site Habitat Baseline'!$D$1:$AV$258,17,FALSE)),"",(VLOOKUP(B21,'A-1 On-Site Habitat Baseline'!$D$1:$AV$258,17,FALSE))))</f>
        <v/>
      </c>
      <c r="P21" s="1534"/>
      <c r="Q21" s="1534"/>
      <c r="R21" s="1534"/>
      <c r="S21" s="1534" t="str">
        <f t="shared" si="2"/>
        <v/>
      </c>
      <c r="T21" s="1545"/>
      <c r="U21" s="648" t="str">
        <f t="shared" si="3"/>
        <v/>
      </c>
      <c r="V21" s="646"/>
      <c r="W21" s="646"/>
      <c r="X21" s="646"/>
      <c r="Y21" s="646"/>
      <c r="Z21" s="676" t="str">
        <f ca="1">IFERROR(IF(LEN(VLOOKUP($B21,'A-1 On-Site Habitat Baseline'!$D$1:$AV$258,23,FALSE))=0,"",IF(B21="","",IF(ISNA(VLOOKUP($B21,'A-1 On-Site Habitat Baseline'!$D$1:$AV$258,23,FALSE)),"",(VLOOKUP(B21,'A-1 On-Site Habitat Baseline'!$D$1:$AV$258,23,FALSE))))),"")</f>
        <v/>
      </c>
      <c r="AA21" s="652" t="str">
        <f ca="1">IFERROR(IF(LEN(VLOOKUP($B21,'A-1 On-Site Habitat Baseline'!$D$1:$AV$258,24,FALSE))=0,"",IF(B21="","",IF(ISNA(VLOOKUP($B21,'A-1 On-Site Habitat Baseline'!$D$1:$AV$258,24,FALSE)),"",(VLOOKUP(B21,'A-1 On-Site Habitat Baseline'!$D$1:$AV$258,24,FALSE))))),"")</f>
        <v/>
      </c>
      <c r="AB21" s="674" t="str">
        <f ca="1">IFERROR(IF(LEN(VLOOKUP($B21,'A-1 On-Site Habitat Baseline'!$D$1:$AV$258,25,FALSE))=0,"",IF(B21="","",IF(ISNA(VLOOKUP($B21,'A-1 On-Site Habitat Baseline'!$D$1:$AV$258,25,FALSE)),"",(VLOOKUP(B21,'A-1 On-Site Habitat Baseline'!$D$1:$AV$258,25,FALSE))))),"")</f>
        <v/>
      </c>
      <c r="AC21" s="672" t="b">
        <f>IF('A-1 On-Site Habitat Baseline'!G22="","",IF('A-1 On-Site Habitat Baseline'!G22="Yes",TRUE,FALSE))</f>
        <v>0</v>
      </c>
      <c r="AD21" s="673">
        <v>12</v>
      </c>
      <c r="AE21" s="672" t="str">
        <f>IF('D-1 Off-Site Habitat Baseline'!G22="","",IF('D-1 Off-Site Habitat Baseline'!G22="Yes",TRUE,FALSE))</f>
        <v/>
      </c>
      <c r="AF21" s="672"/>
      <c r="AG21" s="641" t="str" cm="1">
        <f t="array" ref="AG21">IFERROR(INDEX($BI$10:$BI$259,MATCH(0,IF(TRUE=$BH$10:$BH$259,COUNTIF($AG$9:AG20,$BI$10:$BI$259),""),0)),"")</f>
        <v/>
      </c>
      <c r="AH21" s="642"/>
      <c r="AI21" s="642"/>
      <c r="AJ21" s="1545" t="str">
        <f>IF(BH21=FALSE,"",IF(ISNA(VLOOKUP(AG21,'C-1 On-Site WaterC'' Baseline'!C$1:D$257,2,FALSE)),"",(VLOOKUP(AG21,'C-1 On-Site WaterC'' Baseline'!C$1:D$257,2,FALSE))))</f>
        <v/>
      </c>
      <c r="AK21" s="1545"/>
      <c r="AL21" s="1545"/>
      <c r="AM21" s="1573"/>
      <c r="AN21" s="1573"/>
      <c r="AO21" s="1573"/>
      <c r="AP21" s="1534" t="str">
        <f>IF(AG21="","",IF(ISNA(VLOOKUP($AG21,'C-1 On-Site WaterC'' Baseline'!C$1:E$257,3,FALSE)),"",(VLOOKUP(AG21,'C-1 On-Site WaterC'' Baseline'!C$1:E$257,3,FALSE))))</f>
        <v/>
      </c>
      <c r="AQ21" s="1534"/>
      <c r="AR21" s="1531" t="str">
        <f>IF(AG21="","",IF(ISNA(VLOOKUP($AG21,'C-1 On-Site WaterC'' Baseline'!C$1:AA$257,19,FALSE)),"",(VLOOKUP(AG21,'C-1 On-Site WaterC'' Baseline'!C$1:AA$257,19,FALSE))))</f>
        <v/>
      </c>
      <c r="AS21" s="1533"/>
      <c r="AT21" s="1531" t="str">
        <f>IF(AG21="","",IF(ISNA(VLOOKUP($AG21,'C-1 On-Site WaterC'' Baseline'!C$1:AA$257,20,FALSE)),"",(VLOOKUP(AG21,'C-1 On-Site WaterC'' Baseline'!C$1:AA$257,20,FALSE))))</f>
        <v/>
      </c>
      <c r="AU21" s="1532"/>
      <c r="AV21" s="1532"/>
      <c r="AW21" s="1533"/>
      <c r="AX21" s="1534" t="str">
        <f t="shared" si="4"/>
        <v/>
      </c>
      <c r="AY21" s="1534"/>
      <c r="AZ21" s="1535" t="str">
        <f t="shared" si="0"/>
        <v/>
      </c>
      <c r="BA21" s="1536"/>
      <c r="BB21" s="1536"/>
      <c r="BC21" s="1536"/>
      <c r="BD21" s="1537"/>
      <c r="BE21" s="676" t="str">
        <f>IFERROR(IF(LEN(VLOOKUP($AG21,'C-1 On-Site WaterC'' Baseline'!C$1:AE$257,26,FALSE))=0,"",IF(AG21="","",IF(ISNA(VLOOKUP($AG21,'C-1 On-Site WaterC'' Baseline'!C$1:AE$257,26,FALSE)),"",(VLOOKUP(AG21,'C-1 On-Site WaterC'' Baseline'!C$1:AE$257,26,FALSE))))),"")</f>
        <v/>
      </c>
      <c r="BF21" s="652" t="str">
        <f>IFERROR(IF(LEN(VLOOKUP($AG21,'C-1 On-Site WaterC'' Baseline'!C$1:AE$257,27,FALSE))=0,"",IF(AG21="","",IF(ISNA(VLOOKUP($AG21,'C-1 On-Site WaterC'' Baseline'!C$1:AE$257,27,FALSE)),"",(VLOOKUP(AG21,'C-1 On-Site WaterC'' Baseline'!C$1:AE$257,27,FALSE))))),"")</f>
        <v/>
      </c>
      <c r="BG21" s="687" t="str">
        <f>IFERROR(IF(LEN(VLOOKUP($AG21,'C-1 On-Site WaterC'' Baseline'!C$1:AE$257,28,FALSE))=0,"",IF(AG21="","",IF(ISNA(VLOOKUP($AG21,'C-1 On-Site WaterC'' Baseline'!C$1:AE$257,28,FALSE)),"",(VLOOKUP(AG21,'C-1 On-Site WaterC'' Baseline'!C$1:AE$257,28,FALSE))))),"")</f>
        <v/>
      </c>
      <c r="BH21" s="673" t="str">
        <f>IF('C-1 On-Site WaterC'' Baseline'!AU21="","",IF('C-1 On-Site WaterC'' Baseline'!AU21="Yes",TRUE,FALSE))</f>
        <v/>
      </c>
      <c r="BI21" s="673">
        <v>12</v>
      </c>
      <c r="BJ21" s="673" t="str">
        <f>IF('F-1 Off-Site WaterC'' Baseline'!AU21="","",IF('F-1 Off-Site WaterC'' Baseline'!AU21="Yes",TRUE,FALSE))</f>
        <v/>
      </c>
      <c r="BK21" s="673" t="str">
        <f t="shared" si="1"/>
        <v/>
      </c>
      <c r="BL21" s="673" t="str">
        <f>IF(AG21="","",IF(LEN(VLOOKUP($AG21,'C-1 On-Site WaterC'' Baseline'!$C$1:$AV$257,25,FALSE))=0,"",VLOOKUP(AG21,'C-1 On-Site WaterC'' Baseline'!$C$1:$AV$257,25,FALSE)))</f>
        <v/>
      </c>
      <c r="BM21" s="673" t="str">
        <f>IF(B21="","",IF(LEN(VLOOKUP($B21,'A-1 On-Site Habitat Baseline'!$D$1:$AV$258,22,FALSE))=0,"",(VLOOKUP(B21,'A-1 On-Site Habitat Baseline'!$D$1:$AV$258,22,FALSE))))</f>
        <v/>
      </c>
    </row>
    <row r="22" spans="2:65" s="675" customFormat="1" ht="44.9" customHeight="1">
      <c r="B22" s="684" t="str" cm="1">
        <f t="array" ref="B22">IFERROR(INDEX($AD$10:$AD$259,MATCH(0,IF(TRUE=$AC$10:$AC$259,COUNTIF($B$9:B21,$AD$10:$AD$259),""),0)),"")</f>
        <v/>
      </c>
      <c r="C22" s="642"/>
      <c r="D22" s="642"/>
      <c r="E22" s="1545" t="str">
        <f>IF(B22="","",IF(ISNA(VLOOKUP($B22,'A-1 On-Site Habitat Baseline'!$D$1:$AV$258,45,FALSE)),"",(VLOOKUP(B22,'A-1 On-Site Habitat Baseline'!$D$1:$AV$258,45,FALSE))))</f>
        <v/>
      </c>
      <c r="F22" s="1545"/>
      <c r="G22" s="1545"/>
      <c r="H22" s="1573"/>
      <c r="I22" s="1573"/>
      <c r="J22" s="1573"/>
      <c r="K22" s="1534" t="str">
        <f>IF(B22="","",IF(ISNA(VLOOKUP($B22,'A-1 On-Site Habitat Baseline'!$D$1:$AV$258,5,FALSE)),"",(VLOOKUP(B22,'A-1 On-Site Habitat Baseline'!$D$1:$AV$258,5,FALSE))))</f>
        <v/>
      </c>
      <c r="L22" s="1534"/>
      <c r="M22" s="1534" t="str">
        <f>IF(B22="","",IF(ISNA(VLOOKUP($B22,'A-1 On-Site Habitat Baseline'!$D$1:$AV$258,16,FALSE)),"",(VLOOKUP(B22,'A-1 On-Site Habitat Baseline'!$D$1:$AV$258,16,FALSE))))</f>
        <v/>
      </c>
      <c r="N22" s="1534"/>
      <c r="O22" s="1534" t="str">
        <f>IF(B22="","",IF(ISNA(VLOOKUP($B22,'A-1 On-Site Habitat Baseline'!$D$1:$AV$258,17,FALSE)),"",(VLOOKUP(B22,'A-1 On-Site Habitat Baseline'!$D$1:$AV$258,17,FALSE))))</f>
        <v/>
      </c>
      <c r="P22" s="1534"/>
      <c r="Q22" s="1534"/>
      <c r="R22" s="1534"/>
      <c r="S22" s="1534" t="str">
        <f t="shared" si="2"/>
        <v/>
      </c>
      <c r="T22" s="1545"/>
      <c r="U22" s="648" t="str">
        <f t="shared" si="3"/>
        <v/>
      </c>
      <c r="V22" s="646"/>
      <c r="W22" s="646"/>
      <c r="X22" s="646"/>
      <c r="Y22" s="646"/>
      <c r="Z22" s="676" t="str">
        <f ca="1">IFERROR(IF(LEN(VLOOKUP($B22,'A-1 On-Site Habitat Baseline'!$D$1:$AV$258,23,FALSE))=0,"",IF(B22="","",IF(ISNA(VLOOKUP($B22,'A-1 On-Site Habitat Baseline'!$D$1:$AV$258,23,FALSE)),"",(VLOOKUP(B22,'A-1 On-Site Habitat Baseline'!$D$1:$AV$258,23,FALSE))))),"")</f>
        <v/>
      </c>
      <c r="AA22" s="652" t="str">
        <f ca="1">IFERROR(IF(LEN(VLOOKUP($B22,'A-1 On-Site Habitat Baseline'!$D$1:$AV$258,24,FALSE))=0,"",IF(B22="","",IF(ISNA(VLOOKUP($B22,'A-1 On-Site Habitat Baseline'!$D$1:$AV$258,24,FALSE)),"",(VLOOKUP(B22,'A-1 On-Site Habitat Baseline'!$D$1:$AV$258,24,FALSE))))),"")</f>
        <v/>
      </c>
      <c r="AB22" s="674" t="str">
        <f ca="1">IFERROR(IF(LEN(VLOOKUP($B22,'A-1 On-Site Habitat Baseline'!$D$1:$AV$258,25,FALSE))=0,"",IF(B22="","",IF(ISNA(VLOOKUP($B22,'A-1 On-Site Habitat Baseline'!$D$1:$AV$258,25,FALSE)),"",(VLOOKUP(B22,'A-1 On-Site Habitat Baseline'!$D$1:$AV$258,25,FALSE))))),"")</f>
        <v/>
      </c>
      <c r="AC22" s="672" t="b">
        <f>IF('A-1 On-Site Habitat Baseline'!G23="","",IF('A-1 On-Site Habitat Baseline'!G23="Yes",TRUE,FALSE))</f>
        <v>0</v>
      </c>
      <c r="AD22" s="673">
        <v>13</v>
      </c>
      <c r="AE22" s="672" t="str">
        <f>IF('D-1 Off-Site Habitat Baseline'!G23="","",IF('D-1 Off-Site Habitat Baseline'!G23="Yes",TRUE,FALSE))</f>
        <v/>
      </c>
      <c r="AF22" s="672"/>
      <c r="AG22" s="641" t="str" cm="1">
        <f t="array" ref="AG22">IFERROR(INDEX($BI$10:$BI$259,MATCH(0,IF(TRUE=$BH$10:$BH$259,COUNTIF($AG$9:AG21,$BI$10:$BI$259),""),0)),"")</f>
        <v/>
      </c>
      <c r="AH22" s="642"/>
      <c r="AI22" s="642"/>
      <c r="AJ22" s="1545" t="str">
        <f>IF(BH22=FALSE,"",IF(ISNA(VLOOKUP(AG22,'C-1 On-Site WaterC'' Baseline'!C$1:D$257,2,FALSE)),"",(VLOOKUP(AG22,'C-1 On-Site WaterC'' Baseline'!C$1:D$257,2,FALSE))))</f>
        <v/>
      </c>
      <c r="AK22" s="1545"/>
      <c r="AL22" s="1545"/>
      <c r="AM22" s="1573"/>
      <c r="AN22" s="1573"/>
      <c r="AO22" s="1573"/>
      <c r="AP22" s="1534" t="str">
        <f>IF(AG22="","",IF(ISNA(VLOOKUP($AG22,'C-1 On-Site WaterC'' Baseline'!C$1:E$257,3,FALSE)),"",(VLOOKUP(AG22,'C-1 On-Site WaterC'' Baseline'!C$1:E$257,3,FALSE))))</f>
        <v/>
      </c>
      <c r="AQ22" s="1534"/>
      <c r="AR22" s="1531" t="str">
        <f>IF(AG22="","",IF(ISNA(VLOOKUP($AG22,'C-1 On-Site WaterC'' Baseline'!C$1:AA$257,19,FALSE)),"",(VLOOKUP(AG22,'C-1 On-Site WaterC'' Baseline'!C$1:AA$257,19,FALSE))))</f>
        <v/>
      </c>
      <c r="AS22" s="1533"/>
      <c r="AT22" s="1531" t="str">
        <f>IF(AG22="","",IF(ISNA(VLOOKUP($AG22,'C-1 On-Site WaterC'' Baseline'!C$1:AA$257,20,FALSE)),"",(VLOOKUP(AG22,'C-1 On-Site WaterC'' Baseline'!C$1:AA$257,20,FALSE))))</f>
        <v/>
      </c>
      <c r="AU22" s="1532"/>
      <c r="AV22" s="1532"/>
      <c r="AW22" s="1533"/>
      <c r="AX22" s="1534" t="str">
        <f t="shared" si="4"/>
        <v/>
      </c>
      <c r="AY22" s="1534"/>
      <c r="AZ22" s="1535" t="str">
        <f t="shared" si="0"/>
        <v/>
      </c>
      <c r="BA22" s="1536"/>
      <c r="BB22" s="1536"/>
      <c r="BC22" s="1536"/>
      <c r="BD22" s="1537"/>
      <c r="BE22" s="676" t="str">
        <f>IFERROR(IF(LEN(VLOOKUP($AG22,'C-1 On-Site WaterC'' Baseline'!C$1:AE$257,26,FALSE))=0,"",IF(AG22="","",IF(ISNA(VLOOKUP($AG22,'C-1 On-Site WaterC'' Baseline'!C$1:AE$257,26,FALSE)),"",(VLOOKUP(AG22,'C-1 On-Site WaterC'' Baseline'!C$1:AE$257,26,FALSE))))),"")</f>
        <v/>
      </c>
      <c r="BF22" s="652" t="str">
        <f>IFERROR(IF(LEN(VLOOKUP($AG22,'C-1 On-Site WaterC'' Baseline'!C$1:AE$257,27,FALSE))=0,"",IF(AG22="","",IF(ISNA(VLOOKUP($AG22,'C-1 On-Site WaterC'' Baseline'!C$1:AE$257,27,FALSE)),"",(VLOOKUP(AG22,'C-1 On-Site WaterC'' Baseline'!C$1:AE$257,27,FALSE))))),"")</f>
        <v/>
      </c>
      <c r="BG22" s="687" t="str">
        <f>IFERROR(IF(LEN(VLOOKUP($AG22,'C-1 On-Site WaterC'' Baseline'!C$1:AE$257,28,FALSE))=0,"",IF(AG22="","",IF(ISNA(VLOOKUP($AG22,'C-1 On-Site WaterC'' Baseline'!C$1:AE$257,28,FALSE)),"",(VLOOKUP(AG22,'C-1 On-Site WaterC'' Baseline'!C$1:AE$257,28,FALSE))))),"")</f>
        <v/>
      </c>
      <c r="BH22" s="673" t="str">
        <f>IF('C-1 On-Site WaterC'' Baseline'!AU22="","",IF('C-1 On-Site WaterC'' Baseline'!AU22="Yes",TRUE,FALSE))</f>
        <v/>
      </c>
      <c r="BI22" s="673">
        <v>13</v>
      </c>
      <c r="BJ22" s="673" t="str">
        <f>IF('F-1 Off-Site WaterC'' Baseline'!AU22="","",IF('F-1 Off-Site WaterC'' Baseline'!AU22="Yes",TRUE,FALSE))</f>
        <v/>
      </c>
      <c r="BK22" s="673" t="str">
        <f t="shared" si="1"/>
        <v/>
      </c>
      <c r="BL22" s="673" t="str">
        <f>IF(AG22="","",IF(LEN(VLOOKUP($AG22,'C-1 On-Site WaterC'' Baseline'!$C$1:$AV$257,25,FALSE))=0,"",VLOOKUP(AG22,'C-1 On-Site WaterC'' Baseline'!$C$1:$AV$257,25,FALSE)))</f>
        <v/>
      </c>
      <c r="BM22" s="673" t="str">
        <f>IF(B22="","",IF(LEN(VLOOKUP($B22,'A-1 On-Site Habitat Baseline'!$D$1:$AV$258,22,FALSE))=0,"",(VLOOKUP(B22,'A-1 On-Site Habitat Baseline'!$D$1:$AV$258,22,FALSE))))</f>
        <v/>
      </c>
    </row>
    <row r="23" spans="2:65" s="675" customFormat="1" ht="44.9" customHeight="1">
      <c r="B23" s="684" t="str" cm="1">
        <f t="array" ref="B23">IFERROR(INDEX($AD$10:$AD$259,MATCH(0,IF(TRUE=$AC$10:$AC$259,COUNTIF($B$9:B22,$AD$10:$AD$259),""),0)),"")</f>
        <v/>
      </c>
      <c r="C23" s="642"/>
      <c r="D23" s="642"/>
      <c r="E23" s="1545" t="str">
        <f>IF(B23="","",IF(ISNA(VLOOKUP($B23,'A-1 On-Site Habitat Baseline'!$D$1:$AV$258,45,FALSE)),"",(VLOOKUP(B23,'A-1 On-Site Habitat Baseline'!$D$1:$AV$258,45,FALSE))))</f>
        <v/>
      </c>
      <c r="F23" s="1545"/>
      <c r="G23" s="1545"/>
      <c r="H23" s="1573"/>
      <c r="I23" s="1573"/>
      <c r="J23" s="1573"/>
      <c r="K23" s="1534" t="str">
        <f>IF(B23="","",IF(ISNA(VLOOKUP($B23,'A-1 On-Site Habitat Baseline'!$D$1:$AV$258,5,FALSE)),"",(VLOOKUP(B23,'A-1 On-Site Habitat Baseline'!$D$1:$AV$258,5,FALSE))))</f>
        <v/>
      </c>
      <c r="L23" s="1534"/>
      <c r="M23" s="1534" t="str">
        <f>IF(B23="","",IF(ISNA(VLOOKUP($B23,'A-1 On-Site Habitat Baseline'!$D$1:$AV$258,16,FALSE)),"",(VLOOKUP(B23,'A-1 On-Site Habitat Baseline'!$D$1:$AV$258,16,FALSE))))</f>
        <v/>
      </c>
      <c r="N23" s="1534"/>
      <c r="O23" s="1534" t="str">
        <f>IF(B23="","",IF(ISNA(VLOOKUP($B23,'A-1 On-Site Habitat Baseline'!$D$1:$AV$258,17,FALSE)),"",(VLOOKUP(B23,'A-1 On-Site Habitat Baseline'!$D$1:$AV$258,17,FALSE))))</f>
        <v/>
      </c>
      <c r="P23" s="1534"/>
      <c r="Q23" s="1534"/>
      <c r="R23" s="1534"/>
      <c r="S23" s="1534" t="str">
        <f t="shared" si="2"/>
        <v/>
      </c>
      <c r="T23" s="1545"/>
      <c r="U23" s="648" t="str">
        <f t="shared" si="3"/>
        <v/>
      </c>
      <c r="V23" s="646"/>
      <c r="W23" s="646"/>
      <c r="X23" s="646"/>
      <c r="Y23" s="646"/>
      <c r="Z23" s="676" t="str">
        <f ca="1">IFERROR(IF(LEN(VLOOKUP($B23,'A-1 On-Site Habitat Baseline'!$D$1:$AV$258,23,FALSE))=0,"",IF(B23="","",IF(ISNA(VLOOKUP($B23,'A-1 On-Site Habitat Baseline'!$D$1:$AV$258,23,FALSE)),"",(VLOOKUP(B23,'A-1 On-Site Habitat Baseline'!$D$1:$AV$258,23,FALSE))))),"")</f>
        <v/>
      </c>
      <c r="AA23" s="652" t="str">
        <f ca="1">IFERROR(IF(LEN(VLOOKUP($B23,'A-1 On-Site Habitat Baseline'!$D$1:$AV$258,24,FALSE))=0,"",IF(B23="","",IF(ISNA(VLOOKUP($B23,'A-1 On-Site Habitat Baseline'!$D$1:$AV$258,24,FALSE)),"",(VLOOKUP(B23,'A-1 On-Site Habitat Baseline'!$D$1:$AV$258,24,FALSE))))),"")</f>
        <v/>
      </c>
      <c r="AB23" s="674" t="str">
        <f ca="1">IFERROR(IF(LEN(VLOOKUP($B23,'A-1 On-Site Habitat Baseline'!$D$1:$AV$258,25,FALSE))=0,"",IF(B23="","",IF(ISNA(VLOOKUP($B23,'A-1 On-Site Habitat Baseline'!$D$1:$AV$258,25,FALSE)),"",(VLOOKUP(B23,'A-1 On-Site Habitat Baseline'!$D$1:$AV$258,25,FALSE))))),"")</f>
        <v/>
      </c>
      <c r="AC23" s="672" t="str">
        <f>IF('A-1 On-Site Habitat Baseline'!G24="","",IF('A-1 On-Site Habitat Baseline'!G24="Yes",TRUE,FALSE))</f>
        <v/>
      </c>
      <c r="AD23" s="673">
        <v>14</v>
      </c>
      <c r="AE23" s="672" t="str">
        <f>IF('D-1 Off-Site Habitat Baseline'!G24="","",IF('D-1 Off-Site Habitat Baseline'!G24="Yes",TRUE,FALSE))</f>
        <v/>
      </c>
      <c r="AF23" s="672"/>
      <c r="AG23" s="641" t="str" cm="1">
        <f t="array" ref="AG23">IFERROR(INDEX($BI$10:$BI$259,MATCH(0,IF(TRUE=$BH$10:$BH$259,COUNTIF($AG$9:AG22,$BI$10:$BI$259),""),0)),"")</f>
        <v/>
      </c>
      <c r="AH23" s="642"/>
      <c r="AI23" s="642"/>
      <c r="AJ23" s="1545" t="str">
        <f>IF(BH23=FALSE,"",IF(ISNA(VLOOKUP(AG23,'C-1 On-Site WaterC'' Baseline'!C$1:D$257,2,FALSE)),"",(VLOOKUP(AG23,'C-1 On-Site WaterC'' Baseline'!C$1:D$257,2,FALSE))))</f>
        <v/>
      </c>
      <c r="AK23" s="1545"/>
      <c r="AL23" s="1545"/>
      <c r="AM23" s="1573"/>
      <c r="AN23" s="1573"/>
      <c r="AO23" s="1573"/>
      <c r="AP23" s="1534" t="str">
        <f>IF(AG23="","",IF(ISNA(VLOOKUP($AG23,'C-1 On-Site WaterC'' Baseline'!C$1:E$257,3,FALSE)),"",(VLOOKUP(AG23,'C-1 On-Site WaterC'' Baseline'!C$1:E$257,3,FALSE))))</f>
        <v/>
      </c>
      <c r="AQ23" s="1534"/>
      <c r="AR23" s="1531" t="str">
        <f>IF(AG23="","",IF(ISNA(VLOOKUP($AG23,'C-1 On-Site WaterC'' Baseline'!C$1:AA$257,19,FALSE)),"",(VLOOKUP(AG23,'C-1 On-Site WaterC'' Baseline'!C$1:AA$257,19,FALSE))))</f>
        <v/>
      </c>
      <c r="AS23" s="1533"/>
      <c r="AT23" s="1531" t="str">
        <f>IF(AG23="","",IF(ISNA(VLOOKUP($AG23,'C-1 On-Site WaterC'' Baseline'!C$1:AA$257,20,FALSE)),"",(VLOOKUP(AG23,'C-1 On-Site WaterC'' Baseline'!C$1:AA$257,20,FALSE))))</f>
        <v/>
      </c>
      <c r="AU23" s="1532"/>
      <c r="AV23" s="1532"/>
      <c r="AW23" s="1533"/>
      <c r="AX23" s="1534" t="str">
        <f t="shared" si="4"/>
        <v/>
      </c>
      <c r="AY23" s="1534"/>
      <c r="AZ23" s="1535" t="str">
        <f t="shared" si="0"/>
        <v/>
      </c>
      <c r="BA23" s="1536"/>
      <c r="BB23" s="1536"/>
      <c r="BC23" s="1536"/>
      <c r="BD23" s="1537"/>
      <c r="BE23" s="676" t="str">
        <f>IFERROR(IF(LEN(VLOOKUP($AG23,'C-1 On-Site WaterC'' Baseline'!C$1:AE$257,26,FALSE))=0,"",IF(AG23="","",IF(ISNA(VLOOKUP($AG23,'C-1 On-Site WaterC'' Baseline'!C$1:AE$257,26,FALSE)),"",(VLOOKUP(AG23,'C-1 On-Site WaterC'' Baseline'!C$1:AE$257,26,FALSE))))),"")</f>
        <v/>
      </c>
      <c r="BF23" s="652" t="str">
        <f>IFERROR(IF(LEN(VLOOKUP($AG23,'C-1 On-Site WaterC'' Baseline'!C$1:AE$257,27,FALSE))=0,"",IF(AG23="","",IF(ISNA(VLOOKUP($AG23,'C-1 On-Site WaterC'' Baseline'!C$1:AE$257,27,FALSE)),"",(VLOOKUP(AG23,'C-1 On-Site WaterC'' Baseline'!C$1:AE$257,27,FALSE))))),"")</f>
        <v/>
      </c>
      <c r="BG23" s="687" t="str">
        <f>IFERROR(IF(LEN(VLOOKUP($AG23,'C-1 On-Site WaterC'' Baseline'!C$1:AE$257,28,FALSE))=0,"",IF(AG23="","",IF(ISNA(VLOOKUP($AG23,'C-1 On-Site WaterC'' Baseline'!C$1:AE$257,28,FALSE)),"",(VLOOKUP(AG23,'C-1 On-Site WaterC'' Baseline'!C$1:AE$257,28,FALSE))))),"")</f>
        <v/>
      </c>
      <c r="BH23" s="673" t="str">
        <f>IF('C-1 On-Site WaterC'' Baseline'!AU23="","",IF('C-1 On-Site WaterC'' Baseline'!AU23="Yes",TRUE,FALSE))</f>
        <v/>
      </c>
      <c r="BI23" s="673">
        <v>14</v>
      </c>
      <c r="BJ23" s="673" t="str">
        <f>IF('F-1 Off-Site WaterC'' Baseline'!AU23="","",IF('F-1 Off-Site WaterC'' Baseline'!AU23="Yes",TRUE,FALSE))</f>
        <v/>
      </c>
      <c r="BK23" s="673" t="str">
        <f t="shared" si="1"/>
        <v/>
      </c>
      <c r="BL23" s="673" t="str">
        <f>IF(AG23="","",IF(LEN(VLOOKUP($AG23,'C-1 On-Site WaterC'' Baseline'!$C$1:$AV$257,25,FALSE))=0,"",VLOOKUP(AG23,'C-1 On-Site WaterC'' Baseline'!$C$1:$AV$257,25,FALSE)))</f>
        <v/>
      </c>
      <c r="BM23" s="673" t="str">
        <f>IF(B23="","",IF(LEN(VLOOKUP($B23,'A-1 On-Site Habitat Baseline'!$D$1:$AV$258,22,FALSE))=0,"",(VLOOKUP(B23,'A-1 On-Site Habitat Baseline'!$D$1:$AV$258,22,FALSE))))</f>
        <v/>
      </c>
    </row>
    <row r="24" spans="2:65" s="675" customFormat="1" ht="44.9" customHeight="1">
      <c r="B24" s="684" t="str" cm="1">
        <f t="array" ref="B24">IFERROR(INDEX($AD$10:$AD$259,MATCH(0,IF(TRUE=$AC$10:$AC$259,COUNTIF($B$9:B23,$AD$10:$AD$259),""),0)),"")</f>
        <v/>
      </c>
      <c r="C24" s="642"/>
      <c r="D24" s="642"/>
      <c r="E24" s="1545" t="str">
        <f>IF(B24="","",IF(ISNA(VLOOKUP($B24,'A-1 On-Site Habitat Baseline'!$D$1:$AV$258,45,FALSE)),"",(VLOOKUP(B24,'A-1 On-Site Habitat Baseline'!$D$1:$AV$258,45,FALSE))))</f>
        <v/>
      </c>
      <c r="F24" s="1545"/>
      <c r="G24" s="1545"/>
      <c r="H24" s="1573"/>
      <c r="I24" s="1573"/>
      <c r="J24" s="1573"/>
      <c r="K24" s="1534" t="str">
        <f>IF(B24="","",IF(ISNA(VLOOKUP($B24,'A-1 On-Site Habitat Baseline'!$D$1:$AV$258,5,FALSE)),"",(VLOOKUP(B24,'A-1 On-Site Habitat Baseline'!$D$1:$AV$258,5,FALSE))))</f>
        <v/>
      </c>
      <c r="L24" s="1534"/>
      <c r="M24" s="1534" t="str">
        <f>IF(B24="","",IF(ISNA(VLOOKUP($B24,'A-1 On-Site Habitat Baseline'!$D$1:$AV$258,16,FALSE)),"",(VLOOKUP(B24,'A-1 On-Site Habitat Baseline'!$D$1:$AV$258,16,FALSE))))</f>
        <v/>
      </c>
      <c r="N24" s="1534"/>
      <c r="O24" s="1534" t="str">
        <f>IF(B24="","",IF(ISNA(VLOOKUP($B24,'A-1 On-Site Habitat Baseline'!$D$1:$AV$258,17,FALSE)),"",(VLOOKUP(B24,'A-1 On-Site Habitat Baseline'!$D$1:$AV$258,17,FALSE))))</f>
        <v/>
      </c>
      <c r="P24" s="1534"/>
      <c r="Q24" s="1534"/>
      <c r="R24" s="1534"/>
      <c r="S24" s="1534" t="str">
        <f t="shared" si="2"/>
        <v/>
      </c>
      <c r="T24" s="1545"/>
      <c r="U24" s="648" t="str">
        <f t="shared" si="3"/>
        <v/>
      </c>
      <c r="V24" s="646"/>
      <c r="W24" s="646"/>
      <c r="X24" s="646"/>
      <c r="Y24" s="646"/>
      <c r="Z24" s="676" t="str">
        <f ca="1">IFERROR(IF(LEN(VLOOKUP($B24,'A-1 On-Site Habitat Baseline'!$D$1:$AV$258,23,FALSE))=0,"",IF(B24="","",IF(ISNA(VLOOKUP($B24,'A-1 On-Site Habitat Baseline'!$D$1:$AV$258,23,FALSE)),"",(VLOOKUP(B24,'A-1 On-Site Habitat Baseline'!$D$1:$AV$258,23,FALSE))))),"")</f>
        <v/>
      </c>
      <c r="AA24" s="652" t="str">
        <f ca="1">IFERROR(IF(LEN(VLOOKUP($B24,'A-1 On-Site Habitat Baseline'!$D$1:$AV$258,24,FALSE))=0,"",IF(B24="","",IF(ISNA(VLOOKUP($B24,'A-1 On-Site Habitat Baseline'!$D$1:$AV$258,24,FALSE)),"",(VLOOKUP(B24,'A-1 On-Site Habitat Baseline'!$D$1:$AV$258,24,FALSE))))),"")</f>
        <v/>
      </c>
      <c r="AB24" s="674" t="str">
        <f ca="1">IFERROR(IF(LEN(VLOOKUP($B24,'A-1 On-Site Habitat Baseline'!$D$1:$AV$258,25,FALSE))=0,"",IF(B24="","",IF(ISNA(VLOOKUP($B24,'A-1 On-Site Habitat Baseline'!$D$1:$AV$258,25,FALSE)),"",(VLOOKUP(B24,'A-1 On-Site Habitat Baseline'!$D$1:$AV$258,25,FALSE))))),"")</f>
        <v/>
      </c>
      <c r="AC24" s="672" t="str">
        <f>IF('A-1 On-Site Habitat Baseline'!G25="","",IF('A-1 On-Site Habitat Baseline'!G25="Yes",TRUE,FALSE))</f>
        <v/>
      </c>
      <c r="AD24" s="673">
        <v>15</v>
      </c>
      <c r="AE24" s="672" t="str">
        <f>IF('D-1 Off-Site Habitat Baseline'!G25="","",IF('D-1 Off-Site Habitat Baseline'!G25="Yes",TRUE,FALSE))</f>
        <v/>
      </c>
      <c r="AF24" s="672"/>
      <c r="AG24" s="641" t="str" cm="1">
        <f t="array" ref="AG24">IFERROR(INDEX($BI$10:$BI$259,MATCH(0,IF(TRUE=$BH$10:$BH$259,COUNTIF($AG$9:AG23,$BI$10:$BI$259),""),0)),"")</f>
        <v/>
      </c>
      <c r="AH24" s="642"/>
      <c r="AI24" s="642"/>
      <c r="AJ24" s="1545" t="str">
        <f>IF(BH24=FALSE,"",IF(ISNA(VLOOKUP(AG24,'C-1 On-Site WaterC'' Baseline'!C$1:D$257,2,FALSE)),"",(VLOOKUP(AG24,'C-1 On-Site WaterC'' Baseline'!C$1:D$257,2,FALSE))))</f>
        <v/>
      </c>
      <c r="AK24" s="1545"/>
      <c r="AL24" s="1545"/>
      <c r="AM24" s="1573"/>
      <c r="AN24" s="1573"/>
      <c r="AO24" s="1573"/>
      <c r="AP24" s="1534" t="str">
        <f>IF(AG24="","",IF(ISNA(VLOOKUP($AG24,'C-1 On-Site WaterC'' Baseline'!C$1:E$257,3,FALSE)),"",(VLOOKUP(AG24,'C-1 On-Site WaterC'' Baseline'!C$1:E$257,3,FALSE))))</f>
        <v/>
      </c>
      <c r="AQ24" s="1534"/>
      <c r="AR24" s="1531" t="str">
        <f>IF(AG24="","",IF(ISNA(VLOOKUP($AG24,'C-1 On-Site WaterC'' Baseline'!C$1:AA$257,19,FALSE)),"",(VLOOKUP(AG24,'C-1 On-Site WaterC'' Baseline'!C$1:AA$257,19,FALSE))))</f>
        <v/>
      </c>
      <c r="AS24" s="1533"/>
      <c r="AT24" s="1531" t="str">
        <f>IF(AG24="","",IF(ISNA(VLOOKUP($AG24,'C-1 On-Site WaterC'' Baseline'!C$1:AA$257,20,FALSE)),"",(VLOOKUP(AG24,'C-1 On-Site WaterC'' Baseline'!C$1:AA$257,20,FALSE))))</f>
        <v/>
      </c>
      <c r="AU24" s="1532"/>
      <c r="AV24" s="1532"/>
      <c r="AW24" s="1533"/>
      <c r="AX24" s="1534" t="str">
        <f t="shared" si="4"/>
        <v/>
      </c>
      <c r="AY24" s="1534"/>
      <c r="AZ24" s="1535" t="str">
        <f t="shared" si="0"/>
        <v/>
      </c>
      <c r="BA24" s="1536"/>
      <c r="BB24" s="1536"/>
      <c r="BC24" s="1536"/>
      <c r="BD24" s="1537"/>
      <c r="BE24" s="676" t="str">
        <f>IFERROR(IF(LEN(VLOOKUP($AG24,'C-1 On-Site WaterC'' Baseline'!C$1:AE$257,26,FALSE))=0,"",IF(AG24="","",IF(ISNA(VLOOKUP($AG24,'C-1 On-Site WaterC'' Baseline'!C$1:AE$257,26,FALSE)),"",(VLOOKUP(AG24,'C-1 On-Site WaterC'' Baseline'!C$1:AE$257,26,FALSE))))),"")</f>
        <v/>
      </c>
      <c r="BF24" s="652" t="str">
        <f>IFERROR(IF(LEN(VLOOKUP($AG24,'C-1 On-Site WaterC'' Baseline'!C$1:AE$257,27,FALSE))=0,"",IF(AG24="","",IF(ISNA(VLOOKUP($AG24,'C-1 On-Site WaterC'' Baseline'!C$1:AE$257,27,FALSE)),"",(VLOOKUP(AG24,'C-1 On-Site WaterC'' Baseline'!C$1:AE$257,27,FALSE))))),"")</f>
        <v/>
      </c>
      <c r="BG24" s="687" t="str">
        <f>IFERROR(IF(LEN(VLOOKUP($AG24,'C-1 On-Site WaterC'' Baseline'!C$1:AE$257,28,FALSE))=0,"",IF(AG24="","",IF(ISNA(VLOOKUP($AG24,'C-1 On-Site WaterC'' Baseline'!C$1:AE$257,28,FALSE)),"",(VLOOKUP(AG24,'C-1 On-Site WaterC'' Baseline'!C$1:AE$257,28,FALSE))))),"")</f>
        <v/>
      </c>
      <c r="BH24" s="673" t="str">
        <f>IF('C-1 On-Site WaterC'' Baseline'!AU24="","",IF('C-1 On-Site WaterC'' Baseline'!AU24="Yes",TRUE,FALSE))</f>
        <v/>
      </c>
      <c r="BI24" s="673">
        <v>15</v>
      </c>
      <c r="BJ24" s="673" t="str">
        <f>IF('F-1 Off-Site WaterC'' Baseline'!AU24="","",IF('F-1 Off-Site WaterC'' Baseline'!AU24="Yes",TRUE,FALSE))</f>
        <v/>
      </c>
      <c r="BK24" s="673" t="str">
        <f t="shared" si="1"/>
        <v/>
      </c>
      <c r="BL24" s="673" t="str">
        <f>IF(AG24="","",IF(LEN(VLOOKUP($AG24,'C-1 On-Site WaterC'' Baseline'!$C$1:$AV$257,25,FALSE))=0,"",VLOOKUP(AG24,'C-1 On-Site WaterC'' Baseline'!$C$1:$AV$257,25,FALSE)))</f>
        <v/>
      </c>
      <c r="BM24" s="673" t="str">
        <f>IF(B24="","",IF(LEN(VLOOKUP($B24,'A-1 On-Site Habitat Baseline'!$D$1:$AV$258,22,FALSE))=0,"",(VLOOKUP(B24,'A-1 On-Site Habitat Baseline'!$D$1:$AV$258,22,FALSE))))</f>
        <v/>
      </c>
    </row>
    <row r="25" spans="2:65" s="675" customFormat="1" ht="44.9" customHeight="1">
      <c r="B25" s="684" t="str" cm="1">
        <f t="array" ref="B25">IFERROR(INDEX($AD$10:$AD$259,MATCH(0,IF(TRUE=$AC$10:$AC$259,COUNTIF($B$9:B24,$AD$10:$AD$259),""),0)),"")</f>
        <v/>
      </c>
      <c r="C25" s="642"/>
      <c r="D25" s="642"/>
      <c r="E25" s="1545" t="str">
        <f>IF(B25="","",IF(ISNA(VLOOKUP($B25,'A-1 On-Site Habitat Baseline'!$D$1:$AV$258,45,FALSE)),"",(VLOOKUP(B25,'A-1 On-Site Habitat Baseline'!$D$1:$AV$258,45,FALSE))))</f>
        <v/>
      </c>
      <c r="F25" s="1545"/>
      <c r="G25" s="1545"/>
      <c r="H25" s="1573"/>
      <c r="I25" s="1573"/>
      <c r="J25" s="1573"/>
      <c r="K25" s="1534" t="str">
        <f>IF(B25="","",IF(ISNA(VLOOKUP($B25,'A-1 On-Site Habitat Baseline'!$D$1:$AV$258,5,FALSE)),"",(VLOOKUP(B25,'A-1 On-Site Habitat Baseline'!$D$1:$AV$258,5,FALSE))))</f>
        <v/>
      </c>
      <c r="L25" s="1534"/>
      <c r="M25" s="1534" t="str">
        <f>IF(B25="","",IF(ISNA(VLOOKUP($B25,'A-1 On-Site Habitat Baseline'!$D$1:$AV$258,16,FALSE)),"",(VLOOKUP(B25,'A-1 On-Site Habitat Baseline'!$D$1:$AV$258,16,FALSE))))</f>
        <v/>
      </c>
      <c r="N25" s="1534"/>
      <c r="O25" s="1534" t="str">
        <f>IF(B25="","",IF(ISNA(VLOOKUP($B25,'A-1 On-Site Habitat Baseline'!$D$1:$AV$258,17,FALSE)),"",(VLOOKUP(B25,'A-1 On-Site Habitat Baseline'!$D$1:$AV$258,17,FALSE))))</f>
        <v/>
      </c>
      <c r="P25" s="1534"/>
      <c r="Q25" s="1534"/>
      <c r="R25" s="1534"/>
      <c r="S25" s="1534" t="str">
        <f t="shared" si="2"/>
        <v/>
      </c>
      <c r="T25" s="1545"/>
      <c r="U25" s="648" t="str">
        <f t="shared" si="3"/>
        <v/>
      </c>
      <c r="V25" s="646"/>
      <c r="W25" s="646"/>
      <c r="X25" s="646"/>
      <c r="Y25" s="646"/>
      <c r="Z25" s="676" t="str">
        <f ca="1">IFERROR(IF(LEN(VLOOKUP($B25,'A-1 On-Site Habitat Baseline'!$D$1:$AV$258,23,FALSE))=0,"",IF(B25="","",IF(ISNA(VLOOKUP($B25,'A-1 On-Site Habitat Baseline'!$D$1:$AV$258,23,FALSE)),"",(VLOOKUP(B25,'A-1 On-Site Habitat Baseline'!$D$1:$AV$258,23,FALSE))))),"")</f>
        <v/>
      </c>
      <c r="AA25" s="652" t="str">
        <f ca="1">IFERROR(IF(LEN(VLOOKUP($B25,'A-1 On-Site Habitat Baseline'!$D$1:$AV$258,24,FALSE))=0,"",IF(B25="","",IF(ISNA(VLOOKUP($B25,'A-1 On-Site Habitat Baseline'!$D$1:$AV$258,24,FALSE)),"",(VLOOKUP(B25,'A-1 On-Site Habitat Baseline'!$D$1:$AV$258,24,FALSE))))),"")</f>
        <v/>
      </c>
      <c r="AB25" s="674" t="str">
        <f ca="1">IFERROR(IF(LEN(VLOOKUP($B25,'A-1 On-Site Habitat Baseline'!$D$1:$AV$258,25,FALSE))=0,"",IF(B25="","",IF(ISNA(VLOOKUP($B25,'A-1 On-Site Habitat Baseline'!$D$1:$AV$258,25,FALSE)),"",(VLOOKUP(B25,'A-1 On-Site Habitat Baseline'!$D$1:$AV$258,25,FALSE))))),"")</f>
        <v/>
      </c>
      <c r="AC25" s="672" t="str">
        <f>IF('A-1 On-Site Habitat Baseline'!G26="","",IF('A-1 On-Site Habitat Baseline'!G26="Yes",TRUE,FALSE))</f>
        <v/>
      </c>
      <c r="AD25" s="673">
        <v>16</v>
      </c>
      <c r="AE25" s="672" t="str">
        <f>IF('D-1 Off-Site Habitat Baseline'!G26="","",IF('D-1 Off-Site Habitat Baseline'!G26="Yes",TRUE,FALSE))</f>
        <v/>
      </c>
      <c r="AF25" s="672"/>
      <c r="AG25" s="641" t="str" cm="1">
        <f t="array" ref="AG25">IFERROR(INDEX($BI$10:$BI$259,MATCH(0,IF(TRUE=$BH$10:$BH$259,COUNTIF($AG$9:AG24,$BI$10:$BI$259),""),0)),"")</f>
        <v/>
      </c>
      <c r="AH25" s="642"/>
      <c r="AI25" s="642"/>
      <c r="AJ25" s="1545" t="str">
        <f>IF(BH25=FALSE,"",IF(ISNA(VLOOKUP(AG25,'C-1 On-Site WaterC'' Baseline'!C$1:D$257,2,FALSE)),"",(VLOOKUP(AG25,'C-1 On-Site WaterC'' Baseline'!C$1:D$257,2,FALSE))))</f>
        <v/>
      </c>
      <c r="AK25" s="1545"/>
      <c r="AL25" s="1545"/>
      <c r="AM25" s="1573"/>
      <c r="AN25" s="1573"/>
      <c r="AO25" s="1573"/>
      <c r="AP25" s="1534" t="str">
        <f>IF(AG25="","",IF(ISNA(VLOOKUP($AG25,'C-1 On-Site WaterC'' Baseline'!C$1:E$257,3,FALSE)),"",(VLOOKUP(AG25,'C-1 On-Site WaterC'' Baseline'!C$1:E$257,3,FALSE))))</f>
        <v/>
      </c>
      <c r="AQ25" s="1534"/>
      <c r="AR25" s="1531" t="str">
        <f>IF(AG25="","",IF(ISNA(VLOOKUP($AG25,'C-1 On-Site WaterC'' Baseline'!C$1:AA$257,19,FALSE)),"",(VLOOKUP(AG25,'C-1 On-Site WaterC'' Baseline'!C$1:AA$257,19,FALSE))))</f>
        <v/>
      </c>
      <c r="AS25" s="1533"/>
      <c r="AT25" s="1531" t="str">
        <f>IF(AG25="","",IF(ISNA(VLOOKUP($AG25,'C-1 On-Site WaterC'' Baseline'!C$1:AA$257,20,FALSE)),"",(VLOOKUP(AG25,'C-1 On-Site WaterC'' Baseline'!C$1:AA$257,20,FALSE))))</f>
        <v/>
      </c>
      <c r="AU25" s="1532"/>
      <c r="AV25" s="1532"/>
      <c r="AW25" s="1533"/>
      <c r="AX25" s="1534" t="str">
        <f t="shared" si="4"/>
        <v/>
      </c>
      <c r="AY25" s="1534"/>
      <c r="AZ25" s="1535" t="str">
        <f t="shared" si="0"/>
        <v/>
      </c>
      <c r="BA25" s="1536"/>
      <c r="BB25" s="1536"/>
      <c r="BC25" s="1536"/>
      <c r="BD25" s="1537"/>
      <c r="BE25" s="676" t="str">
        <f>IFERROR(IF(LEN(VLOOKUP($AG25,'C-1 On-Site WaterC'' Baseline'!C$1:AE$257,26,FALSE))=0,"",IF(AG25="","",IF(ISNA(VLOOKUP($AG25,'C-1 On-Site WaterC'' Baseline'!C$1:AE$257,26,FALSE)),"",(VLOOKUP(AG25,'C-1 On-Site WaterC'' Baseline'!C$1:AE$257,26,FALSE))))),"")</f>
        <v/>
      </c>
      <c r="BF25" s="652" t="str">
        <f>IFERROR(IF(LEN(VLOOKUP($AG25,'C-1 On-Site WaterC'' Baseline'!C$1:AE$257,27,FALSE))=0,"",IF(AG25="","",IF(ISNA(VLOOKUP($AG25,'C-1 On-Site WaterC'' Baseline'!C$1:AE$257,27,FALSE)),"",(VLOOKUP(AG25,'C-1 On-Site WaterC'' Baseline'!C$1:AE$257,27,FALSE))))),"")</f>
        <v/>
      </c>
      <c r="BG25" s="687" t="str">
        <f>IFERROR(IF(LEN(VLOOKUP($AG25,'C-1 On-Site WaterC'' Baseline'!C$1:AE$257,28,FALSE))=0,"",IF(AG25="","",IF(ISNA(VLOOKUP($AG25,'C-1 On-Site WaterC'' Baseline'!C$1:AE$257,28,FALSE)),"",(VLOOKUP(AG25,'C-1 On-Site WaterC'' Baseline'!C$1:AE$257,28,FALSE))))),"")</f>
        <v/>
      </c>
      <c r="BH25" s="673" t="str">
        <f>IF('C-1 On-Site WaterC'' Baseline'!AU25="","",IF('C-1 On-Site WaterC'' Baseline'!AU25="Yes",TRUE,FALSE))</f>
        <v/>
      </c>
      <c r="BI25" s="673">
        <v>16</v>
      </c>
      <c r="BJ25" s="673" t="str">
        <f>IF('F-1 Off-Site WaterC'' Baseline'!AU25="","",IF('F-1 Off-Site WaterC'' Baseline'!AU25="Yes",TRUE,FALSE))</f>
        <v/>
      </c>
      <c r="BK25" s="673" t="str">
        <f t="shared" si="1"/>
        <v/>
      </c>
      <c r="BL25" s="673" t="str">
        <f>IF(AG25="","",IF(LEN(VLOOKUP($AG25,'C-1 On-Site WaterC'' Baseline'!$C$1:$AV$257,25,FALSE))=0,"",VLOOKUP(AG25,'C-1 On-Site WaterC'' Baseline'!$C$1:$AV$257,25,FALSE)))</f>
        <v/>
      </c>
      <c r="BM25" s="673" t="str">
        <f>IF(B25="","",IF(LEN(VLOOKUP($B25,'A-1 On-Site Habitat Baseline'!$D$1:$AV$258,22,FALSE))=0,"",(VLOOKUP(B25,'A-1 On-Site Habitat Baseline'!$D$1:$AV$258,22,FALSE))))</f>
        <v/>
      </c>
    </row>
    <row r="26" spans="2:65" s="675" customFormat="1" ht="44.9" customHeight="1">
      <c r="B26" s="684" t="str" cm="1">
        <f t="array" ref="B26">IFERROR(INDEX($AD$10:$AD$259,MATCH(0,IF(TRUE=$AC$10:$AC$259,COUNTIF($B$9:B25,$AD$10:$AD$259),""),0)),"")</f>
        <v/>
      </c>
      <c r="C26" s="642"/>
      <c r="D26" s="642"/>
      <c r="E26" s="1545" t="str">
        <f>IF(B26="","",IF(ISNA(VLOOKUP($B26,'A-1 On-Site Habitat Baseline'!$D$1:$AV$258,45,FALSE)),"",(VLOOKUP(B26,'A-1 On-Site Habitat Baseline'!$D$1:$AV$258,45,FALSE))))</f>
        <v/>
      </c>
      <c r="F26" s="1545"/>
      <c r="G26" s="1545"/>
      <c r="H26" s="1573"/>
      <c r="I26" s="1573"/>
      <c r="J26" s="1573"/>
      <c r="K26" s="1534" t="str">
        <f>IF(B26="","",IF(ISNA(VLOOKUP($B26,'A-1 On-Site Habitat Baseline'!$D$1:$AV$258,5,FALSE)),"",(VLOOKUP(B26,'A-1 On-Site Habitat Baseline'!$D$1:$AV$258,5,FALSE))))</f>
        <v/>
      </c>
      <c r="L26" s="1534"/>
      <c r="M26" s="1534" t="str">
        <f>IF(B26="","",IF(ISNA(VLOOKUP($B26,'A-1 On-Site Habitat Baseline'!$D$1:$AV$258,16,FALSE)),"",(VLOOKUP(B26,'A-1 On-Site Habitat Baseline'!$D$1:$AV$258,16,FALSE))))</f>
        <v/>
      </c>
      <c r="N26" s="1534"/>
      <c r="O26" s="1534" t="str">
        <f>IF(B26="","",IF(ISNA(VLOOKUP($B26,'A-1 On-Site Habitat Baseline'!$D$1:$AV$258,17,FALSE)),"",(VLOOKUP(B26,'A-1 On-Site Habitat Baseline'!$D$1:$AV$258,17,FALSE))))</f>
        <v/>
      </c>
      <c r="P26" s="1534"/>
      <c r="Q26" s="1534"/>
      <c r="R26" s="1534"/>
      <c r="S26" s="1534" t="str">
        <f t="shared" si="2"/>
        <v/>
      </c>
      <c r="T26" s="1545"/>
      <c r="U26" s="648" t="str">
        <f t="shared" si="3"/>
        <v/>
      </c>
      <c r="V26" s="646"/>
      <c r="W26" s="646"/>
      <c r="X26" s="646"/>
      <c r="Y26" s="646"/>
      <c r="Z26" s="676" t="str">
        <f ca="1">IFERROR(IF(LEN(VLOOKUP($B26,'A-1 On-Site Habitat Baseline'!$D$1:$AV$258,23,FALSE))=0,"",IF(B26="","",IF(ISNA(VLOOKUP($B26,'A-1 On-Site Habitat Baseline'!$D$1:$AV$258,23,FALSE)),"",(VLOOKUP(B26,'A-1 On-Site Habitat Baseline'!$D$1:$AV$258,23,FALSE))))),"")</f>
        <v/>
      </c>
      <c r="AA26" s="652" t="str">
        <f ca="1">IFERROR(IF(LEN(VLOOKUP($B26,'A-1 On-Site Habitat Baseline'!$D$1:$AV$258,24,FALSE))=0,"",IF(B26="","",IF(ISNA(VLOOKUP($B26,'A-1 On-Site Habitat Baseline'!$D$1:$AV$258,24,FALSE)),"",(VLOOKUP(B26,'A-1 On-Site Habitat Baseline'!$D$1:$AV$258,24,FALSE))))),"")</f>
        <v/>
      </c>
      <c r="AB26" s="674" t="str">
        <f ca="1">IFERROR(IF(LEN(VLOOKUP($B26,'A-1 On-Site Habitat Baseline'!$D$1:$AV$258,25,FALSE))=0,"",IF(B26="","",IF(ISNA(VLOOKUP($B26,'A-1 On-Site Habitat Baseline'!$D$1:$AV$258,25,FALSE)),"",(VLOOKUP(B26,'A-1 On-Site Habitat Baseline'!$D$1:$AV$258,25,FALSE))))),"")</f>
        <v/>
      </c>
      <c r="AC26" s="672" t="str">
        <f>IF('A-1 On-Site Habitat Baseline'!G27="","",IF('A-1 On-Site Habitat Baseline'!G27="Yes",TRUE,FALSE))</f>
        <v/>
      </c>
      <c r="AD26" s="673">
        <v>17</v>
      </c>
      <c r="AE26" s="672" t="str">
        <f>IF('D-1 Off-Site Habitat Baseline'!G27="","",IF('D-1 Off-Site Habitat Baseline'!G27="Yes",TRUE,FALSE))</f>
        <v/>
      </c>
      <c r="AF26" s="672"/>
      <c r="AG26" s="641" t="str" cm="1">
        <f t="array" ref="AG26">IFERROR(INDEX($BI$10:$BI$259,MATCH(0,IF(TRUE=$BH$10:$BH$259,COUNTIF($AG$9:AG25,$BI$10:$BI$259),""),0)),"")</f>
        <v/>
      </c>
      <c r="AH26" s="642"/>
      <c r="AI26" s="642"/>
      <c r="AJ26" s="1545" t="str">
        <f>IF(BH26=FALSE,"",IF(ISNA(VLOOKUP(AG26,'C-1 On-Site WaterC'' Baseline'!C$1:D$257,2,FALSE)),"",(VLOOKUP(AG26,'C-1 On-Site WaterC'' Baseline'!C$1:D$257,2,FALSE))))</f>
        <v/>
      </c>
      <c r="AK26" s="1545"/>
      <c r="AL26" s="1545"/>
      <c r="AM26" s="1573"/>
      <c r="AN26" s="1573"/>
      <c r="AO26" s="1573"/>
      <c r="AP26" s="1534" t="str">
        <f>IF(AG26="","",IF(ISNA(VLOOKUP($AG26,'C-1 On-Site WaterC'' Baseline'!C$1:E$257,3,FALSE)),"",(VLOOKUP(AG26,'C-1 On-Site WaterC'' Baseline'!C$1:E$257,3,FALSE))))</f>
        <v/>
      </c>
      <c r="AQ26" s="1534"/>
      <c r="AR26" s="1531" t="str">
        <f>IF(AG26="","",IF(ISNA(VLOOKUP($AG26,'C-1 On-Site WaterC'' Baseline'!C$1:AA$257,19,FALSE)),"",(VLOOKUP(AG26,'C-1 On-Site WaterC'' Baseline'!C$1:AA$257,19,FALSE))))</f>
        <v/>
      </c>
      <c r="AS26" s="1533"/>
      <c r="AT26" s="1531" t="str">
        <f>IF(AG26="","",IF(ISNA(VLOOKUP($AG26,'C-1 On-Site WaterC'' Baseline'!C$1:AA$257,20,FALSE)),"",(VLOOKUP(AG26,'C-1 On-Site WaterC'' Baseline'!C$1:AA$257,20,FALSE))))</f>
        <v/>
      </c>
      <c r="AU26" s="1532"/>
      <c r="AV26" s="1532"/>
      <c r="AW26" s="1533"/>
      <c r="AX26" s="1534" t="str">
        <f t="shared" si="4"/>
        <v/>
      </c>
      <c r="AY26" s="1534"/>
      <c r="AZ26" s="1535" t="str">
        <f t="shared" si="0"/>
        <v/>
      </c>
      <c r="BA26" s="1536"/>
      <c r="BB26" s="1536"/>
      <c r="BC26" s="1536"/>
      <c r="BD26" s="1537"/>
      <c r="BE26" s="676" t="str">
        <f>IFERROR(IF(LEN(VLOOKUP($AG26,'C-1 On-Site WaterC'' Baseline'!C$1:AE$257,26,FALSE))=0,"",IF(AG26="","",IF(ISNA(VLOOKUP($AG26,'C-1 On-Site WaterC'' Baseline'!C$1:AE$257,26,FALSE)),"",(VLOOKUP(AG26,'C-1 On-Site WaterC'' Baseline'!C$1:AE$257,26,FALSE))))),"")</f>
        <v/>
      </c>
      <c r="BF26" s="652" t="str">
        <f>IFERROR(IF(LEN(VLOOKUP($AG26,'C-1 On-Site WaterC'' Baseline'!C$1:AE$257,27,FALSE))=0,"",IF(AG26="","",IF(ISNA(VLOOKUP($AG26,'C-1 On-Site WaterC'' Baseline'!C$1:AE$257,27,FALSE)),"",(VLOOKUP(AG26,'C-1 On-Site WaterC'' Baseline'!C$1:AE$257,27,FALSE))))),"")</f>
        <v/>
      </c>
      <c r="BG26" s="687" t="str">
        <f>IFERROR(IF(LEN(VLOOKUP($AG26,'C-1 On-Site WaterC'' Baseline'!C$1:AE$257,28,FALSE))=0,"",IF(AG26="","",IF(ISNA(VLOOKUP($AG26,'C-1 On-Site WaterC'' Baseline'!C$1:AE$257,28,FALSE)),"",(VLOOKUP(AG26,'C-1 On-Site WaterC'' Baseline'!C$1:AE$257,28,FALSE))))),"")</f>
        <v/>
      </c>
      <c r="BH26" s="673" t="str">
        <f>IF('C-1 On-Site WaterC'' Baseline'!AU26="","",IF('C-1 On-Site WaterC'' Baseline'!AU26="Yes",TRUE,FALSE))</f>
        <v/>
      </c>
      <c r="BI26" s="673">
        <v>17</v>
      </c>
      <c r="BJ26" s="673" t="str">
        <f>IF('F-1 Off-Site WaterC'' Baseline'!AU26="","",IF('F-1 Off-Site WaterC'' Baseline'!AU26="Yes",TRUE,FALSE))</f>
        <v/>
      </c>
      <c r="BK26" s="673" t="str">
        <f t="shared" si="1"/>
        <v/>
      </c>
      <c r="BL26" s="673" t="str">
        <f>IF(AG26="","",IF(LEN(VLOOKUP($AG26,'C-1 On-Site WaterC'' Baseline'!$C$1:$AV$257,25,FALSE))=0,"",VLOOKUP(AG26,'C-1 On-Site WaterC'' Baseline'!$C$1:$AV$257,25,FALSE)))</f>
        <v/>
      </c>
      <c r="BM26" s="673" t="str">
        <f>IF(B26="","",IF(LEN(VLOOKUP($B26,'A-1 On-Site Habitat Baseline'!$D$1:$AV$258,22,FALSE))=0,"",(VLOOKUP(B26,'A-1 On-Site Habitat Baseline'!$D$1:$AV$258,22,FALSE))))</f>
        <v/>
      </c>
    </row>
    <row r="27" spans="2:65" s="675" customFormat="1" ht="44.9" customHeight="1">
      <c r="B27" s="684" t="str" cm="1">
        <f t="array" ref="B27">IFERROR(INDEX($AD$10:$AD$259,MATCH(0,IF(TRUE=$AC$10:$AC$259,COUNTIF($B$9:B26,$AD$10:$AD$259),""),0)),"")</f>
        <v/>
      </c>
      <c r="C27" s="642"/>
      <c r="D27" s="642"/>
      <c r="E27" s="1545" t="str">
        <f>IF(B27="","",IF(ISNA(VLOOKUP($B27,'A-1 On-Site Habitat Baseline'!$D$1:$AV$258,45,FALSE)),"",(VLOOKUP(B27,'A-1 On-Site Habitat Baseline'!$D$1:$AV$258,45,FALSE))))</f>
        <v/>
      </c>
      <c r="F27" s="1545"/>
      <c r="G27" s="1545"/>
      <c r="H27" s="1573"/>
      <c r="I27" s="1573"/>
      <c r="J27" s="1573"/>
      <c r="K27" s="1534" t="str">
        <f>IF(B27="","",IF(ISNA(VLOOKUP($B27,'A-1 On-Site Habitat Baseline'!$D$1:$AV$258,5,FALSE)),"",(VLOOKUP(B27,'A-1 On-Site Habitat Baseline'!$D$1:$AV$258,5,FALSE))))</f>
        <v/>
      </c>
      <c r="L27" s="1534"/>
      <c r="M27" s="1534" t="str">
        <f>IF(B27="","",IF(ISNA(VLOOKUP($B27,'A-1 On-Site Habitat Baseline'!$D$1:$AV$258,16,FALSE)),"",(VLOOKUP(B27,'A-1 On-Site Habitat Baseline'!$D$1:$AV$258,16,FALSE))))</f>
        <v/>
      </c>
      <c r="N27" s="1534"/>
      <c r="O27" s="1534" t="str">
        <f>IF(B27="","",IF(ISNA(VLOOKUP($B27,'A-1 On-Site Habitat Baseline'!$D$1:$AV$258,17,FALSE)),"",(VLOOKUP(B27,'A-1 On-Site Habitat Baseline'!$D$1:$AV$258,17,FALSE))))</f>
        <v/>
      </c>
      <c r="P27" s="1534"/>
      <c r="Q27" s="1534"/>
      <c r="R27" s="1534"/>
      <c r="S27" s="1534" t="str">
        <f t="shared" si="2"/>
        <v/>
      </c>
      <c r="T27" s="1545"/>
      <c r="U27" s="648" t="str">
        <f t="shared" si="3"/>
        <v/>
      </c>
      <c r="V27" s="646"/>
      <c r="W27" s="646"/>
      <c r="X27" s="646"/>
      <c r="Y27" s="646"/>
      <c r="Z27" s="676" t="str">
        <f ca="1">IFERROR(IF(LEN(VLOOKUP($B27,'A-1 On-Site Habitat Baseline'!$D$1:$AV$258,23,FALSE))=0,"",IF(B27="","",IF(ISNA(VLOOKUP($B27,'A-1 On-Site Habitat Baseline'!$D$1:$AV$258,23,FALSE)),"",(VLOOKUP(B27,'A-1 On-Site Habitat Baseline'!$D$1:$AV$258,23,FALSE))))),"")</f>
        <v/>
      </c>
      <c r="AA27" s="652" t="str">
        <f ca="1">IFERROR(IF(LEN(VLOOKUP($B27,'A-1 On-Site Habitat Baseline'!$D$1:$AV$258,24,FALSE))=0,"",IF(B27="","",IF(ISNA(VLOOKUP($B27,'A-1 On-Site Habitat Baseline'!$D$1:$AV$258,24,FALSE)),"",(VLOOKUP(B27,'A-1 On-Site Habitat Baseline'!$D$1:$AV$258,24,FALSE))))),"")</f>
        <v/>
      </c>
      <c r="AB27" s="674" t="str">
        <f ca="1">IFERROR(IF(LEN(VLOOKUP($B27,'A-1 On-Site Habitat Baseline'!$D$1:$AV$258,25,FALSE))=0,"",IF(B27="","",IF(ISNA(VLOOKUP($B27,'A-1 On-Site Habitat Baseline'!$D$1:$AV$258,25,FALSE)),"",(VLOOKUP(B27,'A-1 On-Site Habitat Baseline'!$D$1:$AV$258,25,FALSE))))),"")</f>
        <v/>
      </c>
      <c r="AC27" s="672" t="str">
        <f>IF('A-1 On-Site Habitat Baseline'!G28="","",IF('A-1 On-Site Habitat Baseline'!G28="Yes",TRUE,FALSE))</f>
        <v/>
      </c>
      <c r="AD27" s="673">
        <v>18</v>
      </c>
      <c r="AE27" s="672" t="str">
        <f>IF('D-1 Off-Site Habitat Baseline'!G28="","",IF('D-1 Off-Site Habitat Baseline'!G28="Yes",TRUE,FALSE))</f>
        <v/>
      </c>
      <c r="AF27" s="672"/>
      <c r="AG27" s="641" t="str" cm="1">
        <f t="array" ref="AG27">IFERROR(INDEX($BI$10:$BI$259,MATCH(0,IF(TRUE=$BH$10:$BH$259,COUNTIF($AG$9:AG26,$BI$10:$BI$259),""),0)),"")</f>
        <v/>
      </c>
      <c r="AH27" s="642"/>
      <c r="AI27" s="642"/>
      <c r="AJ27" s="1545" t="str">
        <f>IF(BH27=FALSE,"",IF(ISNA(VLOOKUP(AG27,'C-1 On-Site WaterC'' Baseline'!C$1:D$257,2,FALSE)),"",(VLOOKUP(AG27,'C-1 On-Site WaterC'' Baseline'!C$1:D$257,2,FALSE))))</f>
        <v/>
      </c>
      <c r="AK27" s="1545"/>
      <c r="AL27" s="1545"/>
      <c r="AM27" s="1573"/>
      <c r="AN27" s="1573"/>
      <c r="AO27" s="1573"/>
      <c r="AP27" s="1534" t="str">
        <f>IF(AG27="","",IF(ISNA(VLOOKUP($AG27,'C-1 On-Site WaterC'' Baseline'!C$1:E$257,3,FALSE)),"",(VLOOKUP(AG27,'C-1 On-Site WaterC'' Baseline'!C$1:E$257,3,FALSE))))</f>
        <v/>
      </c>
      <c r="AQ27" s="1534"/>
      <c r="AR27" s="1531" t="str">
        <f>IF(AG27="","",IF(ISNA(VLOOKUP($AG27,'C-1 On-Site WaterC'' Baseline'!C$1:AA$257,19,FALSE)),"",(VLOOKUP(AG27,'C-1 On-Site WaterC'' Baseline'!C$1:AA$257,19,FALSE))))</f>
        <v/>
      </c>
      <c r="AS27" s="1533"/>
      <c r="AT27" s="1531" t="str">
        <f>IF(AG27="","",IF(ISNA(VLOOKUP($AG27,'C-1 On-Site WaterC'' Baseline'!C$1:AA$257,20,FALSE)),"",(VLOOKUP(AG27,'C-1 On-Site WaterC'' Baseline'!C$1:AA$257,20,FALSE))))</f>
        <v/>
      </c>
      <c r="AU27" s="1532"/>
      <c r="AV27" s="1532"/>
      <c r="AW27" s="1533"/>
      <c r="AX27" s="1534" t="str">
        <f t="shared" si="4"/>
        <v/>
      </c>
      <c r="AY27" s="1534"/>
      <c r="AZ27" s="1535" t="str">
        <f t="shared" si="0"/>
        <v/>
      </c>
      <c r="BA27" s="1536"/>
      <c r="BB27" s="1536"/>
      <c r="BC27" s="1536"/>
      <c r="BD27" s="1537"/>
      <c r="BE27" s="676" t="str">
        <f>IFERROR(IF(LEN(VLOOKUP($AG27,'C-1 On-Site WaterC'' Baseline'!C$1:AE$257,26,FALSE))=0,"",IF(AG27="","",IF(ISNA(VLOOKUP($AG27,'C-1 On-Site WaterC'' Baseline'!C$1:AE$257,26,FALSE)),"",(VLOOKUP(AG27,'C-1 On-Site WaterC'' Baseline'!C$1:AE$257,26,FALSE))))),"")</f>
        <v/>
      </c>
      <c r="BF27" s="652" t="str">
        <f>IFERROR(IF(LEN(VLOOKUP($AG27,'C-1 On-Site WaterC'' Baseline'!C$1:AE$257,27,FALSE))=0,"",IF(AG27="","",IF(ISNA(VLOOKUP($AG27,'C-1 On-Site WaterC'' Baseline'!C$1:AE$257,27,FALSE)),"",(VLOOKUP(AG27,'C-1 On-Site WaterC'' Baseline'!C$1:AE$257,27,FALSE))))),"")</f>
        <v/>
      </c>
      <c r="BG27" s="687" t="str">
        <f>IFERROR(IF(LEN(VLOOKUP($AG27,'C-1 On-Site WaterC'' Baseline'!C$1:AE$257,28,FALSE))=0,"",IF(AG27="","",IF(ISNA(VLOOKUP($AG27,'C-1 On-Site WaterC'' Baseline'!C$1:AE$257,28,FALSE)),"",(VLOOKUP(AG27,'C-1 On-Site WaterC'' Baseline'!C$1:AE$257,28,FALSE))))),"")</f>
        <v/>
      </c>
      <c r="BH27" s="673" t="str">
        <f>IF('C-1 On-Site WaterC'' Baseline'!AU27="","",IF('C-1 On-Site WaterC'' Baseline'!AU27="Yes",TRUE,FALSE))</f>
        <v/>
      </c>
      <c r="BI27" s="673">
        <v>18</v>
      </c>
      <c r="BJ27" s="673" t="str">
        <f>IF('F-1 Off-Site WaterC'' Baseline'!AU27="","",IF('F-1 Off-Site WaterC'' Baseline'!AU27="Yes",TRUE,FALSE))</f>
        <v/>
      </c>
      <c r="BK27" s="673" t="str">
        <f t="shared" si="1"/>
        <v/>
      </c>
      <c r="BL27" s="673" t="str">
        <f>IF(AG27="","",IF(LEN(VLOOKUP($AG27,'C-1 On-Site WaterC'' Baseline'!$C$1:$AV$257,25,FALSE))=0,"",VLOOKUP(AG27,'C-1 On-Site WaterC'' Baseline'!$C$1:$AV$257,25,FALSE)))</f>
        <v/>
      </c>
      <c r="BM27" s="673" t="str">
        <f>IF(B27="","",IF(LEN(VLOOKUP($B27,'A-1 On-Site Habitat Baseline'!$D$1:$AV$258,22,FALSE))=0,"",(VLOOKUP(B27,'A-1 On-Site Habitat Baseline'!$D$1:$AV$258,22,FALSE))))</f>
        <v/>
      </c>
    </row>
    <row r="28" spans="2:65" s="675" customFormat="1" ht="44.9" customHeight="1">
      <c r="B28" s="684" t="str" cm="1">
        <f t="array" ref="B28">IFERROR(INDEX($AD$10:$AD$259,MATCH(0,IF(TRUE=$AC$10:$AC$259,COUNTIF($B$9:B27,$AD$10:$AD$259),""),0)),"")</f>
        <v/>
      </c>
      <c r="C28" s="642"/>
      <c r="D28" s="642"/>
      <c r="E28" s="1545" t="str">
        <f>IF(B28="","",IF(ISNA(VLOOKUP($B28,'A-1 On-Site Habitat Baseline'!$D$1:$AV$258,45,FALSE)),"",(VLOOKUP(B28,'A-1 On-Site Habitat Baseline'!$D$1:$AV$258,45,FALSE))))</f>
        <v/>
      </c>
      <c r="F28" s="1545"/>
      <c r="G28" s="1545"/>
      <c r="H28" s="1573"/>
      <c r="I28" s="1573"/>
      <c r="J28" s="1573"/>
      <c r="K28" s="1534" t="str">
        <f>IF(B28="","",IF(ISNA(VLOOKUP($B28,'A-1 On-Site Habitat Baseline'!$D$1:$AV$258,5,FALSE)),"",(VLOOKUP(B28,'A-1 On-Site Habitat Baseline'!$D$1:$AV$258,5,FALSE))))</f>
        <v/>
      </c>
      <c r="L28" s="1534"/>
      <c r="M28" s="1534" t="str">
        <f>IF(B28="","",IF(ISNA(VLOOKUP($B28,'A-1 On-Site Habitat Baseline'!$D$1:$AV$258,16,FALSE)),"",(VLOOKUP(B28,'A-1 On-Site Habitat Baseline'!$D$1:$AV$258,16,FALSE))))</f>
        <v/>
      </c>
      <c r="N28" s="1534"/>
      <c r="O28" s="1534" t="str">
        <f>IF(B28="","",IF(ISNA(VLOOKUP($B28,'A-1 On-Site Habitat Baseline'!$D$1:$AV$258,17,FALSE)),"",(VLOOKUP(B28,'A-1 On-Site Habitat Baseline'!$D$1:$AV$258,17,FALSE))))</f>
        <v/>
      </c>
      <c r="P28" s="1534"/>
      <c r="Q28" s="1534"/>
      <c r="R28" s="1534"/>
      <c r="S28" s="1534" t="str">
        <f t="shared" si="2"/>
        <v/>
      </c>
      <c r="T28" s="1545"/>
      <c r="U28" s="648" t="str">
        <f t="shared" si="3"/>
        <v/>
      </c>
      <c r="V28" s="646"/>
      <c r="W28" s="646"/>
      <c r="X28" s="646"/>
      <c r="Y28" s="646"/>
      <c r="Z28" s="676" t="str">
        <f ca="1">IFERROR(IF(LEN(VLOOKUP($B28,'A-1 On-Site Habitat Baseline'!$D$1:$AV$258,23,FALSE))=0,"",IF(B28="","",IF(ISNA(VLOOKUP($B28,'A-1 On-Site Habitat Baseline'!$D$1:$AV$258,23,FALSE)),"",(VLOOKUP(B28,'A-1 On-Site Habitat Baseline'!$D$1:$AV$258,23,FALSE))))),"")</f>
        <v/>
      </c>
      <c r="AA28" s="652" t="str">
        <f ca="1">IFERROR(IF(LEN(VLOOKUP($B28,'A-1 On-Site Habitat Baseline'!$D$1:$AV$258,24,FALSE))=0,"",IF(B28="","",IF(ISNA(VLOOKUP($B28,'A-1 On-Site Habitat Baseline'!$D$1:$AV$258,24,FALSE)),"",(VLOOKUP(B28,'A-1 On-Site Habitat Baseline'!$D$1:$AV$258,24,FALSE))))),"")</f>
        <v/>
      </c>
      <c r="AB28" s="674" t="str">
        <f ca="1">IFERROR(IF(LEN(VLOOKUP($B28,'A-1 On-Site Habitat Baseline'!$D$1:$AV$258,25,FALSE))=0,"",IF(B28="","",IF(ISNA(VLOOKUP($B28,'A-1 On-Site Habitat Baseline'!$D$1:$AV$258,25,FALSE)),"",(VLOOKUP(B28,'A-1 On-Site Habitat Baseline'!$D$1:$AV$258,25,FALSE))))),"")</f>
        <v/>
      </c>
      <c r="AC28" s="672" t="str">
        <f>IF('A-1 On-Site Habitat Baseline'!G29="","",IF('A-1 On-Site Habitat Baseline'!G29="Yes",TRUE,FALSE))</f>
        <v/>
      </c>
      <c r="AD28" s="673">
        <v>19</v>
      </c>
      <c r="AE28" s="672" t="str">
        <f>IF('D-1 Off-Site Habitat Baseline'!G29="","",IF('D-1 Off-Site Habitat Baseline'!G29="Yes",TRUE,FALSE))</f>
        <v/>
      </c>
      <c r="AF28" s="672"/>
      <c r="AG28" s="641" t="str" cm="1">
        <f t="array" ref="AG28">IFERROR(INDEX($BI$10:$BI$259,MATCH(0,IF(TRUE=$BH$10:$BH$259,COUNTIF($AG$9:AG27,$BI$10:$BI$259),""),0)),"")</f>
        <v/>
      </c>
      <c r="AH28" s="642"/>
      <c r="AI28" s="642"/>
      <c r="AJ28" s="1545" t="str">
        <f>IF(BH28=FALSE,"",IF(ISNA(VLOOKUP(AG28,'C-1 On-Site WaterC'' Baseline'!C$1:D$257,2,FALSE)),"",(VLOOKUP(AG28,'C-1 On-Site WaterC'' Baseline'!C$1:D$257,2,FALSE))))</f>
        <v/>
      </c>
      <c r="AK28" s="1545"/>
      <c r="AL28" s="1545"/>
      <c r="AM28" s="1573"/>
      <c r="AN28" s="1573"/>
      <c r="AO28" s="1573"/>
      <c r="AP28" s="1534" t="str">
        <f>IF(AG28="","",IF(ISNA(VLOOKUP($AG28,'C-1 On-Site WaterC'' Baseline'!C$1:E$257,3,FALSE)),"",(VLOOKUP(AG28,'C-1 On-Site WaterC'' Baseline'!C$1:E$257,3,FALSE))))</f>
        <v/>
      </c>
      <c r="AQ28" s="1534"/>
      <c r="AR28" s="1531" t="str">
        <f>IF(AG28="","",IF(ISNA(VLOOKUP($AG28,'C-1 On-Site WaterC'' Baseline'!C$1:AA$257,19,FALSE)),"",(VLOOKUP(AG28,'C-1 On-Site WaterC'' Baseline'!C$1:AA$257,19,FALSE))))</f>
        <v/>
      </c>
      <c r="AS28" s="1533"/>
      <c r="AT28" s="1531" t="str">
        <f>IF(AG28="","",IF(ISNA(VLOOKUP($AG28,'C-1 On-Site WaterC'' Baseline'!C$1:AA$257,20,FALSE)),"",(VLOOKUP(AG28,'C-1 On-Site WaterC'' Baseline'!C$1:AA$257,20,FALSE))))</f>
        <v/>
      </c>
      <c r="AU28" s="1532"/>
      <c r="AV28" s="1532"/>
      <c r="AW28" s="1533"/>
      <c r="AX28" s="1534" t="str">
        <f t="shared" si="4"/>
        <v/>
      </c>
      <c r="AY28" s="1534"/>
      <c r="AZ28" s="1535" t="str">
        <f t="shared" si="0"/>
        <v/>
      </c>
      <c r="BA28" s="1536"/>
      <c r="BB28" s="1536"/>
      <c r="BC28" s="1536"/>
      <c r="BD28" s="1537"/>
      <c r="BE28" s="676" t="str">
        <f>IFERROR(IF(LEN(VLOOKUP($AG28,'C-1 On-Site WaterC'' Baseline'!C$1:AE$257,26,FALSE))=0,"",IF(AG28="","",IF(ISNA(VLOOKUP($AG28,'C-1 On-Site WaterC'' Baseline'!C$1:AE$257,26,FALSE)),"",(VLOOKUP(AG28,'C-1 On-Site WaterC'' Baseline'!C$1:AE$257,26,FALSE))))),"")</f>
        <v/>
      </c>
      <c r="BF28" s="652" t="str">
        <f>IFERROR(IF(LEN(VLOOKUP($AG28,'C-1 On-Site WaterC'' Baseline'!C$1:AE$257,27,FALSE))=0,"",IF(AG28="","",IF(ISNA(VLOOKUP($AG28,'C-1 On-Site WaterC'' Baseline'!C$1:AE$257,27,FALSE)),"",(VLOOKUP(AG28,'C-1 On-Site WaterC'' Baseline'!C$1:AE$257,27,FALSE))))),"")</f>
        <v/>
      </c>
      <c r="BG28" s="687" t="str">
        <f>IFERROR(IF(LEN(VLOOKUP($AG28,'C-1 On-Site WaterC'' Baseline'!C$1:AE$257,28,FALSE))=0,"",IF(AG28="","",IF(ISNA(VLOOKUP($AG28,'C-1 On-Site WaterC'' Baseline'!C$1:AE$257,28,FALSE)),"",(VLOOKUP(AG28,'C-1 On-Site WaterC'' Baseline'!C$1:AE$257,28,FALSE))))),"")</f>
        <v/>
      </c>
      <c r="BH28" s="673" t="str">
        <f>IF('C-1 On-Site WaterC'' Baseline'!AU28="","",IF('C-1 On-Site WaterC'' Baseline'!AU28="Yes",TRUE,FALSE))</f>
        <v/>
      </c>
      <c r="BI28" s="673">
        <v>19</v>
      </c>
      <c r="BJ28" s="673" t="str">
        <f>IF('F-1 Off-Site WaterC'' Baseline'!AU28="","",IF('F-1 Off-Site WaterC'' Baseline'!AU28="Yes",TRUE,FALSE))</f>
        <v/>
      </c>
      <c r="BK28" s="673" t="str">
        <f t="shared" si="1"/>
        <v/>
      </c>
      <c r="BL28" s="673" t="str">
        <f>IF(AG28="","",IF(LEN(VLOOKUP($AG28,'C-1 On-Site WaterC'' Baseline'!$C$1:$AV$257,25,FALSE))=0,"",VLOOKUP(AG28,'C-1 On-Site WaterC'' Baseline'!$C$1:$AV$257,25,FALSE)))</f>
        <v/>
      </c>
      <c r="BM28" s="673" t="str">
        <f>IF(B28="","",IF(LEN(VLOOKUP($B28,'A-1 On-Site Habitat Baseline'!$D$1:$AV$258,22,FALSE))=0,"",(VLOOKUP(B28,'A-1 On-Site Habitat Baseline'!$D$1:$AV$258,22,FALSE))))</f>
        <v/>
      </c>
    </row>
    <row r="29" spans="2:65" s="675" customFormat="1" ht="44.9" customHeight="1">
      <c r="B29" s="684" t="str" cm="1">
        <f t="array" ref="B29">IFERROR(INDEX($AD$10:$AD$259,MATCH(0,IF(TRUE=$AC$10:$AC$259,COUNTIF($B$9:B28,$AD$10:$AD$259),""),0)),"")</f>
        <v/>
      </c>
      <c r="C29" s="642"/>
      <c r="D29" s="642"/>
      <c r="E29" s="1545" t="str">
        <f>IF(B29="","",IF(ISNA(VLOOKUP($B29,'A-1 On-Site Habitat Baseline'!$D$1:$AV$258,45,FALSE)),"",(VLOOKUP(B29,'A-1 On-Site Habitat Baseline'!$D$1:$AV$258,45,FALSE))))</f>
        <v/>
      </c>
      <c r="F29" s="1545"/>
      <c r="G29" s="1545"/>
      <c r="H29" s="1573"/>
      <c r="I29" s="1573"/>
      <c r="J29" s="1573"/>
      <c r="K29" s="1534" t="str">
        <f>IF(B29="","",IF(ISNA(VLOOKUP($B29,'A-1 On-Site Habitat Baseline'!$D$1:$AV$258,5,FALSE)),"",(VLOOKUP(B29,'A-1 On-Site Habitat Baseline'!$D$1:$AV$258,5,FALSE))))</f>
        <v/>
      </c>
      <c r="L29" s="1534"/>
      <c r="M29" s="1534" t="str">
        <f>IF(B29="","",IF(ISNA(VLOOKUP($B29,'A-1 On-Site Habitat Baseline'!$D$1:$AV$258,16,FALSE)),"",(VLOOKUP(B29,'A-1 On-Site Habitat Baseline'!$D$1:$AV$258,16,FALSE))))</f>
        <v/>
      </c>
      <c r="N29" s="1534"/>
      <c r="O29" s="1534" t="str">
        <f>IF(B29="","",IF(ISNA(VLOOKUP($B29,'A-1 On-Site Habitat Baseline'!$D$1:$AV$258,17,FALSE)),"",(VLOOKUP(B29,'A-1 On-Site Habitat Baseline'!$D$1:$AV$258,17,FALSE))))</f>
        <v/>
      </c>
      <c r="P29" s="1534"/>
      <c r="Q29" s="1534"/>
      <c r="R29" s="1534"/>
      <c r="S29" s="1534" t="str">
        <f t="shared" si="2"/>
        <v/>
      </c>
      <c r="T29" s="1545"/>
      <c r="U29" s="648" t="str">
        <f t="shared" si="3"/>
        <v/>
      </c>
      <c r="V29" s="646"/>
      <c r="W29" s="646"/>
      <c r="X29" s="646"/>
      <c r="Y29" s="646"/>
      <c r="Z29" s="676" t="str">
        <f ca="1">IFERROR(IF(LEN(VLOOKUP($B29,'A-1 On-Site Habitat Baseline'!$D$1:$AV$258,23,FALSE))=0,"",IF(B29="","",IF(ISNA(VLOOKUP($B29,'A-1 On-Site Habitat Baseline'!$D$1:$AV$258,23,FALSE)),"",(VLOOKUP(B29,'A-1 On-Site Habitat Baseline'!$D$1:$AV$258,23,FALSE))))),"")</f>
        <v/>
      </c>
      <c r="AA29" s="652" t="str">
        <f ca="1">IFERROR(IF(LEN(VLOOKUP($B29,'A-1 On-Site Habitat Baseline'!$D$1:$AV$258,24,FALSE))=0,"",IF(B29="","",IF(ISNA(VLOOKUP($B29,'A-1 On-Site Habitat Baseline'!$D$1:$AV$258,24,FALSE)),"",(VLOOKUP(B29,'A-1 On-Site Habitat Baseline'!$D$1:$AV$258,24,FALSE))))),"")</f>
        <v/>
      </c>
      <c r="AB29" s="674" t="str">
        <f ca="1">IFERROR(IF(LEN(VLOOKUP($B29,'A-1 On-Site Habitat Baseline'!$D$1:$AV$258,25,FALSE))=0,"",IF(B29="","",IF(ISNA(VLOOKUP($B29,'A-1 On-Site Habitat Baseline'!$D$1:$AV$258,25,FALSE)),"",(VLOOKUP(B29,'A-1 On-Site Habitat Baseline'!$D$1:$AV$258,25,FALSE))))),"")</f>
        <v/>
      </c>
      <c r="AC29" s="672" t="str">
        <f>IF('A-1 On-Site Habitat Baseline'!G30="","",IF('A-1 On-Site Habitat Baseline'!G30="Yes",TRUE,FALSE))</f>
        <v/>
      </c>
      <c r="AD29" s="673">
        <v>20</v>
      </c>
      <c r="AE29" s="672" t="str">
        <f>IF('D-1 Off-Site Habitat Baseline'!G30="","",IF('D-1 Off-Site Habitat Baseline'!G30="Yes",TRUE,FALSE))</f>
        <v/>
      </c>
      <c r="AF29" s="672"/>
      <c r="AG29" s="641" t="str" cm="1">
        <f t="array" ref="AG29">IFERROR(INDEX($BI$10:$BI$259,MATCH(0,IF(TRUE=$BH$10:$BH$259,COUNTIF($AG$9:AG28,$BI$10:$BI$259),""),0)),"")</f>
        <v/>
      </c>
      <c r="AH29" s="642"/>
      <c r="AI29" s="642"/>
      <c r="AJ29" s="1545" t="str">
        <f>IF(BH29=FALSE,"",IF(ISNA(VLOOKUP(AG29,'C-1 On-Site WaterC'' Baseline'!C$1:D$257,2,FALSE)),"",(VLOOKUP(AG29,'C-1 On-Site WaterC'' Baseline'!C$1:D$257,2,FALSE))))</f>
        <v/>
      </c>
      <c r="AK29" s="1545"/>
      <c r="AL29" s="1545"/>
      <c r="AM29" s="1573"/>
      <c r="AN29" s="1573"/>
      <c r="AO29" s="1573"/>
      <c r="AP29" s="1534" t="str">
        <f>IF(AG29="","",IF(ISNA(VLOOKUP($AG29,'C-1 On-Site WaterC'' Baseline'!C$1:E$257,3,FALSE)),"",(VLOOKUP(AG29,'C-1 On-Site WaterC'' Baseline'!C$1:E$257,3,FALSE))))</f>
        <v/>
      </c>
      <c r="AQ29" s="1534"/>
      <c r="AR29" s="1531" t="str">
        <f>IF(AG29="","",IF(ISNA(VLOOKUP($AG29,'C-1 On-Site WaterC'' Baseline'!C$1:AA$257,19,FALSE)),"",(VLOOKUP(AG29,'C-1 On-Site WaterC'' Baseline'!C$1:AA$257,19,FALSE))))</f>
        <v/>
      </c>
      <c r="AS29" s="1533"/>
      <c r="AT29" s="1531" t="str">
        <f>IF(AG29="","",IF(ISNA(VLOOKUP($AG29,'C-1 On-Site WaterC'' Baseline'!C$1:AA$257,20,FALSE)),"",(VLOOKUP(AG29,'C-1 On-Site WaterC'' Baseline'!C$1:AA$257,20,FALSE))))</f>
        <v/>
      </c>
      <c r="AU29" s="1532"/>
      <c r="AV29" s="1532"/>
      <c r="AW29" s="1533"/>
      <c r="AX29" s="1534" t="str">
        <f t="shared" si="4"/>
        <v/>
      </c>
      <c r="AY29" s="1534"/>
      <c r="AZ29" s="1535" t="str">
        <f t="shared" si="0"/>
        <v/>
      </c>
      <c r="BA29" s="1536"/>
      <c r="BB29" s="1536"/>
      <c r="BC29" s="1536"/>
      <c r="BD29" s="1537"/>
      <c r="BE29" s="676" t="str">
        <f>IFERROR(IF(LEN(VLOOKUP($AG29,'C-1 On-Site WaterC'' Baseline'!C$1:AE$257,26,FALSE))=0,"",IF(AG29="","",IF(ISNA(VLOOKUP($AG29,'C-1 On-Site WaterC'' Baseline'!C$1:AE$257,26,FALSE)),"",(VLOOKUP(AG29,'C-1 On-Site WaterC'' Baseline'!C$1:AE$257,26,FALSE))))),"")</f>
        <v/>
      </c>
      <c r="BF29" s="652" t="str">
        <f>IFERROR(IF(LEN(VLOOKUP($AG29,'C-1 On-Site WaterC'' Baseline'!C$1:AE$257,27,FALSE))=0,"",IF(AG29="","",IF(ISNA(VLOOKUP($AG29,'C-1 On-Site WaterC'' Baseline'!C$1:AE$257,27,FALSE)),"",(VLOOKUP(AG29,'C-1 On-Site WaterC'' Baseline'!C$1:AE$257,27,FALSE))))),"")</f>
        <v/>
      </c>
      <c r="BG29" s="687" t="str">
        <f>IFERROR(IF(LEN(VLOOKUP($AG29,'C-1 On-Site WaterC'' Baseline'!C$1:AE$257,28,FALSE))=0,"",IF(AG29="","",IF(ISNA(VLOOKUP($AG29,'C-1 On-Site WaterC'' Baseline'!C$1:AE$257,28,FALSE)),"",(VLOOKUP(AG29,'C-1 On-Site WaterC'' Baseline'!C$1:AE$257,28,FALSE))))),"")</f>
        <v/>
      </c>
      <c r="BH29" s="673" t="str">
        <f>IF('C-1 On-Site WaterC'' Baseline'!AU29="","",IF('C-1 On-Site WaterC'' Baseline'!AU29="Yes",TRUE,FALSE))</f>
        <v/>
      </c>
      <c r="BI29" s="673">
        <v>20</v>
      </c>
      <c r="BJ29" s="673" t="str">
        <f>IF('F-1 Off-Site WaterC'' Baseline'!AU29="","",IF('F-1 Off-Site WaterC'' Baseline'!AU29="Yes",TRUE,FALSE))</f>
        <v/>
      </c>
      <c r="BK29" s="673" t="str">
        <f t="shared" si="1"/>
        <v/>
      </c>
      <c r="BL29" s="673" t="str">
        <f>IF(AG29="","",IF(LEN(VLOOKUP($AG29,'C-1 On-Site WaterC'' Baseline'!$C$1:$AV$257,25,FALSE))=0,"",VLOOKUP(AG29,'C-1 On-Site WaterC'' Baseline'!$C$1:$AV$257,25,FALSE)))</f>
        <v/>
      </c>
      <c r="BM29" s="673" t="str">
        <f>IF(B29="","",IF(LEN(VLOOKUP($B29,'A-1 On-Site Habitat Baseline'!$D$1:$AV$258,22,FALSE))=0,"",(VLOOKUP(B29,'A-1 On-Site Habitat Baseline'!$D$1:$AV$258,22,FALSE))))</f>
        <v/>
      </c>
    </row>
    <row r="30" spans="2:65" s="675" customFormat="1" ht="44.9" customHeight="1">
      <c r="B30" s="684" t="str" cm="1">
        <f t="array" ref="B30">IFERROR(INDEX($AD$10:$AD$259,MATCH(0,IF(TRUE=$AC$10:$AC$259,COUNTIF($B$9:B29,$AD$10:$AD$259),""),0)),"")</f>
        <v/>
      </c>
      <c r="C30" s="642"/>
      <c r="D30" s="642"/>
      <c r="E30" s="1545" t="str">
        <f>IF(B30="","",IF(ISNA(VLOOKUP($B30,'A-1 On-Site Habitat Baseline'!$D$1:$AV$258,45,FALSE)),"",(VLOOKUP(B30,'A-1 On-Site Habitat Baseline'!$D$1:$AV$258,45,FALSE))))</f>
        <v/>
      </c>
      <c r="F30" s="1545"/>
      <c r="G30" s="1545"/>
      <c r="H30" s="1573"/>
      <c r="I30" s="1573"/>
      <c r="J30" s="1573"/>
      <c r="K30" s="1534" t="str">
        <f>IF(B30="","",IF(ISNA(VLOOKUP($B30,'A-1 On-Site Habitat Baseline'!$D$1:$AV$258,5,FALSE)),"",(VLOOKUP(B30,'A-1 On-Site Habitat Baseline'!$D$1:$AV$258,5,FALSE))))</f>
        <v/>
      </c>
      <c r="L30" s="1534"/>
      <c r="M30" s="1534" t="str">
        <f>IF(B30="","",IF(ISNA(VLOOKUP($B30,'A-1 On-Site Habitat Baseline'!$D$1:$AV$258,16,FALSE)),"",(VLOOKUP(B30,'A-1 On-Site Habitat Baseline'!$D$1:$AV$258,16,FALSE))))</f>
        <v/>
      </c>
      <c r="N30" s="1534"/>
      <c r="O30" s="1534" t="str">
        <f>IF(B30="","",IF(ISNA(VLOOKUP($B30,'A-1 On-Site Habitat Baseline'!$D$1:$AV$258,17,FALSE)),"",(VLOOKUP(B30,'A-1 On-Site Habitat Baseline'!$D$1:$AV$258,17,FALSE))))</f>
        <v/>
      </c>
      <c r="P30" s="1534"/>
      <c r="Q30" s="1534"/>
      <c r="R30" s="1534"/>
      <c r="S30" s="1534" t="str">
        <f t="shared" si="2"/>
        <v/>
      </c>
      <c r="T30" s="1545"/>
      <c r="U30" s="648" t="str">
        <f t="shared" si="3"/>
        <v/>
      </c>
      <c r="V30" s="646"/>
      <c r="W30" s="646"/>
      <c r="X30" s="646"/>
      <c r="Y30" s="646"/>
      <c r="Z30" s="676" t="str">
        <f ca="1">IFERROR(IF(LEN(VLOOKUP($B30,'A-1 On-Site Habitat Baseline'!$D$1:$AV$258,23,FALSE))=0,"",IF(B30="","",IF(ISNA(VLOOKUP($B30,'A-1 On-Site Habitat Baseline'!$D$1:$AV$258,23,FALSE)),"",(VLOOKUP(B30,'A-1 On-Site Habitat Baseline'!$D$1:$AV$258,23,FALSE))))),"")</f>
        <v/>
      </c>
      <c r="AA30" s="652" t="str">
        <f ca="1">IFERROR(IF(LEN(VLOOKUP($B30,'A-1 On-Site Habitat Baseline'!$D$1:$AV$258,24,FALSE))=0,"",IF(B30="","",IF(ISNA(VLOOKUP($B30,'A-1 On-Site Habitat Baseline'!$D$1:$AV$258,24,FALSE)),"",(VLOOKUP(B30,'A-1 On-Site Habitat Baseline'!$D$1:$AV$258,24,FALSE))))),"")</f>
        <v/>
      </c>
      <c r="AB30" s="674" t="str">
        <f ca="1">IFERROR(IF(LEN(VLOOKUP($B30,'A-1 On-Site Habitat Baseline'!$D$1:$AV$258,25,FALSE))=0,"",IF(B30="","",IF(ISNA(VLOOKUP($B30,'A-1 On-Site Habitat Baseline'!$D$1:$AV$258,25,FALSE)),"",(VLOOKUP(B30,'A-1 On-Site Habitat Baseline'!$D$1:$AV$258,25,FALSE))))),"")</f>
        <v/>
      </c>
      <c r="AC30" s="672" t="str">
        <f>IF('A-1 On-Site Habitat Baseline'!G31="","",IF('A-1 On-Site Habitat Baseline'!G31="Yes",TRUE,FALSE))</f>
        <v/>
      </c>
      <c r="AD30" s="673">
        <v>21</v>
      </c>
      <c r="AE30" s="672" t="str">
        <f>IF('D-1 Off-Site Habitat Baseline'!G31="","",IF('D-1 Off-Site Habitat Baseline'!G31="Yes",TRUE,FALSE))</f>
        <v/>
      </c>
      <c r="AF30" s="672"/>
      <c r="AG30" s="641" t="str" cm="1">
        <f t="array" ref="AG30">IFERROR(INDEX($BI$10:$BI$259,MATCH(0,IF(TRUE=$BH$10:$BH$259,COUNTIF($AG$9:AG29,$BI$10:$BI$259),""),0)),"")</f>
        <v/>
      </c>
      <c r="AH30" s="642"/>
      <c r="AI30" s="642"/>
      <c r="AJ30" s="1545" t="str">
        <f>IF(BH30=FALSE,"",IF(ISNA(VLOOKUP(AG30,'C-1 On-Site WaterC'' Baseline'!C$1:D$257,2,FALSE)),"",(VLOOKUP(AG30,'C-1 On-Site WaterC'' Baseline'!C$1:D$257,2,FALSE))))</f>
        <v/>
      </c>
      <c r="AK30" s="1545"/>
      <c r="AL30" s="1545"/>
      <c r="AM30" s="1573"/>
      <c r="AN30" s="1573"/>
      <c r="AO30" s="1573"/>
      <c r="AP30" s="1534" t="str">
        <f>IF(AG30="","",IF(ISNA(VLOOKUP($AG30,'C-1 On-Site WaterC'' Baseline'!C$1:E$257,3,FALSE)),"",(VLOOKUP(AG30,'C-1 On-Site WaterC'' Baseline'!C$1:E$257,3,FALSE))))</f>
        <v/>
      </c>
      <c r="AQ30" s="1534"/>
      <c r="AR30" s="1531" t="str">
        <f>IF(AG30="","",IF(ISNA(VLOOKUP($AG30,'C-1 On-Site WaterC'' Baseline'!C$1:AA$257,19,FALSE)),"",(VLOOKUP(AG30,'C-1 On-Site WaterC'' Baseline'!C$1:AA$257,19,FALSE))))</f>
        <v/>
      </c>
      <c r="AS30" s="1533"/>
      <c r="AT30" s="1531" t="str">
        <f>IF(AG30="","",IF(ISNA(VLOOKUP($AG30,'C-1 On-Site WaterC'' Baseline'!C$1:AA$257,20,FALSE)),"",(VLOOKUP(AG30,'C-1 On-Site WaterC'' Baseline'!C$1:AA$257,20,FALSE))))</f>
        <v/>
      </c>
      <c r="AU30" s="1532"/>
      <c r="AV30" s="1532"/>
      <c r="AW30" s="1533"/>
      <c r="AX30" s="1534" t="str">
        <f t="shared" si="4"/>
        <v/>
      </c>
      <c r="AY30" s="1534"/>
      <c r="AZ30" s="1535" t="str">
        <f t="shared" si="0"/>
        <v/>
      </c>
      <c r="BA30" s="1536"/>
      <c r="BB30" s="1536"/>
      <c r="BC30" s="1536"/>
      <c r="BD30" s="1537"/>
      <c r="BE30" s="676" t="str">
        <f>IFERROR(IF(LEN(VLOOKUP($AG30,'C-1 On-Site WaterC'' Baseline'!C$1:AE$257,26,FALSE))=0,"",IF(AG30="","",IF(ISNA(VLOOKUP($AG30,'C-1 On-Site WaterC'' Baseline'!C$1:AE$257,26,FALSE)),"",(VLOOKUP(AG30,'C-1 On-Site WaterC'' Baseline'!C$1:AE$257,26,FALSE))))),"")</f>
        <v/>
      </c>
      <c r="BF30" s="652" t="str">
        <f>IFERROR(IF(LEN(VLOOKUP($AG30,'C-1 On-Site WaterC'' Baseline'!C$1:AE$257,27,FALSE))=0,"",IF(AG30="","",IF(ISNA(VLOOKUP($AG30,'C-1 On-Site WaterC'' Baseline'!C$1:AE$257,27,FALSE)),"",(VLOOKUP(AG30,'C-1 On-Site WaterC'' Baseline'!C$1:AE$257,27,FALSE))))),"")</f>
        <v/>
      </c>
      <c r="BG30" s="687" t="str">
        <f>IFERROR(IF(LEN(VLOOKUP($AG30,'C-1 On-Site WaterC'' Baseline'!C$1:AE$257,28,FALSE))=0,"",IF(AG30="","",IF(ISNA(VLOOKUP($AG30,'C-1 On-Site WaterC'' Baseline'!C$1:AE$257,28,FALSE)),"",(VLOOKUP(AG30,'C-1 On-Site WaterC'' Baseline'!C$1:AE$257,28,FALSE))))),"")</f>
        <v/>
      </c>
      <c r="BH30" s="673" t="str">
        <f>IF('C-1 On-Site WaterC'' Baseline'!AU30="","",IF('C-1 On-Site WaterC'' Baseline'!AU30="Yes",TRUE,FALSE))</f>
        <v/>
      </c>
      <c r="BI30" s="673">
        <v>21</v>
      </c>
      <c r="BJ30" s="673" t="str">
        <f>IF('F-1 Off-Site WaterC'' Baseline'!AU30="","",IF('F-1 Off-Site WaterC'' Baseline'!AU30="Yes",TRUE,FALSE))</f>
        <v/>
      </c>
      <c r="BK30" s="673" t="str">
        <f t="shared" si="1"/>
        <v/>
      </c>
      <c r="BL30" s="673" t="str">
        <f>IF(AG30="","",IF(LEN(VLOOKUP($AG30,'C-1 On-Site WaterC'' Baseline'!$C$1:$AV$257,25,FALSE))=0,"",VLOOKUP(AG30,'C-1 On-Site WaterC'' Baseline'!$C$1:$AV$257,25,FALSE)))</f>
        <v/>
      </c>
      <c r="BM30" s="673" t="str">
        <f>IF(B30="","",IF(LEN(VLOOKUP($B30,'A-1 On-Site Habitat Baseline'!$D$1:$AV$258,22,FALSE))=0,"",(VLOOKUP(B30,'A-1 On-Site Habitat Baseline'!$D$1:$AV$258,22,FALSE))))</f>
        <v/>
      </c>
    </row>
    <row r="31" spans="2:65" s="675" customFormat="1" ht="44.9" customHeight="1" thickBot="1">
      <c r="B31" s="685" t="str" cm="1">
        <f t="array" ref="B31">IFERROR(INDEX($AD$10:$AD$259,MATCH(0,IF(TRUE=$AC$10:$AC$259,COUNTIF($B$9:B30,$AD$10:$AD$259),""),0)),"")</f>
        <v/>
      </c>
      <c r="C31" s="644"/>
      <c r="D31" s="644"/>
      <c r="E31" s="1572" t="str">
        <f>IF(B31="","",IF(ISNA(VLOOKUP($B31,'A-1 On-Site Habitat Baseline'!$D$1:$AV$258,45,FALSE)),"",(VLOOKUP(B31,'A-1 On-Site Habitat Baseline'!$D$1:$AV$258,45,FALSE))))</f>
        <v/>
      </c>
      <c r="F31" s="1572"/>
      <c r="G31" s="1572"/>
      <c r="H31" s="1574"/>
      <c r="I31" s="1574"/>
      <c r="J31" s="1574"/>
      <c r="K31" s="1538" t="str">
        <f>IF(B31="","",IF(ISNA(VLOOKUP($B31,'A-1 On-Site Habitat Baseline'!$D$1:$AV$258,5,FALSE)),"",(VLOOKUP(B31,'A-1 On-Site Habitat Baseline'!$D$1:$AV$258,5,FALSE))))</f>
        <v/>
      </c>
      <c r="L31" s="1538"/>
      <c r="M31" s="1538" t="str">
        <f>IF(B31="","",IF(ISNA(VLOOKUP($B31,'A-1 On-Site Habitat Baseline'!$D$1:$AV$258,16,FALSE)),"",(VLOOKUP(B31,'A-1 On-Site Habitat Baseline'!$D$1:$AV$258,16,FALSE))))</f>
        <v/>
      </c>
      <c r="N31" s="1538"/>
      <c r="O31" s="1538" t="str">
        <f>IF(B31="","",IF(ISNA(VLOOKUP($B31,'A-1 On-Site Habitat Baseline'!$D$1:$AV$258,17,FALSE)),"",(VLOOKUP(B31,'A-1 On-Site Habitat Baseline'!$D$1:$AV$258,17,FALSE))))</f>
        <v/>
      </c>
      <c r="P31" s="1538"/>
      <c r="Q31" s="1538"/>
      <c r="R31" s="1538"/>
      <c r="S31" s="1538" t="str">
        <f t="shared" si="2"/>
        <v/>
      </c>
      <c r="T31" s="1572"/>
      <c r="U31" s="650" t="str">
        <f t="shared" si="3"/>
        <v/>
      </c>
      <c r="V31" s="647"/>
      <c r="W31" s="647"/>
      <c r="X31" s="647"/>
      <c r="Y31" s="647"/>
      <c r="Z31" s="677" t="str">
        <f ca="1">IFERROR(IF(LEN(VLOOKUP($B31,'A-1 On-Site Habitat Baseline'!$D$1:$AV$258,23,FALSE))=0,"",IF(B31="","",IF(ISNA(VLOOKUP($B31,'A-1 On-Site Habitat Baseline'!$D$1:$AV$258,23,FALSE)),"",(VLOOKUP(B31,'A-1 On-Site Habitat Baseline'!$D$1:$AV$258,23,FALSE))))),"")</f>
        <v/>
      </c>
      <c r="AA31" s="651" t="str">
        <f ca="1">IFERROR(IF(LEN(VLOOKUP($B31,'A-1 On-Site Habitat Baseline'!$D$1:$AV$258,24,FALSE))=0,"",IF(B31="","",IF(ISNA(VLOOKUP($B31,'A-1 On-Site Habitat Baseline'!$D$1:$AV$258,24,FALSE)),"",(VLOOKUP(B31,'A-1 On-Site Habitat Baseline'!$D$1:$AV$258,24,FALSE))))),"")</f>
        <v/>
      </c>
      <c r="AB31" s="678" t="str">
        <f ca="1">IFERROR(IF(LEN(VLOOKUP($B31,'A-1 On-Site Habitat Baseline'!$D$1:$AV$258,25,FALSE))=0,"",IF(B31="","",IF(ISNA(VLOOKUP($B31,'A-1 On-Site Habitat Baseline'!$D$1:$AV$258,25,FALSE)),"",(VLOOKUP(B31,'A-1 On-Site Habitat Baseline'!$D$1:$AV$258,25,FALSE))))),"")</f>
        <v/>
      </c>
      <c r="AC31" s="672" t="str">
        <f>IF('A-1 On-Site Habitat Baseline'!G32="","",IF('A-1 On-Site Habitat Baseline'!G32="Yes",TRUE,FALSE))</f>
        <v/>
      </c>
      <c r="AD31" s="673">
        <v>22</v>
      </c>
      <c r="AE31" s="672" t="str">
        <f>IF('D-1 Off-Site Habitat Baseline'!G32="","",IF('D-1 Off-Site Habitat Baseline'!G32="Yes",TRUE,FALSE))</f>
        <v/>
      </c>
      <c r="AF31" s="672"/>
      <c r="AG31" s="643" t="str" cm="1">
        <f t="array" ref="AG31">IFERROR(INDEX($BI$10:$BI$259,MATCH(0,IF(TRUE=$BH$10:$BH$259,COUNTIF($AG$9:AG30,$BI$10:$BI$259),""),0)),"")</f>
        <v/>
      </c>
      <c r="AH31" s="644"/>
      <c r="AI31" s="644"/>
      <c r="AJ31" s="1572" t="str">
        <f>IF(BH31=FALSE,"",IF(ISNA(VLOOKUP(AG31,'C-1 On-Site WaterC'' Baseline'!C$1:D$257,2,FALSE)),"",(VLOOKUP(AG31,'C-1 On-Site WaterC'' Baseline'!C$1:D$257,2,FALSE))))</f>
        <v/>
      </c>
      <c r="AK31" s="1572"/>
      <c r="AL31" s="1572"/>
      <c r="AM31" s="1574"/>
      <c r="AN31" s="1574"/>
      <c r="AO31" s="1574"/>
      <c r="AP31" s="1538" t="str">
        <f>IF(AG31="","",IF(ISNA(VLOOKUP($AG31,'C-1 On-Site WaterC'' Baseline'!C$1:E$257,3,FALSE)),"",(VLOOKUP(AG31,'C-1 On-Site WaterC'' Baseline'!C$1:E$257,3,FALSE))))</f>
        <v/>
      </c>
      <c r="AQ31" s="1538"/>
      <c r="AR31" s="1539" t="str">
        <f>IF(AG31="","",IF(ISNA(VLOOKUP($AG31,'C-1 On-Site WaterC'' Baseline'!C$1:AA$257,19,FALSE)),"",(VLOOKUP(AG31,'C-1 On-Site WaterC'' Baseline'!C$1:AA$257,19,FALSE))))</f>
        <v/>
      </c>
      <c r="AS31" s="1540"/>
      <c r="AT31" s="1539" t="str">
        <f>IF(AG31="","",IF(ISNA(VLOOKUP($AG31,'C-1 On-Site WaterC'' Baseline'!C$1:AA$257,20,FALSE)),"",(VLOOKUP(AG31,'C-1 On-Site WaterC'' Baseline'!C$1:AA$257,20,FALSE))))</f>
        <v/>
      </c>
      <c r="AU31" s="1541"/>
      <c r="AV31" s="1541"/>
      <c r="AW31" s="1540"/>
      <c r="AX31" s="1538" t="str">
        <f t="shared" si="4"/>
        <v/>
      </c>
      <c r="AY31" s="1538"/>
      <c r="AZ31" s="1542" t="str">
        <f t="shared" si="0"/>
        <v/>
      </c>
      <c r="BA31" s="1543"/>
      <c r="BB31" s="1543"/>
      <c r="BC31" s="1543"/>
      <c r="BD31" s="1544"/>
      <c r="BE31" s="677" t="str">
        <f>IFERROR(IF(LEN(VLOOKUP($AG31,'C-1 On-Site WaterC'' Baseline'!C$1:AE$257,26,FALSE))=0,"",IF(AG31="","",IF(ISNA(VLOOKUP($AG31,'C-1 On-Site WaterC'' Baseline'!C$1:AE$257,26,FALSE)),"",(VLOOKUP(AG31,'C-1 On-Site WaterC'' Baseline'!C$1:AE$257,26,FALSE))))),"")</f>
        <v/>
      </c>
      <c r="BF31" s="651" t="str">
        <f>IFERROR(IF(LEN(VLOOKUP($AG31,'C-1 On-Site WaterC'' Baseline'!C$1:AE$257,27,FALSE))=0,"",IF(AG31="","",IF(ISNA(VLOOKUP($AG31,'C-1 On-Site WaterC'' Baseline'!C$1:AE$257,27,FALSE)),"",(VLOOKUP(AG31,'C-1 On-Site WaterC'' Baseline'!C$1:AE$257,27,FALSE))))),"")</f>
        <v/>
      </c>
      <c r="BG31" s="688" t="str">
        <f>IFERROR(IF(LEN(VLOOKUP($AG31,'C-1 On-Site WaterC'' Baseline'!C$1:AE$257,28,FALSE))=0,"",IF(AG31="","",IF(ISNA(VLOOKUP($AG31,'C-1 On-Site WaterC'' Baseline'!C$1:AE$257,28,FALSE)),"",(VLOOKUP(AG31,'C-1 On-Site WaterC'' Baseline'!C$1:AE$257,28,FALSE))))),"")</f>
        <v/>
      </c>
      <c r="BH31" s="673" t="str">
        <f>IF('C-1 On-Site WaterC'' Baseline'!AU31="","",IF('C-1 On-Site WaterC'' Baseline'!AU31="Yes",TRUE,FALSE))</f>
        <v/>
      </c>
      <c r="BI31" s="673">
        <v>22</v>
      </c>
      <c r="BJ31" s="673" t="str">
        <f>IF('F-1 Off-Site WaterC'' Baseline'!AU31="","",IF('F-1 Off-Site WaterC'' Baseline'!AU31="Yes",TRUE,FALSE))</f>
        <v/>
      </c>
      <c r="BK31" s="673" t="str">
        <f t="shared" si="1"/>
        <v/>
      </c>
      <c r="BL31" s="673" t="str">
        <f>IF(AG31="","",IF(LEN(VLOOKUP($AG31,'C-1 On-Site WaterC'' Baseline'!$C$1:$AV$257,25,FALSE))=0,"",VLOOKUP(AG31,'C-1 On-Site WaterC'' Baseline'!$C$1:$AV$257,25,FALSE)))</f>
        <v/>
      </c>
      <c r="BM31" s="673" t="str">
        <f>IF(B31="","",IF(LEN(VLOOKUP($B31,'A-1 On-Site Habitat Baseline'!$D$1:$AV$258,22,FALSE))=0,"",(VLOOKUP(B31,'A-1 On-Site Habitat Baseline'!$D$1:$AV$258,22,FALSE))))</f>
        <v/>
      </c>
    </row>
    <row r="32" spans="2:65" ht="51.65" customHeight="1" thickBot="1">
      <c r="B32" s="1560"/>
      <c r="C32" s="686"/>
      <c r="D32" s="686"/>
      <c r="E32" s="1509" t="s">
        <v>294</v>
      </c>
      <c r="F32" s="1509"/>
      <c r="G32" s="1509"/>
      <c r="H32" s="1509"/>
      <c r="I32" s="1509"/>
      <c r="J32" s="1510"/>
      <c r="K32" s="1568">
        <f>SUM(K10:L31)</f>
        <v>0</v>
      </c>
      <c r="L32" s="1568"/>
      <c r="M32" s="1519"/>
      <c r="N32" s="1520"/>
      <c r="O32" s="1520"/>
      <c r="P32" s="1520"/>
      <c r="Q32" s="1520"/>
      <c r="R32" s="1520"/>
      <c r="S32" s="1520"/>
      <c r="T32" s="1520"/>
      <c r="U32" s="1520"/>
      <c r="V32" s="1520"/>
      <c r="W32" s="1520"/>
      <c r="X32" s="1520"/>
      <c r="Y32" s="1520"/>
      <c r="Z32" s="1520"/>
      <c r="AA32" s="1520"/>
      <c r="AB32" s="1521"/>
      <c r="AC32" s="672" t="str">
        <f>IF('A-1 On-Site Habitat Baseline'!G33="","",IF('A-1 On-Site Habitat Baseline'!G33="Yes",TRUE,FALSE))</f>
        <v/>
      </c>
      <c r="AD32" s="673">
        <v>23</v>
      </c>
      <c r="AE32" s="672" t="str">
        <f>IF('D-1 Off-Site Habitat Baseline'!G33="","",IF('D-1 Off-Site Habitat Baseline'!G33="Yes",TRUE,FALSE))</f>
        <v/>
      </c>
      <c r="AG32" s="692"/>
      <c r="AH32" s="691"/>
      <c r="AI32" s="691"/>
      <c r="AJ32" s="1528" t="s">
        <v>295</v>
      </c>
      <c r="AK32" s="1528"/>
      <c r="AL32" s="1528"/>
      <c r="AM32" s="1528"/>
      <c r="AN32" s="1528"/>
      <c r="AO32" s="1529"/>
      <c r="AP32" s="1546">
        <f>SUM(AP10:AQ31)</f>
        <v>0</v>
      </c>
      <c r="AQ32" s="1547"/>
      <c r="AR32" s="1525"/>
      <c r="AS32" s="1526"/>
      <c r="AT32" s="1526"/>
      <c r="AU32" s="1526"/>
      <c r="AV32" s="1526"/>
      <c r="AW32" s="1526"/>
      <c r="AX32" s="1526"/>
      <c r="AY32" s="1526"/>
      <c r="AZ32" s="1526"/>
      <c r="BA32" s="1526"/>
      <c r="BB32" s="1526"/>
      <c r="BC32" s="1526"/>
      <c r="BD32" s="1526"/>
      <c r="BE32" s="1526"/>
      <c r="BF32" s="1526"/>
      <c r="BG32" s="1527"/>
      <c r="BH32" s="673" t="str">
        <f>IF('C-1 On-Site WaterC'' Baseline'!AU32="","",IF('C-1 On-Site WaterC'' Baseline'!AU32="Yes",TRUE,FALSE))</f>
        <v/>
      </c>
      <c r="BI32" s="673">
        <v>23</v>
      </c>
      <c r="BJ32" s="673" t="str">
        <f>IF('F-1 Off-Site WaterC'' Baseline'!AU32="","",IF('F-1 Off-Site WaterC'' Baseline'!AU32="Yes",TRUE,FALSE))</f>
        <v/>
      </c>
      <c r="BK32" s="673"/>
      <c r="BL32" s="673"/>
      <c r="BM32" s="673"/>
    </row>
    <row r="33" spans="2:65" ht="47.9" customHeight="1" thickBot="1">
      <c r="B33" s="1561"/>
      <c r="E33" s="1580" t="s">
        <v>296</v>
      </c>
      <c r="F33" s="1581"/>
      <c r="G33" s="1581"/>
      <c r="H33" s="1581"/>
      <c r="I33" s="1581"/>
      <c r="J33" s="1582"/>
      <c r="K33" s="1511">
        <f>SUMIFS($K$10:$K$31,$E$10:$E$31,"&lt;&gt;"&amp;'G-1 All Habitats'!B80,$E$10:$E$31,"&lt;&gt;"&amp;'G-1 All Habitats'!B81,$E$10:$E$31,"&lt;&gt;"&amp;'G-1 All Habitats'!B67,$E$10:$E$31,"&lt;&gt;"&amp;'G-1 All Habitats'!B68,E10:E31,"&lt;&gt;"&amp;'G-1 All Habitats'!B134)</f>
        <v>0</v>
      </c>
      <c r="L33" s="1512"/>
      <c r="M33" s="1522"/>
      <c r="N33" s="1523"/>
      <c r="O33" s="1523"/>
      <c r="P33" s="1523"/>
      <c r="Q33" s="1523"/>
      <c r="R33" s="1523"/>
      <c r="S33" s="1523"/>
      <c r="T33" s="1523"/>
      <c r="U33" s="1523"/>
      <c r="V33" s="1523"/>
      <c r="W33" s="1523"/>
      <c r="X33" s="1523"/>
      <c r="Y33" s="1523"/>
      <c r="Z33" s="1523"/>
      <c r="AA33" s="1523"/>
      <c r="AB33" s="1524"/>
      <c r="AC33" s="672" t="str">
        <f>IF('A-1 On-Site Habitat Baseline'!G34="","",IF('A-1 On-Site Habitat Baseline'!G34="Yes",TRUE,FALSE))</f>
        <v/>
      </c>
      <c r="AD33" s="673">
        <v>24</v>
      </c>
      <c r="AE33" s="672" t="str">
        <f>IF('D-1 Off-Site Habitat Baseline'!G34="","",IF('D-1 Off-Site Habitat Baseline'!G34="Yes",TRUE,FALSE))</f>
        <v/>
      </c>
      <c r="AJ33" s="1"/>
      <c r="BH33" s="673" t="str">
        <f>IF('C-1 On-Site WaterC'' Baseline'!AU33="","",IF('C-1 On-Site WaterC'' Baseline'!AU33="Yes",TRUE,FALSE))</f>
        <v/>
      </c>
      <c r="BI33" s="673">
        <v>24</v>
      </c>
      <c r="BJ33" s="673" t="str">
        <f>IF('F-1 Off-Site WaterC'' Baseline'!AU33="","",IF('F-1 Off-Site WaterC'' Baseline'!AU33="Yes",TRUE,FALSE))</f>
        <v/>
      </c>
      <c r="BK33" s="673"/>
      <c r="BL33" s="673"/>
      <c r="BM33" s="673"/>
    </row>
    <row r="34" spans="29:65" ht="19.5" customHeight="1" thickBot="1">
      <c r="AC34" s="672" t="str">
        <f>IF('A-1 On-Site Habitat Baseline'!G35="","",IF('A-1 On-Site Habitat Baseline'!G35="Yes",TRUE,FALSE))</f>
        <v/>
      </c>
      <c r="AD34" s="673">
        <v>25</v>
      </c>
      <c r="AE34" s="672" t="str">
        <f>IF('D-1 Off-Site Habitat Baseline'!G35="","",IF('D-1 Off-Site Habitat Baseline'!G35="Yes",TRUE,FALSE))</f>
        <v/>
      </c>
      <c r="AJ34" s="1"/>
      <c r="BG34" s="654" t="str">
        <f>IFERROR(IF(LEN(VLOOKUP($AG34,'C-1 On-Site WaterC'' Baseline'!C$1:AE$257,27,FALSE))=0,"",IF(AG34="","",IF(ISNA(VLOOKUP($AG34,'C-1 On-Site WaterC'' Baseline'!C$1:AE$257,27,FALSE)),"",(VLOOKUP(AG34,'C-1 On-Site WaterC'' Baseline'!C$1:AE$257,27,FALSE))))),"")</f>
        <v/>
      </c>
      <c r="BH34" s="673" t="str">
        <f>IF('C-1 On-Site WaterC'' Baseline'!AU34="","",IF('C-1 On-Site WaterC'' Baseline'!AU34="Yes",TRUE,FALSE))</f>
        <v/>
      </c>
      <c r="BI34" s="673">
        <v>25</v>
      </c>
      <c r="BJ34" s="673" t="str">
        <f>IF('F-1 Off-Site WaterC'' Baseline'!AU34="","",IF('F-1 Off-Site WaterC'' Baseline'!AU34="Yes",TRUE,FALSE))</f>
        <v/>
      </c>
      <c r="BK34" s="673"/>
      <c r="BL34" s="673"/>
      <c r="BM34" s="673"/>
    </row>
    <row r="35" spans="2:65" ht="31.4" customHeight="1">
      <c r="B35" s="1548" t="s">
        <v>297</v>
      </c>
      <c r="C35" s="1549"/>
      <c r="D35" s="1549"/>
      <c r="E35" s="1549"/>
      <c r="F35" s="1549"/>
      <c r="G35" s="1549"/>
      <c r="H35" s="1549"/>
      <c r="I35" s="1549"/>
      <c r="J35" s="1549"/>
      <c r="K35" s="1549"/>
      <c r="L35" s="1549"/>
      <c r="M35" s="1549"/>
      <c r="N35" s="1549"/>
      <c r="O35" s="1549"/>
      <c r="P35" s="1549"/>
      <c r="Q35" s="1549"/>
      <c r="R35" s="1549"/>
      <c r="S35" s="1549"/>
      <c r="T35" s="1549"/>
      <c r="U35" s="1549"/>
      <c r="V35" s="1549"/>
      <c r="W35" s="1549"/>
      <c r="X35" s="1549"/>
      <c r="Y35" s="1549"/>
      <c r="Z35" s="1549"/>
      <c r="AA35" s="1549"/>
      <c r="AB35" s="1550"/>
      <c r="AC35" s="672" t="str">
        <f>IF('A-1 On-Site Habitat Baseline'!G36="","",IF('A-1 On-Site Habitat Baseline'!G36="Yes",TRUE,FALSE))</f>
        <v/>
      </c>
      <c r="AD35" s="673">
        <v>26</v>
      </c>
      <c r="AE35" s="672" t="str">
        <f>IF('D-1 Off-Site Habitat Baseline'!G36="","",IF('D-1 Off-Site Habitat Baseline'!G36="Yes",TRUE,FALSE))</f>
        <v/>
      </c>
      <c r="AG35" s="1583" t="s">
        <v>298</v>
      </c>
      <c r="AH35" s="1584"/>
      <c r="AI35" s="1584"/>
      <c r="AJ35" s="1584"/>
      <c r="AK35" s="1584"/>
      <c r="AL35" s="1584"/>
      <c r="AM35" s="1584"/>
      <c r="AN35" s="1584"/>
      <c r="AO35" s="1584"/>
      <c r="AP35" s="1584"/>
      <c r="AQ35" s="1584"/>
      <c r="AR35" s="1584"/>
      <c r="AS35" s="1584"/>
      <c r="AT35" s="1584"/>
      <c r="AU35" s="1584"/>
      <c r="AV35" s="1584"/>
      <c r="AW35" s="1584"/>
      <c r="AX35" s="1584"/>
      <c r="AY35" s="1584"/>
      <c r="AZ35" s="1584"/>
      <c r="BA35" s="1584"/>
      <c r="BB35" s="1584"/>
      <c r="BC35" s="1584"/>
      <c r="BD35" s="1584"/>
      <c r="BE35" s="1584"/>
      <c r="BF35" s="1584"/>
      <c r="BG35" s="1585"/>
      <c r="BH35" s="673" t="str">
        <f>IF('C-1 On-Site WaterC'' Baseline'!AU35="","",IF('C-1 On-Site WaterC'' Baseline'!AU35="Yes",TRUE,FALSE))</f>
        <v/>
      </c>
      <c r="BI35" s="673">
        <v>26</v>
      </c>
      <c r="BJ35" s="673" t="str">
        <f>IF('F-1 Off-Site WaterC'' Baseline'!AU35="","",IF('F-1 Off-Site WaterC'' Baseline'!AU35="Yes",TRUE,FALSE))</f>
        <v/>
      </c>
      <c r="BK35" s="673"/>
      <c r="BL35" s="673"/>
      <c r="BM35" s="673"/>
    </row>
    <row r="36" spans="2:65" ht="7.5" customHeight="1" thickBot="1">
      <c r="B36" s="1551"/>
      <c r="C36" s="1552"/>
      <c r="D36" s="1552"/>
      <c r="E36" s="1552"/>
      <c r="F36" s="1552"/>
      <c r="G36" s="1552"/>
      <c r="H36" s="1552"/>
      <c r="I36" s="1552"/>
      <c r="J36" s="1552"/>
      <c r="K36" s="1552"/>
      <c r="L36" s="1552"/>
      <c r="M36" s="1552"/>
      <c r="N36" s="1552"/>
      <c r="O36" s="1552"/>
      <c r="P36" s="1552"/>
      <c r="Q36" s="1552"/>
      <c r="R36" s="1552"/>
      <c r="S36" s="1552"/>
      <c r="T36" s="1552"/>
      <c r="U36" s="1552"/>
      <c r="V36" s="1552"/>
      <c r="W36" s="1552"/>
      <c r="X36" s="1552"/>
      <c r="Y36" s="1552"/>
      <c r="Z36" s="1552"/>
      <c r="AA36" s="1552"/>
      <c r="AB36" s="1553"/>
      <c r="AC36" s="672" t="str">
        <f>IF('A-1 On-Site Habitat Baseline'!G37="","",IF('A-1 On-Site Habitat Baseline'!G37="Yes",TRUE,FALSE))</f>
        <v/>
      </c>
      <c r="AD36" s="673">
        <v>27</v>
      </c>
      <c r="AE36" s="672" t="str">
        <f>IF('D-1 Off-Site Habitat Baseline'!G37="","",IF('D-1 Off-Site Habitat Baseline'!G37="Yes",TRUE,FALSE))</f>
        <v/>
      </c>
      <c r="AG36" s="1586"/>
      <c r="AH36" s="1587"/>
      <c r="AI36" s="1587"/>
      <c r="AJ36" s="1587"/>
      <c r="AK36" s="1587"/>
      <c r="AL36" s="1587"/>
      <c r="AM36" s="1587"/>
      <c r="AN36" s="1587"/>
      <c r="AO36" s="1587"/>
      <c r="AP36" s="1587"/>
      <c r="AQ36" s="1587"/>
      <c r="AR36" s="1587"/>
      <c r="AS36" s="1587"/>
      <c r="AT36" s="1587"/>
      <c r="AU36" s="1587"/>
      <c r="AV36" s="1587"/>
      <c r="AW36" s="1587"/>
      <c r="AX36" s="1587"/>
      <c r="AY36" s="1587"/>
      <c r="AZ36" s="1587"/>
      <c r="BA36" s="1587"/>
      <c r="BB36" s="1587"/>
      <c r="BC36" s="1587"/>
      <c r="BD36" s="1587"/>
      <c r="BE36" s="1587"/>
      <c r="BF36" s="1587"/>
      <c r="BG36" s="1588"/>
      <c r="BH36" s="673" t="str">
        <f>IF('C-1 On-Site WaterC'' Baseline'!AU36="","",IF('C-1 On-Site WaterC'' Baseline'!AU36="Yes",TRUE,FALSE))</f>
        <v/>
      </c>
      <c r="BI36" s="673">
        <v>27</v>
      </c>
      <c r="BJ36" s="673" t="str">
        <f>IF('F-1 Off-Site WaterC'' Baseline'!AU36="","",IF('F-1 Off-Site WaterC'' Baseline'!AU36="Yes",TRUE,FALSE))</f>
        <v/>
      </c>
      <c r="BK36" s="673"/>
      <c r="BL36" s="673"/>
      <c r="BM36" s="673"/>
    </row>
    <row r="37" spans="2:65" ht="15.65" customHeight="1">
      <c r="B37" s="1554" t="s">
        <v>299</v>
      </c>
      <c r="C37" s="1555"/>
      <c r="D37" s="1555"/>
      <c r="E37" s="1555"/>
      <c r="F37" s="1555"/>
      <c r="G37" s="1555"/>
      <c r="H37" s="1555"/>
      <c r="I37" s="1555"/>
      <c r="J37" s="1555"/>
      <c r="K37" s="1555"/>
      <c r="L37" s="1555"/>
      <c r="M37" s="1555"/>
      <c r="N37" s="1555"/>
      <c r="O37" s="1555"/>
      <c r="P37" s="1555"/>
      <c r="Q37" s="1555"/>
      <c r="R37" s="1555"/>
      <c r="S37" s="1555"/>
      <c r="T37" s="1555"/>
      <c r="U37" s="1555"/>
      <c r="V37" s="1555"/>
      <c r="W37" s="1555"/>
      <c r="X37" s="1555"/>
      <c r="Y37" s="1555"/>
      <c r="Z37" s="1555"/>
      <c r="AA37" s="1555"/>
      <c r="AB37" s="1556"/>
      <c r="AC37" s="672" t="str">
        <f>IF('A-1 On-Site Habitat Baseline'!G38="","",IF('A-1 On-Site Habitat Baseline'!G38="Yes",TRUE,FALSE))</f>
        <v/>
      </c>
      <c r="AD37" s="673">
        <v>28</v>
      </c>
      <c r="AE37" s="672" t="str">
        <f>IF('D-1 Off-Site Habitat Baseline'!G38="","",IF('D-1 Off-Site Habitat Baseline'!G38="Yes",TRUE,FALSE))</f>
        <v/>
      </c>
      <c r="AG37" s="1554" t="s">
        <v>300</v>
      </c>
      <c r="AH37" s="1555"/>
      <c r="AI37" s="1555"/>
      <c r="AJ37" s="1555"/>
      <c r="AK37" s="1555"/>
      <c r="AL37" s="1555"/>
      <c r="AM37" s="1555"/>
      <c r="AN37" s="1555"/>
      <c r="AO37" s="1555"/>
      <c r="AP37" s="1555"/>
      <c r="AQ37" s="1555"/>
      <c r="AR37" s="1555"/>
      <c r="AS37" s="1555"/>
      <c r="AT37" s="1555"/>
      <c r="AU37" s="1555"/>
      <c r="AV37" s="1555"/>
      <c r="AW37" s="1555"/>
      <c r="AX37" s="1555"/>
      <c r="AY37" s="1555"/>
      <c r="AZ37" s="1555"/>
      <c r="BA37" s="1555"/>
      <c r="BB37" s="1555"/>
      <c r="BC37" s="1555"/>
      <c r="BD37" s="1555"/>
      <c r="BE37" s="1555"/>
      <c r="BF37" s="1555"/>
      <c r="BG37" s="1556"/>
      <c r="BH37" s="673" t="str">
        <f>IF('C-1 On-Site WaterC'' Baseline'!AU37="","",IF('C-1 On-Site WaterC'' Baseline'!AU37="Yes",TRUE,FALSE))</f>
        <v/>
      </c>
      <c r="BI37" s="673">
        <v>28</v>
      </c>
      <c r="BJ37" s="673" t="str">
        <f>IF('F-1 Off-Site WaterC'' Baseline'!AU37="","",IF('F-1 Off-Site WaterC'' Baseline'!AU37="Yes",TRUE,FALSE))</f>
        <v/>
      </c>
      <c r="BK37" s="673"/>
      <c r="BL37" s="673"/>
      <c r="BM37" s="673"/>
    </row>
    <row r="38" spans="2:65" ht="7.4" customHeight="1" thickBot="1">
      <c r="B38" s="1557"/>
      <c r="C38" s="1558"/>
      <c r="D38" s="1558"/>
      <c r="E38" s="1558"/>
      <c r="F38" s="1558"/>
      <c r="G38" s="1558"/>
      <c r="H38" s="1558"/>
      <c r="I38" s="1558"/>
      <c r="J38" s="1558"/>
      <c r="K38" s="1558"/>
      <c r="L38" s="1558"/>
      <c r="M38" s="1558"/>
      <c r="N38" s="1558"/>
      <c r="O38" s="1558"/>
      <c r="P38" s="1558"/>
      <c r="Q38" s="1558"/>
      <c r="R38" s="1558"/>
      <c r="S38" s="1558"/>
      <c r="T38" s="1558"/>
      <c r="U38" s="1558"/>
      <c r="V38" s="1558"/>
      <c r="W38" s="1558"/>
      <c r="X38" s="1558"/>
      <c r="Y38" s="1558"/>
      <c r="Z38" s="1558"/>
      <c r="AA38" s="1558"/>
      <c r="AB38" s="1559"/>
      <c r="AC38" s="672" t="str">
        <f>IF('A-1 On-Site Habitat Baseline'!G39="","",IF('A-1 On-Site Habitat Baseline'!G39="Yes",TRUE,FALSE))</f>
        <v/>
      </c>
      <c r="AD38" s="673">
        <v>29</v>
      </c>
      <c r="AE38" s="672" t="str">
        <f>IF('D-1 Off-Site Habitat Baseline'!G39="","",IF('D-1 Off-Site Habitat Baseline'!G39="Yes",TRUE,FALSE))</f>
        <v/>
      </c>
      <c r="AG38" s="1557"/>
      <c r="AH38" s="1558"/>
      <c r="AI38" s="1558"/>
      <c r="AJ38" s="1558"/>
      <c r="AK38" s="1558"/>
      <c r="AL38" s="1558"/>
      <c r="AM38" s="1558"/>
      <c r="AN38" s="1558"/>
      <c r="AO38" s="1558"/>
      <c r="AP38" s="1558"/>
      <c r="AQ38" s="1558"/>
      <c r="AR38" s="1558"/>
      <c r="AS38" s="1558"/>
      <c r="AT38" s="1558"/>
      <c r="AU38" s="1558"/>
      <c r="AV38" s="1558"/>
      <c r="AW38" s="1558"/>
      <c r="AX38" s="1558"/>
      <c r="AY38" s="1558"/>
      <c r="AZ38" s="1558"/>
      <c r="BA38" s="1558"/>
      <c r="BB38" s="1558"/>
      <c r="BC38" s="1558"/>
      <c r="BD38" s="1558"/>
      <c r="BE38" s="1558"/>
      <c r="BF38" s="1558"/>
      <c r="BG38" s="1559"/>
      <c r="BH38" s="673" t="str">
        <f>IF('C-1 On-Site WaterC'' Baseline'!AU38="","",IF('C-1 On-Site WaterC'' Baseline'!AU38="Yes",TRUE,FALSE))</f>
        <v/>
      </c>
      <c r="BI38" s="673">
        <v>29</v>
      </c>
      <c r="BJ38" s="673" t="str">
        <f>IF('F-1 Off-Site WaterC'' Baseline'!AU38="","",IF('F-1 Off-Site WaterC'' Baseline'!AU38="Yes",TRUE,FALSE))</f>
        <v/>
      </c>
      <c r="BK38" s="673"/>
      <c r="BL38" s="673"/>
      <c r="BM38" s="673"/>
    </row>
    <row r="39" spans="2:65" ht="16.4" customHeight="1" hidden="1">
      <c r="B39" s="681"/>
      <c r="C39" s="656"/>
      <c r="D39" s="656"/>
      <c r="E39" s="656"/>
      <c r="F39" s="656"/>
      <c r="G39" s="656"/>
      <c r="H39" s="656"/>
      <c r="I39" s="656"/>
      <c r="J39" s="656"/>
      <c r="K39" s="656"/>
      <c r="L39" s="656"/>
      <c r="M39" s="656"/>
      <c r="N39" s="656"/>
      <c r="O39" s="656"/>
      <c r="P39" s="656"/>
      <c r="Q39" s="656"/>
      <c r="R39" s="656"/>
      <c r="S39" s="656"/>
      <c r="T39" s="656"/>
      <c r="U39" s="656"/>
      <c r="V39" s="656"/>
      <c r="W39" s="656"/>
      <c r="X39" s="656"/>
      <c r="Y39" s="656"/>
      <c r="Z39" s="656"/>
      <c r="AC39" s="672" t="str">
        <f>IF('A-1 On-Site Habitat Baseline'!G40="","",IF('A-1 On-Site Habitat Baseline'!G40="Yes",TRUE,FALSE))</f>
        <v/>
      </c>
      <c r="AD39" s="673">
        <v>30</v>
      </c>
      <c r="AE39" s="672" t="str">
        <f>IF('D-1 Off-Site Habitat Baseline'!G40="","",IF('D-1 Off-Site Habitat Baseline'!G40="Yes",TRUE,FALSE))</f>
        <v/>
      </c>
      <c r="AG39" s="655"/>
      <c r="AH39" s="656"/>
      <c r="AI39" s="656"/>
      <c r="AJ39" s="656"/>
      <c r="AK39" s="656"/>
      <c r="AL39" s="656"/>
      <c r="AM39" s="656"/>
      <c r="AN39" s="656"/>
      <c r="AO39" s="656"/>
      <c r="AP39" s="707"/>
      <c r="AQ39" s="707"/>
      <c r="AR39" s="707"/>
      <c r="AS39" s="707"/>
      <c r="AT39" s="656"/>
      <c r="AU39" s="656"/>
      <c r="AV39" s="656"/>
      <c r="AW39" s="656"/>
      <c r="AX39" s="710"/>
      <c r="AY39" s="710"/>
      <c r="AZ39" s="656"/>
      <c r="BA39" s="656"/>
      <c r="BB39" s="656"/>
      <c r="BC39" s="656"/>
      <c r="BD39" s="656"/>
      <c r="BE39" s="656"/>
      <c r="BF39" s="656"/>
      <c r="BG39" s="654" t="str">
        <f>IFERROR(IF(LEN(VLOOKUP($AG39,'C-1 On-Site WaterC'' Baseline'!C$1:AE$257,27,FALSE))=0,"",IF(AG39="","",IF(ISNA(VLOOKUP($AG39,'C-1 On-Site WaterC'' Baseline'!C$1:AE$257,27,FALSE)),"",(VLOOKUP(AG39,'C-1 On-Site WaterC'' Baseline'!C$1:AE$257,27,FALSE))))),"")</f>
        <v/>
      </c>
      <c r="BH39" s="673" t="str">
        <f>IF('C-1 On-Site WaterC'' Baseline'!AU39="","",IF('C-1 On-Site WaterC'' Baseline'!AU39="Yes",TRUE,FALSE))</f>
        <v/>
      </c>
      <c r="BI39" s="673">
        <v>30</v>
      </c>
      <c r="BJ39" s="673" t="str">
        <f>IF('F-1 Off-Site WaterC'' Baseline'!AU39="","",IF('F-1 Off-Site WaterC'' Baseline'!AU39="Yes",TRUE,FALSE))</f>
        <v/>
      </c>
      <c r="BK39" s="673" t="str">
        <f>IF(AG39="","",IF(AND(AG39&lt;&gt;"",AX39&gt;0,AZ39&lt;&gt;"Yes ✓"),"","Irreplaceable habitat lost, bespoke compensation must be agreed with concenting body ▲"))</f>
        <v/>
      </c>
      <c r="BL39" s="673" t="str">
        <f>IF(AG39="","",IF(LEN(VLOOKUP($AG39,'C-1 On-Site WaterC'' Baseline'!$C$1:$AV$257,25,FALSE))=0,"",VLOOKUP(AG39,'C-1 On-Site WaterC'' Baseline'!$C$1:$AV$257,25,FALSE)))</f>
        <v/>
      </c>
      <c r="BM39" s="673" t="str">
        <f>IF(B39="","",IF(LEN(VLOOKUP($B39,'A-1 On-Site Habitat Baseline'!$D$1:$AV$258,22,FALSE))=0,"",(VLOOKUP(B39,'A-1 On-Site Habitat Baseline'!$D$1:$AV$258,22,FALSE))))</f>
        <v/>
      </c>
    </row>
    <row r="40" spans="2:65" ht="15.5" hidden="1">
      <c r="B40" s="681"/>
      <c r="C40" s="656"/>
      <c r="D40" s="656"/>
      <c r="E40" s="656"/>
      <c r="F40" s="656"/>
      <c r="G40" s="656"/>
      <c r="H40" s="656"/>
      <c r="I40" s="656"/>
      <c r="J40" s="656"/>
      <c r="K40" s="656"/>
      <c r="L40" s="656"/>
      <c r="M40" s="656"/>
      <c r="N40" s="656"/>
      <c r="O40" s="656"/>
      <c r="P40" s="656"/>
      <c r="Q40" s="656"/>
      <c r="R40" s="656"/>
      <c r="S40" s="656"/>
      <c r="T40" s="656"/>
      <c r="U40" s="656"/>
      <c r="V40" s="656"/>
      <c r="W40" s="656"/>
      <c r="X40" s="656"/>
      <c r="Y40" s="656"/>
      <c r="Z40" s="656"/>
      <c r="AC40" s="672" t="str">
        <f>IF('A-1 On-Site Habitat Baseline'!G41="","",IF('A-1 On-Site Habitat Baseline'!G41="Yes",TRUE,FALSE))</f>
        <v/>
      </c>
      <c r="AD40" s="673">
        <v>31</v>
      </c>
      <c r="AE40" s="672" t="str">
        <f>IF('D-1 Off-Site Habitat Baseline'!G41="","",IF('D-1 Off-Site Habitat Baseline'!G41="Yes",TRUE,FALSE))</f>
        <v/>
      </c>
      <c r="AG40" s="655"/>
      <c r="AH40" s="656"/>
      <c r="AI40" s="656"/>
      <c r="AJ40" s="656"/>
      <c r="AK40" s="656"/>
      <c r="AL40" s="656"/>
      <c r="AM40" s="656"/>
      <c r="AN40" s="656"/>
      <c r="AO40" s="656"/>
      <c r="AP40" s="707"/>
      <c r="AQ40" s="707"/>
      <c r="AR40" s="707"/>
      <c r="AS40" s="707"/>
      <c r="AT40" s="656"/>
      <c r="AU40" s="656"/>
      <c r="AV40" s="656"/>
      <c r="AW40" s="656"/>
      <c r="AX40" s="710"/>
      <c r="AY40" s="710"/>
      <c r="AZ40" s="656"/>
      <c r="BA40" s="656"/>
      <c r="BB40" s="656"/>
      <c r="BC40" s="656"/>
      <c r="BD40" s="656"/>
      <c r="BE40" s="656"/>
      <c r="BF40" s="656"/>
      <c r="BG40" s="654" t="str">
        <f>IFERROR(IF(LEN(VLOOKUP($AG40,'C-1 On-Site WaterC'' Baseline'!C$1:AE$257,27,FALSE))=0,"",IF(AG40="","",IF(ISNA(VLOOKUP($AG40,'C-1 On-Site WaterC'' Baseline'!C$1:AE$257,27,FALSE)),"",(VLOOKUP(AG40,'C-1 On-Site WaterC'' Baseline'!C$1:AE$257,27,FALSE))))),"")</f>
        <v/>
      </c>
      <c r="BH40" s="673" t="str">
        <f>IF('C-1 On-Site WaterC'' Baseline'!AU40="","",IF('C-1 On-Site WaterC'' Baseline'!AU40="Yes",TRUE,FALSE))</f>
        <v/>
      </c>
      <c r="BI40" s="673">
        <v>31</v>
      </c>
      <c r="BJ40" s="673" t="str">
        <f>IF('F-1 Off-Site WaterC'' Baseline'!AU40="","",IF('F-1 Off-Site WaterC'' Baseline'!AU40="Yes",TRUE,FALSE))</f>
        <v/>
      </c>
      <c r="BK40" s="673" t="str">
        <f>IF(AG40="","",IF(AND(AG40&lt;&gt;"",AX40&gt;0,AZ40&lt;&gt;"Yes ✓"),"","Irreplaceable habitat lost, bespoke compensation must be agreed with concenting body ▲"))</f>
        <v/>
      </c>
      <c r="BL40" s="673" t="str">
        <f>IF(AG40="","",IF(LEN(VLOOKUP($AG40,'C-1 On-Site WaterC'' Baseline'!$C$1:$AV$257,25,FALSE))=0,"",VLOOKUP(AG40,'C-1 On-Site WaterC'' Baseline'!$C$1:$AV$257,25,FALSE)))</f>
        <v/>
      </c>
      <c r="BM40" s="673" t="str">
        <f>IF(B40="","",IF(LEN(VLOOKUP($B40,'A-1 On-Site Habitat Baseline'!$D$1:$AV$258,22,FALSE))=0,"",(VLOOKUP(B40,'A-1 On-Site Habitat Baseline'!$D$1:$AV$258,22,FALSE))))</f>
        <v/>
      </c>
    </row>
    <row r="41" spans="2:65" ht="16.4" customHeight="1" hidden="1" thickBot="1">
      <c r="B41" s="682"/>
      <c r="C41" s="659"/>
      <c r="D41" s="659"/>
      <c r="E41" s="659"/>
      <c r="F41" s="659"/>
      <c r="G41" s="659"/>
      <c r="H41" s="659"/>
      <c r="I41" s="659"/>
      <c r="J41" s="659"/>
      <c r="K41" s="659"/>
      <c r="L41" s="659"/>
      <c r="M41" s="659"/>
      <c r="N41" s="659"/>
      <c r="O41" s="659"/>
      <c r="P41" s="659"/>
      <c r="Q41" s="659"/>
      <c r="R41" s="659"/>
      <c r="S41" s="659"/>
      <c r="T41" s="659"/>
      <c r="U41" s="659"/>
      <c r="V41" s="659"/>
      <c r="W41" s="659"/>
      <c r="X41" s="659"/>
      <c r="Y41" s="659"/>
      <c r="Z41" s="659"/>
      <c r="AC41" s="672" t="str">
        <f>IF('A-1 On-Site Habitat Baseline'!G42="","",IF('A-1 On-Site Habitat Baseline'!G42="Yes",TRUE,FALSE))</f>
        <v/>
      </c>
      <c r="AD41" s="673">
        <v>32</v>
      </c>
      <c r="AE41" s="672" t="str">
        <f>IF('D-1 Off-Site Habitat Baseline'!G42="","",IF('D-1 Off-Site Habitat Baseline'!G42="Yes",TRUE,FALSE))</f>
        <v/>
      </c>
      <c r="AG41" s="658"/>
      <c r="AH41" s="659"/>
      <c r="AI41" s="659"/>
      <c r="AJ41" s="659"/>
      <c r="AK41" s="659"/>
      <c r="AL41" s="659"/>
      <c r="AM41" s="659"/>
      <c r="AN41" s="659"/>
      <c r="AO41" s="659"/>
      <c r="AP41" s="708"/>
      <c r="AQ41" s="708"/>
      <c r="AR41" s="708"/>
      <c r="AS41" s="708"/>
      <c r="AT41" s="659"/>
      <c r="AU41" s="659"/>
      <c r="AV41" s="659"/>
      <c r="AW41" s="659"/>
      <c r="AX41" s="711"/>
      <c r="AY41" s="711"/>
      <c r="AZ41" s="659"/>
      <c r="BA41" s="659"/>
      <c r="BB41" s="659"/>
      <c r="BC41" s="659"/>
      <c r="BD41" s="659"/>
      <c r="BE41" s="659"/>
      <c r="BF41" s="656"/>
      <c r="BG41" s="654" t="str">
        <f>IFERROR(IF(LEN(VLOOKUP($AG41,'C-1 On-Site WaterC'' Baseline'!C$1:AE$257,27,FALSE))=0,"",IF(AG41="","",IF(ISNA(VLOOKUP($AG41,'C-1 On-Site WaterC'' Baseline'!C$1:AE$257,27,FALSE)),"",(VLOOKUP(AG41,'C-1 On-Site WaterC'' Baseline'!C$1:AE$257,27,FALSE))))),"")</f>
        <v/>
      </c>
      <c r="BH41" s="673" t="str">
        <f>IF('C-1 On-Site WaterC'' Baseline'!AU41="","",IF('C-1 On-Site WaterC'' Baseline'!AU41="Yes",TRUE,FALSE))</f>
        <v/>
      </c>
      <c r="BI41" s="673">
        <v>32</v>
      </c>
      <c r="BJ41" s="673" t="str">
        <f>IF('F-1 Off-Site WaterC'' Baseline'!AU41="","",IF('F-1 Off-Site WaterC'' Baseline'!AU41="Yes",TRUE,FALSE))</f>
        <v/>
      </c>
      <c r="BK41" s="673" t="str">
        <f>IF(AG41="","",IF(AND(AG41&lt;&gt;"",AX41&gt;0,AZ41&lt;&gt;"Yes ✓"),"","Irreplaceable habitat lost, bespoke compensation must be agreed with concenting body ▲"))</f>
        <v/>
      </c>
      <c r="BL41" s="673" t="str">
        <f>IF(AG41="","",IF(LEN(VLOOKUP($AG41,'C-1 On-Site WaterC'' Baseline'!$C$1:$AV$257,25,FALSE))=0,"",VLOOKUP(AG41,'C-1 On-Site WaterC'' Baseline'!$C$1:$AV$257,25,FALSE)))</f>
        <v/>
      </c>
      <c r="BM41" s="673" t="str">
        <f>IF(B41="","",IF(LEN(VLOOKUP($B41,'A-1 On-Site Habitat Baseline'!$D$1:$AV$258,22,FALSE))=0,"",(VLOOKUP(B41,'A-1 On-Site Habitat Baseline'!$D$1:$AV$258,22,FALSE))))</f>
        <v/>
      </c>
    </row>
    <row r="42" spans="2:65" ht="62.9" customHeight="1" thickBot="1">
      <c r="B42" s="662" t="s">
        <v>270</v>
      </c>
      <c r="C42" s="660"/>
      <c r="D42" s="661"/>
      <c r="E42" s="1577" t="s">
        <v>301</v>
      </c>
      <c r="F42" s="1579"/>
      <c r="G42" s="1579"/>
      <c r="H42" s="1569" t="s">
        <v>272</v>
      </c>
      <c r="I42" s="1571"/>
      <c r="J42" s="1570"/>
      <c r="K42" s="1569" t="s">
        <v>273</v>
      </c>
      <c r="L42" s="1570"/>
      <c r="M42" s="1577" t="s">
        <v>274</v>
      </c>
      <c r="N42" s="1578"/>
      <c r="O42" s="1569" t="s">
        <v>275</v>
      </c>
      <c r="P42" s="1571"/>
      <c r="Q42" s="1571"/>
      <c r="R42" s="1570"/>
      <c r="S42" s="1569" t="s">
        <v>276</v>
      </c>
      <c r="T42" s="1570"/>
      <c r="U42" s="663" t="s">
        <v>277</v>
      </c>
      <c r="V42" s="660"/>
      <c r="W42" s="660"/>
      <c r="X42" s="660"/>
      <c r="Y42" s="660"/>
      <c r="Z42" s="664" t="s">
        <v>302</v>
      </c>
      <c r="AA42" s="664" t="s">
        <v>303</v>
      </c>
      <c r="AB42" s="664" t="s">
        <v>280</v>
      </c>
      <c r="AC42" s="672" t="str">
        <f>IF('A-1 On-Site Habitat Baseline'!G43="","",IF('A-1 On-Site Habitat Baseline'!G43="Yes",TRUE,FALSE))</f>
        <v/>
      </c>
      <c r="AD42" s="673">
        <v>33</v>
      </c>
      <c r="AE42" s="672" t="str">
        <f>IF('D-1 Off-Site Habitat Baseline'!G43="","",IF('D-1 Off-Site Habitat Baseline'!G43="Yes",TRUE,FALSE))</f>
        <v/>
      </c>
      <c r="AG42" s="670" t="s">
        <v>270</v>
      </c>
      <c r="AH42" s="660"/>
      <c r="AI42" s="661"/>
      <c r="AJ42" s="1577" t="s">
        <v>284</v>
      </c>
      <c r="AK42" s="1579"/>
      <c r="AL42" s="1579"/>
      <c r="AM42" s="1569" t="s">
        <v>272</v>
      </c>
      <c r="AN42" s="1571"/>
      <c r="AO42" s="1570"/>
      <c r="AP42" s="1569" t="s">
        <v>285</v>
      </c>
      <c r="AQ42" s="1570"/>
      <c r="AR42" s="1569" t="s">
        <v>286</v>
      </c>
      <c r="AS42" s="1570"/>
      <c r="AT42" s="1569" t="s">
        <v>287</v>
      </c>
      <c r="AU42" s="1571"/>
      <c r="AV42" s="1571"/>
      <c r="AW42" s="1570"/>
      <c r="AX42" s="1565" t="s">
        <v>146</v>
      </c>
      <c r="AY42" s="1566"/>
      <c r="AZ42" s="663" t="s">
        <v>288</v>
      </c>
      <c r="BA42" s="660"/>
      <c r="BB42" s="660"/>
      <c r="BC42" s="660"/>
      <c r="BD42" s="660"/>
      <c r="BE42" s="664" t="s">
        <v>278</v>
      </c>
      <c r="BF42" s="664" t="s">
        <v>289</v>
      </c>
      <c r="BG42" s="664" t="s">
        <v>290</v>
      </c>
      <c r="BH42" s="673" t="str">
        <f>IF('C-1 On-Site WaterC'' Baseline'!AU42="","",IF('C-1 On-Site WaterC'' Baseline'!AU42="Yes",TRUE,FALSE))</f>
        <v/>
      </c>
      <c r="BI42" s="673">
        <v>33</v>
      </c>
      <c r="BJ42" s="673" t="str">
        <f>IF('F-1 Off-Site WaterC'' Baseline'!AU42="","",IF('F-1 Off-Site WaterC'' Baseline'!AU42="Yes",TRUE,FALSE))</f>
        <v/>
      </c>
      <c r="BK42" s="673"/>
      <c r="BL42" s="673"/>
      <c r="BM42" s="673"/>
    </row>
    <row r="43" spans="2:65" ht="44.9" customHeight="1">
      <c r="B43" s="683" t="str" cm="1">
        <f t="array" ref="B43">IFERROR(INDEX($AD$10:$AD$259,MATCH(0,IF(TRUE=$AE$10:$AE$259,COUNTIF($B$42:B42,$AD$10:$AD$259),""),0)),"")</f>
        <v/>
      </c>
      <c r="C43" s="640"/>
      <c r="D43" s="640"/>
      <c r="E43" s="1575" t="str">
        <f>IF(B43="","",IF(ISNA(VLOOKUP($B43,'D-1 Off-Site Habitat Baseline'!$D$1:$AV$258,45,FALSE)),"",(VLOOKUP(B43,'D-1 Off-Site Habitat Baseline'!$D$1:$AV$258,45,FALSE))))</f>
        <v/>
      </c>
      <c r="F43" s="1575"/>
      <c r="G43" s="1575"/>
      <c r="H43" s="1576"/>
      <c r="I43" s="1576"/>
      <c r="J43" s="1576"/>
      <c r="K43" s="1567" t="str">
        <f>IF(B43="","",IF(ISNA(VLOOKUP($B43,'D-1 Off-Site Habitat Baseline'!$D$1:$AV$258,5,FALSE)),"",(VLOOKUP(B43,'D-1 Off-Site Habitat Baseline'!$D$1:$AV$258,5,FALSE))))</f>
        <v/>
      </c>
      <c r="L43" s="1567"/>
      <c r="M43" s="1567" t="str">
        <f>IF(B43="","",IF(ISNA(VLOOKUP($B43,'D-1 Off-Site Habitat Baseline'!$D$1:$AV$258,19,FALSE)),"",(VLOOKUP(B43,'D-1 Off-Site Habitat Baseline'!$D$1:$AV$258,19,FALSE))))</f>
        <v/>
      </c>
      <c r="N43" s="1567"/>
      <c r="O43" s="1567" t="str">
        <f>IF(B43="","",IF(ISNA(VLOOKUP($B43,'D-1 Off-Site Habitat Baseline'!$D$1:$AV$258,20,FALSE)),"",(VLOOKUP(B43,'D-1 Off-Site Habitat Baseline'!$D$1:$AV$258,20,FALSE))))</f>
        <v/>
      </c>
      <c r="P43" s="1567"/>
      <c r="Q43" s="1567"/>
      <c r="R43" s="1567"/>
      <c r="S43" s="1567" t="str">
        <f>IFERROR(K43-(M43+O43),"")</f>
        <v/>
      </c>
      <c r="T43" s="1575"/>
      <c r="U43" s="649" t="str">
        <f>IF(OR(E43="",S43=0),"",IF(BM43="No","No ▲",IF(AND(BM43&lt;&gt;"Yes",E43&lt;&gt;""),"No ▲","Yes ✓")))</f>
        <v/>
      </c>
      <c r="V43" s="645"/>
      <c r="W43" s="645"/>
      <c r="X43" s="645"/>
      <c r="Y43" s="645"/>
      <c r="Z43" s="653" t="str">
        <f ca="1">IFERROR(IF(LEN(VLOOKUP($B43,'D-1 Off-Site Habitat Baseline'!$D$1:$AV$258,26,FALSE))=0,"",IF(B43="","",IF(ISNA(VLOOKUP($B43,'D-1 Off-Site Habitat Baseline'!$D$1:$AV$258,26,FALSE)),"",(VLOOKUP(B43,'D-1 Off-Site Habitat Baseline'!$D$1:$AV$258,26,FALSE))))),"")</f>
        <v/>
      </c>
      <c r="AA43" s="653" t="str">
        <f ca="1">IFERROR(IF(LEN(VLOOKUP($B43,'D-1 Off-Site Habitat Baseline'!$D$1:$AV$258,27,FALSE))=0,"",IF(B43="","",IF(ISNA(VLOOKUP($B43,'D-1 Off-Site Habitat Baseline'!$D$1:$AV$258,27,FALSE)),"",(VLOOKUP(B43,'D-1 Off-Site Habitat Baseline'!$D$1:$AV$258,27,FALSE))))),"")</f>
        <v/>
      </c>
      <c r="AB43" s="671" t="str">
        <f ca="1">IFERROR(IF(LEN(VLOOKUP($B43,'D-1 Off-Site Habitat Baseline'!$D$1:$AV$258,28,FALSE))=0,"",IF(B43="","",IF(ISNA(VLOOKUP($B43,'D-1 Off-Site Habitat Baseline'!$D$1:$AV$258,28,FALSE)),"",(VLOOKUP(B43,'D-1 Off-Site Habitat Baseline'!$D$1:$AV$258,28,FALSE))))),"")</f>
        <v/>
      </c>
      <c r="AC43" s="672" t="str">
        <f>IF('A-1 On-Site Habitat Baseline'!G44="","",IF('A-1 On-Site Habitat Baseline'!G44="Yes",TRUE,FALSE))</f>
        <v/>
      </c>
      <c r="AD43" s="673">
        <v>34</v>
      </c>
      <c r="AE43" s="672" t="str">
        <f>IF('D-1 Off-Site Habitat Baseline'!G44="","",IF('D-1 Off-Site Habitat Baseline'!G44="Yes",TRUE,FALSE))</f>
        <v/>
      </c>
      <c r="AG43" s="639" t="str" cm="1">
        <f t="array" ref="AG43">IFERROR(INDEX($BI$10:$BI$259,MATCH(0,IF(TRUE=$BJ$10:$BJ$259,COUNTIF($AG$42:AG42,$BI$10:$BI$259),""),0)),"")</f>
        <v/>
      </c>
      <c r="AH43" s="640"/>
      <c r="AI43" s="640"/>
      <c r="AJ43" s="1575" t="str">
        <f>IF(BH43=FALSE,"",IF(ISNA(VLOOKUP(AG43,'F-1 Off-Site WaterC'' Baseline'!C$1:D$257,2,FALSE)),"",(VLOOKUP(AG43,'F-1 Off-Site WaterC'' Baseline'!C$1:D$257,2,FALSE))))</f>
        <v/>
      </c>
      <c r="AK43" s="1575"/>
      <c r="AL43" s="1575"/>
      <c r="AM43" s="1576"/>
      <c r="AN43" s="1576"/>
      <c r="AO43" s="1576"/>
      <c r="AP43" s="1567" t="str">
        <f>IF(AG43="","",IF(ISNA(VLOOKUP($AG43,'F-1 Off-Site WaterC'' Baseline'!C$1:E$257,3,FALSE)),"",(VLOOKUP(AG43,'F-1 Off-Site WaterC'' Baseline'!C$1:E$257,3,FALSE))))</f>
        <v/>
      </c>
      <c r="AQ43" s="1567"/>
      <c r="AR43" s="1567" t="str">
        <f>IF(AG43="","",IF(ISNA(VLOOKUP($AG43,'F-1 Off-Site WaterC'' Baseline'!C$1:AA$257,22,FALSE)),"",(VLOOKUP(AG43,'F-1 Off-Site WaterC'' Baseline'!C$1:AA$257,22,FALSE))))</f>
        <v/>
      </c>
      <c r="AS43" s="1567"/>
      <c r="AT43" s="1567" t="str">
        <f>IF(AG43="","",IF(ISNA(VLOOKUP($AG43,'F-1 Off-Site WaterC'' Baseline'!C$1:AA$257,23,FALSE)),"",(VLOOKUP(AG43,'F-1 Off-Site WaterC'' Baseline'!C$1:AA$257,23,FALSE))))</f>
        <v/>
      </c>
      <c r="AU43" s="1567"/>
      <c r="AV43" s="1567"/>
      <c r="AW43" s="1567"/>
      <c r="AX43" s="1567" t="str">
        <f>IF(AJ43="","",AP43-(AR43+AT43))</f>
        <v/>
      </c>
      <c r="AY43" s="1567"/>
      <c r="AZ43" s="1562" t="str">
        <f t="shared" si="5" ref="AZ43:AZ64">IF(OR(AJ43="",AX43=0),"",IF(BL43="No","No",IF(AND(BL43&lt;&gt;"Yes",AJ43&lt;&gt;""),"No ▲","Yes ✓")))</f>
        <v/>
      </c>
      <c r="BA43" s="1563"/>
      <c r="BB43" s="1563"/>
      <c r="BC43" s="1563"/>
      <c r="BD43" s="1564"/>
      <c r="BE43" s="653" t="str">
        <f>IFERROR(IF(LEN(VLOOKUP($AG43,'F-1 Off-Site WaterC'' Baseline'!C$1:AE$257,29,FALSE))=0,"",IF(AG43="","",IF(ISNA(VLOOKUP($AG43,'F-1 Off-Site WaterC'' Baseline'!C$1:AE$257,29,FALSE)),"",(VLOOKUP(AG43,'F-1 Off-Site WaterC'' Baseline'!C$1:AE$257,29,FALSE))))),"")</f>
        <v/>
      </c>
      <c r="BF43" s="653" t="str">
        <f>IFERROR(IF(LEN(VLOOKUP($AG43,'F-1 Off-Site WaterC'' Baseline'!C$1:AH$257,30,FALSE))=0,"",IF(AG43="","",IF(ISNA(VLOOKUP($AG43,'F-1 Off-Site WaterC'' Baseline'!C$1:AH$257,30,FALSE)),"",(VLOOKUP(AG43,'F-1 Off-Site WaterC'' Baseline'!C$1:AH$257,30,FALSE))))),"")</f>
        <v/>
      </c>
      <c r="BG43" s="671" t="str">
        <f>IFERROR(IF(LEN(VLOOKUP($AG43,'F-1 Off-Site WaterC'' Baseline'!C$1:AH$257,31,FALSE))=0,"",IF(AG43="","",IF(ISNA(VLOOKUP($AG43,'F-1 Off-Site WaterC'' Baseline'!C$1:AH$257,31,FALSE)),"",(VLOOKUP(AG43,'F-1 Off-Site WaterC'' Baseline'!C$1:AH$257,31,FALSE))))),"")</f>
        <v/>
      </c>
      <c r="BH43" s="673" t="str">
        <f>IF('C-1 On-Site WaterC'' Baseline'!AU43="","",IF('C-1 On-Site WaterC'' Baseline'!AU43="Yes",TRUE,FALSE))</f>
        <v/>
      </c>
      <c r="BI43" s="673">
        <v>34</v>
      </c>
      <c r="BJ43" s="673" t="str">
        <f>IF('F-1 Off-Site WaterC'' Baseline'!AU43="","",IF('F-1 Off-Site WaterC'' Baseline'!AU43="Yes",TRUE,FALSE))</f>
        <v/>
      </c>
      <c r="BK43" s="673" t="str">
        <f t="shared" si="6" ref="BK43:BK64">IF(AG43="","",IF(AX43=0,"",IF(AND(AG43&lt;&gt;"",AX43&gt;0,AZ43&lt;&gt;"Yes ✓"),"","Irreplaceable habitat lost, bespoke compensation must be agreed with concenting body ▲")))</f>
        <v/>
      </c>
      <c r="BL43" s="673" t="str">
        <f>IF(AG43="","",IF(LEN(VLOOKUP($AG43,'C-1 On-Site WaterC'' Baseline'!$C$1:$AV$257,25,FALSE))=0,"",VLOOKUP(AG43,'C-1 On-Site WaterC'' Baseline'!$C$1:$AV$257,25,FALSE)))</f>
        <v/>
      </c>
      <c r="BM43" s="673" t="str">
        <f>IF(B43="","",IF(LEN(VLOOKUP($B43,'D-1 Off-Site Habitat Baseline'!$D$1:$AV$258,25,FALSE))=0,"",(VLOOKUP(B43,'D-1 Off-Site Habitat Baseline'!$D$1:$AV$258,25,FALSE))))</f>
        <v/>
      </c>
    </row>
    <row r="44" spans="2:65" ht="44.9" customHeight="1">
      <c r="B44" s="684" t="str" cm="1">
        <f t="array" ref="B44">IFERROR(INDEX($AD$10:$AD$259,MATCH(0,IF(TRUE=$AE$10:$AE$259,COUNTIF($B$42:B43,$AD$10:$AD$259),""),0)),"")</f>
        <v/>
      </c>
      <c r="C44" s="642"/>
      <c r="D44" s="642"/>
      <c r="E44" s="1545" t="str">
        <f>IF(B44="","",IF(ISNA(VLOOKUP($B44,'D-1 Off-Site Habitat Baseline'!$D$1:$AV$258,45,FALSE)),"",(VLOOKUP(B44,'D-1 Off-Site Habitat Baseline'!$D$1:$AV$258,45,FALSE))))</f>
        <v/>
      </c>
      <c r="F44" s="1545"/>
      <c r="G44" s="1545"/>
      <c r="H44" s="1573"/>
      <c r="I44" s="1573"/>
      <c r="J44" s="1573"/>
      <c r="K44" s="1534" t="str">
        <f>IF(B44="","",IF(ISNA(VLOOKUP($B44,'D-1 Off-Site Habitat Baseline'!$D$1:$AV$258,5,FALSE)),"",(VLOOKUP(B44,'D-1 Off-Site Habitat Baseline'!$D$1:$AV$258,5,FALSE))))</f>
        <v/>
      </c>
      <c r="L44" s="1534"/>
      <c r="M44" s="1534" t="str">
        <f>IF(B44="","",IF(ISNA(VLOOKUP($B44,'D-1 Off-Site Habitat Baseline'!$D$1:$AV$258,19,FALSE)),"",(VLOOKUP(B44,'D-1 Off-Site Habitat Baseline'!$D$1:$AV$258,19,FALSE))))</f>
        <v/>
      </c>
      <c r="N44" s="1534"/>
      <c r="O44" s="1534" t="str">
        <f>IF(B44="","",IF(ISNA(VLOOKUP($B44,'A-1 On-Site Habitat Baseline'!$D$1:$AV$258,17,FALSE)),"",(VLOOKUP(B44,'A-1 On-Site Habitat Baseline'!$D$1:$AV$258,17,FALSE))))</f>
        <v/>
      </c>
      <c r="P44" s="1534"/>
      <c r="Q44" s="1534"/>
      <c r="R44" s="1534"/>
      <c r="S44" s="1534" t="str">
        <f>IFERROR(K44-(M44+O44),"")</f>
        <v/>
      </c>
      <c r="T44" s="1545"/>
      <c r="U44" s="648" t="str">
        <f t="shared" si="7" ref="U44:U64">IF(OR(E44="",S44=0),"",IF(BM44="No","No ▲",IF(AND(BM44&lt;&gt;"Yes",E44&lt;&gt;""),"No ▲","Yes ✓")))</f>
        <v/>
      </c>
      <c r="V44" s="646"/>
      <c r="W44" s="646"/>
      <c r="X44" s="646"/>
      <c r="Y44" s="646"/>
      <c r="Z44" s="676" t="str">
        <f ca="1">IFERROR(IF(LEN(VLOOKUP($B44,'D-1 Off-Site Habitat Baseline'!$D$1:$AV$258,26,FALSE))=0,"",IF(B44="","",IF(ISNA(VLOOKUP($B44,'D-1 Off-Site Habitat Baseline'!$D$1:$AV$258,26,FALSE)),"",(VLOOKUP(B44,'D-1 Off-Site Habitat Baseline'!$D$1:$AV$258,26,FALSE))))),"")</f>
        <v/>
      </c>
      <c r="AA44" s="652" t="str">
        <f ca="1">IFERROR(IF(LEN(VLOOKUP($B44,'D-1 Off-Site Habitat Baseline'!$D$1:$AV$258,27,FALSE))=0,"",IF(B44="","",IF(ISNA(VLOOKUP($B44,'D-1 Off-Site Habitat Baseline'!$D$1:$AV$258,27,FALSE)),"",(VLOOKUP(B44,'D-1 Off-Site Habitat Baseline'!$D$1:$AV$258,27,FALSE))))),"")</f>
        <v/>
      </c>
      <c r="AB44" s="674" t="str">
        <f ca="1">IFERROR(IF(LEN(VLOOKUP($B44,'D-1 Off-Site Habitat Baseline'!$D$1:$AV$258,28,FALSE))=0,"",IF(B44="","",IF(ISNA(VLOOKUP($B44,'D-1 Off-Site Habitat Baseline'!$D$1:$AV$258,28,FALSE)),"",(VLOOKUP(B44,'D-1 Off-Site Habitat Baseline'!$D$1:$AV$258,28,FALSE))))),"")</f>
        <v/>
      </c>
      <c r="AC44" s="672" t="str">
        <f>IF('A-1 On-Site Habitat Baseline'!G45="","",IF('A-1 On-Site Habitat Baseline'!G45="Yes",TRUE,FALSE))</f>
        <v/>
      </c>
      <c r="AD44" s="673">
        <v>35</v>
      </c>
      <c r="AE44" s="672" t="str">
        <f>IF('D-1 Off-Site Habitat Baseline'!G45="","",IF('D-1 Off-Site Habitat Baseline'!G45="Yes",TRUE,FALSE))</f>
        <v/>
      </c>
      <c r="AG44" s="641" t="str" cm="1">
        <f t="array" ref="AG44">IFERROR(INDEX($BI$10:$BI$259,MATCH(0,IF(TRUE=$BJ$10:$BJ$259,COUNTIF($AG$42:AG43,$BI$10:$BI$259),""),0)),"")</f>
        <v/>
      </c>
      <c r="AH44" s="642"/>
      <c r="AI44" s="642"/>
      <c r="AJ44" s="1545" t="str">
        <f>IF(BH44=FALSE,"",IF(ISNA(VLOOKUP(AG44,'F-1 Off-Site WaterC'' Baseline'!C$1:D$257,2,FALSE)),"",(VLOOKUP(AG44,'F-1 Off-Site WaterC'' Baseline'!C$1:D$257,2,FALSE))))</f>
        <v/>
      </c>
      <c r="AK44" s="1545"/>
      <c r="AL44" s="1545"/>
      <c r="AM44" s="1573"/>
      <c r="AN44" s="1573"/>
      <c r="AO44" s="1573"/>
      <c r="AP44" s="1534" t="str">
        <f>IF(AG44="","",IF(ISNA(VLOOKUP($AG44,'F-1 Off-Site WaterC'' Baseline'!C$1:E$257,3,FALSE)),"",(VLOOKUP(AG44,'F-1 Off-Site WaterC'' Baseline'!C$1:E$257,3,FALSE))))</f>
        <v/>
      </c>
      <c r="AQ44" s="1534"/>
      <c r="AR44" s="1531" t="str">
        <f>IF(AG44="","",IF(ISNA(VLOOKUP($AG44,'F-1 Off-Site WaterC'' Baseline'!C$1:AA$257,22,FALSE)),"",(VLOOKUP(AG44,'F-1 Off-Site WaterC'' Baseline'!C$1:AA$257,22,FALSE))))</f>
        <v/>
      </c>
      <c r="AS44" s="1533"/>
      <c r="AT44" s="1531" t="str">
        <f>IF(AG44="","",IF(ISNA(VLOOKUP($AG44,'F-1 Off-Site WaterC'' Baseline'!C$1:AA$257,23,FALSE)),"",(VLOOKUP(AG44,'F-1 Off-Site WaterC'' Baseline'!C$1:AA$257,23,FALSE))))</f>
        <v/>
      </c>
      <c r="AU44" s="1532"/>
      <c r="AV44" s="1532"/>
      <c r="AW44" s="1533"/>
      <c r="AX44" s="1534" t="str">
        <f t="shared" si="8" ref="AX44:AX64">IF(AJ44="","",AP44-(AR44+AT44))</f>
        <v/>
      </c>
      <c r="AY44" s="1534"/>
      <c r="AZ44" s="1535" t="str">
        <f t="shared" si="5"/>
        <v/>
      </c>
      <c r="BA44" s="1536"/>
      <c r="BB44" s="1536"/>
      <c r="BC44" s="1536"/>
      <c r="BD44" s="1537"/>
      <c r="BE44" s="652" t="str">
        <f>IFERROR(IF(LEN(VLOOKUP($AG44,'F-1 Off-Site WaterC'' Baseline'!C$1:AE$257,29,FALSE))=0,"",IF(AG44="","",IF(ISNA(VLOOKUP($AG44,'F-1 Off-Site WaterC'' Baseline'!C$1:AE$257,29,FALSE)),"",(VLOOKUP(AG44,'F-1 Off-Site WaterC'' Baseline'!C$1:AE$257,29,FALSE))))),"")</f>
        <v/>
      </c>
      <c r="BF44" s="652" t="str">
        <f>IFERROR(IF(LEN(VLOOKUP($AG44,'F-1 Off-Site WaterC'' Baseline'!C$1:AH$257,30,FALSE))=0,"",IF(AG44="","",IF(ISNA(VLOOKUP($AG44,'F-1 Off-Site WaterC'' Baseline'!C$1:AH$257,30,FALSE)),"",(VLOOKUP(AG44,'F-1 Off-Site WaterC'' Baseline'!C$1:AH$257,30,FALSE))))),"")</f>
        <v/>
      </c>
      <c r="BG44" s="687" t="str">
        <f>IFERROR(IF(LEN(VLOOKUP($AG44,'F-1 Off-Site WaterC'' Baseline'!C$1:AH$257,31,FALSE))=0,"",IF(AG44="","",IF(ISNA(VLOOKUP($AG44,'F-1 Off-Site WaterC'' Baseline'!C$1:AH$257,31,FALSE)),"",(VLOOKUP(AG44,'F-1 Off-Site WaterC'' Baseline'!C$1:AH$257,31,FALSE))))),"")</f>
        <v/>
      </c>
      <c r="BH44" s="673" t="str">
        <f>IF('C-1 On-Site WaterC'' Baseline'!AU44="","",IF('C-1 On-Site WaterC'' Baseline'!AU44="Yes",TRUE,FALSE))</f>
        <v/>
      </c>
      <c r="BI44" s="673">
        <v>35</v>
      </c>
      <c r="BJ44" s="673" t="str">
        <f>IF('F-1 Off-Site WaterC'' Baseline'!AU44="","",IF('F-1 Off-Site WaterC'' Baseline'!AU44="Yes",TRUE,FALSE))</f>
        <v/>
      </c>
      <c r="BK44" s="673" t="str">
        <f t="shared" si="6"/>
        <v/>
      </c>
      <c r="BL44" s="673" t="str">
        <f>IF(AG44="","",IF(LEN(VLOOKUP($AG44,'C-1 On-Site WaterC'' Baseline'!$C$1:$AV$257,25,FALSE))=0,"",VLOOKUP(AG44,'C-1 On-Site WaterC'' Baseline'!$C$1:$AV$257,25,FALSE)))</f>
        <v/>
      </c>
      <c r="BM44" s="673" t="str">
        <f>IF(B44="","",IF(LEN(VLOOKUP($B44,'D-1 Off-Site Habitat Baseline'!$D$1:$AV$258,25,FALSE))=0,"",(VLOOKUP(B44,'D-1 Off-Site Habitat Baseline'!$D$1:$AV$258,25,FALSE))))</f>
        <v/>
      </c>
    </row>
    <row r="45" spans="2:65" ht="44.9" customHeight="1">
      <c r="B45" s="684" t="str" cm="1">
        <f t="array" ref="B45">IFERROR(INDEX($AD$10:$AD$259,MATCH(0,IF(TRUE=$AE$10:$AE$259,COUNTIF($B$42:B44,$AD$10:$AD$259),""),0)),"")</f>
        <v/>
      </c>
      <c r="C45" s="642"/>
      <c r="D45" s="642"/>
      <c r="E45" s="1545" t="str">
        <f>IF(B45="","",IF(ISNA(VLOOKUP($B45,'D-1 Off-Site Habitat Baseline'!$D$1:$AV$258,45,FALSE)),"",(VLOOKUP(B45,'D-1 Off-Site Habitat Baseline'!$D$1:$AV$258,45,FALSE))))</f>
        <v/>
      </c>
      <c r="F45" s="1545"/>
      <c r="G45" s="1545"/>
      <c r="H45" s="1573"/>
      <c r="I45" s="1573"/>
      <c r="J45" s="1573"/>
      <c r="K45" s="1534" t="str">
        <f>IF(B45="","",IF(ISNA(VLOOKUP($B45,'D-1 Off-Site Habitat Baseline'!$D$1:$AV$258,5,FALSE)),"",(VLOOKUP(B45,'D-1 Off-Site Habitat Baseline'!$D$1:$AV$258,5,FALSE))))</f>
        <v/>
      </c>
      <c r="L45" s="1534"/>
      <c r="M45" s="1534" t="str">
        <f>IF(B45="","",IF(ISNA(VLOOKUP($B45,'D-1 Off-Site Habitat Baseline'!$D$1:$AV$258,19,FALSE)),"",(VLOOKUP(B45,'D-1 Off-Site Habitat Baseline'!$D$1:$AV$258,19,FALSE))))</f>
        <v/>
      </c>
      <c r="N45" s="1534"/>
      <c r="O45" s="1534" t="str">
        <f>IF(B45="","",IF(ISNA(VLOOKUP($B45,'A-1 On-Site Habitat Baseline'!$D$1:$AV$258,17,FALSE)),"",(VLOOKUP(B45,'A-1 On-Site Habitat Baseline'!$D$1:$AV$258,17,FALSE))))</f>
        <v/>
      </c>
      <c r="P45" s="1534"/>
      <c r="Q45" s="1534"/>
      <c r="R45" s="1534"/>
      <c r="S45" s="1534" t="str">
        <f t="shared" si="9" ref="S45:S64">IFERROR(K45-(M45+O45),"")</f>
        <v/>
      </c>
      <c r="T45" s="1545"/>
      <c r="U45" s="648" t="str">
        <f t="shared" si="7"/>
        <v/>
      </c>
      <c r="V45" s="646"/>
      <c r="W45" s="646"/>
      <c r="X45" s="646"/>
      <c r="Y45" s="646"/>
      <c r="Z45" s="676" t="str">
        <f ca="1">IFERROR(IF(LEN(VLOOKUP($B45,'D-1 Off-Site Habitat Baseline'!$D$1:$AV$258,26,FALSE))=0,"",IF(B45="","",IF(ISNA(VLOOKUP($B45,'D-1 Off-Site Habitat Baseline'!$D$1:$AV$258,26,FALSE)),"",(VLOOKUP(B45,'D-1 Off-Site Habitat Baseline'!$D$1:$AV$258,26,FALSE))))),"")</f>
        <v/>
      </c>
      <c r="AA45" s="652" t="str">
        <f ca="1">IFERROR(IF(LEN(VLOOKUP($B45,'D-1 Off-Site Habitat Baseline'!$D$1:$AV$258,27,FALSE))=0,"",IF(B45="","",IF(ISNA(VLOOKUP($B45,'D-1 Off-Site Habitat Baseline'!$D$1:$AV$258,27,FALSE)),"",(VLOOKUP(B45,'D-1 Off-Site Habitat Baseline'!$D$1:$AV$258,27,FALSE))))),"")</f>
        <v/>
      </c>
      <c r="AB45" s="674" t="str">
        <f ca="1">IFERROR(IF(LEN(VLOOKUP($B45,'D-1 Off-Site Habitat Baseline'!$D$1:$AV$258,28,FALSE))=0,"",IF(B45="","",IF(ISNA(VLOOKUP($B45,'D-1 Off-Site Habitat Baseline'!$D$1:$AV$258,28,FALSE)),"",(VLOOKUP(B45,'D-1 Off-Site Habitat Baseline'!$D$1:$AV$258,28,FALSE))))),"")</f>
        <v/>
      </c>
      <c r="AC45" s="672" t="str">
        <f>IF('A-1 On-Site Habitat Baseline'!G46="","",IF('A-1 On-Site Habitat Baseline'!G46="Yes",TRUE,FALSE))</f>
        <v/>
      </c>
      <c r="AD45" s="673">
        <v>36</v>
      </c>
      <c r="AE45" s="672" t="str">
        <f>IF('D-1 Off-Site Habitat Baseline'!G46="","",IF('D-1 Off-Site Habitat Baseline'!G46="Yes",TRUE,FALSE))</f>
        <v/>
      </c>
      <c r="AG45" s="641" t="str" cm="1">
        <f t="array" ref="AG45">IFERROR(INDEX($BI$10:$BI$259,MATCH(0,IF(TRUE=$BJ$10:$BJ$259,COUNTIF($AG$42:AG44,$BI$10:$BI$259),""),0)),"")</f>
        <v/>
      </c>
      <c r="AH45" s="642"/>
      <c r="AI45" s="642"/>
      <c r="AJ45" s="1545" t="str">
        <f>IF(BH45=FALSE,"",IF(ISNA(VLOOKUP(AG45,'F-1 Off-Site WaterC'' Baseline'!C$1:D$257,2,FALSE)),"",(VLOOKUP(AG45,'F-1 Off-Site WaterC'' Baseline'!C$1:D$257,2,FALSE))))</f>
        <v/>
      </c>
      <c r="AK45" s="1545"/>
      <c r="AL45" s="1545"/>
      <c r="AM45" s="1573"/>
      <c r="AN45" s="1573"/>
      <c r="AO45" s="1573"/>
      <c r="AP45" s="1534" t="str">
        <f>IF(AG45="","",IF(ISNA(VLOOKUP($AG45,'F-1 Off-Site WaterC'' Baseline'!C$1:E$257,3,FALSE)),"",(VLOOKUP(AG45,'F-1 Off-Site WaterC'' Baseline'!C$1:E$257,3,FALSE))))</f>
        <v/>
      </c>
      <c r="AQ45" s="1534"/>
      <c r="AR45" s="1531" t="str">
        <f>IF(AG45="","",IF(ISNA(VLOOKUP($AG45,'F-1 Off-Site WaterC'' Baseline'!C$1:AA$257,22,FALSE)),"",(VLOOKUP(AG45,'F-1 Off-Site WaterC'' Baseline'!C$1:AA$257,22,FALSE))))</f>
        <v/>
      </c>
      <c r="AS45" s="1533"/>
      <c r="AT45" s="1531" t="str">
        <f>IF(AG45="","",IF(ISNA(VLOOKUP($AG45,'F-1 Off-Site WaterC'' Baseline'!C$1:AA$257,23,FALSE)),"",(VLOOKUP(AG45,'F-1 Off-Site WaterC'' Baseline'!C$1:AA$257,23,FALSE))))</f>
        <v/>
      </c>
      <c r="AU45" s="1532"/>
      <c r="AV45" s="1532"/>
      <c r="AW45" s="1533"/>
      <c r="AX45" s="1534" t="str">
        <f t="shared" si="8"/>
        <v/>
      </c>
      <c r="AY45" s="1534"/>
      <c r="AZ45" s="1535" t="str">
        <f t="shared" si="5"/>
        <v/>
      </c>
      <c r="BA45" s="1536"/>
      <c r="BB45" s="1536"/>
      <c r="BC45" s="1536"/>
      <c r="BD45" s="1537"/>
      <c r="BE45" s="652" t="str">
        <f>IFERROR(IF(LEN(VLOOKUP($AG45,'F-1 Off-Site WaterC'' Baseline'!C$1:AE$257,29,FALSE))=0,"",IF(AG45="","",IF(ISNA(VLOOKUP($AG45,'F-1 Off-Site WaterC'' Baseline'!C$1:AE$257,29,FALSE)),"",(VLOOKUP(AG45,'F-1 Off-Site WaterC'' Baseline'!C$1:AE$257,29,FALSE))))),"")</f>
        <v/>
      </c>
      <c r="BF45" s="652" t="str">
        <f>IFERROR(IF(LEN(VLOOKUP($AG45,'F-1 Off-Site WaterC'' Baseline'!C$1:AH$257,30,FALSE))=0,"",IF(AG45="","",IF(ISNA(VLOOKUP($AG45,'F-1 Off-Site WaterC'' Baseline'!C$1:AH$257,30,FALSE)),"",(VLOOKUP(AG45,'F-1 Off-Site WaterC'' Baseline'!C$1:AH$257,30,FALSE))))),"")</f>
        <v/>
      </c>
      <c r="BG45" s="687" t="str">
        <f>IFERROR(IF(LEN(VLOOKUP($AG45,'F-1 Off-Site WaterC'' Baseline'!C$1:AH$257,31,FALSE))=0,"",IF(AG45="","",IF(ISNA(VLOOKUP($AG45,'F-1 Off-Site WaterC'' Baseline'!C$1:AH$257,31,FALSE)),"",(VLOOKUP(AG45,'F-1 Off-Site WaterC'' Baseline'!C$1:AH$257,31,FALSE))))),"")</f>
        <v/>
      </c>
      <c r="BH45" s="673" t="str">
        <f>IF('C-1 On-Site WaterC'' Baseline'!AU45="","",IF('C-1 On-Site WaterC'' Baseline'!AU45="Yes",TRUE,FALSE))</f>
        <v/>
      </c>
      <c r="BI45" s="673">
        <v>36</v>
      </c>
      <c r="BJ45" s="673" t="str">
        <f>IF('F-1 Off-Site WaterC'' Baseline'!AU45="","",IF('F-1 Off-Site WaterC'' Baseline'!AU45="Yes",TRUE,FALSE))</f>
        <v/>
      </c>
      <c r="BK45" s="673" t="str">
        <f t="shared" si="6"/>
        <v/>
      </c>
      <c r="BL45" s="673" t="str">
        <f>IF(AG45="","",IF(LEN(VLOOKUP($AG45,'C-1 On-Site WaterC'' Baseline'!$C$1:$AV$257,25,FALSE))=0,"",VLOOKUP(AG45,'C-1 On-Site WaterC'' Baseline'!$C$1:$AV$257,25,FALSE)))</f>
        <v/>
      </c>
      <c r="BM45" s="673" t="str">
        <f>IF(B45="","",IF(LEN(VLOOKUP($B45,'D-1 Off-Site Habitat Baseline'!$D$1:$AV$258,25,FALSE))=0,"",(VLOOKUP(B45,'D-1 Off-Site Habitat Baseline'!$D$1:$AV$258,25,FALSE))))</f>
        <v/>
      </c>
    </row>
    <row r="46" spans="2:65" ht="44.9" customHeight="1">
      <c r="B46" s="684" t="str" cm="1">
        <f t="array" ref="B46">IFERROR(INDEX($AD$10:$AD$259,MATCH(0,IF(TRUE=$AE$10:$AE$259,COUNTIF($B$42:B45,$AD$10:$AD$259),""),0)),"")</f>
        <v/>
      </c>
      <c r="C46" s="642"/>
      <c r="D46" s="642"/>
      <c r="E46" s="1545" t="str">
        <f>IF(B46="","",IF(ISNA(VLOOKUP($B46,'D-1 Off-Site Habitat Baseline'!$D$1:$AV$258,45,FALSE)),"",(VLOOKUP(B46,'D-1 Off-Site Habitat Baseline'!$D$1:$AV$258,45,FALSE))))</f>
        <v/>
      </c>
      <c r="F46" s="1545"/>
      <c r="G46" s="1545"/>
      <c r="H46" s="1573"/>
      <c r="I46" s="1573"/>
      <c r="J46" s="1573"/>
      <c r="K46" s="1534" t="str">
        <f>IF(B46="","",IF(ISNA(VLOOKUP($B46,'D-1 Off-Site Habitat Baseline'!$D$1:$AV$258,5,FALSE)),"",(VLOOKUP(B46,'D-1 Off-Site Habitat Baseline'!$D$1:$AV$258,5,FALSE))))</f>
        <v/>
      </c>
      <c r="L46" s="1534"/>
      <c r="M46" s="1534" t="str">
        <f>IF(B46="","",IF(ISNA(VLOOKUP($B46,'D-1 Off-Site Habitat Baseline'!$D$1:$AV$258,19,FALSE)),"",(VLOOKUP(B46,'D-1 Off-Site Habitat Baseline'!$D$1:$AV$258,19,FALSE))))</f>
        <v/>
      </c>
      <c r="N46" s="1534"/>
      <c r="O46" s="1534" t="str">
        <f>IF(B46="","",IF(ISNA(VLOOKUP($B46,'A-1 On-Site Habitat Baseline'!$D$1:$AV$258,17,FALSE)),"",(VLOOKUP(B46,'A-1 On-Site Habitat Baseline'!$D$1:$AV$258,17,FALSE))))</f>
        <v/>
      </c>
      <c r="P46" s="1534"/>
      <c r="Q46" s="1534"/>
      <c r="R46" s="1534"/>
      <c r="S46" s="1534" t="str">
        <f t="shared" si="9"/>
        <v/>
      </c>
      <c r="T46" s="1545"/>
      <c r="U46" s="648" t="str">
        <f t="shared" si="7"/>
        <v/>
      </c>
      <c r="V46" s="646"/>
      <c r="W46" s="646"/>
      <c r="X46" s="646"/>
      <c r="Y46" s="646"/>
      <c r="Z46" s="676" t="str">
        <f ca="1">IFERROR(IF(LEN(VLOOKUP($B46,'D-1 Off-Site Habitat Baseline'!$D$1:$AV$258,26,FALSE))=0,"",IF(B46="","",IF(ISNA(VLOOKUP($B46,'D-1 Off-Site Habitat Baseline'!$D$1:$AV$258,26,FALSE)),"",(VLOOKUP(B46,'D-1 Off-Site Habitat Baseline'!$D$1:$AV$258,26,FALSE))))),"")</f>
        <v/>
      </c>
      <c r="AA46" s="652" t="str">
        <f ca="1">IFERROR(IF(LEN(VLOOKUP($B46,'D-1 Off-Site Habitat Baseline'!$D$1:$AV$258,27,FALSE))=0,"",IF(B46="","",IF(ISNA(VLOOKUP($B46,'D-1 Off-Site Habitat Baseline'!$D$1:$AV$258,27,FALSE)),"",(VLOOKUP(B46,'D-1 Off-Site Habitat Baseline'!$D$1:$AV$258,27,FALSE))))),"")</f>
        <v/>
      </c>
      <c r="AB46" s="674" t="str">
        <f ca="1">IFERROR(IF(LEN(VLOOKUP($B46,'D-1 Off-Site Habitat Baseline'!$D$1:$AV$258,28,FALSE))=0,"",IF(B46="","",IF(ISNA(VLOOKUP($B46,'D-1 Off-Site Habitat Baseline'!$D$1:$AV$258,28,FALSE)),"",(VLOOKUP(B46,'D-1 Off-Site Habitat Baseline'!$D$1:$AV$258,28,FALSE))))),"")</f>
        <v/>
      </c>
      <c r="AC46" s="672" t="str">
        <f>IF('A-1 On-Site Habitat Baseline'!G47="","",IF('A-1 On-Site Habitat Baseline'!G47="Yes",TRUE,FALSE))</f>
        <v/>
      </c>
      <c r="AD46" s="673">
        <v>37</v>
      </c>
      <c r="AE46" s="672" t="str">
        <f>IF('D-1 Off-Site Habitat Baseline'!G47="","",IF('D-1 Off-Site Habitat Baseline'!G47="Yes",TRUE,FALSE))</f>
        <v/>
      </c>
      <c r="AG46" s="641" t="str" cm="1">
        <f t="array" ref="AG46">IFERROR(INDEX($BI$10:$BI$259,MATCH(0,IF(TRUE=$BJ$10:$BJ$259,COUNTIF($AG$42:AG45,$BI$10:$BI$259),""),0)),"")</f>
        <v/>
      </c>
      <c r="AH46" s="642"/>
      <c r="AI46" s="642"/>
      <c r="AJ46" s="1545" t="str">
        <f>IF(BH46=FALSE,"",IF(ISNA(VLOOKUP(AG46,'F-1 Off-Site WaterC'' Baseline'!C$1:D$257,2,FALSE)),"",(VLOOKUP(AG46,'F-1 Off-Site WaterC'' Baseline'!C$1:D$257,2,FALSE))))</f>
        <v/>
      </c>
      <c r="AK46" s="1545"/>
      <c r="AL46" s="1545"/>
      <c r="AM46" s="1573"/>
      <c r="AN46" s="1573"/>
      <c r="AO46" s="1573"/>
      <c r="AP46" s="1534" t="str">
        <f>IF(AG46="","",IF(ISNA(VLOOKUP($AG46,'F-1 Off-Site WaterC'' Baseline'!C$1:E$257,3,FALSE)),"",(VLOOKUP(AG46,'F-1 Off-Site WaterC'' Baseline'!C$1:E$257,3,FALSE))))</f>
        <v/>
      </c>
      <c r="AQ46" s="1534"/>
      <c r="AR46" s="1531" t="str">
        <f>IF(AG46="","",IF(ISNA(VLOOKUP($AG46,'F-1 Off-Site WaterC'' Baseline'!C$1:AA$257,22,FALSE)),"",(VLOOKUP(AG46,'F-1 Off-Site WaterC'' Baseline'!C$1:AA$257,22,FALSE))))</f>
        <v/>
      </c>
      <c r="AS46" s="1533"/>
      <c r="AT46" s="1531" t="str">
        <f>IF(AG46="","",IF(ISNA(VLOOKUP($AG46,'F-1 Off-Site WaterC'' Baseline'!C$1:AA$257,23,FALSE)),"",(VLOOKUP(AG46,'F-1 Off-Site WaterC'' Baseline'!C$1:AA$257,23,FALSE))))</f>
        <v/>
      </c>
      <c r="AU46" s="1532"/>
      <c r="AV46" s="1532"/>
      <c r="AW46" s="1533"/>
      <c r="AX46" s="1534" t="str">
        <f t="shared" si="8"/>
        <v/>
      </c>
      <c r="AY46" s="1534"/>
      <c r="AZ46" s="1535" t="str">
        <f t="shared" si="5"/>
        <v/>
      </c>
      <c r="BA46" s="1536"/>
      <c r="BB46" s="1536"/>
      <c r="BC46" s="1536"/>
      <c r="BD46" s="1537"/>
      <c r="BE46" s="652" t="str">
        <f>IFERROR(IF(LEN(VLOOKUP($AG46,'F-1 Off-Site WaterC'' Baseline'!C$1:AE$257,29,FALSE))=0,"",IF(AG46="","",IF(ISNA(VLOOKUP($AG46,'F-1 Off-Site WaterC'' Baseline'!C$1:AE$257,29,FALSE)),"",(VLOOKUP(AG46,'F-1 Off-Site WaterC'' Baseline'!C$1:AE$257,29,FALSE))))),"")</f>
        <v/>
      </c>
      <c r="BF46" s="652" t="str">
        <f>IFERROR(IF(LEN(VLOOKUP($AG46,'F-1 Off-Site WaterC'' Baseline'!C$1:AH$257,30,FALSE))=0,"",IF(AG46="","",IF(ISNA(VLOOKUP($AG46,'F-1 Off-Site WaterC'' Baseline'!C$1:AH$257,30,FALSE)),"",(VLOOKUP(AG46,'F-1 Off-Site WaterC'' Baseline'!C$1:AH$257,30,FALSE))))),"")</f>
        <v/>
      </c>
      <c r="BG46" s="687" t="str">
        <f>IFERROR(IF(LEN(VLOOKUP($AG46,'F-1 Off-Site WaterC'' Baseline'!C$1:AH$257,31,FALSE))=0,"",IF(AG46="","",IF(ISNA(VLOOKUP($AG46,'F-1 Off-Site WaterC'' Baseline'!C$1:AH$257,31,FALSE)),"",(VLOOKUP(AG46,'F-1 Off-Site WaterC'' Baseline'!C$1:AH$257,31,FALSE))))),"")</f>
        <v/>
      </c>
      <c r="BH46" s="673" t="str">
        <f>IF('C-1 On-Site WaterC'' Baseline'!AU46="","",IF('C-1 On-Site WaterC'' Baseline'!AU46="Yes",TRUE,FALSE))</f>
        <v/>
      </c>
      <c r="BI46" s="673">
        <v>37</v>
      </c>
      <c r="BJ46" s="673" t="str">
        <f>IF('F-1 Off-Site WaterC'' Baseline'!AU46="","",IF('F-1 Off-Site WaterC'' Baseline'!AU46="Yes",TRUE,FALSE))</f>
        <v/>
      </c>
      <c r="BK46" s="673" t="str">
        <f t="shared" si="6"/>
        <v/>
      </c>
      <c r="BL46" s="673" t="str">
        <f>IF(AG46="","",IF(LEN(VLOOKUP($AG46,'C-1 On-Site WaterC'' Baseline'!$C$1:$AV$257,25,FALSE))=0,"",VLOOKUP(AG46,'C-1 On-Site WaterC'' Baseline'!$C$1:$AV$257,25,FALSE)))</f>
        <v/>
      </c>
      <c r="BM46" s="673" t="str">
        <f>IF(B46="","",IF(LEN(VLOOKUP($B46,'D-1 Off-Site Habitat Baseline'!$D$1:$AV$258,25,FALSE))=0,"",(VLOOKUP(B46,'D-1 Off-Site Habitat Baseline'!$D$1:$AV$258,25,FALSE))))</f>
        <v/>
      </c>
    </row>
    <row r="47" spans="2:65" ht="44.9" customHeight="1">
      <c r="B47" s="684" t="str" cm="1">
        <f t="array" ref="B47">IFERROR(INDEX($AD$10:$AD$259,MATCH(0,IF(TRUE=$AE$10:$AE$259,COUNTIF($B$42:B46,$AD$10:$AD$259),""),0)),"")</f>
        <v/>
      </c>
      <c r="C47" s="642"/>
      <c r="D47" s="642"/>
      <c r="E47" s="1545" t="str">
        <f>IF(B47="","",IF(ISNA(VLOOKUP($B47,'D-1 Off-Site Habitat Baseline'!$D$1:$AV$258,45,FALSE)),"",(VLOOKUP(B47,'D-1 Off-Site Habitat Baseline'!$D$1:$AV$258,45,FALSE))))</f>
        <v/>
      </c>
      <c r="F47" s="1545"/>
      <c r="G47" s="1545"/>
      <c r="H47" s="1573"/>
      <c r="I47" s="1573"/>
      <c r="J47" s="1573"/>
      <c r="K47" s="1534" t="str">
        <f>IF(B47="","",IF(ISNA(VLOOKUP($B47,'D-1 Off-Site Habitat Baseline'!$D$1:$AV$258,5,FALSE)),"",(VLOOKUP(B47,'D-1 Off-Site Habitat Baseline'!$D$1:$AV$258,5,FALSE))))</f>
        <v/>
      </c>
      <c r="L47" s="1534"/>
      <c r="M47" s="1534" t="str">
        <f>IF(B47="","",IF(ISNA(VLOOKUP($B47,'D-1 Off-Site Habitat Baseline'!$D$1:$AV$258,19,FALSE)),"",(VLOOKUP(B47,'D-1 Off-Site Habitat Baseline'!$D$1:$AV$258,19,FALSE))))</f>
        <v/>
      </c>
      <c r="N47" s="1534"/>
      <c r="O47" s="1534" t="str">
        <f>IF(B47="","",IF(ISNA(VLOOKUP($B47,'A-1 On-Site Habitat Baseline'!$D$1:$AV$258,17,FALSE)),"",(VLOOKUP(B47,'A-1 On-Site Habitat Baseline'!$D$1:$AV$258,17,FALSE))))</f>
        <v/>
      </c>
      <c r="P47" s="1534"/>
      <c r="Q47" s="1534"/>
      <c r="R47" s="1534"/>
      <c r="S47" s="1534" t="str">
        <f t="shared" si="9"/>
        <v/>
      </c>
      <c r="T47" s="1545"/>
      <c r="U47" s="648" t="str">
        <f t="shared" si="7"/>
        <v/>
      </c>
      <c r="V47" s="646"/>
      <c r="W47" s="646"/>
      <c r="X47" s="646"/>
      <c r="Y47" s="646"/>
      <c r="Z47" s="676" t="str">
        <f ca="1">IFERROR(IF(LEN(VLOOKUP($B47,'D-1 Off-Site Habitat Baseline'!$D$1:$AV$258,26,FALSE))=0,"",IF(B47="","",IF(ISNA(VLOOKUP($B47,'D-1 Off-Site Habitat Baseline'!$D$1:$AV$258,26,FALSE)),"",(VLOOKUP(B47,'D-1 Off-Site Habitat Baseline'!$D$1:$AV$258,26,FALSE))))),"")</f>
        <v/>
      </c>
      <c r="AA47" s="652" t="str">
        <f ca="1">IFERROR(IF(LEN(VLOOKUP($B47,'D-1 Off-Site Habitat Baseline'!$D$1:$AV$258,27,FALSE))=0,"",IF(B47="","",IF(ISNA(VLOOKUP($B47,'D-1 Off-Site Habitat Baseline'!$D$1:$AV$258,27,FALSE)),"",(VLOOKUP(B47,'D-1 Off-Site Habitat Baseline'!$D$1:$AV$258,27,FALSE))))),"")</f>
        <v/>
      </c>
      <c r="AB47" s="674" t="str">
        <f ca="1">IFERROR(IF(LEN(VLOOKUP($B47,'D-1 Off-Site Habitat Baseline'!$D$1:$AV$258,28,FALSE))=0,"",IF(B47="","",IF(ISNA(VLOOKUP($B47,'D-1 Off-Site Habitat Baseline'!$D$1:$AV$258,28,FALSE)),"",(VLOOKUP(B47,'D-1 Off-Site Habitat Baseline'!$D$1:$AV$258,28,FALSE))))),"")</f>
        <v/>
      </c>
      <c r="AC47" s="672" t="str">
        <f>IF('A-1 On-Site Habitat Baseline'!G48="","",IF('A-1 On-Site Habitat Baseline'!G48="Yes",TRUE,FALSE))</f>
        <v/>
      </c>
      <c r="AD47" s="673">
        <v>38</v>
      </c>
      <c r="AE47" s="672" t="str">
        <f>IF('D-1 Off-Site Habitat Baseline'!G48="","",IF('D-1 Off-Site Habitat Baseline'!G48="Yes",TRUE,FALSE))</f>
        <v/>
      </c>
      <c r="AG47" s="641" t="str" cm="1">
        <f t="array" ref="AG47">IFERROR(INDEX($BI$10:$BI$259,MATCH(0,IF(TRUE=$BJ$10:$BJ$259,COUNTIF($AG$42:AG46,$BI$10:$BI$259),""),0)),"")</f>
        <v/>
      </c>
      <c r="AH47" s="642"/>
      <c r="AI47" s="642"/>
      <c r="AJ47" s="1545" t="str">
        <f>IF(BH47=FALSE,"",IF(ISNA(VLOOKUP(AG47,'F-1 Off-Site WaterC'' Baseline'!C$1:D$257,2,FALSE)),"",(VLOOKUP(AG47,'F-1 Off-Site WaterC'' Baseline'!C$1:D$257,2,FALSE))))</f>
        <v/>
      </c>
      <c r="AK47" s="1545"/>
      <c r="AL47" s="1545"/>
      <c r="AM47" s="1573"/>
      <c r="AN47" s="1573"/>
      <c r="AO47" s="1573"/>
      <c r="AP47" s="1534" t="str">
        <f>IF(AG47="","",IF(ISNA(VLOOKUP($AG47,'F-1 Off-Site WaterC'' Baseline'!C$1:E$257,3,FALSE)),"",(VLOOKUP(AG47,'F-1 Off-Site WaterC'' Baseline'!C$1:E$257,3,FALSE))))</f>
        <v/>
      </c>
      <c r="AQ47" s="1534"/>
      <c r="AR47" s="1531" t="str">
        <f>IF(AG47="","",IF(ISNA(VLOOKUP($AG47,'F-1 Off-Site WaterC'' Baseline'!C$1:AA$257,22,FALSE)),"",(VLOOKUP(AG47,'F-1 Off-Site WaterC'' Baseline'!C$1:AA$257,22,FALSE))))</f>
        <v/>
      </c>
      <c r="AS47" s="1533"/>
      <c r="AT47" s="1531" t="str">
        <f>IF(AG47="","",IF(ISNA(VLOOKUP($AG47,'F-1 Off-Site WaterC'' Baseline'!C$1:AA$257,23,FALSE)),"",(VLOOKUP(AG47,'F-1 Off-Site WaterC'' Baseline'!C$1:AA$257,23,FALSE))))</f>
        <v/>
      </c>
      <c r="AU47" s="1532"/>
      <c r="AV47" s="1532"/>
      <c r="AW47" s="1533"/>
      <c r="AX47" s="1534" t="str">
        <f t="shared" si="8"/>
        <v/>
      </c>
      <c r="AY47" s="1534"/>
      <c r="AZ47" s="1535" t="str">
        <f t="shared" si="5"/>
        <v/>
      </c>
      <c r="BA47" s="1536"/>
      <c r="BB47" s="1536"/>
      <c r="BC47" s="1536"/>
      <c r="BD47" s="1537"/>
      <c r="BE47" s="652" t="str">
        <f>IFERROR(IF(LEN(VLOOKUP($AG47,'F-1 Off-Site WaterC'' Baseline'!C$1:AE$257,29,FALSE))=0,"",IF(AG47="","",IF(ISNA(VLOOKUP($AG47,'F-1 Off-Site WaterC'' Baseline'!C$1:AE$257,29,FALSE)),"",(VLOOKUP(AG47,'F-1 Off-Site WaterC'' Baseline'!C$1:AE$257,29,FALSE))))),"")</f>
        <v/>
      </c>
      <c r="BF47" s="652" t="str">
        <f>IFERROR(IF(LEN(VLOOKUP($AG47,'F-1 Off-Site WaterC'' Baseline'!C$1:AH$257,30,FALSE))=0,"",IF(AG47="","",IF(ISNA(VLOOKUP($AG47,'F-1 Off-Site WaterC'' Baseline'!C$1:AH$257,30,FALSE)),"",(VLOOKUP(AG47,'F-1 Off-Site WaterC'' Baseline'!C$1:AH$257,30,FALSE))))),"")</f>
        <v/>
      </c>
      <c r="BG47" s="687" t="str">
        <f>IFERROR(IF(LEN(VLOOKUP($AG47,'F-1 Off-Site WaterC'' Baseline'!C$1:AH$257,31,FALSE))=0,"",IF(AG47="","",IF(ISNA(VLOOKUP($AG47,'F-1 Off-Site WaterC'' Baseline'!C$1:AH$257,31,FALSE)),"",(VLOOKUP(AG47,'F-1 Off-Site WaterC'' Baseline'!C$1:AH$257,31,FALSE))))),"")</f>
        <v/>
      </c>
      <c r="BH47" s="673" t="str">
        <f>IF('C-1 On-Site WaterC'' Baseline'!AU47="","",IF('C-1 On-Site WaterC'' Baseline'!AU47="Yes",TRUE,FALSE))</f>
        <v/>
      </c>
      <c r="BI47" s="673">
        <v>38</v>
      </c>
      <c r="BJ47" s="673" t="str">
        <f>IF('F-1 Off-Site WaterC'' Baseline'!AU47="","",IF('F-1 Off-Site WaterC'' Baseline'!AU47="Yes",TRUE,FALSE))</f>
        <v/>
      </c>
      <c r="BK47" s="673" t="str">
        <f t="shared" si="6"/>
        <v/>
      </c>
      <c r="BL47" s="673" t="str">
        <f>IF(AG47="","",IF(LEN(VLOOKUP($AG47,'C-1 On-Site WaterC'' Baseline'!$C$1:$AV$257,25,FALSE))=0,"",VLOOKUP(AG47,'C-1 On-Site WaterC'' Baseline'!$C$1:$AV$257,25,FALSE)))</f>
        <v/>
      </c>
      <c r="BM47" s="673" t="str">
        <f>IF(B47="","",IF(LEN(VLOOKUP($B47,'D-1 Off-Site Habitat Baseline'!$D$1:$AV$258,25,FALSE))=0,"",(VLOOKUP(B47,'D-1 Off-Site Habitat Baseline'!$D$1:$AV$258,25,FALSE))))</f>
        <v/>
      </c>
    </row>
    <row r="48" spans="2:65" ht="44.9" customHeight="1">
      <c r="B48" s="684" t="str" cm="1">
        <f t="array" ref="B48">IFERROR(INDEX($AD$10:$AD$259,MATCH(0,IF(TRUE=$AE$10:$AE$259,COUNTIF($B$42:B47,$AD$10:$AD$259),""),0)),"")</f>
        <v/>
      </c>
      <c r="C48" s="642"/>
      <c r="D48" s="642"/>
      <c r="E48" s="1545" t="str">
        <f>IF(B48="","",IF(ISNA(VLOOKUP($B48,'D-1 Off-Site Habitat Baseline'!$D$1:$AV$258,45,FALSE)),"",(VLOOKUP(B48,'D-1 Off-Site Habitat Baseline'!$D$1:$AV$258,45,FALSE))))</f>
        <v/>
      </c>
      <c r="F48" s="1545"/>
      <c r="G48" s="1545"/>
      <c r="H48" s="1573"/>
      <c r="I48" s="1573"/>
      <c r="J48" s="1573"/>
      <c r="K48" s="1534" t="str">
        <f>IF(B48="","",IF(ISNA(VLOOKUP($B48,'D-1 Off-Site Habitat Baseline'!$D$1:$AV$258,5,FALSE)),"",(VLOOKUP(B48,'D-1 Off-Site Habitat Baseline'!$D$1:$AV$258,5,FALSE))))</f>
        <v/>
      </c>
      <c r="L48" s="1534"/>
      <c r="M48" s="1534" t="str">
        <f>IF(B48="","",IF(ISNA(VLOOKUP($B48,'D-1 Off-Site Habitat Baseline'!$D$1:$AV$258,19,FALSE)),"",(VLOOKUP(B48,'D-1 Off-Site Habitat Baseline'!$D$1:$AV$258,19,FALSE))))</f>
        <v/>
      </c>
      <c r="N48" s="1534"/>
      <c r="O48" s="1534" t="str">
        <f>IF(B48="","",IF(ISNA(VLOOKUP($B48,'A-1 On-Site Habitat Baseline'!$D$1:$AV$258,17,FALSE)),"",(VLOOKUP(B48,'A-1 On-Site Habitat Baseline'!$D$1:$AV$258,17,FALSE))))</f>
        <v/>
      </c>
      <c r="P48" s="1534"/>
      <c r="Q48" s="1534"/>
      <c r="R48" s="1534"/>
      <c r="S48" s="1534" t="str">
        <f t="shared" si="9"/>
        <v/>
      </c>
      <c r="T48" s="1545"/>
      <c r="U48" s="648" t="str">
        <f t="shared" si="7"/>
        <v/>
      </c>
      <c r="V48" s="646"/>
      <c r="W48" s="646"/>
      <c r="X48" s="646"/>
      <c r="Y48" s="646"/>
      <c r="Z48" s="676" t="str">
        <f ca="1">IFERROR(IF(LEN(VLOOKUP($B48,'D-1 Off-Site Habitat Baseline'!$D$1:$AV$258,26,FALSE))=0,"",IF(B48="","",IF(ISNA(VLOOKUP($B48,'D-1 Off-Site Habitat Baseline'!$D$1:$AV$258,26,FALSE)),"",(VLOOKUP(B48,'D-1 Off-Site Habitat Baseline'!$D$1:$AV$258,26,FALSE))))),"")</f>
        <v/>
      </c>
      <c r="AA48" s="652" t="str">
        <f ca="1">IFERROR(IF(LEN(VLOOKUP($B48,'D-1 Off-Site Habitat Baseline'!$D$1:$AV$258,27,FALSE))=0,"",IF(B48="","",IF(ISNA(VLOOKUP($B48,'D-1 Off-Site Habitat Baseline'!$D$1:$AV$258,27,FALSE)),"",(VLOOKUP(B48,'D-1 Off-Site Habitat Baseline'!$D$1:$AV$258,27,FALSE))))),"")</f>
        <v/>
      </c>
      <c r="AB48" s="674" t="str">
        <f ca="1">IFERROR(IF(LEN(VLOOKUP($B48,'D-1 Off-Site Habitat Baseline'!$D$1:$AV$258,28,FALSE))=0,"",IF(B48="","",IF(ISNA(VLOOKUP($B48,'D-1 Off-Site Habitat Baseline'!$D$1:$AV$258,28,FALSE)),"",(VLOOKUP(B48,'D-1 Off-Site Habitat Baseline'!$D$1:$AV$258,28,FALSE))))),"")</f>
        <v/>
      </c>
      <c r="AC48" s="672" t="str">
        <f>IF('A-1 On-Site Habitat Baseline'!G49="","",IF('A-1 On-Site Habitat Baseline'!G49="Yes",TRUE,FALSE))</f>
        <v/>
      </c>
      <c r="AD48" s="673">
        <v>39</v>
      </c>
      <c r="AE48" s="672" t="str">
        <f>IF('D-1 Off-Site Habitat Baseline'!G49="","",IF('D-1 Off-Site Habitat Baseline'!G49="Yes",TRUE,FALSE))</f>
        <v/>
      </c>
      <c r="AG48" s="641" t="str" cm="1">
        <f t="array" ref="AG48">IFERROR(INDEX($BI$10:$BI$259,MATCH(0,IF(TRUE=$BJ$10:$BJ$259,COUNTIF($AG$42:AG47,$BI$10:$BI$259),""),0)),"")</f>
        <v/>
      </c>
      <c r="AH48" s="642"/>
      <c r="AI48" s="642"/>
      <c r="AJ48" s="1545" t="str">
        <f>IF(BH48=FALSE,"",IF(ISNA(VLOOKUP(AG48,'F-1 Off-Site WaterC'' Baseline'!C$1:D$257,2,FALSE)),"",(VLOOKUP(AG48,'F-1 Off-Site WaterC'' Baseline'!C$1:D$257,2,FALSE))))</f>
        <v/>
      </c>
      <c r="AK48" s="1545"/>
      <c r="AL48" s="1545"/>
      <c r="AM48" s="1573"/>
      <c r="AN48" s="1573"/>
      <c r="AO48" s="1573"/>
      <c r="AP48" s="1534" t="str">
        <f>IF(AG48="","",IF(ISNA(VLOOKUP($AG48,'F-1 Off-Site WaterC'' Baseline'!C$1:E$257,3,FALSE)),"",(VLOOKUP(AG48,'F-1 Off-Site WaterC'' Baseline'!C$1:E$257,3,FALSE))))</f>
        <v/>
      </c>
      <c r="AQ48" s="1534"/>
      <c r="AR48" s="1531" t="str">
        <f>IF(AG48="","",IF(ISNA(VLOOKUP($AG48,'F-1 Off-Site WaterC'' Baseline'!C$1:AA$257,22,FALSE)),"",(VLOOKUP(AG48,'F-1 Off-Site WaterC'' Baseline'!C$1:AA$257,22,FALSE))))</f>
        <v/>
      </c>
      <c r="AS48" s="1533"/>
      <c r="AT48" s="1531" t="str">
        <f>IF(AG48="","",IF(ISNA(VLOOKUP($AG48,'F-1 Off-Site WaterC'' Baseline'!C$1:AA$257,23,FALSE)),"",(VLOOKUP(AG48,'F-1 Off-Site WaterC'' Baseline'!C$1:AA$257,23,FALSE))))</f>
        <v/>
      </c>
      <c r="AU48" s="1532"/>
      <c r="AV48" s="1532"/>
      <c r="AW48" s="1533"/>
      <c r="AX48" s="1534" t="str">
        <f t="shared" si="8"/>
        <v/>
      </c>
      <c r="AY48" s="1534"/>
      <c r="AZ48" s="1535" t="str">
        <f t="shared" si="5"/>
        <v/>
      </c>
      <c r="BA48" s="1536"/>
      <c r="BB48" s="1536"/>
      <c r="BC48" s="1536"/>
      <c r="BD48" s="1537"/>
      <c r="BE48" s="652" t="str">
        <f>IFERROR(IF(LEN(VLOOKUP($AG48,'F-1 Off-Site WaterC'' Baseline'!C$1:AE$257,29,FALSE))=0,"",IF(AG48="","",IF(ISNA(VLOOKUP($AG48,'F-1 Off-Site WaterC'' Baseline'!C$1:AE$257,29,FALSE)),"",(VLOOKUP(AG48,'F-1 Off-Site WaterC'' Baseline'!C$1:AE$257,29,FALSE))))),"")</f>
        <v/>
      </c>
      <c r="BF48" s="652" t="str">
        <f>IFERROR(IF(LEN(VLOOKUP($AG48,'F-1 Off-Site WaterC'' Baseline'!C$1:AH$257,30,FALSE))=0,"",IF(AG48="","",IF(ISNA(VLOOKUP($AG48,'F-1 Off-Site WaterC'' Baseline'!C$1:AH$257,30,FALSE)),"",(VLOOKUP(AG48,'F-1 Off-Site WaterC'' Baseline'!C$1:AH$257,30,FALSE))))),"")</f>
        <v/>
      </c>
      <c r="BG48" s="687" t="str">
        <f>IFERROR(IF(LEN(VLOOKUP($AG48,'F-1 Off-Site WaterC'' Baseline'!C$1:AH$257,31,FALSE))=0,"",IF(AG48="","",IF(ISNA(VLOOKUP($AG48,'F-1 Off-Site WaterC'' Baseline'!C$1:AH$257,31,FALSE)),"",(VLOOKUP(AG48,'F-1 Off-Site WaterC'' Baseline'!C$1:AH$257,31,FALSE))))),"")</f>
        <v/>
      </c>
      <c r="BH48" s="673" t="str">
        <f>IF('C-1 On-Site WaterC'' Baseline'!AU48="","",IF('C-1 On-Site WaterC'' Baseline'!AU48="Yes",TRUE,FALSE))</f>
        <v/>
      </c>
      <c r="BI48" s="673">
        <v>39</v>
      </c>
      <c r="BJ48" s="673" t="str">
        <f>IF('F-1 Off-Site WaterC'' Baseline'!AU48="","",IF('F-1 Off-Site WaterC'' Baseline'!AU48="Yes",TRUE,FALSE))</f>
        <v/>
      </c>
      <c r="BK48" s="673" t="str">
        <f t="shared" si="6"/>
        <v/>
      </c>
      <c r="BL48" s="673" t="str">
        <f>IF(AG48="","",IF(LEN(VLOOKUP($AG48,'C-1 On-Site WaterC'' Baseline'!$C$1:$AV$257,25,FALSE))=0,"",VLOOKUP(AG48,'C-1 On-Site WaterC'' Baseline'!$C$1:$AV$257,25,FALSE)))</f>
        <v/>
      </c>
      <c r="BM48" s="673" t="str">
        <f>IF(B48="","",IF(LEN(VLOOKUP($B48,'D-1 Off-Site Habitat Baseline'!$D$1:$AV$258,25,FALSE))=0,"",(VLOOKUP(B48,'D-1 Off-Site Habitat Baseline'!$D$1:$AV$258,25,FALSE))))</f>
        <v/>
      </c>
    </row>
    <row r="49" spans="2:65" ht="44.9" customHeight="1">
      <c r="B49" s="684" t="str" cm="1">
        <f t="array" ref="B49">IFERROR(INDEX($AD$10:$AD$259,MATCH(0,IF(TRUE=$AE$10:$AE$259,COUNTIF($B$42:B48,$AD$10:$AD$259),""),0)),"")</f>
        <v/>
      </c>
      <c r="C49" s="642"/>
      <c r="D49" s="642"/>
      <c r="E49" s="1545" t="str">
        <f>IF(B49="","",IF(ISNA(VLOOKUP($B49,'D-1 Off-Site Habitat Baseline'!$D$1:$AV$258,45,FALSE)),"",(VLOOKUP(B49,'D-1 Off-Site Habitat Baseline'!$D$1:$AV$258,45,FALSE))))</f>
        <v/>
      </c>
      <c r="F49" s="1545"/>
      <c r="G49" s="1545"/>
      <c r="H49" s="1573"/>
      <c r="I49" s="1573"/>
      <c r="J49" s="1573"/>
      <c r="K49" s="1534" t="str">
        <f>IF(B49="","",IF(ISNA(VLOOKUP($B49,'D-1 Off-Site Habitat Baseline'!$D$1:$AV$258,5,FALSE)),"",(VLOOKUP(B49,'D-1 Off-Site Habitat Baseline'!$D$1:$AV$258,5,FALSE))))</f>
        <v/>
      </c>
      <c r="L49" s="1534"/>
      <c r="M49" s="1534" t="str">
        <f>IF(B49="","",IF(ISNA(VLOOKUP($B49,'D-1 Off-Site Habitat Baseline'!$D$1:$AV$258,19,FALSE)),"",(VLOOKUP(B49,'D-1 Off-Site Habitat Baseline'!$D$1:$AV$258,19,FALSE))))</f>
        <v/>
      </c>
      <c r="N49" s="1534"/>
      <c r="O49" s="1534" t="str">
        <f>IF(B49="","",IF(ISNA(VLOOKUP($B49,'A-1 On-Site Habitat Baseline'!$D$1:$AV$258,17,FALSE)),"",(VLOOKUP(B49,'A-1 On-Site Habitat Baseline'!$D$1:$AV$258,17,FALSE))))</f>
        <v/>
      </c>
      <c r="P49" s="1534"/>
      <c r="Q49" s="1534"/>
      <c r="R49" s="1534"/>
      <c r="S49" s="1534" t="str">
        <f t="shared" si="9"/>
        <v/>
      </c>
      <c r="T49" s="1545"/>
      <c r="U49" s="648" t="str">
        <f t="shared" si="7"/>
        <v/>
      </c>
      <c r="V49" s="646"/>
      <c r="W49" s="646"/>
      <c r="X49" s="646"/>
      <c r="Y49" s="646"/>
      <c r="Z49" s="676" t="str">
        <f ca="1">IFERROR(IF(LEN(VLOOKUP($B49,'D-1 Off-Site Habitat Baseline'!$D$1:$AV$258,26,FALSE))=0,"",IF(B49="","",IF(ISNA(VLOOKUP($B49,'D-1 Off-Site Habitat Baseline'!$D$1:$AV$258,26,FALSE)),"",(VLOOKUP(B49,'D-1 Off-Site Habitat Baseline'!$D$1:$AV$258,26,FALSE))))),"")</f>
        <v/>
      </c>
      <c r="AA49" s="652" t="str">
        <f ca="1">IFERROR(IF(LEN(VLOOKUP($B49,'D-1 Off-Site Habitat Baseline'!$D$1:$AV$258,27,FALSE))=0,"",IF(B49="","",IF(ISNA(VLOOKUP($B49,'D-1 Off-Site Habitat Baseline'!$D$1:$AV$258,27,FALSE)),"",(VLOOKUP(B49,'D-1 Off-Site Habitat Baseline'!$D$1:$AV$258,27,FALSE))))),"")</f>
        <v/>
      </c>
      <c r="AB49" s="674" t="str">
        <f ca="1">IFERROR(IF(LEN(VLOOKUP($B49,'D-1 Off-Site Habitat Baseline'!$D$1:$AV$258,28,FALSE))=0,"",IF(B49="","",IF(ISNA(VLOOKUP($B49,'D-1 Off-Site Habitat Baseline'!$D$1:$AV$258,28,FALSE)),"",(VLOOKUP(B49,'D-1 Off-Site Habitat Baseline'!$D$1:$AV$258,28,FALSE))))),"")</f>
        <v/>
      </c>
      <c r="AC49" s="672" t="str">
        <f>IF('A-1 On-Site Habitat Baseline'!G50="","",IF('A-1 On-Site Habitat Baseline'!G50="Yes",TRUE,FALSE))</f>
        <v/>
      </c>
      <c r="AD49" s="673">
        <v>40</v>
      </c>
      <c r="AE49" s="672" t="str">
        <f>IF('D-1 Off-Site Habitat Baseline'!G50="","",IF('D-1 Off-Site Habitat Baseline'!G50="Yes",TRUE,FALSE))</f>
        <v/>
      </c>
      <c r="AG49" s="641" t="str" cm="1">
        <f t="array" ref="AG49">IFERROR(INDEX($BI$10:$BI$259,MATCH(0,IF(TRUE=$BJ$10:$BJ$259,COUNTIF($AG$42:AG48,$BI$10:$BI$259),""),0)),"")</f>
        <v/>
      </c>
      <c r="AH49" s="642"/>
      <c r="AI49" s="642"/>
      <c r="AJ49" s="1545" t="str">
        <f>IF(BH49=FALSE,"",IF(ISNA(VLOOKUP(AG49,'F-1 Off-Site WaterC'' Baseline'!C$1:D$257,2,FALSE)),"",(VLOOKUP(AG49,'F-1 Off-Site WaterC'' Baseline'!C$1:D$257,2,FALSE))))</f>
        <v/>
      </c>
      <c r="AK49" s="1545"/>
      <c r="AL49" s="1545"/>
      <c r="AM49" s="1573"/>
      <c r="AN49" s="1573"/>
      <c r="AO49" s="1573"/>
      <c r="AP49" s="1534" t="str">
        <f>IF(AG49="","",IF(ISNA(VLOOKUP($AG49,'F-1 Off-Site WaterC'' Baseline'!C$1:E$257,3,FALSE)),"",(VLOOKUP(AG49,'F-1 Off-Site WaterC'' Baseline'!C$1:E$257,3,FALSE))))</f>
        <v/>
      </c>
      <c r="AQ49" s="1534"/>
      <c r="AR49" s="1531" t="str">
        <f>IF(AG49="","",IF(ISNA(VLOOKUP($AG49,'F-1 Off-Site WaterC'' Baseline'!C$1:AA$257,22,FALSE)),"",(VLOOKUP(AG49,'F-1 Off-Site WaterC'' Baseline'!C$1:AA$257,22,FALSE))))</f>
        <v/>
      </c>
      <c r="AS49" s="1533"/>
      <c r="AT49" s="1531" t="str">
        <f>IF(AG49="","",IF(ISNA(VLOOKUP($AG49,'F-1 Off-Site WaterC'' Baseline'!C$1:AA$257,23,FALSE)),"",(VLOOKUP(AG49,'F-1 Off-Site WaterC'' Baseline'!C$1:AA$257,23,FALSE))))</f>
        <v/>
      </c>
      <c r="AU49" s="1532"/>
      <c r="AV49" s="1532"/>
      <c r="AW49" s="1533"/>
      <c r="AX49" s="1534" t="str">
        <f t="shared" si="8"/>
        <v/>
      </c>
      <c r="AY49" s="1534"/>
      <c r="AZ49" s="1535" t="str">
        <f t="shared" si="5"/>
        <v/>
      </c>
      <c r="BA49" s="1536"/>
      <c r="BB49" s="1536"/>
      <c r="BC49" s="1536"/>
      <c r="BD49" s="1537"/>
      <c r="BE49" s="652" t="str">
        <f>IFERROR(IF(LEN(VLOOKUP($AG49,'F-1 Off-Site WaterC'' Baseline'!C$1:AE$257,29,FALSE))=0,"",IF(AG49="","",IF(ISNA(VLOOKUP($AG49,'F-1 Off-Site WaterC'' Baseline'!C$1:AE$257,29,FALSE)),"",(VLOOKUP(AG49,'F-1 Off-Site WaterC'' Baseline'!C$1:AE$257,29,FALSE))))),"")</f>
        <v/>
      </c>
      <c r="BF49" s="652" t="str">
        <f>IFERROR(IF(LEN(VLOOKUP($AG49,'F-1 Off-Site WaterC'' Baseline'!C$1:AH$257,30,FALSE))=0,"",IF(AG49="","",IF(ISNA(VLOOKUP($AG49,'F-1 Off-Site WaterC'' Baseline'!C$1:AH$257,30,FALSE)),"",(VLOOKUP(AG49,'F-1 Off-Site WaterC'' Baseline'!C$1:AH$257,30,FALSE))))),"")</f>
        <v/>
      </c>
      <c r="BG49" s="687" t="str">
        <f>IFERROR(IF(LEN(VLOOKUP($AG49,'F-1 Off-Site WaterC'' Baseline'!C$1:AH$257,31,FALSE))=0,"",IF(AG49="","",IF(ISNA(VLOOKUP($AG49,'F-1 Off-Site WaterC'' Baseline'!C$1:AH$257,31,FALSE)),"",(VLOOKUP(AG49,'F-1 Off-Site WaterC'' Baseline'!C$1:AH$257,31,FALSE))))),"")</f>
        <v/>
      </c>
      <c r="BH49" s="673" t="str">
        <f>IF('C-1 On-Site WaterC'' Baseline'!AU49="","",IF('C-1 On-Site WaterC'' Baseline'!AU49="Yes",TRUE,FALSE))</f>
        <v/>
      </c>
      <c r="BI49" s="673">
        <v>40</v>
      </c>
      <c r="BJ49" s="673" t="str">
        <f>IF('F-1 Off-Site WaterC'' Baseline'!AU49="","",IF('F-1 Off-Site WaterC'' Baseline'!AU49="Yes",TRUE,FALSE))</f>
        <v/>
      </c>
      <c r="BK49" s="673" t="str">
        <f t="shared" si="6"/>
        <v/>
      </c>
      <c r="BL49" s="673" t="str">
        <f>IF(AG49="","",IF(LEN(VLOOKUP($AG49,'C-1 On-Site WaterC'' Baseline'!$C$1:$AV$257,25,FALSE))=0,"",VLOOKUP(AG49,'C-1 On-Site WaterC'' Baseline'!$C$1:$AV$257,25,FALSE)))</f>
        <v/>
      </c>
      <c r="BM49" s="673" t="str">
        <f>IF(B49="","",IF(LEN(VLOOKUP($B49,'D-1 Off-Site Habitat Baseline'!$D$1:$AV$258,25,FALSE))=0,"",(VLOOKUP(B49,'D-1 Off-Site Habitat Baseline'!$D$1:$AV$258,25,FALSE))))</f>
        <v/>
      </c>
    </row>
    <row r="50" spans="2:65" ht="44.9" customHeight="1">
      <c r="B50" s="684" t="str" cm="1">
        <f t="array" ref="B50">IFERROR(INDEX($AD$10:$AD$259,MATCH(0,IF(TRUE=$AE$10:$AE$259,COUNTIF($B$42:B49,$AD$10:$AD$259),""),0)),"")</f>
        <v/>
      </c>
      <c r="C50" s="642"/>
      <c r="D50" s="642"/>
      <c r="E50" s="1545" t="str">
        <f>IF(B50="","",IF(ISNA(VLOOKUP($B50,'D-1 Off-Site Habitat Baseline'!$D$1:$AV$258,45,FALSE)),"",(VLOOKUP(B50,'D-1 Off-Site Habitat Baseline'!$D$1:$AV$258,45,FALSE))))</f>
        <v/>
      </c>
      <c r="F50" s="1545"/>
      <c r="G50" s="1545"/>
      <c r="H50" s="1573"/>
      <c r="I50" s="1573"/>
      <c r="J50" s="1573"/>
      <c r="K50" s="1534" t="str">
        <f>IF(B50="","",IF(ISNA(VLOOKUP($B50,'D-1 Off-Site Habitat Baseline'!$D$1:$AV$258,5,FALSE)),"",(VLOOKUP(B50,'D-1 Off-Site Habitat Baseline'!$D$1:$AV$258,5,FALSE))))</f>
        <v/>
      </c>
      <c r="L50" s="1534"/>
      <c r="M50" s="1534" t="str">
        <f>IF(B50="","",IF(ISNA(VLOOKUP($B50,'D-1 Off-Site Habitat Baseline'!$D$1:$AV$258,19,FALSE)),"",(VLOOKUP(B50,'D-1 Off-Site Habitat Baseline'!$D$1:$AV$258,19,FALSE))))</f>
        <v/>
      </c>
      <c r="N50" s="1534"/>
      <c r="O50" s="1534" t="str">
        <f>IF(B50="","",IF(ISNA(VLOOKUP($B50,'A-1 On-Site Habitat Baseline'!$D$1:$AV$258,17,FALSE)),"",(VLOOKUP(B50,'A-1 On-Site Habitat Baseline'!$D$1:$AV$258,17,FALSE))))</f>
        <v/>
      </c>
      <c r="P50" s="1534"/>
      <c r="Q50" s="1534"/>
      <c r="R50" s="1534"/>
      <c r="S50" s="1534" t="str">
        <f t="shared" si="9"/>
        <v/>
      </c>
      <c r="T50" s="1545"/>
      <c r="U50" s="648" t="str">
        <f t="shared" si="7"/>
        <v/>
      </c>
      <c r="V50" s="646"/>
      <c r="W50" s="646"/>
      <c r="X50" s="646"/>
      <c r="Y50" s="646"/>
      <c r="Z50" s="676" t="str">
        <f ca="1">IFERROR(IF(LEN(VLOOKUP($B50,'D-1 Off-Site Habitat Baseline'!$D$1:$AV$258,26,FALSE))=0,"",IF(B50="","",IF(ISNA(VLOOKUP($B50,'D-1 Off-Site Habitat Baseline'!$D$1:$AV$258,26,FALSE)),"",(VLOOKUP(B50,'D-1 Off-Site Habitat Baseline'!$D$1:$AV$258,26,FALSE))))),"")</f>
        <v/>
      </c>
      <c r="AA50" s="652" t="str">
        <f ca="1">IFERROR(IF(LEN(VLOOKUP($B50,'D-1 Off-Site Habitat Baseline'!$D$1:$AV$258,27,FALSE))=0,"",IF(B50="","",IF(ISNA(VLOOKUP($B50,'D-1 Off-Site Habitat Baseline'!$D$1:$AV$258,27,FALSE)),"",(VLOOKUP(B50,'D-1 Off-Site Habitat Baseline'!$D$1:$AV$258,27,FALSE))))),"")</f>
        <v/>
      </c>
      <c r="AB50" s="674" t="str">
        <f ca="1">IFERROR(IF(LEN(VLOOKUP($B50,'D-1 Off-Site Habitat Baseline'!$D$1:$AV$258,28,FALSE))=0,"",IF(B50="","",IF(ISNA(VLOOKUP($B50,'D-1 Off-Site Habitat Baseline'!$D$1:$AV$258,28,FALSE)),"",(VLOOKUP(B50,'D-1 Off-Site Habitat Baseline'!$D$1:$AV$258,28,FALSE))))),"")</f>
        <v/>
      </c>
      <c r="AC50" s="672" t="str">
        <f>IF('A-1 On-Site Habitat Baseline'!G51="","",IF('A-1 On-Site Habitat Baseline'!G51="Yes",TRUE,FALSE))</f>
        <v/>
      </c>
      <c r="AD50" s="673">
        <v>41</v>
      </c>
      <c r="AE50" s="672" t="str">
        <f>IF('D-1 Off-Site Habitat Baseline'!G51="","",IF('D-1 Off-Site Habitat Baseline'!G51="Yes",TRUE,FALSE))</f>
        <v/>
      </c>
      <c r="AG50" s="641" t="str" cm="1">
        <f t="array" ref="AG50">IFERROR(INDEX($BI$10:$BI$259,MATCH(0,IF(TRUE=$BJ$10:$BJ$259,COUNTIF($AG$42:AG49,$BI$10:$BI$259),""),0)),"")</f>
        <v/>
      </c>
      <c r="AH50" s="642"/>
      <c r="AI50" s="642"/>
      <c r="AJ50" s="1545" t="str">
        <f>IF(BH50=FALSE,"",IF(ISNA(VLOOKUP(AG50,'F-1 Off-Site WaterC'' Baseline'!C$1:D$257,2,FALSE)),"",(VLOOKUP(AG50,'F-1 Off-Site WaterC'' Baseline'!C$1:D$257,2,FALSE))))</f>
        <v/>
      </c>
      <c r="AK50" s="1545"/>
      <c r="AL50" s="1545"/>
      <c r="AM50" s="1573"/>
      <c r="AN50" s="1573"/>
      <c r="AO50" s="1573"/>
      <c r="AP50" s="1534" t="str">
        <f>IF(AG50="","",IF(ISNA(VLOOKUP($AG50,'F-1 Off-Site WaterC'' Baseline'!C$1:E$257,3,FALSE)),"",(VLOOKUP(AG50,'F-1 Off-Site WaterC'' Baseline'!C$1:E$257,3,FALSE))))</f>
        <v/>
      </c>
      <c r="AQ50" s="1534"/>
      <c r="AR50" s="1531" t="str">
        <f>IF(AG50="","",IF(ISNA(VLOOKUP($AG50,'F-1 Off-Site WaterC'' Baseline'!C$1:AA$257,22,FALSE)),"",(VLOOKUP(AG50,'F-1 Off-Site WaterC'' Baseline'!C$1:AA$257,22,FALSE))))</f>
        <v/>
      </c>
      <c r="AS50" s="1533"/>
      <c r="AT50" s="1531" t="str">
        <f>IF(AG50="","",IF(ISNA(VLOOKUP($AG50,'F-1 Off-Site WaterC'' Baseline'!C$1:AA$257,23,FALSE)),"",(VLOOKUP(AG50,'F-1 Off-Site WaterC'' Baseline'!C$1:AA$257,23,FALSE))))</f>
        <v/>
      </c>
      <c r="AU50" s="1532"/>
      <c r="AV50" s="1532"/>
      <c r="AW50" s="1533"/>
      <c r="AX50" s="1534" t="str">
        <f t="shared" si="8"/>
        <v/>
      </c>
      <c r="AY50" s="1534"/>
      <c r="AZ50" s="1535" t="str">
        <f t="shared" si="5"/>
        <v/>
      </c>
      <c r="BA50" s="1536"/>
      <c r="BB50" s="1536"/>
      <c r="BC50" s="1536"/>
      <c r="BD50" s="1537"/>
      <c r="BE50" s="652" t="str">
        <f>IFERROR(IF(LEN(VLOOKUP($AG50,'F-1 Off-Site WaterC'' Baseline'!C$1:AE$257,29,FALSE))=0,"",IF(AG50="","",IF(ISNA(VLOOKUP($AG50,'F-1 Off-Site WaterC'' Baseline'!C$1:AE$257,29,FALSE)),"",(VLOOKUP(AG50,'F-1 Off-Site WaterC'' Baseline'!C$1:AE$257,29,FALSE))))),"")</f>
        <v/>
      </c>
      <c r="BF50" s="652" t="str">
        <f>IFERROR(IF(LEN(VLOOKUP($AG50,'F-1 Off-Site WaterC'' Baseline'!C$1:AH$257,30,FALSE))=0,"",IF(AG50="","",IF(ISNA(VLOOKUP($AG50,'F-1 Off-Site WaterC'' Baseline'!C$1:AH$257,30,FALSE)),"",(VLOOKUP(AG50,'F-1 Off-Site WaterC'' Baseline'!C$1:AH$257,30,FALSE))))),"")</f>
        <v/>
      </c>
      <c r="BG50" s="687" t="str">
        <f>IFERROR(IF(LEN(VLOOKUP($AG50,'F-1 Off-Site WaterC'' Baseline'!C$1:AH$257,31,FALSE))=0,"",IF(AG50="","",IF(ISNA(VLOOKUP($AG50,'F-1 Off-Site WaterC'' Baseline'!C$1:AH$257,31,FALSE)),"",(VLOOKUP(AG50,'F-1 Off-Site WaterC'' Baseline'!C$1:AH$257,31,FALSE))))),"")</f>
        <v/>
      </c>
      <c r="BH50" s="673" t="str">
        <f>IF('C-1 On-Site WaterC'' Baseline'!AU50="","",IF('C-1 On-Site WaterC'' Baseline'!AU50="Yes",TRUE,FALSE))</f>
        <v/>
      </c>
      <c r="BI50" s="673">
        <v>41</v>
      </c>
      <c r="BJ50" s="673" t="str">
        <f>IF('F-1 Off-Site WaterC'' Baseline'!AU50="","",IF('F-1 Off-Site WaterC'' Baseline'!AU50="Yes",TRUE,FALSE))</f>
        <v/>
      </c>
      <c r="BK50" s="673" t="str">
        <f t="shared" si="6"/>
        <v/>
      </c>
      <c r="BL50" s="673" t="str">
        <f>IF(AG50="","",IF(LEN(VLOOKUP($AG50,'C-1 On-Site WaterC'' Baseline'!$C$1:$AV$257,25,FALSE))=0,"",VLOOKUP(AG50,'C-1 On-Site WaterC'' Baseline'!$C$1:$AV$257,25,FALSE)))</f>
        <v/>
      </c>
      <c r="BM50" s="673" t="str">
        <f>IF(B50="","",IF(LEN(VLOOKUP($B50,'D-1 Off-Site Habitat Baseline'!$D$1:$AV$258,25,FALSE))=0,"",(VLOOKUP(B50,'D-1 Off-Site Habitat Baseline'!$D$1:$AV$258,25,FALSE))))</f>
        <v/>
      </c>
    </row>
    <row r="51" spans="2:65" ht="44.9" customHeight="1">
      <c r="B51" s="684" t="str" cm="1">
        <f t="array" ref="B51">IFERROR(INDEX($AD$10:$AD$259,MATCH(0,IF(TRUE=$AE$10:$AE$259,COUNTIF($B$42:B50,$AD$10:$AD$259),""),0)),"")</f>
        <v/>
      </c>
      <c r="C51" s="642"/>
      <c r="D51" s="642"/>
      <c r="E51" s="1545" t="str">
        <f>IF(B51="","",IF(ISNA(VLOOKUP($B51,'D-1 Off-Site Habitat Baseline'!$D$1:$AV$258,45,FALSE)),"",(VLOOKUP(B51,'D-1 Off-Site Habitat Baseline'!$D$1:$AV$258,45,FALSE))))</f>
        <v/>
      </c>
      <c r="F51" s="1545"/>
      <c r="G51" s="1545"/>
      <c r="H51" s="1573"/>
      <c r="I51" s="1573"/>
      <c r="J51" s="1573"/>
      <c r="K51" s="1534" t="str">
        <f>IF(B51="","",IF(ISNA(VLOOKUP($B51,'D-1 Off-Site Habitat Baseline'!$D$1:$AV$258,5,FALSE)),"",(VLOOKUP(B51,'D-1 Off-Site Habitat Baseline'!$D$1:$AV$258,5,FALSE))))</f>
        <v/>
      </c>
      <c r="L51" s="1534"/>
      <c r="M51" s="1534" t="str">
        <f>IF(B51="","",IF(ISNA(VLOOKUP($B51,'D-1 Off-Site Habitat Baseline'!$D$1:$AV$258,19,FALSE)),"",(VLOOKUP(B51,'D-1 Off-Site Habitat Baseline'!$D$1:$AV$258,19,FALSE))))</f>
        <v/>
      </c>
      <c r="N51" s="1534"/>
      <c r="O51" s="1534" t="str">
        <f>IF(B51="","",IF(ISNA(VLOOKUP($B51,'A-1 On-Site Habitat Baseline'!$D$1:$AV$258,17,FALSE)),"",(VLOOKUP(B51,'A-1 On-Site Habitat Baseline'!$D$1:$AV$258,17,FALSE))))</f>
        <v/>
      </c>
      <c r="P51" s="1534"/>
      <c r="Q51" s="1534"/>
      <c r="R51" s="1534"/>
      <c r="S51" s="1534" t="str">
        <f t="shared" si="9"/>
        <v/>
      </c>
      <c r="T51" s="1545"/>
      <c r="U51" s="648" t="str">
        <f t="shared" si="7"/>
        <v/>
      </c>
      <c r="V51" s="646"/>
      <c r="W51" s="646"/>
      <c r="X51" s="646"/>
      <c r="Y51" s="646"/>
      <c r="Z51" s="676" t="str">
        <f ca="1">IFERROR(IF(LEN(VLOOKUP($B51,'D-1 Off-Site Habitat Baseline'!$D$1:$AV$258,26,FALSE))=0,"",IF(B51="","",IF(ISNA(VLOOKUP($B51,'D-1 Off-Site Habitat Baseline'!$D$1:$AV$258,26,FALSE)),"",(VLOOKUP(B51,'D-1 Off-Site Habitat Baseline'!$D$1:$AV$258,26,FALSE))))),"")</f>
        <v/>
      </c>
      <c r="AA51" s="652" t="str">
        <f ca="1">IFERROR(IF(LEN(VLOOKUP($B51,'D-1 Off-Site Habitat Baseline'!$D$1:$AV$258,27,FALSE))=0,"",IF(B51="","",IF(ISNA(VLOOKUP($B51,'D-1 Off-Site Habitat Baseline'!$D$1:$AV$258,27,FALSE)),"",(VLOOKUP(B51,'D-1 Off-Site Habitat Baseline'!$D$1:$AV$258,27,FALSE))))),"")</f>
        <v/>
      </c>
      <c r="AB51" s="674" t="str">
        <f ca="1">IFERROR(IF(LEN(VLOOKUP($B51,'D-1 Off-Site Habitat Baseline'!$D$1:$AV$258,28,FALSE))=0,"",IF(B51="","",IF(ISNA(VLOOKUP($B51,'D-1 Off-Site Habitat Baseline'!$D$1:$AV$258,28,FALSE)),"",(VLOOKUP(B51,'D-1 Off-Site Habitat Baseline'!$D$1:$AV$258,28,FALSE))))),"")</f>
        <v/>
      </c>
      <c r="AC51" s="672" t="str">
        <f>IF('A-1 On-Site Habitat Baseline'!G52="","",IF('A-1 On-Site Habitat Baseline'!G52="Yes",TRUE,FALSE))</f>
        <v/>
      </c>
      <c r="AD51" s="673">
        <v>42</v>
      </c>
      <c r="AE51" s="672" t="str">
        <f>IF('D-1 Off-Site Habitat Baseline'!G52="","",IF('D-1 Off-Site Habitat Baseline'!G52="Yes",TRUE,FALSE))</f>
        <v/>
      </c>
      <c r="AG51" s="641" t="str" cm="1">
        <f t="array" ref="AG51">IFERROR(INDEX($BI$10:$BI$259,MATCH(0,IF(TRUE=$BJ$10:$BJ$259,COUNTIF($AG$42:AG50,$BI$10:$BI$259),""),0)),"")</f>
        <v/>
      </c>
      <c r="AH51" s="642"/>
      <c r="AI51" s="642"/>
      <c r="AJ51" s="1545" t="str">
        <f>IF(BH51=FALSE,"",IF(ISNA(VLOOKUP(AG51,'F-1 Off-Site WaterC'' Baseline'!C$1:D$257,2,FALSE)),"",(VLOOKUP(AG51,'F-1 Off-Site WaterC'' Baseline'!C$1:D$257,2,FALSE))))</f>
        <v/>
      </c>
      <c r="AK51" s="1545"/>
      <c r="AL51" s="1545"/>
      <c r="AM51" s="1573"/>
      <c r="AN51" s="1573"/>
      <c r="AO51" s="1573"/>
      <c r="AP51" s="1534" t="str">
        <f>IF(AG51="","",IF(ISNA(VLOOKUP($AG51,'F-1 Off-Site WaterC'' Baseline'!C$1:E$257,3,FALSE)),"",(VLOOKUP(AG51,'F-1 Off-Site WaterC'' Baseline'!C$1:E$257,3,FALSE))))</f>
        <v/>
      </c>
      <c r="AQ51" s="1534"/>
      <c r="AR51" s="1531" t="str">
        <f>IF(AG51="","",IF(ISNA(VLOOKUP($AG51,'F-1 Off-Site WaterC'' Baseline'!C$1:AA$257,22,FALSE)),"",(VLOOKUP(AG51,'F-1 Off-Site WaterC'' Baseline'!C$1:AA$257,22,FALSE))))</f>
        <v/>
      </c>
      <c r="AS51" s="1533"/>
      <c r="AT51" s="1531" t="str">
        <f>IF(AG51="","",IF(ISNA(VLOOKUP($AG51,'F-1 Off-Site WaterC'' Baseline'!C$1:AA$257,23,FALSE)),"",(VLOOKUP(AG51,'F-1 Off-Site WaterC'' Baseline'!C$1:AA$257,23,FALSE))))</f>
        <v/>
      </c>
      <c r="AU51" s="1532"/>
      <c r="AV51" s="1532"/>
      <c r="AW51" s="1533"/>
      <c r="AX51" s="1534" t="str">
        <f t="shared" si="8"/>
        <v/>
      </c>
      <c r="AY51" s="1534"/>
      <c r="AZ51" s="1535" t="str">
        <f t="shared" si="5"/>
        <v/>
      </c>
      <c r="BA51" s="1536"/>
      <c r="BB51" s="1536"/>
      <c r="BC51" s="1536"/>
      <c r="BD51" s="1537"/>
      <c r="BE51" s="652" t="str">
        <f>IFERROR(IF(LEN(VLOOKUP($AG51,'F-1 Off-Site WaterC'' Baseline'!C$1:AE$257,29,FALSE))=0,"",IF(AG51="","",IF(ISNA(VLOOKUP($AG51,'F-1 Off-Site WaterC'' Baseline'!C$1:AE$257,29,FALSE)),"",(VLOOKUP(AG51,'F-1 Off-Site WaterC'' Baseline'!C$1:AE$257,29,FALSE))))),"")</f>
        <v/>
      </c>
      <c r="BF51" s="652" t="str">
        <f>IFERROR(IF(LEN(VLOOKUP($AG51,'F-1 Off-Site WaterC'' Baseline'!C$1:AH$257,30,FALSE))=0,"",IF(AG51="","",IF(ISNA(VLOOKUP($AG51,'F-1 Off-Site WaterC'' Baseline'!C$1:AH$257,30,FALSE)),"",(VLOOKUP(AG51,'F-1 Off-Site WaterC'' Baseline'!C$1:AH$257,30,FALSE))))),"")</f>
        <v/>
      </c>
      <c r="BG51" s="687" t="str">
        <f>IFERROR(IF(LEN(VLOOKUP($AG51,'F-1 Off-Site WaterC'' Baseline'!C$1:AH$257,31,FALSE))=0,"",IF(AG51="","",IF(ISNA(VLOOKUP($AG51,'F-1 Off-Site WaterC'' Baseline'!C$1:AH$257,31,FALSE)),"",(VLOOKUP(AG51,'F-1 Off-Site WaterC'' Baseline'!C$1:AH$257,31,FALSE))))),"")</f>
        <v/>
      </c>
      <c r="BH51" s="673" t="str">
        <f>IF('C-1 On-Site WaterC'' Baseline'!AU51="","",IF('C-1 On-Site WaterC'' Baseline'!AU51="Yes",TRUE,FALSE))</f>
        <v/>
      </c>
      <c r="BI51" s="673">
        <v>42</v>
      </c>
      <c r="BJ51" s="673" t="str">
        <f>IF('F-1 Off-Site WaterC'' Baseline'!AU51="","",IF('F-1 Off-Site WaterC'' Baseline'!AU51="Yes",TRUE,FALSE))</f>
        <v/>
      </c>
      <c r="BK51" s="673" t="str">
        <f t="shared" si="6"/>
        <v/>
      </c>
      <c r="BL51" s="673" t="str">
        <f>IF(AG51="","",IF(LEN(VLOOKUP($AG51,'C-1 On-Site WaterC'' Baseline'!$C$1:$AV$257,25,FALSE))=0,"",VLOOKUP(AG51,'C-1 On-Site WaterC'' Baseline'!$C$1:$AV$257,25,FALSE)))</f>
        <v/>
      </c>
      <c r="BM51" s="673" t="str">
        <f>IF(B51="","",IF(LEN(VLOOKUP($B51,'D-1 Off-Site Habitat Baseline'!$D$1:$AV$258,25,FALSE))=0,"",(VLOOKUP(B51,'D-1 Off-Site Habitat Baseline'!$D$1:$AV$258,25,FALSE))))</f>
        <v/>
      </c>
    </row>
    <row r="52" spans="2:65" ht="44.9" customHeight="1">
      <c r="B52" s="684" t="str" cm="1">
        <f t="array" ref="B52">IFERROR(INDEX($AD$10:$AD$259,MATCH(0,IF(TRUE=$AE$10:$AE$259,COUNTIF($B$42:B51,$AD$10:$AD$259),""),0)),"")</f>
        <v/>
      </c>
      <c r="C52" s="642"/>
      <c r="D52" s="642"/>
      <c r="E52" s="1545" t="str">
        <f>IF(B52="","",IF(ISNA(VLOOKUP($B52,'D-1 Off-Site Habitat Baseline'!$D$1:$AV$258,45,FALSE)),"",(VLOOKUP(B52,'D-1 Off-Site Habitat Baseline'!$D$1:$AV$258,45,FALSE))))</f>
        <v/>
      </c>
      <c r="F52" s="1545"/>
      <c r="G52" s="1545"/>
      <c r="H52" s="1573"/>
      <c r="I52" s="1573"/>
      <c r="J52" s="1573"/>
      <c r="K52" s="1534" t="str">
        <f>IF(B52="","",IF(ISNA(VLOOKUP($B52,'D-1 Off-Site Habitat Baseline'!$D$1:$AV$258,5,FALSE)),"",(VLOOKUP(B52,'D-1 Off-Site Habitat Baseline'!$D$1:$AV$258,5,FALSE))))</f>
        <v/>
      </c>
      <c r="L52" s="1534"/>
      <c r="M52" s="1534" t="str">
        <f>IF(B52="","",IF(ISNA(VLOOKUP($B52,'D-1 Off-Site Habitat Baseline'!$D$1:$AV$258,19,FALSE)),"",(VLOOKUP(B52,'D-1 Off-Site Habitat Baseline'!$D$1:$AV$258,19,FALSE))))</f>
        <v/>
      </c>
      <c r="N52" s="1534"/>
      <c r="O52" s="1534" t="str">
        <f>IF(B52="","",IF(ISNA(VLOOKUP($B52,'A-1 On-Site Habitat Baseline'!$D$1:$AV$258,17,FALSE)),"",(VLOOKUP(B52,'A-1 On-Site Habitat Baseline'!$D$1:$AV$258,17,FALSE))))</f>
        <v/>
      </c>
      <c r="P52" s="1534"/>
      <c r="Q52" s="1534"/>
      <c r="R52" s="1534"/>
      <c r="S52" s="1534" t="str">
        <f t="shared" si="9"/>
        <v/>
      </c>
      <c r="T52" s="1545"/>
      <c r="U52" s="648" t="str">
        <f t="shared" si="7"/>
        <v/>
      </c>
      <c r="V52" s="646"/>
      <c r="W52" s="646"/>
      <c r="X52" s="646"/>
      <c r="Y52" s="646"/>
      <c r="Z52" s="676" t="str">
        <f ca="1">IFERROR(IF(LEN(VLOOKUP($B52,'D-1 Off-Site Habitat Baseline'!$D$1:$AV$258,26,FALSE))=0,"",IF(B52="","",IF(ISNA(VLOOKUP($B52,'D-1 Off-Site Habitat Baseline'!$D$1:$AV$258,26,FALSE)),"",(VLOOKUP(B52,'D-1 Off-Site Habitat Baseline'!$D$1:$AV$258,26,FALSE))))),"")</f>
        <v/>
      </c>
      <c r="AA52" s="652" t="str">
        <f ca="1">IFERROR(IF(LEN(VLOOKUP($B52,'D-1 Off-Site Habitat Baseline'!$D$1:$AV$258,27,FALSE))=0,"",IF(B52="","",IF(ISNA(VLOOKUP($B52,'D-1 Off-Site Habitat Baseline'!$D$1:$AV$258,27,FALSE)),"",(VLOOKUP(B52,'D-1 Off-Site Habitat Baseline'!$D$1:$AV$258,27,FALSE))))),"")</f>
        <v/>
      </c>
      <c r="AB52" s="674" t="str">
        <f ca="1">IFERROR(IF(LEN(VLOOKUP($B52,'D-1 Off-Site Habitat Baseline'!$D$1:$AV$258,28,FALSE))=0,"",IF(B52="","",IF(ISNA(VLOOKUP($B52,'D-1 Off-Site Habitat Baseline'!$D$1:$AV$258,28,FALSE)),"",(VLOOKUP(B52,'D-1 Off-Site Habitat Baseline'!$D$1:$AV$258,28,FALSE))))),"")</f>
        <v/>
      </c>
      <c r="AC52" s="672" t="str">
        <f>IF('A-1 On-Site Habitat Baseline'!G53="","",IF('A-1 On-Site Habitat Baseline'!G53="Yes",TRUE,FALSE))</f>
        <v/>
      </c>
      <c r="AD52" s="673">
        <v>43</v>
      </c>
      <c r="AE52" s="672" t="str">
        <f>IF('D-1 Off-Site Habitat Baseline'!G53="","",IF('D-1 Off-Site Habitat Baseline'!G53="Yes",TRUE,FALSE))</f>
        <v/>
      </c>
      <c r="AG52" s="641" t="str" cm="1">
        <f t="array" ref="AG52">IFERROR(INDEX($BI$10:$BI$259,MATCH(0,IF(TRUE=$BJ$10:$BJ$259,COUNTIF($AG$42:AG51,$BI$10:$BI$259),""),0)),"")</f>
        <v/>
      </c>
      <c r="AH52" s="642"/>
      <c r="AI52" s="642"/>
      <c r="AJ52" s="1545" t="str">
        <f>IF(BH52=FALSE,"",IF(ISNA(VLOOKUP(AG52,'F-1 Off-Site WaterC'' Baseline'!C$1:D$257,2,FALSE)),"",(VLOOKUP(AG52,'F-1 Off-Site WaterC'' Baseline'!C$1:D$257,2,FALSE))))</f>
        <v/>
      </c>
      <c r="AK52" s="1545"/>
      <c r="AL52" s="1545"/>
      <c r="AM52" s="1573"/>
      <c r="AN52" s="1573"/>
      <c r="AO52" s="1573"/>
      <c r="AP52" s="1534" t="str">
        <f>IF(AG52="","",IF(ISNA(VLOOKUP($AG52,'F-1 Off-Site WaterC'' Baseline'!C$1:E$257,3,FALSE)),"",(VLOOKUP(AG52,'F-1 Off-Site WaterC'' Baseline'!C$1:E$257,3,FALSE))))</f>
        <v/>
      </c>
      <c r="AQ52" s="1534"/>
      <c r="AR52" s="1531" t="str">
        <f>IF(AG52="","",IF(ISNA(VLOOKUP($AG52,'F-1 Off-Site WaterC'' Baseline'!C$1:AA$257,22,FALSE)),"",(VLOOKUP(AG52,'F-1 Off-Site WaterC'' Baseline'!C$1:AA$257,22,FALSE))))</f>
        <v/>
      </c>
      <c r="AS52" s="1533"/>
      <c r="AT52" s="1531" t="str">
        <f>IF(AG52="","",IF(ISNA(VLOOKUP($AG52,'F-1 Off-Site WaterC'' Baseline'!C$1:AA$257,23,FALSE)),"",(VLOOKUP(AG52,'F-1 Off-Site WaterC'' Baseline'!C$1:AA$257,23,FALSE))))</f>
        <v/>
      </c>
      <c r="AU52" s="1532"/>
      <c r="AV52" s="1532"/>
      <c r="AW52" s="1533"/>
      <c r="AX52" s="1534" t="str">
        <f t="shared" si="8"/>
        <v/>
      </c>
      <c r="AY52" s="1534"/>
      <c r="AZ52" s="1535" t="str">
        <f t="shared" si="5"/>
        <v/>
      </c>
      <c r="BA52" s="1536"/>
      <c r="BB52" s="1536"/>
      <c r="BC52" s="1536"/>
      <c r="BD52" s="1537"/>
      <c r="BE52" s="652" t="str">
        <f>IFERROR(IF(LEN(VLOOKUP($AG52,'F-1 Off-Site WaterC'' Baseline'!C$1:AE$257,29,FALSE))=0,"",IF(AG52="","",IF(ISNA(VLOOKUP($AG52,'F-1 Off-Site WaterC'' Baseline'!C$1:AE$257,29,FALSE)),"",(VLOOKUP(AG52,'F-1 Off-Site WaterC'' Baseline'!C$1:AE$257,29,FALSE))))),"")</f>
        <v/>
      </c>
      <c r="BF52" s="652" t="str">
        <f>IFERROR(IF(LEN(VLOOKUP($AG52,'F-1 Off-Site WaterC'' Baseline'!C$1:AH$257,30,FALSE))=0,"",IF(AG52="","",IF(ISNA(VLOOKUP($AG52,'F-1 Off-Site WaterC'' Baseline'!C$1:AH$257,30,FALSE)),"",(VLOOKUP(AG52,'F-1 Off-Site WaterC'' Baseline'!C$1:AH$257,30,FALSE))))),"")</f>
        <v/>
      </c>
      <c r="BG52" s="687" t="str">
        <f>IFERROR(IF(LEN(VLOOKUP($AG52,'F-1 Off-Site WaterC'' Baseline'!C$1:AH$257,31,FALSE))=0,"",IF(AG52="","",IF(ISNA(VLOOKUP($AG52,'F-1 Off-Site WaterC'' Baseline'!C$1:AH$257,31,FALSE)),"",(VLOOKUP(AG52,'F-1 Off-Site WaterC'' Baseline'!C$1:AH$257,31,FALSE))))),"")</f>
        <v/>
      </c>
      <c r="BH52" s="673" t="str">
        <f>IF('C-1 On-Site WaterC'' Baseline'!AU52="","",IF('C-1 On-Site WaterC'' Baseline'!AU52="Yes",TRUE,FALSE))</f>
        <v/>
      </c>
      <c r="BI52" s="673">
        <v>43</v>
      </c>
      <c r="BJ52" s="673" t="str">
        <f>IF('F-1 Off-Site WaterC'' Baseline'!AU52="","",IF('F-1 Off-Site WaterC'' Baseline'!AU52="Yes",TRUE,FALSE))</f>
        <v/>
      </c>
      <c r="BK52" s="673" t="str">
        <f t="shared" si="6"/>
        <v/>
      </c>
      <c r="BL52" s="673" t="str">
        <f>IF(AG52="","",IF(LEN(VLOOKUP($AG52,'C-1 On-Site WaterC'' Baseline'!$C$1:$AV$257,25,FALSE))=0,"",VLOOKUP(AG52,'C-1 On-Site WaterC'' Baseline'!$C$1:$AV$257,25,FALSE)))</f>
        <v/>
      </c>
      <c r="BM52" s="673" t="str">
        <f>IF(B52="","",IF(LEN(VLOOKUP($B52,'D-1 Off-Site Habitat Baseline'!$D$1:$AV$258,25,FALSE))=0,"",(VLOOKUP(B52,'D-1 Off-Site Habitat Baseline'!$D$1:$AV$258,25,FALSE))))</f>
        <v/>
      </c>
    </row>
    <row r="53" spans="2:65" ht="44.9" customHeight="1">
      <c r="B53" s="684" t="str" cm="1">
        <f t="array" ref="B53">IFERROR(INDEX($AD$10:$AD$259,MATCH(0,IF(TRUE=$AE$10:$AE$259,COUNTIF($B$42:B52,$AD$10:$AD$259),""),0)),"")</f>
        <v/>
      </c>
      <c r="C53" s="642"/>
      <c r="D53" s="642"/>
      <c r="E53" s="1545" t="str">
        <f>IF(B53="","",IF(ISNA(VLOOKUP($B53,'D-1 Off-Site Habitat Baseline'!$D$1:$AV$258,45,FALSE)),"",(VLOOKUP(B53,'D-1 Off-Site Habitat Baseline'!$D$1:$AV$258,45,FALSE))))</f>
        <v/>
      </c>
      <c r="F53" s="1545"/>
      <c r="G53" s="1545"/>
      <c r="H53" s="1573"/>
      <c r="I53" s="1573"/>
      <c r="J53" s="1573"/>
      <c r="K53" s="1534" t="str">
        <f>IF(B53="","",IF(ISNA(VLOOKUP($B53,'D-1 Off-Site Habitat Baseline'!$D$1:$AV$258,5,FALSE)),"",(VLOOKUP(B53,'D-1 Off-Site Habitat Baseline'!$D$1:$AV$258,5,FALSE))))</f>
        <v/>
      </c>
      <c r="L53" s="1534"/>
      <c r="M53" s="1534" t="str">
        <f>IF(B53="","",IF(ISNA(VLOOKUP($B53,'D-1 Off-Site Habitat Baseline'!$D$1:$AV$258,19,FALSE)),"",(VLOOKUP(B53,'D-1 Off-Site Habitat Baseline'!$D$1:$AV$258,19,FALSE))))</f>
        <v/>
      </c>
      <c r="N53" s="1534"/>
      <c r="O53" s="1534" t="str">
        <f>IF(B53="","",IF(ISNA(VLOOKUP($B53,'A-1 On-Site Habitat Baseline'!$D$1:$AV$258,17,FALSE)),"",(VLOOKUP(B53,'A-1 On-Site Habitat Baseline'!$D$1:$AV$258,17,FALSE))))</f>
        <v/>
      </c>
      <c r="P53" s="1534"/>
      <c r="Q53" s="1534"/>
      <c r="R53" s="1534"/>
      <c r="S53" s="1534" t="str">
        <f t="shared" si="9"/>
        <v/>
      </c>
      <c r="T53" s="1545"/>
      <c r="U53" s="648" t="str">
        <f t="shared" si="7"/>
        <v/>
      </c>
      <c r="V53" s="646"/>
      <c r="W53" s="646"/>
      <c r="X53" s="646"/>
      <c r="Y53" s="646"/>
      <c r="Z53" s="676" t="str">
        <f ca="1">IFERROR(IF(LEN(VLOOKUP($B53,'D-1 Off-Site Habitat Baseline'!$D$1:$AV$258,26,FALSE))=0,"",IF(B53="","",IF(ISNA(VLOOKUP($B53,'D-1 Off-Site Habitat Baseline'!$D$1:$AV$258,26,FALSE)),"",(VLOOKUP(B53,'D-1 Off-Site Habitat Baseline'!$D$1:$AV$258,26,FALSE))))),"")</f>
        <v/>
      </c>
      <c r="AA53" s="652" t="str">
        <f ca="1">IFERROR(IF(LEN(VLOOKUP($B53,'D-1 Off-Site Habitat Baseline'!$D$1:$AV$258,27,FALSE))=0,"",IF(B53="","",IF(ISNA(VLOOKUP($B53,'D-1 Off-Site Habitat Baseline'!$D$1:$AV$258,27,FALSE)),"",(VLOOKUP(B53,'D-1 Off-Site Habitat Baseline'!$D$1:$AV$258,27,FALSE))))),"")</f>
        <v/>
      </c>
      <c r="AB53" s="674" t="str">
        <f ca="1">IFERROR(IF(LEN(VLOOKUP($B53,'D-1 Off-Site Habitat Baseline'!$D$1:$AV$258,28,FALSE))=0,"",IF(B53="","",IF(ISNA(VLOOKUP($B53,'D-1 Off-Site Habitat Baseline'!$D$1:$AV$258,28,FALSE)),"",(VLOOKUP(B53,'D-1 Off-Site Habitat Baseline'!$D$1:$AV$258,28,FALSE))))),"")</f>
        <v/>
      </c>
      <c r="AC53" s="672" t="str">
        <f>IF('A-1 On-Site Habitat Baseline'!G54="","",IF('A-1 On-Site Habitat Baseline'!G54="Yes",TRUE,FALSE))</f>
        <v/>
      </c>
      <c r="AD53" s="673">
        <v>44</v>
      </c>
      <c r="AE53" s="672" t="str">
        <f>IF('D-1 Off-Site Habitat Baseline'!G54="","",IF('D-1 Off-Site Habitat Baseline'!G54="Yes",TRUE,FALSE))</f>
        <v/>
      </c>
      <c r="AG53" s="641" t="str" cm="1">
        <f t="array" ref="AG53">IFERROR(INDEX($BI$10:$BI$259,MATCH(0,IF(TRUE=$BJ$10:$BJ$259,COUNTIF($AG$42:AG52,$BI$10:$BI$259),""),0)),"")</f>
        <v/>
      </c>
      <c r="AH53" s="642"/>
      <c r="AI53" s="642"/>
      <c r="AJ53" s="1545" t="str">
        <f>IF(BH53=FALSE,"",IF(ISNA(VLOOKUP(AG53,'F-1 Off-Site WaterC'' Baseline'!C$1:D$257,2,FALSE)),"",(VLOOKUP(AG53,'F-1 Off-Site WaterC'' Baseline'!C$1:D$257,2,FALSE))))</f>
        <v/>
      </c>
      <c r="AK53" s="1545"/>
      <c r="AL53" s="1545"/>
      <c r="AM53" s="1573"/>
      <c r="AN53" s="1573"/>
      <c r="AO53" s="1573"/>
      <c r="AP53" s="1534" t="str">
        <f>IF(AG53="","",IF(ISNA(VLOOKUP($AG53,'F-1 Off-Site WaterC'' Baseline'!C$1:E$257,3,FALSE)),"",(VLOOKUP(AG53,'F-1 Off-Site WaterC'' Baseline'!C$1:E$257,3,FALSE))))</f>
        <v/>
      </c>
      <c r="AQ53" s="1534"/>
      <c r="AR53" s="1531" t="str">
        <f>IF(AG53="","",IF(ISNA(VLOOKUP($AG53,'F-1 Off-Site WaterC'' Baseline'!C$1:AA$257,22,FALSE)),"",(VLOOKUP(AG53,'F-1 Off-Site WaterC'' Baseline'!C$1:AA$257,22,FALSE))))</f>
        <v/>
      </c>
      <c r="AS53" s="1533"/>
      <c r="AT53" s="1531" t="str">
        <f>IF(AG53="","",IF(ISNA(VLOOKUP($AG53,'F-1 Off-Site WaterC'' Baseline'!C$1:AA$257,23,FALSE)),"",(VLOOKUP(AG53,'F-1 Off-Site WaterC'' Baseline'!C$1:AA$257,23,FALSE))))</f>
        <v/>
      </c>
      <c r="AU53" s="1532"/>
      <c r="AV53" s="1532"/>
      <c r="AW53" s="1533"/>
      <c r="AX53" s="1534" t="str">
        <f t="shared" si="8"/>
        <v/>
      </c>
      <c r="AY53" s="1534"/>
      <c r="AZ53" s="1535" t="str">
        <f t="shared" si="5"/>
        <v/>
      </c>
      <c r="BA53" s="1536"/>
      <c r="BB53" s="1536"/>
      <c r="BC53" s="1536"/>
      <c r="BD53" s="1537"/>
      <c r="BE53" s="652" t="str">
        <f>IFERROR(IF(LEN(VLOOKUP($AG53,'F-1 Off-Site WaterC'' Baseline'!C$1:AE$257,29,FALSE))=0,"",IF(AG53="","",IF(ISNA(VLOOKUP($AG53,'F-1 Off-Site WaterC'' Baseline'!C$1:AE$257,29,FALSE)),"",(VLOOKUP(AG53,'F-1 Off-Site WaterC'' Baseline'!C$1:AE$257,29,FALSE))))),"")</f>
        <v/>
      </c>
      <c r="BF53" s="652" t="str">
        <f>IFERROR(IF(LEN(VLOOKUP($AG53,'F-1 Off-Site WaterC'' Baseline'!C$1:AH$257,30,FALSE))=0,"",IF(AG53="","",IF(ISNA(VLOOKUP($AG53,'F-1 Off-Site WaterC'' Baseline'!C$1:AH$257,30,FALSE)),"",(VLOOKUP(AG53,'F-1 Off-Site WaterC'' Baseline'!C$1:AH$257,30,FALSE))))),"")</f>
        <v/>
      </c>
      <c r="BG53" s="687" t="str">
        <f>IFERROR(IF(LEN(VLOOKUP($AG53,'F-1 Off-Site WaterC'' Baseline'!C$1:AH$257,31,FALSE))=0,"",IF(AG53="","",IF(ISNA(VLOOKUP($AG53,'F-1 Off-Site WaterC'' Baseline'!C$1:AH$257,31,FALSE)),"",(VLOOKUP(AG53,'F-1 Off-Site WaterC'' Baseline'!C$1:AH$257,31,FALSE))))),"")</f>
        <v/>
      </c>
      <c r="BH53" s="673" t="str">
        <f>IF('C-1 On-Site WaterC'' Baseline'!AU53="","",IF('C-1 On-Site WaterC'' Baseline'!AU53="Yes",TRUE,FALSE))</f>
        <v/>
      </c>
      <c r="BI53" s="673">
        <v>44</v>
      </c>
      <c r="BJ53" s="673" t="str">
        <f>IF('F-1 Off-Site WaterC'' Baseline'!AU53="","",IF('F-1 Off-Site WaterC'' Baseline'!AU53="Yes",TRUE,FALSE))</f>
        <v/>
      </c>
      <c r="BK53" s="673" t="str">
        <f t="shared" si="6"/>
        <v/>
      </c>
      <c r="BL53" s="673" t="str">
        <f>IF(AG53="","",IF(LEN(VLOOKUP($AG53,'C-1 On-Site WaterC'' Baseline'!$C$1:$AV$257,25,FALSE))=0,"",VLOOKUP(AG53,'C-1 On-Site WaterC'' Baseline'!$C$1:$AV$257,25,FALSE)))</f>
        <v/>
      </c>
      <c r="BM53" s="673" t="str">
        <f>IF(B53="","",IF(LEN(VLOOKUP($B53,'D-1 Off-Site Habitat Baseline'!$D$1:$AV$258,25,FALSE))=0,"",(VLOOKUP(B53,'D-1 Off-Site Habitat Baseline'!$D$1:$AV$258,25,FALSE))))</f>
        <v/>
      </c>
    </row>
    <row r="54" spans="2:65" ht="44.9" customHeight="1">
      <c r="B54" s="684" t="str" cm="1">
        <f t="array" ref="B54">IFERROR(INDEX($AD$10:$AD$259,MATCH(0,IF(TRUE=$AE$10:$AE$259,COUNTIF($B$42:B53,$AD$10:$AD$259),""),0)),"")</f>
        <v/>
      </c>
      <c r="C54" s="642"/>
      <c r="D54" s="642"/>
      <c r="E54" s="1545" t="str">
        <f>IF(B54="","",IF(ISNA(VLOOKUP($B54,'D-1 Off-Site Habitat Baseline'!$D$1:$AV$258,45,FALSE)),"",(VLOOKUP(B54,'D-1 Off-Site Habitat Baseline'!$D$1:$AV$258,45,FALSE))))</f>
        <v/>
      </c>
      <c r="F54" s="1545"/>
      <c r="G54" s="1545"/>
      <c r="H54" s="1573"/>
      <c r="I54" s="1573"/>
      <c r="J54" s="1573"/>
      <c r="K54" s="1534" t="str">
        <f>IF(B54="","",IF(ISNA(VLOOKUP($B54,'D-1 Off-Site Habitat Baseline'!$D$1:$AV$258,5,FALSE)),"",(VLOOKUP(B54,'D-1 Off-Site Habitat Baseline'!$D$1:$AV$258,5,FALSE))))</f>
        <v/>
      </c>
      <c r="L54" s="1534"/>
      <c r="M54" s="1534" t="str">
        <f>IF(B54="","",IF(ISNA(VLOOKUP($B54,'D-1 Off-Site Habitat Baseline'!$D$1:$AV$258,19,FALSE)),"",(VLOOKUP(B54,'D-1 Off-Site Habitat Baseline'!$D$1:$AV$258,19,FALSE))))</f>
        <v/>
      </c>
      <c r="N54" s="1534"/>
      <c r="O54" s="1534" t="str">
        <f>IF(B54="","",IF(ISNA(VLOOKUP($B54,'A-1 On-Site Habitat Baseline'!$D$1:$AV$258,17,FALSE)),"",(VLOOKUP(B54,'A-1 On-Site Habitat Baseline'!$D$1:$AV$258,17,FALSE))))</f>
        <v/>
      </c>
      <c r="P54" s="1534"/>
      <c r="Q54" s="1534"/>
      <c r="R54" s="1534"/>
      <c r="S54" s="1534" t="str">
        <f t="shared" si="9"/>
        <v/>
      </c>
      <c r="T54" s="1545"/>
      <c r="U54" s="648" t="str">
        <f t="shared" si="7"/>
        <v/>
      </c>
      <c r="V54" s="646"/>
      <c r="W54" s="646"/>
      <c r="X54" s="646"/>
      <c r="Y54" s="646"/>
      <c r="Z54" s="676" t="str">
        <f ca="1">IFERROR(IF(LEN(VLOOKUP($B54,'D-1 Off-Site Habitat Baseline'!$D$1:$AV$258,26,FALSE))=0,"",IF(B54="","",IF(ISNA(VLOOKUP($B54,'D-1 Off-Site Habitat Baseline'!$D$1:$AV$258,26,FALSE)),"",(VLOOKUP(B54,'D-1 Off-Site Habitat Baseline'!$D$1:$AV$258,26,FALSE))))),"")</f>
        <v/>
      </c>
      <c r="AA54" s="652" t="str">
        <f ca="1">IFERROR(IF(LEN(VLOOKUP($B54,'D-1 Off-Site Habitat Baseline'!$D$1:$AV$258,27,FALSE))=0,"",IF(B54="","",IF(ISNA(VLOOKUP($B54,'D-1 Off-Site Habitat Baseline'!$D$1:$AV$258,27,FALSE)),"",(VLOOKUP(B54,'D-1 Off-Site Habitat Baseline'!$D$1:$AV$258,27,FALSE))))),"")</f>
        <v/>
      </c>
      <c r="AB54" s="674" t="str">
        <f ca="1">IFERROR(IF(LEN(VLOOKUP($B54,'D-1 Off-Site Habitat Baseline'!$D$1:$AV$258,28,FALSE))=0,"",IF(B54="","",IF(ISNA(VLOOKUP($B54,'D-1 Off-Site Habitat Baseline'!$D$1:$AV$258,28,FALSE)),"",(VLOOKUP(B54,'D-1 Off-Site Habitat Baseline'!$D$1:$AV$258,28,FALSE))))),"")</f>
        <v/>
      </c>
      <c r="AC54" s="672" t="str">
        <f>IF('A-1 On-Site Habitat Baseline'!G55="","",IF('A-1 On-Site Habitat Baseline'!G55="Yes",TRUE,FALSE))</f>
        <v/>
      </c>
      <c r="AD54" s="673">
        <v>45</v>
      </c>
      <c r="AE54" s="672" t="str">
        <f>IF('D-1 Off-Site Habitat Baseline'!G55="","",IF('D-1 Off-Site Habitat Baseline'!G55="Yes",TRUE,FALSE))</f>
        <v/>
      </c>
      <c r="AG54" s="641" t="str" cm="1">
        <f t="array" ref="AG54">IFERROR(INDEX($BI$10:$BI$259,MATCH(0,IF(TRUE=$BJ$10:$BJ$259,COUNTIF($AG$42:AG53,$BI$10:$BI$259),""),0)),"")</f>
        <v/>
      </c>
      <c r="AH54" s="642"/>
      <c r="AI54" s="642"/>
      <c r="AJ54" s="1545" t="str">
        <f>IF(BH54=FALSE,"",IF(ISNA(VLOOKUP(AG54,'F-1 Off-Site WaterC'' Baseline'!C$1:D$257,2,FALSE)),"",(VLOOKUP(AG54,'F-1 Off-Site WaterC'' Baseline'!C$1:D$257,2,FALSE))))</f>
        <v/>
      </c>
      <c r="AK54" s="1545"/>
      <c r="AL54" s="1545"/>
      <c r="AM54" s="1573"/>
      <c r="AN54" s="1573"/>
      <c r="AO54" s="1573"/>
      <c r="AP54" s="1534" t="str">
        <f>IF(AG54="","",IF(ISNA(VLOOKUP($AG54,'F-1 Off-Site WaterC'' Baseline'!C$1:E$257,3,FALSE)),"",(VLOOKUP(AG54,'F-1 Off-Site WaterC'' Baseline'!C$1:E$257,3,FALSE))))</f>
        <v/>
      </c>
      <c r="AQ54" s="1534"/>
      <c r="AR54" s="1531" t="str">
        <f>IF(AG54="","",IF(ISNA(VLOOKUP($AG54,'F-1 Off-Site WaterC'' Baseline'!C$1:AA$257,22,FALSE)),"",(VLOOKUP(AG54,'F-1 Off-Site WaterC'' Baseline'!C$1:AA$257,22,FALSE))))</f>
        <v/>
      </c>
      <c r="AS54" s="1533"/>
      <c r="AT54" s="1531" t="str">
        <f>IF(AG54="","",IF(ISNA(VLOOKUP($AG54,'F-1 Off-Site WaterC'' Baseline'!C$1:AA$257,23,FALSE)),"",(VLOOKUP(AG54,'F-1 Off-Site WaterC'' Baseline'!C$1:AA$257,23,FALSE))))</f>
        <v/>
      </c>
      <c r="AU54" s="1532"/>
      <c r="AV54" s="1532"/>
      <c r="AW54" s="1533"/>
      <c r="AX54" s="1534" t="str">
        <f t="shared" si="8"/>
        <v/>
      </c>
      <c r="AY54" s="1534"/>
      <c r="AZ54" s="1535" t="str">
        <f t="shared" si="5"/>
        <v/>
      </c>
      <c r="BA54" s="1536"/>
      <c r="BB54" s="1536"/>
      <c r="BC54" s="1536"/>
      <c r="BD54" s="1537"/>
      <c r="BE54" s="652" t="str">
        <f>IFERROR(IF(LEN(VLOOKUP($AG54,'F-1 Off-Site WaterC'' Baseline'!C$1:AE$257,29,FALSE))=0,"",IF(AG54="","",IF(ISNA(VLOOKUP($AG54,'F-1 Off-Site WaterC'' Baseline'!C$1:AE$257,29,FALSE)),"",(VLOOKUP(AG54,'F-1 Off-Site WaterC'' Baseline'!C$1:AE$257,29,FALSE))))),"")</f>
        <v/>
      </c>
      <c r="BF54" s="652" t="str">
        <f>IFERROR(IF(LEN(VLOOKUP($AG54,'F-1 Off-Site WaterC'' Baseline'!C$1:AH$257,30,FALSE))=0,"",IF(AG54="","",IF(ISNA(VLOOKUP($AG54,'F-1 Off-Site WaterC'' Baseline'!C$1:AH$257,30,FALSE)),"",(VLOOKUP(AG54,'F-1 Off-Site WaterC'' Baseline'!C$1:AH$257,30,FALSE))))),"")</f>
        <v/>
      </c>
      <c r="BG54" s="687" t="str">
        <f>IFERROR(IF(LEN(VLOOKUP($AG54,'F-1 Off-Site WaterC'' Baseline'!C$1:AH$257,31,FALSE))=0,"",IF(AG54="","",IF(ISNA(VLOOKUP($AG54,'F-1 Off-Site WaterC'' Baseline'!C$1:AH$257,31,FALSE)),"",(VLOOKUP(AG54,'F-1 Off-Site WaterC'' Baseline'!C$1:AH$257,31,FALSE))))),"")</f>
        <v/>
      </c>
      <c r="BH54" s="673" t="str">
        <f>IF('C-1 On-Site WaterC'' Baseline'!AU54="","",IF('C-1 On-Site WaterC'' Baseline'!AU54="Yes",TRUE,FALSE))</f>
        <v/>
      </c>
      <c r="BI54" s="673">
        <v>45</v>
      </c>
      <c r="BJ54" s="673" t="str">
        <f>IF('F-1 Off-Site WaterC'' Baseline'!AU54="","",IF('F-1 Off-Site WaterC'' Baseline'!AU54="Yes",TRUE,FALSE))</f>
        <v/>
      </c>
      <c r="BK54" s="673" t="str">
        <f t="shared" si="6"/>
        <v/>
      </c>
      <c r="BL54" s="673" t="str">
        <f>IF(AG54="","",IF(LEN(VLOOKUP($AG54,'C-1 On-Site WaterC'' Baseline'!$C$1:$AV$257,25,FALSE))=0,"",VLOOKUP(AG54,'C-1 On-Site WaterC'' Baseline'!$C$1:$AV$257,25,FALSE)))</f>
        <v/>
      </c>
      <c r="BM54" s="673" t="str">
        <f>IF(B54="","",IF(LEN(VLOOKUP($B54,'D-1 Off-Site Habitat Baseline'!$D$1:$AV$258,25,FALSE))=0,"",(VLOOKUP(B54,'D-1 Off-Site Habitat Baseline'!$D$1:$AV$258,25,FALSE))))</f>
        <v/>
      </c>
    </row>
    <row r="55" spans="2:65" ht="44.9" customHeight="1">
      <c r="B55" s="684" t="str" cm="1">
        <f t="array" ref="B55">IFERROR(INDEX($AD$10:$AD$259,MATCH(0,IF(TRUE=$AE$10:$AE$259,COUNTIF($B$42:B54,$AD$10:$AD$259),""),0)),"")</f>
        <v/>
      </c>
      <c r="C55" s="642"/>
      <c r="D55" s="642"/>
      <c r="E55" s="1545" t="str">
        <f>IF(B55="","",IF(ISNA(VLOOKUP($B55,'D-1 Off-Site Habitat Baseline'!$D$1:$AV$258,45,FALSE)),"",(VLOOKUP(B55,'D-1 Off-Site Habitat Baseline'!$D$1:$AV$258,45,FALSE))))</f>
        <v/>
      </c>
      <c r="F55" s="1545"/>
      <c r="G55" s="1545"/>
      <c r="H55" s="1573"/>
      <c r="I55" s="1573"/>
      <c r="J55" s="1573"/>
      <c r="K55" s="1534" t="str">
        <f>IF(B55="","",IF(ISNA(VLOOKUP($B55,'D-1 Off-Site Habitat Baseline'!$D$1:$AV$258,5,FALSE)),"",(VLOOKUP(B55,'D-1 Off-Site Habitat Baseline'!$D$1:$AV$258,5,FALSE))))</f>
        <v/>
      </c>
      <c r="L55" s="1534"/>
      <c r="M55" s="1534" t="str">
        <f>IF(B55="","",IF(ISNA(VLOOKUP($B55,'D-1 Off-Site Habitat Baseline'!$D$1:$AV$258,19,FALSE)),"",(VLOOKUP(B55,'D-1 Off-Site Habitat Baseline'!$D$1:$AV$258,19,FALSE))))</f>
        <v/>
      </c>
      <c r="N55" s="1534"/>
      <c r="O55" s="1534" t="str">
        <f>IF(B55="","",IF(ISNA(VLOOKUP($B55,'A-1 On-Site Habitat Baseline'!$D$1:$AV$258,17,FALSE)),"",(VLOOKUP(B55,'A-1 On-Site Habitat Baseline'!$D$1:$AV$258,17,FALSE))))</f>
        <v/>
      </c>
      <c r="P55" s="1534"/>
      <c r="Q55" s="1534"/>
      <c r="R55" s="1534"/>
      <c r="S55" s="1534" t="str">
        <f t="shared" si="9"/>
        <v/>
      </c>
      <c r="T55" s="1545"/>
      <c r="U55" s="648" t="str">
        <f t="shared" si="7"/>
        <v/>
      </c>
      <c r="V55" s="646"/>
      <c r="W55" s="646"/>
      <c r="X55" s="646"/>
      <c r="Y55" s="646"/>
      <c r="Z55" s="676" t="str">
        <f ca="1">IFERROR(IF(LEN(VLOOKUP($B55,'D-1 Off-Site Habitat Baseline'!$D$1:$AV$258,26,FALSE))=0,"",IF(B55="","",IF(ISNA(VLOOKUP($B55,'D-1 Off-Site Habitat Baseline'!$D$1:$AV$258,26,FALSE)),"",(VLOOKUP(B55,'D-1 Off-Site Habitat Baseline'!$D$1:$AV$258,26,FALSE))))),"")</f>
        <v/>
      </c>
      <c r="AA55" s="652" t="str">
        <f ca="1">IFERROR(IF(LEN(VLOOKUP($B55,'D-1 Off-Site Habitat Baseline'!$D$1:$AV$258,27,FALSE))=0,"",IF(B55="","",IF(ISNA(VLOOKUP($B55,'D-1 Off-Site Habitat Baseline'!$D$1:$AV$258,27,FALSE)),"",(VLOOKUP(B55,'D-1 Off-Site Habitat Baseline'!$D$1:$AV$258,27,FALSE))))),"")</f>
        <v/>
      </c>
      <c r="AB55" s="674" t="str">
        <f ca="1">IFERROR(IF(LEN(VLOOKUP($B55,'D-1 Off-Site Habitat Baseline'!$D$1:$AV$258,28,FALSE))=0,"",IF(B55="","",IF(ISNA(VLOOKUP($B55,'D-1 Off-Site Habitat Baseline'!$D$1:$AV$258,28,FALSE)),"",(VLOOKUP(B55,'D-1 Off-Site Habitat Baseline'!$D$1:$AV$258,28,FALSE))))),"")</f>
        <v/>
      </c>
      <c r="AC55" s="672" t="str">
        <f>IF('A-1 On-Site Habitat Baseline'!G56="","",IF('A-1 On-Site Habitat Baseline'!G56="Yes",TRUE,FALSE))</f>
        <v/>
      </c>
      <c r="AD55" s="673">
        <v>46</v>
      </c>
      <c r="AE55" s="672" t="str">
        <f>IF('D-1 Off-Site Habitat Baseline'!G56="","",IF('D-1 Off-Site Habitat Baseline'!G56="Yes",TRUE,FALSE))</f>
        <v/>
      </c>
      <c r="AG55" s="641" t="str" cm="1">
        <f t="array" ref="AG55">IFERROR(INDEX($BI$10:$BI$259,MATCH(0,IF(TRUE=$BJ$10:$BJ$259,COUNTIF($AG$42:AG54,$BI$10:$BI$259),""),0)),"")</f>
        <v/>
      </c>
      <c r="AH55" s="642"/>
      <c r="AI55" s="642"/>
      <c r="AJ55" s="1545" t="str">
        <f>IF(BH55=FALSE,"",IF(ISNA(VLOOKUP(AG55,'F-1 Off-Site WaterC'' Baseline'!C$1:D$257,2,FALSE)),"",(VLOOKUP(AG55,'F-1 Off-Site WaterC'' Baseline'!C$1:D$257,2,FALSE))))</f>
        <v/>
      </c>
      <c r="AK55" s="1545"/>
      <c r="AL55" s="1545"/>
      <c r="AM55" s="1573"/>
      <c r="AN55" s="1573"/>
      <c r="AO55" s="1573"/>
      <c r="AP55" s="1534" t="str">
        <f>IF(AG55="","",IF(ISNA(VLOOKUP($AG55,'F-1 Off-Site WaterC'' Baseline'!C$1:E$257,3,FALSE)),"",(VLOOKUP(AG55,'F-1 Off-Site WaterC'' Baseline'!C$1:E$257,3,FALSE))))</f>
        <v/>
      </c>
      <c r="AQ55" s="1534"/>
      <c r="AR55" s="1531" t="str">
        <f>IF(AG55="","",IF(ISNA(VLOOKUP($AG55,'F-1 Off-Site WaterC'' Baseline'!C$1:AA$257,22,FALSE)),"",(VLOOKUP(AG55,'F-1 Off-Site WaterC'' Baseline'!C$1:AA$257,22,FALSE))))</f>
        <v/>
      </c>
      <c r="AS55" s="1533"/>
      <c r="AT55" s="1531" t="str">
        <f>IF(AG55="","",IF(ISNA(VLOOKUP($AG55,'F-1 Off-Site WaterC'' Baseline'!C$1:AA$257,23,FALSE)),"",(VLOOKUP(AG55,'F-1 Off-Site WaterC'' Baseline'!C$1:AA$257,23,FALSE))))</f>
        <v/>
      </c>
      <c r="AU55" s="1532"/>
      <c r="AV55" s="1532"/>
      <c r="AW55" s="1533"/>
      <c r="AX55" s="1534" t="str">
        <f t="shared" si="8"/>
        <v/>
      </c>
      <c r="AY55" s="1534"/>
      <c r="AZ55" s="1535" t="str">
        <f t="shared" si="5"/>
        <v/>
      </c>
      <c r="BA55" s="1536"/>
      <c r="BB55" s="1536"/>
      <c r="BC55" s="1536"/>
      <c r="BD55" s="1537"/>
      <c r="BE55" s="652" t="str">
        <f>IFERROR(IF(LEN(VLOOKUP($AG55,'F-1 Off-Site WaterC'' Baseline'!C$1:AE$257,29,FALSE))=0,"",IF(AG55="","",IF(ISNA(VLOOKUP($AG55,'F-1 Off-Site WaterC'' Baseline'!C$1:AE$257,29,FALSE)),"",(VLOOKUP(AG55,'F-1 Off-Site WaterC'' Baseline'!C$1:AE$257,29,FALSE))))),"")</f>
        <v/>
      </c>
      <c r="BF55" s="652" t="str">
        <f>IFERROR(IF(LEN(VLOOKUP($AG55,'F-1 Off-Site WaterC'' Baseline'!C$1:AH$257,30,FALSE))=0,"",IF(AG55="","",IF(ISNA(VLOOKUP($AG55,'F-1 Off-Site WaterC'' Baseline'!C$1:AH$257,30,FALSE)),"",(VLOOKUP(AG55,'F-1 Off-Site WaterC'' Baseline'!C$1:AH$257,30,FALSE))))),"")</f>
        <v/>
      </c>
      <c r="BG55" s="687" t="str">
        <f>IFERROR(IF(LEN(VLOOKUP($AG55,'F-1 Off-Site WaterC'' Baseline'!C$1:AH$257,31,FALSE))=0,"",IF(AG55="","",IF(ISNA(VLOOKUP($AG55,'F-1 Off-Site WaterC'' Baseline'!C$1:AH$257,31,FALSE)),"",(VLOOKUP(AG55,'F-1 Off-Site WaterC'' Baseline'!C$1:AH$257,31,FALSE))))),"")</f>
        <v/>
      </c>
      <c r="BH55" s="673" t="str">
        <f>IF('C-1 On-Site WaterC'' Baseline'!AU55="","",IF('C-1 On-Site WaterC'' Baseline'!AU55="Yes",TRUE,FALSE))</f>
        <v/>
      </c>
      <c r="BI55" s="673">
        <v>46</v>
      </c>
      <c r="BJ55" s="673" t="str">
        <f>IF('F-1 Off-Site WaterC'' Baseline'!AU55="","",IF('F-1 Off-Site WaterC'' Baseline'!AU55="Yes",TRUE,FALSE))</f>
        <v/>
      </c>
      <c r="BK55" s="673" t="str">
        <f t="shared" si="6"/>
        <v/>
      </c>
      <c r="BL55" s="673" t="str">
        <f>IF(AG55="","",IF(LEN(VLOOKUP($AG55,'C-1 On-Site WaterC'' Baseline'!$C$1:$AV$257,25,FALSE))=0,"",VLOOKUP(AG55,'C-1 On-Site WaterC'' Baseline'!$C$1:$AV$257,25,FALSE)))</f>
        <v/>
      </c>
      <c r="BM55" s="673" t="str">
        <f>IF(B55="","",IF(LEN(VLOOKUP($B55,'D-1 Off-Site Habitat Baseline'!$D$1:$AV$258,25,FALSE))=0,"",(VLOOKUP(B55,'D-1 Off-Site Habitat Baseline'!$D$1:$AV$258,25,FALSE))))</f>
        <v/>
      </c>
    </row>
    <row r="56" spans="2:65" ht="44.9" customHeight="1">
      <c r="B56" s="684" t="str" cm="1">
        <f t="array" ref="B56">IFERROR(INDEX($AD$10:$AD$259,MATCH(0,IF(TRUE=$AE$10:$AE$259,COUNTIF($B$42:B55,$AD$10:$AD$259),""),0)),"")</f>
        <v/>
      </c>
      <c r="C56" s="642"/>
      <c r="D56" s="642"/>
      <c r="E56" s="1545" t="str">
        <f>IF(B56="","",IF(ISNA(VLOOKUP($B56,'D-1 Off-Site Habitat Baseline'!$D$1:$AV$258,45,FALSE)),"",(VLOOKUP(B56,'D-1 Off-Site Habitat Baseline'!$D$1:$AV$258,45,FALSE))))</f>
        <v/>
      </c>
      <c r="F56" s="1545"/>
      <c r="G56" s="1545"/>
      <c r="H56" s="1573"/>
      <c r="I56" s="1573"/>
      <c r="J56" s="1573"/>
      <c r="K56" s="1534" t="str">
        <f>IF(B56="","",IF(ISNA(VLOOKUP($B56,'D-1 Off-Site Habitat Baseline'!$D$1:$AV$258,5,FALSE)),"",(VLOOKUP(B56,'D-1 Off-Site Habitat Baseline'!$D$1:$AV$258,5,FALSE))))</f>
        <v/>
      </c>
      <c r="L56" s="1534"/>
      <c r="M56" s="1534" t="str">
        <f>IF(B56="","",IF(ISNA(VLOOKUP($B56,'D-1 Off-Site Habitat Baseline'!$D$1:$AV$258,19,FALSE)),"",(VLOOKUP(B56,'D-1 Off-Site Habitat Baseline'!$D$1:$AV$258,19,FALSE))))</f>
        <v/>
      </c>
      <c r="N56" s="1534"/>
      <c r="O56" s="1534" t="str">
        <f>IF(B56="","",IF(ISNA(VLOOKUP($B56,'A-1 On-Site Habitat Baseline'!$D$1:$AV$258,17,FALSE)),"",(VLOOKUP(B56,'A-1 On-Site Habitat Baseline'!$D$1:$AV$258,17,FALSE))))</f>
        <v/>
      </c>
      <c r="P56" s="1534"/>
      <c r="Q56" s="1534"/>
      <c r="R56" s="1534"/>
      <c r="S56" s="1534" t="str">
        <f t="shared" si="9"/>
        <v/>
      </c>
      <c r="T56" s="1545"/>
      <c r="U56" s="648" t="str">
        <f t="shared" si="7"/>
        <v/>
      </c>
      <c r="V56" s="646"/>
      <c r="W56" s="646"/>
      <c r="X56" s="646"/>
      <c r="Y56" s="646"/>
      <c r="Z56" s="676" t="str">
        <f ca="1">IFERROR(IF(LEN(VLOOKUP($B56,'D-1 Off-Site Habitat Baseline'!$D$1:$AV$258,26,FALSE))=0,"",IF(B56="","",IF(ISNA(VLOOKUP($B56,'D-1 Off-Site Habitat Baseline'!$D$1:$AV$258,26,FALSE)),"",(VLOOKUP(B56,'D-1 Off-Site Habitat Baseline'!$D$1:$AV$258,26,FALSE))))),"")</f>
        <v/>
      </c>
      <c r="AA56" s="652" t="str">
        <f ca="1">IFERROR(IF(LEN(VLOOKUP($B56,'D-1 Off-Site Habitat Baseline'!$D$1:$AV$258,27,FALSE))=0,"",IF(B56="","",IF(ISNA(VLOOKUP($B56,'D-1 Off-Site Habitat Baseline'!$D$1:$AV$258,27,FALSE)),"",(VLOOKUP(B56,'D-1 Off-Site Habitat Baseline'!$D$1:$AV$258,27,FALSE))))),"")</f>
        <v/>
      </c>
      <c r="AB56" s="674" t="str">
        <f ca="1">IFERROR(IF(LEN(VLOOKUP($B56,'D-1 Off-Site Habitat Baseline'!$D$1:$AV$258,28,FALSE))=0,"",IF(B56="","",IF(ISNA(VLOOKUP($B56,'D-1 Off-Site Habitat Baseline'!$D$1:$AV$258,28,FALSE)),"",(VLOOKUP(B56,'D-1 Off-Site Habitat Baseline'!$D$1:$AV$258,28,FALSE))))),"")</f>
        <v/>
      </c>
      <c r="AC56" s="672" t="str">
        <f>IF('A-1 On-Site Habitat Baseline'!G57="","",IF('A-1 On-Site Habitat Baseline'!G57="Yes",TRUE,FALSE))</f>
        <v/>
      </c>
      <c r="AD56" s="673">
        <v>47</v>
      </c>
      <c r="AE56" s="672" t="str">
        <f>IF('D-1 Off-Site Habitat Baseline'!G57="","",IF('D-1 Off-Site Habitat Baseline'!G57="Yes",TRUE,FALSE))</f>
        <v/>
      </c>
      <c r="AG56" s="641" t="str" cm="1">
        <f t="array" ref="AG56">IFERROR(INDEX($BI$10:$BI$259,MATCH(0,IF(TRUE=$BJ$10:$BJ$259,COUNTIF($AG$42:AG55,$BI$10:$BI$259),""),0)),"")</f>
        <v/>
      </c>
      <c r="AH56" s="642"/>
      <c r="AI56" s="642"/>
      <c r="AJ56" s="1545" t="str">
        <f>IF(BH56=FALSE,"",IF(ISNA(VLOOKUP(AG56,'F-1 Off-Site WaterC'' Baseline'!C$1:D$257,2,FALSE)),"",(VLOOKUP(AG56,'F-1 Off-Site WaterC'' Baseline'!C$1:D$257,2,FALSE))))</f>
        <v/>
      </c>
      <c r="AK56" s="1545"/>
      <c r="AL56" s="1545"/>
      <c r="AM56" s="1573"/>
      <c r="AN56" s="1573"/>
      <c r="AO56" s="1573"/>
      <c r="AP56" s="1534" t="str">
        <f>IF(AG56="","",IF(ISNA(VLOOKUP($AG56,'F-1 Off-Site WaterC'' Baseline'!C$1:E$257,3,FALSE)),"",(VLOOKUP(AG56,'F-1 Off-Site WaterC'' Baseline'!C$1:E$257,3,FALSE))))</f>
        <v/>
      </c>
      <c r="AQ56" s="1534"/>
      <c r="AR56" s="1531" t="str">
        <f>IF(AG56="","",IF(ISNA(VLOOKUP($AG56,'F-1 Off-Site WaterC'' Baseline'!C$1:AA$257,22,FALSE)),"",(VLOOKUP(AG56,'F-1 Off-Site WaterC'' Baseline'!C$1:AA$257,22,FALSE))))</f>
        <v/>
      </c>
      <c r="AS56" s="1533"/>
      <c r="AT56" s="1531" t="str">
        <f>IF(AG56="","",IF(ISNA(VLOOKUP($AG56,'F-1 Off-Site WaterC'' Baseline'!C$1:AA$257,23,FALSE)),"",(VLOOKUP(AG56,'F-1 Off-Site WaterC'' Baseline'!C$1:AA$257,23,FALSE))))</f>
        <v/>
      </c>
      <c r="AU56" s="1532"/>
      <c r="AV56" s="1532"/>
      <c r="AW56" s="1533"/>
      <c r="AX56" s="1534" t="str">
        <f t="shared" si="8"/>
        <v/>
      </c>
      <c r="AY56" s="1534"/>
      <c r="AZ56" s="1535" t="str">
        <f t="shared" si="5"/>
        <v/>
      </c>
      <c r="BA56" s="1536"/>
      <c r="BB56" s="1536"/>
      <c r="BC56" s="1536"/>
      <c r="BD56" s="1537"/>
      <c r="BE56" s="652" t="str">
        <f>IFERROR(IF(LEN(VLOOKUP($AG56,'F-1 Off-Site WaterC'' Baseline'!C$1:AE$257,29,FALSE))=0,"",IF(AG56="","",IF(ISNA(VLOOKUP($AG56,'F-1 Off-Site WaterC'' Baseline'!C$1:AE$257,29,FALSE)),"",(VLOOKUP(AG56,'F-1 Off-Site WaterC'' Baseline'!C$1:AE$257,29,FALSE))))),"")</f>
        <v/>
      </c>
      <c r="BF56" s="652" t="str">
        <f>IFERROR(IF(LEN(VLOOKUP($AG56,'F-1 Off-Site WaterC'' Baseline'!C$1:AH$257,30,FALSE))=0,"",IF(AG56="","",IF(ISNA(VLOOKUP($AG56,'F-1 Off-Site WaterC'' Baseline'!C$1:AH$257,30,FALSE)),"",(VLOOKUP(AG56,'F-1 Off-Site WaterC'' Baseline'!C$1:AH$257,30,FALSE))))),"")</f>
        <v/>
      </c>
      <c r="BG56" s="687" t="str">
        <f>IFERROR(IF(LEN(VLOOKUP($AG56,'F-1 Off-Site WaterC'' Baseline'!C$1:AH$257,31,FALSE))=0,"",IF(AG56="","",IF(ISNA(VLOOKUP($AG56,'F-1 Off-Site WaterC'' Baseline'!C$1:AH$257,31,FALSE)),"",(VLOOKUP(AG56,'F-1 Off-Site WaterC'' Baseline'!C$1:AH$257,31,FALSE))))),"")</f>
        <v/>
      </c>
      <c r="BH56" s="673" t="str">
        <f>IF('C-1 On-Site WaterC'' Baseline'!AU56="","",IF('C-1 On-Site WaterC'' Baseline'!AU56="Yes",TRUE,FALSE))</f>
        <v/>
      </c>
      <c r="BI56" s="673">
        <v>47</v>
      </c>
      <c r="BJ56" s="673" t="str">
        <f>IF('F-1 Off-Site WaterC'' Baseline'!AU56="","",IF('F-1 Off-Site WaterC'' Baseline'!AU56="Yes",TRUE,FALSE))</f>
        <v/>
      </c>
      <c r="BK56" s="673" t="str">
        <f t="shared" si="6"/>
        <v/>
      </c>
      <c r="BL56" s="673" t="str">
        <f>IF(AG56="","",IF(LEN(VLOOKUP($AG56,'C-1 On-Site WaterC'' Baseline'!$C$1:$AV$257,25,FALSE))=0,"",VLOOKUP(AG56,'C-1 On-Site WaterC'' Baseline'!$C$1:$AV$257,25,FALSE)))</f>
        <v/>
      </c>
      <c r="BM56" s="673" t="str">
        <f>IF(B56="","",IF(LEN(VLOOKUP($B56,'D-1 Off-Site Habitat Baseline'!$D$1:$AV$258,25,FALSE))=0,"",(VLOOKUP(B56,'D-1 Off-Site Habitat Baseline'!$D$1:$AV$258,25,FALSE))))</f>
        <v/>
      </c>
    </row>
    <row r="57" spans="2:65" ht="44.9" customHeight="1">
      <c r="B57" s="684" t="str" cm="1">
        <f t="array" ref="B57">IFERROR(INDEX($AD$10:$AD$259,MATCH(0,IF(TRUE=$AE$10:$AE$259,COUNTIF($B$42:B56,$AD$10:$AD$259),""),0)),"")</f>
        <v/>
      </c>
      <c r="C57" s="642"/>
      <c r="D57" s="642"/>
      <c r="E57" s="1545" t="str">
        <f>IF(B57="","",IF(ISNA(VLOOKUP($B57,'D-1 Off-Site Habitat Baseline'!$D$1:$AV$258,45,FALSE)),"",(VLOOKUP(B57,'D-1 Off-Site Habitat Baseline'!$D$1:$AV$258,45,FALSE))))</f>
        <v/>
      </c>
      <c r="F57" s="1545"/>
      <c r="G57" s="1545"/>
      <c r="H57" s="1573"/>
      <c r="I57" s="1573"/>
      <c r="J57" s="1573"/>
      <c r="K57" s="1534" t="str">
        <f>IF(B57="","",IF(ISNA(VLOOKUP($B57,'D-1 Off-Site Habitat Baseline'!$D$1:$AV$258,5,FALSE)),"",(VLOOKUP(B57,'D-1 Off-Site Habitat Baseline'!$D$1:$AV$258,5,FALSE))))</f>
        <v/>
      </c>
      <c r="L57" s="1534"/>
      <c r="M57" s="1534" t="str">
        <f>IF(B57="","",IF(ISNA(VLOOKUP($B57,'D-1 Off-Site Habitat Baseline'!$D$1:$AV$258,19,FALSE)),"",(VLOOKUP(B57,'D-1 Off-Site Habitat Baseline'!$D$1:$AV$258,19,FALSE))))</f>
        <v/>
      </c>
      <c r="N57" s="1534"/>
      <c r="O57" s="1534" t="str">
        <f>IF(B57="","",IF(ISNA(VLOOKUP($B57,'A-1 On-Site Habitat Baseline'!$D$1:$AV$258,17,FALSE)),"",(VLOOKUP(B57,'A-1 On-Site Habitat Baseline'!$D$1:$AV$258,17,FALSE))))</f>
        <v/>
      </c>
      <c r="P57" s="1534"/>
      <c r="Q57" s="1534"/>
      <c r="R57" s="1534"/>
      <c r="S57" s="1534" t="str">
        <f t="shared" si="9"/>
        <v/>
      </c>
      <c r="T57" s="1545"/>
      <c r="U57" s="648" t="str">
        <f t="shared" si="7"/>
        <v/>
      </c>
      <c r="V57" s="646"/>
      <c r="W57" s="646"/>
      <c r="X57" s="646"/>
      <c r="Y57" s="646"/>
      <c r="Z57" s="676" t="str">
        <f ca="1">IFERROR(IF(LEN(VLOOKUP($B57,'D-1 Off-Site Habitat Baseline'!$D$1:$AV$258,26,FALSE))=0,"",IF(B57="","",IF(ISNA(VLOOKUP($B57,'D-1 Off-Site Habitat Baseline'!$D$1:$AV$258,26,FALSE)),"",(VLOOKUP(B57,'D-1 Off-Site Habitat Baseline'!$D$1:$AV$258,26,FALSE))))),"")</f>
        <v/>
      </c>
      <c r="AA57" s="652" t="str">
        <f ca="1">IFERROR(IF(LEN(VLOOKUP($B57,'D-1 Off-Site Habitat Baseline'!$D$1:$AV$258,27,FALSE))=0,"",IF(B57="","",IF(ISNA(VLOOKUP($B57,'D-1 Off-Site Habitat Baseline'!$D$1:$AV$258,27,FALSE)),"",(VLOOKUP(B57,'D-1 Off-Site Habitat Baseline'!$D$1:$AV$258,27,FALSE))))),"")</f>
        <v/>
      </c>
      <c r="AB57" s="674" t="str">
        <f ca="1">IFERROR(IF(LEN(VLOOKUP($B57,'D-1 Off-Site Habitat Baseline'!$D$1:$AV$258,28,FALSE))=0,"",IF(B57="","",IF(ISNA(VLOOKUP($B57,'D-1 Off-Site Habitat Baseline'!$D$1:$AV$258,28,FALSE)),"",(VLOOKUP(B57,'D-1 Off-Site Habitat Baseline'!$D$1:$AV$258,28,FALSE))))),"")</f>
        <v/>
      </c>
      <c r="AC57" s="672" t="str">
        <f>IF('A-1 On-Site Habitat Baseline'!G58="","",IF('A-1 On-Site Habitat Baseline'!G58="Yes",TRUE,FALSE))</f>
        <v/>
      </c>
      <c r="AD57" s="673">
        <v>48</v>
      </c>
      <c r="AE57" s="672" t="str">
        <f>IF('D-1 Off-Site Habitat Baseline'!G58="","",IF('D-1 Off-Site Habitat Baseline'!G58="Yes",TRUE,FALSE))</f>
        <v/>
      </c>
      <c r="AG57" s="641" t="str" cm="1">
        <f t="array" ref="AG57">IFERROR(INDEX($BI$10:$BI$259,MATCH(0,IF(TRUE=$BJ$10:$BJ$259,COUNTIF($AG$42:AG56,$BI$10:$BI$259),""),0)),"")</f>
        <v/>
      </c>
      <c r="AH57" s="642"/>
      <c r="AI57" s="642"/>
      <c r="AJ57" s="1545" t="str">
        <f>IF(BH57=FALSE,"",IF(ISNA(VLOOKUP(AG57,'F-1 Off-Site WaterC'' Baseline'!C$1:D$257,2,FALSE)),"",(VLOOKUP(AG57,'F-1 Off-Site WaterC'' Baseline'!C$1:D$257,2,FALSE))))</f>
        <v/>
      </c>
      <c r="AK57" s="1545"/>
      <c r="AL57" s="1545"/>
      <c r="AM57" s="1573"/>
      <c r="AN57" s="1573"/>
      <c r="AO57" s="1573"/>
      <c r="AP57" s="1534" t="str">
        <f>IF(AG57="","",IF(ISNA(VLOOKUP($AG57,'F-1 Off-Site WaterC'' Baseline'!C$1:E$257,3,FALSE)),"",(VLOOKUP(AG57,'F-1 Off-Site WaterC'' Baseline'!C$1:E$257,3,FALSE))))</f>
        <v/>
      </c>
      <c r="AQ57" s="1534"/>
      <c r="AR57" s="1531" t="str">
        <f>IF(AG57="","",IF(ISNA(VLOOKUP($AG57,'F-1 Off-Site WaterC'' Baseline'!C$1:AA$257,22,FALSE)),"",(VLOOKUP(AG57,'F-1 Off-Site WaterC'' Baseline'!C$1:AA$257,22,FALSE))))</f>
        <v/>
      </c>
      <c r="AS57" s="1533"/>
      <c r="AT57" s="1531" t="str">
        <f>IF(AG57="","",IF(ISNA(VLOOKUP($AG57,'F-1 Off-Site WaterC'' Baseline'!C$1:AA$257,23,FALSE)),"",(VLOOKUP(AG57,'F-1 Off-Site WaterC'' Baseline'!C$1:AA$257,23,FALSE))))</f>
        <v/>
      </c>
      <c r="AU57" s="1532"/>
      <c r="AV57" s="1532"/>
      <c r="AW57" s="1533"/>
      <c r="AX57" s="1534" t="str">
        <f t="shared" si="8"/>
        <v/>
      </c>
      <c r="AY57" s="1534"/>
      <c r="AZ57" s="1535" t="str">
        <f t="shared" si="5"/>
        <v/>
      </c>
      <c r="BA57" s="1536"/>
      <c r="BB57" s="1536"/>
      <c r="BC57" s="1536"/>
      <c r="BD57" s="1537"/>
      <c r="BE57" s="652" t="str">
        <f>IFERROR(IF(LEN(VLOOKUP($AG57,'F-1 Off-Site WaterC'' Baseline'!C$1:AE$257,29,FALSE))=0,"",IF(AG57="","",IF(ISNA(VLOOKUP($AG57,'F-1 Off-Site WaterC'' Baseline'!C$1:AE$257,29,FALSE)),"",(VLOOKUP(AG57,'F-1 Off-Site WaterC'' Baseline'!C$1:AE$257,29,FALSE))))),"")</f>
        <v/>
      </c>
      <c r="BF57" s="652" t="str">
        <f>IFERROR(IF(LEN(VLOOKUP($AG57,'F-1 Off-Site WaterC'' Baseline'!C$1:AH$257,30,FALSE))=0,"",IF(AG57="","",IF(ISNA(VLOOKUP($AG57,'F-1 Off-Site WaterC'' Baseline'!C$1:AH$257,30,FALSE)),"",(VLOOKUP(AG57,'F-1 Off-Site WaterC'' Baseline'!C$1:AH$257,30,FALSE))))),"")</f>
        <v/>
      </c>
      <c r="BG57" s="687" t="str">
        <f>IFERROR(IF(LEN(VLOOKUP($AG57,'F-1 Off-Site WaterC'' Baseline'!C$1:AH$257,31,FALSE))=0,"",IF(AG57="","",IF(ISNA(VLOOKUP($AG57,'F-1 Off-Site WaterC'' Baseline'!C$1:AH$257,31,FALSE)),"",(VLOOKUP(AG57,'F-1 Off-Site WaterC'' Baseline'!C$1:AH$257,31,FALSE))))),"")</f>
        <v/>
      </c>
      <c r="BH57" s="673" t="str">
        <f>IF('C-1 On-Site WaterC'' Baseline'!AU57="","",IF('C-1 On-Site WaterC'' Baseline'!AU57="Yes",TRUE,FALSE))</f>
        <v/>
      </c>
      <c r="BI57" s="673">
        <v>48</v>
      </c>
      <c r="BJ57" s="673" t="str">
        <f>IF('F-1 Off-Site WaterC'' Baseline'!AU57="","",IF('F-1 Off-Site WaterC'' Baseline'!AU57="Yes",TRUE,FALSE))</f>
        <v/>
      </c>
      <c r="BK57" s="673" t="str">
        <f t="shared" si="6"/>
        <v/>
      </c>
      <c r="BL57" s="673" t="str">
        <f>IF(AG57="","",IF(LEN(VLOOKUP($AG57,'C-1 On-Site WaterC'' Baseline'!$C$1:$AV$257,25,FALSE))=0,"",VLOOKUP(AG57,'C-1 On-Site WaterC'' Baseline'!$C$1:$AV$257,25,FALSE)))</f>
        <v/>
      </c>
      <c r="BM57" s="673" t="str">
        <f>IF(B57="","",IF(LEN(VLOOKUP($B57,'D-1 Off-Site Habitat Baseline'!$D$1:$AV$258,25,FALSE))=0,"",(VLOOKUP(B57,'D-1 Off-Site Habitat Baseline'!$D$1:$AV$258,25,FALSE))))</f>
        <v/>
      </c>
    </row>
    <row r="58" spans="2:65" ht="44.9" customHeight="1">
      <c r="B58" s="684" t="str" cm="1">
        <f t="array" ref="B58">IFERROR(INDEX($AD$10:$AD$259,MATCH(0,IF(TRUE=$AE$10:$AE$259,COUNTIF($B$42:B57,$AD$10:$AD$259),""),0)),"")</f>
        <v/>
      </c>
      <c r="C58" s="642"/>
      <c r="D58" s="642"/>
      <c r="E58" s="1545" t="str">
        <f>IF(B58="","",IF(ISNA(VLOOKUP($B58,'D-1 Off-Site Habitat Baseline'!$D$1:$AV$258,45,FALSE)),"",(VLOOKUP(B58,'D-1 Off-Site Habitat Baseline'!$D$1:$AV$258,45,FALSE))))</f>
        <v/>
      </c>
      <c r="F58" s="1545"/>
      <c r="G58" s="1545"/>
      <c r="H58" s="1573"/>
      <c r="I58" s="1573"/>
      <c r="J58" s="1573"/>
      <c r="K58" s="1534" t="str">
        <f>IF(B58="","",IF(ISNA(VLOOKUP($B58,'D-1 Off-Site Habitat Baseline'!$D$1:$AV$258,5,FALSE)),"",(VLOOKUP(B58,'D-1 Off-Site Habitat Baseline'!$D$1:$AV$258,5,FALSE))))</f>
        <v/>
      </c>
      <c r="L58" s="1534"/>
      <c r="M58" s="1534" t="str">
        <f>IF(B58="","",IF(ISNA(VLOOKUP($B58,'D-1 Off-Site Habitat Baseline'!$D$1:$AV$258,19,FALSE)),"",(VLOOKUP(B58,'D-1 Off-Site Habitat Baseline'!$D$1:$AV$258,19,FALSE))))</f>
        <v/>
      </c>
      <c r="N58" s="1534"/>
      <c r="O58" s="1534" t="str">
        <f>IF(B58="","",IF(ISNA(VLOOKUP($B58,'A-1 On-Site Habitat Baseline'!$D$1:$AV$258,17,FALSE)),"",(VLOOKUP(B58,'A-1 On-Site Habitat Baseline'!$D$1:$AV$258,17,FALSE))))</f>
        <v/>
      </c>
      <c r="P58" s="1534"/>
      <c r="Q58" s="1534"/>
      <c r="R58" s="1534"/>
      <c r="S58" s="1534" t="str">
        <f t="shared" si="9"/>
        <v/>
      </c>
      <c r="T58" s="1545"/>
      <c r="U58" s="648" t="str">
        <f t="shared" si="7"/>
        <v/>
      </c>
      <c r="V58" s="646"/>
      <c r="W58" s="646"/>
      <c r="X58" s="646"/>
      <c r="Y58" s="646"/>
      <c r="Z58" s="676" t="str">
        <f ca="1">IFERROR(IF(LEN(VLOOKUP($B58,'D-1 Off-Site Habitat Baseline'!$D$1:$AV$258,26,FALSE))=0,"",IF(B58="","",IF(ISNA(VLOOKUP($B58,'D-1 Off-Site Habitat Baseline'!$D$1:$AV$258,26,FALSE)),"",(VLOOKUP(B58,'D-1 Off-Site Habitat Baseline'!$D$1:$AV$258,26,FALSE))))),"")</f>
        <v/>
      </c>
      <c r="AA58" s="652" t="str">
        <f ca="1">IFERROR(IF(LEN(VLOOKUP($B58,'D-1 Off-Site Habitat Baseline'!$D$1:$AV$258,27,FALSE))=0,"",IF(B58="","",IF(ISNA(VLOOKUP($B58,'D-1 Off-Site Habitat Baseline'!$D$1:$AV$258,27,FALSE)),"",(VLOOKUP(B58,'D-1 Off-Site Habitat Baseline'!$D$1:$AV$258,27,FALSE))))),"")</f>
        <v/>
      </c>
      <c r="AB58" s="674" t="str">
        <f ca="1">IFERROR(IF(LEN(VLOOKUP($B58,'D-1 Off-Site Habitat Baseline'!$D$1:$AV$258,28,FALSE))=0,"",IF(B58="","",IF(ISNA(VLOOKUP($B58,'D-1 Off-Site Habitat Baseline'!$D$1:$AV$258,28,FALSE)),"",(VLOOKUP(B58,'D-1 Off-Site Habitat Baseline'!$D$1:$AV$258,28,FALSE))))),"")</f>
        <v/>
      </c>
      <c r="AC58" s="672" t="str">
        <f>IF('A-1 On-Site Habitat Baseline'!G59="","",IF('A-1 On-Site Habitat Baseline'!G59="Yes",TRUE,FALSE))</f>
        <v/>
      </c>
      <c r="AD58" s="673">
        <v>49</v>
      </c>
      <c r="AE58" s="672" t="str">
        <f>IF('D-1 Off-Site Habitat Baseline'!G59="","",IF('D-1 Off-Site Habitat Baseline'!G59="Yes",TRUE,FALSE))</f>
        <v/>
      </c>
      <c r="AG58" s="641" t="str" cm="1">
        <f t="array" ref="AG58">IFERROR(INDEX($BI$10:$BI$259,MATCH(0,IF(TRUE=$BJ$10:$BJ$259,COUNTIF($AG$42:AG57,$BI$10:$BI$259),""),0)),"")</f>
        <v/>
      </c>
      <c r="AH58" s="642"/>
      <c r="AI58" s="642"/>
      <c r="AJ58" s="1545" t="str">
        <f>IF(BH58=FALSE,"",IF(ISNA(VLOOKUP(AG58,'F-1 Off-Site WaterC'' Baseline'!C$1:D$257,2,FALSE)),"",(VLOOKUP(AG58,'F-1 Off-Site WaterC'' Baseline'!C$1:D$257,2,FALSE))))</f>
        <v/>
      </c>
      <c r="AK58" s="1545"/>
      <c r="AL58" s="1545"/>
      <c r="AM58" s="1573"/>
      <c r="AN58" s="1573"/>
      <c r="AO58" s="1573"/>
      <c r="AP58" s="1534" t="str">
        <f>IF(AG58="","",IF(ISNA(VLOOKUP($AG58,'F-1 Off-Site WaterC'' Baseline'!C$1:E$257,3,FALSE)),"",(VLOOKUP(AG58,'F-1 Off-Site WaterC'' Baseline'!C$1:E$257,3,FALSE))))</f>
        <v/>
      </c>
      <c r="AQ58" s="1534"/>
      <c r="AR58" s="1531" t="str">
        <f>IF(AG58="","",IF(ISNA(VLOOKUP($AG58,'F-1 Off-Site WaterC'' Baseline'!C$1:AA$257,22,FALSE)),"",(VLOOKUP(AG58,'F-1 Off-Site WaterC'' Baseline'!C$1:AA$257,22,FALSE))))</f>
        <v/>
      </c>
      <c r="AS58" s="1533"/>
      <c r="AT58" s="1531" t="str">
        <f>IF(AG58="","",IF(ISNA(VLOOKUP($AG58,'F-1 Off-Site WaterC'' Baseline'!C$1:AA$257,23,FALSE)),"",(VLOOKUP(AG58,'F-1 Off-Site WaterC'' Baseline'!C$1:AA$257,23,FALSE))))</f>
        <v/>
      </c>
      <c r="AU58" s="1532"/>
      <c r="AV58" s="1532"/>
      <c r="AW58" s="1533"/>
      <c r="AX58" s="1534" t="str">
        <f t="shared" si="8"/>
        <v/>
      </c>
      <c r="AY58" s="1534"/>
      <c r="AZ58" s="1535" t="str">
        <f t="shared" si="5"/>
        <v/>
      </c>
      <c r="BA58" s="1536"/>
      <c r="BB58" s="1536"/>
      <c r="BC58" s="1536"/>
      <c r="BD58" s="1537"/>
      <c r="BE58" s="652" t="str">
        <f>IFERROR(IF(LEN(VLOOKUP($AG58,'F-1 Off-Site WaterC'' Baseline'!C$1:AE$257,29,FALSE))=0,"",IF(AG58="","",IF(ISNA(VLOOKUP($AG58,'F-1 Off-Site WaterC'' Baseline'!C$1:AE$257,29,FALSE)),"",(VLOOKUP(AG58,'F-1 Off-Site WaterC'' Baseline'!C$1:AE$257,29,FALSE))))),"")</f>
        <v/>
      </c>
      <c r="BF58" s="652" t="str">
        <f>IFERROR(IF(LEN(VLOOKUP($AG58,'F-1 Off-Site WaterC'' Baseline'!C$1:AH$257,30,FALSE))=0,"",IF(AG58="","",IF(ISNA(VLOOKUP($AG58,'F-1 Off-Site WaterC'' Baseline'!C$1:AH$257,30,FALSE)),"",(VLOOKUP(AG58,'F-1 Off-Site WaterC'' Baseline'!C$1:AH$257,30,FALSE))))),"")</f>
        <v/>
      </c>
      <c r="BG58" s="687" t="str">
        <f>IFERROR(IF(LEN(VLOOKUP($AG58,'F-1 Off-Site WaterC'' Baseline'!C$1:AH$257,31,FALSE))=0,"",IF(AG58="","",IF(ISNA(VLOOKUP($AG58,'F-1 Off-Site WaterC'' Baseline'!C$1:AH$257,31,FALSE)),"",(VLOOKUP(AG58,'F-1 Off-Site WaterC'' Baseline'!C$1:AH$257,31,FALSE))))),"")</f>
        <v/>
      </c>
      <c r="BH58" s="673" t="str">
        <f>IF('C-1 On-Site WaterC'' Baseline'!AU58="","",IF('C-1 On-Site WaterC'' Baseline'!AU58="Yes",TRUE,FALSE))</f>
        <v/>
      </c>
      <c r="BI58" s="673">
        <v>49</v>
      </c>
      <c r="BJ58" s="673" t="str">
        <f>IF('F-1 Off-Site WaterC'' Baseline'!AU58="","",IF('F-1 Off-Site WaterC'' Baseline'!AU58="Yes",TRUE,FALSE))</f>
        <v/>
      </c>
      <c r="BK58" s="673" t="str">
        <f t="shared" si="6"/>
        <v/>
      </c>
      <c r="BL58" s="673" t="str">
        <f>IF(AG58="","",IF(LEN(VLOOKUP($AG58,'C-1 On-Site WaterC'' Baseline'!$C$1:$AV$257,25,FALSE))=0,"",VLOOKUP(AG58,'C-1 On-Site WaterC'' Baseline'!$C$1:$AV$257,25,FALSE)))</f>
        <v/>
      </c>
      <c r="BM58" s="673" t="str">
        <f>IF(B58="","",IF(LEN(VLOOKUP($B58,'D-1 Off-Site Habitat Baseline'!$D$1:$AV$258,25,FALSE))=0,"",(VLOOKUP(B58,'D-1 Off-Site Habitat Baseline'!$D$1:$AV$258,25,FALSE))))</f>
        <v/>
      </c>
    </row>
    <row r="59" spans="2:65" ht="44.9" customHeight="1">
      <c r="B59" s="684" t="str" cm="1">
        <f t="array" ref="B59">IFERROR(INDEX($AD$10:$AD$259,MATCH(0,IF(TRUE=$AE$10:$AE$259,COUNTIF($B$42:B58,$AD$10:$AD$259),""),0)),"")</f>
        <v/>
      </c>
      <c r="C59" s="642"/>
      <c r="D59" s="642"/>
      <c r="E59" s="1545" t="str">
        <f>IF(B59="","",IF(ISNA(VLOOKUP($B59,'D-1 Off-Site Habitat Baseline'!$D$1:$AV$258,45,FALSE)),"",(VLOOKUP(B59,'D-1 Off-Site Habitat Baseline'!$D$1:$AV$258,45,FALSE))))</f>
        <v/>
      </c>
      <c r="F59" s="1545"/>
      <c r="G59" s="1545"/>
      <c r="H59" s="1573"/>
      <c r="I59" s="1573"/>
      <c r="J59" s="1573"/>
      <c r="K59" s="1534" t="str">
        <f>IF(B59="","",IF(ISNA(VLOOKUP($B59,'D-1 Off-Site Habitat Baseline'!$D$1:$AV$258,5,FALSE)),"",(VLOOKUP(B59,'D-1 Off-Site Habitat Baseline'!$D$1:$AV$258,5,FALSE))))</f>
        <v/>
      </c>
      <c r="L59" s="1534"/>
      <c r="M59" s="1534" t="str">
        <f>IF(B59="","",IF(ISNA(VLOOKUP($B59,'D-1 Off-Site Habitat Baseline'!$D$1:$AV$258,19,FALSE)),"",(VLOOKUP(B59,'D-1 Off-Site Habitat Baseline'!$D$1:$AV$258,19,FALSE))))</f>
        <v/>
      </c>
      <c r="N59" s="1534"/>
      <c r="O59" s="1534" t="str">
        <f>IF(B59="","",IF(ISNA(VLOOKUP($B59,'A-1 On-Site Habitat Baseline'!$D$1:$AV$258,17,FALSE)),"",(VLOOKUP(B59,'A-1 On-Site Habitat Baseline'!$D$1:$AV$258,17,FALSE))))</f>
        <v/>
      </c>
      <c r="P59" s="1534"/>
      <c r="Q59" s="1534"/>
      <c r="R59" s="1534"/>
      <c r="S59" s="1534" t="str">
        <f t="shared" si="9"/>
        <v/>
      </c>
      <c r="T59" s="1545"/>
      <c r="U59" s="648" t="str">
        <f t="shared" si="7"/>
        <v/>
      </c>
      <c r="V59" s="646"/>
      <c r="W59" s="646"/>
      <c r="X59" s="646"/>
      <c r="Y59" s="646"/>
      <c r="Z59" s="676" t="str">
        <f ca="1">IFERROR(IF(LEN(VLOOKUP($B59,'D-1 Off-Site Habitat Baseline'!$D$1:$AV$258,26,FALSE))=0,"",IF(B59="","",IF(ISNA(VLOOKUP($B59,'D-1 Off-Site Habitat Baseline'!$D$1:$AV$258,26,FALSE)),"",(VLOOKUP(B59,'D-1 Off-Site Habitat Baseline'!$D$1:$AV$258,26,FALSE))))),"")</f>
        <v/>
      </c>
      <c r="AA59" s="652" t="str">
        <f ca="1">IFERROR(IF(LEN(VLOOKUP($B59,'D-1 Off-Site Habitat Baseline'!$D$1:$AV$258,27,FALSE))=0,"",IF(B59="","",IF(ISNA(VLOOKUP($B59,'D-1 Off-Site Habitat Baseline'!$D$1:$AV$258,27,FALSE)),"",(VLOOKUP(B59,'D-1 Off-Site Habitat Baseline'!$D$1:$AV$258,27,FALSE))))),"")</f>
        <v/>
      </c>
      <c r="AB59" s="674" t="str">
        <f ca="1">IFERROR(IF(LEN(VLOOKUP($B59,'D-1 Off-Site Habitat Baseline'!$D$1:$AV$258,28,FALSE))=0,"",IF(B59="","",IF(ISNA(VLOOKUP($B59,'D-1 Off-Site Habitat Baseline'!$D$1:$AV$258,28,FALSE)),"",(VLOOKUP(B59,'D-1 Off-Site Habitat Baseline'!$D$1:$AV$258,28,FALSE))))),"")</f>
        <v/>
      </c>
      <c r="AC59" s="672" t="str">
        <f>IF('A-1 On-Site Habitat Baseline'!G60="","",IF('A-1 On-Site Habitat Baseline'!G60="Yes",TRUE,FALSE))</f>
        <v/>
      </c>
      <c r="AD59" s="673">
        <v>50</v>
      </c>
      <c r="AE59" s="672" t="str">
        <f>IF('D-1 Off-Site Habitat Baseline'!G60="","",IF('D-1 Off-Site Habitat Baseline'!G60="Yes",TRUE,FALSE))</f>
        <v/>
      </c>
      <c r="AG59" s="641" t="str" cm="1">
        <f t="array" ref="AG59">IFERROR(INDEX($BI$10:$BI$259,MATCH(0,IF(TRUE=$BJ$10:$BJ$259,COUNTIF($AG$42:AG58,$BI$10:$BI$259),""),0)),"")</f>
        <v/>
      </c>
      <c r="AH59" s="642"/>
      <c r="AI59" s="642"/>
      <c r="AJ59" s="1545" t="str">
        <f>IF(BH59=FALSE,"",IF(ISNA(VLOOKUP(AG59,'F-1 Off-Site WaterC'' Baseline'!C$1:D$257,2,FALSE)),"",(VLOOKUP(AG59,'F-1 Off-Site WaterC'' Baseline'!C$1:D$257,2,FALSE))))</f>
        <v/>
      </c>
      <c r="AK59" s="1545"/>
      <c r="AL59" s="1545"/>
      <c r="AM59" s="1573"/>
      <c r="AN59" s="1573"/>
      <c r="AO59" s="1573"/>
      <c r="AP59" s="1534" t="str">
        <f>IF(AG59="","",IF(ISNA(VLOOKUP($AG59,'F-1 Off-Site WaterC'' Baseline'!C$1:E$257,3,FALSE)),"",(VLOOKUP(AG59,'F-1 Off-Site WaterC'' Baseline'!C$1:E$257,3,FALSE))))</f>
        <v/>
      </c>
      <c r="AQ59" s="1534"/>
      <c r="AR59" s="1531" t="str">
        <f>IF(AG59="","",IF(ISNA(VLOOKUP($AG59,'F-1 Off-Site WaterC'' Baseline'!C$1:AA$257,22,FALSE)),"",(VLOOKUP(AG59,'F-1 Off-Site WaterC'' Baseline'!C$1:AA$257,22,FALSE))))</f>
        <v/>
      </c>
      <c r="AS59" s="1533"/>
      <c r="AT59" s="1531" t="str">
        <f>IF(AG59="","",IF(ISNA(VLOOKUP($AG59,'F-1 Off-Site WaterC'' Baseline'!C$1:AA$257,23,FALSE)),"",(VLOOKUP(AG59,'F-1 Off-Site WaterC'' Baseline'!C$1:AA$257,23,FALSE))))</f>
        <v/>
      </c>
      <c r="AU59" s="1532"/>
      <c r="AV59" s="1532"/>
      <c r="AW59" s="1533"/>
      <c r="AX59" s="1534" t="str">
        <f t="shared" si="8"/>
        <v/>
      </c>
      <c r="AY59" s="1534"/>
      <c r="AZ59" s="1535" t="str">
        <f t="shared" si="5"/>
        <v/>
      </c>
      <c r="BA59" s="1536"/>
      <c r="BB59" s="1536"/>
      <c r="BC59" s="1536"/>
      <c r="BD59" s="1537"/>
      <c r="BE59" s="652" t="str">
        <f>IFERROR(IF(LEN(VLOOKUP($AG59,'F-1 Off-Site WaterC'' Baseline'!C$1:AE$257,29,FALSE))=0,"",IF(AG59="","",IF(ISNA(VLOOKUP($AG59,'F-1 Off-Site WaterC'' Baseline'!C$1:AE$257,29,FALSE)),"",(VLOOKUP(AG59,'F-1 Off-Site WaterC'' Baseline'!C$1:AE$257,29,FALSE))))),"")</f>
        <v/>
      </c>
      <c r="BF59" s="652" t="str">
        <f>IFERROR(IF(LEN(VLOOKUP($AG59,'F-1 Off-Site WaterC'' Baseline'!C$1:AH$257,30,FALSE))=0,"",IF(AG59="","",IF(ISNA(VLOOKUP($AG59,'F-1 Off-Site WaterC'' Baseline'!C$1:AH$257,30,FALSE)),"",(VLOOKUP(AG59,'F-1 Off-Site WaterC'' Baseline'!C$1:AH$257,30,FALSE))))),"")</f>
        <v/>
      </c>
      <c r="BG59" s="687" t="str">
        <f>IFERROR(IF(LEN(VLOOKUP($AG59,'F-1 Off-Site WaterC'' Baseline'!C$1:AH$257,31,FALSE))=0,"",IF(AG59="","",IF(ISNA(VLOOKUP($AG59,'F-1 Off-Site WaterC'' Baseline'!C$1:AH$257,31,FALSE)),"",(VLOOKUP(AG59,'F-1 Off-Site WaterC'' Baseline'!C$1:AH$257,31,FALSE))))),"")</f>
        <v/>
      </c>
      <c r="BH59" s="673" t="str">
        <f>IF('C-1 On-Site WaterC'' Baseline'!AU59="","",IF('C-1 On-Site WaterC'' Baseline'!AU59="Yes",TRUE,FALSE))</f>
        <v/>
      </c>
      <c r="BI59" s="673">
        <v>50</v>
      </c>
      <c r="BJ59" s="673" t="str">
        <f>IF('F-1 Off-Site WaterC'' Baseline'!AU59="","",IF('F-1 Off-Site WaterC'' Baseline'!AU59="Yes",TRUE,FALSE))</f>
        <v/>
      </c>
      <c r="BK59" s="673" t="str">
        <f t="shared" si="6"/>
        <v/>
      </c>
      <c r="BL59" s="673" t="str">
        <f>IF(AG59="","",IF(LEN(VLOOKUP($AG59,'C-1 On-Site WaterC'' Baseline'!$C$1:$AV$257,25,FALSE))=0,"",VLOOKUP(AG59,'C-1 On-Site WaterC'' Baseline'!$C$1:$AV$257,25,FALSE)))</f>
        <v/>
      </c>
      <c r="BM59" s="673" t="str">
        <f>IF(B59="","",IF(LEN(VLOOKUP($B59,'D-1 Off-Site Habitat Baseline'!$D$1:$AV$258,25,FALSE))=0,"",(VLOOKUP(B59,'D-1 Off-Site Habitat Baseline'!$D$1:$AV$258,25,FALSE))))</f>
        <v/>
      </c>
    </row>
    <row r="60" spans="2:65" ht="44.9" customHeight="1">
      <c r="B60" s="684" t="str" cm="1">
        <f t="array" ref="B60">IFERROR(INDEX($AD$10:$AD$259,MATCH(0,IF(TRUE=$AE$10:$AE$259,COUNTIF($B$42:B59,$AD$10:$AD$259),""),0)),"")</f>
        <v/>
      </c>
      <c r="C60" s="642"/>
      <c r="D60" s="642"/>
      <c r="E60" s="1545" t="str">
        <f>IF(B60="","",IF(ISNA(VLOOKUP($B60,'D-1 Off-Site Habitat Baseline'!$D$1:$AV$258,45,FALSE)),"",(VLOOKUP(B60,'D-1 Off-Site Habitat Baseline'!$D$1:$AV$258,45,FALSE))))</f>
        <v/>
      </c>
      <c r="F60" s="1545"/>
      <c r="G60" s="1545"/>
      <c r="H60" s="1573"/>
      <c r="I60" s="1573"/>
      <c r="J60" s="1573"/>
      <c r="K60" s="1534" t="str">
        <f>IF(B60="","",IF(ISNA(VLOOKUP($B60,'D-1 Off-Site Habitat Baseline'!$D$1:$AV$258,5,FALSE)),"",(VLOOKUP(B60,'D-1 Off-Site Habitat Baseline'!$D$1:$AV$258,5,FALSE))))</f>
        <v/>
      </c>
      <c r="L60" s="1534"/>
      <c r="M60" s="1534" t="str">
        <f>IF(B60="","",IF(ISNA(VLOOKUP($B60,'D-1 Off-Site Habitat Baseline'!$D$1:$AV$258,19,FALSE)),"",(VLOOKUP(B60,'D-1 Off-Site Habitat Baseline'!$D$1:$AV$258,19,FALSE))))</f>
        <v/>
      </c>
      <c r="N60" s="1534"/>
      <c r="O60" s="1534" t="str">
        <f>IF(B60="","",IF(ISNA(VLOOKUP($B60,'A-1 On-Site Habitat Baseline'!$D$1:$AV$258,17,FALSE)),"",(VLOOKUP(B60,'A-1 On-Site Habitat Baseline'!$D$1:$AV$258,17,FALSE))))</f>
        <v/>
      </c>
      <c r="P60" s="1534"/>
      <c r="Q60" s="1534"/>
      <c r="R60" s="1534"/>
      <c r="S60" s="1534" t="str">
        <f t="shared" si="9"/>
        <v/>
      </c>
      <c r="T60" s="1545"/>
      <c r="U60" s="648" t="str">
        <f t="shared" si="7"/>
        <v/>
      </c>
      <c r="V60" s="646"/>
      <c r="W60" s="646"/>
      <c r="X60" s="646"/>
      <c r="Y60" s="646"/>
      <c r="Z60" s="676" t="str">
        <f ca="1">IFERROR(IF(LEN(VLOOKUP($B60,'D-1 Off-Site Habitat Baseline'!$D$1:$AV$258,26,FALSE))=0,"",IF(B60="","",IF(ISNA(VLOOKUP($B60,'D-1 Off-Site Habitat Baseline'!$D$1:$AV$258,26,FALSE)),"",(VLOOKUP(B60,'D-1 Off-Site Habitat Baseline'!$D$1:$AV$258,26,FALSE))))),"")</f>
        <v/>
      </c>
      <c r="AA60" s="652" t="str">
        <f ca="1">IFERROR(IF(LEN(VLOOKUP($B60,'D-1 Off-Site Habitat Baseline'!$D$1:$AV$258,27,FALSE))=0,"",IF(B60="","",IF(ISNA(VLOOKUP($B60,'D-1 Off-Site Habitat Baseline'!$D$1:$AV$258,27,FALSE)),"",(VLOOKUP(B60,'D-1 Off-Site Habitat Baseline'!$D$1:$AV$258,27,FALSE))))),"")</f>
        <v/>
      </c>
      <c r="AB60" s="674" t="str">
        <f ca="1">IFERROR(IF(LEN(VLOOKUP($B60,'D-1 Off-Site Habitat Baseline'!$D$1:$AV$258,28,FALSE))=0,"",IF(B60="","",IF(ISNA(VLOOKUP($B60,'D-1 Off-Site Habitat Baseline'!$D$1:$AV$258,28,FALSE)),"",(VLOOKUP(B60,'D-1 Off-Site Habitat Baseline'!$D$1:$AV$258,28,FALSE))))),"")</f>
        <v/>
      </c>
      <c r="AC60" s="672" t="str">
        <f>IF('A-1 On-Site Habitat Baseline'!G61="","",IF('A-1 On-Site Habitat Baseline'!G61="Yes",TRUE,FALSE))</f>
        <v/>
      </c>
      <c r="AD60" s="673">
        <v>51</v>
      </c>
      <c r="AE60" s="672" t="str">
        <f>IF('D-1 Off-Site Habitat Baseline'!G61="","",IF('D-1 Off-Site Habitat Baseline'!G61="Yes",TRUE,FALSE))</f>
        <v/>
      </c>
      <c r="AG60" s="641" t="str" cm="1">
        <f t="array" ref="AG60">IFERROR(INDEX($BI$10:$BI$259,MATCH(0,IF(TRUE=$BJ$10:$BJ$259,COUNTIF($AG$42:AG59,$BI$10:$BI$259),""),0)),"")</f>
        <v/>
      </c>
      <c r="AH60" s="642"/>
      <c r="AI60" s="642"/>
      <c r="AJ60" s="1545" t="str">
        <f>IF(BH60=FALSE,"",IF(ISNA(VLOOKUP(AG60,'F-1 Off-Site WaterC'' Baseline'!C$1:D$257,2,FALSE)),"",(VLOOKUP(AG60,'F-1 Off-Site WaterC'' Baseline'!C$1:D$257,2,FALSE))))</f>
        <v/>
      </c>
      <c r="AK60" s="1545"/>
      <c r="AL60" s="1545"/>
      <c r="AM60" s="1573"/>
      <c r="AN60" s="1573"/>
      <c r="AO60" s="1573"/>
      <c r="AP60" s="1534" t="str">
        <f>IF(AG60="","",IF(ISNA(VLOOKUP($AG60,'F-1 Off-Site WaterC'' Baseline'!C$1:E$257,3,FALSE)),"",(VLOOKUP(AG60,'F-1 Off-Site WaterC'' Baseline'!C$1:E$257,3,FALSE))))</f>
        <v/>
      </c>
      <c r="AQ60" s="1534"/>
      <c r="AR60" s="1531" t="str">
        <f>IF(AG60="","",IF(ISNA(VLOOKUP($AG60,'F-1 Off-Site WaterC'' Baseline'!C$1:AA$257,22,FALSE)),"",(VLOOKUP(AG60,'F-1 Off-Site WaterC'' Baseline'!C$1:AA$257,22,FALSE))))</f>
        <v/>
      </c>
      <c r="AS60" s="1533"/>
      <c r="AT60" s="1531" t="str">
        <f>IF(AG60="","",IF(ISNA(VLOOKUP($AG60,'F-1 Off-Site WaterC'' Baseline'!C$1:AA$257,23,FALSE)),"",(VLOOKUP(AG60,'F-1 Off-Site WaterC'' Baseline'!C$1:AA$257,23,FALSE))))</f>
        <v/>
      </c>
      <c r="AU60" s="1532"/>
      <c r="AV60" s="1532"/>
      <c r="AW60" s="1533"/>
      <c r="AX60" s="1534" t="str">
        <f t="shared" si="8"/>
        <v/>
      </c>
      <c r="AY60" s="1534"/>
      <c r="AZ60" s="1535" t="str">
        <f t="shared" si="5"/>
        <v/>
      </c>
      <c r="BA60" s="1536"/>
      <c r="BB60" s="1536"/>
      <c r="BC60" s="1536"/>
      <c r="BD60" s="1537"/>
      <c r="BE60" s="652" t="str">
        <f>IFERROR(IF(LEN(VLOOKUP($AG60,'F-1 Off-Site WaterC'' Baseline'!C$1:AE$257,29,FALSE))=0,"",IF(AG60="","",IF(ISNA(VLOOKUP($AG60,'F-1 Off-Site WaterC'' Baseline'!C$1:AE$257,29,FALSE)),"",(VLOOKUP(AG60,'F-1 Off-Site WaterC'' Baseline'!C$1:AE$257,29,FALSE))))),"")</f>
        <v/>
      </c>
      <c r="BF60" s="652" t="str">
        <f>IFERROR(IF(LEN(VLOOKUP($AG60,'F-1 Off-Site WaterC'' Baseline'!C$1:AH$257,30,FALSE))=0,"",IF(AG60="","",IF(ISNA(VLOOKUP($AG60,'F-1 Off-Site WaterC'' Baseline'!C$1:AH$257,30,FALSE)),"",(VLOOKUP(AG60,'F-1 Off-Site WaterC'' Baseline'!C$1:AH$257,30,FALSE))))),"")</f>
        <v/>
      </c>
      <c r="BG60" s="687" t="str">
        <f>IFERROR(IF(LEN(VLOOKUP($AG60,'F-1 Off-Site WaterC'' Baseline'!C$1:AH$257,31,FALSE))=0,"",IF(AG60="","",IF(ISNA(VLOOKUP($AG60,'F-1 Off-Site WaterC'' Baseline'!C$1:AH$257,31,FALSE)),"",(VLOOKUP(AG60,'F-1 Off-Site WaterC'' Baseline'!C$1:AH$257,31,FALSE))))),"")</f>
        <v/>
      </c>
      <c r="BH60" s="673" t="str">
        <f>IF('C-1 On-Site WaterC'' Baseline'!AU60="","",IF('C-1 On-Site WaterC'' Baseline'!AU60="Yes",TRUE,FALSE))</f>
        <v/>
      </c>
      <c r="BI60" s="673">
        <v>51</v>
      </c>
      <c r="BJ60" s="673" t="str">
        <f>IF('F-1 Off-Site WaterC'' Baseline'!AU60="","",IF('F-1 Off-Site WaterC'' Baseline'!AU60="Yes",TRUE,FALSE))</f>
        <v/>
      </c>
      <c r="BK60" s="673" t="str">
        <f t="shared" si="6"/>
        <v/>
      </c>
      <c r="BL60" s="673" t="str">
        <f>IF(AG60="","",IF(LEN(VLOOKUP($AG60,'C-1 On-Site WaterC'' Baseline'!$C$1:$AV$257,25,FALSE))=0,"",VLOOKUP(AG60,'C-1 On-Site WaterC'' Baseline'!$C$1:$AV$257,25,FALSE)))</f>
        <v/>
      </c>
      <c r="BM60" s="673" t="str">
        <f>IF(B60="","",IF(LEN(VLOOKUP($B60,'D-1 Off-Site Habitat Baseline'!$D$1:$AV$258,25,FALSE))=0,"",(VLOOKUP(B60,'D-1 Off-Site Habitat Baseline'!$D$1:$AV$258,25,FALSE))))</f>
        <v/>
      </c>
    </row>
    <row r="61" spans="2:65" ht="44.9" customHeight="1">
      <c r="B61" s="684" t="str" cm="1">
        <f t="array" ref="B61">IFERROR(INDEX($AD$10:$AD$259,MATCH(0,IF(TRUE=$AE$10:$AE$259,COUNTIF($B$42:B60,$AD$10:$AD$259),""),0)),"")</f>
        <v/>
      </c>
      <c r="C61" s="642"/>
      <c r="D61" s="642"/>
      <c r="E61" s="1545" t="str">
        <f>IF(B61="","",IF(ISNA(VLOOKUP($B61,'D-1 Off-Site Habitat Baseline'!$D$1:$AV$258,45,FALSE)),"",(VLOOKUP(B61,'D-1 Off-Site Habitat Baseline'!$D$1:$AV$258,45,FALSE))))</f>
        <v/>
      </c>
      <c r="F61" s="1545"/>
      <c r="G61" s="1545"/>
      <c r="H61" s="1573"/>
      <c r="I61" s="1573"/>
      <c r="J61" s="1573"/>
      <c r="K61" s="1534" t="str">
        <f>IF(B61="","",IF(ISNA(VLOOKUP($B61,'D-1 Off-Site Habitat Baseline'!$D$1:$AV$258,5,FALSE)),"",(VLOOKUP(B61,'D-1 Off-Site Habitat Baseline'!$D$1:$AV$258,5,FALSE))))</f>
        <v/>
      </c>
      <c r="L61" s="1534"/>
      <c r="M61" s="1534" t="str">
        <f>IF(B61="","",IF(ISNA(VLOOKUP($B61,'D-1 Off-Site Habitat Baseline'!$D$1:$AV$258,19,FALSE)),"",(VLOOKUP(B61,'D-1 Off-Site Habitat Baseline'!$D$1:$AV$258,19,FALSE))))</f>
        <v/>
      </c>
      <c r="N61" s="1534"/>
      <c r="O61" s="1534" t="str">
        <f>IF(B61="","",IF(ISNA(VLOOKUP($B61,'A-1 On-Site Habitat Baseline'!$D$1:$AV$258,17,FALSE)),"",(VLOOKUP(B61,'A-1 On-Site Habitat Baseline'!$D$1:$AV$258,17,FALSE))))</f>
        <v/>
      </c>
      <c r="P61" s="1534"/>
      <c r="Q61" s="1534"/>
      <c r="R61" s="1534"/>
      <c r="S61" s="1534" t="str">
        <f t="shared" si="9"/>
        <v/>
      </c>
      <c r="T61" s="1545"/>
      <c r="U61" s="648" t="str">
        <f t="shared" si="7"/>
        <v/>
      </c>
      <c r="V61" s="646"/>
      <c r="W61" s="646"/>
      <c r="X61" s="646"/>
      <c r="Y61" s="646"/>
      <c r="Z61" s="676" t="str">
        <f ca="1">IFERROR(IF(LEN(VLOOKUP($B61,'D-1 Off-Site Habitat Baseline'!$D$1:$AV$258,26,FALSE))=0,"",IF(B61="","",IF(ISNA(VLOOKUP($B61,'D-1 Off-Site Habitat Baseline'!$D$1:$AV$258,26,FALSE)),"",(VLOOKUP(B61,'D-1 Off-Site Habitat Baseline'!$D$1:$AV$258,26,FALSE))))),"")</f>
        <v/>
      </c>
      <c r="AA61" s="652" t="str">
        <f ca="1">IFERROR(IF(LEN(VLOOKUP($B61,'D-1 Off-Site Habitat Baseline'!$D$1:$AV$258,27,FALSE))=0,"",IF(B61="","",IF(ISNA(VLOOKUP($B61,'D-1 Off-Site Habitat Baseline'!$D$1:$AV$258,27,FALSE)),"",(VLOOKUP(B61,'D-1 Off-Site Habitat Baseline'!$D$1:$AV$258,27,FALSE))))),"")</f>
        <v/>
      </c>
      <c r="AB61" s="674" t="str">
        <f ca="1">IFERROR(IF(LEN(VLOOKUP($B61,'D-1 Off-Site Habitat Baseline'!$D$1:$AV$258,28,FALSE))=0,"",IF(B61="","",IF(ISNA(VLOOKUP($B61,'D-1 Off-Site Habitat Baseline'!$D$1:$AV$258,28,FALSE)),"",(VLOOKUP(B61,'D-1 Off-Site Habitat Baseline'!$D$1:$AV$258,28,FALSE))))),"")</f>
        <v/>
      </c>
      <c r="AC61" s="672" t="str">
        <f>IF('A-1 On-Site Habitat Baseline'!G62="","",IF('A-1 On-Site Habitat Baseline'!G62="Yes",TRUE,FALSE))</f>
        <v/>
      </c>
      <c r="AD61" s="673">
        <v>52</v>
      </c>
      <c r="AE61" s="672" t="str">
        <f>IF('D-1 Off-Site Habitat Baseline'!G62="","",IF('D-1 Off-Site Habitat Baseline'!G62="Yes",TRUE,FALSE))</f>
        <v/>
      </c>
      <c r="AG61" s="641" t="str" cm="1">
        <f t="array" ref="AG61">IFERROR(INDEX($BI$10:$BI$259,MATCH(0,IF(TRUE=$BJ$10:$BJ$259,COUNTIF($AG$42:AG60,$BI$10:$BI$259),""),0)),"")</f>
        <v/>
      </c>
      <c r="AH61" s="642"/>
      <c r="AI61" s="642"/>
      <c r="AJ61" s="1545" t="str">
        <f>IF(BH61=FALSE,"",IF(ISNA(VLOOKUP(AG61,'F-1 Off-Site WaterC'' Baseline'!C$1:D$257,2,FALSE)),"",(VLOOKUP(AG61,'F-1 Off-Site WaterC'' Baseline'!C$1:D$257,2,FALSE))))</f>
        <v/>
      </c>
      <c r="AK61" s="1545"/>
      <c r="AL61" s="1545"/>
      <c r="AM61" s="1573"/>
      <c r="AN61" s="1573"/>
      <c r="AO61" s="1573"/>
      <c r="AP61" s="1534" t="str">
        <f>IF(AG61="","",IF(ISNA(VLOOKUP($AG61,'F-1 Off-Site WaterC'' Baseline'!C$1:E$257,3,FALSE)),"",(VLOOKUP(AG61,'F-1 Off-Site WaterC'' Baseline'!C$1:E$257,3,FALSE))))</f>
        <v/>
      </c>
      <c r="AQ61" s="1534"/>
      <c r="AR61" s="1531" t="str">
        <f>IF(AG61="","",IF(ISNA(VLOOKUP($AG61,'F-1 Off-Site WaterC'' Baseline'!C$1:AA$257,22,FALSE)),"",(VLOOKUP(AG61,'F-1 Off-Site WaterC'' Baseline'!C$1:AA$257,22,FALSE))))</f>
        <v/>
      </c>
      <c r="AS61" s="1533"/>
      <c r="AT61" s="1531" t="str">
        <f>IF(AG61="","",IF(ISNA(VLOOKUP($AG61,'F-1 Off-Site WaterC'' Baseline'!C$1:AA$257,23,FALSE)),"",(VLOOKUP(AG61,'F-1 Off-Site WaterC'' Baseline'!C$1:AA$257,23,FALSE))))</f>
        <v/>
      </c>
      <c r="AU61" s="1532"/>
      <c r="AV61" s="1532"/>
      <c r="AW61" s="1533"/>
      <c r="AX61" s="1534" t="str">
        <f t="shared" si="8"/>
        <v/>
      </c>
      <c r="AY61" s="1534"/>
      <c r="AZ61" s="1535" t="str">
        <f t="shared" si="5"/>
        <v/>
      </c>
      <c r="BA61" s="1536"/>
      <c r="BB61" s="1536"/>
      <c r="BC61" s="1536"/>
      <c r="BD61" s="1537"/>
      <c r="BE61" s="652" t="str">
        <f>IFERROR(IF(LEN(VLOOKUP($AG61,'F-1 Off-Site WaterC'' Baseline'!C$1:AE$257,29,FALSE))=0,"",IF(AG61="","",IF(ISNA(VLOOKUP($AG61,'F-1 Off-Site WaterC'' Baseline'!C$1:AE$257,29,FALSE)),"",(VLOOKUP(AG61,'F-1 Off-Site WaterC'' Baseline'!C$1:AE$257,29,FALSE))))),"")</f>
        <v/>
      </c>
      <c r="BF61" s="652" t="str">
        <f>IFERROR(IF(LEN(VLOOKUP($AG61,'F-1 Off-Site WaterC'' Baseline'!C$1:AH$257,30,FALSE))=0,"",IF(AG61="","",IF(ISNA(VLOOKUP($AG61,'F-1 Off-Site WaterC'' Baseline'!C$1:AH$257,30,FALSE)),"",(VLOOKUP(AG61,'F-1 Off-Site WaterC'' Baseline'!C$1:AH$257,30,FALSE))))),"")</f>
        <v/>
      </c>
      <c r="BG61" s="687" t="str">
        <f>IFERROR(IF(LEN(VLOOKUP($AG61,'F-1 Off-Site WaterC'' Baseline'!C$1:AH$257,31,FALSE))=0,"",IF(AG61="","",IF(ISNA(VLOOKUP($AG61,'F-1 Off-Site WaterC'' Baseline'!C$1:AH$257,31,FALSE)),"",(VLOOKUP(AG61,'F-1 Off-Site WaterC'' Baseline'!C$1:AH$257,31,FALSE))))),"")</f>
        <v/>
      </c>
      <c r="BH61" s="673" t="str">
        <f>IF('C-1 On-Site WaterC'' Baseline'!AU61="","",IF('C-1 On-Site WaterC'' Baseline'!AU61="Yes",TRUE,FALSE))</f>
        <v/>
      </c>
      <c r="BI61" s="673">
        <v>52</v>
      </c>
      <c r="BJ61" s="673" t="str">
        <f>IF('F-1 Off-Site WaterC'' Baseline'!AU61="","",IF('F-1 Off-Site WaterC'' Baseline'!AU61="Yes",TRUE,FALSE))</f>
        <v/>
      </c>
      <c r="BK61" s="673" t="str">
        <f t="shared" si="6"/>
        <v/>
      </c>
      <c r="BL61" s="673" t="str">
        <f>IF(AG61="","",IF(LEN(VLOOKUP($AG61,'C-1 On-Site WaterC'' Baseline'!$C$1:$AV$257,25,FALSE))=0,"",VLOOKUP(AG61,'C-1 On-Site WaterC'' Baseline'!$C$1:$AV$257,25,FALSE)))</f>
        <v/>
      </c>
      <c r="BM61" s="673" t="str">
        <f>IF(B61="","",IF(LEN(VLOOKUP($B61,'D-1 Off-Site Habitat Baseline'!$D$1:$AV$258,25,FALSE))=0,"",(VLOOKUP(B61,'D-1 Off-Site Habitat Baseline'!$D$1:$AV$258,25,FALSE))))</f>
        <v/>
      </c>
    </row>
    <row r="62" spans="2:65" ht="44.9" customHeight="1">
      <c r="B62" s="684" t="str" cm="1">
        <f t="array" ref="B62">IFERROR(INDEX($AD$10:$AD$259,MATCH(0,IF(TRUE=$AE$10:$AE$259,COUNTIF($B$42:B61,$AD$10:$AD$259),""),0)),"")</f>
        <v/>
      </c>
      <c r="C62" s="642"/>
      <c r="D62" s="642"/>
      <c r="E62" s="1545" t="str">
        <f>IF(B62="","",IF(ISNA(VLOOKUP($B62,'D-1 Off-Site Habitat Baseline'!$D$1:$AV$258,45,FALSE)),"",(VLOOKUP(B62,'D-1 Off-Site Habitat Baseline'!$D$1:$AV$258,45,FALSE))))</f>
        <v/>
      </c>
      <c r="F62" s="1545"/>
      <c r="G62" s="1545"/>
      <c r="H62" s="1573"/>
      <c r="I62" s="1573"/>
      <c r="J62" s="1573"/>
      <c r="K62" s="1534" t="str">
        <f>IF(B62="","",IF(ISNA(VLOOKUP($B62,'D-1 Off-Site Habitat Baseline'!$D$1:$AV$258,5,FALSE)),"",(VLOOKUP(B62,'D-1 Off-Site Habitat Baseline'!$D$1:$AV$258,5,FALSE))))</f>
        <v/>
      </c>
      <c r="L62" s="1534"/>
      <c r="M62" s="1534" t="str">
        <f>IF(B62="","",IF(ISNA(VLOOKUP($B62,'D-1 Off-Site Habitat Baseline'!$D$1:$AV$258,19,FALSE)),"",(VLOOKUP(B62,'D-1 Off-Site Habitat Baseline'!$D$1:$AV$258,19,FALSE))))</f>
        <v/>
      </c>
      <c r="N62" s="1534"/>
      <c r="O62" s="1534" t="str">
        <f>IF(B62="","",IF(ISNA(VLOOKUP($B62,'A-1 On-Site Habitat Baseline'!$D$1:$AV$258,17,FALSE)),"",(VLOOKUP(B62,'A-1 On-Site Habitat Baseline'!$D$1:$AV$258,17,FALSE))))</f>
        <v/>
      </c>
      <c r="P62" s="1534"/>
      <c r="Q62" s="1534"/>
      <c r="R62" s="1534"/>
      <c r="S62" s="1534" t="str">
        <f t="shared" si="9"/>
        <v/>
      </c>
      <c r="T62" s="1545"/>
      <c r="U62" s="648" t="str">
        <f t="shared" si="7"/>
        <v/>
      </c>
      <c r="V62" s="646"/>
      <c r="W62" s="646"/>
      <c r="X62" s="646"/>
      <c r="Y62" s="646"/>
      <c r="Z62" s="676" t="str">
        <f ca="1">IFERROR(IF(LEN(VLOOKUP($B62,'D-1 Off-Site Habitat Baseline'!$D$1:$AV$258,26,FALSE))=0,"",IF(B62="","",IF(ISNA(VLOOKUP($B62,'D-1 Off-Site Habitat Baseline'!$D$1:$AV$258,26,FALSE)),"",(VLOOKUP(B62,'D-1 Off-Site Habitat Baseline'!$D$1:$AV$258,26,FALSE))))),"")</f>
        <v/>
      </c>
      <c r="AA62" s="652" t="str">
        <f ca="1">IFERROR(IF(LEN(VLOOKUP($B62,'D-1 Off-Site Habitat Baseline'!$D$1:$AV$258,27,FALSE))=0,"",IF(B62="","",IF(ISNA(VLOOKUP($B62,'D-1 Off-Site Habitat Baseline'!$D$1:$AV$258,27,FALSE)),"",(VLOOKUP(B62,'D-1 Off-Site Habitat Baseline'!$D$1:$AV$258,27,FALSE))))),"")</f>
        <v/>
      </c>
      <c r="AB62" s="674" t="str">
        <f ca="1">IFERROR(IF(LEN(VLOOKUP($B62,'D-1 Off-Site Habitat Baseline'!$D$1:$AV$258,28,FALSE))=0,"",IF(B62="","",IF(ISNA(VLOOKUP($B62,'D-1 Off-Site Habitat Baseline'!$D$1:$AV$258,28,FALSE)),"",(VLOOKUP(B62,'D-1 Off-Site Habitat Baseline'!$D$1:$AV$258,28,FALSE))))),"")</f>
        <v/>
      </c>
      <c r="AC62" s="672" t="str">
        <f>IF('A-1 On-Site Habitat Baseline'!G63="","",IF('A-1 On-Site Habitat Baseline'!G63="Yes",TRUE,FALSE))</f>
        <v/>
      </c>
      <c r="AD62" s="673">
        <v>53</v>
      </c>
      <c r="AE62" s="672" t="str">
        <f>IF('D-1 Off-Site Habitat Baseline'!G63="","",IF('D-1 Off-Site Habitat Baseline'!G63="Yes",TRUE,FALSE))</f>
        <v/>
      </c>
      <c r="AG62" s="641" t="str" cm="1">
        <f t="array" ref="AG62">IFERROR(INDEX($BI$10:$BI$259,MATCH(0,IF(TRUE=$BJ$10:$BJ$259,COUNTIF($AG$42:AG61,$BI$10:$BI$259),""),0)),"")</f>
        <v/>
      </c>
      <c r="AH62" s="642"/>
      <c r="AI62" s="642"/>
      <c r="AJ62" s="1545" t="str">
        <f>IF(BH62=FALSE,"",IF(ISNA(VLOOKUP(AG62,'F-1 Off-Site WaterC'' Baseline'!C$1:D$257,2,FALSE)),"",(VLOOKUP(AG62,'F-1 Off-Site WaterC'' Baseline'!C$1:D$257,2,FALSE))))</f>
        <v/>
      </c>
      <c r="AK62" s="1545"/>
      <c r="AL62" s="1545"/>
      <c r="AM62" s="1573"/>
      <c r="AN62" s="1573"/>
      <c r="AO62" s="1573"/>
      <c r="AP62" s="1534" t="str">
        <f>IF(AG62="","",IF(ISNA(VLOOKUP($AG62,'F-1 Off-Site WaterC'' Baseline'!C$1:E$257,3,FALSE)),"",(VLOOKUP(AG62,'F-1 Off-Site WaterC'' Baseline'!C$1:E$257,3,FALSE))))</f>
        <v/>
      </c>
      <c r="AQ62" s="1534"/>
      <c r="AR62" s="1531" t="str">
        <f>IF(AG62="","",IF(ISNA(VLOOKUP($AG62,'F-1 Off-Site WaterC'' Baseline'!C$1:AA$257,22,FALSE)),"",(VLOOKUP(AG62,'F-1 Off-Site WaterC'' Baseline'!C$1:AA$257,22,FALSE))))</f>
        <v/>
      </c>
      <c r="AS62" s="1533"/>
      <c r="AT62" s="1531" t="str">
        <f>IF(AG62="","",IF(ISNA(VLOOKUP($AG62,'F-1 Off-Site WaterC'' Baseline'!C$1:AA$257,23,FALSE)),"",(VLOOKUP(AG62,'F-1 Off-Site WaterC'' Baseline'!C$1:AA$257,23,FALSE))))</f>
        <v/>
      </c>
      <c r="AU62" s="1532"/>
      <c r="AV62" s="1532"/>
      <c r="AW62" s="1533"/>
      <c r="AX62" s="1534" t="str">
        <f t="shared" si="8"/>
        <v/>
      </c>
      <c r="AY62" s="1534"/>
      <c r="AZ62" s="1535" t="str">
        <f t="shared" si="5"/>
        <v/>
      </c>
      <c r="BA62" s="1536"/>
      <c r="BB62" s="1536"/>
      <c r="BC62" s="1536"/>
      <c r="BD62" s="1537"/>
      <c r="BE62" s="652" t="str">
        <f>IFERROR(IF(LEN(VLOOKUP($AG62,'F-1 Off-Site WaterC'' Baseline'!C$1:AE$257,29,FALSE))=0,"",IF(AG62="","",IF(ISNA(VLOOKUP($AG62,'F-1 Off-Site WaterC'' Baseline'!C$1:AE$257,29,FALSE)),"",(VLOOKUP(AG62,'F-1 Off-Site WaterC'' Baseline'!C$1:AE$257,29,FALSE))))),"")</f>
        <v/>
      </c>
      <c r="BF62" s="652" t="str">
        <f>IFERROR(IF(LEN(VLOOKUP($AG62,'F-1 Off-Site WaterC'' Baseline'!C$1:AH$257,30,FALSE))=0,"",IF(AG62="","",IF(ISNA(VLOOKUP($AG62,'F-1 Off-Site WaterC'' Baseline'!C$1:AH$257,30,FALSE)),"",(VLOOKUP(AG62,'F-1 Off-Site WaterC'' Baseline'!C$1:AH$257,30,FALSE))))),"")</f>
        <v/>
      </c>
      <c r="BG62" s="687" t="str">
        <f>IFERROR(IF(LEN(VLOOKUP($AG62,'F-1 Off-Site WaterC'' Baseline'!C$1:AH$257,31,FALSE))=0,"",IF(AG62="","",IF(ISNA(VLOOKUP($AG62,'F-1 Off-Site WaterC'' Baseline'!C$1:AH$257,31,FALSE)),"",(VLOOKUP(AG62,'F-1 Off-Site WaterC'' Baseline'!C$1:AH$257,31,FALSE))))),"")</f>
        <v/>
      </c>
      <c r="BH62" s="673" t="str">
        <f>IF('C-1 On-Site WaterC'' Baseline'!AU62="","",IF('C-1 On-Site WaterC'' Baseline'!AU62="Yes",TRUE,FALSE))</f>
        <v/>
      </c>
      <c r="BI62" s="673">
        <v>53</v>
      </c>
      <c r="BJ62" s="673" t="str">
        <f>IF('F-1 Off-Site WaterC'' Baseline'!AU62="","",IF('F-1 Off-Site WaterC'' Baseline'!AU62="Yes",TRUE,FALSE))</f>
        <v/>
      </c>
      <c r="BK62" s="673" t="str">
        <f t="shared" si="6"/>
        <v/>
      </c>
      <c r="BL62" s="673" t="str">
        <f>IF(AG62="","",IF(LEN(VLOOKUP($AG62,'C-1 On-Site WaterC'' Baseline'!$C$1:$AV$257,25,FALSE))=0,"",VLOOKUP(AG62,'C-1 On-Site WaterC'' Baseline'!$C$1:$AV$257,25,FALSE)))</f>
        <v/>
      </c>
      <c r="BM62" s="673" t="str">
        <f>IF(B62="","",IF(LEN(VLOOKUP($B62,'D-1 Off-Site Habitat Baseline'!$D$1:$AV$258,25,FALSE))=0,"",(VLOOKUP(B62,'D-1 Off-Site Habitat Baseline'!$D$1:$AV$258,25,FALSE))))</f>
        <v/>
      </c>
    </row>
    <row r="63" spans="2:65" ht="44.9" customHeight="1">
      <c r="B63" s="684" t="str" cm="1">
        <f t="array" ref="B63">IFERROR(INDEX($AD$10:$AD$259,MATCH(0,IF(TRUE=$AE$10:$AE$259,COUNTIF($B$42:B62,$AD$10:$AD$259),""),0)),"")</f>
        <v/>
      </c>
      <c r="C63" s="642"/>
      <c r="D63" s="642"/>
      <c r="E63" s="1545" t="str">
        <f>IF(B63="","",IF(ISNA(VLOOKUP($B63,'D-1 Off-Site Habitat Baseline'!$D$1:$AV$258,45,FALSE)),"",(VLOOKUP(B63,'D-1 Off-Site Habitat Baseline'!$D$1:$AV$258,45,FALSE))))</f>
        <v/>
      </c>
      <c r="F63" s="1545"/>
      <c r="G63" s="1545"/>
      <c r="H63" s="1573"/>
      <c r="I63" s="1573"/>
      <c r="J63" s="1573"/>
      <c r="K63" s="1534" t="str">
        <f>IF(B63="","",IF(ISNA(VLOOKUP($B63,'D-1 Off-Site Habitat Baseline'!$D$1:$AV$258,5,FALSE)),"",(VLOOKUP(B63,'D-1 Off-Site Habitat Baseline'!$D$1:$AV$258,5,FALSE))))</f>
        <v/>
      </c>
      <c r="L63" s="1534"/>
      <c r="M63" s="1534" t="str">
        <f>IF(B63="","",IF(ISNA(VLOOKUP($B63,'D-1 Off-Site Habitat Baseline'!$D$1:$AV$258,19,FALSE)),"",(VLOOKUP(B63,'D-1 Off-Site Habitat Baseline'!$D$1:$AV$258,19,FALSE))))</f>
        <v/>
      </c>
      <c r="N63" s="1534"/>
      <c r="O63" s="1534" t="str">
        <f>IF(B63="","",IF(ISNA(VLOOKUP($B63,'A-1 On-Site Habitat Baseline'!$D$1:$AV$258,17,FALSE)),"",(VLOOKUP(B63,'A-1 On-Site Habitat Baseline'!$D$1:$AV$258,17,FALSE))))</f>
        <v/>
      </c>
      <c r="P63" s="1534"/>
      <c r="Q63" s="1534"/>
      <c r="R63" s="1534"/>
      <c r="S63" s="1534" t="str">
        <f t="shared" si="9"/>
        <v/>
      </c>
      <c r="T63" s="1545"/>
      <c r="U63" s="648" t="str">
        <f t="shared" si="7"/>
        <v/>
      </c>
      <c r="V63" s="646"/>
      <c r="W63" s="646"/>
      <c r="X63" s="646"/>
      <c r="Y63" s="646"/>
      <c r="Z63" s="676" t="str">
        <f ca="1">IFERROR(IF(LEN(VLOOKUP($B63,'D-1 Off-Site Habitat Baseline'!$D$1:$AV$258,26,FALSE))=0,"",IF(B63="","",IF(ISNA(VLOOKUP($B63,'D-1 Off-Site Habitat Baseline'!$D$1:$AV$258,26,FALSE)),"",(VLOOKUP(B63,'D-1 Off-Site Habitat Baseline'!$D$1:$AV$258,26,FALSE))))),"")</f>
        <v/>
      </c>
      <c r="AA63" s="652" t="str">
        <f ca="1">IFERROR(IF(LEN(VLOOKUP($B63,'D-1 Off-Site Habitat Baseline'!$D$1:$AV$258,27,FALSE))=0,"",IF(B63="","",IF(ISNA(VLOOKUP($B63,'D-1 Off-Site Habitat Baseline'!$D$1:$AV$258,27,FALSE)),"",(VLOOKUP(B63,'D-1 Off-Site Habitat Baseline'!$D$1:$AV$258,27,FALSE))))),"")</f>
        <v/>
      </c>
      <c r="AB63" s="674" t="str">
        <f ca="1">IFERROR(IF(LEN(VLOOKUP($B63,'D-1 Off-Site Habitat Baseline'!$D$1:$AV$258,28,FALSE))=0,"",IF(B63="","",IF(ISNA(VLOOKUP($B63,'D-1 Off-Site Habitat Baseline'!$D$1:$AV$258,28,FALSE)),"",(VLOOKUP(B63,'D-1 Off-Site Habitat Baseline'!$D$1:$AV$258,28,FALSE))))),"")</f>
        <v/>
      </c>
      <c r="AC63" s="672" t="str">
        <f>IF('A-1 On-Site Habitat Baseline'!G64="","",IF('A-1 On-Site Habitat Baseline'!G64="Yes",TRUE,FALSE))</f>
        <v/>
      </c>
      <c r="AD63" s="673">
        <v>54</v>
      </c>
      <c r="AE63" s="672" t="str">
        <f>IF('D-1 Off-Site Habitat Baseline'!G64="","",IF('D-1 Off-Site Habitat Baseline'!G64="Yes",TRUE,FALSE))</f>
        <v/>
      </c>
      <c r="AG63" s="641" t="str" cm="1">
        <f t="array" ref="AG63">IFERROR(INDEX($BI$10:$BI$259,MATCH(0,IF(TRUE=$BJ$10:$BJ$259,COUNTIF($AG$42:AG62,$BI$10:$BI$259),""),0)),"")</f>
        <v/>
      </c>
      <c r="AH63" s="642"/>
      <c r="AI63" s="642"/>
      <c r="AJ63" s="1545" t="str">
        <f>IF(BH63=FALSE,"",IF(ISNA(VLOOKUP(AG63,'F-1 Off-Site WaterC'' Baseline'!C$1:D$257,2,FALSE)),"",(VLOOKUP(AG63,'F-1 Off-Site WaterC'' Baseline'!C$1:D$257,2,FALSE))))</f>
        <v/>
      </c>
      <c r="AK63" s="1545"/>
      <c r="AL63" s="1545"/>
      <c r="AM63" s="1573"/>
      <c r="AN63" s="1573"/>
      <c r="AO63" s="1573"/>
      <c r="AP63" s="1534" t="str">
        <f>IF(AG63="","",IF(ISNA(VLOOKUP($AG63,'F-1 Off-Site WaterC'' Baseline'!C$1:E$257,3,FALSE)),"",(VLOOKUP(AG63,'F-1 Off-Site WaterC'' Baseline'!C$1:E$257,3,FALSE))))</f>
        <v/>
      </c>
      <c r="AQ63" s="1534"/>
      <c r="AR63" s="1531" t="str">
        <f>IF(AG63="","",IF(ISNA(VLOOKUP($AG63,'F-1 Off-Site WaterC'' Baseline'!C$1:AA$257,22,FALSE)),"",(VLOOKUP(AG63,'F-1 Off-Site WaterC'' Baseline'!C$1:AA$257,22,FALSE))))</f>
        <v/>
      </c>
      <c r="AS63" s="1533"/>
      <c r="AT63" s="1531" t="str">
        <f>IF(AG63="","",IF(ISNA(VLOOKUP($AG63,'F-1 Off-Site WaterC'' Baseline'!C$1:AA$257,23,FALSE)),"",(VLOOKUP(AG63,'F-1 Off-Site WaterC'' Baseline'!C$1:AA$257,23,FALSE))))</f>
        <v/>
      </c>
      <c r="AU63" s="1532"/>
      <c r="AV63" s="1532"/>
      <c r="AW63" s="1533"/>
      <c r="AX63" s="1534" t="str">
        <f t="shared" si="8"/>
        <v/>
      </c>
      <c r="AY63" s="1534"/>
      <c r="AZ63" s="1535" t="str">
        <f t="shared" si="5"/>
        <v/>
      </c>
      <c r="BA63" s="1536"/>
      <c r="BB63" s="1536"/>
      <c r="BC63" s="1536"/>
      <c r="BD63" s="1537"/>
      <c r="BE63" s="652" t="str">
        <f>IFERROR(IF(LEN(VLOOKUP($AG63,'F-1 Off-Site WaterC'' Baseline'!C$1:AE$257,29,FALSE))=0,"",IF(AG63="","",IF(ISNA(VLOOKUP($AG63,'F-1 Off-Site WaterC'' Baseline'!C$1:AE$257,29,FALSE)),"",(VLOOKUP(AG63,'F-1 Off-Site WaterC'' Baseline'!C$1:AE$257,29,FALSE))))),"")</f>
        <v/>
      </c>
      <c r="BF63" s="652" t="str">
        <f>IFERROR(IF(LEN(VLOOKUP($AG63,'F-1 Off-Site WaterC'' Baseline'!C$1:AH$257,30,FALSE))=0,"",IF(AG63="","",IF(ISNA(VLOOKUP($AG63,'F-1 Off-Site WaterC'' Baseline'!C$1:AH$257,30,FALSE)),"",(VLOOKUP(AG63,'F-1 Off-Site WaterC'' Baseline'!C$1:AH$257,30,FALSE))))),"")</f>
        <v/>
      </c>
      <c r="BG63" s="687" t="str">
        <f>IFERROR(IF(LEN(VLOOKUP($AG63,'F-1 Off-Site WaterC'' Baseline'!C$1:AH$257,31,FALSE))=0,"",IF(AG63="","",IF(ISNA(VLOOKUP($AG63,'F-1 Off-Site WaterC'' Baseline'!C$1:AH$257,31,FALSE)),"",(VLOOKUP(AG63,'F-1 Off-Site WaterC'' Baseline'!C$1:AH$257,31,FALSE))))),"")</f>
        <v/>
      </c>
      <c r="BH63" s="673" t="str">
        <f>IF('C-1 On-Site WaterC'' Baseline'!AU63="","",IF('C-1 On-Site WaterC'' Baseline'!AU63="Yes",TRUE,FALSE))</f>
        <v/>
      </c>
      <c r="BI63" s="673">
        <v>54</v>
      </c>
      <c r="BJ63" s="673" t="str">
        <f>IF('F-1 Off-Site WaterC'' Baseline'!AU63="","",IF('F-1 Off-Site WaterC'' Baseline'!AU63="Yes",TRUE,FALSE))</f>
        <v/>
      </c>
      <c r="BK63" s="673" t="str">
        <f t="shared" si="6"/>
        <v/>
      </c>
      <c r="BL63" s="673" t="str">
        <f>IF(AG63="","",IF(LEN(VLOOKUP($AG63,'C-1 On-Site WaterC'' Baseline'!$C$1:$AV$257,25,FALSE))=0,"",VLOOKUP(AG63,'C-1 On-Site WaterC'' Baseline'!$C$1:$AV$257,25,FALSE)))</f>
        <v/>
      </c>
      <c r="BM63" s="673" t="str">
        <f>IF(B63="","",IF(LEN(VLOOKUP($B63,'D-1 Off-Site Habitat Baseline'!$D$1:$AV$258,25,FALSE))=0,"",(VLOOKUP(B63,'D-1 Off-Site Habitat Baseline'!$D$1:$AV$258,25,FALSE))))</f>
        <v/>
      </c>
    </row>
    <row r="64" spans="2:65" ht="44.9" customHeight="1" thickBot="1">
      <c r="B64" s="685" t="str" cm="1">
        <f t="array" ref="B64">IFERROR(INDEX($AD$10:$AD$259,MATCH(0,IF(TRUE=$AE$10:$AE$259,COUNTIF($B$42:B63,$AD$10:$AD$259),""),0)),"")</f>
        <v/>
      </c>
      <c r="C64" s="644"/>
      <c r="D64" s="644"/>
      <c r="E64" s="1572" t="str">
        <f>IF(B64="","",IF(ISNA(VLOOKUP($B64,'D-1 Off-Site Habitat Baseline'!$D$1:$AV$258,45,FALSE)),"",(VLOOKUP(B64,'D-1 Off-Site Habitat Baseline'!$D$1:$AV$258,45,FALSE))))</f>
        <v/>
      </c>
      <c r="F64" s="1572"/>
      <c r="G64" s="1572"/>
      <c r="H64" s="1574"/>
      <c r="I64" s="1574"/>
      <c r="J64" s="1574"/>
      <c r="K64" s="1538" t="str">
        <f>IF(B64="","",IF(ISNA(VLOOKUP($B64,'D-1 Off-Site Habitat Baseline'!$D$1:$AV$258,5,FALSE)),"",(VLOOKUP(B64,'D-1 Off-Site Habitat Baseline'!$D$1:$AV$258,5,FALSE))))</f>
        <v/>
      </c>
      <c r="L64" s="1538"/>
      <c r="M64" s="1538" t="str">
        <f>IF(B64="","",IF(ISNA(VLOOKUP($B64,'D-1 Off-Site Habitat Baseline'!$D$1:$AV$258,19,FALSE)),"",(VLOOKUP(B64,'D-1 Off-Site Habitat Baseline'!$D$1:$AV$258,19,FALSE))))</f>
        <v/>
      </c>
      <c r="N64" s="1538"/>
      <c r="O64" s="1538" t="str">
        <f>IF(B64="","",IF(ISNA(VLOOKUP($B64,'A-1 On-Site Habitat Baseline'!$D$1:$AV$258,17,FALSE)),"",(VLOOKUP(B64,'A-1 On-Site Habitat Baseline'!$D$1:$AV$258,17,FALSE))))</f>
        <v/>
      </c>
      <c r="P64" s="1538"/>
      <c r="Q64" s="1538"/>
      <c r="R64" s="1538"/>
      <c r="S64" s="1538" t="str">
        <f t="shared" si="9"/>
        <v/>
      </c>
      <c r="T64" s="1572"/>
      <c r="U64" s="650" t="str">
        <f t="shared" si="7"/>
        <v/>
      </c>
      <c r="V64" s="647"/>
      <c r="W64" s="647"/>
      <c r="X64" s="647"/>
      <c r="Y64" s="647"/>
      <c r="Z64" s="677" t="str">
        <f ca="1">IFERROR(IF(LEN(VLOOKUP($B64,'D-1 Off-Site Habitat Baseline'!$D$1:$AV$258,26,FALSE))=0,"",IF(B64="","",IF(ISNA(VLOOKUP($B64,'D-1 Off-Site Habitat Baseline'!$D$1:$AV$258,26,FALSE)),"",(VLOOKUP(B64,'D-1 Off-Site Habitat Baseline'!$D$1:$AV$258,26,FALSE))))),"")</f>
        <v/>
      </c>
      <c r="AA64" s="651" t="str">
        <f ca="1">IFERROR(IF(LEN(VLOOKUP($B64,'D-1 Off-Site Habitat Baseline'!$D$1:$AV$258,27,FALSE))=0,"",IF(B64="","",IF(ISNA(VLOOKUP($B64,'D-1 Off-Site Habitat Baseline'!$D$1:$AV$258,27,FALSE)),"",(VLOOKUP(B64,'D-1 Off-Site Habitat Baseline'!$D$1:$AV$258,27,FALSE))))),"")</f>
        <v/>
      </c>
      <c r="AB64" s="678" t="str">
        <f ca="1">IFERROR(IF(LEN(VLOOKUP($B64,'D-1 Off-Site Habitat Baseline'!$D$1:$AV$258,28,FALSE))=0,"",IF(B64="","",IF(ISNA(VLOOKUP($B64,'D-1 Off-Site Habitat Baseline'!$D$1:$AV$258,28,FALSE)),"",(VLOOKUP(B64,'D-1 Off-Site Habitat Baseline'!$D$1:$AV$258,28,FALSE))))),"")</f>
        <v/>
      </c>
      <c r="AC64" s="672" t="str">
        <f>IF('A-1 On-Site Habitat Baseline'!G65="","",IF('A-1 On-Site Habitat Baseline'!G65="Yes",TRUE,FALSE))</f>
        <v/>
      </c>
      <c r="AD64" s="673">
        <v>55</v>
      </c>
      <c r="AE64" s="672" t="str">
        <f>IF('D-1 Off-Site Habitat Baseline'!G65="","",IF('D-1 Off-Site Habitat Baseline'!G65="Yes",TRUE,FALSE))</f>
        <v/>
      </c>
      <c r="AG64" s="643" t="str" cm="1">
        <f t="array" ref="AG64">IFERROR(INDEX($BI$10:$BI$259,MATCH(0,IF(TRUE=$BJ$10:$BJ$259,COUNTIF($AG$42:AG63,$BI$10:$BI$259),""),0)),"")</f>
        <v/>
      </c>
      <c r="AH64" s="644"/>
      <c r="AI64" s="644"/>
      <c r="AJ64" s="1572" t="str">
        <f>IF(BH64=FALSE,"",IF(ISNA(VLOOKUP(AG64,'F-1 Off-Site WaterC'' Baseline'!C$1:D$257,2,FALSE)),"",(VLOOKUP(AG64,'F-1 Off-Site WaterC'' Baseline'!C$1:D$257,2,FALSE))))</f>
        <v/>
      </c>
      <c r="AK64" s="1572"/>
      <c r="AL64" s="1572"/>
      <c r="AM64" s="1574"/>
      <c r="AN64" s="1574"/>
      <c r="AO64" s="1574"/>
      <c r="AP64" s="1538" t="str">
        <f>IF(AG64="","",IF(ISNA(VLOOKUP($AG64,'F-1 Off-Site WaterC'' Baseline'!C$1:E$257,3,FALSE)),"",(VLOOKUP(AG64,'F-1 Off-Site WaterC'' Baseline'!C$1:E$257,3,FALSE))))</f>
        <v/>
      </c>
      <c r="AQ64" s="1538"/>
      <c r="AR64" s="1539" t="str">
        <f>IF(AG64="","",IF(ISNA(VLOOKUP($AG64,'F-1 Off-Site WaterC'' Baseline'!C$1:AA$257,22,FALSE)),"",(VLOOKUP(AG64,'F-1 Off-Site WaterC'' Baseline'!C$1:AA$257,22,FALSE))))</f>
        <v/>
      </c>
      <c r="AS64" s="1540"/>
      <c r="AT64" s="1539" t="str">
        <f>IF(AG64="","",IF(ISNA(VLOOKUP($AG64,'F-1 Off-Site WaterC'' Baseline'!C$1:AA$257,23,FALSE)),"",(VLOOKUP(AG64,'F-1 Off-Site WaterC'' Baseline'!C$1:AA$257,23,FALSE))))</f>
        <v/>
      </c>
      <c r="AU64" s="1541"/>
      <c r="AV64" s="1541"/>
      <c r="AW64" s="1540"/>
      <c r="AX64" s="1538" t="str">
        <f t="shared" si="8"/>
        <v/>
      </c>
      <c r="AY64" s="1538"/>
      <c r="AZ64" s="1542" t="str">
        <f t="shared" si="5"/>
        <v/>
      </c>
      <c r="BA64" s="1543"/>
      <c r="BB64" s="1543"/>
      <c r="BC64" s="1543"/>
      <c r="BD64" s="1544"/>
      <c r="BE64" s="651" t="str">
        <f>IFERROR(IF(LEN(VLOOKUP($AG64,'F-1 Off-Site WaterC'' Baseline'!C$1:AE$257,29,FALSE))=0,"",IF(AG64="","",IF(ISNA(VLOOKUP($AG64,'F-1 Off-Site WaterC'' Baseline'!C$1:AE$257,29,FALSE)),"",(VLOOKUP(AG64,'F-1 Off-Site WaterC'' Baseline'!C$1:AE$257,29,FALSE))))),"")</f>
        <v/>
      </c>
      <c r="BF64" s="651" t="str">
        <f>IFERROR(IF(LEN(VLOOKUP($AG64,'F-1 Off-Site WaterC'' Baseline'!C$1:AH$257,30,FALSE))=0,"",IF(AG64="","",IF(ISNA(VLOOKUP($AG64,'F-1 Off-Site WaterC'' Baseline'!C$1:AH$257,30,FALSE)),"",(VLOOKUP(AG64,'F-1 Off-Site WaterC'' Baseline'!C$1:AH$257,30,FALSE))))),"")</f>
        <v/>
      </c>
      <c r="BG64" s="688" t="str">
        <f>IFERROR(IF(LEN(VLOOKUP($AG64,'F-1 Off-Site WaterC'' Baseline'!C$1:AH$257,31,FALSE))=0,"",IF(AG64="","",IF(ISNA(VLOOKUP($AG64,'F-1 Off-Site WaterC'' Baseline'!C$1:AH$257,31,FALSE)),"",(VLOOKUP(AG64,'F-1 Off-Site WaterC'' Baseline'!C$1:AH$257,31,FALSE))))),"")</f>
        <v/>
      </c>
      <c r="BH64" s="673" t="str">
        <f>IF('C-1 On-Site WaterC'' Baseline'!AU64="","",IF('C-1 On-Site WaterC'' Baseline'!AU64="Yes",TRUE,FALSE))</f>
        <v/>
      </c>
      <c r="BI64" s="673">
        <v>55</v>
      </c>
      <c r="BJ64" s="673" t="str">
        <f>IF('F-1 Off-Site WaterC'' Baseline'!AU64="","",IF('F-1 Off-Site WaterC'' Baseline'!AU64="Yes",TRUE,FALSE))</f>
        <v/>
      </c>
      <c r="BK64" s="673" t="str">
        <f t="shared" si="6"/>
        <v/>
      </c>
      <c r="BL64" s="673" t="str">
        <f>IF(AG64="","",IF(LEN(VLOOKUP($AG64,'C-1 On-Site WaterC'' Baseline'!$C$1:$AV$257,25,FALSE))=0,"",VLOOKUP(AG64,'C-1 On-Site WaterC'' Baseline'!$C$1:$AV$257,25,FALSE)))</f>
        <v/>
      </c>
      <c r="BM64" s="673" t="str">
        <f>IF(B64="","",IF(LEN(VLOOKUP($B64,'D-1 Off-Site Habitat Baseline'!$D$1:$AV$258,25,FALSE))=0,"",(VLOOKUP(B64,'D-1 Off-Site Habitat Baseline'!$D$1:$AV$258,25,FALSE))))</f>
        <v/>
      </c>
    </row>
    <row r="65" spans="2:62" ht="55.4" customHeight="1" thickBot="1">
      <c r="B65" s="1513"/>
      <c r="C65" s="1514"/>
      <c r="D65" s="1515"/>
      <c r="E65" s="1508" t="s">
        <v>294</v>
      </c>
      <c r="F65" s="1509"/>
      <c r="G65" s="1509"/>
      <c r="H65" s="1509"/>
      <c r="I65" s="1509"/>
      <c r="J65" s="1510"/>
      <c r="K65" s="1568">
        <f>SUM(K43:L64)</f>
        <v>0</v>
      </c>
      <c r="L65" s="1568"/>
      <c r="M65" s="1519"/>
      <c r="N65" s="1520"/>
      <c r="O65" s="1520"/>
      <c r="P65" s="1520"/>
      <c r="Q65" s="1520"/>
      <c r="R65" s="1520"/>
      <c r="S65" s="1520"/>
      <c r="T65" s="1520"/>
      <c r="U65" s="1520"/>
      <c r="V65" s="1520"/>
      <c r="W65" s="1520"/>
      <c r="X65" s="1520"/>
      <c r="Y65" s="1520"/>
      <c r="Z65" s="1520"/>
      <c r="AA65" s="1520"/>
      <c r="AB65" s="1521"/>
      <c r="AC65" s="672" t="str">
        <f>IF('A-1 On-Site Habitat Baseline'!G66="","",IF('A-1 On-Site Habitat Baseline'!G66="Yes",TRUE,FALSE))</f>
        <v/>
      </c>
      <c r="AD65" s="673">
        <v>56</v>
      </c>
      <c r="AE65" s="672" t="str">
        <f>IF('D-1 Off-Site Habitat Baseline'!G66="","",IF('D-1 Off-Site Habitat Baseline'!G66="Yes",TRUE,FALSE))</f>
        <v/>
      </c>
      <c r="AG65" s="690"/>
      <c r="AH65" s="686"/>
      <c r="AI65" s="686"/>
      <c r="AJ65" s="1530" t="s">
        <v>295</v>
      </c>
      <c r="AK65" s="1528"/>
      <c r="AL65" s="1528"/>
      <c r="AM65" s="1528"/>
      <c r="AN65" s="1528"/>
      <c r="AO65" s="1529"/>
      <c r="AP65" s="1546">
        <f>SUM(AP43:AQ64)</f>
        <v>0</v>
      </c>
      <c r="AQ65" s="1547"/>
      <c r="AR65" s="1525"/>
      <c r="AS65" s="1526"/>
      <c r="AT65" s="1526"/>
      <c r="AU65" s="1526"/>
      <c r="AV65" s="1526"/>
      <c r="AW65" s="1526"/>
      <c r="AX65" s="1526"/>
      <c r="AY65" s="1526"/>
      <c r="AZ65" s="1526"/>
      <c r="BA65" s="1526"/>
      <c r="BB65" s="1526"/>
      <c r="BC65" s="1526"/>
      <c r="BD65" s="1526"/>
      <c r="BE65" s="1526"/>
      <c r="BF65" s="1526"/>
      <c r="BG65" s="1527"/>
      <c r="BH65" s="673" t="str">
        <f>IF('C-1 On-Site WaterC'' Baseline'!AU65="","",IF('C-1 On-Site WaterC'' Baseline'!AU65="Yes",TRUE,FALSE))</f>
        <v/>
      </c>
      <c r="BI65" s="673">
        <v>56</v>
      </c>
      <c r="BJ65" s="673" t="str">
        <f>IF('F-1 Off-Site WaterC'' Baseline'!AU65="","",IF('F-1 Off-Site WaterC'' Baseline'!AU65="Yes",TRUE,FALSE))</f>
        <v/>
      </c>
    </row>
    <row r="66" spans="2:62" ht="59.9" customHeight="1" thickBot="1">
      <c r="B66" s="1516"/>
      <c r="C66" s="1517"/>
      <c r="D66" s="1518"/>
      <c r="E66" s="1508" t="s">
        <v>304</v>
      </c>
      <c r="F66" s="1509"/>
      <c r="G66" s="1509"/>
      <c r="H66" s="1509"/>
      <c r="I66" s="1509"/>
      <c r="J66" s="1510"/>
      <c r="K66" s="1511">
        <f>SUMIFS($K$43:$K$64,$E$43:$E$64,"&lt;&gt;"&amp;'G-1 All Habitats'!B114,$E$43:$E$64,"&lt;&gt;"&amp;'G-1 All Habitats'!B115,$E$43:$E$64,"&lt;&gt;"&amp;'G-1 All Habitats'!B100,$E$43:$E$64,"&lt;&gt;"&amp;'G-1 All Habitats'!B101,E43:E64,"&lt;&gt;"&amp;'G-1 All Habitats'!B134)</f>
        <v>0</v>
      </c>
      <c r="L66" s="1512"/>
      <c r="M66" s="1522"/>
      <c r="N66" s="1523"/>
      <c r="O66" s="1523"/>
      <c r="P66" s="1523"/>
      <c r="Q66" s="1523"/>
      <c r="R66" s="1523"/>
      <c r="S66" s="1523"/>
      <c r="T66" s="1523"/>
      <c r="U66" s="1523"/>
      <c r="V66" s="1523"/>
      <c r="W66" s="1523"/>
      <c r="X66" s="1523"/>
      <c r="Y66" s="1523"/>
      <c r="Z66" s="1523"/>
      <c r="AA66" s="1523"/>
      <c r="AB66" s="1524"/>
      <c r="AC66" s="672" t="str">
        <f>IF('A-1 On-Site Habitat Baseline'!G67="","",IF('A-1 On-Site Habitat Baseline'!G67="Yes",TRUE,FALSE))</f>
        <v/>
      </c>
      <c r="AD66" s="673">
        <v>57</v>
      </c>
      <c r="AE66" s="672" t="str">
        <f>IF('D-1 Off-Site Habitat Baseline'!G67="","",IF('D-1 Off-Site Habitat Baseline'!G67="Yes",TRUE,FALSE))</f>
        <v/>
      </c>
      <c r="AJ66" s="1"/>
      <c r="BH66" s="673" t="str">
        <f>IF('C-1 On-Site WaterC'' Baseline'!AU66="","",IF('C-1 On-Site WaterC'' Baseline'!AU66="Yes",TRUE,FALSE))</f>
        <v/>
      </c>
      <c r="BI66" s="673">
        <v>57</v>
      </c>
      <c r="BJ66" s="673" t="str">
        <f>IF('F-1 Off-Site WaterC'' Baseline'!AU66="","",IF('F-1 Off-Site WaterC'' Baseline'!AU66="Yes",TRUE,FALSE))</f>
        <v/>
      </c>
    </row>
    <row r="67" spans="29:62" ht="15.65" customHeight="1">
      <c r="AC67" s="672" t="str">
        <f>IF('A-1 On-Site Habitat Baseline'!G68="","",IF('A-1 On-Site Habitat Baseline'!G68="Yes",TRUE,FALSE))</f>
        <v/>
      </c>
      <c r="AD67" s="673">
        <v>58</v>
      </c>
      <c r="AE67" s="672" t="str">
        <f>IF('D-1 Off-Site Habitat Baseline'!G68="","",IF('D-1 Off-Site Habitat Baseline'!G68="Yes",TRUE,FALSE))</f>
        <v/>
      </c>
      <c r="AJ67" s="1"/>
      <c r="BH67" s="673" t="str">
        <f>IF('C-1 On-Site WaterC'' Baseline'!AU67="","",IF('C-1 On-Site WaterC'' Baseline'!AU67="Yes",TRUE,FALSE))</f>
        <v/>
      </c>
      <c r="BI67" s="673">
        <v>58</v>
      </c>
      <c r="BJ67" s="673" t="str">
        <f>IF('F-1 Off-Site WaterC'' Baseline'!AU67="","",IF('F-1 Off-Site WaterC'' Baseline'!AU67="Yes",TRUE,FALSE))</f>
        <v/>
      </c>
    </row>
    <row r="68" spans="29:62" ht="15.65" customHeight="1">
      <c r="AC68" s="672" t="str">
        <f>IF('A-1 On-Site Habitat Baseline'!G69="","",IF('A-1 On-Site Habitat Baseline'!G69="Yes",TRUE,FALSE))</f>
        <v/>
      </c>
      <c r="AD68" s="673">
        <v>59</v>
      </c>
      <c r="AE68" s="672" t="str">
        <f>IF('D-1 Off-Site Habitat Baseline'!G69="","",IF('D-1 Off-Site Habitat Baseline'!G69="Yes",TRUE,FALSE))</f>
        <v/>
      </c>
      <c r="AJ68" s="1"/>
      <c r="BH68" s="673" t="str">
        <f>IF('C-1 On-Site WaterC'' Baseline'!AU68="","",IF('C-1 On-Site WaterC'' Baseline'!AU68="Yes",TRUE,FALSE))</f>
        <v/>
      </c>
      <c r="BI68" s="673">
        <v>59</v>
      </c>
      <c r="BJ68" s="673" t="str">
        <f>IF('F-1 Off-Site WaterC'' Baseline'!AU68="","",IF('F-1 Off-Site WaterC'' Baseline'!AU68="Yes",TRUE,FALSE))</f>
        <v/>
      </c>
    </row>
    <row r="69" spans="29:62" ht="15.65" customHeight="1">
      <c r="AC69" s="672" t="str">
        <f>IF('A-1 On-Site Habitat Baseline'!G70="","",IF('A-1 On-Site Habitat Baseline'!G70="Yes",TRUE,FALSE))</f>
        <v/>
      </c>
      <c r="AD69" s="673">
        <v>60</v>
      </c>
      <c r="AE69" s="672" t="str">
        <f>IF('D-1 Off-Site Habitat Baseline'!G70="","",IF('D-1 Off-Site Habitat Baseline'!G70="Yes",TRUE,FALSE))</f>
        <v/>
      </c>
      <c r="AJ69" s="1"/>
      <c r="BH69" s="673" t="str">
        <f>IF('C-1 On-Site WaterC'' Baseline'!AU69="","",IF('C-1 On-Site WaterC'' Baseline'!AU69="Yes",TRUE,FALSE))</f>
        <v/>
      </c>
      <c r="BI69" s="673">
        <v>60</v>
      </c>
      <c r="BJ69" s="673" t="str">
        <f>IF('F-1 Off-Site WaterC'' Baseline'!AU69="","",IF('F-1 Off-Site WaterC'' Baseline'!AU69="Yes",TRUE,FALSE))</f>
        <v/>
      </c>
    </row>
    <row r="70" spans="29:62" ht="16.5" customHeight="1" hidden="1">
      <c r="AC70" s="672" t="str">
        <f>IF('A-1 On-Site Habitat Baseline'!G71="","",IF('A-1 On-Site Habitat Baseline'!G71="Yes",TRUE,FALSE))</f>
        <v/>
      </c>
      <c r="AD70" s="673">
        <v>61</v>
      </c>
      <c r="AE70" s="672" t="str">
        <f>IF('D-1 Off-Site Habitat Baseline'!G71="","",IF('D-1 Off-Site Habitat Baseline'!G71="Yes",TRUE,FALSE))</f>
        <v/>
      </c>
      <c r="AJ70" s="1"/>
      <c r="BH70" s="673" t="str">
        <f>IF('C-1 On-Site WaterC'' Baseline'!AU70="","",IF('C-1 On-Site WaterC'' Baseline'!AU70="Yes",TRUE,FALSE))</f>
        <v/>
      </c>
      <c r="BI70" s="673">
        <v>61</v>
      </c>
      <c r="BJ70" s="673" t="str">
        <f>IF('F-1 Off-Site WaterC'' Baseline'!AU70="","",IF('F-1 Off-Site WaterC'' Baseline'!AU70="Yes",TRUE,FALSE))</f>
        <v/>
      </c>
    </row>
    <row r="71" spans="29:62" ht="15.65" customHeight="1" hidden="1">
      <c r="AC71" s="672" t="str">
        <f>IF('A-1 On-Site Habitat Baseline'!G72="","",IF('A-1 On-Site Habitat Baseline'!G72="Yes",TRUE,FALSE))</f>
        <v/>
      </c>
      <c r="AD71" s="673">
        <v>62</v>
      </c>
      <c r="AE71" s="672" t="str">
        <f>IF('D-1 Off-Site Habitat Baseline'!G72="","",IF('D-1 Off-Site Habitat Baseline'!G72="Yes",TRUE,FALSE))</f>
        <v/>
      </c>
      <c r="AJ71" s="1"/>
      <c r="BH71" s="673" t="str">
        <f>IF('C-1 On-Site WaterC'' Baseline'!AU71="","",IF('C-1 On-Site WaterC'' Baseline'!AU71="Yes",TRUE,FALSE))</f>
        <v/>
      </c>
      <c r="BI71" s="673">
        <v>62</v>
      </c>
      <c r="BJ71" s="673" t="str">
        <f>IF('F-1 Off-Site WaterC'' Baseline'!AU71="","",IF('F-1 Off-Site WaterC'' Baseline'!AU71="Yes",TRUE,FALSE))</f>
        <v/>
      </c>
    </row>
    <row r="72" spans="29:62" ht="15.65" customHeight="1" hidden="1">
      <c r="AC72" s="672" t="str">
        <f>IF('A-1 On-Site Habitat Baseline'!G73="","",IF('A-1 On-Site Habitat Baseline'!G73="Yes",TRUE,FALSE))</f>
        <v/>
      </c>
      <c r="AD72" s="673">
        <v>63</v>
      </c>
      <c r="AE72" s="672" t="str">
        <f>IF('D-1 Off-Site Habitat Baseline'!G73="","",IF('D-1 Off-Site Habitat Baseline'!G73="Yes",TRUE,FALSE))</f>
        <v/>
      </c>
      <c r="AJ72" s="1"/>
      <c r="BH72" s="673" t="str">
        <f>IF('C-1 On-Site WaterC'' Baseline'!AU72="","",IF('C-1 On-Site WaterC'' Baseline'!AU72="Yes",TRUE,FALSE))</f>
        <v/>
      </c>
      <c r="BI72" s="673">
        <v>63</v>
      </c>
      <c r="BJ72" s="673" t="str">
        <f>IF('F-1 Off-Site WaterC'' Baseline'!AU72="","",IF('F-1 Off-Site WaterC'' Baseline'!AU72="Yes",TRUE,FALSE))</f>
        <v/>
      </c>
    </row>
    <row r="73" spans="29:62" ht="15.65" customHeight="1" hidden="1">
      <c r="AC73" s="672" t="str">
        <f>IF('A-1 On-Site Habitat Baseline'!G74="","",IF('A-1 On-Site Habitat Baseline'!G74="Yes",TRUE,FALSE))</f>
        <v/>
      </c>
      <c r="AD73" s="673">
        <v>64</v>
      </c>
      <c r="AE73" s="672" t="str">
        <f>IF('D-1 Off-Site Habitat Baseline'!G74="","",IF('D-1 Off-Site Habitat Baseline'!G74="Yes",TRUE,FALSE))</f>
        <v/>
      </c>
      <c r="AJ73" s="1"/>
      <c r="BH73" s="673" t="str">
        <f>IF('C-1 On-Site WaterC'' Baseline'!AU73="","",IF('C-1 On-Site WaterC'' Baseline'!AU73="Yes",TRUE,FALSE))</f>
        <v/>
      </c>
      <c r="BI73" s="673">
        <v>64</v>
      </c>
      <c r="BJ73" s="673" t="str">
        <f>IF('F-1 Off-Site WaterC'' Baseline'!AU73="","",IF('F-1 Off-Site WaterC'' Baseline'!AU73="Yes",TRUE,FALSE))</f>
        <v/>
      </c>
    </row>
    <row r="74" spans="29:62" ht="15.65" customHeight="1" hidden="1">
      <c r="AC74" s="672" t="str">
        <f>IF('A-1 On-Site Habitat Baseline'!G75="","",IF('A-1 On-Site Habitat Baseline'!G75="Yes",TRUE,FALSE))</f>
        <v/>
      </c>
      <c r="AD74" s="673">
        <v>65</v>
      </c>
      <c r="AE74" s="672" t="str">
        <f>IF('D-1 Off-Site Habitat Baseline'!G75="","",IF('D-1 Off-Site Habitat Baseline'!G75="Yes",TRUE,FALSE))</f>
        <v/>
      </c>
      <c r="AJ74" s="1"/>
      <c r="BH74" s="673" t="str">
        <f>IF('C-1 On-Site WaterC'' Baseline'!AU74="","",IF('C-1 On-Site WaterC'' Baseline'!AU74="Yes",TRUE,FALSE))</f>
        <v/>
      </c>
      <c r="BI74" s="673">
        <v>65</v>
      </c>
      <c r="BJ74" s="673" t="str">
        <f>IF('F-1 Off-Site WaterC'' Baseline'!AU74="","",IF('F-1 Off-Site WaterC'' Baseline'!AU74="Yes",TRUE,FALSE))</f>
        <v/>
      </c>
    </row>
    <row r="75" spans="20:36 60:62" ht="15.65" customHeight="1" hidden="1">
      <c r="T75" s="654">
        <v>1</v>
      </c>
      <c r="AC75" s="672" t="str">
        <f>IF('A-1 On-Site Habitat Baseline'!G76="","",IF('A-1 On-Site Habitat Baseline'!G76="Yes",TRUE,FALSE))</f>
        <v/>
      </c>
      <c r="AD75" s="673">
        <v>66</v>
      </c>
      <c r="AE75" s="672" t="str">
        <f>IF('D-1 Off-Site Habitat Baseline'!G76="","",IF('D-1 Off-Site Habitat Baseline'!G76="Yes",TRUE,FALSE))</f>
        <v/>
      </c>
      <c r="AJ75" s="1"/>
      <c r="BH75" s="673" t="str">
        <f>IF('C-1 On-Site WaterC'' Baseline'!AU75="","",IF('C-1 On-Site WaterC'' Baseline'!AU75="Yes",TRUE,FALSE))</f>
        <v/>
      </c>
      <c r="BI75" s="673">
        <v>66</v>
      </c>
      <c r="BJ75" s="673" t="str">
        <f>IF('F-1 Off-Site WaterC'' Baseline'!AU75="","",IF('F-1 Off-Site WaterC'' Baseline'!AU75="Yes",TRUE,FALSE))</f>
        <v/>
      </c>
    </row>
    <row r="76" spans="20:36 60:62" ht="15.65" customHeight="1" hidden="1">
      <c r="T76" s="654">
        <v>1</v>
      </c>
      <c r="AC76" s="672" t="str">
        <f>IF('A-1 On-Site Habitat Baseline'!G77="","",IF('A-1 On-Site Habitat Baseline'!G77="Yes",TRUE,FALSE))</f>
        <v/>
      </c>
      <c r="AD76" s="673">
        <v>67</v>
      </c>
      <c r="AE76" s="672" t="str">
        <f>IF('D-1 Off-Site Habitat Baseline'!G77="","",IF('D-1 Off-Site Habitat Baseline'!G77="Yes",TRUE,FALSE))</f>
        <v/>
      </c>
      <c r="AJ76" s="1"/>
      <c r="BH76" s="673" t="str">
        <f>IF('C-1 On-Site WaterC'' Baseline'!AU76="","",IF('C-1 On-Site WaterC'' Baseline'!AU76="Yes",TRUE,FALSE))</f>
        <v/>
      </c>
      <c r="BI76" s="673">
        <v>67</v>
      </c>
      <c r="BJ76" s="673" t="str">
        <f>IF('F-1 Off-Site WaterC'' Baseline'!AU76="","",IF('F-1 Off-Site WaterC'' Baseline'!AU76="Yes",TRUE,FALSE))</f>
        <v/>
      </c>
    </row>
    <row r="77" spans="29:62" ht="15.65" customHeight="1" hidden="1">
      <c r="AC77" s="672" t="str">
        <f>IF('A-1 On-Site Habitat Baseline'!G78="","",IF('A-1 On-Site Habitat Baseline'!G78="Yes",TRUE,FALSE))</f>
        <v/>
      </c>
      <c r="AD77" s="673">
        <v>68</v>
      </c>
      <c r="AE77" s="672" t="str">
        <f>IF('D-1 Off-Site Habitat Baseline'!G78="","",IF('D-1 Off-Site Habitat Baseline'!G78="Yes",TRUE,FALSE))</f>
        <v/>
      </c>
      <c r="AJ77" s="1"/>
      <c r="BH77" s="673" t="str">
        <f>IF('C-1 On-Site WaterC'' Baseline'!AU77="","",IF('C-1 On-Site WaterC'' Baseline'!AU77="Yes",TRUE,FALSE))</f>
        <v/>
      </c>
      <c r="BI77" s="673">
        <v>68</v>
      </c>
      <c r="BJ77" s="673" t="str">
        <f>IF('F-1 Off-Site WaterC'' Baseline'!AU77="","",IF('F-1 Off-Site WaterC'' Baseline'!AU77="Yes",TRUE,FALSE))</f>
        <v/>
      </c>
    </row>
    <row r="78" spans="29:62" ht="15.65" customHeight="1" hidden="1">
      <c r="AC78" s="672" t="str">
        <f>IF('A-1 On-Site Habitat Baseline'!G79="","",IF('A-1 On-Site Habitat Baseline'!G79="Yes",TRUE,FALSE))</f>
        <v/>
      </c>
      <c r="AD78" s="673">
        <v>69</v>
      </c>
      <c r="AE78" s="672" t="str">
        <f>IF('D-1 Off-Site Habitat Baseline'!G79="","",IF('D-1 Off-Site Habitat Baseline'!G79="Yes",TRUE,FALSE))</f>
        <v/>
      </c>
      <c r="AJ78" s="1"/>
      <c r="BH78" s="673" t="str">
        <f>IF('C-1 On-Site WaterC'' Baseline'!AU78="","",IF('C-1 On-Site WaterC'' Baseline'!AU78="Yes",TRUE,FALSE))</f>
        <v/>
      </c>
      <c r="BI78" s="673">
        <v>69</v>
      </c>
      <c r="BJ78" s="673" t="str">
        <f>IF('F-1 Off-Site WaterC'' Baseline'!AU78="","",IF('F-1 Off-Site WaterC'' Baseline'!AU78="Yes",TRUE,FALSE))</f>
        <v/>
      </c>
    </row>
    <row r="79" spans="29:62" ht="15.65" customHeight="1" hidden="1">
      <c r="AC79" s="672" t="str">
        <f>IF('A-1 On-Site Habitat Baseline'!G80="","",IF('A-1 On-Site Habitat Baseline'!G80="Yes",TRUE,FALSE))</f>
        <v/>
      </c>
      <c r="AD79" s="673">
        <v>70</v>
      </c>
      <c r="AE79" s="672" t="str">
        <f>IF('D-1 Off-Site Habitat Baseline'!G80="","",IF('D-1 Off-Site Habitat Baseline'!G80="Yes",TRUE,FALSE))</f>
        <v/>
      </c>
      <c r="AJ79" s="1"/>
      <c r="BH79" s="673" t="str">
        <f>IF('C-1 On-Site WaterC'' Baseline'!AU79="","",IF('C-1 On-Site WaterC'' Baseline'!AU79="Yes",TRUE,FALSE))</f>
        <v/>
      </c>
      <c r="BI79" s="673">
        <v>70</v>
      </c>
      <c r="BJ79" s="673" t="str">
        <f>IF('F-1 Off-Site WaterC'' Baseline'!AU79="","",IF('F-1 Off-Site WaterC'' Baseline'!AU79="Yes",TRUE,FALSE))</f>
        <v/>
      </c>
    </row>
    <row r="80" spans="29:62" ht="15.65" customHeight="1" hidden="1">
      <c r="AC80" s="672" t="str">
        <f>IF('A-1 On-Site Habitat Baseline'!G81="","",IF('A-1 On-Site Habitat Baseline'!G81="Yes",TRUE,FALSE))</f>
        <v/>
      </c>
      <c r="AD80" s="673">
        <v>71</v>
      </c>
      <c r="AE80" s="672" t="str">
        <f>IF('D-1 Off-Site Habitat Baseline'!G81="","",IF('D-1 Off-Site Habitat Baseline'!G81="Yes",TRUE,FALSE))</f>
        <v/>
      </c>
      <c r="AJ80" s="1"/>
      <c r="BH80" s="673" t="str">
        <f>IF('C-1 On-Site WaterC'' Baseline'!AU80="","",IF('C-1 On-Site WaterC'' Baseline'!AU80="Yes",TRUE,FALSE))</f>
        <v/>
      </c>
      <c r="BI80" s="673">
        <v>71</v>
      </c>
      <c r="BJ80" s="673" t="str">
        <f>IF('F-1 Off-Site WaterC'' Baseline'!AU80="","",IF('F-1 Off-Site WaterC'' Baseline'!AU80="Yes",TRUE,FALSE))</f>
        <v/>
      </c>
    </row>
    <row r="81" spans="29:62" ht="14.9" customHeight="1" hidden="1">
      <c r="AC81" s="672" t="str">
        <f>IF('A-1 On-Site Habitat Baseline'!G82="","",IF('A-1 On-Site Habitat Baseline'!G82="Yes",TRUE,FALSE))</f>
        <v/>
      </c>
      <c r="AD81" s="673">
        <v>72</v>
      </c>
      <c r="AE81" s="672" t="str">
        <f>IF('D-1 Off-Site Habitat Baseline'!G82="","",IF('D-1 Off-Site Habitat Baseline'!G82="Yes",TRUE,FALSE))</f>
        <v/>
      </c>
      <c r="AJ81" s="1"/>
      <c r="BH81" s="673" t="str">
        <f>IF('C-1 On-Site WaterC'' Baseline'!AU81="","",IF('C-1 On-Site WaterC'' Baseline'!AU81="Yes",TRUE,FALSE))</f>
        <v/>
      </c>
      <c r="BI81" s="673">
        <v>72</v>
      </c>
      <c r="BJ81" s="673" t="str">
        <f>IF('F-1 Off-Site WaterC'' Baseline'!AU81="","",IF('F-1 Off-Site WaterC'' Baseline'!AU81="Yes",TRUE,FALSE))</f>
        <v/>
      </c>
    </row>
    <row r="82" spans="29:62" ht="15.5" hidden="1">
      <c r="AC82" s="672" t="str">
        <f>IF('A-1 On-Site Habitat Baseline'!G83="","",IF('A-1 On-Site Habitat Baseline'!G83="Yes",TRUE,FALSE))</f>
        <v/>
      </c>
      <c r="AD82" s="673">
        <v>73</v>
      </c>
      <c r="AE82" s="672" t="str">
        <f>IF('D-1 Off-Site Habitat Baseline'!G83="","",IF('D-1 Off-Site Habitat Baseline'!G83="Yes",TRUE,FALSE))</f>
        <v/>
      </c>
      <c r="AJ82" s="1"/>
      <c r="BH82" s="673" t="str">
        <f>IF('C-1 On-Site WaterC'' Baseline'!AU82="","",IF('C-1 On-Site WaterC'' Baseline'!AU82="Yes",TRUE,FALSE))</f>
        <v/>
      </c>
      <c r="BI82" s="673">
        <v>73</v>
      </c>
      <c r="BJ82" s="673" t="str">
        <f>IF('F-1 Off-Site WaterC'' Baseline'!AU82="","",IF('F-1 Off-Site WaterC'' Baseline'!AU82="Yes",TRUE,FALSE))</f>
        <v/>
      </c>
    </row>
    <row r="83" spans="29:62" ht="15.5" hidden="1">
      <c r="AC83" s="672" t="str">
        <f>IF('A-1 On-Site Habitat Baseline'!G84="","",IF('A-1 On-Site Habitat Baseline'!G84="Yes",TRUE,FALSE))</f>
        <v/>
      </c>
      <c r="AD83" s="673">
        <v>74</v>
      </c>
      <c r="AE83" s="672" t="str">
        <f>IF('D-1 Off-Site Habitat Baseline'!G84="","",IF('D-1 Off-Site Habitat Baseline'!G84="Yes",TRUE,FALSE))</f>
        <v/>
      </c>
      <c r="AJ83" s="1"/>
      <c r="BH83" s="673" t="str">
        <f>IF('C-1 On-Site WaterC'' Baseline'!AU83="","",IF('C-1 On-Site WaterC'' Baseline'!AU83="Yes",TRUE,FALSE))</f>
        <v/>
      </c>
      <c r="BI83" s="673">
        <v>74</v>
      </c>
      <c r="BJ83" s="673" t="str">
        <f>IF('F-1 Off-Site WaterC'' Baseline'!AU83="","",IF('F-1 Off-Site WaterC'' Baseline'!AU83="Yes",TRUE,FALSE))</f>
        <v/>
      </c>
    </row>
    <row r="84" spans="29:62" ht="15.5" hidden="1">
      <c r="AC84" s="672" t="str">
        <f>IF('A-1 On-Site Habitat Baseline'!G85="","",IF('A-1 On-Site Habitat Baseline'!G85="Yes",TRUE,FALSE))</f>
        <v/>
      </c>
      <c r="AD84" s="673">
        <v>75</v>
      </c>
      <c r="AE84" s="672" t="str">
        <f>IF('D-1 Off-Site Habitat Baseline'!G85="","",IF('D-1 Off-Site Habitat Baseline'!G85="Yes",TRUE,FALSE))</f>
        <v/>
      </c>
      <c r="AJ84" s="1"/>
      <c r="BH84" s="673" t="str">
        <f>IF('C-1 On-Site WaterC'' Baseline'!AU84="","",IF('C-1 On-Site WaterC'' Baseline'!AU84="Yes",TRUE,FALSE))</f>
        <v/>
      </c>
      <c r="BI84" s="673">
        <v>75</v>
      </c>
      <c r="BJ84" s="673" t="str">
        <f>IF('F-1 Off-Site WaterC'' Baseline'!AU84="","",IF('F-1 Off-Site WaterC'' Baseline'!AU84="Yes",TRUE,FALSE))</f>
        <v/>
      </c>
    </row>
    <row r="85" spans="29:62" ht="15.5" hidden="1">
      <c r="AC85" s="672" t="str">
        <f>IF('A-1 On-Site Habitat Baseline'!G86="","",IF('A-1 On-Site Habitat Baseline'!G86="Yes",TRUE,FALSE))</f>
        <v/>
      </c>
      <c r="AD85" s="673">
        <v>76</v>
      </c>
      <c r="AE85" s="672" t="str">
        <f>IF('D-1 Off-Site Habitat Baseline'!G86="","",IF('D-1 Off-Site Habitat Baseline'!G86="Yes",TRUE,FALSE))</f>
        <v/>
      </c>
      <c r="AJ85" s="1"/>
      <c r="BH85" s="673" t="str">
        <f>IF('C-1 On-Site WaterC'' Baseline'!AU85="","",IF('C-1 On-Site WaterC'' Baseline'!AU85="Yes",TRUE,FALSE))</f>
        <v/>
      </c>
      <c r="BI85" s="673">
        <v>76</v>
      </c>
      <c r="BJ85" s="673" t="str">
        <f>IF('F-1 Off-Site WaterC'' Baseline'!AU85="","",IF('F-1 Off-Site WaterC'' Baseline'!AU85="Yes",TRUE,FALSE))</f>
        <v/>
      </c>
    </row>
    <row r="86" spans="29:62" ht="15.5" hidden="1">
      <c r="AC86" s="672" t="str">
        <f>IF('A-1 On-Site Habitat Baseline'!G87="","",IF('A-1 On-Site Habitat Baseline'!G87="Yes",TRUE,FALSE))</f>
        <v/>
      </c>
      <c r="AD86" s="673">
        <v>77</v>
      </c>
      <c r="AE86" s="672" t="str">
        <f>IF('D-1 Off-Site Habitat Baseline'!G87="","",IF('D-1 Off-Site Habitat Baseline'!G87="Yes",TRUE,FALSE))</f>
        <v/>
      </c>
      <c r="AJ86" s="1"/>
      <c r="BH86" s="673" t="str">
        <f>IF('C-1 On-Site WaterC'' Baseline'!AU86="","",IF('C-1 On-Site WaterC'' Baseline'!AU86="Yes",TRUE,FALSE))</f>
        <v/>
      </c>
      <c r="BI86" s="673">
        <v>77</v>
      </c>
      <c r="BJ86" s="673" t="str">
        <f>IF('F-1 Off-Site WaterC'' Baseline'!AU86="","",IF('F-1 Off-Site WaterC'' Baseline'!AU86="Yes",TRUE,FALSE))</f>
        <v/>
      </c>
    </row>
    <row r="87" spans="29:62" ht="15.5" hidden="1">
      <c r="AC87" s="672" t="str">
        <f>IF('A-1 On-Site Habitat Baseline'!G88="","",IF('A-1 On-Site Habitat Baseline'!G88="Yes",TRUE,FALSE))</f>
        <v/>
      </c>
      <c r="AD87" s="673">
        <v>78</v>
      </c>
      <c r="AE87" s="672" t="str">
        <f>IF('D-1 Off-Site Habitat Baseline'!G88="","",IF('D-1 Off-Site Habitat Baseline'!G88="Yes",TRUE,FALSE))</f>
        <v/>
      </c>
      <c r="AJ87" s="1"/>
      <c r="BH87" s="673" t="str">
        <f>IF('C-1 On-Site WaterC'' Baseline'!AU87="","",IF('C-1 On-Site WaterC'' Baseline'!AU87="Yes",TRUE,FALSE))</f>
        <v/>
      </c>
      <c r="BI87" s="673">
        <v>78</v>
      </c>
      <c r="BJ87" s="673" t="str">
        <f>IF('F-1 Off-Site WaterC'' Baseline'!AU87="","",IF('F-1 Off-Site WaterC'' Baseline'!AU87="Yes",TRUE,FALSE))</f>
        <v/>
      </c>
    </row>
    <row r="88" spans="29:62" ht="15.5" hidden="1">
      <c r="AC88" s="672" t="str">
        <f>IF('A-1 On-Site Habitat Baseline'!G89="","",IF('A-1 On-Site Habitat Baseline'!G89="Yes",TRUE,FALSE))</f>
        <v/>
      </c>
      <c r="AD88" s="673">
        <v>79</v>
      </c>
      <c r="AE88" s="672" t="str">
        <f>IF('D-1 Off-Site Habitat Baseline'!G89="","",IF('D-1 Off-Site Habitat Baseline'!G89="Yes",TRUE,FALSE))</f>
        <v/>
      </c>
      <c r="AJ88" s="1"/>
      <c r="BH88" s="673" t="str">
        <f>IF('C-1 On-Site WaterC'' Baseline'!AU88="","",IF('C-1 On-Site WaterC'' Baseline'!AU88="Yes",TRUE,FALSE))</f>
        <v/>
      </c>
      <c r="BI88" s="673">
        <v>79</v>
      </c>
      <c r="BJ88" s="673" t="str">
        <f>IF('F-1 Off-Site WaterC'' Baseline'!AU88="","",IF('F-1 Off-Site WaterC'' Baseline'!AU88="Yes",TRUE,FALSE))</f>
        <v/>
      </c>
    </row>
    <row r="89" spans="29:62" ht="15.5" hidden="1">
      <c r="AC89" s="672" t="str">
        <f>IF('A-1 On-Site Habitat Baseline'!G90="","",IF('A-1 On-Site Habitat Baseline'!G90="Yes",TRUE,FALSE))</f>
        <v/>
      </c>
      <c r="AD89" s="673">
        <v>80</v>
      </c>
      <c r="AE89" s="672" t="str">
        <f>IF('D-1 Off-Site Habitat Baseline'!G90="","",IF('D-1 Off-Site Habitat Baseline'!G90="Yes",TRUE,FALSE))</f>
        <v/>
      </c>
      <c r="AJ89" s="1"/>
      <c r="BH89" s="673" t="str">
        <f>IF('C-1 On-Site WaterC'' Baseline'!AU89="","",IF('C-1 On-Site WaterC'' Baseline'!AU89="Yes",TRUE,FALSE))</f>
        <v/>
      </c>
      <c r="BI89" s="673">
        <v>80</v>
      </c>
      <c r="BJ89" s="673" t="str">
        <f>IF('F-1 Off-Site WaterC'' Baseline'!AU89="","",IF('F-1 Off-Site WaterC'' Baseline'!AU89="Yes",TRUE,FALSE))</f>
        <v/>
      </c>
    </row>
    <row r="90" spans="29:62" ht="15.5" hidden="1">
      <c r="AC90" s="672" t="str">
        <f>IF('A-1 On-Site Habitat Baseline'!G91="","",IF('A-1 On-Site Habitat Baseline'!G91="Yes",TRUE,FALSE))</f>
        <v/>
      </c>
      <c r="AD90" s="673">
        <v>81</v>
      </c>
      <c r="AE90" s="672" t="str">
        <f>IF('D-1 Off-Site Habitat Baseline'!G91="","",IF('D-1 Off-Site Habitat Baseline'!G91="Yes",TRUE,FALSE))</f>
        <v/>
      </c>
      <c r="AJ90" s="1"/>
      <c r="BH90" s="673" t="str">
        <f>IF('C-1 On-Site WaterC'' Baseline'!AU90="","",IF('C-1 On-Site WaterC'' Baseline'!AU90="Yes",TRUE,FALSE))</f>
        <v/>
      </c>
      <c r="BI90" s="673">
        <v>81</v>
      </c>
      <c r="BJ90" s="673" t="str">
        <f>IF('F-1 Off-Site WaterC'' Baseline'!AU90="","",IF('F-1 Off-Site WaterC'' Baseline'!AU90="Yes",TRUE,FALSE))</f>
        <v/>
      </c>
    </row>
    <row r="91" spans="29:62" ht="15.5" hidden="1">
      <c r="AC91" s="672" t="str">
        <f>IF('A-1 On-Site Habitat Baseline'!G92="","",IF('A-1 On-Site Habitat Baseline'!G92="Yes",TRUE,FALSE))</f>
        <v/>
      </c>
      <c r="AD91" s="673">
        <v>82</v>
      </c>
      <c r="AE91" s="672" t="str">
        <f>IF('D-1 Off-Site Habitat Baseline'!G92="","",IF('D-1 Off-Site Habitat Baseline'!G92="Yes",TRUE,FALSE))</f>
        <v/>
      </c>
      <c r="AJ91" s="1"/>
      <c r="BH91" s="673" t="str">
        <f>IF('C-1 On-Site WaterC'' Baseline'!AU91="","",IF('C-1 On-Site WaterC'' Baseline'!AU91="Yes",TRUE,FALSE))</f>
        <v/>
      </c>
      <c r="BI91" s="673">
        <v>82</v>
      </c>
      <c r="BJ91" s="673" t="str">
        <f>IF('F-1 Off-Site WaterC'' Baseline'!AU91="","",IF('F-1 Off-Site WaterC'' Baseline'!AU91="Yes",TRUE,FALSE))</f>
        <v/>
      </c>
    </row>
    <row r="92" spans="29:62" ht="15.5" hidden="1">
      <c r="AC92" s="672" t="str">
        <f>IF('A-1 On-Site Habitat Baseline'!G93="","",IF('A-1 On-Site Habitat Baseline'!G93="Yes",TRUE,FALSE))</f>
        <v/>
      </c>
      <c r="AD92" s="673">
        <v>83</v>
      </c>
      <c r="AE92" s="672" t="str">
        <f>IF('D-1 Off-Site Habitat Baseline'!G93="","",IF('D-1 Off-Site Habitat Baseline'!G93="Yes",TRUE,FALSE))</f>
        <v/>
      </c>
      <c r="AJ92" s="1"/>
      <c r="BH92" s="673" t="str">
        <f>IF('C-1 On-Site WaterC'' Baseline'!AU92="","",IF('C-1 On-Site WaterC'' Baseline'!AU92="Yes",TRUE,FALSE))</f>
        <v/>
      </c>
      <c r="BI92" s="673">
        <v>83</v>
      </c>
      <c r="BJ92" s="673" t="str">
        <f>IF('F-1 Off-Site WaterC'' Baseline'!AU92="","",IF('F-1 Off-Site WaterC'' Baseline'!AU92="Yes",TRUE,FALSE))</f>
        <v/>
      </c>
    </row>
    <row r="93" spans="29:62" ht="15.5" hidden="1">
      <c r="AC93" s="672" t="str">
        <f>IF('A-1 On-Site Habitat Baseline'!G94="","",IF('A-1 On-Site Habitat Baseline'!G94="Yes",TRUE,FALSE))</f>
        <v/>
      </c>
      <c r="AD93" s="673">
        <v>84</v>
      </c>
      <c r="AE93" s="672" t="str">
        <f>IF('D-1 Off-Site Habitat Baseline'!G94="","",IF('D-1 Off-Site Habitat Baseline'!G94="Yes",TRUE,FALSE))</f>
        <v/>
      </c>
      <c r="AJ93" s="1"/>
      <c r="BH93" s="673" t="str">
        <f>IF('C-1 On-Site WaterC'' Baseline'!AU93="","",IF('C-1 On-Site WaterC'' Baseline'!AU93="Yes",TRUE,FALSE))</f>
        <v/>
      </c>
      <c r="BI93" s="673">
        <v>84</v>
      </c>
      <c r="BJ93" s="673" t="str">
        <f>IF('F-1 Off-Site WaterC'' Baseline'!AU93="","",IF('F-1 Off-Site WaterC'' Baseline'!AU93="Yes",TRUE,FALSE))</f>
        <v/>
      </c>
    </row>
    <row r="94" spans="29:62" ht="15.5" hidden="1">
      <c r="AC94" s="672" t="str">
        <f>IF('A-1 On-Site Habitat Baseline'!G95="","",IF('A-1 On-Site Habitat Baseline'!G95="Yes",TRUE,FALSE))</f>
        <v/>
      </c>
      <c r="AD94" s="673">
        <v>85</v>
      </c>
      <c r="AE94" s="672" t="str">
        <f>IF('D-1 Off-Site Habitat Baseline'!G95="","",IF('D-1 Off-Site Habitat Baseline'!G95="Yes",TRUE,FALSE))</f>
        <v/>
      </c>
      <c r="AJ94" s="1"/>
      <c r="BH94" s="673" t="str">
        <f>IF('C-1 On-Site WaterC'' Baseline'!AU94="","",IF('C-1 On-Site WaterC'' Baseline'!AU94="Yes",TRUE,FALSE))</f>
        <v/>
      </c>
      <c r="BI94" s="673">
        <v>85</v>
      </c>
      <c r="BJ94" s="673" t="str">
        <f>IF('F-1 Off-Site WaterC'' Baseline'!AU94="","",IF('F-1 Off-Site WaterC'' Baseline'!AU94="Yes",TRUE,FALSE))</f>
        <v/>
      </c>
    </row>
    <row r="95" spans="29:62" ht="15.5" hidden="1">
      <c r="AC95" s="672" t="str">
        <f>IF('A-1 On-Site Habitat Baseline'!G96="","",IF('A-1 On-Site Habitat Baseline'!G96="Yes",TRUE,FALSE))</f>
        <v/>
      </c>
      <c r="AD95" s="673">
        <v>86</v>
      </c>
      <c r="AE95" s="672" t="str">
        <f>IF('D-1 Off-Site Habitat Baseline'!G96="","",IF('D-1 Off-Site Habitat Baseline'!G96="Yes",TRUE,FALSE))</f>
        <v/>
      </c>
      <c r="AJ95" s="1"/>
      <c r="BH95" s="673" t="str">
        <f>IF('C-1 On-Site WaterC'' Baseline'!AU95="","",IF('C-1 On-Site WaterC'' Baseline'!AU95="Yes",TRUE,FALSE))</f>
        <v/>
      </c>
      <c r="BI95" s="673">
        <v>86</v>
      </c>
      <c r="BJ95" s="673" t="str">
        <f>IF('F-1 Off-Site WaterC'' Baseline'!AU95="","",IF('F-1 Off-Site WaterC'' Baseline'!AU95="Yes",TRUE,FALSE))</f>
        <v/>
      </c>
    </row>
    <row r="96" spans="29:62" ht="15.5" hidden="1">
      <c r="AC96" s="672" t="str">
        <f>IF('A-1 On-Site Habitat Baseline'!G97="","",IF('A-1 On-Site Habitat Baseline'!G97="Yes",TRUE,FALSE))</f>
        <v/>
      </c>
      <c r="AD96" s="673">
        <v>87</v>
      </c>
      <c r="AE96" s="672" t="str">
        <f>IF('D-1 Off-Site Habitat Baseline'!G97="","",IF('D-1 Off-Site Habitat Baseline'!G97="Yes",TRUE,FALSE))</f>
        <v/>
      </c>
      <c r="AJ96" s="1"/>
      <c r="BH96" s="673" t="str">
        <f>IF('C-1 On-Site WaterC'' Baseline'!AU96="","",IF('C-1 On-Site WaterC'' Baseline'!AU96="Yes",TRUE,FALSE))</f>
        <v/>
      </c>
      <c r="BI96" s="673">
        <v>87</v>
      </c>
      <c r="BJ96" s="673" t="str">
        <f>IF('F-1 Off-Site WaterC'' Baseline'!AU96="","",IF('F-1 Off-Site WaterC'' Baseline'!AU96="Yes",TRUE,FALSE))</f>
        <v/>
      </c>
    </row>
    <row r="97" spans="29:62" ht="15.5" hidden="1">
      <c r="AC97" s="672" t="str">
        <f>IF('A-1 On-Site Habitat Baseline'!G98="","",IF('A-1 On-Site Habitat Baseline'!G98="Yes",TRUE,FALSE))</f>
        <v/>
      </c>
      <c r="AD97" s="673">
        <v>88</v>
      </c>
      <c r="AE97" s="672" t="str">
        <f>IF('D-1 Off-Site Habitat Baseline'!G98="","",IF('D-1 Off-Site Habitat Baseline'!G98="Yes",TRUE,FALSE))</f>
        <v/>
      </c>
      <c r="AJ97" s="1"/>
      <c r="BH97" s="673" t="str">
        <f>IF('C-1 On-Site WaterC'' Baseline'!AU97="","",IF('C-1 On-Site WaterC'' Baseline'!AU97="Yes",TRUE,FALSE))</f>
        <v/>
      </c>
      <c r="BI97" s="673">
        <v>88</v>
      </c>
      <c r="BJ97" s="673" t="str">
        <f>IF('F-1 Off-Site WaterC'' Baseline'!AU97="","",IF('F-1 Off-Site WaterC'' Baseline'!AU97="Yes",TRUE,FALSE))</f>
        <v/>
      </c>
    </row>
    <row r="98" spans="29:62" ht="15.5" hidden="1">
      <c r="AC98" s="672" t="str">
        <f>IF('A-1 On-Site Habitat Baseline'!G99="","",IF('A-1 On-Site Habitat Baseline'!G99="Yes",TRUE,FALSE))</f>
        <v/>
      </c>
      <c r="AD98" s="673">
        <v>89</v>
      </c>
      <c r="AE98" s="672" t="str">
        <f>IF('D-1 Off-Site Habitat Baseline'!G99="","",IF('D-1 Off-Site Habitat Baseline'!G99="Yes",TRUE,FALSE))</f>
        <v/>
      </c>
      <c r="AJ98" s="1"/>
      <c r="BH98" s="673" t="str">
        <f>IF('C-1 On-Site WaterC'' Baseline'!AU98="","",IF('C-1 On-Site WaterC'' Baseline'!AU98="Yes",TRUE,FALSE))</f>
        <v/>
      </c>
      <c r="BI98" s="673">
        <v>89</v>
      </c>
      <c r="BJ98" s="673" t="str">
        <f>IF('F-1 Off-Site WaterC'' Baseline'!AU98="","",IF('F-1 Off-Site WaterC'' Baseline'!AU98="Yes",TRUE,FALSE))</f>
        <v/>
      </c>
    </row>
    <row r="99" spans="29:62" ht="15.5" hidden="1">
      <c r="AC99" s="672" t="str">
        <f>IF('A-1 On-Site Habitat Baseline'!G100="","",IF('A-1 On-Site Habitat Baseline'!G100="Yes",TRUE,FALSE))</f>
        <v/>
      </c>
      <c r="AD99" s="673">
        <v>90</v>
      </c>
      <c r="AE99" s="672" t="str">
        <f>IF('D-1 Off-Site Habitat Baseline'!G100="","",IF('D-1 Off-Site Habitat Baseline'!G100="Yes",TRUE,FALSE))</f>
        <v/>
      </c>
      <c r="AJ99" s="1"/>
      <c r="BH99" s="673" t="str">
        <f>IF('C-1 On-Site WaterC'' Baseline'!AU99="","",IF('C-1 On-Site WaterC'' Baseline'!AU99="Yes",TRUE,FALSE))</f>
        <v/>
      </c>
      <c r="BI99" s="673">
        <v>90</v>
      </c>
      <c r="BJ99" s="673" t="str">
        <f>IF('F-1 Off-Site WaterC'' Baseline'!AU99="","",IF('F-1 Off-Site WaterC'' Baseline'!AU99="Yes",TRUE,FALSE))</f>
        <v/>
      </c>
    </row>
    <row r="100" spans="29:62" ht="15.5" hidden="1">
      <c r="AC100" s="672" t="str">
        <f>IF('A-1 On-Site Habitat Baseline'!G101="","",IF('A-1 On-Site Habitat Baseline'!G101="Yes",TRUE,FALSE))</f>
        <v/>
      </c>
      <c r="AD100" s="673">
        <v>91</v>
      </c>
      <c r="AE100" s="672" t="str">
        <f>IF('D-1 Off-Site Habitat Baseline'!G101="","",IF('D-1 Off-Site Habitat Baseline'!G101="Yes",TRUE,FALSE))</f>
        <v/>
      </c>
      <c r="AJ100" s="1"/>
      <c r="BH100" s="673" t="str">
        <f>IF('C-1 On-Site WaterC'' Baseline'!AU100="","",IF('C-1 On-Site WaterC'' Baseline'!AU100="Yes",TRUE,FALSE))</f>
        <v/>
      </c>
      <c r="BI100" s="673">
        <v>91</v>
      </c>
      <c r="BJ100" s="673" t="str">
        <f>IF('F-1 Off-Site WaterC'' Baseline'!AU100="","",IF('F-1 Off-Site WaterC'' Baseline'!AU100="Yes",TRUE,FALSE))</f>
        <v/>
      </c>
    </row>
    <row r="101" spans="29:62" ht="15.5" hidden="1">
      <c r="AC101" s="672" t="str">
        <f>IF('A-1 On-Site Habitat Baseline'!G102="","",IF('A-1 On-Site Habitat Baseline'!G102="Yes",TRUE,FALSE))</f>
        <v/>
      </c>
      <c r="AD101" s="673">
        <v>92</v>
      </c>
      <c r="AE101" s="672" t="str">
        <f>IF('D-1 Off-Site Habitat Baseline'!G102="","",IF('D-1 Off-Site Habitat Baseline'!G102="Yes",TRUE,FALSE))</f>
        <v/>
      </c>
      <c r="AJ101" s="1"/>
      <c r="BH101" s="673" t="str">
        <f>IF('C-1 On-Site WaterC'' Baseline'!AU101="","",IF('C-1 On-Site WaterC'' Baseline'!AU101="Yes",TRUE,FALSE))</f>
        <v/>
      </c>
      <c r="BI101" s="673">
        <v>92</v>
      </c>
      <c r="BJ101" s="673" t="str">
        <f>IF('F-1 Off-Site WaterC'' Baseline'!AU101="","",IF('F-1 Off-Site WaterC'' Baseline'!AU101="Yes",TRUE,FALSE))</f>
        <v/>
      </c>
    </row>
    <row r="102" spans="29:62" ht="15.5" hidden="1">
      <c r="AC102" s="672" t="str">
        <f>IF('A-1 On-Site Habitat Baseline'!G103="","",IF('A-1 On-Site Habitat Baseline'!G103="Yes",TRUE,FALSE))</f>
        <v/>
      </c>
      <c r="AD102" s="673">
        <v>93</v>
      </c>
      <c r="AE102" s="672" t="str">
        <f>IF('D-1 Off-Site Habitat Baseline'!G103="","",IF('D-1 Off-Site Habitat Baseline'!G103="Yes",TRUE,FALSE))</f>
        <v/>
      </c>
      <c r="AJ102" s="1"/>
      <c r="BH102" s="673" t="str">
        <f>IF('C-1 On-Site WaterC'' Baseline'!AU102="","",IF('C-1 On-Site WaterC'' Baseline'!AU102="Yes",TRUE,FALSE))</f>
        <v/>
      </c>
      <c r="BI102" s="673">
        <v>93</v>
      </c>
      <c r="BJ102" s="673" t="str">
        <f>IF('F-1 Off-Site WaterC'' Baseline'!AU102="","",IF('F-1 Off-Site WaterC'' Baseline'!AU102="Yes",TRUE,FALSE))</f>
        <v/>
      </c>
    </row>
    <row r="103" spans="29:62" ht="15.5" hidden="1">
      <c r="AC103" s="672" t="str">
        <f>IF('A-1 On-Site Habitat Baseline'!G104="","",IF('A-1 On-Site Habitat Baseline'!G104="Yes",TRUE,FALSE))</f>
        <v/>
      </c>
      <c r="AD103" s="673">
        <v>94</v>
      </c>
      <c r="AE103" s="672" t="str">
        <f>IF('D-1 Off-Site Habitat Baseline'!G104="","",IF('D-1 Off-Site Habitat Baseline'!G104="Yes",TRUE,FALSE))</f>
        <v/>
      </c>
      <c r="AJ103" s="1"/>
      <c r="BH103" s="673" t="str">
        <f>IF('C-1 On-Site WaterC'' Baseline'!AU103="","",IF('C-1 On-Site WaterC'' Baseline'!AU103="Yes",TRUE,FALSE))</f>
        <v/>
      </c>
      <c r="BI103" s="673">
        <v>94</v>
      </c>
      <c r="BJ103" s="673" t="str">
        <f>IF('F-1 Off-Site WaterC'' Baseline'!AU103="","",IF('F-1 Off-Site WaterC'' Baseline'!AU103="Yes",TRUE,FALSE))</f>
        <v/>
      </c>
    </row>
    <row r="104" spans="29:62" ht="15.5" hidden="1">
      <c r="AC104" s="672" t="str">
        <f>IF('A-1 On-Site Habitat Baseline'!G105="","",IF('A-1 On-Site Habitat Baseline'!G105="Yes",TRUE,FALSE))</f>
        <v/>
      </c>
      <c r="AD104" s="673">
        <v>95</v>
      </c>
      <c r="AE104" s="672" t="str">
        <f>IF('D-1 Off-Site Habitat Baseline'!G105="","",IF('D-1 Off-Site Habitat Baseline'!G105="Yes",TRUE,FALSE))</f>
        <v/>
      </c>
      <c r="AJ104" s="1"/>
      <c r="BH104" s="673" t="str">
        <f>IF('C-1 On-Site WaterC'' Baseline'!AU104="","",IF('C-1 On-Site WaterC'' Baseline'!AU104="Yes",TRUE,FALSE))</f>
        <v/>
      </c>
      <c r="BI104" s="673">
        <v>95</v>
      </c>
      <c r="BJ104" s="673" t="str">
        <f>IF('F-1 Off-Site WaterC'' Baseline'!AU104="","",IF('F-1 Off-Site WaterC'' Baseline'!AU104="Yes",TRUE,FALSE))</f>
        <v/>
      </c>
    </row>
    <row r="105" spans="29:62" ht="15.5" hidden="1">
      <c r="AC105" s="672" t="str">
        <f>IF('A-1 On-Site Habitat Baseline'!G106="","",IF('A-1 On-Site Habitat Baseline'!G106="Yes",TRUE,FALSE))</f>
        <v/>
      </c>
      <c r="AD105" s="673">
        <v>96</v>
      </c>
      <c r="AE105" s="672" t="str">
        <f>IF('D-1 Off-Site Habitat Baseline'!G106="","",IF('D-1 Off-Site Habitat Baseline'!G106="Yes",TRUE,FALSE))</f>
        <v/>
      </c>
      <c r="AJ105" s="1"/>
      <c r="BH105" s="673" t="str">
        <f>IF('C-1 On-Site WaterC'' Baseline'!AU105="","",IF('C-1 On-Site WaterC'' Baseline'!AU105="Yes",TRUE,FALSE))</f>
        <v/>
      </c>
      <c r="BI105" s="673">
        <v>96</v>
      </c>
      <c r="BJ105" s="673" t="str">
        <f>IF('F-1 Off-Site WaterC'' Baseline'!AU105="","",IF('F-1 Off-Site WaterC'' Baseline'!AU105="Yes",TRUE,FALSE))</f>
        <v/>
      </c>
    </row>
    <row r="106" spans="29:62" ht="15.5" hidden="1">
      <c r="AC106" s="672" t="str">
        <f>IF('A-1 On-Site Habitat Baseline'!G107="","",IF('A-1 On-Site Habitat Baseline'!G107="Yes",TRUE,FALSE))</f>
        <v/>
      </c>
      <c r="AD106" s="673">
        <v>97</v>
      </c>
      <c r="AE106" s="672" t="str">
        <f>IF('D-1 Off-Site Habitat Baseline'!G107="","",IF('D-1 Off-Site Habitat Baseline'!G107="Yes",TRUE,FALSE))</f>
        <v/>
      </c>
      <c r="AJ106" s="1"/>
      <c r="BH106" s="673" t="str">
        <f>IF('C-1 On-Site WaterC'' Baseline'!AU106="","",IF('C-1 On-Site WaterC'' Baseline'!AU106="Yes",TRUE,FALSE))</f>
        <v/>
      </c>
      <c r="BI106" s="673">
        <v>97</v>
      </c>
      <c r="BJ106" s="673" t="str">
        <f>IF('F-1 Off-Site WaterC'' Baseline'!AU106="","",IF('F-1 Off-Site WaterC'' Baseline'!AU106="Yes",TRUE,FALSE))</f>
        <v/>
      </c>
    </row>
    <row r="107" spans="29:62" ht="15.5" hidden="1">
      <c r="AC107" s="672" t="str">
        <f>IF('A-1 On-Site Habitat Baseline'!G108="","",IF('A-1 On-Site Habitat Baseline'!G108="Yes",TRUE,FALSE))</f>
        <v/>
      </c>
      <c r="AD107" s="673">
        <v>98</v>
      </c>
      <c r="AE107" s="672" t="str">
        <f>IF('D-1 Off-Site Habitat Baseline'!G108="","",IF('D-1 Off-Site Habitat Baseline'!G108="Yes",TRUE,FALSE))</f>
        <v/>
      </c>
      <c r="AJ107" s="1"/>
      <c r="BH107" s="673" t="str">
        <f>IF('C-1 On-Site WaterC'' Baseline'!AU107="","",IF('C-1 On-Site WaterC'' Baseline'!AU107="Yes",TRUE,FALSE))</f>
        <v/>
      </c>
      <c r="BI107" s="673">
        <v>98</v>
      </c>
      <c r="BJ107" s="673" t="str">
        <f>IF('F-1 Off-Site WaterC'' Baseline'!AU107="","",IF('F-1 Off-Site WaterC'' Baseline'!AU107="Yes",TRUE,FALSE))</f>
        <v/>
      </c>
    </row>
    <row r="108" spans="29:62" ht="15.5" hidden="1">
      <c r="AC108" s="672" t="str">
        <f>IF('A-1 On-Site Habitat Baseline'!G109="","",IF('A-1 On-Site Habitat Baseline'!G109="Yes",TRUE,FALSE))</f>
        <v/>
      </c>
      <c r="AD108" s="673">
        <v>99</v>
      </c>
      <c r="AE108" s="672" t="str">
        <f>IF('D-1 Off-Site Habitat Baseline'!G109="","",IF('D-1 Off-Site Habitat Baseline'!G109="Yes",TRUE,FALSE))</f>
        <v/>
      </c>
      <c r="AJ108" s="1"/>
      <c r="BH108" s="673" t="str">
        <f>IF('C-1 On-Site WaterC'' Baseline'!AU108="","",IF('C-1 On-Site WaterC'' Baseline'!AU108="Yes",TRUE,FALSE))</f>
        <v/>
      </c>
      <c r="BI108" s="673">
        <v>99</v>
      </c>
      <c r="BJ108" s="673" t="str">
        <f>IF('F-1 Off-Site WaterC'' Baseline'!AU108="","",IF('F-1 Off-Site WaterC'' Baseline'!AU108="Yes",TRUE,FALSE))</f>
        <v/>
      </c>
    </row>
    <row r="109" spans="29:62" ht="15.5" hidden="1">
      <c r="AC109" s="672" t="str">
        <f>IF('A-1 On-Site Habitat Baseline'!G110="","",IF('A-1 On-Site Habitat Baseline'!G110="Yes",TRUE,FALSE))</f>
        <v/>
      </c>
      <c r="AD109" s="673">
        <v>100</v>
      </c>
      <c r="AE109" s="672" t="str">
        <f>IF('D-1 Off-Site Habitat Baseline'!G110="","",IF('D-1 Off-Site Habitat Baseline'!G110="Yes",TRUE,FALSE))</f>
        <v/>
      </c>
      <c r="AJ109" s="1"/>
      <c r="BH109" s="673" t="str">
        <f>IF('C-1 On-Site WaterC'' Baseline'!AU109="","",IF('C-1 On-Site WaterC'' Baseline'!AU109="Yes",TRUE,FALSE))</f>
        <v/>
      </c>
      <c r="BI109" s="673">
        <v>100</v>
      </c>
      <c r="BJ109" s="673" t="str">
        <f>IF('F-1 Off-Site WaterC'' Baseline'!AU109="","",IF('F-1 Off-Site WaterC'' Baseline'!AU109="Yes",TRUE,FALSE))</f>
        <v/>
      </c>
    </row>
    <row r="110" spans="29:62" ht="15.5" hidden="1">
      <c r="AC110" s="672" t="str">
        <f>IF('A-1 On-Site Habitat Baseline'!G111="","",IF('A-1 On-Site Habitat Baseline'!G111="Yes",TRUE,FALSE))</f>
        <v/>
      </c>
      <c r="AD110" s="673">
        <v>101</v>
      </c>
      <c r="AE110" s="672" t="str">
        <f>IF('D-1 Off-Site Habitat Baseline'!G111="","",IF('D-1 Off-Site Habitat Baseline'!G111="Yes",TRUE,FALSE))</f>
        <v/>
      </c>
      <c r="AJ110" s="1"/>
      <c r="BH110" s="673" t="str">
        <f>IF('C-1 On-Site WaterC'' Baseline'!AU110="","",IF('C-1 On-Site WaterC'' Baseline'!AU110="Yes",TRUE,FALSE))</f>
        <v/>
      </c>
      <c r="BI110" s="673">
        <v>101</v>
      </c>
      <c r="BJ110" s="673" t="str">
        <f>IF('F-1 Off-Site WaterC'' Baseline'!AU110="","",IF('F-1 Off-Site WaterC'' Baseline'!AU110="Yes",TRUE,FALSE))</f>
        <v/>
      </c>
    </row>
    <row r="111" spans="29:62" ht="15.5" hidden="1">
      <c r="AC111" s="672" t="str">
        <f>IF('A-1 On-Site Habitat Baseline'!G112="","",IF('A-1 On-Site Habitat Baseline'!G112="Yes",TRUE,FALSE))</f>
        <v/>
      </c>
      <c r="AD111" s="673">
        <v>102</v>
      </c>
      <c r="AE111" s="672" t="str">
        <f>IF('D-1 Off-Site Habitat Baseline'!G112="","",IF('D-1 Off-Site Habitat Baseline'!G112="Yes",TRUE,FALSE))</f>
        <v/>
      </c>
      <c r="AJ111" s="1"/>
      <c r="BH111" s="673" t="str">
        <f>IF('C-1 On-Site WaterC'' Baseline'!AU111="","",IF('C-1 On-Site WaterC'' Baseline'!AU111="Yes",TRUE,FALSE))</f>
        <v/>
      </c>
      <c r="BI111" s="673">
        <v>102</v>
      </c>
      <c r="BJ111" s="673" t="str">
        <f>IF('F-1 Off-Site WaterC'' Baseline'!AU111="","",IF('F-1 Off-Site WaterC'' Baseline'!AU111="Yes",TRUE,FALSE))</f>
        <v/>
      </c>
    </row>
    <row r="112" spans="29:62" ht="15.5" hidden="1">
      <c r="AC112" s="672" t="str">
        <f>IF('A-1 On-Site Habitat Baseline'!G113="","",IF('A-1 On-Site Habitat Baseline'!G113="Yes",TRUE,FALSE))</f>
        <v/>
      </c>
      <c r="AD112" s="673">
        <v>103</v>
      </c>
      <c r="AE112" s="672" t="str">
        <f>IF('D-1 Off-Site Habitat Baseline'!G113="","",IF('D-1 Off-Site Habitat Baseline'!G113="Yes",TRUE,FALSE))</f>
        <v/>
      </c>
      <c r="AJ112" s="1"/>
      <c r="BH112" s="673" t="str">
        <f>IF('C-1 On-Site WaterC'' Baseline'!AU112="","",IF('C-1 On-Site WaterC'' Baseline'!AU112="Yes",TRUE,FALSE))</f>
        <v/>
      </c>
      <c r="BI112" s="673">
        <v>103</v>
      </c>
      <c r="BJ112" s="673" t="str">
        <f>IF('F-1 Off-Site WaterC'' Baseline'!AU112="","",IF('F-1 Off-Site WaterC'' Baseline'!AU112="Yes",TRUE,FALSE))</f>
        <v/>
      </c>
    </row>
    <row r="113" spans="29:62" ht="15.5" hidden="1">
      <c r="AC113" s="672" t="str">
        <f>IF('A-1 On-Site Habitat Baseline'!G114="","",IF('A-1 On-Site Habitat Baseline'!G114="Yes",TRUE,FALSE))</f>
        <v/>
      </c>
      <c r="AD113" s="673">
        <v>104</v>
      </c>
      <c r="AE113" s="672" t="str">
        <f>IF('D-1 Off-Site Habitat Baseline'!G114="","",IF('D-1 Off-Site Habitat Baseline'!G114="Yes",TRUE,FALSE))</f>
        <v/>
      </c>
      <c r="AJ113" s="1"/>
      <c r="BH113" s="673" t="str">
        <f>IF('C-1 On-Site WaterC'' Baseline'!AU113="","",IF('C-1 On-Site WaterC'' Baseline'!AU113="Yes",TRUE,FALSE))</f>
        <v/>
      </c>
      <c r="BI113" s="673">
        <v>104</v>
      </c>
      <c r="BJ113" s="673" t="str">
        <f>IF('F-1 Off-Site WaterC'' Baseline'!AU113="","",IF('F-1 Off-Site WaterC'' Baseline'!AU113="Yes",TRUE,FALSE))</f>
        <v/>
      </c>
    </row>
    <row r="114" spans="29:62" ht="15.5" hidden="1">
      <c r="AC114" s="672" t="str">
        <f>IF('A-1 On-Site Habitat Baseline'!G115="","",IF('A-1 On-Site Habitat Baseline'!G115="Yes",TRUE,FALSE))</f>
        <v/>
      </c>
      <c r="AD114" s="673">
        <v>105</v>
      </c>
      <c r="AE114" s="672" t="str">
        <f>IF('D-1 Off-Site Habitat Baseline'!G115="","",IF('D-1 Off-Site Habitat Baseline'!G115="Yes",TRUE,FALSE))</f>
        <v/>
      </c>
      <c r="AJ114" s="1"/>
      <c r="BH114" s="673" t="str">
        <f>IF('C-1 On-Site WaterC'' Baseline'!AU114="","",IF('C-1 On-Site WaterC'' Baseline'!AU114="Yes",TRUE,FALSE))</f>
        <v/>
      </c>
      <c r="BI114" s="673">
        <v>105</v>
      </c>
      <c r="BJ114" s="673" t="str">
        <f>IF('F-1 Off-Site WaterC'' Baseline'!AU114="","",IF('F-1 Off-Site WaterC'' Baseline'!AU114="Yes",TRUE,FALSE))</f>
        <v/>
      </c>
    </row>
    <row r="115" spans="29:62" ht="15.5" hidden="1">
      <c r="AC115" s="672" t="str">
        <f>IF('A-1 On-Site Habitat Baseline'!G116="","",IF('A-1 On-Site Habitat Baseline'!G116="Yes",TRUE,FALSE))</f>
        <v/>
      </c>
      <c r="AD115" s="673">
        <v>106</v>
      </c>
      <c r="AE115" s="672" t="str">
        <f>IF('D-1 Off-Site Habitat Baseline'!G116="","",IF('D-1 Off-Site Habitat Baseline'!G116="Yes",TRUE,FALSE))</f>
        <v/>
      </c>
      <c r="AJ115" s="1"/>
      <c r="BH115" s="673" t="str">
        <f>IF('C-1 On-Site WaterC'' Baseline'!AU115="","",IF('C-1 On-Site WaterC'' Baseline'!AU115="Yes",TRUE,FALSE))</f>
        <v/>
      </c>
      <c r="BI115" s="673">
        <v>106</v>
      </c>
      <c r="BJ115" s="673" t="str">
        <f>IF('F-1 Off-Site WaterC'' Baseline'!AU115="","",IF('F-1 Off-Site WaterC'' Baseline'!AU115="Yes",TRUE,FALSE))</f>
        <v/>
      </c>
    </row>
    <row r="116" spans="29:62" ht="15.5" hidden="1">
      <c r="AC116" s="672" t="str">
        <f>IF('A-1 On-Site Habitat Baseline'!G117="","",IF('A-1 On-Site Habitat Baseline'!G117="Yes",TRUE,FALSE))</f>
        <v/>
      </c>
      <c r="AD116" s="673">
        <v>107</v>
      </c>
      <c r="AE116" s="672" t="str">
        <f>IF('D-1 Off-Site Habitat Baseline'!G117="","",IF('D-1 Off-Site Habitat Baseline'!G117="Yes",TRUE,FALSE))</f>
        <v/>
      </c>
      <c r="AJ116" s="1"/>
      <c r="BH116" s="673" t="str">
        <f>IF('C-1 On-Site WaterC'' Baseline'!AU116="","",IF('C-1 On-Site WaterC'' Baseline'!AU116="Yes",TRUE,FALSE))</f>
        <v/>
      </c>
      <c r="BI116" s="673">
        <v>107</v>
      </c>
      <c r="BJ116" s="673" t="str">
        <f>IF('F-1 Off-Site WaterC'' Baseline'!AU116="","",IF('F-1 Off-Site WaterC'' Baseline'!AU116="Yes",TRUE,FALSE))</f>
        <v/>
      </c>
    </row>
    <row r="117" spans="29:62" ht="15.5" hidden="1">
      <c r="AC117" s="672" t="str">
        <f>IF('A-1 On-Site Habitat Baseline'!G118="","",IF('A-1 On-Site Habitat Baseline'!G118="Yes",TRUE,FALSE))</f>
        <v/>
      </c>
      <c r="AD117" s="673">
        <v>108</v>
      </c>
      <c r="AE117" s="672" t="str">
        <f>IF('D-1 Off-Site Habitat Baseline'!G118="","",IF('D-1 Off-Site Habitat Baseline'!G118="Yes",TRUE,FALSE))</f>
        <v/>
      </c>
      <c r="AJ117" s="1"/>
      <c r="BH117" s="673" t="str">
        <f>IF('C-1 On-Site WaterC'' Baseline'!AU117="","",IF('C-1 On-Site WaterC'' Baseline'!AU117="Yes",TRUE,FALSE))</f>
        <v/>
      </c>
      <c r="BI117" s="673">
        <v>108</v>
      </c>
      <c r="BJ117" s="673" t="str">
        <f>IF('F-1 Off-Site WaterC'' Baseline'!AU117="","",IF('F-1 Off-Site WaterC'' Baseline'!AU117="Yes",TRUE,FALSE))</f>
        <v/>
      </c>
    </row>
    <row r="118" spans="29:62" ht="15.5" hidden="1">
      <c r="AC118" s="672" t="str">
        <f>IF('A-1 On-Site Habitat Baseline'!G119="","",IF('A-1 On-Site Habitat Baseline'!G119="Yes",TRUE,FALSE))</f>
        <v/>
      </c>
      <c r="AD118" s="673">
        <v>109</v>
      </c>
      <c r="AE118" s="672" t="str">
        <f>IF('D-1 Off-Site Habitat Baseline'!G119="","",IF('D-1 Off-Site Habitat Baseline'!G119="Yes",TRUE,FALSE))</f>
        <v/>
      </c>
      <c r="AJ118" s="1"/>
      <c r="BH118" s="673" t="str">
        <f>IF('C-1 On-Site WaterC'' Baseline'!AU118="","",IF('C-1 On-Site WaterC'' Baseline'!AU118="Yes",TRUE,FALSE))</f>
        <v/>
      </c>
      <c r="BI118" s="673">
        <v>109</v>
      </c>
      <c r="BJ118" s="673" t="str">
        <f>IF('F-1 Off-Site WaterC'' Baseline'!AU118="","",IF('F-1 Off-Site WaterC'' Baseline'!AU118="Yes",TRUE,FALSE))</f>
        <v/>
      </c>
    </row>
    <row r="119" spans="29:62" ht="15.5" hidden="1">
      <c r="AC119" s="672" t="str">
        <f>IF('A-1 On-Site Habitat Baseline'!G120="","",IF('A-1 On-Site Habitat Baseline'!G120="Yes",TRUE,FALSE))</f>
        <v/>
      </c>
      <c r="AD119" s="673">
        <v>110</v>
      </c>
      <c r="AE119" s="672" t="str">
        <f>IF('D-1 Off-Site Habitat Baseline'!G120="","",IF('D-1 Off-Site Habitat Baseline'!G120="Yes",TRUE,FALSE))</f>
        <v/>
      </c>
      <c r="AJ119" s="1"/>
      <c r="BH119" s="673" t="str">
        <f>IF('C-1 On-Site WaterC'' Baseline'!AU119="","",IF('C-1 On-Site WaterC'' Baseline'!AU119="Yes",TRUE,FALSE))</f>
        <v/>
      </c>
      <c r="BI119" s="673">
        <v>110</v>
      </c>
      <c r="BJ119" s="673" t="str">
        <f>IF('F-1 Off-Site WaterC'' Baseline'!AU119="","",IF('F-1 Off-Site WaterC'' Baseline'!AU119="Yes",TRUE,FALSE))</f>
        <v/>
      </c>
    </row>
    <row r="120" spans="29:62" ht="15.5" hidden="1">
      <c r="AC120" s="672" t="str">
        <f>IF('A-1 On-Site Habitat Baseline'!G121="","",IF('A-1 On-Site Habitat Baseline'!G121="Yes",TRUE,FALSE))</f>
        <v/>
      </c>
      <c r="AD120" s="673">
        <v>111</v>
      </c>
      <c r="AE120" s="672" t="str">
        <f>IF('D-1 Off-Site Habitat Baseline'!G121="","",IF('D-1 Off-Site Habitat Baseline'!G121="Yes",TRUE,FALSE))</f>
        <v/>
      </c>
      <c r="AJ120" s="1"/>
      <c r="BH120" s="673" t="str">
        <f>IF('C-1 On-Site WaterC'' Baseline'!AU120="","",IF('C-1 On-Site WaterC'' Baseline'!AU120="Yes",TRUE,FALSE))</f>
        <v/>
      </c>
      <c r="BI120" s="673">
        <v>111</v>
      </c>
      <c r="BJ120" s="673" t="str">
        <f>IF('F-1 Off-Site WaterC'' Baseline'!AU120="","",IF('F-1 Off-Site WaterC'' Baseline'!AU120="Yes",TRUE,FALSE))</f>
        <v/>
      </c>
    </row>
    <row r="121" spans="29:62" ht="15.5" hidden="1">
      <c r="AC121" s="672" t="str">
        <f>IF('A-1 On-Site Habitat Baseline'!G122="","",IF('A-1 On-Site Habitat Baseline'!G122="Yes",TRUE,FALSE))</f>
        <v/>
      </c>
      <c r="AD121" s="673">
        <v>112</v>
      </c>
      <c r="AE121" s="672" t="str">
        <f>IF('D-1 Off-Site Habitat Baseline'!G122="","",IF('D-1 Off-Site Habitat Baseline'!G122="Yes",TRUE,FALSE))</f>
        <v/>
      </c>
      <c r="AJ121" s="1"/>
      <c r="BH121" s="673" t="str">
        <f>IF('C-1 On-Site WaterC'' Baseline'!AU121="","",IF('C-1 On-Site WaterC'' Baseline'!AU121="Yes",TRUE,FALSE))</f>
        <v/>
      </c>
      <c r="BI121" s="673">
        <v>112</v>
      </c>
      <c r="BJ121" s="673" t="str">
        <f>IF('F-1 Off-Site WaterC'' Baseline'!AU121="","",IF('F-1 Off-Site WaterC'' Baseline'!AU121="Yes",TRUE,FALSE))</f>
        <v/>
      </c>
    </row>
    <row r="122" spans="29:62" ht="15.5" hidden="1">
      <c r="AC122" s="672" t="str">
        <f>IF('A-1 On-Site Habitat Baseline'!G123="","",IF('A-1 On-Site Habitat Baseline'!G123="Yes",TRUE,FALSE))</f>
        <v/>
      </c>
      <c r="AD122" s="673">
        <v>113</v>
      </c>
      <c r="AE122" s="672" t="str">
        <f>IF('D-1 Off-Site Habitat Baseline'!G123="","",IF('D-1 Off-Site Habitat Baseline'!G123="Yes",TRUE,FALSE))</f>
        <v/>
      </c>
      <c r="AJ122" s="1"/>
      <c r="BH122" s="673" t="str">
        <f>IF('C-1 On-Site WaterC'' Baseline'!AU122="","",IF('C-1 On-Site WaterC'' Baseline'!AU122="Yes",TRUE,FALSE))</f>
        <v/>
      </c>
      <c r="BI122" s="673">
        <v>113</v>
      </c>
      <c r="BJ122" s="673" t="str">
        <f>IF('F-1 Off-Site WaterC'' Baseline'!AU122="","",IF('F-1 Off-Site WaterC'' Baseline'!AU122="Yes",TRUE,FALSE))</f>
        <v/>
      </c>
    </row>
    <row r="123" spans="29:62" ht="15.5" hidden="1">
      <c r="AC123" s="672" t="str">
        <f>IF('A-1 On-Site Habitat Baseline'!G124="","",IF('A-1 On-Site Habitat Baseline'!G124="Yes",TRUE,FALSE))</f>
        <v/>
      </c>
      <c r="AD123" s="673">
        <v>114</v>
      </c>
      <c r="AE123" s="672" t="str">
        <f>IF('D-1 Off-Site Habitat Baseline'!G124="","",IF('D-1 Off-Site Habitat Baseline'!G124="Yes",TRUE,FALSE))</f>
        <v/>
      </c>
      <c r="AJ123" s="1"/>
      <c r="BH123" s="673" t="str">
        <f>IF('C-1 On-Site WaterC'' Baseline'!AU123="","",IF('C-1 On-Site WaterC'' Baseline'!AU123="Yes",TRUE,FALSE))</f>
        <v/>
      </c>
      <c r="BI123" s="673">
        <v>114</v>
      </c>
      <c r="BJ123" s="673" t="str">
        <f>IF('F-1 Off-Site WaterC'' Baseline'!AU123="","",IF('F-1 Off-Site WaterC'' Baseline'!AU123="Yes",TRUE,FALSE))</f>
        <v/>
      </c>
    </row>
    <row r="124" spans="29:62" ht="15.5" hidden="1">
      <c r="AC124" s="672" t="str">
        <f>IF('A-1 On-Site Habitat Baseline'!G125="","",IF('A-1 On-Site Habitat Baseline'!G125="Yes",TRUE,FALSE))</f>
        <v/>
      </c>
      <c r="AD124" s="673">
        <v>115</v>
      </c>
      <c r="AE124" s="672" t="str">
        <f>IF('D-1 Off-Site Habitat Baseline'!G125="","",IF('D-1 Off-Site Habitat Baseline'!G125="Yes",TRUE,FALSE))</f>
        <v/>
      </c>
      <c r="AJ124" s="1"/>
      <c r="BH124" s="673" t="str">
        <f>IF('C-1 On-Site WaterC'' Baseline'!AU124="","",IF('C-1 On-Site WaterC'' Baseline'!AU124="Yes",TRUE,FALSE))</f>
        <v/>
      </c>
      <c r="BI124" s="673">
        <v>115</v>
      </c>
      <c r="BJ124" s="673" t="str">
        <f>IF('F-1 Off-Site WaterC'' Baseline'!AU124="","",IF('F-1 Off-Site WaterC'' Baseline'!AU124="Yes",TRUE,FALSE))</f>
        <v/>
      </c>
    </row>
    <row r="125" spans="29:62" ht="15.5" hidden="1">
      <c r="AC125" s="672" t="str">
        <f>IF('A-1 On-Site Habitat Baseline'!G126="","",IF('A-1 On-Site Habitat Baseline'!G126="Yes",TRUE,FALSE))</f>
        <v/>
      </c>
      <c r="AD125" s="673">
        <v>116</v>
      </c>
      <c r="AE125" s="672" t="str">
        <f>IF('D-1 Off-Site Habitat Baseline'!G126="","",IF('D-1 Off-Site Habitat Baseline'!G126="Yes",TRUE,FALSE))</f>
        <v/>
      </c>
      <c r="AJ125" s="1"/>
      <c r="BH125" s="673" t="str">
        <f>IF('C-1 On-Site WaterC'' Baseline'!AU125="","",IF('C-1 On-Site WaterC'' Baseline'!AU125="Yes",TRUE,FALSE))</f>
        <v/>
      </c>
      <c r="BI125" s="673">
        <v>116</v>
      </c>
      <c r="BJ125" s="673" t="str">
        <f>IF('F-1 Off-Site WaterC'' Baseline'!AU125="","",IF('F-1 Off-Site WaterC'' Baseline'!AU125="Yes",TRUE,FALSE))</f>
        <v/>
      </c>
    </row>
    <row r="126" spans="29:62" ht="15.5" hidden="1">
      <c r="AC126" s="672" t="str">
        <f>IF('A-1 On-Site Habitat Baseline'!G127="","",IF('A-1 On-Site Habitat Baseline'!G127="Yes",TRUE,FALSE))</f>
        <v/>
      </c>
      <c r="AD126" s="673">
        <v>117</v>
      </c>
      <c r="AE126" s="672" t="str">
        <f>IF('D-1 Off-Site Habitat Baseline'!G127="","",IF('D-1 Off-Site Habitat Baseline'!G127="Yes",TRUE,FALSE))</f>
        <v/>
      </c>
      <c r="AJ126" s="1"/>
      <c r="BH126" s="673" t="str">
        <f>IF('C-1 On-Site WaterC'' Baseline'!AU126="","",IF('C-1 On-Site WaterC'' Baseline'!AU126="Yes",TRUE,FALSE))</f>
        <v/>
      </c>
      <c r="BI126" s="673">
        <v>117</v>
      </c>
      <c r="BJ126" s="673" t="str">
        <f>IF('F-1 Off-Site WaterC'' Baseline'!AU126="","",IF('F-1 Off-Site WaterC'' Baseline'!AU126="Yes",TRUE,FALSE))</f>
        <v/>
      </c>
    </row>
    <row r="127" spans="29:62" ht="15.5" hidden="1">
      <c r="AC127" s="672" t="str">
        <f>IF('A-1 On-Site Habitat Baseline'!G128="","",IF('A-1 On-Site Habitat Baseline'!G128="Yes",TRUE,FALSE))</f>
        <v/>
      </c>
      <c r="AD127" s="673">
        <v>118</v>
      </c>
      <c r="AE127" s="672" t="str">
        <f>IF('D-1 Off-Site Habitat Baseline'!G128="","",IF('D-1 Off-Site Habitat Baseline'!G128="Yes",TRUE,FALSE))</f>
        <v/>
      </c>
      <c r="AJ127" s="1"/>
      <c r="BH127" s="673" t="str">
        <f>IF('C-1 On-Site WaterC'' Baseline'!AU127="","",IF('C-1 On-Site WaterC'' Baseline'!AU127="Yes",TRUE,FALSE))</f>
        <v/>
      </c>
      <c r="BI127" s="673">
        <v>118</v>
      </c>
      <c r="BJ127" s="673" t="str">
        <f>IF('F-1 Off-Site WaterC'' Baseline'!AU127="","",IF('F-1 Off-Site WaterC'' Baseline'!AU127="Yes",TRUE,FALSE))</f>
        <v/>
      </c>
    </row>
    <row r="128" spans="29:62" ht="15.5" hidden="1">
      <c r="AC128" s="672" t="str">
        <f>IF('A-1 On-Site Habitat Baseline'!G129="","",IF('A-1 On-Site Habitat Baseline'!G129="Yes",TRUE,FALSE))</f>
        <v/>
      </c>
      <c r="AD128" s="673">
        <v>119</v>
      </c>
      <c r="AE128" s="672" t="str">
        <f>IF('D-1 Off-Site Habitat Baseline'!G129="","",IF('D-1 Off-Site Habitat Baseline'!G129="Yes",TRUE,FALSE))</f>
        <v/>
      </c>
      <c r="AJ128" s="1"/>
      <c r="BH128" s="673" t="str">
        <f>IF('C-1 On-Site WaterC'' Baseline'!AU128="","",IF('C-1 On-Site WaterC'' Baseline'!AU128="Yes",TRUE,FALSE))</f>
        <v/>
      </c>
      <c r="BI128" s="673">
        <v>119</v>
      </c>
      <c r="BJ128" s="673" t="str">
        <f>IF('F-1 Off-Site WaterC'' Baseline'!AU128="","",IF('F-1 Off-Site WaterC'' Baseline'!AU128="Yes",TRUE,FALSE))</f>
        <v/>
      </c>
    </row>
    <row r="129" spans="29:62" ht="15.5" hidden="1">
      <c r="AC129" s="672" t="str">
        <f>IF('A-1 On-Site Habitat Baseline'!G130="","",IF('A-1 On-Site Habitat Baseline'!G130="Yes",TRUE,FALSE))</f>
        <v/>
      </c>
      <c r="AD129" s="673">
        <v>120</v>
      </c>
      <c r="AE129" s="672" t="str">
        <f>IF('D-1 Off-Site Habitat Baseline'!G130="","",IF('D-1 Off-Site Habitat Baseline'!G130="Yes",TRUE,FALSE))</f>
        <v/>
      </c>
      <c r="AJ129" s="1"/>
      <c r="BH129" s="673" t="str">
        <f>IF('C-1 On-Site WaterC'' Baseline'!AU129="","",IF('C-1 On-Site WaterC'' Baseline'!AU129="Yes",TRUE,FALSE))</f>
        <v/>
      </c>
      <c r="BI129" s="673">
        <v>120</v>
      </c>
      <c r="BJ129" s="673" t="str">
        <f>IF('F-1 Off-Site WaterC'' Baseline'!AU129="","",IF('F-1 Off-Site WaterC'' Baseline'!AU129="Yes",TRUE,FALSE))</f>
        <v/>
      </c>
    </row>
    <row r="130" spans="29:62" ht="15.5" hidden="1">
      <c r="AC130" s="672" t="str">
        <f>IF('A-1 On-Site Habitat Baseline'!G131="","",IF('A-1 On-Site Habitat Baseline'!G131="Yes",TRUE,FALSE))</f>
        <v/>
      </c>
      <c r="AD130" s="673">
        <v>121</v>
      </c>
      <c r="AE130" s="672" t="str">
        <f>IF('D-1 Off-Site Habitat Baseline'!G131="","",IF('D-1 Off-Site Habitat Baseline'!G131="Yes",TRUE,FALSE))</f>
        <v/>
      </c>
      <c r="AJ130" s="1"/>
      <c r="BH130" s="673" t="str">
        <f>IF('C-1 On-Site WaterC'' Baseline'!AU130="","",IF('C-1 On-Site WaterC'' Baseline'!AU130="Yes",TRUE,FALSE))</f>
        <v/>
      </c>
      <c r="BI130" s="673">
        <v>121</v>
      </c>
      <c r="BJ130" s="673" t="str">
        <f>IF('F-1 Off-Site WaterC'' Baseline'!AU130="","",IF('F-1 Off-Site WaterC'' Baseline'!AU130="Yes",TRUE,FALSE))</f>
        <v/>
      </c>
    </row>
    <row r="131" spans="29:62" ht="15.5" hidden="1">
      <c r="AC131" s="672" t="str">
        <f>IF('A-1 On-Site Habitat Baseline'!G132="","",IF('A-1 On-Site Habitat Baseline'!G132="Yes",TRUE,FALSE))</f>
        <v/>
      </c>
      <c r="AD131" s="673">
        <v>122</v>
      </c>
      <c r="AE131" s="672" t="str">
        <f>IF('D-1 Off-Site Habitat Baseline'!G132="","",IF('D-1 Off-Site Habitat Baseline'!G132="Yes",TRUE,FALSE))</f>
        <v/>
      </c>
      <c r="AJ131" s="1"/>
      <c r="BH131" s="673" t="str">
        <f>IF('C-1 On-Site WaterC'' Baseline'!AU131="","",IF('C-1 On-Site WaterC'' Baseline'!AU131="Yes",TRUE,FALSE))</f>
        <v/>
      </c>
      <c r="BI131" s="673">
        <v>122</v>
      </c>
      <c r="BJ131" s="673" t="str">
        <f>IF('F-1 Off-Site WaterC'' Baseline'!AU131="","",IF('F-1 Off-Site WaterC'' Baseline'!AU131="Yes",TRUE,FALSE))</f>
        <v/>
      </c>
    </row>
    <row r="132" spans="29:62" ht="15.5" hidden="1">
      <c r="AC132" s="672" t="str">
        <f>IF('A-1 On-Site Habitat Baseline'!G133="","",IF('A-1 On-Site Habitat Baseline'!G133="Yes",TRUE,FALSE))</f>
        <v/>
      </c>
      <c r="AD132" s="673">
        <v>123</v>
      </c>
      <c r="AE132" s="672" t="str">
        <f>IF('D-1 Off-Site Habitat Baseline'!G133="","",IF('D-1 Off-Site Habitat Baseline'!G133="Yes",TRUE,FALSE))</f>
        <v/>
      </c>
      <c r="AJ132" s="1"/>
      <c r="BH132" s="673" t="str">
        <f>IF('C-1 On-Site WaterC'' Baseline'!AU132="","",IF('C-1 On-Site WaterC'' Baseline'!AU132="Yes",TRUE,FALSE))</f>
        <v/>
      </c>
      <c r="BI132" s="673">
        <v>123</v>
      </c>
      <c r="BJ132" s="673" t="str">
        <f>IF('F-1 Off-Site WaterC'' Baseline'!AU132="","",IF('F-1 Off-Site WaterC'' Baseline'!AU132="Yes",TRUE,FALSE))</f>
        <v/>
      </c>
    </row>
    <row r="133" spans="29:62" ht="15.5" hidden="1">
      <c r="AC133" s="672" t="str">
        <f>IF('A-1 On-Site Habitat Baseline'!G134="","",IF('A-1 On-Site Habitat Baseline'!G134="Yes",TRUE,FALSE))</f>
        <v/>
      </c>
      <c r="AD133" s="673">
        <v>124</v>
      </c>
      <c r="AE133" s="672" t="str">
        <f>IF('D-1 Off-Site Habitat Baseline'!G134="","",IF('D-1 Off-Site Habitat Baseline'!G134="Yes",TRUE,FALSE))</f>
        <v/>
      </c>
      <c r="AJ133" s="1"/>
      <c r="BH133" s="673" t="str">
        <f>IF('C-1 On-Site WaterC'' Baseline'!AU133="","",IF('C-1 On-Site WaterC'' Baseline'!AU133="Yes",TRUE,FALSE))</f>
        <v/>
      </c>
      <c r="BI133" s="673">
        <v>124</v>
      </c>
      <c r="BJ133" s="673" t="str">
        <f>IF('F-1 Off-Site WaterC'' Baseline'!AU133="","",IF('F-1 Off-Site WaterC'' Baseline'!AU133="Yes",TRUE,FALSE))</f>
        <v/>
      </c>
    </row>
    <row r="134" spans="29:62" ht="15.5" hidden="1">
      <c r="AC134" s="672" t="str">
        <f>IF('A-1 On-Site Habitat Baseline'!G135="","",IF('A-1 On-Site Habitat Baseline'!G135="Yes",TRUE,FALSE))</f>
        <v/>
      </c>
      <c r="AD134" s="673">
        <v>125</v>
      </c>
      <c r="AE134" s="672" t="str">
        <f>IF('D-1 Off-Site Habitat Baseline'!G135="","",IF('D-1 Off-Site Habitat Baseline'!G135="Yes",TRUE,FALSE))</f>
        <v/>
      </c>
      <c r="AJ134" s="1"/>
      <c r="BH134" s="673" t="str">
        <f>IF('C-1 On-Site WaterC'' Baseline'!AU134="","",IF('C-1 On-Site WaterC'' Baseline'!AU134="Yes",TRUE,FALSE))</f>
        <v/>
      </c>
      <c r="BI134" s="673">
        <v>125</v>
      </c>
      <c r="BJ134" s="673" t="str">
        <f>IF('F-1 Off-Site WaterC'' Baseline'!AU134="","",IF('F-1 Off-Site WaterC'' Baseline'!AU134="Yes",TRUE,FALSE))</f>
        <v/>
      </c>
    </row>
    <row r="135" spans="29:62" ht="15.5" hidden="1">
      <c r="AC135" s="672" t="str">
        <f>IF('A-1 On-Site Habitat Baseline'!G136="","",IF('A-1 On-Site Habitat Baseline'!G136="Yes",TRUE,FALSE))</f>
        <v/>
      </c>
      <c r="AD135" s="673">
        <v>126</v>
      </c>
      <c r="AE135" s="672" t="str">
        <f>IF('D-1 Off-Site Habitat Baseline'!G136="","",IF('D-1 Off-Site Habitat Baseline'!G136="Yes",TRUE,FALSE))</f>
        <v/>
      </c>
      <c r="AJ135" s="1"/>
      <c r="BH135" s="673" t="str">
        <f>IF('C-1 On-Site WaterC'' Baseline'!AU135="","",IF('C-1 On-Site WaterC'' Baseline'!AU135="Yes",TRUE,FALSE))</f>
        <v/>
      </c>
      <c r="BI135" s="673">
        <v>126</v>
      </c>
      <c r="BJ135" s="673" t="str">
        <f>IF('F-1 Off-Site WaterC'' Baseline'!AU135="","",IF('F-1 Off-Site WaterC'' Baseline'!AU135="Yes",TRUE,FALSE))</f>
        <v/>
      </c>
    </row>
    <row r="136" spans="29:62" ht="15.5" hidden="1">
      <c r="AC136" s="672" t="str">
        <f>IF('A-1 On-Site Habitat Baseline'!G137="","",IF('A-1 On-Site Habitat Baseline'!G137="Yes",TRUE,FALSE))</f>
        <v/>
      </c>
      <c r="AD136" s="673">
        <v>127</v>
      </c>
      <c r="AE136" s="672" t="str">
        <f>IF('D-1 Off-Site Habitat Baseline'!G137="","",IF('D-1 Off-Site Habitat Baseline'!G137="Yes",TRUE,FALSE))</f>
        <v/>
      </c>
      <c r="AJ136" s="1"/>
      <c r="BH136" s="673" t="str">
        <f>IF('C-1 On-Site WaterC'' Baseline'!AU136="","",IF('C-1 On-Site WaterC'' Baseline'!AU136="Yes",TRUE,FALSE))</f>
        <v/>
      </c>
      <c r="BI136" s="673">
        <v>127</v>
      </c>
      <c r="BJ136" s="673" t="str">
        <f>IF('F-1 Off-Site WaterC'' Baseline'!AU136="","",IF('F-1 Off-Site WaterC'' Baseline'!AU136="Yes",TRUE,FALSE))</f>
        <v/>
      </c>
    </row>
    <row r="137" spans="29:62" ht="15.5" hidden="1">
      <c r="AC137" s="672" t="str">
        <f>IF('A-1 On-Site Habitat Baseline'!G138="","",IF('A-1 On-Site Habitat Baseline'!G138="Yes",TRUE,FALSE))</f>
        <v/>
      </c>
      <c r="AD137" s="673">
        <v>128</v>
      </c>
      <c r="AE137" s="672" t="str">
        <f>IF('D-1 Off-Site Habitat Baseline'!G138="","",IF('D-1 Off-Site Habitat Baseline'!G138="Yes",TRUE,FALSE))</f>
        <v/>
      </c>
      <c r="AJ137" s="1"/>
      <c r="BH137" s="673" t="str">
        <f>IF('C-1 On-Site WaterC'' Baseline'!AU137="","",IF('C-1 On-Site WaterC'' Baseline'!AU137="Yes",TRUE,FALSE))</f>
        <v/>
      </c>
      <c r="BI137" s="673">
        <v>128</v>
      </c>
      <c r="BJ137" s="673" t="str">
        <f>IF('F-1 Off-Site WaterC'' Baseline'!AU137="","",IF('F-1 Off-Site WaterC'' Baseline'!AU137="Yes",TRUE,FALSE))</f>
        <v/>
      </c>
    </row>
    <row r="138" spans="29:62" ht="15.5" hidden="1">
      <c r="AC138" s="672" t="str">
        <f>IF('A-1 On-Site Habitat Baseline'!G139="","",IF('A-1 On-Site Habitat Baseline'!G139="Yes",TRUE,FALSE))</f>
        <v/>
      </c>
      <c r="AD138" s="673">
        <v>129</v>
      </c>
      <c r="AE138" s="672" t="str">
        <f>IF('D-1 Off-Site Habitat Baseline'!G139="","",IF('D-1 Off-Site Habitat Baseline'!G139="Yes",TRUE,FALSE))</f>
        <v/>
      </c>
      <c r="AJ138" s="1"/>
      <c r="BH138" s="673" t="str">
        <f>IF('C-1 On-Site WaterC'' Baseline'!AU138="","",IF('C-1 On-Site WaterC'' Baseline'!AU138="Yes",TRUE,FALSE))</f>
        <v/>
      </c>
      <c r="BI138" s="673">
        <v>129</v>
      </c>
      <c r="BJ138" s="673" t="str">
        <f>IF('F-1 Off-Site WaterC'' Baseline'!AU138="","",IF('F-1 Off-Site WaterC'' Baseline'!AU138="Yes",TRUE,FALSE))</f>
        <v/>
      </c>
    </row>
    <row r="139" spans="29:62" ht="15.5" hidden="1">
      <c r="AC139" s="672" t="str">
        <f>IF('A-1 On-Site Habitat Baseline'!G140="","",IF('A-1 On-Site Habitat Baseline'!G140="Yes",TRUE,FALSE))</f>
        <v/>
      </c>
      <c r="AD139" s="673">
        <v>130</v>
      </c>
      <c r="AE139" s="672" t="str">
        <f>IF('D-1 Off-Site Habitat Baseline'!G140="","",IF('D-1 Off-Site Habitat Baseline'!G140="Yes",TRUE,FALSE))</f>
        <v/>
      </c>
      <c r="AJ139" s="1"/>
      <c r="BH139" s="673" t="str">
        <f>IF('C-1 On-Site WaterC'' Baseline'!AU139="","",IF('C-1 On-Site WaterC'' Baseline'!AU139="Yes",TRUE,FALSE))</f>
        <v/>
      </c>
      <c r="BI139" s="673">
        <v>130</v>
      </c>
      <c r="BJ139" s="673" t="str">
        <f>IF('F-1 Off-Site WaterC'' Baseline'!AU139="","",IF('F-1 Off-Site WaterC'' Baseline'!AU139="Yes",TRUE,FALSE))</f>
        <v/>
      </c>
    </row>
    <row r="140" spans="29:62" ht="15.5" hidden="1">
      <c r="AC140" s="672" t="str">
        <f>IF('A-1 On-Site Habitat Baseline'!G141="","",IF('A-1 On-Site Habitat Baseline'!G141="Yes",TRUE,FALSE))</f>
        <v/>
      </c>
      <c r="AD140" s="673">
        <v>131</v>
      </c>
      <c r="AE140" s="672" t="str">
        <f>IF('D-1 Off-Site Habitat Baseline'!G141="","",IF('D-1 Off-Site Habitat Baseline'!G141="Yes",TRUE,FALSE))</f>
        <v/>
      </c>
      <c r="AJ140" s="1"/>
      <c r="BH140" s="673" t="str">
        <f>IF('C-1 On-Site WaterC'' Baseline'!AU140="","",IF('C-1 On-Site WaterC'' Baseline'!AU140="Yes",TRUE,FALSE))</f>
        <v/>
      </c>
      <c r="BI140" s="673">
        <v>131</v>
      </c>
      <c r="BJ140" s="673" t="str">
        <f>IF('F-1 Off-Site WaterC'' Baseline'!AU140="","",IF('F-1 Off-Site WaterC'' Baseline'!AU140="Yes",TRUE,FALSE))</f>
        <v/>
      </c>
    </row>
    <row r="141" spans="29:62" ht="15.5" hidden="1">
      <c r="AC141" s="672" t="str">
        <f>IF('A-1 On-Site Habitat Baseline'!G142="","",IF('A-1 On-Site Habitat Baseline'!G142="Yes",TRUE,FALSE))</f>
        <v/>
      </c>
      <c r="AD141" s="673">
        <v>132</v>
      </c>
      <c r="AE141" s="672" t="str">
        <f>IF('D-1 Off-Site Habitat Baseline'!G142="","",IF('D-1 Off-Site Habitat Baseline'!G142="Yes",TRUE,FALSE))</f>
        <v/>
      </c>
      <c r="AJ141" s="1"/>
      <c r="BH141" s="673" t="str">
        <f>IF('C-1 On-Site WaterC'' Baseline'!AU141="","",IF('C-1 On-Site WaterC'' Baseline'!AU141="Yes",TRUE,FALSE))</f>
        <v/>
      </c>
      <c r="BI141" s="673">
        <v>132</v>
      </c>
      <c r="BJ141" s="673" t="str">
        <f>IF('F-1 Off-Site WaterC'' Baseline'!AU141="","",IF('F-1 Off-Site WaterC'' Baseline'!AU141="Yes",TRUE,FALSE))</f>
        <v/>
      </c>
    </row>
    <row r="142" spans="29:62" ht="15.5" hidden="1">
      <c r="AC142" s="672" t="str">
        <f>IF('A-1 On-Site Habitat Baseline'!G143="","",IF('A-1 On-Site Habitat Baseline'!G143="Yes",TRUE,FALSE))</f>
        <v/>
      </c>
      <c r="AD142" s="673">
        <v>133</v>
      </c>
      <c r="AE142" s="672" t="str">
        <f>IF('D-1 Off-Site Habitat Baseline'!G143="","",IF('D-1 Off-Site Habitat Baseline'!G143="Yes",TRUE,FALSE))</f>
        <v/>
      </c>
      <c r="AJ142" s="1"/>
      <c r="BH142" s="673" t="str">
        <f>IF('C-1 On-Site WaterC'' Baseline'!AU142="","",IF('C-1 On-Site WaterC'' Baseline'!AU142="Yes",TRUE,FALSE))</f>
        <v/>
      </c>
      <c r="BI142" s="673">
        <v>133</v>
      </c>
      <c r="BJ142" s="673" t="str">
        <f>IF('F-1 Off-Site WaterC'' Baseline'!AU142="","",IF('F-1 Off-Site WaterC'' Baseline'!AU142="Yes",TRUE,FALSE))</f>
        <v/>
      </c>
    </row>
    <row r="143" spans="29:62" ht="15.5" hidden="1">
      <c r="AC143" s="672" t="str">
        <f>IF('A-1 On-Site Habitat Baseline'!G144="","",IF('A-1 On-Site Habitat Baseline'!G144="Yes",TRUE,FALSE))</f>
        <v/>
      </c>
      <c r="AD143" s="673">
        <v>134</v>
      </c>
      <c r="AE143" s="672" t="str">
        <f>IF('D-1 Off-Site Habitat Baseline'!G144="","",IF('D-1 Off-Site Habitat Baseline'!G144="Yes",TRUE,FALSE))</f>
        <v/>
      </c>
      <c r="AJ143" s="1"/>
      <c r="BH143" s="673" t="str">
        <f>IF('C-1 On-Site WaterC'' Baseline'!AU143="","",IF('C-1 On-Site WaterC'' Baseline'!AU143="Yes",TRUE,FALSE))</f>
        <v/>
      </c>
      <c r="BI143" s="673">
        <v>134</v>
      </c>
      <c r="BJ143" s="673" t="str">
        <f>IF('F-1 Off-Site WaterC'' Baseline'!AU143="","",IF('F-1 Off-Site WaterC'' Baseline'!AU143="Yes",TRUE,FALSE))</f>
        <v/>
      </c>
    </row>
    <row r="144" spans="29:62" ht="15.5" hidden="1">
      <c r="AC144" s="672" t="str">
        <f>IF('A-1 On-Site Habitat Baseline'!G145="","",IF('A-1 On-Site Habitat Baseline'!G145="Yes",TRUE,FALSE))</f>
        <v/>
      </c>
      <c r="AD144" s="673">
        <v>135</v>
      </c>
      <c r="AE144" s="672" t="str">
        <f>IF('D-1 Off-Site Habitat Baseline'!G145="","",IF('D-1 Off-Site Habitat Baseline'!G145="Yes",TRUE,FALSE))</f>
        <v/>
      </c>
      <c r="AJ144" s="1"/>
      <c r="BH144" s="673" t="str">
        <f>IF('C-1 On-Site WaterC'' Baseline'!AU144="","",IF('C-1 On-Site WaterC'' Baseline'!AU144="Yes",TRUE,FALSE))</f>
        <v/>
      </c>
      <c r="BI144" s="673">
        <v>135</v>
      </c>
      <c r="BJ144" s="673" t="str">
        <f>IF('F-1 Off-Site WaterC'' Baseline'!AU144="","",IF('F-1 Off-Site WaterC'' Baseline'!AU144="Yes",TRUE,FALSE))</f>
        <v/>
      </c>
    </row>
    <row r="145" spans="29:62" ht="15.5" hidden="1">
      <c r="AC145" s="672" t="str">
        <f>IF('A-1 On-Site Habitat Baseline'!G146="","",IF('A-1 On-Site Habitat Baseline'!G146="Yes",TRUE,FALSE))</f>
        <v/>
      </c>
      <c r="AD145" s="673">
        <v>136</v>
      </c>
      <c r="AE145" s="672" t="str">
        <f>IF('D-1 Off-Site Habitat Baseline'!G146="","",IF('D-1 Off-Site Habitat Baseline'!G146="Yes",TRUE,FALSE))</f>
        <v/>
      </c>
      <c r="AJ145" s="1"/>
      <c r="BH145" s="673" t="str">
        <f>IF('C-1 On-Site WaterC'' Baseline'!AU145="","",IF('C-1 On-Site WaterC'' Baseline'!AU145="Yes",TRUE,FALSE))</f>
        <v/>
      </c>
      <c r="BI145" s="673">
        <v>136</v>
      </c>
      <c r="BJ145" s="673" t="str">
        <f>IF('F-1 Off-Site WaterC'' Baseline'!AU145="","",IF('F-1 Off-Site WaterC'' Baseline'!AU145="Yes",TRUE,FALSE))</f>
        <v/>
      </c>
    </row>
    <row r="146" spans="29:62" ht="15.5" hidden="1">
      <c r="AC146" s="672" t="str">
        <f>IF('A-1 On-Site Habitat Baseline'!G147="","",IF('A-1 On-Site Habitat Baseline'!G147="Yes",TRUE,FALSE))</f>
        <v/>
      </c>
      <c r="AD146" s="673">
        <v>137</v>
      </c>
      <c r="AE146" s="672" t="str">
        <f>IF('D-1 Off-Site Habitat Baseline'!G147="","",IF('D-1 Off-Site Habitat Baseline'!G147="Yes",TRUE,FALSE))</f>
        <v/>
      </c>
      <c r="AJ146" s="1"/>
      <c r="BH146" s="673" t="str">
        <f>IF('C-1 On-Site WaterC'' Baseline'!AU146="","",IF('C-1 On-Site WaterC'' Baseline'!AU146="Yes",TRUE,FALSE))</f>
        <v/>
      </c>
      <c r="BI146" s="673">
        <v>137</v>
      </c>
      <c r="BJ146" s="673" t="str">
        <f>IF('F-1 Off-Site WaterC'' Baseline'!AU146="","",IF('F-1 Off-Site WaterC'' Baseline'!AU146="Yes",TRUE,FALSE))</f>
        <v/>
      </c>
    </row>
    <row r="147" spans="29:62" ht="15.5" hidden="1">
      <c r="AC147" s="672" t="str">
        <f>IF('A-1 On-Site Habitat Baseline'!G148="","",IF('A-1 On-Site Habitat Baseline'!G148="Yes",TRUE,FALSE))</f>
        <v/>
      </c>
      <c r="AD147" s="673">
        <v>138</v>
      </c>
      <c r="AE147" s="672" t="str">
        <f>IF('D-1 Off-Site Habitat Baseline'!G148="","",IF('D-1 Off-Site Habitat Baseline'!G148="Yes",TRUE,FALSE))</f>
        <v/>
      </c>
      <c r="AJ147" s="1"/>
      <c r="BH147" s="673" t="str">
        <f>IF('C-1 On-Site WaterC'' Baseline'!AU147="","",IF('C-1 On-Site WaterC'' Baseline'!AU147="Yes",TRUE,FALSE))</f>
        <v/>
      </c>
      <c r="BI147" s="673">
        <v>138</v>
      </c>
      <c r="BJ147" s="673" t="str">
        <f>IF('F-1 Off-Site WaterC'' Baseline'!AU147="","",IF('F-1 Off-Site WaterC'' Baseline'!AU147="Yes",TRUE,FALSE))</f>
        <v/>
      </c>
    </row>
    <row r="148" spans="29:62" ht="15.5" hidden="1">
      <c r="AC148" s="672" t="str">
        <f>IF('A-1 On-Site Habitat Baseline'!G149="","",IF('A-1 On-Site Habitat Baseline'!G149="Yes",TRUE,FALSE))</f>
        <v/>
      </c>
      <c r="AD148" s="673">
        <v>139</v>
      </c>
      <c r="AE148" s="672" t="str">
        <f>IF('D-1 Off-Site Habitat Baseline'!G149="","",IF('D-1 Off-Site Habitat Baseline'!G149="Yes",TRUE,FALSE))</f>
        <v/>
      </c>
      <c r="AJ148" s="1"/>
      <c r="BH148" s="673" t="str">
        <f>IF('C-1 On-Site WaterC'' Baseline'!AU148="","",IF('C-1 On-Site WaterC'' Baseline'!AU148="Yes",TRUE,FALSE))</f>
        <v/>
      </c>
      <c r="BI148" s="673">
        <v>139</v>
      </c>
      <c r="BJ148" s="673" t="str">
        <f>IF('F-1 Off-Site WaterC'' Baseline'!AU148="","",IF('F-1 Off-Site WaterC'' Baseline'!AU148="Yes",TRUE,FALSE))</f>
        <v/>
      </c>
    </row>
    <row r="149" spans="29:62" ht="15.5" hidden="1">
      <c r="AC149" s="672" t="str">
        <f>IF('A-1 On-Site Habitat Baseline'!G150="","",IF('A-1 On-Site Habitat Baseline'!G150="Yes",TRUE,FALSE))</f>
        <v/>
      </c>
      <c r="AD149" s="673">
        <v>140</v>
      </c>
      <c r="AE149" s="672" t="str">
        <f>IF('D-1 Off-Site Habitat Baseline'!G150="","",IF('D-1 Off-Site Habitat Baseline'!G150="Yes",TRUE,FALSE))</f>
        <v/>
      </c>
      <c r="AJ149" s="1"/>
      <c r="BH149" s="673" t="str">
        <f>IF('C-1 On-Site WaterC'' Baseline'!AU149="","",IF('C-1 On-Site WaterC'' Baseline'!AU149="Yes",TRUE,FALSE))</f>
        <v/>
      </c>
      <c r="BI149" s="673">
        <v>140</v>
      </c>
      <c r="BJ149" s="673" t="str">
        <f>IF('F-1 Off-Site WaterC'' Baseline'!AU149="","",IF('F-1 Off-Site WaterC'' Baseline'!AU149="Yes",TRUE,FALSE))</f>
        <v/>
      </c>
    </row>
    <row r="150" spans="29:62" ht="15.5" hidden="1">
      <c r="AC150" s="672" t="str">
        <f>IF('A-1 On-Site Habitat Baseline'!G151="","",IF('A-1 On-Site Habitat Baseline'!G151="Yes",TRUE,FALSE))</f>
        <v/>
      </c>
      <c r="AD150" s="673">
        <v>141</v>
      </c>
      <c r="AE150" s="672" t="str">
        <f>IF('D-1 Off-Site Habitat Baseline'!G151="","",IF('D-1 Off-Site Habitat Baseline'!G151="Yes",TRUE,FALSE))</f>
        <v/>
      </c>
      <c r="AJ150" s="1"/>
      <c r="BH150" s="673" t="str">
        <f>IF('C-1 On-Site WaterC'' Baseline'!AU150="","",IF('C-1 On-Site WaterC'' Baseline'!AU150="Yes",TRUE,FALSE))</f>
        <v/>
      </c>
      <c r="BI150" s="673">
        <v>141</v>
      </c>
      <c r="BJ150" s="673" t="str">
        <f>IF('F-1 Off-Site WaterC'' Baseline'!AU150="","",IF('F-1 Off-Site WaterC'' Baseline'!AU150="Yes",TRUE,FALSE))</f>
        <v/>
      </c>
    </row>
    <row r="151" spans="29:62" ht="15.5" hidden="1">
      <c r="AC151" s="672" t="str">
        <f>IF('A-1 On-Site Habitat Baseline'!G152="","",IF('A-1 On-Site Habitat Baseline'!G152="Yes",TRUE,FALSE))</f>
        <v/>
      </c>
      <c r="AD151" s="673">
        <v>142</v>
      </c>
      <c r="AE151" s="672" t="str">
        <f>IF('D-1 Off-Site Habitat Baseline'!G152="","",IF('D-1 Off-Site Habitat Baseline'!G152="Yes",TRUE,FALSE))</f>
        <v/>
      </c>
      <c r="AJ151" s="1"/>
      <c r="BH151" s="673" t="str">
        <f>IF('C-1 On-Site WaterC'' Baseline'!AU151="","",IF('C-1 On-Site WaterC'' Baseline'!AU151="Yes",TRUE,FALSE))</f>
        <v/>
      </c>
      <c r="BI151" s="673">
        <v>142</v>
      </c>
      <c r="BJ151" s="673" t="str">
        <f>IF('F-1 Off-Site WaterC'' Baseline'!AU151="","",IF('F-1 Off-Site WaterC'' Baseline'!AU151="Yes",TRUE,FALSE))</f>
        <v/>
      </c>
    </row>
    <row r="152" spans="29:62" ht="15.5" hidden="1">
      <c r="AC152" s="672" t="str">
        <f>IF('A-1 On-Site Habitat Baseline'!G153="","",IF('A-1 On-Site Habitat Baseline'!G153="Yes",TRUE,FALSE))</f>
        <v/>
      </c>
      <c r="AD152" s="673">
        <v>143</v>
      </c>
      <c r="AE152" s="672" t="str">
        <f>IF('D-1 Off-Site Habitat Baseline'!G153="","",IF('D-1 Off-Site Habitat Baseline'!G153="Yes",TRUE,FALSE))</f>
        <v/>
      </c>
      <c r="AJ152" s="1"/>
      <c r="BH152" s="673" t="str">
        <f>IF('C-1 On-Site WaterC'' Baseline'!AU152="","",IF('C-1 On-Site WaterC'' Baseline'!AU152="Yes",TRUE,FALSE))</f>
        <v/>
      </c>
      <c r="BI152" s="673">
        <v>143</v>
      </c>
      <c r="BJ152" s="673" t="str">
        <f>IF('F-1 Off-Site WaterC'' Baseline'!AU152="","",IF('F-1 Off-Site WaterC'' Baseline'!AU152="Yes",TRUE,FALSE))</f>
        <v/>
      </c>
    </row>
    <row r="153" spans="29:62" ht="15.5" hidden="1">
      <c r="AC153" s="672" t="str">
        <f>IF('A-1 On-Site Habitat Baseline'!G154="","",IF('A-1 On-Site Habitat Baseline'!G154="Yes",TRUE,FALSE))</f>
        <v/>
      </c>
      <c r="AD153" s="673">
        <v>144</v>
      </c>
      <c r="AE153" s="672" t="str">
        <f>IF('D-1 Off-Site Habitat Baseline'!G154="","",IF('D-1 Off-Site Habitat Baseline'!G154="Yes",TRUE,FALSE))</f>
        <v/>
      </c>
      <c r="AJ153" s="1"/>
      <c r="BH153" s="673" t="str">
        <f>IF('C-1 On-Site WaterC'' Baseline'!AU153="","",IF('C-1 On-Site WaterC'' Baseline'!AU153="Yes",TRUE,FALSE))</f>
        <v/>
      </c>
      <c r="BI153" s="673">
        <v>144</v>
      </c>
      <c r="BJ153" s="673" t="str">
        <f>IF('F-1 Off-Site WaterC'' Baseline'!AU153="","",IF('F-1 Off-Site WaterC'' Baseline'!AU153="Yes",TRUE,FALSE))</f>
        <v/>
      </c>
    </row>
    <row r="154" spans="29:62" ht="15.5" hidden="1">
      <c r="AC154" s="672" t="str">
        <f>IF('A-1 On-Site Habitat Baseline'!G155="","",IF('A-1 On-Site Habitat Baseline'!G155="Yes",TRUE,FALSE))</f>
        <v/>
      </c>
      <c r="AD154" s="673">
        <v>145</v>
      </c>
      <c r="AE154" s="672" t="str">
        <f>IF('D-1 Off-Site Habitat Baseline'!G155="","",IF('D-1 Off-Site Habitat Baseline'!G155="Yes",TRUE,FALSE))</f>
        <v/>
      </c>
      <c r="AJ154" s="1"/>
      <c r="BH154" s="673" t="str">
        <f>IF('C-1 On-Site WaterC'' Baseline'!AU154="","",IF('C-1 On-Site WaterC'' Baseline'!AU154="Yes",TRUE,FALSE))</f>
        <v/>
      </c>
      <c r="BI154" s="673">
        <v>145</v>
      </c>
      <c r="BJ154" s="673" t="str">
        <f>IF('F-1 Off-Site WaterC'' Baseline'!AU154="","",IF('F-1 Off-Site WaterC'' Baseline'!AU154="Yes",TRUE,FALSE))</f>
        <v/>
      </c>
    </row>
    <row r="155" spans="29:62" ht="15.5" hidden="1">
      <c r="AC155" s="672" t="str">
        <f>IF('A-1 On-Site Habitat Baseline'!G156="","",IF('A-1 On-Site Habitat Baseline'!G156="Yes",TRUE,FALSE))</f>
        <v/>
      </c>
      <c r="AD155" s="673">
        <v>146</v>
      </c>
      <c r="AE155" s="672" t="str">
        <f>IF('D-1 Off-Site Habitat Baseline'!G156="","",IF('D-1 Off-Site Habitat Baseline'!G156="Yes",TRUE,FALSE))</f>
        <v/>
      </c>
      <c r="AJ155" s="1"/>
      <c r="BH155" s="673" t="str">
        <f>IF('C-1 On-Site WaterC'' Baseline'!AU155="","",IF('C-1 On-Site WaterC'' Baseline'!AU155="Yes",TRUE,FALSE))</f>
        <v/>
      </c>
      <c r="BI155" s="673">
        <v>146</v>
      </c>
      <c r="BJ155" s="673" t="str">
        <f>IF('F-1 Off-Site WaterC'' Baseline'!AU155="","",IF('F-1 Off-Site WaterC'' Baseline'!AU155="Yes",TRUE,FALSE))</f>
        <v/>
      </c>
    </row>
    <row r="156" spans="29:62" ht="15.5" hidden="1">
      <c r="AC156" s="672" t="str">
        <f>IF('A-1 On-Site Habitat Baseline'!G157="","",IF('A-1 On-Site Habitat Baseline'!G157="Yes",TRUE,FALSE))</f>
        <v/>
      </c>
      <c r="AD156" s="673">
        <v>147</v>
      </c>
      <c r="AE156" s="672" t="str">
        <f>IF('D-1 Off-Site Habitat Baseline'!G157="","",IF('D-1 Off-Site Habitat Baseline'!G157="Yes",TRUE,FALSE))</f>
        <v/>
      </c>
      <c r="AJ156" s="1"/>
      <c r="BH156" s="673" t="str">
        <f>IF('C-1 On-Site WaterC'' Baseline'!AU156="","",IF('C-1 On-Site WaterC'' Baseline'!AU156="Yes",TRUE,FALSE))</f>
        <v/>
      </c>
      <c r="BI156" s="673">
        <v>147</v>
      </c>
      <c r="BJ156" s="673" t="str">
        <f>IF('F-1 Off-Site WaterC'' Baseline'!AU156="","",IF('F-1 Off-Site WaterC'' Baseline'!AU156="Yes",TRUE,FALSE))</f>
        <v/>
      </c>
    </row>
    <row r="157" spans="29:62" ht="15.5" hidden="1">
      <c r="AC157" s="672" t="str">
        <f>IF('A-1 On-Site Habitat Baseline'!G158="","",IF('A-1 On-Site Habitat Baseline'!G158="Yes",TRUE,FALSE))</f>
        <v/>
      </c>
      <c r="AD157" s="673">
        <v>148</v>
      </c>
      <c r="AE157" s="672" t="str">
        <f>IF('D-1 Off-Site Habitat Baseline'!G158="","",IF('D-1 Off-Site Habitat Baseline'!G158="Yes",TRUE,FALSE))</f>
        <v/>
      </c>
      <c r="AJ157" s="1"/>
      <c r="BH157" s="673" t="str">
        <f>IF('C-1 On-Site WaterC'' Baseline'!AU157="","",IF('C-1 On-Site WaterC'' Baseline'!AU157="Yes",TRUE,FALSE))</f>
        <v/>
      </c>
      <c r="BI157" s="673">
        <v>148</v>
      </c>
      <c r="BJ157" s="673" t="str">
        <f>IF('F-1 Off-Site WaterC'' Baseline'!AU157="","",IF('F-1 Off-Site WaterC'' Baseline'!AU157="Yes",TRUE,FALSE))</f>
        <v/>
      </c>
    </row>
    <row r="158" spans="29:62" ht="15.5" hidden="1">
      <c r="AC158" s="672" t="str">
        <f>IF('A-1 On-Site Habitat Baseline'!G159="","",IF('A-1 On-Site Habitat Baseline'!G159="Yes",TRUE,FALSE))</f>
        <v/>
      </c>
      <c r="AD158" s="673">
        <v>149</v>
      </c>
      <c r="AE158" s="672" t="str">
        <f>IF('D-1 Off-Site Habitat Baseline'!G159="","",IF('D-1 Off-Site Habitat Baseline'!G159="Yes",TRUE,FALSE))</f>
        <v/>
      </c>
      <c r="AJ158" s="1"/>
      <c r="BH158" s="673" t="str">
        <f>IF('C-1 On-Site WaterC'' Baseline'!AU158="","",IF('C-1 On-Site WaterC'' Baseline'!AU158="Yes",TRUE,FALSE))</f>
        <v/>
      </c>
      <c r="BI158" s="673">
        <v>149</v>
      </c>
      <c r="BJ158" s="673" t="str">
        <f>IF('F-1 Off-Site WaterC'' Baseline'!AU158="","",IF('F-1 Off-Site WaterC'' Baseline'!AU158="Yes",TRUE,FALSE))</f>
        <v/>
      </c>
    </row>
    <row r="159" spans="29:62" ht="15.5" hidden="1">
      <c r="AC159" s="672" t="str">
        <f>IF('A-1 On-Site Habitat Baseline'!G160="","",IF('A-1 On-Site Habitat Baseline'!G160="Yes",TRUE,FALSE))</f>
        <v/>
      </c>
      <c r="AD159" s="673">
        <v>150</v>
      </c>
      <c r="AE159" s="672" t="str">
        <f>IF('D-1 Off-Site Habitat Baseline'!G160="","",IF('D-1 Off-Site Habitat Baseline'!G160="Yes",TRUE,FALSE))</f>
        <v/>
      </c>
      <c r="AJ159" s="1"/>
      <c r="BH159" s="673" t="str">
        <f>IF('C-1 On-Site WaterC'' Baseline'!AU159="","",IF('C-1 On-Site WaterC'' Baseline'!AU159="Yes",TRUE,FALSE))</f>
        <v/>
      </c>
      <c r="BI159" s="673">
        <v>150</v>
      </c>
      <c r="BJ159" s="673" t="str">
        <f>IF('F-1 Off-Site WaterC'' Baseline'!AU159="","",IF('F-1 Off-Site WaterC'' Baseline'!AU159="Yes",TRUE,FALSE))</f>
        <v/>
      </c>
    </row>
    <row r="160" spans="29:62" ht="15.5" hidden="1">
      <c r="AC160" s="672" t="str">
        <f>IF('A-1 On-Site Habitat Baseline'!G161="","",IF('A-1 On-Site Habitat Baseline'!G161="Yes",TRUE,FALSE))</f>
        <v/>
      </c>
      <c r="AD160" s="673">
        <v>151</v>
      </c>
      <c r="AE160" s="672" t="str">
        <f>IF('D-1 Off-Site Habitat Baseline'!G161="","",IF('D-1 Off-Site Habitat Baseline'!G161="Yes",TRUE,FALSE))</f>
        <v/>
      </c>
      <c r="AJ160" s="1"/>
      <c r="BH160" s="673" t="str">
        <f>IF('C-1 On-Site WaterC'' Baseline'!AU160="","",IF('C-1 On-Site WaterC'' Baseline'!AU160="Yes",TRUE,FALSE))</f>
        <v/>
      </c>
      <c r="BI160" s="673">
        <v>151</v>
      </c>
      <c r="BJ160" s="673" t="str">
        <f>IF('F-1 Off-Site WaterC'' Baseline'!AU160="","",IF('F-1 Off-Site WaterC'' Baseline'!AU160="Yes",TRUE,FALSE))</f>
        <v/>
      </c>
    </row>
    <row r="161" spans="29:62" ht="15.5" hidden="1">
      <c r="AC161" s="672" t="str">
        <f>IF('A-1 On-Site Habitat Baseline'!G162="","",IF('A-1 On-Site Habitat Baseline'!G162="Yes",TRUE,FALSE))</f>
        <v/>
      </c>
      <c r="AD161" s="673">
        <v>152</v>
      </c>
      <c r="AE161" s="672" t="str">
        <f>IF('D-1 Off-Site Habitat Baseline'!G162="","",IF('D-1 Off-Site Habitat Baseline'!G162="Yes",TRUE,FALSE))</f>
        <v/>
      </c>
      <c r="AJ161" s="1"/>
      <c r="BH161" s="673" t="str">
        <f>IF('C-1 On-Site WaterC'' Baseline'!AU161="","",IF('C-1 On-Site WaterC'' Baseline'!AU161="Yes",TRUE,FALSE))</f>
        <v/>
      </c>
      <c r="BI161" s="673">
        <v>152</v>
      </c>
      <c r="BJ161" s="673" t="str">
        <f>IF('F-1 Off-Site WaterC'' Baseline'!AU161="","",IF('F-1 Off-Site WaterC'' Baseline'!AU161="Yes",TRUE,FALSE))</f>
        <v/>
      </c>
    </row>
    <row r="162" spans="29:62" ht="15.5" hidden="1">
      <c r="AC162" s="672" t="str">
        <f>IF('A-1 On-Site Habitat Baseline'!G163="","",IF('A-1 On-Site Habitat Baseline'!G163="Yes",TRUE,FALSE))</f>
        <v/>
      </c>
      <c r="AD162" s="673">
        <v>153</v>
      </c>
      <c r="AE162" s="672" t="str">
        <f>IF('D-1 Off-Site Habitat Baseline'!G163="","",IF('D-1 Off-Site Habitat Baseline'!G163="Yes",TRUE,FALSE))</f>
        <v/>
      </c>
      <c r="AJ162" s="1"/>
      <c r="BH162" s="673" t="str">
        <f>IF('C-1 On-Site WaterC'' Baseline'!AU162="","",IF('C-1 On-Site WaterC'' Baseline'!AU162="Yes",TRUE,FALSE))</f>
        <v/>
      </c>
      <c r="BI162" s="673">
        <v>153</v>
      </c>
      <c r="BJ162" s="673" t="str">
        <f>IF('F-1 Off-Site WaterC'' Baseline'!AU162="","",IF('F-1 Off-Site WaterC'' Baseline'!AU162="Yes",TRUE,FALSE))</f>
        <v/>
      </c>
    </row>
    <row r="163" spans="29:62" ht="15.5" hidden="1">
      <c r="AC163" s="672" t="str">
        <f>IF('A-1 On-Site Habitat Baseline'!G164="","",IF('A-1 On-Site Habitat Baseline'!G164="Yes",TRUE,FALSE))</f>
        <v/>
      </c>
      <c r="AD163" s="673">
        <v>154</v>
      </c>
      <c r="AE163" s="672" t="str">
        <f>IF('D-1 Off-Site Habitat Baseline'!G164="","",IF('D-1 Off-Site Habitat Baseline'!G164="Yes",TRUE,FALSE))</f>
        <v/>
      </c>
      <c r="AJ163" s="1"/>
      <c r="BH163" s="673" t="str">
        <f>IF('C-1 On-Site WaterC'' Baseline'!AU163="","",IF('C-1 On-Site WaterC'' Baseline'!AU163="Yes",TRUE,FALSE))</f>
        <v/>
      </c>
      <c r="BI163" s="673">
        <v>154</v>
      </c>
      <c r="BJ163" s="673" t="str">
        <f>IF('F-1 Off-Site WaterC'' Baseline'!AU163="","",IF('F-1 Off-Site WaterC'' Baseline'!AU163="Yes",TRUE,FALSE))</f>
        <v/>
      </c>
    </row>
    <row r="164" spans="29:62" ht="15.5" hidden="1">
      <c r="AC164" s="672" t="str">
        <f>IF('A-1 On-Site Habitat Baseline'!G165="","",IF('A-1 On-Site Habitat Baseline'!G165="Yes",TRUE,FALSE))</f>
        <v/>
      </c>
      <c r="AD164" s="673">
        <v>155</v>
      </c>
      <c r="AE164" s="672" t="str">
        <f>IF('D-1 Off-Site Habitat Baseline'!G165="","",IF('D-1 Off-Site Habitat Baseline'!G165="Yes",TRUE,FALSE))</f>
        <v/>
      </c>
      <c r="AJ164" s="1"/>
      <c r="BH164" s="673" t="str">
        <f>IF('C-1 On-Site WaterC'' Baseline'!AU164="","",IF('C-1 On-Site WaterC'' Baseline'!AU164="Yes",TRUE,FALSE))</f>
        <v/>
      </c>
      <c r="BI164" s="673">
        <v>155</v>
      </c>
      <c r="BJ164" s="673" t="str">
        <f>IF('F-1 Off-Site WaterC'' Baseline'!AU164="","",IF('F-1 Off-Site WaterC'' Baseline'!AU164="Yes",TRUE,FALSE))</f>
        <v/>
      </c>
    </row>
    <row r="165" spans="29:62" ht="15.5" hidden="1">
      <c r="AC165" s="672" t="str">
        <f>IF('A-1 On-Site Habitat Baseline'!G166="","",IF('A-1 On-Site Habitat Baseline'!G166="Yes",TRUE,FALSE))</f>
        <v/>
      </c>
      <c r="AD165" s="673">
        <v>156</v>
      </c>
      <c r="AE165" s="672" t="str">
        <f>IF('D-1 Off-Site Habitat Baseline'!G166="","",IF('D-1 Off-Site Habitat Baseline'!G166="Yes",TRUE,FALSE))</f>
        <v/>
      </c>
      <c r="AJ165" s="1"/>
      <c r="BH165" s="673" t="str">
        <f>IF('C-1 On-Site WaterC'' Baseline'!AU165="","",IF('C-1 On-Site WaterC'' Baseline'!AU165="Yes",TRUE,FALSE))</f>
        <v/>
      </c>
      <c r="BI165" s="673">
        <v>156</v>
      </c>
      <c r="BJ165" s="673" t="str">
        <f>IF('F-1 Off-Site WaterC'' Baseline'!AU165="","",IF('F-1 Off-Site WaterC'' Baseline'!AU165="Yes",TRUE,FALSE))</f>
        <v/>
      </c>
    </row>
    <row r="166" spans="29:62" ht="15.5" hidden="1">
      <c r="AC166" s="672" t="str">
        <f>IF('A-1 On-Site Habitat Baseline'!G167="","",IF('A-1 On-Site Habitat Baseline'!G167="Yes",TRUE,FALSE))</f>
        <v/>
      </c>
      <c r="AD166" s="673">
        <v>157</v>
      </c>
      <c r="AE166" s="672" t="str">
        <f>IF('D-1 Off-Site Habitat Baseline'!G167="","",IF('D-1 Off-Site Habitat Baseline'!G167="Yes",TRUE,FALSE))</f>
        <v/>
      </c>
      <c r="AJ166" s="1"/>
      <c r="BH166" s="673" t="str">
        <f>IF('C-1 On-Site WaterC'' Baseline'!AU166="","",IF('C-1 On-Site WaterC'' Baseline'!AU166="Yes",TRUE,FALSE))</f>
        <v/>
      </c>
      <c r="BI166" s="673">
        <v>157</v>
      </c>
      <c r="BJ166" s="673" t="str">
        <f>IF('F-1 Off-Site WaterC'' Baseline'!AU166="","",IF('F-1 Off-Site WaterC'' Baseline'!AU166="Yes",TRUE,FALSE))</f>
        <v/>
      </c>
    </row>
    <row r="167" spans="29:62" ht="15.5" hidden="1">
      <c r="AC167" s="672" t="str">
        <f>IF('A-1 On-Site Habitat Baseline'!G168="","",IF('A-1 On-Site Habitat Baseline'!G168="Yes",TRUE,FALSE))</f>
        <v/>
      </c>
      <c r="AD167" s="673">
        <v>158</v>
      </c>
      <c r="AE167" s="672" t="str">
        <f>IF('D-1 Off-Site Habitat Baseline'!G168="","",IF('D-1 Off-Site Habitat Baseline'!G168="Yes",TRUE,FALSE))</f>
        <v/>
      </c>
      <c r="AJ167" s="1"/>
      <c r="BH167" s="673" t="str">
        <f>IF('C-1 On-Site WaterC'' Baseline'!AU167="","",IF('C-1 On-Site WaterC'' Baseline'!AU167="Yes",TRUE,FALSE))</f>
        <v/>
      </c>
      <c r="BI167" s="673">
        <v>158</v>
      </c>
      <c r="BJ167" s="673" t="str">
        <f>IF('F-1 Off-Site WaterC'' Baseline'!AU167="","",IF('F-1 Off-Site WaterC'' Baseline'!AU167="Yes",TRUE,FALSE))</f>
        <v/>
      </c>
    </row>
    <row r="168" spans="29:62" ht="15.5" hidden="1">
      <c r="AC168" s="672" t="str">
        <f>IF('A-1 On-Site Habitat Baseline'!G169="","",IF('A-1 On-Site Habitat Baseline'!G169="Yes",TRUE,FALSE))</f>
        <v/>
      </c>
      <c r="AD168" s="673">
        <v>159</v>
      </c>
      <c r="AE168" s="672" t="str">
        <f>IF('D-1 Off-Site Habitat Baseline'!G169="","",IF('D-1 Off-Site Habitat Baseline'!G169="Yes",TRUE,FALSE))</f>
        <v/>
      </c>
      <c r="AJ168" s="1"/>
      <c r="BH168" s="673" t="str">
        <f>IF('C-1 On-Site WaterC'' Baseline'!AU168="","",IF('C-1 On-Site WaterC'' Baseline'!AU168="Yes",TRUE,FALSE))</f>
        <v/>
      </c>
      <c r="BI168" s="673">
        <v>159</v>
      </c>
      <c r="BJ168" s="673" t="str">
        <f>IF('F-1 Off-Site WaterC'' Baseline'!AU168="","",IF('F-1 Off-Site WaterC'' Baseline'!AU168="Yes",TRUE,FALSE))</f>
        <v/>
      </c>
    </row>
    <row r="169" spans="29:62" ht="15.5" hidden="1">
      <c r="AC169" s="672" t="str">
        <f>IF('A-1 On-Site Habitat Baseline'!G170="","",IF('A-1 On-Site Habitat Baseline'!G170="Yes",TRUE,FALSE))</f>
        <v/>
      </c>
      <c r="AD169" s="673">
        <v>160</v>
      </c>
      <c r="AE169" s="672" t="str">
        <f>IF('D-1 Off-Site Habitat Baseline'!G170="","",IF('D-1 Off-Site Habitat Baseline'!G170="Yes",TRUE,FALSE))</f>
        <v/>
      </c>
      <c r="AJ169" s="1"/>
      <c r="BH169" s="673" t="str">
        <f>IF('C-1 On-Site WaterC'' Baseline'!AU169="","",IF('C-1 On-Site WaterC'' Baseline'!AU169="Yes",TRUE,FALSE))</f>
        <v/>
      </c>
      <c r="BI169" s="673">
        <v>160</v>
      </c>
      <c r="BJ169" s="673" t="str">
        <f>IF('F-1 Off-Site WaterC'' Baseline'!AU169="","",IF('F-1 Off-Site WaterC'' Baseline'!AU169="Yes",TRUE,FALSE))</f>
        <v/>
      </c>
    </row>
    <row r="170" spans="29:62" ht="15.5" hidden="1">
      <c r="AC170" s="672" t="str">
        <f>IF('A-1 On-Site Habitat Baseline'!G171="","",IF('A-1 On-Site Habitat Baseline'!G171="Yes",TRUE,FALSE))</f>
        <v/>
      </c>
      <c r="AD170" s="673">
        <v>161</v>
      </c>
      <c r="AE170" s="672" t="str">
        <f>IF('D-1 Off-Site Habitat Baseline'!G171="","",IF('D-1 Off-Site Habitat Baseline'!G171="Yes",TRUE,FALSE))</f>
        <v/>
      </c>
      <c r="AJ170" s="1"/>
      <c r="BH170" s="673" t="str">
        <f>IF('C-1 On-Site WaterC'' Baseline'!AU170="","",IF('C-1 On-Site WaterC'' Baseline'!AU170="Yes",TRUE,FALSE))</f>
        <v/>
      </c>
      <c r="BI170" s="673">
        <v>161</v>
      </c>
      <c r="BJ170" s="673" t="str">
        <f>IF('F-1 Off-Site WaterC'' Baseline'!AU170="","",IF('F-1 Off-Site WaterC'' Baseline'!AU170="Yes",TRUE,FALSE))</f>
        <v/>
      </c>
    </row>
    <row r="171" spans="29:62" ht="15.5" hidden="1">
      <c r="AC171" s="672" t="str">
        <f>IF('A-1 On-Site Habitat Baseline'!G172="","",IF('A-1 On-Site Habitat Baseline'!G172="Yes",TRUE,FALSE))</f>
        <v/>
      </c>
      <c r="AD171" s="673">
        <v>162</v>
      </c>
      <c r="AE171" s="672" t="str">
        <f>IF('D-1 Off-Site Habitat Baseline'!G172="","",IF('D-1 Off-Site Habitat Baseline'!G172="Yes",TRUE,FALSE))</f>
        <v/>
      </c>
      <c r="AJ171" s="1"/>
      <c r="BH171" s="673" t="str">
        <f>IF('C-1 On-Site WaterC'' Baseline'!AU171="","",IF('C-1 On-Site WaterC'' Baseline'!AU171="Yes",TRUE,FALSE))</f>
        <v/>
      </c>
      <c r="BI171" s="673">
        <v>162</v>
      </c>
      <c r="BJ171" s="673" t="str">
        <f>IF('F-1 Off-Site WaterC'' Baseline'!AU171="","",IF('F-1 Off-Site WaterC'' Baseline'!AU171="Yes",TRUE,FALSE))</f>
        <v/>
      </c>
    </row>
    <row r="172" spans="29:62" ht="15.5" hidden="1">
      <c r="AC172" s="672" t="str">
        <f>IF('A-1 On-Site Habitat Baseline'!G173="","",IF('A-1 On-Site Habitat Baseline'!G173="Yes",TRUE,FALSE))</f>
        <v/>
      </c>
      <c r="AD172" s="673">
        <v>163</v>
      </c>
      <c r="AE172" s="672" t="str">
        <f>IF('D-1 Off-Site Habitat Baseline'!G173="","",IF('D-1 Off-Site Habitat Baseline'!G173="Yes",TRUE,FALSE))</f>
        <v/>
      </c>
      <c r="AJ172" s="1"/>
      <c r="BH172" s="673" t="str">
        <f>IF('C-1 On-Site WaterC'' Baseline'!AU172="","",IF('C-1 On-Site WaterC'' Baseline'!AU172="Yes",TRUE,FALSE))</f>
        <v/>
      </c>
      <c r="BI172" s="673">
        <v>163</v>
      </c>
      <c r="BJ172" s="673" t="str">
        <f>IF('F-1 Off-Site WaterC'' Baseline'!AU172="","",IF('F-1 Off-Site WaterC'' Baseline'!AU172="Yes",TRUE,FALSE))</f>
        <v/>
      </c>
    </row>
    <row r="173" spans="29:62" ht="15.5" hidden="1">
      <c r="AC173" s="672" t="str">
        <f>IF('A-1 On-Site Habitat Baseline'!G174="","",IF('A-1 On-Site Habitat Baseline'!G174="Yes",TRUE,FALSE))</f>
        <v/>
      </c>
      <c r="AD173" s="673">
        <v>164</v>
      </c>
      <c r="AE173" s="672" t="str">
        <f>IF('D-1 Off-Site Habitat Baseline'!G174="","",IF('D-1 Off-Site Habitat Baseline'!G174="Yes",TRUE,FALSE))</f>
        <v/>
      </c>
      <c r="AJ173" s="1"/>
      <c r="BH173" s="673" t="str">
        <f>IF('C-1 On-Site WaterC'' Baseline'!AU173="","",IF('C-1 On-Site WaterC'' Baseline'!AU173="Yes",TRUE,FALSE))</f>
        <v/>
      </c>
      <c r="BI173" s="673">
        <v>164</v>
      </c>
      <c r="BJ173" s="673" t="str">
        <f>IF('F-1 Off-Site WaterC'' Baseline'!AU173="","",IF('F-1 Off-Site WaterC'' Baseline'!AU173="Yes",TRUE,FALSE))</f>
        <v/>
      </c>
    </row>
    <row r="174" spans="29:62" ht="15.5" hidden="1">
      <c r="AC174" s="672" t="str">
        <f>IF('A-1 On-Site Habitat Baseline'!G175="","",IF('A-1 On-Site Habitat Baseline'!G175="Yes",TRUE,FALSE))</f>
        <v/>
      </c>
      <c r="AD174" s="673">
        <v>165</v>
      </c>
      <c r="AE174" s="672" t="str">
        <f>IF('D-1 Off-Site Habitat Baseline'!G175="","",IF('D-1 Off-Site Habitat Baseline'!G175="Yes",TRUE,FALSE))</f>
        <v/>
      </c>
      <c r="AJ174" s="1"/>
      <c r="BH174" s="673" t="str">
        <f>IF('C-1 On-Site WaterC'' Baseline'!AU174="","",IF('C-1 On-Site WaterC'' Baseline'!AU174="Yes",TRUE,FALSE))</f>
        <v/>
      </c>
      <c r="BI174" s="673">
        <v>165</v>
      </c>
      <c r="BJ174" s="673" t="str">
        <f>IF('F-1 Off-Site WaterC'' Baseline'!AU174="","",IF('F-1 Off-Site WaterC'' Baseline'!AU174="Yes",TRUE,FALSE))</f>
        <v/>
      </c>
    </row>
    <row r="175" spans="29:62" ht="15.5" hidden="1">
      <c r="AC175" s="672" t="str">
        <f>IF('A-1 On-Site Habitat Baseline'!G176="","",IF('A-1 On-Site Habitat Baseline'!G176="Yes",TRUE,FALSE))</f>
        <v/>
      </c>
      <c r="AD175" s="673">
        <v>166</v>
      </c>
      <c r="AE175" s="672" t="str">
        <f>IF('D-1 Off-Site Habitat Baseline'!G176="","",IF('D-1 Off-Site Habitat Baseline'!G176="Yes",TRUE,FALSE))</f>
        <v/>
      </c>
      <c r="AJ175" s="1"/>
      <c r="BH175" s="673" t="str">
        <f>IF('C-1 On-Site WaterC'' Baseline'!AU175="","",IF('C-1 On-Site WaterC'' Baseline'!AU175="Yes",TRUE,FALSE))</f>
        <v/>
      </c>
      <c r="BI175" s="673">
        <v>166</v>
      </c>
      <c r="BJ175" s="673" t="str">
        <f>IF('F-1 Off-Site WaterC'' Baseline'!AU175="","",IF('F-1 Off-Site WaterC'' Baseline'!AU175="Yes",TRUE,FALSE))</f>
        <v/>
      </c>
    </row>
    <row r="176" spans="29:62" ht="15.5" hidden="1">
      <c r="AC176" s="672" t="str">
        <f>IF('A-1 On-Site Habitat Baseline'!G177="","",IF('A-1 On-Site Habitat Baseline'!G177="Yes",TRUE,FALSE))</f>
        <v/>
      </c>
      <c r="AD176" s="673">
        <v>167</v>
      </c>
      <c r="AE176" s="672" t="str">
        <f>IF('D-1 Off-Site Habitat Baseline'!G177="","",IF('D-1 Off-Site Habitat Baseline'!G177="Yes",TRUE,FALSE))</f>
        <v/>
      </c>
      <c r="AJ176" s="1"/>
      <c r="BH176" s="673" t="str">
        <f>IF('C-1 On-Site WaterC'' Baseline'!AU176="","",IF('C-1 On-Site WaterC'' Baseline'!AU176="Yes",TRUE,FALSE))</f>
        <v/>
      </c>
      <c r="BI176" s="673">
        <v>167</v>
      </c>
      <c r="BJ176" s="673" t="str">
        <f>IF('F-1 Off-Site WaterC'' Baseline'!AU176="","",IF('F-1 Off-Site WaterC'' Baseline'!AU176="Yes",TRUE,FALSE))</f>
        <v/>
      </c>
    </row>
    <row r="177" spans="29:62" ht="15.5" hidden="1">
      <c r="AC177" s="672" t="str">
        <f>IF('A-1 On-Site Habitat Baseline'!G178="","",IF('A-1 On-Site Habitat Baseline'!G178="Yes",TRUE,FALSE))</f>
        <v/>
      </c>
      <c r="AD177" s="673">
        <v>168</v>
      </c>
      <c r="AE177" s="672" t="str">
        <f>IF('D-1 Off-Site Habitat Baseline'!G178="","",IF('D-1 Off-Site Habitat Baseline'!G178="Yes",TRUE,FALSE))</f>
        <v/>
      </c>
      <c r="AJ177" s="1"/>
      <c r="BH177" s="673" t="str">
        <f>IF('C-1 On-Site WaterC'' Baseline'!AU177="","",IF('C-1 On-Site WaterC'' Baseline'!AU177="Yes",TRUE,FALSE))</f>
        <v/>
      </c>
      <c r="BI177" s="673">
        <v>168</v>
      </c>
      <c r="BJ177" s="673" t="str">
        <f>IF('F-1 Off-Site WaterC'' Baseline'!AU177="","",IF('F-1 Off-Site WaterC'' Baseline'!AU177="Yes",TRUE,FALSE))</f>
        <v/>
      </c>
    </row>
    <row r="178" spans="29:62" ht="15.5" hidden="1">
      <c r="AC178" s="672" t="str">
        <f>IF('A-1 On-Site Habitat Baseline'!G179="","",IF('A-1 On-Site Habitat Baseline'!G179="Yes",TRUE,FALSE))</f>
        <v/>
      </c>
      <c r="AD178" s="673">
        <v>169</v>
      </c>
      <c r="AE178" s="672" t="str">
        <f>IF('D-1 Off-Site Habitat Baseline'!G179="","",IF('D-1 Off-Site Habitat Baseline'!G179="Yes",TRUE,FALSE))</f>
        <v/>
      </c>
      <c r="AJ178" s="1"/>
      <c r="BH178" s="673" t="str">
        <f>IF('C-1 On-Site WaterC'' Baseline'!AU178="","",IF('C-1 On-Site WaterC'' Baseline'!AU178="Yes",TRUE,FALSE))</f>
        <v/>
      </c>
      <c r="BI178" s="673">
        <v>169</v>
      </c>
      <c r="BJ178" s="673" t="str">
        <f>IF('F-1 Off-Site WaterC'' Baseline'!AU178="","",IF('F-1 Off-Site WaterC'' Baseline'!AU178="Yes",TRUE,FALSE))</f>
        <v/>
      </c>
    </row>
    <row r="179" spans="29:62" ht="15.5" hidden="1">
      <c r="AC179" s="672" t="str">
        <f>IF('A-1 On-Site Habitat Baseline'!G180="","",IF('A-1 On-Site Habitat Baseline'!G180="Yes",TRUE,FALSE))</f>
        <v/>
      </c>
      <c r="AD179" s="673">
        <v>170</v>
      </c>
      <c r="AE179" s="672" t="str">
        <f>IF('D-1 Off-Site Habitat Baseline'!G180="","",IF('D-1 Off-Site Habitat Baseline'!G180="Yes",TRUE,FALSE))</f>
        <v/>
      </c>
      <c r="AJ179" s="1"/>
      <c r="BH179" s="673" t="str">
        <f>IF('C-1 On-Site WaterC'' Baseline'!AU179="","",IF('C-1 On-Site WaterC'' Baseline'!AU179="Yes",TRUE,FALSE))</f>
        <v/>
      </c>
      <c r="BI179" s="673">
        <v>170</v>
      </c>
      <c r="BJ179" s="673" t="str">
        <f>IF('F-1 Off-Site WaterC'' Baseline'!AU179="","",IF('F-1 Off-Site WaterC'' Baseline'!AU179="Yes",TRUE,FALSE))</f>
        <v/>
      </c>
    </row>
    <row r="180" spans="29:62" ht="15.5" hidden="1">
      <c r="AC180" s="672" t="str">
        <f>IF('A-1 On-Site Habitat Baseline'!G181="","",IF('A-1 On-Site Habitat Baseline'!G181="Yes",TRUE,FALSE))</f>
        <v/>
      </c>
      <c r="AD180" s="673">
        <v>171</v>
      </c>
      <c r="AE180" s="672" t="str">
        <f>IF('D-1 Off-Site Habitat Baseline'!G181="","",IF('D-1 Off-Site Habitat Baseline'!G181="Yes",TRUE,FALSE))</f>
        <v/>
      </c>
      <c r="AJ180" s="1"/>
      <c r="BH180" s="673" t="str">
        <f>IF('C-1 On-Site WaterC'' Baseline'!AU180="","",IF('C-1 On-Site WaterC'' Baseline'!AU180="Yes",TRUE,FALSE))</f>
        <v/>
      </c>
      <c r="BI180" s="673">
        <v>171</v>
      </c>
      <c r="BJ180" s="673" t="str">
        <f>IF('F-1 Off-Site WaterC'' Baseline'!AU180="","",IF('F-1 Off-Site WaterC'' Baseline'!AU180="Yes",TRUE,FALSE))</f>
        <v/>
      </c>
    </row>
    <row r="181" spans="29:62" ht="15.5" hidden="1">
      <c r="AC181" s="672" t="str">
        <f>IF('A-1 On-Site Habitat Baseline'!G182="","",IF('A-1 On-Site Habitat Baseline'!G182="Yes",TRUE,FALSE))</f>
        <v/>
      </c>
      <c r="AD181" s="673">
        <v>172</v>
      </c>
      <c r="AE181" s="672" t="str">
        <f>IF('D-1 Off-Site Habitat Baseline'!G182="","",IF('D-1 Off-Site Habitat Baseline'!G182="Yes",TRUE,FALSE))</f>
        <v/>
      </c>
      <c r="AJ181" s="1"/>
      <c r="BH181" s="673" t="str">
        <f>IF('C-1 On-Site WaterC'' Baseline'!AU181="","",IF('C-1 On-Site WaterC'' Baseline'!AU181="Yes",TRUE,FALSE))</f>
        <v/>
      </c>
      <c r="BI181" s="673">
        <v>172</v>
      </c>
      <c r="BJ181" s="673" t="str">
        <f>IF('F-1 Off-Site WaterC'' Baseline'!AU181="","",IF('F-1 Off-Site WaterC'' Baseline'!AU181="Yes",TRUE,FALSE))</f>
        <v/>
      </c>
    </row>
    <row r="182" spans="29:62" ht="15.5" hidden="1">
      <c r="AC182" s="672" t="str">
        <f>IF('A-1 On-Site Habitat Baseline'!G183="","",IF('A-1 On-Site Habitat Baseline'!G183="Yes",TRUE,FALSE))</f>
        <v/>
      </c>
      <c r="AD182" s="673">
        <v>173</v>
      </c>
      <c r="AE182" s="672" t="str">
        <f>IF('D-1 Off-Site Habitat Baseline'!G183="","",IF('D-1 Off-Site Habitat Baseline'!G183="Yes",TRUE,FALSE))</f>
        <v/>
      </c>
      <c r="AJ182" s="1"/>
      <c r="BH182" s="673" t="str">
        <f>IF('C-1 On-Site WaterC'' Baseline'!AU182="","",IF('C-1 On-Site WaterC'' Baseline'!AU182="Yes",TRUE,FALSE))</f>
        <v/>
      </c>
      <c r="BI182" s="673">
        <v>173</v>
      </c>
      <c r="BJ182" s="673" t="str">
        <f>IF('F-1 Off-Site WaterC'' Baseline'!AU182="","",IF('F-1 Off-Site WaterC'' Baseline'!AU182="Yes",TRUE,FALSE))</f>
        <v/>
      </c>
    </row>
    <row r="183" spans="29:62" ht="15.5" hidden="1">
      <c r="AC183" s="672" t="str">
        <f>IF('A-1 On-Site Habitat Baseline'!G184="","",IF('A-1 On-Site Habitat Baseline'!G184="Yes",TRUE,FALSE))</f>
        <v/>
      </c>
      <c r="AD183" s="673">
        <v>174</v>
      </c>
      <c r="AE183" s="672" t="str">
        <f>IF('D-1 Off-Site Habitat Baseline'!G184="","",IF('D-1 Off-Site Habitat Baseline'!G184="Yes",TRUE,FALSE))</f>
        <v/>
      </c>
      <c r="AJ183" s="1"/>
      <c r="BH183" s="673" t="str">
        <f>IF('C-1 On-Site WaterC'' Baseline'!AU183="","",IF('C-1 On-Site WaterC'' Baseline'!AU183="Yes",TRUE,FALSE))</f>
        <v/>
      </c>
      <c r="BI183" s="673">
        <v>174</v>
      </c>
      <c r="BJ183" s="673" t="str">
        <f>IF('F-1 Off-Site WaterC'' Baseline'!AU183="","",IF('F-1 Off-Site WaterC'' Baseline'!AU183="Yes",TRUE,FALSE))</f>
        <v/>
      </c>
    </row>
    <row r="184" spans="29:62" ht="15.5" hidden="1">
      <c r="AC184" s="672" t="str">
        <f>IF('A-1 On-Site Habitat Baseline'!G185="","",IF('A-1 On-Site Habitat Baseline'!G185="Yes",TRUE,FALSE))</f>
        <v/>
      </c>
      <c r="AD184" s="673">
        <v>175</v>
      </c>
      <c r="AE184" s="672" t="str">
        <f>IF('D-1 Off-Site Habitat Baseline'!G185="","",IF('D-1 Off-Site Habitat Baseline'!G185="Yes",TRUE,FALSE))</f>
        <v/>
      </c>
      <c r="AJ184" s="1"/>
      <c r="BH184" s="673" t="str">
        <f>IF('C-1 On-Site WaterC'' Baseline'!AU184="","",IF('C-1 On-Site WaterC'' Baseline'!AU184="Yes",TRUE,FALSE))</f>
        <v/>
      </c>
      <c r="BI184" s="673">
        <v>175</v>
      </c>
      <c r="BJ184" s="673" t="str">
        <f>IF('F-1 Off-Site WaterC'' Baseline'!AU184="","",IF('F-1 Off-Site WaterC'' Baseline'!AU184="Yes",TRUE,FALSE))</f>
        <v/>
      </c>
    </row>
    <row r="185" spans="29:62" ht="15.5" hidden="1">
      <c r="AC185" s="672" t="str">
        <f>IF('A-1 On-Site Habitat Baseline'!G186="","",IF('A-1 On-Site Habitat Baseline'!G186="Yes",TRUE,FALSE))</f>
        <v/>
      </c>
      <c r="AD185" s="673">
        <v>176</v>
      </c>
      <c r="AE185" s="672" t="str">
        <f>IF('D-1 Off-Site Habitat Baseline'!G186="","",IF('D-1 Off-Site Habitat Baseline'!G186="Yes",TRUE,FALSE))</f>
        <v/>
      </c>
      <c r="AJ185" s="1"/>
      <c r="BH185" s="673" t="str">
        <f>IF('C-1 On-Site WaterC'' Baseline'!AU185="","",IF('C-1 On-Site WaterC'' Baseline'!AU185="Yes",TRUE,FALSE))</f>
        <v/>
      </c>
      <c r="BI185" s="673">
        <v>176</v>
      </c>
      <c r="BJ185" s="673" t="str">
        <f>IF('F-1 Off-Site WaterC'' Baseline'!AU185="","",IF('F-1 Off-Site WaterC'' Baseline'!AU185="Yes",TRUE,FALSE))</f>
        <v/>
      </c>
    </row>
    <row r="186" spans="29:62" ht="15.5" hidden="1">
      <c r="AC186" s="672" t="str">
        <f>IF('A-1 On-Site Habitat Baseline'!G187="","",IF('A-1 On-Site Habitat Baseline'!G187="Yes",TRUE,FALSE))</f>
        <v/>
      </c>
      <c r="AD186" s="673">
        <v>177</v>
      </c>
      <c r="AE186" s="672" t="str">
        <f>IF('D-1 Off-Site Habitat Baseline'!G187="","",IF('D-1 Off-Site Habitat Baseline'!G187="Yes",TRUE,FALSE))</f>
        <v/>
      </c>
      <c r="AJ186" s="1"/>
      <c r="BH186" s="673" t="str">
        <f>IF('C-1 On-Site WaterC'' Baseline'!AU186="","",IF('C-1 On-Site WaterC'' Baseline'!AU186="Yes",TRUE,FALSE))</f>
        <v/>
      </c>
      <c r="BI186" s="673">
        <v>177</v>
      </c>
      <c r="BJ186" s="673" t="str">
        <f>IF('F-1 Off-Site WaterC'' Baseline'!AU186="","",IF('F-1 Off-Site WaterC'' Baseline'!AU186="Yes",TRUE,FALSE))</f>
        <v/>
      </c>
    </row>
    <row r="187" spans="29:62" ht="15.5" hidden="1">
      <c r="AC187" s="672" t="str">
        <f>IF('A-1 On-Site Habitat Baseline'!G188="","",IF('A-1 On-Site Habitat Baseline'!G188="Yes",TRUE,FALSE))</f>
        <v/>
      </c>
      <c r="AD187" s="673">
        <v>178</v>
      </c>
      <c r="AE187" s="672" t="str">
        <f>IF('D-1 Off-Site Habitat Baseline'!G188="","",IF('D-1 Off-Site Habitat Baseline'!G188="Yes",TRUE,FALSE))</f>
        <v/>
      </c>
      <c r="AJ187" s="1"/>
      <c r="BH187" s="673" t="str">
        <f>IF('C-1 On-Site WaterC'' Baseline'!AU187="","",IF('C-1 On-Site WaterC'' Baseline'!AU187="Yes",TRUE,FALSE))</f>
        <v/>
      </c>
      <c r="BI187" s="673">
        <v>178</v>
      </c>
      <c r="BJ187" s="673" t="str">
        <f>IF('F-1 Off-Site WaterC'' Baseline'!AU187="","",IF('F-1 Off-Site WaterC'' Baseline'!AU187="Yes",TRUE,FALSE))</f>
        <v/>
      </c>
    </row>
    <row r="188" spans="29:62" ht="15.5" hidden="1">
      <c r="AC188" s="672" t="str">
        <f>IF('A-1 On-Site Habitat Baseline'!G189="","",IF('A-1 On-Site Habitat Baseline'!G189="Yes",TRUE,FALSE))</f>
        <v/>
      </c>
      <c r="AD188" s="673">
        <v>179</v>
      </c>
      <c r="AE188" s="672" t="str">
        <f>IF('D-1 Off-Site Habitat Baseline'!G189="","",IF('D-1 Off-Site Habitat Baseline'!G189="Yes",TRUE,FALSE))</f>
        <v/>
      </c>
      <c r="AJ188" s="1"/>
      <c r="BH188" s="673" t="str">
        <f>IF('C-1 On-Site WaterC'' Baseline'!AU188="","",IF('C-1 On-Site WaterC'' Baseline'!AU188="Yes",TRUE,FALSE))</f>
        <v/>
      </c>
      <c r="BI188" s="673">
        <v>179</v>
      </c>
      <c r="BJ188" s="673" t="str">
        <f>IF('F-1 Off-Site WaterC'' Baseline'!AU188="","",IF('F-1 Off-Site WaterC'' Baseline'!AU188="Yes",TRUE,FALSE))</f>
        <v/>
      </c>
    </row>
    <row r="189" spans="29:62" ht="15.5" hidden="1">
      <c r="AC189" s="672" t="str">
        <f>IF('A-1 On-Site Habitat Baseline'!G190="","",IF('A-1 On-Site Habitat Baseline'!G190="Yes",TRUE,FALSE))</f>
        <v/>
      </c>
      <c r="AD189" s="673">
        <v>180</v>
      </c>
      <c r="AE189" s="672" t="str">
        <f>IF('D-1 Off-Site Habitat Baseline'!G190="","",IF('D-1 Off-Site Habitat Baseline'!G190="Yes",TRUE,FALSE))</f>
        <v/>
      </c>
      <c r="AJ189" s="1"/>
      <c r="BH189" s="673" t="str">
        <f>IF('C-1 On-Site WaterC'' Baseline'!AU189="","",IF('C-1 On-Site WaterC'' Baseline'!AU189="Yes",TRUE,FALSE))</f>
        <v/>
      </c>
      <c r="BI189" s="673">
        <v>180</v>
      </c>
      <c r="BJ189" s="673" t="str">
        <f>IF('F-1 Off-Site WaterC'' Baseline'!AU189="","",IF('F-1 Off-Site WaterC'' Baseline'!AU189="Yes",TRUE,FALSE))</f>
        <v/>
      </c>
    </row>
    <row r="190" spans="29:62" ht="15.5" hidden="1">
      <c r="AC190" s="672" t="str">
        <f>IF('A-1 On-Site Habitat Baseline'!G191="","",IF('A-1 On-Site Habitat Baseline'!G191="Yes",TRUE,FALSE))</f>
        <v/>
      </c>
      <c r="AD190" s="673">
        <v>181</v>
      </c>
      <c r="AE190" s="672" t="str">
        <f>IF('D-1 Off-Site Habitat Baseline'!G191="","",IF('D-1 Off-Site Habitat Baseline'!G191="Yes",TRUE,FALSE))</f>
        <v/>
      </c>
      <c r="AJ190" s="1"/>
      <c r="BH190" s="673" t="str">
        <f>IF('C-1 On-Site WaterC'' Baseline'!AU190="","",IF('C-1 On-Site WaterC'' Baseline'!AU190="Yes",TRUE,FALSE))</f>
        <v/>
      </c>
      <c r="BI190" s="673">
        <v>181</v>
      </c>
      <c r="BJ190" s="673" t="str">
        <f>IF('F-1 Off-Site WaterC'' Baseline'!AU190="","",IF('F-1 Off-Site WaterC'' Baseline'!AU190="Yes",TRUE,FALSE))</f>
        <v/>
      </c>
    </row>
    <row r="191" spans="29:62" ht="15.5" hidden="1">
      <c r="AC191" s="672" t="str">
        <f>IF('A-1 On-Site Habitat Baseline'!G192="","",IF('A-1 On-Site Habitat Baseline'!G192="Yes",TRUE,FALSE))</f>
        <v/>
      </c>
      <c r="AD191" s="673">
        <v>182</v>
      </c>
      <c r="AE191" s="672" t="str">
        <f>IF('D-1 Off-Site Habitat Baseline'!G192="","",IF('D-1 Off-Site Habitat Baseline'!G192="Yes",TRUE,FALSE))</f>
        <v/>
      </c>
      <c r="AJ191" s="1"/>
      <c r="BH191" s="673" t="str">
        <f>IF('C-1 On-Site WaterC'' Baseline'!AU191="","",IF('C-1 On-Site WaterC'' Baseline'!AU191="Yes",TRUE,FALSE))</f>
        <v/>
      </c>
      <c r="BI191" s="673">
        <v>182</v>
      </c>
      <c r="BJ191" s="673" t="str">
        <f>IF('F-1 Off-Site WaterC'' Baseline'!AU191="","",IF('F-1 Off-Site WaterC'' Baseline'!AU191="Yes",TRUE,FALSE))</f>
        <v/>
      </c>
    </row>
    <row r="192" spans="29:62" ht="15.5" hidden="1">
      <c r="AC192" s="672" t="str">
        <f>IF('A-1 On-Site Habitat Baseline'!G193="","",IF('A-1 On-Site Habitat Baseline'!G193="Yes",TRUE,FALSE))</f>
        <v/>
      </c>
      <c r="AD192" s="673">
        <v>183</v>
      </c>
      <c r="AE192" s="672" t="str">
        <f>IF('D-1 Off-Site Habitat Baseline'!G193="","",IF('D-1 Off-Site Habitat Baseline'!G193="Yes",TRUE,FALSE))</f>
        <v/>
      </c>
      <c r="AJ192" s="1"/>
      <c r="BH192" s="673" t="str">
        <f>IF('C-1 On-Site WaterC'' Baseline'!AU192="","",IF('C-1 On-Site WaterC'' Baseline'!AU192="Yes",TRUE,FALSE))</f>
        <v/>
      </c>
      <c r="BI192" s="673">
        <v>183</v>
      </c>
      <c r="BJ192" s="673" t="str">
        <f>IF('F-1 Off-Site WaterC'' Baseline'!AU192="","",IF('F-1 Off-Site WaterC'' Baseline'!AU192="Yes",TRUE,FALSE))</f>
        <v/>
      </c>
    </row>
    <row r="193" spans="29:62" ht="15.5" hidden="1">
      <c r="AC193" s="672" t="str">
        <f>IF('A-1 On-Site Habitat Baseline'!G194="","",IF('A-1 On-Site Habitat Baseline'!G194="Yes",TRUE,FALSE))</f>
        <v/>
      </c>
      <c r="AD193" s="673">
        <v>184</v>
      </c>
      <c r="AE193" s="672" t="str">
        <f>IF('D-1 Off-Site Habitat Baseline'!G194="","",IF('D-1 Off-Site Habitat Baseline'!G194="Yes",TRUE,FALSE))</f>
        <v/>
      </c>
      <c r="AJ193" s="1"/>
      <c r="BH193" s="673" t="str">
        <f>IF('C-1 On-Site WaterC'' Baseline'!AU193="","",IF('C-1 On-Site WaterC'' Baseline'!AU193="Yes",TRUE,FALSE))</f>
        <v/>
      </c>
      <c r="BI193" s="673">
        <v>184</v>
      </c>
      <c r="BJ193" s="673" t="str">
        <f>IF('F-1 Off-Site WaterC'' Baseline'!AU193="","",IF('F-1 Off-Site WaterC'' Baseline'!AU193="Yes",TRUE,FALSE))</f>
        <v/>
      </c>
    </row>
    <row r="194" spans="29:62" ht="15.5" hidden="1">
      <c r="AC194" s="672" t="str">
        <f>IF('A-1 On-Site Habitat Baseline'!G195="","",IF('A-1 On-Site Habitat Baseline'!G195="Yes",TRUE,FALSE))</f>
        <v/>
      </c>
      <c r="AD194" s="673">
        <v>185</v>
      </c>
      <c r="AE194" s="672" t="str">
        <f>IF('D-1 Off-Site Habitat Baseline'!G195="","",IF('D-1 Off-Site Habitat Baseline'!G195="Yes",TRUE,FALSE))</f>
        <v/>
      </c>
      <c r="AJ194" s="1"/>
      <c r="BH194" s="673" t="str">
        <f>IF('C-1 On-Site WaterC'' Baseline'!AU194="","",IF('C-1 On-Site WaterC'' Baseline'!AU194="Yes",TRUE,FALSE))</f>
        <v/>
      </c>
      <c r="BI194" s="673">
        <v>185</v>
      </c>
      <c r="BJ194" s="673" t="str">
        <f>IF('F-1 Off-Site WaterC'' Baseline'!AU194="","",IF('F-1 Off-Site WaterC'' Baseline'!AU194="Yes",TRUE,FALSE))</f>
        <v/>
      </c>
    </row>
    <row r="195" spans="29:62" ht="15.5" hidden="1">
      <c r="AC195" s="672" t="str">
        <f>IF('A-1 On-Site Habitat Baseline'!G196="","",IF('A-1 On-Site Habitat Baseline'!G196="Yes",TRUE,FALSE))</f>
        <v/>
      </c>
      <c r="AD195" s="673">
        <v>186</v>
      </c>
      <c r="AE195" s="672" t="str">
        <f>IF('D-1 Off-Site Habitat Baseline'!G196="","",IF('D-1 Off-Site Habitat Baseline'!G196="Yes",TRUE,FALSE))</f>
        <v/>
      </c>
      <c r="AJ195" s="1"/>
      <c r="BH195" s="673" t="str">
        <f>IF('C-1 On-Site WaterC'' Baseline'!AU195="","",IF('C-1 On-Site WaterC'' Baseline'!AU195="Yes",TRUE,FALSE))</f>
        <v/>
      </c>
      <c r="BI195" s="673">
        <v>186</v>
      </c>
      <c r="BJ195" s="673" t="str">
        <f>IF('F-1 Off-Site WaterC'' Baseline'!AU195="","",IF('F-1 Off-Site WaterC'' Baseline'!AU195="Yes",TRUE,FALSE))</f>
        <v/>
      </c>
    </row>
    <row r="196" spans="29:62" ht="15.5" hidden="1">
      <c r="AC196" s="672" t="str">
        <f>IF('A-1 On-Site Habitat Baseline'!G197="","",IF('A-1 On-Site Habitat Baseline'!G197="Yes",TRUE,FALSE))</f>
        <v/>
      </c>
      <c r="AD196" s="673">
        <v>187</v>
      </c>
      <c r="AE196" s="672" t="str">
        <f>IF('D-1 Off-Site Habitat Baseline'!G197="","",IF('D-1 Off-Site Habitat Baseline'!G197="Yes",TRUE,FALSE))</f>
        <v/>
      </c>
      <c r="AJ196" s="1"/>
      <c r="BH196" s="673" t="str">
        <f>IF('C-1 On-Site WaterC'' Baseline'!AU196="","",IF('C-1 On-Site WaterC'' Baseline'!AU196="Yes",TRUE,FALSE))</f>
        <v/>
      </c>
      <c r="BI196" s="673">
        <v>187</v>
      </c>
      <c r="BJ196" s="673" t="str">
        <f>IF('F-1 Off-Site WaterC'' Baseline'!AU196="","",IF('F-1 Off-Site WaterC'' Baseline'!AU196="Yes",TRUE,FALSE))</f>
        <v/>
      </c>
    </row>
    <row r="197" spans="29:62" ht="15.5" hidden="1">
      <c r="AC197" s="672" t="str">
        <f>IF('A-1 On-Site Habitat Baseline'!G198="","",IF('A-1 On-Site Habitat Baseline'!G198="Yes",TRUE,FALSE))</f>
        <v/>
      </c>
      <c r="AD197" s="673">
        <v>188</v>
      </c>
      <c r="AE197" s="672" t="str">
        <f>IF('D-1 Off-Site Habitat Baseline'!G198="","",IF('D-1 Off-Site Habitat Baseline'!G198="Yes",TRUE,FALSE))</f>
        <v/>
      </c>
      <c r="AJ197" s="1"/>
      <c r="BH197" s="673" t="str">
        <f>IF('C-1 On-Site WaterC'' Baseline'!AU197="","",IF('C-1 On-Site WaterC'' Baseline'!AU197="Yes",TRUE,FALSE))</f>
        <v/>
      </c>
      <c r="BI197" s="673">
        <v>188</v>
      </c>
      <c r="BJ197" s="673" t="str">
        <f>IF('F-1 Off-Site WaterC'' Baseline'!AU197="","",IF('F-1 Off-Site WaterC'' Baseline'!AU197="Yes",TRUE,FALSE))</f>
        <v/>
      </c>
    </row>
    <row r="198" spans="29:62" ht="15.5" hidden="1">
      <c r="AC198" s="672" t="str">
        <f>IF('A-1 On-Site Habitat Baseline'!G199="","",IF('A-1 On-Site Habitat Baseline'!G199="Yes",TRUE,FALSE))</f>
        <v/>
      </c>
      <c r="AD198" s="673">
        <v>189</v>
      </c>
      <c r="AE198" s="672" t="str">
        <f>IF('D-1 Off-Site Habitat Baseline'!G199="","",IF('D-1 Off-Site Habitat Baseline'!G199="Yes",TRUE,FALSE))</f>
        <v/>
      </c>
      <c r="AJ198" s="1"/>
      <c r="BH198" s="673" t="str">
        <f>IF('C-1 On-Site WaterC'' Baseline'!AU198="","",IF('C-1 On-Site WaterC'' Baseline'!AU198="Yes",TRUE,FALSE))</f>
        <v/>
      </c>
      <c r="BI198" s="673">
        <v>189</v>
      </c>
      <c r="BJ198" s="673" t="str">
        <f>IF('F-1 Off-Site WaterC'' Baseline'!AU198="","",IF('F-1 Off-Site WaterC'' Baseline'!AU198="Yes",TRUE,FALSE))</f>
        <v/>
      </c>
    </row>
    <row r="199" spans="29:62" ht="15.5" hidden="1">
      <c r="AC199" s="672" t="str">
        <f>IF('A-1 On-Site Habitat Baseline'!G200="","",IF('A-1 On-Site Habitat Baseline'!G200="Yes",TRUE,FALSE))</f>
        <v/>
      </c>
      <c r="AD199" s="673">
        <v>190</v>
      </c>
      <c r="AE199" s="672" t="str">
        <f>IF('D-1 Off-Site Habitat Baseline'!G200="","",IF('D-1 Off-Site Habitat Baseline'!G200="Yes",TRUE,FALSE))</f>
        <v/>
      </c>
      <c r="AJ199" s="1"/>
      <c r="BH199" s="673" t="str">
        <f>IF('C-1 On-Site WaterC'' Baseline'!AU199="","",IF('C-1 On-Site WaterC'' Baseline'!AU199="Yes",TRUE,FALSE))</f>
        <v/>
      </c>
      <c r="BI199" s="673">
        <v>190</v>
      </c>
      <c r="BJ199" s="673" t="str">
        <f>IF('F-1 Off-Site WaterC'' Baseline'!AU199="","",IF('F-1 Off-Site WaterC'' Baseline'!AU199="Yes",TRUE,FALSE))</f>
        <v/>
      </c>
    </row>
    <row r="200" spans="29:62" ht="15.5" hidden="1">
      <c r="AC200" s="672" t="str">
        <f>IF('A-1 On-Site Habitat Baseline'!G201="","",IF('A-1 On-Site Habitat Baseline'!G201="Yes",TRUE,FALSE))</f>
        <v/>
      </c>
      <c r="AD200" s="673">
        <v>191</v>
      </c>
      <c r="AE200" s="672" t="str">
        <f>IF('D-1 Off-Site Habitat Baseline'!G201="","",IF('D-1 Off-Site Habitat Baseline'!G201="Yes",TRUE,FALSE))</f>
        <v/>
      </c>
      <c r="AJ200" s="1"/>
      <c r="BH200" s="673" t="str">
        <f>IF('C-1 On-Site WaterC'' Baseline'!AU200="","",IF('C-1 On-Site WaterC'' Baseline'!AU200="Yes",TRUE,FALSE))</f>
        <v/>
      </c>
      <c r="BI200" s="673">
        <v>191</v>
      </c>
      <c r="BJ200" s="673" t="str">
        <f>IF('F-1 Off-Site WaterC'' Baseline'!AU200="","",IF('F-1 Off-Site WaterC'' Baseline'!AU200="Yes",TRUE,FALSE))</f>
        <v/>
      </c>
    </row>
    <row r="201" spans="29:62" ht="15.5" hidden="1">
      <c r="AC201" s="672" t="str">
        <f>IF('A-1 On-Site Habitat Baseline'!G202="","",IF('A-1 On-Site Habitat Baseline'!G202="Yes",TRUE,FALSE))</f>
        <v/>
      </c>
      <c r="AD201" s="673">
        <v>192</v>
      </c>
      <c r="AE201" s="672" t="str">
        <f>IF('D-1 Off-Site Habitat Baseline'!G202="","",IF('D-1 Off-Site Habitat Baseline'!G202="Yes",TRUE,FALSE))</f>
        <v/>
      </c>
      <c r="AJ201" s="1"/>
      <c r="BH201" s="673" t="str">
        <f>IF('C-1 On-Site WaterC'' Baseline'!AU201="","",IF('C-1 On-Site WaterC'' Baseline'!AU201="Yes",TRUE,FALSE))</f>
        <v/>
      </c>
      <c r="BI201" s="673">
        <v>192</v>
      </c>
      <c r="BJ201" s="673" t="str">
        <f>IF('F-1 Off-Site WaterC'' Baseline'!AU201="","",IF('F-1 Off-Site WaterC'' Baseline'!AU201="Yes",TRUE,FALSE))</f>
        <v/>
      </c>
    </row>
    <row r="202" spans="29:62" ht="15.5" hidden="1">
      <c r="AC202" s="672" t="str">
        <f>IF('A-1 On-Site Habitat Baseline'!G203="","",IF('A-1 On-Site Habitat Baseline'!G203="Yes",TRUE,FALSE))</f>
        <v/>
      </c>
      <c r="AD202" s="673">
        <v>193</v>
      </c>
      <c r="AE202" s="672" t="str">
        <f>IF('D-1 Off-Site Habitat Baseline'!G203="","",IF('D-1 Off-Site Habitat Baseline'!G203="Yes",TRUE,FALSE))</f>
        <v/>
      </c>
      <c r="AJ202" s="1"/>
      <c r="BH202" s="673" t="str">
        <f>IF('C-1 On-Site WaterC'' Baseline'!AU202="","",IF('C-1 On-Site WaterC'' Baseline'!AU202="Yes",TRUE,FALSE))</f>
        <v/>
      </c>
      <c r="BI202" s="673">
        <v>193</v>
      </c>
      <c r="BJ202" s="673" t="str">
        <f>IF('F-1 Off-Site WaterC'' Baseline'!AU202="","",IF('F-1 Off-Site WaterC'' Baseline'!AU202="Yes",TRUE,FALSE))</f>
        <v/>
      </c>
    </row>
    <row r="203" spans="29:62" ht="15.5" hidden="1">
      <c r="AC203" s="672" t="str">
        <f>IF('A-1 On-Site Habitat Baseline'!G204="","",IF('A-1 On-Site Habitat Baseline'!G204="Yes",TRUE,FALSE))</f>
        <v/>
      </c>
      <c r="AD203" s="673">
        <v>194</v>
      </c>
      <c r="AE203" s="672" t="str">
        <f>IF('D-1 Off-Site Habitat Baseline'!G204="","",IF('D-1 Off-Site Habitat Baseline'!G204="Yes",TRUE,FALSE))</f>
        <v/>
      </c>
      <c r="AJ203" s="1"/>
      <c r="BH203" s="673" t="str">
        <f>IF('C-1 On-Site WaterC'' Baseline'!AU203="","",IF('C-1 On-Site WaterC'' Baseline'!AU203="Yes",TRUE,FALSE))</f>
        <v/>
      </c>
      <c r="BI203" s="673">
        <v>194</v>
      </c>
      <c r="BJ203" s="673" t="str">
        <f>IF('F-1 Off-Site WaterC'' Baseline'!AU203="","",IF('F-1 Off-Site WaterC'' Baseline'!AU203="Yes",TRUE,FALSE))</f>
        <v/>
      </c>
    </row>
    <row r="204" spans="29:62" ht="15.5" hidden="1">
      <c r="AC204" s="672" t="str">
        <f>IF('A-1 On-Site Habitat Baseline'!G205="","",IF('A-1 On-Site Habitat Baseline'!G205="Yes",TRUE,FALSE))</f>
        <v/>
      </c>
      <c r="AD204" s="673">
        <v>195</v>
      </c>
      <c r="AE204" s="672" t="str">
        <f>IF('D-1 Off-Site Habitat Baseline'!G205="","",IF('D-1 Off-Site Habitat Baseline'!G205="Yes",TRUE,FALSE))</f>
        <v/>
      </c>
      <c r="AJ204" s="1"/>
      <c r="BH204" s="673" t="str">
        <f>IF('C-1 On-Site WaterC'' Baseline'!AU204="","",IF('C-1 On-Site WaterC'' Baseline'!AU204="Yes",TRUE,FALSE))</f>
        <v/>
      </c>
      <c r="BI204" s="673">
        <v>195</v>
      </c>
      <c r="BJ204" s="673" t="str">
        <f>IF('F-1 Off-Site WaterC'' Baseline'!AU204="","",IF('F-1 Off-Site WaterC'' Baseline'!AU204="Yes",TRUE,FALSE))</f>
        <v/>
      </c>
    </row>
    <row r="205" spans="29:62" ht="15.5" hidden="1">
      <c r="AC205" s="672" t="str">
        <f>IF('A-1 On-Site Habitat Baseline'!G206="","",IF('A-1 On-Site Habitat Baseline'!G206="Yes",TRUE,FALSE))</f>
        <v/>
      </c>
      <c r="AD205" s="673">
        <v>196</v>
      </c>
      <c r="AE205" s="672" t="str">
        <f>IF('D-1 Off-Site Habitat Baseline'!G206="","",IF('D-1 Off-Site Habitat Baseline'!G206="Yes",TRUE,FALSE))</f>
        <v/>
      </c>
      <c r="AJ205" s="1"/>
      <c r="BH205" s="673" t="str">
        <f>IF('C-1 On-Site WaterC'' Baseline'!AU205="","",IF('C-1 On-Site WaterC'' Baseline'!AU205="Yes",TRUE,FALSE))</f>
        <v/>
      </c>
      <c r="BI205" s="673">
        <v>196</v>
      </c>
      <c r="BJ205" s="673" t="str">
        <f>IF('F-1 Off-Site WaterC'' Baseline'!AU205="","",IF('F-1 Off-Site WaterC'' Baseline'!AU205="Yes",TRUE,FALSE))</f>
        <v/>
      </c>
    </row>
    <row r="206" spans="29:62" ht="15.5" hidden="1">
      <c r="AC206" s="672" t="str">
        <f>IF('A-1 On-Site Habitat Baseline'!G207="","",IF('A-1 On-Site Habitat Baseline'!G207="Yes",TRUE,FALSE))</f>
        <v/>
      </c>
      <c r="AD206" s="673">
        <v>197</v>
      </c>
      <c r="AE206" s="672" t="str">
        <f>IF('D-1 Off-Site Habitat Baseline'!G207="","",IF('D-1 Off-Site Habitat Baseline'!G207="Yes",TRUE,FALSE))</f>
        <v/>
      </c>
      <c r="AJ206" s="1"/>
      <c r="BH206" s="673" t="str">
        <f>IF('C-1 On-Site WaterC'' Baseline'!AU206="","",IF('C-1 On-Site WaterC'' Baseline'!AU206="Yes",TRUE,FALSE))</f>
        <v/>
      </c>
      <c r="BI206" s="673">
        <v>197</v>
      </c>
      <c r="BJ206" s="673" t="str">
        <f>IF('F-1 Off-Site WaterC'' Baseline'!AU206="","",IF('F-1 Off-Site WaterC'' Baseline'!AU206="Yes",TRUE,FALSE))</f>
        <v/>
      </c>
    </row>
    <row r="207" spans="29:62" ht="15.5" hidden="1">
      <c r="AC207" s="672" t="str">
        <f>IF('A-1 On-Site Habitat Baseline'!G208="","",IF('A-1 On-Site Habitat Baseline'!G208="Yes",TRUE,FALSE))</f>
        <v/>
      </c>
      <c r="AD207" s="673">
        <v>198</v>
      </c>
      <c r="AE207" s="672" t="str">
        <f>IF('D-1 Off-Site Habitat Baseline'!G208="","",IF('D-1 Off-Site Habitat Baseline'!G208="Yes",TRUE,FALSE))</f>
        <v/>
      </c>
      <c r="AJ207" s="1"/>
      <c r="BH207" s="673" t="str">
        <f>IF('C-1 On-Site WaterC'' Baseline'!AU207="","",IF('C-1 On-Site WaterC'' Baseline'!AU207="Yes",TRUE,FALSE))</f>
        <v/>
      </c>
      <c r="BI207" s="673">
        <v>198</v>
      </c>
      <c r="BJ207" s="673" t="str">
        <f>IF('F-1 Off-Site WaterC'' Baseline'!AU207="","",IF('F-1 Off-Site WaterC'' Baseline'!AU207="Yes",TRUE,FALSE))</f>
        <v/>
      </c>
    </row>
    <row r="208" spans="29:62" ht="15.5" hidden="1">
      <c r="AC208" s="672" t="str">
        <f>IF('A-1 On-Site Habitat Baseline'!G209="","",IF('A-1 On-Site Habitat Baseline'!G209="Yes",TRUE,FALSE))</f>
        <v/>
      </c>
      <c r="AD208" s="673">
        <v>199</v>
      </c>
      <c r="AE208" s="672" t="str">
        <f>IF('D-1 Off-Site Habitat Baseline'!G209="","",IF('D-1 Off-Site Habitat Baseline'!G209="Yes",TRUE,FALSE))</f>
        <v/>
      </c>
      <c r="AJ208" s="1"/>
      <c r="BH208" s="673" t="str">
        <f>IF('C-1 On-Site WaterC'' Baseline'!AU208="","",IF('C-1 On-Site WaterC'' Baseline'!AU208="Yes",TRUE,FALSE))</f>
        <v/>
      </c>
      <c r="BI208" s="673">
        <v>199</v>
      </c>
      <c r="BJ208" s="673" t="str">
        <f>IF('F-1 Off-Site WaterC'' Baseline'!AU208="","",IF('F-1 Off-Site WaterC'' Baseline'!AU208="Yes",TRUE,FALSE))</f>
        <v/>
      </c>
    </row>
    <row r="209" spans="29:62" ht="15.5" hidden="1">
      <c r="AC209" s="672" t="str">
        <f>IF('A-1 On-Site Habitat Baseline'!G210="","",IF('A-1 On-Site Habitat Baseline'!G210="Yes",TRUE,FALSE))</f>
        <v/>
      </c>
      <c r="AD209" s="673">
        <v>200</v>
      </c>
      <c r="AE209" s="672" t="str">
        <f>IF('D-1 Off-Site Habitat Baseline'!G210="","",IF('D-1 Off-Site Habitat Baseline'!G210="Yes",TRUE,FALSE))</f>
        <v/>
      </c>
      <c r="AJ209" s="1"/>
      <c r="BH209" s="673" t="str">
        <f>IF('C-1 On-Site WaterC'' Baseline'!AU209="","",IF('C-1 On-Site WaterC'' Baseline'!AU209="Yes",TRUE,FALSE))</f>
        <v/>
      </c>
      <c r="BI209" s="673">
        <v>200</v>
      </c>
      <c r="BJ209" s="673" t="str">
        <f>IF('F-1 Off-Site WaterC'' Baseline'!AU209="","",IF('F-1 Off-Site WaterC'' Baseline'!AU209="Yes",TRUE,FALSE))</f>
        <v/>
      </c>
    </row>
    <row r="210" spans="29:62" ht="15.5" hidden="1">
      <c r="AC210" s="672" t="str">
        <f>IF('A-1 On-Site Habitat Baseline'!G211="","",IF('A-1 On-Site Habitat Baseline'!G211="Yes",TRUE,FALSE))</f>
        <v/>
      </c>
      <c r="AD210" s="673">
        <v>201</v>
      </c>
      <c r="AE210" s="672" t="str">
        <f>IF('D-1 Off-Site Habitat Baseline'!G211="","",IF('D-1 Off-Site Habitat Baseline'!G211="Yes",TRUE,FALSE))</f>
        <v/>
      </c>
      <c r="AJ210" s="1"/>
      <c r="BH210" s="673" t="str">
        <f>IF('C-1 On-Site WaterC'' Baseline'!AU210="","",IF('C-1 On-Site WaterC'' Baseline'!AU210="Yes",TRUE,FALSE))</f>
        <v/>
      </c>
      <c r="BI210" s="673">
        <v>201</v>
      </c>
      <c r="BJ210" s="673" t="str">
        <f>IF('F-1 Off-Site WaterC'' Baseline'!AU210="","",IF('F-1 Off-Site WaterC'' Baseline'!AU210="Yes",TRUE,FALSE))</f>
        <v/>
      </c>
    </row>
    <row r="211" spans="29:62" ht="15.5" hidden="1">
      <c r="AC211" s="672" t="str">
        <f>IF('A-1 On-Site Habitat Baseline'!G212="","",IF('A-1 On-Site Habitat Baseline'!G212="Yes",TRUE,FALSE))</f>
        <v/>
      </c>
      <c r="AD211" s="673">
        <v>202</v>
      </c>
      <c r="AE211" s="672" t="str">
        <f>IF('D-1 Off-Site Habitat Baseline'!G212="","",IF('D-1 Off-Site Habitat Baseline'!G212="Yes",TRUE,FALSE))</f>
        <v/>
      </c>
      <c r="AJ211" s="1"/>
      <c r="BH211" s="673" t="str">
        <f>IF('C-1 On-Site WaterC'' Baseline'!AU211="","",IF('C-1 On-Site WaterC'' Baseline'!AU211="Yes",TRUE,FALSE))</f>
        <v/>
      </c>
      <c r="BI211" s="673">
        <v>202</v>
      </c>
      <c r="BJ211" s="673" t="str">
        <f>IF('F-1 Off-Site WaterC'' Baseline'!AU211="","",IF('F-1 Off-Site WaterC'' Baseline'!AU211="Yes",TRUE,FALSE))</f>
        <v/>
      </c>
    </row>
    <row r="212" spans="29:62" ht="15.5" hidden="1">
      <c r="AC212" s="672" t="str">
        <f>IF('A-1 On-Site Habitat Baseline'!G213="","",IF('A-1 On-Site Habitat Baseline'!G213="Yes",TRUE,FALSE))</f>
        <v/>
      </c>
      <c r="AD212" s="673">
        <v>203</v>
      </c>
      <c r="AE212" s="672" t="str">
        <f>IF('D-1 Off-Site Habitat Baseline'!G213="","",IF('D-1 Off-Site Habitat Baseline'!G213="Yes",TRUE,FALSE))</f>
        <v/>
      </c>
      <c r="AJ212" s="1"/>
      <c r="BH212" s="673" t="str">
        <f>IF('C-1 On-Site WaterC'' Baseline'!AU212="","",IF('C-1 On-Site WaterC'' Baseline'!AU212="Yes",TRUE,FALSE))</f>
        <v/>
      </c>
      <c r="BI212" s="673">
        <v>203</v>
      </c>
      <c r="BJ212" s="673" t="str">
        <f>IF('F-1 Off-Site WaterC'' Baseline'!AU212="","",IF('F-1 Off-Site WaterC'' Baseline'!AU212="Yes",TRUE,FALSE))</f>
        <v/>
      </c>
    </row>
    <row r="213" spans="29:62" ht="15.5" hidden="1">
      <c r="AC213" s="672" t="str">
        <f>IF('A-1 On-Site Habitat Baseline'!G214="","",IF('A-1 On-Site Habitat Baseline'!G214="Yes",TRUE,FALSE))</f>
        <v/>
      </c>
      <c r="AD213" s="673">
        <v>204</v>
      </c>
      <c r="AE213" s="672" t="str">
        <f>IF('D-1 Off-Site Habitat Baseline'!G214="","",IF('D-1 Off-Site Habitat Baseline'!G214="Yes",TRUE,FALSE))</f>
        <v/>
      </c>
      <c r="AJ213" s="1"/>
      <c r="BH213" s="673" t="str">
        <f>IF('C-1 On-Site WaterC'' Baseline'!AU213="","",IF('C-1 On-Site WaterC'' Baseline'!AU213="Yes",TRUE,FALSE))</f>
        <v/>
      </c>
      <c r="BI213" s="673">
        <v>204</v>
      </c>
      <c r="BJ213" s="673" t="str">
        <f>IF('F-1 Off-Site WaterC'' Baseline'!AU213="","",IF('F-1 Off-Site WaterC'' Baseline'!AU213="Yes",TRUE,FALSE))</f>
        <v/>
      </c>
    </row>
    <row r="214" spans="29:62" ht="15.5" hidden="1">
      <c r="AC214" s="672" t="str">
        <f>IF('A-1 On-Site Habitat Baseline'!G215="","",IF('A-1 On-Site Habitat Baseline'!G215="Yes",TRUE,FALSE))</f>
        <v/>
      </c>
      <c r="AD214" s="673">
        <v>205</v>
      </c>
      <c r="AE214" s="672" t="str">
        <f>IF('D-1 Off-Site Habitat Baseline'!G215="","",IF('D-1 Off-Site Habitat Baseline'!G215="Yes",TRUE,FALSE))</f>
        <v/>
      </c>
      <c r="AJ214" s="1"/>
      <c r="BH214" s="673" t="str">
        <f>IF('C-1 On-Site WaterC'' Baseline'!AU214="","",IF('C-1 On-Site WaterC'' Baseline'!AU214="Yes",TRUE,FALSE))</f>
        <v/>
      </c>
      <c r="BI214" s="673">
        <v>205</v>
      </c>
      <c r="BJ214" s="673" t="str">
        <f>IF('F-1 Off-Site WaterC'' Baseline'!AU214="","",IF('F-1 Off-Site WaterC'' Baseline'!AU214="Yes",TRUE,FALSE))</f>
        <v/>
      </c>
    </row>
    <row r="215" spans="29:62" ht="15.5" hidden="1">
      <c r="AC215" s="672" t="str">
        <f>IF('A-1 On-Site Habitat Baseline'!G216="","",IF('A-1 On-Site Habitat Baseline'!G216="Yes",TRUE,FALSE))</f>
        <v/>
      </c>
      <c r="AD215" s="673">
        <v>206</v>
      </c>
      <c r="AE215" s="672" t="str">
        <f>IF('D-1 Off-Site Habitat Baseline'!G216="","",IF('D-1 Off-Site Habitat Baseline'!G216="Yes",TRUE,FALSE))</f>
        <v/>
      </c>
      <c r="AJ215" s="1"/>
      <c r="BH215" s="673" t="str">
        <f>IF('C-1 On-Site WaterC'' Baseline'!AU215="","",IF('C-1 On-Site WaterC'' Baseline'!AU215="Yes",TRUE,FALSE))</f>
        <v/>
      </c>
      <c r="BI215" s="673">
        <v>206</v>
      </c>
      <c r="BJ215" s="673" t="str">
        <f>IF('F-1 Off-Site WaterC'' Baseline'!AU215="","",IF('F-1 Off-Site WaterC'' Baseline'!AU215="Yes",TRUE,FALSE))</f>
        <v/>
      </c>
    </row>
    <row r="216" spans="29:62" ht="15.5" hidden="1">
      <c r="AC216" s="672" t="str">
        <f>IF('A-1 On-Site Habitat Baseline'!G217="","",IF('A-1 On-Site Habitat Baseline'!G217="Yes",TRUE,FALSE))</f>
        <v/>
      </c>
      <c r="AD216" s="673">
        <v>207</v>
      </c>
      <c r="AE216" s="672" t="str">
        <f>IF('D-1 Off-Site Habitat Baseline'!G217="","",IF('D-1 Off-Site Habitat Baseline'!G217="Yes",TRUE,FALSE))</f>
        <v/>
      </c>
      <c r="AJ216" s="1"/>
      <c r="BH216" s="673" t="str">
        <f>IF('C-1 On-Site WaterC'' Baseline'!AU216="","",IF('C-1 On-Site WaterC'' Baseline'!AU216="Yes",TRUE,FALSE))</f>
        <v/>
      </c>
      <c r="BI216" s="673">
        <v>207</v>
      </c>
      <c r="BJ216" s="673" t="str">
        <f>IF('F-1 Off-Site WaterC'' Baseline'!AU216="","",IF('F-1 Off-Site WaterC'' Baseline'!AU216="Yes",TRUE,FALSE))</f>
        <v/>
      </c>
    </row>
    <row r="217" spans="29:62" ht="15.5" hidden="1">
      <c r="AC217" s="672" t="str">
        <f>IF('A-1 On-Site Habitat Baseline'!G218="","",IF('A-1 On-Site Habitat Baseline'!G218="Yes",TRUE,FALSE))</f>
        <v/>
      </c>
      <c r="AD217" s="673">
        <v>208</v>
      </c>
      <c r="AE217" s="672" t="str">
        <f>IF('D-1 Off-Site Habitat Baseline'!G218="","",IF('D-1 Off-Site Habitat Baseline'!G218="Yes",TRUE,FALSE))</f>
        <v/>
      </c>
      <c r="AJ217" s="1"/>
      <c r="BH217" s="673" t="str">
        <f>IF('C-1 On-Site WaterC'' Baseline'!AU217="","",IF('C-1 On-Site WaterC'' Baseline'!AU217="Yes",TRUE,FALSE))</f>
        <v/>
      </c>
      <c r="BI217" s="673">
        <v>208</v>
      </c>
      <c r="BJ217" s="673" t="str">
        <f>IF('F-1 Off-Site WaterC'' Baseline'!AU217="","",IF('F-1 Off-Site WaterC'' Baseline'!AU217="Yes",TRUE,FALSE))</f>
        <v/>
      </c>
    </row>
    <row r="218" spans="29:62" ht="15.5" hidden="1">
      <c r="AC218" s="672" t="str">
        <f>IF('A-1 On-Site Habitat Baseline'!G219="","",IF('A-1 On-Site Habitat Baseline'!G219="Yes",TRUE,FALSE))</f>
        <v/>
      </c>
      <c r="AD218" s="673">
        <v>209</v>
      </c>
      <c r="AE218" s="672" t="str">
        <f>IF('D-1 Off-Site Habitat Baseline'!G219="","",IF('D-1 Off-Site Habitat Baseline'!G219="Yes",TRUE,FALSE))</f>
        <v/>
      </c>
      <c r="AJ218" s="1"/>
      <c r="BH218" s="673" t="str">
        <f>IF('C-1 On-Site WaterC'' Baseline'!AU218="","",IF('C-1 On-Site WaterC'' Baseline'!AU218="Yes",TRUE,FALSE))</f>
        <v/>
      </c>
      <c r="BI218" s="673">
        <v>209</v>
      </c>
      <c r="BJ218" s="673" t="str">
        <f>IF('F-1 Off-Site WaterC'' Baseline'!AU218="","",IF('F-1 Off-Site WaterC'' Baseline'!AU218="Yes",TRUE,FALSE))</f>
        <v/>
      </c>
    </row>
    <row r="219" spans="29:62" ht="15.5" hidden="1">
      <c r="AC219" s="672" t="str">
        <f>IF('A-1 On-Site Habitat Baseline'!G220="","",IF('A-1 On-Site Habitat Baseline'!G220="Yes",TRUE,FALSE))</f>
        <v/>
      </c>
      <c r="AD219" s="673">
        <v>210</v>
      </c>
      <c r="AE219" s="672" t="str">
        <f>IF('D-1 Off-Site Habitat Baseline'!G220="","",IF('D-1 Off-Site Habitat Baseline'!G220="Yes",TRUE,FALSE))</f>
        <v/>
      </c>
      <c r="AJ219" s="1"/>
      <c r="BH219" s="673" t="str">
        <f>IF('C-1 On-Site WaterC'' Baseline'!AU219="","",IF('C-1 On-Site WaterC'' Baseline'!AU219="Yes",TRUE,FALSE))</f>
        <v/>
      </c>
      <c r="BI219" s="673">
        <v>210</v>
      </c>
      <c r="BJ219" s="673" t="str">
        <f>IF('F-1 Off-Site WaterC'' Baseline'!AU219="","",IF('F-1 Off-Site WaterC'' Baseline'!AU219="Yes",TRUE,FALSE))</f>
        <v/>
      </c>
    </row>
    <row r="220" spans="29:62" ht="15.5" hidden="1">
      <c r="AC220" s="672" t="str">
        <f>IF('A-1 On-Site Habitat Baseline'!G221="","",IF('A-1 On-Site Habitat Baseline'!G221="Yes",TRUE,FALSE))</f>
        <v/>
      </c>
      <c r="AD220" s="673">
        <v>211</v>
      </c>
      <c r="AE220" s="672" t="str">
        <f>IF('D-1 Off-Site Habitat Baseline'!G221="","",IF('D-1 Off-Site Habitat Baseline'!G221="Yes",TRUE,FALSE))</f>
        <v/>
      </c>
      <c r="AJ220" s="1"/>
      <c r="BH220" s="673" t="str">
        <f>IF('C-1 On-Site WaterC'' Baseline'!AU220="","",IF('C-1 On-Site WaterC'' Baseline'!AU220="Yes",TRUE,FALSE))</f>
        <v/>
      </c>
      <c r="BI220" s="673">
        <v>211</v>
      </c>
      <c r="BJ220" s="673" t="str">
        <f>IF('F-1 Off-Site WaterC'' Baseline'!AU220="","",IF('F-1 Off-Site WaterC'' Baseline'!AU220="Yes",TRUE,FALSE))</f>
        <v/>
      </c>
    </row>
    <row r="221" spans="29:62" ht="15.5" hidden="1">
      <c r="AC221" s="672" t="str">
        <f>IF('A-1 On-Site Habitat Baseline'!G222="","",IF('A-1 On-Site Habitat Baseline'!G222="Yes",TRUE,FALSE))</f>
        <v/>
      </c>
      <c r="AD221" s="673">
        <v>212</v>
      </c>
      <c r="AE221" s="672" t="str">
        <f>IF('D-1 Off-Site Habitat Baseline'!G222="","",IF('D-1 Off-Site Habitat Baseline'!G222="Yes",TRUE,FALSE))</f>
        <v/>
      </c>
      <c r="AJ221" s="1"/>
      <c r="BH221" s="673" t="str">
        <f>IF('C-1 On-Site WaterC'' Baseline'!AU221="","",IF('C-1 On-Site WaterC'' Baseline'!AU221="Yes",TRUE,FALSE))</f>
        <v/>
      </c>
      <c r="BI221" s="673">
        <v>212</v>
      </c>
      <c r="BJ221" s="673" t="str">
        <f>IF('F-1 Off-Site WaterC'' Baseline'!AU221="","",IF('F-1 Off-Site WaterC'' Baseline'!AU221="Yes",TRUE,FALSE))</f>
        <v/>
      </c>
    </row>
    <row r="222" spans="29:62" ht="15.5" hidden="1">
      <c r="AC222" s="672" t="str">
        <f>IF('A-1 On-Site Habitat Baseline'!G223="","",IF('A-1 On-Site Habitat Baseline'!G223="Yes",TRUE,FALSE))</f>
        <v/>
      </c>
      <c r="AD222" s="673">
        <v>213</v>
      </c>
      <c r="AE222" s="672" t="str">
        <f>IF('D-1 Off-Site Habitat Baseline'!G223="","",IF('D-1 Off-Site Habitat Baseline'!G223="Yes",TRUE,FALSE))</f>
        <v/>
      </c>
      <c r="AJ222" s="1"/>
      <c r="BH222" s="673" t="str">
        <f>IF('C-1 On-Site WaterC'' Baseline'!AU222="","",IF('C-1 On-Site WaterC'' Baseline'!AU222="Yes",TRUE,FALSE))</f>
        <v/>
      </c>
      <c r="BI222" s="673">
        <v>213</v>
      </c>
      <c r="BJ222" s="673" t="str">
        <f>IF('F-1 Off-Site WaterC'' Baseline'!AU222="","",IF('F-1 Off-Site WaterC'' Baseline'!AU222="Yes",TRUE,FALSE))</f>
        <v/>
      </c>
    </row>
    <row r="223" spans="29:62" ht="15.5" hidden="1">
      <c r="AC223" s="672" t="str">
        <f>IF('A-1 On-Site Habitat Baseline'!G224="","",IF('A-1 On-Site Habitat Baseline'!G224="Yes",TRUE,FALSE))</f>
        <v/>
      </c>
      <c r="AD223" s="673">
        <v>214</v>
      </c>
      <c r="AE223" s="672" t="str">
        <f>IF('D-1 Off-Site Habitat Baseline'!G224="","",IF('D-1 Off-Site Habitat Baseline'!G224="Yes",TRUE,FALSE))</f>
        <v/>
      </c>
      <c r="AJ223" s="1"/>
      <c r="BH223" s="673" t="str">
        <f>IF('C-1 On-Site WaterC'' Baseline'!AU223="","",IF('C-1 On-Site WaterC'' Baseline'!AU223="Yes",TRUE,FALSE))</f>
        <v/>
      </c>
      <c r="BI223" s="673">
        <v>214</v>
      </c>
      <c r="BJ223" s="673" t="str">
        <f>IF('F-1 Off-Site WaterC'' Baseline'!AU223="","",IF('F-1 Off-Site WaterC'' Baseline'!AU223="Yes",TRUE,FALSE))</f>
        <v/>
      </c>
    </row>
    <row r="224" spans="29:62" ht="15.5" hidden="1">
      <c r="AC224" s="672" t="str">
        <f>IF('A-1 On-Site Habitat Baseline'!G225="","",IF('A-1 On-Site Habitat Baseline'!G225="Yes",TRUE,FALSE))</f>
        <v/>
      </c>
      <c r="AD224" s="673">
        <v>215</v>
      </c>
      <c r="AE224" s="672" t="str">
        <f>IF('D-1 Off-Site Habitat Baseline'!G225="","",IF('D-1 Off-Site Habitat Baseline'!G225="Yes",TRUE,FALSE))</f>
        <v/>
      </c>
      <c r="AJ224" s="1"/>
      <c r="BH224" s="673" t="str">
        <f>IF('C-1 On-Site WaterC'' Baseline'!AU224="","",IF('C-1 On-Site WaterC'' Baseline'!AU224="Yes",TRUE,FALSE))</f>
        <v/>
      </c>
      <c r="BI224" s="673">
        <v>215</v>
      </c>
      <c r="BJ224" s="673" t="str">
        <f>IF('F-1 Off-Site WaterC'' Baseline'!AU224="","",IF('F-1 Off-Site WaterC'' Baseline'!AU224="Yes",TRUE,FALSE))</f>
        <v/>
      </c>
    </row>
    <row r="225" spans="29:62" ht="15.5" hidden="1">
      <c r="AC225" s="672" t="str">
        <f>IF('A-1 On-Site Habitat Baseline'!G226="","",IF('A-1 On-Site Habitat Baseline'!G226="Yes",TRUE,FALSE))</f>
        <v/>
      </c>
      <c r="AD225" s="673">
        <v>216</v>
      </c>
      <c r="AE225" s="672" t="str">
        <f>IF('D-1 Off-Site Habitat Baseline'!G226="","",IF('D-1 Off-Site Habitat Baseline'!G226="Yes",TRUE,FALSE))</f>
        <v/>
      </c>
      <c r="AJ225" s="1"/>
      <c r="BH225" s="673" t="str">
        <f>IF('C-1 On-Site WaterC'' Baseline'!AU225="","",IF('C-1 On-Site WaterC'' Baseline'!AU225="Yes",TRUE,FALSE))</f>
        <v/>
      </c>
      <c r="BI225" s="673">
        <v>216</v>
      </c>
      <c r="BJ225" s="673" t="str">
        <f>IF('F-1 Off-Site WaterC'' Baseline'!AU225="","",IF('F-1 Off-Site WaterC'' Baseline'!AU225="Yes",TRUE,FALSE))</f>
        <v/>
      </c>
    </row>
    <row r="226" spans="29:62" ht="15.5" hidden="1">
      <c r="AC226" s="672" t="str">
        <f>IF('A-1 On-Site Habitat Baseline'!G227="","",IF('A-1 On-Site Habitat Baseline'!G227="Yes",TRUE,FALSE))</f>
        <v/>
      </c>
      <c r="AD226" s="673">
        <v>217</v>
      </c>
      <c r="AE226" s="672" t="str">
        <f>IF('D-1 Off-Site Habitat Baseline'!G227="","",IF('D-1 Off-Site Habitat Baseline'!G227="Yes",TRUE,FALSE))</f>
        <v/>
      </c>
      <c r="AJ226" s="1"/>
      <c r="BH226" s="673" t="str">
        <f>IF('C-1 On-Site WaterC'' Baseline'!AU226="","",IF('C-1 On-Site WaterC'' Baseline'!AU226="Yes",TRUE,FALSE))</f>
        <v/>
      </c>
      <c r="BI226" s="673">
        <v>217</v>
      </c>
      <c r="BJ226" s="673" t="str">
        <f>IF('F-1 Off-Site WaterC'' Baseline'!AU226="","",IF('F-1 Off-Site WaterC'' Baseline'!AU226="Yes",TRUE,FALSE))</f>
        <v/>
      </c>
    </row>
    <row r="227" spans="29:62" ht="15.5" hidden="1">
      <c r="AC227" s="672" t="str">
        <f>IF('A-1 On-Site Habitat Baseline'!G228="","",IF('A-1 On-Site Habitat Baseline'!G228="Yes",TRUE,FALSE))</f>
        <v/>
      </c>
      <c r="AD227" s="673">
        <v>218</v>
      </c>
      <c r="AE227" s="672" t="str">
        <f>IF('D-1 Off-Site Habitat Baseline'!G228="","",IF('D-1 Off-Site Habitat Baseline'!G228="Yes",TRUE,FALSE))</f>
        <v/>
      </c>
      <c r="AJ227" s="1"/>
      <c r="BH227" s="673" t="str">
        <f>IF('C-1 On-Site WaterC'' Baseline'!AU227="","",IF('C-1 On-Site WaterC'' Baseline'!AU227="Yes",TRUE,FALSE))</f>
        <v/>
      </c>
      <c r="BI227" s="673">
        <v>218</v>
      </c>
      <c r="BJ227" s="673" t="str">
        <f>IF('F-1 Off-Site WaterC'' Baseline'!AU227="","",IF('F-1 Off-Site WaterC'' Baseline'!AU227="Yes",TRUE,FALSE))</f>
        <v/>
      </c>
    </row>
    <row r="228" spans="29:62" ht="15.5" hidden="1">
      <c r="AC228" s="672" t="str">
        <f>IF('A-1 On-Site Habitat Baseline'!G229="","",IF('A-1 On-Site Habitat Baseline'!G229="Yes",TRUE,FALSE))</f>
        <v/>
      </c>
      <c r="AD228" s="673">
        <v>219</v>
      </c>
      <c r="AE228" s="672" t="str">
        <f>IF('D-1 Off-Site Habitat Baseline'!G229="","",IF('D-1 Off-Site Habitat Baseline'!G229="Yes",TRUE,FALSE))</f>
        <v/>
      </c>
      <c r="AJ228" s="1"/>
      <c r="BH228" s="673" t="str">
        <f>IF('C-1 On-Site WaterC'' Baseline'!AU228="","",IF('C-1 On-Site WaterC'' Baseline'!AU228="Yes",TRUE,FALSE))</f>
        <v/>
      </c>
      <c r="BI228" s="673">
        <v>219</v>
      </c>
      <c r="BJ228" s="673" t="str">
        <f>IF('F-1 Off-Site WaterC'' Baseline'!AU228="","",IF('F-1 Off-Site WaterC'' Baseline'!AU228="Yes",TRUE,FALSE))</f>
        <v/>
      </c>
    </row>
    <row r="229" spans="29:62" ht="15.5" hidden="1">
      <c r="AC229" s="672" t="str">
        <f>IF('A-1 On-Site Habitat Baseline'!G230="","",IF('A-1 On-Site Habitat Baseline'!G230="Yes",TRUE,FALSE))</f>
        <v/>
      </c>
      <c r="AD229" s="673">
        <v>220</v>
      </c>
      <c r="AE229" s="672" t="str">
        <f>IF('D-1 Off-Site Habitat Baseline'!G230="","",IF('D-1 Off-Site Habitat Baseline'!G230="Yes",TRUE,FALSE))</f>
        <v/>
      </c>
      <c r="AJ229" s="1"/>
      <c r="BH229" s="673" t="str">
        <f>IF('C-1 On-Site WaterC'' Baseline'!AU229="","",IF('C-1 On-Site WaterC'' Baseline'!AU229="Yes",TRUE,FALSE))</f>
        <v/>
      </c>
      <c r="BI229" s="673">
        <v>220</v>
      </c>
      <c r="BJ229" s="673" t="str">
        <f>IF('F-1 Off-Site WaterC'' Baseline'!AU229="","",IF('F-1 Off-Site WaterC'' Baseline'!AU229="Yes",TRUE,FALSE))</f>
        <v/>
      </c>
    </row>
    <row r="230" spans="29:62" ht="15.5" hidden="1">
      <c r="AC230" s="672" t="str">
        <f>IF('A-1 On-Site Habitat Baseline'!G231="","",IF('A-1 On-Site Habitat Baseline'!G231="Yes",TRUE,FALSE))</f>
        <v/>
      </c>
      <c r="AD230" s="673">
        <v>221</v>
      </c>
      <c r="AE230" s="672" t="str">
        <f>IF('D-1 Off-Site Habitat Baseline'!G231="","",IF('D-1 Off-Site Habitat Baseline'!G231="Yes",TRUE,FALSE))</f>
        <v/>
      </c>
      <c r="AJ230" s="1"/>
      <c r="BH230" s="673" t="str">
        <f>IF('C-1 On-Site WaterC'' Baseline'!AU230="","",IF('C-1 On-Site WaterC'' Baseline'!AU230="Yes",TRUE,FALSE))</f>
        <v/>
      </c>
      <c r="BI230" s="673">
        <v>221</v>
      </c>
      <c r="BJ230" s="673" t="str">
        <f>IF('F-1 Off-Site WaterC'' Baseline'!AU230="","",IF('F-1 Off-Site WaterC'' Baseline'!AU230="Yes",TRUE,FALSE))</f>
        <v/>
      </c>
    </row>
    <row r="231" spans="29:62" ht="15.5" hidden="1">
      <c r="AC231" s="672" t="str">
        <f>IF('A-1 On-Site Habitat Baseline'!G232="","",IF('A-1 On-Site Habitat Baseline'!G232="Yes",TRUE,FALSE))</f>
        <v/>
      </c>
      <c r="AD231" s="673">
        <v>222</v>
      </c>
      <c r="AE231" s="672" t="str">
        <f>IF('D-1 Off-Site Habitat Baseline'!G232="","",IF('D-1 Off-Site Habitat Baseline'!G232="Yes",TRUE,FALSE))</f>
        <v/>
      </c>
      <c r="AJ231" s="1"/>
      <c r="BH231" s="673" t="str">
        <f>IF('C-1 On-Site WaterC'' Baseline'!AU231="","",IF('C-1 On-Site WaterC'' Baseline'!AU231="Yes",TRUE,FALSE))</f>
        <v/>
      </c>
      <c r="BI231" s="673">
        <v>222</v>
      </c>
      <c r="BJ231" s="673" t="str">
        <f>IF('F-1 Off-Site WaterC'' Baseline'!AU231="","",IF('F-1 Off-Site WaterC'' Baseline'!AU231="Yes",TRUE,FALSE))</f>
        <v/>
      </c>
    </row>
    <row r="232" spans="29:62" ht="15.5" hidden="1">
      <c r="AC232" s="672" t="str">
        <f>IF('A-1 On-Site Habitat Baseline'!G233="","",IF('A-1 On-Site Habitat Baseline'!G233="Yes",TRUE,FALSE))</f>
        <v/>
      </c>
      <c r="AD232" s="673">
        <v>223</v>
      </c>
      <c r="AE232" s="672" t="str">
        <f>IF('D-1 Off-Site Habitat Baseline'!G233="","",IF('D-1 Off-Site Habitat Baseline'!G233="Yes",TRUE,FALSE))</f>
        <v/>
      </c>
      <c r="AJ232" s="1"/>
      <c r="BH232" s="673" t="str">
        <f>IF('C-1 On-Site WaterC'' Baseline'!AU232="","",IF('C-1 On-Site WaterC'' Baseline'!AU232="Yes",TRUE,FALSE))</f>
        <v/>
      </c>
      <c r="BI232" s="673">
        <v>223</v>
      </c>
      <c r="BJ232" s="673" t="str">
        <f>IF('F-1 Off-Site WaterC'' Baseline'!AU232="","",IF('F-1 Off-Site WaterC'' Baseline'!AU232="Yes",TRUE,FALSE))</f>
        <v/>
      </c>
    </row>
    <row r="233" spans="29:62" ht="15.5" hidden="1">
      <c r="AC233" s="672" t="str">
        <f>IF('A-1 On-Site Habitat Baseline'!G234="","",IF('A-1 On-Site Habitat Baseline'!G234="Yes",TRUE,FALSE))</f>
        <v/>
      </c>
      <c r="AD233" s="673">
        <v>224</v>
      </c>
      <c r="AE233" s="672" t="str">
        <f>IF('D-1 Off-Site Habitat Baseline'!G234="","",IF('D-1 Off-Site Habitat Baseline'!G234="Yes",TRUE,FALSE))</f>
        <v/>
      </c>
      <c r="AJ233" s="1"/>
      <c r="BH233" s="673" t="str">
        <f>IF('C-1 On-Site WaterC'' Baseline'!AU233="","",IF('C-1 On-Site WaterC'' Baseline'!AU233="Yes",TRUE,FALSE))</f>
        <v/>
      </c>
      <c r="BI233" s="673">
        <v>224</v>
      </c>
      <c r="BJ233" s="673" t="str">
        <f>IF('F-1 Off-Site WaterC'' Baseline'!AU233="","",IF('F-1 Off-Site WaterC'' Baseline'!AU233="Yes",TRUE,FALSE))</f>
        <v/>
      </c>
    </row>
    <row r="234" spans="29:62" ht="15.5" hidden="1">
      <c r="AC234" s="672" t="str">
        <f>IF('A-1 On-Site Habitat Baseline'!G235="","",IF('A-1 On-Site Habitat Baseline'!G235="Yes",TRUE,FALSE))</f>
        <v/>
      </c>
      <c r="AD234" s="673">
        <v>225</v>
      </c>
      <c r="AE234" s="672" t="str">
        <f>IF('D-1 Off-Site Habitat Baseline'!G235="","",IF('D-1 Off-Site Habitat Baseline'!G235="Yes",TRUE,FALSE))</f>
        <v/>
      </c>
      <c r="AJ234" s="1"/>
      <c r="BH234" s="673" t="str">
        <f>IF('C-1 On-Site WaterC'' Baseline'!AU234="","",IF('C-1 On-Site WaterC'' Baseline'!AU234="Yes",TRUE,FALSE))</f>
        <v/>
      </c>
      <c r="BI234" s="673">
        <v>225</v>
      </c>
      <c r="BJ234" s="673" t="str">
        <f>IF('F-1 Off-Site WaterC'' Baseline'!AU234="","",IF('F-1 Off-Site WaterC'' Baseline'!AU234="Yes",TRUE,FALSE))</f>
        <v/>
      </c>
    </row>
    <row r="235" spans="29:62" ht="15.5" hidden="1">
      <c r="AC235" s="672" t="str">
        <f>IF('A-1 On-Site Habitat Baseline'!G236="","",IF('A-1 On-Site Habitat Baseline'!G236="Yes",TRUE,FALSE))</f>
        <v/>
      </c>
      <c r="AD235" s="673">
        <v>226</v>
      </c>
      <c r="AE235" s="672" t="str">
        <f>IF('D-1 Off-Site Habitat Baseline'!G236="","",IF('D-1 Off-Site Habitat Baseline'!G236="Yes",TRUE,FALSE))</f>
        <v/>
      </c>
      <c r="AJ235" s="1"/>
      <c r="BH235" s="673" t="str">
        <f>IF('C-1 On-Site WaterC'' Baseline'!AU235="","",IF('C-1 On-Site WaterC'' Baseline'!AU235="Yes",TRUE,FALSE))</f>
        <v/>
      </c>
      <c r="BI235" s="673">
        <v>226</v>
      </c>
      <c r="BJ235" s="673" t="str">
        <f>IF('F-1 Off-Site WaterC'' Baseline'!AU235="","",IF('F-1 Off-Site WaterC'' Baseline'!AU235="Yes",TRUE,FALSE))</f>
        <v/>
      </c>
    </row>
    <row r="236" spans="29:62" ht="15.5" hidden="1">
      <c r="AC236" s="672" t="str">
        <f>IF('A-1 On-Site Habitat Baseline'!G237="","",IF('A-1 On-Site Habitat Baseline'!G237="Yes",TRUE,FALSE))</f>
        <v/>
      </c>
      <c r="AD236" s="673">
        <v>227</v>
      </c>
      <c r="AE236" s="672" t="str">
        <f>IF('D-1 Off-Site Habitat Baseline'!G237="","",IF('D-1 Off-Site Habitat Baseline'!G237="Yes",TRUE,FALSE))</f>
        <v/>
      </c>
      <c r="AJ236" s="1"/>
      <c r="BH236" s="673" t="str">
        <f>IF('C-1 On-Site WaterC'' Baseline'!AU236="","",IF('C-1 On-Site WaterC'' Baseline'!AU236="Yes",TRUE,FALSE))</f>
        <v/>
      </c>
      <c r="BI236" s="673">
        <v>227</v>
      </c>
      <c r="BJ236" s="673" t="str">
        <f>IF('F-1 Off-Site WaterC'' Baseline'!AU236="","",IF('F-1 Off-Site WaterC'' Baseline'!AU236="Yes",TRUE,FALSE))</f>
        <v/>
      </c>
    </row>
    <row r="237" spans="29:62" ht="15.5" hidden="1">
      <c r="AC237" s="672" t="str">
        <f>IF('A-1 On-Site Habitat Baseline'!G238="","",IF('A-1 On-Site Habitat Baseline'!G238="Yes",TRUE,FALSE))</f>
        <v/>
      </c>
      <c r="AD237" s="673">
        <v>228</v>
      </c>
      <c r="AE237" s="672" t="str">
        <f>IF('D-1 Off-Site Habitat Baseline'!G238="","",IF('D-1 Off-Site Habitat Baseline'!G238="Yes",TRUE,FALSE))</f>
        <v/>
      </c>
      <c r="AJ237" s="1"/>
      <c r="BH237" s="673" t="str">
        <f>IF('C-1 On-Site WaterC'' Baseline'!AU237="","",IF('C-1 On-Site WaterC'' Baseline'!AU237="Yes",TRUE,FALSE))</f>
        <v/>
      </c>
      <c r="BI237" s="673">
        <v>228</v>
      </c>
      <c r="BJ237" s="673" t="str">
        <f>IF('F-1 Off-Site WaterC'' Baseline'!AU237="","",IF('F-1 Off-Site WaterC'' Baseline'!AU237="Yes",TRUE,FALSE))</f>
        <v/>
      </c>
    </row>
    <row r="238" spans="29:62" ht="15.5" hidden="1">
      <c r="AC238" s="672" t="str">
        <f>IF('A-1 On-Site Habitat Baseline'!G239="","",IF('A-1 On-Site Habitat Baseline'!G239="Yes",TRUE,FALSE))</f>
        <v/>
      </c>
      <c r="AD238" s="673">
        <v>229</v>
      </c>
      <c r="AE238" s="672" t="str">
        <f>IF('D-1 Off-Site Habitat Baseline'!G239="","",IF('D-1 Off-Site Habitat Baseline'!G239="Yes",TRUE,FALSE))</f>
        <v/>
      </c>
      <c r="AJ238" s="1"/>
      <c r="BH238" s="673" t="str">
        <f>IF('C-1 On-Site WaterC'' Baseline'!AU238="","",IF('C-1 On-Site WaterC'' Baseline'!AU238="Yes",TRUE,FALSE))</f>
        <v/>
      </c>
      <c r="BI238" s="673">
        <v>229</v>
      </c>
      <c r="BJ238" s="673" t="str">
        <f>IF('F-1 Off-Site WaterC'' Baseline'!AU238="","",IF('F-1 Off-Site WaterC'' Baseline'!AU238="Yes",TRUE,FALSE))</f>
        <v/>
      </c>
    </row>
    <row r="239" spans="29:62" ht="15.5" hidden="1">
      <c r="AC239" s="672" t="str">
        <f>IF('A-1 On-Site Habitat Baseline'!G240="","",IF('A-1 On-Site Habitat Baseline'!G240="Yes",TRUE,FALSE))</f>
        <v/>
      </c>
      <c r="AD239" s="673">
        <v>230</v>
      </c>
      <c r="AE239" s="672" t="str">
        <f>IF('D-1 Off-Site Habitat Baseline'!G240="","",IF('D-1 Off-Site Habitat Baseline'!G240="Yes",TRUE,FALSE))</f>
        <v/>
      </c>
      <c r="AJ239" s="1"/>
      <c r="BH239" s="673" t="str">
        <f>IF('C-1 On-Site WaterC'' Baseline'!AU239="","",IF('C-1 On-Site WaterC'' Baseline'!AU239="Yes",TRUE,FALSE))</f>
        <v/>
      </c>
      <c r="BI239" s="673">
        <v>230</v>
      </c>
      <c r="BJ239" s="673" t="str">
        <f>IF('F-1 Off-Site WaterC'' Baseline'!AU239="","",IF('F-1 Off-Site WaterC'' Baseline'!AU239="Yes",TRUE,FALSE))</f>
        <v/>
      </c>
    </row>
    <row r="240" spans="29:62" ht="15.5" hidden="1">
      <c r="AC240" s="672" t="str">
        <f>IF('A-1 On-Site Habitat Baseline'!G241="","",IF('A-1 On-Site Habitat Baseline'!G241="Yes",TRUE,FALSE))</f>
        <v/>
      </c>
      <c r="AD240" s="673">
        <v>231</v>
      </c>
      <c r="AE240" s="672" t="str">
        <f>IF('D-1 Off-Site Habitat Baseline'!G241="","",IF('D-1 Off-Site Habitat Baseline'!G241="Yes",TRUE,FALSE))</f>
        <v/>
      </c>
      <c r="AJ240" s="1"/>
      <c r="BH240" s="673" t="str">
        <f>IF('C-1 On-Site WaterC'' Baseline'!AU240="","",IF('C-1 On-Site WaterC'' Baseline'!AU240="Yes",TRUE,FALSE))</f>
        <v/>
      </c>
      <c r="BI240" s="673">
        <v>231</v>
      </c>
      <c r="BJ240" s="673" t="str">
        <f>IF('F-1 Off-Site WaterC'' Baseline'!AU240="","",IF('F-1 Off-Site WaterC'' Baseline'!AU240="Yes",TRUE,FALSE))</f>
        <v/>
      </c>
    </row>
    <row r="241" spans="29:62" ht="15.5" hidden="1">
      <c r="AC241" s="672" t="str">
        <f>IF('A-1 On-Site Habitat Baseline'!G242="","",IF('A-1 On-Site Habitat Baseline'!G242="Yes",TRUE,FALSE))</f>
        <v/>
      </c>
      <c r="AD241" s="673">
        <v>232</v>
      </c>
      <c r="AE241" s="672" t="str">
        <f>IF('D-1 Off-Site Habitat Baseline'!G242="","",IF('D-1 Off-Site Habitat Baseline'!G242="Yes",TRUE,FALSE))</f>
        <v/>
      </c>
      <c r="AJ241" s="1"/>
      <c r="BH241" s="673" t="str">
        <f>IF('C-1 On-Site WaterC'' Baseline'!AU241="","",IF('C-1 On-Site WaterC'' Baseline'!AU241="Yes",TRUE,FALSE))</f>
        <v/>
      </c>
      <c r="BI241" s="673">
        <v>232</v>
      </c>
      <c r="BJ241" s="673" t="str">
        <f>IF('F-1 Off-Site WaterC'' Baseline'!AU241="","",IF('F-1 Off-Site WaterC'' Baseline'!AU241="Yes",TRUE,FALSE))</f>
        <v/>
      </c>
    </row>
    <row r="242" spans="29:62" ht="15.5" hidden="1">
      <c r="AC242" s="672" t="str">
        <f>IF('A-1 On-Site Habitat Baseline'!G243="","",IF('A-1 On-Site Habitat Baseline'!G243="Yes",TRUE,FALSE))</f>
        <v/>
      </c>
      <c r="AD242" s="673">
        <v>233</v>
      </c>
      <c r="AE242" s="672" t="str">
        <f>IF('D-1 Off-Site Habitat Baseline'!G243="","",IF('D-1 Off-Site Habitat Baseline'!G243="Yes",TRUE,FALSE))</f>
        <v/>
      </c>
      <c r="AJ242" s="1"/>
      <c r="BH242" s="673" t="str">
        <f>IF('C-1 On-Site WaterC'' Baseline'!AU242="","",IF('C-1 On-Site WaterC'' Baseline'!AU242="Yes",TRUE,FALSE))</f>
        <v/>
      </c>
      <c r="BI242" s="673">
        <v>233</v>
      </c>
      <c r="BJ242" s="673" t="str">
        <f>IF('F-1 Off-Site WaterC'' Baseline'!AU242="","",IF('F-1 Off-Site WaterC'' Baseline'!AU242="Yes",TRUE,FALSE))</f>
        <v/>
      </c>
    </row>
    <row r="243" spans="29:62" ht="15.5" hidden="1">
      <c r="AC243" s="672" t="str">
        <f>IF('A-1 On-Site Habitat Baseline'!G244="","",IF('A-1 On-Site Habitat Baseline'!G244="Yes",TRUE,FALSE))</f>
        <v/>
      </c>
      <c r="AD243" s="673">
        <v>234</v>
      </c>
      <c r="AE243" s="672" t="str">
        <f>IF('D-1 Off-Site Habitat Baseline'!G244="","",IF('D-1 Off-Site Habitat Baseline'!G244="Yes",TRUE,FALSE))</f>
        <v/>
      </c>
      <c r="AJ243" s="1"/>
      <c r="BH243" s="673" t="str">
        <f>IF('C-1 On-Site WaterC'' Baseline'!AU243="","",IF('C-1 On-Site WaterC'' Baseline'!AU243="Yes",TRUE,FALSE))</f>
        <v/>
      </c>
      <c r="BI243" s="673">
        <v>234</v>
      </c>
      <c r="BJ243" s="673" t="str">
        <f>IF('F-1 Off-Site WaterC'' Baseline'!AU243="","",IF('F-1 Off-Site WaterC'' Baseline'!AU243="Yes",TRUE,FALSE))</f>
        <v/>
      </c>
    </row>
    <row r="244" spans="29:62" ht="15.5" hidden="1">
      <c r="AC244" s="672" t="str">
        <f>IF('A-1 On-Site Habitat Baseline'!G245="","",IF('A-1 On-Site Habitat Baseline'!G245="Yes",TRUE,FALSE))</f>
        <v/>
      </c>
      <c r="AD244" s="673">
        <v>235</v>
      </c>
      <c r="AE244" s="672" t="str">
        <f>IF('D-1 Off-Site Habitat Baseline'!G245="","",IF('D-1 Off-Site Habitat Baseline'!G245="Yes",TRUE,FALSE))</f>
        <v/>
      </c>
      <c r="AJ244" s="1"/>
      <c r="BH244" s="673" t="str">
        <f>IF('C-1 On-Site WaterC'' Baseline'!AU244="","",IF('C-1 On-Site WaterC'' Baseline'!AU244="Yes",TRUE,FALSE))</f>
        <v/>
      </c>
      <c r="BI244" s="673">
        <v>235</v>
      </c>
      <c r="BJ244" s="673" t="str">
        <f>IF('F-1 Off-Site WaterC'' Baseline'!AU244="","",IF('F-1 Off-Site WaterC'' Baseline'!AU244="Yes",TRUE,FALSE))</f>
        <v/>
      </c>
    </row>
    <row r="245" spans="29:62" ht="15.5" hidden="1">
      <c r="AC245" s="672" t="str">
        <f>IF('A-1 On-Site Habitat Baseline'!G246="","",IF('A-1 On-Site Habitat Baseline'!G246="Yes",TRUE,FALSE))</f>
        <v/>
      </c>
      <c r="AD245" s="673">
        <v>236</v>
      </c>
      <c r="AE245" s="672" t="str">
        <f>IF('D-1 Off-Site Habitat Baseline'!G246="","",IF('D-1 Off-Site Habitat Baseline'!G246="Yes",TRUE,FALSE))</f>
        <v/>
      </c>
      <c r="AJ245" s="1"/>
      <c r="BH245" s="673" t="str">
        <f>IF('C-1 On-Site WaterC'' Baseline'!AU245="","",IF('C-1 On-Site WaterC'' Baseline'!AU245="Yes",TRUE,FALSE))</f>
        <v/>
      </c>
      <c r="BI245" s="673">
        <v>236</v>
      </c>
      <c r="BJ245" s="673" t="str">
        <f>IF('F-1 Off-Site WaterC'' Baseline'!AU245="","",IF('F-1 Off-Site WaterC'' Baseline'!AU245="Yes",TRUE,FALSE))</f>
        <v/>
      </c>
    </row>
    <row r="246" spans="29:62" ht="15.5" hidden="1">
      <c r="AC246" s="672" t="str">
        <f>IF('A-1 On-Site Habitat Baseline'!G247="","",IF('A-1 On-Site Habitat Baseline'!G247="Yes",TRUE,FALSE))</f>
        <v/>
      </c>
      <c r="AD246" s="673">
        <v>237</v>
      </c>
      <c r="AE246" s="672" t="str">
        <f>IF('D-1 Off-Site Habitat Baseline'!G247="","",IF('D-1 Off-Site Habitat Baseline'!G247="Yes",TRUE,FALSE))</f>
        <v/>
      </c>
      <c r="AJ246" s="1"/>
      <c r="BH246" s="673" t="str">
        <f>IF('C-1 On-Site WaterC'' Baseline'!AU246="","",IF('C-1 On-Site WaterC'' Baseline'!AU246="Yes",TRUE,FALSE))</f>
        <v/>
      </c>
      <c r="BI246" s="673">
        <v>237</v>
      </c>
      <c r="BJ246" s="673" t="str">
        <f>IF('F-1 Off-Site WaterC'' Baseline'!AU246="","",IF('F-1 Off-Site WaterC'' Baseline'!AU246="Yes",TRUE,FALSE))</f>
        <v/>
      </c>
    </row>
    <row r="247" spans="29:62" ht="15.5" hidden="1">
      <c r="AC247" s="672" t="str">
        <f>IF('A-1 On-Site Habitat Baseline'!G248="","",IF('A-1 On-Site Habitat Baseline'!G248="Yes",TRUE,FALSE))</f>
        <v/>
      </c>
      <c r="AD247" s="673">
        <v>238</v>
      </c>
      <c r="AE247" s="672" t="str">
        <f>IF('D-1 Off-Site Habitat Baseline'!G248="","",IF('D-1 Off-Site Habitat Baseline'!G248="Yes",TRUE,FALSE))</f>
        <v/>
      </c>
      <c r="AJ247" s="1"/>
      <c r="BH247" s="673" t="str">
        <f>IF('C-1 On-Site WaterC'' Baseline'!AU247="","",IF('C-1 On-Site WaterC'' Baseline'!AU247="Yes",TRUE,FALSE))</f>
        <v/>
      </c>
      <c r="BI247" s="673">
        <v>238</v>
      </c>
      <c r="BJ247" s="673" t="str">
        <f>IF('F-1 Off-Site WaterC'' Baseline'!AU247="","",IF('F-1 Off-Site WaterC'' Baseline'!AU247="Yes",TRUE,FALSE))</f>
        <v/>
      </c>
    </row>
    <row r="248" spans="29:62" ht="15.5" hidden="1">
      <c r="AC248" s="672" t="str">
        <f>IF('A-1 On-Site Habitat Baseline'!G249="","",IF('A-1 On-Site Habitat Baseline'!G249="Yes",TRUE,FALSE))</f>
        <v/>
      </c>
      <c r="AD248" s="673">
        <v>239</v>
      </c>
      <c r="AE248" s="672" t="str">
        <f>IF('D-1 Off-Site Habitat Baseline'!G249="","",IF('D-1 Off-Site Habitat Baseline'!G249="Yes",TRUE,FALSE))</f>
        <v/>
      </c>
      <c r="AJ248" s="1"/>
      <c r="BH248" s="673" t="str">
        <f>IF('C-1 On-Site WaterC'' Baseline'!AU248="","",IF('C-1 On-Site WaterC'' Baseline'!AU248="Yes",TRUE,FALSE))</f>
        <v/>
      </c>
      <c r="BI248" s="673">
        <v>239</v>
      </c>
      <c r="BJ248" s="673" t="str">
        <f>IF('F-1 Off-Site WaterC'' Baseline'!AU248="","",IF('F-1 Off-Site WaterC'' Baseline'!AU248="Yes",TRUE,FALSE))</f>
        <v/>
      </c>
    </row>
    <row r="249" spans="29:62" ht="15.5" hidden="1">
      <c r="AC249" s="672" t="str">
        <f>IF('A-1 On-Site Habitat Baseline'!G250="","",IF('A-1 On-Site Habitat Baseline'!G250="Yes",TRUE,FALSE))</f>
        <v/>
      </c>
      <c r="AD249" s="673">
        <v>240</v>
      </c>
      <c r="AE249" s="672" t="str">
        <f>IF('D-1 Off-Site Habitat Baseline'!G250="","",IF('D-1 Off-Site Habitat Baseline'!G250="Yes",TRUE,FALSE))</f>
        <v/>
      </c>
      <c r="AJ249" s="1"/>
      <c r="BH249" s="673" t="str">
        <f>IF('C-1 On-Site WaterC'' Baseline'!AU249="","",IF('C-1 On-Site WaterC'' Baseline'!AU249="Yes",TRUE,FALSE))</f>
        <v/>
      </c>
      <c r="BI249" s="673">
        <v>240</v>
      </c>
      <c r="BJ249" s="673" t="str">
        <f>IF('F-1 Off-Site WaterC'' Baseline'!AU249="","",IF('F-1 Off-Site WaterC'' Baseline'!AU249="Yes",TRUE,FALSE))</f>
        <v/>
      </c>
    </row>
    <row r="250" spans="29:62" ht="15.5" hidden="1">
      <c r="AC250" s="672" t="str">
        <f>IF('A-1 On-Site Habitat Baseline'!G251="","",IF('A-1 On-Site Habitat Baseline'!G251="Yes",TRUE,FALSE))</f>
        <v/>
      </c>
      <c r="AD250" s="673">
        <v>241</v>
      </c>
      <c r="AE250" s="672" t="str">
        <f>IF('D-1 Off-Site Habitat Baseline'!G251="","",IF('D-1 Off-Site Habitat Baseline'!G251="Yes",TRUE,FALSE))</f>
        <v/>
      </c>
      <c r="AJ250" s="1"/>
      <c r="BH250" s="673" t="str">
        <f>IF('C-1 On-Site WaterC'' Baseline'!AU250="","",IF('C-1 On-Site WaterC'' Baseline'!AU250="Yes",TRUE,FALSE))</f>
        <v/>
      </c>
      <c r="BI250" s="673">
        <v>241</v>
      </c>
      <c r="BJ250" s="673" t="str">
        <f>IF('F-1 Off-Site WaterC'' Baseline'!AU250="","",IF('F-1 Off-Site WaterC'' Baseline'!AU250="Yes",TRUE,FALSE))</f>
        <v/>
      </c>
    </row>
    <row r="251" spans="29:62" ht="15.5" hidden="1">
      <c r="AC251" s="672" t="str">
        <f>IF('A-1 On-Site Habitat Baseline'!G252="","",IF('A-1 On-Site Habitat Baseline'!G252="Yes",TRUE,FALSE))</f>
        <v/>
      </c>
      <c r="AD251" s="673">
        <v>242</v>
      </c>
      <c r="AE251" s="672" t="str">
        <f>IF('D-1 Off-Site Habitat Baseline'!G252="","",IF('D-1 Off-Site Habitat Baseline'!G252="Yes",TRUE,FALSE))</f>
        <v/>
      </c>
      <c r="AJ251" s="1"/>
      <c r="BH251" s="673" t="str">
        <f>IF('C-1 On-Site WaterC'' Baseline'!AU251="","",IF('C-1 On-Site WaterC'' Baseline'!AU251="Yes",TRUE,FALSE))</f>
        <v/>
      </c>
      <c r="BI251" s="673">
        <v>242</v>
      </c>
      <c r="BJ251" s="673" t="str">
        <f>IF('F-1 Off-Site WaterC'' Baseline'!AU251="","",IF('F-1 Off-Site WaterC'' Baseline'!AU251="Yes",TRUE,FALSE))</f>
        <v/>
      </c>
    </row>
    <row r="252" spans="29:62" ht="15.5" hidden="1">
      <c r="AC252" s="672" t="str">
        <f>IF('A-1 On-Site Habitat Baseline'!G253="","",IF('A-1 On-Site Habitat Baseline'!G253="Yes",TRUE,FALSE))</f>
        <v/>
      </c>
      <c r="AD252" s="673">
        <v>243</v>
      </c>
      <c r="AE252" s="672" t="str">
        <f>IF('D-1 Off-Site Habitat Baseline'!G253="","",IF('D-1 Off-Site Habitat Baseline'!G253="Yes",TRUE,FALSE))</f>
        <v/>
      </c>
      <c r="AJ252" s="1"/>
      <c r="BH252" s="673" t="str">
        <f>IF('C-1 On-Site WaterC'' Baseline'!AU252="","",IF('C-1 On-Site WaterC'' Baseline'!AU252="Yes",TRUE,FALSE))</f>
        <v/>
      </c>
      <c r="BI252" s="673">
        <v>243</v>
      </c>
      <c r="BJ252" s="673" t="str">
        <f>IF('F-1 Off-Site WaterC'' Baseline'!AU252="","",IF('F-1 Off-Site WaterC'' Baseline'!AU252="Yes",TRUE,FALSE))</f>
        <v/>
      </c>
    </row>
    <row r="253" spans="29:62" ht="15.5" hidden="1">
      <c r="AC253" s="672" t="str">
        <f>IF('A-1 On-Site Habitat Baseline'!G254="","",IF('A-1 On-Site Habitat Baseline'!G254="Yes",TRUE,FALSE))</f>
        <v/>
      </c>
      <c r="AD253" s="673">
        <v>244</v>
      </c>
      <c r="AE253" s="672" t="str">
        <f>IF('D-1 Off-Site Habitat Baseline'!G254="","",IF('D-1 Off-Site Habitat Baseline'!G254="Yes",TRUE,FALSE))</f>
        <v/>
      </c>
      <c r="AJ253" s="1"/>
      <c r="BH253" s="673" t="str">
        <f>IF('C-1 On-Site WaterC'' Baseline'!AU253="","",IF('C-1 On-Site WaterC'' Baseline'!AU253="Yes",TRUE,FALSE))</f>
        <v/>
      </c>
      <c r="BI253" s="673">
        <v>244</v>
      </c>
      <c r="BJ253" s="673" t="str">
        <f>IF('F-1 Off-Site WaterC'' Baseline'!AU253="","",IF('F-1 Off-Site WaterC'' Baseline'!AU253="Yes",TRUE,FALSE))</f>
        <v/>
      </c>
    </row>
    <row r="254" spans="29:62" ht="15.5" hidden="1">
      <c r="AC254" s="672" t="str">
        <f>IF('A-1 On-Site Habitat Baseline'!G255="","",IF('A-1 On-Site Habitat Baseline'!G255="Yes",TRUE,FALSE))</f>
        <v/>
      </c>
      <c r="AD254" s="673">
        <v>245</v>
      </c>
      <c r="AE254" s="672" t="str">
        <f>IF('D-1 Off-Site Habitat Baseline'!G255="","",IF('D-1 Off-Site Habitat Baseline'!G255="Yes",TRUE,FALSE))</f>
        <v/>
      </c>
      <c r="AJ254" s="1"/>
      <c r="BH254" s="673" t="str">
        <f>IF('C-1 On-Site WaterC'' Baseline'!AU254="","",IF('C-1 On-Site WaterC'' Baseline'!AU254="Yes",TRUE,FALSE))</f>
        <v/>
      </c>
      <c r="BI254" s="673">
        <v>245</v>
      </c>
      <c r="BJ254" s="673" t="str">
        <f>IF('F-1 Off-Site WaterC'' Baseline'!AU254="","",IF('F-1 Off-Site WaterC'' Baseline'!AU254="Yes",TRUE,FALSE))</f>
        <v/>
      </c>
    </row>
    <row r="255" spans="29:62" ht="15.5" hidden="1">
      <c r="AC255" s="672" t="str">
        <f>IF('A-1 On-Site Habitat Baseline'!G256="","",IF('A-1 On-Site Habitat Baseline'!G256="Yes",TRUE,FALSE))</f>
        <v/>
      </c>
      <c r="AD255" s="673">
        <v>246</v>
      </c>
      <c r="AE255" s="672" t="str">
        <f>IF('D-1 Off-Site Habitat Baseline'!G256="","",IF('D-1 Off-Site Habitat Baseline'!G256="Yes",TRUE,FALSE))</f>
        <v/>
      </c>
      <c r="AJ255" s="1"/>
      <c r="BH255" s="673" t="str">
        <f>IF('C-1 On-Site WaterC'' Baseline'!AU255="","",IF('C-1 On-Site WaterC'' Baseline'!AU255="Yes",TRUE,FALSE))</f>
        <v/>
      </c>
      <c r="BI255" s="673">
        <v>246</v>
      </c>
      <c r="BJ255" s="673" t="str">
        <f>IF('F-1 Off-Site WaterC'' Baseline'!AU255="","",IF('F-1 Off-Site WaterC'' Baseline'!AU255="Yes",TRUE,FALSE))</f>
        <v/>
      </c>
    </row>
    <row r="256" spans="29:62" ht="15.5" hidden="1">
      <c r="AC256" s="672" t="str">
        <f>IF('A-1 On-Site Habitat Baseline'!G257="","",IF('A-1 On-Site Habitat Baseline'!G257="Yes",TRUE,FALSE))</f>
        <v/>
      </c>
      <c r="AD256" s="673">
        <v>247</v>
      </c>
      <c r="AE256" s="672" t="str">
        <f>IF('D-1 Off-Site Habitat Baseline'!G257="","",IF('D-1 Off-Site Habitat Baseline'!G257="Yes",TRUE,FALSE))</f>
        <v/>
      </c>
      <c r="AJ256" s="1"/>
      <c r="BH256" s="673" t="str">
        <f>IF('C-1 On-Site WaterC'' Baseline'!AU256="","",IF('C-1 On-Site WaterC'' Baseline'!AU256="Yes",TRUE,FALSE))</f>
        <v/>
      </c>
      <c r="BI256" s="673">
        <v>247</v>
      </c>
      <c r="BJ256" s="673" t="str">
        <f>IF('F-1 Off-Site WaterC'' Baseline'!AU256="","",IF('F-1 Off-Site WaterC'' Baseline'!AU256="Yes",TRUE,FALSE))</f>
        <v/>
      </c>
    </row>
    <row r="257" spans="29:62" ht="15.5" hidden="1">
      <c r="AC257" s="672" t="str">
        <f>IF('A-1 On-Site Habitat Baseline'!G258="","",IF('A-1 On-Site Habitat Baseline'!G258="Yes",TRUE,FALSE))</f>
        <v/>
      </c>
      <c r="AD257" s="673">
        <v>248</v>
      </c>
      <c r="AE257" s="672" t="str">
        <f>IF('D-1 Off-Site Habitat Baseline'!G258="","",IF('D-1 Off-Site Habitat Baseline'!G258="Yes",TRUE,FALSE))</f>
        <v/>
      </c>
      <c r="AJ257" s="1"/>
      <c r="BH257" s="673" t="str">
        <f>IF('C-1 On-Site WaterC'' Baseline'!AU257="","",IF('C-1 On-Site WaterC'' Baseline'!AU257="Yes",TRUE,FALSE))</f>
        <v/>
      </c>
      <c r="BI257" s="673">
        <v>248</v>
      </c>
      <c r="BJ257" s="673" t="str">
        <f>IF('F-1 Off-Site WaterC'' Baseline'!AU257="","",IF('F-1 Off-Site WaterC'' Baseline'!AU257="Yes",TRUE,FALSE))</f>
        <v/>
      </c>
    </row>
    <row r="258" spans="29:62" ht="15.5" hidden="1">
      <c r="AC258" s="672" t="str">
        <f>IF('A-1 On-Site Habitat Baseline'!G259="","",IF('A-1 On-Site Habitat Baseline'!G259="Yes",TRUE,FALSE))</f>
        <v/>
      </c>
      <c r="AD258" s="673">
        <v>249</v>
      </c>
      <c r="AE258" s="672" t="str">
        <f>IF('D-1 Off-Site Habitat Baseline'!G259="","",IF('D-1 Off-Site Habitat Baseline'!G259="Yes",TRUE,FALSE))</f>
        <v/>
      </c>
      <c r="AJ258" s="1"/>
      <c r="BH258" s="673" t="str">
        <f>IF('C-1 On-Site WaterC'' Baseline'!AU258="","",IF('C-1 On-Site WaterC'' Baseline'!AU258="Yes",TRUE,FALSE))</f>
        <v/>
      </c>
      <c r="BI258" s="673">
        <v>249</v>
      </c>
      <c r="BJ258" s="673" t="str">
        <f>IF('F-1 Off-Site WaterC'' Baseline'!AU258="","",IF('F-1 Off-Site WaterC'' Baseline'!AU258="Yes",TRUE,FALSE))</f>
        <v/>
      </c>
    </row>
    <row r="259" spans="29:62" ht="15.5" hidden="1">
      <c r="AC259" s="672" t="str">
        <f>IF('A-1 On-Site Habitat Baseline'!G260="","",IF('A-1 On-Site Habitat Baseline'!G260="Yes",TRUE,FALSE))</f>
        <v/>
      </c>
      <c r="AD259" s="673">
        <v>250</v>
      </c>
      <c r="AE259" s="672" t="str">
        <f>IF('D-1 Off-Site Habitat Baseline'!G260="","",IF('D-1 Off-Site Habitat Baseline'!G260="Yes",TRUE,FALSE))</f>
        <v/>
      </c>
      <c r="AJ259" s="1"/>
      <c r="BH259" s="673" t="str">
        <f>IF('C-1 On-Site WaterC'' Baseline'!AU259="","",IF('C-1 On-Site WaterC'' Baseline'!AU259="Yes",TRUE,FALSE))</f>
        <v/>
      </c>
      <c r="BI259" s="673">
        <v>250</v>
      </c>
      <c r="BJ259" s="673" t="str">
        <f>IF('F-1 Off-Site WaterC'' Baseline'!AU259="","",IF('F-1 Off-Site WaterC'' Baseline'!AU259="Yes",TRUE,FALSE))</f>
        <v/>
      </c>
    </row>
    <row r="260" spans="36:36" ht="15.5" hidden="1">
      <c r="AJ260" s="1"/>
    </row>
    <row r="261" spans="36:36" ht="15.5" hidden="1">
      <c r="AJ261" s="1"/>
    </row>
    <row r="262" spans="36:36" ht="15.5" hidden="1">
      <c r="AJ262" s="1"/>
    </row>
    <row r="263" spans="36:36" ht="15.5" hidden="1">
      <c r="AJ263" s="1"/>
    </row>
    <row r="264" spans="36:36" ht="15.5" hidden="1">
      <c r="AJ264" s="1"/>
    </row>
    <row r="265" spans="36:36" ht="15.5" hidden="1">
      <c r="AJ265" s="1"/>
    </row>
    <row r="266" spans="36:36" ht="15.5" hidden="1">
      <c r="AJ266" s="1"/>
    </row>
    <row r="267" spans="36:36" ht="15.5" hidden="1">
      <c r="AJ267" s="1"/>
    </row>
    <row r="268" spans="36:36" ht="15.5" hidden="1">
      <c r="AJ268" s="1"/>
    </row>
    <row r="269" spans="36:36" ht="15.5" hidden="1">
      <c r="AJ269" s="1"/>
    </row>
    <row r="270" spans="36:36" ht="15.5" hidden="1">
      <c r="AJ270" s="1"/>
    </row>
    <row r="271" spans="36:36" ht="15.5" hidden="1">
      <c r="AJ271" s="1"/>
    </row>
    <row r="272" spans="36:36" ht="15.5" hidden="1">
      <c r="AJ272" s="1"/>
    </row>
    <row r="273" spans="36:36" ht="15.5" hidden="1">
      <c r="AJ273" s="1"/>
    </row>
    <row r="274" spans="36:36" ht="15.5" hidden="1">
      <c r="AJ274" s="1"/>
    </row>
    <row r="275" spans="36:36" ht="15.5" hidden="1">
      <c r="AJ275" s="1"/>
    </row>
    <row r="276" spans="36:36" ht="15.5" hidden="1">
      <c r="AJ276" s="1"/>
    </row>
    <row r="277" spans="36:36" ht="15.5" hidden="1">
      <c r="AJ277" s="1"/>
    </row>
    <row r="278" spans="36:36" ht="15.5" hidden="1">
      <c r="AJ278" s="1"/>
    </row>
    <row r="279" spans="36:36" ht="15.5" hidden="1">
      <c r="AJ279" s="1"/>
    </row>
    <row r="280" spans="36:36" ht="15.5" hidden="1">
      <c r="AJ280" s="1"/>
    </row>
    <row r="281" spans="36:36" ht="15.5" hidden="1">
      <c r="AJ281" s="1"/>
    </row>
    <row r="282" spans="36:36" ht="15.5" hidden="1">
      <c r="AJ282" s="1"/>
    </row>
    <row r="283" spans="36:36" ht="15.5" hidden="1">
      <c r="AJ283" s="1"/>
    </row>
    <row r="284" spans="36:36" ht="15.5" hidden="1">
      <c r="AJ284" s="1"/>
    </row>
    <row r="285" spans="36:36" ht="15.5" hidden="1">
      <c r="AJ285" s="1"/>
    </row>
    <row r="286" spans="36:36" ht="15.5" hidden="1">
      <c r="AJ286" s="1"/>
    </row>
  </sheetData>
  <sheetProtection algorithmName="SHA-512" hashValue="1dsvpyKPrCRZwU+nTcbpmfK0UgJZJqtuMt1PPShWTXK+RmnlAjamEDnxEiG+JdRF+6IhhBYwpnGjcfgVVJgB8A==" saltValue="Ty183Y8rB6zmFXU5ZiPjFA==" spinCount="100000" sheet="1" objects="1" scenarios="1"/>
  <mergeCells count="623">
    <mergeCell ref="AM64:AO64"/>
    <mergeCell ref="AG2:BG3"/>
    <mergeCell ref="AG4:BG5"/>
    <mergeCell ref="AG35:BG36"/>
    <mergeCell ref="AG37:BG38"/>
    <mergeCell ref="AJ63:AL63"/>
    <mergeCell ref="AJ64:AL64"/>
    <mergeCell ref="AM42:AO42"/>
    <mergeCell ref="AM43:AO43"/>
    <mergeCell ref="AM44:AO44"/>
    <mergeCell ref="AM45:AO45"/>
    <mergeCell ref="AM46:AO46"/>
    <mergeCell ref="AM47:AO47"/>
    <mergeCell ref="AM48:AO48"/>
    <mergeCell ref="AM49:AO49"/>
    <mergeCell ref="AM50:AO50"/>
    <mergeCell ref="AM51:AO51"/>
    <mergeCell ref="AM52:AO52"/>
    <mergeCell ref="AM53:AO53"/>
    <mergeCell ref="AM54:AO54"/>
    <mergeCell ref="AM55:AO55"/>
    <mergeCell ref="AM56:AO56"/>
    <mergeCell ref="AM57:AO57"/>
    <mergeCell ref="AM58:AO58"/>
    <mergeCell ref="AM59:AO59"/>
    <mergeCell ref="AM60:AO60"/>
    <mergeCell ref="AM61:AO61"/>
    <mergeCell ref="AM62:AO62"/>
    <mergeCell ref="AM63:AO63"/>
    <mergeCell ref="AJ42:AL42"/>
    <mergeCell ref="AJ43:AL43"/>
    <mergeCell ref="AJ44:AL44"/>
    <mergeCell ref="AJ45:AL45"/>
    <mergeCell ref="AJ46:AL46"/>
    <mergeCell ref="AJ47:AL47"/>
    <mergeCell ref="AJ48:AL48"/>
    <mergeCell ref="AJ49:AL49"/>
    <mergeCell ref="AJ50:AL50"/>
    <mergeCell ref="E45:G45"/>
    <mergeCell ref="E46:G46"/>
    <mergeCell ref="H43:J43"/>
    <mergeCell ref="H44:J44"/>
    <mergeCell ref="H45:J45"/>
    <mergeCell ref="H46:J46"/>
    <mergeCell ref="E33:J33"/>
    <mergeCell ref="K42:L42"/>
    <mergeCell ref="M42:N42"/>
    <mergeCell ref="K43:L43"/>
    <mergeCell ref="M43:N43"/>
    <mergeCell ref="K45:L45"/>
    <mergeCell ref="M45:N45"/>
    <mergeCell ref="S30:T30"/>
    <mergeCell ref="E30:G30"/>
    <mergeCell ref="E31:G31"/>
    <mergeCell ref="H30:J30"/>
    <mergeCell ref="H31:J31"/>
    <mergeCell ref="K44:L44"/>
    <mergeCell ref="M44:N44"/>
    <mergeCell ref="E42:G42"/>
    <mergeCell ref="H42:J42"/>
    <mergeCell ref="E43:G43"/>
    <mergeCell ref="E44:G44"/>
    <mergeCell ref="O42:R42"/>
    <mergeCell ref="S42:T42"/>
    <mergeCell ref="O43:R43"/>
    <mergeCell ref="S43:T43"/>
    <mergeCell ref="O44:R44"/>
    <mergeCell ref="S44:T44"/>
    <mergeCell ref="K29:L29"/>
    <mergeCell ref="M29:N29"/>
    <mergeCell ref="O29:R29"/>
    <mergeCell ref="S29:T29"/>
    <mergeCell ref="K28:L28"/>
    <mergeCell ref="M28:N28"/>
    <mergeCell ref="O28:R28"/>
    <mergeCell ref="S28:T28"/>
    <mergeCell ref="E28:G28"/>
    <mergeCell ref="E29:G29"/>
    <mergeCell ref="H28:J28"/>
    <mergeCell ref="H29:J29"/>
    <mergeCell ref="K27:L27"/>
    <mergeCell ref="M27:N27"/>
    <mergeCell ref="O27:R27"/>
    <mergeCell ref="S27:T27"/>
    <mergeCell ref="K26:L26"/>
    <mergeCell ref="M26:N26"/>
    <mergeCell ref="O26:R26"/>
    <mergeCell ref="S26:T26"/>
    <mergeCell ref="E26:G26"/>
    <mergeCell ref="E27:G27"/>
    <mergeCell ref="H26:J26"/>
    <mergeCell ref="H27:J27"/>
    <mergeCell ref="K25:L25"/>
    <mergeCell ref="M25:N25"/>
    <mergeCell ref="O25:R25"/>
    <mergeCell ref="S25:T25"/>
    <mergeCell ref="K24:L24"/>
    <mergeCell ref="M24:N24"/>
    <mergeCell ref="O24:R24"/>
    <mergeCell ref="S24:T24"/>
    <mergeCell ref="E24:G24"/>
    <mergeCell ref="E25:G25"/>
    <mergeCell ref="H24:J24"/>
    <mergeCell ref="H25:J25"/>
    <mergeCell ref="K23:L23"/>
    <mergeCell ref="M23:N23"/>
    <mergeCell ref="O23:R23"/>
    <mergeCell ref="S23:T23"/>
    <mergeCell ref="K22:L22"/>
    <mergeCell ref="M22:N22"/>
    <mergeCell ref="O22:R22"/>
    <mergeCell ref="S22:T22"/>
    <mergeCell ref="E22:G22"/>
    <mergeCell ref="E23:G23"/>
    <mergeCell ref="H22:J22"/>
    <mergeCell ref="H23:J23"/>
    <mergeCell ref="K21:L21"/>
    <mergeCell ref="M21:N21"/>
    <mergeCell ref="O21:R21"/>
    <mergeCell ref="S21:T21"/>
    <mergeCell ref="K20:L20"/>
    <mergeCell ref="M20:N20"/>
    <mergeCell ref="O20:R20"/>
    <mergeCell ref="S20:T20"/>
    <mergeCell ref="E20:G20"/>
    <mergeCell ref="E21:G21"/>
    <mergeCell ref="H20:J20"/>
    <mergeCell ref="H21:J21"/>
    <mergeCell ref="K19:L19"/>
    <mergeCell ref="M19:N19"/>
    <mergeCell ref="O19:R19"/>
    <mergeCell ref="S19:T19"/>
    <mergeCell ref="K18:L18"/>
    <mergeCell ref="M18:N18"/>
    <mergeCell ref="O18:R18"/>
    <mergeCell ref="S18:T18"/>
    <mergeCell ref="E18:G18"/>
    <mergeCell ref="E19:G19"/>
    <mergeCell ref="H18:J18"/>
    <mergeCell ref="H19:J19"/>
    <mergeCell ref="K17:L17"/>
    <mergeCell ref="M17:N17"/>
    <mergeCell ref="O17:R17"/>
    <mergeCell ref="S17:T17"/>
    <mergeCell ref="K16:L16"/>
    <mergeCell ref="M16:N16"/>
    <mergeCell ref="O16:R16"/>
    <mergeCell ref="S16:T16"/>
    <mergeCell ref="E16:G16"/>
    <mergeCell ref="E17:G17"/>
    <mergeCell ref="H16:J16"/>
    <mergeCell ref="H17:J17"/>
    <mergeCell ref="K15:L15"/>
    <mergeCell ref="M15:N15"/>
    <mergeCell ref="O15:R15"/>
    <mergeCell ref="S15:T15"/>
    <mergeCell ref="K14:L14"/>
    <mergeCell ref="M14:N14"/>
    <mergeCell ref="O14:R14"/>
    <mergeCell ref="S14:T14"/>
    <mergeCell ref="E14:G14"/>
    <mergeCell ref="E15:G15"/>
    <mergeCell ref="H14:J14"/>
    <mergeCell ref="H15:J15"/>
    <mergeCell ref="K13:L13"/>
    <mergeCell ref="M13:N13"/>
    <mergeCell ref="O13:R13"/>
    <mergeCell ref="S13:T13"/>
    <mergeCell ref="K12:L12"/>
    <mergeCell ref="M12:N12"/>
    <mergeCell ref="O12:R12"/>
    <mergeCell ref="S12:T12"/>
    <mergeCell ref="E12:G12"/>
    <mergeCell ref="E13:G13"/>
    <mergeCell ref="H12:J12"/>
    <mergeCell ref="H13:J13"/>
    <mergeCell ref="K11:L11"/>
    <mergeCell ref="M11:N11"/>
    <mergeCell ref="O11:R11"/>
    <mergeCell ref="S11:T11"/>
    <mergeCell ref="K10:L10"/>
    <mergeCell ref="M10:N10"/>
    <mergeCell ref="O10:R10"/>
    <mergeCell ref="S10:T10"/>
    <mergeCell ref="E10:G10"/>
    <mergeCell ref="E11:G11"/>
    <mergeCell ref="H10:J10"/>
    <mergeCell ref="H11:J11"/>
    <mergeCell ref="K9:L9"/>
    <mergeCell ref="M9:N9"/>
    <mergeCell ref="O9:R9"/>
    <mergeCell ref="S9:T9"/>
    <mergeCell ref="AP9:AQ9"/>
    <mergeCell ref="AR9:AS9"/>
    <mergeCell ref="AT9:AW9"/>
    <mergeCell ref="AX9:AY9"/>
    <mergeCell ref="E9:G9"/>
    <mergeCell ref="H9:J9"/>
    <mergeCell ref="AJ9:AL9"/>
    <mergeCell ref="AM9:AO9"/>
    <mergeCell ref="AJ10:AL10"/>
    <mergeCell ref="AJ11:AL11"/>
    <mergeCell ref="AM10:AO10"/>
    <mergeCell ref="AM11:AO11"/>
    <mergeCell ref="AP12:AQ12"/>
    <mergeCell ref="AR12:AS12"/>
    <mergeCell ref="AT12:AW12"/>
    <mergeCell ref="AX12:AY12"/>
    <mergeCell ref="AZ12:BD12"/>
    <mergeCell ref="AP10:AQ10"/>
    <mergeCell ref="AR10:AS10"/>
    <mergeCell ref="AT10:AW10"/>
    <mergeCell ref="AX10:AY10"/>
    <mergeCell ref="AZ10:BD10"/>
    <mergeCell ref="AP11:AQ11"/>
    <mergeCell ref="AR11:AS11"/>
    <mergeCell ref="AT11:AW11"/>
    <mergeCell ref="AX11:AY11"/>
    <mergeCell ref="AZ11:BD11"/>
    <mergeCell ref="AP13:AQ13"/>
    <mergeCell ref="AR13:AS13"/>
    <mergeCell ref="AT13:AW13"/>
    <mergeCell ref="AX13:AY13"/>
    <mergeCell ref="AZ13:BD13"/>
    <mergeCell ref="AJ12:AL12"/>
    <mergeCell ref="AJ13:AL13"/>
    <mergeCell ref="AM12:AO12"/>
    <mergeCell ref="AM13:AO13"/>
    <mergeCell ref="AJ14:AL14"/>
    <mergeCell ref="AJ15:AL15"/>
    <mergeCell ref="AM14:AO14"/>
    <mergeCell ref="AM15:AO15"/>
    <mergeCell ref="AP16:AQ16"/>
    <mergeCell ref="AR16:AS16"/>
    <mergeCell ref="AT16:AW16"/>
    <mergeCell ref="AX16:AY16"/>
    <mergeCell ref="AZ16:BD16"/>
    <mergeCell ref="AP14:AQ14"/>
    <mergeCell ref="AR14:AS14"/>
    <mergeCell ref="AT14:AW14"/>
    <mergeCell ref="AX14:AY14"/>
    <mergeCell ref="AZ14:BD14"/>
    <mergeCell ref="AP15:AQ15"/>
    <mergeCell ref="AR15:AS15"/>
    <mergeCell ref="AT15:AW15"/>
    <mergeCell ref="AX15:AY15"/>
    <mergeCell ref="AZ15:BD15"/>
    <mergeCell ref="AP17:AQ17"/>
    <mergeCell ref="AR17:AS17"/>
    <mergeCell ref="AT17:AW17"/>
    <mergeCell ref="AX17:AY17"/>
    <mergeCell ref="AZ17:BD17"/>
    <mergeCell ref="AJ16:AL16"/>
    <mergeCell ref="AJ17:AL17"/>
    <mergeCell ref="AM16:AO16"/>
    <mergeCell ref="AM17:AO17"/>
    <mergeCell ref="AJ18:AL18"/>
    <mergeCell ref="AJ19:AL19"/>
    <mergeCell ref="AM18:AO18"/>
    <mergeCell ref="AM19:AO19"/>
    <mergeCell ref="AP20:AQ20"/>
    <mergeCell ref="AR20:AS20"/>
    <mergeCell ref="AT20:AW20"/>
    <mergeCell ref="AX20:AY20"/>
    <mergeCell ref="AZ20:BD20"/>
    <mergeCell ref="AP18:AQ18"/>
    <mergeCell ref="AR18:AS18"/>
    <mergeCell ref="AT18:AW18"/>
    <mergeCell ref="AX18:AY18"/>
    <mergeCell ref="AZ18:BD18"/>
    <mergeCell ref="AP19:AQ19"/>
    <mergeCell ref="AR19:AS19"/>
    <mergeCell ref="AT19:AW19"/>
    <mergeCell ref="AX19:AY19"/>
    <mergeCell ref="AZ19:BD19"/>
    <mergeCell ref="AP21:AQ21"/>
    <mergeCell ref="AR21:AS21"/>
    <mergeCell ref="AT21:AW21"/>
    <mergeCell ref="AX21:AY21"/>
    <mergeCell ref="AZ21:BD21"/>
    <mergeCell ref="AJ20:AL20"/>
    <mergeCell ref="AJ21:AL21"/>
    <mergeCell ref="AM20:AO20"/>
    <mergeCell ref="AM21:AO21"/>
    <mergeCell ref="AJ22:AL22"/>
    <mergeCell ref="AJ23:AL23"/>
    <mergeCell ref="AM22:AO22"/>
    <mergeCell ref="AM23:AO23"/>
    <mergeCell ref="AP24:AQ24"/>
    <mergeCell ref="AR24:AS24"/>
    <mergeCell ref="AT24:AW24"/>
    <mergeCell ref="AX24:AY24"/>
    <mergeCell ref="AZ24:BD24"/>
    <mergeCell ref="AP22:AQ22"/>
    <mergeCell ref="AR22:AS22"/>
    <mergeCell ref="AT22:AW22"/>
    <mergeCell ref="AX22:AY22"/>
    <mergeCell ref="AZ22:BD22"/>
    <mergeCell ref="AP23:AQ23"/>
    <mergeCell ref="AR23:AS23"/>
    <mergeCell ref="AT23:AW23"/>
    <mergeCell ref="AX23:AY23"/>
    <mergeCell ref="AZ23:BD23"/>
    <mergeCell ref="AP25:AQ25"/>
    <mergeCell ref="AR25:AS25"/>
    <mergeCell ref="AT25:AW25"/>
    <mergeCell ref="AX25:AY25"/>
    <mergeCell ref="AZ25:BD25"/>
    <mergeCell ref="AJ24:AL24"/>
    <mergeCell ref="AJ25:AL25"/>
    <mergeCell ref="AM24:AO24"/>
    <mergeCell ref="AM25:AO25"/>
    <mergeCell ref="AJ26:AL26"/>
    <mergeCell ref="AJ27:AL27"/>
    <mergeCell ref="AM26:AO26"/>
    <mergeCell ref="AM27:AO27"/>
    <mergeCell ref="AP28:AQ28"/>
    <mergeCell ref="AR28:AS28"/>
    <mergeCell ref="AT28:AW28"/>
    <mergeCell ref="AX28:AY28"/>
    <mergeCell ref="AZ28:BD28"/>
    <mergeCell ref="AP26:AQ26"/>
    <mergeCell ref="AR26:AS26"/>
    <mergeCell ref="AT26:AW26"/>
    <mergeCell ref="AX26:AY26"/>
    <mergeCell ref="AZ26:BD26"/>
    <mergeCell ref="AP27:AQ27"/>
    <mergeCell ref="AR27:AS27"/>
    <mergeCell ref="AT27:AW27"/>
    <mergeCell ref="AX27:AY27"/>
    <mergeCell ref="AZ27:BD27"/>
    <mergeCell ref="AP29:AQ29"/>
    <mergeCell ref="AR29:AS29"/>
    <mergeCell ref="AT29:AW29"/>
    <mergeCell ref="AX29:AY29"/>
    <mergeCell ref="AZ29:BD29"/>
    <mergeCell ref="AJ28:AL28"/>
    <mergeCell ref="AJ29:AL29"/>
    <mergeCell ref="AM28:AO28"/>
    <mergeCell ref="AM29:AO29"/>
    <mergeCell ref="AP32:AQ32"/>
    <mergeCell ref="K33:L33"/>
    <mergeCell ref="AP30:AQ30"/>
    <mergeCell ref="AR30:AS30"/>
    <mergeCell ref="AT30:AW30"/>
    <mergeCell ref="AX30:AY30"/>
    <mergeCell ref="AZ30:BD30"/>
    <mergeCell ref="AP31:AQ31"/>
    <mergeCell ref="AR31:AS31"/>
    <mergeCell ref="AT31:AW31"/>
    <mergeCell ref="AX31:AY31"/>
    <mergeCell ref="AZ31:BD31"/>
    <mergeCell ref="K32:L32"/>
    <mergeCell ref="AJ30:AL30"/>
    <mergeCell ref="AJ31:AL31"/>
    <mergeCell ref="AM30:AO30"/>
    <mergeCell ref="AM31:AO31"/>
    <mergeCell ref="K31:L31"/>
    <mergeCell ref="M31:N31"/>
    <mergeCell ref="O31:R31"/>
    <mergeCell ref="S31:T31"/>
    <mergeCell ref="K30:L30"/>
    <mergeCell ref="M30:N30"/>
    <mergeCell ref="O30:R30"/>
    <mergeCell ref="O45:R45"/>
    <mergeCell ref="S45:T45"/>
    <mergeCell ref="K46:L46"/>
    <mergeCell ref="M46:N46"/>
    <mergeCell ref="O46:R46"/>
    <mergeCell ref="S46:T46"/>
    <mergeCell ref="K47:L47"/>
    <mergeCell ref="M47:N47"/>
    <mergeCell ref="O47:R47"/>
    <mergeCell ref="S47:T47"/>
    <mergeCell ref="K48:L48"/>
    <mergeCell ref="M48:N48"/>
    <mergeCell ref="O48:R48"/>
    <mergeCell ref="S48:T48"/>
    <mergeCell ref="E47:G47"/>
    <mergeCell ref="E48:G48"/>
    <mergeCell ref="H47:J47"/>
    <mergeCell ref="H48:J48"/>
    <mergeCell ref="K49:L49"/>
    <mergeCell ref="M49:N49"/>
    <mergeCell ref="O49:R49"/>
    <mergeCell ref="S49:T49"/>
    <mergeCell ref="K50:L50"/>
    <mergeCell ref="M50:N50"/>
    <mergeCell ref="O50:R50"/>
    <mergeCell ref="S50:T50"/>
    <mergeCell ref="E49:G49"/>
    <mergeCell ref="E50:G50"/>
    <mergeCell ref="H49:J49"/>
    <mergeCell ref="H50:J50"/>
    <mergeCell ref="K51:L51"/>
    <mergeCell ref="M51:N51"/>
    <mergeCell ref="O51:R51"/>
    <mergeCell ref="S51:T51"/>
    <mergeCell ref="K52:L52"/>
    <mergeCell ref="M52:N52"/>
    <mergeCell ref="O52:R52"/>
    <mergeCell ref="S52:T52"/>
    <mergeCell ref="E51:G51"/>
    <mergeCell ref="E52:G52"/>
    <mergeCell ref="H51:J51"/>
    <mergeCell ref="H52:J52"/>
    <mergeCell ref="K53:L53"/>
    <mergeCell ref="M53:N53"/>
    <mergeCell ref="O53:R53"/>
    <mergeCell ref="S53:T53"/>
    <mergeCell ref="K54:L54"/>
    <mergeCell ref="M54:N54"/>
    <mergeCell ref="O54:R54"/>
    <mergeCell ref="S54:T54"/>
    <mergeCell ref="E53:G53"/>
    <mergeCell ref="E54:G54"/>
    <mergeCell ref="H53:J53"/>
    <mergeCell ref="H54:J54"/>
    <mergeCell ref="E57:G57"/>
    <mergeCell ref="E58:G58"/>
    <mergeCell ref="H57:J57"/>
    <mergeCell ref="H58:J58"/>
    <mergeCell ref="K55:L55"/>
    <mergeCell ref="M55:N55"/>
    <mergeCell ref="O55:R55"/>
    <mergeCell ref="S55:T55"/>
    <mergeCell ref="K56:L56"/>
    <mergeCell ref="M56:N56"/>
    <mergeCell ref="O56:R56"/>
    <mergeCell ref="S56:T56"/>
    <mergeCell ref="E55:G55"/>
    <mergeCell ref="E56:G56"/>
    <mergeCell ref="H55:J55"/>
    <mergeCell ref="H56:J56"/>
    <mergeCell ref="H60:J60"/>
    <mergeCell ref="K57:L57"/>
    <mergeCell ref="M57:N57"/>
    <mergeCell ref="O57:R57"/>
    <mergeCell ref="S57:T57"/>
    <mergeCell ref="K58:L58"/>
    <mergeCell ref="M58:N58"/>
    <mergeCell ref="O58:R58"/>
    <mergeCell ref="S58:T58"/>
    <mergeCell ref="H59:J59"/>
    <mergeCell ref="K64:L64"/>
    <mergeCell ref="M64:N64"/>
    <mergeCell ref="O64:R64"/>
    <mergeCell ref="S64:T64"/>
    <mergeCell ref="E63:G63"/>
    <mergeCell ref="E64:G64"/>
    <mergeCell ref="H63:J63"/>
    <mergeCell ref="H64:J64"/>
    <mergeCell ref="K61:L61"/>
    <mergeCell ref="M61:N61"/>
    <mergeCell ref="O61:R61"/>
    <mergeCell ref="S61:T61"/>
    <mergeCell ref="K62:L62"/>
    <mergeCell ref="M62:N62"/>
    <mergeCell ref="O62:R62"/>
    <mergeCell ref="S62:T62"/>
    <mergeCell ref="E61:G61"/>
    <mergeCell ref="E62:G62"/>
    <mergeCell ref="H61:J61"/>
    <mergeCell ref="H62:J62"/>
    <mergeCell ref="E65:J65"/>
    <mergeCell ref="K65:L65"/>
    <mergeCell ref="AP42:AQ42"/>
    <mergeCell ref="AR42:AS42"/>
    <mergeCell ref="AT42:AW42"/>
    <mergeCell ref="AP45:AQ45"/>
    <mergeCell ref="AR45:AS45"/>
    <mergeCell ref="AT45:AW45"/>
    <mergeCell ref="AP48:AQ48"/>
    <mergeCell ref="AR48:AS48"/>
    <mergeCell ref="AT48:AW48"/>
    <mergeCell ref="AP51:AQ51"/>
    <mergeCell ref="AR51:AS51"/>
    <mergeCell ref="AT51:AW51"/>
    <mergeCell ref="AP53:AQ53"/>
    <mergeCell ref="AR53:AS53"/>
    <mergeCell ref="AT53:AW53"/>
    <mergeCell ref="AP55:AQ55"/>
    <mergeCell ref="AR55:AS55"/>
    <mergeCell ref="AT55:AW55"/>
    <mergeCell ref="K63:L63"/>
    <mergeCell ref="M63:N63"/>
    <mergeCell ref="O63:R63"/>
    <mergeCell ref="S63:T63"/>
    <mergeCell ref="AX42:AY42"/>
    <mergeCell ref="AP43:AQ43"/>
    <mergeCell ref="AR43:AS43"/>
    <mergeCell ref="AT43:AW43"/>
    <mergeCell ref="AX43:AY43"/>
    <mergeCell ref="AZ43:BD43"/>
    <mergeCell ref="AP44:AQ44"/>
    <mergeCell ref="AR44:AS44"/>
    <mergeCell ref="AT44:AW44"/>
    <mergeCell ref="AX44:AY44"/>
    <mergeCell ref="AZ44:BD44"/>
    <mergeCell ref="AX45:AY45"/>
    <mergeCell ref="AZ45:BD45"/>
    <mergeCell ref="AP46:AQ46"/>
    <mergeCell ref="AR46:AS46"/>
    <mergeCell ref="AT46:AW46"/>
    <mergeCell ref="AX46:AY46"/>
    <mergeCell ref="AZ46:BD46"/>
    <mergeCell ref="AP47:AQ47"/>
    <mergeCell ref="AR47:AS47"/>
    <mergeCell ref="AT47:AW47"/>
    <mergeCell ref="AX47:AY47"/>
    <mergeCell ref="AZ47:BD47"/>
    <mergeCell ref="AX48:AY48"/>
    <mergeCell ref="AZ48:BD48"/>
    <mergeCell ref="AP49:AQ49"/>
    <mergeCell ref="AR49:AS49"/>
    <mergeCell ref="AT49:AW49"/>
    <mergeCell ref="AX49:AY49"/>
    <mergeCell ref="AZ49:BD49"/>
    <mergeCell ref="AP50:AQ50"/>
    <mergeCell ref="AR50:AS50"/>
    <mergeCell ref="AT50:AW50"/>
    <mergeCell ref="AX50:AY50"/>
    <mergeCell ref="AZ50:BD50"/>
    <mergeCell ref="AX51:AY51"/>
    <mergeCell ref="AZ51:BD51"/>
    <mergeCell ref="AP52:AQ52"/>
    <mergeCell ref="AR52:AS52"/>
    <mergeCell ref="AT52:AW52"/>
    <mergeCell ref="AX52:AY52"/>
    <mergeCell ref="AZ52:BD52"/>
    <mergeCell ref="AJ51:AL51"/>
    <mergeCell ref="AJ52:AL52"/>
    <mergeCell ref="AX53:AY53"/>
    <mergeCell ref="AZ53:BD53"/>
    <mergeCell ref="AP54:AQ54"/>
    <mergeCell ref="AR54:AS54"/>
    <mergeCell ref="AT54:AW54"/>
    <mergeCell ref="AX54:AY54"/>
    <mergeCell ref="AZ54:BD54"/>
    <mergeCell ref="AJ53:AL53"/>
    <mergeCell ref="AJ54:AL54"/>
    <mergeCell ref="AT58:AW58"/>
    <mergeCell ref="AX58:AY58"/>
    <mergeCell ref="AZ58:BD58"/>
    <mergeCell ref="AX55:AY55"/>
    <mergeCell ref="AZ55:BD55"/>
    <mergeCell ref="AP56:AQ56"/>
    <mergeCell ref="AR56:AS56"/>
    <mergeCell ref="AT56:AW56"/>
    <mergeCell ref="AX56:AY56"/>
    <mergeCell ref="AZ56:BD56"/>
    <mergeCell ref="AX62:AY62"/>
    <mergeCell ref="AZ62:BD62"/>
    <mergeCell ref="AJ57:AL57"/>
    <mergeCell ref="AJ58:AL58"/>
    <mergeCell ref="AP59:AQ59"/>
    <mergeCell ref="AR59:AS59"/>
    <mergeCell ref="AT59:AW59"/>
    <mergeCell ref="AX59:AY59"/>
    <mergeCell ref="AZ59:BD59"/>
    <mergeCell ref="AP60:AQ60"/>
    <mergeCell ref="AR60:AS60"/>
    <mergeCell ref="AT60:AW60"/>
    <mergeCell ref="AX60:AY60"/>
    <mergeCell ref="AZ60:BD60"/>
    <mergeCell ref="AJ59:AL59"/>
    <mergeCell ref="AJ60:AL60"/>
    <mergeCell ref="AP57:AQ57"/>
    <mergeCell ref="AR57:AS57"/>
    <mergeCell ref="AT57:AW57"/>
    <mergeCell ref="AX57:AY57"/>
    <mergeCell ref="AZ57:BD57"/>
    <mergeCell ref="AP58:AQ58"/>
    <mergeCell ref="AZ61:BD61"/>
    <mergeCell ref="AR58:AS58"/>
    <mergeCell ref="B2:AB3"/>
    <mergeCell ref="B4:AB5"/>
    <mergeCell ref="B35:AB36"/>
    <mergeCell ref="B37:AB38"/>
    <mergeCell ref="AP63:AQ63"/>
    <mergeCell ref="AR63:AS63"/>
    <mergeCell ref="B32:B33"/>
    <mergeCell ref="AP61:AQ61"/>
    <mergeCell ref="AR61:AS61"/>
    <mergeCell ref="AP62:AQ62"/>
    <mergeCell ref="AR62:AS62"/>
    <mergeCell ref="AJ55:AL55"/>
    <mergeCell ref="AJ56:AL56"/>
    <mergeCell ref="K59:L59"/>
    <mergeCell ref="M59:N59"/>
    <mergeCell ref="O59:R59"/>
    <mergeCell ref="S59:T59"/>
    <mergeCell ref="K60:L60"/>
    <mergeCell ref="M60:N60"/>
    <mergeCell ref="O60:R60"/>
    <mergeCell ref="S60:T60"/>
    <mergeCell ref="E59:G59"/>
    <mergeCell ref="E60:G60"/>
    <mergeCell ref="U10:Y10"/>
    <mergeCell ref="E66:J66"/>
    <mergeCell ref="K66:L66"/>
    <mergeCell ref="B65:D66"/>
    <mergeCell ref="M65:AB66"/>
    <mergeCell ref="AR32:BG32"/>
    <mergeCell ref="AJ32:AO32"/>
    <mergeCell ref="AR65:BG65"/>
    <mergeCell ref="AJ65:AO65"/>
    <mergeCell ref="AT63:AW63"/>
    <mergeCell ref="AX63:AY63"/>
    <mergeCell ref="AZ63:BD63"/>
    <mergeCell ref="AP64:AQ64"/>
    <mergeCell ref="AR64:AS64"/>
    <mergeCell ref="AT64:AW64"/>
    <mergeCell ref="AX64:AY64"/>
    <mergeCell ref="AZ64:BD64"/>
    <mergeCell ref="E32:J32"/>
    <mergeCell ref="M32:AB33"/>
    <mergeCell ref="AJ61:AL61"/>
    <mergeCell ref="AJ62:AL62"/>
    <mergeCell ref="AP65:AQ65"/>
    <mergeCell ref="AT61:AW61"/>
    <mergeCell ref="AX61:AY61"/>
    <mergeCell ref="AT62:AW62"/>
  </mergeCells>
  <conditionalFormatting sqref="B10:D31">
    <cfRule type="containsText" priority="38" dxfId="1026" operator="containsText" text="Area">
      <formula>NOT(ISERROR(SEARCH("Area",B10)))</formula>
    </cfRule>
    <cfRule type="containsText" priority="39" dxfId="1025" operator="containsText" text="Watercourses">
      <formula>NOT(ISERROR(SEARCH("Watercourses",B10)))</formula>
    </cfRule>
    <cfRule type="containsText" priority="40" dxfId="1024" operator="containsText" text="Hedgerows">
      <formula>NOT(ISERROR(SEARCH("Hedgerows",B10)))</formula>
    </cfRule>
  </conditionalFormatting>
  <conditionalFormatting sqref="M10:M31">
    <cfRule type="expression" priority="36" dxfId="1023">
      <formula>B10="Hedgerows"</formula>
    </cfRule>
    <cfRule type="expression" priority="37" dxfId="1023">
      <formula>B10="Watercourses"</formula>
    </cfRule>
  </conditionalFormatting>
  <conditionalFormatting sqref="B10:D31">
    <cfRule type="containsBlanks" priority="35">
      <formula>LEN(TRIM(B10))=0</formula>
    </cfRule>
  </conditionalFormatting>
  <conditionalFormatting sqref="K10:L31">
    <cfRule type="expression" priority="34" dxfId="1023">
      <formula>B10="Area habitats"</formula>
    </cfRule>
  </conditionalFormatting>
  <conditionalFormatting sqref="AC10:AC259">
    <cfRule type="containsText" priority="33" dxfId="1281" operator="containsText" text="Please">
      <formula>NOT(ISERROR(SEARCH("Please",AC10)))</formula>
    </cfRule>
  </conditionalFormatting>
  <conditionalFormatting sqref="AG10:AI31">
    <cfRule type="containsText" priority="29" dxfId="1026" operator="containsText" text="Area">
      <formula>NOT(ISERROR(SEARCH("Area",AG10)))</formula>
    </cfRule>
    <cfRule type="containsText" priority="30" dxfId="1025" operator="containsText" text="Watercourses">
      <formula>NOT(ISERROR(SEARCH("Watercourses",AG10)))</formula>
    </cfRule>
    <cfRule type="containsText" priority="31" dxfId="1024" operator="containsText" text="Hedgerows">
      <formula>NOT(ISERROR(SEARCH("Hedgerows",AG10)))</formula>
    </cfRule>
  </conditionalFormatting>
  <conditionalFormatting sqref="AR10 AR11:AS31">
    <cfRule type="expression" priority="27" dxfId="1023">
      <formula>AG10="Hedgerows"</formula>
    </cfRule>
    <cfRule type="expression" priority="28" dxfId="1023">
      <formula>AG10="Watercourses"</formula>
    </cfRule>
  </conditionalFormatting>
  <conditionalFormatting sqref="AG10:AI31">
    <cfRule type="containsBlanks" priority="26">
      <formula>LEN(TRIM(AG10))=0</formula>
    </cfRule>
  </conditionalFormatting>
  <conditionalFormatting sqref="AP10:AQ31">
    <cfRule type="expression" priority="25" dxfId="1023">
      <formula>AG10="Area habitats"</formula>
    </cfRule>
  </conditionalFormatting>
  <conditionalFormatting sqref="U11:Y31">
    <cfRule type="containsText" priority="23" dxfId="1282" operator="containsText" text="Yes">
      <formula>NOT(ISERROR(SEARCH("Yes",U11)))</formula>
    </cfRule>
    <cfRule type="containsText" priority="24" dxfId="1273" operator="containsText" text="No">
      <formula>NOT(ISERROR(SEARCH("No",U11)))</formula>
    </cfRule>
  </conditionalFormatting>
  <conditionalFormatting sqref="AZ10:BD31">
    <cfRule type="containsText" priority="21" dxfId="1273" operator="containsText" text="No">
      <formula>NOT(ISERROR(SEARCH("No",AZ10)))</formula>
    </cfRule>
    <cfRule type="containsText" priority="22" dxfId="1282" operator="containsText" text="Yes">
      <formula>NOT(ISERROR(SEARCH("Yes",AZ10)))</formula>
    </cfRule>
  </conditionalFormatting>
  <conditionalFormatting sqref="B43:D64">
    <cfRule type="containsText" priority="18" dxfId="1026" operator="containsText" text="Area">
      <formula>NOT(ISERROR(SEARCH("Area",B43)))</formula>
    </cfRule>
    <cfRule type="containsText" priority="19" dxfId="1025" operator="containsText" text="Watercourses">
      <formula>NOT(ISERROR(SEARCH("Watercourses",B43)))</formula>
    </cfRule>
    <cfRule type="containsText" priority="20" dxfId="1024" operator="containsText" text="Hedgerows">
      <formula>NOT(ISERROR(SEARCH("Hedgerows",B43)))</formula>
    </cfRule>
  </conditionalFormatting>
  <conditionalFormatting sqref="M43:M64">
    <cfRule type="expression" priority="16" dxfId="1023">
      <formula>B43="Hedgerows"</formula>
    </cfRule>
    <cfRule type="expression" priority="17" dxfId="1023">
      <formula>B43="Watercourses"</formula>
    </cfRule>
  </conditionalFormatting>
  <conditionalFormatting sqref="B43:D64">
    <cfRule type="containsBlanks" priority="15">
      <formula>LEN(TRIM(B43))=0</formula>
    </cfRule>
  </conditionalFormatting>
  <conditionalFormatting sqref="K43:L64">
    <cfRule type="expression" priority="14" dxfId="1023">
      <formula>B43="Area habitats"</formula>
    </cfRule>
  </conditionalFormatting>
  <conditionalFormatting sqref="U43:Y64">
    <cfRule type="containsText" priority="12" dxfId="1282" operator="containsText" text="Yes">
      <formula>NOT(ISERROR(SEARCH("Yes",U43)))</formula>
    </cfRule>
    <cfRule type="containsText" priority="13" dxfId="1273" operator="containsText" text="No">
      <formula>NOT(ISERROR(SEARCH("No",U43)))</formula>
    </cfRule>
  </conditionalFormatting>
  <conditionalFormatting sqref="AG43:AI64">
    <cfRule type="containsText" priority="9" dxfId="1026" operator="containsText" text="Area">
      <formula>NOT(ISERROR(SEARCH("Area",AG43)))</formula>
    </cfRule>
    <cfRule type="containsText" priority="10" dxfId="1025" operator="containsText" text="Watercourses">
      <formula>NOT(ISERROR(SEARCH("Watercourses",AG43)))</formula>
    </cfRule>
    <cfRule type="containsText" priority="11" dxfId="1024" operator="containsText" text="Hedgerows">
      <formula>NOT(ISERROR(SEARCH("Hedgerows",AG43)))</formula>
    </cfRule>
  </conditionalFormatting>
  <conditionalFormatting sqref="AR43 AR44:AS64">
    <cfRule type="expression" priority="7" dxfId="1023">
      <formula>AG43="Hedgerows"</formula>
    </cfRule>
    <cfRule type="expression" priority="8" dxfId="1023">
      <formula>AG43="Watercourses"</formula>
    </cfRule>
  </conditionalFormatting>
  <conditionalFormatting sqref="AG43:AI64">
    <cfRule type="containsBlanks" priority="6">
      <formula>LEN(TRIM(AG43))=0</formula>
    </cfRule>
  </conditionalFormatting>
  <conditionalFormatting sqref="AP43:AQ64">
    <cfRule type="expression" priority="5" dxfId="1023">
      <formula>AG43="Area habitats"</formula>
    </cfRule>
  </conditionalFormatting>
  <conditionalFormatting sqref="AZ43:BD64">
    <cfRule type="containsText" priority="3" dxfId="1273" operator="containsText" text="No">
      <formula>NOT(ISERROR(SEARCH("No",AZ43)))</formula>
    </cfRule>
    <cfRule type="containsText" priority="4" dxfId="1282" operator="containsText" text="Yes">
      <formula>NOT(ISERROR(SEARCH("Yes",AZ43)))</formula>
    </cfRule>
  </conditionalFormatting>
  <conditionalFormatting sqref="U10:Y10">
    <cfRule type="containsText" priority="1" dxfId="1273" operator="containsText" text="No">
      <formula>NOT(ISERROR(SEARCH("No",U10)))</formula>
    </cfRule>
    <cfRule type="containsText" priority="2" dxfId="1282" operator="containsText" text="Yes">
      <formula>NOT(ISERROR(SEARCH("Yes",U10)))</formula>
    </cfRule>
  </conditionalFormatting>
  <pageMargins left="0.7" right="0.7" top="0.75" bottom="0.75" header="0.3" footer="0.3"/>
  <pageSetup orientation="portrait" paperSize="9"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2:AX265"/>
  <sheetViews>
    <sheetView zoomScale="70" zoomScaleNormal="70" workbookViewId="0" topLeftCell="D1">
      <pane ySplit="10" topLeftCell="A11" activePane="bottomLeft" state="frozen"/>
      <selection pane="topLeft" activeCell="E1" sqref="E1"/>
      <selection pane="bottomLeft" activeCell="S23" sqref="S23"/>
    </sheetView>
  </sheetViews>
  <sheetFormatPr defaultColWidth="20.4542857142857" defaultRowHeight="14"/>
  <cols>
    <col min="1" max="1" width="9.42857142857143" style="35" hidden="1" customWidth="1"/>
    <col min="2" max="2" width="12.4285714285714" style="35" hidden="1" customWidth="1"/>
    <col min="3" max="3" width="14.4285714285714" style="35" hidden="1" customWidth="1"/>
    <col min="4" max="4" width="5.42857142857143" style="37" customWidth="1"/>
    <col min="5" max="5" width="24.4285714285714" style="37" customWidth="1"/>
    <col min="6" max="6" width="72.5714285714286" style="37" customWidth="1"/>
    <col min="7" max="7" width="25.4285714285714" style="36" customWidth="1"/>
    <col min="8" max="8" width="14.4285714285714" style="37" customWidth="1"/>
    <col min="9" max="9" width="17.5714285714286" style="37" customWidth="1"/>
    <col min="10" max="10" width="7.42857142857143" style="37" hidden="1" customWidth="1"/>
    <col min="11" max="11" width="17.4285714285714" style="37" customWidth="1"/>
    <col min="12" max="12" width="11.5714285714286" style="37" hidden="1" customWidth="1"/>
    <col min="13" max="13" width="41.5714285714286" style="37" customWidth="1"/>
    <col min="14" max="15" width="17.4285714285714" style="37" hidden="1" customWidth="1"/>
    <col min="16" max="16" width="30.5714285714286" style="37" customWidth="1"/>
    <col min="17" max="17" width="18" style="37" bestFit="1" customWidth="1"/>
    <col min="18" max="18" width="6" style="35" customWidth="1"/>
    <col min="19" max="19" width="10.4285714285714" style="37" customWidth="1"/>
    <col min="20" max="20" width="14.4285714285714" style="37" customWidth="1"/>
    <col min="21" max="21" width="13.4285714285714" style="37" customWidth="1"/>
    <col min="22" max="23" width="14.4285714285714" style="37" customWidth="1"/>
    <col min="24" max="24" width="17" style="37" customWidth="1"/>
    <col min="25" max="25" width="32.4285714285714" style="37" customWidth="1"/>
    <col min="26" max="26" width="50.4285714285714" style="37" customWidth="1"/>
    <col min="27" max="27" width="41.5714285714286" style="37" customWidth="1"/>
    <col min="28" max="28" width="20.4285714285714" style="37" customWidth="1"/>
    <col min="29" max="45" width="20.4285714285714" style="35" hidden="1" customWidth="1"/>
    <col min="46" max="46" width="20.4285714285714" style="885" hidden="1" customWidth="1"/>
    <col min="47" max="50" width="20.4285714285714" style="35" hidden="1" customWidth="1"/>
    <col min="51" max="51" width="20.4285714285714" style="35" customWidth="1"/>
    <col min="52" max="16381" width="20.4285714285714" style="35" hidden="1" customWidth="1"/>
    <col min="16382" max="16383" width="20.4285714285714" style="35" customWidth="1"/>
    <col min="16384" max="16384" width="20.4285714285714" style="35"/>
  </cols>
  <sheetData>
    <row r="1" ht="14.5" thickBot="1"/>
    <row r="2" spans="4:24" ht="18" thickBot="1">
      <c r="D2" s="1624" t="str">
        <f>CONCATENATE("Project Name:"," ",Start!F12,"     ","Map Reference:"," ",Start!F55)</f>
        <v xml:space="preserve">Project Name: Land east of Calne Road, Lyneham     Map Reference: </v>
      </c>
      <c r="E2" s="1625"/>
      <c r="F2" s="1626"/>
      <c r="I2" s="1597" t="s">
        <v>305</v>
      </c>
      <c r="J2" s="1598"/>
      <c r="K2" s="1598"/>
      <c r="L2" s="1598"/>
      <c r="M2" s="1599"/>
      <c r="Q2" s="1614" t="str" cm="1">
        <f t="array" ref="Q2">IF(OR(K11:K258="Fairly Good",K11:K258="Fairly Poor"),"A 'Fairly' Category has been used - check evidence to ensure this is appropriate ⚠","")</f>
        <v/>
      </c>
      <c r="R2" s="1614"/>
      <c r="S2" s="1614"/>
      <c r="T2" s="1614"/>
      <c r="U2" s="1614"/>
      <c r="V2" s="1614"/>
      <c r="W2" s="1614"/>
      <c r="X2" s="1614"/>
    </row>
    <row r="3" spans="4:40" ht="14">
      <c r="D3" s="1618" t="str">
        <f ca="1">MID(CELL("filename",C1),FIND("]",CELL("filename",C1))+1,256)</f>
        <v>A-1 On-Site Habitat Baseline</v>
      </c>
      <c r="E3" s="1619"/>
      <c r="F3" s="1620"/>
      <c r="I3" s="1633" t="s">
        <v>306</v>
      </c>
      <c r="J3" s="1634"/>
      <c r="K3" s="1634"/>
      <c r="L3" s="1627">
        <f>'Headline Results'!H47</f>
        <v>6.227824005922471</v>
      </c>
      <c r="M3" s="1628"/>
      <c r="N3" s="519"/>
      <c r="Q3" s="1614"/>
      <c r="R3" s="1614"/>
      <c r="S3" s="1614"/>
      <c r="T3" s="1614"/>
      <c r="U3" s="1614"/>
      <c r="V3" s="1614"/>
      <c r="W3" s="1614"/>
      <c r="X3" s="1614"/>
      <c r="AC3" s="35" t="s">
        <v>307</v>
      </c>
      <c r="AD3" s="35" t="s">
        <v>307</v>
      </c>
      <c r="AE3" s="35" t="s">
        <v>307</v>
      </c>
      <c r="AF3" s="35" t="s">
        <v>307</v>
      </c>
      <c r="AG3" s="35" t="s">
        <v>307</v>
      </c>
      <c r="AH3" s="35" t="s">
        <v>307</v>
      </c>
      <c r="AI3" s="35" t="s">
        <v>307</v>
      </c>
      <c r="AJ3" s="35" t="s">
        <v>307</v>
      </c>
      <c r="AK3" s="35" t="s">
        <v>307</v>
      </c>
      <c r="AL3" s="35" t="s">
        <v>307</v>
      </c>
      <c r="AM3" s="35" t="s">
        <v>307</v>
      </c>
      <c r="AN3" s="35" t="s">
        <v>307</v>
      </c>
    </row>
    <row r="4" spans="4:40" ht="14.5" thickBot="1">
      <c r="D4" s="1621"/>
      <c r="E4" s="1622"/>
      <c r="F4" s="1623"/>
      <c r="I4" s="1635" t="s">
        <v>308</v>
      </c>
      <c r="J4" s="1636"/>
      <c r="K4" s="1636"/>
      <c r="L4" s="1629">
        <f>'Headline Results'!H51</f>
        <v>0.3109272967693436</v>
      </c>
      <c r="M4" s="1630"/>
      <c r="N4" s="519"/>
      <c r="Q4" s="1614"/>
      <c r="R4" s="1614"/>
      <c r="S4" s="1614"/>
      <c r="T4" s="1614"/>
      <c r="U4" s="1614"/>
      <c r="V4" s="1614"/>
      <c r="W4" s="1614"/>
      <c r="X4" s="1614"/>
      <c r="AF4" s="35" t="s">
        <v>309</v>
      </c>
      <c r="AG4" s="35" t="s">
        <v>309</v>
      </c>
      <c r="AH4" s="35" t="s">
        <v>309</v>
      </c>
      <c r="AI4" s="35" t="s">
        <v>309</v>
      </c>
      <c r="AJ4" s="35" t="s">
        <v>309</v>
      </c>
      <c r="AK4" s="35" t="s">
        <v>309</v>
      </c>
      <c r="AL4" s="35" t="s">
        <v>309</v>
      </c>
      <c r="AM4" s="35" t="s">
        <v>309</v>
      </c>
      <c r="AN4" s="35" t="s">
        <v>309</v>
      </c>
    </row>
    <row r="5" spans="9:24" ht="14.5" thickBot="1">
      <c r="I5" s="1637" t="s">
        <v>310</v>
      </c>
      <c r="J5" s="1631"/>
      <c r="K5" s="1631"/>
      <c r="L5" s="1631" t="str" cm="1">
        <f t="array" ref="L5">IF(OR('Trading Summary Area Habitats'!G5:G8="No ▲"),"No - check trading summaries ▲","Yes ✓")</f>
        <v>Yes ✓</v>
      </c>
      <c r="M5" s="1632"/>
      <c r="N5" s="519"/>
      <c r="Q5" s="1614"/>
      <c r="R5" s="1614"/>
      <c r="S5" s="1614"/>
      <c r="T5" s="1614"/>
      <c r="U5" s="1614"/>
      <c r="V5" s="1614"/>
      <c r="W5" s="1614"/>
      <c r="X5" s="1614"/>
    </row>
    <row r="6" spans="9:13" ht="14">
      <c r="I6" s="1608" t="str" cm="1">
        <f t="array" ref="I6">IF(OR(E11:E258="watercourse footprint"),"Please ensure the watercourse details for any watercourse footprints recorded are included in the watercourse tabs ⚠","")</f>
        <v/>
      </c>
      <c r="J6" s="1608"/>
      <c r="K6" s="1608"/>
      <c r="L6" s="1608"/>
      <c r="M6" s="1608"/>
    </row>
    <row r="7" spans="9:13" ht="14">
      <c r="I7" s="1233"/>
      <c r="J7" s="1233"/>
      <c r="K7" s="1233"/>
      <c r="L7" s="1233"/>
      <c r="M7" s="1233"/>
    </row>
    <row r="8" spans="4:13" ht="63.65" customHeight="1" thickBot="1">
      <c r="D8" s="38"/>
      <c r="E8" s="38"/>
      <c r="F8" s="38"/>
      <c r="I8" s="1609"/>
      <c r="J8" s="1609"/>
      <c r="K8" s="1609"/>
      <c r="L8" s="1609"/>
      <c r="M8" s="1609"/>
    </row>
    <row r="9" spans="4:43" ht="28.5" customHeight="1" thickBot="1">
      <c r="D9" s="38"/>
      <c r="E9" s="1603" t="s">
        <v>311</v>
      </c>
      <c r="F9" s="1604"/>
      <c r="G9" s="1604"/>
      <c r="H9" s="1605"/>
      <c r="I9" s="1603" t="s">
        <v>312</v>
      </c>
      <c r="J9" s="1605"/>
      <c r="K9" s="1603" t="s">
        <v>313</v>
      </c>
      <c r="L9" s="1605"/>
      <c r="M9" s="1603" t="s">
        <v>314</v>
      </c>
      <c r="N9" s="1604"/>
      <c r="O9" s="1605"/>
      <c r="P9" s="1606" t="s">
        <v>315</v>
      </c>
      <c r="Q9" s="505" t="s">
        <v>316</v>
      </c>
      <c r="R9" s="39"/>
      <c r="S9" s="1603"/>
      <c r="T9" s="1604"/>
      <c r="U9" s="1604"/>
      <c r="V9" s="1604"/>
      <c r="W9" s="1604"/>
      <c r="X9" s="1605"/>
      <c r="Y9" s="1606" t="s">
        <v>317</v>
      </c>
      <c r="Z9" s="1600" t="s">
        <v>318</v>
      </c>
      <c r="AA9" s="1601"/>
      <c r="AB9" s="1602"/>
      <c r="AC9" s="35" t="s">
        <v>309</v>
      </c>
      <c r="AD9" s="35" t="s">
        <v>309</v>
      </c>
      <c r="AF9" s="40" t="s">
        <v>319</v>
      </c>
      <c r="AG9" s="40"/>
      <c r="AH9" s="40"/>
      <c r="AI9" s="40"/>
      <c r="AJ9" s="40"/>
      <c r="AK9" s="40" t="s">
        <v>320</v>
      </c>
      <c r="AL9" s="40"/>
      <c r="AM9" s="40"/>
      <c r="AN9" s="40"/>
      <c r="AQ9" s="37" t="s">
        <v>321</v>
      </c>
    </row>
    <row r="10" spans="2:48" ht="59.9" customHeight="1" thickBot="1">
      <c r="B10" s="41" t="s">
        <v>322</v>
      </c>
      <c r="D10" s="42" t="s">
        <v>323</v>
      </c>
      <c r="E10" s="947" t="s">
        <v>324</v>
      </c>
      <c r="F10" s="723" t="s">
        <v>325</v>
      </c>
      <c r="G10" s="514" t="s">
        <v>326</v>
      </c>
      <c r="H10" s="43" t="s">
        <v>327</v>
      </c>
      <c r="I10" s="44" t="s">
        <v>312</v>
      </c>
      <c r="J10" s="43" t="s">
        <v>328</v>
      </c>
      <c r="K10" s="44" t="s">
        <v>313</v>
      </c>
      <c r="L10" s="43" t="s">
        <v>328</v>
      </c>
      <c r="M10" s="44" t="s">
        <v>314</v>
      </c>
      <c r="N10" s="227" t="s">
        <v>314</v>
      </c>
      <c r="O10" s="43" t="s">
        <v>329</v>
      </c>
      <c r="P10" s="1607"/>
      <c r="Q10" s="42" t="s">
        <v>330</v>
      </c>
      <c r="R10" s="39"/>
      <c r="S10" s="614" t="s">
        <v>274</v>
      </c>
      <c r="T10" s="615" t="s">
        <v>275</v>
      </c>
      <c r="U10" s="616" t="s">
        <v>331</v>
      </c>
      <c r="V10" s="616" t="s">
        <v>332</v>
      </c>
      <c r="W10" s="616" t="s">
        <v>333</v>
      </c>
      <c r="X10" s="617" t="s">
        <v>334</v>
      </c>
      <c r="Y10" s="1607"/>
      <c r="Z10" s="48" t="s">
        <v>302</v>
      </c>
      <c r="AA10" s="399" t="s">
        <v>279</v>
      </c>
      <c r="AB10" s="47" t="s">
        <v>280</v>
      </c>
      <c r="AC10" s="518" t="s">
        <v>335</v>
      </c>
      <c r="AD10" s="518" t="s">
        <v>336</v>
      </c>
      <c r="AF10" s="40" t="s">
        <v>337</v>
      </c>
      <c r="AG10" s="40" t="s">
        <v>338</v>
      </c>
      <c r="AH10" s="40" t="s">
        <v>339</v>
      </c>
      <c r="AI10" s="40" t="s">
        <v>340</v>
      </c>
      <c r="AJ10" s="40"/>
      <c r="AK10" s="40" t="s">
        <v>337</v>
      </c>
      <c r="AL10" s="40" t="s">
        <v>338</v>
      </c>
      <c r="AM10" s="40" t="s">
        <v>339</v>
      </c>
      <c r="AN10" s="40"/>
      <c r="AT10" s="886" t="s">
        <v>341</v>
      </c>
      <c r="AV10" s="514" t="s">
        <v>342</v>
      </c>
    </row>
    <row r="11" spans="1:50" ht="28.5" thickBot="1">
      <c r="A11" s="35" t="str">
        <f>IFERROR(INDEX('G-1 All Habitats'!$AG$3:$AG$17,MATCH(E11,'G-1 All Habitats'!$AF$3:$AF$17,0)),"")</f>
        <v>Grassland</v>
      </c>
      <c r="B11" s="35" t="str">
        <f>IFERROR(INDEX('G-8 Condition Look up'!$I$4:$I$135,MATCH(AV11,'G-8 Condition Look up'!$A$4:$A$135,0)),"")</f>
        <v>Cond4</v>
      </c>
      <c r="D11" s="541">
        <v>1</v>
      </c>
      <c r="E11" s="565" t="s">
        <v>106</v>
      </c>
      <c r="F11" s="50" t="s">
        <v>343</v>
      </c>
      <c r="G11" s="696" t="s">
        <v>344</v>
      </c>
      <c r="H11" s="543">
        <v>5.07</v>
      </c>
      <c r="I11" s="346" t="str">
        <f>IF(AV11="","",IF(AND(AW11="Yes",G11="No"),"Irreplaceable habitat ▲",IF(AND(AW11="No",G11="Yes"),"Cannot be Irreplaceable ▲",VLOOKUP(AV11,'G-1 All Habitats'!$B$2:$M$135,10,FALSE))))</f>
        <v>Low</v>
      </c>
      <c r="J11" s="544">
        <f>IFERROR(VLOOKUP(I11,'G-1 All Habitats'!$V$3:$W$7,2,FALSE),"")</f>
        <v>2</v>
      </c>
      <c r="K11" s="545" t="s">
        <v>345</v>
      </c>
      <c r="L11" s="544">
        <f>IFERROR(INDEX('G-8 Condition Look up'!$A$3:$H$135,MATCH(AV11,'G-8 Condition Look up'!$A$3:$A$135,0),MATCH(K11,'G-8 Condition Look up'!$A$3:$H$3,0)),"")</f>
        <v>1</v>
      </c>
      <c r="M11" s="52" t="s">
        <v>346</v>
      </c>
      <c r="N11" s="280" t="str">
        <f>IF(M11="","",IF(VLOOKUP(M11,'G-3 Multipliers'!$L$3:$N$6,2,FALSE)=0,"Spatial Data Missing",VLOOKUP(M11,'G-3 Multipliers'!$L$3:$N$6,2,FALSE)))</f>
        <v>Low Strategic Significance</v>
      </c>
      <c r="O11" s="546">
        <f>IF(M11="","",IF(VLOOKUP(M11,'G-3 Multipliers'!$L$3:$N$6,3,FALSE)=0,"Spatial Data Missing ▲",VLOOKUP(M11,'G-3 Multipliers'!$L$3:$N$6,3,FALSE)))</f>
        <v>1</v>
      </c>
      <c r="P11" s="547" t="str">
        <f>(IF(G11="Yes","Bespoke compensation likely to be required",(IFERROR(VLOOKUP(AV11,'G-1 All Habitats'!$B$2:$M$135,12,FALSE),""))))</f>
        <v>Same distinctiveness or better habitat required ≥</v>
      </c>
      <c r="Q11" s="289">
        <f>IFERROR(IF(AND(F11&lt;&gt;"",G11=""),"Confirm irreplaceable habitat status ▲",(IF(AND(E11="Individual trees",T11&gt;0,G11="Yes"),"Error - you cannot enhance irreplaceable individual trees ▲",(IF(AND(U11="Irreplaceable habitat - no units generated ⚠",(S11+T11)&lt;H11,OR(Y11="No",Y11="")),"Any Loss Unacceptable ⚠",(IF(U11="Irreplaceable habitat - no units generated ⚠",T11*J11*L11*O11,IF(AND(P11='G-1 All Habitats'!$X$9,AC11&gt;0,S11&lt;=0,T11&lt;=0,OR(Y11="No",Y11="")),"Any Loss Unacceptable ⚠",IF(AND(P11='G-1 All Habitats'!$X$9,AC11&gt;0,S11&lt;=0,T11&lt;=0,Y11="Yes"),0,(IF(AND(P11='G-1 All Habitats'!$X$9,(S11+T11)&lt;H11,OR(Y11="No",Y11="")),"Any Loss Unacceptable ⚠",(IF(P11="","",IF(AND(P11='G-1 All Habitats'!$X$9,T11&gt;0),U11+V11,IF(AND(P11='G-1 All Habitats'!$X$9,S11&gt;0),U11+V11,H11*J11*L11*O11))))))))))))))),"Check Data ▲")</f>
        <v>10.14</v>
      </c>
      <c r="R11" s="36"/>
      <c r="S11" s="545">
        <v>0</v>
      </c>
      <c r="T11" s="554">
        <v>0</v>
      </c>
      <c r="U11" s="287">
        <f t="shared" si="0" ref="U11:U75">IFERROR(IF(G11="Yes","Irreplaceable habitat - no units generated ⚠",(S11*J11*L11*O11)),"")</f>
        <v>0</v>
      </c>
      <c r="V11" s="555">
        <f>IFERROR(IF(AND(E11="Individual trees",T11&gt;0,G11="Yes"),"Error - ▲",(T11*J11*L11*O11)),"")</f>
        <v>0</v>
      </c>
      <c r="W11" s="555">
        <f>IF(E11="","",IF(H11&lt;S11+T11,"Error in Areas ▲",H11-S11-T11))</f>
        <v>5.07</v>
      </c>
      <c r="X11" s="556">
        <f>IFERROR(IF(H11="","",IF(H11-S11-T11=0&lt;0,"Error in Areas ▲",IF(S11+T11&gt;H11,"Error in Areas ▲",IF(AND(P11='G-1 All Habitats'!$X$9,Y11="Yes"),"Alternative Compensation ✓",IF(AND(P11='G-1 All Habitats'!$X$3,Y11="Yes"),"Alternative Compensation ✓",IF(AND(Y11="Pending",P11='G-1 All Habitats'!$X$3),"Bespoke compensation must be agreed ▲",IF(AND(Y11="Pending",P11='G-1 All Habitats'!$X$9),"Bespoke compensation must be agreed  ▲",IF(W11=0,0,IF(P11='G-1 All Habitats'!$X$9,"Any Loss Unacceptable ▲",Q11-U11-V11))))))))),"Check Data ▲")</f>
        <v>10.14</v>
      </c>
      <c r="Y11" s="554"/>
      <c r="Z11" s="591" t="s">
        <v>347</v>
      </c>
      <c r="AA11" s="594"/>
      <c r="AB11" s="607">
        <v>1</v>
      </c>
      <c r="AC11" s="512" t="str">
        <f>IF(OR(P11="",Y11="Yes"),"",IF(P11='G-1 All Habitats'!$X$9,H11-S11-T11,"None"))</f>
        <v>None</v>
      </c>
      <c r="AD11" s="513" t="str">
        <f>IF(P11="","",IF(P11='G-1 All Habitats'!$X$9,AC11*J11*L11*O11,"None"))</f>
        <v>None</v>
      </c>
      <c r="AE11" s="35" t="str">
        <f t="shared" si="1" ref="AE11:AE74">IF(Y11="Yes","Yes ✓",IF(Y11="No","No ▲",""))</f>
        <v/>
      </c>
      <c r="AF11" s="40" t="b">
        <f>IF(AV11="","",IF(S11&gt;0,TRUE,FALSE))</f>
        <v>0</v>
      </c>
      <c r="AG11" s="40" t="b">
        <f t="shared" si="2" ref="AG11:AG74">IF(H11="","",IF(T11&gt;0,TRUE,FALSE))</f>
        <v>0</v>
      </c>
      <c r="AH11" s="40" t="e">
        <f>IF(I11="","",IF(#REF!&gt;0,TRUE,FALSE))</f>
        <v>#REF!</v>
      </c>
      <c r="AI11" s="40">
        <v>1</v>
      </c>
      <c r="AJ11" s="40"/>
      <c r="AK11" s="40">
        <f t="array" ref="AK11">IFERROR(INDEX($AI$11:$AI$259,MATCH(0,IF(TRUE=$AF$11:$AF$259,COUNTIF($AK$10:$AK10,$AI$11:$AI$259),""),0)),"")</f>
        <v>3</v>
      </c>
      <c r="AL11" s="40" t="str" cm="1">
        <f t="array" ref="AL11">IFERROR(INDEX($AI$11:$AI$259,MATCH(0,IF(TRUE=$AG$11:$AG$259,COUNTIF($AL$10:$AL10,$AI$11:$AI$259),""),0)),"")</f>
        <v/>
      </c>
      <c r="AM11" s="40" t="str">
        <f t="array" ref="AM11">IFERROR(INDEX($AI$11:$AI$259,MATCH(0,IF(TRUE=$AH$11:$AH$259,COUNTIF($AM$10:$AM10,$AI$11:$AI$259),""),0)),"")</f>
        <v/>
      </c>
      <c r="AN11" s="40"/>
      <c r="AQ11" s="35">
        <f>IF(X11="Any Loss Unacceptable ▲",1,0)</f>
        <v>0</v>
      </c>
      <c r="AT11" s="885" t="str">
        <f>IF(AND(OR(Y11="Yes",Y11="Pending"),P11='G-1 All Habitats'!$X$3),Q11-U11-V11,"")</f>
        <v/>
      </c>
      <c r="AV11" s="542" t="str">
        <f>IFERROR(INDEX('G-1 All Habitats'!$B$3:$B$135,MATCH(F11,'G-1 All Habitats'!$A$3:$A$135,0)),"")</f>
        <v>Grassland - Modified grassland</v>
      </c>
      <c r="AW11" s="35" t="str">
        <f>IF(AV11="","",VLOOKUP(AV11,'G-1 All Habitats'!$B$1:$T$135,19,FALSE))</f>
        <v>No</v>
      </c>
      <c r="AX11" s="35" t="s">
        <v>348</v>
      </c>
    </row>
    <row r="12" spans="1:50" ht="28.5" thickBot="1">
      <c r="A12" s="35" t="str">
        <f>IFERROR(INDEX('G-1 All Habitats'!$AG$3:$AG$17,MATCH(E12,'G-1 All Habitats'!$AF$3:$AF$17,0)),"")</f>
        <v>Grassland</v>
      </c>
      <c r="B12" s="35" t="str">
        <f>IFERROR(INDEX('G-8 Condition Look up'!$I$4:$I$135,MATCH(AV12,'G-8 Condition Look up'!$A$4:$A$135,0)),"")</f>
        <v>Cond4</v>
      </c>
      <c r="D12" s="225">
        <v>2</v>
      </c>
      <c r="E12" s="633" t="s">
        <v>106</v>
      </c>
      <c r="F12" s="57" t="s">
        <v>343</v>
      </c>
      <c r="G12" s="263" t="s">
        <v>344</v>
      </c>
      <c r="H12" s="51">
        <v>3.16</v>
      </c>
      <c r="I12" s="275" t="str">
        <f>IF(AV12="","",IF(AND(AW12="Yes",G12="No"),"Irreplaceable habitat ▲",IF(AND(AW12="No",G12="Yes"),"Cannot be Irreplaceable ▲",VLOOKUP(AV12,'G-1 All Habitats'!$B$2:$M$135,10,FALSE))))</f>
        <v>Low</v>
      </c>
      <c r="J12" s="276">
        <f>IFERROR(VLOOKUP(I12,'G-1 All Habitats'!$V$3:$W$7,2,FALSE),"")</f>
        <v>2</v>
      </c>
      <c r="K12" s="52" t="s">
        <v>345</v>
      </c>
      <c r="L12" s="276">
        <f>IFERROR(INDEX('G-8 Condition Look up'!$A$3:$H$135,MATCH(AV12,'G-8 Condition Look up'!$A$3:$A$135,0),MATCH(K12,'G-8 Condition Look up'!$A$3:$H$3,0)),"")</f>
        <v>1</v>
      </c>
      <c r="M12" s="52" t="s">
        <v>346</v>
      </c>
      <c r="N12" s="295" t="str">
        <f>IF(M12="","",IF(VLOOKUP(M12,'G-3 Multipliers'!$L$3:$N$6,2,FALSE)=0,"Spatial Data Missing",VLOOKUP(M12,'G-3 Multipliers'!$L$3:$N$6,2,FALSE)))</f>
        <v>Low Strategic Significance</v>
      </c>
      <c r="O12" s="281">
        <f>IF(M12="","",IF(VLOOKUP(M12,'G-3 Multipliers'!$L$3:$N$6,3,FALSE)=0,"Spatial Data Missing ▲",VLOOKUP(M12,'G-3 Multipliers'!$L$3:$N$6,3,FALSE)))</f>
        <v>1</v>
      </c>
      <c r="P12" s="282" t="str">
        <f>(IF(G12="Yes","Bespoke compensation likely to be required",(IFERROR(VLOOKUP(AV12,'G-1 All Habitats'!$B$2:$M$135,12,FALSE),""))))</f>
        <v>Same distinctiveness or better habitat required ≥</v>
      </c>
      <c r="Q12" s="289">
        <f>IFERROR(IF(AND(F12&lt;&gt;"",G12=""),"Confirm irreplaceable habitat status ▲",(IF(AND(E12="Individual trees",T12&gt;0,G12="Yes"),"Error - you cannot enhance irreplaceable individual trees ▲",(IF(AND(U12="Irreplaceable habitat - no units generated ⚠",(S12+T12)&lt;H12,OR(Y12="No",Y12="")),"Any Loss Unacceptable ⚠",(IF(U12="Irreplaceable habitat - no units generated ⚠",T12*J12*L12*O12,IF(AND(P12='G-1 All Habitats'!$X$9,AC12&gt;0,S12&lt;=0,T12&lt;=0,OR(Y12="No",Y12="")),"Any Loss Unacceptable ⚠",IF(AND(P12='G-1 All Habitats'!$X$9,AC12&gt;0,S12&lt;=0,T12&lt;=0,Y12="Yes"),0,(IF(AND(P12='G-1 All Habitats'!$X$9,(S12+T12)&lt;H12,OR(Y12="No",Y12="")),"Any Loss Unacceptable ⚠",(IF(P12="","",IF(AND(P12='G-1 All Habitats'!$X$9,T12&gt;0),U12+V12,IF(AND(P12='G-1 All Habitats'!$X$9,S12&gt;0),U12+V12,H12*J12*L12*O12))))))))))))))),"Check Data ▲")</f>
        <v>6.32</v>
      </c>
      <c r="R12" s="38"/>
      <c r="S12" s="52">
        <v>0</v>
      </c>
      <c r="T12" s="53">
        <v>0</v>
      </c>
      <c r="U12" s="287">
        <f>IFERROR(IF(G12="Yes","Irreplaceable habitat - no units generated ⚠",(S12*J12*L12*O12)),"")</f>
        <v>0</v>
      </c>
      <c r="V12" s="287">
        <f t="shared" si="3" ref="V12:V75">IFERROR(IF(AND(E12="Individual trees",T12&gt;0,G12="Yes"),"Error - ▲",(T12*J12*L12*O12)),"")</f>
        <v>0</v>
      </c>
      <c r="W12" s="287">
        <f t="shared" si="4" ref="W12:W75">IF(E12="","",IF(H12&lt;S12+T12,"Error in Areas ▲",H12-S12-T12))</f>
        <v>3.16</v>
      </c>
      <c r="X12" s="291">
        <f>IFERROR(IF(H12="","",IF(H12-S12-T12=0&lt;0,"Error in Areas ▲",IF(S12+T12&gt;H12,"Error in Areas ▲",IF(AND(P12='G-1 All Habitats'!$X$9,Y12="Yes"),"Alternative Compensation ✓",IF(AND(P12='G-1 All Habitats'!$X$3,Y12="Yes"),"Alternative Compensation ✓",IF(AND(Y12="Pending",P12='G-1 All Habitats'!$X$3),"Bespoke compensation must be agreed ▲",IF(AND(Y12="Pending",P12='G-1 All Habitats'!$X$9),"Bespoke compensation must be agreed  ▲",IF(W12=0,0,IF(P12='G-1 All Habitats'!$X$9,"Any Loss Unacceptable ▲",Q12-U12-V12))))))))),"Check Data ▲")</f>
        <v>6.32</v>
      </c>
      <c r="Y12" s="53"/>
      <c r="Z12" s="105" t="s">
        <v>349</v>
      </c>
      <c r="AA12" s="233"/>
      <c r="AB12" s="104">
        <v>2</v>
      </c>
      <c r="AC12" s="512" t="str">
        <f>IF(OR(P12="",Y12="Yes"),"",IF(P12='G-1 All Habitats'!$X$9,H12-S12-T12,"None"))</f>
        <v>None</v>
      </c>
      <c r="AD12" s="513" t="str">
        <f>IF(P12="","",IF(P12='G-1 All Habitats'!$X$9,AC12*J12*L12*O12,"None"))</f>
        <v>None</v>
      </c>
      <c r="AE12" s="35" t="str">
        <f t="shared" si="1"/>
        <v/>
      </c>
      <c r="AF12" s="40" t="b">
        <f t="shared" si="5" ref="AF12:AF75">IF(AV12="","",IF(S12&gt;0,TRUE,FALSE))</f>
        <v>0</v>
      </c>
      <c r="AG12" s="40" t="b">
        <f t="shared" si="2"/>
        <v>0</v>
      </c>
      <c r="AH12" s="40" t="e">
        <f>IF(I12="","",IF(#REF!&gt;0,TRUE,FALSE))</f>
        <v>#REF!</v>
      </c>
      <c r="AI12" s="40">
        <v>2</v>
      </c>
      <c r="AJ12" s="40"/>
      <c r="AK12" s="40">
        <f t="array" ref="AK12">IFERROR(INDEX($AI$11:$AI$259,MATCH(0,IF(TRUE=$AF$11:$AF$259,COUNTIF($AK$10:$AK11,$AI$11:$AI$259),""),0)),"")</f>
        <v>4</v>
      </c>
      <c r="AL12" s="40" t="str" cm="1">
        <f t="array" ref="AL12">IFERROR(INDEX($AI$11:$AI$259,MATCH(0,IF(TRUE=$AG$11:$AG$259,COUNTIF($AL$10:$AL11,$AI$11:$AI$259),""),0)),"")</f>
        <v/>
      </c>
      <c r="AM12" s="40" t="str">
        <f t="array" ref="AM12">IFERROR(INDEX($AI$11:$AI$259,MATCH(0,IF(TRUE=$AH$11:$AH$259,COUNTIF($AM$10:$AM11,$AI$11:$AI$259),""),0)),"")</f>
        <v/>
      </c>
      <c r="AN12" s="40"/>
      <c r="AQ12" s="35">
        <f t="shared" si="6" ref="AQ12:AQ75">IF(X12="Any Loss Unacceptable ▲",1,0)</f>
        <v>0</v>
      </c>
      <c r="AT12" s="885" t="str">
        <f>IF(AND(OR(Y12="Yes",Y12="Pending"),P12='G-1 All Habitats'!$X$3),Q12-U12-V12,"")</f>
        <v/>
      </c>
      <c r="AV12" s="542" t="str">
        <f>IFERROR(INDEX('G-1 All Habitats'!$B$3:$B$135,MATCH(F12,'G-1 All Habitats'!$A$3:$A$135,0)),"")</f>
        <v>Grassland - Modified grassland</v>
      </c>
      <c r="AW12" s="35" t="str">
        <f>IF(AV12="","",VLOOKUP(AV12,'G-1 All Habitats'!$B$1:$T$135,19,FALSE))</f>
        <v>No</v>
      </c>
      <c r="AX12" s="35" t="s">
        <v>344</v>
      </c>
    </row>
    <row r="13" spans="1:49" ht="42.5" thickBot="1">
      <c r="A13" s="35" t="str">
        <f>IFERROR(INDEX('G-1 All Habitats'!$AG$3:$AG$17,MATCH(E13,'G-1 All Habitats'!$AF$3:$AF$17,0)),"")</f>
        <v>Grassland</v>
      </c>
      <c r="B13" s="35" t="str">
        <f>IFERROR(INDEX('G-8 Condition Look up'!$I$4:$I$135,MATCH(AV13,'G-8 Condition Look up'!$A$4:$A$135,0)),"")</f>
        <v>Cond4</v>
      </c>
      <c r="D13" s="225">
        <v>3</v>
      </c>
      <c r="E13" s="211" t="s">
        <v>106</v>
      </c>
      <c r="F13" s="57" t="s">
        <v>350</v>
      </c>
      <c r="G13" s="263" t="s">
        <v>344</v>
      </c>
      <c r="H13" s="51">
        <v>0.006</v>
      </c>
      <c r="I13" s="275" t="str">
        <f>IF(AV13="","",IF(AND(AW13="Yes",G13="No"),"Irreplaceable habitat ▲",IF(AND(AW13="No",G13="Yes"),"Cannot be Irreplaceable ▲",VLOOKUP(AV13,'G-1 All Habitats'!$B$2:$M$135,10,FALSE))))</f>
        <v>Medium</v>
      </c>
      <c r="J13" s="276">
        <f>IFERROR(VLOOKUP(I13,'G-1 All Habitats'!$V$3:$W$7,2,FALSE),"")</f>
        <v>4</v>
      </c>
      <c r="K13" s="52" t="s">
        <v>43</v>
      </c>
      <c r="L13" s="276">
        <f>IFERROR(INDEX('G-8 Condition Look up'!$A$3:$H$135,MATCH(AV13,'G-8 Condition Look up'!$A$3:$A$135,0),MATCH(K13,'G-8 Condition Look up'!$A$3:$H$3,0)),"")</f>
        <v>2</v>
      </c>
      <c r="M13" s="52" t="s">
        <v>351</v>
      </c>
      <c r="N13" s="295" t="str">
        <f>IF(M13="","",IF(VLOOKUP(M13,'G-3 Multipliers'!$L$3:$N$6,2,FALSE)=0,"Spatial Data Missing",VLOOKUP(M13,'G-3 Multipliers'!$L$3:$N$6,2,FALSE)))</f>
        <v xml:space="preserve">Medium strategic significance </v>
      </c>
      <c r="O13" s="281">
        <f>IF(M13="","",IF(VLOOKUP(M13,'G-3 Multipliers'!$L$3:$N$6,3,FALSE)=0,"Spatial Data Missing ▲",VLOOKUP(M13,'G-3 Multipliers'!$L$3:$N$6,3,FALSE)))</f>
        <v>1.1</v>
      </c>
      <c r="P13" s="282" t="str">
        <f>(IF(G13="Yes","Bespoke compensation likely to be required",(IFERROR(VLOOKUP(AV13,'G-1 All Habitats'!$B$2:$M$135,12,FALSE),""))))</f>
        <v>Same broad habitat or a higher distinctiveness habitat required (≥)</v>
      </c>
      <c r="Q13" s="289">
        <f>IFERROR(IF(AND(F13&lt;&gt;"",G13=""),"Confirm irreplaceable habitat status ▲",(IF(AND(E13="Individual trees",T13&gt;0,G13="Yes"),"Error - you cannot enhance irreplaceable individual trees ▲",(IF(AND(U13="Irreplaceable habitat - no units generated ⚠",(S13+T13)&lt;H13,OR(Y13="No",Y13="")),"Any Loss Unacceptable ⚠",(IF(U13="Irreplaceable habitat - no units generated ⚠",T13*J13*L13*O13,IF(AND(P13='G-1 All Habitats'!$X$9,AC13&gt;0,S13&lt;=0,T13&lt;=0,OR(Y13="No",Y13="")),"Any Loss Unacceptable ⚠",IF(AND(P13='G-1 All Habitats'!$X$9,AC13&gt;0,S13&lt;=0,T13&lt;=0,Y13="Yes"),0,(IF(AND(P13='G-1 All Habitats'!$X$9,(S13+T13)&lt;H13,OR(Y13="No",Y13="")),"Any Loss Unacceptable ⚠",(IF(P13="","",IF(AND(P13='G-1 All Habitats'!$X$9,T13&gt;0),U13+V13,IF(AND(P13='G-1 All Habitats'!$X$9,S13&gt;0),U13+V13,H13*J13*L13*O13))))))))))))))),"Check Data ▲")</f>
        <v>0.05280000000000001</v>
      </c>
      <c r="R13" s="38"/>
      <c r="S13" s="52">
        <v>0.006</v>
      </c>
      <c r="T13" s="53">
        <v>0</v>
      </c>
      <c r="U13" s="287">
        <f t="shared" si="0"/>
        <v>0.05280000000000001</v>
      </c>
      <c r="V13" s="287">
        <f t="shared" si="3"/>
        <v>0</v>
      </c>
      <c r="W13" s="287">
        <f t="shared" si="4"/>
        <v>0</v>
      </c>
      <c r="X13" s="291">
        <f>IFERROR(IF(H13="","",IF(H13-S13-T13=0&lt;0,"Error in Areas ▲",IF(S13+T13&gt;H13,"Error in Areas ▲",IF(AND(P13='G-1 All Habitats'!$X$9,Y13="Yes"),"Alternative Compensation ✓",IF(AND(P13='G-1 All Habitats'!$X$3,Y13="Yes"),"Alternative Compensation ✓",IF(AND(Y13="Pending",P13='G-1 All Habitats'!$X$3),"Bespoke compensation must be agreed ▲",IF(AND(Y13="Pending",P13='G-1 All Habitats'!$X$9),"Bespoke compensation must be agreed  ▲",IF(W13=0,0,IF(P13='G-1 All Habitats'!$X$9,"Any Loss Unacceptable ▲",Q13-U13-V13))))))))),"Check Data ▲")</f>
        <v>0</v>
      </c>
      <c r="Y13" s="53"/>
      <c r="Z13" s="105" t="s">
        <v>352</v>
      </c>
      <c r="AA13" s="233"/>
      <c r="AB13" s="104">
        <v>3</v>
      </c>
      <c r="AC13" s="512" t="str">
        <f>IF(OR(P13="",Y13="Yes"),"",IF(P13='G-1 All Habitats'!$X$9,H13-S13-T13,"None"))</f>
        <v>None</v>
      </c>
      <c r="AD13" s="513" t="str">
        <f>IF(P13="","",IF(P13='G-1 All Habitats'!$X$9,AC13*J13*L13*O13,"None"))</f>
        <v>None</v>
      </c>
      <c r="AE13" s="35" t="str">
        <f t="shared" si="1"/>
        <v/>
      </c>
      <c r="AF13" s="40" t="b">
        <f t="shared" si="5"/>
        <v>1</v>
      </c>
      <c r="AG13" s="40" t="b">
        <f t="shared" si="2"/>
        <v>0</v>
      </c>
      <c r="AH13" s="40" t="e">
        <f>IF(I13="","",IF(#REF!&gt;0,TRUE,FALSE))</f>
        <v>#REF!</v>
      </c>
      <c r="AI13" s="40">
        <v>3</v>
      </c>
      <c r="AJ13" s="40"/>
      <c r="AK13" s="40">
        <f t="array" ref="AK13">IFERROR(INDEX($AI$11:$AI$259,MATCH(0,IF(TRUE=$AF$11:$AF$259,COUNTIF($AK$10:$AK12,$AI$11:$AI$259),""),0)),"")</f>
        <v>5</v>
      </c>
      <c r="AL13" s="40" t="str">
        <f t="array" ref="AL13">IFERROR(INDEX($AI$11:$AI$259,MATCH(0,IF(TRUE=$AG$11:$AG$259,COUNTIF($AL$10:$AL12,$AI$11:$AI$259),""),0)),"")</f>
        <v/>
      </c>
      <c r="AM13" s="40" t="str">
        <f t="array" ref="AM13">IFERROR(INDEX($AI$11:$AI$259,MATCH(0,IF(TRUE=$AH$11:$AH$259,COUNTIF($AM$10:$AM12,$AI$11:$AI$259),""),0)),"")</f>
        <v/>
      </c>
      <c r="AN13" s="40"/>
      <c r="AQ13" s="35">
        <f t="shared" si="6"/>
        <v>0</v>
      </c>
      <c r="AT13" s="885" t="str">
        <f>IF(AND(OR(Y13="Yes",Y13="Pending"),P13='G-1 All Habitats'!$X$3),Q13-U13-V13,"")</f>
        <v/>
      </c>
      <c r="AV13" s="542" t="str">
        <f>IFERROR(INDEX('G-1 All Habitats'!$B$3:$B$135,MATCH(F13,'G-1 All Habitats'!$A$3:$A$135,0)),"")</f>
        <v>Grassland - Other neutral grassland</v>
      </c>
      <c r="AW13" s="35" t="str">
        <f>IF(AV13="","",VLOOKUP(AV13,'G-1 All Habitats'!$B$1:$T$135,19,FALSE))</f>
        <v>No</v>
      </c>
    </row>
    <row r="14" spans="1:49" ht="42.5" thickBot="1">
      <c r="A14" s="35" t="str">
        <f>IFERROR(INDEX('G-1 All Habitats'!$AG$3:$AG$17,MATCH(E14,'G-1 All Habitats'!$AF$3:$AF$17,0)),"")</f>
        <v>Individual_trees</v>
      </c>
      <c r="B14" s="35" t="str">
        <f>IFERROR(INDEX('G-8 Condition Look up'!$I$4:$I$135,MATCH(AV14,'G-8 Condition Look up'!$A$4:$A$135,0)),"")</f>
        <v>Cond4</v>
      </c>
      <c r="D14" s="225">
        <v>4</v>
      </c>
      <c r="E14" s="211" t="s">
        <v>119</v>
      </c>
      <c r="F14" s="57" t="s">
        <v>353</v>
      </c>
      <c r="G14" s="263" t="s">
        <v>344</v>
      </c>
      <c r="H14" s="51">
        <v>0.0041</v>
      </c>
      <c r="I14" s="275" t="str">
        <f>IF(AV14="","",IF(AND(AW14="Yes",G14="No"),"Irreplaceable habitat ▲",IF(AND(AW14="No",G14="Yes"),"Cannot be Irreplaceable ▲",VLOOKUP(AV14,'G-1 All Habitats'!$B$2:$M$135,10,FALSE))))</f>
        <v>Medium</v>
      </c>
      <c r="J14" s="276">
        <f>IFERROR(VLOOKUP(I14,'G-1 All Habitats'!$V$3:$W$7,2,FALSE),"")</f>
        <v>4</v>
      </c>
      <c r="K14" s="52" t="s">
        <v>44</v>
      </c>
      <c r="L14" s="276">
        <f>IFERROR(INDEX('G-8 Condition Look up'!$A$3:$H$135,MATCH(AV14,'G-8 Condition Look up'!$A$3:$A$135,0),MATCH(K14,'G-8 Condition Look up'!$A$3:$H$3,0)),"")</f>
        <v>3</v>
      </c>
      <c r="M14" s="52" t="s">
        <v>351</v>
      </c>
      <c r="N14" s="295" t="str">
        <f>IF(M14="","",IF(VLOOKUP(M14,'G-3 Multipliers'!$L$3:$N$6,2,FALSE)=0,"Spatial Data Missing",VLOOKUP(M14,'G-3 Multipliers'!$L$3:$N$6,2,FALSE)))</f>
        <v xml:space="preserve">Medium strategic significance </v>
      </c>
      <c r="O14" s="281">
        <f>IF(M14="","",IF(VLOOKUP(M14,'G-3 Multipliers'!$L$3:$N$6,3,FALSE)=0,"Spatial Data Missing ▲",VLOOKUP(M14,'G-3 Multipliers'!$L$3:$N$6,3,FALSE)))</f>
        <v>1.1</v>
      </c>
      <c r="P14" s="282" t="str">
        <f>(IF(G14="Yes","Bespoke compensation likely to be required",(IFERROR(VLOOKUP(AV14,'G-1 All Habitats'!$B$2:$M$135,12,FALSE),""))))</f>
        <v>Same broad habitat or a higher distinctiveness habitat required (≥)</v>
      </c>
      <c r="Q14" s="289">
        <f>IFERROR(IF(AND(F14&lt;&gt;"",G14=""),"Confirm irreplaceable habitat status ▲",(IF(AND(E14="Individual trees",T14&gt;0,G14="Yes"),"Error - you cannot enhance irreplaceable individual trees ▲",(IF(AND(U14="Irreplaceable habitat - no units generated ⚠",(S14+T14)&lt;H14,OR(Y14="No",Y14="")),"Any Loss Unacceptable ⚠",(IF(U14="Irreplaceable habitat - no units generated ⚠",T14*J14*L14*O14,IF(AND(P14='G-1 All Habitats'!$X$9,AC14&gt;0,S14&lt;=0,T14&lt;=0,OR(Y14="No",Y14="")),"Any Loss Unacceptable ⚠",IF(AND(P14='G-1 All Habitats'!$X$9,AC14&gt;0,S14&lt;=0,T14&lt;=0,Y14="Yes"),0,(IF(AND(P14='G-1 All Habitats'!$X$9,(S14+T14)&lt;H14,OR(Y14="No",Y14="")),"Any Loss Unacceptable ⚠",(IF(P14="","",IF(AND(P14='G-1 All Habitats'!$X$9,T14&gt;0),U14+V14,IF(AND(P14='G-1 All Habitats'!$X$9,S14&gt;0),U14+V14,H14*J14*L14*O14))))))))))))))),"Check Data ▲")</f>
        <v>0.054120000000000015</v>
      </c>
      <c r="R14" s="38"/>
      <c r="S14" s="52">
        <v>0.0041</v>
      </c>
      <c r="T14" s="53">
        <v>0</v>
      </c>
      <c r="U14" s="287">
        <f t="shared" si="0"/>
        <v>0.054120000000000015</v>
      </c>
      <c r="V14" s="287">
        <f t="shared" si="3"/>
        <v>0</v>
      </c>
      <c r="W14" s="287">
        <f t="shared" si="4"/>
        <v>0</v>
      </c>
      <c r="X14" s="291">
        <f>IFERROR(IF(H14="","",IF(H14-S14-T14=0&lt;0,"Error in Areas ▲",IF(S14+T14&gt;H14,"Error in Areas ▲",IF(AND(P14='G-1 All Habitats'!$X$9,Y14="Yes"),"Alternative Compensation ✓",IF(AND(P14='G-1 All Habitats'!$X$3,Y14="Yes"),"Alternative Compensation ✓",IF(AND(Y14="Pending",P14='G-1 All Habitats'!$X$3),"Bespoke compensation must be agreed ▲",IF(AND(Y14="Pending",P14='G-1 All Habitats'!$X$9),"Bespoke compensation must be agreed  ▲",IF(W14=0,0,IF(P14='G-1 All Habitats'!$X$9,"Any Loss Unacceptable ▲",Q14-U14-V14))))))))),"Check Data ▲")</f>
        <v>0</v>
      </c>
      <c r="Y14" s="53"/>
      <c r="Z14" s="105" t="s">
        <v>354</v>
      </c>
      <c r="AA14" s="233"/>
      <c r="AB14" s="104"/>
      <c r="AC14" s="512" t="str">
        <f>IF(OR(P14="",Y14="Yes"),"",IF(P14='G-1 All Habitats'!$X$9,H14-S14-T14,"None"))</f>
        <v>None</v>
      </c>
      <c r="AD14" s="513" t="str">
        <f>IF(P14="","",IF(P14='G-1 All Habitats'!$X$9,AC14*J14*L14*O14,"None"))</f>
        <v>None</v>
      </c>
      <c r="AE14" s="35" t="str">
        <f t="shared" si="1"/>
        <v/>
      </c>
      <c r="AF14" s="40" t="b">
        <f t="shared" si="5"/>
        <v>1</v>
      </c>
      <c r="AG14" s="40" t="b">
        <f t="shared" si="2"/>
        <v>0</v>
      </c>
      <c r="AH14" s="40" t="e">
        <f>IF(I14="","",IF(#REF!&gt;0,TRUE,FALSE))</f>
        <v>#REF!</v>
      </c>
      <c r="AI14" s="40">
        <v>4</v>
      </c>
      <c r="AJ14" s="40"/>
      <c r="AK14" s="40">
        <f t="array" ref="AK14">IFERROR(INDEX($AI$11:$AI$259,MATCH(0,IF(TRUE=$AF$11:$AF$259,COUNTIF($AK$10:$AK13,$AI$11:$AI$259),""),0)),"")</f>
        <v>6</v>
      </c>
      <c r="AL14" s="40" t="str">
        <f t="array" ref="AL14">IFERROR(INDEX($AI$11:$AI$259,MATCH(0,IF(TRUE=$AG$11:$AG$259,COUNTIF($AL$10:$AL13,$AI$11:$AI$259),""),0)),"")</f>
        <v/>
      </c>
      <c r="AM14" s="40" t="str">
        <f t="array" ref="AM14">IFERROR(INDEX($AI$11:$AI$259,MATCH(0,IF(TRUE=$AH$11:$AH$259,COUNTIF($AM$10:$AM13,$AI$11:$AI$259),""),0)),"")</f>
        <v/>
      </c>
      <c r="AN14" s="40"/>
      <c r="AQ14" s="35">
        <f t="shared" si="6"/>
        <v>0</v>
      </c>
      <c r="AT14" s="885" t="str">
        <f>IF(AND(OR(Y14="Yes",Y14="Pending"),P14='G-1 All Habitats'!$X$3),Q14-U14-V14,"")</f>
        <v/>
      </c>
      <c r="AV14" s="542" t="str">
        <f>IFERROR(INDEX('G-1 All Habitats'!$B$3:$B$135,MATCH(F14,'G-1 All Habitats'!$A$3:$A$135,0)),"")</f>
        <v>Individual trees - Rural tree</v>
      </c>
      <c r="AW14" s="35" t="str">
        <f>IF(AV14="","",VLOOKUP(AV14,'G-1 All Habitats'!$B$1:$T$135,19,FALSE))</f>
        <v>Yes/No</v>
      </c>
    </row>
    <row r="15" spans="1:49" ht="42.5" thickBot="1">
      <c r="A15" s="35" t="str">
        <f>IFERROR(INDEX('G-1 All Habitats'!$AG$3:$AG$17,MATCH(E15,'G-1 All Habitats'!$AF$3:$AF$17,0)),"")</f>
        <v>Individual_trees</v>
      </c>
      <c r="B15" s="35" t="str">
        <f>IFERROR(INDEX('G-8 Condition Look up'!$I$4:$I$135,MATCH(AV15,'G-8 Condition Look up'!$A$4:$A$135,0)),"")</f>
        <v>Cond4</v>
      </c>
      <c r="D15" s="225">
        <v>5</v>
      </c>
      <c r="E15" s="211" t="s">
        <v>119</v>
      </c>
      <c r="F15" s="57" t="s">
        <v>353</v>
      </c>
      <c r="G15" s="263" t="s">
        <v>344</v>
      </c>
      <c r="H15" s="51">
        <v>0.0041</v>
      </c>
      <c r="I15" s="275" t="str">
        <f>IF(AV15="","",IF(AND(AW15="Yes",G15="No"),"Irreplaceable habitat ▲",IF(AND(AW15="No",G15="Yes"),"Cannot be Irreplaceable ▲",VLOOKUP(AV15,'G-1 All Habitats'!$B$2:$M$135,10,FALSE))))</f>
        <v>Medium</v>
      </c>
      <c r="J15" s="276">
        <f>IFERROR(VLOOKUP(I15,'G-1 All Habitats'!$V$3:$W$7,2,FALSE),"")</f>
        <v>4</v>
      </c>
      <c r="K15" s="52" t="s">
        <v>44</v>
      </c>
      <c r="L15" s="276">
        <f>IFERROR(INDEX('G-8 Condition Look up'!$A$3:$H$135,MATCH(AV15,'G-8 Condition Look up'!$A$3:$A$135,0),MATCH(K15,'G-8 Condition Look up'!$A$3:$H$3,0)),"")</f>
        <v>3</v>
      </c>
      <c r="M15" s="52" t="s">
        <v>351</v>
      </c>
      <c r="N15" s="295" t="str">
        <f>IF(M15="","",IF(VLOOKUP(M15,'G-3 Multipliers'!$L$3:$N$6,2,FALSE)=0,"Spatial Data Missing",VLOOKUP(M15,'G-3 Multipliers'!$L$3:$N$6,2,FALSE)))</f>
        <v xml:space="preserve">Medium strategic significance </v>
      </c>
      <c r="O15" s="281">
        <f>IF(M15="","",IF(VLOOKUP(M15,'G-3 Multipliers'!$L$3:$N$6,3,FALSE)=0,"Spatial Data Missing ▲",VLOOKUP(M15,'G-3 Multipliers'!$L$3:$N$6,3,FALSE)))</f>
        <v>1.1</v>
      </c>
      <c r="P15" s="282" t="str">
        <f>(IF(G15="Yes","Bespoke compensation likely to be required",(IFERROR(VLOOKUP(AV15,'G-1 All Habitats'!$B$2:$M$135,12,FALSE),""))))</f>
        <v>Same broad habitat or a higher distinctiveness habitat required (≥)</v>
      </c>
      <c r="Q15" s="289">
        <f>IFERROR(IF(AND(F15&lt;&gt;"",G15=""),"Confirm irreplaceable habitat status ▲",(IF(AND(E15="Individual trees",T15&gt;0,G15="Yes"),"Error - you cannot enhance irreplaceable individual trees ▲",(IF(AND(U15="Irreplaceable habitat - no units generated ⚠",(S15+T15)&lt;H15,OR(Y15="No",Y15="")),"Any Loss Unacceptable ⚠",(IF(U15="Irreplaceable habitat - no units generated ⚠",T15*J15*L15*O15,IF(AND(P15='G-1 All Habitats'!$X$9,AC15&gt;0,S15&lt;=0,T15&lt;=0,OR(Y15="No",Y15="")),"Any Loss Unacceptable ⚠",IF(AND(P15='G-1 All Habitats'!$X$9,AC15&gt;0,S15&lt;=0,T15&lt;=0,Y15="Yes"),0,(IF(AND(P15='G-1 All Habitats'!$X$9,(S15+T15)&lt;H15,OR(Y15="No",Y15="")),"Any Loss Unacceptable ⚠",(IF(P15="","",IF(AND(P15='G-1 All Habitats'!$X$9,T15&gt;0),U15+V15,IF(AND(P15='G-1 All Habitats'!$X$9,S15&gt;0),U15+V15,H15*J15*L15*O15))))))))))))))),"Check Data ▲")</f>
        <v>0.054120000000000015</v>
      </c>
      <c r="R15" s="38"/>
      <c r="S15" s="52">
        <v>0.0041</v>
      </c>
      <c r="T15" s="53">
        <v>0</v>
      </c>
      <c r="U15" s="287">
        <f t="shared" si="0"/>
        <v>0.054120000000000015</v>
      </c>
      <c r="V15" s="287">
        <f t="shared" si="7" ref="V15:V22">IFERROR(IF(AND(E15="Individual trees",T15&gt;0,G15="Yes"),"Error - ▲",(T15*J15*L15*O15)),"")</f>
        <v>0</v>
      </c>
      <c r="W15" s="287">
        <f t="shared" si="8" ref="W15:W22">IF(E15="","",IF(H15&lt;S15+T15,"Error in Areas ▲",H15-S15-T15))</f>
        <v>0</v>
      </c>
      <c r="X15" s="291">
        <f>IFERROR(IF(H15="","",IF(H15-S15-T15=0&lt;0,"Error in Areas ▲",IF(S15+T15&gt;H15,"Error in Areas ▲",IF(AND(P15='G-1 All Habitats'!$X$9,Y15="Yes"),"Alternative Compensation ✓",IF(AND(P15='G-1 All Habitats'!$X$3,Y15="Yes"),"Alternative Compensation ✓",IF(AND(Y15="Pending",P15='G-1 All Habitats'!$X$3),"Bespoke compensation must be agreed ▲",IF(AND(Y15="Pending",P15='G-1 All Habitats'!$X$9),"Bespoke compensation must be agreed  ▲",IF(W15=0,0,IF(P15='G-1 All Habitats'!$X$9,"Any Loss Unacceptable ▲",Q15-U15-V15))))))))),"Check Data ▲")</f>
        <v>0</v>
      </c>
      <c r="Y15" s="53"/>
      <c r="Z15" s="105" t="s">
        <v>355</v>
      </c>
      <c r="AA15" s="233"/>
      <c r="AB15" s="104"/>
      <c r="AC15" s="512" t="str">
        <f>IF(OR(P15="",Y15="Yes"),"",IF(P15='G-1 All Habitats'!$X$9,H15-S15-T15,"None"))</f>
        <v>None</v>
      </c>
      <c r="AD15" s="513" t="str">
        <f>IF(P15="","",IF(P15='G-1 All Habitats'!$X$9,AC15*J15*L15*O15,"None"))</f>
        <v>None</v>
      </c>
      <c r="AE15" s="35" t="str">
        <f t="shared" si="1"/>
        <v/>
      </c>
      <c r="AF15" s="40" t="b">
        <f t="shared" si="5"/>
        <v>1</v>
      </c>
      <c r="AG15" s="40" t="b">
        <f t="shared" si="2"/>
        <v>0</v>
      </c>
      <c r="AH15" s="40" t="e">
        <f>IF(I15="","",IF(#REF!&gt;0,TRUE,FALSE))</f>
        <v>#REF!</v>
      </c>
      <c r="AI15" s="40">
        <v>5</v>
      </c>
      <c r="AJ15" s="40"/>
      <c r="AK15" s="40">
        <f t="array" ref="AK15">IFERROR(INDEX($AI$11:$AI$259,MATCH(0,IF(TRUE=$AF$11:$AF$259,COUNTIF($AK$10:$AK14,$AI$11:$AI$259),""),0)),"")</f>
        <v>7</v>
      </c>
      <c r="AL15" s="40" t="str">
        <f t="array" ref="AL15">IFERROR(INDEX($AI$11:$AI$259,MATCH(0,IF(TRUE=$AG$11:$AG$259,COUNTIF($AL$10:$AL14,$AI$11:$AI$259),""),0)),"")</f>
        <v/>
      </c>
      <c r="AM15" s="40" t="str">
        <f t="array" ref="AM15">IFERROR(INDEX($AI$11:$AI$259,MATCH(0,IF(TRUE=$AH$11:$AH$259,COUNTIF($AM$10:$AM14,$AI$11:$AI$259),""),0)),"")</f>
        <v/>
      </c>
      <c r="AN15" s="40"/>
      <c r="AQ15" s="35">
        <f t="shared" si="6"/>
        <v>0</v>
      </c>
      <c r="AT15" s="885" t="str">
        <f>IF(AND(OR(Y15="Yes",Y15="Pending"),P15='G-1 All Habitats'!$X$3),Q15-U15-V15,"")</f>
        <v/>
      </c>
      <c r="AV15" s="542" t="str">
        <f>IFERROR(INDEX('G-1 All Habitats'!$B$3:$B$135,MATCH(F15,'G-1 All Habitats'!$A$3:$A$135,0)),"")</f>
        <v>Individual trees - Rural tree</v>
      </c>
      <c r="AW15" s="35" t="str">
        <f>IF(AV15="","",VLOOKUP(AV15,'G-1 All Habitats'!$B$1:$T$135,19,FALSE))</f>
        <v>Yes/No</v>
      </c>
    </row>
    <row r="16" spans="1:49" ht="42.5" thickBot="1">
      <c r="A16" s="35" t="str">
        <f>IFERROR(INDEX('G-1 All Habitats'!$AG$3:$AG$17,MATCH(E16,'G-1 All Habitats'!$AF$3:$AF$17,0)),"")</f>
        <v>Individual_trees</v>
      </c>
      <c r="B16" s="35" t="str">
        <f>IFERROR(INDEX('G-8 Condition Look up'!$I$4:$I$135,MATCH(AV16,'G-8 Condition Look up'!$A$4:$A$135,0)),"")</f>
        <v>Cond4</v>
      </c>
      <c r="D16" s="225">
        <v>6</v>
      </c>
      <c r="E16" s="211" t="s">
        <v>119</v>
      </c>
      <c r="F16" s="57" t="s">
        <v>353</v>
      </c>
      <c r="G16" s="263" t="s">
        <v>344</v>
      </c>
      <c r="H16" s="51">
        <v>0.0163</v>
      </c>
      <c r="I16" s="275" t="str">
        <f>IF(AV16="","",IF(AND(AW16="Yes",G16="No"),"Irreplaceable habitat ▲",IF(AND(AW16="No",G16="Yes"),"Cannot be Irreplaceable ▲",VLOOKUP(AV16,'G-1 All Habitats'!$B$2:$M$135,10,FALSE))))</f>
        <v>Medium</v>
      </c>
      <c r="J16" s="276">
        <f>IFERROR(VLOOKUP(I16,'G-1 All Habitats'!$V$3:$W$7,2,FALSE),"")</f>
        <v>4</v>
      </c>
      <c r="K16" s="52" t="s">
        <v>43</v>
      </c>
      <c r="L16" s="276">
        <f>IFERROR(INDEX('G-8 Condition Look up'!$A$3:$H$135,MATCH(AV16,'G-8 Condition Look up'!$A$3:$A$135,0),MATCH(K16,'G-8 Condition Look up'!$A$3:$H$3,0)),"")</f>
        <v>2</v>
      </c>
      <c r="M16" s="52" t="s">
        <v>351</v>
      </c>
      <c r="N16" s="295" t="str">
        <f>IF(M16="","",IF(VLOOKUP(M16,'G-3 Multipliers'!$L$3:$N$6,2,FALSE)=0,"Spatial Data Missing",VLOOKUP(M16,'G-3 Multipliers'!$L$3:$N$6,2,FALSE)))</f>
        <v xml:space="preserve">Medium strategic significance </v>
      </c>
      <c r="O16" s="281">
        <f>IF(M16="","",IF(VLOOKUP(M16,'G-3 Multipliers'!$L$3:$N$6,3,FALSE)=0,"Spatial Data Missing ▲",VLOOKUP(M16,'G-3 Multipliers'!$L$3:$N$6,3,FALSE)))</f>
        <v>1.1</v>
      </c>
      <c r="P16" s="282" t="str">
        <f>(IF(G16="Yes","Bespoke compensation likely to be required",(IFERROR(VLOOKUP(AV16,'G-1 All Habitats'!$B$2:$M$135,12,FALSE),""))))</f>
        <v>Same broad habitat or a higher distinctiveness habitat required (≥)</v>
      </c>
      <c r="Q16" s="289">
        <f>IFERROR(IF(AND(F16&lt;&gt;"",G16=""),"Confirm irreplaceable habitat status ▲",(IF(AND(E16="Individual trees",T16&gt;0,G16="Yes"),"Error - you cannot enhance irreplaceable individual trees ▲",(IF(AND(U16="Irreplaceable habitat - no units generated ⚠",(S16+T16)&lt;H16,OR(Y16="No",Y16="")),"Any Loss Unacceptable ⚠",(IF(U16="Irreplaceable habitat - no units generated ⚠",T16*J16*L16*O16,IF(AND(P16='G-1 All Habitats'!$X$9,AC16&gt;0,S16&lt;=0,T16&lt;=0,OR(Y16="No",Y16="")),"Any Loss Unacceptable ⚠",IF(AND(P16='G-1 All Habitats'!$X$9,AC16&gt;0,S16&lt;=0,T16&lt;=0,Y16="Yes"),0,(IF(AND(P16='G-1 All Habitats'!$X$9,(S16+T16)&lt;H16,OR(Y16="No",Y16="")),"Any Loss Unacceptable ⚠",(IF(P16="","",IF(AND(P16='G-1 All Habitats'!$X$9,T16&gt;0),U16+V16,IF(AND(P16='G-1 All Habitats'!$X$9,S16&gt;0),U16+V16,H16*J16*L16*O16))))))))))))))),"Check Data ▲")</f>
        <v>0.14344</v>
      </c>
      <c r="R16" s="38"/>
      <c r="S16" s="52">
        <v>0.0163</v>
      </c>
      <c r="T16" s="53">
        <v>0</v>
      </c>
      <c r="U16" s="287">
        <f t="shared" si="0"/>
        <v>0.14344</v>
      </c>
      <c r="V16" s="287">
        <f t="shared" si="7"/>
        <v>0</v>
      </c>
      <c r="W16" s="287">
        <f t="shared" si="8"/>
        <v>0</v>
      </c>
      <c r="X16" s="291">
        <f>IFERROR(IF(H16="","",IF(H16-S16-T16=0&lt;0,"Error in Areas ▲",IF(S16+T16&gt;H16,"Error in Areas ▲",IF(AND(P16='G-1 All Habitats'!$X$9,Y16="Yes"),"Alternative Compensation ✓",IF(AND(P16='G-1 All Habitats'!$X$3,Y16="Yes"),"Alternative Compensation ✓",IF(AND(Y16="Pending",P16='G-1 All Habitats'!$X$3),"Bespoke compensation must be agreed ▲",IF(AND(Y16="Pending",P16='G-1 All Habitats'!$X$9),"Bespoke compensation must be agreed  ▲",IF(W16=0,0,IF(P16='G-1 All Habitats'!$X$9,"Any Loss Unacceptable ▲",Q16-U16-V16))))))))),"Check Data ▲")</f>
        <v>0</v>
      </c>
      <c r="Y16" s="53"/>
      <c r="Z16" s="105" t="s">
        <v>356</v>
      </c>
      <c r="AA16" s="233"/>
      <c r="AB16" s="104"/>
      <c r="AC16" s="512" t="str">
        <f>IF(OR(P16="",Y16="Yes"),"",IF(P16='G-1 All Habitats'!$X$9,H16-S16-T16,"None"))</f>
        <v>None</v>
      </c>
      <c r="AD16" s="513" t="str">
        <f>IF(P16="","",IF(P16='G-1 All Habitats'!$X$9,AC16*J16*L16*O16,"None"))</f>
        <v>None</v>
      </c>
      <c r="AE16" s="35" t="str">
        <f t="shared" si="1"/>
        <v/>
      </c>
      <c r="AF16" s="40" t="b">
        <f t="shared" si="5"/>
        <v>1</v>
      </c>
      <c r="AG16" s="40" t="b">
        <f t="shared" si="2"/>
        <v>0</v>
      </c>
      <c r="AH16" s="40" t="e">
        <f>IF(I16="","",IF(#REF!&gt;0,TRUE,FALSE))</f>
        <v>#REF!</v>
      </c>
      <c r="AI16" s="40">
        <v>6</v>
      </c>
      <c r="AJ16" s="40"/>
      <c r="AK16" s="40">
        <f t="array" ref="AK16">IFERROR(INDEX($AI$11:$AI$259,MATCH(0,IF(TRUE=$AF$11:$AF$259,COUNTIF($AK$10:$AK15,$AI$11:$AI$259),""),0)),"")</f>
        <v>9</v>
      </c>
      <c r="AL16" s="40" t="str">
        <f t="array" ref="AL16">IFERROR(INDEX($AI$11:$AI$259,MATCH(0,IF(TRUE=$AG$11:$AG$259,COUNTIF($AL$10:$AL15,$AI$11:$AI$259),""),0)),"")</f>
        <v/>
      </c>
      <c r="AM16" s="40" t="str">
        <f t="array" ref="AM16">IFERROR(INDEX($AI$11:$AI$259,MATCH(0,IF(TRUE=$AH$11:$AH$259,COUNTIF($AM$10:$AM15,$AI$11:$AI$259),""),0)),"")</f>
        <v/>
      </c>
      <c r="AN16" s="40"/>
      <c r="AQ16" s="35">
        <f t="shared" si="6"/>
        <v>0</v>
      </c>
      <c r="AT16" s="885" t="str">
        <f>IF(AND(OR(Y16="Yes",Y16="Pending"),P16='G-1 All Habitats'!$X$3),Q16-U16-V16,"")</f>
        <v/>
      </c>
      <c r="AV16" s="542" t="str">
        <f>IFERROR(INDEX('G-1 All Habitats'!$B$3:$B$135,MATCH(F16,'G-1 All Habitats'!$A$3:$A$135,0)),"")</f>
        <v>Individual trees - Rural tree</v>
      </c>
      <c r="AW16" s="35" t="str">
        <f>IF(AV16="","",VLOOKUP(AV16,'G-1 All Habitats'!$B$1:$T$135,19,FALSE))</f>
        <v>Yes/No</v>
      </c>
    </row>
    <row r="17" spans="1:49" ht="42.5" thickBot="1">
      <c r="A17" s="35" t="str">
        <f>IFERROR(INDEX('G-1 All Habitats'!$AG$3:$AG$17,MATCH(E17,'G-1 All Habitats'!$AF$3:$AF$17,0)),"")</f>
        <v>Individual_trees</v>
      </c>
      <c r="B17" s="35" t="str">
        <f>IFERROR(INDEX('G-8 Condition Look up'!$I$4:$I$135,MATCH(AV17,'G-8 Condition Look up'!$A$4:$A$135,0)),"")</f>
        <v>Cond4</v>
      </c>
      <c r="D17" s="225">
        <v>7</v>
      </c>
      <c r="E17" s="211" t="s">
        <v>119</v>
      </c>
      <c r="F17" s="57" t="s">
        <v>353</v>
      </c>
      <c r="G17" s="263" t="s">
        <v>344</v>
      </c>
      <c r="H17" s="51">
        <v>0.0041</v>
      </c>
      <c r="I17" s="275" t="str">
        <f>IF(AV17="","",IF(AND(AW17="Yes",G17="No"),"Irreplaceable habitat ▲",IF(AND(AW17="No",G17="Yes"),"Cannot be Irreplaceable ▲",VLOOKUP(AV17,'G-1 All Habitats'!$B$2:$M$135,10,FALSE))))</f>
        <v>Medium</v>
      </c>
      <c r="J17" s="276">
        <f>IFERROR(VLOOKUP(I17,'G-1 All Habitats'!$V$3:$W$7,2,FALSE),"")</f>
        <v>4</v>
      </c>
      <c r="K17" s="52" t="s">
        <v>43</v>
      </c>
      <c r="L17" s="276">
        <f>IFERROR(INDEX('G-8 Condition Look up'!$A$3:$H$135,MATCH(AV17,'G-8 Condition Look up'!$A$3:$A$135,0),MATCH(K17,'G-8 Condition Look up'!$A$3:$H$3,0)),"")</f>
        <v>2</v>
      </c>
      <c r="M17" s="52" t="s">
        <v>351</v>
      </c>
      <c r="N17" s="295" t="str">
        <f>IF(M17="","",IF(VLOOKUP(M17,'G-3 Multipliers'!$L$3:$N$6,2,FALSE)=0,"Spatial Data Missing",VLOOKUP(M17,'G-3 Multipliers'!$L$3:$N$6,2,FALSE)))</f>
        <v xml:space="preserve">Medium strategic significance </v>
      </c>
      <c r="O17" s="281">
        <f>IF(M17="","",IF(VLOOKUP(M17,'G-3 Multipliers'!$L$3:$N$6,3,FALSE)=0,"Spatial Data Missing ▲",VLOOKUP(M17,'G-3 Multipliers'!$L$3:$N$6,3,FALSE)))</f>
        <v>1.1</v>
      </c>
      <c r="P17" s="282" t="str">
        <f>(IF(G17="Yes","Bespoke compensation likely to be required",(IFERROR(VLOOKUP(AV17,'G-1 All Habitats'!$B$2:$M$135,12,FALSE),""))))</f>
        <v>Same broad habitat or a higher distinctiveness habitat required (≥)</v>
      </c>
      <c r="Q17" s="289">
        <f>IFERROR(IF(AND(F17&lt;&gt;"",G17=""),"Confirm irreplaceable habitat status ▲",(IF(AND(E17="Individual trees",T17&gt;0,G17="Yes"),"Error - you cannot enhance irreplaceable individual trees ▲",(IF(AND(U17="Irreplaceable habitat - no units generated ⚠",(S17+T17)&lt;H17,OR(Y17="No",Y17="")),"Any Loss Unacceptable ⚠",(IF(U17="Irreplaceable habitat - no units generated ⚠",T17*J17*L17*O17,IF(AND(P17='G-1 All Habitats'!$X$9,AC17&gt;0,S17&lt;=0,T17&lt;=0,OR(Y17="No",Y17="")),"Any Loss Unacceptable ⚠",IF(AND(P17='G-1 All Habitats'!$X$9,AC17&gt;0,S17&lt;=0,T17&lt;=0,Y17="Yes"),0,(IF(AND(P17='G-1 All Habitats'!$X$9,(S17+T17)&lt;H17,OR(Y17="No",Y17="")),"Any Loss Unacceptable ⚠",(IF(P17="","",IF(AND(P17='G-1 All Habitats'!$X$9,T17&gt;0),U17+V17,IF(AND(P17='G-1 All Habitats'!$X$9,S17&gt;0),U17+V17,H17*J17*L17*O17))))))))))))))),"Check Data ▲")</f>
        <v>0.03608000000000001</v>
      </c>
      <c r="R17" s="38"/>
      <c r="S17" s="52">
        <v>0.0041</v>
      </c>
      <c r="T17" s="53">
        <v>0</v>
      </c>
      <c r="U17" s="287">
        <f t="shared" si="0"/>
        <v>0.03608000000000001</v>
      </c>
      <c r="V17" s="287">
        <f t="shared" si="7"/>
        <v>0</v>
      </c>
      <c r="W17" s="287">
        <f t="shared" si="8"/>
        <v>0</v>
      </c>
      <c r="X17" s="291">
        <f>IFERROR(IF(H17="","",IF(H17-S17-T17=0&lt;0,"Error in Areas ▲",IF(S17+T17&gt;H17,"Error in Areas ▲",IF(AND(P17='G-1 All Habitats'!$X$9,Y17="Yes"),"Alternative Compensation ✓",IF(AND(P17='G-1 All Habitats'!$X$3,Y17="Yes"),"Alternative Compensation ✓",IF(AND(Y17="Pending",P17='G-1 All Habitats'!$X$3),"Bespoke compensation must be agreed ▲",IF(AND(Y17="Pending",P17='G-1 All Habitats'!$X$9),"Bespoke compensation must be agreed  ▲",IF(W17=0,0,IF(P17='G-1 All Habitats'!$X$9,"Any Loss Unacceptable ▲",Q17-U17-V17))))))))),"Check Data ▲")</f>
        <v>0</v>
      </c>
      <c r="Y17" s="53"/>
      <c r="Z17" s="105" t="s">
        <v>357</v>
      </c>
      <c r="AA17" s="233"/>
      <c r="AB17" s="104"/>
      <c r="AC17" s="512" t="str">
        <f>IF(OR(P17="",Y17="Yes"),"",IF(P17='G-1 All Habitats'!$X$9,H17-S17-T17,"None"))</f>
        <v>None</v>
      </c>
      <c r="AD17" s="513" t="str">
        <f>IF(P17="","",IF(P17='G-1 All Habitats'!$X$9,AC17*J17*L17*O17,"None"))</f>
        <v>None</v>
      </c>
      <c r="AE17" s="35" t="str">
        <f t="shared" si="1"/>
        <v/>
      </c>
      <c r="AF17" s="40" t="b">
        <f t="shared" si="5"/>
        <v>1</v>
      </c>
      <c r="AG17" s="40" t="b">
        <f t="shared" si="2"/>
        <v>0</v>
      </c>
      <c r="AH17" s="40" t="e">
        <f>IF(I17="","",IF(#REF!&gt;0,TRUE,FALSE))</f>
        <v>#REF!</v>
      </c>
      <c r="AI17" s="40">
        <v>7</v>
      </c>
      <c r="AJ17" s="40"/>
      <c r="AK17" s="40">
        <f t="array" ref="AK17">IFERROR(INDEX($AI$11:$AI$259,MATCH(0,IF(TRUE=$AF$11:$AF$259,COUNTIF($AK$10:$AK16,$AI$11:$AI$259),""),0)),"")</f>
        <v>10</v>
      </c>
      <c r="AL17" s="40" t="str">
        <f t="array" ref="AL17">IFERROR(INDEX($AI$11:$AI$259,MATCH(0,IF(TRUE=$AG$11:$AG$259,COUNTIF($AL$10:$AL16,$AI$11:$AI$259),""),0)),"")</f>
        <v/>
      </c>
      <c r="AM17" s="40" t="str">
        <f t="array" ref="AM17">IFERROR(INDEX($AI$11:$AI$259,MATCH(0,IF(TRUE=$AH$11:$AH$259,COUNTIF($AM$10:$AM16,$AI$11:$AI$259),""),0)),"")</f>
        <v/>
      </c>
      <c r="AN17" s="40"/>
      <c r="AQ17" s="35">
        <f t="shared" si="6"/>
        <v>0</v>
      </c>
      <c r="AT17" s="885" t="str">
        <f>IF(AND(OR(Y17="Yes",Y17="Pending"),P17='G-1 All Habitats'!$X$3),Q17-U17-V17,"")</f>
        <v/>
      </c>
      <c r="AV17" s="542" t="str">
        <f>IFERROR(INDEX('G-1 All Habitats'!$B$3:$B$135,MATCH(F17,'G-1 All Habitats'!$A$3:$A$135,0)),"")</f>
        <v>Individual trees - Rural tree</v>
      </c>
      <c r="AW17" s="35" t="str">
        <f>IF(AV17="","",VLOOKUP(AV17,'G-1 All Habitats'!$B$1:$T$135,19,FALSE))</f>
        <v>Yes/No</v>
      </c>
    </row>
    <row r="18" spans="1:49" ht="42.5" thickBot="1">
      <c r="A18" s="35" t="str">
        <f>IFERROR(INDEX('G-1 All Habitats'!$AG$3:$AG$17,MATCH(E18,'G-1 All Habitats'!$AF$3:$AF$17,0)),"")</f>
        <v>Individual_trees</v>
      </c>
      <c r="B18" s="35" t="str">
        <f>IFERROR(INDEX('G-8 Condition Look up'!$I$4:$I$135,MATCH(AV18,'G-8 Condition Look up'!$A$4:$A$135,0)),"")</f>
        <v>Cond4</v>
      </c>
      <c r="D18" s="225">
        <v>8</v>
      </c>
      <c r="E18" s="211" t="s">
        <v>119</v>
      </c>
      <c r="F18" s="57" t="s">
        <v>353</v>
      </c>
      <c r="G18" s="263" t="s">
        <v>344</v>
      </c>
      <c r="H18" s="51">
        <v>0.0041</v>
      </c>
      <c r="I18" s="275" t="str">
        <f>IF(AV18="","",IF(AND(AW18="Yes",G18="No"),"Irreplaceable habitat ▲",IF(AND(AW18="No",G18="Yes"),"Cannot be Irreplaceable ▲",VLOOKUP(AV18,'G-1 All Habitats'!$B$2:$M$135,10,FALSE))))</f>
        <v>Medium</v>
      </c>
      <c r="J18" s="276">
        <f>IFERROR(VLOOKUP(I18,'G-1 All Habitats'!$V$3:$W$7,2,FALSE),"")</f>
        <v>4</v>
      </c>
      <c r="K18" s="52" t="s">
        <v>44</v>
      </c>
      <c r="L18" s="276">
        <f>IFERROR(INDEX('G-8 Condition Look up'!$A$3:$H$135,MATCH(AV18,'G-8 Condition Look up'!$A$3:$A$135,0),MATCH(K18,'G-8 Condition Look up'!$A$3:$H$3,0)),"")</f>
        <v>3</v>
      </c>
      <c r="M18" s="52" t="s">
        <v>351</v>
      </c>
      <c r="N18" s="295" t="str">
        <f>IF(M18="","",IF(VLOOKUP(M18,'G-3 Multipliers'!$L$3:$N$6,2,FALSE)=0,"Spatial Data Missing",VLOOKUP(M18,'G-3 Multipliers'!$L$3:$N$6,2,FALSE)))</f>
        <v xml:space="preserve">Medium strategic significance </v>
      </c>
      <c r="O18" s="281">
        <f>IF(M18="","",IF(VLOOKUP(M18,'G-3 Multipliers'!$L$3:$N$6,3,FALSE)=0,"Spatial Data Missing ▲",VLOOKUP(M18,'G-3 Multipliers'!$L$3:$N$6,3,FALSE)))</f>
        <v>1.1</v>
      </c>
      <c r="P18" s="282" t="str">
        <f>(IF(G18="Yes","Bespoke compensation likely to be required",(IFERROR(VLOOKUP(AV18,'G-1 All Habitats'!$B$2:$M$135,12,FALSE),""))))</f>
        <v>Same broad habitat or a higher distinctiveness habitat required (≥)</v>
      </c>
      <c r="Q18" s="289">
        <f>IFERROR(IF(AND(F18&lt;&gt;"",G18=""),"Confirm irreplaceable habitat status ▲",(IF(AND(E18="Individual trees",T18&gt;0,G18="Yes"),"Error - you cannot enhance irreplaceable individual trees ▲",(IF(AND(U18="Irreplaceable habitat - no units generated ⚠",(S18+T18)&lt;H18,OR(Y18="No",Y18="")),"Any Loss Unacceptable ⚠",(IF(U18="Irreplaceable habitat - no units generated ⚠",T18*J18*L18*O18,IF(AND(P18='G-1 All Habitats'!$X$9,AC18&gt;0,S18&lt;=0,T18&lt;=0,OR(Y18="No",Y18="")),"Any Loss Unacceptable ⚠",IF(AND(P18='G-1 All Habitats'!$X$9,AC18&gt;0,S18&lt;=0,T18&lt;=0,Y18="Yes"),0,(IF(AND(P18='G-1 All Habitats'!$X$9,(S18+T18)&lt;H18,OR(Y18="No",Y18="")),"Any Loss Unacceptable ⚠",(IF(P18="","",IF(AND(P18='G-1 All Habitats'!$X$9,T18&gt;0),U18+V18,IF(AND(P18='G-1 All Habitats'!$X$9,S18&gt;0),U18+V18,H18*J18*L18*O18))))))))))))))),"Check Data ▲")</f>
        <v>0.054120000000000015</v>
      </c>
      <c r="R18" s="38"/>
      <c r="S18" s="52">
        <v>0</v>
      </c>
      <c r="T18" s="53">
        <v>0</v>
      </c>
      <c r="U18" s="287">
        <f t="shared" si="0"/>
        <v>0</v>
      </c>
      <c r="V18" s="287">
        <f t="shared" si="7"/>
        <v>0</v>
      </c>
      <c r="W18" s="287">
        <f t="shared" si="8"/>
        <v>0.0041</v>
      </c>
      <c r="X18" s="291">
        <f>IFERROR(IF(H18="","",IF(H18-S18-T18=0&lt;0,"Error in Areas ▲",IF(S18+T18&gt;H18,"Error in Areas ▲",IF(AND(P18='G-1 All Habitats'!$X$9,Y18="Yes"),"Alternative Compensation ✓",IF(AND(P18='G-1 All Habitats'!$X$3,Y18="Yes"),"Alternative Compensation ✓",IF(AND(Y18="Pending",P18='G-1 All Habitats'!$X$3),"Bespoke compensation must be agreed ▲",IF(AND(Y18="Pending",P18='G-1 All Habitats'!$X$9),"Bespoke compensation must be agreed  ▲",IF(W18=0,0,IF(P18='G-1 All Habitats'!$X$9,"Any Loss Unacceptable ▲",Q18-U18-V18))))))))),"Check Data ▲")</f>
        <v>0.054120000000000015</v>
      </c>
      <c r="Y18" s="53"/>
      <c r="Z18" s="105" t="s">
        <v>358</v>
      </c>
      <c r="AA18" s="233"/>
      <c r="AB18" s="104"/>
      <c r="AC18" s="512" t="str">
        <f>IF(OR(P18="",Y18="Yes"),"",IF(P18='G-1 All Habitats'!$X$9,H18-S18-T18,"None"))</f>
        <v>None</v>
      </c>
      <c r="AD18" s="513" t="str">
        <f>IF(P18="","",IF(P18='G-1 All Habitats'!$X$9,AC18*J18*L18*O18,"None"))</f>
        <v>None</v>
      </c>
      <c r="AE18" s="35" t="str">
        <f t="shared" si="1"/>
        <v/>
      </c>
      <c r="AF18" s="40" t="b">
        <f t="shared" si="5"/>
        <v>0</v>
      </c>
      <c r="AG18" s="40" t="b">
        <f t="shared" si="2"/>
        <v>0</v>
      </c>
      <c r="AH18" s="40" t="e">
        <f>IF(I18="","",IF(#REF!&gt;0,TRUE,FALSE))</f>
        <v>#REF!</v>
      </c>
      <c r="AI18" s="40">
        <v>8</v>
      </c>
      <c r="AJ18" s="40"/>
      <c r="AK18" s="40">
        <f t="array" ref="AK18">IFERROR(INDEX($AI$11:$AI$259,MATCH(0,IF(TRUE=$AF$11:$AF$259,COUNTIF($AK$10:$AK17,$AI$11:$AI$259),""),0)),"")</f>
        <v>11</v>
      </c>
      <c r="AL18" s="40" t="str">
        <f t="array" ref="AL18">IFERROR(INDEX($AI$11:$AI$259,MATCH(0,IF(TRUE=$AG$11:$AG$259,COUNTIF($AL$10:$AL17,$AI$11:$AI$259),""),0)),"")</f>
        <v/>
      </c>
      <c r="AM18" s="40" t="str">
        <f t="array" ref="AM18">IFERROR(INDEX($AI$11:$AI$259,MATCH(0,IF(TRUE=$AH$11:$AH$259,COUNTIF($AM$10:$AM17,$AI$11:$AI$259),""),0)),"")</f>
        <v/>
      </c>
      <c r="AN18" s="40"/>
      <c r="AQ18" s="35">
        <f t="shared" si="6"/>
        <v>0</v>
      </c>
      <c r="AT18" s="885" t="str">
        <f>IF(AND(OR(Y18="Yes",Y18="Pending"),P18='G-1 All Habitats'!$X$3),Q18-U18-V18,"")</f>
        <v/>
      </c>
      <c r="AV18" s="542" t="str">
        <f>IFERROR(INDEX('G-1 All Habitats'!$B$3:$B$135,MATCH(F18,'G-1 All Habitats'!$A$3:$A$135,0)),"")</f>
        <v>Individual trees - Rural tree</v>
      </c>
      <c r="AW18" s="35" t="str">
        <f>IF(AV18="","",VLOOKUP(AV18,'G-1 All Habitats'!$B$1:$T$135,19,FALSE))</f>
        <v>Yes/No</v>
      </c>
    </row>
    <row r="19" spans="1:49" ht="42.5" thickBot="1">
      <c r="A19" s="35" t="str">
        <f>IFERROR(INDEX('G-1 All Habitats'!$AG$3:$AG$17,MATCH(E19,'G-1 All Habitats'!$AF$3:$AF$17,0)),"")</f>
        <v>Individual_trees</v>
      </c>
      <c r="B19" s="35" t="str">
        <f>IFERROR(INDEX('G-8 Condition Look up'!$I$4:$I$135,MATCH(AV19,'G-8 Condition Look up'!$A$4:$A$135,0)),"")</f>
        <v>Cond4</v>
      </c>
      <c r="D19" s="225">
        <v>9</v>
      </c>
      <c r="E19" s="211" t="s">
        <v>119</v>
      </c>
      <c r="F19" s="57" t="s">
        <v>353</v>
      </c>
      <c r="G19" s="263" t="s">
        <v>344</v>
      </c>
      <c r="H19" s="51">
        <v>0.0163</v>
      </c>
      <c r="I19" s="275" t="str">
        <f>IF(AV19="","",IF(AND(AW19="Yes",G19="No"),"Irreplaceable habitat ▲",IF(AND(AW19="No",G19="Yes"),"Cannot be Irreplaceable ▲",VLOOKUP(AV19,'G-1 All Habitats'!$B$2:$M$135,10,FALSE))))</f>
        <v>Medium</v>
      </c>
      <c r="J19" s="276">
        <f>IFERROR(VLOOKUP(I19,'G-1 All Habitats'!$V$3:$W$7,2,FALSE),"")</f>
        <v>4</v>
      </c>
      <c r="K19" s="52" t="s">
        <v>44</v>
      </c>
      <c r="L19" s="276">
        <f>IFERROR(INDEX('G-8 Condition Look up'!$A$3:$H$135,MATCH(AV19,'G-8 Condition Look up'!$A$3:$A$135,0),MATCH(K19,'G-8 Condition Look up'!$A$3:$H$3,0)),"")</f>
        <v>3</v>
      </c>
      <c r="M19" s="52" t="s">
        <v>351</v>
      </c>
      <c r="N19" s="295" t="str">
        <f>IF(M19="","",IF(VLOOKUP(M19,'G-3 Multipliers'!$L$3:$N$6,2,FALSE)=0,"Spatial Data Missing",VLOOKUP(M19,'G-3 Multipliers'!$L$3:$N$6,2,FALSE)))</f>
        <v xml:space="preserve">Medium strategic significance </v>
      </c>
      <c r="O19" s="281">
        <f>IF(M19="","",IF(VLOOKUP(M19,'G-3 Multipliers'!$L$3:$N$6,3,FALSE)=0,"Spatial Data Missing ▲",VLOOKUP(M19,'G-3 Multipliers'!$L$3:$N$6,3,FALSE)))</f>
        <v>1.1</v>
      </c>
      <c r="P19" s="282" t="str">
        <f>(IF(G19="Yes","Bespoke compensation likely to be required",(IFERROR(VLOOKUP(AV19,'G-1 All Habitats'!$B$2:$M$135,12,FALSE),""))))</f>
        <v>Same broad habitat or a higher distinctiveness habitat required (≥)</v>
      </c>
      <c r="Q19" s="289">
        <f>IFERROR(IF(AND(F19&lt;&gt;"",G19=""),"Confirm irreplaceable habitat status ▲",(IF(AND(E19="Individual trees",T19&gt;0,G19="Yes"),"Error - you cannot enhance irreplaceable individual trees ▲",(IF(AND(U19="Irreplaceable habitat - no units generated ⚠",(S19+T19)&lt;H19,OR(Y19="No",Y19="")),"Any Loss Unacceptable ⚠",(IF(U19="Irreplaceable habitat - no units generated ⚠",T19*J19*L19*O19,IF(AND(P19='G-1 All Habitats'!$X$9,AC19&gt;0,S19&lt;=0,T19&lt;=0,OR(Y19="No",Y19="")),"Any Loss Unacceptable ⚠",IF(AND(P19='G-1 All Habitats'!$X$9,AC19&gt;0,S19&lt;=0,T19&lt;=0,Y19="Yes"),0,(IF(AND(P19='G-1 All Habitats'!$X$9,(S19+T19)&lt;H19,OR(Y19="No",Y19="")),"Any Loss Unacceptable ⚠",(IF(P19="","",IF(AND(P19='G-1 All Habitats'!$X$9,T19&gt;0),U19+V19,IF(AND(P19='G-1 All Habitats'!$X$9,S19&gt;0),U19+V19,H19*J19*L19*O19))))))))))))))),"Check Data ▲")</f>
        <v>0.21516000000000002</v>
      </c>
      <c r="R19" s="38"/>
      <c r="S19" s="52">
        <v>0.0163</v>
      </c>
      <c r="T19" s="53">
        <v>0</v>
      </c>
      <c r="U19" s="287">
        <f t="shared" si="0"/>
        <v>0.21516000000000002</v>
      </c>
      <c r="V19" s="287">
        <f t="shared" si="7"/>
        <v>0</v>
      </c>
      <c r="W19" s="287">
        <f t="shared" si="8"/>
        <v>0</v>
      </c>
      <c r="X19" s="291">
        <f>IFERROR(IF(H19="","",IF(H19-S19-T19=0&lt;0,"Error in Areas ▲",IF(S19+T19&gt;H19,"Error in Areas ▲",IF(AND(P19='G-1 All Habitats'!$X$9,Y19="Yes"),"Alternative Compensation ✓",IF(AND(P19='G-1 All Habitats'!$X$3,Y19="Yes"),"Alternative Compensation ✓",IF(AND(Y19="Pending",P19='G-1 All Habitats'!$X$3),"Bespoke compensation must be agreed ▲",IF(AND(Y19="Pending",P19='G-1 All Habitats'!$X$9),"Bespoke compensation must be agreed  ▲",IF(W19=0,0,IF(P19='G-1 All Habitats'!$X$9,"Any Loss Unacceptable ▲",Q19-U19-V19))))))))),"Check Data ▲")</f>
        <v>0</v>
      </c>
      <c r="Y19" s="53"/>
      <c r="Z19" s="105" t="s">
        <v>359</v>
      </c>
      <c r="AA19" s="233"/>
      <c r="AB19" s="104"/>
      <c r="AC19" s="512" t="str">
        <f>IF(OR(P19="",Y19="Yes"),"",IF(P19='G-1 All Habitats'!$X$9,H19-S19-T19,"None"))</f>
        <v>None</v>
      </c>
      <c r="AD19" s="513" t="str">
        <f>IF(P19="","",IF(P19='G-1 All Habitats'!$X$9,AC19*J19*L19*O19,"None"))</f>
        <v>None</v>
      </c>
      <c r="AE19" s="35" t="str">
        <f t="shared" si="1"/>
        <v/>
      </c>
      <c r="AF19" s="40" t="b">
        <f t="shared" si="5"/>
        <v>1</v>
      </c>
      <c r="AG19" s="40" t="b">
        <f t="shared" si="2"/>
        <v>0</v>
      </c>
      <c r="AH19" s="40" t="e">
        <f>IF(I19="","",IF(#REF!&gt;0,TRUE,FALSE))</f>
        <v>#REF!</v>
      </c>
      <c r="AI19" s="40">
        <v>9</v>
      </c>
      <c r="AJ19" s="40"/>
      <c r="AK19" s="40">
        <f t="array" ref="AK19">IFERROR(INDEX($AI$11:$AI$259,MATCH(0,IF(TRUE=$AF$11:$AF$259,COUNTIF($AK$10:$AK18,$AI$11:$AI$259),""),0)),"")</f>
        <v>12</v>
      </c>
      <c r="AL19" s="40" t="str">
        <f t="array" ref="AL19">IFERROR(INDEX($AI$11:$AI$259,MATCH(0,IF(TRUE=$AG$11:$AG$259,COUNTIF($AL$10:$AL18,$AI$11:$AI$259),""),0)),"")</f>
        <v/>
      </c>
      <c r="AM19" s="40" t="str">
        <f t="array" ref="AM19">IFERROR(INDEX($AI$11:$AI$259,MATCH(0,IF(TRUE=$AH$11:$AH$259,COUNTIF($AM$10:$AM18,$AI$11:$AI$259),""),0)),"")</f>
        <v/>
      </c>
      <c r="AN19" s="40"/>
      <c r="AQ19" s="35">
        <f t="shared" si="6"/>
        <v>0</v>
      </c>
      <c r="AT19" s="885" t="str">
        <f>IF(AND(OR(Y19="Yes",Y19="Pending"),P19='G-1 All Habitats'!$X$3),Q19-U19-V19,"")</f>
        <v/>
      </c>
      <c r="AV19" s="542" t="str">
        <f>IFERROR(INDEX('G-1 All Habitats'!$B$3:$B$135,MATCH(F19,'G-1 All Habitats'!$A$3:$A$135,0)),"")</f>
        <v>Individual trees - Rural tree</v>
      </c>
      <c r="AW19" s="35" t="str">
        <f>IF(AV19="","",VLOOKUP(AV19,'G-1 All Habitats'!$B$1:$T$135,19,FALSE))</f>
        <v>Yes/No</v>
      </c>
    </row>
    <row r="20" spans="1:49" ht="28.5" thickBot="1">
      <c r="A20" s="35" t="str">
        <f>IFERROR(INDEX('G-1 All Habitats'!$AG$3:$AG$17,MATCH(E20,'G-1 All Habitats'!$AF$3:$AF$17,0)),"")</f>
        <v>Grassland</v>
      </c>
      <c r="B20" s="35" t="str">
        <f>IFERROR(INDEX('G-8 Condition Look up'!$I$4:$I$135,MATCH(AV20,'G-8 Condition Look up'!$A$4:$A$135,0)),"")</f>
        <v>Cond4</v>
      </c>
      <c r="D20" s="225">
        <v>10</v>
      </c>
      <c r="E20" s="211" t="s">
        <v>106</v>
      </c>
      <c r="F20" s="57" t="s">
        <v>343</v>
      </c>
      <c r="G20" s="263" t="s">
        <v>344</v>
      </c>
      <c r="H20" s="51">
        <v>0.39</v>
      </c>
      <c r="I20" s="275" t="str">
        <f>IF(AV20="","",IF(AND(AW20="Yes",G20="No"),"Irreplaceable habitat ▲",IF(AND(AW20="No",G20="Yes"),"Cannot be Irreplaceable ▲",VLOOKUP(AV20,'G-1 All Habitats'!$B$2:$M$135,10,FALSE))))</f>
        <v>Low</v>
      </c>
      <c r="J20" s="276">
        <f>IFERROR(VLOOKUP(I20,'G-1 All Habitats'!$V$3:$W$7,2,FALSE),"")</f>
        <v>2</v>
      </c>
      <c r="K20" s="52" t="s">
        <v>44</v>
      </c>
      <c r="L20" s="276">
        <f>IFERROR(INDEX('G-8 Condition Look up'!$A$3:$H$135,MATCH(AV20,'G-8 Condition Look up'!$A$3:$A$135,0),MATCH(K20,'G-8 Condition Look up'!$A$3:$H$3,0)),"")</f>
        <v>3</v>
      </c>
      <c r="M20" s="52" t="s">
        <v>346</v>
      </c>
      <c r="N20" s="295" t="str">
        <f>IF(M20="","",IF(VLOOKUP(M20,'G-3 Multipliers'!$L$3:$N$6,2,FALSE)=0,"Spatial Data Missing",VLOOKUP(M20,'G-3 Multipliers'!$L$3:$N$6,2,FALSE)))</f>
        <v>Low Strategic Significance</v>
      </c>
      <c r="O20" s="281">
        <f>IF(M20="","",IF(VLOOKUP(M20,'G-3 Multipliers'!$L$3:$N$6,3,FALSE)=0,"Spatial Data Missing ▲",VLOOKUP(M20,'G-3 Multipliers'!$L$3:$N$6,3,FALSE)))</f>
        <v>1</v>
      </c>
      <c r="P20" s="282" t="str">
        <f>(IF(G20="Yes","Bespoke compensation likely to be required",(IFERROR(VLOOKUP(AV20,'G-1 All Habitats'!$B$2:$M$135,12,FALSE),""))))</f>
        <v>Same distinctiveness or better habitat required ≥</v>
      </c>
      <c r="Q20" s="289">
        <f>IFERROR(IF(AND(F20&lt;&gt;"",G20=""),"Confirm irreplaceable habitat status ▲",(IF(AND(E20="Individual trees",T20&gt;0,G20="Yes"),"Error - you cannot enhance irreplaceable individual trees ▲",(IF(AND(U20="Irreplaceable habitat - no units generated ⚠",(S20+T20)&lt;H20,OR(Y20="No",Y20="")),"Any Loss Unacceptable ⚠",(IF(U20="Irreplaceable habitat - no units generated ⚠",T20*J20*L20*O20,IF(AND(P20='G-1 All Habitats'!$X$9,AC20&gt;0,S20&lt;=0,T20&lt;=0,OR(Y20="No",Y20="")),"Any Loss Unacceptable ⚠",IF(AND(P20='G-1 All Habitats'!$X$9,AC20&gt;0,S20&lt;=0,T20&lt;=0,Y20="Yes"),0,(IF(AND(P20='G-1 All Habitats'!$X$9,(S20+T20)&lt;H20,OR(Y20="No",Y20="")),"Any Loss Unacceptable ⚠",(IF(P20="","",IF(AND(P20='G-1 All Habitats'!$X$9,T20&gt;0),U20+V20,IF(AND(P20='G-1 All Habitats'!$X$9,S20&gt;0),U20+V20,H20*J20*L20*O20))))))))))))))),"Check Data ▲")</f>
        <v>2.34</v>
      </c>
      <c r="R20" s="38"/>
      <c r="S20" s="52">
        <v>0.39</v>
      </c>
      <c r="T20" s="53">
        <v>0</v>
      </c>
      <c r="U20" s="287">
        <f t="shared" si="0"/>
        <v>2.34</v>
      </c>
      <c r="V20" s="287">
        <f t="shared" si="7"/>
        <v>0</v>
      </c>
      <c r="W20" s="287">
        <f t="shared" si="8"/>
        <v>0</v>
      </c>
      <c r="X20" s="291">
        <f>IFERROR(IF(H20="","",IF(H20-S20-T20=0&lt;0,"Error in Areas ▲",IF(S20+T20&gt;H20,"Error in Areas ▲",IF(AND(P20='G-1 All Habitats'!$X$9,Y20="Yes"),"Alternative Compensation ✓",IF(AND(P20='G-1 All Habitats'!$X$3,Y20="Yes"),"Alternative Compensation ✓",IF(AND(Y20="Pending",P20='G-1 All Habitats'!$X$3),"Bespoke compensation must be agreed ▲",IF(AND(Y20="Pending",P20='G-1 All Habitats'!$X$9),"Bespoke compensation must be agreed  ▲",IF(W20=0,0,IF(P20='G-1 All Habitats'!$X$9,"Any Loss Unacceptable ▲",Q20-U20-V20))))))))),"Check Data ▲")</f>
        <v>0</v>
      </c>
      <c r="Y20" s="53"/>
      <c r="Z20" s="105" t="s">
        <v>360</v>
      </c>
      <c r="AA20" s="233"/>
      <c r="AB20" s="104"/>
      <c r="AC20" s="512" t="str">
        <f>IF(OR(P20="",Y20="Yes"),"",IF(P20='G-1 All Habitats'!$X$9,H20-S20-T20,"None"))</f>
        <v>None</v>
      </c>
      <c r="AD20" s="513" t="str">
        <f>IF(P20="","",IF(P20='G-1 All Habitats'!$X$9,AC20*J20*L20*O20,"None"))</f>
        <v>None</v>
      </c>
      <c r="AE20" s="35" t="str">
        <f t="shared" si="1"/>
        <v/>
      </c>
      <c r="AF20" s="40" t="b">
        <f t="shared" si="5"/>
        <v>1</v>
      </c>
      <c r="AG20" s="40" t="b">
        <f t="shared" si="2"/>
        <v>0</v>
      </c>
      <c r="AH20" s="40" t="e">
        <f>IF(I20="","",IF(#REF!&gt;0,TRUE,FALSE))</f>
        <v>#REF!</v>
      </c>
      <c r="AI20" s="40">
        <v>10</v>
      </c>
      <c r="AJ20" s="40"/>
      <c r="AK20" s="40">
        <f t="array" ref="AK20">IFERROR(INDEX($AI$11:$AI$259,MATCH(0,IF(TRUE=$AF$11:$AF$259,COUNTIF($AK$10:$AK19,$AI$11:$AI$259),""),0)),"")</f>
        <v>13</v>
      </c>
      <c r="AL20" s="40" t="str">
        <f t="array" ref="AL20">IFERROR(INDEX($AI$11:$AI$259,MATCH(0,IF(TRUE=$AG$11:$AG$259,COUNTIF($AL$10:$AL19,$AI$11:$AI$259),""),0)),"")</f>
        <v/>
      </c>
      <c r="AM20" s="40" t="str">
        <f t="array" ref="AM20">IFERROR(INDEX($AI$11:$AI$259,MATCH(0,IF(TRUE=$AH$11:$AH$259,COUNTIF($AM$10:$AM19,$AI$11:$AI$259),""),0)),"")</f>
        <v/>
      </c>
      <c r="AN20" s="40"/>
      <c r="AQ20" s="35">
        <f t="shared" si="6"/>
        <v>0</v>
      </c>
      <c r="AT20" s="885" t="str">
        <f>IF(AND(OR(Y20="Yes",Y20="Pending"),P20='G-1 All Habitats'!$X$3),Q20-U20-V20,"")</f>
        <v/>
      </c>
      <c r="AV20" s="542" t="str">
        <f>IFERROR(INDEX('G-1 All Habitats'!$B$3:$B$135,MATCH(F20,'G-1 All Habitats'!$A$3:$A$135,0)),"")</f>
        <v>Grassland - Modified grassland</v>
      </c>
      <c r="AW20" s="35" t="str">
        <f>IF(AV20="","",VLOOKUP(AV20,'G-1 All Habitats'!$B$1:$T$135,19,FALSE))</f>
        <v>No</v>
      </c>
    </row>
    <row r="21" spans="1:49" ht="28.5" thickBot="1">
      <c r="A21" s="35" t="str">
        <f>IFERROR(INDEX('G-1 All Habitats'!$AG$3:$AG$17,MATCH(E21,'G-1 All Habitats'!$AF$3:$AF$17,0)),"")</f>
        <v>Grassland</v>
      </c>
      <c r="B21" s="35" t="str">
        <f>IFERROR(INDEX('G-8 Condition Look up'!$I$4:$I$135,MATCH(AV21,'G-8 Condition Look up'!$A$4:$A$135,0)),"")</f>
        <v>Cond4</v>
      </c>
      <c r="D21" s="225">
        <v>11</v>
      </c>
      <c r="E21" s="211" t="s">
        <v>106</v>
      </c>
      <c r="F21" s="57" t="s">
        <v>343</v>
      </c>
      <c r="G21" s="263" t="s">
        <v>344</v>
      </c>
      <c r="H21" s="51">
        <v>0.13</v>
      </c>
      <c r="I21" s="275" t="str">
        <f>IF(AV21="","",IF(AND(AW21="Yes",G21="No"),"Irreplaceable habitat ▲",IF(AND(AW21="No",G21="Yes"),"Cannot be Irreplaceable ▲",VLOOKUP(AV21,'G-1 All Habitats'!$B$2:$M$135,10,FALSE))))</f>
        <v>Low</v>
      </c>
      <c r="J21" s="276">
        <f>IFERROR(VLOOKUP(I21,'G-1 All Habitats'!$V$3:$W$7,2,FALSE),"")</f>
        <v>2</v>
      </c>
      <c r="K21" s="52" t="s">
        <v>43</v>
      </c>
      <c r="L21" s="276">
        <f>IFERROR(INDEX('G-8 Condition Look up'!$A$3:$H$135,MATCH(AV21,'G-8 Condition Look up'!$A$3:$A$135,0),MATCH(K21,'G-8 Condition Look up'!$A$3:$H$3,0)),"")</f>
        <v>2</v>
      </c>
      <c r="M21" s="52" t="s">
        <v>346</v>
      </c>
      <c r="N21" s="295" t="str">
        <f>IF(M21="","",IF(VLOOKUP(M21,'G-3 Multipliers'!$L$3:$N$6,2,FALSE)=0,"Spatial Data Missing",VLOOKUP(M21,'G-3 Multipliers'!$L$3:$N$6,2,FALSE)))</f>
        <v>Low Strategic Significance</v>
      </c>
      <c r="O21" s="281">
        <f>IF(M21="","",IF(VLOOKUP(M21,'G-3 Multipliers'!$L$3:$N$6,3,FALSE)=0,"Spatial Data Missing ▲",VLOOKUP(M21,'G-3 Multipliers'!$L$3:$N$6,3,FALSE)))</f>
        <v>1</v>
      </c>
      <c r="P21" s="282" t="str">
        <f>(IF(G21="Yes","Bespoke compensation likely to be required",(IFERROR(VLOOKUP(AV21,'G-1 All Habitats'!$B$2:$M$135,12,FALSE),""))))</f>
        <v>Same distinctiveness or better habitat required ≥</v>
      </c>
      <c r="Q21" s="289">
        <f>IFERROR(IF(AND(F21&lt;&gt;"",G21=""),"Confirm irreplaceable habitat status ▲",(IF(AND(E21="Individual trees",T21&gt;0,G21="Yes"),"Error - you cannot enhance irreplaceable individual trees ▲",(IF(AND(U21="Irreplaceable habitat - no units generated ⚠",(S21+T21)&lt;H21,OR(Y21="No",Y21="")),"Any Loss Unacceptable ⚠",(IF(U21="Irreplaceable habitat - no units generated ⚠",T21*J21*L21*O21,IF(AND(P21='G-1 All Habitats'!$X$9,AC21&gt;0,S21&lt;=0,T21&lt;=0,OR(Y21="No",Y21="")),"Any Loss Unacceptable ⚠",IF(AND(P21='G-1 All Habitats'!$X$9,AC21&gt;0,S21&lt;=0,T21&lt;=0,Y21="Yes"),0,(IF(AND(P21='G-1 All Habitats'!$X$9,(S21+T21)&lt;H21,OR(Y21="No",Y21="")),"Any Loss Unacceptable ⚠",(IF(P21="","",IF(AND(P21='G-1 All Habitats'!$X$9,T21&gt;0),U21+V21,IF(AND(P21='G-1 All Habitats'!$X$9,S21&gt;0),U21+V21,H21*J21*L21*O21))))))))))))))),"Check Data ▲")</f>
        <v>0.52</v>
      </c>
      <c r="R21" s="38"/>
      <c r="S21" s="52">
        <v>0.13</v>
      </c>
      <c r="T21" s="53">
        <v>0</v>
      </c>
      <c r="U21" s="287">
        <f t="shared" si="0"/>
        <v>0.52</v>
      </c>
      <c r="V21" s="287">
        <f t="shared" si="7"/>
        <v>0</v>
      </c>
      <c r="W21" s="287">
        <f t="shared" si="8"/>
        <v>0</v>
      </c>
      <c r="X21" s="291">
        <f>IFERROR(IF(H21="","",IF(H21-S21-T21=0&lt;0,"Error in Areas ▲",IF(S21+T21&gt;H21,"Error in Areas ▲",IF(AND(P21='G-1 All Habitats'!$X$9,Y21="Yes"),"Alternative Compensation ✓",IF(AND(P21='G-1 All Habitats'!$X$3,Y21="Yes"),"Alternative Compensation ✓",IF(AND(Y21="Pending",P21='G-1 All Habitats'!$X$3),"Bespoke compensation must be agreed ▲",IF(AND(Y21="Pending",P21='G-1 All Habitats'!$X$9),"Bespoke compensation must be agreed  ▲",IF(W21=0,0,IF(P21='G-1 All Habitats'!$X$9,"Any Loss Unacceptable ▲",Q21-U21-V21))))))))),"Check Data ▲")</f>
        <v>0</v>
      </c>
      <c r="Y21" s="53"/>
      <c r="Z21" s="105" t="s">
        <v>360</v>
      </c>
      <c r="AA21" s="233"/>
      <c r="AB21" s="104"/>
      <c r="AC21" s="512" t="str">
        <f>IF(OR(P21="",Y21="Yes"),"",IF(P21='G-1 All Habitats'!$X$9,H21-S21-T21,"None"))</f>
        <v>None</v>
      </c>
      <c r="AD21" s="513" t="str">
        <f>IF(P21="","",IF(P21='G-1 All Habitats'!$X$9,AC21*J21*L21*O21,"None"))</f>
        <v>None</v>
      </c>
      <c r="AE21" s="35" t="str">
        <f t="shared" si="1"/>
        <v/>
      </c>
      <c r="AF21" s="40" t="b">
        <f t="shared" si="5"/>
        <v>1</v>
      </c>
      <c r="AG21" s="40" t="b">
        <f t="shared" si="2"/>
        <v>0</v>
      </c>
      <c r="AH21" s="40" t="e">
        <f>IF(I21="","",IF(#REF!&gt;0,TRUE,FALSE))</f>
        <v>#REF!</v>
      </c>
      <c r="AI21" s="40">
        <v>11</v>
      </c>
      <c r="AJ21" s="40"/>
      <c r="AK21" s="40" t="str">
        <f t="array" ref="AK21">IFERROR(INDEX($AI$11:$AI$259,MATCH(0,IF(TRUE=$AF$11:$AF$259,COUNTIF($AK$10:$AK20,$AI$11:$AI$259),""),0)),"")</f>
        <v/>
      </c>
      <c r="AL21" s="40" t="str">
        <f t="array" ref="AL21">IFERROR(INDEX($AI$11:$AI$259,MATCH(0,IF(TRUE=$AG$11:$AG$259,COUNTIF($AL$10:$AL20,$AI$11:$AI$259),""),0)),"")</f>
        <v/>
      </c>
      <c r="AM21" s="40" t="str">
        <f t="array" ref="AM21">IFERROR(INDEX($AI$11:$AI$259,MATCH(0,IF(TRUE=$AH$11:$AH$259,COUNTIF($AM$10:$AM20,$AI$11:$AI$259),""),0)),"")</f>
        <v/>
      </c>
      <c r="AN21" s="40"/>
      <c r="AQ21" s="35">
        <f t="shared" si="6"/>
        <v>0</v>
      </c>
      <c r="AT21" s="885" t="str">
        <f>IF(AND(OR(Y21="Yes",Y21="Pending"),P21='G-1 All Habitats'!$X$3),Q21-U21-V21,"")</f>
        <v/>
      </c>
      <c r="AV21" s="542" t="str">
        <f>IFERROR(INDEX('G-1 All Habitats'!$B$3:$B$135,MATCH(F21,'G-1 All Habitats'!$A$3:$A$135,0)),"")</f>
        <v>Grassland - Modified grassland</v>
      </c>
      <c r="AW21" s="35" t="str">
        <f>IF(AV21="","",VLOOKUP(AV21,'G-1 All Habitats'!$B$1:$T$135,19,FALSE))</f>
        <v>No</v>
      </c>
    </row>
    <row r="22" spans="1:49" ht="28.5" thickBot="1">
      <c r="A22" s="35" t="str">
        <f>IFERROR(INDEX('G-1 All Habitats'!$AG$3:$AG$17,MATCH(E22,'G-1 All Habitats'!$AF$3:$AF$17,0)),"")</f>
        <v>Grassland</v>
      </c>
      <c r="B22" s="35" t="str">
        <f>IFERROR(INDEX('G-8 Condition Look up'!$I$4:$I$135,MATCH(AV22,'G-8 Condition Look up'!$A$4:$A$135,0)),"")</f>
        <v>Cond4</v>
      </c>
      <c r="D22" s="225">
        <v>12</v>
      </c>
      <c r="E22" s="211" t="s">
        <v>106</v>
      </c>
      <c r="F22" s="57" t="s">
        <v>343</v>
      </c>
      <c r="G22" s="263" t="s">
        <v>344</v>
      </c>
      <c r="H22" s="51">
        <v>0.05</v>
      </c>
      <c r="I22" s="275" t="str">
        <f>IF(AV22="","",IF(AND(AW22="Yes",G22="No"),"Irreplaceable habitat ▲",IF(AND(AW22="No",G22="Yes"),"Cannot be Irreplaceable ▲",VLOOKUP(AV22,'G-1 All Habitats'!$B$2:$M$135,10,FALSE))))</f>
        <v>Low</v>
      </c>
      <c r="J22" s="276">
        <f>IFERROR(VLOOKUP(I22,'G-1 All Habitats'!$V$3:$W$7,2,FALSE),"")</f>
        <v>2</v>
      </c>
      <c r="K22" s="52" t="s">
        <v>345</v>
      </c>
      <c r="L22" s="276">
        <f>IFERROR(INDEX('G-8 Condition Look up'!$A$3:$H$135,MATCH(AV22,'G-8 Condition Look up'!$A$3:$A$135,0),MATCH(K22,'G-8 Condition Look up'!$A$3:$H$3,0)),"")</f>
        <v>1</v>
      </c>
      <c r="M22" s="52" t="s">
        <v>346</v>
      </c>
      <c r="N22" s="295" t="str">
        <f>IF(M22="","",IF(VLOOKUP(M22,'G-3 Multipliers'!$L$3:$N$6,2,FALSE)=0,"Spatial Data Missing",VLOOKUP(M22,'G-3 Multipliers'!$L$3:$N$6,2,FALSE)))</f>
        <v>Low Strategic Significance</v>
      </c>
      <c r="O22" s="281">
        <f>IF(M22="","",IF(VLOOKUP(M22,'G-3 Multipliers'!$L$3:$N$6,3,FALSE)=0,"Spatial Data Missing ▲",VLOOKUP(M22,'G-3 Multipliers'!$L$3:$N$6,3,FALSE)))</f>
        <v>1</v>
      </c>
      <c r="P22" s="282" t="str">
        <f>(IF(G22="Yes","Bespoke compensation likely to be required",(IFERROR(VLOOKUP(AV22,'G-1 All Habitats'!$B$2:$M$135,12,FALSE),""))))</f>
        <v>Same distinctiveness or better habitat required ≥</v>
      </c>
      <c r="Q22" s="289">
        <f>IFERROR(IF(AND(F22&lt;&gt;"",G22=""),"Confirm irreplaceable habitat status ▲",(IF(AND(E22="Individual trees",T22&gt;0,G22="Yes"),"Error - you cannot enhance irreplaceable individual trees ▲",(IF(AND(U22="Irreplaceable habitat - no units generated ⚠",(S22+T22)&lt;H22,OR(Y22="No",Y22="")),"Any Loss Unacceptable ⚠",(IF(U22="Irreplaceable habitat - no units generated ⚠",T22*J22*L22*O22,IF(AND(P22='G-1 All Habitats'!$X$9,AC22&gt;0,S22&lt;=0,T22&lt;=0,OR(Y22="No",Y22="")),"Any Loss Unacceptable ⚠",IF(AND(P22='G-1 All Habitats'!$X$9,AC22&gt;0,S22&lt;=0,T22&lt;=0,Y22="Yes"),0,(IF(AND(P22='G-1 All Habitats'!$X$9,(S22+T22)&lt;H22,OR(Y22="No",Y22="")),"Any Loss Unacceptable ⚠",(IF(P22="","",IF(AND(P22='G-1 All Habitats'!$X$9,T22&gt;0),U22+V22,IF(AND(P22='G-1 All Habitats'!$X$9,S22&gt;0),U22+V22,H22*J22*L22*O22))))))))))))))),"Check Data ▲")</f>
        <v>0.10</v>
      </c>
      <c r="R22" s="38"/>
      <c r="S22" s="52">
        <v>0.05</v>
      </c>
      <c r="T22" s="53">
        <v>0</v>
      </c>
      <c r="U22" s="287">
        <f t="shared" si="0"/>
        <v>0.10</v>
      </c>
      <c r="V22" s="287">
        <f t="shared" si="7"/>
        <v>0</v>
      </c>
      <c r="W22" s="287">
        <f t="shared" si="8"/>
        <v>0</v>
      </c>
      <c r="X22" s="291">
        <f>IFERROR(IF(H22="","",IF(H22-S22-T22=0&lt;0,"Error in Areas ▲",IF(S22+T22&gt;H22,"Error in Areas ▲",IF(AND(P22='G-1 All Habitats'!$X$9,Y22="Yes"),"Alternative Compensation ✓",IF(AND(P22='G-1 All Habitats'!$X$3,Y22="Yes"),"Alternative Compensation ✓",IF(AND(Y22="Pending",P22='G-1 All Habitats'!$X$3),"Bespoke compensation must be agreed ▲",IF(AND(Y22="Pending",P22='G-1 All Habitats'!$X$9),"Bespoke compensation must be agreed  ▲",IF(W22=0,0,IF(P22='G-1 All Habitats'!$X$9,"Any Loss Unacceptable ▲",Q22-U22-V22))))))))),"Check Data ▲")</f>
        <v>0</v>
      </c>
      <c r="Y22" s="53"/>
      <c r="Z22" s="105" t="s">
        <v>360</v>
      </c>
      <c r="AA22" s="233"/>
      <c r="AB22" s="104"/>
      <c r="AC22" s="512" t="str">
        <f>IF(OR(P22="",Y22="Yes"),"",IF(P22='G-1 All Habitats'!$X$9,H22-S22-T22,"None"))</f>
        <v>None</v>
      </c>
      <c r="AD22" s="513" t="str">
        <f>IF(P22="","",IF(P22='G-1 All Habitats'!$X$9,AC22*J22*L22*O22,"None"))</f>
        <v>None</v>
      </c>
      <c r="AE22" s="35" t="str">
        <f t="shared" si="1"/>
        <v/>
      </c>
      <c r="AF22" s="40" t="b">
        <f t="shared" si="5"/>
        <v>1</v>
      </c>
      <c r="AG22" s="40" t="b">
        <f t="shared" si="2"/>
        <v>0</v>
      </c>
      <c r="AH22" s="40" t="e">
        <f>IF(I22="","",IF(#REF!&gt;0,TRUE,FALSE))</f>
        <v>#REF!</v>
      </c>
      <c r="AI22" s="40">
        <v>12</v>
      </c>
      <c r="AJ22" s="40"/>
      <c r="AK22" s="40" t="str">
        <f t="array" ref="AK22">IFERROR(INDEX($AI$11:$AI$259,MATCH(0,IF(TRUE=$AF$11:$AF$259,COUNTIF($AK$10:$AK21,$AI$11:$AI$259),""),0)),"")</f>
        <v/>
      </c>
      <c r="AL22" s="40" t="str">
        <f t="array" ref="AL22">IFERROR(INDEX($AI$11:$AI$259,MATCH(0,IF(TRUE=$AG$11:$AG$259,COUNTIF($AL$10:$AL21,$AI$11:$AI$259),""),0)),"")</f>
        <v/>
      </c>
      <c r="AM22" s="40" t="str">
        <f t="array" ref="AM22">IFERROR(INDEX($AI$11:$AI$259,MATCH(0,IF(TRUE=$AH$11:$AH$259,COUNTIF($AM$10:$AM21,$AI$11:$AI$259),""),0)),"")</f>
        <v/>
      </c>
      <c r="AN22" s="40"/>
      <c r="AQ22" s="35">
        <f t="shared" si="6"/>
        <v>0</v>
      </c>
      <c r="AT22" s="885" t="str">
        <f>IF(AND(OR(Y22="Yes",Y22="Pending"),P22='G-1 All Habitats'!$X$3),Q22-U22-V22,"")</f>
        <v/>
      </c>
      <c r="AV22" s="542" t="str">
        <f>IFERROR(INDEX('G-1 All Habitats'!$B$3:$B$135,MATCH(F22,'G-1 All Habitats'!$A$3:$A$135,0)),"")</f>
        <v>Grassland - Modified grassland</v>
      </c>
      <c r="AW22" s="35" t="str">
        <f>IF(AV22="","",VLOOKUP(AV22,'G-1 All Habitats'!$B$1:$T$135,19,FALSE))</f>
        <v>No</v>
      </c>
    </row>
    <row r="23" spans="1:49" ht="28.5" thickBot="1">
      <c r="A23" s="35" t="str">
        <f>IFERROR(INDEX('G-1 All Habitats'!$AG$3:$AG$17,MATCH(E23,'G-1 All Habitats'!$AF$3:$AF$17,0)),"")</f>
        <v>Urban</v>
      </c>
      <c r="B23" s="35" t="str">
        <f>IFERROR(INDEX('G-8 Condition Look up'!$I$4:$I$135,MATCH(AV23,'G-8 Condition Look up'!$A$4:$A$135,0)),"")</f>
        <v>Cond2</v>
      </c>
      <c r="D23" s="225">
        <v>13</v>
      </c>
      <c r="E23" s="211" t="s">
        <v>110</v>
      </c>
      <c r="F23" s="57" t="s">
        <v>361</v>
      </c>
      <c r="G23" s="263" t="s">
        <v>344</v>
      </c>
      <c r="H23" s="51">
        <v>0.005</v>
      </c>
      <c r="I23" s="275" t="str">
        <f>IF(AV23="","",IF(AND(AW23="Yes",G23="No"),"Irreplaceable habitat ▲",IF(AND(AW23="No",G23="Yes"),"Cannot be Irreplaceable ▲",VLOOKUP(AV23,'G-1 All Habitats'!$B$2:$M$135,10,FALSE))))</f>
        <v>V.Low</v>
      </c>
      <c r="J23" s="276">
        <f>IFERROR(VLOOKUP(I23,'G-1 All Habitats'!$V$3:$W$7,2,FALSE),"")</f>
        <v>0</v>
      </c>
      <c r="K23" s="52" t="s">
        <v>362</v>
      </c>
      <c r="L23" s="276">
        <f>IFERROR(INDEX('G-8 Condition Look up'!$A$3:$H$135,MATCH(AV23,'G-8 Condition Look up'!$A$3:$A$135,0),MATCH(K23,'G-8 Condition Look up'!$A$3:$H$3,0)),"")</f>
        <v>0</v>
      </c>
      <c r="M23" s="52" t="s">
        <v>346</v>
      </c>
      <c r="N23" s="295" t="str">
        <f>IF(M23="","",IF(VLOOKUP(M23,'G-3 Multipliers'!$L$3:$N$6,2,FALSE)=0,"Spatial Data Missing",VLOOKUP(M23,'G-3 Multipliers'!$L$3:$N$6,2,FALSE)))</f>
        <v>Low Strategic Significance</v>
      </c>
      <c r="O23" s="281">
        <f>IF(M23="","",IF(VLOOKUP(M23,'G-3 Multipliers'!$L$3:$N$6,3,FALSE)=0,"Spatial Data Missing ▲",VLOOKUP(M23,'G-3 Multipliers'!$L$3:$N$6,3,FALSE)))</f>
        <v>1</v>
      </c>
      <c r="P23" s="282" t="str">
        <f>(IF(G23="Yes","Bespoke compensation likely to be required",(IFERROR(VLOOKUP(AV23,'G-1 All Habitats'!$B$2:$M$135,12,FALSE),""))))</f>
        <v>Compensation Not Required</v>
      </c>
      <c r="Q23" s="289">
        <f>IFERROR(IF(AND(F23&lt;&gt;"",G23=""),"Confirm irreplaceable habitat status ▲",(IF(AND(E23="Individual trees",T23&gt;0,G23="Yes"),"Error - you cannot enhance irreplaceable individual trees ▲",(IF(AND(U23="Irreplaceable habitat - no units generated ⚠",(S23+T23)&lt;H23,OR(Y23="No",Y23="")),"Any Loss Unacceptable ⚠",(IF(U23="Irreplaceable habitat - no units generated ⚠",T23*J23*L23*O23,IF(AND(P23='G-1 All Habitats'!$X$9,AC23&gt;0,S23&lt;=0,T23&lt;=0,OR(Y23="No",Y23="")),"Any Loss Unacceptable ⚠",IF(AND(P23='G-1 All Habitats'!$X$9,AC23&gt;0,S23&lt;=0,T23&lt;=0,Y23="Yes"),0,(IF(AND(P23='G-1 All Habitats'!$X$9,(S23+T23)&lt;H23,OR(Y23="No",Y23="")),"Any Loss Unacceptable ⚠",(IF(P23="","",IF(AND(P23='G-1 All Habitats'!$X$9,T23&gt;0),U23+V23,IF(AND(P23='G-1 All Habitats'!$X$9,S23&gt;0),U23+V23,H23*J23*L23*O23))))))))))))))),"Check Data ▲")</f>
        <v>0</v>
      </c>
      <c r="R23" s="38"/>
      <c r="S23" s="52">
        <v>0.005</v>
      </c>
      <c r="T23" s="53">
        <v>0</v>
      </c>
      <c r="U23" s="287">
        <f t="shared" si="0"/>
        <v>0</v>
      </c>
      <c r="V23" s="287">
        <f t="shared" si="3"/>
        <v>0</v>
      </c>
      <c r="W23" s="287">
        <f t="shared" si="4"/>
        <v>0</v>
      </c>
      <c r="X23" s="291">
        <f>IFERROR(IF(H23="","",IF(H23-S23-T23=0&lt;0,"Error in Areas ▲",IF(S23+T23&gt;H23,"Error in Areas ▲",IF(AND(P23='G-1 All Habitats'!$X$9,Y23="Yes"),"Alternative Compensation ✓",IF(AND(P23='G-1 All Habitats'!$X$3,Y23="Yes"),"Alternative Compensation ✓",IF(AND(Y23="Pending",P23='G-1 All Habitats'!$X$3),"Bespoke compensation must be agreed ▲",IF(AND(Y23="Pending",P23='G-1 All Habitats'!$X$9),"Bespoke compensation must be agreed  ▲",IF(W23=0,0,IF(P23='G-1 All Habitats'!$X$9,"Any Loss Unacceptable ▲",Q23-U23-V23))))))))),"Check Data ▲")</f>
        <v>0</v>
      </c>
      <c r="Y23" s="53"/>
      <c r="Z23" s="105" t="s">
        <v>360</v>
      </c>
      <c r="AA23" s="233"/>
      <c r="AB23" s="104"/>
      <c r="AC23" s="512" t="str">
        <f>IF(OR(P23="",Y23="Yes"),"",IF(P23='G-1 All Habitats'!$X$9,H23-S23-T23,"None"))</f>
        <v>None</v>
      </c>
      <c r="AD23" s="513" t="str">
        <f>IF(P23="","",IF(P23='G-1 All Habitats'!$X$9,AC23*J23*L23*O23,"None"))</f>
        <v>None</v>
      </c>
      <c r="AE23" s="35" t="str">
        <f t="shared" si="1"/>
        <v/>
      </c>
      <c r="AF23" s="40" t="b">
        <f t="shared" si="5"/>
        <v>1</v>
      </c>
      <c r="AG23" s="40" t="b">
        <f t="shared" si="2"/>
        <v>0</v>
      </c>
      <c r="AH23" s="40" t="e">
        <f>IF(I23="","",IF(#REF!&gt;0,TRUE,FALSE))</f>
        <v>#REF!</v>
      </c>
      <c r="AI23" s="40">
        <v>13</v>
      </c>
      <c r="AJ23" s="40"/>
      <c r="AK23" s="40" t="str">
        <f t="array" ref="AK23">IFERROR(INDEX($AI$11:$AI$259,MATCH(0,IF(TRUE=$AF$11:$AF$259,COUNTIF($AK$10:$AK22,$AI$11:$AI$259),""),0)),"")</f>
        <v/>
      </c>
      <c r="AL23" s="40" t="str">
        <f t="array" ref="AL23">IFERROR(INDEX($AI$11:$AI$259,MATCH(0,IF(TRUE=$AG$11:$AG$259,COUNTIF($AL$10:$AL22,$AI$11:$AI$259),""),0)),"")</f>
        <v/>
      </c>
      <c r="AM23" s="40" t="str">
        <f t="array" ref="AM23">IFERROR(INDEX($AI$11:$AI$259,MATCH(0,IF(TRUE=$AH$11:$AH$259,COUNTIF($AM$10:$AM22,$AI$11:$AI$259),""),0)),"")</f>
        <v/>
      </c>
      <c r="AN23" s="40"/>
      <c r="AQ23" s="35">
        <f t="shared" si="6"/>
        <v>0</v>
      </c>
      <c r="AT23" s="885" t="str">
        <f>IF(AND(OR(Y23="Yes",Y23="Pending"),P23='G-1 All Habitats'!$X$3),Q23-U23-V23,"")</f>
        <v/>
      </c>
      <c r="AV23" s="542" t="str">
        <f>IFERROR(INDEX('G-1 All Habitats'!$B$3:$B$135,MATCH(F23,'G-1 All Habitats'!$A$3:$A$135,0)),"")</f>
        <v>Urban - Developed land; sealed surface</v>
      </c>
      <c r="AW23" s="35" t="str">
        <f>IF(AV23="","",VLOOKUP(AV23,'G-1 All Habitats'!$B$1:$T$135,19,FALSE))</f>
        <v>No</v>
      </c>
    </row>
    <row r="24" spans="1:49" ht="14.5" thickBot="1">
      <c r="A24" s="35" t="str">
        <f>IFERROR(INDEX('G-1 All Habitats'!$AG$3:$AG$17,MATCH(E24,'G-1 All Habitats'!$AF$3:$AF$17,0)),"")</f>
        <v/>
      </c>
      <c r="B24" s="35" t="str">
        <f>IFERROR(INDEX('G-8 Condition Look up'!$I$4:$I$135,MATCH(AV24,'G-8 Condition Look up'!$A$4:$A$135,0)),"")</f>
        <v/>
      </c>
      <c r="D24" s="225">
        <v>14</v>
      </c>
      <c r="E24" s="211"/>
      <c r="F24" s="57"/>
      <c r="G24" s="263"/>
      <c r="H24" s="51"/>
      <c r="I24" s="275" t="str">
        <f>IF(AV24="","",IF(AND(AW24="Yes",G24="No"),"Irreplaceable habitat ▲",IF(AND(AW24="No",G24="Yes"),"Cannot be Irreplaceable ▲",VLOOKUP(AV24,'G-1 All Habitats'!$B$2:$M$135,10,FALSE))))</f>
        <v/>
      </c>
      <c r="J24" s="276" t="str">
        <f>IFERROR(VLOOKUP(I24,'G-1 All Habitats'!$V$3:$W$7,2,FALSE),"")</f>
        <v/>
      </c>
      <c r="K24" s="52"/>
      <c r="L24" s="276" t="str">
        <f>IFERROR(INDEX('G-8 Condition Look up'!$A$3:$H$135,MATCH(AV24,'G-8 Condition Look up'!$A$3:$A$135,0),MATCH(K24,'G-8 Condition Look up'!$A$3:$H$3,0)),"")</f>
        <v/>
      </c>
      <c r="M24" s="52"/>
      <c r="N24" s="295" t="str">
        <f>IF(M24="","",IF(VLOOKUP(M24,'G-3 Multipliers'!$L$3:$N$6,2,FALSE)=0,"Spatial Data Missing",VLOOKUP(M24,'G-3 Multipliers'!$L$3:$N$6,2,FALSE)))</f>
        <v/>
      </c>
      <c r="O24" s="281" t="str">
        <f>IF(M24="","",IF(VLOOKUP(M24,'G-3 Multipliers'!$L$3:$N$6,3,FALSE)=0,"Spatial Data Missing ▲",VLOOKUP(M24,'G-3 Multipliers'!$L$3:$N$6,3,FALSE)))</f>
        <v/>
      </c>
      <c r="P24" s="282" t="str">
        <f>(IF(G24="Yes","Bespoke compensation likely to be required",(IFERROR(VLOOKUP(AV24,'G-1 All Habitats'!$B$2:$M$135,12,FALSE),""))))</f>
        <v/>
      </c>
      <c r="Q24" s="289" t="str">
        <f>IFERROR(IF(AND(F24&lt;&gt;"",G24=""),"Confirm irreplaceable habitat status ▲",(IF(AND(E24="Individual trees",T24&gt;0,G24="Yes"),"Error - you cannot enhance irreplaceable individual trees ▲",(IF(AND(U24="Irreplaceable habitat - no units generated ⚠",(S24+T24)&lt;H24,OR(Y24="No",Y24="")),"Any Loss Unacceptable ⚠",(IF(U24="Irreplaceable habitat - no units generated ⚠",T24*J24*L24*O24,IF(AND(P24='G-1 All Habitats'!$X$9,AC24&gt;0,S24&lt;=0,T24&lt;=0,OR(Y24="No",Y24="")),"Any Loss Unacceptable ⚠",IF(AND(P24='G-1 All Habitats'!$X$9,AC24&gt;0,S24&lt;=0,T24&lt;=0,Y24="Yes"),0,(IF(AND(P24='G-1 All Habitats'!$X$9,(S24+T24)&lt;H24,OR(Y24="No",Y24="")),"Any Loss Unacceptable ⚠",(IF(P24="","",IF(AND(P24='G-1 All Habitats'!$X$9,T24&gt;0),U24+V24,IF(AND(P24='G-1 All Habitats'!$X$9,S24&gt;0),U24+V24,H24*J24*L24*O24))))))))))))))),"Check Data ▲")</f>
        <v/>
      </c>
      <c r="R24" s="38"/>
      <c r="S24" s="52"/>
      <c r="T24" s="53"/>
      <c r="U24" s="287" t="str">
        <f t="shared" si="0"/>
        <v/>
      </c>
      <c r="V24" s="287" t="str">
        <f t="shared" si="3"/>
        <v/>
      </c>
      <c r="W24" s="287" t="str">
        <f t="shared" si="4"/>
        <v/>
      </c>
      <c r="X24" s="291" t="str">
        <f>IFERROR(IF(H24="","",IF(H24-S24-T24=0&lt;0,"Error in Areas ▲",IF(S24+T24&gt;H24,"Error in Areas ▲",IF(AND(P24='G-1 All Habitats'!$X$9,Y24="Yes"),"Alternative Compensation ✓",IF(AND(P24='G-1 All Habitats'!$X$3,Y24="Yes"),"Alternative Compensation ✓",IF(AND(Y24="Pending",P24='G-1 All Habitats'!$X$3),"Bespoke compensation must be agreed ▲",IF(AND(Y24="Pending",P24='G-1 All Habitats'!$X$9),"Bespoke compensation must be agreed  ▲",IF(W24=0,0,IF(P24='G-1 All Habitats'!$X$9,"Any Loss Unacceptable ▲",Q24-U24-V24))))))))),"Check Data ▲")</f>
        <v/>
      </c>
      <c r="Y24" s="53"/>
      <c r="Z24" s="105"/>
      <c r="AA24" s="233"/>
      <c r="AB24" s="104"/>
      <c r="AC24" s="512" t="str">
        <f>IF(OR(P24="",Y24="Yes"),"",IF(P24='G-1 All Habitats'!$X$9,H24-S24-T24,"None"))</f>
        <v/>
      </c>
      <c r="AD24" s="513" t="str">
        <f>IF(P24="","",IF(P24='G-1 All Habitats'!$X$9,AC24*J24*L24*O24,"None"))</f>
        <v/>
      </c>
      <c r="AE24" s="35" t="str">
        <f t="shared" si="1"/>
        <v/>
      </c>
      <c r="AF24" s="40" t="str">
        <f t="shared" si="5"/>
        <v/>
      </c>
      <c r="AG24" s="40" t="str">
        <f t="shared" si="2"/>
        <v/>
      </c>
      <c r="AH24" s="40" t="str">
        <f>IF(I24="","",IF(#REF!&gt;0,TRUE,FALSE))</f>
        <v/>
      </c>
      <c r="AI24" s="40">
        <v>14</v>
      </c>
      <c r="AJ24" s="40"/>
      <c r="AK24" s="40" t="str">
        <f t="array" ref="AK24">IFERROR(INDEX($AI$11:$AI$259,MATCH(0,IF(TRUE=$AF$11:$AF$259,COUNTIF($AK$10:$AK23,$AI$11:$AI$259),""),0)),"")</f>
        <v/>
      </c>
      <c r="AL24" s="40" t="str">
        <f t="array" ref="AL24">IFERROR(INDEX($AI$11:$AI$259,MATCH(0,IF(TRUE=$AG$11:$AG$259,COUNTIF($AL$10:$AL23,$AI$11:$AI$259),""),0)),"")</f>
        <v/>
      </c>
      <c r="AM24" s="40" t="str">
        <f t="array" ref="AM24">IFERROR(INDEX($AI$11:$AI$259,MATCH(0,IF(TRUE=$AH$11:$AH$259,COUNTIF($AM$10:$AM23,$AI$11:$AI$259),""),0)),"")</f>
        <v/>
      </c>
      <c r="AN24" s="40"/>
      <c r="AQ24" s="35">
        <f t="shared" si="6"/>
        <v>0</v>
      </c>
      <c r="AT24" s="885" t="str">
        <f>IF(AND(OR(Y24="Yes",Y24="Pending"),P24='G-1 All Habitats'!$X$3),Q24-U24-V24,"")</f>
        <v/>
      </c>
      <c r="AV24" s="542" t="str">
        <f>IFERROR(INDEX('G-1 All Habitats'!$B$3:$B$135,MATCH(F24,'G-1 All Habitats'!$A$3:$A$135,0)),"")</f>
        <v/>
      </c>
      <c r="AW24" s="35" t="str">
        <f>IF(AV24="","",VLOOKUP(AV24,'G-1 All Habitats'!$B$1:$T$135,19,FALSE))</f>
        <v/>
      </c>
    </row>
    <row r="25" spans="1:49" ht="14.5" hidden="1" thickBot="1">
      <c r="A25" s="35" t="str">
        <f>IFERROR(INDEX('G-1 All Habitats'!$AG$3:$AG$17,MATCH(E25,'G-1 All Habitats'!$AF$3:$AF$17,0)),"")</f>
        <v/>
      </c>
      <c r="B25" s="35" t="str">
        <f>IFERROR(INDEX('G-8 Condition Look up'!$I$4:$I$135,MATCH(AV25,'G-8 Condition Look up'!$A$4:$A$135,0)),"")</f>
        <v/>
      </c>
      <c r="D25" s="225">
        <v>15</v>
      </c>
      <c r="E25" s="211"/>
      <c r="F25" s="57"/>
      <c r="G25" s="263"/>
      <c r="H25" s="51"/>
      <c r="I25" s="275" t="str">
        <f>IF(AV25="","",IF(AND(AW25="Yes",G25="No"),"Irreplaceable habitat ▲",IF(AND(AW25="No",G25="Yes"),"Cannot be Irreplaceable ▲",VLOOKUP(AV25,'G-1 All Habitats'!$B$2:$M$135,10,FALSE))))</f>
        <v/>
      </c>
      <c r="J25" s="276" t="str">
        <f>IFERROR(VLOOKUP(I25,'G-1 All Habitats'!$V$3:$W$7,2,FALSE),"")</f>
        <v/>
      </c>
      <c r="K25" s="52"/>
      <c r="L25" s="276" t="str">
        <f>IFERROR(INDEX('G-8 Condition Look up'!$A$3:$H$135,MATCH(AV25,'G-8 Condition Look up'!$A$3:$A$135,0),MATCH(K25,'G-8 Condition Look up'!$A$3:$H$3,0)),"")</f>
        <v/>
      </c>
      <c r="M25" s="52"/>
      <c r="N25" s="295" t="str">
        <f>IF(M25="","",IF(VLOOKUP(M25,'G-3 Multipliers'!$L$3:$N$6,2,FALSE)=0,"Spatial Data Missing",VLOOKUP(M25,'G-3 Multipliers'!$L$3:$N$6,2,FALSE)))</f>
        <v/>
      </c>
      <c r="O25" s="281" t="str">
        <f>IF(M25="","",IF(VLOOKUP(M25,'G-3 Multipliers'!$L$3:$N$6,3,FALSE)=0,"Spatial Data Missing ▲",VLOOKUP(M25,'G-3 Multipliers'!$L$3:$N$6,3,FALSE)))</f>
        <v/>
      </c>
      <c r="P25" s="282" t="str">
        <f>(IF(G25="Yes","Bespoke compensation likely to be required",(IFERROR(VLOOKUP(AV25,'G-1 All Habitats'!$B$2:$M$135,12,FALSE),""))))</f>
        <v/>
      </c>
      <c r="Q25" s="289" t="str">
        <f>IFERROR(IF(AND(F25&lt;&gt;"",G25=""),"Confirm irreplaceable habitat status ▲",(IF(AND(E25="Individual trees",T25&gt;0,G25="Yes"),"Error - you cannot enhance irreplaceable individual trees ▲",(IF(AND(U25="Irreplaceable habitat - no units generated ⚠",(S25+T25)&lt;H25,OR(Y25="No",Y25="")),"Any Loss Unacceptable ⚠",(IF(U25="Irreplaceable habitat - no units generated ⚠",T25*J25*L25*O25,IF(AND(P25='G-1 All Habitats'!$X$9,AC25&gt;0,S25&lt;=0,T25&lt;=0,OR(Y25="No",Y25="")),"Any Loss Unacceptable ⚠",IF(AND(P25='G-1 All Habitats'!$X$9,AC25&gt;0,S25&lt;=0,T25&lt;=0,Y25="Yes"),0,(IF(AND(P25='G-1 All Habitats'!$X$9,(S25+T25)&lt;H25,OR(Y25="No",Y25="")),"Any Loss Unacceptable ⚠",(IF(P25="","",IF(AND(P25='G-1 All Habitats'!$X$9,T25&gt;0),U25+V25,IF(AND(P25='G-1 All Habitats'!$X$9,S25&gt;0),U25+V25,H25*J25*L25*O25))))))))))))))),"Check Data ▲")</f>
        <v/>
      </c>
      <c r="R25" s="38"/>
      <c r="S25" s="52"/>
      <c r="T25" s="53"/>
      <c r="U25" s="287" t="str">
        <f t="shared" si="0"/>
        <v/>
      </c>
      <c r="V25" s="287" t="str">
        <f t="shared" si="3"/>
        <v/>
      </c>
      <c r="W25" s="287" t="str">
        <f t="shared" si="4"/>
        <v/>
      </c>
      <c r="X25" s="291" t="str">
        <f>IFERROR(IF(H25="","",IF(H25-S25-T25=0&lt;0,"Error in Areas ▲",IF(S25+T25&gt;H25,"Error in Areas ▲",IF(AND(P25='G-1 All Habitats'!$X$9,Y25="Yes"),"Alternative Compensation ✓",IF(AND(P25='G-1 All Habitats'!$X$3,Y25="Yes"),"Alternative Compensation ✓",IF(AND(Y25="Pending",P25='G-1 All Habitats'!$X$3),"Bespoke compensation must be agreed ▲",IF(AND(Y25="Pending",P25='G-1 All Habitats'!$X$9),"Bespoke compensation must be agreed  ▲",IF(W25=0,0,IF(P25='G-1 All Habitats'!$X$9,"Any Loss Unacceptable ▲",Q25-U25-V25))))))))),"Check Data ▲")</f>
        <v/>
      </c>
      <c r="Y25" s="53"/>
      <c r="Z25" s="105"/>
      <c r="AA25" s="233"/>
      <c r="AB25" s="104"/>
      <c r="AC25" s="512" t="str">
        <f>IF(OR(P25="",Y25="Yes"),"",IF(P25='G-1 All Habitats'!$X$9,H25-S25-T25,"None"))</f>
        <v/>
      </c>
      <c r="AD25" s="513" t="str">
        <f>IF(P25="","",IF(P25='G-1 All Habitats'!$X$9,AC25*J25*L25*O25,"None"))</f>
        <v/>
      </c>
      <c r="AE25" s="35" t="str">
        <f t="shared" si="1"/>
        <v/>
      </c>
      <c r="AF25" s="40" t="str">
        <f t="shared" si="5"/>
        <v/>
      </c>
      <c r="AG25" s="40" t="str">
        <f t="shared" si="2"/>
        <v/>
      </c>
      <c r="AH25" s="40" t="str">
        <f>IF(I25="","",IF(#REF!&gt;0,TRUE,FALSE))</f>
        <v/>
      </c>
      <c r="AI25" s="40">
        <v>15</v>
      </c>
      <c r="AJ25" s="40"/>
      <c r="AK25" s="40" t="str">
        <f t="array" ref="AK25">IFERROR(INDEX($AI$11:$AI$259,MATCH(0,IF(TRUE=$AF$11:$AF$259,COUNTIF($AK$10:$AK24,$AI$11:$AI$259),""),0)),"")</f>
        <v/>
      </c>
      <c r="AL25" s="40" t="str">
        <f t="array" ref="AL25">IFERROR(INDEX($AI$11:$AI$259,MATCH(0,IF(TRUE=$AG$11:$AG$259,COUNTIF($AL$10:$AL24,$AI$11:$AI$259),""),0)),"")</f>
        <v/>
      </c>
      <c r="AM25" s="40" t="str">
        <f t="array" ref="AM25">IFERROR(INDEX($AI$11:$AI$259,MATCH(0,IF(TRUE=$AH$11:$AH$259,COUNTIF($AM$10:$AM24,$AI$11:$AI$259),""),0)),"")</f>
        <v/>
      </c>
      <c r="AN25" s="40"/>
      <c r="AQ25" s="35">
        <f t="shared" si="6"/>
        <v>0</v>
      </c>
      <c r="AT25" s="885" t="str">
        <f>IF(AND(OR(Y25="Yes",Y25="Pending"),P25='G-1 All Habitats'!$X$3),Q25-U25-V25,"")</f>
        <v/>
      </c>
      <c r="AV25" s="542" t="str">
        <f>IFERROR(INDEX('G-1 All Habitats'!$B$3:$B$135,MATCH(F25,'G-1 All Habitats'!$A$3:$A$135,0)),"")</f>
        <v/>
      </c>
      <c r="AW25" s="35" t="str">
        <f>IF(AV25="","",VLOOKUP(AV25,'G-1 All Habitats'!$B$1:$T$135,19,FALSE))</f>
        <v/>
      </c>
    </row>
    <row r="26" spans="1:49" ht="14.5" hidden="1" thickBot="1">
      <c r="A26" s="35" t="str">
        <f>IFERROR(INDEX('G-1 All Habitats'!$AG$3:$AG$17,MATCH(E26,'G-1 All Habitats'!$AF$3:$AF$17,0)),"")</f>
        <v/>
      </c>
      <c r="B26" s="35" t="str">
        <f>IFERROR(INDEX('G-8 Condition Look up'!$I$4:$I$135,MATCH(AV26,'G-8 Condition Look up'!$A$4:$A$135,0)),"")</f>
        <v/>
      </c>
      <c r="D26" s="225">
        <v>16</v>
      </c>
      <c r="E26" s="211"/>
      <c r="F26" s="57"/>
      <c r="G26" s="263"/>
      <c r="H26" s="51"/>
      <c r="I26" s="275" t="str">
        <f>IF(AV26="","",IF(AND(AW26="Yes",G26="No"),"Irreplaceable habitat ▲",IF(AND(AW26="No",G26="Yes"),"Cannot be Irreplaceable ▲",VLOOKUP(AV26,'G-1 All Habitats'!$B$2:$M$135,10,FALSE))))</f>
        <v/>
      </c>
      <c r="J26" s="276" t="str">
        <f>IFERROR(VLOOKUP(I26,'G-1 All Habitats'!$V$3:$W$7,2,FALSE),"")</f>
        <v/>
      </c>
      <c r="K26" s="52"/>
      <c r="L26" s="276" t="str">
        <f>IFERROR(INDEX('G-8 Condition Look up'!$A$3:$H$135,MATCH(AV26,'G-8 Condition Look up'!$A$3:$A$135,0),MATCH(K26,'G-8 Condition Look up'!$A$3:$H$3,0)),"")</f>
        <v/>
      </c>
      <c r="M26" s="52"/>
      <c r="N26" s="295" t="str">
        <f>IF(M26="","",IF(VLOOKUP(M26,'G-3 Multipliers'!$L$3:$N$6,2,FALSE)=0,"Spatial Data Missing",VLOOKUP(M26,'G-3 Multipliers'!$L$3:$N$6,2,FALSE)))</f>
        <v/>
      </c>
      <c r="O26" s="281" t="str">
        <f>IF(M26="","",IF(VLOOKUP(M26,'G-3 Multipliers'!$L$3:$N$6,3,FALSE)=0,"Spatial Data Missing ▲",VLOOKUP(M26,'G-3 Multipliers'!$L$3:$N$6,3,FALSE)))</f>
        <v/>
      </c>
      <c r="P26" s="282" t="str">
        <f>(IF(G26="Yes","Bespoke compensation likely to be required",(IFERROR(VLOOKUP(AV26,'G-1 All Habitats'!$B$2:$M$135,12,FALSE),""))))</f>
        <v/>
      </c>
      <c r="Q26" s="289" t="str">
        <f>IFERROR(IF(AND(F26&lt;&gt;"",G26=""),"Confirm irreplaceable habitat status ▲",(IF(AND(E26="Individual trees",T26&gt;0,G26="Yes"),"Error - you cannot enhance irreplaceable individual trees ▲",(IF(AND(U26="Irreplaceable habitat - no units generated ⚠",(S26+T26)&lt;H26,OR(Y26="No",Y26="")),"Any Loss Unacceptable ⚠",(IF(U26="Irreplaceable habitat - no units generated ⚠",T26*J26*L26*O26,IF(AND(P26='G-1 All Habitats'!$X$9,AC26&gt;0,S26&lt;=0,T26&lt;=0,OR(Y26="No",Y26="")),"Any Loss Unacceptable ⚠",IF(AND(P26='G-1 All Habitats'!$X$9,AC26&gt;0,S26&lt;=0,T26&lt;=0,Y26="Yes"),0,(IF(AND(P26='G-1 All Habitats'!$X$9,(S26+T26)&lt;H26,OR(Y26="No",Y26="")),"Any Loss Unacceptable ⚠",(IF(P26="","",IF(AND(P26='G-1 All Habitats'!$X$9,T26&gt;0),U26+V26,IF(AND(P26='G-1 All Habitats'!$X$9,S26&gt;0),U26+V26,H26*J26*L26*O26))))))))))))))),"Check Data ▲")</f>
        <v/>
      </c>
      <c r="R26" s="38"/>
      <c r="S26" s="52"/>
      <c r="T26" s="53"/>
      <c r="U26" s="287" t="str">
        <f t="shared" si="0"/>
        <v/>
      </c>
      <c r="V26" s="287" t="str">
        <f t="shared" si="3"/>
        <v/>
      </c>
      <c r="W26" s="287" t="str">
        <f t="shared" si="4"/>
        <v/>
      </c>
      <c r="X26" s="291" t="str">
        <f>IFERROR(IF(H26="","",IF(H26-S26-T26=0&lt;0,"Error in Areas ▲",IF(S26+T26&gt;H26,"Error in Areas ▲",IF(AND(P26='G-1 All Habitats'!$X$9,Y26="Yes"),"Alternative Compensation ✓",IF(AND(P26='G-1 All Habitats'!$X$3,Y26="Yes"),"Alternative Compensation ✓",IF(AND(Y26="Pending",P26='G-1 All Habitats'!$X$3),"Bespoke compensation must be agreed ▲",IF(AND(Y26="Pending",P26='G-1 All Habitats'!$X$9),"Bespoke compensation must be agreed  ▲",IF(W26=0,0,IF(P26='G-1 All Habitats'!$X$9,"Any Loss Unacceptable ▲",Q26-U26-V26))))))))),"Check Data ▲")</f>
        <v/>
      </c>
      <c r="Y26" s="53"/>
      <c r="Z26" s="105"/>
      <c r="AA26" s="233"/>
      <c r="AB26" s="104"/>
      <c r="AC26" s="512" t="str">
        <f>IF(OR(P26="",Y26="Yes"),"",IF(P26='G-1 All Habitats'!$X$9,H26-S26-T26,"None"))</f>
        <v/>
      </c>
      <c r="AD26" s="513" t="str">
        <f>IF(P26="","",IF(P26='G-1 All Habitats'!$X$9,AC26*J26*L26*O26,"None"))</f>
        <v/>
      </c>
      <c r="AE26" s="35" t="str">
        <f t="shared" si="1"/>
        <v/>
      </c>
      <c r="AF26" s="40" t="str">
        <f t="shared" si="5"/>
        <v/>
      </c>
      <c r="AG26" s="40" t="str">
        <f t="shared" si="2"/>
        <v/>
      </c>
      <c r="AH26" s="40" t="str">
        <f>IF(I26="","",IF(#REF!&gt;0,TRUE,FALSE))</f>
        <v/>
      </c>
      <c r="AI26" s="40">
        <v>16</v>
      </c>
      <c r="AJ26" s="40"/>
      <c r="AK26" s="40" t="str">
        <f t="array" ref="AK26">IFERROR(INDEX($AI$11:$AI$259,MATCH(0,IF(TRUE=$AF$11:$AF$259,COUNTIF($AK$10:$AK25,$AI$11:$AI$259),""),0)),"")</f>
        <v/>
      </c>
      <c r="AL26" s="40" t="str">
        <f t="array" ref="AL26">IFERROR(INDEX($AI$11:$AI$259,MATCH(0,IF(TRUE=$AG$11:$AG$259,COUNTIF($AL$10:$AL25,$AI$11:$AI$259),""),0)),"")</f>
        <v/>
      </c>
      <c r="AM26" s="40" t="str">
        <f t="array" ref="AM26">IFERROR(INDEX($AI$11:$AI$259,MATCH(0,IF(TRUE=$AH$11:$AH$259,COUNTIF($AM$10:$AM25,$AI$11:$AI$259),""),0)),"")</f>
        <v/>
      </c>
      <c r="AN26" s="40"/>
      <c r="AQ26" s="35">
        <f t="shared" si="6"/>
        <v>0</v>
      </c>
      <c r="AT26" s="885" t="str">
        <f>IF(AND(OR(Y26="Yes",Y26="Pending"),P26='G-1 All Habitats'!$X$3),Q26-U26-V26,"")</f>
        <v/>
      </c>
      <c r="AV26" s="542" t="str">
        <f>IFERROR(INDEX('G-1 All Habitats'!$B$3:$B$135,MATCH(F26,'G-1 All Habitats'!$A$3:$A$135,0)),"")</f>
        <v/>
      </c>
      <c r="AW26" s="35" t="str">
        <f>IF(AV26="","",VLOOKUP(AV26,'G-1 All Habitats'!$B$1:$T$135,19,FALSE))</f>
        <v/>
      </c>
    </row>
    <row r="27" spans="1:49" ht="14.5" hidden="1" thickBot="1">
      <c r="A27" s="35" t="str">
        <f>IFERROR(INDEX('G-1 All Habitats'!$AG$3:$AG$17,MATCH(E27,'G-1 All Habitats'!$AF$3:$AF$17,0)),"")</f>
        <v/>
      </c>
      <c r="B27" s="35" t="str">
        <f>IFERROR(INDEX('G-8 Condition Look up'!$I$4:$I$135,MATCH(AV27,'G-8 Condition Look up'!$A$4:$A$135,0)),"")</f>
        <v/>
      </c>
      <c r="D27" s="225">
        <v>17</v>
      </c>
      <c r="E27" s="211"/>
      <c r="F27" s="57"/>
      <c r="G27" s="263"/>
      <c r="H27" s="51"/>
      <c r="I27" s="275" t="str">
        <f>IF(AV27="","",IF(AND(AW27="Yes",G27="No"),"Irreplaceable habitat ▲",IF(AND(AW27="No",G27="Yes"),"Cannot be Irreplaceable ▲",VLOOKUP(AV27,'G-1 All Habitats'!$B$2:$M$135,10,FALSE))))</f>
        <v/>
      </c>
      <c r="J27" s="276" t="str">
        <f>IFERROR(VLOOKUP(I27,'G-1 All Habitats'!$V$3:$W$7,2,FALSE),"")</f>
        <v/>
      </c>
      <c r="K27" s="52"/>
      <c r="L27" s="276" t="str">
        <f>IFERROR(INDEX('G-8 Condition Look up'!$A$3:$H$135,MATCH(AV27,'G-8 Condition Look up'!$A$3:$A$135,0),MATCH(K27,'G-8 Condition Look up'!$A$3:$H$3,0)),"")</f>
        <v/>
      </c>
      <c r="M27" s="52"/>
      <c r="N27" s="295" t="str">
        <f>IF(M27="","",IF(VLOOKUP(M27,'G-3 Multipliers'!$L$3:$N$6,2,FALSE)=0,"Spatial Data Missing",VLOOKUP(M27,'G-3 Multipliers'!$L$3:$N$6,2,FALSE)))</f>
        <v/>
      </c>
      <c r="O27" s="281" t="str">
        <f>IF(M27="","",IF(VLOOKUP(M27,'G-3 Multipliers'!$L$3:$N$6,3,FALSE)=0,"Spatial Data Missing ▲",VLOOKUP(M27,'G-3 Multipliers'!$L$3:$N$6,3,FALSE)))</f>
        <v/>
      </c>
      <c r="P27" s="282" t="str">
        <f>(IF(G27="Yes","Bespoke compensation likely to be required",(IFERROR(VLOOKUP(AV27,'G-1 All Habitats'!$B$2:$M$135,12,FALSE),""))))</f>
        <v/>
      </c>
      <c r="Q27" s="289" t="str">
        <f>IFERROR(IF(AND(F27&lt;&gt;"",G27=""),"Confirm irreplaceable habitat status ▲",(IF(AND(E27="Individual trees",T27&gt;0,G27="Yes"),"Error - you cannot enhance irreplaceable individual trees ▲",(IF(AND(U27="Irreplaceable habitat - no units generated ⚠",(S27+T27)&lt;H27,OR(Y27="No",Y27="")),"Any Loss Unacceptable ⚠",(IF(U27="Irreplaceable habitat - no units generated ⚠",T27*J27*L27*O27,IF(AND(P27='G-1 All Habitats'!$X$9,AC27&gt;0,S27&lt;=0,T27&lt;=0,OR(Y27="No",Y27="")),"Any Loss Unacceptable ⚠",IF(AND(P27='G-1 All Habitats'!$X$9,AC27&gt;0,S27&lt;=0,T27&lt;=0,Y27="Yes"),0,(IF(AND(P27='G-1 All Habitats'!$X$9,(S27+T27)&lt;H27,OR(Y27="No",Y27="")),"Any Loss Unacceptable ⚠",(IF(P27="","",IF(AND(P27='G-1 All Habitats'!$X$9,T27&gt;0),U27+V27,IF(AND(P27='G-1 All Habitats'!$X$9,S27&gt;0),U27+V27,H27*J27*L27*O27))))))))))))))),"Check Data ▲")</f>
        <v/>
      </c>
      <c r="R27" s="38"/>
      <c r="S27" s="52"/>
      <c r="T27" s="53"/>
      <c r="U27" s="287" t="str">
        <f t="shared" si="0"/>
        <v/>
      </c>
      <c r="V27" s="287" t="str">
        <f t="shared" si="3"/>
        <v/>
      </c>
      <c r="W27" s="287" t="str">
        <f t="shared" si="4"/>
        <v/>
      </c>
      <c r="X27" s="291" t="str">
        <f>IFERROR(IF(H27="","",IF(H27-S27-T27=0&lt;0,"Error in Areas ▲",IF(S27+T27&gt;H27,"Error in Areas ▲",IF(AND(P27='G-1 All Habitats'!$X$9,Y27="Yes"),"Alternative Compensation ✓",IF(AND(P27='G-1 All Habitats'!$X$3,Y27="Yes"),"Alternative Compensation ✓",IF(AND(Y27="Pending",P27='G-1 All Habitats'!$X$3),"Bespoke compensation must be agreed ▲",IF(AND(Y27="Pending",P27='G-1 All Habitats'!$X$9),"Bespoke compensation must be agreed  ▲",IF(W27=0,0,IF(P27='G-1 All Habitats'!$X$9,"Any Loss Unacceptable ▲",Q27-U27-V27))))))))),"Check Data ▲")</f>
        <v/>
      </c>
      <c r="Y27" s="53"/>
      <c r="Z27" s="105"/>
      <c r="AA27" s="233"/>
      <c r="AB27" s="104"/>
      <c r="AC27" s="512" t="str">
        <f>IF(OR(P27="",Y27="Yes"),"",IF(P27='G-1 All Habitats'!$X$9,H27-S27-T27,"None"))</f>
        <v/>
      </c>
      <c r="AD27" s="513" t="str">
        <f>IF(P27="","",IF(P27='G-1 All Habitats'!$X$9,AC27*J27*L27*O27,"None"))</f>
        <v/>
      </c>
      <c r="AE27" s="35" t="str">
        <f t="shared" si="1"/>
        <v/>
      </c>
      <c r="AF27" s="40" t="str">
        <f t="shared" si="5"/>
        <v/>
      </c>
      <c r="AG27" s="40" t="str">
        <f t="shared" si="2"/>
        <v/>
      </c>
      <c r="AH27" s="40" t="str">
        <f>IF(I27="","",IF(#REF!&gt;0,TRUE,FALSE))</f>
        <v/>
      </c>
      <c r="AI27" s="40">
        <v>17</v>
      </c>
      <c r="AJ27" s="40"/>
      <c r="AK27" s="40" t="str">
        <f t="array" ref="AK27">IFERROR(INDEX($AI$11:$AI$259,MATCH(0,IF(TRUE=$AF$11:$AF$259,COUNTIF($AK$10:$AK26,$AI$11:$AI$259),""),0)),"")</f>
        <v/>
      </c>
      <c r="AL27" s="40" t="str">
        <f t="array" ref="AL27">IFERROR(INDEX($AI$11:$AI$259,MATCH(0,IF(TRUE=$AG$11:$AG$259,COUNTIF($AL$10:$AL26,$AI$11:$AI$259),""),0)),"")</f>
        <v/>
      </c>
      <c r="AM27" s="40" t="str">
        <f t="array" ref="AM27">IFERROR(INDEX($AI$11:$AI$259,MATCH(0,IF(TRUE=$AH$11:$AH$259,COUNTIF($AM$10:$AM26,$AI$11:$AI$259),""),0)),"")</f>
        <v/>
      </c>
      <c r="AN27" s="40"/>
      <c r="AQ27" s="35">
        <f t="shared" si="6"/>
        <v>0</v>
      </c>
      <c r="AT27" s="885" t="str">
        <f>IF(AND(OR(Y27="Yes",Y27="Pending"),P27='G-1 All Habitats'!$X$3),Q27-U27-V27,"")</f>
        <v/>
      </c>
      <c r="AV27" s="542" t="str">
        <f>IFERROR(INDEX('G-1 All Habitats'!$B$3:$B$135,MATCH(F27,'G-1 All Habitats'!$A$3:$A$135,0)),"")</f>
        <v/>
      </c>
      <c r="AW27" s="35" t="str">
        <f>IF(AV27="","",VLOOKUP(AV27,'G-1 All Habitats'!$B$1:$T$135,19,FALSE))</f>
        <v/>
      </c>
    </row>
    <row r="28" spans="1:49" ht="14.5" hidden="1" thickBot="1">
      <c r="A28" s="35" t="str">
        <f>IFERROR(INDEX('G-1 All Habitats'!$AG$3:$AG$17,MATCH(E28,'G-1 All Habitats'!$AF$3:$AF$17,0)),"")</f>
        <v/>
      </c>
      <c r="B28" s="35" t="str">
        <f>IFERROR(INDEX('G-8 Condition Look up'!$I$4:$I$135,MATCH(AV28,'G-8 Condition Look up'!$A$4:$A$135,0)),"")</f>
        <v/>
      </c>
      <c r="D28" s="225">
        <v>18</v>
      </c>
      <c r="E28" s="211"/>
      <c r="F28" s="57"/>
      <c r="G28" s="263"/>
      <c r="H28" s="51"/>
      <c r="I28" s="275" t="str">
        <f>IF(AV28="","",IF(AND(AW28="Yes",G28="No"),"Irreplaceable habitat ▲",IF(AND(AW28="No",G28="Yes"),"Cannot be Irreplaceable ▲",VLOOKUP(AV28,'G-1 All Habitats'!$B$2:$M$135,10,FALSE))))</f>
        <v/>
      </c>
      <c r="J28" s="276" t="str">
        <f>IFERROR(VLOOKUP(I28,'G-1 All Habitats'!$V$3:$W$7,2,FALSE),"")</f>
        <v/>
      </c>
      <c r="K28" s="52"/>
      <c r="L28" s="276" t="str">
        <f>IFERROR(INDEX('G-8 Condition Look up'!$A$3:$H$135,MATCH(AV28,'G-8 Condition Look up'!$A$3:$A$135,0),MATCH(K28,'G-8 Condition Look up'!$A$3:$H$3,0)),"")</f>
        <v/>
      </c>
      <c r="M28" s="52"/>
      <c r="N28" s="295" t="str">
        <f>IF(M28="","",IF(VLOOKUP(M28,'G-3 Multipliers'!$L$3:$N$6,2,FALSE)=0,"Spatial Data Missing",VLOOKUP(M28,'G-3 Multipliers'!$L$3:$N$6,2,FALSE)))</f>
        <v/>
      </c>
      <c r="O28" s="281" t="str">
        <f>IF(M28="","",IF(VLOOKUP(M28,'G-3 Multipliers'!$L$3:$N$6,3,FALSE)=0,"Spatial Data Missing ▲",VLOOKUP(M28,'G-3 Multipliers'!$L$3:$N$6,3,FALSE)))</f>
        <v/>
      </c>
      <c r="P28" s="282" t="str">
        <f>(IF(G28="Yes","Bespoke compensation likely to be required",(IFERROR(VLOOKUP(AV28,'G-1 All Habitats'!$B$2:$M$135,12,FALSE),""))))</f>
        <v/>
      </c>
      <c r="Q28" s="289" t="str">
        <f>IFERROR(IF(AND(F28&lt;&gt;"",G28=""),"Confirm irreplaceable habitat status ▲",(IF(AND(E28="Individual trees",T28&gt;0,G28="Yes"),"Error - you cannot enhance irreplaceable individual trees ▲",(IF(AND(U28="Irreplaceable habitat - no units generated ⚠",(S28+T28)&lt;H28,OR(Y28="No",Y28="")),"Any Loss Unacceptable ⚠",(IF(U28="Irreplaceable habitat - no units generated ⚠",T28*J28*L28*O28,IF(AND(P28='G-1 All Habitats'!$X$9,AC28&gt;0,S28&lt;=0,T28&lt;=0,OR(Y28="No",Y28="")),"Any Loss Unacceptable ⚠",IF(AND(P28='G-1 All Habitats'!$X$9,AC28&gt;0,S28&lt;=0,T28&lt;=0,Y28="Yes"),0,(IF(AND(P28='G-1 All Habitats'!$X$9,(S28+T28)&lt;H28,OR(Y28="No",Y28="")),"Any Loss Unacceptable ⚠",(IF(P28="","",IF(AND(P28='G-1 All Habitats'!$X$9,T28&gt;0),U28+V28,IF(AND(P28='G-1 All Habitats'!$X$9,S28&gt;0),U28+V28,H28*J28*L28*O28))))))))))))))),"Check Data ▲")</f>
        <v/>
      </c>
      <c r="R28" s="38"/>
      <c r="S28" s="52"/>
      <c r="T28" s="53"/>
      <c r="U28" s="287" t="str">
        <f t="shared" si="0"/>
        <v/>
      </c>
      <c r="V28" s="287" t="str">
        <f t="shared" si="3"/>
        <v/>
      </c>
      <c r="W28" s="287" t="str">
        <f t="shared" si="4"/>
        <v/>
      </c>
      <c r="X28" s="291" t="str">
        <f>IFERROR(IF(H28="","",IF(H28-S28-T28=0&lt;0,"Error in Areas ▲",IF(S28+T28&gt;H28,"Error in Areas ▲",IF(AND(P28='G-1 All Habitats'!$X$9,Y28="Yes"),"Alternative Compensation ✓",IF(AND(P28='G-1 All Habitats'!$X$3,Y28="Yes"),"Alternative Compensation ✓",IF(AND(Y28="Pending",P28='G-1 All Habitats'!$X$3),"Bespoke compensation must be agreed ▲",IF(AND(Y28="Pending",P28='G-1 All Habitats'!$X$9),"Bespoke compensation must be agreed  ▲",IF(W28=0,0,IF(P28='G-1 All Habitats'!$X$9,"Any Loss Unacceptable ▲",Q28-U28-V28))))))))),"Check Data ▲")</f>
        <v/>
      </c>
      <c r="Y28" s="53"/>
      <c r="Z28" s="105"/>
      <c r="AA28" s="233"/>
      <c r="AB28" s="104"/>
      <c r="AC28" s="512" t="str">
        <f>IF(OR(P28="",Y28="Yes"),"",IF(P28='G-1 All Habitats'!$X$9,H28-S28-T28,"None"))</f>
        <v/>
      </c>
      <c r="AD28" s="513" t="str">
        <f>IF(P28="","",IF(P28='G-1 All Habitats'!$X$9,AC28*J28*L28*O28,"None"))</f>
        <v/>
      </c>
      <c r="AE28" s="35" t="str">
        <f t="shared" si="1"/>
        <v/>
      </c>
      <c r="AF28" s="40" t="str">
        <f t="shared" si="5"/>
        <v/>
      </c>
      <c r="AG28" s="40" t="str">
        <f t="shared" si="2"/>
        <v/>
      </c>
      <c r="AH28" s="40" t="str">
        <f>IF(I28="","",IF(#REF!&gt;0,TRUE,FALSE))</f>
        <v/>
      </c>
      <c r="AI28" s="40">
        <v>18</v>
      </c>
      <c r="AJ28" s="40"/>
      <c r="AK28" s="40" t="str">
        <f t="array" ref="AK28">IFERROR(INDEX($AI$11:$AI$259,MATCH(0,IF(TRUE=$AF$11:$AF$259,COUNTIF($AK$10:$AK27,$AI$11:$AI$259),""),0)),"")</f>
        <v/>
      </c>
      <c r="AL28" s="40" t="str">
        <f t="array" ref="AL28">IFERROR(INDEX($AI$11:$AI$259,MATCH(0,IF(TRUE=$AG$11:$AG$259,COUNTIF($AL$10:$AL27,$AI$11:$AI$259),""),0)),"")</f>
        <v/>
      </c>
      <c r="AM28" s="40" t="str">
        <f t="array" ref="AM28">IFERROR(INDEX($AI$11:$AI$259,MATCH(0,IF(TRUE=$AH$11:$AH$259,COUNTIF($AM$10:$AM27,$AI$11:$AI$259),""),0)),"")</f>
        <v/>
      </c>
      <c r="AN28" s="40"/>
      <c r="AQ28" s="35">
        <f t="shared" si="6"/>
        <v>0</v>
      </c>
      <c r="AT28" s="885" t="str">
        <f>IF(AND(OR(Y28="Yes",Y28="Pending"),P28='G-1 All Habitats'!$X$3),Q28-U28-V28,"")</f>
        <v/>
      </c>
      <c r="AV28" s="542" t="str">
        <f>IFERROR(INDEX('G-1 All Habitats'!$B$3:$B$135,MATCH(F28,'G-1 All Habitats'!$A$3:$A$135,0)),"")</f>
        <v/>
      </c>
      <c r="AW28" s="35" t="str">
        <f>IF(AV28="","",VLOOKUP(AV28,'G-1 All Habitats'!$B$1:$T$135,19,FALSE))</f>
        <v/>
      </c>
    </row>
    <row r="29" spans="1:49" ht="14.5" hidden="1" thickBot="1">
      <c r="A29" s="35" t="str">
        <f>IFERROR(INDEX('G-1 All Habitats'!$AG$3:$AG$17,MATCH(E29,'G-1 All Habitats'!$AF$3:$AF$17,0)),"")</f>
        <v/>
      </c>
      <c r="B29" s="35" t="str">
        <f>IFERROR(INDEX('G-8 Condition Look up'!$I$4:$I$135,MATCH(AV29,'G-8 Condition Look up'!$A$4:$A$135,0)),"")</f>
        <v/>
      </c>
      <c r="D29" s="225">
        <v>19</v>
      </c>
      <c r="E29" s="211"/>
      <c r="F29" s="57"/>
      <c r="G29" s="263"/>
      <c r="H29" s="51"/>
      <c r="I29" s="275" t="str">
        <f>IF(AV29="","",IF(AND(AW29="Yes",G29="No"),"Irreplaceable habitat ▲",IF(AND(AW29="No",G29="Yes"),"Cannot be Irreplaceable ▲",VLOOKUP(AV29,'G-1 All Habitats'!$B$2:$M$135,10,FALSE))))</f>
        <v/>
      </c>
      <c r="J29" s="276" t="str">
        <f>IFERROR(VLOOKUP(I29,'G-1 All Habitats'!$V$3:$W$7,2,FALSE),"")</f>
        <v/>
      </c>
      <c r="K29" s="52"/>
      <c r="L29" s="276" t="str">
        <f>IFERROR(INDEX('G-8 Condition Look up'!$A$3:$H$135,MATCH(AV29,'G-8 Condition Look up'!$A$3:$A$135,0),MATCH(K29,'G-8 Condition Look up'!$A$3:$H$3,0)),"")</f>
        <v/>
      </c>
      <c r="M29" s="52"/>
      <c r="N29" s="295" t="str">
        <f>IF(M29="","",IF(VLOOKUP(M29,'G-3 Multipliers'!$L$3:$N$6,2,FALSE)=0,"Spatial Data Missing",VLOOKUP(M29,'G-3 Multipliers'!$L$3:$N$6,2,FALSE)))</f>
        <v/>
      </c>
      <c r="O29" s="281" t="str">
        <f>IF(M29="","",IF(VLOOKUP(M29,'G-3 Multipliers'!$L$3:$N$6,3,FALSE)=0,"Spatial Data Missing ▲",VLOOKUP(M29,'G-3 Multipliers'!$L$3:$N$6,3,FALSE)))</f>
        <v/>
      </c>
      <c r="P29" s="282" t="str">
        <f>(IF(G29="Yes","Bespoke compensation likely to be required",(IFERROR(VLOOKUP(AV29,'G-1 All Habitats'!$B$2:$M$135,12,FALSE),""))))</f>
        <v/>
      </c>
      <c r="Q29" s="289" t="str">
        <f>IFERROR(IF(AND(F29&lt;&gt;"",G29=""),"Confirm irreplaceable habitat status ▲",(IF(AND(E29="Individual trees",T29&gt;0,G29="Yes"),"Error - you cannot enhance irreplaceable individual trees ▲",(IF(AND(U29="Irreplaceable habitat - no units generated ⚠",(S29+T29)&lt;H29,OR(Y29="No",Y29="")),"Any Loss Unacceptable ⚠",(IF(U29="Irreplaceable habitat - no units generated ⚠",T29*J29*L29*O29,IF(AND(P29='G-1 All Habitats'!$X$9,AC29&gt;0,S29&lt;=0,T29&lt;=0,OR(Y29="No",Y29="")),"Any Loss Unacceptable ⚠",IF(AND(P29='G-1 All Habitats'!$X$9,AC29&gt;0,S29&lt;=0,T29&lt;=0,Y29="Yes"),0,(IF(AND(P29='G-1 All Habitats'!$X$9,(S29+T29)&lt;H29,OR(Y29="No",Y29="")),"Any Loss Unacceptable ⚠",(IF(P29="","",IF(AND(P29='G-1 All Habitats'!$X$9,T29&gt;0),U29+V29,IF(AND(P29='G-1 All Habitats'!$X$9,S29&gt;0),U29+V29,H29*J29*L29*O29))))))))))))))),"Check Data ▲")</f>
        <v/>
      </c>
      <c r="R29" s="38"/>
      <c r="S29" s="52"/>
      <c r="T29" s="53"/>
      <c r="U29" s="287" t="str">
        <f t="shared" si="0"/>
        <v/>
      </c>
      <c r="V29" s="287" t="str">
        <f t="shared" si="3"/>
        <v/>
      </c>
      <c r="W29" s="287" t="str">
        <f t="shared" si="4"/>
        <v/>
      </c>
      <c r="X29" s="291" t="str">
        <f>IFERROR(IF(H29="","",IF(H29-S29-T29=0&lt;0,"Error in Areas ▲",IF(S29+T29&gt;H29,"Error in Areas ▲",IF(AND(P29='G-1 All Habitats'!$X$9,Y29="Yes"),"Alternative Compensation ✓",IF(AND(P29='G-1 All Habitats'!$X$3,Y29="Yes"),"Alternative Compensation ✓",IF(AND(Y29="Pending",P29='G-1 All Habitats'!$X$3),"Bespoke compensation must be agreed ▲",IF(AND(Y29="Pending",P29='G-1 All Habitats'!$X$9),"Bespoke compensation must be agreed  ▲",IF(W29=0,0,IF(P29='G-1 All Habitats'!$X$9,"Any Loss Unacceptable ▲",Q29-U29-V29))))))))),"Check Data ▲")</f>
        <v/>
      </c>
      <c r="Y29" s="53"/>
      <c r="Z29" s="105"/>
      <c r="AA29" s="233"/>
      <c r="AB29" s="104"/>
      <c r="AC29" s="512" t="str">
        <f>IF(OR(P29="",Y29="Yes"),"",IF(P29='G-1 All Habitats'!$X$9,H29-S29-T29,"None"))</f>
        <v/>
      </c>
      <c r="AD29" s="513" t="str">
        <f>IF(P29="","",IF(P29='G-1 All Habitats'!$X$9,AC29*J29*L29*O29,"None"))</f>
        <v/>
      </c>
      <c r="AE29" s="35" t="str">
        <f t="shared" si="1"/>
        <v/>
      </c>
      <c r="AF29" s="40" t="str">
        <f t="shared" si="5"/>
        <v/>
      </c>
      <c r="AG29" s="40" t="str">
        <f t="shared" si="2"/>
        <v/>
      </c>
      <c r="AH29" s="40" t="str">
        <f>IF(I29="","",IF(#REF!&gt;0,TRUE,FALSE))</f>
        <v/>
      </c>
      <c r="AI29" s="40">
        <v>19</v>
      </c>
      <c r="AJ29" s="40"/>
      <c r="AK29" s="40" t="str">
        <f t="array" ref="AK29">IFERROR(INDEX($AI$11:$AI$259,MATCH(0,IF(TRUE=$AF$11:$AF$259,COUNTIF($AK$10:$AK28,$AI$11:$AI$259),""),0)),"")</f>
        <v/>
      </c>
      <c r="AL29" s="40" t="str">
        <f t="array" ref="AL29">IFERROR(INDEX($AI$11:$AI$259,MATCH(0,IF(TRUE=$AG$11:$AG$259,COUNTIF($AL$10:$AL28,$AI$11:$AI$259),""),0)),"")</f>
        <v/>
      </c>
      <c r="AM29" s="40" t="str">
        <f t="array" ref="AM29">IFERROR(INDEX($AI$11:$AI$259,MATCH(0,IF(TRUE=$AH$11:$AH$259,COUNTIF($AM$10:$AM28,$AI$11:$AI$259),""),0)),"")</f>
        <v/>
      </c>
      <c r="AN29" s="40"/>
      <c r="AQ29" s="35">
        <f t="shared" si="6"/>
        <v>0</v>
      </c>
      <c r="AT29" s="885" t="str">
        <f>IF(AND(OR(Y29="Yes",Y29="Pending"),P29='G-1 All Habitats'!$X$3),Q29-U29-V29,"")</f>
        <v/>
      </c>
      <c r="AV29" s="542" t="str">
        <f>IFERROR(INDEX('G-1 All Habitats'!$B$3:$B$135,MATCH(F29,'G-1 All Habitats'!$A$3:$A$135,0)),"")</f>
        <v/>
      </c>
      <c r="AW29" s="35" t="str">
        <f>IF(AV29="","",VLOOKUP(AV29,'G-1 All Habitats'!$B$1:$T$135,19,FALSE))</f>
        <v/>
      </c>
    </row>
    <row r="30" spans="1:49" ht="14.5" hidden="1" thickBot="1">
      <c r="A30" s="35" t="str">
        <f>IFERROR(INDEX('G-1 All Habitats'!$AG$3:$AG$17,MATCH(E30,'G-1 All Habitats'!$AF$3:$AF$17,0)),"")</f>
        <v/>
      </c>
      <c r="B30" s="35" t="str">
        <f>IFERROR(INDEX('G-8 Condition Look up'!$I$4:$I$135,MATCH(AV30,'G-8 Condition Look up'!$A$4:$A$135,0)),"")</f>
        <v/>
      </c>
      <c r="D30" s="225">
        <v>20</v>
      </c>
      <c r="E30" s="211"/>
      <c r="F30" s="57"/>
      <c r="G30" s="263"/>
      <c r="H30" s="51"/>
      <c r="I30" s="275" t="str">
        <f>IF(AV30="","",IF(AND(AW30="Yes",G30="No"),"Irreplaceable habitat ▲",IF(AND(AW30="No",G30="Yes"),"Cannot be Irreplaceable ▲",VLOOKUP(AV30,'G-1 All Habitats'!$B$2:$M$135,10,FALSE))))</f>
        <v/>
      </c>
      <c r="J30" s="276" t="str">
        <f>IFERROR(VLOOKUP(I30,'G-1 All Habitats'!$V$3:$W$7,2,FALSE),"")</f>
        <v/>
      </c>
      <c r="K30" s="52"/>
      <c r="L30" s="276" t="str">
        <f>IFERROR(INDEX('G-8 Condition Look up'!$A$3:$H$135,MATCH(AV30,'G-8 Condition Look up'!$A$3:$A$135,0),MATCH(K30,'G-8 Condition Look up'!$A$3:$H$3,0)),"")</f>
        <v/>
      </c>
      <c r="M30" s="52"/>
      <c r="N30" s="295" t="str">
        <f>IF(M30="","",IF(VLOOKUP(M30,'G-3 Multipliers'!$L$3:$N$6,2,FALSE)=0,"Spatial Data Missing",VLOOKUP(M30,'G-3 Multipliers'!$L$3:$N$6,2,FALSE)))</f>
        <v/>
      </c>
      <c r="O30" s="281" t="str">
        <f>IF(M30="","",IF(VLOOKUP(M30,'G-3 Multipliers'!$L$3:$N$6,3,FALSE)=0,"Spatial Data Missing ▲",VLOOKUP(M30,'G-3 Multipliers'!$L$3:$N$6,3,FALSE)))</f>
        <v/>
      </c>
      <c r="P30" s="282" t="str">
        <f>(IF(G30="Yes","Bespoke compensation likely to be required",(IFERROR(VLOOKUP(AV30,'G-1 All Habitats'!$B$2:$M$135,12,FALSE),""))))</f>
        <v/>
      </c>
      <c r="Q30" s="289" t="str">
        <f>IFERROR(IF(AND(F30&lt;&gt;"",G30=""),"Confirm irreplaceable habitat status ▲",(IF(AND(E30="Individual trees",T30&gt;0,G30="Yes"),"Error - you cannot enhance irreplaceable individual trees ▲",(IF(AND(U30="Irreplaceable habitat - no units generated ⚠",(S30+T30)&lt;H30,OR(Y30="No",Y30="")),"Any Loss Unacceptable ⚠",(IF(U30="Irreplaceable habitat - no units generated ⚠",T30*J30*L30*O30,IF(AND(P30='G-1 All Habitats'!$X$9,AC30&gt;0,S30&lt;=0,T30&lt;=0,OR(Y30="No",Y30="")),"Any Loss Unacceptable ⚠",IF(AND(P30='G-1 All Habitats'!$X$9,AC30&gt;0,S30&lt;=0,T30&lt;=0,Y30="Yes"),0,(IF(AND(P30='G-1 All Habitats'!$X$9,(S30+T30)&lt;H30,OR(Y30="No",Y30="")),"Any Loss Unacceptable ⚠",(IF(P30="","",IF(AND(P30='G-1 All Habitats'!$X$9,T30&gt;0),U30+V30,IF(AND(P30='G-1 All Habitats'!$X$9,S30&gt;0),U30+V30,H30*J30*L30*O30))))))))))))))),"Check Data ▲")</f>
        <v/>
      </c>
      <c r="R30" s="38"/>
      <c r="S30" s="52"/>
      <c r="T30" s="53"/>
      <c r="U30" s="287" t="str">
        <f t="shared" si="0"/>
        <v/>
      </c>
      <c r="V30" s="287" t="str">
        <f t="shared" si="3"/>
        <v/>
      </c>
      <c r="W30" s="287" t="str">
        <f t="shared" si="4"/>
        <v/>
      </c>
      <c r="X30" s="291" t="str">
        <f>IFERROR(IF(H30="","",IF(H30-S30-T30=0&lt;0,"Error in Areas ▲",IF(S30+T30&gt;H30,"Error in Areas ▲",IF(AND(P30='G-1 All Habitats'!$X$9,Y30="Yes"),"Alternative Compensation ✓",IF(AND(P30='G-1 All Habitats'!$X$3,Y30="Yes"),"Alternative Compensation ✓",IF(AND(Y30="Pending",P30='G-1 All Habitats'!$X$3),"Bespoke compensation must be agreed ▲",IF(AND(Y30="Pending",P30='G-1 All Habitats'!$X$9),"Bespoke compensation must be agreed  ▲",IF(W30=0,0,IF(P30='G-1 All Habitats'!$X$9,"Any Loss Unacceptable ▲",Q30-U30-V30))))))))),"Check Data ▲")</f>
        <v/>
      </c>
      <c r="Y30" s="53"/>
      <c r="Z30" s="105"/>
      <c r="AA30" s="233"/>
      <c r="AB30" s="104"/>
      <c r="AC30" s="512" t="str">
        <f>IF(OR(P30="",Y30="Yes"),"",IF(P30='G-1 All Habitats'!$X$9,H30-S30-T30,"None"))</f>
        <v/>
      </c>
      <c r="AD30" s="513" t="str">
        <f>IF(P30="","",IF(P30='G-1 All Habitats'!$X$9,AC30*J30*L30*O30,"None"))</f>
        <v/>
      </c>
      <c r="AE30" s="35" t="str">
        <f t="shared" si="1"/>
        <v/>
      </c>
      <c r="AF30" s="40" t="str">
        <f t="shared" si="5"/>
        <v/>
      </c>
      <c r="AG30" s="40" t="str">
        <f t="shared" si="2"/>
        <v/>
      </c>
      <c r="AH30" s="40" t="str">
        <f>IF(I30="","",IF(#REF!&gt;0,TRUE,FALSE))</f>
        <v/>
      </c>
      <c r="AI30" s="40">
        <v>20</v>
      </c>
      <c r="AJ30" s="40"/>
      <c r="AK30" s="40" t="str">
        <f t="array" ref="AK30">IFERROR(INDEX($AI$11:$AI$259,MATCH(0,IF(TRUE=$AF$11:$AF$259,COUNTIF($AK$10:$AK29,$AI$11:$AI$259),""),0)),"")</f>
        <v/>
      </c>
      <c r="AL30" s="40" t="str">
        <f t="array" ref="AL30">IFERROR(INDEX($AI$11:$AI$259,MATCH(0,IF(TRUE=$AG$11:$AG$259,COUNTIF($AL$10:$AL29,$AI$11:$AI$259),""),0)),"")</f>
        <v/>
      </c>
      <c r="AM30" s="40" t="str">
        <f t="array" ref="AM30">IFERROR(INDEX($AI$11:$AI$259,MATCH(0,IF(TRUE=$AH$11:$AH$259,COUNTIF($AM$10:$AM29,$AI$11:$AI$259),""),0)),"")</f>
        <v/>
      </c>
      <c r="AN30" s="40"/>
      <c r="AQ30" s="35">
        <f t="shared" si="6"/>
        <v>0</v>
      </c>
      <c r="AT30" s="885" t="str">
        <f>IF(AND(OR(Y30="Yes",Y30="Pending"),P30='G-1 All Habitats'!$X$3),Q30-U30-V30,"")</f>
        <v/>
      </c>
      <c r="AV30" s="542" t="str">
        <f>IFERROR(INDEX('G-1 All Habitats'!$B$3:$B$135,MATCH(F30,'G-1 All Habitats'!$A$3:$A$135,0)),"")</f>
        <v/>
      </c>
      <c r="AW30" s="35" t="str">
        <f>IF(AV30="","",VLOOKUP(AV30,'G-1 All Habitats'!$B$1:$T$135,19,FALSE))</f>
        <v/>
      </c>
    </row>
    <row r="31" spans="1:49" ht="14.5" hidden="1" thickBot="1">
      <c r="A31" s="35" t="str">
        <f>IFERROR(INDEX('G-1 All Habitats'!$AG$3:$AG$17,MATCH(E31,'G-1 All Habitats'!$AF$3:$AF$17,0)),"")</f>
        <v/>
      </c>
      <c r="B31" s="35" t="str">
        <f>IFERROR(INDEX('G-8 Condition Look up'!$I$4:$I$135,MATCH(AV31,'G-8 Condition Look up'!$A$4:$A$135,0)),"")</f>
        <v/>
      </c>
      <c r="D31" s="225">
        <v>21</v>
      </c>
      <c r="E31" s="211"/>
      <c r="F31" s="57"/>
      <c r="G31" s="263"/>
      <c r="H31" s="51"/>
      <c r="I31" s="275" t="str">
        <f>IF(AV31="","",IF(AND(AW31="Yes",G31="No"),"Irreplaceable habitat ▲",IF(AND(AW31="No",G31="Yes"),"Cannot be Irreplaceable ▲",VLOOKUP(AV31,'G-1 All Habitats'!$B$2:$M$135,10,FALSE))))</f>
        <v/>
      </c>
      <c r="J31" s="276" t="str">
        <f>IFERROR(VLOOKUP(I31,'G-1 All Habitats'!$V$3:$W$7,2,FALSE),"")</f>
        <v/>
      </c>
      <c r="K31" s="52"/>
      <c r="L31" s="276" t="str">
        <f>IFERROR(INDEX('G-8 Condition Look up'!$A$3:$H$135,MATCH(AV31,'G-8 Condition Look up'!$A$3:$A$135,0),MATCH(K31,'G-8 Condition Look up'!$A$3:$H$3,0)),"")</f>
        <v/>
      </c>
      <c r="M31" s="52"/>
      <c r="N31" s="295" t="str">
        <f>IF(M31="","",IF(VLOOKUP(M31,'G-3 Multipliers'!$L$3:$N$6,2,FALSE)=0,"Spatial Data Missing",VLOOKUP(M31,'G-3 Multipliers'!$L$3:$N$6,2,FALSE)))</f>
        <v/>
      </c>
      <c r="O31" s="281" t="str">
        <f>IF(M31="","",IF(VLOOKUP(M31,'G-3 Multipliers'!$L$3:$N$6,3,FALSE)=0,"Spatial Data Missing ▲",VLOOKUP(M31,'G-3 Multipliers'!$L$3:$N$6,3,FALSE)))</f>
        <v/>
      </c>
      <c r="P31" s="282" t="str">
        <f>(IF(G31="Yes","Bespoke compensation likely to be required",(IFERROR(VLOOKUP(AV31,'G-1 All Habitats'!$B$2:$M$135,12,FALSE),""))))</f>
        <v/>
      </c>
      <c r="Q31" s="289" t="str">
        <f>IFERROR(IF(AND(F31&lt;&gt;"",G31=""),"Confirm irreplaceable habitat status ▲",(IF(AND(E31="Individual trees",T31&gt;0,G31="Yes"),"Error - you cannot enhance irreplaceable individual trees ▲",(IF(AND(U31="Irreplaceable habitat - no units generated ⚠",(S31+T31)&lt;H31,OR(Y31="No",Y31="")),"Any Loss Unacceptable ⚠",(IF(U31="Irreplaceable habitat - no units generated ⚠",T31*J31*L31*O31,IF(AND(P31='G-1 All Habitats'!$X$9,AC31&gt;0,S31&lt;=0,T31&lt;=0,OR(Y31="No",Y31="")),"Any Loss Unacceptable ⚠",IF(AND(P31='G-1 All Habitats'!$X$9,AC31&gt;0,S31&lt;=0,T31&lt;=0,Y31="Yes"),0,(IF(AND(P31='G-1 All Habitats'!$X$9,(S31+T31)&lt;H31,OR(Y31="No",Y31="")),"Any Loss Unacceptable ⚠",(IF(P31="","",IF(AND(P31='G-1 All Habitats'!$X$9,T31&gt;0),U31+V31,IF(AND(P31='G-1 All Habitats'!$X$9,S31&gt;0),U31+V31,H31*J31*L31*O31))))))))))))))),"Check Data ▲")</f>
        <v/>
      </c>
      <c r="R31" s="38"/>
      <c r="S31" s="52"/>
      <c r="T31" s="53"/>
      <c r="U31" s="287" t="str">
        <f t="shared" si="0"/>
        <v/>
      </c>
      <c r="V31" s="287" t="str">
        <f t="shared" si="3"/>
        <v/>
      </c>
      <c r="W31" s="287" t="str">
        <f t="shared" si="4"/>
        <v/>
      </c>
      <c r="X31" s="291" t="str">
        <f>IFERROR(IF(H31="","",IF(H31-S31-T31=0&lt;0,"Error in Areas ▲",IF(S31+T31&gt;H31,"Error in Areas ▲",IF(AND(P31='G-1 All Habitats'!$X$9,Y31="Yes"),"Alternative Compensation ✓",IF(AND(P31='G-1 All Habitats'!$X$3,Y31="Yes"),"Alternative Compensation ✓",IF(AND(Y31="Pending",P31='G-1 All Habitats'!$X$3),"Bespoke compensation must be agreed ▲",IF(AND(Y31="Pending",P31='G-1 All Habitats'!$X$9),"Bespoke compensation must be agreed  ▲",IF(W31=0,0,IF(P31='G-1 All Habitats'!$X$9,"Any Loss Unacceptable ▲",Q31-U31-V31))))))))),"Check Data ▲")</f>
        <v/>
      </c>
      <c r="Y31" s="53"/>
      <c r="Z31" s="105"/>
      <c r="AA31" s="233"/>
      <c r="AB31" s="104"/>
      <c r="AC31" s="512" t="str">
        <f>IF(OR(P31="",Y31="Yes"),"",IF(P31='G-1 All Habitats'!$X$9,H31-S31-T31,"None"))</f>
        <v/>
      </c>
      <c r="AD31" s="513" t="str">
        <f>IF(P31="","",IF(P31='G-1 All Habitats'!$X$9,AC31*J31*L31*O31,"None"))</f>
        <v/>
      </c>
      <c r="AE31" s="35" t="str">
        <f t="shared" si="1"/>
        <v/>
      </c>
      <c r="AF31" s="40" t="str">
        <f t="shared" si="5"/>
        <v/>
      </c>
      <c r="AG31" s="40" t="str">
        <f t="shared" si="2"/>
        <v/>
      </c>
      <c r="AH31" s="40" t="str">
        <f>IF(I31="","",IF(#REF!&gt;0,TRUE,FALSE))</f>
        <v/>
      </c>
      <c r="AI31" s="40">
        <v>21</v>
      </c>
      <c r="AJ31" s="40"/>
      <c r="AK31" s="40" t="str">
        <f t="array" ref="AK31">IFERROR(INDEX($AI$11:$AI$259,MATCH(0,IF(TRUE=$AF$11:$AF$259,COUNTIF($AK$10:$AK30,$AI$11:$AI$259),""),0)),"")</f>
        <v/>
      </c>
      <c r="AL31" s="40" t="str">
        <f t="array" ref="AL31">IFERROR(INDEX($AI$11:$AI$259,MATCH(0,IF(TRUE=$AG$11:$AG$259,COUNTIF($AL$10:$AL30,$AI$11:$AI$259),""),0)),"")</f>
        <v/>
      </c>
      <c r="AM31" s="40" t="str">
        <f t="array" ref="AM31">IFERROR(INDEX($AI$11:$AI$259,MATCH(0,IF(TRUE=$AH$11:$AH$259,COUNTIF($AM$10:$AM30,$AI$11:$AI$259),""),0)),"")</f>
        <v/>
      </c>
      <c r="AN31" s="40"/>
      <c r="AQ31" s="35">
        <f t="shared" si="6"/>
        <v>0</v>
      </c>
      <c r="AT31" s="885" t="str">
        <f>IF(AND(OR(Y31="Yes",Y31="Pending"),P31='G-1 All Habitats'!$X$3),Q31-U31-V31,"")</f>
        <v/>
      </c>
      <c r="AV31" s="542" t="str">
        <f>IFERROR(INDEX('G-1 All Habitats'!$B$3:$B$135,MATCH(F31,'G-1 All Habitats'!$A$3:$A$135,0)),"")</f>
        <v/>
      </c>
      <c r="AW31" s="35" t="str">
        <f>IF(AV31="","",VLOOKUP(AV31,'G-1 All Habitats'!$B$1:$T$135,19,FALSE))</f>
        <v/>
      </c>
    </row>
    <row r="32" spans="1:49" ht="14.5" hidden="1" thickBot="1">
      <c r="A32" s="35" t="str">
        <f>IFERROR(INDEX('G-1 All Habitats'!$AG$3:$AG$17,MATCH(E32,'G-1 All Habitats'!$AF$3:$AF$17,0)),"")</f>
        <v/>
      </c>
      <c r="B32" s="35" t="str">
        <f>IFERROR(INDEX('G-8 Condition Look up'!$I$4:$I$135,MATCH(AV32,'G-8 Condition Look up'!$A$4:$A$135,0)),"")</f>
        <v/>
      </c>
      <c r="D32" s="225">
        <v>22</v>
      </c>
      <c r="E32" s="211"/>
      <c r="F32" s="57"/>
      <c r="G32" s="263"/>
      <c r="H32" s="51"/>
      <c r="I32" s="275" t="str">
        <f>IF(AV32="","",IF(AND(AW32="Yes",G32="No"),"Irreplaceable habitat ▲",IF(AND(AW32="No",G32="Yes"),"Cannot be Irreplaceable ▲",VLOOKUP(AV32,'G-1 All Habitats'!$B$2:$M$135,10,FALSE))))</f>
        <v/>
      </c>
      <c r="J32" s="276" t="str">
        <f>IFERROR(VLOOKUP(I32,'G-1 All Habitats'!$V$3:$W$7,2,FALSE),"")</f>
        <v/>
      </c>
      <c r="K32" s="52"/>
      <c r="L32" s="276" t="str">
        <f>IFERROR(INDEX('G-8 Condition Look up'!$A$3:$H$135,MATCH(AV32,'G-8 Condition Look up'!$A$3:$A$135,0),MATCH(K32,'G-8 Condition Look up'!$A$3:$H$3,0)),"")</f>
        <v/>
      </c>
      <c r="M32" s="52"/>
      <c r="N32" s="295" t="str">
        <f>IF(M32="","",IF(VLOOKUP(M32,'G-3 Multipliers'!$L$3:$N$6,2,FALSE)=0,"Spatial Data Missing",VLOOKUP(M32,'G-3 Multipliers'!$L$3:$N$6,2,FALSE)))</f>
        <v/>
      </c>
      <c r="O32" s="281" t="str">
        <f>IF(M32="","",IF(VLOOKUP(M32,'G-3 Multipliers'!$L$3:$N$6,3,FALSE)=0,"Spatial Data Missing ▲",VLOOKUP(M32,'G-3 Multipliers'!$L$3:$N$6,3,FALSE)))</f>
        <v/>
      </c>
      <c r="P32" s="282" t="str">
        <f>(IF(G32="Yes","Bespoke compensation likely to be required",(IFERROR(VLOOKUP(AV32,'G-1 All Habitats'!$B$2:$M$135,12,FALSE),""))))</f>
        <v/>
      </c>
      <c r="Q32" s="289" t="str">
        <f>IFERROR(IF(AND(F32&lt;&gt;"",G32=""),"Confirm irreplaceable habitat status ▲",(IF(AND(E32="Individual trees",T32&gt;0,G32="Yes"),"Error - you cannot enhance irreplaceable individual trees ▲",(IF(AND(U32="Irreplaceable habitat - no units generated ⚠",(S32+T32)&lt;H32,OR(Y32="No",Y32="")),"Any Loss Unacceptable ⚠",(IF(U32="Irreplaceable habitat - no units generated ⚠",T32*J32*L32*O32,IF(AND(P32='G-1 All Habitats'!$X$9,AC32&gt;0,S32&lt;=0,T32&lt;=0,OR(Y32="No",Y32="")),"Any Loss Unacceptable ⚠",IF(AND(P32='G-1 All Habitats'!$X$9,AC32&gt;0,S32&lt;=0,T32&lt;=0,Y32="Yes"),0,(IF(AND(P32='G-1 All Habitats'!$X$9,(S32+T32)&lt;H32,OR(Y32="No",Y32="")),"Any Loss Unacceptable ⚠",(IF(P32="","",IF(AND(P32='G-1 All Habitats'!$X$9,T32&gt;0),U32+V32,IF(AND(P32='G-1 All Habitats'!$X$9,S32&gt;0),U32+V32,H32*J32*L32*O32))))))))))))))),"Check Data ▲")</f>
        <v/>
      </c>
      <c r="R32" s="38"/>
      <c r="S32" s="52"/>
      <c r="T32" s="53"/>
      <c r="U32" s="287" t="str">
        <f t="shared" si="0"/>
        <v/>
      </c>
      <c r="V32" s="287" t="str">
        <f t="shared" si="3"/>
        <v/>
      </c>
      <c r="W32" s="287" t="str">
        <f t="shared" si="4"/>
        <v/>
      </c>
      <c r="X32" s="291" t="str">
        <f>IFERROR(IF(H32="","",IF(H32-S32-T32=0&lt;0,"Error in Areas ▲",IF(S32+T32&gt;H32,"Error in Areas ▲",IF(AND(P32='G-1 All Habitats'!$X$9,Y32="Yes"),"Alternative Compensation ✓",IF(AND(P32='G-1 All Habitats'!$X$3,Y32="Yes"),"Alternative Compensation ✓",IF(AND(Y32="Pending",P32='G-1 All Habitats'!$X$3),"Bespoke compensation must be agreed ▲",IF(AND(Y32="Pending",P32='G-1 All Habitats'!$X$9),"Bespoke compensation must be agreed  ▲",IF(W32=0,0,IF(P32='G-1 All Habitats'!$X$9,"Any Loss Unacceptable ▲",Q32-U32-V32))))))))),"Check Data ▲")</f>
        <v/>
      </c>
      <c r="Y32" s="53"/>
      <c r="Z32" s="105"/>
      <c r="AA32" s="233"/>
      <c r="AB32" s="104"/>
      <c r="AC32" s="512" t="str">
        <f>IF(OR(P32="",Y32="Yes"),"",IF(P32='G-1 All Habitats'!$X$9,H32-S32-T32,"None"))</f>
        <v/>
      </c>
      <c r="AD32" s="513" t="str">
        <f>IF(P32="","",IF(P32='G-1 All Habitats'!$X$9,AC32*J32*L32*O32,"None"))</f>
        <v/>
      </c>
      <c r="AE32" s="35" t="str">
        <f t="shared" si="1"/>
        <v/>
      </c>
      <c r="AF32" s="40" t="str">
        <f t="shared" si="5"/>
        <v/>
      </c>
      <c r="AG32" s="40" t="str">
        <f t="shared" si="2"/>
        <v/>
      </c>
      <c r="AH32" s="40" t="str">
        <f>IF(I32="","",IF(#REF!&gt;0,TRUE,FALSE))</f>
        <v/>
      </c>
      <c r="AI32" s="40">
        <v>22</v>
      </c>
      <c r="AJ32" s="40"/>
      <c r="AK32" s="40" t="str">
        <f t="array" ref="AK32">IFERROR(INDEX($AI$11:$AI$259,MATCH(0,IF(TRUE=$AF$11:$AF$259,COUNTIF($AK$10:$AK31,$AI$11:$AI$259),""),0)),"")</f>
        <v/>
      </c>
      <c r="AL32" s="40" t="str">
        <f t="array" ref="AL32">IFERROR(INDEX($AI$11:$AI$259,MATCH(0,IF(TRUE=$AG$11:$AG$259,COUNTIF($AL$10:$AL31,$AI$11:$AI$259),""),0)),"")</f>
        <v/>
      </c>
      <c r="AM32" s="40" t="str">
        <f t="array" ref="AM32">IFERROR(INDEX($AI$11:$AI$259,MATCH(0,IF(TRUE=$AH$11:$AH$259,COUNTIF($AM$10:$AM31,$AI$11:$AI$259),""),0)),"")</f>
        <v/>
      </c>
      <c r="AN32" s="40"/>
      <c r="AQ32" s="35">
        <f t="shared" si="6"/>
        <v>0</v>
      </c>
      <c r="AT32" s="885" t="str">
        <f>IF(AND(OR(Y32="Yes",Y32="Pending"),P32='G-1 All Habitats'!$X$3),Q32-U32-V32,"")</f>
        <v/>
      </c>
      <c r="AV32" s="542" t="str">
        <f>IFERROR(INDEX('G-1 All Habitats'!$B$3:$B$135,MATCH(F32,'G-1 All Habitats'!$A$3:$A$135,0)),"")</f>
        <v/>
      </c>
      <c r="AW32" s="35" t="str">
        <f>IF(AV32="","",VLOOKUP(AV32,'G-1 All Habitats'!$B$1:$T$135,19,FALSE))</f>
        <v/>
      </c>
    </row>
    <row r="33" spans="1:49" ht="14.5" hidden="1" thickBot="1">
      <c r="A33" s="35" t="str">
        <f>IFERROR(INDEX('G-1 All Habitats'!$AG$3:$AG$17,MATCH(E33,'G-1 All Habitats'!$AF$3:$AF$17,0)),"")</f>
        <v/>
      </c>
      <c r="B33" s="35" t="str">
        <f>IFERROR(INDEX('G-8 Condition Look up'!$I$4:$I$135,MATCH(AV33,'G-8 Condition Look up'!$A$4:$A$135,0)),"")</f>
        <v/>
      </c>
      <c r="D33" s="225">
        <v>23</v>
      </c>
      <c r="E33" s="211"/>
      <c r="F33" s="57"/>
      <c r="G33" s="263"/>
      <c r="H33" s="51"/>
      <c r="I33" s="275" t="str">
        <f>IF(AV33="","",IF(AND(AW33="Yes",G33="No"),"Irreplaceable habitat ▲",IF(AND(AW33="No",G33="Yes"),"Cannot be Irreplaceable ▲",VLOOKUP(AV33,'G-1 All Habitats'!$B$2:$M$135,10,FALSE))))</f>
        <v/>
      </c>
      <c r="J33" s="276" t="str">
        <f>IFERROR(VLOOKUP(I33,'G-1 All Habitats'!$V$3:$W$7,2,FALSE),"")</f>
        <v/>
      </c>
      <c r="K33" s="52"/>
      <c r="L33" s="276" t="str">
        <f>IFERROR(INDEX('G-8 Condition Look up'!$A$3:$H$135,MATCH(AV33,'G-8 Condition Look up'!$A$3:$A$135,0),MATCH(K33,'G-8 Condition Look up'!$A$3:$H$3,0)),"")</f>
        <v/>
      </c>
      <c r="M33" s="52"/>
      <c r="N33" s="295" t="str">
        <f>IF(M33="","",IF(VLOOKUP(M33,'G-3 Multipliers'!$L$3:$N$6,2,FALSE)=0,"Spatial Data Missing",VLOOKUP(M33,'G-3 Multipliers'!$L$3:$N$6,2,FALSE)))</f>
        <v/>
      </c>
      <c r="O33" s="281" t="str">
        <f>IF(M33="","",IF(VLOOKUP(M33,'G-3 Multipliers'!$L$3:$N$6,3,FALSE)=0,"Spatial Data Missing ▲",VLOOKUP(M33,'G-3 Multipliers'!$L$3:$N$6,3,FALSE)))</f>
        <v/>
      </c>
      <c r="P33" s="282" t="str">
        <f>(IF(G33="Yes","Bespoke compensation likely to be required",(IFERROR(VLOOKUP(AV33,'G-1 All Habitats'!$B$2:$M$135,12,FALSE),""))))</f>
        <v/>
      </c>
      <c r="Q33" s="289" t="str">
        <f>IFERROR(IF(AND(F33&lt;&gt;"",G33=""),"Confirm irreplaceable habitat status ▲",(IF(AND(E33="Individual trees",T33&gt;0,G33="Yes"),"Error - you cannot enhance irreplaceable individual trees ▲",(IF(AND(U33="Irreplaceable habitat - no units generated ⚠",(S33+T33)&lt;H33,OR(Y33="No",Y33="")),"Any Loss Unacceptable ⚠",(IF(U33="Irreplaceable habitat - no units generated ⚠",T33*J33*L33*O33,IF(AND(P33='G-1 All Habitats'!$X$9,AC33&gt;0,S33&lt;=0,T33&lt;=0,OR(Y33="No",Y33="")),"Any Loss Unacceptable ⚠",IF(AND(P33='G-1 All Habitats'!$X$9,AC33&gt;0,S33&lt;=0,T33&lt;=0,Y33="Yes"),0,(IF(AND(P33='G-1 All Habitats'!$X$9,(S33+T33)&lt;H33,OR(Y33="No",Y33="")),"Any Loss Unacceptable ⚠",(IF(P33="","",IF(AND(P33='G-1 All Habitats'!$X$9,T33&gt;0),U33+V33,IF(AND(P33='G-1 All Habitats'!$X$9,S33&gt;0),U33+V33,H33*J33*L33*O33))))))))))))))),"Check Data ▲")</f>
        <v/>
      </c>
      <c r="R33" s="38"/>
      <c r="S33" s="52"/>
      <c r="T33" s="53"/>
      <c r="U33" s="287" t="str">
        <f t="shared" si="0"/>
        <v/>
      </c>
      <c r="V33" s="287" t="str">
        <f t="shared" si="3"/>
        <v/>
      </c>
      <c r="W33" s="287" t="str">
        <f t="shared" si="4"/>
        <v/>
      </c>
      <c r="X33" s="291" t="str">
        <f>IFERROR(IF(H33="","",IF(H33-S33-T33=0&lt;0,"Error in Areas ▲",IF(S33+T33&gt;H33,"Error in Areas ▲",IF(AND(P33='G-1 All Habitats'!$X$9,Y33="Yes"),"Alternative Compensation ✓",IF(AND(P33='G-1 All Habitats'!$X$3,Y33="Yes"),"Alternative Compensation ✓",IF(AND(Y33="Pending",P33='G-1 All Habitats'!$X$3),"Bespoke compensation must be agreed ▲",IF(AND(Y33="Pending",P33='G-1 All Habitats'!$X$9),"Bespoke compensation must be agreed  ▲",IF(W33=0,0,IF(P33='G-1 All Habitats'!$X$9,"Any Loss Unacceptable ▲",Q33-U33-V33))))))))),"Check Data ▲")</f>
        <v/>
      </c>
      <c r="Y33" s="53"/>
      <c r="Z33" s="105"/>
      <c r="AA33" s="233"/>
      <c r="AB33" s="104"/>
      <c r="AC33" s="512" t="str">
        <f>IF(OR(P33="",Y33="Yes"),"",IF(P33='G-1 All Habitats'!$X$9,H33-S33-T33,"None"))</f>
        <v/>
      </c>
      <c r="AD33" s="513" t="str">
        <f>IF(P33="","",IF(P33='G-1 All Habitats'!$X$9,AC33*J33*L33*O33,"None"))</f>
        <v/>
      </c>
      <c r="AE33" s="35" t="str">
        <f t="shared" si="1"/>
        <v/>
      </c>
      <c r="AF33" s="40" t="str">
        <f t="shared" si="5"/>
        <v/>
      </c>
      <c r="AG33" s="40" t="str">
        <f t="shared" si="2"/>
        <v/>
      </c>
      <c r="AH33" s="40" t="str">
        <f>IF(I33="","",IF(#REF!&gt;0,TRUE,FALSE))</f>
        <v/>
      </c>
      <c r="AI33" s="40">
        <v>23</v>
      </c>
      <c r="AJ33" s="40"/>
      <c r="AK33" s="40" t="str">
        <f t="array" ref="AK33">IFERROR(INDEX($AI$11:$AI$259,MATCH(0,IF(TRUE=$AF$11:$AF$259,COUNTIF($AK$10:$AK32,$AI$11:$AI$259),""),0)),"")</f>
        <v/>
      </c>
      <c r="AL33" s="40" t="str">
        <f t="array" ref="AL33">IFERROR(INDEX($AI$11:$AI$259,MATCH(0,IF(TRUE=$AG$11:$AG$259,COUNTIF($AL$10:$AL32,$AI$11:$AI$259),""),0)),"")</f>
        <v/>
      </c>
      <c r="AM33" s="40" t="str">
        <f t="array" ref="AM33">IFERROR(INDEX($AI$11:$AI$259,MATCH(0,IF(TRUE=$AH$11:$AH$259,COUNTIF($AM$10:$AM32,$AI$11:$AI$259),""),0)),"")</f>
        <v/>
      </c>
      <c r="AN33" s="40"/>
      <c r="AQ33" s="35">
        <f t="shared" si="6"/>
        <v>0</v>
      </c>
      <c r="AT33" s="885" t="str">
        <f>IF(AND(OR(Y33="Yes",Y33="Pending"),P33='G-1 All Habitats'!$X$3),Q33-U33-V33,"")</f>
        <v/>
      </c>
      <c r="AV33" s="542" t="str">
        <f>IFERROR(INDEX('G-1 All Habitats'!$B$3:$B$135,MATCH(F33,'G-1 All Habitats'!$A$3:$A$135,0)),"")</f>
        <v/>
      </c>
      <c r="AW33" s="35" t="str">
        <f>IF(AV33="","",VLOOKUP(AV33,'G-1 All Habitats'!$B$1:$T$135,19,FALSE))</f>
        <v/>
      </c>
    </row>
    <row r="34" spans="1:49" ht="14.5" hidden="1" thickBot="1">
      <c r="A34" s="35" t="str">
        <f>IFERROR(INDEX('G-1 All Habitats'!$AG$3:$AG$17,MATCH(E34,'G-1 All Habitats'!$AF$3:$AF$17,0)),"")</f>
        <v/>
      </c>
      <c r="B34" s="35" t="str">
        <f>IFERROR(INDEX('G-8 Condition Look up'!$I$4:$I$135,MATCH(AV34,'G-8 Condition Look up'!$A$4:$A$135,0)),"")</f>
        <v/>
      </c>
      <c r="D34" s="225">
        <v>24</v>
      </c>
      <c r="E34" s="211"/>
      <c r="F34" s="57"/>
      <c r="G34" s="263"/>
      <c r="H34" s="51"/>
      <c r="I34" s="275" t="str">
        <f>IF(AV34="","",IF(AND(AW34="Yes",G34="No"),"Irreplaceable habitat ▲",IF(AND(AW34="No",G34="Yes"),"Cannot be Irreplaceable ▲",VLOOKUP(AV34,'G-1 All Habitats'!$B$2:$M$135,10,FALSE))))</f>
        <v/>
      </c>
      <c r="J34" s="276" t="str">
        <f>IFERROR(VLOOKUP(I34,'G-1 All Habitats'!$V$3:$W$7,2,FALSE),"")</f>
        <v/>
      </c>
      <c r="K34" s="52"/>
      <c r="L34" s="276" t="str">
        <f>IFERROR(INDEX('G-8 Condition Look up'!$A$3:$H$135,MATCH(AV34,'G-8 Condition Look up'!$A$3:$A$135,0),MATCH(K34,'G-8 Condition Look up'!$A$3:$H$3,0)),"")</f>
        <v/>
      </c>
      <c r="M34" s="52"/>
      <c r="N34" s="295" t="str">
        <f>IF(M34="","",IF(VLOOKUP(M34,'G-3 Multipliers'!$L$3:$N$6,2,FALSE)=0,"Spatial Data Missing",VLOOKUP(M34,'G-3 Multipliers'!$L$3:$N$6,2,FALSE)))</f>
        <v/>
      </c>
      <c r="O34" s="281" t="str">
        <f>IF(M34="","",IF(VLOOKUP(M34,'G-3 Multipliers'!$L$3:$N$6,3,FALSE)=0,"Spatial Data Missing ▲",VLOOKUP(M34,'G-3 Multipliers'!$L$3:$N$6,3,FALSE)))</f>
        <v/>
      </c>
      <c r="P34" s="282" t="str">
        <f>(IF(G34="Yes","Bespoke compensation likely to be required",(IFERROR(VLOOKUP(AV34,'G-1 All Habitats'!$B$2:$M$135,12,FALSE),""))))</f>
        <v/>
      </c>
      <c r="Q34" s="289" t="str">
        <f>IFERROR(IF(AND(F34&lt;&gt;"",G34=""),"Confirm irreplaceable habitat status ▲",(IF(AND(E34="Individual trees",T34&gt;0,G34="Yes"),"Error - you cannot enhance irreplaceable individual trees ▲",(IF(AND(U34="Irreplaceable habitat - no units generated ⚠",(S34+T34)&lt;H34,OR(Y34="No",Y34="")),"Any Loss Unacceptable ⚠",(IF(U34="Irreplaceable habitat - no units generated ⚠",T34*J34*L34*O34,IF(AND(P34='G-1 All Habitats'!$X$9,AC34&gt;0,S34&lt;=0,T34&lt;=0,OR(Y34="No",Y34="")),"Any Loss Unacceptable ⚠",IF(AND(P34='G-1 All Habitats'!$X$9,AC34&gt;0,S34&lt;=0,T34&lt;=0,Y34="Yes"),0,(IF(AND(P34='G-1 All Habitats'!$X$9,(S34+T34)&lt;H34,OR(Y34="No",Y34="")),"Any Loss Unacceptable ⚠",(IF(P34="","",IF(AND(P34='G-1 All Habitats'!$X$9,T34&gt;0),U34+V34,IF(AND(P34='G-1 All Habitats'!$X$9,S34&gt;0),U34+V34,H34*J34*L34*O34))))))))))))))),"Check Data ▲")</f>
        <v/>
      </c>
      <c r="R34" s="38"/>
      <c r="S34" s="52"/>
      <c r="T34" s="53"/>
      <c r="U34" s="287" t="str">
        <f t="shared" si="0"/>
        <v/>
      </c>
      <c r="V34" s="287" t="str">
        <f t="shared" si="3"/>
        <v/>
      </c>
      <c r="W34" s="287" t="str">
        <f t="shared" si="4"/>
        <v/>
      </c>
      <c r="X34" s="291" t="str">
        <f>IFERROR(IF(H34="","",IF(H34-S34-T34=0&lt;0,"Error in Areas ▲",IF(S34+T34&gt;H34,"Error in Areas ▲",IF(AND(P34='G-1 All Habitats'!$X$9,Y34="Yes"),"Alternative Compensation ✓",IF(AND(P34='G-1 All Habitats'!$X$3,Y34="Yes"),"Alternative Compensation ✓",IF(AND(Y34="Pending",P34='G-1 All Habitats'!$X$3),"Bespoke compensation must be agreed ▲",IF(AND(Y34="Pending",P34='G-1 All Habitats'!$X$9),"Bespoke compensation must be agreed  ▲",IF(W34=0,0,IF(P34='G-1 All Habitats'!$X$9,"Any Loss Unacceptable ▲",Q34-U34-V34))))))))),"Check Data ▲")</f>
        <v/>
      </c>
      <c r="Y34" s="53"/>
      <c r="Z34" s="105"/>
      <c r="AA34" s="233"/>
      <c r="AB34" s="104"/>
      <c r="AC34" s="512" t="str">
        <f>IF(OR(P34="",Y34="Yes"),"",IF(P34='G-1 All Habitats'!$X$9,H34-S34-T34,"None"))</f>
        <v/>
      </c>
      <c r="AD34" s="513" t="str">
        <f>IF(P34="","",IF(P34='G-1 All Habitats'!$X$9,AC34*J34*L34*O34,"None"))</f>
        <v/>
      </c>
      <c r="AE34" s="35" t="str">
        <f t="shared" si="1"/>
        <v/>
      </c>
      <c r="AF34" s="40" t="str">
        <f t="shared" si="5"/>
        <v/>
      </c>
      <c r="AG34" s="40" t="str">
        <f t="shared" si="2"/>
        <v/>
      </c>
      <c r="AH34" s="40" t="str">
        <f>IF(I34="","",IF(#REF!&gt;0,TRUE,FALSE))</f>
        <v/>
      </c>
      <c r="AI34" s="40">
        <v>24</v>
      </c>
      <c r="AJ34" s="40"/>
      <c r="AK34" s="40" t="str">
        <f t="array" ref="AK34">IFERROR(INDEX($AI$11:$AI$259,MATCH(0,IF(TRUE=$AF$11:$AF$259,COUNTIF($AK$10:$AK33,$AI$11:$AI$259),""),0)),"")</f>
        <v/>
      </c>
      <c r="AL34" s="40" t="str">
        <f t="array" ref="AL34">IFERROR(INDEX($AI$11:$AI$259,MATCH(0,IF(TRUE=$AG$11:$AG$259,COUNTIF($AL$10:$AL33,$AI$11:$AI$259),""),0)),"")</f>
        <v/>
      </c>
      <c r="AM34" s="40" t="str">
        <f t="array" ref="AM34">IFERROR(INDEX($AI$11:$AI$259,MATCH(0,IF(TRUE=$AH$11:$AH$259,COUNTIF($AM$10:$AM33,$AI$11:$AI$259),""),0)),"")</f>
        <v/>
      </c>
      <c r="AN34" s="40"/>
      <c r="AQ34" s="35">
        <f t="shared" si="6"/>
        <v>0</v>
      </c>
      <c r="AT34" s="885" t="str">
        <f>IF(AND(OR(Y34="Yes",Y34="Pending"),P34='G-1 All Habitats'!$X$3),Q34-U34-V34,"")</f>
        <v/>
      </c>
      <c r="AV34" s="542" t="str">
        <f>IFERROR(INDEX('G-1 All Habitats'!$B$3:$B$135,MATCH(F34,'G-1 All Habitats'!$A$3:$A$135,0)),"")</f>
        <v/>
      </c>
      <c r="AW34" s="35" t="str">
        <f>IF(AV34="","",VLOOKUP(AV34,'G-1 All Habitats'!$B$1:$T$135,19,FALSE))</f>
        <v/>
      </c>
    </row>
    <row r="35" spans="1:49" ht="14.5" hidden="1" thickBot="1">
      <c r="A35" s="35" t="str">
        <f>IFERROR(INDEX('G-1 All Habitats'!$AG$3:$AG$17,MATCH(E35,'G-1 All Habitats'!$AF$3:$AF$17,0)),"")</f>
        <v/>
      </c>
      <c r="B35" s="35" t="str">
        <f>IFERROR(INDEX('G-8 Condition Look up'!$I$4:$I$135,MATCH(AV35,'G-8 Condition Look up'!$A$4:$A$135,0)),"")</f>
        <v/>
      </c>
      <c r="D35" s="225">
        <v>25</v>
      </c>
      <c r="E35" s="211"/>
      <c r="F35" s="57"/>
      <c r="G35" s="263"/>
      <c r="H35" s="51"/>
      <c r="I35" s="275" t="str">
        <f>IF(AV35="","",IF(AND(AW35="Yes",G35="No"),"Irreplaceable habitat ▲",IF(AND(AW35="No",G35="Yes"),"Cannot be Irreplaceable ▲",VLOOKUP(AV35,'G-1 All Habitats'!$B$2:$M$135,10,FALSE))))</f>
        <v/>
      </c>
      <c r="J35" s="276" t="str">
        <f>IFERROR(VLOOKUP(I35,'G-1 All Habitats'!$V$3:$W$7,2,FALSE),"")</f>
        <v/>
      </c>
      <c r="K35" s="52"/>
      <c r="L35" s="276" t="str">
        <f>IFERROR(INDEX('G-8 Condition Look up'!$A$3:$H$135,MATCH(AV35,'G-8 Condition Look up'!$A$3:$A$135,0),MATCH(K35,'G-8 Condition Look up'!$A$3:$H$3,0)),"")</f>
        <v/>
      </c>
      <c r="M35" s="52"/>
      <c r="N35" s="295" t="str">
        <f>IF(M35="","",IF(VLOOKUP(M35,'G-3 Multipliers'!$L$3:$N$6,2,FALSE)=0,"Spatial Data Missing",VLOOKUP(M35,'G-3 Multipliers'!$L$3:$N$6,2,FALSE)))</f>
        <v/>
      </c>
      <c r="O35" s="281" t="str">
        <f>IF(M35="","",IF(VLOOKUP(M35,'G-3 Multipliers'!$L$3:$N$6,3,FALSE)=0,"Spatial Data Missing ▲",VLOOKUP(M35,'G-3 Multipliers'!$L$3:$N$6,3,FALSE)))</f>
        <v/>
      </c>
      <c r="P35" s="282" t="str">
        <f>(IF(G35="Yes","Bespoke compensation likely to be required",(IFERROR(VLOOKUP(AV35,'G-1 All Habitats'!$B$2:$M$135,12,FALSE),""))))</f>
        <v/>
      </c>
      <c r="Q35" s="289" t="str">
        <f>IFERROR(IF(AND(F35&lt;&gt;"",G35=""),"Confirm irreplaceable habitat status ▲",(IF(AND(E35="Individual trees",T35&gt;0,G35="Yes"),"Error - you cannot enhance irreplaceable individual trees ▲",(IF(AND(U35="Irreplaceable habitat - no units generated ⚠",(S35+T35)&lt;H35,OR(Y35="No",Y35="")),"Any Loss Unacceptable ⚠",(IF(U35="Irreplaceable habitat - no units generated ⚠",T35*J35*L35*O35,IF(AND(P35='G-1 All Habitats'!$X$9,AC35&gt;0,S35&lt;=0,T35&lt;=0,OR(Y35="No",Y35="")),"Any Loss Unacceptable ⚠",IF(AND(P35='G-1 All Habitats'!$X$9,AC35&gt;0,S35&lt;=0,T35&lt;=0,Y35="Yes"),0,(IF(AND(P35='G-1 All Habitats'!$X$9,(S35+T35)&lt;H35,OR(Y35="No",Y35="")),"Any Loss Unacceptable ⚠",(IF(P35="","",IF(AND(P35='G-1 All Habitats'!$X$9,T35&gt;0),U35+V35,IF(AND(P35='G-1 All Habitats'!$X$9,S35&gt;0),U35+V35,H35*J35*L35*O35))))))))))))))),"Check Data ▲")</f>
        <v/>
      </c>
      <c r="R35" s="38"/>
      <c r="S35" s="52"/>
      <c r="T35" s="53"/>
      <c r="U35" s="287" t="str">
        <f t="shared" si="0"/>
        <v/>
      </c>
      <c r="V35" s="287" t="str">
        <f t="shared" si="3"/>
        <v/>
      </c>
      <c r="W35" s="287" t="str">
        <f t="shared" si="4"/>
        <v/>
      </c>
      <c r="X35" s="291" t="str">
        <f>IFERROR(IF(H35="","",IF(H35-S35-T35=0&lt;0,"Error in Areas ▲",IF(S35+T35&gt;H35,"Error in Areas ▲",IF(AND(P35='G-1 All Habitats'!$X$9,Y35="Yes"),"Alternative Compensation ✓",IF(AND(P35='G-1 All Habitats'!$X$3,Y35="Yes"),"Alternative Compensation ✓",IF(AND(Y35="Pending",P35='G-1 All Habitats'!$X$3),"Bespoke compensation must be agreed ▲",IF(AND(Y35="Pending",P35='G-1 All Habitats'!$X$9),"Bespoke compensation must be agreed  ▲",IF(W35=0,0,IF(P35='G-1 All Habitats'!$X$9,"Any Loss Unacceptable ▲",Q35-U35-V35))))))))),"Check Data ▲")</f>
        <v/>
      </c>
      <c r="Y35" s="53"/>
      <c r="Z35" s="105"/>
      <c r="AA35" s="233"/>
      <c r="AB35" s="104"/>
      <c r="AC35" s="512" t="str">
        <f>IF(OR(P35="",Y35="Yes"),"",IF(P35='G-1 All Habitats'!$X$9,H35-S35-T35,"None"))</f>
        <v/>
      </c>
      <c r="AD35" s="513" t="str">
        <f>IF(P35="","",IF(P35='G-1 All Habitats'!$X$9,AC35*J35*L35*O35,"None"))</f>
        <v/>
      </c>
      <c r="AE35" s="35" t="str">
        <f t="shared" si="1"/>
        <v/>
      </c>
      <c r="AF35" s="40" t="str">
        <f t="shared" si="5"/>
        <v/>
      </c>
      <c r="AG35" s="40" t="str">
        <f t="shared" si="2"/>
        <v/>
      </c>
      <c r="AH35" s="40" t="str">
        <f>IF(I35="","",IF(#REF!&gt;0,TRUE,FALSE))</f>
        <v/>
      </c>
      <c r="AI35" s="40">
        <v>25</v>
      </c>
      <c r="AJ35" s="40"/>
      <c r="AK35" s="40" t="str">
        <f t="array" ref="AK35">IFERROR(INDEX($AI$11:$AI$259,MATCH(0,IF(TRUE=$AF$11:$AF$259,COUNTIF($AK$10:$AK34,$AI$11:$AI$259),""),0)),"")</f>
        <v/>
      </c>
      <c r="AL35" s="40" t="str">
        <f t="array" ref="AL35">IFERROR(INDEX($AI$11:$AI$259,MATCH(0,IF(TRUE=$AG$11:$AG$259,COUNTIF($AL$10:$AL34,$AI$11:$AI$259),""),0)),"")</f>
        <v/>
      </c>
      <c r="AM35" s="40" t="str">
        <f t="array" ref="AM35">IFERROR(INDEX($AI$11:$AI$259,MATCH(0,IF(TRUE=$AH$11:$AH$259,COUNTIF($AM$10:$AM34,$AI$11:$AI$259),""),0)),"")</f>
        <v/>
      </c>
      <c r="AN35" s="40"/>
      <c r="AQ35" s="35">
        <f t="shared" si="6"/>
        <v>0</v>
      </c>
      <c r="AT35" s="885" t="str">
        <f>IF(AND(OR(Y35="Yes",Y35="Pending"),P35='G-1 All Habitats'!$X$3),Q35-U35-V35,"")</f>
        <v/>
      </c>
      <c r="AV35" s="542" t="str">
        <f>IFERROR(INDEX('G-1 All Habitats'!$B$3:$B$135,MATCH(F35,'G-1 All Habitats'!$A$3:$A$135,0)),"")</f>
        <v/>
      </c>
      <c r="AW35" s="35" t="str">
        <f>IF(AV35="","",VLOOKUP(AV35,'G-1 All Habitats'!$B$1:$T$135,19,FALSE))</f>
        <v/>
      </c>
    </row>
    <row r="36" spans="1:49" ht="14.5" hidden="1" thickBot="1">
      <c r="A36" s="35" t="str">
        <f>IFERROR(INDEX('G-1 All Habitats'!$AG$3:$AG$17,MATCH(E36,'G-1 All Habitats'!$AF$3:$AF$17,0)),"")</f>
        <v/>
      </c>
      <c r="B36" s="35" t="str">
        <f>IFERROR(INDEX('G-8 Condition Look up'!$I$4:$I$135,MATCH(AV36,'G-8 Condition Look up'!$A$4:$A$135,0)),"")</f>
        <v/>
      </c>
      <c r="D36" s="225">
        <v>26</v>
      </c>
      <c r="E36" s="211"/>
      <c r="F36" s="57"/>
      <c r="G36" s="263"/>
      <c r="H36" s="51"/>
      <c r="I36" s="275" t="str">
        <f>IF(AV36="","",IF(AND(AW36="Yes",G36="No"),"Irreplaceable habitat ▲",IF(AND(AW36="No",G36="Yes"),"Cannot be Irreplaceable ▲",VLOOKUP(AV36,'G-1 All Habitats'!$B$2:$M$135,10,FALSE))))</f>
        <v/>
      </c>
      <c r="J36" s="276" t="str">
        <f>IFERROR(VLOOKUP(I36,'G-1 All Habitats'!$V$3:$W$7,2,FALSE),"")</f>
        <v/>
      </c>
      <c r="K36" s="52"/>
      <c r="L36" s="276" t="str">
        <f>IFERROR(INDEX('G-8 Condition Look up'!$A$3:$H$135,MATCH(AV36,'G-8 Condition Look up'!$A$3:$A$135,0),MATCH(K36,'G-8 Condition Look up'!$A$3:$H$3,0)),"")</f>
        <v/>
      </c>
      <c r="M36" s="52"/>
      <c r="N36" s="295" t="str">
        <f>IF(M36="","",IF(VLOOKUP(M36,'G-3 Multipliers'!$L$3:$N$6,2,FALSE)=0,"Spatial Data Missing",VLOOKUP(M36,'G-3 Multipliers'!$L$3:$N$6,2,FALSE)))</f>
        <v/>
      </c>
      <c r="O36" s="281" t="str">
        <f>IF(M36="","",IF(VLOOKUP(M36,'G-3 Multipliers'!$L$3:$N$6,3,FALSE)=0,"Spatial Data Missing ▲",VLOOKUP(M36,'G-3 Multipliers'!$L$3:$N$6,3,FALSE)))</f>
        <v/>
      </c>
      <c r="P36" s="282" t="str">
        <f>(IF(G36="Yes","Bespoke compensation likely to be required",(IFERROR(VLOOKUP(AV36,'G-1 All Habitats'!$B$2:$M$135,12,FALSE),""))))</f>
        <v/>
      </c>
      <c r="Q36" s="289" t="str">
        <f>IFERROR(IF(AND(F36&lt;&gt;"",G36=""),"Confirm irreplaceable habitat status ▲",(IF(AND(E36="Individual trees",T36&gt;0,G36="Yes"),"Error - you cannot enhance irreplaceable individual trees ▲",(IF(AND(U36="Irreplaceable habitat - no units generated ⚠",(S36+T36)&lt;H36,OR(Y36="No",Y36="")),"Any Loss Unacceptable ⚠",(IF(U36="Irreplaceable habitat - no units generated ⚠",T36*J36*L36*O36,IF(AND(P36='G-1 All Habitats'!$X$9,AC36&gt;0,S36&lt;=0,T36&lt;=0,OR(Y36="No",Y36="")),"Any Loss Unacceptable ⚠",IF(AND(P36='G-1 All Habitats'!$X$9,AC36&gt;0,S36&lt;=0,T36&lt;=0,Y36="Yes"),0,(IF(AND(P36='G-1 All Habitats'!$X$9,(S36+T36)&lt;H36,OR(Y36="No",Y36="")),"Any Loss Unacceptable ⚠",(IF(P36="","",IF(AND(P36='G-1 All Habitats'!$X$9,T36&gt;0),U36+V36,IF(AND(P36='G-1 All Habitats'!$X$9,S36&gt;0),U36+V36,H36*J36*L36*O36))))))))))))))),"Check Data ▲")</f>
        <v/>
      </c>
      <c r="R36" s="38"/>
      <c r="S36" s="52"/>
      <c r="T36" s="53"/>
      <c r="U36" s="287" t="str">
        <f t="shared" si="0"/>
        <v/>
      </c>
      <c r="V36" s="287" t="str">
        <f t="shared" si="3"/>
        <v/>
      </c>
      <c r="W36" s="287" t="str">
        <f t="shared" si="4"/>
        <v/>
      </c>
      <c r="X36" s="291" t="str">
        <f>IFERROR(IF(H36="","",IF(H36-S36-T36=0&lt;0,"Error in Areas ▲",IF(S36+T36&gt;H36,"Error in Areas ▲",IF(AND(P36='G-1 All Habitats'!$X$9,Y36="Yes"),"Alternative Compensation ✓",IF(AND(P36='G-1 All Habitats'!$X$3,Y36="Yes"),"Alternative Compensation ✓",IF(AND(Y36="Pending",P36='G-1 All Habitats'!$X$3),"Bespoke compensation must be agreed ▲",IF(AND(Y36="Pending",P36='G-1 All Habitats'!$X$9),"Bespoke compensation must be agreed  ▲",IF(W36=0,0,IF(P36='G-1 All Habitats'!$X$9,"Any Loss Unacceptable ▲",Q36-U36-V36))))))))),"Check Data ▲")</f>
        <v/>
      </c>
      <c r="Y36" s="53"/>
      <c r="Z36" s="105"/>
      <c r="AA36" s="233"/>
      <c r="AB36" s="104"/>
      <c r="AC36" s="512" t="str">
        <f>IF(OR(P36="",Y36="Yes"),"",IF(P36='G-1 All Habitats'!$X$9,H36-S36-T36,"None"))</f>
        <v/>
      </c>
      <c r="AD36" s="513" t="str">
        <f>IF(P36="","",IF(P36='G-1 All Habitats'!$X$9,AC36*J36*L36*O36,"None"))</f>
        <v/>
      </c>
      <c r="AE36" s="35" t="str">
        <f t="shared" si="1"/>
        <v/>
      </c>
      <c r="AF36" s="40" t="str">
        <f t="shared" si="5"/>
        <v/>
      </c>
      <c r="AG36" s="40" t="str">
        <f t="shared" si="2"/>
        <v/>
      </c>
      <c r="AH36" s="40" t="str">
        <f>IF(I36="","",IF(#REF!&gt;0,TRUE,FALSE))</f>
        <v/>
      </c>
      <c r="AI36" s="40">
        <v>26</v>
      </c>
      <c r="AJ36" s="40"/>
      <c r="AK36" s="40" t="str">
        <f t="array" ref="AK36">IFERROR(INDEX($AI$11:$AI$259,MATCH(0,IF(TRUE=$AF$11:$AF$259,COUNTIF($AK$10:$AK35,$AI$11:$AI$259),""),0)),"")</f>
        <v/>
      </c>
      <c r="AL36" s="40" t="str">
        <f t="array" ref="AL36">IFERROR(INDEX($AI$11:$AI$259,MATCH(0,IF(TRUE=$AG$11:$AG$259,COUNTIF($AL$10:$AL35,$AI$11:$AI$259),""),0)),"")</f>
        <v/>
      </c>
      <c r="AM36" s="40" t="str">
        <f t="array" ref="AM36">IFERROR(INDEX($AI$11:$AI$259,MATCH(0,IF(TRUE=$AH$11:$AH$259,COUNTIF($AM$10:$AM35,$AI$11:$AI$259),""),0)),"")</f>
        <v/>
      </c>
      <c r="AN36" s="40"/>
      <c r="AQ36" s="35">
        <f t="shared" si="6"/>
        <v>0</v>
      </c>
      <c r="AT36" s="885" t="str">
        <f>IF(AND(OR(Y36="Yes",Y36="Pending"),P36='G-1 All Habitats'!$X$3),Q36-U36-V36,"")</f>
        <v/>
      </c>
      <c r="AV36" s="542" t="str">
        <f>IFERROR(INDEX('G-1 All Habitats'!$B$3:$B$135,MATCH(F36,'G-1 All Habitats'!$A$3:$A$135,0)),"")</f>
        <v/>
      </c>
      <c r="AW36" s="35" t="str">
        <f>IF(AV36="","",VLOOKUP(AV36,'G-1 All Habitats'!$B$1:$T$135,19,FALSE))</f>
        <v/>
      </c>
    </row>
    <row r="37" spans="1:49" ht="14.5" hidden="1" thickBot="1">
      <c r="A37" s="35" t="str">
        <f>IFERROR(INDEX('G-1 All Habitats'!$AG$3:$AG$17,MATCH(E37,'G-1 All Habitats'!$AF$3:$AF$17,0)),"")</f>
        <v/>
      </c>
      <c r="B37" s="35" t="str">
        <f>IFERROR(INDEX('G-8 Condition Look up'!$I$4:$I$135,MATCH(AV37,'G-8 Condition Look up'!$A$4:$A$135,0)),"")</f>
        <v/>
      </c>
      <c r="D37" s="225">
        <v>27</v>
      </c>
      <c r="E37" s="211"/>
      <c r="F37" s="57"/>
      <c r="G37" s="263"/>
      <c r="H37" s="51"/>
      <c r="I37" s="275" t="str">
        <f>IF(AV37="","",IF(AND(AW37="Yes",G37="No"),"Irreplaceable habitat ▲",IF(AND(AW37="No",G37="Yes"),"Cannot be Irreplaceable ▲",VLOOKUP(AV37,'G-1 All Habitats'!$B$2:$M$135,10,FALSE))))</f>
        <v/>
      </c>
      <c r="J37" s="276" t="str">
        <f>IFERROR(VLOOKUP(I37,'G-1 All Habitats'!$V$3:$W$7,2,FALSE),"")</f>
        <v/>
      </c>
      <c r="K37" s="52"/>
      <c r="L37" s="276" t="str">
        <f>IFERROR(INDEX('G-8 Condition Look up'!$A$3:$H$135,MATCH(AV37,'G-8 Condition Look up'!$A$3:$A$135,0),MATCH(K37,'G-8 Condition Look up'!$A$3:$H$3,0)),"")</f>
        <v/>
      </c>
      <c r="M37" s="52"/>
      <c r="N37" s="295" t="str">
        <f>IF(M37="","",IF(VLOOKUP(M37,'G-3 Multipliers'!$L$3:$N$6,2,FALSE)=0,"Spatial Data Missing",VLOOKUP(M37,'G-3 Multipliers'!$L$3:$N$6,2,FALSE)))</f>
        <v/>
      </c>
      <c r="O37" s="281" t="str">
        <f>IF(M37="","",IF(VLOOKUP(M37,'G-3 Multipliers'!$L$3:$N$6,3,FALSE)=0,"Spatial Data Missing ▲",VLOOKUP(M37,'G-3 Multipliers'!$L$3:$N$6,3,FALSE)))</f>
        <v/>
      </c>
      <c r="P37" s="282" t="str">
        <f>(IF(G37="Yes","Bespoke compensation likely to be required",(IFERROR(VLOOKUP(AV37,'G-1 All Habitats'!$B$2:$M$135,12,FALSE),""))))</f>
        <v/>
      </c>
      <c r="Q37" s="289" t="str">
        <f>IFERROR(IF(AND(F37&lt;&gt;"",G37=""),"Confirm irreplaceable habitat status ▲",(IF(AND(E37="Individual trees",T37&gt;0,G37="Yes"),"Error - you cannot enhance irreplaceable individual trees ▲",(IF(AND(U37="Irreplaceable habitat - no units generated ⚠",(S37+T37)&lt;H37,OR(Y37="No",Y37="")),"Any Loss Unacceptable ⚠",(IF(U37="Irreplaceable habitat - no units generated ⚠",T37*J37*L37*O37,IF(AND(P37='G-1 All Habitats'!$X$9,AC37&gt;0,S37&lt;=0,T37&lt;=0,OR(Y37="No",Y37="")),"Any Loss Unacceptable ⚠",IF(AND(P37='G-1 All Habitats'!$X$9,AC37&gt;0,S37&lt;=0,T37&lt;=0,Y37="Yes"),0,(IF(AND(P37='G-1 All Habitats'!$X$9,(S37+T37)&lt;H37,OR(Y37="No",Y37="")),"Any Loss Unacceptable ⚠",(IF(P37="","",IF(AND(P37='G-1 All Habitats'!$X$9,T37&gt;0),U37+V37,IF(AND(P37='G-1 All Habitats'!$X$9,S37&gt;0),U37+V37,H37*J37*L37*O37))))))))))))))),"Check Data ▲")</f>
        <v/>
      </c>
      <c r="R37" s="38"/>
      <c r="S37" s="52"/>
      <c r="T37" s="53"/>
      <c r="U37" s="287" t="str">
        <f t="shared" si="0"/>
        <v/>
      </c>
      <c r="V37" s="287" t="str">
        <f t="shared" si="3"/>
        <v/>
      </c>
      <c r="W37" s="287" t="str">
        <f t="shared" si="4"/>
        <v/>
      </c>
      <c r="X37" s="291" t="str">
        <f>IFERROR(IF(H37="","",IF(H37-S37-T37=0&lt;0,"Error in Areas ▲",IF(S37+T37&gt;H37,"Error in Areas ▲",IF(AND(P37='G-1 All Habitats'!$X$9,Y37="Yes"),"Alternative Compensation ✓",IF(AND(P37='G-1 All Habitats'!$X$3,Y37="Yes"),"Alternative Compensation ✓",IF(AND(Y37="Pending",P37='G-1 All Habitats'!$X$3),"Bespoke compensation must be agreed ▲",IF(AND(Y37="Pending",P37='G-1 All Habitats'!$X$9),"Bespoke compensation must be agreed  ▲",IF(W37=0,0,IF(P37='G-1 All Habitats'!$X$9,"Any Loss Unacceptable ▲",Q37-U37-V37))))))))),"Check Data ▲")</f>
        <v/>
      </c>
      <c r="Y37" s="53"/>
      <c r="Z37" s="105"/>
      <c r="AA37" s="233"/>
      <c r="AB37" s="104"/>
      <c r="AC37" s="512" t="str">
        <f>IF(OR(P37="",Y37="Yes"),"",IF(P37='G-1 All Habitats'!$X$9,H37-S37-T37,"None"))</f>
        <v/>
      </c>
      <c r="AD37" s="513" t="str">
        <f>IF(P37="","",IF(P37='G-1 All Habitats'!$X$9,AC37*J37*L37*O37,"None"))</f>
        <v/>
      </c>
      <c r="AE37" s="35" t="str">
        <f t="shared" si="1"/>
        <v/>
      </c>
      <c r="AF37" s="40" t="str">
        <f t="shared" si="5"/>
        <v/>
      </c>
      <c r="AG37" s="40" t="str">
        <f t="shared" si="2"/>
        <v/>
      </c>
      <c r="AH37" s="40" t="str">
        <f>IF(I37="","",IF(#REF!&gt;0,TRUE,FALSE))</f>
        <v/>
      </c>
      <c r="AI37" s="40">
        <v>27</v>
      </c>
      <c r="AJ37" s="40"/>
      <c r="AK37" s="40" t="str">
        <f t="array" ref="AK37">IFERROR(INDEX($AI$11:$AI$259,MATCH(0,IF(TRUE=$AF$11:$AF$259,COUNTIF($AK$10:$AK36,$AI$11:$AI$259),""),0)),"")</f>
        <v/>
      </c>
      <c r="AL37" s="40" t="str">
        <f t="array" ref="AL37">IFERROR(INDEX($AI$11:$AI$259,MATCH(0,IF(TRUE=$AG$11:$AG$259,COUNTIF($AL$10:$AL36,$AI$11:$AI$259),""),0)),"")</f>
        <v/>
      </c>
      <c r="AM37" s="40" t="str">
        <f t="array" ref="AM37">IFERROR(INDEX($AI$11:$AI$259,MATCH(0,IF(TRUE=$AH$11:$AH$259,COUNTIF($AM$10:$AM36,$AI$11:$AI$259),""),0)),"")</f>
        <v/>
      </c>
      <c r="AN37" s="40"/>
      <c r="AQ37" s="35">
        <f t="shared" si="6"/>
        <v>0</v>
      </c>
      <c r="AT37" s="885" t="str">
        <f>IF(AND(OR(Y37="Yes",Y37="Pending"),P37='G-1 All Habitats'!$X$3),Q37-U37-V37,"")</f>
        <v/>
      </c>
      <c r="AV37" s="542" t="str">
        <f>IFERROR(INDEX('G-1 All Habitats'!$B$3:$B$135,MATCH(F37,'G-1 All Habitats'!$A$3:$A$135,0)),"")</f>
        <v/>
      </c>
      <c r="AW37" s="35" t="str">
        <f>IF(AV37="","",VLOOKUP(AV37,'G-1 All Habitats'!$B$1:$T$135,19,FALSE))</f>
        <v/>
      </c>
    </row>
    <row r="38" spans="1:49" ht="14.5" hidden="1" thickBot="1">
      <c r="A38" s="35" t="str">
        <f>IFERROR(INDEX('G-1 All Habitats'!$AG$3:$AG$17,MATCH(E38,'G-1 All Habitats'!$AF$3:$AF$17,0)),"")</f>
        <v/>
      </c>
      <c r="B38" s="35" t="str">
        <f>IFERROR(INDEX('G-8 Condition Look up'!$I$4:$I$135,MATCH(AV38,'G-8 Condition Look up'!$A$4:$A$135,0)),"")</f>
        <v/>
      </c>
      <c r="D38" s="225">
        <v>28</v>
      </c>
      <c r="E38" s="211"/>
      <c r="F38" s="57"/>
      <c r="G38" s="263"/>
      <c r="H38" s="51"/>
      <c r="I38" s="275" t="str">
        <f>IF(AV38="","",IF(AND(AW38="Yes",G38="No"),"Irreplaceable habitat ▲",IF(AND(AW38="No",G38="Yes"),"Cannot be Irreplaceable ▲",VLOOKUP(AV38,'G-1 All Habitats'!$B$2:$M$135,10,FALSE))))</f>
        <v/>
      </c>
      <c r="J38" s="276" t="str">
        <f>IFERROR(VLOOKUP(I38,'G-1 All Habitats'!$V$3:$W$7,2,FALSE),"")</f>
        <v/>
      </c>
      <c r="K38" s="52"/>
      <c r="L38" s="276" t="str">
        <f>IFERROR(INDEX('G-8 Condition Look up'!$A$3:$H$135,MATCH(AV38,'G-8 Condition Look up'!$A$3:$A$135,0),MATCH(K38,'G-8 Condition Look up'!$A$3:$H$3,0)),"")</f>
        <v/>
      </c>
      <c r="M38" s="52"/>
      <c r="N38" s="295" t="str">
        <f>IF(M38="","",IF(VLOOKUP(M38,'G-3 Multipliers'!$L$3:$N$6,2,FALSE)=0,"Spatial Data Missing",VLOOKUP(M38,'G-3 Multipliers'!$L$3:$N$6,2,FALSE)))</f>
        <v/>
      </c>
      <c r="O38" s="281" t="str">
        <f>IF(M38="","",IF(VLOOKUP(M38,'G-3 Multipliers'!$L$3:$N$6,3,FALSE)=0,"Spatial Data Missing ▲",VLOOKUP(M38,'G-3 Multipliers'!$L$3:$N$6,3,FALSE)))</f>
        <v/>
      </c>
      <c r="P38" s="282" t="str">
        <f>(IF(G38="Yes","Bespoke compensation likely to be required",(IFERROR(VLOOKUP(AV38,'G-1 All Habitats'!$B$2:$M$135,12,FALSE),""))))</f>
        <v/>
      </c>
      <c r="Q38" s="289" t="str">
        <f>IFERROR(IF(AND(F38&lt;&gt;"",G38=""),"Confirm irreplaceable habitat status ▲",(IF(AND(E38="Individual trees",T38&gt;0,G38="Yes"),"Error - you cannot enhance irreplaceable individual trees ▲",(IF(AND(U38="Irreplaceable habitat - no units generated ⚠",(S38+T38)&lt;H38,OR(Y38="No",Y38="")),"Any Loss Unacceptable ⚠",(IF(U38="Irreplaceable habitat - no units generated ⚠",T38*J38*L38*O38,IF(AND(P38='G-1 All Habitats'!$X$9,AC38&gt;0,S38&lt;=0,T38&lt;=0,OR(Y38="No",Y38="")),"Any Loss Unacceptable ⚠",IF(AND(P38='G-1 All Habitats'!$X$9,AC38&gt;0,S38&lt;=0,T38&lt;=0,Y38="Yes"),0,(IF(AND(P38='G-1 All Habitats'!$X$9,(S38+T38)&lt;H38,OR(Y38="No",Y38="")),"Any Loss Unacceptable ⚠",(IF(P38="","",IF(AND(P38='G-1 All Habitats'!$X$9,T38&gt;0),U38+V38,IF(AND(P38='G-1 All Habitats'!$X$9,S38&gt;0),U38+V38,H38*J38*L38*O38))))))))))))))),"Check Data ▲")</f>
        <v/>
      </c>
      <c r="R38" s="38"/>
      <c r="S38" s="52"/>
      <c r="T38" s="53"/>
      <c r="U38" s="287" t="str">
        <f t="shared" si="0"/>
        <v/>
      </c>
      <c r="V38" s="287" t="str">
        <f t="shared" si="3"/>
        <v/>
      </c>
      <c r="W38" s="287" t="str">
        <f t="shared" si="4"/>
        <v/>
      </c>
      <c r="X38" s="291" t="str">
        <f>IFERROR(IF(H38="","",IF(H38-S38-T38=0&lt;0,"Error in Areas ▲",IF(S38+T38&gt;H38,"Error in Areas ▲",IF(AND(P38='G-1 All Habitats'!$X$9,Y38="Yes"),"Alternative Compensation ✓",IF(AND(P38='G-1 All Habitats'!$X$3,Y38="Yes"),"Alternative Compensation ✓",IF(AND(Y38="Pending",P38='G-1 All Habitats'!$X$3),"Bespoke compensation must be agreed ▲",IF(AND(Y38="Pending",P38='G-1 All Habitats'!$X$9),"Bespoke compensation must be agreed  ▲",IF(W38=0,0,IF(P38='G-1 All Habitats'!$X$9,"Any Loss Unacceptable ▲",Q38-U38-V38))))))))),"Check Data ▲")</f>
        <v/>
      </c>
      <c r="Y38" s="53"/>
      <c r="Z38" s="105"/>
      <c r="AA38" s="233"/>
      <c r="AB38" s="104"/>
      <c r="AC38" s="512" t="str">
        <f>IF(OR(P38="",Y38="Yes"),"",IF(P38='G-1 All Habitats'!$X$9,H38-S38-T38,"None"))</f>
        <v/>
      </c>
      <c r="AD38" s="513" t="str">
        <f>IF(P38="","",IF(P38='G-1 All Habitats'!$X$9,AC38*J38*L38*O38,"None"))</f>
        <v/>
      </c>
      <c r="AE38" s="35" t="str">
        <f t="shared" si="1"/>
        <v/>
      </c>
      <c r="AF38" s="40" t="str">
        <f t="shared" si="5"/>
        <v/>
      </c>
      <c r="AG38" s="40" t="str">
        <f t="shared" si="2"/>
        <v/>
      </c>
      <c r="AH38" s="40" t="str">
        <f>IF(I38="","",IF(#REF!&gt;0,TRUE,FALSE))</f>
        <v/>
      </c>
      <c r="AI38" s="40">
        <v>28</v>
      </c>
      <c r="AJ38" s="40"/>
      <c r="AK38" s="40" t="str">
        <f t="array" ref="AK38">IFERROR(INDEX($AI$11:$AI$259,MATCH(0,IF(TRUE=$AF$11:$AF$259,COUNTIF($AK$10:$AK37,$AI$11:$AI$259),""),0)),"")</f>
        <v/>
      </c>
      <c r="AL38" s="40" t="str">
        <f t="array" ref="AL38">IFERROR(INDEX($AI$11:$AI$259,MATCH(0,IF(TRUE=$AG$11:$AG$259,COUNTIF($AL$10:$AL37,$AI$11:$AI$259),""),0)),"")</f>
        <v/>
      </c>
      <c r="AM38" s="40" t="str">
        <f t="array" ref="AM38">IFERROR(INDEX($AI$11:$AI$259,MATCH(0,IF(TRUE=$AH$11:$AH$259,COUNTIF($AM$10:$AM37,$AI$11:$AI$259),""),0)),"")</f>
        <v/>
      </c>
      <c r="AN38" s="40"/>
      <c r="AQ38" s="35">
        <f t="shared" si="6"/>
        <v>0</v>
      </c>
      <c r="AT38" s="885" t="str">
        <f>IF(AND(OR(Y38="Yes",Y38="Pending"),P38='G-1 All Habitats'!$X$3),Q38-U38-V38,"")</f>
        <v/>
      </c>
      <c r="AV38" s="542" t="str">
        <f>IFERROR(INDEX('G-1 All Habitats'!$B$3:$B$135,MATCH(F38,'G-1 All Habitats'!$A$3:$A$135,0)),"")</f>
        <v/>
      </c>
      <c r="AW38" s="35" t="str">
        <f>IF(AV38="","",VLOOKUP(AV38,'G-1 All Habitats'!$B$1:$T$135,19,FALSE))</f>
        <v/>
      </c>
    </row>
    <row r="39" spans="1:49" ht="14.5" hidden="1" thickBot="1">
      <c r="A39" s="35" t="str">
        <f>IFERROR(INDEX('G-1 All Habitats'!$AG$3:$AG$17,MATCH(E39,'G-1 All Habitats'!$AF$3:$AF$17,0)),"")</f>
        <v/>
      </c>
      <c r="B39" s="35" t="str">
        <f>IFERROR(INDEX('G-8 Condition Look up'!$I$4:$I$135,MATCH(AV39,'G-8 Condition Look up'!$A$4:$A$135,0)),"")</f>
        <v/>
      </c>
      <c r="D39" s="225">
        <v>29</v>
      </c>
      <c r="E39" s="211"/>
      <c r="F39" s="57"/>
      <c r="G39" s="263"/>
      <c r="H39" s="51"/>
      <c r="I39" s="275" t="str">
        <f>IF(AV39="","",IF(AND(AW39="Yes",G39="No"),"Irreplaceable habitat ▲",IF(AND(AW39="No",G39="Yes"),"Cannot be Irreplaceable ▲",VLOOKUP(AV39,'G-1 All Habitats'!$B$2:$M$135,10,FALSE))))</f>
        <v/>
      </c>
      <c r="J39" s="276" t="str">
        <f>IFERROR(VLOOKUP(I39,'G-1 All Habitats'!$V$3:$W$7,2,FALSE),"")</f>
        <v/>
      </c>
      <c r="K39" s="52"/>
      <c r="L39" s="276" t="str">
        <f>IFERROR(INDEX('G-8 Condition Look up'!$A$3:$H$135,MATCH(AV39,'G-8 Condition Look up'!$A$3:$A$135,0),MATCH(K39,'G-8 Condition Look up'!$A$3:$H$3,0)),"")</f>
        <v/>
      </c>
      <c r="M39" s="52"/>
      <c r="N39" s="295" t="str">
        <f>IF(M39="","",IF(VLOOKUP(M39,'G-3 Multipliers'!$L$3:$N$6,2,FALSE)=0,"Spatial Data Missing",VLOOKUP(M39,'G-3 Multipliers'!$L$3:$N$6,2,FALSE)))</f>
        <v/>
      </c>
      <c r="O39" s="281" t="str">
        <f>IF(M39="","",IF(VLOOKUP(M39,'G-3 Multipliers'!$L$3:$N$6,3,FALSE)=0,"Spatial Data Missing ▲",VLOOKUP(M39,'G-3 Multipliers'!$L$3:$N$6,3,FALSE)))</f>
        <v/>
      </c>
      <c r="P39" s="282" t="str">
        <f>(IF(G39="Yes","Bespoke compensation likely to be required",(IFERROR(VLOOKUP(AV39,'G-1 All Habitats'!$B$2:$M$135,12,FALSE),""))))</f>
        <v/>
      </c>
      <c r="Q39" s="289" t="str">
        <f>IFERROR(IF(AND(F39&lt;&gt;"",G39=""),"Confirm irreplaceable habitat status ▲",(IF(AND(E39="Individual trees",T39&gt;0,G39="Yes"),"Error - you cannot enhance irreplaceable individual trees ▲",(IF(AND(U39="Irreplaceable habitat - no units generated ⚠",(S39+T39)&lt;H39,OR(Y39="No",Y39="")),"Any Loss Unacceptable ⚠",(IF(U39="Irreplaceable habitat - no units generated ⚠",T39*J39*L39*O39,IF(AND(P39='G-1 All Habitats'!$X$9,AC39&gt;0,S39&lt;=0,T39&lt;=0,OR(Y39="No",Y39="")),"Any Loss Unacceptable ⚠",IF(AND(P39='G-1 All Habitats'!$X$9,AC39&gt;0,S39&lt;=0,T39&lt;=0,Y39="Yes"),0,(IF(AND(P39='G-1 All Habitats'!$X$9,(S39+T39)&lt;H39,OR(Y39="No",Y39="")),"Any Loss Unacceptable ⚠",(IF(P39="","",IF(AND(P39='G-1 All Habitats'!$X$9,T39&gt;0),U39+V39,IF(AND(P39='G-1 All Habitats'!$X$9,S39&gt;0),U39+V39,H39*J39*L39*O39))))))))))))))),"Check Data ▲")</f>
        <v/>
      </c>
      <c r="R39" s="38"/>
      <c r="S39" s="52"/>
      <c r="T39" s="53"/>
      <c r="U39" s="287" t="str">
        <f t="shared" si="0"/>
        <v/>
      </c>
      <c r="V39" s="287" t="str">
        <f t="shared" si="3"/>
        <v/>
      </c>
      <c r="W39" s="287" t="str">
        <f t="shared" si="4"/>
        <v/>
      </c>
      <c r="X39" s="291" t="str">
        <f>IFERROR(IF(H39="","",IF(H39-S39-T39=0&lt;0,"Error in Areas ▲",IF(S39+T39&gt;H39,"Error in Areas ▲",IF(AND(P39='G-1 All Habitats'!$X$9,Y39="Yes"),"Alternative Compensation ✓",IF(AND(P39='G-1 All Habitats'!$X$3,Y39="Yes"),"Alternative Compensation ✓",IF(AND(Y39="Pending",P39='G-1 All Habitats'!$X$3),"Bespoke compensation must be agreed ▲",IF(AND(Y39="Pending",P39='G-1 All Habitats'!$X$9),"Bespoke compensation must be agreed  ▲",IF(W39=0,0,IF(P39='G-1 All Habitats'!$X$9,"Any Loss Unacceptable ▲",Q39-U39-V39))))))))),"Check Data ▲")</f>
        <v/>
      </c>
      <c r="Y39" s="53"/>
      <c r="Z39" s="105"/>
      <c r="AA39" s="233"/>
      <c r="AB39" s="104"/>
      <c r="AC39" s="512" t="str">
        <f>IF(OR(P39="",Y39="Yes"),"",IF(P39='G-1 All Habitats'!$X$9,H39-S39-T39,"None"))</f>
        <v/>
      </c>
      <c r="AD39" s="513" t="str">
        <f>IF(P39="","",IF(P39='G-1 All Habitats'!$X$9,AC39*J39*L39*O39,"None"))</f>
        <v/>
      </c>
      <c r="AE39" s="35" t="str">
        <f t="shared" si="1"/>
        <v/>
      </c>
      <c r="AF39" s="40" t="str">
        <f t="shared" si="5"/>
        <v/>
      </c>
      <c r="AG39" s="40" t="str">
        <f t="shared" si="2"/>
        <v/>
      </c>
      <c r="AH39" s="40" t="str">
        <f>IF(I39="","",IF(#REF!&gt;0,TRUE,FALSE))</f>
        <v/>
      </c>
      <c r="AI39" s="40">
        <v>29</v>
      </c>
      <c r="AJ39" s="40"/>
      <c r="AK39" s="40" t="str">
        <f t="array" ref="AK39">IFERROR(INDEX($AI$11:$AI$259,MATCH(0,IF(TRUE=$AF$11:$AF$259,COUNTIF($AK$10:$AK38,$AI$11:$AI$259),""),0)),"")</f>
        <v/>
      </c>
      <c r="AL39" s="40" t="str">
        <f t="array" ref="AL39">IFERROR(INDEX($AI$11:$AI$259,MATCH(0,IF(TRUE=$AG$11:$AG$259,COUNTIF($AL$10:$AL38,$AI$11:$AI$259),""),0)),"")</f>
        <v/>
      </c>
      <c r="AM39" s="40" t="str">
        <f t="array" ref="AM39">IFERROR(INDEX($AI$11:$AI$259,MATCH(0,IF(TRUE=$AH$11:$AH$259,COUNTIF($AM$10:$AM38,$AI$11:$AI$259),""),0)),"")</f>
        <v/>
      </c>
      <c r="AN39" s="40"/>
      <c r="AQ39" s="35">
        <f t="shared" si="6"/>
        <v>0</v>
      </c>
      <c r="AT39" s="885" t="str">
        <f>IF(AND(OR(Y39="Yes",Y39="Pending"),P39='G-1 All Habitats'!$X$3),Q39-U39-V39,"")</f>
        <v/>
      </c>
      <c r="AV39" s="542" t="str">
        <f>IFERROR(INDEX('G-1 All Habitats'!$B$3:$B$135,MATCH(F39,'G-1 All Habitats'!$A$3:$A$135,0)),"")</f>
        <v/>
      </c>
      <c r="AW39" s="35" t="str">
        <f>IF(AV39="","",VLOOKUP(AV39,'G-1 All Habitats'!$B$1:$T$135,19,FALSE))</f>
        <v/>
      </c>
    </row>
    <row r="40" spans="1:49" ht="14.5" hidden="1" thickBot="1">
      <c r="A40" s="35" t="str">
        <f>IFERROR(INDEX('G-1 All Habitats'!$AG$3:$AG$17,MATCH(E40,'G-1 All Habitats'!$AF$3:$AF$17,0)),"")</f>
        <v/>
      </c>
      <c r="B40" s="35" t="str">
        <f>IFERROR(INDEX('G-8 Condition Look up'!$I$4:$I$135,MATCH(AV40,'G-8 Condition Look up'!$A$4:$A$135,0)),"")</f>
        <v/>
      </c>
      <c r="D40" s="225">
        <v>30</v>
      </c>
      <c r="E40" s="211"/>
      <c r="F40" s="57"/>
      <c r="G40" s="263"/>
      <c r="H40" s="51"/>
      <c r="I40" s="275" t="str">
        <f>IF(AV40="","",IF(AND(AW40="Yes",G40="No"),"Irreplaceable habitat ▲",IF(AND(AW40="No",G40="Yes"),"Cannot be Irreplaceable ▲",VLOOKUP(AV40,'G-1 All Habitats'!$B$2:$M$135,10,FALSE))))</f>
        <v/>
      </c>
      <c r="J40" s="276" t="str">
        <f>IFERROR(VLOOKUP(I40,'G-1 All Habitats'!$V$3:$W$7,2,FALSE),"")</f>
        <v/>
      </c>
      <c r="K40" s="52"/>
      <c r="L40" s="276" t="str">
        <f>IFERROR(INDEX('G-8 Condition Look up'!$A$3:$H$135,MATCH(AV40,'G-8 Condition Look up'!$A$3:$A$135,0),MATCH(K40,'G-8 Condition Look up'!$A$3:$H$3,0)),"")</f>
        <v/>
      </c>
      <c r="M40" s="52"/>
      <c r="N40" s="295" t="str">
        <f>IF(M40="","",IF(VLOOKUP(M40,'G-3 Multipliers'!$L$3:$N$6,2,FALSE)=0,"Spatial Data Missing",VLOOKUP(M40,'G-3 Multipliers'!$L$3:$N$6,2,FALSE)))</f>
        <v/>
      </c>
      <c r="O40" s="281" t="str">
        <f>IF(M40="","",IF(VLOOKUP(M40,'G-3 Multipliers'!$L$3:$N$6,3,FALSE)=0,"Spatial Data Missing ▲",VLOOKUP(M40,'G-3 Multipliers'!$L$3:$N$6,3,FALSE)))</f>
        <v/>
      </c>
      <c r="P40" s="282" t="str">
        <f>(IF(G40="Yes","Bespoke compensation likely to be required",(IFERROR(VLOOKUP(AV40,'G-1 All Habitats'!$B$2:$M$135,12,FALSE),""))))</f>
        <v/>
      </c>
      <c r="Q40" s="289" t="str">
        <f>IFERROR(IF(AND(F40&lt;&gt;"",G40=""),"Confirm irreplaceable habitat status ▲",(IF(AND(E40="Individual trees",T40&gt;0,G40="Yes"),"Error - you cannot enhance irreplaceable individual trees ▲",(IF(AND(U40="Irreplaceable habitat - no units generated ⚠",(S40+T40)&lt;H40,OR(Y40="No",Y40="")),"Any Loss Unacceptable ⚠",(IF(U40="Irreplaceable habitat - no units generated ⚠",T40*J40*L40*O40,IF(AND(P40='G-1 All Habitats'!$X$9,AC40&gt;0,S40&lt;=0,T40&lt;=0,OR(Y40="No",Y40="")),"Any Loss Unacceptable ⚠",IF(AND(P40='G-1 All Habitats'!$X$9,AC40&gt;0,S40&lt;=0,T40&lt;=0,Y40="Yes"),0,(IF(AND(P40='G-1 All Habitats'!$X$9,(S40+T40)&lt;H40,OR(Y40="No",Y40="")),"Any Loss Unacceptable ⚠",(IF(P40="","",IF(AND(P40='G-1 All Habitats'!$X$9,T40&gt;0),U40+V40,IF(AND(P40='G-1 All Habitats'!$X$9,S40&gt;0),U40+V40,H40*J40*L40*O40))))))))))))))),"Check Data ▲")</f>
        <v/>
      </c>
      <c r="R40" s="38"/>
      <c r="S40" s="52"/>
      <c r="T40" s="53"/>
      <c r="U40" s="287" t="str">
        <f t="shared" si="0"/>
        <v/>
      </c>
      <c r="V40" s="287" t="str">
        <f t="shared" si="3"/>
        <v/>
      </c>
      <c r="W40" s="287" t="str">
        <f t="shared" si="4"/>
        <v/>
      </c>
      <c r="X40" s="291" t="str">
        <f>IFERROR(IF(H40="","",IF(H40-S40-T40=0&lt;0,"Error in Areas ▲",IF(S40+T40&gt;H40,"Error in Areas ▲",IF(AND(P40='G-1 All Habitats'!$X$9,Y40="Yes"),"Alternative Compensation ✓",IF(AND(P40='G-1 All Habitats'!$X$3,Y40="Yes"),"Alternative Compensation ✓",IF(AND(Y40="Pending",P40='G-1 All Habitats'!$X$3),"Bespoke compensation must be agreed ▲",IF(AND(Y40="Pending",P40='G-1 All Habitats'!$X$9),"Bespoke compensation must be agreed  ▲",IF(W40=0,0,IF(P40='G-1 All Habitats'!$X$9,"Any Loss Unacceptable ▲",Q40-U40-V40))))))))),"Check Data ▲")</f>
        <v/>
      </c>
      <c r="Y40" s="53"/>
      <c r="Z40" s="105"/>
      <c r="AA40" s="233"/>
      <c r="AB40" s="104"/>
      <c r="AC40" s="512" t="str">
        <f>IF(OR(P40="",Y40="Yes"),"",IF(P40='G-1 All Habitats'!$X$9,H40-S40-T40,"None"))</f>
        <v/>
      </c>
      <c r="AD40" s="513" t="str">
        <f>IF(P40="","",IF(P40='G-1 All Habitats'!$X$9,AC40*J40*L40*O40,"None"))</f>
        <v/>
      </c>
      <c r="AE40" s="35" t="str">
        <f t="shared" si="1"/>
        <v/>
      </c>
      <c r="AF40" s="40" t="str">
        <f t="shared" si="5"/>
        <v/>
      </c>
      <c r="AG40" s="40" t="str">
        <f t="shared" si="2"/>
        <v/>
      </c>
      <c r="AH40" s="40" t="str">
        <f>IF(I40="","",IF(#REF!&gt;0,TRUE,FALSE))</f>
        <v/>
      </c>
      <c r="AI40" s="40">
        <v>30</v>
      </c>
      <c r="AJ40" s="40"/>
      <c r="AK40" s="40" t="str">
        <f t="array" ref="AK40">IFERROR(INDEX($AI$11:$AI$259,MATCH(0,IF(TRUE=$AF$11:$AF$259,COUNTIF($AK$10:$AK39,$AI$11:$AI$259),""),0)),"")</f>
        <v/>
      </c>
      <c r="AL40" s="40" t="str">
        <f t="array" ref="AL40">IFERROR(INDEX($AI$11:$AI$259,MATCH(0,IF(TRUE=$AG$11:$AG$259,COUNTIF($AL$10:$AL39,$AI$11:$AI$259),""),0)),"")</f>
        <v/>
      </c>
      <c r="AM40" s="40" t="str">
        <f t="array" ref="AM40">IFERROR(INDEX($AI$11:$AI$259,MATCH(0,IF(TRUE=$AH$11:$AH$259,COUNTIF($AM$10:$AM39,$AI$11:$AI$259),""),0)),"")</f>
        <v/>
      </c>
      <c r="AN40" s="40"/>
      <c r="AQ40" s="35">
        <f t="shared" si="6"/>
        <v>0</v>
      </c>
      <c r="AT40" s="885" t="str">
        <f>IF(AND(OR(Y40="Yes",Y40="Pending"),P40='G-1 All Habitats'!$X$3),Q40-U40-V40,"")</f>
        <v/>
      </c>
      <c r="AV40" s="542" t="str">
        <f>IFERROR(INDEX('G-1 All Habitats'!$B$3:$B$135,MATCH(F40,'G-1 All Habitats'!$A$3:$A$135,0)),"")</f>
        <v/>
      </c>
      <c r="AW40" s="35" t="str">
        <f>IF(AV40="","",VLOOKUP(AV40,'G-1 All Habitats'!$B$1:$T$135,19,FALSE))</f>
        <v/>
      </c>
    </row>
    <row r="41" spans="1:49" ht="14.5" hidden="1" thickBot="1">
      <c r="A41" s="35" t="str">
        <f>IFERROR(INDEX('G-1 All Habitats'!$AG$3:$AG$17,MATCH(E41,'G-1 All Habitats'!$AF$3:$AF$17,0)),"")</f>
        <v/>
      </c>
      <c r="B41" s="35" t="str">
        <f>IFERROR(INDEX('G-8 Condition Look up'!$I$4:$I$135,MATCH(AV41,'G-8 Condition Look up'!$A$4:$A$135,0)),"")</f>
        <v/>
      </c>
      <c r="D41" s="225">
        <v>31</v>
      </c>
      <c r="E41" s="211"/>
      <c r="F41" s="57"/>
      <c r="G41" s="263"/>
      <c r="H41" s="51"/>
      <c r="I41" s="275" t="str">
        <f>IF(AV41="","",IF(AND(AW41="Yes",G41="No"),"Irreplaceable habitat ▲",IF(AND(AW41="No",G41="Yes"),"Cannot be Irreplaceable ▲",VLOOKUP(AV41,'G-1 All Habitats'!$B$2:$M$135,10,FALSE))))</f>
        <v/>
      </c>
      <c r="J41" s="276" t="str">
        <f>IFERROR(VLOOKUP(I41,'G-1 All Habitats'!$V$3:$W$7,2,FALSE),"")</f>
        <v/>
      </c>
      <c r="K41" s="52"/>
      <c r="L41" s="276" t="str">
        <f>IFERROR(INDEX('G-8 Condition Look up'!$A$3:$H$135,MATCH(AV41,'G-8 Condition Look up'!$A$3:$A$135,0),MATCH(K41,'G-8 Condition Look up'!$A$3:$H$3,0)),"")</f>
        <v/>
      </c>
      <c r="M41" s="52"/>
      <c r="N41" s="295" t="str">
        <f>IF(M41="","",IF(VLOOKUP(M41,'G-3 Multipliers'!$L$3:$N$6,2,FALSE)=0,"Spatial Data Missing",VLOOKUP(M41,'G-3 Multipliers'!$L$3:$N$6,2,FALSE)))</f>
        <v/>
      </c>
      <c r="O41" s="281" t="str">
        <f>IF(M41="","",IF(VLOOKUP(M41,'G-3 Multipliers'!$L$3:$N$6,3,FALSE)=0,"Spatial Data Missing ▲",VLOOKUP(M41,'G-3 Multipliers'!$L$3:$N$6,3,FALSE)))</f>
        <v/>
      </c>
      <c r="P41" s="282" t="str">
        <f>(IF(G41="Yes","Bespoke compensation likely to be required",(IFERROR(VLOOKUP(AV41,'G-1 All Habitats'!$B$2:$M$135,12,FALSE),""))))</f>
        <v/>
      </c>
      <c r="Q41" s="289" t="str">
        <f>IFERROR(IF(AND(F41&lt;&gt;"",G41=""),"Confirm irreplaceable habitat status ▲",(IF(AND(E41="Individual trees",T41&gt;0,G41="Yes"),"Error - you cannot enhance irreplaceable individual trees ▲",(IF(AND(U41="Irreplaceable habitat - no units generated ⚠",(S41+T41)&lt;H41,OR(Y41="No",Y41="")),"Any Loss Unacceptable ⚠",(IF(U41="Irreplaceable habitat - no units generated ⚠",T41*J41*L41*O41,IF(AND(P41='G-1 All Habitats'!$X$9,AC41&gt;0,S41&lt;=0,T41&lt;=0,OR(Y41="No",Y41="")),"Any Loss Unacceptable ⚠",IF(AND(P41='G-1 All Habitats'!$X$9,AC41&gt;0,S41&lt;=0,T41&lt;=0,Y41="Yes"),0,(IF(AND(P41='G-1 All Habitats'!$X$9,(S41+T41)&lt;H41,OR(Y41="No",Y41="")),"Any Loss Unacceptable ⚠",(IF(P41="","",IF(AND(P41='G-1 All Habitats'!$X$9,T41&gt;0),U41+V41,IF(AND(P41='G-1 All Habitats'!$X$9,S41&gt;0),U41+V41,H41*J41*L41*O41))))))))))))))),"Check Data ▲")</f>
        <v/>
      </c>
      <c r="R41" s="38"/>
      <c r="S41" s="52"/>
      <c r="T41" s="53"/>
      <c r="U41" s="287" t="str">
        <f t="shared" si="0"/>
        <v/>
      </c>
      <c r="V41" s="287" t="str">
        <f t="shared" si="3"/>
        <v/>
      </c>
      <c r="W41" s="287" t="str">
        <f t="shared" si="4"/>
        <v/>
      </c>
      <c r="X41" s="291" t="str">
        <f>IFERROR(IF(H41="","",IF(H41-S41-T41=0&lt;0,"Error in Areas ▲",IF(S41+T41&gt;H41,"Error in Areas ▲",IF(AND(P41='G-1 All Habitats'!$X$9,Y41="Yes"),"Alternative Compensation ✓",IF(AND(P41='G-1 All Habitats'!$X$3,Y41="Yes"),"Alternative Compensation ✓",IF(AND(Y41="Pending",P41='G-1 All Habitats'!$X$3),"Bespoke compensation must be agreed ▲",IF(AND(Y41="Pending",P41='G-1 All Habitats'!$X$9),"Bespoke compensation must be agreed  ▲",IF(W41=0,0,IF(P41='G-1 All Habitats'!$X$9,"Any Loss Unacceptable ▲",Q41-U41-V41))))))))),"Check Data ▲")</f>
        <v/>
      </c>
      <c r="Y41" s="53"/>
      <c r="Z41" s="105"/>
      <c r="AA41" s="233"/>
      <c r="AB41" s="104"/>
      <c r="AC41" s="512" t="str">
        <f>IF(OR(P41="",Y41="Yes"),"",IF(P41='G-1 All Habitats'!$X$9,H41-S41-T41,"None"))</f>
        <v/>
      </c>
      <c r="AD41" s="513" t="str">
        <f>IF(P41="","",IF(P41='G-1 All Habitats'!$X$9,AC41*J41*L41*O41,"None"))</f>
        <v/>
      </c>
      <c r="AE41" s="35" t="str">
        <f t="shared" si="1"/>
        <v/>
      </c>
      <c r="AF41" s="40" t="str">
        <f t="shared" si="5"/>
        <v/>
      </c>
      <c r="AG41" s="40" t="str">
        <f t="shared" si="2"/>
        <v/>
      </c>
      <c r="AH41" s="40" t="str">
        <f>IF(I41="","",IF(#REF!&gt;0,TRUE,FALSE))</f>
        <v/>
      </c>
      <c r="AI41" s="40">
        <v>31</v>
      </c>
      <c r="AJ41" s="40"/>
      <c r="AK41" s="40" t="str">
        <f t="array" ref="AK41">IFERROR(INDEX($AI$11:$AI$259,MATCH(0,IF(TRUE=$AF$11:$AF$259,COUNTIF($AK$10:$AK40,$AI$11:$AI$259),""),0)),"")</f>
        <v/>
      </c>
      <c r="AL41" s="40" t="str">
        <f t="array" ref="AL41">IFERROR(INDEX($AI$11:$AI$259,MATCH(0,IF(TRUE=$AG$11:$AG$259,COUNTIF($AL$10:$AL40,$AI$11:$AI$259),""),0)),"")</f>
        <v/>
      </c>
      <c r="AM41" s="40" t="str">
        <f t="array" ref="AM41">IFERROR(INDEX($AI$11:$AI$259,MATCH(0,IF(TRUE=$AH$11:$AH$259,COUNTIF($AM$10:$AM40,$AI$11:$AI$259),""),0)),"")</f>
        <v/>
      </c>
      <c r="AN41" s="40"/>
      <c r="AQ41" s="35">
        <f t="shared" si="6"/>
        <v>0</v>
      </c>
      <c r="AT41" s="885" t="str">
        <f>IF(AND(OR(Y41="Yes",Y41="Pending"),P41='G-1 All Habitats'!$X$3),Q41-U41-V41,"")</f>
        <v/>
      </c>
      <c r="AV41" s="542" t="str">
        <f>IFERROR(INDEX('G-1 All Habitats'!$B$3:$B$135,MATCH(F41,'G-1 All Habitats'!$A$3:$A$135,0)),"")</f>
        <v/>
      </c>
      <c r="AW41" s="35" t="str">
        <f>IF(AV41="","",VLOOKUP(AV41,'G-1 All Habitats'!$B$1:$T$135,19,FALSE))</f>
        <v/>
      </c>
    </row>
    <row r="42" spans="1:49" ht="14.5" hidden="1" thickBot="1">
      <c r="A42" s="35" t="str">
        <f>IFERROR(INDEX('G-1 All Habitats'!$AG$3:$AG$17,MATCH(E42,'G-1 All Habitats'!$AF$3:$AF$17,0)),"")</f>
        <v/>
      </c>
      <c r="B42" s="35" t="str">
        <f>IFERROR(INDEX('G-8 Condition Look up'!$I$4:$I$135,MATCH(AV42,'G-8 Condition Look up'!$A$4:$A$135,0)),"")</f>
        <v/>
      </c>
      <c r="D42" s="225">
        <v>32</v>
      </c>
      <c r="E42" s="211"/>
      <c r="F42" s="57"/>
      <c r="G42" s="263"/>
      <c r="H42" s="51"/>
      <c r="I42" s="275" t="str">
        <f>IF(AV42="","",IF(AND(AW42="Yes",G42="No"),"Irreplaceable habitat ▲",IF(AND(AW42="No",G42="Yes"),"Cannot be Irreplaceable ▲",VLOOKUP(AV42,'G-1 All Habitats'!$B$2:$M$135,10,FALSE))))</f>
        <v/>
      </c>
      <c r="J42" s="276" t="str">
        <f>IFERROR(VLOOKUP(I42,'G-1 All Habitats'!$V$3:$W$7,2,FALSE),"")</f>
        <v/>
      </c>
      <c r="K42" s="52"/>
      <c r="L42" s="276" t="str">
        <f>IFERROR(INDEX('G-8 Condition Look up'!$A$3:$H$135,MATCH(AV42,'G-8 Condition Look up'!$A$3:$A$135,0),MATCH(K42,'G-8 Condition Look up'!$A$3:$H$3,0)),"")</f>
        <v/>
      </c>
      <c r="M42" s="52"/>
      <c r="N42" s="295" t="str">
        <f>IF(M42="","",IF(VLOOKUP(M42,'G-3 Multipliers'!$L$3:$N$6,2,FALSE)=0,"Spatial Data Missing",VLOOKUP(M42,'G-3 Multipliers'!$L$3:$N$6,2,FALSE)))</f>
        <v/>
      </c>
      <c r="O42" s="281" t="str">
        <f>IF(M42="","",IF(VLOOKUP(M42,'G-3 Multipliers'!$L$3:$N$6,3,FALSE)=0,"Spatial Data Missing ▲",VLOOKUP(M42,'G-3 Multipliers'!$L$3:$N$6,3,FALSE)))</f>
        <v/>
      </c>
      <c r="P42" s="282" t="str">
        <f>(IF(G42="Yes","Bespoke compensation likely to be required",(IFERROR(VLOOKUP(AV42,'G-1 All Habitats'!$B$2:$M$135,12,FALSE),""))))</f>
        <v/>
      </c>
      <c r="Q42" s="289" t="str">
        <f>IFERROR(IF(AND(F42&lt;&gt;"",G42=""),"Confirm irreplaceable habitat status ▲",(IF(AND(E42="Individual trees",T42&gt;0,G42="Yes"),"Error - you cannot enhance irreplaceable individual trees ▲",(IF(AND(U42="Irreplaceable habitat - no units generated ⚠",(S42+T42)&lt;H42,OR(Y42="No",Y42="")),"Any Loss Unacceptable ⚠",(IF(U42="Irreplaceable habitat - no units generated ⚠",T42*J42*L42*O42,IF(AND(P42='G-1 All Habitats'!$X$9,AC42&gt;0,S42&lt;=0,T42&lt;=0,OR(Y42="No",Y42="")),"Any Loss Unacceptable ⚠",IF(AND(P42='G-1 All Habitats'!$X$9,AC42&gt;0,S42&lt;=0,T42&lt;=0,Y42="Yes"),0,(IF(AND(P42='G-1 All Habitats'!$X$9,(S42+T42)&lt;H42,OR(Y42="No",Y42="")),"Any Loss Unacceptable ⚠",(IF(P42="","",IF(AND(P42='G-1 All Habitats'!$X$9,T42&gt;0),U42+V42,IF(AND(P42='G-1 All Habitats'!$X$9,S42&gt;0),U42+V42,H42*J42*L42*O42))))))))))))))),"Check Data ▲")</f>
        <v/>
      </c>
      <c r="R42" s="38"/>
      <c r="S42" s="52"/>
      <c r="T42" s="53"/>
      <c r="U42" s="287" t="str">
        <f t="shared" si="0"/>
        <v/>
      </c>
      <c r="V42" s="287" t="str">
        <f t="shared" si="3"/>
        <v/>
      </c>
      <c r="W42" s="287" t="str">
        <f t="shared" si="4"/>
        <v/>
      </c>
      <c r="X42" s="291" t="str">
        <f>IFERROR(IF(H42="","",IF(H42-S42-T42=0&lt;0,"Error in Areas ▲",IF(S42+T42&gt;H42,"Error in Areas ▲",IF(AND(P42='G-1 All Habitats'!$X$9,Y42="Yes"),"Alternative Compensation ✓",IF(AND(P42='G-1 All Habitats'!$X$3,Y42="Yes"),"Alternative Compensation ✓",IF(AND(Y42="Pending",P42='G-1 All Habitats'!$X$3),"Bespoke compensation must be agreed ▲",IF(AND(Y42="Pending",P42='G-1 All Habitats'!$X$9),"Bespoke compensation must be agreed  ▲",IF(W42=0,0,IF(P42='G-1 All Habitats'!$X$9,"Any Loss Unacceptable ▲",Q42-U42-V42))))))))),"Check Data ▲")</f>
        <v/>
      </c>
      <c r="Y42" s="53"/>
      <c r="Z42" s="105"/>
      <c r="AA42" s="233"/>
      <c r="AB42" s="104"/>
      <c r="AC42" s="512" t="str">
        <f>IF(OR(P42="",Y42="Yes"),"",IF(P42='G-1 All Habitats'!$X$9,H42-S42-T42,"None"))</f>
        <v/>
      </c>
      <c r="AD42" s="513" t="str">
        <f>IF(P42="","",IF(P42='G-1 All Habitats'!$X$9,AC42*J42*L42*O42,"None"))</f>
        <v/>
      </c>
      <c r="AE42" s="35" t="str">
        <f t="shared" si="1"/>
        <v/>
      </c>
      <c r="AF42" s="40" t="str">
        <f t="shared" si="5"/>
        <v/>
      </c>
      <c r="AG42" s="40" t="str">
        <f t="shared" si="2"/>
        <v/>
      </c>
      <c r="AH42" s="40" t="str">
        <f>IF(I42="","",IF(#REF!&gt;0,TRUE,FALSE))</f>
        <v/>
      </c>
      <c r="AI42" s="40">
        <v>32</v>
      </c>
      <c r="AJ42" s="40"/>
      <c r="AK42" s="40" t="str">
        <f t="array" ref="AK42">IFERROR(INDEX($AI$11:$AI$259,MATCH(0,IF(TRUE=$AF$11:$AF$259,COUNTIF($AK$10:$AK41,$AI$11:$AI$259),""),0)),"")</f>
        <v/>
      </c>
      <c r="AL42" s="40" t="str">
        <f t="array" ref="AL42">IFERROR(INDEX($AI$11:$AI$259,MATCH(0,IF(TRUE=$AG$11:$AG$259,COUNTIF($AL$10:$AL41,$AI$11:$AI$259),""),0)),"")</f>
        <v/>
      </c>
      <c r="AM42" s="40" t="str">
        <f t="array" ref="AM42">IFERROR(INDEX($AI$11:$AI$259,MATCH(0,IF(TRUE=$AH$11:$AH$259,COUNTIF($AM$10:$AM41,$AI$11:$AI$259),""),0)),"")</f>
        <v/>
      </c>
      <c r="AN42" s="40"/>
      <c r="AQ42" s="35">
        <f t="shared" si="6"/>
        <v>0</v>
      </c>
      <c r="AT42" s="885" t="str">
        <f>IF(AND(OR(Y42="Yes",Y42="Pending"),P42='G-1 All Habitats'!$X$3),Q42-U42-V42,"")</f>
        <v/>
      </c>
      <c r="AV42" s="542" t="str">
        <f>IFERROR(INDEX('G-1 All Habitats'!$B$3:$B$135,MATCH(F42,'G-1 All Habitats'!$A$3:$A$135,0)),"")</f>
        <v/>
      </c>
      <c r="AW42" s="35" t="str">
        <f>IF(AV42="","",VLOOKUP(AV42,'G-1 All Habitats'!$B$1:$T$135,19,FALSE))</f>
        <v/>
      </c>
    </row>
    <row r="43" spans="1:49" ht="14.5" hidden="1" thickBot="1">
      <c r="A43" s="35" t="str">
        <f>IFERROR(INDEX('G-1 All Habitats'!$AG$3:$AG$17,MATCH(E43,'G-1 All Habitats'!$AF$3:$AF$17,0)),"")</f>
        <v/>
      </c>
      <c r="B43" s="35" t="str">
        <f>IFERROR(INDEX('G-8 Condition Look up'!$I$4:$I$135,MATCH(AV43,'G-8 Condition Look up'!$A$4:$A$135,0)),"")</f>
        <v/>
      </c>
      <c r="D43" s="225">
        <v>33</v>
      </c>
      <c r="E43" s="211"/>
      <c r="F43" s="57"/>
      <c r="G43" s="263"/>
      <c r="H43" s="51"/>
      <c r="I43" s="275" t="str">
        <f>IF(AV43="","",IF(AND(AW43="Yes",G43="No"),"Irreplaceable habitat ▲",IF(AND(AW43="No",G43="Yes"),"Cannot be Irreplaceable ▲",VLOOKUP(AV43,'G-1 All Habitats'!$B$2:$M$135,10,FALSE))))</f>
        <v/>
      </c>
      <c r="J43" s="276" t="str">
        <f>IFERROR(VLOOKUP(I43,'G-1 All Habitats'!$V$3:$W$7,2,FALSE),"")</f>
        <v/>
      </c>
      <c r="K43" s="52"/>
      <c r="L43" s="276" t="str">
        <f>IFERROR(INDEX('G-8 Condition Look up'!$A$3:$H$135,MATCH(AV43,'G-8 Condition Look up'!$A$3:$A$135,0),MATCH(K43,'G-8 Condition Look up'!$A$3:$H$3,0)),"")</f>
        <v/>
      </c>
      <c r="M43" s="52"/>
      <c r="N43" s="295" t="str">
        <f>IF(M43="","",IF(VLOOKUP(M43,'G-3 Multipliers'!$L$3:$N$6,2,FALSE)=0,"Spatial Data Missing",VLOOKUP(M43,'G-3 Multipliers'!$L$3:$N$6,2,FALSE)))</f>
        <v/>
      </c>
      <c r="O43" s="281" t="str">
        <f>IF(M43="","",IF(VLOOKUP(M43,'G-3 Multipliers'!$L$3:$N$6,3,FALSE)=0,"Spatial Data Missing ▲",VLOOKUP(M43,'G-3 Multipliers'!$L$3:$N$6,3,FALSE)))</f>
        <v/>
      </c>
      <c r="P43" s="282" t="str">
        <f>(IF(G43="Yes","Bespoke compensation likely to be required",(IFERROR(VLOOKUP(AV43,'G-1 All Habitats'!$B$2:$M$135,12,FALSE),""))))</f>
        <v/>
      </c>
      <c r="Q43" s="289" t="str">
        <f>IFERROR(IF(AND(F43&lt;&gt;"",G43=""),"Confirm irreplaceable habitat status ▲",(IF(AND(E43="Individual trees",T43&gt;0,G43="Yes"),"Error - you cannot enhance irreplaceable individual trees ▲",(IF(AND(U43="Irreplaceable habitat - no units generated ⚠",(S43+T43)&lt;H43,OR(Y43="No",Y43="")),"Any Loss Unacceptable ⚠",(IF(U43="Irreplaceable habitat - no units generated ⚠",T43*J43*L43*O43,IF(AND(P43='G-1 All Habitats'!$X$9,AC43&gt;0,S43&lt;=0,T43&lt;=0,OR(Y43="No",Y43="")),"Any Loss Unacceptable ⚠",IF(AND(P43='G-1 All Habitats'!$X$9,AC43&gt;0,S43&lt;=0,T43&lt;=0,Y43="Yes"),0,(IF(AND(P43='G-1 All Habitats'!$X$9,(S43+T43)&lt;H43,OR(Y43="No",Y43="")),"Any Loss Unacceptable ⚠",(IF(P43="","",IF(AND(P43='G-1 All Habitats'!$X$9,T43&gt;0),U43+V43,IF(AND(P43='G-1 All Habitats'!$X$9,S43&gt;0),U43+V43,H43*J43*L43*O43))))))))))))))),"Check Data ▲")</f>
        <v/>
      </c>
      <c r="R43" s="38"/>
      <c r="S43" s="52"/>
      <c r="T43" s="53"/>
      <c r="U43" s="287" t="str">
        <f t="shared" si="0"/>
        <v/>
      </c>
      <c r="V43" s="287" t="str">
        <f t="shared" si="3"/>
        <v/>
      </c>
      <c r="W43" s="287" t="str">
        <f t="shared" si="4"/>
        <v/>
      </c>
      <c r="X43" s="291" t="str">
        <f>IFERROR(IF(H43="","",IF(H43-S43-T43=0&lt;0,"Error in Areas ▲",IF(S43+T43&gt;H43,"Error in Areas ▲",IF(AND(P43='G-1 All Habitats'!$X$9,Y43="Yes"),"Alternative Compensation ✓",IF(AND(P43='G-1 All Habitats'!$X$3,Y43="Yes"),"Alternative Compensation ✓",IF(AND(Y43="Pending",P43='G-1 All Habitats'!$X$3),"Bespoke compensation must be agreed ▲",IF(AND(Y43="Pending",P43='G-1 All Habitats'!$X$9),"Bespoke compensation must be agreed  ▲",IF(W43=0,0,IF(P43='G-1 All Habitats'!$X$9,"Any Loss Unacceptable ▲",Q43-U43-V43))))))))),"Check Data ▲")</f>
        <v/>
      </c>
      <c r="Y43" s="53"/>
      <c r="Z43" s="105"/>
      <c r="AA43" s="233"/>
      <c r="AB43" s="104"/>
      <c r="AC43" s="512" t="str">
        <f>IF(OR(P43="",Y43="Yes"),"",IF(P43='G-1 All Habitats'!$X$9,H43-S43-T43,"None"))</f>
        <v/>
      </c>
      <c r="AD43" s="513" t="str">
        <f>IF(P43="","",IF(P43='G-1 All Habitats'!$X$9,AC43*J43*L43*O43,"None"))</f>
        <v/>
      </c>
      <c r="AE43" s="35" t="str">
        <f t="shared" si="1"/>
        <v/>
      </c>
      <c r="AF43" s="40" t="str">
        <f t="shared" si="5"/>
        <v/>
      </c>
      <c r="AG43" s="40" t="str">
        <f t="shared" si="2"/>
        <v/>
      </c>
      <c r="AH43" s="40" t="str">
        <f>IF(I43="","",IF(#REF!&gt;0,TRUE,FALSE))</f>
        <v/>
      </c>
      <c r="AI43" s="40">
        <v>33</v>
      </c>
      <c r="AJ43" s="40"/>
      <c r="AK43" s="40" t="str">
        <f t="array" ref="AK43">IFERROR(INDEX($AI$11:$AI$259,MATCH(0,IF(TRUE=$AF$11:$AF$259,COUNTIF($AK$10:$AK42,$AI$11:$AI$259),""),0)),"")</f>
        <v/>
      </c>
      <c r="AL43" s="40" t="str">
        <f t="array" ref="AL43">IFERROR(INDEX($AI$11:$AI$259,MATCH(0,IF(TRUE=$AG$11:$AG$259,COUNTIF($AL$10:$AL42,$AI$11:$AI$259),""),0)),"")</f>
        <v/>
      </c>
      <c r="AM43" s="40" t="str">
        <f t="array" ref="AM43">IFERROR(INDEX($AI$11:$AI$259,MATCH(0,IF(TRUE=$AH$11:$AH$259,COUNTIF($AM$10:$AM42,$AI$11:$AI$259),""),0)),"")</f>
        <v/>
      </c>
      <c r="AN43" s="40"/>
      <c r="AQ43" s="35">
        <f t="shared" si="6"/>
        <v>0</v>
      </c>
      <c r="AT43" s="885" t="str">
        <f>IF(AND(OR(Y43="Yes",Y43="Pending"),P43='G-1 All Habitats'!$X$3),Q43-U43-V43,"")</f>
        <v/>
      </c>
      <c r="AV43" s="542" t="str">
        <f>IFERROR(INDEX('G-1 All Habitats'!$B$3:$B$135,MATCH(F43,'G-1 All Habitats'!$A$3:$A$135,0)),"")</f>
        <v/>
      </c>
      <c r="AW43" s="35" t="str">
        <f>IF(AV43="","",VLOOKUP(AV43,'G-1 All Habitats'!$B$1:$T$135,19,FALSE))</f>
        <v/>
      </c>
    </row>
    <row r="44" spans="1:49" ht="14.5" hidden="1" thickBot="1">
      <c r="A44" s="35" t="str">
        <f>IFERROR(INDEX('G-1 All Habitats'!$AG$3:$AG$17,MATCH(E44,'G-1 All Habitats'!$AF$3:$AF$17,0)),"")</f>
        <v/>
      </c>
      <c r="B44" s="35" t="str">
        <f>IFERROR(INDEX('G-8 Condition Look up'!$I$4:$I$135,MATCH(AV44,'G-8 Condition Look up'!$A$4:$A$135,0)),"")</f>
        <v/>
      </c>
      <c r="D44" s="225">
        <v>34</v>
      </c>
      <c r="E44" s="211"/>
      <c r="F44" s="57"/>
      <c r="G44" s="263"/>
      <c r="H44" s="51"/>
      <c r="I44" s="275" t="str">
        <f>IF(AV44="","",IF(AND(AW44="Yes",G44="No"),"Irreplaceable habitat ▲",IF(AND(AW44="No",G44="Yes"),"Cannot be Irreplaceable ▲",VLOOKUP(AV44,'G-1 All Habitats'!$B$2:$M$135,10,FALSE))))</f>
        <v/>
      </c>
      <c r="J44" s="276" t="str">
        <f>IFERROR(VLOOKUP(I44,'G-1 All Habitats'!$V$3:$W$7,2,FALSE),"")</f>
        <v/>
      </c>
      <c r="K44" s="52"/>
      <c r="L44" s="276" t="str">
        <f>IFERROR(INDEX('G-8 Condition Look up'!$A$3:$H$135,MATCH(AV44,'G-8 Condition Look up'!$A$3:$A$135,0),MATCH(K44,'G-8 Condition Look up'!$A$3:$H$3,0)),"")</f>
        <v/>
      </c>
      <c r="M44" s="52"/>
      <c r="N44" s="295" t="str">
        <f>IF(M44="","",IF(VLOOKUP(M44,'G-3 Multipliers'!$L$3:$N$6,2,FALSE)=0,"Spatial Data Missing",VLOOKUP(M44,'G-3 Multipliers'!$L$3:$N$6,2,FALSE)))</f>
        <v/>
      </c>
      <c r="O44" s="281" t="str">
        <f>IF(M44="","",IF(VLOOKUP(M44,'G-3 Multipliers'!$L$3:$N$6,3,FALSE)=0,"Spatial Data Missing ▲",VLOOKUP(M44,'G-3 Multipliers'!$L$3:$N$6,3,FALSE)))</f>
        <v/>
      </c>
      <c r="P44" s="282" t="str">
        <f>(IF(G44="Yes","Bespoke compensation likely to be required",(IFERROR(VLOOKUP(AV44,'G-1 All Habitats'!$B$2:$M$135,12,FALSE),""))))</f>
        <v/>
      </c>
      <c r="Q44" s="289" t="str">
        <f>IFERROR(IF(AND(F44&lt;&gt;"",G44=""),"Confirm irreplaceable habitat status ▲",(IF(AND(E44="Individual trees",T44&gt;0,G44="Yes"),"Error - you cannot enhance irreplaceable individual trees ▲",(IF(AND(U44="Irreplaceable habitat - no units generated ⚠",(S44+T44)&lt;H44,OR(Y44="No",Y44="")),"Any Loss Unacceptable ⚠",(IF(U44="Irreplaceable habitat - no units generated ⚠",T44*J44*L44*O44,IF(AND(P44='G-1 All Habitats'!$X$9,AC44&gt;0,S44&lt;=0,T44&lt;=0,OR(Y44="No",Y44="")),"Any Loss Unacceptable ⚠",IF(AND(P44='G-1 All Habitats'!$X$9,AC44&gt;0,S44&lt;=0,T44&lt;=0,Y44="Yes"),0,(IF(AND(P44='G-1 All Habitats'!$X$9,(S44+T44)&lt;H44,OR(Y44="No",Y44="")),"Any Loss Unacceptable ⚠",(IF(P44="","",IF(AND(P44='G-1 All Habitats'!$X$9,T44&gt;0),U44+V44,IF(AND(P44='G-1 All Habitats'!$X$9,S44&gt;0),U44+V44,H44*J44*L44*O44))))))))))))))),"Check Data ▲")</f>
        <v/>
      </c>
      <c r="R44" s="38"/>
      <c r="S44" s="52"/>
      <c r="T44" s="53"/>
      <c r="U44" s="287" t="str">
        <f t="shared" si="0"/>
        <v/>
      </c>
      <c r="V44" s="287" t="str">
        <f t="shared" si="3"/>
        <v/>
      </c>
      <c r="W44" s="287" t="str">
        <f t="shared" si="4"/>
        <v/>
      </c>
      <c r="X44" s="291" t="str">
        <f>IFERROR(IF(H44="","",IF(H44-S44-T44=0&lt;0,"Error in Areas ▲",IF(S44+T44&gt;H44,"Error in Areas ▲",IF(AND(P44='G-1 All Habitats'!$X$9,Y44="Yes"),"Alternative Compensation ✓",IF(AND(P44='G-1 All Habitats'!$X$3,Y44="Yes"),"Alternative Compensation ✓",IF(AND(Y44="Pending",P44='G-1 All Habitats'!$X$3),"Bespoke compensation must be agreed ▲",IF(AND(Y44="Pending",P44='G-1 All Habitats'!$X$9),"Bespoke compensation must be agreed  ▲",IF(W44=0,0,IF(P44='G-1 All Habitats'!$X$9,"Any Loss Unacceptable ▲",Q44-U44-V44))))))))),"Check Data ▲")</f>
        <v/>
      </c>
      <c r="Y44" s="53"/>
      <c r="Z44" s="105"/>
      <c r="AA44" s="233"/>
      <c r="AB44" s="104"/>
      <c r="AC44" s="512" t="str">
        <f>IF(OR(P44="",Y44="Yes"),"",IF(P44='G-1 All Habitats'!$X$9,H44-S44-T44,"None"))</f>
        <v/>
      </c>
      <c r="AD44" s="513" t="str">
        <f>IF(P44="","",IF(P44='G-1 All Habitats'!$X$9,AC44*J44*L44*O44,"None"))</f>
        <v/>
      </c>
      <c r="AE44" s="35" t="str">
        <f t="shared" si="1"/>
        <v/>
      </c>
      <c r="AF44" s="40" t="str">
        <f t="shared" si="5"/>
        <v/>
      </c>
      <c r="AG44" s="40" t="str">
        <f t="shared" si="2"/>
        <v/>
      </c>
      <c r="AH44" s="40" t="str">
        <f>IF(I44="","",IF(#REF!&gt;0,TRUE,FALSE))</f>
        <v/>
      </c>
      <c r="AI44" s="40">
        <v>34</v>
      </c>
      <c r="AJ44" s="40"/>
      <c r="AK44" s="40" t="str">
        <f t="array" ref="AK44">IFERROR(INDEX($AI$11:$AI$259,MATCH(0,IF(TRUE=$AF$11:$AF$259,COUNTIF($AK$10:$AK43,$AI$11:$AI$259),""),0)),"")</f>
        <v/>
      </c>
      <c r="AL44" s="40" t="str">
        <f t="array" ref="AL44">IFERROR(INDEX($AI$11:$AI$259,MATCH(0,IF(TRUE=$AG$11:$AG$259,COUNTIF($AL$10:$AL43,$AI$11:$AI$259),""),0)),"")</f>
        <v/>
      </c>
      <c r="AM44" s="40" t="str">
        <f t="array" ref="AM44">IFERROR(INDEX($AI$11:$AI$259,MATCH(0,IF(TRUE=$AH$11:$AH$259,COUNTIF($AM$10:$AM43,$AI$11:$AI$259),""),0)),"")</f>
        <v/>
      </c>
      <c r="AN44" s="40"/>
      <c r="AQ44" s="35">
        <f t="shared" si="6"/>
        <v>0</v>
      </c>
      <c r="AT44" s="885" t="str">
        <f>IF(AND(OR(Y44="Yes",Y44="Pending"),P44='G-1 All Habitats'!$X$3),Q44-U44-V44,"")</f>
        <v/>
      </c>
      <c r="AV44" s="542" t="str">
        <f>IFERROR(INDEX('G-1 All Habitats'!$B$3:$B$135,MATCH(F44,'G-1 All Habitats'!$A$3:$A$135,0)),"")</f>
        <v/>
      </c>
      <c r="AW44" s="35" t="str">
        <f>IF(AV44="","",VLOOKUP(AV44,'G-1 All Habitats'!$B$1:$T$135,19,FALSE))</f>
        <v/>
      </c>
    </row>
    <row r="45" spans="1:49" ht="14.5" hidden="1" thickBot="1">
      <c r="A45" s="35" t="str">
        <f>IFERROR(INDEX('G-1 All Habitats'!$AG$3:$AG$17,MATCH(E45,'G-1 All Habitats'!$AF$3:$AF$17,0)),"")</f>
        <v/>
      </c>
      <c r="B45" s="35" t="str">
        <f>IFERROR(INDEX('G-8 Condition Look up'!$I$4:$I$135,MATCH(AV45,'G-8 Condition Look up'!$A$4:$A$135,0)),"")</f>
        <v/>
      </c>
      <c r="D45" s="225">
        <v>35</v>
      </c>
      <c r="E45" s="211"/>
      <c r="F45" s="57"/>
      <c r="G45" s="263"/>
      <c r="H45" s="51"/>
      <c r="I45" s="275" t="str">
        <f>IF(AV45="","",IF(AND(AW45="Yes",G45="No"),"Irreplaceable habitat ▲",IF(AND(AW45="No",G45="Yes"),"Cannot be Irreplaceable ▲",VLOOKUP(AV45,'G-1 All Habitats'!$B$2:$M$135,10,FALSE))))</f>
        <v/>
      </c>
      <c r="J45" s="276" t="str">
        <f>IFERROR(VLOOKUP(I45,'G-1 All Habitats'!$V$3:$W$7,2,FALSE),"")</f>
        <v/>
      </c>
      <c r="K45" s="52"/>
      <c r="L45" s="276" t="str">
        <f>IFERROR(INDEX('G-8 Condition Look up'!$A$3:$H$135,MATCH(AV45,'G-8 Condition Look up'!$A$3:$A$135,0),MATCH(K45,'G-8 Condition Look up'!$A$3:$H$3,0)),"")</f>
        <v/>
      </c>
      <c r="M45" s="52"/>
      <c r="N45" s="295" t="str">
        <f>IF(M45="","",IF(VLOOKUP(M45,'G-3 Multipliers'!$L$3:$N$6,2,FALSE)=0,"Spatial Data Missing",VLOOKUP(M45,'G-3 Multipliers'!$L$3:$N$6,2,FALSE)))</f>
        <v/>
      </c>
      <c r="O45" s="281" t="str">
        <f>IF(M45="","",IF(VLOOKUP(M45,'G-3 Multipliers'!$L$3:$N$6,3,FALSE)=0,"Spatial Data Missing ▲",VLOOKUP(M45,'G-3 Multipliers'!$L$3:$N$6,3,FALSE)))</f>
        <v/>
      </c>
      <c r="P45" s="282" t="str">
        <f>(IF(G45="Yes","Bespoke compensation likely to be required",(IFERROR(VLOOKUP(AV45,'G-1 All Habitats'!$B$2:$M$135,12,FALSE),""))))</f>
        <v/>
      </c>
      <c r="Q45" s="289" t="str">
        <f>IFERROR(IF(AND(F45&lt;&gt;"",G45=""),"Confirm irreplaceable habitat status ▲",(IF(AND(E45="Individual trees",T45&gt;0,G45="Yes"),"Error - you cannot enhance irreplaceable individual trees ▲",(IF(AND(U45="Irreplaceable habitat - no units generated ⚠",(S45+T45)&lt;H45,OR(Y45="No",Y45="")),"Any Loss Unacceptable ⚠",(IF(U45="Irreplaceable habitat - no units generated ⚠",T45*J45*L45*O45,IF(AND(P45='G-1 All Habitats'!$X$9,AC45&gt;0,S45&lt;=0,T45&lt;=0,OR(Y45="No",Y45="")),"Any Loss Unacceptable ⚠",IF(AND(P45='G-1 All Habitats'!$X$9,AC45&gt;0,S45&lt;=0,T45&lt;=0,Y45="Yes"),0,(IF(AND(P45='G-1 All Habitats'!$X$9,(S45+T45)&lt;H45,OR(Y45="No",Y45="")),"Any Loss Unacceptable ⚠",(IF(P45="","",IF(AND(P45='G-1 All Habitats'!$X$9,T45&gt;0),U45+V45,IF(AND(P45='G-1 All Habitats'!$X$9,S45&gt;0),U45+V45,H45*J45*L45*O45))))))))))))))),"Check Data ▲")</f>
        <v/>
      </c>
      <c r="R45" s="38"/>
      <c r="S45" s="52"/>
      <c r="T45" s="53"/>
      <c r="U45" s="287" t="str">
        <f t="shared" si="0"/>
        <v/>
      </c>
      <c r="V45" s="287" t="str">
        <f t="shared" si="3"/>
        <v/>
      </c>
      <c r="W45" s="287" t="str">
        <f t="shared" si="4"/>
        <v/>
      </c>
      <c r="X45" s="291" t="str">
        <f>IFERROR(IF(H45="","",IF(H45-S45-T45=0&lt;0,"Error in Areas ▲",IF(S45+T45&gt;H45,"Error in Areas ▲",IF(AND(P45='G-1 All Habitats'!$X$9,Y45="Yes"),"Alternative Compensation ✓",IF(AND(P45='G-1 All Habitats'!$X$3,Y45="Yes"),"Alternative Compensation ✓",IF(AND(Y45="Pending",P45='G-1 All Habitats'!$X$3),"Bespoke compensation must be agreed ▲",IF(AND(Y45="Pending",P45='G-1 All Habitats'!$X$9),"Bespoke compensation must be agreed  ▲",IF(W45=0,0,IF(P45='G-1 All Habitats'!$X$9,"Any Loss Unacceptable ▲",Q45-U45-V45))))))))),"Check Data ▲")</f>
        <v/>
      </c>
      <c r="Y45" s="53"/>
      <c r="Z45" s="105"/>
      <c r="AA45" s="233"/>
      <c r="AB45" s="104"/>
      <c r="AC45" s="512" t="str">
        <f>IF(OR(P45="",Y45="Yes"),"",IF(P45='G-1 All Habitats'!$X$9,H45-S45-T45,"None"))</f>
        <v/>
      </c>
      <c r="AD45" s="513" t="str">
        <f>IF(P45="","",IF(P45='G-1 All Habitats'!$X$9,AC45*J45*L45*O45,"None"))</f>
        <v/>
      </c>
      <c r="AE45" s="35" t="str">
        <f t="shared" si="1"/>
        <v/>
      </c>
      <c r="AF45" s="40" t="str">
        <f t="shared" si="5"/>
        <v/>
      </c>
      <c r="AG45" s="40" t="str">
        <f t="shared" si="2"/>
        <v/>
      </c>
      <c r="AH45" s="40" t="str">
        <f>IF(I45="","",IF(#REF!&gt;0,TRUE,FALSE))</f>
        <v/>
      </c>
      <c r="AI45" s="40">
        <v>35</v>
      </c>
      <c r="AJ45" s="40"/>
      <c r="AK45" s="40" t="str">
        <f t="array" ref="AK45">IFERROR(INDEX($AI$11:$AI$259,MATCH(0,IF(TRUE=$AF$11:$AF$259,COUNTIF($AK$10:$AK44,$AI$11:$AI$259),""),0)),"")</f>
        <v/>
      </c>
      <c r="AL45" s="40" t="str">
        <f t="array" ref="AL45">IFERROR(INDEX($AI$11:$AI$259,MATCH(0,IF(TRUE=$AG$11:$AG$259,COUNTIF($AL$10:$AL44,$AI$11:$AI$259),""),0)),"")</f>
        <v/>
      </c>
      <c r="AM45" s="40" t="str">
        <f t="array" ref="AM45">IFERROR(INDEX($AI$11:$AI$259,MATCH(0,IF(TRUE=$AH$11:$AH$259,COUNTIF($AM$10:$AM44,$AI$11:$AI$259),""),0)),"")</f>
        <v/>
      </c>
      <c r="AN45" s="40"/>
      <c r="AQ45" s="35">
        <f t="shared" si="6"/>
        <v>0</v>
      </c>
      <c r="AT45" s="885" t="str">
        <f>IF(AND(OR(Y45="Yes",Y45="Pending"),P45='G-1 All Habitats'!$X$3),Q45-U45-V45,"")</f>
        <v/>
      </c>
      <c r="AV45" s="542" t="str">
        <f>IFERROR(INDEX('G-1 All Habitats'!$B$3:$B$135,MATCH(F45,'G-1 All Habitats'!$A$3:$A$135,0)),"")</f>
        <v/>
      </c>
      <c r="AW45" s="35" t="str">
        <f>IF(AV45="","",VLOOKUP(AV45,'G-1 All Habitats'!$B$1:$T$135,19,FALSE))</f>
        <v/>
      </c>
    </row>
    <row r="46" spans="1:49" ht="14.5" hidden="1" thickBot="1">
      <c r="A46" s="35" t="str">
        <f>IFERROR(INDEX('G-1 All Habitats'!$AG$3:$AG$17,MATCH(E46,'G-1 All Habitats'!$AF$3:$AF$17,0)),"")</f>
        <v/>
      </c>
      <c r="B46" s="35" t="str">
        <f>IFERROR(INDEX('G-8 Condition Look up'!$I$4:$I$135,MATCH(AV46,'G-8 Condition Look up'!$A$4:$A$135,0)),"")</f>
        <v/>
      </c>
      <c r="D46" s="225">
        <v>36</v>
      </c>
      <c r="E46" s="211"/>
      <c r="F46" s="57"/>
      <c r="G46" s="263"/>
      <c r="H46" s="51"/>
      <c r="I46" s="275" t="str">
        <f>IF(AV46="","",IF(AND(AW46="Yes",G46="No"),"Irreplaceable habitat ▲",IF(AND(AW46="No",G46="Yes"),"Cannot be Irreplaceable ▲",VLOOKUP(AV46,'G-1 All Habitats'!$B$2:$M$135,10,FALSE))))</f>
        <v/>
      </c>
      <c r="J46" s="276" t="str">
        <f>IFERROR(VLOOKUP(I46,'G-1 All Habitats'!$V$3:$W$7,2,FALSE),"")</f>
        <v/>
      </c>
      <c r="K46" s="52"/>
      <c r="L46" s="276" t="str">
        <f>IFERROR(INDEX('G-8 Condition Look up'!$A$3:$H$135,MATCH(AV46,'G-8 Condition Look up'!$A$3:$A$135,0),MATCH(K46,'G-8 Condition Look up'!$A$3:$H$3,0)),"")</f>
        <v/>
      </c>
      <c r="M46" s="52"/>
      <c r="N46" s="295" t="str">
        <f>IF(M46="","",IF(VLOOKUP(M46,'G-3 Multipliers'!$L$3:$N$6,2,FALSE)=0,"Spatial Data Missing",VLOOKUP(M46,'G-3 Multipliers'!$L$3:$N$6,2,FALSE)))</f>
        <v/>
      </c>
      <c r="O46" s="281" t="str">
        <f>IF(M46="","",IF(VLOOKUP(M46,'G-3 Multipliers'!$L$3:$N$6,3,FALSE)=0,"Spatial Data Missing ▲",VLOOKUP(M46,'G-3 Multipliers'!$L$3:$N$6,3,FALSE)))</f>
        <v/>
      </c>
      <c r="P46" s="282" t="str">
        <f>(IF(G46="Yes","Bespoke compensation likely to be required",(IFERROR(VLOOKUP(AV46,'G-1 All Habitats'!$B$2:$M$135,12,FALSE),""))))</f>
        <v/>
      </c>
      <c r="Q46" s="289" t="str">
        <f>IFERROR(IF(AND(F46&lt;&gt;"",G46=""),"Confirm irreplaceable habitat status ▲",(IF(AND(E46="Individual trees",T46&gt;0,G46="Yes"),"Error - you cannot enhance irreplaceable individual trees ▲",(IF(AND(U46="Irreplaceable habitat - no units generated ⚠",(S46+T46)&lt;H46,OR(Y46="No",Y46="")),"Any Loss Unacceptable ⚠",(IF(U46="Irreplaceable habitat - no units generated ⚠",T46*J46*L46*O46,IF(AND(P46='G-1 All Habitats'!$X$9,AC46&gt;0,S46&lt;=0,T46&lt;=0,OR(Y46="No",Y46="")),"Any Loss Unacceptable ⚠",IF(AND(P46='G-1 All Habitats'!$X$9,AC46&gt;0,S46&lt;=0,T46&lt;=0,Y46="Yes"),0,(IF(AND(P46='G-1 All Habitats'!$X$9,(S46+T46)&lt;H46,OR(Y46="No",Y46="")),"Any Loss Unacceptable ⚠",(IF(P46="","",IF(AND(P46='G-1 All Habitats'!$X$9,T46&gt;0),U46+V46,IF(AND(P46='G-1 All Habitats'!$X$9,S46&gt;0),U46+V46,H46*J46*L46*O46))))))))))))))),"Check Data ▲")</f>
        <v/>
      </c>
      <c r="R46" s="38"/>
      <c r="S46" s="52"/>
      <c r="T46" s="53"/>
      <c r="U46" s="287" t="str">
        <f t="shared" si="0"/>
        <v/>
      </c>
      <c r="V46" s="287" t="str">
        <f t="shared" si="3"/>
        <v/>
      </c>
      <c r="W46" s="287" t="str">
        <f t="shared" si="4"/>
        <v/>
      </c>
      <c r="X46" s="291" t="str">
        <f>IFERROR(IF(H46="","",IF(H46-S46-T46=0&lt;0,"Error in Areas ▲",IF(S46+T46&gt;H46,"Error in Areas ▲",IF(AND(P46='G-1 All Habitats'!$X$9,Y46="Yes"),"Alternative Compensation ✓",IF(AND(P46='G-1 All Habitats'!$X$3,Y46="Yes"),"Alternative Compensation ✓",IF(AND(Y46="Pending",P46='G-1 All Habitats'!$X$3),"Bespoke compensation must be agreed ▲",IF(AND(Y46="Pending",P46='G-1 All Habitats'!$X$9),"Bespoke compensation must be agreed  ▲",IF(W46=0,0,IF(P46='G-1 All Habitats'!$X$9,"Any Loss Unacceptable ▲",Q46-U46-V46))))))))),"Check Data ▲")</f>
        <v/>
      </c>
      <c r="Y46" s="53"/>
      <c r="Z46" s="105"/>
      <c r="AA46" s="233"/>
      <c r="AB46" s="104"/>
      <c r="AC46" s="512" t="str">
        <f>IF(OR(P46="",Y46="Yes"),"",IF(P46='G-1 All Habitats'!$X$9,H46-S46-T46,"None"))</f>
        <v/>
      </c>
      <c r="AD46" s="513" t="str">
        <f>IF(P46="","",IF(P46='G-1 All Habitats'!$X$9,AC46*J46*L46*O46,"None"))</f>
        <v/>
      </c>
      <c r="AE46" s="35" t="str">
        <f t="shared" si="1"/>
        <v/>
      </c>
      <c r="AF46" s="40" t="str">
        <f t="shared" si="5"/>
        <v/>
      </c>
      <c r="AG46" s="40" t="str">
        <f t="shared" si="2"/>
        <v/>
      </c>
      <c r="AH46" s="40" t="str">
        <f>IF(I46="","",IF(#REF!&gt;0,TRUE,FALSE))</f>
        <v/>
      </c>
      <c r="AI46" s="40">
        <v>36</v>
      </c>
      <c r="AJ46" s="40"/>
      <c r="AK46" s="40" t="str">
        <f t="array" ref="AK46">IFERROR(INDEX($AI$11:$AI$259,MATCH(0,IF(TRUE=$AF$11:$AF$259,COUNTIF($AK$10:$AK45,$AI$11:$AI$259),""),0)),"")</f>
        <v/>
      </c>
      <c r="AL46" s="40" t="str">
        <f t="array" ref="AL46">IFERROR(INDEX($AI$11:$AI$259,MATCH(0,IF(TRUE=$AG$11:$AG$259,COUNTIF($AL$10:$AL45,$AI$11:$AI$259),""),0)),"")</f>
        <v/>
      </c>
      <c r="AM46" s="40" t="str">
        <f t="array" ref="AM46">IFERROR(INDEX($AI$11:$AI$259,MATCH(0,IF(TRUE=$AH$11:$AH$259,COUNTIF($AM$10:$AM45,$AI$11:$AI$259),""),0)),"")</f>
        <v/>
      </c>
      <c r="AN46" s="40"/>
      <c r="AQ46" s="35">
        <f t="shared" si="6"/>
        <v>0</v>
      </c>
      <c r="AT46" s="885" t="str">
        <f>IF(AND(OR(Y46="Yes",Y46="Pending"),P46='G-1 All Habitats'!$X$3),Q46-U46-V46,"")</f>
        <v/>
      </c>
      <c r="AV46" s="542" t="str">
        <f>IFERROR(INDEX('G-1 All Habitats'!$B$3:$B$135,MATCH(F46,'G-1 All Habitats'!$A$3:$A$135,0)),"")</f>
        <v/>
      </c>
      <c r="AW46" s="35" t="str">
        <f>IF(AV46="","",VLOOKUP(AV46,'G-1 All Habitats'!$B$1:$T$135,19,FALSE))</f>
        <v/>
      </c>
    </row>
    <row r="47" spans="1:49" ht="14.5" hidden="1" thickBot="1">
      <c r="A47" s="35" t="str">
        <f>IFERROR(INDEX('G-1 All Habitats'!$AG$3:$AG$17,MATCH(E47,'G-1 All Habitats'!$AF$3:$AF$17,0)),"")</f>
        <v/>
      </c>
      <c r="B47" s="35" t="str">
        <f>IFERROR(INDEX('G-8 Condition Look up'!$I$4:$I$135,MATCH(AV47,'G-8 Condition Look up'!$A$4:$A$135,0)),"")</f>
        <v/>
      </c>
      <c r="D47" s="225">
        <v>37</v>
      </c>
      <c r="E47" s="211"/>
      <c r="F47" s="57"/>
      <c r="G47" s="263"/>
      <c r="H47" s="51"/>
      <c r="I47" s="275" t="str">
        <f>IF(AV47="","",IF(AND(AW47="Yes",G47="No"),"Irreplaceable habitat ▲",IF(AND(AW47="No",G47="Yes"),"Cannot be Irreplaceable ▲",VLOOKUP(AV47,'G-1 All Habitats'!$B$2:$M$135,10,FALSE))))</f>
        <v/>
      </c>
      <c r="J47" s="276" t="str">
        <f>IFERROR(VLOOKUP(I47,'G-1 All Habitats'!$V$3:$W$7,2,FALSE),"")</f>
        <v/>
      </c>
      <c r="K47" s="52"/>
      <c r="L47" s="276" t="str">
        <f>IFERROR(INDEX('G-8 Condition Look up'!$A$3:$H$135,MATCH(AV47,'G-8 Condition Look up'!$A$3:$A$135,0),MATCH(K47,'G-8 Condition Look up'!$A$3:$H$3,0)),"")</f>
        <v/>
      </c>
      <c r="M47" s="52"/>
      <c r="N47" s="295" t="str">
        <f>IF(M47="","",IF(VLOOKUP(M47,'G-3 Multipliers'!$L$3:$N$6,2,FALSE)=0,"Spatial Data Missing",VLOOKUP(M47,'G-3 Multipliers'!$L$3:$N$6,2,FALSE)))</f>
        <v/>
      </c>
      <c r="O47" s="281" t="str">
        <f>IF(M47="","",IF(VLOOKUP(M47,'G-3 Multipliers'!$L$3:$N$6,3,FALSE)=0,"Spatial Data Missing ▲",VLOOKUP(M47,'G-3 Multipliers'!$L$3:$N$6,3,FALSE)))</f>
        <v/>
      </c>
      <c r="P47" s="282" t="str">
        <f>(IF(G47="Yes","Bespoke compensation likely to be required",(IFERROR(VLOOKUP(AV47,'G-1 All Habitats'!$B$2:$M$135,12,FALSE),""))))</f>
        <v/>
      </c>
      <c r="Q47" s="289" t="str">
        <f>IFERROR(IF(AND(F47&lt;&gt;"",G47=""),"Confirm irreplaceable habitat status ▲",(IF(AND(E47="Individual trees",T47&gt;0,G47="Yes"),"Error - you cannot enhance irreplaceable individual trees ▲",(IF(AND(U47="Irreplaceable habitat - no units generated ⚠",(S47+T47)&lt;H47,OR(Y47="No",Y47="")),"Any Loss Unacceptable ⚠",(IF(U47="Irreplaceable habitat - no units generated ⚠",T47*J47*L47*O47,IF(AND(P47='G-1 All Habitats'!$X$9,AC47&gt;0,S47&lt;=0,T47&lt;=0,OR(Y47="No",Y47="")),"Any Loss Unacceptable ⚠",IF(AND(P47='G-1 All Habitats'!$X$9,AC47&gt;0,S47&lt;=0,T47&lt;=0,Y47="Yes"),0,(IF(AND(P47='G-1 All Habitats'!$X$9,(S47+T47)&lt;H47,OR(Y47="No",Y47="")),"Any Loss Unacceptable ⚠",(IF(P47="","",IF(AND(P47='G-1 All Habitats'!$X$9,T47&gt;0),U47+V47,IF(AND(P47='G-1 All Habitats'!$X$9,S47&gt;0),U47+V47,H47*J47*L47*O47))))))))))))))),"Check Data ▲")</f>
        <v/>
      </c>
      <c r="R47" s="38"/>
      <c r="S47" s="52"/>
      <c r="T47" s="53"/>
      <c r="U47" s="287" t="str">
        <f t="shared" si="0"/>
        <v/>
      </c>
      <c r="V47" s="287" t="str">
        <f t="shared" si="3"/>
        <v/>
      </c>
      <c r="W47" s="287" t="str">
        <f t="shared" si="4"/>
        <v/>
      </c>
      <c r="X47" s="291" t="str">
        <f>IFERROR(IF(H47="","",IF(H47-S47-T47=0&lt;0,"Error in Areas ▲",IF(S47+T47&gt;H47,"Error in Areas ▲",IF(AND(P47='G-1 All Habitats'!$X$9,Y47="Yes"),"Alternative Compensation ✓",IF(AND(P47='G-1 All Habitats'!$X$3,Y47="Yes"),"Alternative Compensation ✓",IF(AND(Y47="Pending",P47='G-1 All Habitats'!$X$3),"Bespoke compensation must be agreed ▲",IF(AND(Y47="Pending",P47='G-1 All Habitats'!$X$9),"Bespoke compensation must be agreed  ▲",IF(W47=0,0,IF(P47='G-1 All Habitats'!$X$9,"Any Loss Unacceptable ▲",Q47-U47-V47))))))))),"Check Data ▲")</f>
        <v/>
      </c>
      <c r="Y47" s="53"/>
      <c r="Z47" s="105"/>
      <c r="AA47" s="233"/>
      <c r="AB47" s="104"/>
      <c r="AC47" s="512" t="str">
        <f>IF(OR(P47="",Y47="Yes"),"",IF(P47='G-1 All Habitats'!$X$9,H47-S47-T47,"None"))</f>
        <v/>
      </c>
      <c r="AD47" s="513" t="str">
        <f>IF(P47="","",IF(P47='G-1 All Habitats'!$X$9,AC47*J47*L47*O47,"None"))</f>
        <v/>
      </c>
      <c r="AE47" s="35" t="str">
        <f t="shared" si="1"/>
        <v/>
      </c>
      <c r="AF47" s="40" t="str">
        <f t="shared" si="5"/>
        <v/>
      </c>
      <c r="AG47" s="40" t="str">
        <f t="shared" si="2"/>
        <v/>
      </c>
      <c r="AH47" s="40" t="str">
        <f>IF(I47="","",IF(#REF!&gt;0,TRUE,FALSE))</f>
        <v/>
      </c>
      <c r="AI47" s="40">
        <v>37</v>
      </c>
      <c r="AJ47" s="40"/>
      <c r="AK47" s="40" t="str">
        <f t="array" ref="AK47">IFERROR(INDEX($AI$11:$AI$259,MATCH(0,IF(TRUE=$AF$11:$AF$259,COUNTIF($AK$10:$AK46,$AI$11:$AI$259),""),0)),"")</f>
        <v/>
      </c>
      <c r="AL47" s="40" t="str">
        <f t="array" ref="AL47">IFERROR(INDEX($AI$11:$AI$259,MATCH(0,IF(TRUE=$AG$11:$AG$259,COUNTIF($AL$10:$AL46,$AI$11:$AI$259),""),0)),"")</f>
        <v/>
      </c>
      <c r="AM47" s="40" t="str">
        <f t="array" ref="AM47">IFERROR(INDEX($AI$11:$AI$259,MATCH(0,IF(TRUE=$AH$11:$AH$259,COUNTIF($AM$10:$AM46,$AI$11:$AI$259),""),0)),"")</f>
        <v/>
      </c>
      <c r="AN47" s="40"/>
      <c r="AQ47" s="35">
        <f t="shared" si="6"/>
        <v>0</v>
      </c>
      <c r="AT47" s="885" t="str">
        <f>IF(AND(OR(Y47="Yes",Y47="Pending"),P47='G-1 All Habitats'!$X$3),Q47-U47-V47,"")</f>
        <v/>
      </c>
      <c r="AV47" s="542" t="str">
        <f>IFERROR(INDEX('G-1 All Habitats'!$B$3:$B$135,MATCH(F47,'G-1 All Habitats'!$A$3:$A$135,0)),"")</f>
        <v/>
      </c>
      <c r="AW47" s="35" t="str">
        <f>IF(AV47="","",VLOOKUP(AV47,'G-1 All Habitats'!$B$1:$T$135,19,FALSE))</f>
        <v/>
      </c>
    </row>
    <row r="48" spans="1:49" ht="14.5" hidden="1" thickBot="1">
      <c r="A48" s="35" t="str">
        <f>IFERROR(INDEX('G-1 All Habitats'!$AG$3:$AG$17,MATCH(E48,'G-1 All Habitats'!$AF$3:$AF$17,0)),"")</f>
        <v/>
      </c>
      <c r="B48" s="35" t="str">
        <f>IFERROR(INDEX('G-8 Condition Look up'!$I$4:$I$135,MATCH(AV48,'G-8 Condition Look up'!$A$4:$A$135,0)),"")</f>
        <v/>
      </c>
      <c r="D48" s="225">
        <v>38</v>
      </c>
      <c r="E48" s="211"/>
      <c r="F48" s="57"/>
      <c r="G48" s="263"/>
      <c r="H48" s="51"/>
      <c r="I48" s="275" t="str">
        <f>IF(AV48="","",IF(AND(AW48="Yes",G48="No"),"Irreplaceable habitat ▲",IF(AND(AW48="No",G48="Yes"),"Cannot be Irreplaceable ▲",VLOOKUP(AV48,'G-1 All Habitats'!$B$2:$M$135,10,FALSE))))</f>
        <v/>
      </c>
      <c r="J48" s="276" t="str">
        <f>IFERROR(VLOOKUP(I48,'G-1 All Habitats'!$V$3:$W$7,2,FALSE),"")</f>
        <v/>
      </c>
      <c r="K48" s="52"/>
      <c r="L48" s="276" t="str">
        <f>IFERROR(INDEX('G-8 Condition Look up'!$A$3:$H$135,MATCH(AV48,'G-8 Condition Look up'!$A$3:$A$135,0),MATCH(K48,'G-8 Condition Look up'!$A$3:$H$3,0)),"")</f>
        <v/>
      </c>
      <c r="M48" s="52"/>
      <c r="N48" s="295" t="str">
        <f>IF(M48="","",IF(VLOOKUP(M48,'G-3 Multipliers'!$L$3:$N$6,2,FALSE)=0,"Spatial Data Missing",VLOOKUP(M48,'G-3 Multipliers'!$L$3:$N$6,2,FALSE)))</f>
        <v/>
      </c>
      <c r="O48" s="281" t="str">
        <f>IF(M48="","",IF(VLOOKUP(M48,'G-3 Multipliers'!$L$3:$N$6,3,FALSE)=0,"Spatial Data Missing ▲",VLOOKUP(M48,'G-3 Multipliers'!$L$3:$N$6,3,FALSE)))</f>
        <v/>
      </c>
      <c r="P48" s="282" t="str">
        <f>(IF(G48="Yes","Bespoke compensation likely to be required",(IFERROR(VLOOKUP(AV48,'G-1 All Habitats'!$B$2:$M$135,12,FALSE),""))))</f>
        <v/>
      </c>
      <c r="Q48" s="289" t="str">
        <f>IFERROR(IF(AND(F48&lt;&gt;"",G48=""),"Confirm irreplaceable habitat status ▲",(IF(AND(E48="Individual trees",T48&gt;0,G48="Yes"),"Error - you cannot enhance irreplaceable individual trees ▲",(IF(AND(U48="Irreplaceable habitat - no units generated ⚠",(S48+T48)&lt;H48,OR(Y48="No",Y48="")),"Any Loss Unacceptable ⚠",(IF(U48="Irreplaceable habitat - no units generated ⚠",T48*J48*L48*O48,IF(AND(P48='G-1 All Habitats'!$X$9,AC48&gt;0,S48&lt;=0,T48&lt;=0,OR(Y48="No",Y48="")),"Any Loss Unacceptable ⚠",IF(AND(P48='G-1 All Habitats'!$X$9,AC48&gt;0,S48&lt;=0,T48&lt;=0,Y48="Yes"),0,(IF(AND(P48='G-1 All Habitats'!$X$9,(S48+T48)&lt;H48,OR(Y48="No",Y48="")),"Any Loss Unacceptable ⚠",(IF(P48="","",IF(AND(P48='G-1 All Habitats'!$X$9,T48&gt;0),U48+V48,IF(AND(P48='G-1 All Habitats'!$X$9,S48&gt;0),U48+V48,H48*J48*L48*O48))))))))))))))),"Check Data ▲")</f>
        <v/>
      </c>
      <c r="R48" s="38"/>
      <c r="S48" s="52"/>
      <c r="T48" s="53"/>
      <c r="U48" s="287" t="str">
        <f t="shared" si="0"/>
        <v/>
      </c>
      <c r="V48" s="287" t="str">
        <f t="shared" si="3"/>
        <v/>
      </c>
      <c r="W48" s="287" t="str">
        <f t="shared" si="4"/>
        <v/>
      </c>
      <c r="X48" s="291" t="str">
        <f>IFERROR(IF(H48="","",IF(H48-S48-T48=0&lt;0,"Error in Areas ▲",IF(S48+T48&gt;H48,"Error in Areas ▲",IF(AND(P48='G-1 All Habitats'!$X$9,Y48="Yes"),"Alternative Compensation ✓",IF(AND(P48='G-1 All Habitats'!$X$3,Y48="Yes"),"Alternative Compensation ✓",IF(AND(Y48="Pending",P48='G-1 All Habitats'!$X$3),"Bespoke compensation must be agreed ▲",IF(AND(Y48="Pending",P48='G-1 All Habitats'!$X$9),"Bespoke compensation must be agreed  ▲",IF(W48=0,0,IF(P48='G-1 All Habitats'!$X$9,"Any Loss Unacceptable ▲",Q48-U48-V48))))))))),"Check Data ▲")</f>
        <v/>
      </c>
      <c r="Y48" s="53"/>
      <c r="Z48" s="105"/>
      <c r="AA48" s="233"/>
      <c r="AB48" s="104"/>
      <c r="AC48" s="512" t="str">
        <f>IF(OR(P48="",Y48="Yes"),"",IF(P48='G-1 All Habitats'!$X$9,H48-S48-T48,"None"))</f>
        <v/>
      </c>
      <c r="AD48" s="513" t="str">
        <f>IF(P48="","",IF(P48='G-1 All Habitats'!$X$9,AC48*J48*L48*O48,"None"))</f>
        <v/>
      </c>
      <c r="AE48" s="35" t="str">
        <f t="shared" si="1"/>
        <v/>
      </c>
      <c r="AF48" s="40" t="str">
        <f t="shared" si="5"/>
        <v/>
      </c>
      <c r="AG48" s="40" t="str">
        <f t="shared" si="2"/>
        <v/>
      </c>
      <c r="AH48" s="40" t="str">
        <f>IF(I48="","",IF(#REF!&gt;0,TRUE,FALSE))</f>
        <v/>
      </c>
      <c r="AI48" s="40">
        <v>38</v>
      </c>
      <c r="AJ48" s="40"/>
      <c r="AK48" s="40" t="str">
        <f t="array" ref="AK48">IFERROR(INDEX($AI$11:$AI$259,MATCH(0,IF(TRUE=$AF$11:$AF$259,COUNTIF($AK$10:$AK47,$AI$11:$AI$259),""),0)),"")</f>
        <v/>
      </c>
      <c r="AL48" s="40" t="str">
        <f t="array" ref="AL48">IFERROR(INDEX($AI$11:$AI$259,MATCH(0,IF(TRUE=$AG$11:$AG$259,COUNTIF($AL$10:$AL47,$AI$11:$AI$259),""),0)),"")</f>
        <v/>
      </c>
      <c r="AM48" s="40" t="str">
        <f t="array" ref="AM48">IFERROR(INDEX($AI$11:$AI$259,MATCH(0,IF(TRUE=$AH$11:$AH$259,COUNTIF($AM$10:$AM47,$AI$11:$AI$259),""),0)),"")</f>
        <v/>
      </c>
      <c r="AN48" s="40"/>
      <c r="AQ48" s="35">
        <f t="shared" si="6"/>
        <v>0</v>
      </c>
      <c r="AT48" s="885" t="str">
        <f>IF(AND(OR(Y48="Yes",Y48="Pending"),P48='G-1 All Habitats'!$X$3),Q48-U48-V48,"")</f>
        <v/>
      </c>
      <c r="AV48" s="542" t="str">
        <f>IFERROR(INDEX('G-1 All Habitats'!$B$3:$B$135,MATCH(F48,'G-1 All Habitats'!$A$3:$A$135,0)),"")</f>
        <v/>
      </c>
      <c r="AW48" s="35" t="str">
        <f>IF(AV48="","",VLOOKUP(AV48,'G-1 All Habitats'!$B$1:$T$135,19,FALSE))</f>
        <v/>
      </c>
    </row>
    <row r="49" spans="1:49" ht="14.5" hidden="1" thickBot="1">
      <c r="A49" s="35" t="str">
        <f>IFERROR(INDEX('G-1 All Habitats'!$AG$3:$AG$17,MATCH(E49,'G-1 All Habitats'!$AF$3:$AF$17,0)),"")</f>
        <v/>
      </c>
      <c r="B49" s="35" t="str">
        <f>IFERROR(INDEX('G-8 Condition Look up'!$I$4:$I$135,MATCH(AV49,'G-8 Condition Look up'!$A$4:$A$135,0)),"")</f>
        <v/>
      </c>
      <c r="D49" s="225">
        <v>39</v>
      </c>
      <c r="E49" s="211"/>
      <c r="F49" s="57"/>
      <c r="G49" s="263"/>
      <c r="H49" s="51"/>
      <c r="I49" s="275" t="str">
        <f>IF(AV49="","",IF(AND(AW49="Yes",G49="No"),"Irreplaceable habitat ▲",IF(AND(AW49="No",G49="Yes"),"Cannot be Irreplaceable ▲",VLOOKUP(AV49,'G-1 All Habitats'!$B$2:$M$135,10,FALSE))))</f>
        <v/>
      </c>
      <c r="J49" s="276" t="str">
        <f>IFERROR(VLOOKUP(I49,'G-1 All Habitats'!$V$3:$W$7,2,FALSE),"")</f>
        <v/>
      </c>
      <c r="K49" s="52"/>
      <c r="L49" s="276" t="str">
        <f>IFERROR(INDEX('G-8 Condition Look up'!$A$3:$H$135,MATCH(AV49,'G-8 Condition Look up'!$A$3:$A$135,0),MATCH(K49,'G-8 Condition Look up'!$A$3:$H$3,0)),"")</f>
        <v/>
      </c>
      <c r="M49" s="52"/>
      <c r="N49" s="295" t="str">
        <f>IF(M49="","",IF(VLOOKUP(M49,'G-3 Multipliers'!$L$3:$N$6,2,FALSE)=0,"Spatial Data Missing",VLOOKUP(M49,'G-3 Multipliers'!$L$3:$N$6,2,FALSE)))</f>
        <v/>
      </c>
      <c r="O49" s="281" t="str">
        <f>IF(M49="","",IF(VLOOKUP(M49,'G-3 Multipliers'!$L$3:$N$6,3,FALSE)=0,"Spatial Data Missing ▲",VLOOKUP(M49,'G-3 Multipliers'!$L$3:$N$6,3,FALSE)))</f>
        <v/>
      </c>
      <c r="P49" s="282" t="str">
        <f>(IF(G49="Yes","Bespoke compensation likely to be required",(IFERROR(VLOOKUP(AV49,'G-1 All Habitats'!$B$2:$M$135,12,FALSE),""))))</f>
        <v/>
      </c>
      <c r="Q49" s="289" t="str">
        <f>IFERROR(IF(AND(F49&lt;&gt;"",G49=""),"Confirm irreplaceable habitat status ▲",(IF(AND(E49="Individual trees",T49&gt;0,G49="Yes"),"Error - you cannot enhance irreplaceable individual trees ▲",(IF(AND(U49="Irreplaceable habitat - no units generated ⚠",(S49+T49)&lt;H49,OR(Y49="No",Y49="")),"Any Loss Unacceptable ⚠",(IF(U49="Irreplaceable habitat - no units generated ⚠",T49*J49*L49*O49,IF(AND(P49='G-1 All Habitats'!$X$9,AC49&gt;0,S49&lt;=0,T49&lt;=0,OR(Y49="No",Y49="")),"Any Loss Unacceptable ⚠",IF(AND(P49='G-1 All Habitats'!$X$9,AC49&gt;0,S49&lt;=0,T49&lt;=0,Y49="Yes"),0,(IF(AND(P49='G-1 All Habitats'!$X$9,(S49+T49)&lt;H49,OR(Y49="No",Y49="")),"Any Loss Unacceptable ⚠",(IF(P49="","",IF(AND(P49='G-1 All Habitats'!$X$9,T49&gt;0),U49+V49,IF(AND(P49='G-1 All Habitats'!$X$9,S49&gt;0),U49+V49,H49*J49*L49*O49))))))))))))))),"Check Data ▲")</f>
        <v/>
      </c>
      <c r="R49" s="38"/>
      <c r="S49" s="52"/>
      <c r="T49" s="53"/>
      <c r="U49" s="287" t="str">
        <f t="shared" si="0"/>
        <v/>
      </c>
      <c r="V49" s="287" t="str">
        <f t="shared" si="3"/>
        <v/>
      </c>
      <c r="W49" s="287" t="str">
        <f t="shared" si="4"/>
        <v/>
      </c>
      <c r="X49" s="291" t="str">
        <f>IFERROR(IF(H49="","",IF(H49-S49-T49=0&lt;0,"Error in Areas ▲",IF(S49+T49&gt;H49,"Error in Areas ▲",IF(AND(P49='G-1 All Habitats'!$X$9,Y49="Yes"),"Alternative Compensation ✓",IF(AND(P49='G-1 All Habitats'!$X$3,Y49="Yes"),"Alternative Compensation ✓",IF(AND(Y49="Pending",P49='G-1 All Habitats'!$X$3),"Bespoke compensation must be agreed ▲",IF(AND(Y49="Pending",P49='G-1 All Habitats'!$X$9),"Bespoke compensation must be agreed  ▲",IF(W49=0,0,IF(P49='G-1 All Habitats'!$X$9,"Any Loss Unacceptable ▲",Q49-U49-V49))))))))),"Check Data ▲")</f>
        <v/>
      </c>
      <c r="Y49" s="53"/>
      <c r="Z49" s="105"/>
      <c r="AA49" s="233"/>
      <c r="AB49" s="104"/>
      <c r="AC49" s="512" t="str">
        <f>IF(OR(P49="",Y49="Yes"),"",IF(P49='G-1 All Habitats'!$X$9,H49-S49-T49,"None"))</f>
        <v/>
      </c>
      <c r="AD49" s="513" t="str">
        <f>IF(P49="","",IF(P49='G-1 All Habitats'!$X$9,AC49*J49*L49*O49,"None"))</f>
        <v/>
      </c>
      <c r="AE49" s="35" t="str">
        <f t="shared" si="1"/>
        <v/>
      </c>
      <c r="AF49" s="40" t="str">
        <f t="shared" si="5"/>
        <v/>
      </c>
      <c r="AG49" s="40" t="str">
        <f t="shared" si="2"/>
        <v/>
      </c>
      <c r="AH49" s="40" t="str">
        <f>IF(I49="","",IF(#REF!&gt;0,TRUE,FALSE))</f>
        <v/>
      </c>
      <c r="AI49" s="40">
        <v>39</v>
      </c>
      <c r="AJ49" s="40"/>
      <c r="AK49" s="40" t="str">
        <f t="array" ref="AK49">IFERROR(INDEX($AI$11:$AI$259,MATCH(0,IF(TRUE=$AF$11:$AF$259,COUNTIF($AK$10:$AK48,$AI$11:$AI$259),""),0)),"")</f>
        <v/>
      </c>
      <c r="AL49" s="40" t="str">
        <f t="array" ref="AL49">IFERROR(INDEX($AI$11:$AI$259,MATCH(0,IF(TRUE=$AG$11:$AG$259,COUNTIF($AL$10:$AL48,$AI$11:$AI$259),""),0)),"")</f>
        <v/>
      </c>
      <c r="AM49" s="40" t="str">
        <f t="array" ref="AM49">IFERROR(INDEX($AI$11:$AI$259,MATCH(0,IF(TRUE=$AH$11:$AH$259,COUNTIF($AM$10:$AM48,$AI$11:$AI$259),""),0)),"")</f>
        <v/>
      </c>
      <c r="AN49" s="40"/>
      <c r="AQ49" s="35">
        <f t="shared" si="6"/>
        <v>0</v>
      </c>
      <c r="AT49" s="885" t="str">
        <f>IF(AND(OR(Y49="Yes",Y49="Pending"),P49='G-1 All Habitats'!$X$3),Q49-U49-V49,"")</f>
        <v/>
      </c>
      <c r="AV49" s="542" t="str">
        <f>IFERROR(INDEX('G-1 All Habitats'!$B$3:$B$135,MATCH(F49,'G-1 All Habitats'!$A$3:$A$135,0)),"")</f>
        <v/>
      </c>
      <c r="AW49" s="35" t="str">
        <f>IF(AV49="","",VLOOKUP(AV49,'G-1 All Habitats'!$B$1:$T$135,19,FALSE))</f>
        <v/>
      </c>
    </row>
    <row r="50" spans="1:49" ht="14.5" hidden="1" thickBot="1">
      <c r="A50" s="35" t="str">
        <f>IFERROR(INDEX('G-1 All Habitats'!$AG$3:$AG$17,MATCH(E50,'G-1 All Habitats'!$AF$3:$AF$17,0)),"")</f>
        <v/>
      </c>
      <c r="B50" s="35" t="str">
        <f>IFERROR(INDEX('G-8 Condition Look up'!$I$4:$I$135,MATCH(AV50,'G-8 Condition Look up'!$A$4:$A$135,0)),"")</f>
        <v/>
      </c>
      <c r="D50" s="225">
        <v>40</v>
      </c>
      <c r="E50" s="211"/>
      <c r="F50" s="57"/>
      <c r="G50" s="263"/>
      <c r="H50" s="51"/>
      <c r="I50" s="275" t="str">
        <f>IF(AV50="","",IF(AND(AW50="Yes",G50="No"),"Irreplaceable habitat ▲",IF(AND(AW50="No",G50="Yes"),"Cannot be Irreplaceable ▲",VLOOKUP(AV50,'G-1 All Habitats'!$B$2:$M$135,10,FALSE))))</f>
        <v/>
      </c>
      <c r="J50" s="276" t="str">
        <f>IFERROR(VLOOKUP(I50,'G-1 All Habitats'!$V$3:$W$7,2,FALSE),"")</f>
        <v/>
      </c>
      <c r="K50" s="52"/>
      <c r="L50" s="276" t="str">
        <f>IFERROR(INDEX('G-8 Condition Look up'!$A$3:$H$135,MATCH(AV50,'G-8 Condition Look up'!$A$3:$A$135,0),MATCH(K50,'G-8 Condition Look up'!$A$3:$H$3,0)),"")</f>
        <v/>
      </c>
      <c r="M50" s="52"/>
      <c r="N50" s="295" t="str">
        <f>IF(M50="","",IF(VLOOKUP(M50,'G-3 Multipliers'!$L$3:$N$6,2,FALSE)=0,"Spatial Data Missing",VLOOKUP(M50,'G-3 Multipliers'!$L$3:$N$6,2,FALSE)))</f>
        <v/>
      </c>
      <c r="O50" s="281" t="str">
        <f>IF(M50="","",IF(VLOOKUP(M50,'G-3 Multipliers'!$L$3:$N$6,3,FALSE)=0,"Spatial Data Missing ▲",VLOOKUP(M50,'G-3 Multipliers'!$L$3:$N$6,3,FALSE)))</f>
        <v/>
      </c>
      <c r="P50" s="282" t="str">
        <f>(IF(G50="Yes","Bespoke compensation likely to be required",(IFERROR(VLOOKUP(AV50,'G-1 All Habitats'!$B$2:$M$135,12,FALSE),""))))</f>
        <v/>
      </c>
      <c r="Q50" s="289" t="str">
        <f>IFERROR(IF(AND(F50&lt;&gt;"",G50=""),"Confirm irreplaceable habitat status ▲",(IF(AND(E50="Individual trees",T50&gt;0,G50="Yes"),"Error - you cannot enhance irreplaceable individual trees ▲",(IF(AND(U50="Irreplaceable habitat - no units generated ⚠",(S50+T50)&lt;H50,OR(Y50="No",Y50="")),"Any Loss Unacceptable ⚠",(IF(U50="Irreplaceable habitat - no units generated ⚠",T50*J50*L50*O50,IF(AND(P50='G-1 All Habitats'!$X$9,AC50&gt;0,S50&lt;=0,T50&lt;=0,OR(Y50="No",Y50="")),"Any Loss Unacceptable ⚠",IF(AND(P50='G-1 All Habitats'!$X$9,AC50&gt;0,S50&lt;=0,T50&lt;=0,Y50="Yes"),0,(IF(AND(P50='G-1 All Habitats'!$X$9,(S50+T50)&lt;H50,OR(Y50="No",Y50="")),"Any Loss Unacceptable ⚠",(IF(P50="","",IF(AND(P50='G-1 All Habitats'!$X$9,T50&gt;0),U50+V50,IF(AND(P50='G-1 All Habitats'!$X$9,S50&gt;0),U50+V50,H50*J50*L50*O50))))))))))))))),"Check Data ▲")</f>
        <v/>
      </c>
      <c r="R50" s="38"/>
      <c r="S50" s="52"/>
      <c r="T50" s="53"/>
      <c r="U50" s="287" t="str">
        <f t="shared" si="0"/>
        <v/>
      </c>
      <c r="V50" s="287" t="str">
        <f t="shared" si="3"/>
        <v/>
      </c>
      <c r="W50" s="287" t="str">
        <f t="shared" si="4"/>
        <v/>
      </c>
      <c r="X50" s="291" t="str">
        <f>IFERROR(IF(H50="","",IF(H50-S50-T50=0&lt;0,"Error in Areas ▲",IF(S50+T50&gt;H50,"Error in Areas ▲",IF(AND(P50='G-1 All Habitats'!$X$9,Y50="Yes"),"Alternative Compensation ✓",IF(AND(P50='G-1 All Habitats'!$X$3,Y50="Yes"),"Alternative Compensation ✓",IF(AND(Y50="Pending",P50='G-1 All Habitats'!$X$3),"Bespoke compensation must be agreed ▲",IF(AND(Y50="Pending",P50='G-1 All Habitats'!$X$9),"Bespoke compensation must be agreed  ▲",IF(W50=0,0,IF(P50='G-1 All Habitats'!$X$9,"Any Loss Unacceptable ▲",Q50-U50-V50))))))))),"Check Data ▲")</f>
        <v/>
      </c>
      <c r="Y50" s="53"/>
      <c r="Z50" s="105"/>
      <c r="AA50" s="233"/>
      <c r="AB50" s="104"/>
      <c r="AC50" s="512" t="str">
        <f>IF(OR(P50="",Y50="Yes"),"",IF(P50='G-1 All Habitats'!$X$9,H50-S50-T50,"None"))</f>
        <v/>
      </c>
      <c r="AD50" s="513" t="str">
        <f>IF(P50="","",IF(P50='G-1 All Habitats'!$X$9,AC50*J50*L50*O50,"None"))</f>
        <v/>
      </c>
      <c r="AE50" s="35" t="str">
        <f t="shared" si="1"/>
        <v/>
      </c>
      <c r="AF50" s="40" t="str">
        <f t="shared" si="5"/>
        <v/>
      </c>
      <c r="AG50" s="40" t="str">
        <f t="shared" si="2"/>
        <v/>
      </c>
      <c r="AH50" s="40" t="str">
        <f>IF(I50="","",IF(#REF!&gt;0,TRUE,FALSE))</f>
        <v/>
      </c>
      <c r="AI50" s="40">
        <v>40</v>
      </c>
      <c r="AJ50" s="40"/>
      <c r="AK50" s="40" t="str">
        <f t="array" ref="AK50">IFERROR(INDEX($AI$11:$AI$259,MATCH(0,IF(TRUE=$AF$11:$AF$259,COUNTIF($AK$10:$AK49,$AI$11:$AI$259),""),0)),"")</f>
        <v/>
      </c>
      <c r="AL50" s="40" t="str">
        <f t="array" ref="AL50">IFERROR(INDEX($AI$11:$AI$259,MATCH(0,IF(TRUE=$AG$11:$AG$259,COUNTIF($AL$10:$AL49,$AI$11:$AI$259),""),0)),"")</f>
        <v/>
      </c>
      <c r="AM50" s="40" t="str">
        <f t="array" ref="AM50">IFERROR(INDEX($AI$11:$AI$259,MATCH(0,IF(TRUE=$AH$11:$AH$259,COUNTIF($AM$10:$AM49,$AI$11:$AI$259),""),0)),"")</f>
        <v/>
      </c>
      <c r="AN50" s="40"/>
      <c r="AQ50" s="35">
        <f t="shared" si="6"/>
        <v>0</v>
      </c>
      <c r="AT50" s="885" t="str">
        <f>IF(AND(OR(Y50="Yes",Y50="Pending"),P50='G-1 All Habitats'!$X$3),Q50-U50-V50,"")</f>
        <v/>
      </c>
      <c r="AV50" s="542" t="str">
        <f>IFERROR(INDEX('G-1 All Habitats'!$B$3:$B$135,MATCH(F50,'G-1 All Habitats'!$A$3:$A$135,0)),"")</f>
        <v/>
      </c>
      <c r="AW50" s="35" t="str">
        <f>IF(AV50="","",VLOOKUP(AV50,'G-1 All Habitats'!$B$1:$T$135,19,FALSE))</f>
        <v/>
      </c>
    </row>
    <row r="51" spans="1:49" ht="14.5" hidden="1" thickBot="1">
      <c r="A51" s="35" t="str">
        <f>IFERROR(INDEX('G-1 All Habitats'!$AG$3:$AG$17,MATCH(E51,'G-1 All Habitats'!$AF$3:$AF$17,0)),"")</f>
        <v/>
      </c>
      <c r="B51" s="35" t="str">
        <f>IFERROR(INDEX('G-8 Condition Look up'!$I$4:$I$135,MATCH(AV51,'G-8 Condition Look up'!$A$4:$A$135,0)),"")</f>
        <v/>
      </c>
      <c r="D51" s="225">
        <v>41</v>
      </c>
      <c r="E51" s="211"/>
      <c r="F51" s="57"/>
      <c r="G51" s="263"/>
      <c r="H51" s="51"/>
      <c r="I51" s="275" t="str">
        <f>IF(AV51="","",IF(AND(AW51="Yes",G51="No"),"Irreplaceable habitat ▲",IF(AND(AW51="No",G51="Yes"),"Cannot be Irreplaceable ▲",VLOOKUP(AV51,'G-1 All Habitats'!$B$2:$M$135,10,FALSE))))</f>
        <v/>
      </c>
      <c r="J51" s="276" t="str">
        <f>IFERROR(VLOOKUP(I51,'G-1 All Habitats'!$V$3:$W$7,2,FALSE),"")</f>
        <v/>
      </c>
      <c r="K51" s="52"/>
      <c r="L51" s="276" t="str">
        <f>IFERROR(INDEX('G-8 Condition Look up'!$A$3:$H$135,MATCH(AV51,'G-8 Condition Look up'!$A$3:$A$135,0),MATCH(K51,'G-8 Condition Look up'!$A$3:$H$3,0)),"")</f>
        <v/>
      </c>
      <c r="M51" s="52"/>
      <c r="N51" s="295" t="str">
        <f>IF(M51="","",IF(VLOOKUP(M51,'G-3 Multipliers'!$L$3:$N$6,2,FALSE)=0,"Spatial Data Missing",VLOOKUP(M51,'G-3 Multipliers'!$L$3:$N$6,2,FALSE)))</f>
        <v/>
      </c>
      <c r="O51" s="281" t="str">
        <f>IF(M51="","",IF(VLOOKUP(M51,'G-3 Multipliers'!$L$3:$N$6,3,FALSE)=0,"Spatial Data Missing ▲",VLOOKUP(M51,'G-3 Multipliers'!$L$3:$N$6,3,FALSE)))</f>
        <v/>
      </c>
      <c r="P51" s="282" t="str">
        <f>(IF(G51="Yes","Bespoke compensation likely to be required",(IFERROR(VLOOKUP(AV51,'G-1 All Habitats'!$B$2:$M$135,12,FALSE),""))))</f>
        <v/>
      </c>
      <c r="Q51" s="289" t="str">
        <f>IFERROR(IF(AND(F51&lt;&gt;"",G51=""),"Confirm irreplaceable habitat status ▲",(IF(AND(E51="Individual trees",T51&gt;0,G51="Yes"),"Error - you cannot enhance irreplaceable individual trees ▲",(IF(AND(U51="Irreplaceable habitat - no units generated ⚠",(S51+T51)&lt;H51,OR(Y51="No",Y51="")),"Any Loss Unacceptable ⚠",(IF(U51="Irreplaceable habitat - no units generated ⚠",T51*J51*L51*O51,IF(AND(P51='G-1 All Habitats'!$X$9,AC51&gt;0,S51&lt;=0,T51&lt;=0,OR(Y51="No",Y51="")),"Any Loss Unacceptable ⚠",IF(AND(P51='G-1 All Habitats'!$X$9,AC51&gt;0,S51&lt;=0,T51&lt;=0,Y51="Yes"),0,(IF(AND(P51='G-1 All Habitats'!$X$9,(S51+T51)&lt;H51,OR(Y51="No",Y51="")),"Any Loss Unacceptable ⚠",(IF(P51="","",IF(AND(P51='G-1 All Habitats'!$X$9,T51&gt;0),U51+V51,IF(AND(P51='G-1 All Habitats'!$X$9,S51&gt;0),U51+V51,H51*J51*L51*O51))))))))))))))),"Check Data ▲")</f>
        <v/>
      </c>
      <c r="R51" s="38"/>
      <c r="S51" s="52"/>
      <c r="T51" s="53"/>
      <c r="U51" s="287" t="str">
        <f t="shared" si="0"/>
        <v/>
      </c>
      <c r="V51" s="287" t="str">
        <f t="shared" si="3"/>
        <v/>
      </c>
      <c r="W51" s="287" t="str">
        <f t="shared" si="4"/>
        <v/>
      </c>
      <c r="X51" s="291" t="str">
        <f>IFERROR(IF(H51="","",IF(H51-S51-T51=0&lt;0,"Error in Areas ▲",IF(S51+T51&gt;H51,"Error in Areas ▲",IF(AND(P51='G-1 All Habitats'!$X$9,Y51="Yes"),"Alternative Compensation ✓",IF(AND(P51='G-1 All Habitats'!$X$3,Y51="Yes"),"Alternative Compensation ✓",IF(AND(Y51="Pending",P51='G-1 All Habitats'!$X$3),"Bespoke compensation must be agreed ▲",IF(AND(Y51="Pending",P51='G-1 All Habitats'!$X$9),"Bespoke compensation must be agreed  ▲",IF(W51=0,0,IF(P51='G-1 All Habitats'!$X$9,"Any Loss Unacceptable ▲",Q51-U51-V51))))))))),"Check Data ▲")</f>
        <v/>
      </c>
      <c r="Y51" s="53"/>
      <c r="Z51" s="105"/>
      <c r="AA51" s="233"/>
      <c r="AB51" s="104"/>
      <c r="AC51" s="512" t="str">
        <f>IF(OR(P51="",Y51="Yes"),"",IF(P51='G-1 All Habitats'!$X$9,H51-S51-T51,"None"))</f>
        <v/>
      </c>
      <c r="AD51" s="513" t="str">
        <f>IF(P51="","",IF(P51='G-1 All Habitats'!$X$9,AC51*J51*L51*O51,"None"))</f>
        <v/>
      </c>
      <c r="AE51" s="35" t="str">
        <f t="shared" si="1"/>
        <v/>
      </c>
      <c r="AF51" s="40" t="str">
        <f t="shared" si="5"/>
        <v/>
      </c>
      <c r="AG51" s="40" t="str">
        <f t="shared" si="2"/>
        <v/>
      </c>
      <c r="AH51" s="40" t="str">
        <f>IF(I51="","",IF(#REF!&gt;0,TRUE,FALSE))</f>
        <v/>
      </c>
      <c r="AI51" s="40">
        <v>41</v>
      </c>
      <c r="AJ51" s="40"/>
      <c r="AK51" s="40" t="str">
        <f t="array" ref="AK51">IFERROR(INDEX($AI$11:$AI$259,MATCH(0,IF(TRUE=$AF$11:$AF$259,COUNTIF($AK$10:$AK50,$AI$11:$AI$259),""),0)),"")</f>
        <v/>
      </c>
      <c r="AL51" s="40" t="str">
        <f t="array" ref="AL51">IFERROR(INDEX($AI$11:$AI$259,MATCH(0,IF(TRUE=$AG$11:$AG$259,COUNTIF($AL$10:$AL50,$AI$11:$AI$259),""),0)),"")</f>
        <v/>
      </c>
      <c r="AM51" s="40" t="str">
        <f t="array" ref="AM51">IFERROR(INDEX($AI$11:$AI$259,MATCH(0,IF(TRUE=$AH$11:$AH$259,COUNTIF($AM$10:$AM50,$AI$11:$AI$259),""),0)),"")</f>
        <v/>
      </c>
      <c r="AN51" s="40"/>
      <c r="AQ51" s="35">
        <f t="shared" si="6"/>
        <v>0</v>
      </c>
      <c r="AT51" s="885" t="str">
        <f>IF(AND(OR(Y51="Yes",Y51="Pending"),P51='G-1 All Habitats'!$X$3),Q51-U51-V51,"")</f>
        <v/>
      </c>
      <c r="AV51" s="542" t="str">
        <f>IFERROR(INDEX('G-1 All Habitats'!$B$3:$B$135,MATCH(F51,'G-1 All Habitats'!$A$3:$A$135,0)),"")</f>
        <v/>
      </c>
      <c r="AW51" s="35" t="str">
        <f>IF(AV51="","",VLOOKUP(AV51,'G-1 All Habitats'!$B$1:$T$135,19,FALSE))</f>
        <v/>
      </c>
    </row>
    <row r="52" spans="1:49" ht="14.5" hidden="1" thickBot="1">
      <c r="A52" s="35" t="str">
        <f>IFERROR(INDEX('G-1 All Habitats'!$AG$3:$AG$17,MATCH(E52,'G-1 All Habitats'!$AF$3:$AF$17,0)),"")</f>
        <v/>
      </c>
      <c r="B52" s="35" t="str">
        <f>IFERROR(INDEX('G-8 Condition Look up'!$I$4:$I$135,MATCH(AV52,'G-8 Condition Look up'!$A$4:$A$135,0)),"")</f>
        <v/>
      </c>
      <c r="D52" s="225">
        <v>42</v>
      </c>
      <c r="E52" s="211"/>
      <c r="F52" s="57"/>
      <c r="G52" s="263"/>
      <c r="H52" s="51"/>
      <c r="I52" s="275" t="str">
        <f>IF(AV52="","",IF(AND(AW52="Yes",G52="No"),"Irreplaceable habitat ▲",IF(AND(AW52="No",G52="Yes"),"Cannot be Irreplaceable ▲",VLOOKUP(AV52,'G-1 All Habitats'!$B$2:$M$135,10,FALSE))))</f>
        <v/>
      </c>
      <c r="J52" s="276" t="str">
        <f>IFERROR(VLOOKUP(I52,'G-1 All Habitats'!$V$3:$W$7,2,FALSE),"")</f>
        <v/>
      </c>
      <c r="K52" s="52"/>
      <c r="L52" s="276" t="str">
        <f>IFERROR(INDEX('G-8 Condition Look up'!$A$3:$H$135,MATCH(AV52,'G-8 Condition Look up'!$A$3:$A$135,0),MATCH(K52,'G-8 Condition Look up'!$A$3:$H$3,0)),"")</f>
        <v/>
      </c>
      <c r="M52" s="52"/>
      <c r="N52" s="295" t="str">
        <f>IF(M52="","",IF(VLOOKUP(M52,'G-3 Multipliers'!$L$3:$N$6,2,FALSE)=0,"Spatial Data Missing",VLOOKUP(M52,'G-3 Multipliers'!$L$3:$N$6,2,FALSE)))</f>
        <v/>
      </c>
      <c r="O52" s="281" t="str">
        <f>IF(M52="","",IF(VLOOKUP(M52,'G-3 Multipliers'!$L$3:$N$6,3,FALSE)=0,"Spatial Data Missing ▲",VLOOKUP(M52,'G-3 Multipliers'!$L$3:$N$6,3,FALSE)))</f>
        <v/>
      </c>
      <c r="P52" s="282" t="str">
        <f>(IF(G52="Yes","Bespoke compensation likely to be required",(IFERROR(VLOOKUP(AV52,'G-1 All Habitats'!$B$2:$M$135,12,FALSE),""))))</f>
        <v/>
      </c>
      <c r="Q52" s="289" t="str">
        <f>IFERROR(IF(AND(F52&lt;&gt;"",G52=""),"Confirm irreplaceable habitat status ▲",(IF(AND(E52="Individual trees",T52&gt;0,G52="Yes"),"Error - you cannot enhance irreplaceable individual trees ▲",(IF(AND(U52="Irreplaceable habitat - no units generated ⚠",(S52+T52)&lt;H52,OR(Y52="No",Y52="")),"Any Loss Unacceptable ⚠",(IF(U52="Irreplaceable habitat - no units generated ⚠",T52*J52*L52*O52,IF(AND(P52='G-1 All Habitats'!$X$9,AC52&gt;0,S52&lt;=0,T52&lt;=0,OR(Y52="No",Y52="")),"Any Loss Unacceptable ⚠",IF(AND(P52='G-1 All Habitats'!$X$9,AC52&gt;0,S52&lt;=0,T52&lt;=0,Y52="Yes"),0,(IF(AND(P52='G-1 All Habitats'!$X$9,(S52+T52)&lt;H52,OR(Y52="No",Y52="")),"Any Loss Unacceptable ⚠",(IF(P52="","",IF(AND(P52='G-1 All Habitats'!$X$9,T52&gt;0),U52+V52,IF(AND(P52='G-1 All Habitats'!$X$9,S52&gt;0),U52+V52,H52*J52*L52*O52))))))))))))))),"Check Data ▲")</f>
        <v/>
      </c>
      <c r="R52" s="38"/>
      <c r="S52" s="52"/>
      <c r="T52" s="53"/>
      <c r="U52" s="287" t="str">
        <f t="shared" si="0"/>
        <v/>
      </c>
      <c r="V52" s="287" t="str">
        <f t="shared" si="3"/>
        <v/>
      </c>
      <c r="W52" s="287" t="str">
        <f t="shared" si="4"/>
        <v/>
      </c>
      <c r="X52" s="291" t="str">
        <f>IFERROR(IF(H52="","",IF(H52-S52-T52=0&lt;0,"Error in Areas ▲",IF(S52+T52&gt;H52,"Error in Areas ▲",IF(AND(P52='G-1 All Habitats'!$X$9,Y52="Yes"),"Alternative Compensation ✓",IF(AND(P52='G-1 All Habitats'!$X$3,Y52="Yes"),"Alternative Compensation ✓",IF(AND(Y52="Pending",P52='G-1 All Habitats'!$X$3),"Bespoke compensation must be agreed ▲",IF(AND(Y52="Pending",P52='G-1 All Habitats'!$X$9),"Bespoke compensation must be agreed  ▲",IF(W52=0,0,IF(P52='G-1 All Habitats'!$X$9,"Any Loss Unacceptable ▲",Q52-U52-V52))))))))),"Check Data ▲")</f>
        <v/>
      </c>
      <c r="Y52" s="53"/>
      <c r="Z52" s="105"/>
      <c r="AA52" s="233"/>
      <c r="AB52" s="104"/>
      <c r="AC52" s="512" t="str">
        <f>IF(OR(P52="",Y52="Yes"),"",IF(P52='G-1 All Habitats'!$X$9,H52-S52-T52,"None"))</f>
        <v/>
      </c>
      <c r="AD52" s="513" t="str">
        <f>IF(P52="","",IF(P52='G-1 All Habitats'!$X$9,AC52*J52*L52*O52,"None"))</f>
        <v/>
      </c>
      <c r="AE52" s="35" t="str">
        <f t="shared" si="1"/>
        <v/>
      </c>
      <c r="AF52" s="40" t="str">
        <f t="shared" si="5"/>
        <v/>
      </c>
      <c r="AG52" s="40" t="str">
        <f t="shared" si="2"/>
        <v/>
      </c>
      <c r="AH52" s="40" t="str">
        <f>IF(I52="","",IF(#REF!&gt;0,TRUE,FALSE))</f>
        <v/>
      </c>
      <c r="AI52" s="40">
        <v>42</v>
      </c>
      <c r="AJ52" s="40"/>
      <c r="AK52" s="40" t="str">
        <f t="array" ref="AK52">IFERROR(INDEX($AI$11:$AI$259,MATCH(0,IF(TRUE=$AF$11:$AF$259,COUNTIF($AK$10:$AK51,$AI$11:$AI$259),""),0)),"")</f>
        <v/>
      </c>
      <c r="AL52" s="40" t="str">
        <f t="array" ref="AL52">IFERROR(INDEX($AI$11:$AI$259,MATCH(0,IF(TRUE=$AG$11:$AG$259,COUNTIF($AL$10:$AL51,$AI$11:$AI$259),""),0)),"")</f>
        <v/>
      </c>
      <c r="AM52" s="40" t="str">
        <f t="array" ref="AM52">IFERROR(INDEX($AI$11:$AI$259,MATCH(0,IF(TRUE=$AH$11:$AH$259,COUNTIF($AM$10:$AM51,$AI$11:$AI$259),""),0)),"")</f>
        <v/>
      </c>
      <c r="AN52" s="40"/>
      <c r="AQ52" s="35">
        <f t="shared" si="6"/>
        <v>0</v>
      </c>
      <c r="AT52" s="885" t="str">
        <f>IF(AND(OR(Y52="Yes",Y52="Pending"),P52='G-1 All Habitats'!$X$3),Q52-U52-V52,"")</f>
        <v/>
      </c>
      <c r="AV52" s="542" t="str">
        <f>IFERROR(INDEX('G-1 All Habitats'!$B$3:$B$135,MATCH(F52,'G-1 All Habitats'!$A$3:$A$135,0)),"")</f>
        <v/>
      </c>
      <c r="AW52" s="35" t="str">
        <f>IF(AV52="","",VLOOKUP(AV52,'G-1 All Habitats'!$B$1:$T$135,19,FALSE))</f>
        <v/>
      </c>
    </row>
    <row r="53" spans="1:49" ht="14.5" hidden="1" thickBot="1">
      <c r="A53" s="35" t="str">
        <f>IFERROR(INDEX('G-1 All Habitats'!$AG$3:$AG$17,MATCH(E53,'G-1 All Habitats'!$AF$3:$AF$17,0)),"")</f>
        <v/>
      </c>
      <c r="B53" s="35" t="str">
        <f>IFERROR(INDEX('G-8 Condition Look up'!$I$4:$I$135,MATCH(AV53,'G-8 Condition Look up'!$A$4:$A$135,0)),"")</f>
        <v/>
      </c>
      <c r="D53" s="225">
        <v>43</v>
      </c>
      <c r="E53" s="211"/>
      <c r="F53" s="57"/>
      <c r="G53" s="263"/>
      <c r="H53" s="51"/>
      <c r="I53" s="275" t="str">
        <f>IF(AV53="","",IF(AND(AW53="Yes",G53="No"),"Irreplaceable habitat ▲",IF(AND(AW53="No",G53="Yes"),"Cannot be Irreplaceable ▲",VLOOKUP(AV53,'G-1 All Habitats'!$B$2:$M$135,10,FALSE))))</f>
        <v/>
      </c>
      <c r="J53" s="276" t="str">
        <f>IFERROR(VLOOKUP(I53,'G-1 All Habitats'!$V$3:$W$7,2,FALSE),"")</f>
        <v/>
      </c>
      <c r="K53" s="52"/>
      <c r="L53" s="276" t="str">
        <f>IFERROR(INDEX('G-8 Condition Look up'!$A$3:$H$135,MATCH(AV53,'G-8 Condition Look up'!$A$3:$A$135,0),MATCH(K53,'G-8 Condition Look up'!$A$3:$H$3,0)),"")</f>
        <v/>
      </c>
      <c r="M53" s="52"/>
      <c r="N53" s="295" t="str">
        <f>IF(M53="","",IF(VLOOKUP(M53,'G-3 Multipliers'!$L$3:$N$6,2,FALSE)=0,"Spatial Data Missing",VLOOKUP(M53,'G-3 Multipliers'!$L$3:$N$6,2,FALSE)))</f>
        <v/>
      </c>
      <c r="O53" s="281" t="str">
        <f>IF(M53="","",IF(VLOOKUP(M53,'G-3 Multipliers'!$L$3:$N$6,3,FALSE)=0,"Spatial Data Missing ▲",VLOOKUP(M53,'G-3 Multipliers'!$L$3:$N$6,3,FALSE)))</f>
        <v/>
      </c>
      <c r="P53" s="282" t="str">
        <f>(IF(G53="Yes","Bespoke compensation likely to be required",(IFERROR(VLOOKUP(AV53,'G-1 All Habitats'!$B$2:$M$135,12,FALSE),""))))</f>
        <v/>
      </c>
      <c r="Q53" s="289" t="str">
        <f>IFERROR(IF(AND(F53&lt;&gt;"",G53=""),"Confirm irreplaceable habitat status ▲",(IF(AND(E53="Individual trees",T53&gt;0,G53="Yes"),"Error - you cannot enhance irreplaceable individual trees ▲",(IF(AND(U53="Irreplaceable habitat - no units generated ⚠",(S53+T53)&lt;H53,OR(Y53="No",Y53="")),"Any Loss Unacceptable ⚠",(IF(U53="Irreplaceable habitat - no units generated ⚠",T53*J53*L53*O53,IF(AND(P53='G-1 All Habitats'!$X$9,AC53&gt;0,S53&lt;=0,T53&lt;=0,OR(Y53="No",Y53="")),"Any Loss Unacceptable ⚠",IF(AND(P53='G-1 All Habitats'!$X$9,AC53&gt;0,S53&lt;=0,T53&lt;=0,Y53="Yes"),0,(IF(AND(P53='G-1 All Habitats'!$X$9,(S53+T53)&lt;H53,OR(Y53="No",Y53="")),"Any Loss Unacceptable ⚠",(IF(P53="","",IF(AND(P53='G-1 All Habitats'!$X$9,T53&gt;0),U53+V53,IF(AND(P53='G-1 All Habitats'!$X$9,S53&gt;0),U53+V53,H53*J53*L53*O53))))))))))))))),"Check Data ▲")</f>
        <v/>
      </c>
      <c r="R53" s="38"/>
      <c r="S53" s="52"/>
      <c r="T53" s="53"/>
      <c r="U53" s="287" t="str">
        <f t="shared" si="0"/>
        <v/>
      </c>
      <c r="V53" s="287" t="str">
        <f t="shared" si="3"/>
        <v/>
      </c>
      <c r="W53" s="287" t="str">
        <f t="shared" si="4"/>
        <v/>
      </c>
      <c r="X53" s="291" t="str">
        <f>IFERROR(IF(H53="","",IF(H53-S53-T53=0&lt;0,"Error in Areas ▲",IF(S53+T53&gt;H53,"Error in Areas ▲",IF(AND(P53='G-1 All Habitats'!$X$9,Y53="Yes"),"Alternative Compensation ✓",IF(AND(P53='G-1 All Habitats'!$X$3,Y53="Yes"),"Alternative Compensation ✓",IF(AND(Y53="Pending",P53='G-1 All Habitats'!$X$3),"Bespoke compensation must be agreed ▲",IF(AND(Y53="Pending",P53='G-1 All Habitats'!$X$9),"Bespoke compensation must be agreed  ▲",IF(W53=0,0,IF(P53='G-1 All Habitats'!$X$9,"Any Loss Unacceptable ▲",Q53-U53-V53))))))))),"Check Data ▲")</f>
        <v/>
      </c>
      <c r="Y53" s="53"/>
      <c r="Z53" s="105"/>
      <c r="AA53" s="233"/>
      <c r="AB53" s="104"/>
      <c r="AC53" s="512" t="str">
        <f>IF(OR(P53="",Y53="Yes"),"",IF(P53='G-1 All Habitats'!$X$9,H53-S53-T53,"None"))</f>
        <v/>
      </c>
      <c r="AD53" s="513" t="str">
        <f>IF(P53="","",IF(P53='G-1 All Habitats'!$X$9,AC53*J53*L53*O53,"None"))</f>
        <v/>
      </c>
      <c r="AE53" s="35" t="str">
        <f t="shared" si="1"/>
        <v/>
      </c>
      <c r="AF53" s="40" t="str">
        <f t="shared" si="5"/>
        <v/>
      </c>
      <c r="AG53" s="40" t="str">
        <f t="shared" si="2"/>
        <v/>
      </c>
      <c r="AH53" s="40" t="str">
        <f>IF(I53="","",IF(#REF!&gt;0,TRUE,FALSE))</f>
        <v/>
      </c>
      <c r="AI53" s="40">
        <v>43</v>
      </c>
      <c r="AJ53" s="40"/>
      <c r="AK53" s="40" t="str">
        <f t="array" ref="AK53">IFERROR(INDEX($AI$11:$AI$259,MATCH(0,IF(TRUE=$AF$11:$AF$259,COUNTIF($AK$10:$AK52,$AI$11:$AI$259),""),0)),"")</f>
        <v/>
      </c>
      <c r="AL53" s="40" t="str">
        <f t="array" ref="AL53">IFERROR(INDEX($AI$11:$AI$259,MATCH(0,IF(TRUE=$AG$11:$AG$259,COUNTIF($AL$10:$AL52,$AI$11:$AI$259),""),0)),"")</f>
        <v/>
      </c>
      <c r="AM53" s="40" t="str">
        <f t="array" ref="AM53">IFERROR(INDEX($AI$11:$AI$259,MATCH(0,IF(TRUE=$AH$11:$AH$259,COUNTIF($AM$10:$AM52,$AI$11:$AI$259),""),0)),"")</f>
        <v/>
      </c>
      <c r="AN53" s="40"/>
      <c r="AQ53" s="35">
        <f t="shared" si="6"/>
        <v>0</v>
      </c>
      <c r="AT53" s="885" t="str">
        <f>IF(AND(OR(Y53="Yes",Y53="Pending"),P53='G-1 All Habitats'!$X$3),Q53-U53-V53,"")</f>
        <v/>
      </c>
      <c r="AV53" s="542" t="str">
        <f>IFERROR(INDEX('G-1 All Habitats'!$B$3:$B$135,MATCH(F53,'G-1 All Habitats'!$A$3:$A$135,0)),"")</f>
        <v/>
      </c>
      <c r="AW53" s="35" t="str">
        <f>IF(AV53="","",VLOOKUP(AV53,'G-1 All Habitats'!$B$1:$T$135,19,FALSE))</f>
        <v/>
      </c>
    </row>
    <row r="54" spans="1:49" ht="14.5" hidden="1" thickBot="1">
      <c r="A54" s="35" t="str">
        <f>IFERROR(INDEX('G-1 All Habitats'!$AG$3:$AG$17,MATCH(E54,'G-1 All Habitats'!$AF$3:$AF$17,0)),"")</f>
        <v/>
      </c>
      <c r="B54" s="35" t="str">
        <f>IFERROR(INDEX('G-8 Condition Look up'!$I$4:$I$135,MATCH(AV54,'G-8 Condition Look up'!$A$4:$A$135,0)),"")</f>
        <v/>
      </c>
      <c r="D54" s="225">
        <v>44</v>
      </c>
      <c r="E54" s="211"/>
      <c r="F54" s="57"/>
      <c r="G54" s="263"/>
      <c r="H54" s="51"/>
      <c r="I54" s="275" t="str">
        <f>IF(AV54="","",IF(AND(AW54="Yes",G54="No"),"Irreplaceable habitat ▲",IF(AND(AW54="No",G54="Yes"),"Cannot be Irreplaceable ▲",VLOOKUP(AV54,'G-1 All Habitats'!$B$2:$M$135,10,FALSE))))</f>
        <v/>
      </c>
      <c r="J54" s="276" t="str">
        <f>IFERROR(VLOOKUP(I54,'G-1 All Habitats'!$V$3:$W$7,2,FALSE),"")</f>
        <v/>
      </c>
      <c r="K54" s="52"/>
      <c r="L54" s="276" t="str">
        <f>IFERROR(INDEX('G-8 Condition Look up'!$A$3:$H$135,MATCH(AV54,'G-8 Condition Look up'!$A$3:$A$135,0),MATCH(K54,'G-8 Condition Look up'!$A$3:$H$3,0)),"")</f>
        <v/>
      </c>
      <c r="M54" s="52"/>
      <c r="N54" s="295" t="str">
        <f>IF(M54="","",IF(VLOOKUP(M54,'G-3 Multipliers'!$L$3:$N$6,2,FALSE)=0,"Spatial Data Missing",VLOOKUP(M54,'G-3 Multipliers'!$L$3:$N$6,2,FALSE)))</f>
        <v/>
      </c>
      <c r="O54" s="281" t="str">
        <f>IF(M54="","",IF(VLOOKUP(M54,'G-3 Multipliers'!$L$3:$N$6,3,FALSE)=0,"Spatial Data Missing ▲",VLOOKUP(M54,'G-3 Multipliers'!$L$3:$N$6,3,FALSE)))</f>
        <v/>
      </c>
      <c r="P54" s="282" t="str">
        <f>(IF(G54="Yes","Bespoke compensation likely to be required",(IFERROR(VLOOKUP(AV54,'G-1 All Habitats'!$B$2:$M$135,12,FALSE),""))))</f>
        <v/>
      </c>
      <c r="Q54" s="289" t="str">
        <f>IFERROR(IF(AND(F54&lt;&gt;"",G54=""),"Confirm irreplaceable habitat status ▲",(IF(AND(E54="Individual trees",T54&gt;0,G54="Yes"),"Error - you cannot enhance irreplaceable individual trees ▲",(IF(AND(U54="Irreplaceable habitat - no units generated ⚠",(S54+T54)&lt;H54,OR(Y54="No",Y54="")),"Any Loss Unacceptable ⚠",(IF(U54="Irreplaceable habitat - no units generated ⚠",T54*J54*L54*O54,IF(AND(P54='G-1 All Habitats'!$X$9,AC54&gt;0,S54&lt;=0,T54&lt;=0,OR(Y54="No",Y54="")),"Any Loss Unacceptable ⚠",IF(AND(P54='G-1 All Habitats'!$X$9,AC54&gt;0,S54&lt;=0,T54&lt;=0,Y54="Yes"),0,(IF(AND(P54='G-1 All Habitats'!$X$9,(S54+T54)&lt;H54,OR(Y54="No",Y54="")),"Any Loss Unacceptable ⚠",(IF(P54="","",IF(AND(P54='G-1 All Habitats'!$X$9,T54&gt;0),U54+V54,IF(AND(P54='G-1 All Habitats'!$X$9,S54&gt;0),U54+V54,H54*J54*L54*O54))))))))))))))),"Check Data ▲")</f>
        <v/>
      </c>
      <c r="R54" s="38"/>
      <c r="S54" s="52"/>
      <c r="T54" s="53"/>
      <c r="U54" s="287" t="str">
        <f t="shared" si="0"/>
        <v/>
      </c>
      <c r="V54" s="287" t="str">
        <f t="shared" si="3"/>
        <v/>
      </c>
      <c r="W54" s="287" t="str">
        <f t="shared" si="4"/>
        <v/>
      </c>
      <c r="X54" s="291" t="str">
        <f>IFERROR(IF(H54="","",IF(H54-S54-T54=0&lt;0,"Error in Areas ▲",IF(S54+T54&gt;H54,"Error in Areas ▲",IF(AND(P54='G-1 All Habitats'!$X$9,Y54="Yes"),"Alternative Compensation ✓",IF(AND(P54='G-1 All Habitats'!$X$3,Y54="Yes"),"Alternative Compensation ✓",IF(AND(Y54="Pending",P54='G-1 All Habitats'!$X$3),"Bespoke compensation must be agreed ▲",IF(AND(Y54="Pending",P54='G-1 All Habitats'!$X$9),"Bespoke compensation must be agreed  ▲",IF(W54=0,0,IF(P54='G-1 All Habitats'!$X$9,"Any Loss Unacceptable ▲",Q54-U54-V54))))))))),"Check Data ▲")</f>
        <v/>
      </c>
      <c r="Y54" s="53"/>
      <c r="Z54" s="105"/>
      <c r="AA54" s="233"/>
      <c r="AB54" s="104"/>
      <c r="AC54" s="512" t="str">
        <f>IF(OR(P54="",Y54="Yes"),"",IF(P54='G-1 All Habitats'!$X$9,H54-S54-T54,"None"))</f>
        <v/>
      </c>
      <c r="AD54" s="513" t="str">
        <f>IF(P54="","",IF(P54='G-1 All Habitats'!$X$9,AC54*J54*L54*O54,"None"))</f>
        <v/>
      </c>
      <c r="AE54" s="35" t="str">
        <f t="shared" si="1"/>
        <v/>
      </c>
      <c r="AF54" s="40" t="str">
        <f t="shared" si="5"/>
        <v/>
      </c>
      <c r="AG54" s="40" t="str">
        <f t="shared" si="2"/>
        <v/>
      </c>
      <c r="AH54" s="40" t="str">
        <f>IF(I54="","",IF(#REF!&gt;0,TRUE,FALSE))</f>
        <v/>
      </c>
      <c r="AI54" s="40">
        <v>44</v>
      </c>
      <c r="AJ54" s="40"/>
      <c r="AK54" s="40" t="str">
        <f t="array" ref="AK54">IFERROR(INDEX($AI$11:$AI$259,MATCH(0,IF(TRUE=$AF$11:$AF$259,COUNTIF($AK$10:$AK53,$AI$11:$AI$259),""),0)),"")</f>
        <v/>
      </c>
      <c r="AL54" s="40" t="str">
        <f t="array" ref="AL54">IFERROR(INDEX($AI$11:$AI$259,MATCH(0,IF(TRUE=$AG$11:$AG$259,COUNTIF($AL$10:$AL53,$AI$11:$AI$259),""),0)),"")</f>
        <v/>
      </c>
      <c r="AM54" s="40" t="str">
        <f t="array" ref="AM54">IFERROR(INDEX($AI$11:$AI$259,MATCH(0,IF(TRUE=$AH$11:$AH$259,COUNTIF($AM$10:$AM53,$AI$11:$AI$259),""),0)),"")</f>
        <v/>
      </c>
      <c r="AN54" s="40"/>
      <c r="AQ54" s="35">
        <f t="shared" si="6"/>
        <v>0</v>
      </c>
      <c r="AT54" s="885" t="str">
        <f>IF(AND(OR(Y54="Yes",Y54="Pending"),P54='G-1 All Habitats'!$X$3),Q54-U54-V54,"")</f>
        <v/>
      </c>
      <c r="AV54" s="542" t="str">
        <f>IFERROR(INDEX('G-1 All Habitats'!$B$3:$B$135,MATCH(F54,'G-1 All Habitats'!$A$3:$A$135,0)),"")</f>
        <v/>
      </c>
      <c r="AW54" s="35" t="str">
        <f>IF(AV54="","",VLOOKUP(AV54,'G-1 All Habitats'!$B$1:$T$135,19,FALSE))</f>
        <v/>
      </c>
    </row>
    <row r="55" spans="1:49" ht="14.5" hidden="1" thickBot="1">
      <c r="A55" s="35" t="str">
        <f>IFERROR(INDEX('G-1 All Habitats'!$AG$3:$AG$17,MATCH(E55,'G-1 All Habitats'!$AF$3:$AF$17,0)),"")</f>
        <v/>
      </c>
      <c r="B55" s="35" t="str">
        <f>IFERROR(INDEX('G-8 Condition Look up'!$I$4:$I$135,MATCH(AV55,'G-8 Condition Look up'!$A$4:$A$135,0)),"")</f>
        <v/>
      </c>
      <c r="D55" s="225">
        <v>45</v>
      </c>
      <c r="E55" s="211"/>
      <c r="F55" s="57"/>
      <c r="G55" s="263"/>
      <c r="H55" s="51"/>
      <c r="I55" s="275" t="str">
        <f>IF(AV55="","",IF(AND(AW55="Yes",G55="No"),"Irreplaceable habitat ▲",IF(AND(AW55="No",G55="Yes"),"Cannot be Irreplaceable ▲",VLOOKUP(AV55,'G-1 All Habitats'!$B$2:$M$135,10,FALSE))))</f>
        <v/>
      </c>
      <c r="J55" s="276" t="str">
        <f>IFERROR(VLOOKUP(I55,'G-1 All Habitats'!$V$3:$W$7,2,FALSE),"")</f>
        <v/>
      </c>
      <c r="K55" s="52"/>
      <c r="L55" s="276" t="str">
        <f>IFERROR(INDEX('G-8 Condition Look up'!$A$3:$H$135,MATCH(AV55,'G-8 Condition Look up'!$A$3:$A$135,0),MATCH(K55,'G-8 Condition Look up'!$A$3:$H$3,0)),"")</f>
        <v/>
      </c>
      <c r="M55" s="52"/>
      <c r="N55" s="295" t="str">
        <f>IF(M55="","",IF(VLOOKUP(M55,'G-3 Multipliers'!$L$3:$N$6,2,FALSE)=0,"Spatial Data Missing",VLOOKUP(M55,'G-3 Multipliers'!$L$3:$N$6,2,FALSE)))</f>
        <v/>
      </c>
      <c r="O55" s="281" t="str">
        <f>IF(M55="","",IF(VLOOKUP(M55,'G-3 Multipliers'!$L$3:$N$6,3,FALSE)=0,"Spatial Data Missing ▲",VLOOKUP(M55,'G-3 Multipliers'!$L$3:$N$6,3,FALSE)))</f>
        <v/>
      </c>
      <c r="P55" s="282" t="str">
        <f>(IF(G55="Yes","Bespoke compensation likely to be required",(IFERROR(VLOOKUP(AV55,'G-1 All Habitats'!$B$2:$M$135,12,FALSE),""))))</f>
        <v/>
      </c>
      <c r="Q55" s="289" t="str">
        <f>IFERROR(IF(AND(F55&lt;&gt;"",G55=""),"Confirm irreplaceable habitat status ▲",(IF(AND(E55="Individual trees",T55&gt;0,G55="Yes"),"Error - you cannot enhance irreplaceable individual trees ▲",(IF(AND(U55="Irreplaceable habitat - no units generated ⚠",(S55+T55)&lt;H55,OR(Y55="No",Y55="")),"Any Loss Unacceptable ⚠",(IF(U55="Irreplaceable habitat - no units generated ⚠",T55*J55*L55*O55,IF(AND(P55='G-1 All Habitats'!$X$9,AC55&gt;0,S55&lt;=0,T55&lt;=0,OR(Y55="No",Y55="")),"Any Loss Unacceptable ⚠",IF(AND(P55='G-1 All Habitats'!$X$9,AC55&gt;0,S55&lt;=0,T55&lt;=0,Y55="Yes"),0,(IF(AND(P55='G-1 All Habitats'!$X$9,(S55+T55)&lt;H55,OR(Y55="No",Y55="")),"Any Loss Unacceptable ⚠",(IF(P55="","",IF(AND(P55='G-1 All Habitats'!$X$9,T55&gt;0),U55+V55,IF(AND(P55='G-1 All Habitats'!$X$9,S55&gt;0),U55+V55,H55*J55*L55*O55))))))))))))))),"Check Data ▲")</f>
        <v/>
      </c>
      <c r="R55" s="38"/>
      <c r="S55" s="52"/>
      <c r="T55" s="53"/>
      <c r="U55" s="287" t="str">
        <f t="shared" si="0"/>
        <v/>
      </c>
      <c r="V55" s="287" t="str">
        <f t="shared" si="3"/>
        <v/>
      </c>
      <c r="W55" s="287" t="str">
        <f t="shared" si="4"/>
        <v/>
      </c>
      <c r="X55" s="291" t="str">
        <f>IFERROR(IF(H55="","",IF(H55-S55-T55=0&lt;0,"Error in Areas ▲",IF(S55+T55&gt;H55,"Error in Areas ▲",IF(AND(P55='G-1 All Habitats'!$X$9,Y55="Yes"),"Alternative Compensation ✓",IF(AND(P55='G-1 All Habitats'!$X$3,Y55="Yes"),"Alternative Compensation ✓",IF(AND(Y55="Pending",P55='G-1 All Habitats'!$X$3),"Bespoke compensation must be agreed ▲",IF(AND(Y55="Pending",P55='G-1 All Habitats'!$X$9),"Bespoke compensation must be agreed  ▲",IF(W55=0,0,IF(P55='G-1 All Habitats'!$X$9,"Any Loss Unacceptable ▲",Q55-U55-V55))))))))),"Check Data ▲")</f>
        <v/>
      </c>
      <c r="Y55" s="53"/>
      <c r="Z55" s="105"/>
      <c r="AA55" s="233"/>
      <c r="AB55" s="104"/>
      <c r="AC55" s="512" t="str">
        <f>IF(OR(P55="",Y55="Yes"),"",IF(P55='G-1 All Habitats'!$X$9,H55-S55-T55,"None"))</f>
        <v/>
      </c>
      <c r="AD55" s="513" t="str">
        <f>IF(P55="","",IF(P55='G-1 All Habitats'!$X$9,AC55*J55*L55*O55,"None"))</f>
        <v/>
      </c>
      <c r="AE55" s="35" t="str">
        <f t="shared" si="1"/>
        <v/>
      </c>
      <c r="AF55" s="40" t="str">
        <f t="shared" si="5"/>
        <v/>
      </c>
      <c r="AG55" s="40" t="str">
        <f t="shared" si="2"/>
        <v/>
      </c>
      <c r="AH55" s="40" t="str">
        <f>IF(I55="","",IF(#REF!&gt;0,TRUE,FALSE))</f>
        <v/>
      </c>
      <c r="AI55" s="40">
        <v>45</v>
      </c>
      <c r="AJ55" s="40"/>
      <c r="AK55" s="40" t="str">
        <f t="array" ref="AK55">IFERROR(INDEX($AI$11:$AI$259,MATCH(0,IF(TRUE=$AF$11:$AF$259,COUNTIF($AK$10:$AK54,$AI$11:$AI$259),""),0)),"")</f>
        <v/>
      </c>
      <c r="AL55" s="40" t="str">
        <f t="array" ref="AL55">IFERROR(INDEX($AI$11:$AI$259,MATCH(0,IF(TRUE=$AG$11:$AG$259,COUNTIF($AL$10:$AL54,$AI$11:$AI$259),""),0)),"")</f>
        <v/>
      </c>
      <c r="AM55" s="40" t="str">
        <f t="array" ref="AM55">IFERROR(INDEX($AI$11:$AI$259,MATCH(0,IF(TRUE=$AH$11:$AH$259,COUNTIF($AM$10:$AM54,$AI$11:$AI$259),""),0)),"")</f>
        <v/>
      </c>
      <c r="AN55" s="40"/>
      <c r="AQ55" s="35">
        <f t="shared" si="6"/>
        <v>0</v>
      </c>
      <c r="AT55" s="885" t="str">
        <f>IF(AND(OR(Y55="Yes",Y55="Pending"),P55='G-1 All Habitats'!$X$3),Q55-U55-V55,"")</f>
        <v/>
      </c>
      <c r="AV55" s="542" t="str">
        <f>IFERROR(INDEX('G-1 All Habitats'!$B$3:$B$135,MATCH(F55,'G-1 All Habitats'!$A$3:$A$135,0)),"")</f>
        <v/>
      </c>
      <c r="AW55" s="35" t="str">
        <f>IF(AV55="","",VLOOKUP(AV55,'G-1 All Habitats'!$B$1:$T$135,19,FALSE))</f>
        <v/>
      </c>
    </row>
    <row r="56" spans="1:49" ht="14.5" hidden="1" thickBot="1">
      <c r="A56" s="35" t="str">
        <f>IFERROR(INDEX('G-1 All Habitats'!$AG$3:$AG$17,MATCH(E56,'G-1 All Habitats'!$AF$3:$AF$17,0)),"")</f>
        <v/>
      </c>
      <c r="B56" s="35" t="str">
        <f>IFERROR(INDEX('G-8 Condition Look up'!$I$4:$I$135,MATCH(AV56,'G-8 Condition Look up'!$A$4:$A$135,0)),"")</f>
        <v/>
      </c>
      <c r="D56" s="225">
        <v>46</v>
      </c>
      <c r="E56" s="211"/>
      <c r="F56" s="57"/>
      <c r="G56" s="263"/>
      <c r="H56" s="51"/>
      <c r="I56" s="275" t="str">
        <f>IF(AV56="","",IF(AND(AW56="Yes",G56="No"),"Irreplaceable habitat ▲",IF(AND(AW56="No",G56="Yes"),"Cannot be Irreplaceable ▲",VLOOKUP(AV56,'G-1 All Habitats'!$B$2:$M$135,10,FALSE))))</f>
        <v/>
      </c>
      <c r="J56" s="276" t="str">
        <f>IFERROR(VLOOKUP(I56,'G-1 All Habitats'!$V$3:$W$7,2,FALSE),"")</f>
        <v/>
      </c>
      <c r="K56" s="52"/>
      <c r="L56" s="276" t="str">
        <f>IFERROR(INDEX('G-8 Condition Look up'!$A$3:$H$135,MATCH(AV56,'G-8 Condition Look up'!$A$3:$A$135,0),MATCH(K56,'G-8 Condition Look up'!$A$3:$H$3,0)),"")</f>
        <v/>
      </c>
      <c r="M56" s="52"/>
      <c r="N56" s="295" t="str">
        <f>IF(M56="","",IF(VLOOKUP(M56,'G-3 Multipliers'!$L$3:$N$6,2,FALSE)=0,"Spatial Data Missing",VLOOKUP(M56,'G-3 Multipliers'!$L$3:$N$6,2,FALSE)))</f>
        <v/>
      </c>
      <c r="O56" s="281" t="str">
        <f>IF(M56="","",IF(VLOOKUP(M56,'G-3 Multipliers'!$L$3:$N$6,3,FALSE)=0,"Spatial Data Missing ▲",VLOOKUP(M56,'G-3 Multipliers'!$L$3:$N$6,3,FALSE)))</f>
        <v/>
      </c>
      <c r="P56" s="282" t="str">
        <f>(IF(G56="Yes","Bespoke compensation likely to be required",(IFERROR(VLOOKUP(AV56,'G-1 All Habitats'!$B$2:$M$135,12,FALSE),""))))</f>
        <v/>
      </c>
      <c r="Q56" s="289" t="str">
        <f>IFERROR(IF(AND(F56&lt;&gt;"",G56=""),"Confirm irreplaceable habitat status ▲",(IF(AND(E56="Individual trees",T56&gt;0,G56="Yes"),"Error - you cannot enhance irreplaceable individual trees ▲",(IF(AND(U56="Irreplaceable habitat - no units generated ⚠",(S56+T56)&lt;H56,OR(Y56="No",Y56="")),"Any Loss Unacceptable ⚠",(IF(U56="Irreplaceable habitat - no units generated ⚠",T56*J56*L56*O56,IF(AND(P56='G-1 All Habitats'!$X$9,AC56&gt;0,S56&lt;=0,T56&lt;=0,OR(Y56="No",Y56="")),"Any Loss Unacceptable ⚠",IF(AND(P56='G-1 All Habitats'!$X$9,AC56&gt;0,S56&lt;=0,T56&lt;=0,Y56="Yes"),0,(IF(AND(P56='G-1 All Habitats'!$X$9,(S56+T56)&lt;H56,OR(Y56="No",Y56="")),"Any Loss Unacceptable ⚠",(IF(P56="","",IF(AND(P56='G-1 All Habitats'!$X$9,T56&gt;0),U56+V56,IF(AND(P56='G-1 All Habitats'!$X$9,S56&gt;0),U56+V56,H56*J56*L56*O56))))))))))))))),"Check Data ▲")</f>
        <v/>
      </c>
      <c r="R56" s="38"/>
      <c r="S56" s="52"/>
      <c r="T56" s="53"/>
      <c r="U56" s="287" t="str">
        <f t="shared" si="0"/>
        <v/>
      </c>
      <c r="V56" s="287" t="str">
        <f t="shared" si="3"/>
        <v/>
      </c>
      <c r="W56" s="287" t="str">
        <f t="shared" si="4"/>
        <v/>
      </c>
      <c r="X56" s="291" t="str">
        <f>IFERROR(IF(H56="","",IF(H56-S56-T56=0&lt;0,"Error in Areas ▲",IF(S56+T56&gt;H56,"Error in Areas ▲",IF(AND(P56='G-1 All Habitats'!$X$9,Y56="Yes"),"Alternative Compensation ✓",IF(AND(P56='G-1 All Habitats'!$X$3,Y56="Yes"),"Alternative Compensation ✓",IF(AND(Y56="Pending",P56='G-1 All Habitats'!$X$3),"Bespoke compensation must be agreed ▲",IF(AND(Y56="Pending",P56='G-1 All Habitats'!$X$9),"Bespoke compensation must be agreed  ▲",IF(W56=0,0,IF(P56='G-1 All Habitats'!$X$9,"Any Loss Unacceptable ▲",Q56-U56-V56))))))))),"Check Data ▲")</f>
        <v/>
      </c>
      <c r="Y56" s="53"/>
      <c r="Z56" s="105"/>
      <c r="AA56" s="233"/>
      <c r="AB56" s="104"/>
      <c r="AC56" s="512" t="str">
        <f>IF(OR(P56="",Y56="Yes"),"",IF(P56='G-1 All Habitats'!$X$9,H56-S56-T56,"None"))</f>
        <v/>
      </c>
      <c r="AD56" s="513" t="str">
        <f>IF(P56="","",IF(P56='G-1 All Habitats'!$X$9,AC56*J56*L56*O56,"None"))</f>
        <v/>
      </c>
      <c r="AE56" s="35" t="str">
        <f t="shared" si="1"/>
        <v/>
      </c>
      <c r="AF56" s="40" t="str">
        <f t="shared" si="5"/>
        <v/>
      </c>
      <c r="AG56" s="40" t="str">
        <f t="shared" si="2"/>
        <v/>
      </c>
      <c r="AH56" s="40" t="str">
        <f>IF(I56="","",IF(#REF!&gt;0,TRUE,FALSE))</f>
        <v/>
      </c>
      <c r="AI56" s="40">
        <v>46</v>
      </c>
      <c r="AJ56" s="40"/>
      <c r="AK56" s="40" t="str">
        <f t="array" ref="AK56">IFERROR(INDEX($AI$11:$AI$259,MATCH(0,IF(TRUE=$AF$11:$AF$259,COUNTIF($AK$10:$AK55,$AI$11:$AI$259),""),0)),"")</f>
        <v/>
      </c>
      <c r="AL56" s="40" t="str">
        <f t="array" ref="AL56">IFERROR(INDEX($AI$11:$AI$259,MATCH(0,IF(TRUE=$AG$11:$AG$259,COUNTIF($AL$10:$AL55,$AI$11:$AI$259),""),0)),"")</f>
        <v/>
      </c>
      <c r="AM56" s="40" t="str">
        <f t="array" ref="AM56">IFERROR(INDEX($AI$11:$AI$259,MATCH(0,IF(TRUE=$AH$11:$AH$259,COUNTIF($AM$10:$AM55,$AI$11:$AI$259),""),0)),"")</f>
        <v/>
      </c>
      <c r="AN56" s="40"/>
      <c r="AQ56" s="35">
        <f t="shared" si="6"/>
        <v>0</v>
      </c>
      <c r="AT56" s="885" t="str">
        <f>IF(AND(OR(Y56="Yes",Y56="Pending"),P56='G-1 All Habitats'!$X$3),Q56-U56-V56,"")</f>
        <v/>
      </c>
      <c r="AV56" s="542" t="str">
        <f>IFERROR(INDEX('G-1 All Habitats'!$B$3:$B$135,MATCH(F56,'G-1 All Habitats'!$A$3:$A$135,0)),"")</f>
        <v/>
      </c>
      <c r="AW56" s="35" t="str">
        <f>IF(AV56="","",VLOOKUP(AV56,'G-1 All Habitats'!$B$1:$T$135,19,FALSE))</f>
        <v/>
      </c>
    </row>
    <row r="57" spans="1:49" ht="14.5" hidden="1" thickBot="1">
      <c r="A57" s="35" t="str">
        <f>IFERROR(INDEX('G-1 All Habitats'!$AG$3:$AG$17,MATCH(E57,'G-1 All Habitats'!$AF$3:$AF$17,0)),"")</f>
        <v/>
      </c>
      <c r="B57" s="35" t="str">
        <f>IFERROR(INDEX('G-8 Condition Look up'!$I$4:$I$135,MATCH(AV57,'G-8 Condition Look up'!$A$4:$A$135,0)),"")</f>
        <v/>
      </c>
      <c r="D57" s="225">
        <v>47</v>
      </c>
      <c r="E57" s="211"/>
      <c r="F57" s="57"/>
      <c r="G57" s="263"/>
      <c r="H57" s="51"/>
      <c r="I57" s="275" t="str">
        <f>IF(AV57="","",IF(AND(AW57="Yes",G57="No"),"Irreplaceable habitat ▲",IF(AND(AW57="No",G57="Yes"),"Cannot be Irreplaceable ▲",VLOOKUP(AV57,'G-1 All Habitats'!$B$2:$M$135,10,FALSE))))</f>
        <v/>
      </c>
      <c r="J57" s="276" t="str">
        <f>IFERROR(VLOOKUP(I57,'G-1 All Habitats'!$V$3:$W$7,2,FALSE),"")</f>
        <v/>
      </c>
      <c r="K57" s="52"/>
      <c r="L57" s="276" t="str">
        <f>IFERROR(INDEX('G-8 Condition Look up'!$A$3:$H$135,MATCH(AV57,'G-8 Condition Look up'!$A$3:$A$135,0),MATCH(K57,'G-8 Condition Look up'!$A$3:$H$3,0)),"")</f>
        <v/>
      </c>
      <c r="M57" s="52"/>
      <c r="N57" s="295" t="str">
        <f>IF(M57="","",IF(VLOOKUP(M57,'G-3 Multipliers'!$L$3:$N$6,2,FALSE)=0,"Spatial Data Missing",VLOOKUP(M57,'G-3 Multipliers'!$L$3:$N$6,2,FALSE)))</f>
        <v/>
      </c>
      <c r="O57" s="281" t="str">
        <f>IF(M57="","",IF(VLOOKUP(M57,'G-3 Multipliers'!$L$3:$N$6,3,FALSE)=0,"Spatial Data Missing ▲",VLOOKUP(M57,'G-3 Multipliers'!$L$3:$N$6,3,FALSE)))</f>
        <v/>
      </c>
      <c r="P57" s="282" t="str">
        <f>(IF(G57="Yes","Bespoke compensation likely to be required",(IFERROR(VLOOKUP(AV57,'G-1 All Habitats'!$B$2:$M$135,12,FALSE),""))))</f>
        <v/>
      </c>
      <c r="Q57" s="289" t="str">
        <f>IFERROR(IF(AND(F57&lt;&gt;"",G57=""),"Confirm irreplaceable habitat status ▲",(IF(AND(E57="Individual trees",T57&gt;0,G57="Yes"),"Error - you cannot enhance irreplaceable individual trees ▲",(IF(AND(U57="Irreplaceable habitat - no units generated ⚠",(S57+T57)&lt;H57,OR(Y57="No",Y57="")),"Any Loss Unacceptable ⚠",(IF(U57="Irreplaceable habitat - no units generated ⚠",T57*J57*L57*O57,IF(AND(P57='G-1 All Habitats'!$X$9,AC57&gt;0,S57&lt;=0,T57&lt;=0,OR(Y57="No",Y57="")),"Any Loss Unacceptable ⚠",IF(AND(P57='G-1 All Habitats'!$X$9,AC57&gt;0,S57&lt;=0,T57&lt;=0,Y57="Yes"),0,(IF(AND(P57='G-1 All Habitats'!$X$9,(S57+T57)&lt;H57,OR(Y57="No",Y57="")),"Any Loss Unacceptable ⚠",(IF(P57="","",IF(AND(P57='G-1 All Habitats'!$X$9,T57&gt;0),U57+V57,IF(AND(P57='G-1 All Habitats'!$X$9,S57&gt;0),U57+V57,H57*J57*L57*O57))))))))))))))),"Check Data ▲")</f>
        <v/>
      </c>
      <c r="R57" s="38"/>
      <c r="S57" s="52"/>
      <c r="T57" s="53"/>
      <c r="U57" s="287" t="str">
        <f t="shared" si="0"/>
        <v/>
      </c>
      <c r="V57" s="287" t="str">
        <f t="shared" si="3"/>
        <v/>
      </c>
      <c r="W57" s="287" t="str">
        <f t="shared" si="4"/>
        <v/>
      </c>
      <c r="X57" s="291" t="str">
        <f>IFERROR(IF(H57="","",IF(H57-S57-T57=0&lt;0,"Error in Areas ▲",IF(S57+T57&gt;H57,"Error in Areas ▲",IF(AND(P57='G-1 All Habitats'!$X$9,Y57="Yes"),"Alternative Compensation ✓",IF(AND(P57='G-1 All Habitats'!$X$3,Y57="Yes"),"Alternative Compensation ✓",IF(AND(Y57="Pending",P57='G-1 All Habitats'!$X$3),"Bespoke compensation must be agreed ▲",IF(AND(Y57="Pending",P57='G-1 All Habitats'!$X$9),"Bespoke compensation must be agreed  ▲",IF(W57=0,0,IF(P57='G-1 All Habitats'!$X$9,"Any Loss Unacceptable ▲",Q57-U57-V57))))))))),"Check Data ▲")</f>
        <v/>
      </c>
      <c r="Y57" s="53"/>
      <c r="Z57" s="105"/>
      <c r="AA57" s="233"/>
      <c r="AB57" s="104"/>
      <c r="AC57" s="512" t="str">
        <f>IF(OR(P57="",Y57="Yes"),"",IF(P57='G-1 All Habitats'!$X$9,H57-S57-T57,"None"))</f>
        <v/>
      </c>
      <c r="AD57" s="513" t="str">
        <f>IF(P57="","",IF(P57='G-1 All Habitats'!$X$9,AC57*J57*L57*O57,"None"))</f>
        <v/>
      </c>
      <c r="AE57" s="35" t="str">
        <f t="shared" si="1"/>
        <v/>
      </c>
      <c r="AF57" s="40" t="str">
        <f t="shared" si="5"/>
        <v/>
      </c>
      <c r="AG57" s="40" t="str">
        <f t="shared" si="2"/>
        <v/>
      </c>
      <c r="AH57" s="40" t="str">
        <f>IF(I57="","",IF(#REF!&gt;0,TRUE,FALSE))</f>
        <v/>
      </c>
      <c r="AI57" s="40">
        <v>47</v>
      </c>
      <c r="AJ57" s="40"/>
      <c r="AK57" s="40" t="str">
        <f t="array" ref="AK57">IFERROR(INDEX($AI$11:$AI$259,MATCH(0,IF(TRUE=$AF$11:$AF$259,COUNTIF($AK$10:$AK56,$AI$11:$AI$259),""),0)),"")</f>
        <v/>
      </c>
      <c r="AL57" s="40" t="str">
        <f t="array" ref="AL57">IFERROR(INDEX($AI$11:$AI$259,MATCH(0,IF(TRUE=$AG$11:$AG$259,COUNTIF($AL$10:$AL56,$AI$11:$AI$259),""),0)),"")</f>
        <v/>
      </c>
      <c r="AM57" s="40" t="str">
        <f t="array" ref="AM57">IFERROR(INDEX($AI$11:$AI$259,MATCH(0,IF(TRUE=$AH$11:$AH$259,COUNTIF($AM$10:$AM56,$AI$11:$AI$259),""),0)),"")</f>
        <v/>
      </c>
      <c r="AN57" s="40"/>
      <c r="AQ57" s="35">
        <f t="shared" si="6"/>
        <v>0</v>
      </c>
      <c r="AT57" s="885" t="str">
        <f>IF(AND(OR(Y57="Yes",Y57="Pending"),P57='G-1 All Habitats'!$X$3),Q57-U57-V57,"")</f>
        <v/>
      </c>
      <c r="AV57" s="542" t="str">
        <f>IFERROR(INDEX('G-1 All Habitats'!$B$3:$B$135,MATCH(F57,'G-1 All Habitats'!$A$3:$A$135,0)),"")</f>
        <v/>
      </c>
      <c r="AW57" s="35" t="str">
        <f>IF(AV57="","",VLOOKUP(AV57,'G-1 All Habitats'!$B$1:$T$135,19,FALSE))</f>
        <v/>
      </c>
    </row>
    <row r="58" spans="1:49" ht="14.5" hidden="1" thickBot="1">
      <c r="A58" s="35" t="str">
        <f>IFERROR(INDEX('G-1 All Habitats'!$AG$3:$AG$17,MATCH(E58,'G-1 All Habitats'!$AF$3:$AF$17,0)),"")</f>
        <v/>
      </c>
      <c r="B58" s="35" t="str">
        <f>IFERROR(INDEX('G-8 Condition Look up'!$I$4:$I$135,MATCH(AV58,'G-8 Condition Look up'!$A$4:$A$135,0)),"")</f>
        <v/>
      </c>
      <c r="D58" s="225">
        <v>48</v>
      </c>
      <c r="E58" s="211"/>
      <c r="F58" s="57"/>
      <c r="G58" s="263"/>
      <c r="H58" s="51"/>
      <c r="I58" s="275" t="str">
        <f>IF(AV58="","",IF(AND(AW58="Yes",G58="No"),"Irreplaceable habitat ▲",IF(AND(AW58="No",G58="Yes"),"Cannot be Irreplaceable ▲",VLOOKUP(AV58,'G-1 All Habitats'!$B$2:$M$135,10,FALSE))))</f>
        <v/>
      </c>
      <c r="J58" s="276" t="str">
        <f>IFERROR(VLOOKUP(I58,'G-1 All Habitats'!$V$3:$W$7,2,FALSE),"")</f>
        <v/>
      </c>
      <c r="K58" s="52"/>
      <c r="L58" s="276" t="str">
        <f>IFERROR(INDEX('G-8 Condition Look up'!$A$3:$H$135,MATCH(AV58,'G-8 Condition Look up'!$A$3:$A$135,0),MATCH(K58,'G-8 Condition Look up'!$A$3:$H$3,0)),"")</f>
        <v/>
      </c>
      <c r="M58" s="52"/>
      <c r="N58" s="295" t="str">
        <f>IF(M58="","",IF(VLOOKUP(M58,'G-3 Multipliers'!$L$3:$N$6,2,FALSE)=0,"Spatial Data Missing",VLOOKUP(M58,'G-3 Multipliers'!$L$3:$N$6,2,FALSE)))</f>
        <v/>
      </c>
      <c r="O58" s="281" t="str">
        <f>IF(M58="","",IF(VLOOKUP(M58,'G-3 Multipliers'!$L$3:$N$6,3,FALSE)=0,"Spatial Data Missing ▲",VLOOKUP(M58,'G-3 Multipliers'!$L$3:$N$6,3,FALSE)))</f>
        <v/>
      </c>
      <c r="P58" s="282" t="str">
        <f>(IF(G58="Yes","Bespoke compensation likely to be required",(IFERROR(VLOOKUP(AV58,'G-1 All Habitats'!$B$2:$M$135,12,FALSE),""))))</f>
        <v/>
      </c>
      <c r="Q58" s="289" t="str">
        <f>IFERROR(IF(AND(F58&lt;&gt;"",G58=""),"Confirm irreplaceable habitat status ▲",(IF(AND(E58="Individual trees",T58&gt;0,G58="Yes"),"Error - you cannot enhance irreplaceable individual trees ▲",(IF(AND(U58="Irreplaceable habitat - no units generated ⚠",(S58+T58)&lt;H58,OR(Y58="No",Y58="")),"Any Loss Unacceptable ⚠",(IF(U58="Irreplaceable habitat - no units generated ⚠",T58*J58*L58*O58,IF(AND(P58='G-1 All Habitats'!$X$9,AC58&gt;0,S58&lt;=0,T58&lt;=0,OR(Y58="No",Y58="")),"Any Loss Unacceptable ⚠",IF(AND(P58='G-1 All Habitats'!$X$9,AC58&gt;0,S58&lt;=0,T58&lt;=0,Y58="Yes"),0,(IF(AND(P58='G-1 All Habitats'!$X$9,(S58+T58)&lt;H58,OR(Y58="No",Y58="")),"Any Loss Unacceptable ⚠",(IF(P58="","",IF(AND(P58='G-1 All Habitats'!$X$9,T58&gt;0),U58+V58,IF(AND(P58='G-1 All Habitats'!$X$9,S58&gt;0),U58+V58,H58*J58*L58*O58))))))))))))))),"Check Data ▲")</f>
        <v/>
      </c>
      <c r="R58" s="38"/>
      <c r="S58" s="52"/>
      <c r="T58" s="53"/>
      <c r="U58" s="287" t="str">
        <f t="shared" si="0"/>
        <v/>
      </c>
      <c r="V58" s="287" t="str">
        <f t="shared" si="3"/>
        <v/>
      </c>
      <c r="W58" s="287" t="str">
        <f t="shared" si="4"/>
        <v/>
      </c>
      <c r="X58" s="291" t="str">
        <f>IFERROR(IF(H58="","",IF(H58-S58-T58=0&lt;0,"Error in Areas ▲",IF(S58+T58&gt;H58,"Error in Areas ▲",IF(AND(P58='G-1 All Habitats'!$X$9,Y58="Yes"),"Alternative Compensation ✓",IF(AND(P58='G-1 All Habitats'!$X$3,Y58="Yes"),"Alternative Compensation ✓",IF(AND(Y58="Pending",P58='G-1 All Habitats'!$X$3),"Bespoke compensation must be agreed ▲",IF(AND(Y58="Pending",P58='G-1 All Habitats'!$X$9),"Bespoke compensation must be agreed  ▲",IF(W58=0,0,IF(P58='G-1 All Habitats'!$X$9,"Any Loss Unacceptable ▲",Q58-U58-V58))))))))),"Check Data ▲")</f>
        <v/>
      </c>
      <c r="Y58" s="53"/>
      <c r="Z58" s="105"/>
      <c r="AA58" s="233"/>
      <c r="AB58" s="104"/>
      <c r="AC58" s="512" t="str">
        <f>IF(OR(P58="",Y58="Yes"),"",IF(P58='G-1 All Habitats'!$X$9,H58-S58-T58,"None"))</f>
        <v/>
      </c>
      <c r="AD58" s="513" t="str">
        <f>IF(P58="","",IF(P58='G-1 All Habitats'!$X$9,AC58*J58*L58*O58,"None"))</f>
        <v/>
      </c>
      <c r="AE58" s="35" t="str">
        <f t="shared" si="1"/>
        <v/>
      </c>
      <c r="AF58" s="40" t="str">
        <f t="shared" si="5"/>
        <v/>
      </c>
      <c r="AG58" s="40" t="str">
        <f t="shared" si="2"/>
        <v/>
      </c>
      <c r="AH58" s="40" t="str">
        <f>IF(I58="","",IF(#REF!&gt;0,TRUE,FALSE))</f>
        <v/>
      </c>
      <c r="AI58" s="40">
        <v>48</v>
      </c>
      <c r="AJ58" s="40"/>
      <c r="AK58" s="40" t="str">
        <f t="array" ref="AK58">IFERROR(INDEX($AI$11:$AI$259,MATCH(0,IF(TRUE=$AF$11:$AF$259,COUNTIF($AK$10:$AK57,$AI$11:$AI$259),""),0)),"")</f>
        <v/>
      </c>
      <c r="AL58" s="40" t="str">
        <f t="array" ref="AL58">IFERROR(INDEX($AI$11:$AI$259,MATCH(0,IF(TRUE=$AG$11:$AG$259,COUNTIF($AL$10:$AL57,$AI$11:$AI$259),""),0)),"")</f>
        <v/>
      </c>
      <c r="AM58" s="40" t="str">
        <f t="array" ref="AM58">IFERROR(INDEX($AI$11:$AI$259,MATCH(0,IF(TRUE=$AH$11:$AH$259,COUNTIF($AM$10:$AM57,$AI$11:$AI$259),""),0)),"")</f>
        <v/>
      </c>
      <c r="AN58" s="40"/>
      <c r="AQ58" s="35">
        <f t="shared" si="6"/>
        <v>0</v>
      </c>
      <c r="AT58" s="885" t="str">
        <f>IF(AND(OR(Y58="Yes",Y58="Pending"),P58='G-1 All Habitats'!$X$3),Q58-U58-V58,"")</f>
        <v/>
      </c>
      <c r="AV58" s="542" t="str">
        <f>IFERROR(INDEX('G-1 All Habitats'!$B$3:$B$135,MATCH(F58,'G-1 All Habitats'!$A$3:$A$135,0)),"")</f>
        <v/>
      </c>
      <c r="AW58" s="35" t="str">
        <f>IF(AV58="","",VLOOKUP(AV58,'G-1 All Habitats'!$B$1:$T$135,19,FALSE))</f>
        <v/>
      </c>
    </row>
    <row r="59" spans="1:49" ht="14.5" hidden="1" thickBot="1">
      <c r="A59" s="35" t="str">
        <f>IFERROR(INDEX('G-1 All Habitats'!$AG$3:$AG$17,MATCH(E59,'G-1 All Habitats'!$AF$3:$AF$17,0)),"")</f>
        <v/>
      </c>
      <c r="B59" s="35" t="str">
        <f>IFERROR(INDEX('G-8 Condition Look up'!$I$4:$I$135,MATCH(AV59,'G-8 Condition Look up'!$A$4:$A$135,0)),"")</f>
        <v/>
      </c>
      <c r="D59" s="225">
        <v>49</v>
      </c>
      <c r="E59" s="211"/>
      <c r="F59" s="57"/>
      <c r="G59" s="263"/>
      <c r="H59" s="51"/>
      <c r="I59" s="275" t="str">
        <f>IF(AV59="","",IF(AND(AW59="Yes",G59="No"),"Irreplaceable habitat ▲",IF(AND(AW59="No",G59="Yes"),"Cannot be Irreplaceable ▲",VLOOKUP(AV59,'G-1 All Habitats'!$B$2:$M$135,10,FALSE))))</f>
        <v/>
      </c>
      <c r="J59" s="276" t="str">
        <f>IFERROR(VLOOKUP(I59,'G-1 All Habitats'!$V$3:$W$7,2,FALSE),"")</f>
        <v/>
      </c>
      <c r="K59" s="52"/>
      <c r="L59" s="276" t="str">
        <f>IFERROR(INDEX('G-8 Condition Look up'!$A$3:$H$135,MATCH(AV59,'G-8 Condition Look up'!$A$3:$A$135,0),MATCH(K59,'G-8 Condition Look up'!$A$3:$H$3,0)),"")</f>
        <v/>
      </c>
      <c r="M59" s="52"/>
      <c r="N59" s="295" t="str">
        <f>IF(M59="","",IF(VLOOKUP(M59,'G-3 Multipliers'!$L$3:$N$6,2,FALSE)=0,"Spatial Data Missing",VLOOKUP(M59,'G-3 Multipliers'!$L$3:$N$6,2,FALSE)))</f>
        <v/>
      </c>
      <c r="O59" s="281" t="str">
        <f>IF(M59="","",IF(VLOOKUP(M59,'G-3 Multipliers'!$L$3:$N$6,3,FALSE)=0,"Spatial Data Missing ▲",VLOOKUP(M59,'G-3 Multipliers'!$L$3:$N$6,3,FALSE)))</f>
        <v/>
      </c>
      <c r="P59" s="282" t="str">
        <f>(IF(G59="Yes","Bespoke compensation likely to be required",(IFERROR(VLOOKUP(AV59,'G-1 All Habitats'!$B$2:$M$135,12,FALSE),""))))</f>
        <v/>
      </c>
      <c r="Q59" s="289" t="str">
        <f>IFERROR(IF(AND(F59&lt;&gt;"",G59=""),"Confirm irreplaceable habitat status ▲",(IF(AND(E59="Individual trees",T59&gt;0,G59="Yes"),"Error - you cannot enhance irreplaceable individual trees ▲",(IF(AND(U59="Irreplaceable habitat - no units generated ⚠",(S59+T59)&lt;H59,OR(Y59="No",Y59="")),"Any Loss Unacceptable ⚠",(IF(U59="Irreplaceable habitat - no units generated ⚠",T59*J59*L59*O59,IF(AND(P59='G-1 All Habitats'!$X$9,AC59&gt;0,S59&lt;=0,T59&lt;=0,OR(Y59="No",Y59="")),"Any Loss Unacceptable ⚠",IF(AND(P59='G-1 All Habitats'!$X$9,AC59&gt;0,S59&lt;=0,T59&lt;=0,Y59="Yes"),0,(IF(AND(P59='G-1 All Habitats'!$X$9,(S59+T59)&lt;H59,OR(Y59="No",Y59="")),"Any Loss Unacceptable ⚠",(IF(P59="","",IF(AND(P59='G-1 All Habitats'!$X$9,T59&gt;0),U59+V59,IF(AND(P59='G-1 All Habitats'!$X$9,S59&gt;0),U59+V59,H59*J59*L59*O59))))))))))))))),"Check Data ▲")</f>
        <v/>
      </c>
      <c r="R59" s="38"/>
      <c r="S59" s="52"/>
      <c r="T59" s="53"/>
      <c r="U59" s="287" t="str">
        <f t="shared" si="0"/>
        <v/>
      </c>
      <c r="V59" s="287" t="str">
        <f t="shared" si="3"/>
        <v/>
      </c>
      <c r="W59" s="287" t="str">
        <f t="shared" si="4"/>
        <v/>
      </c>
      <c r="X59" s="291" t="str">
        <f>IFERROR(IF(H59="","",IF(H59-S59-T59=0&lt;0,"Error in Areas ▲",IF(S59+T59&gt;H59,"Error in Areas ▲",IF(AND(P59='G-1 All Habitats'!$X$9,Y59="Yes"),"Alternative Compensation ✓",IF(AND(P59='G-1 All Habitats'!$X$3,Y59="Yes"),"Alternative Compensation ✓",IF(AND(Y59="Pending",P59='G-1 All Habitats'!$X$3),"Bespoke compensation must be agreed ▲",IF(AND(Y59="Pending",P59='G-1 All Habitats'!$X$9),"Bespoke compensation must be agreed  ▲",IF(W59=0,0,IF(P59='G-1 All Habitats'!$X$9,"Any Loss Unacceptable ▲",Q59-U59-V59))))))))),"Check Data ▲")</f>
        <v/>
      </c>
      <c r="Y59" s="53"/>
      <c r="Z59" s="105"/>
      <c r="AA59" s="233"/>
      <c r="AB59" s="104"/>
      <c r="AC59" s="512" t="str">
        <f>IF(OR(P59="",Y59="Yes"),"",IF(P59='G-1 All Habitats'!$X$9,H59-S59-T59,"None"))</f>
        <v/>
      </c>
      <c r="AD59" s="513" t="str">
        <f>IF(P59="","",IF(P59='G-1 All Habitats'!$X$9,AC59*J59*L59*O59,"None"))</f>
        <v/>
      </c>
      <c r="AE59" s="35" t="str">
        <f t="shared" si="1"/>
        <v/>
      </c>
      <c r="AF59" s="40" t="str">
        <f t="shared" si="5"/>
        <v/>
      </c>
      <c r="AG59" s="40" t="str">
        <f t="shared" si="2"/>
        <v/>
      </c>
      <c r="AH59" s="40" t="str">
        <f>IF(I59="","",IF(#REF!&gt;0,TRUE,FALSE))</f>
        <v/>
      </c>
      <c r="AI59" s="40">
        <v>49</v>
      </c>
      <c r="AJ59" s="40"/>
      <c r="AK59" s="40" t="str">
        <f t="array" ref="AK59">IFERROR(INDEX($AI$11:$AI$259,MATCH(0,IF(TRUE=$AF$11:$AF$259,COUNTIF($AK$10:$AK58,$AI$11:$AI$259),""),0)),"")</f>
        <v/>
      </c>
      <c r="AL59" s="40" t="str">
        <f t="array" ref="AL59">IFERROR(INDEX($AI$11:$AI$259,MATCH(0,IF(TRUE=$AG$11:$AG$259,COUNTIF($AL$10:$AL58,$AI$11:$AI$259),""),0)),"")</f>
        <v/>
      </c>
      <c r="AM59" s="40" t="str">
        <f t="array" ref="AM59">IFERROR(INDEX($AI$11:$AI$259,MATCH(0,IF(TRUE=$AH$11:$AH$259,COUNTIF($AM$10:$AM58,$AI$11:$AI$259),""),0)),"")</f>
        <v/>
      </c>
      <c r="AN59" s="40"/>
      <c r="AQ59" s="35">
        <f t="shared" si="6"/>
        <v>0</v>
      </c>
      <c r="AT59" s="885" t="str">
        <f>IF(AND(OR(Y59="Yes",Y59="Pending"),P59='G-1 All Habitats'!$X$3),Q59-U59-V59,"")</f>
        <v/>
      </c>
      <c r="AV59" s="542" t="str">
        <f>IFERROR(INDEX('G-1 All Habitats'!$B$3:$B$135,MATCH(F59,'G-1 All Habitats'!$A$3:$A$135,0)),"")</f>
        <v/>
      </c>
      <c r="AW59" s="35" t="str">
        <f>IF(AV59="","",VLOOKUP(AV59,'G-1 All Habitats'!$B$1:$T$135,19,FALSE))</f>
        <v/>
      </c>
    </row>
    <row r="60" spans="1:49" ht="14.5" hidden="1" thickBot="1">
      <c r="A60" s="35" t="str">
        <f>IFERROR(INDEX('G-1 All Habitats'!$AG$3:$AG$17,MATCH(E60,'G-1 All Habitats'!$AF$3:$AF$17,0)),"")</f>
        <v/>
      </c>
      <c r="B60" s="35" t="str">
        <f>IFERROR(INDEX('G-8 Condition Look up'!$I$4:$I$135,MATCH(AV60,'G-8 Condition Look up'!$A$4:$A$135,0)),"")</f>
        <v/>
      </c>
      <c r="D60" s="225">
        <v>50</v>
      </c>
      <c r="E60" s="211"/>
      <c r="F60" s="57"/>
      <c r="G60" s="263"/>
      <c r="H60" s="51"/>
      <c r="I60" s="275" t="str">
        <f>IF(AV60="","",IF(AND(AW60="Yes",G60="No"),"Irreplaceable habitat ▲",IF(AND(AW60="No",G60="Yes"),"Cannot be Irreplaceable ▲",VLOOKUP(AV60,'G-1 All Habitats'!$B$2:$M$135,10,FALSE))))</f>
        <v/>
      </c>
      <c r="J60" s="276" t="str">
        <f>IFERROR(VLOOKUP(I60,'G-1 All Habitats'!$V$3:$W$7,2,FALSE),"")</f>
        <v/>
      </c>
      <c r="K60" s="52"/>
      <c r="L60" s="276" t="str">
        <f>IFERROR(INDEX('G-8 Condition Look up'!$A$3:$H$135,MATCH(AV60,'G-8 Condition Look up'!$A$3:$A$135,0),MATCH(K60,'G-8 Condition Look up'!$A$3:$H$3,0)),"")</f>
        <v/>
      </c>
      <c r="M60" s="52"/>
      <c r="N60" s="295" t="str">
        <f>IF(M60="","",IF(VLOOKUP(M60,'G-3 Multipliers'!$L$3:$N$6,2,FALSE)=0,"Spatial Data Missing",VLOOKUP(M60,'G-3 Multipliers'!$L$3:$N$6,2,FALSE)))</f>
        <v/>
      </c>
      <c r="O60" s="281" t="str">
        <f>IF(M60="","",IF(VLOOKUP(M60,'G-3 Multipliers'!$L$3:$N$6,3,FALSE)=0,"Spatial Data Missing ▲",VLOOKUP(M60,'G-3 Multipliers'!$L$3:$N$6,3,FALSE)))</f>
        <v/>
      </c>
      <c r="P60" s="282" t="str">
        <f>(IF(G60="Yes","Bespoke compensation likely to be required",(IFERROR(VLOOKUP(AV60,'G-1 All Habitats'!$B$2:$M$135,12,FALSE),""))))</f>
        <v/>
      </c>
      <c r="Q60" s="289" t="str">
        <f>IFERROR(IF(AND(F60&lt;&gt;"",G60=""),"Confirm irreplaceable habitat status ▲",(IF(AND(E60="Individual trees",T60&gt;0,G60="Yes"),"Error - you cannot enhance irreplaceable individual trees ▲",(IF(AND(U60="Irreplaceable habitat - no units generated ⚠",(S60+T60)&lt;H60,OR(Y60="No",Y60="")),"Any Loss Unacceptable ⚠",(IF(U60="Irreplaceable habitat - no units generated ⚠",T60*J60*L60*O60,IF(AND(P60='G-1 All Habitats'!$X$9,AC60&gt;0,S60&lt;=0,T60&lt;=0,OR(Y60="No",Y60="")),"Any Loss Unacceptable ⚠",IF(AND(P60='G-1 All Habitats'!$X$9,AC60&gt;0,S60&lt;=0,T60&lt;=0,Y60="Yes"),0,(IF(AND(P60='G-1 All Habitats'!$X$9,(S60+T60)&lt;H60,OR(Y60="No",Y60="")),"Any Loss Unacceptable ⚠",(IF(P60="","",IF(AND(P60='G-1 All Habitats'!$X$9,T60&gt;0),U60+V60,IF(AND(P60='G-1 All Habitats'!$X$9,S60&gt;0),U60+V60,H60*J60*L60*O60))))))))))))))),"Check Data ▲")</f>
        <v/>
      </c>
      <c r="R60" s="38"/>
      <c r="S60" s="52"/>
      <c r="T60" s="53"/>
      <c r="U60" s="287" t="str">
        <f t="shared" si="0"/>
        <v/>
      </c>
      <c r="V60" s="287" t="str">
        <f t="shared" si="3"/>
        <v/>
      </c>
      <c r="W60" s="287" t="str">
        <f t="shared" si="4"/>
        <v/>
      </c>
      <c r="X60" s="291" t="str">
        <f>IFERROR(IF(H60="","",IF(H60-S60-T60=0&lt;0,"Error in Areas ▲",IF(S60+T60&gt;H60,"Error in Areas ▲",IF(AND(P60='G-1 All Habitats'!$X$9,Y60="Yes"),"Alternative Compensation ✓",IF(AND(P60='G-1 All Habitats'!$X$3,Y60="Yes"),"Alternative Compensation ✓",IF(AND(Y60="Pending",P60='G-1 All Habitats'!$X$3),"Bespoke compensation must be agreed ▲",IF(AND(Y60="Pending",P60='G-1 All Habitats'!$X$9),"Bespoke compensation must be agreed  ▲",IF(W60=0,0,IF(P60='G-1 All Habitats'!$X$9,"Any Loss Unacceptable ▲",Q60-U60-V60))))))))),"Check Data ▲")</f>
        <v/>
      </c>
      <c r="Y60" s="53"/>
      <c r="Z60" s="105"/>
      <c r="AA60" s="233"/>
      <c r="AB60" s="104"/>
      <c r="AC60" s="512" t="str">
        <f>IF(OR(P60="",Y60="Yes"),"",IF(P60='G-1 All Habitats'!$X$9,H60-S60-T60,"None"))</f>
        <v/>
      </c>
      <c r="AD60" s="513" t="str">
        <f>IF(P60="","",IF(P60='G-1 All Habitats'!$X$9,AC60*J60*L60*O60,"None"))</f>
        <v/>
      </c>
      <c r="AE60" s="35" t="str">
        <f t="shared" si="1"/>
        <v/>
      </c>
      <c r="AF60" s="40" t="str">
        <f t="shared" si="5"/>
        <v/>
      </c>
      <c r="AG60" s="40" t="str">
        <f t="shared" si="2"/>
        <v/>
      </c>
      <c r="AH60" s="40" t="str">
        <f>IF(I60="","",IF(#REF!&gt;0,TRUE,FALSE))</f>
        <v/>
      </c>
      <c r="AI60" s="40">
        <v>50</v>
      </c>
      <c r="AJ60" s="40"/>
      <c r="AK60" s="40" t="str">
        <f t="array" ref="AK60">IFERROR(INDEX($AI$11:$AI$259,MATCH(0,IF(TRUE=$AF$11:$AF$259,COUNTIF($AK$10:$AK59,$AI$11:$AI$259),""),0)),"")</f>
        <v/>
      </c>
      <c r="AL60" s="40" t="str">
        <f t="array" ref="AL60">IFERROR(INDEX($AI$11:$AI$259,MATCH(0,IF(TRUE=$AG$11:$AG$259,COUNTIF($AL$10:$AL59,$AI$11:$AI$259),""),0)),"")</f>
        <v/>
      </c>
      <c r="AM60" s="40" t="str">
        <f t="array" ref="AM60">IFERROR(INDEX($AI$11:$AI$259,MATCH(0,IF(TRUE=$AH$11:$AH$259,COUNTIF($AM$10:$AM59,$AI$11:$AI$259),""),0)),"")</f>
        <v/>
      </c>
      <c r="AN60" s="40"/>
      <c r="AQ60" s="35">
        <f t="shared" si="6"/>
        <v>0</v>
      </c>
      <c r="AT60" s="885" t="str">
        <f>IF(AND(OR(Y60="Yes",Y60="Pending"),P60='G-1 All Habitats'!$X$3),Q60-U60-V60,"")</f>
        <v/>
      </c>
      <c r="AV60" s="542" t="str">
        <f>IFERROR(INDEX('G-1 All Habitats'!$B$3:$B$135,MATCH(F60,'G-1 All Habitats'!$A$3:$A$135,0)),"")</f>
        <v/>
      </c>
      <c r="AW60" s="35" t="str">
        <f>IF(AV60="","",VLOOKUP(AV60,'G-1 All Habitats'!$B$1:$T$135,19,FALSE))</f>
        <v/>
      </c>
    </row>
    <row r="61" spans="1:49" ht="14.5" hidden="1" thickBot="1">
      <c r="A61" s="35" t="str">
        <f>IFERROR(INDEX('G-1 All Habitats'!$AG$3:$AG$17,MATCH(E61,'G-1 All Habitats'!$AF$3:$AF$17,0)),"")</f>
        <v/>
      </c>
      <c r="B61" s="35" t="str">
        <f>IFERROR(INDEX('G-8 Condition Look up'!$I$4:$I$135,MATCH(AV61,'G-8 Condition Look up'!$A$4:$A$135,0)),"")</f>
        <v/>
      </c>
      <c r="D61" s="225">
        <v>51</v>
      </c>
      <c r="E61" s="211"/>
      <c r="F61" s="57"/>
      <c r="G61" s="263"/>
      <c r="H61" s="51"/>
      <c r="I61" s="275" t="str">
        <f>IF(AV61="","",IF(AND(AW61="Yes",G61="No"),"Irreplaceable habitat ▲",IF(AND(AW61="No",G61="Yes"),"Cannot be Irreplaceable ▲",VLOOKUP(AV61,'G-1 All Habitats'!$B$2:$M$135,10,FALSE))))</f>
        <v/>
      </c>
      <c r="J61" s="276" t="str">
        <f>IFERROR(VLOOKUP(I61,'G-1 All Habitats'!$V$3:$W$7,2,FALSE),"")</f>
        <v/>
      </c>
      <c r="K61" s="52"/>
      <c r="L61" s="276" t="str">
        <f>IFERROR(INDEX('G-8 Condition Look up'!$A$3:$H$135,MATCH(AV61,'G-8 Condition Look up'!$A$3:$A$135,0),MATCH(K61,'G-8 Condition Look up'!$A$3:$H$3,0)),"")</f>
        <v/>
      </c>
      <c r="M61" s="52"/>
      <c r="N61" s="295" t="str">
        <f>IF(M61="","",IF(VLOOKUP(M61,'G-3 Multipliers'!$L$3:$N$6,2,FALSE)=0,"Spatial Data Missing",VLOOKUP(M61,'G-3 Multipliers'!$L$3:$N$6,2,FALSE)))</f>
        <v/>
      </c>
      <c r="O61" s="281" t="str">
        <f>IF(M61="","",IF(VLOOKUP(M61,'G-3 Multipliers'!$L$3:$N$6,3,FALSE)=0,"Spatial Data Missing ▲",VLOOKUP(M61,'G-3 Multipliers'!$L$3:$N$6,3,FALSE)))</f>
        <v/>
      </c>
      <c r="P61" s="282" t="str">
        <f>(IF(G61="Yes","Bespoke compensation likely to be required",(IFERROR(VLOOKUP(AV61,'G-1 All Habitats'!$B$2:$M$135,12,FALSE),""))))</f>
        <v/>
      </c>
      <c r="Q61" s="289" t="str">
        <f>IFERROR(IF(AND(F61&lt;&gt;"",G61=""),"Confirm irreplaceable habitat status ▲",(IF(AND(E61="Individual trees",T61&gt;0,G61="Yes"),"Error - you cannot enhance irreplaceable individual trees ▲",(IF(AND(U61="Irreplaceable habitat - no units generated ⚠",(S61+T61)&lt;H61,OR(Y61="No",Y61="")),"Any Loss Unacceptable ⚠",(IF(U61="Irreplaceable habitat - no units generated ⚠",T61*J61*L61*O61,IF(AND(P61='G-1 All Habitats'!$X$9,AC61&gt;0,S61&lt;=0,T61&lt;=0,OR(Y61="No",Y61="")),"Any Loss Unacceptable ⚠",IF(AND(P61='G-1 All Habitats'!$X$9,AC61&gt;0,S61&lt;=0,T61&lt;=0,Y61="Yes"),0,(IF(AND(P61='G-1 All Habitats'!$X$9,(S61+T61)&lt;H61,OR(Y61="No",Y61="")),"Any Loss Unacceptable ⚠",(IF(P61="","",IF(AND(P61='G-1 All Habitats'!$X$9,T61&gt;0),U61+V61,IF(AND(P61='G-1 All Habitats'!$X$9,S61&gt;0),U61+V61,H61*J61*L61*O61))))))))))))))),"Check Data ▲")</f>
        <v/>
      </c>
      <c r="R61" s="38"/>
      <c r="S61" s="52"/>
      <c r="T61" s="53"/>
      <c r="U61" s="287" t="str">
        <f t="shared" si="0"/>
        <v/>
      </c>
      <c r="V61" s="287" t="str">
        <f t="shared" si="3"/>
        <v/>
      </c>
      <c r="W61" s="287" t="str">
        <f t="shared" si="4"/>
        <v/>
      </c>
      <c r="X61" s="291" t="str">
        <f>IFERROR(IF(H61="","",IF(H61-S61-T61=0&lt;0,"Error in Areas ▲",IF(S61+T61&gt;H61,"Error in Areas ▲",IF(AND(P61='G-1 All Habitats'!$X$9,Y61="Yes"),"Alternative Compensation ✓",IF(AND(P61='G-1 All Habitats'!$X$3,Y61="Yes"),"Alternative Compensation ✓",IF(AND(Y61="Pending",P61='G-1 All Habitats'!$X$3),"Bespoke compensation must be agreed ▲",IF(AND(Y61="Pending",P61='G-1 All Habitats'!$X$9),"Bespoke compensation must be agreed  ▲",IF(W61=0,0,IF(P61='G-1 All Habitats'!$X$9,"Any Loss Unacceptable ▲",Q61-U61-V61))))))))),"Check Data ▲")</f>
        <v/>
      </c>
      <c r="Y61" s="53"/>
      <c r="Z61" s="105"/>
      <c r="AA61" s="233"/>
      <c r="AB61" s="104"/>
      <c r="AC61" s="512" t="str">
        <f>IF(OR(P61="",Y61="Yes"),"",IF(P61='G-1 All Habitats'!$X$9,H61-S61-T61,"None"))</f>
        <v/>
      </c>
      <c r="AD61" s="513" t="str">
        <f>IF(P61="","",IF(P61='G-1 All Habitats'!$X$9,AC61*J61*L61*O61,"None"))</f>
        <v/>
      </c>
      <c r="AE61" s="35" t="str">
        <f t="shared" si="1"/>
        <v/>
      </c>
      <c r="AF61" s="40" t="str">
        <f t="shared" si="5"/>
        <v/>
      </c>
      <c r="AG61" s="40" t="str">
        <f t="shared" si="2"/>
        <v/>
      </c>
      <c r="AH61" s="40" t="str">
        <f>IF(I61="","",IF(#REF!&gt;0,TRUE,FALSE))</f>
        <v/>
      </c>
      <c r="AI61" s="40">
        <v>51</v>
      </c>
      <c r="AJ61" s="40"/>
      <c r="AK61" s="40" t="str">
        <f t="array" ref="AK61">IFERROR(INDEX($AI$11:$AI$259,MATCH(0,IF(TRUE=$AF$11:$AF$259,COUNTIF($AK$10:$AK60,$AI$11:$AI$259),""),0)),"")</f>
        <v/>
      </c>
      <c r="AL61" s="40" t="str">
        <f t="array" ref="AL61">IFERROR(INDEX($AI$11:$AI$259,MATCH(0,IF(TRUE=$AG$11:$AG$259,COUNTIF($AL$10:$AL60,$AI$11:$AI$259),""),0)),"")</f>
        <v/>
      </c>
      <c r="AM61" s="40" t="str">
        <f t="array" ref="AM61">IFERROR(INDEX($AI$11:$AI$259,MATCH(0,IF(TRUE=$AH$11:$AH$259,COUNTIF($AM$10:$AM60,$AI$11:$AI$259),""),0)),"")</f>
        <v/>
      </c>
      <c r="AN61" s="40"/>
      <c r="AQ61" s="35">
        <f t="shared" si="6"/>
        <v>0</v>
      </c>
      <c r="AT61" s="885" t="str">
        <f>IF(AND(OR(Y61="Yes",Y61="Pending"),P61='G-1 All Habitats'!$X$3),Q61-U61-V61,"")</f>
        <v/>
      </c>
      <c r="AV61" s="542" t="str">
        <f>IFERROR(INDEX('G-1 All Habitats'!$B$3:$B$135,MATCH(F61,'G-1 All Habitats'!$A$3:$A$135,0)),"")</f>
        <v/>
      </c>
      <c r="AW61" s="35" t="str">
        <f>IF(AV61="","",VLOOKUP(AV61,'G-1 All Habitats'!$B$1:$T$135,19,FALSE))</f>
        <v/>
      </c>
    </row>
    <row r="62" spans="1:49" ht="14.5" hidden="1" thickBot="1">
      <c r="A62" s="35" t="str">
        <f>IFERROR(INDEX('G-1 All Habitats'!$AG$3:$AG$17,MATCH(E62,'G-1 All Habitats'!$AF$3:$AF$17,0)),"")</f>
        <v/>
      </c>
      <c r="B62" s="35" t="str">
        <f>IFERROR(INDEX('G-8 Condition Look up'!$I$4:$I$135,MATCH(AV62,'G-8 Condition Look up'!$A$4:$A$135,0)),"")</f>
        <v/>
      </c>
      <c r="D62" s="225">
        <v>52</v>
      </c>
      <c r="E62" s="211"/>
      <c r="F62" s="57"/>
      <c r="G62" s="263"/>
      <c r="H62" s="51"/>
      <c r="I62" s="275" t="str">
        <f>IF(AV62="","",IF(AND(AW62="Yes",G62="No"),"Irreplaceable habitat ▲",IF(AND(AW62="No",G62="Yes"),"Cannot be Irreplaceable ▲",VLOOKUP(AV62,'G-1 All Habitats'!$B$2:$M$135,10,FALSE))))</f>
        <v/>
      </c>
      <c r="J62" s="276" t="str">
        <f>IFERROR(VLOOKUP(I62,'G-1 All Habitats'!$V$3:$W$7,2,FALSE),"")</f>
        <v/>
      </c>
      <c r="K62" s="52"/>
      <c r="L62" s="276" t="str">
        <f>IFERROR(INDEX('G-8 Condition Look up'!$A$3:$H$135,MATCH(AV62,'G-8 Condition Look up'!$A$3:$A$135,0),MATCH(K62,'G-8 Condition Look up'!$A$3:$H$3,0)),"")</f>
        <v/>
      </c>
      <c r="M62" s="52"/>
      <c r="N62" s="295" t="str">
        <f>IF(M62="","",IF(VLOOKUP(M62,'G-3 Multipliers'!$L$3:$N$6,2,FALSE)=0,"Spatial Data Missing",VLOOKUP(M62,'G-3 Multipliers'!$L$3:$N$6,2,FALSE)))</f>
        <v/>
      </c>
      <c r="O62" s="281" t="str">
        <f>IF(M62="","",IF(VLOOKUP(M62,'G-3 Multipliers'!$L$3:$N$6,3,FALSE)=0,"Spatial Data Missing ▲",VLOOKUP(M62,'G-3 Multipliers'!$L$3:$N$6,3,FALSE)))</f>
        <v/>
      </c>
      <c r="P62" s="282" t="str">
        <f>(IF(G62="Yes","Bespoke compensation likely to be required",(IFERROR(VLOOKUP(AV62,'G-1 All Habitats'!$B$2:$M$135,12,FALSE),""))))</f>
        <v/>
      </c>
      <c r="Q62" s="289" t="str">
        <f>IFERROR(IF(AND(F62&lt;&gt;"",G62=""),"Confirm irreplaceable habitat status ▲",(IF(AND(E62="Individual trees",T62&gt;0,G62="Yes"),"Error - you cannot enhance irreplaceable individual trees ▲",(IF(AND(U62="Irreplaceable habitat - no units generated ⚠",(S62+T62)&lt;H62,OR(Y62="No",Y62="")),"Any Loss Unacceptable ⚠",(IF(U62="Irreplaceable habitat - no units generated ⚠",T62*J62*L62*O62,IF(AND(P62='G-1 All Habitats'!$X$9,AC62&gt;0,S62&lt;=0,T62&lt;=0,OR(Y62="No",Y62="")),"Any Loss Unacceptable ⚠",IF(AND(P62='G-1 All Habitats'!$X$9,AC62&gt;0,S62&lt;=0,T62&lt;=0,Y62="Yes"),0,(IF(AND(P62='G-1 All Habitats'!$X$9,(S62+T62)&lt;H62,OR(Y62="No",Y62="")),"Any Loss Unacceptable ⚠",(IF(P62="","",IF(AND(P62='G-1 All Habitats'!$X$9,T62&gt;0),U62+V62,IF(AND(P62='G-1 All Habitats'!$X$9,S62&gt;0),U62+V62,H62*J62*L62*O62))))))))))))))),"Check Data ▲")</f>
        <v/>
      </c>
      <c r="R62" s="38"/>
      <c r="S62" s="52"/>
      <c r="T62" s="53"/>
      <c r="U62" s="287" t="str">
        <f t="shared" si="0"/>
        <v/>
      </c>
      <c r="V62" s="287" t="str">
        <f t="shared" si="3"/>
        <v/>
      </c>
      <c r="W62" s="287" t="str">
        <f t="shared" si="4"/>
        <v/>
      </c>
      <c r="X62" s="291" t="str">
        <f>IFERROR(IF(H62="","",IF(H62-S62-T62=0&lt;0,"Error in Areas ▲",IF(S62+T62&gt;H62,"Error in Areas ▲",IF(AND(P62='G-1 All Habitats'!$X$9,Y62="Yes"),"Alternative Compensation ✓",IF(AND(P62='G-1 All Habitats'!$X$3,Y62="Yes"),"Alternative Compensation ✓",IF(AND(Y62="Pending",P62='G-1 All Habitats'!$X$3),"Bespoke compensation must be agreed ▲",IF(AND(Y62="Pending",P62='G-1 All Habitats'!$X$9),"Bespoke compensation must be agreed  ▲",IF(W62=0,0,IF(P62='G-1 All Habitats'!$X$9,"Any Loss Unacceptable ▲",Q62-U62-V62))))))))),"Check Data ▲")</f>
        <v/>
      </c>
      <c r="Y62" s="53"/>
      <c r="Z62" s="105"/>
      <c r="AA62" s="233"/>
      <c r="AB62" s="104"/>
      <c r="AC62" s="512" t="str">
        <f>IF(OR(P62="",Y62="Yes"),"",IF(P62='G-1 All Habitats'!$X$9,H62-S62-T62,"None"))</f>
        <v/>
      </c>
      <c r="AD62" s="513" t="str">
        <f>IF(P62="","",IF(P62='G-1 All Habitats'!$X$9,AC62*J62*L62*O62,"None"))</f>
        <v/>
      </c>
      <c r="AE62" s="35" t="str">
        <f t="shared" si="1"/>
        <v/>
      </c>
      <c r="AF62" s="40" t="str">
        <f t="shared" si="5"/>
        <v/>
      </c>
      <c r="AG62" s="40" t="str">
        <f t="shared" si="2"/>
        <v/>
      </c>
      <c r="AH62" s="40" t="str">
        <f>IF(I62="","",IF(#REF!&gt;0,TRUE,FALSE))</f>
        <v/>
      </c>
      <c r="AI62" s="40">
        <v>52</v>
      </c>
      <c r="AJ62" s="40"/>
      <c r="AK62" s="40" t="str">
        <f t="array" ref="AK62">IFERROR(INDEX($AI$11:$AI$259,MATCH(0,IF(TRUE=$AF$11:$AF$259,COUNTIF($AK$10:$AK61,$AI$11:$AI$259),""),0)),"")</f>
        <v/>
      </c>
      <c r="AL62" s="40" t="str">
        <f t="array" ref="AL62">IFERROR(INDEX($AI$11:$AI$259,MATCH(0,IF(TRUE=$AG$11:$AG$259,COUNTIF($AL$10:$AL61,$AI$11:$AI$259),""),0)),"")</f>
        <v/>
      </c>
      <c r="AM62" s="40" t="str">
        <f t="array" ref="AM62">IFERROR(INDEX($AI$11:$AI$259,MATCH(0,IF(TRUE=$AH$11:$AH$259,COUNTIF($AM$10:$AM61,$AI$11:$AI$259),""),0)),"")</f>
        <v/>
      </c>
      <c r="AN62" s="40"/>
      <c r="AQ62" s="35">
        <f t="shared" si="6"/>
        <v>0</v>
      </c>
      <c r="AT62" s="885" t="str">
        <f>IF(AND(OR(Y62="Yes",Y62="Pending"),P62='G-1 All Habitats'!$X$3),Q62-U62-V62,"")</f>
        <v/>
      </c>
      <c r="AV62" s="542" t="str">
        <f>IFERROR(INDEX('G-1 All Habitats'!$B$3:$B$135,MATCH(F62,'G-1 All Habitats'!$A$3:$A$135,0)),"")</f>
        <v/>
      </c>
      <c r="AW62" s="35" t="str">
        <f>IF(AV62="","",VLOOKUP(AV62,'G-1 All Habitats'!$B$1:$T$135,19,FALSE))</f>
        <v/>
      </c>
    </row>
    <row r="63" spans="1:49" ht="14.5" hidden="1" thickBot="1">
      <c r="A63" s="35" t="str">
        <f>IFERROR(INDEX('G-1 All Habitats'!$AG$3:$AG$17,MATCH(E63,'G-1 All Habitats'!$AF$3:$AF$17,0)),"")</f>
        <v/>
      </c>
      <c r="B63" s="35" t="str">
        <f>IFERROR(INDEX('G-8 Condition Look up'!$I$4:$I$135,MATCH(AV63,'G-8 Condition Look up'!$A$4:$A$135,0)),"")</f>
        <v/>
      </c>
      <c r="D63" s="225">
        <v>53</v>
      </c>
      <c r="E63" s="211"/>
      <c r="F63" s="57"/>
      <c r="G63" s="263"/>
      <c r="H63" s="51"/>
      <c r="I63" s="275" t="str">
        <f>IF(AV63="","",IF(AND(AW63="Yes",G63="No"),"Irreplaceable habitat ▲",IF(AND(AW63="No",G63="Yes"),"Cannot be Irreplaceable ▲",VLOOKUP(AV63,'G-1 All Habitats'!$B$2:$M$135,10,FALSE))))</f>
        <v/>
      </c>
      <c r="J63" s="276" t="str">
        <f>IFERROR(VLOOKUP(I63,'G-1 All Habitats'!$V$3:$W$7,2,FALSE),"")</f>
        <v/>
      </c>
      <c r="K63" s="52"/>
      <c r="L63" s="276" t="str">
        <f>IFERROR(INDEX('G-8 Condition Look up'!$A$3:$H$135,MATCH(AV63,'G-8 Condition Look up'!$A$3:$A$135,0),MATCH(K63,'G-8 Condition Look up'!$A$3:$H$3,0)),"")</f>
        <v/>
      </c>
      <c r="M63" s="52"/>
      <c r="N63" s="295" t="str">
        <f>IF(M63="","",IF(VLOOKUP(M63,'G-3 Multipliers'!$L$3:$N$6,2,FALSE)=0,"Spatial Data Missing",VLOOKUP(M63,'G-3 Multipliers'!$L$3:$N$6,2,FALSE)))</f>
        <v/>
      </c>
      <c r="O63" s="281" t="str">
        <f>IF(M63="","",IF(VLOOKUP(M63,'G-3 Multipliers'!$L$3:$N$6,3,FALSE)=0,"Spatial Data Missing ▲",VLOOKUP(M63,'G-3 Multipliers'!$L$3:$N$6,3,FALSE)))</f>
        <v/>
      </c>
      <c r="P63" s="282" t="str">
        <f>(IF(G63="Yes","Bespoke compensation likely to be required",(IFERROR(VLOOKUP(AV63,'G-1 All Habitats'!$B$2:$M$135,12,FALSE),""))))</f>
        <v/>
      </c>
      <c r="Q63" s="289" t="str">
        <f>IFERROR(IF(AND(F63&lt;&gt;"",G63=""),"Confirm irreplaceable habitat status ▲",(IF(AND(E63="Individual trees",T63&gt;0,G63="Yes"),"Error - you cannot enhance irreplaceable individual trees ▲",(IF(AND(U63="Irreplaceable habitat - no units generated ⚠",(S63+T63)&lt;H63,OR(Y63="No",Y63="")),"Any Loss Unacceptable ⚠",(IF(U63="Irreplaceable habitat - no units generated ⚠",T63*J63*L63*O63,IF(AND(P63='G-1 All Habitats'!$X$9,AC63&gt;0,S63&lt;=0,T63&lt;=0,OR(Y63="No",Y63="")),"Any Loss Unacceptable ⚠",IF(AND(P63='G-1 All Habitats'!$X$9,AC63&gt;0,S63&lt;=0,T63&lt;=0,Y63="Yes"),0,(IF(AND(P63='G-1 All Habitats'!$X$9,(S63+T63)&lt;H63,OR(Y63="No",Y63="")),"Any Loss Unacceptable ⚠",(IF(P63="","",IF(AND(P63='G-1 All Habitats'!$X$9,T63&gt;0),U63+V63,IF(AND(P63='G-1 All Habitats'!$X$9,S63&gt;0),U63+V63,H63*J63*L63*O63))))))))))))))),"Check Data ▲")</f>
        <v/>
      </c>
      <c r="R63" s="38"/>
      <c r="S63" s="52"/>
      <c r="T63" s="53"/>
      <c r="U63" s="287" t="str">
        <f t="shared" si="0"/>
        <v/>
      </c>
      <c r="V63" s="287" t="str">
        <f t="shared" si="3"/>
        <v/>
      </c>
      <c r="W63" s="287" t="str">
        <f t="shared" si="4"/>
        <v/>
      </c>
      <c r="X63" s="291" t="str">
        <f>IFERROR(IF(H63="","",IF(H63-S63-T63=0&lt;0,"Error in Areas ▲",IF(S63+T63&gt;H63,"Error in Areas ▲",IF(AND(P63='G-1 All Habitats'!$X$9,Y63="Yes"),"Alternative Compensation ✓",IF(AND(P63='G-1 All Habitats'!$X$3,Y63="Yes"),"Alternative Compensation ✓",IF(AND(Y63="Pending",P63='G-1 All Habitats'!$X$3),"Bespoke compensation must be agreed ▲",IF(AND(Y63="Pending",P63='G-1 All Habitats'!$X$9),"Bespoke compensation must be agreed  ▲",IF(W63=0,0,IF(P63='G-1 All Habitats'!$X$9,"Any Loss Unacceptable ▲",Q63-U63-V63))))))))),"Check Data ▲")</f>
        <v/>
      </c>
      <c r="Y63" s="53"/>
      <c r="Z63" s="105"/>
      <c r="AA63" s="233"/>
      <c r="AB63" s="104"/>
      <c r="AC63" s="512" t="str">
        <f>IF(OR(P63="",Y63="Yes"),"",IF(P63='G-1 All Habitats'!$X$9,H63-S63-T63,"None"))</f>
        <v/>
      </c>
      <c r="AD63" s="513" t="str">
        <f>IF(P63="","",IF(P63='G-1 All Habitats'!$X$9,AC63*J63*L63*O63,"None"))</f>
        <v/>
      </c>
      <c r="AE63" s="35" t="str">
        <f t="shared" si="1"/>
        <v/>
      </c>
      <c r="AF63" s="40" t="str">
        <f t="shared" si="5"/>
        <v/>
      </c>
      <c r="AG63" s="40" t="str">
        <f t="shared" si="2"/>
        <v/>
      </c>
      <c r="AH63" s="40" t="str">
        <f>IF(I63="","",IF(#REF!&gt;0,TRUE,FALSE))</f>
        <v/>
      </c>
      <c r="AI63" s="40">
        <v>53</v>
      </c>
      <c r="AJ63" s="40"/>
      <c r="AK63" s="40" t="str">
        <f t="array" ref="AK63">IFERROR(INDEX($AI$11:$AI$259,MATCH(0,IF(TRUE=$AF$11:$AF$259,COUNTIF($AK$10:$AK62,$AI$11:$AI$259),""),0)),"")</f>
        <v/>
      </c>
      <c r="AL63" s="40" t="str">
        <f t="array" ref="AL63">IFERROR(INDEX($AI$11:$AI$259,MATCH(0,IF(TRUE=$AG$11:$AG$259,COUNTIF($AL$10:$AL62,$AI$11:$AI$259),""),0)),"")</f>
        <v/>
      </c>
      <c r="AM63" s="40" t="str">
        <f t="array" ref="AM63">IFERROR(INDEX($AI$11:$AI$259,MATCH(0,IF(TRUE=$AH$11:$AH$259,COUNTIF($AM$10:$AM62,$AI$11:$AI$259),""),0)),"")</f>
        <v/>
      </c>
      <c r="AN63" s="40"/>
      <c r="AQ63" s="35">
        <f t="shared" si="6"/>
        <v>0</v>
      </c>
      <c r="AT63" s="885" t="str">
        <f>IF(AND(OR(Y63="Yes",Y63="Pending"),P63='G-1 All Habitats'!$X$3),Q63-U63-V63,"")</f>
        <v/>
      </c>
      <c r="AV63" s="542" t="str">
        <f>IFERROR(INDEX('G-1 All Habitats'!$B$3:$B$135,MATCH(F63,'G-1 All Habitats'!$A$3:$A$135,0)),"")</f>
        <v/>
      </c>
      <c r="AW63" s="35" t="str">
        <f>IF(AV63="","",VLOOKUP(AV63,'G-1 All Habitats'!$B$1:$T$135,19,FALSE))</f>
        <v/>
      </c>
    </row>
    <row r="64" spans="1:49" ht="14.5" hidden="1" thickBot="1">
      <c r="A64" s="35" t="str">
        <f>IFERROR(INDEX('G-1 All Habitats'!$AG$3:$AG$17,MATCH(E64,'G-1 All Habitats'!$AF$3:$AF$17,0)),"")</f>
        <v/>
      </c>
      <c r="B64" s="35" t="str">
        <f>IFERROR(INDEX('G-8 Condition Look up'!$I$4:$I$135,MATCH(AV64,'G-8 Condition Look up'!$A$4:$A$135,0)),"")</f>
        <v/>
      </c>
      <c r="D64" s="225">
        <v>54</v>
      </c>
      <c r="E64" s="211"/>
      <c r="F64" s="57"/>
      <c r="G64" s="263"/>
      <c r="H64" s="51"/>
      <c r="I64" s="275" t="str">
        <f>IF(AV64="","",IF(AND(AW64="Yes",G64="No"),"Irreplaceable habitat ▲",IF(AND(AW64="No",G64="Yes"),"Cannot be Irreplaceable ▲",VLOOKUP(AV64,'G-1 All Habitats'!$B$2:$M$135,10,FALSE))))</f>
        <v/>
      </c>
      <c r="J64" s="276" t="str">
        <f>IFERROR(VLOOKUP(I64,'G-1 All Habitats'!$V$3:$W$7,2,FALSE),"")</f>
        <v/>
      </c>
      <c r="K64" s="52"/>
      <c r="L64" s="276" t="str">
        <f>IFERROR(INDEX('G-8 Condition Look up'!$A$3:$H$135,MATCH(AV64,'G-8 Condition Look up'!$A$3:$A$135,0),MATCH(K64,'G-8 Condition Look up'!$A$3:$H$3,0)),"")</f>
        <v/>
      </c>
      <c r="M64" s="52"/>
      <c r="N64" s="295" t="str">
        <f>IF(M64="","",IF(VLOOKUP(M64,'G-3 Multipliers'!$L$3:$N$6,2,FALSE)=0,"Spatial Data Missing",VLOOKUP(M64,'G-3 Multipliers'!$L$3:$N$6,2,FALSE)))</f>
        <v/>
      </c>
      <c r="O64" s="281" t="str">
        <f>IF(M64="","",IF(VLOOKUP(M64,'G-3 Multipliers'!$L$3:$N$6,3,FALSE)=0,"Spatial Data Missing ▲",VLOOKUP(M64,'G-3 Multipliers'!$L$3:$N$6,3,FALSE)))</f>
        <v/>
      </c>
      <c r="P64" s="282" t="str">
        <f>(IF(G64="Yes","Bespoke compensation likely to be required",(IFERROR(VLOOKUP(AV64,'G-1 All Habitats'!$B$2:$M$135,12,FALSE),""))))</f>
        <v/>
      </c>
      <c r="Q64" s="289" t="str">
        <f>IFERROR(IF(AND(F64&lt;&gt;"",G64=""),"Confirm irreplaceable habitat status ▲",(IF(AND(E64="Individual trees",T64&gt;0,G64="Yes"),"Error - you cannot enhance irreplaceable individual trees ▲",(IF(AND(U64="Irreplaceable habitat - no units generated ⚠",(S64+T64)&lt;H64,OR(Y64="No",Y64="")),"Any Loss Unacceptable ⚠",(IF(U64="Irreplaceable habitat - no units generated ⚠",T64*J64*L64*O64,IF(AND(P64='G-1 All Habitats'!$X$9,AC64&gt;0,S64&lt;=0,T64&lt;=0,OR(Y64="No",Y64="")),"Any Loss Unacceptable ⚠",IF(AND(P64='G-1 All Habitats'!$X$9,AC64&gt;0,S64&lt;=0,T64&lt;=0,Y64="Yes"),0,(IF(AND(P64='G-1 All Habitats'!$X$9,(S64+T64)&lt;H64,OR(Y64="No",Y64="")),"Any Loss Unacceptable ⚠",(IF(P64="","",IF(AND(P64='G-1 All Habitats'!$X$9,T64&gt;0),U64+V64,IF(AND(P64='G-1 All Habitats'!$X$9,S64&gt;0),U64+V64,H64*J64*L64*O64))))))))))))))),"Check Data ▲")</f>
        <v/>
      </c>
      <c r="R64" s="38"/>
      <c r="S64" s="52"/>
      <c r="T64" s="53"/>
      <c r="U64" s="287" t="str">
        <f t="shared" si="0"/>
        <v/>
      </c>
      <c r="V64" s="287" t="str">
        <f t="shared" si="3"/>
        <v/>
      </c>
      <c r="W64" s="287" t="str">
        <f t="shared" si="4"/>
        <v/>
      </c>
      <c r="X64" s="291" t="str">
        <f>IFERROR(IF(H64="","",IF(H64-S64-T64=0&lt;0,"Error in Areas ▲",IF(S64+T64&gt;H64,"Error in Areas ▲",IF(AND(P64='G-1 All Habitats'!$X$9,Y64="Yes"),"Alternative Compensation ✓",IF(AND(P64='G-1 All Habitats'!$X$3,Y64="Yes"),"Alternative Compensation ✓",IF(AND(Y64="Pending",P64='G-1 All Habitats'!$X$3),"Bespoke compensation must be agreed ▲",IF(AND(Y64="Pending",P64='G-1 All Habitats'!$X$9),"Bespoke compensation must be agreed  ▲",IF(W64=0,0,IF(P64='G-1 All Habitats'!$X$9,"Any Loss Unacceptable ▲",Q64-U64-V64))))))))),"Check Data ▲")</f>
        <v/>
      </c>
      <c r="Y64" s="53"/>
      <c r="Z64" s="105"/>
      <c r="AA64" s="233"/>
      <c r="AB64" s="104"/>
      <c r="AC64" s="512" t="str">
        <f>IF(OR(P64="",Y64="Yes"),"",IF(P64='G-1 All Habitats'!$X$9,H64-S64-T64,"None"))</f>
        <v/>
      </c>
      <c r="AD64" s="513" t="str">
        <f>IF(P64="","",IF(P64='G-1 All Habitats'!$X$9,AC64*J64*L64*O64,"None"))</f>
        <v/>
      </c>
      <c r="AE64" s="35" t="str">
        <f t="shared" si="1"/>
        <v/>
      </c>
      <c r="AF64" s="40" t="str">
        <f t="shared" si="5"/>
        <v/>
      </c>
      <c r="AG64" s="40" t="str">
        <f t="shared" si="2"/>
        <v/>
      </c>
      <c r="AH64" s="40" t="str">
        <f>IF(I64="","",IF(#REF!&gt;0,TRUE,FALSE))</f>
        <v/>
      </c>
      <c r="AI64" s="40">
        <v>54</v>
      </c>
      <c r="AJ64" s="40"/>
      <c r="AK64" s="40" t="str">
        <f t="array" ref="AK64">IFERROR(INDEX($AI$11:$AI$259,MATCH(0,IF(TRUE=$AF$11:$AF$259,COUNTIF($AK$10:$AK63,$AI$11:$AI$259),""),0)),"")</f>
        <v/>
      </c>
      <c r="AL64" s="40" t="str">
        <f t="array" ref="AL64">IFERROR(INDEX($AI$11:$AI$259,MATCH(0,IF(TRUE=$AG$11:$AG$259,COUNTIF($AL$10:$AL63,$AI$11:$AI$259),""),0)),"")</f>
        <v/>
      </c>
      <c r="AM64" s="40" t="str">
        <f t="array" ref="AM64">IFERROR(INDEX($AI$11:$AI$259,MATCH(0,IF(TRUE=$AH$11:$AH$259,COUNTIF($AM$10:$AM63,$AI$11:$AI$259),""),0)),"")</f>
        <v/>
      </c>
      <c r="AN64" s="40"/>
      <c r="AQ64" s="35">
        <f t="shared" si="6"/>
        <v>0</v>
      </c>
      <c r="AT64" s="885" t="str">
        <f>IF(AND(OR(Y64="Yes",Y64="Pending"),P64='G-1 All Habitats'!$X$3),Q64-U64-V64,"")</f>
        <v/>
      </c>
      <c r="AV64" s="542" t="str">
        <f>IFERROR(INDEX('G-1 All Habitats'!$B$3:$B$135,MATCH(F64,'G-1 All Habitats'!$A$3:$A$135,0)),"")</f>
        <v/>
      </c>
      <c r="AW64" s="35" t="str">
        <f>IF(AV64="","",VLOOKUP(AV64,'G-1 All Habitats'!$B$1:$T$135,19,FALSE))</f>
        <v/>
      </c>
    </row>
    <row r="65" spans="1:49" ht="14.5" hidden="1" thickBot="1">
      <c r="A65" s="35" t="str">
        <f>IFERROR(INDEX('G-1 All Habitats'!$AG$3:$AG$17,MATCH(E65,'G-1 All Habitats'!$AF$3:$AF$17,0)),"")</f>
        <v/>
      </c>
      <c r="B65" s="35" t="str">
        <f>IFERROR(INDEX('G-8 Condition Look up'!$I$4:$I$135,MATCH(AV65,'G-8 Condition Look up'!$A$4:$A$135,0)),"")</f>
        <v/>
      </c>
      <c r="D65" s="225">
        <v>55</v>
      </c>
      <c r="E65" s="211"/>
      <c r="F65" s="57"/>
      <c r="G65" s="263"/>
      <c r="H65" s="51"/>
      <c r="I65" s="275" t="str">
        <f>IF(AV65="","",IF(AND(AW65="Yes",G65="No"),"Irreplaceable habitat ▲",IF(AND(AW65="No",G65="Yes"),"Cannot be Irreplaceable ▲",VLOOKUP(AV65,'G-1 All Habitats'!$B$2:$M$135,10,FALSE))))</f>
        <v/>
      </c>
      <c r="J65" s="276" t="str">
        <f>IFERROR(VLOOKUP(I65,'G-1 All Habitats'!$V$3:$W$7,2,FALSE),"")</f>
        <v/>
      </c>
      <c r="K65" s="52"/>
      <c r="L65" s="276" t="str">
        <f>IFERROR(INDEX('G-8 Condition Look up'!$A$3:$H$135,MATCH(AV65,'G-8 Condition Look up'!$A$3:$A$135,0),MATCH(K65,'G-8 Condition Look up'!$A$3:$H$3,0)),"")</f>
        <v/>
      </c>
      <c r="M65" s="52"/>
      <c r="N65" s="295" t="str">
        <f>IF(M65="","",IF(VLOOKUP(M65,'G-3 Multipliers'!$L$3:$N$6,2,FALSE)=0,"Spatial Data Missing",VLOOKUP(M65,'G-3 Multipliers'!$L$3:$N$6,2,FALSE)))</f>
        <v/>
      </c>
      <c r="O65" s="281" t="str">
        <f>IF(M65="","",IF(VLOOKUP(M65,'G-3 Multipliers'!$L$3:$N$6,3,FALSE)=0,"Spatial Data Missing ▲",VLOOKUP(M65,'G-3 Multipliers'!$L$3:$N$6,3,FALSE)))</f>
        <v/>
      </c>
      <c r="P65" s="282" t="str">
        <f>(IF(G65="Yes","Bespoke compensation likely to be required",(IFERROR(VLOOKUP(AV65,'G-1 All Habitats'!$B$2:$M$135,12,FALSE),""))))</f>
        <v/>
      </c>
      <c r="Q65" s="289" t="str">
        <f>IFERROR(IF(AND(F65&lt;&gt;"",G65=""),"Confirm irreplaceable habitat status ▲",(IF(AND(E65="Individual trees",T65&gt;0,G65="Yes"),"Error - you cannot enhance irreplaceable individual trees ▲",(IF(AND(U65="Irreplaceable habitat - no units generated ⚠",(S65+T65)&lt;H65,OR(Y65="No",Y65="")),"Any Loss Unacceptable ⚠",(IF(U65="Irreplaceable habitat - no units generated ⚠",T65*J65*L65*O65,IF(AND(P65='G-1 All Habitats'!$X$9,AC65&gt;0,S65&lt;=0,T65&lt;=0,OR(Y65="No",Y65="")),"Any Loss Unacceptable ⚠",IF(AND(P65='G-1 All Habitats'!$X$9,AC65&gt;0,S65&lt;=0,T65&lt;=0,Y65="Yes"),0,(IF(AND(P65='G-1 All Habitats'!$X$9,(S65+T65)&lt;H65,OR(Y65="No",Y65="")),"Any Loss Unacceptable ⚠",(IF(P65="","",IF(AND(P65='G-1 All Habitats'!$X$9,T65&gt;0),U65+V65,IF(AND(P65='G-1 All Habitats'!$X$9,S65&gt;0),U65+V65,H65*J65*L65*O65))))))))))))))),"Check Data ▲")</f>
        <v/>
      </c>
      <c r="R65" s="38"/>
      <c r="S65" s="52"/>
      <c r="T65" s="53"/>
      <c r="U65" s="287" t="str">
        <f t="shared" si="0"/>
        <v/>
      </c>
      <c r="V65" s="287" t="str">
        <f t="shared" si="3"/>
        <v/>
      </c>
      <c r="W65" s="287" t="str">
        <f t="shared" si="4"/>
        <v/>
      </c>
      <c r="X65" s="291" t="str">
        <f>IFERROR(IF(H65="","",IF(H65-S65-T65=0&lt;0,"Error in Areas ▲",IF(S65+T65&gt;H65,"Error in Areas ▲",IF(AND(P65='G-1 All Habitats'!$X$9,Y65="Yes"),"Alternative Compensation ✓",IF(AND(P65='G-1 All Habitats'!$X$3,Y65="Yes"),"Alternative Compensation ✓",IF(AND(Y65="Pending",P65='G-1 All Habitats'!$X$3),"Bespoke compensation must be agreed ▲",IF(AND(Y65="Pending",P65='G-1 All Habitats'!$X$9),"Bespoke compensation must be agreed  ▲",IF(W65=0,0,IF(P65='G-1 All Habitats'!$X$9,"Any Loss Unacceptable ▲",Q65-U65-V65))))))))),"Check Data ▲")</f>
        <v/>
      </c>
      <c r="Y65" s="53"/>
      <c r="Z65" s="105"/>
      <c r="AA65" s="233"/>
      <c r="AB65" s="104"/>
      <c r="AC65" s="512" t="str">
        <f>IF(OR(P65="",Y65="Yes"),"",IF(P65='G-1 All Habitats'!$X$9,H65-S65-T65,"None"))</f>
        <v/>
      </c>
      <c r="AD65" s="513" t="str">
        <f>IF(P65="","",IF(P65='G-1 All Habitats'!$X$9,AC65*J65*L65*O65,"None"))</f>
        <v/>
      </c>
      <c r="AE65" s="35" t="str">
        <f t="shared" si="1"/>
        <v/>
      </c>
      <c r="AF65" s="40" t="str">
        <f t="shared" si="5"/>
        <v/>
      </c>
      <c r="AG65" s="40" t="str">
        <f t="shared" si="2"/>
        <v/>
      </c>
      <c r="AH65" s="40" t="str">
        <f>IF(I65="","",IF(#REF!&gt;0,TRUE,FALSE))</f>
        <v/>
      </c>
      <c r="AI65" s="40">
        <v>55</v>
      </c>
      <c r="AJ65" s="40"/>
      <c r="AK65" s="40" t="str">
        <f t="array" ref="AK65">IFERROR(INDEX($AI$11:$AI$259,MATCH(0,IF(TRUE=$AF$11:$AF$259,COUNTIF($AK$10:$AK64,$AI$11:$AI$259),""),0)),"")</f>
        <v/>
      </c>
      <c r="AL65" s="40" t="str">
        <f t="array" ref="AL65">IFERROR(INDEX($AI$11:$AI$259,MATCH(0,IF(TRUE=$AG$11:$AG$259,COUNTIF($AL$10:$AL64,$AI$11:$AI$259),""),0)),"")</f>
        <v/>
      </c>
      <c r="AM65" s="40" t="str">
        <f t="array" ref="AM65">IFERROR(INDEX($AI$11:$AI$259,MATCH(0,IF(TRUE=$AH$11:$AH$259,COUNTIF($AM$10:$AM64,$AI$11:$AI$259),""),0)),"")</f>
        <v/>
      </c>
      <c r="AN65" s="40"/>
      <c r="AQ65" s="35">
        <f t="shared" si="6"/>
        <v>0</v>
      </c>
      <c r="AT65" s="885" t="str">
        <f>IF(AND(OR(Y65="Yes",Y65="Pending"),P65='G-1 All Habitats'!$X$3),Q65-U65-V65,"")</f>
        <v/>
      </c>
      <c r="AV65" s="542" t="str">
        <f>IFERROR(INDEX('G-1 All Habitats'!$B$3:$B$135,MATCH(F65,'G-1 All Habitats'!$A$3:$A$135,0)),"")</f>
        <v/>
      </c>
      <c r="AW65" s="35" t="str">
        <f>IF(AV65="","",VLOOKUP(AV65,'G-1 All Habitats'!$B$1:$T$135,19,FALSE))</f>
        <v/>
      </c>
    </row>
    <row r="66" spans="1:49" ht="14.5" hidden="1" thickBot="1">
      <c r="A66" s="35" t="str">
        <f>IFERROR(INDEX('G-1 All Habitats'!$AG$3:$AG$17,MATCH(E66,'G-1 All Habitats'!$AF$3:$AF$17,0)),"")</f>
        <v/>
      </c>
      <c r="B66" s="35" t="str">
        <f>IFERROR(INDEX('G-8 Condition Look up'!$I$4:$I$135,MATCH(AV66,'G-8 Condition Look up'!$A$4:$A$135,0)),"")</f>
        <v/>
      </c>
      <c r="D66" s="225">
        <v>56</v>
      </c>
      <c r="E66" s="211"/>
      <c r="F66" s="57"/>
      <c r="G66" s="263"/>
      <c r="H66" s="51"/>
      <c r="I66" s="275" t="str">
        <f>IF(AV66="","",IF(AND(AW66="Yes",G66="No"),"Irreplaceable habitat ▲",IF(AND(AW66="No",G66="Yes"),"Cannot be Irreplaceable ▲",VLOOKUP(AV66,'G-1 All Habitats'!$B$2:$M$135,10,FALSE))))</f>
        <v/>
      </c>
      <c r="J66" s="276" t="str">
        <f>IFERROR(VLOOKUP(I66,'G-1 All Habitats'!$V$3:$W$7,2,FALSE),"")</f>
        <v/>
      </c>
      <c r="K66" s="52"/>
      <c r="L66" s="276" t="str">
        <f>IFERROR(INDEX('G-8 Condition Look up'!$A$3:$H$135,MATCH(AV66,'G-8 Condition Look up'!$A$3:$A$135,0),MATCH(K66,'G-8 Condition Look up'!$A$3:$H$3,0)),"")</f>
        <v/>
      </c>
      <c r="M66" s="52"/>
      <c r="N66" s="295" t="str">
        <f>IF(M66="","",IF(VLOOKUP(M66,'G-3 Multipliers'!$L$3:$N$6,2,FALSE)=0,"Spatial Data Missing",VLOOKUP(M66,'G-3 Multipliers'!$L$3:$N$6,2,FALSE)))</f>
        <v/>
      </c>
      <c r="O66" s="281" t="str">
        <f>IF(M66="","",IF(VLOOKUP(M66,'G-3 Multipliers'!$L$3:$N$6,3,FALSE)=0,"Spatial Data Missing ▲",VLOOKUP(M66,'G-3 Multipliers'!$L$3:$N$6,3,FALSE)))</f>
        <v/>
      </c>
      <c r="P66" s="282" t="str">
        <f>(IF(G66="Yes","Bespoke compensation likely to be required",(IFERROR(VLOOKUP(AV66,'G-1 All Habitats'!$B$2:$M$135,12,FALSE),""))))</f>
        <v/>
      </c>
      <c r="Q66" s="289" t="str">
        <f>IFERROR(IF(AND(F66&lt;&gt;"",G66=""),"Confirm irreplaceable habitat status ▲",(IF(AND(E66="Individual trees",T66&gt;0,G66="Yes"),"Error - you cannot enhance irreplaceable individual trees ▲",(IF(AND(U66="Irreplaceable habitat - no units generated ⚠",(S66+T66)&lt;H66,OR(Y66="No",Y66="")),"Any Loss Unacceptable ⚠",(IF(U66="Irreplaceable habitat - no units generated ⚠",T66*J66*L66*O66,IF(AND(P66='G-1 All Habitats'!$X$9,AC66&gt;0,S66&lt;=0,T66&lt;=0,OR(Y66="No",Y66="")),"Any Loss Unacceptable ⚠",IF(AND(P66='G-1 All Habitats'!$X$9,AC66&gt;0,S66&lt;=0,T66&lt;=0,Y66="Yes"),0,(IF(AND(P66='G-1 All Habitats'!$X$9,(S66+T66)&lt;H66,OR(Y66="No",Y66="")),"Any Loss Unacceptable ⚠",(IF(P66="","",IF(AND(P66='G-1 All Habitats'!$X$9,T66&gt;0),U66+V66,IF(AND(P66='G-1 All Habitats'!$X$9,S66&gt;0),U66+V66,H66*J66*L66*O66))))))))))))))),"Check Data ▲")</f>
        <v/>
      </c>
      <c r="R66" s="38"/>
      <c r="S66" s="52"/>
      <c r="T66" s="53"/>
      <c r="U66" s="287" t="str">
        <f t="shared" si="0"/>
        <v/>
      </c>
      <c r="V66" s="287" t="str">
        <f t="shared" si="3"/>
        <v/>
      </c>
      <c r="W66" s="287" t="str">
        <f t="shared" si="4"/>
        <v/>
      </c>
      <c r="X66" s="291" t="str">
        <f>IFERROR(IF(H66="","",IF(H66-S66-T66=0&lt;0,"Error in Areas ▲",IF(S66+T66&gt;H66,"Error in Areas ▲",IF(AND(P66='G-1 All Habitats'!$X$9,Y66="Yes"),"Alternative Compensation ✓",IF(AND(P66='G-1 All Habitats'!$X$3,Y66="Yes"),"Alternative Compensation ✓",IF(AND(Y66="Pending",P66='G-1 All Habitats'!$X$3),"Bespoke compensation must be agreed ▲",IF(AND(Y66="Pending",P66='G-1 All Habitats'!$X$9),"Bespoke compensation must be agreed  ▲",IF(W66=0,0,IF(P66='G-1 All Habitats'!$X$9,"Any Loss Unacceptable ▲",Q66-U66-V66))))))))),"Check Data ▲")</f>
        <v/>
      </c>
      <c r="Y66" s="53"/>
      <c r="Z66" s="105"/>
      <c r="AA66" s="233"/>
      <c r="AB66" s="104"/>
      <c r="AC66" s="512" t="str">
        <f>IF(OR(P66="",Y66="Yes"),"",IF(P66='G-1 All Habitats'!$X$9,H66-S66-T66,"None"))</f>
        <v/>
      </c>
      <c r="AD66" s="513" t="str">
        <f>IF(P66="","",IF(P66='G-1 All Habitats'!$X$9,AC66*J66*L66*O66,"None"))</f>
        <v/>
      </c>
      <c r="AE66" s="35" t="str">
        <f t="shared" si="1"/>
        <v/>
      </c>
      <c r="AF66" s="40" t="str">
        <f t="shared" si="5"/>
        <v/>
      </c>
      <c r="AG66" s="40" t="str">
        <f t="shared" si="2"/>
        <v/>
      </c>
      <c r="AH66" s="40" t="str">
        <f>IF(I66="","",IF(#REF!&gt;0,TRUE,FALSE))</f>
        <v/>
      </c>
      <c r="AI66" s="40">
        <v>56</v>
      </c>
      <c r="AJ66" s="40"/>
      <c r="AK66" s="40" t="str">
        <f t="array" ref="AK66">IFERROR(INDEX($AI$11:$AI$259,MATCH(0,IF(TRUE=$AF$11:$AF$259,COUNTIF($AK$10:$AK65,$AI$11:$AI$259),""),0)),"")</f>
        <v/>
      </c>
      <c r="AL66" s="40" t="str">
        <f t="array" ref="AL66">IFERROR(INDEX($AI$11:$AI$259,MATCH(0,IF(TRUE=$AG$11:$AG$259,COUNTIF($AL$10:$AL65,$AI$11:$AI$259),""),0)),"")</f>
        <v/>
      </c>
      <c r="AM66" s="40" t="str">
        <f t="array" ref="AM66">IFERROR(INDEX($AI$11:$AI$259,MATCH(0,IF(TRUE=$AH$11:$AH$259,COUNTIF($AM$10:$AM65,$AI$11:$AI$259),""),0)),"")</f>
        <v/>
      </c>
      <c r="AN66" s="40"/>
      <c r="AQ66" s="35">
        <f t="shared" si="6"/>
        <v>0</v>
      </c>
      <c r="AT66" s="885" t="str">
        <f>IF(AND(OR(Y66="Yes",Y66="Pending"),P66='G-1 All Habitats'!$X$3),Q66-U66-V66,"")</f>
        <v/>
      </c>
      <c r="AV66" s="542" t="str">
        <f>IFERROR(INDEX('G-1 All Habitats'!$B$3:$B$135,MATCH(F66,'G-1 All Habitats'!$A$3:$A$135,0)),"")</f>
        <v/>
      </c>
      <c r="AW66" s="35" t="str">
        <f>IF(AV66="","",VLOOKUP(AV66,'G-1 All Habitats'!$B$1:$T$135,19,FALSE))</f>
        <v/>
      </c>
    </row>
    <row r="67" spans="1:49" ht="14.5" hidden="1" thickBot="1">
      <c r="A67" s="35" t="str">
        <f>IFERROR(INDEX('G-1 All Habitats'!$AG$3:$AG$17,MATCH(E67,'G-1 All Habitats'!$AF$3:$AF$17,0)),"")</f>
        <v/>
      </c>
      <c r="B67" s="35" t="str">
        <f>IFERROR(INDEX('G-8 Condition Look up'!$I$4:$I$135,MATCH(AV67,'G-8 Condition Look up'!$A$4:$A$135,0)),"")</f>
        <v/>
      </c>
      <c r="D67" s="225">
        <v>57</v>
      </c>
      <c r="E67" s="211"/>
      <c r="F67" s="57"/>
      <c r="G67" s="263"/>
      <c r="H67" s="51"/>
      <c r="I67" s="275" t="str">
        <f>IF(AV67="","",IF(AND(AW67="Yes",G67="No"),"Irreplaceable habitat ▲",IF(AND(AW67="No",G67="Yes"),"Cannot be Irreplaceable ▲",VLOOKUP(AV67,'G-1 All Habitats'!$B$2:$M$135,10,FALSE))))</f>
        <v/>
      </c>
      <c r="J67" s="276" t="str">
        <f>IFERROR(VLOOKUP(I67,'G-1 All Habitats'!$V$3:$W$7,2,FALSE),"")</f>
        <v/>
      </c>
      <c r="K67" s="52"/>
      <c r="L67" s="276" t="str">
        <f>IFERROR(INDEX('G-8 Condition Look up'!$A$3:$H$135,MATCH(AV67,'G-8 Condition Look up'!$A$3:$A$135,0),MATCH(K67,'G-8 Condition Look up'!$A$3:$H$3,0)),"")</f>
        <v/>
      </c>
      <c r="M67" s="52"/>
      <c r="N67" s="295" t="str">
        <f>IF(M67="","",IF(VLOOKUP(M67,'G-3 Multipliers'!$L$3:$N$6,2,FALSE)=0,"Spatial Data Missing",VLOOKUP(M67,'G-3 Multipliers'!$L$3:$N$6,2,FALSE)))</f>
        <v/>
      </c>
      <c r="O67" s="281" t="str">
        <f>IF(M67="","",IF(VLOOKUP(M67,'G-3 Multipliers'!$L$3:$N$6,3,FALSE)=0,"Spatial Data Missing ▲",VLOOKUP(M67,'G-3 Multipliers'!$L$3:$N$6,3,FALSE)))</f>
        <v/>
      </c>
      <c r="P67" s="282" t="str">
        <f>(IF(G67="Yes","Bespoke compensation likely to be required",(IFERROR(VLOOKUP(AV67,'G-1 All Habitats'!$B$2:$M$135,12,FALSE),""))))</f>
        <v/>
      </c>
      <c r="Q67" s="289" t="str">
        <f>IFERROR(IF(AND(F67&lt;&gt;"",G67=""),"Confirm irreplaceable habitat status ▲",(IF(AND(E67="Individual trees",T67&gt;0,G67="Yes"),"Error - you cannot enhance irreplaceable individual trees ▲",(IF(AND(U67="Irreplaceable habitat - no units generated ⚠",(S67+T67)&lt;H67,OR(Y67="No",Y67="")),"Any Loss Unacceptable ⚠",(IF(U67="Irreplaceable habitat - no units generated ⚠",T67*J67*L67*O67,IF(AND(P67='G-1 All Habitats'!$X$9,AC67&gt;0,S67&lt;=0,T67&lt;=0,OR(Y67="No",Y67="")),"Any Loss Unacceptable ⚠",IF(AND(P67='G-1 All Habitats'!$X$9,AC67&gt;0,S67&lt;=0,T67&lt;=0,Y67="Yes"),0,(IF(AND(P67='G-1 All Habitats'!$X$9,(S67+T67)&lt;H67,OR(Y67="No",Y67="")),"Any Loss Unacceptable ⚠",(IF(P67="","",IF(AND(P67='G-1 All Habitats'!$X$9,T67&gt;0),U67+V67,IF(AND(P67='G-1 All Habitats'!$X$9,S67&gt;0),U67+V67,H67*J67*L67*O67))))))))))))))),"Check Data ▲")</f>
        <v/>
      </c>
      <c r="R67" s="38"/>
      <c r="S67" s="52"/>
      <c r="T67" s="53"/>
      <c r="U67" s="287" t="str">
        <f t="shared" si="0"/>
        <v/>
      </c>
      <c r="V67" s="287" t="str">
        <f t="shared" si="3"/>
        <v/>
      </c>
      <c r="W67" s="287" t="str">
        <f t="shared" si="4"/>
        <v/>
      </c>
      <c r="X67" s="291" t="str">
        <f>IFERROR(IF(H67="","",IF(H67-S67-T67=0&lt;0,"Error in Areas ▲",IF(S67+T67&gt;H67,"Error in Areas ▲",IF(AND(P67='G-1 All Habitats'!$X$9,Y67="Yes"),"Alternative Compensation ✓",IF(AND(P67='G-1 All Habitats'!$X$3,Y67="Yes"),"Alternative Compensation ✓",IF(AND(Y67="Pending",P67='G-1 All Habitats'!$X$3),"Bespoke compensation must be agreed ▲",IF(AND(Y67="Pending",P67='G-1 All Habitats'!$X$9),"Bespoke compensation must be agreed  ▲",IF(W67=0,0,IF(P67='G-1 All Habitats'!$X$9,"Any Loss Unacceptable ▲",Q67-U67-V67))))))))),"Check Data ▲")</f>
        <v/>
      </c>
      <c r="Y67" s="53"/>
      <c r="Z67" s="105"/>
      <c r="AA67" s="233"/>
      <c r="AB67" s="104"/>
      <c r="AC67" s="512" t="str">
        <f>IF(OR(P67="",Y67="Yes"),"",IF(P67='G-1 All Habitats'!$X$9,H67-S67-T67,"None"))</f>
        <v/>
      </c>
      <c r="AD67" s="513" t="str">
        <f>IF(P67="","",IF(P67='G-1 All Habitats'!$X$9,AC67*J67*L67*O67,"None"))</f>
        <v/>
      </c>
      <c r="AE67" s="35" t="str">
        <f t="shared" si="1"/>
        <v/>
      </c>
      <c r="AF67" s="40" t="str">
        <f t="shared" si="5"/>
        <v/>
      </c>
      <c r="AG67" s="40" t="str">
        <f t="shared" si="2"/>
        <v/>
      </c>
      <c r="AH67" s="40" t="str">
        <f>IF(I67="","",IF(#REF!&gt;0,TRUE,FALSE))</f>
        <v/>
      </c>
      <c r="AI67" s="40">
        <v>57</v>
      </c>
      <c r="AJ67" s="40"/>
      <c r="AK67" s="40" t="str">
        <f t="array" ref="AK67">IFERROR(INDEX($AI$11:$AI$259,MATCH(0,IF(TRUE=$AF$11:$AF$259,COUNTIF($AK$10:$AK66,$AI$11:$AI$259),""),0)),"")</f>
        <v/>
      </c>
      <c r="AL67" s="40" t="str">
        <f t="array" ref="AL67">IFERROR(INDEX($AI$11:$AI$259,MATCH(0,IF(TRUE=$AG$11:$AG$259,COUNTIF($AL$10:$AL66,$AI$11:$AI$259),""),0)),"")</f>
        <v/>
      </c>
      <c r="AM67" s="40" t="str">
        <f t="array" ref="AM67">IFERROR(INDEX($AI$11:$AI$259,MATCH(0,IF(TRUE=$AH$11:$AH$259,COUNTIF($AM$10:$AM66,$AI$11:$AI$259),""),0)),"")</f>
        <v/>
      </c>
      <c r="AN67" s="40"/>
      <c r="AQ67" s="35">
        <f t="shared" si="6"/>
        <v>0</v>
      </c>
      <c r="AT67" s="885" t="str">
        <f>IF(AND(OR(Y67="Yes",Y67="Pending"),P67='G-1 All Habitats'!$X$3),Q67-U67-V67,"")</f>
        <v/>
      </c>
      <c r="AV67" s="542" t="str">
        <f>IFERROR(INDEX('G-1 All Habitats'!$B$3:$B$135,MATCH(F67,'G-1 All Habitats'!$A$3:$A$135,0)),"")</f>
        <v/>
      </c>
      <c r="AW67" s="35" t="str">
        <f>IF(AV67="","",VLOOKUP(AV67,'G-1 All Habitats'!$B$1:$T$135,19,FALSE))</f>
        <v/>
      </c>
    </row>
    <row r="68" spans="1:49" ht="14.5" hidden="1" thickBot="1">
      <c r="A68" s="35" t="str">
        <f>IFERROR(INDEX('G-1 All Habitats'!$AG$3:$AG$17,MATCH(E68,'G-1 All Habitats'!$AF$3:$AF$17,0)),"")</f>
        <v/>
      </c>
      <c r="B68" s="35" t="str">
        <f>IFERROR(INDEX('G-8 Condition Look up'!$I$4:$I$135,MATCH(AV68,'G-8 Condition Look up'!$A$4:$A$135,0)),"")</f>
        <v/>
      </c>
      <c r="D68" s="225">
        <v>58</v>
      </c>
      <c r="E68" s="211"/>
      <c r="F68" s="57"/>
      <c r="G68" s="263"/>
      <c r="H68" s="51"/>
      <c r="I68" s="275" t="str">
        <f>IF(AV68="","",IF(AND(AW68="Yes",G68="No"),"Irreplaceable habitat ▲",IF(AND(AW68="No",G68="Yes"),"Cannot be Irreplaceable ▲",VLOOKUP(AV68,'G-1 All Habitats'!$B$2:$M$135,10,FALSE))))</f>
        <v/>
      </c>
      <c r="J68" s="276" t="str">
        <f>IFERROR(VLOOKUP(I68,'G-1 All Habitats'!$V$3:$W$7,2,FALSE),"")</f>
        <v/>
      </c>
      <c r="K68" s="52"/>
      <c r="L68" s="276" t="str">
        <f>IFERROR(INDEX('G-8 Condition Look up'!$A$3:$H$135,MATCH(AV68,'G-8 Condition Look up'!$A$3:$A$135,0),MATCH(K68,'G-8 Condition Look up'!$A$3:$H$3,0)),"")</f>
        <v/>
      </c>
      <c r="M68" s="52"/>
      <c r="N68" s="295" t="str">
        <f>IF(M68="","",IF(VLOOKUP(M68,'G-3 Multipliers'!$L$3:$N$6,2,FALSE)=0,"Spatial Data Missing",VLOOKUP(M68,'G-3 Multipliers'!$L$3:$N$6,2,FALSE)))</f>
        <v/>
      </c>
      <c r="O68" s="281" t="str">
        <f>IF(M68="","",IF(VLOOKUP(M68,'G-3 Multipliers'!$L$3:$N$6,3,FALSE)=0,"Spatial Data Missing ▲",VLOOKUP(M68,'G-3 Multipliers'!$L$3:$N$6,3,FALSE)))</f>
        <v/>
      </c>
      <c r="P68" s="282" t="str">
        <f>(IF(G68="Yes","Bespoke compensation likely to be required",(IFERROR(VLOOKUP(AV68,'G-1 All Habitats'!$B$2:$M$135,12,FALSE),""))))</f>
        <v/>
      </c>
      <c r="Q68" s="289" t="str">
        <f>IFERROR(IF(AND(F68&lt;&gt;"",G68=""),"Confirm irreplaceable habitat status ▲",(IF(AND(E68="Individual trees",T68&gt;0,G68="Yes"),"Error - you cannot enhance irreplaceable individual trees ▲",(IF(AND(U68="Irreplaceable habitat - no units generated ⚠",(S68+T68)&lt;H68,OR(Y68="No",Y68="")),"Any Loss Unacceptable ⚠",(IF(U68="Irreplaceable habitat - no units generated ⚠",T68*J68*L68*O68,IF(AND(P68='G-1 All Habitats'!$X$9,AC68&gt;0,S68&lt;=0,T68&lt;=0,OR(Y68="No",Y68="")),"Any Loss Unacceptable ⚠",IF(AND(P68='G-1 All Habitats'!$X$9,AC68&gt;0,S68&lt;=0,T68&lt;=0,Y68="Yes"),0,(IF(AND(P68='G-1 All Habitats'!$X$9,(S68+T68)&lt;H68,OR(Y68="No",Y68="")),"Any Loss Unacceptable ⚠",(IF(P68="","",IF(AND(P68='G-1 All Habitats'!$X$9,T68&gt;0),U68+V68,IF(AND(P68='G-1 All Habitats'!$X$9,S68&gt;0),U68+V68,H68*J68*L68*O68))))))))))))))),"Check Data ▲")</f>
        <v/>
      </c>
      <c r="R68" s="38"/>
      <c r="S68" s="52"/>
      <c r="T68" s="53"/>
      <c r="U68" s="287" t="str">
        <f t="shared" si="0"/>
        <v/>
      </c>
      <c r="V68" s="287" t="str">
        <f t="shared" si="3"/>
        <v/>
      </c>
      <c r="W68" s="287" t="str">
        <f t="shared" si="4"/>
        <v/>
      </c>
      <c r="X68" s="291" t="str">
        <f>IFERROR(IF(H68="","",IF(H68-S68-T68=0&lt;0,"Error in Areas ▲",IF(S68+T68&gt;H68,"Error in Areas ▲",IF(AND(P68='G-1 All Habitats'!$X$9,Y68="Yes"),"Alternative Compensation ✓",IF(AND(P68='G-1 All Habitats'!$X$3,Y68="Yes"),"Alternative Compensation ✓",IF(AND(Y68="Pending",P68='G-1 All Habitats'!$X$3),"Bespoke compensation must be agreed ▲",IF(AND(Y68="Pending",P68='G-1 All Habitats'!$X$9),"Bespoke compensation must be agreed  ▲",IF(W68=0,0,IF(P68='G-1 All Habitats'!$X$9,"Any Loss Unacceptable ▲",Q68-U68-V68))))))))),"Check Data ▲")</f>
        <v/>
      </c>
      <c r="Y68" s="53"/>
      <c r="Z68" s="105"/>
      <c r="AA68" s="233"/>
      <c r="AB68" s="104"/>
      <c r="AC68" s="512" t="str">
        <f>IF(OR(P68="",Y68="Yes"),"",IF(P68='G-1 All Habitats'!$X$9,H68-S68-T68,"None"))</f>
        <v/>
      </c>
      <c r="AD68" s="513" t="str">
        <f>IF(P68="","",IF(P68='G-1 All Habitats'!$X$9,AC68*J68*L68*O68,"None"))</f>
        <v/>
      </c>
      <c r="AE68" s="35" t="str">
        <f t="shared" si="1"/>
        <v/>
      </c>
      <c r="AF68" s="40" t="str">
        <f t="shared" si="5"/>
        <v/>
      </c>
      <c r="AG68" s="40" t="str">
        <f t="shared" si="2"/>
        <v/>
      </c>
      <c r="AH68" s="40" t="str">
        <f>IF(I68="","",IF(#REF!&gt;0,TRUE,FALSE))</f>
        <v/>
      </c>
      <c r="AI68" s="40">
        <v>58</v>
      </c>
      <c r="AJ68" s="40"/>
      <c r="AK68" s="40" t="str">
        <f t="array" ref="AK68">IFERROR(INDEX($AI$11:$AI$259,MATCH(0,IF(TRUE=$AF$11:$AF$259,COUNTIF($AK$10:$AK67,$AI$11:$AI$259),""),0)),"")</f>
        <v/>
      </c>
      <c r="AL68" s="40" t="str">
        <f t="array" ref="AL68">IFERROR(INDEX($AI$11:$AI$259,MATCH(0,IF(TRUE=$AG$11:$AG$259,COUNTIF($AL$10:$AL67,$AI$11:$AI$259),""),0)),"")</f>
        <v/>
      </c>
      <c r="AM68" s="40" t="str">
        <f t="array" ref="AM68">IFERROR(INDEX($AI$11:$AI$259,MATCH(0,IF(TRUE=$AH$11:$AH$259,COUNTIF($AM$10:$AM67,$AI$11:$AI$259),""),0)),"")</f>
        <v/>
      </c>
      <c r="AN68" s="40"/>
      <c r="AQ68" s="35">
        <f t="shared" si="6"/>
        <v>0</v>
      </c>
      <c r="AT68" s="885" t="str">
        <f>IF(AND(OR(Y68="Yes",Y68="Pending"),P68='G-1 All Habitats'!$X$3),Q68-U68-V68,"")</f>
        <v/>
      </c>
      <c r="AV68" s="542" t="str">
        <f>IFERROR(INDEX('G-1 All Habitats'!$B$3:$B$135,MATCH(F68,'G-1 All Habitats'!$A$3:$A$135,0)),"")</f>
        <v/>
      </c>
      <c r="AW68" s="35" t="str">
        <f>IF(AV68="","",VLOOKUP(AV68,'G-1 All Habitats'!$B$1:$T$135,19,FALSE))</f>
        <v/>
      </c>
    </row>
    <row r="69" spans="1:49" ht="14.5" hidden="1" thickBot="1">
      <c r="A69" s="35" t="str">
        <f>IFERROR(INDEX('G-1 All Habitats'!$AG$3:$AG$17,MATCH(E69,'G-1 All Habitats'!$AF$3:$AF$17,0)),"")</f>
        <v/>
      </c>
      <c r="B69" s="35" t="str">
        <f>IFERROR(INDEX('G-8 Condition Look up'!$I$4:$I$135,MATCH(AV69,'G-8 Condition Look up'!$A$4:$A$135,0)),"")</f>
        <v/>
      </c>
      <c r="D69" s="225">
        <v>59</v>
      </c>
      <c r="E69" s="211"/>
      <c r="F69" s="57"/>
      <c r="G69" s="263"/>
      <c r="H69" s="51"/>
      <c r="I69" s="275" t="str">
        <f>IF(AV69="","",IF(AND(AW69="Yes",G69="No"),"Irreplaceable habitat ▲",IF(AND(AW69="No",G69="Yes"),"Cannot be Irreplaceable ▲",VLOOKUP(AV69,'G-1 All Habitats'!$B$2:$M$135,10,FALSE))))</f>
        <v/>
      </c>
      <c r="J69" s="276" t="str">
        <f>IFERROR(VLOOKUP(I69,'G-1 All Habitats'!$V$3:$W$7,2,FALSE),"")</f>
        <v/>
      </c>
      <c r="K69" s="52"/>
      <c r="L69" s="276" t="str">
        <f>IFERROR(INDEX('G-8 Condition Look up'!$A$3:$H$135,MATCH(AV69,'G-8 Condition Look up'!$A$3:$A$135,0),MATCH(K69,'G-8 Condition Look up'!$A$3:$H$3,0)),"")</f>
        <v/>
      </c>
      <c r="M69" s="52"/>
      <c r="N69" s="295" t="str">
        <f>IF(M69="","",IF(VLOOKUP(M69,'G-3 Multipliers'!$L$3:$N$6,2,FALSE)=0,"Spatial Data Missing",VLOOKUP(M69,'G-3 Multipliers'!$L$3:$N$6,2,FALSE)))</f>
        <v/>
      </c>
      <c r="O69" s="281" t="str">
        <f>IF(M69="","",IF(VLOOKUP(M69,'G-3 Multipliers'!$L$3:$N$6,3,FALSE)=0,"Spatial Data Missing ▲",VLOOKUP(M69,'G-3 Multipliers'!$L$3:$N$6,3,FALSE)))</f>
        <v/>
      </c>
      <c r="P69" s="282" t="str">
        <f>(IF(G69="Yes","Bespoke compensation likely to be required",(IFERROR(VLOOKUP(AV69,'G-1 All Habitats'!$B$2:$M$135,12,FALSE),""))))</f>
        <v/>
      </c>
      <c r="Q69" s="289" t="str">
        <f>IFERROR(IF(AND(F69&lt;&gt;"",G69=""),"Confirm irreplaceable habitat status ▲",(IF(AND(E69="Individual trees",T69&gt;0,G69="Yes"),"Error - you cannot enhance irreplaceable individual trees ▲",(IF(AND(U69="Irreplaceable habitat - no units generated ⚠",(S69+T69)&lt;H69,OR(Y69="No",Y69="")),"Any Loss Unacceptable ⚠",(IF(U69="Irreplaceable habitat - no units generated ⚠",T69*J69*L69*O69,IF(AND(P69='G-1 All Habitats'!$X$9,AC69&gt;0,S69&lt;=0,T69&lt;=0,OR(Y69="No",Y69="")),"Any Loss Unacceptable ⚠",IF(AND(P69='G-1 All Habitats'!$X$9,AC69&gt;0,S69&lt;=0,T69&lt;=0,Y69="Yes"),0,(IF(AND(P69='G-1 All Habitats'!$X$9,(S69+T69)&lt;H69,OR(Y69="No",Y69="")),"Any Loss Unacceptable ⚠",(IF(P69="","",IF(AND(P69='G-1 All Habitats'!$X$9,T69&gt;0),U69+V69,IF(AND(P69='G-1 All Habitats'!$X$9,S69&gt;0),U69+V69,H69*J69*L69*O69))))))))))))))),"Check Data ▲")</f>
        <v/>
      </c>
      <c r="R69" s="38"/>
      <c r="S69" s="52"/>
      <c r="T69" s="53"/>
      <c r="U69" s="287" t="str">
        <f t="shared" si="0"/>
        <v/>
      </c>
      <c r="V69" s="287" t="str">
        <f t="shared" si="3"/>
        <v/>
      </c>
      <c r="W69" s="287" t="str">
        <f t="shared" si="4"/>
        <v/>
      </c>
      <c r="X69" s="291" t="str">
        <f>IFERROR(IF(H69="","",IF(H69-S69-T69=0&lt;0,"Error in Areas ▲",IF(S69+T69&gt;H69,"Error in Areas ▲",IF(AND(P69='G-1 All Habitats'!$X$9,Y69="Yes"),"Alternative Compensation ✓",IF(AND(P69='G-1 All Habitats'!$X$3,Y69="Yes"),"Alternative Compensation ✓",IF(AND(Y69="Pending",P69='G-1 All Habitats'!$X$3),"Bespoke compensation must be agreed ▲",IF(AND(Y69="Pending",P69='G-1 All Habitats'!$X$9),"Bespoke compensation must be agreed  ▲",IF(W69=0,0,IF(P69='G-1 All Habitats'!$X$9,"Any Loss Unacceptable ▲",Q69-U69-V69))))))))),"Check Data ▲")</f>
        <v/>
      </c>
      <c r="Y69" s="53"/>
      <c r="Z69" s="105"/>
      <c r="AA69" s="233"/>
      <c r="AB69" s="104"/>
      <c r="AC69" s="512" t="str">
        <f>IF(OR(P69="",Y69="Yes"),"",IF(P69='G-1 All Habitats'!$X$9,H69-S69-T69,"None"))</f>
        <v/>
      </c>
      <c r="AD69" s="513" t="str">
        <f>IF(P69="","",IF(P69='G-1 All Habitats'!$X$9,AC69*J69*L69*O69,"None"))</f>
        <v/>
      </c>
      <c r="AE69" s="35" t="str">
        <f t="shared" si="1"/>
        <v/>
      </c>
      <c r="AF69" s="40" t="str">
        <f t="shared" si="5"/>
        <v/>
      </c>
      <c r="AG69" s="40" t="str">
        <f t="shared" si="2"/>
        <v/>
      </c>
      <c r="AH69" s="40" t="str">
        <f>IF(I69="","",IF(#REF!&gt;0,TRUE,FALSE))</f>
        <v/>
      </c>
      <c r="AI69" s="40">
        <v>59</v>
      </c>
      <c r="AJ69" s="40"/>
      <c r="AK69" s="40" t="str">
        <f t="array" ref="AK69">IFERROR(INDEX($AI$11:$AI$259,MATCH(0,IF(TRUE=$AF$11:$AF$259,COUNTIF($AK$10:$AK68,$AI$11:$AI$259),""),0)),"")</f>
        <v/>
      </c>
      <c r="AL69" s="40" t="str">
        <f t="array" ref="AL69">IFERROR(INDEX($AI$11:$AI$259,MATCH(0,IF(TRUE=$AG$11:$AG$259,COUNTIF($AL$10:$AL68,$AI$11:$AI$259),""),0)),"")</f>
        <v/>
      </c>
      <c r="AM69" s="40" t="str">
        <f t="array" ref="AM69">IFERROR(INDEX($AI$11:$AI$259,MATCH(0,IF(TRUE=$AH$11:$AH$259,COUNTIF($AM$10:$AM68,$AI$11:$AI$259),""),0)),"")</f>
        <v/>
      </c>
      <c r="AN69" s="40"/>
      <c r="AQ69" s="35">
        <f t="shared" si="6"/>
        <v>0</v>
      </c>
      <c r="AT69" s="885" t="str">
        <f>IF(AND(OR(Y69="Yes",Y69="Pending"),P69='G-1 All Habitats'!$X$3),Q69-U69-V69,"")</f>
        <v/>
      </c>
      <c r="AV69" s="542" t="str">
        <f>IFERROR(INDEX('G-1 All Habitats'!$B$3:$B$135,MATCH(F69,'G-1 All Habitats'!$A$3:$A$135,0)),"")</f>
        <v/>
      </c>
      <c r="AW69" s="35" t="str">
        <f>IF(AV69="","",VLOOKUP(AV69,'G-1 All Habitats'!$B$1:$T$135,19,FALSE))</f>
        <v/>
      </c>
    </row>
    <row r="70" spans="1:49" ht="14.5" hidden="1" thickBot="1">
      <c r="A70" s="35" t="str">
        <f>IFERROR(INDEX('G-1 All Habitats'!$AG$3:$AG$17,MATCH(E70,'G-1 All Habitats'!$AF$3:$AF$17,0)),"")</f>
        <v/>
      </c>
      <c r="B70" s="35" t="str">
        <f>IFERROR(INDEX('G-8 Condition Look up'!$I$4:$I$135,MATCH(AV70,'G-8 Condition Look up'!$A$4:$A$135,0)),"")</f>
        <v/>
      </c>
      <c r="D70" s="225">
        <v>60</v>
      </c>
      <c r="E70" s="211"/>
      <c r="F70" s="57"/>
      <c r="G70" s="263"/>
      <c r="H70" s="51"/>
      <c r="I70" s="275" t="str">
        <f>IF(AV70="","",IF(AND(AW70="Yes",G70="No"),"Irreplaceable habitat ▲",IF(AND(AW70="No",G70="Yes"),"Cannot be Irreplaceable ▲",VLOOKUP(AV70,'G-1 All Habitats'!$B$2:$M$135,10,FALSE))))</f>
        <v/>
      </c>
      <c r="J70" s="276" t="str">
        <f>IFERROR(VLOOKUP(I70,'G-1 All Habitats'!$V$3:$W$7,2,FALSE),"")</f>
        <v/>
      </c>
      <c r="K70" s="52"/>
      <c r="L70" s="276" t="str">
        <f>IFERROR(INDEX('G-8 Condition Look up'!$A$3:$H$135,MATCH(AV70,'G-8 Condition Look up'!$A$3:$A$135,0),MATCH(K70,'G-8 Condition Look up'!$A$3:$H$3,0)),"")</f>
        <v/>
      </c>
      <c r="M70" s="52"/>
      <c r="N70" s="295" t="str">
        <f>IF(M70="","",IF(VLOOKUP(M70,'G-3 Multipliers'!$L$3:$N$6,2,FALSE)=0,"Spatial Data Missing",VLOOKUP(M70,'G-3 Multipliers'!$L$3:$N$6,2,FALSE)))</f>
        <v/>
      </c>
      <c r="O70" s="281" t="str">
        <f>IF(M70="","",IF(VLOOKUP(M70,'G-3 Multipliers'!$L$3:$N$6,3,FALSE)=0,"Spatial Data Missing ▲",VLOOKUP(M70,'G-3 Multipliers'!$L$3:$N$6,3,FALSE)))</f>
        <v/>
      </c>
      <c r="P70" s="282" t="str">
        <f>(IF(G70="Yes","Bespoke compensation likely to be required",(IFERROR(VLOOKUP(AV70,'G-1 All Habitats'!$B$2:$M$135,12,FALSE),""))))</f>
        <v/>
      </c>
      <c r="Q70" s="289" t="str">
        <f>IFERROR(IF(AND(F70&lt;&gt;"",G70=""),"Confirm irreplaceable habitat status ▲",(IF(AND(E70="Individual trees",T70&gt;0,G70="Yes"),"Error - you cannot enhance irreplaceable individual trees ▲",(IF(AND(U70="Irreplaceable habitat - no units generated ⚠",(S70+T70)&lt;H70,OR(Y70="No",Y70="")),"Any Loss Unacceptable ⚠",(IF(U70="Irreplaceable habitat - no units generated ⚠",T70*J70*L70*O70,IF(AND(P70='G-1 All Habitats'!$X$9,AC70&gt;0,S70&lt;=0,T70&lt;=0,OR(Y70="No",Y70="")),"Any Loss Unacceptable ⚠",IF(AND(P70='G-1 All Habitats'!$X$9,AC70&gt;0,S70&lt;=0,T70&lt;=0,Y70="Yes"),0,(IF(AND(P70='G-1 All Habitats'!$X$9,(S70+T70)&lt;H70,OR(Y70="No",Y70="")),"Any Loss Unacceptable ⚠",(IF(P70="","",IF(AND(P70='G-1 All Habitats'!$X$9,T70&gt;0),U70+V70,IF(AND(P70='G-1 All Habitats'!$X$9,S70&gt;0),U70+V70,H70*J70*L70*O70))))))))))))))),"Check Data ▲")</f>
        <v/>
      </c>
      <c r="R70" s="38"/>
      <c r="S70" s="52"/>
      <c r="T70" s="53"/>
      <c r="U70" s="287" t="str">
        <f t="shared" si="0"/>
        <v/>
      </c>
      <c r="V70" s="287" t="str">
        <f t="shared" si="3"/>
        <v/>
      </c>
      <c r="W70" s="287" t="str">
        <f t="shared" si="4"/>
        <v/>
      </c>
      <c r="X70" s="291" t="str">
        <f>IFERROR(IF(H70="","",IF(H70-S70-T70=0&lt;0,"Error in Areas ▲",IF(S70+T70&gt;H70,"Error in Areas ▲",IF(AND(P70='G-1 All Habitats'!$X$9,Y70="Yes"),"Alternative Compensation ✓",IF(AND(P70='G-1 All Habitats'!$X$3,Y70="Yes"),"Alternative Compensation ✓",IF(AND(Y70="Pending",P70='G-1 All Habitats'!$X$3),"Bespoke compensation must be agreed ▲",IF(AND(Y70="Pending",P70='G-1 All Habitats'!$X$9),"Bespoke compensation must be agreed  ▲",IF(W70=0,0,IF(P70='G-1 All Habitats'!$X$9,"Any Loss Unacceptable ▲",Q70-U70-V70))))))))),"Check Data ▲")</f>
        <v/>
      </c>
      <c r="Y70" s="53"/>
      <c r="Z70" s="105"/>
      <c r="AA70" s="233"/>
      <c r="AB70" s="104"/>
      <c r="AC70" s="512" t="str">
        <f>IF(OR(P70="",Y70="Yes"),"",IF(P70='G-1 All Habitats'!$X$9,H70-S70-T70,"None"))</f>
        <v/>
      </c>
      <c r="AD70" s="513" t="str">
        <f>IF(P70="","",IF(P70='G-1 All Habitats'!$X$9,AC70*J70*L70*O70,"None"))</f>
        <v/>
      </c>
      <c r="AE70" s="35" t="str">
        <f t="shared" si="1"/>
        <v/>
      </c>
      <c r="AF70" s="40" t="str">
        <f t="shared" si="5"/>
        <v/>
      </c>
      <c r="AG70" s="40" t="str">
        <f t="shared" si="2"/>
        <v/>
      </c>
      <c r="AH70" s="40" t="str">
        <f>IF(I70="","",IF(#REF!&gt;0,TRUE,FALSE))</f>
        <v/>
      </c>
      <c r="AI70" s="40">
        <v>60</v>
      </c>
      <c r="AJ70" s="40"/>
      <c r="AK70" s="40" t="str">
        <f t="array" ref="AK70">IFERROR(INDEX($AI$11:$AI$259,MATCH(0,IF(TRUE=$AF$11:$AF$259,COUNTIF($AK$10:$AK69,$AI$11:$AI$259),""),0)),"")</f>
        <v/>
      </c>
      <c r="AL70" s="40" t="str">
        <f t="array" ref="AL70">IFERROR(INDEX($AI$11:$AI$259,MATCH(0,IF(TRUE=$AG$11:$AG$259,COUNTIF($AL$10:$AL69,$AI$11:$AI$259),""),0)),"")</f>
        <v/>
      </c>
      <c r="AM70" s="40" t="str">
        <f t="array" ref="AM70">IFERROR(INDEX($AI$11:$AI$259,MATCH(0,IF(TRUE=$AH$11:$AH$259,COUNTIF($AM$10:$AM69,$AI$11:$AI$259),""),0)),"")</f>
        <v/>
      </c>
      <c r="AN70" s="40"/>
      <c r="AQ70" s="35">
        <f t="shared" si="6"/>
        <v>0</v>
      </c>
      <c r="AT70" s="885" t="str">
        <f>IF(AND(OR(Y70="Yes",Y70="Pending"),P70='G-1 All Habitats'!$X$3),Q70-U70-V70,"")</f>
        <v/>
      </c>
      <c r="AV70" s="542" t="str">
        <f>IFERROR(INDEX('G-1 All Habitats'!$B$3:$B$135,MATCH(F70,'G-1 All Habitats'!$A$3:$A$135,0)),"")</f>
        <v/>
      </c>
      <c r="AW70" s="35" t="str">
        <f>IF(AV70="","",VLOOKUP(AV70,'G-1 All Habitats'!$B$1:$T$135,19,FALSE))</f>
        <v/>
      </c>
    </row>
    <row r="71" spans="1:49" ht="14.5" hidden="1" thickBot="1">
      <c r="A71" s="35" t="str">
        <f>IFERROR(INDEX('G-1 All Habitats'!$AG$3:$AG$17,MATCH(E71,'G-1 All Habitats'!$AF$3:$AF$17,0)),"")</f>
        <v/>
      </c>
      <c r="B71" s="35" t="str">
        <f>IFERROR(INDEX('G-8 Condition Look up'!$I$4:$I$135,MATCH(AV71,'G-8 Condition Look up'!$A$4:$A$135,0)),"")</f>
        <v/>
      </c>
      <c r="D71" s="225">
        <v>61</v>
      </c>
      <c r="E71" s="211"/>
      <c r="F71" s="57"/>
      <c r="G71" s="263"/>
      <c r="H71" s="51"/>
      <c r="I71" s="275" t="str">
        <f>IF(AV71="","",IF(AND(AW71="Yes",G71="No"),"Irreplaceable habitat ▲",IF(AND(AW71="No",G71="Yes"),"Cannot be Irreplaceable ▲",VLOOKUP(AV71,'G-1 All Habitats'!$B$2:$M$135,10,FALSE))))</f>
        <v/>
      </c>
      <c r="J71" s="276" t="str">
        <f>IFERROR(VLOOKUP(I71,'G-1 All Habitats'!$V$3:$W$7,2,FALSE),"")</f>
        <v/>
      </c>
      <c r="K71" s="52"/>
      <c r="L71" s="276" t="str">
        <f>IFERROR(INDEX('G-8 Condition Look up'!$A$3:$H$135,MATCH(AV71,'G-8 Condition Look up'!$A$3:$A$135,0),MATCH(K71,'G-8 Condition Look up'!$A$3:$H$3,0)),"")</f>
        <v/>
      </c>
      <c r="M71" s="52"/>
      <c r="N71" s="295" t="str">
        <f>IF(M71="","",IF(VLOOKUP(M71,'G-3 Multipliers'!$L$3:$N$6,2,FALSE)=0,"Spatial Data Missing",VLOOKUP(M71,'G-3 Multipliers'!$L$3:$N$6,2,FALSE)))</f>
        <v/>
      </c>
      <c r="O71" s="281" t="str">
        <f>IF(M71="","",IF(VLOOKUP(M71,'G-3 Multipliers'!$L$3:$N$6,3,FALSE)=0,"Spatial Data Missing ▲",VLOOKUP(M71,'G-3 Multipliers'!$L$3:$N$6,3,FALSE)))</f>
        <v/>
      </c>
      <c r="P71" s="282" t="str">
        <f>(IF(G71="Yes","Bespoke compensation likely to be required",(IFERROR(VLOOKUP(AV71,'G-1 All Habitats'!$B$2:$M$135,12,FALSE),""))))</f>
        <v/>
      </c>
      <c r="Q71" s="289" t="str">
        <f>IFERROR(IF(AND(F71&lt;&gt;"",G71=""),"Confirm irreplaceable habitat status ▲",(IF(AND(E71="Individual trees",T71&gt;0,G71="Yes"),"Error - you cannot enhance irreplaceable individual trees ▲",(IF(AND(U71="Irreplaceable habitat - no units generated ⚠",(S71+T71)&lt;H71,OR(Y71="No",Y71="")),"Any Loss Unacceptable ⚠",(IF(U71="Irreplaceable habitat - no units generated ⚠",T71*J71*L71*O71,IF(AND(P71='G-1 All Habitats'!$X$9,AC71&gt;0,S71&lt;=0,T71&lt;=0,OR(Y71="No",Y71="")),"Any Loss Unacceptable ⚠",IF(AND(P71='G-1 All Habitats'!$X$9,AC71&gt;0,S71&lt;=0,T71&lt;=0,Y71="Yes"),0,(IF(AND(P71='G-1 All Habitats'!$X$9,(S71+T71)&lt;H71,OR(Y71="No",Y71="")),"Any Loss Unacceptable ⚠",(IF(P71="","",IF(AND(P71='G-1 All Habitats'!$X$9,T71&gt;0),U71+V71,IF(AND(P71='G-1 All Habitats'!$X$9,S71&gt;0),U71+V71,H71*J71*L71*O71))))))))))))))),"Check Data ▲")</f>
        <v/>
      </c>
      <c r="R71" s="38"/>
      <c r="S71" s="52"/>
      <c r="T71" s="53"/>
      <c r="U71" s="287" t="str">
        <f t="shared" si="0"/>
        <v/>
      </c>
      <c r="V71" s="287" t="str">
        <f t="shared" si="3"/>
        <v/>
      </c>
      <c r="W71" s="287" t="str">
        <f t="shared" si="4"/>
        <v/>
      </c>
      <c r="X71" s="291" t="str">
        <f>IFERROR(IF(H71="","",IF(H71-S71-T71=0&lt;0,"Error in Areas ▲",IF(S71+T71&gt;H71,"Error in Areas ▲",IF(AND(P71='G-1 All Habitats'!$X$9,Y71="Yes"),"Alternative Compensation ✓",IF(AND(P71='G-1 All Habitats'!$X$3,Y71="Yes"),"Alternative Compensation ✓",IF(AND(Y71="Pending",P71='G-1 All Habitats'!$X$3),"Bespoke compensation must be agreed ▲",IF(AND(Y71="Pending",P71='G-1 All Habitats'!$X$9),"Bespoke compensation must be agreed  ▲",IF(W71=0,0,IF(P71='G-1 All Habitats'!$X$9,"Any Loss Unacceptable ▲",Q71-U71-V71))))))))),"Check Data ▲")</f>
        <v/>
      </c>
      <c r="Y71" s="53"/>
      <c r="Z71" s="105"/>
      <c r="AA71" s="233"/>
      <c r="AB71" s="104"/>
      <c r="AC71" s="512" t="str">
        <f>IF(OR(P71="",Y71="Yes"),"",IF(P71='G-1 All Habitats'!$X$9,H71-S71-T71,"None"))</f>
        <v/>
      </c>
      <c r="AD71" s="513" t="str">
        <f>IF(P71="","",IF(P71='G-1 All Habitats'!$X$9,AC71*J71*L71*O71,"None"))</f>
        <v/>
      </c>
      <c r="AE71" s="35" t="str">
        <f t="shared" si="1"/>
        <v/>
      </c>
      <c r="AF71" s="40" t="str">
        <f t="shared" si="5"/>
        <v/>
      </c>
      <c r="AG71" s="40" t="str">
        <f t="shared" si="2"/>
        <v/>
      </c>
      <c r="AH71" s="40" t="str">
        <f>IF(I71="","",IF(#REF!&gt;0,TRUE,FALSE))</f>
        <v/>
      </c>
      <c r="AI71" s="40">
        <v>61</v>
      </c>
      <c r="AJ71" s="40"/>
      <c r="AK71" s="40" t="str">
        <f t="array" ref="AK71">IFERROR(INDEX($AI$11:$AI$259,MATCH(0,IF(TRUE=$AF$11:$AF$259,COUNTIF($AK$10:$AK70,$AI$11:$AI$259),""),0)),"")</f>
        <v/>
      </c>
      <c r="AL71" s="40" t="str">
        <f t="array" ref="AL71">IFERROR(INDEX($AI$11:$AI$259,MATCH(0,IF(TRUE=$AG$11:$AG$259,COUNTIF($AL$10:$AL70,$AI$11:$AI$259),""),0)),"")</f>
        <v/>
      </c>
      <c r="AM71" s="40" t="str">
        <f t="array" ref="AM71">IFERROR(INDEX($AI$11:$AI$259,MATCH(0,IF(TRUE=$AH$11:$AH$259,COUNTIF($AM$10:$AM70,$AI$11:$AI$259),""),0)),"")</f>
        <v/>
      </c>
      <c r="AN71" s="40"/>
      <c r="AQ71" s="35">
        <f t="shared" si="6"/>
        <v>0</v>
      </c>
      <c r="AT71" s="885" t="str">
        <f>IF(AND(OR(Y71="Yes",Y71="Pending"),P71='G-1 All Habitats'!$X$3),Q71-U71-V71,"")</f>
        <v/>
      </c>
      <c r="AV71" s="542" t="str">
        <f>IFERROR(INDEX('G-1 All Habitats'!$B$3:$B$135,MATCH(F71,'G-1 All Habitats'!$A$3:$A$135,0)),"")</f>
        <v/>
      </c>
      <c r="AW71" s="35" t="str">
        <f>IF(AV71="","",VLOOKUP(AV71,'G-1 All Habitats'!$B$1:$T$135,19,FALSE))</f>
        <v/>
      </c>
    </row>
    <row r="72" spans="1:49" ht="14.5" hidden="1" thickBot="1">
      <c r="A72" s="35" t="str">
        <f>IFERROR(INDEX('G-1 All Habitats'!$AG$3:$AG$17,MATCH(E72,'G-1 All Habitats'!$AF$3:$AF$17,0)),"")</f>
        <v/>
      </c>
      <c r="B72" s="35" t="str">
        <f>IFERROR(INDEX('G-8 Condition Look up'!$I$4:$I$135,MATCH(AV72,'G-8 Condition Look up'!$A$4:$A$135,0)),"")</f>
        <v/>
      </c>
      <c r="D72" s="225">
        <v>62</v>
      </c>
      <c r="E72" s="211"/>
      <c r="F72" s="57"/>
      <c r="G72" s="263"/>
      <c r="H72" s="51"/>
      <c r="I72" s="275" t="str">
        <f>IF(AV72="","",IF(AND(AW72="Yes",G72="No"),"Irreplaceable habitat ▲",IF(AND(AW72="No",G72="Yes"),"Cannot be Irreplaceable ▲",VLOOKUP(AV72,'G-1 All Habitats'!$B$2:$M$135,10,FALSE))))</f>
        <v/>
      </c>
      <c r="J72" s="276" t="str">
        <f>IFERROR(VLOOKUP(I72,'G-1 All Habitats'!$V$3:$W$7,2,FALSE),"")</f>
        <v/>
      </c>
      <c r="K72" s="52"/>
      <c r="L72" s="276" t="str">
        <f>IFERROR(INDEX('G-8 Condition Look up'!$A$3:$H$135,MATCH(AV72,'G-8 Condition Look up'!$A$3:$A$135,0),MATCH(K72,'G-8 Condition Look up'!$A$3:$H$3,0)),"")</f>
        <v/>
      </c>
      <c r="M72" s="52"/>
      <c r="N72" s="295" t="str">
        <f>IF(M72="","",IF(VLOOKUP(M72,'G-3 Multipliers'!$L$3:$N$6,2,FALSE)=0,"Spatial Data Missing",VLOOKUP(M72,'G-3 Multipliers'!$L$3:$N$6,2,FALSE)))</f>
        <v/>
      </c>
      <c r="O72" s="281" t="str">
        <f>IF(M72="","",IF(VLOOKUP(M72,'G-3 Multipliers'!$L$3:$N$6,3,FALSE)=0,"Spatial Data Missing ▲",VLOOKUP(M72,'G-3 Multipliers'!$L$3:$N$6,3,FALSE)))</f>
        <v/>
      </c>
      <c r="P72" s="282" t="str">
        <f>(IF(G72="Yes","Bespoke compensation likely to be required",(IFERROR(VLOOKUP(AV72,'G-1 All Habitats'!$B$2:$M$135,12,FALSE),""))))</f>
        <v/>
      </c>
      <c r="Q72" s="289" t="str">
        <f>IFERROR(IF(AND(F72&lt;&gt;"",G72=""),"Confirm irreplaceable habitat status ▲",(IF(AND(E72="Individual trees",T72&gt;0,G72="Yes"),"Error - you cannot enhance irreplaceable individual trees ▲",(IF(AND(U72="Irreplaceable habitat - no units generated ⚠",(S72+T72)&lt;H72,OR(Y72="No",Y72="")),"Any Loss Unacceptable ⚠",(IF(U72="Irreplaceable habitat - no units generated ⚠",T72*J72*L72*O72,IF(AND(P72='G-1 All Habitats'!$X$9,AC72&gt;0,S72&lt;=0,T72&lt;=0,OR(Y72="No",Y72="")),"Any Loss Unacceptable ⚠",IF(AND(P72='G-1 All Habitats'!$X$9,AC72&gt;0,S72&lt;=0,T72&lt;=0,Y72="Yes"),0,(IF(AND(P72='G-1 All Habitats'!$X$9,(S72+T72)&lt;H72,OR(Y72="No",Y72="")),"Any Loss Unacceptable ⚠",(IF(P72="","",IF(AND(P72='G-1 All Habitats'!$X$9,T72&gt;0),U72+V72,IF(AND(P72='G-1 All Habitats'!$X$9,S72&gt;0),U72+V72,H72*J72*L72*O72))))))))))))))),"Check Data ▲")</f>
        <v/>
      </c>
      <c r="R72" s="38"/>
      <c r="S72" s="52"/>
      <c r="T72" s="53"/>
      <c r="U72" s="287" t="str">
        <f t="shared" si="0"/>
        <v/>
      </c>
      <c r="V72" s="287" t="str">
        <f t="shared" si="3"/>
        <v/>
      </c>
      <c r="W72" s="287" t="str">
        <f t="shared" si="4"/>
        <v/>
      </c>
      <c r="X72" s="291" t="str">
        <f>IFERROR(IF(H72="","",IF(H72-S72-T72=0&lt;0,"Error in Areas ▲",IF(S72+T72&gt;H72,"Error in Areas ▲",IF(AND(P72='G-1 All Habitats'!$X$9,Y72="Yes"),"Alternative Compensation ✓",IF(AND(P72='G-1 All Habitats'!$X$3,Y72="Yes"),"Alternative Compensation ✓",IF(AND(Y72="Pending",P72='G-1 All Habitats'!$X$3),"Bespoke compensation must be agreed ▲",IF(AND(Y72="Pending",P72='G-1 All Habitats'!$X$9),"Bespoke compensation must be agreed  ▲",IF(W72=0,0,IF(P72='G-1 All Habitats'!$X$9,"Any Loss Unacceptable ▲",Q72-U72-V72))))))))),"Check Data ▲")</f>
        <v/>
      </c>
      <c r="Y72" s="53"/>
      <c r="Z72" s="105"/>
      <c r="AA72" s="233"/>
      <c r="AB72" s="104"/>
      <c r="AC72" s="512" t="str">
        <f>IF(OR(P72="",Y72="Yes"),"",IF(P72='G-1 All Habitats'!$X$9,H72-S72-T72,"None"))</f>
        <v/>
      </c>
      <c r="AD72" s="513" t="str">
        <f>IF(P72="","",IF(P72='G-1 All Habitats'!$X$9,AC72*J72*L72*O72,"None"))</f>
        <v/>
      </c>
      <c r="AE72" s="35" t="str">
        <f t="shared" si="1"/>
        <v/>
      </c>
      <c r="AF72" s="40" t="str">
        <f t="shared" si="5"/>
        <v/>
      </c>
      <c r="AG72" s="40" t="str">
        <f t="shared" si="2"/>
        <v/>
      </c>
      <c r="AH72" s="40" t="str">
        <f>IF(I72="","",IF(#REF!&gt;0,TRUE,FALSE))</f>
        <v/>
      </c>
      <c r="AI72" s="40">
        <v>62</v>
      </c>
      <c r="AJ72" s="40"/>
      <c r="AK72" s="40" t="str">
        <f t="array" ref="AK72">IFERROR(INDEX($AI$11:$AI$259,MATCH(0,IF(TRUE=$AF$11:$AF$259,COUNTIF($AK$10:$AK71,$AI$11:$AI$259),""),0)),"")</f>
        <v/>
      </c>
      <c r="AL72" s="40" t="str">
        <f t="array" ref="AL72">IFERROR(INDEX($AI$11:$AI$259,MATCH(0,IF(TRUE=$AG$11:$AG$259,COUNTIF($AL$10:$AL71,$AI$11:$AI$259),""),0)),"")</f>
        <v/>
      </c>
      <c r="AM72" s="40" t="str">
        <f t="array" ref="AM72">IFERROR(INDEX($AI$11:$AI$259,MATCH(0,IF(TRUE=$AH$11:$AH$259,COUNTIF($AM$10:$AM71,$AI$11:$AI$259),""),0)),"")</f>
        <v/>
      </c>
      <c r="AN72" s="40"/>
      <c r="AQ72" s="35">
        <f t="shared" si="6"/>
        <v>0</v>
      </c>
      <c r="AT72" s="885" t="str">
        <f>IF(AND(OR(Y72="Yes",Y72="Pending"),P72='G-1 All Habitats'!$X$3),Q72-U72-V72,"")</f>
        <v/>
      </c>
      <c r="AV72" s="542" t="str">
        <f>IFERROR(INDEX('G-1 All Habitats'!$B$3:$B$135,MATCH(F72,'G-1 All Habitats'!$A$3:$A$135,0)),"")</f>
        <v/>
      </c>
      <c r="AW72" s="35" t="str">
        <f>IF(AV72="","",VLOOKUP(AV72,'G-1 All Habitats'!$B$1:$T$135,19,FALSE))</f>
        <v/>
      </c>
    </row>
    <row r="73" spans="1:49" ht="14.5" hidden="1" thickBot="1">
      <c r="A73" s="35" t="str">
        <f>IFERROR(INDEX('G-1 All Habitats'!$AG$3:$AG$17,MATCH(E73,'G-1 All Habitats'!$AF$3:$AF$17,0)),"")</f>
        <v/>
      </c>
      <c r="B73" s="35" t="str">
        <f>IFERROR(INDEX('G-8 Condition Look up'!$I$4:$I$135,MATCH(AV73,'G-8 Condition Look up'!$A$4:$A$135,0)),"")</f>
        <v/>
      </c>
      <c r="D73" s="225">
        <v>63</v>
      </c>
      <c r="E73" s="211"/>
      <c r="F73" s="57"/>
      <c r="G73" s="263"/>
      <c r="H73" s="51"/>
      <c r="I73" s="275" t="str">
        <f>IF(AV73="","",IF(AND(AW73="Yes",G73="No"),"Irreplaceable habitat ▲",IF(AND(AW73="No",G73="Yes"),"Cannot be Irreplaceable ▲",VLOOKUP(AV73,'G-1 All Habitats'!$B$2:$M$135,10,FALSE))))</f>
        <v/>
      </c>
      <c r="J73" s="276" t="str">
        <f>IFERROR(VLOOKUP(I73,'G-1 All Habitats'!$V$3:$W$7,2,FALSE),"")</f>
        <v/>
      </c>
      <c r="K73" s="52"/>
      <c r="L73" s="276" t="str">
        <f>IFERROR(INDEX('G-8 Condition Look up'!$A$3:$H$135,MATCH(AV73,'G-8 Condition Look up'!$A$3:$A$135,0),MATCH(K73,'G-8 Condition Look up'!$A$3:$H$3,0)),"")</f>
        <v/>
      </c>
      <c r="M73" s="52"/>
      <c r="N73" s="295" t="str">
        <f>IF(M73="","",IF(VLOOKUP(M73,'G-3 Multipliers'!$L$3:$N$6,2,FALSE)=0,"Spatial Data Missing",VLOOKUP(M73,'G-3 Multipliers'!$L$3:$N$6,2,FALSE)))</f>
        <v/>
      </c>
      <c r="O73" s="281" t="str">
        <f>IF(M73="","",IF(VLOOKUP(M73,'G-3 Multipliers'!$L$3:$N$6,3,FALSE)=0,"Spatial Data Missing ▲",VLOOKUP(M73,'G-3 Multipliers'!$L$3:$N$6,3,FALSE)))</f>
        <v/>
      </c>
      <c r="P73" s="282" t="str">
        <f>(IF(G73="Yes","Bespoke compensation likely to be required",(IFERROR(VLOOKUP(AV73,'G-1 All Habitats'!$B$2:$M$135,12,FALSE),""))))</f>
        <v/>
      </c>
      <c r="Q73" s="289" t="str">
        <f>IFERROR(IF(AND(F73&lt;&gt;"",G73=""),"Confirm irreplaceable habitat status ▲",(IF(AND(E73="Individual trees",T73&gt;0,G73="Yes"),"Error - you cannot enhance irreplaceable individual trees ▲",(IF(AND(U73="Irreplaceable habitat - no units generated ⚠",(S73+T73)&lt;H73,OR(Y73="No",Y73="")),"Any Loss Unacceptable ⚠",(IF(U73="Irreplaceable habitat - no units generated ⚠",T73*J73*L73*O73,IF(AND(P73='G-1 All Habitats'!$X$9,AC73&gt;0,S73&lt;=0,T73&lt;=0,OR(Y73="No",Y73="")),"Any Loss Unacceptable ⚠",IF(AND(P73='G-1 All Habitats'!$X$9,AC73&gt;0,S73&lt;=0,T73&lt;=0,Y73="Yes"),0,(IF(AND(P73='G-1 All Habitats'!$X$9,(S73+T73)&lt;H73,OR(Y73="No",Y73="")),"Any Loss Unacceptable ⚠",(IF(P73="","",IF(AND(P73='G-1 All Habitats'!$X$9,T73&gt;0),U73+V73,IF(AND(P73='G-1 All Habitats'!$X$9,S73&gt;0),U73+V73,H73*J73*L73*O73))))))))))))))),"Check Data ▲")</f>
        <v/>
      </c>
      <c r="R73" s="38"/>
      <c r="S73" s="52"/>
      <c r="T73" s="53"/>
      <c r="U73" s="287" t="str">
        <f t="shared" si="0"/>
        <v/>
      </c>
      <c r="V73" s="287" t="str">
        <f t="shared" si="3"/>
        <v/>
      </c>
      <c r="W73" s="287" t="str">
        <f t="shared" si="4"/>
        <v/>
      </c>
      <c r="X73" s="291" t="str">
        <f>IFERROR(IF(H73="","",IF(H73-S73-T73=0&lt;0,"Error in Areas ▲",IF(S73+T73&gt;H73,"Error in Areas ▲",IF(AND(P73='G-1 All Habitats'!$X$9,Y73="Yes"),"Alternative Compensation ✓",IF(AND(P73='G-1 All Habitats'!$X$3,Y73="Yes"),"Alternative Compensation ✓",IF(AND(Y73="Pending",P73='G-1 All Habitats'!$X$3),"Bespoke compensation must be agreed ▲",IF(AND(Y73="Pending",P73='G-1 All Habitats'!$X$9),"Bespoke compensation must be agreed  ▲",IF(W73=0,0,IF(P73='G-1 All Habitats'!$X$9,"Any Loss Unacceptable ▲",Q73-U73-V73))))))))),"Check Data ▲")</f>
        <v/>
      </c>
      <c r="Y73" s="53"/>
      <c r="Z73" s="105"/>
      <c r="AA73" s="233"/>
      <c r="AB73" s="104"/>
      <c r="AC73" s="512" t="str">
        <f>IF(OR(P73="",Y73="Yes"),"",IF(P73='G-1 All Habitats'!$X$9,H73-S73-T73,"None"))</f>
        <v/>
      </c>
      <c r="AD73" s="513" t="str">
        <f>IF(P73="","",IF(P73='G-1 All Habitats'!$X$9,AC73*J73*L73*O73,"None"))</f>
        <v/>
      </c>
      <c r="AE73" s="35" t="str">
        <f t="shared" si="1"/>
        <v/>
      </c>
      <c r="AF73" s="40" t="str">
        <f t="shared" si="5"/>
        <v/>
      </c>
      <c r="AG73" s="40" t="str">
        <f t="shared" si="2"/>
        <v/>
      </c>
      <c r="AH73" s="40" t="str">
        <f>IF(I73="","",IF(#REF!&gt;0,TRUE,FALSE))</f>
        <v/>
      </c>
      <c r="AI73" s="40">
        <v>63</v>
      </c>
      <c r="AJ73" s="40"/>
      <c r="AK73" s="40" t="str">
        <f t="array" ref="AK73">IFERROR(INDEX($AI$11:$AI$259,MATCH(0,IF(TRUE=$AF$11:$AF$259,COUNTIF($AK$10:$AK72,$AI$11:$AI$259),""),0)),"")</f>
        <v/>
      </c>
      <c r="AL73" s="40" t="str">
        <f t="array" ref="AL73">IFERROR(INDEX($AI$11:$AI$259,MATCH(0,IF(TRUE=$AG$11:$AG$259,COUNTIF($AL$10:$AL72,$AI$11:$AI$259),""),0)),"")</f>
        <v/>
      </c>
      <c r="AM73" s="40" t="str">
        <f t="array" ref="AM73">IFERROR(INDEX($AI$11:$AI$259,MATCH(0,IF(TRUE=$AH$11:$AH$259,COUNTIF($AM$10:$AM72,$AI$11:$AI$259),""),0)),"")</f>
        <v/>
      </c>
      <c r="AN73" s="40"/>
      <c r="AQ73" s="35">
        <f t="shared" si="6"/>
        <v>0</v>
      </c>
      <c r="AT73" s="885" t="str">
        <f>IF(AND(OR(Y73="Yes",Y73="Pending"),P73='G-1 All Habitats'!$X$3),Q73-U73-V73,"")</f>
        <v/>
      </c>
      <c r="AV73" s="542" t="str">
        <f>IFERROR(INDEX('G-1 All Habitats'!$B$3:$B$135,MATCH(F73,'G-1 All Habitats'!$A$3:$A$135,0)),"")</f>
        <v/>
      </c>
      <c r="AW73" s="35" t="str">
        <f>IF(AV73="","",VLOOKUP(AV73,'G-1 All Habitats'!$B$1:$T$135,19,FALSE))</f>
        <v/>
      </c>
    </row>
    <row r="74" spans="1:49" ht="14.5" hidden="1" thickBot="1">
      <c r="A74" s="35" t="str">
        <f>IFERROR(INDEX('G-1 All Habitats'!$AG$3:$AG$17,MATCH(E74,'G-1 All Habitats'!$AF$3:$AF$17,0)),"")</f>
        <v/>
      </c>
      <c r="B74" s="35" t="str">
        <f>IFERROR(INDEX('G-8 Condition Look up'!$I$4:$I$135,MATCH(AV74,'G-8 Condition Look up'!$A$4:$A$135,0)),"")</f>
        <v/>
      </c>
      <c r="D74" s="225">
        <v>64</v>
      </c>
      <c r="E74" s="211"/>
      <c r="F74" s="57"/>
      <c r="G74" s="263"/>
      <c r="H74" s="51"/>
      <c r="I74" s="275" t="str">
        <f>IF(AV74="","",IF(AND(AW74="Yes",G74="No"),"Irreplaceable habitat ▲",IF(AND(AW74="No",G74="Yes"),"Cannot be Irreplaceable ▲",VLOOKUP(AV74,'G-1 All Habitats'!$B$2:$M$135,10,FALSE))))</f>
        <v/>
      </c>
      <c r="J74" s="276" t="str">
        <f>IFERROR(VLOOKUP(I74,'G-1 All Habitats'!$V$3:$W$7,2,FALSE),"")</f>
        <v/>
      </c>
      <c r="K74" s="52"/>
      <c r="L74" s="276" t="str">
        <f>IFERROR(INDEX('G-8 Condition Look up'!$A$3:$H$135,MATCH(AV74,'G-8 Condition Look up'!$A$3:$A$135,0),MATCH(K74,'G-8 Condition Look up'!$A$3:$H$3,0)),"")</f>
        <v/>
      </c>
      <c r="M74" s="52"/>
      <c r="N74" s="295" t="str">
        <f>IF(M74="","",IF(VLOOKUP(M74,'G-3 Multipliers'!$L$3:$N$6,2,FALSE)=0,"Spatial Data Missing",VLOOKUP(M74,'G-3 Multipliers'!$L$3:$N$6,2,FALSE)))</f>
        <v/>
      </c>
      <c r="O74" s="281" t="str">
        <f>IF(M74="","",IF(VLOOKUP(M74,'G-3 Multipliers'!$L$3:$N$6,3,FALSE)=0,"Spatial Data Missing ▲",VLOOKUP(M74,'G-3 Multipliers'!$L$3:$N$6,3,FALSE)))</f>
        <v/>
      </c>
      <c r="P74" s="282" t="str">
        <f>(IF(G74="Yes","Bespoke compensation likely to be required",(IFERROR(VLOOKUP(AV74,'G-1 All Habitats'!$B$2:$M$135,12,FALSE),""))))</f>
        <v/>
      </c>
      <c r="Q74" s="289" t="str">
        <f>IFERROR(IF(AND(F74&lt;&gt;"",G74=""),"Confirm irreplaceable habitat status ▲",(IF(AND(E74="Individual trees",T74&gt;0,G74="Yes"),"Error - you cannot enhance irreplaceable individual trees ▲",(IF(AND(U74="Irreplaceable habitat - no units generated ⚠",(S74+T74)&lt;H74,OR(Y74="No",Y74="")),"Any Loss Unacceptable ⚠",(IF(U74="Irreplaceable habitat - no units generated ⚠",T74*J74*L74*O74,IF(AND(P74='G-1 All Habitats'!$X$9,AC74&gt;0,S74&lt;=0,T74&lt;=0,OR(Y74="No",Y74="")),"Any Loss Unacceptable ⚠",IF(AND(P74='G-1 All Habitats'!$X$9,AC74&gt;0,S74&lt;=0,T74&lt;=0,Y74="Yes"),0,(IF(AND(P74='G-1 All Habitats'!$X$9,(S74+T74)&lt;H74,OR(Y74="No",Y74="")),"Any Loss Unacceptable ⚠",(IF(P74="","",IF(AND(P74='G-1 All Habitats'!$X$9,T74&gt;0),U74+V74,IF(AND(P74='G-1 All Habitats'!$X$9,S74&gt;0),U74+V74,H74*J74*L74*O74))))))))))))))),"Check Data ▲")</f>
        <v/>
      </c>
      <c r="R74" s="38"/>
      <c r="S74" s="52"/>
      <c r="T74" s="53"/>
      <c r="U74" s="287" t="str">
        <f t="shared" si="0"/>
        <v/>
      </c>
      <c r="V74" s="287" t="str">
        <f t="shared" si="3"/>
        <v/>
      </c>
      <c r="W74" s="287" t="str">
        <f t="shared" si="4"/>
        <v/>
      </c>
      <c r="X74" s="291" t="str">
        <f>IFERROR(IF(H74="","",IF(H74-S74-T74=0&lt;0,"Error in Areas ▲",IF(S74+T74&gt;H74,"Error in Areas ▲",IF(AND(P74='G-1 All Habitats'!$X$9,Y74="Yes"),"Alternative Compensation ✓",IF(AND(P74='G-1 All Habitats'!$X$3,Y74="Yes"),"Alternative Compensation ✓",IF(AND(Y74="Pending",P74='G-1 All Habitats'!$X$3),"Bespoke compensation must be agreed ▲",IF(AND(Y74="Pending",P74='G-1 All Habitats'!$X$9),"Bespoke compensation must be agreed  ▲",IF(W74=0,0,IF(P74='G-1 All Habitats'!$X$9,"Any Loss Unacceptable ▲",Q74-U74-V74))))))))),"Check Data ▲")</f>
        <v/>
      </c>
      <c r="Y74" s="53"/>
      <c r="Z74" s="105"/>
      <c r="AA74" s="233"/>
      <c r="AB74" s="104"/>
      <c r="AC74" s="512" t="str">
        <f>IF(OR(P74="",Y74="Yes"),"",IF(P74='G-1 All Habitats'!$X$9,H74-S74-T74,"None"))</f>
        <v/>
      </c>
      <c r="AD74" s="513" t="str">
        <f>IF(P74="","",IF(P74='G-1 All Habitats'!$X$9,AC74*J74*L74*O74,"None"))</f>
        <v/>
      </c>
      <c r="AE74" s="35" t="str">
        <f t="shared" si="1"/>
        <v/>
      </c>
      <c r="AF74" s="40" t="str">
        <f t="shared" si="5"/>
        <v/>
      </c>
      <c r="AG74" s="40" t="str">
        <f t="shared" si="2"/>
        <v/>
      </c>
      <c r="AH74" s="40" t="str">
        <f>IF(I74="","",IF(#REF!&gt;0,TRUE,FALSE))</f>
        <v/>
      </c>
      <c r="AI74" s="40">
        <v>64</v>
      </c>
      <c r="AJ74" s="40"/>
      <c r="AK74" s="40" t="str">
        <f t="array" ref="AK74">IFERROR(INDEX($AI$11:$AI$259,MATCH(0,IF(TRUE=$AF$11:$AF$259,COUNTIF($AK$10:$AK73,$AI$11:$AI$259),""),0)),"")</f>
        <v/>
      </c>
      <c r="AL74" s="40" t="str">
        <f t="array" ref="AL74">IFERROR(INDEX($AI$11:$AI$259,MATCH(0,IF(TRUE=$AG$11:$AG$259,COUNTIF($AL$10:$AL73,$AI$11:$AI$259),""),0)),"")</f>
        <v/>
      </c>
      <c r="AM74" s="40" t="str">
        <f t="array" ref="AM74">IFERROR(INDEX($AI$11:$AI$259,MATCH(0,IF(TRUE=$AH$11:$AH$259,COUNTIF($AM$10:$AM73,$AI$11:$AI$259),""),0)),"")</f>
        <v/>
      </c>
      <c r="AN74" s="40"/>
      <c r="AQ74" s="35">
        <f t="shared" si="6"/>
        <v>0</v>
      </c>
      <c r="AT74" s="885" t="str">
        <f>IF(AND(OR(Y74="Yes",Y74="Pending"),P74='G-1 All Habitats'!$X$3),Q74-U74-V74,"")</f>
        <v/>
      </c>
      <c r="AV74" s="542" t="str">
        <f>IFERROR(INDEX('G-1 All Habitats'!$B$3:$B$135,MATCH(F74,'G-1 All Habitats'!$A$3:$A$135,0)),"")</f>
        <v/>
      </c>
      <c r="AW74" s="35" t="str">
        <f>IF(AV74="","",VLOOKUP(AV74,'G-1 All Habitats'!$B$1:$T$135,19,FALSE))</f>
        <v/>
      </c>
    </row>
    <row r="75" spans="1:49" ht="14.5" hidden="1" thickBot="1">
      <c r="A75" s="35" t="str">
        <f>IFERROR(INDEX('G-1 All Habitats'!$AG$3:$AG$17,MATCH(E75,'G-1 All Habitats'!$AF$3:$AF$17,0)),"")</f>
        <v/>
      </c>
      <c r="B75" s="35" t="str">
        <f>IFERROR(INDEX('G-8 Condition Look up'!$I$4:$I$135,MATCH(AV75,'G-8 Condition Look up'!$A$4:$A$135,0)),"")</f>
        <v/>
      </c>
      <c r="D75" s="225">
        <v>65</v>
      </c>
      <c r="E75" s="211"/>
      <c r="F75" s="57"/>
      <c r="G75" s="263"/>
      <c r="H75" s="51"/>
      <c r="I75" s="275" t="str">
        <f>IF(AV75="","",IF(AND(AW75="Yes",G75="No"),"Irreplaceable habitat ▲",IF(AND(AW75="No",G75="Yes"),"Cannot be Irreplaceable ▲",VLOOKUP(AV75,'G-1 All Habitats'!$B$2:$M$135,10,FALSE))))</f>
        <v/>
      </c>
      <c r="J75" s="276" t="str">
        <f>IFERROR(VLOOKUP(I75,'G-1 All Habitats'!$V$3:$W$7,2,FALSE),"")</f>
        <v/>
      </c>
      <c r="K75" s="52"/>
      <c r="L75" s="276" t="str">
        <f>IFERROR(INDEX('G-8 Condition Look up'!$A$3:$H$135,MATCH(AV75,'G-8 Condition Look up'!$A$3:$A$135,0),MATCH(K75,'G-8 Condition Look up'!$A$3:$H$3,0)),"")</f>
        <v/>
      </c>
      <c r="M75" s="52"/>
      <c r="N75" s="295" t="str">
        <f>IF(M75="","",IF(VLOOKUP(M75,'G-3 Multipliers'!$L$3:$N$6,2,FALSE)=0,"Spatial Data Missing",VLOOKUP(M75,'G-3 Multipliers'!$L$3:$N$6,2,FALSE)))</f>
        <v/>
      </c>
      <c r="O75" s="281" t="str">
        <f>IF(M75="","",IF(VLOOKUP(M75,'G-3 Multipliers'!$L$3:$N$6,3,FALSE)=0,"Spatial Data Missing ▲",VLOOKUP(M75,'G-3 Multipliers'!$L$3:$N$6,3,FALSE)))</f>
        <v/>
      </c>
      <c r="P75" s="282" t="str">
        <f>(IF(G75="Yes","Bespoke compensation likely to be required",(IFERROR(VLOOKUP(AV75,'G-1 All Habitats'!$B$2:$M$135,12,FALSE),""))))</f>
        <v/>
      </c>
      <c r="Q75" s="289" t="str">
        <f>IFERROR(IF(AND(F75&lt;&gt;"",G75=""),"Confirm irreplaceable habitat status ▲",(IF(AND(E75="Individual trees",T75&gt;0,G75="Yes"),"Error - you cannot enhance irreplaceable individual trees ▲",(IF(AND(U75="Irreplaceable habitat - no units generated ⚠",(S75+T75)&lt;H75,OR(Y75="No",Y75="")),"Any Loss Unacceptable ⚠",(IF(U75="Irreplaceable habitat - no units generated ⚠",T75*J75*L75*O75,IF(AND(P75='G-1 All Habitats'!$X$9,AC75&gt;0,S75&lt;=0,T75&lt;=0,OR(Y75="No",Y75="")),"Any Loss Unacceptable ⚠",IF(AND(P75='G-1 All Habitats'!$X$9,AC75&gt;0,S75&lt;=0,T75&lt;=0,Y75="Yes"),0,(IF(AND(P75='G-1 All Habitats'!$X$9,(S75+T75)&lt;H75,OR(Y75="No",Y75="")),"Any Loss Unacceptable ⚠",(IF(P75="","",IF(AND(P75='G-1 All Habitats'!$X$9,T75&gt;0),U75+V75,IF(AND(P75='G-1 All Habitats'!$X$9,S75&gt;0),U75+V75,H75*J75*L75*O75))))))))))))))),"Check Data ▲")</f>
        <v/>
      </c>
      <c r="R75" s="38"/>
      <c r="S75" s="52"/>
      <c r="T75" s="53"/>
      <c r="U75" s="287" t="str">
        <f t="shared" si="0"/>
        <v/>
      </c>
      <c r="V75" s="287" t="str">
        <f t="shared" si="3"/>
        <v/>
      </c>
      <c r="W75" s="287" t="str">
        <f t="shared" si="4"/>
        <v/>
      </c>
      <c r="X75" s="291" t="str">
        <f>IFERROR(IF(H75="","",IF(H75-S75-T75=0&lt;0,"Error in Areas ▲",IF(S75+T75&gt;H75,"Error in Areas ▲",IF(AND(P75='G-1 All Habitats'!$X$9,Y75="Yes"),"Alternative Compensation ✓",IF(AND(P75='G-1 All Habitats'!$X$3,Y75="Yes"),"Alternative Compensation ✓",IF(AND(Y75="Pending",P75='G-1 All Habitats'!$X$3),"Bespoke compensation must be agreed ▲",IF(AND(Y75="Pending",P75='G-1 All Habitats'!$X$9),"Bespoke compensation must be agreed  ▲",IF(W75=0,0,IF(P75='G-1 All Habitats'!$X$9,"Any Loss Unacceptable ▲",Q75-U75-V75))))))))),"Check Data ▲")</f>
        <v/>
      </c>
      <c r="Y75" s="53"/>
      <c r="Z75" s="105"/>
      <c r="AA75" s="233"/>
      <c r="AB75" s="104"/>
      <c r="AC75" s="512" t="str">
        <f>IF(OR(P75="",Y75="Yes"),"",IF(P75='G-1 All Habitats'!$X$9,H75-S75-T75,"None"))</f>
        <v/>
      </c>
      <c r="AD75" s="513" t="str">
        <f>IF(P75="","",IF(P75='G-1 All Habitats'!$X$9,AC75*J75*L75*O75,"None"))</f>
        <v/>
      </c>
      <c r="AE75" s="35" t="str">
        <f t="shared" si="9" ref="AE75:AE138">IF(Y75="Yes","Yes ✓",IF(Y75="No","No ▲",""))</f>
        <v/>
      </c>
      <c r="AF75" s="40" t="str">
        <f t="shared" si="5"/>
        <v/>
      </c>
      <c r="AG75" s="40" t="str">
        <f t="shared" si="10" ref="AG75:AG138">IF(H75="","",IF(T75&gt;0,TRUE,FALSE))</f>
        <v/>
      </c>
      <c r="AH75" s="40" t="str">
        <f>IF(I75="","",IF(#REF!&gt;0,TRUE,FALSE))</f>
        <v/>
      </c>
      <c r="AI75" s="40">
        <v>65</v>
      </c>
      <c r="AJ75" s="40"/>
      <c r="AK75" s="40" t="str">
        <f t="array" ref="AK75">IFERROR(INDEX($AI$11:$AI$259,MATCH(0,IF(TRUE=$AF$11:$AF$259,COUNTIF($AK$10:$AK74,$AI$11:$AI$259),""),0)),"")</f>
        <v/>
      </c>
      <c r="AL75" s="40" t="str">
        <f t="array" ref="AL75">IFERROR(INDEX($AI$11:$AI$259,MATCH(0,IF(TRUE=$AG$11:$AG$259,COUNTIF($AL$10:$AL74,$AI$11:$AI$259),""),0)),"")</f>
        <v/>
      </c>
      <c r="AM75" s="40" t="str">
        <f t="array" ref="AM75">IFERROR(INDEX($AI$11:$AI$259,MATCH(0,IF(TRUE=$AH$11:$AH$259,COUNTIF($AM$10:$AM74,$AI$11:$AI$259),""),0)),"")</f>
        <v/>
      </c>
      <c r="AN75" s="40"/>
      <c r="AQ75" s="35">
        <f t="shared" si="6"/>
        <v>0</v>
      </c>
      <c r="AT75" s="885" t="str">
        <f>IF(AND(OR(Y75="Yes",Y75="Pending"),P75='G-1 All Habitats'!$X$3),Q75-U75-V75,"")</f>
        <v/>
      </c>
      <c r="AV75" s="542" t="str">
        <f>IFERROR(INDEX('G-1 All Habitats'!$B$3:$B$135,MATCH(F75,'G-1 All Habitats'!$A$3:$A$135,0)),"")</f>
        <v/>
      </c>
      <c r="AW75" s="35" t="str">
        <f>IF(AV75="","",VLOOKUP(AV75,'G-1 All Habitats'!$B$1:$T$135,19,FALSE))</f>
        <v/>
      </c>
    </row>
    <row r="76" spans="1:49" ht="14.5" hidden="1" thickBot="1">
      <c r="A76" s="35" t="str">
        <f>IFERROR(INDEX('G-1 All Habitats'!$AG$3:$AG$17,MATCH(E76,'G-1 All Habitats'!$AF$3:$AF$17,0)),"")</f>
        <v/>
      </c>
      <c r="B76" s="35" t="str">
        <f>IFERROR(INDEX('G-8 Condition Look up'!$I$4:$I$135,MATCH(AV76,'G-8 Condition Look up'!$A$4:$A$135,0)),"")</f>
        <v/>
      </c>
      <c r="D76" s="225">
        <v>66</v>
      </c>
      <c r="E76" s="211"/>
      <c r="F76" s="57"/>
      <c r="G76" s="263"/>
      <c r="H76" s="51"/>
      <c r="I76" s="275" t="str">
        <f>IF(AV76="","",IF(AND(AW76="Yes",G76="No"),"Irreplaceable habitat ▲",IF(AND(AW76="No",G76="Yes"),"Cannot be Irreplaceable ▲",VLOOKUP(AV76,'G-1 All Habitats'!$B$2:$M$135,10,FALSE))))</f>
        <v/>
      </c>
      <c r="J76" s="276" t="str">
        <f>IFERROR(VLOOKUP(I76,'G-1 All Habitats'!$V$3:$W$7,2,FALSE),"")</f>
        <v/>
      </c>
      <c r="K76" s="52"/>
      <c r="L76" s="276" t="str">
        <f>IFERROR(INDEX('G-8 Condition Look up'!$A$3:$H$135,MATCH(AV76,'G-8 Condition Look up'!$A$3:$A$135,0),MATCH(K76,'G-8 Condition Look up'!$A$3:$H$3,0)),"")</f>
        <v/>
      </c>
      <c r="M76" s="52"/>
      <c r="N76" s="295" t="str">
        <f>IF(M76="","",IF(VLOOKUP(M76,'G-3 Multipliers'!$L$3:$N$6,2,FALSE)=0,"Spatial Data Missing",VLOOKUP(M76,'G-3 Multipliers'!$L$3:$N$6,2,FALSE)))</f>
        <v/>
      </c>
      <c r="O76" s="281" t="str">
        <f>IF(M76="","",IF(VLOOKUP(M76,'G-3 Multipliers'!$L$3:$N$6,3,FALSE)=0,"Spatial Data Missing ▲",VLOOKUP(M76,'G-3 Multipliers'!$L$3:$N$6,3,FALSE)))</f>
        <v/>
      </c>
      <c r="P76" s="282" t="str">
        <f>(IF(G76="Yes","Bespoke compensation likely to be required",(IFERROR(VLOOKUP(AV76,'G-1 All Habitats'!$B$2:$M$135,12,FALSE),""))))</f>
        <v/>
      </c>
      <c r="Q76" s="289" t="str">
        <f>IFERROR(IF(AND(F76&lt;&gt;"",G76=""),"Confirm irreplaceable habitat status ▲",(IF(AND(E76="Individual trees",T76&gt;0,G76="Yes"),"Error - you cannot enhance irreplaceable individual trees ▲",(IF(AND(U76="Irreplaceable habitat - no units generated ⚠",(S76+T76)&lt;H76,OR(Y76="No",Y76="")),"Any Loss Unacceptable ⚠",(IF(U76="Irreplaceable habitat - no units generated ⚠",T76*J76*L76*O76,IF(AND(P76='G-1 All Habitats'!$X$9,AC76&gt;0,S76&lt;=0,T76&lt;=0,OR(Y76="No",Y76="")),"Any Loss Unacceptable ⚠",IF(AND(P76='G-1 All Habitats'!$X$9,AC76&gt;0,S76&lt;=0,T76&lt;=0,Y76="Yes"),0,(IF(AND(P76='G-1 All Habitats'!$X$9,(S76+T76)&lt;H76,OR(Y76="No",Y76="")),"Any Loss Unacceptable ⚠",(IF(P76="","",IF(AND(P76='G-1 All Habitats'!$X$9,T76&gt;0),U76+V76,IF(AND(P76='G-1 All Habitats'!$X$9,S76&gt;0),U76+V76,H76*J76*L76*O76))))))))))))))),"Check Data ▲")</f>
        <v/>
      </c>
      <c r="R76" s="38"/>
      <c r="S76" s="52"/>
      <c r="T76" s="53"/>
      <c r="U76" s="287" t="str">
        <f t="shared" si="11" ref="U76:U139">IFERROR(IF(G76="Yes","Irreplaceable habitat - no units generated ⚠",(S76*J76*L76*O76)),"")</f>
        <v/>
      </c>
      <c r="V76" s="287" t="str">
        <f t="shared" si="12" ref="V76:V139">IFERROR(IF(AND(E76="Individual trees",T76&gt;0,G76="Yes"),"Error - ▲",(T76*J76*L76*O76)),"")</f>
        <v/>
      </c>
      <c r="W76" s="287" t="str">
        <f t="shared" si="13" ref="W76:W139">IF(E76="","",IF(H76&lt;S76+T76,"Error in Areas ▲",H76-S76-T76))</f>
        <v/>
      </c>
      <c r="X76" s="291" t="str">
        <f>IFERROR(IF(H76="","",IF(H76-S76-T76=0&lt;0,"Error in Areas ▲",IF(S76+T76&gt;H76,"Error in Areas ▲",IF(AND(P76='G-1 All Habitats'!$X$9,Y76="Yes"),"Alternative Compensation ✓",IF(AND(P76='G-1 All Habitats'!$X$3,Y76="Yes"),"Alternative Compensation ✓",IF(AND(Y76="Pending",P76='G-1 All Habitats'!$X$3),"Bespoke compensation must be agreed ▲",IF(AND(Y76="Pending",P76='G-1 All Habitats'!$X$9),"Bespoke compensation must be agreed  ▲",IF(W76=0,0,IF(P76='G-1 All Habitats'!$X$9,"Any Loss Unacceptable ▲",Q76-U76-V76))))))))),"Check Data ▲")</f>
        <v/>
      </c>
      <c r="Y76" s="53"/>
      <c r="Z76" s="105"/>
      <c r="AA76" s="233"/>
      <c r="AB76" s="104"/>
      <c r="AC76" s="512" t="str">
        <f>IF(OR(P76="",Y76="Yes"),"",IF(P76='G-1 All Habitats'!$X$9,H76-S76-T76,"None"))</f>
        <v/>
      </c>
      <c r="AD76" s="513" t="str">
        <f>IF(P76="","",IF(P76='G-1 All Habitats'!$X$9,AC76*J76*L76*O76,"None"))</f>
        <v/>
      </c>
      <c r="AE76" s="35" t="str">
        <f t="shared" si="9"/>
        <v/>
      </c>
      <c r="AF76" s="40" t="str">
        <f t="shared" si="14" ref="AF76:AF139">IF(AV76="","",IF(S76&gt;0,TRUE,FALSE))</f>
        <v/>
      </c>
      <c r="AG76" s="40" t="str">
        <f t="shared" si="10"/>
        <v/>
      </c>
      <c r="AH76" s="40" t="str">
        <f>IF(I76="","",IF(#REF!&gt;0,TRUE,FALSE))</f>
        <v/>
      </c>
      <c r="AI76" s="40">
        <v>66</v>
      </c>
      <c r="AJ76" s="40"/>
      <c r="AK76" s="40" t="str">
        <f t="array" ref="AK76">IFERROR(INDEX($AI$11:$AI$259,MATCH(0,IF(TRUE=$AF$11:$AF$259,COUNTIF($AK$10:$AK75,$AI$11:$AI$259),""),0)),"")</f>
        <v/>
      </c>
      <c r="AL76" s="40" t="str">
        <f t="array" ref="AL76">IFERROR(INDEX($AI$11:$AI$259,MATCH(0,IF(TRUE=$AG$11:$AG$259,COUNTIF($AL$10:$AL75,$AI$11:$AI$259),""),0)),"")</f>
        <v/>
      </c>
      <c r="AM76" s="40" t="str">
        <f t="array" ref="AM76">IFERROR(INDEX($AI$11:$AI$259,MATCH(0,IF(TRUE=$AH$11:$AH$259,COUNTIF($AM$10:$AM75,$AI$11:$AI$259),""),0)),"")</f>
        <v/>
      </c>
      <c r="AN76" s="40"/>
      <c r="AQ76" s="35">
        <f t="shared" si="15" ref="AQ76:AQ139">IF(X76="Any Loss Unacceptable ▲",1,0)</f>
        <v>0</v>
      </c>
      <c r="AT76" s="885" t="str">
        <f>IF(AND(OR(Y76="Yes",Y76="Pending"),P76='G-1 All Habitats'!$X$3),Q76-U76-V76,"")</f>
        <v/>
      </c>
      <c r="AV76" s="542" t="str">
        <f>IFERROR(INDEX('G-1 All Habitats'!$B$3:$B$135,MATCH(F76,'G-1 All Habitats'!$A$3:$A$135,0)),"")</f>
        <v/>
      </c>
      <c r="AW76" s="35" t="str">
        <f>IF(AV76="","",VLOOKUP(AV76,'G-1 All Habitats'!$B$1:$T$135,19,FALSE))</f>
        <v/>
      </c>
    </row>
    <row r="77" spans="1:49" ht="14.5" hidden="1" thickBot="1">
      <c r="A77" s="35" t="str">
        <f>IFERROR(INDEX('G-1 All Habitats'!$AG$3:$AG$17,MATCH(E77,'G-1 All Habitats'!$AF$3:$AF$17,0)),"")</f>
        <v/>
      </c>
      <c r="B77" s="35" t="str">
        <f>IFERROR(INDEX('G-8 Condition Look up'!$I$4:$I$135,MATCH(AV77,'G-8 Condition Look up'!$A$4:$A$135,0)),"")</f>
        <v/>
      </c>
      <c r="D77" s="225">
        <v>67</v>
      </c>
      <c r="E77" s="211"/>
      <c r="F77" s="57"/>
      <c r="G77" s="263"/>
      <c r="H77" s="51"/>
      <c r="I77" s="275" t="str">
        <f>IF(AV77="","",IF(AND(AW77="Yes",G77="No"),"Irreplaceable habitat ▲",IF(AND(AW77="No",G77="Yes"),"Cannot be Irreplaceable ▲",VLOOKUP(AV77,'G-1 All Habitats'!$B$2:$M$135,10,FALSE))))</f>
        <v/>
      </c>
      <c r="J77" s="276" t="str">
        <f>IFERROR(VLOOKUP(I77,'G-1 All Habitats'!$V$3:$W$7,2,FALSE),"")</f>
        <v/>
      </c>
      <c r="K77" s="52"/>
      <c r="L77" s="276" t="str">
        <f>IFERROR(INDEX('G-8 Condition Look up'!$A$3:$H$135,MATCH(AV77,'G-8 Condition Look up'!$A$3:$A$135,0),MATCH(K77,'G-8 Condition Look up'!$A$3:$H$3,0)),"")</f>
        <v/>
      </c>
      <c r="M77" s="52"/>
      <c r="N77" s="295" t="str">
        <f>IF(M77="","",IF(VLOOKUP(M77,'G-3 Multipliers'!$L$3:$N$6,2,FALSE)=0,"Spatial Data Missing",VLOOKUP(M77,'G-3 Multipliers'!$L$3:$N$6,2,FALSE)))</f>
        <v/>
      </c>
      <c r="O77" s="281" t="str">
        <f>IF(M77="","",IF(VLOOKUP(M77,'G-3 Multipliers'!$L$3:$N$6,3,FALSE)=0,"Spatial Data Missing ▲",VLOOKUP(M77,'G-3 Multipliers'!$L$3:$N$6,3,FALSE)))</f>
        <v/>
      </c>
      <c r="P77" s="282" t="str">
        <f>(IF(G77="Yes","Bespoke compensation likely to be required",(IFERROR(VLOOKUP(AV77,'G-1 All Habitats'!$B$2:$M$135,12,FALSE),""))))</f>
        <v/>
      </c>
      <c r="Q77" s="289" t="str">
        <f>IFERROR(IF(AND(F77&lt;&gt;"",G77=""),"Confirm irreplaceable habitat status ▲",(IF(AND(E77="Individual trees",T77&gt;0,G77="Yes"),"Error - you cannot enhance irreplaceable individual trees ▲",(IF(AND(U77="Irreplaceable habitat - no units generated ⚠",(S77+T77)&lt;H77,OR(Y77="No",Y77="")),"Any Loss Unacceptable ⚠",(IF(U77="Irreplaceable habitat - no units generated ⚠",T77*J77*L77*O77,IF(AND(P77='G-1 All Habitats'!$X$9,AC77&gt;0,S77&lt;=0,T77&lt;=0,OR(Y77="No",Y77="")),"Any Loss Unacceptable ⚠",IF(AND(P77='G-1 All Habitats'!$X$9,AC77&gt;0,S77&lt;=0,T77&lt;=0,Y77="Yes"),0,(IF(AND(P77='G-1 All Habitats'!$X$9,(S77+T77)&lt;H77,OR(Y77="No",Y77="")),"Any Loss Unacceptable ⚠",(IF(P77="","",IF(AND(P77='G-1 All Habitats'!$X$9,T77&gt;0),U77+V77,IF(AND(P77='G-1 All Habitats'!$X$9,S77&gt;0),U77+V77,H77*J77*L77*O77))))))))))))))),"Check Data ▲")</f>
        <v/>
      </c>
      <c r="R77" s="38"/>
      <c r="S77" s="52"/>
      <c r="T77" s="53"/>
      <c r="U77" s="287" t="str">
        <f t="shared" si="11"/>
        <v/>
      </c>
      <c r="V77" s="287" t="str">
        <f t="shared" si="12"/>
        <v/>
      </c>
      <c r="W77" s="287" t="str">
        <f t="shared" si="13"/>
        <v/>
      </c>
      <c r="X77" s="291" t="str">
        <f>IFERROR(IF(H77="","",IF(H77-S77-T77=0&lt;0,"Error in Areas ▲",IF(S77+T77&gt;H77,"Error in Areas ▲",IF(AND(P77='G-1 All Habitats'!$X$9,Y77="Yes"),"Alternative Compensation ✓",IF(AND(P77='G-1 All Habitats'!$X$3,Y77="Yes"),"Alternative Compensation ✓",IF(AND(Y77="Pending",P77='G-1 All Habitats'!$X$3),"Bespoke compensation must be agreed ▲",IF(AND(Y77="Pending",P77='G-1 All Habitats'!$X$9),"Bespoke compensation must be agreed  ▲",IF(W77=0,0,IF(P77='G-1 All Habitats'!$X$9,"Any Loss Unacceptable ▲",Q77-U77-V77))))))))),"Check Data ▲")</f>
        <v/>
      </c>
      <c r="Y77" s="53"/>
      <c r="Z77" s="105"/>
      <c r="AA77" s="233"/>
      <c r="AB77" s="104"/>
      <c r="AC77" s="512" t="str">
        <f>IF(OR(P77="",Y77="Yes"),"",IF(P77='G-1 All Habitats'!$X$9,H77-S77-T77,"None"))</f>
        <v/>
      </c>
      <c r="AD77" s="513" t="str">
        <f>IF(P77="","",IF(P77='G-1 All Habitats'!$X$9,AC77*J77*L77*O77,"None"))</f>
        <v/>
      </c>
      <c r="AE77" s="35" t="str">
        <f t="shared" si="9"/>
        <v/>
      </c>
      <c r="AF77" s="40" t="str">
        <f t="shared" si="14"/>
        <v/>
      </c>
      <c r="AG77" s="40" t="str">
        <f t="shared" si="10"/>
        <v/>
      </c>
      <c r="AH77" s="40" t="str">
        <f>IF(I77="","",IF(#REF!&gt;0,TRUE,FALSE))</f>
        <v/>
      </c>
      <c r="AI77" s="40">
        <v>67</v>
      </c>
      <c r="AJ77" s="40"/>
      <c r="AK77" s="40" t="str">
        <f t="array" ref="AK77">IFERROR(INDEX($AI$11:$AI$259,MATCH(0,IF(TRUE=$AF$11:$AF$259,COUNTIF($AK$10:$AK76,$AI$11:$AI$259),""),0)),"")</f>
        <v/>
      </c>
      <c r="AL77" s="40" t="str">
        <f t="array" ref="AL77">IFERROR(INDEX($AI$11:$AI$259,MATCH(0,IF(TRUE=$AG$11:$AG$259,COUNTIF($AL$10:$AL76,$AI$11:$AI$259),""),0)),"")</f>
        <v/>
      </c>
      <c r="AM77" s="40" t="str">
        <f t="array" ref="AM77">IFERROR(INDEX($AI$11:$AI$259,MATCH(0,IF(TRUE=$AH$11:$AH$259,COUNTIF($AM$10:$AM76,$AI$11:$AI$259),""),0)),"")</f>
        <v/>
      </c>
      <c r="AN77" s="40"/>
      <c r="AQ77" s="35">
        <f t="shared" si="15"/>
        <v>0</v>
      </c>
      <c r="AT77" s="885" t="str">
        <f>IF(AND(OR(Y77="Yes",Y77="Pending"),P77='G-1 All Habitats'!$X$3),Q77-U77-V77,"")</f>
        <v/>
      </c>
      <c r="AV77" s="542" t="str">
        <f>IFERROR(INDEX('G-1 All Habitats'!$B$3:$B$135,MATCH(F77,'G-1 All Habitats'!$A$3:$A$135,0)),"")</f>
        <v/>
      </c>
      <c r="AW77" s="35" t="str">
        <f>IF(AV77="","",VLOOKUP(AV77,'G-1 All Habitats'!$B$1:$T$135,19,FALSE))</f>
        <v/>
      </c>
    </row>
    <row r="78" spans="1:49" ht="14.5" hidden="1" thickBot="1">
      <c r="A78" s="35" t="str">
        <f>IFERROR(INDEX('G-1 All Habitats'!$AG$3:$AG$17,MATCH(E78,'G-1 All Habitats'!$AF$3:$AF$17,0)),"")</f>
        <v/>
      </c>
      <c r="B78" s="35" t="str">
        <f>IFERROR(INDEX('G-8 Condition Look up'!$I$4:$I$135,MATCH(AV78,'G-8 Condition Look up'!$A$4:$A$135,0)),"")</f>
        <v/>
      </c>
      <c r="D78" s="225">
        <v>68</v>
      </c>
      <c r="E78" s="211"/>
      <c r="F78" s="57"/>
      <c r="G78" s="263"/>
      <c r="H78" s="51"/>
      <c r="I78" s="275" t="str">
        <f>IF(AV78="","",IF(AND(AW78="Yes",G78="No"),"Irreplaceable habitat ▲",IF(AND(AW78="No",G78="Yes"),"Cannot be Irreplaceable ▲",VLOOKUP(AV78,'G-1 All Habitats'!$B$2:$M$135,10,FALSE))))</f>
        <v/>
      </c>
      <c r="J78" s="276" t="str">
        <f>IFERROR(VLOOKUP(I78,'G-1 All Habitats'!$V$3:$W$7,2,FALSE),"")</f>
        <v/>
      </c>
      <c r="K78" s="52"/>
      <c r="L78" s="276" t="str">
        <f>IFERROR(INDEX('G-8 Condition Look up'!$A$3:$H$135,MATCH(AV78,'G-8 Condition Look up'!$A$3:$A$135,0),MATCH(K78,'G-8 Condition Look up'!$A$3:$H$3,0)),"")</f>
        <v/>
      </c>
      <c r="M78" s="52"/>
      <c r="N78" s="295" t="str">
        <f>IF(M78="","",IF(VLOOKUP(M78,'G-3 Multipliers'!$L$3:$N$6,2,FALSE)=0,"Spatial Data Missing",VLOOKUP(M78,'G-3 Multipliers'!$L$3:$N$6,2,FALSE)))</f>
        <v/>
      </c>
      <c r="O78" s="281" t="str">
        <f>IF(M78="","",IF(VLOOKUP(M78,'G-3 Multipliers'!$L$3:$N$6,3,FALSE)=0,"Spatial Data Missing ▲",VLOOKUP(M78,'G-3 Multipliers'!$L$3:$N$6,3,FALSE)))</f>
        <v/>
      </c>
      <c r="P78" s="282" t="str">
        <f>(IF(G78="Yes","Bespoke compensation likely to be required",(IFERROR(VLOOKUP(AV78,'G-1 All Habitats'!$B$2:$M$135,12,FALSE),""))))</f>
        <v/>
      </c>
      <c r="Q78" s="289" t="str">
        <f>IFERROR(IF(AND(F78&lt;&gt;"",G78=""),"Confirm irreplaceable habitat status ▲",(IF(AND(E78="Individual trees",T78&gt;0,G78="Yes"),"Error - you cannot enhance irreplaceable individual trees ▲",(IF(AND(U78="Irreplaceable habitat - no units generated ⚠",(S78+T78)&lt;H78,OR(Y78="No",Y78="")),"Any Loss Unacceptable ⚠",(IF(U78="Irreplaceable habitat - no units generated ⚠",T78*J78*L78*O78,IF(AND(P78='G-1 All Habitats'!$X$9,AC78&gt;0,S78&lt;=0,T78&lt;=0,OR(Y78="No",Y78="")),"Any Loss Unacceptable ⚠",IF(AND(P78='G-1 All Habitats'!$X$9,AC78&gt;0,S78&lt;=0,T78&lt;=0,Y78="Yes"),0,(IF(AND(P78='G-1 All Habitats'!$X$9,(S78+T78)&lt;H78,OR(Y78="No",Y78="")),"Any Loss Unacceptable ⚠",(IF(P78="","",IF(AND(P78='G-1 All Habitats'!$X$9,T78&gt;0),U78+V78,IF(AND(P78='G-1 All Habitats'!$X$9,S78&gt;0),U78+V78,H78*J78*L78*O78))))))))))))))),"Check Data ▲")</f>
        <v/>
      </c>
      <c r="R78" s="38"/>
      <c r="S78" s="52"/>
      <c r="T78" s="53"/>
      <c r="U78" s="287" t="str">
        <f t="shared" si="11"/>
        <v/>
      </c>
      <c r="V78" s="287" t="str">
        <f t="shared" si="12"/>
        <v/>
      </c>
      <c r="W78" s="287" t="str">
        <f t="shared" si="13"/>
        <v/>
      </c>
      <c r="X78" s="291" t="str">
        <f>IFERROR(IF(H78="","",IF(H78-S78-T78=0&lt;0,"Error in Areas ▲",IF(S78+T78&gt;H78,"Error in Areas ▲",IF(AND(P78='G-1 All Habitats'!$X$9,Y78="Yes"),"Alternative Compensation ✓",IF(AND(P78='G-1 All Habitats'!$X$3,Y78="Yes"),"Alternative Compensation ✓",IF(AND(Y78="Pending",P78='G-1 All Habitats'!$X$3),"Bespoke compensation must be agreed ▲",IF(AND(Y78="Pending",P78='G-1 All Habitats'!$X$9),"Bespoke compensation must be agreed  ▲",IF(W78=0,0,IF(P78='G-1 All Habitats'!$X$9,"Any Loss Unacceptable ▲",Q78-U78-V78))))))))),"Check Data ▲")</f>
        <v/>
      </c>
      <c r="Y78" s="53"/>
      <c r="Z78" s="105"/>
      <c r="AA78" s="233"/>
      <c r="AB78" s="104"/>
      <c r="AC78" s="512" t="str">
        <f>IF(OR(P78="",Y78="Yes"),"",IF(P78='G-1 All Habitats'!$X$9,H78-S78-T78,"None"))</f>
        <v/>
      </c>
      <c r="AD78" s="513" t="str">
        <f>IF(P78="","",IF(P78='G-1 All Habitats'!$X$9,AC78*J78*L78*O78,"None"))</f>
        <v/>
      </c>
      <c r="AE78" s="35" t="str">
        <f t="shared" si="9"/>
        <v/>
      </c>
      <c r="AF78" s="40" t="str">
        <f t="shared" si="14"/>
        <v/>
      </c>
      <c r="AG78" s="40" t="str">
        <f t="shared" si="10"/>
        <v/>
      </c>
      <c r="AH78" s="40" t="str">
        <f>IF(I78="","",IF(#REF!&gt;0,TRUE,FALSE))</f>
        <v/>
      </c>
      <c r="AI78" s="40">
        <v>68</v>
      </c>
      <c r="AJ78" s="40"/>
      <c r="AK78" s="40" t="str">
        <f t="array" ref="AK78">IFERROR(INDEX($AI$11:$AI$259,MATCH(0,IF(TRUE=$AF$11:$AF$259,COUNTIF($AK$10:$AK77,$AI$11:$AI$259),""),0)),"")</f>
        <v/>
      </c>
      <c r="AL78" s="40" t="str">
        <f t="array" ref="AL78">IFERROR(INDEX($AI$11:$AI$259,MATCH(0,IF(TRUE=$AG$11:$AG$259,COUNTIF($AL$10:$AL77,$AI$11:$AI$259),""),0)),"")</f>
        <v/>
      </c>
      <c r="AM78" s="40" t="str">
        <f t="array" ref="AM78">IFERROR(INDEX($AI$11:$AI$259,MATCH(0,IF(TRUE=$AH$11:$AH$259,COUNTIF($AM$10:$AM77,$AI$11:$AI$259),""),0)),"")</f>
        <v/>
      </c>
      <c r="AN78" s="40"/>
      <c r="AQ78" s="35">
        <f t="shared" si="15"/>
        <v>0</v>
      </c>
      <c r="AT78" s="885" t="str">
        <f>IF(AND(OR(Y78="Yes",Y78="Pending"),P78='G-1 All Habitats'!$X$3),Q78-U78-V78,"")</f>
        <v/>
      </c>
      <c r="AV78" s="542" t="str">
        <f>IFERROR(INDEX('G-1 All Habitats'!$B$3:$B$135,MATCH(F78,'G-1 All Habitats'!$A$3:$A$135,0)),"")</f>
        <v/>
      </c>
      <c r="AW78" s="35" t="str">
        <f>IF(AV78="","",VLOOKUP(AV78,'G-1 All Habitats'!$B$1:$T$135,19,FALSE))</f>
        <v/>
      </c>
    </row>
    <row r="79" spans="1:49" ht="14.5" hidden="1" thickBot="1">
      <c r="A79" s="35" t="str">
        <f>IFERROR(INDEX('G-1 All Habitats'!$AG$3:$AG$17,MATCH(E79,'G-1 All Habitats'!$AF$3:$AF$17,0)),"")</f>
        <v/>
      </c>
      <c r="B79" s="35" t="str">
        <f>IFERROR(INDEX('G-8 Condition Look up'!$I$4:$I$135,MATCH(AV79,'G-8 Condition Look up'!$A$4:$A$135,0)),"")</f>
        <v/>
      </c>
      <c r="D79" s="225">
        <v>69</v>
      </c>
      <c r="E79" s="211"/>
      <c r="F79" s="57"/>
      <c r="G79" s="263"/>
      <c r="H79" s="51"/>
      <c r="I79" s="275" t="str">
        <f>IF(AV79="","",IF(AND(AW79="Yes",G79="No"),"Irreplaceable habitat ▲",IF(AND(AW79="No",G79="Yes"),"Cannot be Irreplaceable ▲",VLOOKUP(AV79,'G-1 All Habitats'!$B$2:$M$135,10,FALSE))))</f>
        <v/>
      </c>
      <c r="J79" s="276" t="str">
        <f>IFERROR(VLOOKUP(I79,'G-1 All Habitats'!$V$3:$W$7,2,FALSE),"")</f>
        <v/>
      </c>
      <c r="K79" s="52"/>
      <c r="L79" s="276" t="str">
        <f>IFERROR(INDEX('G-8 Condition Look up'!$A$3:$H$135,MATCH(AV79,'G-8 Condition Look up'!$A$3:$A$135,0),MATCH(K79,'G-8 Condition Look up'!$A$3:$H$3,0)),"")</f>
        <v/>
      </c>
      <c r="M79" s="52"/>
      <c r="N79" s="295" t="str">
        <f>IF(M79="","",IF(VLOOKUP(M79,'G-3 Multipliers'!$L$3:$N$6,2,FALSE)=0,"Spatial Data Missing",VLOOKUP(M79,'G-3 Multipliers'!$L$3:$N$6,2,FALSE)))</f>
        <v/>
      </c>
      <c r="O79" s="281" t="str">
        <f>IF(M79="","",IF(VLOOKUP(M79,'G-3 Multipliers'!$L$3:$N$6,3,FALSE)=0,"Spatial Data Missing ▲",VLOOKUP(M79,'G-3 Multipliers'!$L$3:$N$6,3,FALSE)))</f>
        <v/>
      </c>
      <c r="P79" s="282" t="str">
        <f>(IF(G79="Yes","Bespoke compensation likely to be required",(IFERROR(VLOOKUP(AV79,'G-1 All Habitats'!$B$2:$M$135,12,FALSE),""))))</f>
        <v/>
      </c>
      <c r="Q79" s="289" t="str">
        <f>IFERROR(IF(AND(F79&lt;&gt;"",G79=""),"Confirm irreplaceable habitat status ▲",(IF(AND(E79="Individual trees",T79&gt;0,G79="Yes"),"Error - you cannot enhance irreplaceable individual trees ▲",(IF(AND(U79="Irreplaceable habitat - no units generated ⚠",(S79+T79)&lt;H79,OR(Y79="No",Y79="")),"Any Loss Unacceptable ⚠",(IF(U79="Irreplaceable habitat - no units generated ⚠",T79*J79*L79*O79,IF(AND(P79='G-1 All Habitats'!$X$9,AC79&gt;0,S79&lt;=0,T79&lt;=0,OR(Y79="No",Y79="")),"Any Loss Unacceptable ⚠",IF(AND(P79='G-1 All Habitats'!$X$9,AC79&gt;0,S79&lt;=0,T79&lt;=0,Y79="Yes"),0,(IF(AND(P79='G-1 All Habitats'!$X$9,(S79+T79)&lt;H79,OR(Y79="No",Y79="")),"Any Loss Unacceptable ⚠",(IF(P79="","",IF(AND(P79='G-1 All Habitats'!$X$9,T79&gt;0),U79+V79,IF(AND(P79='G-1 All Habitats'!$X$9,S79&gt;0),U79+V79,H79*J79*L79*O79))))))))))))))),"Check Data ▲")</f>
        <v/>
      </c>
      <c r="R79" s="38"/>
      <c r="S79" s="52"/>
      <c r="T79" s="53"/>
      <c r="U79" s="287" t="str">
        <f t="shared" si="11"/>
        <v/>
      </c>
      <c r="V79" s="287" t="str">
        <f t="shared" si="12"/>
        <v/>
      </c>
      <c r="W79" s="287" t="str">
        <f t="shared" si="13"/>
        <v/>
      </c>
      <c r="X79" s="291" t="str">
        <f>IFERROR(IF(H79="","",IF(H79-S79-T79=0&lt;0,"Error in Areas ▲",IF(S79+T79&gt;H79,"Error in Areas ▲",IF(AND(P79='G-1 All Habitats'!$X$9,Y79="Yes"),"Alternative Compensation ✓",IF(AND(P79='G-1 All Habitats'!$X$3,Y79="Yes"),"Alternative Compensation ✓",IF(AND(Y79="Pending",P79='G-1 All Habitats'!$X$3),"Bespoke compensation must be agreed ▲",IF(AND(Y79="Pending",P79='G-1 All Habitats'!$X$9),"Bespoke compensation must be agreed  ▲",IF(W79=0,0,IF(P79='G-1 All Habitats'!$X$9,"Any Loss Unacceptable ▲",Q79-U79-V79))))))))),"Check Data ▲")</f>
        <v/>
      </c>
      <c r="Y79" s="53"/>
      <c r="Z79" s="105"/>
      <c r="AA79" s="233"/>
      <c r="AB79" s="104"/>
      <c r="AC79" s="512" t="str">
        <f>IF(OR(P79="",Y79="Yes"),"",IF(P79='G-1 All Habitats'!$X$9,H79-S79-T79,"None"))</f>
        <v/>
      </c>
      <c r="AD79" s="513" t="str">
        <f>IF(P79="","",IF(P79='G-1 All Habitats'!$X$9,AC79*J79*L79*O79,"None"))</f>
        <v/>
      </c>
      <c r="AE79" s="35" t="str">
        <f t="shared" si="9"/>
        <v/>
      </c>
      <c r="AF79" s="40" t="str">
        <f t="shared" si="14"/>
        <v/>
      </c>
      <c r="AG79" s="40" t="str">
        <f t="shared" si="10"/>
        <v/>
      </c>
      <c r="AH79" s="40" t="str">
        <f>IF(I79="","",IF(#REF!&gt;0,TRUE,FALSE))</f>
        <v/>
      </c>
      <c r="AI79" s="40">
        <v>69</v>
      </c>
      <c r="AJ79" s="40"/>
      <c r="AK79" s="40" t="str">
        <f t="array" ref="AK79">IFERROR(INDEX($AI$11:$AI$259,MATCH(0,IF(TRUE=$AF$11:$AF$259,COUNTIF($AK$10:$AK78,$AI$11:$AI$259),""),0)),"")</f>
        <v/>
      </c>
      <c r="AL79" s="40" t="str">
        <f t="array" ref="AL79">IFERROR(INDEX($AI$11:$AI$259,MATCH(0,IF(TRUE=$AG$11:$AG$259,COUNTIF($AL$10:$AL78,$AI$11:$AI$259),""),0)),"")</f>
        <v/>
      </c>
      <c r="AM79" s="40" t="str">
        <f t="array" ref="AM79">IFERROR(INDEX($AI$11:$AI$259,MATCH(0,IF(TRUE=$AH$11:$AH$259,COUNTIF($AM$10:$AM78,$AI$11:$AI$259),""),0)),"")</f>
        <v/>
      </c>
      <c r="AN79" s="40"/>
      <c r="AQ79" s="35">
        <f t="shared" si="15"/>
        <v>0</v>
      </c>
      <c r="AT79" s="885" t="str">
        <f>IF(AND(OR(Y79="Yes",Y79="Pending"),P79='G-1 All Habitats'!$X$3),Q79-U79-V79,"")</f>
        <v/>
      </c>
      <c r="AV79" s="542" t="str">
        <f>IFERROR(INDEX('G-1 All Habitats'!$B$3:$B$135,MATCH(F79,'G-1 All Habitats'!$A$3:$A$135,0)),"")</f>
        <v/>
      </c>
      <c r="AW79" s="35" t="str">
        <f>IF(AV79="","",VLOOKUP(AV79,'G-1 All Habitats'!$B$1:$T$135,19,FALSE))</f>
        <v/>
      </c>
    </row>
    <row r="80" spans="1:49" ht="14.5" hidden="1" thickBot="1">
      <c r="A80" s="35" t="str">
        <f>IFERROR(INDEX('G-1 All Habitats'!$AG$3:$AG$17,MATCH(E80,'G-1 All Habitats'!$AF$3:$AF$17,0)),"")</f>
        <v/>
      </c>
      <c r="B80" s="35" t="str">
        <f>IFERROR(INDEX('G-8 Condition Look up'!$I$4:$I$135,MATCH(AV80,'G-8 Condition Look up'!$A$4:$A$135,0)),"")</f>
        <v/>
      </c>
      <c r="D80" s="225">
        <v>70</v>
      </c>
      <c r="E80" s="211"/>
      <c r="F80" s="57"/>
      <c r="G80" s="263"/>
      <c r="H80" s="51"/>
      <c r="I80" s="275" t="str">
        <f>IF(AV80="","",IF(AND(AW80="Yes",G80="No"),"Irreplaceable habitat ▲",IF(AND(AW80="No",G80="Yes"),"Cannot be Irreplaceable ▲",VLOOKUP(AV80,'G-1 All Habitats'!$B$2:$M$135,10,FALSE))))</f>
        <v/>
      </c>
      <c r="J80" s="276" t="str">
        <f>IFERROR(VLOOKUP(I80,'G-1 All Habitats'!$V$3:$W$7,2,FALSE),"")</f>
        <v/>
      </c>
      <c r="K80" s="52"/>
      <c r="L80" s="276" t="str">
        <f>IFERROR(INDEX('G-8 Condition Look up'!$A$3:$H$135,MATCH(AV80,'G-8 Condition Look up'!$A$3:$A$135,0),MATCH(K80,'G-8 Condition Look up'!$A$3:$H$3,0)),"")</f>
        <v/>
      </c>
      <c r="M80" s="52"/>
      <c r="N80" s="295" t="str">
        <f>IF(M80="","",IF(VLOOKUP(M80,'G-3 Multipliers'!$L$3:$N$6,2,FALSE)=0,"Spatial Data Missing",VLOOKUP(M80,'G-3 Multipliers'!$L$3:$N$6,2,FALSE)))</f>
        <v/>
      </c>
      <c r="O80" s="281" t="str">
        <f>IF(M80="","",IF(VLOOKUP(M80,'G-3 Multipliers'!$L$3:$N$6,3,FALSE)=0,"Spatial Data Missing ▲",VLOOKUP(M80,'G-3 Multipliers'!$L$3:$N$6,3,FALSE)))</f>
        <v/>
      </c>
      <c r="P80" s="282" t="str">
        <f>(IF(G80="Yes","Bespoke compensation likely to be required",(IFERROR(VLOOKUP(AV80,'G-1 All Habitats'!$B$2:$M$135,12,FALSE),""))))</f>
        <v/>
      </c>
      <c r="Q80" s="289" t="str">
        <f>IFERROR(IF(AND(F80&lt;&gt;"",G80=""),"Confirm irreplaceable habitat status ▲",(IF(AND(E80="Individual trees",T80&gt;0,G80="Yes"),"Error - you cannot enhance irreplaceable individual trees ▲",(IF(AND(U80="Irreplaceable habitat - no units generated ⚠",(S80+T80)&lt;H80,OR(Y80="No",Y80="")),"Any Loss Unacceptable ⚠",(IF(U80="Irreplaceable habitat - no units generated ⚠",T80*J80*L80*O80,IF(AND(P80='G-1 All Habitats'!$X$9,AC80&gt;0,S80&lt;=0,T80&lt;=0,OR(Y80="No",Y80="")),"Any Loss Unacceptable ⚠",IF(AND(P80='G-1 All Habitats'!$X$9,AC80&gt;0,S80&lt;=0,T80&lt;=0,Y80="Yes"),0,(IF(AND(P80='G-1 All Habitats'!$X$9,(S80+T80)&lt;H80,OR(Y80="No",Y80="")),"Any Loss Unacceptable ⚠",(IF(P80="","",IF(AND(P80='G-1 All Habitats'!$X$9,T80&gt;0),U80+V80,IF(AND(P80='G-1 All Habitats'!$X$9,S80&gt;0),U80+V80,H80*J80*L80*O80))))))))))))))),"Check Data ▲")</f>
        <v/>
      </c>
      <c r="R80" s="38"/>
      <c r="S80" s="52"/>
      <c r="T80" s="53"/>
      <c r="U80" s="287" t="str">
        <f t="shared" si="11"/>
        <v/>
      </c>
      <c r="V80" s="287" t="str">
        <f t="shared" si="12"/>
        <v/>
      </c>
      <c r="W80" s="287" t="str">
        <f t="shared" si="13"/>
        <v/>
      </c>
      <c r="X80" s="291" t="str">
        <f>IFERROR(IF(H80="","",IF(H80-S80-T80=0&lt;0,"Error in Areas ▲",IF(S80+T80&gt;H80,"Error in Areas ▲",IF(AND(P80='G-1 All Habitats'!$X$9,Y80="Yes"),"Alternative Compensation ✓",IF(AND(P80='G-1 All Habitats'!$X$3,Y80="Yes"),"Alternative Compensation ✓",IF(AND(Y80="Pending",P80='G-1 All Habitats'!$X$3),"Bespoke compensation must be agreed ▲",IF(AND(Y80="Pending",P80='G-1 All Habitats'!$X$9),"Bespoke compensation must be agreed  ▲",IF(W80=0,0,IF(P80='G-1 All Habitats'!$X$9,"Any Loss Unacceptable ▲",Q80-U80-V80))))))))),"Check Data ▲")</f>
        <v/>
      </c>
      <c r="Y80" s="53"/>
      <c r="Z80" s="105"/>
      <c r="AA80" s="233"/>
      <c r="AB80" s="104"/>
      <c r="AC80" s="512" t="str">
        <f>IF(OR(P80="",Y80="Yes"),"",IF(P80='G-1 All Habitats'!$X$9,H80-S80-T80,"None"))</f>
        <v/>
      </c>
      <c r="AD80" s="513" t="str">
        <f>IF(P80="","",IF(P80='G-1 All Habitats'!$X$9,AC80*J80*L80*O80,"None"))</f>
        <v/>
      </c>
      <c r="AE80" s="35" t="str">
        <f t="shared" si="9"/>
        <v/>
      </c>
      <c r="AF80" s="40" t="str">
        <f t="shared" si="14"/>
        <v/>
      </c>
      <c r="AG80" s="40" t="str">
        <f t="shared" si="10"/>
        <v/>
      </c>
      <c r="AH80" s="40" t="str">
        <f>IF(I80="","",IF(#REF!&gt;0,TRUE,FALSE))</f>
        <v/>
      </c>
      <c r="AI80" s="40">
        <v>70</v>
      </c>
      <c r="AJ80" s="40"/>
      <c r="AK80" s="40" t="str">
        <f t="array" ref="AK80">IFERROR(INDEX($AI$11:$AI$259,MATCH(0,IF(TRUE=$AF$11:$AF$259,COUNTIF($AK$10:$AK79,$AI$11:$AI$259),""),0)),"")</f>
        <v/>
      </c>
      <c r="AL80" s="40" t="str">
        <f t="array" ref="AL80">IFERROR(INDEX($AI$11:$AI$259,MATCH(0,IF(TRUE=$AG$11:$AG$259,COUNTIF($AL$10:$AL79,$AI$11:$AI$259),""),0)),"")</f>
        <v/>
      </c>
      <c r="AM80" s="40" t="str">
        <f t="array" ref="AM80">IFERROR(INDEX($AI$11:$AI$259,MATCH(0,IF(TRUE=$AH$11:$AH$259,COUNTIF($AM$10:$AM79,$AI$11:$AI$259),""),0)),"")</f>
        <v/>
      </c>
      <c r="AN80" s="40"/>
      <c r="AQ80" s="35">
        <f t="shared" si="15"/>
        <v>0</v>
      </c>
      <c r="AT80" s="885" t="str">
        <f>IF(AND(OR(Y80="Yes",Y80="Pending"),P80='G-1 All Habitats'!$X$3),Q80-U80-V80,"")</f>
        <v/>
      </c>
      <c r="AV80" s="542" t="str">
        <f>IFERROR(INDEX('G-1 All Habitats'!$B$3:$B$135,MATCH(F80,'G-1 All Habitats'!$A$3:$A$135,0)),"")</f>
        <v/>
      </c>
      <c r="AW80" s="35" t="str">
        <f>IF(AV80="","",VLOOKUP(AV80,'G-1 All Habitats'!$B$1:$T$135,19,FALSE))</f>
        <v/>
      </c>
    </row>
    <row r="81" spans="1:49" ht="14.5" hidden="1" thickBot="1">
      <c r="A81" s="35" t="str">
        <f>IFERROR(INDEX('G-1 All Habitats'!$AG$3:$AG$17,MATCH(E81,'G-1 All Habitats'!$AF$3:$AF$17,0)),"")</f>
        <v/>
      </c>
      <c r="B81" s="35" t="str">
        <f>IFERROR(INDEX('G-8 Condition Look up'!$I$4:$I$135,MATCH(AV81,'G-8 Condition Look up'!$A$4:$A$135,0)),"")</f>
        <v/>
      </c>
      <c r="D81" s="225">
        <v>71</v>
      </c>
      <c r="E81" s="211"/>
      <c r="F81" s="57"/>
      <c r="G81" s="263"/>
      <c r="H81" s="51"/>
      <c r="I81" s="275" t="str">
        <f>IF(AV81="","",IF(AND(AW81="Yes",G81="No"),"Irreplaceable habitat ▲",IF(AND(AW81="No",G81="Yes"),"Cannot be Irreplaceable ▲",VLOOKUP(AV81,'G-1 All Habitats'!$B$2:$M$135,10,FALSE))))</f>
        <v/>
      </c>
      <c r="J81" s="276" t="str">
        <f>IFERROR(VLOOKUP(I81,'G-1 All Habitats'!$V$3:$W$7,2,FALSE),"")</f>
        <v/>
      </c>
      <c r="K81" s="52"/>
      <c r="L81" s="276" t="str">
        <f>IFERROR(INDEX('G-8 Condition Look up'!$A$3:$H$135,MATCH(AV81,'G-8 Condition Look up'!$A$3:$A$135,0),MATCH(K81,'G-8 Condition Look up'!$A$3:$H$3,0)),"")</f>
        <v/>
      </c>
      <c r="M81" s="52"/>
      <c r="N81" s="295" t="str">
        <f>IF(M81="","",IF(VLOOKUP(M81,'G-3 Multipliers'!$L$3:$N$6,2,FALSE)=0,"Spatial Data Missing",VLOOKUP(M81,'G-3 Multipliers'!$L$3:$N$6,2,FALSE)))</f>
        <v/>
      </c>
      <c r="O81" s="281" t="str">
        <f>IF(M81="","",IF(VLOOKUP(M81,'G-3 Multipliers'!$L$3:$N$6,3,FALSE)=0,"Spatial Data Missing ▲",VLOOKUP(M81,'G-3 Multipliers'!$L$3:$N$6,3,FALSE)))</f>
        <v/>
      </c>
      <c r="P81" s="282" t="str">
        <f>(IF(G81="Yes","Bespoke compensation likely to be required",(IFERROR(VLOOKUP(AV81,'G-1 All Habitats'!$B$2:$M$135,12,FALSE),""))))</f>
        <v/>
      </c>
      <c r="Q81" s="289" t="str">
        <f>IFERROR(IF(AND(F81&lt;&gt;"",G81=""),"Confirm irreplaceable habitat status ▲",(IF(AND(E81="Individual trees",T81&gt;0,G81="Yes"),"Error - you cannot enhance irreplaceable individual trees ▲",(IF(AND(U81="Irreplaceable habitat - no units generated ⚠",(S81+T81)&lt;H81,OR(Y81="No",Y81="")),"Any Loss Unacceptable ⚠",(IF(U81="Irreplaceable habitat - no units generated ⚠",T81*J81*L81*O81,IF(AND(P81='G-1 All Habitats'!$X$9,AC81&gt;0,S81&lt;=0,T81&lt;=0,OR(Y81="No",Y81="")),"Any Loss Unacceptable ⚠",IF(AND(P81='G-1 All Habitats'!$X$9,AC81&gt;0,S81&lt;=0,T81&lt;=0,Y81="Yes"),0,(IF(AND(P81='G-1 All Habitats'!$X$9,(S81+T81)&lt;H81,OR(Y81="No",Y81="")),"Any Loss Unacceptable ⚠",(IF(P81="","",IF(AND(P81='G-1 All Habitats'!$X$9,T81&gt;0),U81+V81,IF(AND(P81='G-1 All Habitats'!$X$9,S81&gt;0),U81+V81,H81*J81*L81*O81))))))))))))))),"Check Data ▲")</f>
        <v/>
      </c>
      <c r="R81" s="38"/>
      <c r="S81" s="52"/>
      <c r="T81" s="53"/>
      <c r="U81" s="287" t="str">
        <f t="shared" si="11"/>
        <v/>
      </c>
      <c r="V81" s="287" t="str">
        <f t="shared" si="12"/>
        <v/>
      </c>
      <c r="W81" s="287" t="str">
        <f t="shared" si="13"/>
        <v/>
      </c>
      <c r="X81" s="291" t="str">
        <f>IFERROR(IF(H81="","",IF(H81-S81-T81=0&lt;0,"Error in Areas ▲",IF(S81+T81&gt;H81,"Error in Areas ▲",IF(AND(P81='G-1 All Habitats'!$X$9,Y81="Yes"),"Alternative Compensation ✓",IF(AND(P81='G-1 All Habitats'!$X$3,Y81="Yes"),"Alternative Compensation ✓",IF(AND(Y81="Pending",P81='G-1 All Habitats'!$X$3),"Bespoke compensation must be agreed ▲",IF(AND(Y81="Pending",P81='G-1 All Habitats'!$X$9),"Bespoke compensation must be agreed  ▲",IF(W81=0,0,IF(P81='G-1 All Habitats'!$X$9,"Any Loss Unacceptable ▲",Q81-U81-V81))))))))),"Check Data ▲")</f>
        <v/>
      </c>
      <c r="Y81" s="53"/>
      <c r="Z81" s="105"/>
      <c r="AA81" s="233"/>
      <c r="AB81" s="104"/>
      <c r="AC81" s="512" t="str">
        <f>IF(OR(P81="",Y81="Yes"),"",IF(P81='G-1 All Habitats'!$X$9,H81-S81-T81,"None"))</f>
        <v/>
      </c>
      <c r="AD81" s="513" t="str">
        <f>IF(P81="","",IF(P81='G-1 All Habitats'!$X$9,AC81*J81*L81*O81,"None"))</f>
        <v/>
      </c>
      <c r="AE81" s="35" t="str">
        <f t="shared" si="9"/>
        <v/>
      </c>
      <c r="AF81" s="40" t="str">
        <f t="shared" si="14"/>
        <v/>
      </c>
      <c r="AG81" s="40" t="str">
        <f t="shared" si="10"/>
        <v/>
      </c>
      <c r="AH81" s="40" t="str">
        <f>IF(I81="","",IF(#REF!&gt;0,TRUE,FALSE))</f>
        <v/>
      </c>
      <c r="AI81" s="40">
        <v>71</v>
      </c>
      <c r="AJ81" s="40"/>
      <c r="AK81" s="40" t="str">
        <f t="array" ref="AK81">IFERROR(INDEX($AI$11:$AI$259,MATCH(0,IF(TRUE=$AF$11:$AF$259,COUNTIF($AK$10:$AK80,$AI$11:$AI$259),""),0)),"")</f>
        <v/>
      </c>
      <c r="AL81" s="40" t="str">
        <f t="array" ref="AL81">IFERROR(INDEX($AI$11:$AI$259,MATCH(0,IF(TRUE=$AG$11:$AG$259,COUNTIF($AL$10:$AL80,$AI$11:$AI$259),""),0)),"")</f>
        <v/>
      </c>
      <c r="AM81" s="40" t="str">
        <f t="array" ref="AM81">IFERROR(INDEX($AI$11:$AI$259,MATCH(0,IF(TRUE=$AH$11:$AH$259,COUNTIF($AM$10:$AM80,$AI$11:$AI$259),""),0)),"")</f>
        <v/>
      </c>
      <c r="AN81" s="40"/>
      <c r="AQ81" s="35">
        <f t="shared" si="15"/>
        <v>0</v>
      </c>
      <c r="AT81" s="885" t="str">
        <f>IF(AND(OR(Y81="Yes",Y81="Pending"),P81='G-1 All Habitats'!$X$3),Q81-U81-V81,"")</f>
        <v/>
      </c>
      <c r="AV81" s="542" t="str">
        <f>IFERROR(INDEX('G-1 All Habitats'!$B$3:$B$135,MATCH(F81,'G-1 All Habitats'!$A$3:$A$135,0)),"")</f>
        <v/>
      </c>
      <c r="AW81" s="35" t="str">
        <f>IF(AV81="","",VLOOKUP(AV81,'G-1 All Habitats'!$B$1:$T$135,19,FALSE))</f>
        <v/>
      </c>
    </row>
    <row r="82" spans="1:49" ht="14.5" hidden="1" thickBot="1">
      <c r="A82" s="35" t="str">
        <f>IFERROR(INDEX('G-1 All Habitats'!$AG$3:$AG$17,MATCH(E82,'G-1 All Habitats'!$AF$3:$AF$17,0)),"")</f>
        <v/>
      </c>
      <c r="B82" s="35" t="str">
        <f>IFERROR(INDEX('G-8 Condition Look up'!$I$4:$I$135,MATCH(AV82,'G-8 Condition Look up'!$A$4:$A$135,0)),"")</f>
        <v/>
      </c>
      <c r="D82" s="225">
        <v>72</v>
      </c>
      <c r="E82" s="211"/>
      <c r="F82" s="57"/>
      <c r="G82" s="263"/>
      <c r="H82" s="51"/>
      <c r="I82" s="275" t="str">
        <f>IF(AV82="","",IF(AND(AW82="Yes",G82="No"),"Irreplaceable habitat ▲",IF(AND(AW82="No",G82="Yes"),"Cannot be Irreplaceable ▲",VLOOKUP(AV82,'G-1 All Habitats'!$B$2:$M$135,10,FALSE))))</f>
        <v/>
      </c>
      <c r="J82" s="276" t="str">
        <f>IFERROR(VLOOKUP(I82,'G-1 All Habitats'!$V$3:$W$7,2,FALSE),"")</f>
        <v/>
      </c>
      <c r="K82" s="52"/>
      <c r="L82" s="276" t="str">
        <f>IFERROR(INDEX('G-8 Condition Look up'!$A$3:$H$135,MATCH(AV82,'G-8 Condition Look up'!$A$3:$A$135,0),MATCH(K82,'G-8 Condition Look up'!$A$3:$H$3,0)),"")</f>
        <v/>
      </c>
      <c r="M82" s="52"/>
      <c r="N82" s="295" t="str">
        <f>IF(M82="","",IF(VLOOKUP(M82,'G-3 Multipliers'!$L$3:$N$6,2,FALSE)=0,"Spatial Data Missing",VLOOKUP(M82,'G-3 Multipliers'!$L$3:$N$6,2,FALSE)))</f>
        <v/>
      </c>
      <c r="O82" s="281" t="str">
        <f>IF(M82="","",IF(VLOOKUP(M82,'G-3 Multipliers'!$L$3:$N$6,3,FALSE)=0,"Spatial Data Missing ▲",VLOOKUP(M82,'G-3 Multipliers'!$L$3:$N$6,3,FALSE)))</f>
        <v/>
      </c>
      <c r="P82" s="282" t="str">
        <f>(IF(G82="Yes","Bespoke compensation likely to be required",(IFERROR(VLOOKUP(AV82,'G-1 All Habitats'!$B$2:$M$135,12,FALSE),""))))</f>
        <v/>
      </c>
      <c r="Q82" s="289" t="str">
        <f>IFERROR(IF(AND(F82&lt;&gt;"",G82=""),"Confirm irreplaceable habitat status ▲",(IF(AND(E82="Individual trees",T82&gt;0,G82="Yes"),"Error - you cannot enhance irreplaceable individual trees ▲",(IF(AND(U82="Irreplaceable habitat - no units generated ⚠",(S82+T82)&lt;H82,OR(Y82="No",Y82="")),"Any Loss Unacceptable ⚠",(IF(U82="Irreplaceable habitat - no units generated ⚠",T82*J82*L82*O82,IF(AND(P82='G-1 All Habitats'!$X$9,AC82&gt;0,S82&lt;=0,T82&lt;=0,OR(Y82="No",Y82="")),"Any Loss Unacceptable ⚠",IF(AND(P82='G-1 All Habitats'!$X$9,AC82&gt;0,S82&lt;=0,T82&lt;=0,Y82="Yes"),0,(IF(AND(P82='G-1 All Habitats'!$X$9,(S82+T82)&lt;H82,OR(Y82="No",Y82="")),"Any Loss Unacceptable ⚠",(IF(P82="","",IF(AND(P82='G-1 All Habitats'!$X$9,T82&gt;0),U82+V82,IF(AND(P82='G-1 All Habitats'!$X$9,S82&gt;0),U82+V82,H82*J82*L82*O82))))))))))))))),"Check Data ▲")</f>
        <v/>
      </c>
      <c r="R82" s="38"/>
      <c r="S82" s="52"/>
      <c r="T82" s="53"/>
      <c r="U82" s="287" t="str">
        <f t="shared" si="11"/>
        <v/>
      </c>
      <c r="V82" s="287" t="str">
        <f t="shared" si="12"/>
        <v/>
      </c>
      <c r="W82" s="287" t="str">
        <f t="shared" si="13"/>
        <v/>
      </c>
      <c r="X82" s="291" t="str">
        <f>IFERROR(IF(H82="","",IF(H82-S82-T82=0&lt;0,"Error in Areas ▲",IF(S82+T82&gt;H82,"Error in Areas ▲",IF(AND(P82='G-1 All Habitats'!$X$9,Y82="Yes"),"Alternative Compensation ✓",IF(AND(P82='G-1 All Habitats'!$X$3,Y82="Yes"),"Alternative Compensation ✓",IF(AND(Y82="Pending",P82='G-1 All Habitats'!$X$3),"Bespoke compensation must be agreed ▲",IF(AND(Y82="Pending",P82='G-1 All Habitats'!$X$9),"Bespoke compensation must be agreed  ▲",IF(W82=0,0,IF(P82='G-1 All Habitats'!$X$9,"Any Loss Unacceptable ▲",Q82-U82-V82))))))))),"Check Data ▲")</f>
        <v/>
      </c>
      <c r="Y82" s="53"/>
      <c r="Z82" s="105"/>
      <c r="AA82" s="233"/>
      <c r="AB82" s="104"/>
      <c r="AC82" s="512" t="str">
        <f>IF(OR(P82="",Y82="Yes"),"",IF(P82='G-1 All Habitats'!$X$9,H82-S82-T82,"None"))</f>
        <v/>
      </c>
      <c r="AD82" s="513" t="str">
        <f>IF(P82="","",IF(P82='G-1 All Habitats'!$X$9,AC82*J82*L82*O82,"None"))</f>
        <v/>
      </c>
      <c r="AE82" s="35" t="str">
        <f t="shared" si="9"/>
        <v/>
      </c>
      <c r="AF82" s="40" t="str">
        <f t="shared" si="14"/>
        <v/>
      </c>
      <c r="AG82" s="40" t="str">
        <f t="shared" si="10"/>
        <v/>
      </c>
      <c r="AH82" s="40" t="str">
        <f>IF(I82="","",IF(#REF!&gt;0,TRUE,FALSE))</f>
        <v/>
      </c>
      <c r="AI82" s="40">
        <v>72</v>
      </c>
      <c r="AJ82" s="40"/>
      <c r="AK82" s="40" t="str">
        <f t="array" ref="AK82">IFERROR(INDEX($AI$11:$AI$259,MATCH(0,IF(TRUE=$AF$11:$AF$259,COUNTIF($AK$10:$AK81,$AI$11:$AI$259),""),0)),"")</f>
        <v/>
      </c>
      <c r="AL82" s="40" t="str">
        <f t="array" ref="AL82">IFERROR(INDEX($AI$11:$AI$259,MATCH(0,IF(TRUE=$AG$11:$AG$259,COUNTIF($AL$10:$AL81,$AI$11:$AI$259),""),0)),"")</f>
        <v/>
      </c>
      <c r="AM82" s="40" t="str">
        <f t="array" ref="AM82">IFERROR(INDEX($AI$11:$AI$259,MATCH(0,IF(TRUE=$AH$11:$AH$259,COUNTIF($AM$10:$AM81,$AI$11:$AI$259),""),0)),"")</f>
        <v/>
      </c>
      <c r="AN82" s="40"/>
      <c r="AQ82" s="35">
        <f t="shared" si="15"/>
        <v>0</v>
      </c>
      <c r="AT82" s="885" t="str">
        <f>IF(AND(OR(Y82="Yes",Y82="Pending"),P82='G-1 All Habitats'!$X$3),Q82-U82-V82,"")</f>
        <v/>
      </c>
      <c r="AV82" s="542" t="str">
        <f>IFERROR(INDEX('G-1 All Habitats'!$B$3:$B$135,MATCH(F82,'G-1 All Habitats'!$A$3:$A$135,0)),"")</f>
        <v/>
      </c>
      <c r="AW82" s="35" t="str">
        <f>IF(AV82="","",VLOOKUP(AV82,'G-1 All Habitats'!$B$1:$T$135,19,FALSE))</f>
        <v/>
      </c>
    </row>
    <row r="83" spans="1:49" ht="14.5" hidden="1" thickBot="1">
      <c r="A83" s="35" t="str">
        <f>IFERROR(INDEX('G-1 All Habitats'!$AG$3:$AG$17,MATCH(E83,'G-1 All Habitats'!$AF$3:$AF$17,0)),"")</f>
        <v/>
      </c>
      <c r="B83" s="35" t="str">
        <f>IFERROR(INDEX('G-8 Condition Look up'!$I$4:$I$135,MATCH(AV83,'G-8 Condition Look up'!$A$4:$A$135,0)),"")</f>
        <v/>
      </c>
      <c r="D83" s="225">
        <v>73</v>
      </c>
      <c r="E83" s="211"/>
      <c r="F83" s="57"/>
      <c r="G83" s="263"/>
      <c r="H83" s="51"/>
      <c r="I83" s="275" t="str">
        <f>IF(AV83="","",IF(AND(AW83="Yes",G83="No"),"Irreplaceable habitat ▲",IF(AND(AW83="No",G83="Yes"),"Cannot be Irreplaceable ▲",VLOOKUP(AV83,'G-1 All Habitats'!$B$2:$M$135,10,FALSE))))</f>
        <v/>
      </c>
      <c r="J83" s="276" t="str">
        <f>IFERROR(VLOOKUP(I83,'G-1 All Habitats'!$V$3:$W$7,2,FALSE),"")</f>
        <v/>
      </c>
      <c r="K83" s="52"/>
      <c r="L83" s="276" t="str">
        <f>IFERROR(INDEX('G-8 Condition Look up'!$A$3:$H$135,MATCH(AV83,'G-8 Condition Look up'!$A$3:$A$135,0),MATCH(K83,'G-8 Condition Look up'!$A$3:$H$3,0)),"")</f>
        <v/>
      </c>
      <c r="M83" s="52"/>
      <c r="N83" s="295" t="str">
        <f>IF(M83="","",IF(VLOOKUP(M83,'G-3 Multipliers'!$L$3:$N$6,2,FALSE)=0,"Spatial Data Missing",VLOOKUP(M83,'G-3 Multipliers'!$L$3:$N$6,2,FALSE)))</f>
        <v/>
      </c>
      <c r="O83" s="281" t="str">
        <f>IF(M83="","",IF(VLOOKUP(M83,'G-3 Multipliers'!$L$3:$N$6,3,FALSE)=0,"Spatial Data Missing ▲",VLOOKUP(M83,'G-3 Multipliers'!$L$3:$N$6,3,FALSE)))</f>
        <v/>
      </c>
      <c r="P83" s="282" t="str">
        <f>(IF(G83="Yes","Bespoke compensation likely to be required",(IFERROR(VLOOKUP(AV83,'G-1 All Habitats'!$B$2:$M$135,12,FALSE),""))))</f>
        <v/>
      </c>
      <c r="Q83" s="289" t="str">
        <f>IFERROR(IF(AND(F83&lt;&gt;"",G83=""),"Confirm irreplaceable habitat status ▲",(IF(AND(E83="Individual trees",T83&gt;0,G83="Yes"),"Error - you cannot enhance irreplaceable individual trees ▲",(IF(AND(U83="Irreplaceable habitat - no units generated ⚠",(S83+T83)&lt;H83,OR(Y83="No",Y83="")),"Any Loss Unacceptable ⚠",(IF(U83="Irreplaceable habitat - no units generated ⚠",T83*J83*L83*O83,IF(AND(P83='G-1 All Habitats'!$X$9,AC83&gt;0,S83&lt;=0,T83&lt;=0,OR(Y83="No",Y83="")),"Any Loss Unacceptable ⚠",IF(AND(P83='G-1 All Habitats'!$X$9,AC83&gt;0,S83&lt;=0,T83&lt;=0,Y83="Yes"),0,(IF(AND(P83='G-1 All Habitats'!$X$9,(S83+T83)&lt;H83,OR(Y83="No",Y83="")),"Any Loss Unacceptable ⚠",(IF(P83="","",IF(AND(P83='G-1 All Habitats'!$X$9,T83&gt;0),U83+V83,IF(AND(P83='G-1 All Habitats'!$X$9,S83&gt;0),U83+V83,H83*J83*L83*O83))))))))))))))),"Check Data ▲")</f>
        <v/>
      </c>
      <c r="R83" s="38"/>
      <c r="S83" s="52"/>
      <c r="T83" s="53"/>
      <c r="U83" s="287" t="str">
        <f t="shared" si="11"/>
        <v/>
      </c>
      <c r="V83" s="287" t="str">
        <f t="shared" si="12"/>
        <v/>
      </c>
      <c r="W83" s="287" t="str">
        <f t="shared" si="13"/>
        <v/>
      </c>
      <c r="X83" s="291" t="str">
        <f>IFERROR(IF(H83="","",IF(H83-S83-T83=0&lt;0,"Error in Areas ▲",IF(S83+T83&gt;H83,"Error in Areas ▲",IF(AND(P83='G-1 All Habitats'!$X$9,Y83="Yes"),"Alternative Compensation ✓",IF(AND(P83='G-1 All Habitats'!$X$3,Y83="Yes"),"Alternative Compensation ✓",IF(AND(Y83="Pending",P83='G-1 All Habitats'!$X$3),"Bespoke compensation must be agreed ▲",IF(AND(Y83="Pending",P83='G-1 All Habitats'!$X$9),"Bespoke compensation must be agreed  ▲",IF(W83=0,0,IF(P83='G-1 All Habitats'!$X$9,"Any Loss Unacceptable ▲",Q83-U83-V83))))))))),"Check Data ▲")</f>
        <v/>
      </c>
      <c r="Y83" s="53"/>
      <c r="Z83" s="105"/>
      <c r="AA83" s="233"/>
      <c r="AB83" s="104"/>
      <c r="AC83" s="512" t="str">
        <f>IF(OR(P83="",Y83="Yes"),"",IF(P83='G-1 All Habitats'!$X$9,H83-S83-T83,"None"))</f>
        <v/>
      </c>
      <c r="AD83" s="513" t="str">
        <f>IF(P83="","",IF(P83='G-1 All Habitats'!$X$9,AC83*J83*L83*O83,"None"))</f>
        <v/>
      </c>
      <c r="AE83" s="35" t="str">
        <f t="shared" si="9"/>
        <v/>
      </c>
      <c r="AF83" s="40" t="str">
        <f t="shared" si="14"/>
        <v/>
      </c>
      <c r="AG83" s="40" t="str">
        <f t="shared" si="10"/>
        <v/>
      </c>
      <c r="AH83" s="40" t="str">
        <f>IF(I83="","",IF(#REF!&gt;0,TRUE,FALSE))</f>
        <v/>
      </c>
      <c r="AI83" s="40">
        <v>73</v>
      </c>
      <c r="AJ83" s="40"/>
      <c r="AK83" s="40" t="str">
        <f t="array" ref="AK83">IFERROR(INDEX($AI$11:$AI$259,MATCH(0,IF(TRUE=$AF$11:$AF$259,COUNTIF($AK$10:$AK82,$AI$11:$AI$259),""),0)),"")</f>
        <v/>
      </c>
      <c r="AL83" s="40" t="str">
        <f t="array" ref="AL83">IFERROR(INDEX($AI$11:$AI$259,MATCH(0,IF(TRUE=$AG$11:$AG$259,COUNTIF($AL$10:$AL82,$AI$11:$AI$259),""),0)),"")</f>
        <v/>
      </c>
      <c r="AM83" s="40" t="str">
        <f t="array" ref="AM83">IFERROR(INDEX($AI$11:$AI$259,MATCH(0,IF(TRUE=$AH$11:$AH$259,COUNTIF($AM$10:$AM82,$AI$11:$AI$259),""),0)),"")</f>
        <v/>
      </c>
      <c r="AN83" s="40"/>
      <c r="AQ83" s="35">
        <f t="shared" si="15"/>
        <v>0</v>
      </c>
      <c r="AT83" s="885" t="str">
        <f>IF(AND(OR(Y83="Yes",Y83="Pending"),P83='G-1 All Habitats'!$X$3),Q83-U83-V83,"")</f>
        <v/>
      </c>
      <c r="AV83" s="542" t="str">
        <f>IFERROR(INDEX('G-1 All Habitats'!$B$3:$B$135,MATCH(F83,'G-1 All Habitats'!$A$3:$A$135,0)),"")</f>
        <v/>
      </c>
      <c r="AW83" s="35" t="str">
        <f>IF(AV83="","",VLOOKUP(AV83,'G-1 All Habitats'!$B$1:$T$135,19,FALSE))</f>
        <v/>
      </c>
    </row>
    <row r="84" spans="1:49" ht="14.5" hidden="1" thickBot="1">
      <c r="A84" s="35" t="str">
        <f>IFERROR(INDEX('G-1 All Habitats'!$AG$3:$AG$17,MATCH(E84,'G-1 All Habitats'!$AF$3:$AF$17,0)),"")</f>
        <v/>
      </c>
      <c r="B84" s="35" t="str">
        <f>IFERROR(INDEX('G-8 Condition Look up'!$I$4:$I$135,MATCH(AV84,'G-8 Condition Look up'!$A$4:$A$135,0)),"")</f>
        <v/>
      </c>
      <c r="D84" s="225">
        <v>74</v>
      </c>
      <c r="E84" s="211"/>
      <c r="F84" s="57"/>
      <c r="G84" s="263"/>
      <c r="H84" s="51"/>
      <c r="I84" s="275" t="str">
        <f>IF(AV84="","",IF(AND(AW84="Yes",G84="No"),"Irreplaceable habitat ▲",IF(AND(AW84="No",G84="Yes"),"Cannot be Irreplaceable ▲",VLOOKUP(AV84,'G-1 All Habitats'!$B$2:$M$135,10,FALSE))))</f>
        <v/>
      </c>
      <c r="J84" s="276" t="str">
        <f>IFERROR(VLOOKUP(I84,'G-1 All Habitats'!$V$3:$W$7,2,FALSE),"")</f>
        <v/>
      </c>
      <c r="K84" s="52"/>
      <c r="L84" s="276" t="str">
        <f>IFERROR(INDEX('G-8 Condition Look up'!$A$3:$H$135,MATCH(AV84,'G-8 Condition Look up'!$A$3:$A$135,0),MATCH(K84,'G-8 Condition Look up'!$A$3:$H$3,0)),"")</f>
        <v/>
      </c>
      <c r="M84" s="52"/>
      <c r="N84" s="295" t="str">
        <f>IF(M84="","",IF(VLOOKUP(M84,'G-3 Multipliers'!$L$3:$N$6,2,FALSE)=0,"Spatial Data Missing",VLOOKUP(M84,'G-3 Multipliers'!$L$3:$N$6,2,FALSE)))</f>
        <v/>
      </c>
      <c r="O84" s="281" t="str">
        <f>IF(M84="","",IF(VLOOKUP(M84,'G-3 Multipliers'!$L$3:$N$6,3,FALSE)=0,"Spatial Data Missing ▲",VLOOKUP(M84,'G-3 Multipliers'!$L$3:$N$6,3,FALSE)))</f>
        <v/>
      </c>
      <c r="P84" s="282" t="str">
        <f>(IF(G84="Yes","Bespoke compensation likely to be required",(IFERROR(VLOOKUP(AV84,'G-1 All Habitats'!$B$2:$M$135,12,FALSE),""))))</f>
        <v/>
      </c>
      <c r="Q84" s="289" t="str">
        <f>IFERROR(IF(AND(F84&lt;&gt;"",G84=""),"Confirm irreplaceable habitat status ▲",(IF(AND(E84="Individual trees",T84&gt;0,G84="Yes"),"Error - you cannot enhance irreplaceable individual trees ▲",(IF(AND(U84="Irreplaceable habitat - no units generated ⚠",(S84+T84)&lt;H84,OR(Y84="No",Y84="")),"Any Loss Unacceptable ⚠",(IF(U84="Irreplaceable habitat - no units generated ⚠",T84*J84*L84*O84,IF(AND(P84='G-1 All Habitats'!$X$9,AC84&gt;0,S84&lt;=0,T84&lt;=0,OR(Y84="No",Y84="")),"Any Loss Unacceptable ⚠",IF(AND(P84='G-1 All Habitats'!$X$9,AC84&gt;0,S84&lt;=0,T84&lt;=0,Y84="Yes"),0,(IF(AND(P84='G-1 All Habitats'!$X$9,(S84+T84)&lt;H84,OR(Y84="No",Y84="")),"Any Loss Unacceptable ⚠",(IF(P84="","",IF(AND(P84='G-1 All Habitats'!$X$9,T84&gt;0),U84+V84,IF(AND(P84='G-1 All Habitats'!$X$9,S84&gt;0),U84+V84,H84*J84*L84*O84))))))))))))))),"Check Data ▲")</f>
        <v/>
      </c>
      <c r="R84" s="38"/>
      <c r="S84" s="52"/>
      <c r="T84" s="53"/>
      <c r="U84" s="287" t="str">
        <f t="shared" si="11"/>
        <v/>
      </c>
      <c r="V84" s="287" t="str">
        <f t="shared" si="12"/>
        <v/>
      </c>
      <c r="W84" s="287" t="str">
        <f t="shared" si="13"/>
        <v/>
      </c>
      <c r="X84" s="291" t="str">
        <f>IFERROR(IF(H84="","",IF(H84-S84-T84=0&lt;0,"Error in Areas ▲",IF(S84+T84&gt;H84,"Error in Areas ▲",IF(AND(P84='G-1 All Habitats'!$X$9,Y84="Yes"),"Alternative Compensation ✓",IF(AND(P84='G-1 All Habitats'!$X$3,Y84="Yes"),"Alternative Compensation ✓",IF(AND(Y84="Pending",P84='G-1 All Habitats'!$X$3),"Bespoke compensation must be agreed ▲",IF(AND(Y84="Pending",P84='G-1 All Habitats'!$X$9),"Bespoke compensation must be agreed  ▲",IF(W84=0,0,IF(P84='G-1 All Habitats'!$X$9,"Any Loss Unacceptable ▲",Q84-U84-V84))))))))),"Check Data ▲")</f>
        <v/>
      </c>
      <c r="Y84" s="53"/>
      <c r="Z84" s="105"/>
      <c r="AA84" s="233"/>
      <c r="AB84" s="104"/>
      <c r="AC84" s="512" t="str">
        <f>IF(OR(P84="",Y84="Yes"),"",IF(P84='G-1 All Habitats'!$X$9,H84-S84-T84,"None"))</f>
        <v/>
      </c>
      <c r="AD84" s="513" t="str">
        <f>IF(P84="","",IF(P84='G-1 All Habitats'!$X$9,AC84*J84*L84*O84,"None"))</f>
        <v/>
      </c>
      <c r="AE84" s="35" t="str">
        <f t="shared" si="9"/>
        <v/>
      </c>
      <c r="AF84" s="40" t="str">
        <f t="shared" si="14"/>
        <v/>
      </c>
      <c r="AG84" s="40" t="str">
        <f t="shared" si="10"/>
        <v/>
      </c>
      <c r="AH84" s="40" t="str">
        <f>IF(I84="","",IF(#REF!&gt;0,TRUE,FALSE))</f>
        <v/>
      </c>
      <c r="AI84" s="40">
        <v>74</v>
      </c>
      <c r="AJ84" s="40"/>
      <c r="AK84" s="40" t="str">
        <f t="array" ref="AK84">IFERROR(INDEX($AI$11:$AI$259,MATCH(0,IF(TRUE=$AF$11:$AF$259,COUNTIF($AK$10:$AK83,$AI$11:$AI$259),""),0)),"")</f>
        <v/>
      </c>
      <c r="AL84" s="40" t="str">
        <f t="array" ref="AL84">IFERROR(INDEX($AI$11:$AI$259,MATCH(0,IF(TRUE=$AG$11:$AG$259,COUNTIF($AL$10:$AL83,$AI$11:$AI$259),""),0)),"")</f>
        <v/>
      </c>
      <c r="AM84" s="40" t="str">
        <f t="array" ref="AM84">IFERROR(INDEX($AI$11:$AI$259,MATCH(0,IF(TRUE=$AH$11:$AH$259,COUNTIF($AM$10:$AM83,$AI$11:$AI$259),""),0)),"")</f>
        <v/>
      </c>
      <c r="AN84" s="40"/>
      <c r="AQ84" s="35">
        <f t="shared" si="15"/>
        <v>0</v>
      </c>
      <c r="AT84" s="885" t="str">
        <f>IF(AND(OR(Y84="Yes",Y84="Pending"),P84='G-1 All Habitats'!$X$3),Q84-U84-V84,"")</f>
        <v/>
      </c>
      <c r="AV84" s="542" t="str">
        <f>IFERROR(INDEX('G-1 All Habitats'!$B$3:$B$135,MATCH(F84,'G-1 All Habitats'!$A$3:$A$135,0)),"")</f>
        <v/>
      </c>
      <c r="AW84" s="35" t="str">
        <f>IF(AV84="","",VLOOKUP(AV84,'G-1 All Habitats'!$B$1:$T$135,19,FALSE))</f>
        <v/>
      </c>
    </row>
    <row r="85" spans="1:49" ht="14.5" hidden="1" thickBot="1">
      <c r="A85" s="35" t="str">
        <f>IFERROR(INDEX('G-1 All Habitats'!$AG$3:$AG$17,MATCH(E85,'G-1 All Habitats'!$AF$3:$AF$17,0)),"")</f>
        <v/>
      </c>
      <c r="B85" s="35" t="str">
        <f>IFERROR(INDEX('G-8 Condition Look up'!$I$4:$I$135,MATCH(AV85,'G-8 Condition Look up'!$A$4:$A$135,0)),"")</f>
        <v/>
      </c>
      <c r="D85" s="225">
        <v>75</v>
      </c>
      <c r="E85" s="211"/>
      <c r="F85" s="57"/>
      <c r="G85" s="263"/>
      <c r="H85" s="51"/>
      <c r="I85" s="275" t="str">
        <f>IF(AV85="","",IF(AND(AW85="Yes",G85="No"),"Irreplaceable habitat ▲",IF(AND(AW85="No",G85="Yes"),"Cannot be Irreplaceable ▲",VLOOKUP(AV85,'G-1 All Habitats'!$B$2:$M$135,10,FALSE))))</f>
        <v/>
      </c>
      <c r="J85" s="276" t="str">
        <f>IFERROR(VLOOKUP(I85,'G-1 All Habitats'!$V$3:$W$7,2,FALSE),"")</f>
        <v/>
      </c>
      <c r="K85" s="52"/>
      <c r="L85" s="276" t="str">
        <f>IFERROR(INDEX('G-8 Condition Look up'!$A$3:$H$135,MATCH(AV85,'G-8 Condition Look up'!$A$3:$A$135,0),MATCH(K85,'G-8 Condition Look up'!$A$3:$H$3,0)),"")</f>
        <v/>
      </c>
      <c r="M85" s="52"/>
      <c r="N85" s="295" t="str">
        <f>IF(M85="","",IF(VLOOKUP(M85,'G-3 Multipliers'!$L$3:$N$6,2,FALSE)=0,"Spatial Data Missing",VLOOKUP(M85,'G-3 Multipliers'!$L$3:$N$6,2,FALSE)))</f>
        <v/>
      </c>
      <c r="O85" s="281" t="str">
        <f>IF(M85="","",IF(VLOOKUP(M85,'G-3 Multipliers'!$L$3:$N$6,3,FALSE)=0,"Spatial Data Missing ▲",VLOOKUP(M85,'G-3 Multipliers'!$L$3:$N$6,3,FALSE)))</f>
        <v/>
      </c>
      <c r="P85" s="282" t="str">
        <f>(IF(G85="Yes","Bespoke compensation likely to be required",(IFERROR(VLOOKUP(AV85,'G-1 All Habitats'!$B$2:$M$135,12,FALSE),""))))</f>
        <v/>
      </c>
      <c r="Q85" s="289" t="str">
        <f>IFERROR(IF(AND(F85&lt;&gt;"",G85=""),"Confirm irreplaceable habitat status ▲",(IF(AND(E85="Individual trees",T85&gt;0,G85="Yes"),"Error - you cannot enhance irreplaceable individual trees ▲",(IF(AND(U85="Irreplaceable habitat - no units generated ⚠",(S85+T85)&lt;H85,OR(Y85="No",Y85="")),"Any Loss Unacceptable ⚠",(IF(U85="Irreplaceable habitat - no units generated ⚠",T85*J85*L85*O85,IF(AND(P85='G-1 All Habitats'!$X$9,AC85&gt;0,S85&lt;=0,T85&lt;=0,OR(Y85="No",Y85="")),"Any Loss Unacceptable ⚠",IF(AND(P85='G-1 All Habitats'!$X$9,AC85&gt;0,S85&lt;=0,T85&lt;=0,Y85="Yes"),0,(IF(AND(P85='G-1 All Habitats'!$X$9,(S85+T85)&lt;H85,OR(Y85="No",Y85="")),"Any Loss Unacceptable ⚠",(IF(P85="","",IF(AND(P85='G-1 All Habitats'!$X$9,T85&gt;0),U85+V85,IF(AND(P85='G-1 All Habitats'!$X$9,S85&gt;0),U85+V85,H85*J85*L85*O85))))))))))))))),"Check Data ▲")</f>
        <v/>
      </c>
      <c r="R85" s="38"/>
      <c r="S85" s="52"/>
      <c r="T85" s="53"/>
      <c r="U85" s="287" t="str">
        <f t="shared" si="11"/>
        <v/>
      </c>
      <c r="V85" s="287" t="str">
        <f t="shared" si="12"/>
        <v/>
      </c>
      <c r="W85" s="287" t="str">
        <f t="shared" si="13"/>
        <v/>
      </c>
      <c r="X85" s="291" t="str">
        <f>IFERROR(IF(H85="","",IF(H85-S85-T85=0&lt;0,"Error in Areas ▲",IF(S85+T85&gt;H85,"Error in Areas ▲",IF(AND(P85='G-1 All Habitats'!$X$9,Y85="Yes"),"Alternative Compensation ✓",IF(AND(P85='G-1 All Habitats'!$X$3,Y85="Yes"),"Alternative Compensation ✓",IF(AND(Y85="Pending",P85='G-1 All Habitats'!$X$3),"Bespoke compensation must be agreed ▲",IF(AND(Y85="Pending",P85='G-1 All Habitats'!$X$9),"Bespoke compensation must be agreed  ▲",IF(W85=0,0,IF(P85='G-1 All Habitats'!$X$9,"Any Loss Unacceptable ▲",Q85-U85-V85))))))))),"Check Data ▲")</f>
        <v/>
      </c>
      <c r="Y85" s="53"/>
      <c r="Z85" s="105"/>
      <c r="AA85" s="233"/>
      <c r="AB85" s="104"/>
      <c r="AC85" s="512" t="str">
        <f>IF(OR(P85="",Y85="Yes"),"",IF(P85='G-1 All Habitats'!$X$9,H85-S85-T85,"None"))</f>
        <v/>
      </c>
      <c r="AD85" s="513" t="str">
        <f>IF(P85="","",IF(P85='G-1 All Habitats'!$X$9,AC85*J85*L85*O85,"None"))</f>
        <v/>
      </c>
      <c r="AE85" s="35" t="str">
        <f t="shared" si="9"/>
        <v/>
      </c>
      <c r="AF85" s="40" t="str">
        <f t="shared" si="14"/>
        <v/>
      </c>
      <c r="AG85" s="40" t="str">
        <f t="shared" si="10"/>
        <v/>
      </c>
      <c r="AH85" s="40" t="str">
        <f>IF(I85="","",IF(#REF!&gt;0,TRUE,FALSE))</f>
        <v/>
      </c>
      <c r="AI85" s="40">
        <v>75</v>
      </c>
      <c r="AJ85" s="40"/>
      <c r="AK85" s="40" t="str">
        <f t="array" ref="AK85">IFERROR(INDEX($AI$11:$AI$259,MATCH(0,IF(TRUE=$AF$11:$AF$259,COUNTIF($AK$10:$AK84,$AI$11:$AI$259),""),0)),"")</f>
        <v/>
      </c>
      <c r="AL85" s="40" t="str">
        <f t="array" ref="AL85">IFERROR(INDEX($AI$11:$AI$259,MATCH(0,IF(TRUE=$AG$11:$AG$259,COUNTIF($AL$10:$AL84,$AI$11:$AI$259),""),0)),"")</f>
        <v/>
      </c>
      <c r="AM85" s="40" t="str">
        <f t="array" ref="AM85">IFERROR(INDEX($AI$11:$AI$259,MATCH(0,IF(TRUE=$AH$11:$AH$259,COUNTIF($AM$10:$AM84,$AI$11:$AI$259),""),0)),"")</f>
        <v/>
      </c>
      <c r="AN85" s="40"/>
      <c r="AQ85" s="35">
        <f t="shared" si="15"/>
        <v>0</v>
      </c>
      <c r="AT85" s="885" t="str">
        <f>IF(AND(OR(Y85="Yes",Y85="Pending"),P85='G-1 All Habitats'!$X$3),Q85-U85-V85,"")</f>
        <v/>
      </c>
      <c r="AV85" s="542" t="str">
        <f>IFERROR(INDEX('G-1 All Habitats'!$B$3:$B$135,MATCH(F85,'G-1 All Habitats'!$A$3:$A$135,0)),"")</f>
        <v/>
      </c>
      <c r="AW85" s="35" t="str">
        <f>IF(AV85="","",VLOOKUP(AV85,'G-1 All Habitats'!$B$1:$T$135,19,FALSE))</f>
        <v/>
      </c>
    </row>
    <row r="86" spans="1:49" ht="14.5" hidden="1" thickBot="1">
      <c r="A86" s="35" t="str">
        <f>IFERROR(INDEX('G-1 All Habitats'!$AG$3:$AG$17,MATCH(E86,'G-1 All Habitats'!$AF$3:$AF$17,0)),"")</f>
        <v/>
      </c>
      <c r="B86" s="35" t="str">
        <f>IFERROR(INDEX('G-8 Condition Look up'!$I$4:$I$135,MATCH(AV86,'G-8 Condition Look up'!$A$4:$A$135,0)),"")</f>
        <v/>
      </c>
      <c r="D86" s="225">
        <v>76</v>
      </c>
      <c r="E86" s="211"/>
      <c r="F86" s="57"/>
      <c r="G86" s="263"/>
      <c r="H86" s="51"/>
      <c r="I86" s="275" t="str">
        <f>IF(AV86="","",IF(AND(AW86="Yes",G86="No"),"Irreplaceable habitat ▲",IF(AND(AW86="No",G86="Yes"),"Cannot be Irreplaceable ▲",VLOOKUP(AV86,'G-1 All Habitats'!$B$2:$M$135,10,FALSE))))</f>
        <v/>
      </c>
      <c r="J86" s="276" t="str">
        <f>IFERROR(VLOOKUP(I86,'G-1 All Habitats'!$V$3:$W$7,2,FALSE),"")</f>
        <v/>
      </c>
      <c r="K86" s="52"/>
      <c r="L86" s="276" t="str">
        <f>IFERROR(INDEX('G-8 Condition Look up'!$A$3:$H$135,MATCH(AV86,'G-8 Condition Look up'!$A$3:$A$135,0),MATCH(K86,'G-8 Condition Look up'!$A$3:$H$3,0)),"")</f>
        <v/>
      </c>
      <c r="M86" s="52"/>
      <c r="N86" s="295" t="str">
        <f>IF(M86="","",IF(VLOOKUP(M86,'G-3 Multipliers'!$L$3:$N$6,2,FALSE)=0,"Spatial Data Missing",VLOOKUP(M86,'G-3 Multipliers'!$L$3:$N$6,2,FALSE)))</f>
        <v/>
      </c>
      <c r="O86" s="281" t="str">
        <f>IF(M86="","",IF(VLOOKUP(M86,'G-3 Multipliers'!$L$3:$N$6,3,FALSE)=0,"Spatial Data Missing ▲",VLOOKUP(M86,'G-3 Multipliers'!$L$3:$N$6,3,FALSE)))</f>
        <v/>
      </c>
      <c r="P86" s="282" t="str">
        <f>(IF(G86="Yes","Bespoke compensation likely to be required",(IFERROR(VLOOKUP(AV86,'G-1 All Habitats'!$B$2:$M$135,12,FALSE),""))))</f>
        <v/>
      </c>
      <c r="Q86" s="289" t="str">
        <f>IFERROR(IF(AND(F86&lt;&gt;"",G86=""),"Confirm irreplaceable habitat status ▲",(IF(AND(E86="Individual trees",T86&gt;0,G86="Yes"),"Error - you cannot enhance irreplaceable individual trees ▲",(IF(AND(U86="Irreplaceable habitat - no units generated ⚠",(S86+T86)&lt;H86,OR(Y86="No",Y86="")),"Any Loss Unacceptable ⚠",(IF(U86="Irreplaceable habitat - no units generated ⚠",T86*J86*L86*O86,IF(AND(P86='G-1 All Habitats'!$X$9,AC86&gt;0,S86&lt;=0,T86&lt;=0,OR(Y86="No",Y86="")),"Any Loss Unacceptable ⚠",IF(AND(P86='G-1 All Habitats'!$X$9,AC86&gt;0,S86&lt;=0,T86&lt;=0,Y86="Yes"),0,(IF(AND(P86='G-1 All Habitats'!$X$9,(S86+T86)&lt;H86,OR(Y86="No",Y86="")),"Any Loss Unacceptable ⚠",(IF(P86="","",IF(AND(P86='G-1 All Habitats'!$X$9,T86&gt;0),U86+V86,IF(AND(P86='G-1 All Habitats'!$X$9,S86&gt;0),U86+V86,H86*J86*L86*O86))))))))))))))),"Check Data ▲")</f>
        <v/>
      </c>
      <c r="R86" s="38"/>
      <c r="S86" s="52"/>
      <c r="T86" s="53"/>
      <c r="U86" s="287" t="str">
        <f t="shared" si="11"/>
        <v/>
      </c>
      <c r="V86" s="287" t="str">
        <f t="shared" si="12"/>
        <v/>
      </c>
      <c r="W86" s="287" t="str">
        <f t="shared" si="13"/>
        <v/>
      </c>
      <c r="X86" s="291" t="str">
        <f>IFERROR(IF(H86="","",IF(H86-S86-T86=0&lt;0,"Error in Areas ▲",IF(S86+T86&gt;H86,"Error in Areas ▲",IF(AND(P86='G-1 All Habitats'!$X$9,Y86="Yes"),"Alternative Compensation ✓",IF(AND(P86='G-1 All Habitats'!$X$3,Y86="Yes"),"Alternative Compensation ✓",IF(AND(Y86="Pending",P86='G-1 All Habitats'!$X$3),"Bespoke compensation must be agreed ▲",IF(AND(Y86="Pending",P86='G-1 All Habitats'!$X$9),"Bespoke compensation must be agreed  ▲",IF(W86=0,0,IF(P86='G-1 All Habitats'!$X$9,"Any Loss Unacceptable ▲",Q86-U86-V86))))))))),"Check Data ▲")</f>
        <v/>
      </c>
      <c r="Y86" s="53"/>
      <c r="Z86" s="105"/>
      <c r="AA86" s="233"/>
      <c r="AB86" s="104"/>
      <c r="AC86" s="512" t="str">
        <f>IF(OR(P86="",Y86="Yes"),"",IF(P86='G-1 All Habitats'!$X$9,H86-S86-T86,"None"))</f>
        <v/>
      </c>
      <c r="AD86" s="513" t="str">
        <f>IF(P86="","",IF(P86='G-1 All Habitats'!$X$9,AC86*J86*L86*O86,"None"))</f>
        <v/>
      </c>
      <c r="AE86" s="35" t="str">
        <f t="shared" si="9"/>
        <v/>
      </c>
      <c r="AF86" s="40" t="str">
        <f t="shared" si="14"/>
        <v/>
      </c>
      <c r="AG86" s="40" t="str">
        <f t="shared" si="10"/>
        <v/>
      </c>
      <c r="AH86" s="40" t="str">
        <f>IF(I86="","",IF(#REF!&gt;0,TRUE,FALSE))</f>
        <v/>
      </c>
      <c r="AI86" s="40">
        <v>76</v>
      </c>
      <c r="AJ86" s="40"/>
      <c r="AK86" s="40" t="str">
        <f t="array" ref="AK86">IFERROR(INDEX($AI$11:$AI$259,MATCH(0,IF(TRUE=$AF$11:$AF$259,COUNTIF($AK$10:$AK85,$AI$11:$AI$259),""),0)),"")</f>
        <v/>
      </c>
      <c r="AL86" s="40" t="str">
        <f t="array" ref="AL86">IFERROR(INDEX($AI$11:$AI$259,MATCH(0,IF(TRUE=$AG$11:$AG$259,COUNTIF($AL$10:$AL85,$AI$11:$AI$259),""),0)),"")</f>
        <v/>
      </c>
      <c r="AM86" s="40" t="str">
        <f t="array" ref="AM86">IFERROR(INDEX($AI$11:$AI$259,MATCH(0,IF(TRUE=$AH$11:$AH$259,COUNTIF($AM$10:$AM85,$AI$11:$AI$259),""),0)),"")</f>
        <v/>
      </c>
      <c r="AN86" s="40"/>
      <c r="AQ86" s="35">
        <f t="shared" si="15"/>
        <v>0</v>
      </c>
      <c r="AT86" s="885" t="str">
        <f>IF(AND(OR(Y86="Yes",Y86="Pending"),P86='G-1 All Habitats'!$X$3),Q86-U86-V86,"")</f>
        <v/>
      </c>
      <c r="AV86" s="542" t="str">
        <f>IFERROR(INDEX('G-1 All Habitats'!$B$3:$B$135,MATCH(F86,'G-1 All Habitats'!$A$3:$A$135,0)),"")</f>
        <v/>
      </c>
      <c r="AW86" s="35" t="str">
        <f>IF(AV86="","",VLOOKUP(AV86,'G-1 All Habitats'!$B$1:$T$135,19,FALSE))</f>
        <v/>
      </c>
    </row>
    <row r="87" spans="1:49" ht="14.5" hidden="1" thickBot="1">
      <c r="A87" s="35" t="str">
        <f>IFERROR(INDEX('G-1 All Habitats'!$AG$3:$AG$17,MATCH(E87,'G-1 All Habitats'!$AF$3:$AF$17,0)),"")</f>
        <v/>
      </c>
      <c r="B87" s="35" t="str">
        <f>IFERROR(INDEX('G-8 Condition Look up'!$I$4:$I$135,MATCH(AV87,'G-8 Condition Look up'!$A$4:$A$135,0)),"")</f>
        <v/>
      </c>
      <c r="D87" s="225">
        <v>77</v>
      </c>
      <c r="E87" s="211"/>
      <c r="F87" s="57"/>
      <c r="G87" s="263"/>
      <c r="H87" s="51"/>
      <c r="I87" s="275" t="str">
        <f>IF(AV87="","",IF(AND(AW87="Yes",G87="No"),"Irreplaceable habitat ▲",IF(AND(AW87="No",G87="Yes"),"Cannot be Irreplaceable ▲",VLOOKUP(AV87,'G-1 All Habitats'!$B$2:$M$135,10,FALSE))))</f>
        <v/>
      </c>
      <c r="J87" s="276" t="str">
        <f>IFERROR(VLOOKUP(I87,'G-1 All Habitats'!$V$3:$W$7,2,FALSE),"")</f>
        <v/>
      </c>
      <c r="K87" s="52"/>
      <c r="L87" s="276" t="str">
        <f>IFERROR(INDEX('G-8 Condition Look up'!$A$3:$H$135,MATCH(AV87,'G-8 Condition Look up'!$A$3:$A$135,0),MATCH(K87,'G-8 Condition Look up'!$A$3:$H$3,0)),"")</f>
        <v/>
      </c>
      <c r="M87" s="52"/>
      <c r="N87" s="295" t="str">
        <f>IF(M87="","",IF(VLOOKUP(M87,'G-3 Multipliers'!$L$3:$N$6,2,FALSE)=0,"Spatial Data Missing",VLOOKUP(M87,'G-3 Multipliers'!$L$3:$N$6,2,FALSE)))</f>
        <v/>
      </c>
      <c r="O87" s="281" t="str">
        <f>IF(M87="","",IF(VLOOKUP(M87,'G-3 Multipliers'!$L$3:$N$6,3,FALSE)=0,"Spatial Data Missing ▲",VLOOKUP(M87,'G-3 Multipliers'!$L$3:$N$6,3,FALSE)))</f>
        <v/>
      </c>
      <c r="P87" s="282" t="str">
        <f>(IF(G87="Yes","Bespoke compensation likely to be required",(IFERROR(VLOOKUP(AV87,'G-1 All Habitats'!$B$2:$M$135,12,FALSE),""))))</f>
        <v/>
      </c>
      <c r="Q87" s="289" t="str">
        <f>IFERROR(IF(AND(F87&lt;&gt;"",G87=""),"Confirm irreplaceable habitat status ▲",(IF(AND(E87="Individual trees",T87&gt;0,G87="Yes"),"Error - you cannot enhance irreplaceable individual trees ▲",(IF(AND(U87="Irreplaceable habitat - no units generated ⚠",(S87+T87)&lt;H87,OR(Y87="No",Y87="")),"Any Loss Unacceptable ⚠",(IF(U87="Irreplaceable habitat - no units generated ⚠",T87*J87*L87*O87,IF(AND(P87='G-1 All Habitats'!$X$9,AC87&gt;0,S87&lt;=0,T87&lt;=0,OR(Y87="No",Y87="")),"Any Loss Unacceptable ⚠",IF(AND(P87='G-1 All Habitats'!$X$9,AC87&gt;0,S87&lt;=0,T87&lt;=0,Y87="Yes"),0,(IF(AND(P87='G-1 All Habitats'!$X$9,(S87+T87)&lt;H87,OR(Y87="No",Y87="")),"Any Loss Unacceptable ⚠",(IF(P87="","",IF(AND(P87='G-1 All Habitats'!$X$9,T87&gt;0),U87+V87,IF(AND(P87='G-1 All Habitats'!$X$9,S87&gt;0),U87+V87,H87*J87*L87*O87))))))))))))))),"Check Data ▲")</f>
        <v/>
      </c>
      <c r="R87" s="38"/>
      <c r="S87" s="52"/>
      <c r="T87" s="53"/>
      <c r="U87" s="287" t="str">
        <f t="shared" si="11"/>
        <v/>
      </c>
      <c r="V87" s="287" t="str">
        <f t="shared" si="12"/>
        <v/>
      </c>
      <c r="W87" s="287" t="str">
        <f t="shared" si="13"/>
        <v/>
      </c>
      <c r="X87" s="291" t="str">
        <f>IFERROR(IF(H87="","",IF(H87-S87-T87=0&lt;0,"Error in Areas ▲",IF(S87+T87&gt;H87,"Error in Areas ▲",IF(AND(P87='G-1 All Habitats'!$X$9,Y87="Yes"),"Alternative Compensation ✓",IF(AND(P87='G-1 All Habitats'!$X$3,Y87="Yes"),"Alternative Compensation ✓",IF(AND(Y87="Pending",P87='G-1 All Habitats'!$X$3),"Bespoke compensation must be agreed ▲",IF(AND(Y87="Pending",P87='G-1 All Habitats'!$X$9),"Bespoke compensation must be agreed  ▲",IF(W87=0,0,IF(P87='G-1 All Habitats'!$X$9,"Any Loss Unacceptable ▲",Q87-U87-V87))))))))),"Check Data ▲")</f>
        <v/>
      </c>
      <c r="Y87" s="53"/>
      <c r="Z87" s="105"/>
      <c r="AA87" s="233"/>
      <c r="AB87" s="104"/>
      <c r="AC87" s="512" t="str">
        <f>IF(OR(P87="",Y87="Yes"),"",IF(P87='G-1 All Habitats'!$X$9,H87-S87-T87,"None"))</f>
        <v/>
      </c>
      <c r="AD87" s="513" t="str">
        <f>IF(P87="","",IF(P87='G-1 All Habitats'!$X$9,AC87*J87*L87*O87,"None"))</f>
        <v/>
      </c>
      <c r="AE87" s="35" t="str">
        <f t="shared" si="9"/>
        <v/>
      </c>
      <c r="AF87" s="40" t="str">
        <f t="shared" si="14"/>
        <v/>
      </c>
      <c r="AG87" s="40" t="str">
        <f t="shared" si="10"/>
        <v/>
      </c>
      <c r="AH87" s="40" t="str">
        <f>IF(I87="","",IF(#REF!&gt;0,TRUE,FALSE))</f>
        <v/>
      </c>
      <c r="AI87" s="40">
        <v>77</v>
      </c>
      <c r="AJ87" s="40"/>
      <c r="AK87" s="40" t="str">
        <f t="array" ref="AK87">IFERROR(INDEX($AI$11:$AI$259,MATCH(0,IF(TRUE=$AF$11:$AF$259,COUNTIF($AK$10:$AK86,$AI$11:$AI$259),""),0)),"")</f>
        <v/>
      </c>
      <c r="AL87" s="40" t="str">
        <f t="array" ref="AL87">IFERROR(INDEX($AI$11:$AI$259,MATCH(0,IF(TRUE=$AG$11:$AG$259,COUNTIF($AL$10:$AL86,$AI$11:$AI$259),""),0)),"")</f>
        <v/>
      </c>
      <c r="AM87" s="40" t="str">
        <f t="array" ref="AM87">IFERROR(INDEX($AI$11:$AI$259,MATCH(0,IF(TRUE=$AH$11:$AH$259,COUNTIF($AM$10:$AM86,$AI$11:$AI$259),""),0)),"")</f>
        <v/>
      </c>
      <c r="AN87" s="40"/>
      <c r="AQ87" s="35">
        <f t="shared" si="15"/>
        <v>0</v>
      </c>
      <c r="AT87" s="885" t="str">
        <f>IF(AND(OR(Y87="Yes",Y87="Pending"),P87='G-1 All Habitats'!$X$3),Q87-U87-V87,"")</f>
        <v/>
      </c>
      <c r="AV87" s="542" t="str">
        <f>IFERROR(INDEX('G-1 All Habitats'!$B$3:$B$135,MATCH(F87,'G-1 All Habitats'!$A$3:$A$135,0)),"")</f>
        <v/>
      </c>
      <c r="AW87" s="35" t="str">
        <f>IF(AV87="","",VLOOKUP(AV87,'G-1 All Habitats'!$B$1:$T$135,19,FALSE))</f>
        <v/>
      </c>
    </row>
    <row r="88" spans="1:49" ht="14.5" hidden="1" thickBot="1">
      <c r="A88" s="35" t="str">
        <f>IFERROR(INDEX('G-1 All Habitats'!$AG$3:$AG$17,MATCH(E88,'G-1 All Habitats'!$AF$3:$AF$17,0)),"")</f>
        <v/>
      </c>
      <c r="B88" s="35" t="str">
        <f>IFERROR(INDEX('G-8 Condition Look up'!$I$4:$I$135,MATCH(AV88,'G-8 Condition Look up'!$A$4:$A$135,0)),"")</f>
        <v/>
      </c>
      <c r="D88" s="225">
        <v>78</v>
      </c>
      <c r="E88" s="211"/>
      <c r="F88" s="57"/>
      <c r="G88" s="263"/>
      <c r="H88" s="51"/>
      <c r="I88" s="275" t="str">
        <f>IF(AV88="","",IF(AND(AW88="Yes",G88="No"),"Irreplaceable habitat ▲",IF(AND(AW88="No",G88="Yes"),"Cannot be Irreplaceable ▲",VLOOKUP(AV88,'G-1 All Habitats'!$B$2:$M$135,10,FALSE))))</f>
        <v/>
      </c>
      <c r="J88" s="276" t="str">
        <f>IFERROR(VLOOKUP(I88,'G-1 All Habitats'!$V$3:$W$7,2,FALSE),"")</f>
        <v/>
      </c>
      <c r="K88" s="52"/>
      <c r="L88" s="276" t="str">
        <f>IFERROR(INDEX('G-8 Condition Look up'!$A$3:$H$135,MATCH(AV88,'G-8 Condition Look up'!$A$3:$A$135,0),MATCH(K88,'G-8 Condition Look up'!$A$3:$H$3,0)),"")</f>
        <v/>
      </c>
      <c r="M88" s="52"/>
      <c r="N88" s="295" t="str">
        <f>IF(M88="","",IF(VLOOKUP(M88,'G-3 Multipliers'!$L$3:$N$6,2,FALSE)=0,"Spatial Data Missing",VLOOKUP(M88,'G-3 Multipliers'!$L$3:$N$6,2,FALSE)))</f>
        <v/>
      </c>
      <c r="O88" s="281" t="str">
        <f>IF(M88="","",IF(VLOOKUP(M88,'G-3 Multipliers'!$L$3:$N$6,3,FALSE)=0,"Spatial Data Missing ▲",VLOOKUP(M88,'G-3 Multipliers'!$L$3:$N$6,3,FALSE)))</f>
        <v/>
      </c>
      <c r="P88" s="282" t="str">
        <f>(IF(G88="Yes","Bespoke compensation likely to be required",(IFERROR(VLOOKUP(AV88,'G-1 All Habitats'!$B$2:$M$135,12,FALSE),""))))</f>
        <v/>
      </c>
      <c r="Q88" s="289" t="str">
        <f>IFERROR(IF(AND(F88&lt;&gt;"",G88=""),"Confirm irreplaceable habitat status ▲",(IF(AND(E88="Individual trees",T88&gt;0,G88="Yes"),"Error - you cannot enhance irreplaceable individual trees ▲",(IF(AND(U88="Irreplaceable habitat - no units generated ⚠",(S88+T88)&lt;H88,OR(Y88="No",Y88="")),"Any Loss Unacceptable ⚠",(IF(U88="Irreplaceable habitat - no units generated ⚠",T88*J88*L88*O88,IF(AND(P88='G-1 All Habitats'!$X$9,AC88&gt;0,S88&lt;=0,T88&lt;=0,OR(Y88="No",Y88="")),"Any Loss Unacceptable ⚠",IF(AND(P88='G-1 All Habitats'!$X$9,AC88&gt;0,S88&lt;=0,T88&lt;=0,Y88="Yes"),0,(IF(AND(P88='G-1 All Habitats'!$X$9,(S88+T88)&lt;H88,OR(Y88="No",Y88="")),"Any Loss Unacceptable ⚠",(IF(P88="","",IF(AND(P88='G-1 All Habitats'!$X$9,T88&gt;0),U88+V88,IF(AND(P88='G-1 All Habitats'!$X$9,S88&gt;0),U88+V88,H88*J88*L88*O88))))))))))))))),"Check Data ▲")</f>
        <v/>
      </c>
      <c r="R88" s="38"/>
      <c r="S88" s="52"/>
      <c r="T88" s="53"/>
      <c r="U88" s="287" t="str">
        <f t="shared" si="11"/>
        <v/>
      </c>
      <c r="V88" s="287" t="str">
        <f t="shared" si="12"/>
        <v/>
      </c>
      <c r="W88" s="287" t="str">
        <f t="shared" si="13"/>
        <v/>
      </c>
      <c r="X88" s="291" t="str">
        <f>IFERROR(IF(H88="","",IF(H88-S88-T88=0&lt;0,"Error in Areas ▲",IF(S88+T88&gt;H88,"Error in Areas ▲",IF(AND(P88='G-1 All Habitats'!$X$9,Y88="Yes"),"Alternative Compensation ✓",IF(AND(P88='G-1 All Habitats'!$X$3,Y88="Yes"),"Alternative Compensation ✓",IF(AND(Y88="Pending",P88='G-1 All Habitats'!$X$3),"Bespoke compensation must be agreed ▲",IF(AND(Y88="Pending",P88='G-1 All Habitats'!$X$9),"Bespoke compensation must be agreed  ▲",IF(W88=0,0,IF(P88='G-1 All Habitats'!$X$9,"Any Loss Unacceptable ▲",Q88-U88-V88))))))))),"Check Data ▲")</f>
        <v/>
      </c>
      <c r="Y88" s="53"/>
      <c r="Z88" s="105"/>
      <c r="AA88" s="233"/>
      <c r="AB88" s="104"/>
      <c r="AC88" s="512" t="str">
        <f>IF(OR(P88="",Y88="Yes"),"",IF(P88='G-1 All Habitats'!$X$9,H88-S88-T88,"None"))</f>
        <v/>
      </c>
      <c r="AD88" s="513" t="str">
        <f>IF(P88="","",IF(P88='G-1 All Habitats'!$X$9,AC88*J88*L88*O88,"None"))</f>
        <v/>
      </c>
      <c r="AE88" s="35" t="str">
        <f t="shared" si="9"/>
        <v/>
      </c>
      <c r="AF88" s="40" t="str">
        <f t="shared" si="14"/>
        <v/>
      </c>
      <c r="AG88" s="40" t="str">
        <f t="shared" si="10"/>
        <v/>
      </c>
      <c r="AH88" s="40" t="str">
        <f>IF(I88="","",IF(#REF!&gt;0,TRUE,FALSE))</f>
        <v/>
      </c>
      <c r="AI88" s="40">
        <v>78</v>
      </c>
      <c r="AJ88" s="40"/>
      <c r="AK88" s="40" t="str">
        <f t="array" ref="AK88">IFERROR(INDEX($AI$11:$AI$259,MATCH(0,IF(TRUE=$AF$11:$AF$259,COUNTIF($AK$10:$AK87,$AI$11:$AI$259),""),0)),"")</f>
        <v/>
      </c>
      <c r="AL88" s="40" t="str">
        <f t="array" ref="AL88">IFERROR(INDEX($AI$11:$AI$259,MATCH(0,IF(TRUE=$AG$11:$AG$259,COUNTIF($AL$10:$AL87,$AI$11:$AI$259),""),0)),"")</f>
        <v/>
      </c>
      <c r="AM88" s="40" t="str">
        <f t="array" ref="AM88">IFERROR(INDEX($AI$11:$AI$259,MATCH(0,IF(TRUE=$AH$11:$AH$259,COUNTIF($AM$10:$AM87,$AI$11:$AI$259),""),0)),"")</f>
        <v/>
      </c>
      <c r="AN88" s="40"/>
      <c r="AQ88" s="35">
        <f t="shared" si="15"/>
        <v>0</v>
      </c>
      <c r="AT88" s="885" t="str">
        <f>IF(AND(OR(Y88="Yes",Y88="Pending"),P88='G-1 All Habitats'!$X$3),Q88-U88-V88,"")</f>
        <v/>
      </c>
      <c r="AV88" s="542" t="str">
        <f>IFERROR(INDEX('G-1 All Habitats'!$B$3:$B$135,MATCH(F88,'G-1 All Habitats'!$A$3:$A$135,0)),"")</f>
        <v/>
      </c>
      <c r="AW88" s="35" t="str">
        <f>IF(AV88="","",VLOOKUP(AV88,'G-1 All Habitats'!$B$1:$T$135,19,FALSE))</f>
        <v/>
      </c>
    </row>
    <row r="89" spans="1:49" ht="14.5" hidden="1" thickBot="1">
      <c r="A89" s="35" t="str">
        <f>IFERROR(INDEX('G-1 All Habitats'!$AG$3:$AG$17,MATCH(E89,'G-1 All Habitats'!$AF$3:$AF$17,0)),"")</f>
        <v/>
      </c>
      <c r="B89" s="35" t="str">
        <f>IFERROR(INDEX('G-8 Condition Look up'!$I$4:$I$135,MATCH(AV89,'G-8 Condition Look up'!$A$4:$A$135,0)),"")</f>
        <v/>
      </c>
      <c r="D89" s="225">
        <v>79</v>
      </c>
      <c r="E89" s="211"/>
      <c r="F89" s="57"/>
      <c r="G89" s="263"/>
      <c r="H89" s="51"/>
      <c r="I89" s="275" t="str">
        <f>IF(AV89="","",IF(AND(AW89="Yes",G89="No"),"Irreplaceable habitat ▲",IF(AND(AW89="No",G89="Yes"),"Cannot be Irreplaceable ▲",VLOOKUP(AV89,'G-1 All Habitats'!$B$2:$M$135,10,FALSE))))</f>
        <v/>
      </c>
      <c r="J89" s="276" t="str">
        <f>IFERROR(VLOOKUP(I89,'G-1 All Habitats'!$V$3:$W$7,2,FALSE),"")</f>
        <v/>
      </c>
      <c r="K89" s="52"/>
      <c r="L89" s="276" t="str">
        <f>IFERROR(INDEX('G-8 Condition Look up'!$A$3:$H$135,MATCH(AV89,'G-8 Condition Look up'!$A$3:$A$135,0),MATCH(K89,'G-8 Condition Look up'!$A$3:$H$3,0)),"")</f>
        <v/>
      </c>
      <c r="M89" s="52"/>
      <c r="N89" s="295" t="str">
        <f>IF(M89="","",IF(VLOOKUP(M89,'G-3 Multipliers'!$L$3:$N$6,2,FALSE)=0,"Spatial Data Missing",VLOOKUP(M89,'G-3 Multipliers'!$L$3:$N$6,2,FALSE)))</f>
        <v/>
      </c>
      <c r="O89" s="281" t="str">
        <f>IF(M89="","",IF(VLOOKUP(M89,'G-3 Multipliers'!$L$3:$N$6,3,FALSE)=0,"Spatial Data Missing ▲",VLOOKUP(M89,'G-3 Multipliers'!$L$3:$N$6,3,FALSE)))</f>
        <v/>
      </c>
      <c r="P89" s="282" t="str">
        <f>(IF(G89="Yes","Bespoke compensation likely to be required",(IFERROR(VLOOKUP(AV89,'G-1 All Habitats'!$B$2:$M$135,12,FALSE),""))))</f>
        <v/>
      </c>
      <c r="Q89" s="289" t="str">
        <f>IFERROR(IF(AND(F89&lt;&gt;"",G89=""),"Confirm irreplaceable habitat status ▲",(IF(AND(E89="Individual trees",T89&gt;0,G89="Yes"),"Error - you cannot enhance irreplaceable individual trees ▲",(IF(AND(U89="Irreplaceable habitat - no units generated ⚠",(S89+T89)&lt;H89,OR(Y89="No",Y89="")),"Any Loss Unacceptable ⚠",(IF(U89="Irreplaceable habitat - no units generated ⚠",T89*J89*L89*O89,IF(AND(P89='G-1 All Habitats'!$X$9,AC89&gt;0,S89&lt;=0,T89&lt;=0,OR(Y89="No",Y89="")),"Any Loss Unacceptable ⚠",IF(AND(P89='G-1 All Habitats'!$X$9,AC89&gt;0,S89&lt;=0,T89&lt;=0,Y89="Yes"),0,(IF(AND(P89='G-1 All Habitats'!$X$9,(S89+T89)&lt;H89,OR(Y89="No",Y89="")),"Any Loss Unacceptable ⚠",(IF(P89="","",IF(AND(P89='G-1 All Habitats'!$X$9,T89&gt;0),U89+V89,IF(AND(P89='G-1 All Habitats'!$X$9,S89&gt;0),U89+V89,H89*J89*L89*O89))))))))))))))),"Check Data ▲")</f>
        <v/>
      </c>
      <c r="R89" s="38"/>
      <c r="S89" s="52"/>
      <c r="T89" s="53"/>
      <c r="U89" s="287" t="str">
        <f t="shared" si="11"/>
        <v/>
      </c>
      <c r="V89" s="287" t="str">
        <f t="shared" si="12"/>
        <v/>
      </c>
      <c r="W89" s="287" t="str">
        <f t="shared" si="13"/>
        <v/>
      </c>
      <c r="X89" s="291" t="str">
        <f>IFERROR(IF(H89="","",IF(H89-S89-T89=0&lt;0,"Error in Areas ▲",IF(S89+T89&gt;H89,"Error in Areas ▲",IF(AND(P89='G-1 All Habitats'!$X$9,Y89="Yes"),"Alternative Compensation ✓",IF(AND(P89='G-1 All Habitats'!$X$3,Y89="Yes"),"Alternative Compensation ✓",IF(AND(Y89="Pending",P89='G-1 All Habitats'!$X$3),"Bespoke compensation must be agreed ▲",IF(AND(Y89="Pending",P89='G-1 All Habitats'!$X$9),"Bespoke compensation must be agreed  ▲",IF(W89=0,0,IF(P89='G-1 All Habitats'!$X$9,"Any Loss Unacceptable ▲",Q89-U89-V89))))))))),"Check Data ▲")</f>
        <v/>
      </c>
      <c r="Y89" s="53"/>
      <c r="Z89" s="105"/>
      <c r="AA89" s="233"/>
      <c r="AB89" s="104"/>
      <c r="AC89" s="512" t="str">
        <f>IF(OR(P89="",Y89="Yes"),"",IF(P89='G-1 All Habitats'!$X$9,H89-S89-T89,"None"))</f>
        <v/>
      </c>
      <c r="AD89" s="513" t="str">
        <f>IF(P89="","",IF(P89='G-1 All Habitats'!$X$9,AC89*J89*L89*O89,"None"))</f>
        <v/>
      </c>
      <c r="AE89" s="35" t="str">
        <f t="shared" si="9"/>
        <v/>
      </c>
      <c r="AF89" s="40" t="str">
        <f t="shared" si="14"/>
        <v/>
      </c>
      <c r="AG89" s="40" t="str">
        <f t="shared" si="10"/>
        <v/>
      </c>
      <c r="AH89" s="40" t="str">
        <f>IF(I89="","",IF(#REF!&gt;0,TRUE,FALSE))</f>
        <v/>
      </c>
      <c r="AI89" s="40">
        <v>79</v>
      </c>
      <c r="AJ89" s="40"/>
      <c r="AK89" s="40" t="str">
        <f t="array" ref="AK89">IFERROR(INDEX($AI$11:$AI$259,MATCH(0,IF(TRUE=$AF$11:$AF$259,COUNTIF($AK$10:$AK88,$AI$11:$AI$259),""),0)),"")</f>
        <v/>
      </c>
      <c r="AL89" s="40" t="str">
        <f t="array" ref="AL89">IFERROR(INDEX($AI$11:$AI$259,MATCH(0,IF(TRUE=$AG$11:$AG$259,COUNTIF($AL$10:$AL88,$AI$11:$AI$259),""),0)),"")</f>
        <v/>
      </c>
      <c r="AM89" s="40" t="str">
        <f t="array" ref="AM89">IFERROR(INDEX($AI$11:$AI$259,MATCH(0,IF(TRUE=$AH$11:$AH$259,COUNTIF($AM$10:$AM88,$AI$11:$AI$259),""),0)),"")</f>
        <v/>
      </c>
      <c r="AN89" s="40"/>
      <c r="AQ89" s="35">
        <f t="shared" si="15"/>
        <v>0</v>
      </c>
      <c r="AT89" s="885" t="str">
        <f>IF(AND(OR(Y89="Yes",Y89="Pending"),P89='G-1 All Habitats'!$X$3),Q89-U89-V89,"")</f>
        <v/>
      </c>
      <c r="AV89" s="542" t="str">
        <f>IFERROR(INDEX('G-1 All Habitats'!$B$3:$B$135,MATCH(F89,'G-1 All Habitats'!$A$3:$A$135,0)),"")</f>
        <v/>
      </c>
      <c r="AW89" s="35" t="str">
        <f>IF(AV89="","",VLOOKUP(AV89,'G-1 All Habitats'!$B$1:$T$135,19,FALSE))</f>
        <v/>
      </c>
    </row>
    <row r="90" spans="1:49" ht="14.5" hidden="1" thickBot="1">
      <c r="A90" s="35" t="str">
        <f>IFERROR(INDEX('G-1 All Habitats'!$AG$3:$AG$17,MATCH(E90,'G-1 All Habitats'!$AF$3:$AF$17,0)),"")</f>
        <v/>
      </c>
      <c r="B90" s="35" t="str">
        <f>IFERROR(INDEX('G-8 Condition Look up'!$I$4:$I$135,MATCH(AV90,'G-8 Condition Look up'!$A$4:$A$135,0)),"")</f>
        <v/>
      </c>
      <c r="D90" s="225">
        <v>80</v>
      </c>
      <c r="E90" s="211"/>
      <c r="F90" s="57"/>
      <c r="G90" s="263"/>
      <c r="H90" s="51"/>
      <c r="I90" s="275" t="str">
        <f>IF(AV90="","",IF(AND(AW90="Yes",G90="No"),"Irreplaceable habitat ▲",IF(AND(AW90="No",G90="Yes"),"Cannot be Irreplaceable ▲",VLOOKUP(AV90,'G-1 All Habitats'!$B$2:$M$135,10,FALSE))))</f>
        <v/>
      </c>
      <c r="J90" s="276" t="str">
        <f>IFERROR(VLOOKUP(I90,'G-1 All Habitats'!$V$3:$W$7,2,FALSE),"")</f>
        <v/>
      </c>
      <c r="K90" s="52"/>
      <c r="L90" s="276" t="str">
        <f>IFERROR(INDEX('G-8 Condition Look up'!$A$3:$H$135,MATCH(AV90,'G-8 Condition Look up'!$A$3:$A$135,0),MATCH(K90,'G-8 Condition Look up'!$A$3:$H$3,0)),"")</f>
        <v/>
      </c>
      <c r="M90" s="52"/>
      <c r="N90" s="295" t="str">
        <f>IF(M90="","",IF(VLOOKUP(M90,'G-3 Multipliers'!$L$3:$N$6,2,FALSE)=0,"Spatial Data Missing",VLOOKUP(M90,'G-3 Multipliers'!$L$3:$N$6,2,FALSE)))</f>
        <v/>
      </c>
      <c r="O90" s="281" t="str">
        <f>IF(M90="","",IF(VLOOKUP(M90,'G-3 Multipliers'!$L$3:$N$6,3,FALSE)=0,"Spatial Data Missing ▲",VLOOKUP(M90,'G-3 Multipliers'!$L$3:$N$6,3,FALSE)))</f>
        <v/>
      </c>
      <c r="P90" s="282" t="str">
        <f>(IF(G90="Yes","Bespoke compensation likely to be required",(IFERROR(VLOOKUP(AV90,'G-1 All Habitats'!$B$2:$M$135,12,FALSE),""))))</f>
        <v/>
      </c>
      <c r="Q90" s="289" t="str">
        <f>IFERROR(IF(AND(F90&lt;&gt;"",G90=""),"Confirm irreplaceable habitat status ▲",(IF(AND(E90="Individual trees",T90&gt;0,G90="Yes"),"Error - you cannot enhance irreplaceable individual trees ▲",(IF(AND(U90="Irreplaceable habitat - no units generated ⚠",(S90+T90)&lt;H90,OR(Y90="No",Y90="")),"Any Loss Unacceptable ⚠",(IF(U90="Irreplaceable habitat - no units generated ⚠",T90*J90*L90*O90,IF(AND(P90='G-1 All Habitats'!$X$9,AC90&gt;0,S90&lt;=0,T90&lt;=0,OR(Y90="No",Y90="")),"Any Loss Unacceptable ⚠",IF(AND(P90='G-1 All Habitats'!$X$9,AC90&gt;0,S90&lt;=0,T90&lt;=0,Y90="Yes"),0,(IF(AND(P90='G-1 All Habitats'!$X$9,(S90+T90)&lt;H90,OR(Y90="No",Y90="")),"Any Loss Unacceptable ⚠",(IF(P90="","",IF(AND(P90='G-1 All Habitats'!$X$9,T90&gt;0),U90+V90,IF(AND(P90='G-1 All Habitats'!$X$9,S90&gt;0),U90+V90,H90*J90*L90*O90))))))))))))))),"Check Data ▲")</f>
        <v/>
      </c>
      <c r="R90" s="38"/>
      <c r="S90" s="52"/>
      <c r="T90" s="53"/>
      <c r="U90" s="287" t="str">
        <f t="shared" si="11"/>
        <v/>
      </c>
      <c r="V90" s="287" t="str">
        <f t="shared" si="12"/>
        <v/>
      </c>
      <c r="W90" s="287" t="str">
        <f t="shared" si="13"/>
        <v/>
      </c>
      <c r="X90" s="291" t="str">
        <f>IFERROR(IF(H90="","",IF(H90-S90-T90=0&lt;0,"Error in Areas ▲",IF(S90+T90&gt;H90,"Error in Areas ▲",IF(AND(P90='G-1 All Habitats'!$X$9,Y90="Yes"),"Alternative Compensation ✓",IF(AND(P90='G-1 All Habitats'!$X$3,Y90="Yes"),"Alternative Compensation ✓",IF(AND(Y90="Pending",P90='G-1 All Habitats'!$X$3),"Bespoke compensation must be agreed ▲",IF(AND(Y90="Pending",P90='G-1 All Habitats'!$X$9),"Bespoke compensation must be agreed  ▲",IF(W90=0,0,IF(P90='G-1 All Habitats'!$X$9,"Any Loss Unacceptable ▲",Q90-U90-V90))))))))),"Check Data ▲")</f>
        <v/>
      </c>
      <c r="Y90" s="53"/>
      <c r="Z90" s="105"/>
      <c r="AA90" s="233"/>
      <c r="AB90" s="104"/>
      <c r="AC90" s="512" t="str">
        <f>IF(OR(P90="",Y90="Yes"),"",IF(P90='G-1 All Habitats'!$X$9,H90-S90-T90,"None"))</f>
        <v/>
      </c>
      <c r="AD90" s="513" t="str">
        <f>IF(P90="","",IF(P90='G-1 All Habitats'!$X$9,AC90*J90*L90*O90,"None"))</f>
        <v/>
      </c>
      <c r="AE90" s="35" t="str">
        <f t="shared" si="9"/>
        <v/>
      </c>
      <c r="AF90" s="40" t="str">
        <f t="shared" si="14"/>
        <v/>
      </c>
      <c r="AG90" s="40" t="str">
        <f t="shared" si="10"/>
        <v/>
      </c>
      <c r="AH90" s="40" t="str">
        <f>IF(I90="","",IF(#REF!&gt;0,TRUE,FALSE))</f>
        <v/>
      </c>
      <c r="AI90" s="40">
        <v>80</v>
      </c>
      <c r="AJ90" s="40"/>
      <c r="AK90" s="40" t="str">
        <f t="array" ref="AK90">IFERROR(INDEX($AI$11:$AI$259,MATCH(0,IF(TRUE=$AF$11:$AF$259,COUNTIF($AK$10:$AK89,$AI$11:$AI$259),""),0)),"")</f>
        <v/>
      </c>
      <c r="AL90" s="40" t="str">
        <f t="array" ref="AL90">IFERROR(INDEX($AI$11:$AI$259,MATCH(0,IF(TRUE=$AG$11:$AG$259,COUNTIF($AL$10:$AL89,$AI$11:$AI$259),""),0)),"")</f>
        <v/>
      </c>
      <c r="AM90" s="40" t="str">
        <f t="array" ref="AM90">IFERROR(INDEX($AI$11:$AI$259,MATCH(0,IF(TRUE=$AH$11:$AH$259,COUNTIF($AM$10:$AM89,$AI$11:$AI$259),""),0)),"")</f>
        <v/>
      </c>
      <c r="AN90" s="40"/>
      <c r="AQ90" s="35">
        <f t="shared" si="15"/>
        <v>0</v>
      </c>
      <c r="AT90" s="885" t="str">
        <f>IF(AND(OR(Y90="Yes",Y90="Pending"),P90='G-1 All Habitats'!$X$3),Q90-U90-V90,"")</f>
        <v/>
      </c>
      <c r="AV90" s="542" t="str">
        <f>IFERROR(INDEX('G-1 All Habitats'!$B$3:$B$135,MATCH(F90,'G-1 All Habitats'!$A$3:$A$135,0)),"")</f>
        <v/>
      </c>
      <c r="AW90" s="35" t="str">
        <f>IF(AV90="","",VLOOKUP(AV90,'G-1 All Habitats'!$B$1:$T$135,19,FALSE))</f>
        <v/>
      </c>
    </row>
    <row r="91" spans="1:49" ht="14.5" hidden="1" thickBot="1">
      <c r="A91" s="35" t="str">
        <f>IFERROR(INDEX('G-1 All Habitats'!$AG$3:$AG$17,MATCH(E91,'G-1 All Habitats'!$AF$3:$AF$17,0)),"")</f>
        <v/>
      </c>
      <c r="B91" s="35" t="str">
        <f>IFERROR(INDEX('G-8 Condition Look up'!$I$4:$I$135,MATCH(AV91,'G-8 Condition Look up'!$A$4:$A$135,0)),"")</f>
        <v/>
      </c>
      <c r="D91" s="225">
        <v>81</v>
      </c>
      <c r="E91" s="211"/>
      <c r="F91" s="57"/>
      <c r="G91" s="263"/>
      <c r="H91" s="51"/>
      <c r="I91" s="275" t="str">
        <f>IF(AV91="","",IF(AND(AW91="Yes",G91="No"),"Irreplaceable habitat ▲",IF(AND(AW91="No",G91="Yes"),"Cannot be Irreplaceable ▲",VLOOKUP(AV91,'G-1 All Habitats'!$B$2:$M$135,10,FALSE))))</f>
        <v/>
      </c>
      <c r="J91" s="276" t="str">
        <f>IFERROR(VLOOKUP(I91,'G-1 All Habitats'!$V$3:$W$7,2,FALSE),"")</f>
        <v/>
      </c>
      <c r="K91" s="52"/>
      <c r="L91" s="276" t="str">
        <f>IFERROR(INDEX('G-8 Condition Look up'!$A$3:$H$135,MATCH(AV91,'G-8 Condition Look up'!$A$3:$A$135,0),MATCH(K91,'G-8 Condition Look up'!$A$3:$H$3,0)),"")</f>
        <v/>
      </c>
      <c r="M91" s="52"/>
      <c r="N91" s="295" t="str">
        <f>IF(M91="","",IF(VLOOKUP(M91,'G-3 Multipliers'!$L$3:$N$6,2,FALSE)=0,"Spatial Data Missing",VLOOKUP(M91,'G-3 Multipliers'!$L$3:$N$6,2,FALSE)))</f>
        <v/>
      </c>
      <c r="O91" s="281" t="str">
        <f>IF(M91="","",IF(VLOOKUP(M91,'G-3 Multipliers'!$L$3:$N$6,3,FALSE)=0,"Spatial Data Missing ▲",VLOOKUP(M91,'G-3 Multipliers'!$L$3:$N$6,3,FALSE)))</f>
        <v/>
      </c>
      <c r="P91" s="282" t="str">
        <f>(IF(G91="Yes","Bespoke compensation likely to be required",(IFERROR(VLOOKUP(AV91,'G-1 All Habitats'!$B$2:$M$135,12,FALSE),""))))</f>
        <v/>
      </c>
      <c r="Q91" s="289" t="str">
        <f>IFERROR(IF(AND(F91&lt;&gt;"",G91=""),"Confirm irreplaceable habitat status ▲",(IF(AND(E91="Individual trees",T91&gt;0,G91="Yes"),"Error - you cannot enhance irreplaceable individual trees ▲",(IF(AND(U91="Irreplaceable habitat - no units generated ⚠",(S91+T91)&lt;H91,OR(Y91="No",Y91="")),"Any Loss Unacceptable ⚠",(IF(U91="Irreplaceable habitat - no units generated ⚠",T91*J91*L91*O91,IF(AND(P91='G-1 All Habitats'!$X$9,AC91&gt;0,S91&lt;=0,T91&lt;=0,OR(Y91="No",Y91="")),"Any Loss Unacceptable ⚠",IF(AND(P91='G-1 All Habitats'!$X$9,AC91&gt;0,S91&lt;=0,T91&lt;=0,Y91="Yes"),0,(IF(AND(P91='G-1 All Habitats'!$X$9,(S91+T91)&lt;H91,OR(Y91="No",Y91="")),"Any Loss Unacceptable ⚠",(IF(P91="","",IF(AND(P91='G-1 All Habitats'!$X$9,T91&gt;0),U91+V91,IF(AND(P91='G-1 All Habitats'!$X$9,S91&gt;0),U91+V91,H91*J91*L91*O91))))))))))))))),"Check Data ▲")</f>
        <v/>
      </c>
      <c r="R91" s="38"/>
      <c r="S91" s="52"/>
      <c r="T91" s="53"/>
      <c r="U91" s="287" t="str">
        <f t="shared" si="11"/>
        <v/>
      </c>
      <c r="V91" s="287" t="str">
        <f t="shared" si="12"/>
        <v/>
      </c>
      <c r="W91" s="287" t="str">
        <f t="shared" si="13"/>
        <v/>
      </c>
      <c r="X91" s="291" t="str">
        <f>IFERROR(IF(H91="","",IF(H91-S91-T91=0&lt;0,"Error in Areas ▲",IF(S91+T91&gt;H91,"Error in Areas ▲",IF(AND(P91='G-1 All Habitats'!$X$9,Y91="Yes"),"Alternative Compensation ✓",IF(AND(P91='G-1 All Habitats'!$X$3,Y91="Yes"),"Alternative Compensation ✓",IF(AND(Y91="Pending",P91='G-1 All Habitats'!$X$3),"Bespoke compensation must be agreed ▲",IF(AND(Y91="Pending",P91='G-1 All Habitats'!$X$9),"Bespoke compensation must be agreed  ▲",IF(W91=0,0,IF(P91='G-1 All Habitats'!$X$9,"Any Loss Unacceptable ▲",Q91-U91-V91))))))))),"Check Data ▲")</f>
        <v/>
      </c>
      <c r="Y91" s="53"/>
      <c r="Z91" s="105"/>
      <c r="AA91" s="233"/>
      <c r="AB91" s="104"/>
      <c r="AC91" s="512" t="str">
        <f>IF(OR(P91="",Y91="Yes"),"",IF(P91='G-1 All Habitats'!$X$9,H91-S91-T91,"None"))</f>
        <v/>
      </c>
      <c r="AD91" s="513" t="str">
        <f>IF(P91="","",IF(P91='G-1 All Habitats'!$X$9,AC91*J91*L91*O91,"None"))</f>
        <v/>
      </c>
      <c r="AE91" s="35" t="str">
        <f t="shared" si="9"/>
        <v/>
      </c>
      <c r="AF91" s="40" t="str">
        <f t="shared" si="14"/>
        <v/>
      </c>
      <c r="AG91" s="40" t="str">
        <f t="shared" si="10"/>
        <v/>
      </c>
      <c r="AH91" s="40" t="str">
        <f>IF(I91="","",IF(#REF!&gt;0,TRUE,FALSE))</f>
        <v/>
      </c>
      <c r="AI91" s="40">
        <v>81</v>
      </c>
      <c r="AJ91" s="40"/>
      <c r="AK91" s="40" t="str">
        <f t="array" ref="AK91">IFERROR(INDEX($AI$11:$AI$259,MATCH(0,IF(TRUE=$AF$11:$AF$259,COUNTIF($AK$10:$AK90,$AI$11:$AI$259),""),0)),"")</f>
        <v/>
      </c>
      <c r="AL91" s="40" t="str">
        <f t="array" ref="AL91">IFERROR(INDEX($AI$11:$AI$259,MATCH(0,IF(TRUE=$AG$11:$AG$259,COUNTIF($AL$10:$AL90,$AI$11:$AI$259),""),0)),"")</f>
        <v/>
      </c>
      <c r="AM91" s="40" t="str">
        <f t="array" ref="AM91">IFERROR(INDEX($AI$11:$AI$259,MATCH(0,IF(TRUE=$AH$11:$AH$259,COUNTIF($AM$10:$AM90,$AI$11:$AI$259),""),0)),"")</f>
        <v/>
      </c>
      <c r="AN91" s="40"/>
      <c r="AQ91" s="35">
        <f t="shared" si="15"/>
        <v>0</v>
      </c>
      <c r="AT91" s="885" t="str">
        <f>IF(AND(OR(Y91="Yes",Y91="Pending"),P91='G-1 All Habitats'!$X$3),Q91-U91-V91,"")</f>
        <v/>
      </c>
      <c r="AV91" s="542" t="str">
        <f>IFERROR(INDEX('G-1 All Habitats'!$B$3:$B$135,MATCH(F91,'G-1 All Habitats'!$A$3:$A$135,0)),"")</f>
        <v/>
      </c>
      <c r="AW91" s="35" t="str">
        <f>IF(AV91="","",VLOOKUP(AV91,'G-1 All Habitats'!$B$1:$T$135,19,FALSE))</f>
        <v/>
      </c>
    </row>
    <row r="92" spans="1:49" ht="14.5" hidden="1" thickBot="1">
      <c r="A92" s="35" t="str">
        <f>IFERROR(INDEX('G-1 All Habitats'!$AG$3:$AG$17,MATCH(E92,'G-1 All Habitats'!$AF$3:$AF$17,0)),"")</f>
        <v/>
      </c>
      <c r="B92" s="35" t="str">
        <f>IFERROR(INDEX('G-8 Condition Look up'!$I$4:$I$135,MATCH(AV92,'G-8 Condition Look up'!$A$4:$A$135,0)),"")</f>
        <v/>
      </c>
      <c r="D92" s="225">
        <v>82</v>
      </c>
      <c r="E92" s="211"/>
      <c r="F92" s="57"/>
      <c r="G92" s="263"/>
      <c r="H92" s="51"/>
      <c r="I92" s="275" t="str">
        <f>IF(AV92="","",IF(AND(AW92="Yes",G92="No"),"Irreplaceable habitat ▲",IF(AND(AW92="No",G92="Yes"),"Cannot be Irreplaceable ▲",VLOOKUP(AV92,'G-1 All Habitats'!$B$2:$M$135,10,FALSE))))</f>
        <v/>
      </c>
      <c r="J92" s="276" t="str">
        <f>IFERROR(VLOOKUP(I92,'G-1 All Habitats'!$V$3:$W$7,2,FALSE),"")</f>
        <v/>
      </c>
      <c r="K92" s="52"/>
      <c r="L92" s="276" t="str">
        <f>IFERROR(INDEX('G-8 Condition Look up'!$A$3:$H$135,MATCH(AV92,'G-8 Condition Look up'!$A$3:$A$135,0),MATCH(K92,'G-8 Condition Look up'!$A$3:$H$3,0)),"")</f>
        <v/>
      </c>
      <c r="M92" s="52"/>
      <c r="N92" s="295" t="str">
        <f>IF(M92="","",IF(VLOOKUP(M92,'G-3 Multipliers'!$L$3:$N$6,2,FALSE)=0,"Spatial Data Missing",VLOOKUP(M92,'G-3 Multipliers'!$L$3:$N$6,2,FALSE)))</f>
        <v/>
      </c>
      <c r="O92" s="281" t="str">
        <f>IF(M92="","",IF(VLOOKUP(M92,'G-3 Multipliers'!$L$3:$N$6,3,FALSE)=0,"Spatial Data Missing ▲",VLOOKUP(M92,'G-3 Multipliers'!$L$3:$N$6,3,FALSE)))</f>
        <v/>
      </c>
      <c r="P92" s="282" t="str">
        <f>(IF(G92="Yes","Bespoke compensation likely to be required",(IFERROR(VLOOKUP(AV92,'G-1 All Habitats'!$B$2:$M$135,12,FALSE),""))))</f>
        <v/>
      </c>
      <c r="Q92" s="289" t="str">
        <f>IFERROR(IF(AND(F92&lt;&gt;"",G92=""),"Confirm irreplaceable habitat status ▲",(IF(AND(E92="Individual trees",T92&gt;0,G92="Yes"),"Error - you cannot enhance irreplaceable individual trees ▲",(IF(AND(U92="Irreplaceable habitat - no units generated ⚠",(S92+T92)&lt;H92,OR(Y92="No",Y92="")),"Any Loss Unacceptable ⚠",(IF(U92="Irreplaceable habitat - no units generated ⚠",T92*J92*L92*O92,IF(AND(P92='G-1 All Habitats'!$X$9,AC92&gt;0,S92&lt;=0,T92&lt;=0,OR(Y92="No",Y92="")),"Any Loss Unacceptable ⚠",IF(AND(P92='G-1 All Habitats'!$X$9,AC92&gt;0,S92&lt;=0,T92&lt;=0,Y92="Yes"),0,(IF(AND(P92='G-1 All Habitats'!$X$9,(S92+T92)&lt;H92,OR(Y92="No",Y92="")),"Any Loss Unacceptable ⚠",(IF(P92="","",IF(AND(P92='G-1 All Habitats'!$X$9,T92&gt;0),U92+V92,IF(AND(P92='G-1 All Habitats'!$X$9,S92&gt;0),U92+V92,H92*J92*L92*O92))))))))))))))),"Check Data ▲")</f>
        <v/>
      </c>
      <c r="R92" s="38"/>
      <c r="S92" s="52"/>
      <c r="T92" s="53"/>
      <c r="U92" s="287" t="str">
        <f t="shared" si="11"/>
        <v/>
      </c>
      <c r="V92" s="287" t="str">
        <f t="shared" si="12"/>
        <v/>
      </c>
      <c r="W92" s="287" t="str">
        <f t="shared" si="13"/>
        <v/>
      </c>
      <c r="X92" s="291" t="str">
        <f>IFERROR(IF(H92="","",IF(H92-S92-T92=0&lt;0,"Error in Areas ▲",IF(S92+T92&gt;H92,"Error in Areas ▲",IF(AND(P92='G-1 All Habitats'!$X$9,Y92="Yes"),"Alternative Compensation ✓",IF(AND(P92='G-1 All Habitats'!$X$3,Y92="Yes"),"Alternative Compensation ✓",IF(AND(Y92="Pending",P92='G-1 All Habitats'!$X$3),"Bespoke compensation must be agreed ▲",IF(AND(Y92="Pending",P92='G-1 All Habitats'!$X$9),"Bespoke compensation must be agreed  ▲",IF(W92=0,0,IF(P92='G-1 All Habitats'!$X$9,"Any Loss Unacceptable ▲",Q92-U92-V92))))))))),"Check Data ▲")</f>
        <v/>
      </c>
      <c r="Y92" s="53"/>
      <c r="Z92" s="105"/>
      <c r="AA92" s="233"/>
      <c r="AB92" s="104"/>
      <c r="AC92" s="512" t="str">
        <f>IF(OR(P92="",Y92="Yes"),"",IF(P92='G-1 All Habitats'!$X$9,H92-S92-T92,"None"))</f>
        <v/>
      </c>
      <c r="AD92" s="513" t="str">
        <f>IF(P92="","",IF(P92='G-1 All Habitats'!$X$9,AC92*J92*L92*O92,"None"))</f>
        <v/>
      </c>
      <c r="AE92" s="35" t="str">
        <f t="shared" si="9"/>
        <v/>
      </c>
      <c r="AF92" s="40" t="str">
        <f t="shared" si="14"/>
        <v/>
      </c>
      <c r="AG92" s="40" t="str">
        <f t="shared" si="10"/>
        <v/>
      </c>
      <c r="AH92" s="40" t="str">
        <f>IF(I92="","",IF(#REF!&gt;0,TRUE,FALSE))</f>
        <v/>
      </c>
      <c r="AI92" s="40">
        <v>82</v>
      </c>
      <c r="AJ92" s="40"/>
      <c r="AK92" s="40" t="str">
        <f t="array" ref="AK92">IFERROR(INDEX($AI$11:$AI$259,MATCH(0,IF(TRUE=$AF$11:$AF$259,COUNTIF($AK$10:$AK91,$AI$11:$AI$259),""),0)),"")</f>
        <v/>
      </c>
      <c r="AL92" s="40" t="str">
        <f t="array" ref="AL92">IFERROR(INDEX($AI$11:$AI$259,MATCH(0,IF(TRUE=$AG$11:$AG$259,COUNTIF($AL$10:$AL91,$AI$11:$AI$259),""),0)),"")</f>
        <v/>
      </c>
      <c r="AM92" s="40" t="str">
        <f t="array" ref="AM92">IFERROR(INDEX($AI$11:$AI$259,MATCH(0,IF(TRUE=$AH$11:$AH$259,COUNTIF($AM$10:$AM91,$AI$11:$AI$259),""),0)),"")</f>
        <v/>
      </c>
      <c r="AN92" s="40"/>
      <c r="AQ92" s="35">
        <f t="shared" si="15"/>
        <v>0</v>
      </c>
      <c r="AT92" s="885" t="str">
        <f>IF(AND(OR(Y92="Yes",Y92="Pending"),P92='G-1 All Habitats'!$X$3),Q92-U92-V92,"")</f>
        <v/>
      </c>
      <c r="AV92" s="542" t="str">
        <f>IFERROR(INDEX('G-1 All Habitats'!$B$3:$B$135,MATCH(F92,'G-1 All Habitats'!$A$3:$A$135,0)),"")</f>
        <v/>
      </c>
      <c r="AW92" s="35" t="str">
        <f>IF(AV92="","",VLOOKUP(AV92,'G-1 All Habitats'!$B$1:$T$135,19,FALSE))</f>
        <v/>
      </c>
    </row>
    <row r="93" spans="1:49" ht="14.5" hidden="1" thickBot="1">
      <c r="A93" s="35" t="str">
        <f>IFERROR(INDEX('G-1 All Habitats'!$AG$3:$AG$17,MATCH(E93,'G-1 All Habitats'!$AF$3:$AF$17,0)),"")</f>
        <v/>
      </c>
      <c r="B93" s="35" t="str">
        <f>IFERROR(INDEX('G-8 Condition Look up'!$I$4:$I$135,MATCH(AV93,'G-8 Condition Look up'!$A$4:$A$135,0)),"")</f>
        <v/>
      </c>
      <c r="D93" s="225">
        <v>83</v>
      </c>
      <c r="E93" s="211"/>
      <c r="F93" s="57"/>
      <c r="G93" s="263"/>
      <c r="H93" s="51"/>
      <c r="I93" s="275" t="str">
        <f>IF(AV93="","",IF(AND(AW93="Yes",G93="No"),"Irreplaceable habitat ▲",IF(AND(AW93="No",G93="Yes"),"Cannot be Irreplaceable ▲",VLOOKUP(AV93,'G-1 All Habitats'!$B$2:$M$135,10,FALSE))))</f>
        <v/>
      </c>
      <c r="J93" s="276" t="str">
        <f>IFERROR(VLOOKUP(I93,'G-1 All Habitats'!$V$3:$W$7,2,FALSE),"")</f>
        <v/>
      </c>
      <c r="K93" s="52"/>
      <c r="L93" s="276" t="str">
        <f>IFERROR(INDEX('G-8 Condition Look up'!$A$3:$H$135,MATCH(AV93,'G-8 Condition Look up'!$A$3:$A$135,0),MATCH(K93,'G-8 Condition Look up'!$A$3:$H$3,0)),"")</f>
        <v/>
      </c>
      <c r="M93" s="52"/>
      <c r="N93" s="295" t="str">
        <f>IF(M93="","",IF(VLOOKUP(M93,'G-3 Multipliers'!$L$3:$N$6,2,FALSE)=0,"Spatial Data Missing",VLOOKUP(M93,'G-3 Multipliers'!$L$3:$N$6,2,FALSE)))</f>
        <v/>
      </c>
      <c r="O93" s="281" t="str">
        <f>IF(M93="","",IF(VLOOKUP(M93,'G-3 Multipliers'!$L$3:$N$6,3,FALSE)=0,"Spatial Data Missing ▲",VLOOKUP(M93,'G-3 Multipliers'!$L$3:$N$6,3,FALSE)))</f>
        <v/>
      </c>
      <c r="P93" s="282" t="str">
        <f>(IF(G93="Yes","Bespoke compensation likely to be required",(IFERROR(VLOOKUP(AV93,'G-1 All Habitats'!$B$2:$M$135,12,FALSE),""))))</f>
        <v/>
      </c>
      <c r="Q93" s="289" t="str">
        <f>IFERROR(IF(AND(F93&lt;&gt;"",G93=""),"Confirm irreplaceable habitat status ▲",(IF(AND(E93="Individual trees",T93&gt;0,G93="Yes"),"Error - you cannot enhance irreplaceable individual trees ▲",(IF(AND(U93="Irreplaceable habitat - no units generated ⚠",(S93+T93)&lt;H93,OR(Y93="No",Y93="")),"Any Loss Unacceptable ⚠",(IF(U93="Irreplaceable habitat - no units generated ⚠",T93*J93*L93*O93,IF(AND(P93='G-1 All Habitats'!$X$9,AC93&gt;0,S93&lt;=0,T93&lt;=0,OR(Y93="No",Y93="")),"Any Loss Unacceptable ⚠",IF(AND(P93='G-1 All Habitats'!$X$9,AC93&gt;0,S93&lt;=0,T93&lt;=0,Y93="Yes"),0,(IF(AND(P93='G-1 All Habitats'!$X$9,(S93+T93)&lt;H93,OR(Y93="No",Y93="")),"Any Loss Unacceptable ⚠",(IF(P93="","",IF(AND(P93='G-1 All Habitats'!$X$9,T93&gt;0),U93+V93,IF(AND(P93='G-1 All Habitats'!$X$9,S93&gt;0),U93+V93,H93*J93*L93*O93))))))))))))))),"Check Data ▲")</f>
        <v/>
      </c>
      <c r="R93" s="38"/>
      <c r="S93" s="52"/>
      <c r="T93" s="53"/>
      <c r="U93" s="287" t="str">
        <f t="shared" si="11"/>
        <v/>
      </c>
      <c r="V93" s="287" t="str">
        <f t="shared" si="12"/>
        <v/>
      </c>
      <c r="W93" s="287" t="str">
        <f t="shared" si="13"/>
        <v/>
      </c>
      <c r="X93" s="291" t="str">
        <f>IFERROR(IF(H93="","",IF(H93-S93-T93=0&lt;0,"Error in Areas ▲",IF(S93+T93&gt;H93,"Error in Areas ▲",IF(AND(P93='G-1 All Habitats'!$X$9,Y93="Yes"),"Alternative Compensation ✓",IF(AND(P93='G-1 All Habitats'!$X$3,Y93="Yes"),"Alternative Compensation ✓",IF(AND(Y93="Pending",P93='G-1 All Habitats'!$X$3),"Bespoke compensation must be agreed ▲",IF(AND(Y93="Pending",P93='G-1 All Habitats'!$X$9),"Bespoke compensation must be agreed  ▲",IF(W93=0,0,IF(P93='G-1 All Habitats'!$X$9,"Any Loss Unacceptable ▲",Q93-U93-V93))))))))),"Check Data ▲")</f>
        <v/>
      </c>
      <c r="Y93" s="53"/>
      <c r="Z93" s="105"/>
      <c r="AA93" s="233"/>
      <c r="AB93" s="104"/>
      <c r="AC93" s="512" t="str">
        <f>IF(OR(P93="",Y93="Yes"),"",IF(P93='G-1 All Habitats'!$X$9,H93-S93-T93,"None"))</f>
        <v/>
      </c>
      <c r="AD93" s="513" t="str">
        <f>IF(P93="","",IF(P93='G-1 All Habitats'!$X$9,AC93*J93*L93*O93,"None"))</f>
        <v/>
      </c>
      <c r="AE93" s="35" t="str">
        <f t="shared" si="9"/>
        <v/>
      </c>
      <c r="AF93" s="40" t="str">
        <f t="shared" si="14"/>
        <v/>
      </c>
      <c r="AG93" s="40" t="str">
        <f t="shared" si="10"/>
        <v/>
      </c>
      <c r="AH93" s="40" t="str">
        <f>IF(I93="","",IF(#REF!&gt;0,TRUE,FALSE))</f>
        <v/>
      </c>
      <c r="AI93" s="40">
        <v>83</v>
      </c>
      <c r="AJ93" s="40"/>
      <c r="AK93" s="40" t="str">
        <f t="array" ref="AK93">IFERROR(INDEX($AI$11:$AI$259,MATCH(0,IF(TRUE=$AF$11:$AF$259,COUNTIF($AK$10:$AK92,$AI$11:$AI$259),""),0)),"")</f>
        <v/>
      </c>
      <c r="AL93" s="40" t="str">
        <f t="array" ref="AL93">IFERROR(INDEX($AI$11:$AI$259,MATCH(0,IF(TRUE=$AG$11:$AG$259,COUNTIF($AL$10:$AL92,$AI$11:$AI$259),""),0)),"")</f>
        <v/>
      </c>
      <c r="AM93" s="40" t="str">
        <f t="array" ref="AM93">IFERROR(INDEX($AI$11:$AI$259,MATCH(0,IF(TRUE=$AH$11:$AH$259,COUNTIF($AM$10:$AM92,$AI$11:$AI$259),""),0)),"")</f>
        <v/>
      </c>
      <c r="AN93" s="40"/>
      <c r="AQ93" s="35">
        <f t="shared" si="15"/>
        <v>0</v>
      </c>
      <c r="AT93" s="885" t="str">
        <f>IF(AND(OR(Y93="Yes",Y93="Pending"),P93='G-1 All Habitats'!$X$3),Q93-U93-V93,"")</f>
        <v/>
      </c>
      <c r="AV93" s="542" t="str">
        <f>IFERROR(INDEX('G-1 All Habitats'!$B$3:$B$135,MATCH(F93,'G-1 All Habitats'!$A$3:$A$135,0)),"")</f>
        <v/>
      </c>
      <c r="AW93" s="35" t="str">
        <f>IF(AV93="","",VLOOKUP(AV93,'G-1 All Habitats'!$B$1:$T$135,19,FALSE))</f>
        <v/>
      </c>
    </row>
    <row r="94" spans="1:49" ht="14.5" hidden="1" thickBot="1">
      <c r="A94" s="35" t="str">
        <f>IFERROR(INDEX('G-1 All Habitats'!$AG$3:$AG$17,MATCH(E94,'G-1 All Habitats'!$AF$3:$AF$17,0)),"")</f>
        <v/>
      </c>
      <c r="B94" s="35" t="str">
        <f>IFERROR(INDEX('G-8 Condition Look up'!$I$4:$I$135,MATCH(AV94,'G-8 Condition Look up'!$A$4:$A$135,0)),"")</f>
        <v/>
      </c>
      <c r="D94" s="225">
        <v>84</v>
      </c>
      <c r="E94" s="211"/>
      <c r="F94" s="57"/>
      <c r="G94" s="263"/>
      <c r="H94" s="51"/>
      <c r="I94" s="275" t="str">
        <f>IF(AV94="","",IF(AND(AW94="Yes",G94="No"),"Irreplaceable habitat ▲",IF(AND(AW94="No",G94="Yes"),"Cannot be Irreplaceable ▲",VLOOKUP(AV94,'G-1 All Habitats'!$B$2:$M$135,10,FALSE))))</f>
        <v/>
      </c>
      <c r="J94" s="276" t="str">
        <f>IFERROR(VLOOKUP(I94,'G-1 All Habitats'!$V$3:$W$7,2,FALSE),"")</f>
        <v/>
      </c>
      <c r="K94" s="52"/>
      <c r="L94" s="276" t="str">
        <f>IFERROR(INDEX('G-8 Condition Look up'!$A$3:$H$135,MATCH(AV94,'G-8 Condition Look up'!$A$3:$A$135,0),MATCH(K94,'G-8 Condition Look up'!$A$3:$H$3,0)),"")</f>
        <v/>
      </c>
      <c r="M94" s="52"/>
      <c r="N94" s="295" t="str">
        <f>IF(M94="","",IF(VLOOKUP(M94,'G-3 Multipliers'!$L$3:$N$6,2,FALSE)=0,"Spatial Data Missing",VLOOKUP(M94,'G-3 Multipliers'!$L$3:$N$6,2,FALSE)))</f>
        <v/>
      </c>
      <c r="O94" s="281" t="str">
        <f>IF(M94="","",IF(VLOOKUP(M94,'G-3 Multipliers'!$L$3:$N$6,3,FALSE)=0,"Spatial Data Missing ▲",VLOOKUP(M94,'G-3 Multipliers'!$L$3:$N$6,3,FALSE)))</f>
        <v/>
      </c>
      <c r="P94" s="282" t="str">
        <f>(IF(G94="Yes","Bespoke compensation likely to be required",(IFERROR(VLOOKUP(AV94,'G-1 All Habitats'!$B$2:$M$135,12,FALSE),""))))</f>
        <v/>
      </c>
      <c r="Q94" s="289" t="str">
        <f>IFERROR(IF(AND(F94&lt;&gt;"",G94=""),"Confirm irreplaceable habitat status ▲",(IF(AND(E94="Individual trees",T94&gt;0,G94="Yes"),"Error - you cannot enhance irreplaceable individual trees ▲",(IF(AND(U94="Irreplaceable habitat - no units generated ⚠",(S94+T94)&lt;H94,OR(Y94="No",Y94="")),"Any Loss Unacceptable ⚠",(IF(U94="Irreplaceable habitat - no units generated ⚠",T94*J94*L94*O94,IF(AND(P94='G-1 All Habitats'!$X$9,AC94&gt;0,S94&lt;=0,T94&lt;=0,OR(Y94="No",Y94="")),"Any Loss Unacceptable ⚠",IF(AND(P94='G-1 All Habitats'!$X$9,AC94&gt;0,S94&lt;=0,T94&lt;=0,Y94="Yes"),0,(IF(AND(P94='G-1 All Habitats'!$X$9,(S94+T94)&lt;H94,OR(Y94="No",Y94="")),"Any Loss Unacceptable ⚠",(IF(P94="","",IF(AND(P94='G-1 All Habitats'!$X$9,T94&gt;0),U94+V94,IF(AND(P94='G-1 All Habitats'!$X$9,S94&gt;0),U94+V94,H94*J94*L94*O94))))))))))))))),"Check Data ▲")</f>
        <v/>
      </c>
      <c r="R94" s="38"/>
      <c r="S94" s="52"/>
      <c r="T94" s="53"/>
      <c r="U94" s="287" t="str">
        <f t="shared" si="11"/>
        <v/>
      </c>
      <c r="V94" s="287" t="str">
        <f t="shared" si="12"/>
        <v/>
      </c>
      <c r="W94" s="287" t="str">
        <f t="shared" si="13"/>
        <v/>
      </c>
      <c r="X94" s="291" t="str">
        <f>IFERROR(IF(H94="","",IF(H94-S94-T94=0&lt;0,"Error in Areas ▲",IF(S94+T94&gt;H94,"Error in Areas ▲",IF(AND(P94='G-1 All Habitats'!$X$9,Y94="Yes"),"Alternative Compensation ✓",IF(AND(P94='G-1 All Habitats'!$X$3,Y94="Yes"),"Alternative Compensation ✓",IF(AND(Y94="Pending",P94='G-1 All Habitats'!$X$3),"Bespoke compensation must be agreed ▲",IF(AND(Y94="Pending",P94='G-1 All Habitats'!$X$9),"Bespoke compensation must be agreed  ▲",IF(W94=0,0,IF(P94='G-1 All Habitats'!$X$9,"Any Loss Unacceptable ▲",Q94-U94-V94))))))))),"Check Data ▲")</f>
        <v/>
      </c>
      <c r="Y94" s="53"/>
      <c r="Z94" s="105"/>
      <c r="AA94" s="233"/>
      <c r="AB94" s="104"/>
      <c r="AC94" s="512" t="str">
        <f>IF(OR(P94="",Y94="Yes"),"",IF(P94='G-1 All Habitats'!$X$9,H94-S94-T94,"None"))</f>
        <v/>
      </c>
      <c r="AD94" s="513" t="str">
        <f>IF(P94="","",IF(P94='G-1 All Habitats'!$X$9,AC94*J94*L94*O94,"None"))</f>
        <v/>
      </c>
      <c r="AE94" s="35" t="str">
        <f t="shared" si="9"/>
        <v/>
      </c>
      <c r="AF94" s="40" t="str">
        <f t="shared" si="14"/>
        <v/>
      </c>
      <c r="AG94" s="40" t="str">
        <f t="shared" si="10"/>
        <v/>
      </c>
      <c r="AH94" s="40" t="str">
        <f>IF(I94="","",IF(#REF!&gt;0,TRUE,FALSE))</f>
        <v/>
      </c>
      <c r="AI94" s="40">
        <v>84</v>
      </c>
      <c r="AJ94" s="40"/>
      <c r="AK94" s="40" t="str">
        <f t="array" ref="AK94">IFERROR(INDEX($AI$11:$AI$259,MATCH(0,IF(TRUE=$AF$11:$AF$259,COUNTIF($AK$10:$AK93,$AI$11:$AI$259),""),0)),"")</f>
        <v/>
      </c>
      <c r="AL94" s="40" t="str">
        <f t="array" ref="AL94">IFERROR(INDEX($AI$11:$AI$259,MATCH(0,IF(TRUE=$AG$11:$AG$259,COUNTIF($AL$10:$AL93,$AI$11:$AI$259),""),0)),"")</f>
        <v/>
      </c>
      <c r="AM94" s="40" t="str">
        <f t="array" ref="AM94">IFERROR(INDEX($AI$11:$AI$259,MATCH(0,IF(TRUE=$AH$11:$AH$259,COUNTIF($AM$10:$AM93,$AI$11:$AI$259),""),0)),"")</f>
        <v/>
      </c>
      <c r="AN94" s="40"/>
      <c r="AQ94" s="35">
        <f t="shared" si="15"/>
        <v>0</v>
      </c>
      <c r="AT94" s="885" t="str">
        <f>IF(AND(OR(Y94="Yes",Y94="Pending"),P94='G-1 All Habitats'!$X$3),Q94-U94-V94,"")</f>
        <v/>
      </c>
      <c r="AV94" s="542" t="str">
        <f>IFERROR(INDEX('G-1 All Habitats'!$B$3:$B$135,MATCH(F94,'G-1 All Habitats'!$A$3:$A$135,0)),"")</f>
        <v/>
      </c>
      <c r="AW94" s="35" t="str">
        <f>IF(AV94="","",VLOOKUP(AV94,'G-1 All Habitats'!$B$1:$T$135,19,FALSE))</f>
        <v/>
      </c>
    </row>
    <row r="95" spans="1:49" ht="14.5" hidden="1" thickBot="1">
      <c r="A95" s="35" t="str">
        <f>IFERROR(INDEX('G-1 All Habitats'!$AG$3:$AG$17,MATCH(E95,'G-1 All Habitats'!$AF$3:$AF$17,0)),"")</f>
        <v/>
      </c>
      <c r="B95" s="35" t="str">
        <f>IFERROR(INDEX('G-8 Condition Look up'!$I$4:$I$135,MATCH(AV95,'G-8 Condition Look up'!$A$4:$A$135,0)),"")</f>
        <v/>
      </c>
      <c r="D95" s="225">
        <v>85</v>
      </c>
      <c r="E95" s="211"/>
      <c r="F95" s="57"/>
      <c r="G95" s="263"/>
      <c r="H95" s="51"/>
      <c r="I95" s="275" t="str">
        <f>IF(AV95="","",IF(AND(AW95="Yes",G95="No"),"Irreplaceable habitat ▲",IF(AND(AW95="No",G95="Yes"),"Cannot be Irreplaceable ▲",VLOOKUP(AV95,'G-1 All Habitats'!$B$2:$M$135,10,FALSE))))</f>
        <v/>
      </c>
      <c r="J95" s="276" t="str">
        <f>IFERROR(VLOOKUP(I95,'G-1 All Habitats'!$V$3:$W$7,2,FALSE),"")</f>
        <v/>
      </c>
      <c r="K95" s="52"/>
      <c r="L95" s="276" t="str">
        <f>IFERROR(INDEX('G-8 Condition Look up'!$A$3:$H$135,MATCH(AV95,'G-8 Condition Look up'!$A$3:$A$135,0),MATCH(K95,'G-8 Condition Look up'!$A$3:$H$3,0)),"")</f>
        <v/>
      </c>
      <c r="M95" s="52"/>
      <c r="N95" s="295" t="str">
        <f>IF(M95="","",IF(VLOOKUP(M95,'G-3 Multipliers'!$L$3:$N$6,2,FALSE)=0,"Spatial Data Missing",VLOOKUP(M95,'G-3 Multipliers'!$L$3:$N$6,2,FALSE)))</f>
        <v/>
      </c>
      <c r="O95" s="281" t="str">
        <f>IF(M95="","",IF(VLOOKUP(M95,'G-3 Multipliers'!$L$3:$N$6,3,FALSE)=0,"Spatial Data Missing ▲",VLOOKUP(M95,'G-3 Multipliers'!$L$3:$N$6,3,FALSE)))</f>
        <v/>
      </c>
      <c r="P95" s="282" t="str">
        <f>(IF(G95="Yes","Bespoke compensation likely to be required",(IFERROR(VLOOKUP(AV95,'G-1 All Habitats'!$B$2:$M$135,12,FALSE),""))))</f>
        <v/>
      </c>
      <c r="Q95" s="289" t="str">
        <f>IFERROR(IF(AND(F95&lt;&gt;"",G95=""),"Confirm irreplaceable habitat status ▲",(IF(AND(E95="Individual trees",T95&gt;0,G95="Yes"),"Error - you cannot enhance irreplaceable individual trees ▲",(IF(AND(U95="Irreplaceable habitat - no units generated ⚠",(S95+T95)&lt;H95,OR(Y95="No",Y95="")),"Any Loss Unacceptable ⚠",(IF(U95="Irreplaceable habitat - no units generated ⚠",T95*J95*L95*O95,IF(AND(P95='G-1 All Habitats'!$X$9,AC95&gt;0,S95&lt;=0,T95&lt;=0,OR(Y95="No",Y95="")),"Any Loss Unacceptable ⚠",IF(AND(P95='G-1 All Habitats'!$X$9,AC95&gt;0,S95&lt;=0,T95&lt;=0,Y95="Yes"),0,(IF(AND(P95='G-1 All Habitats'!$X$9,(S95+T95)&lt;H95,OR(Y95="No",Y95="")),"Any Loss Unacceptable ⚠",(IF(P95="","",IF(AND(P95='G-1 All Habitats'!$X$9,T95&gt;0),U95+V95,IF(AND(P95='G-1 All Habitats'!$X$9,S95&gt;0),U95+V95,H95*J95*L95*O95))))))))))))))),"Check Data ▲")</f>
        <v/>
      </c>
      <c r="R95" s="38"/>
      <c r="S95" s="52"/>
      <c r="T95" s="53"/>
      <c r="U95" s="287" t="str">
        <f t="shared" si="11"/>
        <v/>
      </c>
      <c r="V95" s="287" t="str">
        <f t="shared" si="12"/>
        <v/>
      </c>
      <c r="W95" s="287" t="str">
        <f t="shared" si="13"/>
        <v/>
      </c>
      <c r="X95" s="291" t="str">
        <f>IFERROR(IF(H95="","",IF(H95-S95-T95=0&lt;0,"Error in Areas ▲",IF(S95+T95&gt;H95,"Error in Areas ▲",IF(AND(P95='G-1 All Habitats'!$X$9,Y95="Yes"),"Alternative Compensation ✓",IF(AND(P95='G-1 All Habitats'!$X$3,Y95="Yes"),"Alternative Compensation ✓",IF(AND(Y95="Pending",P95='G-1 All Habitats'!$X$3),"Bespoke compensation must be agreed ▲",IF(AND(Y95="Pending",P95='G-1 All Habitats'!$X$9),"Bespoke compensation must be agreed  ▲",IF(W95=0,0,IF(P95='G-1 All Habitats'!$X$9,"Any Loss Unacceptable ▲",Q95-U95-V95))))))))),"Check Data ▲")</f>
        <v/>
      </c>
      <c r="Y95" s="53"/>
      <c r="Z95" s="105"/>
      <c r="AA95" s="233"/>
      <c r="AB95" s="104"/>
      <c r="AC95" s="512" t="str">
        <f>IF(OR(P95="",Y95="Yes"),"",IF(P95='G-1 All Habitats'!$X$9,H95-S95-T95,"None"))</f>
        <v/>
      </c>
      <c r="AD95" s="513" t="str">
        <f>IF(P95="","",IF(P95='G-1 All Habitats'!$X$9,AC95*J95*L95*O95,"None"))</f>
        <v/>
      </c>
      <c r="AE95" s="35" t="str">
        <f t="shared" si="9"/>
        <v/>
      </c>
      <c r="AF95" s="40" t="str">
        <f t="shared" si="14"/>
        <v/>
      </c>
      <c r="AG95" s="40" t="str">
        <f t="shared" si="10"/>
        <v/>
      </c>
      <c r="AH95" s="40" t="str">
        <f>IF(I95="","",IF(#REF!&gt;0,TRUE,FALSE))</f>
        <v/>
      </c>
      <c r="AI95" s="40">
        <v>85</v>
      </c>
      <c r="AJ95" s="40"/>
      <c r="AK95" s="40" t="str">
        <f t="array" ref="AK95">IFERROR(INDEX($AI$11:$AI$259,MATCH(0,IF(TRUE=$AF$11:$AF$259,COUNTIF($AK$10:$AK94,$AI$11:$AI$259),""),0)),"")</f>
        <v/>
      </c>
      <c r="AL95" s="40" t="str">
        <f t="array" ref="AL95">IFERROR(INDEX($AI$11:$AI$259,MATCH(0,IF(TRUE=$AG$11:$AG$259,COUNTIF($AL$10:$AL94,$AI$11:$AI$259),""),0)),"")</f>
        <v/>
      </c>
      <c r="AM95" s="40" t="str">
        <f t="array" ref="AM95">IFERROR(INDEX($AI$11:$AI$259,MATCH(0,IF(TRUE=$AH$11:$AH$259,COUNTIF($AM$10:$AM94,$AI$11:$AI$259),""),0)),"")</f>
        <v/>
      </c>
      <c r="AN95" s="40"/>
      <c r="AQ95" s="35">
        <f t="shared" si="15"/>
        <v>0</v>
      </c>
      <c r="AT95" s="885" t="str">
        <f>IF(AND(OR(Y95="Yes",Y95="Pending"),P95='G-1 All Habitats'!$X$3),Q95-U95-V95,"")</f>
        <v/>
      </c>
      <c r="AV95" s="542" t="str">
        <f>IFERROR(INDEX('G-1 All Habitats'!$B$3:$B$135,MATCH(F95,'G-1 All Habitats'!$A$3:$A$135,0)),"")</f>
        <v/>
      </c>
      <c r="AW95" s="35" t="str">
        <f>IF(AV95="","",VLOOKUP(AV95,'G-1 All Habitats'!$B$1:$T$135,19,FALSE))</f>
        <v/>
      </c>
    </row>
    <row r="96" spans="1:49" ht="14.5" hidden="1" thickBot="1">
      <c r="A96" s="35" t="str">
        <f>IFERROR(INDEX('G-1 All Habitats'!$AG$3:$AG$17,MATCH(E96,'G-1 All Habitats'!$AF$3:$AF$17,0)),"")</f>
        <v/>
      </c>
      <c r="B96" s="35" t="str">
        <f>IFERROR(INDEX('G-8 Condition Look up'!$I$4:$I$135,MATCH(AV96,'G-8 Condition Look up'!$A$4:$A$135,0)),"")</f>
        <v/>
      </c>
      <c r="D96" s="225">
        <v>86</v>
      </c>
      <c r="E96" s="211"/>
      <c r="F96" s="57"/>
      <c r="G96" s="263"/>
      <c r="H96" s="51"/>
      <c r="I96" s="275" t="str">
        <f>IF(AV96="","",IF(AND(AW96="Yes",G96="No"),"Irreplaceable habitat ▲",IF(AND(AW96="No",G96="Yes"),"Cannot be Irreplaceable ▲",VLOOKUP(AV96,'G-1 All Habitats'!$B$2:$M$135,10,FALSE))))</f>
        <v/>
      </c>
      <c r="J96" s="276" t="str">
        <f>IFERROR(VLOOKUP(I96,'G-1 All Habitats'!$V$3:$W$7,2,FALSE),"")</f>
        <v/>
      </c>
      <c r="K96" s="52"/>
      <c r="L96" s="276" t="str">
        <f>IFERROR(INDEX('G-8 Condition Look up'!$A$3:$H$135,MATCH(AV96,'G-8 Condition Look up'!$A$3:$A$135,0),MATCH(K96,'G-8 Condition Look up'!$A$3:$H$3,0)),"")</f>
        <v/>
      </c>
      <c r="M96" s="52"/>
      <c r="N96" s="295" t="str">
        <f>IF(M96="","",IF(VLOOKUP(M96,'G-3 Multipliers'!$L$3:$N$6,2,FALSE)=0,"Spatial Data Missing",VLOOKUP(M96,'G-3 Multipliers'!$L$3:$N$6,2,FALSE)))</f>
        <v/>
      </c>
      <c r="O96" s="281" t="str">
        <f>IF(M96="","",IF(VLOOKUP(M96,'G-3 Multipliers'!$L$3:$N$6,3,FALSE)=0,"Spatial Data Missing ▲",VLOOKUP(M96,'G-3 Multipliers'!$L$3:$N$6,3,FALSE)))</f>
        <v/>
      </c>
      <c r="P96" s="282" t="str">
        <f>(IF(G96="Yes","Bespoke compensation likely to be required",(IFERROR(VLOOKUP(AV96,'G-1 All Habitats'!$B$2:$M$135,12,FALSE),""))))</f>
        <v/>
      </c>
      <c r="Q96" s="289" t="str">
        <f>IFERROR(IF(AND(F96&lt;&gt;"",G96=""),"Confirm irreplaceable habitat status ▲",(IF(AND(E96="Individual trees",T96&gt;0,G96="Yes"),"Error - you cannot enhance irreplaceable individual trees ▲",(IF(AND(U96="Irreplaceable habitat - no units generated ⚠",(S96+T96)&lt;H96,OR(Y96="No",Y96="")),"Any Loss Unacceptable ⚠",(IF(U96="Irreplaceable habitat - no units generated ⚠",T96*J96*L96*O96,IF(AND(P96='G-1 All Habitats'!$X$9,AC96&gt;0,S96&lt;=0,T96&lt;=0,OR(Y96="No",Y96="")),"Any Loss Unacceptable ⚠",IF(AND(P96='G-1 All Habitats'!$X$9,AC96&gt;0,S96&lt;=0,T96&lt;=0,Y96="Yes"),0,(IF(AND(P96='G-1 All Habitats'!$X$9,(S96+T96)&lt;H96,OR(Y96="No",Y96="")),"Any Loss Unacceptable ⚠",(IF(P96="","",IF(AND(P96='G-1 All Habitats'!$X$9,T96&gt;0),U96+V96,IF(AND(P96='G-1 All Habitats'!$X$9,S96&gt;0),U96+V96,H96*J96*L96*O96))))))))))))))),"Check Data ▲")</f>
        <v/>
      </c>
      <c r="R96" s="38"/>
      <c r="S96" s="52"/>
      <c r="T96" s="53"/>
      <c r="U96" s="287" t="str">
        <f t="shared" si="11"/>
        <v/>
      </c>
      <c r="V96" s="287" t="str">
        <f t="shared" si="12"/>
        <v/>
      </c>
      <c r="W96" s="287" t="str">
        <f t="shared" si="13"/>
        <v/>
      </c>
      <c r="X96" s="291" t="str">
        <f>IFERROR(IF(H96="","",IF(H96-S96-T96=0&lt;0,"Error in Areas ▲",IF(S96+T96&gt;H96,"Error in Areas ▲",IF(AND(P96='G-1 All Habitats'!$X$9,Y96="Yes"),"Alternative Compensation ✓",IF(AND(P96='G-1 All Habitats'!$X$3,Y96="Yes"),"Alternative Compensation ✓",IF(AND(Y96="Pending",P96='G-1 All Habitats'!$X$3),"Bespoke compensation must be agreed ▲",IF(AND(Y96="Pending",P96='G-1 All Habitats'!$X$9),"Bespoke compensation must be agreed  ▲",IF(W96=0,0,IF(P96='G-1 All Habitats'!$X$9,"Any Loss Unacceptable ▲",Q96-U96-V96))))))))),"Check Data ▲")</f>
        <v/>
      </c>
      <c r="Y96" s="53"/>
      <c r="Z96" s="105"/>
      <c r="AA96" s="233"/>
      <c r="AB96" s="104"/>
      <c r="AC96" s="512" t="str">
        <f>IF(OR(P96="",Y96="Yes"),"",IF(P96='G-1 All Habitats'!$X$9,H96-S96-T96,"None"))</f>
        <v/>
      </c>
      <c r="AD96" s="513" t="str">
        <f>IF(P96="","",IF(P96='G-1 All Habitats'!$X$9,AC96*J96*L96*O96,"None"))</f>
        <v/>
      </c>
      <c r="AE96" s="35" t="str">
        <f t="shared" si="9"/>
        <v/>
      </c>
      <c r="AF96" s="40" t="str">
        <f t="shared" si="14"/>
        <v/>
      </c>
      <c r="AG96" s="40" t="str">
        <f t="shared" si="10"/>
        <v/>
      </c>
      <c r="AH96" s="40" t="str">
        <f>IF(I96="","",IF(#REF!&gt;0,TRUE,FALSE))</f>
        <v/>
      </c>
      <c r="AI96" s="40">
        <v>86</v>
      </c>
      <c r="AJ96" s="40"/>
      <c r="AK96" s="40" t="str">
        <f t="array" ref="AK96">IFERROR(INDEX($AI$11:$AI$259,MATCH(0,IF(TRUE=$AF$11:$AF$259,COUNTIF($AK$10:$AK95,$AI$11:$AI$259),""),0)),"")</f>
        <v/>
      </c>
      <c r="AL96" s="40" t="str">
        <f t="array" ref="AL96">IFERROR(INDEX($AI$11:$AI$259,MATCH(0,IF(TRUE=$AG$11:$AG$259,COUNTIF($AL$10:$AL95,$AI$11:$AI$259),""),0)),"")</f>
        <v/>
      </c>
      <c r="AM96" s="40" t="str">
        <f t="array" ref="AM96">IFERROR(INDEX($AI$11:$AI$259,MATCH(0,IF(TRUE=$AH$11:$AH$259,COUNTIF($AM$10:$AM95,$AI$11:$AI$259),""),0)),"")</f>
        <v/>
      </c>
      <c r="AN96" s="40"/>
      <c r="AQ96" s="35">
        <f t="shared" si="15"/>
        <v>0</v>
      </c>
      <c r="AT96" s="885" t="str">
        <f>IF(AND(OR(Y96="Yes",Y96="Pending"),P96='G-1 All Habitats'!$X$3),Q96-U96-V96,"")</f>
        <v/>
      </c>
      <c r="AV96" s="542" t="str">
        <f>IFERROR(INDEX('G-1 All Habitats'!$B$3:$B$135,MATCH(F96,'G-1 All Habitats'!$A$3:$A$135,0)),"")</f>
        <v/>
      </c>
      <c r="AW96" s="35" t="str">
        <f>IF(AV96="","",VLOOKUP(AV96,'G-1 All Habitats'!$B$1:$T$135,19,FALSE))</f>
        <v/>
      </c>
    </row>
    <row r="97" spans="1:49" ht="14.5" hidden="1" thickBot="1">
      <c r="A97" s="35" t="str">
        <f>IFERROR(INDEX('G-1 All Habitats'!$AG$3:$AG$17,MATCH(E97,'G-1 All Habitats'!$AF$3:$AF$17,0)),"")</f>
        <v/>
      </c>
      <c r="B97" s="35" t="str">
        <f>IFERROR(INDEX('G-8 Condition Look up'!$I$4:$I$135,MATCH(AV97,'G-8 Condition Look up'!$A$4:$A$135,0)),"")</f>
        <v/>
      </c>
      <c r="D97" s="225">
        <v>87</v>
      </c>
      <c r="E97" s="211"/>
      <c r="F97" s="57"/>
      <c r="G97" s="263"/>
      <c r="H97" s="51"/>
      <c r="I97" s="275" t="str">
        <f>IF(AV97="","",IF(AND(AW97="Yes",G97="No"),"Irreplaceable habitat ▲",IF(AND(AW97="No",G97="Yes"),"Cannot be Irreplaceable ▲",VLOOKUP(AV97,'G-1 All Habitats'!$B$2:$M$135,10,FALSE))))</f>
        <v/>
      </c>
      <c r="J97" s="276" t="str">
        <f>IFERROR(VLOOKUP(I97,'G-1 All Habitats'!$V$3:$W$7,2,FALSE),"")</f>
        <v/>
      </c>
      <c r="K97" s="52"/>
      <c r="L97" s="276" t="str">
        <f>IFERROR(INDEX('G-8 Condition Look up'!$A$3:$H$135,MATCH(AV97,'G-8 Condition Look up'!$A$3:$A$135,0),MATCH(K97,'G-8 Condition Look up'!$A$3:$H$3,0)),"")</f>
        <v/>
      </c>
      <c r="M97" s="52"/>
      <c r="N97" s="295" t="str">
        <f>IF(M97="","",IF(VLOOKUP(M97,'G-3 Multipliers'!$L$3:$N$6,2,FALSE)=0,"Spatial Data Missing",VLOOKUP(M97,'G-3 Multipliers'!$L$3:$N$6,2,FALSE)))</f>
        <v/>
      </c>
      <c r="O97" s="281" t="str">
        <f>IF(M97="","",IF(VLOOKUP(M97,'G-3 Multipliers'!$L$3:$N$6,3,FALSE)=0,"Spatial Data Missing ▲",VLOOKUP(M97,'G-3 Multipliers'!$L$3:$N$6,3,FALSE)))</f>
        <v/>
      </c>
      <c r="P97" s="282" t="str">
        <f>(IF(G97="Yes","Bespoke compensation likely to be required",(IFERROR(VLOOKUP(AV97,'G-1 All Habitats'!$B$2:$M$135,12,FALSE),""))))</f>
        <v/>
      </c>
      <c r="Q97" s="289" t="str">
        <f>IFERROR(IF(AND(F97&lt;&gt;"",G97=""),"Confirm irreplaceable habitat status ▲",(IF(AND(E97="Individual trees",T97&gt;0,G97="Yes"),"Error - you cannot enhance irreplaceable individual trees ▲",(IF(AND(U97="Irreplaceable habitat - no units generated ⚠",(S97+T97)&lt;H97,OR(Y97="No",Y97="")),"Any Loss Unacceptable ⚠",(IF(U97="Irreplaceable habitat - no units generated ⚠",T97*J97*L97*O97,IF(AND(P97='G-1 All Habitats'!$X$9,AC97&gt;0,S97&lt;=0,T97&lt;=0,OR(Y97="No",Y97="")),"Any Loss Unacceptable ⚠",IF(AND(P97='G-1 All Habitats'!$X$9,AC97&gt;0,S97&lt;=0,T97&lt;=0,Y97="Yes"),0,(IF(AND(P97='G-1 All Habitats'!$X$9,(S97+T97)&lt;H97,OR(Y97="No",Y97="")),"Any Loss Unacceptable ⚠",(IF(P97="","",IF(AND(P97='G-1 All Habitats'!$X$9,T97&gt;0),U97+V97,IF(AND(P97='G-1 All Habitats'!$X$9,S97&gt;0),U97+V97,H97*J97*L97*O97))))))))))))))),"Check Data ▲")</f>
        <v/>
      </c>
      <c r="R97" s="38"/>
      <c r="S97" s="52"/>
      <c r="T97" s="53"/>
      <c r="U97" s="287" t="str">
        <f t="shared" si="11"/>
        <v/>
      </c>
      <c r="V97" s="287" t="str">
        <f t="shared" si="12"/>
        <v/>
      </c>
      <c r="W97" s="287" t="str">
        <f t="shared" si="13"/>
        <v/>
      </c>
      <c r="X97" s="291" t="str">
        <f>IFERROR(IF(H97="","",IF(H97-S97-T97=0&lt;0,"Error in Areas ▲",IF(S97+T97&gt;H97,"Error in Areas ▲",IF(AND(P97='G-1 All Habitats'!$X$9,Y97="Yes"),"Alternative Compensation ✓",IF(AND(P97='G-1 All Habitats'!$X$3,Y97="Yes"),"Alternative Compensation ✓",IF(AND(Y97="Pending",P97='G-1 All Habitats'!$X$3),"Bespoke compensation must be agreed ▲",IF(AND(Y97="Pending",P97='G-1 All Habitats'!$X$9),"Bespoke compensation must be agreed  ▲",IF(W97=0,0,IF(P97='G-1 All Habitats'!$X$9,"Any Loss Unacceptable ▲",Q97-U97-V97))))))))),"Check Data ▲")</f>
        <v/>
      </c>
      <c r="Y97" s="53"/>
      <c r="Z97" s="105"/>
      <c r="AA97" s="233"/>
      <c r="AB97" s="104"/>
      <c r="AC97" s="512" t="str">
        <f>IF(OR(P97="",Y97="Yes"),"",IF(P97='G-1 All Habitats'!$X$9,H97-S97-T97,"None"))</f>
        <v/>
      </c>
      <c r="AD97" s="513" t="str">
        <f>IF(P97="","",IF(P97='G-1 All Habitats'!$X$9,AC97*J97*L97*O97,"None"))</f>
        <v/>
      </c>
      <c r="AE97" s="35" t="str">
        <f t="shared" si="9"/>
        <v/>
      </c>
      <c r="AF97" s="40" t="str">
        <f t="shared" si="14"/>
        <v/>
      </c>
      <c r="AG97" s="40" t="str">
        <f t="shared" si="10"/>
        <v/>
      </c>
      <c r="AH97" s="40" t="str">
        <f>IF(I97="","",IF(#REF!&gt;0,TRUE,FALSE))</f>
        <v/>
      </c>
      <c r="AI97" s="40">
        <v>87</v>
      </c>
      <c r="AJ97" s="40"/>
      <c r="AK97" s="40" t="str">
        <f t="array" ref="AK97">IFERROR(INDEX($AI$11:$AI$259,MATCH(0,IF(TRUE=$AF$11:$AF$259,COUNTIF($AK$10:$AK96,$AI$11:$AI$259),""),0)),"")</f>
        <v/>
      </c>
      <c r="AL97" s="40" t="str">
        <f t="array" ref="AL97">IFERROR(INDEX($AI$11:$AI$259,MATCH(0,IF(TRUE=$AG$11:$AG$259,COUNTIF($AL$10:$AL96,$AI$11:$AI$259),""),0)),"")</f>
        <v/>
      </c>
      <c r="AM97" s="40" t="str">
        <f t="array" ref="AM97">IFERROR(INDEX($AI$11:$AI$259,MATCH(0,IF(TRUE=$AH$11:$AH$259,COUNTIF($AM$10:$AM96,$AI$11:$AI$259),""),0)),"")</f>
        <v/>
      </c>
      <c r="AN97" s="40"/>
      <c r="AQ97" s="35">
        <f t="shared" si="15"/>
        <v>0</v>
      </c>
      <c r="AT97" s="885" t="str">
        <f>IF(AND(OR(Y97="Yes",Y97="Pending"),P97='G-1 All Habitats'!$X$3),Q97-U97-V97,"")</f>
        <v/>
      </c>
      <c r="AV97" s="542" t="str">
        <f>IFERROR(INDEX('G-1 All Habitats'!$B$3:$B$135,MATCH(F97,'G-1 All Habitats'!$A$3:$A$135,0)),"")</f>
        <v/>
      </c>
      <c r="AW97" s="35" t="str">
        <f>IF(AV97="","",VLOOKUP(AV97,'G-1 All Habitats'!$B$1:$T$135,19,FALSE))</f>
        <v/>
      </c>
    </row>
    <row r="98" spans="1:49" ht="14.5" hidden="1" thickBot="1">
      <c r="A98" s="35" t="str">
        <f>IFERROR(INDEX('G-1 All Habitats'!$AG$3:$AG$17,MATCH(E98,'G-1 All Habitats'!$AF$3:$AF$17,0)),"")</f>
        <v/>
      </c>
      <c r="B98" s="35" t="str">
        <f>IFERROR(INDEX('G-8 Condition Look up'!$I$4:$I$135,MATCH(AV98,'G-8 Condition Look up'!$A$4:$A$135,0)),"")</f>
        <v/>
      </c>
      <c r="D98" s="225">
        <v>88</v>
      </c>
      <c r="E98" s="211"/>
      <c r="F98" s="57"/>
      <c r="G98" s="263"/>
      <c r="H98" s="51"/>
      <c r="I98" s="275" t="str">
        <f>IF(AV98="","",IF(AND(AW98="Yes",G98="No"),"Irreplaceable habitat ▲",IF(AND(AW98="No",G98="Yes"),"Cannot be Irreplaceable ▲",VLOOKUP(AV98,'G-1 All Habitats'!$B$2:$M$135,10,FALSE))))</f>
        <v/>
      </c>
      <c r="J98" s="276" t="str">
        <f>IFERROR(VLOOKUP(I98,'G-1 All Habitats'!$V$3:$W$7,2,FALSE),"")</f>
        <v/>
      </c>
      <c r="K98" s="52"/>
      <c r="L98" s="276" t="str">
        <f>IFERROR(INDEX('G-8 Condition Look up'!$A$3:$H$135,MATCH(AV98,'G-8 Condition Look up'!$A$3:$A$135,0),MATCH(K98,'G-8 Condition Look up'!$A$3:$H$3,0)),"")</f>
        <v/>
      </c>
      <c r="M98" s="52"/>
      <c r="N98" s="295" t="str">
        <f>IF(M98="","",IF(VLOOKUP(M98,'G-3 Multipliers'!$L$3:$N$6,2,FALSE)=0,"Spatial Data Missing",VLOOKUP(M98,'G-3 Multipliers'!$L$3:$N$6,2,FALSE)))</f>
        <v/>
      </c>
      <c r="O98" s="281" t="str">
        <f>IF(M98="","",IF(VLOOKUP(M98,'G-3 Multipliers'!$L$3:$N$6,3,FALSE)=0,"Spatial Data Missing ▲",VLOOKUP(M98,'G-3 Multipliers'!$L$3:$N$6,3,FALSE)))</f>
        <v/>
      </c>
      <c r="P98" s="282" t="str">
        <f>(IF(G98="Yes","Bespoke compensation likely to be required",(IFERROR(VLOOKUP(AV98,'G-1 All Habitats'!$B$2:$M$135,12,FALSE),""))))</f>
        <v/>
      </c>
      <c r="Q98" s="289" t="str">
        <f>IFERROR(IF(AND(F98&lt;&gt;"",G98=""),"Confirm irreplaceable habitat status ▲",(IF(AND(E98="Individual trees",T98&gt;0,G98="Yes"),"Error - you cannot enhance irreplaceable individual trees ▲",(IF(AND(U98="Irreplaceable habitat - no units generated ⚠",(S98+T98)&lt;H98,OR(Y98="No",Y98="")),"Any Loss Unacceptable ⚠",(IF(U98="Irreplaceable habitat - no units generated ⚠",T98*J98*L98*O98,IF(AND(P98='G-1 All Habitats'!$X$9,AC98&gt;0,S98&lt;=0,T98&lt;=0,OR(Y98="No",Y98="")),"Any Loss Unacceptable ⚠",IF(AND(P98='G-1 All Habitats'!$X$9,AC98&gt;0,S98&lt;=0,T98&lt;=0,Y98="Yes"),0,(IF(AND(P98='G-1 All Habitats'!$X$9,(S98+T98)&lt;H98,OR(Y98="No",Y98="")),"Any Loss Unacceptable ⚠",(IF(P98="","",IF(AND(P98='G-1 All Habitats'!$X$9,T98&gt;0),U98+V98,IF(AND(P98='G-1 All Habitats'!$X$9,S98&gt;0),U98+V98,H98*J98*L98*O98))))))))))))))),"Check Data ▲")</f>
        <v/>
      </c>
      <c r="R98" s="38"/>
      <c r="S98" s="52"/>
      <c r="T98" s="53"/>
      <c r="U98" s="287" t="str">
        <f t="shared" si="11"/>
        <v/>
      </c>
      <c r="V98" s="287" t="str">
        <f t="shared" si="12"/>
        <v/>
      </c>
      <c r="W98" s="287" t="str">
        <f t="shared" si="13"/>
        <v/>
      </c>
      <c r="X98" s="291" t="str">
        <f>IFERROR(IF(H98="","",IF(H98-S98-T98=0&lt;0,"Error in Areas ▲",IF(S98+T98&gt;H98,"Error in Areas ▲",IF(AND(P98='G-1 All Habitats'!$X$9,Y98="Yes"),"Alternative Compensation ✓",IF(AND(P98='G-1 All Habitats'!$X$3,Y98="Yes"),"Alternative Compensation ✓",IF(AND(Y98="Pending",P98='G-1 All Habitats'!$X$3),"Bespoke compensation must be agreed ▲",IF(AND(Y98="Pending",P98='G-1 All Habitats'!$X$9),"Bespoke compensation must be agreed  ▲",IF(W98=0,0,IF(P98='G-1 All Habitats'!$X$9,"Any Loss Unacceptable ▲",Q98-U98-V98))))))))),"Check Data ▲")</f>
        <v/>
      </c>
      <c r="Y98" s="53"/>
      <c r="Z98" s="105"/>
      <c r="AA98" s="233"/>
      <c r="AB98" s="104"/>
      <c r="AC98" s="512" t="str">
        <f>IF(OR(P98="",Y98="Yes"),"",IF(P98='G-1 All Habitats'!$X$9,H98-S98-T98,"None"))</f>
        <v/>
      </c>
      <c r="AD98" s="513" t="str">
        <f>IF(P98="","",IF(P98='G-1 All Habitats'!$X$9,AC98*J98*L98*O98,"None"))</f>
        <v/>
      </c>
      <c r="AE98" s="35" t="str">
        <f t="shared" si="9"/>
        <v/>
      </c>
      <c r="AF98" s="40" t="str">
        <f t="shared" si="14"/>
        <v/>
      </c>
      <c r="AG98" s="40" t="str">
        <f t="shared" si="10"/>
        <v/>
      </c>
      <c r="AH98" s="40" t="str">
        <f>IF(I98="","",IF(#REF!&gt;0,TRUE,FALSE))</f>
        <v/>
      </c>
      <c r="AI98" s="40">
        <v>88</v>
      </c>
      <c r="AJ98" s="40"/>
      <c r="AK98" s="40" t="str">
        <f t="array" ref="AK98">IFERROR(INDEX($AI$11:$AI$259,MATCH(0,IF(TRUE=$AF$11:$AF$259,COUNTIF($AK$10:$AK97,$AI$11:$AI$259),""),0)),"")</f>
        <v/>
      </c>
      <c r="AL98" s="40" t="str">
        <f t="array" ref="AL98">IFERROR(INDEX($AI$11:$AI$259,MATCH(0,IF(TRUE=$AG$11:$AG$259,COUNTIF($AL$10:$AL97,$AI$11:$AI$259),""),0)),"")</f>
        <v/>
      </c>
      <c r="AM98" s="40" t="str">
        <f t="array" ref="AM98">IFERROR(INDEX($AI$11:$AI$259,MATCH(0,IF(TRUE=$AH$11:$AH$259,COUNTIF($AM$10:$AM97,$AI$11:$AI$259),""),0)),"")</f>
        <v/>
      </c>
      <c r="AN98" s="40"/>
      <c r="AQ98" s="35">
        <f t="shared" si="15"/>
        <v>0</v>
      </c>
      <c r="AT98" s="885" t="str">
        <f>IF(AND(OR(Y98="Yes",Y98="Pending"),P98='G-1 All Habitats'!$X$3),Q98-U98-V98,"")</f>
        <v/>
      </c>
      <c r="AV98" s="542" t="str">
        <f>IFERROR(INDEX('G-1 All Habitats'!$B$3:$B$135,MATCH(F98,'G-1 All Habitats'!$A$3:$A$135,0)),"")</f>
        <v/>
      </c>
      <c r="AW98" s="35" t="str">
        <f>IF(AV98="","",VLOOKUP(AV98,'G-1 All Habitats'!$B$1:$T$135,19,FALSE))</f>
        <v/>
      </c>
    </row>
    <row r="99" spans="1:49" ht="14.5" hidden="1" thickBot="1">
      <c r="A99" s="35" t="str">
        <f>IFERROR(INDEX('G-1 All Habitats'!$AG$3:$AG$17,MATCH(E99,'G-1 All Habitats'!$AF$3:$AF$17,0)),"")</f>
        <v/>
      </c>
      <c r="B99" s="35" t="str">
        <f>IFERROR(INDEX('G-8 Condition Look up'!$I$4:$I$135,MATCH(AV99,'G-8 Condition Look up'!$A$4:$A$135,0)),"")</f>
        <v/>
      </c>
      <c r="D99" s="225">
        <v>89</v>
      </c>
      <c r="E99" s="211"/>
      <c r="F99" s="57"/>
      <c r="G99" s="263"/>
      <c r="H99" s="51"/>
      <c r="I99" s="275" t="str">
        <f>IF(AV99="","",IF(AND(AW99="Yes",G99="No"),"Irreplaceable habitat ▲",IF(AND(AW99="No",G99="Yes"),"Cannot be Irreplaceable ▲",VLOOKUP(AV99,'G-1 All Habitats'!$B$2:$M$135,10,FALSE))))</f>
        <v/>
      </c>
      <c r="J99" s="276" t="str">
        <f>IFERROR(VLOOKUP(I99,'G-1 All Habitats'!$V$3:$W$7,2,FALSE),"")</f>
        <v/>
      </c>
      <c r="K99" s="52"/>
      <c r="L99" s="276" t="str">
        <f>IFERROR(INDEX('G-8 Condition Look up'!$A$3:$H$135,MATCH(AV99,'G-8 Condition Look up'!$A$3:$A$135,0),MATCH(K99,'G-8 Condition Look up'!$A$3:$H$3,0)),"")</f>
        <v/>
      </c>
      <c r="M99" s="52"/>
      <c r="N99" s="295" t="str">
        <f>IF(M99="","",IF(VLOOKUP(M99,'G-3 Multipliers'!$L$3:$N$6,2,FALSE)=0,"Spatial Data Missing",VLOOKUP(M99,'G-3 Multipliers'!$L$3:$N$6,2,FALSE)))</f>
        <v/>
      </c>
      <c r="O99" s="281" t="str">
        <f>IF(M99="","",IF(VLOOKUP(M99,'G-3 Multipliers'!$L$3:$N$6,3,FALSE)=0,"Spatial Data Missing ▲",VLOOKUP(M99,'G-3 Multipliers'!$L$3:$N$6,3,FALSE)))</f>
        <v/>
      </c>
      <c r="P99" s="282" t="str">
        <f>(IF(G99="Yes","Bespoke compensation likely to be required",(IFERROR(VLOOKUP(AV99,'G-1 All Habitats'!$B$2:$M$135,12,FALSE),""))))</f>
        <v/>
      </c>
      <c r="Q99" s="289" t="str">
        <f>IFERROR(IF(AND(F99&lt;&gt;"",G99=""),"Confirm irreplaceable habitat status ▲",(IF(AND(E99="Individual trees",T99&gt;0,G99="Yes"),"Error - you cannot enhance irreplaceable individual trees ▲",(IF(AND(U99="Irreplaceable habitat - no units generated ⚠",(S99+T99)&lt;H99,OR(Y99="No",Y99="")),"Any Loss Unacceptable ⚠",(IF(U99="Irreplaceable habitat - no units generated ⚠",T99*J99*L99*O99,IF(AND(P99='G-1 All Habitats'!$X$9,AC99&gt;0,S99&lt;=0,T99&lt;=0,OR(Y99="No",Y99="")),"Any Loss Unacceptable ⚠",IF(AND(P99='G-1 All Habitats'!$X$9,AC99&gt;0,S99&lt;=0,T99&lt;=0,Y99="Yes"),0,(IF(AND(P99='G-1 All Habitats'!$X$9,(S99+T99)&lt;H99,OR(Y99="No",Y99="")),"Any Loss Unacceptable ⚠",(IF(P99="","",IF(AND(P99='G-1 All Habitats'!$X$9,T99&gt;0),U99+V99,IF(AND(P99='G-1 All Habitats'!$X$9,S99&gt;0),U99+V99,H99*J99*L99*O99))))))))))))))),"Check Data ▲")</f>
        <v/>
      </c>
      <c r="R99" s="38"/>
      <c r="S99" s="52"/>
      <c r="T99" s="53"/>
      <c r="U99" s="287" t="str">
        <f t="shared" si="11"/>
        <v/>
      </c>
      <c r="V99" s="287" t="str">
        <f t="shared" si="12"/>
        <v/>
      </c>
      <c r="W99" s="287" t="str">
        <f t="shared" si="13"/>
        <v/>
      </c>
      <c r="X99" s="291" t="str">
        <f>IFERROR(IF(H99="","",IF(H99-S99-T99=0&lt;0,"Error in Areas ▲",IF(S99+T99&gt;H99,"Error in Areas ▲",IF(AND(P99='G-1 All Habitats'!$X$9,Y99="Yes"),"Alternative Compensation ✓",IF(AND(P99='G-1 All Habitats'!$X$3,Y99="Yes"),"Alternative Compensation ✓",IF(AND(Y99="Pending",P99='G-1 All Habitats'!$X$3),"Bespoke compensation must be agreed ▲",IF(AND(Y99="Pending",P99='G-1 All Habitats'!$X$9),"Bespoke compensation must be agreed  ▲",IF(W99=0,0,IF(P99='G-1 All Habitats'!$X$9,"Any Loss Unacceptable ▲",Q99-U99-V99))))))))),"Check Data ▲")</f>
        <v/>
      </c>
      <c r="Y99" s="53"/>
      <c r="Z99" s="105"/>
      <c r="AA99" s="233"/>
      <c r="AB99" s="104"/>
      <c r="AC99" s="512" t="str">
        <f>IF(OR(P99="",Y99="Yes"),"",IF(P99='G-1 All Habitats'!$X$9,H99-S99-T99,"None"))</f>
        <v/>
      </c>
      <c r="AD99" s="513" t="str">
        <f>IF(P99="","",IF(P99='G-1 All Habitats'!$X$9,AC99*J99*L99*O99,"None"))</f>
        <v/>
      </c>
      <c r="AE99" s="35" t="str">
        <f t="shared" si="9"/>
        <v/>
      </c>
      <c r="AF99" s="40" t="str">
        <f t="shared" si="14"/>
        <v/>
      </c>
      <c r="AG99" s="40" t="str">
        <f t="shared" si="10"/>
        <v/>
      </c>
      <c r="AH99" s="40" t="str">
        <f>IF(I99="","",IF(#REF!&gt;0,TRUE,FALSE))</f>
        <v/>
      </c>
      <c r="AI99" s="40">
        <v>89</v>
      </c>
      <c r="AJ99" s="40"/>
      <c r="AK99" s="40" t="str">
        <f t="array" ref="AK99">IFERROR(INDEX($AI$11:$AI$259,MATCH(0,IF(TRUE=$AF$11:$AF$259,COUNTIF($AK$10:$AK98,$AI$11:$AI$259),""),0)),"")</f>
        <v/>
      </c>
      <c r="AL99" s="40" t="str">
        <f t="array" ref="AL99">IFERROR(INDEX($AI$11:$AI$259,MATCH(0,IF(TRUE=$AG$11:$AG$259,COUNTIF($AL$10:$AL98,$AI$11:$AI$259),""),0)),"")</f>
        <v/>
      </c>
      <c r="AM99" s="40" t="str">
        <f t="array" ref="AM99">IFERROR(INDEX($AI$11:$AI$259,MATCH(0,IF(TRUE=$AH$11:$AH$259,COUNTIF($AM$10:$AM98,$AI$11:$AI$259),""),0)),"")</f>
        <v/>
      </c>
      <c r="AN99" s="40"/>
      <c r="AQ99" s="35">
        <f t="shared" si="15"/>
        <v>0</v>
      </c>
      <c r="AT99" s="885" t="str">
        <f>IF(AND(OR(Y99="Yes",Y99="Pending"),P99='G-1 All Habitats'!$X$3),Q99-U99-V99,"")</f>
        <v/>
      </c>
      <c r="AV99" s="542" t="str">
        <f>IFERROR(INDEX('G-1 All Habitats'!$B$3:$B$135,MATCH(F99,'G-1 All Habitats'!$A$3:$A$135,0)),"")</f>
        <v/>
      </c>
      <c r="AW99" s="35" t="str">
        <f>IF(AV99="","",VLOOKUP(AV99,'G-1 All Habitats'!$B$1:$T$135,19,FALSE))</f>
        <v/>
      </c>
    </row>
    <row r="100" spans="1:49" ht="14.5" hidden="1" thickBot="1">
      <c r="A100" s="35" t="str">
        <f>IFERROR(INDEX('G-1 All Habitats'!$AG$3:$AG$17,MATCH(E100,'G-1 All Habitats'!$AF$3:$AF$17,0)),"")</f>
        <v/>
      </c>
      <c r="B100" s="35" t="str">
        <f>IFERROR(INDEX('G-8 Condition Look up'!$I$4:$I$135,MATCH(AV100,'G-8 Condition Look up'!$A$4:$A$135,0)),"")</f>
        <v/>
      </c>
      <c r="D100" s="225">
        <v>90</v>
      </c>
      <c r="E100" s="211"/>
      <c r="F100" s="57"/>
      <c r="G100" s="263"/>
      <c r="H100" s="51"/>
      <c r="I100" s="275" t="str">
        <f>IF(AV100="","",IF(AND(AW100="Yes",G100="No"),"Irreplaceable habitat ▲",IF(AND(AW100="No",G100="Yes"),"Cannot be Irreplaceable ▲",VLOOKUP(AV100,'G-1 All Habitats'!$B$2:$M$135,10,FALSE))))</f>
        <v/>
      </c>
      <c r="J100" s="276" t="str">
        <f>IFERROR(VLOOKUP(I100,'G-1 All Habitats'!$V$3:$W$7,2,FALSE),"")</f>
        <v/>
      </c>
      <c r="K100" s="52"/>
      <c r="L100" s="276" t="str">
        <f>IFERROR(INDEX('G-8 Condition Look up'!$A$3:$H$135,MATCH(AV100,'G-8 Condition Look up'!$A$3:$A$135,0),MATCH(K100,'G-8 Condition Look up'!$A$3:$H$3,0)),"")</f>
        <v/>
      </c>
      <c r="M100" s="52"/>
      <c r="N100" s="295" t="str">
        <f>IF(M100="","",IF(VLOOKUP(M100,'G-3 Multipliers'!$L$3:$N$6,2,FALSE)=0,"Spatial Data Missing",VLOOKUP(M100,'G-3 Multipliers'!$L$3:$N$6,2,FALSE)))</f>
        <v/>
      </c>
      <c r="O100" s="281" t="str">
        <f>IF(M100="","",IF(VLOOKUP(M100,'G-3 Multipliers'!$L$3:$N$6,3,FALSE)=0,"Spatial Data Missing ▲",VLOOKUP(M100,'G-3 Multipliers'!$L$3:$N$6,3,FALSE)))</f>
        <v/>
      </c>
      <c r="P100" s="282" t="str">
        <f>(IF(G100="Yes","Bespoke compensation likely to be required",(IFERROR(VLOOKUP(AV100,'G-1 All Habitats'!$B$2:$M$135,12,FALSE),""))))</f>
        <v/>
      </c>
      <c r="Q100" s="289" t="str">
        <f>IFERROR(IF(AND(F100&lt;&gt;"",G100=""),"Confirm irreplaceable habitat status ▲",(IF(AND(E100="Individual trees",T100&gt;0,G100="Yes"),"Error - you cannot enhance irreplaceable individual trees ▲",(IF(AND(U100="Irreplaceable habitat - no units generated ⚠",(S100+T100)&lt;H100,OR(Y100="No",Y100="")),"Any Loss Unacceptable ⚠",(IF(U100="Irreplaceable habitat - no units generated ⚠",T100*J100*L100*O100,IF(AND(P100='G-1 All Habitats'!$X$9,AC100&gt;0,S100&lt;=0,T100&lt;=0,OR(Y100="No",Y100="")),"Any Loss Unacceptable ⚠",IF(AND(P100='G-1 All Habitats'!$X$9,AC100&gt;0,S100&lt;=0,T100&lt;=0,Y100="Yes"),0,(IF(AND(P100='G-1 All Habitats'!$X$9,(S100+T100)&lt;H100,OR(Y100="No",Y100="")),"Any Loss Unacceptable ⚠",(IF(P100="","",IF(AND(P100='G-1 All Habitats'!$X$9,T100&gt;0),U100+V100,IF(AND(P100='G-1 All Habitats'!$X$9,S100&gt;0),U100+V100,H100*J100*L100*O100))))))))))))))),"Check Data ▲")</f>
        <v/>
      </c>
      <c r="R100" s="38"/>
      <c r="S100" s="52"/>
      <c r="T100" s="53"/>
      <c r="U100" s="287" t="str">
        <f t="shared" si="11"/>
        <v/>
      </c>
      <c r="V100" s="287" t="str">
        <f t="shared" si="12"/>
        <v/>
      </c>
      <c r="W100" s="287" t="str">
        <f t="shared" si="13"/>
        <v/>
      </c>
      <c r="X100" s="291" t="str">
        <f>IFERROR(IF(H100="","",IF(H100-S100-T100=0&lt;0,"Error in Areas ▲",IF(S100+T100&gt;H100,"Error in Areas ▲",IF(AND(P100='G-1 All Habitats'!$X$9,Y100="Yes"),"Alternative Compensation ✓",IF(AND(P100='G-1 All Habitats'!$X$3,Y100="Yes"),"Alternative Compensation ✓",IF(AND(Y100="Pending",P100='G-1 All Habitats'!$X$3),"Bespoke compensation must be agreed ▲",IF(AND(Y100="Pending",P100='G-1 All Habitats'!$X$9),"Bespoke compensation must be agreed  ▲",IF(W100=0,0,IF(P100='G-1 All Habitats'!$X$9,"Any Loss Unacceptable ▲",Q100-U100-V100))))))))),"Check Data ▲")</f>
        <v/>
      </c>
      <c r="Y100" s="53"/>
      <c r="Z100" s="105"/>
      <c r="AA100" s="233"/>
      <c r="AB100" s="104"/>
      <c r="AC100" s="512" t="str">
        <f>IF(OR(P100="",Y100="Yes"),"",IF(P100='G-1 All Habitats'!$X$9,H100-S100-T100,"None"))</f>
        <v/>
      </c>
      <c r="AD100" s="513" t="str">
        <f>IF(P100="","",IF(P100='G-1 All Habitats'!$X$9,AC100*J100*L100*O100,"None"))</f>
        <v/>
      </c>
      <c r="AE100" s="35" t="str">
        <f t="shared" si="9"/>
        <v/>
      </c>
      <c r="AF100" s="40" t="str">
        <f t="shared" si="14"/>
        <v/>
      </c>
      <c r="AG100" s="40" t="str">
        <f t="shared" si="10"/>
        <v/>
      </c>
      <c r="AH100" s="40" t="str">
        <f>IF(I100="","",IF(#REF!&gt;0,TRUE,FALSE))</f>
        <v/>
      </c>
      <c r="AI100" s="40">
        <v>90</v>
      </c>
      <c r="AJ100" s="40"/>
      <c r="AK100" s="40" t="str">
        <f t="array" ref="AK100">IFERROR(INDEX($AI$11:$AI$259,MATCH(0,IF(TRUE=$AF$11:$AF$259,COUNTIF($AK$10:$AK99,$AI$11:$AI$259),""),0)),"")</f>
        <v/>
      </c>
      <c r="AL100" s="40" t="str">
        <f t="array" ref="AL100">IFERROR(INDEX($AI$11:$AI$259,MATCH(0,IF(TRUE=$AG$11:$AG$259,COUNTIF($AL$10:$AL99,$AI$11:$AI$259),""),0)),"")</f>
        <v/>
      </c>
      <c r="AM100" s="40" t="str">
        <f t="array" ref="AM100">IFERROR(INDEX($AI$11:$AI$259,MATCH(0,IF(TRUE=$AH$11:$AH$259,COUNTIF($AM$10:$AM99,$AI$11:$AI$259),""),0)),"")</f>
        <v/>
      </c>
      <c r="AN100" s="40"/>
      <c r="AQ100" s="35">
        <f t="shared" si="15"/>
        <v>0</v>
      </c>
      <c r="AT100" s="885" t="str">
        <f>IF(AND(OR(Y100="Yes",Y100="Pending"),P100='G-1 All Habitats'!$X$3),Q100-U100-V100,"")</f>
        <v/>
      </c>
      <c r="AV100" s="542" t="str">
        <f>IFERROR(INDEX('G-1 All Habitats'!$B$3:$B$135,MATCH(F100,'G-1 All Habitats'!$A$3:$A$135,0)),"")</f>
        <v/>
      </c>
      <c r="AW100" s="35" t="str">
        <f>IF(AV100="","",VLOOKUP(AV100,'G-1 All Habitats'!$B$1:$T$135,19,FALSE))</f>
        <v/>
      </c>
    </row>
    <row r="101" spans="1:49" ht="14.5" hidden="1" thickBot="1">
      <c r="A101" s="35" t="str">
        <f>IFERROR(INDEX('G-1 All Habitats'!$AG$3:$AG$17,MATCH(E101,'G-1 All Habitats'!$AF$3:$AF$17,0)),"")</f>
        <v/>
      </c>
      <c r="B101" s="35" t="str">
        <f>IFERROR(INDEX('G-8 Condition Look up'!$I$4:$I$135,MATCH(AV101,'G-8 Condition Look up'!$A$4:$A$135,0)),"")</f>
        <v/>
      </c>
      <c r="D101" s="225">
        <v>91</v>
      </c>
      <c r="E101" s="211"/>
      <c r="F101" s="57"/>
      <c r="G101" s="263"/>
      <c r="H101" s="51"/>
      <c r="I101" s="275" t="str">
        <f>IF(AV101="","",IF(AND(AW101="Yes",G101="No"),"Irreplaceable habitat ▲",IF(AND(AW101="No",G101="Yes"),"Cannot be Irreplaceable ▲",VLOOKUP(AV101,'G-1 All Habitats'!$B$2:$M$135,10,FALSE))))</f>
        <v/>
      </c>
      <c r="J101" s="276" t="str">
        <f>IFERROR(VLOOKUP(I101,'G-1 All Habitats'!$V$3:$W$7,2,FALSE),"")</f>
        <v/>
      </c>
      <c r="K101" s="52"/>
      <c r="L101" s="276" t="str">
        <f>IFERROR(INDEX('G-8 Condition Look up'!$A$3:$H$135,MATCH(AV101,'G-8 Condition Look up'!$A$3:$A$135,0),MATCH(K101,'G-8 Condition Look up'!$A$3:$H$3,0)),"")</f>
        <v/>
      </c>
      <c r="M101" s="52"/>
      <c r="N101" s="295" t="str">
        <f>IF(M101="","",IF(VLOOKUP(M101,'G-3 Multipliers'!$L$3:$N$6,2,FALSE)=0,"Spatial Data Missing",VLOOKUP(M101,'G-3 Multipliers'!$L$3:$N$6,2,FALSE)))</f>
        <v/>
      </c>
      <c r="O101" s="281" t="str">
        <f>IF(M101="","",IF(VLOOKUP(M101,'G-3 Multipliers'!$L$3:$N$6,3,FALSE)=0,"Spatial Data Missing ▲",VLOOKUP(M101,'G-3 Multipliers'!$L$3:$N$6,3,FALSE)))</f>
        <v/>
      </c>
      <c r="P101" s="282" t="str">
        <f>(IF(G101="Yes","Bespoke compensation likely to be required",(IFERROR(VLOOKUP(AV101,'G-1 All Habitats'!$B$2:$M$135,12,FALSE),""))))</f>
        <v/>
      </c>
      <c r="Q101" s="289" t="str">
        <f>IFERROR(IF(AND(F101&lt;&gt;"",G101=""),"Confirm irreplaceable habitat status ▲",(IF(AND(E101="Individual trees",T101&gt;0,G101="Yes"),"Error - you cannot enhance irreplaceable individual trees ▲",(IF(AND(U101="Irreplaceable habitat - no units generated ⚠",(S101+T101)&lt;H101,OR(Y101="No",Y101="")),"Any Loss Unacceptable ⚠",(IF(U101="Irreplaceable habitat - no units generated ⚠",T101*J101*L101*O101,IF(AND(P101='G-1 All Habitats'!$X$9,AC101&gt;0,S101&lt;=0,T101&lt;=0,OR(Y101="No",Y101="")),"Any Loss Unacceptable ⚠",IF(AND(P101='G-1 All Habitats'!$X$9,AC101&gt;0,S101&lt;=0,T101&lt;=0,Y101="Yes"),0,(IF(AND(P101='G-1 All Habitats'!$X$9,(S101+T101)&lt;H101,OR(Y101="No",Y101="")),"Any Loss Unacceptable ⚠",(IF(P101="","",IF(AND(P101='G-1 All Habitats'!$X$9,T101&gt;0),U101+V101,IF(AND(P101='G-1 All Habitats'!$X$9,S101&gt;0),U101+V101,H101*J101*L101*O101))))))))))))))),"Check Data ▲")</f>
        <v/>
      </c>
      <c r="R101" s="38"/>
      <c r="S101" s="52"/>
      <c r="T101" s="53"/>
      <c r="U101" s="287" t="str">
        <f t="shared" si="11"/>
        <v/>
      </c>
      <c r="V101" s="287" t="str">
        <f t="shared" si="12"/>
        <v/>
      </c>
      <c r="W101" s="287" t="str">
        <f t="shared" si="13"/>
        <v/>
      </c>
      <c r="X101" s="291" t="str">
        <f>IFERROR(IF(H101="","",IF(H101-S101-T101=0&lt;0,"Error in Areas ▲",IF(S101+T101&gt;H101,"Error in Areas ▲",IF(AND(P101='G-1 All Habitats'!$X$9,Y101="Yes"),"Alternative Compensation ✓",IF(AND(P101='G-1 All Habitats'!$X$3,Y101="Yes"),"Alternative Compensation ✓",IF(AND(Y101="Pending",P101='G-1 All Habitats'!$X$3),"Bespoke compensation must be agreed ▲",IF(AND(Y101="Pending",P101='G-1 All Habitats'!$X$9),"Bespoke compensation must be agreed  ▲",IF(W101=0,0,IF(P101='G-1 All Habitats'!$X$9,"Any Loss Unacceptable ▲",Q101-U101-V101))))))))),"Check Data ▲")</f>
        <v/>
      </c>
      <c r="Y101" s="53"/>
      <c r="Z101" s="105"/>
      <c r="AA101" s="233"/>
      <c r="AB101" s="104"/>
      <c r="AC101" s="512" t="str">
        <f>IF(OR(P101="",Y101="Yes"),"",IF(P101='G-1 All Habitats'!$X$9,H101-S101-T101,"None"))</f>
        <v/>
      </c>
      <c r="AD101" s="513" t="str">
        <f>IF(P101="","",IF(P101='G-1 All Habitats'!$X$9,AC101*J101*L101*O101,"None"))</f>
        <v/>
      </c>
      <c r="AE101" s="35" t="str">
        <f t="shared" si="9"/>
        <v/>
      </c>
      <c r="AF101" s="40" t="str">
        <f t="shared" si="14"/>
        <v/>
      </c>
      <c r="AG101" s="40" t="str">
        <f t="shared" si="10"/>
        <v/>
      </c>
      <c r="AH101" s="40" t="str">
        <f>IF(I101="","",IF(#REF!&gt;0,TRUE,FALSE))</f>
        <v/>
      </c>
      <c r="AI101" s="40">
        <v>91</v>
      </c>
      <c r="AJ101" s="40"/>
      <c r="AK101" s="40" t="str">
        <f t="array" ref="AK101">IFERROR(INDEX($AI$11:$AI$259,MATCH(0,IF(TRUE=$AF$11:$AF$259,COUNTIF($AK$10:$AK100,$AI$11:$AI$259),""),0)),"")</f>
        <v/>
      </c>
      <c r="AL101" s="40" t="str">
        <f t="array" ref="AL101">IFERROR(INDEX($AI$11:$AI$259,MATCH(0,IF(TRUE=$AG$11:$AG$259,COUNTIF($AL$10:$AL100,$AI$11:$AI$259),""),0)),"")</f>
        <v/>
      </c>
      <c r="AM101" s="40" t="str">
        <f t="array" ref="AM101">IFERROR(INDEX($AI$11:$AI$259,MATCH(0,IF(TRUE=$AH$11:$AH$259,COUNTIF($AM$10:$AM100,$AI$11:$AI$259),""),0)),"")</f>
        <v/>
      </c>
      <c r="AN101" s="40"/>
      <c r="AQ101" s="35">
        <f t="shared" si="15"/>
        <v>0</v>
      </c>
      <c r="AT101" s="885" t="str">
        <f>IF(AND(OR(Y101="Yes",Y101="Pending"),P101='G-1 All Habitats'!$X$3),Q101-U101-V101,"")</f>
        <v/>
      </c>
      <c r="AV101" s="542" t="str">
        <f>IFERROR(INDEX('G-1 All Habitats'!$B$3:$B$135,MATCH(F101,'G-1 All Habitats'!$A$3:$A$135,0)),"")</f>
        <v/>
      </c>
      <c r="AW101" s="35" t="str">
        <f>IF(AV101="","",VLOOKUP(AV101,'G-1 All Habitats'!$B$1:$T$135,19,FALSE))</f>
        <v/>
      </c>
    </row>
    <row r="102" spans="1:49" ht="14.5" hidden="1" thickBot="1">
      <c r="A102" s="35" t="str">
        <f>IFERROR(INDEX('G-1 All Habitats'!$AG$3:$AG$17,MATCH(E102,'G-1 All Habitats'!$AF$3:$AF$17,0)),"")</f>
        <v/>
      </c>
      <c r="B102" s="35" t="str">
        <f>IFERROR(INDEX('G-8 Condition Look up'!$I$4:$I$135,MATCH(AV102,'G-8 Condition Look up'!$A$4:$A$135,0)),"")</f>
        <v/>
      </c>
      <c r="D102" s="225">
        <v>92</v>
      </c>
      <c r="E102" s="211"/>
      <c r="F102" s="57"/>
      <c r="G102" s="263"/>
      <c r="H102" s="51"/>
      <c r="I102" s="275" t="str">
        <f>IF(AV102="","",IF(AND(AW102="Yes",G102="No"),"Irreplaceable habitat ▲",IF(AND(AW102="No",G102="Yes"),"Cannot be Irreplaceable ▲",VLOOKUP(AV102,'G-1 All Habitats'!$B$2:$M$135,10,FALSE))))</f>
        <v/>
      </c>
      <c r="J102" s="276" t="str">
        <f>IFERROR(VLOOKUP(I102,'G-1 All Habitats'!$V$3:$W$7,2,FALSE),"")</f>
        <v/>
      </c>
      <c r="K102" s="52"/>
      <c r="L102" s="276" t="str">
        <f>IFERROR(INDEX('G-8 Condition Look up'!$A$3:$H$135,MATCH(AV102,'G-8 Condition Look up'!$A$3:$A$135,0),MATCH(K102,'G-8 Condition Look up'!$A$3:$H$3,0)),"")</f>
        <v/>
      </c>
      <c r="M102" s="52"/>
      <c r="N102" s="295" t="str">
        <f>IF(M102="","",IF(VLOOKUP(M102,'G-3 Multipliers'!$L$3:$N$6,2,FALSE)=0,"Spatial Data Missing",VLOOKUP(M102,'G-3 Multipliers'!$L$3:$N$6,2,FALSE)))</f>
        <v/>
      </c>
      <c r="O102" s="281" t="str">
        <f>IF(M102="","",IF(VLOOKUP(M102,'G-3 Multipliers'!$L$3:$N$6,3,FALSE)=0,"Spatial Data Missing ▲",VLOOKUP(M102,'G-3 Multipliers'!$L$3:$N$6,3,FALSE)))</f>
        <v/>
      </c>
      <c r="P102" s="282" t="str">
        <f>(IF(G102="Yes","Bespoke compensation likely to be required",(IFERROR(VLOOKUP(AV102,'G-1 All Habitats'!$B$2:$M$135,12,FALSE),""))))</f>
        <v/>
      </c>
      <c r="Q102" s="289" t="str">
        <f>IFERROR(IF(AND(F102&lt;&gt;"",G102=""),"Confirm irreplaceable habitat status ▲",(IF(AND(E102="Individual trees",T102&gt;0,G102="Yes"),"Error - you cannot enhance irreplaceable individual trees ▲",(IF(AND(U102="Irreplaceable habitat - no units generated ⚠",(S102+T102)&lt;H102,OR(Y102="No",Y102="")),"Any Loss Unacceptable ⚠",(IF(U102="Irreplaceable habitat - no units generated ⚠",T102*J102*L102*O102,IF(AND(P102='G-1 All Habitats'!$X$9,AC102&gt;0,S102&lt;=0,T102&lt;=0,OR(Y102="No",Y102="")),"Any Loss Unacceptable ⚠",IF(AND(P102='G-1 All Habitats'!$X$9,AC102&gt;0,S102&lt;=0,T102&lt;=0,Y102="Yes"),0,(IF(AND(P102='G-1 All Habitats'!$X$9,(S102+T102)&lt;H102,OR(Y102="No",Y102="")),"Any Loss Unacceptable ⚠",(IF(P102="","",IF(AND(P102='G-1 All Habitats'!$X$9,T102&gt;0),U102+V102,IF(AND(P102='G-1 All Habitats'!$X$9,S102&gt;0),U102+V102,H102*J102*L102*O102))))))))))))))),"Check Data ▲")</f>
        <v/>
      </c>
      <c r="R102" s="38"/>
      <c r="S102" s="52"/>
      <c r="T102" s="53"/>
      <c r="U102" s="287" t="str">
        <f t="shared" si="11"/>
        <v/>
      </c>
      <c r="V102" s="287" t="str">
        <f t="shared" si="12"/>
        <v/>
      </c>
      <c r="W102" s="287" t="str">
        <f t="shared" si="13"/>
        <v/>
      </c>
      <c r="X102" s="291" t="str">
        <f>IFERROR(IF(H102="","",IF(H102-S102-T102=0&lt;0,"Error in Areas ▲",IF(S102+T102&gt;H102,"Error in Areas ▲",IF(AND(P102='G-1 All Habitats'!$X$9,Y102="Yes"),"Alternative Compensation ✓",IF(AND(P102='G-1 All Habitats'!$X$3,Y102="Yes"),"Alternative Compensation ✓",IF(AND(Y102="Pending",P102='G-1 All Habitats'!$X$3),"Bespoke compensation must be agreed ▲",IF(AND(Y102="Pending",P102='G-1 All Habitats'!$X$9),"Bespoke compensation must be agreed  ▲",IF(W102=0,0,IF(P102='G-1 All Habitats'!$X$9,"Any Loss Unacceptable ▲",Q102-U102-V102))))))))),"Check Data ▲")</f>
        <v/>
      </c>
      <c r="Y102" s="53"/>
      <c r="Z102" s="105"/>
      <c r="AA102" s="233"/>
      <c r="AB102" s="104"/>
      <c r="AC102" s="512" t="str">
        <f>IF(OR(P102="",Y102="Yes"),"",IF(P102='G-1 All Habitats'!$X$9,H102-S102-T102,"None"))</f>
        <v/>
      </c>
      <c r="AD102" s="513" t="str">
        <f>IF(P102="","",IF(P102='G-1 All Habitats'!$X$9,AC102*J102*L102*O102,"None"))</f>
        <v/>
      </c>
      <c r="AE102" s="35" t="str">
        <f t="shared" si="9"/>
        <v/>
      </c>
      <c r="AF102" s="40" t="str">
        <f t="shared" si="14"/>
        <v/>
      </c>
      <c r="AG102" s="40" t="str">
        <f t="shared" si="10"/>
        <v/>
      </c>
      <c r="AH102" s="40" t="str">
        <f>IF(I102="","",IF(#REF!&gt;0,TRUE,FALSE))</f>
        <v/>
      </c>
      <c r="AI102" s="40">
        <v>92</v>
      </c>
      <c r="AJ102" s="40"/>
      <c r="AK102" s="40" t="str">
        <f t="array" ref="AK102">IFERROR(INDEX($AI$11:$AI$259,MATCH(0,IF(TRUE=$AF$11:$AF$259,COUNTIF($AK$10:$AK101,$AI$11:$AI$259),""),0)),"")</f>
        <v/>
      </c>
      <c r="AL102" s="40" t="str">
        <f t="array" ref="AL102">IFERROR(INDEX($AI$11:$AI$259,MATCH(0,IF(TRUE=$AG$11:$AG$259,COUNTIF($AL$10:$AL101,$AI$11:$AI$259),""),0)),"")</f>
        <v/>
      </c>
      <c r="AM102" s="40" t="str">
        <f t="array" ref="AM102">IFERROR(INDEX($AI$11:$AI$259,MATCH(0,IF(TRUE=$AH$11:$AH$259,COUNTIF($AM$10:$AM101,$AI$11:$AI$259),""),0)),"")</f>
        <v/>
      </c>
      <c r="AN102" s="40"/>
      <c r="AQ102" s="35">
        <f t="shared" si="15"/>
        <v>0</v>
      </c>
      <c r="AT102" s="885" t="str">
        <f>IF(AND(OR(Y102="Yes",Y102="Pending"),P102='G-1 All Habitats'!$X$3),Q102-U102-V102,"")</f>
        <v/>
      </c>
      <c r="AV102" s="542" t="str">
        <f>IFERROR(INDEX('G-1 All Habitats'!$B$3:$B$135,MATCH(F102,'G-1 All Habitats'!$A$3:$A$135,0)),"")</f>
        <v/>
      </c>
      <c r="AW102" s="35" t="str">
        <f>IF(AV102="","",VLOOKUP(AV102,'G-1 All Habitats'!$B$1:$T$135,19,FALSE))</f>
        <v/>
      </c>
    </row>
    <row r="103" spans="1:49" ht="14.5" hidden="1" thickBot="1">
      <c r="A103" s="35" t="str">
        <f>IFERROR(INDEX('G-1 All Habitats'!$AG$3:$AG$17,MATCH(E103,'G-1 All Habitats'!$AF$3:$AF$17,0)),"")</f>
        <v/>
      </c>
      <c r="B103" s="35" t="str">
        <f>IFERROR(INDEX('G-8 Condition Look up'!$I$4:$I$135,MATCH(AV103,'G-8 Condition Look up'!$A$4:$A$135,0)),"")</f>
        <v/>
      </c>
      <c r="D103" s="225">
        <v>93</v>
      </c>
      <c r="E103" s="211"/>
      <c r="F103" s="57"/>
      <c r="G103" s="263"/>
      <c r="H103" s="51"/>
      <c r="I103" s="275" t="str">
        <f>IF(AV103="","",IF(AND(AW103="Yes",G103="No"),"Irreplaceable habitat ▲",IF(AND(AW103="No",G103="Yes"),"Cannot be Irreplaceable ▲",VLOOKUP(AV103,'G-1 All Habitats'!$B$2:$M$135,10,FALSE))))</f>
        <v/>
      </c>
      <c r="J103" s="276" t="str">
        <f>IFERROR(VLOOKUP(I103,'G-1 All Habitats'!$V$3:$W$7,2,FALSE),"")</f>
        <v/>
      </c>
      <c r="K103" s="52"/>
      <c r="L103" s="276" t="str">
        <f>IFERROR(INDEX('G-8 Condition Look up'!$A$3:$H$135,MATCH(AV103,'G-8 Condition Look up'!$A$3:$A$135,0),MATCH(K103,'G-8 Condition Look up'!$A$3:$H$3,0)),"")</f>
        <v/>
      </c>
      <c r="M103" s="52"/>
      <c r="N103" s="295" t="str">
        <f>IF(M103="","",IF(VLOOKUP(M103,'G-3 Multipliers'!$L$3:$N$6,2,FALSE)=0,"Spatial Data Missing",VLOOKUP(M103,'G-3 Multipliers'!$L$3:$N$6,2,FALSE)))</f>
        <v/>
      </c>
      <c r="O103" s="281" t="str">
        <f>IF(M103="","",IF(VLOOKUP(M103,'G-3 Multipliers'!$L$3:$N$6,3,FALSE)=0,"Spatial Data Missing ▲",VLOOKUP(M103,'G-3 Multipliers'!$L$3:$N$6,3,FALSE)))</f>
        <v/>
      </c>
      <c r="P103" s="282" t="str">
        <f>(IF(G103="Yes","Bespoke compensation likely to be required",(IFERROR(VLOOKUP(AV103,'G-1 All Habitats'!$B$2:$M$135,12,FALSE),""))))</f>
        <v/>
      </c>
      <c r="Q103" s="289" t="str">
        <f>IFERROR(IF(AND(F103&lt;&gt;"",G103=""),"Confirm irreplaceable habitat status ▲",(IF(AND(E103="Individual trees",T103&gt;0,G103="Yes"),"Error - you cannot enhance irreplaceable individual trees ▲",(IF(AND(U103="Irreplaceable habitat - no units generated ⚠",(S103+T103)&lt;H103,OR(Y103="No",Y103="")),"Any Loss Unacceptable ⚠",(IF(U103="Irreplaceable habitat - no units generated ⚠",T103*J103*L103*O103,IF(AND(P103='G-1 All Habitats'!$X$9,AC103&gt;0,S103&lt;=0,T103&lt;=0,OR(Y103="No",Y103="")),"Any Loss Unacceptable ⚠",IF(AND(P103='G-1 All Habitats'!$X$9,AC103&gt;0,S103&lt;=0,T103&lt;=0,Y103="Yes"),0,(IF(AND(P103='G-1 All Habitats'!$X$9,(S103+T103)&lt;H103,OR(Y103="No",Y103="")),"Any Loss Unacceptable ⚠",(IF(P103="","",IF(AND(P103='G-1 All Habitats'!$X$9,T103&gt;0),U103+V103,IF(AND(P103='G-1 All Habitats'!$X$9,S103&gt;0),U103+V103,H103*J103*L103*O103))))))))))))))),"Check Data ▲")</f>
        <v/>
      </c>
      <c r="R103" s="38"/>
      <c r="S103" s="52"/>
      <c r="T103" s="53"/>
      <c r="U103" s="287" t="str">
        <f t="shared" si="11"/>
        <v/>
      </c>
      <c r="V103" s="287" t="str">
        <f t="shared" si="12"/>
        <v/>
      </c>
      <c r="W103" s="287" t="str">
        <f t="shared" si="13"/>
        <v/>
      </c>
      <c r="X103" s="291" t="str">
        <f>IFERROR(IF(H103="","",IF(H103-S103-T103=0&lt;0,"Error in Areas ▲",IF(S103+T103&gt;H103,"Error in Areas ▲",IF(AND(P103='G-1 All Habitats'!$X$9,Y103="Yes"),"Alternative Compensation ✓",IF(AND(P103='G-1 All Habitats'!$X$3,Y103="Yes"),"Alternative Compensation ✓",IF(AND(Y103="Pending",P103='G-1 All Habitats'!$X$3),"Bespoke compensation must be agreed ▲",IF(AND(Y103="Pending",P103='G-1 All Habitats'!$X$9),"Bespoke compensation must be agreed  ▲",IF(W103=0,0,IF(P103='G-1 All Habitats'!$X$9,"Any Loss Unacceptable ▲",Q103-U103-V103))))))))),"Check Data ▲")</f>
        <v/>
      </c>
      <c r="Y103" s="53"/>
      <c r="Z103" s="105"/>
      <c r="AA103" s="233"/>
      <c r="AB103" s="104"/>
      <c r="AC103" s="512" t="str">
        <f>IF(OR(P103="",Y103="Yes"),"",IF(P103='G-1 All Habitats'!$X$9,H103-S103-T103,"None"))</f>
        <v/>
      </c>
      <c r="AD103" s="513" t="str">
        <f>IF(P103="","",IF(P103='G-1 All Habitats'!$X$9,AC103*J103*L103*O103,"None"))</f>
        <v/>
      </c>
      <c r="AE103" s="35" t="str">
        <f t="shared" si="9"/>
        <v/>
      </c>
      <c r="AF103" s="40" t="str">
        <f t="shared" si="14"/>
        <v/>
      </c>
      <c r="AG103" s="40" t="str">
        <f t="shared" si="10"/>
        <v/>
      </c>
      <c r="AH103" s="40" t="str">
        <f>IF(I103="","",IF(#REF!&gt;0,TRUE,FALSE))</f>
        <v/>
      </c>
      <c r="AI103" s="40">
        <v>93</v>
      </c>
      <c r="AJ103" s="40"/>
      <c r="AK103" s="40" t="str">
        <f t="array" ref="AK103">IFERROR(INDEX($AI$11:$AI$259,MATCH(0,IF(TRUE=$AF$11:$AF$259,COUNTIF($AK$10:$AK102,$AI$11:$AI$259),""),0)),"")</f>
        <v/>
      </c>
      <c r="AL103" s="40" t="str">
        <f t="array" ref="AL103">IFERROR(INDEX($AI$11:$AI$259,MATCH(0,IF(TRUE=$AG$11:$AG$259,COUNTIF($AL$10:$AL102,$AI$11:$AI$259),""),0)),"")</f>
        <v/>
      </c>
      <c r="AM103" s="40" t="str">
        <f t="array" ref="AM103">IFERROR(INDEX($AI$11:$AI$259,MATCH(0,IF(TRUE=$AH$11:$AH$259,COUNTIF($AM$10:$AM102,$AI$11:$AI$259),""),0)),"")</f>
        <v/>
      </c>
      <c r="AN103" s="40"/>
      <c r="AQ103" s="35">
        <f t="shared" si="15"/>
        <v>0</v>
      </c>
      <c r="AT103" s="885" t="str">
        <f>IF(AND(OR(Y103="Yes",Y103="Pending"),P103='G-1 All Habitats'!$X$3),Q103-U103-V103,"")</f>
        <v/>
      </c>
      <c r="AV103" s="542" t="str">
        <f>IFERROR(INDEX('G-1 All Habitats'!$B$3:$B$135,MATCH(F103,'G-1 All Habitats'!$A$3:$A$135,0)),"")</f>
        <v/>
      </c>
      <c r="AW103" s="35" t="str">
        <f>IF(AV103="","",VLOOKUP(AV103,'G-1 All Habitats'!$B$1:$T$135,19,FALSE))</f>
        <v/>
      </c>
    </row>
    <row r="104" spans="1:49" ht="14.5" hidden="1" thickBot="1">
      <c r="A104" s="35" t="str">
        <f>IFERROR(INDEX('G-1 All Habitats'!$AG$3:$AG$17,MATCH(E104,'G-1 All Habitats'!$AF$3:$AF$17,0)),"")</f>
        <v/>
      </c>
      <c r="B104" s="35" t="str">
        <f>IFERROR(INDEX('G-8 Condition Look up'!$I$4:$I$135,MATCH(AV104,'G-8 Condition Look up'!$A$4:$A$135,0)),"")</f>
        <v/>
      </c>
      <c r="D104" s="225">
        <v>94</v>
      </c>
      <c r="E104" s="211"/>
      <c r="F104" s="57"/>
      <c r="G104" s="263"/>
      <c r="H104" s="51"/>
      <c r="I104" s="275" t="str">
        <f>IF(AV104="","",IF(AND(AW104="Yes",G104="No"),"Irreplaceable habitat ▲",IF(AND(AW104="No",G104="Yes"),"Cannot be Irreplaceable ▲",VLOOKUP(AV104,'G-1 All Habitats'!$B$2:$M$135,10,FALSE))))</f>
        <v/>
      </c>
      <c r="J104" s="276" t="str">
        <f>IFERROR(VLOOKUP(I104,'G-1 All Habitats'!$V$3:$W$7,2,FALSE),"")</f>
        <v/>
      </c>
      <c r="K104" s="52"/>
      <c r="L104" s="276" t="str">
        <f>IFERROR(INDEX('G-8 Condition Look up'!$A$3:$H$135,MATCH(AV104,'G-8 Condition Look up'!$A$3:$A$135,0),MATCH(K104,'G-8 Condition Look up'!$A$3:$H$3,0)),"")</f>
        <v/>
      </c>
      <c r="M104" s="52"/>
      <c r="N104" s="295" t="str">
        <f>IF(M104="","",IF(VLOOKUP(M104,'G-3 Multipliers'!$L$3:$N$6,2,FALSE)=0,"Spatial Data Missing",VLOOKUP(M104,'G-3 Multipliers'!$L$3:$N$6,2,FALSE)))</f>
        <v/>
      </c>
      <c r="O104" s="281" t="str">
        <f>IF(M104="","",IF(VLOOKUP(M104,'G-3 Multipliers'!$L$3:$N$6,3,FALSE)=0,"Spatial Data Missing ▲",VLOOKUP(M104,'G-3 Multipliers'!$L$3:$N$6,3,FALSE)))</f>
        <v/>
      </c>
      <c r="P104" s="282" t="str">
        <f>(IF(G104="Yes","Bespoke compensation likely to be required",(IFERROR(VLOOKUP(AV104,'G-1 All Habitats'!$B$2:$M$135,12,FALSE),""))))</f>
        <v/>
      </c>
      <c r="Q104" s="289" t="str">
        <f>IFERROR(IF(AND(F104&lt;&gt;"",G104=""),"Confirm irreplaceable habitat status ▲",(IF(AND(E104="Individual trees",T104&gt;0,G104="Yes"),"Error - you cannot enhance irreplaceable individual trees ▲",(IF(AND(U104="Irreplaceable habitat - no units generated ⚠",(S104+T104)&lt;H104,OR(Y104="No",Y104="")),"Any Loss Unacceptable ⚠",(IF(U104="Irreplaceable habitat - no units generated ⚠",T104*J104*L104*O104,IF(AND(P104='G-1 All Habitats'!$X$9,AC104&gt;0,S104&lt;=0,T104&lt;=0,OR(Y104="No",Y104="")),"Any Loss Unacceptable ⚠",IF(AND(P104='G-1 All Habitats'!$X$9,AC104&gt;0,S104&lt;=0,T104&lt;=0,Y104="Yes"),0,(IF(AND(P104='G-1 All Habitats'!$X$9,(S104+T104)&lt;H104,OR(Y104="No",Y104="")),"Any Loss Unacceptable ⚠",(IF(P104="","",IF(AND(P104='G-1 All Habitats'!$X$9,T104&gt;0),U104+V104,IF(AND(P104='G-1 All Habitats'!$X$9,S104&gt;0),U104+V104,H104*J104*L104*O104))))))))))))))),"Check Data ▲")</f>
        <v/>
      </c>
      <c r="R104" s="38"/>
      <c r="S104" s="52"/>
      <c r="T104" s="53"/>
      <c r="U104" s="287" t="str">
        <f t="shared" si="11"/>
        <v/>
      </c>
      <c r="V104" s="287" t="str">
        <f t="shared" si="12"/>
        <v/>
      </c>
      <c r="W104" s="287" t="str">
        <f t="shared" si="13"/>
        <v/>
      </c>
      <c r="X104" s="291" t="str">
        <f>IFERROR(IF(H104="","",IF(H104-S104-T104=0&lt;0,"Error in Areas ▲",IF(S104+T104&gt;H104,"Error in Areas ▲",IF(AND(P104='G-1 All Habitats'!$X$9,Y104="Yes"),"Alternative Compensation ✓",IF(AND(P104='G-1 All Habitats'!$X$3,Y104="Yes"),"Alternative Compensation ✓",IF(AND(Y104="Pending",P104='G-1 All Habitats'!$X$3),"Bespoke compensation must be agreed ▲",IF(AND(Y104="Pending",P104='G-1 All Habitats'!$X$9),"Bespoke compensation must be agreed  ▲",IF(W104=0,0,IF(P104='G-1 All Habitats'!$X$9,"Any Loss Unacceptable ▲",Q104-U104-V104))))))))),"Check Data ▲")</f>
        <v/>
      </c>
      <c r="Y104" s="53"/>
      <c r="Z104" s="105"/>
      <c r="AA104" s="233"/>
      <c r="AB104" s="104"/>
      <c r="AC104" s="512" t="str">
        <f>IF(OR(P104="",Y104="Yes"),"",IF(P104='G-1 All Habitats'!$X$9,H104-S104-T104,"None"))</f>
        <v/>
      </c>
      <c r="AD104" s="513" t="str">
        <f>IF(P104="","",IF(P104='G-1 All Habitats'!$X$9,AC104*J104*L104*O104,"None"))</f>
        <v/>
      </c>
      <c r="AE104" s="35" t="str">
        <f t="shared" si="9"/>
        <v/>
      </c>
      <c r="AF104" s="40" t="str">
        <f t="shared" si="14"/>
        <v/>
      </c>
      <c r="AG104" s="40" t="str">
        <f t="shared" si="10"/>
        <v/>
      </c>
      <c r="AH104" s="40" t="str">
        <f>IF(I104="","",IF(#REF!&gt;0,TRUE,FALSE))</f>
        <v/>
      </c>
      <c r="AI104" s="40">
        <v>94</v>
      </c>
      <c r="AJ104" s="40"/>
      <c r="AK104" s="40" t="str">
        <f t="array" ref="AK104">IFERROR(INDEX($AI$11:$AI$259,MATCH(0,IF(TRUE=$AF$11:$AF$259,COUNTIF($AK$10:$AK103,$AI$11:$AI$259),""),0)),"")</f>
        <v/>
      </c>
      <c r="AL104" s="40" t="str">
        <f t="array" ref="AL104">IFERROR(INDEX($AI$11:$AI$259,MATCH(0,IF(TRUE=$AG$11:$AG$259,COUNTIF($AL$10:$AL103,$AI$11:$AI$259),""),0)),"")</f>
        <v/>
      </c>
      <c r="AM104" s="40" t="str">
        <f t="array" ref="AM104">IFERROR(INDEX($AI$11:$AI$259,MATCH(0,IF(TRUE=$AH$11:$AH$259,COUNTIF($AM$10:$AM103,$AI$11:$AI$259),""),0)),"")</f>
        <v/>
      </c>
      <c r="AN104" s="40"/>
      <c r="AQ104" s="35">
        <f t="shared" si="15"/>
        <v>0</v>
      </c>
      <c r="AT104" s="885" t="str">
        <f>IF(AND(OR(Y104="Yes",Y104="Pending"),P104='G-1 All Habitats'!$X$3),Q104-U104-V104,"")</f>
        <v/>
      </c>
      <c r="AV104" s="542" t="str">
        <f>IFERROR(INDEX('G-1 All Habitats'!$B$3:$B$135,MATCH(F104,'G-1 All Habitats'!$A$3:$A$135,0)),"")</f>
        <v/>
      </c>
      <c r="AW104" s="35" t="str">
        <f>IF(AV104="","",VLOOKUP(AV104,'G-1 All Habitats'!$B$1:$T$135,19,FALSE))</f>
        <v/>
      </c>
    </row>
    <row r="105" spans="1:49" ht="14.5" hidden="1" thickBot="1">
      <c r="A105" s="35" t="str">
        <f>IFERROR(INDEX('G-1 All Habitats'!$AG$3:$AG$17,MATCH(E105,'G-1 All Habitats'!$AF$3:$AF$17,0)),"")</f>
        <v/>
      </c>
      <c r="B105" s="35" t="str">
        <f>IFERROR(INDEX('G-8 Condition Look up'!$I$4:$I$135,MATCH(AV105,'G-8 Condition Look up'!$A$4:$A$135,0)),"")</f>
        <v/>
      </c>
      <c r="D105" s="225">
        <v>95</v>
      </c>
      <c r="E105" s="211"/>
      <c r="F105" s="57"/>
      <c r="G105" s="263"/>
      <c r="H105" s="51"/>
      <c r="I105" s="275" t="str">
        <f>IF(AV105="","",IF(AND(AW105="Yes",G105="No"),"Irreplaceable habitat ▲",IF(AND(AW105="No",G105="Yes"),"Cannot be Irreplaceable ▲",VLOOKUP(AV105,'G-1 All Habitats'!$B$2:$M$135,10,FALSE))))</f>
        <v/>
      </c>
      <c r="J105" s="276" t="str">
        <f>IFERROR(VLOOKUP(I105,'G-1 All Habitats'!$V$3:$W$7,2,FALSE),"")</f>
        <v/>
      </c>
      <c r="K105" s="52"/>
      <c r="L105" s="276" t="str">
        <f>IFERROR(INDEX('G-8 Condition Look up'!$A$3:$H$135,MATCH(AV105,'G-8 Condition Look up'!$A$3:$A$135,0),MATCH(K105,'G-8 Condition Look up'!$A$3:$H$3,0)),"")</f>
        <v/>
      </c>
      <c r="M105" s="52"/>
      <c r="N105" s="295" t="str">
        <f>IF(M105="","",IF(VLOOKUP(M105,'G-3 Multipliers'!$L$3:$N$6,2,FALSE)=0,"Spatial Data Missing",VLOOKUP(M105,'G-3 Multipliers'!$L$3:$N$6,2,FALSE)))</f>
        <v/>
      </c>
      <c r="O105" s="281" t="str">
        <f>IF(M105="","",IF(VLOOKUP(M105,'G-3 Multipliers'!$L$3:$N$6,3,FALSE)=0,"Spatial Data Missing ▲",VLOOKUP(M105,'G-3 Multipliers'!$L$3:$N$6,3,FALSE)))</f>
        <v/>
      </c>
      <c r="P105" s="282" t="str">
        <f>(IF(G105="Yes","Bespoke compensation likely to be required",(IFERROR(VLOOKUP(AV105,'G-1 All Habitats'!$B$2:$M$135,12,FALSE),""))))</f>
        <v/>
      </c>
      <c r="Q105" s="289" t="str">
        <f>IFERROR(IF(AND(F105&lt;&gt;"",G105=""),"Confirm irreplaceable habitat status ▲",(IF(AND(E105="Individual trees",T105&gt;0,G105="Yes"),"Error - you cannot enhance irreplaceable individual trees ▲",(IF(AND(U105="Irreplaceable habitat - no units generated ⚠",(S105+T105)&lt;H105,OR(Y105="No",Y105="")),"Any Loss Unacceptable ⚠",(IF(U105="Irreplaceable habitat - no units generated ⚠",T105*J105*L105*O105,IF(AND(P105='G-1 All Habitats'!$X$9,AC105&gt;0,S105&lt;=0,T105&lt;=0,OR(Y105="No",Y105="")),"Any Loss Unacceptable ⚠",IF(AND(P105='G-1 All Habitats'!$X$9,AC105&gt;0,S105&lt;=0,T105&lt;=0,Y105="Yes"),0,(IF(AND(P105='G-1 All Habitats'!$X$9,(S105+T105)&lt;H105,OR(Y105="No",Y105="")),"Any Loss Unacceptable ⚠",(IF(P105="","",IF(AND(P105='G-1 All Habitats'!$X$9,T105&gt;0),U105+V105,IF(AND(P105='G-1 All Habitats'!$X$9,S105&gt;0),U105+V105,H105*J105*L105*O105))))))))))))))),"Check Data ▲")</f>
        <v/>
      </c>
      <c r="R105" s="38"/>
      <c r="S105" s="52"/>
      <c r="T105" s="53"/>
      <c r="U105" s="287" t="str">
        <f t="shared" si="11"/>
        <v/>
      </c>
      <c r="V105" s="287" t="str">
        <f t="shared" si="12"/>
        <v/>
      </c>
      <c r="W105" s="287" t="str">
        <f t="shared" si="13"/>
        <v/>
      </c>
      <c r="X105" s="291" t="str">
        <f>IFERROR(IF(H105="","",IF(H105-S105-T105=0&lt;0,"Error in Areas ▲",IF(S105+T105&gt;H105,"Error in Areas ▲",IF(AND(P105='G-1 All Habitats'!$X$9,Y105="Yes"),"Alternative Compensation ✓",IF(AND(P105='G-1 All Habitats'!$X$3,Y105="Yes"),"Alternative Compensation ✓",IF(AND(Y105="Pending",P105='G-1 All Habitats'!$X$3),"Bespoke compensation must be agreed ▲",IF(AND(Y105="Pending",P105='G-1 All Habitats'!$X$9),"Bespoke compensation must be agreed  ▲",IF(W105=0,0,IF(P105='G-1 All Habitats'!$X$9,"Any Loss Unacceptable ▲",Q105-U105-V105))))))))),"Check Data ▲")</f>
        <v/>
      </c>
      <c r="Y105" s="53"/>
      <c r="Z105" s="105"/>
      <c r="AA105" s="233"/>
      <c r="AB105" s="104"/>
      <c r="AC105" s="512" t="str">
        <f>IF(OR(P105="",Y105="Yes"),"",IF(P105='G-1 All Habitats'!$X$9,H105-S105-T105,"None"))</f>
        <v/>
      </c>
      <c r="AD105" s="513" t="str">
        <f>IF(P105="","",IF(P105='G-1 All Habitats'!$X$9,AC105*J105*L105*O105,"None"))</f>
        <v/>
      </c>
      <c r="AE105" s="35" t="str">
        <f t="shared" si="9"/>
        <v/>
      </c>
      <c r="AF105" s="40" t="str">
        <f t="shared" si="14"/>
        <v/>
      </c>
      <c r="AG105" s="40" t="str">
        <f t="shared" si="10"/>
        <v/>
      </c>
      <c r="AH105" s="40" t="str">
        <f>IF(I105="","",IF(#REF!&gt;0,TRUE,FALSE))</f>
        <v/>
      </c>
      <c r="AI105" s="40">
        <v>95</v>
      </c>
      <c r="AJ105" s="40"/>
      <c r="AK105" s="40" t="str">
        <f t="array" ref="AK105">IFERROR(INDEX($AI$11:$AI$259,MATCH(0,IF(TRUE=$AF$11:$AF$259,COUNTIF($AK$10:$AK104,$AI$11:$AI$259),""),0)),"")</f>
        <v/>
      </c>
      <c r="AL105" s="40" t="str">
        <f t="array" ref="AL105">IFERROR(INDEX($AI$11:$AI$259,MATCH(0,IF(TRUE=$AG$11:$AG$259,COUNTIF($AL$10:$AL104,$AI$11:$AI$259),""),0)),"")</f>
        <v/>
      </c>
      <c r="AM105" s="40" t="str">
        <f t="array" ref="AM105">IFERROR(INDEX($AI$11:$AI$259,MATCH(0,IF(TRUE=$AH$11:$AH$259,COUNTIF($AM$10:$AM104,$AI$11:$AI$259),""),0)),"")</f>
        <v/>
      </c>
      <c r="AN105" s="40"/>
      <c r="AQ105" s="35">
        <f t="shared" si="15"/>
        <v>0</v>
      </c>
      <c r="AT105" s="885" t="str">
        <f>IF(AND(OR(Y105="Yes",Y105="Pending"),P105='G-1 All Habitats'!$X$3),Q105-U105-V105,"")</f>
        <v/>
      </c>
      <c r="AV105" s="542" t="str">
        <f>IFERROR(INDEX('G-1 All Habitats'!$B$3:$B$135,MATCH(F105,'G-1 All Habitats'!$A$3:$A$135,0)),"")</f>
        <v/>
      </c>
      <c r="AW105" s="35" t="str">
        <f>IF(AV105="","",VLOOKUP(AV105,'G-1 All Habitats'!$B$1:$T$135,19,FALSE))</f>
        <v/>
      </c>
    </row>
    <row r="106" spans="1:49" ht="14.5" hidden="1" thickBot="1">
      <c r="A106" s="35" t="str">
        <f>IFERROR(INDEX('G-1 All Habitats'!$AG$3:$AG$17,MATCH(E106,'G-1 All Habitats'!$AF$3:$AF$17,0)),"")</f>
        <v/>
      </c>
      <c r="B106" s="35" t="str">
        <f>IFERROR(INDEX('G-8 Condition Look up'!$I$4:$I$135,MATCH(AV106,'G-8 Condition Look up'!$A$4:$A$135,0)),"")</f>
        <v/>
      </c>
      <c r="D106" s="225">
        <v>96</v>
      </c>
      <c r="E106" s="211"/>
      <c r="F106" s="57"/>
      <c r="G106" s="263"/>
      <c r="H106" s="51"/>
      <c r="I106" s="275" t="str">
        <f>IF(AV106="","",IF(AND(AW106="Yes",G106="No"),"Irreplaceable habitat ▲",IF(AND(AW106="No",G106="Yes"),"Cannot be Irreplaceable ▲",VLOOKUP(AV106,'G-1 All Habitats'!$B$2:$M$135,10,FALSE))))</f>
        <v/>
      </c>
      <c r="J106" s="276" t="str">
        <f>IFERROR(VLOOKUP(I106,'G-1 All Habitats'!$V$3:$W$7,2,FALSE),"")</f>
        <v/>
      </c>
      <c r="K106" s="52"/>
      <c r="L106" s="276" t="str">
        <f>IFERROR(INDEX('G-8 Condition Look up'!$A$3:$H$135,MATCH(AV106,'G-8 Condition Look up'!$A$3:$A$135,0),MATCH(K106,'G-8 Condition Look up'!$A$3:$H$3,0)),"")</f>
        <v/>
      </c>
      <c r="M106" s="52"/>
      <c r="N106" s="295" t="str">
        <f>IF(M106="","",IF(VLOOKUP(M106,'G-3 Multipliers'!$L$3:$N$6,2,FALSE)=0,"Spatial Data Missing",VLOOKUP(M106,'G-3 Multipliers'!$L$3:$N$6,2,FALSE)))</f>
        <v/>
      </c>
      <c r="O106" s="281" t="str">
        <f>IF(M106="","",IF(VLOOKUP(M106,'G-3 Multipliers'!$L$3:$N$6,3,FALSE)=0,"Spatial Data Missing ▲",VLOOKUP(M106,'G-3 Multipliers'!$L$3:$N$6,3,FALSE)))</f>
        <v/>
      </c>
      <c r="P106" s="282" t="str">
        <f>(IF(G106="Yes","Bespoke compensation likely to be required",(IFERROR(VLOOKUP(AV106,'G-1 All Habitats'!$B$2:$M$135,12,FALSE),""))))</f>
        <v/>
      </c>
      <c r="Q106" s="289" t="str">
        <f>IFERROR(IF(AND(F106&lt;&gt;"",G106=""),"Confirm irreplaceable habitat status ▲",(IF(AND(E106="Individual trees",T106&gt;0,G106="Yes"),"Error - you cannot enhance irreplaceable individual trees ▲",(IF(AND(U106="Irreplaceable habitat - no units generated ⚠",(S106+T106)&lt;H106,OR(Y106="No",Y106="")),"Any Loss Unacceptable ⚠",(IF(U106="Irreplaceable habitat - no units generated ⚠",T106*J106*L106*O106,IF(AND(P106='G-1 All Habitats'!$X$9,AC106&gt;0,S106&lt;=0,T106&lt;=0,OR(Y106="No",Y106="")),"Any Loss Unacceptable ⚠",IF(AND(P106='G-1 All Habitats'!$X$9,AC106&gt;0,S106&lt;=0,T106&lt;=0,Y106="Yes"),0,(IF(AND(P106='G-1 All Habitats'!$X$9,(S106+T106)&lt;H106,OR(Y106="No",Y106="")),"Any Loss Unacceptable ⚠",(IF(P106="","",IF(AND(P106='G-1 All Habitats'!$X$9,T106&gt;0),U106+V106,IF(AND(P106='G-1 All Habitats'!$X$9,S106&gt;0),U106+V106,H106*J106*L106*O106))))))))))))))),"Check Data ▲")</f>
        <v/>
      </c>
      <c r="R106" s="38"/>
      <c r="S106" s="52"/>
      <c r="T106" s="53"/>
      <c r="U106" s="287" t="str">
        <f t="shared" si="11"/>
        <v/>
      </c>
      <c r="V106" s="287" t="str">
        <f t="shared" si="12"/>
        <v/>
      </c>
      <c r="W106" s="287" t="str">
        <f t="shared" si="13"/>
        <v/>
      </c>
      <c r="X106" s="291" t="str">
        <f>IFERROR(IF(H106="","",IF(H106-S106-T106=0&lt;0,"Error in Areas ▲",IF(S106+T106&gt;H106,"Error in Areas ▲",IF(AND(P106='G-1 All Habitats'!$X$9,Y106="Yes"),"Alternative Compensation ✓",IF(AND(P106='G-1 All Habitats'!$X$3,Y106="Yes"),"Alternative Compensation ✓",IF(AND(Y106="Pending",P106='G-1 All Habitats'!$X$3),"Bespoke compensation must be agreed ▲",IF(AND(Y106="Pending",P106='G-1 All Habitats'!$X$9),"Bespoke compensation must be agreed  ▲",IF(W106=0,0,IF(P106='G-1 All Habitats'!$X$9,"Any Loss Unacceptable ▲",Q106-U106-V106))))))))),"Check Data ▲")</f>
        <v/>
      </c>
      <c r="Y106" s="53"/>
      <c r="Z106" s="105"/>
      <c r="AA106" s="233"/>
      <c r="AB106" s="104"/>
      <c r="AC106" s="512" t="str">
        <f>IF(OR(P106="",Y106="Yes"),"",IF(P106='G-1 All Habitats'!$X$9,H106-S106-T106,"None"))</f>
        <v/>
      </c>
      <c r="AD106" s="513" t="str">
        <f>IF(P106="","",IF(P106='G-1 All Habitats'!$X$9,AC106*J106*L106*O106,"None"))</f>
        <v/>
      </c>
      <c r="AE106" s="35" t="str">
        <f t="shared" si="9"/>
        <v/>
      </c>
      <c r="AF106" s="40" t="str">
        <f t="shared" si="14"/>
        <v/>
      </c>
      <c r="AG106" s="40" t="str">
        <f t="shared" si="10"/>
        <v/>
      </c>
      <c r="AH106" s="40" t="str">
        <f>IF(I106="","",IF(#REF!&gt;0,TRUE,FALSE))</f>
        <v/>
      </c>
      <c r="AI106" s="40">
        <v>96</v>
      </c>
      <c r="AJ106" s="40"/>
      <c r="AK106" s="40" t="str">
        <f t="array" ref="AK106">IFERROR(INDEX($AI$11:$AI$259,MATCH(0,IF(TRUE=$AF$11:$AF$259,COUNTIF($AK$10:$AK105,$AI$11:$AI$259),""),0)),"")</f>
        <v/>
      </c>
      <c r="AL106" s="40" t="str">
        <f t="array" ref="AL106">IFERROR(INDEX($AI$11:$AI$259,MATCH(0,IF(TRUE=$AG$11:$AG$259,COUNTIF($AL$10:$AL105,$AI$11:$AI$259),""),0)),"")</f>
        <v/>
      </c>
      <c r="AM106" s="40" t="str">
        <f t="array" ref="AM106">IFERROR(INDEX($AI$11:$AI$259,MATCH(0,IF(TRUE=$AH$11:$AH$259,COUNTIF($AM$10:$AM105,$AI$11:$AI$259),""),0)),"")</f>
        <v/>
      </c>
      <c r="AN106" s="40"/>
      <c r="AQ106" s="35">
        <f t="shared" si="15"/>
        <v>0</v>
      </c>
      <c r="AT106" s="885" t="str">
        <f>IF(AND(OR(Y106="Yes",Y106="Pending"),P106='G-1 All Habitats'!$X$3),Q106-U106-V106,"")</f>
        <v/>
      </c>
      <c r="AV106" s="542" t="str">
        <f>IFERROR(INDEX('G-1 All Habitats'!$B$3:$B$135,MATCH(F106,'G-1 All Habitats'!$A$3:$A$135,0)),"")</f>
        <v/>
      </c>
      <c r="AW106" s="35" t="str">
        <f>IF(AV106="","",VLOOKUP(AV106,'G-1 All Habitats'!$B$1:$T$135,19,FALSE))</f>
        <v/>
      </c>
    </row>
    <row r="107" spans="1:49" ht="14.5" hidden="1" thickBot="1">
      <c r="A107" s="35" t="str">
        <f>IFERROR(INDEX('G-1 All Habitats'!$AG$3:$AG$17,MATCH(E107,'G-1 All Habitats'!$AF$3:$AF$17,0)),"")</f>
        <v/>
      </c>
      <c r="B107" s="35" t="str">
        <f>IFERROR(INDEX('G-8 Condition Look up'!$I$4:$I$135,MATCH(AV107,'G-8 Condition Look up'!$A$4:$A$135,0)),"")</f>
        <v/>
      </c>
      <c r="D107" s="225">
        <v>97</v>
      </c>
      <c r="E107" s="211"/>
      <c r="F107" s="57"/>
      <c r="G107" s="263"/>
      <c r="H107" s="51"/>
      <c r="I107" s="275" t="str">
        <f>IF(AV107="","",IF(AND(AW107="Yes",G107="No"),"Irreplaceable habitat ▲",IF(AND(AW107="No",G107="Yes"),"Cannot be Irreplaceable ▲",VLOOKUP(AV107,'G-1 All Habitats'!$B$2:$M$135,10,FALSE))))</f>
        <v/>
      </c>
      <c r="J107" s="276" t="str">
        <f>IFERROR(VLOOKUP(I107,'G-1 All Habitats'!$V$3:$W$7,2,FALSE),"")</f>
        <v/>
      </c>
      <c r="K107" s="52"/>
      <c r="L107" s="276" t="str">
        <f>IFERROR(INDEX('G-8 Condition Look up'!$A$3:$H$135,MATCH(AV107,'G-8 Condition Look up'!$A$3:$A$135,0),MATCH(K107,'G-8 Condition Look up'!$A$3:$H$3,0)),"")</f>
        <v/>
      </c>
      <c r="M107" s="52"/>
      <c r="N107" s="295" t="str">
        <f>IF(M107="","",IF(VLOOKUP(M107,'G-3 Multipliers'!$L$3:$N$6,2,FALSE)=0,"Spatial Data Missing",VLOOKUP(M107,'G-3 Multipliers'!$L$3:$N$6,2,FALSE)))</f>
        <v/>
      </c>
      <c r="O107" s="281" t="str">
        <f>IF(M107="","",IF(VLOOKUP(M107,'G-3 Multipliers'!$L$3:$N$6,3,FALSE)=0,"Spatial Data Missing ▲",VLOOKUP(M107,'G-3 Multipliers'!$L$3:$N$6,3,FALSE)))</f>
        <v/>
      </c>
      <c r="P107" s="282" t="str">
        <f>(IF(G107="Yes","Bespoke compensation likely to be required",(IFERROR(VLOOKUP(AV107,'G-1 All Habitats'!$B$2:$M$135,12,FALSE),""))))</f>
        <v/>
      </c>
      <c r="Q107" s="289" t="str">
        <f>IFERROR(IF(AND(F107&lt;&gt;"",G107=""),"Confirm irreplaceable habitat status ▲",(IF(AND(E107="Individual trees",T107&gt;0,G107="Yes"),"Error - you cannot enhance irreplaceable individual trees ▲",(IF(AND(U107="Irreplaceable habitat - no units generated ⚠",(S107+T107)&lt;H107,OR(Y107="No",Y107="")),"Any Loss Unacceptable ⚠",(IF(U107="Irreplaceable habitat - no units generated ⚠",T107*J107*L107*O107,IF(AND(P107='G-1 All Habitats'!$X$9,AC107&gt;0,S107&lt;=0,T107&lt;=0,OR(Y107="No",Y107="")),"Any Loss Unacceptable ⚠",IF(AND(P107='G-1 All Habitats'!$X$9,AC107&gt;0,S107&lt;=0,T107&lt;=0,Y107="Yes"),0,(IF(AND(P107='G-1 All Habitats'!$X$9,(S107+T107)&lt;H107,OR(Y107="No",Y107="")),"Any Loss Unacceptable ⚠",(IF(P107="","",IF(AND(P107='G-1 All Habitats'!$X$9,T107&gt;0),U107+V107,IF(AND(P107='G-1 All Habitats'!$X$9,S107&gt;0),U107+V107,H107*J107*L107*O107))))))))))))))),"Check Data ▲")</f>
        <v/>
      </c>
      <c r="R107" s="38"/>
      <c r="S107" s="52"/>
      <c r="T107" s="53"/>
      <c r="U107" s="287" t="str">
        <f t="shared" si="11"/>
        <v/>
      </c>
      <c r="V107" s="287" t="str">
        <f t="shared" si="12"/>
        <v/>
      </c>
      <c r="W107" s="287" t="str">
        <f t="shared" si="13"/>
        <v/>
      </c>
      <c r="X107" s="291" t="str">
        <f>IFERROR(IF(H107="","",IF(H107-S107-T107=0&lt;0,"Error in Areas ▲",IF(S107+T107&gt;H107,"Error in Areas ▲",IF(AND(P107='G-1 All Habitats'!$X$9,Y107="Yes"),"Alternative Compensation ✓",IF(AND(P107='G-1 All Habitats'!$X$3,Y107="Yes"),"Alternative Compensation ✓",IF(AND(Y107="Pending",P107='G-1 All Habitats'!$X$3),"Bespoke compensation must be agreed ▲",IF(AND(Y107="Pending",P107='G-1 All Habitats'!$X$9),"Bespoke compensation must be agreed  ▲",IF(W107=0,0,IF(P107='G-1 All Habitats'!$X$9,"Any Loss Unacceptable ▲",Q107-U107-V107))))))))),"Check Data ▲")</f>
        <v/>
      </c>
      <c r="Y107" s="53"/>
      <c r="Z107" s="105"/>
      <c r="AA107" s="233"/>
      <c r="AB107" s="104"/>
      <c r="AC107" s="512" t="str">
        <f>IF(OR(P107="",Y107="Yes"),"",IF(P107='G-1 All Habitats'!$X$9,H107-S107-T107,"None"))</f>
        <v/>
      </c>
      <c r="AD107" s="513" t="str">
        <f>IF(P107="","",IF(P107='G-1 All Habitats'!$X$9,AC107*J107*L107*O107,"None"))</f>
        <v/>
      </c>
      <c r="AE107" s="35" t="str">
        <f t="shared" si="9"/>
        <v/>
      </c>
      <c r="AF107" s="40" t="str">
        <f t="shared" si="14"/>
        <v/>
      </c>
      <c r="AG107" s="40" t="str">
        <f t="shared" si="10"/>
        <v/>
      </c>
      <c r="AH107" s="40" t="str">
        <f>IF(I107="","",IF(#REF!&gt;0,TRUE,FALSE))</f>
        <v/>
      </c>
      <c r="AI107" s="40">
        <v>97</v>
      </c>
      <c r="AJ107" s="40"/>
      <c r="AK107" s="40" t="str">
        <f t="array" ref="AK107">IFERROR(INDEX($AI$11:$AI$259,MATCH(0,IF(TRUE=$AF$11:$AF$259,COUNTIF($AK$10:$AK106,$AI$11:$AI$259),""),0)),"")</f>
        <v/>
      </c>
      <c r="AL107" s="40" t="str">
        <f t="array" ref="AL107">IFERROR(INDEX($AI$11:$AI$259,MATCH(0,IF(TRUE=$AG$11:$AG$259,COUNTIF($AL$10:$AL106,$AI$11:$AI$259),""),0)),"")</f>
        <v/>
      </c>
      <c r="AM107" s="40" t="str">
        <f t="array" ref="AM107">IFERROR(INDEX($AI$11:$AI$259,MATCH(0,IF(TRUE=$AH$11:$AH$259,COUNTIF($AM$10:$AM106,$AI$11:$AI$259),""),0)),"")</f>
        <v/>
      </c>
      <c r="AN107" s="40"/>
      <c r="AQ107" s="35">
        <f t="shared" si="15"/>
        <v>0</v>
      </c>
      <c r="AT107" s="885" t="str">
        <f>IF(AND(OR(Y107="Yes",Y107="Pending"),P107='G-1 All Habitats'!$X$3),Q107-U107-V107,"")</f>
        <v/>
      </c>
      <c r="AV107" s="542" t="str">
        <f>IFERROR(INDEX('G-1 All Habitats'!$B$3:$B$135,MATCH(F107,'G-1 All Habitats'!$A$3:$A$135,0)),"")</f>
        <v/>
      </c>
      <c r="AW107" s="35" t="str">
        <f>IF(AV107="","",VLOOKUP(AV107,'G-1 All Habitats'!$B$1:$T$135,19,FALSE))</f>
        <v/>
      </c>
    </row>
    <row r="108" spans="1:49" ht="14.5" hidden="1" thickBot="1">
      <c r="A108" s="35" t="str">
        <f>IFERROR(INDEX('G-1 All Habitats'!$AG$3:$AG$17,MATCH(E108,'G-1 All Habitats'!$AF$3:$AF$17,0)),"")</f>
        <v/>
      </c>
      <c r="B108" s="35" t="str">
        <f>IFERROR(INDEX('G-8 Condition Look up'!$I$4:$I$135,MATCH(AV108,'G-8 Condition Look up'!$A$4:$A$135,0)),"")</f>
        <v/>
      </c>
      <c r="D108" s="225">
        <v>98</v>
      </c>
      <c r="E108" s="211"/>
      <c r="F108" s="57"/>
      <c r="G108" s="263"/>
      <c r="H108" s="51"/>
      <c r="I108" s="275" t="str">
        <f>IF(AV108="","",IF(AND(AW108="Yes",G108="No"),"Irreplaceable habitat ▲",IF(AND(AW108="No",G108="Yes"),"Cannot be Irreplaceable ▲",VLOOKUP(AV108,'G-1 All Habitats'!$B$2:$M$135,10,FALSE))))</f>
        <v/>
      </c>
      <c r="J108" s="276" t="str">
        <f>IFERROR(VLOOKUP(I108,'G-1 All Habitats'!$V$3:$W$7,2,FALSE),"")</f>
        <v/>
      </c>
      <c r="K108" s="52"/>
      <c r="L108" s="276" t="str">
        <f>IFERROR(INDEX('G-8 Condition Look up'!$A$3:$H$135,MATCH(AV108,'G-8 Condition Look up'!$A$3:$A$135,0),MATCH(K108,'G-8 Condition Look up'!$A$3:$H$3,0)),"")</f>
        <v/>
      </c>
      <c r="M108" s="52"/>
      <c r="N108" s="295" t="str">
        <f>IF(M108="","",IF(VLOOKUP(M108,'G-3 Multipliers'!$L$3:$N$6,2,FALSE)=0,"Spatial Data Missing",VLOOKUP(M108,'G-3 Multipliers'!$L$3:$N$6,2,FALSE)))</f>
        <v/>
      </c>
      <c r="O108" s="281" t="str">
        <f>IF(M108="","",IF(VLOOKUP(M108,'G-3 Multipliers'!$L$3:$N$6,3,FALSE)=0,"Spatial Data Missing ▲",VLOOKUP(M108,'G-3 Multipliers'!$L$3:$N$6,3,FALSE)))</f>
        <v/>
      </c>
      <c r="P108" s="282" t="str">
        <f>(IF(G108="Yes","Bespoke compensation likely to be required",(IFERROR(VLOOKUP(AV108,'G-1 All Habitats'!$B$2:$M$135,12,FALSE),""))))</f>
        <v/>
      </c>
      <c r="Q108" s="289" t="str">
        <f>IFERROR(IF(AND(F108&lt;&gt;"",G108=""),"Confirm irreplaceable habitat status ▲",(IF(AND(E108="Individual trees",T108&gt;0,G108="Yes"),"Error - you cannot enhance irreplaceable individual trees ▲",(IF(AND(U108="Irreplaceable habitat - no units generated ⚠",(S108+T108)&lt;H108,OR(Y108="No",Y108="")),"Any Loss Unacceptable ⚠",(IF(U108="Irreplaceable habitat - no units generated ⚠",T108*J108*L108*O108,IF(AND(P108='G-1 All Habitats'!$X$9,AC108&gt;0,S108&lt;=0,T108&lt;=0,OR(Y108="No",Y108="")),"Any Loss Unacceptable ⚠",IF(AND(P108='G-1 All Habitats'!$X$9,AC108&gt;0,S108&lt;=0,T108&lt;=0,Y108="Yes"),0,(IF(AND(P108='G-1 All Habitats'!$X$9,(S108+T108)&lt;H108,OR(Y108="No",Y108="")),"Any Loss Unacceptable ⚠",(IF(P108="","",IF(AND(P108='G-1 All Habitats'!$X$9,T108&gt;0),U108+V108,IF(AND(P108='G-1 All Habitats'!$X$9,S108&gt;0),U108+V108,H108*J108*L108*O108))))))))))))))),"Check Data ▲")</f>
        <v/>
      </c>
      <c r="R108" s="38"/>
      <c r="S108" s="52"/>
      <c r="T108" s="53"/>
      <c r="U108" s="287" t="str">
        <f t="shared" si="11"/>
        <v/>
      </c>
      <c r="V108" s="287" t="str">
        <f t="shared" si="12"/>
        <v/>
      </c>
      <c r="W108" s="287" t="str">
        <f t="shared" si="13"/>
        <v/>
      </c>
      <c r="X108" s="291" t="str">
        <f>IFERROR(IF(H108="","",IF(H108-S108-T108=0&lt;0,"Error in Areas ▲",IF(S108+T108&gt;H108,"Error in Areas ▲",IF(AND(P108='G-1 All Habitats'!$X$9,Y108="Yes"),"Alternative Compensation ✓",IF(AND(P108='G-1 All Habitats'!$X$3,Y108="Yes"),"Alternative Compensation ✓",IF(AND(Y108="Pending",P108='G-1 All Habitats'!$X$3),"Bespoke compensation must be agreed ▲",IF(AND(Y108="Pending",P108='G-1 All Habitats'!$X$9),"Bespoke compensation must be agreed  ▲",IF(W108=0,0,IF(P108='G-1 All Habitats'!$X$9,"Any Loss Unacceptable ▲",Q108-U108-V108))))))))),"Check Data ▲")</f>
        <v/>
      </c>
      <c r="Y108" s="53"/>
      <c r="Z108" s="105"/>
      <c r="AA108" s="233"/>
      <c r="AB108" s="104"/>
      <c r="AC108" s="512" t="str">
        <f>IF(OR(P108="",Y108="Yes"),"",IF(P108='G-1 All Habitats'!$X$9,H108-S108-T108,"None"))</f>
        <v/>
      </c>
      <c r="AD108" s="513" t="str">
        <f>IF(P108="","",IF(P108='G-1 All Habitats'!$X$9,AC108*J108*L108*O108,"None"))</f>
        <v/>
      </c>
      <c r="AE108" s="35" t="str">
        <f t="shared" si="9"/>
        <v/>
      </c>
      <c r="AF108" s="40" t="str">
        <f t="shared" si="14"/>
        <v/>
      </c>
      <c r="AG108" s="40" t="str">
        <f t="shared" si="10"/>
        <v/>
      </c>
      <c r="AH108" s="40" t="str">
        <f>IF(I108="","",IF(#REF!&gt;0,TRUE,FALSE))</f>
        <v/>
      </c>
      <c r="AI108" s="40">
        <v>98</v>
      </c>
      <c r="AJ108" s="40"/>
      <c r="AK108" s="40" t="str">
        <f t="array" ref="AK108">IFERROR(INDEX($AI$11:$AI$259,MATCH(0,IF(TRUE=$AF$11:$AF$259,COUNTIF($AK$10:$AK107,$AI$11:$AI$259),""),0)),"")</f>
        <v/>
      </c>
      <c r="AL108" s="40" t="str">
        <f t="array" ref="AL108">IFERROR(INDEX($AI$11:$AI$259,MATCH(0,IF(TRUE=$AG$11:$AG$259,COUNTIF($AL$10:$AL107,$AI$11:$AI$259),""),0)),"")</f>
        <v/>
      </c>
      <c r="AM108" s="40" t="str">
        <f t="array" ref="AM108">IFERROR(INDEX($AI$11:$AI$259,MATCH(0,IF(TRUE=$AH$11:$AH$259,COUNTIF($AM$10:$AM107,$AI$11:$AI$259),""),0)),"")</f>
        <v/>
      </c>
      <c r="AN108" s="40"/>
      <c r="AQ108" s="35">
        <f t="shared" si="15"/>
        <v>0</v>
      </c>
      <c r="AT108" s="885" t="str">
        <f>IF(AND(OR(Y108="Yes",Y108="Pending"),P108='G-1 All Habitats'!$X$3),Q108-U108-V108,"")</f>
        <v/>
      </c>
      <c r="AV108" s="542" t="str">
        <f>IFERROR(INDEX('G-1 All Habitats'!$B$3:$B$135,MATCH(F108,'G-1 All Habitats'!$A$3:$A$135,0)),"")</f>
        <v/>
      </c>
      <c r="AW108" s="35" t="str">
        <f>IF(AV108="","",VLOOKUP(AV108,'G-1 All Habitats'!$B$1:$T$135,19,FALSE))</f>
        <v/>
      </c>
    </row>
    <row r="109" spans="1:49" ht="14.5" hidden="1" thickBot="1">
      <c r="A109" s="35" t="str">
        <f>IFERROR(INDEX('G-1 All Habitats'!$AG$3:$AG$17,MATCH(E109,'G-1 All Habitats'!$AF$3:$AF$17,0)),"")</f>
        <v/>
      </c>
      <c r="B109" s="35" t="str">
        <f>IFERROR(INDEX('G-8 Condition Look up'!$I$4:$I$135,MATCH(AV109,'G-8 Condition Look up'!$A$4:$A$135,0)),"")</f>
        <v/>
      </c>
      <c r="D109" s="225">
        <v>99</v>
      </c>
      <c r="E109" s="211"/>
      <c r="F109" s="57"/>
      <c r="G109" s="263"/>
      <c r="H109" s="51"/>
      <c r="I109" s="275" t="str">
        <f>IF(AV109="","",IF(AND(AW109="Yes",G109="No"),"Irreplaceable habitat ▲",IF(AND(AW109="No",G109="Yes"),"Cannot be Irreplaceable ▲",VLOOKUP(AV109,'G-1 All Habitats'!$B$2:$M$135,10,FALSE))))</f>
        <v/>
      </c>
      <c r="J109" s="276" t="str">
        <f>IFERROR(VLOOKUP(I109,'G-1 All Habitats'!$V$3:$W$7,2,FALSE),"")</f>
        <v/>
      </c>
      <c r="K109" s="52"/>
      <c r="L109" s="276" t="str">
        <f>IFERROR(INDEX('G-8 Condition Look up'!$A$3:$H$135,MATCH(AV109,'G-8 Condition Look up'!$A$3:$A$135,0),MATCH(K109,'G-8 Condition Look up'!$A$3:$H$3,0)),"")</f>
        <v/>
      </c>
      <c r="M109" s="52"/>
      <c r="N109" s="295" t="str">
        <f>IF(M109="","",IF(VLOOKUP(M109,'G-3 Multipliers'!$L$3:$N$6,2,FALSE)=0,"Spatial Data Missing",VLOOKUP(M109,'G-3 Multipliers'!$L$3:$N$6,2,FALSE)))</f>
        <v/>
      </c>
      <c r="O109" s="281" t="str">
        <f>IF(M109="","",IF(VLOOKUP(M109,'G-3 Multipliers'!$L$3:$N$6,3,FALSE)=0,"Spatial Data Missing ▲",VLOOKUP(M109,'G-3 Multipliers'!$L$3:$N$6,3,FALSE)))</f>
        <v/>
      </c>
      <c r="P109" s="282" t="str">
        <f>(IF(G109="Yes","Bespoke compensation likely to be required",(IFERROR(VLOOKUP(AV109,'G-1 All Habitats'!$B$2:$M$135,12,FALSE),""))))</f>
        <v/>
      </c>
      <c r="Q109" s="289" t="str">
        <f>IFERROR(IF(AND(F109&lt;&gt;"",G109=""),"Confirm irreplaceable habitat status ▲",(IF(AND(E109="Individual trees",T109&gt;0,G109="Yes"),"Error - you cannot enhance irreplaceable individual trees ▲",(IF(AND(U109="Irreplaceable habitat - no units generated ⚠",(S109+T109)&lt;H109,OR(Y109="No",Y109="")),"Any Loss Unacceptable ⚠",(IF(U109="Irreplaceable habitat - no units generated ⚠",T109*J109*L109*O109,IF(AND(P109='G-1 All Habitats'!$X$9,AC109&gt;0,S109&lt;=0,T109&lt;=0,OR(Y109="No",Y109="")),"Any Loss Unacceptable ⚠",IF(AND(P109='G-1 All Habitats'!$X$9,AC109&gt;0,S109&lt;=0,T109&lt;=0,Y109="Yes"),0,(IF(AND(P109='G-1 All Habitats'!$X$9,(S109+T109)&lt;H109,OR(Y109="No",Y109="")),"Any Loss Unacceptable ⚠",(IF(P109="","",IF(AND(P109='G-1 All Habitats'!$X$9,T109&gt;0),U109+V109,IF(AND(P109='G-1 All Habitats'!$X$9,S109&gt;0),U109+V109,H109*J109*L109*O109))))))))))))))),"Check Data ▲")</f>
        <v/>
      </c>
      <c r="R109" s="38"/>
      <c r="S109" s="52"/>
      <c r="T109" s="53"/>
      <c r="U109" s="287" t="str">
        <f t="shared" si="11"/>
        <v/>
      </c>
      <c r="V109" s="287" t="str">
        <f t="shared" si="12"/>
        <v/>
      </c>
      <c r="W109" s="287" t="str">
        <f t="shared" si="13"/>
        <v/>
      </c>
      <c r="X109" s="291" t="str">
        <f>IFERROR(IF(H109="","",IF(H109-S109-T109=0&lt;0,"Error in Areas ▲",IF(S109+T109&gt;H109,"Error in Areas ▲",IF(AND(P109='G-1 All Habitats'!$X$9,Y109="Yes"),"Alternative Compensation ✓",IF(AND(P109='G-1 All Habitats'!$X$3,Y109="Yes"),"Alternative Compensation ✓",IF(AND(Y109="Pending",P109='G-1 All Habitats'!$X$3),"Bespoke compensation must be agreed ▲",IF(AND(Y109="Pending",P109='G-1 All Habitats'!$X$9),"Bespoke compensation must be agreed  ▲",IF(W109=0,0,IF(P109='G-1 All Habitats'!$X$9,"Any Loss Unacceptable ▲",Q109-U109-V109))))))))),"Check Data ▲")</f>
        <v/>
      </c>
      <c r="Y109" s="53"/>
      <c r="Z109" s="105"/>
      <c r="AA109" s="233"/>
      <c r="AB109" s="104"/>
      <c r="AC109" s="512" t="str">
        <f>IF(OR(P109="",Y109="Yes"),"",IF(P109='G-1 All Habitats'!$X$9,H109-S109-T109,"None"))</f>
        <v/>
      </c>
      <c r="AD109" s="513" t="str">
        <f>IF(P109="","",IF(P109='G-1 All Habitats'!$X$9,AC109*J109*L109*O109,"None"))</f>
        <v/>
      </c>
      <c r="AE109" s="35" t="str">
        <f t="shared" si="9"/>
        <v/>
      </c>
      <c r="AF109" s="40" t="str">
        <f t="shared" si="14"/>
        <v/>
      </c>
      <c r="AG109" s="40" t="str">
        <f t="shared" si="10"/>
        <v/>
      </c>
      <c r="AH109" s="40" t="str">
        <f>IF(I109="","",IF(#REF!&gt;0,TRUE,FALSE))</f>
        <v/>
      </c>
      <c r="AI109" s="40">
        <v>99</v>
      </c>
      <c r="AJ109" s="40"/>
      <c r="AK109" s="40" t="str">
        <f t="array" ref="AK109">IFERROR(INDEX($AI$11:$AI$259,MATCH(0,IF(TRUE=$AF$11:$AF$259,COUNTIF($AK$10:$AK108,$AI$11:$AI$259),""),0)),"")</f>
        <v/>
      </c>
      <c r="AL109" s="40" t="str">
        <f t="array" ref="AL109">IFERROR(INDEX($AI$11:$AI$259,MATCH(0,IF(TRUE=$AG$11:$AG$259,COUNTIF($AL$10:$AL108,$AI$11:$AI$259),""),0)),"")</f>
        <v/>
      </c>
      <c r="AM109" s="40" t="str">
        <f t="array" ref="AM109">IFERROR(INDEX($AI$11:$AI$259,MATCH(0,IF(TRUE=$AH$11:$AH$259,COUNTIF($AM$10:$AM108,$AI$11:$AI$259),""),0)),"")</f>
        <v/>
      </c>
      <c r="AN109" s="40"/>
      <c r="AQ109" s="35">
        <f t="shared" si="15"/>
        <v>0</v>
      </c>
      <c r="AT109" s="885" t="str">
        <f>IF(AND(OR(Y109="Yes",Y109="Pending"),P109='G-1 All Habitats'!$X$3),Q109-U109-V109,"")</f>
        <v/>
      </c>
      <c r="AV109" s="542" t="str">
        <f>IFERROR(INDEX('G-1 All Habitats'!$B$3:$B$135,MATCH(F109,'G-1 All Habitats'!$A$3:$A$135,0)),"")</f>
        <v/>
      </c>
      <c r="AW109" s="35" t="str">
        <f>IF(AV109="","",VLOOKUP(AV109,'G-1 All Habitats'!$B$1:$T$135,19,FALSE))</f>
        <v/>
      </c>
    </row>
    <row r="110" spans="1:49" ht="14.5" hidden="1" thickBot="1">
      <c r="A110" s="35" t="str">
        <f>IFERROR(INDEX('G-1 All Habitats'!$AG$3:$AG$17,MATCH(E110,'G-1 All Habitats'!$AF$3:$AF$17,0)),"")</f>
        <v/>
      </c>
      <c r="B110" s="35" t="str">
        <f>IFERROR(INDEX('G-8 Condition Look up'!$I$4:$I$135,MATCH(AV110,'G-8 Condition Look up'!$A$4:$A$135,0)),"")</f>
        <v/>
      </c>
      <c r="D110" s="225">
        <v>100</v>
      </c>
      <c r="E110" s="211"/>
      <c r="F110" s="57"/>
      <c r="G110" s="263"/>
      <c r="H110" s="51"/>
      <c r="I110" s="275" t="str">
        <f>IF(AV110="","",IF(AND(AW110="Yes",G110="No"),"Irreplaceable habitat ▲",IF(AND(AW110="No",G110="Yes"),"Cannot be Irreplaceable ▲",VLOOKUP(AV110,'G-1 All Habitats'!$B$2:$M$135,10,FALSE))))</f>
        <v/>
      </c>
      <c r="J110" s="276" t="str">
        <f>IFERROR(VLOOKUP(I110,'G-1 All Habitats'!$V$3:$W$7,2,FALSE),"")</f>
        <v/>
      </c>
      <c r="K110" s="52"/>
      <c r="L110" s="276" t="str">
        <f>IFERROR(INDEX('G-8 Condition Look up'!$A$3:$H$135,MATCH(AV110,'G-8 Condition Look up'!$A$3:$A$135,0),MATCH(K110,'G-8 Condition Look up'!$A$3:$H$3,0)),"")</f>
        <v/>
      </c>
      <c r="M110" s="52"/>
      <c r="N110" s="295" t="str">
        <f>IF(M110="","",IF(VLOOKUP(M110,'G-3 Multipliers'!$L$3:$N$6,2,FALSE)=0,"Spatial Data Missing",VLOOKUP(M110,'G-3 Multipliers'!$L$3:$N$6,2,FALSE)))</f>
        <v/>
      </c>
      <c r="O110" s="281" t="str">
        <f>IF(M110="","",IF(VLOOKUP(M110,'G-3 Multipliers'!$L$3:$N$6,3,FALSE)=0,"Spatial Data Missing ▲",VLOOKUP(M110,'G-3 Multipliers'!$L$3:$N$6,3,FALSE)))</f>
        <v/>
      </c>
      <c r="P110" s="282" t="str">
        <f>(IF(G110="Yes","Bespoke compensation likely to be required",(IFERROR(VLOOKUP(AV110,'G-1 All Habitats'!$B$2:$M$135,12,FALSE),""))))</f>
        <v/>
      </c>
      <c r="Q110" s="289" t="str">
        <f>IFERROR(IF(AND(F110&lt;&gt;"",G110=""),"Confirm irreplaceable habitat status ▲",(IF(AND(E110="Individual trees",T110&gt;0,G110="Yes"),"Error - you cannot enhance irreplaceable individual trees ▲",(IF(AND(U110="Irreplaceable habitat - no units generated ⚠",(S110+T110)&lt;H110,OR(Y110="No",Y110="")),"Any Loss Unacceptable ⚠",(IF(U110="Irreplaceable habitat - no units generated ⚠",T110*J110*L110*O110,IF(AND(P110='G-1 All Habitats'!$X$9,AC110&gt;0,S110&lt;=0,T110&lt;=0,OR(Y110="No",Y110="")),"Any Loss Unacceptable ⚠",IF(AND(P110='G-1 All Habitats'!$X$9,AC110&gt;0,S110&lt;=0,T110&lt;=0,Y110="Yes"),0,(IF(AND(P110='G-1 All Habitats'!$X$9,(S110+T110)&lt;H110,OR(Y110="No",Y110="")),"Any Loss Unacceptable ⚠",(IF(P110="","",IF(AND(P110='G-1 All Habitats'!$X$9,T110&gt;0),U110+V110,IF(AND(P110='G-1 All Habitats'!$X$9,S110&gt;0),U110+V110,H110*J110*L110*O110))))))))))))))),"Check Data ▲")</f>
        <v/>
      </c>
      <c r="R110" s="38"/>
      <c r="S110" s="52"/>
      <c r="T110" s="53"/>
      <c r="U110" s="287" t="str">
        <f t="shared" si="11"/>
        <v/>
      </c>
      <c r="V110" s="287" t="str">
        <f t="shared" si="12"/>
        <v/>
      </c>
      <c r="W110" s="287" t="str">
        <f t="shared" si="13"/>
        <v/>
      </c>
      <c r="X110" s="291" t="str">
        <f>IFERROR(IF(H110="","",IF(H110-S110-T110=0&lt;0,"Error in Areas ▲",IF(S110+T110&gt;H110,"Error in Areas ▲",IF(AND(P110='G-1 All Habitats'!$X$9,Y110="Yes"),"Alternative Compensation ✓",IF(AND(P110='G-1 All Habitats'!$X$3,Y110="Yes"),"Alternative Compensation ✓",IF(AND(Y110="Pending",P110='G-1 All Habitats'!$X$3),"Bespoke compensation must be agreed ▲",IF(AND(Y110="Pending",P110='G-1 All Habitats'!$X$9),"Bespoke compensation must be agreed  ▲",IF(W110=0,0,IF(P110='G-1 All Habitats'!$X$9,"Any Loss Unacceptable ▲",Q110-U110-V110))))))))),"Check Data ▲")</f>
        <v/>
      </c>
      <c r="Y110" s="53"/>
      <c r="Z110" s="105"/>
      <c r="AA110" s="233"/>
      <c r="AB110" s="104"/>
      <c r="AC110" s="512" t="str">
        <f>IF(OR(P110="",Y110="Yes"),"",IF(P110='G-1 All Habitats'!$X$9,H110-S110-T110,"None"))</f>
        <v/>
      </c>
      <c r="AD110" s="513" t="str">
        <f>IF(P110="","",IF(P110='G-1 All Habitats'!$X$9,AC110*J110*L110*O110,"None"))</f>
        <v/>
      </c>
      <c r="AE110" s="35" t="str">
        <f t="shared" si="9"/>
        <v/>
      </c>
      <c r="AF110" s="40" t="str">
        <f t="shared" si="14"/>
        <v/>
      </c>
      <c r="AG110" s="40" t="str">
        <f t="shared" si="10"/>
        <v/>
      </c>
      <c r="AH110" s="40" t="str">
        <f>IF(I110="","",IF(#REF!&gt;0,TRUE,FALSE))</f>
        <v/>
      </c>
      <c r="AI110" s="40">
        <v>100</v>
      </c>
      <c r="AJ110" s="40"/>
      <c r="AK110" s="40" t="str">
        <f t="array" ref="AK110">IFERROR(INDEX($AI$11:$AI$259,MATCH(0,IF(TRUE=$AF$11:$AF$259,COUNTIF($AK$10:$AK109,$AI$11:$AI$259),""),0)),"")</f>
        <v/>
      </c>
      <c r="AL110" s="40" t="str">
        <f t="array" ref="AL110">IFERROR(INDEX($AI$11:$AI$259,MATCH(0,IF(TRUE=$AG$11:$AG$259,COUNTIF($AL$10:$AL109,$AI$11:$AI$259),""),0)),"")</f>
        <v/>
      </c>
      <c r="AM110" s="40" t="str">
        <f t="array" ref="AM110">IFERROR(INDEX($AI$11:$AI$259,MATCH(0,IF(TRUE=$AH$11:$AH$259,COUNTIF($AM$10:$AM109,$AI$11:$AI$259),""),0)),"")</f>
        <v/>
      </c>
      <c r="AN110" s="40"/>
      <c r="AQ110" s="35">
        <f t="shared" si="15"/>
        <v>0</v>
      </c>
      <c r="AT110" s="885" t="str">
        <f>IF(AND(OR(Y110="Yes",Y110="Pending"),P110='G-1 All Habitats'!$X$3),Q110-U110-V110,"")</f>
        <v/>
      </c>
      <c r="AV110" s="542" t="str">
        <f>IFERROR(INDEX('G-1 All Habitats'!$B$3:$B$135,MATCH(F110,'G-1 All Habitats'!$A$3:$A$135,0)),"")</f>
        <v/>
      </c>
      <c r="AW110" s="35" t="str">
        <f>IF(AV110="","",VLOOKUP(AV110,'G-1 All Habitats'!$B$1:$T$135,19,FALSE))</f>
        <v/>
      </c>
    </row>
    <row r="111" spans="1:49" ht="14.5" hidden="1" thickBot="1">
      <c r="A111" s="35" t="str">
        <f>IFERROR(INDEX('G-1 All Habitats'!$AG$3:$AG$17,MATCH(E111,'G-1 All Habitats'!$AF$3:$AF$17,0)),"")</f>
        <v/>
      </c>
      <c r="B111" s="35" t="str">
        <f>IFERROR(INDEX('G-8 Condition Look up'!$I$4:$I$135,MATCH(AV111,'G-8 Condition Look up'!$A$4:$A$135,0)),"")</f>
        <v/>
      </c>
      <c r="D111" s="225">
        <v>101</v>
      </c>
      <c r="E111" s="211"/>
      <c r="F111" s="57"/>
      <c r="G111" s="263"/>
      <c r="H111" s="51"/>
      <c r="I111" s="275" t="str">
        <f>IF(AV111="","",IF(AND(AW111="Yes",G111="No"),"Irreplaceable habitat ▲",IF(AND(AW111="No",G111="Yes"),"Cannot be Irreplaceable ▲",VLOOKUP(AV111,'G-1 All Habitats'!$B$2:$M$135,10,FALSE))))</f>
        <v/>
      </c>
      <c r="J111" s="276" t="str">
        <f>IFERROR(VLOOKUP(I111,'G-1 All Habitats'!$V$3:$W$7,2,FALSE),"")</f>
        <v/>
      </c>
      <c r="K111" s="52"/>
      <c r="L111" s="276" t="str">
        <f>IFERROR(INDEX('G-8 Condition Look up'!$A$3:$H$135,MATCH(AV111,'G-8 Condition Look up'!$A$3:$A$135,0),MATCH(K111,'G-8 Condition Look up'!$A$3:$H$3,0)),"")</f>
        <v/>
      </c>
      <c r="M111" s="52"/>
      <c r="N111" s="295" t="str">
        <f>IF(M111="","",IF(VLOOKUP(M111,'G-3 Multipliers'!$L$3:$N$6,2,FALSE)=0,"Spatial Data Missing",VLOOKUP(M111,'G-3 Multipliers'!$L$3:$N$6,2,FALSE)))</f>
        <v/>
      </c>
      <c r="O111" s="281" t="str">
        <f>IF(M111="","",IF(VLOOKUP(M111,'G-3 Multipliers'!$L$3:$N$6,3,FALSE)=0,"Spatial Data Missing ▲",VLOOKUP(M111,'G-3 Multipliers'!$L$3:$N$6,3,FALSE)))</f>
        <v/>
      </c>
      <c r="P111" s="282" t="str">
        <f>(IF(G111="Yes","Bespoke compensation likely to be required",(IFERROR(VLOOKUP(AV111,'G-1 All Habitats'!$B$2:$M$135,12,FALSE),""))))</f>
        <v/>
      </c>
      <c r="Q111" s="289" t="str">
        <f>IFERROR(IF(AND(F111&lt;&gt;"",G111=""),"Confirm irreplaceable habitat status ▲",(IF(AND(E111="Individual trees",T111&gt;0,G111="Yes"),"Error - you cannot enhance irreplaceable individual trees ▲",(IF(AND(U111="Irreplaceable habitat - no units generated ⚠",(S111+T111)&lt;H111,OR(Y111="No",Y111="")),"Any Loss Unacceptable ⚠",(IF(U111="Irreplaceable habitat - no units generated ⚠",T111*J111*L111*O111,IF(AND(P111='G-1 All Habitats'!$X$9,AC111&gt;0,S111&lt;=0,T111&lt;=0,OR(Y111="No",Y111="")),"Any Loss Unacceptable ⚠",IF(AND(P111='G-1 All Habitats'!$X$9,AC111&gt;0,S111&lt;=0,T111&lt;=0,Y111="Yes"),0,(IF(AND(P111='G-1 All Habitats'!$X$9,(S111+T111)&lt;H111,OR(Y111="No",Y111="")),"Any Loss Unacceptable ⚠",(IF(P111="","",IF(AND(P111='G-1 All Habitats'!$X$9,T111&gt;0),U111+V111,IF(AND(P111='G-1 All Habitats'!$X$9,S111&gt;0),U111+V111,H111*J111*L111*O111))))))))))))))),"Check Data ▲")</f>
        <v/>
      </c>
      <c r="R111" s="38"/>
      <c r="S111" s="52"/>
      <c r="T111" s="53"/>
      <c r="U111" s="287" t="str">
        <f t="shared" si="11"/>
        <v/>
      </c>
      <c r="V111" s="287" t="str">
        <f t="shared" si="12"/>
        <v/>
      </c>
      <c r="W111" s="287" t="str">
        <f t="shared" si="13"/>
        <v/>
      </c>
      <c r="X111" s="291" t="str">
        <f>IFERROR(IF(H111="","",IF(H111-S111-T111=0&lt;0,"Error in Areas ▲",IF(S111+T111&gt;H111,"Error in Areas ▲",IF(AND(P111='G-1 All Habitats'!$X$9,Y111="Yes"),"Alternative Compensation ✓",IF(AND(P111='G-1 All Habitats'!$X$3,Y111="Yes"),"Alternative Compensation ✓",IF(AND(Y111="Pending",P111='G-1 All Habitats'!$X$3),"Bespoke compensation must be agreed ▲",IF(AND(Y111="Pending",P111='G-1 All Habitats'!$X$9),"Bespoke compensation must be agreed  ▲",IF(W111=0,0,IF(P111='G-1 All Habitats'!$X$9,"Any Loss Unacceptable ▲",Q111-U111-V111))))))))),"Check Data ▲")</f>
        <v/>
      </c>
      <c r="Y111" s="53"/>
      <c r="Z111" s="105"/>
      <c r="AA111" s="233"/>
      <c r="AB111" s="104"/>
      <c r="AC111" s="512" t="str">
        <f>IF(OR(P111="",Y111="Yes"),"",IF(P111='G-1 All Habitats'!$X$9,H111-S111-T111,"None"))</f>
        <v/>
      </c>
      <c r="AD111" s="513" t="str">
        <f>IF(P111="","",IF(P111='G-1 All Habitats'!$X$9,AC111*J111*L111*O111,"None"))</f>
        <v/>
      </c>
      <c r="AE111" s="35" t="str">
        <f t="shared" si="9"/>
        <v/>
      </c>
      <c r="AF111" s="40" t="str">
        <f t="shared" si="14"/>
        <v/>
      </c>
      <c r="AG111" s="40" t="str">
        <f t="shared" si="10"/>
        <v/>
      </c>
      <c r="AH111" s="40" t="str">
        <f>IF(I111="","",IF(#REF!&gt;0,TRUE,FALSE))</f>
        <v/>
      </c>
      <c r="AI111" s="40">
        <v>101</v>
      </c>
      <c r="AJ111" s="40"/>
      <c r="AK111" s="40" t="str">
        <f t="array" ref="AK111">IFERROR(INDEX($AI$11:$AI$259,MATCH(0,IF(TRUE=$AF$11:$AF$259,COUNTIF($AK$10:$AK110,$AI$11:$AI$259),""),0)),"")</f>
        <v/>
      </c>
      <c r="AL111" s="40" t="str">
        <f t="array" ref="AL111">IFERROR(INDEX($AI$11:$AI$259,MATCH(0,IF(TRUE=$AG$11:$AG$259,COUNTIF($AL$10:$AL110,$AI$11:$AI$259),""),0)),"")</f>
        <v/>
      </c>
      <c r="AM111" s="40" t="str">
        <f t="array" ref="AM111">IFERROR(INDEX($AI$11:$AI$259,MATCH(0,IF(TRUE=$AH$11:$AH$259,COUNTIF($AM$10:$AM110,$AI$11:$AI$259),""),0)),"")</f>
        <v/>
      </c>
      <c r="AN111" s="40"/>
      <c r="AQ111" s="35">
        <f t="shared" si="15"/>
        <v>0</v>
      </c>
      <c r="AT111" s="885" t="str">
        <f>IF(AND(OR(Y111="Yes",Y111="Pending"),P111='G-1 All Habitats'!$X$3),Q111-U111-V111,"")</f>
        <v/>
      </c>
      <c r="AV111" s="542" t="str">
        <f>IFERROR(INDEX('G-1 All Habitats'!$B$3:$B$135,MATCH(F111,'G-1 All Habitats'!$A$3:$A$135,0)),"")</f>
        <v/>
      </c>
      <c r="AW111" s="35" t="str">
        <f>IF(AV111="","",VLOOKUP(AV111,'G-1 All Habitats'!$B$1:$T$135,19,FALSE))</f>
        <v/>
      </c>
    </row>
    <row r="112" spans="1:49" ht="14.5" hidden="1" thickBot="1">
      <c r="A112" s="35" t="str">
        <f>IFERROR(INDEX('G-1 All Habitats'!$AG$3:$AG$17,MATCH(E112,'G-1 All Habitats'!$AF$3:$AF$17,0)),"")</f>
        <v/>
      </c>
      <c r="B112" s="35" t="str">
        <f>IFERROR(INDEX('G-8 Condition Look up'!$I$4:$I$135,MATCH(AV112,'G-8 Condition Look up'!$A$4:$A$135,0)),"")</f>
        <v/>
      </c>
      <c r="D112" s="225">
        <v>102</v>
      </c>
      <c r="E112" s="211"/>
      <c r="F112" s="57"/>
      <c r="G112" s="263"/>
      <c r="H112" s="51"/>
      <c r="I112" s="275" t="str">
        <f>IF(AV112="","",IF(AND(AW112="Yes",G112="No"),"Irreplaceable habitat ▲",IF(AND(AW112="No",G112="Yes"),"Cannot be Irreplaceable ▲",VLOOKUP(AV112,'G-1 All Habitats'!$B$2:$M$135,10,FALSE))))</f>
        <v/>
      </c>
      <c r="J112" s="276" t="str">
        <f>IFERROR(VLOOKUP(I112,'G-1 All Habitats'!$V$3:$W$7,2,FALSE),"")</f>
        <v/>
      </c>
      <c r="K112" s="52"/>
      <c r="L112" s="276" t="str">
        <f>IFERROR(INDEX('G-8 Condition Look up'!$A$3:$H$135,MATCH(AV112,'G-8 Condition Look up'!$A$3:$A$135,0),MATCH(K112,'G-8 Condition Look up'!$A$3:$H$3,0)),"")</f>
        <v/>
      </c>
      <c r="M112" s="52"/>
      <c r="N112" s="295" t="str">
        <f>IF(M112="","",IF(VLOOKUP(M112,'G-3 Multipliers'!$L$3:$N$6,2,FALSE)=0,"Spatial Data Missing",VLOOKUP(M112,'G-3 Multipliers'!$L$3:$N$6,2,FALSE)))</f>
        <v/>
      </c>
      <c r="O112" s="281" t="str">
        <f>IF(M112="","",IF(VLOOKUP(M112,'G-3 Multipliers'!$L$3:$N$6,3,FALSE)=0,"Spatial Data Missing ▲",VLOOKUP(M112,'G-3 Multipliers'!$L$3:$N$6,3,FALSE)))</f>
        <v/>
      </c>
      <c r="P112" s="282" t="str">
        <f>(IF(G112="Yes","Bespoke compensation likely to be required",(IFERROR(VLOOKUP(AV112,'G-1 All Habitats'!$B$2:$M$135,12,FALSE),""))))</f>
        <v/>
      </c>
      <c r="Q112" s="289" t="str">
        <f>IFERROR(IF(AND(F112&lt;&gt;"",G112=""),"Confirm irreplaceable habitat status ▲",(IF(AND(E112="Individual trees",T112&gt;0,G112="Yes"),"Error - you cannot enhance irreplaceable individual trees ▲",(IF(AND(U112="Irreplaceable habitat - no units generated ⚠",(S112+T112)&lt;H112,OR(Y112="No",Y112="")),"Any Loss Unacceptable ⚠",(IF(U112="Irreplaceable habitat - no units generated ⚠",T112*J112*L112*O112,IF(AND(P112='G-1 All Habitats'!$X$9,AC112&gt;0,S112&lt;=0,T112&lt;=0,OR(Y112="No",Y112="")),"Any Loss Unacceptable ⚠",IF(AND(P112='G-1 All Habitats'!$X$9,AC112&gt;0,S112&lt;=0,T112&lt;=0,Y112="Yes"),0,(IF(AND(P112='G-1 All Habitats'!$X$9,(S112+T112)&lt;H112,OR(Y112="No",Y112="")),"Any Loss Unacceptable ⚠",(IF(P112="","",IF(AND(P112='G-1 All Habitats'!$X$9,T112&gt;0),U112+V112,IF(AND(P112='G-1 All Habitats'!$X$9,S112&gt;0),U112+V112,H112*J112*L112*O112))))))))))))))),"Check Data ▲")</f>
        <v/>
      </c>
      <c r="R112" s="38"/>
      <c r="S112" s="52"/>
      <c r="T112" s="53"/>
      <c r="U112" s="287" t="str">
        <f t="shared" si="11"/>
        <v/>
      </c>
      <c r="V112" s="287" t="str">
        <f t="shared" si="12"/>
        <v/>
      </c>
      <c r="W112" s="287" t="str">
        <f t="shared" si="13"/>
        <v/>
      </c>
      <c r="X112" s="291" t="str">
        <f>IFERROR(IF(H112="","",IF(H112-S112-T112=0&lt;0,"Error in Areas ▲",IF(S112+T112&gt;H112,"Error in Areas ▲",IF(AND(P112='G-1 All Habitats'!$X$9,Y112="Yes"),"Alternative Compensation ✓",IF(AND(P112='G-1 All Habitats'!$X$3,Y112="Yes"),"Alternative Compensation ✓",IF(AND(Y112="Pending",P112='G-1 All Habitats'!$X$3),"Bespoke compensation must be agreed ▲",IF(AND(Y112="Pending",P112='G-1 All Habitats'!$X$9),"Bespoke compensation must be agreed  ▲",IF(W112=0,0,IF(P112='G-1 All Habitats'!$X$9,"Any Loss Unacceptable ▲",Q112-U112-V112))))))))),"Check Data ▲")</f>
        <v/>
      </c>
      <c r="Y112" s="53"/>
      <c r="Z112" s="105"/>
      <c r="AA112" s="233"/>
      <c r="AB112" s="104"/>
      <c r="AC112" s="512" t="str">
        <f>IF(OR(P112="",Y112="Yes"),"",IF(P112='G-1 All Habitats'!$X$9,H112-S112-T112,"None"))</f>
        <v/>
      </c>
      <c r="AD112" s="513" t="str">
        <f>IF(P112="","",IF(P112='G-1 All Habitats'!$X$9,AC112*J112*L112*O112,"None"))</f>
        <v/>
      </c>
      <c r="AE112" s="35" t="str">
        <f t="shared" si="9"/>
        <v/>
      </c>
      <c r="AF112" s="40" t="str">
        <f t="shared" si="14"/>
        <v/>
      </c>
      <c r="AG112" s="40" t="str">
        <f t="shared" si="10"/>
        <v/>
      </c>
      <c r="AH112" s="40" t="str">
        <f>IF(I112="","",IF(#REF!&gt;0,TRUE,FALSE))</f>
        <v/>
      </c>
      <c r="AI112" s="40">
        <v>102</v>
      </c>
      <c r="AJ112" s="40"/>
      <c r="AK112" s="40" t="str">
        <f t="array" ref="AK112">IFERROR(INDEX($AI$11:$AI$259,MATCH(0,IF(TRUE=$AF$11:$AF$259,COUNTIF($AK$10:$AK111,$AI$11:$AI$259),""),0)),"")</f>
        <v/>
      </c>
      <c r="AL112" s="40" t="str">
        <f t="array" ref="AL112">IFERROR(INDEX($AI$11:$AI$259,MATCH(0,IF(TRUE=$AG$11:$AG$259,COUNTIF($AL$10:$AL111,$AI$11:$AI$259),""),0)),"")</f>
        <v/>
      </c>
      <c r="AM112" s="40" t="str">
        <f t="array" ref="AM112">IFERROR(INDEX($AI$11:$AI$259,MATCH(0,IF(TRUE=$AH$11:$AH$259,COUNTIF($AM$10:$AM111,$AI$11:$AI$259),""),0)),"")</f>
        <v/>
      </c>
      <c r="AN112" s="40"/>
      <c r="AQ112" s="35">
        <f t="shared" si="15"/>
        <v>0</v>
      </c>
      <c r="AT112" s="885" t="str">
        <f>IF(AND(OR(Y112="Yes",Y112="Pending"),P112='G-1 All Habitats'!$X$3),Q112-U112-V112,"")</f>
        <v/>
      </c>
      <c r="AV112" s="542" t="str">
        <f>IFERROR(INDEX('G-1 All Habitats'!$B$3:$B$135,MATCH(F112,'G-1 All Habitats'!$A$3:$A$135,0)),"")</f>
        <v/>
      </c>
      <c r="AW112" s="35" t="str">
        <f>IF(AV112="","",VLOOKUP(AV112,'G-1 All Habitats'!$B$1:$T$135,19,FALSE))</f>
        <v/>
      </c>
    </row>
    <row r="113" spans="1:49" ht="14.5" hidden="1" thickBot="1">
      <c r="A113" s="35" t="str">
        <f>IFERROR(INDEX('G-1 All Habitats'!$AG$3:$AG$17,MATCH(E113,'G-1 All Habitats'!$AF$3:$AF$17,0)),"")</f>
        <v/>
      </c>
      <c r="B113" s="35" t="str">
        <f>IFERROR(INDEX('G-8 Condition Look up'!$I$4:$I$135,MATCH(AV113,'G-8 Condition Look up'!$A$4:$A$135,0)),"")</f>
        <v/>
      </c>
      <c r="D113" s="225">
        <v>103</v>
      </c>
      <c r="E113" s="211"/>
      <c r="F113" s="57"/>
      <c r="G113" s="263"/>
      <c r="H113" s="51"/>
      <c r="I113" s="275" t="str">
        <f>IF(AV113="","",IF(AND(AW113="Yes",G113="No"),"Irreplaceable habitat ▲",IF(AND(AW113="No",G113="Yes"),"Cannot be Irreplaceable ▲",VLOOKUP(AV113,'G-1 All Habitats'!$B$2:$M$135,10,FALSE))))</f>
        <v/>
      </c>
      <c r="J113" s="276" t="str">
        <f>IFERROR(VLOOKUP(I113,'G-1 All Habitats'!$V$3:$W$7,2,FALSE),"")</f>
        <v/>
      </c>
      <c r="K113" s="52"/>
      <c r="L113" s="276" t="str">
        <f>IFERROR(INDEX('G-8 Condition Look up'!$A$3:$H$135,MATCH(AV113,'G-8 Condition Look up'!$A$3:$A$135,0),MATCH(K113,'G-8 Condition Look up'!$A$3:$H$3,0)),"")</f>
        <v/>
      </c>
      <c r="M113" s="52"/>
      <c r="N113" s="295" t="str">
        <f>IF(M113="","",IF(VLOOKUP(M113,'G-3 Multipliers'!$L$3:$N$6,2,FALSE)=0,"Spatial Data Missing",VLOOKUP(M113,'G-3 Multipliers'!$L$3:$N$6,2,FALSE)))</f>
        <v/>
      </c>
      <c r="O113" s="281" t="str">
        <f>IF(M113="","",IF(VLOOKUP(M113,'G-3 Multipliers'!$L$3:$N$6,3,FALSE)=0,"Spatial Data Missing ▲",VLOOKUP(M113,'G-3 Multipliers'!$L$3:$N$6,3,FALSE)))</f>
        <v/>
      </c>
      <c r="P113" s="282" t="str">
        <f>(IF(G113="Yes","Bespoke compensation likely to be required",(IFERROR(VLOOKUP(AV113,'G-1 All Habitats'!$B$2:$M$135,12,FALSE),""))))</f>
        <v/>
      </c>
      <c r="Q113" s="289" t="str">
        <f>IFERROR(IF(AND(F113&lt;&gt;"",G113=""),"Confirm irreplaceable habitat status ▲",(IF(AND(E113="Individual trees",T113&gt;0,G113="Yes"),"Error - you cannot enhance irreplaceable individual trees ▲",(IF(AND(U113="Irreplaceable habitat - no units generated ⚠",(S113+T113)&lt;H113,OR(Y113="No",Y113="")),"Any Loss Unacceptable ⚠",(IF(U113="Irreplaceable habitat - no units generated ⚠",T113*J113*L113*O113,IF(AND(P113='G-1 All Habitats'!$X$9,AC113&gt;0,S113&lt;=0,T113&lt;=0,OR(Y113="No",Y113="")),"Any Loss Unacceptable ⚠",IF(AND(P113='G-1 All Habitats'!$X$9,AC113&gt;0,S113&lt;=0,T113&lt;=0,Y113="Yes"),0,(IF(AND(P113='G-1 All Habitats'!$X$9,(S113+T113)&lt;H113,OR(Y113="No",Y113="")),"Any Loss Unacceptable ⚠",(IF(P113="","",IF(AND(P113='G-1 All Habitats'!$X$9,T113&gt;0),U113+V113,IF(AND(P113='G-1 All Habitats'!$X$9,S113&gt;0),U113+V113,H113*J113*L113*O113))))))))))))))),"Check Data ▲")</f>
        <v/>
      </c>
      <c r="R113" s="38"/>
      <c r="S113" s="52"/>
      <c r="T113" s="53"/>
      <c r="U113" s="287" t="str">
        <f t="shared" si="11"/>
        <v/>
      </c>
      <c r="V113" s="287" t="str">
        <f t="shared" si="12"/>
        <v/>
      </c>
      <c r="W113" s="287" t="str">
        <f t="shared" si="13"/>
        <v/>
      </c>
      <c r="X113" s="291" t="str">
        <f>IFERROR(IF(H113="","",IF(H113-S113-T113=0&lt;0,"Error in Areas ▲",IF(S113+T113&gt;H113,"Error in Areas ▲",IF(AND(P113='G-1 All Habitats'!$X$9,Y113="Yes"),"Alternative Compensation ✓",IF(AND(P113='G-1 All Habitats'!$X$3,Y113="Yes"),"Alternative Compensation ✓",IF(AND(Y113="Pending",P113='G-1 All Habitats'!$X$3),"Bespoke compensation must be agreed ▲",IF(AND(Y113="Pending",P113='G-1 All Habitats'!$X$9),"Bespoke compensation must be agreed  ▲",IF(W113=0,0,IF(P113='G-1 All Habitats'!$X$9,"Any Loss Unacceptable ▲",Q113-U113-V113))))))))),"Check Data ▲")</f>
        <v/>
      </c>
      <c r="Y113" s="53"/>
      <c r="Z113" s="105"/>
      <c r="AA113" s="233"/>
      <c r="AB113" s="104"/>
      <c r="AC113" s="512" t="str">
        <f>IF(OR(P113="",Y113="Yes"),"",IF(P113='G-1 All Habitats'!$X$9,H113-S113-T113,"None"))</f>
        <v/>
      </c>
      <c r="AD113" s="513" t="str">
        <f>IF(P113="","",IF(P113='G-1 All Habitats'!$X$9,AC113*J113*L113*O113,"None"))</f>
        <v/>
      </c>
      <c r="AE113" s="35" t="str">
        <f t="shared" si="9"/>
        <v/>
      </c>
      <c r="AF113" s="40" t="str">
        <f t="shared" si="14"/>
        <v/>
      </c>
      <c r="AG113" s="40" t="str">
        <f t="shared" si="10"/>
        <v/>
      </c>
      <c r="AH113" s="40" t="str">
        <f>IF(I113="","",IF(#REF!&gt;0,TRUE,FALSE))</f>
        <v/>
      </c>
      <c r="AI113" s="40">
        <v>103</v>
      </c>
      <c r="AJ113" s="40"/>
      <c r="AK113" s="40" t="str">
        <f t="array" ref="AK113">IFERROR(INDEX($AI$11:$AI$259,MATCH(0,IF(TRUE=$AF$11:$AF$259,COUNTIF($AK$10:$AK112,$AI$11:$AI$259),""),0)),"")</f>
        <v/>
      </c>
      <c r="AL113" s="40" t="str">
        <f t="array" ref="AL113">IFERROR(INDEX($AI$11:$AI$259,MATCH(0,IF(TRUE=$AG$11:$AG$259,COUNTIF($AL$10:$AL112,$AI$11:$AI$259),""),0)),"")</f>
        <v/>
      </c>
      <c r="AM113" s="40" t="str">
        <f t="array" ref="AM113">IFERROR(INDEX($AI$11:$AI$259,MATCH(0,IF(TRUE=$AH$11:$AH$259,COUNTIF($AM$10:$AM112,$AI$11:$AI$259),""),0)),"")</f>
        <v/>
      </c>
      <c r="AN113" s="40"/>
      <c r="AQ113" s="35">
        <f t="shared" si="15"/>
        <v>0</v>
      </c>
      <c r="AT113" s="885" t="str">
        <f>IF(AND(OR(Y113="Yes",Y113="Pending"),P113='G-1 All Habitats'!$X$3),Q113-U113-V113,"")</f>
        <v/>
      </c>
      <c r="AV113" s="542" t="str">
        <f>IFERROR(INDEX('G-1 All Habitats'!$B$3:$B$135,MATCH(F113,'G-1 All Habitats'!$A$3:$A$135,0)),"")</f>
        <v/>
      </c>
      <c r="AW113" s="35" t="str">
        <f>IF(AV113="","",VLOOKUP(AV113,'G-1 All Habitats'!$B$1:$T$135,19,FALSE))</f>
        <v/>
      </c>
    </row>
    <row r="114" spans="1:49" ht="14.5" hidden="1" thickBot="1">
      <c r="A114" s="35" t="str">
        <f>IFERROR(INDEX('G-1 All Habitats'!$AG$3:$AG$17,MATCH(E114,'G-1 All Habitats'!$AF$3:$AF$17,0)),"")</f>
        <v/>
      </c>
      <c r="B114" s="35" t="str">
        <f>IFERROR(INDEX('G-8 Condition Look up'!$I$4:$I$135,MATCH(AV114,'G-8 Condition Look up'!$A$4:$A$135,0)),"")</f>
        <v/>
      </c>
      <c r="D114" s="225">
        <v>104</v>
      </c>
      <c r="E114" s="211"/>
      <c r="F114" s="57"/>
      <c r="G114" s="263"/>
      <c r="H114" s="51"/>
      <c r="I114" s="275" t="str">
        <f>IF(AV114="","",IF(AND(AW114="Yes",G114="No"),"Irreplaceable habitat ▲",IF(AND(AW114="No",G114="Yes"),"Cannot be Irreplaceable ▲",VLOOKUP(AV114,'G-1 All Habitats'!$B$2:$M$135,10,FALSE))))</f>
        <v/>
      </c>
      <c r="J114" s="276" t="str">
        <f>IFERROR(VLOOKUP(I114,'G-1 All Habitats'!$V$3:$W$7,2,FALSE),"")</f>
        <v/>
      </c>
      <c r="K114" s="52"/>
      <c r="L114" s="276" t="str">
        <f>IFERROR(INDEX('G-8 Condition Look up'!$A$3:$H$135,MATCH(AV114,'G-8 Condition Look up'!$A$3:$A$135,0),MATCH(K114,'G-8 Condition Look up'!$A$3:$H$3,0)),"")</f>
        <v/>
      </c>
      <c r="M114" s="52"/>
      <c r="N114" s="295" t="str">
        <f>IF(M114="","",IF(VLOOKUP(M114,'G-3 Multipliers'!$L$3:$N$6,2,FALSE)=0,"Spatial Data Missing",VLOOKUP(M114,'G-3 Multipliers'!$L$3:$N$6,2,FALSE)))</f>
        <v/>
      </c>
      <c r="O114" s="281" t="str">
        <f>IF(M114="","",IF(VLOOKUP(M114,'G-3 Multipliers'!$L$3:$N$6,3,FALSE)=0,"Spatial Data Missing ▲",VLOOKUP(M114,'G-3 Multipliers'!$L$3:$N$6,3,FALSE)))</f>
        <v/>
      </c>
      <c r="P114" s="282" t="str">
        <f>(IF(G114="Yes","Bespoke compensation likely to be required",(IFERROR(VLOOKUP(AV114,'G-1 All Habitats'!$B$2:$M$135,12,FALSE),""))))</f>
        <v/>
      </c>
      <c r="Q114" s="289" t="str">
        <f>IFERROR(IF(AND(F114&lt;&gt;"",G114=""),"Confirm irreplaceable habitat status ▲",(IF(AND(E114="Individual trees",T114&gt;0,G114="Yes"),"Error - you cannot enhance irreplaceable individual trees ▲",(IF(AND(U114="Irreplaceable habitat - no units generated ⚠",(S114+T114)&lt;H114,OR(Y114="No",Y114="")),"Any Loss Unacceptable ⚠",(IF(U114="Irreplaceable habitat - no units generated ⚠",T114*J114*L114*O114,IF(AND(P114='G-1 All Habitats'!$X$9,AC114&gt;0,S114&lt;=0,T114&lt;=0,OR(Y114="No",Y114="")),"Any Loss Unacceptable ⚠",IF(AND(P114='G-1 All Habitats'!$X$9,AC114&gt;0,S114&lt;=0,T114&lt;=0,Y114="Yes"),0,(IF(AND(P114='G-1 All Habitats'!$X$9,(S114+T114)&lt;H114,OR(Y114="No",Y114="")),"Any Loss Unacceptable ⚠",(IF(P114="","",IF(AND(P114='G-1 All Habitats'!$X$9,T114&gt;0),U114+V114,IF(AND(P114='G-1 All Habitats'!$X$9,S114&gt;0),U114+V114,H114*J114*L114*O114))))))))))))))),"Check Data ▲")</f>
        <v/>
      </c>
      <c r="R114" s="38"/>
      <c r="S114" s="52"/>
      <c r="T114" s="53"/>
      <c r="U114" s="287" t="str">
        <f t="shared" si="11"/>
        <v/>
      </c>
      <c r="V114" s="287" t="str">
        <f t="shared" si="12"/>
        <v/>
      </c>
      <c r="W114" s="287" t="str">
        <f t="shared" si="13"/>
        <v/>
      </c>
      <c r="X114" s="291" t="str">
        <f>IFERROR(IF(H114="","",IF(H114-S114-T114=0&lt;0,"Error in Areas ▲",IF(S114+T114&gt;H114,"Error in Areas ▲",IF(AND(P114='G-1 All Habitats'!$X$9,Y114="Yes"),"Alternative Compensation ✓",IF(AND(P114='G-1 All Habitats'!$X$3,Y114="Yes"),"Alternative Compensation ✓",IF(AND(Y114="Pending",P114='G-1 All Habitats'!$X$3),"Bespoke compensation must be agreed ▲",IF(AND(Y114="Pending",P114='G-1 All Habitats'!$X$9),"Bespoke compensation must be agreed  ▲",IF(W114=0,0,IF(P114='G-1 All Habitats'!$X$9,"Any Loss Unacceptable ▲",Q114-U114-V114))))))))),"Check Data ▲")</f>
        <v/>
      </c>
      <c r="Y114" s="53"/>
      <c r="Z114" s="105"/>
      <c r="AA114" s="233"/>
      <c r="AB114" s="104"/>
      <c r="AC114" s="512" t="str">
        <f>IF(OR(P114="",Y114="Yes"),"",IF(P114='G-1 All Habitats'!$X$9,H114-S114-T114,"None"))</f>
        <v/>
      </c>
      <c r="AD114" s="513" t="str">
        <f>IF(P114="","",IF(P114='G-1 All Habitats'!$X$9,AC114*J114*L114*O114,"None"))</f>
        <v/>
      </c>
      <c r="AE114" s="35" t="str">
        <f t="shared" si="9"/>
        <v/>
      </c>
      <c r="AF114" s="40" t="str">
        <f t="shared" si="14"/>
        <v/>
      </c>
      <c r="AG114" s="40" t="str">
        <f t="shared" si="10"/>
        <v/>
      </c>
      <c r="AH114" s="40" t="str">
        <f>IF(I114="","",IF(#REF!&gt;0,TRUE,FALSE))</f>
        <v/>
      </c>
      <c r="AI114" s="40">
        <v>104</v>
      </c>
      <c r="AJ114" s="40"/>
      <c r="AK114" s="40" t="str">
        <f t="array" ref="AK114">IFERROR(INDEX($AI$11:$AI$259,MATCH(0,IF(TRUE=$AF$11:$AF$259,COUNTIF($AK$10:$AK113,$AI$11:$AI$259),""),0)),"")</f>
        <v/>
      </c>
      <c r="AL114" s="40" t="str">
        <f t="array" ref="AL114">IFERROR(INDEX($AI$11:$AI$259,MATCH(0,IF(TRUE=$AG$11:$AG$259,COUNTIF($AL$10:$AL113,$AI$11:$AI$259),""),0)),"")</f>
        <v/>
      </c>
      <c r="AM114" s="40" t="str">
        <f t="array" ref="AM114">IFERROR(INDEX($AI$11:$AI$259,MATCH(0,IF(TRUE=$AH$11:$AH$259,COUNTIF($AM$10:$AM113,$AI$11:$AI$259),""),0)),"")</f>
        <v/>
      </c>
      <c r="AN114" s="40"/>
      <c r="AQ114" s="35">
        <f t="shared" si="15"/>
        <v>0</v>
      </c>
      <c r="AT114" s="885" t="str">
        <f>IF(AND(OR(Y114="Yes",Y114="Pending"),P114='G-1 All Habitats'!$X$3),Q114-U114-V114,"")</f>
        <v/>
      </c>
      <c r="AV114" s="542" t="str">
        <f>IFERROR(INDEX('G-1 All Habitats'!$B$3:$B$135,MATCH(F114,'G-1 All Habitats'!$A$3:$A$135,0)),"")</f>
        <v/>
      </c>
      <c r="AW114" s="35" t="str">
        <f>IF(AV114="","",VLOOKUP(AV114,'G-1 All Habitats'!$B$1:$T$135,19,FALSE))</f>
        <v/>
      </c>
    </row>
    <row r="115" spans="1:49" ht="14.5" hidden="1" thickBot="1">
      <c r="A115" s="35" t="str">
        <f>IFERROR(INDEX('G-1 All Habitats'!$AG$3:$AG$17,MATCH(E115,'G-1 All Habitats'!$AF$3:$AF$17,0)),"")</f>
        <v/>
      </c>
      <c r="B115" s="35" t="str">
        <f>IFERROR(INDEX('G-8 Condition Look up'!$I$4:$I$135,MATCH(AV115,'G-8 Condition Look up'!$A$4:$A$135,0)),"")</f>
        <v/>
      </c>
      <c r="D115" s="225">
        <v>105</v>
      </c>
      <c r="E115" s="211"/>
      <c r="F115" s="57"/>
      <c r="G115" s="263"/>
      <c r="H115" s="51"/>
      <c r="I115" s="275" t="str">
        <f>IF(AV115="","",IF(AND(AW115="Yes",G115="No"),"Irreplaceable habitat ▲",IF(AND(AW115="No",G115="Yes"),"Cannot be Irreplaceable ▲",VLOOKUP(AV115,'G-1 All Habitats'!$B$2:$M$135,10,FALSE))))</f>
        <v/>
      </c>
      <c r="J115" s="276" t="str">
        <f>IFERROR(VLOOKUP(I115,'G-1 All Habitats'!$V$3:$W$7,2,FALSE),"")</f>
        <v/>
      </c>
      <c r="K115" s="52"/>
      <c r="L115" s="276" t="str">
        <f>IFERROR(INDEX('G-8 Condition Look up'!$A$3:$H$135,MATCH(AV115,'G-8 Condition Look up'!$A$3:$A$135,0),MATCH(K115,'G-8 Condition Look up'!$A$3:$H$3,0)),"")</f>
        <v/>
      </c>
      <c r="M115" s="52"/>
      <c r="N115" s="295" t="str">
        <f>IF(M115="","",IF(VLOOKUP(M115,'G-3 Multipliers'!$L$3:$N$6,2,FALSE)=0,"Spatial Data Missing",VLOOKUP(M115,'G-3 Multipliers'!$L$3:$N$6,2,FALSE)))</f>
        <v/>
      </c>
      <c r="O115" s="281" t="str">
        <f>IF(M115="","",IF(VLOOKUP(M115,'G-3 Multipliers'!$L$3:$N$6,3,FALSE)=0,"Spatial Data Missing ▲",VLOOKUP(M115,'G-3 Multipliers'!$L$3:$N$6,3,FALSE)))</f>
        <v/>
      </c>
      <c r="P115" s="282" t="str">
        <f>(IF(G115="Yes","Bespoke compensation likely to be required",(IFERROR(VLOOKUP(AV115,'G-1 All Habitats'!$B$2:$M$135,12,FALSE),""))))</f>
        <v/>
      </c>
      <c r="Q115" s="289" t="str">
        <f>IFERROR(IF(AND(F115&lt;&gt;"",G115=""),"Confirm irreplaceable habitat status ▲",(IF(AND(E115="Individual trees",T115&gt;0,G115="Yes"),"Error - you cannot enhance irreplaceable individual trees ▲",(IF(AND(U115="Irreplaceable habitat - no units generated ⚠",(S115+T115)&lt;H115,OR(Y115="No",Y115="")),"Any Loss Unacceptable ⚠",(IF(U115="Irreplaceable habitat - no units generated ⚠",T115*J115*L115*O115,IF(AND(P115='G-1 All Habitats'!$X$9,AC115&gt;0,S115&lt;=0,T115&lt;=0,OR(Y115="No",Y115="")),"Any Loss Unacceptable ⚠",IF(AND(P115='G-1 All Habitats'!$X$9,AC115&gt;0,S115&lt;=0,T115&lt;=0,Y115="Yes"),0,(IF(AND(P115='G-1 All Habitats'!$X$9,(S115+T115)&lt;H115,OR(Y115="No",Y115="")),"Any Loss Unacceptable ⚠",(IF(P115="","",IF(AND(P115='G-1 All Habitats'!$X$9,T115&gt;0),U115+V115,IF(AND(P115='G-1 All Habitats'!$X$9,S115&gt;0),U115+V115,H115*J115*L115*O115))))))))))))))),"Check Data ▲")</f>
        <v/>
      </c>
      <c r="R115" s="38"/>
      <c r="S115" s="52"/>
      <c r="T115" s="53"/>
      <c r="U115" s="287" t="str">
        <f t="shared" si="11"/>
        <v/>
      </c>
      <c r="V115" s="287" t="str">
        <f t="shared" si="12"/>
        <v/>
      </c>
      <c r="W115" s="287" t="str">
        <f t="shared" si="13"/>
        <v/>
      </c>
      <c r="X115" s="291" t="str">
        <f>IFERROR(IF(H115="","",IF(H115-S115-T115=0&lt;0,"Error in Areas ▲",IF(S115+T115&gt;H115,"Error in Areas ▲",IF(AND(P115='G-1 All Habitats'!$X$9,Y115="Yes"),"Alternative Compensation ✓",IF(AND(P115='G-1 All Habitats'!$X$3,Y115="Yes"),"Alternative Compensation ✓",IF(AND(Y115="Pending",P115='G-1 All Habitats'!$X$3),"Bespoke compensation must be agreed ▲",IF(AND(Y115="Pending",P115='G-1 All Habitats'!$X$9),"Bespoke compensation must be agreed  ▲",IF(W115=0,0,IF(P115='G-1 All Habitats'!$X$9,"Any Loss Unacceptable ▲",Q115-U115-V115))))))))),"Check Data ▲")</f>
        <v/>
      </c>
      <c r="Y115" s="53"/>
      <c r="Z115" s="105"/>
      <c r="AA115" s="233"/>
      <c r="AB115" s="104"/>
      <c r="AC115" s="512" t="str">
        <f>IF(OR(P115="",Y115="Yes"),"",IF(P115='G-1 All Habitats'!$X$9,H115-S115-T115,"None"))</f>
        <v/>
      </c>
      <c r="AD115" s="513" t="str">
        <f>IF(P115="","",IF(P115='G-1 All Habitats'!$X$9,AC115*J115*L115*O115,"None"))</f>
        <v/>
      </c>
      <c r="AE115" s="35" t="str">
        <f t="shared" si="9"/>
        <v/>
      </c>
      <c r="AF115" s="40" t="str">
        <f t="shared" si="14"/>
        <v/>
      </c>
      <c r="AG115" s="40" t="str">
        <f t="shared" si="10"/>
        <v/>
      </c>
      <c r="AH115" s="40" t="str">
        <f>IF(I115="","",IF(#REF!&gt;0,TRUE,FALSE))</f>
        <v/>
      </c>
      <c r="AI115" s="40">
        <v>105</v>
      </c>
      <c r="AJ115" s="40"/>
      <c r="AK115" s="40" t="str">
        <f t="array" ref="AK115">IFERROR(INDEX($AI$11:$AI$259,MATCH(0,IF(TRUE=$AF$11:$AF$259,COUNTIF($AK$10:$AK114,$AI$11:$AI$259),""),0)),"")</f>
        <v/>
      </c>
      <c r="AL115" s="40" t="str">
        <f t="array" ref="AL115">IFERROR(INDEX($AI$11:$AI$259,MATCH(0,IF(TRUE=$AG$11:$AG$259,COUNTIF($AL$10:$AL114,$AI$11:$AI$259),""),0)),"")</f>
        <v/>
      </c>
      <c r="AM115" s="40" t="str">
        <f t="array" ref="AM115">IFERROR(INDEX($AI$11:$AI$259,MATCH(0,IF(TRUE=$AH$11:$AH$259,COUNTIF($AM$10:$AM114,$AI$11:$AI$259),""),0)),"")</f>
        <v/>
      </c>
      <c r="AN115" s="40"/>
      <c r="AQ115" s="35">
        <f t="shared" si="15"/>
        <v>0</v>
      </c>
      <c r="AT115" s="885" t="str">
        <f>IF(AND(OR(Y115="Yes",Y115="Pending"),P115='G-1 All Habitats'!$X$3),Q115-U115-V115,"")</f>
        <v/>
      </c>
      <c r="AV115" s="542" t="str">
        <f>IFERROR(INDEX('G-1 All Habitats'!$B$3:$B$135,MATCH(F115,'G-1 All Habitats'!$A$3:$A$135,0)),"")</f>
        <v/>
      </c>
      <c r="AW115" s="35" t="str">
        <f>IF(AV115="","",VLOOKUP(AV115,'G-1 All Habitats'!$B$1:$T$135,19,FALSE))</f>
        <v/>
      </c>
    </row>
    <row r="116" spans="1:49" ht="14.5" hidden="1" thickBot="1">
      <c r="A116" s="35" t="str">
        <f>IFERROR(INDEX('G-1 All Habitats'!$AG$3:$AG$17,MATCH(E116,'G-1 All Habitats'!$AF$3:$AF$17,0)),"")</f>
        <v/>
      </c>
      <c r="B116" s="35" t="str">
        <f>IFERROR(INDEX('G-8 Condition Look up'!$I$4:$I$135,MATCH(AV116,'G-8 Condition Look up'!$A$4:$A$135,0)),"")</f>
        <v/>
      </c>
      <c r="D116" s="225">
        <v>106</v>
      </c>
      <c r="E116" s="211"/>
      <c r="F116" s="57"/>
      <c r="G116" s="263"/>
      <c r="H116" s="51"/>
      <c r="I116" s="275" t="str">
        <f>IF(AV116="","",IF(AND(AW116="Yes",G116="No"),"Irreplaceable habitat ▲",IF(AND(AW116="No",G116="Yes"),"Cannot be Irreplaceable ▲",VLOOKUP(AV116,'G-1 All Habitats'!$B$2:$M$135,10,FALSE))))</f>
        <v/>
      </c>
      <c r="J116" s="276" t="str">
        <f>IFERROR(VLOOKUP(I116,'G-1 All Habitats'!$V$3:$W$7,2,FALSE),"")</f>
        <v/>
      </c>
      <c r="K116" s="52"/>
      <c r="L116" s="276" t="str">
        <f>IFERROR(INDEX('G-8 Condition Look up'!$A$3:$H$135,MATCH(AV116,'G-8 Condition Look up'!$A$3:$A$135,0),MATCH(K116,'G-8 Condition Look up'!$A$3:$H$3,0)),"")</f>
        <v/>
      </c>
      <c r="M116" s="52"/>
      <c r="N116" s="295" t="str">
        <f>IF(M116="","",IF(VLOOKUP(M116,'G-3 Multipliers'!$L$3:$N$6,2,FALSE)=0,"Spatial Data Missing",VLOOKUP(M116,'G-3 Multipliers'!$L$3:$N$6,2,FALSE)))</f>
        <v/>
      </c>
      <c r="O116" s="281" t="str">
        <f>IF(M116="","",IF(VLOOKUP(M116,'G-3 Multipliers'!$L$3:$N$6,3,FALSE)=0,"Spatial Data Missing ▲",VLOOKUP(M116,'G-3 Multipliers'!$L$3:$N$6,3,FALSE)))</f>
        <v/>
      </c>
      <c r="P116" s="282" t="str">
        <f>(IF(G116="Yes","Bespoke compensation likely to be required",(IFERROR(VLOOKUP(AV116,'G-1 All Habitats'!$B$2:$M$135,12,FALSE),""))))</f>
        <v/>
      </c>
      <c r="Q116" s="289" t="str">
        <f>IFERROR(IF(AND(F116&lt;&gt;"",G116=""),"Confirm irreplaceable habitat status ▲",(IF(AND(E116="Individual trees",T116&gt;0,G116="Yes"),"Error - you cannot enhance irreplaceable individual trees ▲",(IF(AND(U116="Irreplaceable habitat - no units generated ⚠",(S116+T116)&lt;H116,OR(Y116="No",Y116="")),"Any Loss Unacceptable ⚠",(IF(U116="Irreplaceable habitat - no units generated ⚠",T116*J116*L116*O116,IF(AND(P116='G-1 All Habitats'!$X$9,AC116&gt;0,S116&lt;=0,T116&lt;=0,OR(Y116="No",Y116="")),"Any Loss Unacceptable ⚠",IF(AND(P116='G-1 All Habitats'!$X$9,AC116&gt;0,S116&lt;=0,T116&lt;=0,Y116="Yes"),0,(IF(AND(P116='G-1 All Habitats'!$X$9,(S116+T116)&lt;H116,OR(Y116="No",Y116="")),"Any Loss Unacceptable ⚠",(IF(P116="","",IF(AND(P116='G-1 All Habitats'!$X$9,T116&gt;0),U116+V116,IF(AND(P116='G-1 All Habitats'!$X$9,S116&gt;0),U116+V116,H116*J116*L116*O116))))))))))))))),"Check Data ▲")</f>
        <v/>
      </c>
      <c r="R116" s="38"/>
      <c r="S116" s="52"/>
      <c r="T116" s="53"/>
      <c r="U116" s="287" t="str">
        <f t="shared" si="11"/>
        <v/>
      </c>
      <c r="V116" s="287" t="str">
        <f t="shared" si="12"/>
        <v/>
      </c>
      <c r="W116" s="287" t="str">
        <f t="shared" si="13"/>
        <v/>
      </c>
      <c r="X116" s="291" t="str">
        <f>IFERROR(IF(H116="","",IF(H116-S116-T116=0&lt;0,"Error in Areas ▲",IF(S116+T116&gt;H116,"Error in Areas ▲",IF(AND(P116='G-1 All Habitats'!$X$9,Y116="Yes"),"Alternative Compensation ✓",IF(AND(P116='G-1 All Habitats'!$X$3,Y116="Yes"),"Alternative Compensation ✓",IF(AND(Y116="Pending",P116='G-1 All Habitats'!$X$3),"Bespoke compensation must be agreed ▲",IF(AND(Y116="Pending",P116='G-1 All Habitats'!$X$9),"Bespoke compensation must be agreed  ▲",IF(W116=0,0,IF(P116='G-1 All Habitats'!$X$9,"Any Loss Unacceptable ▲",Q116-U116-V116))))))))),"Check Data ▲")</f>
        <v/>
      </c>
      <c r="Y116" s="53"/>
      <c r="Z116" s="105"/>
      <c r="AA116" s="233"/>
      <c r="AB116" s="104"/>
      <c r="AC116" s="512" t="str">
        <f>IF(OR(P116="",Y116="Yes"),"",IF(P116='G-1 All Habitats'!$X$9,H116-S116-T116,"None"))</f>
        <v/>
      </c>
      <c r="AD116" s="513" t="str">
        <f>IF(P116="","",IF(P116='G-1 All Habitats'!$X$9,AC116*J116*L116*O116,"None"))</f>
        <v/>
      </c>
      <c r="AE116" s="35" t="str">
        <f t="shared" si="9"/>
        <v/>
      </c>
      <c r="AF116" s="40" t="str">
        <f t="shared" si="14"/>
        <v/>
      </c>
      <c r="AG116" s="40" t="str">
        <f t="shared" si="10"/>
        <v/>
      </c>
      <c r="AH116" s="40" t="str">
        <f>IF(I116="","",IF(#REF!&gt;0,TRUE,FALSE))</f>
        <v/>
      </c>
      <c r="AI116" s="40">
        <v>106</v>
      </c>
      <c r="AJ116" s="40"/>
      <c r="AK116" s="40" t="str">
        <f t="array" ref="AK116">IFERROR(INDEX($AI$11:$AI$259,MATCH(0,IF(TRUE=$AF$11:$AF$259,COUNTIF($AK$10:$AK115,$AI$11:$AI$259),""),0)),"")</f>
        <v/>
      </c>
      <c r="AL116" s="40" t="str">
        <f t="array" ref="AL116">IFERROR(INDEX($AI$11:$AI$259,MATCH(0,IF(TRUE=$AG$11:$AG$259,COUNTIF($AL$10:$AL115,$AI$11:$AI$259),""),0)),"")</f>
        <v/>
      </c>
      <c r="AM116" s="40" t="str">
        <f t="array" ref="AM116">IFERROR(INDEX($AI$11:$AI$259,MATCH(0,IF(TRUE=$AH$11:$AH$259,COUNTIF($AM$10:$AM115,$AI$11:$AI$259),""),0)),"")</f>
        <v/>
      </c>
      <c r="AN116" s="40"/>
      <c r="AQ116" s="35">
        <f t="shared" si="15"/>
        <v>0</v>
      </c>
      <c r="AT116" s="885" t="str">
        <f>IF(AND(OR(Y116="Yes",Y116="Pending"),P116='G-1 All Habitats'!$X$3),Q116-U116-V116,"")</f>
        <v/>
      </c>
      <c r="AV116" s="542" t="str">
        <f>IFERROR(INDEX('G-1 All Habitats'!$B$3:$B$135,MATCH(F116,'G-1 All Habitats'!$A$3:$A$135,0)),"")</f>
        <v/>
      </c>
      <c r="AW116" s="35" t="str">
        <f>IF(AV116="","",VLOOKUP(AV116,'G-1 All Habitats'!$B$1:$T$135,19,FALSE))</f>
        <v/>
      </c>
    </row>
    <row r="117" spans="1:49" ht="14.5" hidden="1" thickBot="1">
      <c r="A117" s="35" t="str">
        <f>IFERROR(INDEX('G-1 All Habitats'!$AG$3:$AG$17,MATCH(E117,'G-1 All Habitats'!$AF$3:$AF$17,0)),"")</f>
        <v/>
      </c>
      <c r="B117" s="35" t="str">
        <f>IFERROR(INDEX('G-8 Condition Look up'!$I$4:$I$135,MATCH(AV117,'G-8 Condition Look up'!$A$4:$A$135,0)),"")</f>
        <v/>
      </c>
      <c r="D117" s="225">
        <v>107</v>
      </c>
      <c r="E117" s="211"/>
      <c r="F117" s="57"/>
      <c r="G117" s="263"/>
      <c r="H117" s="51"/>
      <c r="I117" s="275" t="str">
        <f>IF(AV117="","",IF(AND(AW117="Yes",G117="No"),"Irreplaceable habitat ▲",IF(AND(AW117="No",G117="Yes"),"Cannot be Irreplaceable ▲",VLOOKUP(AV117,'G-1 All Habitats'!$B$2:$M$135,10,FALSE))))</f>
        <v/>
      </c>
      <c r="J117" s="276" t="str">
        <f>IFERROR(VLOOKUP(I117,'G-1 All Habitats'!$V$3:$W$7,2,FALSE),"")</f>
        <v/>
      </c>
      <c r="K117" s="52"/>
      <c r="L117" s="276" t="str">
        <f>IFERROR(INDEX('G-8 Condition Look up'!$A$3:$H$135,MATCH(AV117,'G-8 Condition Look up'!$A$3:$A$135,0),MATCH(K117,'G-8 Condition Look up'!$A$3:$H$3,0)),"")</f>
        <v/>
      </c>
      <c r="M117" s="52"/>
      <c r="N117" s="295" t="str">
        <f>IF(M117="","",IF(VLOOKUP(M117,'G-3 Multipliers'!$L$3:$N$6,2,FALSE)=0,"Spatial Data Missing",VLOOKUP(M117,'G-3 Multipliers'!$L$3:$N$6,2,FALSE)))</f>
        <v/>
      </c>
      <c r="O117" s="281" t="str">
        <f>IF(M117="","",IF(VLOOKUP(M117,'G-3 Multipliers'!$L$3:$N$6,3,FALSE)=0,"Spatial Data Missing ▲",VLOOKUP(M117,'G-3 Multipliers'!$L$3:$N$6,3,FALSE)))</f>
        <v/>
      </c>
      <c r="P117" s="282" t="str">
        <f>(IF(G117="Yes","Bespoke compensation likely to be required",(IFERROR(VLOOKUP(AV117,'G-1 All Habitats'!$B$2:$M$135,12,FALSE),""))))</f>
        <v/>
      </c>
      <c r="Q117" s="289" t="str">
        <f>IFERROR(IF(AND(F117&lt;&gt;"",G117=""),"Confirm irreplaceable habitat status ▲",(IF(AND(E117="Individual trees",T117&gt;0,G117="Yes"),"Error - you cannot enhance irreplaceable individual trees ▲",(IF(AND(U117="Irreplaceable habitat - no units generated ⚠",(S117+T117)&lt;H117,OR(Y117="No",Y117="")),"Any Loss Unacceptable ⚠",(IF(U117="Irreplaceable habitat - no units generated ⚠",T117*J117*L117*O117,IF(AND(P117='G-1 All Habitats'!$X$9,AC117&gt;0,S117&lt;=0,T117&lt;=0,OR(Y117="No",Y117="")),"Any Loss Unacceptable ⚠",IF(AND(P117='G-1 All Habitats'!$X$9,AC117&gt;0,S117&lt;=0,T117&lt;=0,Y117="Yes"),0,(IF(AND(P117='G-1 All Habitats'!$X$9,(S117+T117)&lt;H117,OR(Y117="No",Y117="")),"Any Loss Unacceptable ⚠",(IF(P117="","",IF(AND(P117='G-1 All Habitats'!$X$9,T117&gt;0),U117+V117,IF(AND(P117='G-1 All Habitats'!$X$9,S117&gt;0),U117+V117,H117*J117*L117*O117))))))))))))))),"Check Data ▲")</f>
        <v/>
      </c>
      <c r="R117" s="38"/>
      <c r="S117" s="52"/>
      <c r="T117" s="53"/>
      <c r="U117" s="287" t="str">
        <f t="shared" si="11"/>
        <v/>
      </c>
      <c r="V117" s="287" t="str">
        <f t="shared" si="12"/>
        <v/>
      </c>
      <c r="W117" s="287" t="str">
        <f t="shared" si="13"/>
        <v/>
      </c>
      <c r="X117" s="291" t="str">
        <f>IFERROR(IF(H117="","",IF(H117-S117-T117=0&lt;0,"Error in Areas ▲",IF(S117+T117&gt;H117,"Error in Areas ▲",IF(AND(P117='G-1 All Habitats'!$X$9,Y117="Yes"),"Alternative Compensation ✓",IF(AND(P117='G-1 All Habitats'!$X$3,Y117="Yes"),"Alternative Compensation ✓",IF(AND(Y117="Pending",P117='G-1 All Habitats'!$X$3),"Bespoke compensation must be agreed ▲",IF(AND(Y117="Pending",P117='G-1 All Habitats'!$X$9),"Bespoke compensation must be agreed  ▲",IF(W117=0,0,IF(P117='G-1 All Habitats'!$X$9,"Any Loss Unacceptable ▲",Q117-U117-V117))))))))),"Check Data ▲")</f>
        <v/>
      </c>
      <c r="Y117" s="53"/>
      <c r="Z117" s="105"/>
      <c r="AA117" s="233"/>
      <c r="AB117" s="104"/>
      <c r="AC117" s="512" t="str">
        <f>IF(OR(P117="",Y117="Yes"),"",IF(P117='G-1 All Habitats'!$X$9,H117-S117-T117,"None"))</f>
        <v/>
      </c>
      <c r="AD117" s="513" t="str">
        <f>IF(P117="","",IF(P117='G-1 All Habitats'!$X$9,AC117*J117*L117*O117,"None"))</f>
        <v/>
      </c>
      <c r="AE117" s="35" t="str">
        <f t="shared" si="9"/>
        <v/>
      </c>
      <c r="AF117" s="40" t="str">
        <f t="shared" si="14"/>
        <v/>
      </c>
      <c r="AG117" s="40" t="str">
        <f t="shared" si="10"/>
        <v/>
      </c>
      <c r="AH117" s="40" t="str">
        <f>IF(I117="","",IF(#REF!&gt;0,TRUE,FALSE))</f>
        <v/>
      </c>
      <c r="AI117" s="40">
        <v>107</v>
      </c>
      <c r="AJ117" s="40"/>
      <c r="AK117" s="40" t="str">
        <f t="array" ref="AK117">IFERROR(INDEX($AI$11:$AI$259,MATCH(0,IF(TRUE=$AF$11:$AF$259,COUNTIF($AK$10:$AK116,$AI$11:$AI$259),""),0)),"")</f>
        <v/>
      </c>
      <c r="AL117" s="40" t="str">
        <f t="array" ref="AL117">IFERROR(INDEX($AI$11:$AI$259,MATCH(0,IF(TRUE=$AG$11:$AG$259,COUNTIF($AL$10:$AL116,$AI$11:$AI$259),""),0)),"")</f>
        <v/>
      </c>
      <c r="AM117" s="40" t="str">
        <f t="array" ref="AM117">IFERROR(INDEX($AI$11:$AI$259,MATCH(0,IF(TRUE=$AH$11:$AH$259,COUNTIF($AM$10:$AM116,$AI$11:$AI$259),""),0)),"")</f>
        <v/>
      </c>
      <c r="AN117" s="40"/>
      <c r="AQ117" s="35">
        <f t="shared" si="15"/>
        <v>0</v>
      </c>
      <c r="AT117" s="885" t="str">
        <f>IF(AND(OR(Y117="Yes",Y117="Pending"),P117='G-1 All Habitats'!$X$3),Q117-U117-V117,"")</f>
        <v/>
      </c>
      <c r="AV117" s="542" t="str">
        <f>IFERROR(INDEX('G-1 All Habitats'!$B$3:$B$135,MATCH(F117,'G-1 All Habitats'!$A$3:$A$135,0)),"")</f>
        <v/>
      </c>
      <c r="AW117" s="35" t="str">
        <f>IF(AV117="","",VLOOKUP(AV117,'G-1 All Habitats'!$B$1:$T$135,19,FALSE))</f>
        <v/>
      </c>
    </row>
    <row r="118" spans="1:49" ht="14.5" hidden="1" thickBot="1">
      <c r="A118" s="35" t="str">
        <f>IFERROR(INDEX('G-1 All Habitats'!$AG$3:$AG$17,MATCH(E118,'G-1 All Habitats'!$AF$3:$AF$17,0)),"")</f>
        <v/>
      </c>
      <c r="B118" s="35" t="str">
        <f>IFERROR(INDEX('G-8 Condition Look up'!$I$4:$I$135,MATCH(AV118,'G-8 Condition Look up'!$A$4:$A$135,0)),"")</f>
        <v/>
      </c>
      <c r="D118" s="225">
        <v>108</v>
      </c>
      <c r="E118" s="211"/>
      <c r="F118" s="57"/>
      <c r="G118" s="263"/>
      <c r="H118" s="51"/>
      <c r="I118" s="275" t="str">
        <f>IF(AV118="","",IF(AND(AW118="Yes",G118="No"),"Irreplaceable habitat ▲",IF(AND(AW118="No",G118="Yes"),"Cannot be Irreplaceable ▲",VLOOKUP(AV118,'G-1 All Habitats'!$B$2:$M$135,10,FALSE))))</f>
        <v/>
      </c>
      <c r="J118" s="276" t="str">
        <f>IFERROR(VLOOKUP(I118,'G-1 All Habitats'!$V$3:$W$7,2,FALSE),"")</f>
        <v/>
      </c>
      <c r="K118" s="52"/>
      <c r="L118" s="276" t="str">
        <f>IFERROR(INDEX('G-8 Condition Look up'!$A$3:$H$135,MATCH(AV118,'G-8 Condition Look up'!$A$3:$A$135,0),MATCH(K118,'G-8 Condition Look up'!$A$3:$H$3,0)),"")</f>
        <v/>
      </c>
      <c r="M118" s="52"/>
      <c r="N118" s="295" t="str">
        <f>IF(M118="","",IF(VLOOKUP(M118,'G-3 Multipliers'!$L$3:$N$6,2,FALSE)=0,"Spatial Data Missing",VLOOKUP(M118,'G-3 Multipliers'!$L$3:$N$6,2,FALSE)))</f>
        <v/>
      </c>
      <c r="O118" s="281" t="str">
        <f>IF(M118="","",IF(VLOOKUP(M118,'G-3 Multipliers'!$L$3:$N$6,3,FALSE)=0,"Spatial Data Missing ▲",VLOOKUP(M118,'G-3 Multipliers'!$L$3:$N$6,3,FALSE)))</f>
        <v/>
      </c>
      <c r="P118" s="282" t="str">
        <f>(IF(G118="Yes","Bespoke compensation likely to be required",(IFERROR(VLOOKUP(AV118,'G-1 All Habitats'!$B$2:$M$135,12,FALSE),""))))</f>
        <v/>
      </c>
      <c r="Q118" s="289" t="str">
        <f>IFERROR(IF(AND(F118&lt;&gt;"",G118=""),"Confirm irreplaceable habitat status ▲",(IF(AND(E118="Individual trees",T118&gt;0,G118="Yes"),"Error - you cannot enhance irreplaceable individual trees ▲",(IF(AND(U118="Irreplaceable habitat - no units generated ⚠",(S118+T118)&lt;H118,OR(Y118="No",Y118="")),"Any Loss Unacceptable ⚠",(IF(U118="Irreplaceable habitat - no units generated ⚠",T118*J118*L118*O118,IF(AND(P118='G-1 All Habitats'!$X$9,AC118&gt;0,S118&lt;=0,T118&lt;=0,OR(Y118="No",Y118="")),"Any Loss Unacceptable ⚠",IF(AND(P118='G-1 All Habitats'!$X$9,AC118&gt;0,S118&lt;=0,T118&lt;=0,Y118="Yes"),0,(IF(AND(P118='G-1 All Habitats'!$X$9,(S118+T118)&lt;H118,OR(Y118="No",Y118="")),"Any Loss Unacceptable ⚠",(IF(P118="","",IF(AND(P118='G-1 All Habitats'!$X$9,T118&gt;0),U118+V118,IF(AND(P118='G-1 All Habitats'!$X$9,S118&gt;0),U118+V118,H118*J118*L118*O118))))))))))))))),"Check Data ▲")</f>
        <v/>
      </c>
      <c r="R118" s="38"/>
      <c r="S118" s="52"/>
      <c r="T118" s="53"/>
      <c r="U118" s="287" t="str">
        <f t="shared" si="11"/>
        <v/>
      </c>
      <c r="V118" s="287" t="str">
        <f t="shared" si="12"/>
        <v/>
      </c>
      <c r="W118" s="287" t="str">
        <f t="shared" si="13"/>
        <v/>
      </c>
      <c r="X118" s="291" t="str">
        <f>IFERROR(IF(H118="","",IF(H118-S118-T118=0&lt;0,"Error in Areas ▲",IF(S118+T118&gt;H118,"Error in Areas ▲",IF(AND(P118='G-1 All Habitats'!$X$9,Y118="Yes"),"Alternative Compensation ✓",IF(AND(P118='G-1 All Habitats'!$X$3,Y118="Yes"),"Alternative Compensation ✓",IF(AND(Y118="Pending",P118='G-1 All Habitats'!$X$3),"Bespoke compensation must be agreed ▲",IF(AND(Y118="Pending",P118='G-1 All Habitats'!$X$9),"Bespoke compensation must be agreed  ▲",IF(W118=0,0,IF(P118='G-1 All Habitats'!$X$9,"Any Loss Unacceptable ▲",Q118-U118-V118))))))))),"Check Data ▲")</f>
        <v/>
      </c>
      <c r="Y118" s="53"/>
      <c r="Z118" s="105"/>
      <c r="AA118" s="233"/>
      <c r="AB118" s="104"/>
      <c r="AC118" s="512" t="str">
        <f>IF(OR(P118="",Y118="Yes"),"",IF(P118='G-1 All Habitats'!$X$9,H118-S118-T118,"None"))</f>
        <v/>
      </c>
      <c r="AD118" s="513" t="str">
        <f>IF(P118="","",IF(P118='G-1 All Habitats'!$X$9,AC118*J118*L118*O118,"None"))</f>
        <v/>
      </c>
      <c r="AE118" s="35" t="str">
        <f t="shared" si="9"/>
        <v/>
      </c>
      <c r="AF118" s="40" t="str">
        <f t="shared" si="14"/>
        <v/>
      </c>
      <c r="AG118" s="40" t="str">
        <f t="shared" si="10"/>
        <v/>
      </c>
      <c r="AH118" s="40" t="str">
        <f>IF(I118="","",IF(#REF!&gt;0,TRUE,FALSE))</f>
        <v/>
      </c>
      <c r="AI118" s="40">
        <v>108</v>
      </c>
      <c r="AJ118" s="40"/>
      <c r="AK118" s="40" t="str">
        <f t="array" ref="AK118">IFERROR(INDEX($AI$11:$AI$259,MATCH(0,IF(TRUE=$AF$11:$AF$259,COUNTIF($AK$10:$AK117,$AI$11:$AI$259),""),0)),"")</f>
        <v/>
      </c>
      <c r="AL118" s="40" t="str">
        <f t="array" ref="AL118">IFERROR(INDEX($AI$11:$AI$259,MATCH(0,IF(TRUE=$AG$11:$AG$259,COUNTIF($AL$10:$AL117,$AI$11:$AI$259),""),0)),"")</f>
        <v/>
      </c>
      <c r="AM118" s="40" t="str">
        <f t="array" ref="AM118">IFERROR(INDEX($AI$11:$AI$259,MATCH(0,IF(TRUE=$AH$11:$AH$259,COUNTIF($AM$10:$AM117,$AI$11:$AI$259),""),0)),"")</f>
        <v/>
      </c>
      <c r="AN118" s="40"/>
      <c r="AQ118" s="35">
        <f t="shared" si="15"/>
        <v>0</v>
      </c>
      <c r="AT118" s="885" t="str">
        <f>IF(AND(OR(Y118="Yes",Y118="Pending"),P118='G-1 All Habitats'!$X$3),Q118-U118-V118,"")</f>
        <v/>
      </c>
      <c r="AV118" s="542" t="str">
        <f>IFERROR(INDEX('G-1 All Habitats'!$B$3:$B$135,MATCH(F118,'G-1 All Habitats'!$A$3:$A$135,0)),"")</f>
        <v/>
      </c>
      <c r="AW118" s="35" t="str">
        <f>IF(AV118="","",VLOOKUP(AV118,'G-1 All Habitats'!$B$1:$T$135,19,FALSE))</f>
        <v/>
      </c>
    </row>
    <row r="119" spans="1:49" ht="14.5" hidden="1" thickBot="1">
      <c r="A119" s="35" t="str">
        <f>IFERROR(INDEX('G-1 All Habitats'!$AG$3:$AG$17,MATCH(E119,'G-1 All Habitats'!$AF$3:$AF$17,0)),"")</f>
        <v/>
      </c>
      <c r="B119" s="35" t="str">
        <f>IFERROR(INDEX('G-8 Condition Look up'!$I$4:$I$135,MATCH(AV119,'G-8 Condition Look up'!$A$4:$A$135,0)),"")</f>
        <v/>
      </c>
      <c r="D119" s="225">
        <v>109</v>
      </c>
      <c r="E119" s="211"/>
      <c r="F119" s="57"/>
      <c r="G119" s="263"/>
      <c r="H119" s="51"/>
      <c r="I119" s="275" t="str">
        <f>IF(AV119="","",IF(AND(AW119="Yes",G119="No"),"Irreplaceable habitat ▲",IF(AND(AW119="No",G119="Yes"),"Cannot be Irreplaceable ▲",VLOOKUP(AV119,'G-1 All Habitats'!$B$2:$M$135,10,FALSE))))</f>
        <v/>
      </c>
      <c r="J119" s="276" t="str">
        <f>IFERROR(VLOOKUP(I119,'G-1 All Habitats'!$V$3:$W$7,2,FALSE),"")</f>
        <v/>
      </c>
      <c r="K119" s="52"/>
      <c r="L119" s="276" t="str">
        <f>IFERROR(INDEX('G-8 Condition Look up'!$A$3:$H$135,MATCH(AV119,'G-8 Condition Look up'!$A$3:$A$135,0),MATCH(K119,'G-8 Condition Look up'!$A$3:$H$3,0)),"")</f>
        <v/>
      </c>
      <c r="M119" s="52"/>
      <c r="N119" s="295" t="str">
        <f>IF(M119="","",IF(VLOOKUP(M119,'G-3 Multipliers'!$L$3:$N$6,2,FALSE)=0,"Spatial Data Missing",VLOOKUP(M119,'G-3 Multipliers'!$L$3:$N$6,2,FALSE)))</f>
        <v/>
      </c>
      <c r="O119" s="281" t="str">
        <f>IF(M119="","",IF(VLOOKUP(M119,'G-3 Multipliers'!$L$3:$N$6,3,FALSE)=0,"Spatial Data Missing ▲",VLOOKUP(M119,'G-3 Multipliers'!$L$3:$N$6,3,FALSE)))</f>
        <v/>
      </c>
      <c r="P119" s="282" t="str">
        <f>(IF(G119="Yes","Bespoke compensation likely to be required",(IFERROR(VLOOKUP(AV119,'G-1 All Habitats'!$B$2:$M$135,12,FALSE),""))))</f>
        <v/>
      </c>
      <c r="Q119" s="289" t="str">
        <f>IFERROR(IF(AND(F119&lt;&gt;"",G119=""),"Confirm irreplaceable habitat status ▲",(IF(AND(E119="Individual trees",T119&gt;0,G119="Yes"),"Error - you cannot enhance irreplaceable individual trees ▲",(IF(AND(U119="Irreplaceable habitat - no units generated ⚠",(S119+T119)&lt;H119,OR(Y119="No",Y119="")),"Any Loss Unacceptable ⚠",(IF(U119="Irreplaceable habitat - no units generated ⚠",T119*J119*L119*O119,IF(AND(P119='G-1 All Habitats'!$X$9,AC119&gt;0,S119&lt;=0,T119&lt;=0,OR(Y119="No",Y119="")),"Any Loss Unacceptable ⚠",IF(AND(P119='G-1 All Habitats'!$X$9,AC119&gt;0,S119&lt;=0,T119&lt;=0,Y119="Yes"),0,(IF(AND(P119='G-1 All Habitats'!$X$9,(S119+T119)&lt;H119,OR(Y119="No",Y119="")),"Any Loss Unacceptable ⚠",(IF(P119="","",IF(AND(P119='G-1 All Habitats'!$X$9,T119&gt;0),U119+V119,IF(AND(P119='G-1 All Habitats'!$X$9,S119&gt;0),U119+V119,H119*J119*L119*O119))))))))))))))),"Check Data ▲")</f>
        <v/>
      </c>
      <c r="R119" s="38"/>
      <c r="S119" s="52"/>
      <c r="T119" s="53"/>
      <c r="U119" s="287" t="str">
        <f t="shared" si="11"/>
        <v/>
      </c>
      <c r="V119" s="287" t="str">
        <f t="shared" si="12"/>
        <v/>
      </c>
      <c r="W119" s="287" t="str">
        <f t="shared" si="13"/>
        <v/>
      </c>
      <c r="X119" s="291" t="str">
        <f>IFERROR(IF(H119="","",IF(H119-S119-T119=0&lt;0,"Error in Areas ▲",IF(S119+T119&gt;H119,"Error in Areas ▲",IF(AND(P119='G-1 All Habitats'!$X$9,Y119="Yes"),"Alternative Compensation ✓",IF(AND(P119='G-1 All Habitats'!$X$3,Y119="Yes"),"Alternative Compensation ✓",IF(AND(Y119="Pending",P119='G-1 All Habitats'!$X$3),"Bespoke compensation must be agreed ▲",IF(AND(Y119="Pending",P119='G-1 All Habitats'!$X$9),"Bespoke compensation must be agreed  ▲",IF(W119=0,0,IF(P119='G-1 All Habitats'!$X$9,"Any Loss Unacceptable ▲",Q119-U119-V119))))))))),"Check Data ▲")</f>
        <v/>
      </c>
      <c r="Y119" s="53"/>
      <c r="Z119" s="105"/>
      <c r="AA119" s="233"/>
      <c r="AB119" s="104"/>
      <c r="AC119" s="512" t="str">
        <f>IF(OR(P119="",Y119="Yes"),"",IF(P119='G-1 All Habitats'!$X$9,H119-S119-T119,"None"))</f>
        <v/>
      </c>
      <c r="AD119" s="513" t="str">
        <f>IF(P119="","",IF(P119='G-1 All Habitats'!$X$9,AC119*J119*L119*O119,"None"))</f>
        <v/>
      </c>
      <c r="AE119" s="35" t="str">
        <f t="shared" si="9"/>
        <v/>
      </c>
      <c r="AF119" s="40" t="str">
        <f t="shared" si="14"/>
        <v/>
      </c>
      <c r="AG119" s="40" t="str">
        <f t="shared" si="10"/>
        <v/>
      </c>
      <c r="AH119" s="40" t="str">
        <f>IF(I119="","",IF(#REF!&gt;0,TRUE,FALSE))</f>
        <v/>
      </c>
      <c r="AI119" s="40">
        <v>109</v>
      </c>
      <c r="AJ119" s="40"/>
      <c r="AK119" s="40" t="str">
        <f t="array" ref="AK119">IFERROR(INDEX($AI$11:$AI$259,MATCH(0,IF(TRUE=$AF$11:$AF$259,COUNTIF($AK$10:$AK118,$AI$11:$AI$259),""),0)),"")</f>
        <v/>
      </c>
      <c r="AL119" s="40" t="str">
        <f t="array" ref="AL119">IFERROR(INDEX($AI$11:$AI$259,MATCH(0,IF(TRUE=$AG$11:$AG$259,COUNTIF($AL$10:$AL118,$AI$11:$AI$259),""),0)),"")</f>
        <v/>
      </c>
      <c r="AM119" s="40" t="str">
        <f t="array" ref="AM119">IFERROR(INDEX($AI$11:$AI$259,MATCH(0,IF(TRUE=$AH$11:$AH$259,COUNTIF($AM$10:$AM118,$AI$11:$AI$259),""),0)),"")</f>
        <v/>
      </c>
      <c r="AN119" s="40"/>
      <c r="AQ119" s="35">
        <f t="shared" si="15"/>
        <v>0</v>
      </c>
      <c r="AT119" s="885" t="str">
        <f>IF(AND(OR(Y119="Yes",Y119="Pending"),P119='G-1 All Habitats'!$X$3),Q119-U119-V119,"")</f>
        <v/>
      </c>
      <c r="AV119" s="542" t="str">
        <f>IFERROR(INDEX('G-1 All Habitats'!$B$3:$B$135,MATCH(F119,'G-1 All Habitats'!$A$3:$A$135,0)),"")</f>
        <v/>
      </c>
      <c r="AW119" s="35" t="str">
        <f>IF(AV119="","",VLOOKUP(AV119,'G-1 All Habitats'!$B$1:$T$135,19,FALSE))</f>
        <v/>
      </c>
    </row>
    <row r="120" spans="1:49" ht="14.5" hidden="1" thickBot="1">
      <c r="A120" s="35" t="str">
        <f>IFERROR(INDEX('G-1 All Habitats'!$AG$3:$AG$17,MATCH(E120,'G-1 All Habitats'!$AF$3:$AF$17,0)),"")</f>
        <v/>
      </c>
      <c r="B120" s="35" t="str">
        <f>IFERROR(INDEX('G-8 Condition Look up'!$I$4:$I$135,MATCH(AV120,'G-8 Condition Look up'!$A$4:$A$135,0)),"")</f>
        <v/>
      </c>
      <c r="D120" s="225">
        <v>110</v>
      </c>
      <c r="E120" s="211"/>
      <c r="F120" s="57"/>
      <c r="G120" s="263"/>
      <c r="H120" s="51"/>
      <c r="I120" s="275" t="str">
        <f>IF(AV120="","",IF(AND(AW120="Yes",G120="No"),"Irreplaceable habitat ▲",IF(AND(AW120="No",G120="Yes"),"Cannot be Irreplaceable ▲",VLOOKUP(AV120,'G-1 All Habitats'!$B$2:$M$135,10,FALSE))))</f>
        <v/>
      </c>
      <c r="J120" s="276" t="str">
        <f>IFERROR(VLOOKUP(I120,'G-1 All Habitats'!$V$3:$W$7,2,FALSE),"")</f>
        <v/>
      </c>
      <c r="K120" s="52"/>
      <c r="L120" s="276" t="str">
        <f>IFERROR(INDEX('G-8 Condition Look up'!$A$3:$H$135,MATCH(AV120,'G-8 Condition Look up'!$A$3:$A$135,0),MATCH(K120,'G-8 Condition Look up'!$A$3:$H$3,0)),"")</f>
        <v/>
      </c>
      <c r="M120" s="52"/>
      <c r="N120" s="295" t="str">
        <f>IF(M120="","",IF(VLOOKUP(M120,'G-3 Multipliers'!$L$3:$N$6,2,FALSE)=0,"Spatial Data Missing",VLOOKUP(M120,'G-3 Multipliers'!$L$3:$N$6,2,FALSE)))</f>
        <v/>
      </c>
      <c r="O120" s="281" t="str">
        <f>IF(M120="","",IF(VLOOKUP(M120,'G-3 Multipliers'!$L$3:$N$6,3,FALSE)=0,"Spatial Data Missing ▲",VLOOKUP(M120,'G-3 Multipliers'!$L$3:$N$6,3,FALSE)))</f>
        <v/>
      </c>
      <c r="P120" s="282" t="str">
        <f>(IF(G120="Yes","Bespoke compensation likely to be required",(IFERROR(VLOOKUP(AV120,'G-1 All Habitats'!$B$2:$M$135,12,FALSE),""))))</f>
        <v/>
      </c>
      <c r="Q120" s="289" t="str">
        <f>IFERROR(IF(AND(F120&lt;&gt;"",G120=""),"Confirm irreplaceable habitat status ▲",(IF(AND(E120="Individual trees",T120&gt;0,G120="Yes"),"Error - you cannot enhance irreplaceable individual trees ▲",(IF(AND(U120="Irreplaceable habitat - no units generated ⚠",(S120+T120)&lt;H120,OR(Y120="No",Y120="")),"Any Loss Unacceptable ⚠",(IF(U120="Irreplaceable habitat - no units generated ⚠",T120*J120*L120*O120,IF(AND(P120='G-1 All Habitats'!$X$9,AC120&gt;0,S120&lt;=0,T120&lt;=0,OR(Y120="No",Y120="")),"Any Loss Unacceptable ⚠",IF(AND(P120='G-1 All Habitats'!$X$9,AC120&gt;0,S120&lt;=0,T120&lt;=0,Y120="Yes"),0,(IF(AND(P120='G-1 All Habitats'!$X$9,(S120+T120)&lt;H120,OR(Y120="No",Y120="")),"Any Loss Unacceptable ⚠",(IF(P120="","",IF(AND(P120='G-1 All Habitats'!$X$9,T120&gt;0),U120+V120,IF(AND(P120='G-1 All Habitats'!$X$9,S120&gt;0),U120+V120,H120*J120*L120*O120))))))))))))))),"Check Data ▲")</f>
        <v/>
      </c>
      <c r="R120" s="38"/>
      <c r="S120" s="52"/>
      <c r="T120" s="53"/>
      <c r="U120" s="287" t="str">
        <f t="shared" si="11"/>
        <v/>
      </c>
      <c r="V120" s="287" t="str">
        <f t="shared" si="12"/>
        <v/>
      </c>
      <c r="W120" s="287" t="str">
        <f t="shared" si="13"/>
        <v/>
      </c>
      <c r="X120" s="291" t="str">
        <f>IFERROR(IF(H120="","",IF(H120-S120-T120=0&lt;0,"Error in Areas ▲",IF(S120+T120&gt;H120,"Error in Areas ▲",IF(AND(P120='G-1 All Habitats'!$X$9,Y120="Yes"),"Alternative Compensation ✓",IF(AND(P120='G-1 All Habitats'!$X$3,Y120="Yes"),"Alternative Compensation ✓",IF(AND(Y120="Pending",P120='G-1 All Habitats'!$X$3),"Bespoke compensation must be agreed ▲",IF(AND(Y120="Pending",P120='G-1 All Habitats'!$X$9),"Bespoke compensation must be agreed  ▲",IF(W120=0,0,IF(P120='G-1 All Habitats'!$X$9,"Any Loss Unacceptable ▲",Q120-U120-V120))))))))),"Check Data ▲")</f>
        <v/>
      </c>
      <c r="Y120" s="53"/>
      <c r="Z120" s="105"/>
      <c r="AA120" s="233"/>
      <c r="AB120" s="104"/>
      <c r="AC120" s="512" t="str">
        <f>IF(OR(P120="",Y120="Yes"),"",IF(P120='G-1 All Habitats'!$X$9,H120-S120-T120,"None"))</f>
        <v/>
      </c>
      <c r="AD120" s="513" t="str">
        <f>IF(P120="","",IF(P120='G-1 All Habitats'!$X$9,AC120*J120*L120*O120,"None"))</f>
        <v/>
      </c>
      <c r="AE120" s="35" t="str">
        <f t="shared" si="9"/>
        <v/>
      </c>
      <c r="AF120" s="40" t="str">
        <f t="shared" si="14"/>
        <v/>
      </c>
      <c r="AG120" s="40" t="str">
        <f t="shared" si="10"/>
        <v/>
      </c>
      <c r="AH120" s="40" t="str">
        <f>IF(I120="","",IF(#REF!&gt;0,TRUE,FALSE))</f>
        <v/>
      </c>
      <c r="AI120" s="40">
        <v>110</v>
      </c>
      <c r="AJ120" s="40"/>
      <c r="AK120" s="40" t="str">
        <f t="array" ref="AK120">IFERROR(INDEX($AI$11:$AI$259,MATCH(0,IF(TRUE=$AF$11:$AF$259,COUNTIF($AK$10:$AK119,$AI$11:$AI$259),""),0)),"")</f>
        <v/>
      </c>
      <c r="AL120" s="40" t="str">
        <f t="array" ref="AL120">IFERROR(INDEX($AI$11:$AI$259,MATCH(0,IF(TRUE=$AG$11:$AG$259,COUNTIF($AL$10:$AL119,$AI$11:$AI$259),""),0)),"")</f>
        <v/>
      </c>
      <c r="AM120" s="40" t="str">
        <f t="array" ref="AM120">IFERROR(INDEX($AI$11:$AI$259,MATCH(0,IF(TRUE=$AH$11:$AH$259,COUNTIF($AM$10:$AM119,$AI$11:$AI$259),""),0)),"")</f>
        <v/>
      </c>
      <c r="AN120" s="40"/>
      <c r="AQ120" s="35">
        <f t="shared" si="15"/>
        <v>0</v>
      </c>
      <c r="AT120" s="885" t="str">
        <f>IF(AND(OR(Y120="Yes",Y120="Pending"),P120='G-1 All Habitats'!$X$3),Q120-U120-V120,"")</f>
        <v/>
      </c>
      <c r="AV120" s="542" t="str">
        <f>IFERROR(INDEX('G-1 All Habitats'!$B$3:$B$135,MATCH(F120,'G-1 All Habitats'!$A$3:$A$135,0)),"")</f>
        <v/>
      </c>
      <c r="AW120" s="35" t="str">
        <f>IF(AV120="","",VLOOKUP(AV120,'G-1 All Habitats'!$B$1:$T$135,19,FALSE))</f>
        <v/>
      </c>
    </row>
    <row r="121" spans="1:49" ht="14.5" hidden="1" thickBot="1">
      <c r="A121" s="35" t="str">
        <f>IFERROR(INDEX('G-1 All Habitats'!$AG$3:$AG$17,MATCH(E121,'G-1 All Habitats'!$AF$3:$AF$17,0)),"")</f>
        <v/>
      </c>
      <c r="B121" s="35" t="str">
        <f>IFERROR(INDEX('G-8 Condition Look up'!$I$4:$I$135,MATCH(AV121,'G-8 Condition Look up'!$A$4:$A$135,0)),"")</f>
        <v/>
      </c>
      <c r="D121" s="225">
        <v>111</v>
      </c>
      <c r="E121" s="211"/>
      <c r="F121" s="57"/>
      <c r="G121" s="263"/>
      <c r="H121" s="51"/>
      <c r="I121" s="275" t="str">
        <f>IF(AV121="","",IF(AND(AW121="Yes",G121="No"),"Irreplaceable habitat ▲",IF(AND(AW121="No",G121="Yes"),"Cannot be Irreplaceable ▲",VLOOKUP(AV121,'G-1 All Habitats'!$B$2:$M$135,10,FALSE))))</f>
        <v/>
      </c>
      <c r="J121" s="276" t="str">
        <f>IFERROR(VLOOKUP(I121,'G-1 All Habitats'!$V$3:$W$7,2,FALSE),"")</f>
        <v/>
      </c>
      <c r="K121" s="52"/>
      <c r="L121" s="276" t="str">
        <f>IFERROR(INDEX('G-8 Condition Look up'!$A$3:$H$135,MATCH(AV121,'G-8 Condition Look up'!$A$3:$A$135,0),MATCH(K121,'G-8 Condition Look up'!$A$3:$H$3,0)),"")</f>
        <v/>
      </c>
      <c r="M121" s="52"/>
      <c r="N121" s="295" t="str">
        <f>IF(M121="","",IF(VLOOKUP(M121,'G-3 Multipliers'!$L$3:$N$6,2,FALSE)=0,"Spatial Data Missing",VLOOKUP(M121,'G-3 Multipliers'!$L$3:$N$6,2,FALSE)))</f>
        <v/>
      </c>
      <c r="O121" s="281" t="str">
        <f>IF(M121="","",IF(VLOOKUP(M121,'G-3 Multipliers'!$L$3:$N$6,3,FALSE)=0,"Spatial Data Missing ▲",VLOOKUP(M121,'G-3 Multipliers'!$L$3:$N$6,3,FALSE)))</f>
        <v/>
      </c>
      <c r="P121" s="282" t="str">
        <f>(IF(G121="Yes","Bespoke compensation likely to be required",(IFERROR(VLOOKUP(AV121,'G-1 All Habitats'!$B$2:$M$135,12,FALSE),""))))</f>
        <v/>
      </c>
      <c r="Q121" s="289" t="str">
        <f>IFERROR(IF(AND(F121&lt;&gt;"",G121=""),"Confirm irreplaceable habitat status ▲",(IF(AND(E121="Individual trees",T121&gt;0,G121="Yes"),"Error - you cannot enhance irreplaceable individual trees ▲",(IF(AND(U121="Irreplaceable habitat - no units generated ⚠",(S121+T121)&lt;H121,OR(Y121="No",Y121="")),"Any Loss Unacceptable ⚠",(IF(U121="Irreplaceable habitat - no units generated ⚠",T121*J121*L121*O121,IF(AND(P121='G-1 All Habitats'!$X$9,AC121&gt;0,S121&lt;=0,T121&lt;=0,OR(Y121="No",Y121="")),"Any Loss Unacceptable ⚠",IF(AND(P121='G-1 All Habitats'!$X$9,AC121&gt;0,S121&lt;=0,T121&lt;=0,Y121="Yes"),0,(IF(AND(P121='G-1 All Habitats'!$X$9,(S121+T121)&lt;H121,OR(Y121="No",Y121="")),"Any Loss Unacceptable ⚠",(IF(P121="","",IF(AND(P121='G-1 All Habitats'!$X$9,T121&gt;0),U121+V121,IF(AND(P121='G-1 All Habitats'!$X$9,S121&gt;0),U121+V121,H121*J121*L121*O121))))))))))))))),"Check Data ▲")</f>
        <v/>
      </c>
      <c r="R121" s="38"/>
      <c r="S121" s="52"/>
      <c r="T121" s="53"/>
      <c r="U121" s="287" t="str">
        <f t="shared" si="11"/>
        <v/>
      </c>
      <c r="V121" s="287" t="str">
        <f t="shared" si="12"/>
        <v/>
      </c>
      <c r="W121" s="287" t="str">
        <f t="shared" si="13"/>
        <v/>
      </c>
      <c r="X121" s="291" t="str">
        <f>IFERROR(IF(H121="","",IF(H121-S121-T121=0&lt;0,"Error in Areas ▲",IF(S121+T121&gt;H121,"Error in Areas ▲",IF(AND(P121='G-1 All Habitats'!$X$9,Y121="Yes"),"Alternative Compensation ✓",IF(AND(P121='G-1 All Habitats'!$X$3,Y121="Yes"),"Alternative Compensation ✓",IF(AND(Y121="Pending",P121='G-1 All Habitats'!$X$3),"Bespoke compensation must be agreed ▲",IF(AND(Y121="Pending",P121='G-1 All Habitats'!$X$9),"Bespoke compensation must be agreed  ▲",IF(W121=0,0,IF(P121='G-1 All Habitats'!$X$9,"Any Loss Unacceptable ▲",Q121-U121-V121))))))))),"Check Data ▲")</f>
        <v/>
      </c>
      <c r="Y121" s="53"/>
      <c r="Z121" s="105"/>
      <c r="AA121" s="233"/>
      <c r="AB121" s="104"/>
      <c r="AC121" s="512" t="str">
        <f>IF(OR(P121="",Y121="Yes"),"",IF(P121='G-1 All Habitats'!$X$9,H121-S121-T121,"None"))</f>
        <v/>
      </c>
      <c r="AD121" s="513" t="str">
        <f>IF(P121="","",IF(P121='G-1 All Habitats'!$X$9,AC121*J121*L121*O121,"None"))</f>
        <v/>
      </c>
      <c r="AE121" s="35" t="str">
        <f t="shared" si="9"/>
        <v/>
      </c>
      <c r="AF121" s="40" t="str">
        <f t="shared" si="14"/>
        <v/>
      </c>
      <c r="AG121" s="40" t="str">
        <f t="shared" si="10"/>
        <v/>
      </c>
      <c r="AH121" s="40" t="str">
        <f>IF(I121="","",IF(#REF!&gt;0,TRUE,FALSE))</f>
        <v/>
      </c>
      <c r="AI121" s="40">
        <v>111</v>
      </c>
      <c r="AJ121" s="40"/>
      <c r="AK121" s="40" t="str">
        <f t="array" ref="AK121">IFERROR(INDEX($AI$11:$AI$259,MATCH(0,IF(TRUE=$AF$11:$AF$259,COUNTIF($AK$10:$AK120,$AI$11:$AI$259),""),0)),"")</f>
        <v/>
      </c>
      <c r="AL121" s="40" t="str">
        <f t="array" ref="AL121">IFERROR(INDEX($AI$11:$AI$259,MATCH(0,IF(TRUE=$AG$11:$AG$259,COUNTIF($AL$10:$AL120,$AI$11:$AI$259),""),0)),"")</f>
        <v/>
      </c>
      <c r="AM121" s="40" t="str">
        <f t="array" ref="AM121">IFERROR(INDEX($AI$11:$AI$259,MATCH(0,IF(TRUE=$AH$11:$AH$259,COUNTIF($AM$10:$AM120,$AI$11:$AI$259),""),0)),"")</f>
        <v/>
      </c>
      <c r="AN121" s="40"/>
      <c r="AQ121" s="35">
        <f t="shared" si="15"/>
        <v>0</v>
      </c>
      <c r="AT121" s="885" t="str">
        <f>IF(AND(OR(Y121="Yes",Y121="Pending"),P121='G-1 All Habitats'!$X$3),Q121-U121-V121,"")</f>
        <v/>
      </c>
      <c r="AV121" s="542" t="str">
        <f>IFERROR(INDEX('G-1 All Habitats'!$B$3:$B$135,MATCH(F121,'G-1 All Habitats'!$A$3:$A$135,0)),"")</f>
        <v/>
      </c>
      <c r="AW121" s="35" t="str">
        <f>IF(AV121="","",VLOOKUP(AV121,'G-1 All Habitats'!$B$1:$T$135,19,FALSE))</f>
        <v/>
      </c>
    </row>
    <row r="122" spans="1:49" ht="14.5" hidden="1" thickBot="1">
      <c r="A122" s="35" t="str">
        <f>IFERROR(INDEX('G-1 All Habitats'!$AG$3:$AG$17,MATCH(E122,'G-1 All Habitats'!$AF$3:$AF$17,0)),"")</f>
        <v/>
      </c>
      <c r="B122" s="35" t="str">
        <f>IFERROR(INDEX('G-8 Condition Look up'!$I$4:$I$135,MATCH(AV122,'G-8 Condition Look up'!$A$4:$A$135,0)),"")</f>
        <v/>
      </c>
      <c r="D122" s="225">
        <v>112</v>
      </c>
      <c r="E122" s="211"/>
      <c r="F122" s="57"/>
      <c r="G122" s="263"/>
      <c r="H122" s="51"/>
      <c r="I122" s="275" t="str">
        <f>IF(AV122="","",IF(AND(AW122="Yes",G122="No"),"Irreplaceable habitat ▲",IF(AND(AW122="No",G122="Yes"),"Cannot be Irreplaceable ▲",VLOOKUP(AV122,'G-1 All Habitats'!$B$2:$M$135,10,FALSE))))</f>
        <v/>
      </c>
      <c r="J122" s="276" t="str">
        <f>IFERROR(VLOOKUP(I122,'G-1 All Habitats'!$V$3:$W$7,2,FALSE),"")</f>
        <v/>
      </c>
      <c r="K122" s="52"/>
      <c r="L122" s="276" t="str">
        <f>IFERROR(INDEX('G-8 Condition Look up'!$A$3:$H$135,MATCH(AV122,'G-8 Condition Look up'!$A$3:$A$135,0),MATCH(K122,'G-8 Condition Look up'!$A$3:$H$3,0)),"")</f>
        <v/>
      </c>
      <c r="M122" s="52"/>
      <c r="N122" s="295" t="str">
        <f>IF(M122="","",IF(VLOOKUP(M122,'G-3 Multipliers'!$L$3:$N$6,2,FALSE)=0,"Spatial Data Missing",VLOOKUP(M122,'G-3 Multipliers'!$L$3:$N$6,2,FALSE)))</f>
        <v/>
      </c>
      <c r="O122" s="281" t="str">
        <f>IF(M122="","",IF(VLOOKUP(M122,'G-3 Multipliers'!$L$3:$N$6,3,FALSE)=0,"Spatial Data Missing ▲",VLOOKUP(M122,'G-3 Multipliers'!$L$3:$N$6,3,FALSE)))</f>
        <v/>
      </c>
      <c r="P122" s="282" t="str">
        <f>(IF(G122="Yes","Bespoke compensation likely to be required",(IFERROR(VLOOKUP(AV122,'G-1 All Habitats'!$B$2:$M$135,12,FALSE),""))))</f>
        <v/>
      </c>
      <c r="Q122" s="289" t="str">
        <f>IFERROR(IF(AND(F122&lt;&gt;"",G122=""),"Confirm irreplaceable habitat status ▲",(IF(AND(E122="Individual trees",T122&gt;0,G122="Yes"),"Error - you cannot enhance irreplaceable individual trees ▲",(IF(AND(U122="Irreplaceable habitat - no units generated ⚠",(S122+T122)&lt;H122,OR(Y122="No",Y122="")),"Any Loss Unacceptable ⚠",(IF(U122="Irreplaceable habitat - no units generated ⚠",T122*J122*L122*O122,IF(AND(P122='G-1 All Habitats'!$X$9,AC122&gt;0,S122&lt;=0,T122&lt;=0,OR(Y122="No",Y122="")),"Any Loss Unacceptable ⚠",IF(AND(P122='G-1 All Habitats'!$X$9,AC122&gt;0,S122&lt;=0,T122&lt;=0,Y122="Yes"),0,(IF(AND(P122='G-1 All Habitats'!$X$9,(S122+T122)&lt;H122,OR(Y122="No",Y122="")),"Any Loss Unacceptable ⚠",(IF(P122="","",IF(AND(P122='G-1 All Habitats'!$X$9,T122&gt;0),U122+V122,IF(AND(P122='G-1 All Habitats'!$X$9,S122&gt;0),U122+V122,H122*J122*L122*O122))))))))))))))),"Check Data ▲")</f>
        <v/>
      </c>
      <c r="R122" s="38"/>
      <c r="S122" s="52"/>
      <c r="T122" s="53"/>
      <c r="U122" s="287" t="str">
        <f t="shared" si="11"/>
        <v/>
      </c>
      <c r="V122" s="287" t="str">
        <f t="shared" si="12"/>
        <v/>
      </c>
      <c r="W122" s="287" t="str">
        <f t="shared" si="13"/>
        <v/>
      </c>
      <c r="X122" s="291" t="str">
        <f>IFERROR(IF(H122="","",IF(H122-S122-T122=0&lt;0,"Error in Areas ▲",IF(S122+T122&gt;H122,"Error in Areas ▲",IF(AND(P122='G-1 All Habitats'!$X$9,Y122="Yes"),"Alternative Compensation ✓",IF(AND(P122='G-1 All Habitats'!$X$3,Y122="Yes"),"Alternative Compensation ✓",IF(AND(Y122="Pending",P122='G-1 All Habitats'!$X$3),"Bespoke compensation must be agreed ▲",IF(AND(Y122="Pending",P122='G-1 All Habitats'!$X$9),"Bespoke compensation must be agreed  ▲",IF(W122=0,0,IF(P122='G-1 All Habitats'!$X$9,"Any Loss Unacceptable ▲",Q122-U122-V122))))))))),"Check Data ▲")</f>
        <v/>
      </c>
      <c r="Y122" s="53"/>
      <c r="Z122" s="105"/>
      <c r="AA122" s="233"/>
      <c r="AB122" s="104"/>
      <c r="AC122" s="512" t="str">
        <f>IF(OR(P122="",Y122="Yes"),"",IF(P122='G-1 All Habitats'!$X$9,H122-S122-T122,"None"))</f>
        <v/>
      </c>
      <c r="AD122" s="513" t="str">
        <f>IF(P122="","",IF(P122='G-1 All Habitats'!$X$9,AC122*J122*L122*O122,"None"))</f>
        <v/>
      </c>
      <c r="AE122" s="35" t="str">
        <f t="shared" si="9"/>
        <v/>
      </c>
      <c r="AF122" s="40" t="str">
        <f t="shared" si="14"/>
        <v/>
      </c>
      <c r="AG122" s="40" t="str">
        <f t="shared" si="10"/>
        <v/>
      </c>
      <c r="AH122" s="40" t="str">
        <f>IF(I122="","",IF(#REF!&gt;0,TRUE,FALSE))</f>
        <v/>
      </c>
      <c r="AI122" s="40">
        <v>112</v>
      </c>
      <c r="AJ122" s="40"/>
      <c r="AK122" s="40" t="str">
        <f t="array" ref="AK122">IFERROR(INDEX($AI$11:$AI$259,MATCH(0,IF(TRUE=$AF$11:$AF$259,COUNTIF($AK$10:$AK121,$AI$11:$AI$259),""),0)),"")</f>
        <v/>
      </c>
      <c r="AL122" s="40" t="str">
        <f t="array" ref="AL122">IFERROR(INDEX($AI$11:$AI$259,MATCH(0,IF(TRUE=$AG$11:$AG$259,COUNTIF($AL$10:$AL121,$AI$11:$AI$259),""),0)),"")</f>
        <v/>
      </c>
      <c r="AM122" s="40" t="str">
        <f t="array" ref="AM122">IFERROR(INDEX($AI$11:$AI$259,MATCH(0,IF(TRUE=$AH$11:$AH$259,COUNTIF($AM$10:$AM121,$AI$11:$AI$259),""),0)),"")</f>
        <v/>
      </c>
      <c r="AN122" s="40"/>
      <c r="AQ122" s="35">
        <f t="shared" si="15"/>
        <v>0</v>
      </c>
      <c r="AT122" s="885" t="str">
        <f>IF(AND(OR(Y122="Yes",Y122="Pending"),P122='G-1 All Habitats'!$X$3),Q122-U122-V122,"")</f>
        <v/>
      </c>
      <c r="AV122" s="542" t="str">
        <f>IFERROR(INDEX('G-1 All Habitats'!$B$3:$B$135,MATCH(F122,'G-1 All Habitats'!$A$3:$A$135,0)),"")</f>
        <v/>
      </c>
      <c r="AW122" s="35" t="str">
        <f>IF(AV122="","",VLOOKUP(AV122,'G-1 All Habitats'!$B$1:$T$135,19,FALSE))</f>
        <v/>
      </c>
    </row>
    <row r="123" spans="1:49" ht="14.5" hidden="1" thickBot="1">
      <c r="A123" s="35" t="str">
        <f>IFERROR(INDEX('G-1 All Habitats'!$AG$3:$AG$17,MATCH(E123,'G-1 All Habitats'!$AF$3:$AF$17,0)),"")</f>
        <v/>
      </c>
      <c r="B123" s="35" t="str">
        <f>IFERROR(INDEX('G-8 Condition Look up'!$I$4:$I$135,MATCH(AV123,'G-8 Condition Look up'!$A$4:$A$135,0)),"")</f>
        <v/>
      </c>
      <c r="D123" s="225">
        <v>113</v>
      </c>
      <c r="E123" s="211"/>
      <c r="F123" s="57"/>
      <c r="G123" s="263"/>
      <c r="H123" s="51"/>
      <c r="I123" s="275" t="str">
        <f>IF(AV123="","",IF(AND(AW123="Yes",G123="No"),"Irreplaceable habitat ▲",IF(AND(AW123="No",G123="Yes"),"Cannot be Irreplaceable ▲",VLOOKUP(AV123,'G-1 All Habitats'!$B$2:$M$135,10,FALSE))))</f>
        <v/>
      </c>
      <c r="J123" s="276" t="str">
        <f>IFERROR(VLOOKUP(I123,'G-1 All Habitats'!$V$3:$W$7,2,FALSE),"")</f>
        <v/>
      </c>
      <c r="K123" s="52"/>
      <c r="L123" s="276" t="str">
        <f>IFERROR(INDEX('G-8 Condition Look up'!$A$3:$H$135,MATCH(AV123,'G-8 Condition Look up'!$A$3:$A$135,0),MATCH(K123,'G-8 Condition Look up'!$A$3:$H$3,0)),"")</f>
        <v/>
      </c>
      <c r="M123" s="52"/>
      <c r="N123" s="295" t="str">
        <f>IF(M123="","",IF(VLOOKUP(M123,'G-3 Multipliers'!$L$3:$N$6,2,FALSE)=0,"Spatial Data Missing",VLOOKUP(M123,'G-3 Multipliers'!$L$3:$N$6,2,FALSE)))</f>
        <v/>
      </c>
      <c r="O123" s="281" t="str">
        <f>IF(M123="","",IF(VLOOKUP(M123,'G-3 Multipliers'!$L$3:$N$6,3,FALSE)=0,"Spatial Data Missing ▲",VLOOKUP(M123,'G-3 Multipliers'!$L$3:$N$6,3,FALSE)))</f>
        <v/>
      </c>
      <c r="P123" s="282" t="str">
        <f>(IF(G123="Yes","Bespoke compensation likely to be required",(IFERROR(VLOOKUP(AV123,'G-1 All Habitats'!$B$2:$M$135,12,FALSE),""))))</f>
        <v/>
      </c>
      <c r="Q123" s="289" t="str">
        <f>IFERROR(IF(AND(F123&lt;&gt;"",G123=""),"Confirm irreplaceable habitat status ▲",(IF(AND(E123="Individual trees",T123&gt;0,G123="Yes"),"Error - you cannot enhance irreplaceable individual trees ▲",(IF(AND(U123="Irreplaceable habitat - no units generated ⚠",(S123+T123)&lt;H123,OR(Y123="No",Y123="")),"Any Loss Unacceptable ⚠",(IF(U123="Irreplaceable habitat - no units generated ⚠",T123*J123*L123*O123,IF(AND(P123='G-1 All Habitats'!$X$9,AC123&gt;0,S123&lt;=0,T123&lt;=0,OR(Y123="No",Y123="")),"Any Loss Unacceptable ⚠",IF(AND(P123='G-1 All Habitats'!$X$9,AC123&gt;0,S123&lt;=0,T123&lt;=0,Y123="Yes"),0,(IF(AND(P123='G-1 All Habitats'!$X$9,(S123+T123)&lt;H123,OR(Y123="No",Y123="")),"Any Loss Unacceptable ⚠",(IF(P123="","",IF(AND(P123='G-1 All Habitats'!$X$9,T123&gt;0),U123+V123,IF(AND(P123='G-1 All Habitats'!$X$9,S123&gt;0),U123+V123,H123*J123*L123*O123))))))))))))))),"Check Data ▲")</f>
        <v/>
      </c>
      <c r="R123" s="38"/>
      <c r="S123" s="52"/>
      <c r="T123" s="53"/>
      <c r="U123" s="287" t="str">
        <f t="shared" si="11"/>
        <v/>
      </c>
      <c r="V123" s="287" t="str">
        <f t="shared" si="12"/>
        <v/>
      </c>
      <c r="W123" s="287" t="str">
        <f t="shared" si="13"/>
        <v/>
      </c>
      <c r="X123" s="291" t="str">
        <f>IFERROR(IF(H123="","",IF(H123-S123-T123=0&lt;0,"Error in Areas ▲",IF(S123+T123&gt;H123,"Error in Areas ▲",IF(AND(P123='G-1 All Habitats'!$X$9,Y123="Yes"),"Alternative Compensation ✓",IF(AND(P123='G-1 All Habitats'!$X$3,Y123="Yes"),"Alternative Compensation ✓",IF(AND(Y123="Pending",P123='G-1 All Habitats'!$X$3),"Bespoke compensation must be agreed ▲",IF(AND(Y123="Pending",P123='G-1 All Habitats'!$X$9),"Bespoke compensation must be agreed  ▲",IF(W123=0,0,IF(P123='G-1 All Habitats'!$X$9,"Any Loss Unacceptable ▲",Q123-U123-V123))))))))),"Check Data ▲")</f>
        <v/>
      </c>
      <c r="Y123" s="53"/>
      <c r="Z123" s="105"/>
      <c r="AA123" s="233"/>
      <c r="AB123" s="104"/>
      <c r="AC123" s="512" t="str">
        <f>IF(OR(P123="",Y123="Yes"),"",IF(P123='G-1 All Habitats'!$X$9,H123-S123-T123,"None"))</f>
        <v/>
      </c>
      <c r="AD123" s="513" t="str">
        <f>IF(P123="","",IF(P123='G-1 All Habitats'!$X$9,AC123*J123*L123*O123,"None"))</f>
        <v/>
      </c>
      <c r="AE123" s="35" t="str">
        <f t="shared" si="9"/>
        <v/>
      </c>
      <c r="AF123" s="40" t="str">
        <f t="shared" si="14"/>
        <v/>
      </c>
      <c r="AG123" s="40" t="str">
        <f t="shared" si="10"/>
        <v/>
      </c>
      <c r="AH123" s="40" t="str">
        <f>IF(I123="","",IF(#REF!&gt;0,TRUE,FALSE))</f>
        <v/>
      </c>
      <c r="AI123" s="40">
        <v>113</v>
      </c>
      <c r="AJ123" s="40"/>
      <c r="AK123" s="40" t="str">
        <f t="array" ref="AK123">IFERROR(INDEX($AI$11:$AI$259,MATCH(0,IF(TRUE=$AF$11:$AF$259,COUNTIF($AK$10:$AK122,$AI$11:$AI$259),""),0)),"")</f>
        <v/>
      </c>
      <c r="AL123" s="40" t="str">
        <f t="array" ref="AL123">IFERROR(INDEX($AI$11:$AI$259,MATCH(0,IF(TRUE=$AG$11:$AG$259,COUNTIF($AL$10:$AL122,$AI$11:$AI$259),""),0)),"")</f>
        <v/>
      </c>
      <c r="AM123" s="40" t="str">
        <f t="array" ref="AM123">IFERROR(INDEX($AI$11:$AI$259,MATCH(0,IF(TRUE=$AH$11:$AH$259,COUNTIF($AM$10:$AM122,$AI$11:$AI$259),""),0)),"")</f>
        <v/>
      </c>
      <c r="AN123" s="40"/>
      <c r="AQ123" s="35">
        <f t="shared" si="15"/>
        <v>0</v>
      </c>
      <c r="AT123" s="885" t="str">
        <f>IF(AND(OR(Y123="Yes",Y123="Pending"),P123='G-1 All Habitats'!$X$3),Q123-U123-V123,"")</f>
        <v/>
      </c>
      <c r="AV123" s="542" t="str">
        <f>IFERROR(INDEX('G-1 All Habitats'!$B$3:$B$135,MATCH(F123,'G-1 All Habitats'!$A$3:$A$135,0)),"")</f>
        <v/>
      </c>
      <c r="AW123" s="35" t="str">
        <f>IF(AV123="","",VLOOKUP(AV123,'G-1 All Habitats'!$B$1:$T$135,19,FALSE))</f>
        <v/>
      </c>
    </row>
    <row r="124" spans="1:49" ht="14.5" hidden="1" thickBot="1">
      <c r="A124" s="35" t="str">
        <f>IFERROR(INDEX('G-1 All Habitats'!$AG$3:$AG$17,MATCH(E124,'G-1 All Habitats'!$AF$3:$AF$17,0)),"")</f>
        <v/>
      </c>
      <c r="B124" s="35" t="str">
        <f>IFERROR(INDEX('G-8 Condition Look up'!$I$4:$I$135,MATCH(AV124,'G-8 Condition Look up'!$A$4:$A$135,0)),"")</f>
        <v/>
      </c>
      <c r="D124" s="225">
        <v>114</v>
      </c>
      <c r="E124" s="211"/>
      <c r="F124" s="57"/>
      <c r="G124" s="263"/>
      <c r="H124" s="51"/>
      <c r="I124" s="275" t="str">
        <f>IF(AV124="","",IF(AND(AW124="Yes",G124="No"),"Irreplaceable habitat ▲",IF(AND(AW124="No",G124="Yes"),"Cannot be Irreplaceable ▲",VLOOKUP(AV124,'G-1 All Habitats'!$B$2:$M$135,10,FALSE))))</f>
        <v/>
      </c>
      <c r="J124" s="276" t="str">
        <f>IFERROR(VLOOKUP(I124,'G-1 All Habitats'!$V$3:$W$7,2,FALSE),"")</f>
        <v/>
      </c>
      <c r="K124" s="52"/>
      <c r="L124" s="276" t="str">
        <f>IFERROR(INDEX('G-8 Condition Look up'!$A$3:$H$135,MATCH(AV124,'G-8 Condition Look up'!$A$3:$A$135,0),MATCH(K124,'G-8 Condition Look up'!$A$3:$H$3,0)),"")</f>
        <v/>
      </c>
      <c r="M124" s="52"/>
      <c r="N124" s="295" t="str">
        <f>IF(M124="","",IF(VLOOKUP(M124,'G-3 Multipliers'!$L$3:$N$6,2,FALSE)=0,"Spatial Data Missing",VLOOKUP(M124,'G-3 Multipliers'!$L$3:$N$6,2,FALSE)))</f>
        <v/>
      </c>
      <c r="O124" s="281" t="str">
        <f>IF(M124="","",IF(VLOOKUP(M124,'G-3 Multipliers'!$L$3:$N$6,3,FALSE)=0,"Spatial Data Missing ▲",VLOOKUP(M124,'G-3 Multipliers'!$L$3:$N$6,3,FALSE)))</f>
        <v/>
      </c>
      <c r="P124" s="282" t="str">
        <f>(IF(G124="Yes","Bespoke compensation likely to be required",(IFERROR(VLOOKUP(AV124,'G-1 All Habitats'!$B$2:$M$135,12,FALSE),""))))</f>
        <v/>
      </c>
      <c r="Q124" s="289" t="str">
        <f>IFERROR(IF(AND(F124&lt;&gt;"",G124=""),"Confirm irreplaceable habitat status ▲",(IF(AND(E124="Individual trees",T124&gt;0,G124="Yes"),"Error - you cannot enhance irreplaceable individual trees ▲",(IF(AND(U124="Irreplaceable habitat - no units generated ⚠",(S124+T124)&lt;H124,OR(Y124="No",Y124="")),"Any Loss Unacceptable ⚠",(IF(U124="Irreplaceable habitat - no units generated ⚠",T124*J124*L124*O124,IF(AND(P124='G-1 All Habitats'!$X$9,AC124&gt;0,S124&lt;=0,T124&lt;=0,OR(Y124="No",Y124="")),"Any Loss Unacceptable ⚠",IF(AND(P124='G-1 All Habitats'!$X$9,AC124&gt;0,S124&lt;=0,T124&lt;=0,Y124="Yes"),0,(IF(AND(P124='G-1 All Habitats'!$X$9,(S124+T124)&lt;H124,OR(Y124="No",Y124="")),"Any Loss Unacceptable ⚠",(IF(P124="","",IF(AND(P124='G-1 All Habitats'!$X$9,T124&gt;0),U124+V124,IF(AND(P124='G-1 All Habitats'!$X$9,S124&gt;0),U124+V124,H124*J124*L124*O124))))))))))))))),"Check Data ▲")</f>
        <v/>
      </c>
      <c r="R124" s="38"/>
      <c r="S124" s="52"/>
      <c r="T124" s="53"/>
      <c r="U124" s="287" t="str">
        <f t="shared" si="11"/>
        <v/>
      </c>
      <c r="V124" s="287" t="str">
        <f t="shared" si="12"/>
        <v/>
      </c>
      <c r="W124" s="287" t="str">
        <f t="shared" si="13"/>
        <v/>
      </c>
      <c r="X124" s="291" t="str">
        <f>IFERROR(IF(H124="","",IF(H124-S124-T124=0&lt;0,"Error in Areas ▲",IF(S124+T124&gt;H124,"Error in Areas ▲",IF(AND(P124='G-1 All Habitats'!$X$9,Y124="Yes"),"Alternative Compensation ✓",IF(AND(P124='G-1 All Habitats'!$X$3,Y124="Yes"),"Alternative Compensation ✓",IF(AND(Y124="Pending",P124='G-1 All Habitats'!$X$3),"Bespoke compensation must be agreed ▲",IF(AND(Y124="Pending",P124='G-1 All Habitats'!$X$9),"Bespoke compensation must be agreed  ▲",IF(W124=0,0,IF(P124='G-1 All Habitats'!$X$9,"Any Loss Unacceptable ▲",Q124-U124-V124))))))))),"Check Data ▲")</f>
        <v/>
      </c>
      <c r="Y124" s="53"/>
      <c r="Z124" s="105"/>
      <c r="AA124" s="233"/>
      <c r="AB124" s="104"/>
      <c r="AC124" s="512" t="str">
        <f>IF(OR(P124="",Y124="Yes"),"",IF(P124='G-1 All Habitats'!$X$9,H124-S124-T124,"None"))</f>
        <v/>
      </c>
      <c r="AD124" s="513" t="str">
        <f>IF(P124="","",IF(P124='G-1 All Habitats'!$X$9,AC124*J124*L124*O124,"None"))</f>
        <v/>
      </c>
      <c r="AE124" s="35" t="str">
        <f t="shared" si="9"/>
        <v/>
      </c>
      <c r="AF124" s="40" t="str">
        <f t="shared" si="14"/>
        <v/>
      </c>
      <c r="AG124" s="40" t="str">
        <f t="shared" si="10"/>
        <v/>
      </c>
      <c r="AH124" s="40" t="str">
        <f>IF(I124="","",IF(#REF!&gt;0,TRUE,FALSE))</f>
        <v/>
      </c>
      <c r="AI124" s="40">
        <v>114</v>
      </c>
      <c r="AJ124" s="40"/>
      <c r="AK124" s="40" t="str">
        <f t="array" ref="AK124">IFERROR(INDEX($AI$11:$AI$259,MATCH(0,IF(TRUE=$AF$11:$AF$259,COUNTIF($AK$10:$AK123,$AI$11:$AI$259),""),0)),"")</f>
        <v/>
      </c>
      <c r="AL124" s="40" t="str">
        <f t="array" ref="AL124">IFERROR(INDEX($AI$11:$AI$259,MATCH(0,IF(TRUE=$AG$11:$AG$259,COUNTIF($AL$10:$AL123,$AI$11:$AI$259),""),0)),"")</f>
        <v/>
      </c>
      <c r="AM124" s="40" t="str">
        <f t="array" ref="AM124">IFERROR(INDEX($AI$11:$AI$259,MATCH(0,IF(TRUE=$AH$11:$AH$259,COUNTIF($AM$10:$AM123,$AI$11:$AI$259),""),0)),"")</f>
        <v/>
      </c>
      <c r="AN124" s="40"/>
      <c r="AQ124" s="35">
        <f t="shared" si="15"/>
        <v>0</v>
      </c>
      <c r="AT124" s="885" t="str">
        <f>IF(AND(OR(Y124="Yes",Y124="Pending"),P124='G-1 All Habitats'!$X$3),Q124-U124-V124,"")</f>
        <v/>
      </c>
      <c r="AV124" s="542" t="str">
        <f>IFERROR(INDEX('G-1 All Habitats'!$B$3:$B$135,MATCH(F124,'G-1 All Habitats'!$A$3:$A$135,0)),"")</f>
        <v/>
      </c>
      <c r="AW124" s="35" t="str">
        <f>IF(AV124="","",VLOOKUP(AV124,'G-1 All Habitats'!$B$1:$T$135,19,FALSE))</f>
        <v/>
      </c>
    </row>
    <row r="125" spans="1:49" ht="14.5" hidden="1" thickBot="1">
      <c r="A125" s="35" t="str">
        <f>IFERROR(INDEX('G-1 All Habitats'!$AG$3:$AG$17,MATCH(E125,'G-1 All Habitats'!$AF$3:$AF$17,0)),"")</f>
        <v/>
      </c>
      <c r="B125" s="35" t="str">
        <f>IFERROR(INDEX('G-8 Condition Look up'!$I$4:$I$135,MATCH(AV125,'G-8 Condition Look up'!$A$4:$A$135,0)),"")</f>
        <v/>
      </c>
      <c r="D125" s="225">
        <v>115</v>
      </c>
      <c r="E125" s="211"/>
      <c r="F125" s="57"/>
      <c r="G125" s="263"/>
      <c r="H125" s="51"/>
      <c r="I125" s="275" t="str">
        <f>IF(AV125="","",IF(AND(AW125="Yes",G125="No"),"Irreplaceable habitat ▲",IF(AND(AW125="No",G125="Yes"),"Cannot be Irreplaceable ▲",VLOOKUP(AV125,'G-1 All Habitats'!$B$2:$M$135,10,FALSE))))</f>
        <v/>
      </c>
      <c r="J125" s="276" t="str">
        <f>IFERROR(VLOOKUP(I125,'G-1 All Habitats'!$V$3:$W$7,2,FALSE),"")</f>
        <v/>
      </c>
      <c r="K125" s="52"/>
      <c r="L125" s="276" t="str">
        <f>IFERROR(INDEX('G-8 Condition Look up'!$A$3:$H$135,MATCH(AV125,'G-8 Condition Look up'!$A$3:$A$135,0),MATCH(K125,'G-8 Condition Look up'!$A$3:$H$3,0)),"")</f>
        <v/>
      </c>
      <c r="M125" s="52"/>
      <c r="N125" s="295" t="str">
        <f>IF(M125="","",IF(VLOOKUP(M125,'G-3 Multipliers'!$L$3:$N$6,2,FALSE)=0,"Spatial Data Missing",VLOOKUP(M125,'G-3 Multipliers'!$L$3:$N$6,2,FALSE)))</f>
        <v/>
      </c>
      <c r="O125" s="281" t="str">
        <f>IF(M125="","",IF(VLOOKUP(M125,'G-3 Multipliers'!$L$3:$N$6,3,FALSE)=0,"Spatial Data Missing ▲",VLOOKUP(M125,'G-3 Multipliers'!$L$3:$N$6,3,FALSE)))</f>
        <v/>
      </c>
      <c r="P125" s="282" t="str">
        <f>(IF(G125="Yes","Bespoke compensation likely to be required",(IFERROR(VLOOKUP(AV125,'G-1 All Habitats'!$B$2:$M$135,12,FALSE),""))))</f>
        <v/>
      </c>
      <c r="Q125" s="289" t="str">
        <f>IFERROR(IF(AND(F125&lt;&gt;"",G125=""),"Confirm irreplaceable habitat status ▲",(IF(AND(E125="Individual trees",T125&gt;0,G125="Yes"),"Error - you cannot enhance irreplaceable individual trees ▲",(IF(AND(U125="Irreplaceable habitat - no units generated ⚠",(S125+T125)&lt;H125,OR(Y125="No",Y125="")),"Any Loss Unacceptable ⚠",(IF(U125="Irreplaceable habitat - no units generated ⚠",T125*J125*L125*O125,IF(AND(P125='G-1 All Habitats'!$X$9,AC125&gt;0,S125&lt;=0,T125&lt;=0,OR(Y125="No",Y125="")),"Any Loss Unacceptable ⚠",IF(AND(P125='G-1 All Habitats'!$X$9,AC125&gt;0,S125&lt;=0,T125&lt;=0,Y125="Yes"),0,(IF(AND(P125='G-1 All Habitats'!$X$9,(S125+T125)&lt;H125,OR(Y125="No",Y125="")),"Any Loss Unacceptable ⚠",(IF(P125="","",IF(AND(P125='G-1 All Habitats'!$X$9,T125&gt;0),U125+V125,IF(AND(P125='G-1 All Habitats'!$X$9,S125&gt;0),U125+V125,H125*J125*L125*O125))))))))))))))),"Check Data ▲")</f>
        <v/>
      </c>
      <c r="R125" s="38"/>
      <c r="S125" s="52"/>
      <c r="T125" s="53"/>
      <c r="U125" s="287" t="str">
        <f t="shared" si="11"/>
        <v/>
      </c>
      <c r="V125" s="287" t="str">
        <f t="shared" si="12"/>
        <v/>
      </c>
      <c r="W125" s="287" t="str">
        <f t="shared" si="13"/>
        <v/>
      </c>
      <c r="X125" s="291" t="str">
        <f>IFERROR(IF(H125="","",IF(H125-S125-T125=0&lt;0,"Error in Areas ▲",IF(S125+T125&gt;H125,"Error in Areas ▲",IF(AND(P125='G-1 All Habitats'!$X$9,Y125="Yes"),"Alternative Compensation ✓",IF(AND(P125='G-1 All Habitats'!$X$3,Y125="Yes"),"Alternative Compensation ✓",IF(AND(Y125="Pending",P125='G-1 All Habitats'!$X$3),"Bespoke compensation must be agreed ▲",IF(AND(Y125="Pending",P125='G-1 All Habitats'!$X$9),"Bespoke compensation must be agreed  ▲",IF(W125=0,0,IF(P125='G-1 All Habitats'!$X$9,"Any Loss Unacceptable ▲",Q125-U125-V125))))))))),"Check Data ▲")</f>
        <v/>
      </c>
      <c r="Y125" s="53"/>
      <c r="Z125" s="105"/>
      <c r="AA125" s="233"/>
      <c r="AB125" s="104"/>
      <c r="AC125" s="512" t="str">
        <f>IF(OR(P125="",Y125="Yes"),"",IF(P125='G-1 All Habitats'!$X$9,H125-S125-T125,"None"))</f>
        <v/>
      </c>
      <c r="AD125" s="513" t="str">
        <f>IF(P125="","",IF(P125='G-1 All Habitats'!$X$9,AC125*J125*L125*O125,"None"))</f>
        <v/>
      </c>
      <c r="AE125" s="35" t="str">
        <f t="shared" si="9"/>
        <v/>
      </c>
      <c r="AF125" s="40" t="str">
        <f t="shared" si="14"/>
        <v/>
      </c>
      <c r="AG125" s="40" t="str">
        <f t="shared" si="10"/>
        <v/>
      </c>
      <c r="AH125" s="40" t="str">
        <f>IF(I125="","",IF(#REF!&gt;0,TRUE,FALSE))</f>
        <v/>
      </c>
      <c r="AI125" s="40">
        <v>115</v>
      </c>
      <c r="AJ125" s="40"/>
      <c r="AK125" s="40" t="str">
        <f t="array" ref="AK125">IFERROR(INDEX($AI$11:$AI$259,MATCH(0,IF(TRUE=$AF$11:$AF$259,COUNTIF($AK$10:$AK124,$AI$11:$AI$259),""),0)),"")</f>
        <v/>
      </c>
      <c r="AL125" s="40" t="str">
        <f t="array" ref="AL125">IFERROR(INDEX($AI$11:$AI$259,MATCH(0,IF(TRUE=$AG$11:$AG$259,COUNTIF($AL$10:$AL124,$AI$11:$AI$259),""),0)),"")</f>
        <v/>
      </c>
      <c r="AM125" s="40" t="str">
        <f t="array" ref="AM125">IFERROR(INDEX($AI$11:$AI$259,MATCH(0,IF(TRUE=$AH$11:$AH$259,COUNTIF($AM$10:$AM124,$AI$11:$AI$259),""),0)),"")</f>
        <v/>
      </c>
      <c r="AN125" s="40"/>
      <c r="AQ125" s="35">
        <f t="shared" si="15"/>
        <v>0</v>
      </c>
      <c r="AT125" s="885" t="str">
        <f>IF(AND(OR(Y125="Yes",Y125="Pending"),P125='G-1 All Habitats'!$X$3),Q125-U125-V125,"")</f>
        <v/>
      </c>
      <c r="AV125" s="542" t="str">
        <f>IFERROR(INDEX('G-1 All Habitats'!$B$3:$B$135,MATCH(F125,'G-1 All Habitats'!$A$3:$A$135,0)),"")</f>
        <v/>
      </c>
      <c r="AW125" s="35" t="str">
        <f>IF(AV125="","",VLOOKUP(AV125,'G-1 All Habitats'!$B$1:$T$135,19,FALSE))</f>
        <v/>
      </c>
    </row>
    <row r="126" spans="1:49" ht="14.5" hidden="1" thickBot="1">
      <c r="A126" s="35" t="str">
        <f>IFERROR(INDEX('G-1 All Habitats'!$AG$3:$AG$17,MATCH(E126,'G-1 All Habitats'!$AF$3:$AF$17,0)),"")</f>
        <v/>
      </c>
      <c r="B126" s="35" t="str">
        <f>IFERROR(INDEX('G-8 Condition Look up'!$I$4:$I$135,MATCH(AV126,'G-8 Condition Look up'!$A$4:$A$135,0)),"")</f>
        <v/>
      </c>
      <c r="D126" s="225">
        <v>116</v>
      </c>
      <c r="E126" s="211"/>
      <c r="F126" s="57"/>
      <c r="G126" s="263"/>
      <c r="H126" s="51"/>
      <c r="I126" s="275" t="str">
        <f>IF(AV126="","",IF(AND(AW126="Yes",G126="No"),"Irreplaceable habitat ▲",IF(AND(AW126="No",G126="Yes"),"Cannot be Irreplaceable ▲",VLOOKUP(AV126,'G-1 All Habitats'!$B$2:$M$135,10,FALSE))))</f>
        <v/>
      </c>
      <c r="J126" s="276" t="str">
        <f>IFERROR(VLOOKUP(I126,'G-1 All Habitats'!$V$3:$W$7,2,FALSE),"")</f>
        <v/>
      </c>
      <c r="K126" s="52"/>
      <c r="L126" s="276" t="str">
        <f>IFERROR(INDEX('G-8 Condition Look up'!$A$3:$H$135,MATCH(AV126,'G-8 Condition Look up'!$A$3:$A$135,0),MATCH(K126,'G-8 Condition Look up'!$A$3:$H$3,0)),"")</f>
        <v/>
      </c>
      <c r="M126" s="52"/>
      <c r="N126" s="295" t="str">
        <f>IF(M126="","",IF(VLOOKUP(M126,'G-3 Multipliers'!$L$3:$N$6,2,FALSE)=0,"Spatial Data Missing",VLOOKUP(M126,'G-3 Multipliers'!$L$3:$N$6,2,FALSE)))</f>
        <v/>
      </c>
      <c r="O126" s="281" t="str">
        <f>IF(M126="","",IF(VLOOKUP(M126,'G-3 Multipliers'!$L$3:$N$6,3,FALSE)=0,"Spatial Data Missing ▲",VLOOKUP(M126,'G-3 Multipliers'!$L$3:$N$6,3,FALSE)))</f>
        <v/>
      </c>
      <c r="P126" s="282" t="str">
        <f>(IF(G126="Yes","Bespoke compensation likely to be required",(IFERROR(VLOOKUP(AV126,'G-1 All Habitats'!$B$2:$M$135,12,FALSE),""))))</f>
        <v/>
      </c>
      <c r="Q126" s="289" t="str">
        <f>IFERROR(IF(AND(F126&lt;&gt;"",G126=""),"Confirm irreplaceable habitat status ▲",(IF(AND(E126="Individual trees",T126&gt;0,G126="Yes"),"Error - you cannot enhance irreplaceable individual trees ▲",(IF(AND(U126="Irreplaceable habitat - no units generated ⚠",(S126+T126)&lt;H126,OR(Y126="No",Y126="")),"Any Loss Unacceptable ⚠",(IF(U126="Irreplaceable habitat - no units generated ⚠",T126*J126*L126*O126,IF(AND(P126='G-1 All Habitats'!$X$9,AC126&gt;0,S126&lt;=0,T126&lt;=0,OR(Y126="No",Y126="")),"Any Loss Unacceptable ⚠",IF(AND(P126='G-1 All Habitats'!$X$9,AC126&gt;0,S126&lt;=0,T126&lt;=0,Y126="Yes"),0,(IF(AND(P126='G-1 All Habitats'!$X$9,(S126+T126)&lt;H126,OR(Y126="No",Y126="")),"Any Loss Unacceptable ⚠",(IF(P126="","",IF(AND(P126='G-1 All Habitats'!$X$9,T126&gt;0),U126+V126,IF(AND(P126='G-1 All Habitats'!$X$9,S126&gt;0),U126+V126,H126*J126*L126*O126))))))))))))))),"Check Data ▲")</f>
        <v/>
      </c>
      <c r="R126" s="38"/>
      <c r="S126" s="52"/>
      <c r="T126" s="53"/>
      <c r="U126" s="287" t="str">
        <f t="shared" si="11"/>
        <v/>
      </c>
      <c r="V126" s="287" t="str">
        <f t="shared" si="12"/>
        <v/>
      </c>
      <c r="W126" s="287" t="str">
        <f t="shared" si="13"/>
        <v/>
      </c>
      <c r="X126" s="291" t="str">
        <f>IFERROR(IF(H126="","",IF(H126-S126-T126=0&lt;0,"Error in Areas ▲",IF(S126+T126&gt;H126,"Error in Areas ▲",IF(AND(P126='G-1 All Habitats'!$X$9,Y126="Yes"),"Alternative Compensation ✓",IF(AND(P126='G-1 All Habitats'!$X$3,Y126="Yes"),"Alternative Compensation ✓",IF(AND(Y126="Pending",P126='G-1 All Habitats'!$X$3),"Bespoke compensation must be agreed ▲",IF(AND(Y126="Pending",P126='G-1 All Habitats'!$X$9),"Bespoke compensation must be agreed  ▲",IF(W126=0,0,IF(P126='G-1 All Habitats'!$X$9,"Any Loss Unacceptable ▲",Q126-U126-V126))))))))),"Check Data ▲")</f>
        <v/>
      </c>
      <c r="Y126" s="53"/>
      <c r="Z126" s="105"/>
      <c r="AA126" s="233"/>
      <c r="AB126" s="104"/>
      <c r="AC126" s="512" t="str">
        <f>IF(OR(P126="",Y126="Yes"),"",IF(P126='G-1 All Habitats'!$X$9,H126-S126-T126,"None"))</f>
        <v/>
      </c>
      <c r="AD126" s="513" t="str">
        <f>IF(P126="","",IF(P126='G-1 All Habitats'!$X$9,AC126*J126*L126*O126,"None"))</f>
        <v/>
      </c>
      <c r="AE126" s="35" t="str">
        <f t="shared" si="9"/>
        <v/>
      </c>
      <c r="AF126" s="40" t="str">
        <f t="shared" si="14"/>
        <v/>
      </c>
      <c r="AG126" s="40" t="str">
        <f t="shared" si="10"/>
        <v/>
      </c>
      <c r="AH126" s="40" t="str">
        <f>IF(I126="","",IF(#REF!&gt;0,TRUE,FALSE))</f>
        <v/>
      </c>
      <c r="AI126" s="40">
        <v>116</v>
      </c>
      <c r="AJ126" s="40"/>
      <c r="AK126" s="40" t="str">
        <f t="array" ref="AK126">IFERROR(INDEX($AI$11:$AI$259,MATCH(0,IF(TRUE=$AF$11:$AF$259,COUNTIF($AK$10:$AK125,$AI$11:$AI$259),""),0)),"")</f>
        <v/>
      </c>
      <c r="AL126" s="40" t="str">
        <f t="array" ref="AL126">IFERROR(INDEX($AI$11:$AI$259,MATCH(0,IF(TRUE=$AG$11:$AG$259,COUNTIF($AL$10:$AL125,$AI$11:$AI$259),""),0)),"")</f>
        <v/>
      </c>
      <c r="AM126" s="40" t="str">
        <f t="array" ref="AM126">IFERROR(INDEX($AI$11:$AI$259,MATCH(0,IF(TRUE=$AH$11:$AH$259,COUNTIF($AM$10:$AM125,$AI$11:$AI$259),""),0)),"")</f>
        <v/>
      </c>
      <c r="AN126" s="40"/>
      <c r="AQ126" s="35">
        <f t="shared" si="15"/>
        <v>0</v>
      </c>
      <c r="AT126" s="885" t="str">
        <f>IF(AND(OR(Y126="Yes",Y126="Pending"),P126='G-1 All Habitats'!$X$3),Q126-U126-V126,"")</f>
        <v/>
      </c>
      <c r="AV126" s="542" t="str">
        <f>IFERROR(INDEX('G-1 All Habitats'!$B$3:$B$135,MATCH(F126,'G-1 All Habitats'!$A$3:$A$135,0)),"")</f>
        <v/>
      </c>
      <c r="AW126" s="35" t="str">
        <f>IF(AV126="","",VLOOKUP(AV126,'G-1 All Habitats'!$B$1:$T$135,19,FALSE))</f>
        <v/>
      </c>
    </row>
    <row r="127" spans="1:49" ht="14.5" hidden="1" thickBot="1">
      <c r="A127" s="35" t="str">
        <f>IFERROR(INDEX('G-1 All Habitats'!$AG$3:$AG$17,MATCH(E127,'G-1 All Habitats'!$AF$3:$AF$17,0)),"")</f>
        <v/>
      </c>
      <c r="B127" s="35" t="str">
        <f>IFERROR(INDEX('G-8 Condition Look up'!$I$4:$I$135,MATCH(AV127,'G-8 Condition Look up'!$A$4:$A$135,0)),"")</f>
        <v/>
      </c>
      <c r="D127" s="225">
        <v>117</v>
      </c>
      <c r="E127" s="211"/>
      <c r="F127" s="57"/>
      <c r="G127" s="263"/>
      <c r="H127" s="51"/>
      <c r="I127" s="275" t="str">
        <f>IF(AV127="","",IF(AND(AW127="Yes",G127="No"),"Irreplaceable habitat ▲",IF(AND(AW127="No",G127="Yes"),"Cannot be Irreplaceable ▲",VLOOKUP(AV127,'G-1 All Habitats'!$B$2:$M$135,10,FALSE))))</f>
        <v/>
      </c>
      <c r="J127" s="276" t="str">
        <f>IFERROR(VLOOKUP(I127,'G-1 All Habitats'!$V$3:$W$7,2,FALSE),"")</f>
        <v/>
      </c>
      <c r="K127" s="52"/>
      <c r="L127" s="276" t="str">
        <f>IFERROR(INDEX('G-8 Condition Look up'!$A$3:$H$135,MATCH(AV127,'G-8 Condition Look up'!$A$3:$A$135,0),MATCH(K127,'G-8 Condition Look up'!$A$3:$H$3,0)),"")</f>
        <v/>
      </c>
      <c r="M127" s="52"/>
      <c r="N127" s="295" t="str">
        <f>IF(M127="","",IF(VLOOKUP(M127,'G-3 Multipliers'!$L$3:$N$6,2,FALSE)=0,"Spatial Data Missing",VLOOKUP(M127,'G-3 Multipliers'!$L$3:$N$6,2,FALSE)))</f>
        <v/>
      </c>
      <c r="O127" s="281" t="str">
        <f>IF(M127="","",IF(VLOOKUP(M127,'G-3 Multipliers'!$L$3:$N$6,3,FALSE)=0,"Spatial Data Missing ▲",VLOOKUP(M127,'G-3 Multipliers'!$L$3:$N$6,3,FALSE)))</f>
        <v/>
      </c>
      <c r="P127" s="282" t="str">
        <f>(IF(G127="Yes","Bespoke compensation likely to be required",(IFERROR(VLOOKUP(AV127,'G-1 All Habitats'!$B$2:$M$135,12,FALSE),""))))</f>
        <v/>
      </c>
      <c r="Q127" s="289" t="str">
        <f>IFERROR(IF(AND(F127&lt;&gt;"",G127=""),"Confirm irreplaceable habitat status ▲",(IF(AND(E127="Individual trees",T127&gt;0,G127="Yes"),"Error - you cannot enhance irreplaceable individual trees ▲",(IF(AND(U127="Irreplaceable habitat - no units generated ⚠",(S127+T127)&lt;H127,OR(Y127="No",Y127="")),"Any Loss Unacceptable ⚠",(IF(U127="Irreplaceable habitat - no units generated ⚠",T127*J127*L127*O127,IF(AND(P127='G-1 All Habitats'!$X$9,AC127&gt;0,S127&lt;=0,T127&lt;=0,OR(Y127="No",Y127="")),"Any Loss Unacceptable ⚠",IF(AND(P127='G-1 All Habitats'!$X$9,AC127&gt;0,S127&lt;=0,T127&lt;=0,Y127="Yes"),0,(IF(AND(P127='G-1 All Habitats'!$X$9,(S127+T127)&lt;H127,OR(Y127="No",Y127="")),"Any Loss Unacceptable ⚠",(IF(P127="","",IF(AND(P127='G-1 All Habitats'!$X$9,T127&gt;0),U127+V127,IF(AND(P127='G-1 All Habitats'!$X$9,S127&gt;0),U127+V127,H127*J127*L127*O127))))))))))))))),"Check Data ▲")</f>
        <v/>
      </c>
      <c r="R127" s="38"/>
      <c r="S127" s="52"/>
      <c r="T127" s="53"/>
      <c r="U127" s="287" t="str">
        <f t="shared" si="11"/>
        <v/>
      </c>
      <c r="V127" s="287" t="str">
        <f t="shared" si="12"/>
        <v/>
      </c>
      <c r="W127" s="287" t="str">
        <f t="shared" si="13"/>
        <v/>
      </c>
      <c r="X127" s="291" t="str">
        <f>IFERROR(IF(H127="","",IF(H127-S127-T127=0&lt;0,"Error in Areas ▲",IF(S127+T127&gt;H127,"Error in Areas ▲",IF(AND(P127='G-1 All Habitats'!$X$9,Y127="Yes"),"Alternative Compensation ✓",IF(AND(P127='G-1 All Habitats'!$X$3,Y127="Yes"),"Alternative Compensation ✓",IF(AND(Y127="Pending",P127='G-1 All Habitats'!$X$3),"Bespoke compensation must be agreed ▲",IF(AND(Y127="Pending",P127='G-1 All Habitats'!$X$9),"Bespoke compensation must be agreed  ▲",IF(W127=0,0,IF(P127='G-1 All Habitats'!$X$9,"Any Loss Unacceptable ▲",Q127-U127-V127))))))))),"Check Data ▲")</f>
        <v/>
      </c>
      <c r="Y127" s="53"/>
      <c r="Z127" s="105"/>
      <c r="AA127" s="233"/>
      <c r="AB127" s="104"/>
      <c r="AC127" s="512" t="str">
        <f>IF(OR(P127="",Y127="Yes"),"",IF(P127='G-1 All Habitats'!$X$9,H127-S127-T127,"None"))</f>
        <v/>
      </c>
      <c r="AD127" s="513" t="str">
        <f>IF(P127="","",IF(P127='G-1 All Habitats'!$X$9,AC127*J127*L127*O127,"None"))</f>
        <v/>
      </c>
      <c r="AE127" s="35" t="str">
        <f t="shared" si="9"/>
        <v/>
      </c>
      <c r="AF127" s="40" t="str">
        <f t="shared" si="14"/>
        <v/>
      </c>
      <c r="AG127" s="40" t="str">
        <f t="shared" si="10"/>
        <v/>
      </c>
      <c r="AH127" s="40" t="str">
        <f>IF(I127="","",IF(#REF!&gt;0,TRUE,FALSE))</f>
        <v/>
      </c>
      <c r="AI127" s="40">
        <v>117</v>
      </c>
      <c r="AJ127" s="40"/>
      <c r="AK127" s="40" t="str">
        <f t="array" ref="AK127">IFERROR(INDEX($AI$11:$AI$259,MATCH(0,IF(TRUE=$AF$11:$AF$259,COUNTIF($AK$10:$AK126,$AI$11:$AI$259),""),0)),"")</f>
        <v/>
      </c>
      <c r="AL127" s="40" t="str">
        <f t="array" ref="AL127">IFERROR(INDEX($AI$11:$AI$259,MATCH(0,IF(TRUE=$AG$11:$AG$259,COUNTIF($AL$10:$AL126,$AI$11:$AI$259),""),0)),"")</f>
        <v/>
      </c>
      <c r="AM127" s="40" t="str">
        <f t="array" ref="AM127">IFERROR(INDEX($AI$11:$AI$259,MATCH(0,IF(TRUE=$AH$11:$AH$259,COUNTIF($AM$10:$AM126,$AI$11:$AI$259),""),0)),"")</f>
        <v/>
      </c>
      <c r="AN127" s="40"/>
      <c r="AQ127" s="35">
        <f t="shared" si="15"/>
        <v>0</v>
      </c>
      <c r="AT127" s="885" t="str">
        <f>IF(AND(OR(Y127="Yes",Y127="Pending"),P127='G-1 All Habitats'!$X$3),Q127-U127-V127,"")</f>
        <v/>
      </c>
      <c r="AV127" s="542" t="str">
        <f>IFERROR(INDEX('G-1 All Habitats'!$B$3:$B$135,MATCH(F127,'G-1 All Habitats'!$A$3:$A$135,0)),"")</f>
        <v/>
      </c>
      <c r="AW127" s="35" t="str">
        <f>IF(AV127="","",VLOOKUP(AV127,'G-1 All Habitats'!$B$1:$T$135,19,FALSE))</f>
        <v/>
      </c>
    </row>
    <row r="128" spans="1:49" ht="14.5" hidden="1" thickBot="1">
      <c r="A128" s="35" t="str">
        <f>IFERROR(INDEX('G-1 All Habitats'!$AG$3:$AG$17,MATCH(E128,'G-1 All Habitats'!$AF$3:$AF$17,0)),"")</f>
        <v/>
      </c>
      <c r="B128" s="35" t="str">
        <f>IFERROR(INDEX('G-8 Condition Look up'!$I$4:$I$135,MATCH(AV128,'G-8 Condition Look up'!$A$4:$A$135,0)),"")</f>
        <v/>
      </c>
      <c r="D128" s="225">
        <v>118</v>
      </c>
      <c r="E128" s="211"/>
      <c r="F128" s="57"/>
      <c r="G128" s="263"/>
      <c r="H128" s="51"/>
      <c r="I128" s="275" t="str">
        <f>IF(AV128="","",IF(AND(AW128="Yes",G128="No"),"Irreplaceable habitat ▲",IF(AND(AW128="No",G128="Yes"),"Cannot be Irreplaceable ▲",VLOOKUP(AV128,'G-1 All Habitats'!$B$2:$M$135,10,FALSE))))</f>
        <v/>
      </c>
      <c r="J128" s="276" t="str">
        <f>IFERROR(VLOOKUP(I128,'G-1 All Habitats'!$V$3:$W$7,2,FALSE),"")</f>
        <v/>
      </c>
      <c r="K128" s="52"/>
      <c r="L128" s="276" t="str">
        <f>IFERROR(INDEX('G-8 Condition Look up'!$A$3:$H$135,MATCH(AV128,'G-8 Condition Look up'!$A$3:$A$135,0),MATCH(K128,'G-8 Condition Look up'!$A$3:$H$3,0)),"")</f>
        <v/>
      </c>
      <c r="M128" s="52"/>
      <c r="N128" s="295" t="str">
        <f>IF(M128="","",IF(VLOOKUP(M128,'G-3 Multipliers'!$L$3:$N$6,2,FALSE)=0,"Spatial Data Missing",VLOOKUP(M128,'G-3 Multipliers'!$L$3:$N$6,2,FALSE)))</f>
        <v/>
      </c>
      <c r="O128" s="281" t="str">
        <f>IF(M128="","",IF(VLOOKUP(M128,'G-3 Multipliers'!$L$3:$N$6,3,FALSE)=0,"Spatial Data Missing ▲",VLOOKUP(M128,'G-3 Multipliers'!$L$3:$N$6,3,FALSE)))</f>
        <v/>
      </c>
      <c r="P128" s="282" t="str">
        <f>(IF(G128="Yes","Bespoke compensation likely to be required",(IFERROR(VLOOKUP(AV128,'G-1 All Habitats'!$B$2:$M$135,12,FALSE),""))))</f>
        <v/>
      </c>
      <c r="Q128" s="289" t="str">
        <f>IFERROR(IF(AND(F128&lt;&gt;"",G128=""),"Confirm irreplaceable habitat status ▲",(IF(AND(E128="Individual trees",T128&gt;0,G128="Yes"),"Error - you cannot enhance irreplaceable individual trees ▲",(IF(AND(U128="Irreplaceable habitat - no units generated ⚠",(S128+T128)&lt;H128,OR(Y128="No",Y128="")),"Any Loss Unacceptable ⚠",(IF(U128="Irreplaceable habitat - no units generated ⚠",T128*J128*L128*O128,IF(AND(P128='G-1 All Habitats'!$X$9,AC128&gt;0,S128&lt;=0,T128&lt;=0,OR(Y128="No",Y128="")),"Any Loss Unacceptable ⚠",IF(AND(P128='G-1 All Habitats'!$X$9,AC128&gt;0,S128&lt;=0,T128&lt;=0,Y128="Yes"),0,(IF(AND(P128='G-1 All Habitats'!$X$9,(S128+T128)&lt;H128,OR(Y128="No",Y128="")),"Any Loss Unacceptable ⚠",(IF(P128="","",IF(AND(P128='G-1 All Habitats'!$X$9,T128&gt;0),U128+V128,IF(AND(P128='G-1 All Habitats'!$X$9,S128&gt;0),U128+V128,H128*J128*L128*O128))))))))))))))),"Check Data ▲")</f>
        <v/>
      </c>
      <c r="R128" s="38"/>
      <c r="S128" s="52"/>
      <c r="T128" s="53"/>
      <c r="U128" s="287" t="str">
        <f t="shared" si="11"/>
        <v/>
      </c>
      <c r="V128" s="287" t="str">
        <f t="shared" si="12"/>
        <v/>
      </c>
      <c r="W128" s="287" t="str">
        <f t="shared" si="13"/>
        <v/>
      </c>
      <c r="X128" s="291" t="str">
        <f>IFERROR(IF(H128="","",IF(H128-S128-T128=0&lt;0,"Error in Areas ▲",IF(S128+T128&gt;H128,"Error in Areas ▲",IF(AND(P128='G-1 All Habitats'!$X$9,Y128="Yes"),"Alternative Compensation ✓",IF(AND(P128='G-1 All Habitats'!$X$3,Y128="Yes"),"Alternative Compensation ✓",IF(AND(Y128="Pending",P128='G-1 All Habitats'!$X$3),"Bespoke compensation must be agreed ▲",IF(AND(Y128="Pending",P128='G-1 All Habitats'!$X$9),"Bespoke compensation must be agreed  ▲",IF(W128=0,0,IF(P128='G-1 All Habitats'!$X$9,"Any Loss Unacceptable ▲",Q128-U128-V128))))))))),"Check Data ▲")</f>
        <v/>
      </c>
      <c r="Y128" s="53"/>
      <c r="Z128" s="105"/>
      <c r="AA128" s="233"/>
      <c r="AB128" s="104"/>
      <c r="AC128" s="512" t="str">
        <f>IF(OR(P128="",Y128="Yes"),"",IF(P128='G-1 All Habitats'!$X$9,H128-S128-T128,"None"))</f>
        <v/>
      </c>
      <c r="AD128" s="513" t="str">
        <f>IF(P128="","",IF(P128='G-1 All Habitats'!$X$9,AC128*J128*L128*O128,"None"))</f>
        <v/>
      </c>
      <c r="AE128" s="35" t="str">
        <f t="shared" si="9"/>
        <v/>
      </c>
      <c r="AF128" s="40" t="str">
        <f t="shared" si="14"/>
        <v/>
      </c>
      <c r="AG128" s="40" t="str">
        <f t="shared" si="10"/>
        <v/>
      </c>
      <c r="AH128" s="40" t="str">
        <f>IF(I128="","",IF(#REF!&gt;0,TRUE,FALSE))</f>
        <v/>
      </c>
      <c r="AI128" s="40">
        <v>118</v>
      </c>
      <c r="AJ128" s="40"/>
      <c r="AK128" s="40" t="str">
        <f t="array" ref="AK128">IFERROR(INDEX($AI$11:$AI$259,MATCH(0,IF(TRUE=$AF$11:$AF$259,COUNTIF($AK$10:$AK127,$AI$11:$AI$259),""),0)),"")</f>
        <v/>
      </c>
      <c r="AL128" s="40" t="str">
        <f t="array" ref="AL128">IFERROR(INDEX($AI$11:$AI$259,MATCH(0,IF(TRUE=$AG$11:$AG$259,COUNTIF($AL$10:$AL127,$AI$11:$AI$259),""),0)),"")</f>
        <v/>
      </c>
      <c r="AM128" s="40" t="str">
        <f t="array" ref="AM128">IFERROR(INDEX($AI$11:$AI$259,MATCH(0,IF(TRUE=$AH$11:$AH$259,COUNTIF($AM$10:$AM127,$AI$11:$AI$259),""),0)),"")</f>
        <v/>
      </c>
      <c r="AN128" s="40"/>
      <c r="AQ128" s="35">
        <f t="shared" si="15"/>
        <v>0</v>
      </c>
      <c r="AT128" s="885" t="str">
        <f>IF(AND(OR(Y128="Yes",Y128="Pending"),P128='G-1 All Habitats'!$X$3),Q128-U128-V128,"")</f>
        <v/>
      </c>
      <c r="AV128" s="542" t="str">
        <f>IFERROR(INDEX('G-1 All Habitats'!$B$3:$B$135,MATCH(F128,'G-1 All Habitats'!$A$3:$A$135,0)),"")</f>
        <v/>
      </c>
      <c r="AW128" s="35" t="str">
        <f>IF(AV128="","",VLOOKUP(AV128,'G-1 All Habitats'!$B$1:$T$135,19,FALSE))</f>
        <v/>
      </c>
    </row>
    <row r="129" spans="1:49" ht="14.5" hidden="1" thickBot="1">
      <c r="A129" s="35" t="str">
        <f>IFERROR(INDEX('G-1 All Habitats'!$AG$3:$AG$17,MATCH(E129,'G-1 All Habitats'!$AF$3:$AF$17,0)),"")</f>
        <v/>
      </c>
      <c r="B129" s="35" t="str">
        <f>IFERROR(INDEX('G-8 Condition Look up'!$I$4:$I$135,MATCH(AV129,'G-8 Condition Look up'!$A$4:$A$135,0)),"")</f>
        <v/>
      </c>
      <c r="D129" s="225">
        <v>119</v>
      </c>
      <c r="E129" s="211"/>
      <c r="F129" s="57"/>
      <c r="G129" s="263"/>
      <c r="H129" s="51"/>
      <c r="I129" s="275" t="str">
        <f>IF(AV129="","",IF(AND(AW129="Yes",G129="No"),"Irreplaceable habitat ▲",IF(AND(AW129="No",G129="Yes"),"Cannot be Irreplaceable ▲",VLOOKUP(AV129,'G-1 All Habitats'!$B$2:$M$135,10,FALSE))))</f>
        <v/>
      </c>
      <c r="J129" s="276" t="str">
        <f>IFERROR(VLOOKUP(I129,'G-1 All Habitats'!$V$3:$W$7,2,FALSE),"")</f>
        <v/>
      </c>
      <c r="K129" s="52"/>
      <c r="L129" s="276" t="str">
        <f>IFERROR(INDEX('G-8 Condition Look up'!$A$3:$H$135,MATCH(AV129,'G-8 Condition Look up'!$A$3:$A$135,0),MATCH(K129,'G-8 Condition Look up'!$A$3:$H$3,0)),"")</f>
        <v/>
      </c>
      <c r="M129" s="52"/>
      <c r="N129" s="295" t="str">
        <f>IF(M129="","",IF(VLOOKUP(M129,'G-3 Multipliers'!$L$3:$N$6,2,FALSE)=0,"Spatial Data Missing",VLOOKUP(M129,'G-3 Multipliers'!$L$3:$N$6,2,FALSE)))</f>
        <v/>
      </c>
      <c r="O129" s="281" t="str">
        <f>IF(M129="","",IF(VLOOKUP(M129,'G-3 Multipliers'!$L$3:$N$6,3,FALSE)=0,"Spatial Data Missing ▲",VLOOKUP(M129,'G-3 Multipliers'!$L$3:$N$6,3,FALSE)))</f>
        <v/>
      </c>
      <c r="P129" s="282" t="str">
        <f>(IF(G129="Yes","Bespoke compensation likely to be required",(IFERROR(VLOOKUP(AV129,'G-1 All Habitats'!$B$2:$M$135,12,FALSE),""))))</f>
        <v/>
      </c>
      <c r="Q129" s="289" t="str">
        <f>IFERROR(IF(AND(F129&lt;&gt;"",G129=""),"Confirm irreplaceable habitat status ▲",(IF(AND(E129="Individual trees",T129&gt;0,G129="Yes"),"Error - you cannot enhance irreplaceable individual trees ▲",(IF(AND(U129="Irreplaceable habitat - no units generated ⚠",(S129+T129)&lt;H129,OR(Y129="No",Y129="")),"Any Loss Unacceptable ⚠",(IF(U129="Irreplaceable habitat - no units generated ⚠",T129*J129*L129*O129,IF(AND(P129='G-1 All Habitats'!$X$9,AC129&gt;0,S129&lt;=0,T129&lt;=0,OR(Y129="No",Y129="")),"Any Loss Unacceptable ⚠",IF(AND(P129='G-1 All Habitats'!$X$9,AC129&gt;0,S129&lt;=0,T129&lt;=0,Y129="Yes"),0,(IF(AND(P129='G-1 All Habitats'!$X$9,(S129+T129)&lt;H129,OR(Y129="No",Y129="")),"Any Loss Unacceptable ⚠",(IF(P129="","",IF(AND(P129='G-1 All Habitats'!$X$9,T129&gt;0),U129+V129,IF(AND(P129='G-1 All Habitats'!$X$9,S129&gt;0),U129+V129,H129*J129*L129*O129))))))))))))))),"Check Data ▲")</f>
        <v/>
      </c>
      <c r="R129" s="38"/>
      <c r="S129" s="52"/>
      <c r="T129" s="53"/>
      <c r="U129" s="287" t="str">
        <f t="shared" si="11"/>
        <v/>
      </c>
      <c r="V129" s="287" t="str">
        <f t="shared" si="12"/>
        <v/>
      </c>
      <c r="W129" s="287" t="str">
        <f t="shared" si="13"/>
        <v/>
      </c>
      <c r="X129" s="291" t="str">
        <f>IFERROR(IF(H129="","",IF(H129-S129-T129=0&lt;0,"Error in Areas ▲",IF(S129+T129&gt;H129,"Error in Areas ▲",IF(AND(P129='G-1 All Habitats'!$X$9,Y129="Yes"),"Alternative Compensation ✓",IF(AND(P129='G-1 All Habitats'!$X$3,Y129="Yes"),"Alternative Compensation ✓",IF(AND(Y129="Pending",P129='G-1 All Habitats'!$X$3),"Bespoke compensation must be agreed ▲",IF(AND(Y129="Pending",P129='G-1 All Habitats'!$X$9),"Bespoke compensation must be agreed  ▲",IF(W129=0,0,IF(P129='G-1 All Habitats'!$X$9,"Any Loss Unacceptable ▲",Q129-U129-V129))))))))),"Check Data ▲")</f>
        <v/>
      </c>
      <c r="Y129" s="53"/>
      <c r="Z129" s="105"/>
      <c r="AA129" s="233"/>
      <c r="AB129" s="104"/>
      <c r="AC129" s="512" t="str">
        <f>IF(OR(P129="",Y129="Yes"),"",IF(P129='G-1 All Habitats'!$X$9,H129-S129-T129,"None"))</f>
        <v/>
      </c>
      <c r="AD129" s="513" t="str">
        <f>IF(P129="","",IF(P129='G-1 All Habitats'!$X$9,AC129*J129*L129*O129,"None"))</f>
        <v/>
      </c>
      <c r="AE129" s="35" t="str">
        <f t="shared" si="9"/>
        <v/>
      </c>
      <c r="AF129" s="40" t="str">
        <f t="shared" si="14"/>
        <v/>
      </c>
      <c r="AG129" s="40" t="str">
        <f t="shared" si="10"/>
        <v/>
      </c>
      <c r="AH129" s="40" t="str">
        <f>IF(I129="","",IF(#REF!&gt;0,TRUE,FALSE))</f>
        <v/>
      </c>
      <c r="AI129" s="40">
        <v>119</v>
      </c>
      <c r="AJ129" s="40"/>
      <c r="AK129" s="40" t="str">
        <f t="array" ref="AK129">IFERROR(INDEX($AI$11:$AI$259,MATCH(0,IF(TRUE=$AF$11:$AF$259,COUNTIF($AK$10:$AK128,$AI$11:$AI$259),""),0)),"")</f>
        <v/>
      </c>
      <c r="AL129" s="40" t="str">
        <f t="array" ref="AL129">IFERROR(INDEX($AI$11:$AI$259,MATCH(0,IF(TRUE=$AG$11:$AG$259,COUNTIF($AL$10:$AL128,$AI$11:$AI$259),""),0)),"")</f>
        <v/>
      </c>
      <c r="AM129" s="40" t="str">
        <f t="array" ref="AM129">IFERROR(INDEX($AI$11:$AI$259,MATCH(0,IF(TRUE=$AH$11:$AH$259,COUNTIF($AM$10:$AM128,$AI$11:$AI$259),""),0)),"")</f>
        <v/>
      </c>
      <c r="AN129" s="40"/>
      <c r="AQ129" s="35">
        <f t="shared" si="15"/>
        <v>0</v>
      </c>
      <c r="AT129" s="885" t="str">
        <f>IF(AND(OR(Y129="Yes",Y129="Pending"),P129='G-1 All Habitats'!$X$3),Q129-U129-V129,"")</f>
        <v/>
      </c>
      <c r="AV129" s="542" t="str">
        <f>IFERROR(INDEX('G-1 All Habitats'!$B$3:$B$135,MATCH(F129,'G-1 All Habitats'!$A$3:$A$135,0)),"")</f>
        <v/>
      </c>
      <c r="AW129" s="35" t="str">
        <f>IF(AV129="","",VLOOKUP(AV129,'G-1 All Habitats'!$B$1:$T$135,19,FALSE))</f>
        <v/>
      </c>
    </row>
    <row r="130" spans="1:49" ht="14.5" hidden="1" thickBot="1">
      <c r="A130" s="35" t="str">
        <f>IFERROR(INDEX('G-1 All Habitats'!$AG$3:$AG$17,MATCH(E130,'G-1 All Habitats'!$AF$3:$AF$17,0)),"")</f>
        <v/>
      </c>
      <c r="B130" s="35" t="str">
        <f>IFERROR(INDEX('G-8 Condition Look up'!$I$4:$I$135,MATCH(AV130,'G-8 Condition Look up'!$A$4:$A$135,0)),"")</f>
        <v/>
      </c>
      <c r="D130" s="225">
        <v>120</v>
      </c>
      <c r="E130" s="211"/>
      <c r="F130" s="57"/>
      <c r="G130" s="263"/>
      <c r="H130" s="51"/>
      <c r="I130" s="275" t="str">
        <f>IF(AV130="","",IF(AND(AW130="Yes",G130="No"),"Irreplaceable habitat ▲",IF(AND(AW130="No",G130="Yes"),"Cannot be Irreplaceable ▲",VLOOKUP(AV130,'G-1 All Habitats'!$B$2:$M$135,10,FALSE))))</f>
        <v/>
      </c>
      <c r="J130" s="276" t="str">
        <f>IFERROR(VLOOKUP(I130,'G-1 All Habitats'!$V$3:$W$7,2,FALSE),"")</f>
        <v/>
      </c>
      <c r="K130" s="52"/>
      <c r="L130" s="276" t="str">
        <f>IFERROR(INDEX('G-8 Condition Look up'!$A$3:$H$135,MATCH(AV130,'G-8 Condition Look up'!$A$3:$A$135,0),MATCH(K130,'G-8 Condition Look up'!$A$3:$H$3,0)),"")</f>
        <v/>
      </c>
      <c r="M130" s="52"/>
      <c r="N130" s="295" t="str">
        <f>IF(M130="","",IF(VLOOKUP(M130,'G-3 Multipliers'!$L$3:$N$6,2,FALSE)=0,"Spatial Data Missing",VLOOKUP(M130,'G-3 Multipliers'!$L$3:$N$6,2,FALSE)))</f>
        <v/>
      </c>
      <c r="O130" s="281" t="str">
        <f>IF(M130="","",IF(VLOOKUP(M130,'G-3 Multipliers'!$L$3:$N$6,3,FALSE)=0,"Spatial Data Missing ▲",VLOOKUP(M130,'G-3 Multipliers'!$L$3:$N$6,3,FALSE)))</f>
        <v/>
      </c>
      <c r="P130" s="282" t="str">
        <f>(IF(G130="Yes","Bespoke compensation likely to be required",(IFERROR(VLOOKUP(AV130,'G-1 All Habitats'!$B$2:$M$135,12,FALSE),""))))</f>
        <v/>
      </c>
      <c r="Q130" s="289" t="str">
        <f>IFERROR(IF(AND(F130&lt;&gt;"",G130=""),"Confirm irreplaceable habitat status ▲",(IF(AND(E130="Individual trees",T130&gt;0,G130="Yes"),"Error - you cannot enhance irreplaceable individual trees ▲",(IF(AND(U130="Irreplaceable habitat - no units generated ⚠",(S130+T130)&lt;H130,OR(Y130="No",Y130="")),"Any Loss Unacceptable ⚠",(IF(U130="Irreplaceable habitat - no units generated ⚠",T130*J130*L130*O130,IF(AND(P130='G-1 All Habitats'!$X$9,AC130&gt;0,S130&lt;=0,T130&lt;=0,OR(Y130="No",Y130="")),"Any Loss Unacceptable ⚠",IF(AND(P130='G-1 All Habitats'!$X$9,AC130&gt;0,S130&lt;=0,T130&lt;=0,Y130="Yes"),0,(IF(AND(P130='G-1 All Habitats'!$X$9,(S130+T130)&lt;H130,OR(Y130="No",Y130="")),"Any Loss Unacceptable ⚠",(IF(P130="","",IF(AND(P130='G-1 All Habitats'!$X$9,T130&gt;0),U130+V130,IF(AND(P130='G-1 All Habitats'!$X$9,S130&gt;0),U130+V130,H130*J130*L130*O130))))))))))))))),"Check Data ▲")</f>
        <v/>
      </c>
      <c r="R130" s="38"/>
      <c r="S130" s="52"/>
      <c r="T130" s="53"/>
      <c r="U130" s="287" t="str">
        <f t="shared" si="11"/>
        <v/>
      </c>
      <c r="V130" s="287" t="str">
        <f t="shared" si="12"/>
        <v/>
      </c>
      <c r="W130" s="287" t="str">
        <f t="shared" si="13"/>
        <v/>
      </c>
      <c r="X130" s="291" t="str">
        <f>IFERROR(IF(H130="","",IF(H130-S130-T130=0&lt;0,"Error in Areas ▲",IF(S130+T130&gt;H130,"Error in Areas ▲",IF(AND(P130='G-1 All Habitats'!$X$9,Y130="Yes"),"Alternative Compensation ✓",IF(AND(P130='G-1 All Habitats'!$X$3,Y130="Yes"),"Alternative Compensation ✓",IF(AND(Y130="Pending",P130='G-1 All Habitats'!$X$3),"Bespoke compensation must be agreed ▲",IF(AND(Y130="Pending",P130='G-1 All Habitats'!$X$9),"Bespoke compensation must be agreed  ▲",IF(W130=0,0,IF(P130='G-1 All Habitats'!$X$9,"Any Loss Unacceptable ▲",Q130-U130-V130))))))))),"Check Data ▲")</f>
        <v/>
      </c>
      <c r="Y130" s="53"/>
      <c r="Z130" s="105"/>
      <c r="AA130" s="233"/>
      <c r="AB130" s="104"/>
      <c r="AC130" s="512" t="str">
        <f>IF(OR(P130="",Y130="Yes"),"",IF(P130='G-1 All Habitats'!$X$9,H130-S130-T130,"None"))</f>
        <v/>
      </c>
      <c r="AD130" s="513" t="str">
        <f>IF(P130="","",IF(P130='G-1 All Habitats'!$X$9,AC130*J130*L130*O130,"None"))</f>
        <v/>
      </c>
      <c r="AE130" s="35" t="str">
        <f t="shared" si="9"/>
        <v/>
      </c>
      <c r="AF130" s="40" t="str">
        <f t="shared" si="14"/>
        <v/>
      </c>
      <c r="AG130" s="40" t="str">
        <f t="shared" si="10"/>
        <v/>
      </c>
      <c r="AH130" s="40" t="str">
        <f>IF(I130="","",IF(#REF!&gt;0,TRUE,FALSE))</f>
        <v/>
      </c>
      <c r="AI130" s="40">
        <v>120</v>
      </c>
      <c r="AJ130" s="40"/>
      <c r="AK130" s="40" t="str">
        <f t="array" ref="AK130">IFERROR(INDEX($AI$11:$AI$259,MATCH(0,IF(TRUE=$AF$11:$AF$259,COUNTIF($AK$10:$AK129,$AI$11:$AI$259),""),0)),"")</f>
        <v/>
      </c>
      <c r="AL130" s="40" t="str">
        <f t="array" ref="AL130">IFERROR(INDEX($AI$11:$AI$259,MATCH(0,IF(TRUE=$AG$11:$AG$259,COUNTIF($AL$10:$AL129,$AI$11:$AI$259),""),0)),"")</f>
        <v/>
      </c>
      <c r="AM130" s="40" t="str">
        <f t="array" ref="AM130">IFERROR(INDEX($AI$11:$AI$259,MATCH(0,IF(TRUE=$AH$11:$AH$259,COUNTIF($AM$10:$AM129,$AI$11:$AI$259),""),0)),"")</f>
        <v/>
      </c>
      <c r="AN130" s="40"/>
      <c r="AQ130" s="35">
        <f t="shared" si="15"/>
        <v>0</v>
      </c>
      <c r="AT130" s="885" t="str">
        <f>IF(AND(OR(Y130="Yes",Y130="Pending"),P130='G-1 All Habitats'!$X$3),Q130-U130-V130,"")</f>
        <v/>
      </c>
      <c r="AV130" s="542" t="str">
        <f>IFERROR(INDEX('G-1 All Habitats'!$B$3:$B$135,MATCH(F130,'G-1 All Habitats'!$A$3:$A$135,0)),"")</f>
        <v/>
      </c>
      <c r="AW130" s="35" t="str">
        <f>IF(AV130="","",VLOOKUP(AV130,'G-1 All Habitats'!$B$1:$T$135,19,FALSE))</f>
        <v/>
      </c>
    </row>
    <row r="131" spans="1:49" ht="14.5" hidden="1" thickBot="1">
      <c r="A131" s="35" t="str">
        <f>IFERROR(INDEX('G-1 All Habitats'!$AG$3:$AG$17,MATCH(E131,'G-1 All Habitats'!$AF$3:$AF$17,0)),"")</f>
        <v/>
      </c>
      <c r="B131" s="35" t="str">
        <f>IFERROR(INDEX('G-8 Condition Look up'!$I$4:$I$135,MATCH(AV131,'G-8 Condition Look up'!$A$4:$A$135,0)),"")</f>
        <v/>
      </c>
      <c r="D131" s="225">
        <v>121</v>
      </c>
      <c r="E131" s="211"/>
      <c r="F131" s="57"/>
      <c r="G131" s="263"/>
      <c r="H131" s="51"/>
      <c r="I131" s="275" t="str">
        <f>IF(AV131="","",IF(AND(AW131="Yes",G131="No"),"Irreplaceable habitat ▲",IF(AND(AW131="No",G131="Yes"),"Cannot be Irreplaceable ▲",VLOOKUP(AV131,'G-1 All Habitats'!$B$2:$M$135,10,FALSE))))</f>
        <v/>
      </c>
      <c r="J131" s="276" t="str">
        <f>IFERROR(VLOOKUP(I131,'G-1 All Habitats'!$V$3:$W$7,2,FALSE),"")</f>
        <v/>
      </c>
      <c r="K131" s="52"/>
      <c r="L131" s="276" t="str">
        <f>IFERROR(INDEX('G-8 Condition Look up'!$A$3:$H$135,MATCH(AV131,'G-8 Condition Look up'!$A$3:$A$135,0),MATCH(K131,'G-8 Condition Look up'!$A$3:$H$3,0)),"")</f>
        <v/>
      </c>
      <c r="M131" s="52"/>
      <c r="N131" s="295" t="str">
        <f>IF(M131="","",IF(VLOOKUP(M131,'G-3 Multipliers'!$L$3:$N$6,2,FALSE)=0,"Spatial Data Missing",VLOOKUP(M131,'G-3 Multipliers'!$L$3:$N$6,2,FALSE)))</f>
        <v/>
      </c>
      <c r="O131" s="281" t="str">
        <f>IF(M131="","",IF(VLOOKUP(M131,'G-3 Multipliers'!$L$3:$N$6,3,FALSE)=0,"Spatial Data Missing ▲",VLOOKUP(M131,'G-3 Multipliers'!$L$3:$N$6,3,FALSE)))</f>
        <v/>
      </c>
      <c r="P131" s="282" t="str">
        <f>(IF(G131="Yes","Bespoke compensation likely to be required",(IFERROR(VLOOKUP(AV131,'G-1 All Habitats'!$B$2:$M$135,12,FALSE),""))))</f>
        <v/>
      </c>
      <c r="Q131" s="289" t="str">
        <f>IFERROR(IF(AND(F131&lt;&gt;"",G131=""),"Confirm irreplaceable habitat status ▲",(IF(AND(E131="Individual trees",T131&gt;0,G131="Yes"),"Error - you cannot enhance irreplaceable individual trees ▲",(IF(AND(U131="Irreplaceable habitat - no units generated ⚠",(S131+T131)&lt;H131,OR(Y131="No",Y131="")),"Any Loss Unacceptable ⚠",(IF(U131="Irreplaceable habitat - no units generated ⚠",T131*J131*L131*O131,IF(AND(P131='G-1 All Habitats'!$X$9,AC131&gt;0,S131&lt;=0,T131&lt;=0,OR(Y131="No",Y131="")),"Any Loss Unacceptable ⚠",IF(AND(P131='G-1 All Habitats'!$X$9,AC131&gt;0,S131&lt;=0,T131&lt;=0,Y131="Yes"),0,(IF(AND(P131='G-1 All Habitats'!$X$9,(S131+T131)&lt;H131,OR(Y131="No",Y131="")),"Any Loss Unacceptable ⚠",(IF(P131="","",IF(AND(P131='G-1 All Habitats'!$X$9,T131&gt;0),U131+V131,IF(AND(P131='G-1 All Habitats'!$X$9,S131&gt;0),U131+V131,H131*J131*L131*O131))))))))))))))),"Check Data ▲")</f>
        <v/>
      </c>
      <c r="R131" s="38"/>
      <c r="S131" s="52"/>
      <c r="T131" s="53"/>
      <c r="U131" s="287" t="str">
        <f t="shared" si="11"/>
        <v/>
      </c>
      <c r="V131" s="287" t="str">
        <f t="shared" si="12"/>
        <v/>
      </c>
      <c r="W131" s="287" t="str">
        <f t="shared" si="13"/>
        <v/>
      </c>
      <c r="X131" s="291" t="str">
        <f>IFERROR(IF(H131="","",IF(H131-S131-T131=0&lt;0,"Error in Areas ▲",IF(S131+T131&gt;H131,"Error in Areas ▲",IF(AND(P131='G-1 All Habitats'!$X$9,Y131="Yes"),"Alternative Compensation ✓",IF(AND(P131='G-1 All Habitats'!$X$3,Y131="Yes"),"Alternative Compensation ✓",IF(AND(Y131="Pending",P131='G-1 All Habitats'!$X$3),"Bespoke compensation must be agreed ▲",IF(AND(Y131="Pending",P131='G-1 All Habitats'!$X$9),"Bespoke compensation must be agreed  ▲",IF(W131=0,0,IF(P131='G-1 All Habitats'!$X$9,"Any Loss Unacceptable ▲",Q131-U131-V131))))))))),"Check Data ▲")</f>
        <v/>
      </c>
      <c r="Y131" s="53"/>
      <c r="Z131" s="105"/>
      <c r="AA131" s="233"/>
      <c r="AB131" s="104"/>
      <c r="AC131" s="512" t="str">
        <f>IF(OR(P131="",Y131="Yes"),"",IF(P131='G-1 All Habitats'!$X$9,H131-S131-T131,"None"))</f>
        <v/>
      </c>
      <c r="AD131" s="513" t="str">
        <f>IF(P131="","",IF(P131='G-1 All Habitats'!$X$9,AC131*J131*L131*O131,"None"))</f>
        <v/>
      </c>
      <c r="AE131" s="35" t="str">
        <f t="shared" si="9"/>
        <v/>
      </c>
      <c r="AF131" s="40" t="str">
        <f t="shared" si="14"/>
        <v/>
      </c>
      <c r="AG131" s="40" t="str">
        <f t="shared" si="10"/>
        <v/>
      </c>
      <c r="AH131" s="40" t="str">
        <f>IF(I131="","",IF(#REF!&gt;0,TRUE,FALSE))</f>
        <v/>
      </c>
      <c r="AI131" s="40">
        <v>121</v>
      </c>
      <c r="AJ131" s="40"/>
      <c r="AK131" s="40" t="str">
        <f t="array" ref="AK131">IFERROR(INDEX($AI$11:$AI$259,MATCH(0,IF(TRUE=$AF$11:$AF$259,COUNTIF($AK$10:$AK130,$AI$11:$AI$259),""),0)),"")</f>
        <v/>
      </c>
      <c r="AL131" s="40" t="str">
        <f t="array" ref="AL131">IFERROR(INDEX($AI$11:$AI$259,MATCH(0,IF(TRUE=$AG$11:$AG$259,COUNTIF($AL$10:$AL130,$AI$11:$AI$259),""),0)),"")</f>
        <v/>
      </c>
      <c r="AM131" s="40" t="str">
        <f t="array" ref="AM131">IFERROR(INDEX($AI$11:$AI$259,MATCH(0,IF(TRUE=$AH$11:$AH$259,COUNTIF($AM$10:$AM130,$AI$11:$AI$259),""),0)),"")</f>
        <v/>
      </c>
      <c r="AN131" s="40"/>
      <c r="AQ131" s="35">
        <f t="shared" si="15"/>
        <v>0</v>
      </c>
      <c r="AT131" s="885" t="str">
        <f>IF(AND(OR(Y131="Yes",Y131="Pending"),P131='G-1 All Habitats'!$X$3),Q131-U131-V131,"")</f>
        <v/>
      </c>
      <c r="AV131" s="542" t="str">
        <f>IFERROR(INDEX('G-1 All Habitats'!$B$3:$B$135,MATCH(F131,'G-1 All Habitats'!$A$3:$A$135,0)),"")</f>
        <v/>
      </c>
      <c r="AW131" s="35" t="str">
        <f>IF(AV131="","",VLOOKUP(AV131,'G-1 All Habitats'!$B$1:$T$135,19,FALSE))</f>
        <v/>
      </c>
    </row>
    <row r="132" spans="1:49" ht="14.5" hidden="1" thickBot="1">
      <c r="A132" s="35" t="str">
        <f>IFERROR(INDEX('G-1 All Habitats'!$AG$3:$AG$17,MATCH(E132,'G-1 All Habitats'!$AF$3:$AF$17,0)),"")</f>
        <v/>
      </c>
      <c r="B132" s="35" t="str">
        <f>IFERROR(INDEX('G-8 Condition Look up'!$I$4:$I$135,MATCH(AV132,'G-8 Condition Look up'!$A$4:$A$135,0)),"")</f>
        <v/>
      </c>
      <c r="D132" s="225">
        <v>122</v>
      </c>
      <c r="E132" s="211"/>
      <c r="F132" s="57"/>
      <c r="G132" s="263"/>
      <c r="H132" s="51"/>
      <c r="I132" s="275" t="str">
        <f>IF(AV132="","",IF(AND(AW132="Yes",G132="No"),"Irreplaceable habitat ▲",IF(AND(AW132="No",G132="Yes"),"Cannot be Irreplaceable ▲",VLOOKUP(AV132,'G-1 All Habitats'!$B$2:$M$135,10,FALSE))))</f>
        <v/>
      </c>
      <c r="J132" s="276" t="str">
        <f>IFERROR(VLOOKUP(I132,'G-1 All Habitats'!$V$3:$W$7,2,FALSE),"")</f>
        <v/>
      </c>
      <c r="K132" s="52"/>
      <c r="L132" s="276" t="str">
        <f>IFERROR(INDEX('G-8 Condition Look up'!$A$3:$H$135,MATCH(AV132,'G-8 Condition Look up'!$A$3:$A$135,0),MATCH(K132,'G-8 Condition Look up'!$A$3:$H$3,0)),"")</f>
        <v/>
      </c>
      <c r="M132" s="52"/>
      <c r="N132" s="295" t="str">
        <f>IF(M132="","",IF(VLOOKUP(M132,'G-3 Multipliers'!$L$3:$N$6,2,FALSE)=0,"Spatial Data Missing",VLOOKUP(M132,'G-3 Multipliers'!$L$3:$N$6,2,FALSE)))</f>
        <v/>
      </c>
      <c r="O132" s="281" t="str">
        <f>IF(M132="","",IF(VLOOKUP(M132,'G-3 Multipliers'!$L$3:$N$6,3,FALSE)=0,"Spatial Data Missing ▲",VLOOKUP(M132,'G-3 Multipliers'!$L$3:$N$6,3,FALSE)))</f>
        <v/>
      </c>
      <c r="P132" s="282" t="str">
        <f>(IF(G132="Yes","Bespoke compensation likely to be required",(IFERROR(VLOOKUP(AV132,'G-1 All Habitats'!$B$2:$M$135,12,FALSE),""))))</f>
        <v/>
      </c>
      <c r="Q132" s="289" t="str">
        <f>IFERROR(IF(AND(F132&lt;&gt;"",G132=""),"Confirm irreplaceable habitat status ▲",(IF(AND(E132="Individual trees",T132&gt;0,G132="Yes"),"Error - you cannot enhance irreplaceable individual trees ▲",(IF(AND(U132="Irreplaceable habitat - no units generated ⚠",(S132+T132)&lt;H132,OR(Y132="No",Y132="")),"Any Loss Unacceptable ⚠",(IF(U132="Irreplaceable habitat - no units generated ⚠",T132*J132*L132*O132,IF(AND(P132='G-1 All Habitats'!$X$9,AC132&gt;0,S132&lt;=0,T132&lt;=0,OR(Y132="No",Y132="")),"Any Loss Unacceptable ⚠",IF(AND(P132='G-1 All Habitats'!$X$9,AC132&gt;0,S132&lt;=0,T132&lt;=0,Y132="Yes"),0,(IF(AND(P132='G-1 All Habitats'!$X$9,(S132+T132)&lt;H132,OR(Y132="No",Y132="")),"Any Loss Unacceptable ⚠",(IF(P132="","",IF(AND(P132='G-1 All Habitats'!$X$9,T132&gt;0),U132+V132,IF(AND(P132='G-1 All Habitats'!$X$9,S132&gt;0),U132+V132,H132*J132*L132*O132))))))))))))))),"Check Data ▲")</f>
        <v/>
      </c>
      <c r="R132" s="38"/>
      <c r="S132" s="52"/>
      <c r="T132" s="53"/>
      <c r="U132" s="287" t="str">
        <f t="shared" si="11"/>
        <v/>
      </c>
      <c r="V132" s="287" t="str">
        <f t="shared" si="12"/>
        <v/>
      </c>
      <c r="W132" s="287" t="str">
        <f t="shared" si="13"/>
        <v/>
      </c>
      <c r="X132" s="291" t="str">
        <f>IFERROR(IF(H132="","",IF(H132-S132-T132=0&lt;0,"Error in Areas ▲",IF(S132+T132&gt;H132,"Error in Areas ▲",IF(AND(P132='G-1 All Habitats'!$X$9,Y132="Yes"),"Alternative Compensation ✓",IF(AND(P132='G-1 All Habitats'!$X$3,Y132="Yes"),"Alternative Compensation ✓",IF(AND(Y132="Pending",P132='G-1 All Habitats'!$X$3),"Bespoke compensation must be agreed ▲",IF(AND(Y132="Pending",P132='G-1 All Habitats'!$X$9),"Bespoke compensation must be agreed  ▲",IF(W132=0,0,IF(P132='G-1 All Habitats'!$X$9,"Any Loss Unacceptable ▲",Q132-U132-V132))))))))),"Check Data ▲")</f>
        <v/>
      </c>
      <c r="Y132" s="53"/>
      <c r="Z132" s="105"/>
      <c r="AA132" s="233"/>
      <c r="AB132" s="104"/>
      <c r="AC132" s="512" t="str">
        <f>IF(OR(P132="",Y132="Yes"),"",IF(P132='G-1 All Habitats'!$X$9,H132-S132-T132,"None"))</f>
        <v/>
      </c>
      <c r="AD132" s="513" t="str">
        <f>IF(P132="","",IF(P132='G-1 All Habitats'!$X$9,AC132*J132*L132*O132,"None"))</f>
        <v/>
      </c>
      <c r="AE132" s="35" t="str">
        <f t="shared" si="9"/>
        <v/>
      </c>
      <c r="AF132" s="40" t="str">
        <f t="shared" si="14"/>
        <v/>
      </c>
      <c r="AG132" s="40" t="str">
        <f t="shared" si="10"/>
        <v/>
      </c>
      <c r="AH132" s="40" t="str">
        <f>IF(I132="","",IF(#REF!&gt;0,TRUE,FALSE))</f>
        <v/>
      </c>
      <c r="AI132" s="40">
        <v>122</v>
      </c>
      <c r="AJ132" s="40"/>
      <c r="AK132" s="40" t="str">
        <f t="array" ref="AK132">IFERROR(INDEX($AI$11:$AI$259,MATCH(0,IF(TRUE=$AF$11:$AF$259,COUNTIF($AK$10:$AK131,$AI$11:$AI$259),""),0)),"")</f>
        <v/>
      </c>
      <c r="AL132" s="40" t="str">
        <f t="array" ref="AL132">IFERROR(INDEX($AI$11:$AI$259,MATCH(0,IF(TRUE=$AG$11:$AG$259,COUNTIF($AL$10:$AL131,$AI$11:$AI$259),""),0)),"")</f>
        <v/>
      </c>
      <c r="AM132" s="40" t="str">
        <f t="array" ref="AM132">IFERROR(INDEX($AI$11:$AI$259,MATCH(0,IF(TRUE=$AH$11:$AH$259,COUNTIF($AM$10:$AM131,$AI$11:$AI$259),""),0)),"")</f>
        <v/>
      </c>
      <c r="AN132" s="40"/>
      <c r="AQ132" s="35">
        <f t="shared" si="15"/>
        <v>0</v>
      </c>
      <c r="AT132" s="885" t="str">
        <f>IF(AND(OR(Y132="Yes",Y132="Pending"),P132='G-1 All Habitats'!$X$3),Q132-U132-V132,"")</f>
        <v/>
      </c>
      <c r="AV132" s="542" t="str">
        <f>IFERROR(INDEX('G-1 All Habitats'!$B$3:$B$135,MATCH(F132,'G-1 All Habitats'!$A$3:$A$135,0)),"")</f>
        <v/>
      </c>
      <c r="AW132" s="35" t="str">
        <f>IF(AV132="","",VLOOKUP(AV132,'G-1 All Habitats'!$B$1:$T$135,19,FALSE))</f>
        <v/>
      </c>
    </row>
    <row r="133" spans="1:49" ht="14.5" hidden="1" thickBot="1">
      <c r="A133" s="35" t="str">
        <f>IFERROR(INDEX('G-1 All Habitats'!$AG$3:$AG$17,MATCH(E133,'G-1 All Habitats'!$AF$3:$AF$17,0)),"")</f>
        <v/>
      </c>
      <c r="B133" s="35" t="str">
        <f>IFERROR(INDEX('G-8 Condition Look up'!$I$4:$I$135,MATCH(AV133,'G-8 Condition Look up'!$A$4:$A$135,0)),"")</f>
        <v/>
      </c>
      <c r="D133" s="225">
        <v>123</v>
      </c>
      <c r="E133" s="211"/>
      <c r="F133" s="57"/>
      <c r="G133" s="263"/>
      <c r="H133" s="51"/>
      <c r="I133" s="275" t="str">
        <f>IF(AV133="","",IF(AND(AW133="Yes",G133="No"),"Irreplaceable habitat ▲",IF(AND(AW133="No",G133="Yes"),"Cannot be Irreplaceable ▲",VLOOKUP(AV133,'G-1 All Habitats'!$B$2:$M$135,10,FALSE))))</f>
        <v/>
      </c>
      <c r="J133" s="276" t="str">
        <f>IFERROR(VLOOKUP(I133,'G-1 All Habitats'!$V$3:$W$7,2,FALSE),"")</f>
        <v/>
      </c>
      <c r="K133" s="52"/>
      <c r="L133" s="276" t="str">
        <f>IFERROR(INDEX('G-8 Condition Look up'!$A$3:$H$135,MATCH(AV133,'G-8 Condition Look up'!$A$3:$A$135,0),MATCH(K133,'G-8 Condition Look up'!$A$3:$H$3,0)),"")</f>
        <v/>
      </c>
      <c r="M133" s="52"/>
      <c r="N133" s="295" t="str">
        <f>IF(M133="","",IF(VLOOKUP(M133,'G-3 Multipliers'!$L$3:$N$6,2,FALSE)=0,"Spatial Data Missing",VLOOKUP(M133,'G-3 Multipliers'!$L$3:$N$6,2,FALSE)))</f>
        <v/>
      </c>
      <c r="O133" s="281" t="str">
        <f>IF(M133="","",IF(VLOOKUP(M133,'G-3 Multipliers'!$L$3:$N$6,3,FALSE)=0,"Spatial Data Missing ▲",VLOOKUP(M133,'G-3 Multipliers'!$L$3:$N$6,3,FALSE)))</f>
        <v/>
      </c>
      <c r="P133" s="282" t="str">
        <f>(IF(G133="Yes","Bespoke compensation likely to be required",(IFERROR(VLOOKUP(AV133,'G-1 All Habitats'!$B$2:$M$135,12,FALSE),""))))</f>
        <v/>
      </c>
      <c r="Q133" s="289" t="str">
        <f>IFERROR(IF(AND(F133&lt;&gt;"",G133=""),"Confirm irreplaceable habitat status ▲",(IF(AND(E133="Individual trees",T133&gt;0,G133="Yes"),"Error - you cannot enhance irreplaceable individual trees ▲",(IF(AND(U133="Irreplaceable habitat - no units generated ⚠",(S133+T133)&lt;H133,OR(Y133="No",Y133="")),"Any Loss Unacceptable ⚠",(IF(U133="Irreplaceable habitat - no units generated ⚠",T133*J133*L133*O133,IF(AND(P133='G-1 All Habitats'!$X$9,AC133&gt;0,S133&lt;=0,T133&lt;=0,OR(Y133="No",Y133="")),"Any Loss Unacceptable ⚠",IF(AND(P133='G-1 All Habitats'!$X$9,AC133&gt;0,S133&lt;=0,T133&lt;=0,Y133="Yes"),0,(IF(AND(P133='G-1 All Habitats'!$X$9,(S133+T133)&lt;H133,OR(Y133="No",Y133="")),"Any Loss Unacceptable ⚠",(IF(P133="","",IF(AND(P133='G-1 All Habitats'!$X$9,T133&gt;0),U133+V133,IF(AND(P133='G-1 All Habitats'!$X$9,S133&gt;0),U133+V133,H133*J133*L133*O133))))))))))))))),"Check Data ▲")</f>
        <v/>
      </c>
      <c r="R133" s="38"/>
      <c r="S133" s="52"/>
      <c r="T133" s="53"/>
      <c r="U133" s="287" t="str">
        <f t="shared" si="11"/>
        <v/>
      </c>
      <c r="V133" s="287" t="str">
        <f t="shared" si="12"/>
        <v/>
      </c>
      <c r="W133" s="287" t="str">
        <f t="shared" si="13"/>
        <v/>
      </c>
      <c r="X133" s="291" t="str">
        <f>IFERROR(IF(H133="","",IF(H133-S133-T133=0&lt;0,"Error in Areas ▲",IF(S133+T133&gt;H133,"Error in Areas ▲",IF(AND(P133='G-1 All Habitats'!$X$9,Y133="Yes"),"Alternative Compensation ✓",IF(AND(P133='G-1 All Habitats'!$X$3,Y133="Yes"),"Alternative Compensation ✓",IF(AND(Y133="Pending",P133='G-1 All Habitats'!$X$3),"Bespoke compensation must be agreed ▲",IF(AND(Y133="Pending",P133='G-1 All Habitats'!$X$9),"Bespoke compensation must be agreed  ▲",IF(W133=0,0,IF(P133='G-1 All Habitats'!$X$9,"Any Loss Unacceptable ▲",Q133-U133-V133))))))))),"Check Data ▲")</f>
        <v/>
      </c>
      <c r="Y133" s="53"/>
      <c r="Z133" s="105"/>
      <c r="AA133" s="233"/>
      <c r="AB133" s="104"/>
      <c r="AC133" s="512" t="str">
        <f>IF(OR(P133="",Y133="Yes"),"",IF(P133='G-1 All Habitats'!$X$9,H133-S133-T133,"None"))</f>
        <v/>
      </c>
      <c r="AD133" s="513" t="str">
        <f>IF(P133="","",IF(P133='G-1 All Habitats'!$X$9,AC133*J133*L133*O133,"None"))</f>
        <v/>
      </c>
      <c r="AE133" s="35" t="str">
        <f t="shared" si="9"/>
        <v/>
      </c>
      <c r="AF133" s="40" t="str">
        <f t="shared" si="14"/>
        <v/>
      </c>
      <c r="AG133" s="40" t="str">
        <f t="shared" si="10"/>
        <v/>
      </c>
      <c r="AH133" s="40" t="str">
        <f>IF(I133="","",IF(#REF!&gt;0,TRUE,FALSE))</f>
        <v/>
      </c>
      <c r="AI133" s="40">
        <v>123</v>
      </c>
      <c r="AJ133" s="40"/>
      <c r="AK133" s="40" t="str">
        <f t="array" ref="AK133">IFERROR(INDEX($AI$11:$AI$259,MATCH(0,IF(TRUE=$AF$11:$AF$259,COUNTIF($AK$10:$AK132,$AI$11:$AI$259),""),0)),"")</f>
        <v/>
      </c>
      <c r="AL133" s="40" t="str">
        <f t="array" ref="AL133">IFERROR(INDEX($AI$11:$AI$259,MATCH(0,IF(TRUE=$AG$11:$AG$259,COUNTIF($AL$10:$AL132,$AI$11:$AI$259),""),0)),"")</f>
        <v/>
      </c>
      <c r="AM133" s="40" t="str">
        <f t="array" ref="AM133">IFERROR(INDEX($AI$11:$AI$259,MATCH(0,IF(TRUE=$AH$11:$AH$259,COUNTIF($AM$10:$AM132,$AI$11:$AI$259),""),0)),"")</f>
        <v/>
      </c>
      <c r="AN133" s="40"/>
      <c r="AQ133" s="35">
        <f t="shared" si="15"/>
        <v>0</v>
      </c>
      <c r="AT133" s="885" t="str">
        <f>IF(AND(OR(Y133="Yes",Y133="Pending"),P133='G-1 All Habitats'!$X$3),Q133-U133-V133,"")</f>
        <v/>
      </c>
      <c r="AV133" s="542" t="str">
        <f>IFERROR(INDEX('G-1 All Habitats'!$B$3:$B$135,MATCH(F133,'G-1 All Habitats'!$A$3:$A$135,0)),"")</f>
        <v/>
      </c>
      <c r="AW133" s="35" t="str">
        <f>IF(AV133="","",VLOOKUP(AV133,'G-1 All Habitats'!$B$1:$T$135,19,FALSE))</f>
        <v/>
      </c>
    </row>
    <row r="134" spans="1:49" ht="14.5" hidden="1" thickBot="1">
      <c r="A134" s="35" t="str">
        <f>IFERROR(INDEX('G-1 All Habitats'!$AG$3:$AG$17,MATCH(E134,'G-1 All Habitats'!$AF$3:$AF$17,0)),"")</f>
        <v/>
      </c>
      <c r="B134" s="35" t="str">
        <f>IFERROR(INDEX('G-8 Condition Look up'!$I$4:$I$135,MATCH(AV134,'G-8 Condition Look up'!$A$4:$A$135,0)),"")</f>
        <v/>
      </c>
      <c r="D134" s="225">
        <v>124</v>
      </c>
      <c r="E134" s="211"/>
      <c r="F134" s="57"/>
      <c r="G134" s="263"/>
      <c r="H134" s="51"/>
      <c r="I134" s="275" t="str">
        <f>IF(AV134="","",IF(AND(AW134="Yes",G134="No"),"Irreplaceable habitat ▲",IF(AND(AW134="No",G134="Yes"),"Cannot be Irreplaceable ▲",VLOOKUP(AV134,'G-1 All Habitats'!$B$2:$M$135,10,FALSE))))</f>
        <v/>
      </c>
      <c r="J134" s="276" t="str">
        <f>IFERROR(VLOOKUP(I134,'G-1 All Habitats'!$V$3:$W$7,2,FALSE),"")</f>
        <v/>
      </c>
      <c r="K134" s="52"/>
      <c r="L134" s="276" t="str">
        <f>IFERROR(INDEX('G-8 Condition Look up'!$A$3:$H$135,MATCH(AV134,'G-8 Condition Look up'!$A$3:$A$135,0),MATCH(K134,'G-8 Condition Look up'!$A$3:$H$3,0)),"")</f>
        <v/>
      </c>
      <c r="M134" s="52"/>
      <c r="N134" s="295" t="str">
        <f>IF(M134="","",IF(VLOOKUP(M134,'G-3 Multipliers'!$L$3:$N$6,2,FALSE)=0,"Spatial Data Missing",VLOOKUP(M134,'G-3 Multipliers'!$L$3:$N$6,2,FALSE)))</f>
        <v/>
      </c>
      <c r="O134" s="281" t="str">
        <f>IF(M134="","",IF(VLOOKUP(M134,'G-3 Multipliers'!$L$3:$N$6,3,FALSE)=0,"Spatial Data Missing ▲",VLOOKUP(M134,'G-3 Multipliers'!$L$3:$N$6,3,FALSE)))</f>
        <v/>
      </c>
      <c r="P134" s="282" t="str">
        <f>(IF(G134="Yes","Bespoke compensation likely to be required",(IFERROR(VLOOKUP(AV134,'G-1 All Habitats'!$B$2:$M$135,12,FALSE),""))))</f>
        <v/>
      </c>
      <c r="Q134" s="289" t="str">
        <f>IFERROR(IF(AND(F134&lt;&gt;"",G134=""),"Confirm irreplaceable habitat status ▲",(IF(AND(E134="Individual trees",T134&gt;0,G134="Yes"),"Error - you cannot enhance irreplaceable individual trees ▲",(IF(AND(U134="Irreplaceable habitat - no units generated ⚠",(S134+T134)&lt;H134,OR(Y134="No",Y134="")),"Any Loss Unacceptable ⚠",(IF(U134="Irreplaceable habitat - no units generated ⚠",T134*J134*L134*O134,IF(AND(P134='G-1 All Habitats'!$X$9,AC134&gt;0,S134&lt;=0,T134&lt;=0,OR(Y134="No",Y134="")),"Any Loss Unacceptable ⚠",IF(AND(P134='G-1 All Habitats'!$X$9,AC134&gt;0,S134&lt;=0,T134&lt;=0,Y134="Yes"),0,(IF(AND(P134='G-1 All Habitats'!$X$9,(S134+T134)&lt;H134,OR(Y134="No",Y134="")),"Any Loss Unacceptable ⚠",(IF(P134="","",IF(AND(P134='G-1 All Habitats'!$X$9,T134&gt;0),U134+V134,IF(AND(P134='G-1 All Habitats'!$X$9,S134&gt;0),U134+V134,H134*J134*L134*O134))))))))))))))),"Check Data ▲")</f>
        <v/>
      </c>
      <c r="R134" s="38"/>
      <c r="S134" s="52"/>
      <c r="T134" s="53"/>
      <c r="U134" s="287" t="str">
        <f t="shared" si="11"/>
        <v/>
      </c>
      <c r="V134" s="287" t="str">
        <f t="shared" si="12"/>
        <v/>
      </c>
      <c r="W134" s="287" t="str">
        <f t="shared" si="13"/>
        <v/>
      </c>
      <c r="X134" s="291" t="str">
        <f>IFERROR(IF(H134="","",IF(H134-S134-T134=0&lt;0,"Error in Areas ▲",IF(S134+T134&gt;H134,"Error in Areas ▲",IF(AND(P134='G-1 All Habitats'!$X$9,Y134="Yes"),"Alternative Compensation ✓",IF(AND(P134='G-1 All Habitats'!$X$3,Y134="Yes"),"Alternative Compensation ✓",IF(AND(Y134="Pending",P134='G-1 All Habitats'!$X$3),"Bespoke compensation must be agreed ▲",IF(AND(Y134="Pending",P134='G-1 All Habitats'!$X$9),"Bespoke compensation must be agreed  ▲",IF(W134=0,0,IF(P134='G-1 All Habitats'!$X$9,"Any Loss Unacceptable ▲",Q134-U134-V134))))))))),"Check Data ▲")</f>
        <v/>
      </c>
      <c r="Y134" s="53"/>
      <c r="Z134" s="105"/>
      <c r="AA134" s="233"/>
      <c r="AB134" s="104"/>
      <c r="AC134" s="512" t="str">
        <f>IF(OR(P134="",Y134="Yes"),"",IF(P134='G-1 All Habitats'!$X$9,H134-S134-T134,"None"))</f>
        <v/>
      </c>
      <c r="AD134" s="513" t="str">
        <f>IF(P134="","",IF(P134='G-1 All Habitats'!$X$9,AC134*J134*L134*O134,"None"))</f>
        <v/>
      </c>
      <c r="AE134" s="35" t="str">
        <f t="shared" si="9"/>
        <v/>
      </c>
      <c r="AF134" s="40" t="str">
        <f t="shared" si="14"/>
        <v/>
      </c>
      <c r="AG134" s="40" t="str">
        <f t="shared" si="10"/>
        <v/>
      </c>
      <c r="AH134" s="40" t="str">
        <f>IF(I134="","",IF(#REF!&gt;0,TRUE,FALSE))</f>
        <v/>
      </c>
      <c r="AI134" s="40">
        <v>124</v>
      </c>
      <c r="AJ134" s="40"/>
      <c r="AK134" s="40" t="str">
        <f t="array" ref="AK134">IFERROR(INDEX($AI$11:$AI$259,MATCH(0,IF(TRUE=$AF$11:$AF$259,COUNTIF($AK$10:$AK133,$AI$11:$AI$259),""),0)),"")</f>
        <v/>
      </c>
      <c r="AL134" s="40" t="str">
        <f t="array" ref="AL134">IFERROR(INDEX($AI$11:$AI$259,MATCH(0,IF(TRUE=$AG$11:$AG$259,COUNTIF($AL$10:$AL133,$AI$11:$AI$259),""),0)),"")</f>
        <v/>
      </c>
      <c r="AM134" s="40" t="str">
        <f t="array" ref="AM134">IFERROR(INDEX($AI$11:$AI$259,MATCH(0,IF(TRUE=$AH$11:$AH$259,COUNTIF($AM$10:$AM133,$AI$11:$AI$259),""),0)),"")</f>
        <v/>
      </c>
      <c r="AN134" s="40"/>
      <c r="AQ134" s="35">
        <f t="shared" si="15"/>
        <v>0</v>
      </c>
      <c r="AT134" s="885" t="str">
        <f>IF(AND(OR(Y134="Yes",Y134="Pending"),P134='G-1 All Habitats'!$X$3),Q134-U134-V134,"")</f>
        <v/>
      </c>
      <c r="AV134" s="542" t="str">
        <f>IFERROR(INDEX('G-1 All Habitats'!$B$3:$B$135,MATCH(F134,'G-1 All Habitats'!$A$3:$A$135,0)),"")</f>
        <v/>
      </c>
      <c r="AW134" s="35" t="str">
        <f>IF(AV134="","",VLOOKUP(AV134,'G-1 All Habitats'!$B$1:$T$135,19,FALSE))</f>
        <v/>
      </c>
    </row>
    <row r="135" spans="1:49" ht="14.5" hidden="1" thickBot="1">
      <c r="A135" s="35" t="str">
        <f>IFERROR(INDEX('G-1 All Habitats'!$AG$3:$AG$17,MATCH(E135,'G-1 All Habitats'!$AF$3:$AF$17,0)),"")</f>
        <v/>
      </c>
      <c r="B135" s="35" t="str">
        <f>IFERROR(INDEX('G-8 Condition Look up'!$I$4:$I$135,MATCH(AV135,'G-8 Condition Look up'!$A$4:$A$135,0)),"")</f>
        <v/>
      </c>
      <c r="D135" s="225">
        <v>125</v>
      </c>
      <c r="E135" s="211"/>
      <c r="F135" s="57"/>
      <c r="G135" s="263"/>
      <c r="H135" s="51"/>
      <c r="I135" s="275" t="str">
        <f>IF(AV135="","",IF(AND(AW135="Yes",G135="No"),"Irreplaceable habitat ▲",IF(AND(AW135="No",G135="Yes"),"Cannot be Irreplaceable ▲",VLOOKUP(AV135,'G-1 All Habitats'!$B$2:$M$135,10,FALSE))))</f>
        <v/>
      </c>
      <c r="J135" s="276" t="str">
        <f>IFERROR(VLOOKUP(I135,'G-1 All Habitats'!$V$3:$W$7,2,FALSE),"")</f>
        <v/>
      </c>
      <c r="K135" s="52"/>
      <c r="L135" s="276" t="str">
        <f>IFERROR(INDEX('G-8 Condition Look up'!$A$3:$H$135,MATCH(AV135,'G-8 Condition Look up'!$A$3:$A$135,0),MATCH(K135,'G-8 Condition Look up'!$A$3:$H$3,0)),"")</f>
        <v/>
      </c>
      <c r="M135" s="52"/>
      <c r="N135" s="295" t="str">
        <f>IF(M135="","",IF(VLOOKUP(M135,'G-3 Multipliers'!$L$3:$N$6,2,FALSE)=0,"Spatial Data Missing",VLOOKUP(M135,'G-3 Multipliers'!$L$3:$N$6,2,FALSE)))</f>
        <v/>
      </c>
      <c r="O135" s="281" t="str">
        <f>IF(M135="","",IF(VLOOKUP(M135,'G-3 Multipliers'!$L$3:$N$6,3,FALSE)=0,"Spatial Data Missing ▲",VLOOKUP(M135,'G-3 Multipliers'!$L$3:$N$6,3,FALSE)))</f>
        <v/>
      </c>
      <c r="P135" s="282" t="str">
        <f>(IF(G135="Yes","Bespoke compensation likely to be required",(IFERROR(VLOOKUP(AV135,'G-1 All Habitats'!$B$2:$M$135,12,FALSE),""))))</f>
        <v/>
      </c>
      <c r="Q135" s="289" t="str">
        <f>IFERROR(IF(AND(F135&lt;&gt;"",G135=""),"Confirm irreplaceable habitat status ▲",(IF(AND(E135="Individual trees",T135&gt;0,G135="Yes"),"Error - you cannot enhance irreplaceable individual trees ▲",(IF(AND(U135="Irreplaceable habitat - no units generated ⚠",(S135+T135)&lt;H135,OR(Y135="No",Y135="")),"Any Loss Unacceptable ⚠",(IF(U135="Irreplaceable habitat - no units generated ⚠",T135*J135*L135*O135,IF(AND(P135='G-1 All Habitats'!$X$9,AC135&gt;0,S135&lt;=0,T135&lt;=0,OR(Y135="No",Y135="")),"Any Loss Unacceptable ⚠",IF(AND(P135='G-1 All Habitats'!$X$9,AC135&gt;0,S135&lt;=0,T135&lt;=0,Y135="Yes"),0,(IF(AND(P135='G-1 All Habitats'!$X$9,(S135+T135)&lt;H135,OR(Y135="No",Y135="")),"Any Loss Unacceptable ⚠",(IF(P135="","",IF(AND(P135='G-1 All Habitats'!$X$9,T135&gt;0),U135+V135,IF(AND(P135='G-1 All Habitats'!$X$9,S135&gt;0),U135+V135,H135*J135*L135*O135))))))))))))))),"Check Data ▲")</f>
        <v/>
      </c>
      <c r="R135" s="38"/>
      <c r="S135" s="52"/>
      <c r="T135" s="53"/>
      <c r="U135" s="287" t="str">
        <f t="shared" si="11"/>
        <v/>
      </c>
      <c r="V135" s="287" t="str">
        <f t="shared" si="12"/>
        <v/>
      </c>
      <c r="W135" s="287" t="str">
        <f t="shared" si="13"/>
        <v/>
      </c>
      <c r="X135" s="291" t="str">
        <f>IFERROR(IF(H135="","",IF(H135-S135-T135=0&lt;0,"Error in Areas ▲",IF(S135+T135&gt;H135,"Error in Areas ▲",IF(AND(P135='G-1 All Habitats'!$X$9,Y135="Yes"),"Alternative Compensation ✓",IF(AND(P135='G-1 All Habitats'!$X$3,Y135="Yes"),"Alternative Compensation ✓",IF(AND(Y135="Pending",P135='G-1 All Habitats'!$X$3),"Bespoke compensation must be agreed ▲",IF(AND(Y135="Pending",P135='G-1 All Habitats'!$X$9),"Bespoke compensation must be agreed  ▲",IF(W135=0,0,IF(P135='G-1 All Habitats'!$X$9,"Any Loss Unacceptable ▲",Q135-U135-V135))))))))),"Check Data ▲")</f>
        <v/>
      </c>
      <c r="Y135" s="53"/>
      <c r="Z135" s="105"/>
      <c r="AA135" s="233"/>
      <c r="AB135" s="104"/>
      <c r="AC135" s="512" t="str">
        <f>IF(OR(P135="",Y135="Yes"),"",IF(P135='G-1 All Habitats'!$X$9,H135-S135-T135,"None"))</f>
        <v/>
      </c>
      <c r="AD135" s="513" t="str">
        <f>IF(P135="","",IF(P135='G-1 All Habitats'!$X$9,AC135*J135*L135*O135,"None"))</f>
        <v/>
      </c>
      <c r="AE135" s="35" t="str">
        <f t="shared" si="9"/>
        <v/>
      </c>
      <c r="AF135" s="40" t="str">
        <f t="shared" si="14"/>
        <v/>
      </c>
      <c r="AG135" s="40" t="str">
        <f t="shared" si="10"/>
        <v/>
      </c>
      <c r="AH135" s="40" t="str">
        <f>IF(I135="","",IF(#REF!&gt;0,TRUE,FALSE))</f>
        <v/>
      </c>
      <c r="AI135" s="40">
        <v>125</v>
      </c>
      <c r="AJ135" s="40"/>
      <c r="AK135" s="40" t="str">
        <f t="array" ref="AK135">IFERROR(INDEX($AI$11:$AI$259,MATCH(0,IF(TRUE=$AF$11:$AF$259,COUNTIF($AK$10:$AK134,$AI$11:$AI$259),""),0)),"")</f>
        <v/>
      </c>
      <c r="AL135" s="40" t="str">
        <f t="array" ref="AL135">IFERROR(INDEX($AI$11:$AI$259,MATCH(0,IF(TRUE=$AG$11:$AG$259,COUNTIF($AL$10:$AL134,$AI$11:$AI$259),""),0)),"")</f>
        <v/>
      </c>
      <c r="AM135" s="40" t="str">
        <f t="array" ref="AM135">IFERROR(INDEX($AI$11:$AI$259,MATCH(0,IF(TRUE=$AH$11:$AH$259,COUNTIF($AM$10:$AM134,$AI$11:$AI$259),""),0)),"")</f>
        <v/>
      </c>
      <c r="AN135" s="40"/>
      <c r="AQ135" s="35">
        <f t="shared" si="15"/>
        <v>0</v>
      </c>
      <c r="AT135" s="885" t="str">
        <f>IF(AND(OR(Y135="Yes",Y135="Pending"),P135='G-1 All Habitats'!$X$3),Q135-U135-V135,"")</f>
        <v/>
      </c>
      <c r="AV135" s="542" t="str">
        <f>IFERROR(INDEX('G-1 All Habitats'!$B$3:$B$135,MATCH(F135,'G-1 All Habitats'!$A$3:$A$135,0)),"")</f>
        <v/>
      </c>
      <c r="AW135" s="35" t="str">
        <f>IF(AV135="","",VLOOKUP(AV135,'G-1 All Habitats'!$B$1:$T$135,19,FALSE))</f>
        <v/>
      </c>
    </row>
    <row r="136" spans="1:49" ht="14.5" hidden="1" thickBot="1">
      <c r="A136" s="35" t="str">
        <f>IFERROR(INDEX('G-1 All Habitats'!$AG$3:$AG$17,MATCH(E136,'G-1 All Habitats'!$AF$3:$AF$17,0)),"")</f>
        <v/>
      </c>
      <c r="B136" s="35" t="str">
        <f>IFERROR(INDEX('G-8 Condition Look up'!$I$4:$I$135,MATCH(AV136,'G-8 Condition Look up'!$A$4:$A$135,0)),"")</f>
        <v/>
      </c>
      <c r="D136" s="225">
        <v>126</v>
      </c>
      <c r="E136" s="211"/>
      <c r="F136" s="57"/>
      <c r="G136" s="263"/>
      <c r="H136" s="51"/>
      <c r="I136" s="275" t="str">
        <f>IF(AV136="","",IF(AND(AW136="Yes",G136="No"),"Irreplaceable habitat ▲",IF(AND(AW136="No",G136="Yes"),"Cannot be Irreplaceable ▲",VLOOKUP(AV136,'G-1 All Habitats'!$B$2:$M$135,10,FALSE))))</f>
        <v/>
      </c>
      <c r="J136" s="276" t="str">
        <f>IFERROR(VLOOKUP(I136,'G-1 All Habitats'!$V$3:$W$7,2,FALSE),"")</f>
        <v/>
      </c>
      <c r="K136" s="52"/>
      <c r="L136" s="276" t="str">
        <f>IFERROR(INDEX('G-8 Condition Look up'!$A$3:$H$135,MATCH(AV136,'G-8 Condition Look up'!$A$3:$A$135,0),MATCH(K136,'G-8 Condition Look up'!$A$3:$H$3,0)),"")</f>
        <v/>
      </c>
      <c r="M136" s="52"/>
      <c r="N136" s="295" t="str">
        <f>IF(M136="","",IF(VLOOKUP(M136,'G-3 Multipliers'!$L$3:$N$6,2,FALSE)=0,"Spatial Data Missing",VLOOKUP(M136,'G-3 Multipliers'!$L$3:$N$6,2,FALSE)))</f>
        <v/>
      </c>
      <c r="O136" s="281" t="str">
        <f>IF(M136="","",IF(VLOOKUP(M136,'G-3 Multipliers'!$L$3:$N$6,3,FALSE)=0,"Spatial Data Missing ▲",VLOOKUP(M136,'G-3 Multipliers'!$L$3:$N$6,3,FALSE)))</f>
        <v/>
      </c>
      <c r="P136" s="282" t="str">
        <f>(IF(G136="Yes","Bespoke compensation likely to be required",(IFERROR(VLOOKUP(AV136,'G-1 All Habitats'!$B$2:$M$135,12,FALSE),""))))</f>
        <v/>
      </c>
      <c r="Q136" s="289" t="str">
        <f>IFERROR(IF(AND(F136&lt;&gt;"",G136=""),"Confirm irreplaceable habitat status ▲",(IF(AND(E136="Individual trees",T136&gt;0,G136="Yes"),"Error - you cannot enhance irreplaceable individual trees ▲",(IF(AND(U136="Irreplaceable habitat - no units generated ⚠",(S136+T136)&lt;H136,OR(Y136="No",Y136="")),"Any Loss Unacceptable ⚠",(IF(U136="Irreplaceable habitat - no units generated ⚠",T136*J136*L136*O136,IF(AND(P136='G-1 All Habitats'!$X$9,AC136&gt;0,S136&lt;=0,T136&lt;=0,OR(Y136="No",Y136="")),"Any Loss Unacceptable ⚠",IF(AND(P136='G-1 All Habitats'!$X$9,AC136&gt;0,S136&lt;=0,T136&lt;=0,Y136="Yes"),0,(IF(AND(P136='G-1 All Habitats'!$X$9,(S136+T136)&lt;H136,OR(Y136="No",Y136="")),"Any Loss Unacceptable ⚠",(IF(P136="","",IF(AND(P136='G-1 All Habitats'!$X$9,T136&gt;0),U136+V136,IF(AND(P136='G-1 All Habitats'!$X$9,S136&gt;0),U136+V136,H136*J136*L136*O136))))))))))))))),"Check Data ▲")</f>
        <v/>
      </c>
      <c r="R136" s="38"/>
      <c r="S136" s="52"/>
      <c r="T136" s="53"/>
      <c r="U136" s="287" t="str">
        <f t="shared" si="11"/>
        <v/>
      </c>
      <c r="V136" s="287" t="str">
        <f t="shared" si="12"/>
        <v/>
      </c>
      <c r="W136" s="287" t="str">
        <f t="shared" si="13"/>
        <v/>
      </c>
      <c r="X136" s="291" t="str">
        <f>IFERROR(IF(H136="","",IF(H136-S136-T136=0&lt;0,"Error in Areas ▲",IF(S136+T136&gt;H136,"Error in Areas ▲",IF(AND(P136='G-1 All Habitats'!$X$9,Y136="Yes"),"Alternative Compensation ✓",IF(AND(P136='G-1 All Habitats'!$X$3,Y136="Yes"),"Alternative Compensation ✓",IF(AND(Y136="Pending",P136='G-1 All Habitats'!$X$3),"Bespoke compensation must be agreed ▲",IF(AND(Y136="Pending",P136='G-1 All Habitats'!$X$9),"Bespoke compensation must be agreed  ▲",IF(W136=0,0,IF(P136='G-1 All Habitats'!$X$9,"Any Loss Unacceptable ▲",Q136-U136-V136))))))))),"Check Data ▲")</f>
        <v/>
      </c>
      <c r="Y136" s="53"/>
      <c r="Z136" s="105"/>
      <c r="AA136" s="233"/>
      <c r="AB136" s="104"/>
      <c r="AC136" s="512" t="str">
        <f>IF(OR(P136="",Y136="Yes"),"",IF(P136='G-1 All Habitats'!$X$9,H136-S136-T136,"None"))</f>
        <v/>
      </c>
      <c r="AD136" s="513" t="str">
        <f>IF(P136="","",IF(P136='G-1 All Habitats'!$X$9,AC136*J136*L136*O136,"None"))</f>
        <v/>
      </c>
      <c r="AE136" s="35" t="str">
        <f t="shared" si="9"/>
        <v/>
      </c>
      <c r="AF136" s="40" t="str">
        <f t="shared" si="14"/>
        <v/>
      </c>
      <c r="AG136" s="40" t="str">
        <f t="shared" si="10"/>
        <v/>
      </c>
      <c r="AH136" s="40" t="str">
        <f>IF(I136="","",IF(#REF!&gt;0,TRUE,FALSE))</f>
        <v/>
      </c>
      <c r="AI136" s="40">
        <v>126</v>
      </c>
      <c r="AJ136" s="40"/>
      <c r="AK136" s="40" t="str">
        <f t="array" ref="AK136">IFERROR(INDEX($AI$11:$AI$259,MATCH(0,IF(TRUE=$AF$11:$AF$259,COUNTIF($AK$10:$AK135,$AI$11:$AI$259),""),0)),"")</f>
        <v/>
      </c>
      <c r="AL136" s="40" t="str">
        <f t="array" ref="AL136">IFERROR(INDEX($AI$11:$AI$259,MATCH(0,IF(TRUE=$AG$11:$AG$259,COUNTIF($AL$10:$AL135,$AI$11:$AI$259),""),0)),"")</f>
        <v/>
      </c>
      <c r="AM136" s="40" t="str">
        <f t="array" ref="AM136">IFERROR(INDEX($AI$11:$AI$259,MATCH(0,IF(TRUE=$AH$11:$AH$259,COUNTIF($AM$10:$AM135,$AI$11:$AI$259),""),0)),"")</f>
        <v/>
      </c>
      <c r="AN136" s="40"/>
      <c r="AQ136" s="35">
        <f t="shared" si="15"/>
        <v>0</v>
      </c>
      <c r="AT136" s="885" t="str">
        <f>IF(AND(OR(Y136="Yes",Y136="Pending"),P136='G-1 All Habitats'!$X$3),Q136-U136-V136,"")</f>
        <v/>
      </c>
      <c r="AV136" s="542" t="str">
        <f>IFERROR(INDEX('G-1 All Habitats'!$B$3:$B$135,MATCH(F136,'G-1 All Habitats'!$A$3:$A$135,0)),"")</f>
        <v/>
      </c>
      <c r="AW136" s="35" t="str">
        <f>IF(AV136="","",VLOOKUP(AV136,'G-1 All Habitats'!$B$1:$T$135,19,FALSE))</f>
        <v/>
      </c>
    </row>
    <row r="137" spans="1:49" ht="14.5" hidden="1" thickBot="1">
      <c r="A137" s="35" t="str">
        <f>IFERROR(INDEX('G-1 All Habitats'!$AG$3:$AG$17,MATCH(E137,'G-1 All Habitats'!$AF$3:$AF$17,0)),"")</f>
        <v/>
      </c>
      <c r="B137" s="35" t="str">
        <f>IFERROR(INDEX('G-8 Condition Look up'!$I$4:$I$135,MATCH(AV137,'G-8 Condition Look up'!$A$4:$A$135,0)),"")</f>
        <v/>
      </c>
      <c r="D137" s="225">
        <v>127</v>
      </c>
      <c r="E137" s="211"/>
      <c r="F137" s="57"/>
      <c r="G137" s="263"/>
      <c r="H137" s="51"/>
      <c r="I137" s="275" t="str">
        <f>IF(AV137="","",IF(AND(AW137="Yes",G137="No"),"Irreplaceable habitat ▲",IF(AND(AW137="No",G137="Yes"),"Cannot be Irreplaceable ▲",VLOOKUP(AV137,'G-1 All Habitats'!$B$2:$M$135,10,FALSE))))</f>
        <v/>
      </c>
      <c r="J137" s="276" t="str">
        <f>IFERROR(VLOOKUP(I137,'G-1 All Habitats'!$V$3:$W$7,2,FALSE),"")</f>
        <v/>
      </c>
      <c r="K137" s="52"/>
      <c r="L137" s="276" t="str">
        <f>IFERROR(INDEX('G-8 Condition Look up'!$A$3:$H$135,MATCH(AV137,'G-8 Condition Look up'!$A$3:$A$135,0),MATCH(K137,'G-8 Condition Look up'!$A$3:$H$3,0)),"")</f>
        <v/>
      </c>
      <c r="M137" s="52"/>
      <c r="N137" s="295" t="str">
        <f>IF(M137="","",IF(VLOOKUP(M137,'G-3 Multipliers'!$L$3:$N$6,2,FALSE)=0,"Spatial Data Missing",VLOOKUP(M137,'G-3 Multipliers'!$L$3:$N$6,2,FALSE)))</f>
        <v/>
      </c>
      <c r="O137" s="281" t="str">
        <f>IF(M137="","",IF(VLOOKUP(M137,'G-3 Multipliers'!$L$3:$N$6,3,FALSE)=0,"Spatial Data Missing ▲",VLOOKUP(M137,'G-3 Multipliers'!$L$3:$N$6,3,FALSE)))</f>
        <v/>
      </c>
      <c r="P137" s="282" t="str">
        <f>(IF(G137="Yes","Bespoke compensation likely to be required",(IFERROR(VLOOKUP(AV137,'G-1 All Habitats'!$B$2:$M$135,12,FALSE),""))))</f>
        <v/>
      </c>
      <c r="Q137" s="289" t="str">
        <f>IFERROR(IF(AND(F137&lt;&gt;"",G137=""),"Confirm irreplaceable habitat status ▲",(IF(AND(E137="Individual trees",T137&gt;0,G137="Yes"),"Error - you cannot enhance irreplaceable individual trees ▲",(IF(AND(U137="Irreplaceable habitat - no units generated ⚠",(S137+T137)&lt;H137,OR(Y137="No",Y137="")),"Any Loss Unacceptable ⚠",(IF(U137="Irreplaceable habitat - no units generated ⚠",T137*J137*L137*O137,IF(AND(P137='G-1 All Habitats'!$X$9,AC137&gt;0,S137&lt;=0,T137&lt;=0,OR(Y137="No",Y137="")),"Any Loss Unacceptable ⚠",IF(AND(P137='G-1 All Habitats'!$X$9,AC137&gt;0,S137&lt;=0,T137&lt;=0,Y137="Yes"),0,(IF(AND(P137='G-1 All Habitats'!$X$9,(S137+T137)&lt;H137,OR(Y137="No",Y137="")),"Any Loss Unacceptable ⚠",(IF(P137="","",IF(AND(P137='G-1 All Habitats'!$X$9,T137&gt;0),U137+V137,IF(AND(P137='G-1 All Habitats'!$X$9,S137&gt;0),U137+V137,H137*J137*L137*O137))))))))))))))),"Check Data ▲")</f>
        <v/>
      </c>
      <c r="R137" s="38"/>
      <c r="S137" s="52"/>
      <c r="T137" s="53"/>
      <c r="U137" s="287" t="str">
        <f t="shared" si="11"/>
        <v/>
      </c>
      <c r="V137" s="287" t="str">
        <f t="shared" si="12"/>
        <v/>
      </c>
      <c r="W137" s="287" t="str">
        <f t="shared" si="13"/>
        <v/>
      </c>
      <c r="X137" s="291" t="str">
        <f>IFERROR(IF(H137="","",IF(H137-S137-T137=0&lt;0,"Error in Areas ▲",IF(S137+T137&gt;H137,"Error in Areas ▲",IF(AND(P137='G-1 All Habitats'!$X$9,Y137="Yes"),"Alternative Compensation ✓",IF(AND(P137='G-1 All Habitats'!$X$3,Y137="Yes"),"Alternative Compensation ✓",IF(AND(Y137="Pending",P137='G-1 All Habitats'!$X$3),"Bespoke compensation must be agreed ▲",IF(AND(Y137="Pending",P137='G-1 All Habitats'!$X$9),"Bespoke compensation must be agreed  ▲",IF(W137=0,0,IF(P137='G-1 All Habitats'!$X$9,"Any Loss Unacceptable ▲",Q137-U137-V137))))))))),"Check Data ▲")</f>
        <v/>
      </c>
      <c r="Y137" s="53"/>
      <c r="Z137" s="105"/>
      <c r="AA137" s="233"/>
      <c r="AB137" s="104"/>
      <c r="AC137" s="512" t="str">
        <f>IF(OR(P137="",Y137="Yes"),"",IF(P137='G-1 All Habitats'!$X$9,H137-S137-T137,"None"))</f>
        <v/>
      </c>
      <c r="AD137" s="513" t="str">
        <f>IF(P137="","",IF(P137='G-1 All Habitats'!$X$9,AC137*J137*L137*O137,"None"))</f>
        <v/>
      </c>
      <c r="AE137" s="35" t="str">
        <f t="shared" si="9"/>
        <v/>
      </c>
      <c r="AF137" s="40" t="str">
        <f t="shared" si="14"/>
        <v/>
      </c>
      <c r="AG137" s="40" t="str">
        <f t="shared" si="10"/>
        <v/>
      </c>
      <c r="AH137" s="40" t="str">
        <f>IF(I137="","",IF(#REF!&gt;0,TRUE,FALSE))</f>
        <v/>
      </c>
      <c r="AI137" s="40">
        <v>127</v>
      </c>
      <c r="AJ137" s="40"/>
      <c r="AK137" s="40" t="str">
        <f t="array" ref="AK137">IFERROR(INDEX($AI$11:$AI$259,MATCH(0,IF(TRUE=$AF$11:$AF$259,COUNTIF($AK$10:$AK136,$AI$11:$AI$259),""),0)),"")</f>
        <v/>
      </c>
      <c r="AL137" s="40" t="str">
        <f t="array" ref="AL137">IFERROR(INDEX($AI$11:$AI$259,MATCH(0,IF(TRUE=$AG$11:$AG$259,COUNTIF($AL$10:$AL136,$AI$11:$AI$259),""),0)),"")</f>
        <v/>
      </c>
      <c r="AM137" s="40" t="str">
        <f t="array" ref="AM137">IFERROR(INDEX($AI$11:$AI$259,MATCH(0,IF(TRUE=$AH$11:$AH$259,COUNTIF($AM$10:$AM136,$AI$11:$AI$259),""),0)),"")</f>
        <v/>
      </c>
      <c r="AN137" s="40"/>
      <c r="AQ137" s="35">
        <f t="shared" si="15"/>
        <v>0</v>
      </c>
      <c r="AT137" s="885" t="str">
        <f>IF(AND(OR(Y137="Yes",Y137="Pending"),P137='G-1 All Habitats'!$X$3),Q137-U137-V137,"")</f>
        <v/>
      </c>
      <c r="AV137" s="542" t="str">
        <f>IFERROR(INDEX('G-1 All Habitats'!$B$3:$B$135,MATCH(F137,'G-1 All Habitats'!$A$3:$A$135,0)),"")</f>
        <v/>
      </c>
      <c r="AW137" s="35" t="str">
        <f>IF(AV137="","",VLOOKUP(AV137,'G-1 All Habitats'!$B$1:$T$135,19,FALSE))</f>
        <v/>
      </c>
    </row>
    <row r="138" spans="1:49" ht="14.5" hidden="1" thickBot="1">
      <c r="A138" s="35" t="str">
        <f>IFERROR(INDEX('G-1 All Habitats'!$AG$3:$AG$17,MATCH(E138,'G-1 All Habitats'!$AF$3:$AF$17,0)),"")</f>
        <v/>
      </c>
      <c r="B138" s="35" t="str">
        <f>IFERROR(INDEX('G-8 Condition Look up'!$I$4:$I$135,MATCH(AV138,'G-8 Condition Look up'!$A$4:$A$135,0)),"")</f>
        <v/>
      </c>
      <c r="D138" s="225">
        <v>128</v>
      </c>
      <c r="E138" s="211"/>
      <c r="F138" s="57"/>
      <c r="G138" s="263"/>
      <c r="H138" s="51"/>
      <c r="I138" s="275" t="str">
        <f>IF(AV138="","",IF(AND(AW138="Yes",G138="No"),"Irreplaceable habitat ▲",IF(AND(AW138="No",G138="Yes"),"Cannot be Irreplaceable ▲",VLOOKUP(AV138,'G-1 All Habitats'!$B$2:$M$135,10,FALSE))))</f>
        <v/>
      </c>
      <c r="J138" s="276" t="str">
        <f>IFERROR(VLOOKUP(I138,'G-1 All Habitats'!$V$3:$W$7,2,FALSE),"")</f>
        <v/>
      </c>
      <c r="K138" s="52"/>
      <c r="L138" s="276" t="str">
        <f>IFERROR(INDEX('G-8 Condition Look up'!$A$3:$H$135,MATCH(AV138,'G-8 Condition Look up'!$A$3:$A$135,0),MATCH(K138,'G-8 Condition Look up'!$A$3:$H$3,0)),"")</f>
        <v/>
      </c>
      <c r="M138" s="52"/>
      <c r="N138" s="295" t="str">
        <f>IF(M138="","",IF(VLOOKUP(M138,'G-3 Multipliers'!$L$3:$N$6,2,FALSE)=0,"Spatial Data Missing",VLOOKUP(M138,'G-3 Multipliers'!$L$3:$N$6,2,FALSE)))</f>
        <v/>
      </c>
      <c r="O138" s="281" t="str">
        <f>IF(M138="","",IF(VLOOKUP(M138,'G-3 Multipliers'!$L$3:$N$6,3,FALSE)=0,"Spatial Data Missing ▲",VLOOKUP(M138,'G-3 Multipliers'!$L$3:$N$6,3,FALSE)))</f>
        <v/>
      </c>
      <c r="P138" s="282" t="str">
        <f>(IF(G138="Yes","Bespoke compensation likely to be required",(IFERROR(VLOOKUP(AV138,'G-1 All Habitats'!$B$2:$M$135,12,FALSE),""))))</f>
        <v/>
      </c>
      <c r="Q138" s="289" t="str">
        <f>IFERROR(IF(AND(F138&lt;&gt;"",G138=""),"Confirm irreplaceable habitat status ▲",(IF(AND(E138="Individual trees",T138&gt;0,G138="Yes"),"Error - you cannot enhance irreplaceable individual trees ▲",(IF(AND(U138="Irreplaceable habitat - no units generated ⚠",(S138+T138)&lt;H138,OR(Y138="No",Y138="")),"Any Loss Unacceptable ⚠",(IF(U138="Irreplaceable habitat - no units generated ⚠",T138*J138*L138*O138,IF(AND(P138='G-1 All Habitats'!$X$9,AC138&gt;0,S138&lt;=0,T138&lt;=0,OR(Y138="No",Y138="")),"Any Loss Unacceptable ⚠",IF(AND(P138='G-1 All Habitats'!$X$9,AC138&gt;0,S138&lt;=0,T138&lt;=0,Y138="Yes"),0,(IF(AND(P138='G-1 All Habitats'!$X$9,(S138+T138)&lt;H138,OR(Y138="No",Y138="")),"Any Loss Unacceptable ⚠",(IF(P138="","",IF(AND(P138='G-1 All Habitats'!$X$9,T138&gt;0),U138+V138,IF(AND(P138='G-1 All Habitats'!$X$9,S138&gt;0),U138+V138,H138*J138*L138*O138))))))))))))))),"Check Data ▲")</f>
        <v/>
      </c>
      <c r="R138" s="38"/>
      <c r="S138" s="52"/>
      <c r="T138" s="53"/>
      <c r="U138" s="287" t="str">
        <f t="shared" si="11"/>
        <v/>
      </c>
      <c r="V138" s="287" t="str">
        <f t="shared" si="12"/>
        <v/>
      </c>
      <c r="W138" s="287" t="str">
        <f t="shared" si="13"/>
        <v/>
      </c>
      <c r="X138" s="291" t="str">
        <f>IFERROR(IF(H138="","",IF(H138-S138-T138=0&lt;0,"Error in Areas ▲",IF(S138+T138&gt;H138,"Error in Areas ▲",IF(AND(P138='G-1 All Habitats'!$X$9,Y138="Yes"),"Alternative Compensation ✓",IF(AND(P138='G-1 All Habitats'!$X$3,Y138="Yes"),"Alternative Compensation ✓",IF(AND(Y138="Pending",P138='G-1 All Habitats'!$X$3),"Bespoke compensation must be agreed ▲",IF(AND(Y138="Pending",P138='G-1 All Habitats'!$X$9),"Bespoke compensation must be agreed  ▲",IF(W138=0,0,IF(P138='G-1 All Habitats'!$X$9,"Any Loss Unacceptable ▲",Q138-U138-V138))))))))),"Check Data ▲")</f>
        <v/>
      </c>
      <c r="Y138" s="53"/>
      <c r="Z138" s="105"/>
      <c r="AA138" s="233"/>
      <c r="AB138" s="104"/>
      <c r="AC138" s="512" t="str">
        <f>IF(OR(P138="",Y138="Yes"),"",IF(P138='G-1 All Habitats'!$X$9,H138-S138-T138,"None"))</f>
        <v/>
      </c>
      <c r="AD138" s="513" t="str">
        <f>IF(P138="","",IF(P138='G-1 All Habitats'!$X$9,AC138*J138*L138*O138,"None"))</f>
        <v/>
      </c>
      <c r="AE138" s="35" t="str">
        <f t="shared" si="9"/>
        <v/>
      </c>
      <c r="AF138" s="40" t="str">
        <f t="shared" si="14"/>
        <v/>
      </c>
      <c r="AG138" s="40" t="str">
        <f t="shared" si="10"/>
        <v/>
      </c>
      <c r="AH138" s="40" t="str">
        <f>IF(I138="","",IF(#REF!&gt;0,TRUE,FALSE))</f>
        <v/>
      </c>
      <c r="AI138" s="40">
        <v>128</v>
      </c>
      <c r="AJ138" s="40"/>
      <c r="AK138" s="40" t="str">
        <f t="array" ref="AK138">IFERROR(INDEX($AI$11:$AI$259,MATCH(0,IF(TRUE=$AF$11:$AF$259,COUNTIF($AK$10:$AK137,$AI$11:$AI$259),""),0)),"")</f>
        <v/>
      </c>
      <c r="AL138" s="40" t="str">
        <f t="array" ref="AL138">IFERROR(INDEX($AI$11:$AI$259,MATCH(0,IF(TRUE=$AG$11:$AG$259,COUNTIF($AL$10:$AL137,$AI$11:$AI$259),""),0)),"")</f>
        <v/>
      </c>
      <c r="AM138" s="40" t="str">
        <f t="array" ref="AM138">IFERROR(INDEX($AI$11:$AI$259,MATCH(0,IF(TRUE=$AH$11:$AH$259,COUNTIF($AM$10:$AM137,$AI$11:$AI$259),""),0)),"")</f>
        <v/>
      </c>
      <c r="AN138" s="40"/>
      <c r="AQ138" s="35">
        <f t="shared" si="15"/>
        <v>0</v>
      </c>
      <c r="AT138" s="885" t="str">
        <f>IF(AND(OR(Y138="Yes",Y138="Pending"),P138='G-1 All Habitats'!$X$3),Q138-U138-V138,"")</f>
        <v/>
      </c>
      <c r="AV138" s="542" t="str">
        <f>IFERROR(INDEX('G-1 All Habitats'!$B$3:$B$135,MATCH(F138,'G-1 All Habitats'!$A$3:$A$135,0)),"")</f>
        <v/>
      </c>
      <c r="AW138" s="35" t="str">
        <f>IF(AV138="","",VLOOKUP(AV138,'G-1 All Habitats'!$B$1:$T$135,19,FALSE))</f>
        <v/>
      </c>
    </row>
    <row r="139" spans="1:49" ht="14.5" hidden="1" thickBot="1">
      <c r="A139" s="35" t="str">
        <f>IFERROR(INDEX('G-1 All Habitats'!$AG$3:$AG$17,MATCH(E139,'G-1 All Habitats'!$AF$3:$AF$17,0)),"")</f>
        <v/>
      </c>
      <c r="B139" s="35" t="str">
        <f>IFERROR(INDEX('G-8 Condition Look up'!$I$4:$I$135,MATCH(AV139,'G-8 Condition Look up'!$A$4:$A$135,0)),"")</f>
        <v/>
      </c>
      <c r="D139" s="225">
        <v>129</v>
      </c>
      <c r="E139" s="211"/>
      <c r="F139" s="57"/>
      <c r="G139" s="263"/>
      <c r="H139" s="51"/>
      <c r="I139" s="275" t="str">
        <f>IF(AV139="","",IF(AND(AW139="Yes",G139="No"),"Irreplaceable habitat ▲",IF(AND(AW139="No",G139="Yes"),"Cannot be Irreplaceable ▲",VLOOKUP(AV139,'G-1 All Habitats'!$B$2:$M$135,10,FALSE))))</f>
        <v/>
      </c>
      <c r="J139" s="276" t="str">
        <f>IFERROR(VLOOKUP(I139,'G-1 All Habitats'!$V$3:$W$7,2,FALSE),"")</f>
        <v/>
      </c>
      <c r="K139" s="52"/>
      <c r="L139" s="276" t="str">
        <f>IFERROR(INDEX('G-8 Condition Look up'!$A$3:$H$135,MATCH(AV139,'G-8 Condition Look up'!$A$3:$A$135,0),MATCH(K139,'G-8 Condition Look up'!$A$3:$H$3,0)),"")</f>
        <v/>
      </c>
      <c r="M139" s="52"/>
      <c r="N139" s="295" t="str">
        <f>IF(M139="","",IF(VLOOKUP(M139,'G-3 Multipliers'!$L$3:$N$6,2,FALSE)=0,"Spatial Data Missing",VLOOKUP(M139,'G-3 Multipliers'!$L$3:$N$6,2,FALSE)))</f>
        <v/>
      </c>
      <c r="O139" s="281" t="str">
        <f>IF(M139="","",IF(VLOOKUP(M139,'G-3 Multipliers'!$L$3:$N$6,3,FALSE)=0,"Spatial Data Missing ▲",VLOOKUP(M139,'G-3 Multipliers'!$L$3:$N$6,3,FALSE)))</f>
        <v/>
      </c>
      <c r="P139" s="282" t="str">
        <f>(IF(G139="Yes","Bespoke compensation likely to be required",(IFERROR(VLOOKUP(AV139,'G-1 All Habitats'!$B$2:$M$135,12,FALSE),""))))</f>
        <v/>
      </c>
      <c r="Q139" s="289" t="str">
        <f>IFERROR(IF(AND(F139&lt;&gt;"",G139=""),"Confirm irreplaceable habitat status ▲",(IF(AND(E139="Individual trees",T139&gt;0,G139="Yes"),"Error - you cannot enhance irreplaceable individual trees ▲",(IF(AND(U139="Irreplaceable habitat - no units generated ⚠",(S139+T139)&lt;H139,OR(Y139="No",Y139="")),"Any Loss Unacceptable ⚠",(IF(U139="Irreplaceable habitat - no units generated ⚠",T139*J139*L139*O139,IF(AND(P139='G-1 All Habitats'!$X$9,AC139&gt;0,S139&lt;=0,T139&lt;=0,OR(Y139="No",Y139="")),"Any Loss Unacceptable ⚠",IF(AND(P139='G-1 All Habitats'!$X$9,AC139&gt;0,S139&lt;=0,T139&lt;=0,Y139="Yes"),0,(IF(AND(P139='G-1 All Habitats'!$X$9,(S139+T139)&lt;H139,OR(Y139="No",Y139="")),"Any Loss Unacceptable ⚠",(IF(P139="","",IF(AND(P139='G-1 All Habitats'!$X$9,T139&gt;0),U139+V139,IF(AND(P139='G-1 All Habitats'!$X$9,S139&gt;0),U139+V139,H139*J139*L139*O139))))))))))))))),"Check Data ▲")</f>
        <v/>
      </c>
      <c r="R139" s="38"/>
      <c r="S139" s="52"/>
      <c r="T139" s="53"/>
      <c r="U139" s="287" t="str">
        <f t="shared" si="11"/>
        <v/>
      </c>
      <c r="V139" s="287" t="str">
        <f t="shared" si="12"/>
        <v/>
      </c>
      <c r="W139" s="287" t="str">
        <f t="shared" si="13"/>
        <v/>
      </c>
      <c r="X139" s="291" t="str">
        <f>IFERROR(IF(H139="","",IF(H139-S139-T139=0&lt;0,"Error in Areas ▲",IF(S139+T139&gt;H139,"Error in Areas ▲",IF(AND(P139='G-1 All Habitats'!$X$9,Y139="Yes"),"Alternative Compensation ✓",IF(AND(P139='G-1 All Habitats'!$X$3,Y139="Yes"),"Alternative Compensation ✓",IF(AND(Y139="Pending",P139='G-1 All Habitats'!$X$3),"Bespoke compensation must be agreed ▲",IF(AND(Y139="Pending",P139='G-1 All Habitats'!$X$9),"Bespoke compensation must be agreed  ▲",IF(W139=0,0,IF(P139='G-1 All Habitats'!$X$9,"Any Loss Unacceptable ▲",Q139-U139-V139))))))))),"Check Data ▲")</f>
        <v/>
      </c>
      <c r="Y139" s="53"/>
      <c r="Z139" s="105"/>
      <c r="AA139" s="233"/>
      <c r="AB139" s="104"/>
      <c r="AC139" s="512" t="str">
        <f>IF(OR(P139="",Y139="Yes"),"",IF(P139='G-1 All Habitats'!$X$9,H139-S139-T139,"None"))</f>
        <v/>
      </c>
      <c r="AD139" s="513" t="str">
        <f>IF(P139="","",IF(P139='G-1 All Habitats'!$X$9,AC139*J139*L139*O139,"None"))</f>
        <v/>
      </c>
      <c r="AE139" s="35" t="str">
        <f t="shared" si="16" ref="AE139:AE202">IF(Y139="Yes","Yes ✓",IF(Y139="No","No ▲",""))</f>
        <v/>
      </c>
      <c r="AF139" s="40" t="str">
        <f t="shared" si="14"/>
        <v/>
      </c>
      <c r="AG139" s="40" t="str">
        <f t="shared" si="17" ref="AG139:AG202">IF(H139="","",IF(T139&gt;0,TRUE,FALSE))</f>
        <v/>
      </c>
      <c r="AH139" s="40" t="str">
        <f>IF(I139="","",IF(#REF!&gt;0,TRUE,FALSE))</f>
        <v/>
      </c>
      <c r="AI139" s="40">
        <v>129</v>
      </c>
      <c r="AJ139" s="40"/>
      <c r="AK139" s="40" t="str">
        <f t="array" ref="AK139">IFERROR(INDEX($AI$11:$AI$259,MATCH(0,IF(TRUE=$AF$11:$AF$259,COUNTIF($AK$10:$AK138,$AI$11:$AI$259),""),0)),"")</f>
        <v/>
      </c>
      <c r="AL139" s="40" t="str">
        <f t="array" ref="AL139">IFERROR(INDEX($AI$11:$AI$259,MATCH(0,IF(TRUE=$AG$11:$AG$259,COUNTIF($AL$10:$AL138,$AI$11:$AI$259),""),0)),"")</f>
        <v/>
      </c>
      <c r="AM139" s="40" t="str">
        <f t="array" ref="AM139">IFERROR(INDEX($AI$11:$AI$259,MATCH(0,IF(TRUE=$AH$11:$AH$259,COUNTIF($AM$10:$AM138,$AI$11:$AI$259),""),0)),"")</f>
        <v/>
      </c>
      <c r="AN139" s="40"/>
      <c r="AQ139" s="35">
        <f t="shared" si="15"/>
        <v>0</v>
      </c>
      <c r="AT139" s="885" t="str">
        <f>IF(AND(OR(Y139="Yes",Y139="Pending"),P139='G-1 All Habitats'!$X$3),Q139-U139-V139,"")</f>
        <v/>
      </c>
      <c r="AV139" s="542" t="str">
        <f>IFERROR(INDEX('G-1 All Habitats'!$B$3:$B$135,MATCH(F139,'G-1 All Habitats'!$A$3:$A$135,0)),"")</f>
        <v/>
      </c>
      <c r="AW139" s="35" t="str">
        <f>IF(AV139="","",VLOOKUP(AV139,'G-1 All Habitats'!$B$1:$T$135,19,FALSE))</f>
        <v/>
      </c>
    </row>
    <row r="140" spans="1:49" ht="14.5" hidden="1" thickBot="1">
      <c r="A140" s="35" t="str">
        <f>IFERROR(INDEX('G-1 All Habitats'!$AG$3:$AG$17,MATCH(E140,'G-1 All Habitats'!$AF$3:$AF$17,0)),"")</f>
        <v/>
      </c>
      <c r="B140" s="35" t="str">
        <f>IFERROR(INDEX('G-8 Condition Look up'!$I$4:$I$135,MATCH(AV140,'G-8 Condition Look up'!$A$4:$A$135,0)),"")</f>
        <v/>
      </c>
      <c r="D140" s="225">
        <v>130</v>
      </c>
      <c r="E140" s="211"/>
      <c r="F140" s="57"/>
      <c r="G140" s="263"/>
      <c r="H140" s="51"/>
      <c r="I140" s="275" t="str">
        <f>IF(AV140="","",IF(AND(AW140="Yes",G140="No"),"Irreplaceable habitat ▲",IF(AND(AW140="No",G140="Yes"),"Cannot be Irreplaceable ▲",VLOOKUP(AV140,'G-1 All Habitats'!$B$2:$M$135,10,FALSE))))</f>
        <v/>
      </c>
      <c r="J140" s="276" t="str">
        <f>IFERROR(VLOOKUP(I140,'G-1 All Habitats'!$V$3:$W$7,2,FALSE),"")</f>
        <v/>
      </c>
      <c r="K140" s="52"/>
      <c r="L140" s="276" t="str">
        <f>IFERROR(INDEX('G-8 Condition Look up'!$A$3:$H$135,MATCH(AV140,'G-8 Condition Look up'!$A$3:$A$135,0),MATCH(K140,'G-8 Condition Look up'!$A$3:$H$3,0)),"")</f>
        <v/>
      </c>
      <c r="M140" s="52"/>
      <c r="N140" s="295" t="str">
        <f>IF(M140="","",IF(VLOOKUP(M140,'G-3 Multipliers'!$L$3:$N$6,2,FALSE)=0,"Spatial Data Missing",VLOOKUP(M140,'G-3 Multipliers'!$L$3:$N$6,2,FALSE)))</f>
        <v/>
      </c>
      <c r="O140" s="281" t="str">
        <f>IF(M140="","",IF(VLOOKUP(M140,'G-3 Multipliers'!$L$3:$N$6,3,FALSE)=0,"Spatial Data Missing ▲",VLOOKUP(M140,'G-3 Multipliers'!$L$3:$N$6,3,FALSE)))</f>
        <v/>
      </c>
      <c r="P140" s="282" t="str">
        <f>(IF(G140="Yes","Bespoke compensation likely to be required",(IFERROR(VLOOKUP(AV140,'G-1 All Habitats'!$B$2:$M$135,12,FALSE),""))))</f>
        <v/>
      </c>
      <c r="Q140" s="289" t="str">
        <f>IFERROR(IF(AND(F140&lt;&gt;"",G140=""),"Confirm irreplaceable habitat status ▲",(IF(AND(E140="Individual trees",T140&gt;0,G140="Yes"),"Error - you cannot enhance irreplaceable individual trees ▲",(IF(AND(U140="Irreplaceable habitat - no units generated ⚠",(S140+T140)&lt;H140,OR(Y140="No",Y140="")),"Any Loss Unacceptable ⚠",(IF(U140="Irreplaceable habitat - no units generated ⚠",T140*J140*L140*O140,IF(AND(P140='G-1 All Habitats'!$X$9,AC140&gt;0,S140&lt;=0,T140&lt;=0,OR(Y140="No",Y140="")),"Any Loss Unacceptable ⚠",IF(AND(P140='G-1 All Habitats'!$X$9,AC140&gt;0,S140&lt;=0,T140&lt;=0,Y140="Yes"),0,(IF(AND(P140='G-1 All Habitats'!$X$9,(S140+T140)&lt;H140,OR(Y140="No",Y140="")),"Any Loss Unacceptable ⚠",(IF(P140="","",IF(AND(P140='G-1 All Habitats'!$X$9,T140&gt;0),U140+V140,IF(AND(P140='G-1 All Habitats'!$X$9,S140&gt;0),U140+V140,H140*J140*L140*O140))))))))))))))),"Check Data ▲")</f>
        <v/>
      </c>
      <c r="R140" s="38"/>
      <c r="S140" s="52"/>
      <c r="T140" s="53"/>
      <c r="U140" s="287" t="str">
        <f t="shared" si="18" ref="U140:U203">IFERROR(IF(G140="Yes","Irreplaceable habitat - no units generated ⚠",(S140*J140*L140*O140)),"")</f>
        <v/>
      </c>
      <c r="V140" s="287" t="str">
        <f t="shared" si="19" ref="V140:V203">IFERROR(IF(AND(E140="Individual trees",T140&gt;0,G140="Yes"),"Error - ▲",(T140*J140*L140*O140)),"")</f>
        <v/>
      </c>
      <c r="W140" s="287" t="str">
        <f t="shared" si="20" ref="W140:W203">IF(E140="","",IF(H140&lt;S140+T140,"Error in Areas ▲",H140-S140-T140))</f>
        <v/>
      </c>
      <c r="X140" s="291" t="str">
        <f>IFERROR(IF(H140="","",IF(H140-S140-T140=0&lt;0,"Error in Areas ▲",IF(S140+T140&gt;H140,"Error in Areas ▲",IF(AND(P140='G-1 All Habitats'!$X$9,Y140="Yes"),"Alternative Compensation ✓",IF(AND(P140='G-1 All Habitats'!$X$3,Y140="Yes"),"Alternative Compensation ✓",IF(AND(Y140="Pending",P140='G-1 All Habitats'!$X$3),"Bespoke compensation must be agreed ▲",IF(AND(Y140="Pending",P140='G-1 All Habitats'!$X$9),"Bespoke compensation must be agreed  ▲",IF(W140=0,0,IF(P140='G-1 All Habitats'!$X$9,"Any Loss Unacceptable ▲",Q140-U140-V140))))))))),"Check Data ▲")</f>
        <v/>
      </c>
      <c r="Y140" s="53"/>
      <c r="Z140" s="105"/>
      <c r="AA140" s="233"/>
      <c r="AB140" s="104"/>
      <c r="AC140" s="512" t="str">
        <f>IF(OR(P140="",Y140="Yes"),"",IF(P140='G-1 All Habitats'!$X$9,H140-S140-T140,"None"))</f>
        <v/>
      </c>
      <c r="AD140" s="513" t="str">
        <f>IF(P140="","",IF(P140='G-1 All Habitats'!$X$9,AC140*J140*L140*O140,"None"))</f>
        <v/>
      </c>
      <c r="AE140" s="35" t="str">
        <f t="shared" si="16"/>
        <v/>
      </c>
      <c r="AF140" s="40" t="str">
        <f t="shared" si="21" ref="AF140:AF203">IF(AV140="","",IF(S140&gt;0,TRUE,FALSE))</f>
        <v/>
      </c>
      <c r="AG140" s="40" t="str">
        <f t="shared" si="17"/>
        <v/>
      </c>
      <c r="AH140" s="40" t="str">
        <f>IF(I140="","",IF(#REF!&gt;0,TRUE,FALSE))</f>
        <v/>
      </c>
      <c r="AI140" s="40">
        <v>130</v>
      </c>
      <c r="AJ140" s="40"/>
      <c r="AK140" s="40" t="str">
        <f t="array" ref="AK140">IFERROR(INDEX($AI$11:$AI$259,MATCH(0,IF(TRUE=$AF$11:$AF$259,COUNTIF($AK$10:$AK139,$AI$11:$AI$259),""),0)),"")</f>
        <v/>
      </c>
      <c r="AL140" s="40" t="str">
        <f t="array" ref="AL140">IFERROR(INDEX($AI$11:$AI$259,MATCH(0,IF(TRUE=$AG$11:$AG$259,COUNTIF($AL$10:$AL139,$AI$11:$AI$259),""),0)),"")</f>
        <v/>
      </c>
      <c r="AM140" s="40" t="str">
        <f t="array" ref="AM140">IFERROR(INDEX($AI$11:$AI$259,MATCH(0,IF(TRUE=$AH$11:$AH$259,COUNTIF($AM$10:$AM139,$AI$11:$AI$259),""),0)),"")</f>
        <v/>
      </c>
      <c r="AN140" s="40"/>
      <c r="AQ140" s="35">
        <f t="shared" si="22" ref="AQ140:AQ203">IF(X140="Any Loss Unacceptable ▲",1,0)</f>
        <v>0</v>
      </c>
      <c r="AT140" s="885" t="str">
        <f>IF(AND(OR(Y140="Yes",Y140="Pending"),P140='G-1 All Habitats'!$X$3),Q140-U140-V140,"")</f>
        <v/>
      </c>
      <c r="AV140" s="542" t="str">
        <f>IFERROR(INDEX('G-1 All Habitats'!$B$3:$B$135,MATCH(F140,'G-1 All Habitats'!$A$3:$A$135,0)),"")</f>
        <v/>
      </c>
      <c r="AW140" s="35" t="str">
        <f>IF(AV140="","",VLOOKUP(AV140,'G-1 All Habitats'!$B$1:$T$135,19,FALSE))</f>
        <v/>
      </c>
    </row>
    <row r="141" spans="1:49" ht="14.5" hidden="1" thickBot="1">
      <c r="A141" s="35" t="str">
        <f>IFERROR(INDEX('G-1 All Habitats'!$AG$3:$AG$17,MATCH(E141,'G-1 All Habitats'!$AF$3:$AF$17,0)),"")</f>
        <v/>
      </c>
      <c r="B141" s="35" t="str">
        <f>IFERROR(INDEX('G-8 Condition Look up'!$I$4:$I$135,MATCH(AV141,'G-8 Condition Look up'!$A$4:$A$135,0)),"")</f>
        <v/>
      </c>
      <c r="D141" s="225">
        <v>131</v>
      </c>
      <c r="E141" s="211"/>
      <c r="F141" s="57"/>
      <c r="G141" s="263"/>
      <c r="H141" s="51"/>
      <c r="I141" s="275" t="str">
        <f>IF(AV141="","",IF(AND(AW141="Yes",G141="No"),"Irreplaceable habitat ▲",IF(AND(AW141="No",G141="Yes"),"Cannot be Irreplaceable ▲",VLOOKUP(AV141,'G-1 All Habitats'!$B$2:$M$135,10,FALSE))))</f>
        <v/>
      </c>
      <c r="J141" s="276" t="str">
        <f>IFERROR(VLOOKUP(I141,'G-1 All Habitats'!$V$3:$W$7,2,FALSE),"")</f>
        <v/>
      </c>
      <c r="K141" s="52"/>
      <c r="L141" s="276" t="str">
        <f>IFERROR(INDEX('G-8 Condition Look up'!$A$3:$H$135,MATCH(AV141,'G-8 Condition Look up'!$A$3:$A$135,0),MATCH(K141,'G-8 Condition Look up'!$A$3:$H$3,0)),"")</f>
        <v/>
      </c>
      <c r="M141" s="52"/>
      <c r="N141" s="295" t="str">
        <f>IF(M141="","",IF(VLOOKUP(M141,'G-3 Multipliers'!$L$3:$N$6,2,FALSE)=0,"Spatial Data Missing",VLOOKUP(M141,'G-3 Multipliers'!$L$3:$N$6,2,FALSE)))</f>
        <v/>
      </c>
      <c r="O141" s="281" t="str">
        <f>IF(M141="","",IF(VLOOKUP(M141,'G-3 Multipliers'!$L$3:$N$6,3,FALSE)=0,"Spatial Data Missing ▲",VLOOKUP(M141,'G-3 Multipliers'!$L$3:$N$6,3,FALSE)))</f>
        <v/>
      </c>
      <c r="P141" s="282" t="str">
        <f>(IF(G141="Yes","Bespoke compensation likely to be required",(IFERROR(VLOOKUP(AV141,'G-1 All Habitats'!$B$2:$M$135,12,FALSE),""))))</f>
        <v/>
      </c>
      <c r="Q141" s="289" t="str">
        <f>IFERROR(IF(AND(F141&lt;&gt;"",G141=""),"Confirm irreplaceable habitat status ▲",(IF(AND(E141="Individual trees",T141&gt;0,G141="Yes"),"Error - you cannot enhance irreplaceable individual trees ▲",(IF(AND(U141="Irreplaceable habitat - no units generated ⚠",(S141+T141)&lt;H141,OR(Y141="No",Y141="")),"Any Loss Unacceptable ⚠",(IF(U141="Irreplaceable habitat - no units generated ⚠",T141*J141*L141*O141,IF(AND(P141='G-1 All Habitats'!$X$9,AC141&gt;0,S141&lt;=0,T141&lt;=0,OR(Y141="No",Y141="")),"Any Loss Unacceptable ⚠",IF(AND(P141='G-1 All Habitats'!$X$9,AC141&gt;0,S141&lt;=0,T141&lt;=0,Y141="Yes"),0,(IF(AND(P141='G-1 All Habitats'!$X$9,(S141+T141)&lt;H141,OR(Y141="No",Y141="")),"Any Loss Unacceptable ⚠",(IF(P141="","",IF(AND(P141='G-1 All Habitats'!$X$9,T141&gt;0),U141+V141,IF(AND(P141='G-1 All Habitats'!$X$9,S141&gt;0),U141+V141,H141*J141*L141*O141))))))))))))))),"Check Data ▲")</f>
        <v/>
      </c>
      <c r="R141" s="38"/>
      <c r="S141" s="52"/>
      <c r="T141" s="53"/>
      <c r="U141" s="287" t="str">
        <f t="shared" si="18"/>
        <v/>
      </c>
      <c r="V141" s="287" t="str">
        <f t="shared" si="19"/>
        <v/>
      </c>
      <c r="W141" s="287" t="str">
        <f t="shared" si="20"/>
        <v/>
      </c>
      <c r="X141" s="291" t="str">
        <f>IFERROR(IF(H141="","",IF(H141-S141-T141=0&lt;0,"Error in Areas ▲",IF(S141+T141&gt;H141,"Error in Areas ▲",IF(AND(P141='G-1 All Habitats'!$X$9,Y141="Yes"),"Alternative Compensation ✓",IF(AND(P141='G-1 All Habitats'!$X$3,Y141="Yes"),"Alternative Compensation ✓",IF(AND(Y141="Pending",P141='G-1 All Habitats'!$X$3),"Bespoke compensation must be agreed ▲",IF(AND(Y141="Pending",P141='G-1 All Habitats'!$X$9),"Bespoke compensation must be agreed  ▲",IF(W141=0,0,IF(P141='G-1 All Habitats'!$X$9,"Any Loss Unacceptable ▲",Q141-U141-V141))))))))),"Check Data ▲")</f>
        <v/>
      </c>
      <c r="Y141" s="53"/>
      <c r="Z141" s="105"/>
      <c r="AA141" s="233"/>
      <c r="AB141" s="104"/>
      <c r="AC141" s="512" t="str">
        <f>IF(OR(P141="",Y141="Yes"),"",IF(P141='G-1 All Habitats'!$X$9,H141-S141-T141,"None"))</f>
        <v/>
      </c>
      <c r="AD141" s="513" t="str">
        <f>IF(P141="","",IF(P141='G-1 All Habitats'!$X$9,AC141*J141*L141*O141,"None"))</f>
        <v/>
      </c>
      <c r="AE141" s="35" t="str">
        <f t="shared" si="16"/>
        <v/>
      </c>
      <c r="AF141" s="40" t="str">
        <f t="shared" si="21"/>
        <v/>
      </c>
      <c r="AG141" s="40" t="str">
        <f t="shared" si="17"/>
        <v/>
      </c>
      <c r="AH141" s="40" t="str">
        <f>IF(I141="","",IF(#REF!&gt;0,TRUE,FALSE))</f>
        <v/>
      </c>
      <c r="AI141" s="40">
        <v>131</v>
      </c>
      <c r="AJ141" s="40"/>
      <c r="AK141" s="40" t="str">
        <f t="array" ref="AK141">IFERROR(INDEX($AI$11:$AI$259,MATCH(0,IF(TRUE=$AF$11:$AF$259,COUNTIF($AK$10:$AK140,$AI$11:$AI$259),""),0)),"")</f>
        <v/>
      </c>
      <c r="AL141" s="40" t="str">
        <f t="array" ref="AL141">IFERROR(INDEX($AI$11:$AI$259,MATCH(0,IF(TRUE=$AG$11:$AG$259,COUNTIF($AL$10:$AL140,$AI$11:$AI$259),""),0)),"")</f>
        <v/>
      </c>
      <c r="AM141" s="40" t="str">
        <f t="array" ref="AM141">IFERROR(INDEX($AI$11:$AI$259,MATCH(0,IF(TRUE=$AH$11:$AH$259,COUNTIF($AM$10:$AM140,$AI$11:$AI$259),""),0)),"")</f>
        <v/>
      </c>
      <c r="AN141" s="40"/>
      <c r="AQ141" s="35">
        <f t="shared" si="22"/>
        <v>0</v>
      </c>
      <c r="AT141" s="885" t="str">
        <f>IF(AND(OR(Y141="Yes",Y141="Pending"),P141='G-1 All Habitats'!$X$3),Q141-U141-V141,"")</f>
        <v/>
      </c>
      <c r="AV141" s="542" t="str">
        <f>IFERROR(INDEX('G-1 All Habitats'!$B$3:$B$135,MATCH(F141,'G-1 All Habitats'!$A$3:$A$135,0)),"")</f>
        <v/>
      </c>
      <c r="AW141" s="35" t="str">
        <f>IF(AV141="","",VLOOKUP(AV141,'G-1 All Habitats'!$B$1:$T$135,19,FALSE))</f>
        <v/>
      </c>
    </row>
    <row r="142" spans="1:49" ht="14.5" hidden="1" thickBot="1">
      <c r="A142" s="35" t="str">
        <f>IFERROR(INDEX('G-1 All Habitats'!$AG$3:$AG$17,MATCH(E142,'G-1 All Habitats'!$AF$3:$AF$17,0)),"")</f>
        <v/>
      </c>
      <c r="B142" s="35" t="str">
        <f>IFERROR(INDEX('G-8 Condition Look up'!$I$4:$I$135,MATCH(AV142,'G-8 Condition Look up'!$A$4:$A$135,0)),"")</f>
        <v/>
      </c>
      <c r="D142" s="225">
        <v>132</v>
      </c>
      <c r="E142" s="211"/>
      <c r="F142" s="57"/>
      <c r="G142" s="263"/>
      <c r="H142" s="51"/>
      <c r="I142" s="275" t="str">
        <f>IF(AV142="","",IF(AND(AW142="Yes",G142="No"),"Irreplaceable habitat ▲",IF(AND(AW142="No",G142="Yes"),"Cannot be Irreplaceable ▲",VLOOKUP(AV142,'G-1 All Habitats'!$B$2:$M$135,10,FALSE))))</f>
        <v/>
      </c>
      <c r="J142" s="276" t="str">
        <f>IFERROR(VLOOKUP(I142,'G-1 All Habitats'!$V$3:$W$7,2,FALSE),"")</f>
        <v/>
      </c>
      <c r="K142" s="52"/>
      <c r="L142" s="276" t="str">
        <f>IFERROR(INDEX('G-8 Condition Look up'!$A$3:$H$135,MATCH(AV142,'G-8 Condition Look up'!$A$3:$A$135,0),MATCH(K142,'G-8 Condition Look up'!$A$3:$H$3,0)),"")</f>
        <v/>
      </c>
      <c r="M142" s="52"/>
      <c r="N142" s="295" t="str">
        <f>IF(M142="","",IF(VLOOKUP(M142,'G-3 Multipliers'!$L$3:$N$6,2,FALSE)=0,"Spatial Data Missing",VLOOKUP(M142,'G-3 Multipliers'!$L$3:$N$6,2,FALSE)))</f>
        <v/>
      </c>
      <c r="O142" s="281" t="str">
        <f>IF(M142="","",IF(VLOOKUP(M142,'G-3 Multipliers'!$L$3:$N$6,3,FALSE)=0,"Spatial Data Missing ▲",VLOOKUP(M142,'G-3 Multipliers'!$L$3:$N$6,3,FALSE)))</f>
        <v/>
      </c>
      <c r="P142" s="282" t="str">
        <f>(IF(G142="Yes","Bespoke compensation likely to be required",(IFERROR(VLOOKUP(AV142,'G-1 All Habitats'!$B$2:$M$135,12,FALSE),""))))</f>
        <v/>
      </c>
      <c r="Q142" s="289" t="str">
        <f>IFERROR(IF(AND(F142&lt;&gt;"",G142=""),"Confirm irreplaceable habitat status ▲",(IF(AND(E142="Individual trees",T142&gt;0,G142="Yes"),"Error - you cannot enhance irreplaceable individual trees ▲",(IF(AND(U142="Irreplaceable habitat - no units generated ⚠",(S142+T142)&lt;H142,OR(Y142="No",Y142="")),"Any Loss Unacceptable ⚠",(IF(U142="Irreplaceable habitat - no units generated ⚠",T142*J142*L142*O142,IF(AND(P142='G-1 All Habitats'!$X$9,AC142&gt;0,S142&lt;=0,T142&lt;=0,OR(Y142="No",Y142="")),"Any Loss Unacceptable ⚠",IF(AND(P142='G-1 All Habitats'!$X$9,AC142&gt;0,S142&lt;=0,T142&lt;=0,Y142="Yes"),0,(IF(AND(P142='G-1 All Habitats'!$X$9,(S142+T142)&lt;H142,OR(Y142="No",Y142="")),"Any Loss Unacceptable ⚠",(IF(P142="","",IF(AND(P142='G-1 All Habitats'!$X$9,T142&gt;0),U142+V142,IF(AND(P142='G-1 All Habitats'!$X$9,S142&gt;0),U142+V142,H142*J142*L142*O142))))))))))))))),"Check Data ▲")</f>
        <v/>
      </c>
      <c r="R142" s="38"/>
      <c r="S142" s="52"/>
      <c r="T142" s="53"/>
      <c r="U142" s="287" t="str">
        <f t="shared" si="18"/>
        <v/>
      </c>
      <c r="V142" s="287" t="str">
        <f t="shared" si="19"/>
        <v/>
      </c>
      <c r="W142" s="287" t="str">
        <f t="shared" si="20"/>
        <v/>
      </c>
      <c r="X142" s="291" t="str">
        <f>IFERROR(IF(H142="","",IF(H142-S142-T142=0&lt;0,"Error in Areas ▲",IF(S142+T142&gt;H142,"Error in Areas ▲",IF(AND(P142='G-1 All Habitats'!$X$9,Y142="Yes"),"Alternative Compensation ✓",IF(AND(P142='G-1 All Habitats'!$X$3,Y142="Yes"),"Alternative Compensation ✓",IF(AND(Y142="Pending",P142='G-1 All Habitats'!$X$3),"Bespoke compensation must be agreed ▲",IF(AND(Y142="Pending",P142='G-1 All Habitats'!$X$9),"Bespoke compensation must be agreed  ▲",IF(W142=0,0,IF(P142='G-1 All Habitats'!$X$9,"Any Loss Unacceptable ▲",Q142-U142-V142))))))))),"Check Data ▲")</f>
        <v/>
      </c>
      <c r="Y142" s="53"/>
      <c r="Z142" s="105"/>
      <c r="AA142" s="233"/>
      <c r="AB142" s="104"/>
      <c r="AC142" s="512" t="str">
        <f>IF(OR(P142="",Y142="Yes"),"",IF(P142='G-1 All Habitats'!$X$9,H142-S142-T142,"None"))</f>
        <v/>
      </c>
      <c r="AD142" s="513" t="str">
        <f>IF(P142="","",IF(P142='G-1 All Habitats'!$X$9,AC142*J142*L142*O142,"None"))</f>
        <v/>
      </c>
      <c r="AE142" s="35" t="str">
        <f t="shared" si="16"/>
        <v/>
      </c>
      <c r="AF142" s="40" t="str">
        <f t="shared" si="21"/>
        <v/>
      </c>
      <c r="AG142" s="40" t="str">
        <f t="shared" si="17"/>
        <v/>
      </c>
      <c r="AH142" s="40" t="str">
        <f>IF(I142="","",IF(#REF!&gt;0,TRUE,FALSE))</f>
        <v/>
      </c>
      <c r="AI142" s="40">
        <v>132</v>
      </c>
      <c r="AJ142" s="40"/>
      <c r="AK142" s="40" t="str">
        <f t="array" ref="AK142">IFERROR(INDEX($AI$11:$AI$259,MATCH(0,IF(TRUE=$AF$11:$AF$259,COUNTIF($AK$10:$AK141,$AI$11:$AI$259),""),0)),"")</f>
        <v/>
      </c>
      <c r="AL142" s="40" t="str">
        <f t="array" ref="AL142">IFERROR(INDEX($AI$11:$AI$259,MATCH(0,IF(TRUE=$AG$11:$AG$259,COUNTIF($AL$10:$AL141,$AI$11:$AI$259),""),0)),"")</f>
        <v/>
      </c>
      <c r="AM142" s="40" t="str">
        <f t="array" ref="AM142">IFERROR(INDEX($AI$11:$AI$259,MATCH(0,IF(TRUE=$AH$11:$AH$259,COUNTIF($AM$10:$AM141,$AI$11:$AI$259),""),0)),"")</f>
        <v/>
      </c>
      <c r="AN142" s="40"/>
      <c r="AQ142" s="35">
        <f t="shared" si="22"/>
        <v>0</v>
      </c>
      <c r="AT142" s="885" t="str">
        <f>IF(AND(OR(Y142="Yes",Y142="Pending"),P142='G-1 All Habitats'!$X$3),Q142-U142-V142,"")</f>
        <v/>
      </c>
      <c r="AV142" s="542" t="str">
        <f>IFERROR(INDEX('G-1 All Habitats'!$B$3:$B$135,MATCH(F142,'G-1 All Habitats'!$A$3:$A$135,0)),"")</f>
        <v/>
      </c>
      <c r="AW142" s="35" t="str">
        <f>IF(AV142="","",VLOOKUP(AV142,'G-1 All Habitats'!$B$1:$T$135,19,FALSE))</f>
        <v/>
      </c>
    </row>
    <row r="143" spans="1:49" ht="14.5" hidden="1" thickBot="1">
      <c r="A143" s="35" t="str">
        <f>IFERROR(INDEX('G-1 All Habitats'!$AG$3:$AG$17,MATCH(E143,'G-1 All Habitats'!$AF$3:$AF$17,0)),"")</f>
        <v/>
      </c>
      <c r="B143" s="35" t="str">
        <f>IFERROR(INDEX('G-8 Condition Look up'!$I$4:$I$135,MATCH(AV143,'G-8 Condition Look up'!$A$4:$A$135,0)),"")</f>
        <v/>
      </c>
      <c r="D143" s="225">
        <v>133</v>
      </c>
      <c r="E143" s="211"/>
      <c r="F143" s="57"/>
      <c r="G143" s="263"/>
      <c r="H143" s="51"/>
      <c r="I143" s="275" t="str">
        <f>IF(AV143="","",IF(AND(AW143="Yes",G143="No"),"Irreplaceable habitat ▲",IF(AND(AW143="No",G143="Yes"),"Cannot be Irreplaceable ▲",VLOOKUP(AV143,'G-1 All Habitats'!$B$2:$M$135,10,FALSE))))</f>
        <v/>
      </c>
      <c r="J143" s="276" t="str">
        <f>IFERROR(VLOOKUP(I143,'G-1 All Habitats'!$V$3:$W$7,2,FALSE),"")</f>
        <v/>
      </c>
      <c r="K143" s="52"/>
      <c r="L143" s="276" t="str">
        <f>IFERROR(INDEX('G-8 Condition Look up'!$A$3:$H$135,MATCH(AV143,'G-8 Condition Look up'!$A$3:$A$135,0),MATCH(K143,'G-8 Condition Look up'!$A$3:$H$3,0)),"")</f>
        <v/>
      </c>
      <c r="M143" s="52"/>
      <c r="N143" s="295" t="str">
        <f>IF(M143="","",IF(VLOOKUP(M143,'G-3 Multipliers'!$L$3:$N$6,2,FALSE)=0,"Spatial Data Missing",VLOOKUP(M143,'G-3 Multipliers'!$L$3:$N$6,2,FALSE)))</f>
        <v/>
      </c>
      <c r="O143" s="281" t="str">
        <f>IF(M143="","",IF(VLOOKUP(M143,'G-3 Multipliers'!$L$3:$N$6,3,FALSE)=0,"Spatial Data Missing ▲",VLOOKUP(M143,'G-3 Multipliers'!$L$3:$N$6,3,FALSE)))</f>
        <v/>
      </c>
      <c r="P143" s="282" t="str">
        <f>(IF(G143="Yes","Bespoke compensation likely to be required",(IFERROR(VLOOKUP(AV143,'G-1 All Habitats'!$B$2:$M$135,12,FALSE),""))))</f>
        <v/>
      </c>
      <c r="Q143" s="289" t="str">
        <f>IFERROR(IF(AND(F143&lt;&gt;"",G143=""),"Confirm irreplaceable habitat status ▲",(IF(AND(E143="Individual trees",T143&gt;0,G143="Yes"),"Error - you cannot enhance irreplaceable individual trees ▲",(IF(AND(U143="Irreplaceable habitat - no units generated ⚠",(S143+T143)&lt;H143,OR(Y143="No",Y143="")),"Any Loss Unacceptable ⚠",(IF(U143="Irreplaceable habitat - no units generated ⚠",T143*J143*L143*O143,IF(AND(P143='G-1 All Habitats'!$X$9,AC143&gt;0,S143&lt;=0,T143&lt;=0,OR(Y143="No",Y143="")),"Any Loss Unacceptable ⚠",IF(AND(P143='G-1 All Habitats'!$X$9,AC143&gt;0,S143&lt;=0,T143&lt;=0,Y143="Yes"),0,(IF(AND(P143='G-1 All Habitats'!$X$9,(S143+T143)&lt;H143,OR(Y143="No",Y143="")),"Any Loss Unacceptable ⚠",(IF(P143="","",IF(AND(P143='G-1 All Habitats'!$X$9,T143&gt;0),U143+V143,IF(AND(P143='G-1 All Habitats'!$X$9,S143&gt;0),U143+V143,H143*J143*L143*O143))))))))))))))),"Check Data ▲")</f>
        <v/>
      </c>
      <c r="R143" s="38"/>
      <c r="S143" s="52"/>
      <c r="T143" s="53"/>
      <c r="U143" s="287" t="str">
        <f t="shared" si="18"/>
        <v/>
      </c>
      <c r="V143" s="287" t="str">
        <f t="shared" si="19"/>
        <v/>
      </c>
      <c r="W143" s="287" t="str">
        <f t="shared" si="20"/>
        <v/>
      </c>
      <c r="X143" s="291" t="str">
        <f>IFERROR(IF(H143="","",IF(H143-S143-T143=0&lt;0,"Error in Areas ▲",IF(S143+T143&gt;H143,"Error in Areas ▲",IF(AND(P143='G-1 All Habitats'!$X$9,Y143="Yes"),"Alternative Compensation ✓",IF(AND(P143='G-1 All Habitats'!$X$3,Y143="Yes"),"Alternative Compensation ✓",IF(AND(Y143="Pending",P143='G-1 All Habitats'!$X$3),"Bespoke compensation must be agreed ▲",IF(AND(Y143="Pending",P143='G-1 All Habitats'!$X$9),"Bespoke compensation must be agreed  ▲",IF(W143=0,0,IF(P143='G-1 All Habitats'!$X$9,"Any Loss Unacceptable ▲",Q143-U143-V143))))))))),"Check Data ▲")</f>
        <v/>
      </c>
      <c r="Y143" s="53"/>
      <c r="Z143" s="105"/>
      <c r="AA143" s="233"/>
      <c r="AB143" s="104"/>
      <c r="AC143" s="512" t="str">
        <f>IF(OR(P143="",Y143="Yes"),"",IF(P143='G-1 All Habitats'!$X$9,H143-S143-T143,"None"))</f>
        <v/>
      </c>
      <c r="AD143" s="513" t="str">
        <f>IF(P143="","",IF(P143='G-1 All Habitats'!$X$9,AC143*J143*L143*O143,"None"))</f>
        <v/>
      </c>
      <c r="AE143" s="35" t="str">
        <f t="shared" si="16"/>
        <v/>
      </c>
      <c r="AF143" s="40" t="str">
        <f t="shared" si="21"/>
        <v/>
      </c>
      <c r="AG143" s="40" t="str">
        <f t="shared" si="17"/>
        <v/>
      </c>
      <c r="AH143" s="40" t="str">
        <f>IF(I143="","",IF(#REF!&gt;0,TRUE,FALSE))</f>
        <v/>
      </c>
      <c r="AI143" s="40">
        <v>133</v>
      </c>
      <c r="AJ143" s="40"/>
      <c r="AK143" s="40" t="str">
        <f t="array" ref="AK143">IFERROR(INDEX($AI$11:$AI$259,MATCH(0,IF(TRUE=$AF$11:$AF$259,COUNTIF($AK$10:$AK142,$AI$11:$AI$259),""),0)),"")</f>
        <v/>
      </c>
      <c r="AL143" s="40" t="str">
        <f t="array" ref="AL143">IFERROR(INDEX($AI$11:$AI$259,MATCH(0,IF(TRUE=$AG$11:$AG$259,COUNTIF($AL$10:$AL142,$AI$11:$AI$259),""),0)),"")</f>
        <v/>
      </c>
      <c r="AM143" s="40" t="str">
        <f t="array" ref="AM143">IFERROR(INDEX($AI$11:$AI$259,MATCH(0,IF(TRUE=$AH$11:$AH$259,COUNTIF($AM$10:$AM142,$AI$11:$AI$259),""),0)),"")</f>
        <v/>
      </c>
      <c r="AN143" s="40"/>
      <c r="AQ143" s="35">
        <f t="shared" si="22"/>
        <v>0</v>
      </c>
      <c r="AT143" s="885" t="str">
        <f>IF(AND(OR(Y143="Yes",Y143="Pending"),P143='G-1 All Habitats'!$X$3),Q143-U143-V143,"")</f>
        <v/>
      </c>
      <c r="AV143" s="542" t="str">
        <f>IFERROR(INDEX('G-1 All Habitats'!$B$3:$B$135,MATCH(F143,'G-1 All Habitats'!$A$3:$A$135,0)),"")</f>
        <v/>
      </c>
      <c r="AW143" s="35" t="str">
        <f>IF(AV143="","",VLOOKUP(AV143,'G-1 All Habitats'!$B$1:$T$135,19,FALSE))</f>
        <v/>
      </c>
    </row>
    <row r="144" spans="1:49" ht="14.5" hidden="1" thickBot="1">
      <c r="A144" s="35" t="str">
        <f>IFERROR(INDEX('G-1 All Habitats'!$AG$3:$AG$17,MATCH(E144,'G-1 All Habitats'!$AF$3:$AF$17,0)),"")</f>
        <v/>
      </c>
      <c r="B144" s="35" t="str">
        <f>IFERROR(INDEX('G-8 Condition Look up'!$I$4:$I$135,MATCH(AV144,'G-8 Condition Look up'!$A$4:$A$135,0)),"")</f>
        <v/>
      </c>
      <c r="D144" s="225">
        <v>134</v>
      </c>
      <c r="E144" s="211"/>
      <c r="F144" s="57"/>
      <c r="G144" s="263"/>
      <c r="H144" s="51"/>
      <c r="I144" s="275" t="str">
        <f>IF(AV144="","",IF(AND(AW144="Yes",G144="No"),"Irreplaceable habitat ▲",IF(AND(AW144="No",G144="Yes"),"Cannot be Irreplaceable ▲",VLOOKUP(AV144,'G-1 All Habitats'!$B$2:$M$135,10,FALSE))))</f>
        <v/>
      </c>
      <c r="J144" s="276" t="str">
        <f>IFERROR(VLOOKUP(I144,'G-1 All Habitats'!$V$3:$W$7,2,FALSE),"")</f>
        <v/>
      </c>
      <c r="K144" s="52"/>
      <c r="L144" s="276" t="str">
        <f>IFERROR(INDEX('G-8 Condition Look up'!$A$3:$H$135,MATCH(AV144,'G-8 Condition Look up'!$A$3:$A$135,0),MATCH(K144,'G-8 Condition Look up'!$A$3:$H$3,0)),"")</f>
        <v/>
      </c>
      <c r="M144" s="52"/>
      <c r="N144" s="295" t="str">
        <f>IF(M144="","",IF(VLOOKUP(M144,'G-3 Multipliers'!$L$3:$N$6,2,FALSE)=0,"Spatial Data Missing",VLOOKUP(M144,'G-3 Multipliers'!$L$3:$N$6,2,FALSE)))</f>
        <v/>
      </c>
      <c r="O144" s="281" t="str">
        <f>IF(M144="","",IF(VLOOKUP(M144,'G-3 Multipliers'!$L$3:$N$6,3,FALSE)=0,"Spatial Data Missing ▲",VLOOKUP(M144,'G-3 Multipliers'!$L$3:$N$6,3,FALSE)))</f>
        <v/>
      </c>
      <c r="P144" s="282" t="str">
        <f>(IF(G144="Yes","Bespoke compensation likely to be required",(IFERROR(VLOOKUP(AV144,'G-1 All Habitats'!$B$2:$M$135,12,FALSE),""))))</f>
        <v/>
      </c>
      <c r="Q144" s="289" t="str">
        <f>IFERROR(IF(AND(F144&lt;&gt;"",G144=""),"Confirm irreplaceable habitat status ▲",(IF(AND(E144="Individual trees",T144&gt;0,G144="Yes"),"Error - you cannot enhance irreplaceable individual trees ▲",(IF(AND(U144="Irreplaceable habitat - no units generated ⚠",(S144+T144)&lt;H144,OR(Y144="No",Y144="")),"Any Loss Unacceptable ⚠",(IF(U144="Irreplaceable habitat - no units generated ⚠",T144*J144*L144*O144,IF(AND(P144='G-1 All Habitats'!$X$9,AC144&gt;0,S144&lt;=0,T144&lt;=0,OR(Y144="No",Y144="")),"Any Loss Unacceptable ⚠",IF(AND(P144='G-1 All Habitats'!$X$9,AC144&gt;0,S144&lt;=0,T144&lt;=0,Y144="Yes"),0,(IF(AND(P144='G-1 All Habitats'!$X$9,(S144+T144)&lt;H144,OR(Y144="No",Y144="")),"Any Loss Unacceptable ⚠",(IF(P144="","",IF(AND(P144='G-1 All Habitats'!$X$9,T144&gt;0),U144+V144,IF(AND(P144='G-1 All Habitats'!$X$9,S144&gt;0),U144+V144,H144*J144*L144*O144))))))))))))))),"Check Data ▲")</f>
        <v/>
      </c>
      <c r="R144" s="38"/>
      <c r="S144" s="52"/>
      <c r="T144" s="53"/>
      <c r="U144" s="287" t="str">
        <f t="shared" si="18"/>
        <v/>
      </c>
      <c r="V144" s="287" t="str">
        <f t="shared" si="19"/>
        <v/>
      </c>
      <c r="W144" s="287" t="str">
        <f t="shared" si="20"/>
        <v/>
      </c>
      <c r="X144" s="291" t="str">
        <f>IFERROR(IF(H144="","",IF(H144-S144-T144=0&lt;0,"Error in Areas ▲",IF(S144+T144&gt;H144,"Error in Areas ▲",IF(AND(P144='G-1 All Habitats'!$X$9,Y144="Yes"),"Alternative Compensation ✓",IF(AND(P144='G-1 All Habitats'!$X$3,Y144="Yes"),"Alternative Compensation ✓",IF(AND(Y144="Pending",P144='G-1 All Habitats'!$X$3),"Bespoke compensation must be agreed ▲",IF(AND(Y144="Pending",P144='G-1 All Habitats'!$X$9),"Bespoke compensation must be agreed  ▲",IF(W144=0,0,IF(P144='G-1 All Habitats'!$X$9,"Any Loss Unacceptable ▲",Q144-U144-V144))))))))),"Check Data ▲")</f>
        <v/>
      </c>
      <c r="Y144" s="53"/>
      <c r="Z144" s="105"/>
      <c r="AA144" s="233"/>
      <c r="AB144" s="104"/>
      <c r="AC144" s="512" t="str">
        <f>IF(OR(P144="",Y144="Yes"),"",IF(P144='G-1 All Habitats'!$X$9,H144-S144-T144,"None"))</f>
        <v/>
      </c>
      <c r="AD144" s="513" t="str">
        <f>IF(P144="","",IF(P144='G-1 All Habitats'!$X$9,AC144*J144*L144*O144,"None"))</f>
        <v/>
      </c>
      <c r="AE144" s="35" t="str">
        <f t="shared" si="16"/>
        <v/>
      </c>
      <c r="AF144" s="40" t="str">
        <f t="shared" si="21"/>
        <v/>
      </c>
      <c r="AG144" s="40" t="str">
        <f t="shared" si="17"/>
        <v/>
      </c>
      <c r="AH144" s="40" t="str">
        <f>IF(I144="","",IF(#REF!&gt;0,TRUE,FALSE))</f>
        <v/>
      </c>
      <c r="AI144" s="40">
        <v>134</v>
      </c>
      <c r="AJ144" s="40"/>
      <c r="AK144" s="40" t="str">
        <f t="array" ref="AK144">IFERROR(INDEX($AI$11:$AI$259,MATCH(0,IF(TRUE=$AF$11:$AF$259,COUNTIF($AK$10:$AK143,$AI$11:$AI$259),""),0)),"")</f>
        <v/>
      </c>
      <c r="AL144" s="40" t="str">
        <f t="array" ref="AL144">IFERROR(INDEX($AI$11:$AI$259,MATCH(0,IF(TRUE=$AG$11:$AG$259,COUNTIF($AL$10:$AL143,$AI$11:$AI$259),""),0)),"")</f>
        <v/>
      </c>
      <c r="AM144" s="40" t="str">
        <f t="array" ref="AM144">IFERROR(INDEX($AI$11:$AI$259,MATCH(0,IF(TRUE=$AH$11:$AH$259,COUNTIF($AM$10:$AM143,$AI$11:$AI$259),""),0)),"")</f>
        <v/>
      </c>
      <c r="AN144" s="40"/>
      <c r="AQ144" s="35">
        <f t="shared" si="22"/>
        <v>0</v>
      </c>
      <c r="AT144" s="885" t="str">
        <f>IF(AND(OR(Y144="Yes",Y144="Pending"),P144='G-1 All Habitats'!$X$3),Q144-U144-V144,"")</f>
        <v/>
      </c>
      <c r="AV144" s="542" t="str">
        <f>IFERROR(INDEX('G-1 All Habitats'!$B$3:$B$135,MATCH(F144,'G-1 All Habitats'!$A$3:$A$135,0)),"")</f>
        <v/>
      </c>
      <c r="AW144" s="35" t="str">
        <f>IF(AV144="","",VLOOKUP(AV144,'G-1 All Habitats'!$B$1:$T$135,19,FALSE))</f>
        <v/>
      </c>
    </row>
    <row r="145" spans="1:49" ht="14.5" hidden="1" thickBot="1">
      <c r="A145" s="35" t="str">
        <f>IFERROR(INDEX('G-1 All Habitats'!$AG$3:$AG$17,MATCH(E145,'G-1 All Habitats'!$AF$3:$AF$17,0)),"")</f>
        <v/>
      </c>
      <c r="B145" s="35" t="str">
        <f>IFERROR(INDEX('G-8 Condition Look up'!$I$4:$I$135,MATCH(AV145,'G-8 Condition Look up'!$A$4:$A$135,0)),"")</f>
        <v/>
      </c>
      <c r="D145" s="225">
        <v>135</v>
      </c>
      <c r="E145" s="211"/>
      <c r="F145" s="57"/>
      <c r="G145" s="263"/>
      <c r="H145" s="51"/>
      <c r="I145" s="275" t="str">
        <f>IF(AV145="","",IF(AND(AW145="Yes",G145="No"),"Irreplaceable habitat ▲",IF(AND(AW145="No",G145="Yes"),"Cannot be Irreplaceable ▲",VLOOKUP(AV145,'G-1 All Habitats'!$B$2:$M$135,10,FALSE))))</f>
        <v/>
      </c>
      <c r="J145" s="276" t="str">
        <f>IFERROR(VLOOKUP(I145,'G-1 All Habitats'!$V$3:$W$7,2,FALSE),"")</f>
        <v/>
      </c>
      <c r="K145" s="52"/>
      <c r="L145" s="276" t="str">
        <f>IFERROR(INDEX('G-8 Condition Look up'!$A$3:$H$135,MATCH(AV145,'G-8 Condition Look up'!$A$3:$A$135,0),MATCH(K145,'G-8 Condition Look up'!$A$3:$H$3,0)),"")</f>
        <v/>
      </c>
      <c r="M145" s="52"/>
      <c r="N145" s="295" t="str">
        <f>IF(M145="","",IF(VLOOKUP(M145,'G-3 Multipliers'!$L$3:$N$6,2,FALSE)=0,"Spatial Data Missing",VLOOKUP(M145,'G-3 Multipliers'!$L$3:$N$6,2,FALSE)))</f>
        <v/>
      </c>
      <c r="O145" s="281" t="str">
        <f>IF(M145="","",IF(VLOOKUP(M145,'G-3 Multipliers'!$L$3:$N$6,3,FALSE)=0,"Spatial Data Missing ▲",VLOOKUP(M145,'G-3 Multipliers'!$L$3:$N$6,3,FALSE)))</f>
        <v/>
      </c>
      <c r="P145" s="282" t="str">
        <f>(IF(G145="Yes","Bespoke compensation likely to be required",(IFERROR(VLOOKUP(AV145,'G-1 All Habitats'!$B$2:$M$135,12,FALSE),""))))</f>
        <v/>
      </c>
      <c r="Q145" s="289" t="str">
        <f>IFERROR(IF(AND(F145&lt;&gt;"",G145=""),"Confirm irreplaceable habitat status ▲",(IF(AND(E145="Individual trees",T145&gt;0,G145="Yes"),"Error - you cannot enhance irreplaceable individual trees ▲",(IF(AND(U145="Irreplaceable habitat - no units generated ⚠",(S145+T145)&lt;H145,OR(Y145="No",Y145="")),"Any Loss Unacceptable ⚠",(IF(U145="Irreplaceable habitat - no units generated ⚠",T145*J145*L145*O145,IF(AND(P145='G-1 All Habitats'!$X$9,AC145&gt;0,S145&lt;=0,T145&lt;=0,OR(Y145="No",Y145="")),"Any Loss Unacceptable ⚠",IF(AND(P145='G-1 All Habitats'!$X$9,AC145&gt;0,S145&lt;=0,T145&lt;=0,Y145="Yes"),0,(IF(AND(P145='G-1 All Habitats'!$X$9,(S145+T145)&lt;H145,OR(Y145="No",Y145="")),"Any Loss Unacceptable ⚠",(IF(P145="","",IF(AND(P145='G-1 All Habitats'!$X$9,T145&gt;0),U145+V145,IF(AND(P145='G-1 All Habitats'!$X$9,S145&gt;0),U145+V145,H145*J145*L145*O145))))))))))))))),"Check Data ▲")</f>
        <v/>
      </c>
      <c r="R145" s="38"/>
      <c r="S145" s="52"/>
      <c r="T145" s="53"/>
      <c r="U145" s="287" t="str">
        <f t="shared" si="18"/>
        <v/>
      </c>
      <c r="V145" s="287" t="str">
        <f t="shared" si="19"/>
        <v/>
      </c>
      <c r="W145" s="287" t="str">
        <f t="shared" si="20"/>
        <v/>
      </c>
      <c r="X145" s="291" t="str">
        <f>IFERROR(IF(H145="","",IF(H145-S145-T145=0&lt;0,"Error in Areas ▲",IF(S145+T145&gt;H145,"Error in Areas ▲",IF(AND(P145='G-1 All Habitats'!$X$9,Y145="Yes"),"Alternative Compensation ✓",IF(AND(P145='G-1 All Habitats'!$X$3,Y145="Yes"),"Alternative Compensation ✓",IF(AND(Y145="Pending",P145='G-1 All Habitats'!$X$3),"Bespoke compensation must be agreed ▲",IF(AND(Y145="Pending",P145='G-1 All Habitats'!$X$9),"Bespoke compensation must be agreed  ▲",IF(W145=0,0,IF(P145='G-1 All Habitats'!$X$9,"Any Loss Unacceptable ▲",Q145-U145-V145))))))))),"Check Data ▲")</f>
        <v/>
      </c>
      <c r="Y145" s="53"/>
      <c r="Z145" s="105"/>
      <c r="AA145" s="233"/>
      <c r="AB145" s="104"/>
      <c r="AC145" s="512" t="str">
        <f>IF(OR(P145="",Y145="Yes"),"",IF(P145='G-1 All Habitats'!$X$9,H145-S145-T145,"None"))</f>
        <v/>
      </c>
      <c r="AD145" s="513" t="str">
        <f>IF(P145="","",IF(P145='G-1 All Habitats'!$X$9,AC145*J145*L145*O145,"None"))</f>
        <v/>
      </c>
      <c r="AE145" s="35" t="str">
        <f t="shared" si="16"/>
        <v/>
      </c>
      <c r="AF145" s="40" t="str">
        <f t="shared" si="21"/>
        <v/>
      </c>
      <c r="AG145" s="40" t="str">
        <f t="shared" si="17"/>
        <v/>
      </c>
      <c r="AH145" s="40" t="str">
        <f>IF(I145="","",IF(#REF!&gt;0,TRUE,FALSE))</f>
        <v/>
      </c>
      <c r="AI145" s="40">
        <v>135</v>
      </c>
      <c r="AJ145" s="40"/>
      <c r="AK145" s="40" t="str">
        <f t="array" ref="AK145">IFERROR(INDEX($AI$11:$AI$259,MATCH(0,IF(TRUE=$AF$11:$AF$259,COUNTIF($AK$10:$AK144,$AI$11:$AI$259),""),0)),"")</f>
        <v/>
      </c>
      <c r="AL145" s="40" t="str">
        <f t="array" ref="AL145">IFERROR(INDEX($AI$11:$AI$259,MATCH(0,IF(TRUE=$AG$11:$AG$259,COUNTIF($AL$10:$AL144,$AI$11:$AI$259),""),0)),"")</f>
        <v/>
      </c>
      <c r="AM145" s="40" t="str">
        <f t="array" ref="AM145">IFERROR(INDEX($AI$11:$AI$259,MATCH(0,IF(TRUE=$AH$11:$AH$259,COUNTIF($AM$10:$AM144,$AI$11:$AI$259),""),0)),"")</f>
        <v/>
      </c>
      <c r="AN145" s="40"/>
      <c r="AQ145" s="35">
        <f t="shared" si="22"/>
        <v>0</v>
      </c>
      <c r="AT145" s="885" t="str">
        <f>IF(AND(OR(Y145="Yes",Y145="Pending"),P145='G-1 All Habitats'!$X$3),Q145-U145-V145,"")</f>
        <v/>
      </c>
      <c r="AV145" s="542" t="str">
        <f>IFERROR(INDEX('G-1 All Habitats'!$B$3:$B$135,MATCH(F145,'G-1 All Habitats'!$A$3:$A$135,0)),"")</f>
        <v/>
      </c>
      <c r="AW145" s="35" t="str">
        <f>IF(AV145="","",VLOOKUP(AV145,'G-1 All Habitats'!$B$1:$T$135,19,FALSE))</f>
        <v/>
      </c>
    </row>
    <row r="146" spans="1:49" ht="14.5" hidden="1" thickBot="1">
      <c r="A146" s="35" t="str">
        <f>IFERROR(INDEX('G-1 All Habitats'!$AG$3:$AG$17,MATCH(E146,'G-1 All Habitats'!$AF$3:$AF$17,0)),"")</f>
        <v/>
      </c>
      <c r="B146" s="35" t="str">
        <f>IFERROR(INDEX('G-8 Condition Look up'!$I$4:$I$135,MATCH(AV146,'G-8 Condition Look up'!$A$4:$A$135,0)),"")</f>
        <v/>
      </c>
      <c r="D146" s="225">
        <v>136</v>
      </c>
      <c r="E146" s="211"/>
      <c r="F146" s="57"/>
      <c r="G146" s="263"/>
      <c r="H146" s="51"/>
      <c r="I146" s="275" t="str">
        <f>IF(AV146="","",IF(AND(AW146="Yes",G146="No"),"Irreplaceable habitat ▲",IF(AND(AW146="No",G146="Yes"),"Cannot be Irreplaceable ▲",VLOOKUP(AV146,'G-1 All Habitats'!$B$2:$M$135,10,FALSE))))</f>
        <v/>
      </c>
      <c r="J146" s="276" t="str">
        <f>IFERROR(VLOOKUP(I146,'G-1 All Habitats'!$V$3:$W$7,2,FALSE),"")</f>
        <v/>
      </c>
      <c r="K146" s="52"/>
      <c r="L146" s="276" t="str">
        <f>IFERROR(INDEX('G-8 Condition Look up'!$A$3:$H$135,MATCH(AV146,'G-8 Condition Look up'!$A$3:$A$135,0),MATCH(K146,'G-8 Condition Look up'!$A$3:$H$3,0)),"")</f>
        <v/>
      </c>
      <c r="M146" s="52"/>
      <c r="N146" s="295" t="str">
        <f>IF(M146="","",IF(VLOOKUP(M146,'G-3 Multipliers'!$L$3:$N$6,2,FALSE)=0,"Spatial Data Missing",VLOOKUP(M146,'G-3 Multipliers'!$L$3:$N$6,2,FALSE)))</f>
        <v/>
      </c>
      <c r="O146" s="281" t="str">
        <f>IF(M146="","",IF(VLOOKUP(M146,'G-3 Multipliers'!$L$3:$N$6,3,FALSE)=0,"Spatial Data Missing ▲",VLOOKUP(M146,'G-3 Multipliers'!$L$3:$N$6,3,FALSE)))</f>
        <v/>
      </c>
      <c r="P146" s="282" t="str">
        <f>(IF(G146="Yes","Bespoke compensation likely to be required",(IFERROR(VLOOKUP(AV146,'G-1 All Habitats'!$B$2:$M$135,12,FALSE),""))))</f>
        <v/>
      </c>
      <c r="Q146" s="289" t="str">
        <f>IFERROR(IF(AND(F146&lt;&gt;"",G146=""),"Confirm irreplaceable habitat status ▲",(IF(AND(E146="Individual trees",T146&gt;0,G146="Yes"),"Error - you cannot enhance irreplaceable individual trees ▲",(IF(AND(U146="Irreplaceable habitat - no units generated ⚠",(S146+T146)&lt;H146,OR(Y146="No",Y146="")),"Any Loss Unacceptable ⚠",(IF(U146="Irreplaceable habitat - no units generated ⚠",T146*J146*L146*O146,IF(AND(P146='G-1 All Habitats'!$X$9,AC146&gt;0,S146&lt;=0,T146&lt;=0,OR(Y146="No",Y146="")),"Any Loss Unacceptable ⚠",IF(AND(P146='G-1 All Habitats'!$X$9,AC146&gt;0,S146&lt;=0,T146&lt;=0,Y146="Yes"),0,(IF(AND(P146='G-1 All Habitats'!$X$9,(S146+T146)&lt;H146,OR(Y146="No",Y146="")),"Any Loss Unacceptable ⚠",(IF(P146="","",IF(AND(P146='G-1 All Habitats'!$X$9,T146&gt;0),U146+V146,IF(AND(P146='G-1 All Habitats'!$X$9,S146&gt;0),U146+V146,H146*J146*L146*O146))))))))))))))),"Check Data ▲")</f>
        <v/>
      </c>
      <c r="R146" s="38"/>
      <c r="S146" s="52"/>
      <c r="T146" s="53"/>
      <c r="U146" s="287" t="str">
        <f t="shared" si="18"/>
        <v/>
      </c>
      <c r="V146" s="287" t="str">
        <f t="shared" si="19"/>
        <v/>
      </c>
      <c r="W146" s="287" t="str">
        <f t="shared" si="20"/>
        <v/>
      </c>
      <c r="X146" s="291" t="str">
        <f>IFERROR(IF(H146="","",IF(H146-S146-T146=0&lt;0,"Error in Areas ▲",IF(S146+T146&gt;H146,"Error in Areas ▲",IF(AND(P146='G-1 All Habitats'!$X$9,Y146="Yes"),"Alternative Compensation ✓",IF(AND(P146='G-1 All Habitats'!$X$3,Y146="Yes"),"Alternative Compensation ✓",IF(AND(Y146="Pending",P146='G-1 All Habitats'!$X$3),"Bespoke compensation must be agreed ▲",IF(AND(Y146="Pending",P146='G-1 All Habitats'!$X$9),"Bespoke compensation must be agreed  ▲",IF(W146=0,0,IF(P146='G-1 All Habitats'!$X$9,"Any Loss Unacceptable ▲",Q146-U146-V146))))))))),"Check Data ▲")</f>
        <v/>
      </c>
      <c r="Y146" s="53"/>
      <c r="Z146" s="105"/>
      <c r="AA146" s="233"/>
      <c r="AB146" s="104"/>
      <c r="AC146" s="512" t="str">
        <f>IF(OR(P146="",Y146="Yes"),"",IF(P146='G-1 All Habitats'!$X$9,H146-S146-T146,"None"))</f>
        <v/>
      </c>
      <c r="AD146" s="513" t="str">
        <f>IF(P146="","",IF(P146='G-1 All Habitats'!$X$9,AC146*J146*L146*O146,"None"))</f>
        <v/>
      </c>
      <c r="AE146" s="35" t="str">
        <f t="shared" si="16"/>
        <v/>
      </c>
      <c r="AF146" s="40" t="str">
        <f t="shared" si="21"/>
        <v/>
      </c>
      <c r="AG146" s="40" t="str">
        <f t="shared" si="17"/>
        <v/>
      </c>
      <c r="AH146" s="40" t="str">
        <f>IF(I146="","",IF(#REF!&gt;0,TRUE,FALSE))</f>
        <v/>
      </c>
      <c r="AI146" s="40">
        <v>136</v>
      </c>
      <c r="AJ146" s="40"/>
      <c r="AK146" s="40" t="str">
        <f t="array" ref="AK146">IFERROR(INDEX($AI$11:$AI$259,MATCH(0,IF(TRUE=$AF$11:$AF$259,COUNTIF($AK$10:$AK145,$AI$11:$AI$259),""),0)),"")</f>
        <v/>
      </c>
      <c r="AL146" s="40" t="str">
        <f t="array" ref="AL146">IFERROR(INDEX($AI$11:$AI$259,MATCH(0,IF(TRUE=$AG$11:$AG$259,COUNTIF($AL$10:$AL145,$AI$11:$AI$259),""),0)),"")</f>
        <v/>
      </c>
      <c r="AM146" s="40" t="str">
        <f t="array" ref="AM146">IFERROR(INDEX($AI$11:$AI$259,MATCH(0,IF(TRUE=$AH$11:$AH$259,COUNTIF($AM$10:$AM145,$AI$11:$AI$259),""),0)),"")</f>
        <v/>
      </c>
      <c r="AN146" s="40"/>
      <c r="AQ146" s="35">
        <f t="shared" si="22"/>
        <v>0</v>
      </c>
      <c r="AT146" s="885" t="str">
        <f>IF(AND(OR(Y146="Yes",Y146="Pending"),P146='G-1 All Habitats'!$X$3),Q146-U146-V146,"")</f>
        <v/>
      </c>
      <c r="AV146" s="542" t="str">
        <f>IFERROR(INDEX('G-1 All Habitats'!$B$3:$B$135,MATCH(F146,'G-1 All Habitats'!$A$3:$A$135,0)),"")</f>
        <v/>
      </c>
      <c r="AW146" s="35" t="str">
        <f>IF(AV146="","",VLOOKUP(AV146,'G-1 All Habitats'!$B$1:$T$135,19,FALSE))</f>
        <v/>
      </c>
    </row>
    <row r="147" spans="1:49" ht="14.5" hidden="1" thickBot="1">
      <c r="A147" s="35" t="str">
        <f>IFERROR(INDEX('G-1 All Habitats'!$AG$3:$AG$17,MATCH(E147,'G-1 All Habitats'!$AF$3:$AF$17,0)),"")</f>
        <v/>
      </c>
      <c r="B147" s="35" t="str">
        <f>IFERROR(INDEX('G-8 Condition Look up'!$I$4:$I$135,MATCH(AV147,'G-8 Condition Look up'!$A$4:$A$135,0)),"")</f>
        <v/>
      </c>
      <c r="D147" s="225">
        <v>137</v>
      </c>
      <c r="E147" s="211"/>
      <c r="F147" s="57"/>
      <c r="G147" s="263"/>
      <c r="H147" s="51"/>
      <c r="I147" s="275" t="str">
        <f>IF(AV147="","",IF(AND(AW147="Yes",G147="No"),"Irreplaceable habitat ▲",IF(AND(AW147="No",G147="Yes"),"Cannot be Irreplaceable ▲",VLOOKUP(AV147,'G-1 All Habitats'!$B$2:$M$135,10,FALSE))))</f>
        <v/>
      </c>
      <c r="J147" s="276" t="str">
        <f>IFERROR(VLOOKUP(I147,'G-1 All Habitats'!$V$3:$W$7,2,FALSE),"")</f>
        <v/>
      </c>
      <c r="K147" s="52"/>
      <c r="L147" s="276" t="str">
        <f>IFERROR(INDEX('G-8 Condition Look up'!$A$3:$H$135,MATCH(AV147,'G-8 Condition Look up'!$A$3:$A$135,0),MATCH(K147,'G-8 Condition Look up'!$A$3:$H$3,0)),"")</f>
        <v/>
      </c>
      <c r="M147" s="52"/>
      <c r="N147" s="295" t="str">
        <f>IF(M147="","",IF(VLOOKUP(M147,'G-3 Multipliers'!$L$3:$N$6,2,FALSE)=0,"Spatial Data Missing",VLOOKUP(M147,'G-3 Multipliers'!$L$3:$N$6,2,FALSE)))</f>
        <v/>
      </c>
      <c r="O147" s="281" t="str">
        <f>IF(M147="","",IF(VLOOKUP(M147,'G-3 Multipliers'!$L$3:$N$6,3,FALSE)=0,"Spatial Data Missing ▲",VLOOKUP(M147,'G-3 Multipliers'!$L$3:$N$6,3,FALSE)))</f>
        <v/>
      </c>
      <c r="P147" s="282" t="str">
        <f>(IF(G147="Yes","Bespoke compensation likely to be required",(IFERROR(VLOOKUP(AV147,'G-1 All Habitats'!$B$2:$M$135,12,FALSE),""))))</f>
        <v/>
      </c>
      <c r="Q147" s="289" t="str">
        <f>IFERROR(IF(AND(F147&lt;&gt;"",G147=""),"Confirm irreplaceable habitat status ▲",(IF(AND(E147="Individual trees",T147&gt;0,G147="Yes"),"Error - you cannot enhance irreplaceable individual trees ▲",(IF(AND(U147="Irreplaceable habitat - no units generated ⚠",(S147+T147)&lt;H147,OR(Y147="No",Y147="")),"Any Loss Unacceptable ⚠",(IF(U147="Irreplaceable habitat - no units generated ⚠",T147*J147*L147*O147,IF(AND(P147='G-1 All Habitats'!$X$9,AC147&gt;0,S147&lt;=0,T147&lt;=0,OR(Y147="No",Y147="")),"Any Loss Unacceptable ⚠",IF(AND(P147='G-1 All Habitats'!$X$9,AC147&gt;0,S147&lt;=0,T147&lt;=0,Y147="Yes"),0,(IF(AND(P147='G-1 All Habitats'!$X$9,(S147+T147)&lt;H147,OR(Y147="No",Y147="")),"Any Loss Unacceptable ⚠",(IF(P147="","",IF(AND(P147='G-1 All Habitats'!$X$9,T147&gt;0),U147+V147,IF(AND(P147='G-1 All Habitats'!$X$9,S147&gt;0),U147+V147,H147*J147*L147*O147))))))))))))))),"Check Data ▲")</f>
        <v/>
      </c>
      <c r="R147" s="38"/>
      <c r="S147" s="52"/>
      <c r="T147" s="53"/>
      <c r="U147" s="287" t="str">
        <f t="shared" si="18"/>
        <v/>
      </c>
      <c r="V147" s="287" t="str">
        <f t="shared" si="19"/>
        <v/>
      </c>
      <c r="W147" s="287" t="str">
        <f t="shared" si="20"/>
        <v/>
      </c>
      <c r="X147" s="291" t="str">
        <f>IFERROR(IF(H147="","",IF(H147-S147-T147=0&lt;0,"Error in Areas ▲",IF(S147+T147&gt;H147,"Error in Areas ▲",IF(AND(P147='G-1 All Habitats'!$X$9,Y147="Yes"),"Alternative Compensation ✓",IF(AND(P147='G-1 All Habitats'!$X$3,Y147="Yes"),"Alternative Compensation ✓",IF(AND(Y147="Pending",P147='G-1 All Habitats'!$X$3),"Bespoke compensation must be agreed ▲",IF(AND(Y147="Pending",P147='G-1 All Habitats'!$X$9),"Bespoke compensation must be agreed  ▲",IF(W147=0,0,IF(P147='G-1 All Habitats'!$X$9,"Any Loss Unacceptable ▲",Q147-U147-V147))))))))),"Check Data ▲")</f>
        <v/>
      </c>
      <c r="Y147" s="53"/>
      <c r="Z147" s="105"/>
      <c r="AA147" s="233"/>
      <c r="AB147" s="104"/>
      <c r="AC147" s="512" t="str">
        <f>IF(OR(P147="",Y147="Yes"),"",IF(P147='G-1 All Habitats'!$X$9,H147-S147-T147,"None"))</f>
        <v/>
      </c>
      <c r="AD147" s="513" t="str">
        <f>IF(P147="","",IF(P147='G-1 All Habitats'!$X$9,AC147*J147*L147*O147,"None"))</f>
        <v/>
      </c>
      <c r="AE147" s="35" t="str">
        <f t="shared" si="16"/>
        <v/>
      </c>
      <c r="AF147" s="40" t="str">
        <f t="shared" si="21"/>
        <v/>
      </c>
      <c r="AG147" s="40" t="str">
        <f t="shared" si="17"/>
        <v/>
      </c>
      <c r="AH147" s="40" t="str">
        <f>IF(I147="","",IF(#REF!&gt;0,TRUE,FALSE))</f>
        <v/>
      </c>
      <c r="AI147" s="40">
        <v>137</v>
      </c>
      <c r="AJ147" s="40"/>
      <c r="AK147" s="40" t="str">
        <f t="array" ref="AK147">IFERROR(INDEX($AI$11:$AI$259,MATCH(0,IF(TRUE=$AF$11:$AF$259,COUNTIF($AK$10:$AK146,$AI$11:$AI$259),""),0)),"")</f>
        <v/>
      </c>
      <c r="AL147" s="40" t="str">
        <f t="array" ref="AL147">IFERROR(INDEX($AI$11:$AI$259,MATCH(0,IF(TRUE=$AG$11:$AG$259,COUNTIF($AL$10:$AL146,$AI$11:$AI$259),""),0)),"")</f>
        <v/>
      </c>
      <c r="AM147" s="40" t="str">
        <f t="array" ref="AM147">IFERROR(INDEX($AI$11:$AI$259,MATCH(0,IF(TRUE=$AH$11:$AH$259,COUNTIF($AM$10:$AM146,$AI$11:$AI$259),""),0)),"")</f>
        <v/>
      </c>
      <c r="AN147" s="40"/>
      <c r="AQ147" s="35">
        <f t="shared" si="22"/>
        <v>0</v>
      </c>
      <c r="AT147" s="885" t="str">
        <f>IF(AND(OR(Y147="Yes",Y147="Pending"),P147='G-1 All Habitats'!$X$3),Q147-U147-V147,"")</f>
        <v/>
      </c>
      <c r="AV147" s="542" t="str">
        <f>IFERROR(INDEX('G-1 All Habitats'!$B$3:$B$135,MATCH(F147,'G-1 All Habitats'!$A$3:$A$135,0)),"")</f>
        <v/>
      </c>
      <c r="AW147" s="35" t="str">
        <f>IF(AV147="","",VLOOKUP(AV147,'G-1 All Habitats'!$B$1:$T$135,19,FALSE))</f>
        <v/>
      </c>
    </row>
    <row r="148" spans="1:49" ht="14.5" hidden="1" thickBot="1">
      <c r="A148" s="35" t="str">
        <f>IFERROR(INDEX('G-1 All Habitats'!$AG$3:$AG$17,MATCH(E148,'G-1 All Habitats'!$AF$3:$AF$17,0)),"")</f>
        <v/>
      </c>
      <c r="B148" s="35" t="str">
        <f>IFERROR(INDEX('G-8 Condition Look up'!$I$4:$I$135,MATCH(AV148,'G-8 Condition Look up'!$A$4:$A$135,0)),"")</f>
        <v/>
      </c>
      <c r="D148" s="225">
        <v>138</v>
      </c>
      <c r="E148" s="211"/>
      <c r="F148" s="57"/>
      <c r="G148" s="263"/>
      <c r="H148" s="51"/>
      <c r="I148" s="275" t="str">
        <f>IF(AV148="","",IF(AND(AW148="Yes",G148="No"),"Irreplaceable habitat ▲",IF(AND(AW148="No",G148="Yes"),"Cannot be Irreplaceable ▲",VLOOKUP(AV148,'G-1 All Habitats'!$B$2:$M$135,10,FALSE))))</f>
        <v/>
      </c>
      <c r="J148" s="276" t="str">
        <f>IFERROR(VLOOKUP(I148,'G-1 All Habitats'!$V$3:$W$7,2,FALSE),"")</f>
        <v/>
      </c>
      <c r="K148" s="52"/>
      <c r="L148" s="276" t="str">
        <f>IFERROR(INDEX('G-8 Condition Look up'!$A$3:$H$135,MATCH(AV148,'G-8 Condition Look up'!$A$3:$A$135,0),MATCH(K148,'G-8 Condition Look up'!$A$3:$H$3,0)),"")</f>
        <v/>
      </c>
      <c r="M148" s="52"/>
      <c r="N148" s="295" t="str">
        <f>IF(M148="","",IF(VLOOKUP(M148,'G-3 Multipliers'!$L$3:$N$6,2,FALSE)=0,"Spatial Data Missing",VLOOKUP(M148,'G-3 Multipliers'!$L$3:$N$6,2,FALSE)))</f>
        <v/>
      </c>
      <c r="O148" s="281" t="str">
        <f>IF(M148="","",IF(VLOOKUP(M148,'G-3 Multipliers'!$L$3:$N$6,3,FALSE)=0,"Spatial Data Missing ▲",VLOOKUP(M148,'G-3 Multipliers'!$L$3:$N$6,3,FALSE)))</f>
        <v/>
      </c>
      <c r="P148" s="282" t="str">
        <f>(IF(G148="Yes","Bespoke compensation likely to be required",(IFERROR(VLOOKUP(AV148,'G-1 All Habitats'!$B$2:$M$135,12,FALSE),""))))</f>
        <v/>
      </c>
      <c r="Q148" s="289" t="str">
        <f>IFERROR(IF(AND(F148&lt;&gt;"",G148=""),"Confirm irreplaceable habitat status ▲",(IF(AND(E148="Individual trees",T148&gt;0,G148="Yes"),"Error - you cannot enhance irreplaceable individual trees ▲",(IF(AND(U148="Irreplaceable habitat - no units generated ⚠",(S148+T148)&lt;H148,OR(Y148="No",Y148="")),"Any Loss Unacceptable ⚠",(IF(U148="Irreplaceable habitat - no units generated ⚠",T148*J148*L148*O148,IF(AND(P148='G-1 All Habitats'!$X$9,AC148&gt;0,S148&lt;=0,T148&lt;=0,OR(Y148="No",Y148="")),"Any Loss Unacceptable ⚠",IF(AND(P148='G-1 All Habitats'!$X$9,AC148&gt;0,S148&lt;=0,T148&lt;=0,Y148="Yes"),0,(IF(AND(P148='G-1 All Habitats'!$X$9,(S148+T148)&lt;H148,OR(Y148="No",Y148="")),"Any Loss Unacceptable ⚠",(IF(P148="","",IF(AND(P148='G-1 All Habitats'!$X$9,T148&gt;0),U148+V148,IF(AND(P148='G-1 All Habitats'!$X$9,S148&gt;0),U148+V148,H148*J148*L148*O148))))))))))))))),"Check Data ▲")</f>
        <v/>
      </c>
      <c r="R148" s="38"/>
      <c r="S148" s="52"/>
      <c r="T148" s="53"/>
      <c r="U148" s="287" t="str">
        <f t="shared" si="18"/>
        <v/>
      </c>
      <c r="V148" s="287" t="str">
        <f t="shared" si="19"/>
        <v/>
      </c>
      <c r="W148" s="287" t="str">
        <f t="shared" si="20"/>
        <v/>
      </c>
      <c r="X148" s="291" t="str">
        <f>IFERROR(IF(H148="","",IF(H148-S148-T148=0&lt;0,"Error in Areas ▲",IF(S148+T148&gt;H148,"Error in Areas ▲",IF(AND(P148='G-1 All Habitats'!$X$9,Y148="Yes"),"Alternative Compensation ✓",IF(AND(P148='G-1 All Habitats'!$X$3,Y148="Yes"),"Alternative Compensation ✓",IF(AND(Y148="Pending",P148='G-1 All Habitats'!$X$3),"Bespoke compensation must be agreed ▲",IF(AND(Y148="Pending",P148='G-1 All Habitats'!$X$9),"Bespoke compensation must be agreed  ▲",IF(W148=0,0,IF(P148='G-1 All Habitats'!$X$9,"Any Loss Unacceptable ▲",Q148-U148-V148))))))))),"Check Data ▲")</f>
        <v/>
      </c>
      <c r="Y148" s="53"/>
      <c r="Z148" s="105"/>
      <c r="AA148" s="233"/>
      <c r="AB148" s="104"/>
      <c r="AC148" s="512" t="str">
        <f>IF(OR(P148="",Y148="Yes"),"",IF(P148='G-1 All Habitats'!$X$9,H148-S148-T148,"None"))</f>
        <v/>
      </c>
      <c r="AD148" s="513" t="str">
        <f>IF(P148="","",IF(P148='G-1 All Habitats'!$X$9,AC148*J148*L148*O148,"None"))</f>
        <v/>
      </c>
      <c r="AE148" s="35" t="str">
        <f t="shared" si="16"/>
        <v/>
      </c>
      <c r="AF148" s="40" t="str">
        <f t="shared" si="21"/>
        <v/>
      </c>
      <c r="AG148" s="40" t="str">
        <f t="shared" si="17"/>
        <v/>
      </c>
      <c r="AH148" s="40" t="str">
        <f>IF(I148="","",IF(#REF!&gt;0,TRUE,FALSE))</f>
        <v/>
      </c>
      <c r="AI148" s="40">
        <v>138</v>
      </c>
      <c r="AJ148" s="40"/>
      <c r="AK148" s="40" t="str">
        <f t="array" ref="AK148">IFERROR(INDEX($AI$11:$AI$259,MATCH(0,IF(TRUE=$AF$11:$AF$259,COUNTIF($AK$10:$AK147,$AI$11:$AI$259),""),0)),"")</f>
        <v/>
      </c>
      <c r="AL148" s="40" t="str">
        <f t="array" ref="AL148">IFERROR(INDEX($AI$11:$AI$259,MATCH(0,IF(TRUE=$AG$11:$AG$259,COUNTIF($AL$10:$AL147,$AI$11:$AI$259),""),0)),"")</f>
        <v/>
      </c>
      <c r="AM148" s="40" t="str">
        <f t="array" ref="AM148">IFERROR(INDEX($AI$11:$AI$259,MATCH(0,IF(TRUE=$AH$11:$AH$259,COUNTIF($AM$10:$AM147,$AI$11:$AI$259),""),0)),"")</f>
        <v/>
      </c>
      <c r="AN148" s="40"/>
      <c r="AQ148" s="35">
        <f t="shared" si="22"/>
        <v>0</v>
      </c>
      <c r="AT148" s="885" t="str">
        <f>IF(AND(OR(Y148="Yes",Y148="Pending"),P148='G-1 All Habitats'!$X$3),Q148-U148-V148,"")</f>
        <v/>
      </c>
      <c r="AV148" s="542" t="str">
        <f>IFERROR(INDEX('G-1 All Habitats'!$B$3:$B$135,MATCH(F148,'G-1 All Habitats'!$A$3:$A$135,0)),"")</f>
        <v/>
      </c>
      <c r="AW148" s="35" t="str">
        <f>IF(AV148="","",VLOOKUP(AV148,'G-1 All Habitats'!$B$1:$T$135,19,FALSE))</f>
        <v/>
      </c>
    </row>
    <row r="149" spans="1:49" ht="14.5" hidden="1" thickBot="1">
      <c r="A149" s="35" t="str">
        <f>IFERROR(INDEX('G-1 All Habitats'!$AG$3:$AG$17,MATCH(E149,'G-1 All Habitats'!$AF$3:$AF$17,0)),"")</f>
        <v/>
      </c>
      <c r="B149" s="35" t="str">
        <f>IFERROR(INDEX('G-8 Condition Look up'!$I$4:$I$135,MATCH(AV149,'G-8 Condition Look up'!$A$4:$A$135,0)),"")</f>
        <v/>
      </c>
      <c r="D149" s="225">
        <v>139</v>
      </c>
      <c r="E149" s="211"/>
      <c r="F149" s="57"/>
      <c r="G149" s="263"/>
      <c r="H149" s="51"/>
      <c r="I149" s="275" t="str">
        <f>IF(AV149="","",IF(AND(AW149="Yes",G149="No"),"Irreplaceable habitat ▲",IF(AND(AW149="No",G149="Yes"),"Cannot be Irreplaceable ▲",VLOOKUP(AV149,'G-1 All Habitats'!$B$2:$M$135,10,FALSE))))</f>
        <v/>
      </c>
      <c r="J149" s="276" t="str">
        <f>IFERROR(VLOOKUP(I149,'G-1 All Habitats'!$V$3:$W$7,2,FALSE),"")</f>
        <v/>
      </c>
      <c r="K149" s="52"/>
      <c r="L149" s="276" t="str">
        <f>IFERROR(INDEX('G-8 Condition Look up'!$A$3:$H$135,MATCH(AV149,'G-8 Condition Look up'!$A$3:$A$135,0),MATCH(K149,'G-8 Condition Look up'!$A$3:$H$3,0)),"")</f>
        <v/>
      </c>
      <c r="M149" s="52"/>
      <c r="N149" s="295" t="str">
        <f>IF(M149="","",IF(VLOOKUP(M149,'G-3 Multipliers'!$L$3:$N$6,2,FALSE)=0,"Spatial Data Missing",VLOOKUP(M149,'G-3 Multipliers'!$L$3:$N$6,2,FALSE)))</f>
        <v/>
      </c>
      <c r="O149" s="281" t="str">
        <f>IF(M149="","",IF(VLOOKUP(M149,'G-3 Multipliers'!$L$3:$N$6,3,FALSE)=0,"Spatial Data Missing ▲",VLOOKUP(M149,'G-3 Multipliers'!$L$3:$N$6,3,FALSE)))</f>
        <v/>
      </c>
      <c r="P149" s="282" t="str">
        <f>(IF(G149="Yes","Bespoke compensation likely to be required",(IFERROR(VLOOKUP(AV149,'G-1 All Habitats'!$B$2:$M$135,12,FALSE),""))))</f>
        <v/>
      </c>
      <c r="Q149" s="289" t="str">
        <f>IFERROR(IF(AND(F149&lt;&gt;"",G149=""),"Confirm irreplaceable habitat status ▲",(IF(AND(E149="Individual trees",T149&gt;0,G149="Yes"),"Error - you cannot enhance irreplaceable individual trees ▲",(IF(AND(U149="Irreplaceable habitat - no units generated ⚠",(S149+T149)&lt;H149,OR(Y149="No",Y149="")),"Any Loss Unacceptable ⚠",(IF(U149="Irreplaceable habitat - no units generated ⚠",T149*J149*L149*O149,IF(AND(P149='G-1 All Habitats'!$X$9,AC149&gt;0,S149&lt;=0,T149&lt;=0,OR(Y149="No",Y149="")),"Any Loss Unacceptable ⚠",IF(AND(P149='G-1 All Habitats'!$X$9,AC149&gt;0,S149&lt;=0,T149&lt;=0,Y149="Yes"),0,(IF(AND(P149='G-1 All Habitats'!$X$9,(S149+T149)&lt;H149,OR(Y149="No",Y149="")),"Any Loss Unacceptable ⚠",(IF(P149="","",IF(AND(P149='G-1 All Habitats'!$X$9,T149&gt;0),U149+V149,IF(AND(P149='G-1 All Habitats'!$X$9,S149&gt;0),U149+V149,H149*J149*L149*O149))))))))))))))),"Check Data ▲")</f>
        <v/>
      </c>
      <c r="R149" s="38"/>
      <c r="S149" s="52"/>
      <c r="T149" s="53"/>
      <c r="U149" s="287" t="str">
        <f t="shared" si="18"/>
        <v/>
      </c>
      <c r="V149" s="287" t="str">
        <f t="shared" si="19"/>
        <v/>
      </c>
      <c r="W149" s="287" t="str">
        <f t="shared" si="20"/>
        <v/>
      </c>
      <c r="X149" s="291" t="str">
        <f>IFERROR(IF(H149="","",IF(H149-S149-T149=0&lt;0,"Error in Areas ▲",IF(S149+T149&gt;H149,"Error in Areas ▲",IF(AND(P149='G-1 All Habitats'!$X$9,Y149="Yes"),"Alternative Compensation ✓",IF(AND(P149='G-1 All Habitats'!$X$3,Y149="Yes"),"Alternative Compensation ✓",IF(AND(Y149="Pending",P149='G-1 All Habitats'!$X$3),"Bespoke compensation must be agreed ▲",IF(AND(Y149="Pending",P149='G-1 All Habitats'!$X$9),"Bespoke compensation must be agreed  ▲",IF(W149=0,0,IF(P149='G-1 All Habitats'!$X$9,"Any Loss Unacceptable ▲",Q149-U149-V149))))))))),"Check Data ▲")</f>
        <v/>
      </c>
      <c r="Y149" s="53"/>
      <c r="Z149" s="105"/>
      <c r="AA149" s="233"/>
      <c r="AB149" s="104"/>
      <c r="AC149" s="512" t="str">
        <f>IF(OR(P149="",Y149="Yes"),"",IF(P149='G-1 All Habitats'!$X$9,H149-S149-T149,"None"))</f>
        <v/>
      </c>
      <c r="AD149" s="513" t="str">
        <f>IF(P149="","",IF(P149='G-1 All Habitats'!$X$9,AC149*J149*L149*O149,"None"))</f>
        <v/>
      </c>
      <c r="AE149" s="35" t="str">
        <f t="shared" si="16"/>
        <v/>
      </c>
      <c r="AF149" s="40" t="str">
        <f t="shared" si="21"/>
        <v/>
      </c>
      <c r="AG149" s="40" t="str">
        <f t="shared" si="17"/>
        <v/>
      </c>
      <c r="AH149" s="40" t="str">
        <f>IF(I149="","",IF(#REF!&gt;0,TRUE,FALSE))</f>
        <v/>
      </c>
      <c r="AI149" s="40">
        <v>139</v>
      </c>
      <c r="AJ149" s="40"/>
      <c r="AK149" s="40" t="str">
        <f t="array" ref="AK149">IFERROR(INDEX($AI$11:$AI$259,MATCH(0,IF(TRUE=$AF$11:$AF$259,COUNTIF($AK$10:$AK148,$AI$11:$AI$259),""),0)),"")</f>
        <v/>
      </c>
      <c r="AL149" s="40" t="str">
        <f t="array" ref="AL149">IFERROR(INDEX($AI$11:$AI$259,MATCH(0,IF(TRUE=$AG$11:$AG$259,COUNTIF($AL$10:$AL148,$AI$11:$AI$259),""),0)),"")</f>
        <v/>
      </c>
      <c r="AM149" s="40" t="str">
        <f t="array" ref="AM149">IFERROR(INDEX($AI$11:$AI$259,MATCH(0,IF(TRUE=$AH$11:$AH$259,COUNTIF($AM$10:$AM148,$AI$11:$AI$259),""),0)),"")</f>
        <v/>
      </c>
      <c r="AN149" s="40"/>
      <c r="AQ149" s="35">
        <f t="shared" si="22"/>
        <v>0</v>
      </c>
      <c r="AT149" s="885" t="str">
        <f>IF(AND(OR(Y149="Yes",Y149="Pending"),P149='G-1 All Habitats'!$X$3),Q149-U149-V149,"")</f>
        <v/>
      </c>
      <c r="AV149" s="542" t="str">
        <f>IFERROR(INDEX('G-1 All Habitats'!$B$3:$B$135,MATCH(F149,'G-1 All Habitats'!$A$3:$A$135,0)),"")</f>
        <v/>
      </c>
      <c r="AW149" s="35" t="str">
        <f>IF(AV149="","",VLOOKUP(AV149,'G-1 All Habitats'!$B$1:$T$135,19,FALSE))</f>
        <v/>
      </c>
    </row>
    <row r="150" spans="1:49" ht="14.5" hidden="1" thickBot="1">
      <c r="A150" s="35" t="str">
        <f>IFERROR(INDEX('G-1 All Habitats'!$AG$3:$AG$17,MATCH(E150,'G-1 All Habitats'!$AF$3:$AF$17,0)),"")</f>
        <v/>
      </c>
      <c r="B150" s="35" t="str">
        <f>IFERROR(INDEX('G-8 Condition Look up'!$I$4:$I$135,MATCH(AV150,'G-8 Condition Look up'!$A$4:$A$135,0)),"")</f>
        <v/>
      </c>
      <c r="D150" s="225">
        <v>140</v>
      </c>
      <c r="E150" s="211"/>
      <c r="F150" s="57"/>
      <c r="G150" s="263"/>
      <c r="H150" s="51"/>
      <c r="I150" s="275" t="str">
        <f>IF(AV150="","",IF(AND(AW150="Yes",G150="No"),"Irreplaceable habitat ▲",IF(AND(AW150="No",G150="Yes"),"Cannot be Irreplaceable ▲",VLOOKUP(AV150,'G-1 All Habitats'!$B$2:$M$135,10,FALSE))))</f>
        <v/>
      </c>
      <c r="J150" s="276" t="str">
        <f>IFERROR(VLOOKUP(I150,'G-1 All Habitats'!$V$3:$W$7,2,FALSE),"")</f>
        <v/>
      </c>
      <c r="K150" s="52"/>
      <c r="L150" s="276" t="str">
        <f>IFERROR(INDEX('G-8 Condition Look up'!$A$3:$H$135,MATCH(AV150,'G-8 Condition Look up'!$A$3:$A$135,0),MATCH(K150,'G-8 Condition Look up'!$A$3:$H$3,0)),"")</f>
        <v/>
      </c>
      <c r="M150" s="52"/>
      <c r="N150" s="295" t="str">
        <f>IF(M150="","",IF(VLOOKUP(M150,'G-3 Multipliers'!$L$3:$N$6,2,FALSE)=0,"Spatial Data Missing",VLOOKUP(M150,'G-3 Multipliers'!$L$3:$N$6,2,FALSE)))</f>
        <v/>
      </c>
      <c r="O150" s="281" t="str">
        <f>IF(M150="","",IF(VLOOKUP(M150,'G-3 Multipliers'!$L$3:$N$6,3,FALSE)=0,"Spatial Data Missing ▲",VLOOKUP(M150,'G-3 Multipliers'!$L$3:$N$6,3,FALSE)))</f>
        <v/>
      </c>
      <c r="P150" s="282" t="str">
        <f>(IF(G150="Yes","Bespoke compensation likely to be required",(IFERROR(VLOOKUP(AV150,'G-1 All Habitats'!$B$2:$M$135,12,FALSE),""))))</f>
        <v/>
      </c>
      <c r="Q150" s="289" t="str">
        <f>IFERROR(IF(AND(F150&lt;&gt;"",G150=""),"Confirm irreplaceable habitat status ▲",(IF(AND(E150="Individual trees",T150&gt;0,G150="Yes"),"Error - you cannot enhance irreplaceable individual trees ▲",(IF(AND(U150="Irreplaceable habitat - no units generated ⚠",(S150+T150)&lt;H150,OR(Y150="No",Y150="")),"Any Loss Unacceptable ⚠",(IF(U150="Irreplaceable habitat - no units generated ⚠",T150*J150*L150*O150,IF(AND(P150='G-1 All Habitats'!$X$9,AC150&gt;0,S150&lt;=0,T150&lt;=0,OR(Y150="No",Y150="")),"Any Loss Unacceptable ⚠",IF(AND(P150='G-1 All Habitats'!$X$9,AC150&gt;0,S150&lt;=0,T150&lt;=0,Y150="Yes"),0,(IF(AND(P150='G-1 All Habitats'!$X$9,(S150+T150)&lt;H150,OR(Y150="No",Y150="")),"Any Loss Unacceptable ⚠",(IF(P150="","",IF(AND(P150='G-1 All Habitats'!$X$9,T150&gt;0),U150+V150,IF(AND(P150='G-1 All Habitats'!$X$9,S150&gt;0),U150+V150,H150*J150*L150*O150))))))))))))))),"Check Data ▲")</f>
        <v/>
      </c>
      <c r="R150" s="38"/>
      <c r="S150" s="52"/>
      <c r="T150" s="53"/>
      <c r="U150" s="287" t="str">
        <f t="shared" si="18"/>
        <v/>
      </c>
      <c r="V150" s="287" t="str">
        <f t="shared" si="19"/>
        <v/>
      </c>
      <c r="W150" s="287" t="str">
        <f t="shared" si="20"/>
        <v/>
      </c>
      <c r="X150" s="291" t="str">
        <f>IFERROR(IF(H150="","",IF(H150-S150-T150=0&lt;0,"Error in Areas ▲",IF(S150+T150&gt;H150,"Error in Areas ▲",IF(AND(P150='G-1 All Habitats'!$X$9,Y150="Yes"),"Alternative Compensation ✓",IF(AND(P150='G-1 All Habitats'!$X$3,Y150="Yes"),"Alternative Compensation ✓",IF(AND(Y150="Pending",P150='G-1 All Habitats'!$X$3),"Bespoke compensation must be agreed ▲",IF(AND(Y150="Pending",P150='G-1 All Habitats'!$X$9),"Bespoke compensation must be agreed  ▲",IF(W150=0,0,IF(P150='G-1 All Habitats'!$X$9,"Any Loss Unacceptable ▲",Q150-U150-V150))))))))),"Check Data ▲")</f>
        <v/>
      </c>
      <c r="Y150" s="53"/>
      <c r="Z150" s="105"/>
      <c r="AA150" s="233"/>
      <c r="AB150" s="104"/>
      <c r="AC150" s="512" t="str">
        <f>IF(OR(P150="",Y150="Yes"),"",IF(P150='G-1 All Habitats'!$X$9,H150-S150-T150,"None"))</f>
        <v/>
      </c>
      <c r="AD150" s="513" t="str">
        <f>IF(P150="","",IF(P150='G-1 All Habitats'!$X$9,AC150*J150*L150*O150,"None"))</f>
        <v/>
      </c>
      <c r="AE150" s="35" t="str">
        <f t="shared" si="16"/>
        <v/>
      </c>
      <c r="AF150" s="40" t="str">
        <f t="shared" si="21"/>
        <v/>
      </c>
      <c r="AG150" s="40" t="str">
        <f t="shared" si="17"/>
        <v/>
      </c>
      <c r="AH150" s="40" t="str">
        <f>IF(I150="","",IF(#REF!&gt;0,TRUE,FALSE))</f>
        <v/>
      </c>
      <c r="AI150" s="40">
        <v>140</v>
      </c>
      <c r="AJ150" s="40"/>
      <c r="AK150" s="40" t="str">
        <f t="array" ref="AK150">IFERROR(INDEX($AI$11:$AI$259,MATCH(0,IF(TRUE=$AF$11:$AF$259,COUNTIF($AK$10:$AK149,$AI$11:$AI$259),""),0)),"")</f>
        <v/>
      </c>
      <c r="AL150" s="40" t="str">
        <f t="array" ref="AL150">IFERROR(INDEX($AI$11:$AI$259,MATCH(0,IF(TRUE=$AG$11:$AG$259,COUNTIF($AL$10:$AL149,$AI$11:$AI$259),""),0)),"")</f>
        <v/>
      </c>
      <c r="AM150" s="40" t="str">
        <f t="array" ref="AM150">IFERROR(INDEX($AI$11:$AI$259,MATCH(0,IF(TRUE=$AH$11:$AH$259,COUNTIF($AM$10:$AM149,$AI$11:$AI$259),""),0)),"")</f>
        <v/>
      </c>
      <c r="AN150" s="40"/>
      <c r="AQ150" s="35">
        <f t="shared" si="22"/>
        <v>0</v>
      </c>
      <c r="AT150" s="885" t="str">
        <f>IF(AND(OR(Y150="Yes",Y150="Pending"),P150='G-1 All Habitats'!$X$3),Q150-U150-V150,"")</f>
        <v/>
      </c>
      <c r="AV150" s="542" t="str">
        <f>IFERROR(INDEX('G-1 All Habitats'!$B$3:$B$135,MATCH(F150,'G-1 All Habitats'!$A$3:$A$135,0)),"")</f>
        <v/>
      </c>
      <c r="AW150" s="35" t="str">
        <f>IF(AV150="","",VLOOKUP(AV150,'G-1 All Habitats'!$B$1:$T$135,19,FALSE))</f>
        <v/>
      </c>
    </row>
    <row r="151" spans="1:49" ht="14.5" hidden="1" thickBot="1">
      <c r="A151" s="35" t="str">
        <f>IFERROR(INDEX('G-1 All Habitats'!$AG$3:$AG$17,MATCH(E151,'G-1 All Habitats'!$AF$3:$AF$17,0)),"")</f>
        <v/>
      </c>
      <c r="B151" s="35" t="str">
        <f>IFERROR(INDEX('G-8 Condition Look up'!$I$4:$I$135,MATCH(AV151,'G-8 Condition Look up'!$A$4:$A$135,0)),"")</f>
        <v/>
      </c>
      <c r="D151" s="225">
        <v>141</v>
      </c>
      <c r="E151" s="211"/>
      <c r="F151" s="57"/>
      <c r="G151" s="263"/>
      <c r="H151" s="51"/>
      <c r="I151" s="275" t="str">
        <f>IF(AV151="","",IF(AND(AW151="Yes",G151="No"),"Irreplaceable habitat ▲",IF(AND(AW151="No",G151="Yes"),"Cannot be Irreplaceable ▲",VLOOKUP(AV151,'G-1 All Habitats'!$B$2:$M$135,10,FALSE))))</f>
        <v/>
      </c>
      <c r="J151" s="276" t="str">
        <f>IFERROR(VLOOKUP(I151,'G-1 All Habitats'!$V$3:$W$7,2,FALSE),"")</f>
        <v/>
      </c>
      <c r="K151" s="52"/>
      <c r="L151" s="276" t="str">
        <f>IFERROR(INDEX('G-8 Condition Look up'!$A$3:$H$135,MATCH(AV151,'G-8 Condition Look up'!$A$3:$A$135,0),MATCH(K151,'G-8 Condition Look up'!$A$3:$H$3,0)),"")</f>
        <v/>
      </c>
      <c r="M151" s="52"/>
      <c r="N151" s="295" t="str">
        <f>IF(M151="","",IF(VLOOKUP(M151,'G-3 Multipliers'!$L$3:$N$6,2,FALSE)=0,"Spatial Data Missing",VLOOKUP(M151,'G-3 Multipliers'!$L$3:$N$6,2,FALSE)))</f>
        <v/>
      </c>
      <c r="O151" s="281" t="str">
        <f>IF(M151="","",IF(VLOOKUP(M151,'G-3 Multipliers'!$L$3:$N$6,3,FALSE)=0,"Spatial Data Missing ▲",VLOOKUP(M151,'G-3 Multipliers'!$L$3:$N$6,3,FALSE)))</f>
        <v/>
      </c>
      <c r="P151" s="282" t="str">
        <f>(IF(G151="Yes","Bespoke compensation likely to be required",(IFERROR(VLOOKUP(AV151,'G-1 All Habitats'!$B$2:$M$135,12,FALSE),""))))</f>
        <v/>
      </c>
      <c r="Q151" s="289" t="str">
        <f>IFERROR(IF(AND(F151&lt;&gt;"",G151=""),"Confirm irreplaceable habitat status ▲",(IF(AND(E151="Individual trees",T151&gt;0,G151="Yes"),"Error - you cannot enhance irreplaceable individual trees ▲",(IF(AND(U151="Irreplaceable habitat - no units generated ⚠",(S151+T151)&lt;H151,OR(Y151="No",Y151="")),"Any Loss Unacceptable ⚠",(IF(U151="Irreplaceable habitat - no units generated ⚠",T151*J151*L151*O151,IF(AND(P151='G-1 All Habitats'!$X$9,AC151&gt;0,S151&lt;=0,T151&lt;=0,OR(Y151="No",Y151="")),"Any Loss Unacceptable ⚠",IF(AND(P151='G-1 All Habitats'!$X$9,AC151&gt;0,S151&lt;=0,T151&lt;=0,Y151="Yes"),0,(IF(AND(P151='G-1 All Habitats'!$X$9,(S151+T151)&lt;H151,OR(Y151="No",Y151="")),"Any Loss Unacceptable ⚠",(IF(P151="","",IF(AND(P151='G-1 All Habitats'!$X$9,T151&gt;0),U151+V151,IF(AND(P151='G-1 All Habitats'!$X$9,S151&gt;0),U151+V151,H151*J151*L151*O151))))))))))))))),"Check Data ▲")</f>
        <v/>
      </c>
      <c r="R151" s="38"/>
      <c r="S151" s="52"/>
      <c r="T151" s="53"/>
      <c r="U151" s="287" t="str">
        <f t="shared" si="18"/>
        <v/>
      </c>
      <c r="V151" s="287" t="str">
        <f t="shared" si="19"/>
        <v/>
      </c>
      <c r="W151" s="287" t="str">
        <f t="shared" si="20"/>
        <v/>
      </c>
      <c r="X151" s="291" t="str">
        <f>IFERROR(IF(H151="","",IF(H151-S151-T151=0&lt;0,"Error in Areas ▲",IF(S151+T151&gt;H151,"Error in Areas ▲",IF(AND(P151='G-1 All Habitats'!$X$9,Y151="Yes"),"Alternative Compensation ✓",IF(AND(P151='G-1 All Habitats'!$X$3,Y151="Yes"),"Alternative Compensation ✓",IF(AND(Y151="Pending",P151='G-1 All Habitats'!$X$3),"Bespoke compensation must be agreed ▲",IF(AND(Y151="Pending",P151='G-1 All Habitats'!$X$9),"Bespoke compensation must be agreed  ▲",IF(W151=0,0,IF(P151='G-1 All Habitats'!$X$9,"Any Loss Unacceptable ▲",Q151-U151-V151))))))))),"Check Data ▲")</f>
        <v/>
      </c>
      <c r="Y151" s="53"/>
      <c r="Z151" s="105"/>
      <c r="AA151" s="233"/>
      <c r="AB151" s="104"/>
      <c r="AC151" s="512" t="str">
        <f>IF(OR(P151="",Y151="Yes"),"",IF(P151='G-1 All Habitats'!$X$9,H151-S151-T151,"None"))</f>
        <v/>
      </c>
      <c r="AD151" s="513" t="str">
        <f>IF(P151="","",IF(P151='G-1 All Habitats'!$X$9,AC151*J151*L151*O151,"None"))</f>
        <v/>
      </c>
      <c r="AE151" s="35" t="str">
        <f t="shared" si="16"/>
        <v/>
      </c>
      <c r="AF151" s="40" t="str">
        <f t="shared" si="21"/>
        <v/>
      </c>
      <c r="AG151" s="40" t="str">
        <f t="shared" si="17"/>
        <v/>
      </c>
      <c r="AH151" s="40" t="str">
        <f>IF(I151="","",IF(#REF!&gt;0,TRUE,FALSE))</f>
        <v/>
      </c>
      <c r="AI151" s="40">
        <v>141</v>
      </c>
      <c r="AJ151" s="40"/>
      <c r="AK151" s="40" t="str">
        <f t="array" ref="AK151">IFERROR(INDEX($AI$11:$AI$259,MATCH(0,IF(TRUE=$AF$11:$AF$259,COUNTIF($AK$10:$AK150,$AI$11:$AI$259),""),0)),"")</f>
        <v/>
      </c>
      <c r="AL151" s="40" t="str">
        <f t="array" ref="AL151">IFERROR(INDEX($AI$11:$AI$259,MATCH(0,IF(TRUE=$AG$11:$AG$259,COUNTIF($AL$10:$AL150,$AI$11:$AI$259),""),0)),"")</f>
        <v/>
      </c>
      <c r="AM151" s="40" t="str">
        <f t="array" ref="AM151">IFERROR(INDEX($AI$11:$AI$259,MATCH(0,IF(TRUE=$AH$11:$AH$259,COUNTIF($AM$10:$AM150,$AI$11:$AI$259),""),0)),"")</f>
        <v/>
      </c>
      <c r="AN151" s="40"/>
      <c r="AQ151" s="35">
        <f t="shared" si="22"/>
        <v>0</v>
      </c>
      <c r="AT151" s="885" t="str">
        <f>IF(AND(OR(Y151="Yes",Y151="Pending"),P151='G-1 All Habitats'!$X$3),Q151-U151-V151,"")</f>
        <v/>
      </c>
      <c r="AV151" s="542" t="str">
        <f>IFERROR(INDEX('G-1 All Habitats'!$B$3:$B$135,MATCH(F151,'G-1 All Habitats'!$A$3:$A$135,0)),"")</f>
        <v/>
      </c>
      <c r="AW151" s="35" t="str">
        <f>IF(AV151="","",VLOOKUP(AV151,'G-1 All Habitats'!$B$1:$T$135,19,FALSE))</f>
        <v/>
      </c>
    </row>
    <row r="152" spans="1:49" ht="14.5" hidden="1" thickBot="1">
      <c r="A152" s="35" t="str">
        <f>IFERROR(INDEX('G-1 All Habitats'!$AG$3:$AG$17,MATCH(E152,'G-1 All Habitats'!$AF$3:$AF$17,0)),"")</f>
        <v/>
      </c>
      <c r="B152" s="35" t="str">
        <f>IFERROR(INDEX('G-8 Condition Look up'!$I$4:$I$135,MATCH(AV152,'G-8 Condition Look up'!$A$4:$A$135,0)),"")</f>
        <v/>
      </c>
      <c r="D152" s="225">
        <v>142</v>
      </c>
      <c r="E152" s="211"/>
      <c r="F152" s="57"/>
      <c r="G152" s="263"/>
      <c r="H152" s="51"/>
      <c r="I152" s="275" t="str">
        <f>IF(AV152="","",IF(AND(AW152="Yes",G152="No"),"Irreplaceable habitat ▲",IF(AND(AW152="No",G152="Yes"),"Cannot be Irreplaceable ▲",VLOOKUP(AV152,'G-1 All Habitats'!$B$2:$M$135,10,FALSE))))</f>
        <v/>
      </c>
      <c r="J152" s="276" t="str">
        <f>IFERROR(VLOOKUP(I152,'G-1 All Habitats'!$V$3:$W$7,2,FALSE),"")</f>
        <v/>
      </c>
      <c r="K152" s="52"/>
      <c r="L152" s="276" t="str">
        <f>IFERROR(INDEX('G-8 Condition Look up'!$A$3:$H$135,MATCH(AV152,'G-8 Condition Look up'!$A$3:$A$135,0),MATCH(K152,'G-8 Condition Look up'!$A$3:$H$3,0)),"")</f>
        <v/>
      </c>
      <c r="M152" s="52"/>
      <c r="N152" s="295" t="str">
        <f>IF(M152="","",IF(VLOOKUP(M152,'G-3 Multipliers'!$L$3:$N$6,2,FALSE)=0,"Spatial Data Missing",VLOOKUP(M152,'G-3 Multipliers'!$L$3:$N$6,2,FALSE)))</f>
        <v/>
      </c>
      <c r="O152" s="281" t="str">
        <f>IF(M152="","",IF(VLOOKUP(M152,'G-3 Multipliers'!$L$3:$N$6,3,FALSE)=0,"Spatial Data Missing ▲",VLOOKUP(M152,'G-3 Multipliers'!$L$3:$N$6,3,FALSE)))</f>
        <v/>
      </c>
      <c r="P152" s="282" t="str">
        <f>(IF(G152="Yes","Bespoke compensation likely to be required",(IFERROR(VLOOKUP(AV152,'G-1 All Habitats'!$B$2:$M$135,12,FALSE),""))))</f>
        <v/>
      </c>
      <c r="Q152" s="289" t="str">
        <f>IFERROR(IF(AND(F152&lt;&gt;"",G152=""),"Confirm irreplaceable habitat status ▲",(IF(AND(E152="Individual trees",T152&gt;0,G152="Yes"),"Error - you cannot enhance irreplaceable individual trees ▲",(IF(AND(U152="Irreplaceable habitat - no units generated ⚠",(S152+T152)&lt;H152,OR(Y152="No",Y152="")),"Any Loss Unacceptable ⚠",(IF(U152="Irreplaceable habitat - no units generated ⚠",T152*J152*L152*O152,IF(AND(P152='G-1 All Habitats'!$X$9,AC152&gt;0,S152&lt;=0,T152&lt;=0,OR(Y152="No",Y152="")),"Any Loss Unacceptable ⚠",IF(AND(P152='G-1 All Habitats'!$X$9,AC152&gt;0,S152&lt;=0,T152&lt;=0,Y152="Yes"),0,(IF(AND(P152='G-1 All Habitats'!$X$9,(S152+T152)&lt;H152,OR(Y152="No",Y152="")),"Any Loss Unacceptable ⚠",(IF(P152="","",IF(AND(P152='G-1 All Habitats'!$X$9,T152&gt;0),U152+V152,IF(AND(P152='G-1 All Habitats'!$X$9,S152&gt;0),U152+V152,H152*J152*L152*O152))))))))))))))),"Check Data ▲")</f>
        <v/>
      </c>
      <c r="R152" s="38"/>
      <c r="S152" s="52"/>
      <c r="T152" s="53"/>
      <c r="U152" s="287" t="str">
        <f t="shared" si="18"/>
        <v/>
      </c>
      <c r="V152" s="287" t="str">
        <f t="shared" si="19"/>
        <v/>
      </c>
      <c r="W152" s="287" t="str">
        <f t="shared" si="20"/>
        <v/>
      </c>
      <c r="X152" s="291" t="str">
        <f>IFERROR(IF(H152="","",IF(H152-S152-T152=0&lt;0,"Error in Areas ▲",IF(S152+T152&gt;H152,"Error in Areas ▲",IF(AND(P152='G-1 All Habitats'!$X$9,Y152="Yes"),"Alternative Compensation ✓",IF(AND(P152='G-1 All Habitats'!$X$3,Y152="Yes"),"Alternative Compensation ✓",IF(AND(Y152="Pending",P152='G-1 All Habitats'!$X$3),"Bespoke compensation must be agreed ▲",IF(AND(Y152="Pending",P152='G-1 All Habitats'!$X$9),"Bespoke compensation must be agreed  ▲",IF(W152=0,0,IF(P152='G-1 All Habitats'!$X$9,"Any Loss Unacceptable ▲",Q152-U152-V152))))))))),"Check Data ▲")</f>
        <v/>
      </c>
      <c r="Y152" s="53"/>
      <c r="Z152" s="105"/>
      <c r="AA152" s="233"/>
      <c r="AB152" s="104"/>
      <c r="AC152" s="512" t="str">
        <f>IF(OR(P152="",Y152="Yes"),"",IF(P152='G-1 All Habitats'!$X$9,H152-S152-T152,"None"))</f>
        <v/>
      </c>
      <c r="AD152" s="513" t="str">
        <f>IF(P152="","",IF(P152='G-1 All Habitats'!$X$9,AC152*J152*L152*O152,"None"))</f>
        <v/>
      </c>
      <c r="AE152" s="35" t="str">
        <f t="shared" si="16"/>
        <v/>
      </c>
      <c r="AF152" s="40" t="str">
        <f t="shared" si="21"/>
        <v/>
      </c>
      <c r="AG152" s="40" t="str">
        <f t="shared" si="17"/>
        <v/>
      </c>
      <c r="AH152" s="40" t="str">
        <f>IF(I152="","",IF(#REF!&gt;0,TRUE,FALSE))</f>
        <v/>
      </c>
      <c r="AI152" s="40">
        <v>142</v>
      </c>
      <c r="AJ152" s="40"/>
      <c r="AK152" s="40" t="str">
        <f t="array" ref="AK152">IFERROR(INDEX($AI$11:$AI$259,MATCH(0,IF(TRUE=$AF$11:$AF$259,COUNTIF($AK$10:$AK151,$AI$11:$AI$259),""),0)),"")</f>
        <v/>
      </c>
      <c r="AL152" s="40" t="str">
        <f t="array" ref="AL152">IFERROR(INDEX($AI$11:$AI$259,MATCH(0,IF(TRUE=$AG$11:$AG$259,COUNTIF($AL$10:$AL151,$AI$11:$AI$259),""),0)),"")</f>
        <v/>
      </c>
      <c r="AM152" s="40" t="str">
        <f t="array" ref="AM152">IFERROR(INDEX($AI$11:$AI$259,MATCH(0,IF(TRUE=$AH$11:$AH$259,COUNTIF($AM$10:$AM151,$AI$11:$AI$259),""),0)),"")</f>
        <v/>
      </c>
      <c r="AN152" s="40"/>
      <c r="AQ152" s="35">
        <f t="shared" si="22"/>
        <v>0</v>
      </c>
      <c r="AT152" s="885" t="str">
        <f>IF(AND(OR(Y152="Yes",Y152="Pending"),P152='G-1 All Habitats'!$X$3),Q152-U152-V152,"")</f>
        <v/>
      </c>
      <c r="AV152" s="542" t="str">
        <f>IFERROR(INDEX('G-1 All Habitats'!$B$3:$B$135,MATCH(F152,'G-1 All Habitats'!$A$3:$A$135,0)),"")</f>
        <v/>
      </c>
      <c r="AW152" s="35" t="str">
        <f>IF(AV152="","",VLOOKUP(AV152,'G-1 All Habitats'!$B$1:$T$135,19,FALSE))</f>
        <v/>
      </c>
    </row>
    <row r="153" spans="1:49" ht="14.5" hidden="1" thickBot="1">
      <c r="A153" s="35" t="str">
        <f>IFERROR(INDEX('G-1 All Habitats'!$AG$3:$AG$17,MATCH(E153,'G-1 All Habitats'!$AF$3:$AF$17,0)),"")</f>
        <v/>
      </c>
      <c r="B153" s="35" t="str">
        <f>IFERROR(INDEX('G-8 Condition Look up'!$I$4:$I$135,MATCH(AV153,'G-8 Condition Look up'!$A$4:$A$135,0)),"")</f>
        <v/>
      </c>
      <c r="D153" s="225">
        <v>143</v>
      </c>
      <c r="E153" s="211"/>
      <c r="F153" s="57"/>
      <c r="G153" s="263"/>
      <c r="H153" s="51"/>
      <c r="I153" s="275" t="str">
        <f>IF(AV153="","",IF(AND(AW153="Yes",G153="No"),"Irreplaceable habitat ▲",IF(AND(AW153="No",G153="Yes"),"Cannot be Irreplaceable ▲",VLOOKUP(AV153,'G-1 All Habitats'!$B$2:$M$135,10,FALSE))))</f>
        <v/>
      </c>
      <c r="J153" s="276" t="str">
        <f>IFERROR(VLOOKUP(I153,'G-1 All Habitats'!$V$3:$W$7,2,FALSE),"")</f>
        <v/>
      </c>
      <c r="K153" s="52"/>
      <c r="L153" s="276" t="str">
        <f>IFERROR(INDEX('G-8 Condition Look up'!$A$3:$H$135,MATCH(AV153,'G-8 Condition Look up'!$A$3:$A$135,0),MATCH(K153,'G-8 Condition Look up'!$A$3:$H$3,0)),"")</f>
        <v/>
      </c>
      <c r="M153" s="52"/>
      <c r="N153" s="295" t="str">
        <f>IF(M153="","",IF(VLOOKUP(M153,'G-3 Multipliers'!$L$3:$N$6,2,FALSE)=0,"Spatial Data Missing",VLOOKUP(M153,'G-3 Multipliers'!$L$3:$N$6,2,FALSE)))</f>
        <v/>
      </c>
      <c r="O153" s="281" t="str">
        <f>IF(M153="","",IF(VLOOKUP(M153,'G-3 Multipliers'!$L$3:$N$6,3,FALSE)=0,"Spatial Data Missing ▲",VLOOKUP(M153,'G-3 Multipliers'!$L$3:$N$6,3,FALSE)))</f>
        <v/>
      </c>
      <c r="P153" s="282" t="str">
        <f>(IF(G153="Yes","Bespoke compensation likely to be required",(IFERROR(VLOOKUP(AV153,'G-1 All Habitats'!$B$2:$M$135,12,FALSE),""))))</f>
        <v/>
      </c>
      <c r="Q153" s="289" t="str">
        <f>IFERROR(IF(AND(F153&lt;&gt;"",G153=""),"Confirm irreplaceable habitat status ▲",(IF(AND(E153="Individual trees",T153&gt;0,G153="Yes"),"Error - you cannot enhance irreplaceable individual trees ▲",(IF(AND(U153="Irreplaceable habitat - no units generated ⚠",(S153+T153)&lt;H153,OR(Y153="No",Y153="")),"Any Loss Unacceptable ⚠",(IF(U153="Irreplaceable habitat - no units generated ⚠",T153*J153*L153*O153,IF(AND(P153='G-1 All Habitats'!$X$9,AC153&gt;0,S153&lt;=0,T153&lt;=0,OR(Y153="No",Y153="")),"Any Loss Unacceptable ⚠",IF(AND(P153='G-1 All Habitats'!$X$9,AC153&gt;0,S153&lt;=0,T153&lt;=0,Y153="Yes"),0,(IF(AND(P153='G-1 All Habitats'!$X$9,(S153+T153)&lt;H153,OR(Y153="No",Y153="")),"Any Loss Unacceptable ⚠",(IF(P153="","",IF(AND(P153='G-1 All Habitats'!$X$9,T153&gt;0),U153+V153,IF(AND(P153='G-1 All Habitats'!$X$9,S153&gt;0),U153+V153,H153*J153*L153*O153))))))))))))))),"Check Data ▲")</f>
        <v/>
      </c>
      <c r="R153" s="38"/>
      <c r="S153" s="52"/>
      <c r="T153" s="53"/>
      <c r="U153" s="287" t="str">
        <f t="shared" si="18"/>
        <v/>
      </c>
      <c r="V153" s="287" t="str">
        <f t="shared" si="19"/>
        <v/>
      </c>
      <c r="W153" s="287" t="str">
        <f t="shared" si="20"/>
        <v/>
      </c>
      <c r="X153" s="291" t="str">
        <f>IFERROR(IF(H153="","",IF(H153-S153-T153=0&lt;0,"Error in Areas ▲",IF(S153+T153&gt;H153,"Error in Areas ▲",IF(AND(P153='G-1 All Habitats'!$X$9,Y153="Yes"),"Alternative Compensation ✓",IF(AND(P153='G-1 All Habitats'!$X$3,Y153="Yes"),"Alternative Compensation ✓",IF(AND(Y153="Pending",P153='G-1 All Habitats'!$X$3),"Bespoke compensation must be agreed ▲",IF(AND(Y153="Pending",P153='G-1 All Habitats'!$X$9),"Bespoke compensation must be agreed  ▲",IF(W153=0,0,IF(P153='G-1 All Habitats'!$X$9,"Any Loss Unacceptable ▲",Q153-U153-V153))))))))),"Check Data ▲")</f>
        <v/>
      </c>
      <c r="Y153" s="53"/>
      <c r="Z153" s="105"/>
      <c r="AA153" s="233"/>
      <c r="AB153" s="104"/>
      <c r="AC153" s="512" t="str">
        <f>IF(OR(P153="",Y153="Yes"),"",IF(P153='G-1 All Habitats'!$X$9,H153-S153-T153,"None"))</f>
        <v/>
      </c>
      <c r="AD153" s="513" t="str">
        <f>IF(P153="","",IF(P153='G-1 All Habitats'!$X$9,AC153*J153*L153*O153,"None"))</f>
        <v/>
      </c>
      <c r="AE153" s="35" t="str">
        <f t="shared" si="16"/>
        <v/>
      </c>
      <c r="AF153" s="40" t="str">
        <f t="shared" si="21"/>
        <v/>
      </c>
      <c r="AG153" s="40" t="str">
        <f t="shared" si="17"/>
        <v/>
      </c>
      <c r="AH153" s="40" t="str">
        <f>IF(I153="","",IF(#REF!&gt;0,TRUE,FALSE))</f>
        <v/>
      </c>
      <c r="AI153" s="40">
        <v>143</v>
      </c>
      <c r="AJ153" s="40"/>
      <c r="AK153" s="40" t="str">
        <f t="array" ref="AK153">IFERROR(INDEX($AI$11:$AI$259,MATCH(0,IF(TRUE=$AF$11:$AF$259,COUNTIF($AK$10:$AK152,$AI$11:$AI$259),""),0)),"")</f>
        <v/>
      </c>
      <c r="AL153" s="40" t="str">
        <f t="array" ref="AL153">IFERROR(INDEX($AI$11:$AI$259,MATCH(0,IF(TRUE=$AG$11:$AG$259,COUNTIF($AL$10:$AL152,$AI$11:$AI$259),""),0)),"")</f>
        <v/>
      </c>
      <c r="AM153" s="40" t="str">
        <f t="array" ref="AM153">IFERROR(INDEX($AI$11:$AI$259,MATCH(0,IF(TRUE=$AH$11:$AH$259,COUNTIF($AM$10:$AM152,$AI$11:$AI$259),""),0)),"")</f>
        <v/>
      </c>
      <c r="AN153" s="40"/>
      <c r="AQ153" s="35">
        <f t="shared" si="22"/>
        <v>0</v>
      </c>
      <c r="AT153" s="885" t="str">
        <f>IF(AND(OR(Y153="Yes",Y153="Pending"),P153='G-1 All Habitats'!$X$3),Q153-U153-V153,"")</f>
        <v/>
      </c>
      <c r="AV153" s="542" t="str">
        <f>IFERROR(INDEX('G-1 All Habitats'!$B$3:$B$135,MATCH(F153,'G-1 All Habitats'!$A$3:$A$135,0)),"")</f>
        <v/>
      </c>
      <c r="AW153" s="35" t="str">
        <f>IF(AV153="","",VLOOKUP(AV153,'G-1 All Habitats'!$B$1:$T$135,19,FALSE))</f>
        <v/>
      </c>
    </row>
    <row r="154" spans="1:49" ht="14.5" hidden="1" thickBot="1">
      <c r="A154" s="35" t="str">
        <f>IFERROR(INDEX('G-1 All Habitats'!$AG$3:$AG$17,MATCH(E154,'G-1 All Habitats'!$AF$3:$AF$17,0)),"")</f>
        <v/>
      </c>
      <c r="B154" s="35" t="str">
        <f>IFERROR(INDEX('G-8 Condition Look up'!$I$4:$I$135,MATCH(AV154,'G-8 Condition Look up'!$A$4:$A$135,0)),"")</f>
        <v/>
      </c>
      <c r="D154" s="225">
        <v>144</v>
      </c>
      <c r="E154" s="211"/>
      <c r="F154" s="57"/>
      <c r="G154" s="263"/>
      <c r="H154" s="51"/>
      <c r="I154" s="275" t="str">
        <f>IF(AV154="","",IF(AND(AW154="Yes",G154="No"),"Irreplaceable habitat ▲",IF(AND(AW154="No",G154="Yes"),"Cannot be Irreplaceable ▲",VLOOKUP(AV154,'G-1 All Habitats'!$B$2:$M$135,10,FALSE))))</f>
        <v/>
      </c>
      <c r="J154" s="276" t="str">
        <f>IFERROR(VLOOKUP(I154,'G-1 All Habitats'!$V$3:$W$7,2,FALSE),"")</f>
        <v/>
      </c>
      <c r="K154" s="52"/>
      <c r="L154" s="276" t="str">
        <f>IFERROR(INDEX('G-8 Condition Look up'!$A$3:$H$135,MATCH(AV154,'G-8 Condition Look up'!$A$3:$A$135,0),MATCH(K154,'G-8 Condition Look up'!$A$3:$H$3,0)),"")</f>
        <v/>
      </c>
      <c r="M154" s="52"/>
      <c r="N154" s="295" t="str">
        <f>IF(M154="","",IF(VLOOKUP(M154,'G-3 Multipliers'!$L$3:$N$6,2,FALSE)=0,"Spatial Data Missing",VLOOKUP(M154,'G-3 Multipliers'!$L$3:$N$6,2,FALSE)))</f>
        <v/>
      </c>
      <c r="O154" s="281" t="str">
        <f>IF(M154="","",IF(VLOOKUP(M154,'G-3 Multipliers'!$L$3:$N$6,3,FALSE)=0,"Spatial Data Missing ▲",VLOOKUP(M154,'G-3 Multipliers'!$L$3:$N$6,3,FALSE)))</f>
        <v/>
      </c>
      <c r="P154" s="282" t="str">
        <f>(IF(G154="Yes","Bespoke compensation likely to be required",(IFERROR(VLOOKUP(AV154,'G-1 All Habitats'!$B$2:$M$135,12,FALSE),""))))</f>
        <v/>
      </c>
      <c r="Q154" s="289" t="str">
        <f>IFERROR(IF(AND(F154&lt;&gt;"",G154=""),"Confirm irreplaceable habitat status ▲",(IF(AND(E154="Individual trees",T154&gt;0,G154="Yes"),"Error - you cannot enhance irreplaceable individual trees ▲",(IF(AND(U154="Irreplaceable habitat - no units generated ⚠",(S154+T154)&lt;H154,OR(Y154="No",Y154="")),"Any Loss Unacceptable ⚠",(IF(U154="Irreplaceable habitat - no units generated ⚠",T154*J154*L154*O154,IF(AND(P154='G-1 All Habitats'!$X$9,AC154&gt;0,S154&lt;=0,T154&lt;=0,OR(Y154="No",Y154="")),"Any Loss Unacceptable ⚠",IF(AND(P154='G-1 All Habitats'!$X$9,AC154&gt;0,S154&lt;=0,T154&lt;=0,Y154="Yes"),0,(IF(AND(P154='G-1 All Habitats'!$X$9,(S154+T154)&lt;H154,OR(Y154="No",Y154="")),"Any Loss Unacceptable ⚠",(IF(P154="","",IF(AND(P154='G-1 All Habitats'!$X$9,T154&gt;0),U154+V154,IF(AND(P154='G-1 All Habitats'!$X$9,S154&gt;0),U154+V154,H154*J154*L154*O154))))))))))))))),"Check Data ▲")</f>
        <v/>
      </c>
      <c r="R154" s="38"/>
      <c r="S154" s="52"/>
      <c r="T154" s="53"/>
      <c r="U154" s="287" t="str">
        <f t="shared" si="18"/>
        <v/>
      </c>
      <c r="V154" s="287" t="str">
        <f t="shared" si="19"/>
        <v/>
      </c>
      <c r="W154" s="287" t="str">
        <f t="shared" si="20"/>
        <v/>
      </c>
      <c r="X154" s="291" t="str">
        <f>IFERROR(IF(H154="","",IF(H154-S154-T154=0&lt;0,"Error in Areas ▲",IF(S154+T154&gt;H154,"Error in Areas ▲",IF(AND(P154='G-1 All Habitats'!$X$9,Y154="Yes"),"Alternative Compensation ✓",IF(AND(P154='G-1 All Habitats'!$X$3,Y154="Yes"),"Alternative Compensation ✓",IF(AND(Y154="Pending",P154='G-1 All Habitats'!$X$3),"Bespoke compensation must be agreed ▲",IF(AND(Y154="Pending",P154='G-1 All Habitats'!$X$9),"Bespoke compensation must be agreed  ▲",IF(W154=0,0,IF(P154='G-1 All Habitats'!$X$9,"Any Loss Unacceptable ▲",Q154-U154-V154))))))))),"Check Data ▲")</f>
        <v/>
      </c>
      <c r="Y154" s="53"/>
      <c r="Z154" s="105"/>
      <c r="AA154" s="233"/>
      <c r="AB154" s="104"/>
      <c r="AC154" s="512" t="str">
        <f>IF(OR(P154="",Y154="Yes"),"",IF(P154='G-1 All Habitats'!$X$9,H154-S154-T154,"None"))</f>
        <v/>
      </c>
      <c r="AD154" s="513" t="str">
        <f>IF(P154="","",IF(P154='G-1 All Habitats'!$X$9,AC154*J154*L154*O154,"None"))</f>
        <v/>
      </c>
      <c r="AE154" s="35" t="str">
        <f t="shared" si="16"/>
        <v/>
      </c>
      <c r="AF154" s="40" t="str">
        <f t="shared" si="21"/>
        <v/>
      </c>
      <c r="AG154" s="40" t="str">
        <f t="shared" si="17"/>
        <v/>
      </c>
      <c r="AH154" s="40" t="str">
        <f>IF(I154="","",IF(#REF!&gt;0,TRUE,FALSE))</f>
        <v/>
      </c>
      <c r="AI154" s="40">
        <v>144</v>
      </c>
      <c r="AJ154" s="40"/>
      <c r="AK154" s="40" t="str">
        <f t="array" ref="AK154">IFERROR(INDEX($AI$11:$AI$259,MATCH(0,IF(TRUE=$AF$11:$AF$259,COUNTIF($AK$10:$AK153,$AI$11:$AI$259),""),0)),"")</f>
        <v/>
      </c>
      <c r="AL154" s="40" t="str">
        <f t="array" ref="AL154">IFERROR(INDEX($AI$11:$AI$259,MATCH(0,IF(TRUE=$AG$11:$AG$259,COUNTIF($AL$10:$AL153,$AI$11:$AI$259),""),0)),"")</f>
        <v/>
      </c>
      <c r="AM154" s="40" t="str">
        <f t="array" ref="AM154">IFERROR(INDEX($AI$11:$AI$259,MATCH(0,IF(TRUE=$AH$11:$AH$259,COUNTIF($AM$10:$AM153,$AI$11:$AI$259),""),0)),"")</f>
        <v/>
      </c>
      <c r="AN154" s="40"/>
      <c r="AQ154" s="35">
        <f t="shared" si="22"/>
        <v>0</v>
      </c>
      <c r="AT154" s="885" t="str">
        <f>IF(AND(OR(Y154="Yes",Y154="Pending"),P154='G-1 All Habitats'!$X$3),Q154-U154-V154,"")</f>
        <v/>
      </c>
      <c r="AV154" s="542" t="str">
        <f>IFERROR(INDEX('G-1 All Habitats'!$B$3:$B$135,MATCH(F154,'G-1 All Habitats'!$A$3:$A$135,0)),"")</f>
        <v/>
      </c>
      <c r="AW154" s="35" t="str">
        <f>IF(AV154="","",VLOOKUP(AV154,'G-1 All Habitats'!$B$1:$T$135,19,FALSE))</f>
        <v/>
      </c>
    </row>
    <row r="155" spans="1:49" ht="14.5" hidden="1" thickBot="1">
      <c r="A155" s="35" t="str">
        <f>IFERROR(INDEX('G-1 All Habitats'!$AG$3:$AG$17,MATCH(E155,'G-1 All Habitats'!$AF$3:$AF$17,0)),"")</f>
        <v/>
      </c>
      <c r="B155" s="35" t="str">
        <f>IFERROR(INDEX('G-8 Condition Look up'!$I$4:$I$135,MATCH(AV155,'G-8 Condition Look up'!$A$4:$A$135,0)),"")</f>
        <v/>
      </c>
      <c r="D155" s="225">
        <v>145</v>
      </c>
      <c r="E155" s="211"/>
      <c r="F155" s="57"/>
      <c r="G155" s="263"/>
      <c r="H155" s="51"/>
      <c r="I155" s="275" t="str">
        <f>IF(AV155="","",IF(AND(AW155="Yes",G155="No"),"Irreplaceable habitat ▲",IF(AND(AW155="No",G155="Yes"),"Cannot be Irreplaceable ▲",VLOOKUP(AV155,'G-1 All Habitats'!$B$2:$M$135,10,FALSE))))</f>
        <v/>
      </c>
      <c r="J155" s="276" t="str">
        <f>IFERROR(VLOOKUP(I155,'G-1 All Habitats'!$V$3:$W$7,2,FALSE),"")</f>
        <v/>
      </c>
      <c r="K155" s="52"/>
      <c r="L155" s="276" t="str">
        <f>IFERROR(INDEX('G-8 Condition Look up'!$A$3:$H$135,MATCH(AV155,'G-8 Condition Look up'!$A$3:$A$135,0),MATCH(K155,'G-8 Condition Look up'!$A$3:$H$3,0)),"")</f>
        <v/>
      </c>
      <c r="M155" s="52"/>
      <c r="N155" s="295" t="str">
        <f>IF(M155="","",IF(VLOOKUP(M155,'G-3 Multipliers'!$L$3:$N$6,2,FALSE)=0,"Spatial Data Missing",VLOOKUP(M155,'G-3 Multipliers'!$L$3:$N$6,2,FALSE)))</f>
        <v/>
      </c>
      <c r="O155" s="281" t="str">
        <f>IF(M155="","",IF(VLOOKUP(M155,'G-3 Multipliers'!$L$3:$N$6,3,FALSE)=0,"Spatial Data Missing ▲",VLOOKUP(M155,'G-3 Multipliers'!$L$3:$N$6,3,FALSE)))</f>
        <v/>
      </c>
      <c r="P155" s="282" t="str">
        <f>(IF(G155="Yes","Bespoke compensation likely to be required",(IFERROR(VLOOKUP(AV155,'G-1 All Habitats'!$B$2:$M$135,12,FALSE),""))))</f>
        <v/>
      </c>
      <c r="Q155" s="289" t="str">
        <f>IFERROR(IF(AND(F155&lt;&gt;"",G155=""),"Confirm irreplaceable habitat status ▲",(IF(AND(E155="Individual trees",T155&gt;0,G155="Yes"),"Error - you cannot enhance irreplaceable individual trees ▲",(IF(AND(U155="Irreplaceable habitat - no units generated ⚠",(S155+T155)&lt;H155,OR(Y155="No",Y155="")),"Any Loss Unacceptable ⚠",(IF(U155="Irreplaceable habitat - no units generated ⚠",T155*J155*L155*O155,IF(AND(P155='G-1 All Habitats'!$X$9,AC155&gt;0,S155&lt;=0,T155&lt;=0,OR(Y155="No",Y155="")),"Any Loss Unacceptable ⚠",IF(AND(P155='G-1 All Habitats'!$X$9,AC155&gt;0,S155&lt;=0,T155&lt;=0,Y155="Yes"),0,(IF(AND(P155='G-1 All Habitats'!$X$9,(S155+T155)&lt;H155,OR(Y155="No",Y155="")),"Any Loss Unacceptable ⚠",(IF(P155="","",IF(AND(P155='G-1 All Habitats'!$X$9,T155&gt;0),U155+V155,IF(AND(P155='G-1 All Habitats'!$X$9,S155&gt;0),U155+V155,H155*J155*L155*O155))))))))))))))),"Check Data ▲")</f>
        <v/>
      </c>
      <c r="R155" s="38"/>
      <c r="S155" s="52"/>
      <c r="T155" s="53"/>
      <c r="U155" s="287" t="str">
        <f t="shared" si="18"/>
        <v/>
      </c>
      <c r="V155" s="287" t="str">
        <f t="shared" si="19"/>
        <v/>
      </c>
      <c r="W155" s="287" t="str">
        <f t="shared" si="20"/>
        <v/>
      </c>
      <c r="X155" s="291" t="str">
        <f>IFERROR(IF(H155="","",IF(H155-S155-T155=0&lt;0,"Error in Areas ▲",IF(S155+T155&gt;H155,"Error in Areas ▲",IF(AND(P155='G-1 All Habitats'!$X$9,Y155="Yes"),"Alternative Compensation ✓",IF(AND(P155='G-1 All Habitats'!$X$3,Y155="Yes"),"Alternative Compensation ✓",IF(AND(Y155="Pending",P155='G-1 All Habitats'!$X$3),"Bespoke compensation must be agreed ▲",IF(AND(Y155="Pending",P155='G-1 All Habitats'!$X$9),"Bespoke compensation must be agreed  ▲",IF(W155=0,0,IF(P155='G-1 All Habitats'!$X$9,"Any Loss Unacceptable ▲",Q155-U155-V155))))))))),"Check Data ▲")</f>
        <v/>
      </c>
      <c r="Y155" s="53"/>
      <c r="Z155" s="105"/>
      <c r="AA155" s="233"/>
      <c r="AB155" s="104"/>
      <c r="AC155" s="512" t="str">
        <f>IF(OR(P155="",Y155="Yes"),"",IF(P155='G-1 All Habitats'!$X$9,H155-S155-T155,"None"))</f>
        <v/>
      </c>
      <c r="AD155" s="513" t="str">
        <f>IF(P155="","",IF(P155='G-1 All Habitats'!$X$9,AC155*J155*L155*O155,"None"))</f>
        <v/>
      </c>
      <c r="AE155" s="35" t="str">
        <f t="shared" si="16"/>
        <v/>
      </c>
      <c r="AF155" s="40" t="str">
        <f t="shared" si="21"/>
        <v/>
      </c>
      <c r="AG155" s="40" t="str">
        <f t="shared" si="17"/>
        <v/>
      </c>
      <c r="AH155" s="40" t="str">
        <f>IF(I155="","",IF(#REF!&gt;0,TRUE,FALSE))</f>
        <v/>
      </c>
      <c r="AI155" s="40">
        <v>145</v>
      </c>
      <c r="AJ155" s="40"/>
      <c r="AK155" s="40" t="str">
        <f t="array" ref="AK155">IFERROR(INDEX($AI$11:$AI$259,MATCH(0,IF(TRUE=$AF$11:$AF$259,COUNTIF($AK$10:$AK154,$AI$11:$AI$259),""),0)),"")</f>
        <v/>
      </c>
      <c r="AL155" s="40" t="str">
        <f t="array" ref="AL155">IFERROR(INDEX($AI$11:$AI$259,MATCH(0,IF(TRUE=$AG$11:$AG$259,COUNTIF($AL$10:$AL154,$AI$11:$AI$259),""),0)),"")</f>
        <v/>
      </c>
      <c r="AM155" s="40" t="str">
        <f t="array" ref="AM155">IFERROR(INDEX($AI$11:$AI$259,MATCH(0,IF(TRUE=$AH$11:$AH$259,COUNTIF($AM$10:$AM154,$AI$11:$AI$259),""),0)),"")</f>
        <v/>
      </c>
      <c r="AN155" s="40"/>
      <c r="AQ155" s="35">
        <f t="shared" si="22"/>
        <v>0</v>
      </c>
      <c r="AT155" s="885" t="str">
        <f>IF(AND(OR(Y155="Yes",Y155="Pending"),P155='G-1 All Habitats'!$X$3),Q155-U155-V155,"")</f>
        <v/>
      </c>
      <c r="AV155" s="542" t="str">
        <f>IFERROR(INDEX('G-1 All Habitats'!$B$3:$B$135,MATCH(F155,'G-1 All Habitats'!$A$3:$A$135,0)),"")</f>
        <v/>
      </c>
      <c r="AW155" s="35" t="str">
        <f>IF(AV155="","",VLOOKUP(AV155,'G-1 All Habitats'!$B$1:$T$135,19,FALSE))</f>
        <v/>
      </c>
    </row>
    <row r="156" spans="1:49" ht="14.5" hidden="1" thickBot="1">
      <c r="A156" s="35" t="str">
        <f>IFERROR(INDEX('G-1 All Habitats'!$AG$3:$AG$17,MATCH(E156,'G-1 All Habitats'!$AF$3:$AF$17,0)),"")</f>
        <v/>
      </c>
      <c r="B156" s="35" t="str">
        <f>IFERROR(INDEX('G-8 Condition Look up'!$I$4:$I$135,MATCH(AV156,'G-8 Condition Look up'!$A$4:$A$135,0)),"")</f>
        <v/>
      </c>
      <c r="D156" s="225">
        <v>146</v>
      </c>
      <c r="E156" s="211"/>
      <c r="F156" s="57"/>
      <c r="G156" s="263"/>
      <c r="H156" s="51"/>
      <c r="I156" s="275" t="str">
        <f>IF(AV156="","",IF(AND(AW156="Yes",G156="No"),"Irreplaceable habitat ▲",IF(AND(AW156="No",G156="Yes"),"Cannot be Irreplaceable ▲",VLOOKUP(AV156,'G-1 All Habitats'!$B$2:$M$135,10,FALSE))))</f>
        <v/>
      </c>
      <c r="J156" s="276" t="str">
        <f>IFERROR(VLOOKUP(I156,'G-1 All Habitats'!$V$3:$W$7,2,FALSE),"")</f>
        <v/>
      </c>
      <c r="K156" s="52"/>
      <c r="L156" s="276" t="str">
        <f>IFERROR(INDEX('G-8 Condition Look up'!$A$3:$H$135,MATCH(AV156,'G-8 Condition Look up'!$A$3:$A$135,0),MATCH(K156,'G-8 Condition Look up'!$A$3:$H$3,0)),"")</f>
        <v/>
      </c>
      <c r="M156" s="52"/>
      <c r="N156" s="295" t="str">
        <f>IF(M156="","",IF(VLOOKUP(M156,'G-3 Multipliers'!$L$3:$N$6,2,FALSE)=0,"Spatial Data Missing",VLOOKUP(M156,'G-3 Multipliers'!$L$3:$N$6,2,FALSE)))</f>
        <v/>
      </c>
      <c r="O156" s="281" t="str">
        <f>IF(M156="","",IF(VLOOKUP(M156,'G-3 Multipliers'!$L$3:$N$6,3,FALSE)=0,"Spatial Data Missing ▲",VLOOKUP(M156,'G-3 Multipliers'!$L$3:$N$6,3,FALSE)))</f>
        <v/>
      </c>
      <c r="P156" s="282" t="str">
        <f>(IF(G156="Yes","Bespoke compensation likely to be required",(IFERROR(VLOOKUP(AV156,'G-1 All Habitats'!$B$2:$M$135,12,FALSE),""))))</f>
        <v/>
      </c>
      <c r="Q156" s="289" t="str">
        <f>IFERROR(IF(AND(F156&lt;&gt;"",G156=""),"Confirm irreplaceable habitat status ▲",(IF(AND(E156="Individual trees",T156&gt;0,G156="Yes"),"Error - you cannot enhance irreplaceable individual trees ▲",(IF(AND(U156="Irreplaceable habitat - no units generated ⚠",(S156+T156)&lt;H156,OR(Y156="No",Y156="")),"Any Loss Unacceptable ⚠",(IF(U156="Irreplaceable habitat - no units generated ⚠",T156*J156*L156*O156,IF(AND(P156='G-1 All Habitats'!$X$9,AC156&gt;0,S156&lt;=0,T156&lt;=0,OR(Y156="No",Y156="")),"Any Loss Unacceptable ⚠",IF(AND(P156='G-1 All Habitats'!$X$9,AC156&gt;0,S156&lt;=0,T156&lt;=0,Y156="Yes"),0,(IF(AND(P156='G-1 All Habitats'!$X$9,(S156+T156)&lt;H156,OR(Y156="No",Y156="")),"Any Loss Unacceptable ⚠",(IF(P156="","",IF(AND(P156='G-1 All Habitats'!$X$9,T156&gt;0),U156+V156,IF(AND(P156='G-1 All Habitats'!$X$9,S156&gt;0),U156+V156,H156*J156*L156*O156))))))))))))))),"Check Data ▲")</f>
        <v/>
      </c>
      <c r="R156" s="38"/>
      <c r="S156" s="52"/>
      <c r="T156" s="53"/>
      <c r="U156" s="287" t="str">
        <f t="shared" si="18"/>
        <v/>
      </c>
      <c r="V156" s="287" t="str">
        <f t="shared" si="19"/>
        <v/>
      </c>
      <c r="W156" s="287" t="str">
        <f t="shared" si="20"/>
        <v/>
      </c>
      <c r="X156" s="291" t="str">
        <f>IFERROR(IF(H156="","",IF(H156-S156-T156=0&lt;0,"Error in Areas ▲",IF(S156+T156&gt;H156,"Error in Areas ▲",IF(AND(P156='G-1 All Habitats'!$X$9,Y156="Yes"),"Alternative Compensation ✓",IF(AND(P156='G-1 All Habitats'!$X$3,Y156="Yes"),"Alternative Compensation ✓",IF(AND(Y156="Pending",P156='G-1 All Habitats'!$X$3),"Bespoke compensation must be agreed ▲",IF(AND(Y156="Pending",P156='G-1 All Habitats'!$X$9),"Bespoke compensation must be agreed  ▲",IF(W156=0,0,IF(P156='G-1 All Habitats'!$X$9,"Any Loss Unacceptable ▲",Q156-U156-V156))))))))),"Check Data ▲")</f>
        <v/>
      </c>
      <c r="Y156" s="53"/>
      <c r="Z156" s="105"/>
      <c r="AA156" s="233"/>
      <c r="AB156" s="104"/>
      <c r="AC156" s="512" t="str">
        <f>IF(OR(P156="",Y156="Yes"),"",IF(P156='G-1 All Habitats'!$X$9,H156-S156-T156,"None"))</f>
        <v/>
      </c>
      <c r="AD156" s="513" t="str">
        <f>IF(P156="","",IF(P156='G-1 All Habitats'!$X$9,AC156*J156*L156*O156,"None"))</f>
        <v/>
      </c>
      <c r="AE156" s="35" t="str">
        <f t="shared" si="16"/>
        <v/>
      </c>
      <c r="AF156" s="40" t="str">
        <f t="shared" si="21"/>
        <v/>
      </c>
      <c r="AG156" s="40" t="str">
        <f t="shared" si="17"/>
        <v/>
      </c>
      <c r="AH156" s="40" t="str">
        <f>IF(I156="","",IF(#REF!&gt;0,TRUE,FALSE))</f>
        <v/>
      </c>
      <c r="AI156" s="40">
        <v>146</v>
      </c>
      <c r="AJ156" s="40"/>
      <c r="AK156" s="40" t="str">
        <f t="array" ref="AK156">IFERROR(INDEX($AI$11:$AI$259,MATCH(0,IF(TRUE=$AF$11:$AF$259,COUNTIF($AK$10:$AK155,$AI$11:$AI$259),""),0)),"")</f>
        <v/>
      </c>
      <c r="AL156" s="40" t="str">
        <f t="array" ref="AL156">IFERROR(INDEX($AI$11:$AI$259,MATCH(0,IF(TRUE=$AG$11:$AG$259,COUNTIF($AL$10:$AL155,$AI$11:$AI$259),""),0)),"")</f>
        <v/>
      </c>
      <c r="AM156" s="40" t="str">
        <f t="array" ref="AM156">IFERROR(INDEX($AI$11:$AI$259,MATCH(0,IF(TRUE=$AH$11:$AH$259,COUNTIF($AM$10:$AM155,$AI$11:$AI$259),""),0)),"")</f>
        <v/>
      </c>
      <c r="AN156" s="40"/>
      <c r="AQ156" s="35">
        <f t="shared" si="22"/>
        <v>0</v>
      </c>
      <c r="AT156" s="885" t="str">
        <f>IF(AND(OR(Y156="Yes",Y156="Pending"),P156='G-1 All Habitats'!$X$3),Q156-U156-V156,"")</f>
        <v/>
      </c>
      <c r="AV156" s="542" t="str">
        <f>IFERROR(INDEX('G-1 All Habitats'!$B$3:$B$135,MATCH(F156,'G-1 All Habitats'!$A$3:$A$135,0)),"")</f>
        <v/>
      </c>
      <c r="AW156" s="35" t="str">
        <f>IF(AV156="","",VLOOKUP(AV156,'G-1 All Habitats'!$B$1:$T$135,19,FALSE))</f>
        <v/>
      </c>
    </row>
    <row r="157" spans="1:49" ht="14.5" hidden="1" thickBot="1">
      <c r="A157" s="35" t="str">
        <f>IFERROR(INDEX('G-1 All Habitats'!$AG$3:$AG$17,MATCH(E157,'G-1 All Habitats'!$AF$3:$AF$17,0)),"")</f>
        <v/>
      </c>
      <c r="B157" s="35" t="str">
        <f>IFERROR(INDEX('G-8 Condition Look up'!$I$4:$I$135,MATCH(AV157,'G-8 Condition Look up'!$A$4:$A$135,0)),"")</f>
        <v/>
      </c>
      <c r="D157" s="225">
        <v>147</v>
      </c>
      <c r="E157" s="211"/>
      <c r="F157" s="57"/>
      <c r="G157" s="263"/>
      <c r="H157" s="51"/>
      <c r="I157" s="275" t="str">
        <f>IF(AV157="","",IF(AND(AW157="Yes",G157="No"),"Irreplaceable habitat ▲",IF(AND(AW157="No",G157="Yes"),"Cannot be Irreplaceable ▲",VLOOKUP(AV157,'G-1 All Habitats'!$B$2:$M$135,10,FALSE))))</f>
        <v/>
      </c>
      <c r="J157" s="276" t="str">
        <f>IFERROR(VLOOKUP(I157,'G-1 All Habitats'!$V$3:$W$7,2,FALSE),"")</f>
        <v/>
      </c>
      <c r="K157" s="52"/>
      <c r="L157" s="276" t="str">
        <f>IFERROR(INDEX('G-8 Condition Look up'!$A$3:$H$135,MATCH(AV157,'G-8 Condition Look up'!$A$3:$A$135,0),MATCH(K157,'G-8 Condition Look up'!$A$3:$H$3,0)),"")</f>
        <v/>
      </c>
      <c r="M157" s="52"/>
      <c r="N157" s="295" t="str">
        <f>IF(M157="","",IF(VLOOKUP(M157,'G-3 Multipliers'!$L$3:$N$6,2,FALSE)=0,"Spatial Data Missing",VLOOKUP(M157,'G-3 Multipliers'!$L$3:$N$6,2,FALSE)))</f>
        <v/>
      </c>
      <c r="O157" s="281" t="str">
        <f>IF(M157="","",IF(VLOOKUP(M157,'G-3 Multipliers'!$L$3:$N$6,3,FALSE)=0,"Spatial Data Missing ▲",VLOOKUP(M157,'G-3 Multipliers'!$L$3:$N$6,3,FALSE)))</f>
        <v/>
      </c>
      <c r="P157" s="282" t="str">
        <f>(IF(G157="Yes","Bespoke compensation likely to be required",(IFERROR(VLOOKUP(AV157,'G-1 All Habitats'!$B$2:$M$135,12,FALSE),""))))</f>
        <v/>
      </c>
      <c r="Q157" s="289" t="str">
        <f>IFERROR(IF(AND(F157&lt;&gt;"",G157=""),"Confirm irreplaceable habitat status ▲",(IF(AND(E157="Individual trees",T157&gt;0,G157="Yes"),"Error - you cannot enhance irreplaceable individual trees ▲",(IF(AND(U157="Irreplaceable habitat - no units generated ⚠",(S157+T157)&lt;H157,OR(Y157="No",Y157="")),"Any Loss Unacceptable ⚠",(IF(U157="Irreplaceable habitat - no units generated ⚠",T157*J157*L157*O157,IF(AND(P157='G-1 All Habitats'!$X$9,AC157&gt;0,S157&lt;=0,T157&lt;=0,OR(Y157="No",Y157="")),"Any Loss Unacceptable ⚠",IF(AND(P157='G-1 All Habitats'!$X$9,AC157&gt;0,S157&lt;=0,T157&lt;=0,Y157="Yes"),0,(IF(AND(P157='G-1 All Habitats'!$X$9,(S157+T157)&lt;H157,OR(Y157="No",Y157="")),"Any Loss Unacceptable ⚠",(IF(P157="","",IF(AND(P157='G-1 All Habitats'!$X$9,T157&gt;0),U157+V157,IF(AND(P157='G-1 All Habitats'!$X$9,S157&gt;0),U157+V157,H157*J157*L157*O157))))))))))))))),"Check Data ▲")</f>
        <v/>
      </c>
      <c r="R157" s="38"/>
      <c r="S157" s="52"/>
      <c r="T157" s="53"/>
      <c r="U157" s="287" t="str">
        <f t="shared" si="18"/>
        <v/>
      </c>
      <c r="V157" s="287" t="str">
        <f t="shared" si="19"/>
        <v/>
      </c>
      <c r="W157" s="287" t="str">
        <f t="shared" si="20"/>
        <v/>
      </c>
      <c r="X157" s="291" t="str">
        <f>IFERROR(IF(H157="","",IF(H157-S157-T157=0&lt;0,"Error in Areas ▲",IF(S157+T157&gt;H157,"Error in Areas ▲",IF(AND(P157='G-1 All Habitats'!$X$9,Y157="Yes"),"Alternative Compensation ✓",IF(AND(P157='G-1 All Habitats'!$X$3,Y157="Yes"),"Alternative Compensation ✓",IF(AND(Y157="Pending",P157='G-1 All Habitats'!$X$3),"Bespoke compensation must be agreed ▲",IF(AND(Y157="Pending",P157='G-1 All Habitats'!$X$9),"Bespoke compensation must be agreed  ▲",IF(W157=0,0,IF(P157='G-1 All Habitats'!$X$9,"Any Loss Unacceptable ▲",Q157-U157-V157))))))))),"Check Data ▲")</f>
        <v/>
      </c>
      <c r="Y157" s="53"/>
      <c r="Z157" s="105"/>
      <c r="AA157" s="233"/>
      <c r="AB157" s="104"/>
      <c r="AC157" s="512" t="str">
        <f>IF(OR(P157="",Y157="Yes"),"",IF(P157='G-1 All Habitats'!$X$9,H157-S157-T157,"None"))</f>
        <v/>
      </c>
      <c r="AD157" s="513" t="str">
        <f>IF(P157="","",IF(P157='G-1 All Habitats'!$X$9,AC157*J157*L157*O157,"None"))</f>
        <v/>
      </c>
      <c r="AE157" s="35" t="str">
        <f t="shared" si="16"/>
        <v/>
      </c>
      <c r="AF157" s="40" t="str">
        <f t="shared" si="21"/>
        <v/>
      </c>
      <c r="AG157" s="40" t="str">
        <f t="shared" si="17"/>
        <v/>
      </c>
      <c r="AH157" s="40" t="str">
        <f>IF(I157="","",IF(#REF!&gt;0,TRUE,FALSE))</f>
        <v/>
      </c>
      <c r="AI157" s="40">
        <v>147</v>
      </c>
      <c r="AJ157" s="40"/>
      <c r="AK157" s="40" t="str">
        <f t="array" ref="AK157">IFERROR(INDEX($AI$11:$AI$259,MATCH(0,IF(TRUE=$AF$11:$AF$259,COUNTIF($AK$10:$AK156,$AI$11:$AI$259),""),0)),"")</f>
        <v/>
      </c>
      <c r="AL157" s="40" t="str">
        <f t="array" ref="AL157">IFERROR(INDEX($AI$11:$AI$259,MATCH(0,IF(TRUE=$AG$11:$AG$259,COUNTIF($AL$10:$AL156,$AI$11:$AI$259),""),0)),"")</f>
        <v/>
      </c>
      <c r="AM157" s="40" t="str">
        <f t="array" ref="AM157">IFERROR(INDEX($AI$11:$AI$259,MATCH(0,IF(TRUE=$AH$11:$AH$259,COUNTIF($AM$10:$AM156,$AI$11:$AI$259),""),0)),"")</f>
        <v/>
      </c>
      <c r="AN157" s="40"/>
      <c r="AQ157" s="35">
        <f t="shared" si="22"/>
        <v>0</v>
      </c>
      <c r="AT157" s="885" t="str">
        <f>IF(AND(OR(Y157="Yes",Y157="Pending"),P157='G-1 All Habitats'!$X$3),Q157-U157-V157,"")</f>
        <v/>
      </c>
      <c r="AV157" s="542" t="str">
        <f>IFERROR(INDEX('G-1 All Habitats'!$B$3:$B$135,MATCH(F157,'G-1 All Habitats'!$A$3:$A$135,0)),"")</f>
        <v/>
      </c>
      <c r="AW157" s="35" t="str">
        <f>IF(AV157="","",VLOOKUP(AV157,'G-1 All Habitats'!$B$1:$T$135,19,FALSE))</f>
        <v/>
      </c>
    </row>
    <row r="158" spans="1:49" ht="14.5" hidden="1" thickBot="1">
      <c r="A158" s="35" t="str">
        <f>IFERROR(INDEX('G-1 All Habitats'!$AG$3:$AG$17,MATCH(E158,'G-1 All Habitats'!$AF$3:$AF$17,0)),"")</f>
        <v/>
      </c>
      <c r="B158" s="35" t="str">
        <f>IFERROR(INDEX('G-8 Condition Look up'!$I$4:$I$135,MATCH(AV158,'G-8 Condition Look up'!$A$4:$A$135,0)),"")</f>
        <v/>
      </c>
      <c r="D158" s="225">
        <v>148</v>
      </c>
      <c r="E158" s="211"/>
      <c r="F158" s="57"/>
      <c r="G158" s="263"/>
      <c r="H158" s="51"/>
      <c r="I158" s="275" t="str">
        <f>IF(AV158="","",IF(AND(AW158="Yes",G158="No"),"Irreplaceable habitat ▲",IF(AND(AW158="No",G158="Yes"),"Cannot be Irreplaceable ▲",VLOOKUP(AV158,'G-1 All Habitats'!$B$2:$M$135,10,FALSE))))</f>
        <v/>
      </c>
      <c r="J158" s="276" t="str">
        <f>IFERROR(VLOOKUP(I158,'G-1 All Habitats'!$V$3:$W$7,2,FALSE),"")</f>
        <v/>
      </c>
      <c r="K158" s="52"/>
      <c r="L158" s="276" t="str">
        <f>IFERROR(INDEX('G-8 Condition Look up'!$A$3:$H$135,MATCH(AV158,'G-8 Condition Look up'!$A$3:$A$135,0),MATCH(K158,'G-8 Condition Look up'!$A$3:$H$3,0)),"")</f>
        <v/>
      </c>
      <c r="M158" s="52"/>
      <c r="N158" s="295" t="str">
        <f>IF(M158="","",IF(VLOOKUP(M158,'G-3 Multipliers'!$L$3:$N$6,2,FALSE)=0,"Spatial Data Missing",VLOOKUP(M158,'G-3 Multipliers'!$L$3:$N$6,2,FALSE)))</f>
        <v/>
      </c>
      <c r="O158" s="281" t="str">
        <f>IF(M158="","",IF(VLOOKUP(M158,'G-3 Multipliers'!$L$3:$N$6,3,FALSE)=0,"Spatial Data Missing ▲",VLOOKUP(M158,'G-3 Multipliers'!$L$3:$N$6,3,FALSE)))</f>
        <v/>
      </c>
      <c r="P158" s="282" t="str">
        <f>(IF(G158="Yes","Bespoke compensation likely to be required",(IFERROR(VLOOKUP(AV158,'G-1 All Habitats'!$B$2:$M$135,12,FALSE),""))))</f>
        <v/>
      </c>
      <c r="Q158" s="289" t="str">
        <f>IFERROR(IF(AND(F158&lt;&gt;"",G158=""),"Confirm irreplaceable habitat status ▲",(IF(AND(E158="Individual trees",T158&gt;0,G158="Yes"),"Error - you cannot enhance irreplaceable individual trees ▲",(IF(AND(U158="Irreplaceable habitat - no units generated ⚠",(S158+T158)&lt;H158,OR(Y158="No",Y158="")),"Any Loss Unacceptable ⚠",(IF(U158="Irreplaceable habitat - no units generated ⚠",T158*J158*L158*O158,IF(AND(P158='G-1 All Habitats'!$X$9,AC158&gt;0,S158&lt;=0,T158&lt;=0,OR(Y158="No",Y158="")),"Any Loss Unacceptable ⚠",IF(AND(P158='G-1 All Habitats'!$X$9,AC158&gt;0,S158&lt;=0,T158&lt;=0,Y158="Yes"),0,(IF(AND(P158='G-1 All Habitats'!$X$9,(S158+T158)&lt;H158,OR(Y158="No",Y158="")),"Any Loss Unacceptable ⚠",(IF(P158="","",IF(AND(P158='G-1 All Habitats'!$X$9,T158&gt;0),U158+V158,IF(AND(P158='G-1 All Habitats'!$X$9,S158&gt;0),U158+V158,H158*J158*L158*O158))))))))))))))),"Check Data ▲")</f>
        <v/>
      </c>
      <c r="R158" s="38"/>
      <c r="S158" s="52"/>
      <c r="T158" s="53"/>
      <c r="U158" s="287" t="str">
        <f t="shared" si="18"/>
        <v/>
      </c>
      <c r="V158" s="287" t="str">
        <f t="shared" si="19"/>
        <v/>
      </c>
      <c r="W158" s="287" t="str">
        <f t="shared" si="20"/>
        <v/>
      </c>
      <c r="X158" s="291" t="str">
        <f>IFERROR(IF(H158="","",IF(H158-S158-T158=0&lt;0,"Error in Areas ▲",IF(S158+T158&gt;H158,"Error in Areas ▲",IF(AND(P158='G-1 All Habitats'!$X$9,Y158="Yes"),"Alternative Compensation ✓",IF(AND(P158='G-1 All Habitats'!$X$3,Y158="Yes"),"Alternative Compensation ✓",IF(AND(Y158="Pending",P158='G-1 All Habitats'!$X$3),"Bespoke compensation must be agreed ▲",IF(AND(Y158="Pending",P158='G-1 All Habitats'!$X$9),"Bespoke compensation must be agreed  ▲",IF(W158=0,0,IF(P158='G-1 All Habitats'!$X$9,"Any Loss Unacceptable ▲",Q158-U158-V158))))))))),"Check Data ▲")</f>
        <v/>
      </c>
      <c r="Y158" s="53"/>
      <c r="Z158" s="105"/>
      <c r="AA158" s="233"/>
      <c r="AB158" s="104"/>
      <c r="AC158" s="512" t="str">
        <f>IF(OR(P158="",Y158="Yes"),"",IF(P158='G-1 All Habitats'!$X$9,H158-S158-T158,"None"))</f>
        <v/>
      </c>
      <c r="AD158" s="513" t="str">
        <f>IF(P158="","",IF(P158='G-1 All Habitats'!$X$9,AC158*J158*L158*O158,"None"))</f>
        <v/>
      </c>
      <c r="AE158" s="35" t="str">
        <f t="shared" si="16"/>
        <v/>
      </c>
      <c r="AF158" s="40" t="str">
        <f t="shared" si="21"/>
        <v/>
      </c>
      <c r="AG158" s="40" t="str">
        <f t="shared" si="17"/>
        <v/>
      </c>
      <c r="AH158" s="40" t="str">
        <f>IF(I158="","",IF(#REF!&gt;0,TRUE,FALSE))</f>
        <v/>
      </c>
      <c r="AI158" s="40">
        <v>148</v>
      </c>
      <c r="AJ158" s="40"/>
      <c r="AK158" s="40" t="str">
        <f t="array" ref="AK158">IFERROR(INDEX($AI$11:$AI$259,MATCH(0,IF(TRUE=$AF$11:$AF$259,COUNTIF($AK$10:$AK157,$AI$11:$AI$259),""),0)),"")</f>
        <v/>
      </c>
      <c r="AL158" s="40" t="str">
        <f t="array" ref="AL158">IFERROR(INDEX($AI$11:$AI$259,MATCH(0,IF(TRUE=$AG$11:$AG$259,COUNTIF($AL$10:$AL157,$AI$11:$AI$259),""),0)),"")</f>
        <v/>
      </c>
      <c r="AM158" s="40" t="str">
        <f t="array" ref="AM158">IFERROR(INDEX($AI$11:$AI$259,MATCH(0,IF(TRUE=$AH$11:$AH$259,COUNTIF($AM$10:$AM157,$AI$11:$AI$259),""),0)),"")</f>
        <v/>
      </c>
      <c r="AN158" s="40"/>
      <c r="AQ158" s="35">
        <f t="shared" si="22"/>
        <v>0</v>
      </c>
      <c r="AT158" s="885" t="str">
        <f>IF(AND(OR(Y158="Yes",Y158="Pending"),P158='G-1 All Habitats'!$X$3),Q158-U158-V158,"")</f>
        <v/>
      </c>
      <c r="AV158" s="542" t="str">
        <f>IFERROR(INDEX('G-1 All Habitats'!$B$3:$B$135,MATCH(F158,'G-1 All Habitats'!$A$3:$A$135,0)),"")</f>
        <v/>
      </c>
      <c r="AW158" s="35" t="str">
        <f>IF(AV158="","",VLOOKUP(AV158,'G-1 All Habitats'!$B$1:$T$135,19,FALSE))</f>
        <v/>
      </c>
    </row>
    <row r="159" spans="1:49" ht="14.5" hidden="1" thickBot="1">
      <c r="A159" s="35" t="str">
        <f>IFERROR(INDEX('G-1 All Habitats'!$AG$3:$AG$17,MATCH(E159,'G-1 All Habitats'!$AF$3:$AF$17,0)),"")</f>
        <v/>
      </c>
      <c r="B159" s="35" t="str">
        <f>IFERROR(INDEX('G-8 Condition Look up'!$I$4:$I$135,MATCH(AV159,'G-8 Condition Look up'!$A$4:$A$135,0)),"")</f>
        <v/>
      </c>
      <c r="D159" s="225">
        <v>149</v>
      </c>
      <c r="E159" s="211"/>
      <c r="F159" s="57"/>
      <c r="G159" s="263"/>
      <c r="H159" s="51"/>
      <c r="I159" s="275" t="str">
        <f>IF(AV159="","",IF(AND(AW159="Yes",G159="No"),"Irreplaceable habitat ▲",IF(AND(AW159="No",G159="Yes"),"Cannot be Irreplaceable ▲",VLOOKUP(AV159,'G-1 All Habitats'!$B$2:$M$135,10,FALSE))))</f>
        <v/>
      </c>
      <c r="J159" s="276" t="str">
        <f>IFERROR(VLOOKUP(I159,'G-1 All Habitats'!$V$3:$W$7,2,FALSE),"")</f>
        <v/>
      </c>
      <c r="K159" s="52"/>
      <c r="L159" s="276" t="str">
        <f>IFERROR(INDEX('G-8 Condition Look up'!$A$3:$H$135,MATCH(AV159,'G-8 Condition Look up'!$A$3:$A$135,0),MATCH(K159,'G-8 Condition Look up'!$A$3:$H$3,0)),"")</f>
        <v/>
      </c>
      <c r="M159" s="52"/>
      <c r="N159" s="295" t="str">
        <f>IF(M159="","",IF(VLOOKUP(M159,'G-3 Multipliers'!$L$3:$N$6,2,FALSE)=0,"Spatial Data Missing",VLOOKUP(M159,'G-3 Multipliers'!$L$3:$N$6,2,FALSE)))</f>
        <v/>
      </c>
      <c r="O159" s="281" t="str">
        <f>IF(M159="","",IF(VLOOKUP(M159,'G-3 Multipliers'!$L$3:$N$6,3,FALSE)=0,"Spatial Data Missing ▲",VLOOKUP(M159,'G-3 Multipliers'!$L$3:$N$6,3,FALSE)))</f>
        <v/>
      </c>
      <c r="P159" s="282" t="str">
        <f>(IF(G159="Yes","Bespoke compensation likely to be required",(IFERROR(VLOOKUP(AV159,'G-1 All Habitats'!$B$2:$M$135,12,FALSE),""))))</f>
        <v/>
      </c>
      <c r="Q159" s="289" t="str">
        <f>IFERROR(IF(AND(F159&lt;&gt;"",G159=""),"Confirm irreplaceable habitat status ▲",(IF(AND(E159="Individual trees",T159&gt;0,G159="Yes"),"Error - you cannot enhance irreplaceable individual trees ▲",(IF(AND(U159="Irreplaceable habitat - no units generated ⚠",(S159+T159)&lt;H159,OR(Y159="No",Y159="")),"Any Loss Unacceptable ⚠",(IF(U159="Irreplaceable habitat - no units generated ⚠",T159*J159*L159*O159,IF(AND(P159='G-1 All Habitats'!$X$9,AC159&gt;0,S159&lt;=0,T159&lt;=0,OR(Y159="No",Y159="")),"Any Loss Unacceptable ⚠",IF(AND(P159='G-1 All Habitats'!$X$9,AC159&gt;0,S159&lt;=0,T159&lt;=0,Y159="Yes"),0,(IF(AND(P159='G-1 All Habitats'!$X$9,(S159+T159)&lt;H159,OR(Y159="No",Y159="")),"Any Loss Unacceptable ⚠",(IF(P159="","",IF(AND(P159='G-1 All Habitats'!$X$9,T159&gt;0),U159+V159,IF(AND(P159='G-1 All Habitats'!$X$9,S159&gt;0),U159+V159,H159*J159*L159*O159))))))))))))))),"Check Data ▲")</f>
        <v/>
      </c>
      <c r="R159" s="38"/>
      <c r="S159" s="52"/>
      <c r="T159" s="53"/>
      <c r="U159" s="287" t="str">
        <f t="shared" si="18"/>
        <v/>
      </c>
      <c r="V159" s="287" t="str">
        <f t="shared" si="19"/>
        <v/>
      </c>
      <c r="W159" s="287" t="str">
        <f t="shared" si="20"/>
        <v/>
      </c>
      <c r="X159" s="291" t="str">
        <f>IFERROR(IF(H159="","",IF(H159-S159-T159=0&lt;0,"Error in Areas ▲",IF(S159+T159&gt;H159,"Error in Areas ▲",IF(AND(P159='G-1 All Habitats'!$X$9,Y159="Yes"),"Alternative Compensation ✓",IF(AND(P159='G-1 All Habitats'!$X$3,Y159="Yes"),"Alternative Compensation ✓",IF(AND(Y159="Pending",P159='G-1 All Habitats'!$X$3),"Bespoke compensation must be agreed ▲",IF(AND(Y159="Pending",P159='G-1 All Habitats'!$X$9),"Bespoke compensation must be agreed  ▲",IF(W159=0,0,IF(P159='G-1 All Habitats'!$X$9,"Any Loss Unacceptable ▲",Q159-U159-V159))))))))),"Check Data ▲")</f>
        <v/>
      </c>
      <c r="Y159" s="53"/>
      <c r="Z159" s="105"/>
      <c r="AA159" s="233"/>
      <c r="AB159" s="104"/>
      <c r="AC159" s="512" t="str">
        <f>IF(OR(P159="",Y159="Yes"),"",IF(P159='G-1 All Habitats'!$X$9,H159-S159-T159,"None"))</f>
        <v/>
      </c>
      <c r="AD159" s="513" t="str">
        <f>IF(P159="","",IF(P159='G-1 All Habitats'!$X$9,AC159*J159*L159*O159,"None"))</f>
        <v/>
      </c>
      <c r="AE159" s="35" t="str">
        <f t="shared" si="16"/>
        <v/>
      </c>
      <c r="AF159" s="40" t="str">
        <f t="shared" si="21"/>
        <v/>
      </c>
      <c r="AG159" s="40" t="str">
        <f t="shared" si="17"/>
        <v/>
      </c>
      <c r="AH159" s="40" t="str">
        <f>IF(I159="","",IF(#REF!&gt;0,TRUE,FALSE))</f>
        <v/>
      </c>
      <c r="AI159" s="40">
        <v>149</v>
      </c>
      <c r="AJ159" s="40"/>
      <c r="AK159" s="40" t="str">
        <f t="array" ref="AK159">IFERROR(INDEX($AI$11:$AI$259,MATCH(0,IF(TRUE=$AF$11:$AF$259,COUNTIF($AK$10:$AK158,$AI$11:$AI$259),""),0)),"")</f>
        <v/>
      </c>
      <c r="AL159" s="40" t="str">
        <f t="array" ref="AL159">IFERROR(INDEX($AI$11:$AI$259,MATCH(0,IF(TRUE=$AG$11:$AG$259,COUNTIF($AL$10:$AL158,$AI$11:$AI$259),""),0)),"")</f>
        <v/>
      </c>
      <c r="AM159" s="40" t="str">
        <f t="array" ref="AM159">IFERROR(INDEX($AI$11:$AI$259,MATCH(0,IF(TRUE=$AH$11:$AH$259,COUNTIF($AM$10:$AM158,$AI$11:$AI$259),""),0)),"")</f>
        <v/>
      </c>
      <c r="AN159" s="40"/>
      <c r="AQ159" s="35">
        <f t="shared" si="22"/>
        <v>0</v>
      </c>
      <c r="AT159" s="885" t="str">
        <f>IF(AND(OR(Y159="Yes",Y159="Pending"),P159='G-1 All Habitats'!$X$3),Q159-U159-V159,"")</f>
        <v/>
      </c>
      <c r="AV159" s="542" t="str">
        <f>IFERROR(INDEX('G-1 All Habitats'!$B$3:$B$135,MATCH(F159,'G-1 All Habitats'!$A$3:$A$135,0)),"")</f>
        <v/>
      </c>
      <c r="AW159" s="35" t="str">
        <f>IF(AV159="","",VLOOKUP(AV159,'G-1 All Habitats'!$B$1:$T$135,19,FALSE))</f>
        <v/>
      </c>
    </row>
    <row r="160" spans="1:49" ht="14.5" hidden="1" thickBot="1">
      <c r="A160" s="35" t="str">
        <f>IFERROR(INDEX('G-1 All Habitats'!$AG$3:$AG$17,MATCH(E160,'G-1 All Habitats'!$AF$3:$AF$17,0)),"")</f>
        <v/>
      </c>
      <c r="B160" s="35" t="str">
        <f>IFERROR(INDEX('G-8 Condition Look up'!$I$4:$I$135,MATCH(AV160,'G-8 Condition Look up'!$A$4:$A$135,0)),"")</f>
        <v/>
      </c>
      <c r="D160" s="225">
        <v>150</v>
      </c>
      <c r="E160" s="211"/>
      <c r="F160" s="57"/>
      <c r="G160" s="263"/>
      <c r="H160" s="51"/>
      <c r="I160" s="275" t="str">
        <f>IF(AV160="","",IF(AND(AW160="Yes",G160="No"),"Irreplaceable habitat ▲",IF(AND(AW160="No",G160="Yes"),"Cannot be Irreplaceable ▲",VLOOKUP(AV160,'G-1 All Habitats'!$B$2:$M$135,10,FALSE))))</f>
        <v/>
      </c>
      <c r="J160" s="276" t="str">
        <f>IFERROR(VLOOKUP(I160,'G-1 All Habitats'!$V$3:$W$7,2,FALSE),"")</f>
        <v/>
      </c>
      <c r="K160" s="52"/>
      <c r="L160" s="276" t="str">
        <f>IFERROR(INDEX('G-8 Condition Look up'!$A$3:$H$135,MATCH(AV160,'G-8 Condition Look up'!$A$3:$A$135,0),MATCH(K160,'G-8 Condition Look up'!$A$3:$H$3,0)),"")</f>
        <v/>
      </c>
      <c r="M160" s="52"/>
      <c r="N160" s="295" t="str">
        <f>IF(M160="","",IF(VLOOKUP(M160,'G-3 Multipliers'!$L$3:$N$6,2,FALSE)=0,"Spatial Data Missing",VLOOKUP(M160,'G-3 Multipliers'!$L$3:$N$6,2,FALSE)))</f>
        <v/>
      </c>
      <c r="O160" s="281" t="str">
        <f>IF(M160="","",IF(VLOOKUP(M160,'G-3 Multipliers'!$L$3:$N$6,3,FALSE)=0,"Spatial Data Missing ▲",VLOOKUP(M160,'G-3 Multipliers'!$L$3:$N$6,3,FALSE)))</f>
        <v/>
      </c>
      <c r="P160" s="282" t="str">
        <f>(IF(G160="Yes","Bespoke compensation likely to be required",(IFERROR(VLOOKUP(AV160,'G-1 All Habitats'!$B$2:$M$135,12,FALSE),""))))</f>
        <v/>
      </c>
      <c r="Q160" s="289" t="str">
        <f>IFERROR(IF(AND(F160&lt;&gt;"",G160=""),"Confirm irreplaceable habitat status ▲",(IF(AND(E160="Individual trees",T160&gt;0,G160="Yes"),"Error - you cannot enhance irreplaceable individual trees ▲",(IF(AND(U160="Irreplaceable habitat - no units generated ⚠",(S160+T160)&lt;H160,OR(Y160="No",Y160="")),"Any Loss Unacceptable ⚠",(IF(U160="Irreplaceable habitat - no units generated ⚠",T160*J160*L160*O160,IF(AND(P160='G-1 All Habitats'!$X$9,AC160&gt;0,S160&lt;=0,T160&lt;=0,OR(Y160="No",Y160="")),"Any Loss Unacceptable ⚠",IF(AND(P160='G-1 All Habitats'!$X$9,AC160&gt;0,S160&lt;=0,T160&lt;=0,Y160="Yes"),0,(IF(AND(P160='G-1 All Habitats'!$X$9,(S160+T160)&lt;H160,OR(Y160="No",Y160="")),"Any Loss Unacceptable ⚠",(IF(P160="","",IF(AND(P160='G-1 All Habitats'!$X$9,T160&gt;0),U160+V160,IF(AND(P160='G-1 All Habitats'!$X$9,S160&gt;0),U160+V160,H160*J160*L160*O160))))))))))))))),"Check Data ▲")</f>
        <v/>
      </c>
      <c r="R160" s="38"/>
      <c r="S160" s="52"/>
      <c r="T160" s="53"/>
      <c r="U160" s="287" t="str">
        <f t="shared" si="18"/>
        <v/>
      </c>
      <c r="V160" s="287" t="str">
        <f t="shared" si="19"/>
        <v/>
      </c>
      <c r="W160" s="287" t="str">
        <f t="shared" si="20"/>
        <v/>
      </c>
      <c r="X160" s="291" t="str">
        <f>IFERROR(IF(H160="","",IF(H160-S160-T160=0&lt;0,"Error in Areas ▲",IF(S160+T160&gt;H160,"Error in Areas ▲",IF(AND(P160='G-1 All Habitats'!$X$9,Y160="Yes"),"Alternative Compensation ✓",IF(AND(P160='G-1 All Habitats'!$X$3,Y160="Yes"),"Alternative Compensation ✓",IF(AND(Y160="Pending",P160='G-1 All Habitats'!$X$3),"Bespoke compensation must be agreed ▲",IF(AND(Y160="Pending",P160='G-1 All Habitats'!$X$9),"Bespoke compensation must be agreed  ▲",IF(W160=0,0,IF(P160='G-1 All Habitats'!$X$9,"Any Loss Unacceptable ▲",Q160-U160-V160))))))))),"Check Data ▲")</f>
        <v/>
      </c>
      <c r="Y160" s="53"/>
      <c r="Z160" s="105"/>
      <c r="AA160" s="233"/>
      <c r="AB160" s="104"/>
      <c r="AC160" s="512" t="str">
        <f>IF(OR(P160="",Y160="Yes"),"",IF(P160='G-1 All Habitats'!$X$9,H160-S160-T160,"None"))</f>
        <v/>
      </c>
      <c r="AD160" s="513" t="str">
        <f>IF(P160="","",IF(P160='G-1 All Habitats'!$X$9,AC160*J160*L160*O160,"None"))</f>
        <v/>
      </c>
      <c r="AE160" s="35" t="str">
        <f t="shared" si="16"/>
        <v/>
      </c>
      <c r="AF160" s="40" t="str">
        <f t="shared" si="21"/>
        <v/>
      </c>
      <c r="AG160" s="40" t="str">
        <f t="shared" si="17"/>
        <v/>
      </c>
      <c r="AH160" s="40" t="str">
        <f>IF(I160="","",IF(#REF!&gt;0,TRUE,FALSE))</f>
        <v/>
      </c>
      <c r="AI160" s="40">
        <v>150</v>
      </c>
      <c r="AJ160" s="40"/>
      <c r="AK160" s="40" t="str">
        <f t="array" ref="AK160">IFERROR(INDEX($AI$11:$AI$259,MATCH(0,IF(TRUE=$AF$11:$AF$259,COUNTIF($AK$10:$AK159,$AI$11:$AI$259),""),0)),"")</f>
        <v/>
      </c>
      <c r="AL160" s="40" t="str">
        <f t="array" ref="AL160">IFERROR(INDEX($AI$11:$AI$259,MATCH(0,IF(TRUE=$AG$11:$AG$259,COUNTIF($AL$10:$AL159,$AI$11:$AI$259),""),0)),"")</f>
        <v/>
      </c>
      <c r="AM160" s="40" t="str">
        <f t="array" ref="AM160">IFERROR(INDEX($AI$11:$AI$259,MATCH(0,IF(TRUE=$AH$11:$AH$259,COUNTIF($AM$10:$AM159,$AI$11:$AI$259),""),0)),"")</f>
        <v/>
      </c>
      <c r="AN160" s="40"/>
      <c r="AQ160" s="35">
        <f t="shared" si="22"/>
        <v>0</v>
      </c>
      <c r="AT160" s="885" t="str">
        <f>IF(AND(OR(Y160="Yes",Y160="Pending"),P160='G-1 All Habitats'!$X$3),Q160-U160-V160,"")</f>
        <v/>
      </c>
      <c r="AV160" s="542" t="str">
        <f>IFERROR(INDEX('G-1 All Habitats'!$B$3:$B$135,MATCH(F160,'G-1 All Habitats'!$A$3:$A$135,0)),"")</f>
        <v/>
      </c>
      <c r="AW160" s="35" t="str">
        <f>IF(AV160="","",VLOOKUP(AV160,'G-1 All Habitats'!$B$1:$T$135,19,FALSE))</f>
        <v/>
      </c>
    </row>
    <row r="161" spans="1:49" ht="14.5" hidden="1" thickBot="1">
      <c r="A161" s="35" t="str">
        <f>IFERROR(INDEX('G-1 All Habitats'!$AG$3:$AG$17,MATCH(E161,'G-1 All Habitats'!$AF$3:$AF$17,0)),"")</f>
        <v/>
      </c>
      <c r="B161" s="35" t="str">
        <f>IFERROR(INDEX('G-8 Condition Look up'!$I$4:$I$135,MATCH(AV161,'G-8 Condition Look up'!$A$4:$A$135,0)),"")</f>
        <v/>
      </c>
      <c r="D161" s="225">
        <v>151</v>
      </c>
      <c r="E161" s="211"/>
      <c r="F161" s="57"/>
      <c r="G161" s="263"/>
      <c r="H161" s="51"/>
      <c r="I161" s="275" t="str">
        <f>IF(AV161="","",IF(AND(AW161="Yes",G161="No"),"Irreplaceable habitat ▲",IF(AND(AW161="No",G161="Yes"),"Cannot be Irreplaceable ▲",VLOOKUP(AV161,'G-1 All Habitats'!$B$2:$M$135,10,FALSE))))</f>
        <v/>
      </c>
      <c r="J161" s="276" t="str">
        <f>IFERROR(VLOOKUP(I161,'G-1 All Habitats'!$V$3:$W$7,2,FALSE),"")</f>
        <v/>
      </c>
      <c r="K161" s="52"/>
      <c r="L161" s="276" t="str">
        <f>IFERROR(INDEX('G-8 Condition Look up'!$A$3:$H$135,MATCH(AV161,'G-8 Condition Look up'!$A$3:$A$135,0),MATCH(K161,'G-8 Condition Look up'!$A$3:$H$3,0)),"")</f>
        <v/>
      </c>
      <c r="M161" s="52"/>
      <c r="N161" s="295" t="str">
        <f>IF(M161="","",IF(VLOOKUP(M161,'G-3 Multipliers'!$L$3:$N$6,2,FALSE)=0,"Spatial Data Missing",VLOOKUP(M161,'G-3 Multipliers'!$L$3:$N$6,2,FALSE)))</f>
        <v/>
      </c>
      <c r="O161" s="281" t="str">
        <f>IF(M161="","",IF(VLOOKUP(M161,'G-3 Multipliers'!$L$3:$N$6,3,FALSE)=0,"Spatial Data Missing ▲",VLOOKUP(M161,'G-3 Multipliers'!$L$3:$N$6,3,FALSE)))</f>
        <v/>
      </c>
      <c r="P161" s="282" t="str">
        <f>(IF(G161="Yes","Bespoke compensation likely to be required",(IFERROR(VLOOKUP(AV161,'G-1 All Habitats'!$B$2:$M$135,12,FALSE),""))))</f>
        <v/>
      </c>
      <c r="Q161" s="289" t="str">
        <f>IFERROR(IF(AND(F161&lt;&gt;"",G161=""),"Confirm irreplaceable habitat status ▲",(IF(AND(E161="Individual trees",T161&gt;0,G161="Yes"),"Error - you cannot enhance irreplaceable individual trees ▲",(IF(AND(U161="Irreplaceable habitat - no units generated ⚠",(S161+T161)&lt;H161,OR(Y161="No",Y161="")),"Any Loss Unacceptable ⚠",(IF(U161="Irreplaceable habitat - no units generated ⚠",T161*J161*L161*O161,IF(AND(P161='G-1 All Habitats'!$X$9,AC161&gt;0,S161&lt;=0,T161&lt;=0,OR(Y161="No",Y161="")),"Any Loss Unacceptable ⚠",IF(AND(P161='G-1 All Habitats'!$X$9,AC161&gt;0,S161&lt;=0,T161&lt;=0,Y161="Yes"),0,(IF(AND(P161='G-1 All Habitats'!$X$9,(S161+T161)&lt;H161,OR(Y161="No",Y161="")),"Any Loss Unacceptable ⚠",(IF(P161="","",IF(AND(P161='G-1 All Habitats'!$X$9,T161&gt;0),U161+V161,IF(AND(P161='G-1 All Habitats'!$X$9,S161&gt;0),U161+V161,H161*J161*L161*O161))))))))))))))),"Check Data ▲")</f>
        <v/>
      </c>
      <c r="R161" s="38"/>
      <c r="S161" s="52"/>
      <c r="T161" s="53"/>
      <c r="U161" s="287" t="str">
        <f t="shared" si="18"/>
        <v/>
      </c>
      <c r="V161" s="287" t="str">
        <f t="shared" si="19"/>
        <v/>
      </c>
      <c r="W161" s="287" t="str">
        <f t="shared" si="20"/>
        <v/>
      </c>
      <c r="X161" s="291" t="str">
        <f>IFERROR(IF(H161="","",IF(H161-S161-T161=0&lt;0,"Error in Areas ▲",IF(S161+T161&gt;H161,"Error in Areas ▲",IF(AND(P161='G-1 All Habitats'!$X$9,Y161="Yes"),"Alternative Compensation ✓",IF(AND(P161='G-1 All Habitats'!$X$3,Y161="Yes"),"Alternative Compensation ✓",IF(AND(Y161="Pending",P161='G-1 All Habitats'!$X$3),"Bespoke compensation must be agreed ▲",IF(AND(Y161="Pending",P161='G-1 All Habitats'!$X$9),"Bespoke compensation must be agreed  ▲",IF(W161=0,0,IF(P161='G-1 All Habitats'!$X$9,"Any Loss Unacceptable ▲",Q161-U161-V161))))))))),"Check Data ▲")</f>
        <v/>
      </c>
      <c r="Y161" s="53"/>
      <c r="Z161" s="105"/>
      <c r="AA161" s="233"/>
      <c r="AB161" s="104"/>
      <c r="AC161" s="512" t="str">
        <f>IF(OR(P161="",Y161="Yes"),"",IF(P161='G-1 All Habitats'!$X$9,H161-S161-T161,"None"))</f>
        <v/>
      </c>
      <c r="AD161" s="513" t="str">
        <f>IF(P161="","",IF(P161='G-1 All Habitats'!$X$9,AC161*J161*L161*O161,"None"))</f>
        <v/>
      </c>
      <c r="AE161" s="35" t="str">
        <f t="shared" si="16"/>
        <v/>
      </c>
      <c r="AF161" s="40" t="str">
        <f t="shared" si="21"/>
        <v/>
      </c>
      <c r="AG161" s="40" t="str">
        <f t="shared" si="17"/>
        <v/>
      </c>
      <c r="AH161" s="40" t="str">
        <f>IF(I161="","",IF(#REF!&gt;0,TRUE,FALSE))</f>
        <v/>
      </c>
      <c r="AI161" s="40">
        <v>151</v>
      </c>
      <c r="AJ161" s="40"/>
      <c r="AK161" s="40" t="str">
        <f t="array" ref="AK161">IFERROR(INDEX($AI$11:$AI$259,MATCH(0,IF(TRUE=$AF$11:$AF$259,COUNTIF($AK$10:$AK160,$AI$11:$AI$259),""),0)),"")</f>
        <v/>
      </c>
      <c r="AL161" s="40" t="str">
        <f t="array" ref="AL161">IFERROR(INDEX($AI$11:$AI$259,MATCH(0,IF(TRUE=$AG$11:$AG$259,COUNTIF($AL$10:$AL160,$AI$11:$AI$259),""),0)),"")</f>
        <v/>
      </c>
      <c r="AM161" s="40" t="str">
        <f t="array" ref="AM161">IFERROR(INDEX($AI$11:$AI$259,MATCH(0,IF(TRUE=$AH$11:$AH$259,COUNTIF($AM$10:$AM160,$AI$11:$AI$259),""),0)),"")</f>
        <v/>
      </c>
      <c r="AN161" s="40"/>
      <c r="AQ161" s="35">
        <f t="shared" si="22"/>
        <v>0</v>
      </c>
      <c r="AT161" s="885" t="str">
        <f>IF(AND(OR(Y161="Yes",Y161="Pending"),P161='G-1 All Habitats'!$X$3),Q161-U161-V161,"")</f>
        <v/>
      </c>
      <c r="AV161" s="542" t="str">
        <f>IFERROR(INDEX('G-1 All Habitats'!$B$3:$B$135,MATCH(F161,'G-1 All Habitats'!$A$3:$A$135,0)),"")</f>
        <v/>
      </c>
      <c r="AW161" s="35" t="str">
        <f>IF(AV161="","",VLOOKUP(AV161,'G-1 All Habitats'!$B$1:$T$135,19,FALSE))</f>
        <v/>
      </c>
    </row>
    <row r="162" spans="1:49" ht="14.5" hidden="1" thickBot="1">
      <c r="A162" s="35" t="str">
        <f>IFERROR(INDEX('G-1 All Habitats'!$AG$3:$AG$17,MATCH(E162,'G-1 All Habitats'!$AF$3:$AF$17,0)),"")</f>
        <v/>
      </c>
      <c r="B162" s="35" t="str">
        <f>IFERROR(INDEX('G-8 Condition Look up'!$I$4:$I$135,MATCH(AV162,'G-8 Condition Look up'!$A$4:$A$135,0)),"")</f>
        <v/>
      </c>
      <c r="D162" s="225">
        <v>152</v>
      </c>
      <c r="E162" s="211"/>
      <c r="F162" s="57"/>
      <c r="G162" s="263"/>
      <c r="H162" s="51"/>
      <c r="I162" s="275" t="str">
        <f>IF(AV162="","",IF(AND(AW162="Yes",G162="No"),"Irreplaceable habitat ▲",IF(AND(AW162="No",G162="Yes"),"Cannot be Irreplaceable ▲",VLOOKUP(AV162,'G-1 All Habitats'!$B$2:$M$135,10,FALSE))))</f>
        <v/>
      </c>
      <c r="J162" s="276" t="str">
        <f>IFERROR(VLOOKUP(I162,'G-1 All Habitats'!$V$3:$W$7,2,FALSE),"")</f>
        <v/>
      </c>
      <c r="K162" s="52"/>
      <c r="L162" s="276" t="str">
        <f>IFERROR(INDEX('G-8 Condition Look up'!$A$3:$H$135,MATCH(AV162,'G-8 Condition Look up'!$A$3:$A$135,0),MATCH(K162,'G-8 Condition Look up'!$A$3:$H$3,0)),"")</f>
        <v/>
      </c>
      <c r="M162" s="52"/>
      <c r="N162" s="295" t="str">
        <f>IF(M162="","",IF(VLOOKUP(M162,'G-3 Multipliers'!$L$3:$N$6,2,FALSE)=0,"Spatial Data Missing",VLOOKUP(M162,'G-3 Multipliers'!$L$3:$N$6,2,FALSE)))</f>
        <v/>
      </c>
      <c r="O162" s="281" t="str">
        <f>IF(M162="","",IF(VLOOKUP(M162,'G-3 Multipliers'!$L$3:$N$6,3,FALSE)=0,"Spatial Data Missing ▲",VLOOKUP(M162,'G-3 Multipliers'!$L$3:$N$6,3,FALSE)))</f>
        <v/>
      </c>
      <c r="P162" s="282" t="str">
        <f>(IF(G162="Yes","Bespoke compensation likely to be required",(IFERROR(VLOOKUP(AV162,'G-1 All Habitats'!$B$2:$M$135,12,FALSE),""))))</f>
        <v/>
      </c>
      <c r="Q162" s="289" t="str">
        <f>IFERROR(IF(AND(F162&lt;&gt;"",G162=""),"Confirm irreplaceable habitat status ▲",(IF(AND(E162="Individual trees",T162&gt;0,G162="Yes"),"Error - you cannot enhance irreplaceable individual trees ▲",(IF(AND(U162="Irreplaceable habitat - no units generated ⚠",(S162+T162)&lt;H162,OR(Y162="No",Y162="")),"Any Loss Unacceptable ⚠",(IF(U162="Irreplaceable habitat - no units generated ⚠",T162*J162*L162*O162,IF(AND(P162='G-1 All Habitats'!$X$9,AC162&gt;0,S162&lt;=0,T162&lt;=0,OR(Y162="No",Y162="")),"Any Loss Unacceptable ⚠",IF(AND(P162='G-1 All Habitats'!$X$9,AC162&gt;0,S162&lt;=0,T162&lt;=0,Y162="Yes"),0,(IF(AND(P162='G-1 All Habitats'!$X$9,(S162+T162)&lt;H162,OR(Y162="No",Y162="")),"Any Loss Unacceptable ⚠",(IF(P162="","",IF(AND(P162='G-1 All Habitats'!$X$9,T162&gt;0),U162+V162,IF(AND(P162='G-1 All Habitats'!$X$9,S162&gt;0),U162+V162,H162*J162*L162*O162))))))))))))))),"Check Data ▲")</f>
        <v/>
      </c>
      <c r="R162" s="38"/>
      <c r="S162" s="52"/>
      <c r="T162" s="53"/>
      <c r="U162" s="287" t="str">
        <f t="shared" si="18"/>
        <v/>
      </c>
      <c r="V162" s="287" t="str">
        <f t="shared" si="19"/>
        <v/>
      </c>
      <c r="W162" s="287" t="str">
        <f t="shared" si="20"/>
        <v/>
      </c>
      <c r="X162" s="291" t="str">
        <f>IFERROR(IF(H162="","",IF(H162-S162-T162=0&lt;0,"Error in Areas ▲",IF(S162+T162&gt;H162,"Error in Areas ▲",IF(AND(P162='G-1 All Habitats'!$X$9,Y162="Yes"),"Alternative Compensation ✓",IF(AND(P162='G-1 All Habitats'!$X$3,Y162="Yes"),"Alternative Compensation ✓",IF(AND(Y162="Pending",P162='G-1 All Habitats'!$X$3),"Bespoke compensation must be agreed ▲",IF(AND(Y162="Pending",P162='G-1 All Habitats'!$X$9),"Bespoke compensation must be agreed  ▲",IF(W162=0,0,IF(P162='G-1 All Habitats'!$X$9,"Any Loss Unacceptable ▲",Q162-U162-V162))))))))),"Check Data ▲")</f>
        <v/>
      </c>
      <c r="Y162" s="53"/>
      <c r="Z162" s="105"/>
      <c r="AA162" s="233"/>
      <c r="AB162" s="104"/>
      <c r="AC162" s="512" t="str">
        <f>IF(OR(P162="",Y162="Yes"),"",IF(P162='G-1 All Habitats'!$X$9,H162-S162-T162,"None"))</f>
        <v/>
      </c>
      <c r="AD162" s="513" t="str">
        <f>IF(P162="","",IF(P162='G-1 All Habitats'!$X$9,AC162*J162*L162*O162,"None"))</f>
        <v/>
      </c>
      <c r="AE162" s="35" t="str">
        <f t="shared" si="16"/>
        <v/>
      </c>
      <c r="AF162" s="40" t="str">
        <f t="shared" si="21"/>
        <v/>
      </c>
      <c r="AG162" s="40" t="str">
        <f t="shared" si="17"/>
        <v/>
      </c>
      <c r="AH162" s="40" t="str">
        <f>IF(I162="","",IF(#REF!&gt;0,TRUE,FALSE))</f>
        <v/>
      </c>
      <c r="AI162" s="40">
        <v>152</v>
      </c>
      <c r="AJ162" s="40"/>
      <c r="AK162" s="40" t="str">
        <f t="array" ref="AK162">IFERROR(INDEX($AI$11:$AI$259,MATCH(0,IF(TRUE=$AF$11:$AF$259,COUNTIF($AK$10:$AK161,$AI$11:$AI$259),""),0)),"")</f>
        <v/>
      </c>
      <c r="AL162" s="40" t="str">
        <f t="array" ref="AL162">IFERROR(INDEX($AI$11:$AI$259,MATCH(0,IF(TRUE=$AG$11:$AG$259,COUNTIF($AL$10:$AL161,$AI$11:$AI$259),""),0)),"")</f>
        <v/>
      </c>
      <c r="AM162" s="40" t="str">
        <f t="array" ref="AM162">IFERROR(INDEX($AI$11:$AI$259,MATCH(0,IF(TRUE=$AH$11:$AH$259,COUNTIF($AM$10:$AM161,$AI$11:$AI$259),""),0)),"")</f>
        <v/>
      </c>
      <c r="AN162" s="40"/>
      <c r="AQ162" s="35">
        <f t="shared" si="22"/>
        <v>0</v>
      </c>
      <c r="AT162" s="885" t="str">
        <f>IF(AND(OR(Y162="Yes",Y162="Pending"),P162='G-1 All Habitats'!$X$3),Q162-U162-V162,"")</f>
        <v/>
      </c>
      <c r="AV162" s="542" t="str">
        <f>IFERROR(INDEX('G-1 All Habitats'!$B$3:$B$135,MATCH(F162,'G-1 All Habitats'!$A$3:$A$135,0)),"")</f>
        <v/>
      </c>
      <c r="AW162" s="35" t="str">
        <f>IF(AV162="","",VLOOKUP(AV162,'G-1 All Habitats'!$B$1:$T$135,19,FALSE))</f>
        <v/>
      </c>
    </row>
    <row r="163" spans="1:49" ht="14.5" hidden="1" thickBot="1">
      <c r="A163" s="35" t="str">
        <f>IFERROR(INDEX('G-1 All Habitats'!$AG$3:$AG$17,MATCH(E163,'G-1 All Habitats'!$AF$3:$AF$17,0)),"")</f>
        <v/>
      </c>
      <c r="B163" s="35" t="str">
        <f>IFERROR(INDEX('G-8 Condition Look up'!$I$4:$I$135,MATCH(AV163,'G-8 Condition Look up'!$A$4:$A$135,0)),"")</f>
        <v/>
      </c>
      <c r="D163" s="225">
        <v>153</v>
      </c>
      <c r="E163" s="211"/>
      <c r="F163" s="57"/>
      <c r="G163" s="263"/>
      <c r="H163" s="51"/>
      <c r="I163" s="275" t="str">
        <f>IF(AV163="","",IF(AND(AW163="Yes",G163="No"),"Irreplaceable habitat ▲",IF(AND(AW163="No",G163="Yes"),"Cannot be Irreplaceable ▲",VLOOKUP(AV163,'G-1 All Habitats'!$B$2:$M$135,10,FALSE))))</f>
        <v/>
      </c>
      <c r="J163" s="276" t="str">
        <f>IFERROR(VLOOKUP(I163,'G-1 All Habitats'!$V$3:$W$7,2,FALSE),"")</f>
        <v/>
      </c>
      <c r="K163" s="52"/>
      <c r="L163" s="276" t="str">
        <f>IFERROR(INDEX('G-8 Condition Look up'!$A$3:$H$135,MATCH(AV163,'G-8 Condition Look up'!$A$3:$A$135,0),MATCH(K163,'G-8 Condition Look up'!$A$3:$H$3,0)),"")</f>
        <v/>
      </c>
      <c r="M163" s="52"/>
      <c r="N163" s="295" t="str">
        <f>IF(M163="","",IF(VLOOKUP(M163,'G-3 Multipliers'!$L$3:$N$6,2,FALSE)=0,"Spatial Data Missing",VLOOKUP(M163,'G-3 Multipliers'!$L$3:$N$6,2,FALSE)))</f>
        <v/>
      </c>
      <c r="O163" s="281" t="str">
        <f>IF(M163="","",IF(VLOOKUP(M163,'G-3 Multipliers'!$L$3:$N$6,3,FALSE)=0,"Spatial Data Missing ▲",VLOOKUP(M163,'G-3 Multipliers'!$L$3:$N$6,3,FALSE)))</f>
        <v/>
      </c>
      <c r="P163" s="282" t="str">
        <f>(IF(G163="Yes","Bespoke compensation likely to be required",(IFERROR(VLOOKUP(AV163,'G-1 All Habitats'!$B$2:$M$135,12,FALSE),""))))</f>
        <v/>
      </c>
      <c r="Q163" s="289" t="str">
        <f>IFERROR(IF(AND(F163&lt;&gt;"",G163=""),"Confirm irreplaceable habitat status ▲",(IF(AND(E163="Individual trees",T163&gt;0,G163="Yes"),"Error - you cannot enhance irreplaceable individual trees ▲",(IF(AND(U163="Irreplaceable habitat - no units generated ⚠",(S163+T163)&lt;H163,OR(Y163="No",Y163="")),"Any Loss Unacceptable ⚠",(IF(U163="Irreplaceable habitat - no units generated ⚠",T163*J163*L163*O163,IF(AND(P163='G-1 All Habitats'!$X$9,AC163&gt;0,S163&lt;=0,T163&lt;=0,OR(Y163="No",Y163="")),"Any Loss Unacceptable ⚠",IF(AND(P163='G-1 All Habitats'!$X$9,AC163&gt;0,S163&lt;=0,T163&lt;=0,Y163="Yes"),0,(IF(AND(P163='G-1 All Habitats'!$X$9,(S163+T163)&lt;H163,OR(Y163="No",Y163="")),"Any Loss Unacceptable ⚠",(IF(P163="","",IF(AND(P163='G-1 All Habitats'!$X$9,T163&gt;0),U163+V163,IF(AND(P163='G-1 All Habitats'!$X$9,S163&gt;0),U163+V163,H163*J163*L163*O163))))))))))))))),"Check Data ▲")</f>
        <v/>
      </c>
      <c r="R163" s="38"/>
      <c r="S163" s="52"/>
      <c r="T163" s="53"/>
      <c r="U163" s="287" t="str">
        <f t="shared" si="18"/>
        <v/>
      </c>
      <c r="V163" s="287" t="str">
        <f t="shared" si="19"/>
        <v/>
      </c>
      <c r="W163" s="287" t="str">
        <f t="shared" si="20"/>
        <v/>
      </c>
      <c r="X163" s="291" t="str">
        <f>IFERROR(IF(H163="","",IF(H163-S163-T163=0&lt;0,"Error in Areas ▲",IF(S163+T163&gt;H163,"Error in Areas ▲",IF(AND(P163='G-1 All Habitats'!$X$9,Y163="Yes"),"Alternative Compensation ✓",IF(AND(P163='G-1 All Habitats'!$X$3,Y163="Yes"),"Alternative Compensation ✓",IF(AND(Y163="Pending",P163='G-1 All Habitats'!$X$3),"Bespoke compensation must be agreed ▲",IF(AND(Y163="Pending",P163='G-1 All Habitats'!$X$9),"Bespoke compensation must be agreed  ▲",IF(W163=0,0,IF(P163='G-1 All Habitats'!$X$9,"Any Loss Unacceptable ▲",Q163-U163-V163))))))))),"Check Data ▲")</f>
        <v/>
      </c>
      <c r="Y163" s="53"/>
      <c r="Z163" s="105"/>
      <c r="AA163" s="233"/>
      <c r="AB163" s="104"/>
      <c r="AC163" s="512" t="str">
        <f>IF(OR(P163="",Y163="Yes"),"",IF(P163='G-1 All Habitats'!$X$9,H163-S163-T163,"None"))</f>
        <v/>
      </c>
      <c r="AD163" s="513" t="str">
        <f>IF(P163="","",IF(P163='G-1 All Habitats'!$X$9,AC163*J163*L163*O163,"None"))</f>
        <v/>
      </c>
      <c r="AE163" s="35" t="str">
        <f t="shared" si="16"/>
        <v/>
      </c>
      <c r="AF163" s="40" t="str">
        <f t="shared" si="21"/>
        <v/>
      </c>
      <c r="AG163" s="40" t="str">
        <f t="shared" si="17"/>
        <v/>
      </c>
      <c r="AH163" s="40" t="str">
        <f>IF(I163="","",IF(#REF!&gt;0,TRUE,FALSE))</f>
        <v/>
      </c>
      <c r="AI163" s="40">
        <v>153</v>
      </c>
      <c r="AJ163" s="40"/>
      <c r="AK163" s="40" t="str">
        <f t="array" ref="AK163">IFERROR(INDEX($AI$11:$AI$259,MATCH(0,IF(TRUE=$AF$11:$AF$259,COUNTIF($AK$10:$AK162,$AI$11:$AI$259),""),0)),"")</f>
        <v/>
      </c>
      <c r="AL163" s="40" t="str">
        <f t="array" ref="AL163">IFERROR(INDEX($AI$11:$AI$259,MATCH(0,IF(TRUE=$AG$11:$AG$259,COUNTIF($AL$10:$AL162,$AI$11:$AI$259),""),0)),"")</f>
        <v/>
      </c>
      <c r="AM163" s="40" t="str">
        <f t="array" ref="AM163">IFERROR(INDEX($AI$11:$AI$259,MATCH(0,IF(TRUE=$AH$11:$AH$259,COUNTIF($AM$10:$AM162,$AI$11:$AI$259),""),0)),"")</f>
        <v/>
      </c>
      <c r="AN163" s="40"/>
      <c r="AQ163" s="35">
        <f t="shared" si="22"/>
        <v>0</v>
      </c>
      <c r="AT163" s="885" t="str">
        <f>IF(AND(OR(Y163="Yes",Y163="Pending"),P163='G-1 All Habitats'!$X$3),Q163-U163-V163,"")</f>
        <v/>
      </c>
      <c r="AV163" s="542" t="str">
        <f>IFERROR(INDEX('G-1 All Habitats'!$B$3:$B$135,MATCH(F163,'G-1 All Habitats'!$A$3:$A$135,0)),"")</f>
        <v/>
      </c>
      <c r="AW163" s="35" t="str">
        <f>IF(AV163="","",VLOOKUP(AV163,'G-1 All Habitats'!$B$1:$T$135,19,FALSE))</f>
        <v/>
      </c>
    </row>
    <row r="164" spans="1:49" ht="14.5" hidden="1" thickBot="1">
      <c r="A164" s="35" t="str">
        <f>IFERROR(INDEX('G-1 All Habitats'!$AG$3:$AG$17,MATCH(E164,'G-1 All Habitats'!$AF$3:$AF$17,0)),"")</f>
        <v/>
      </c>
      <c r="B164" s="35" t="str">
        <f>IFERROR(INDEX('G-8 Condition Look up'!$I$4:$I$135,MATCH(AV164,'G-8 Condition Look up'!$A$4:$A$135,0)),"")</f>
        <v/>
      </c>
      <c r="D164" s="225">
        <v>154</v>
      </c>
      <c r="E164" s="211"/>
      <c r="F164" s="57"/>
      <c r="G164" s="263"/>
      <c r="H164" s="51"/>
      <c r="I164" s="275" t="str">
        <f>IF(AV164="","",IF(AND(AW164="Yes",G164="No"),"Irreplaceable habitat ▲",IF(AND(AW164="No",G164="Yes"),"Cannot be Irreplaceable ▲",VLOOKUP(AV164,'G-1 All Habitats'!$B$2:$M$135,10,FALSE))))</f>
        <v/>
      </c>
      <c r="J164" s="276" t="str">
        <f>IFERROR(VLOOKUP(I164,'G-1 All Habitats'!$V$3:$W$7,2,FALSE),"")</f>
        <v/>
      </c>
      <c r="K164" s="52"/>
      <c r="L164" s="276" t="str">
        <f>IFERROR(INDEX('G-8 Condition Look up'!$A$3:$H$135,MATCH(AV164,'G-8 Condition Look up'!$A$3:$A$135,0),MATCH(K164,'G-8 Condition Look up'!$A$3:$H$3,0)),"")</f>
        <v/>
      </c>
      <c r="M164" s="52"/>
      <c r="N164" s="295" t="str">
        <f>IF(M164="","",IF(VLOOKUP(M164,'G-3 Multipliers'!$L$3:$N$6,2,FALSE)=0,"Spatial Data Missing",VLOOKUP(M164,'G-3 Multipliers'!$L$3:$N$6,2,FALSE)))</f>
        <v/>
      </c>
      <c r="O164" s="281" t="str">
        <f>IF(M164="","",IF(VLOOKUP(M164,'G-3 Multipliers'!$L$3:$N$6,3,FALSE)=0,"Spatial Data Missing ▲",VLOOKUP(M164,'G-3 Multipliers'!$L$3:$N$6,3,FALSE)))</f>
        <v/>
      </c>
      <c r="P164" s="282" t="str">
        <f>(IF(G164="Yes","Bespoke compensation likely to be required",(IFERROR(VLOOKUP(AV164,'G-1 All Habitats'!$B$2:$M$135,12,FALSE),""))))</f>
        <v/>
      </c>
      <c r="Q164" s="289" t="str">
        <f>IFERROR(IF(AND(F164&lt;&gt;"",G164=""),"Confirm irreplaceable habitat status ▲",(IF(AND(E164="Individual trees",T164&gt;0,G164="Yes"),"Error - you cannot enhance irreplaceable individual trees ▲",(IF(AND(U164="Irreplaceable habitat - no units generated ⚠",(S164+T164)&lt;H164,OR(Y164="No",Y164="")),"Any Loss Unacceptable ⚠",(IF(U164="Irreplaceable habitat - no units generated ⚠",T164*J164*L164*O164,IF(AND(P164='G-1 All Habitats'!$X$9,AC164&gt;0,S164&lt;=0,T164&lt;=0,OR(Y164="No",Y164="")),"Any Loss Unacceptable ⚠",IF(AND(P164='G-1 All Habitats'!$X$9,AC164&gt;0,S164&lt;=0,T164&lt;=0,Y164="Yes"),0,(IF(AND(P164='G-1 All Habitats'!$X$9,(S164+T164)&lt;H164,OR(Y164="No",Y164="")),"Any Loss Unacceptable ⚠",(IF(P164="","",IF(AND(P164='G-1 All Habitats'!$X$9,T164&gt;0),U164+V164,IF(AND(P164='G-1 All Habitats'!$X$9,S164&gt;0),U164+V164,H164*J164*L164*O164))))))))))))))),"Check Data ▲")</f>
        <v/>
      </c>
      <c r="R164" s="38"/>
      <c r="S164" s="52"/>
      <c r="T164" s="53"/>
      <c r="U164" s="287" t="str">
        <f t="shared" si="18"/>
        <v/>
      </c>
      <c r="V164" s="287" t="str">
        <f t="shared" si="19"/>
        <v/>
      </c>
      <c r="W164" s="287" t="str">
        <f t="shared" si="20"/>
        <v/>
      </c>
      <c r="X164" s="291" t="str">
        <f>IFERROR(IF(H164="","",IF(H164-S164-T164=0&lt;0,"Error in Areas ▲",IF(S164+T164&gt;H164,"Error in Areas ▲",IF(AND(P164='G-1 All Habitats'!$X$9,Y164="Yes"),"Alternative Compensation ✓",IF(AND(P164='G-1 All Habitats'!$X$3,Y164="Yes"),"Alternative Compensation ✓",IF(AND(Y164="Pending",P164='G-1 All Habitats'!$X$3),"Bespoke compensation must be agreed ▲",IF(AND(Y164="Pending",P164='G-1 All Habitats'!$X$9),"Bespoke compensation must be agreed  ▲",IF(W164=0,0,IF(P164='G-1 All Habitats'!$X$9,"Any Loss Unacceptable ▲",Q164-U164-V164))))))))),"Check Data ▲")</f>
        <v/>
      </c>
      <c r="Y164" s="53"/>
      <c r="Z164" s="105"/>
      <c r="AA164" s="233"/>
      <c r="AB164" s="104"/>
      <c r="AC164" s="512" t="str">
        <f>IF(OR(P164="",Y164="Yes"),"",IF(P164='G-1 All Habitats'!$X$9,H164-S164-T164,"None"))</f>
        <v/>
      </c>
      <c r="AD164" s="513" t="str">
        <f>IF(P164="","",IF(P164='G-1 All Habitats'!$X$9,AC164*J164*L164*O164,"None"))</f>
        <v/>
      </c>
      <c r="AE164" s="35" t="str">
        <f t="shared" si="16"/>
        <v/>
      </c>
      <c r="AF164" s="40" t="str">
        <f t="shared" si="21"/>
        <v/>
      </c>
      <c r="AG164" s="40" t="str">
        <f t="shared" si="17"/>
        <v/>
      </c>
      <c r="AH164" s="40" t="str">
        <f>IF(I164="","",IF(#REF!&gt;0,TRUE,FALSE))</f>
        <v/>
      </c>
      <c r="AI164" s="40">
        <v>154</v>
      </c>
      <c r="AJ164" s="40"/>
      <c r="AK164" s="40" t="str">
        <f t="array" ref="AK164">IFERROR(INDEX($AI$11:$AI$259,MATCH(0,IF(TRUE=$AF$11:$AF$259,COUNTIF($AK$10:$AK163,$AI$11:$AI$259),""),0)),"")</f>
        <v/>
      </c>
      <c r="AL164" s="40" t="str">
        <f t="array" ref="AL164">IFERROR(INDEX($AI$11:$AI$259,MATCH(0,IF(TRUE=$AG$11:$AG$259,COUNTIF($AL$10:$AL163,$AI$11:$AI$259),""),0)),"")</f>
        <v/>
      </c>
      <c r="AM164" s="40" t="str">
        <f t="array" ref="AM164">IFERROR(INDEX($AI$11:$AI$259,MATCH(0,IF(TRUE=$AH$11:$AH$259,COUNTIF($AM$10:$AM163,$AI$11:$AI$259),""),0)),"")</f>
        <v/>
      </c>
      <c r="AN164" s="40"/>
      <c r="AQ164" s="35">
        <f t="shared" si="22"/>
        <v>0</v>
      </c>
      <c r="AT164" s="885" t="str">
        <f>IF(AND(OR(Y164="Yes",Y164="Pending"),P164='G-1 All Habitats'!$X$3),Q164-U164-V164,"")</f>
        <v/>
      </c>
      <c r="AV164" s="542" t="str">
        <f>IFERROR(INDEX('G-1 All Habitats'!$B$3:$B$135,MATCH(F164,'G-1 All Habitats'!$A$3:$A$135,0)),"")</f>
        <v/>
      </c>
      <c r="AW164" s="35" t="str">
        <f>IF(AV164="","",VLOOKUP(AV164,'G-1 All Habitats'!$B$1:$T$135,19,FALSE))</f>
        <v/>
      </c>
    </row>
    <row r="165" spans="1:49" ht="14.5" hidden="1" thickBot="1">
      <c r="A165" s="35" t="str">
        <f>IFERROR(INDEX('G-1 All Habitats'!$AG$3:$AG$17,MATCH(E165,'G-1 All Habitats'!$AF$3:$AF$17,0)),"")</f>
        <v/>
      </c>
      <c r="B165" s="35" t="str">
        <f>IFERROR(INDEX('G-8 Condition Look up'!$I$4:$I$135,MATCH(AV165,'G-8 Condition Look up'!$A$4:$A$135,0)),"")</f>
        <v/>
      </c>
      <c r="D165" s="225">
        <v>155</v>
      </c>
      <c r="E165" s="211"/>
      <c r="F165" s="57"/>
      <c r="G165" s="263"/>
      <c r="H165" s="51"/>
      <c r="I165" s="275" t="str">
        <f>IF(AV165="","",IF(AND(AW165="Yes",G165="No"),"Irreplaceable habitat ▲",IF(AND(AW165="No",G165="Yes"),"Cannot be Irreplaceable ▲",VLOOKUP(AV165,'G-1 All Habitats'!$B$2:$M$135,10,FALSE))))</f>
        <v/>
      </c>
      <c r="J165" s="276" t="str">
        <f>IFERROR(VLOOKUP(I165,'G-1 All Habitats'!$V$3:$W$7,2,FALSE),"")</f>
        <v/>
      </c>
      <c r="K165" s="52"/>
      <c r="L165" s="276" t="str">
        <f>IFERROR(INDEX('G-8 Condition Look up'!$A$3:$H$135,MATCH(AV165,'G-8 Condition Look up'!$A$3:$A$135,0),MATCH(K165,'G-8 Condition Look up'!$A$3:$H$3,0)),"")</f>
        <v/>
      </c>
      <c r="M165" s="52"/>
      <c r="N165" s="295" t="str">
        <f>IF(M165="","",IF(VLOOKUP(M165,'G-3 Multipliers'!$L$3:$N$6,2,FALSE)=0,"Spatial Data Missing",VLOOKUP(M165,'G-3 Multipliers'!$L$3:$N$6,2,FALSE)))</f>
        <v/>
      </c>
      <c r="O165" s="281" t="str">
        <f>IF(M165="","",IF(VLOOKUP(M165,'G-3 Multipliers'!$L$3:$N$6,3,FALSE)=0,"Spatial Data Missing ▲",VLOOKUP(M165,'G-3 Multipliers'!$L$3:$N$6,3,FALSE)))</f>
        <v/>
      </c>
      <c r="P165" s="282" t="str">
        <f>(IF(G165="Yes","Bespoke compensation likely to be required",(IFERROR(VLOOKUP(AV165,'G-1 All Habitats'!$B$2:$M$135,12,FALSE),""))))</f>
        <v/>
      </c>
      <c r="Q165" s="289" t="str">
        <f>IFERROR(IF(AND(F165&lt;&gt;"",G165=""),"Confirm irreplaceable habitat status ▲",(IF(AND(E165="Individual trees",T165&gt;0,G165="Yes"),"Error - you cannot enhance irreplaceable individual trees ▲",(IF(AND(U165="Irreplaceable habitat - no units generated ⚠",(S165+T165)&lt;H165,OR(Y165="No",Y165="")),"Any Loss Unacceptable ⚠",(IF(U165="Irreplaceable habitat - no units generated ⚠",T165*J165*L165*O165,IF(AND(P165='G-1 All Habitats'!$X$9,AC165&gt;0,S165&lt;=0,T165&lt;=0,OR(Y165="No",Y165="")),"Any Loss Unacceptable ⚠",IF(AND(P165='G-1 All Habitats'!$X$9,AC165&gt;0,S165&lt;=0,T165&lt;=0,Y165="Yes"),0,(IF(AND(P165='G-1 All Habitats'!$X$9,(S165+T165)&lt;H165,OR(Y165="No",Y165="")),"Any Loss Unacceptable ⚠",(IF(P165="","",IF(AND(P165='G-1 All Habitats'!$X$9,T165&gt;0),U165+V165,IF(AND(P165='G-1 All Habitats'!$X$9,S165&gt;0),U165+V165,H165*J165*L165*O165))))))))))))))),"Check Data ▲")</f>
        <v/>
      </c>
      <c r="R165" s="38"/>
      <c r="S165" s="52"/>
      <c r="T165" s="53"/>
      <c r="U165" s="287" t="str">
        <f t="shared" si="18"/>
        <v/>
      </c>
      <c r="V165" s="287" t="str">
        <f t="shared" si="19"/>
        <v/>
      </c>
      <c r="W165" s="287" t="str">
        <f t="shared" si="20"/>
        <v/>
      </c>
      <c r="X165" s="291" t="str">
        <f>IFERROR(IF(H165="","",IF(H165-S165-T165=0&lt;0,"Error in Areas ▲",IF(S165+T165&gt;H165,"Error in Areas ▲",IF(AND(P165='G-1 All Habitats'!$X$9,Y165="Yes"),"Alternative Compensation ✓",IF(AND(P165='G-1 All Habitats'!$X$3,Y165="Yes"),"Alternative Compensation ✓",IF(AND(Y165="Pending",P165='G-1 All Habitats'!$X$3),"Bespoke compensation must be agreed ▲",IF(AND(Y165="Pending",P165='G-1 All Habitats'!$X$9),"Bespoke compensation must be agreed  ▲",IF(W165=0,0,IF(P165='G-1 All Habitats'!$X$9,"Any Loss Unacceptable ▲",Q165-U165-V165))))))))),"Check Data ▲")</f>
        <v/>
      </c>
      <c r="Y165" s="53"/>
      <c r="Z165" s="105"/>
      <c r="AA165" s="233"/>
      <c r="AB165" s="104"/>
      <c r="AC165" s="512" t="str">
        <f>IF(OR(P165="",Y165="Yes"),"",IF(P165='G-1 All Habitats'!$X$9,H165-S165-T165,"None"))</f>
        <v/>
      </c>
      <c r="AD165" s="513" t="str">
        <f>IF(P165="","",IF(P165='G-1 All Habitats'!$X$9,AC165*J165*L165*O165,"None"))</f>
        <v/>
      </c>
      <c r="AE165" s="35" t="str">
        <f t="shared" si="16"/>
        <v/>
      </c>
      <c r="AF165" s="40" t="str">
        <f t="shared" si="21"/>
        <v/>
      </c>
      <c r="AG165" s="40" t="str">
        <f t="shared" si="17"/>
        <v/>
      </c>
      <c r="AH165" s="40" t="str">
        <f>IF(I165="","",IF(#REF!&gt;0,TRUE,FALSE))</f>
        <v/>
      </c>
      <c r="AI165" s="40">
        <v>155</v>
      </c>
      <c r="AJ165" s="40"/>
      <c r="AK165" s="40" t="str">
        <f t="array" ref="AK165">IFERROR(INDEX($AI$11:$AI$259,MATCH(0,IF(TRUE=$AF$11:$AF$259,COUNTIF($AK$10:$AK164,$AI$11:$AI$259),""),0)),"")</f>
        <v/>
      </c>
      <c r="AL165" s="40" t="str">
        <f t="array" ref="AL165">IFERROR(INDEX($AI$11:$AI$259,MATCH(0,IF(TRUE=$AG$11:$AG$259,COUNTIF($AL$10:$AL164,$AI$11:$AI$259),""),0)),"")</f>
        <v/>
      </c>
      <c r="AM165" s="40" t="str">
        <f t="array" ref="AM165">IFERROR(INDEX($AI$11:$AI$259,MATCH(0,IF(TRUE=$AH$11:$AH$259,COUNTIF($AM$10:$AM164,$AI$11:$AI$259),""),0)),"")</f>
        <v/>
      </c>
      <c r="AN165" s="40"/>
      <c r="AQ165" s="35">
        <f t="shared" si="22"/>
        <v>0</v>
      </c>
      <c r="AT165" s="885" t="str">
        <f>IF(AND(OR(Y165="Yes",Y165="Pending"),P165='G-1 All Habitats'!$X$3),Q165-U165-V165,"")</f>
        <v/>
      </c>
      <c r="AV165" s="542" t="str">
        <f>IFERROR(INDEX('G-1 All Habitats'!$B$3:$B$135,MATCH(F165,'G-1 All Habitats'!$A$3:$A$135,0)),"")</f>
        <v/>
      </c>
      <c r="AW165" s="35" t="str">
        <f>IF(AV165="","",VLOOKUP(AV165,'G-1 All Habitats'!$B$1:$T$135,19,FALSE))</f>
        <v/>
      </c>
    </row>
    <row r="166" spans="1:49" ht="14.5" hidden="1" thickBot="1">
      <c r="A166" s="35" t="str">
        <f>IFERROR(INDEX('G-1 All Habitats'!$AG$3:$AG$17,MATCH(E166,'G-1 All Habitats'!$AF$3:$AF$17,0)),"")</f>
        <v/>
      </c>
      <c r="B166" s="35" t="str">
        <f>IFERROR(INDEX('G-8 Condition Look up'!$I$4:$I$135,MATCH(AV166,'G-8 Condition Look up'!$A$4:$A$135,0)),"")</f>
        <v/>
      </c>
      <c r="D166" s="225">
        <v>156</v>
      </c>
      <c r="E166" s="211"/>
      <c r="F166" s="57"/>
      <c r="G166" s="263"/>
      <c r="H166" s="51"/>
      <c r="I166" s="275" t="str">
        <f>IF(AV166="","",IF(AND(AW166="Yes",G166="No"),"Irreplaceable habitat ▲",IF(AND(AW166="No",G166="Yes"),"Cannot be Irreplaceable ▲",VLOOKUP(AV166,'G-1 All Habitats'!$B$2:$M$135,10,FALSE))))</f>
        <v/>
      </c>
      <c r="J166" s="276" t="str">
        <f>IFERROR(VLOOKUP(I166,'G-1 All Habitats'!$V$3:$W$7,2,FALSE),"")</f>
        <v/>
      </c>
      <c r="K166" s="52"/>
      <c r="L166" s="276" t="str">
        <f>IFERROR(INDEX('G-8 Condition Look up'!$A$3:$H$135,MATCH(AV166,'G-8 Condition Look up'!$A$3:$A$135,0),MATCH(K166,'G-8 Condition Look up'!$A$3:$H$3,0)),"")</f>
        <v/>
      </c>
      <c r="M166" s="52"/>
      <c r="N166" s="295" t="str">
        <f>IF(M166="","",IF(VLOOKUP(M166,'G-3 Multipliers'!$L$3:$N$6,2,FALSE)=0,"Spatial Data Missing",VLOOKUP(M166,'G-3 Multipliers'!$L$3:$N$6,2,FALSE)))</f>
        <v/>
      </c>
      <c r="O166" s="281" t="str">
        <f>IF(M166="","",IF(VLOOKUP(M166,'G-3 Multipliers'!$L$3:$N$6,3,FALSE)=0,"Spatial Data Missing ▲",VLOOKUP(M166,'G-3 Multipliers'!$L$3:$N$6,3,FALSE)))</f>
        <v/>
      </c>
      <c r="P166" s="282" t="str">
        <f>(IF(G166="Yes","Bespoke compensation likely to be required",(IFERROR(VLOOKUP(AV166,'G-1 All Habitats'!$B$2:$M$135,12,FALSE),""))))</f>
        <v/>
      </c>
      <c r="Q166" s="289" t="str">
        <f>IFERROR(IF(AND(F166&lt;&gt;"",G166=""),"Confirm irreplaceable habitat status ▲",(IF(AND(E166="Individual trees",T166&gt;0,G166="Yes"),"Error - you cannot enhance irreplaceable individual trees ▲",(IF(AND(U166="Irreplaceable habitat - no units generated ⚠",(S166+T166)&lt;H166,OR(Y166="No",Y166="")),"Any Loss Unacceptable ⚠",(IF(U166="Irreplaceable habitat - no units generated ⚠",T166*J166*L166*O166,IF(AND(P166='G-1 All Habitats'!$X$9,AC166&gt;0,S166&lt;=0,T166&lt;=0,OR(Y166="No",Y166="")),"Any Loss Unacceptable ⚠",IF(AND(P166='G-1 All Habitats'!$X$9,AC166&gt;0,S166&lt;=0,T166&lt;=0,Y166="Yes"),0,(IF(AND(P166='G-1 All Habitats'!$X$9,(S166+T166)&lt;H166,OR(Y166="No",Y166="")),"Any Loss Unacceptable ⚠",(IF(P166="","",IF(AND(P166='G-1 All Habitats'!$X$9,T166&gt;0),U166+V166,IF(AND(P166='G-1 All Habitats'!$X$9,S166&gt;0),U166+V166,H166*J166*L166*O166))))))))))))))),"Check Data ▲")</f>
        <v/>
      </c>
      <c r="R166" s="38"/>
      <c r="S166" s="52"/>
      <c r="T166" s="53"/>
      <c r="U166" s="287" t="str">
        <f t="shared" si="18"/>
        <v/>
      </c>
      <c r="V166" s="287" t="str">
        <f t="shared" si="19"/>
        <v/>
      </c>
      <c r="W166" s="287" t="str">
        <f t="shared" si="20"/>
        <v/>
      </c>
      <c r="X166" s="291" t="str">
        <f>IFERROR(IF(H166="","",IF(H166-S166-T166=0&lt;0,"Error in Areas ▲",IF(S166+T166&gt;H166,"Error in Areas ▲",IF(AND(P166='G-1 All Habitats'!$X$9,Y166="Yes"),"Alternative Compensation ✓",IF(AND(P166='G-1 All Habitats'!$X$3,Y166="Yes"),"Alternative Compensation ✓",IF(AND(Y166="Pending",P166='G-1 All Habitats'!$X$3),"Bespoke compensation must be agreed ▲",IF(AND(Y166="Pending",P166='G-1 All Habitats'!$X$9),"Bespoke compensation must be agreed  ▲",IF(W166=0,0,IF(P166='G-1 All Habitats'!$X$9,"Any Loss Unacceptable ▲",Q166-U166-V166))))))))),"Check Data ▲")</f>
        <v/>
      </c>
      <c r="Y166" s="53"/>
      <c r="Z166" s="105"/>
      <c r="AA166" s="233"/>
      <c r="AB166" s="104"/>
      <c r="AC166" s="512" t="str">
        <f>IF(OR(P166="",Y166="Yes"),"",IF(P166='G-1 All Habitats'!$X$9,H166-S166-T166,"None"))</f>
        <v/>
      </c>
      <c r="AD166" s="513" t="str">
        <f>IF(P166="","",IF(P166='G-1 All Habitats'!$X$9,AC166*J166*L166*O166,"None"))</f>
        <v/>
      </c>
      <c r="AE166" s="35" t="str">
        <f t="shared" si="16"/>
        <v/>
      </c>
      <c r="AF166" s="40" t="str">
        <f t="shared" si="21"/>
        <v/>
      </c>
      <c r="AG166" s="40" t="str">
        <f t="shared" si="17"/>
        <v/>
      </c>
      <c r="AH166" s="40" t="str">
        <f>IF(I166="","",IF(#REF!&gt;0,TRUE,FALSE))</f>
        <v/>
      </c>
      <c r="AI166" s="40">
        <v>156</v>
      </c>
      <c r="AJ166" s="40"/>
      <c r="AK166" s="40" t="str">
        <f t="array" ref="AK166">IFERROR(INDEX($AI$11:$AI$259,MATCH(0,IF(TRUE=$AF$11:$AF$259,COUNTIF($AK$10:$AK165,$AI$11:$AI$259),""),0)),"")</f>
        <v/>
      </c>
      <c r="AL166" s="40" t="str">
        <f t="array" ref="AL166">IFERROR(INDEX($AI$11:$AI$259,MATCH(0,IF(TRUE=$AG$11:$AG$259,COUNTIF($AL$10:$AL165,$AI$11:$AI$259),""),0)),"")</f>
        <v/>
      </c>
      <c r="AM166" s="40" t="str">
        <f t="array" ref="AM166">IFERROR(INDEX($AI$11:$AI$259,MATCH(0,IF(TRUE=$AH$11:$AH$259,COUNTIF($AM$10:$AM165,$AI$11:$AI$259),""),0)),"")</f>
        <v/>
      </c>
      <c r="AN166" s="40"/>
      <c r="AQ166" s="35">
        <f t="shared" si="22"/>
        <v>0</v>
      </c>
      <c r="AT166" s="885" t="str">
        <f>IF(AND(OR(Y166="Yes",Y166="Pending"),P166='G-1 All Habitats'!$X$3),Q166-U166-V166,"")</f>
        <v/>
      </c>
      <c r="AV166" s="542" t="str">
        <f>IFERROR(INDEX('G-1 All Habitats'!$B$3:$B$135,MATCH(F166,'G-1 All Habitats'!$A$3:$A$135,0)),"")</f>
        <v/>
      </c>
      <c r="AW166" s="35" t="str">
        <f>IF(AV166="","",VLOOKUP(AV166,'G-1 All Habitats'!$B$1:$T$135,19,FALSE))</f>
        <v/>
      </c>
    </row>
    <row r="167" spans="1:49" ht="14.5" hidden="1" thickBot="1">
      <c r="A167" s="35" t="str">
        <f>IFERROR(INDEX('G-1 All Habitats'!$AG$3:$AG$17,MATCH(E167,'G-1 All Habitats'!$AF$3:$AF$17,0)),"")</f>
        <v/>
      </c>
      <c r="B167" s="35" t="str">
        <f>IFERROR(INDEX('G-8 Condition Look up'!$I$4:$I$135,MATCH(AV167,'G-8 Condition Look up'!$A$4:$A$135,0)),"")</f>
        <v/>
      </c>
      <c r="D167" s="225">
        <v>157</v>
      </c>
      <c r="E167" s="211"/>
      <c r="F167" s="57"/>
      <c r="G167" s="263"/>
      <c r="H167" s="51"/>
      <c r="I167" s="275" t="str">
        <f>IF(AV167="","",IF(AND(AW167="Yes",G167="No"),"Irreplaceable habitat ▲",IF(AND(AW167="No",G167="Yes"),"Cannot be Irreplaceable ▲",VLOOKUP(AV167,'G-1 All Habitats'!$B$2:$M$135,10,FALSE))))</f>
        <v/>
      </c>
      <c r="J167" s="276" t="str">
        <f>IFERROR(VLOOKUP(I167,'G-1 All Habitats'!$V$3:$W$7,2,FALSE),"")</f>
        <v/>
      </c>
      <c r="K167" s="52"/>
      <c r="L167" s="276" t="str">
        <f>IFERROR(INDEX('G-8 Condition Look up'!$A$3:$H$135,MATCH(AV167,'G-8 Condition Look up'!$A$3:$A$135,0),MATCH(K167,'G-8 Condition Look up'!$A$3:$H$3,0)),"")</f>
        <v/>
      </c>
      <c r="M167" s="52"/>
      <c r="N167" s="295" t="str">
        <f>IF(M167="","",IF(VLOOKUP(M167,'G-3 Multipliers'!$L$3:$N$6,2,FALSE)=0,"Spatial Data Missing",VLOOKUP(M167,'G-3 Multipliers'!$L$3:$N$6,2,FALSE)))</f>
        <v/>
      </c>
      <c r="O167" s="281" t="str">
        <f>IF(M167="","",IF(VLOOKUP(M167,'G-3 Multipliers'!$L$3:$N$6,3,FALSE)=0,"Spatial Data Missing ▲",VLOOKUP(M167,'G-3 Multipliers'!$L$3:$N$6,3,FALSE)))</f>
        <v/>
      </c>
      <c r="P167" s="282" t="str">
        <f>(IF(G167="Yes","Bespoke compensation likely to be required",(IFERROR(VLOOKUP(AV167,'G-1 All Habitats'!$B$2:$M$135,12,FALSE),""))))</f>
        <v/>
      </c>
      <c r="Q167" s="289" t="str">
        <f>IFERROR(IF(AND(F167&lt;&gt;"",G167=""),"Confirm irreplaceable habitat status ▲",(IF(AND(E167="Individual trees",T167&gt;0,G167="Yes"),"Error - you cannot enhance irreplaceable individual trees ▲",(IF(AND(U167="Irreplaceable habitat - no units generated ⚠",(S167+T167)&lt;H167,OR(Y167="No",Y167="")),"Any Loss Unacceptable ⚠",(IF(U167="Irreplaceable habitat - no units generated ⚠",T167*J167*L167*O167,IF(AND(P167='G-1 All Habitats'!$X$9,AC167&gt;0,S167&lt;=0,T167&lt;=0,OR(Y167="No",Y167="")),"Any Loss Unacceptable ⚠",IF(AND(P167='G-1 All Habitats'!$X$9,AC167&gt;0,S167&lt;=0,T167&lt;=0,Y167="Yes"),0,(IF(AND(P167='G-1 All Habitats'!$X$9,(S167+T167)&lt;H167,OR(Y167="No",Y167="")),"Any Loss Unacceptable ⚠",(IF(P167="","",IF(AND(P167='G-1 All Habitats'!$X$9,T167&gt;0),U167+V167,IF(AND(P167='G-1 All Habitats'!$X$9,S167&gt;0),U167+V167,H167*J167*L167*O167))))))))))))))),"Check Data ▲")</f>
        <v/>
      </c>
      <c r="R167" s="38"/>
      <c r="S167" s="52"/>
      <c r="T167" s="53"/>
      <c r="U167" s="287" t="str">
        <f t="shared" si="18"/>
        <v/>
      </c>
      <c r="V167" s="287" t="str">
        <f t="shared" si="19"/>
        <v/>
      </c>
      <c r="W167" s="287" t="str">
        <f t="shared" si="20"/>
        <v/>
      </c>
      <c r="X167" s="291" t="str">
        <f>IFERROR(IF(H167="","",IF(H167-S167-T167=0&lt;0,"Error in Areas ▲",IF(S167+T167&gt;H167,"Error in Areas ▲",IF(AND(P167='G-1 All Habitats'!$X$9,Y167="Yes"),"Alternative Compensation ✓",IF(AND(P167='G-1 All Habitats'!$X$3,Y167="Yes"),"Alternative Compensation ✓",IF(AND(Y167="Pending",P167='G-1 All Habitats'!$X$3),"Bespoke compensation must be agreed ▲",IF(AND(Y167="Pending",P167='G-1 All Habitats'!$X$9),"Bespoke compensation must be agreed  ▲",IF(W167=0,0,IF(P167='G-1 All Habitats'!$X$9,"Any Loss Unacceptable ▲",Q167-U167-V167))))))))),"Check Data ▲")</f>
        <v/>
      </c>
      <c r="Y167" s="53"/>
      <c r="Z167" s="105"/>
      <c r="AA167" s="233"/>
      <c r="AB167" s="104"/>
      <c r="AC167" s="512" t="str">
        <f>IF(OR(P167="",Y167="Yes"),"",IF(P167='G-1 All Habitats'!$X$9,H167-S167-T167,"None"))</f>
        <v/>
      </c>
      <c r="AD167" s="513" t="str">
        <f>IF(P167="","",IF(P167='G-1 All Habitats'!$X$9,AC167*J167*L167*O167,"None"))</f>
        <v/>
      </c>
      <c r="AE167" s="35" t="str">
        <f t="shared" si="16"/>
        <v/>
      </c>
      <c r="AF167" s="40" t="str">
        <f t="shared" si="21"/>
        <v/>
      </c>
      <c r="AG167" s="40" t="str">
        <f t="shared" si="17"/>
        <v/>
      </c>
      <c r="AH167" s="40" t="str">
        <f>IF(I167="","",IF(#REF!&gt;0,TRUE,FALSE))</f>
        <v/>
      </c>
      <c r="AI167" s="40">
        <v>157</v>
      </c>
      <c r="AJ167" s="40"/>
      <c r="AK167" s="40" t="str">
        <f t="array" ref="AK167">IFERROR(INDEX($AI$11:$AI$259,MATCH(0,IF(TRUE=$AF$11:$AF$259,COUNTIF($AK$10:$AK166,$AI$11:$AI$259),""),0)),"")</f>
        <v/>
      </c>
      <c r="AL167" s="40" t="str">
        <f t="array" ref="AL167">IFERROR(INDEX($AI$11:$AI$259,MATCH(0,IF(TRUE=$AG$11:$AG$259,COUNTIF($AL$10:$AL166,$AI$11:$AI$259),""),0)),"")</f>
        <v/>
      </c>
      <c r="AM167" s="40" t="str">
        <f t="array" ref="AM167">IFERROR(INDEX($AI$11:$AI$259,MATCH(0,IF(TRUE=$AH$11:$AH$259,COUNTIF($AM$10:$AM166,$AI$11:$AI$259),""),0)),"")</f>
        <v/>
      </c>
      <c r="AN167" s="40"/>
      <c r="AQ167" s="35">
        <f t="shared" si="22"/>
        <v>0</v>
      </c>
      <c r="AT167" s="885" t="str">
        <f>IF(AND(OR(Y167="Yes",Y167="Pending"),P167='G-1 All Habitats'!$X$3),Q167-U167-V167,"")</f>
        <v/>
      </c>
      <c r="AV167" s="542" t="str">
        <f>IFERROR(INDEX('G-1 All Habitats'!$B$3:$B$135,MATCH(F167,'G-1 All Habitats'!$A$3:$A$135,0)),"")</f>
        <v/>
      </c>
      <c r="AW167" s="35" t="str">
        <f>IF(AV167="","",VLOOKUP(AV167,'G-1 All Habitats'!$B$1:$T$135,19,FALSE))</f>
        <v/>
      </c>
    </row>
    <row r="168" spans="1:49" ht="14.5" hidden="1" thickBot="1">
      <c r="A168" s="35" t="str">
        <f>IFERROR(INDEX('G-1 All Habitats'!$AG$3:$AG$17,MATCH(E168,'G-1 All Habitats'!$AF$3:$AF$17,0)),"")</f>
        <v/>
      </c>
      <c r="B168" s="35" t="str">
        <f>IFERROR(INDEX('G-8 Condition Look up'!$I$4:$I$135,MATCH(AV168,'G-8 Condition Look up'!$A$4:$A$135,0)),"")</f>
        <v/>
      </c>
      <c r="D168" s="225">
        <v>158</v>
      </c>
      <c r="E168" s="211"/>
      <c r="F168" s="57"/>
      <c r="G168" s="263"/>
      <c r="H168" s="51"/>
      <c r="I168" s="275" t="str">
        <f>IF(AV168="","",IF(AND(AW168="Yes",G168="No"),"Irreplaceable habitat ▲",IF(AND(AW168="No",G168="Yes"),"Cannot be Irreplaceable ▲",VLOOKUP(AV168,'G-1 All Habitats'!$B$2:$M$135,10,FALSE))))</f>
        <v/>
      </c>
      <c r="J168" s="276" t="str">
        <f>IFERROR(VLOOKUP(I168,'G-1 All Habitats'!$V$3:$W$7,2,FALSE),"")</f>
        <v/>
      </c>
      <c r="K168" s="52"/>
      <c r="L168" s="276" t="str">
        <f>IFERROR(INDEX('G-8 Condition Look up'!$A$3:$H$135,MATCH(AV168,'G-8 Condition Look up'!$A$3:$A$135,0),MATCH(K168,'G-8 Condition Look up'!$A$3:$H$3,0)),"")</f>
        <v/>
      </c>
      <c r="M168" s="52"/>
      <c r="N168" s="295" t="str">
        <f>IF(M168="","",IF(VLOOKUP(M168,'G-3 Multipliers'!$L$3:$N$6,2,FALSE)=0,"Spatial Data Missing",VLOOKUP(M168,'G-3 Multipliers'!$L$3:$N$6,2,FALSE)))</f>
        <v/>
      </c>
      <c r="O168" s="281" t="str">
        <f>IF(M168="","",IF(VLOOKUP(M168,'G-3 Multipliers'!$L$3:$N$6,3,FALSE)=0,"Spatial Data Missing ▲",VLOOKUP(M168,'G-3 Multipliers'!$L$3:$N$6,3,FALSE)))</f>
        <v/>
      </c>
      <c r="P168" s="282" t="str">
        <f>(IF(G168="Yes","Bespoke compensation likely to be required",(IFERROR(VLOOKUP(AV168,'G-1 All Habitats'!$B$2:$M$135,12,FALSE),""))))</f>
        <v/>
      </c>
      <c r="Q168" s="289" t="str">
        <f>IFERROR(IF(AND(F168&lt;&gt;"",G168=""),"Confirm irreplaceable habitat status ▲",(IF(AND(E168="Individual trees",T168&gt;0,G168="Yes"),"Error - you cannot enhance irreplaceable individual trees ▲",(IF(AND(U168="Irreplaceable habitat - no units generated ⚠",(S168+T168)&lt;H168,OR(Y168="No",Y168="")),"Any Loss Unacceptable ⚠",(IF(U168="Irreplaceable habitat - no units generated ⚠",T168*J168*L168*O168,IF(AND(P168='G-1 All Habitats'!$X$9,AC168&gt;0,S168&lt;=0,T168&lt;=0,OR(Y168="No",Y168="")),"Any Loss Unacceptable ⚠",IF(AND(P168='G-1 All Habitats'!$X$9,AC168&gt;0,S168&lt;=0,T168&lt;=0,Y168="Yes"),0,(IF(AND(P168='G-1 All Habitats'!$X$9,(S168+T168)&lt;H168,OR(Y168="No",Y168="")),"Any Loss Unacceptable ⚠",(IF(P168="","",IF(AND(P168='G-1 All Habitats'!$X$9,T168&gt;0),U168+V168,IF(AND(P168='G-1 All Habitats'!$X$9,S168&gt;0),U168+V168,H168*J168*L168*O168))))))))))))))),"Check Data ▲")</f>
        <v/>
      </c>
      <c r="R168" s="38"/>
      <c r="S168" s="52"/>
      <c r="T168" s="53"/>
      <c r="U168" s="287" t="str">
        <f t="shared" si="18"/>
        <v/>
      </c>
      <c r="V168" s="287" t="str">
        <f t="shared" si="19"/>
        <v/>
      </c>
      <c r="W168" s="287" t="str">
        <f t="shared" si="20"/>
        <v/>
      </c>
      <c r="X168" s="291" t="str">
        <f>IFERROR(IF(H168="","",IF(H168-S168-T168=0&lt;0,"Error in Areas ▲",IF(S168+T168&gt;H168,"Error in Areas ▲",IF(AND(P168='G-1 All Habitats'!$X$9,Y168="Yes"),"Alternative Compensation ✓",IF(AND(P168='G-1 All Habitats'!$X$3,Y168="Yes"),"Alternative Compensation ✓",IF(AND(Y168="Pending",P168='G-1 All Habitats'!$X$3),"Bespoke compensation must be agreed ▲",IF(AND(Y168="Pending",P168='G-1 All Habitats'!$X$9),"Bespoke compensation must be agreed  ▲",IF(W168=0,0,IF(P168='G-1 All Habitats'!$X$9,"Any Loss Unacceptable ▲",Q168-U168-V168))))))))),"Check Data ▲")</f>
        <v/>
      </c>
      <c r="Y168" s="53"/>
      <c r="Z168" s="105"/>
      <c r="AA168" s="233"/>
      <c r="AB168" s="104"/>
      <c r="AC168" s="512" t="str">
        <f>IF(OR(P168="",Y168="Yes"),"",IF(P168='G-1 All Habitats'!$X$9,H168-S168-T168,"None"))</f>
        <v/>
      </c>
      <c r="AD168" s="513" t="str">
        <f>IF(P168="","",IF(P168='G-1 All Habitats'!$X$9,AC168*J168*L168*O168,"None"))</f>
        <v/>
      </c>
      <c r="AE168" s="35" t="str">
        <f t="shared" si="16"/>
        <v/>
      </c>
      <c r="AF168" s="40" t="str">
        <f t="shared" si="21"/>
        <v/>
      </c>
      <c r="AG168" s="40" t="str">
        <f t="shared" si="17"/>
        <v/>
      </c>
      <c r="AH168" s="40" t="str">
        <f>IF(I168="","",IF(#REF!&gt;0,TRUE,FALSE))</f>
        <v/>
      </c>
      <c r="AI168" s="40">
        <v>158</v>
      </c>
      <c r="AJ168" s="40"/>
      <c r="AK168" s="40" t="str">
        <f t="array" ref="AK168">IFERROR(INDEX($AI$11:$AI$259,MATCH(0,IF(TRUE=$AF$11:$AF$259,COUNTIF($AK$10:$AK167,$AI$11:$AI$259),""),0)),"")</f>
        <v/>
      </c>
      <c r="AL168" s="40" t="str">
        <f t="array" ref="AL168">IFERROR(INDEX($AI$11:$AI$259,MATCH(0,IF(TRUE=$AG$11:$AG$259,COUNTIF($AL$10:$AL167,$AI$11:$AI$259),""),0)),"")</f>
        <v/>
      </c>
      <c r="AM168" s="40" t="str">
        <f t="array" ref="AM168">IFERROR(INDEX($AI$11:$AI$259,MATCH(0,IF(TRUE=$AH$11:$AH$259,COUNTIF($AM$10:$AM167,$AI$11:$AI$259),""),0)),"")</f>
        <v/>
      </c>
      <c r="AN168" s="40"/>
      <c r="AQ168" s="35">
        <f t="shared" si="22"/>
        <v>0</v>
      </c>
      <c r="AT168" s="885" t="str">
        <f>IF(AND(OR(Y168="Yes",Y168="Pending"),P168='G-1 All Habitats'!$X$3),Q168-U168-V168,"")</f>
        <v/>
      </c>
      <c r="AV168" s="542" t="str">
        <f>IFERROR(INDEX('G-1 All Habitats'!$B$3:$B$135,MATCH(F168,'G-1 All Habitats'!$A$3:$A$135,0)),"")</f>
        <v/>
      </c>
      <c r="AW168" s="35" t="str">
        <f>IF(AV168="","",VLOOKUP(AV168,'G-1 All Habitats'!$B$1:$T$135,19,FALSE))</f>
        <v/>
      </c>
    </row>
    <row r="169" spans="1:49" ht="14.5" hidden="1" thickBot="1">
      <c r="A169" s="35" t="str">
        <f>IFERROR(INDEX('G-1 All Habitats'!$AG$3:$AG$17,MATCH(E169,'G-1 All Habitats'!$AF$3:$AF$17,0)),"")</f>
        <v/>
      </c>
      <c r="B169" s="35" t="str">
        <f>IFERROR(INDEX('G-8 Condition Look up'!$I$4:$I$135,MATCH(AV169,'G-8 Condition Look up'!$A$4:$A$135,0)),"")</f>
        <v/>
      </c>
      <c r="D169" s="225">
        <v>159</v>
      </c>
      <c r="E169" s="211"/>
      <c r="F169" s="57"/>
      <c r="G169" s="263"/>
      <c r="H169" s="51"/>
      <c r="I169" s="275" t="str">
        <f>IF(AV169="","",IF(AND(AW169="Yes",G169="No"),"Irreplaceable habitat ▲",IF(AND(AW169="No",G169="Yes"),"Cannot be Irreplaceable ▲",VLOOKUP(AV169,'G-1 All Habitats'!$B$2:$M$135,10,FALSE))))</f>
        <v/>
      </c>
      <c r="J169" s="276" t="str">
        <f>IFERROR(VLOOKUP(I169,'G-1 All Habitats'!$V$3:$W$7,2,FALSE),"")</f>
        <v/>
      </c>
      <c r="K169" s="52"/>
      <c r="L169" s="276" t="str">
        <f>IFERROR(INDEX('G-8 Condition Look up'!$A$3:$H$135,MATCH(AV169,'G-8 Condition Look up'!$A$3:$A$135,0),MATCH(K169,'G-8 Condition Look up'!$A$3:$H$3,0)),"")</f>
        <v/>
      </c>
      <c r="M169" s="52"/>
      <c r="N169" s="295" t="str">
        <f>IF(M169="","",IF(VLOOKUP(M169,'G-3 Multipliers'!$L$3:$N$6,2,FALSE)=0,"Spatial Data Missing",VLOOKUP(M169,'G-3 Multipliers'!$L$3:$N$6,2,FALSE)))</f>
        <v/>
      </c>
      <c r="O169" s="281" t="str">
        <f>IF(M169="","",IF(VLOOKUP(M169,'G-3 Multipliers'!$L$3:$N$6,3,FALSE)=0,"Spatial Data Missing ▲",VLOOKUP(M169,'G-3 Multipliers'!$L$3:$N$6,3,FALSE)))</f>
        <v/>
      </c>
      <c r="P169" s="282" t="str">
        <f>(IF(G169="Yes","Bespoke compensation likely to be required",(IFERROR(VLOOKUP(AV169,'G-1 All Habitats'!$B$2:$M$135,12,FALSE),""))))</f>
        <v/>
      </c>
      <c r="Q169" s="289" t="str">
        <f>IFERROR(IF(AND(F169&lt;&gt;"",G169=""),"Confirm irreplaceable habitat status ▲",(IF(AND(E169="Individual trees",T169&gt;0,G169="Yes"),"Error - you cannot enhance irreplaceable individual trees ▲",(IF(AND(U169="Irreplaceable habitat - no units generated ⚠",(S169+T169)&lt;H169,OR(Y169="No",Y169="")),"Any Loss Unacceptable ⚠",(IF(U169="Irreplaceable habitat - no units generated ⚠",T169*J169*L169*O169,IF(AND(P169='G-1 All Habitats'!$X$9,AC169&gt;0,S169&lt;=0,T169&lt;=0,OR(Y169="No",Y169="")),"Any Loss Unacceptable ⚠",IF(AND(P169='G-1 All Habitats'!$X$9,AC169&gt;0,S169&lt;=0,T169&lt;=0,Y169="Yes"),0,(IF(AND(P169='G-1 All Habitats'!$X$9,(S169+T169)&lt;H169,OR(Y169="No",Y169="")),"Any Loss Unacceptable ⚠",(IF(P169="","",IF(AND(P169='G-1 All Habitats'!$X$9,T169&gt;0),U169+V169,IF(AND(P169='G-1 All Habitats'!$X$9,S169&gt;0),U169+V169,H169*J169*L169*O169))))))))))))))),"Check Data ▲")</f>
        <v/>
      </c>
      <c r="R169" s="38"/>
      <c r="S169" s="52"/>
      <c r="T169" s="53"/>
      <c r="U169" s="287" t="str">
        <f t="shared" si="18"/>
        <v/>
      </c>
      <c r="V169" s="287" t="str">
        <f t="shared" si="19"/>
        <v/>
      </c>
      <c r="W169" s="287" t="str">
        <f t="shared" si="20"/>
        <v/>
      </c>
      <c r="X169" s="291" t="str">
        <f>IFERROR(IF(H169="","",IF(H169-S169-T169=0&lt;0,"Error in Areas ▲",IF(S169+T169&gt;H169,"Error in Areas ▲",IF(AND(P169='G-1 All Habitats'!$X$9,Y169="Yes"),"Alternative Compensation ✓",IF(AND(P169='G-1 All Habitats'!$X$3,Y169="Yes"),"Alternative Compensation ✓",IF(AND(Y169="Pending",P169='G-1 All Habitats'!$X$3),"Bespoke compensation must be agreed ▲",IF(AND(Y169="Pending",P169='G-1 All Habitats'!$X$9),"Bespoke compensation must be agreed  ▲",IF(W169=0,0,IF(P169='G-1 All Habitats'!$X$9,"Any Loss Unacceptable ▲",Q169-U169-V169))))))))),"Check Data ▲")</f>
        <v/>
      </c>
      <c r="Y169" s="53"/>
      <c r="Z169" s="105"/>
      <c r="AA169" s="233"/>
      <c r="AB169" s="104"/>
      <c r="AC169" s="512" t="str">
        <f>IF(OR(P169="",Y169="Yes"),"",IF(P169='G-1 All Habitats'!$X$9,H169-S169-T169,"None"))</f>
        <v/>
      </c>
      <c r="AD169" s="513" t="str">
        <f>IF(P169="","",IF(P169='G-1 All Habitats'!$X$9,AC169*J169*L169*O169,"None"))</f>
        <v/>
      </c>
      <c r="AE169" s="35" t="str">
        <f t="shared" si="16"/>
        <v/>
      </c>
      <c r="AF169" s="40" t="str">
        <f t="shared" si="21"/>
        <v/>
      </c>
      <c r="AG169" s="40" t="str">
        <f t="shared" si="17"/>
        <v/>
      </c>
      <c r="AH169" s="40" t="str">
        <f>IF(I169="","",IF(#REF!&gt;0,TRUE,FALSE))</f>
        <v/>
      </c>
      <c r="AI169" s="40">
        <v>159</v>
      </c>
      <c r="AJ169" s="40"/>
      <c r="AK169" s="40" t="str">
        <f t="array" ref="AK169">IFERROR(INDEX($AI$11:$AI$259,MATCH(0,IF(TRUE=$AF$11:$AF$259,COUNTIF($AK$10:$AK168,$AI$11:$AI$259),""),0)),"")</f>
        <v/>
      </c>
      <c r="AL169" s="40" t="str">
        <f t="array" ref="AL169">IFERROR(INDEX($AI$11:$AI$259,MATCH(0,IF(TRUE=$AG$11:$AG$259,COUNTIF($AL$10:$AL168,$AI$11:$AI$259),""),0)),"")</f>
        <v/>
      </c>
      <c r="AM169" s="40" t="str">
        <f t="array" ref="AM169">IFERROR(INDEX($AI$11:$AI$259,MATCH(0,IF(TRUE=$AH$11:$AH$259,COUNTIF($AM$10:$AM168,$AI$11:$AI$259),""),0)),"")</f>
        <v/>
      </c>
      <c r="AN169" s="40"/>
      <c r="AQ169" s="35">
        <f t="shared" si="22"/>
        <v>0</v>
      </c>
      <c r="AT169" s="885" t="str">
        <f>IF(AND(OR(Y169="Yes",Y169="Pending"),P169='G-1 All Habitats'!$X$3),Q169-U169-V169,"")</f>
        <v/>
      </c>
      <c r="AV169" s="542" t="str">
        <f>IFERROR(INDEX('G-1 All Habitats'!$B$3:$B$135,MATCH(F169,'G-1 All Habitats'!$A$3:$A$135,0)),"")</f>
        <v/>
      </c>
      <c r="AW169" s="35" t="str">
        <f>IF(AV169="","",VLOOKUP(AV169,'G-1 All Habitats'!$B$1:$T$135,19,FALSE))</f>
        <v/>
      </c>
    </row>
    <row r="170" spans="1:49" ht="14.5" hidden="1" thickBot="1">
      <c r="A170" s="35" t="str">
        <f>IFERROR(INDEX('G-1 All Habitats'!$AG$3:$AG$17,MATCH(E170,'G-1 All Habitats'!$AF$3:$AF$17,0)),"")</f>
        <v/>
      </c>
      <c r="B170" s="35" t="str">
        <f>IFERROR(INDEX('G-8 Condition Look up'!$I$4:$I$135,MATCH(AV170,'G-8 Condition Look up'!$A$4:$A$135,0)),"")</f>
        <v/>
      </c>
      <c r="D170" s="225">
        <v>160</v>
      </c>
      <c r="E170" s="211"/>
      <c r="F170" s="57"/>
      <c r="G170" s="263"/>
      <c r="H170" s="51"/>
      <c r="I170" s="275" t="str">
        <f>IF(AV170="","",IF(AND(AW170="Yes",G170="No"),"Irreplaceable habitat ▲",IF(AND(AW170="No",G170="Yes"),"Cannot be Irreplaceable ▲",VLOOKUP(AV170,'G-1 All Habitats'!$B$2:$M$135,10,FALSE))))</f>
        <v/>
      </c>
      <c r="J170" s="276" t="str">
        <f>IFERROR(VLOOKUP(I170,'G-1 All Habitats'!$V$3:$W$7,2,FALSE),"")</f>
        <v/>
      </c>
      <c r="K170" s="52"/>
      <c r="L170" s="276" t="str">
        <f>IFERROR(INDEX('G-8 Condition Look up'!$A$3:$H$135,MATCH(AV170,'G-8 Condition Look up'!$A$3:$A$135,0),MATCH(K170,'G-8 Condition Look up'!$A$3:$H$3,0)),"")</f>
        <v/>
      </c>
      <c r="M170" s="52"/>
      <c r="N170" s="295" t="str">
        <f>IF(M170="","",IF(VLOOKUP(M170,'G-3 Multipliers'!$L$3:$N$6,2,FALSE)=0,"Spatial Data Missing",VLOOKUP(M170,'G-3 Multipliers'!$L$3:$N$6,2,FALSE)))</f>
        <v/>
      </c>
      <c r="O170" s="281" t="str">
        <f>IF(M170="","",IF(VLOOKUP(M170,'G-3 Multipliers'!$L$3:$N$6,3,FALSE)=0,"Spatial Data Missing ▲",VLOOKUP(M170,'G-3 Multipliers'!$L$3:$N$6,3,FALSE)))</f>
        <v/>
      </c>
      <c r="P170" s="282" t="str">
        <f>(IF(G170="Yes","Bespoke compensation likely to be required",(IFERROR(VLOOKUP(AV170,'G-1 All Habitats'!$B$2:$M$135,12,FALSE),""))))</f>
        <v/>
      </c>
      <c r="Q170" s="289" t="str">
        <f>IFERROR(IF(AND(F170&lt;&gt;"",G170=""),"Confirm irreplaceable habitat status ▲",(IF(AND(E170="Individual trees",T170&gt;0,G170="Yes"),"Error - you cannot enhance irreplaceable individual trees ▲",(IF(AND(U170="Irreplaceable habitat - no units generated ⚠",(S170+T170)&lt;H170,OR(Y170="No",Y170="")),"Any Loss Unacceptable ⚠",(IF(U170="Irreplaceable habitat - no units generated ⚠",T170*J170*L170*O170,IF(AND(P170='G-1 All Habitats'!$X$9,AC170&gt;0,S170&lt;=0,T170&lt;=0,OR(Y170="No",Y170="")),"Any Loss Unacceptable ⚠",IF(AND(P170='G-1 All Habitats'!$X$9,AC170&gt;0,S170&lt;=0,T170&lt;=0,Y170="Yes"),0,(IF(AND(P170='G-1 All Habitats'!$X$9,(S170+T170)&lt;H170,OR(Y170="No",Y170="")),"Any Loss Unacceptable ⚠",(IF(P170="","",IF(AND(P170='G-1 All Habitats'!$X$9,T170&gt;0),U170+V170,IF(AND(P170='G-1 All Habitats'!$X$9,S170&gt;0),U170+V170,H170*J170*L170*O170))))))))))))))),"Check Data ▲")</f>
        <v/>
      </c>
      <c r="R170" s="38"/>
      <c r="S170" s="52"/>
      <c r="T170" s="53"/>
      <c r="U170" s="287" t="str">
        <f t="shared" si="18"/>
        <v/>
      </c>
      <c r="V170" s="287" t="str">
        <f t="shared" si="19"/>
        <v/>
      </c>
      <c r="W170" s="287" t="str">
        <f t="shared" si="20"/>
        <v/>
      </c>
      <c r="X170" s="291" t="str">
        <f>IFERROR(IF(H170="","",IF(H170-S170-T170=0&lt;0,"Error in Areas ▲",IF(S170+T170&gt;H170,"Error in Areas ▲",IF(AND(P170='G-1 All Habitats'!$X$9,Y170="Yes"),"Alternative Compensation ✓",IF(AND(P170='G-1 All Habitats'!$X$3,Y170="Yes"),"Alternative Compensation ✓",IF(AND(Y170="Pending",P170='G-1 All Habitats'!$X$3),"Bespoke compensation must be agreed ▲",IF(AND(Y170="Pending",P170='G-1 All Habitats'!$X$9),"Bespoke compensation must be agreed  ▲",IF(W170=0,0,IF(P170='G-1 All Habitats'!$X$9,"Any Loss Unacceptable ▲",Q170-U170-V170))))))))),"Check Data ▲")</f>
        <v/>
      </c>
      <c r="Y170" s="53"/>
      <c r="Z170" s="105"/>
      <c r="AA170" s="233"/>
      <c r="AB170" s="104"/>
      <c r="AC170" s="512" t="str">
        <f>IF(OR(P170="",Y170="Yes"),"",IF(P170='G-1 All Habitats'!$X$9,H170-S170-T170,"None"))</f>
        <v/>
      </c>
      <c r="AD170" s="513" t="str">
        <f>IF(P170="","",IF(P170='G-1 All Habitats'!$X$9,AC170*J170*L170*O170,"None"))</f>
        <v/>
      </c>
      <c r="AE170" s="35" t="str">
        <f t="shared" si="16"/>
        <v/>
      </c>
      <c r="AF170" s="40" t="str">
        <f t="shared" si="21"/>
        <v/>
      </c>
      <c r="AG170" s="40" t="str">
        <f t="shared" si="17"/>
        <v/>
      </c>
      <c r="AH170" s="40" t="str">
        <f>IF(I170="","",IF(#REF!&gt;0,TRUE,FALSE))</f>
        <v/>
      </c>
      <c r="AI170" s="40">
        <v>160</v>
      </c>
      <c r="AJ170" s="40"/>
      <c r="AK170" s="40" t="str">
        <f t="array" ref="AK170">IFERROR(INDEX($AI$11:$AI$259,MATCH(0,IF(TRUE=$AF$11:$AF$259,COUNTIF($AK$10:$AK169,$AI$11:$AI$259),""),0)),"")</f>
        <v/>
      </c>
      <c r="AL170" s="40" t="str">
        <f t="array" ref="AL170">IFERROR(INDEX($AI$11:$AI$259,MATCH(0,IF(TRUE=$AG$11:$AG$259,COUNTIF($AL$10:$AL169,$AI$11:$AI$259),""),0)),"")</f>
        <v/>
      </c>
      <c r="AM170" s="40" t="str">
        <f t="array" ref="AM170">IFERROR(INDEX($AI$11:$AI$259,MATCH(0,IF(TRUE=$AH$11:$AH$259,COUNTIF($AM$10:$AM169,$AI$11:$AI$259),""),0)),"")</f>
        <v/>
      </c>
      <c r="AN170" s="40"/>
      <c r="AQ170" s="35">
        <f t="shared" si="22"/>
        <v>0</v>
      </c>
      <c r="AT170" s="885" t="str">
        <f>IF(AND(OR(Y170="Yes",Y170="Pending"),P170='G-1 All Habitats'!$X$3),Q170-U170-V170,"")</f>
        <v/>
      </c>
      <c r="AV170" s="542" t="str">
        <f>IFERROR(INDEX('G-1 All Habitats'!$B$3:$B$135,MATCH(F170,'G-1 All Habitats'!$A$3:$A$135,0)),"")</f>
        <v/>
      </c>
      <c r="AW170" s="35" t="str">
        <f>IF(AV170="","",VLOOKUP(AV170,'G-1 All Habitats'!$B$1:$T$135,19,FALSE))</f>
        <v/>
      </c>
    </row>
    <row r="171" spans="1:49" ht="14.5" hidden="1" thickBot="1">
      <c r="A171" s="35" t="str">
        <f>IFERROR(INDEX('G-1 All Habitats'!$AG$3:$AG$17,MATCH(E171,'G-1 All Habitats'!$AF$3:$AF$17,0)),"")</f>
        <v/>
      </c>
      <c r="B171" s="35" t="str">
        <f>IFERROR(INDEX('G-8 Condition Look up'!$I$4:$I$135,MATCH(AV171,'G-8 Condition Look up'!$A$4:$A$135,0)),"")</f>
        <v/>
      </c>
      <c r="D171" s="225">
        <v>161</v>
      </c>
      <c r="E171" s="211"/>
      <c r="F171" s="57"/>
      <c r="G171" s="263"/>
      <c r="H171" s="51"/>
      <c r="I171" s="275" t="str">
        <f>IF(AV171="","",IF(AND(AW171="Yes",G171="No"),"Irreplaceable habitat ▲",IF(AND(AW171="No",G171="Yes"),"Cannot be Irreplaceable ▲",VLOOKUP(AV171,'G-1 All Habitats'!$B$2:$M$135,10,FALSE))))</f>
        <v/>
      </c>
      <c r="J171" s="276" t="str">
        <f>IFERROR(VLOOKUP(I171,'G-1 All Habitats'!$V$3:$W$7,2,FALSE),"")</f>
        <v/>
      </c>
      <c r="K171" s="52"/>
      <c r="L171" s="276" t="str">
        <f>IFERROR(INDEX('G-8 Condition Look up'!$A$3:$H$135,MATCH(AV171,'G-8 Condition Look up'!$A$3:$A$135,0),MATCH(K171,'G-8 Condition Look up'!$A$3:$H$3,0)),"")</f>
        <v/>
      </c>
      <c r="M171" s="52"/>
      <c r="N171" s="295" t="str">
        <f>IF(M171="","",IF(VLOOKUP(M171,'G-3 Multipliers'!$L$3:$N$6,2,FALSE)=0,"Spatial Data Missing",VLOOKUP(M171,'G-3 Multipliers'!$L$3:$N$6,2,FALSE)))</f>
        <v/>
      </c>
      <c r="O171" s="281" t="str">
        <f>IF(M171="","",IF(VLOOKUP(M171,'G-3 Multipliers'!$L$3:$N$6,3,FALSE)=0,"Spatial Data Missing ▲",VLOOKUP(M171,'G-3 Multipliers'!$L$3:$N$6,3,FALSE)))</f>
        <v/>
      </c>
      <c r="P171" s="282" t="str">
        <f>(IF(G171="Yes","Bespoke compensation likely to be required",(IFERROR(VLOOKUP(AV171,'G-1 All Habitats'!$B$2:$M$135,12,FALSE),""))))</f>
        <v/>
      </c>
      <c r="Q171" s="289" t="str">
        <f>IFERROR(IF(AND(F171&lt;&gt;"",G171=""),"Confirm irreplaceable habitat status ▲",(IF(AND(E171="Individual trees",T171&gt;0,G171="Yes"),"Error - you cannot enhance irreplaceable individual trees ▲",(IF(AND(U171="Irreplaceable habitat - no units generated ⚠",(S171+T171)&lt;H171,OR(Y171="No",Y171="")),"Any Loss Unacceptable ⚠",(IF(U171="Irreplaceable habitat - no units generated ⚠",T171*J171*L171*O171,IF(AND(P171='G-1 All Habitats'!$X$9,AC171&gt;0,S171&lt;=0,T171&lt;=0,OR(Y171="No",Y171="")),"Any Loss Unacceptable ⚠",IF(AND(P171='G-1 All Habitats'!$X$9,AC171&gt;0,S171&lt;=0,T171&lt;=0,Y171="Yes"),0,(IF(AND(P171='G-1 All Habitats'!$X$9,(S171+T171)&lt;H171,OR(Y171="No",Y171="")),"Any Loss Unacceptable ⚠",(IF(P171="","",IF(AND(P171='G-1 All Habitats'!$X$9,T171&gt;0),U171+V171,IF(AND(P171='G-1 All Habitats'!$X$9,S171&gt;0),U171+V171,H171*J171*L171*O171))))))))))))))),"Check Data ▲")</f>
        <v/>
      </c>
      <c r="R171" s="38"/>
      <c r="S171" s="52"/>
      <c r="T171" s="53"/>
      <c r="U171" s="287" t="str">
        <f t="shared" si="18"/>
        <v/>
      </c>
      <c r="V171" s="287" t="str">
        <f t="shared" si="19"/>
        <v/>
      </c>
      <c r="W171" s="287" t="str">
        <f t="shared" si="20"/>
        <v/>
      </c>
      <c r="X171" s="291" t="str">
        <f>IFERROR(IF(H171="","",IF(H171-S171-T171=0&lt;0,"Error in Areas ▲",IF(S171+T171&gt;H171,"Error in Areas ▲",IF(AND(P171='G-1 All Habitats'!$X$9,Y171="Yes"),"Alternative Compensation ✓",IF(AND(P171='G-1 All Habitats'!$X$3,Y171="Yes"),"Alternative Compensation ✓",IF(AND(Y171="Pending",P171='G-1 All Habitats'!$X$3),"Bespoke compensation must be agreed ▲",IF(AND(Y171="Pending",P171='G-1 All Habitats'!$X$9),"Bespoke compensation must be agreed  ▲",IF(W171=0,0,IF(P171='G-1 All Habitats'!$X$9,"Any Loss Unacceptable ▲",Q171-U171-V171))))))))),"Check Data ▲")</f>
        <v/>
      </c>
      <c r="Y171" s="53"/>
      <c r="Z171" s="105"/>
      <c r="AA171" s="233"/>
      <c r="AB171" s="104"/>
      <c r="AC171" s="512" t="str">
        <f>IF(OR(P171="",Y171="Yes"),"",IF(P171='G-1 All Habitats'!$X$9,H171-S171-T171,"None"))</f>
        <v/>
      </c>
      <c r="AD171" s="513" t="str">
        <f>IF(P171="","",IF(P171='G-1 All Habitats'!$X$9,AC171*J171*L171*O171,"None"))</f>
        <v/>
      </c>
      <c r="AE171" s="35" t="str">
        <f t="shared" si="16"/>
        <v/>
      </c>
      <c r="AF171" s="40" t="str">
        <f t="shared" si="21"/>
        <v/>
      </c>
      <c r="AG171" s="40" t="str">
        <f t="shared" si="17"/>
        <v/>
      </c>
      <c r="AH171" s="40" t="str">
        <f>IF(I171="","",IF(#REF!&gt;0,TRUE,FALSE))</f>
        <v/>
      </c>
      <c r="AI171" s="40">
        <v>161</v>
      </c>
      <c r="AJ171" s="40"/>
      <c r="AK171" s="40" t="str">
        <f t="array" ref="AK171">IFERROR(INDEX($AI$11:$AI$259,MATCH(0,IF(TRUE=$AF$11:$AF$259,COUNTIF($AK$10:$AK170,$AI$11:$AI$259),""),0)),"")</f>
        <v/>
      </c>
      <c r="AL171" s="40" t="str">
        <f t="array" ref="AL171">IFERROR(INDEX($AI$11:$AI$259,MATCH(0,IF(TRUE=$AG$11:$AG$259,COUNTIF($AL$10:$AL170,$AI$11:$AI$259),""),0)),"")</f>
        <v/>
      </c>
      <c r="AM171" s="40" t="str">
        <f t="array" ref="AM171">IFERROR(INDEX($AI$11:$AI$259,MATCH(0,IF(TRUE=$AH$11:$AH$259,COUNTIF($AM$10:$AM170,$AI$11:$AI$259),""),0)),"")</f>
        <v/>
      </c>
      <c r="AN171" s="40"/>
      <c r="AQ171" s="35">
        <f t="shared" si="22"/>
        <v>0</v>
      </c>
      <c r="AT171" s="885" t="str">
        <f>IF(AND(OR(Y171="Yes",Y171="Pending"),P171='G-1 All Habitats'!$X$3),Q171-U171-V171,"")</f>
        <v/>
      </c>
      <c r="AV171" s="542" t="str">
        <f>IFERROR(INDEX('G-1 All Habitats'!$B$3:$B$135,MATCH(F171,'G-1 All Habitats'!$A$3:$A$135,0)),"")</f>
        <v/>
      </c>
      <c r="AW171" s="35" t="str">
        <f>IF(AV171="","",VLOOKUP(AV171,'G-1 All Habitats'!$B$1:$T$135,19,FALSE))</f>
        <v/>
      </c>
    </row>
    <row r="172" spans="1:49" ht="14.5" hidden="1" thickBot="1">
      <c r="A172" s="35" t="str">
        <f>IFERROR(INDEX('G-1 All Habitats'!$AG$3:$AG$17,MATCH(E172,'G-1 All Habitats'!$AF$3:$AF$17,0)),"")</f>
        <v/>
      </c>
      <c r="B172" s="35" t="str">
        <f>IFERROR(INDEX('G-8 Condition Look up'!$I$4:$I$135,MATCH(AV172,'G-8 Condition Look up'!$A$4:$A$135,0)),"")</f>
        <v/>
      </c>
      <c r="D172" s="225">
        <v>162</v>
      </c>
      <c r="E172" s="211"/>
      <c r="F172" s="57"/>
      <c r="G172" s="263"/>
      <c r="H172" s="51"/>
      <c r="I172" s="275" t="str">
        <f>IF(AV172="","",IF(AND(AW172="Yes",G172="No"),"Irreplaceable habitat ▲",IF(AND(AW172="No",G172="Yes"),"Cannot be Irreplaceable ▲",VLOOKUP(AV172,'G-1 All Habitats'!$B$2:$M$135,10,FALSE))))</f>
        <v/>
      </c>
      <c r="J172" s="276" t="str">
        <f>IFERROR(VLOOKUP(I172,'G-1 All Habitats'!$V$3:$W$7,2,FALSE),"")</f>
        <v/>
      </c>
      <c r="K172" s="52"/>
      <c r="L172" s="276" t="str">
        <f>IFERROR(INDEX('G-8 Condition Look up'!$A$3:$H$135,MATCH(AV172,'G-8 Condition Look up'!$A$3:$A$135,0),MATCH(K172,'G-8 Condition Look up'!$A$3:$H$3,0)),"")</f>
        <v/>
      </c>
      <c r="M172" s="52"/>
      <c r="N172" s="295" t="str">
        <f>IF(M172="","",IF(VLOOKUP(M172,'G-3 Multipliers'!$L$3:$N$6,2,FALSE)=0,"Spatial Data Missing",VLOOKUP(M172,'G-3 Multipliers'!$L$3:$N$6,2,FALSE)))</f>
        <v/>
      </c>
      <c r="O172" s="281" t="str">
        <f>IF(M172="","",IF(VLOOKUP(M172,'G-3 Multipliers'!$L$3:$N$6,3,FALSE)=0,"Spatial Data Missing ▲",VLOOKUP(M172,'G-3 Multipliers'!$L$3:$N$6,3,FALSE)))</f>
        <v/>
      </c>
      <c r="P172" s="282" t="str">
        <f>(IF(G172="Yes","Bespoke compensation likely to be required",(IFERROR(VLOOKUP(AV172,'G-1 All Habitats'!$B$2:$M$135,12,FALSE),""))))</f>
        <v/>
      </c>
      <c r="Q172" s="289" t="str">
        <f>IFERROR(IF(AND(F172&lt;&gt;"",G172=""),"Confirm irreplaceable habitat status ▲",(IF(AND(E172="Individual trees",T172&gt;0,G172="Yes"),"Error - you cannot enhance irreplaceable individual trees ▲",(IF(AND(U172="Irreplaceable habitat - no units generated ⚠",(S172+T172)&lt;H172,OR(Y172="No",Y172="")),"Any Loss Unacceptable ⚠",(IF(U172="Irreplaceable habitat - no units generated ⚠",T172*J172*L172*O172,IF(AND(P172='G-1 All Habitats'!$X$9,AC172&gt;0,S172&lt;=0,T172&lt;=0,OR(Y172="No",Y172="")),"Any Loss Unacceptable ⚠",IF(AND(P172='G-1 All Habitats'!$X$9,AC172&gt;0,S172&lt;=0,T172&lt;=0,Y172="Yes"),0,(IF(AND(P172='G-1 All Habitats'!$X$9,(S172+T172)&lt;H172,OR(Y172="No",Y172="")),"Any Loss Unacceptable ⚠",(IF(P172="","",IF(AND(P172='G-1 All Habitats'!$X$9,T172&gt;0),U172+V172,IF(AND(P172='G-1 All Habitats'!$X$9,S172&gt;0),U172+V172,H172*J172*L172*O172))))))))))))))),"Check Data ▲")</f>
        <v/>
      </c>
      <c r="R172" s="38"/>
      <c r="S172" s="52"/>
      <c r="T172" s="53"/>
      <c r="U172" s="287" t="str">
        <f t="shared" si="18"/>
        <v/>
      </c>
      <c r="V172" s="287" t="str">
        <f t="shared" si="19"/>
        <v/>
      </c>
      <c r="W172" s="287" t="str">
        <f t="shared" si="20"/>
        <v/>
      </c>
      <c r="X172" s="291" t="str">
        <f>IFERROR(IF(H172="","",IF(H172-S172-T172=0&lt;0,"Error in Areas ▲",IF(S172+T172&gt;H172,"Error in Areas ▲",IF(AND(P172='G-1 All Habitats'!$X$9,Y172="Yes"),"Alternative Compensation ✓",IF(AND(P172='G-1 All Habitats'!$X$3,Y172="Yes"),"Alternative Compensation ✓",IF(AND(Y172="Pending",P172='G-1 All Habitats'!$X$3),"Bespoke compensation must be agreed ▲",IF(AND(Y172="Pending",P172='G-1 All Habitats'!$X$9),"Bespoke compensation must be agreed  ▲",IF(W172=0,0,IF(P172='G-1 All Habitats'!$X$9,"Any Loss Unacceptable ▲",Q172-U172-V172))))))))),"Check Data ▲")</f>
        <v/>
      </c>
      <c r="Y172" s="53"/>
      <c r="Z172" s="105"/>
      <c r="AA172" s="233"/>
      <c r="AB172" s="104"/>
      <c r="AC172" s="512" t="str">
        <f>IF(OR(P172="",Y172="Yes"),"",IF(P172='G-1 All Habitats'!$X$9,H172-S172-T172,"None"))</f>
        <v/>
      </c>
      <c r="AD172" s="513" t="str">
        <f>IF(P172="","",IF(P172='G-1 All Habitats'!$X$9,AC172*J172*L172*O172,"None"))</f>
        <v/>
      </c>
      <c r="AE172" s="35" t="str">
        <f t="shared" si="16"/>
        <v/>
      </c>
      <c r="AF172" s="40" t="str">
        <f t="shared" si="21"/>
        <v/>
      </c>
      <c r="AG172" s="40" t="str">
        <f t="shared" si="17"/>
        <v/>
      </c>
      <c r="AH172" s="40" t="str">
        <f>IF(I172="","",IF(#REF!&gt;0,TRUE,FALSE))</f>
        <v/>
      </c>
      <c r="AI172" s="40">
        <v>162</v>
      </c>
      <c r="AJ172" s="40"/>
      <c r="AK172" s="40" t="str">
        <f t="array" ref="AK172">IFERROR(INDEX($AI$11:$AI$259,MATCH(0,IF(TRUE=$AF$11:$AF$259,COUNTIF($AK$10:$AK171,$AI$11:$AI$259),""),0)),"")</f>
        <v/>
      </c>
      <c r="AL172" s="40" t="str">
        <f t="array" ref="AL172">IFERROR(INDEX($AI$11:$AI$259,MATCH(0,IF(TRUE=$AG$11:$AG$259,COUNTIF($AL$10:$AL171,$AI$11:$AI$259),""),0)),"")</f>
        <v/>
      </c>
      <c r="AM172" s="40" t="str">
        <f t="array" ref="AM172">IFERROR(INDEX($AI$11:$AI$259,MATCH(0,IF(TRUE=$AH$11:$AH$259,COUNTIF($AM$10:$AM171,$AI$11:$AI$259),""),0)),"")</f>
        <v/>
      </c>
      <c r="AN172" s="40"/>
      <c r="AQ172" s="35">
        <f t="shared" si="22"/>
        <v>0</v>
      </c>
      <c r="AT172" s="885" t="str">
        <f>IF(AND(OR(Y172="Yes",Y172="Pending"),P172='G-1 All Habitats'!$X$3),Q172-U172-V172,"")</f>
        <v/>
      </c>
      <c r="AV172" s="542" t="str">
        <f>IFERROR(INDEX('G-1 All Habitats'!$B$3:$B$135,MATCH(F172,'G-1 All Habitats'!$A$3:$A$135,0)),"")</f>
        <v/>
      </c>
      <c r="AW172" s="35" t="str">
        <f>IF(AV172="","",VLOOKUP(AV172,'G-1 All Habitats'!$B$1:$T$135,19,FALSE))</f>
        <v/>
      </c>
    </row>
    <row r="173" spans="1:49" ht="14.5" hidden="1" thickBot="1">
      <c r="A173" s="35" t="str">
        <f>IFERROR(INDEX('G-1 All Habitats'!$AG$3:$AG$17,MATCH(E173,'G-1 All Habitats'!$AF$3:$AF$17,0)),"")</f>
        <v/>
      </c>
      <c r="B173" s="35" t="str">
        <f>IFERROR(INDEX('G-8 Condition Look up'!$I$4:$I$135,MATCH(AV173,'G-8 Condition Look up'!$A$4:$A$135,0)),"")</f>
        <v/>
      </c>
      <c r="D173" s="225">
        <v>163</v>
      </c>
      <c r="E173" s="211"/>
      <c r="F173" s="57"/>
      <c r="G173" s="263"/>
      <c r="H173" s="51"/>
      <c r="I173" s="275" t="str">
        <f>IF(AV173="","",IF(AND(AW173="Yes",G173="No"),"Irreplaceable habitat ▲",IF(AND(AW173="No",G173="Yes"),"Cannot be Irreplaceable ▲",VLOOKUP(AV173,'G-1 All Habitats'!$B$2:$M$135,10,FALSE))))</f>
        <v/>
      </c>
      <c r="J173" s="276" t="str">
        <f>IFERROR(VLOOKUP(I173,'G-1 All Habitats'!$V$3:$W$7,2,FALSE),"")</f>
        <v/>
      </c>
      <c r="K173" s="52"/>
      <c r="L173" s="276" t="str">
        <f>IFERROR(INDEX('G-8 Condition Look up'!$A$3:$H$135,MATCH(AV173,'G-8 Condition Look up'!$A$3:$A$135,0),MATCH(K173,'G-8 Condition Look up'!$A$3:$H$3,0)),"")</f>
        <v/>
      </c>
      <c r="M173" s="52"/>
      <c r="N173" s="295" t="str">
        <f>IF(M173="","",IF(VLOOKUP(M173,'G-3 Multipliers'!$L$3:$N$6,2,FALSE)=0,"Spatial Data Missing",VLOOKUP(M173,'G-3 Multipliers'!$L$3:$N$6,2,FALSE)))</f>
        <v/>
      </c>
      <c r="O173" s="281" t="str">
        <f>IF(M173="","",IF(VLOOKUP(M173,'G-3 Multipliers'!$L$3:$N$6,3,FALSE)=0,"Spatial Data Missing ▲",VLOOKUP(M173,'G-3 Multipliers'!$L$3:$N$6,3,FALSE)))</f>
        <v/>
      </c>
      <c r="P173" s="282" t="str">
        <f>(IF(G173="Yes","Bespoke compensation likely to be required",(IFERROR(VLOOKUP(AV173,'G-1 All Habitats'!$B$2:$M$135,12,FALSE),""))))</f>
        <v/>
      </c>
      <c r="Q173" s="289" t="str">
        <f>IFERROR(IF(AND(F173&lt;&gt;"",G173=""),"Confirm irreplaceable habitat status ▲",(IF(AND(E173="Individual trees",T173&gt;0,G173="Yes"),"Error - you cannot enhance irreplaceable individual trees ▲",(IF(AND(U173="Irreplaceable habitat - no units generated ⚠",(S173+T173)&lt;H173,OR(Y173="No",Y173="")),"Any Loss Unacceptable ⚠",(IF(U173="Irreplaceable habitat - no units generated ⚠",T173*J173*L173*O173,IF(AND(P173='G-1 All Habitats'!$X$9,AC173&gt;0,S173&lt;=0,T173&lt;=0,OR(Y173="No",Y173="")),"Any Loss Unacceptable ⚠",IF(AND(P173='G-1 All Habitats'!$X$9,AC173&gt;0,S173&lt;=0,T173&lt;=0,Y173="Yes"),0,(IF(AND(P173='G-1 All Habitats'!$X$9,(S173+T173)&lt;H173,OR(Y173="No",Y173="")),"Any Loss Unacceptable ⚠",(IF(P173="","",IF(AND(P173='G-1 All Habitats'!$X$9,T173&gt;0),U173+V173,IF(AND(P173='G-1 All Habitats'!$X$9,S173&gt;0),U173+V173,H173*J173*L173*O173))))))))))))))),"Check Data ▲")</f>
        <v/>
      </c>
      <c r="R173" s="38"/>
      <c r="S173" s="52"/>
      <c r="T173" s="53"/>
      <c r="U173" s="287" t="str">
        <f t="shared" si="18"/>
        <v/>
      </c>
      <c r="V173" s="287" t="str">
        <f t="shared" si="19"/>
        <v/>
      </c>
      <c r="W173" s="287" t="str">
        <f t="shared" si="20"/>
        <v/>
      </c>
      <c r="X173" s="291" t="str">
        <f>IFERROR(IF(H173="","",IF(H173-S173-T173=0&lt;0,"Error in Areas ▲",IF(S173+T173&gt;H173,"Error in Areas ▲",IF(AND(P173='G-1 All Habitats'!$X$9,Y173="Yes"),"Alternative Compensation ✓",IF(AND(P173='G-1 All Habitats'!$X$3,Y173="Yes"),"Alternative Compensation ✓",IF(AND(Y173="Pending",P173='G-1 All Habitats'!$X$3),"Bespoke compensation must be agreed ▲",IF(AND(Y173="Pending",P173='G-1 All Habitats'!$X$9),"Bespoke compensation must be agreed  ▲",IF(W173=0,0,IF(P173='G-1 All Habitats'!$X$9,"Any Loss Unacceptable ▲",Q173-U173-V173))))))))),"Check Data ▲")</f>
        <v/>
      </c>
      <c r="Y173" s="53"/>
      <c r="Z173" s="105"/>
      <c r="AA173" s="233"/>
      <c r="AB173" s="104"/>
      <c r="AC173" s="512" t="str">
        <f>IF(OR(P173="",Y173="Yes"),"",IF(P173='G-1 All Habitats'!$X$9,H173-S173-T173,"None"))</f>
        <v/>
      </c>
      <c r="AD173" s="513" t="str">
        <f>IF(P173="","",IF(P173='G-1 All Habitats'!$X$9,AC173*J173*L173*O173,"None"))</f>
        <v/>
      </c>
      <c r="AE173" s="35" t="str">
        <f t="shared" si="16"/>
        <v/>
      </c>
      <c r="AF173" s="40" t="str">
        <f t="shared" si="21"/>
        <v/>
      </c>
      <c r="AG173" s="40" t="str">
        <f t="shared" si="17"/>
        <v/>
      </c>
      <c r="AH173" s="40" t="str">
        <f>IF(I173="","",IF(#REF!&gt;0,TRUE,FALSE))</f>
        <v/>
      </c>
      <c r="AI173" s="40">
        <v>163</v>
      </c>
      <c r="AJ173" s="40"/>
      <c r="AK173" s="40" t="str">
        <f t="array" ref="AK173">IFERROR(INDEX($AI$11:$AI$259,MATCH(0,IF(TRUE=$AF$11:$AF$259,COUNTIF($AK$10:$AK172,$AI$11:$AI$259),""),0)),"")</f>
        <v/>
      </c>
      <c r="AL173" s="40" t="str">
        <f t="array" ref="AL173">IFERROR(INDEX($AI$11:$AI$259,MATCH(0,IF(TRUE=$AG$11:$AG$259,COUNTIF($AL$10:$AL172,$AI$11:$AI$259),""),0)),"")</f>
        <v/>
      </c>
      <c r="AM173" s="40" t="str">
        <f t="array" ref="AM173">IFERROR(INDEX($AI$11:$AI$259,MATCH(0,IF(TRUE=$AH$11:$AH$259,COUNTIF($AM$10:$AM172,$AI$11:$AI$259),""),0)),"")</f>
        <v/>
      </c>
      <c r="AN173" s="40"/>
      <c r="AQ173" s="35">
        <f t="shared" si="22"/>
        <v>0</v>
      </c>
      <c r="AT173" s="885" t="str">
        <f>IF(AND(OR(Y173="Yes",Y173="Pending"),P173='G-1 All Habitats'!$X$3),Q173-U173-V173,"")</f>
        <v/>
      </c>
      <c r="AV173" s="542" t="str">
        <f>IFERROR(INDEX('G-1 All Habitats'!$B$3:$B$135,MATCH(F173,'G-1 All Habitats'!$A$3:$A$135,0)),"")</f>
        <v/>
      </c>
      <c r="AW173" s="35" t="str">
        <f>IF(AV173="","",VLOOKUP(AV173,'G-1 All Habitats'!$B$1:$T$135,19,FALSE))</f>
        <v/>
      </c>
    </row>
    <row r="174" spans="1:49" ht="14.5" hidden="1" thickBot="1">
      <c r="A174" s="35" t="str">
        <f>IFERROR(INDEX('G-1 All Habitats'!$AG$3:$AG$17,MATCH(E174,'G-1 All Habitats'!$AF$3:$AF$17,0)),"")</f>
        <v/>
      </c>
      <c r="B174" s="35" t="str">
        <f>IFERROR(INDEX('G-8 Condition Look up'!$I$4:$I$135,MATCH(AV174,'G-8 Condition Look up'!$A$4:$A$135,0)),"")</f>
        <v/>
      </c>
      <c r="D174" s="225">
        <v>164</v>
      </c>
      <c r="E174" s="211"/>
      <c r="F174" s="57"/>
      <c r="G174" s="263"/>
      <c r="H174" s="51"/>
      <c r="I174" s="275" t="str">
        <f>IF(AV174="","",IF(AND(AW174="Yes",G174="No"),"Irreplaceable habitat ▲",IF(AND(AW174="No",G174="Yes"),"Cannot be Irreplaceable ▲",VLOOKUP(AV174,'G-1 All Habitats'!$B$2:$M$135,10,FALSE))))</f>
        <v/>
      </c>
      <c r="J174" s="276" t="str">
        <f>IFERROR(VLOOKUP(I174,'G-1 All Habitats'!$V$3:$W$7,2,FALSE),"")</f>
        <v/>
      </c>
      <c r="K174" s="52"/>
      <c r="L174" s="276" t="str">
        <f>IFERROR(INDEX('G-8 Condition Look up'!$A$3:$H$135,MATCH(AV174,'G-8 Condition Look up'!$A$3:$A$135,0),MATCH(K174,'G-8 Condition Look up'!$A$3:$H$3,0)),"")</f>
        <v/>
      </c>
      <c r="M174" s="52"/>
      <c r="N174" s="295" t="str">
        <f>IF(M174="","",IF(VLOOKUP(M174,'G-3 Multipliers'!$L$3:$N$6,2,FALSE)=0,"Spatial Data Missing",VLOOKUP(M174,'G-3 Multipliers'!$L$3:$N$6,2,FALSE)))</f>
        <v/>
      </c>
      <c r="O174" s="281" t="str">
        <f>IF(M174="","",IF(VLOOKUP(M174,'G-3 Multipliers'!$L$3:$N$6,3,FALSE)=0,"Spatial Data Missing ▲",VLOOKUP(M174,'G-3 Multipliers'!$L$3:$N$6,3,FALSE)))</f>
        <v/>
      </c>
      <c r="P174" s="282" t="str">
        <f>(IF(G174="Yes","Bespoke compensation likely to be required",(IFERROR(VLOOKUP(AV174,'G-1 All Habitats'!$B$2:$M$135,12,FALSE),""))))</f>
        <v/>
      </c>
      <c r="Q174" s="289" t="str">
        <f>IFERROR(IF(AND(F174&lt;&gt;"",G174=""),"Confirm irreplaceable habitat status ▲",(IF(AND(E174="Individual trees",T174&gt;0,G174="Yes"),"Error - you cannot enhance irreplaceable individual trees ▲",(IF(AND(U174="Irreplaceable habitat - no units generated ⚠",(S174+T174)&lt;H174,OR(Y174="No",Y174="")),"Any Loss Unacceptable ⚠",(IF(U174="Irreplaceable habitat - no units generated ⚠",T174*J174*L174*O174,IF(AND(P174='G-1 All Habitats'!$X$9,AC174&gt;0,S174&lt;=0,T174&lt;=0,OR(Y174="No",Y174="")),"Any Loss Unacceptable ⚠",IF(AND(P174='G-1 All Habitats'!$X$9,AC174&gt;0,S174&lt;=0,T174&lt;=0,Y174="Yes"),0,(IF(AND(P174='G-1 All Habitats'!$X$9,(S174+T174)&lt;H174,OR(Y174="No",Y174="")),"Any Loss Unacceptable ⚠",(IF(P174="","",IF(AND(P174='G-1 All Habitats'!$X$9,T174&gt;0),U174+V174,IF(AND(P174='G-1 All Habitats'!$X$9,S174&gt;0),U174+V174,H174*J174*L174*O174))))))))))))))),"Check Data ▲")</f>
        <v/>
      </c>
      <c r="R174" s="38"/>
      <c r="S174" s="52"/>
      <c r="T174" s="53"/>
      <c r="U174" s="287" t="str">
        <f t="shared" si="18"/>
        <v/>
      </c>
      <c r="V174" s="287" t="str">
        <f t="shared" si="19"/>
        <v/>
      </c>
      <c r="W174" s="287" t="str">
        <f t="shared" si="20"/>
        <v/>
      </c>
      <c r="X174" s="291" t="str">
        <f>IFERROR(IF(H174="","",IF(H174-S174-T174=0&lt;0,"Error in Areas ▲",IF(S174+T174&gt;H174,"Error in Areas ▲",IF(AND(P174='G-1 All Habitats'!$X$9,Y174="Yes"),"Alternative Compensation ✓",IF(AND(P174='G-1 All Habitats'!$X$3,Y174="Yes"),"Alternative Compensation ✓",IF(AND(Y174="Pending",P174='G-1 All Habitats'!$X$3),"Bespoke compensation must be agreed ▲",IF(AND(Y174="Pending",P174='G-1 All Habitats'!$X$9),"Bespoke compensation must be agreed  ▲",IF(W174=0,0,IF(P174='G-1 All Habitats'!$X$9,"Any Loss Unacceptable ▲",Q174-U174-V174))))))))),"Check Data ▲")</f>
        <v/>
      </c>
      <c r="Y174" s="53"/>
      <c r="Z174" s="105"/>
      <c r="AA174" s="233"/>
      <c r="AB174" s="104"/>
      <c r="AC174" s="512" t="str">
        <f>IF(OR(P174="",Y174="Yes"),"",IF(P174='G-1 All Habitats'!$X$9,H174-S174-T174,"None"))</f>
        <v/>
      </c>
      <c r="AD174" s="513" t="str">
        <f>IF(P174="","",IF(P174='G-1 All Habitats'!$X$9,AC174*J174*L174*O174,"None"))</f>
        <v/>
      </c>
      <c r="AE174" s="35" t="str">
        <f t="shared" si="16"/>
        <v/>
      </c>
      <c r="AF174" s="40" t="str">
        <f t="shared" si="21"/>
        <v/>
      </c>
      <c r="AG174" s="40" t="str">
        <f t="shared" si="17"/>
        <v/>
      </c>
      <c r="AH174" s="40" t="str">
        <f>IF(I174="","",IF(#REF!&gt;0,TRUE,FALSE))</f>
        <v/>
      </c>
      <c r="AI174" s="40">
        <v>164</v>
      </c>
      <c r="AJ174" s="40"/>
      <c r="AK174" s="40" t="str">
        <f t="array" ref="AK174">IFERROR(INDEX($AI$11:$AI$259,MATCH(0,IF(TRUE=$AF$11:$AF$259,COUNTIF($AK$10:$AK173,$AI$11:$AI$259),""),0)),"")</f>
        <v/>
      </c>
      <c r="AL174" s="40" t="str">
        <f t="array" ref="AL174">IFERROR(INDEX($AI$11:$AI$259,MATCH(0,IF(TRUE=$AG$11:$AG$259,COUNTIF($AL$10:$AL173,$AI$11:$AI$259),""),0)),"")</f>
        <v/>
      </c>
      <c r="AM174" s="40" t="str">
        <f t="array" ref="AM174">IFERROR(INDEX($AI$11:$AI$259,MATCH(0,IF(TRUE=$AH$11:$AH$259,COUNTIF($AM$10:$AM173,$AI$11:$AI$259),""),0)),"")</f>
        <v/>
      </c>
      <c r="AN174" s="40"/>
      <c r="AQ174" s="35">
        <f t="shared" si="22"/>
        <v>0</v>
      </c>
      <c r="AT174" s="885" t="str">
        <f>IF(AND(OR(Y174="Yes",Y174="Pending"),P174='G-1 All Habitats'!$X$3),Q174-U174-V174,"")</f>
        <v/>
      </c>
      <c r="AV174" s="542" t="str">
        <f>IFERROR(INDEX('G-1 All Habitats'!$B$3:$B$135,MATCH(F174,'G-1 All Habitats'!$A$3:$A$135,0)),"")</f>
        <v/>
      </c>
      <c r="AW174" s="35" t="str">
        <f>IF(AV174="","",VLOOKUP(AV174,'G-1 All Habitats'!$B$1:$T$135,19,FALSE))</f>
        <v/>
      </c>
    </row>
    <row r="175" spans="1:49" ht="14.5" hidden="1" thickBot="1">
      <c r="A175" s="35" t="str">
        <f>IFERROR(INDEX('G-1 All Habitats'!$AG$3:$AG$17,MATCH(E175,'G-1 All Habitats'!$AF$3:$AF$17,0)),"")</f>
        <v/>
      </c>
      <c r="B175" s="35" t="str">
        <f>IFERROR(INDEX('G-8 Condition Look up'!$I$4:$I$135,MATCH(AV175,'G-8 Condition Look up'!$A$4:$A$135,0)),"")</f>
        <v/>
      </c>
      <c r="D175" s="225">
        <v>165</v>
      </c>
      <c r="E175" s="211"/>
      <c r="F175" s="57"/>
      <c r="G175" s="263"/>
      <c r="H175" s="51"/>
      <c r="I175" s="275" t="str">
        <f>IF(AV175="","",IF(AND(AW175="Yes",G175="No"),"Irreplaceable habitat ▲",IF(AND(AW175="No",G175="Yes"),"Cannot be Irreplaceable ▲",VLOOKUP(AV175,'G-1 All Habitats'!$B$2:$M$135,10,FALSE))))</f>
        <v/>
      </c>
      <c r="J175" s="276" t="str">
        <f>IFERROR(VLOOKUP(I175,'G-1 All Habitats'!$V$3:$W$7,2,FALSE),"")</f>
        <v/>
      </c>
      <c r="K175" s="52"/>
      <c r="L175" s="276" t="str">
        <f>IFERROR(INDEX('G-8 Condition Look up'!$A$3:$H$135,MATCH(AV175,'G-8 Condition Look up'!$A$3:$A$135,0),MATCH(K175,'G-8 Condition Look up'!$A$3:$H$3,0)),"")</f>
        <v/>
      </c>
      <c r="M175" s="52"/>
      <c r="N175" s="295" t="str">
        <f>IF(M175="","",IF(VLOOKUP(M175,'G-3 Multipliers'!$L$3:$N$6,2,FALSE)=0,"Spatial Data Missing",VLOOKUP(M175,'G-3 Multipliers'!$L$3:$N$6,2,FALSE)))</f>
        <v/>
      </c>
      <c r="O175" s="281" t="str">
        <f>IF(M175="","",IF(VLOOKUP(M175,'G-3 Multipliers'!$L$3:$N$6,3,FALSE)=0,"Spatial Data Missing ▲",VLOOKUP(M175,'G-3 Multipliers'!$L$3:$N$6,3,FALSE)))</f>
        <v/>
      </c>
      <c r="P175" s="282" t="str">
        <f>(IF(G175="Yes","Bespoke compensation likely to be required",(IFERROR(VLOOKUP(AV175,'G-1 All Habitats'!$B$2:$M$135,12,FALSE),""))))</f>
        <v/>
      </c>
      <c r="Q175" s="289" t="str">
        <f>IFERROR(IF(AND(F175&lt;&gt;"",G175=""),"Confirm irreplaceable habitat status ▲",(IF(AND(E175="Individual trees",T175&gt;0,G175="Yes"),"Error - you cannot enhance irreplaceable individual trees ▲",(IF(AND(U175="Irreplaceable habitat - no units generated ⚠",(S175+T175)&lt;H175,OR(Y175="No",Y175="")),"Any Loss Unacceptable ⚠",(IF(U175="Irreplaceable habitat - no units generated ⚠",T175*J175*L175*O175,IF(AND(P175='G-1 All Habitats'!$X$9,AC175&gt;0,S175&lt;=0,T175&lt;=0,OR(Y175="No",Y175="")),"Any Loss Unacceptable ⚠",IF(AND(P175='G-1 All Habitats'!$X$9,AC175&gt;0,S175&lt;=0,T175&lt;=0,Y175="Yes"),0,(IF(AND(P175='G-1 All Habitats'!$X$9,(S175+T175)&lt;H175,OR(Y175="No",Y175="")),"Any Loss Unacceptable ⚠",(IF(P175="","",IF(AND(P175='G-1 All Habitats'!$X$9,T175&gt;0),U175+V175,IF(AND(P175='G-1 All Habitats'!$X$9,S175&gt;0),U175+V175,H175*J175*L175*O175))))))))))))))),"Check Data ▲")</f>
        <v/>
      </c>
      <c r="R175" s="38"/>
      <c r="S175" s="52"/>
      <c r="T175" s="53"/>
      <c r="U175" s="287" t="str">
        <f t="shared" si="18"/>
        <v/>
      </c>
      <c r="V175" s="287" t="str">
        <f t="shared" si="19"/>
        <v/>
      </c>
      <c r="W175" s="287" t="str">
        <f t="shared" si="20"/>
        <v/>
      </c>
      <c r="X175" s="291" t="str">
        <f>IFERROR(IF(H175="","",IF(H175-S175-T175=0&lt;0,"Error in Areas ▲",IF(S175+T175&gt;H175,"Error in Areas ▲",IF(AND(P175='G-1 All Habitats'!$X$9,Y175="Yes"),"Alternative Compensation ✓",IF(AND(P175='G-1 All Habitats'!$X$3,Y175="Yes"),"Alternative Compensation ✓",IF(AND(Y175="Pending",P175='G-1 All Habitats'!$X$3),"Bespoke compensation must be agreed ▲",IF(AND(Y175="Pending",P175='G-1 All Habitats'!$X$9),"Bespoke compensation must be agreed  ▲",IF(W175=0,0,IF(P175='G-1 All Habitats'!$X$9,"Any Loss Unacceptable ▲",Q175-U175-V175))))))))),"Check Data ▲")</f>
        <v/>
      </c>
      <c r="Y175" s="53"/>
      <c r="Z175" s="105"/>
      <c r="AA175" s="233"/>
      <c r="AB175" s="104"/>
      <c r="AC175" s="512" t="str">
        <f>IF(OR(P175="",Y175="Yes"),"",IF(P175='G-1 All Habitats'!$X$9,H175-S175-T175,"None"))</f>
        <v/>
      </c>
      <c r="AD175" s="513" t="str">
        <f>IF(P175="","",IF(P175='G-1 All Habitats'!$X$9,AC175*J175*L175*O175,"None"))</f>
        <v/>
      </c>
      <c r="AE175" s="35" t="str">
        <f t="shared" si="16"/>
        <v/>
      </c>
      <c r="AF175" s="40" t="str">
        <f t="shared" si="21"/>
        <v/>
      </c>
      <c r="AG175" s="40" t="str">
        <f t="shared" si="17"/>
        <v/>
      </c>
      <c r="AH175" s="40" t="str">
        <f>IF(I175="","",IF(#REF!&gt;0,TRUE,FALSE))</f>
        <v/>
      </c>
      <c r="AI175" s="40">
        <v>165</v>
      </c>
      <c r="AJ175" s="40"/>
      <c r="AK175" s="40" t="str">
        <f t="array" ref="AK175">IFERROR(INDEX($AI$11:$AI$259,MATCH(0,IF(TRUE=$AF$11:$AF$259,COUNTIF($AK$10:$AK174,$AI$11:$AI$259),""),0)),"")</f>
        <v/>
      </c>
      <c r="AL175" s="40" t="str">
        <f t="array" ref="AL175">IFERROR(INDEX($AI$11:$AI$259,MATCH(0,IF(TRUE=$AG$11:$AG$259,COUNTIF($AL$10:$AL174,$AI$11:$AI$259),""),0)),"")</f>
        <v/>
      </c>
      <c r="AM175" s="40" t="str">
        <f t="array" ref="AM175">IFERROR(INDEX($AI$11:$AI$259,MATCH(0,IF(TRUE=$AH$11:$AH$259,COUNTIF($AM$10:$AM174,$AI$11:$AI$259),""),0)),"")</f>
        <v/>
      </c>
      <c r="AN175" s="40"/>
      <c r="AQ175" s="35">
        <f t="shared" si="22"/>
        <v>0</v>
      </c>
      <c r="AT175" s="885" t="str">
        <f>IF(AND(OR(Y175="Yes",Y175="Pending"),P175='G-1 All Habitats'!$X$3),Q175-U175-V175,"")</f>
        <v/>
      </c>
      <c r="AV175" s="542" t="str">
        <f>IFERROR(INDEX('G-1 All Habitats'!$B$3:$B$135,MATCH(F175,'G-1 All Habitats'!$A$3:$A$135,0)),"")</f>
        <v/>
      </c>
      <c r="AW175" s="35" t="str">
        <f>IF(AV175="","",VLOOKUP(AV175,'G-1 All Habitats'!$B$1:$T$135,19,FALSE))</f>
        <v/>
      </c>
    </row>
    <row r="176" spans="1:49" ht="14.5" hidden="1" thickBot="1">
      <c r="A176" s="35" t="str">
        <f>IFERROR(INDEX('G-1 All Habitats'!$AG$3:$AG$17,MATCH(E176,'G-1 All Habitats'!$AF$3:$AF$17,0)),"")</f>
        <v/>
      </c>
      <c r="B176" s="35" t="str">
        <f>IFERROR(INDEX('G-8 Condition Look up'!$I$4:$I$135,MATCH(AV176,'G-8 Condition Look up'!$A$4:$A$135,0)),"")</f>
        <v/>
      </c>
      <c r="D176" s="225">
        <v>166</v>
      </c>
      <c r="E176" s="211"/>
      <c r="F176" s="57"/>
      <c r="G176" s="263"/>
      <c r="H176" s="51"/>
      <c r="I176" s="275" t="str">
        <f>IF(AV176="","",IF(AND(AW176="Yes",G176="No"),"Irreplaceable habitat ▲",IF(AND(AW176="No",G176="Yes"),"Cannot be Irreplaceable ▲",VLOOKUP(AV176,'G-1 All Habitats'!$B$2:$M$135,10,FALSE))))</f>
        <v/>
      </c>
      <c r="J176" s="276" t="str">
        <f>IFERROR(VLOOKUP(I176,'G-1 All Habitats'!$V$3:$W$7,2,FALSE),"")</f>
        <v/>
      </c>
      <c r="K176" s="52"/>
      <c r="L176" s="276" t="str">
        <f>IFERROR(INDEX('G-8 Condition Look up'!$A$3:$H$135,MATCH(AV176,'G-8 Condition Look up'!$A$3:$A$135,0),MATCH(K176,'G-8 Condition Look up'!$A$3:$H$3,0)),"")</f>
        <v/>
      </c>
      <c r="M176" s="52"/>
      <c r="N176" s="295" t="str">
        <f>IF(M176="","",IF(VLOOKUP(M176,'G-3 Multipliers'!$L$3:$N$6,2,FALSE)=0,"Spatial Data Missing",VLOOKUP(M176,'G-3 Multipliers'!$L$3:$N$6,2,FALSE)))</f>
        <v/>
      </c>
      <c r="O176" s="281" t="str">
        <f>IF(M176="","",IF(VLOOKUP(M176,'G-3 Multipliers'!$L$3:$N$6,3,FALSE)=0,"Spatial Data Missing ▲",VLOOKUP(M176,'G-3 Multipliers'!$L$3:$N$6,3,FALSE)))</f>
        <v/>
      </c>
      <c r="P176" s="282" t="str">
        <f>(IF(G176="Yes","Bespoke compensation likely to be required",(IFERROR(VLOOKUP(AV176,'G-1 All Habitats'!$B$2:$M$135,12,FALSE),""))))</f>
        <v/>
      </c>
      <c r="Q176" s="289" t="str">
        <f>IFERROR(IF(AND(F176&lt;&gt;"",G176=""),"Confirm irreplaceable habitat status ▲",(IF(AND(E176="Individual trees",T176&gt;0,G176="Yes"),"Error - you cannot enhance irreplaceable individual trees ▲",(IF(AND(U176="Irreplaceable habitat - no units generated ⚠",(S176+T176)&lt;H176,OR(Y176="No",Y176="")),"Any Loss Unacceptable ⚠",(IF(U176="Irreplaceable habitat - no units generated ⚠",T176*J176*L176*O176,IF(AND(P176='G-1 All Habitats'!$X$9,AC176&gt;0,S176&lt;=0,T176&lt;=0,OR(Y176="No",Y176="")),"Any Loss Unacceptable ⚠",IF(AND(P176='G-1 All Habitats'!$X$9,AC176&gt;0,S176&lt;=0,T176&lt;=0,Y176="Yes"),0,(IF(AND(P176='G-1 All Habitats'!$X$9,(S176+T176)&lt;H176,OR(Y176="No",Y176="")),"Any Loss Unacceptable ⚠",(IF(P176="","",IF(AND(P176='G-1 All Habitats'!$X$9,T176&gt;0),U176+V176,IF(AND(P176='G-1 All Habitats'!$X$9,S176&gt;0),U176+V176,H176*J176*L176*O176))))))))))))))),"Check Data ▲")</f>
        <v/>
      </c>
      <c r="R176" s="38"/>
      <c r="S176" s="52"/>
      <c r="T176" s="53"/>
      <c r="U176" s="287" t="str">
        <f t="shared" si="18"/>
        <v/>
      </c>
      <c r="V176" s="287" t="str">
        <f t="shared" si="19"/>
        <v/>
      </c>
      <c r="W176" s="287" t="str">
        <f t="shared" si="20"/>
        <v/>
      </c>
      <c r="X176" s="291" t="str">
        <f>IFERROR(IF(H176="","",IF(H176-S176-T176=0&lt;0,"Error in Areas ▲",IF(S176+T176&gt;H176,"Error in Areas ▲",IF(AND(P176='G-1 All Habitats'!$X$9,Y176="Yes"),"Alternative Compensation ✓",IF(AND(P176='G-1 All Habitats'!$X$3,Y176="Yes"),"Alternative Compensation ✓",IF(AND(Y176="Pending",P176='G-1 All Habitats'!$X$3),"Bespoke compensation must be agreed ▲",IF(AND(Y176="Pending",P176='G-1 All Habitats'!$X$9),"Bespoke compensation must be agreed  ▲",IF(W176=0,0,IF(P176='G-1 All Habitats'!$X$9,"Any Loss Unacceptable ▲",Q176-U176-V176))))))))),"Check Data ▲")</f>
        <v/>
      </c>
      <c r="Y176" s="53"/>
      <c r="Z176" s="105"/>
      <c r="AA176" s="233"/>
      <c r="AB176" s="104"/>
      <c r="AC176" s="512" t="str">
        <f>IF(OR(P176="",Y176="Yes"),"",IF(P176='G-1 All Habitats'!$X$9,H176-S176-T176,"None"))</f>
        <v/>
      </c>
      <c r="AD176" s="513" t="str">
        <f>IF(P176="","",IF(P176='G-1 All Habitats'!$X$9,AC176*J176*L176*O176,"None"))</f>
        <v/>
      </c>
      <c r="AE176" s="35" t="str">
        <f t="shared" si="16"/>
        <v/>
      </c>
      <c r="AF176" s="40" t="str">
        <f t="shared" si="21"/>
        <v/>
      </c>
      <c r="AG176" s="40" t="str">
        <f t="shared" si="17"/>
        <v/>
      </c>
      <c r="AH176" s="40" t="str">
        <f>IF(I176="","",IF(#REF!&gt;0,TRUE,FALSE))</f>
        <v/>
      </c>
      <c r="AI176" s="40">
        <v>166</v>
      </c>
      <c r="AJ176" s="40"/>
      <c r="AK176" s="40" t="str">
        <f t="array" ref="AK176">IFERROR(INDEX($AI$11:$AI$259,MATCH(0,IF(TRUE=$AF$11:$AF$259,COUNTIF($AK$10:$AK175,$AI$11:$AI$259),""),0)),"")</f>
        <v/>
      </c>
      <c r="AL176" s="40" t="str">
        <f t="array" ref="AL176">IFERROR(INDEX($AI$11:$AI$259,MATCH(0,IF(TRUE=$AG$11:$AG$259,COUNTIF($AL$10:$AL175,$AI$11:$AI$259),""),0)),"")</f>
        <v/>
      </c>
      <c r="AM176" s="40" t="str">
        <f t="array" ref="AM176">IFERROR(INDEX($AI$11:$AI$259,MATCH(0,IF(TRUE=$AH$11:$AH$259,COUNTIF($AM$10:$AM175,$AI$11:$AI$259),""),0)),"")</f>
        <v/>
      </c>
      <c r="AN176" s="40"/>
      <c r="AQ176" s="35">
        <f t="shared" si="22"/>
        <v>0</v>
      </c>
      <c r="AT176" s="885" t="str">
        <f>IF(AND(OR(Y176="Yes",Y176="Pending"),P176='G-1 All Habitats'!$X$3),Q176-U176-V176,"")</f>
        <v/>
      </c>
      <c r="AV176" s="542" t="str">
        <f>IFERROR(INDEX('G-1 All Habitats'!$B$3:$B$135,MATCH(F176,'G-1 All Habitats'!$A$3:$A$135,0)),"")</f>
        <v/>
      </c>
      <c r="AW176" s="35" t="str">
        <f>IF(AV176="","",VLOOKUP(AV176,'G-1 All Habitats'!$B$1:$T$135,19,FALSE))</f>
        <v/>
      </c>
    </row>
    <row r="177" spans="1:49" ht="14.5" hidden="1" thickBot="1">
      <c r="A177" s="35" t="str">
        <f>IFERROR(INDEX('G-1 All Habitats'!$AG$3:$AG$17,MATCH(E177,'G-1 All Habitats'!$AF$3:$AF$17,0)),"")</f>
        <v/>
      </c>
      <c r="B177" s="35" t="str">
        <f>IFERROR(INDEX('G-8 Condition Look up'!$I$4:$I$135,MATCH(AV177,'G-8 Condition Look up'!$A$4:$A$135,0)),"")</f>
        <v/>
      </c>
      <c r="D177" s="225">
        <v>167</v>
      </c>
      <c r="E177" s="211"/>
      <c r="F177" s="57"/>
      <c r="G177" s="263"/>
      <c r="H177" s="51"/>
      <c r="I177" s="275" t="str">
        <f>IF(AV177="","",IF(AND(AW177="Yes",G177="No"),"Irreplaceable habitat ▲",IF(AND(AW177="No",G177="Yes"),"Cannot be Irreplaceable ▲",VLOOKUP(AV177,'G-1 All Habitats'!$B$2:$M$135,10,FALSE))))</f>
        <v/>
      </c>
      <c r="J177" s="276" t="str">
        <f>IFERROR(VLOOKUP(I177,'G-1 All Habitats'!$V$3:$W$7,2,FALSE),"")</f>
        <v/>
      </c>
      <c r="K177" s="52"/>
      <c r="L177" s="276" t="str">
        <f>IFERROR(INDEX('G-8 Condition Look up'!$A$3:$H$135,MATCH(AV177,'G-8 Condition Look up'!$A$3:$A$135,0),MATCH(K177,'G-8 Condition Look up'!$A$3:$H$3,0)),"")</f>
        <v/>
      </c>
      <c r="M177" s="52"/>
      <c r="N177" s="295" t="str">
        <f>IF(M177="","",IF(VLOOKUP(M177,'G-3 Multipliers'!$L$3:$N$6,2,FALSE)=0,"Spatial Data Missing",VLOOKUP(M177,'G-3 Multipliers'!$L$3:$N$6,2,FALSE)))</f>
        <v/>
      </c>
      <c r="O177" s="281" t="str">
        <f>IF(M177="","",IF(VLOOKUP(M177,'G-3 Multipliers'!$L$3:$N$6,3,FALSE)=0,"Spatial Data Missing ▲",VLOOKUP(M177,'G-3 Multipliers'!$L$3:$N$6,3,FALSE)))</f>
        <v/>
      </c>
      <c r="P177" s="282" t="str">
        <f>(IF(G177="Yes","Bespoke compensation likely to be required",(IFERROR(VLOOKUP(AV177,'G-1 All Habitats'!$B$2:$M$135,12,FALSE),""))))</f>
        <v/>
      </c>
      <c r="Q177" s="289" t="str">
        <f>IFERROR(IF(AND(F177&lt;&gt;"",G177=""),"Confirm irreplaceable habitat status ▲",(IF(AND(E177="Individual trees",T177&gt;0,G177="Yes"),"Error - you cannot enhance irreplaceable individual trees ▲",(IF(AND(U177="Irreplaceable habitat - no units generated ⚠",(S177+T177)&lt;H177,OR(Y177="No",Y177="")),"Any Loss Unacceptable ⚠",(IF(U177="Irreplaceable habitat - no units generated ⚠",T177*J177*L177*O177,IF(AND(P177='G-1 All Habitats'!$X$9,AC177&gt;0,S177&lt;=0,T177&lt;=0,OR(Y177="No",Y177="")),"Any Loss Unacceptable ⚠",IF(AND(P177='G-1 All Habitats'!$X$9,AC177&gt;0,S177&lt;=0,T177&lt;=0,Y177="Yes"),0,(IF(AND(P177='G-1 All Habitats'!$X$9,(S177+T177)&lt;H177,OR(Y177="No",Y177="")),"Any Loss Unacceptable ⚠",(IF(P177="","",IF(AND(P177='G-1 All Habitats'!$X$9,T177&gt;0),U177+V177,IF(AND(P177='G-1 All Habitats'!$X$9,S177&gt;0),U177+V177,H177*J177*L177*O177))))))))))))))),"Check Data ▲")</f>
        <v/>
      </c>
      <c r="R177" s="38"/>
      <c r="S177" s="52"/>
      <c r="T177" s="53"/>
      <c r="U177" s="287" t="str">
        <f t="shared" si="18"/>
        <v/>
      </c>
      <c r="V177" s="287" t="str">
        <f t="shared" si="19"/>
        <v/>
      </c>
      <c r="W177" s="287" t="str">
        <f t="shared" si="20"/>
        <v/>
      </c>
      <c r="X177" s="291" t="str">
        <f>IFERROR(IF(H177="","",IF(H177-S177-T177=0&lt;0,"Error in Areas ▲",IF(S177+T177&gt;H177,"Error in Areas ▲",IF(AND(P177='G-1 All Habitats'!$X$9,Y177="Yes"),"Alternative Compensation ✓",IF(AND(P177='G-1 All Habitats'!$X$3,Y177="Yes"),"Alternative Compensation ✓",IF(AND(Y177="Pending",P177='G-1 All Habitats'!$X$3),"Bespoke compensation must be agreed ▲",IF(AND(Y177="Pending",P177='G-1 All Habitats'!$X$9),"Bespoke compensation must be agreed  ▲",IF(W177=0,0,IF(P177='G-1 All Habitats'!$X$9,"Any Loss Unacceptable ▲",Q177-U177-V177))))))))),"Check Data ▲")</f>
        <v/>
      </c>
      <c r="Y177" s="53"/>
      <c r="Z177" s="105"/>
      <c r="AA177" s="233"/>
      <c r="AB177" s="104"/>
      <c r="AC177" s="512" t="str">
        <f>IF(OR(P177="",Y177="Yes"),"",IF(P177='G-1 All Habitats'!$X$9,H177-S177-T177,"None"))</f>
        <v/>
      </c>
      <c r="AD177" s="513" t="str">
        <f>IF(P177="","",IF(P177='G-1 All Habitats'!$X$9,AC177*J177*L177*O177,"None"))</f>
        <v/>
      </c>
      <c r="AE177" s="35" t="str">
        <f t="shared" si="16"/>
        <v/>
      </c>
      <c r="AF177" s="40" t="str">
        <f t="shared" si="21"/>
        <v/>
      </c>
      <c r="AG177" s="40" t="str">
        <f t="shared" si="17"/>
        <v/>
      </c>
      <c r="AH177" s="40" t="str">
        <f>IF(I177="","",IF(#REF!&gt;0,TRUE,FALSE))</f>
        <v/>
      </c>
      <c r="AI177" s="40">
        <v>167</v>
      </c>
      <c r="AJ177" s="40"/>
      <c r="AK177" s="40" t="str">
        <f t="array" ref="AK177">IFERROR(INDEX($AI$11:$AI$259,MATCH(0,IF(TRUE=$AF$11:$AF$259,COUNTIF($AK$10:$AK176,$AI$11:$AI$259),""),0)),"")</f>
        <v/>
      </c>
      <c r="AL177" s="40" t="str">
        <f t="array" ref="AL177">IFERROR(INDEX($AI$11:$AI$259,MATCH(0,IF(TRUE=$AG$11:$AG$259,COUNTIF($AL$10:$AL176,$AI$11:$AI$259),""),0)),"")</f>
        <v/>
      </c>
      <c r="AM177" s="40" t="str">
        <f t="array" ref="AM177">IFERROR(INDEX($AI$11:$AI$259,MATCH(0,IF(TRUE=$AH$11:$AH$259,COUNTIF($AM$10:$AM176,$AI$11:$AI$259),""),0)),"")</f>
        <v/>
      </c>
      <c r="AN177" s="40"/>
      <c r="AQ177" s="35">
        <f t="shared" si="22"/>
        <v>0</v>
      </c>
      <c r="AT177" s="885" t="str">
        <f>IF(AND(OR(Y177="Yes",Y177="Pending"),P177='G-1 All Habitats'!$X$3),Q177-U177-V177,"")</f>
        <v/>
      </c>
      <c r="AV177" s="542" t="str">
        <f>IFERROR(INDEX('G-1 All Habitats'!$B$3:$B$135,MATCH(F177,'G-1 All Habitats'!$A$3:$A$135,0)),"")</f>
        <v/>
      </c>
      <c r="AW177" s="35" t="str">
        <f>IF(AV177="","",VLOOKUP(AV177,'G-1 All Habitats'!$B$1:$T$135,19,FALSE))</f>
        <v/>
      </c>
    </row>
    <row r="178" spans="1:49" ht="14.5" hidden="1" thickBot="1">
      <c r="A178" s="35" t="str">
        <f>IFERROR(INDEX('G-1 All Habitats'!$AG$3:$AG$17,MATCH(E178,'G-1 All Habitats'!$AF$3:$AF$17,0)),"")</f>
        <v/>
      </c>
      <c r="B178" s="35" t="str">
        <f>IFERROR(INDEX('G-8 Condition Look up'!$I$4:$I$135,MATCH(AV178,'G-8 Condition Look up'!$A$4:$A$135,0)),"")</f>
        <v/>
      </c>
      <c r="D178" s="225">
        <v>168</v>
      </c>
      <c r="E178" s="211"/>
      <c r="F178" s="57"/>
      <c r="G178" s="263"/>
      <c r="H178" s="51"/>
      <c r="I178" s="275" t="str">
        <f>IF(AV178="","",IF(AND(AW178="Yes",G178="No"),"Irreplaceable habitat ▲",IF(AND(AW178="No",G178="Yes"),"Cannot be Irreplaceable ▲",VLOOKUP(AV178,'G-1 All Habitats'!$B$2:$M$135,10,FALSE))))</f>
        <v/>
      </c>
      <c r="J178" s="276" t="str">
        <f>IFERROR(VLOOKUP(I178,'G-1 All Habitats'!$V$3:$W$7,2,FALSE),"")</f>
        <v/>
      </c>
      <c r="K178" s="52"/>
      <c r="L178" s="276" t="str">
        <f>IFERROR(INDEX('G-8 Condition Look up'!$A$3:$H$135,MATCH(AV178,'G-8 Condition Look up'!$A$3:$A$135,0),MATCH(K178,'G-8 Condition Look up'!$A$3:$H$3,0)),"")</f>
        <v/>
      </c>
      <c r="M178" s="52"/>
      <c r="N178" s="295" t="str">
        <f>IF(M178="","",IF(VLOOKUP(M178,'G-3 Multipliers'!$L$3:$N$6,2,FALSE)=0,"Spatial Data Missing",VLOOKUP(M178,'G-3 Multipliers'!$L$3:$N$6,2,FALSE)))</f>
        <v/>
      </c>
      <c r="O178" s="281" t="str">
        <f>IF(M178="","",IF(VLOOKUP(M178,'G-3 Multipliers'!$L$3:$N$6,3,FALSE)=0,"Spatial Data Missing ▲",VLOOKUP(M178,'G-3 Multipliers'!$L$3:$N$6,3,FALSE)))</f>
        <v/>
      </c>
      <c r="P178" s="282" t="str">
        <f>(IF(G178="Yes","Bespoke compensation likely to be required",(IFERROR(VLOOKUP(AV178,'G-1 All Habitats'!$B$2:$M$135,12,FALSE),""))))</f>
        <v/>
      </c>
      <c r="Q178" s="289" t="str">
        <f>IFERROR(IF(AND(F178&lt;&gt;"",G178=""),"Confirm irreplaceable habitat status ▲",(IF(AND(E178="Individual trees",T178&gt;0,G178="Yes"),"Error - you cannot enhance irreplaceable individual trees ▲",(IF(AND(U178="Irreplaceable habitat - no units generated ⚠",(S178+T178)&lt;H178,OR(Y178="No",Y178="")),"Any Loss Unacceptable ⚠",(IF(U178="Irreplaceable habitat - no units generated ⚠",T178*J178*L178*O178,IF(AND(P178='G-1 All Habitats'!$X$9,AC178&gt;0,S178&lt;=0,T178&lt;=0,OR(Y178="No",Y178="")),"Any Loss Unacceptable ⚠",IF(AND(P178='G-1 All Habitats'!$X$9,AC178&gt;0,S178&lt;=0,T178&lt;=0,Y178="Yes"),0,(IF(AND(P178='G-1 All Habitats'!$X$9,(S178+T178)&lt;H178,OR(Y178="No",Y178="")),"Any Loss Unacceptable ⚠",(IF(P178="","",IF(AND(P178='G-1 All Habitats'!$X$9,T178&gt;0),U178+V178,IF(AND(P178='G-1 All Habitats'!$X$9,S178&gt;0),U178+V178,H178*J178*L178*O178))))))))))))))),"Check Data ▲")</f>
        <v/>
      </c>
      <c r="R178" s="38"/>
      <c r="S178" s="52"/>
      <c r="T178" s="53"/>
      <c r="U178" s="287" t="str">
        <f t="shared" si="18"/>
        <v/>
      </c>
      <c r="V178" s="287" t="str">
        <f t="shared" si="19"/>
        <v/>
      </c>
      <c r="W178" s="287" t="str">
        <f t="shared" si="20"/>
        <v/>
      </c>
      <c r="X178" s="291" t="str">
        <f>IFERROR(IF(H178="","",IF(H178-S178-T178=0&lt;0,"Error in Areas ▲",IF(S178+T178&gt;H178,"Error in Areas ▲",IF(AND(P178='G-1 All Habitats'!$X$9,Y178="Yes"),"Alternative Compensation ✓",IF(AND(P178='G-1 All Habitats'!$X$3,Y178="Yes"),"Alternative Compensation ✓",IF(AND(Y178="Pending",P178='G-1 All Habitats'!$X$3),"Bespoke compensation must be agreed ▲",IF(AND(Y178="Pending",P178='G-1 All Habitats'!$X$9),"Bespoke compensation must be agreed  ▲",IF(W178=0,0,IF(P178='G-1 All Habitats'!$X$9,"Any Loss Unacceptable ▲",Q178-U178-V178))))))))),"Check Data ▲")</f>
        <v/>
      </c>
      <c r="Y178" s="53"/>
      <c r="Z178" s="105"/>
      <c r="AA178" s="233"/>
      <c r="AB178" s="104"/>
      <c r="AC178" s="512" t="str">
        <f>IF(OR(P178="",Y178="Yes"),"",IF(P178='G-1 All Habitats'!$X$9,H178-S178-T178,"None"))</f>
        <v/>
      </c>
      <c r="AD178" s="513" t="str">
        <f>IF(P178="","",IF(P178='G-1 All Habitats'!$X$9,AC178*J178*L178*O178,"None"))</f>
        <v/>
      </c>
      <c r="AE178" s="35" t="str">
        <f t="shared" si="16"/>
        <v/>
      </c>
      <c r="AF178" s="40" t="str">
        <f t="shared" si="21"/>
        <v/>
      </c>
      <c r="AG178" s="40" t="str">
        <f t="shared" si="17"/>
        <v/>
      </c>
      <c r="AH178" s="40" t="str">
        <f>IF(I178="","",IF(#REF!&gt;0,TRUE,FALSE))</f>
        <v/>
      </c>
      <c r="AI178" s="40">
        <v>168</v>
      </c>
      <c r="AJ178" s="40"/>
      <c r="AK178" s="40" t="str">
        <f t="array" ref="AK178">IFERROR(INDEX($AI$11:$AI$259,MATCH(0,IF(TRUE=$AF$11:$AF$259,COUNTIF($AK$10:$AK177,$AI$11:$AI$259),""),0)),"")</f>
        <v/>
      </c>
      <c r="AL178" s="40" t="str">
        <f t="array" ref="AL178">IFERROR(INDEX($AI$11:$AI$259,MATCH(0,IF(TRUE=$AG$11:$AG$259,COUNTIF($AL$10:$AL177,$AI$11:$AI$259),""),0)),"")</f>
        <v/>
      </c>
      <c r="AM178" s="40" t="str">
        <f t="array" ref="AM178">IFERROR(INDEX($AI$11:$AI$259,MATCH(0,IF(TRUE=$AH$11:$AH$259,COUNTIF($AM$10:$AM177,$AI$11:$AI$259),""),0)),"")</f>
        <v/>
      </c>
      <c r="AN178" s="40"/>
      <c r="AQ178" s="35">
        <f t="shared" si="22"/>
        <v>0</v>
      </c>
      <c r="AT178" s="885" t="str">
        <f>IF(AND(OR(Y178="Yes",Y178="Pending"),P178='G-1 All Habitats'!$X$3),Q178-U178-V178,"")</f>
        <v/>
      </c>
      <c r="AV178" s="542" t="str">
        <f>IFERROR(INDEX('G-1 All Habitats'!$B$3:$B$135,MATCH(F178,'G-1 All Habitats'!$A$3:$A$135,0)),"")</f>
        <v/>
      </c>
      <c r="AW178" s="35" t="str">
        <f>IF(AV178="","",VLOOKUP(AV178,'G-1 All Habitats'!$B$1:$T$135,19,FALSE))</f>
        <v/>
      </c>
    </row>
    <row r="179" spans="1:49" ht="14.5" hidden="1" thickBot="1">
      <c r="A179" s="35" t="str">
        <f>IFERROR(INDEX('G-1 All Habitats'!$AG$3:$AG$17,MATCH(E179,'G-1 All Habitats'!$AF$3:$AF$17,0)),"")</f>
        <v/>
      </c>
      <c r="B179" s="35" t="str">
        <f>IFERROR(INDEX('G-8 Condition Look up'!$I$4:$I$135,MATCH(AV179,'G-8 Condition Look up'!$A$4:$A$135,0)),"")</f>
        <v/>
      </c>
      <c r="D179" s="225">
        <v>169</v>
      </c>
      <c r="E179" s="211"/>
      <c r="F179" s="57"/>
      <c r="G179" s="263"/>
      <c r="H179" s="51"/>
      <c r="I179" s="275" t="str">
        <f>IF(AV179="","",IF(AND(AW179="Yes",G179="No"),"Irreplaceable habitat ▲",IF(AND(AW179="No",G179="Yes"),"Cannot be Irreplaceable ▲",VLOOKUP(AV179,'G-1 All Habitats'!$B$2:$M$135,10,FALSE))))</f>
        <v/>
      </c>
      <c r="J179" s="276" t="str">
        <f>IFERROR(VLOOKUP(I179,'G-1 All Habitats'!$V$3:$W$7,2,FALSE),"")</f>
        <v/>
      </c>
      <c r="K179" s="52"/>
      <c r="L179" s="276" t="str">
        <f>IFERROR(INDEX('G-8 Condition Look up'!$A$3:$H$135,MATCH(AV179,'G-8 Condition Look up'!$A$3:$A$135,0),MATCH(K179,'G-8 Condition Look up'!$A$3:$H$3,0)),"")</f>
        <v/>
      </c>
      <c r="M179" s="52"/>
      <c r="N179" s="295" t="str">
        <f>IF(M179="","",IF(VLOOKUP(M179,'G-3 Multipliers'!$L$3:$N$6,2,FALSE)=0,"Spatial Data Missing",VLOOKUP(M179,'G-3 Multipliers'!$L$3:$N$6,2,FALSE)))</f>
        <v/>
      </c>
      <c r="O179" s="281" t="str">
        <f>IF(M179="","",IF(VLOOKUP(M179,'G-3 Multipliers'!$L$3:$N$6,3,FALSE)=0,"Spatial Data Missing ▲",VLOOKUP(M179,'G-3 Multipliers'!$L$3:$N$6,3,FALSE)))</f>
        <v/>
      </c>
      <c r="P179" s="282" t="str">
        <f>(IF(G179="Yes","Bespoke compensation likely to be required",(IFERROR(VLOOKUP(AV179,'G-1 All Habitats'!$B$2:$M$135,12,FALSE),""))))</f>
        <v/>
      </c>
      <c r="Q179" s="289" t="str">
        <f>IFERROR(IF(AND(F179&lt;&gt;"",G179=""),"Confirm irreplaceable habitat status ▲",(IF(AND(E179="Individual trees",T179&gt;0,G179="Yes"),"Error - you cannot enhance irreplaceable individual trees ▲",(IF(AND(U179="Irreplaceable habitat - no units generated ⚠",(S179+T179)&lt;H179,OR(Y179="No",Y179="")),"Any Loss Unacceptable ⚠",(IF(U179="Irreplaceable habitat - no units generated ⚠",T179*J179*L179*O179,IF(AND(P179='G-1 All Habitats'!$X$9,AC179&gt;0,S179&lt;=0,T179&lt;=0,OR(Y179="No",Y179="")),"Any Loss Unacceptable ⚠",IF(AND(P179='G-1 All Habitats'!$X$9,AC179&gt;0,S179&lt;=0,T179&lt;=0,Y179="Yes"),0,(IF(AND(P179='G-1 All Habitats'!$X$9,(S179+T179)&lt;H179,OR(Y179="No",Y179="")),"Any Loss Unacceptable ⚠",(IF(P179="","",IF(AND(P179='G-1 All Habitats'!$X$9,T179&gt;0),U179+V179,IF(AND(P179='G-1 All Habitats'!$X$9,S179&gt;0),U179+V179,H179*J179*L179*O179))))))))))))))),"Check Data ▲")</f>
        <v/>
      </c>
      <c r="R179" s="38"/>
      <c r="S179" s="52"/>
      <c r="T179" s="53"/>
      <c r="U179" s="287" t="str">
        <f t="shared" si="18"/>
        <v/>
      </c>
      <c r="V179" s="287" t="str">
        <f t="shared" si="19"/>
        <v/>
      </c>
      <c r="W179" s="287" t="str">
        <f t="shared" si="20"/>
        <v/>
      </c>
      <c r="X179" s="291" t="str">
        <f>IFERROR(IF(H179="","",IF(H179-S179-T179=0&lt;0,"Error in Areas ▲",IF(S179+T179&gt;H179,"Error in Areas ▲",IF(AND(P179='G-1 All Habitats'!$X$9,Y179="Yes"),"Alternative Compensation ✓",IF(AND(P179='G-1 All Habitats'!$X$3,Y179="Yes"),"Alternative Compensation ✓",IF(AND(Y179="Pending",P179='G-1 All Habitats'!$X$3),"Bespoke compensation must be agreed ▲",IF(AND(Y179="Pending",P179='G-1 All Habitats'!$X$9),"Bespoke compensation must be agreed  ▲",IF(W179=0,0,IF(P179='G-1 All Habitats'!$X$9,"Any Loss Unacceptable ▲",Q179-U179-V179))))))))),"Check Data ▲")</f>
        <v/>
      </c>
      <c r="Y179" s="53"/>
      <c r="Z179" s="105"/>
      <c r="AA179" s="233"/>
      <c r="AB179" s="104"/>
      <c r="AC179" s="512" t="str">
        <f>IF(OR(P179="",Y179="Yes"),"",IF(P179='G-1 All Habitats'!$X$9,H179-S179-T179,"None"))</f>
        <v/>
      </c>
      <c r="AD179" s="513" t="str">
        <f>IF(P179="","",IF(P179='G-1 All Habitats'!$X$9,AC179*J179*L179*O179,"None"))</f>
        <v/>
      </c>
      <c r="AE179" s="35" t="str">
        <f t="shared" si="16"/>
        <v/>
      </c>
      <c r="AF179" s="40" t="str">
        <f t="shared" si="21"/>
        <v/>
      </c>
      <c r="AG179" s="40" t="str">
        <f t="shared" si="17"/>
        <v/>
      </c>
      <c r="AH179" s="40" t="str">
        <f>IF(I179="","",IF(#REF!&gt;0,TRUE,FALSE))</f>
        <v/>
      </c>
      <c r="AI179" s="40">
        <v>169</v>
      </c>
      <c r="AJ179" s="40"/>
      <c r="AK179" s="40" t="str">
        <f t="array" ref="AK179">IFERROR(INDEX($AI$11:$AI$259,MATCH(0,IF(TRUE=$AF$11:$AF$259,COUNTIF($AK$10:$AK178,$AI$11:$AI$259),""),0)),"")</f>
        <v/>
      </c>
      <c r="AL179" s="40" t="str">
        <f t="array" ref="AL179">IFERROR(INDEX($AI$11:$AI$259,MATCH(0,IF(TRUE=$AG$11:$AG$259,COUNTIF($AL$10:$AL178,$AI$11:$AI$259),""),0)),"")</f>
        <v/>
      </c>
      <c r="AM179" s="40" t="str">
        <f t="array" ref="AM179">IFERROR(INDEX($AI$11:$AI$259,MATCH(0,IF(TRUE=$AH$11:$AH$259,COUNTIF($AM$10:$AM178,$AI$11:$AI$259),""),0)),"")</f>
        <v/>
      </c>
      <c r="AN179" s="40"/>
      <c r="AQ179" s="35">
        <f t="shared" si="22"/>
        <v>0</v>
      </c>
      <c r="AT179" s="885" t="str">
        <f>IF(AND(OR(Y179="Yes",Y179="Pending"),P179='G-1 All Habitats'!$X$3),Q179-U179-V179,"")</f>
        <v/>
      </c>
      <c r="AV179" s="542" t="str">
        <f>IFERROR(INDEX('G-1 All Habitats'!$B$3:$B$135,MATCH(F179,'G-1 All Habitats'!$A$3:$A$135,0)),"")</f>
        <v/>
      </c>
      <c r="AW179" s="35" t="str">
        <f>IF(AV179="","",VLOOKUP(AV179,'G-1 All Habitats'!$B$1:$T$135,19,FALSE))</f>
        <v/>
      </c>
    </row>
    <row r="180" spans="1:49" ht="14.5" hidden="1" thickBot="1">
      <c r="A180" s="35" t="str">
        <f>IFERROR(INDEX('G-1 All Habitats'!$AG$3:$AG$17,MATCH(E180,'G-1 All Habitats'!$AF$3:$AF$17,0)),"")</f>
        <v/>
      </c>
      <c r="B180" s="35" t="str">
        <f>IFERROR(INDEX('G-8 Condition Look up'!$I$4:$I$135,MATCH(AV180,'G-8 Condition Look up'!$A$4:$A$135,0)),"")</f>
        <v/>
      </c>
      <c r="D180" s="225">
        <v>170</v>
      </c>
      <c r="E180" s="211"/>
      <c r="F180" s="57"/>
      <c r="G180" s="263"/>
      <c r="H180" s="51"/>
      <c r="I180" s="275" t="str">
        <f>IF(AV180="","",IF(AND(AW180="Yes",G180="No"),"Irreplaceable habitat ▲",IF(AND(AW180="No",G180="Yes"),"Cannot be Irreplaceable ▲",VLOOKUP(AV180,'G-1 All Habitats'!$B$2:$M$135,10,FALSE))))</f>
        <v/>
      </c>
      <c r="J180" s="276" t="str">
        <f>IFERROR(VLOOKUP(I180,'G-1 All Habitats'!$V$3:$W$7,2,FALSE),"")</f>
        <v/>
      </c>
      <c r="K180" s="52"/>
      <c r="L180" s="276" t="str">
        <f>IFERROR(INDEX('G-8 Condition Look up'!$A$3:$H$135,MATCH(AV180,'G-8 Condition Look up'!$A$3:$A$135,0),MATCH(K180,'G-8 Condition Look up'!$A$3:$H$3,0)),"")</f>
        <v/>
      </c>
      <c r="M180" s="52"/>
      <c r="N180" s="295" t="str">
        <f>IF(M180="","",IF(VLOOKUP(M180,'G-3 Multipliers'!$L$3:$N$6,2,FALSE)=0,"Spatial Data Missing",VLOOKUP(M180,'G-3 Multipliers'!$L$3:$N$6,2,FALSE)))</f>
        <v/>
      </c>
      <c r="O180" s="281" t="str">
        <f>IF(M180="","",IF(VLOOKUP(M180,'G-3 Multipliers'!$L$3:$N$6,3,FALSE)=0,"Spatial Data Missing ▲",VLOOKUP(M180,'G-3 Multipliers'!$L$3:$N$6,3,FALSE)))</f>
        <v/>
      </c>
      <c r="P180" s="282" t="str">
        <f>(IF(G180="Yes","Bespoke compensation likely to be required",(IFERROR(VLOOKUP(AV180,'G-1 All Habitats'!$B$2:$M$135,12,FALSE),""))))</f>
        <v/>
      </c>
      <c r="Q180" s="289" t="str">
        <f>IFERROR(IF(AND(F180&lt;&gt;"",G180=""),"Confirm irreplaceable habitat status ▲",(IF(AND(E180="Individual trees",T180&gt;0,G180="Yes"),"Error - you cannot enhance irreplaceable individual trees ▲",(IF(AND(U180="Irreplaceable habitat - no units generated ⚠",(S180+T180)&lt;H180,OR(Y180="No",Y180="")),"Any Loss Unacceptable ⚠",(IF(U180="Irreplaceable habitat - no units generated ⚠",T180*J180*L180*O180,IF(AND(P180='G-1 All Habitats'!$X$9,AC180&gt;0,S180&lt;=0,T180&lt;=0,OR(Y180="No",Y180="")),"Any Loss Unacceptable ⚠",IF(AND(P180='G-1 All Habitats'!$X$9,AC180&gt;0,S180&lt;=0,T180&lt;=0,Y180="Yes"),0,(IF(AND(P180='G-1 All Habitats'!$X$9,(S180+T180)&lt;H180,OR(Y180="No",Y180="")),"Any Loss Unacceptable ⚠",(IF(P180="","",IF(AND(P180='G-1 All Habitats'!$X$9,T180&gt;0),U180+V180,IF(AND(P180='G-1 All Habitats'!$X$9,S180&gt;0),U180+V180,H180*J180*L180*O180))))))))))))))),"Check Data ▲")</f>
        <v/>
      </c>
      <c r="R180" s="38"/>
      <c r="S180" s="52"/>
      <c r="T180" s="53"/>
      <c r="U180" s="287" t="str">
        <f t="shared" si="18"/>
        <v/>
      </c>
      <c r="V180" s="287" t="str">
        <f t="shared" si="19"/>
        <v/>
      </c>
      <c r="W180" s="287" t="str">
        <f t="shared" si="20"/>
        <v/>
      </c>
      <c r="X180" s="291" t="str">
        <f>IFERROR(IF(H180="","",IF(H180-S180-T180=0&lt;0,"Error in Areas ▲",IF(S180+T180&gt;H180,"Error in Areas ▲",IF(AND(P180='G-1 All Habitats'!$X$9,Y180="Yes"),"Alternative Compensation ✓",IF(AND(P180='G-1 All Habitats'!$X$3,Y180="Yes"),"Alternative Compensation ✓",IF(AND(Y180="Pending",P180='G-1 All Habitats'!$X$3),"Bespoke compensation must be agreed ▲",IF(AND(Y180="Pending",P180='G-1 All Habitats'!$X$9),"Bespoke compensation must be agreed  ▲",IF(W180=0,0,IF(P180='G-1 All Habitats'!$X$9,"Any Loss Unacceptable ▲",Q180-U180-V180))))))))),"Check Data ▲")</f>
        <v/>
      </c>
      <c r="Y180" s="53"/>
      <c r="Z180" s="105"/>
      <c r="AA180" s="233"/>
      <c r="AB180" s="104"/>
      <c r="AC180" s="512" t="str">
        <f>IF(OR(P180="",Y180="Yes"),"",IF(P180='G-1 All Habitats'!$X$9,H180-S180-T180,"None"))</f>
        <v/>
      </c>
      <c r="AD180" s="513" t="str">
        <f>IF(P180="","",IF(P180='G-1 All Habitats'!$X$9,AC180*J180*L180*O180,"None"))</f>
        <v/>
      </c>
      <c r="AE180" s="35" t="str">
        <f t="shared" si="16"/>
        <v/>
      </c>
      <c r="AF180" s="40" t="str">
        <f t="shared" si="21"/>
        <v/>
      </c>
      <c r="AG180" s="40" t="str">
        <f t="shared" si="17"/>
        <v/>
      </c>
      <c r="AH180" s="40" t="str">
        <f>IF(I180="","",IF(#REF!&gt;0,TRUE,FALSE))</f>
        <v/>
      </c>
      <c r="AI180" s="40">
        <v>170</v>
      </c>
      <c r="AJ180" s="40"/>
      <c r="AK180" s="40" t="str">
        <f t="array" ref="AK180">IFERROR(INDEX($AI$11:$AI$259,MATCH(0,IF(TRUE=$AF$11:$AF$259,COUNTIF($AK$10:$AK179,$AI$11:$AI$259),""),0)),"")</f>
        <v/>
      </c>
      <c r="AL180" s="40" t="str">
        <f t="array" ref="AL180">IFERROR(INDEX($AI$11:$AI$259,MATCH(0,IF(TRUE=$AG$11:$AG$259,COUNTIF($AL$10:$AL179,$AI$11:$AI$259),""),0)),"")</f>
        <v/>
      </c>
      <c r="AM180" s="40" t="str">
        <f t="array" ref="AM180">IFERROR(INDEX($AI$11:$AI$259,MATCH(0,IF(TRUE=$AH$11:$AH$259,COUNTIF($AM$10:$AM179,$AI$11:$AI$259),""),0)),"")</f>
        <v/>
      </c>
      <c r="AN180" s="40"/>
      <c r="AQ180" s="35">
        <f t="shared" si="22"/>
        <v>0</v>
      </c>
      <c r="AT180" s="885" t="str">
        <f>IF(AND(OR(Y180="Yes",Y180="Pending"),P180='G-1 All Habitats'!$X$3),Q180-U180-V180,"")</f>
        <v/>
      </c>
      <c r="AV180" s="542" t="str">
        <f>IFERROR(INDEX('G-1 All Habitats'!$B$3:$B$135,MATCH(F180,'G-1 All Habitats'!$A$3:$A$135,0)),"")</f>
        <v/>
      </c>
      <c r="AW180" s="35" t="str">
        <f>IF(AV180="","",VLOOKUP(AV180,'G-1 All Habitats'!$B$1:$T$135,19,FALSE))</f>
        <v/>
      </c>
    </row>
    <row r="181" spans="1:49" ht="14.5" hidden="1" thickBot="1">
      <c r="A181" s="35" t="str">
        <f>IFERROR(INDEX('G-1 All Habitats'!$AG$3:$AG$17,MATCH(E181,'G-1 All Habitats'!$AF$3:$AF$17,0)),"")</f>
        <v/>
      </c>
      <c r="B181" s="35" t="str">
        <f>IFERROR(INDEX('G-8 Condition Look up'!$I$4:$I$135,MATCH(AV181,'G-8 Condition Look up'!$A$4:$A$135,0)),"")</f>
        <v/>
      </c>
      <c r="D181" s="225">
        <v>171</v>
      </c>
      <c r="E181" s="211"/>
      <c r="F181" s="57"/>
      <c r="G181" s="263"/>
      <c r="H181" s="51"/>
      <c r="I181" s="275" t="str">
        <f>IF(AV181="","",IF(AND(AW181="Yes",G181="No"),"Irreplaceable habitat ▲",IF(AND(AW181="No",G181="Yes"),"Cannot be Irreplaceable ▲",VLOOKUP(AV181,'G-1 All Habitats'!$B$2:$M$135,10,FALSE))))</f>
        <v/>
      </c>
      <c r="J181" s="276" t="str">
        <f>IFERROR(VLOOKUP(I181,'G-1 All Habitats'!$V$3:$W$7,2,FALSE),"")</f>
        <v/>
      </c>
      <c r="K181" s="52"/>
      <c r="L181" s="276" t="str">
        <f>IFERROR(INDEX('G-8 Condition Look up'!$A$3:$H$135,MATCH(AV181,'G-8 Condition Look up'!$A$3:$A$135,0),MATCH(K181,'G-8 Condition Look up'!$A$3:$H$3,0)),"")</f>
        <v/>
      </c>
      <c r="M181" s="52"/>
      <c r="N181" s="295" t="str">
        <f>IF(M181="","",IF(VLOOKUP(M181,'G-3 Multipliers'!$L$3:$N$6,2,FALSE)=0,"Spatial Data Missing",VLOOKUP(M181,'G-3 Multipliers'!$L$3:$N$6,2,FALSE)))</f>
        <v/>
      </c>
      <c r="O181" s="281" t="str">
        <f>IF(M181="","",IF(VLOOKUP(M181,'G-3 Multipliers'!$L$3:$N$6,3,FALSE)=0,"Spatial Data Missing ▲",VLOOKUP(M181,'G-3 Multipliers'!$L$3:$N$6,3,FALSE)))</f>
        <v/>
      </c>
      <c r="P181" s="282" t="str">
        <f>(IF(G181="Yes","Bespoke compensation likely to be required",(IFERROR(VLOOKUP(AV181,'G-1 All Habitats'!$B$2:$M$135,12,FALSE),""))))</f>
        <v/>
      </c>
      <c r="Q181" s="289" t="str">
        <f>IFERROR(IF(AND(F181&lt;&gt;"",G181=""),"Confirm irreplaceable habitat status ▲",(IF(AND(E181="Individual trees",T181&gt;0,G181="Yes"),"Error - you cannot enhance irreplaceable individual trees ▲",(IF(AND(U181="Irreplaceable habitat - no units generated ⚠",(S181+T181)&lt;H181,OR(Y181="No",Y181="")),"Any Loss Unacceptable ⚠",(IF(U181="Irreplaceable habitat - no units generated ⚠",T181*J181*L181*O181,IF(AND(P181='G-1 All Habitats'!$X$9,AC181&gt;0,S181&lt;=0,T181&lt;=0,OR(Y181="No",Y181="")),"Any Loss Unacceptable ⚠",IF(AND(P181='G-1 All Habitats'!$X$9,AC181&gt;0,S181&lt;=0,T181&lt;=0,Y181="Yes"),0,(IF(AND(P181='G-1 All Habitats'!$X$9,(S181+T181)&lt;H181,OR(Y181="No",Y181="")),"Any Loss Unacceptable ⚠",(IF(P181="","",IF(AND(P181='G-1 All Habitats'!$X$9,T181&gt;0),U181+V181,IF(AND(P181='G-1 All Habitats'!$X$9,S181&gt;0),U181+V181,H181*J181*L181*O181))))))))))))))),"Check Data ▲")</f>
        <v/>
      </c>
      <c r="R181" s="38"/>
      <c r="S181" s="52"/>
      <c r="T181" s="53"/>
      <c r="U181" s="287" t="str">
        <f t="shared" si="18"/>
        <v/>
      </c>
      <c r="V181" s="287" t="str">
        <f t="shared" si="19"/>
        <v/>
      </c>
      <c r="W181" s="287" t="str">
        <f t="shared" si="20"/>
        <v/>
      </c>
      <c r="X181" s="291" t="str">
        <f>IFERROR(IF(H181="","",IF(H181-S181-T181=0&lt;0,"Error in Areas ▲",IF(S181+T181&gt;H181,"Error in Areas ▲",IF(AND(P181='G-1 All Habitats'!$X$9,Y181="Yes"),"Alternative Compensation ✓",IF(AND(P181='G-1 All Habitats'!$X$3,Y181="Yes"),"Alternative Compensation ✓",IF(AND(Y181="Pending",P181='G-1 All Habitats'!$X$3),"Bespoke compensation must be agreed ▲",IF(AND(Y181="Pending",P181='G-1 All Habitats'!$X$9),"Bespoke compensation must be agreed  ▲",IF(W181=0,0,IF(P181='G-1 All Habitats'!$X$9,"Any Loss Unacceptable ▲",Q181-U181-V181))))))))),"Check Data ▲")</f>
        <v/>
      </c>
      <c r="Y181" s="53"/>
      <c r="Z181" s="105"/>
      <c r="AA181" s="233"/>
      <c r="AB181" s="104"/>
      <c r="AC181" s="512" t="str">
        <f>IF(OR(P181="",Y181="Yes"),"",IF(P181='G-1 All Habitats'!$X$9,H181-S181-T181,"None"))</f>
        <v/>
      </c>
      <c r="AD181" s="513" t="str">
        <f>IF(P181="","",IF(P181='G-1 All Habitats'!$X$9,AC181*J181*L181*O181,"None"))</f>
        <v/>
      </c>
      <c r="AE181" s="35" t="str">
        <f t="shared" si="16"/>
        <v/>
      </c>
      <c r="AF181" s="40" t="str">
        <f t="shared" si="21"/>
        <v/>
      </c>
      <c r="AG181" s="40" t="str">
        <f t="shared" si="17"/>
        <v/>
      </c>
      <c r="AH181" s="40" t="str">
        <f>IF(I181="","",IF(#REF!&gt;0,TRUE,FALSE))</f>
        <v/>
      </c>
      <c r="AI181" s="40">
        <v>171</v>
      </c>
      <c r="AJ181" s="40"/>
      <c r="AK181" s="40" t="str">
        <f t="array" ref="AK181">IFERROR(INDEX($AI$11:$AI$259,MATCH(0,IF(TRUE=$AF$11:$AF$259,COUNTIF($AK$10:$AK180,$AI$11:$AI$259),""),0)),"")</f>
        <v/>
      </c>
      <c r="AL181" s="40" t="str">
        <f t="array" ref="AL181">IFERROR(INDEX($AI$11:$AI$259,MATCH(0,IF(TRUE=$AG$11:$AG$259,COUNTIF($AL$10:$AL180,$AI$11:$AI$259),""),0)),"")</f>
        <v/>
      </c>
      <c r="AM181" s="40" t="str">
        <f t="array" ref="AM181">IFERROR(INDEX($AI$11:$AI$259,MATCH(0,IF(TRUE=$AH$11:$AH$259,COUNTIF($AM$10:$AM180,$AI$11:$AI$259),""),0)),"")</f>
        <v/>
      </c>
      <c r="AN181" s="40"/>
      <c r="AQ181" s="35">
        <f t="shared" si="22"/>
        <v>0</v>
      </c>
      <c r="AT181" s="885" t="str">
        <f>IF(AND(OR(Y181="Yes",Y181="Pending"),P181='G-1 All Habitats'!$X$3),Q181-U181-V181,"")</f>
        <v/>
      </c>
      <c r="AV181" s="542" t="str">
        <f>IFERROR(INDEX('G-1 All Habitats'!$B$3:$B$135,MATCH(F181,'G-1 All Habitats'!$A$3:$A$135,0)),"")</f>
        <v/>
      </c>
      <c r="AW181" s="35" t="str">
        <f>IF(AV181="","",VLOOKUP(AV181,'G-1 All Habitats'!$B$1:$T$135,19,FALSE))</f>
        <v/>
      </c>
    </row>
    <row r="182" spans="1:49" ht="14.5" hidden="1" thickBot="1">
      <c r="A182" s="35" t="str">
        <f>IFERROR(INDEX('G-1 All Habitats'!$AG$3:$AG$17,MATCH(E182,'G-1 All Habitats'!$AF$3:$AF$17,0)),"")</f>
        <v/>
      </c>
      <c r="B182" s="35" t="str">
        <f>IFERROR(INDEX('G-8 Condition Look up'!$I$4:$I$135,MATCH(AV182,'G-8 Condition Look up'!$A$4:$A$135,0)),"")</f>
        <v/>
      </c>
      <c r="D182" s="225">
        <v>172</v>
      </c>
      <c r="E182" s="211"/>
      <c r="F182" s="57"/>
      <c r="G182" s="263"/>
      <c r="H182" s="51"/>
      <c r="I182" s="275" t="str">
        <f>IF(AV182="","",IF(AND(AW182="Yes",G182="No"),"Irreplaceable habitat ▲",IF(AND(AW182="No",G182="Yes"),"Cannot be Irreplaceable ▲",VLOOKUP(AV182,'G-1 All Habitats'!$B$2:$M$135,10,FALSE))))</f>
        <v/>
      </c>
      <c r="J182" s="276" t="str">
        <f>IFERROR(VLOOKUP(I182,'G-1 All Habitats'!$V$3:$W$7,2,FALSE),"")</f>
        <v/>
      </c>
      <c r="K182" s="52"/>
      <c r="L182" s="276" t="str">
        <f>IFERROR(INDEX('G-8 Condition Look up'!$A$3:$H$135,MATCH(AV182,'G-8 Condition Look up'!$A$3:$A$135,0),MATCH(K182,'G-8 Condition Look up'!$A$3:$H$3,0)),"")</f>
        <v/>
      </c>
      <c r="M182" s="52"/>
      <c r="N182" s="295" t="str">
        <f>IF(M182="","",IF(VLOOKUP(M182,'G-3 Multipliers'!$L$3:$N$6,2,FALSE)=0,"Spatial Data Missing",VLOOKUP(M182,'G-3 Multipliers'!$L$3:$N$6,2,FALSE)))</f>
        <v/>
      </c>
      <c r="O182" s="281" t="str">
        <f>IF(M182="","",IF(VLOOKUP(M182,'G-3 Multipliers'!$L$3:$N$6,3,FALSE)=0,"Spatial Data Missing ▲",VLOOKUP(M182,'G-3 Multipliers'!$L$3:$N$6,3,FALSE)))</f>
        <v/>
      </c>
      <c r="P182" s="282" t="str">
        <f>(IF(G182="Yes","Bespoke compensation likely to be required",(IFERROR(VLOOKUP(AV182,'G-1 All Habitats'!$B$2:$M$135,12,FALSE),""))))</f>
        <v/>
      </c>
      <c r="Q182" s="289" t="str">
        <f>IFERROR(IF(AND(F182&lt;&gt;"",G182=""),"Confirm irreplaceable habitat status ▲",(IF(AND(E182="Individual trees",T182&gt;0,G182="Yes"),"Error - you cannot enhance irreplaceable individual trees ▲",(IF(AND(U182="Irreplaceable habitat - no units generated ⚠",(S182+T182)&lt;H182,OR(Y182="No",Y182="")),"Any Loss Unacceptable ⚠",(IF(U182="Irreplaceable habitat - no units generated ⚠",T182*J182*L182*O182,IF(AND(P182='G-1 All Habitats'!$X$9,AC182&gt;0,S182&lt;=0,T182&lt;=0,OR(Y182="No",Y182="")),"Any Loss Unacceptable ⚠",IF(AND(P182='G-1 All Habitats'!$X$9,AC182&gt;0,S182&lt;=0,T182&lt;=0,Y182="Yes"),0,(IF(AND(P182='G-1 All Habitats'!$X$9,(S182+T182)&lt;H182,OR(Y182="No",Y182="")),"Any Loss Unacceptable ⚠",(IF(P182="","",IF(AND(P182='G-1 All Habitats'!$X$9,T182&gt;0),U182+V182,IF(AND(P182='G-1 All Habitats'!$X$9,S182&gt;0),U182+V182,H182*J182*L182*O182))))))))))))))),"Check Data ▲")</f>
        <v/>
      </c>
      <c r="R182" s="38"/>
      <c r="S182" s="52"/>
      <c r="T182" s="53"/>
      <c r="U182" s="287" t="str">
        <f t="shared" si="18"/>
        <v/>
      </c>
      <c r="V182" s="287" t="str">
        <f t="shared" si="19"/>
        <v/>
      </c>
      <c r="W182" s="287" t="str">
        <f t="shared" si="20"/>
        <v/>
      </c>
      <c r="X182" s="291" t="str">
        <f>IFERROR(IF(H182="","",IF(H182-S182-T182=0&lt;0,"Error in Areas ▲",IF(S182+T182&gt;H182,"Error in Areas ▲",IF(AND(P182='G-1 All Habitats'!$X$9,Y182="Yes"),"Alternative Compensation ✓",IF(AND(P182='G-1 All Habitats'!$X$3,Y182="Yes"),"Alternative Compensation ✓",IF(AND(Y182="Pending",P182='G-1 All Habitats'!$X$3),"Bespoke compensation must be agreed ▲",IF(AND(Y182="Pending",P182='G-1 All Habitats'!$X$9),"Bespoke compensation must be agreed  ▲",IF(W182=0,0,IF(P182='G-1 All Habitats'!$X$9,"Any Loss Unacceptable ▲",Q182-U182-V182))))))))),"Check Data ▲")</f>
        <v/>
      </c>
      <c r="Y182" s="53"/>
      <c r="Z182" s="105"/>
      <c r="AA182" s="233"/>
      <c r="AB182" s="104"/>
      <c r="AC182" s="512" t="str">
        <f>IF(OR(P182="",Y182="Yes"),"",IF(P182='G-1 All Habitats'!$X$9,H182-S182-T182,"None"))</f>
        <v/>
      </c>
      <c r="AD182" s="513" t="str">
        <f>IF(P182="","",IF(P182='G-1 All Habitats'!$X$9,AC182*J182*L182*O182,"None"))</f>
        <v/>
      </c>
      <c r="AE182" s="35" t="str">
        <f t="shared" si="16"/>
        <v/>
      </c>
      <c r="AF182" s="40" t="str">
        <f t="shared" si="21"/>
        <v/>
      </c>
      <c r="AG182" s="40" t="str">
        <f t="shared" si="17"/>
        <v/>
      </c>
      <c r="AH182" s="40" t="str">
        <f>IF(I182="","",IF(#REF!&gt;0,TRUE,FALSE))</f>
        <v/>
      </c>
      <c r="AI182" s="40">
        <v>172</v>
      </c>
      <c r="AJ182" s="40"/>
      <c r="AK182" s="40" t="str">
        <f t="array" ref="AK182">IFERROR(INDEX($AI$11:$AI$259,MATCH(0,IF(TRUE=$AF$11:$AF$259,COUNTIF($AK$10:$AK181,$AI$11:$AI$259),""),0)),"")</f>
        <v/>
      </c>
      <c r="AL182" s="40" t="str">
        <f t="array" ref="AL182">IFERROR(INDEX($AI$11:$AI$259,MATCH(0,IF(TRUE=$AG$11:$AG$259,COUNTIF($AL$10:$AL181,$AI$11:$AI$259),""),0)),"")</f>
        <v/>
      </c>
      <c r="AM182" s="40" t="str">
        <f t="array" ref="AM182">IFERROR(INDEX($AI$11:$AI$259,MATCH(0,IF(TRUE=$AH$11:$AH$259,COUNTIF($AM$10:$AM181,$AI$11:$AI$259),""),0)),"")</f>
        <v/>
      </c>
      <c r="AN182" s="40"/>
      <c r="AQ182" s="35">
        <f t="shared" si="22"/>
        <v>0</v>
      </c>
      <c r="AT182" s="885" t="str">
        <f>IF(AND(OR(Y182="Yes",Y182="Pending"),P182='G-1 All Habitats'!$X$3),Q182-U182-V182,"")</f>
        <v/>
      </c>
      <c r="AV182" s="542" t="str">
        <f>IFERROR(INDEX('G-1 All Habitats'!$B$3:$B$135,MATCH(F182,'G-1 All Habitats'!$A$3:$A$135,0)),"")</f>
        <v/>
      </c>
      <c r="AW182" s="35" t="str">
        <f>IF(AV182="","",VLOOKUP(AV182,'G-1 All Habitats'!$B$1:$T$135,19,FALSE))</f>
        <v/>
      </c>
    </row>
    <row r="183" spans="1:49" ht="14.5" hidden="1" thickBot="1">
      <c r="A183" s="35" t="str">
        <f>IFERROR(INDEX('G-1 All Habitats'!$AG$3:$AG$17,MATCH(E183,'G-1 All Habitats'!$AF$3:$AF$17,0)),"")</f>
        <v/>
      </c>
      <c r="B183" s="35" t="str">
        <f>IFERROR(INDEX('G-8 Condition Look up'!$I$4:$I$135,MATCH(AV183,'G-8 Condition Look up'!$A$4:$A$135,0)),"")</f>
        <v/>
      </c>
      <c r="D183" s="225">
        <v>173</v>
      </c>
      <c r="E183" s="211"/>
      <c r="F183" s="57"/>
      <c r="G183" s="263"/>
      <c r="H183" s="51"/>
      <c r="I183" s="275" t="str">
        <f>IF(AV183="","",IF(AND(AW183="Yes",G183="No"),"Irreplaceable habitat ▲",IF(AND(AW183="No",G183="Yes"),"Cannot be Irreplaceable ▲",VLOOKUP(AV183,'G-1 All Habitats'!$B$2:$M$135,10,FALSE))))</f>
        <v/>
      </c>
      <c r="J183" s="276" t="str">
        <f>IFERROR(VLOOKUP(I183,'G-1 All Habitats'!$V$3:$W$7,2,FALSE),"")</f>
        <v/>
      </c>
      <c r="K183" s="52"/>
      <c r="L183" s="276" t="str">
        <f>IFERROR(INDEX('G-8 Condition Look up'!$A$3:$H$135,MATCH(AV183,'G-8 Condition Look up'!$A$3:$A$135,0),MATCH(K183,'G-8 Condition Look up'!$A$3:$H$3,0)),"")</f>
        <v/>
      </c>
      <c r="M183" s="52"/>
      <c r="N183" s="295" t="str">
        <f>IF(M183="","",IF(VLOOKUP(M183,'G-3 Multipliers'!$L$3:$N$6,2,FALSE)=0,"Spatial Data Missing",VLOOKUP(M183,'G-3 Multipliers'!$L$3:$N$6,2,FALSE)))</f>
        <v/>
      </c>
      <c r="O183" s="281" t="str">
        <f>IF(M183="","",IF(VLOOKUP(M183,'G-3 Multipliers'!$L$3:$N$6,3,FALSE)=0,"Spatial Data Missing ▲",VLOOKUP(M183,'G-3 Multipliers'!$L$3:$N$6,3,FALSE)))</f>
        <v/>
      </c>
      <c r="P183" s="282" t="str">
        <f>(IF(G183="Yes","Bespoke compensation likely to be required",(IFERROR(VLOOKUP(AV183,'G-1 All Habitats'!$B$2:$M$135,12,FALSE),""))))</f>
        <v/>
      </c>
      <c r="Q183" s="289" t="str">
        <f>IFERROR(IF(AND(F183&lt;&gt;"",G183=""),"Confirm irreplaceable habitat status ▲",(IF(AND(E183="Individual trees",T183&gt;0,G183="Yes"),"Error - you cannot enhance irreplaceable individual trees ▲",(IF(AND(U183="Irreplaceable habitat - no units generated ⚠",(S183+T183)&lt;H183,OR(Y183="No",Y183="")),"Any Loss Unacceptable ⚠",(IF(U183="Irreplaceable habitat - no units generated ⚠",T183*J183*L183*O183,IF(AND(P183='G-1 All Habitats'!$X$9,AC183&gt;0,S183&lt;=0,T183&lt;=0,OR(Y183="No",Y183="")),"Any Loss Unacceptable ⚠",IF(AND(P183='G-1 All Habitats'!$X$9,AC183&gt;0,S183&lt;=0,T183&lt;=0,Y183="Yes"),0,(IF(AND(P183='G-1 All Habitats'!$X$9,(S183+T183)&lt;H183,OR(Y183="No",Y183="")),"Any Loss Unacceptable ⚠",(IF(P183="","",IF(AND(P183='G-1 All Habitats'!$X$9,T183&gt;0),U183+V183,IF(AND(P183='G-1 All Habitats'!$X$9,S183&gt;0),U183+V183,H183*J183*L183*O183))))))))))))))),"Check Data ▲")</f>
        <v/>
      </c>
      <c r="R183" s="38"/>
      <c r="S183" s="52"/>
      <c r="T183" s="53"/>
      <c r="U183" s="287" t="str">
        <f t="shared" si="18"/>
        <v/>
      </c>
      <c r="V183" s="287" t="str">
        <f t="shared" si="19"/>
        <v/>
      </c>
      <c r="W183" s="287" t="str">
        <f t="shared" si="20"/>
        <v/>
      </c>
      <c r="X183" s="291" t="str">
        <f>IFERROR(IF(H183="","",IF(H183-S183-T183=0&lt;0,"Error in Areas ▲",IF(S183+T183&gt;H183,"Error in Areas ▲",IF(AND(P183='G-1 All Habitats'!$X$9,Y183="Yes"),"Alternative Compensation ✓",IF(AND(P183='G-1 All Habitats'!$X$3,Y183="Yes"),"Alternative Compensation ✓",IF(AND(Y183="Pending",P183='G-1 All Habitats'!$X$3),"Bespoke compensation must be agreed ▲",IF(AND(Y183="Pending",P183='G-1 All Habitats'!$X$9),"Bespoke compensation must be agreed  ▲",IF(W183=0,0,IF(P183='G-1 All Habitats'!$X$9,"Any Loss Unacceptable ▲",Q183-U183-V183))))))))),"Check Data ▲")</f>
        <v/>
      </c>
      <c r="Y183" s="53"/>
      <c r="Z183" s="105"/>
      <c r="AA183" s="233"/>
      <c r="AB183" s="104"/>
      <c r="AC183" s="512" t="str">
        <f>IF(OR(P183="",Y183="Yes"),"",IF(P183='G-1 All Habitats'!$X$9,H183-S183-T183,"None"))</f>
        <v/>
      </c>
      <c r="AD183" s="513" t="str">
        <f>IF(P183="","",IF(P183='G-1 All Habitats'!$X$9,AC183*J183*L183*O183,"None"))</f>
        <v/>
      </c>
      <c r="AE183" s="35" t="str">
        <f t="shared" si="16"/>
        <v/>
      </c>
      <c r="AF183" s="40" t="str">
        <f t="shared" si="21"/>
        <v/>
      </c>
      <c r="AG183" s="40" t="str">
        <f t="shared" si="17"/>
        <v/>
      </c>
      <c r="AH183" s="40" t="str">
        <f>IF(I183="","",IF(#REF!&gt;0,TRUE,FALSE))</f>
        <v/>
      </c>
      <c r="AI183" s="40">
        <v>173</v>
      </c>
      <c r="AJ183" s="40"/>
      <c r="AK183" s="40" t="str">
        <f t="array" ref="AK183">IFERROR(INDEX($AI$11:$AI$259,MATCH(0,IF(TRUE=$AF$11:$AF$259,COUNTIF($AK$10:$AK182,$AI$11:$AI$259),""),0)),"")</f>
        <v/>
      </c>
      <c r="AL183" s="40" t="str">
        <f t="array" ref="AL183">IFERROR(INDEX($AI$11:$AI$259,MATCH(0,IF(TRUE=$AG$11:$AG$259,COUNTIF($AL$10:$AL182,$AI$11:$AI$259),""),0)),"")</f>
        <v/>
      </c>
      <c r="AM183" s="40" t="str">
        <f t="array" ref="AM183">IFERROR(INDEX($AI$11:$AI$259,MATCH(0,IF(TRUE=$AH$11:$AH$259,COUNTIF($AM$10:$AM182,$AI$11:$AI$259),""),0)),"")</f>
        <v/>
      </c>
      <c r="AN183" s="40"/>
      <c r="AQ183" s="35">
        <f t="shared" si="22"/>
        <v>0</v>
      </c>
      <c r="AT183" s="885" t="str">
        <f>IF(AND(OR(Y183="Yes",Y183="Pending"),P183='G-1 All Habitats'!$X$3),Q183-U183-V183,"")</f>
        <v/>
      </c>
      <c r="AV183" s="542" t="str">
        <f>IFERROR(INDEX('G-1 All Habitats'!$B$3:$B$135,MATCH(F183,'G-1 All Habitats'!$A$3:$A$135,0)),"")</f>
        <v/>
      </c>
      <c r="AW183" s="35" t="str">
        <f>IF(AV183="","",VLOOKUP(AV183,'G-1 All Habitats'!$B$1:$T$135,19,FALSE))</f>
        <v/>
      </c>
    </row>
    <row r="184" spans="1:49" ht="14.5" hidden="1" thickBot="1">
      <c r="A184" s="35" t="str">
        <f>IFERROR(INDEX('G-1 All Habitats'!$AG$3:$AG$17,MATCH(E184,'G-1 All Habitats'!$AF$3:$AF$17,0)),"")</f>
        <v/>
      </c>
      <c r="B184" s="35" t="str">
        <f>IFERROR(INDEX('G-8 Condition Look up'!$I$4:$I$135,MATCH(AV184,'G-8 Condition Look up'!$A$4:$A$135,0)),"")</f>
        <v/>
      </c>
      <c r="D184" s="225">
        <v>174</v>
      </c>
      <c r="E184" s="211"/>
      <c r="F184" s="57"/>
      <c r="G184" s="263"/>
      <c r="H184" s="51"/>
      <c r="I184" s="275" t="str">
        <f>IF(AV184="","",IF(AND(AW184="Yes",G184="No"),"Irreplaceable habitat ▲",IF(AND(AW184="No",G184="Yes"),"Cannot be Irreplaceable ▲",VLOOKUP(AV184,'G-1 All Habitats'!$B$2:$M$135,10,FALSE))))</f>
        <v/>
      </c>
      <c r="J184" s="276" t="str">
        <f>IFERROR(VLOOKUP(I184,'G-1 All Habitats'!$V$3:$W$7,2,FALSE),"")</f>
        <v/>
      </c>
      <c r="K184" s="52"/>
      <c r="L184" s="276" t="str">
        <f>IFERROR(INDEX('G-8 Condition Look up'!$A$3:$H$135,MATCH(AV184,'G-8 Condition Look up'!$A$3:$A$135,0),MATCH(K184,'G-8 Condition Look up'!$A$3:$H$3,0)),"")</f>
        <v/>
      </c>
      <c r="M184" s="52"/>
      <c r="N184" s="295" t="str">
        <f>IF(M184="","",IF(VLOOKUP(M184,'G-3 Multipliers'!$L$3:$N$6,2,FALSE)=0,"Spatial Data Missing",VLOOKUP(M184,'G-3 Multipliers'!$L$3:$N$6,2,FALSE)))</f>
        <v/>
      </c>
      <c r="O184" s="281" t="str">
        <f>IF(M184="","",IF(VLOOKUP(M184,'G-3 Multipliers'!$L$3:$N$6,3,FALSE)=0,"Spatial Data Missing ▲",VLOOKUP(M184,'G-3 Multipliers'!$L$3:$N$6,3,FALSE)))</f>
        <v/>
      </c>
      <c r="P184" s="282" t="str">
        <f>(IF(G184="Yes","Bespoke compensation likely to be required",(IFERROR(VLOOKUP(AV184,'G-1 All Habitats'!$B$2:$M$135,12,FALSE),""))))</f>
        <v/>
      </c>
      <c r="Q184" s="289" t="str">
        <f>IFERROR(IF(AND(F184&lt;&gt;"",G184=""),"Confirm irreplaceable habitat status ▲",(IF(AND(E184="Individual trees",T184&gt;0,G184="Yes"),"Error - you cannot enhance irreplaceable individual trees ▲",(IF(AND(U184="Irreplaceable habitat - no units generated ⚠",(S184+T184)&lt;H184,OR(Y184="No",Y184="")),"Any Loss Unacceptable ⚠",(IF(U184="Irreplaceable habitat - no units generated ⚠",T184*J184*L184*O184,IF(AND(P184='G-1 All Habitats'!$X$9,AC184&gt;0,S184&lt;=0,T184&lt;=0,OR(Y184="No",Y184="")),"Any Loss Unacceptable ⚠",IF(AND(P184='G-1 All Habitats'!$X$9,AC184&gt;0,S184&lt;=0,T184&lt;=0,Y184="Yes"),0,(IF(AND(P184='G-1 All Habitats'!$X$9,(S184+T184)&lt;H184,OR(Y184="No",Y184="")),"Any Loss Unacceptable ⚠",(IF(P184="","",IF(AND(P184='G-1 All Habitats'!$X$9,T184&gt;0),U184+V184,IF(AND(P184='G-1 All Habitats'!$X$9,S184&gt;0),U184+V184,H184*J184*L184*O184))))))))))))))),"Check Data ▲")</f>
        <v/>
      </c>
      <c r="R184" s="38"/>
      <c r="S184" s="52"/>
      <c r="T184" s="53"/>
      <c r="U184" s="287" t="str">
        <f t="shared" si="18"/>
        <v/>
      </c>
      <c r="V184" s="287" t="str">
        <f t="shared" si="19"/>
        <v/>
      </c>
      <c r="W184" s="287" t="str">
        <f t="shared" si="20"/>
        <v/>
      </c>
      <c r="X184" s="291" t="str">
        <f>IFERROR(IF(H184="","",IF(H184-S184-T184=0&lt;0,"Error in Areas ▲",IF(S184+T184&gt;H184,"Error in Areas ▲",IF(AND(P184='G-1 All Habitats'!$X$9,Y184="Yes"),"Alternative Compensation ✓",IF(AND(P184='G-1 All Habitats'!$X$3,Y184="Yes"),"Alternative Compensation ✓",IF(AND(Y184="Pending",P184='G-1 All Habitats'!$X$3),"Bespoke compensation must be agreed ▲",IF(AND(Y184="Pending",P184='G-1 All Habitats'!$X$9),"Bespoke compensation must be agreed  ▲",IF(W184=0,0,IF(P184='G-1 All Habitats'!$X$9,"Any Loss Unacceptable ▲",Q184-U184-V184))))))))),"Check Data ▲")</f>
        <v/>
      </c>
      <c r="Y184" s="53"/>
      <c r="Z184" s="105"/>
      <c r="AA184" s="233"/>
      <c r="AB184" s="104"/>
      <c r="AC184" s="512" t="str">
        <f>IF(OR(P184="",Y184="Yes"),"",IF(P184='G-1 All Habitats'!$X$9,H184-S184-T184,"None"))</f>
        <v/>
      </c>
      <c r="AD184" s="513" t="str">
        <f>IF(P184="","",IF(P184='G-1 All Habitats'!$X$9,AC184*J184*L184*O184,"None"))</f>
        <v/>
      </c>
      <c r="AE184" s="35" t="str">
        <f t="shared" si="16"/>
        <v/>
      </c>
      <c r="AF184" s="40" t="str">
        <f t="shared" si="21"/>
        <v/>
      </c>
      <c r="AG184" s="40" t="str">
        <f t="shared" si="17"/>
        <v/>
      </c>
      <c r="AH184" s="40" t="str">
        <f>IF(I184="","",IF(#REF!&gt;0,TRUE,FALSE))</f>
        <v/>
      </c>
      <c r="AI184" s="40">
        <v>174</v>
      </c>
      <c r="AJ184" s="40"/>
      <c r="AK184" s="40" t="str">
        <f t="array" ref="AK184">IFERROR(INDEX($AI$11:$AI$259,MATCH(0,IF(TRUE=$AF$11:$AF$259,COUNTIF($AK$10:$AK183,$AI$11:$AI$259),""),0)),"")</f>
        <v/>
      </c>
      <c r="AL184" s="40" t="str">
        <f t="array" ref="AL184">IFERROR(INDEX($AI$11:$AI$259,MATCH(0,IF(TRUE=$AG$11:$AG$259,COUNTIF($AL$10:$AL183,$AI$11:$AI$259),""),0)),"")</f>
        <v/>
      </c>
      <c r="AM184" s="40" t="str">
        <f t="array" ref="AM184">IFERROR(INDEX($AI$11:$AI$259,MATCH(0,IF(TRUE=$AH$11:$AH$259,COUNTIF($AM$10:$AM183,$AI$11:$AI$259),""),0)),"")</f>
        <v/>
      </c>
      <c r="AN184" s="40"/>
      <c r="AQ184" s="35">
        <f t="shared" si="22"/>
        <v>0</v>
      </c>
      <c r="AT184" s="885" t="str">
        <f>IF(AND(OR(Y184="Yes",Y184="Pending"),P184='G-1 All Habitats'!$X$3),Q184-U184-V184,"")</f>
        <v/>
      </c>
      <c r="AV184" s="542" t="str">
        <f>IFERROR(INDEX('G-1 All Habitats'!$B$3:$B$135,MATCH(F184,'G-1 All Habitats'!$A$3:$A$135,0)),"")</f>
        <v/>
      </c>
      <c r="AW184" s="35" t="str">
        <f>IF(AV184="","",VLOOKUP(AV184,'G-1 All Habitats'!$B$1:$T$135,19,FALSE))</f>
        <v/>
      </c>
    </row>
    <row r="185" spans="1:49" ht="14.5" hidden="1" thickBot="1">
      <c r="A185" s="35" t="str">
        <f>IFERROR(INDEX('G-1 All Habitats'!$AG$3:$AG$17,MATCH(E185,'G-1 All Habitats'!$AF$3:$AF$17,0)),"")</f>
        <v/>
      </c>
      <c r="B185" s="35" t="str">
        <f>IFERROR(INDEX('G-8 Condition Look up'!$I$4:$I$135,MATCH(AV185,'G-8 Condition Look up'!$A$4:$A$135,0)),"")</f>
        <v/>
      </c>
      <c r="D185" s="225">
        <v>175</v>
      </c>
      <c r="E185" s="211"/>
      <c r="F185" s="57"/>
      <c r="G185" s="263"/>
      <c r="H185" s="51"/>
      <c r="I185" s="275" t="str">
        <f>IF(AV185="","",IF(AND(AW185="Yes",G185="No"),"Irreplaceable habitat ▲",IF(AND(AW185="No",G185="Yes"),"Cannot be Irreplaceable ▲",VLOOKUP(AV185,'G-1 All Habitats'!$B$2:$M$135,10,FALSE))))</f>
        <v/>
      </c>
      <c r="J185" s="276" t="str">
        <f>IFERROR(VLOOKUP(I185,'G-1 All Habitats'!$V$3:$W$7,2,FALSE),"")</f>
        <v/>
      </c>
      <c r="K185" s="52"/>
      <c r="L185" s="276" t="str">
        <f>IFERROR(INDEX('G-8 Condition Look up'!$A$3:$H$135,MATCH(AV185,'G-8 Condition Look up'!$A$3:$A$135,0),MATCH(K185,'G-8 Condition Look up'!$A$3:$H$3,0)),"")</f>
        <v/>
      </c>
      <c r="M185" s="52"/>
      <c r="N185" s="295" t="str">
        <f>IF(M185="","",IF(VLOOKUP(M185,'G-3 Multipliers'!$L$3:$N$6,2,FALSE)=0,"Spatial Data Missing",VLOOKUP(M185,'G-3 Multipliers'!$L$3:$N$6,2,FALSE)))</f>
        <v/>
      </c>
      <c r="O185" s="281" t="str">
        <f>IF(M185="","",IF(VLOOKUP(M185,'G-3 Multipliers'!$L$3:$N$6,3,FALSE)=0,"Spatial Data Missing ▲",VLOOKUP(M185,'G-3 Multipliers'!$L$3:$N$6,3,FALSE)))</f>
        <v/>
      </c>
      <c r="P185" s="282" t="str">
        <f>(IF(G185="Yes","Bespoke compensation likely to be required",(IFERROR(VLOOKUP(AV185,'G-1 All Habitats'!$B$2:$M$135,12,FALSE),""))))</f>
        <v/>
      </c>
      <c r="Q185" s="289" t="str">
        <f>IFERROR(IF(AND(F185&lt;&gt;"",G185=""),"Confirm irreplaceable habitat status ▲",(IF(AND(E185="Individual trees",T185&gt;0,G185="Yes"),"Error - you cannot enhance irreplaceable individual trees ▲",(IF(AND(U185="Irreplaceable habitat - no units generated ⚠",(S185+T185)&lt;H185,OR(Y185="No",Y185="")),"Any Loss Unacceptable ⚠",(IF(U185="Irreplaceable habitat - no units generated ⚠",T185*J185*L185*O185,IF(AND(P185='G-1 All Habitats'!$X$9,AC185&gt;0,S185&lt;=0,T185&lt;=0,OR(Y185="No",Y185="")),"Any Loss Unacceptable ⚠",IF(AND(P185='G-1 All Habitats'!$X$9,AC185&gt;0,S185&lt;=0,T185&lt;=0,Y185="Yes"),0,(IF(AND(P185='G-1 All Habitats'!$X$9,(S185+T185)&lt;H185,OR(Y185="No",Y185="")),"Any Loss Unacceptable ⚠",(IF(P185="","",IF(AND(P185='G-1 All Habitats'!$X$9,T185&gt;0),U185+V185,IF(AND(P185='G-1 All Habitats'!$X$9,S185&gt;0),U185+V185,H185*J185*L185*O185))))))))))))))),"Check Data ▲")</f>
        <v/>
      </c>
      <c r="R185" s="38"/>
      <c r="S185" s="52"/>
      <c r="T185" s="53"/>
      <c r="U185" s="287" t="str">
        <f t="shared" si="18"/>
        <v/>
      </c>
      <c r="V185" s="287" t="str">
        <f t="shared" si="19"/>
        <v/>
      </c>
      <c r="W185" s="287" t="str">
        <f t="shared" si="20"/>
        <v/>
      </c>
      <c r="X185" s="291" t="str">
        <f>IFERROR(IF(H185="","",IF(H185-S185-T185=0&lt;0,"Error in Areas ▲",IF(S185+T185&gt;H185,"Error in Areas ▲",IF(AND(P185='G-1 All Habitats'!$X$9,Y185="Yes"),"Alternative Compensation ✓",IF(AND(P185='G-1 All Habitats'!$X$3,Y185="Yes"),"Alternative Compensation ✓",IF(AND(Y185="Pending",P185='G-1 All Habitats'!$X$3),"Bespoke compensation must be agreed ▲",IF(AND(Y185="Pending",P185='G-1 All Habitats'!$X$9),"Bespoke compensation must be agreed  ▲",IF(W185=0,0,IF(P185='G-1 All Habitats'!$X$9,"Any Loss Unacceptable ▲",Q185-U185-V185))))))))),"Check Data ▲")</f>
        <v/>
      </c>
      <c r="Y185" s="53"/>
      <c r="Z185" s="105"/>
      <c r="AA185" s="233"/>
      <c r="AB185" s="104"/>
      <c r="AC185" s="512" t="str">
        <f>IF(OR(P185="",Y185="Yes"),"",IF(P185='G-1 All Habitats'!$X$9,H185-S185-T185,"None"))</f>
        <v/>
      </c>
      <c r="AD185" s="513" t="str">
        <f>IF(P185="","",IF(P185='G-1 All Habitats'!$X$9,AC185*J185*L185*O185,"None"))</f>
        <v/>
      </c>
      <c r="AE185" s="35" t="str">
        <f t="shared" si="16"/>
        <v/>
      </c>
      <c r="AF185" s="40" t="str">
        <f t="shared" si="21"/>
        <v/>
      </c>
      <c r="AG185" s="40" t="str">
        <f t="shared" si="17"/>
        <v/>
      </c>
      <c r="AH185" s="40" t="str">
        <f>IF(I185="","",IF(#REF!&gt;0,TRUE,FALSE))</f>
        <v/>
      </c>
      <c r="AI185" s="40">
        <v>175</v>
      </c>
      <c r="AJ185" s="40"/>
      <c r="AK185" s="40" t="str">
        <f t="array" ref="AK185">IFERROR(INDEX($AI$11:$AI$259,MATCH(0,IF(TRUE=$AF$11:$AF$259,COUNTIF($AK$10:$AK184,$AI$11:$AI$259),""),0)),"")</f>
        <v/>
      </c>
      <c r="AL185" s="40" t="str">
        <f t="array" ref="AL185">IFERROR(INDEX($AI$11:$AI$259,MATCH(0,IF(TRUE=$AG$11:$AG$259,COUNTIF($AL$10:$AL184,$AI$11:$AI$259),""),0)),"")</f>
        <v/>
      </c>
      <c r="AM185" s="40" t="str">
        <f t="array" ref="AM185">IFERROR(INDEX($AI$11:$AI$259,MATCH(0,IF(TRUE=$AH$11:$AH$259,COUNTIF($AM$10:$AM184,$AI$11:$AI$259),""),0)),"")</f>
        <v/>
      </c>
      <c r="AN185" s="40"/>
      <c r="AQ185" s="35">
        <f t="shared" si="22"/>
        <v>0</v>
      </c>
      <c r="AT185" s="885" t="str">
        <f>IF(AND(OR(Y185="Yes",Y185="Pending"),P185='G-1 All Habitats'!$X$3),Q185-U185-V185,"")</f>
        <v/>
      </c>
      <c r="AV185" s="542" t="str">
        <f>IFERROR(INDEX('G-1 All Habitats'!$B$3:$B$135,MATCH(F185,'G-1 All Habitats'!$A$3:$A$135,0)),"")</f>
        <v/>
      </c>
      <c r="AW185" s="35" t="str">
        <f>IF(AV185="","",VLOOKUP(AV185,'G-1 All Habitats'!$B$1:$T$135,19,FALSE))</f>
        <v/>
      </c>
    </row>
    <row r="186" spans="1:49" ht="14.5" hidden="1" thickBot="1">
      <c r="A186" s="35" t="str">
        <f>IFERROR(INDEX('G-1 All Habitats'!$AG$3:$AG$17,MATCH(E186,'G-1 All Habitats'!$AF$3:$AF$17,0)),"")</f>
        <v/>
      </c>
      <c r="B186" s="35" t="str">
        <f>IFERROR(INDEX('G-8 Condition Look up'!$I$4:$I$135,MATCH(AV186,'G-8 Condition Look up'!$A$4:$A$135,0)),"")</f>
        <v/>
      </c>
      <c r="D186" s="225">
        <v>176</v>
      </c>
      <c r="E186" s="211"/>
      <c r="F186" s="57"/>
      <c r="G186" s="263"/>
      <c r="H186" s="51"/>
      <c r="I186" s="275" t="str">
        <f>IF(AV186="","",IF(AND(AW186="Yes",G186="No"),"Irreplaceable habitat ▲",IF(AND(AW186="No",G186="Yes"),"Cannot be Irreplaceable ▲",VLOOKUP(AV186,'G-1 All Habitats'!$B$2:$M$135,10,FALSE))))</f>
        <v/>
      </c>
      <c r="J186" s="276" t="str">
        <f>IFERROR(VLOOKUP(I186,'G-1 All Habitats'!$V$3:$W$7,2,FALSE),"")</f>
        <v/>
      </c>
      <c r="K186" s="52"/>
      <c r="L186" s="276" t="str">
        <f>IFERROR(INDEX('G-8 Condition Look up'!$A$3:$H$135,MATCH(AV186,'G-8 Condition Look up'!$A$3:$A$135,0),MATCH(K186,'G-8 Condition Look up'!$A$3:$H$3,0)),"")</f>
        <v/>
      </c>
      <c r="M186" s="52"/>
      <c r="N186" s="295" t="str">
        <f>IF(M186="","",IF(VLOOKUP(M186,'G-3 Multipliers'!$L$3:$N$6,2,FALSE)=0,"Spatial Data Missing",VLOOKUP(M186,'G-3 Multipliers'!$L$3:$N$6,2,FALSE)))</f>
        <v/>
      </c>
      <c r="O186" s="281" t="str">
        <f>IF(M186="","",IF(VLOOKUP(M186,'G-3 Multipliers'!$L$3:$N$6,3,FALSE)=0,"Spatial Data Missing ▲",VLOOKUP(M186,'G-3 Multipliers'!$L$3:$N$6,3,FALSE)))</f>
        <v/>
      </c>
      <c r="P186" s="282" t="str">
        <f>(IF(G186="Yes","Bespoke compensation likely to be required",(IFERROR(VLOOKUP(AV186,'G-1 All Habitats'!$B$2:$M$135,12,FALSE),""))))</f>
        <v/>
      </c>
      <c r="Q186" s="289" t="str">
        <f>IFERROR(IF(AND(F186&lt;&gt;"",G186=""),"Confirm irreplaceable habitat status ▲",(IF(AND(E186="Individual trees",T186&gt;0,G186="Yes"),"Error - you cannot enhance irreplaceable individual trees ▲",(IF(AND(U186="Irreplaceable habitat - no units generated ⚠",(S186+T186)&lt;H186,OR(Y186="No",Y186="")),"Any Loss Unacceptable ⚠",(IF(U186="Irreplaceable habitat - no units generated ⚠",T186*J186*L186*O186,IF(AND(P186='G-1 All Habitats'!$X$9,AC186&gt;0,S186&lt;=0,T186&lt;=0,OR(Y186="No",Y186="")),"Any Loss Unacceptable ⚠",IF(AND(P186='G-1 All Habitats'!$X$9,AC186&gt;0,S186&lt;=0,T186&lt;=0,Y186="Yes"),0,(IF(AND(P186='G-1 All Habitats'!$X$9,(S186+T186)&lt;H186,OR(Y186="No",Y186="")),"Any Loss Unacceptable ⚠",(IF(P186="","",IF(AND(P186='G-1 All Habitats'!$X$9,T186&gt;0),U186+V186,IF(AND(P186='G-1 All Habitats'!$X$9,S186&gt;0),U186+V186,H186*J186*L186*O186))))))))))))))),"Check Data ▲")</f>
        <v/>
      </c>
      <c r="R186" s="38"/>
      <c r="S186" s="52"/>
      <c r="T186" s="53"/>
      <c r="U186" s="287" t="str">
        <f t="shared" si="18"/>
        <v/>
      </c>
      <c r="V186" s="287" t="str">
        <f t="shared" si="19"/>
        <v/>
      </c>
      <c r="W186" s="287" t="str">
        <f t="shared" si="20"/>
        <v/>
      </c>
      <c r="X186" s="291" t="str">
        <f>IFERROR(IF(H186="","",IF(H186-S186-T186=0&lt;0,"Error in Areas ▲",IF(S186+T186&gt;H186,"Error in Areas ▲",IF(AND(P186='G-1 All Habitats'!$X$9,Y186="Yes"),"Alternative Compensation ✓",IF(AND(P186='G-1 All Habitats'!$X$3,Y186="Yes"),"Alternative Compensation ✓",IF(AND(Y186="Pending",P186='G-1 All Habitats'!$X$3),"Bespoke compensation must be agreed ▲",IF(AND(Y186="Pending",P186='G-1 All Habitats'!$X$9),"Bespoke compensation must be agreed  ▲",IF(W186=0,0,IF(P186='G-1 All Habitats'!$X$9,"Any Loss Unacceptable ▲",Q186-U186-V186))))))))),"Check Data ▲")</f>
        <v/>
      </c>
      <c r="Y186" s="53"/>
      <c r="Z186" s="105"/>
      <c r="AA186" s="233"/>
      <c r="AB186" s="104"/>
      <c r="AC186" s="512" t="str">
        <f>IF(OR(P186="",Y186="Yes"),"",IF(P186='G-1 All Habitats'!$X$9,H186-S186-T186,"None"))</f>
        <v/>
      </c>
      <c r="AD186" s="513" t="str">
        <f>IF(P186="","",IF(P186='G-1 All Habitats'!$X$9,AC186*J186*L186*O186,"None"))</f>
        <v/>
      </c>
      <c r="AE186" s="35" t="str">
        <f t="shared" si="16"/>
        <v/>
      </c>
      <c r="AF186" s="40" t="str">
        <f t="shared" si="21"/>
        <v/>
      </c>
      <c r="AG186" s="40" t="str">
        <f t="shared" si="17"/>
        <v/>
      </c>
      <c r="AH186" s="40" t="str">
        <f>IF(I186="","",IF(#REF!&gt;0,TRUE,FALSE))</f>
        <v/>
      </c>
      <c r="AI186" s="40">
        <v>176</v>
      </c>
      <c r="AJ186" s="40"/>
      <c r="AK186" s="40" t="str">
        <f t="array" ref="AK186">IFERROR(INDEX($AI$11:$AI$259,MATCH(0,IF(TRUE=$AF$11:$AF$259,COUNTIF($AK$10:$AK185,$AI$11:$AI$259),""),0)),"")</f>
        <v/>
      </c>
      <c r="AL186" s="40" t="str">
        <f t="array" ref="AL186">IFERROR(INDEX($AI$11:$AI$259,MATCH(0,IF(TRUE=$AG$11:$AG$259,COUNTIF($AL$10:$AL185,$AI$11:$AI$259),""),0)),"")</f>
        <v/>
      </c>
      <c r="AM186" s="40" t="str">
        <f t="array" ref="AM186">IFERROR(INDEX($AI$11:$AI$259,MATCH(0,IF(TRUE=$AH$11:$AH$259,COUNTIF($AM$10:$AM185,$AI$11:$AI$259),""),0)),"")</f>
        <v/>
      </c>
      <c r="AN186" s="40"/>
      <c r="AQ186" s="35">
        <f t="shared" si="22"/>
        <v>0</v>
      </c>
      <c r="AT186" s="885" t="str">
        <f>IF(AND(OR(Y186="Yes",Y186="Pending"),P186='G-1 All Habitats'!$X$3),Q186-U186-V186,"")</f>
        <v/>
      </c>
      <c r="AV186" s="542" t="str">
        <f>IFERROR(INDEX('G-1 All Habitats'!$B$3:$B$135,MATCH(F186,'G-1 All Habitats'!$A$3:$A$135,0)),"")</f>
        <v/>
      </c>
      <c r="AW186" s="35" t="str">
        <f>IF(AV186="","",VLOOKUP(AV186,'G-1 All Habitats'!$B$1:$T$135,19,FALSE))</f>
        <v/>
      </c>
    </row>
    <row r="187" spans="1:49" ht="14.5" hidden="1" thickBot="1">
      <c r="A187" s="35" t="str">
        <f>IFERROR(INDEX('G-1 All Habitats'!$AG$3:$AG$17,MATCH(E187,'G-1 All Habitats'!$AF$3:$AF$17,0)),"")</f>
        <v/>
      </c>
      <c r="B187" s="35" t="str">
        <f>IFERROR(INDEX('G-8 Condition Look up'!$I$4:$I$135,MATCH(AV187,'G-8 Condition Look up'!$A$4:$A$135,0)),"")</f>
        <v/>
      </c>
      <c r="D187" s="225">
        <v>177</v>
      </c>
      <c r="E187" s="211"/>
      <c r="F187" s="57"/>
      <c r="G187" s="263"/>
      <c r="H187" s="51"/>
      <c r="I187" s="275" t="str">
        <f>IF(AV187="","",IF(AND(AW187="Yes",G187="No"),"Irreplaceable habitat ▲",IF(AND(AW187="No",G187="Yes"),"Cannot be Irreplaceable ▲",VLOOKUP(AV187,'G-1 All Habitats'!$B$2:$M$135,10,FALSE))))</f>
        <v/>
      </c>
      <c r="J187" s="276" t="str">
        <f>IFERROR(VLOOKUP(I187,'G-1 All Habitats'!$V$3:$W$7,2,FALSE),"")</f>
        <v/>
      </c>
      <c r="K187" s="52"/>
      <c r="L187" s="276" t="str">
        <f>IFERROR(INDEX('G-8 Condition Look up'!$A$3:$H$135,MATCH(AV187,'G-8 Condition Look up'!$A$3:$A$135,0),MATCH(K187,'G-8 Condition Look up'!$A$3:$H$3,0)),"")</f>
        <v/>
      </c>
      <c r="M187" s="52"/>
      <c r="N187" s="295" t="str">
        <f>IF(M187="","",IF(VLOOKUP(M187,'G-3 Multipliers'!$L$3:$N$6,2,FALSE)=0,"Spatial Data Missing",VLOOKUP(M187,'G-3 Multipliers'!$L$3:$N$6,2,FALSE)))</f>
        <v/>
      </c>
      <c r="O187" s="281" t="str">
        <f>IF(M187="","",IF(VLOOKUP(M187,'G-3 Multipliers'!$L$3:$N$6,3,FALSE)=0,"Spatial Data Missing ▲",VLOOKUP(M187,'G-3 Multipliers'!$L$3:$N$6,3,FALSE)))</f>
        <v/>
      </c>
      <c r="P187" s="282" t="str">
        <f>(IF(G187="Yes","Bespoke compensation likely to be required",(IFERROR(VLOOKUP(AV187,'G-1 All Habitats'!$B$2:$M$135,12,FALSE),""))))</f>
        <v/>
      </c>
      <c r="Q187" s="289" t="str">
        <f>IFERROR(IF(AND(F187&lt;&gt;"",G187=""),"Confirm irreplaceable habitat status ▲",(IF(AND(E187="Individual trees",T187&gt;0,G187="Yes"),"Error - you cannot enhance irreplaceable individual trees ▲",(IF(AND(U187="Irreplaceable habitat - no units generated ⚠",(S187+T187)&lt;H187,OR(Y187="No",Y187="")),"Any Loss Unacceptable ⚠",(IF(U187="Irreplaceable habitat - no units generated ⚠",T187*J187*L187*O187,IF(AND(P187='G-1 All Habitats'!$X$9,AC187&gt;0,S187&lt;=0,T187&lt;=0,OR(Y187="No",Y187="")),"Any Loss Unacceptable ⚠",IF(AND(P187='G-1 All Habitats'!$X$9,AC187&gt;0,S187&lt;=0,T187&lt;=0,Y187="Yes"),0,(IF(AND(P187='G-1 All Habitats'!$X$9,(S187+T187)&lt;H187,OR(Y187="No",Y187="")),"Any Loss Unacceptable ⚠",(IF(P187="","",IF(AND(P187='G-1 All Habitats'!$X$9,T187&gt;0),U187+V187,IF(AND(P187='G-1 All Habitats'!$X$9,S187&gt;0),U187+V187,H187*J187*L187*O187))))))))))))))),"Check Data ▲")</f>
        <v/>
      </c>
      <c r="R187" s="38"/>
      <c r="S187" s="52"/>
      <c r="T187" s="53"/>
      <c r="U187" s="287" t="str">
        <f t="shared" si="18"/>
        <v/>
      </c>
      <c r="V187" s="287" t="str">
        <f t="shared" si="19"/>
        <v/>
      </c>
      <c r="W187" s="287" t="str">
        <f t="shared" si="20"/>
        <v/>
      </c>
      <c r="X187" s="291" t="str">
        <f>IFERROR(IF(H187="","",IF(H187-S187-T187=0&lt;0,"Error in Areas ▲",IF(S187+T187&gt;H187,"Error in Areas ▲",IF(AND(P187='G-1 All Habitats'!$X$9,Y187="Yes"),"Alternative Compensation ✓",IF(AND(P187='G-1 All Habitats'!$X$3,Y187="Yes"),"Alternative Compensation ✓",IF(AND(Y187="Pending",P187='G-1 All Habitats'!$X$3),"Bespoke compensation must be agreed ▲",IF(AND(Y187="Pending",P187='G-1 All Habitats'!$X$9),"Bespoke compensation must be agreed  ▲",IF(W187=0,0,IF(P187='G-1 All Habitats'!$X$9,"Any Loss Unacceptable ▲",Q187-U187-V187))))))))),"Check Data ▲")</f>
        <v/>
      </c>
      <c r="Y187" s="53"/>
      <c r="Z187" s="105"/>
      <c r="AA187" s="233"/>
      <c r="AB187" s="104"/>
      <c r="AC187" s="512" t="str">
        <f>IF(OR(P187="",Y187="Yes"),"",IF(P187='G-1 All Habitats'!$X$9,H187-S187-T187,"None"))</f>
        <v/>
      </c>
      <c r="AD187" s="513" t="str">
        <f>IF(P187="","",IF(P187='G-1 All Habitats'!$X$9,AC187*J187*L187*O187,"None"))</f>
        <v/>
      </c>
      <c r="AE187" s="35" t="str">
        <f t="shared" si="16"/>
        <v/>
      </c>
      <c r="AF187" s="40" t="str">
        <f t="shared" si="21"/>
        <v/>
      </c>
      <c r="AG187" s="40" t="str">
        <f t="shared" si="17"/>
        <v/>
      </c>
      <c r="AH187" s="40" t="str">
        <f>IF(I187="","",IF(#REF!&gt;0,TRUE,FALSE))</f>
        <v/>
      </c>
      <c r="AI187" s="40">
        <v>177</v>
      </c>
      <c r="AJ187" s="40"/>
      <c r="AK187" s="40" t="str">
        <f t="array" ref="AK187">IFERROR(INDEX($AI$11:$AI$259,MATCH(0,IF(TRUE=$AF$11:$AF$259,COUNTIF($AK$10:$AK186,$AI$11:$AI$259),""),0)),"")</f>
        <v/>
      </c>
      <c r="AL187" s="40" t="str">
        <f t="array" ref="AL187">IFERROR(INDEX($AI$11:$AI$259,MATCH(0,IF(TRUE=$AG$11:$AG$259,COUNTIF($AL$10:$AL186,$AI$11:$AI$259),""),0)),"")</f>
        <v/>
      </c>
      <c r="AM187" s="40" t="str">
        <f t="array" ref="AM187">IFERROR(INDEX($AI$11:$AI$259,MATCH(0,IF(TRUE=$AH$11:$AH$259,COUNTIF($AM$10:$AM186,$AI$11:$AI$259),""),0)),"")</f>
        <v/>
      </c>
      <c r="AN187" s="40"/>
      <c r="AQ187" s="35">
        <f t="shared" si="22"/>
        <v>0</v>
      </c>
      <c r="AT187" s="885" t="str">
        <f>IF(AND(OR(Y187="Yes",Y187="Pending"),P187='G-1 All Habitats'!$X$3),Q187-U187-V187,"")</f>
        <v/>
      </c>
      <c r="AV187" s="542" t="str">
        <f>IFERROR(INDEX('G-1 All Habitats'!$B$3:$B$135,MATCH(F187,'G-1 All Habitats'!$A$3:$A$135,0)),"")</f>
        <v/>
      </c>
      <c r="AW187" s="35" t="str">
        <f>IF(AV187="","",VLOOKUP(AV187,'G-1 All Habitats'!$B$1:$T$135,19,FALSE))</f>
        <v/>
      </c>
    </row>
    <row r="188" spans="1:49" ht="14.5" hidden="1" thickBot="1">
      <c r="A188" s="35" t="str">
        <f>IFERROR(INDEX('G-1 All Habitats'!$AG$3:$AG$17,MATCH(E188,'G-1 All Habitats'!$AF$3:$AF$17,0)),"")</f>
        <v/>
      </c>
      <c r="B188" s="35" t="str">
        <f>IFERROR(INDEX('G-8 Condition Look up'!$I$4:$I$135,MATCH(AV188,'G-8 Condition Look up'!$A$4:$A$135,0)),"")</f>
        <v/>
      </c>
      <c r="D188" s="225">
        <v>178</v>
      </c>
      <c r="E188" s="211"/>
      <c r="F188" s="57"/>
      <c r="G188" s="263"/>
      <c r="H188" s="51"/>
      <c r="I188" s="275" t="str">
        <f>IF(AV188="","",IF(AND(AW188="Yes",G188="No"),"Irreplaceable habitat ▲",IF(AND(AW188="No",G188="Yes"),"Cannot be Irreplaceable ▲",VLOOKUP(AV188,'G-1 All Habitats'!$B$2:$M$135,10,FALSE))))</f>
        <v/>
      </c>
      <c r="J188" s="276" t="str">
        <f>IFERROR(VLOOKUP(I188,'G-1 All Habitats'!$V$3:$W$7,2,FALSE),"")</f>
        <v/>
      </c>
      <c r="K188" s="52"/>
      <c r="L188" s="276" t="str">
        <f>IFERROR(INDEX('G-8 Condition Look up'!$A$3:$H$135,MATCH(AV188,'G-8 Condition Look up'!$A$3:$A$135,0),MATCH(K188,'G-8 Condition Look up'!$A$3:$H$3,0)),"")</f>
        <v/>
      </c>
      <c r="M188" s="52"/>
      <c r="N188" s="295" t="str">
        <f>IF(M188="","",IF(VLOOKUP(M188,'G-3 Multipliers'!$L$3:$N$6,2,FALSE)=0,"Spatial Data Missing",VLOOKUP(M188,'G-3 Multipliers'!$L$3:$N$6,2,FALSE)))</f>
        <v/>
      </c>
      <c r="O188" s="281" t="str">
        <f>IF(M188="","",IF(VLOOKUP(M188,'G-3 Multipliers'!$L$3:$N$6,3,FALSE)=0,"Spatial Data Missing ▲",VLOOKUP(M188,'G-3 Multipliers'!$L$3:$N$6,3,FALSE)))</f>
        <v/>
      </c>
      <c r="P188" s="282" t="str">
        <f>(IF(G188="Yes","Bespoke compensation likely to be required",(IFERROR(VLOOKUP(AV188,'G-1 All Habitats'!$B$2:$M$135,12,FALSE),""))))</f>
        <v/>
      </c>
      <c r="Q188" s="289" t="str">
        <f>IFERROR(IF(AND(F188&lt;&gt;"",G188=""),"Confirm irreplaceable habitat status ▲",(IF(AND(E188="Individual trees",T188&gt;0,G188="Yes"),"Error - you cannot enhance irreplaceable individual trees ▲",(IF(AND(U188="Irreplaceable habitat - no units generated ⚠",(S188+T188)&lt;H188,OR(Y188="No",Y188="")),"Any Loss Unacceptable ⚠",(IF(U188="Irreplaceable habitat - no units generated ⚠",T188*J188*L188*O188,IF(AND(P188='G-1 All Habitats'!$X$9,AC188&gt;0,S188&lt;=0,T188&lt;=0,OR(Y188="No",Y188="")),"Any Loss Unacceptable ⚠",IF(AND(P188='G-1 All Habitats'!$X$9,AC188&gt;0,S188&lt;=0,T188&lt;=0,Y188="Yes"),0,(IF(AND(P188='G-1 All Habitats'!$X$9,(S188+T188)&lt;H188,OR(Y188="No",Y188="")),"Any Loss Unacceptable ⚠",(IF(P188="","",IF(AND(P188='G-1 All Habitats'!$X$9,T188&gt;0),U188+V188,IF(AND(P188='G-1 All Habitats'!$X$9,S188&gt;0),U188+V188,H188*J188*L188*O188))))))))))))))),"Check Data ▲")</f>
        <v/>
      </c>
      <c r="R188" s="38"/>
      <c r="S188" s="52"/>
      <c r="T188" s="53"/>
      <c r="U188" s="287" t="str">
        <f t="shared" si="18"/>
        <v/>
      </c>
      <c r="V188" s="287" t="str">
        <f t="shared" si="19"/>
        <v/>
      </c>
      <c r="W188" s="287" t="str">
        <f t="shared" si="20"/>
        <v/>
      </c>
      <c r="X188" s="291" t="str">
        <f>IFERROR(IF(H188="","",IF(H188-S188-T188=0&lt;0,"Error in Areas ▲",IF(S188+T188&gt;H188,"Error in Areas ▲",IF(AND(P188='G-1 All Habitats'!$X$9,Y188="Yes"),"Alternative Compensation ✓",IF(AND(P188='G-1 All Habitats'!$X$3,Y188="Yes"),"Alternative Compensation ✓",IF(AND(Y188="Pending",P188='G-1 All Habitats'!$X$3),"Bespoke compensation must be agreed ▲",IF(AND(Y188="Pending",P188='G-1 All Habitats'!$X$9),"Bespoke compensation must be agreed  ▲",IF(W188=0,0,IF(P188='G-1 All Habitats'!$X$9,"Any Loss Unacceptable ▲",Q188-U188-V188))))))))),"Check Data ▲")</f>
        <v/>
      </c>
      <c r="Y188" s="53"/>
      <c r="Z188" s="105"/>
      <c r="AA188" s="233"/>
      <c r="AB188" s="104"/>
      <c r="AC188" s="512" t="str">
        <f>IF(OR(P188="",Y188="Yes"),"",IF(P188='G-1 All Habitats'!$X$9,H188-S188-T188,"None"))</f>
        <v/>
      </c>
      <c r="AD188" s="513" t="str">
        <f>IF(P188="","",IF(P188='G-1 All Habitats'!$X$9,AC188*J188*L188*O188,"None"))</f>
        <v/>
      </c>
      <c r="AE188" s="35" t="str">
        <f t="shared" si="16"/>
        <v/>
      </c>
      <c r="AF188" s="40" t="str">
        <f t="shared" si="21"/>
        <v/>
      </c>
      <c r="AG188" s="40" t="str">
        <f t="shared" si="17"/>
        <v/>
      </c>
      <c r="AH188" s="40" t="str">
        <f>IF(I188="","",IF(#REF!&gt;0,TRUE,FALSE))</f>
        <v/>
      </c>
      <c r="AI188" s="40">
        <v>178</v>
      </c>
      <c r="AJ188" s="40"/>
      <c r="AK188" s="40" t="str">
        <f t="array" ref="AK188">IFERROR(INDEX($AI$11:$AI$259,MATCH(0,IF(TRUE=$AF$11:$AF$259,COUNTIF($AK$10:$AK187,$AI$11:$AI$259),""),0)),"")</f>
        <v/>
      </c>
      <c r="AL188" s="40" t="str">
        <f t="array" ref="AL188">IFERROR(INDEX($AI$11:$AI$259,MATCH(0,IF(TRUE=$AG$11:$AG$259,COUNTIF($AL$10:$AL187,$AI$11:$AI$259),""),0)),"")</f>
        <v/>
      </c>
      <c r="AM188" s="40" t="str">
        <f t="array" ref="AM188">IFERROR(INDEX($AI$11:$AI$259,MATCH(0,IF(TRUE=$AH$11:$AH$259,COUNTIF($AM$10:$AM187,$AI$11:$AI$259),""),0)),"")</f>
        <v/>
      </c>
      <c r="AN188" s="40"/>
      <c r="AQ188" s="35">
        <f t="shared" si="22"/>
        <v>0</v>
      </c>
      <c r="AT188" s="885" t="str">
        <f>IF(AND(OR(Y188="Yes",Y188="Pending"),P188='G-1 All Habitats'!$X$3),Q188-U188-V188,"")</f>
        <v/>
      </c>
      <c r="AV188" s="542" t="str">
        <f>IFERROR(INDEX('G-1 All Habitats'!$B$3:$B$135,MATCH(F188,'G-1 All Habitats'!$A$3:$A$135,0)),"")</f>
        <v/>
      </c>
      <c r="AW188" s="35" t="str">
        <f>IF(AV188="","",VLOOKUP(AV188,'G-1 All Habitats'!$B$1:$T$135,19,FALSE))</f>
        <v/>
      </c>
    </row>
    <row r="189" spans="1:49" ht="14.5" hidden="1" thickBot="1">
      <c r="A189" s="35" t="str">
        <f>IFERROR(INDEX('G-1 All Habitats'!$AG$3:$AG$17,MATCH(E189,'G-1 All Habitats'!$AF$3:$AF$17,0)),"")</f>
        <v/>
      </c>
      <c r="B189" s="35" t="str">
        <f>IFERROR(INDEX('G-8 Condition Look up'!$I$4:$I$135,MATCH(AV189,'G-8 Condition Look up'!$A$4:$A$135,0)),"")</f>
        <v/>
      </c>
      <c r="D189" s="225">
        <v>179</v>
      </c>
      <c r="E189" s="211"/>
      <c r="F189" s="57"/>
      <c r="G189" s="263"/>
      <c r="H189" s="51"/>
      <c r="I189" s="275" t="str">
        <f>IF(AV189="","",IF(AND(AW189="Yes",G189="No"),"Irreplaceable habitat ▲",IF(AND(AW189="No",G189="Yes"),"Cannot be Irreplaceable ▲",VLOOKUP(AV189,'G-1 All Habitats'!$B$2:$M$135,10,FALSE))))</f>
        <v/>
      </c>
      <c r="J189" s="276" t="str">
        <f>IFERROR(VLOOKUP(I189,'G-1 All Habitats'!$V$3:$W$7,2,FALSE),"")</f>
        <v/>
      </c>
      <c r="K189" s="52"/>
      <c r="L189" s="276" t="str">
        <f>IFERROR(INDEX('G-8 Condition Look up'!$A$3:$H$135,MATCH(AV189,'G-8 Condition Look up'!$A$3:$A$135,0),MATCH(K189,'G-8 Condition Look up'!$A$3:$H$3,0)),"")</f>
        <v/>
      </c>
      <c r="M189" s="52"/>
      <c r="N189" s="295" t="str">
        <f>IF(M189="","",IF(VLOOKUP(M189,'G-3 Multipliers'!$L$3:$N$6,2,FALSE)=0,"Spatial Data Missing",VLOOKUP(M189,'G-3 Multipliers'!$L$3:$N$6,2,FALSE)))</f>
        <v/>
      </c>
      <c r="O189" s="281" t="str">
        <f>IF(M189="","",IF(VLOOKUP(M189,'G-3 Multipliers'!$L$3:$N$6,3,FALSE)=0,"Spatial Data Missing ▲",VLOOKUP(M189,'G-3 Multipliers'!$L$3:$N$6,3,FALSE)))</f>
        <v/>
      </c>
      <c r="P189" s="282" t="str">
        <f>(IF(G189="Yes","Bespoke compensation likely to be required",(IFERROR(VLOOKUP(AV189,'G-1 All Habitats'!$B$2:$M$135,12,FALSE),""))))</f>
        <v/>
      </c>
      <c r="Q189" s="289" t="str">
        <f>IFERROR(IF(AND(F189&lt;&gt;"",G189=""),"Confirm irreplaceable habitat status ▲",(IF(AND(E189="Individual trees",T189&gt;0,G189="Yes"),"Error - you cannot enhance irreplaceable individual trees ▲",(IF(AND(U189="Irreplaceable habitat - no units generated ⚠",(S189+T189)&lt;H189,OR(Y189="No",Y189="")),"Any Loss Unacceptable ⚠",(IF(U189="Irreplaceable habitat - no units generated ⚠",T189*J189*L189*O189,IF(AND(P189='G-1 All Habitats'!$X$9,AC189&gt;0,S189&lt;=0,T189&lt;=0,OR(Y189="No",Y189="")),"Any Loss Unacceptable ⚠",IF(AND(P189='G-1 All Habitats'!$X$9,AC189&gt;0,S189&lt;=0,T189&lt;=0,Y189="Yes"),0,(IF(AND(P189='G-1 All Habitats'!$X$9,(S189+T189)&lt;H189,OR(Y189="No",Y189="")),"Any Loss Unacceptable ⚠",(IF(P189="","",IF(AND(P189='G-1 All Habitats'!$X$9,T189&gt;0),U189+V189,IF(AND(P189='G-1 All Habitats'!$X$9,S189&gt;0),U189+V189,H189*J189*L189*O189))))))))))))))),"Check Data ▲")</f>
        <v/>
      </c>
      <c r="R189" s="38"/>
      <c r="S189" s="52"/>
      <c r="T189" s="53"/>
      <c r="U189" s="287" t="str">
        <f t="shared" si="18"/>
        <v/>
      </c>
      <c r="V189" s="287" t="str">
        <f t="shared" si="19"/>
        <v/>
      </c>
      <c r="W189" s="287" t="str">
        <f t="shared" si="20"/>
        <v/>
      </c>
      <c r="X189" s="291" t="str">
        <f>IFERROR(IF(H189="","",IF(H189-S189-T189=0&lt;0,"Error in Areas ▲",IF(S189+T189&gt;H189,"Error in Areas ▲",IF(AND(P189='G-1 All Habitats'!$X$9,Y189="Yes"),"Alternative Compensation ✓",IF(AND(P189='G-1 All Habitats'!$X$3,Y189="Yes"),"Alternative Compensation ✓",IF(AND(Y189="Pending",P189='G-1 All Habitats'!$X$3),"Bespoke compensation must be agreed ▲",IF(AND(Y189="Pending",P189='G-1 All Habitats'!$X$9),"Bespoke compensation must be agreed  ▲",IF(W189=0,0,IF(P189='G-1 All Habitats'!$X$9,"Any Loss Unacceptable ▲",Q189-U189-V189))))))))),"Check Data ▲")</f>
        <v/>
      </c>
      <c r="Y189" s="53"/>
      <c r="Z189" s="105"/>
      <c r="AA189" s="233"/>
      <c r="AB189" s="104"/>
      <c r="AC189" s="512" t="str">
        <f>IF(OR(P189="",Y189="Yes"),"",IF(P189='G-1 All Habitats'!$X$9,H189-S189-T189,"None"))</f>
        <v/>
      </c>
      <c r="AD189" s="513" t="str">
        <f>IF(P189="","",IF(P189='G-1 All Habitats'!$X$9,AC189*J189*L189*O189,"None"))</f>
        <v/>
      </c>
      <c r="AE189" s="35" t="str">
        <f t="shared" si="16"/>
        <v/>
      </c>
      <c r="AF189" s="40" t="str">
        <f t="shared" si="21"/>
        <v/>
      </c>
      <c r="AG189" s="40" t="str">
        <f t="shared" si="17"/>
        <v/>
      </c>
      <c r="AH189" s="40" t="str">
        <f>IF(I189="","",IF(#REF!&gt;0,TRUE,FALSE))</f>
        <v/>
      </c>
      <c r="AI189" s="40">
        <v>179</v>
      </c>
      <c r="AJ189" s="40"/>
      <c r="AK189" s="40" t="str">
        <f t="array" ref="AK189">IFERROR(INDEX($AI$11:$AI$259,MATCH(0,IF(TRUE=$AF$11:$AF$259,COUNTIF($AK$10:$AK188,$AI$11:$AI$259),""),0)),"")</f>
        <v/>
      </c>
      <c r="AL189" s="40" t="str">
        <f t="array" ref="AL189">IFERROR(INDEX($AI$11:$AI$259,MATCH(0,IF(TRUE=$AG$11:$AG$259,COUNTIF($AL$10:$AL188,$AI$11:$AI$259),""),0)),"")</f>
        <v/>
      </c>
      <c r="AM189" s="40" t="str">
        <f t="array" ref="AM189">IFERROR(INDEX($AI$11:$AI$259,MATCH(0,IF(TRUE=$AH$11:$AH$259,COUNTIF($AM$10:$AM188,$AI$11:$AI$259),""),0)),"")</f>
        <v/>
      </c>
      <c r="AN189" s="40"/>
      <c r="AQ189" s="35">
        <f t="shared" si="22"/>
        <v>0</v>
      </c>
      <c r="AT189" s="885" t="str">
        <f>IF(AND(OR(Y189="Yes",Y189="Pending"),P189='G-1 All Habitats'!$X$3),Q189-U189-V189,"")</f>
        <v/>
      </c>
      <c r="AV189" s="542" t="str">
        <f>IFERROR(INDEX('G-1 All Habitats'!$B$3:$B$135,MATCH(F189,'G-1 All Habitats'!$A$3:$A$135,0)),"")</f>
        <v/>
      </c>
      <c r="AW189" s="35" t="str">
        <f>IF(AV189="","",VLOOKUP(AV189,'G-1 All Habitats'!$B$1:$T$135,19,FALSE))</f>
        <v/>
      </c>
    </row>
    <row r="190" spans="1:49" ht="14.5" hidden="1" thickBot="1">
      <c r="A190" s="35" t="str">
        <f>IFERROR(INDEX('G-1 All Habitats'!$AG$3:$AG$17,MATCH(E190,'G-1 All Habitats'!$AF$3:$AF$17,0)),"")</f>
        <v/>
      </c>
      <c r="B190" s="35" t="str">
        <f>IFERROR(INDEX('G-8 Condition Look up'!$I$4:$I$135,MATCH(AV190,'G-8 Condition Look up'!$A$4:$A$135,0)),"")</f>
        <v/>
      </c>
      <c r="D190" s="225">
        <v>180</v>
      </c>
      <c r="E190" s="211"/>
      <c r="F190" s="57"/>
      <c r="G190" s="263"/>
      <c r="H190" s="51"/>
      <c r="I190" s="275" t="str">
        <f>IF(AV190="","",IF(AND(AW190="Yes",G190="No"),"Irreplaceable habitat ▲",IF(AND(AW190="No",G190="Yes"),"Cannot be Irreplaceable ▲",VLOOKUP(AV190,'G-1 All Habitats'!$B$2:$M$135,10,FALSE))))</f>
        <v/>
      </c>
      <c r="J190" s="276" t="str">
        <f>IFERROR(VLOOKUP(I190,'G-1 All Habitats'!$V$3:$W$7,2,FALSE),"")</f>
        <v/>
      </c>
      <c r="K190" s="52"/>
      <c r="L190" s="276" t="str">
        <f>IFERROR(INDEX('G-8 Condition Look up'!$A$3:$H$135,MATCH(AV190,'G-8 Condition Look up'!$A$3:$A$135,0),MATCH(K190,'G-8 Condition Look up'!$A$3:$H$3,0)),"")</f>
        <v/>
      </c>
      <c r="M190" s="52"/>
      <c r="N190" s="295" t="str">
        <f>IF(M190="","",IF(VLOOKUP(M190,'G-3 Multipliers'!$L$3:$N$6,2,FALSE)=0,"Spatial Data Missing",VLOOKUP(M190,'G-3 Multipliers'!$L$3:$N$6,2,FALSE)))</f>
        <v/>
      </c>
      <c r="O190" s="281" t="str">
        <f>IF(M190="","",IF(VLOOKUP(M190,'G-3 Multipliers'!$L$3:$N$6,3,FALSE)=0,"Spatial Data Missing ▲",VLOOKUP(M190,'G-3 Multipliers'!$L$3:$N$6,3,FALSE)))</f>
        <v/>
      </c>
      <c r="P190" s="282" t="str">
        <f>(IF(G190="Yes","Bespoke compensation likely to be required",(IFERROR(VLOOKUP(AV190,'G-1 All Habitats'!$B$2:$M$135,12,FALSE),""))))</f>
        <v/>
      </c>
      <c r="Q190" s="289" t="str">
        <f>IFERROR(IF(AND(F190&lt;&gt;"",G190=""),"Confirm irreplaceable habitat status ▲",(IF(AND(E190="Individual trees",T190&gt;0,G190="Yes"),"Error - you cannot enhance irreplaceable individual trees ▲",(IF(AND(U190="Irreplaceable habitat - no units generated ⚠",(S190+T190)&lt;H190,OR(Y190="No",Y190="")),"Any Loss Unacceptable ⚠",(IF(U190="Irreplaceable habitat - no units generated ⚠",T190*J190*L190*O190,IF(AND(P190='G-1 All Habitats'!$X$9,AC190&gt;0,S190&lt;=0,T190&lt;=0,OR(Y190="No",Y190="")),"Any Loss Unacceptable ⚠",IF(AND(P190='G-1 All Habitats'!$X$9,AC190&gt;0,S190&lt;=0,T190&lt;=0,Y190="Yes"),0,(IF(AND(P190='G-1 All Habitats'!$X$9,(S190+T190)&lt;H190,OR(Y190="No",Y190="")),"Any Loss Unacceptable ⚠",(IF(P190="","",IF(AND(P190='G-1 All Habitats'!$X$9,T190&gt;0),U190+V190,IF(AND(P190='G-1 All Habitats'!$X$9,S190&gt;0),U190+V190,H190*J190*L190*O190))))))))))))))),"Check Data ▲")</f>
        <v/>
      </c>
      <c r="R190" s="38"/>
      <c r="S190" s="52"/>
      <c r="T190" s="53"/>
      <c r="U190" s="287" t="str">
        <f t="shared" si="18"/>
        <v/>
      </c>
      <c r="V190" s="287" t="str">
        <f t="shared" si="19"/>
        <v/>
      </c>
      <c r="W190" s="287" t="str">
        <f t="shared" si="20"/>
        <v/>
      </c>
      <c r="X190" s="291" t="str">
        <f>IFERROR(IF(H190="","",IF(H190-S190-T190=0&lt;0,"Error in Areas ▲",IF(S190+T190&gt;H190,"Error in Areas ▲",IF(AND(P190='G-1 All Habitats'!$X$9,Y190="Yes"),"Alternative Compensation ✓",IF(AND(P190='G-1 All Habitats'!$X$3,Y190="Yes"),"Alternative Compensation ✓",IF(AND(Y190="Pending",P190='G-1 All Habitats'!$X$3),"Bespoke compensation must be agreed ▲",IF(AND(Y190="Pending",P190='G-1 All Habitats'!$X$9),"Bespoke compensation must be agreed  ▲",IF(W190=0,0,IF(P190='G-1 All Habitats'!$X$9,"Any Loss Unacceptable ▲",Q190-U190-V190))))))))),"Check Data ▲")</f>
        <v/>
      </c>
      <c r="Y190" s="53"/>
      <c r="Z190" s="105"/>
      <c r="AA190" s="233"/>
      <c r="AB190" s="104"/>
      <c r="AC190" s="512" t="str">
        <f>IF(OR(P190="",Y190="Yes"),"",IF(P190='G-1 All Habitats'!$X$9,H190-S190-T190,"None"))</f>
        <v/>
      </c>
      <c r="AD190" s="513" t="str">
        <f>IF(P190="","",IF(P190='G-1 All Habitats'!$X$9,AC190*J190*L190*O190,"None"))</f>
        <v/>
      </c>
      <c r="AE190" s="35" t="str">
        <f t="shared" si="16"/>
        <v/>
      </c>
      <c r="AF190" s="40" t="str">
        <f t="shared" si="21"/>
        <v/>
      </c>
      <c r="AG190" s="40" t="str">
        <f t="shared" si="17"/>
        <v/>
      </c>
      <c r="AH190" s="40" t="str">
        <f>IF(I190="","",IF(#REF!&gt;0,TRUE,FALSE))</f>
        <v/>
      </c>
      <c r="AI190" s="40">
        <v>180</v>
      </c>
      <c r="AJ190" s="40"/>
      <c r="AK190" s="40" t="str">
        <f t="array" ref="AK190">IFERROR(INDEX($AI$11:$AI$259,MATCH(0,IF(TRUE=$AF$11:$AF$259,COUNTIF($AK$10:$AK189,$AI$11:$AI$259),""),0)),"")</f>
        <v/>
      </c>
      <c r="AL190" s="40" t="str">
        <f t="array" ref="AL190">IFERROR(INDEX($AI$11:$AI$259,MATCH(0,IF(TRUE=$AG$11:$AG$259,COUNTIF($AL$10:$AL189,$AI$11:$AI$259),""),0)),"")</f>
        <v/>
      </c>
      <c r="AM190" s="40" t="str">
        <f t="array" ref="AM190">IFERROR(INDEX($AI$11:$AI$259,MATCH(0,IF(TRUE=$AH$11:$AH$259,COUNTIF($AM$10:$AM189,$AI$11:$AI$259),""),0)),"")</f>
        <v/>
      </c>
      <c r="AN190" s="40"/>
      <c r="AQ190" s="35">
        <f t="shared" si="22"/>
        <v>0</v>
      </c>
      <c r="AT190" s="885" t="str">
        <f>IF(AND(OR(Y190="Yes",Y190="Pending"),P190='G-1 All Habitats'!$X$3),Q190-U190-V190,"")</f>
        <v/>
      </c>
      <c r="AV190" s="542" t="str">
        <f>IFERROR(INDEX('G-1 All Habitats'!$B$3:$B$135,MATCH(F190,'G-1 All Habitats'!$A$3:$A$135,0)),"")</f>
        <v/>
      </c>
      <c r="AW190" s="35" t="str">
        <f>IF(AV190="","",VLOOKUP(AV190,'G-1 All Habitats'!$B$1:$T$135,19,FALSE))</f>
        <v/>
      </c>
    </row>
    <row r="191" spans="1:49" ht="14.5" hidden="1" thickBot="1">
      <c r="A191" s="35" t="str">
        <f>IFERROR(INDEX('G-1 All Habitats'!$AG$3:$AG$17,MATCH(E191,'G-1 All Habitats'!$AF$3:$AF$17,0)),"")</f>
        <v/>
      </c>
      <c r="B191" s="35" t="str">
        <f>IFERROR(INDEX('G-8 Condition Look up'!$I$4:$I$135,MATCH(AV191,'G-8 Condition Look up'!$A$4:$A$135,0)),"")</f>
        <v/>
      </c>
      <c r="D191" s="225">
        <v>181</v>
      </c>
      <c r="E191" s="211"/>
      <c r="F191" s="57"/>
      <c r="G191" s="263"/>
      <c r="H191" s="51"/>
      <c r="I191" s="275" t="str">
        <f>IF(AV191="","",IF(AND(AW191="Yes",G191="No"),"Irreplaceable habitat ▲",IF(AND(AW191="No",G191="Yes"),"Cannot be Irreplaceable ▲",VLOOKUP(AV191,'G-1 All Habitats'!$B$2:$M$135,10,FALSE))))</f>
        <v/>
      </c>
      <c r="J191" s="276" t="str">
        <f>IFERROR(VLOOKUP(I191,'G-1 All Habitats'!$V$3:$W$7,2,FALSE),"")</f>
        <v/>
      </c>
      <c r="K191" s="52"/>
      <c r="L191" s="276" t="str">
        <f>IFERROR(INDEX('G-8 Condition Look up'!$A$3:$H$135,MATCH(AV191,'G-8 Condition Look up'!$A$3:$A$135,0),MATCH(K191,'G-8 Condition Look up'!$A$3:$H$3,0)),"")</f>
        <v/>
      </c>
      <c r="M191" s="52"/>
      <c r="N191" s="295" t="str">
        <f>IF(M191="","",IF(VLOOKUP(M191,'G-3 Multipliers'!$L$3:$N$6,2,FALSE)=0,"Spatial Data Missing",VLOOKUP(M191,'G-3 Multipliers'!$L$3:$N$6,2,FALSE)))</f>
        <v/>
      </c>
      <c r="O191" s="281" t="str">
        <f>IF(M191="","",IF(VLOOKUP(M191,'G-3 Multipliers'!$L$3:$N$6,3,FALSE)=0,"Spatial Data Missing ▲",VLOOKUP(M191,'G-3 Multipliers'!$L$3:$N$6,3,FALSE)))</f>
        <v/>
      </c>
      <c r="P191" s="282" t="str">
        <f>(IF(G191="Yes","Bespoke compensation likely to be required",(IFERROR(VLOOKUP(AV191,'G-1 All Habitats'!$B$2:$M$135,12,FALSE),""))))</f>
        <v/>
      </c>
      <c r="Q191" s="289" t="str">
        <f>IFERROR(IF(AND(F191&lt;&gt;"",G191=""),"Confirm irreplaceable habitat status ▲",(IF(AND(E191="Individual trees",T191&gt;0,G191="Yes"),"Error - you cannot enhance irreplaceable individual trees ▲",(IF(AND(U191="Irreplaceable habitat - no units generated ⚠",(S191+T191)&lt;H191,OR(Y191="No",Y191="")),"Any Loss Unacceptable ⚠",(IF(U191="Irreplaceable habitat - no units generated ⚠",T191*J191*L191*O191,IF(AND(P191='G-1 All Habitats'!$X$9,AC191&gt;0,S191&lt;=0,T191&lt;=0,OR(Y191="No",Y191="")),"Any Loss Unacceptable ⚠",IF(AND(P191='G-1 All Habitats'!$X$9,AC191&gt;0,S191&lt;=0,T191&lt;=0,Y191="Yes"),0,(IF(AND(P191='G-1 All Habitats'!$X$9,(S191+T191)&lt;H191,OR(Y191="No",Y191="")),"Any Loss Unacceptable ⚠",(IF(P191="","",IF(AND(P191='G-1 All Habitats'!$X$9,T191&gt;0),U191+V191,IF(AND(P191='G-1 All Habitats'!$X$9,S191&gt;0),U191+V191,H191*J191*L191*O191))))))))))))))),"Check Data ▲")</f>
        <v/>
      </c>
      <c r="R191" s="38"/>
      <c r="S191" s="52"/>
      <c r="T191" s="53"/>
      <c r="U191" s="287" t="str">
        <f t="shared" si="18"/>
        <v/>
      </c>
      <c r="V191" s="287" t="str">
        <f t="shared" si="19"/>
        <v/>
      </c>
      <c r="W191" s="287" t="str">
        <f t="shared" si="20"/>
        <v/>
      </c>
      <c r="X191" s="291" t="str">
        <f>IFERROR(IF(H191="","",IF(H191-S191-T191=0&lt;0,"Error in Areas ▲",IF(S191+T191&gt;H191,"Error in Areas ▲",IF(AND(P191='G-1 All Habitats'!$X$9,Y191="Yes"),"Alternative Compensation ✓",IF(AND(P191='G-1 All Habitats'!$X$3,Y191="Yes"),"Alternative Compensation ✓",IF(AND(Y191="Pending",P191='G-1 All Habitats'!$X$3),"Bespoke compensation must be agreed ▲",IF(AND(Y191="Pending",P191='G-1 All Habitats'!$X$9),"Bespoke compensation must be agreed  ▲",IF(W191=0,0,IF(P191='G-1 All Habitats'!$X$9,"Any Loss Unacceptable ▲",Q191-U191-V191))))))))),"Check Data ▲")</f>
        <v/>
      </c>
      <c r="Y191" s="53"/>
      <c r="Z191" s="105"/>
      <c r="AA191" s="233"/>
      <c r="AB191" s="104"/>
      <c r="AC191" s="512" t="str">
        <f>IF(OR(P191="",Y191="Yes"),"",IF(P191='G-1 All Habitats'!$X$9,H191-S191-T191,"None"))</f>
        <v/>
      </c>
      <c r="AD191" s="513" t="str">
        <f>IF(P191="","",IF(P191='G-1 All Habitats'!$X$9,AC191*J191*L191*O191,"None"))</f>
        <v/>
      </c>
      <c r="AE191" s="35" t="str">
        <f t="shared" si="16"/>
        <v/>
      </c>
      <c r="AF191" s="40" t="str">
        <f t="shared" si="21"/>
        <v/>
      </c>
      <c r="AG191" s="40" t="str">
        <f t="shared" si="17"/>
        <v/>
      </c>
      <c r="AH191" s="40" t="str">
        <f>IF(I191="","",IF(#REF!&gt;0,TRUE,FALSE))</f>
        <v/>
      </c>
      <c r="AI191" s="40">
        <v>181</v>
      </c>
      <c r="AJ191" s="40"/>
      <c r="AK191" s="40" t="str">
        <f t="array" ref="AK191">IFERROR(INDEX($AI$11:$AI$259,MATCH(0,IF(TRUE=$AF$11:$AF$259,COUNTIF($AK$10:$AK190,$AI$11:$AI$259),""),0)),"")</f>
        <v/>
      </c>
      <c r="AL191" s="40" t="str">
        <f t="array" ref="AL191">IFERROR(INDEX($AI$11:$AI$259,MATCH(0,IF(TRUE=$AG$11:$AG$259,COUNTIF($AL$10:$AL190,$AI$11:$AI$259),""),0)),"")</f>
        <v/>
      </c>
      <c r="AM191" s="40" t="str">
        <f t="array" ref="AM191">IFERROR(INDEX($AI$11:$AI$259,MATCH(0,IF(TRUE=$AH$11:$AH$259,COUNTIF($AM$10:$AM190,$AI$11:$AI$259),""),0)),"")</f>
        <v/>
      </c>
      <c r="AN191" s="40"/>
      <c r="AQ191" s="35">
        <f t="shared" si="22"/>
        <v>0</v>
      </c>
      <c r="AT191" s="885" t="str">
        <f>IF(AND(OR(Y191="Yes",Y191="Pending"),P191='G-1 All Habitats'!$X$3),Q191-U191-V191,"")</f>
        <v/>
      </c>
      <c r="AV191" s="542" t="str">
        <f>IFERROR(INDEX('G-1 All Habitats'!$B$3:$B$135,MATCH(F191,'G-1 All Habitats'!$A$3:$A$135,0)),"")</f>
        <v/>
      </c>
      <c r="AW191" s="35" t="str">
        <f>IF(AV191="","",VLOOKUP(AV191,'G-1 All Habitats'!$B$1:$T$135,19,FALSE))</f>
        <v/>
      </c>
    </row>
    <row r="192" spans="1:49" ht="14.5" hidden="1" thickBot="1">
      <c r="A192" s="35" t="str">
        <f>IFERROR(INDEX('G-1 All Habitats'!$AG$3:$AG$17,MATCH(E192,'G-1 All Habitats'!$AF$3:$AF$17,0)),"")</f>
        <v/>
      </c>
      <c r="B192" s="35" t="str">
        <f>IFERROR(INDEX('G-8 Condition Look up'!$I$4:$I$135,MATCH(AV192,'G-8 Condition Look up'!$A$4:$A$135,0)),"")</f>
        <v/>
      </c>
      <c r="D192" s="225">
        <v>182</v>
      </c>
      <c r="E192" s="211"/>
      <c r="F192" s="57"/>
      <c r="G192" s="263"/>
      <c r="H192" s="51"/>
      <c r="I192" s="275" t="str">
        <f>IF(AV192="","",IF(AND(AW192="Yes",G192="No"),"Irreplaceable habitat ▲",IF(AND(AW192="No",G192="Yes"),"Cannot be Irreplaceable ▲",VLOOKUP(AV192,'G-1 All Habitats'!$B$2:$M$135,10,FALSE))))</f>
        <v/>
      </c>
      <c r="J192" s="276" t="str">
        <f>IFERROR(VLOOKUP(I192,'G-1 All Habitats'!$V$3:$W$7,2,FALSE),"")</f>
        <v/>
      </c>
      <c r="K192" s="52"/>
      <c r="L192" s="276" t="str">
        <f>IFERROR(INDEX('G-8 Condition Look up'!$A$3:$H$135,MATCH(AV192,'G-8 Condition Look up'!$A$3:$A$135,0),MATCH(K192,'G-8 Condition Look up'!$A$3:$H$3,0)),"")</f>
        <v/>
      </c>
      <c r="M192" s="52"/>
      <c r="N192" s="295" t="str">
        <f>IF(M192="","",IF(VLOOKUP(M192,'G-3 Multipliers'!$L$3:$N$6,2,FALSE)=0,"Spatial Data Missing",VLOOKUP(M192,'G-3 Multipliers'!$L$3:$N$6,2,FALSE)))</f>
        <v/>
      </c>
      <c r="O192" s="281" t="str">
        <f>IF(M192="","",IF(VLOOKUP(M192,'G-3 Multipliers'!$L$3:$N$6,3,FALSE)=0,"Spatial Data Missing ▲",VLOOKUP(M192,'G-3 Multipliers'!$L$3:$N$6,3,FALSE)))</f>
        <v/>
      </c>
      <c r="P192" s="282" t="str">
        <f>(IF(G192="Yes","Bespoke compensation likely to be required",(IFERROR(VLOOKUP(AV192,'G-1 All Habitats'!$B$2:$M$135,12,FALSE),""))))</f>
        <v/>
      </c>
      <c r="Q192" s="289" t="str">
        <f>IFERROR(IF(AND(F192&lt;&gt;"",G192=""),"Confirm irreplaceable habitat status ▲",(IF(AND(E192="Individual trees",T192&gt;0,G192="Yes"),"Error - you cannot enhance irreplaceable individual trees ▲",(IF(AND(U192="Irreplaceable habitat - no units generated ⚠",(S192+T192)&lt;H192,OR(Y192="No",Y192="")),"Any Loss Unacceptable ⚠",(IF(U192="Irreplaceable habitat - no units generated ⚠",T192*J192*L192*O192,IF(AND(P192='G-1 All Habitats'!$X$9,AC192&gt;0,S192&lt;=0,T192&lt;=0,OR(Y192="No",Y192="")),"Any Loss Unacceptable ⚠",IF(AND(P192='G-1 All Habitats'!$X$9,AC192&gt;0,S192&lt;=0,T192&lt;=0,Y192="Yes"),0,(IF(AND(P192='G-1 All Habitats'!$X$9,(S192+T192)&lt;H192,OR(Y192="No",Y192="")),"Any Loss Unacceptable ⚠",(IF(P192="","",IF(AND(P192='G-1 All Habitats'!$X$9,T192&gt;0),U192+V192,IF(AND(P192='G-1 All Habitats'!$X$9,S192&gt;0),U192+V192,H192*J192*L192*O192))))))))))))))),"Check Data ▲")</f>
        <v/>
      </c>
      <c r="R192" s="38"/>
      <c r="S192" s="52"/>
      <c r="T192" s="53"/>
      <c r="U192" s="287" t="str">
        <f t="shared" si="18"/>
        <v/>
      </c>
      <c r="V192" s="287" t="str">
        <f t="shared" si="19"/>
        <v/>
      </c>
      <c r="W192" s="287" t="str">
        <f t="shared" si="20"/>
        <v/>
      </c>
      <c r="X192" s="291" t="str">
        <f>IFERROR(IF(H192="","",IF(H192-S192-T192=0&lt;0,"Error in Areas ▲",IF(S192+T192&gt;H192,"Error in Areas ▲",IF(AND(P192='G-1 All Habitats'!$X$9,Y192="Yes"),"Alternative Compensation ✓",IF(AND(P192='G-1 All Habitats'!$X$3,Y192="Yes"),"Alternative Compensation ✓",IF(AND(Y192="Pending",P192='G-1 All Habitats'!$X$3),"Bespoke compensation must be agreed ▲",IF(AND(Y192="Pending",P192='G-1 All Habitats'!$X$9),"Bespoke compensation must be agreed  ▲",IF(W192=0,0,IF(P192='G-1 All Habitats'!$X$9,"Any Loss Unacceptable ▲",Q192-U192-V192))))))))),"Check Data ▲")</f>
        <v/>
      </c>
      <c r="Y192" s="53"/>
      <c r="Z192" s="105"/>
      <c r="AA192" s="233"/>
      <c r="AB192" s="104"/>
      <c r="AC192" s="512" t="str">
        <f>IF(OR(P192="",Y192="Yes"),"",IF(P192='G-1 All Habitats'!$X$9,H192-S192-T192,"None"))</f>
        <v/>
      </c>
      <c r="AD192" s="513" t="str">
        <f>IF(P192="","",IF(P192='G-1 All Habitats'!$X$9,AC192*J192*L192*O192,"None"))</f>
        <v/>
      </c>
      <c r="AE192" s="35" t="str">
        <f t="shared" si="16"/>
        <v/>
      </c>
      <c r="AF192" s="40" t="str">
        <f t="shared" si="21"/>
        <v/>
      </c>
      <c r="AG192" s="40" t="str">
        <f t="shared" si="17"/>
        <v/>
      </c>
      <c r="AH192" s="40" t="str">
        <f>IF(I192="","",IF(#REF!&gt;0,TRUE,FALSE))</f>
        <v/>
      </c>
      <c r="AI192" s="40">
        <v>182</v>
      </c>
      <c r="AJ192" s="40"/>
      <c r="AK192" s="40" t="str">
        <f t="array" ref="AK192">IFERROR(INDEX($AI$11:$AI$259,MATCH(0,IF(TRUE=$AF$11:$AF$259,COUNTIF($AK$10:$AK191,$AI$11:$AI$259),""),0)),"")</f>
        <v/>
      </c>
      <c r="AL192" s="40" t="str">
        <f t="array" ref="AL192">IFERROR(INDEX($AI$11:$AI$259,MATCH(0,IF(TRUE=$AG$11:$AG$259,COUNTIF($AL$10:$AL191,$AI$11:$AI$259),""),0)),"")</f>
        <v/>
      </c>
      <c r="AM192" s="40" t="str">
        <f t="array" ref="AM192">IFERROR(INDEX($AI$11:$AI$259,MATCH(0,IF(TRUE=$AH$11:$AH$259,COUNTIF($AM$10:$AM191,$AI$11:$AI$259),""),0)),"")</f>
        <v/>
      </c>
      <c r="AN192" s="40"/>
      <c r="AQ192" s="35">
        <f t="shared" si="22"/>
        <v>0</v>
      </c>
      <c r="AT192" s="885" t="str">
        <f>IF(AND(OR(Y192="Yes",Y192="Pending"),P192='G-1 All Habitats'!$X$3),Q192-U192-V192,"")</f>
        <v/>
      </c>
      <c r="AV192" s="542" t="str">
        <f>IFERROR(INDEX('G-1 All Habitats'!$B$3:$B$135,MATCH(F192,'G-1 All Habitats'!$A$3:$A$135,0)),"")</f>
        <v/>
      </c>
      <c r="AW192" s="35" t="str">
        <f>IF(AV192="","",VLOOKUP(AV192,'G-1 All Habitats'!$B$1:$T$135,19,FALSE))</f>
        <v/>
      </c>
    </row>
    <row r="193" spans="1:49" ht="14.5" hidden="1" thickBot="1">
      <c r="A193" s="35" t="str">
        <f>IFERROR(INDEX('G-1 All Habitats'!$AG$3:$AG$17,MATCH(E193,'G-1 All Habitats'!$AF$3:$AF$17,0)),"")</f>
        <v/>
      </c>
      <c r="B193" s="35" t="str">
        <f>IFERROR(INDEX('G-8 Condition Look up'!$I$4:$I$135,MATCH(AV193,'G-8 Condition Look up'!$A$4:$A$135,0)),"")</f>
        <v/>
      </c>
      <c r="D193" s="225">
        <v>183</v>
      </c>
      <c r="E193" s="211"/>
      <c r="F193" s="57"/>
      <c r="G193" s="263"/>
      <c r="H193" s="51"/>
      <c r="I193" s="275" t="str">
        <f>IF(AV193="","",IF(AND(AW193="Yes",G193="No"),"Irreplaceable habitat ▲",IF(AND(AW193="No",G193="Yes"),"Cannot be Irreplaceable ▲",VLOOKUP(AV193,'G-1 All Habitats'!$B$2:$M$135,10,FALSE))))</f>
        <v/>
      </c>
      <c r="J193" s="276" t="str">
        <f>IFERROR(VLOOKUP(I193,'G-1 All Habitats'!$V$3:$W$7,2,FALSE),"")</f>
        <v/>
      </c>
      <c r="K193" s="52"/>
      <c r="L193" s="276" t="str">
        <f>IFERROR(INDEX('G-8 Condition Look up'!$A$3:$H$135,MATCH(AV193,'G-8 Condition Look up'!$A$3:$A$135,0),MATCH(K193,'G-8 Condition Look up'!$A$3:$H$3,0)),"")</f>
        <v/>
      </c>
      <c r="M193" s="52"/>
      <c r="N193" s="295" t="str">
        <f>IF(M193="","",IF(VLOOKUP(M193,'G-3 Multipliers'!$L$3:$N$6,2,FALSE)=0,"Spatial Data Missing",VLOOKUP(M193,'G-3 Multipliers'!$L$3:$N$6,2,FALSE)))</f>
        <v/>
      </c>
      <c r="O193" s="281" t="str">
        <f>IF(M193="","",IF(VLOOKUP(M193,'G-3 Multipliers'!$L$3:$N$6,3,FALSE)=0,"Spatial Data Missing ▲",VLOOKUP(M193,'G-3 Multipliers'!$L$3:$N$6,3,FALSE)))</f>
        <v/>
      </c>
      <c r="P193" s="282" t="str">
        <f>(IF(G193="Yes","Bespoke compensation likely to be required",(IFERROR(VLOOKUP(AV193,'G-1 All Habitats'!$B$2:$M$135,12,FALSE),""))))</f>
        <v/>
      </c>
      <c r="Q193" s="289" t="str">
        <f>IFERROR(IF(AND(F193&lt;&gt;"",G193=""),"Confirm irreplaceable habitat status ▲",(IF(AND(E193="Individual trees",T193&gt;0,G193="Yes"),"Error - you cannot enhance irreplaceable individual trees ▲",(IF(AND(U193="Irreplaceable habitat - no units generated ⚠",(S193+T193)&lt;H193,OR(Y193="No",Y193="")),"Any Loss Unacceptable ⚠",(IF(U193="Irreplaceable habitat - no units generated ⚠",T193*J193*L193*O193,IF(AND(P193='G-1 All Habitats'!$X$9,AC193&gt;0,S193&lt;=0,T193&lt;=0,OR(Y193="No",Y193="")),"Any Loss Unacceptable ⚠",IF(AND(P193='G-1 All Habitats'!$X$9,AC193&gt;0,S193&lt;=0,T193&lt;=0,Y193="Yes"),0,(IF(AND(P193='G-1 All Habitats'!$X$9,(S193+T193)&lt;H193,OR(Y193="No",Y193="")),"Any Loss Unacceptable ⚠",(IF(P193="","",IF(AND(P193='G-1 All Habitats'!$X$9,T193&gt;0),U193+V193,IF(AND(P193='G-1 All Habitats'!$X$9,S193&gt;0),U193+V193,H193*J193*L193*O193))))))))))))))),"Check Data ▲")</f>
        <v/>
      </c>
      <c r="R193" s="38"/>
      <c r="S193" s="52"/>
      <c r="T193" s="53"/>
      <c r="U193" s="287" t="str">
        <f t="shared" si="18"/>
        <v/>
      </c>
      <c r="V193" s="287" t="str">
        <f t="shared" si="19"/>
        <v/>
      </c>
      <c r="W193" s="287" t="str">
        <f t="shared" si="20"/>
        <v/>
      </c>
      <c r="X193" s="291" t="str">
        <f>IFERROR(IF(H193="","",IF(H193-S193-T193=0&lt;0,"Error in Areas ▲",IF(S193+T193&gt;H193,"Error in Areas ▲",IF(AND(P193='G-1 All Habitats'!$X$9,Y193="Yes"),"Alternative Compensation ✓",IF(AND(P193='G-1 All Habitats'!$X$3,Y193="Yes"),"Alternative Compensation ✓",IF(AND(Y193="Pending",P193='G-1 All Habitats'!$X$3),"Bespoke compensation must be agreed ▲",IF(AND(Y193="Pending",P193='G-1 All Habitats'!$X$9),"Bespoke compensation must be agreed  ▲",IF(W193=0,0,IF(P193='G-1 All Habitats'!$X$9,"Any Loss Unacceptable ▲",Q193-U193-V193))))))))),"Check Data ▲")</f>
        <v/>
      </c>
      <c r="Y193" s="53"/>
      <c r="Z193" s="105"/>
      <c r="AA193" s="233"/>
      <c r="AB193" s="104"/>
      <c r="AC193" s="512" t="str">
        <f>IF(OR(P193="",Y193="Yes"),"",IF(P193='G-1 All Habitats'!$X$9,H193-S193-T193,"None"))</f>
        <v/>
      </c>
      <c r="AD193" s="513" t="str">
        <f>IF(P193="","",IF(P193='G-1 All Habitats'!$X$9,AC193*J193*L193*O193,"None"))</f>
        <v/>
      </c>
      <c r="AE193" s="35" t="str">
        <f t="shared" si="16"/>
        <v/>
      </c>
      <c r="AF193" s="40" t="str">
        <f t="shared" si="21"/>
        <v/>
      </c>
      <c r="AG193" s="40" t="str">
        <f t="shared" si="17"/>
        <v/>
      </c>
      <c r="AH193" s="40" t="str">
        <f>IF(I193="","",IF(#REF!&gt;0,TRUE,FALSE))</f>
        <v/>
      </c>
      <c r="AI193" s="40">
        <v>183</v>
      </c>
      <c r="AJ193" s="40"/>
      <c r="AK193" s="40" t="str">
        <f t="array" ref="AK193">IFERROR(INDEX($AI$11:$AI$259,MATCH(0,IF(TRUE=$AF$11:$AF$259,COUNTIF($AK$10:$AK192,$AI$11:$AI$259),""),0)),"")</f>
        <v/>
      </c>
      <c r="AL193" s="40" t="str">
        <f t="array" ref="AL193">IFERROR(INDEX($AI$11:$AI$259,MATCH(0,IF(TRUE=$AG$11:$AG$259,COUNTIF($AL$10:$AL192,$AI$11:$AI$259),""),0)),"")</f>
        <v/>
      </c>
      <c r="AM193" s="40" t="str">
        <f t="array" ref="AM193">IFERROR(INDEX($AI$11:$AI$259,MATCH(0,IF(TRUE=$AH$11:$AH$259,COUNTIF($AM$10:$AM192,$AI$11:$AI$259),""),0)),"")</f>
        <v/>
      </c>
      <c r="AN193" s="40"/>
      <c r="AQ193" s="35">
        <f t="shared" si="22"/>
        <v>0</v>
      </c>
      <c r="AT193" s="885" t="str">
        <f>IF(AND(OR(Y193="Yes",Y193="Pending"),P193='G-1 All Habitats'!$X$3),Q193-U193-V193,"")</f>
        <v/>
      </c>
      <c r="AV193" s="542" t="str">
        <f>IFERROR(INDEX('G-1 All Habitats'!$B$3:$B$135,MATCH(F193,'G-1 All Habitats'!$A$3:$A$135,0)),"")</f>
        <v/>
      </c>
      <c r="AW193" s="35" t="str">
        <f>IF(AV193="","",VLOOKUP(AV193,'G-1 All Habitats'!$B$1:$T$135,19,FALSE))</f>
        <v/>
      </c>
    </row>
    <row r="194" spans="1:49" ht="14.5" hidden="1" thickBot="1">
      <c r="A194" s="35" t="str">
        <f>IFERROR(INDEX('G-1 All Habitats'!$AG$3:$AG$17,MATCH(E194,'G-1 All Habitats'!$AF$3:$AF$17,0)),"")</f>
        <v/>
      </c>
      <c r="B194" s="35" t="str">
        <f>IFERROR(INDEX('G-8 Condition Look up'!$I$4:$I$135,MATCH(AV194,'G-8 Condition Look up'!$A$4:$A$135,0)),"")</f>
        <v/>
      </c>
      <c r="D194" s="225">
        <v>184</v>
      </c>
      <c r="E194" s="211"/>
      <c r="F194" s="57"/>
      <c r="G194" s="263"/>
      <c r="H194" s="51"/>
      <c r="I194" s="275" t="str">
        <f>IF(AV194="","",IF(AND(AW194="Yes",G194="No"),"Irreplaceable habitat ▲",IF(AND(AW194="No",G194="Yes"),"Cannot be Irreplaceable ▲",VLOOKUP(AV194,'G-1 All Habitats'!$B$2:$M$135,10,FALSE))))</f>
        <v/>
      </c>
      <c r="J194" s="276" t="str">
        <f>IFERROR(VLOOKUP(I194,'G-1 All Habitats'!$V$3:$W$7,2,FALSE),"")</f>
        <v/>
      </c>
      <c r="K194" s="52"/>
      <c r="L194" s="276" t="str">
        <f>IFERROR(INDEX('G-8 Condition Look up'!$A$3:$H$135,MATCH(AV194,'G-8 Condition Look up'!$A$3:$A$135,0),MATCH(K194,'G-8 Condition Look up'!$A$3:$H$3,0)),"")</f>
        <v/>
      </c>
      <c r="M194" s="52"/>
      <c r="N194" s="295" t="str">
        <f>IF(M194="","",IF(VLOOKUP(M194,'G-3 Multipliers'!$L$3:$N$6,2,FALSE)=0,"Spatial Data Missing",VLOOKUP(M194,'G-3 Multipliers'!$L$3:$N$6,2,FALSE)))</f>
        <v/>
      </c>
      <c r="O194" s="281" t="str">
        <f>IF(M194="","",IF(VLOOKUP(M194,'G-3 Multipliers'!$L$3:$N$6,3,FALSE)=0,"Spatial Data Missing ▲",VLOOKUP(M194,'G-3 Multipliers'!$L$3:$N$6,3,FALSE)))</f>
        <v/>
      </c>
      <c r="P194" s="282" t="str">
        <f>(IF(G194="Yes","Bespoke compensation likely to be required",(IFERROR(VLOOKUP(AV194,'G-1 All Habitats'!$B$2:$M$135,12,FALSE),""))))</f>
        <v/>
      </c>
      <c r="Q194" s="289" t="str">
        <f>IFERROR(IF(AND(F194&lt;&gt;"",G194=""),"Confirm irreplaceable habitat status ▲",(IF(AND(E194="Individual trees",T194&gt;0,G194="Yes"),"Error - you cannot enhance irreplaceable individual trees ▲",(IF(AND(U194="Irreplaceable habitat - no units generated ⚠",(S194+T194)&lt;H194,OR(Y194="No",Y194="")),"Any Loss Unacceptable ⚠",(IF(U194="Irreplaceable habitat - no units generated ⚠",T194*J194*L194*O194,IF(AND(P194='G-1 All Habitats'!$X$9,AC194&gt;0,S194&lt;=0,T194&lt;=0,OR(Y194="No",Y194="")),"Any Loss Unacceptable ⚠",IF(AND(P194='G-1 All Habitats'!$X$9,AC194&gt;0,S194&lt;=0,T194&lt;=0,Y194="Yes"),0,(IF(AND(P194='G-1 All Habitats'!$X$9,(S194+T194)&lt;H194,OR(Y194="No",Y194="")),"Any Loss Unacceptable ⚠",(IF(P194="","",IF(AND(P194='G-1 All Habitats'!$X$9,T194&gt;0),U194+V194,IF(AND(P194='G-1 All Habitats'!$X$9,S194&gt;0),U194+V194,H194*J194*L194*O194))))))))))))))),"Check Data ▲")</f>
        <v/>
      </c>
      <c r="R194" s="38"/>
      <c r="S194" s="52"/>
      <c r="T194" s="53"/>
      <c r="U194" s="287" t="str">
        <f t="shared" si="18"/>
        <v/>
      </c>
      <c r="V194" s="287" t="str">
        <f t="shared" si="19"/>
        <v/>
      </c>
      <c r="W194" s="287" t="str">
        <f t="shared" si="20"/>
        <v/>
      </c>
      <c r="X194" s="291" t="str">
        <f>IFERROR(IF(H194="","",IF(H194-S194-T194=0&lt;0,"Error in Areas ▲",IF(S194+T194&gt;H194,"Error in Areas ▲",IF(AND(P194='G-1 All Habitats'!$X$9,Y194="Yes"),"Alternative Compensation ✓",IF(AND(P194='G-1 All Habitats'!$X$3,Y194="Yes"),"Alternative Compensation ✓",IF(AND(Y194="Pending",P194='G-1 All Habitats'!$X$3),"Bespoke compensation must be agreed ▲",IF(AND(Y194="Pending",P194='G-1 All Habitats'!$X$9),"Bespoke compensation must be agreed  ▲",IF(W194=0,0,IF(P194='G-1 All Habitats'!$X$9,"Any Loss Unacceptable ▲",Q194-U194-V194))))))))),"Check Data ▲")</f>
        <v/>
      </c>
      <c r="Y194" s="53"/>
      <c r="Z194" s="105"/>
      <c r="AA194" s="233"/>
      <c r="AB194" s="104"/>
      <c r="AC194" s="512" t="str">
        <f>IF(OR(P194="",Y194="Yes"),"",IF(P194='G-1 All Habitats'!$X$9,H194-S194-T194,"None"))</f>
        <v/>
      </c>
      <c r="AD194" s="513" t="str">
        <f>IF(P194="","",IF(P194='G-1 All Habitats'!$X$9,AC194*J194*L194*O194,"None"))</f>
        <v/>
      </c>
      <c r="AE194" s="35" t="str">
        <f t="shared" si="16"/>
        <v/>
      </c>
      <c r="AF194" s="40" t="str">
        <f t="shared" si="21"/>
        <v/>
      </c>
      <c r="AG194" s="40" t="str">
        <f t="shared" si="17"/>
        <v/>
      </c>
      <c r="AH194" s="40" t="str">
        <f>IF(I194="","",IF(#REF!&gt;0,TRUE,FALSE))</f>
        <v/>
      </c>
      <c r="AI194" s="40">
        <v>184</v>
      </c>
      <c r="AJ194" s="40"/>
      <c r="AK194" s="40" t="str">
        <f t="array" ref="AK194">IFERROR(INDEX($AI$11:$AI$259,MATCH(0,IF(TRUE=$AF$11:$AF$259,COUNTIF($AK$10:$AK193,$AI$11:$AI$259),""),0)),"")</f>
        <v/>
      </c>
      <c r="AL194" s="40" t="str">
        <f t="array" ref="AL194">IFERROR(INDEX($AI$11:$AI$259,MATCH(0,IF(TRUE=$AG$11:$AG$259,COUNTIF($AL$10:$AL193,$AI$11:$AI$259),""),0)),"")</f>
        <v/>
      </c>
      <c r="AM194" s="40" t="str">
        <f t="array" ref="AM194">IFERROR(INDEX($AI$11:$AI$259,MATCH(0,IF(TRUE=$AH$11:$AH$259,COUNTIF($AM$10:$AM193,$AI$11:$AI$259),""),0)),"")</f>
        <v/>
      </c>
      <c r="AN194" s="40"/>
      <c r="AQ194" s="35">
        <f t="shared" si="22"/>
        <v>0</v>
      </c>
      <c r="AT194" s="885" t="str">
        <f>IF(AND(OR(Y194="Yes",Y194="Pending"),P194='G-1 All Habitats'!$X$3),Q194-U194-V194,"")</f>
        <v/>
      </c>
      <c r="AV194" s="542" t="str">
        <f>IFERROR(INDEX('G-1 All Habitats'!$B$3:$B$135,MATCH(F194,'G-1 All Habitats'!$A$3:$A$135,0)),"")</f>
        <v/>
      </c>
      <c r="AW194" s="35" t="str">
        <f>IF(AV194="","",VLOOKUP(AV194,'G-1 All Habitats'!$B$1:$T$135,19,FALSE))</f>
        <v/>
      </c>
    </row>
    <row r="195" spans="1:49" ht="14.5" hidden="1" thickBot="1">
      <c r="A195" s="35" t="str">
        <f>IFERROR(INDEX('G-1 All Habitats'!$AG$3:$AG$17,MATCH(E195,'G-1 All Habitats'!$AF$3:$AF$17,0)),"")</f>
        <v/>
      </c>
      <c r="B195" s="35" t="str">
        <f>IFERROR(INDEX('G-8 Condition Look up'!$I$4:$I$135,MATCH(AV195,'G-8 Condition Look up'!$A$4:$A$135,0)),"")</f>
        <v/>
      </c>
      <c r="D195" s="225">
        <v>185</v>
      </c>
      <c r="E195" s="211"/>
      <c r="F195" s="57"/>
      <c r="G195" s="263"/>
      <c r="H195" s="51"/>
      <c r="I195" s="275" t="str">
        <f>IF(AV195="","",IF(AND(AW195="Yes",G195="No"),"Irreplaceable habitat ▲",IF(AND(AW195="No",G195="Yes"),"Cannot be Irreplaceable ▲",VLOOKUP(AV195,'G-1 All Habitats'!$B$2:$M$135,10,FALSE))))</f>
        <v/>
      </c>
      <c r="J195" s="276" t="str">
        <f>IFERROR(VLOOKUP(I195,'G-1 All Habitats'!$V$3:$W$7,2,FALSE),"")</f>
        <v/>
      </c>
      <c r="K195" s="52"/>
      <c r="L195" s="276" t="str">
        <f>IFERROR(INDEX('G-8 Condition Look up'!$A$3:$H$135,MATCH(AV195,'G-8 Condition Look up'!$A$3:$A$135,0),MATCH(K195,'G-8 Condition Look up'!$A$3:$H$3,0)),"")</f>
        <v/>
      </c>
      <c r="M195" s="52"/>
      <c r="N195" s="295" t="str">
        <f>IF(M195="","",IF(VLOOKUP(M195,'G-3 Multipliers'!$L$3:$N$6,2,FALSE)=0,"Spatial Data Missing",VLOOKUP(M195,'G-3 Multipliers'!$L$3:$N$6,2,FALSE)))</f>
        <v/>
      </c>
      <c r="O195" s="281" t="str">
        <f>IF(M195="","",IF(VLOOKUP(M195,'G-3 Multipliers'!$L$3:$N$6,3,FALSE)=0,"Spatial Data Missing ▲",VLOOKUP(M195,'G-3 Multipliers'!$L$3:$N$6,3,FALSE)))</f>
        <v/>
      </c>
      <c r="P195" s="282" t="str">
        <f>(IF(G195="Yes","Bespoke compensation likely to be required",(IFERROR(VLOOKUP(AV195,'G-1 All Habitats'!$B$2:$M$135,12,FALSE),""))))</f>
        <v/>
      </c>
      <c r="Q195" s="289" t="str">
        <f>IFERROR(IF(AND(F195&lt;&gt;"",G195=""),"Confirm irreplaceable habitat status ▲",(IF(AND(E195="Individual trees",T195&gt;0,G195="Yes"),"Error - you cannot enhance irreplaceable individual trees ▲",(IF(AND(U195="Irreplaceable habitat - no units generated ⚠",(S195+T195)&lt;H195,OR(Y195="No",Y195="")),"Any Loss Unacceptable ⚠",(IF(U195="Irreplaceable habitat - no units generated ⚠",T195*J195*L195*O195,IF(AND(P195='G-1 All Habitats'!$X$9,AC195&gt;0,S195&lt;=0,T195&lt;=0,OR(Y195="No",Y195="")),"Any Loss Unacceptable ⚠",IF(AND(P195='G-1 All Habitats'!$X$9,AC195&gt;0,S195&lt;=0,T195&lt;=0,Y195="Yes"),0,(IF(AND(P195='G-1 All Habitats'!$X$9,(S195+T195)&lt;H195,OR(Y195="No",Y195="")),"Any Loss Unacceptable ⚠",(IF(P195="","",IF(AND(P195='G-1 All Habitats'!$X$9,T195&gt;0),U195+V195,IF(AND(P195='G-1 All Habitats'!$X$9,S195&gt;0),U195+V195,H195*J195*L195*O195))))))))))))))),"Check Data ▲")</f>
        <v/>
      </c>
      <c r="R195" s="38"/>
      <c r="S195" s="52"/>
      <c r="T195" s="53"/>
      <c r="U195" s="287" t="str">
        <f t="shared" si="18"/>
        <v/>
      </c>
      <c r="V195" s="287" t="str">
        <f t="shared" si="19"/>
        <v/>
      </c>
      <c r="W195" s="287" t="str">
        <f t="shared" si="20"/>
        <v/>
      </c>
      <c r="X195" s="291" t="str">
        <f>IFERROR(IF(H195="","",IF(H195-S195-T195=0&lt;0,"Error in Areas ▲",IF(S195+T195&gt;H195,"Error in Areas ▲",IF(AND(P195='G-1 All Habitats'!$X$9,Y195="Yes"),"Alternative Compensation ✓",IF(AND(P195='G-1 All Habitats'!$X$3,Y195="Yes"),"Alternative Compensation ✓",IF(AND(Y195="Pending",P195='G-1 All Habitats'!$X$3),"Bespoke compensation must be agreed ▲",IF(AND(Y195="Pending",P195='G-1 All Habitats'!$X$9),"Bespoke compensation must be agreed  ▲",IF(W195=0,0,IF(P195='G-1 All Habitats'!$X$9,"Any Loss Unacceptable ▲",Q195-U195-V195))))))))),"Check Data ▲")</f>
        <v/>
      </c>
      <c r="Y195" s="53"/>
      <c r="Z195" s="105"/>
      <c r="AA195" s="233"/>
      <c r="AB195" s="104"/>
      <c r="AC195" s="512" t="str">
        <f>IF(OR(P195="",Y195="Yes"),"",IF(P195='G-1 All Habitats'!$X$9,H195-S195-T195,"None"))</f>
        <v/>
      </c>
      <c r="AD195" s="513" t="str">
        <f>IF(P195="","",IF(P195='G-1 All Habitats'!$X$9,AC195*J195*L195*O195,"None"))</f>
        <v/>
      </c>
      <c r="AE195" s="35" t="str">
        <f t="shared" si="16"/>
        <v/>
      </c>
      <c r="AF195" s="40" t="str">
        <f t="shared" si="21"/>
        <v/>
      </c>
      <c r="AG195" s="40" t="str">
        <f t="shared" si="17"/>
        <v/>
      </c>
      <c r="AH195" s="40" t="str">
        <f>IF(I195="","",IF(#REF!&gt;0,TRUE,FALSE))</f>
        <v/>
      </c>
      <c r="AI195" s="40">
        <v>185</v>
      </c>
      <c r="AJ195" s="40"/>
      <c r="AK195" s="40" t="str">
        <f t="array" ref="AK195">IFERROR(INDEX($AI$11:$AI$259,MATCH(0,IF(TRUE=$AF$11:$AF$259,COUNTIF($AK$10:$AK194,$AI$11:$AI$259),""),0)),"")</f>
        <v/>
      </c>
      <c r="AL195" s="40" t="str">
        <f t="array" ref="AL195">IFERROR(INDEX($AI$11:$AI$259,MATCH(0,IF(TRUE=$AG$11:$AG$259,COUNTIF($AL$10:$AL194,$AI$11:$AI$259),""),0)),"")</f>
        <v/>
      </c>
      <c r="AM195" s="40" t="str">
        <f t="array" ref="AM195">IFERROR(INDEX($AI$11:$AI$259,MATCH(0,IF(TRUE=$AH$11:$AH$259,COUNTIF($AM$10:$AM194,$AI$11:$AI$259),""),0)),"")</f>
        <v/>
      </c>
      <c r="AN195" s="40"/>
      <c r="AQ195" s="35">
        <f t="shared" si="22"/>
        <v>0</v>
      </c>
      <c r="AT195" s="885" t="str">
        <f>IF(AND(OR(Y195="Yes",Y195="Pending"),P195='G-1 All Habitats'!$X$3),Q195-U195-V195,"")</f>
        <v/>
      </c>
      <c r="AV195" s="542" t="str">
        <f>IFERROR(INDEX('G-1 All Habitats'!$B$3:$B$135,MATCH(F195,'G-1 All Habitats'!$A$3:$A$135,0)),"")</f>
        <v/>
      </c>
      <c r="AW195" s="35" t="str">
        <f>IF(AV195="","",VLOOKUP(AV195,'G-1 All Habitats'!$B$1:$T$135,19,FALSE))</f>
        <v/>
      </c>
    </row>
    <row r="196" spans="1:49" ht="14.5" hidden="1" thickBot="1">
      <c r="A196" s="35" t="str">
        <f>IFERROR(INDEX('G-1 All Habitats'!$AG$3:$AG$17,MATCH(E196,'G-1 All Habitats'!$AF$3:$AF$17,0)),"")</f>
        <v/>
      </c>
      <c r="B196" s="35" t="str">
        <f>IFERROR(INDEX('G-8 Condition Look up'!$I$4:$I$135,MATCH(AV196,'G-8 Condition Look up'!$A$4:$A$135,0)),"")</f>
        <v/>
      </c>
      <c r="D196" s="225">
        <v>186</v>
      </c>
      <c r="E196" s="211"/>
      <c r="F196" s="57"/>
      <c r="G196" s="263"/>
      <c r="H196" s="51"/>
      <c r="I196" s="275" t="str">
        <f>IF(AV196="","",IF(AND(AW196="Yes",G196="No"),"Irreplaceable habitat ▲",IF(AND(AW196="No",G196="Yes"),"Cannot be Irreplaceable ▲",VLOOKUP(AV196,'G-1 All Habitats'!$B$2:$M$135,10,FALSE))))</f>
        <v/>
      </c>
      <c r="J196" s="276" t="str">
        <f>IFERROR(VLOOKUP(I196,'G-1 All Habitats'!$V$3:$W$7,2,FALSE),"")</f>
        <v/>
      </c>
      <c r="K196" s="52"/>
      <c r="L196" s="276" t="str">
        <f>IFERROR(INDEX('G-8 Condition Look up'!$A$3:$H$135,MATCH(AV196,'G-8 Condition Look up'!$A$3:$A$135,0),MATCH(K196,'G-8 Condition Look up'!$A$3:$H$3,0)),"")</f>
        <v/>
      </c>
      <c r="M196" s="52"/>
      <c r="N196" s="295" t="str">
        <f>IF(M196="","",IF(VLOOKUP(M196,'G-3 Multipliers'!$L$3:$N$6,2,FALSE)=0,"Spatial Data Missing",VLOOKUP(M196,'G-3 Multipliers'!$L$3:$N$6,2,FALSE)))</f>
        <v/>
      </c>
      <c r="O196" s="281" t="str">
        <f>IF(M196="","",IF(VLOOKUP(M196,'G-3 Multipliers'!$L$3:$N$6,3,FALSE)=0,"Spatial Data Missing ▲",VLOOKUP(M196,'G-3 Multipliers'!$L$3:$N$6,3,FALSE)))</f>
        <v/>
      </c>
      <c r="P196" s="282" t="str">
        <f>(IF(G196="Yes","Bespoke compensation likely to be required",(IFERROR(VLOOKUP(AV196,'G-1 All Habitats'!$B$2:$M$135,12,FALSE),""))))</f>
        <v/>
      </c>
      <c r="Q196" s="289" t="str">
        <f>IFERROR(IF(AND(F196&lt;&gt;"",G196=""),"Confirm irreplaceable habitat status ▲",(IF(AND(E196="Individual trees",T196&gt;0,G196="Yes"),"Error - you cannot enhance irreplaceable individual trees ▲",(IF(AND(U196="Irreplaceable habitat - no units generated ⚠",(S196+T196)&lt;H196,OR(Y196="No",Y196="")),"Any Loss Unacceptable ⚠",(IF(U196="Irreplaceable habitat - no units generated ⚠",T196*J196*L196*O196,IF(AND(P196='G-1 All Habitats'!$X$9,AC196&gt;0,S196&lt;=0,T196&lt;=0,OR(Y196="No",Y196="")),"Any Loss Unacceptable ⚠",IF(AND(P196='G-1 All Habitats'!$X$9,AC196&gt;0,S196&lt;=0,T196&lt;=0,Y196="Yes"),0,(IF(AND(P196='G-1 All Habitats'!$X$9,(S196+T196)&lt;H196,OR(Y196="No",Y196="")),"Any Loss Unacceptable ⚠",(IF(P196="","",IF(AND(P196='G-1 All Habitats'!$X$9,T196&gt;0),U196+V196,IF(AND(P196='G-1 All Habitats'!$X$9,S196&gt;0),U196+V196,H196*J196*L196*O196))))))))))))))),"Check Data ▲")</f>
        <v/>
      </c>
      <c r="R196" s="38"/>
      <c r="S196" s="52"/>
      <c r="T196" s="53"/>
      <c r="U196" s="287" t="str">
        <f t="shared" si="18"/>
        <v/>
      </c>
      <c r="V196" s="287" t="str">
        <f t="shared" si="19"/>
        <v/>
      </c>
      <c r="W196" s="287" t="str">
        <f t="shared" si="20"/>
        <v/>
      </c>
      <c r="X196" s="291" t="str">
        <f>IFERROR(IF(H196="","",IF(H196-S196-T196=0&lt;0,"Error in Areas ▲",IF(S196+T196&gt;H196,"Error in Areas ▲",IF(AND(P196='G-1 All Habitats'!$X$9,Y196="Yes"),"Alternative Compensation ✓",IF(AND(P196='G-1 All Habitats'!$X$3,Y196="Yes"),"Alternative Compensation ✓",IF(AND(Y196="Pending",P196='G-1 All Habitats'!$X$3),"Bespoke compensation must be agreed ▲",IF(AND(Y196="Pending",P196='G-1 All Habitats'!$X$9),"Bespoke compensation must be agreed  ▲",IF(W196=0,0,IF(P196='G-1 All Habitats'!$X$9,"Any Loss Unacceptable ▲",Q196-U196-V196))))))))),"Check Data ▲")</f>
        <v/>
      </c>
      <c r="Y196" s="53"/>
      <c r="Z196" s="105"/>
      <c r="AA196" s="233"/>
      <c r="AB196" s="104"/>
      <c r="AC196" s="512" t="str">
        <f>IF(OR(P196="",Y196="Yes"),"",IF(P196='G-1 All Habitats'!$X$9,H196-S196-T196,"None"))</f>
        <v/>
      </c>
      <c r="AD196" s="513" t="str">
        <f>IF(P196="","",IF(P196='G-1 All Habitats'!$X$9,AC196*J196*L196*O196,"None"))</f>
        <v/>
      </c>
      <c r="AE196" s="35" t="str">
        <f t="shared" si="16"/>
        <v/>
      </c>
      <c r="AF196" s="40" t="str">
        <f t="shared" si="21"/>
        <v/>
      </c>
      <c r="AG196" s="40" t="str">
        <f t="shared" si="17"/>
        <v/>
      </c>
      <c r="AH196" s="40" t="str">
        <f>IF(I196="","",IF(#REF!&gt;0,TRUE,FALSE))</f>
        <v/>
      </c>
      <c r="AI196" s="40">
        <v>186</v>
      </c>
      <c r="AJ196" s="40"/>
      <c r="AK196" s="40" t="str">
        <f t="array" ref="AK196">IFERROR(INDEX($AI$11:$AI$259,MATCH(0,IF(TRUE=$AF$11:$AF$259,COUNTIF($AK$10:$AK195,$AI$11:$AI$259),""),0)),"")</f>
        <v/>
      </c>
      <c r="AL196" s="40" t="str">
        <f t="array" ref="AL196">IFERROR(INDEX($AI$11:$AI$259,MATCH(0,IF(TRUE=$AG$11:$AG$259,COUNTIF($AL$10:$AL195,$AI$11:$AI$259),""),0)),"")</f>
        <v/>
      </c>
      <c r="AM196" s="40" t="str">
        <f t="array" ref="AM196">IFERROR(INDEX($AI$11:$AI$259,MATCH(0,IF(TRUE=$AH$11:$AH$259,COUNTIF($AM$10:$AM195,$AI$11:$AI$259),""),0)),"")</f>
        <v/>
      </c>
      <c r="AN196" s="40"/>
      <c r="AQ196" s="35">
        <f t="shared" si="22"/>
        <v>0</v>
      </c>
      <c r="AT196" s="885" t="str">
        <f>IF(AND(OR(Y196="Yes",Y196="Pending"),P196='G-1 All Habitats'!$X$3),Q196-U196-V196,"")</f>
        <v/>
      </c>
      <c r="AV196" s="542" t="str">
        <f>IFERROR(INDEX('G-1 All Habitats'!$B$3:$B$135,MATCH(F196,'G-1 All Habitats'!$A$3:$A$135,0)),"")</f>
        <v/>
      </c>
      <c r="AW196" s="35" t="str">
        <f>IF(AV196="","",VLOOKUP(AV196,'G-1 All Habitats'!$B$1:$T$135,19,FALSE))</f>
        <v/>
      </c>
    </row>
    <row r="197" spans="1:49" ht="14.5" hidden="1" thickBot="1">
      <c r="A197" s="35" t="str">
        <f>IFERROR(INDEX('G-1 All Habitats'!$AG$3:$AG$17,MATCH(E197,'G-1 All Habitats'!$AF$3:$AF$17,0)),"")</f>
        <v/>
      </c>
      <c r="B197" s="35" t="str">
        <f>IFERROR(INDEX('G-8 Condition Look up'!$I$4:$I$135,MATCH(AV197,'G-8 Condition Look up'!$A$4:$A$135,0)),"")</f>
        <v/>
      </c>
      <c r="D197" s="225">
        <v>187</v>
      </c>
      <c r="E197" s="211"/>
      <c r="F197" s="57"/>
      <c r="G197" s="263"/>
      <c r="H197" s="51"/>
      <c r="I197" s="275" t="str">
        <f>IF(AV197="","",IF(AND(AW197="Yes",G197="No"),"Irreplaceable habitat ▲",IF(AND(AW197="No",G197="Yes"),"Cannot be Irreplaceable ▲",VLOOKUP(AV197,'G-1 All Habitats'!$B$2:$M$135,10,FALSE))))</f>
        <v/>
      </c>
      <c r="J197" s="276" t="str">
        <f>IFERROR(VLOOKUP(I197,'G-1 All Habitats'!$V$3:$W$7,2,FALSE),"")</f>
        <v/>
      </c>
      <c r="K197" s="52"/>
      <c r="L197" s="276" t="str">
        <f>IFERROR(INDEX('G-8 Condition Look up'!$A$3:$H$135,MATCH(AV197,'G-8 Condition Look up'!$A$3:$A$135,0),MATCH(K197,'G-8 Condition Look up'!$A$3:$H$3,0)),"")</f>
        <v/>
      </c>
      <c r="M197" s="52"/>
      <c r="N197" s="295" t="str">
        <f>IF(M197="","",IF(VLOOKUP(M197,'G-3 Multipliers'!$L$3:$N$6,2,FALSE)=0,"Spatial Data Missing",VLOOKUP(M197,'G-3 Multipliers'!$L$3:$N$6,2,FALSE)))</f>
        <v/>
      </c>
      <c r="O197" s="281" t="str">
        <f>IF(M197="","",IF(VLOOKUP(M197,'G-3 Multipliers'!$L$3:$N$6,3,FALSE)=0,"Spatial Data Missing ▲",VLOOKUP(M197,'G-3 Multipliers'!$L$3:$N$6,3,FALSE)))</f>
        <v/>
      </c>
      <c r="P197" s="282" t="str">
        <f>(IF(G197="Yes","Bespoke compensation likely to be required",(IFERROR(VLOOKUP(AV197,'G-1 All Habitats'!$B$2:$M$135,12,FALSE),""))))</f>
        <v/>
      </c>
      <c r="Q197" s="289" t="str">
        <f>IFERROR(IF(AND(F197&lt;&gt;"",G197=""),"Confirm irreplaceable habitat status ▲",(IF(AND(E197="Individual trees",T197&gt;0,G197="Yes"),"Error - you cannot enhance irreplaceable individual trees ▲",(IF(AND(U197="Irreplaceable habitat - no units generated ⚠",(S197+T197)&lt;H197,OR(Y197="No",Y197="")),"Any Loss Unacceptable ⚠",(IF(U197="Irreplaceable habitat - no units generated ⚠",T197*J197*L197*O197,IF(AND(P197='G-1 All Habitats'!$X$9,AC197&gt;0,S197&lt;=0,T197&lt;=0,OR(Y197="No",Y197="")),"Any Loss Unacceptable ⚠",IF(AND(P197='G-1 All Habitats'!$X$9,AC197&gt;0,S197&lt;=0,T197&lt;=0,Y197="Yes"),0,(IF(AND(P197='G-1 All Habitats'!$X$9,(S197+T197)&lt;H197,OR(Y197="No",Y197="")),"Any Loss Unacceptable ⚠",(IF(P197="","",IF(AND(P197='G-1 All Habitats'!$X$9,T197&gt;0),U197+V197,IF(AND(P197='G-1 All Habitats'!$X$9,S197&gt;0),U197+V197,H197*J197*L197*O197))))))))))))))),"Check Data ▲")</f>
        <v/>
      </c>
      <c r="R197" s="38"/>
      <c r="S197" s="52"/>
      <c r="T197" s="53"/>
      <c r="U197" s="287" t="str">
        <f t="shared" si="18"/>
        <v/>
      </c>
      <c r="V197" s="287" t="str">
        <f t="shared" si="19"/>
        <v/>
      </c>
      <c r="W197" s="287" t="str">
        <f t="shared" si="20"/>
        <v/>
      </c>
      <c r="X197" s="291" t="str">
        <f>IFERROR(IF(H197="","",IF(H197-S197-T197=0&lt;0,"Error in Areas ▲",IF(S197+T197&gt;H197,"Error in Areas ▲",IF(AND(P197='G-1 All Habitats'!$X$9,Y197="Yes"),"Alternative Compensation ✓",IF(AND(P197='G-1 All Habitats'!$X$3,Y197="Yes"),"Alternative Compensation ✓",IF(AND(Y197="Pending",P197='G-1 All Habitats'!$X$3),"Bespoke compensation must be agreed ▲",IF(AND(Y197="Pending",P197='G-1 All Habitats'!$X$9),"Bespoke compensation must be agreed  ▲",IF(W197=0,0,IF(P197='G-1 All Habitats'!$X$9,"Any Loss Unacceptable ▲",Q197-U197-V197))))))))),"Check Data ▲")</f>
        <v/>
      </c>
      <c r="Y197" s="53"/>
      <c r="Z197" s="105"/>
      <c r="AA197" s="233"/>
      <c r="AB197" s="104"/>
      <c r="AC197" s="512" t="str">
        <f>IF(OR(P197="",Y197="Yes"),"",IF(P197='G-1 All Habitats'!$X$9,H197-S197-T197,"None"))</f>
        <v/>
      </c>
      <c r="AD197" s="513" t="str">
        <f>IF(P197="","",IF(P197='G-1 All Habitats'!$X$9,AC197*J197*L197*O197,"None"))</f>
        <v/>
      </c>
      <c r="AE197" s="35" t="str">
        <f t="shared" si="16"/>
        <v/>
      </c>
      <c r="AF197" s="40" t="str">
        <f t="shared" si="21"/>
        <v/>
      </c>
      <c r="AG197" s="40" t="str">
        <f t="shared" si="17"/>
        <v/>
      </c>
      <c r="AH197" s="40" t="str">
        <f>IF(I197="","",IF(#REF!&gt;0,TRUE,FALSE))</f>
        <v/>
      </c>
      <c r="AI197" s="40">
        <v>187</v>
      </c>
      <c r="AJ197" s="40"/>
      <c r="AK197" s="40" t="str">
        <f t="array" ref="AK197">IFERROR(INDEX($AI$11:$AI$259,MATCH(0,IF(TRUE=$AF$11:$AF$259,COUNTIF($AK$10:$AK196,$AI$11:$AI$259),""),0)),"")</f>
        <v/>
      </c>
      <c r="AL197" s="40" t="str">
        <f t="array" ref="AL197">IFERROR(INDEX($AI$11:$AI$259,MATCH(0,IF(TRUE=$AG$11:$AG$259,COUNTIF($AL$10:$AL196,$AI$11:$AI$259),""),0)),"")</f>
        <v/>
      </c>
      <c r="AM197" s="40" t="str">
        <f t="array" ref="AM197">IFERROR(INDEX($AI$11:$AI$259,MATCH(0,IF(TRUE=$AH$11:$AH$259,COUNTIF($AM$10:$AM196,$AI$11:$AI$259),""),0)),"")</f>
        <v/>
      </c>
      <c r="AN197" s="40"/>
      <c r="AQ197" s="35">
        <f t="shared" si="22"/>
        <v>0</v>
      </c>
      <c r="AT197" s="885" t="str">
        <f>IF(AND(OR(Y197="Yes",Y197="Pending"),P197='G-1 All Habitats'!$X$3),Q197-U197-V197,"")</f>
        <v/>
      </c>
      <c r="AV197" s="542" t="str">
        <f>IFERROR(INDEX('G-1 All Habitats'!$B$3:$B$135,MATCH(F197,'G-1 All Habitats'!$A$3:$A$135,0)),"")</f>
        <v/>
      </c>
      <c r="AW197" s="35" t="str">
        <f>IF(AV197="","",VLOOKUP(AV197,'G-1 All Habitats'!$B$1:$T$135,19,FALSE))</f>
        <v/>
      </c>
    </row>
    <row r="198" spans="1:49" ht="14.5" hidden="1" thickBot="1">
      <c r="A198" s="35" t="str">
        <f>IFERROR(INDEX('G-1 All Habitats'!$AG$3:$AG$17,MATCH(E198,'G-1 All Habitats'!$AF$3:$AF$17,0)),"")</f>
        <v/>
      </c>
      <c r="B198" s="35" t="str">
        <f>IFERROR(INDEX('G-8 Condition Look up'!$I$4:$I$135,MATCH(AV198,'G-8 Condition Look up'!$A$4:$A$135,0)),"")</f>
        <v/>
      </c>
      <c r="D198" s="225">
        <v>188</v>
      </c>
      <c r="E198" s="211"/>
      <c r="F198" s="57"/>
      <c r="G198" s="263"/>
      <c r="H198" s="51"/>
      <c r="I198" s="275" t="str">
        <f>IF(AV198="","",IF(AND(AW198="Yes",G198="No"),"Irreplaceable habitat ▲",IF(AND(AW198="No",G198="Yes"),"Cannot be Irreplaceable ▲",VLOOKUP(AV198,'G-1 All Habitats'!$B$2:$M$135,10,FALSE))))</f>
        <v/>
      </c>
      <c r="J198" s="276" t="str">
        <f>IFERROR(VLOOKUP(I198,'G-1 All Habitats'!$V$3:$W$7,2,FALSE),"")</f>
        <v/>
      </c>
      <c r="K198" s="52"/>
      <c r="L198" s="276" t="str">
        <f>IFERROR(INDEX('G-8 Condition Look up'!$A$3:$H$135,MATCH(AV198,'G-8 Condition Look up'!$A$3:$A$135,0),MATCH(K198,'G-8 Condition Look up'!$A$3:$H$3,0)),"")</f>
        <v/>
      </c>
      <c r="M198" s="52"/>
      <c r="N198" s="295" t="str">
        <f>IF(M198="","",IF(VLOOKUP(M198,'G-3 Multipliers'!$L$3:$N$6,2,FALSE)=0,"Spatial Data Missing",VLOOKUP(M198,'G-3 Multipliers'!$L$3:$N$6,2,FALSE)))</f>
        <v/>
      </c>
      <c r="O198" s="281" t="str">
        <f>IF(M198="","",IF(VLOOKUP(M198,'G-3 Multipliers'!$L$3:$N$6,3,FALSE)=0,"Spatial Data Missing ▲",VLOOKUP(M198,'G-3 Multipliers'!$L$3:$N$6,3,FALSE)))</f>
        <v/>
      </c>
      <c r="P198" s="282" t="str">
        <f>(IF(G198="Yes","Bespoke compensation likely to be required",(IFERROR(VLOOKUP(AV198,'G-1 All Habitats'!$B$2:$M$135,12,FALSE),""))))</f>
        <v/>
      </c>
      <c r="Q198" s="289" t="str">
        <f>IFERROR(IF(AND(F198&lt;&gt;"",G198=""),"Confirm irreplaceable habitat status ▲",(IF(AND(E198="Individual trees",T198&gt;0,G198="Yes"),"Error - you cannot enhance irreplaceable individual trees ▲",(IF(AND(U198="Irreplaceable habitat - no units generated ⚠",(S198+T198)&lt;H198,OR(Y198="No",Y198="")),"Any Loss Unacceptable ⚠",(IF(U198="Irreplaceable habitat - no units generated ⚠",T198*J198*L198*O198,IF(AND(P198='G-1 All Habitats'!$X$9,AC198&gt;0,S198&lt;=0,T198&lt;=0,OR(Y198="No",Y198="")),"Any Loss Unacceptable ⚠",IF(AND(P198='G-1 All Habitats'!$X$9,AC198&gt;0,S198&lt;=0,T198&lt;=0,Y198="Yes"),0,(IF(AND(P198='G-1 All Habitats'!$X$9,(S198+T198)&lt;H198,OR(Y198="No",Y198="")),"Any Loss Unacceptable ⚠",(IF(P198="","",IF(AND(P198='G-1 All Habitats'!$X$9,T198&gt;0),U198+V198,IF(AND(P198='G-1 All Habitats'!$X$9,S198&gt;0),U198+V198,H198*J198*L198*O198))))))))))))))),"Check Data ▲")</f>
        <v/>
      </c>
      <c r="R198" s="38"/>
      <c r="S198" s="52"/>
      <c r="T198" s="53"/>
      <c r="U198" s="287" t="str">
        <f t="shared" si="18"/>
        <v/>
      </c>
      <c r="V198" s="287" t="str">
        <f t="shared" si="19"/>
        <v/>
      </c>
      <c r="W198" s="287" t="str">
        <f t="shared" si="20"/>
        <v/>
      </c>
      <c r="X198" s="291" t="str">
        <f>IFERROR(IF(H198="","",IF(H198-S198-T198=0&lt;0,"Error in Areas ▲",IF(S198+T198&gt;H198,"Error in Areas ▲",IF(AND(P198='G-1 All Habitats'!$X$9,Y198="Yes"),"Alternative Compensation ✓",IF(AND(P198='G-1 All Habitats'!$X$3,Y198="Yes"),"Alternative Compensation ✓",IF(AND(Y198="Pending",P198='G-1 All Habitats'!$X$3),"Bespoke compensation must be agreed ▲",IF(AND(Y198="Pending",P198='G-1 All Habitats'!$X$9),"Bespoke compensation must be agreed  ▲",IF(W198=0,0,IF(P198='G-1 All Habitats'!$X$9,"Any Loss Unacceptable ▲",Q198-U198-V198))))))))),"Check Data ▲")</f>
        <v/>
      </c>
      <c r="Y198" s="53"/>
      <c r="Z198" s="105"/>
      <c r="AA198" s="233"/>
      <c r="AB198" s="104"/>
      <c r="AC198" s="512" t="str">
        <f>IF(OR(P198="",Y198="Yes"),"",IF(P198='G-1 All Habitats'!$X$9,H198-S198-T198,"None"))</f>
        <v/>
      </c>
      <c r="AD198" s="513" t="str">
        <f>IF(P198="","",IF(P198='G-1 All Habitats'!$X$9,AC198*J198*L198*O198,"None"))</f>
        <v/>
      </c>
      <c r="AE198" s="35" t="str">
        <f t="shared" si="16"/>
        <v/>
      </c>
      <c r="AF198" s="40" t="str">
        <f t="shared" si="21"/>
        <v/>
      </c>
      <c r="AG198" s="40" t="str">
        <f t="shared" si="17"/>
        <v/>
      </c>
      <c r="AH198" s="40" t="str">
        <f>IF(I198="","",IF(#REF!&gt;0,TRUE,FALSE))</f>
        <v/>
      </c>
      <c r="AI198" s="40">
        <v>188</v>
      </c>
      <c r="AJ198" s="40"/>
      <c r="AK198" s="40" t="str">
        <f t="array" ref="AK198">IFERROR(INDEX($AI$11:$AI$259,MATCH(0,IF(TRUE=$AF$11:$AF$259,COUNTIF($AK$10:$AK197,$AI$11:$AI$259),""),0)),"")</f>
        <v/>
      </c>
      <c r="AL198" s="40" t="str">
        <f t="array" ref="AL198">IFERROR(INDEX($AI$11:$AI$259,MATCH(0,IF(TRUE=$AG$11:$AG$259,COUNTIF($AL$10:$AL197,$AI$11:$AI$259),""),0)),"")</f>
        <v/>
      </c>
      <c r="AM198" s="40" t="str">
        <f t="array" ref="AM198">IFERROR(INDEX($AI$11:$AI$259,MATCH(0,IF(TRUE=$AH$11:$AH$259,COUNTIF($AM$10:$AM197,$AI$11:$AI$259),""),0)),"")</f>
        <v/>
      </c>
      <c r="AN198" s="40"/>
      <c r="AQ198" s="35">
        <f t="shared" si="22"/>
        <v>0</v>
      </c>
      <c r="AT198" s="885" t="str">
        <f>IF(AND(OR(Y198="Yes",Y198="Pending"),P198='G-1 All Habitats'!$X$3),Q198-U198-V198,"")</f>
        <v/>
      </c>
      <c r="AV198" s="542" t="str">
        <f>IFERROR(INDEX('G-1 All Habitats'!$B$3:$B$135,MATCH(F198,'G-1 All Habitats'!$A$3:$A$135,0)),"")</f>
        <v/>
      </c>
      <c r="AW198" s="35" t="str">
        <f>IF(AV198="","",VLOOKUP(AV198,'G-1 All Habitats'!$B$1:$T$135,19,FALSE))</f>
        <v/>
      </c>
    </row>
    <row r="199" spans="1:49" ht="14.5" hidden="1" thickBot="1">
      <c r="A199" s="35" t="str">
        <f>IFERROR(INDEX('G-1 All Habitats'!$AG$3:$AG$17,MATCH(E199,'G-1 All Habitats'!$AF$3:$AF$17,0)),"")</f>
        <v/>
      </c>
      <c r="B199" s="35" t="str">
        <f>IFERROR(INDEX('G-8 Condition Look up'!$I$4:$I$135,MATCH(AV199,'G-8 Condition Look up'!$A$4:$A$135,0)),"")</f>
        <v/>
      </c>
      <c r="D199" s="225">
        <v>189</v>
      </c>
      <c r="E199" s="211"/>
      <c r="F199" s="57"/>
      <c r="G199" s="263"/>
      <c r="H199" s="51"/>
      <c r="I199" s="275" t="str">
        <f>IF(AV199="","",IF(AND(AW199="Yes",G199="No"),"Irreplaceable habitat ▲",IF(AND(AW199="No",G199="Yes"),"Cannot be Irreplaceable ▲",VLOOKUP(AV199,'G-1 All Habitats'!$B$2:$M$135,10,FALSE))))</f>
        <v/>
      </c>
      <c r="J199" s="276" t="str">
        <f>IFERROR(VLOOKUP(I199,'G-1 All Habitats'!$V$3:$W$7,2,FALSE),"")</f>
        <v/>
      </c>
      <c r="K199" s="52"/>
      <c r="L199" s="276" t="str">
        <f>IFERROR(INDEX('G-8 Condition Look up'!$A$3:$H$135,MATCH(AV199,'G-8 Condition Look up'!$A$3:$A$135,0),MATCH(K199,'G-8 Condition Look up'!$A$3:$H$3,0)),"")</f>
        <v/>
      </c>
      <c r="M199" s="52"/>
      <c r="N199" s="295" t="str">
        <f>IF(M199="","",IF(VLOOKUP(M199,'G-3 Multipliers'!$L$3:$N$6,2,FALSE)=0,"Spatial Data Missing",VLOOKUP(M199,'G-3 Multipliers'!$L$3:$N$6,2,FALSE)))</f>
        <v/>
      </c>
      <c r="O199" s="281" t="str">
        <f>IF(M199="","",IF(VLOOKUP(M199,'G-3 Multipliers'!$L$3:$N$6,3,FALSE)=0,"Spatial Data Missing ▲",VLOOKUP(M199,'G-3 Multipliers'!$L$3:$N$6,3,FALSE)))</f>
        <v/>
      </c>
      <c r="P199" s="282" t="str">
        <f>(IF(G199="Yes","Bespoke compensation likely to be required",(IFERROR(VLOOKUP(AV199,'G-1 All Habitats'!$B$2:$M$135,12,FALSE),""))))</f>
        <v/>
      </c>
      <c r="Q199" s="289" t="str">
        <f>IFERROR(IF(AND(F199&lt;&gt;"",G199=""),"Confirm irreplaceable habitat status ▲",(IF(AND(E199="Individual trees",T199&gt;0,G199="Yes"),"Error - you cannot enhance irreplaceable individual trees ▲",(IF(AND(U199="Irreplaceable habitat - no units generated ⚠",(S199+T199)&lt;H199,OR(Y199="No",Y199="")),"Any Loss Unacceptable ⚠",(IF(U199="Irreplaceable habitat - no units generated ⚠",T199*J199*L199*O199,IF(AND(P199='G-1 All Habitats'!$X$9,AC199&gt;0,S199&lt;=0,T199&lt;=0,OR(Y199="No",Y199="")),"Any Loss Unacceptable ⚠",IF(AND(P199='G-1 All Habitats'!$X$9,AC199&gt;0,S199&lt;=0,T199&lt;=0,Y199="Yes"),0,(IF(AND(P199='G-1 All Habitats'!$X$9,(S199+T199)&lt;H199,OR(Y199="No",Y199="")),"Any Loss Unacceptable ⚠",(IF(P199="","",IF(AND(P199='G-1 All Habitats'!$X$9,T199&gt;0),U199+V199,IF(AND(P199='G-1 All Habitats'!$X$9,S199&gt;0),U199+V199,H199*J199*L199*O199))))))))))))))),"Check Data ▲")</f>
        <v/>
      </c>
      <c r="R199" s="38"/>
      <c r="S199" s="52"/>
      <c r="T199" s="53"/>
      <c r="U199" s="287" t="str">
        <f t="shared" si="18"/>
        <v/>
      </c>
      <c r="V199" s="287" t="str">
        <f t="shared" si="19"/>
        <v/>
      </c>
      <c r="W199" s="287" t="str">
        <f t="shared" si="20"/>
        <v/>
      </c>
      <c r="X199" s="291" t="str">
        <f>IFERROR(IF(H199="","",IF(H199-S199-T199=0&lt;0,"Error in Areas ▲",IF(S199+T199&gt;H199,"Error in Areas ▲",IF(AND(P199='G-1 All Habitats'!$X$9,Y199="Yes"),"Alternative Compensation ✓",IF(AND(P199='G-1 All Habitats'!$X$3,Y199="Yes"),"Alternative Compensation ✓",IF(AND(Y199="Pending",P199='G-1 All Habitats'!$X$3),"Bespoke compensation must be agreed ▲",IF(AND(Y199="Pending",P199='G-1 All Habitats'!$X$9),"Bespoke compensation must be agreed  ▲",IF(W199=0,0,IF(P199='G-1 All Habitats'!$X$9,"Any Loss Unacceptable ▲",Q199-U199-V199))))))))),"Check Data ▲")</f>
        <v/>
      </c>
      <c r="Y199" s="53"/>
      <c r="Z199" s="105"/>
      <c r="AA199" s="233"/>
      <c r="AB199" s="104"/>
      <c r="AC199" s="512" t="str">
        <f>IF(OR(P199="",Y199="Yes"),"",IF(P199='G-1 All Habitats'!$X$9,H199-S199-T199,"None"))</f>
        <v/>
      </c>
      <c r="AD199" s="513" t="str">
        <f>IF(P199="","",IF(P199='G-1 All Habitats'!$X$9,AC199*J199*L199*O199,"None"))</f>
        <v/>
      </c>
      <c r="AE199" s="35" t="str">
        <f t="shared" si="16"/>
        <v/>
      </c>
      <c r="AF199" s="40" t="str">
        <f t="shared" si="21"/>
        <v/>
      </c>
      <c r="AG199" s="40" t="str">
        <f t="shared" si="17"/>
        <v/>
      </c>
      <c r="AH199" s="40" t="str">
        <f>IF(I199="","",IF(#REF!&gt;0,TRUE,FALSE))</f>
        <v/>
      </c>
      <c r="AI199" s="40">
        <v>189</v>
      </c>
      <c r="AJ199" s="40"/>
      <c r="AK199" s="40" t="str">
        <f t="array" ref="AK199">IFERROR(INDEX($AI$11:$AI$259,MATCH(0,IF(TRUE=$AF$11:$AF$259,COUNTIF($AK$10:$AK198,$AI$11:$AI$259),""),0)),"")</f>
        <v/>
      </c>
      <c r="AL199" s="40" t="str">
        <f t="array" ref="AL199">IFERROR(INDEX($AI$11:$AI$259,MATCH(0,IF(TRUE=$AG$11:$AG$259,COUNTIF($AL$10:$AL198,$AI$11:$AI$259),""),0)),"")</f>
        <v/>
      </c>
      <c r="AM199" s="40" t="str">
        <f t="array" ref="AM199">IFERROR(INDEX($AI$11:$AI$259,MATCH(0,IF(TRUE=$AH$11:$AH$259,COUNTIF($AM$10:$AM198,$AI$11:$AI$259),""),0)),"")</f>
        <v/>
      </c>
      <c r="AN199" s="40"/>
      <c r="AQ199" s="35">
        <f t="shared" si="22"/>
        <v>0</v>
      </c>
      <c r="AT199" s="885" t="str">
        <f>IF(AND(OR(Y199="Yes",Y199="Pending"),P199='G-1 All Habitats'!$X$3),Q199-U199-V199,"")</f>
        <v/>
      </c>
      <c r="AV199" s="542" t="str">
        <f>IFERROR(INDEX('G-1 All Habitats'!$B$3:$B$135,MATCH(F199,'G-1 All Habitats'!$A$3:$A$135,0)),"")</f>
        <v/>
      </c>
      <c r="AW199" s="35" t="str">
        <f>IF(AV199="","",VLOOKUP(AV199,'G-1 All Habitats'!$B$1:$T$135,19,FALSE))</f>
        <v/>
      </c>
    </row>
    <row r="200" spans="1:49" ht="14.5" hidden="1" thickBot="1">
      <c r="A200" s="35" t="str">
        <f>IFERROR(INDEX('G-1 All Habitats'!$AG$3:$AG$17,MATCH(E200,'G-1 All Habitats'!$AF$3:$AF$17,0)),"")</f>
        <v/>
      </c>
      <c r="B200" s="35" t="str">
        <f>IFERROR(INDEX('G-8 Condition Look up'!$I$4:$I$135,MATCH(AV200,'G-8 Condition Look up'!$A$4:$A$135,0)),"")</f>
        <v/>
      </c>
      <c r="D200" s="225">
        <v>190</v>
      </c>
      <c r="E200" s="211"/>
      <c r="F200" s="57"/>
      <c r="G200" s="263"/>
      <c r="H200" s="51"/>
      <c r="I200" s="275" t="str">
        <f>IF(AV200="","",IF(AND(AW200="Yes",G200="No"),"Irreplaceable habitat ▲",IF(AND(AW200="No",G200="Yes"),"Cannot be Irreplaceable ▲",VLOOKUP(AV200,'G-1 All Habitats'!$B$2:$M$135,10,FALSE))))</f>
        <v/>
      </c>
      <c r="J200" s="276" t="str">
        <f>IFERROR(VLOOKUP(I200,'G-1 All Habitats'!$V$3:$W$7,2,FALSE),"")</f>
        <v/>
      </c>
      <c r="K200" s="52"/>
      <c r="L200" s="276" t="str">
        <f>IFERROR(INDEX('G-8 Condition Look up'!$A$3:$H$135,MATCH(AV200,'G-8 Condition Look up'!$A$3:$A$135,0),MATCH(K200,'G-8 Condition Look up'!$A$3:$H$3,0)),"")</f>
        <v/>
      </c>
      <c r="M200" s="52"/>
      <c r="N200" s="295" t="str">
        <f>IF(M200="","",IF(VLOOKUP(M200,'G-3 Multipliers'!$L$3:$N$6,2,FALSE)=0,"Spatial Data Missing",VLOOKUP(M200,'G-3 Multipliers'!$L$3:$N$6,2,FALSE)))</f>
        <v/>
      </c>
      <c r="O200" s="281" t="str">
        <f>IF(M200="","",IF(VLOOKUP(M200,'G-3 Multipliers'!$L$3:$N$6,3,FALSE)=0,"Spatial Data Missing ▲",VLOOKUP(M200,'G-3 Multipliers'!$L$3:$N$6,3,FALSE)))</f>
        <v/>
      </c>
      <c r="P200" s="282" t="str">
        <f>(IF(G200="Yes","Bespoke compensation likely to be required",(IFERROR(VLOOKUP(AV200,'G-1 All Habitats'!$B$2:$M$135,12,FALSE),""))))</f>
        <v/>
      </c>
      <c r="Q200" s="289" t="str">
        <f>IFERROR(IF(AND(F200&lt;&gt;"",G200=""),"Confirm irreplaceable habitat status ▲",(IF(AND(E200="Individual trees",T200&gt;0,G200="Yes"),"Error - you cannot enhance irreplaceable individual trees ▲",(IF(AND(U200="Irreplaceable habitat - no units generated ⚠",(S200+T200)&lt;H200,OR(Y200="No",Y200="")),"Any Loss Unacceptable ⚠",(IF(U200="Irreplaceable habitat - no units generated ⚠",T200*J200*L200*O200,IF(AND(P200='G-1 All Habitats'!$X$9,AC200&gt;0,S200&lt;=0,T200&lt;=0,OR(Y200="No",Y200="")),"Any Loss Unacceptable ⚠",IF(AND(P200='G-1 All Habitats'!$X$9,AC200&gt;0,S200&lt;=0,T200&lt;=0,Y200="Yes"),0,(IF(AND(P200='G-1 All Habitats'!$X$9,(S200+T200)&lt;H200,OR(Y200="No",Y200="")),"Any Loss Unacceptable ⚠",(IF(P200="","",IF(AND(P200='G-1 All Habitats'!$X$9,T200&gt;0),U200+V200,IF(AND(P200='G-1 All Habitats'!$X$9,S200&gt;0),U200+V200,H200*J200*L200*O200))))))))))))))),"Check Data ▲")</f>
        <v/>
      </c>
      <c r="R200" s="38"/>
      <c r="S200" s="52"/>
      <c r="T200" s="53"/>
      <c r="U200" s="287" t="str">
        <f t="shared" si="18"/>
        <v/>
      </c>
      <c r="V200" s="287" t="str">
        <f t="shared" si="19"/>
        <v/>
      </c>
      <c r="W200" s="287" t="str">
        <f t="shared" si="20"/>
        <v/>
      </c>
      <c r="X200" s="291" t="str">
        <f>IFERROR(IF(H200="","",IF(H200-S200-T200=0&lt;0,"Error in Areas ▲",IF(S200+T200&gt;H200,"Error in Areas ▲",IF(AND(P200='G-1 All Habitats'!$X$9,Y200="Yes"),"Alternative Compensation ✓",IF(AND(P200='G-1 All Habitats'!$X$3,Y200="Yes"),"Alternative Compensation ✓",IF(AND(Y200="Pending",P200='G-1 All Habitats'!$X$3),"Bespoke compensation must be agreed ▲",IF(AND(Y200="Pending",P200='G-1 All Habitats'!$X$9),"Bespoke compensation must be agreed  ▲",IF(W200=0,0,IF(P200='G-1 All Habitats'!$X$9,"Any Loss Unacceptable ▲",Q200-U200-V200))))))))),"Check Data ▲")</f>
        <v/>
      </c>
      <c r="Y200" s="53"/>
      <c r="Z200" s="105"/>
      <c r="AA200" s="233"/>
      <c r="AB200" s="104"/>
      <c r="AC200" s="512" t="str">
        <f>IF(OR(P200="",Y200="Yes"),"",IF(P200='G-1 All Habitats'!$X$9,H200-S200-T200,"None"))</f>
        <v/>
      </c>
      <c r="AD200" s="513" t="str">
        <f>IF(P200="","",IF(P200='G-1 All Habitats'!$X$9,AC200*J200*L200*O200,"None"))</f>
        <v/>
      </c>
      <c r="AE200" s="35" t="str">
        <f t="shared" si="16"/>
        <v/>
      </c>
      <c r="AF200" s="40" t="str">
        <f t="shared" si="21"/>
        <v/>
      </c>
      <c r="AG200" s="40" t="str">
        <f t="shared" si="17"/>
        <v/>
      </c>
      <c r="AH200" s="40" t="str">
        <f>IF(I200="","",IF(#REF!&gt;0,TRUE,FALSE))</f>
        <v/>
      </c>
      <c r="AI200" s="40">
        <v>190</v>
      </c>
      <c r="AJ200" s="40"/>
      <c r="AK200" s="40" t="str">
        <f t="array" ref="AK200">IFERROR(INDEX($AI$11:$AI$259,MATCH(0,IF(TRUE=$AF$11:$AF$259,COUNTIF($AK$10:$AK199,$AI$11:$AI$259),""),0)),"")</f>
        <v/>
      </c>
      <c r="AL200" s="40" t="str">
        <f t="array" ref="AL200">IFERROR(INDEX($AI$11:$AI$259,MATCH(0,IF(TRUE=$AG$11:$AG$259,COUNTIF($AL$10:$AL199,$AI$11:$AI$259),""),0)),"")</f>
        <v/>
      </c>
      <c r="AM200" s="40" t="str">
        <f t="array" ref="AM200">IFERROR(INDEX($AI$11:$AI$259,MATCH(0,IF(TRUE=$AH$11:$AH$259,COUNTIF($AM$10:$AM199,$AI$11:$AI$259),""),0)),"")</f>
        <v/>
      </c>
      <c r="AN200" s="40"/>
      <c r="AQ200" s="35">
        <f t="shared" si="22"/>
        <v>0</v>
      </c>
      <c r="AT200" s="885" t="str">
        <f>IF(AND(OR(Y200="Yes",Y200="Pending"),P200='G-1 All Habitats'!$X$3),Q200-U200-V200,"")</f>
        <v/>
      </c>
      <c r="AV200" s="542" t="str">
        <f>IFERROR(INDEX('G-1 All Habitats'!$B$3:$B$135,MATCH(F200,'G-1 All Habitats'!$A$3:$A$135,0)),"")</f>
        <v/>
      </c>
      <c r="AW200" s="35" t="str">
        <f>IF(AV200="","",VLOOKUP(AV200,'G-1 All Habitats'!$B$1:$T$135,19,FALSE))</f>
        <v/>
      </c>
    </row>
    <row r="201" spans="1:49" ht="14.5" hidden="1" thickBot="1">
      <c r="A201" s="35" t="str">
        <f>IFERROR(INDEX('G-1 All Habitats'!$AG$3:$AG$17,MATCH(E201,'G-1 All Habitats'!$AF$3:$AF$17,0)),"")</f>
        <v/>
      </c>
      <c r="B201" s="35" t="str">
        <f>IFERROR(INDEX('G-8 Condition Look up'!$I$4:$I$135,MATCH(AV201,'G-8 Condition Look up'!$A$4:$A$135,0)),"")</f>
        <v/>
      </c>
      <c r="D201" s="225">
        <v>191</v>
      </c>
      <c r="E201" s="211"/>
      <c r="F201" s="57"/>
      <c r="G201" s="263"/>
      <c r="H201" s="51"/>
      <c r="I201" s="275" t="str">
        <f>IF(AV201="","",IF(AND(AW201="Yes",G201="No"),"Irreplaceable habitat ▲",IF(AND(AW201="No",G201="Yes"),"Cannot be Irreplaceable ▲",VLOOKUP(AV201,'G-1 All Habitats'!$B$2:$M$135,10,FALSE))))</f>
        <v/>
      </c>
      <c r="J201" s="276" t="str">
        <f>IFERROR(VLOOKUP(I201,'G-1 All Habitats'!$V$3:$W$7,2,FALSE),"")</f>
        <v/>
      </c>
      <c r="K201" s="52"/>
      <c r="L201" s="276" t="str">
        <f>IFERROR(INDEX('G-8 Condition Look up'!$A$3:$H$135,MATCH(AV201,'G-8 Condition Look up'!$A$3:$A$135,0),MATCH(K201,'G-8 Condition Look up'!$A$3:$H$3,0)),"")</f>
        <v/>
      </c>
      <c r="M201" s="52"/>
      <c r="N201" s="295" t="str">
        <f>IF(M201="","",IF(VLOOKUP(M201,'G-3 Multipliers'!$L$3:$N$6,2,FALSE)=0,"Spatial Data Missing",VLOOKUP(M201,'G-3 Multipliers'!$L$3:$N$6,2,FALSE)))</f>
        <v/>
      </c>
      <c r="O201" s="281" t="str">
        <f>IF(M201="","",IF(VLOOKUP(M201,'G-3 Multipliers'!$L$3:$N$6,3,FALSE)=0,"Spatial Data Missing ▲",VLOOKUP(M201,'G-3 Multipliers'!$L$3:$N$6,3,FALSE)))</f>
        <v/>
      </c>
      <c r="P201" s="282" t="str">
        <f>(IF(G201="Yes","Bespoke compensation likely to be required",(IFERROR(VLOOKUP(AV201,'G-1 All Habitats'!$B$2:$M$135,12,FALSE),""))))</f>
        <v/>
      </c>
      <c r="Q201" s="289" t="str">
        <f>IFERROR(IF(AND(F201&lt;&gt;"",G201=""),"Confirm irreplaceable habitat status ▲",(IF(AND(E201="Individual trees",T201&gt;0,G201="Yes"),"Error - you cannot enhance irreplaceable individual trees ▲",(IF(AND(U201="Irreplaceable habitat - no units generated ⚠",(S201+T201)&lt;H201,OR(Y201="No",Y201="")),"Any Loss Unacceptable ⚠",(IF(U201="Irreplaceable habitat - no units generated ⚠",T201*J201*L201*O201,IF(AND(P201='G-1 All Habitats'!$X$9,AC201&gt;0,S201&lt;=0,T201&lt;=0,OR(Y201="No",Y201="")),"Any Loss Unacceptable ⚠",IF(AND(P201='G-1 All Habitats'!$X$9,AC201&gt;0,S201&lt;=0,T201&lt;=0,Y201="Yes"),0,(IF(AND(P201='G-1 All Habitats'!$X$9,(S201+T201)&lt;H201,OR(Y201="No",Y201="")),"Any Loss Unacceptable ⚠",(IF(P201="","",IF(AND(P201='G-1 All Habitats'!$X$9,T201&gt;0),U201+V201,IF(AND(P201='G-1 All Habitats'!$X$9,S201&gt;0),U201+V201,H201*J201*L201*O201))))))))))))))),"Check Data ▲")</f>
        <v/>
      </c>
      <c r="R201" s="38"/>
      <c r="S201" s="52"/>
      <c r="T201" s="53"/>
      <c r="U201" s="287" t="str">
        <f t="shared" si="18"/>
        <v/>
      </c>
      <c r="V201" s="287" t="str">
        <f t="shared" si="19"/>
        <v/>
      </c>
      <c r="W201" s="287" t="str">
        <f t="shared" si="20"/>
        <v/>
      </c>
      <c r="X201" s="291" t="str">
        <f>IFERROR(IF(H201="","",IF(H201-S201-T201=0&lt;0,"Error in Areas ▲",IF(S201+T201&gt;H201,"Error in Areas ▲",IF(AND(P201='G-1 All Habitats'!$X$9,Y201="Yes"),"Alternative Compensation ✓",IF(AND(P201='G-1 All Habitats'!$X$3,Y201="Yes"),"Alternative Compensation ✓",IF(AND(Y201="Pending",P201='G-1 All Habitats'!$X$3),"Bespoke compensation must be agreed ▲",IF(AND(Y201="Pending",P201='G-1 All Habitats'!$X$9),"Bespoke compensation must be agreed  ▲",IF(W201=0,0,IF(P201='G-1 All Habitats'!$X$9,"Any Loss Unacceptable ▲",Q201-U201-V201))))))))),"Check Data ▲")</f>
        <v/>
      </c>
      <c r="Y201" s="53"/>
      <c r="Z201" s="105"/>
      <c r="AA201" s="233"/>
      <c r="AB201" s="104"/>
      <c r="AC201" s="512" t="str">
        <f>IF(OR(P201="",Y201="Yes"),"",IF(P201='G-1 All Habitats'!$X$9,H201-S201-T201,"None"))</f>
        <v/>
      </c>
      <c r="AD201" s="513" t="str">
        <f>IF(P201="","",IF(P201='G-1 All Habitats'!$X$9,AC201*J201*L201*O201,"None"))</f>
        <v/>
      </c>
      <c r="AE201" s="35" t="str">
        <f t="shared" si="16"/>
        <v/>
      </c>
      <c r="AF201" s="40" t="str">
        <f t="shared" si="21"/>
        <v/>
      </c>
      <c r="AG201" s="40" t="str">
        <f t="shared" si="17"/>
        <v/>
      </c>
      <c r="AH201" s="40" t="str">
        <f>IF(I201="","",IF(#REF!&gt;0,TRUE,FALSE))</f>
        <v/>
      </c>
      <c r="AI201" s="40">
        <v>191</v>
      </c>
      <c r="AJ201" s="40"/>
      <c r="AK201" s="40" t="str">
        <f t="array" ref="AK201">IFERROR(INDEX($AI$11:$AI$259,MATCH(0,IF(TRUE=$AF$11:$AF$259,COUNTIF($AK$10:$AK200,$AI$11:$AI$259),""),0)),"")</f>
        <v/>
      </c>
      <c r="AL201" s="40" t="str">
        <f t="array" ref="AL201">IFERROR(INDEX($AI$11:$AI$259,MATCH(0,IF(TRUE=$AG$11:$AG$259,COUNTIF($AL$10:$AL200,$AI$11:$AI$259),""),0)),"")</f>
        <v/>
      </c>
      <c r="AM201" s="40" t="str">
        <f t="array" ref="AM201">IFERROR(INDEX($AI$11:$AI$259,MATCH(0,IF(TRUE=$AH$11:$AH$259,COUNTIF($AM$10:$AM200,$AI$11:$AI$259),""),0)),"")</f>
        <v/>
      </c>
      <c r="AN201" s="40"/>
      <c r="AQ201" s="35">
        <f t="shared" si="22"/>
        <v>0</v>
      </c>
      <c r="AT201" s="885" t="str">
        <f>IF(AND(OR(Y201="Yes",Y201="Pending"),P201='G-1 All Habitats'!$X$3),Q201-U201-V201,"")</f>
        <v/>
      </c>
      <c r="AV201" s="542" t="str">
        <f>IFERROR(INDEX('G-1 All Habitats'!$B$3:$B$135,MATCH(F201,'G-1 All Habitats'!$A$3:$A$135,0)),"")</f>
        <v/>
      </c>
      <c r="AW201" s="35" t="str">
        <f>IF(AV201="","",VLOOKUP(AV201,'G-1 All Habitats'!$B$1:$T$135,19,FALSE))</f>
        <v/>
      </c>
    </row>
    <row r="202" spans="1:49" ht="14.5" hidden="1" thickBot="1">
      <c r="A202" s="35" t="str">
        <f>IFERROR(INDEX('G-1 All Habitats'!$AG$3:$AG$17,MATCH(E202,'G-1 All Habitats'!$AF$3:$AF$17,0)),"")</f>
        <v/>
      </c>
      <c r="B202" s="35" t="str">
        <f>IFERROR(INDEX('G-8 Condition Look up'!$I$4:$I$135,MATCH(AV202,'G-8 Condition Look up'!$A$4:$A$135,0)),"")</f>
        <v/>
      </c>
      <c r="D202" s="225">
        <v>192</v>
      </c>
      <c r="E202" s="211"/>
      <c r="F202" s="57"/>
      <c r="G202" s="263"/>
      <c r="H202" s="51"/>
      <c r="I202" s="275" t="str">
        <f>IF(AV202="","",IF(AND(AW202="Yes",G202="No"),"Irreplaceable habitat ▲",IF(AND(AW202="No",G202="Yes"),"Cannot be Irreplaceable ▲",VLOOKUP(AV202,'G-1 All Habitats'!$B$2:$M$135,10,FALSE))))</f>
        <v/>
      </c>
      <c r="J202" s="276" t="str">
        <f>IFERROR(VLOOKUP(I202,'G-1 All Habitats'!$V$3:$W$7,2,FALSE),"")</f>
        <v/>
      </c>
      <c r="K202" s="52"/>
      <c r="L202" s="276" t="str">
        <f>IFERROR(INDEX('G-8 Condition Look up'!$A$3:$H$135,MATCH(AV202,'G-8 Condition Look up'!$A$3:$A$135,0),MATCH(K202,'G-8 Condition Look up'!$A$3:$H$3,0)),"")</f>
        <v/>
      </c>
      <c r="M202" s="52"/>
      <c r="N202" s="295" t="str">
        <f>IF(M202="","",IF(VLOOKUP(M202,'G-3 Multipliers'!$L$3:$N$6,2,FALSE)=0,"Spatial Data Missing",VLOOKUP(M202,'G-3 Multipliers'!$L$3:$N$6,2,FALSE)))</f>
        <v/>
      </c>
      <c r="O202" s="281" t="str">
        <f>IF(M202="","",IF(VLOOKUP(M202,'G-3 Multipliers'!$L$3:$N$6,3,FALSE)=0,"Spatial Data Missing ▲",VLOOKUP(M202,'G-3 Multipliers'!$L$3:$N$6,3,FALSE)))</f>
        <v/>
      </c>
      <c r="P202" s="282" t="str">
        <f>(IF(G202="Yes","Bespoke compensation likely to be required",(IFERROR(VLOOKUP(AV202,'G-1 All Habitats'!$B$2:$M$135,12,FALSE),""))))</f>
        <v/>
      </c>
      <c r="Q202" s="289" t="str">
        <f>IFERROR(IF(AND(F202&lt;&gt;"",G202=""),"Confirm irreplaceable habitat status ▲",(IF(AND(E202="Individual trees",T202&gt;0,G202="Yes"),"Error - you cannot enhance irreplaceable individual trees ▲",(IF(AND(U202="Irreplaceable habitat - no units generated ⚠",(S202+T202)&lt;H202,OR(Y202="No",Y202="")),"Any Loss Unacceptable ⚠",(IF(U202="Irreplaceable habitat - no units generated ⚠",T202*J202*L202*O202,IF(AND(P202='G-1 All Habitats'!$X$9,AC202&gt;0,S202&lt;=0,T202&lt;=0,OR(Y202="No",Y202="")),"Any Loss Unacceptable ⚠",IF(AND(P202='G-1 All Habitats'!$X$9,AC202&gt;0,S202&lt;=0,T202&lt;=0,Y202="Yes"),0,(IF(AND(P202='G-1 All Habitats'!$X$9,(S202+T202)&lt;H202,OR(Y202="No",Y202="")),"Any Loss Unacceptable ⚠",(IF(P202="","",IF(AND(P202='G-1 All Habitats'!$X$9,T202&gt;0),U202+V202,IF(AND(P202='G-1 All Habitats'!$X$9,S202&gt;0),U202+V202,H202*J202*L202*O202))))))))))))))),"Check Data ▲")</f>
        <v/>
      </c>
      <c r="R202" s="38"/>
      <c r="S202" s="52"/>
      <c r="T202" s="53"/>
      <c r="U202" s="287" t="str">
        <f t="shared" si="18"/>
        <v/>
      </c>
      <c r="V202" s="287" t="str">
        <f t="shared" si="19"/>
        <v/>
      </c>
      <c r="W202" s="287" t="str">
        <f t="shared" si="20"/>
        <v/>
      </c>
      <c r="X202" s="291" t="str">
        <f>IFERROR(IF(H202="","",IF(H202-S202-T202=0&lt;0,"Error in Areas ▲",IF(S202+T202&gt;H202,"Error in Areas ▲",IF(AND(P202='G-1 All Habitats'!$X$9,Y202="Yes"),"Alternative Compensation ✓",IF(AND(P202='G-1 All Habitats'!$X$3,Y202="Yes"),"Alternative Compensation ✓",IF(AND(Y202="Pending",P202='G-1 All Habitats'!$X$3),"Bespoke compensation must be agreed ▲",IF(AND(Y202="Pending",P202='G-1 All Habitats'!$X$9),"Bespoke compensation must be agreed  ▲",IF(W202=0,0,IF(P202='G-1 All Habitats'!$X$9,"Any Loss Unacceptable ▲",Q202-U202-V202))))))))),"Check Data ▲")</f>
        <v/>
      </c>
      <c r="Y202" s="53"/>
      <c r="Z202" s="105"/>
      <c r="AA202" s="233"/>
      <c r="AB202" s="104"/>
      <c r="AC202" s="512" t="str">
        <f>IF(OR(P202="",Y202="Yes"),"",IF(P202='G-1 All Habitats'!$X$9,H202-S202-T202,"None"))</f>
        <v/>
      </c>
      <c r="AD202" s="513" t="str">
        <f>IF(P202="","",IF(P202='G-1 All Habitats'!$X$9,AC202*J202*L202*O202,"None"))</f>
        <v/>
      </c>
      <c r="AE202" s="35" t="str">
        <f t="shared" si="16"/>
        <v/>
      </c>
      <c r="AF202" s="40" t="str">
        <f t="shared" si="21"/>
        <v/>
      </c>
      <c r="AG202" s="40" t="str">
        <f t="shared" si="17"/>
        <v/>
      </c>
      <c r="AH202" s="40" t="str">
        <f>IF(I202="","",IF(#REF!&gt;0,TRUE,FALSE))</f>
        <v/>
      </c>
      <c r="AI202" s="40">
        <v>192</v>
      </c>
      <c r="AJ202" s="40"/>
      <c r="AK202" s="40" t="str">
        <f t="array" ref="AK202">IFERROR(INDEX($AI$11:$AI$259,MATCH(0,IF(TRUE=$AF$11:$AF$259,COUNTIF($AK$10:$AK201,$AI$11:$AI$259),""),0)),"")</f>
        <v/>
      </c>
      <c r="AL202" s="40" t="str">
        <f t="array" ref="AL202">IFERROR(INDEX($AI$11:$AI$259,MATCH(0,IF(TRUE=$AG$11:$AG$259,COUNTIF($AL$10:$AL201,$AI$11:$AI$259),""),0)),"")</f>
        <v/>
      </c>
      <c r="AM202" s="40" t="str">
        <f t="array" ref="AM202">IFERROR(INDEX($AI$11:$AI$259,MATCH(0,IF(TRUE=$AH$11:$AH$259,COUNTIF($AM$10:$AM201,$AI$11:$AI$259),""),0)),"")</f>
        <v/>
      </c>
      <c r="AN202" s="40"/>
      <c r="AQ202" s="35">
        <f t="shared" si="22"/>
        <v>0</v>
      </c>
      <c r="AT202" s="885" t="str">
        <f>IF(AND(OR(Y202="Yes",Y202="Pending"),P202='G-1 All Habitats'!$X$3),Q202-U202-V202,"")</f>
        <v/>
      </c>
      <c r="AV202" s="542" t="str">
        <f>IFERROR(INDEX('G-1 All Habitats'!$B$3:$B$135,MATCH(F202,'G-1 All Habitats'!$A$3:$A$135,0)),"")</f>
        <v/>
      </c>
      <c r="AW202" s="35" t="str">
        <f>IF(AV202="","",VLOOKUP(AV202,'G-1 All Habitats'!$B$1:$T$135,19,FALSE))</f>
        <v/>
      </c>
    </row>
    <row r="203" spans="1:49" ht="14.5" hidden="1" thickBot="1">
      <c r="A203" s="35" t="str">
        <f>IFERROR(INDEX('G-1 All Habitats'!$AG$3:$AG$17,MATCH(E203,'G-1 All Habitats'!$AF$3:$AF$17,0)),"")</f>
        <v/>
      </c>
      <c r="B203" s="35" t="str">
        <f>IFERROR(INDEX('G-8 Condition Look up'!$I$4:$I$135,MATCH(AV203,'G-8 Condition Look up'!$A$4:$A$135,0)),"")</f>
        <v/>
      </c>
      <c r="D203" s="225">
        <v>193</v>
      </c>
      <c r="E203" s="211"/>
      <c r="F203" s="57"/>
      <c r="G203" s="263"/>
      <c r="H203" s="51"/>
      <c r="I203" s="275" t="str">
        <f>IF(AV203="","",IF(AND(AW203="Yes",G203="No"),"Irreplaceable habitat ▲",IF(AND(AW203="No",G203="Yes"),"Cannot be Irreplaceable ▲",VLOOKUP(AV203,'G-1 All Habitats'!$B$2:$M$135,10,FALSE))))</f>
        <v/>
      </c>
      <c r="J203" s="276" t="str">
        <f>IFERROR(VLOOKUP(I203,'G-1 All Habitats'!$V$3:$W$7,2,FALSE),"")</f>
        <v/>
      </c>
      <c r="K203" s="52"/>
      <c r="L203" s="276" t="str">
        <f>IFERROR(INDEX('G-8 Condition Look up'!$A$3:$H$135,MATCH(AV203,'G-8 Condition Look up'!$A$3:$A$135,0),MATCH(K203,'G-8 Condition Look up'!$A$3:$H$3,0)),"")</f>
        <v/>
      </c>
      <c r="M203" s="52"/>
      <c r="N203" s="295" t="str">
        <f>IF(M203="","",IF(VLOOKUP(M203,'G-3 Multipliers'!$L$3:$N$6,2,FALSE)=0,"Spatial Data Missing",VLOOKUP(M203,'G-3 Multipliers'!$L$3:$N$6,2,FALSE)))</f>
        <v/>
      </c>
      <c r="O203" s="281" t="str">
        <f>IF(M203="","",IF(VLOOKUP(M203,'G-3 Multipliers'!$L$3:$N$6,3,FALSE)=0,"Spatial Data Missing ▲",VLOOKUP(M203,'G-3 Multipliers'!$L$3:$N$6,3,FALSE)))</f>
        <v/>
      </c>
      <c r="P203" s="282" t="str">
        <f>(IF(G203="Yes","Bespoke compensation likely to be required",(IFERROR(VLOOKUP(AV203,'G-1 All Habitats'!$B$2:$M$135,12,FALSE),""))))</f>
        <v/>
      </c>
      <c r="Q203" s="289" t="str">
        <f>IFERROR(IF(AND(F203&lt;&gt;"",G203=""),"Confirm irreplaceable habitat status ▲",(IF(AND(E203="Individual trees",T203&gt;0,G203="Yes"),"Error - you cannot enhance irreplaceable individual trees ▲",(IF(AND(U203="Irreplaceable habitat - no units generated ⚠",(S203+T203)&lt;H203,OR(Y203="No",Y203="")),"Any Loss Unacceptable ⚠",(IF(U203="Irreplaceable habitat - no units generated ⚠",T203*J203*L203*O203,IF(AND(P203='G-1 All Habitats'!$X$9,AC203&gt;0,S203&lt;=0,T203&lt;=0,OR(Y203="No",Y203="")),"Any Loss Unacceptable ⚠",IF(AND(P203='G-1 All Habitats'!$X$9,AC203&gt;0,S203&lt;=0,T203&lt;=0,Y203="Yes"),0,(IF(AND(P203='G-1 All Habitats'!$X$9,(S203+T203)&lt;H203,OR(Y203="No",Y203="")),"Any Loss Unacceptable ⚠",(IF(P203="","",IF(AND(P203='G-1 All Habitats'!$X$9,T203&gt;0),U203+V203,IF(AND(P203='G-1 All Habitats'!$X$9,S203&gt;0),U203+V203,H203*J203*L203*O203))))))))))))))),"Check Data ▲")</f>
        <v/>
      </c>
      <c r="R203" s="38"/>
      <c r="S203" s="52"/>
      <c r="T203" s="53"/>
      <c r="U203" s="287" t="str">
        <f t="shared" si="18"/>
        <v/>
      </c>
      <c r="V203" s="287" t="str">
        <f t="shared" si="19"/>
        <v/>
      </c>
      <c r="W203" s="287" t="str">
        <f t="shared" si="20"/>
        <v/>
      </c>
      <c r="X203" s="291" t="str">
        <f>IFERROR(IF(H203="","",IF(H203-S203-T203=0&lt;0,"Error in Areas ▲",IF(S203+T203&gt;H203,"Error in Areas ▲",IF(AND(P203='G-1 All Habitats'!$X$9,Y203="Yes"),"Alternative Compensation ✓",IF(AND(P203='G-1 All Habitats'!$X$3,Y203="Yes"),"Alternative Compensation ✓",IF(AND(Y203="Pending",P203='G-1 All Habitats'!$X$3),"Bespoke compensation must be agreed ▲",IF(AND(Y203="Pending",P203='G-1 All Habitats'!$X$9),"Bespoke compensation must be agreed  ▲",IF(W203=0,0,IF(P203='G-1 All Habitats'!$X$9,"Any Loss Unacceptable ▲",Q203-U203-V203))))))))),"Check Data ▲")</f>
        <v/>
      </c>
      <c r="Y203" s="53"/>
      <c r="Z203" s="105"/>
      <c r="AA203" s="233"/>
      <c r="AB203" s="104"/>
      <c r="AC203" s="512" t="str">
        <f>IF(OR(P203="",Y203="Yes"),"",IF(P203='G-1 All Habitats'!$X$9,H203-S203-T203,"None"))</f>
        <v/>
      </c>
      <c r="AD203" s="513" t="str">
        <f>IF(P203="","",IF(P203='G-1 All Habitats'!$X$9,AC203*J203*L203*O203,"None"))</f>
        <v/>
      </c>
      <c r="AE203" s="35" t="str">
        <f t="shared" si="23" ref="AE203:AE258">IF(Y203="Yes","Yes ✓",IF(Y203="No","No ▲",""))</f>
        <v/>
      </c>
      <c r="AF203" s="40" t="str">
        <f t="shared" si="21"/>
        <v/>
      </c>
      <c r="AG203" s="40" t="str">
        <f t="shared" si="24" ref="AG203:AG258">IF(H203="","",IF(T203&gt;0,TRUE,FALSE))</f>
        <v/>
      </c>
      <c r="AH203" s="40" t="str">
        <f>IF(I203="","",IF(#REF!&gt;0,TRUE,FALSE))</f>
        <v/>
      </c>
      <c r="AI203" s="40">
        <v>193</v>
      </c>
      <c r="AJ203" s="40"/>
      <c r="AK203" s="40" t="str">
        <f t="array" ref="AK203">IFERROR(INDEX($AI$11:$AI$259,MATCH(0,IF(TRUE=$AF$11:$AF$259,COUNTIF($AK$10:$AK202,$AI$11:$AI$259),""),0)),"")</f>
        <v/>
      </c>
      <c r="AL203" s="40" t="str">
        <f t="array" ref="AL203">IFERROR(INDEX($AI$11:$AI$259,MATCH(0,IF(TRUE=$AG$11:$AG$259,COUNTIF($AL$10:$AL202,$AI$11:$AI$259),""),0)),"")</f>
        <v/>
      </c>
      <c r="AM203" s="40" t="str">
        <f t="array" ref="AM203">IFERROR(INDEX($AI$11:$AI$259,MATCH(0,IF(TRUE=$AH$11:$AH$259,COUNTIF($AM$10:$AM202,$AI$11:$AI$259),""),0)),"")</f>
        <v/>
      </c>
      <c r="AN203" s="40"/>
      <c r="AQ203" s="35">
        <f t="shared" si="22"/>
        <v>0</v>
      </c>
      <c r="AT203" s="885" t="str">
        <f>IF(AND(OR(Y203="Yes",Y203="Pending"),P203='G-1 All Habitats'!$X$3),Q203-U203-V203,"")</f>
        <v/>
      </c>
      <c r="AV203" s="542" t="str">
        <f>IFERROR(INDEX('G-1 All Habitats'!$B$3:$B$135,MATCH(F203,'G-1 All Habitats'!$A$3:$A$135,0)),"")</f>
        <v/>
      </c>
      <c r="AW203" s="35" t="str">
        <f>IF(AV203="","",VLOOKUP(AV203,'G-1 All Habitats'!$B$1:$T$135,19,FALSE))</f>
        <v/>
      </c>
    </row>
    <row r="204" spans="1:49" ht="14.5" hidden="1" thickBot="1">
      <c r="A204" s="35" t="str">
        <f>IFERROR(INDEX('G-1 All Habitats'!$AG$3:$AG$17,MATCH(E204,'G-1 All Habitats'!$AF$3:$AF$17,0)),"")</f>
        <v/>
      </c>
      <c r="B204" s="35" t="str">
        <f>IFERROR(INDEX('G-8 Condition Look up'!$I$4:$I$135,MATCH(AV204,'G-8 Condition Look up'!$A$4:$A$135,0)),"")</f>
        <v/>
      </c>
      <c r="D204" s="225">
        <v>194</v>
      </c>
      <c r="E204" s="211"/>
      <c r="F204" s="57"/>
      <c r="G204" s="263"/>
      <c r="H204" s="51"/>
      <c r="I204" s="275" t="str">
        <f>IF(AV204="","",IF(AND(AW204="Yes",G204="No"),"Irreplaceable habitat ▲",IF(AND(AW204="No",G204="Yes"),"Cannot be Irreplaceable ▲",VLOOKUP(AV204,'G-1 All Habitats'!$B$2:$M$135,10,FALSE))))</f>
        <v/>
      </c>
      <c r="J204" s="276" t="str">
        <f>IFERROR(VLOOKUP(I204,'G-1 All Habitats'!$V$3:$W$7,2,FALSE),"")</f>
        <v/>
      </c>
      <c r="K204" s="52"/>
      <c r="L204" s="276" t="str">
        <f>IFERROR(INDEX('G-8 Condition Look up'!$A$3:$H$135,MATCH(AV204,'G-8 Condition Look up'!$A$3:$A$135,0),MATCH(K204,'G-8 Condition Look up'!$A$3:$H$3,0)),"")</f>
        <v/>
      </c>
      <c r="M204" s="52"/>
      <c r="N204" s="295" t="str">
        <f>IF(M204="","",IF(VLOOKUP(M204,'G-3 Multipliers'!$L$3:$N$6,2,FALSE)=0,"Spatial Data Missing",VLOOKUP(M204,'G-3 Multipliers'!$L$3:$N$6,2,FALSE)))</f>
        <v/>
      </c>
      <c r="O204" s="281" t="str">
        <f>IF(M204="","",IF(VLOOKUP(M204,'G-3 Multipliers'!$L$3:$N$6,3,FALSE)=0,"Spatial Data Missing ▲",VLOOKUP(M204,'G-3 Multipliers'!$L$3:$N$6,3,FALSE)))</f>
        <v/>
      </c>
      <c r="P204" s="282" t="str">
        <f>(IF(G204="Yes","Bespoke compensation likely to be required",(IFERROR(VLOOKUP(AV204,'G-1 All Habitats'!$B$2:$M$135,12,FALSE),""))))</f>
        <v/>
      </c>
      <c r="Q204" s="289" t="str">
        <f>IFERROR(IF(AND(F204&lt;&gt;"",G204=""),"Confirm irreplaceable habitat status ▲",(IF(AND(E204="Individual trees",T204&gt;0,G204="Yes"),"Error - you cannot enhance irreplaceable individual trees ▲",(IF(AND(U204="Irreplaceable habitat - no units generated ⚠",(S204+T204)&lt;H204,OR(Y204="No",Y204="")),"Any Loss Unacceptable ⚠",(IF(U204="Irreplaceable habitat - no units generated ⚠",T204*J204*L204*O204,IF(AND(P204='G-1 All Habitats'!$X$9,AC204&gt;0,S204&lt;=0,T204&lt;=0,OR(Y204="No",Y204="")),"Any Loss Unacceptable ⚠",IF(AND(P204='G-1 All Habitats'!$X$9,AC204&gt;0,S204&lt;=0,T204&lt;=0,Y204="Yes"),0,(IF(AND(P204='G-1 All Habitats'!$X$9,(S204+T204)&lt;H204,OR(Y204="No",Y204="")),"Any Loss Unacceptable ⚠",(IF(P204="","",IF(AND(P204='G-1 All Habitats'!$X$9,T204&gt;0),U204+V204,IF(AND(P204='G-1 All Habitats'!$X$9,S204&gt;0),U204+V204,H204*J204*L204*O204))))))))))))))),"Check Data ▲")</f>
        <v/>
      </c>
      <c r="R204" s="38"/>
      <c r="S204" s="52"/>
      <c r="T204" s="53"/>
      <c r="U204" s="287" t="str">
        <f t="shared" si="25" ref="U204:U258">IFERROR(IF(G204="Yes","Irreplaceable habitat - no units generated ⚠",(S204*J204*L204*O204)),"")</f>
        <v/>
      </c>
      <c r="V204" s="287" t="str">
        <f t="shared" si="26" ref="V204:V258">IFERROR(IF(AND(E204="Individual trees",T204&gt;0,G204="Yes"),"Error - ▲",(T204*J204*L204*O204)),"")</f>
        <v/>
      </c>
      <c r="W204" s="287" t="str">
        <f t="shared" si="27" ref="W204:W258">IF(E204="","",IF(H204&lt;S204+T204,"Error in Areas ▲",H204-S204-T204))</f>
        <v/>
      </c>
      <c r="X204" s="291" t="str">
        <f>IFERROR(IF(H204="","",IF(H204-S204-T204=0&lt;0,"Error in Areas ▲",IF(S204+T204&gt;H204,"Error in Areas ▲",IF(AND(P204='G-1 All Habitats'!$X$9,Y204="Yes"),"Alternative Compensation ✓",IF(AND(P204='G-1 All Habitats'!$X$3,Y204="Yes"),"Alternative Compensation ✓",IF(AND(Y204="Pending",P204='G-1 All Habitats'!$X$3),"Bespoke compensation must be agreed ▲",IF(AND(Y204="Pending",P204='G-1 All Habitats'!$X$9),"Bespoke compensation must be agreed  ▲",IF(W204=0,0,IF(P204='G-1 All Habitats'!$X$9,"Any Loss Unacceptable ▲",Q204-U204-V204))))))))),"Check Data ▲")</f>
        <v/>
      </c>
      <c r="Y204" s="53"/>
      <c r="Z204" s="105"/>
      <c r="AA204" s="233"/>
      <c r="AB204" s="104"/>
      <c r="AC204" s="512" t="str">
        <f>IF(OR(P204="",Y204="Yes"),"",IF(P204='G-1 All Habitats'!$X$9,H204-S204-T204,"None"))</f>
        <v/>
      </c>
      <c r="AD204" s="513" t="str">
        <f>IF(P204="","",IF(P204='G-1 All Habitats'!$X$9,AC204*J204*L204*O204,"None"))</f>
        <v/>
      </c>
      <c r="AE204" s="35" t="str">
        <f t="shared" si="23"/>
        <v/>
      </c>
      <c r="AF204" s="40" t="str">
        <f t="shared" si="28" ref="AF204:AF258">IF(AV204="","",IF(S204&gt;0,TRUE,FALSE))</f>
        <v/>
      </c>
      <c r="AG204" s="40" t="str">
        <f t="shared" si="24"/>
        <v/>
      </c>
      <c r="AH204" s="40" t="str">
        <f>IF(I204="","",IF(#REF!&gt;0,TRUE,FALSE))</f>
        <v/>
      </c>
      <c r="AI204" s="40">
        <v>194</v>
      </c>
      <c r="AJ204" s="40"/>
      <c r="AK204" s="40" t="str">
        <f t="array" ref="AK204">IFERROR(INDEX($AI$11:$AI$259,MATCH(0,IF(TRUE=$AF$11:$AF$259,COUNTIF($AK$10:$AK203,$AI$11:$AI$259),""),0)),"")</f>
        <v/>
      </c>
      <c r="AL204" s="40" t="str">
        <f t="array" ref="AL204">IFERROR(INDEX($AI$11:$AI$259,MATCH(0,IF(TRUE=$AG$11:$AG$259,COUNTIF($AL$10:$AL203,$AI$11:$AI$259),""),0)),"")</f>
        <v/>
      </c>
      <c r="AM204" s="40" t="str">
        <f t="array" ref="AM204">IFERROR(INDEX($AI$11:$AI$259,MATCH(0,IF(TRUE=$AH$11:$AH$259,COUNTIF($AM$10:$AM203,$AI$11:$AI$259),""),0)),"")</f>
        <v/>
      </c>
      <c r="AN204" s="40"/>
      <c r="AQ204" s="35">
        <f t="shared" si="29" ref="AQ204:AQ258">IF(X204="Any Loss Unacceptable ▲",1,0)</f>
        <v>0</v>
      </c>
      <c r="AT204" s="885" t="str">
        <f>IF(AND(OR(Y204="Yes",Y204="Pending"),P204='G-1 All Habitats'!$X$3),Q204-U204-V204,"")</f>
        <v/>
      </c>
      <c r="AV204" s="542" t="str">
        <f>IFERROR(INDEX('G-1 All Habitats'!$B$3:$B$135,MATCH(F204,'G-1 All Habitats'!$A$3:$A$135,0)),"")</f>
        <v/>
      </c>
      <c r="AW204" s="35" t="str">
        <f>IF(AV204="","",VLOOKUP(AV204,'G-1 All Habitats'!$B$1:$T$135,19,FALSE))</f>
        <v/>
      </c>
    </row>
    <row r="205" spans="1:49" ht="14.5" hidden="1" thickBot="1">
      <c r="A205" s="35" t="str">
        <f>IFERROR(INDEX('G-1 All Habitats'!$AG$3:$AG$17,MATCH(E205,'G-1 All Habitats'!$AF$3:$AF$17,0)),"")</f>
        <v/>
      </c>
      <c r="B205" s="35" t="str">
        <f>IFERROR(INDEX('G-8 Condition Look up'!$I$4:$I$135,MATCH(AV205,'G-8 Condition Look up'!$A$4:$A$135,0)),"")</f>
        <v/>
      </c>
      <c r="D205" s="225">
        <v>195</v>
      </c>
      <c r="E205" s="211"/>
      <c r="F205" s="57"/>
      <c r="G205" s="263"/>
      <c r="H205" s="51"/>
      <c r="I205" s="275" t="str">
        <f>IF(AV205="","",IF(AND(AW205="Yes",G205="No"),"Irreplaceable habitat ▲",IF(AND(AW205="No",G205="Yes"),"Cannot be Irreplaceable ▲",VLOOKUP(AV205,'G-1 All Habitats'!$B$2:$M$135,10,FALSE))))</f>
        <v/>
      </c>
      <c r="J205" s="276" t="str">
        <f>IFERROR(VLOOKUP(I205,'G-1 All Habitats'!$V$3:$W$7,2,FALSE),"")</f>
        <v/>
      </c>
      <c r="K205" s="52"/>
      <c r="L205" s="276" t="str">
        <f>IFERROR(INDEX('G-8 Condition Look up'!$A$3:$H$135,MATCH(AV205,'G-8 Condition Look up'!$A$3:$A$135,0),MATCH(K205,'G-8 Condition Look up'!$A$3:$H$3,0)),"")</f>
        <v/>
      </c>
      <c r="M205" s="52"/>
      <c r="N205" s="295" t="str">
        <f>IF(M205="","",IF(VLOOKUP(M205,'G-3 Multipliers'!$L$3:$N$6,2,FALSE)=0,"Spatial Data Missing",VLOOKUP(M205,'G-3 Multipliers'!$L$3:$N$6,2,FALSE)))</f>
        <v/>
      </c>
      <c r="O205" s="281" t="str">
        <f>IF(M205="","",IF(VLOOKUP(M205,'G-3 Multipliers'!$L$3:$N$6,3,FALSE)=0,"Spatial Data Missing ▲",VLOOKUP(M205,'G-3 Multipliers'!$L$3:$N$6,3,FALSE)))</f>
        <v/>
      </c>
      <c r="P205" s="282" t="str">
        <f>(IF(G205="Yes","Bespoke compensation likely to be required",(IFERROR(VLOOKUP(AV205,'G-1 All Habitats'!$B$2:$M$135,12,FALSE),""))))</f>
        <v/>
      </c>
      <c r="Q205" s="289" t="str">
        <f>IFERROR(IF(AND(F205&lt;&gt;"",G205=""),"Confirm irreplaceable habitat status ▲",(IF(AND(E205="Individual trees",T205&gt;0,G205="Yes"),"Error - you cannot enhance irreplaceable individual trees ▲",(IF(AND(U205="Irreplaceable habitat - no units generated ⚠",(S205+T205)&lt;H205,OR(Y205="No",Y205="")),"Any Loss Unacceptable ⚠",(IF(U205="Irreplaceable habitat - no units generated ⚠",T205*J205*L205*O205,IF(AND(P205='G-1 All Habitats'!$X$9,AC205&gt;0,S205&lt;=0,T205&lt;=0,OR(Y205="No",Y205="")),"Any Loss Unacceptable ⚠",IF(AND(P205='G-1 All Habitats'!$X$9,AC205&gt;0,S205&lt;=0,T205&lt;=0,Y205="Yes"),0,(IF(AND(P205='G-1 All Habitats'!$X$9,(S205+T205)&lt;H205,OR(Y205="No",Y205="")),"Any Loss Unacceptable ⚠",(IF(P205="","",IF(AND(P205='G-1 All Habitats'!$X$9,T205&gt;0),U205+V205,IF(AND(P205='G-1 All Habitats'!$X$9,S205&gt;0),U205+V205,H205*J205*L205*O205))))))))))))))),"Check Data ▲")</f>
        <v/>
      </c>
      <c r="R205" s="38"/>
      <c r="S205" s="52"/>
      <c r="T205" s="53"/>
      <c r="U205" s="287" t="str">
        <f t="shared" si="25"/>
        <v/>
      </c>
      <c r="V205" s="287" t="str">
        <f t="shared" si="26"/>
        <v/>
      </c>
      <c r="W205" s="287" t="str">
        <f t="shared" si="27"/>
        <v/>
      </c>
      <c r="X205" s="291" t="str">
        <f>IFERROR(IF(H205="","",IF(H205-S205-T205=0&lt;0,"Error in Areas ▲",IF(S205+T205&gt;H205,"Error in Areas ▲",IF(AND(P205='G-1 All Habitats'!$X$9,Y205="Yes"),"Alternative Compensation ✓",IF(AND(P205='G-1 All Habitats'!$X$3,Y205="Yes"),"Alternative Compensation ✓",IF(AND(Y205="Pending",P205='G-1 All Habitats'!$X$3),"Bespoke compensation must be agreed ▲",IF(AND(Y205="Pending",P205='G-1 All Habitats'!$X$9),"Bespoke compensation must be agreed  ▲",IF(W205=0,0,IF(P205='G-1 All Habitats'!$X$9,"Any Loss Unacceptable ▲",Q205-U205-V205))))))))),"Check Data ▲")</f>
        <v/>
      </c>
      <c r="Y205" s="53"/>
      <c r="Z205" s="105"/>
      <c r="AA205" s="233"/>
      <c r="AB205" s="104"/>
      <c r="AC205" s="512" t="str">
        <f>IF(OR(P205="",Y205="Yes"),"",IF(P205='G-1 All Habitats'!$X$9,H205-S205-T205,"None"))</f>
        <v/>
      </c>
      <c r="AD205" s="513" t="str">
        <f>IF(P205="","",IF(P205='G-1 All Habitats'!$X$9,AC205*J205*L205*O205,"None"))</f>
        <v/>
      </c>
      <c r="AE205" s="35" t="str">
        <f t="shared" si="23"/>
        <v/>
      </c>
      <c r="AF205" s="40" t="str">
        <f t="shared" si="28"/>
        <v/>
      </c>
      <c r="AG205" s="40" t="str">
        <f t="shared" si="24"/>
        <v/>
      </c>
      <c r="AH205" s="40" t="str">
        <f>IF(I205="","",IF(#REF!&gt;0,TRUE,FALSE))</f>
        <v/>
      </c>
      <c r="AI205" s="40">
        <v>195</v>
      </c>
      <c r="AJ205" s="40"/>
      <c r="AK205" s="40" t="str">
        <f t="array" ref="AK205">IFERROR(INDEX($AI$11:$AI$259,MATCH(0,IF(TRUE=$AF$11:$AF$259,COUNTIF($AK$10:$AK204,$AI$11:$AI$259),""),0)),"")</f>
        <v/>
      </c>
      <c r="AL205" s="40" t="str">
        <f t="array" ref="AL205">IFERROR(INDEX($AI$11:$AI$259,MATCH(0,IF(TRUE=$AG$11:$AG$259,COUNTIF($AL$10:$AL204,$AI$11:$AI$259),""),0)),"")</f>
        <v/>
      </c>
      <c r="AM205" s="40" t="str">
        <f t="array" ref="AM205">IFERROR(INDEX($AI$11:$AI$259,MATCH(0,IF(TRUE=$AH$11:$AH$259,COUNTIF($AM$10:$AM204,$AI$11:$AI$259),""),0)),"")</f>
        <v/>
      </c>
      <c r="AN205" s="40"/>
      <c r="AQ205" s="35">
        <f t="shared" si="29"/>
        <v>0</v>
      </c>
      <c r="AT205" s="885" t="str">
        <f>IF(AND(OR(Y205="Yes",Y205="Pending"),P205='G-1 All Habitats'!$X$3),Q205-U205-V205,"")</f>
        <v/>
      </c>
      <c r="AV205" s="542" t="str">
        <f>IFERROR(INDEX('G-1 All Habitats'!$B$3:$B$135,MATCH(F205,'G-1 All Habitats'!$A$3:$A$135,0)),"")</f>
        <v/>
      </c>
      <c r="AW205" s="35" t="str">
        <f>IF(AV205="","",VLOOKUP(AV205,'G-1 All Habitats'!$B$1:$T$135,19,FALSE))</f>
        <v/>
      </c>
    </row>
    <row r="206" spans="1:49" ht="14.5" hidden="1" thickBot="1">
      <c r="A206" s="35" t="str">
        <f>IFERROR(INDEX('G-1 All Habitats'!$AG$3:$AG$17,MATCH(E206,'G-1 All Habitats'!$AF$3:$AF$17,0)),"")</f>
        <v/>
      </c>
      <c r="B206" s="35" t="str">
        <f>IFERROR(INDEX('G-8 Condition Look up'!$I$4:$I$135,MATCH(AV206,'G-8 Condition Look up'!$A$4:$A$135,0)),"")</f>
        <v/>
      </c>
      <c r="D206" s="225">
        <v>196</v>
      </c>
      <c r="E206" s="211"/>
      <c r="F206" s="57"/>
      <c r="G206" s="263"/>
      <c r="H206" s="51"/>
      <c r="I206" s="275" t="str">
        <f>IF(AV206="","",IF(AND(AW206="Yes",G206="No"),"Irreplaceable habitat ▲",IF(AND(AW206="No",G206="Yes"),"Cannot be Irreplaceable ▲",VLOOKUP(AV206,'G-1 All Habitats'!$B$2:$M$135,10,FALSE))))</f>
        <v/>
      </c>
      <c r="J206" s="276" t="str">
        <f>IFERROR(VLOOKUP(I206,'G-1 All Habitats'!$V$3:$W$7,2,FALSE),"")</f>
        <v/>
      </c>
      <c r="K206" s="52"/>
      <c r="L206" s="276" t="str">
        <f>IFERROR(INDEX('G-8 Condition Look up'!$A$3:$H$135,MATCH(AV206,'G-8 Condition Look up'!$A$3:$A$135,0),MATCH(K206,'G-8 Condition Look up'!$A$3:$H$3,0)),"")</f>
        <v/>
      </c>
      <c r="M206" s="52"/>
      <c r="N206" s="295" t="str">
        <f>IF(M206="","",IF(VLOOKUP(M206,'G-3 Multipliers'!$L$3:$N$6,2,FALSE)=0,"Spatial Data Missing",VLOOKUP(M206,'G-3 Multipliers'!$L$3:$N$6,2,FALSE)))</f>
        <v/>
      </c>
      <c r="O206" s="281" t="str">
        <f>IF(M206="","",IF(VLOOKUP(M206,'G-3 Multipliers'!$L$3:$N$6,3,FALSE)=0,"Spatial Data Missing ▲",VLOOKUP(M206,'G-3 Multipliers'!$L$3:$N$6,3,FALSE)))</f>
        <v/>
      </c>
      <c r="P206" s="282" t="str">
        <f>(IF(G206="Yes","Bespoke compensation likely to be required",(IFERROR(VLOOKUP(AV206,'G-1 All Habitats'!$B$2:$M$135,12,FALSE),""))))</f>
        <v/>
      </c>
      <c r="Q206" s="289" t="str">
        <f>IFERROR(IF(AND(F206&lt;&gt;"",G206=""),"Confirm irreplaceable habitat status ▲",(IF(AND(E206="Individual trees",T206&gt;0,G206="Yes"),"Error - you cannot enhance irreplaceable individual trees ▲",(IF(AND(U206="Irreplaceable habitat - no units generated ⚠",(S206+T206)&lt;H206,OR(Y206="No",Y206="")),"Any Loss Unacceptable ⚠",(IF(U206="Irreplaceable habitat - no units generated ⚠",T206*J206*L206*O206,IF(AND(P206='G-1 All Habitats'!$X$9,AC206&gt;0,S206&lt;=0,T206&lt;=0,OR(Y206="No",Y206="")),"Any Loss Unacceptable ⚠",IF(AND(P206='G-1 All Habitats'!$X$9,AC206&gt;0,S206&lt;=0,T206&lt;=0,Y206="Yes"),0,(IF(AND(P206='G-1 All Habitats'!$X$9,(S206+T206)&lt;H206,OR(Y206="No",Y206="")),"Any Loss Unacceptable ⚠",(IF(P206="","",IF(AND(P206='G-1 All Habitats'!$X$9,T206&gt;0),U206+V206,IF(AND(P206='G-1 All Habitats'!$X$9,S206&gt;0),U206+V206,H206*J206*L206*O206))))))))))))))),"Check Data ▲")</f>
        <v/>
      </c>
      <c r="R206" s="38"/>
      <c r="S206" s="52"/>
      <c r="T206" s="53"/>
      <c r="U206" s="287" t="str">
        <f t="shared" si="25"/>
        <v/>
      </c>
      <c r="V206" s="287" t="str">
        <f t="shared" si="26"/>
        <v/>
      </c>
      <c r="W206" s="287" t="str">
        <f t="shared" si="27"/>
        <v/>
      </c>
      <c r="X206" s="291" t="str">
        <f>IFERROR(IF(H206="","",IF(H206-S206-T206=0&lt;0,"Error in Areas ▲",IF(S206+T206&gt;H206,"Error in Areas ▲",IF(AND(P206='G-1 All Habitats'!$X$9,Y206="Yes"),"Alternative Compensation ✓",IF(AND(P206='G-1 All Habitats'!$X$3,Y206="Yes"),"Alternative Compensation ✓",IF(AND(Y206="Pending",P206='G-1 All Habitats'!$X$3),"Bespoke compensation must be agreed ▲",IF(AND(Y206="Pending",P206='G-1 All Habitats'!$X$9),"Bespoke compensation must be agreed  ▲",IF(W206=0,0,IF(P206='G-1 All Habitats'!$X$9,"Any Loss Unacceptable ▲",Q206-U206-V206))))))))),"Check Data ▲")</f>
        <v/>
      </c>
      <c r="Y206" s="53"/>
      <c r="Z206" s="105"/>
      <c r="AA206" s="233"/>
      <c r="AB206" s="104"/>
      <c r="AC206" s="512" t="str">
        <f>IF(OR(P206="",Y206="Yes"),"",IF(P206='G-1 All Habitats'!$X$9,H206-S206-T206,"None"))</f>
        <v/>
      </c>
      <c r="AD206" s="513" t="str">
        <f>IF(P206="","",IF(P206='G-1 All Habitats'!$X$9,AC206*J206*L206*O206,"None"))</f>
        <v/>
      </c>
      <c r="AE206" s="35" t="str">
        <f t="shared" si="23"/>
        <v/>
      </c>
      <c r="AF206" s="40" t="str">
        <f t="shared" si="28"/>
        <v/>
      </c>
      <c r="AG206" s="40" t="str">
        <f t="shared" si="24"/>
        <v/>
      </c>
      <c r="AH206" s="40" t="str">
        <f>IF(I206="","",IF(#REF!&gt;0,TRUE,FALSE))</f>
        <v/>
      </c>
      <c r="AI206" s="40">
        <v>196</v>
      </c>
      <c r="AJ206" s="40"/>
      <c r="AK206" s="40" t="str">
        <f t="array" ref="AK206">IFERROR(INDEX($AI$11:$AI$259,MATCH(0,IF(TRUE=$AF$11:$AF$259,COUNTIF($AK$10:$AK205,$AI$11:$AI$259),""),0)),"")</f>
        <v/>
      </c>
      <c r="AL206" s="40" t="str">
        <f t="array" ref="AL206">IFERROR(INDEX($AI$11:$AI$259,MATCH(0,IF(TRUE=$AG$11:$AG$259,COUNTIF($AL$10:$AL205,$AI$11:$AI$259),""),0)),"")</f>
        <v/>
      </c>
      <c r="AM206" s="40" t="str">
        <f t="array" ref="AM206">IFERROR(INDEX($AI$11:$AI$259,MATCH(0,IF(TRUE=$AH$11:$AH$259,COUNTIF($AM$10:$AM205,$AI$11:$AI$259),""),0)),"")</f>
        <v/>
      </c>
      <c r="AN206" s="40"/>
      <c r="AQ206" s="35">
        <f t="shared" si="29"/>
        <v>0</v>
      </c>
      <c r="AT206" s="885" t="str">
        <f>IF(AND(OR(Y206="Yes",Y206="Pending"),P206='G-1 All Habitats'!$X$3),Q206-U206-V206,"")</f>
        <v/>
      </c>
      <c r="AV206" s="542" t="str">
        <f>IFERROR(INDEX('G-1 All Habitats'!$B$3:$B$135,MATCH(F206,'G-1 All Habitats'!$A$3:$A$135,0)),"")</f>
        <v/>
      </c>
      <c r="AW206" s="35" t="str">
        <f>IF(AV206="","",VLOOKUP(AV206,'G-1 All Habitats'!$B$1:$T$135,19,FALSE))</f>
        <v/>
      </c>
    </row>
    <row r="207" spans="1:49" ht="14.5" hidden="1" thickBot="1">
      <c r="A207" s="35" t="str">
        <f>IFERROR(INDEX('G-1 All Habitats'!$AG$3:$AG$17,MATCH(E207,'G-1 All Habitats'!$AF$3:$AF$17,0)),"")</f>
        <v/>
      </c>
      <c r="B207" s="35" t="str">
        <f>IFERROR(INDEX('G-8 Condition Look up'!$I$4:$I$135,MATCH(AV207,'G-8 Condition Look up'!$A$4:$A$135,0)),"")</f>
        <v/>
      </c>
      <c r="D207" s="225">
        <v>197</v>
      </c>
      <c r="E207" s="211"/>
      <c r="F207" s="57"/>
      <c r="G207" s="263"/>
      <c r="H207" s="51"/>
      <c r="I207" s="275" t="str">
        <f>IF(AV207="","",IF(AND(AW207="Yes",G207="No"),"Irreplaceable habitat ▲",IF(AND(AW207="No",G207="Yes"),"Cannot be Irreplaceable ▲",VLOOKUP(AV207,'G-1 All Habitats'!$B$2:$M$135,10,FALSE))))</f>
        <v/>
      </c>
      <c r="J207" s="276" t="str">
        <f>IFERROR(VLOOKUP(I207,'G-1 All Habitats'!$V$3:$W$7,2,FALSE),"")</f>
        <v/>
      </c>
      <c r="K207" s="52"/>
      <c r="L207" s="276" t="str">
        <f>IFERROR(INDEX('G-8 Condition Look up'!$A$3:$H$135,MATCH(AV207,'G-8 Condition Look up'!$A$3:$A$135,0),MATCH(K207,'G-8 Condition Look up'!$A$3:$H$3,0)),"")</f>
        <v/>
      </c>
      <c r="M207" s="52"/>
      <c r="N207" s="295" t="str">
        <f>IF(M207="","",IF(VLOOKUP(M207,'G-3 Multipliers'!$L$3:$N$6,2,FALSE)=0,"Spatial Data Missing",VLOOKUP(M207,'G-3 Multipliers'!$L$3:$N$6,2,FALSE)))</f>
        <v/>
      </c>
      <c r="O207" s="281" t="str">
        <f>IF(M207="","",IF(VLOOKUP(M207,'G-3 Multipliers'!$L$3:$N$6,3,FALSE)=0,"Spatial Data Missing ▲",VLOOKUP(M207,'G-3 Multipliers'!$L$3:$N$6,3,FALSE)))</f>
        <v/>
      </c>
      <c r="P207" s="282" t="str">
        <f>(IF(G207="Yes","Bespoke compensation likely to be required",(IFERROR(VLOOKUP(AV207,'G-1 All Habitats'!$B$2:$M$135,12,FALSE),""))))</f>
        <v/>
      </c>
      <c r="Q207" s="289" t="str">
        <f>IFERROR(IF(AND(F207&lt;&gt;"",G207=""),"Confirm irreplaceable habitat status ▲",(IF(AND(E207="Individual trees",T207&gt;0,G207="Yes"),"Error - you cannot enhance irreplaceable individual trees ▲",(IF(AND(U207="Irreplaceable habitat - no units generated ⚠",(S207+T207)&lt;H207,OR(Y207="No",Y207="")),"Any Loss Unacceptable ⚠",(IF(U207="Irreplaceable habitat - no units generated ⚠",T207*J207*L207*O207,IF(AND(P207='G-1 All Habitats'!$X$9,AC207&gt;0,S207&lt;=0,T207&lt;=0,OR(Y207="No",Y207="")),"Any Loss Unacceptable ⚠",IF(AND(P207='G-1 All Habitats'!$X$9,AC207&gt;0,S207&lt;=0,T207&lt;=0,Y207="Yes"),0,(IF(AND(P207='G-1 All Habitats'!$X$9,(S207+T207)&lt;H207,OR(Y207="No",Y207="")),"Any Loss Unacceptable ⚠",(IF(P207="","",IF(AND(P207='G-1 All Habitats'!$X$9,T207&gt;0),U207+V207,IF(AND(P207='G-1 All Habitats'!$X$9,S207&gt;0),U207+V207,H207*J207*L207*O207))))))))))))))),"Check Data ▲")</f>
        <v/>
      </c>
      <c r="R207" s="38"/>
      <c r="S207" s="52"/>
      <c r="T207" s="53"/>
      <c r="U207" s="287" t="str">
        <f t="shared" si="25"/>
        <v/>
      </c>
      <c r="V207" s="287" t="str">
        <f t="shared" si="26"/>
        <v/>
      </c>
      <c r="W207" s="287" t="str">
        <f t="shared" si="27"/>
        <v/>
      </c>
      <c r="X207" s="291" t="str">
        <f>IFERROR(IF(H207="","",IF(H207-S207-T207=0&lt;0,"Error in Areas ▲",IF(S207+T207&gt;H207,"Error in Areas ▲",IF(AND(P207='G-1 All Habitats'!$X$9,Y207="Yes"),"Alternative Compensation ✓",IF(AND(P207='G-1 All Habitats'!$X$3,Y207="Yes"),"Alternative Compensation ✓",IF(AND(Y207="Pending",P207='G-1 All Habitats'!$X$3),"Bespoke compensation must be agreed ▲",IF(AND(Y207="Pending",P207='G-1 All Habitats'!$X$9),"Bespoke compensation must be agreed  ▲",IF(W207=0,0,IF(P207='G-1 All Habitats'!$X$9,"Any Loss Unacceptable ▲",Q207-U207-V207))))))))),"Check Data ▲")</f>
        <v/>
      </c>
      <c r="Y207" s="53"/>
      <c r="Z207" s="105"/>
      <c r="AA207" s="233"/>
      <c r="AB207" s="104"/>
      <c r="AC207" s="512" t="str">
        <f>IF(OR(P207="",Y207="Yes"),"",IF(P207='G-1 All Habitats'!$X$9,H207-S207-T207,"None"))</f>
        <v/>
      </c>
      <c r="AD207" s="513" t="str">
        <f>IF(P207="","",IF(P207='G-1 All Habitats'!$X$9,AC207*J207*L207*O207,"None"))</f>
        <v/>
      </c>
      <c r="AE207" s="35" t="str">
        <f t="shared" si="23"/>
        <v/>
      </c>
      <c r="AF207" s="40" t="str">
        <f t="shared" si="28"/>
        <v/>
      </c>
      <c r="AG207" s="40" t="str">
        <f t="shared" si="24"/>
        <v/>
      </c>
      <c r="AH207" s="40" t="str">
        <f>IF(I207="","",IF(#REF!&gt;0,TRUE,FALSE))</f>
        <v/>
      </c>
      <c r="AI207" s="40">
        <v>197</v>
      </c>
      <c r="AJ207" s="40"/>
      <c r="AK207" s="40" t="str">
        <f t="array" ref="AK207">IFERROR(INDEX($AI$11:$AI$259,MATCH(0,IF(TRUE=$AF$11:$AF$259,COUNTIF($AK$10:$AK206,$AI$11:$AI$259),""),0)),"")</f>
        <v/>
      </c>
      <c r="AL207" s="40" t="str">
        <f t="array" ref="AL207">IFERROR(INDEX($AI$11:$AI$259,MATCH(0,IF(TRUE=$AG$11:$AG$259,COUNTIF($AL$10:$AL206,$AI$11:$AI$259),""),0)),"")</f>
        <v/>
      </c>
      <c r="AM207" s="40" t="str">
        <f t="array" ref="AM207">IFERROR(INDEX($AI$11:$AI$259,MATCH(0,IF(TRUE=$AH$11:$AH$259,COUNTIF($AM$10:$AM206,$AI$11:$AI$259),""),0)),"")</f>
        <v/>
      </c>
      <c r="AN207" s="40"/>
      <c r="AQ207" s="35">
        <f t="shared" si="29"/>
        <v>0</v>
      </c>
      <c r="AT207" s="885" t="str">
        <f>IF(AND(OR(Y207="Yes",Y207="Pending"),P207='G-1 All Habitats'!$X$3),Q207-U207-V207,"")</f>
        <v/>
      </c>
      <c r="AV207" s="542" t="str">
        <f>IFERROR(INDEX('G-1 All Habitats'!$B$3:$B$135,MATCH(F207,'G-1 All Habitats'!$A$3:$A$135,0)),"")</f>
        <v/>
      </c>
      <c r="AW207" s="35" t="str">
        <f>IF(AV207="","",VLOOKUP(AV207,'G-1 All Habitats'!$B$1:$T$135,19,FALSE))</f>
        <v/>
      </c>
    </row>
    <row r="208" spans="1:49" ht="14.5" hidden="1" thickBot="1">
      <c r="A208" s="35" t="str">
        <f>IFERROR(INDEX('G-1 All Habitats'!$AG$3:$AG$17,MATCH(E208,'G-1 All Habitats'!$AF$3:$AF$17,0)),"")</f>
        <v/>
      </c>
      <c r="B208" s="35" t="str">
        <f>IFERROR(INDEX('G-8 Condition Look up'!$I$4:$I$135,MATCH(AV208,'G-8 Condition Look up'!$A$4:$A$135,0)),"")</f>
        <v/>
      </c>
      <c r="D208" s="225">
        <v>198</v>
      </c>
      <c r="E208" s="211"/>
      <c r="F208" s="57"/>
      <c r="G208" s="263"/>
      <c r="H208" s="51"/>
      <c r="I208" s="275" t="str">
        <f>IF(AV208="","",IF(AND(AW208="Yes",G208="No"),"Irreplaceable habitat ▲",IF(AND(AW208="No",G208="Yes"),"Cannot be Irreplaceable ▲",VLOOKUP(AV208,'G-1 All Habitats'!$B$2:$M$135,10,FALSE))))</f>
        <v/>
      </c>
      <c r="J208" s="276" t="str">
        <f>IFERROR(VLOOKUP(I208,'G-1 All Habitats'!$V$3:$W$7,2,FALSE),"")</f>
        <v/>
      </c>
      <c r="K208" s="52"/>
      <c r="L208" s="276" t="str">
        <f>IFERROR(INDEX('G-8 Condition Look up'!$A$3:$H$135,MATCH(AV208,'G-8 Condition Look up'!$A$3:$A$135,0),MATCH(K208,'G-8 Condition Look up'!$A$3:$H$3,0)),"")</f>
        <v/>
      </c>
      <c r="M208" s="52"/>
      <c r="N208" s="295" t="str">
        <f>IF(M208="","",IF(VLOOKUP(M208,'G-3 Multipliers'!$L$3:$N$6,2,FALSE)=0,"Spatial Data Missing",VLOOKUP(M208,'G-3 Multipliers'!$L$3:$N$6,2,FALSE)))</f>
        <v/>
      </c>
      <c r="O208" s="281" t="str">
        <f>IF(M208="","",IF(VLOOKUP(M208,'G-3 Multipliers'!$L$3:$N$6,3,FALSE)=0,"Spatial Data Missing ▲",VLOOKUP(M208,'G-3 Multipliers'!$L$3:$N$6,3,FALSE)))</f>
        <v/>
      </c>
      <c r="P208" s="282" t="str">
        <f>(IF(G208="Yes","Bespoke compensation likely to be required",(IFERROR(VLOOKUP(AV208,'G-1 All Habitats'!$B$2:$M$135,12,FALSE),""))))</f>
        <v/>
      </c>
      <c r="Q208" s="289" t="str">
        <f>IFERROR(IF(AND(F208&lt;&gt;"",G208=""),"Confirm irreplaceable habitat status ▲",(IF(AND(E208="Individual trees",T208&gt;0,G208="Yes"),"Error - you cannot enhance irreplaceable individual trees ▲",(IF(AND(U208="Irreplaceable habitat - no units generated ⚠",(S208+T208)&lt;H208,OR(Y208="No",Y208="")),"Any Loss Unacceptable ⚠",(IF(U208="Irreplaceable habitat - no units generated ⚠",T208*J208*L208*O208,IF(AND(P208='G-1 All Habitats'!$X$9,AC208&gt;0,S208&lt;=0,T208&lt;=0,OR(Y208="No",Y208="")),"Any Loss Unacceptable ⚠",IF(AND(P208='G-1 All Habitats'!$X$9,AC208&gt;0,S208&lt;=0,T208&lt;=0,Y208="Yes"),0,(IF(AND(P208='G-1 All Habitats'!$X$9,(S208+T208)&lt;H208,OR(Y208="No",Y208="")),"Any Loss Unacceptable ⚠",(IF(P208="","",IF(AND(P208='G-1 All Habitats'!$X$9,T208&gt;0),U208+V208,IF(AND(P208='G-1 All Habitats'!$X$9,S208&gt;0),U208+V208,H208*J208*L208*O208))))))))))))))),"Check Data ▲")</f>
        <v/>
      </c>
      <c r="R208" s="38"/>
      <c r="S208" s="52"/>
      <c r="T208" s="53"/>
      <c r="U208" s="287" t="str">
        <f t="shared" si="25"/>
        <v/>
      </c>
      <c r="V208" s="287" t="str">
        <f t="shared" si="26"/>
        <v/>
      </c>
      <c r="W208" s="287" t="str">
        <f t="shared" si="27"/>
        <v/>
      </c>
      <c r="X208" s="291" t="str">
        <f>IFERROR(IF(H208="","",IF(H208-S208-T208=0&lt;0,"Error in Areas ▲",IF(S208+T208&gt;H208,"Error in Areas ▲",IF(AND(P208='G-1 All Habitats'!$X$9,Y208="Yes"),"Alternative Compensation ✓",IF(AND(P208='G-1 All Habitats'!$X$3,Y208="Yes"),"Alternative Compensation ✓",IF(AND(Y208="Pending",P208='G-1 All Habitats'!$X$3),"Bespoke compensation must be agreed ▲",IF(AND(Y208="Pending",P208='G-1 All Habitats'!$X$9),"Bespoke compensation must be agreed  ▲",IF(W208=0,0,IF(P208='G-1 All Habitats'!$X$9,"Any Loss Unacceptable ▲",Q208-U208-V208))))))))),"Check Data ▲")</f>
        <v/>
      </c>
      <c r="Y208" s="53"/>
      <c r="Z208" s="105"/>
      <c r="AA208" s="233"/>
      <c r="AB208" s="104"/>
      <c r="AC208" s="512" t="str">
        <f>IF(OR(P208="",Y208="Yes"),"",IF(P208='G-1 All Habitats'!$X$9,H208-S208-T208,"None"))</f>
        <v/>
      </c>
      <c r="AD208" s="513" t="str">
        <f>IF(P208="","",IF(P208='G-1 All Habitats'!$X$9,AC208*J208*L208*O208,"None"))</f>
        <v/>
      </c>
      <c r="AE208" s="35" t="str">
        <f t="shared" si="23"/>
        <v/>
      </c>
      <c r="AF208" s="40" t="str">
        <f t="shared" si="28"/>
        <v/>
      </c>
      <c r="AG208" s="40" t="str">
        <f t="shared" si="24"/>
        <v/>
      </c>
      <c r="AH208" s="40" t="str">
        <f>IF(I208="","",IF(#REF!&gt;0,TRUE,FALSE))</f>
        <v/>
      </c>
      <c r="AI208" s="40">
        <v>198</v>
      </c>
      <c r="AJ208" s="40"/>
      <c r="AK208" s="40" t="str">
        <f t="array" ref="AK208">IFERROR(INDEX($AI$11:$AI$259,MATCH(0,IF(TRUE=$AF$11:$AF$259,COUNTIF($AK$10:$AK207,$AI$11:$AI$259),""),0)),"")</f>
        <v/>
      </c>
      <c r="AL208" s="40" t="str">
        <f t="array" ref="AL208">IFERROR(INDEX($AI$11:$AI$259,MATCH(0,IF(TRUE=$AG$11:$AG$259,COUNTIF($AL$10:$AL207,$AI$11:$AI$259),""),0)),"")</f>
        <v/>
      </c>
      <c r="AM208" s="40" t="str">
        <f t="array" ref="AM208">IFERROR(INDEX($AI$11:$AI$259,MATCH(0,IF(TRUE=$AH$11:$AH$259,COUNTIF($AM$10:$AM207,$AI$11:$AI$259),""),0)),"")</f>
        <v/>
      </c>
      <c r="AN208" s="40"/>
      <c r="AQ208" s="35">
        <f t="shared" si="29"/>
        <v>0</v>
      </c>
      <c r="AT208" s="885" t="str">
        <f>IF(AND(OR(Y208="Yes",Y208="Pending"),P208='G-1 All Habitats'!$X$3),Q208-U208-V208,"")</f>
        <v/>
      </c>
      <c r="AV208" s="542" t="str">
        <f>IFERROR(INDEX('G-1 All Habitats'!$B$3:$B$135,MATCH(F208,'G-1 All Habitats'!$A$3:$A$135,0)),"")</f>
        <v/>
      </c>
      <c r="AW208" s="35" t="str">
        <f>IF(AV208="","",VLOOKUP(AV208,'G-1 All Habitats'!$B$1:$T$135,19,FALSE))</f>
        <v/>
      </c>
    </row>
    <row r="209" spans="1:49" ht="14.5" hidden="1" thickBot="1">
      <c r="A209" s="35" t="str">
        <f>IFERROR(INDEX('G-1 All Habitats'!$AG$3:$AG$17,MATCH(E209,'G-1 All Habitats'!$AF$3:$AF$17,0)),"")</f>
        <v/>
      </c>
      <c r="B209" s="35" t="str">
        <f>IFERROR(INDEX('G-8 Condition Look up'!$I$4:$I$135,MATCH(AV209,'G-8 Condition Look up'!$A$4:$A$135,0)),"")</f>
        <v/>
      </c>
      <c r="D209" s="225">
        <v>199</v>
      </c>
      <c r="E209" s="211"/>
      <c r="F209" s="57"/>
      <c r="G209" s="263"/>
      <c r="H209" s="51"/>
      <c r="I209" s="275" t="str">
        <f>IF(AV209="","",IF(AND(AW209="Yes",G209="No"),"Irreplaceable habitat ▲",IF(AND(AW209="No",G209="Yes"),"Cannot be Irreplaceable ▲",VLOOKUP(AV209,'G-1 All Habitats'!$B$2:$M$135,10,FALSE))))</f>
        <v/>
      </c>
      <c r="J209" s="276" t="str">
        <f>IFERROR(VLOOKUP(I209,'G-1 All Habitats'!$V$3:$W$7,2,FALSE),"")</f>
        <v/>
      </c>
      <c r="K209" s="52"/>
      <c r="L209" s="276" t="str">
        <f>IFERROR(INDEX('G-8 Condition Look up'!$A$3:$H$135,MATCH(AV209,'G-8 Condition Look up'!$A$3:$A$135,0),MATCH(K209,'G-8 Condition Look up'!$A$3:$H$3,0)),"")</f>
        <v/>
      </c>
      <c r="M209" s="52"/>
      <c r="N209" s="295" t="str">
        <f>IF(M209="","",IF(VLOOKUP(M209,'G-3 Multipliers'!$L$3:$N$6,2,FALSE)=0,"Spatial Data Missing",VLOOKUP(M209,'G-3 Multipliers'!$L$3:$N$6,2,FALSE)))</f>
        <v/>
      </c>
      <c r="O209" s="281" t="str">
        <f>IF(M209="","",IF(VLOOKUP(M209,'G-3 Multipliers'!$L$3:$N$6,3,FALSE)=0,"Spatial Data Missing ▲",VLOOKUP(M209,'G-3 Multipliers'!$L$3:$N$6,3,FALSE)))</f>
        <v/>
      </c>
      <c r="P209" s="282" t="str">
        <f>(IF(G209="Yes","Bespoke compensation likely to be required",(IFERROR(VLOOKUP(AV209,'G-1 All Habitats'!$B$2:$M$135,12,FALSE),""))))</f>
        <v/>
      </c>
      <c r="Q209" s="289" t="str">
        <f>IFERROR(IF(AND(F209&lt;&gt;"",G209=""),"Confirm irreplaceable habitat status ▲",(IF(AND(E209="Individual trees",T209&gt;0,G209="Yes"),"Error - you cannot enhance irreplaceable individual trees ▲",(IF(AND(U209="Irreplaceable habitat - no units generated ⚠",(S209+T209)&lt;H209,OR(Y209="No",Y209="")),"Any Loss Unacceptable ⚠",(IF(U209="Irreplaceable habitat - no units generated ⚠",T209*J209*L209*O209,IF(AND(P209='G-1 All Habitats'!$X$9,AC209&gt;0,S209&lt;=0,T209&lt;=0,OR(Y209="No",Y209="")),"Any Loss Unacceptable ⚠",IF(AND(P209='G-1 All Habitats'!$X$9,AC209&gt;0,S209&lt;=0,T209&lt;=0,Y209="Yes"),0,(IF(AND(P209='G-1 All Habitats'!$X$9,(S209+T209)&lt;H209,OR(Y209="No",Y209="")),"Any Loss Unacceptable ⚠",(IF(P209="","",IF(AND(P209='G-1 All Habitats'!$X$9,T209&gt;0),U209+V209,IF(AND(P209='G-1 All Habitats'!$X$9,S209&gt;0),U209+V209,H209*J209*L209*O209))))))))))))))),"Check Data ▲")</f>
        <v/>
      </c>
      <c r="R209" s="38"/>
      <c r="S209" s="52"/>
      <c r="T209" s="53"/>
      <c r="U209" s="287" t="str">
        <f t="shared" si="25"/>
        <v/>
      </c>
      <c r="V209" s="287" t="str">
        <f t="shared" si="26"/>
        <v/>
      </c>
      <c r="W209" s="287" t="str">
        <f t="shared" si="27"/>
        <v/>
      </c>
      <c r="X209" s="291" t="str">
        <f>IFERROR(IF(H209="","",IF(H209-S209-T209=0&lt;0,"Error in Areas ▲",IF(S209+T209&gt;H209,"Error in Areas ▲",IF(AND(P209='G-1 All Habitats'!$X$9,Y209="Yes"),"Alternative Compensation ✓",IF(AND(P209='G-1 All Habitats'!$X$3,Y209="Yes"),"Alternative Compensation ✓",IF(AND(Y209="Pending",P209='G-1 All Habitats'!$X$3),"Bespoke compensation must be agreed ▲",IF(AND(Y209="Pending",P209='G-1 All Habitats'!$X$9),"Bespoke compensation must be agreed  ▲",IF(W209=0,0,IF(P209='G-1 All Habitats'!$X$9,"Any Loss Unacceptable ▲",Q209-U209-V209))))))))),"Check Data ▲")</f>
        <v/>
      </c>
      <c r="Y209" s="53"/>
      <c r="Z209" s="105"/>
      <c r="AA209" s="233"/>
      <c r="AB209" s="104"/>
      <c r="AC209" s="512" t="str">
        <f>IF(OR(P209="",Y209="Yes"),"",IF(P209='G-1 All Habitats'!$X$9,H209-S209-T209,"None"))</f>
        <v/>
      </c>
      <c r="AD209" s="513" t="str">
        <f>IF(P209="","",IF(P209='G-1 All Habitats'!$X$9,AC209*J209*L209*O209,"None"))</f>
        <v/>
      </c>
      <c r="AE209" s="35" t="str">
        <f t="shared" si="23"/>
        <v/>
      </c>
      <c r="AF209" s="40" t="str">
        <f t="shared" si="28"/>
        <v/>
      </c>
      <c r="AG209" s="40" t="str">
        <f t="shared" si="24"/>
        <v/>
      </c>
      <c r="AH209" s="40" t="str">
        <f>IF(I209="","",IF(#REF!&gt;0,TRUE,FALSE))</f>
        <v/>
      </c>
      <c r="AI209" s="40">
        <v>199</v>
      </c>
      <c r="AJ209" s="40"/>
      <c r="AK209" s="40" t="str">
        <f t="array" ref="AK209">IFERROR(INDEX($AI$11:$AI$259,MATCH(0,IF(TRUE=$AF$11:$AF$259,COUNTIF($AK$10:$AK208,$AI$11:$AI$259),""),0)),"")</f>
        <v/>
      </c>
      <c r="AL209" s="40" t="str">
        <f t="array" ref="AL209">IFERROR(INDEX($AI$11:$AI$259,MATCH(0,IF(TRUE=$AG$11:$AG$259,COUNTIF($AL$10:$AL208,$AI$11:$AI$259),""),0)),"")</f>
        <v/>
      </c>
      <c r="AM209" s="40" t="str">
        <f t="array" ref="AM209">IFERROR(INDEX($AI$11:$AI$259,MATCH(0,IF(TRUE=$AH$11:$AH$259,COUNTIF($AM$10:$AM208,$AI$11:$AI$259),""),0)),"")</f>
        <v/>
      </c>
      <c r="AN209" s="40"/>
      <c r="AQ209" s="35">
        <f t="shared" si="29"/>
        <v>0</v>
      </c>
      <c r="AT209" s="885" t="str">
        <f>IF(AND(OR(Y209="Yes",Y209="Pending"),P209='G-1 All Habitats'!$X$3),Q209-U209-V209,"")</f>
        <v/>
      </c>
      <c r="AV209" s="542" t="str">
        <f>IFERROR(INDEX('G-1 All Habitats'!$B$3:$B$135,MATCH(F209,'G-1 All Habitats'!$A$3:$A$135,0)),"")</f>
        <v/>
      </c>
      <c r="AW209" s="35" t="str">
        <f>IF(AV209="","",VLOOKUP(AV209,'G-1 All Habitats'!$B$1:$T$135,19,FALSE))</f>
        <v/>
      </c>
    </row>
    <row r="210" spans="1:49" ht="14.5" hidden="1" thickBot="1">
      <c r="A210" s="35" t="str">
        <f>IFERROR(INDEX('G-1 All Habitats'!$AG$3:$AG$17,MATCH(E210,'G-1 All Habitats'!$AF$3:$AF$17,0)),"")</f>
        <v/>
      </c>
      <c r="B210" s="35" t="str">
        <f>IFERROR(INDEX('G-8 Condition Look up'!$I$4:$I$135,MATCH(AV210,'G-8 Condition Look up'!$A$4:$A$135,0)),"")</f>
        <v/>
      </c>
      <c r="D210" s="225">
        <v>200</v>
      </c>
      <c r="E210" s="211"/>
      <c r="F210" s="57"/>
      <c r="G210" s="263"/>
      <c r="H210" s="51"/>
      <c r="I210" s="275" t="str">
        <f>IF(AV210="","",IF(AND(AW210="Yes",G210="No"),"Irreplaceable habitat ▲",IF(AND(AW210="No",G210="Yes"),"Cannot be Irreplaceable ▲",VLOOKUP(AV210,'G-1 All Habitats'!$B$2:$M$135,10,FALSE))))</f>
        <v/>
      </c>
      <c r="J210" s="276" t="str">
        <f>IFERROR(VLOOKUP(I210,'G-1 All Habitats'!$V$3:$W$7,2,FALSE),"")</f>
        <v/>
      </c>
      <c r="K210" s="52"/>
      <c r="L210" s="276" t="str">
        <f>IFERROR(INDEX('G-8 Condition Look up'!$A$3:$H$135,MATCH(AV210,'G-8 Condition Look up'!$A$3:$A$135,0),MATCH(K210,'G-8 Condition Look up'!$A$3:$H$3,0)),"")</f>
        <v/>
      </c>
      <c r="M210" s="52"/>
      <c r="N210" s="295" t="str">
        <f>IF(M210="","",IF(VLOOKUP(M210,'G-3 Multipliers'!$L$3:$N$6,2,FALSE)=0,"Spatial Data Missing",VLOOKUP(M210,'G-3 Multipliers'!$L$3:$N$6,2,FALSE)))</f>
        <v/>
      </c>
      <c r="O210" s="281" t="str">
        <f>IF(M210="","",IF(VLOOKUP(M210,'G-3 Multipliers'!$L$3:$N$6,3,FALSE)=0,"Spatial Data Missing ▲",VLOOKUP(M210,'G-3 Multipliers'!$L$3:$N$6,3,FALSE)))</f>
        <v/>
      </c>
      <c r="P210" s="282" t="str">
        <f>(IF(G210="Yes","Bespoke compensation likely to be required",(IFERROR(VLOOKUP(AV210,'G-1 All Habitats'!$B$2:$M$135,12,FALSE),""))))</f>
        <v/>
      </c>
      <c r="Q210" s="289" t="str">
        <f>IFERROR(IF(AND(F210&lt;&gt;"",G210=""),"Confirm irreplaceable habitat status ▲",(IF(AND(E210="Individual trees",T210&gt;0,G210="Yes"),"Error - you cannot enhance irreplaceable individual trees ▲",(IF(AND(U210="Irreplaceable habitat - no units generated ⚠",(S210+T210)&lt;H210,OR(Y210="No",Y210="")),"Any Loss Unacceptable ⚠",(IF(U210="Irreplaceable habitat - no units generated ⚠",T210*J210*L210*O210,IF(AND(P210='G-1 All Habitats'!$X$9,AC210&gt;0,S210&lt;=0,T210&lt;=0,OR(Y210="No",Y210="")),"Any Loss Unacceptable ⚠",IF(AND(P210='G-1 All Habitats'!$X$9,AC210&gt;0,S210&lt;=0,T210&lt;=0,Y210="Yes"),0,(IF(AND(P210='G-1 All Habitats'!$X$9,(S210+T210)&lt;H210,OR(Y210="No",Y210="")),"Any Loss Unacceptable ⚠",(IF(P210="","",IF(AND(P210='G-1 All Habitats'!$X$9,T210&gt;0),U210+V210,IF(AND(P210='G-1 All Habitats'!$X$9,S210&gt;0),U210+V210,H210*J210*L210*O210))))))))))))))),"Check Data ▲")</f>
        <v/>
      </c>
      <c r="R210" s="38"/>
      <c r="S210" s="52"/>
      <c r="T210" s="53"/>
      <c r="U210" s="287" t="str">
        <f t="shared" si="25"/>
        <v/>
      </c>
      <c r="V210" s="287" t="str">
        <f t="shared" si="26"/>
        <v/>
      </c>
      <c r="W210" s="287" t="str">
        <f t="shared" si="27"/>
        <v/>
      </c>
      <c r="X210" s="291" t="str">
        <f>IFERROR(IF(H210="","",IF(H210-S210-T210=0&lt;0,"Error in Areas ▲",IF(S210+T210&gt;H210,"Error in Areas ▲",IF(AND(P210='G-1 All Habitats'!$X$9,Y210="Yes"),"Alternative Compensation ✓",IF(AND(P210='G-1 All Habitats'!$X$3,Y210="Yes"),"Alternative Compensation ✓",IF(AND(Y210="Pending",P210='G-1 All Habitats'!$X$3),"Bespoke compensation must be agreed ▲",IF(AND(Y210="Pending",P210='G-1 All Habitats'!$X$9),"Bespoke compensation must be agreed  ▲",IF(W210=0,0,IF(P210='G-1 All Habitats'!$X$9,"Any Loss Unacceptable ▲",Q210-U210-V210))))))))),"Check Data ▲")</f>
        <v/>
      </c>
      <c r="Y210" s="53"/>
      <c r="Z210" s="105"/>
      <c r="AA210" s="233"/>
      <c r="AB210" s="104"/>
      <c r="AC210" s="512" t="str">
        <f>IF(OR(P210="",Y210="Yes"),"",IF(P210='G-1 All Habitats'!$X$9,H210-S210-T210,"None"))</f>
        <v/>
      </c>
      <c r="AD210" s="513" t="str">
        <f>IF(P210="","",IF(P210='G-1 All Habitats'!$X$9,AC210*J210*L210*O210,"None"))</f>
        <v/>
      </c>
      <c r="AE210" s="35" t="str">
        <f t="shared" si="23"/>
        <v/>
      </c>
      <c r="AF210" s="40" t="str">
        <f t="shared" si="28"/>
        <v/>
      </c>
      <c r="AG210" s="40" t="str">
        <f t="shared" si="24"/>
        <v/>
      </c>
      <c r="AH210" s="40" t="str">
        <f>IF(I210="","",IF(#REF!&gt;0,TRUE,FALSE))</f>
        <v/>
      </c>
      <c r="AI210" s="40">
        <v>200</v>
      </c>
      <c r="AJ210" s="40"/>
      <c r="AK210" s="40" t="str">
        <f t="array" ref="AK210">IFERROR(INDEX($AI$11:$AI$259,MATCH(0,IF(TRUE=$AF$11:$AF$259,COUNTIF($AK$10:$AK209,$AI$11:$AI$259),""),0)),"")</f>
        <v/>
      </c>
      <c r="AL210" s="40" t="str">
        <f t="array" ref="AL210">IFERROR(INDEX($AI$11:$AI$259,MATCH(0,IF(TRUE=$AG$11:$AG$259,COUNTIF($AL$10:$AL209,$AI$11:$AI$259),""),0)),"")</f>
        <v/>
      </c>
      <c r="AM210" s="40" t="str">
        <f t="array" ref="AM210">IFERROR(INDEX($AI$11:$AI$259,MATCH(0,IF(TRUE=$AH$11:$AH$259,COUNTIF($AM$10:$AM209,$AI$11:$AI$259),""),0)),"")</f>
        <v/>
      </c>
      <c r="AN210" s="40"/>
      <c r="AQ210" s="35">
        <f t="shared" si="29"/>
        <v>0</v>
      </c>
      <c r="AT210" s="885" t="str">
        <f>IF(AND(OR(Y210="Yes",Y210="Pending"),P210='G-1 All Habitats'!$X$3),Q210-U210-V210,"")</f>
        <v/>
      </c>
      <c r="AV210" s="542" t="str">
        <f>IFERROR(INDEX('G-1 All Habitats'!$B$3:$B$135,MATCH(F210,'G-1 All Habitats'!$A$3:$A$135,0)),"")</f>
        <v/>
      </c>
      <c r="AW210" s="35" t="str">
        <f>IF(AV210="","",VLOOKUP(AV210,'G-1 All Habitats'!$B$1:$T$135,19,FALSE))</f>
        <v/>
      </c>
    </row>
    <row r="211" spans="1:49" ht="14.5" hidden="1" thickBot="1">
      <c r="A211" s="35" t="str">
        <f>IFERROR(INDEX('G-1 All Habitats'!$AG$3:$AG$17,MATCH(E211,'G-1 All Habitats'!$AF$3:$AF$17,0)),"")</f>
        <v/>
      </c>
      <c r="B211" s="35" t="str">
        <f>IFERROR(INDEX('G-8 Condition Look up'!$I$4:$I$135,MATCH(AV211,'G-8 Condition Look up'!$A$4:$A$135,0)),"")</f>
        <v/>
      </c>
      <c r="D211" s="225">
        <v>201</v>
      </c>
      <c r="E211" s="211"/>
      <c r="F211" s="57"/>
      <c r="G211" s="263"/>
      <c r="H211" s="51"/>
      <c r="I211" s="275" t="str">
        <f>IF(AV211="","",IF(AND(AW211="Yes",G211="No"),"Irreplaceable habitat ▲",IF(AND(AW211="No",G211="Yes"),"Cannot be Irreplaceable ▲",VLOOKUP(AV211,'G-1 All Habitats'!$B$2:$M$135,10,FALSE))))</f>
        <v/>
      </c>
      <c r="J211" s="276" t="str">
        <f>IFERROR(VLOOKUP(I211,'G-1 All Habitats'!$V$3:$W$7,2,FALSE),"")</f>
        <v/>
      </c>
      <c r="K211" s="52"/>
      <c r="L211" s="276" t="str">
        <f>IFERROR(INDEX('G-8 Condition Look up'!$A$3:$H$135,MATCH(AV211,'G-8 Condition Look up'!$A$3:$A$135,0),MATCH(K211,'G-8 Condition Look up'!$A$3:$H$3,0)),"")</f>
        <v/>
      </c>
      <c r="M211" s="52"/>
      <c r="N211" s="295" t="str">
        <f>IF(M211="","",IF(VLOOKUP(M211,'G-3 Multipliers'!$L$3:$N$6,2,FALSE)=0,"Spatial Data Missing",VLOOKUP(M211,'G-3 Multipliers'!$L$3:$N$6,2,FALSE)))</f>
        <v/>
      </c>
      <c r="O211" s="281" t="str">
        <f>IF(M211="","",IF(VLOOKUP(M211,'G-3 Multipliers'!$L$3:$N$6,3,FALSE)=0,"Spatial Data Missing ▲",VLOOKUP(M211,'G-3 Multipliers'!$L$3:$N$6,3,FALSE)))</f>
        <v/>
      </c>
      <c r="P211" s="282" t="str">
        <f>(IF(G211="Yes","Bespoke compensation likely to be required",(IFERROR(VLOOKUP(AV211,'G-1 All Habitats'!$B$2:$M$135,12,FALSE),""))))</f>
        <v/>
      </c>
      <c r="Q211" s="289" t="str">
        <f>IFERROR(IF(AND(F211&lt;&gt;"",G211=""),"Confirm irreplaceable habitat status ▲",(IF(AND(E211="Individual trees",T211&gt;0,G211="Yes"),"Error - you cannot enhance irreplaceable individual trees ▲",(IF(AND(U211="Irreplaceable habitat - no units generated ⚠",(S211+T211)&lt;H211,OR(Y211="No",Y211="")),"Any Loss Unacceptable ⚠",(IF(U211="Irreplaceable habitat - no units generated ⚠",T211*J211*L211*O211,IF(AND(P211='G-1 All Habitats'!$X$9,AC211&gt;0,S211&lt;=0,T211&lt;=0,OR(Y211="No",Y211="")),"Any Loss Unacceptable ⚠",IF(AND(P211='G-1 All Habitats'!$X$9,AC211&gt;0,S211&lt;=0,T211&lt;=0,Y211="Yes"),0,(IF(AND(P211='G-1 All Habitats'!$X$9,(S211+T211)&lt;H211,OR(Y211="No",Y211="")),"Any Loss Unacceptable ⚠",(IF(P211="","",IF(AND(P211='G-1 All Habitats'!$X$9,T211&gt;0),U211+V211,IF(AND(P211='G-1 All Habitats'!$X$9,S211&gt;0),U211+V211,H211*J211*L211*O211))))))))))))))),"Check Data ▲")</f>
        <v/>
      </c>
      <c r="R211" s="38"/>
      <c r="S211" s="52"/>
      <c r="T211" s="53"/>
      <c r="U211" s="287" t="str">
        <f t="shared" si="25"/>
        <v/>
      </c>
      <c r="V211" s="287" t="str">
        <f t="shared" si="26"/>
        <v/>
      </c>
      <c r="W211" s="287" t="str">
        <f t="shared" si="27"/>
        <v/>
      </c>
      <c r="X211" s="291" t="str">
        <f>IFERROR(IF(H211="","",IF(H211-S211-T211=0&lt;0,"Error in Areas ▲",IF(S211+T211&gt;H211,"Error in Areas ▲",IF(AND(P211='G-1 All Habitats'!$X$9,Y211="Yes"),"Alternative Compensation ✓",IF(AND(P211='G-1 All Habitats'!$X$3,Y211="Yes"),"Alternative Compensation ✓",IF(AND(Y211="Pending",P211='G-1 All Habitats'!$X$3),"Bespoke compensation must be agreed ▲",IF(AND(Y211="Pending",P211='G-1 All Habitats'!$X$9),"Bespoke compensation must be agreed  ▲",IF(W211=0,0,IF(P211='G-1 All Habitats'!$X$9,"Any Loss Unacceptable ▲",Q211-U211-V211))))))))),"Check Data ▲")</f>
        <v/>
      </c>
      <c r="Y211" s="53"/>
      <c r="Z211" s="105"/>
      <c r="AA211" s="233"/>
      <c r="AB211" s="104"/>
      <c r="AC211" s="512" t="str">
        <f>IF(OR(P211="",Y211="Yes"),"",IF(P211='G-1 All Habitats'!$X$9,H211-S211-T211,"None"))</f>
        <v/>
      </c>
      <c r="AD211" s="513" t="str">
        <f>IF(P211="","",IF(P211='G-1 All Habitats'!$X$9,AC211*J211*L211*O211,"None"))</f>
        <v/>
      </c>
      <c r="AE211" s="35" t="str">
        <f t="shared" si="23"/>
        <v/>
      </c>
      <c r="AF211" s="40" t="str">
        <f t="shared" si="28"/>
        <v/>
      </c>
      <c r="AG211" s="40" t="str">
        <f t="shared" si="24"/>
        <v/>
      </c>
      <c r="AH211" s="40" t="str">
        <f>IF(I211="","",IF(#REF!&gt;0,TRUE,FALSE))</f>
        <v/>
      </c>
      <c r="AI211" s="40">
        <v>201</v>
      </c>
      <c r="AJ211" s="40"/>
      <c r="AK211" s="40" t="str">
        <f t="array" ref="AK211">IFERROR(INDEX($AI$11:$AI$259,MATCH(0,IF(TRUE=$AF$11:$AF$259,COUNTIF($AK$10:$AK210,$AI$11:$AI$259),""),0)),"")</f>
        <v/>
      </c>
      <c r="AL211" s="40" t="str">
        <f t="array" ref="AL211">IFERROR(INDEX($AI$11:$AI$259,MATCH(0,IF(TRUE=$AG$11:$AG$259,COUNTIF($AL$10:$AL210,$AI$11:$AI$259),""),0)),"")</f>
        <v/>
      </c>
      <c r="AM211" s="40" t="str">
        <f t="array" ref="AM211">IFERROR(INDEX($AI$11:$AI$259,MATCH(0,IF(TRUE=$AH$11:$AH$259,COUNTIF($AM$10:$AM210,$AI$11:$AI$259),""),0)),"")</f>
        <v/>
      </c>
      <c r="AN211" s="40"/>
      <c r="AQ211" s="35">
        <f t="shared" si="29"/>
        <v>0</v>
      </c>
      <c r="AT211" s="885" t="str">
        <f>IF(AND(OR(Y211="Yes",Y211="Pending"),P211='G-1 All Habitats'!$X$3),Q211-U211-V211,"")</f>
        <v/>
      </c>
      <c r="AV211" s="542" t="str">
        <f>IFERROR(INDEX('G-1 All Habitats'!$B$3:$B$135,MATCH(F211,'G-1 All Habitats'!$A$3:$A$135,0)),"")</f>
        <v/>
      </c>
      <c r="AW211" s="35" t="str">
        <f>IF(AV211="","",VLOOKUP(AV211,'G-1 All Habitats'!$B$1:$T$135,19,FALSE))</f>
        <v/>
      </c>
    </row>
    <row r="212" spans="1:49" ht="14.5" hidden="1" thickBot="1">
      <c r="A212" s="35" t="str">
        <f>IFERROR(INDEX('G-1 All Habitats'!$AG$3:$AG$17,MATCH(E212,'G-1 All Habitats'!$AF$3:$AF$17,0)),"")</f>
        <v/>
      </c>
      <c r="B212" s="35" t="str">
        <f>IFERROR(INDEX('G-8 Condition Look up'!$I$4:$I$135,MATCH(AV212,'G-8 Condition Look up'!$A$4:$A$135,0)),"")</f>
        <v/>
      </c>
      <c r="D212" s="225">
        <v>202</v>
      </c>
      <c r="E212" s="211"/>
      <c r="F212" s="57"/>
      <c r="G212" s="263"/>
      <c r="H212" s="51"/>
      <c r="I212" s="275" t="str">
        <f>IF(AV212="","",IF(AND(AW212="Yes",G212="No"),"Irreplaceable habitat ▲",IF(AND(AW212="No",G212="Yes"),"Cannot be Irreplaceable ▲",VLOOKUP(AV212,'G-1 All Habitats'!$B$2:$M$135,10,FALSE))))</f>
        <v/>
      </c>
      <c r="J212" s="276" t="str">
        <f>IFERROR(VLOOKUP(I212,'G-1 All Habitats'!$V$3:$W$7,2,FALSE),"")</f>
        <v/>
      </c>
      <c r="K212" s="52"/>
      <c r="L212" s="276" t="str">
        <f>IFERROR(INDEX('G-8 Condition Look up'!$A$3:$H$135,MATCH(AV212,'G-8 Condition Look up'!$A$3:$A$135,0),MATCH(K212,'G-8 Condition Look up'!$A$3:$H$3,0)),"")</f>
        <v/>
      </c>
      <c r="M212" s="52"/>
      <c r="N212" s="295" t="str">
        <f>IF(M212="","",IF(VLOOKUP(M212,'G-3 Multipliers'!$L$3:$N$6,2,FALSE)=0,"Spatial Data Missing",VLOOKUP(M212,'G-3 Multipliers'!$L$3:$N$6,2,FALSE)))</f>
        <v/>
      </c>
      <c r="O212" s="281" t="str">
        <f>IF(M212="","",IF(VLOOKUP(M212,'G-3 Multipliers'!$L$3:$N$6,3,FALSE)=0,"Spatial Data Missing ▲",VLOOKUP(M212,'G-3 Multipliers'!$L$3:$N$6,3,FALSE)))</f>
        <v/>
      </c>
      <c r="P212" s="282" t="str">
        <f>(IF(G212="Yes","Bespoke compensation likely to be required",(IFERROR(VLOOKUP(AV212,'G-1 All Habitats'!$B$2:$M$135,12,FALSE),""))))</f>
        <v/>
      </c>
      <c r="Q212" s="289" t="str">
        <f>IFERROR(IF(AND(F212&lt;&gt;"",G212=""),"Confirm irreplaceable habitat status ▲",(IF(AND(E212="Individual trees",T212&gt;0,G212="Yes"),"Error - you cannot enhance irreplaceable individual trees ▲",(IF(AND(U212="Irreplaceable habitat - no units generated ⚠",(S212+T212)&lt;H212,OR(Y212="No",Y212="")),"Any Loss Unacceptable ⚠",(IF(U212="Irreplaceable habitat - no units generated ⚠",T212*J212*L212*O212,IF(AND(P212='G-1 All Habitats'!$X$9,AC212&gt;0,S212&lt;=0,T212&lt;=0,OR(Y212="No",Y212="")),"Any Loss Unacceptable ⚠",IF(AND(P212='G-1 All Habitats'!$X$9,AC212&gt;0,S212&lt;=0,T212&lt;=0,Y212="Yes"),0,(IF(AND(P212='G-1 All Habitats'!$X$9,(S212+T212)&lt;H212,OR(Y212="No",Y212="")),"Any Loss Unacceptable ⚠",(IF(P212="","",IF(AND(P212='G-1 All Habitats'!$X$9,T212&gt;0),U212+V212,IF(AND(P212='G-1 All Habitats'!$X$9,S212&gt;0),U212+V212,H212*J212*L212*O212))))))))))))))),"Check Data ▲")</f>
        <v/>
      </c>
      <c r="R212" s="38"/>
      <c r="S212" s="52"/>
      <c r="T212" s="53"/>
      <c r="U212" s="287" t="str">
        <f t="shared" si="25"/>
        <v/>
      </c>
      <c r="V212" s="287" t="str">
        <f t="shared" si="26"/>
        <v/>
      </c>
      <c r="W212" s="287" t="str">
        <f t="shared" si="27"/>
        <v/>
      </c>
      <c r="X212" s="291" t="str">
        <f>IFERROR(IF(H212="","",IF(H212-S212-T212=0&lt;0,"Error in Areas ▲",IF(S212+T212&gt;H212,"Error in Areas ▲",IF(AND(P212='G-1 All Habitats'!$X$9,Y212="Yes"),"Alternative Compensation ✓",IF(AND(P212='G-1 All Habitats'!$X$3,Y212="Yes"),"Alternative Compensation ✓",IF(AND(Y212="Pending",P212='G-1 All Habitats'!$X$3),"Bespoke compensation must be agreed ▲",IF(AND(Y212="Pending",P212='G-1 All Habitats'!$X$9),"Bespoke compensation must be agreed  ▲",IF(W212=0,0,IF(P212='G-1 All Habitats'!$X$9,"Any Loss Unacceptable ▲",Q212-U212-V212))))))))),"Check Data ▲")</f>
        <v/>
      </c>
      <c r="Y212" s="53"/>
      <c r="Z212" s="105"/>
      <c r="AA212" s="233"/>
      <c r="AB212" s="104"/>
      <c r="AC212" s="512" t="str">
        <f>IF(OR(P212="",Y212="Yes"),"",IF(P212='G-1 All Habitats'!$X$9,H212-S212-T212,"None"))</f>
        <v/>
      </c>
      <c r="AD212" s="513" t="str">
        <f>IF(P212="","",IF(P212='G-1 All Habitats'!$X$9,AC212*J212*L212*O212,"None"))</f>
        <v/>
      </c>
      <c r="AE212" s="35" t="str">
        <f t="shared" si="23"/>
        <v/>
      </c>
      <c r="AF212" s="40" t="str">
        <f t="shared" si="28"/>
        <v/>
      </c>
      <c r="AG212" s="40" t="str">
        <f t="shared" si="24"/>
        <v/>
      </c>
      <c r="AH212" s="40" t="str">
        <f>IF(I212="","",IF(#REF!&gt;0,TRUE,FALSE))</f>
        <v/>
      </c>
      <c r="AI212" s="40">
        <v>202</v>
      </c>
      <c r="AJ212" s="40"/>
      <c r="AK212" s="40" t="str">
        <f t="array" ref="AK212">IFERROR(INDEX($AI$11:$AI$259,MATCH(0,IF(TRUE=$AF$11:$AF$259,COUNTIF($AK$10:$AK211,$AI$11:$AI$259),""),0)),"")</f>
        <v/>
      </c>
      <c r="AL212" s="40" t="str">
        <f t="array" ref="AL212">IFERROR(INDEX($AI$11:$AI$259,MATCH(0,IF(TRUE=$AG$11:$AG$259,COUNTIF($AL$10:$AL211,$AI$11:$AI$259),""),0)),"")</f>
        <v/>
      </c>
      <c r="AM212" s="40" t="str">
        <f t="array" ref="AM212">IFERROR(INDEX($AI$11:$AI$259,MATCH(0,IF(TRUE=$AH$11:$AH$259,COUNTIF($AM$10:$AM211,$AI$11:$AI$259),""),0)),"")</f>
        <v/>
      </c>
      <c r="AN212" s="40"/>
      <c r="AQ212" s="35">
        <f t="shared" si="29"/>
        <v>0</v>
      </c>
      <c r="AT212" s="885" t="str">
        <f>IF(AND(OR(Y212="Yes",Y212="Pending"),P212='G-1 All Habitats'!$X$3),Q212-U212-V212,"")</f>
        <v/>
      </c>
      <c r="AV212" s="542" t="str">
        <f>IFERROR(INDEX('G-1 All Habitats'!$B$3:$B$135,MATCH(F212,'G-1 All Habitats'!$A$3:$A$135,0)),"")</f>
        <v/>
      </c>
      <c r="AW212" s="35" t="str">
        <f>IF(AV212="","",VLOOKUP(AV212,'G-1 All Habitats'!$B$1:$T$135,19,FALSE))</f>
        <v/>
      </c>
    </row>
    <row r="213" spans="1:49" ht="14.5" hidden="1" thickBot="1">
      <c r="A213" s="35" t="str">
        <f>IFERROR(INDEX('G-1 All Habitats'!$AG$3:$AG$17,MATCH(E213,'G-1 All Habitats'!$AF$3:$AF$17,0)),"")</f>
        <v/>
      </c>
      <c r="B213" s="35" t="str">
        <f>IFERROR(INDEX('G-8 Condition Look up'!$I$4:$I$135,MATCH(AV213,'G-8 Condition Look up'!$A$4:$A$135,0)),"")</f>
        <v/>
      </c>
      <c r="D213" s="225">
        <v>203</v>
      </c>
      <c r="E213" s="211"/>
      <c r="F213" s="57"/>
      <c r="G213" s="263"/>
      <c r="H213" s="51"/>
      <c r="I213" s="275" t="str">
        <f>IF(AV213="","",IF(AND(AW213="Yes",G213="No"),"Irreplaceable habitat ▲",IF(AND(AW213="No",G213="Yes"),"Cannot be Irreplaceable ▲",VLOOKUP(AV213,'G-1 All Habitats'!$B$2:$M$135,10,FALSE))))</f>
        <v/>
      </c>
      <c r="J213" s="276" t="str">
        <f>IFERROR(VLOOKUP(I213,'G-1 All Habitats'!$V$3:$W$7,2,FALSE),"")</f>
        <v/>
      </c>
      <c r="K213" s="52"/>
      <c r="L213" s="276" t="str">
        <f>IFERROR(INDEX('G-8 Condition Look up'!$A$3:$H$135,MATCH(AV213,'G-8 Condition Look up'!$A$3:$A$135,0),MATCH(K213,'G-8 Condition Look up'!$A$3:$H$3,0)),"")</f>
        <v/>
      </c>
      <c r="M213" s="52"/>
      <c r="N213" s="295" t="str">
        <f>IF(M213="","",IF(VLOOKUP(M213,'G-3 Multipliers'!$L$3:$N$6,2,FALSE)=0,"Spatial Data Missing",VLOOKUP(M213,'G-3 Multipliers'!$L$3:$N$6,2,FALSE)))</f>
        <v/>
      </c>
      <c r="O213" s="281" t="str">
        <f>IF(M213="","",IF(VLOOKUP(M213,'G-3 Multipliers'!$L$3:$N$6,3,FALSE)=0,"Spatial Data Missing ▲",VLOOKUP(M213,'G-3 Multipliers'!$L$3:$N$6,3,FALSE)))</f>
        <v/>
      </c>
      <c r="P213" s="282" t="str">
        <f>(IF(G213="Yes","Bespoke compensation likely to be required",(IFERROR(VLOOKUP(AV213,'G-1 All Habitats'!$B$2:$M$135,12,FALSE),""))))</f>
        <v/>
      </c>
      <c r="Q213" s="289" t="str">
        <f>IFERROR(IF(AND(F213&lt;&gt;"",G213=""),"Confirm irreplaceable habitat status ▲",(IF(AND(E213="Individual trees",T213&gt;0,G213="Yes"),"Error - you cannot enhance irreplaceable individual trees ▲",(IF(AND(U213="Irreplaceable habitat - no units generated ⚠",(S213+T213)&lt;H213,OR(Y213="No",Y213="")),"Any Loss Unacceptable ⚠",(IF(U213="Irreplaceable habitat - no units generated ⚠",T213*J213*L213*O213,IF(AND(P213='G-1 All Habitats'!$X$9,AC213&gt;0,S213&lt;=0,T213&lt;=0,OR(Y213="No",Y213="")),"Any Loss Unacceptable ⚠",IF(AND(P213='G-1 All Habitats'!$X$9,AC213&gt;0,S213&lt;=0,T213&lt;=0,Y213="Yes"),0,(IF(AND(P213='G-1 All Habitats'!$X$9,(S213+T213)&lt;H213,OR(Y213="No",Y213="")),"Any Loss Unacceptable ⚠",(IF(P213="","",IF(AND(P213='G-1 All Habitats'!$X$9,T213&gt;0),U213+V213,IF(AND(P213='G-1 All Habitats'!$X$9,S213&gt;0),U213+V213,H213*J213*L213*O213))))))))))))))),"Check Data ▲")</f>
        <v/>
      </c>
      <c r="R213" s="38"/>
      <c r="S213" s="52"/>
      <c r="T213" s="53"/>
      <c r="U213" s="287" t="str">
        <f t="shared" si="25"/>
        <v/>
      </c>
      <c r="V213" s="287" t="str">
        <f t="shared" si="26"/>
        <v/>
      </c>
      <c r="W213" s="287" t="str">
        <f t="shared" si="27"/>
        <v/>
      </c>
      <c r="X213" s="291" t="str">
        <f>IFERROR(IF(H213="","",IF(H213-S213-T213=0&lt;0,"Error in Areas ▲",IF(S213+T213&gt;H213,"Error in Areas ▲",IF(AND(P213='G-1 All Habitats'!$X$9,Y213="Yes"),"Alternative Compensation ✓",IF(AND(P213='G-1 All Habitats'!$X$3,Y213="Yes"),"Alternative Compensation ✓",IF(AND(Y213="Pending",P213='G-1 All Habitats'!$X$3),"Bespoke compensation must be agreed ▲",IF(AND(Y213="Pending",P213='G-1 All Habitats'!$X$9),"Bespoke compensation must be agreed  ▲",IF(W213=0,0,IF(P213='G-1 All Habitats'!$X$9,"Any Loss Unacceptable ▲",Q213-U213-V213))))))))),"Check Data ▲")</f>
        <v/>
      </c>
      <c r="Y213" s="53"/>
      <c r="Z213" s="105"/>
      <c r="AA213" s="233"/>
      <c r="AB213" s="104"/>
      <c r="AC213" s="512" t="str">
        <f>IF(OR(P213="",Y213="Yes"),"",IF(P213='G-1 All Habitats'!$X$9,H213-S213-T213,"None"))</f>
        <v/>
      </c>
      <c r="AD213" s="513" t="str">
        <f>IF(P213="","",IF(P213='G-1 All Habitats'!$X$9,AC213*J213*L213*O213,"None"))</f>
        <v/>
      </c>
      <c r="AE213" s="35" t="str">
        <f t="shared" si="23"/>
        <v/>
      </c>
      <c r="AF213" s="40" t="str">
        <f t="shared" si="28"/>
        <v/>
      </c>
      <c r="AG213" s="40" t="str">
        <f t="shared" si="24"/>
        <v/>
      </c>
      <c r="AH213" s="40" t="str">
        <f>IF(I213="","",IF(#REF!&gt;0,TRUE,FALSE))</f>
        <v/>
      </c>
      <c r="AI213" s="40">
        <v>203</v>
      </c>
      <c r="AJ213" s="40"/>
      <c r="AK213" s="40" t="str">
        <f t="array" ref="AK213">IFERROR(INDEX($AI$11:$AI$259,MATCH(0,IF(TRUE=$AF$11:$AF$259,COUNTIF($AK$10:$AK212,$AI$11:$AI$259),""),0)),"")</f>
        <v/>
      </c>
      <c r="AL213" s="40" t="str">
        <f t="array" ref="AL213">IFERROR(INDEX($AI$11:$AI$259,MATCH(0,IF(TRUE=$AG$11:$AG$259,COUNTIF($AL$10:$AL212,$AI$11:$AI$259),""),0)),"")</f>
        <v/>
      </c>
      <c r="AM213" s="40" t="str">
        <f t="array" ref="AM213">IFERROR(INDEX($AI$11:$AI$259,MATCH(0,IF(TRUE=$AH$11:$AH$259,COUNTIF($AM$10:$AM212,$AI$11:$AI$259),""),0)),"")</f>
        <v/>
      </c>
      <c r="AN213" s="40"/>
      <c r="AQ213" s="35">
        <f t="shared" si="29"/>
        <v>0</v>
      </c>
      <c r="AT213" s="885" t="str">
        <f>IF(AND(OR(Y213="Yes",Y213="Pending"),P213='G-1 All Habitats'!$X$3),Q213-U213-V213,"")</f>
        <v/>
      </c>
      <c r="AV213" s="542" t="str">
        <f>IFERROR(INDEX('G-1 All Habitats'!$B$3:$B$135,MATCH(F213,'G-1 All Habitats'!$A$3:$A$135,0)),"")</f>
        <v/>
      </c>
      <c r="AW213" s="35" t="str">
        <f>IF(AV213="","",VLOOKUP(AV213,'G-1 All Habitats'!$B$1:$T$135,19,FALSE))</f>
        <v/>
      </c>
    </row>
    <row r="214" spans="1:49" ht="14.5" hidden="1" thickBot="1">
      <c r="A214" s="35" t="str">
        <f>IFERROR(INDEX('G-1 All Habitats'!$AG$3:$AG$17,MATCH(E214,'G-1 All Habitats'!$AF$3:$AF$17,0)),"")</f>
        <v/>
      </c>
      <c r="B214" s="35" t="str">
        <f>IFERROR(INDEX('G-8 Condition Look up'!$I$4:$I$135,MATCH(AV214,'G-8 Condition Look up'!$A$4:$A$135,0)),"")</f>
        <v/>
      </c>
      <c r="D214" s="225">
        <v>204</v>
      </c>
      <c r="E214" s="211"/>
      <c r="F214" s="57"/>
      <c r="G214" s="263"/>
      <c r="H214" s="51"/>
      <c r="I214" s="275" t="str">
        <f>IF(AV214="","",IF(AND(AW214="Yes",G214="No"),"Irreplaceable habitat ▲",IF(AND(AW214="No",G214="Yes"),"Cannot be Irreplaceable ▲",VLOOKUP(AV214,'G-1 All Habitats'!$B$2:$M$135,10,FALSE))))</f>
        <v/>
      </c>
      <c r="J214" s="276" t="str">
        <f>IFERROR(VLOOKUP(I214,'G-1 All Habitats'!$V$3:$W$7,2,FALSE),"")</f>
        <v/>
      </c>
      <c r="K214" s="52"/>
      <c r="L214" s="276" t="str">
        <f>IFERROR(INDEX('G-8 Condition Look up'!$A$3:$H$135,MATCH(AV214,'G-8 Condition Look up'!$A$3:$A$135,0),MATCH(K214,'G-8 Condition Look up'!$A$3:$H$3,0)),"")</f>
        <v/>
      </c>
      <c r="M214" s="52"/>
      <c r="N214" s="295" t="str">
        <f>IF(M214="","",IF(VLOOKUP(M214,'G-3 Multipliers'!$L$3:$N$6,2,FALSE)=0,"Spatial Data Missing",VLOOKUP(M214,'G-3 Multipliers'!$L$3:$N$6,2,FALSE)))</f>
        <v/>
      </c>
      <c r="O214" s="281" t="str">
        <f>IF(M214="","",IF(VLOOKUP(M214,'G-3 Multipliers'!$L$3:$N$6,3,FALSE)=0,"Spatial Data Missing ▲",VLOOKUP(M214,'G-3 Multipliers'!$L$3:$N$6,3,FALSE)))</f>
        <v/>
      </c>
      <c r="P214" s="282" t="str">
        <f>(IF(G214="Yes","Bespoke compensation likely to be required",(IFERROR(VLOOKUP(AV214,'G-1 All Habitats'!$B$2:$M$135,12,FALSE),""))))</f>
        <v/>
      </c>
      <c r="Q214" s="289" t="str">
        <f>IFERROR(IF(AND(F214&lt;&gt;"",G214=""),"Confirm irreplaceable habitat status ▲",(IF(AND(E214="Individual trees",T214&gt;0,G214="Yes"),"Error - you cannot enhance irreplaceable individual trees ▲",(IF(AND(U214="Irreplaceable habitat - no units generated ⚠",(S214+T214)&lt;H214,OR(Y214="No",Y214="")),"Any Loss Unacceptable ⚠",(IF(U214="Irreplaceable habitat - no units generated ⚠",T214*J214*L214*O214,IF(AND(P214='G-1 All Habitats'!$X$9,AC214&gt;0,S214&lt;=0,T214&lt;=0,OR(Y214="No",Y214="")),"Any Loss Unacceptable ⚠",IF(AND(P214='G-1 All Habitats'!$X$9,AC214&gt;0,S214&lt;=0,T214&lt;=0,Y214="Yes"),0,(IF(AND(P214='G-1 All Habitats'!$X$9,(S214+T214)&lt;H214,OR(Y214="No",Y214="")),"Any Loss Unacceptable ⚠",(IF(P214="","",IF(AND(P214='G-1 All Habitats'!$X$9,T214&gt;0),U214+V214,IF(AND(P214='G-1 All Habitats'!$X$9,S214&gt;0),U214+V214,H214*J214*L214*O214))))))))))))))),"Check Data ▲")</f>
        <v/>
      </c>
      <c r="R214" s="38"/>
      <c r="S214" s="52"/>
      <c r="T214" s="53"/>
      <c r="U214" s="287" t="str">
        <f t="shared" si="25"/>
        <v/>
      </c>
      <c r="V214" s="287" t="str">
        <f t="shared" si="26"/>
        <v/>
      </c>
      <c r="W214" s="287" t="str">
        <f t="shared" si="27"/>
        <v/>
      </c>
      <c r="X214" s="291" t="str">
        <f>IFERROR(IF(H214="","",IF(H214-S214-T214=0&lt;0,"Error in Areas ▲",IF(S214+T214&gt;H214,"Error in Areas ▲",IF(AND(P214='G-1 All Habitats'!$X$9,Y214="Yes"),"Alternative Compensation ✓",IF(AND(P214='G-1 All Habitats'!$X$3,Y214="Yes"),"Alternative Compensation ✓",IF(AND(Y214="Pending",P214='G-1 All Habitats'!$X$3),"Bespoke compensation must be agreed ▲",IF(AND(Y214="Pending",P214='G-1 All Habitats'!$X$9),"Bespoke compensation must be agreed  ▲",IF(W214=0,0,IF(P214='G-1 All Habitats'!$X$9,"Any Loss Unacceptable ▲",Q214-U214-V214))))))))),"Check Data ▲")</f>
        <v/>
      </c>
      <c r="Y214" s="53"/>
      <c r="Z214" s="105"/>
      <c r="AA214" s="233"/>
      <c r="AB214" s="104"/>
      <c r="AC214" s="512" t="str">
        <f>IF(OR(P214="",Y214="Yes"),"",IF(P214='G-1 All Habitats'!$X$9,H214-S214-T214,"None"))</f>
        <v/>
      </c>
      <c r="AD214" s="513" t="str">
        <f>IF(P214="","",IF(P214='G-1 All Habitats'!$X$9,AC214*J214*L214*O214,"None"))</f>
        <v/>
      </c>
      <c r="AE214" s="35" t="str">
        <f t="shared" si="23"/>
        <v/>
      </c>
      <c r="AF214" s="40" t="str">
        <f t="shared" si="28"/>
        <v/>
      </c>
      <c r="AG214" s="40" t="str">
        <f t="shared" si="24"/>
        <v/>
      </c>
      <c r="AH214" s="40" t="str">
        <f>IF(I214="","",IF(#REF!&gt;0,TRUE,FALSE))</f>
        <v/>
      </c>
      <c r="AI214" s="40">
        <v>204</v>
      </c>
      <c r="AJ214" s="40"/>
      <c r="AK214" s="40" t="str">
        <f t="array" ref="AK214">IFERROR(INDEX($AI$11:$AI$259,MATCH(0,IF(TRUE=$AF$11:$AF$259,COUNTIF($AK$10:$AK213,$AI$11:$AI$259),""),0)),"")</f>
        <v/>
      </c>
      <c r="AL214" s="40" t="str">
        <f t="array" ref="AL214">IFERROR(INDEX($AI$11:$AI$259,MATCH(0,IF(TRUE=$AG$11:$AG$259,COUNTIF($AL$10:$AL213,$AI$11:$AI$259),""),0)),"")</f>
        <v/>
      </c>
      <c r="AM214" s="40" t="str">
        <f t="array" ref="AM214">IFERROR(INDEX($AI$11:$AI$259,MATCH(0,IF(TRUE=$AH$11:$AH$259,COUNTIF($AM$10:$AM213,$AI$11:$AI$259),""),0)),"")</f>
        <v/>
      </c>
      <c r="AN214" s="40"/>
      <c r="AQ214" s="35">
        <f t="shared" si="29"/>
        <v>0</v>
      </c>
      <c r="AT214" s="885" t="str">
        <f>IF(AND(OR(Y214="Yes",Y214="Pending"),P214='G-1 All Habitats'!$X$3),Q214-U214-V214,"")</f>
        <v/>
      </c>
      <c r="AV214" s="542" t="str">
        <f>IFERROR(INDEX('G-1 All Habitats'!$B$3:$B$135,MATCH(F214,'G-1 All Habitats'!$A$3:$A$135,0)),"")</f>
        <v/>
      </c>
      <c r="AW214" s="35" t="str">
        <f>IF(AV214="","",VLOOKUP(AV214,'G-1 All Habitats'!$B$1:$T$135,19,FALSE))</f>
        <v/>
      </c>
    </row>
    <row r="215" spans="1:49" ht="14.5" hidden="1" thickBot="1">
      <c r="A215" s="35" t="str">
        <f>IFERROR(INDEX('G-1 All Habitats'!$AG$3:$AG$17,MATCH(E215,'G-1 All Habitats'!$AF$3:$AF$17,0)),"")</f>
        <v/>
      </c>
      <c r="B215" s="35" t="str">
        <f>IFERROR(INDEX('G-8 Condition Look up'!$I$4:$I$135,MATCH(AV215,'G-8 Condition Look up'!$A$4:$A$135,0)),"")</f>
        <v/>
      </c>
      <c r="D215" s="225">
        <v>205</v>
      </c>
      <c r="E215" s="211"/>
      <c r="F215" s="57"/>
      <c r="G215" s="263"/>
      <c r="H215" s="51"/>
      <c r="I215" s="275" t="str">
        <f>IF(AV215="","",IF(AND(AW215="Yes",G215="No"),"Irreplaceable habitat ▲",IF(AND(AW215="No",G215="Yes"),"Cannot be Irreplaceable ▲",VLOOKUP(AV215,'G-1 All Habitats'!$B$2:$M$135,10,FALSE))))</f>
        <v/>
      </c>
      <c r="J215" s="276" t="str">
        <f>IFERROR(VLOOKUP(I215,'G-1 All Habitats'!$V$3:$W$7,2,FALSE),"")</f>
        <v/>
      </c>
      <c r="K215" s="52"/>
      <c r="L215" s="276" t="str">
        <f>IFERROR(INDEX('G-8 Condition Look up'!$A$3:$H$135,MATCH(AV215,'G-8 Condition Look up'!$A$3:$A$135,0),MATCH(K215,'G-8 Condition Look up'!$A$3:$H$3,0)),"")</f>
        <v/>
      </c>
      <c r="M215" s="52"/>
      <c r="N215" s="295" t="str">
        <f>IF(M215="","",IF(VLOOKUP(M215,'G-3 Multipliers'!$L$3:$N$6,2,FALSE)=0,"Spatial Data Missing",VLOOKUP(M215,'G-3 Multipliers'!$L$3:$N$6,2,FALSE)))</f>
        <v/>
      </c>
      <c r="O215" s="281" t="str">
        <f>IF(M215="","",IF(VLOOKUP(M215,'G-3 Multipliers'!$L$3:$N$6,3,FALSE)=0,"Spatial Data Missing ▲",VLOOKUP(M215,'G-3 Multipliers'!$L$3:$N$6,3,FALSE)))</f>
        <v/>
      </c>
      <c r="P215" s="282" t="str">
        <f>(IF(G215="Yes","Bespoke compensation likely to be required",(IFERROR(VLOOKUP(AV215,'G-1 All Habitats'!$B$2:$M$135,12,FALSE),""))))</f>
        <v/>
      </c>
      <c r="Q215" s="289" t="str">
        <f>IFERROR(IF(AND(F215&lt;&gt;"",G215=""),"Confirm irreplaceable habitat status ▲",(IF(AND(E215="Individual trees",T215&gt;0,G215="Yes"),"Error - you cannot enhance irreplaceable individual trees ▲",(IF(AND(U215="Irreplaceable habitat - no units generated ⚠",(S215+T215)&lt;H215,OR(Y215="No",Y215="")),"Any Loss Unacceptable ⚠",(IF(U215="Irreplaceable habitat - no units generated ⚠",T215*J215*L215*O215,IF(AND(P215='G-1 All Habitats'!$X$9,AC215&gt;0,S215&lt;=0,T215&lt;=0,OR(Y215="No",Y215="")),"Any Loss Unacceptable ⚠",IF(AND(P215='G-1 All Habitats'!$X$9,AC215&gt;0,S215&lt;=0,T215&lt;=0,Y215="Yes"),0,(IF(AND(P215='G-1 All Habitats'!$X$9,(S215+T215)&lt;H215,OR(Y215="No",Y215="")),"Any Loss Unacceptable ⚠",(IF(P215="","",IF(AND(P215='G-1 All Habitats'!$X$9,T215&gt;0),U215+V215,IF(AND(P215='G-1 All Habitats'!$X$9,S215&gt;0),U215+V215,H215*J215*L215*O215))))))))))))))),"Check Data ▲")</f>
        <v/>
      </c>
      <c r="R215" s="38"/>
      <c r="S215" s="52"/>
      <c r="T215" s="53"/>
      <c r="U215" s="287" t="str">
        <f t="shared" si="25"/>
        <v/>
      </c>
      <c r="V215" s="287" t="str">
        <f t="shared" si="26"/>
        <v/>
      </c>
      <c r="W215" s="287" t="str">
        <f t="shared" si="27"/>
        <v/>
      </c>
      <c r="X215" s="291" t="str">
        <f>IFERROR(IF(H215="","",IF(H215-S215-T215=0&lt;0,"Error in Areas ▲",IF(S215+T215&gt;H215,"Error in Areas ▲",IF(AND(P215='G-1 All Habitats'!$X$9,Y215="Yes"),"Alternative Compensation ✓",IF(AND(P215='G-1 All Habitats'!$X$3,Y215="Yes"),"Alternative Compensation ✓",IF(AND(Y215="Pending",P215='G-1 All Habitats'!$X$3),"Bespoke compensation must be agreed ▲",IF(AND(Y215="Pending",P215='G-1 All Habitats'!$X$9),"Bespoke compensation must be agreed  ▲",IF(W215=0,0,IF(P215='G-1 All Habitats'!$X$9,"Any Loss Unacceptable ▲",Q215-U215-V215))))))))),"Check Data ▲")</f>
        <v/>
      </c>
      <c r="Y215" s="53"/>
      <c r="Z215" s="105"/>
      <c r="AA215" s="233"/>
      <c r="AB215" s="104"/>
      <c r="AC215" s="512" t="str">
        <f>IF(OR(P215="",Y215="Yes"),"",IF(P215='G-1 All Habitats'!$X$9,H215-S215-T215,"None"))</f>
        <v/>
      </c>
      <c r="AD215" s="513" t="str">
        <f>IF(P215="","",IF(P215='G-1 All Habitats'!$X$9,AC215*J215*L215*O215,"None"))</f>
        <v/>
      </c>
      <c r="AE215" s="35" t="str">
        <f t="shared" si="23"/>
        <v/>
      </c>
      <c r="AF215" s="40" t="str">
        <f t="shared" si="28"/>
        <v/>
      </c>
      <c r="AG215" s="40" t="str">
        <f t="shared" si="24"/>
        <v/>
      </c>
      <c r="AH215" s="40" t="str">
        <f>IF(I215="","",IF(#REF!&gt;0,TRUE,FALSE))</f>
        <v/>
      </c>
      <c r="AI215" s="40">
        <v>205</v>
      </c>
      <c r="AJ215" s="40"/>
      <c r="AK215" s="40" t="str">
        <f t="array" ref="AK215">IFERROR(INDEX($AI$11:$AI$259,MATCH(0,IF(TRUE=$AF$11:$AF$259,COUNTIF($AK$10:$AK214,$AI$11:$AI$259),""),0)),"")</f>
        <v/>
      </c>
      <c r="AL215" s="40" t="str">
        <f t="array" ref="AL215">IFERROR(INDEX($AI$11:$AI$259,MATCH(0,IF(TRUE=$AG$11:$AG$259,COUNTIF($AL$10:$AL214,$AI$11:$AI$259),""),0)),"")</f>
        <v/>
      </c>
      <c r="AM215" s="40" t="str">
        <f t="array" ref="AM215">IFERROR(INDEX($AI$11:$AI$259,MATCH(0,IF(TRUE=$AH$11:$AH$259,COUNTIF($AM$10:$AM214,$AI$11:$AI$259),""),0)),"")</f>
        <v/>
      </c>
      <c r="AN215" s="40"/>
      <c r="AQ215" s="35">
        <f t="shared" si="29"/>
        <v>0</v>
      </c>
      <c r="AT215" s="885" t="str">
        <f>IF(AND(OR(Y215="Yes",Y215="Pending"),P215='G-1 All Habitats'!$X$3),Q215-U215-V215,"")</f>
        <v/>
      </c>
      <c r="AV215" s="542" t="str">
        <f>IFERROR(INDEX('G-1 All Habitats'!$B$3:$B$135,MATCH(F215,'G-1 All Habitats'!$A$3:$A$135,0)),"")</f>
        <v/>
      </c>
      <c r="AW215" s="35" t="str">
        <f>IF(AV215="","",VLOOKUP(AV215,'G-1 All Habitats'!$B$1:$T$135,19,FALSE))</f>
        <v/>
      </c>
    </row>
    <row r="216" spans="1:49" ht="14.5" hidden="1" thickBot="1">
      <c r="A216" s="35" t="str">
        <f>IFERROR(INDEX('G-1 All Habitats'!$AG$3:$AG$17,MATCH(E216,'G-1 All Habitats'!$AF$3:$AF$17,0)),"")</f>
        <v/>
      </c>
      <c r="B216" s="35" t="str">
        <f>IFERROR(INDEX('G-8 Condition Look up'!$I$4:$I$135,MATCH(AV216,'G-8 Condition Look up'!$A$4:$A$135,0)),"")</f>
        <v/>
      </c>
      <c r="D216" s="225">
        <v>206</v>
      </c>
      <c r="E216" s="211"/>
      <c r="F216" s="57"/>
      <c r="G216" s="263"/>
      <c r="H216" s="51"/>
      <c r="I216" s="275" t="str">
        <f>IF(AV216="","",IF(AND(AW216="Yes",G216="No"),"Irreplaceable habitat ▲",IF(AND(AW216="No",G216="Yes"),"Cannot be Irreplaceable ▲",VLOOKUP(AV216,'G-1 All Habitats'!$B$2:$M$135,10,FALSE))))</f>
        <v/>
      </c>
      <c r="J216" s="276" t="str">
        <f>IFERROR(VLOOKUP(I216,'G-1 All Habitats'!$V$3:$W$7,2,FALSE),"")</f>
        <v/>
      </c>
      <c r="K216" s="52"/>
      <c r="L216" s="276" t="str">
        <f>IFERROR(INDEX('G-8 Condition Look up'!$A$3:$H$135,MATCH(AV216,'G-8 Condition Look up'!$A$3:$A$135,0),MATCH(K216,'G-8 Condition Look up'!$A$3:$H$3,0)),"")</f>
        <v/>
      </c>
      <c r="M216" s="52"/>
      <c r="N216" s="295" t="str">
        <f>IF(M216="","",IF(VLOOKUP(M216,'G-3 Multipliers'!$L$3:$N$6,2,FALSE)=0,"Spatial Data Missing",VLOOKUP(M216,'G-3 Multipliers'!$L$3:$N$6,2,FALSE)))</f>
        <v/>
      </c>
      <c r="O216" s="281" t="str">
        <f>IF(M216="","",IF(VLOOKUP(M216,'G-3 Multipliers'!$L$3:$N$6,3,FALSE)=0,"Spatial Data Missing ▲",VLOOKUP(M216,'G-3 Multipliers'!$L$3:$N$6,3,FALSE)))</f>
        <v/>
      </c>
      <c r="P216" s="282" t="str">
        <f>(IF(G216="Yes","Bespoke compensation likely to be required",(IFERROR(VLOOKUP(AV216,'G-1 All Habitats'!$B$2:$M$135,12,FALSE),""))))</f>
        <v/>
      </c>
      <c r="Q216" s="289" t="str">
        <f>IFERROR(IF(AND(F216&lt;&gt;"",G216=""),"Confirm irreplaceable habitat status ▲",(IF(AND(E216="Individual trees",T216&gt;0,G216="Yes"),"Error - you cannot enhance irreplaceable individual trees ▲",(IF(AND(U216="Irreplaceable habitat - no units generated ⚠",(S216+T216)&lt;H216,OR(Y216="No",Y216="")),"Any Loss Unacceptable ⚠",(IF(U216="Irreplaceable habitat - no units generated ⚠",T216*J216*L216*O216,IF(AND(P216='G-1 All Habitats'!$X$9,AC216&gt;0,S216&lt;=0,T216&lt;=0,OR(Y216="No",Y216="")),"Any Loss Unacceptable ⚠",IF(AND(P216='G-1 All Habitats'!$X$9,AC216&gt;0,S216&lt;=0,T216&lt;=0,Y216="Yes"),0,(IF(AND(P216='G-1 All Habitats'!$X$9,(S216+T216)&lt;H216,OR(Y216="No",Y216="")),"Any Loss Unacceptable ⚠",(IF(P216="","",IF(AND(P216='G-1 All Habitats'!$X$9,T216&gt;0),U216+V216,IF(AND(P216='G-1 All Habitats'!$X$9,S216&gt;0),U216+V216,H216*J216*L216*O216))))))))))))))),"Check Data ▲")</f>
        <v/>
      </c>
      <c r="R216" s="38"/>
      <c r="S216" s="52"/>
      <c r="T216" s="53"/>
      <c r="U216" s="287" t="str">
        <f t="shared" si="25"/>
        <v/>
      </c>
      <c r="V216" s="287" t="str">
        <f t="shared" si="26"/>
        <v/>
      </c>
      <c r="W216" s="287" t="str">
        <f t="shared" si="27"/>
        <v/>
      </c>
      <c r="X216" s="291" t="str">
        <f>IFERROR(IF(H216="","",IF(H216-S216-T216=0&lt;0,"Error in Areas ▲",IF(S216+T216&gt;H216,"Error in Areas ▲",IF(AND(P216='G-1 All Habitats'!$X$9,Y216="Yes"),"Alternative Compensation ✓",IF(AND(P216='G-1 All Habitats'!$X$3,Y216="Yes"),"Alternative Compensation ✓",IF(AND(Y216="Pending",P216='G-1 All Habitats'!$X$3),"Bespoke compensation must be agreed ▲",IF(AND(Y216="Pending",P216='G-1 All Habitats'!$X$9),"Bespoke compensation must be agreed  ▲",IF(W216=0,0,IF(P216='G-1 All Habitats'!$X$9,"Any Loss Unacceptable ▲",Q216-U216-V216))))))))),"Check Data ▲")</f>
        <v/>
      </c>
      <c r="Y216" s="53"/>
      <c r="Z216" s="105"/>
      <c r="AA216" s="233"/>
      <c r="AB216" s="104"/>
      <c r="AC216" s="512" t="str">
        <f>IF(OR(P216="",Y216="Yes"),"",IF(P216='G-1 All Habitats'!$X$9,H216-S216-T216,"None"))</f>
        <v/>
      </c>
      <c r="AD216" s="513" t="str">
        <f>IF(P216="","",IF(P216='G-1 All Habitats'!$X$9,AC216*J216*L216*O216,"None"))</f>
        <v/>
      </c>
      <c r="AE216" s="35" t="str">
        <f t="shared" si="23"/>
        <v/>
      </c>
      <c r="AF216" s="40" t="str">
        <f t="shared" si="28"/>
        <v/>
      </c>
      <c r="AG216" s="40" t="str">
        <f t="shared" si="24"/>
        <v/>
      </c>
      <c r="AH216" s="40" t="str">
        <f>IF(I216="","",IF(#REF!&gt;0,TRUE,FALSE))</f>
        <v/>
      </c>
      <c r="AI216" s="40">
        <v>206</v>
      </c>
      <c r="AJ216" s="40"/>
      <c r="AK216" s="40" t="str">
        <f t="array" ref="AK216">IFERROR(INDEX($AI$11:$AI$259,MATCH(0,IF(TRUE=$AF$11:$AF$259,COUNTIF($AK$10:$AK215,$AI$11:$AI$259),""),0)),"")</f>
        <v/>
      </c>
      <c r="AL216" s="40" t="str">
        <f t="array" ref="AL216">IFERROR(INDEX($AI$11:$AI$259,MATCH(0,IF(TRUE=$AG$11:$AG$259,COUNTIF($AL$10:$AL215,$AI$11:$AI$259),""),0)),"")</f>
        <v/>
      </c>
      <c r="AM216" s="40" t="str">
        <f t="array" ref="AM216">IFERROR(INDEX($AI$11:$AI$259,MATCH(0,IF(TRUE=$AH$11:$AH$259,COUNTIF($AM$10:$AM215,$AI$11:$AI$259),""),0)),"")</f>
        <v/>
      </c>
      <c r="AN216" s="40"/>
      <c r="AQ216" s="35">
        <f t="shared" si="29"/>
        <v>0</v>
      </c>
      <c r="AT216" s="885" t="str">
        <f>IF(AND(OR(Y216="Yes",Y216="Pending"),P216='G-1 All Habitats'!$X$3),Q216-U216-V216,"")</f>
        <v/>
      </c>
      <c r="AV216" s="542" t="str">
        <f>IFERROR(INDEX('G-1 All Habitats'!$B$3:$B$135,MATCH(F216,'G-1 All Habitats'!$A$3:$A$135,0)),"")</f>
        <v/>
      </c>
      <c r="AW216" s="35" t="str">
        <f>IF(AV216="","",VLOOKUP(AV216,'G-1 All Habitats'!$B$1:$T$135,19,FALSE))</f>
        <v/>
      </c>
    </row>
    <row r="217" spans="1:49" ht="14.5" hidden="1" thickBot="1">
      <c r="A217" s="35" t="str">
        <f>IFERROR(INDEX('G-1 All Habitats'!$AG$3:$AG$17,MATCH(E217,'G-1 All Habitats'!$AF$3:$AF$17,0)),"")</f>
        <v/>
      </c>
      <c r="B217" s="35" t="str">
        <f>IFERROR(INDEX('G-8 Condition Look up'!$I$4:$I$135,MATCH(AV217,'G-8 Condition Look up'!$A$4:$A$135,0)),"")</f>
        <v/>
      </c>
      <c r="D217" s="225">
        <v>207</v>
      </c>
      <c r="E217" s="211"/>
      <c r="F217" s="57"/>
      <c r="G217" s="263"/>
      <c r="H217" s="51"/>
      <c r="I217" s="275" t="str">
        <f>IF(AV217="","",IF(AND(AW217="Yes",G217="No"),"Irreplaceable habitat ▲",IF(AND(AW217="No",G217="Yes"),"Cannot be Irreplaceable ▲",VLOOKUP(AV217,'G-1 All Habitats'!$B$2:$M$135,10,FALSE))))</f>
        <v/>
      </c>
      <c r="J217" s="276" t="str">
        <f>IFERROR(VLOOKUP(I217,'G-1 All Habitats'!$V$3:$W$7,2,FALSE),"")</f>
        <v/>
      </c>
      <c r="K217" s="52"/>
      <c r="L217" s="276" t="str">
        <f>IFERROR(INDEX('G-8 Condition Look up'!$A$3:$H$135,MATCH(AV217,'G-8 Condition Look up'!$A$3:$A$135,0),MATCH(K217,'G-8 Condition Look up'!$A$3:$H$3,0)),"")</f>
        <v/>
      </c>
      <c r="M217" s="52"/>
      <c r="N217" s="295" t="str">
        <f>IF(M217="","",IF(VLOOKUP(M217,'G-3 Multipliers'!$L$3:$N$6,2,FALSE)=0,"Spatial Data Missing",VLOOKUP(M217,'G-3 Multipliers'!$L$3:$N$6,2,FALSE)))</f>
        <v/>
      </c>
      <c r="O217" s="281" t="str">
        <f>IF(M217="","",IF(VLOOKUP(M217,'G-3 Multipliers'!$L$3:$N$6,3,FALSE)=0,"Spatial Data Missing ▲",VLOOKUP(M217,'G-3 Multipliers'!$L$3:$N$6,3,FALSE)))</f>
        <v/>
      </c>
      <c r="P217" s="282" t="str">
        <f>(IF(G217="Yes","Bespoke compensation likely to be required",(IFERROR(VLOOKUP(AV217,'G-1 All Habitats'!$B$2:$M$135,12,FALSE),""))))</f>
        <v/>
      </c>
      <c r="Q217" s="289" t="str">
        <f>IFERROR(IF(AND(F217&lt;&gt;"",G217=""),"Confirm irreplaceable habitat status ▲",(IF(AND(E217="Individual trees",T217&gt;0,G217="Yes"),"Error - you cannot enhance irreplaceable individual trees ▲",(IF(AND(U217="Irreplaceable habitat - no units generated ⚠",(S217+T217)&lt;H217,OR(Y217="No",Y217="")),"Any Loss Unacceptable ⚠",(IF(U217="Irreplaceable habitat - no units generated ⚠",T217*J217*L217*O217,IF(AND(P217='G-1 All Habitats'!$X$9,AC217&gt;0,S217&lt;=0,T217&lt;=0,OR(Y217="No",Y217="")),"Any Loss Unacceptable ⚠",IF(AND(P217='G-1 All Habitats'!$X$9,AC217&gt;0,S217&lt;=0,T217&lt;=0,Y217="Yes"),0,(IF(AND(P217='G-1 All Habitats'!$X$9,(S217+T217)&lt;H217,OR(Y217="No",Y217="")),"Any Loss Unacceptable ⚠",(IF(P217="","",IF(AND(P217='G-1 All Habitats'!$X$9,T217&gt;0),U217+V217,IF(AND(P217='G-1 All Habitats'!$X$9,S217&gt;0),U217+V217,H217*J217*L217*O217))))))))))))))),"Check Data ▲")</f>
        <v/>
      </c>
      <c r="R217" s="38"/>
      <c r="S217" s="52"/>
      <c r="T217" s="53"/>
      <c r="U217" s="287" t="str">
        <f t="shared" si="25"/>
        <v/>
      </c>
      <c r="V217" s="287" t="str">
        <f t="shared" si="26"/>
        <v/>
      </c>
      <c r="W217" s="287" t="str">
        <f t="shared" si="27"/>
        <v/>
      </c>
      <c r="X217" s="291" t="str">
        <f>IFERROR(IF(H217="","",IF(H217-S217-T217=0&lt;0,"Error in Areas ▲",IF(S217+T217&gt;H217,"Error in Areas ▲",IF(AND(P217='G-1 All Habitats'!$X$9,Y217="Yes"),"Alternative Compensation ✓",IF(AND(P217='G-1 All Habitats'!$X$3,Y217="Yes"),"Alternative Compensation ✓",IF(AND(Y217="Pending",P217='G-1 All Habitats'!$X$3),"Bespoke compensation must be agreed ▲",IF(AND(Y217="Pending",P217='G-1 All Habitats'!$X$9),"Bespoke compensation must be agreed  ▲",IF(W217=0,0,IF(P217='G-1 All Habitats'!$X$9,"Any Loss Unacceptable ▲",Q217-U217-V217))))))))),"Check Data ▲")</f>
        <v/>
      </c>
      <c r="Y217" s="53"/>
      <c r="Z217" s="105"/>
      <c r="AA217" s="233"/>
      <c r="AB217" s="104"/>
      <c r="AC217" s="512" t="str">
        <f>IF(OR(P217="",Y217="Yes"),"",IF(P217='G-1 All Habitats'!$X$9,H217-S217-T217,"None"))</f>
        <v/>
      </c>
      <c r="AD217" s="513" t="str">
        <f>IF(P217="","",IF(P217='G-1 All Habitats'!$X$9,AC217*J217*L217*O217,"None"))</f>
        <v/>
      </c>
      <c r="AE217" s="35" t="str">
        <f t="shared" si="23"/>
        <v/>
      </c>
      <c r="AF217" s="40" t="str">
        <f t="shared" si="28"/>
        <v/>
      </c>
      <c r="AG217" s="40" t="str">
        <f t="shared" si="24"/>
        <v/>
      </c>
      <c r="AH217" s="40" t="str">
        <f>IF(I217="","",IF(#REF!&gt;0,TRUE,FALSE))</f>
        <v/>
      </c>
      <c r="AI217" s="40">
        <v>207</v>
      </c>
      <c r="AJ217" s="40"/>
      <c r="AK217" s="40" t="str">
        <f t="array" ref="AK217">IFERROR(INDEX($AI$11:$AI$259,MATCH(0,IF(TRUE=$AF$11:$AF$259,COUNTIF($AK$10:$AK216,$AI$11:$AI$259),""),0)),"")</f>
        <v/>
      </c>
      <c r="AL217" s="40" t="str">
        <f t="array" ref="AL217">IFERROR(INDEX($AI$11:$AI$259,MATCH(0,IF(TRUE=$AG$11:$AG$259,COUNTIF($AL$10:$AL216,$AI$11:$AI$259),""),0)),"")</f>
        <v/>
      </c>
      <c r="AM217" s="40" t="str">
        <f t="array" ref="AM217">IFERROR(INDEX($AI$11:$AI$259,MATCH(0,IF(TRUE=$AH$11:$AH$259,COUNTIF($AM$10:$AM216,$AI$11:$AI$259),""),0)),"")</f>
        <v/>
      </c>
      <c r="AN217" s="40"/>
      <c r="AQ217" s="35">
        <f t="shared" si="29"/>
        <v>0</v>
      </c>
      <c r="AT217" s="885" t="str">
        <f>IF(AND(OR(Y217="Yes",Y217="Pending"),P217='G-1 All Habitats'!$X$3),Q217-U217-V217,"")</f>
        <v/>
      </c>
      <c r="AV217" s="542" t="str">
        <f>IFERROR(INDEX('G-1 All Habitats'!$B$3:$B$135,MATCH(F217,'G-1 All Habitats'!$A$3:$A$135,0)),"")</f>
        <v/>
      </c>
      <c r="AW217" s="35" t="str">
        <f>IF(AV217="","",VLOOKUP(AV217,'G-1 All Habitats'!$B$1:$T$135,19,FALSE))</f>
        <v/>
      </c>
    </row>
    <row r="218" spans="1:49" ht="14.5" hidden="1" thickBot="1">
      <c r="A218" s="35" t="str">
        <f>IFERROR(INDEX('G-1 All Habitats'!$AG$3:$AG$17,MATCH(E218,'G-1 All Habitats'!$AF$3:$AF$17,0)),"")</f>
        <v/>
      </c>
      <c r="B218" s="35" t="str">
        <f>IFERROR(INDEX('G-8 Condition Look up'!$I$4:$I$135,MATCH(AV218,'G-8 Condition Look up'!$A$4:$A$135,0)),"")</f>
        <v/>
      </c>
      <c r="D218" s="225">
        <v>208</v>
      </c>
      <c r="E218" s="211"/>
      <c r="F218" s="57"/>
      <c r="G218" s="263"/>
      <c r="H218" s="51"/>
      <c r="I218" s="275" t="str">
        <f>IF(AV218="","",IF(AND(AW218="Yes",G218="No"),"Irreplaceable habitat ▲",IF(AND(AW218="No",G218="Yes"),"Cannot be Irreplaceable ▲",VLOOKUP(AV218,'G-1 All Habitats'!$B$2:$M$135,10,FALSE))))</f>
        <v/>
      </c>
      <c r="J218" s="276" t="str">
        <f>IFERROR(VLOOKUP(I218,'G-1 All Habitats'!$V$3:$W$7,2,FALSE),"")</f>
        <v/>
      </c>
      <c r="K218" s="52"/>
      <c r="L218" s="276" t="str">
        <f>IFERROR(INDEX('G-8 Condition Look up'!$A$3:$H$135,MATCH(AV218,'G-8 Condition Look up'!$A$3:$A$135,0),MATCH(K218,'G-8 Condition Look up'!$A$3:$H$3,0)),"")</f>
        <v/>
      </c>
      <c r="M218" s="52"/>
      <c r="N218" s="295" t="str">
        <f>IF(M218="","",IF(VLOOKUP(M218,'G-3 Multipliers'!$L$3:$N$6,2,FALSE)=0,"Spatial Data Missing",VLOOKUP(M218,'G-3 Multipliers'!$L$3:$N$6,2,FALSE)))</f>
        <v/>
      </c>
      <c r="O218" s="281" t="str">
        <f>IF(M218="","",IF(VLOOKUP(M218,'G-3 Multipliers'!$L$3:$N$6,3,FALSE)=0,"Spatial Data Missing ▲",VLOOKUP(M218,'G-3 Multipliers'!$L$3:$N$6,3,FALSE)))</f>
        <v/>
      </c>
      <c r="P218" s="282" t="str">
        <f>(IF(G218="Yes","Bespoke compensation likely to be required",(IFERROR(VLOOKUP(AV218,'G-1 All Habitats'!$B$2:$M$135,12,FALSE),""))))</f>
        <v/>
      </c>
      <c r="Q218" s="289" t="str">
        <f>IFERROR(IF(AND(F218&lt;&gt;"",G218=""),"Confirm irreplaceable habitat status ▲",(IF(AND(E218="Individual trees",T218&gt;0,G218="Yes"),"Error - you cannot enhance irreplaceable individual trees ▲",(IF(AND(U218="Irreplaceable habitat - no units generated ⚠",(S218+T218)&lt;H218,OR(Y218="No",Y218="")),"Any Loss Unacceptable ⚠",(IF(U218="Irreplaceable habitat - no units generated ⚠",T218*J218*L218*O218,IF(AND(P218='G-1 All Habitats'!$X$9,AC218&gt;0,S218&lt;=0,T218&lt;=0,OR(Y218="No",Y218="")),"Any Loss Unacceptable ⚠",IF(AND(P218='G-1 All Habitats'!$X$9,AC218&gt;0,S218&lt;=0,T218&lt;=0,Y218="Yes"),0,(IF(AND(P218='G-1 All Habitats'!$X$9,(S218+T218)&lt;H218,OR(Y218="No",Y218="")),"Any Loss Unacceptable ⚠",(IF(P218="","",IF(AND(P218='G-1 All Habitats'!$X$9,T218&gt;0),U218+V218,IF(AND(P218='G-1 All Habitats'!$X$9,S218&gt;0),U218+V218,H218*J218*L218*O218))))))))))))))),"Check Data ▲")</f>
        <v/>
      </c>
      <c r="R218" s="38"/>
      <c r="S218" s="52"/>
      <c r="T218" s="53"/>
      <c r="U218" s="287" t="str">
        <f t="shared" si="25"/>
        <v/>
      </c>
      <c r="V218" s="287" t="str">
        <f t="shared" si="26"/>
        <v/>
      </c>
      <c r="W218" s="287" t="str">
        <f t="shared" si="27"/>
        <v/>
      </c>
      <c r="X218" s="291" t="str">
        <f>IFERROR(IF(H218="","",IF(H218-S218-T218=0&lt;0,"Error in Areas ▲",IF(S218+T218&gt;H218,"Error in Areas ▲",IF(AND(P218='G-1 All Habitats'!$X$9,Y218="Yes"),"Alternative Compensation ✓",IF(AND(P218='G-1 All Habitats'!$X$3,Y218="Yes"),"Alternative Compensation ✓",IF(AND(Y218="Pending",P218='G-1 All Habitats'!$X$3),"Bespoke compensation must be agreed ▲",IF(AND(Y218="Pending",P218='G-1 All Habitats'!$X$9),"Bespoke compensation must be agreed  ▲",IF(W218=0,0,IF(P218='G-1 All Habitats'!$X$9,"Any Loss Unacceptable ▲",Q218-U218-V218))))))))),"Check Data ▲")</f>
        <v/>
      </c>
      <c r="Y218" s="53"/>
      <c r="Z218" s="105"/>
      <c r="AA218" s="233"/>
      <c r="AB218" s="104"/>
      <c r="AC218" s="512" t="str">
        <f>IF(OR(P218="",Y218="Yes"),"",IF(P218='G-1 All Habitats'!$X$9,H218-S218-T218,"None"))</f>
        <v/>
      </c>
      <c r="AD218" s="513" t="str">
        <f>IF(P218="","",IF(P218='G-1 All Habitats'!$X$9,AC218*J218*L218*O218,"None"))</f>
        <v/>
      </c>
      <c r="AE218" s="35" t="str">
        <f t="shared" si="23"/>
        <v/>
      </c>
      <c r="AF218" s="40" t="str">
        <f t="shared" si="28"/>
        <v/>
      </c>
      <c r="AG218" s="40" t="str">
        <f t="shared" si="24"/>
        <v/>
      </c>
      <c r="AH218" s="40" t="str">
        <f>IF(I218="","",IF(#REF!&gt;0,TRUE,FALSE))</f>
        <v/>
      </c>
      <c r="AI218" s="40">
        <v>208</v>
      </c>
      <c r="AJ218" s="40"/>
      <c r="AK218" s="40" t="str">
        <f t="array" ref="AK218">IFERROR(INDEX($AI$11:$AI$259,MATCH(0,IF(TRUE=$AF$11:$AF$259,COUNTIF($AK$10:$AK217,$AI$11:$AI$259),""),0)),"")</f>
        <v/>
      </c>
      <c r="AL218" s="40" t="str">
        <f t="array" ref="AL218">IFERROR(INDEX($AI$11:$AI$259,MATCH(0,IF(TRUE=$AG$11:$AG$259,COUNTIF($AL$10:$AL217,$AI$11:$AI$259),""),0)),"")</f>
        <v/>
      </c>
      <c r="AM218" s="40" t="str">
        <f t="array" ref="AM218">IFERROR(INDEX($AI$11:$AI$259,MATCH(0,IF(TRUE=$AH$11:$AH$259,COUNTIF($AM$10:$AM217,$AI$11:$AI$259),""),0)),"")</f>
        <v/>
      </c>
      <c r="AN218" s="40"/>
      <c r="AQ218" s="35">
        <f t="shared" si="29"/>
        <v>0</v>
      </c>
      <c r="AT218" s="885" t="str">
        <f>IF(AND(OR(Y218="Yes",Y218="Pending"),P218='G-1 All Habitats'!$X$3),Q218-U218-V218,"")</f>
        <v/>
      </c>
      <c r="AV218" s="542" t="str">
        <f>IFERROR(INDEX('G-1 All Habitats'!$B$3:$B$135,MATCH(F218,'G-1 All Habitats'!$A$3:$A$135,0)),"")</f>
        <v/>
      </c>
      <c r="AW218" s="35" t="str">
        <f>IF(AV218="","",VLOOKUP(AV218,'G-1 All Habitats'!$B$1:$T$135,19,FALSE))</f>
        <v/>
      </c>
    </row>
    <row r="219" spans="1:49" ht="14.5" hidden="1" thickBot="1">
      <c r="A219" s="35" t="str">
        <f>IFERROR(INDEX('G-1 All Habitats'!$AG$3:$AG$17,MATCH(E219,'G-1 All Habitats'!$AF$3:$AF$17,0)),"")</f>
        <v/>
      </c>
      <c r="B219" s="35" t="str">
        <f>IFERROR(INDEX('G-8 Condition Look up'!$I$4:$I$135,MATCH(AV219,'G-8 Condition Look up'!$A$4:$A$135,0)),"")</f>
        <v/>
      </c>
      <c r="D219" s="225">
        <v>209</v>
      </c>
      <c r="E219" s="211"/>
      <c r="F219" s="57"/>
      <c r="G219" s="263"/>
      <c r="H219" s="51"/>
      <c r="I219" s="275" t="str">
        <f>IF(AV219="","",IF(AND(AW219="Yes",G219="No"),"Irreplaceable habitat ▲",IF(AND(AW219="No",G219="Yes"),"Cannot be Irreplaceable ▲",VLOOKUP(AV219,'G-1 All Habitats'!$B$2:$M$135,10,FALSE))))</f>
        <v/>
      </c>
      <c r="J219" s="276" t="str">
        <f>IFERROR(VLOOKUP(I219,'G-1 All Habitats'!$V$3:$W$7,2,FALSE),"")</f>
        <v/>
      </c>
      <c r="K219" s="52"/>
      <c r="L219" s="276" t="str">
        <f>IFERROR(INDEX('G-8 Condition Look up'!$A$3:$H$135,MATCH(AV219,'G-8 Condition Look up'!$A$3:$A$135,0),MATCH(K219,'G-8 Condition Look up'!$A$3:$H$3,0)),"")</f>
        <v/>
      </c>
      <c r="M219" s="52"/>
      <c r="N219" s="295" t="str">
        <f>IF(M219="","",IF(VLOOKUP(M219,'G-3 Multipliers'!$L$3:$N$6,2,FALSE)=0,"Spatial Data Missing",VLOOKUP(M219,'G-3 Multipliers'!$L$3:$N$6,2,FALSE)))</f>
        <v/>
      </c>
      <c r="O219" s="281" t="str">
        <f>IF(M219="","",IF(VLOOKUP(M219,'G-3 Multipliers'!$L$3:$N$6,3,FALSE)=0,"Spatial Data Missing ▲",VLOOKUP(M219,'G-3 Multipliers'!$L$3:$N$6,3,FALSE)))</f>
        <v/>
      </c>
      <c r="P219" s="282" t="str">
        <f>(IF(G219="Yes","Bespoke compensation likely to be required",(IFERROR(VLOOKUP(AV219,'G-1 All Habitats'!$B$2:$M$135,12,FALSE),""))))</f>
        <v/>
      </c>
      <c r="Q219" s="289" t="str">
        <f>IFERROR(IF(AND(F219&lt;&gt;"",G219=""),"Confirm irreplaceable habitat status ▲",(IF(AND(E219="Individual trees",T219&gt;0,G219="Yes"),"Error - you cannot enhance irreplaceable individual trees ▲",(IF(AND(U219="Irreplaceable habitat - no units generated ⚠",(S219+T219)&lt;H219,OR(Y219="No",Y219="")),"Any Loss Unacceptable ⚠",(IF(U219="Irreplaceable habitat - no units generated ⚠",T219*J219*L219*O219,IF(AND(P219='G-1 All Habitats'!$X$9,AC219&gt;0,S219&lt;=0,T219&lt;=0,OR(Y219="No",Y219="")),"Any Loss Unacceptable ⚠",IF(AND(P219='G-1 All Habitats'!$X$9,AC219&gt;0,S219&lt;=0,T219&lt;=0,Y219="Yes"),0,(IF(AND(P219='G-1 All Habitats'!$X$9,(S219+T219)&lt;H219,OR(Y219="No",Y219="")),"Any Loss Unacceptable ⚠",(IF(P219="","",IF(AND(P219='G-1 All Habitats'!$X$9,T219&gt;0),U219+V219,IF(AND(P219='G-1 All Habitats'!$X$9,S219&gt;0),U219+V219,H219*J219*L219*O219))))))))))))))),"Check Data ▲")</f>
        <v/>
      </c>
      <c r="R219" s="38"/>
      <c r="S219" s="52"/>
      <c r="T219" s="53"/>
      <c r="U219" s="287" t="str">
        <f t="shared" si="25"/>
        <v/>
      </c>
      <c r="V219" s="287" t="str">
        <f t="shared" si="26"/>
        <v/>
      </c>
      <c r="W219" s="287" t="str">
        <f t="shared" si="27"/>
        <v/>
      </c>
      <c r="X219" s="291" t="str">
        <f>IFERROR(IF(H219="","",IF(H219-S219-T219=0&lt;0,"Error in Areas ▲",IF(S219+T219&gt;H219,"Error in Areas ▲",IF(AND(P219='G-1 All Habitats'!$X$9,Y219="Yes"),"Alternative Compensation ✓",IF(AND(P219='G-1 All Habitats'!$X$3,Y219="Yes"),"Alternative Compensation ✓",IF(AND(Y219="Pending",P219='G-1 All Habitats'!$X$3),"Bespoke compensation must be agreed ▲",IF(AND(Y219="Pending",P219='G-1 All Habitats'!$X$9),"Bespoke compensation must be agreed  ▲",IF(W219=0,0,IF(P219='G-1 All Habitats'!$X$9,"Any Loss Unacceptable ▲",Q219-U219-V219))))))))),"Check Data ▲")</f>
        <v/>
      </c>
      <c r="Y219" s="53"/>
      <c r="Z219" s="105"/>
      <c r="AA219" s="233"/>
      <c r="AB219" s="104"/>
      <c r="AC219" s="512" t="str">
        <f>IF(OR(P219="",Y219="Yes"),"",IF(P219='G-1 All Habitats'!$X$9,H219-S219-T219,"None"))</f>
        <v/>
      </c>
      <c r="AD219" s="513" t="str">
        <f>IF(P219="","",IF(P219='G-1 All Habitats'!$X$9,AC219*J219*L219*O219,"None"))</f>
        <v/>
      </c>
      <c r="AE219" s="35" t="str">
        <f t="shared" si="23"/>
        <v/>
      </c>
      <c r="AF219" s="40" t="str">
        <f t="shared" si="28"/>
        <v/>
      </c>
      <c r="AG219" s="40" t="str">
        <f t="shared" si="24"/>
        <v/>
      </c>
      <c r="AH219" s="40" t="str">
        <f>IF(I219="","",IF(#REF!&gt;0,TRUE,FALSE))</f>
        <v/>
      </c>
      <c r="AI219" s="40">
        <v>209</v>
      </c>
      <c r="AJ219" s="40"/>
      <c r="AK219" s="40" t="str">
        <f t="array" ref="AK219">IFERROR(INDEX($AI$11:$AI$259,MATCH(0,IF(TRUE=$AF$11:$AF$259,COUNTIF($AK$10:$AK218,$AI$11:$AI$259),""),0)),"")</f>
        <v/>
      </c>
      <c r="AL219" s="40" t="str">
        <f t="array" ref="AL219">IFERROR(INDEX($AI$11:$AI$259,MATCH(0,IF(TRUE=$AG$11:$AG$259,COUNTIF($AL$10:$AL218,$AI$11:$AI$259),""),0)),"")</f>
        <v/>
      </c>
      <c r="AM219" s="40" t="str">
        <f t="array" ref="AM219">IFERROR(INDEX($AI$11:$AI$259,MATCH(0,IF(TRUE=$AH$11:$AH$259,COUNTIF($AM$10:$AM218,$AI$11:$AI$259),""),0)),"")</f>
        <v/>
      </c>
      <c r="AN219" s="40"/>
      <c r="AQ219" s="35">
        <f t="shared" si="29"/>
        <v>0</v>
      </c>
      <c r="AT219" s="885" t="str">
        <f>IF(AND(OR(Y219="Yes",Y219="Pending"),P219='G-1 All Habitats'!$X$3),Q219-U219-V219,"")</f>
        <v/>
      </c>
      <c r="AV219" s="542" t="str">
        <f>IFERROR(INDEX('G-1 All Habitats'!$B$3:$B$135,MATCH(F219,'G-1 All Habitats'!$A$3:$A$135,0)),"")</f>
        <v/>
      </c>
      <c r="AW219" s="35" t="str">
        <f>IF(AV219="","",VLOOKUP(AV219,'G-1 All Habitats'!$B$1:$T$135,19,FALSE))</f>
        <v/>
      </c>
    </row>
    <row r="220" spans="1:49" ht="14.5" hidden="1" thickBot="1">
      <c r="A220" s="35" t="str">
        <f>IFERROR(INDEX('G-1 All Habitats'!$AG$3:$AG$17,MATCH(E220,'G-1 All Habitats'!$AF$3:$AF$17,0)),"")</f>
        <v/>
      </c>
      <c r="B220" s="35" t="str">
        <f>IFERROR(INDEX('G-8 Condition Look up'!$I$4:$I$135,MATCH(AV220,'G-8 Condition Look up'!$A$4:$A$135,0)),"")</f>
        <v/>
      </c>
      <c r="D220" s="225">
        <v>210</v>
      </c>
      <c r="E220" s="211"/>
      <c r="F220" s="57"/>
      <c r="G220" s="263"/>
      <c r="H220" s="51"/>
      <c r="I220" s="275" t="str">
        <f>IF(AV220="","",IF(AND(AW220="Yes",G220="No"),"Irreplaceable habitat ▲",IF(AND(AW220="No",G220="Yes"),"Cannot be Irreplaceable ▲",VLOOKUP(AV220,'G-1 All Habitats'!$B$2:$M$135,10,FALSE))))</f>
        <v/>
      </c>
      <c r="J220" s="276" t="str">
        <f>IFERROR(VLOOKUP(I220,'G-1 All Habitats'!$V$3:$W$7,2,FALSE),"")</f>
        <v/>
      </c>
      <c r="K220" s="52"/>
      <c r="L220" s="276" t="str">
        <f>IFERROR(INDEX('G-8 Condition Look up'!$A$3:$H$135,MATCH(AV220,'G-8 Condition Look up'!$A$3:$A$135,0),MATCH(K220,'G-8 Condition Look up'!$A$3:$H$3,0)),"")</f>
        <v/>
      </c>
      <c r="M220" s="52"/>
      <c r="N220" s="295" t="str">
        <f>IF(M220="","",IF(VLOOKUP(M220,'G-3 Multipliers'!$L$3:$N$6,2,FALSE)=0,"Spatial Data Missing",VLOOKUP(M220,'G-3 Multipliers'!$L$3:$N$6,2,FALSE)))</f>
        <v/>
      </c>
      <c r="O220" s="281" t="str">
        <f>IF(M220="","",IF(VLOOKUP(M220,'G-3 Multipliers'!$L$3:$N$6,3,FALSE)=0,"Spatial Data Missing ▲",VLOOKUP(M220,'G-3 Multipliers'!$L$3:$N$6,3,FALSE)))</f>
        <v/>
      </c>
      <c r="P220" s="282" t="str">
        <f>(IF(G220="Yes","Bespoke compensation likely to be required",(IFERROR(VLOOKUP(AV220,'G-1 All Habitats'!$B$2:$M$135,12,FALSE),""))))</f>
        <v/>
      </c>
      <c r="Q220" s="289" t="str">
        <f>IFERROR(IF(AND(F220&lt;&gt;"",G220=""),"Confirm irreplaceable habitat status ▲",(IF(AND(E220="Individual trees",T220&gt;0,G220="Yes"),"Error - you cannot enhance irreplaceable individual trees ▲",(IF(AND(U220="Irreplaceable habitat - no units generated ⚠",(S220+T220)&lt;H220,OR(Y220="No",Y220="")),"Any Loss Unacceptable ⚠",(IF(U220="Irreplaceable habitat - no units generated ⚠",T220*J220*L220*O220,IF(AND(P220='G-1 All Habitats'!$X$9,AC220&gt;0,S220&lt;=0,T220&lt;=0,OR(Y220="No",Y220="")),"Any Loss Unacceptable ⚠",IF(AND(P220='G-1 All Habitats'!$X$9,AC220&gt;0,S220&lt;=0,T220&lt;=0,Y220="Yes"),0,(IF(AND(P220='G-1 All Habitats'!$X$9,(S220+T220)&lt;H220,OR(Y220="No",Y220="")),"Any Loss Unacceptable ⚠",(IF(P220="","",IF(AND(P220='G-1 All Habitats'!$X$9,T220&gt;0),U220+V220,IF(AND(P220='G-1 All Habitats'!$X$9,S220&gt;0),U220+V220,H220*J220*L220*O220))))))))))))))),"Check Data ▲")</f>
        <v/>
      </c>
      <c r="R220" s="38"/>
      <c r="S220" s="52"/>
      <c r="T220" s="53"/>
      <c r="U220" s="287" t="str">
        <f t="shared" si="25"/>
        <v/>
      </c>
      <c r="V220" s="287" t="str">
        <f t="shared" si="26"/>
        <v/>
      </c>
      <c r="W220" s="287" t="str">
        <f t="shared" si="27"/>
        <v/>
      </c>
      <c r="X220" s="291" t="str">
        <f>IFERROR(IF(H220="","",IF(H220-S220-T220=0&lt;0,"Error in Areas ▲",IF(S220+T220&gt;H220,"Error in Areas ▲",IF(AND(P220='G-1 All Habitats'!$X$9,Y220="Yes"),"Alternative Compensation ✓",IF(AND(P220='G-1 All Habitats'!$X$3,Y220="Yes"),"Alternative Compensation ✓",IF(AND(Y220="Pending",P220='G-1 All Habitats'!$X$3),"Bespoke compensation must be agreed ▲",IF(AND(Y220="Pending",P220='G-1 All Habitats'!$X$9),"Bespoke compensation must be agreed  ▲",IF(W220=0,0,IF(P220='G-1 All Habitats'!$X$9,"Any Loss Unacceptable ▲",Q220-U220-V220))))))))),"Check Data ▲")</f>
        <v/>
      </c>
      <c r="Y220" s="53"/>
      <c r="Z220" s="105"/>
      <c r="AA220" s="233"/>
      <c r="AB220" s="104"/>
      <c r="AC220" s="512" t="str">
        <f>IF(OR(P220="",Y220="Yes"),"",IF(P220='G-1 All Habitats'!$X$9,H220-S220-T220,"None"))</f>
        <v/>
      </c>
      <c r="AD220" s="513" t="str">
        <f>IF(P220="","",IF(P220='G-1 All Habitats'!$X$9,AC220*J220*L220*O220,"None"))</f>
        <v/>
      </c>
      <c r="AE220" s="35" t="str">
        <f t="shared" si="23"/>
        <v/>
      </c>
      <c r="AF220" s="40" t="str">
        <f t="shared" si="28"/>
        <v/>
      </c>
      <c r="AG220" s="40" t="str">
        <f t="shared" si="24"/>
        <v/>
      </c>
      <c r="AH220" s="40" t="str">
        <f>IF(I220="","",IF(#REF!&gt;0,TRUE,FALSE))</f>
        <v/>
      </c>
      <c r="AI220" s="40">
        <v>210</v>
      </c>
      <c r="AJ220" s="40"/>
      <c r="AK220" s="40" t="str">
        <f t="array" ref="AK220">IFERROR(INDEX($AI$11:$AI$259,MATCH(0,IF(TRUE=$AF$11:$AF$259,COUNTIF($AK$10:$AK219,$AI$11:$AI$259),""),0)),"")</f>
        <v/>
      </c>
      <c r="AL220" s="40" t="str">
        <f t="array" ref="AL220">IFERROR(INDEX($AI$11:$AI$259,MATCH(0,IF(TRUE=$AG$11:$AG$259,COUNTIF($AL$10:$AL219,$AI$11:$AI$259),""),0)),"")</f>
        <v/>
      </c>
      <c r="AM220" s="40" t="str">
        <f t="array" ref="AM220">IFERROR(INDEX($AI$11:$AI$259,MATCH(0,IF(TRUE=$AH$11:$AH$259,COUNTIF($AM$10:$AM219,$AI$11:$AI$259),""),0)),"")</f>
        <v/>
      </c>
      <c r="AN220" s="40"/>
      <c r="AQ220" s="35">
        <f t="shared" si="29"/>
        <v>0</v>
      </c>
      <c r="AT220" s="885" t="str">
        <f>IF(AND(OR(Y220="Yes",Y220="Pending"),P220='G-1 All Habitats'!$X$3),Q220-U220-V220,"")</f>
        <v/>
      </c>
      <c r="AV220" s="542" t="str">
        <f>IFERROR(INDEX('G-1 All Habitats'!$B$3:$B$135,MATCH(F220,'G-1 All Habitats'!$A$3:$A$135,0)),"")</f>
        <v/>
      </c>
      <c r="AW220" s="35" t="str">
        <f>IF(AV220="","",VLOOKUP(AV220,'G-1 All Habitats'!$B$1:$T$135,19,FALSE))</f>
        <v/>
      </c>
    </row>
    <row r="221" spans="1:49" ht="14.5" hidden="1" thickBot="1">
      <c r="A221" s="35" t="str">
        <f>IFERROR(INDEX('G-1 All Habitats'!$AG$3:$AG$17,MATCH(E221,'G-1 All Habitats'!$AF$3:$AF$17,0)),"")</f>
        <v/>
      </c>
      <c r="B221" s="35" t="str">
        <f>IFERROR(INDEX('G-8 Condition Look up'!$I$4:$I$135,MATCH(AV221,'G-8 Condition Look up'!$A$4:$A$135,0)),"")</f>
        <v/>
      </c>
      <c r="D221" s="225">
        <v>211</v>
      </c>
      <c r="E221" s="211"/>
      <c r="F221" s="57"/>
      <c r="G221" s="263"/>
      <c r="H221" s="51"/>
      <c r="I221" s="275" t="str">
        <f>IF(AV221="","",IF(AND(AW221="Yes",G221="No"),"Irreplaceable habitat ▲",IF(AND(AW221="No",G221="Yes"),"Cannot be Irreplaceable ▲",VLOOKUP(AV221,'G-1 All Habitats'!$B$2:$M$135,10,FALSE))))</f>
        <v/>
      </c>
      <c r="J221" s="276" t="str">
        <f>IFERROR(VLOOKUP(I221,'G-1 All Habitats'!$V$3:$W$7,2,FALSE),"")</f>
        <v/>
      </c>
      <c r="K221" s="52"/>
      <c r="L221" s="276" t="str">
        <f>IFERROR(INDEX('G-8 Condition Look up'!$A$3:$H$135,MATCH(AV221,'G-8 Condition Look up'!$A$3:$A$135,0),MATCH(K221,'G-8 Condition Look up'!$A$3:$H$3,0)),"")</f>
        <v/>
      </c>
      <c r="M221" s="52"/>
      <c r="N221" s="295" t="str">
        <f>IF(M221="","",IF(VLOOKUP(M221,'G-3 Multipliers'!$L$3:$N$6,2,FALSE)=0,"Spatial Data Missing",VLOOKUP(M221,'G-3 Multipliers'!$L$3:$N$6,2,FALSE)))</f>
        <v/>
      </c>
      <c r="O221" s="281" t="str">
        <f>IF(M221="","",IF(VLOOKUP(M221,'G-3 Multipliers'!$L$3:$N$6,3,FALSE)=0,"Spatial Data Missing ▲",VLOOKUP(M221,'G-3 Multipliers'!$L$3:$N$6,3,FALSE)))</f>
        <v/>
      </c>
      <c r="P221" s="282" t="str">
        <f>(IF(G221="Yes","Bespoke compensation likely to be required",(IFERROR(VLOOKUP(AV221,'G-1 All Habitats'!$B$2:$M$135,12,FALSE),""))))</f>
        <v/>
      </c>
      <c r="Q221" s="289" t="str">
        <f>IFERROR(IF(AND(F221&lt;&gt;"",G221=""),"Confirm irreplaceable habitat status ▲",(IF(AND(E221="Individual trees",T221&gt;0,G221="Yes"),"Error - you cannot enhance irreplaceable individual trees ▲",(IF(AND(U221="Irreplaceable habitat - no units generated ⚠",(S221+T221)&lt;H221,OR(Y221="No",Y221="")),"Any Loss Unacceptable ⚠",(IF(U221="Irreplaceable habitat - no units generated ⚠",T221*J221*L221*O221,IF(AND(P221='G-1 All Habitats'!$X$9,AC221&gt;0,S221&lt;=0,T221&lt;=0,OR(Y221="No",Y221="")),"Any Loss Unacceptable ⚠",IF(AND(P221='G-1 All Habitats'!$X$9,AC221&gt;0,S221&lt;=0,T221&lt;=0,Y221="Yes"),0,(IF(AND(P221='G-1 All Habitats'!$X$9,(S221+T221)&lt;H221,OR(Y221="No",Y221="")),"Any Loss Unacceptable ⚠",(IF(P221="","",IF(AND(P221='G-1 All Habitats'!$X$9,T221&gt;0),U221+V221,IF(AND(P221='G-1 All Habitats'!$X$9,S221&gt;0),U221+V221,H221*J221*L221*O221))))))))))))))),"Check Data ▲")</f>
        <v/>
      </c>
      <c r="R221" s="38"/>
      <c r="S221" s="52"/>
      <c r="T221" s="53"/>
      <c r="U221" s="287" t="str">
        <f t="shared" si="25"/>
        <v/>
      </c>
      <c r="V221" s="287" t="str">
        <f t="shared" si="26"/>
        <v/>
      </c>
      <c r="W221" s="287" t="str">
        <f t="shared" si="27"/>
        <v/>
      </c>
      <c r="X221" s="291" t="str">
        <f>IFERROR(IF(H221="","",IF(H221-S221-T221=0&lt;0,"Error in Areas ▲",IF(S221+T221&gt;H221,"Error in Areas ▲",IF(AND(P221='G-1 All Habitats'!$X$9,Y221="Yes"),"Alternative Compensation ✓",IF(AND(P221='G-1 All Habitats'!$X$3,Y221="Yes"),"Alternative Compensation ✓",IF(AND(Y221="Pending",P221='G-1 All Habitats'!$X$3),"Bespoke compensation must be agreed ▲",IF(AND(Y221="Pending",P221='G-1 All Habitats'!$X$9),"Bespoke compensation must be agreed  ▲",IF(W221=0,0,IF(P221='G-1 All Habitats'!$X$9,"Any Loss Unacceptable ▲",Q221-U221-V221))))))))),"Check Data ▲")</f>
        <v/>
      </c>
      <c r="Y221" s="53"/>
      <c r="Z221" s="105"/>
      <c r="AA221" s="233"/>
      <c r="AB221" s="104"/>
      <c r="AC221" s="512" t="str">
        <f>IF(OR(P221="",Y221="Yes"),"",IF(P221='G-1 All Habitats'!$X$9,H221-S221-T221,"None"))</f>
        <v/>
      </c>
      <c r="AD221" s="513" t="str">
        <f>IF(P221="","",IF(P221='G-1 All Habitats'!$X$9,AC221*J221*L221*O221,"None"))</f>
        <v/>
      </c>
      <c r="AE221" s="35" t="str">
        <f t="shared" si="23"/>
        <v/>
      </c>
      <c r="AF221" s="40" t="str">
        <f t="shared" si="28"/>
        <v/>
      </c>
      <c r="AG221" s="40" t="str">
        <f t="shared" si="24"/>
        <v/>
      </c>
      <c r="AH221" s="40" t="str">
        <f>IF(I221="","",IF(#REF!&gt;0,TRUE,FALSE))</f>
        <v/>
      </c>
      <c r="AI221" s="40">
        <v>211</v>
      </c>
      <c r="AJ221" s="40"/>
      <c r="AK221" s="40" t="str">
        <f t="array" ref="AK221">IFERROR(INDEX($AI$11:$AI$259,MATCH(0,IF(TRUE=$AF$11:$AF$259,COUNTIF($AK$10:$AK220,$AI$11:$AI$259),""),0)),"")</f>
        <v/>
      </c>
      <c r="AL221" s="40" t="str">
        <f t="array" ref="AL221">IFERROR(INDEX($AI$11:$AI$259,MATCH(0,IF(TRUE=$AG$11:$AG$259,COUNTIF($AL$10:$AL220,$AI$11:$AI$259),""),0)),"")</f>
        <v/>
      </c>
      <c r="AM221" s="40" t="str">
        <f t="array" ref="AM221">IFERROR(INDEX($AI$11:$AI$259,MATCH(0,IF(TRUE=$AH$11:$AH$259,COUNTIF($AM$10:$AM220,$AI$11:$AI$259),""),0)),"")</f>
        <v/>
      </c>
      <c r="AN221" s="40"/>
      <c r="AQ221" s="35">
        <f t="shared" si="29"/>
        <v>0</v>
      </c>
      <c r="AT221" s="885" t="str">
        <f>IF(AND(OR(Y221="Yes",Y221="Pending"),P221='G-1 All Habitats'!$X$3),Q221-U221-V221,"")</f>
        <v/>
      </c>
      <c r="AV221" s="542" t="str">
        <f>IFERROR(INDEX('G-1 All Habitats'!$B$3:$B$135,MATCH(F221,'G-1 All Habitats'!$A$3:$A$135,0)),"")</f>
        <v/>
      </c>
      <c r="AW221" s="35" t="str">
        <f>IF(AV221="","",VLOOKUP(AV221,'G-1 All Habitats'!$B$1:$T$135,19,FALSE))</f>
        <v/>
      </c>
    </row>
    <row r="222" spans="1:49" ht="14.5" hidden="1" thickBot="1">
      <c r="A222" s="35" t="str">
        <f>IFERROR(INDEX('G-1 All Habitats'!$AG$3:$AG$17,MATCH(E222,'G-1 All Habitats'!$AF$3:$AF$17,0)),"")</f>
        <v/>
      </c>
      <c r="B222" s="35" t="str">
        <f>IFERROR(INDEX('G-8 Condition Look up'!$I$4:$I$135,MATCH(AV222,'G-8 Condition Look up'!$A$4:$A$135,0)),"")</f>
        <v/>
      </c>
      <c r="D222" s="225">
        <v>212</v>
      </c>
      <c r="E222" s="211"/>
      <c r="F222" s="57"/>
      <c r="G222" s="263"/>
      <c r="H222" s="51"/>
      <c r="I222" s="275" t="str">
        <f>IF(AV222="","",IF(AND(AW222="Yes",G222="No"),"Irreplaceable habitat ▲",IF(AND(AW222="No",G222="Yes"),"Cannot be Irreplaceable ▲",VLOOKUP(AV222,'G-1 All Habitats'!$B$2:$M$135,10,FALSE))))</f>
        <v/>
      </c>
      <c r="J222" s="276" t="str">
        <f>IFERROR(VLOOKUP(I222,'G-1 All Habitats'!$V$3:$W$7,2,FALSE),"")</f>
        <v/>
      </c>
      <c r="K222" s="52"/>
      <c r="L222" s="276" t="str">
        <f>IFERROR(INDEX('G-8 Condition Look up'!$A$3:$H$135,MATCH(AV222,'G-8 Condition Look up'!$A$3:$A$135,0),MATCH(K222,'G-8 Condition Look up'!$A$3:$H$3,0)),"")</f>
        <v/>
      </c>
      <c r="M222" s="52"/>
      <c r="N222" s="295" t="str">
        <f>IF(M222="","",IF(VLOOKUP(M222,'G-3 Multipliers'!$L$3:$N$6,2,FALSE)=0,"Spatial Data Missing",VLOOKUP(M222,'G-3 Multipliers'!$L$3:$N$6,2,FALSE)))</f>
        <v/>
      </c>
      <c r="O222" s="281" t="str">
        <f>IF(M222="","",IF(VLOOKUP(M222,'G-3 Multipliers'!$L$3:$N$6,3,FALSE)=0,"Spatial Data Missing ▲",VLOOKUP(M222,'G-3 Multipliers'!$L$3:$N$6,3,FALSE)))</f>
        <v/>
      </c>
      <c r="P222" s="282" t="str">
        <f>(IF(G222="Yes","Bespoke compensation likely to be required",(IFERROR(VLOOKUP(AV222,'G-1 All Habitats'!$B$2:$M$135,12,FALSE),""))))</f>
        <v/>
      </c>
      <c r="Q222" s="289" t="str">
        <f>IFERROR(IF(AND(F222&lt;&gt;"",G222=""),"Confirm irreplaceable habitat status ▲",(IF(AND(E222="Individual trees",T222&gt;0,G222="Yes"),"Error - you cannot enhance irreplaceable individual trees ▲",(IF(AND(U222="Irreplaceable habitat - no units generated ⚠",(S222+T222)&lt;H222,OR(Y222="No",Y222="")),"Any Loss Unacceptable ⚠",(IF(U222="Irreplaceable habitat - no units generated ⚠",T222*J222*L222*O222,IF(AND(P222='G-1 All Habitats'!$X$9,AC222&gt;0,S222&lt;=0,T222&lt;=0,OR(Y222="No",Y222="")),"Any Loss Unacceptable ⚠",IF(AND(P222='G-1 All Habitats'!$X$9,AC222&gt;0,S222&lt;=0,T222&lt;=0,Y222="Yes"),0,(IF(AND(P222='G-1 All Habitats'!$X$9,(S222+T222)&lt;H222,OR(Y222="No",Y222="")),"Any Loss Unacceptable ⚠",(IF(P222="","",IF(AND(P222='G-1 All Habitats'!$X$9,T222&gt;0),U222+V222,IF(AND(P222='G-1 All Habitats'!$X$9,S222&gt;0),U222+V222,H222*J222*L222*O222))))))))))))))),"Check Data ▲")</f>
        <v/>
      </c>
      <c r="R222" s="38"/>
      <c r="S222" s="52"/>
      <c r="T222" s="53"/>
      <c r="U222" s="287" t="str">
        <f t="shared" si="25"/>
        <v/>
      </c>
      <c r="V222" s="287" t="str">
        <f t="shared" si="26"/>
        <v/>
      </c>
      <c r="W222" s="287" t="str">
        <f t="shared" si="27"/>
        <v/>
      </c>
      <c r="X222" s="291" t="str">
        <f>IFERROR(IF(H222="","",IF(H222-S222-T222=0&lt;0,"Error in Areas ▲",IF(S222+T222&gt;H222,"Error in Areas ▲",IF(AND(P222='G-1 All Habitats'!$X$9,Y222="Yes"),"Alternative Compensation ✓",IF(AND(P222='G-1 All Habitats'!$X$3,Y222="Yes"),"Alternative Compensation ✓",IF(AND(Y222="Pending",P222='G-1 All Habitats'!$X$3),"Bespoke compensation must be agreed ▲",IF(AND(Y222="Pending",P222='G-1 All Habitats'!$X$9),"Bespoke compensation must be agreed  ▲",IF(W222=0,0,IF(P222='G-1 All Habitats'!$X$9,"Any Loss Unacceptable ▲",Q222-U222-V222))))))))),"Check Data ▲")</f>
        <v/>
      </c>
      <c r="Y222" s="53"/>
      <c r="Z222" s="105"/>
      <c r="AA222" s="233"/>
      <c r="AB222" s="104"/>
      <c r="AC222" s="512" t="str">
        <f>IF(OR(P222="",Y222="Yes"),"",IF(P222='G-1 All Habitats'!$X$9,H222-S222-T222,"None"))</f>
        <v/>
      </c>
      <c r="AD222" s="513" t="str">
        <f>IF(P222="","",IF(P222='G-1 All Habitats'!$X$9,AC222*J222*L222*O222,"None"))</f>
        <v/>
      </c>
      <c r="AE222" s="35" t="str">
        <f t="shared" si="23"/>
        <v/>
      </c>
      <c r="AF222" s="40" t="str">
        <f t="shared" si="28"/>
        <v/>
      </c>
      <c r="AG222" s="40" t="str">
        <f t="shared" si="24"/>
        <v/>
      </c>
      <c r="AH222" s="40" t="str">
        <f>IF(I222="","",IF(#REF!&gt;0,TRUE,FALSE))</f>
        <v/>
      </c>
      <c r="AI222" s="40">
        <v>212</v>
      </c>
      <c r="AJ222" s="40"/>
      <c r="AK222" s="40" t="str">
        <f t="array" ref="AK222">IFERROR(INDEX($AI$11:$AI$259,MATCH(0,IF(TRUE=$AF$11:$AF$259,COUNTIF($AK$10:$AK221,$AI$11:$AI$259),""),0)),"")</f>
        <v/>
      </c>
      <c r="AL222" s="40" t="str">
        <f t="array" ref="AL222">IFERROR(INDEX($AI$11:$AI$259,MATCH(0,IF(TRUE=$AG$11:$AG$259,COUNTIF($AL$10:$AL221,$AI$11:$AI$259),""),0)),"")</f>
        <v/>
      </c>
      <c r="AM222" s="40" t="str">
        <f t="array" ref="AM222">IFERROR(INDEX($AI$11:$AI$259,MATCH(0,IF(TRUE=$AH$11:$AH$259,COUNTIF($AM$10:$AM221,$AI$11:$AI$259),""),0)),"")</f>
        <v/>
      </c>
      <c r="AN222" s="40"/>
      <c r="AQ222" s="35">
        <f t="shared" si="29"/>
        <v>0</v>
      </c>
      <c r="AT222" s="885" t="str">
        <f>IF(AND(OR(Y222="Yes",Y222="Pending"),P222='G-1 All Habitats'!$X$3),Q222-U222-V222,"")</f>
        <v/>
      </c>
      <c r="AV222" s="542" t="str">
        <f>IFERROR(INDEX('G-1 All Habitats'!$B$3:$B$135,MATCH(F222,'G-1 All Habitats'!$A$3:$A$135,0)),"")</f>
        <v/>
      </c>
      <c r="AW222" s="35" t="str">
        <f>IF(AV222="","",VLOOKUP(AV222,'G-1 All Habitats'!$B$1:$T$135,19,FALSE))</f>
        <v/>
      </c>
    </row>
    <row r="223" spans="1:49" ht="14.5" hidden="1" thickBot="1">
      <c r="A223" s="35" t="str">
        <f>IFERROR(INDEX('G-1 All Habitats'!$AG$3:$AG$17,MATCH(E223,'G-1 All Habitats'!$AF$3:$AF$17,0)),"")</f>
        <v/>
      </c>
      <c r="B223" s="35" t="str">
        <f>IFERROR(INDEX('G-8 Condition Look up'!$I$4:$I$135,MATCH(AV223,'G-8 Condition Look up'!$A$4:$A$135,0)),"")</f>
        <v/>
      </c>
      <c r="D223" s="225">
        <v>213</v>
      </c>
      <c r="E223" s="211"/>
      <c r="F223" s="57"/>
      <c r="G223" s="263"/>
      <c r="H223" s="51"/>
      <c r="I223" s="275" t="str">
        <f>IF(AV223="","",IF(AND(AW223="Yes",G223="No"),"Irreplaceable habitat ▲",IF(AND(AW223="No",G223="Yes"),"Cannot be Irreplaceable ▲",VLOOKUP(AV223,'G-1 All Habitats'!$B$2:$M$135,10,FALSE))))</f>
        <v/>
      </c>
      <c r="J223" s="276" t="str">
        <f>IFERROR(VLOOKUP(I223,'G-1 All Habitats'!$V$3:$W$7,2,FALSE),"")</f>
        <v/>
      </c>
      <c r="K223" s="52"/>
      <c r="L223" s="276" t="str">
        <f>IFERROR(INDEX('G-8 Condition Look up'!$A$3:$H$135,MATCH(AV223,'G-8 Condition Look up'!$A$3:$A$135,0),MATCH(K223,'G-8 Condition Look up'!$A$3:$H$3,0)),"")</f>
        <v/>
      </c>
      <c r="M223" s="52"/>
      <c r="N223" s="295" t="str">
        <f>IF(M223="","",IF(VLOOKUP(M223,'G-3 Multipliers'!$L$3:$N$6,2,FALSE)=0,"Spatial Data Missing",VLOOKUP(M223,'G-3 Multipliers'!$L$3:$N$6,2,FALSE)))</f>
        <v/>
      </c>
      <c r="O223" s="281" t="str">
        <f>IF(M223="","",IF(VLOOKUP(M223,'G-3 Multipliers'!$L$3:$N$6,3,FALSE)=0,"Spatial Data Missing ▲",VLOOKUP(M223,'G-3 Multipliers'!$L$3:$N$6,3,FALSE)))</f>
        <v/>
      </c>
      <c r="P223" s="282" t="str">
        <f>(IF(G223="Yes","Bespoke compensation likely to be required",(IFERROR(VLOOKUP(AV223,'G-1 All Habitats'!$B$2:$M$135,12,FALSE),""))))</f>
        <v/>
      </c>
      <c r="Q223" s="289" t="str">
        <f>IFERROR(IF(AND(F223&lt;&gt;"",G223=""),"Confirm irreplaceable habitat status ▲",(IF(AND(E223="Individual trees",T223&gt;0,G223="Yes"),"Error - you cannot enhance irreplaceable individual trees ▲",(IF(AND(U223="Irreplaceable habitat - no units generated ⚠",(S223+T223)&lt;H223,OR(Y223="No",Y223="")),"Any Loss Unacceptable ⚠",(IF(U223="Irreplaceable habitat - no units generated ⚠",T223*J223*L223*O223,IF(AND(P223='G-1 All Habitats'!$X$9,AC223&gt;0,S223&lt;=0,T223&lt;=0,OR(Y223="No",Y223="")),"Any Loss Unacceptable ⚠",IF(AND(P223='G-1 All Habitats'!$X$9,AC223&gt;0,S223&lt;=0,T223&lt;=0,Y223="Yes"),0,(IF(AND(P223='G-1 All Habitats'!$X$9,(S223+T223)&lt;H223,OR(Y223="No",Y223="")),"Any Loss Unacceptable ⚠",(IF(P223="","",IF(AND(P223='G-1 All Habitats'!$X$9,T223&gt;0),U223+V223,IF(AND(P223='G-1 All Habitats'!$X$9,S223&gt;0),U223+V223,H223*J223*L223*O223))))))))))))))),"Check Data ▲")</f>
        <v/>
      </c>
      <c r="R223" s="38"/>
      <c r="S223" s="52"/>
      <c r="T223" s="53"/>
      <c r="U223" s="287" t="str">
        <f t="shared" si="25"/>
        <v/>
      </c>
      <c r="V223" s="287" t="str">
        <f t="shared" si="26"/>
        <v/>
      </c>
      <c r="W223" s="287" t="str">
        <f t="shared" si="27"/>
        <v/>
      </c>
      <c r="X223" s="291" t="str">
        <f>IFERROR(IF(H223="","",IF(H223-S223-T223=0&lt;0,"Error in Areas ▲",IF(S223+T223&gt;H223,"Error in Areas ▲",IF(AND(P223='G-1 All Habitats'!$X$9,Y223="Yes"),"Alternative Compensation ✓",IF(AND(P223='G-1 All Habitats'!$X$3,Y223="Yes"),"Alternative Compensation ✓",IF(AND(Y223="Pending",P223='G-1 All Habitats'!$X$3),"Bespoke compensation must be agreed ▲",IF(AND(Y223="Pending",P223='G-1 All Habitats'!$X$9),"Bespoke compensation must be agreed  ▲",IF(W223=0,0,IF(P223='G-1 All Habitats'!$X$9,"Any Loss Unacceptable ▲",Q223-U223-V223))))))))),"Check Data ▲")</f>
        <v/>
      </c>
      <c r="Y223" s="53"/>
      <c r="Z223" s="105"/>
      <c r="AA223" s="233"/>
      <c r="AB223" s="104"/>
      <c r="AC223" s="512" t="str">
        <f>IF(OR(P223="",Y223="Yes"),"",IF(P223='G-1 All Habitats'!$X$9,H223-S223-T223,"None"))</f>
        <v/>
      </c>
      <c r="AD223" s="513" t="str">
        <f>IF(P223="","",IF(P223='G-1 All Habitats'!$X$9,AC223*J223*L223*O223,"None"))</f>
        <v/>
      </c>
      <c r="AE223" s="35" t="str">
        <f t="shared" si="23"/>
        <v/>
      </c>
      <c r="AF223" s="40" t="str">
        <f t="shared" si="28"/>
        <v/>
      </c>
      <c r="AG223" s="40" t="str">
        <f t="shared" si="24"/>
        <v/>
      </c>
      <c r="AH223" s="40" t="str">
        <f>IF(I223="","",IF(#REF!&gt;0,TRUE,FALSE))</f>
        <v/>
      </c>
      <c r="AI223" s="40">
        <v>213</v>
      </c>
      <c r="AJ223" s="40"/>
      <c r="AK223" s="40" t="str">
        <f t="array" ref="AK223">IFERROR(INDEX($AI$11:$AI$259,MATCH(0,IF(TRUE=$AF$11:$AF$259,COUNTIF($AK$10:$AK222,$AI$11:$AI$259),""),0)),"")</f>
        <v/>
      </c>
      <c r="AL223" s="40" t="str">
        <f t="array" ref="AL223">IFERROR(INDEX($AI$11:$AI$259,MATCH(0,IF(TRUE=$AG$11:$AG$259,COUNTIF($AL$10:$AL222,$AI$11:$AI$259),""),0)),"")</f>
        <v/>
      </c>
      <c r="AM223" s="40" t="str">
        <f t="array" ref="AM223">IFERROR(INDEX($AI$11:$AI$259,MATCH(0,IF(TRUE=$AH$11:$AH$259,COUNTIF($AM$10:$AM222,$AI$11:$AI$259),""),0)),"")</f>
        <v/>
      </c>
      <c r="AN223" s="40"/>
      <c r="AQ223" s="35">
        <f t="shared" si="29"/>
        <v>0</v>
      </c>
      <c r="AT223" s="885" t="str">
        <f>IF(AND(OR(Y223="Yes",Y223="Pending"),P223='G-1 All Habitats'!$X$3),Q223-U223-V223,"")</f>
        <v/>
      </c>
      <c r="AV223" s="542" t="str">
        <f>IFERROR(INDEX('G-1 All Habitats'!$B$3:$B$135,MATCH(F223,'G-1 All Habitats'!$A$3:$A$135,0)),"")</f>
        <v/>
      </c>
      <c r="AW223" s="35" t="str">
        <f>IF(AV223="","",VLOOKUP(AV223,'G-1 All Habitats'!$B$1:$T$135,19,FALSE))</f>
        <v/>
      </c>
    </row>
    <row r="224" spans="1:49" ht="14.5" hidden="1" thickBot="1">
      <c r="A224" s="35" t="str">
        <f>IFERROR(INDEX('G-1 All Habitats'!$AG$3:$AG$17,MATCH(E224,'G-1 All Habitats'!$AF$3:$AF$17,0)),"")</f>
        <v/>
      </c>
      <c r="B224" s="35" t="str">
        <f>IFERROR(INDEX('G-8 Condition Look up'!$I$4:$I$135,MATCH(AV224,'G-8 Condition Look up'!$A$4:$A$135,0)),"")</f>
        <v/>
      </c>
      <c r="D224" s="225">
        <v>214</v>
      </c>
      <c r="E224" s="211"/>
      <c r="F224" s="57"/>
      <c r="G224" s="263"/>
      <c r="H224" s="51"/>
      <c r="I224" s="275" t="str">
        <f>IF(AV224="","",IF(AND(AW224="Yes",G224="No"),"Irreplaceable habitat ▲",IF(AND(AW224="No",G224="Yes"),"Cannot be Irreplaceable ▲",VLOOKUP(AV224,'G-1 All Habitats'!$B$2:$M$135,10,FALSE))))</f>
        <v/>
      </c>
      <c r="J224" s="276" t="str">
        <f>IFERROR(VLOOKUP(I224,'G-1 All Habitats'!$V$3:$W$7,2,FALSE),"")</f>
        <v/>
      </c>
      <c r="K224" s="52"/>
      <c r="L224" s="276" t="str">
        <f>IFERROR(INDEX('G-8 Condition Look up'!$A$3:$H$135,MATCH(AV224,'G-8 Condition Look up'!$A$3:$A$135,0),MATCH(K224,'G-8 Condition Look up'!$A$3:$H$3,0)),"")</f>
        <v/>
      </c>
      <c r="M224" s="52"/>
      <c r="N224" s="295" t="str">
        <f>IF(M224="","",IF(VLOOKUP(M224,'G-3 Multipliers'!$L$3:$N$6,2,FALSE)=0,"Spatial Data Missing",VLOOKUP(M224,'G-3 Multipliers'!$L$3:$N$6,2,FALSE)))</f>
        <v/>
      </c>
      <c r="O224" s="281" t="str">
        <f>IF(M224="","",IF(VLOOKUP(M224,'G-3 Multipliers'!$L$3:$N$6,3,FALSE)=0,"Spatial Data Missing ▲",VLOOKUP(M224,'G-3 Multipliers'!$L$3:$N$6,3,FALSE)))</f>
        <v/>
      </c>
      <c r="P224" s="282" t="str">
        <f>(IF(G224="Yes","Bespoke compensation likely to be required",(IFERROR(VLOOKUP(AV224,'G-1 All Habitats'!$B$2:$M$135,12,FALSE),""))))</f>
        <v/>
      </c>
      <c r="Q224" s="289" t="str">
        <f>IFERROR(IF(AND(F224&lt;&gt;"",G224=""),"Confirm irreplaceable habitat status ▲",(IF(AND(E224="Individual trees",T224&gt;0,G224="Yes"),"Error - you cannot enhance irreplaceable individual trees ▲",(IF(AND(U224="Irreplaceable habitat - no units generated ⚠",(S224+T224)&lt;H224,OR(Y224="No",Y224="")),"Any Loss Unacceptable ⚠",(IF(U224="Irreplaceable habitat - no units generated ⚠",T224*J224*L224*O224,IF(AND(P224='G-1 All Habitats'!$X$9,AC224&gt;0,S224&lt;=0,T224&lt;=0,OR(Y224="No",Y224="")),"Any Loss Unacceptable ⚠",IF(AND(P224='G-1 All Habitats'!$X$9,AC224&gt;0,S224&lt;=0,T224&lt;=0,Y224="Yes"),0,(IF(AND(P224='G-1 All Habitats'!$X$9,(S224+T224)&lt;H224,OR(Y224="No",Y224="")),"Any Loss Unacceptable ⚠",(IF(P224="","",IF(AND(P224='G-1 All Habitats'!$X$9,T224&gt;0),U224+V224,IF(AND(P224='G-1 All Habitats'!$X$9,S224&gt;0),U224+V224,H224*J224*L224*O224))))))))))))))),"Check Data ▲")</f>
        <v/>
      </c>
      <c r="R224" s="38"/>
      <c r="S224" s="52"/>
      <c r="T224" s="53"/>
      <c r="U224" s="287" t="str">
        <f t="shared" si="25"/>
        <v/>
      </c>
      <c r="V224" s="287" t="str">
        <f t="shared" si="26"/>
        <v/>
      </c>
      <c r="W224" s="287" t="str">
        <f t="shared" si="27"/>
        <v/>
      </c>
      <c r="X224" s="291" t="str">
        <f>IFERROR(IF(H224="","",IF(H224-S224-T224=0&lt;0,"Error in Areas ▲",IF(S224+T224&gt;H224,"Error in Areas ▲",IF(AND(P224='G-1 All Habitats'!$X$9,Y224="Yes"),"Alternative Compensation ✓",IF(AND(P224='G-1 All Habitats'!$X$3,Y224="Yes"),"Alternative Compensation ✓",IF(AND(Y224="Pending",P224='G-1 All Habitats'!$X$3),"Bespoke compensation must be agreed ▲",IF(AND(Y224="Pending",P224='G-1 All Habitats'!$X$9),"Bespoke compensation must be agreed  ▲",IF(W224=0,0,IF(P224='G-1 All Habitats'!$X$9,"Any Loss Unacceptable ▲",Q224-U224-V224))))))))),"Check Data ▲")</f>
        <v/>
      </c>
      <c r="Y224" s="53"/>
      <c r="Z224" s="105"/>
      <c r="AA224" s="233"/>
      <c r="AB224" s="104"/>
      <c r="AC224" s="512" t="str">
        <f>IF(OR(P224="",Y224="Yes"),"",IF(P224='G-1 All Habitats'!$X$9,H224-S224-T224,"None"))</f>
        <v/>
      </c>
      <c r="AD224" s="513" t="str">
        <f>IF(P224="","",IF(P224='G-1 All Habitats'!$X$9,AC224*J224*L224*O224,"None"))</f>
        <v/>
      </c>
      <c r="AE224" s="35" t="str">
        <f t="shared" si="23"/>
        <v/>
      </c>
      <c r="AF224" s="40" t="str">
        <f t="shared" si="28"/>
        <v/>
      </c>
      <c r="AG224" s="40" t="str">
        <f t="shared" si="24"/>
        <v/>
      </c>
      <c r="AH224" s="40" t="str">
        <f>IF(I224="","",IF(#REF!&gt;0,TRUE,FALSE))</f>
        <v/>
      </c>
      <c r="AI224" s="40">
        <v>214</v>
      </c>
      <c r="AJ224" s="40"/>
      <c r="AK224" s="40" t="str">
        <f t="array" ref="AK224">IFERROR(INDEX($AI$11:$AI$259,MATCH(0,IF(TRUE=$AF$11:$AF$259,COUNTIF($AK$10:$AK223,$AI$11:$AI$259),""),0)),"")</f>
        <v/>
      </c>
      <c r="AL224" s="40" t="str">
        <f t="array" ref="AL224">IFERROR(INDEX($AI$11:$AI$259,MATCH(0,IF(TRUE=$AG$11:$AG$259,COUNTIF($AL$10:$AL223,$AI$11:$AI$259),""),0)),"")</f>
        <v/>
      </c>
      <c r="AM224" s="40" t="str">
        <f t="array" ref="AM224">IFERROR(INDEX($AI$11:$AI$259,MATCH(0,IF(TRUE=$AH$11:$AH$259,COUNTIF($AM$10:$AM223,$AI$11:$AI$259),""),0)),"")</f>
        <v/>
      </c>
      <c r="AN224" s="40"/>
      <c r="AQ224" s="35">
        <f t="shared" si="29"/>
        <v>0</v>
      </c>
      <c r="AT224" s="885" t="str">
        <f>IF(AND(OR(Y224="Yes",Y224="Pending"),P224='G-1 All Habitats'!$X$3),Q224-U224-V224,"")</f>
        <v/>
      </c>
      <c r="AV224" s="542" t="str">
        <f>IFERROR(INDEX('G-1 All Habitats'!$B$3:$B$135,MATCH(F224,'G-1 All Habitats'!$A$3:$A$135,0)),"")</f>
        <v/>
      </c>
      <c r="AW224" s="35" t="str">
        <f>IF(AV224="","",VLOOKUP(AV224,'G-1 All Habitats'!$B$1:$T$135,19,FALSE))</f>
        <v/>
      </c>
    </row>
    <row r="225" spans="1:49" ht="14.5" hidden="1" thickBot="1">
      <c r="A225" s="35" t="str">
        <f>IFERROR(INDEX('G-1 All Habitats'!$AG$3:$AG$17,MATCH(E225,'G-1 All Habitats'!$AF$3:$AF$17,0)),"")</f>
        <v/>
      </c>
      <c r="B225" s="35" t="str">
        <f>IFERROR(INDEX('G-8 Condition Look up'!$I$4:$I$135,MATCH(AV225,'G-8 Condition Look up'!$A$4:$A$135,0)),"")</f>
        <v/>
      </c>
      <c r="D225" s="225">
        <v>215</v>
      </c>
      <c r="E225" s="211"/>
      <c r="F225" s="57"/>
      <c r="G225" s="263"/>
      <c r="H225" s="51"/>
      <c r="I225" s="275" t="str">
        <f>IF(AV225="","",IF(AND(AW225="Yes",G225="No"),"Irreplaceable habitat ▲",IF(AND(AW225="No",G225="Yes"),"Cannot be Irreplaceable ▲",VLOOKUP(AV225,'G-1 All Habitats'!$B$2:$M$135,10,FALSE))))</f>
        <v/>
      </c>
      <c r="J225" s="276" t="str">
        <f>IFERROR(VLOOKUP(I225,'G-1 All Habitats'!$V$3:$W$7,2,FALSE),"")</f>
        <v/>
      </c>
      <c r="K225" s="52"/>
      <c r="L225" s="276" t="str">
        <f>IFERROR(INDEX('G-8 Condition Look up'!$A$3:$H$135,MATCH(AV225,'G-8 Condition Look up'!$A$3:$A$135,0),MATCH(K225,'G-8 Condition Look up'!$A$3:$H$3,0)),"")</f>
        <v/>
      </c>
      <c r="M225" s="52"/>
      <c r="N225" s="295" t="str">
        <f>IF(M225="","",IF(VLOOKUP(M225,'G-3 Multipliers'!$L$3:$N$6,2,FALSE)=0,"Spatial Data Missing",VLOOKUP(M225,'G-3 Multipliers'!$L$3:$N$6,2,FALSE)))</f>
        <v/>
      </c>
      <c r="O225" s="281" t="str">
        <f>IF(M225="","",IF(VLOOKUP(M225,'G-3 Multipliers'!$L$3:$N$6,3,FALSE)=0,"Spatial Data Missing ▲",VLOOKUP(M225,'G-3 Multipliers'!$L$3:$N$6,3,FALSE)))</f>
        <v/>
      </c>
      <c r="P225" s="282" t="str">
        <f>(IF(G225="Yes","Bespoke compensation likely to be required",(IFERROR(VLOOKUP(AV225,'G-1 All Habitats'!$B$2:$M$135,12,FALSE),""))))</f>
        <v/>
      </c>
      <c r="Q225" s="289" t="str">
        <f>IFERROR(IF(AND(F225&lt;&gt;"",G225=""),"Confirm irreplaceable habitat status ▲",(IF(AND(E225="Individual trees",T225&gt;0,G225="Yes"),"Error - you cannot enhance irreplaceable individual trees ▲",(IF(AND(U225="Irreplaceable habitat - no units generated ⚠",(S225+T225)&lt;H225,OR(Y225="No",Y225="")),"Any Loss Unacceptable ⚠",(IF(U225="Irreplaceable habitat - no units generated ⚠",T225*J225*L225*O225,IF(AND(P225='G-1 All Habitats'!$X$9,AC225&gt;0,S225&lt;=0,T225&lt;=0,OR(Y225="No",Y225="")),"Any Loss Unacceptable ⚠",IF(AND(P225='G-1 All Habitats'!$X$9,AC225&gt;0,S225&lt;=0,T225&lt;=0,Y225="Yes"),0,(IF(AND(P225='G-1 All Habitats'!$X$9,(S225+T225)&lt;H225,OR(Y225="No",Y225="")),"Any Loss Unacceptable ⚠",(IF(P225="","",IF(AND(P225='G-1 All Habitats'!$X$9,T225&gt;0),U225+V225,IF(AND(P225='G-1 All Habitats'!$X$9,S225&gt;0),U225+V225,H225*J225*L225*O225))))))))))))))),"Check Data ▲")</f>
        <v/>
      </c>
      <c r="R225" s="38"/>
      <c r="S225" s="52"/>
      <c r="T225" s="53"/>
      <c r="U225" s="287" t="str">
        <f t="shared" si="25"/>
        <v/>
      </c>
      <c r="V225" s="287" t="str">
        <f t="shared" si="26"/>
        <v/>
      </c>
      <c r="W225" s="287" t="str">
        <f t="shared" si="27"/>
        <v/>
      </c>
      <c r="X225" s="291" t="str">
        <f>IFERROR(IF(H225="","",IF(H225-S225-T225=0&lt;0,"Error in Areas ▲",IF(S225+T225&gt;H225,"Error in Areas ▲",IF(AND(P225='G-1 All Habitats'!$X$9,Y225="Yes"),"Alternative Compensation ✓",IF(AND(P225='G-1 All Habitats'!$X$3,Y225="Yes"),"Alternative Compensation ✓",IF(AND(Y225="Pending",P225='G-1 All Habitats'!$X$3),"Bespoke compensation must be agreed ▲",IF(AND(Y225="Pending",P225='G-1 All Habitats'!$X$9),"Bespoke compensation must be agreed  ▲",IF(W225=0,0,IF(P225='G-1 All Habitats'!$X$9,"Any Loss Unacceptable ▲",Q225-U225-V225))))))))),"Check Data ▲")</f>
        <v/>
      </c>
      <c r="Y225" s="53"/>
      <c r="Z225" s="105"/>
      <c r="AA225" s="233"/>
      <c r="AB225" s="104"/>
      <c r="AC225" s="512" t="str">
        <f>IF(OR(P225="",Y225="Yes"),"",IF(P225='G-1 All Habitats'!$X$9,H225-S225-T225,"None"))</f>
        <v/>
      </c>
      <c r="AD225" s="513" t="str">
        <f>IF(P225="","",IF(P225='G-1 All Habitats'!$X$9,AC225*J225*L225*O225,"None"))</f>
        <v/>
      </c>
      <c r="AE225" s="35" t="str">
        <f t="shared" si="23"/>
        <v/>
      </c>
      <c r="AF225" s="40" t="str">
        <f t="shared" si="28"/>
        <v/>
      </c>
      <c r="AG225" s="40" t="str">
        <f t="shared" si="24"/>
        <v/>
      </c>
      <c r="AH225" s="40" t="str">
        <f>IF(I225="","",IF(#REF!&gt;0,TRUE,FALSE))</f>
        <v/>
      </c>
      <c r="AI225" s="40">
        <v>215</v>
      </c>
      <c r="AJ225" s="40"/>
      <c r="AK225" s="40" t="str">
        <f t="array" ref="AK225">IFERROR(INDEX($AI$11:$AI$259,MATCH(0,IF(TRUE=$AF$11:$AF$259,COUNTIF($AK$10:$AK224,$AI$11:$AI$259),""),0)),"")</f>
        <v/>
      </c>
      <c r="AL225" s="40" t="str">
        <f t="array" ref="AL225">IFERROR(INDEX($AI$11:$AI$259,MATCH(0,IF(TRUE=$AG$11:$AG$259,COUNTIF($AL$10:$AL224,$AI$11:$AI$259),""),0)),"")</f>
        <v/>
      </c>
      <c r="AM225" s="40" t="str">
        <f t="array" ref="AM225">IFERROR(INDEX($AI$11:$AI$259,MATCH(0,IF(TRUE=$AH$11:$AH$259,COUNTIF($AM$10:$AM224,$AI$11:$AI$259),""),0)),"")</f>
        <v/>
      </c>
      <c r="AN225" s="40"/>
      <c r="AQ225" s="35">
        <f t="shared" si="29"/>
        <v>0</v>
      </c>
      <c r="AT225" s="885" t="str">
        <f>IF(AND(OR(Y225="Yes",Y225="Pending"),P225='G-1 All Habitats'!$X$3),Q225-U225-V225,"")</f>
        <v/>
      </c>
      <c r="AV225" s="542" t="str">
        <f>IFERROR(INDEX('G-1 All Habitats'!$B$3:$B$135,MATCH(F225,'G-1 All Habitats'!$A$3:$A$135,0)),"")</f>
        <v/>
      </c>
      <c r="AW225" s="35" t="str">
        <f>IF(AV225="","",VLOOKUP(AV225,'G-1 All Habitats'!$B$1:$T$135,19,FALSE))</f>
        <v/>
      </c>
    </row>
    <row r="226" spans="1:49" ht="14.5" hidden="1" thickBot="1">
      <c r="A226" s="35" t="str">
        <f>IFERROR(INDEX('G-1 All Habitats'!$AG$3:$AG$17,MATCH(E226,'G-1 All Habitats'!$AF$3:$AF$17,0)),"")</f>
        <v/>
      </c>
      <c r="B226" s="35" t="str">
        <f>IFERROR(INDEX('G-8 Condition Look up'!$I$4:$I$135,MATCH(AV226,'G-8 Condition Look up'!$A$4:$A$135,0)),"")</f>
        <v/>
      </c>
      <c r="D226" s="225">
        <v>216</v>
      </c>
      <c r="E226" s="211"/>
      <c r="F226" s="57"/>
      <c r="G226" s="263"/>
      <c r="H226" s="51"/>
      <c r="I226" s="275" t="str">
        <f>IF(AV226="","",IF(AND(AW226="Yes",G226="No"),"Irreplaceable habitat ▲",IF(AND(AW226="No",G226="Yes"),"Cannot be Irreplaceable ▲",VLOOKUP(AV226,'G-1 All Habitats'!$B$2:$M$135,10,FALSE))))</f>
        <v/>
      </c>
      <c r="J226" s="276" t="str">
        <f>IFERROR(VLOOKUP(I226,'G-1 All Habitats'!$V$3:$W$7,2,FALSE),"")</f>
        <v/>
      </c>
      <c r="K226" s="52"/>
      <c r="L226" s="276" t="str">
        <f>IFERROR(INDEX('G-8 Condition Look up'!$A$3:$H$135,MATCH(AV226,'G-8 Condition Look up'!$A$3:$A$135,0),MATCH(K226,'G-8 Condition Look up'!$A$3:$H$3,0)),"")</f>
        <v/>
      </c>
      <c r="M226" s="52"/>
      <c r="N226" s="295" t="str">
        <f>IF(M226="","",IF(VLOOKUP(M226,'G-3 Multipliers'!$L$3:$N$6,2,FALSE)=0,"Spatial Data Missing",VLOOKUP(M226,'G-3 Multipliers'!$L$3:$N$6,2,FALSE)))</f>
        <v/>
      </c>
      <c r="O226" s="281" t="str">
        <f>IF(M226="","",IF(VLOOKUP(M226,'G-3 Multipliers'!$L$3:$N$6,3,FALSE)=0,"Spatial Data Missing ▲",VLOOKUP(M226,'G-3 Multipliers'!$L$3:$N$6,3,FALSE)))</f>
        <v/>
      </c>
      <c r="P226" s="282" t="str">
        <f>(IF(G226="Yes","Bespoke compensation likely to be required",(IFERROR(VLOOKUP(AV226,'G-1 All Habitats'!$B$2:$M$135,12,FALSE),""))))</f>
        <v/>
      </c>
      <c r="Q226" s="289" t="str">
        <f>IFERROR(IF(AND(F226&lt;&gt;"",G226=""),"Confirm irreplaceable habitat status ▲",(IF(AND(E226="Individual trees",T226&gt;0,G226="Yes"),"Error - you cannot enhance irreplaceable individual trees ▲",(IF(AND(U226="Irreplaceable habitat - no units generated ⚠",(S226+T226)&lt;H226,OR(Y226="No",Y226="")),"Any Loss Unacceptable ⚠",(IF(U226="Irreplaceable habitat - no units generated ⚠",T226*J226*L226*O226,IF(AND(P226='G-1 All Habitats'!$X$9,AC226&gt;0,S226&lt;=0,T226&lt;=0,OR(Y226="No",Y226="")),"Any Loss Unacceptable ⚠",IF(AND(P226='G-1 All Habitats'!$X$9,AC226&gt;0,S226&lt;=0,T226&lt;=0,Y226="Yes"),0,(IF(AND(P226='G-1 All Habitats'!$X$9,(S226+T226)&lt;H226,OR(Y226="No",Y226="")),"Any Loss Unacceptable ⚠",(IF(P226="","",IF(AND(P226='G-1 All Habitats'!$X$9,T226&gt;0),U226+V226,IF(AND(P226='G-1 All Habitats'!$X$9,S226&gt;0),U226+V226,H226*J226*L226*O226))))))))))))))),"Check Data ▲")</f>
        <v/>
      </c>
      <c r="R226" s="38"/>
      <c r="S226" s="52"/>
      <c r="T226" s="53"/>
      <c r="U226" s="287" t="str">
        <f t="shared" si="25"/>
        <v/>
      </c>
      <c r="V226" s="287" t="str">
        <f t="shared" si="26"/>
        <v/>
      </c>
      <c r="W226" s="287" t="str">
        <f t="shared" si="27"/>
        <v/>
      </c>
      <c r="X226" s="291" t="str">
        <f>IFERROR(IF(H226="","",IF(H226-S226-T226=0&lt;0,"Error in Areas ▲",IF(S226+T226&gt;H226,"Error in Areas ▲",IF(AND(P226='G-1 All Habitats'!$X$9,Y226="Yes"),"Alternative Compensation ✓",IF(AND(P226='G-1 All Habitats'!$X$3,Y226="Yes"),"Alternative Compensation ✓",IF(AND(Y226="Pending",P226='G-1 All Habitats'!$X$3),"Bespoke compensation must be agreed ▲",IF(AND(Y226="Pending",P226='G-1 All Habitats'!$X$9),"Bespoke compensation must be agreed  ▲",IF(W226=0,0,IF(P226='G-1 All Habitats'!$X$9,"Any Loss Unacceptable ▲",Q226-U226-V226))))))))),"Check Data ▲")</f>
        <v/>
      </c>
      <c r="Y226" s="53"/>
      <c r="Z226" s="105"/>
      <c r="AA226" s="233"/>
      <c r="AB226" s="104"/>
      <c r="AC226" s="512" t="str">
        <f>IF(OR(P226="",Y226="Yes"),"",IF(P226='G-1 All Habitats'!$X$9,H226-S226-T226,"None"))</f>
        <v/>
      </c>
      <c r="AD226" s="513" t="str">
        <f>IF(P226="","",IF(P226='G-1 All Habitats'!$X$9,AC226*J226*L226*O226,"None"))</f>
        <v/>
      </c>
      <c r="AE226" s="35" t="str">
        <f t="shared" si="23"/>
        <v/>
      </c>
      <c r="AF226" s="40" t="str">
        <f t="shared" si="28"/>
        <v/>
      </c>
      <c r="AG226" s="40" t="str">
        <f t="shared" si="24"/>
        <v/>
      </c>
      <c r="AH226" s="40" t="str">
        <f>IF(I226="","",IF(#REF!&gt;0,TRUE,FALSE))</f>
        <v/>
      </c>
      <c r="AI226" s="40">
        <v>216</v>
      </c>
      <c r="AJ226" s="40"/>
      <c r="AK226" s="40" t="str">
        <f t="array" ref="AK226">IFERROR(INDEX($AI$11:$AI$259,MATCH(0,IF(TRUE=$AF$11:$AF$259,COUNTIF($AK$10:$AK225,$AI$11:$AI$259),""),0)),"")</f>
        <v/>
      </c>
      <c r="AL226" s="40" t="str">
        <f t="array" ref="AL226">IFERROR(INDEX($AI$11:$AI$259,MATCH(0,IF(TRUE=$AG$11:$AG$259,COUNTIF($AL$10:$AL225,$AI$11:$AI$259),""),0)),"")</f>
        <v/>
      </c>
      <c r="AM226" s="40" t="str">
        <f t="array" ref="AM226">IFERROR(INDEX($AI$11:$AI$259,MATCH(0,IF(TRUE=$AH$11:$AH$259,COUNTIF($AM$10:$AM225,$AI$11:$AI$259),""),0)),"")</f>
        <v/>
      </c>
      <c r="AN226" s="40"/>
      <c r="AQ226" s="35">
        <f t="shared" si="29"/>
        <v>0</v>
      </c>
      <c r="AT226" s="885" t="str">
        <f>IF(AND(OR(Y226="Yes",Y226="Pending"),P226='G-1 All Habitats'!$X$3),Q226-U226-V226,"")</f>
        <v/>
      </c>
      <c r="AV226" s="542" t="str">
        <f>IFERROR(INDEX('G-1 All Habitats'!$B$3:$B$135,MATCH(F226,'G-1 All Habitats'!$A$3:$A$135,0)),"")</f>
        <v/>
      </c>
      <c r="AW226" s="35" t="str">
        <f>IF(AV226="","",VLOOKUP(AV226,'G-1 All Habitats'!$B$1:$T$135,19,FALSE))</f>
        <v/>
      </c>
    </row>
    <row r="227" spans="1:49" ht="14.5" hidden="1" thickBot="1">
      <c r="A227" s="35" t="str">
        <f>IFERROR(INDEX('G-1 All Habitats'!$AG$3:$AG$17,MATCH(E227,'G-1 All Habitats'!$AF$3:$AF$17,0)),"")</f>
        <v/>
      </c>
      <c r="B227" s="35" t="str">
        <f>IFERROR(INDEX('G-8 Condition Look up'!$I$4:$I$135,MATCH(AV227,'G-8 Condition Look up'!$A$4:$A$135,0)),"")</f>
        <v/>
      </c>
      <c r="D227" s="225">
        <v>217</v>
      </c>
      <c r="E227" s="211"/>
      <c r="F227" s="57"/>
      <c r="G227" s="263"/>
      <c r="H227" s="51"/>
      <c r="I227" s="275" t="str">
        <f>IF(AV227="","",IF(AND(AW227="Yes",G227="No"),"Irreplaceable habitat ▲",IF(AND(AW227="No",G227="Yes"),"Cannot be Irreplaceable ▲",VLOOKUP(AV227,'G-1 All Habitats'!$B$2:$M$135,10,FALSE))))</f>
        <v/>
      </c>
      <c r="J227" s="276" t="str">
        <f>IFERROR(VLOOKUP(I227,'G-1 All Habitats'!$V$3:$W$7,2,FALSE),"")</f>
        <v/>
      </c>
      <c r="K227" s="52"/>
      <c r="L227" s="276" t="str">
        <f>IFERROR(INDEX('G-8 Condition Look up'!$A$3:$H$135,MATCH(AV227,'G-8 Condition Look up'!$A$3:$A$135,0),MATCH(K227,'G-8 Condition Look up'!$A$3:$H$3,0)),"")</f>
        <v/>
      </c>
      <c r="M227" s="52"/>
      <c r="N227" s="295" t="str">
        <f>IF(M227="","",IF(VLOOKUP(M227,'G-3 Multipliers'!$L$3:$N$6,2,FALSE)=0,"Spatial Data Missing",VLOOKUP(M227,'G-3 Multipliers'!$L$3:$N$6,2,FALSE)))</f>
        <v/>
      </c>
      <c r="O227" s="281" t="str">
        <f>IF(M227="","",IF(VLOOKUP(M227,'G-3 Multipliers'!$L$3:$N$6,3,FALSE)=0,"Spatial Data Missing ▲",VLOOKUP(M227,'G-3 Multipliers'!$L$3:$N$6,3,FALSE)))</f>
        <v/>
      </c>
      <c r="P227" s="282" t="str">
        <f>(IF(G227="Yes","Bespoke compensation likely to be required",(IFERROR(VLOOKUP(AV227,'G-1 All Habitats'!$B$2:$M$135,12,FALSE),""))))</f>
        <v/>
      </c>
      <c r="Q227" s="289" t="str">
        <f>IFERROR(IF(AND(F227&lt;&gt;"",G227=""),"Confirm irreplaceable habitat status ▲",(IF(AND(E227="Individual trees",T227&gt;0,G227="Yes"),"Error - you cannot enhance irreplaceable individual trees ▲",(IF(AND(U227="Irreplaceable habitat - no units generated ⚠",(S227+T227)&lt;H227,OR(Y227="No",Y227="")),"Any Loss Unacceptable ⚠",(IF(U227="Irreplaceable habitat - no units generated ⚠",T227*J227*L227*O227,IF(AND(P227='G-1 All Habitats'!$X$9,AC227&gt;0,S227&lt;=0,T227&lt;=0,OR(Y227="No",Y227="")),"Any Loss Unacceptable ⚠",IF(AND(P227='G-1 All Habitats'!$X$9,AC227&gt;0,S227&lt;=0,T227&lt;=0,Y227="Yes"),0,(IF(AND(P227='G-1 All Habitats'!$X$9,(S227+T227)&lt;H227,OR(Y227="No",Y227="")),"Any Loss Unacceptable ⚠",(IF(P227="","",IF(AND(P227='G-1 All Habitats'!$X$9,T227&gt;0),U227+V227,IF(AND(P227='G-1 All Habitats'!$X$9,S227&gt;0),U227+V227,H227*J227*L227*O227))))))))))))))),"Check Data ▲")</f>
        <v/>
      </c>
      <c r="R227" s="38"/>
      <c r="S227" s="52"/>
      <c r="T227" s="53"/>
      <c r="U227" s="287" t="str">
        <f t="shared" si="25"/>
        <v/>
      </c>
      <c r="V227" s="287" t="str">
        <f t="shared" si="26"/>
        <v/>
      </c>
      <c r="W227" s="287" t="str">
        <f t="shared" si="27"/>
        <v/>
      </c>
      <c r="X227" s="291" t="str">
        <f>IFERROR(IF(H227="","",IF(H227-S227-T227=0&lt;0,"Error in Areas ▲",IF(S227+T227&gt;H227,"Error in Areas ▲",IF(AND(P227='G-1 All Habitats'!$X$9,Y227="Yes"),"Alternative Compensation ✓",IF(AND(P227='G-1 All Habitats'!$X$3,Y227="Yes"),"Alternative Compensation ✓",IF(AND(Y227="Pending",P227='G-1 All Habitats'!$X$3),"Bespoke compensation must be agreed ▲",IF(AND(Y227="Pending",P227='G-1 All Habitats'!$X$9),"Bespoke compensation must be agreed  ▲",IF(W227=0,0,IF(P227='G-1 All Habitats'!$X$9,"Any Loss Unacceptable ▲",Q227-U227-V227))))))))),"Check Data ▲")</f>
        <v/>
      </c>
      <c r="Y227" s="53"/>
      <c r="Z227" s="105"/>
      <c r="AA227" s="233"/>
      <c r="AB227" s="104"/>
      <c r="AC227" s="512" t="str">
        <f>IF(OR(P227="",Y227="Yes"),"",IF(P227='G-1 All Habitats'!$X$9,H227-S227-T227,"None"))</f>
        <v/>
      </c>
      <c r="AD227" s="513" t="str">
        <f>IF(P227="","",IF(P227='G-1 All Habitats'!$X$9,AC227*J227*L227*O227,"None"))</f>
        <v/>
      </c>
      <c r="AE227" s="35" t="str">
        <f t="shared" si="23"/>
        <v/>
      </c>
      <c r="AF227" s="40" t="str">
        <f t="shared" si="28"/>
        <v/>
      </c>
      <c r="AG227" s="40" t="str">
        <f t="shared" si="24"/>
        <v/>
      </c>
      <c r="AH227" s="40" t="str">
        <f>IF(I227="","",IF(#REF!&gt;0,TRUE,FALSE))</f>
        <v/>
      </c>
      <c r="AI227" s="40">
        <v>217</v>
      </c>
      <c r="AJ227" s="40"/>
      <c r="AK227" s="40" t="str">
        <f t="array" ref="AK227">IFERROR(INDEX($AI$11:$AI$259,MATCH(0,IF(TRUE=$AF$11:$AF$259,COUNTIF($AK$10:$AK226,$AI$11:$AI$259),""),0)),"")</f>
        <v/>
      </c>
      <c r="AL227" s="40" t="str">
        <f t="array" ref="AL227">IFERROR(INDEX($AI$11:$AI$259,MATCH(0,IF(TRUE=$AG$11:$AG$259,COUNTIF($AL$10:$AL226,$AI$11:$AI$259),""),0)),"")</f>
        <v/>
      </c>
      <c r="AM227" s="40" t="str">
        <f t="array" ref="AM227">IFERROR(INDEX($AI$11:$AI$259,MATCH(0,IF(TRUE=$AH$11:$AH$259,COUNTIF($AM$10:$AM226,$AI$11:$AI$259),""),0)),"")</f>
        <v/>
      </c>
      <c r="AN227" s="40"/>
      <c r="AQ227" s="35">
        <f t="shared" si="29"/>
        <v>0</v>
      </c>
      <c r="AT227" s="885" t="str">
        <f>IF(AND(OR(Y227="Yes",Y227="Pending"),P227='G-1 All Habitats'!$X$3),Q227-U227-V227,"")</f>
        <v/>
      </c>
      <c r="AV227" s="542" t="str">
        <f>IFERROR(INDEX('G-1 All Habitats'!$B$3:$B$135,MATCH(F227,'G-1 All Habitats'!$A$3:$A$135,0)),"")</f>
        <v/>
      </c>
      <c r="AW227" s="35" t="str">
        <f>IF(AV227="","",VLOOKUP(AV227,'G-1 All Habitats'!$B$1:$T$135,19,FALSE))</f>
        <v/>
      </c>
    </row>
    <row r="228" spans="1:49" ht="14.5" hidden="1" thickBot="1">
      <c r="A228" s="35" t="str">
        <f>IFERROR(INDEX('G-1 All Habitats'!$AG$3:$AG$17,MATCH(E228,'G-1 All Habitats'!$AF$3:$AF$17,0)),"")</f>
        <v/>
      </c>
      <c r="B228" s="35" t="str">
        <f>IFERROR(INDEX('G-8 Condition Look up'!$I$4:$I$135,MATCH(AV228,'G-8 Condition Look up'!$A$4:$A$135,0)),"")</f>
        <v/>
      </c>
      <c r="D228" s="225">
        <v>218</v>
      </c>
      <c r="E228" s="211"/>
      <c r="F228" s="57"/>
      <c r="G228" s="263"/>
      <c r="H228" s="51"/>
      <c r="I228" s="275" t="str">
        <f>IF(AV228="","",IF(AND(AW228="Yes",G228="No"),"Irreplaceable habitat ▲",IF(AND(AW228="No",G228="Yes"),"Cannot be Irreplaceable ▲",VLOOKUP(AV228,'G-1 All Habitats'!$B$2:$M$135,10,FALSE))))</f>
        <v/>
      </c>
      <c r="J228" s="276" t="str">
        <f>IFERROR(VLOOKUP(I228,'G-1 All Habitats'!$V$3:$W$7,2,FALSE),"")</f>
        <v/>
      </c>
      <c r="K228" s="52"/>
      <c r="L228" s="276" t="str">
        <f>IFERROR(INDEX('G-8 Condition Look up'!$A$3:$H$135,MATCH(AV228,'G-8 Condition Look up'!$A$3:$A$135,0),MATCH(K228,'G-8 Condition Look up'!$A$3:$H$3,0)),"")</f>
        <v/>
      </c>
      <c r="M228" s="52"/>
      <c r="N228" s="295" t="str">
        <f>IF(M228="","",IF(VLOOKUP(M228,'G-3 Multipliers'!$L$3:$N$6,2,FALSE)=0,"Spatial Data Missing",VLOOKUP(M228,'G-3 Multipliers'!$L$3:$N$6,2,FALSE)))</f>
        <v/>
      </c>
      <c r="O228" s="281" t="str">
        <f>IF(M228="","",IF(VLOOKUP(M228,'G-3 Multipliers'!$L$3:$N$6,3,FALSE)=0,"Spatial Data Missing ▲",VLOOKUP(M228,'G-3 Multipliers'!$L$3:$N$6,3,FALSE)))</f>
        <v/>
      </c>
      <c r="P228" s="282" t="str">
        <f>(IF(G228="Yes","Bespoke compensation likely to be required",(IFERROR(VLOOKUP(AV228,'G-1 All Habitats'!$B$2:$M$135,12,FALSE),""))))</f>
        <v/>
      </c>
      <c r="Q228" s="289" t="str">
        <f>IFERROR(IF(AND(F228&lt;&gt;"",G228=""),"Confirm irreplaceable habitat status ▲",(IF(AND(E228="Individual trees",T228&gt;0,G228="Yes"),"Error - you cannot enhance irreplaceable individual trees ▲",(IF(AND(U228="Irreplaceable habitat - no units generated ⚠",(S228+T228)&lt;H228,OR(Y228="No",Y228="")),"Any Loss Unacceptable ⚠",(IF(U228="Irreplaceable habitat - no units generated ⚠",T228*J228*L228*O228,IF(AND(P228='G-1 All Habitats'!$X$9,AC228&gt;0,S228&lt;=0,T228&lt;=0,OR(Y228="No",Y228="")),"Any Loss Unacceptable ⚠",IF(AND(P228='G-1 All Habitats'!$X$9,AC228&gt;0,S228&lt;=0,T228&lt;=0,Y228="Yes"),0,(IF(AND(P228='G-1 All Habitats'!$X$9,(S228+T228)&lt;H228,OR(Y228="No",Y228="")),"Any Loss Unacceptable ⚠",(IF(P228="","",IF(AND(P228='G-1 All Habitats'!$X$9,T228&gt;0),U228+V228,IF(AND(P228='G-1 All Habitats'!$X$9,S228&gt;0),U228+V228,H228*J228*L228*O228))))))))))))))),"Check Data ▲")</f>
        <v/>
      </c>
      <c r="R228" s="38"/>
      <c r="S228" s="52"/>
      <c r="T228" s="53"/>
      <c r="U228" s="287" t="str">
        <f t="shared" si="25"/>
        <v/>
      </c>
      <c r="V228" s="287" t="str">
        <f t="shared" si="26"/>
        <v/>
      </c>
      <c r="W228" s="287" t="str">
        <f t="shared" si="27"/>
        <v/>
      </c>
      <c r="X228" s="291" t="str">
        <f>IFERROR(IF(H228="","",IF(H228-S228-T228=0&lt;0,"Error in Areas ▲",IF(S228+T228&gt;H228,"Error in Areas ▲",IF(AND(P228='G-1 All Habitats'!$X$9,Y228="Yes"),"Alternative Compensation ✓",IF(AND(P228='G-1 All Habitats'!$X$3,Y228="Yes"),"Alternative Compensation ✓",IF(AND(Y228="Pending",P228='G-1 All Habitats'!$X$3),"Bespoke compensation must be agreed ▲",IF(AND(Y228="Pending",P228='G-1 All Habitats'!$X$9),"Bespoke compensation must be agreed  ▲",IF(W228=0,0,IF(P228='G-1 All Habitats'!$X$9,"Any Loss Unacceptable ▲",Q228-U228-V228))))))))),"Check Data ▲")</f>
        <v/>
      </c>
      <c r="Y228" s="53"/>
      <c r="Z228" s="105"/>
      <c r="AA228" s="233"/>
      <c r="AB228" s="104"/>
      <c r="AC228" s="512" t="str">
        <f>IF(OR(P228="",Y228="Yes"),"",IF(P228='G-1 All Habitats'!$X$9,H228-S228-T228,"None"))</f>
        <v/>
      </c>
      <c r="AD228" s="513" t="str">
        <f>IF(P228="","",IF(P228='G-1 All Habitats'!$X$9,AC228*J228*L228*O228,"None"))</f>
        <v/>
      </c>
      <c r="AE228" s="35" t="str">
        <f t="shared" si="23"/>
        <v/>
      </c>
      <c r="AF228" s="40" t="str">
        <f t="shared" si="28"/>
        <v/>
      </c>
      <c r="AG228" s="40" t="str">
        <f t="shared" si="24"/>
        <v/>
      </c>
      <c r="AH228" s="40" t="str">
        <f>IF(I228="","",IF(#REF!&gt;0,TRUE,FALSE))</f>
        <v/>
      </c>
      <c r="AI228" s="40">
        <v>218</v>
      </c>
      <c r="AJ228" s="40"/>
      <c r="AK228" s="40" t="str">
        <f t="array" ref="AK228">IFERROR(INDEX($AI$11:$AI$259,MATCH(0,IF(TRUE=$AF$11:$AF$259,COUNTIF($AK$10:$AK227,$AI$11:$AI$259),""),0)),"")</f>
        <v/>
      </c>
      <c r="AL228" s="40" t="str">
        <f t="array" ref="AL228">IFERROR(INDEX($AI$11:$AI$259,MATCH(0,IF(TRUE=$AG$11:$AG$259,COUNTIF($AL$10:$AL227,$AI$11:$AI$259),""),0)),"")</f>
        <v/>
      </c>
      <c r="AM228" s="40" t="str">
        <f t="array" ref="AM228">IFERROR(INDEX($AI$11:$AI$259,MATCH(0,IF(TRUE=$AH$11:$AH$259,COUNTIF($AM$10:$AM227,$AI$11:$AI$259),""),0)),"")</f>
        <v/>
      </c>
      <c r="AN228" s="40"/>
      <c r="AQ228" s="35">
        <f t="shared" si="29"/>
        <v>0</v>
      </c>
      <c r="AT228" s="885" t="str">
        <f>IF(AND(OR(Y228="Yes",Y228="Pending"),P228='G-1 All Habitats'!$X$3),Q228-U228-V228,"")</f>
        <v/>
      </c>
      <c r="AV228" s="542" t="str">
        <f>IFERROR(INDEX('G-1 All Habitats'!$B$3:$B$135,MATCH(F228,'G-1 All Habitats'!$A$3:$A$135,0)),"")</f>
        <v/>
      </c>
      <c r="AW228" s="35" t="str">
        <f>IF(AV228="","",VLOOKUP(AV228,'G-1 All Habitats'!$B$1:$T$135,19,FALSE))</f>
        <v/>
      </c>
    </row>
    <row r="229" spans="1:49" ht="14.5" hidden="1" thickBot="1">
      <c r="A229" s="35" t="str">
        <f>IFERROR(INDEX('G-1 All Habitats'!$AG$3:$AG$17,MATCH(E229,'G-1 All Habitats'!$AF$3:$AF$17,0)),"")</f>
        <v/>
      </c>
      <c r="B229" s="35" t="str">
        <f>IFERROR(INDEX('G-8 Condition Look up'!$I$4:$I$135,MATCH(AV229,'G-8 Condition Look up'!$A$4:$A$135,0)),"")</f>
        <v/>
      </c>
      <c r="D229" s="225">
        <v>219</v>
      </c>
      <c r="E229" s="211"/>
      <c r="F229" s="57"/>
      <c r="G229" s="263"/>
      <c r="H229" s="51"/>
      <c r="I229" s="275" t="str">
        <f>IF(AV229="","",IF(AND(AW229="Yes",G229="No"),"Irreplaceable habitat ▲",IF(AND(AW229="No",G229="Yes"),"Cannot be Irreplaceable ▲",VLOOKUP(AV229,'G-1 All Habitats'!$B$2:$M$135,10,FALSE))))</f>
        <v/>
      </c>
      <c r="J229" s="276" t="str">
        <f>IFERROR(VLOOKUP(I229,'G-1 All Habitats'!$V$3:$W$7,2,FALSE),"")</f>
        <v/>
      </c>
      <c r="K229" s="52"/>
      <c r="L229" s="276" t="str">
        <f>IFERROR(INDEX('G-8 Condition Look up'!$A$3:$H$135,MATCH(AV229,'G-8 Condition Look up'!$A$3:$A$135,0),MATCH(K229,'G-8 Condition Look up'!$A$3:$H$3,0)),"")</f>
        <v/>
      </c>
      <c r="M229" s="52"/>
      <c r="N229" s="295" t="str">
        <f>IF(M229="","",IF(VLOOKUP(M229,'G-3 Multipliers'!$L$3:$N$6,2,FALSE)=0,"Spatial Data Missing",VLOOKUP(M229,'G-3 Multipliers'!$L$3:$N$6,2,FALSE)))</f>
        <v/>
      </c>
      <c r="O229" s="281" t="str">
        <f>IF(M229="","",IF(VLOOKUP(M229,'G-3 Multipliers'!$L$3:$N$6,3,FALSE)=0,"Spatial Data Missing ▲",VLOOKUP(M229,'G-3 Multipliers'!$L$3:$N$6,3,FALSE)))</f>
        <v/>
      </c>
      <c r="P229" s="282" t="str">
        <f>(IF(G229="Yes","Bespoke compensation likely to be required",(IFERROR(VLOOKUP(AV229,'G-1 All Habitats'!$B$2:$M$135,12,FALSE),""))))</f>
        <v/>
      </c>
      <c r="Q229" s="289" t="str">
        <f>IFERROR(IF(AND(F229&lt;&gt;"",G229=""),"Confirm irreplaceable habitat status ▲",(IF(AND(E229="Individual trees",T229&gt;0,G229="Yes"),"Error - you cannot enhance irreplaceable individual trees ▲",(IF(AND(U229="Irreplaceable habitat - no units generated ⚠",(S229+T229)&lt;H229,OR(Y229="No",Y229="")),"Any Loss Unacceptable ⚠",(IF(U229="Irreplaceable habitat - no units generated ⚠",T229*J229*L229*O229,IF(AND(P229='G-1 All Habitats'!$X$9,AC229&gt;0,S229&lt;=0,T229&lt;=0,OR(Y229="No",Y229="")),"Any Loss Unacceptable ⚠",IF(AND(P229='G-1 All Habitats'!$X$9,AC229&gt;0,S229&lt;=0,T229&lt;=0,Y229="Yes"),0,(IF(AND(P229='G-1 All Habitats'!$X$9,(S229+T229)&lt;H229,OR(Y229="No",Y229="")),"Any Loss Unacceptable ⚠",(IF(P229="","",IF(AND(P229='G-1 All Habitats'!$X$9,T229&gt;0),U229+V229,IF(AND(P229='G-1 All Habitats'!$X$9,S229&gt;0),U229+V229,H229*J229*L229*O229))))))))))))))),"Check Data ▲")</f>
        <v/>
      </c>
      <c r="R229" s="38"/>
      <c r="S229" s="52"/>
      <c r="T229" s="53"/>
      <c r="U229" s="287" t="str">
        <f t="shared" si="25"/>
        <v/>
      </c>
      <c r="V229" s="287" t="str">
        <f t="shared" si="26"/>
        <v/>
      </c>
      <c r="W229" s="287" t="str">
        <f t="shared" si="27"/>
        <v/>
      </c>
      <c r="X229" s="291" t="str">
        <f>IFERROR(IF(H229="","",IF(H229-S229-T229=0&lt;0,"Error in Areas ▲",IF(S229+T229&gt;H229,"Error in Areas ▲",IF(AND(P229='G-1 All Habitats'!$X$9,Y229="Yes"),"Alternative Compensation ✓",IF(AND(P229='G-1 All Habitats'!$X$3,Y229="Yes"),"Alternative Compensation ✓",IF(AND(Y229="Pending",P229='G-1 All Habitats'!$X$3),"Bespoke compensation must be agreed ▲",IF(AND(Y229="Pending",P229='G-1 All Habitats'!$X$9),"Bespoke compensation must be agreed  ▲",IF(W229=0,0,IF(P229='G-1 All Habitats'!$X$9,"Any Loss Unacceptable ▲",Q229-U229-V229))))))))),"Check Data ▲")</f>
        <v/>
      </c>
      <c r="Y229" s="53"/>
      <c r="Z229" s="105"/>
      <c r="AA229" s="233"/>
      <c r="AB229" s="104"/>
      <c r="AC229" s="512" t="str">
        <f>IF(OR(P229="",Y229="Yes"),"",IF(P229='G-1 All Habitats'!$X$9,H229-S229-T229,"None"))</f>
        <v/>
      </c>
      <c r="AD229" s="513" t="str">
        <f>IF(P229="","",IF(P229='G-1 All Habitats'!$X$9,AC229*J229*L229*O229,"None"))</f>
        <v/>
      </c>
      <c r="AE229" s="35" t="str">
        <f t="shared" si="23"/>
        <v/>
      </c>
      <c r="AF229" s="40" t="str">
        <f t="shared" si="28"/>
        <v/>
      </c>
      <c r="AG229" s="40" t="str">
        <f t="shared" si="24"/>
        <v/>
      </c>
      <c r="AH229" s="40" t="str">
        <f>IF(I229="","",IF(#REF!&gt;0,TRUE,FALSE))</f>
        <v/>
      </c>
      <c r="AI229" s="40">
        <v>219</v>
      </c>
      <c r="AJ229" s="40"/>
      <c r="AK229" s="40" t="str">
        <f t="array" ref="AK229">IFERROR(INDEX($AI$11:$AI$259,MATCH(0,IF(TRUE=$AF$11:$AF$259,COUNTIF($AK$10:$AK228,$AI$11:$AI$259),""),0)),"")</f>
        <v/>
      </c>
      <c r="AL229" s="40" t="str">
        <f t="array" ref="AL229">IFERROR(INDEX($AI$11:$AI$259,MATCH(0,IF(TRUE=$AG$11:$AG$259,COUNTIF($AL$10:$AL228,$AI$11:$AI$259),""),0)),"")</f>
        <v/>
      </c>
      <c r="AM229" s="40" t="str">
        <f t="array" ref="AM229">IFERROR(INDEX($AI$11:$AI$259,MATCH(0,IF(TRUE=$AH$11:$AH$259,COUNTIF($AM$10:$AM228,$AI$11:$AI$259),""),0)),"")</f>
        <v/>
      </c>
      <c r="AN229" s="40"/>
      <c r="AQ229" s="35">
        <f t="shared" si="29"/>
        <v>0</v>
      </c>
      <c r="AT229" s="885" t="str">
        <f>IF(AND(OR(Y229="Yes",Y229="Pending"),P229='G-1 All Habitats'!$X$3),Q229-U229-V229,"")</f>
        <v/>
      </c>
      <c r="AV229" s="542" t="str">
        <f>IFERROR(INDEX('G-1 All Habitats'!$B$3:$B$135,MATCH(F229,'G-1 All Habitats'!$A$3:$A$135,0)),"")</f>
        <v/>
      </c>
      <c r="AW229" s="35" t="str">
        <f>IF(AV229="","",VLOOKUP(AV229,'G-1 All Habitats'!$B$1:$T$135,19,FALSE))</f>
        <v/>
      </c>
    </row>
    <row r="230" spans="1:49" ht="14.5" hidden="1" thickBot="1">
      <c r="A230" s="35" t="str">
        <f>IFERROR(INDEX('G-1 All Habitats'!$AG$3:$AG$17,MATCH(E230,'G-1 All Habitats'!$AF$3:$AF$17,0)),"")</f>
        <v/>
      </c>
      <c r="B230" s="35" t="str">
        <f>IFERROR(INDEX('G-8 Condition Look up'!$I$4:$I$135,MATCH(AV230,'G-8 Condition Look up'!$A$4:$A$135,0)),"")</f>
        <v/>
      </c>
      <c r="D230" s="225">
        <v>220</v>
      </c>
      <c r="E230" s="211"/>
      <c r="F230" s="57"/>
      <c r="G230" s="263"/>
      <c r="H230" s="51"/>
      <c r="I230" s="275" t="str">
        <f>IF(AV230="","",IF(AND(AW230="Yes",G230="No"),"Irreplaceable habitat ▲",IF(AND(AW230="No",G230="Yes"),"Cannot be Irreplaceable ▲",VLOOKUP(AV230,'G-1 All Habitats'!$B$2:$M$135,10,FALSE))))</f>
        <v/>
      </c>
      <c r="J230" s="276" t="str">
        <f>IFERROR(VLOOKUP(I230,'G-1 All Habitats'!$V$3:$W$7,2,FALSE),"")</f>
        <v/>
      </c>
      <c r="K230" s="52"/>
      <c r="L230" s="276" t="str">
        <f>IFERROR(INDEX('G-8 Condition Look up'!$A$3:$H$135,MATCH(AV230,'G-8 Condition Look up'!$A$3:$A$135,0),MATCH(K230,'G-8 Condition Look up'!$A$3:$H$3,0)),"")</f>
        <v/>
      </c>
      <c r="M230" s="52"/>
      <c r="N230" s="295" t="str">
        <f>IF(M230="","",IF(VLOOKUP(M230,'G-3 Multipliers'!$L$3:$N$6,2,FALSE)=0,"Spatial Data Missing",VLOOKUP(M230,'G-3 Multipliers'!$L$3:$N$6,2,FALSE)))</f>
        <v/>
      </c>
      <c r="O230" s="281" t="str">
        <f>IF(M230="","",IF(VLOOKUP(M230,'G-3 Multipliers'!$L$3:$N$6,3,FALSE)=0,"Spatial Data Missing ▲",VLOOKUP(M230,'G-3 Multipliers'!$L$3:$N$6,3,FALSE)))</f>
        <v/>
      </c>
      <c r="P230" s="282" t="str">
        <f>(IF(G230="Yes","Bespoke compensation likely to be required",(IFERROR(VLOOKUP(AV230,'G-1 All Habitats'!$B$2:$M$135,12,FALSE),""))))</f>
        <v/>
      </c>
      <c r="Q230" s="289" t="str">
        <f>IFERROR(IF(AND(F230&lt;&gt;"",G230=""),"Confirm irreplaceable habitat status ▲",(IF(AND(E230="Individual trees",T230&gt;0,G230="Yes"),"Error - you cannot enhance irreplaceable individual trees ▲",(IF(AND(U230="Irreplaceable habitat - no units generated ⚠",(S230+T230)&lt;H230,OR(Y230="No",Y230="")),"Any Loss Unacceptable ⚠",(IF(U230="Irreplaceable habitat - no units generated ⚠",T230*J230*L230*O230,IF(AND(P230='G-1 All Habitats'!$X$9,AC230&gt;0,S230&lt;=0,T230&lt;=0,OR(Y230="No",Y230="")),"Any Loss Unacceptable ⚠",IF(AND(P230='G-1 All Habitats'!$X$9,AC230&gt;0,S230&lt;=0,T230&lt;=0,Y230="Yes"),0,(IF(AND(P230='G-1 All Habitats'!$X$9,(S230+T230)&lt;H230,OR(Y230="No",Y230="")),"Any Loss Unacceptable ⚠",(IF(P230="","",IF(AND(P230='G-1 All Habitats'!$X$9,T230&gt;0),U230+V230,IF(AND(P230='G-1 All Habitats'!$X$9,S230&gt;0),U230+V230,H230*J230*L230*O230))))))))))))))),"Check Data ▲")</f>
        <v/>
      </c>
      <c r="R230" s="38"/>
      <c r="S230" s="52"/>
      <c r="T230" s="53"/>
      <c r="U230" s="287" t="str">
        <f t="shared" si="25"/>
        <v/>
      </c>
      <c r="V230" s="287" t="str">
        <f t="shared" si="26"/>
        <v/>
      </c>
      <c r="W230" s="287" t="str">
        <f t="shared" si="27"/>
        <v/>
      </c>
      <c r="X230" s="291" t="str">
        <f>IFERROR(IF(H230="","",IF(H230-S230-T230=0&lt;0,"Error in Areas ▲",IF(S230+T230&gt;H230,"Error in Areas ▲",IF(AND(P230='G-1 All Habitats'!$X$9,Y230="Yes"),"Alternative Compensation ✓",IF(AND(P230='G-1 All Habitats'!$X$3,Y230="Yes"),"Alternative Compensation ✓",IF(AND(Y230="Pending",P230='G-1 All Habitats'!$X$3),"Bespoke compensation must be agreed ▲",IF(AND(Y230="Pending",P230='G-1 All Habitats'!$X$9),"Bespoke compensation must be agreed  ▲",IF(W230=0,0,IF(P230='G-1 All Habitats'!$X$9,"Any Loss Unacceptable ▲",Q230-U230-V230))))))))),"Check Data ▲")</f>
        <v/>
      </c>
      <c r="Y230" s="53"/>
      <c r="Z230" s="105"/>
      <c r="AA230" s="233"/>
      <c r="AB230" s="104"/>
      <c r="AC230" s="512" t="str">
        <f>IF(OR(P230="",Y230="Yes"),"",IF(P230='G-1 All Habitats'!$X$9,H230-S230-T230,"None"))</f>
        <v/>
      </c>
      <c r="AD230" s="513" t="str">
        <f>IF(P230="","",IF(P230='G-1 All Habitats'!$X$9,AC230*J230*L230*O230,"None"))</f>
        <v/>
      </c>
      <c r="AE230" s="35" t="str">
        <f t="shared" si="23"/>
        <v/>
      </c>
      <c r="AF230" s="40" t="str">
        <f t="shared" si="28"/>
        <v/>
      </c>
      <c r="AG230" s="40" t="str">
        <f t="shared" si="24"/>
        <v/>
      </c>
      <c r="AH230" s="40" t="str">
        <f>IF(I230="","",IF(#REF!&gt;0,TRUE,FALSE))</f>
        <v/>
      </c>
      <c r="AI230" s="40">
        <v>220</v>
      </c>
      <c r="AJ230" s="40"/>
      <c r="AK230" s="40" t="str">
        <f t="array" ref="AK230">IFERROR(INDEX($AI$11:$AI$259,MATCH(0,IF(TRUE=$AF$11:$AF$259,COUNTIF($AK$10:$AK229,$AI$11:$AI$259),""),0)),"")</f>
        <v/>
      </c>
      <c r="AL230" s="40" t="str">
        <f t="array" ref="AL230">IFERROR(INDEX($AI$11:$AI$259,MATCH(0,IF(TRUE=$AG$11:$AG$259,COUNTIF($AL$10:$AL229,$AI$11:$AI$259),""),0)),"")</f>
        <v/>
      </c>
      <c r="AM230" s="40" t="str">
        <f t="array" ref="AM230">IFERROR(INDEX($AI$11:$AI$259,MATCH(0,IF(TRUE=$AH$11:$AH$259,COUNTIF($AM$10:$AM229,$AI$11:$AI$259),""),0)),"")</f>
        <v/>
      </c>
      <c r="AN230" s="40"/>
      <c r="AQ230" s="35">
        <f t="shared" si="29"/>
        <v>0</v>
      </c>
      <c r="AT230" s="885" t="str">
        <f>IF(AND(OR(Y230="Yes",Y230="Pending"),P230='G-1 All Habitats'!$X$3),Q230-U230-V230,"")</f>
        <v/>
      </c>
      <c r="AV230" s="542" t="str">
        <f>IFERROR(INDEX('G-1 All Habitats'!$B$3:$B$135,MATCH(F230,'G-1 All Habitats'!$A$3:$A$135,0)),"")</f>
        <v/>
      </c>
      <c r="AW230" s="35" t="str">
        <f>IF(AV230="","",VLOOKUP(AV230,'G-1 All Habitats'!$B$1:$T$135,19,FALSE))</f>
        <v/>
      </c>
    </row>
    <row r="231" spans="1:49" ht="14.5" hidden="1" thickBot="1">
      <c r="A231" s="35" t="str">
        <f>IFERROR(INDEX('G-1 All Habitats'!$AG$3:$AG$17,MATCH(E231,'G-1 All Habitats'!$AF$3:$AF$17,0)),"")</f>
        <v/>
      </c>
      <c r="B231" s="35" t="str">
        <f>IFERROR(INDEX('G-8 Condition Look up'!$I$4:$I$135,MATCH(AV231,'G-8 Condition Look up'!$A$4:$A$135,0)),"")</f>
        <v/>
      </c>
      <c r="D231" s="225">
        <v>221</v>
      </c>
      <c r="E231" s="211"/>
      <c r="F231" s="57"/>
      <c r="G231" s="263"/>
      <c r="H231" s="51"/>
      <c r="I231" s="275" t="str">
        <f>IF(AV231="","",IF(AND(AW231="Yes",G231="No"),"Irreplaceable habitat ▲",IF(AND(AW231="No",G231="Yes"),"Cannot be Irreplaceable ▲",VLOOKUP(AV231,'G-1 All Habitats'!$B$2:$M$135,10,FALSE))))</f>
        <v/>
      </c>
      <c r="J231" s="276" t="str">
        <f>IFERROR(VLOOKUP(I231,'G-1 All Habitats'!$V$3:$W$7,2,FALSE),"")</f>
        <v/>
      </c>
      <c r="K231" s="52"/>
      <c r="L231" s="276" t="str">
        <f>IFERROR(INDEX('G-8 Condition Look up'!$A$3:$H$135,MATCH(AV231,'G-8 Condition Look up'!$A$3:$A$135,0),MATCH(K231,'G-8 Condition Look up'!$A$3:$H$3,0)),"")</f>
        <v/>
      </c>
      <c r="M231" s="52"/>
      <c r="N231" s="295" t="str">
        <f>IF(M231="","",IF(VLOOKUP(M231,'G-3 Multipliers'!$L$3:$N$6,2,FALSE)=0,"Spatial Data Missing",VLOOKUP(M231,'G-3 Multipliers'!$L$3:$N$6,2,FALSE)))</f>
        <v/>
      </c>
      <c r="O231" s="281" t="str">
        <f>IF(M231="","",IF(VLOOKUP(M231,'G-3 Multipliers'!$L$3:$N$6,3,FALSE)=0,"Spatial Data Missing ▲",VLOOKUP(M231,'G-3 Multipliers'!$L$3:$N$6,3,FALSE)))</f>
        <v/>
      </c>
      <c r="P231" s="282" t="str">
        <f>(IF(G231="Yes","Bespoke compensation likely to be required",(IFERROR(VLOOKUP(AV231,'G-1 All Habitats'!$B$2:$M$135,12,FALSE),""))))</f>
        <v/>
      </c>
      <c r="Q231" s="289" t="str">
        <f>IFERROR(IF(AND(F231&lt;&gt;"",G231=""),"Confirm irreplaceable habitat status ▲",(IF(AND(E231="Individual trees",T231&gt;0,G231="Yes"),"Error - you cannot enhance irreplaceable individual trees ▲",(IF(AND(U231="Irreplaceable habitat - no units generated ⚠",(S231+T231)&lt;H231,OR(Y231="No",Y231="")),"Any Loss Unacceptable ⚠",(IF(U231="Irreplaceable habitat - no units generated ⚠",T231*J231*L231*O231,IF(AND(P231='G-1 All Habitats'!$X$9,AC231&gt;0,S231&lt;=0,T231&lt;=0,OR(Y231="No",Y231="")),"Any Loss Unacceptable ⚠",IF(AND(P231='G-1 All Habitats'!$X$9,AC231&gt;0,S231&lt;=0,T231&lt;=0,Y231="Yes"),0,(IF(AND(P231='G-1 All Habitats'!$X$9,(S231+T231)&lt;H231,OR(Y231="No",Y231="")),"Any Loss Unacceptable ⚠",(IF(P231="","",IF(AND(P231='G-1 All Habitats'!$X$9,T231&gt;0),U231+V231,IF(AND(P231='G-1 All Habitats'!$X$9,S231&gt;0),U231+V231,H231*J231*L231*O231))))))))))))))),"Check Data ▲")</f>
        <v/>
      </c>
      <c r="R231" s="38"/>
      <c r="S231" s="52"/>
      <c r="T231" s="53"/>
      <c r="U231" s="287" t="str">
        <f t="shared" si="25"/>
        <v/>
      </c>
      <c r="V231" s="287" t="str">
        <f t="shared" si="26"/>
        <v/>
      </c>
      <c r="W231" s="287" t="str">
        <f t="shared" si="27"/>
        <v/>
      </c>
      <c r="X231" s="291" t="str">
        <f>IFERROR(IF(H231="","",IF(H231-S231-T231=0&lt;0,"Error in Areas ▲",IF(S231+T231&gt;H231,"Error in Areas ▲",IF(AND(P231='G-1 All Habitats'!$X$9,Y231="Yes"),"Alternative Compensation ✓",IF(AND(P231='G-1 All Habitats'!$X$3,Y231="Yes"),"Alternative Compensation ✓",IF(AND(Y231="Pending",P231='G-1 All Habitats'!$X$3),"Bespoke compensation must be agreed ▲",IF(AND(Y231="Pending",P231='G-1 All Habitats'!$X$9),"Bespoke compensation must be agreed  ▲",IF(W231=0,0,IF(P231='G-1 All Habitats'!$X$9,"Any Loss Unacceptable ▲",Q231-U231-V231))))))))),"Check Data ▲")</f>
        <v/>
      </c>
      <c r="Y231" s="53"/>
      <c r="Z231" s="105"/>
      <c r="AA231" s="233"/>
      <c r="AB231" s="104"/>
      <c r="AC231" s="512" t="str">
        <f>IF(OR(P231="",Y231="Yes"),"",IF(P231='G-1 All Habitats'!$X$9,H231-S231-T231,"None"))</f>
        <v/>
      </c>
      <c r="AD231" s="513" t="str">
        <f>IF(P231="","",IF(P231='G-1 All Habitats'!$X$9,AC231*J231*L231*O231,"None"))</f>
        <v/>
      </c>
      <c r="AE231" s="35" t="str">
        <f t="shared" si="23"/>
        <v/>
      </c>
      <c r="AF231" s="40" t="str">
        <f t="shared" si="28"/>
        <v/>
      </c>
      <c r="AG231" s="40" t="str">
        <f t="shared" si="24"/>
        <v/>
      </c>
      <c r="AH231" s="40" t="str">
        <f>IF(I231="","",IF(#REF!&gt;0,TRUE,FALSE))</f>
        <v/>
      </c>
      <c r="AI231" s="40">
        <v>221</v>
      </c>
      <c r="AJ231" s="40"/>
      <c r="AK231" s="40" t="str">
        <f t="array" ref="AK231">IFERROR(INDEX($AI$11:$AI$259,MATCH(0,IF(TRUE=$AF$11:$AF$259,COUNTIF($AK$10:$AK230,$AI$11:$AI$259),""),0)),"")</f>
        <v/>
      </c>
      <c r="AL231" s="40" t="str">
        <f t="array" ref="AL231">IFERROR(INDEX($AI$11:$AI$259,MATCH(0,IF(TRUE=$AG$11:$AG$259,COUNTIF($AL$10:$AL230,$AI$11:$AI$259),""),0)),"")</f>
        <v/>
      </c>
      <c r="AM231" s="40" t="str">
        <f t="array" ref="AM231">IFERROR(INDEX($AI$11:$AI$259,MATCH(0,IF(TRUE=$AH$11:$AH$259,COUNTIF($AM$10:$AM230,$AI$11:$AI$259),""),0)),"")</f>
        <v/>
      </c>
      <c r="AN231" s="40"/>
      <c r="AQ231" s="35">
        <f t="shared" si="29"/>
        <v>0</v>
      </c>
      <c r="AT231" s="885" t="str">
        <f>IF(AND(OR(Y231="Yes",Y231="Pending"),P231='G-1 All Habitats'!$X$3),Q231-U231-V231,"")</f>
        <v/>
      </c>
      <c r="AV231" s="542" t="str">
        <f>IFERROR(INDEX('G-1 All Habitats'!$B$3:$B$135,MATCH(F231,'G-1 All Habitats'!$A$3:$A$135,0)),"")</f>
        <v/>
      </c>
      <c r="AW231" s="35" t="str">
        <f>IF(AV231="","",VLOOKUP(AV231,'G-1 All Habitats'!$B$1:$T$135,19,FALSE))</f>
        <v/>
      </c>
    </row>
    <row r="232" spans="1:49" ht="14.5" hidden="1" thickBot="1">
      <c r="A232" s="35" t="str">
        <f>IFERROR(INDEX('G-1 All Habitats'!$AG$3:$AG$17,MATCH(E232,'G-1 All Habitats'!$AF$3:$AF$17,0)),"")</f>
        <v/>
      </c>
      <c r="B232" s="35" t="str">
        <f>IFERROR(INDEX('G-8 Condition Look up'!$I$4:$I$135,MATCH(AV232,'G-8 Condition Look up'!$A$4:$A$135,0)),"")</f>
        <v/>
      </c>
      <c r="D232" s="225">
        <v>222</v>
      </c>
      <c r="E232" s="211"/>
      <c r="F232" s="57"/>
      <c r="G232" s="263"/>
      <c r="H232" s="51"/>
      <c r="I232" s="275" t="str">
        <f>IF(AV232="","",IF(AND(AW232="Yes",G232="No"),"Irreplaceable habitat ▲",IF(AND(AW232="No",G232="Yes"),"Cannot be Irreplaceable ▲",VLOOKUP(AV232,'G-1 All Habitats'!$B$2:$M$135,10,FALSE))))</f>
        <v/>
      </c>
      <c r="J232" s="276" t="str">
        <f>IFERROR(VLOOKUP(I232,'G-1 All Habitats'!$V$3:$W$7,2,FALSE),"")</f>
        <v/>
      </c>
      <c r="K232" s="52"/>
      <c r="L232" s="276" t="str">
        <f>IFERROR(INDEX('G-8 Condition Look up'!$A$3:$H$135,MATCH(AV232,'G-8 Condition Look up'!$A$3:$A$135,0),MATCH(K232,'G-8 Condition Look up'!$A$3:$H$3,0)),"")</f>
        <v/>
      </c>
      <c r="M232" s="52"/>
      <c r="N232" s="295" t="str">
        <f>IF(M232="","",IF(VLOOKUP(M232,'G-3 Multipliers'!$L$3:$N$6,2,FALSE)=0,"Spatial Data Missing",VLOOKUP(M232,'G-3 Multipliers'!$L$3:$N$6,2,FALSE)))</f>
        <v/>
      </c>
      <c r="O232" s="281" t="str">
        <f>IF(M232="","",IF(VLOOKUP(M232,'G-3 Multipliers'!$L$3:$N$6,3,FALSE)=0,"Spatial Data Missing ▲",VLOOKUP(M232,'G-3 Multipliers'!$L$3:$N$6,3,FALSE)))</f>
        <v/>
      </c>
      <c r="P232" s="282" t="str">
        <f>(IF(G232="Yes","Bespoke compensation likely to be required",(IFERROR(VLOOKUP(AV232,'G-1 All Habitats'!$B$2:$M$135,12,FALSE),""))))</f>
        <v/>
      </c>
      <c r="Q232" s="289" t="str">
        <f>IFERROR(IF(AND(F232&lt;&gt;"",G232=""),"Confirm irreplaceable habitat status ▲",(IF(AND(E232="Individual trees",T232&gt;0,G232="Yes"),"Error - you cannot enhance irreplaceable individual trees ▲",(IF(AND(U232="Irreplaceable habitat - no units generated ⚠",(S232+T232)&lt;H232,OR(Y232="No",Y232="")),"Any Loss Unacceptable ⚠",(IF(U232="Irreplaceable habitat - no units generated ⚠",T232*J232*L232*O232,IF(AND(P232='G-1 All Habitats'!$X$9,AC232&gt;0,S232&lt;=0,T232&lt;=0,OR(Y232="No",Y232="")),"Any Loss Unacceptable ⚠",IF(AND(P232='G-1 All Habitats'!$X$9,AC232&gt;0,S232&lt;=0,T232&lt;=0,Y232="Yes"),0,(IF(AND(P232='G-1 All Habitats'!$X$9,(S232+T232)&lt;H232,OR(Y232="No",Y232="")),"Any Loss Unacceptable ⚠",(IF(P232="","",IF(AND(P232='G-1 All Habitats'!$X$9,T232&gt;0),U232+V232,IF(AND(P232='G-1 All Habitats'!$X$9,S232&gt;0),U232+V232,H232*J232*L232*O232))))))))))))))),"Check Data ▲")</f>
        <v/>
      </c>
      <c r="R232" s="38"/>
      <c r="S232" s="52"/>
      <c r="T232" s="53"/>
      <c r="U232" s="287" t="str">
        <f t="shared" si="25"/>
        <v/>
      </c>
      <c r="V232" s="287" t="str">
        <f t="shared" si="26"/>
        <v/>
      </c>
      <c r="W232" s="287" t="str">
        <f t="shared" si="27"/>
        <v/>
      </c>
      <c r="X232" s="291" t="str">
        <f>IFERROR(IF(H232="","",IF(H232-S232-T232=0&lt;0,"Error in Areas ▲",IF(S232+T232&gt;H232,"Error in Areas ▲",IF(AND(P232='G-1 All Habitats'!$X$9,Y232="Yes"),"Alternative Compensation ✓",IF(AND(P232='G-1 All Habitats'!$X$3,Y232="Yes"),"Alternative Compensation ✓",IF(AND(Y232="Pending",P232='G-1 All Habitats'!$X$3),"Bespoke compensation must be agreed ▲",IF(AND(Y232="Pending",P232='G-1 All Habitats'!$X$9),"Bespoke compensation must be agreed  ▲",IF(W232=0,0,IF(P232='G-1 All Habitats'!$X$9,"Any Loss Unacceptable ▲",Q232-U232-V232))))))))),"Check Data ▲")</f>
        <v/>
      </c>
      <c r="Y232" s="53"/>
      <c r="Z232" s="105"/>
      <c r="AA232" s="233"/>
      <c r="AB232" s="104"/>
      <c r="AC232" s="512" t="str">
        <f>IF(OR(P232="",Y232="Yes"),"",IF(P232='G-1 All Habitats'!$X$9,H232-S232-T232,"None"))</f>
        <v/>
      </c>
      <c r="AD232" s="513" t="str">
        <f>IF(P232="","",IF(P232='G-1 All Habitats'!$X$9,AC232*J232*L232*O232,"None"))</f>
        <v/>
      </c>
      <c r="AE232" s="35" t="str">
        <f t="shared" si="23"/>
        <v/>
      </c>
      <c r="AF232" s="40" t="str">
        <f t="shared" si="28"/>
        <v/>
      </c>
      <c r="AG232" s="40" t="str">
        <f t="shared" si="24"/>
        <v/>
      </c>
      <c r="AH232" s="40" t="str">
        <f>IF(I232="","",IF(#REF!&gt;0,TRUE,FALSE))</f>
        <v/>
      </c>
      <c r="AI232" s="40">
        <v>222</v>
      </c>
      <c r="AJ232" s="40"/>
      <c r="AK232" s="40" t="str">
        <f t="array" ref="AK232">IFERROR(INDEX($AI$11:$AI$259,MATCH(0,IF(TRUE=$AF$11:$AF$259,COUNTIF($AK$10:$AK231,$AI$11:$AI$259),""),0)),"")</f>
        <v/>
      </c>
      <c r="AL232" s="40" t="str">
        <f t="array" ref="AL232">IFERROR(INDEX($AI$11:$AI$259,MATCH(0,IF(TRUE=$AG$11:$AG$259,COUNTIF($AL$10:$AL231,$AI$11:$AI$259),""),0)),"")</f>
        <v/>
      </c>
      <c r="AM232" s="40" t="str">
        <f t="array" ref="AM232">IFERROR(INDEX($AI$11:$AI$259,MATCH(0,IF(TRUE=$AH$11:$AH$259,COUNTIF($AM$10:$AM231,$AI$11:$AI$259),""),0)),"")</f>
        <v/>
      </c>
      <c r="AN232" s="40"/>
      <c r="AQ232" s="35">
        <f t="shared" si="29"/>
        <v>0</v>
      </c>
      <c r="AT232" s="885" t="str">
        <f>IF(AND(OR(Y232="Yes",Y232="Pending"),P232='G-1 All Habitats'!$X$3),Q232-U232-V232,"")</f>
        <v/>
      </c>
      <c r="AV232" s="542" t="str">
        <f>IFERROR(INDEX('G-1 All Habitats'!$B$3:$B$135,MATCH(F232,'G-1 All Habitats'!$A$3:$A$135,0)),"")</f>
        <v/>
      </c>
      <c r="AW232" s="35" t="str">
        <f>IF(AV232="","",VLOOKUP(AV232,'G-1 All Habitats'!$B$1:$T$135,19,FALSE))</f>
        <v/>
      </c>
    </row>
    <row r="233" spans="1:49" ht="14.5" hidden="1" thickBot="1">
      <c r="A233" s="35" t="str">
        <f>IFERROR(INDEX('G-1 All Habitats'!$AG$3:$AG$17,MATCH(E233,'G-1 All Habitats'!$AF$3:$AF$17,0)),"")</f>
        <v/>
      </c>
      <c r="B233" s="35" t="str">
        <f>IFERROR(INDEX('G-8 Condition Look up'!$I$4:$I$135,MATCH(AV233,'G-8 Condition Look up'!$A$4:$A$135,0)),"")</f>
        <v/>
      </c>
      <c r="D233" s="225">
        <v>223</v>
      </c>
      <c r="E233" s="211"/>
      <c r="F233" s="57"/>
      <c r="G233" s="263"/>
      <c r="H233" s="51"/>
      <c r="I233" s="275" t="str">
        <f>IF(AV233="","",IF(AND(AW233="Yes",G233="No"),"Irreplaceable habitat ▲",IF(AND(AW233="No",G233="Yes"),"Cannot be Irreplaceable ▲",VLOOKUP(AV233,'G-1 All Habitats'!$B$2:$M$135,10,FALSE))))</f>
        <v/>
      </c>
      <c r="J233" s="276" t="str">
        <f>IFERROR(VLOOKUP(I233,'G-1 All Habitats'!$V$3:$W$7,2,FALSE),"")</f>
        <v/>
      </c>
      <c r="K233" s="52"/>
      <c r="L233" s="276" t="str">
        <f>IFERROR(INDEX('G-8 Condition Look up'!$A$3:$H$135,MATCH(AV233,'G-8 Condition Look up'!$A$3:$A$135,0),MATCH(K233,'G-8 Condition Look up'!$A$3:$H$3,0)),"")</f>
        <v/>
      </c>
      <c r="M233" s="52"/>
      <c r="N233" s="295" t="str">
        <f>IF(M233="","",IF(VLOOKUP(M233,'G-3 Multipliers'!$L$3:$N$6,2,FALSE)=0,"Spatial Data Missing",VLOOKUP(M233,'G-3 Multipliers'!$L$3:$N$6,2,FALSE)))</f>
        <v/>
      </c>
      <c r="O233" s="281" t="str">
        <f>IF(M233="","",IF(VLOOKUP(M233,'G-3 Multipliers'!$L$3:$N$6,3,FALSE)=0,"Spatial Data Missing ▲",VLOOKUP(M233,'G-3 Multipliers'!$L$3:$N$6,3,FALSE)))</f>
        <v/>
      </c>
      <c r="P233" s="282" t="str">
        <f>(IF(G233="Yes","Bespoke compensation likely to be required",(IFERROR(VLOOKUP(AV233,'G-1 All Habitats'!$B$2:$M$135,12,FALSE),""))))</f>
        <v/>
      </c>
      <c r="Q233" s="289" t="str">
        <f>IFERROR(IF(AND(F233&lt;&gt;"",G233=""),"Confirm irreplaceable habitat status ▲",(IF(AND(E233="Individual trees",T233&gt;0,G233="Yes"),"Error - you cannot enhance irreplaceable individual trees ▲",(IF(AND(U233="Irreplaceable habitat - no units generated ⚠",(S233+T233)&lt;H233,OR(Y233="No",Y233="")),"Any Loss Unacceptable ⚠",(IF(U233="Irreplaceable habitat - no units generated ⚠",T233*J233*L233*O233,IF(AND(P233='G-1 All Habitats'!$X$9,AC233&gt;0,S233&lt;=0,T233&lt;=0,OR(Y233="No",Y233="")),"Any Loss Unacceptable ⚠",IF(AND(P233='G-1 All Habitats'!$X$9,AC233&gt;0,S233&lt;=0,T233&lt;=0,Y233="Yes"),0,(IF(AND(P233='G-1 All Habitats'!$X$9,(S233+T233)&lt;H233,OR(Y233="No",Y233="")),"Any Loss Unacceptable ⚠",(IF(P233="","",IF(AND(P233='G-1 All Habitats'!$X$9,T233&gt;0),U233+V233,IF(AND(P233='G-1 All Habitats'!$X$9,S233&gt;0),U233+V233,H233*J233*L233*O233))))))))))))))),"Check Data ▲")</f>
        <v/>
      </c>
      <c r="R233" s="38"/>
      <c r="S233" s="52"/>
      <c r="T233" s="53"/>
      <c r="U233" s="287" t="str">
        <f t="shared" si="25"/>
        <v/>
      </c>
      <c r="V233" s="287" t="str">
        <f t="shared" si="26"/>
        <v/>
      </c>
      <c r="W233" s="287" t="str">
        <f t="shared" si="27"/>
        <v/>
      </c>
      <c r="X233" s="291" t="str">
        <f>IFERROR(IF(H233="","",IF(H233-S233-T233=0&lt;0,"Error in Areas ▲",IF(S233+T233&gt;H233,"Error in Areas ▲",IF(AND(P233='G-1 All Habitats'!$X$9,Y233="Yes"),"Alternative Compensation ✓",IF(AND(P233='G-1 All Habitats'!$X$3,Y233="Yes"),"Alternative Compensation ✓",IF(AND(Y233="Pending",P233='G-1 All Habitats'!$X$3),"Bespoke compensation must be agreed ▲",IF(AND(Y233="Pending",P233='G-1 All Habitats'!$X$9),"Bespoke compensation must be agreed  ▲",IF(W233=0,0,IF(P233='G-1 All Habitats'!$X$9,"Any Loss Unacceptable ▲",Q233-U233-V233))))))))),"Check Data ▲")</f>
        <v/>
      </c>
      <c r="Y233" s="53"/>
      <c r="Z233" s="105"/>
      <c r="AA233" s="233"/>
      <c r="AB233" s="104"/>
      <c r="AC233" s="512" t="str">
        <f>IF(OR(P233="",Y233="Yes"),"",IF(P233='G-1 All Habitats'!$X$9,H233-S233-T233,"None"))</f>
        <v/>
      </c>
      <c r="AD233" s="513" t="str">
        <f>IF(P233="","",IF(P233='G-1 All Habitats'!$X$9,AC233*J233*L233*O233,"None"))</f>
        <v/>
      </c>
      <c r="AE233" s="35" t="str">
        <f t="shared" si="23"/>
        <v/>
      </c>
      <c r="AF233" s="40" t="str">
        <f t="shared" si="28"/>
        <v/>
      </c>
      <c r="AG233" s="40" t="str">
        <f t="shared" si="24"/>
        <v/>
      </c>
      <c r="AH233" s="40" t="str">
        <f>IF(I233="","",IF(#REF!&gt;0,TRUE,FALSE))</f>
        <v/>
      </c>
      <c r="AI233" s="40">
        <v>223</v>
      </c>
      <c r="AJ233" s="40"/>
      <c r="AK233" s="40" t="str">
        <f t="array" ref="AK233">IFERROR(INDEX($AI$11:$AI$259,MATCH(0,IF(TRUE=$AF$11:$AF$259,COUNTIF($AK$10:$AK232,$AI$11:$AI$259),""),0)),"")</f>
        <v/>
      </c>
      <c r="AL233" s="40" t="str">
        <f t="array" ref="AL233">IFERROR(INDEX($AI$11:$AI$259,MATCH(0,IF(TRUE=$AG$11:$AG$259,COUNTIF($AL$10:$AL232,$AI$11:$AI$259),""),0)),"")</f>
        <v/>
      </c>
      <c r="AM233" s="40" t="str">
        <f t="array" ref="AM233">IFERROR(INDEX($AI$11:$AI$259,MATCH(0,IF(TRUE=$AH$11:$AH$259,COUNTIF($AM$10:$AM232,$AI$11:$AI$259),""),0)),"")</f>
        <v/>
      </c>
      <c r="AN233" s="40"/>
      <c r="AQ233" s="35">
        <f t="shared" si="29"/>
        <v>0</v>
      </c>
      <c r="AT233" s="885" t="str">
        <f>IF(AND(OR(Y233="Yes",Y233="Pending"),P233='G-1 All Habitats'!$X$3),Q233-U233-V233,"")</f>
        <v/>
      </c>
      <c r="AV233" s="542" t="str">
        <f>IFERROR(INDEX('G-1 All Habitats'!$B$3:$B$135,MATCH(F233,'G-1 All Habitats'!$A$3:$A$135,0)),"")</f>
        <v/>
      </c>
      <c r="AW233" s="35" t="str">
        <f>IF(AV233="","",VLOOKUP(AV233,'G-1 All Habitats'!$B$1:$T$135,19,FALSE))</f>
        <v/>
      </c>
    </row>
    <row r="234" spans="1:49" ht="14.5" hidden="1" thickBot="1">
      <c r="A234" s="35" t="str">
        <f>IFERROR(INDEX('G-1 All Habitats'!$AG$3:$AG$17,MATCH(E234,'G-1 All Habitats'!$AF$3:$AF$17,0)),"")</f>
        <v/>
      </c>
      <c r="B234" s="35" t="str">
        <f>IFERROR(INDEX('G-8 Condition Look up'!$I$4:$I$135,MATCH(AV234,'G-8 Condition Look up'!$A$4:$A$135,0)),"")</f>
        <v/>
      </c>
      <c r="D234" s="225">
        <v>224</v>
      </c>
      <c r="E234" s="211"/>
      <c r="F234" s="57"/>
      <c r="G234" s="263"/>
      <c r="H234" s="51"/>
      <c r="I234" s="275" t="str">
        <f>IF(AV234="","",IF(AND(AW234="Yes",G234="No"),"Irreplaceable habitat ▲",IF(AND(AW234="No",G234="Yes"),"Cannot be Irreplaceable ▲",VLOOKUP(AV234,'G-1 All Habitats'!$B$2:$M$135,10,FALSE))))</f>
        <v/>
      </c>
      <c r="J234" s="276" t="str">
        <f>IFERROR(VLOOKUP(I234,'G-1 All Habitats'!$V$3:$W$7,2,FALSE),"")</f>
        <v/>
      </c>
      <c r="K234" s="52"/>
      <c r="L234" s="276" t="str">
        <f>IFERROR(INDEX('G-8 Condition Look up'!$A$3:$H$135,MATCH(AV234,'G-8 Condition Look up'!$A$3:$A$135,0),MATCH(K234,'G-8 Condition Look up'!$A$3:$H$3,0)),"")</f>
        <v/>
      </c>
      <c r="M234" s="52"/>
      <c r="N234" s="295" t="str">
        <f>IF(M234="","",IF(VLOOKUP(M234,'G-3 Multipliers'!$L$3:$N$6,2,FALSE)=0,"Spatial Data Missing",VLOOKUP(M234,'G-3 Multipliers'!$L$3:$N$6,2,FALSE)))</f>
        <v/>
      </c>
      <c r="O234" s="281" t="str">
        <f>IF(M234="","",IF(VLOOKUP(M234,'G-3 Multipliers'!$L$3:$N$6,3,FALSE)=0,"Spatial Data Missing ▲",VLOOKUP(M234,'G-3 Multipliers'!$L$3:$N$6,3,FALSE)))</f>
        <v/>
      </c>
      <c r="P234" s="282" t="str">
        <f>(IF(G234="Yes","Bespoke compensation likely to be required",(IFERROR(VLOOKUP(AV234,'G-1 All Habitats'!$B$2:$M$135,12,FALSE),""))))</f>
        <v/>
      </c>
      <c r="Q234" s="289" t="str">
        <f>IFERROR(IF(AND(F234&lt;&gt;"",G234=""),"Confirm irreplaceable habitat status ▲",(IF(AND(E234="Individual trees",T234&gt;0,G234="Yes"),"Error - you cannot enhance irreplaceable individual trees ▲",(IF(AND(U234="Irreplaceable habitat - no units generated ⚠",(S234+T234)&lt;H234,OR(Y234="No",Y234="")),"Any Loss Unacceptable ⚠",(IF(U234="Irreplaceable habitat - no units generated ⚠",T234*J234*L234*O234,IF(AND(P234='G-1 All Habitats'!$X$9,AC234&gt;0,S234&lt;=0,T234&lt;=0,OR(Y234="No",Y234="")),"Any Loss Unacceptable ⚠",IF(AND(P234='G-1 All Habitats'!$X$9,AC234&gt;0,S234&lt;=0,T234&lt;=0,Y234="Yes"),0,(IF(AND(P234='G-1 All Habitats'!$X$9,(S234+T234)&lt;H234,OR(Y234="No",Y234="")),"Any Loss Unacceptable ⚠",(IF(P234="","",IF(AND(P234='G-1 All Habitats'!$X$9,T234&gt;0),U234+V234,IF(AND(P234='G-1 All Habitats'!$X$9,S234&gt;0),U234+V234,H234*J234*L234*O234))))))))))))))),"Check Data ▲")</f>
        <v/>
      </c>
      <c r="R234" s="38"/>
      <c r="S234" s="52"/>
      <c r="T234" s="53"/>
      <c r="U234" s="287" t="str">
        <f t="shared" si="25"/>
        <v/>
      </c>
      <c r="V234" s="287" t="str">
        <f t="shared" si="26"/>
        <v/>
      </c>
      <c r="W234" s="287" t="str">
        <f t="shared" si="27"/>
        <v/>
      </c>
      <c r="X234" s="291" t="str">
        <f>IFERROR(IF(H234="","",IF(H234-S234-T234=0&lt;0,"Error in Areas ▲",IF(S234+T234&gt;H234,"Error in Areas ▲",IF(AND(P234='G-1 All Habitats'!$X$9,Y234="Yes"),"Alternative Compensation ✓",IF(AND(P234='G-1 All Habitats'!$X$3,Y234="Yes"),"Alternative Compensation ✓",IF(AND(Y234="Pending",P234='G-1 All Habitats'!$X$3),"Bespoke compensation must be agreed ▲",IF(AND(Y234="Pending",P234='G-1 All Habitats'!$X$9),"Bespoke compensation must be agreed  ▲",IF(W234=0,0,IF(P234='G-1 All Habitats'!$X$9,"Any Loss Unacceptable ▲",Q234-U234-V234))))))))),"Check Data ▲")</f>
        <v/>
      </c>
      <c r="Y234" s="53"/>
      <c r="Z234" s="105"/>
      <c r="AA234" s="233"/>
      <c r="AB234" s="104"/>
      <c r="AC234" s="512" t="str">
        <f>IF(OR(P234="",Y234="Yes"),"",IF(P234='G-1 All Habitats'!$X$9,H234-S234-T234,"None"))</f>
        <v/>
      </c>
      <c r="AD234" s="513" t="str">
        <f>IF(P234="","",IF(P234='G-1 All Habitats'!$X$9,AC234*J234*L234*O234,"None"))</f>
        <v/>
      </c>
      <c r="AE234" s="35" t="str">
        <f t="shared" si="23"/>
        <v/>
      </c>
      <c r="AF234" s="40" t="str">
        <f t="shared" si="28"/>
        <v/>
      </c>
      <c r="AG234" s="40" t="str">
        <f t="shared" si="24"/>
        <v/>
      </c>
      <c r="AH234" s="40" t="str">
        <f>IF(I234="","",IF(#REF!&gt;0,TRUE,FALSE))</f>
        <v/>
      </c>
      <c r="AI234" s="40">
        <v>224</v>
      </c>
      <c r="AJ234" s="40"/>
      <c r="AK234" s="40" t="str">
        <f t="array" ref="AK234">IFERROR(INDEX($AI$11:$AI$259,MATCH(0,IF(TRUE=$AF$11:$AF$259,COUNTIF($AK$10:$AK233,$AI$11:$AI$259),""),0)),"")</f>
        <v/>
      </c>
      <c r="AL234" s="40" t="str">
        <f t="array" ref="AL234">IFERROR(INDEX($AI$11:$AI$259,MATCH(0,IF(TRUE=$AG$11:$AG$259,COUNTIF($AL$10:$AL233,$AI$11:$AI$259),""),0)),"")</f>
        <v/>
      </c>
      <c r="AM234" s="40" t="str">
        <f t="array" ref="AM234">IFERROR(INDEX($AI$11:$AI$259,MATCH(0,IF(TRUE=$AH$11:$AH$259,COUNTIF($AM$10:$AM233,$AI$11:$AI$259),""),0)),"")</f>
        <v/>
      </c>
      <c r="AN234" s="40"/>
      <c r="AQ234" s="35">
        <f t="shared" si="29"/>
        <v>0</v>
      </c>
      <c r="AT234" s="885" t="str">
        <f>IF(AND(OR(Y234="Yes",Y234="Pending"),P234='G-1 All Habitats'!$X$3),Q234-U234-V234,"")</f>
        <v/>
      </c>
      <c r="AV234" s="542" t="str">
        <f>IFERROR(INDEX('G-1 All Habitats'!$B$3:$B$135,MATCH(F234,'G-1 All Habitats'!$A$3:$A$135,0)),"")</f>
        <v/>
      </c>
      <c r="AW234" s="35" t="str">
        <f>IF(AV234="","",VLOOKUP(AV234,'G-1 All Habitats'!$B$1:$T$135,19,FALSE))</f>
        <v/>
      </c>
    </row>
    <row r="235" spans="1:49" ht="14.5" hidden="1" thickBot="1">
      <c r="A235" s="35" t="str">
        <f>IFERROR(INDEX('G-1 All Habitats'!$AG$3:$AG$17,MATCH(E235,'G-1 All Habitats'!$AF$3:$AF$17,0)),"")</f>
        <v/>
      </c>
      <c r="B235" s="35" t="str">
        <f>IFERROR(INDEX('G-8 Condition Look up'!$I$4:$I$135,MATCH(AV235,'G-8 Condition Look up'!$A$4:$A$135,0)),"")</f>
        <v/>
      </c>
      <c r="D235" s="225">
        <v>225</v>
      </c>
      <c r="E235" s="211"/>
      <c r="F235" s="57"/>
      <c r="G235" s="263"/>
      <c r="H235" s="51"/>
      <c r="I235" s="275" t="str">
        <f>IF(AV235="","",IF(AND(AW235="Yes",G235="No"),"Irreplaceable habitat ▲",IF(AND(AW235="No",G235="Yes"),"Cannot be Irreplaceable ▲",VLOOKUP(AV235,'G-1 All Habitats'!$B$2:$M$135,10,FALSE))))</f>
        <v/>
      </c>
      <c r="J235" s="276" t="str">
        <f>IFERROR(VLOOKUP(I235,'G-1 All Habitats'!$V$3:$W$7,2,FALSE),"")</f>
        <v/>
      </c>
      <c r="K235" s="52"/>
      <c r="L235" s="276" t="str">
        <f>IFERROR(INDEX('G-8 Condition Look up'!$A$3:$H$135,MATCH(AV235,'G-8 Condition Look up'!$A$3:$A$135,0),MATCH(K235,'G-8 Condition Look up'!$A$3:$H$3,0)),"")</f>
        <v/>
      </c>
      <c r="M235" s="52"/>
      <c r="N235" s="295" t="str">
        <f>IF(M235="","",IF(VLOOKUP(M235,'G-3 Multipliers'!$L$3:$N$6,2,FALSE)=0,"Spatial Data Missing",VLOOKUP(M235,'G-3 Multipliers'!$L$3:$N$6,2,FALSE)))</f>
        <v/>
      </c>
      <c r="O235" s="281" t="str">
        <f>IF(M235="","",IF(VLOOKUP(M235,'G-3 Multipliers'!$L$3:$N$6,3,FALSE)=0,"Spatial Data Missing ▲",VLOOKUP(M235,'G-3 Multipliers'!$L$3:$N$6,3,FALSE)))</f>
        <v/>
      </c>
      <c r="P235" s="282" t="str">
        <f>(IF(G235="Yes","Bespoke compensation likely to be required",(IFERROR(VLOOKUP(AV235,'G-1 All Habitats'!$B$2:$M$135,12,FALSE),""))))</f>
        <v/>
      </c>
      <c r="Q235" s="289" t="str">
        <f>IFERROR(IF(AND(F235&lt;&gt;"",G235=""),"Confirm irreplaceable habitat status ▲",(IF(AND(E235="Individual trees",T235&gt;0,G235="Yes"),"Error - you cannot enhance irreplaceable individual trees ▲",(IF(AND(U235="Irreplaceable habitat - no units generated ⚠",(S235+T235)&lt;H235,OR(Y235="No",Y235="")),"Any Loss Unacceptable ⚠",(IF(U235="Irreplaceable habitat - no units generated ⚠",T235*J235*L235*O235,IF(AND(P235='G-1 All Habitats'!$X$9,AC235&gt;0,S235&lt;=0,T235&lt;=0,OR(Y235="No",Y235="")),"Any Loss Unacceptable ⚠",IF(AND(P235='G-1 All Habitats'!$X$9,AC235&gt;0,S235&lt;=0,T235&lt;=0,Y235="Yes"),0,(IF(AND(P235='G-1 All Habitats'!$X$9,(S235+T235)&lt;H235,OR(Y235="No",Y235="")),"Any Loss Unacceptable ⚠",(IF(P235="","",IF(AND(P235='G-1 All Habitats'!$X$9,T235&gt;0),U235+V235,IF(AND(P235='G-1 All Habitats'!$X$9,S235&gt;0),U235+V235,H235*J235*L235*O235))))))))))))))),"Check Data ▲")</f>
        <v/>
      </c>
      <c r="R235" s="38"/>
      <c r="S235" s="52"/>
      <c r="T235" s="53"/>
      <c r="U235" s="287" t="str">
        <f t="shared" si="25"/>
        <v/>
      </c>
      <c r="V235" s="287" t="str">
        <f t="shared" si="26"/>
        <v/>
      </c>
      <c r="W235" s="287" t="str">
        <f t="shared" si="27"/>
        <v/>
      </c>
      <c r="X235" s="291" t="str">
        <f>IFERROR(IF(H235="","",IF(H235-S235-T235=0&lt;0,"Error in Areas ▲",IF(S235+T235&gt;H235,"Error in Areas ▲",IF(AND(P235='G-1 All Habitats'!$X$9,Y235="Yes"),"Alternative Compensation ✓",IF(AND(P235='G-1 All Habitats'!$X$3,Y235="Yes"),"Alternative Compensation ✓",IF(AND(Y235="Pending",P235='G-1 All Habitats'!$X$3),"Bespoke compensation must be agreed ▲",IF(AND(Y235="Pending",P235='G-1 All Habitats'!$X$9),"Bespoke compensation must be agreed  ▲",IF(W235=0,0,IF(P235='G-1 All Habitats'!$X$9,"Any Loss Unacceptable ▲",Q235-U235-V235))))))))),"Check Data ▲")</f>
        <v/>
      </c>
      <c r="Y235" s="53"/>
      <c r="Z235" s="105"/>
      <c r="AA235" s="233"/>
      <c r="AB235" s="104"/>
      <c r="AC235" s="512" t="str">
        <f>IF(OR(P235="",Y235="Yes"),"",IF(P235='G-1 All Habitats'!$X$9,H235-S235-T235,"None"))</f>
        <v/>
      </c>
      <c r="AD235" s="513" t="str">
        <f>IF(P235="","",IF(P235='G-1 All Habitats'!$X$9,AC235*J235*L235*O235,"None"))</f>
        <v/>
      </c>
      <c r="AE235" s="35" t="str">
        <f t="shared" si="23"/>
        <v/>
      </c>
      <c r="AF235" s="40" t="str">
        <f t="shared" si="28"/>
        <v/>
      </c>
      <c r="AG235" s="40" t="str">
        <f t="shared" si="24"/>
        <v/>
      </c>
      <c r="AH235" s="40" t="str">
        <f>IF(I235="","",IF(#REF!&gt;0,TRUE,FALSE))</f>
        <v/>
      </c>
      <c r="AI235" s="40">
        <v>225</v>
      </c>
      <c r="AJ235" s="40"/>
      <c r="AK235" s="40" t="str">
        <f t="array" ref="AK235">IFERROR(INDEX($AI$11:$AI$259,MATCH(0,IF(TRUE=$AF$11:$AF$259,COUNTIF($AK$10:$AK234,$AI$11:$AI$259),""),0)),"")</f>
        <v/>
      </c>
      <c r="AL235" s="40" t="str">
        <f t="array" ref="AL235">IFERROR(INDEX($AI$11:$AI$259,MATCH(0,IF(TRUE=$AG$11:$AG$259,COUNTIF($AL$10:$AL234,$AI$11:$AI$259),""),0)),"")</f>
        <v/>
      </c>
      <c r="AM235" s="40" t="str">
        <f t="array" ref="AM235">IFERROR(INDEX($AI$11:$AI$259,MATCH(0,IF(TRUE=$AH$11:$AH$259,COUNTIF($AM$10:$AM234,$AI$11:$AI$259),""),0)),"")</f>
        <v/>
      </c>
      <c r="AN235" s="40"/>
      <c r="AQ235" s="35">
        <f t="shared" si="29"/>
        <v>0</v>
      </c>
      <c r="AT235" s="885" t="str">
        <f>IF(AND(OR(Y235="Yes",Y235="Pending"),P235='G-1 All Habitats'!$X$3),Q235-U235-V235,"")</f>
        <v/>
      </c>
      <c r="AV235" s="542" t="str">
        <f>IFERROR(INDEX('G-1 All Habitats'!$B$3:$B$135,MATCH(F235,'G-1 All Habitats'!$A$3:$A$135,0)),"")</f>
        <v/>
      </c>
      <c r="AW235" s="35" t="str">
        <f>IF(AV235="","",VLOOKUP(AV235,'G-1 All Habitats'!$B$1:$T$135,19,FALSE))</f>
        <v/>
      </c>
    </row>
    <row r="236" spans="1:49" ht="14.5" hidden="1" thickBot="1">
      <c r="A236" s="35" t="str">
        <f>IFERROR(INDEX('G-1 All Habitats'!$AG$3:$AG$17,MATCH(E236,'G-1 All Habitats'!$AF$3:$AF$17,0)),"")</f>
        <v/>
      </c>
      <c r="B236" s="35" t="str">
        <f>IFERROR(INDEX('G-8 Condition Look up'!$I$4:$I$135,MATCH(AV236,'G-8 Condition Look up'!$A$4:$A$135,0)),"")</f>
        <v/>
      </c>
      <c r="D236" s="225">
        <v>226</v>
      </c>
      <c r="E236" s="211"/>
      <c r="F236" s="57"/>
      <c r="G236" s="263"/>
      <c r="H236" s="51"/>
      <c r="I236" s="275" t="str">
        <f>IF(AV236="","",IF(AND(AW236="Yes",G236="No"),"Irreplaceable habitat ▲",IF(AND(AW236="No",G236="Yes"),"Cannot be Irreplaceable ▲",VLOOKUP(AV236,'G-1 All Habitats'!$B$2:$M$135,10,FALSE))))</f>
        <v/>
      </c>
      <c r="J236" s="276" t="str">
        <f>IFERROR(VLOOKUP(I236,'G-1 All Habitats'!$V$3:$W$7,2,FALSE),"")</f>
        <v/>
      </c>
      <c r="K236" s="52"/>
      <c r="L236" s="276" t="str">
        <f>IFERROR(INDEX('G-8 Condition Look up'!$A$3:$H$135,MATCH(AV236,'G-8 Condition Look up'!$A$3:$A$135,0),MATCH(K236,'G-8 Condition Look up'!$A$3:$H$3,0)),"")</f>
        <v/>
      </c>
      <c r="M236" s="52"/>
      <c r="N236" s="295" t="str">
        <f>IF(M236="","",IF(VLOOKUP(M236,'G-3 Multipliers'!$L$3:$N$6,2,FALSE)=0,"Spatial Data Missing",VLOOKUP(M236,'G-3 Multipliers'!$L$3:$N$6,2,FALSE)))</f>
        <v/>
      </c>
      <c r="O236" s="281" t="str">
        <f>IF(M236="","",IF(VLOOKUP(M236,'G-3 Multipliers'!$L$3:$N$6,3,FALSE)=0,"Spatial Data Missing ▲",VLOOKUP(M236,'G-3 Multipliers'!$L$3:$N$6,3,FALSE)))</f>
        <v/>
      </c>
      <c r="P236" s="282" t="str">
        <f>(IF(G236="Yes","Bespoke compensation likely to be required",(IFERROR(VLOOKUP(AV236,'G-1 All Habitats'!$B$2:$M$135,12,FALSE),""))))</f>
        <v/>
      </c>
      <c r="Q236" s="289" t="str">
        <f>IFERROR(IF(AND(F236&lt;&gt;"",G236=""),"Confirm irreplaceable habitat status ▲",(IF(AND(E236="Individual trees",T236&gt;0,G236="Yes"),"Error - you cannot enhance irreplaceable individual trees ▲",(IF(AND(U236="Irreplaceable habitat - no units generated ⚠",(S236+T236)&lt;H236,OR(Y236="No",Y236="")),"Any Loss Unacceptable ⚠",(IF(U236="Irreplaceable habitat - no units generated ⚠",T236*J236*L236*O236,IF(AND(P236='G-1 All Habitats'!$X$9,AC236&gt;0,S236&lt;=0,T236&lt;=0,OR(Y236="No",Y236="")),"Any Loss Unacceptable ⚠",IF(AND(P236='G-1 All Habitats'!$X$9,AC236&gt;0,S236&lt;=0,T236&lt;=0,Y236="Yes"),0,(IF(AND(P236='G-1 All Habitats'!$X$9,(S236+T236)&lt;H236,OR(Y236="No",Y236="")),"Any Loss Unacceptable ⚠",(IF(P236="","",IF(AND(P236='G-1 All Habitats'!$X$9,T236&gt;0),U236+V236,IF(AND(P236='G-1 All Habitats'!$X$9,S236&gt;0),U236+V236,H236*J236*L236*O236))))))))))))))),"Check Data ▲")</f>
        <v/>
      </c>
      <c r="R236" s="38"/>
      <c r="S236" s="52"/>
      <c r="T236" s="53"/>
      <c r="U236" s="287" t="str">
        <f t="shared" si="25"/>
        <v/>
      </c>
      <c r="V236" s="287" t="str">
        <f t="shared" si="26"/>
        <v/>
      </c>
      <c r="W236" s="287" t="str">
        <f t="shared" si="27"/>
        <v/>
      </c>
      <c r="X236" s="291" t="str">
        <f>IFERROR(IF(H236="","",IF(H236-S236-T236=0&lt;0,"Error in Areas ▲",IF(S236+T236&gt;H236,"Error in Areas ▲",IF(AND(P236='G-1 All Habitats'!$X$9,Y236="Yes"),"Alternative Compensation ✓",IF(AND(P236='G-1 All Habitats'!$X$3,Y236="Yes"),"Alternative Compensation ✓",IF(AND(Y236="Pending",P236='G-1 All Habitats'!$X$3),"Bespoke compensation must be agreed ▲",IF(AND(Y236="Pending",P236='G-1 All Habitats'!$X$9),"Bespoke compensation must be agreed  ▲",IF(W236=0,0,IF(P236='G-1 All Habitats'!$X$9,"Any Loss Unacceptable ▲",Q236-U236-V236))))))))),"Check Data ▲")</f>
        <v/>
      </c>
      <c r="Y236" s="53"/>
      <c r="Z236" s="105"/>
      <c r="AA236" s="233"/>
      <c r="AB236" s="104"/>
      <c r="AC236" s="512" t="str">
        <f>IF(OR(P236="",Y236="Yes"),"",IF(P236='G-1 All Habitats'!$X$9,H236-S236-T236,"None"))</f>
        <v/>
      </c>
      <c r="AD236" s="513" t="str">
        <f>IF(P236="","",IF(P236='G-1 All Habitats'!$X$9,AC236*J236*L236*O236,"None"))</f>
        <v/>
      </c>
      <c r="AE236" s="35" t="str">
        <f t="shared" si="23"/>
        <v/>
      </c>
      <c r="AF236" s="40" t="str">
        <f t="shared" si="28"/>
        <v/>
      </c>
      <c r="AG236" s="40" t="str">
        <f t="shared" si="24"/>
        <v/>
      </c>
      <c r="AH236" s="40" t="str">
        <f>IF(I236="","",IF(#REF!&gt;0,TRUE,FALSE))</f>
        <v/>
      </c>
      <c r="AI236" s="40">
        <v>226</v>
      </c>
      <c r="AJ236" s="40"/>
      <c r="AK236" s="40" t="str">
        <f t="array" ref="AK236">IFERROR(INDEX($AI$11:$AI$259,MATCH(0,IF(TRUE=$AF$11:$AF$259,COUNTIF($AK$10:$AK235,$AI$11:$AI$259),""),0)),"")</f>
        <v/>
      </c>
      <c r="AL236" s="40" t="str">
        <f t="array" ref="AL236">IFERROR(INDEX($AI$11:$AI$259,MATCH(0,IF(TRUE=$AG$11:$AG$259,COUNTIF($AL$10:$AL235,$AI$11:$AI$259),""),0)),"")</f>
        <v/>
      </c>
      <c r="AM236" s="40" t="str">
        <f t="array" ref="AM236">IFERROR(INDEX($AI$11:$AI$259,MATCH(0,IF(TRUE=$AH$11:$AH$259,COUNTIF($AM$10:$AM235,$AI$11:$AI$259),""),0)),"")</f>
        <v/>
      </c>
      <c r="AN236" s="40"/>
      <c r="AQ236" s="35">
        <f t="shared" si="29"/>
        <v>0</v>
      </c>
      <c r="AT236" s="885" t="str">
        <f>IF(AND(OR(Y236="Yes",Y236="Pending"),P236='G-1 All Habitats'!$X$3),Q236-U236-V236,"")</f>
        <v/>
      </c>
      <c r="AV236" s="542" t="str">
        <f>IFERROR(INDEX('G-1 All Habitats'!$B$3:$B$135,MATCH(F236,'G-1 All Habitats'!$A$3:$A$135,0)),"")</f>
        <v/>
      </c>
      <c r="AW236" s="35" t="str">
        <f>IF(AV236="","",VLOOKUP(AV236,'G-1 All Habitats'!$B$1:$T$135,19,FALSE))</f>
        <v/>
      </c>
    </row>
    <row r="237" spans="1:49" ht="14.5" hidden="1" thickBot="1">
      <c r="A237" s="35" t="str">
        <f>IFERROR(INDEX('G-1 All Habitats'!$AG$3:$AG$17,MATCH(E237,'G-1 All Habitats'!$AF$3:$AF$17,0)),"")</f>
        <v/>
      </c>
      <c r="B237" s="35" t="str">
        <f>IFERROR(INDEX('G-8 Condition Look up'!$I$4:$I$135,MATCH(AV237,'G-8 Condition Look up'!$A$4:$A$135,0)),"")</f>
        <v/>
      </c>
      <c r="D237" s="225">
        <v>227</v>
      </c>
      <c r="E237" s="211"/>
      <c r="F237" s="57"/>
      <c r="G237" s="263"/>
      <c r="H237" s="51"/>
      <c r="I237" s="275" t="str">
        <f>IF(AV237="","",IF(AND(AW237="Yes",G237="No"),"Irreplaceable habitat ▲",IF(AND(AW237="No",G237="Yes"),"Cannot be Irreplaceable ▲",VLOOKUP(AV237,'G-1 All Habitats'!$B$2:$M$135,10,FALSE))))</f>
        <v/>
      </c>
      <c r="J237" s="276" t="str">
        <f>IFERROR(VLOOKUP(I237,'G-1 All Habitats'!$V$3:$W$7,2,FALSE),"")</f>
        <v/>
      </c>
      <c r="K237" s="52"/>
      <c r="L237" s="276" t="str">
        <f>IFERROR(INDEX('G-8 Condition Look up'!$A$3:$H$135,MATCH(AV237,'G-8 Condition Look up'!$A$3:$A$135,0),MATCH(K237,'G-8 Condition Look up'!$A$3:$H$3,0)),"")</f>
        <v/>
      </c>
      <c r="M237" s="52"/>
      <c r="N237" s="295" t="str">
        <f>IF(M237="","",IF(VLOOKUP(M237,'G-3 Multipliers'!$L$3:$N$6,2,FALSE)=0,"Spatial Data Missing",VLOOKUP(M237,'G-3 Multipliers'!$L$3:$N$6,2,FALSE)))</f>
        <v/>
      </c>
      <c r="O237" s="281" t="str">
        <f>IF(M237="","",IF(VLOOKUP(M237,'G-3 Multipliers'!$L$3:$N$6,3,FALSE)=0,"Spatial Data Missing ▲",VLOOKUP(M237,'G-3 Multipliers'!$L$3:$N$6,3,FALSE)))</f>
        <v/>
      </c>
      <c r="P237" s="282" t="str">
        <f>(IF(G237="Yes","Bespoke compensation likely to be required",(IFERROR(VLOOKUP(AV237,'G-1 All Habitats'!$B$2:$M$135,12,FALSE),""))))</f>
        <v/>
      </c>
      <c r="Q237" s="289" t="str">
        <f>IFERROR(IF(AND(F237&lt;&gt;"",G237=""),"Confirm irreplaceable habitat status ▲",(IF(AND(E237="Individual trees",T237&gt;0,G237="Yes"),"Error - you cannot enhance irreplaceable individual trees ▲",(IF(AND(U237="Irreplaceable habitat - no units generated ⚠",(S237+T237)&lt;H237,OR(Y237="No",Y237="")),"Any Loss Unacceptable ⚠",(IF(U237="Irreplaceable habitat - no units generated ⚠",T237*J237*L237*O237,IF(AND(P237='G-1 All Habitats'!$X$9,AC237&gt;0,S237&lt;=0,T237&lt;=0,OR(Y237="No",Y237="")),"Any Loss Unacceptable ⚠",IF(AND(P237='G-1 All Habitats'!$X$9,AC237&gt;0,S237&lt;=0,T237&lt;=0,Y237="Yes"),0,(IF(AND(P237='G-1 All Habitats'!$X$9,(S237+T237)&lt;H237,OR(Y237="No",Y237="")),"Any Loss Unacceptable ⚠",(IF(P237="","",IF(AND(P237='G-1 All Habitats'!$X$9,T237&gt;0),U237+V237,IF(AND(P237='G-1 All Habitats'!$X$9,S237&gt;0),U237+V237,H237*J237*L237*O237))))))))))))))),"Check Data ▲")</f>
        <v/>
      </c>
      <c r="R237" s="38"/>
      <c r="S237" s="52"/>
      <c r="T237" s="53"/>
      <c r="U237" s="287" t="str">
        <f t="shared" si="25"/>
        <v/>
      </c>
      <c r="V237" s="287" t="str">
        <f t="shared" si="26"/>
        <v/>
      </c>
      <c r="W237" s="287" t="str">
        <f t="shared" si="27"/>
        <v/>
      </c>
      <c r="X237" s="291" t="str">
        <f>IFERROR(IF(H237="","",IF(H237-S237-T237=0&lt;0,"Error in Areas ▲",IF(S237+T237&gt;H237,"Error in Areas ▲",IF(AND(P237='G-1 All Habitats'!$X$9,Y237="Yes"),"Alternative Compensation ✓",IF(AND(P237='G-1 All Habitats'!$X$3,Y237="Yes"),"Alternative Compensation ✓",IF(AND(Y237="Pending",P237='G-1 All Habitats'!$X$3),"Bespoke compensation must be agreed ▲",IF(AND(Y237="Pending",P237='G-1 All Habitats'!$X$9),"Bespoke compensation must be agreed  ▲",IF(W237=0,0,IF(P237='G-1 All Habitats'!$X$9,"Any Loss Unacceptable ▲",Q237-U237-V237))))))))),"Check Data ▲")</f>
        <v/>
      </c>
      <c r="Y237" s="53"/>
      <c r="Z237" s="105"/>
      <c r="AA237" s="233"/>
      <c r="AB237" s="104"/>
      <c r="AC237" s="512" t="str">
        <f>IF(OR(P237="",Y237="Yes"),"",IF(P237='G-1 All Habitats'!$X$9,H237-S237-T237,"None"))</f>
        <v/>
      </c>
      <c r="AD237" s="513" t="str">
        <f>IF(P237="","",IF(P237='G-1 All Habitats'!$X$9,AC237*J237*L237*O237,"None"))</f>
        <v/>
      </c>
      <c r="AE237" s="35" t="str">
        <f t="shared" si="23"/>
        <v/>
      </c>
      <c r="AF237" s="40" t="str">
        <f t="shared" si="28"/>
        <v/>
      </c>
      <c r="AG237" s="40" t="str">
        <f t="shared" si="24"/>
        <v/>
      </c>
      <c r="AH237" s="40" t="str">
        <f>IF(I237="","",IF(#REF!&gt;0,TRUE,FALSE))</f>
        <v/>
      </c>
      <c r="AI237" s="40">
        <v>227</v>
      </c>
      <c r="AJ237" s="40"/>
      <c r="AK237" s="40" t="str">
        <f t="array" ref="AK237">IFERROR(INDEX($AI$11:$AI$259,MATCH(0,IF(TRUE=$AF$11:$AF$259,COUNTIF($AK$10:$AK236,$AI$11:$AI$259),""),0)),"")</f>
        <v/>
      </c>
      <c r="AL237" s="40" t="str">
        <f t="array" ref="AL237">IFERROR(INDEX($AI$11:$AI$259,MATCH(0,IF(TRUE=$AG$11:$AG$259,COUNTIF($AL$10:$AL236,$AI$11:$AI$259),""),0)),"")</f>
        <v/>
      </c>
      <c r="AM237" s="40" t="str">
        <f t="array" ref="AM237">IFERROR(INDEX($AI$11:$AI$259,MATCH(0,IF(TRUE=$AH$11:$AH$259,COUNTIF($AM$10:$AM236,$AI$11:$AI$259),""),0)),"")</f>
        <v/>
      </c>
      <c r="AN237" s="40"/>
      <c r="AQ237" s="35">
        <f t="shared" si="29"/>
        <v>0</v>
      </c>
      <c r="AT237" s="885" t="str">
        <f>IF(AND(OR(Y237="Yes",Y237="Pending"),P237='G-1 All Habitats'!$X$3),Q237-U237-V237,"")</f>
        <v/>
      </c>
      <c r="AV237" s="542" t="str">
        <f>IFERROR(INDEX('G-1 All Habitats'!$B$3:$B$135,MATCH(F237,'G-1 All Habitats'!$A$3:$A$135,0)),"")</f>
        <v/>
      </c>
      <c r="AW237" s="35" t="str">
        <f>IF(AV237="","",VLOOKUP(AV237,'G-1 All Habitats'!$B$1:$T$135,19,FALSE))</f>
        <v/>
      </c>
    </row>
    <row r="238" spans="1:49" ht="14.5" hidden="1" thickBot="1">
      <c r="A238" s="35" t="str">
        <f>IFERROR(INDEX('G-1 All Habitats'!$AG$3:$AG$17,MATCH(E238,'G-1 All Habitats'!$AF$3:$AF$17,0)),"")</f>
        <v/>
      </c>
      <c r="B238" s="35" t="str">
        <f>IFERROR(INDEX('G-8 Condition Look up'!$I$4:$I$135,MATCH(AV238,'G-8 Condition Look up'!$A$4:$A$135,0)),"")</f>
        <v/>
      </c>
      <c r="D238" s="225">
        <v>228</v>
      </c>
      <c r="E238" s="211"/>
      <c r="F238" s="57"/>
      <c r="G238" s="263"/>
      <c r="H238" s="51"/>
      <c r="I238" s="275" t="str">
        <f>IF(AV238="","",IF(AND(AW238="Yes",G238="No"),"Irreplaceable habitat ▲",IF(AND(AW238="No",G238="Yes"),"Cannot be Irreplaceable ▲",VLOOKUP(AV238,'G-1 All Habitats'!$B$2:$M$135,10,FALSE))))</f>
        <v/>
      </c>
      <c r="J238" s="276" t="str">
        <f>IFERROR(VLOOKUP(I238,'G-1 All Habitats'!$V$3:$W$7,2,FALSE),"")</f>
        <v/>
      </c>
      <c r="K238" s="52"/>
      <c r="L238" s="276" t="str">
        <f>IFERROR(INDEX('G-8 Condition Look up'!$A$3:$H$135,MATCH(AV238,'G-8 Condition Look up'!$A$3:$A$135,0),MATCH(K238,'G-8 Condition Look up'!$A$3:$H$3,0)),"")</f>
        <v/>
      </c>
      <c r="M238" s="52"/>
      <c r="N238" s="295" t="str">
        <f>IF(M238="","",IF(VLOOKUP(M238,'G-3 Multipliers'!$L$3:$N$6,2,FALSE)=0,"Spatial Data Missing",VLOOKUP(M238,'G-3 Multipliers'!$L$3:$N$6,2,FALSE)))</f>
        <v/>
      </c>
      <c r="O238" s="281" t="str">
        <f>IF(M238="","",IF(VLOOKUP(M238,'G-3 Multipliers'!$L$3:$N$6,3,FALSE)=0,"Spatial Data Missing ▲",VLOOKUP(M238,'G-3 Multipliers'!$L$3:$N$6,3,FALSE)))</f>
        <v/>
      </c>
      <c r="P238" s="282" t="str">
        <f>(IF(G238="Yes","Bespoke compensation likely to be required",(IFERROR(VLOOKUP(AV238,'G-1 All Habitats'!$B$2:$M$135,12,FALSE),""))))</f>
        <v/>
      </c>
      <c r="Q238" s="289" t="str">
        <f>IFERROR(IF(AND(F238&lt;&gt;"",G238=""),"Confirm irreplaceable habitat status ▲",(IF(AND(E238="Individual trees",T238&gt;0,G238="Yes"),"Error - you cannot enhance irreplaceable individual trees ▲",(IF(AND(U238="Irreplaceable habitat - no units generated ⚠",(S238+T238)&lt;H238,OR(Y238="No",Y238="")),"Any Loss Unacceptable ⚠",(IF(U238="Irreplaceable habitat - no units generated ⚠",T238*J238*L238*O238,IF(AND(P238='G-1 All Habitats'!$X$9,AC238&gt;0,S238&lt;=0,T238&lt;=0,OR(Y238="No",Y238="")),"Any Loss Unacceptable ⚠",IF(AND(P238='G-1 All Habitats'!$X$9,AC238&gt;0,S238&lt;=0,T238&lt;=0,Y238="Yes"),0,(IF(AND(P238='G-1 All Habitats'!$X$9,(S238+T238)&lt;H238,OR(Y238="No",Y238="")),"Any Loss Unacceptable ⚠",(IF(P238="","",IF(AND(P238='G-1 All Habitats'!$X$9,T238&gt;0),U238+V238,IF(AND(P238='G-1 All Habitats'!$X$9,S238&gt;0),U238+V238,H238*J238*L238*O238))))))))))))))),"Check Data ▲")</f>
        <v/>
      </c>
      <c r="R238" s="38"/>
      <c r="S238" s="52"/>
      <c r="T238" s="53"/>
      <c r="U238" s="287" t="str">
        <f t="shared" si="25"/>
        <v/>
      </c>
      <c r="V238" s="287" t="str">
        <f t="shared" si="26"/>
        <v/>
      </c>
      <c r="W238" s="287" t="str">
        <f t="shared" si="27"/>
        <v/>
      </c>
      <c r="X238" s="291" t="str">
        <f>IFERROR(IF(H238="","",IF(H238-S238-T238=0&lt;0,"Error in Areas ▲",IF(S238+T238&gt;H238,"Error in Areas ▲",IF(AND(P238='G-1 All Habitats'!$X$9,Y238="Yes"),"Alternative Compensation ✓",IF(AND(P238='G-1 All Habitats'!$X$3,Y238="Yes"),"Alternative Compensation ✓",IF(AND(Y238="Pending",P238='G-1 All Habitats'!$X$3),"Bespoke compensation must be agreed ▲",IF(AND(Y238="Pending",P238='G-1 All Habitats'!$X$9),"Bespoke compensation must be agreed  ▲",IF(W238=0,0,IF(P238='G-1 All Habitats'!$X$9,"Any Loss Unacceptable ▲",Q238-U238-V238))))))))),"Check Data ▲")</f>
        <v/>
      </c>
      <c r="Y238" s="53"/>
      <c r="Z238" s="105"/>
      <c r="AA238" s="233"/>
      <c r="AB238" s="104"/>
      <c r="AC238" s="512" t="str">
        <f>IF(OR(P238="",Y238="Yes"),"",IF(P238='G-1 All Habitats'!$X$9,H238-S238-T238,"None"))</f>
        <v/>
      </c>
      <c r="AD238" s="513" t="str">
        <f>IF(P238="","",IF(P238='G-1 All Habitats'!$X$9,AC238*J238*L238*O238,"None"))</f>
        <v/>
      </c>
      <c r="AE238" s="35" t="str">
        <f t="shared" si="23"/>
        <v/>
      </c>
      <c r="AF238" s="40" t="str">
        <f t="shared" si="28"/>
        <v/>
      </c>
      <c r="AG238" s="40" t="str">
        <f t="shared" si="24"/>
        <v/>
      </c>
      <c r="AH238" s="40" t="str">
        <f>IF(I238="","",IF(#REF!&gt;0,TRUE,FALSE))</f>
        <v/>
      </c>
      <c r="AI238" s="40">
        <v>228</v>
      </c>
      <c r="AJ238" s="40"/>
      <c r="AK238" s="40" t="str">
        <f t="array" ref="AK238">IFERROR(INDEX($AI$11:$AI$259,MATCH(0,IF(TRUE=$AF$11:$AF$259,COUNTIF($AK$10:$AK237,$AI$11:$AI$259),""),0)),"")</f>
        <v/>
      </c>
      <c r="AL238" s="40" t="str">
        <f t="array" ref="AL238">IFERROR(INDEX($AI$11:$AI$259,MATCH(0,IF(TRUE=$AG$11:$AG$259,COUNTIF($AL$10:$AL237,$AI$11:$AI$259),""),0)),"")</f>
        <v/>
      </c>
      <c r="AM238" s="40" t="str">
        <f t="array" ref="AM238">IFERROR(INDEX($AI$11:$AI$259,MATCH(0,IF(TRUE=$AH$11:$AH$259,COUNTIF($AM$10:$AM237,$AI$11:$AI$259),""),0)),"")</f>
        <v/>
      </c>
      <c r="AN238" s="40"/>
      <c r="AQ238" s="35">
        <f t="shared" si="29"/>
        <v>0</v>
      </c>
      <c r="AT238" s="885" t="str">
        <f>IF(AND(OR(Y238="Yes",Y238="Pending"),P238='G-1 All Habitats'!$X$3),Q238-U238-V238,"")</f>
        <v/>
      </c>
      <c r="AV238" s="542" t="str">
        <f>IFERROR(INDEX('G-1 All Habitats'!$B$3:$B$135,MATCH(F238,'G-1 All Habitats'!$A$3:$A$135,0)),"")</f>
        <v/>
      </c>
      <c r="AW238" s="35" t="str">
        <f>IF(AV238="","",VLOOKUP(AV238,'G-1 All Habitats'!$B$1:$T$135,19,FALSE))</f>
        <v/>
      </c>
    </row>
    <row r="239" spans="1:49" ht="14.5" hidden="1" thickBot="1">
      <c r="A239" s="35" t="str">
        <f>IFERROR(INDEX('G-1 All Habitats'!$AG$3:$AG$17,MATCH(E239,'G-1 All Habitats'!$AF$3:$AF$17,0)),"")</f>
        <v/>
      </c>
      <c r="B239" s="35" t="str">
        <f>IFERROR(INDEX('G-8 Condition Look up'!$I$4:$I$135,MATCH(AV239,'G-8 Condition Look up'!$A$4:$A$135,0)),"")</f>
        <v/>
      </c>
      <c r="D239" s="225">
        <v>229</v>
      </c>
      <c r="E239" s="211"/>
      <c r="F239" s="57"/>
      <c r="G239" s="263"/>
      <c r="H239" s="51"/>
      <c r="I239" s="275" t="str">
        <f>IF(AV239="","",IF(AND(AW239="Yes",G239="No"),"Irreplaceable habitat ▲",IF(AND(AW239="No",G239="Yes"),"Cannot be Irreplaceable ▲",VLOOKUP(AV239,'G-1 All Habitats'!$B$2:$M$135,10,FALSE))))</f>
        <v/>
      </c>
      <c r="J239" s="276" t="str">
        <f>IFERROR(VLOOKUP(I239,'G-1 All Habitats'!$V$3:$W$7,2,FALSE),"")</f>
        <v/>
      </c>
      <c r="K239" s="52"/>
      <c r="L239" s="276" t="str">
        <f>IFERROR(INDEX('G-8 Condition Look up'!$A$3:$H$135,MATCH(AV239,'G-8 Condition Look up'!$A$3:$A$135,0),MATCH(K239,'G-8 Condition Look up'!$A$3:$H$3,0)),"")</f>
        <v/>
      </c>
      <c r="M239" s="52"/>
      <c r="N239" s="295" t="str">
        <f>IF(M239="","",IF(VLOOKUP(M239,'G-3 Multipliers'!$L$3:$N$6,2,FALSE)=0,"Spatial Data Missing",VLOOKUP(M239,'G-3 Multipliers'!$L$3:$N$6,2,FALSE)))</f>
        <v/>
      </c>
      <c r="O239" s="281" t="str">
        <f>IF(M239="","",IF(VLOOKUP(M239,'G-3 Multipliers'!$L$3:$N$6,3,FALSE)=0,"Spatial Data Missing ▲",VLOOKUP(M239,'G-3 Multipliers'!$L$3:$N$6,3,FALSE)))</f>
        <v/>
      </c>
      <c r="P239" s="282" t="str">
        <f>(IF(G239="Yes","Bespoke compensation likely to be required",(IFERROR(VLOOKUP(AV239,'G-1 All Habitats'!$B$2:$M$135,12,FALSE),""))))</f>
        <v/>
      </c>
      <c r="Q239" s="289" t="str">
        <f>IFERROR(IF(AND(F239&lt;&gt;"",G239=""),"Confirm irreplaceable habitat status ▲",(IF(AND(E239="Individual trees",T239&gt;0,G239="Yes"),"Error - you cannot enhance irreplaceable individual trees ▲",(IF(AND(U239="Irreplaceable habitat - no units generated ⚠",(S239+T239)&lt;H239,OR(Y239="No",Y239="")),"Any Loss Unacceptable ⚠",(IF(U239="Irreplaceable habitat - no units generated ⚠",T239*J239*L239*O239,IF(AND(P239='G-1 All Habitats'!$X$9,AC239&gt;0,S239&lt;=0,T239&lt;=0,OR(Y239="No",Y239="")),"Any Loss Unacceptable ⚠",IF(AND(P239='G-1 All Habitats'!$X$9,AC239&gt;0,S239&lt;=0,T239&lt;=0,Y239="Yes"),0,(IF(AND(P239='G-1 All Habitats'!$X$9,(S239+T239)&lt;H239,OR(Y239="No",Y239="")),"Any Loss Unacceptable ⚠",(IF(P239="","",IF(AND(P239='G-1 All Habitats'!$X$9,T239&gt;0),U239+V239,IF(AND(P239='G-1 All Habitats'!$X$9,S239&gt;0),U239+V239,H239*J239*L239*O239))))))))))))))),"Check Data ▲")</f>
        <v/>
      </c>
      <c r="R239" s="38"/>
      <c r="S239" s="52"/>
      <c r="T239" s="53"/>
      <c r="U239" s="287" t="str">
        <f t="shared" si="25"/>
        <v/>
      </c>
      <c r="V239" s="287" t="str">
        <f t="shared" si="26"/>
        <v/>
      </c>
      <c r="W239" s="287" t="str">
        <f t="shared" si="27"/>
        <v/>
      </c>
      <c r="X239" s="291" t="str">
        <f>IFERROR(IF(H239="","",IF(H239-S239-T239=0&lt;0,"Error in Areas ▲",IF(S239+T239&gt;H239,"Error in Areas ▲",IF(AND(P239='G-1 All Habitats'!$X$9,Y239="Yes"),"Alternative Compensation ✓",IF(AND(P239='G-1 All Habitats'!$X$3,Y239="Yes"),"Alternative Compensation ✓",IF(AND(Y239="Pending",P239='G-1 All Habitats'!$X$3),"Bespoke compensation must be agreed ▲",IF(AND(Y239="Pending",P239='G-1 All Habitats'!$X$9),"Bespoke compensation must be agreed  ▲",IF(W239=0,0,IF(P239='G-1 All Habitats'!$X$9,"Any Loss Unacceptable ▲",Q239-U239-V239))))))))),"Check Data ▲")</f>
        <v/>
      </c>
      <c r="Y239" s="53"/>
      <c r="Z239" s="105"/>
      <c r="AA239" s="233"/>
      <c r="AB239" s="104"/>
      <c r="AC239" s="512" t="str">
        <f>IF(OR(P239="",Y239="Yes"),"",IF(P239='G-1 All Habitats'!$X$9,H239-S239-T239,"None"))</f>
        <v/>
      </c>
      <c r="AD239" s="513" t="str">
        <f>IF(P239="","",IF(P239='G-1 All Habitats'!$X$9,AC239*J239*L239*O239,"None"))</f>
        <v/>
      </c>
      <c r="AE239" s="35" t="str">
        <f t="shared" si="23"/>
        <v/>
      </c>
      <c r="AF239" s="40" t="str">
        <f t="shared" si="28"/>
        <v/>
      </c>
      <c r="AG239" s="40" t="str">
        <f t="shared" si="24"/>
        <v/>
      </c>
      <c r="AH239" s="40" t="str">
        <f>IF(I239="","",IF(#REF!&gt;0,TRUE,FALSE))</f>
        <v/>
      </c>
      <c r="AI239" s="40">
        <v>229</v>
      </c>
      <c r="AJ239" s="40"/>
      <c r="AK239" s="40" t="str">
        <f t="array" ref="AK239">IFERROR(INDEX($AI$11:$AI$259,MATCH(0,IF(TRUE=$AF$11:$AF$259,COUNTIF($AK$10:$AK238,$AI$11:$AI$259),""),0)),"")</f>
        <v/>
      </c>
      <c r="AL239" s="40" t="str">
        <f t="array" ref="AL239">IFERROR(INDEX($AI$11:$AI$259,MATCH(0,IF(TRUE=$AG$11:$AG$259,COUNTIF($AL$10:$AL238,$AI$11:$AI$259),""),0)),"")</f>
        <v/>
      </c>
      <c r="AM239" s="40" t="str">
        <f t="array" ref="AM239">IFERROR(INDEX($AI$11:$AI$259,MATCH(0,IF(TRUE=$AH$11:$AH$259,COUNTIF($AM$10:$AM238,$AI$11:$AI$259),""),0)),"")</f>
        <v/>
      </c>
      <c r="AN239" s="40"/>
      <c r="AQ239" s="35">
        <f t="shared" si="29"/>
        <v>0</v>
      </c>
      <c r="AT239" s="885" t="str">
        <f>IF(AND(OR(Y239="Yes",Y239="Pending"),P239='G-1 All Habitats'!$X$3),Q239-U239-V239,"")</f>
        <v/>
      </c>
      <c r="AV239" s="542" t="str">
        <f>IFERROR(INDEX('G-1 All Habitats'!$B$3:$B$135,MATCH(F239,'G-1 All Habitats'!$A$3:$A$135,0)),"")</f>
        <v/>
      </c>
      <c r="AW239" s="35" t="str">
        <f>IF(AV239="","",VLOOKUP(AV239,'G-1 All Habitats'!$B$1:$T$135,19,FALSE))</f>
        <v/>
      </c>
    </row>
    <row r="240" spans="1:49" ht="14.5" hidden="1" thickBot="1">
      <c r="A240" s="35" t="str">
        <f>IFERROR(INDEX('G-1 All Habitats'!$AG$3:$AG$17,MATCH(E240,'G-1 All Habitats'!$AF$3:$AF$17,0)),"")</f>
        <v/>
      </c>
      <c r="B240" s="35" t="str">
        <f>IFERROR(INDEX('G-8 Condition Look up'!$I$4:$I$135,MATCH(AV240,'G-8 Condition Look up'!$A$4:$A$135,0)),"")</f>
        <v/>
      </c>
      <c r="D240" s="225">
        <v>230</v>
      </c>
      <c r="E240" s="211"/>
      <c r="F240" s="57"/>
      <c r="G240" s="263"/>
      <c r="H240" s="51"/>
      <c r="I240" s="275" t="str">
        <f>IF(AV240="","",IF(AND(AW240="Yes",G240="No"),"Irreplaceable habitat ▲",IF(AND(AW240="No",G240="Yes"),"Cannot be Irreplaceable ▲",VLOOKUP(AV240,'G-1 All Habitats'!$B$2:$M$135,10,FALSE))))</f>
        <v/>
      </c>
      <c r="J240" s="276" t="str">
        <f>IFERROR(VLOOKUP(I240,'G-1 All Habitats'!$V$3:$W$7,2,FALSE),"")</f>
        <v/>
      </c>
      <c r="K240" s="52"/>
      <c r="L240" s="276" t="str">
        <f>IFERROR(INDEX('G-8 Condition Look up'!$A$3:$H$135,MATCH(AV240,'G-8 Condition Look up'!$A$3:$A$135,0),MATCH(K240,'G-8 Condition Look up'!$A$3:$H$3,0)),"")</f>
        <v/>
      </c>
      <c r="M240" s="52"/>
      <c r="N240" s="295" t="str">
        <f>IF(M240="","",IF(VLOOKUP(M240,'G-3 Multipliers'!$L$3:$N$6,2,FALSE)=0,"Spatial Data Missing",VLOOKUP(M240,'G-3 Multipliers'!$L$3:$N$6,2,FALSE)))</f>
        <v/>
      </c>
      <c r="O240" s="281" t="str">
        <f>IF(M240="","",IF(VLOOKUP(M240,'G-3 Multipliers'!$L$3:$N$6,3,FALSE)=0,"Spatial Data Missing ▲",VLOOKUP(M240,'G-3 Multipliers'!$L$3:$N$6,3,FALSE)))</f>
        <v/>
      </c>
      <c r="P240" s="282" t="str">
        <f>(IF(G240="Yes","Bespoke compensation likely to be required",(IFERROR(VLOOKUP(AV240,'G-1 All Habitats'!$B$2:$M$135,12,FALSE),""))))</f>
        <v/>
      </c>
      <c r="Q240" s="289" t="str">
        <f>IFERROR(IF(AND(F240&lt;&gt;"",G240=""),"Confirm irreplaceable habitat status ▲",(IF(AND(E240="Individual trees",T240&gt;0,G240="Yes"),"Error - you cannot enhance irreplaceable individual trees ▲",(IF(AND(U240="Irreplaceable habitat - no units generated ⚠",(S240+T240)&lt;H240,OR(Y240="No",Y240="")),"Any Loss Unacceptable ⚠",(IF(U240="Irreplaceable habitat - no units generated ⚠",T240*J240*L240*O240,IF(AND(P240='G-1 All Habitats'!$X$9,AC240&gt;0,S240&lt;=0,T240&lt;=0,OR(Y240="No",Y240="")),"Any Loss Unacceptable ⚠",IF(AND(P240='G-1 All Habitats'!$X$9,AC240&gt;0,S240&lt;=0,T240&lt;=0,Y240="Yes"),0,(IF(AND(P240='G-1 All Habitats'!$X$9,(S240+T240)&lt;H240,OR(Y240="No",Y240="")),"Any Loss Unacceptable ⚠",(IF(P240="","",IF(AND(P240='G-1 All Habitats'!$X$9,T240&gt;0),U240+V240,IF(AND(P240='G-1 All Habitats'!$X$9,S240&gt;0),U240+V240,H240*J240*L240*O240))))))))))))))),"Check Data ▲")</f>
        <v/>
      </c>
      <c r="R240" s="38"/>
      <c r="S240" s="52"/>
      <c r="T240" s="53"/>
      <c r="U240" s="287" t="str">
        <f t="shared" si="25"/>
        <v/>
      </c>
      <c r="V240" s="287" t="str">
        <f t="shared" si="26"/>
        <v/>
      </c>
      <c r="W240" s="287" t="str">
        <f t="shared" si="27"/>
        <v/>
      </c>
      <c r="X240" s="291" t="str">
        <f>IFERROR(IF(H240="","",IF(H240-S240-T240=0&lt;0,"Error in Areas ▲",IF(S240+T240&gt;H240,"Error in Areas ▲",IF(AND(P240='G-1 All Habitats'!$X$9,Y240="Yes"),"Alternative Compensation ✓",IF(AND(P240='G-1 All Habitats'!$X$3,Y240="Yes"),"Alternative Compensation ✓",IF(AND(Y240="Pending",P240='G-1 All Habitats'!$X$3),"Bespoke compensation must be agreed ▲",IF(AND(Y240="Pending",P240='G-1 All Habitats'!$X$9),"Bespoke compensation must be agreed  ▲",IF(W240=0,0,IF(P240='G-1 All Habitats'!$X$9,"Any Loss Unacceptable ▲",Q240-U240-V240))))))))),"Check Data ▲")</f>
        <v/>
      </c>
      <c r="Y240" s="53"/>
      <c r="Z240" s="105"/>
      <c r="AA240" s="233"/>
      <c r="AB240" s="104"/>
      <c r="AC240" s="512" t="str">
        <f>IF(OR(P240="",Y240="Yes"),"",IF(P240='G-1 All Habitats'!$X$9,H240-S240-T240,"None"))</f>
        <v/>
      </c>
      <c r="AD240" s="513" t="str">
        <f>IF(P240="","",IF(P240='G-1 All Habitats'!$X$9,AC240*J240*L240*O240,"None"))</f>
        <v/>
      </c>
      <c r="AE240" s="35" t="str">
        <f t="shared" si="23"/>
        <v/>
      </c>
      <c r="AF240" s="40" t="str">
        <f t="shared" si="28"/>
        <v/>
      </c>
      <c r="AG240" s="40" t="str">
        <f t="shared" si="24"/>
        <v/>
      </c>
      <c r="AH240" s="40" t="str">
        <f>IF(I240="","",IF(#REF!&gt;0,TRUE,FALSE))</f>
        <v/>
      </c>
      <c r="AI240" s="40">
        <v>230</v>
      </c>
      <c r="AJ240" s="40"/>
      <c r="AK240" s="40" t="str">
        <f t="array" ref="AK240">IFERROR(INDEX($AI$11:$AI$259,MATCH(0,IF(TRUE=$AF$11:$AF$259,COUNTIF($AK$10:$AK239,$AI$11:$AI$259),""),0)),"")</f>
        <v/>
      </c>
      <c r="AL240" s="40" t="str">
        <f t="array" ref="AL240">IFERROR(INDEX($AI$11:$AI$259,MATCH(0,IF(TRUE=$AG$11:$AG$259,COUNTIF($AL$10:$AL239,$AI$11:$AI$259),""),0)),"")</f>
        <v/>
      </c>
      <c r="AM240" s="40" t="str">
        <f t="array" ref="AM240">IFERROR(INDEX($AI$11:$AI$259,MATCH(0,IF(TRUE=$AH$11:$AH$259,COUNTIF($AM$10:$AM239,$AI$11:$AI$259),""),0)),"")</f>
        <v/>
      </c>
      <c r="AN240" s="40"/>
      <c r="AQ240" s="35">
        <f t="shared" si="29"/>
        <v>0</v>
      </c>
      <c r="AT240" s="885" t="str">
        <f>IF(AND(OR(Y240="Yes",Y240="Pending"),P240='G-1 All Habitats'!$X$3),Q240-U240-V240,"")</f>
        <v/>
      </c>
      <c r="AV240" s="542" t="str">
        <f>IFERROR(INDEX('G-1 All Habitats'!$B$3:$B$135,MATCH(F240,'G-1 All Habitats'!$A$3:$A$135,0)),"")</f>
        <v/>
      </c>
      <c r="AW240" s="35" t="str">
        <f>IF(AV240="","",VLOOKUP(AV240,'G-1 All Habitats'!$B$1:$T$135,19,FALSE))</f>
        <v/>
      </c>
    </row>
    <row r="241" spans="1:49" ht="14.5" hidden="1" thickBot="1">
      <c r="A241" s="35" t="str">
        <f>IFERROR(INDEX('G-1 All Habitats'!$AG$3:$AG$17,MATCH(E241,'G-1 All Habitats'!$AF$3:$AF$17,0)),"")</f>
        <v/>
      </c>
      <c r="B241" s="35" t="str">
        <f>IFERROR(INDEX('G-8 Condition Look up'!$I$4:$I$135,MATCH(AV241,'G-8 Condition Look up'!$A$4:$A$135,0)),"")</f>
        <v/>
      </c>
      <c r="D241" s="225">
        <v>231</v>
      </c>
      <c r="E241" s="211"/>
      <c r="F241" s="57"/>
      <c r="G241" s="263"/>
      <c r="H241" s="51"/>
      <c r="I241" s="275" t="str">
        <f>IF(AV241="","",IF(AND(AW241="Yes",G241="No"),"Irreplaceable habitat ▲",IF(AND(AW241="No",G241="Yes"),"Cannot be Irreplaceable ▲",VLOOKUP(AV241,'G-1 All Habitats'!$B$2:$M$135,10,FALSE))))</f>
        <v/>
      </c>
      <c r="J241" s="276" t="str">
        <f>IFERROR(VLOOKUP(I241,'G-1 All Habitats'!$V$3:$W$7,2,FALSE),"")</f>
        <v/>
      </c>
      <c r="K241" s="52"/>
      <c r="L241" s="276" t="str">
        <f>IFERROR(INDEX('G-8 Condition Look up'!$A$3:$H$135,MATCH(AV241,'G-8 Condition Look up'!$A$3:$A$135,0),MATCH(K241,'G-8 Condition Look up'!$A$3:$H$3,0)),"")</f>
        <v/>
      </c>
      <c r="M241" s="52"/>
      <c r="N241" s="295" t="str">
        <f>IF(M241="","",IF(VLOOKUP(M241,'G-3 Multipliers'!$L$3:$N$6,2,FALSE)=0,"Spatial Data Missing",VLOOKUP(M241,'G-3 Multipliers'!$L$3:$N$6,2,FALSE)))</f>
        <v/>
      </c>
      <c r="O241" s="281" t="str">
        <f>IF(M241="","",IF(VLOOKUP(M241,'G-3 Multipliers'!$L$3:$N$6,3,FALSE)=0,"Spatial Data Missing ▲",VLOOKUP(M241,'G-3 Multipliers'!$L$3:$N$6,3,FALSE)))</f>
        <v/>
      </c>
      <c r="P241" s="282" t="str">
        <f>(IF(G241="Yes","Bespoke compensation likely to be required",(IFERROR(VLOOKUP(AV241,'G-1 All Habitats'!$B$2:$M$135,12,FALSE),""))))</f>
        <v/>
      </c>
      <c r="Q241" s="289" t="str">
        <f>IFERROR(IF(AND(F241&lt;&gt;"",G241=""),"Confirm irreplaceable habitat status ▲",(IF(AND(E241="Individual trees",T241&gt;0,G241="Yes"),"Error - you cannot enhance irreplaceable individual trees ▲",(IF(AND(U241="Irreplaceable habitat - no units generated ⚠",(S241+T241)&lt;H241,OR(Y241="No",Y241="")),"Any Loss Unacceptable ⚠",(IF(U241="Irreplaceable habitat - no units generated ⚠",T241*J241*L241*O241,IF(AND(P241='G-1 All Habitats'!$X$9,AC241&gt;0,S241&lt;=0,T241&lt;=0,OR(Y241="No",Y241="")),"Any Loss Unacceptable ⚠",IF(AND(P241='G-1 All Habitats'!$X$9,AC241&gt;0,S241&lt;=0,T241&lt;=0,Y241="Yes"),0,(IF(AND(P241='G-1 All Habitats'!$X$9,(S241+T241)&lt;H241,OR(Y241="No",Y241="")),"Any Loss Unacceptable ⚠",(IF(P241="","",IF(AND(P241='G-1 All Habitats'!$X$9,T241&gt;0),U241+V241,IF(AND(P241='G-1 All Habitats'!$X$9,S241&gt;0),U241+V241,H241*J241*L241*O241))))))))))))))),"Check Data ▲")</f>
        <v/>
      </c>
      <c r="R241" s="38"/>
      <c r="S241" s="52"/>
      <c r="T241" s="53"/>
      <c r="U241" s="287" t="str">
        <f t="shared" si="25"/>
        <v/>
      </c>
      <c r="V241" s="287" t="str">
        <f t="shared" si="26"/>
        <v/>
      </c>
      <c r="W241" s="287" t="str">
        <f t="shared" si="27"/>
        <v/>
      </c>
      <c r="X241" s="291" t="str">
        <f>IFERROR(IF(H241="","",IF(H241-S241-T241=0&lt;0,"Error in Areas ▲",IF(S241+T241&gt;H241,"Error in Areas ▲",IF(AND(P241='G-1 All Habitats'!$X$9,Y241="Yes"),"Alternative Compensation ✓",IF(AND(P241='G-1 All Habitats'!$X$3,Y241="Yes"),"Alternative Compensation ✓",IF(AND(Y241="Pending",P241='G-1 All Habitats'!$X$3),"Bespoke compensation must be agreed ▲",IF(AND(Y241="Pending",P241='G-1 All Habitats'!$X$9),"Bespoke compensation must be agreed  ▲",IF(W241=0,0,IF(P241='G-1 All Habitats'!$X$9,"Any Loss Unacceptable ▲",Q241-U241-V241))))))))),"Check Data ▲")</f>
        <v/>
      </c>
      <c r="Y241" s="53"/>
      <c r="Z241" s="105"/>
      <c r="AA241" s="233"/>
      <c r="AB241" s="104"/>
      <c r="AC241" s="512" t="str">
        <f>IF(OR(P241="",Y241="Yes"),"",IF(P241='G-1 All Habitats'!$X$9,H241-S241-T241,"None"))</f>
        <v/>
      </c>
      <c r="AD241" s="513" t="str">
        <f>IF(P241="","",IF(P241='G-1 All Habitats'!$X$9,AC241*J241*L241*O241,"None"))</f>
        <v/>
      </c>
      <c r="AE241" s="35" t="str">
        <f t="shared" si="23"/>
        <v/>
      </c>
      <c r="AF241" s="40" t="str">
        <f t="shared" si="28"/>
        <v/>
      </c>
      <c r="AG241" s="40" t="str">
        <f t="shared" si="24"/>
        <v/>
      </c>
      <c r="AH241" s="40" t="str">
        <f>IF(I241="","",IF(#REF!&gt;0,TRUE,FALSE))</f>
        <v/>
      </c>
      <c r="AI241" s="40">
        <v>231</v>
      </c>
      <c r="AJ241" s="40"/>
      <c r="AK241" s="40" t="str">
        <f t="array" ref="AK241">IFERROR(INDEX($AI$11:$AI$259,MATCH(0,IF(TRUE=$AF$11:$AF$259,COUNTIF($AK$10:$AK240,$AI$11:$AI$259),""),0)),"")</f>
        <v/>
      </c>
      <c r="AL241" s="40" t="str">
        <f t="array" ref="AL241">IFERROR(INDEX($AI$11:$AI$259,MATCH(0,IF(TRUE=$AG$11:$AG$259,COUNTIF($AL$10:$AL240,$AI$11:$AI$259),""),0)),"")</f>
        <v/>
      </c>
      <c r="AM241" s="40" t="str">
        <f t="array" ref="AM241">IFERROR(INDEX($AI$11:$AI$259,MATCH(0,IF(TRUE=$AH$11:$AH$259,COUNTIF($AM$10:$AM240,$AI$11:$AI$259),""),0)),"")</f>
        <v/>
      </c>
      <c r="AN241" s="40"/>
      <c r="AQ241" s="35">
        <f t="shared" si="29"/>
        <v>0</v>
      </c>
      <c r="AT241" s="885" t="str">
        <f>IF(AND(OR(Y241="Yes",Y241="Pending"),P241='G-1 All Habitats'!$X$3),Q241-U241-V241,"")</f>
        <v/>
      </c>
      <c r="AV241" s="542" t="str">
        <f>IFERROR(INDEX('G-1 All Habitats'!$B$3:$B$135,MATCH(F241,'G-1 All Habitats'!$A$3:$A$135,0)),"")</f>
        <v/>
      </c>
      <c r="AW241" s="35" t="str">
        <f>IF(AV241="","",VLOOKUP(AV241,'G-1 All Habitats'!$B$1:$T$135,19,FALSE))</f>
        <v/>
      </c>
    </row>
    <row r="242" spans="1:49" ht="14.5" hidden="1" thickBot="1">
      <c r="A242" s="35" t="str">
        <f>IFERROR(INDEX('G-1 All Habitats'!$AG$3:$AG$17,MATCH(E242,'G-1 All Habitats'!$AF$3:$AF$17,0)),"")</f>
        <v/>
      </c>
      <c r="B242" s="35" t="str">
        <f>IFERROR(INDEX('G-8 Condition Look up'!$I$4:$I$135,MATCH(AV242,'G-8 Condition Look up'!$A$4:$A$135,0)),"")</f>
        <v/>
      </c>
      <c r="D242" s="225">
        <v>232</v>
      </c>
      <c r="E242" s="211"/>
      <c r="F242" s="57"/>
      <c r="G242" s="263"/>
      <c r="H242" s="51"/>
      <c r="I242" s="275" t="str">
        <f>IF(AV242="","",IF(AND(AW242="Yes",G242="No"),"Irreplaceable habitat ▲",IF(AND(AW242="No",G242="Yes"),"Cannot be Irreplaceable ▲",VLOOKUP(AV242,'G-1 All Habitats'!$B$2:$M$135,10,FALSE))))</f>
        <v/>
      </c>
      <c r="J242" s="276" t="str">
        <f>IFERROR(VLOOKUP(I242,'G-1 All Habitats'!$V$3:$W$7,2,FALSE),"")</f>
        <v/>
      </c>
      <c r="K242" s="52"/>
      <c r="L242" s="276" t="str">
        <f>IFERROR(INDEX('G-8 Condition Look up'!$A$3:$H$135,MATCH(AV242,'G-8 Condition Look up'!$A$3:$A$135,0),MATCH(K242,'G-8 Condition Look up'!$A$3:$H$3,0)),"")</f>
        <v/>
      </c>
      <c r="M242" s="52"/>
      <c r="N242" s="295" t="str">
        <f>IF(M242="","",IF(VLOOKUP(M242,'G-3 Multipliers'!$L$3:$N$6,2,FALSE)=0,"Spatial Data Missing",VLOOKUP(M242,'G-3 Multipliers'!$L$3:$N$6,2,FALSE)))</f>
        <v/>
      </c>
      <c r="O242" s="281" t="str">
        <f>IF(M242="","",IF(VLOOKUP(M242,'G-3 Multipliers'!$L$3:$N$6,3,FALSE)=0,"Spatial Data Missing ▲",VLOOKUP(M242,'G-3 Multipliers'!$L$3:$N$6,3,FALSE)))</f>
        <v/>
      </c>
      <c r="P242" s="282" t="str">
        <f>(IF(G242="Yes","Bespoke compensation likely to be required",(IFERROR(VLOOKUP(AV242,'G-1 All Habitats'!$B$2:$M$135,12,FALSE),""))))</f>
        <v/>
      </c>
      <c r="Q242" s="289" t="str">
        <f>IFERROR(IF(AND(F242&lt;&gt;"",G242=""),"Confirm irreplaceable habitat status ▲",(IF(AND(E242="Individual trees",T242&gt;0,G242="Yes"),"Error - you cannot enhance irreplaceable individual trees ▲",(IF(AND(U242="Irreplaceable habitat - no units generated ⚠",(S242+T242)&lt;H242,OR(Y242="No",Y242="")),"Any Loss Unacceptable ⚠",(IF(U242="Irreplaceable habitat - no units generated ⚠",T242*J242*L242*O242,IF(AND(P242='G-1 All Habitats'!$X$9,AC242&gt;0,S242&lt;=0,T242&lt;=0,OR(Y242="No",Y242="")),"Any Loss Unacceptable ⚠",IF(AND(P242='G-1 All Habitats'!$X$9,AC242&gt;0,S242&lt;=0,T242&lt;=0,Y242="Yes"),0,(IF(AND(P242='G-1 All Habitats'!$X$9,(S242+T242)&lt;H242,OR(Y242="No",Y242="")),"Any Loss Unacceptable ⚠",(IF(P242="","",IF(AND(P242='G-1 All Habitats'!$X$9,T242&gt;0),U242+V242,IF(AND(P242='G-1 All Habitats'!$X$9,S242&gt;0),U242+V242,H242*J242*L242*O242))))))))))))))),"Check Data ▲")</f>
        <v/>
      </c>
      <c r="R242" s="38"/>
      <c r="S242" s="52"/>
      <c r="T242" s="53"/>
      <c r="U242" s="287" t="str">
        <f t="shared" si="25"/>
        <v/>
      </c>
      <c r="V242" s="287" t="str">
        <f t="shared" si="26"/>
        <v/>
      </c>
      <c r="W242" s="287" t="str">
        <f t="shared" si="27"/>
        <v/>
      </c>
      <c r="X242" s="291" t="str">
        <f>IFERROR(IF(H242="","",IF(H242-S242-T242=0&lt;0,"Error in Areas ▲",IF(S242+T242&gt;H242,"Error in Areas ▲",IF(AND(P242='G-1 All Habitats'!$X$9,Y242="Yes"),"Alternative Compensation ✓",IF(AND(P242='G-1 All Habitats'!$X$3,Y242="Yes"),"Alternative Compensation ✓",IF(AND(Y242="Pending",P242='G-1 All Habitats'!$X$3),"Bespoke compensation must be agreed ▲",IF(AND(Y242="Pending",P242='G-1 All Habitats'!$X$9),"Bespoke compensation must be agreed  ▲",IF(W242=0,0,IF(P242='G-1 All Habitats'!$X$9,"Any Loss Unacceptable ▲",Q242-U242-V242))))))))),"Check Data ▲")</f>
        <v/>
      </c>
      <c r="Y242" s="53"/>
      <c r="Z242" s="105"/>
      <c r="AA242" s="233"/>
      <c r="AB242" s="104"/>
      <c r="AC242" s="512" t="str">
        <f>IF(OR(P242="",Y242="Yes"),"",IF(P242='G-1 All Habitats'!$X$9,H242-S242-T242,"None"))</f>
        <v/>
      </c>
      <c r="AD242" s="513" t="str">
        <f>IF(P242="","",IF(P242='G-1 All Habitats'!$X$9,AC242*J242*L242*O242,"None"))</f>
        <v/>
      </c>
      <c r="AE242" s="35" t="str">
        <f t="shared" si="23"/>
        <v/>
      </c>
      <c r="AF242" s="40" t="str">
        <f t="shared" si="28"/>
        <v/>
      </c>
      <c r="AG242" s="40" t="str">
        <f t="shared" si="24"/>
        <v/>
      </c>
      <c r="AH242" s="40" t="str">
        <f>IF(I242="","",IF(#REF!&gt;0,TRUE,FALSE))</f>
        <v/>
      </c>
      <c r="AI242" s="40">
        <v>232</v>
      </c>
      <c r="AJ242" s="40"/>
      <c r="AK242" s="40" t="str">
        <f t="array" ref="AK242">IFERROR(INDEX($AI$11:$AI$259,MATCH(0,IF(TRUE=$AF$11:$AF$259,COUNTIF($AK$10:$AK241,$AI$11:$AI$259),""),0)),"")</f>
        <v/>
      </c>
      <c r="AL242" s="40" t="str">
        <f t="array" ref="AL242">IFERROR(INDEX($AI$11:$AI$259,MATCH(0,IF(TRUE=$AG$11:$AG$259,COUNTIF($AL$10:$AL241,$AI$11:$AI$259),""),0)),"")</f>
        <v/>
      </c>
      <c r="AM242" s="40" t="str">
        <f t="array" ref="AM242">IFERROR(INDEX($AI$11:$AI$259,MATCH(0,IF(TRUE=$AH$11:$AH$259,COUNTIF($AM$10:$AM241,$AI$11:$AI$259),""),0)),"")</f>
        <v/>
      </c>
      <c r="AN242" s="40"/>
      <c r="AQ242" s="35">
        <f t="shared" si="29"/>
        <v>0</v>
      </c>
      <c r="AT242" s="885" t="str">
        <f>IF(AND(OR(Y242="Yes",Y242="Pending"),P242='G-1 All Habitats'!$X$3),Q242-U242-V242,"")</f>
        <v/>
      </c>
      <c r="AV242" s="542" t="str">
        <f>IFERROR(INDEX('G-1 All Habitats'!$B$3:$B$135,MATCH(F242,'G-1 All Habitats'!$A$3:$A$135,0)),"")</f>
        <v/>
      </c>
      <c r="AW242" s="35" t="str">
        <f>IF(AV242="","",VLOOKUP(AV242,'G-1 All Habitats'!$B$1:$T$135,19,FALSE))</f>
        <v/>
      </c>
    </row>
    <row r="243" spans="1:49" ht="14.5" hidden="1" thickBot="1">
      <c r="A243" s="35" t="str">
        <f>IFERROR(INDEX('G-1 All Habitats'!$AG$3:$AG$17,MATCH(E243,'G-1 All Habitats'!$AF$3:$AF$17,0)),"")</f>
        <v/>
      </c>
      <c r="B243" s="35" t="str">
        <f>IFERROR(INDEX('G-8 Condition Look up'!$I$4:$I$135,MATCH(AV243,'G-8 Condition Look up'!$A$4:$A$135,0)),"")</f>
        <v/>
      </c>
      <c r="D243" s="225">
        <v>233</v>
      </c>
      <c r="E243" s="211"/>
      <c r="F243" s="57"/>
      <c r="G243" s="263"/>
      <c r="H243" s="51"/>
      <c r="I243" s="275" t="str">
        <f>IF(AV243="","",IF(AND(AW243="Yes",G243="No"),"Irreplaceable habitat ▲",IF(AND(AW243="No",G243="Yes"),"Cannot be Irreplaceable ▲",VLOOKUP(AV243,'G-1 All Habitats'!$B$2:$M$135,10,FALSE))))</f>
        <v/>
      </c>
      <c r="J243" s="276" t="str">
        <f>IFERROR(VLOOKUP(I243,'G-1 All Habitats'!$V$3:$W$7,2,FALSE),"")</f>
        <v/>
      </c>
      <c r="K243" s="52"/>
      <c r="L243" s="276" t="str">
        <f>IFERROR(INDEX('G-8 Condition Look up'!$A$3:$H$135,MATCH(AV243,'G-8 Condition Look up'!$A$3:$A$135,0),MATCH(K243,'G-8 Condition Look up'!$A$3:$H$3,0)),"")</f>
        <v/>
      </c>
      <c r="M243" s="52"/>
      <c r="N243" s="295" t="str">
        <f>IF(M243="","",IF(VLOOKUP(M243,'G-3 Multipliers'!$L$3:$N$6,2,FALSE)=0,"Spatial Data Missing",VLOOKUP(M243,'G-3 Multipliers'!$L$3:$N$6,2,FALSE)))</f>
        <v/>
      </c>
      <c r="O243" s="281" t="str">
        <f>IF(M243="","",IF(VLOOKUP(M243,'G-3 Multipliers'!$L$3:$N$6,3,FALSE)=0,"Spatial Data Missing ▲",VLOOKUP(M243,'G-3 Multipliers'!$L$3:$N$6,3,FALSE)))</f>
        <v/>
      </c>
      <c r="P243" s="282" t="str">
        <f>(IF(G243="Yes","Bespoke compensation likely to be required",(IFERROR(VLOOKUP(AV243,'G-1 All Habitats'!$B$2:$M$135,12,FALSE),""))))</f>
        <v/>
      </c>
      <c r="Q243" s="289" t="str">
        <f>IFERROR(IF(AND(F243&lt;&gt;"",G243=""),"Confirm irreplaceable habitat status ▲",(IF(AND(E243="Individual trees",T243&gt;0,G243="Yes"),"Error - you cannot enhance irreplaceable individual trees ▲",(IF(AND(U243="Irreplaceable habitat - no units generated ⚠",(S243+T243)&lt;H243,OR(Y243="No",Y243="")),"Any Loss Unacceptable ⚠",(IF(U243="Irreplaceable habitat - no units generated ⚠",T243*J243*L243*O243,IF(AND(P243='G-1 All Habitats'!$X$9,AC243&gt;0,S243&lt;=0,T243&lt;=0,OR(Y243="No",Y243="")),"Any Loss Unacceptable ⚠",IF(AND(P243='G-1 All Habitats'!$X$9,AC243&gt;0,S243&lt;=0,T243&lt;=0,Y243="Yes"),0,(IF(AND(P243='G-1 All Habitats'!$X$9,(S243+T243)&lt;H243,OR(Y243="No",Y243="")),"Any Loss Unacceptable ⚠",(IF(P243="","",IF(AND(P243='G-1 All Habitats'!$X$9,T243&gt;0),U243+V243,IF(AND(P243='G-1 All Habitats'!$X$9,S243&gt;0),U243+V243,H243*J243*L243*O243))))))))))))))),"Check Data ▲")</f>
        <v/>
      </c>
      <c r="R243" s="38"/>
      <c r="S243" s="52"/>
      <c r="T243" s="53"/>
      <c r="U243" s="287" t="str">
        <f t="shared" si="25"/>
        <v/>
      </c>
      <c r="V243" s="287" t="str">
        <f t="shared" si="26"/>
        <v/>
      </c>
      <c r="W243" s="287" t="str">
        <f t="shared" si="27"/>
        <v/>
      </c>
      <c r="X243" s="291" t="str">
        <f>IFERROR(IF(H243="","",IF(H243-S243-T243=0&lt;0,"Error in Areas ▲",IF(S243+T243&gt;H243,"Error in Areas ▲",IF(AND(P243='G-1 All Habitats'!$X$9,Y243="Yes"),"Alternative Compensation ✓",IF(AND(P243='G-1 All Habitats'!$X$3,Y243="Yes"),"Alternative Compensation ✓",IF(AND(Y243="Pending",P243='G-1 All Habitats'!$X$3),"Bespoke compensation must be agreed ▲",IF(AND(Y243="Pending",P243='G-1 All Habitats'!$X$9),"Bespoke compensation must be agreed  ▲",IF(W243=0,0,IF(P243='G-1 All Habitats'!$X$9,"Any Loss Unacceptable ▲",Q243-U243-V243))))))))),"Check Data ▲")</f>
        <v/>
      </c>
      <c r="Y243" s="53"/>
      <c r="Z243" s="105"/>
      <c r="AA243" s="233"/>
      <c r="AB243" s="104"/>
      <c r="AC243" s="512" t="str">
        <f>IF(OR(P243="",Y243="Yes"),"",IF(P243='G-1 All Habitats'!$X$9,H243-S243-T243,"None"))</f>
        <v/>
      </c>
      <c r="AD243" s="513" t="str">
        <f>IF(P243="","",IF(P243='G-1 All Habitats'!$X$9,AC243*J243*L243*O243,"None"))</f>
        <v/>
      </c>
      <c r="AE243" s="35" t="str">
        <f t="shared" si="23"/>
        <v/>
      </c>
      <c r="AF243" s="40" t="str">
        <f t="shared" si="28"/>
        <v/>
      </c>
      <c r="AG243" s="40" t="str">
        <f t="shared" si="24"/>
        <v/>
      </c>
      <c r="AH243" s="40" t="str">
        <f>IF(I243="","",IF(#REF!&gt;0,TRUE,FALSE))</f>
        <v/>
      </c>
      <c r="AI243" s="40">
        <v>233</v>
      </c>
      <c r="AJ243" s="40"/>
      <c r="AK243" s="40" t="str">
        <f t="array" ref="AK243">IFERROR(INDEX($AI$11:$AI$259,MATCH(0,IF(TRUE=$AF$11:$AF$259,COUNTIF($AK$10:$AK242,$AI$11:$AI$259),""),0)),"")</f>
        <v/>
      </c>
      <c r="AL243" s="40" t="str">
        <f t="array" ref="AL243">IFERROR(INDEX($AI$11:$AI$259,MATCH(0,IF(TRUE=$AG$11:$AG$259,COUNTIF($AL$10:$AL242,$AI$11:$AI$259),""),0)),"")</f>
        <v/>
      </c>
      <c r="AM243" s="40" t="str">
        <f t="array" ref="AM243">IFERROR(INDEX($AI$11:$AI$259,MATCH(0,IF(TRUE=$AH$11:$AH$259,COUNTIF($AM$10:$AM242,$AI$11:$AI$259),""),0)),"")</f>
        <v/>
      </c>
      <c r="AN243" s="40"/>
      <c r="AQ243" s="35">
        <f t="shared" si="29"/>
        <v>0</v>
      </c>
      <c r="AT243" s="885" t="str">
        <f>IF(AND(OR(Y243="Yes",Y243="Pending"),P243='G-1 All Habitats'!$X$3),Q243-U243-V243,"")</f>
        <v/>
      </c>
      <c r="AV243" s="542" t="str">
        <f>IFERROR(INDEX('G-1 All Habitats'!$B$3:$B$135,MATCH(F243,'G-1 All Habitats'!$A$3:$A$135,0)),"")</f>
        <v/>
      </c>
      <c r="AW243" s="35" t="str">
        <f>IF(AV243="","",VLOOKUP(AV243,'G-1 All Habitats'!$B$1:$T$135,19,FALSE))</f>
        <v/>
      </c>
    </row>
    <row r="244" spans="1:49" ht="14.5" hidden="1" thickBot="1">
      <c r="A244" s="35" t="str">
        <f>IFERROR(INDEX('G-1 All Habitats'!$AG$3:$AG$17,MATCH(E244,'G-1 All Habitats'!$AF$3:$AF$17,0)),"")</f>
        <v/>
      </c>
      <c r="B244" s="35" t="str">
        <f>IFERROR(INDEX('G-8 Condition Look up'!$I$4:$I$135,MATCH(AV244,'G-8 Condition Look up'!$A$4:$A$135,0)),"")</f>
        <v/>
      </c>
      <c r="D244" s="225">
        <v>234</v>
      </c>
      <c r="E244" s="211"/>
      <c r="F244" s="57"/>
      <c r="G244" s="263"/>
      <c r="H244" s="51"/>
      <c r="I244" s="275" t="str">
        <f>IF(AV244="","",IF(AND(AW244="Yes",G244="No"),"Irreplaceable habitat ▲",IF(AND(AW244="No",G244="Yes"),"Cannot be Irreplaceable ▲",VLOOKUP(AV244,'G-1 All Habitats'!$B$2:$M$135,10,FALSE))))</f>
        <v/>
      </c>
      <c r="J244" s="276" t="str">
        <f>IFERROR(VLOOKUP(I244,'G-1 All Habitats'!$V$3:$W$7,2,FALSE),"")</f>
        <v/>
      </c>
      <c r="K244" s="52"/>
      <c r="L244" s="276" t="str">
        <f>IFERROR(INDEX('G-8 Condition Look up'!$A$3:$H$135,MATCH(AV244,'G-8 Condition Look up'!$A$3:$A$135,0),MATCH(K244,'G-8 Condition Look up'!$A$3:$H$3,0)),"")</f>
        <v/>
      </c>
      <c r="M244" s="52"/>
      <c r="N244" s="295" t="str">
        <f>IF(M244="","",IF(VLOOKUP(M244,'G-3 Multipliers'!$L$3:$N$6,2,FALSE)=0,"Spatial Data Missing",VLOOKUP(M244,'G-3 Multipliers'!$L$3:$N$6,2,FALSE)))</f>
        <v/>
      </c>
      <c r="O244" s="281" t="str">
        <f>IF(M244="","",IF(VLOOKUP(M244,'G-3 Multipliers'!$L$3:$N$6,3,FALSE)=0,"Spatial Data Missing ▲",VLOOKUP(M244,'G-3 Multipliers'!$L$3:$N$6,3,FALSE)))</f>
        <v/>
      </c>
      <c r="P244" s="282" t="str">
        <f>(IF(G244="Yes","Bespoke compensation likely to be required",(IFERROR(VLOOKUP(AV244,'G-1 All Habitats'!$B$2:$M$135,12,FALSE),""))))</f>
        <v/>
      </c>
      <c r="Q244" s="289" t="str">
        <f>IFERROR(IF(AND(F244&lt;&gt;"",G244=""),"Confirm irreplaceable habitat status ▲",(IF(AND(E244="Individual trees",T244&gt;0,G244="Yes"),"Error - you cannot enhance irreplaceable individual trees ▲",(IF(AND(U244="Irreplaceable habitat - no units generated ⚠",(S244+T244)&lt;H244,OR(Y244="No",Y244="")),"Any Loss Unacceptable ⚠",(IF(U244="Irreplaceable habitat - no units generated ⚠",T244*J244*L244*O244,IF(AND(P244='G-1 All Habitats'!$X$9,AC244&gt;0,S244&lt;=0,T244&lt;=0,OR(Y244="No",Y244="")),"Any Loss Unacceptable ⚠",IF(AND(P244='G-1 All Habitats'!$X$9,AC244&gt;0,S244&lt;=0,T244&lt;=0,Y244="Yes"),0,(IF(AND(P244='G-1 All Habitats'!$X$9,(S244+T244)&lt;H244,OR(Y244="No",Y244="")),"Any Loss Unacceptable ⚠",(IF(P244="","",IF(AND(P244='G-1 All Habitats'!$X$9,T244&gt;0),U244+V244,IF(AND(P244='G-1 All Habitats'!$X$9,S244&gt;0),U244+V244,H244*J244*L244*O244))))))))))))))),"Check Data ▲")</f>
        <v/>
      </c>
      <c r="R244" s="38"/>
      <c r="S244" s="52"/>
      <c r="T244" s="53"/>
      <c r="U244" s="287" t="str">
        <f t="shared" si="25"/>
        <v/>
      </c>
      <c r="V244" s="287" t="str">
        <f t="shared" si="26"/>
        <v/>
      </c>
      <c r="W244" s="287" t="str">
        <f t="shared" si="27"/>
        <v/>
      </c>
      <c r="X244" s="291" t="str">
        <f>IFERROR(IF(H244="","",IF(H244-S244-T244=0&lt;0,"Error in Areas ▲",IF(S244+T244&gt;H244,"Error in Areas ▲",IF(AND(P244='G-1 All Habitats'!$X$9,Y244="Yes"),"Alternative Compensation ✓",IF(AND(P244='G-1 All Habitats'!$X$3,Y244="Yes"),"Alternative Compensation ✓",IF(AND(Y244="Pending",P244='G-1 All Habitats'!$X$3),"Bespoke compensation must be agreed ▲",IF(AND(Y244="Pending",P244='G-1 All Habitats'!$X$9),"Bespoke compensation must be agreed  ▲",IF(W244=0,0,IF(P244='G-1 All Habitats'!$X$9,"Any Loss Unacceptable ▲",Q244-U244-V244))))))))),"Check Data ▲")</f>
        <v/>
      </c>
      <c r="Y244" s="53"/>
      <c r="Z244" s="105"/>
      <c r="AA244" s="233"/>
      <c r="AB244" s="104"/>
      <c r="AC244" s="512" t="str">
        <f>IF(OR(P244="",Y244="Yes"),"",IF(P244='G-1 All Habitats'!$X$9,H244-S244-T244,"None"))</f>
        <v/>
      </c>
      <c r="AD244" s="513" t="str">
        <f>IF(P244="","",IF(P244='G-1 All Habitats'!$X$9,AC244*J244*L244*O244,"None"))</f>
        <v/>
      </c>
      <c r="AE244" s="35" t="str">
        <f t="shared" si="23"/>
        <v/>
      </c>
      <c r="AF244" s="40" t="str">
        <f t="shared" si="28"/>
        <v/>
      </c>
      <c r="AG244" s="40" t="str">
        <f t="shared" si="24"/>
        <v/>
      </c>
      <c r="AH244" s="40" t="str">
        <f>IF(I244="","",IF(#REF!&gt;0,TRUE,FALSE))</f>
        <v/>
      </c>
      <c r="AI244" s="40">
        <v>234</v>
      </c>
      <c r="AJ244" s="40"/>
      <c r="AK244" s="40" t="str">
        <f t="array" ref="AK244">IFERROR(INDEX($AI$11:$AI$259,MATCH(0,IF(TRUE=$AF$11:$AF$259,COUNTIF($AK$10:$AK243,$AI$11:$AI$259),""),0)),"")</f>
        <v/>
      </c>
      <c r="AL244" s="40" t="str">
        <f t="array" ref="AL244">IFERROR(INDEX($AI$11:$AI$259,MATCH(0,IF(TRUE=$AG$11:$AG$259,COUNTIF($AL$10:$AL243,$AI$11:$AI$259),""),0)),"")</f>
        <v/>
      </c>
      <c r="AM244" s="40" t="str">
        <f t="array" ref="AM244">IFERROR(INDEX($AI$11:$AI$259,MATCH(0,IF(TRUE=$AH$11:$AH$259,COUNTIF($AM$10:$AM243,$AI$11:$AI$259),""),0)),"")</f>
        <v/>
      </c>
      <c r="AN244" s="40"/>
      <c r="AQ244" s="35">
        <f t="shared" si="29"/>
        <v>0</v>
      </c>
      <c r="AT244" s="885" t="str">
        <f>IF(AND(OR(Y244="Yes",Y244="Pending"),P244='G-1 All Habitats'!$X$3),Q244-U244-V244,"")</f>
        <v/>
      </c>
      <c r="AV244" s="542" t="str">
        <f>IFERROR(INDEX('G-1 All Habitats'!$B$3:$B$135,MATCH(F244,'G-1 All Habitats'!$A$3:$A$135,0)),"")</f>
        <v/>
      </c>
      <c r="AW244" s="35" t="str">
        <f>IF(AV244="","",VLOOKUP(AV244,'G-1 All Habitats'!$B$1:$T$135,19,FALSE))</f>
        <v/>
      </c>
    </row>
    <row r="245" spans="1:49" ht="14.5" hidden="1" thickBot="1">
      <c r="A245" s="35" t="str">
        <f>IFERROR(INDEX('G-1 All Habitats'!$AG$3:$AG$17,MATCH(E245,'G-1 All Habitats'!$AF$3:$AF$17,0)),"")</f>
        <v/>
      </c>
      <c r="B245" s="35" t="str">
        <f>IFERROR(INDEX('G-8 Condition Look up'!$I$4:$I$135,MATCH(AV245,'G-8 Condition Look up'!$A$4:$A$135,0)),"")</f>
        <v/>
      </c>
      <c r="D245" s="225">
        <v>235</v>
      </c>
      <c r="E245" s="211"/>
      <c r="F245" s="57"/>
      <c r="G245" s="263"/>
      <c r="H245" s="51"/>
      <c r="I245" s="275" t="str">
        <f>IF(AV245="","",IF(AND(AW245="Yes",G245="No"),"Irreplaceable habitat ▲",IF(AND(AW245="No",G245="Yes"),"Cannot be Irreplaceable ▲",VLOOKUP(AV245,'G-1 All Habitats'!$B$2:$M$135,10,FALSE))))</f>
        <v/>
      </c>
      <c r="J245" s="276" t="str">
        <f>IFERROR(VLOOKUP(I245,'G-1 All Habitats'!$V$3:$W$7,2,FALSE),"")</f>
        <v/>
      </c>
      <c r="K245" s="52"/>
      <c r="L245" s="276" t="str">
        <f>IFERROR(INDEX('G-8 Condition Look up'!$A$3:$H$135,MATCH(AV245,'G-8 Condition Look up'!$A$3:$A$135,0),MATCH(K245,'G-8 Condition Look up'!$A$3:$H$3,0)),"")</f>
        <v/>
      </c>
      <c r="M245" s="52"/>
      <c r="N245" s="295" t="str">
        <f>IF(M245="","",IF(VLOOKUP(M245,'G-3 Multipliers'!$L$3:$N$6,2,FALSE)=0,"Spatial Data Missing",VLOOKUP(M245,'G-3 Multipliers'!$L$3:$N$6,2,FALSE)))</f>
        <v/>
      </c>
      <c r="O245" s="281" t="str">
        <f>IF(M245="","",IF(VLOOKUP(M245,'G-3 Multipliers'!$L$3:$N$6,3,FALSE)=0,"Spatial Data Missing ▲",VLOOKUP(M245,'G-3 Multipliers'!$L$3:$N$6,3,FALSE)))</f>
        <v/>
      </c>
      <c r="P245" s="282" t="str">
        <f>(IF(G245="Yes","Bespoke compensation likely to be required",(IFERROR(VLOOKUP(AV245,'G-1 All Habitats'!$B$2:$M$135,12,FALSE),""))))</f>
        <v/>
      </c>
      <c r="Q245" s="289" t="str">
        <f>IFERROR(IF(AND(F245&lt;&gt;"",G245=""),"Confirm irreplaceable habitat status ▲",(IF(AND(E245="Individual trees",T245&gt;0,G245="Yes"),"Error - you cannot enhance irreplaceable individual trees ▲",(IF(AND(U245="Irreplaceable habitat - no units generated ⚠",(S245+T245)&lt;H245,OR(Y245="No",Y245="")),"Any Loss Unacceptable ⚠",(IF(U245="Irreplaceable habitat - no units generated ⚠",T245*J245*L245*O245,IF(AND(P245='G-1 All Habitats'!$X$9,AC245&gt;0,S245&lt;=0,T245&lt;=0,OR(Y245="No",Y245="")),"Any Loss Unacceptable ⚠",IF(AND(P245='G-1 All Habitats'!$X$9,AC245&gt;0,S245&lt;=0,T245&lt;=0,Y245="Yes"),0,(IF(AND(P245='G-1 All Habitats'!$X$9,(S245+T245)&lt;H245,OR(Y245="No",Y245="")),"Any Loss Unacceptable ⚠",(IF(P245="","",IF(AND(P245='G-1 All Habitats'!$X$9,T245&gt;0),U245+V245,IF(AND(P245='G-1 All Habitats'!$X$9,S245&gt;0),U245+V245,H245*J245*L245*O245))))))))))))))),"Check Data ▲")</f>
        <v/>
      </c>
      <c r="R245" s="38"/>
      <c r="S245" s="52"/>
      <c r="T245" s="53"/>
      <c r="U245" s="287" t="str">
        <f t="shared" si="25"/>
        <v/>
      </c>
      <c r="V245" s="287" t="str">
        <f t="shared" si="26"/>
        <v/>
      </c>
      <c r="W245" s="287" t="str">
        <f t="shared" si="27"/>
        <v/>
      </c>
      <c r="X245" s="291" t="str">
        <f>IFERROR(IF(H245="","",IF(H245-S245-T245=0&lt;0,"Error in Areas ▲",IF(S245+T245&gt;H245,"Error in Areas ▲",IF(AND(P245='G-1 All Habitats'!$X$9,Y245="Yes"),"Alternative Compensation ✓",IF(AND(P245='G-1 All Habitats'!$X$3,Y245="Yes"),"Alternative Compensation ✓",IF(AND(Y245="Pending",P245='G-1 All Habitats'!$X$3),"Bespoke compensation must be agreed ▲",IF(AND(Y245="Pending",P245='G-1 All Habitats'!$X$9),"Bespoke compensation must be agreed  ▲",IF(W245=0,0,IF(P245='G-1 All Habitats'!$X$9,"Any Loss Unacceptable ▲",Q245-U245-V245))))))))),"Check Data ▲")</f>
        <v/>
      </c>
      <c r="Y245" s="53"/>
      <c r="Z245" s="105"/>
      <c r="AA245" s="233"/>
      <c r="AB245" s="104"/>
      <c r="AC245" s="512" t="str">
        <f>IF(OR(P245="",Y245="Yes"),"",IF(P245='G-1 All Habitats'!$X$9,H245-S245-T245,"None"))</f>
        <v/>
      </c>
      <c r="AD245" s="513" t="str">
        <f>IF(P245="","",IF(P245='G-1 All Habitats'!$X$9,AC245*J245*L245*O245,"None"))</f>
        <v/>
      </c>
      <c r="AE245" s="35" t="str">
        <f t="shared" si="23"/>
        <v/>
      </c>
      <c r="AF245" s="40" t="str">
        <f t="shared" si="28"/>
        <v/>
      </c>
      <c r="AG245" s="40" t="str">
        <f t="shared" si="24"/>
        <v/>
      </c>
      <c r="AH245" s="40" t="str">
        <f>IF(I245="","",IF(#REF!&gt;0,TRUE,FALSE))</f>
        <v/>
      </c>
      <c r="AI245" s="40">
        <v>235</v>
      </c>
      <c r="AJ245" s="40"/>
      <c r="AK245" s="40" t="str">
        <f t="array" ref="AK245">IFERROR(INDEX($AI$11:$AI$259,MATCH(0,IF(TRUE=$AF$11:$AF$259,COUNTIF($AK$10:$AK244,$AI$11:$AI$259),""),0)),"")</f>
        <v/>
      </c>
      <c r="AL245" s="40" t="str">
        <f t="array" ref="AL245">IFERROR(INDEX($AI$11:$AI$259,MATCH(0,IF(TRUE=$AG$11:$AG$259,COUNTIF($AL$10:$AL244,$AI$11:$AI$259),""),0)),"")</f>
        <v/>
      </c>
      <c r="AM245" s="40" t="str">
        <f t="array" ref="AM245">IFERROR(INDEX($AI$11:$AI$259,MATCH(0,IF(TRUE=$AH$11:$AH$259,COUNTIF($AM$10:$AM244,$AI$11:$AI$259),""),0)),"")</f>
        <v/>
      </c>
      <c r="AN245" s="40"/>
      <c r="AQ245" s="35">
        <f t="shared" si="29"/>
        <v>0</v>
      </c>
      <c r="AT245" s="885" t="str">
        <f>IF(AND(OR(Y245="Yes",Y245="Pending"),P245='G-1 All Habitats'!$X$3),Q245-U245-V245,"")</f>
        <v/>
      </c>
      <c r="AV245" s="542" t="str">
        <f>IFERROR(INDEX('G-1 All Habitats'!$B$3:$B$135,MATCH(F245,'G-1 All Habitats'!$A$3:$A$135,0)),"")</f>
        <v/>
      </c>
      <c r="AW245" s="35" t="str">
        <f>IF(AV245="","",VLOOKUP(AV245,'G-1 All Habitats'!$B$1:$T$135,19,FALSE))</f>
        <v/>
      </c>
    </row>
    <row r="246" spans="1:49" ht="14.5" hidden="1" thickBot="1">
      <c r="A246" s="35" t="str">
        <f>IFERROR(INDEX('G-1 All Habitats'!$AG$3:$AG$17,MATCH(E246,'G-1 All Habitats'!$AF$3:$AF$17,0)),"")</f>
        <v/>
      </c>
      <c r="B246" s="35" t="str">
        <f>IFERROR(INDEX('G-8 Condition Look up'!$I$4:$I$135,MATCH(AV246,'G-8 Condition Look up'!$A$4:$A$135,0)),"")</f>
        <v/>
      </c>
      <c r="D246" s="225">
        <v>236</v>
      </c>
      <c r="E246" s="211"/>
      <c r="F246" s="57"/>
      <c r="G246" s="263"/>
      <c r="H246" s="51"/>
      <c r="I246" s="275" t="str">
        <f>IF(AV246="","",IF(AND(AW246="Yes",G246="No"),"Irreplaceable habitat ▲",IF(AND(AW246="No",G246="Yes"),"Cannot be Irreplaceable ▲",VLOOKUP(AV246,'G-1 All Habitats'!$B$2:$M$135,10,FALSE))))</f>
        <v/>
      </c>
      <c r="J246" s="276" t="str">
        <f>IFERROR(VLOOKUP(I246,'G-1 All Habitats'!$V$3:$W$7,2,FALSE),"")</f>
        <v/>
      </c>
      <c r="K246" s="52"/>
      <c r="L246" s="276" t="str">
        <f>IFERROR(INDEX('G-8 Condition Look up'!$A$3:$H$135,MATCH(AV246,'G-8 Condition Look up'!$A$3:$A$135,0),MATCH(K246,'G-8 Condition Look up'!$A$3:$H$3,0)),"")</f>
        <v/>
      </c>
      <c r="M246" s="52"/>
      <c r="N246" s="295" t="str">
        <f>IF(M246="","",IF(VLOOKUP(M246,'G-3 Multipliers'!$L$3:$N$6,2,FALSE)=0,"Spatial Data Missing",VLOOKUP(M246,'G-3 Multipliers'!$L$3:$N$6,2,FALSE)))</f>
        <v/>
      </c>
      <c r="O246" s="281" t="str">
        <f>IF(M246="","",IF(VLOOKUP(M246,'G-3 Multipliers'!$L$3:$N$6,3,FALSE)=0,"Spatial Data Missing ▲",VLOOKUP(M246,'G-3 Multipliers'!$L$3:$N$6,3,FALSE)))</f>
        <v/>
      </c>
      <c r="P246" s="282" t="str">
        <f>(IF(G246="Yes","Bespoke compensation likely to be required",(IFERROR(VLOOKUP(AV246,'G-1 All Habitats'!$B$2:$M$135,12,FALSE),""))))</f>
        <v/>
      </c>
      <c r="Q246" s="289" t="str">
        <f>IFERROR(IF(AND(F246&lt;&gt;"",G246=""),"Confirm irreplaceable habitat status ▲",(IF(AND(E246="Individual trees",T246&gt;0,G246="Yes"),"Error - you cannot enhance irreplaceable individual trees ▲",(IF(AND(U246="Irreplaceable habitat - no units generated ⚠",(S246+T246)&lt;H246,OR(Y246="No",Y246="")),"Any Loss Unacceptable ⚠",(IF(U246="Irreplaceable habitat - no units generated ⚠",T246*J246*L246*O246,IF(AND(P246='G-1 All Habitats'!$X$9,AC246&gt;0,S246&lt;=0,T246&lt;=0,OR(Y246="No",Y246="")),"Any Loss Unacceptable ⚠",IF(AND(P246='G-1 All Habitats'!$X$9,AC246&gt;0,S246&lt;=0,T246&lt;=0,Y246="Yes"),0,(IF(AND(P246='G-1 All Habitats'!$X$9,(S246+T246)&lt;H246,OR(Y246="No",Y246="")),"Any Loss Unacceptable ⚠",(IF(P246="","",IF(AND(P246='G-1 All Habitats'!$X$9,T246&gt;0),U246+V246,IF(AND(P246='G-1 All Habitats'!$X$9,S246&gt;0),U246+V246,H246*J246*L246*O246))))))))))))))),"Check Data ▲")</f>
        <v/>
      </c>
      <c r="R246" s="38"/>
      <c r="S246" s="52"/>
      <c r="T246" s="53"/>
      <c r="U246" s="287" t="str">
        <f t="shared" si="25"/>
        <v/>
      </c>
      <c r="V246" s="287" t="str">
        <f t="shared" si="26"/>
        <v/>
      </c>
      <c r="W246" s="287" t="str">
        <f t="shared" si="27"/>
        <v/>
      </c>
      <c r="X246" s="291" t="str">
        <f>IFERROR(IF(H246="","",IF(H246-S246-T246=0&lt;0,"Error in Areas ▲",IF(S246+T246&gt;H246,"Error in Areas ▲",IF(AND(P246='G-1 All Habitats'!$X$9,Y246="Yes"),"Alternative Compensation ✓",IF(AND(P246='G-1 All Habitats'!$X$3,Y246="Yes"),"Alternative Compensation ✓",IF(AND(Y246="Pending",P246='G-1 All Habitats'!$X$3),"Bespoke compensation must be agreed ▲",IF(AND(Y246="Pending",P246='G-1 All Habitats'!$X$9),"Bespoke compensation must be agreed  ▲",IF(W246=0,0,IF(P246='G-1 All Habitats'!$X$9,"Any Loss Unacceptable ▲",Q246-U246-V246))))))))),"Check Data ▲")</f>
        <v/>
      </c>
      <c r="Y246" s="53"/>
      <c r="Z246" s="105"/>
      <c r="AA246" s="233"/>
      <c r="AB246" s="104"/>
      <c r="AC246" s="512" t="str">
        <f>IF(OR(P246="",Y246="Yes"),"",IF(P246='G-1 All Habitats'!$X$9,H246-S246-T246,"None"))</f>
        <v/>
      </c>
      <c r="AD246" s="513" t="str">
        <f>IF(P246="","",IF(P246='G-1 All Habitats'!$X$9,AC246*J246*L246*O246,"None"))</f>
        <v/>
      </c>
      <c r="AE246" s="35" t="str">
        <f t="shared" si="23"/>
        <v/>
      </c>
      <c r="AF246" s="40" t="str">
        <f t="shared" si="28"/>
        <v/>
      </c>
      <c r="AG246" s="40" t="str">
        <f t="shared" si="24"/>
        <v/>
      </c>
      <c r="AH246" s="40" t="str">
        <f>IF(I246="","",IF(#REF!&gt;0,TRUE,FALSE))</f>
        <v/>
      </c>
      <c r="AI246" s="40">
        <v>236</v>
      </c>
      <c r="AJ246" s="40"/>
      <c r="AK246" s="40" t="str">
        <f t="array" ref="AK246">IFERROR(INDEX($AI$11:$AI$259,MATCH(0,IF(TRUE=$AF$11:$AF$259,COUNTIF($AK$10:$AK245,$AI$11:$AI$259),""),0)),"")</f>
        <v/>
      </c>
      <c r="AL246" s="40" t="str">
        <f t="array" ref="AL246">IFERROR(INDEX($AI$11:$AI$259,MATCH(0,IF(TRUE=$AG$11:$AG$259,COUNTIF($AL$10:$AL245,$AI$11:$AI$259),""),0)),"")</f>
        <v/>
      </c>
      <c r="AM246" s="40" t="str">
        <f t="array" ref="AM246">IFERROR(INDEX($AI$11:$AI$259,MATCH(0,IF(TRUE=$AH$11:$AH$259,COUNTIF($AM$10:$AM245,$AI$11:$AI$259),""),0)),"")</f>
        <v/>
      </c>
      <c r="AN246" s="40"/>
      <c r="AQ246" s="35">
        <f t="shared" si="29"/>
        <v>0</v>
      </c>
      <c r="AT246" s="885" t="str">
        <f>IF(AND(OR(Y246="Yes",Y246="Pending"),P246='G-1 All Habitats'!$X$3),Q246-U246-V246,"")</f>
        <v/>
      </c>
      <c r="AV246" s="542" t="str">
        <f>IFERROR(INDEX('G-1 All Habitats'!$B$3:$B$135,MATCH(F246,'G-1 All Habitats'!$A$3:$A$135,0)),"")</f>
        <v/>
      </c>
      <c r="AW246" s="35" t="str">
        <f>IF(AV246="","",VLOOKUP(AV246,'G-1 All Habitats'!$B$1:$T$135,19,FALSE))</f>
        <v/>
      </c>
    </row>
    <row r="247" spans="1:49" ht="14.5" hidden="1" thickBot="1">
      <c r="A247" s="35" t="str">
        <f>IFERROR(INDEX('G-1 All Habitats'!$AG$3:$AG$17,MATCH(E247,'G-1 All Habitats'!$AF$3:$AF$17,0)),"")</f>
        <v/>
      </c>
      <c r="B247" s="35" t="str">
        <f>IFERROR(INDEX('G-8 Condition Look up'!$I$4:$I$135,MATCH(AV247,'G-8 Condition Look up'!$A$4:$A$135,0)),"")</f>
        <v/>
      </c>
      <c r="D247" s="225">
        <v>237</v>
      </c>
      <c r="E247" s="211"/>
      <c r="F247" s="57"/>
      <c r="G247" s="263"/>
      <c r="H247" s="51"/>
      <c r="I247" s="275" t="str">
        <f>IF(AV247="","",IF(AND(AW247="Yes",G247="No"),"Irreplaceable habitat ▲",IF(AND(AW247="No",G247="Yes"),"Cannot be Irreplaceable ▲",VLOOKUP(AV247,'G-1 All Habitats'!$B$2:$M$135,10,FALSE))))</f>
        <v/>
      </c>
      <c r="J247" s="276" t="str">
        <f>IFERROR(VLOOKUP(I247,'G-1 All Habitats'!$V$3:$W$7,2,FALSE),"")</f>
        <v/>
      </c>
      <c r="K247" s="52"/>
      <c r="L247" s="276" t="str">
        <f>IFERROR(INDEX('G-8 Condition Look up'!$A$3:$H$135,MATCH(AV247,'G-8 Condition Look up'!$A$3:$A$135,0),MATCH(K247,'G-8 Condition Look up'!$A$3:$H$3,0)),"")</f>
        <v/>
      </c>
      <c r="M247" s="52"/>
      <c r="N247" s="295" t="str">
        <f>IF(M247="","",IF(VLOOKUP(M247,'G-3 Multipliers'!$L$3:$N$6,2,FALSE)=0,"Spatial Data Missing",VLOOKUP(M247,'G-3 Multipliers'!$L$3:$N$6,2,FALSE)))</f>
        <v/>
      </c>
      <c r="O247" s="281" t="str">
        <f>IF(M247="","",IF(VLOOKUP(M247,'G-3 Multipliers'!$L$3:$N$6,3,FALSE)=0,"Spatial Data Missing ▲",VLOOKUP(M247,'G-3 Multipliers'!$L$3:$N$6,3,FALSE)))</f>
        <v/>
      </c>
      <c r="P247" s="282" t="str">
        <f>(IF(G247="Yes","Bespoke compensation likely to be required",(IFERROR(VLOOKUP(AV247,'G-1 All Habitats'!$B$2:$M$135,12,FALSE),""))))</f>
        <v/>
      </c>
      <c r="Q247" s="289" t="str">
        <f>IFERROR(IF(AND(F247&lt;&gt;"",G247=""),"Confirm irreplaceable habitat status ▲",(IF(AND(E247="Individual trees",T247&gt;0,G247="Yes"),"Error - you cannot enhance irreplaceable individual trees ▲",(IF(AND(U247="Irreplaceable habitat - no units generated ⚠",(S247+T247)&lt;H247,OR(Y247="No",Y247="")),"Any Loss Unacceptable ⚠",(IF(U247="Irreplaceable habitat - no units generated ⚠",T247*J247*L247*O247,IF(AND(P247='G-1 All Habitats'!$X$9,AC247&gt;0,S247&lt;=0,T247&lt;=0,OR(Y247="No",Y247="")),"Any Loss Unacceptable ⚠",IF(AND(P247='G-1 All Habitats'!$X$9,AC247&gt;0,S247&lt;=0,T247&lt;=0,Y247="Yes"),0,(IF(AND(P247='G-1 All Habitats'!$X$9,(S247+T247)&lt;H247,OR(Y247="No",Y247="")),"Any Loss Unacceptable ⚠",(IF(P247="","",IF(AND(P247='G-1 All Habitats'!$X$9,T247&gt;0),U247+V247,IF(AND(P247='G-1 All Habitats'!$X$9,S247&gt;0),U247+V247,H247*J247*L247*O247))))))))))))))),"Check Data ▲")</f>
        <v/>
      </c>
      <c r="R247" s="38"/>
      <c r="S247" s="52"/>
      <c r="T247" s="53"/>
      <c r="U247" s="287" t="str">
        <f t="shared" si="25"/>
        <v/>
      </c>
      <c r="V247" s="287" t="str">
        <f t="shared" si="26"/>
        <v/>
      </c>
      <c r="W247" s="287" t="str">
        <f t="shared" si="27"/>
        <v/>
      </c>
      <c r="X247" s="291" t="str">
        <f>IFERROR(IF(H247="","",IF(H247-S247-T247=0&lt;0,"Error in Areas ▲",IF(S247+T247&gt;H247,"Error in Areas ▲",IF(AND(P247='G-1 All Habitats'!$X$9,Y247="Yes"),"Alternative Compensation ✓",IF(AND(P247='G-1 All Habitats'!$X$3,Y247="Yes"),"Alternative Compensation ✓",IF(AND(Y247="Pending",P247='G-1 All Habitats'!$X$3),"Bespoke compensation must be agreed ▲",IF(AND(Y247="Pending",P247='G-1 All Habitats'!$X$9),"Bespoke compensation must be agreed  ▲",IF(W247=0,0,IF(P247='G-1 All Habitats'!$X$9,"Any Loss Unacceptable ▲",Q247-U247-V247))))))))),"Check Data ▲")</f>
        <v/>
      </c>
      <c r="Y247" s="53"/>
      <c r="Z247" s="105"/>
      <c r="AA247" s="233"/>
      <c r="AB247" s="104"/>
      <c r="AC247" s="512" t="str">
        <f>IF(OR(P247="",Y247="Yes"),"",IF(P247='G-1 All Habitats'!$X$9,H247-S247-T247,"None"))</f>
        <v/>
      </c>
      <c r="AD247" s="513" t="str">
        <f>IF(P247="","",IF(P247='G-1 All Habitats'!$X$9,AC247*J247*L247*O247,"None"))</f>
        <v/>
      </c>
      <c r="AE247" s="35" t="str">
        <f t="shared" si="23"/>
        <v/>
      </c>
      <c r="AF247" s="40" t="str">
        <f t="shared" si="28"/>
        <v/>
      </c>
      <c r="AG247" s="40" t="str">
        <f t="shared" si="24"/>
        <v/>
      </c>
      <c r="AH247" s="40" t="str">
        <f>IF(I247="","",IF(#REF!&gt;0,TRUE,FALSE))</f>
        <v/>
      </c>
      <c r="AI247" s="40">
        <v>237</v>
      </c>
      <c r="AJ247" s="40"/>
      <c r="AK247" s="40" t="str">
        <f t="array" ref="AK247">IFERROR(INDEX($AI$11:$AI$259,MATCH(0,IF(TRUE=$AF$11:$AF$259,COUNTIF($AK$10:$AK246,$AI$11:$AI$259),""),0)),"")</f>
        <v/>
      </c>
      <c r="AL247" s="40" t="str">
        <f t="array" ref="AL247">IFERROR(INDEX($AI$11:$AI$259,MATCH(0,IF(TRUE=$AG$11:$AG$259,COUNTIF($AL$10:$AL246,$AI$11:$AI$259),""),0)),"")</f>
        <v/>
      </c>
      <c r="AM247" s="40" t="str">
        <f t="array" ref="AM247">IFERROR(INDEX($AI$11:$AI$259,MATCH(0,IF(TRUE=$AH$11:$AH$259,COUNTIF($AM$10:$AM246,$AI$11:$AI$259),""),0)),"")</f>
        <v/>
      </c>
      <c r="AN247" s="40"/>
      <c r="AQ247" s="35">
        <f t="shared" si="29"/>
        <v>0</v>
      </c>
      <c r="AT247" s="885" t="str">
        <f>IF(AND(OR(Y247="Yes",Y247="Pending"),P247='G-1 All Habitats'!$X$3),Q247-U247-V247,"")</f>
        <v/>
      </c>
      <c r="AV247" s="542" t="str">
        <f>IFERROR(INDEX('G-1 All Habitats'!$B$3:$B$135,MATCH(F247,'G-1 All Habitats'!$A$3:$A$135,0)),"")</f>
        <v/>
      </c>
      <c r="AW247" s="35" t="str">
        <f>IF(AV247="","",VLOOKUP(AV247,'G-1 All Habitats'!$B$1:$T$135,19,FALSE))</f>
        <v/>
      </c>
    </row>
    <row r="248" spans="1:49" ht="14.5" hidden="1" thickBot="1">
      <c r="A248" s="35" t="str">
        <f>IFERROR(INDEX('G-1 All Habitats'!$AG$3:$AG$17,MATCH(E248,'G-1 All Habitats'!$AF$3:$AF$17,0)),"")</f>
        <v/>
      </c>
      <c r="B248" s="35" t="str">
        <f>IFERROR(INDEX('G-8 Condition Look up'!$I$4:$I$135,MATCH(AV248,'G-8 Condition Look up'!$A$4:$A$135,0)),"")</f>
        <v/>
      </c>
      <c r="D248" s="225">
        <v>238</v>
      </c>
      <c r="E248" s="211"/>
      <c r="F248" s="57"/>
      <c r="G248" s="263"/>
      <c r="H248" s="51"/>
      <c r="I248" s="275" t="str">
        <f>IF(AV248="","",IF(AND(AW248="Yes",G248="No"),"Irreplaceable habitat ▲",IF(AND(AW248="No",G248="Yes"),"Cannot be Irreplaceable ▲",VLOOKUP(AV248,'G-1 All Habitats'!$B$2:$M$135,10,FALSE))))</f>
        <v/>
      </c>
      <c r="J248" s="276" t="str">
        <f>IFERROR(VLOOKUP(I248,'G-1 All Habitats'!$V$3:$W$7,2,FALSE),"")</f>
        <v/>
      </c>
      <c r="K248" s="52"/>
      <c r="L248" s="276" t="str">
        <f>IFERROR(INDEX('G-8 Condition Look up'!$A$3:$H$135,MATCH(AV248,'G-8 Condition Look up'!$A$3:$A$135,0),MATCH(K248,'G-8 Condition Look up'!$A$3:$H$3,0)),"")</f>
        <v/>
      </c>
      <c r="M248" s="52"/>
      <c r="N248" s="295" t="str">
        <f>IF(M248="","",IF(VLOOKUP(M248,'G-3 Multipliers'!$L$3:$N$6,2,FALSE)=0,"Spatial Data Missing",VLOOKUP(M248,'G-3 Multipliers'!$L$3:$N$6,2,FALSE)))</f>
        <v/>
      </c>
      <c r="O248" s="281" t="str">
        <f>IF(M248="","",IF(VLOOKUP(M248,'G-3 Multipliers'!$L$3:$N$6,3,FALSE)=0,"Spatial Data Missing ▲",VLOOKUP(M248,'G-3 Multipliers'!$L$3:$N$6,3,FALSE)))</f>
        <v/>
      </c>
      <c r="P248" s="282" t="str">
        <f>(IF(G248="Yes","Bespoke compensation likely to be required",(IFERROR(VLOOKUP(AV248,'G-1 All Habitats'!$B$2:$M$135,12,FALSE),""))))</f>
        <v/>
      </c>
      <c r="Q248" s="289" t="str">
        <f>IFERROR(IF(AND(F248&lt;&gt;"",G248=""),"Confirm irreplaceable habitat status ▲",(IF(AND(E248="Individual trees",T248&gt;0,G248="Yes"),"Error - you cannot enhance irreplaceable individual trees ▲",(IF(AND(U248="Irreplaceable habitat - no units generated ⚠",(S248+T248)&lt;H248,OR(Y248="No",Y248="")),"Any Loss Unacceptable ⚠",(IF(U248="Irreplaceable habitat - no units generated ⚠",T248*J248*L248*O248,IF(AND(P248='G-1 All Habitats'!$X$9,AC248&gt;0,S248&lt;=0,T248&lt;=0,OR(Y248="No",Y248="")),"Any Loss Unacceptable ⚠",IF(AND(P248='G-1 All Habitats'!$X$9,AC248&gt;0,S248&lt;=0,T248&lt;=0,Y248="Yes"),0,(IF(AND(P248='G-1 All Habitats'!$X$9,(S248+T248)&lt;H248,OR(Y248="No",Y248="")),"Any Loss Unacceptable ⚠",(IF(P248="","",IF(AND(P248='G-1 All Habitats'!$X$9,T248&gt;0),U248+V248,IF(AND(P248='G-1 All Habitats'!$X$9,S248&gt;0),U248+V248,H248*J248*L248*O248))))))))))))))),"Check Data ▲")</f>
        <v/>
      </c>
      <c r="R248" s="38"/>
      <c r="S248" s="52"/>
      <c r="T248" s="53"/>
      <c r="U248" s="287" t="str">
        <f t="shared" si="25"/>
        <v/>
      </c>
      <c r="V248" s="287" t="str">
        <f t="shared" si="26"/>
        <v/>
      </c>
      <c r="W248" s="287" t="str">
        <f t="shared" si="27"/>
        <v/>
      </c>
      <c r="X248" s="291" t="str">
        <f>IFERROR(IF(H248="","",IF(H248-S248-T248=0&lt;0,"Error in Areas ▲",IF(S248+T248&gt;H248,"Error in Areas ▲",IF(AND(P248='G-1 All Habitats'!$X$9,Y248="Yes"),"Alternative Compensation ✓",IF(AND(P248='G-1 All Habitats'!$X$3,Y248="Yes"),"Alternative Compensation ✓",IF(AND(Y248="Pending",P248='G-1 All Habitats'!$X$3),"Bespoke compensation must be agreed ▲",IF(AND(Y248="Pending",P248='G-1 All Habitats'!$X$9),"Bespoke compensation must be agreed  ▲",IF(W248=0,0,IF(P248='G-1 All Habitats'!$X$9,"Any Loss Unacceptable ▲",Q248-U248-V248))))))))),"Check Data ▲")</f>
        <v/>
      </c>
      <c r="Y248" s="53"/>
      <c r="Z248" s="105"/>
      <c r="AA248" s="233"/>
      <c r="AB248" s="104"/>
      <c r="AC248" s="512" t="str">
        <f>IF(OR(P248="",Y248="Yes"),"",IF(P248='G-1 All Habitats'!$X$9,H248-S248-T248,"None"))</f>
        <v/>
      </c>
      <c r="AD248" s="513" t="str">
        <f>IF(P248="","",IF(P248='G-1 All Habitats'!$X$9,AC248*J248*L248*O248,"None"))</f>
        <v/>
      </c>
      <c r="AE248" s="35" t="str">
        <f t="shared" si="23"/>
        <v/>
      </c>
      <c r="AF248" s="40" t="str">
        <f t="shared" si="28"/>
        <v/>
      </c>
      <c r="AG248" s="40" t="str">
        <f t="shared" si="24"/>
        <v/>
      </c>
      <c r="AH248" s="40" t="str">
        <f>IF(I248="","",IF(#REF!&gt;0,TRUE,FALSE))</f>
        <v/>
      </c>
      <c r="AI248" s="40">
        <v>238</v>
      </c>
      <c r="AJ248" s="40"/>
      <c r="AK248" s="40" t="str">
        <f t="array" ref="AK248">IFERROR(INDEX($AI$11:$AI$259,MATCH(0,IF(TRUE=$AF$11:$AF$259,COUNTIF($AK$10:$AK247,$AI$11:$AI$259),""),0)),"")</f>
        <v/>
      </c>
      <c r="AL248" s="40" t="str">
        <f t="array" ref="AL248">IFERROR(INDEX($AI$11:$AI$259,MATCH(0,IF(TRUE=$AG$11:$AG$259,COUNTIF($AL$10:$AL247,$AI$11:$AI$259),""),0)),"")</f>
        <v/>
      </c>
      <c r="AM248" s="40" t="str">
        <f t="array" ref="AM248">IFERROR(INDEX($AI$11:$AI$259,MATCH(0,IF(TRUE=$AH$11:$AH$259,COUNTIF($AM$10:$AM247,$AI$11:$AI$259),""),0)),"")</f>
        <v/>
      </c>
      <c r="AN248" s="40"/>
      <c r="AQ248" s="35">
        <f t="shared" si="29"/>
        <v>0</v>
      </c>
      <c r="AT248" s="885" t="str">
        <f>IF(AND(OR(Y248="Yes",Y248="Pending"),P248='G-1 All Habitats'!$X$3),Q248-U248-V248,"")</f>
        <v/>
      </c>
      <c r="AV248" s="542" t="str">
        <f>IFERROR(INDEX('G-1 All Habitats'!$B$3:$B$135,MATCH(F248,'G-1 All Habitats'!$A$3:$A$135,0)),"")</f>
        <v/>
      </c>
      <c r="AW248" s="35" t="str">
        <f>IF(AV248="","",VLOOKUP(AV248,'G-1 All Habitats'!$B$1:$T$135,19,FALSE))</f>
        <v/>
      </c>
    </row>
    <row r="249" spans="1:49" ht="14.5" hidden="1" thickBot="1">
      <c r="A249" s="35" t="str">
        <f>IFERROR(INDEX('G-1 All Habitats'!$AG$3:$AG$17,MATCH(E249,'G-1 All Habitats'!$AF$3:$AF$17,0)),"")</f>
        <v/>
      </c>
      <c r="B249" s="35" t="str">
        <f>IFERROR(INDEX('G-8 Condition Look up'!$I$4:$I$135,MATCH(AV249,'G-8 Condition Look up'!$A$4:$A$135,0)),"")</f>
        <v/>
      </c>
      <c r="D249" s="225">
        <v>239</v>
      </c>
      <c r="E249" s="211"/>
      <c r="F249" s="57"/>
      <c r="G249" s="263"/>
      <c r="H249" s="51"/>
      <c r="I249" s="275" t="str">
        <f>IF(AV249="","",IF(AND(AW249="Yes",G249="No"),"Irreplaceable habitat ▲",IF(AND(AW249="No",G249="Yes"),"Cannot be Irreplaceable ▲",VLOOKUP(AV249,'G-1 All Habitats'!$B$2:$M$135,10,FALSE))))</f>
        <v/>
      </c>
      <c r="J249" s="276" t="str">
        <f>IFERROR(VLOOKUP(I249,'G-1 All Habitats'!$V$3:$W$7,2,FALSE),"")</f>
        <v/>
      </c>
      <c r="K249" s="52"/>
      <c r="L249" s="276" t="str">
        <f>IFERROR(INDEX('G-8 Condition Look up'!$A$3:$H$135,MATCH(AV249,'G-8 Condition Look up'!$A$3:$A$135,0),MATCH(K249,'G-8 Condition Look up'!$A$3:$H$3,0)),"")</f>
        <v/>
      </c>
      <c r="M249" s="52"/>
      <c r="N249" s="295" t="str">
        <f>IF(M249="","",IF(VLOOKUP(M249,'G-3 Multipliers'!$L$3:$N$6,2,FALSE)=0,"Spatial Data Missing",VLOOKUP(M249,'G-3 Multipliers'!$L$3:$N$6,2,FALSE)))</f>
        <v/>
      </c>
      <c r="O249" s="281" t="str">
        <f>IF(M249="","",IF(VLOOKUP(M249,'G-3 Multipliers'!$L$3:$N$6,3,FALSE)=0,"Spatial Data Missing ▲",VLOOKUP(M249,'G-3 Multipliers'!$L$3:$N$6,3,FALSE)))</f>
        <v/>
      </c>
      <c r="P249" s="282" t="str">
        <f>(IF(G249="Yes","Bespoke compensation likely to be required",(IFERROR(VLOOKUP(AV249,'G-1 All Habitats'!$B$2:$M$135,12,FALSE),""))))</f>
        <v/>
      </c>
      <c r="Q249" s="289" t="str">
        <f>IFERROR(IF(AND(F249&lt;&gt;"",G249=""),"Confirm irreplaceable habitat status ▲",(IF(AND(E249="Individual trees",T249&gt;0,G249="Yes"),"Error - you cannot enhance irreplaceable individual trees ▲",(IF(AND(U249="Irreplaceable habitat - no units generated ⚠",(S249+T249)&lt;H249,OR(Y249="No",Y249="")),"Any Loss Unacceptable ⚠",(IF(U249="Irreplaceable habitat - no units generated ⚠",T249*J249*L249*O249,IF(AND(P249='G-1 All Habitats'!$X$9,AC249&gt;0,S249&lt;=0,T249&lt;=0,OR(Y249="No",Y249="")),"Any Loss Unacceptable ⚠",IF(AND(P249='G-1 All Habitats'!$X$9,AC249&gt;0,S249&lt;=0,T249&lt;=0,Y249="Yes"),0,(IF(AND(P249='G-1 All Habitats'!$X$9,(S249+T249)&lt;H249,OR(Y249="No",Y249="")),"Any Loss Unacceptable ⚠",(IF(P249="","",IF(AND(P249='G-1 All Habitats'!$X$9,T249&gt;0),U249+V249,IF(AND(P249='G-1 All Habitats'!$X$9,S249&gt;0),U249+V249,H249*J249*L249*O249))))))))))))))),"Check Data ▲")</f>
        <v/>
      </c>
      <c r="R249" s="38"/>
      <c r="S249" s="52"/>
      <c r="T249" s="53"/>
      <c r="U249" s="287" t="str">
        <f t="shared" si="25"/>
        <v/>
      </c>
      <c r="V249" s="287" t="str">
        <f t="shared" si="26"/>
        <v/>
      </c>
      <c r="W249" s="287" t="str">
        <f t="shared" si="27"/>
        <v/>
      </c>
      <c r="X249" s="291" t="str">
        <f>IFERROR(IF(H249="","",IF(H249-S249-T249=0&lt;0,"Error in Areas ▲",IF(S249+T249&gt;H249,"Error in Areas ▲",IF(AND(P249='G-1 All Habitats'!$X$9,Y249="Yes"),"Alternative Compensation ✓",IF(AND(P249='G-1 All Habitats'!$X$3,Y249="Yes"),"Alternative Compensation ✓",IF(AND(Y249="Pending",P249='G-1 All Habitats'!$X$3),"Bespoke compensation must be agreed ▲",IF(AND(Y249="Pending",P249='G-1 All Habitats'!$X$9),"Bespoke compensation must be agreed  ▲",IF(W249=0,0,IF(P249='G-1 All Habitats'!$X$9,"Any Loss Unacceptable ▲",Q249-U249-V249))))))))),"Check Data ▲")</f>
        <v/>
      </c>
      <c r="Y249" s="53"/>
      <c r="Z249" s="105"/>
      <c r="AA249" s="233"/>
      <c r="AB249" s="104"/>
      <c r="AC249" s="512" t="str">
        <f>IF(OR(P249="",Y249="Yes"),"",IF(P249='G-1 All Habitats'!$X$9,H249-S249-T249,"None"))</f>
        <v/>
      </c>
      <c r="AD249" s="513" t="str">
        <f>IF(P249="","",IF(P249='G-1 All Habitats'!$X$9,AC249*J249*L249*O249,"None"))</f>
        <v/>
      </c>
      <c r="AE249" s="35" t="str">
        <f t="shared" si="23"/>
        <v/>
      </c>
      <c r="AF249" s="40" t="str">
        <f t="shared" si="28"/>
        <v/>
      </c>
      <c r="AG249" s="40" t="str">
        <f t="shared" si="24"/>
        <v/>
      </c>
      <c r="AH249" s="40" t="str">
        <f>IF(I249="","",IF(#REF!&gt;0,TRUE,FALSE))</f>
        <v/>
      </c>
      <c r="AI249" s="40">
        <v>239</v>
      </c>
      <c r="AJ249" s="40"/>
      <c r="AK249" s="40" t="str">
        <f t="array" ref="AK249">IFERROR(INDEX($AI$11:$AI$259,MATCH(0,IF(TRUE=$AF$11:$AF$259,COUNTIF($AK$10:$AK248,$AI$11:$AI$259),""),0)),"")</f>
        <v/>
      </c>
      <c r="AL249" s="40" t="str">
        <f t="array" ref="AL249">IFERROR(INDEX($AI$11:$AI$259,MATCH(0,IF(TRUE=$AG$11:$AG$259,COUNTIF($AL$10:$AL248,$AI$11:$AI$259),""),0)),"")</f>
        <v/>
      </c>
      <c r="AM249" s="40" t="str">
        <f t="array" ref="AM249">IFERROR(INDEX($AI$11:$AI$259,MATCH(0,IF(TRUE=$AH$11:$AH$259,COUNTIF($AM$10:$AM248,$AI$11:$AI$259),""),0)),"")</f>
        <v/>
      </c>
      <c r="AN249" s="40"/>
      <c r="AQ249" s="35">
        <f t="shared" si="29"/>
        <v>0</v>
      </c>
      <c r="AT249" s="885" t="str">
        <f>IF(AND(OR(Y249="Yes",Y249="Pending"),P249='G-1 All Habitats'!$X$3),Q249-U249-V249,"")</f>
        <v/>
      </c>
      <c r="AV249" s="542" t="str">
        <f>IFERROR(INDEX('G-1 All Habitats'!$B$3:$B$135,MATCH(F249,'G-1 All Habitats'!$A$3:$A$135,0)),"")</f>
        <v/>
      </c>
      <c r="AW249" s="35" t="str">
        <f>IF(AV249="","",VLOOKUP(AV249,'G-1 All Habitats'!$B$1:$T$135,19,FALSE))</f>
        <v/>
      </c>
    </row>
    <row r="250" spans="1:49" ht="14.5" hidden="1" thickBot="1">
      <c r="A250" s="35" t="str">
        <f>IFERROR(INDEX('G-1 All Habitats'!$AG$3:$AG$17,MATCH(E250,'G-1 All Habitats'!$AF$3:$AF$17,0)),"")</f>
        <v/>
      </c>
      <c r="B250" s="35" t="str">
        <f>IFERROR(INDEX('G-8 Condition Look up'!$I$4:$I$135,MATCH(AV250,'G-8 Condition Look up'!$A$4:$A$135,0)),"")</f>
        <v/>
      </c>
      <c r="D250" s="225">
        <v>240</v>
      </c>
      <c r="E250" s="211"/>
      <c r="F250" s="57"/>
      <c r="G250" s="263"/>
      <c r="H250" s="51"/>
      <c r="I250" s="275" t="str">
        <f>IF(AV250="","",IF(AND(AW250="Yes",G250="No"),"Irreplaceable habitat ▲",IF(AND(AW250="No",G250="Yes"),"Cannot be Irreplaceable ▲",VLOOKUP(AV250,'G-1 All Habitats'!$B$2:$M$135,10,FALSE))))</f>
        <v/>
      </c>
      <c r="J250" s="276" t="str">
        <f>IFERROR(VLOOKUP(I250,'G-1 All Habitats'!$V$3:$W$7,2,FALSE),"")</f>
        <v/>
      </c>
      <c r="K250" s="52"/>
      <c r="L250" s="276" t="str">
        <f>IFERROR(INDEX('G-8 Condition Look up'!$A$3:$H$135,MATCH(AV250,'G-8 Condition Look up'!$A$3:$A$135,0),MATCH(K250,'G-8 Condition Look up'!$A$3:$H$3,0)),"")</f>
        <v/>
      </c>
      <c r="M250" s="52"/>
      <c r="N250" s="295" t="str">
        <f>IF(M250="","",IF(VLOOKUP(M250,'G-3 Multipliers'!$L$3:$N$6,2,FALSE)=0,"Spatial Data Missing",VLOOKUP(M250,'G-3 Multipliers'!$L$3:$N$6,2,FALSE)))</f>
        <v/>
      </c>
      <c r="O250" s="281" t="str">
        <f>IF(M250="","",IF(VLOOKUP(M250,'G-3 Multipliers'!$L$3:$N$6,3,FALSE)=0,"Spatial Data Missing ▲",VLOOKUP(M250,'G-3 Multipliers'!$L$3:$N$6,3,FALSE)))</f>
        <v/>
      </c>
      <c r="P250" s="282" t="str">
        <f>(IF(G250="Yes","Bespoke compensation likely to be required",(IFERROR(VLOOKUP(AV250,'G-1 All Habitats'!$B$2:$M$135,12,FALSE),""))))</f>
        <v/>
      </c>
      <c r="Q250" s="289" t="str">
        <f>IFERROR(IF(AND(F250&lt;&gt;"",G250=""),"Confirm irreplaceable habitat status ▲",(IF(AND(E250="Individual trees",T250&gt;0,G250="Yes"),"Error - you cannot enhance irreplaceable individual trees ▲",(IF(AND(U250="Irreplaceable habitat - no units generated ⚠",(S250+T250)&lt;H250,OR(Y250="No",Y250="")),"Any Loss Unacceptable ⚠",(IF(U250="Irreplaceable habitat - no units generated ⚠",T250*J250*L250*O250,IF(AND(P250='G-1 All Habitats'!$X$9,AC250&gt;0,S250&lt;=0,T250&lt;=0,OR(Y250="No",Y250="")),"Any Loss Unacceptable ⚠",IF(AND(P250='G-1 All Habitats'!$X$9,AC250&gt;0,S250&lt;=0,T250&lt;=0,Y250="Yes"),0,(IF(AND(P250='G-1 All Habitats'!$X$9,(S250+T250)&lt;H250,OR(Y250="No",Y250="")),"Any Loss Unacceptable ⚠",(IF(P250="","",IF(AND(P250='G-1 All Habitats'!$X$9,T250&gt;0),U250+V250,IF(AND(P250='G-1 All Habitats'!$X$9,S250&gt;0),U250+V250,H250*J250*L250*O250))))))))))))))),"Check Data ▲")</f>
        <v/>
      </c>
      <c r="R250" s="38"/>
      <c r="S250" s="52"/>
      <c r="T250" s="53"/>
      <c r="U250" s="287" t="str">
        <f t="shared" si="25"/>
        <v/>
      </c>
      <c r="V250" s="287" t="str">
        <f t="shared" si="26"/>
        <v/>
      </c>
      <c r="W250" s="287" t="str">
        <f t="shared" si="27"/>
        <v/>
      </c>
      <c r="X250" s="291" t="str">
        <f>IFERROR(IF(H250="","",IF(H250-S250-T250=0&lt;0,"Error in Areas ▲",IF(S250+T250&gt;H250,"Error in Areas ▲",IF(AND(P250='G-1 All Habitats'!$X$9,Y250="Yes"),"Alternative Compensation ✓",IF(AND(P250='G-1 All Habitats'!$X$3,Y250="Yes"),"Alternative Compensation ✓",IF(AND(Y250="Pending",P250='G-1 All Habitats'!$X$3),"Bespoke compensation must be agreed ▲",IF(AND(Y250="Pending",P250='G-1 All Habitats'!$X$9),"Bespoke compensation must be agreed  ▲",IF(W250=0,0,IF(P250='G-1 All Habitats'!$X$9,"Any Loss Unacceptable ▲",Q250-U250-V250))))))))),"Check Data ▲")</f>
        <v/>
      </c>
      <c r="Y250" s="53"/>
      <c r="Z250" s="105"/>
      <c r="AA250" s="233"/>
      <c r="AB250" s="104"/>
      <c r="AC250" s="512" t="str">
        <f>IF(OR(P250="",Y250="Yes"),"",IF(P250='G-1 All Habitats'!$X$9,H250-S250-T250,"None"))</f>
        <v/>
      </c>
      <c r="AD250" s="513" t="str">
        <f>IF(P250="","",IF(P250='G-1 All Habitats'!$X$9,AC250*J250*L250*O250,"None"))</f>
        <v/>
      </c>
      <c r="AE250" s="35" t="str">
        <f t="shared" si="23"/>
        <v/>
      </c>
      <c r="AF250" s="40" t="str">
        <f t="shared" si="28"/>
        <v/>
      </c>
      <c r="AG250" s="40" t="str">
        <f t="shared" si="24"/>
        <v/>
      </c>
      <c r="AH250" s="40" t="str">
        <f>IF(I250="","",IF(#REF!&gt;0,TRUE,FALSE))</f>
        <v/>
      </c>
      <c r="AI250" s="40">
        <v>240</v>
      </c>
      <c r="AJ250" s="40"/>
      <c r="AK250" s="40" t="str">
        <f t="array" ref="AK250">IFERROR(INDEX($AI$11:$AI$259,MATCH(0,IF(TRUE=$AF$11:$AF$259,COUNTIF($AK$10:$AK249,$AI$11:$AI$259),""),0)),"")</f>
        <v/>
      </c>
      <c r="AL250" s="40" t="str">
        <f t="array" ref="AL250">IFERROR(INDEX($AI$11:$AI$259,MATCH(0,IF(TRUE=$AG$11:$AG$259,COUNTIF($AL$10:$AL249,$AI$11:$AI$259),""),0)),"")</f>
        <v/>
      </c>
      <c r="AM250" s="40" t="str">
        <f t="array" ref="AM250">IFERROR(INDEX($AI$11:$AI$259,MATCH(0,IF(TRUE=$AH$11:$AH$259,COUNTIF($AM$10:$AM249,$AI$11:$AI$259),""),0)),"")</f>
        <v/>
      </c>
      <c r="AN250" s="40"/>
      <c r="AQ250" s="35">
        <f t="shared" si="29"/>
        <v>0</v>
      </c>
      <c r="AT250" s="885" t="str">
        <f>IF(AND(OR(Y250="Yes",Y250="Pending"),P250='G-1 All Habitats'!$X$3),Q250-U250-V250,"")</f>
        <v/>
      </c>
      <c r="AV250" s="542" t="str">
        <f>IFERROR(INDEX('G-1 All Habitats'!$B$3:$B$135,MATCH(F250,'G-1 All Habitats'!$A$3:$A$135,0)),"")</f>
        <v/>
      </c>
      <c r="AW250" s="35" t="str">
        <f>IF(AV250="","",VLOOKUP(AV250,'G-1 All Habitats'!$B$1:$T$135,19,FALSE))</f>
        <v/>
      </c>
    </row>
    <row r="251" spans="1:49" ht="14.5" hidden="1" thickBot="1">
      <c r="A251" s="35" t="str">
        <f>IFERROR(INDEX('G-1 All Habitats'!$AG$3:$AG$17,MATCH(E251,'G-1 All Habitats'!$AF$3:$AF$17,0)),"")</f>
        <v/>
      </c>
      <c r="B251" s="35" t="str">
        <f>IFERROR(INDEX('G-8 Condition Look up'!$I$4:$I$135,MATCH(AV251,'G-8 Condition Look up'!$A$4:$A$135,0)),"")</f>
        <v/>
      </c>
      <c r="D251" s="225">
        <v>241</v>
      </c>
      <c r="E251" s="211"/>
      <c r="F251" s="57"/>
      <c r="G251" s="263"/>
      <c r="H251" s="51"/>
      <c r="I251" s="275" t="str">
        <f>IF(AV251="","",IF(AND(AW251="Yes",G251="No"),"Irreplaceable habitat ▲",IF(AND(AW251="No",G251="Yes"),"Cannot be Irreplaceable ▲",VLOOKUP(AV251,'G-1 All Habitats'!$B$2:$M$135,10,FALSE))))</f>
        <v/>
      </c>
      <c r="J251" s="276" t="str">
        <f>IFERROR(VLOOKUP(I251,'G-1 All Habitats'!$V$3:$W$7,2,FALSE),"")</f>
        <v/>
      </c>
      <c r="K251" s="52"/>
      <c r="L251" s="276" t="str">
        <f>IFERROR(INDEX('G-8 Condition Look up'!$A$3:$H$135,MATCH(AV251,'G-8 Condition Look up'!$A$3:$A$135,0),MATCH(K251,'G-8 Condition Look up'!$A$3:$H$3,0)),"")</f>
        <v/>
      </c>
      <c r="M251" s="52"/>
      <c r="N251" s="295" t="str">
        <f>IF(M251="","",IF(VLOOKUP(M251,'G-3 Multipliers'!$L$3:$N$6,2,FALSE)=0,"Spatial Data Missing",VLOOKUP(M251,'G-3 Multipliers'!$L$3:$N$6,2,FALSE)))</f>
        <v/>
      </c>
      <c r="O251" s="281" t="str">
        <f>IF(M251="","",IF(VLOOKUP(M251,'G-3 Multipliers'!$L$3:$N$6,3,FALSE)=0,"Spatial Data Missing ▲",VLOOKUP(M251,'G-3 Multipliers'!$L$3:$N$6,3,FALSE)))</f>
        <v/>
      </c>
      <c r="P251" s="282" t="str">
        <f>(IF(G251="Yes","Bespoke compensation likely to be required",(IFERROR(VLOOKUP(AV251,'G-1 All Habitats'!$B$2:$M$135,12,FALSE),""))))</f>
        <v/>
      </c>
      <c r="Q251" s="289" t="str">
        <f>IFERROR(IF(AND(F251&lt;&gt;"",G251=""),"Confirm irreplaceable habitat status ▲",(IF(AND(E251="Individual trees",T251&gt;0,G251="Yes"),"Error - you cannot enhance irreplaceable individual trees ▲",(IF(AND(U251="Irreplaceable habitat - no units generated ⚠",(S251+T251)&lt;H251,OR(Y251="No",Y251="")),"Any Loss Unacceptable ⚠",(IF(U251="Irreplaceable habitat - no units generated ⚠",T251*J251*L251*O251,IF(AND(P251='G-1 All Habitats'!$X$9,AC251&gt;0,S251&lt;=0,T251&lt;=0,OR(Y251="No",Y251="")),"Any Loss Unacceptable ⚠",IF(AND(P251='G-1 All Habitats'!$X$9,AC251&gt;0,S251&lt;=0,T251&lt;=0,Y251="Yes"),0,(IF(AND(P251='G-1 All Habitats'!$X$9,(S251+T251)&lt;H251,OR(Y251="No",Y251="")),"Any Loss Unacceptable ⚠",(IF(P251="","",IF(AND(P251='G-1 All Habitats'!$X$9,T251&gt;0),U251+V251,IF(AND(P251='G-1 All Habitats'!$X$9,S251&gt;0),U251+V251,H251*J251*L251*O251))))))))))))))),"Check Data ▲")</f>
        <v/>
      </c>
      <c r="R251" s="38"/>
      <c r="S251" s="52"/>
      <c r="T251" s="53"/>
      <c r="U251" s="287" t="str">
        <f t="shared" si="25"/>
        <v/>
      </c>
      <c r="V251" s="287" t="str">
        <f t="shared" si="26"/>
        <v/>
      </c>
      <c r="W251" s="287" t="str">
        <f t="shared" si="27"/>
        <v/>
      </c>
      <c r="X251" s="291" t="str">
        <f>IFERROR(IF(H251="","",IF(H251-S251-T251=0&lt;0,"Error in Areas ▲",IF(S251+T251&gt;H251,"Error in Areas ▲",IF(AND(P251='G-1 All Habitats'!$X$9,Y251="Yes"),"Alternative Compensation ✓",IF(AND(P251='G-1 All Habitats'!$X$3,Y251="Yes"),"Alternative Compensation ✓",IF(AND(Y251="Pending",P251='G-1 All Habitats'!$X$3),"Bespoke compensation must be agreed ▲",IF(AND(Y251="Pending",P251='G-1 All Habitats'!$X$9),"Bespoke compensation must be agreed  ▲",IF(W251=0,0,IF(P251='G-1 All Habitats'!$X$9,"Any Loss Unacceptable ▲",Q251-U251-V251))))))))),"Check Data ▲")</f>
        <v/>
      </c>
      <c r="Y251" s="53"/>
      <c r="Z251" s="105"/>
      <c r="AA251" s="233"/>
      <c r="AB251" s="104"/>
      <c r="AC251" s="512" t="str">
        <f>IF(OR(P251="",Y251="Yes"),"",IF(P251='G-1 All Habitats'!$X$9,H251-S251-T251,"None"))</f>
        <v/>
      </c>
      <c r="AD251" s="513" t="str">
        <f>IF(P251="","",IF(P251='G-1 All Habitats'!$X$9,AC251*J251*L251*O251,"None"))</f>
        <v/>
      </c>
      <c r="AE251" s="35" t="str">
        <f t="shared" si="23"/>
        <v/>
      </c>
      <c r="AF251" s="40" t="str">
        <f t="shared" si="28"/>
        <v/>
      </c>
      <c r="AG251" s="40" t="str">
        <f t="shared" si="24"/>
        <v/>
      </c>
      <c r="AH251" s="40" t="str">
        <f>IF(I251="","",IF(#REF!&gt;0,TRUE,FALSE))</f>
        <v/>
      </c>
      <c r="AI251" s="40">
        <v>241</v>
      </c>
      <c r="AJ251" s="40"/>
      <c r="AK251" s="40" t="str">
        <f t="array" ref="AK251">IFERROR(INDEX($AI$11:$AI$259,MATCH(0,IF(TRUE=$AF$11:$AF$259,COUNTIF($AK$10:$AK250,$AI$11:$AI$259),""),0)),"")</f>
        <v/>
      </c>
      <c r="AL251" s="40" t="str">
        <f t="array" ref="AL251">IFERROR(INDEX($AI$11:$AI$259,MATCH(0,IF(TRUE=$AG$11:$AG$259,COUNTIF($AL$10:$AL250,$AI$11:$AI$259),""),0)),"")</f>
        <v/>
      </c>
      <c r="AM251" s="40" t="str">
        <f t="array" ref="AM251">IFERROR(INDEX($AI$11:$AI$259,MATCH(0,IF(TRUE=$AH$11:$AH$259,COUNTIF($AM$10:$AM250,$AI$11:$AI$259),""),0)),"")</f>
        <v/>
      </c>
      <c r="AN251" s="40"/>
      <c r="AQ251" s="35">
        <f t="shared" si="29"/>
        <v>0</v>
      </c>
      <c r="AT251" s="885" t="str">
        <f>IF(AND(OR(Y251="Yes",Y251="Pending"),P251='G-1 All Habitats'!$X$3),Q251-U251-V251,"")</f>
        <v/>
      </c>
      <c r="AV251" s="542" t="str">
        <f>IFERROR(INDEX('G-1 All Habitats'!$B$3:$B$135,MATCH(F251,'G-1 All Habitats'!$A$3:$A$135,0)),"")</f>
        <v/>
      </c>
      <c r="AW251" s="35" t="str">
        <f>IF(AV251="","",VLOOKUP(AV251,'G-1 All Habitats'!$B$1:$T$135,19,FALSE))</f>
        <v/>
      </c>
    </row>
    <row r="252" spans="1:49" ht="14.5" hidden="1" thickBot="1">
      <c r="A252" s="35" t="str">
        <f>IFERROR(INDEX('G-1 All Habitats'!$AG$3:$AG$17,MATCH(E252,'G-1 All Habitats'!$AF$3:$AF$17,0)),"")</f>
        <v/>
      </c>
      <c r="B252" s="35" t="str">
        <f>IFERROR(INDEX('G-8 Condition Look up'!$I$4:$I$135,MATCH(AV252,'G-8 Condition Look up'!$A$4:$A$135,0)),"")</f>
        <v/>
      </c>
      <c r="D252" s="225">
        <v>242</v>
      </c>
      <c r="E252" s="211"/>
      <c r="F252" s="57"/>
      <c r="G252" s="263"/>
      <c r="H252" s="51"/>
      <c r="I252" s="275" t="str">
        <f>IF(AV252="","",IF(AND(AW252="Yes",G252="No"),"Irreplaceable habitat ▲",IF(AND(AW252="No",G252="Yes"),"Cannot be Irreplaceable ▲",VLOOKUP(AV252,'G-1 All Habitats'!$B$2:$M$135,10,FALSE))))</f>
        <v/>
      </c>
      <c r="J252" s="276" t="str">
        <f>IFERROR(VLOOKUP(I252,'G-1 All Habitats'!$V$3:$W$7,2,FALSE),"")</f>
        <v/>
      </c>
      <c r="K252" s="52"/>
      <c r="L252" s="276" t="str">
        <f>IFERROR(INDEX('G-8 Condition Look up'!$A$3:$H$135,MATCH(AV252,'G-8 Condition Look up'!$A$3:$A$135,0),MATCH(K252,'G-8 Condition Look up'!$A$3:$H$3,0)),"")</f>
        <v/>
      </c>
      <c r="M252" s="52"/>
      <c r="N252" s="295" t="str">
        <f>IF(M252="","",IF(VLOOKUP(M252,'G-3 Multipliers'!$L$3:$N$6,2,FALSE)=0,"Spatial Data Missing",VLOOKUP(M252,'G-3 Multipliers'!$L$3:$N$6,2,FALSE)))</f>
        <v/>
      </c>
      <c r="O252" s="281" t="str">
        <f>IF(M252="","",IF(VLOOKUP(M252,'G-3 Multipliers'!$L$3:$N$6,3,FALSE)=0,"Spatial Data Missing ▲",VLOOKUP(M252,'G-3 Multipliers'!$L$3:$N$6,3,FALSE)))</f>
        <v/>
      </c>
      <c r="P252" s="282" t="str">
        <f>(IF(G252="Yes","Bespoke compensation likely to be required",(IFERROR(VLOOKUP(AV252,'G-1 All Habitats'!$B$2:$M$135,12,FALSE),""))))</f>
        <v/>
      </c>
      <c r="Q252" s="289" t="str">
        <f>IFERROR(IF(AND(F252&lt;&gt;"",G252=""),"Confirm irreplaceable habitat status ▲",(IF(AND(E252="Individual trees",T252&gt;0,G252="Yes"),"Error - you cannot enhance irreplaceable individual trees ▲",(IF(AND(U252="Irreplaceable habitat - no units generated ⚠",(S252+T252)&lt;H252,OR(Y252="No",Y252="")),"Any Loss Unacceptable ⚠",(IF(U252="Irreplaceable habitat - no units generated ⚠",T252*J252*L252*O252,IF(AND(P252='G-1 All Habitats'!$X$9,AC252&gt;0,S252&lt;=0,T252&lt;=0,OR(Y252="No",Y252="")),"Any Loss Unacceptable ⚠",IF(AND(P252='G-1 All Habitats'!$X$9,AC252&gt;0,S252&lt;=0,T252&lt;=0,Y252="Yes"),0,(IF(AND(P252='G-1 All Habitats'!$X$9,(S252+T252)&lt;H252,OR(Y252="No",Y252="")),"Any Loss Unacceptable ⚠",(IF(P252="","",IF(AND(P252='G-1 All Habitats'!$X$9,T252&gt;0),U252+V252,IF(AND(P252='G-1 All Habitats'!$X$9,S252&gt;0),U252+V252,H252*J252*L252*O252))))))))))))))),"Check Data ▲")</f>
        <v/>
      </c>
      <c r="R252" s="38"/>
      <c r="S252" s="52"/>
      <c r="T252" s="53"/>
      <c r="U252" s="287" t="str">
        <f t="shared" si="25"/>
        <v/>
      </c>
      <c r="V252" s="287" t="str">
        <f t="shared" si="26"/>
        <v/>
      </c>
      <c r="W252" s="287" t="str">
        <f t="shared" si="27"/>
        <v/>
      </c>
      <c r="X252" s="291" t="str">
        <f>IFERROR(IF(H252="","",IF(H252-S252-T252=0&lt;0,"Error in Areas ▲",IF(S252+T252&gt;H252,"Error in Areas ▲",IF(AND(P252='G-1 All Habitats'!$X$9,Y252="Yes"),"Alternative Compensation ✓",IF(AND(P252='G-1 All Habitats'!$X$3,Y252="Yes"),"Alternative Compensation ✓",IF(AND(Y252="Pending",P252='G-1 All Habitats'!$X$3),"Bespoke compensation must be agreed ▲",IF(AND(Y252="Pending",P252='G-1 All Habitats'!$X$9),"Bespoke compensation must be agreed  ▲",IF(W252=0,0,IF(P252='G-1 All Habitats'!$X$9,"Any Loss Unacceptable ▲",Q252-U252-V252))))))))),"Check Data ▲")</f>
        <v/>
      </c>
      <c r="Y252" s="53"/>
      <c r="Z252" s="105"/>
      <c r="AA252" s="233"/>
      <c r="AB252" s="104"/>
      <c r="AC252" s="512" t="str">
        <f>IF(OR(P252="",Y252="Yes"),"",IF(P252='G-1 All Habitats'!$X$9,H252-S252-T252,"None"))</f>
        <v/>
      </c>
      <c r="AD252" s="513" t="str">
        <f>IF(P252="","",IF(P252='G-1 All Habitats'!$X$9,AC252*J252*L252*O252,"None"))</f>
        <v/>
      </c>
      <c r="AE252" s="35" t="str">
        <f t="shared" si="23"/>
        <v/>
      </c>
      <c r="AF252" s="40" t="str">
        <f t="shared" si="28"/>
        <v/>
      </c>
      <c r="AG252" s="40" t="str">
        <f t="shared" si="24"/>
        <v/>
      </c>
      <c r="AH252" s="40" t="str">
        <f>IF(I252="","",IF(#REF!&gt;0,TRUE,FALSE))</f>
        <v/>
      </c>
      <c r="AI252" s="40">
        <v>242</v>
      </c>
      <c r="AJ252" s="40"/>
      <c r="AK252" s="40" t="str">
        <f t="array" ref="AK252">IFERROR(INDEX($AI$11:$AI$259,MATCH(0,IF(TRUE=$AF$11:$AF$259,COUNTIF($AK$10:$AK251,$AI$11:$AI$259),""),0)),"")</f>
        <v/>
      </c>
      <c r="AL252" s="40" t="str">
        <f t="array" ref="AL252">IFERROR(INDEX($AI$11:$AI$259,MATCH(0,IF(TRUE=$AG$11:$AG$259,COUNTIF($AL$10:$AL251,$AI$11:$AI$259),""),0)),"")</f>
        <v/>
      </c>
      <c r="AM252" s="40" t="str">
        <f t="array" ref="AM252">IFERROR(INDEX($AI$11:$AI$259,MATCH(0,IF(TRUE=$AH$11:$AH$259,COUNTIF($AM$10:$AM251,$AI$11:$AI$259),""),0)),"")</f>
        <v/>
      </c>
      <c r="AN252" s="40"/>
      <c r="AQ252" s="35">
        <f t="shared" si="29"/>
        <v>0</v>
      </c>
      <c r="AT252" s="885" t="str">
        <f>IF(AND(OR(Y252="Yes",Y252="Pending"),P252='G-1 All Habitats'!$X$3),Q252-U252-V252,"")</f>
        <v/>
      </c>
      <c r="AV252" s="542" t="str">
        <f>IFERROR(INDEX('G-1 All Habitats'!$B$3:$B$135,MATCH(F252,'G-1 All Habitats'!$A$3:$A$135,0)),"")</f>
        <v/>
      </c>
      <c r="AW252" s="35" t="str">
        <f>IF(AV252="","",VLOOKUP(AV252,'G-1 All Habitats'!$B$1:$T$135,19,FALSE))</f>
        <v/>
      </c>
    </row>
    <row r="253" spans="1:49" ht="14.5" hidden="1" thickBot="1">
      <c r="A253" s="35" t="str">
        <f>IFERROR(INDEX('G-1 All Habitats'!$AG$3:$AG$17,MATCH(E253,'G-1 All Habitats'!$AF$3:$AF$17,0)),"")</f>
        <v/>
      </c>
      <c r="B253" s="35" t="str">
        <f>IFERROR(INDEX('G-8 Condition Look up'!$I$4:$I$135,MATCH(AV253,'G-8 Condition Look up'!$A$4:$A$135,0)),"")</f>
        <v/>
      </c>
      <c r="D253" s="225">
        <v>243</v>
      </c>
      <c r="E253" s="211"/>
      <c r="F253" s="57"/>
      <c r="G253" s="263"/>
      <c r="H253" s="51"/>
      <c r="I253" s="275" t="str">
        <f>IF(AV253="","",IF(AND(AW253="Yes",G253="No"),"Irreplaceable habitat ▲",IF(AND(AW253="No",G253="Yes"),"Cannot be Irreplaceable ▲",VLOOKUP(AV253,'G-1 All Habitats'!$B$2:$M$135,10,FALSE))))</f>
        <v/>
      </c>
      <c r="J253" s="276" t="str">
        <f>IFERROR(VLOOKUP(I253,'G-1 All Habitats'!$V$3:$W$7,2,FALSE),"")</f>
        <v/>
      </c>
      <c r="K253" s="52"/>
      <c r="L253" s="276" t="str">
        <f>IFERROR(INDEX('G-8 Condition Look up'!$A$3:$H$135,MATCH(AV253,'G-8 Condition Look up'!$A$3:$A$135,0),MATCH(K253,'G-8 Condition Look up'!$A$3:$H$3,0)),"")</f>
        <v/>
      </c>
      <c r="M253" s="52"/>
      <c r="N253" s="295" t="str">
        <f>IF(M253="","",IF(VLOOKUP(M253,'G-3 Multipliers'!$L$3:$N$6,2,FALSE)=0,"Spatial Data Missing",VLOOKUP(M253,'G-3 Multipliers'!$L$3:$N$6,2,FALSE)))</f>
        <v/>
      </c>
      <c r="O253" s="281" t="str">
        <f>IF(M253="","",IF(VLOOKUP(M253,'G-3 Multipliers'!$L$3:$N$6,3,FALSE)=0,"Spatial Data Missing ▲",VLOOKUP(M253,'G-3 Multipliers'!$L$3:$N$6,3,FALSE)))</f>
        <v/>
      </c>
      <c r="P253" s="282" t="str">
        <f>(IF(G253="Yes","Bespoke compensation likely to be required",(IFERROR(VLOOKUP(AV253,'G-1 All Habitats'!$B$2:$M$135,12,FALSE),""))))</f>
        <v/>
      </c>
      <c r="Q253" s="289" t="str">
        <f>IFERROR(IF(AND(F253&lt;&gt;"",G253=""),"Confirm irreplaceable habitat status ▲",(IF(AND(E253="Individual trees",T253&gt;0,G253="Yes"),"Error - you cannot enhance irreplaceable individual trees ▲",(IF(AND(U253="Irreplaceable habitat - no units generated ⚠",(S253+T253)&lt;H253,OR(Y253="No",Y253="")),"Any Loss Unacceptable ⚠",(IF(U253="Irreplaceable habitat - no units generated ⚠",T253*J253*L253*O253,IF(AND(P253='G-1 All Habitats'!$X$9,AC253&gt;0,S253&lt;=0,T253&lt;=0,OR(Y253="No",Y253="")),"Any Loss Unacceptable ⚠",IF(AND(P253='G-1 All Habitats'!$X$9,AC253&gt;0,S253&lt;=0,T253&lt;=0,Y253="Yes"),0,(IF(AND(P253='G-1 All Habitats'!$X$9,(S253+T253)&lt;H253,OR(Y253="No",Y253="")),"Any Loss Unacceptable ⚠",(IF(P253="","",IF(AND(P253='G-1 All Habitats'!$X$9,T253&gt;0),U253+V253,IF(AND(P253='G-1 All Habitats'!$X$9,S253&gt;0),U253+V253,H253*J253*L253*O253))))))))))))))),"Check Data ▲")</f>
        <v/>
      </c>
      <c r="R253" s="38"/>
      <c r="S253" s="52"/>
      <c r="T253" s="53"/>
      <c r="U253" s="287" t="str">
        <f t="shared" si="25"/>
        <v/>
      </c>
      <c r="V253" s="287" t="str">
        <f t="shared" si="26"/>
        <v/>
      </c>
      <c r="W253" s="287" t="str">
        <f t="shared" si="27"/>
        <v/>
      </c>
      <c r="X253" s="291" t="str">
        <f>IFERROR(IF(H253="","",IF(H253-S253-T253=0&lt;0,"Error in Areas ▲",IF(S253+T253&gt;H253,"Error in Areas ▲",IF(AND(P253='G-1 All Habitats'!$X$9,Y253="Yes"),"Alternative Compensation ✓",IF(AND(P253='G-1 All Habitats'!$X$3,Y253="Yes"),"Alternative Compensation ✓",IF(AND(Y253="Pending",P253='G-1 All Habitats'!$X$3),"Bespoke compensation must be agreed ▲",IF(AND(Y253="Pending",P253='G-1 All Habitats'!$X$9),"Bespoke compensation must be agreed  ▲",IF(W253=0,0,IF(P253='G-1 All Habitats'!$X$9,"Any Loss Unacceptable ▲",Q253-U253-V253))))))))),"Check Data ▲")</f>
        <v/>
      </c>
      <c r="Y253" s="53"/>
      <c r="Z253" s="105"/>
      <c r="AA253" s="233"/>
      <c r="AB253" s="104"/>
      <c r="AC253" s="512" t="str">
        <f>IF(OR(P253="",Y253="Yes"),"",IF(P253='G-1 All Habitats'!$X$9,H253-S253-T253,"None"))</f>
        <v/>
      </c>
      <c r="AD253" s="513" t="str">
        <f>IF(P253="","",IF(P253='G-1 All Habitats'!$X$9,AC253*J253*L253*O253,"None"))</f>
        <v/>
      </c>
      <c r="AE253" s="35" t="str">
        <f t="shared" si="23"/>
        <v/>
      </c>
      <c r="AF253" s="40" t="str">
        <f t="shared" si="28"/>
        <v/>
      </c>
      <c r="AG253" s="40" t="str">
        <f t="shared" si="24"/>
        <v/>
      </c>
      <c r="AH253" s="40" t="str">
        <f>IF(I253="","",IF(#REF!&gt;0,TRUE,FALSE))</f>
        <v/>
      </c>
      <c r="AI253" s="40">
        <v>243</v>
      </c>
      <c r="AJ253" s="40"/>
      <c r="AK253" s="40" t="str">
        <f t="array" ref="AK253">IFERROR(INDEX($AI$11:$AI$259,MATCH(0,IF(TRUE=$AF$11:$AF$259,COUNTIF($AK$10:$AK252,$AI$11:$AI$259),""),0)),"")</f>
        <v/>
      </c>
      <c r="AL253" s="40" t="str">
        <f t="array" ref="AL253">IFERROR(INDEX($AI$11:$AI$259,MATCH(0,IF(TRUE=$AG$11:$AG$259,COUNTIF($AL$10:$AL252,$AI$11:$AI$259),""),0)),"")</f>
        <v/>
      </c>
      <c r="AM253" s="40" t="str">
        <f t="array" ref="AM253">IFERROR(INDEX($AI$11:$AI$259,MATCH(0,IF(TRUE=$AH$11:$AH$259,COUNTIF($AM$10:$AM252,$AI$11:$AI$259),""),0)),"")</f>
        <v/>
      </c>
      <c r="AN253" s="40"/>
      <c r="AQ253" s="35">
        <f t="shared" si="29"/>
        <v>0</v>
      </c>
      <c r="AT253" s="885" t="str">
        <f>IF(AND(OR(Y253="Yes",Y253="Pending"),P253='G-1 All Habitats'!$X$3),Q253-U253-V253,"")</f>
        <v/>
      </c>
      <c r="AV253" s="542" t="str">
        <f>IFERROR(INDEX('G-1 All Habitats'!$B$3:$B$135,MATCH(F253,'G-1 All Habitats'!$A$3:$A$135,0)),"")</f>
        <v/>
      </c>
      <c r="AW253" s="35" t="str">
        <f>IF(AV253="","",VLOOKUP(AV253,'G-1 All Habitats'!$B$1:$T$135,19,FALSE))</f>
        <v/>
      </c>
    </row>
    <row r="254" spans="1:49" ht="14.5" hidden="1" thickBot="1">
      <c r="A254" s="35" t="str">
        <f>IFERROR(INDEX('G-1 All Habitats'!$AG$3:$AG$17,MATCH(E254,'G-1 All Habitats'!$AF$3:$AF$17,0)),"")</f>
        <v/>
      </c>
      <c r="B254" s="35" t="str">
        <f>IFERROR(INDEX('G-8 Condition Look up'!$I$4:$I$135,MATCH(AV254,'G-8 Condition Look up'!$A$4:$A$135,0)),"")</f>
        <v/>
      </c>
      <c r="D254" s="225">
        <v>244</v>
      </c>
      <c r="E254" s="211"/>
      <c r="F254" s="57"/>
      <c r="G254" s="263"/>
      <c r="H254" s="51"/>
      <c r="I254" s="275" t="str">
        <f>IF(AV254="","",IF(AND(AW254="Yes",G254="No"),"Irreplaceable habitat ▲",IF(AND(AW254="No",G254="Yes"),"Cannot be Irreplaceable ▲",VLOOKUP(AV254,'G-1 All Habitats'!$B$2:$M$135,10,FALSE))))</f>
        <v/>
      </c>
      <c r="J254" s="276" t="str">
        <f>IFERROR(VLOOKUP(I254,'G-1 All Habitats'!$V$3:$W$7,2,FALSE),"")</f>
        <v/>
      </c>
      <c r="K254" s="52"/>
      <c r="L254" s="276" t="str">
        <f>IFERROR(INDEX('G-8 Condition Look up'!$A$3:$H$135,MATCH(AV254,'G-8 Condition Look up'!$A$3:$A$135,0),MATCH(K254,'G-8 Condition Look up'!$A$3:$H$3,0)),"")</f>
        <v/>
      </c>
      <c r="M254" s="52"/>
      <c r="N254" s="295" t="str">
        <f>IF(M254="","",IF(VLOOKUP(M254,'G-3 Multipliers'!$L$3:$N$6,2,FALSE)=0,"Spatial Data Missing",VLOOKUP(M254,'G-3 Multipliers'!$L$3:$N$6,2,FALSE)))</f>
        <v/>
      </c>
      <c r="O254" s="281" t="str">
        <f>IF(M254="","",IF(VLOOKUP(M254,'G-3 Multipliers'!$L$3:$N$6,3,FALSE)=0,"Spatial Data Missing ▲",VLOOKUP(M254,'G-3 Multipliers'!$L$3:$N$6,3,FALSE)))</f>
        <v/>
      </c>
      <c r="P254" s="282" t="str">
        <f>(IF(G254="Yes","Bespoke compensation likely to be required",(IFERROR(VLOOKUP(AV254,'G-1 All Habitats'!$B$2:$M$135,12,FALSE),""))))</f>
        <v/>
      </c>
      <c r="Q254" s="289" t="str">
        <f>IFERROR(IF(AND(F254&lt;&gt;"",G254=""),"Confirm irreplaceable habitat status ▲",(IF(AND(E254="Individual trees",T254&gt;0,G254="Yes"),"Error - you cannot enhance irreplaceable individual trees ▲",(IF(AND(U254="Irreplaceable habitat - no units generated ⚠",(S254+T254)&lt;H254,OR(Y254="No",Y254="")),"Any Loss Unacceptable ⚠",(IF(U254="Irreplaceable habitat - no units generated ⚠",T254*J254*L254*O254,IF(AND(P254='G-1 All Habitats'!$X$9,AC254&gt;0,S254&lt;=0,T254&lt;=0,OR(Y254="No",Y254="")),"Any Loss Unacceptable ⚠",IF(AND(P254='G-1 All Habitats'!$X$9,AC254&gt;0,S254&lt;=0,T254&lt;=0,Y254="Yes"),0,(IF(AND(P254='G-1 All Habitats'!$X$9,(S254+T254)&lt;H254,OR(Y254="No",Y254="")),"Any Loss Unacceptable ⚠",(IF(P254="","",IF(AND(P254='G-1 All Habitats'!$X$9,T254&gt;0),U254+V254,IF(AND(P254='G-1 All Habitats'!$X$9,S254&gt;0),U254+V254,H254*J254*L254*O254))))))))))))))),"Check Data ▲")</f>
        <v/>
      </c>
      <c r="R254" s="38"/>
      <c r="S254" s="52"/>
      <c r="T254" s="53"/>
      <c r="U254" s="287" t="str">
        <f t="shared" si="25"/>
        <v/>
      </c>
      <c r="V254" s="287" t="str">
        <f t="shared" si="26"/>
        <v/>
      </c>
      <c r="W254" s="287" t="str">
        <f t="shared" si="27"/>
        <v/>
      </c>
      <c r="X254" s="291" t="str">
        <f>IFERROR(IF(H254="","",IF(H254-S254-T254=0&lt;0,"Error in Areas ▲",IF(S254+T254&gt;H254,"Error in Areas ▲",IF(AND(P254='G-1 All Habitats'!$X$9,Y254="Yes"),"Alternative Compensation ✓",IF(AND(P254='G-1 All Habitats'!$X$3,Y254="Yes"),"Alternative Compensation ✓",IF(AND(Y254="Pending",P254='G-1 All Habitats'!$X$3),"Bespoke compensation must be agreed ▲",IF(AND(Y254="Pending",P254='G-1 All Habitats'!$X$9),"Bespoke compensation must be agreed  ▲",IF(W254=0,0,IF(P254='G-1 All Habitats'!$X$9,"Any Loss Unacceptable ▲",Q254-U254-V254))))))))),"Check Data ▲")</f>
        <v/>
      </c>
      <c r="Y254" s="53"/>
      <c r="Z254" s="105"/>
      <c r="AA254" s="233"/>
      <c r="AB254" s="104"/>
      <c r="AC254" s="512" t="str">
        <f>IF(OR(P254="",Y254="Yes"),"",IF(P254='G-1 All Habitats'!$X$9,H254-S254-T254,"None"))</f>
        <v/>
      </c>
      <c r="AD254" s="513" t="str">
        <f>IF(P254="","",IF(P254='G-1 All Habitats'!$X$9,AC254*J254*L254*O254,"None"))</f>
        <v/>
      </c>
      <c r="AE254" s="35" t="str">
        <f t="shared" si="23"/>
        <v/>
      </c>
      <c r="AF254" s="40" t="str">
        <f t="shared" si="28"/>
        <v/>
      </c>
      <c r="AG254" s="40" t="str">
        <f t="shared" si="24"/>
        <v/>
      </c>
      <c r="AH254" s="40" t="str">
        <f>IF(I254="","",IF(#REF!&gt;0,TRUE,FALSE))</f>
        <v/>
      </c>
      <c r="AI254" s="40">
        <v>244</v>
      </c>
      <c r="AJ254" s="40"/>
      <c r="AK254" s="40" t="str">
        <f t="array" ref="AK254">IFERROR(INDEX($AI$11:$AI$259,MATCH(0,IF(TRUE=$AF$11:$AF$259,COUNTIF($AK$10:$AK253,$AI$11:$AI$259),""),0)),"")</f>
        <v/>
      </c>
      <c r="AL254" s="40" t="str">
        <f t="array" ref="AL254">IFERROR(INDEX($AI$11:$AI$259,MATCH(0,IF(TRUE=$AG$11:$AG$259,COUNTIF($AL$10:$AL253,$AI$11:$AI$259),""),0)),"")</f>
        <v/>
      </c>
      <c r="AM254" s="40" t="str">
        <f t="array" ref="AM254">IFERROR(INDEX($AI$11:$AI$259,MATCH(0,IF(TRUE=$AH$11:$AH$259,COUNTIF($AM$10:$AM253,$AI$11:$AI$259),""),0)),"")</f>
        <v/>
      </c>
      <c r="AN254" s="40"/>
      <c r="AQ254" s="35">
        <f t="shared" si="29"/>
        <v>0</v>
      </c>
      <c r="AT254" s="885" t="str">
        <f>IF(AND(OR(Y254="Yes",Y254="Pending"),P254='G-1 All Habitats'!$X$3),Q254-U254-V254,"")</f>
        <v/>
      </c>
      <c r="AV254" s="542" t="str">
        <f>IFERROR(INDEX('G-1 All Habitats'!$B$3:$B$135,MATCH(F254,'G-1 All Habitats'!$A$3:$A$135,0)),"")</f>
        <v/>
      </c>
      <c r="AW254" s="35" t="str">
        <f>IF(AV254="","",VLOOKUP(AV254,'G-1 All Habitats'!$B$1:$T$135,19,FALSE))</f>
        <v/>
      </c>
    </row>
    <row r="255" spans="1:49" ht="14.5" hidden="1" thickBot="1">
      <c r="A255" s="35" t="str">
        <f>IFERROR(INDEX('G-1 All Habitats'!$AG$3:$AG$17,MATCH(E255,'G-1 All Habitats'!$AF$3:$AF$17,0)),"")</f>
        <v/>
      </c>
      <c r="B255" s="35" t="str">
        <f>IFERROR(INDEX('G-8 Condition Look up'!$I$4:$I$135,MATCH(AV255,'G-8 Condition Look up'!$A$4:$A$135,0)),"")</f>
        <v/>
      </c>
      <c r="D255" s="225">
        <v>245</v>
      </c>
      <c r="E255" s="211"/>
      <c r="F255" s="57"/>
      <c r="G255" s="263"/>
      <c r="H255" s="51"/>
      <c r="I255" s="275" t="str">
        <f>IF(AV255="","",IF(AND(AW255="Yes",G255="No"),"Irreplaceable habitat ▲",IF(AND(AW255="No",G255="Yes"),"Cannot be Irreplaceable ▲",VLOOKUP(AV255,'G-1 All Habitats'!$B$2:$M$135,10,FALSE))))</f>
        <v/>
      </c>
      <c r="J255" s="276" t="str">
        <f>IFERROR(VLOOKUP(I255,'G-1 All Habitats'!$V$3:$W$7,2,FALSE),"")</f>
        <v/>
      </c>
      <c r="K255" s="52"/>
      <c r="L255" s="276" t="str">
        <f>IFERROR(INDEX('G-8 Condition Look up'!$A$3:$H$135,MATCH(AV255,'G-8 Condition Look up'!$A$3:$A$135,0),MATCH(K255,'G-8 Condition Look up'!$A$3:$H$3,0)),"")</f>
        <v/>
      </c>
      <c r="M255" s="52"/>
      <c r="N255" s="295" t="str">
        <f>IF(M255="","",IF(VLOOKUP(M255,'G-3 Multipliers'!$L$3:$N$6,2,FALSE)=0,"Spatial Data Missing",VLOOKUP(M255,'G-3 Multipliers'!$L$3:$N$6,2,FALSE)))</f>
        <v/>
      </c>
      <c r="O255" s="281" t="str">
        <f>IF(M255="","",IF(VLOOKUP(M255,'G-3 Multipliers'!$L$3:$N$6,3,FALSE)=0,"Spatial Data Missing ▲",VLOOKUP(M255,'G-3 Multipliers'!$L$3:$N$6,3,FALSE)))</f>
        <v/>
      </c>
      <c r="P255" s="282" t="str">
        <f>(IF(G255="Yes","Bespoke compensation likely to be required",(IFERROR(VLOOKUP(AV255,'G-1 All Habitats'!$B$2:$M$135,12,FALSE),""))))</f>
        <v/>
      </c>
      <c r="Q255" s="289" t="str">
        <f>IFERROR(IF(AND(F255&lt;&gt;"",G255=""),"Confirm irreplaceable habitat status ▲",(IF(AND(E255="Individual trees",T255&gt;0,G255="Yes"),"Error - you cannot enhance irreplaceable individual trees ▲",(IF(AND(U255="Irreplaceable habitat - no units generated ⚠",(S255+T255)&lt;H255,OR(Y255="No",Y255="")),"Any Loss Unacceptable ⚠",(IF(U255="Irreplaceable habitat - no units generated ⚠",T255*J255*L255*O255,IF(AND(P255='G-1 All Habitats'!$X$9,AC255&gt;0,S255&lt;=0,T255&lt;=0,OR(Y255="No",Y255="")),"Any Loss Unacceptable ⚠",IF(AND(P255='G-1 All Habitats'!$X$9,AC255&gt;0,S255&lt;=0,T255&lt;=0,Y255="Yes"),0,(IF(AND(P255='G-1 All Habitats'!$X$9,(S255+T255)&lt;H255,OR(Y255="No",Y255="")),"Any Loss Unacceptable ⚠",(IF(P255="","",IF(AND(P255='G-1 All Habitats'!$X$9,T255&gt;0),U255+V255,IF(AND(P255='G-1 All Habitats'!$X$9,S255&gt;0),U255+V255,H255*J255*L255*O255))))))))))))))),"Check Data ▲")</f>
        <v/>
      </c>
      <c r="R255" s="38"/>
      <c r="S255" s="52"/>
      <c r="T255" s="53"/>
      <c r="U255" s="287" t="str">
        <f t="shared" si="25"/>
        <v/>
      </c>
      <c r="V255" s="287" t="str">
        <f t="shared" si="26"/>
        <v/>
      </c>
      <c r="W255" s="287" t="str">
        <f t="shared" si="27"/>
        <v/>
      </c>
      <c r="X255" s="291" t="str">
        <f>IFERROR(IF(H255="","",IF(H255-S255-T255=0&lt;0,"Error in Areas ▲",IF(S255+T255&gt;H255,"Error in Areas ▲",IF(AND(P255='G-1 All Habitats'!$X$9,Y255="Yes"),"Alternative Compensation ✓",IF(AND(P255='G-1 All Habitats'!$X$3,Y255="Yes"),"Alternative Compensation ✓",IF(AND(Y255="Pending",P255='G-1 All Habitats'!$X$3),"Bespoke compensation must be agreed ▲",IF(AND(Y255="Pending",P255='G-1 All Habitats'!$X$9),"Bespoke compensation must be agreed  ▲",IF(W255=0,0,IF(P255='G-1 All Habitats'!$X$9,"Any Loss Unacceptable ▲",Q255-U255-V255))))))))),"Check Data ▲")</f>
        <v/>
      </c>
      <c r="Y255" s="53"/>
      <c r="Z255" s="105"/>
      <c r="AA255" s="233"/>
      <c r="AB255" s="104"/>
      <c r="AC255" s="512" t="str">
        <f>IF(OR(P255="",Y255="Yes"),"",IF(P255='G-1 All Habitats'!$X$9,H255-S255-T255,"None"))</f>
        <v/>
      </c>
      <c r="AD255" s="513" t="str">
        <f>IF(P255="","",IF(P255='G-1 All Habitats'!$X$9,AC255*J255*L255*O255,"None"))</f>
        <v/>
      </c>
      <c r="AE255" s="35" t="str">
        <f t="shared" si="23"/>
        <v/>
      </c>
      <c r="AF255" s="40" t="str">
        <f t="shared" si="28"/>
        <v/>
      </c>
      <c r="AG255" s="40" t="str">
        <f t="shared" si="24"/>
        <v/>
      </c>
      <c r="AH255" s="40" t="str">
        <f>IF(I255="","",IF(#REF!&gt;0,TRUE,FALSE))</f>
        <v/>
      </c>
      <c r="AI255" s="40">
        <v>245</v>
      </c>
      <c r="AJ255" s="40"/>
      <c r="AK255" s="40" t="str">
        <f t="array" ref="AK255">IFERROR(INDEX($AI$11:$AI$259,MATCH(0,IF(TRUE=$AF$11:$AF$259,COUNTIF($AK$10:$AK254,$AI$11:$AI$259),""),0)),"")</f>
        <v/>
      </c>
      <c r="AL255" s="40" t="str">
        <f t="array" ref="AL255">IFERROR(INDEX($AI$11:$AI$259,MATCH(0,IF(TRUE=$AG$11:$AG$259,COUNTIF($AL$10:$AL254,$AI$11:$AI$259),""),0)),"")</f>
        <v/>
      </c>
      <c r="AM255" s="40" t="str">
        <f t="array" ref="AM255">IFERROR(INDEX($AI$11:$AI$259,MATCH(0,IF(TRUE=$AH$11:$AH$259,COUNTIF($AM$10:$AM254,$AI$11:$AI$259),""),0)),"")</f>
        <v/>
      </c>
      <c r="AN255" s="40"/>
      <c r="AQ255" s="35">
        <f t="shared" si="29"/>
        <v>0</v>
      </c>
      <c r="AT255" s="885" t="str">
        <f>IF(AND(OR(Y255="Yes",Y255="Pending"),P255='G-1 All Habitats'!$X$3),Q255-U255-V255,"")</f>
        <v/>
      </c>
      <c r="AV255" s="542" t="str">
        <f>IFERROR(INDEX('G-1 All Habitats'!$B$3:$B$135,MATCH(F255,'G-1 All Habitats'!$A$3:$A$135,0)),"")</f>
        <v/>
      </c>
      <c r="AW255" s="35" t="str">
        <f>IF(AV255="","",VLOOKUP(AV255,'G-1 All Habitats'!$B$1:$T$135,19,FALSE))</f>
        <v/>
      </c>
    </row>
    <row r="256" spans="1:49" ht="14.5" hidden="1" thickBot="1">
      <c r="A256" s="35" t="str">
        <f>IFERROR(INDEX('G-1 All Habitats'!$AG$3:$AG$17,MATCH(E256,'G-1 All Habitats'!$AF$3:$AF$17,0)),"")</f>
        <v/>
      </c>
      <c r="B256" s="35" t="str">
        <f>IFERROR(INDEX('G-8 Condition Look up'!$I$4:$I$135,MATCH(AV256,'G-8 Condition Look up'!$A$4:$A$135,0)),"")</f>
        <v/>
      </c>
      <c r="D256" s="225">
        <v>246</v>
      </c>
      <c r="E256" s="211"/>
      <c r="F256" s="57"/>
      <c r="G256" s="263"/>
      <c r="H256" s="51"/>
      <c r="I256" s="275" t="str">
        <f>IF(AV256="","",IF(AND(AW256="Yes",G256="No"),"Irreplaceable habitat ▲",IF(AND(AW256="No",G256="Yes"),"Cannot be Irreplaceable ▲",VLOOKUP(AV256,'G-1 All Habitats'!$B$2:$M$135,10,FALSE))))</f>
        <v/>
      </c>
      <c r="J256" s="276" t="str">
        <f>IFERROR(VLOOKUP(I256,'G-1 All Habitats'!$V$3:$W$7,2,FALSE),"")</f>
        <v/>
      </c>
      <c r="K256" s="52"/>
      <c r="L256" s="276" t="str">
        <f>IFERROR(INDEX('G-8 Condition Look up'!$A$3:$H$135,MATCH(AV256,'G-8 Condition Look up'!$A$3:$A$135,0),MATCH(K256,'G-8 Condition Look up'!$A$3:$H$3,0)),"")</f>
        <v/>
      </c>
      <c r="M256" s="52"/>
      <c r="N256" s="295" t="str">
        <f>IF(M256="","",IF(VLOOKUP(M256,'G-3 Multipliers'!$L$3:$N$6,2,FALSE)=0,"Spatial Data Missing",VLOOKUP(M256,'G-3 Multipliers'!$L$3:$N$6,2,FALSE)))</f>
        <v/>
      </c>
      <c r="O256" s="281" t="str">
        <f>IF(M256="","",IF(VLOOKUP(M256,'G-3 Multipliers'!$L$3:$N$6,3,FALSE)=0,"Spatial Data Missing ▲",VLOOKUP(M256,'G-3 Multipliers'!$L$3:$N$6,3,FALSE)))</f>
        <v/>
      </c>
      <c r="P256" s="282" t="str">
        <f>(IF(G256="Yes","Bespoke compensation likely to be required",(IFERROR(VLOOKUP(AV256,'G-1 All Habitats'!$B$2:$M$135,12,FALSE),""))))</f>
        <v/>
      </c>
      <c r="Q256" s="289" t="str">
        <f>IFERROR(IF(AND(F256&lt;&gt;"",G256=""),"Confirm irreplaceable habitat status ▲",(IF(AND(E256="Individual trees",T256&gt;0,G256="Yes"),"Error - you cannot enhance irreplaceable individual trees ▲",(IF(AND(U256="Irreplaceable habitat - no units generated ⚠",(S256+T256)&lt;H256,OR(Y256="No",Y256="")),"Any Loss Unacceptable ⚠",(IF(U256="Irreplaceable habitat - no units generated ⚠",T256*J256*L256*O256,IF(AND(P256='G-1 All Habitats'!$X$9,AC256&gt;0,S256&lt;=0,T256&lt;=0,OR(Y256="No",Y256="")),"Any Loss Unacceptable ⚠",IF(AND(P256='G-1 All Habitats'!$X$9,AC256&gt;0,S256&lt;=0,T256&lt;=0,Y256="Yes"),0,(IF(AND(P256='G-1 All Habitats'!$X$9,(S256+T256)&lt;H256,OR(Y256="No",Y256="")),"Any Loss Unacceptable ⚠",(IF(P256="","",IF(AND(P256='G-1 All Habitats'!$X$9,T256&gt;0),U256+V256,IF(AND(P256='G-1 All Habitats'!$X$9,S256&gt;0),U256+V256,H256*J256*L256*O256))))))))))))))),"Check Data ▲")</f>
        <v/>
      </c>
      <c r="R256" s="38"/>
      <c r="S256" s="52"/>
      <c r="T256" s="53"/>
      <c r="U256" s="287" t="str">
        <f t="shared" si="25"/>
        <v/>
      </c>
      <c r="V256" s="287" t="str">
        <f t="shared" si="26"/>
        <v/>
      </c>
      <c r="W256" s="287" t="str">
        <f t="shared" si="27"/>
        <v/>
      </c>
      <c r="X256" s="291" t="str">
        <f>IFERROR(IF(H256="","",IF(H256-S256-T256=0&lt;0,"Error in Areas ▲",IF(S256+T256&gt;H256,"Error in Areas ▲",IF(AND(P256='G-1 All Habitats'!$X$9,Y256="Yes"),"Alternative Compensation ✓",IF(AND(P256='G-1 All Habitats'!$X$3,Y256="Yes"),"Alternative Compensation ✓",IF(AND(Y256="Pending",P256='G-1 All Habitats'!$X$3),"Bespoke compensation must be agreed ▲",IF(AND(Y256="Pending",P256='G-1 All Habitats'!$X$9),"Bespoke compensation must be agreed  ▲",IF(W256=0,0,IF(P256='G-1 All Habitats'!$X$9,"Any Loss Unacceptable ▲",Q256-U256-V256))))))))),"Check Data ▲")</f>
        <v/>
      </c>
      <c r="Y256" s="53"/>
      <c r="Z256" s="105"/>
      <c r="AA256" s="233"/>
      <c r="AB256" s="104"/>
      <c r="AC256" s="512" t="str">
        <f>IF(OR(P256="",Y256="Yes"),"",IF(P256='G-1 All Habitats'!$X$9,H256-S256-T256,"None"))</f>
        <v/>
      </c>
      <c r="AD256" s="513" t="str">
        <f>IF(P256="","",IF(P256='G-1 All Habitats'!$X$9,AC256*J256*L256*O256,"None"))</f>
        <v/>
      </c>
      <c r="AE256" s="35" t="str">
        <f t="shared" si="23"/>
        <v/>
      </c>
      <c r="AF256" s="40" t="str">
        <f t="shared" si="28"/>
        <v/>
      </c>
      <c r="AG256" s="40" t="str">
        <f t="shared" si="24"/>
        <v/>
      </c>
      <c r="AH256" s="40" t="str">
        <f>IF(I256="","",IF(#REF!&gt;0,TRUE,FALSE))</f>
        <v/>
      </c>
      <c r="AI256" s="40">
        <v>246</v>
      </c>
      <c r="AJ256" s="40"/>
      <c r="AK256" s="40" t="str">
        <f t="array" ref="AK256">IFERROR(INDEX($AI$11:$AI$259,MATCH(0,IF(TRUE=$AF$11:$AF$259,COUNTIF($AK$10:$AK255,$AI$11:$AI$259),""),0)),"")</f>
        <v/>
      </c>
      <c r="AL256" s="40" t="str">
        <f t="array" ref="AL256">IFERROR(INDEX($AI$11:$AI$259,MATCH(0,IF(TRUE=$AG$11:$AG$259,COUNTIF($AL$10:$AL255,$AI$11:$AI$259),""),0)),"")</f>
        <v/>
      </c>
      <c r="AM256" s="40" t="str">
        <f t="array" ref="AM256">IFERROR(INDEX($AI$11:$AI$259,MATCH(0,IF(TRUE=$AH$11:$AH$259,COUNTIF($AM$10:$AM255,$AI$11:$AI$259),""),0)),"")</f>
        <v/>
      </c>
      <c r="AN256" s="40"/>
      <c r="AQ256" s="35">
        <f t="shared" si="29"/>
        <v>0</v>
      </c>
      <c r="AT256" s="885" t="str">
        <f>IF(AND(OR(Y256="Yes",Y256="Pending"),P256='G-1 All Habitats'!$X$3),Q256-U256-V256,"")</f>
        <v/>
      </c>
      <c r="AV256" s="542" t="str">
        <f>IFERROR(INDEX('G-1 All Habitats'!$B$3:$B$135,MATCH(F256,'G-1 All Habitats'!$A$3:$A$135,0)),"")</f>
        <v/>
      </c>
      <c r="AW256" s="35" t="str">
        <f>IF(AV256="","",VLOOKUP(AV256,'G-1 All Habitats'!$B$1:$T$135,19,FALSE))</f>
        <v/>
      </c>
    </row>
    <row r="257" spans="1:49" ht="14.5" hidden="1" thickBot="1">
      <c r="A257" s="35" t="str">
        <f>IFERROR(INDEX('G-1 All Habitats'!$AG$3:$AG$17,MATCH(E257,'G-1 All Habitats'!$AF$3:$AF$17,0)),"")</f>
        <v/>
      </c>
      <c r="B257" s="35" t="str">
        <f>IFERROR(INDEX('G-8 Condition Look up'!$I$4:$I$135,MATCH(AV257,'G-8 Condition Look up'!$A$4:$A$135,0)),"")</f>
        <v/>
      </c>
      <c r="D257" s="225">
        <v>247</v>
      </c>
      <c r="E257" s="211"/>
      <c r="F257" s="57"/>
      <c r="G257" s="263"/>
      <c r="H257" s="51"/>
      <c r="I257" s="275" t="str">
        <f>IF(AV257="","",IF(AND(AW257="Yes",G257="No"),"Irreplaceable habitat ▲",IF(AND(AW257="No",G257="Yes"),"Cannot be Irreplaceable ▲",VLOOKUP(AV257,'G-1 All Habitats'!$B$2:$M$135,10,FALSE))))</f>
        <v/>
      </c>
      <c r="J257" s="276" t="str">
        <f>IFERROR(VLOOKUP(I257,'G-1 All Habitats'!$V$3:$W$7,2,FALSE),"")</f>
        <v/>
      </c>
      <c r="K257" s="52"/>
      <c r="L257" s="276" t="str">
        <f>IFERROR(INDEX('G-8 Condition Look up'!$A$3:$H$135,MATCH(AV257,'G-8 Condition Look up'!$A$3:$A$135,0),MATCH(K257,'G-8 Condition Look up'!$A$3:$H$3,0)),"")</f>
        <v/>
      </c>
      <c r="M257" s="52"/>
      <c r="N257" s="295" t="str">
        <f>IF(M257="","",IF(VLOOKUP(M257,'G-3 Multipliers'!$L$3:$N$6,2,FALSE)=0,"Spatial Data Missing",VLOOKUP(M257,'G-3 Multipliers'!$L$3:$N$6,2,FALSE)))</f>
        <v/>
      </c>
      <c r="O257" s="281" t="str">
        <f>IF(M257="","",IF(VLOOKUP(M257,'G-3 Multipliers'!$L$3:$N$6,3,FALSE)=0,"Spatial Data Missing ▲",VLOOKUP(M257,'G-3 Multipliers'!$L$3:$N$6,3,FALSE)))</f>
        <v/>
      </c>
      <c r="P257" s="282" t="str">
        <f>(IF(G257="Yes","Bespoke compensation likely to be required",(IFERROR(VLOOKUP(AV257,'G-1 All Habitats'!$B$2:$M$135,12,FALSE),""))))</f>
        <v/>
      </c>
      <c r="Q257" s="289" t="str">
        <f>IFERROR(IF(AND(F257&lt;&gt;"",G257=""),"Confirm irreplaceable habitat status ▲",(IF(AND(E257="Individual trees",T257&gt;0,G257="Yes"),"Error - you cannot enhance irreplaceable individual trees ▲",(IF(AND(U257="Irreplaceable habitat - no units generated ⚠",(S257+T257)&lt;H257,OR(Y257="No",Y257="")),"Any Loss Unacceptable ⚠",(IF(U257="Irreplaceable habitat - no units generated ⚠",T257*J257*L257*O257,IF(AND(P257='G-1 All Habitats'!$X$9,AC257&gt;0,S257&lt;=0,T257&lt;=0,OR(Y257="No",Y257="")),"Any Loss Unacceptable ⚠",IF(AND(P257='G-1 All Habitats'!$X$9,AC257&gt;0,S257&lt;=0,T257&lt;=0,Y257="Yes"),0,(IF(AND(P257='G-1 All Habitats'!$X$9,(S257+T257)&lt;H257,OR(Y257="No",Y257="")),"Any Loss Unacceptable ⚠",(IF(P257="","",IF(AND(P257='G-1 All Habitats'!$X$9,T257&gt;0),U257+V257,IF(AND(P257='G-1 All Habitats'!$X$9,S257&gt;0),U257+V257,H257*J257*L257*O257))))))))))))))),"Check Data ▲")</f>
        <v/>
      </c>
      <c r="R257" s="38"/>
      <c r="S257" s="52"/>
      <c r="T257" s="53"/>
      <c r="U257" s="287" t="str">
        <f t="shared" si="25"/>
        <v/>
      </c>
      <c r="V257" s="287" t="str">
        <f t="shared" si="26"/>
        <v/>
      </c>
      <c r="W257" s="287" t="str">
        <f t="shared" si="27"/>
        <v/>
      </c>
      <c r="X257" s="291" t="str">
        <f>IFERROR(IF(H257="","",IF(H257-S257-T257=0&lt;0,"Error in Areas ▲",IF(S257+T257&gt;H257,"Error in Areas ▲",IF(AND(P257='G-1 All Habitats'!$X$9,Y257="Yes"),"Alternative Compensation ✓",IF(AND(P257='G-1 All Habitats'!$X$3,Y257="Yes"),"Alternative Compensation ✓",IF(AND(Y257="Pending",P257='G-1 All Habitats'!$X$3),"Bespoke compensation must be agreed ▲",IF(AND(Y257="Pending",P257='G-1 All Habitats'!$X$9),"Bespoke compensation must be agreed  ▲",IF(W257=0,0,IF(P257='G-1 All Habitats'!$X$9,"Any Loss Unacceptable ▲",Q257-U257-V257))))))))),"Check Data ▲")</f>
        <v/>
      </c>
      <c r="Y257" s="53"/>
      <c r="Z257" s="105"/>
      <c r="AA257" s="233"/>
      <c r="AB257" s="104"/>
      <c r="AC257" s="512" t="str">
        <f>IF(OR(P257="",Y257="Yes"),"",IF(P257='G-1 All Habitats'!$X$9,H257-S257-T257,"None"))</f>
        <v/>
      </c>
      <c r="AD257" s="513" t="str">
        <f>IF(P257="","",IF(P257='G-1 All Habitats'!$X$9,AC257*J257*L257*O257,"None"))</f>
        <v/>
      </c>
      <c r="AE257" s="35" t="str">
        <f t="shared" si="23"/>
        <v/>
      </c>
      <c r="AF257" s="40" t="str">
        <f t="shared" si="28"/>
        <v/>
      </c>
      <c r="AG257" s="40" t="str">
        <f t="shared" si="24"/>
        <v/>
      </c>
      <c r="AH257" s="40" t="str">
        <f>IF(I257="","",IF(#REF!&gt;0,TRUE,FALSE))</f>
        <v/>
      </c>
      <c r="AI257" s="40">
        <v>247</v>
      </c>
      <c r="AJ257" s="40"/>
      <c r="AK257" s="40" t="str">
        <f t="array" ref="AK257">IFERROR(INDEX($AI$11:$AI$259,MATCH(0,IF(TRUE=$AF$11:$AF$259,COUNTIF($AK$10:$AK256,$AI$11:$AI$259),""),0)),"")</f>
        <v/>
      </c>
      <c r="AL257" s="40" t="str">
        <f t="array" ref="AL257">IFERROR(INDEX($AI$11:$AI$259,MATCH(0,IF(TRUE=$AG$11:$AG$259,COUNTIF($AL$10:$AL256,$AI$11:$AI$259),""),0)),"")</f>
        <v/>
      </c>
      <c r="AM257" s="40" t="str">
        <f t="array" ref="AM257">IFERROR(INDEX($AI$11:$AI$259,MATCH(0,IF(TRUE=$AH$11:$AH$259,COUNTIF($AM$10:$AM256,$AI$11:$AI$259),""),0)),"")</f>
        <v/>
      </c>
      <c r="AN257" s="40"/>
      <c r="AQ257" s="35">
        <f t="shared" si="29"/>
        <v>0</v>
      </c>
      <c r="AT257" s="885" t="str">
        <f>IF(AND(OR(Y257="Yes",Y257="Pending"),P257='G-1 All Habitats'!$X$3),Q257-U257-V257,"")</f>
        <v/>
      </c>
      <c r="AV257" s="542" t="str">
        <f>IFERROR(INDEX('G-1 All Habitats'!$B$3:$B$135,MATCH(F257,'G-1 All Habitats'!$A$3:$A$135,0)),"")</f>
        <v/>
      </c>
      <c r="AW257" s="35" t="str">
        <f>IF(AV257="","",VLOOKUP(AV257,'G-1 All Habitats'!$B$1:$T$135,19,FALSE))</f>
        <v/>
      </c>
    </row>
    <row r="258" spans="1:49" ht="14.5" hidden="1" thickBot="1">
      <c r="A258" s="35" t="str">
        <f>IFERROR(INDEX('G-1 All Habitats'!$AG$3:$AG$17,MATCH(E258,'G-1 All Habitats'!$AF$3:$AF$17,0)),"")</f>
        <v/>
      </c>
      <c r="B258" s="35" t="str">
        <f>IFERROR(INDEX('G-8 Condition Look up'!$I$4:$I$135,MATCH(AV258,'G-8 Condition Look up'!$A$4:$A$135,0)),"")</f>
        <v/>
      </c>
      <c r="D258" s="45">
        <v>248</v>
      </c>
      <c r="E258" s="156"/>
      <c r="F258" s="156"/>
      <c r="G258" s="264"/>
      <c r="H258" s="206"/>
      <c r="I258" s="549" t="str">
        <f>IF(AV258="","",IF(AND(AW258="Yes",G258="No"),"Irreplaceable habitat ▲",IF(AND(AW258="No",G258="Yes"),"Cannot be Irreplaceable ▲",VLOOKUP(AV258,'G-1 All Habitats'!$B$2:$M$135,10,FALSE))))</f>
        <v/>
      </c>
      <c r="J258" s="550" t="str">
        <f>IFERROR(VLOOKUP(I258,'G-1 All Habitats'!$V$3:$W$7,2,FALSE),"")</f>
        <v/>
      </c>
      <c r="K258" s="204"/>
      <c r="L258" s="550" t="str">
        <f>IFERROR(INDEX('G-8 Condition Look up'!$A$3:$H$135,MATCH(AV258,'G-8 Condition Look up'!$A$3:$A$135,0),MATCH(K258,'G-8 Condition Look up'!$A$3:$H$3,0)),"")</f>
        <v/>
      </c>
      <c r="M258" s="204"/>
      <c r="N258" s="551" t="str">
        <f>IF(M258="","",IF(VLOOKUP(M258,'G-3 Multipliers'!$L$3:$N$6,2,FALSE)=0,"Spatial Data Missing",VLOOKUP(M258,'G-3 Multipliers'!$L$3:$N$6,2,FALSE)))</f>
        <v/>
      </c>
      <c r="O258" s="285" t="str">
        <f>IF(M258="","",IF(VLOOKUP(M258,'G-3 Multipliers'!$L$3:$N$6,3,FALSE)=0,"Spatial Data Missing ▲",VLOOKUP(M258,'G-3 Multipliers'!$L$3:$N$6,3,FALSE)))</f>
        <v/>
      </c>
      <c r="P258" s="552" t="str">
        <f>(IF(G258="Yes","Bespoke compensation likely to be required",(IFERROR(VLOOKUP(AV258,'G-1 All Habitats'!$B$2:$M$135,12,FALSE),""))))</f>
        <v/>
      </c>
      <c r="Q258" s="289" t="str">
        <f>IFERROR(IF(AND(F258&lt;&gt;"",G258=""),"Confirm irreplaceable habitat status ▲",(IF(AND(E258="Individual trees",T258&gt;0,G258="Yes"),"Error - you cannot enhance irreplaceable individual trees ▲",(IF(AND(U258="Irreplaceable habitat - no units generated ⚠",(S258+T258)&lt;H258,OR(Y258="No",Y258="")),"Any Loss Unacceptable ⚠",(IF(U258="Irreplaceable habitat - no units generated ⚠",T258*J258*L258*O258,IF(AND(P258='G-1 All Habitats'!$X$9,AC258&gt;0,S258&lt;=0,T258&lt;=0,OR(Y258="No",Y258="")),"Any Loss Unacceptable ⚠",IF(AND(P258='G-1 All Habitats'!$X$9,AC258&gt;0,S258&lt;=0,T258&lt;=0,Y258="Yes"),0,(IF(AND(P258='G-1 All Habitats'!$X$9,(S258+T258)&lt;H258,OR(Y258="No",Y258="")),"Any Loss Unacceptable ⚠",(IF(P258="","",IF(AND(P258='G-1 All Habitats'!$X$9,T258&gt;0),U258+V258,IF(AND(P258='G-1 All Habitats'!$X$9,S258&gt;0),U258+V258,H258*J258*L258*O258))))))))))))))),"Check Data ▲")</f>
        <v/>
      </c>
      <c r="R258" s="38"/>
      <c r="S258" s="204"/>
      <c r="T258" s="205"/>
      <c r="U258" s="288" t="str">
        <f t="shared" si="25"/>
        <v/>
      </c>
      <c r="V258" s="288" t="str">
        <f t="shared" si="26"/>
        <v/>
      </c>
      <c r="W258" s="557" t="str">
        <f t="shared" si="27"/>
        <v/>
      </c>
      <c r="X258" s="558" t="str">
        <f>IFERROR(IF(H258="","",IF(H258-S258-T258=0&lt;0,"Error in Areas ▲",IF(S258+T258&gt;H258,"Error in Areas ▲",IF(AND(P258='G-1 All Habitats'!$X$9,Y258="Yes"),"Alternative Compensation ✓",IF(AND(P258='G-1 All Habitats'!$X$3,Y258="Yes"),"Alternative Compensation ✓",IF(AND(Y258="Pending",P258='G-1 All Habitats'!$X$3),"Bespoke compensation must be agreed ▲",IF(AND(Y258="Pending",P258='G-1 All Habitats'!$X$9),"Bespoke compensation must be agreed  ▲",IF(W258=0,0,IF(P258='G-1 All Habitats'!$X$9,"Any Loss Unacceptable ▲",Q258-U258-V258))))))))),"Check Data ▲")</f>
        <v/>
      </c>
      <c r="Y258" s="559"/>
      <c r="Z258" s="111"/>
      <c r="AA258" s="234"/>
      <c r="AB258" s="110"/>
      <c r="AC258" s="512" t="str">
        <f>IF(OR(P258="",Y258="Yes"),"",IF(P258='G-1 All Habitats'!$X$9,H258-S258-T258,"None"))</f>
        <v/>
      </c>
      <c r="AD258" s="513" t="str">
        <f>IF(P258="","",IF(P258='G-1 All Habitats'!$X$9,AC258*J258*L258*O258,"None"))</f>
        <v/>
      </c>
      <c r="AE258" s="35" t="str">
        <f t="shared" si="23"/>
        <v/>
      </c>
      <c r="AF258" s="40" t="str">
        <f t="shared" si="28"/>
        <v/>
      </c>
      <c r="AG258" s="40" t="str">
        <f t="shared" si="24"/>
        <v/>
      </c>
      <c r="AH258" s="40" t="str">
        <f>IF(I258="","",IF(#REF!&gt;0,TRUE,FALSE))</f>
        <v/>
      </c>
      <c r="AI258" s="40">
        <v>248</v>
      </c>
      <c r="AJ258" s="40"/>
      <c r="AK258" s="40" t="str">
        <f t="array" ref="AK258">IFERROR(INDEX($AI$11:$AI$259,MATCH(0,IF(TRUE=$AF$11:$AF$259,COUNTIF($AK$10:$AK257,$AI$11:$AI$259),""),0)),"")</f>
        <v/>
      </c>
      <c r="AL258" s="40" t="str">
        <f t="array" ref="AL258">IFERROR(INDEX($AI$11:$AI$259,MATCH(0,IF(TRUE=$AG$11:$AG$259,COUNTIF($AL$10:$AL257,$AI$11:$AI$259),""),0)),"")</f>
        <v/>
      </c>
      <c r="AM258" s="40" t="str">
        <f t="array" ref="AM258">IFERROR(INDEX($AI$11:$AI$259,MATCH(0,IF(TRUE=$AH$11:$AH$259,COUNTIF($AM$10:$AM257,$AI$11:$AI$259),""),0)),"")</f>
        <v/>
      </c>
      <c r="AN258" s="40"/>
      <c r="AQ258" s="35">
        <f t="shared" si="29"/>
        <v>0</v>
      </c>
      <c r="AT258" s="885" t="str">
        <f>IF(AND(OR(Y258="Yes",Y258="Pending"),P258='G-1 All Habitats'!$X$3),Q258-U258-V258,"")</f>
        <v/>
      </c>
      <c r="AV258" s="542" t="str">
        <f>IFERROR(INDEX('G-1 All Habitats'!$B$3:$B$135,MATCH(F258,'G-1 All Habitats'!$A$3:$A$135,0)),"")</f>
        <v/>
      </c>
      <c r="AW258" s="35" t="str">
        <f>IF(AV258="","",VLOOKUP(AV258,'G-1 All Habitats'!$B$1:$T$135,19,FALSE))</f>
        <v/>
      </c>
    </row>
    <row r="259" spans="6:48" ht="14.5" thickBot="1">
      <c r="F259" s="1593" t="s">
        <v>363</v>
      </c>
      <c r="G259" s="1594"/>
      <c r="H259" s="539">
        <f>SUM(H11:H258)</f>
        <v>8.86</v>
      </c>
      <c r="N259" s="38"/>
      <c r="P259" s="540"/>
      <c r="Q259" s="315">
        <f>SUM(Q11:Q258)</f>
        <v>20.029840000000007</v>
      </c>
      <c r="R259" s="59"/>
      <c r="S259" s="553">
        <f t="shared" si="30" ref="S259:X259">SUM(S11:S258)</f>
        <v>0.6259</v>
      </c>
      <c r="T259" s="265">
        <f t="shared" si="30"/>
        <v>0</v>
      </c>
      <c r="U259" s="265">
        <f t="shared" si="30"/>
        <v>3.51572</v>
      </c>
      <c r="V259" s="265">
        <f t="shared" si="30"/>
        <v>0</v>
      </c>
      <c r="W259" s="265">
        <f t="shared" si="30"/>
        <v>8.2341</v>
      </c>
      <c r="X259" s="315">
        <f t="shared" si="30"/>
        <v>16.514120000000002</v>
      </c>
      <c r="AC259" s="704">
        <f>SUM(AC11:AC258)</f>
        <v>0</v>
      </c>
      <c r="AQ259" s="41">
        <f>SUM(AQ11:AQ258)</f>
        <v>0</v>
      </c>
      <c r="AS259" s="35" t="s">
        <v>364</v>
      </c>
      <c r="AT259" s="885">
        <f>SUM(AT11:AT258)</f>
        <v>0</v>
      </c>
      <c r="AV259" s="638"/>
    </row>
    <row r="260" spans="6:25" ht="14.5" thickBot="1">
      <c r="F260" s="1595" t="s">
        <v>365</v>
      </c>
      <c r="G260" s="1596"/>
      <c r="H260" s="333">
        <f>SUMIFS($H$11:$H$258,$AV$11:$AV$258,"&lt;&gt;"&amp;'G-1 All Habitats'!B80,$AV$11:$AV$258,"&lt;&gt;"&amp;'G-1 All Habitats'!B81,$AV$11:$AV$258,"&lt;&gt;"&amp;'G-1 All Habitats'!B67,$AV$11:$AV$258,"&lt;&gt;"&amp;'G-1 All Habitats'!B68,$AV$11:$AV$258,"&lt;&gt;"&amp;'G-1 All Habitats'!B134,$AV$11:$AV$258,"&lt;&gt;"&amp;'G-1 All Habitats'!B132,$AV$11:$AV$258,"&lt;&gt;"&amp;'G-1 All Habitats'!B133)</f>
        <v>8.811000000000003</v>
      </c>
      <c r="P260" s="38"/>
      <c r="Y260" s="60"/>
    </row>
    <row r="261" spans="4:23" ht="47.15" customHeight="1" thickBot="1">
      <c r="D261" s="38"/>
      <c r="E261" s="38"/>
      <c r="F261" s="60"/>
      <c r="H261" s="59"/>
      <c r="S261" s="1615" t="s">
        <v>366</v>
      </c>
      <c r="T261" s="1616"/>
      <c r="U261" s="1616"/>
      <c r="V261" s="1617"/>
      <c r="W261" s="279">
        <f>SUMIFS($W$11:$W$258,$AV$11:$AV$258,"&lt;&gt;"&amp;'G-1 All Habitats'!B67,$AV$11:$AV$258,"&lt;&gt;"&amp;'G-1 All Habitats'!B68,$AV$11:$AV$258,"&lt;&gt;"&amp;'G-1 All Habitats'!B80,$AV$11:$AV$258,"&lt;&gt;"&amp;'G-1 All Habitats'!B81,$AV$11:$AV$258,"&lt;&gt;"&amp;'G-1 All Habitats'!B134,$AV$11:$AV$258,"&lt;&gt;"&amp;'G-1 All Habitats'!B132,$AV$11:$AV$258,"&lt;&gt;"&amp;'G-1 All Habitats'!B133)</f>
        <v>8.23</v>
      </c>
    </row>
    <row r="262" spans="4:5" ht="14">
      <c r="D262" s="38"/>
      <c r="E262" s="38"/>
    </row>
    <row r="263" spans="4:15" ht="14.5" thickBot="1">
      <c r="D263" s="38"/>
      <c r="E263" s="38"/>
      <c r="F263" s="38"/>
      <c r="H263" s="38"/>
      <c r="I263" s="38"/>
      <c r="J263" s="38"/>
      <c r="K263" s="38"/>
      <c r="L263" s="38"/>
      <c r="M263" s="38"/>
      <c r="N263" s="38"/>
      <c r="O263" s="38"/>
    </row>
    <row r="264" spans="4:15" ht="14.5" thickBot="1">
      <c r="D264" s="38"/>
      <c r="E264" s="38"/>
      <c r="F264" s="1589" t="s">
        <v>367</v>
      </c>
      <c r="G264" s="1590"/>
      <c r="H264" s="515" t="s">
        <v>368</v>
      </c>
      <c r="I264" s="1015" t="s">
        <v>369</v>
      </c>
      <c r="J264" s="1610" t="s">
        <v>370</v>
      </c>
      <c r="K264" s="1611"/>
      <c r="L264" s="38"/>
      <c r="M264" s="38"/>
      <c r="N264" s="38"/>
      <c r="O264" s="38"/>
    </row>
    <row r="265" spans="4:15" ht="14.5" thickBot="1">
      <c r="D265" s="38"/>
      <c r="E265" s="38"/>
      <c r="F265" s="1591"/>
      <c r="G265" s="1592"/>
      <c r="H265" s="703"/>
      <c r="I265" s="286" t="str">
        <f>IF(H264="Hectares",H265,IF(H264="M²",H265/10000,""))</f>
        <v/>
      </c>
      <c r="J265" s="1612" t="str">
        <f>IF(H264="M²",H265,IF(H264="Hectares",H265*10000,""))</f>
        <v/>
      </c>
      <c r="K265" s="1613"/>
      <c r="L265" s="38"/>
      <c r="M265" s="38"/>
      <c r="N265" s="38"/>
      <c r="O265" s="38"/>
    </row>
  </sheetData>
  <sheetProtection algorithmName="SHA-512" hashValue="NhrVfRHxW+79BHCETeOmxPfMVfu8Oaj7v6EmZSXvdxmksHtNZbx2QdhEbj3LeqQgejkMP/17iOuCNi5mpeXeAw==" saltValue="adszuzAc2HGFk+wiaBfDMA==" spinCount="100000" sheet="1" objects="1" scenarios="1"/>
  <customSheetViews>
    <customSheetView guid="{8bda793c-c9c5-4fc6-a0a5-f1109f6d4f22}" topLeftCell="C1">
      <pane ySplit="10" topLeftCell="A11" activePane="bottomLeft" state="frozen"/>
      <selection pane="bottomLeft" activeCell="A1" sqref="A1"/>
      <pageMargins left="0.75" right="0.75" top="1" bottom="1" header="0.5" footer="0.5"/>
    </customSheetView>
  </customSheetViews>
  <mergeCells count="25">
    <mergeCell ref="E9:H9"/>
    <mergeCell ref="I9:J9"/>
    <mergeCell ref="K9:L9"/>
    <mergeCell ref="L3:M3"/>
    <mergeCell ref="L4:M4"/>
    <mergeCell ref="L5:M5"/>
    <mergeCell ref="I3:K3"/>
    <mergeCell ref="I4:K4"/>
    <mergeCell ref="I5:K5"/>
    <mergeCell ref="F264:G265"/>
    <mergeCell ref="F259:G259"/>
    <mergeCell ref="F260:G260"/>
    <mergeCell ref="I2:M2"/>
    <mergeCell ref="Z9:AB9"/>
    <mergeCell ref="M9:O9"/>
    <mergeCell ref="S9:X9"/>
    <mergeCell ref="P9:P10"/>
    <mergeCell ref="Y9:Y10"/>
    <mergeCell ref="I6:M8"/>
    <mergeCell ref="J264:K264"/>
    <mergeCell ref="J265:K265"/>
    <mergeCell ref="Q2:X5"/>
    <mergeCell ref="S261:V261"/>
    <mergeCell ref="D3:F4"/>
    <mergeCell ref="D2:F2"/>
  </mergeCells>
  <conditionalFormatting sqref="AC11:AC258">
    <cfRule type="cellIs" priority="194" dxfId="991" operator="equal">
      <formula>""</formula>
    </cfRule>
    <cfRule type="cellIs" priority="195" dxfId="991" operator="equal">
      <formula>"None"</formula>
    </cfRule>
    <cfRule type="cellIs" priority="199" dxfId="1279" operator="greaterThan">
      <formula>0</formula>
    </cfRule>
  </conditionalFormatting>
  <conditionalFormatting sqref="AD12">
    <cfRule type="cellIs" priority="190" dxfId="991" operator="equal">
      <formula>"None"</formula>
    </cfRule>
    <cfRule type="cellIs" priority="193" dxfId="991" operator="equal">
      <formula>""</formula>
    </cfRule>
    <cfRule type="cellIs" priority="196" dxfId="1279" operator="greaterThan">
      <formula>0</formula>
    </cfRule>
  </conditionalFormatting>
  <conditionalFormatting sqref="AC11:AC258">
    <cfRule type="cellIs" priority="179" dxfId="991" operator="equal">
      <formula>""</formula>
    </cfRule>
    <cfRule type="cellIs" priority="180" dxfId="991" operator="equal">
      <formula>"None"</formula>
    </cfRule>
    <cfRule type="cellIs" priority="183" dxfId="1279" operator="greaterThan">
      <formula>0</formula>
    </cfRule>
  </conditionalFormatting>
  <conditionalFormatting sqref="AD11:AD258">
    <cfRule type="cellIs" priority="175" dxfId="991" operator="equal">
      <formula>"None"</formula>
    </cfRule>
    <cfRule type="cellIs" priority="178" dxfId="991" operator="equal">
      <formula>""</formula>
    </cfRule>
    <cfRule type="cellIs" priority="181" dxfId="1279" operator="greaterThan">
      <formula>0</formula>
    </cfRule>
  </conditionalFormatting>
  <conditionalFormatting sqref="AC11:AC258">
    <cfRule type="cellIs" priority="164" dxfId="991" operator="equal">
      <formula>""</formula>
    </cfRule>
    <cfRule type="cellIs" priority="165" dxfId="991" operator="equal">
      <formula>"None"</formula>
    </cfRule>
    <cfRule type="cellIs" priority="168" dxfId="1279" operator="greaterThan">
      <formula>0</formula>
    </cfRule>
  </conditionalFormatting>
  <conditionalFormatting sqref="AD13:AD258">
    <cfRule type="cellIs" priority="160" dxfId="991" operator="equal">
      <formula>"None"</formula>
    </cfRule>
    <cfRule type="cellIs" priority="163" dxfId="991" operator="equal">
      <formula>""</formula>
    </cfRule>
    <cfRule type="cellIs" priority="166" dxfId="1279" operator="greaterThan">
      <formula>0</formula>
    </cfRule>
  </conditionalFormatting>
  <conditionalFormatting sqref="AC11:AC258">
    <cfRule type="cellIs" priority="157" dxfId="991" operator="equal">
      <formula>0</formula>
    </cfRule>
  </conditionalFormatting>
  <conditionalFormatting sqref="L11:L258">
    <cfRule type="cellIs" priority="149" dxfId="1283" operator="equal">
      <formula>"Not Possible"</formula>
    </cfRule>
  </conditionalFormatting>
  <conditionalFormatting sqref="W11:W258">
    <cfRule type="cellIs" priority="77" dxfId="1283" operator="equal">
      <formula>"Error in Areas ▲"</formula>
    </cfRule>
    <cfRule type="cellIs" priority="107" dxfId="970" operator="equal">
      <formula>"Unacceptable Loss ▲"</formula>
    </cfRule>
  </conditionalFormatting>
  <conditionalFormatting sqref="Q11:Q258">
    <cfRule type="cellIs" priority="85" dxfId="1267" operator="equal">
      <formula>"Any loss Unacceptable ⚠"</formula>
    </cfRule>
  </conditionalFormatting>
  <conditionalFormatting sqref="Q11:Q258">
    <cfRule type="expression" priority="87" dxfId="1283">
      <formula>"p18=""Avoid"""</formula>
    </cfRule>
  </conditionalFormatting>
  <conditionalFormatting sqref="Q11:Q258">
    <cfRule type="cellIs" priority="86" dxfId="1267" operator="equal">
      <formula>"Any loss Unacceptable ⚠"</formula>
    </cfRule>
  </conditionalFormatting>
  <conditionalFormatting sqref="Q11:Q258">
    <cfRule type="cellIs" priority="82" dxfId="1267" operator="equal">
      <formula>"Any loss Unacceptable ⚠"</formula>
    </cfRule>
  </conditionalFormatting>
  <conditionalFormatting sqref="Q11:Q258">
    <cfRule type="expression" priority="84" dxfId="1283">
      <formula>"p18=""Avoid"""</formula>
    </cfRule>
  </conditionalFormatting>
  <conditionalFormatting sqref="Q11:Q258">
    <cfRule type="cellIs" priority="83" dxfId="1267" operator="equal">
      <formula>"Any loss Unacceptable ⚠"</formula>
    </cfRule>
  </conditionalFormatting>
  <conditionalFormatting sqref="Q11:Q258">
    <cfRule type="cellIs" priority="79" dxfId="1273" operator="equal">
      <formula>"Any loss Unacceptable ▲"</formula>
    </cfRule>
  </conditionalFormatting>
  <conditionalFormatting sqref="Q11:Q258">
    <cfRule type="expression" priority="81" dxfId="1273">
      <formula>"p18=""Avoid"""</formula>
    </cfRule>
  </conditionalFormatting>
  <conditionalFormatting sqref="Q11:Q258">
    <cfRule type="cellIs" priority="80" dxfId="1273" operator="equal">
      <formula>"Any loss Unacceptable ▲"</formula>
    </cfRule>
  </conditionalFormatting>
  <conditionalFormatting sqref="Q11:Q258">
    <cfRule type="cellIs" priority="78" dxfId="960" operator="equal">
      <formula>"Check Data ▲"</formula>
    </cfRule>
  </conditionalFormatting>
  <conditionalFormatting sqref="Y11:Y258">
    <cfRule type="containsText" priority="2" dxfId="1281" operator="containsText" text="Pending">
      <formula>NOT(ISERROR(SEARCH("Pending",Y11)))</formula>
    </cfRule>
    <cfRule type="cellIs" priority="145" dxfId="1283" operator="equal">
      <formula>"No"</formula>
    </cfRule>
    <cfRule type="cellIs" priority="146" dxfId="1253" operator="equal">
      <formula>"Yes"</formula>
    </cfRule>
  </conditionalFormatting>
  <conditionalFormatting sqref="X11:X258">
    <cfRule type="containsText" priority="17" dxfId="1273" operator="containsText" text="▲">
      <formula>NOT(ISERROR(SEARCH("▲",X11)))</formula>
    </cfRule>
    <cfRule type="containsText" priority="21" dxfId="1253" operator="containsText" text="✓">
      <formula>NOT(ISERROR(SEARCH("✓",X11)))</formula>
    </cfRule>
    <cfRule type="containsText" priority="51" dxfId="970" operator="containsText" text="Check">
      <formula>NOT(ISERROR(SEARCH("Check",X11)))</formula>
    </cfRule>
    <cfRule type="cellIs" priority="62" dxfId="1283" operator="equal">
      <formula>"Error in Areas ▲"</formula>
    </cfRule>
  </conditionalFormatting>
  <conditionalFormatting sqref="X11:X258">
    <cfRule type="containsText" priority="63" dxfId="1283" operator="containsText" text="Unacceptable">
      <formula>NOT(ISERROR(SEARCH("Unacceptable",X11)))</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priority="47" dxfId="1279" operator="equal">
      <formula>"Error in Areas"</formula>
    </cfRule>
    <cfRule type="cellIs" priority="48" dxfId="1279" operator="equal">
      <formula>"Unacceptable Loss"</formula>
    </cfRule>
  </conditionalFormatting>
  <conditionalFormatting sqref="W11:W258">
    <cfRule type="cellIs" priority="40" dxfId="1283" operator="equal">
      <formula>"Error in Areas ▲"</formula>
    </cfRule>
    <cfRule type="cellIs" priority="41" dxfId="1267" operator="equal">
      <formula>"Unacceptable Loss ⚠"</formula>
    </cfRule>
  </conditionalFormatting>
  <conditionalFormatting sqref="L3">
    <cfRule type="containsText" priority="35" dxfId="1279" operator="containsText" text="Error">
      <formula>NOT(ISERROR(SEARCH("Error",L3)))</formula>
    </cfRule>
    <cfRule type="containsText" priority="36" dxfId="1281" operator="containsText" text="Check">
      <formula>NOT(ISERROR(SEARCH("Check",L3)))</formula>
    </cfRule>
  </conditionalFormatting>
  <conditionalFormatting sqref="L4">
    <cfRule type="containsText" priority="24" dxfId="1257" operator="containsText" text="Check">
      <formula>NOT(ISERROR(SEARCH("Check",L4)))</formula>
    </cfRule>
    <cfRule type="containsText" priority="25" dxfId="1283" operator="containsText" text="Error">
      <formula>NOT(ISERROR(SEARCH("Error",L4)))</formula>
    </cfRule>
  </conditionalFormatting>
  <conditionalFormatting sqref="L5">
    <cfRule type="containsText" priority="29" dxfId="1283" operator="containsText" text="No">
      <formula>NOT(ISERROR(SEARCH("No",L5)))</formula>
    </cfRule>
    <cfRule type="containsText" priority="30" dxfId="1253" operator="containsText" text="Yes">
      <formula>NOT(ISERROR(SEARCH("Yes",L5)))</formula>
    </cfRule>
  </conditionalFormatting>
  <conditionalFormatting sqref="L4">
    <cfRule type="cellIs" priority="23" dxfId="941" operator="equal">
      <formula>0</formula>
    </cfRule>
  </conditionalFormatting>
  <conditionalFormatting sqref="Q2">
    <cfRule type="containsText" priority="22" dxfId="1281" operator="containsText" text="Check">
      <formula>NOT(ISERROR(SEARCH("Check",Q2)))</formula>
    </cfRule>
  </conditionalFormatting>
  <conditionalFormatting sqref="U259:V259">
    <cfRule type="containsText" priority="20" dxfId="1283" operator="containsText" text="Error">
      <formula>NOT(ISERROR(SEARCH("Error",U259)))</formula>
    </cfRule>
  </conditionalFormatting>
  <conditionalFormatting sqref="I6:M8">
    <cfRule type="containsText" priority="19" dxfId="1281" operator="containsText" text="⚠">
      <formula>NOT(ISERROR(SEARCH("⚠",I6)))</formula>
    </cfRule>
  </conditionalFormatting>
  <conditionalFormatting sqref="L4:M4">
    <cfRule type="cellIs" priority="437" dxfId="1283" operator="lessThan">
      <formula>0</formula>
    </cfRule>
  </conditionalFormatting>
  <conditionalFormatting sqref="W259">
    <cfRule type="containsText" priority="16" dxfId="1273" operator="containsText" text="▲">
      <formula>NOT(ISERROR(SEARCH("▲",W259)))</formula>
    </cfRule>
  </conditionalFormatting>
  <conditionalFormatting sqref="Q259:T259">
    <cfRule type="containsText" priority="15" dxfId="1273" operator="containsText" text="Error">
      <formula>NOT(ISERROR(SEARCH("Error",Q259)))</formula>
    </cfRule>
  </conditionalFormatting>
  <conditionalFormatting sqref="W261">
    <cfRule type="containsText" priority="14" dxfId="1273" operator="containsText" text="▲">
      <formula>NOT(ISERROR(SEARCH("▲",W261)))</formula>
    </cfRule>
  </conditionalFormatting>
  <conditionalFormatting sqref="H259:H260">
    <cfRule type="containsText" priority="13" dxfId="1273" operator="containsText" text="▲">
      <formula>NOT(ISERROR(SEARCH("▲",H259)))</formula>
    </cfRule>
  </conditionalFormatting>
  <conditionalFormatting sqref="L3:M5">
    <cfRule type="containsText" priority="18" dxfId="932" operator="containsText" text="N/A">
      <formula>NOT(ISERROR(SEARCH("N/A",L3)))</formula>
    </cfRule>
  </conditionalFormatting>
  <conditionalFormatting sqref="G11:G258">
    <cfRule type="containsText" priority="11" dxfId="1281" operator="containsText" text="Yes">
      <formula>NOT(ISERROR(SEARCH("Yes",G11)))</formula>
    </cfRule>
  </conditionalFormatting>
  <conditionalFormatting sqref="Q1:Q1048576">
    <cfRule type="containsText" priority="9" dxfId="1273" operator="containsText" text="▲">
      <formula>NOT(ISERROR(SEARCH("▲",Q1)))</formula>
    </cfRule>
  </conditionalFormatting>
  <conditionalFormatting sqref="U1:U1048576">
    <cfRule type="containsText" priority="8" dxfId="1281" operator="containsText" text="⚠">
      <formula>NOT(ISERROR(SEARCH("⚠",U1)))</formula>
    </cfRule>
  </conditionalFormatting>
  <conditionalFormatting sqref="V11">
    <cfRule type="containsText" priority="6" dxfId="1273" operator="containsText" text="Error">
      <formula>NOT(ISERROR(SEARCH("Error",V11)))</formula>
    </cfRule>
  </conditionalFormatting>
  <conditionalFormatting sqref="L1:L1048576">
    <cfRule type="containsText" priority="5" dxfId="1273" operator="containsText" text="▲">
      <formula>NOT(ISERROR(SEARCH("▲",L1)))</formula>
    </cfRule>
  </conditionalFormatting>
  <conditionalFormatting sqref="K1:K1048576">
    <cfRule type="containsText" priority="4" dxfId="1273" operator="containsText" text="▲">
      <formula>NOT(ISERROR(SEARCH("▲",K1)))</formula>
    </cfRule>
  </conditionalFormatting>
  <conditionalFormatting sqref="I11:I258">
    <cfRule type="containsText" priority="3" dxfId="1273" operator="containsText" text="Irreplaceable habitat">
      <formula>NOT(ISERROR(SEARCH("Irreplaceable habitat",I11)))</formula>
    </cfRule>
  </conditionalFormatting>
  <conditionalFormatting sqref="P1:P1048576">
    <cfRule type="containsText" priority="1" dxfId="1281" operator="containsText" text="⚠">
      <formula>NOT(ISERROR(SEARCH("⚠",P1)))</formula>
    </cfRule>
  </conditionalFormatting>
  <conditionalFormatting sqref="L4:M4">
    <cfRule type="expression" priority="7" dxfId="1289">
      <formula>'Headline Results'!$H$8:$I$8=0</formula>
    </cfRule>
  </conditionalFormatting>
  <conditionalFormatting sqref="P11:P258">
    <cfRule type="cellIs" priority="154" dxfId="1290" operator="equal">
      <formula>'G-1 All Habitats'!$X$6</formula>
    </cfRule>
    <cfRule type="cellIs" priority="257" dxfId="1291" operator="equal">
      <formula>'G-1 All Habitats'!$X$5</formula>
    </cfRule>
    <cfRule type="cellIs" priority="258" dxfId="1292" operator="equal">
      <formula>'G-1 All Habitats'!$X$4</formula>
    </cfRule>
    <cfRule type="cellIs" priority="259" dxfId="1293" operator="equal">
      <formula>'G-1 All Habitats'!$X$9</formula>
    </cfRule>
  </conditionalFormatting>
  <conditionalFormatting sqref="L4">
    <cfRule type="cellIs" priority="12" dxfId="1294" operator="lessThan">
      <formula>Start!$F$22</formula>
    </cfRule>
    <cfRule type="cellIs" priority="438" dxfId="1284" operator="greaterThanOrEqual">
      <formula>Start!$F$22</formula>
    </cfRule>
  </conditionalFormatting>
  <dataValidations count="8">
    <dataValidation type="list" allowBlank="1" showInputMessage="1" showErrorMessage="1" sqref="F11:F258">
      <formula1>INDIRECT(A11)</formula1>
    </dataValidation>
    <dataValidation allowBlank="1" showErrorMessage="1" errorTitle="Invalid Habitat" error="Select from List" sqref="AV11:AV259"/>
    <dataValidation type="list" allowBlank="1" showInputMessage="1" showErrorMessage="1" sqref="K11:K258">
      <formula1>INDIRECT(B11)</formula1>
    </dataValidation>
    <dataValidation type="list" allowBlank="1" showInputMessage="1" showErrorMessage="1" sqref="H264">
      <formula1>"Hectares, M²"</formula1>
    </dataValidation>
    <dataValidation type="list" allowBlank="1" showErrorMessage="1" errorTitle="Invalid Habitat" error="Select from List" sqref="G11:G258">
      <formula1>IF(AW11="Yes",$AX$11,IF(AW11="No",$AX$12,IF(AW11="No",$AX$12,$AX$11:$AX$12)))</formula1>
    </dataValidation>
    <dataValidation type="list" allowBlank="1" showErrorMessage="1" prompt=" _x000a_" sqref="M11:M258">
      <formula1>'G-3 Multipliers'!$L$4:$L$6</formula1>
    </dataValidation>
    <dataValidation type="list" allowBlank="1" showInputMessage="1" showErrorMessage="1" sqref="E11:E258">
      <formula1>'G-1 All Habitats'!$AF$3:$AF$17</formula1>
    </dataValidation>
    <dataValidation type="list" allowBlank="1" showInputMessage="1" showErrorMessage="1" sqref="Y11:Y258">
      <formula1>'G-1 All Habitats'!$AD$3:$AD$5</formula1>
    </dataValidation>
  </dataValidations>
  <pageMargins left="0.7" right="0.7" top="0.75" bottom="0.75" header="0.3" footer="0.3"/>
  <pageSetup horizontalDpi="90" verticalDpi="90" orientation="portrait" paperSize="9"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2:AU259"/>
  <sheetViews>
    <sheetView zoomScale="80" zoomScaleNormal="80" workbookViewId="0" topLeftCell="E1">
      <pane ySplit="11" topLeftCell="A12" activePane="bottomLeft" state="frozen"/>
      <selection pane="topLeft" activeCell="E1" sqref="E1"/>
      <selection pane="bottomLeft" activeCell="E1" sqref="E1"/>
    </sheetView>
  </sheetViews>
  <sheetFormatPr defaultColWidth="0" defaultRowHeight="14" zeroHeight="1"/>
  <cols>
    <col min="1" max="1" width="19.5714285714286" style="35" hidden="1" customWidth="1"/>
    <col min="2" max="2" width="31.4285714285714" style="35" hidden="1" customWidth="1"/>
    <col min="3" max="3" width="10.4285714285714" style="35" hidden="1" customWidth="1"/>
    <col min="4" max="4" width="15.5714285714286" style="35" hidden="1" customWidth="1"/>
    <col min="5" max="5" width="11.4285714285714" style="35" customWidth="1"/>
    <col min="6" max="6" width="57.5714285714286" style="35" customWidth="1"/>
    <col min="7" max="7" width="13.4285714285714" style="35" customWidth="1"/>
    <col min="8" max="9" width="17.5714285714286" style="35" customWidth="1"/>
    <col min="10" max="10" width="18.4285714285714" style="35" customWidth="1"/>
    <col min="11" max="12" width="19.4285714285714" style="35" customWidth="1"/>
    <col min="13" max="13" width="20.4285714285714" style="35" customWidth="1"/>
    <col min="14" max="14" width="19.4285714285714" style="35" customWidth="1"/>
    <col min="15" max="15" width="34" style="35" customWidth="1"/>
    <col min="16" max="16" width="22.4285714285714" style="35" hidden="1" customWidth="1"/>
    <col min="17" max="17" width="34" style="35" customWidth="1"/>
    <col min="18" max="18" width="73" style="35" customWidth="1"/>
    <col min="19" max="19" width="61.4285714285714" style="35" hidden="1" customWidth="1"/>
    <col min="20" max="21" width="34.4285714285714" style="35" customWidth="1"/>
    <col min="22" max="22" width="14" style="35" customWidth="1"/>
    <col min="23" max="23" width="18.4285714285714" style="35" customWidth="1"/>
    <col min="24" max="24" width="13.4285714285714" style="35" customWidth="1"/>
    <col min="25" max="26" width="12.5714285714286" style="35" customWidth="1"/>
    <col min="27" max="27" width="41.5714285714286" style="35" customWidth="1"/>
    <col min="28" max="28" width="15.4285714285714" style="35" customWidth="1"/>
    <col min="29" max="29" width="13.5714285714286" style="35" customWidth="1"/>
    <col min="30" max="30" width="18.4285714285714" style="35" customWidth="1"/>
    <col min="31" max="31" width="20.5714285714286" style="35" customWidth="1"/>
    <col min="32" max="32" width="22.5714285714286" style="35" customWidth="1"/>
    <col min="33" max="33" width="33.4285714285714" style="35" customWidth="1"/>
    <col min="34" max="34" width="19.5714285714286" style="35" customWidth="1"/>
    <col min="35" max="35" width="15.4285714285714" style="35" customWidth="1"/>
    <col min="36" max="36" width="17.5714285714286" style="35" customWidth="1"/>
    <col min="37" max="37" width="29.4285714285714" style="35" customWidth="1"/>
    <col min="38" max="38" width="17.4285714285714" style="35" customWidth="1"/>
    <col min="39" max="39" width="14.5714285714286" style="35" customWidth="1"/>
    <col min="40" max="40" width="15.4285714285714" style="35" customWidth="1"/>
    <col min="41" max="41" width="40.4285714285714" style="35" customWidth="1"/>
    <col min="42" max="42" width="42.4285714285714" style="35" customWidth="1"/>
    <col min="43" max="43" width="14.5714285714286" style="35" customWidth="1"/>
    <col min="44" max="44" width="18.4285714285714" style="35" customWidth="1"/>
    <col min="45" max="45" width="21.4285714285714" style="35" customWidth="1"/>
    <col min="46" max="16384" width="21.4285714285714" style="35" hidden="1"/>
  </cols>
  <sheetData>
    <row r="1" ht="14.5" thickBot="1"/>
    <row r="2" spans="5:35" ht="19.5" customHeight="1" thickBot="1">
      <c r="E2" s="1644" t="str">
        <f>CONCATENATE("Project Name:"," ",Start!F12,"     ","Map Reference:"," ",Start!K55)</f>
        <v xml:space="preserve">Project Name: Land east of Calne Road, Lyneham     Map Reference: </v>
      </c>
      <c r="F2" s="1645"/>
      <c r="G2" s="1646"/>
      <c r="R2" s="1597" t="s">
        <v>305</v>
      </c>
      <c r="S2" s="1598"/>
      <c r="T2" s="1598"/>
      <c r="U2" s="1599"/>
      <c r="V2" s="1655" t="str" cm="1">
        <f t="array" ref="V2">IF(OR(Y12:Y257="Fairly Good",Y12:Y257="Fairly Poor"),"A 'Fairly' Category has been used - check evidence to ensure this is appropriate ⚠","")</f>
        <v/>
      </c>
      <c r="W2" s="1655"/>
      <c r="X2" s="1655"/>
      <c r="Y2" s="1655"/>
      <c r="Z2" s="1655"/>
      <c r="AA2" s="1655"/>
      <c r="AD2" s="1654" t="str">
        <f>IF(OR(COUNTIF($AD$12:AD257,"*30+*")&gt;0,COUNTIF(AH12:AH257,"*30+*")&gt;0),"Note; Habitat selected has a time to target condition greater than 30 years. Non standard agreement may be required ⚠","")</f>
        <v/>
      </c>
      <c r="AE2" s="1654"/>
      <c r="AF2" s="1654"/>
      <c r="AG2" s="1654"/>
      <c r="AH2" s="1654"/>
      <c r="AI2" s="1654"/>
    </row>
    <row r="3" spans="5:35" ht="13.4" customHeight="1">
      <c r="E3" s="1647" t="str">
        <f ca="1">MID(CELL("filename",D1),FIND("]",CELL("filename",D1))+1,256)</f>
        <v>A-3 On-Site Habitat Enhancement</v>
      </c>
      <c r="F3" s="1648"/>
      <c r="G3" s="1649"/>
      <c r="R3" s="1633" t="s">
        <v>306</v>
      </c>
      <c r="S3" s="1634"/>
      <c r="T3" s="1658">
        <f>'Headline Results'!H47</f>
        <v>6.227824005922471</v>
      </c>
      <c r="U3" s="1659"/>
      <c r="V3" s="1655"/>
      <c r="W3" s="1655"/>
      <c r="X3" s="1655"/>
      <c r="Y3" s="1655"/>
      <c r="Z3" s="1655"/>
      <c r="AA3" s="1655"/>
      <c r="AD3" s="1654"/>
      <c r="AE3" s="1654"/>
      <c r="AF3" s="1654"/>
      <c r="AG3" s="1654"/>
      <c r="AH3" s="1654"/>
      <c r="AI3" s="1654"/>
    </row>
    <row r="4" spans="5:39" ht="15.75" customHeight="1" thickBot="1">
      <c r="E4" s="1650"/>
      <c r="F4" s="1651"/>
      <c r="G4" s="1652"/>
      <c r="H4" s="152" t="str">
        <f>IF(G4="","",IF(ISNA(VLOOKUP($E4,'A-1 On-Site Habitat Baseline'!$D$1:$O$258,3,FALSE)),"",(VLOOKUP($E4,'A-1 On-Site Habitat Baseline'!$D$1:$O$258,3,FALSE))))</f>
        <v/>
      </c>
      <c r="R4" s="1635" t="s">
        <v>308</v>
      </c>
      <c r="S4" s="1636"/>
      <c r="T4" s="1660">
        <f>'Headline Results'!H51</f>
        <v>0.3109272967693436</v>
      </c>
      <c r="U4" s="1661"/>
      <c r="V4" s="1655"/>
      <c r="W4" s="1655"/>
      <c r="X4" s="1655"/>
      <c r="Y4" s="1655"/>
      <c r="Z4" s="1655"/>
      <c r="AA4" s="1655"/>
      <c r="AD4" s="253"/>
      <c r="AE4" s="253"/>
      <c r="AF4" s="253"/>
      <c r="AG4" s="253"/>
      <c r="AK4" s="153"/>
      <c r="AL4" s="153"/>
      <c r="AM4" s="153"/>
    </row>
    <row r="5" spans="8:35" ht="15" customHeight="1" thickBot="1">
      <c r="H5" s="1667" t="str" cm="1">
        <f t="array" ref="H5">IF(OR(AU12:AU257="Yes"),"👁 Enhanced irreplaceable habitats highlighted below ","")</f>
        <v/>
      </c>
      <c r="I5" s="1667"/>
      <c r="J5" s="1667"/>
      <c r="K5" s="1667"/>
      <c r="L5" s="1667"/>
      <c r="R5" s="1637" t="s">
        <v>310</v>
      </c>
      <c r="S5" s="1631"/>
      <c r="T5" s="1631" t="str" cm="1">
        <f t="array" ref="T5">IF(OR('Trading Summary Area Habitats'!G5:G8="No ▲"),"No - check trading summaries ▲","Yes ✓")</f>
        <v>Yes ✓</v>
      </c>
      <c r="U5" s="1632"/>
      <c r="V5" s="1655"/>
      <c r="W5" s="1655"/>
      <c r="X5" s="1655"/>
      <c r="Y5" s="1655"/>
      <c r="Z5" s="1655"/>
      <c r="AA5" s="1655"/>
      <c r="AD5" s="1654" t="str" cm="1">
        <f t="array" ref="AD5">IF(OR(AT12:AT257="Yes"),"Change in broad habitat type detected. Check compliance with guidance ⚠","")</f>
        <v/>
      </c>
      <c r="AE5" s="1654"/>
      <c r="AF5" s="1654"/>
      <c r="AG5" s="1654"/>
      <c r="AH5" s="1654"/>
      <c r="AI5" s="1654"/>
    </row>
    <row r="6" spans="8:35" ht="15.75" customHeight="1">
      <c r="H6" s="1667"/>
      <c r="I6" s="1667"/>
      <c r="J6" s="1667"/>
      <c r="K6" s="1667"/>
      <c r="L6" s="1667"/>
      <c r="R6" s="1656" t="str" cm="1">
        <f t="array" ref="R6">IF(OR(Q11:Q258="watercourse footprint"),"Please ensure the watercourse details for any watercourse footprints recorded are included in the watercourse tabs ⚠","")</f>
        <v/>
      </c>
      <c r="S6" s="1656"/>
      <c r="T6" s="1656"/>
      <c r="AD6" s="1654"/>
      <c r="AE6" s="1654"/>
      <c r="AF6" s="1654"/>
      <c r="AG6" s="1654"/>
      <c r="AH6" s="1654"/>
      <c r="AI6" s="1654"/>
    </row>
    <row r="7" spans="5:20" ht="14">
      <c r="E7" s="36"/>
      <c r="F7" s="36"/>
      <c r="R7" s="1656"/>
      <c r="S7" s="1656"/>
      <c r="T7" s="1656"/>
    </row>
    <row r="8" spans="18:20" ht="18" customHeight="1" thickBot="1">
      <c r="R8" s="1657"/>
      <c r="S8" s="1657"/>
      <c r="T8" s="1657"/>
    </row>
    <row r="9" spans="6:39" ht="15.65" customHeight="1" thickBot="1">
      <c r="F9" s="41"/>
      <c r="G9" s="41"/>
      <c r="H9" s="41"/>
      <c r="I9" s="41"/>
      <c r="J9" s="41"/>
      <c r="K9" s="41"/>
      <c r="L9" s="41"/>
      <c r="M9" s="41"/>
      <c r="N9" s="41"/>
      <c r="O9" s="41"/>
      <c r="P9" s="41"/>
      <c r="Q9" s="1639" t="s">
        <v>371</v>
      </c>
      <c r="R9" s="1640"/>
      <c r="S9" s="1640"/>
      <c r="T9" s="1640"/>
      <c r="U9" s="1640"/>
      <c r="V9" s="1640"/>
      <c r="W9" s="1640"/>
      <c r="X9" s="1640"/>
      <c r="Y9" s="1640"/>
      <c r="Z9" s="1640"/>
      <c r="AA9" s="1640"/>
      <c r="AB9" s="1640"/>
      <c r="AC9" s="1640"/>
      <c r="AD9" s="1640"/>
      <c r="AE9" s="1640"/>
      <c r="AF9" s="1640"/>
      <c r="AG9" s="1640"/>
      <c r="AH9" s="1640"/>
      <c r="AI9" s="1640"/>
      <c r="AJ9" s="1640"/>
      <c r="AK9" s="1640"/>
      <c r="AL9" s="1640"/>
      <c r="AM9" s="1641"/>
    </row>
    <row r="10" spans="6:43" ht="28.4" customHeight="1" thickBot="1">
      <c r="F10" s="1463" t="s">
        <v>372</v>
      </c>
      <c r="G10" s="1464"/>
      <c r="H10" s="1464"/>
      <c r="I10" s="1464"/>
      <c r="J10" s="1464"/>
      <c r="K10" s="1464"/>
      <c r="L10" s="1464"/>
      <c r="M10" s="1464"/>
      <c r="N10" s="1464"/>
      <c r="O10" s="1465"/>
      <c r="P10" s="945"/>
      <c r="Q10" s="1610" t="s">
        <v>373</v>
      </c>
      <c r="R10" s="1611"/>
      <c r="S10" s="238"/>
      <c r="T10" s="1653" t="s">
        <v>374</v>
      </c>
      <c r="U10" s="1611"/>
      <c r="V10" s="1665" t="s">
        <v>375</v>
      </c>
      <c r="W10" s="1642" t="s">
        <v>312</v>
      </c>
      <c r="X10" s="1642" t="s">
        <v>328</v>
      </c>
      <c r="Y10" s="1642" t="s">
        <v>313</v>
      </c>
      <c r="Z10" s="1643" t="s">
        <v>328</v>
      </c>
      <c r="AA10" s="1663" t="s">
        <v>314</v>
      </c>
      <c r="AB10" s="1664"/>
      <c r="AC10" s="1664"/>
      <c r="AD10" s="1642" t="s">
        <v>376</v>
      </c>
      <c r="AE10" s="1642"/>
      <c r="AF10" s="1642"/>
      <c r="AG10" s="1642"/>
      <c r="AH10" s="1642"/>
      <c r="AI10" s="1642"/>
      <c r="AJ10" s="1642" t="s">
        <v>377</v>
      </c>
      <c r="AK10" s="1642"/>
      <c r="AL10" s="1642"/>
      <c r="AM10" s="1643"/>
      <c r="AN10" s="1606" t="s">
        <v>378</v>
      </c>
      <c r="AO10" s="1463" t="s">
        <v>318</v>
      </c>
      <c r="AP10" s="1464"/>
      <c r="AQ10" s="1465"/>
    </row>
    <row r="11" spans="1:47" s="37" customFormat="1" ht="60" customHeight="1" thickBot="1">
      <c r="A11" s="235" t="s">
        <v>324</v>
      </c>
      <c r="B11" s="235" t="s">
        <v>379</v>
      </c>
      <c r="C11" s="235" t="s">
        <v>322</v>
      </c>
      <c r="E11" s="42" t="s">
        <v>380</v>
      </c>
      <c r="F11" s="227" t="s">
        <v>381</v>
      </c>
      <c r="G11" s="723" t="s">
        <v>382</v>
      </c>
      <c r="H11" s="723" t="s">
        <v>383</v>
      </c>
      <c r="I11" s="723" t="s">
        <v>384</v>
      </c>
      <c r="J11" s="723" t="s">
        <v>385</v>
      </c>
      <c r="K11" s="723" t="s">
        <v>386</v>
      </c>
      <c r="L11" s="723" t="s">
        <v>387</v>
      </c>
      <c r="M11" s="723" t="s">
        <v>388</v>
      </c>
      <c r="N11" s="723" t="s">
        <v>389</v>
      </c>
      <c r="O11" s="43" t="s">
        <v>315</v>
      </c>
      <c r="P11" s="224" t="s">
        <v>390</v>
      </c>
      <c r="Q11" s="614" t="s">
        <v>391</v>
      </c>
      <c r="R11" s="46" t="s">
        <v>392</v>
      </c>
      <c r="S11" s="948" t="s">
        <v>392</v>
      </c>
      <c r="T11" s="45" t="s">
        <v>393</v>
      </c>
      <c r="U11" s="47" t="s">
        <v>394</v>
      </c>
      <c r="V11" s="1666"/>
      <c r="W11" s="1662"/>
      <c r="X11" s="1662"/>
      <c r="Y11" s="1662"/>
      <c r="Z11" s="1668"/>
      <c r="AA11" s="614" t="s">
        <v>314</v>
      </c>
      <c r="AB11" s="615" t="s">
        <v>314</v>
      </c>
      <c r="AC11" s="617" t="s">
        <v>329</v>
      </c>
      <c r="AD11" s="614" t="s">
        <v>395</v>
      </c>
      <c r="AE11" s="616" t="s">
        <v>396</v>
      </c>
      <c r="AF11" s="616" t="s">
        <v>397</v>
      </c>
      <c r="AG11" s="616" t="s">
        <v>398</v>
      </c>
      <c r="AH11" s="616" t="s">
        <v>399</v>
      </c>
      <c r="AI11" s="617" t="s">
        <v>400</v>
      </c>
      <c r="AJ11" s="614" t="s">
        <v>401</v>
      </c>
      <c r="AK11" s="616" t="s">
        <v>402</v>
      </c>
      <c r="AL11" s="616" t="s">
        <v>403</v>
      </c>
      <c r="AM11" s="961" t="s">
        <v>404</v>
      </c>
      <c r="AN11" s="1607"/>
      <c r="AO11" s="614" t="s">
        <v>302</v>
      </c>
      <c r="AP11" s="617" t="s">
        <v>279</v>
      </c>
      <c r="AQ11" s="617" t="s">
        <v>280</v>
      </c>
      <c r="AT11" s="37" t="s">
        <v>405</v>
      </c>
      <c r="AU11" s="37" t="s">
        <v>326</v>
      </c>
    </row>
    <row r="12" spans="1:47" ht="14">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610" t="str">
        <f>'A-1 On-Site Habitat Baseline'!AL11</f>
        <v/>
      </c>
      <c r="F12" s="283" t="str">
        <f>IF(E12="","",IF(ISNA(VLOOKUP($E12,'A-1 On-Site Habitat Baseline'!$D$1:$AV$258,45,FALSE)),"",(VLOOKUP($E12,'A-1 On-Site Habitat Baseline'!$D$1:$AV$258,45,FALSE))))</f>
        <v/>
      </c>
      <c r="G12" s="283" t="str">
        <f>IF(E12="","",IF(ISNA(VLOOKUP($E12,'A-1 On-Site Habitat Baseline'!$D$1:$O$258,5,FALSE)),"",(VLOOKUP($E12,'A-1 On-Site Habitat Baseline'!$D$1:$O$258,5,FALSE))))</f>
        <v/>
      </c>
      <c r="H12" s="283" t="str">
        <f>IF(E12="","",IF(ISNA(VLOOKUP($E12,'A-1 On-Site Habitat Baseline'!$D$1:$O$258,6,FALSE)),"",(VLOOKUP($E12,'A-1 On-Site Habitat Baseline'!$D$1:$O$258,6,FALSE))))</f>
        <v/>
      </c>
      <c r="I12" s="283" t="str">
        <f>IF(E12="","",IF(ISNA(VLOOKUP($E12,'A-1 On-Site Habitat Baseline'!$D$1:$O$258,7,FALSE)),"",(VLOOKUP($E12,'A-1 On-Site Habitat Baseline'!$D$1:$O$258,7,FALSE))))</f>
        <v/>
      </c>
      <c r="J12" s="283" t="str">
        <f>IF(E12="","",IF(ISNA(VLOOKUP($E12,'A-1 On-Site Habitat Baseline'!$D$1:$O$258,8,FALSE)),"",(VLOOKUP($E12,'A-1 On-Site Habitat Baseline'!$D$1:$O$258,8,FALSE))))</f>
        <v/>
      </c>
      <c r="K12" s="283" t="str">
        <f>IF(E12="","",IF(ISNA(VLOOKUP($E12,'A-1 On-Site Habitat Baseline'!$D$1:$O$258,9,FALSE)),"",(VLOOKUP($E12,'A-1 On-Site Habitat Baseline'!$D$1:$O$258,9,FALSE))))</f>
        <v/>
      </c>
      <c r="L12" s="283" t="str">
        <f>IF(E12="","",IF(ISNA(VLOOKUP($E12,'A-1 On-Site Habitat Baseline'!$D$1:$O$258,11,FALSE)),"",(VLOOKUP($E12,'A-1 On-Site Habitat Baseline'!$D$1:$O$258,11,FALSE))))</f>
        <v/>
      </c>
      <c r="M12" s="283" t="str">
        <f>IF(E12="","",IF(ISNA(VLOOKUP($E12,'A-1 On-Site Habitat Baseline'!$D$1:$O$258,12,FALSE)),"",(VLOOKUP($E12,'A-1 On-Site Habitat Baseline'!$D$1:$O$258,12,FALSE))))</f>
        <v/>
      </c>
      <c r="N12" s="287" t="str">
        <f>IF(E12="","",IF(ISNA(VLOOKUP($E12,'A-1 On-Site Habitat Baseline'!$D$1:$X$258,14,FALSE)),"",(VLOOKUP($E12,'A-1 On-Site Habitat Baseline'!$D$1:$X$258,14,FALSE))))</f>
        <v/>
      </c>
      <c r="O12" s="276" t="str">
        <f>IF(E12="","",IF(ISNA(VLOOKUP($E12,'A-1 On-Site Habitat Baseline'!$D$1:$X$258,16,FALSE)),"",(VLOOKUP($E12,'A-1 On-Site Habitat Baseline'!$D$1:$X$258,13,FALSE))))</f>
        <v/>
      </c>
      <c r="P12" s="154" t="str">
        <f>IFERROR(INDEX('G-1 All Habitats'!$AG$49:$AG$63,MATCH(Q12,'G-1 All Habitats'!$AF$27:$AF$41,0)),"")</f>
        <v/>
      </c>
      <c r="Q12" s="155" t="str">
        <f t="shared" si="0" ref="Q12:Q76">A12</f>
        <v/>
      </c>
      <c r="R12" s="959"/>
      <c r="S12" s="960" t="str">
        <f>IFERROR(INDEX('G-1 All Habitats'!$B$3:$B$135,MATCH(R12,'G-1 All Habitats'!$A$3:$A$135,0)),"")</f>
        <v/>
      </c>
      <c r="T12" s="275" t="str">
        <f>IF(E12="","",IF(AND(LEFT(O12,6)="Same d",I12&gt;X12),"Error - Trading rules not satisfied ▲",IF(AND(LEFT(O12,6)="Same b",AND(LEFT(F12,5)&lt;&gt;LEFT(S12,5),I12&gt;X12)),"Error - Trading rules not satisfied ▲",IF(AND(LEFT(O12,6)="Same h",F12&lt;&gt;S12),"Error - Trading rules not satisfied ▲",IF(AND(LEFT(O12,6)="Bespok",F12&lt;&gt;S12,LEFT(F12,27)&lt;&gt;"Woodland and forest - Other"),"Error - Trading rules not satisfied ▲",IF(X12&lt;I12,"Error Trading Down ▲",IF(AND(R12="Littoral seagrass",F12&lt;&gt;"Intertidal sediment - Littoral seagrass",F12&lt;&gt;"Intertidal sediment - Littoral sand"),"Error - Enhancement not possible ▲",IF(AND(R12="Artificial hard structures with integrated greening of grey infrastructure (IGGI)",F12&lt;&gt;"Intertidal hard structures - Artificial hard structures with integrated greening of grey infrastructure (IGGI)",F12&lt;&gt;"Intertidal hard structures - Artificial hard structures",F12&lt;&gt;"Intertidal hard structures - Artificial features of hard structures"),"Error - Enhancement not possible ▲",H12&amp;" - "&amp;W12))))))))</f>
        <v/>
      </c>
      <c r="U12" s="276" t="str">
        <f>IF(F12="","",IF(OR(LEFT(F12,27)&lt;&gt;"Woodland and forest - Other",LEFT(S12,8)&lt;&gt;"Woodland"),IF(AND(S12&lt;&gt;F12,AU12="Yes"),"Error you cannot replace an irreplaceable habitat ▲",IF(AND(LEFT(F12,55)&lt;&gt;LEFT(S12,55),T12="High - High"),"Error - Not like for like ▲",IF(AND(I12=X12,K12&gt;Z12),"Error - Can not reduce condition ▲",IF(AND(I12=X12,K12=Z12),"Error - No enhancement ▲",IF(K12&gt;Z12,"Error - condition cannot be reduced ▲",IF(X12&lt;I12,"Error Trading Down ▲",IF(AND(F12&lt;&gt;S12,I12&lt;X12),"Lower Distinctiveness Habitat"&amp;" - "&amp;Y12,J12&amp;" - "&amp;Y12))))))),IF(AND(LEFT(F12,55)&lt;&gt;LEFT(S12,55),T12="High - High"),"Error - Not like for like ▲",IF(AND(I12=X12,K12&gt;Z12),"Error - Can not reduce condition ▲",IF(AND(I12=X12,K12=Z12),"Error - No enhancement ▲",IF(K12&gt;Z12,"Error - condition cannot be reduced ▲",IF(X12&lt;I12,"Error Trading Down ▲",IF(AND(F12&lt;&gt;S12,I12&lt;X12),"Lower Distinctiveness Habitat"&amp;" - "&amp;Y12,J12&amp;" - "&amp;Y12))))))))</f>
        <v/>
      </c>
      <c r="V12" s="275" t="str">
        <f>IF(S12="","",VLOOKUP(E12,BaselineHabSite,17,FALSE))</f>
        <v/>
      </c>
      <c r="W12" s="283" t="str">
        <f>IF(S12="","",VLOOKUP(S12,'G-1 All Habitats'!$B$2:$M$135,10,FALSE))</f>
        <v/>
      </c>
      <c r="X12" s="283" t="str">
        <f>IFERROR(VLOOKUP(W12,'G-1 All Habitats'!$V$3:$W$7,2,FALSE),"")</f>
        <v/>
      </c>
      <c r="Y12" s="58"/>
      <c r="Z12" s="276" t="str">
        <f>IFERROR(INDEX('G-8 Condition Look up'!$A$3:$H$135,MATCH(S12,'G-8 Condition Look up'!$A$3:$A$135,0),MATCH(Y12,'G-8 Condition Look up'!$A$3:$H$3,0)),"")</f>
        <v/>
      </c>
      <c r="AA12" s="52"/>
      <c r="AB12" s="283" t="str">
        <f>IF(AA12="","",IF(VLOOKUP(AA12,'G-3 Multipliers'!$L$3:$N$6,2,FALSE)=0,"Spatial Data Missing ⚠",VLOOKUP(AA12,'G-3 Multipliers'!$L$3:$N$6,2,FALSE)))</f>
        <v/>
      </c>
      <c r="AC12" s="276" t="str">
        <f>IF(AA12="","",IF(VLOOKUP(AA12,'G-3 Multipliers'!$L$3:$N$6,3,FALSE)=0,"Spatial Data Missing ⚠",VLOOKUP(AA12,'G-3 Multipliers'!$L$3:$N$6,3,FALSE)))</f>
        <v/>
      </c>
      <c r="AD12" s="313" t="str">
        <f>IFERROR(IF(OR(LEFT(U12,5)="Error",LEFT(T12,5)="Error"),"Check Data ⚠",INDEX(EnhanceTemporal,MATCH(S12,EnhanceHabitat,0),MATCH(U12,EnhanceCondition,0))),"")</f>
        <v/>
      </c>
      <c r="AE12" s="58"/>
      <c r="AF12" s="58"/>
      <c r="AG12" s="283"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296" t="str">
        <f>IF(AG12="Error -both advance and delayed habitat creation ▲","Check Data ⚠",IF(AG12="Check Data ⚠","Check Data ⚠",IF(AD12="","",IF(AD12="Not Possible ▲","Check Data ⚠",IF(AND(AD12="30+",AE12=0),"30+",IF(AND(AD12="30+",AE12="30+"),0,IF(AND(AD12="30+",AE12&lt;30),30-AE12,IF(AD12="30+",30-AE12,IF(AE12&gt;AD12,0,IF(AF12="30+","30+",IF(AD12+AF12&gt;30,"30+",IF(AD12+AF12&gt;30,"30+",IF(AD12-AE12&gt;30,"30+",IF(AD12+AF12-AE12&gt;0,AD12+AF12-AE12,IF(AD12-AE12&gt;0,AD12-AE12,AD12+AF12-AE12)))))))))))))))</f>
        <v/>
      </c>
      <c r="AI12" s="297" t="str">
        <f>IF(AH12="Check Data ⚠","Check Data ⚠",IFERROR(VLOOKUP(AH12,'G-4 Temporal multipliers'!$A$4:$C$36,3,FALSE),""))</f>
        <v/>
      </c>
      <c r="AJ12" s="275" t="str">
        <f>IF(S12="","",VLOOKUP(S12,'G-3 Multipliers'!$A$2:$E$134,4,FALSE))</f>
        <v/>
      </c>
      <c r="AK12" s="283" t="str">
        <f>IF(E12="","",IF(AG12="Check details - Is there evidence that habitat has reached target condition? ⚠","Low Difficulty - only applicable if all habitat created before losses ⚠","Standard difficulty applied"))</f>
        <v/>
      </c>
      <c r="AL12" s="283" t="str">
        <f>(IF(AND(AK12="Standard difficulty applied",AD12&gt;AE12),AJ12,IF(AND(AK12="Low Difficulty - only applicable if all habitat created before losses ⚠",AE12&gt;=AD12),"Low",AJ12)))</f>
        <v/>
      </c>
      <c r="AM12" s="314" t="str">
        <f>IFERROR(IF(F12="","",IF(AH12="Check Data ⚠","Check Data ⚠",VLOOKUP(AL12,'G-3 Multipliers'!$P$2:$Q$6,2,FALSE))),"")</f>
        <v/>
      </c>
      <c r="AN12" s="289" t="str">
        <f>IFERROR(IF(N12="Error - you cannot enhance irreplaceable individual trees ▲","Error - you cannot enhance irreplaceable individual trees ▲",IF(K12&gt;Z12,((((V12*X12*Z12)-(V12*I12*Z12))*(AM12*AI12))+(V12*I12*Z12))*(AC12),((((V12*X12*Z12)-(V12*I12*K12))*(AM12*AI12))+(V12*I12*K12))*(AC12))),"")</f>
        <v/>
      </c>
      <c r="AO12" s="52"/>
      <c r="AP12" s="51"/>
      <c r="AQ12" s="115"/>
      <c r="AT12" s="35" t="str">
        <f>IF(Q12&lt;&gt;A12,"Yes","No")</f>
        <v>No</v>
      </c>
      <c r="AU12" s="35" t="str">
        <f>IF(E12="","",IF(ISNA(VLOOKUP($E12,'A-1 On-Site Habitat Baseline'!$D$1:$AV$258,4,FALSE)),"",(VLOOKUP($E12,'A-1 On-Site Habitat Baseline'!$D$1:$AV$258,4,FALSE))))</f>
        <v/>
      </c>
    </row>
    <row r="13" spans="1:47" ht="14">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05" t="str">
        <f>'A-1 On-Site Habitat Baseline'!AL12</f>
        <v/>
      </c>
      <c r="F13" s="295" t="str">
        <f>IF(E13="","",IF(ISNA(VLOOKUP($E13,'A-1 On-Site Habitat Baseline'!$D$1:$AV$258,45,FALSE)),"",(VLOOKUP($E13,'A-1 On-Site Habitat Baseline'!$D$1:$AV$258,45,FALSE))))</f>
        <v/>
      </c>
      <c r="G13" s="295" t="str">
        <f>IF(E13="","",IF(ISNA(VLOOKUP($E13,'A-1 On-Site Habitat Baseline'!$D$1:$O$258,5,FALSE)),"",(VLOOKUP($E13,'A-1 On-Site Habitat Baseline'!$D$1:$O$258,5,FALSE))))</f>
        <v/>
      </c>
      <c r="H13" s="295" t="str">
        <f>IF(E13="","",IF(ISNA(VLOOKUP($E13,'A-1 On-Site Habitat Baseline'!$D$1:$O$258,6,FALSE)),"",(VLOOKUP($E13,'A-1 On-Site Habitat Baseline'!$D$1:$O$258,6,FALSE))))</f>
        <v/>
      </c>
      <c r="I13" s="295" t="str">
        <f>IF(E13="","",IF(ISNA(VLOOKUP($E13,'A-1 On-Site Habitat Baseline'!$D$1:$O$258,7,FALSE)),"",(VLOOKUP($E13,'A-1 On-Site Habitat Baseline'!$D$1:$O$258,7,FALSE))))</f>
        <v/>
      </c>
      <c r="J13" s="295" t="str">
        <f>IF(E13="","",IF(ISNA(VLOOKUP($E13,'A-1 On-Site Habitat Baseline'!$D$1:$O$258,8,FALSE)),"",(VLOOKUP($E13,'A-1 On-Site Habitat Baseline'!$D$1:$O$258,8,FALSE))))</f>
        <v/>
      </c>
      <c r="K13" s="295" t="str">
        <f>IF(E13="","",IF(ISNA(VLOOKUP($E13,'A-1 On-Site Habitat Baseline'!$D$1:$O$258,9,FALSE)),"",(VLOOKUP($E13,'A-1 On-Site Habitat Baseline'!$D$1:$O$258,9,FALSE))))</f>
        <v/>
      </c>
      <c r="L13" s="295" t="str">
        <f>IF(E13="","",IF(ISNA(VLOOKUP($E13,'A-1 On-Site Habitat Baseline'!$D$1:$O$258,11,FALSE)),"",(VLOOKUP($E13,'A-1 On-Site Habitat Baseline'!$D$1:$O$258,11,FALSE))))</f>
        <v/>
      </c>
      <c r="M13" s="295" t="str">
        <f>IF(E13="","",IF(ISNA(VLOOKUP($E13,'A-1 On-Site Habitat Baseline'!$D$1:$O$258,12,FALSE)),"",(VLOOKUP($E13,'A-1 On-Site Habitat Baseline'!$D$1:$O$258,12,FALSE))))</f>
        <v/>
      </c>
      <c r="N13" s="306" t="str">
        <f>IF(E13="","",IF(ISNA(VLOOKUP($E13,'A-1 On-Site Habitat Baseline'!$D$1:$X$258,14,FALSE)),"",(VLOOKUP($E13,'A-1 On-Site Habitat Baseline'!$D$1:$X$258,14,FALSE))))</f>
        <v/>
      </c>
      <c r="O13" s="299" t="str">
        <f>IF(E13="","",IF(ISNA(VLOOKUP($E13,'A-1 On-Site Habitat Baseline'!$D$1:$X$258,16,FALSE)),"",(VLOOKUP($E13,'A-1 On-Site Habitat Baseline'!$D$1:$X$258,13,FALSE))))</f>
        <v/>
      </c>
      <c r="P13" s="154" t="str">
        <f>IFERROR(INDEX('G-1 All Habitats'!$AG$49:$AG$63,MATCH(Q13,'G-1 All Habitats'!$AF$27:$AF$41,0)),"")</f>
        <v/>
      </c>
      <c r="Q13" s="155" t="str">
        <f t="shared" si="0"/>
        <v/>
      </c>
      <c r="R13" s="155"/>
      <c r="S13" s="237" t="str">
        <f>IFERROR(INDEX('G-1 All Habitats'!$B$3:$B$135,MATCH(R13,'G-1 All Habitats'!$A$3:$A$135,0)),"")</f>
        <v/>
      </c>
      <c r="T13" s="275" t="str">
        <f t="shared" si="1" ref="T13:T76">IF(E13="","",IF(AND(LEFT(O13,6)="Same d",I13&gt;X13),"Error - Trading rules not satisfied ▲",IF(AND(LEFT(O13,6)="Same b",AND(LEFT(F13,5)&lt;&gt;LEFT(S13,5),I13&gt;X13)),"Error - Trading rules not satisfied ▲",IF(AND(LEFT(O13,6)="Same h",F13&lt;&gt;S13),"Error - Trading rules not satisfied ▲",IF(AND(LEFT(O13,6)="Bespok",F13&lt;&gt;S13,LEFT(F13,27)&lt;&gt;"Woodland and forest - Other"),"Error - Trading rules not satisfied ▲",IF(X13&lt;I13,"Error Trading Down ▲",IF(AND(R13="Littoral seagrass",F13&lt;&gt;"Intertidal sediment - Littoral seagrass",F13&lt;&gt;"Intertidal sediment - Littoral sand"),"Error - Enhancement not possible ▲",IF(AND(R13="Artificial hard structures with integrated greening of grey infrastructure (IGGI)",F13&lt;&gt;"Intertidal hard structures - Artificial hard structures with integrated greening of grey infrastructure (IGGI)",F13&lt;&gt;"Intertidal hard structures - Artificial hard structures",F13&lt;&gt;"Intertidal hard structures - Artificial features of hard structures"),"Error - Enhancement not possible ▲",H13&amp;" - "&amp;W13))))))))</f>
        <v/>
      </c>
      <c r="U13" s="276" t="str">
        <f t="shared" si="2" ref="U13:U76">IF(F13="","",IF(OR(LEFT(F13,27)&lt;&gt;"Woodland and forest - Other",LEFT(S13,8)&lt;&gt;"Woodland"),IF(AND(S13&lt;&gt;F13,AU13="Yes"),"Error you cannot replace an irreplaceable habitat ▲",IF(AND(LEFT(F13,55)&lt;&gt;LEFT(S13,55),T13="High - High"),"Error - Not like for like ▲",IF(AND(I13=X13,K13&gt;Z13),"Error - Can not reduce condition ▲",IF(AND(I13=X13,K13=Z13),"Error - No enhancement ▲",IF(K13&gt;Z13,"Error - condition cannot be reduced ▲",IF(X13&lt;I13,"Error Trading Down ▲",IF(AND(F13&lt;&gt;S13,I13&lt;X13),"Lower Distinctiveness Habitat"&amp;" - "&amp;Y13,J13&amp;" - "&amp;Y13))))))),IF(AND(LEFT(F13,55)&lt;&gt;LEFT(S13,55),T13="High - High"),"Error - Not like for like ▲",IF(AND(I13=X13,K13&gt;Z13),"Error - Can not reduce condition ▲",IF(AND(I13=X13,K13=Z13),"Error - No enhancement ▲",IF(K13&gt;Z13,"Error - condition cannot be reduced ▲",IF(X13&lt;I13,"Error Trading Down ▲",IF(AND(F13&lt;&gt;S13,I13&lt;X13),"Lower Distinctiveness Habitat"&amp;" - "&amp;Y13,J13&amp;" - "&amp;Y13))))))))</f>
        <v/>
      </c>
      <c r="V13" s="311" t="str">
        <f t="shared" si="3" ref="V13:V75">IF(S13="","",VLOOKUP(E13,BaselineHabSite,17,FALSE))</f>
        <v/>
      </c>
      <c r="W13" s="295" t="str">
        <f>IF(S13="","",VLOOKUP(S13,'G-1 All Habitats'!$B$2:$M$135,10,FALSE))</f>
        <v/>
      </c>
      <c r="X13" s="295" t="str">
        <f>IFERROR(VLOOKUP(W13,'G-1 All Habitats'!$V$3:$W$7,2,FALSE),"")</f>
        <v/>
      </c>
      <c r="Y13" s="57"/>
      <c r="Z13" s="299" t="str">
        <f>IFERROR(INDEX('G-8 Condition Look up'!$A$3:$H$135,MATCH(S13,'G-8 Condition Look up'!$A$3:$A$135,0),MATCH(Y13,'G-8 Condition Look up'!$A$3:$H$3,0)),"")</f>
        <v/>
      </c>
      <c r="AA13" s="52"/>
      <c r="AB13" s="295" t="str">
        <f>IF(AA13="","",IF(VLOOKUP(AA13,'G-3 Multipliers'!$L$3:$N$6,2,FALSE)=0,"Spatial Data Missing ⚠",VLOOKUP(AA13,'G-3 Multipliers'!$L$3:$N$6,2,FALSE)))</f>
        <v/>
      </c>
      <c r="AC13" s="299" t="str">
        <f>IF(AA13="","",IF(VLOOKUP(AA13,'G-3 Multipliers'!$L$3:$N$6,3,FALSE)=0,"Spatial Data Missing ⚠",VLOOKUP(AA13,'G-3 Multipliers'!$L$3:$N$6,3,FALSE)))</f>
        <v/>
      </c>
      <c r="AD13" s="313" t="str">
        <f t="shared" si="4" ref="AD13:AD75">IFERROR(IF(OR(LEFT(U13,5)="Error",LEFT(T13,5)="Error"),"Check Data ⚠",INDEX(EnhanceTemporal,MATCH(S13,EnhanceHabitat,0),MATCH(U13,EnhanceCondition,0))),"")</f>
        <v/>
      </c>
      <c r="AE13" s="58"/>
      <c r="AF13" s="58"/>
      <c r="AG13" s="283" t="str">
        <f t="shared" si="5" ref="AG13:AG7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296" t="str">
        <f t="shared" si="6" ref="AH13:AH76">IF(AG13="Error -both advance and delayed habitat creation ▲","Check Data ⚠",IF(AG13="Check Data ⚠","Check Data ⚠",IF(AD13="","",IF(AD13="Not Possible ▲","Check Data ⚠",IF(AND(AD13="30+",AE13=0),"30+",IF(AND(AD13="30+",AE13="30+"),0,IF(AND(AD13="30+",AE13&lt;30),30-AE13,IF(AD13="30+",30-AE13,IF(AE13&gt;AD13,0,IF(AF13="30+","30+",IF(AD13+AF13&gt;30,"30+",IF(AD13+AF13&gt;30,"30+",IF(AD13-AE13&gt;30,"30+",IF(AD13+AF13-AE13&gt;0,AD13+AF13-AE13,IF(AD13-AE13&gt;0,AD13-AE13,AD13+AF13-AE13)))))))))))))))</f>
        <v/>
      </c>
      <c r="AI13" s="297" t="str">
        <f>IF(AH13="Check Data ⚠","Check Data ⚠",IFERROR(VLOOKUP(AH13,'G-4 Temporal multipliers'!$A$4:$C$36,3,FALSE),""))</f>
        <v/>
      </c>
      <c r="AJ13" s="275" t="str">
        <f>IF(S13="","",VLOOKUP(S13,'G-3 Multipliers'!$A$2:$E$134,4,FALSE))</f>
        <v/>
      </c>
      <c r="AK13" s="283" t="str">
        <f t="shared" si="7" ref="AK13:AK76">IF(E13="","",IF(AG13="Check details - Is there evidence that habitat has reached target condition? ⚠","Low Difficulty - only applicable if all habitat created before losses ⚠","Standard difficulty applied"))</f>
        <v/>
      </c>
      <c r="AL13" s="283" t="str">
        <f t="shared" si="8" ref="AL13:AL76">(IF(AND(AK13="Standard difficulty applied",AD13&gt;AE13),AJ13,IF(AND(AK13="Low Difficulty - only applicable if all habitat created before losses ⚠",AE13&gt;=AD13),"Low",AJ13)))</f>
        <v/>
      </c>
      <c r="AM13" s="314" t="str">
        <f>IFERROR(IF(F13="","",IF(AH13="Check Data ⚠","Check Data ⚠",VLOOKUP(AL13,'G-3 Multipliers'!$P$2:$Q$6,2,FALSE))),"")</f>
        <v/>
      </c>
      <c r="AN13" s="289" t="str">
        <f t="shared" si="9" ref="AN13:AN76">IFERROR(IF(N13="Error - you cannot enhance irreplaceable individual trees ▲","Error - you cannot enhance irreplaceable individual trees ▲",IF(K13&gt;Z13,((((V13*X13*Z13)-(V13*I13*Z13))*(AM13*AI13))+(V13*I13*Z13))*(AC13),((((V13*X13*Z13)-(V13*I13*K13))*(AM13*AI13))+(V13*I13*K13))*(AC13))),"")</f>
        <v/>
      </c>
      <c r="AO13" s="52"/>
      <c r="AP13" s="51"/>
      <c r="AQ13" s="104"/>
      <c r="AT13" s="35" t="str">
        <f t="shared" si="10" ref="AT13:AT76">IF(Q13&lt;&gt;A13,"Yes","No")</f>
        <v>No</v>
      </c>
      <c r="AU13" s="35" t="str">
        <f>IF(E13="","",IF(ISNA(VLOOKUP($E13,'A-1 On-Site Habitat Baseline'!$D$1:$AV$258,4,FALSE)),"",(VLOOKUP($E13,'A-1 On-Site Habitat Baseline'!$D$1:$AV$258,4,FALSE))))</f>
        <v/>
      </c>
    </row>
    <row r="14" spans="1:47" ht="14">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05" t="str">
        <f>'A-1 On-Site Habitat Baseline'!AL13</f>
        <v/>
      </c>
      <c r="F14" s="295" t="str">
        <f>IF(E14="","",IF(ISNA(VLOOKUP($E14,'A-1 On-Site Habitat Baseline'!$D$1:$AV$258,45,FALSE)),"",(VLOOKUP($E14,'A-1 On-Site Habitat Baseline'!$D$1:$AV$258,45,FALSE))))</f>
        <v/>
      </c>
      <c r="G14" s="295" t="str">
        <f>IF(E14="","",IF(ISNA(VLOOKUP($E14,'A-1 On-Site Habitat Baseline'!$D$1:$O$258,5,FALSE)),"",(VLOOKUP($E14,'A-1 On-Site Habitat Baseline'!$D$1:$O$258,5,FALSE))))</f>
        <v/>
      </c>
      <c r="H14" s="295" t="str">
        <f>IF(E14="","",IF(ISNA(VLOOKUP($E14,'A-1 On-Site Habitat Baseline'!$D$1:$O$258,6,FALSE)),"",(VLOOKUP($E14,'A-1 On-Site Habitat Baseline'!$D$1:$O$258,6,FALSE))))</f>
        <v/>
      </c>
      <c r="I14" s="295" t="str">
        <f>IF(E14="","",IF(ISNA(VLOOKUP($E14,'A-1 On-Site Habitat Baseline'!$D$1:$O$258,7,FALSE)),"",(VLOOKUP($E14,'A-1 On-Site Habitat Baseline'!$D$1:$O$258,7,FALSE))))</f>
        <v/>
      </c>
      <c r="J14" s="295" t="str">
        <f>IF(E14="","",IF(ISNA(VLOOKUP($E14,'A-1 On-Site Habitat Baseline'!$D$1:$O$258,8,FALSE)),"",(VLOOKUP($E14,'A-1 On-Site Habitat Baseline'!$D$1:$O$258,8,FALSE))))</f>
        <v/>
      </c>
      <c r="K14" s="295" t="str">
        <f>IF(E14="","",IF(ISNA(VLOOKUP($E14,'A-1 On-Site Habitat Baseline'!$D$1:$O$258,9,FALSE)),"",(VLOOKUP($E14,'A-1 On-Site Habitat Baseline'!$D$1:$O$258,9,FALSE))))</f>
        <v/>
      </c>
      <c r="L14" s="295" t="str">
        <f>IF(E14="","",IF(ISNA(VLOOKUP($E14,'A-1 On-Site Habitat Baseline'!$D$1:$O$258,11,FALSE)),"",(VLOOKUP($E14,'A-1 On-Site Habitat Baseline'!$D$1:$O$258,11,FALSE))))</f>
        <v/>
      </c>
      <c r="M14" s="295" t="str">
        <f>IF(E14="","",IF(ISNA(VLOOKUP($E14,'A-1 On-Site Habitat Baseline'!$D$1:$O$258,12,FALSE)),"",(VLOOKUP($E14,'A-1 On-Site Habitat Baseline'!$D$1:$O$258,12,FALSE))))</f>
        <v/>
      </c>
      <c r="N14" s="306" t="str">
        <f>IF(E14="","",IF(ISNA(VLOOKUP($E14,'A-1 On-Site Habitat Baseline'!$D$1:$X$258,14,FALSE)),"",(VLOOKUP($E14,'A-1 On-Site Habitat Baseline'!$D$1:$X$258,14,FALSE))))</f>
        <v/>
      </c>
      <c r="O14" s="299" t="str">
        <f>IF(E14="","",IF(ISNA(VLOOKUP($E14,'A-1 On-Site Habitat Baseline'!$D$1:$X$258,16,FALSE)),"",(VLOOKUP($E14,'A-1 On-Site Habitat Baseline'!$D$1:$X$258,13,FALSE))))</f>
        <v/>
      </c>
      <c r="P14" s="154" t="str">
        <f>IFERROR(INDEX('G-1 All Habitats'!$AG$49:$AG$63,MATCH(Q14,'G-1 All Habitats'!$AF$27:$AF$41,0)),"")</f>
        <v/>
      </c>
      <c r="Q14" s="155" t="str">
        <f t="shared" si="0"/>
        <v/>
      </c>
      <c r="R14" s="155"/>
      <c r="S14" s="237" t="str">
        <f>IFERROR(INDEX('G-1 All Habitats'!$B$3:$B$135,MATCH(R14,'G-1 All Habitats'!$A$3:$A$135,0)),"")</f>
        <v/>
      </c>
      <c r="T14" s="275" t="str">
        <f t="shared" si="1"/>
        <v/>
      </c>
      <c r="U14" s="276" t="str">
        <f t="shared" si="2"/>
        <v/>
      </c>
      <c r="V14" s="311" t="str">
        <f t="shared" si="3"/>
        <v/>
      </c>
      <c r="W14" s="295" t="str">
        <f>IF(S14="","",VLOOKUP(S14,'G-1 All Habitats'!$B$2:$M$135,10,FALSE))</f>
        <v/>
      </c>
      <c r="X14" s="295" t="str">
        <f>IFERROR(VLOOKUP(W14,'G-1 All Habitats'!$V$3:$W$7,2,FALSE),"")</f>
        <v/>
      </c>
      <c r="Y14" s="57"/>
      <c r="Z14" s="299" t="str">
        <f>IFERROR(INDEX('G-8 Condition Look up'!$A$3:$H$135,MATCH(S14,'G-8 Condition Look up'!$A$3:$A$135,0),MATCH(Y14,'G-8 Condition Look up'!$A$3:$H$3,0)),"")</f>
        <v/>
      </c>
      <c r="AA14" s="52"/>
      <c r="AB14" s="295" t="str">
        <f>IF(AA14="","",IF(VLOOKUP(AA14,'G-3 Multipliers'!$L$3:$N$6,2,FALSE)=0,"Spatial Data Missing ⚠",VLOOKUP(AA14,'G-3 Multipliers'!$L$3:$N$6,2,FALSE)))</f>
        <v/>
      </c>
      <c r="AC14" s="299" t="str">
        <f>IF(AA14="","",IF(VLOOKUP(AA14,'G-3 Multipliers'!$L$3:$N$6,3,FALSE)=0,"Spatial Data Missing ⚠",VLOOKUP(AA14,'G-3 Multipliers'!$L$3:$N$6,3,FALSE)))</f>
        <v/>
      </c>
      <c r="AD14" s="313" t="str">
        <f t="shared" si="4"/>
        <v/>
      </c>
      <c r="AE14" s="58"/>
      <c r="AF14" s="58"/>
      <c r="AG14" s="283" t="str">
        <f t="shared" si="5"/>
        <v/>
      </c>
      <c r="AH14" s="296" t="str">
        <f t="shared" si="6"/>
        <v/>
      </c>
      <c r="AI14" s="297" t="str">
        <f>IF(AH14="Check Data ⚠","Check Data ⚠",IFERROR(VLOOKUP(AH14,'G-4 Temporal multipliers'!$A$4:$C$36,3,FALSE),""))</f>
        <v/>
      </c>
      <c r="AJ14" s="275" t="str">
        <f>IF(S14="","",VLOOKUP(S14,'G-3 Multipliers'!$A$2:$E$134,4,FALSE))</f>
        <v/>
      </c>
      <c r="AK14" s="283" t="str">
        <f t="shared" si="7"/>
        <v/>
      </c>
      <c r="AL14" s="283" t="str">
        <f t="shared" si="8"/>
        <v/>
      </c>
      <c r="AM14" s="314" t="str">
        <f>IFERROR(IF(F14="","",IF(AH14="Check Data ⚠","Check Data ⚠",VLOOKUP(AL14,'G-3 Multipliers'!$P$2:$Q$6,2,FALSE))),"")</f>
        <v/>
      </c>
      <c r="AN14" s="289" t="str">
        <f t="shared" si="9"/>
        <v/>
      </c>
      <c r="AO14" s="52"/>
      <c r="AP14" s="51"/>
      <c r="AQ14" s="104"/>
      <c r="AT14" s="35" t="str">
        <f t="shared" si="10"/>
        <v>No</v>
      </c>
      <c r="AU14" s="35" t="str">
        <f>IF(E14="","",IF(ISNA(VLOOKUP($E14,'A-1 On-Site Habitat Baseline'!$D$1:$AV$258,4,FALSE)),"",(VLOOKUP($E14,'A-1 On-Site Habitat Baseline'!$D$1:$AV$258,4,FALSE))))</f>
        <v/>
      </c>
    </row>
    <row r="15" spans="1:47" ht="14">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05" t="str">
        <f>'A-1 On-Site Habitat Baseline'!AL14</f>
        <v/>
      </c>
      <c r="F15" s="295" t="str">
        <f>IF(E15="","",IF(ISNA(VLOOKUP($E15,'A-1 On-Site Habitat Baseline'!$D$1:$AV$258,45,FALSE)),"",(VLOOKUP($E15,'A-1 On-Site Habitat Baseline'!$D$1:$AV$258,45,FALSE))))</f>
        <v/>
      </c>
      <c r="G15" s="295" t="str">
        <f>IF(E15="","",IF(ISNA(VLOOKUP($E15,'A-1 On-Site Habitat Baseline'!$D$1:$O$258,5,FALSE)),"",(VLOOKUP($E15,'A-1 On-Site Habitat Baseline'!$D$1:$O$258,5,FALSE))))</f>
        <v/>
      </c>
      <c r="H15" s="295" t="str">
        <f>IF(E15="","",IF(ISNA(VLOOKUP($E15,'A-1 On-Site Habitat Baseline'!$D$1:$O$258,6,FALSE)),"",(VLOOKUP($E15,'A-1 On-Site Habitat Baseline'!$D$1:$O$258,6,FALSE))))</f>
        <v/>
      </c>
      <c r="I15" s="295" t="str">
        <f>IF(E15="","",IF(ISNA(VLOOKUP($E15,'A-1 On-Site Habitat Baseline'!$D$1:$O$258,7,FALSE)),"",(VLOOKUP($E15,'A-1 On-Site Habitat Baseline'!$D$1:$O$258,7,FALSE))))</f>
        <v/>
      </c>
      <c r="J15" s="295" t="str">
        <f>IF(E15="","",IF(ISNA(VLOOKUP($E15,'A-1 On-Site Habitat Baseline'!$D$1:$O$258,8,FALSE)),"",(VLOOKUP($E15,'A-1 On-Site Habitat Baseline'!$D$1:$O$258,8,FALSE))))</f>
        <v/>
      </c>
      <c r="K15" s="295" t="str">
        <f>IF(E15="","",IF(ISNA(VLOOKUP($E15,'A-1 On-Site Habitat Baseline'!$D$1:$O$258,9,FALSE)),"",(VLOOKUP($E15,'A-1 On-Site Habitat Baseline'!$D$1:$O$258,9,FALSE))))</f>
        <v/>
      </c>
      <c r="L15" s="295" t="str">
        <f>IF(E15="","",IF(ISNA(VLOOKUP($E15,'A-1 On-Site Habitat Baseline'!$D$1:$O$258,11,FALSE)),"",(VLOOKUP($E15,'A-1 On-Site Habitat Baseline'!$D$1:$O$258,11,FALSE))))</f>
        <v/>
      </c>
      <c r="M15" s="295" t="str">
        <f>IF(E15="","",IF(ISNA(VLOOKUP($E15,'A-1 On-Site Habitat Baseline'!$D$1:$O$258,12,FALSE)),"",(VLOOKUP($E15,'A-1 On-Site Habitat Baseline'!$D$1:$O$258,12,FALSE))))</f>
        <v/>
      </c>
      <c r="N15" s="306" t="str">
        <f>IF(E15="","",IF(ISNA(VLOOKUP($E15,'A-1 On-Site Habitat Baseline'!$D$1:$X$258,14,FALSE)),"",(VLOOKUP($E15,'A-1 On-Site Habitat Baseline'!$D$1:$X$258,14,FALSE))))</f>
        <v/>
      </c>
      <c r="O15" s="299" t="str">
        <f>IF(E15="","",IF(ISNA(VLOOKUP($E15,'A-1 On-Site Habitat Baseline'!$D$1:$X$258,16,FALSE)),"",(VLOOKUP($E15,'A-1 On-Site Habitat Baseline'!$D$1:$X$258,13,FALSE))))</f>
        <v/>
      </c>
      <c r="P15" s="154" t="str">
        <f>IFERROR(INDEX('G-1 All Habitats'!$AG$49:$AG$63,MATCH(Q15,'G-1 All Habitats'!$AF$27:$AF$41,0)),"")</f>
        <v/>
      </c>
      <c r="Q15" s="155" t="str">
        <f t="shared" si="0"/>
        <v/>
      </c>
      <c r="R15" s="155"/>
      <c r="S15" s="237" t="str">
        <f>IFERROR(INDEX('G-1 All Habitats'!$B$3:$B$135,MATCH(R15,'G-1 All Habitats'!$A$3:$A$135,0)),"")</f>
        <v/>
      </c>
      <c r="T15" s="275" t="str">
        <f t="shared" si="1"/>
        <v/>
      </c>
      <c r="U15" s="276" t="str">
        <f t="shared" si="2"/>
        <v/>
      </c>
      <c r="V15" s="311" t="str">
        <f t="shared" si="3"/>
        <v/>
      </c>
      <c r="W15" s="295" t="str">
        <f>IF(S15="","",VLOOKUP(S15,'G-1 All Habitats'!$B$2:$M$135,10,FALSE))</f>
        <v/>
      </c>
      <c r="X15" s="295" t="str">
        <f>IFERROR(VLOOKUP(W15,'G-1 All Habitats'!$V$3:$W$7,2,FALSE),"")</f>
        <v/>
      </c>
      <c r="Y15" s="57"/>
      <c r="Z15" s="299" t="str">
        <f>IFERROR(INDEX('G-8 Condition Look up'!$A$3:$H$135,MATCH(S15,'G-8 Condition Look up'!$A$3:$A$135,0),MATCH(Y15,'G-8 Condition Look up'!$A$3:$H$3,0)),"")</f>
        <v/>
      </c>
      <c r="AA15" s="52"/>
      <c r="AB15" s="295" t="str">
        <f>IF(AA15="","",IF(VLOOKUP(AA15,'G-3 Multipliers'!$L$3:$N$6,2,FALSE)=0,"Spatial Data Missing ⚠",VLOOKUP(AA15,'G-3 Multipliers'!$L$3:$N$6,2,FALSE)))</f>
        <v/>
      </c>
      <c r="AC15" s="299" t="str">
        <f>IF(AA15="","",IF(VLOOKUP(AA15,'G-3 Multipliers'!$L$3:$N$6,3,FALSE)=0,"Spatial Data Missing ⚠",VLOOKUP(AA15,'G-3 Multipliers'!$L$3:$N$6,3,FALSE)))</f>
        <v/>
      </c>
      <c r="AD15" s="313" t="str">
        <f t="shared" si="4"/>
        <v/>
      </c>
      <c r="AE15" s="58"/>
      <c r="AF15" s="58"/>
      <c r="AG15" s="283" t="str">
        <f t="shared" si="5"/>
        <v/>
      </c>
      <c r="AH15" s="296" t="str">
        <f t="shared" si="6"/>
        <v/>
      </c>
      <c r="AI15" s="297" t="str">
        <f>IF(AH15="Check Data ⚠","Check Data ⚠",IFERROR(VLOOKUP(AH15,'G-4 Temporal multipliers'!$A$4:$C$36,3,FALSE),""))</f>
        <v/>
      </c>
      <c r="AJ15" s="275" t="str">
        <f>IF(S15="","",VLOOKUP(S15,'G-3 Multipliers'!$A$2:$E$134,4,FALSE))</f>
        <v/>
      </c>
      <c r="AK15" s="283" t="str">
        <f t="shared" si="7"/>
        <v/>
      </c>
      <c r="AL15" s="283" t="str">
        <f t="shared" si="8"/>
        <v/>
      </c>
      <c r="AM15" s="314" t="str">
        <f>IFERROR(IF(F15="","",IF(AH15="Check Data ⚠","Check Data ⚠",VLOOKUP(AL15,'G-3 Multipliers'!$P$2:$Q$6,2,FALSE))),"")</f>
        <v/>
      </c>
      <c r="AN15" s="289" t="str">
        <f t="shared" si="9"/>
        <v/>
      </c>
      <c r="AO15" s="52"/>
      <c r="AP15" s="51"/>
      <c r="AQ15" s="104"/>
      <c r="AT15" s="35" t="str">
        <f t="shared" si="10"/>
        <v>No</v>
      </c>
      <c r="AU15" s="35" t="str">
        <f>IF(E15="","",IF(ISNA(VLOOKUP($E15,'A-1 On-Site Habitat Baseline'!$D$1:$AV$258,4,FALSE)),"",(VLOOKUP($E15,'A-1 On-Site Habitat Baseline'!$D$1:$AV$258,4,FALSE))))</f>
        <v/>
      </c>
    </row>
    <row r="16" spans="1:47" ht="14">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05" t="str">
        <f>'A-1 On-Site Habitat Baseline'!AL15</f>
        <v/>
      </c>
      <c r="F16" s="295" t="str">
        <f>IF(E16="","",IF(ISNA(VLOOKUP($E16,'A-1 On-Site Habitat Baseline'!$D$1:$AV$258,45,FALSE)),"",(VLOOKUP($E16,'A-1 On-Site Habitat Baseline'!$D$1:$AV$258,45,FALSE))))</f>
        <v/>
      </c>
      <c r="G16" s="295" t="str">
        <f>IF(E16="","",IF(ISNA(VLOOKUP($E16,'A-1 On-Site Habitat Baseline'!$D$1:$O$258,5,FALSE)),"",(VLOOKUP($E16,'A-1 On-Site Habitat Baseline'!$D$1:$O$258,5,FALSE))))</f>
        <v/>
      </c>
      <c r="H16" s="295" t="str">
        <f>IF(E16="","",IF(ISNA(VLOOKUP($E16,'A-1 On-Site Habitat Baseline'!$D$1:$O$258,6,FALSE)),"",(VLOOKUP($E16,'A-1 On-Site Habitat Baseline'!$D$1:$O$258,6,FALSE))))</f>
        <v/>
      </c>
      <c r="I16" s="295" t="str">
        <f>IF(E16="","",IF(ISNA(VLOOKUP($E16,'A-1 On-Site Habitat Baseline'!$D$1:$O$258,7,FALSE)),"",(VLOOKUP($E16,'A-1 On-Site Habitat Baseline'!$D$1:$O$258,7,FALSE))))</f>
        <v/>
      </c>
      <c r="J16" s="295" t="str">
        <f>IF(E16="","",IF(ISNA(VLOOKUP($E16,'A-1 On-Site Habitat Baseline'!$D$1:$O$258,8,FALSE)),"",(VLOOKUP($E16,'A-1 On-Site Habitat Baseline'!$D$1:$O$258,8,FALSE))))</f>
        <v/>
      </c>
      <c r="K16" s="295" t="str">
        <f>IF(E16="","",IF(ISNA(VLOOKUP($E16,'A-1 On-Site Habitat Baseline'!$D$1:$O$258,9,FALSE)),"",(VLOOKUP($E16,'A-1 On-Site Habitat Baseline'!$D$1:$O$258,9,FALSE))))</f>
        <v/>
      </c>
      <c r="L16" s="295" t="str">
        <f>IF(E16="","",IF(ISNA(VLOOKUP($E16,'A-1 On-Site Habitat Baseline'!$D$1:$O$258,11,FALSE)),"",(VLOOKUP($E16,'A-1 On-Site Habitat Baseline'!$D$1:$O$258,11,FALSE))))</f>
        <v/>
      </c>
      <c r="M16" s="295" t="str">
        <f>IF(E16="","",IF(ISNA(VLOOKUP($E16,'A-1 On-Site Habitat Baseline'!$D$1:$O$258,12,FALSE)),"",(VLOOKUP($E16,'A-1 On-Site Habitat Baseline'!$D$1:$O$258,12,FALSE))))</f>
        <v/>
      </c>
      <c r="N16" s="306" t="str">
        <f>IF(E16="","",IF(ISNA(VLOOKUP($E16,'A-1 On-Site Habitat Baseline'!$D$1:$X$258,14,FALSE)),"",(VLOOKUP($E16,'A-1 On-Site Habitat Baseline'!$D$1:$X$258,14,FALSE))))</f>
        <v/>
      </c>
      <c r="O16" s="299" t="str">
        <f>IF(E16="","",IF(ISNA(VLOOKUP($E16,'A-1 On-Site Habitat Baseline'!$D$1:$X$258,16,FALSE)),"",(VLOOKUP($E16,'A-1 On-Site Habitat Baseline'!$D$1:$X$258,13,FALSE))))</f>
        <v/>
      </c>
      <c r="P16" s="154" t="str">
        <f>IFERROR(INDEX('G-1 All Habitats'!$AG$49:$AG$63,MATCH(Q16,'G-1 All Habitats'!$AF$27:$AF$41,0)),"")</f>
        <v/>
      </c>
      <c r="Q16" s="155" t="str">
        <f t="shared" si="0"/>
        <v/>
      </c>
      <c r="R16" s="155"/>
      <c r="S16" s="237" t="str">
        <f>IFERROR(INDEX('G-1 All Habitats'!$B$3:$B$135,MATCH(R16,'G-1 All Habitats'!$A$3:$A$135,0)),"")</f>
        <v/>
      </c>
      <c r="T16" s="275" t="str">
        <f t="shared" si="1"/>
        <v/>
      </c>
      <c r="U16" s="276" t="str">
        <f t="shared" si="2"/>
        <v/>
      </c>
      <c r="V16" s="311" t="str">
        <f t="shared" si="3"/>
        <v/>
      </c>
      <c r="W16" s="295" t="str">
        <f>IF(S16="","",VLOOKUP(S16,'G-1 All Habitats'!$B$2:$M$135,10,FALSE))</f>
        <v/>
      </c>
      <c r="X16" s="295" t="str">
        <f>IFERROR(VLOOKUP(W16,'G-1 All Habitats'!$V$3:$W$7,2,FALSE),"")</f>
        <v/>
      </c>
      <c r="Y16" s="57"/>
      <c r="Z16" s="299" t="str">
        <f>IFERROR(INDEX('G-8 Condition Look up'!$A$3:$H$135,MATCH(S16,'G-8 Condition Look up'!$A$3:$A$135,0),MATCH(Y16,'G-8 Condition Look up'!$A$3:$H$3,0)),"")</f>
        <v/>
      </c>
      <c r="AA16" s="52"/>
      <c r="AB16" s="295" t="str">
        <f>IF(AA16="","",IF(VLOOKUP(AA16,'G-3 Multipliers'!$L$3:$N$6,2,FALSE)=0,"Spatial Data Missing ⚠",VLOOKUP(AA16,'G-3 Multipliers'!$L$3:$N$6,2,FALSE)))</f>
        <v/>
      </c>
      <c r="AC16" s="299" t="str">
        <f>IF(AA16="","",IF(VLOOKUP(AA16,'G-3 Multipliers'!$L$3:$N$6,3,FALSE)=0,"Spatial Data Missing ⚠",VLOOKUP(AA16,'G-3 Multipliers'!$L$3:$N$6,3,FALSE)))</f>
        <v/>
      </c>
      <c r="AD16" s="313" t="str">
        <f t="shared" si="4"/>
        <v/>
      </c>
      <c r="AE16" s="58"/>
      <c r="AF16" s="58"/>
      <c r="AG16" s="283" t="str">
        <f t="shared" si="5"/>
        <v/>
      </c>
      <c r="AH16" s="296" t="str">
        <f t="shared" si="6"/>
        <v/>
      </c>
      <c r="AI16" s="297" t="str">
        <f>IF(AH16="Check Data ⚠","Check Data ⚠",IFERROR(VLOOKUP(AH16,'G-4 Temporal multipliers'!$A$4:$C$36,3,FALSE),""))</f>
        <v/>
      </c>
      <c r="AJ16" s="275" t="str">
        <f>IF(S16="","",VLOOKUP(S16,'G-3 Multipliers'!$A$2:$E$134,4,FALSE))</f>
        <v/>
      </c>
      <c r="AK16" s="283" t="str">
        <f t="shared" si="7"/>
        <v/>
      </c>
      <c r="AL16" s="283" t="str">
        <f t="shared" si="8"/>
        <v/>
      </c>
      <c r="AM16" s="314" t="str">
        <f>IFERROR(IF(F16="","",IF(AH16="Check Data ⚠","Check Data ⚠",VLOOKUP(AL16,'G-3 Multipliers'!$P$2:$Q$6,2,FALSE))),"")</f>
        <v/>
      </c>
      <c r="AN16" s="289" t="str">
        <f t="shared" si="9"/>
        <v/>
      </c>
      <c r="AO16" s="52"/>
      <c r="AP16" s="51"/>
      <c r="AQ16" s="104"/>
      <c r="AT16" s="35" t="str">
        <f t="shared" si="10"/>
        <v>No</v>
      </c>
      <c r="AU16" s="35" t="str">
        <f>IF(E16="","",IF(ISNA(VLOOKUP($E16,'A-1 On-Site Habitat Baseline'!$D$1:$AV$258,4,FALSE)),"",(VLOOKUP($E16,'A-1 On-Site Habitat Baseline'!$D$1:$AV$258,4,FALSE))))</f>
        <v/>
      </c>
    </row>
    <row r="17" spans="1:47" ht="14">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05" t="str">
        <f>'A-1 On-Site Habitat Baseline'!AL16</f>
        <v/>
      </c>
      <c r="F17" s="295" t="str">
        <f>IF(E17="","",IF(ISNA(VLOOKUP($E17,'A-1 On-Site Habitat Baseline'!$D$1:$AV$258,45,FALSE)),"",(VLOOKUP($E17,'A-1 On-Site Habitat Baseline'!$D$1:$AV$258,45,FALSE))))</f>
        <v/>
      </c>
      <c r="G17" s="295" t="str">
        <f>IF(E17="","",IF(ISNA(VLOOKUP($E17,'A-1 On-Site Habitat Baseline'!$D$1:$O$258,5,FALSE)),"",(VLOOKUP($E17,'A-1 On-Site Habitat Baseline'!$D$1:$O$258,5,FALSE))))</f>
        <v/>
      </c>
      <c r="H17" s="295" t="str">
        <f>IF(E17="","",IF(ISNA(VLOOKUP($E17,'A-1 On-Site Habitat Baseline'!$D$1:$O$258,6,FALSE)),"",(VLOOKUP($E17,'A-1 On-Site Habitat Baseline'!$D$1:$O$258,6,FALSE))))</f>
        <v/>
      </c>
      <c r="I17" s="295" t="str">
        <f>IF(E17="","",IF(ISNA(VLOOKUP($E17,'A-1 On-Site Habitat Baseline'!$D$1:$O$258,7,FALSE)),"",(VLOOKUP($E17,'A-1 On-Site Habitat Baseline'!$D$1:$O$258,7,FALSE))))</f>
        <v/>
      </c>
      <c r="J17" s="295" t="str">
        <f>IF(E17="","",IF(ISNA(VLOOKUP($E17,'A-1 On-Site Habitat Baseline'!$D$1:$O$258,8,FALSE)),"",(VLOOKUP($E17,'A-1 On-Site Habitat Baseline'!$D$1:$O$258,8,FALSE))))</f>
        <v/>
      </c>
      <c r="K17" s="295" t="str">
        <f>IF(E17="","",IF(ISNA(VLOOKUP($E17,'A-1 On-Site Habitat Baseline'!$D$1:$O$258,9,FALSE)),"",(VLOOKUP($E17,'A-1 On-Site Habitat Baseline'!$D$1:$O$258,9,FALSE))))</f>
        <v/>
      </c>
      <c r="L17" s="295" t="str">
        <f>IF(E17="","",IF(ISNA(VLOOKUP($E17,'A-1 On-Site Habitat Baseline'!$D$1:$O$258,11,FALSE)),"",(VLOOKUP($E17,'A-1 On-Site Habitat Baseline'!$D$1:$O$258,11,FALSE))))</f>
        <v/>
      </c>
      <c r="M17" s="295" t="str">
        <f>IF(E17="","",IF(ISNA(VLOOKUP($E17,'A-1 On-Site Habitat Baseline'!$D$1:$O$258,12,FALSE)),"",(VLOOKUP($E17,'A-1 On-Site Habitat Baseline'!$D$1:$O$258,12,FALSE))))</f>
        <v/>
      </c>
      <c r="N17" s="306" t="str">
        <f>IF(E17="","",IF(ISNA(VLOOKUP($E17,'A-1 On-Site Habitat Baseline'!$D$1:$X$258,14,FALSE)),"",(VLOOKUP($E17,'A-1 On-Site Habitat Baseline'!$D$1:$X$258,14,FALSE))))</f>
        <v/>
      </c>
      <c r="O17" s="299" t="str">
        <f>IF(E17="","",IF(ISNA(VLOOKUP($E17,'A-1 On-Site Habitat Baseline'!$D$1:$X$258,16,FALSE)),"",(VLOOKUP($E17,'A-1 On-Site Habitat Baseline'!$D$1:$X$258,13,FALSE))))</f>
        <v/>
      </c>
      <c r="P17" s="154" t="str">
        <f>IFERROR(INDEX('G-1 All Habitats'!$AG$49:$AG$63,MATCH(Q17,'G-1 All Habitats'!$AF$27:$AF$41,0)),"")</f>
        <v/>
      </c>
      <c r="Q17" s="155" t="str">
        <f t="shared" si="0"/>
        <v/>
      </c>
      <c r="R17" s="155"/>
      <c r="S17" s="237" t="str">
        <f>IFERROR(INDEX('G-1 All Habitats'!$B$3:$B$135,MATCH(R17,'G-1 All Habitats'!$A$3:$A$135,0)),"")</f>
        <v/>
      </c>
      <c r="T17" s="275" t="str">
        <f t="shared" si="1"/>
        <v/>
      </c>
      <c r="U17" s="276" t="str">
        <f t="shared" si="2"/>
        <v/>
      </c>
      <c r="V17" s="311" t="str">
        <f t="shared" si="3"/>
        <v/>
      </c>
      <c r="W17" s="295" t="str">
        <f>IF(S17="","",VLOOKUP(S17,'G-1 All Habitats'!$B$2:$M$135,10,FALSE))</f>
        <v/>
      </c>
      <c r="X17" s="295" t="str">
        <f>IFERROR(VLOOKUP(W17,'G-1 All Habitats'!$V$3:$W$7,2,FALSE),"")</f>
        <v/>
      </c>
      <c r="Y17" s="57"/>
      <c r="Z17" s="299" t="str">
        <f>IFERROR(INDEX('G-8 Condition Look up'!$A$3:$H$135,MATCH(S17,'G-8 Condition Look up'!$A$3:$A$135,0),MATCH(Y17,'G-8 Condition Look up'!$A$3:$H$3,0)),"")</f>
        <v/>
      </c>
      <c r="AA17" s="52"/>
      <c r="AB17" s="295" t="str">
        <f>IF(AA17="","",IF(VLOOKUP(AA17,'G-3 Multipliers'!$L$3:$N$6,2,FALSE)=0,"Spatial Data Missing ⚠",VLOOKUP(AA17,'G-3 Multipliers'!$L$3:$N$6,2,FALSE)))</f>
        <v/>
      </c>
      <c r="AC17" s="299" t="str">
        <f>IF(AA17="","",IF(VLOOKUP(AA17,'G-3 Multipliers'!$L$3:$N$6,3,FALSE)=0,"Spatial Data Missing ⚠",VLOOKUP(AA17,'G-3 Multipliers'!$L$3:$N$6,3,FALSE)))</f>
        <v/>
      </c>
      <c r="AD17" s="313" t="str">
        <f t="shared" si="4"/>
        <v/>
      </c>
      <c r="AE17" s="58"/>
      <c r="AF17" s="58"/>
      <c r="AG17" s="283" t="str">
        <f t="shared" si="5"/>
        <v/>
      </c>
      <c r="AH17" s="296" t="str">
        <f t="shared" si="6"/>
        <v/>
      </c>
      <c r="AI17" s="297" t="str">
        <f>IF(AH17="Check Data ⚠","Check Data ⚠",IFERROR(VLOOKUP(AH17,'G-4 Temporal multipliers'!$A$4:$C$36,3,FALSE),""))</f>
        <v/>
      </c>
      <c r="AJ17" s="275" t="str">
        <f>IF(S17="","",VLOOKUP(S17,'G-3 Multipliers'!$A$2:$E$134,4,FALSE))</f>
        <v/>
      </c>
      <c r="AK17" s="283" t="str">
        <f t="shared" si="7"/>
        <v/>
      </c>
      <c r="AL17" s="283" t="str">
        <f t="shared" si="8"/>
        <v/>
      </c>
      <c r="AM17" s="314" t="str">
        <f>IFERROR(IF(F17="","",IF(AH17="Check Data ⚠","Check Data ⚠",VLOOKUP(AL17,'G-3 Multipliers'!$P$2:$Q$6,2,FALSE))),"")</f>
        <v/>
      </c>
      <c r="AN17" s="289" t="str">
        <f t="shared" si="9"/>
        <v/>
      </c>
      <c r="AO17" s="52"/>
      <c r="AP17" s="51"/>
      <c r="AQ17" s="104"/>
      <c r="AT17" s="35" t="str">
        <f t="shared" si="10"/>
        <v>No</v>
      </c>
      <c r="AU17" s="35" t="str">
        <f>IF(E17="","",IF(ISNA(VLOOKUP($E17,'A-1 On-Site Habitat Baseline'!$D$1:$AV$258,4,FALSE)),"",(VLOOKUP($E17,'A-1 On-Site Habitat Baseline'!$D$1:$AV$258,4,FALSE))))</f>
        <v/>
      </c>
    </row>
    <row r="18" spans="1:47" ht="14">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05" t="str">
        <f>'A-1 On-Site Habitat Baseline'!AL17</f>
        <v/>
      </c>
      <c r="F18" s="295" t="str">
        <f>IF(E18="","",IF(ISNA(VLOOKUP($E18,'A-1 On-Site Habitat Baseline'!$D$1:$AV$258,45,FALSE)),"",(VLOOKUP($E18,'A-1 On-Site Habitat Baseline'!$D$1:$AV$258,45,FALSE))))</f>
        <v/>
      </c>
      <c r="G18" s="295" t="str">
        <f>IF(E18="","",IF(ISNA(VLOOKUP($E18,'A-1 On-Site Habitat Baseline'!$D$1:$O$258,5,FALSE)),"",(VLOOKUP($E18,'A-1 On-Site Habitat Baseline'!$D$1:$O$258,5,FALSE))))</f>
        <v/>
      </c>
      <c r="H18" s="295" t="str">
        <f>IF(E18="","",IF(ISNA(VLOOKUP($E18,'A-1 On-Site Habitat Baseline'!$D$1:$O$258,6,FALSE)),"",(VLOOKUP($E18,'A-1 On-Site Habitat Baseline'!$D$1:$O$258,6,FALSE))))</f>
        <v/>
      </c>
      <c r="I18" s="295" t="str">
        <f>IF(E18="","",IF(ISNA(VLOOKUP($E18,'A-1 On-Site Habitat Baseline'!$D$1:$O$258,7,FALSE)),"",(VLOOKUP($E18,'A-1 On-Site Habitat Baseline'!$D$1:$O$258,7,FALSE))))</f>
        <v/>
      </c>
      <c r="J18" s="295" t="str">
        <f>IF(E18="","",IF(ISNA(VLOOKUP($E18,'A-1 On-Site Habitat Baseline'!$D$1:$O$258,8,FALSE)),"",(VLOOKUP($E18,'A-1 On-Site Habitat Baseline'!$D$1:$O$258,8,FALSE))))</f>
        <v/>
      </c>
      <c r="K18" s="295" t="str">
        <f>IF(E18="","",IF(ISNA(VLOOKUP($E18,'A-1 On-Site Habitat Baseline'!$D$1:$O$258,9,FALSE)),"",(VLOOKUP($E18,'A-1 On-Site Habitat Baseline'!$D$1:$O$258,9,FALSE))))</f>
        <v/>
      </c>
      <c r="L18" s="295" t="str">
        <f>IF(E18="","",IF(ISNA(VLOOKUP($E18,'A-1 On-Site Habitat Baseline'!$D$1:$O$258,11,FALSE)),"",(VLOOKUP($E18,'A-1 On-Site Habitat Baseline'!$D$1:$O$258,11,FALSE))))</f>
        <v/>
      </c>
      <c r="M18" s="295" t="str">
        <f>IF(E18="","",IF(ISNA(VLOOKUP($E18,'A-1 On-Site Habitat Baseline'!$D$1:$O$258,12,FALSE)),"",(VLOOKUP($E18,'A-1 On-Site Habitat Baseline'!$D$1:$O$258,12,FALSE))))</f>
        <v/>
      </c>
      <c r="N18" s="306" t="str">
        <f>IF(E18="","",IF(ISNA(VLOOKUP($E18,'A-1 On-Site Habitat Baseline'!$D$1:$X$258,14,FALSE)),"",(VLOOKUP($E18,'A-1 On-Site Habitat Baseline'!$D$1:$X$258,14,FALSE))))</f>
        <v/>
      </c>
      <c r="O18" s="299" t="str">
        <f>IF(E18="","",IF(ISNA(VLOOKUP($E18,'A-1 On-Site Habitat Baseline'!$D$1:$X$258,16,FALSE)),"",(VLOOKUP($E18,'A-1 On-Site Habitat Baseline'!$D$1:$X$258,13,FALSE))))</f>
        <v/>
      </c>
      <c r="P18" s="154" t="str">
        <f>IFERROR(INDEX('G-1 All Habitats'!$AG$49:$AG$63,MATCH(Q18,'G-1 All Habitats'!$AF$27:$AF$41,0)),"")</f>
        <v/>
      </c>
      <c r="Q18" s="155" t="str">
        <f t="shared" si="0"/>
        <v/>
      </c>
      <c r="R18" s="155"/>
      <c r="S18" s="237" t="str">
        <f>IFERROR(INDEX('G-1 All Habitats'!$B$3:$B$135,MATCH(R18,'G-1 All Habitats'!$A$3:$A$135,0)),"")</f>
        <v/>
      </c>
      <c r="T18" s="275" t="str">
        <f t="shared" si="1"/>
        <v/>
      </c>
      <c r="U18" s="276" t="str">
        <f t="shared" si="2"/>
        <v/>
      </c>
      <c r="V18" s="311" t="str">
        <f t="shared" si="3"/>
        <v/>
      </c>
      <c r="W18" s="295" t="str">
        <f>IF(S18="","",VLOOKUP(S18,'G-1 All Habitats'!$B$2:$M$135,10,FALSE))</f>
        <v/>
      </c>
      <c r="X18" s="295" t="str">
        <f>IFERROR(VLOOKUP(W18,'G-1 All Habitats'!$V$3:$W$7,2,FALSE),"")</f>
        <v/>
      </c>
      <c r="Y18" s="57"/>
      <c r="Z18" s="299" t="str">
        <f>IFERROR(INDEX('G-8 Condition Look up'!$A$3:$H$135,MATCH(S18,'G-8 Condition Look up'!$A$3:$A$135,0),MATCH(Y18,'G-8 Condition Look up'!$A$3:$H$3,0)),"")</f>
        <v/>
      </c>
      <c r="AA18" s="52"/>
      <c r="AB18" s="295" t="str">
        <f>IF(AA18="","",IF(VLOOKUP(AA18,'G-3 Multipliers'!$L$3:$N$6,2,FALSE)=0,"Spatial Data Missing ⚠",VLOOKUP(AA18,'G-3 Multipliers'!$L$3:$N$6,2,FALSE)))</f>
        <v/>
      </c>
      <c r="AC18" s="299" t="str">
        <f>IF(AA18="","",IF(VLOOKUP(AA18,'G-3 Multipliers'!$L$3:$N$6,3,FALSE)=0,"Spatial Data Missing ⚠",VLOOKUP(AA18,'G-3 Multipliers'!$L$3:$N$6,3,FALSE)))</f>
        <v/>
      </c>
      <c r="AD18" s="313" t="str">
        <f t="shared" si="4"/>
        <v/>
      </c>
      <c r="AE18" s="58"/>
      <c r="AF18" s="58"/>
      <c r="AG18" s="283" t="str">
        <f t="shared" si="5"/>
        <v/>
      </c>
      <c r="AH18" s="296" t="str">
        <f t="shared" si="6"/>
        <v/>
      </c>
      <c r="AI18" s="297" t="str">
        <f>IF(AH18="Check Data ⚠","Check Data ⚠",IFERROR(VLOOKUP(AH18,'G-4 Temporal multipliers'!$A$4:$C$36,3,FALSE),""))</f>
        <v/>
      </c>
      <c r="AJ18" s="275" t="str">
        <f>IF(S18="","",VLOOKUP(S18,'G-3 Multipliers'!$A$2:$E$134,4,FALSE))</f>
        <v/>
      </c>
      <c r="AK18" s="283" t="str">
        <f t="shared" si="7"/>
        <v/>
      </c>
      <c r="AL18" s="283" t="str">
        <f t="shared" si="8"/>
        <v/>
      </c>
      <c r="AM18" s="314" t="str">
        <f>IFERROR(IF(F18="","",IF(AH18="Check Data ⚠","Check Data ⚠",VLOOKUP(AL18,'G-3 Multipliers'!$P$2:$Q$6,2,FALSE))),"")</f>
        <v/>
      </c>
      <c r="AN18" s="289" t="str">
        <f t="shared" si="9"/>
        <v/>
      </c>
      <c r="AO18" s="52"/>
      <c r="AP18" s="51"/>
      <c r="AQ18" s="104"/>
      <c r="AT18" s="35" t="str">
        <f t="shared" si="10"/>
        <v>No</v>
      </c>
      <c r="AU18" s="35" t="str">
        <f>IF(E18="","",IF(ISNA(VLOOKUP($E18,'A-1 On-Site Habitat Baseline'!$D$1:$AV$258,4,FALSE)),"",(VLOOKUP($E18,'A-1 On-Site Habitat Baseline'!$D$1:$AV$258,4,FALSE))))</f>
        <v/>
      </c>
    </row>
    <row r="19" spans="1:47" ht="14">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05" t="str">
        <f>'A-1 On-Site Habitat Baseline'!AL18</f>
        <v/>
      </c>
      <c r="F19" s="295" t="str">
        <f>IF(E19="","",IF(ISNA(VLOOKUP($E19,'A-1 On-Site Habitat Baseline'!$D$1:$AV$258,45,FALSE)),"",(VLOOKUP($E19,'A-1 On-Site Habitat Baseline'!$D$1:$AV$258,45,FALSE))))</f>
        <v/>
      </c>
      <c r="G19" s="295" t="str">
        <f>IF(E19="","",IF(ISNA(VLOOKUP($E19,'A-1 On-Site Habitat Baseline'!$D$1:$O$258,5,FALSE)),"",(VLOOKUP($E19,'A-1 On-Site Habitat Baseline'!$D$1:$O$258,5,FALSE))))</f>
        <v/>
      </c>
      <c r="H19" s="295" t="str">
        <f>IF(E19="","",IF(ISNA(VLOOKUP($E19,'A-1 On-Site Habitat Baseline'!$D$1:$O$258,6,FALSE)),"",(VLOOKUP($E19,'A-1 On-Site Habitat Baseline'!$D$1:$O$258,6,FALSE))))</f>
        <v/>
      </c>
      <c r="I19" s="295" t="str">
        <f>IF(E19="","",IF(ISNA(VLOOKUP($E19,'A-1 On-Site Habitat Baseline'!$D$1:$O$258,7,FALSE)),"",(VLOOKUP($E19,'A-1 On-Site Habitat Baseline'!$D$1:$O$258,7,FALSE))))</f>
        <v/>
      </c>
      <c r="J19" s="295" t="str">
        <f>IF(E19="","",IF(ISNA(VLOOKUP($E19,'A-1 On-Site Habitat Baseline'!$D$1:$O$258,8,FALSE)),"",(VLOOKUP($E19,'A-1 On-Site Habitat Baseline'!$D$1:$O$258,8,FALSE))))</f>
        <v/>
      </c>
      <c r="K19" s="295" t="str">
        <f>IF(E19="","",IF(ISNA(VLOOKUP($E19,'A-1 On-Site Habitat Baseline'!$D$1:$O$258,9,FALSE)),"",(VLOOKUP($E19,'A-1 On-Site Habitat Baseline'!$D$1:$O$258,9,FALSE))))</f>
        <v/>
      </c>
      <c r="L19" s="295" t="str">
        <f>IF(E19="","",IF(ISNA(VLOOKUP($E19,'A-1 On-Site Habitat Baseline'!$D$1:$O$258,11,FALSE)),"",(VLOOKUP($E19,'A-1 On-Site Habitat Baseline'!$D$1:$O$258,11,FALSE))))</f>
        <v/>
      </c>
      <c r="M19" s="295" t="str">
        <f>IF(E19="","",IF(ISNA(VLOOKUP($E19,'A-1 On-Site Habitat Baseline'!$D$1:$O$258,12,FALSE)),"",(VLOOKUP($E19,'A-1 On-Site Habitat Baseline'!$D$1:$O$258,12,FALSE))))</f>
        <v/>
      </c>
      <c r="N19" s="306" t="str">
        <f>IF(E19="","",IF(ISNA(VLOOKUP($E19,'A-1 On-Site Habitat Baseline'!$D$1:$X$258,14,FALSE)),"",(VLOOKUP($E19,'A-1 On-Site Habitat Baseline'!$D$1:$X$258,14,FALSE))))</f>
        <v/>
      </c>
      <c r="O19" s="299" t="str">
        <f>IF(E19="","",IF(ISNA(VLOOKUP($E19,'A-1 On-Site Habitat Baseline'!$D$1:$X$258,16,FALSE)),"",(VLOOKUP($E19,'A-1 On-Site Habitat Baseline'!$D$1:$X$258,13,FALSE))))</f>
        <v/>
      </c>
      <c r="P19" s="154" t="str">
        <f>IFERROR(INDEX('G-1 All Habitats'!$AG$49:$AG$63,MATCH(Q19,'G-1 All Habitats'!$AF$27:$AF$41,0)),"")</f>
        <v/>
      </c>
      <c r="Q19" s="155" t="str">
        <f t="shared" si="0"/>
        <v/>
      </c>
      <c r="R19" s="155"/>
      <c r="S19" s="237" t="str">
        <f>IFERROR(INDEX('G-1 All Habitats'!$B$3:$B$135,MATCH(R19,'G-1 All Habitats'!$A$3:$A$135,0)),"")</f>
        <v/>
      </c>
      <c r="T19" s="275" t="str">
        <f t="shared" si="1"/>
        <v/>
      </c>
      <c r="U19" s="276" t="str">
        <f t="shared" si="2"/>
        <v/>
      </c>
      <c r="V19" s="311" t="str">
        <f t="shared" si="3"/>
        <v/>
      </c>
      <c r="W19" s="295" t="str">
        <f>IF(S19="","",VLOOKUP(S19,'G-1 All Habitats'!$B$2:$M$135,10,FALSE))</f>
        <v/>
      </c>
      <c r="X19" s="295" t="str">
        <f>IFERROR(VLOOKUP(W19,'G-1 All Habitats'!$V$3:$W$7,2,FALSE),"")</f>
        <v/>
      </c>
      <c r="Y19" s="57"/>
      <c r="Z19" s="299" t="str">
        <f>IFERROR(INDEX('G-8 Condition Look up'!$A$3:$H$135,MATCH(S19,'G-8 Condition Look up'!$A$3:$A$135,0),MATCH(Y19,'G-8 Condition Look up'!$A$3:$H$3,0)),"")</f>
        <v/>
      </c>
      <c r="AA19" s="52"/>
      <c r="AB19" s="295" t="str">
        <f>IF(AA19="","",IF(VLOOKUP(AA19,'G-3 Multipliers'!$L$3:$N$6,2,FALSE)=0,"Spatial Data Missing ⚠",VLOOKUP(AA19,'G-3 Multipliers'!$L$3:$N$6,2,FALSE)))</f>
        <v/>
      </c>
      <c r="AC19" s="299" t="str">
        <f>IF(AA19="","",IF(VLOOKUP(AA19,'G-3 Multipliers'!$L$3:$N$6,3,FALSE)=0,"Spatial Data Missing ⚠",VLOOKUP(AA19,'G-3 Multipliers'!$L$3:$N$6,3,FALSE)))</f>
        <v/>
      </c>
      <c r="AD19" s="313" t="str">
        <f t="shared" si="4"/>
        <v/>
      </c>
      <c r="AE19" s="58"/>
      <c r="AF19" s="58"/>
      <c r="AG19" s="283" t="str">
        <f t="shared" si="5"/>
        <v/>
      </c>
      <c r="AH19" s="296" t="str">
        <f t="shared" si="6"/>
        <v/>
      </c>
      <c r="AI19" s="297" t="str">
        <f>IF(AH19="Check Data ⚠","Check Data ⚠",IFERROR(VLOOKUP(AH19,'G-4 Temporal multipliers'!$A$4:$C$36,3,FALSE),""))</f>
        <v/>
      </c>
      <c r="AJ19" s="275" t="str">
        <f>IF(S19="","",VLOOKUP(S19,'G-3 Multipliers'!$A$2:$E$134,4,FALSE))</f>
        <v/>
      </c>
      <c r="AK19" s="283" t="str">
        <f t="shared" si="7"/>
        <v/>
      </c>
      <c r="AL19" s="283" t="str">
        <f t="shared" si="8"/>
        <v/>
      </c>
      <c r="AM19" s="314" t="str">
        <f>IFERROR(IF(F19="","",IF(AH19="Check Data ⚠","Check Data ⚠",VLOOKUP(AL19,'G-3 Multipliers'!$P$2:$Q$6,2,FALSE))),"")</f>
        <v/>
      </c>
      <c r="AN19" s="289" t="str">
        <f t="shared" si="9"/>
        <v/>
      </c>
      <c r="AO19" s="52"/>
      <c r="AP19" s="51"/>
      <c r="AQ19" s="104"/>
      <c r="AT19" s="35" t="str">
        <f t="shared" si="10"/>
        <v>No</v>
      </c>
      <c r="AU19" s="35" t="str">
        <f>IF(E19="","",IF(ISNA(VLOOKUP($E19,'A-1 On-Site Habitat Baseline'!$D$1:$AV$258,4,FALSE)),"",(VLOOKUP($E19,'A-1 On-Site Habitat Baseline'!$D$1:$AV$258,4,FALSE))))</f>
        <v/>
      </c>
    </row>
    <row r="20" spans="1:47" ht="14">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05" t="str">
        <f>'A-1 On-Site Habitat Baseline'!AL19</f>
        <v/>
      </c>
      <c r="F20" s="295" t="str">
        <f>IF(E20="","",IF(ISNA(VLOOKUP($E20,'A-1 On-Site Habitat Baseline'!$D$1:$AV$258,45,FALSE)),"",(VLOOKUP($E20,'A-1 On-Site Habitat Baseline'!$D$1:$AV$258,45,FALSE))))</f>
        <v/>
      </c>
      <c r="G20" s="295" t="str">
        <f>IF(E20="","",IF(ISNA(VLOOKUP($E20,'A-1 On-Site Habitat Baseline'!$D$1:$O$258,5,FALSE)),"",(VLOOKUP($E20,'A-1 On-Site Habitat Baseline'!$D$1:$O$258,5,FALSE))))</f>
        <v/>
      </c>
      <c r="H20" s="295" t="str">
        <f>IF(E20="","",IF(ISNA(VLOOKUP($E20,'A-1 On-Site Habitat Baseline'!$D$1:$O$258,6,FALSE)),"",(VLOOKUP($E20,'A-1 On-Site Habitat Baseline'!$D$1:$O$258,6,FALSE))))</f>
        <v/>
      </c>
      <c r="I20" s="295" t="str">
        <f>IF(E20="","",IF(ISNA(VLOOKUP($E20,'A-1 On-Site Habitat Baseline'!$D$1:$O$258,7,FALSE)),"",(VLOOKUP($E20,'A-1 On-Site Habitat Baseline'!$D$1:$O$258,7,FALSE))))</f>
        <v/>
      </c>
      <c r="J20" s="295" t="str">
        <f>IF(E20="","",IF(ISNA(VLOOKUP($E20,'A-1 On-Site Habitat Baseline'!$D$1:$O$258,8,FALSE)),"",(VLOOKUP($E20,'A-1 On-Site Habitat Baseline'!$D$1:$O$258,8,FALSE))))</f>
        <v/>
      </c>
      <c r="K20" s="295" t="str">
        <f>IF(E20="","",IF(ISNA(VLOOKUP($E20,'A-1 On-Site Habitat Baseline'!$D$1:$O$258,9,FALSE)),"",(VLOOKUP($E20,'A-1 On-Site Habitat Baseline'!$D$1:$O$258,9,FALSE))))</f>
        <v/>
      </c>
      <c r="L20" s="295" t="str">
        <f>IF(E20="","",IF(ISNA(VLOOKUP($E20,'A-1 On-Site Habitat Baseline'!$D$1:$O$258,11,FALSE)),"",(VLOOKUP($E20,'A-1 On-Site Habitat Baseline'!$D$1:$O$258,11,FALSE))))</f>
        <v/>
      </c>
      <c r="M20" s="295" t="str">
        <f>IF(E20="","",IF(ISNA(VLOOKUP($E20,'A-1 On-Site Habitat Baseline'!$D$1:$O$258,12,FALSE)),"",(VLOOKUP($E20,'A-1 On-Site Habitat Baseline'!$D$1:$O$258,12,FALSE))))</f>
        <v/>
      </c>
      <c r="N20" s="306" t="str">
        <f>IF(E20="","",IF(ISNA(VLOOKUP($E20,'A-1 On-Site Habitat Baseline'!$D$1:$X$258,14,FALSE)),"",(VLOOKUP($E20,'A-1 On-Site Habitat Baseline'!$D$1:$X$258,14,FALSE))))</f>
        <v/>
      </c>
      <c r="O20" s="299" t="str">
        <f>IF(E20="","",IF(ISNA(VLOOKUP($E20,'A-1 On-Site Habitat Baseline'!$D$1:$X$258,16,FALSE)),"",(VLOOKUP($E20,'A-1 On-Site Habitat Baseline'!$D$1:$X$258,13,FALSE))))</f>
        <v/>
      </c>
      <c r="P20" s="154" t="str">
        <f>IFERROR(INDEX('G-1 All Habitats'!$AG$49:$AG$63,MATCH(Q20,'G-1 All Habitats'!$AF$27:$AF$41,0)),"")</f>
        <v/>
      </c>
      <c r="Q20" s="155" t="str">
        <f t="shared" si="0"/>
        <v/>
      </c>
      <c r="R20" s="155"/>
      <c r="S20" s="237" t="str">
        <f>IFERROR(INDEX('G-1 All Habitats'!$B$3:$B$135,MATCH(R20,'G-1 All Habitats'!$A$3:$A$135,0)),"")</f>
        <v/>
      </c>
      <c r="T20" s="275" t="str">
        <f t="shared" si="1"/>
        <v/>
      </c>
      <c r="U20" s="276" t="str">
        <f t="shared" si="2"/>
        <v/>
      </c>
      <c r="V20" s="311" t="str">
        <f t="shared" si="3"/>
        <v/>
      </c>
      <c r="W20" s="295" t="str">
        <f>IF(S20="","",VLOOKUP(S20,'G-1 All Habitats'!$B$2:$M$135,10,FALSE))</f>
        <v/>
      </c>
      <c r="X20" s="295" t="str">
        <f>IFERROR(VLOOKUP(W20,'G-1 All Habitats'!$V$3:$W$7,2,FALSE),"")</f>
        <v/>
      </c>
      <c r="Y20" s="57"/>
      <c r="Z20" s="299" t="str">
        <f>IFERROR(INDEX('G-8 Condition Look up'!$A$3:$H$135,MATCH(S20,'G-8 Condition Look up'!$A$3:$A$135,0),MATCH(Y20,'G-8 Condition Look up'!$A$3:$H$3,0)),"")</f>
        <v/>
      </c>
      <c r="AA20" s="52"/>
      <c r="AB20" s="295" t="str">
        <f>IF(AA20="","",IF(VLOOKUP(AA20,'G-3 Multipliers'!$L$3:$N$6,2,FALSE)=0,"Spatial Data Missing ⚠",VLOOKUP(AA20,'G-3 Multipliers'!$L$3:$N$6,2,FALSE)))</f>
        <v/>
      </c>
      <c r="AC20" s="299" t="str">
        <f>IF(AA20="","",IF(VLOOKUP(AA20,'G-3 Multipliers'!$L$3:$N$6,3,FALSE)=0,"Spatial Data Missing ⚠",VLOOKUP(AA20,'G-3 Multipliers'!$L$3:$N$6,3,FALSE)))</f>
        <v/>
      </c>
      <c r="AD20" s="313" t="str">
        <f t="shared" si="4"/>
        <v/>
      </c>
      <c r="AE20" s="58"/>
      <c r="AF20" s="58"/>
      <c r="AG20" s="283" t="str">
        <f t="shared" si="5"/>
        <v/>
      </c>
      <c r="AH20" s="296" t="str">
        <f t="shared" si="6"/>
        <v/>
      </c>
      <c r="AI20" s="297" t="str">
        <f>IF(AH20="Check Data ⚠","Check Data ⚠",IFERROR(VLOOKUP(AH20,'G-4 Temporal multipliers'!$A$4:$C$36,3,FALSE),""))</f>
        <v/>
      </c>
      <c r="AJ20" s="275" t="str">
        <f>IF(S20="","",VLOOKUP(S20,'G-3 Multipliers'!$A$2:$E$134,4,FALSE))</f>
        <v/>
      </c>
      <c r="AK20" s="283" t="str">
        <f t="shared" si="7"/>
        <v/>
      </c>
      <c r="AL20" s="283" t="str">
        <f t="shared" si="8"/>
        <v/>
      </c>
      <c r="AM20" s="314" t="str">
        <f>IFERROR(IF(F20="","",IF(AH20="Check Data ⚠","Check Data ⚠",VLOOKUP(AL20,'G-3 Multipliers'!$P$2:$Q$6,2,FALSE))),"")</f>
        <v/>
      </c>
      <c r="AN20" s="289" t="str">
        <f t="shared" si="9"/>
        <v/>
      </c>
      <c r="AO20" s="52"/>
      <c r="AP20" s="51"/>
      <c r="AQ20" s="104"/>
      <c r="AT20" s="35" t="str">
        <f t="shared" si="10"/>
        <v>No</v>
      </c>
      <c r="AU20" s="35" t="str">
        <f>IF(E20="","",IF(ISNA(VLOOKUP($E20,'A-1 On-Site Habitat Baseline'!$D$1:$AV$258,4,FALSE)),"",(VLOOKUP($E20,'A-1 On-Site Habitat Baseline'!$D$1:$AV$258,4,FALSE))))</f>
        <v/>
      </c>
    </row>
    <row r="21" spans="1:47" ht="14">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05" t="str">
        <f>'A-1 On-Site Habitat Baseline'!AL20</f>
        <v/>
      </c>
      <c r="F21" s="295" t="str">
        <f>IF(E21="","",IF(ISNA(VLOOKUP($E21,'A-1 On-Site Habitat Baseline'!$D$1:$AV$258,45,FALSE)),"",(VLOOKUP($E21,'A-1 On-Site Habitat Baseline'!$D$1:$AV$258,45,FALSE))))</f>
        <v/>
      </c>
      <c r="G21" s="295" t="str">
        <f>IF(E21="","",IF(ISNA(VLOOKUP($E21,'A-1 On-Site Habitat Baseline'!$D$1:$O$258,5,FALSE)),"",(VLOOKUP($E21,'A-1 On-Site Habitat Baseline'!$D$1:$O$258,5,FALSE))))</f>
        <v/>
      </c>
      <c r="H21" s="295" t="str">
        <f>IF(E21="","",IF(ISNA(VLOOKUP($E21,'A-1 On-Site Habitat Baseline'!$D$1:$O$258,6,FALSE)),"",(VLOOKUP($E21,'A-1 On-Site Habitat Baseline'!$D$1:$O$258,6,FALSE))))</f>
        <v/>
      </c>
      <c r="I21" s="295" t="str">
        <f>IF(E21="","",IF(ISNA(VLOOKUP($E21,'A-1 On-Site Habitat Baseline'!$D$1:$O$258,7,FALSE)),"",(VLOOKUP($E21,'A-1 On-Site Habitat Baseline'!$D$1:$O$258,7,FALSE))))</f>
        <v/>
      </c>
      <c r="J21" s="295" t="str">
        <f>IF(E21="","",IF(ISNA(VLOOKUP($E21,'A-1 On-Site Habitat Baseline'!$D$1:$O$258,8,FALSE)),"",(VLOOKUP($E21,'A-1 On-Site Habitat Baseline'!$D$1:$O$258,8,FALSE))))</f>
        <v/>
      </c>
      <c r="K21" s="295" t="str">
        <f>IF(E21="","",IF(ISNA(VLOOKUP($E21,'A-1 On-Site Habitat Baseline'!$D$1:$O$258,9,FALSE)),"",(VLOOKUP($E21,'A-1 On-Site Habitat Baseline'!$D$1:$O$258,9,FALSE))))</f>
        <v/>
      </c>
      <c r="L21" s="295" t="str">
        <f>IF(E21="","",IF(ISNA(VLOOKUP($E21,'A-1 On-Site Habitat Baseline'!$D$1:$O$258,11,FALSE)),"",(VLOOKUP($E21,'A-1 On-Site Habitat Baseline'!$D$1:$O$258,11,FALSE))))</f>
        <v/>
      </c>
      <c r="M21" s="295" t="str">
        <f>IF(E21="","",IF(ISNA(VLOOKUP($E21,'A-1 On-Site Habitat Baseline'!$D$1:$O$258,12,FALSE)),"",(VLOOKUP($E21,'A-1 On-Site Habitat Baseline'!$D$1:$O$258,12,FALSE))))</f>
        <v/>
      </c>
      <c r="N21" s="306" t="str">
        <f>IF(E21="","",IF(ISNA(VLOOKUP($E21,'A-1 On-Site Habitat Baseline'!$D$1:$X$258,14,FALSE)),"",(VLOOKUP($E21,'A-1 On-Site Habitat Baseline'!$D$1:$X$258,14,FALSE))))</f>
        <v/>
      </c>
      <c r="O21" s="299" t="str">
        <f>IF(E21="","",IF(ISNA(VLOOKUP($E21,'A-1 On-Site Habitat Baseline'!$D$1:$X$258,16,FALSE)),"",(VLOOKUP($E21,'A-1 On-Site Habitat Baseline'!$D$1:$X$258,13,FALSE))))</f>
        <v/>
      </c>
      <c r="P21" s="154" t="str">
        <f>IFERROR(INDEX('G-1 All Habitats'!$AG$49:$AG$63,MATCH(Q21,'G-1 All Habitats'!$AF$27:$AF$41,0)),"")</f>
        <v/>
      </c>
      <c r="Q21" s="155" t="str">
        <f t="shared" si="0"/>
        <v/>
      </c>
      <c r="R21" s="155"/>
      <c r="S21" s="237" t="str">
        <f>IFERROR(INDEX('G-1 All Habitats'!$B$3:$B$135,MATCH(R21,'G-1 All Habitats'!$A$3:$A$135,0)),"")</f>
        <v/>
      </c>
      <c r="T21" s="275" t="str">
        <f t="shared" si="1"/>
        <v/>
      </c>
      <c r="U21" s="276" t="str">
        <f t="shared" si="2"/>
        <v/>
      </c>
      <c r="V21" s="311" t="str">
        <f t="shared" si="3"/>
        <v/>
      </c>
      <c r="W21" s="295" t="str">
        <f>IF(S21="","",VLOOKUP(S21,'G-1 All Habitats'!$B$2:$M$135,10,FALSE))</f>
        <v/>
      </c>
      <c r="X21" s="295" t="str">
        <f>IFERROR(VLOOKUP(W21,'G-1 All Habitats'!$V$3:$W$7,2,FALSE),"")</f>
        <v/>
      </c>
      <c r="Y21" s="57"/>
      <c r="Z21" s="299" t="str">
        <f>IFERROR(INDEX('G-8 Condition Look up'!$A$3:$H$135,MATCH(S21,'G-8 Condition Look up'!$A$3:$A$135,0),MATCH(Y21,'G-8 Condition Look up'!$A$3:$H$3,0)),"")</f>
        <v/>
      </c>
      <c r="AA21" s="52"/>
      <c r="AB21" s="295" t="str">
        <f>IF(AA21="","",IF(VLOOKUP(AA21,'G-3 Multipliers'!$L$3:$N$6,2,FALSE)=0,"Spatial Data Missing ⚠",VLOOKUP(AA21,'G-3 Multipliers'!$L$3:$N$6,2,FALSE)))</f>
        <v/>
      </c>
      <c r="AC21" s="299" t="str">
        <f>IF(AA21="","",IF(VLOOKUP(AA21,'G-3 Multipliers'!$L$3:$N$6,3,FALSE)=0,"Spatial Data Missing ⚠",VLOOKUP(AA21,'G-3 Multipliers'!$L$3:$N$6,3,FALSE)))</f>
        <v/>
      </c>
      <c r="AD21" s="313" t="str">
        <f t="shared" si="4"/>
        <v/>
      </c>
      <c r="AE21" s="58"/>
      <c r="AF21" s="58"/>
      <c r="AG21" s="283" t="str">
        <f t="shared" si="5"/>
        <v/>
      </c>
      <c r="AH21" s="296" t="str">
        <f t="shared" si="6"/>
        <v/>
      </c>
      <c r="AI21" s="297" t="str">
        <f>IF(AH21="Check Data ⚠","Check Data ⚠",IFERROR(VLOOKUP(AH21,'G-4 Temporal multipliers'!$A$4:$C$36,3,FALSE),""))</f>
        <v/>
      </c>
      <c r="AJ21" s="275" t="str">
        <f>IF(S21="","",VLOOKUP(S21,'G-3 Multipliers'!$A$2:$E$134,4,FALSE))</f>
        <v/>
      </c>
      <c r="AK21" s="283" t="str">
        <f t="shared" si="7"/>
        <v/>
      </c>
      <c r="AL21" s="283" t="str">
        <f t="shared" si="8"/>
        <v/>
      </c>
      <c r="AM21" s="314" t="str">
        <f>IFERROR(IF(F21="","",IF(AH21="Check Data ⚠","Check Data ⚠",VLOOKUP(AL21,'G-3 Multipliers'!$P$2:$Q$6,2,FALSE))),"")</f>
        <v/>
      </c>
      <c r="AN21" s="289" t="str">
        <f t="shared" si="9"/>
        <v/>
      </c>
      <c r="AO21" s="52"/>
      <c r="AP21" s="51"/>
      <c r="AQ21" s="104"/>
      <c r="AT21" s="35" t="str">
        <f t="shared" si="10"/>
        <v>No</v>
      </c>
      <c r="AU21" s="35" t="str">
        <f>IF(E21="","",IF(ISNA(VLOOKUP($E21,'A-1 On-Site Habitat Baseline'!$D$1:$AV$258,4,FALSE)),"",(VLOOKUP($E21,'A-1 On-Site Habitat Baseline'!$D$1:$AV$258,4,FALSE))))</f>
        <v/>
      </c>
    </row>
    <row r="22" spans="1:47" ht="14">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05" t="str">
        <f>'A-1 On-Site Habitat Baseline'!AL21</f>
        <v/>
      </c>
      <c r="F22" s="295" t="str">
        <f>IF(E22="","",IF(ISNA(VLOOKUP($E22,'A-1 On-Site Habitat Baseline'!$D$1:$AV$258,45,FALSE)),"",(VLOOKUP($E22,'A-1 On-Site Habitat Baseline'!$D$1:$AV$258,45,FALSE))))</f>
        <v/>
      </c>
      <c r="G22" s="295" t="str">
        <f>IF(E22="","",IF(ISNA(VLOOKUP($E22,'A-1 On-Site Habitat Baseline'!$D$1:$O$258,5,FALSE)),"",(VLOOKUP($E22,'A-1 On-Site Habitat Baseline'!$D$1:$O$258,5,FALSE))))</f>
        <v/>
      </c>
      <c r="H22" s="295" t="str">
        <f>IF(E22="","",IF(ISNA(VLOOKUP($E22,'A-1 On-Site Habitat Baseline'!$D$1:$O$258,6,FALSE)),"",(VLOOKUP($E22,'A-1 On-Site Habitat Baseline'!$D$1:$O$258,6,FALSE))))</f>
        <v/>
      </c>
      <c r="I22" s="295" t="str">
        <f>IF(E22="","",IF(ISNA(VLOOKUP($E22,'A-1 On-Site Habitat Baseline'!$D$1:$O$258,7,FALSE)),"",(VLOOKUP($E22,'A-1 On-Site Habitat Baseline'!$D$1:$O$258,7,FALSE))))</f>
        <v/>
      </c>
      <c r="J22" s="295" t="str">
        <f>IF(E22="","",IF(ISNA(VLOOKUP($E22,'A-1 On-Site Habitat Baseline'!$D$1:$O$258,8,FALSE)),"",(VLOOKUP($E22,'A-1 On-Site Habitat Baseline'!$D$1:$O$258,8,FALSE))))</f>
        <v/>
      </c>
      <c r="K22" s="295" t="str">
        <f>IF(E22="","",IF(ISNA(VLOOKUP($E22,'A-1 On-Site Habitat Baseline'!$D$1:$O$258,9,FALSE)),"",(VLOOKUP($E22,'A-1 On-Site Habitat Baseline'!$D$1:$O$258,9,FALSE))))</f>
        <v/>
      </c>
      <c r="L22" s="295" t="str">
        <f>IF(E22="","",IF(ISNA(VLOOKUP($E22,'A-1 On-Site Habitat Baseline'!$D$1:$O$258,11,FALSE)),"",(VLOOKUP($E22,'A-1 On-Site Habitat Baseline'!$D$1:$O$258,11,FALSE))))</f>
        <v/>
      </c>
      <c r="M22" s="295" t="str">
        <f>IF(E22="","",IF(ISNA(VLOOKUP($E22,'A-1 On-Site Habitat Baseline'!$D$1:$O$258,12,FALSE)),"",(VLOOKUP($E22,'A-1 On-Site Habitat Baseline'!$D$1:$O$258,12,FALSE))))</f>
        <v/>
      </c>
      <c r="N22" s="306" t="str">
        <f>IF(E22="","",IF(ISNA(VLOOKUP($E22,'A-1 On-Site Habitat Baseline'!$D$1:$X$258,14,FALSE)),"",(VLOOKUP($E22,'A-1 On-Site Habitat Baseline'!$D$1:$X$258,14,FALSE))))</f>
        <v/>
      </c>
      <c r="O22" s="299" t="str">
        <f>IF(E22="","",IF(ISNA(VLOOKUP($E22,'A-1 On-Site Habitat Baseline'!$D$1:$X$258,16,FALSE)),"",(VLOOKUP($E22,'A-1 On-Site Habitat Baseline'!$D$1:$X$258,13,FALSE))))</f>
        <v/>
      </c>
      <c r="P22" s="154" t="str">
        <f>IFERROR(INDEX('G-1 All Habitats'!$AG$49:$AG$63,MATCH(Q22,'G-1 All Habitats'!$AF$27:$AF$41,0)),"")</f>
        <v/>
      </c>
      <c r="Q22" s="155" t="str">
        <f t="shared" si="0"/>
        <v/>
      </c>
      <c r="R22" s="155"/>
      <c r="S22" s="237" t="str">
        <f>IFERROR(INDEX('G-1 All Habitats'!$B$3:$B$135,MATCH(R22,'G-1 All Habitats'!$A$3:$A$135,0)),"")</f>
        <v/>
      </c>
      <c r="T22" s="275" t="str">
        <f t="shared" si="1"/>
        <v/>
      </c>
      <c r="U22" s="276" t="str">
        <f t="shared" si="2"/>
        <v/>
      </c>
      <c r="V22" s="311" t="str">
        <f t="shared" si="3"/>
        <v/>
      </c>
      <c r="W22" s="295" t="str">
        <f>IF(S22="","",VLOOKUP(S22,'G-1 All Habitats'!$B$2:$M$135,10,FALSE))</f>
        <v/>
      </c>
      <c r="X22" s="295" t="str">
        <f>IFERROR(VLOOKUP(W22,'G-1 All Habitats'!$V$3:$W$7,2,FALSE),"")</f>
        <v/>
      </c>
      <c r="Y22" s="57"/>
      <c r="Z22" s="299" t="str">
        <f>IFERROR(INDEX('G-8 Condition Look up'!$A$3:$H$135,MATCH(S22,'G-8 Condition Look up'!$A$3:$A$135,0),MATCH(Y22,'G-8 Condition Look up'!$A$3:$H$3,0)),"")</f>
        <v/>
      </c>
      <c r="AA22" s="52"/>
      <c r="AB22" s="295" t="str">
        <f>IF(AA22="","",IF(VLOOKUP(AA22,'G-3 Multipliers'!$L$3:$N$6,2,FALSE)=0,"Spatial Data Missing ⚠",VLOOKUP(AA22,'G-3 Multipliers'!$L$3:$N$6,2,FALSE)))</f>
        <v/>
      </c>
      <c r="AC22" s="299" t="str">
        <f>IF(AA22="","",IF(VLOOKUP(AA22,'G-3 Multipliers'!$L$3:$N$6,3,FALSE)=0,"Spatial Data Missing ⚠",VLOOKUP(AA22,'G-3 Multipliers'!$L$3:$N$6,3,FALSE)))</f>
        <v/>
      </c>
      <c r="AD22" s="313" t="str">
        <f t="shared" si="4"/>
        <v/>
      </c>
      <c r="AE22" s="58"/>
      <c r="AF22" s="58"/>
      <c r="AG22" s="283" t="str">
        <f t="shared" si="5"/>
        <v/>
      </c>
      <c r="AH22" s="296" t="str">
        <f t="shared" si="6"/>
        <v/>
      </c>
      <c r="AI22" s="297" t="str">
        <f>IF(AH22="Check Data ⚠","Check Data ⚠",IFERROR(VLOOKUP(AH22,'G-4 Temporal multipliers'!$A$4:$C$36,3,FALSE),""))</f>
        <v/>
      </c>
      <c r="AJ22" s="275" t="str">
        <f>IF(S22="","",VLOOKUP(S22,'G-3 Multipliers'!$A$2:$E$134,4,FALSE))</f>
        <v/>
      </c>
      <c r="AK22" s="283" t="str">
        <f t="shared" si="7"/>
        <v/>
      </c>
      <c r="AL22" s="283" t="str">
        <f t="shared" si="8"/>
        <v/>
      </c>
      <c r="AM22" s="314" t="str">
        <f>IFERROR(IF(F22="","",IF(AH22="Check Data ⚠","Check Data ⚠",VLOOKUP(AL22,'G-3 Multipliers'!$P$2:$Q$6,2,FALSE))),"")</f>
        <v/>
      </c>
      <c r="AN22" s="289" t="str">
        <f t="shared" si="9"/>
        <v/>
      </c>
      <c r="AO22" s="52"/>
      <c r="AP22" s="51"/>
      <c r="AQ22" s="104"/>
      <c r="AT22" s="35" t="str">
        <f t="shared" si="10"/>
        <v>No</v>
      </c>
      <c r="AU22" s="35" t="str">
        <f>IF(E22="","",IF(ISNA(VLOOKUP($E22,'A-1 On-Site Habitat Baseline'!$D$1:$AV$258,4,FALSE)),"",(VLOOKUP($E22,'A-1 On-Site Habitat Baseline'!$D$1:$AV$258,4,FALSE))))</f>
        <v/>
      </c>
    </row>
    <row r="23" spans="1:47" ht="14">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05" t="str">
        <f>'A-1 On-Site Habitat Baseline'!AL22</f>
        <v/>
      </c>
      <c r="F23" s="295" t="str">
        <f>IF(E23="","",IF(ISNA(VLOOKUP($E23,'A-1 On-Site Habitat Baseline'!$D$1:$AV$258,45,FALSE)),"",(VLOOKUP($E23,'A-1 On-Site Habitat Baseline'!$D$1:$AV$258,45,FALSE))))</f>
        <v/>
      </c>
      <c r="G23" s="295" t="str">
        <f>IF(E23="","",IF(ISNA(VLOOKUP($E23,'A-1 On-Site Habitat Baseline'!$D$1:$O$258,5,FALSE)),"",(VLOOKUP($E23,'A-1 On-Site Habitat Baseline'!$D$1:$O$258,5,FALSE))))</f>
        <v/>
      </c>
      <c r="H23" s="295" t="str">
        <f>IF(E23="","",IF(ISNA(VLOOKUP($E23,'A-1 On-Site Habitat Baseline'!$D$1:$O$258,6,FALSE)),"",(VLOOKUP($E23,'A-1 On-Site Habitat Baseline'!$D$1:$O$258,6,FALSE))))</f>
        <v/>
      </c>
      <c r="I23" s="295" t="str">
        <f>IF(E23="","",IF(ISNA(VLOOKUP($E23,'A-1 On-Site Habitat Baseline'!$D$1:$O$258,7,FALSE)),"",(VLOOKUP($E23,'A-1 On-Site Habitat Baseline'!$D$1:$O$258,7,FALSE))))</f>
        <v/>
      </c>
      <c r="J23" s="295" t="str">
        <f>IF(E23="","",IF(ISNA(VLOOKUP($E23,'A-1 On-Site Habitat Baseline'!$D$1:$O$258,8,FALSE)),"",(VLOOKUP($E23,'A-1 On-Site Habitat Baseline'!$D$1:$O$258,8,FALSE))))</f>
        <v/>
      </c>
      <c r="K23" s="295" t="str">
        <f>IF(E23="","",IF(ISNA(VLOOKUP($E23,'A-1 On-Site Habitat Baseline'!$D$1:$O$258,9,FALSE)),"",(VLOOKUP($E23,'A-1 On-Site Habitat Baseline'!$D$1:$O$258,9,FALSE))))</f>
        <v/>
      </c>
      <c r="L23" s="295" t="str">
        <f>IF(E23="","",IF(ISNA(VLOOKUP($E23,'A-1 On-Site Habitat Baseline'!$D$1:$O$258,11,FALSE)),"",(VLOOKUP($E23,'A-1 On-Site Habitat Baseline'!$D$1:$O$258,11,FALSE))))</f>
        <v/>
      </c>
      <c r="M23" s="295" t="str">
        <f>IF(E23="","",IF(ISNA(VLOOKUP($E23,'A-1 On-Site Habitat Baseline'!$D$1:$O$258,12,FALSE)),"",(VLOOKUP($E23,'A-1 On-Site Habitat Baseline'!$D$1:$O$258,12,FALSE))))</f>
        <v/>
      </c>
      <c r="N23" s="306" t="str">
        <f>IF(E23="","",IF(ISNA(VLOOKUP($E23,'A-1 On-Site Habitat Baseline'!$D$1:$X$258,14,FALSE)),"",(VLOOKUP($E23,'A-1 On-Site Habitat Baseline'!$D$1:$X$258,14,FALSE))))</f>
        <v/>
      </c>
      <c r="O23" s="299" t="str">
        <f>IF(E23="","",IF(ISNA(VLOOKUP($E23,'A-1 On-Site Habitat Baseline'!$D$1:$X$258,16,FALSE)),"",(VLOOKUP($E23,'A-1 On-Site Habitat Baseline'!$D$1:$X$258,13,FALSE))))</f>
        <v/>
      </c>
      <c r="P23" s="154" t="str">
        <f>IFERROR(INDEX('G-1 All Habitats'!$AG$49:$AG$63,MATCH(Q23,'G-1 All Habitats'!$AF$27:$AF$41,0)),"")</f>
        <v/>
      </c>
      <c r="Q23" s="155" t="str">
        <f t="shared" si="0"/>
        <v/>
      </c>
      <c r="R23" s="155"/>
      <c r="S23" s="237" t="str">
        <f>IFERROR(INDEX('G-1 All Habitats'!$B$3:$B$135,MATCH(R23,'G-1 All Habitats'!$A$3:$A$135,0)),"")</f>
        <v/>
      </c>
      <c r="T23" s="275" t="str">
        <f t="shared" si="1"/>
        <v/>
      </c>
      <c r="U23" s="276" t="str">
        <f t="shared" si="2"/>
        <v/>
      </c>
      <c r="V23" s="311" t="str">
        <f t="shared" si="3"/>
        <v/>
      </c>
      <c r="W23" s="295" t="str">
        <f>IF(S23="","",VLOOKUP(S23,'G-1 All Habitats'!$B$2:$M$135,10,FALSE))</f>
        <v/>
      </c>
      <c r="X23" s="295" t="str">
        <f>IFERROR(VLOOKUP(W23,'G-1 All Habitats'!$V$3:$W$7,2,FALSE),"")</f>
        <v/>
      </c>
      <c r="Y23" s="57"/>
      <c r="Z23" s="299" t="str">
        <f>IFERROR(INDEX('G-8 Condition Look up'!$A$3:$H$135,MATCH(S23,'G-8 Condition Look up'!$A$3:$A$135,0),MATCH(Y23,'G-8 Condition Look up'!$A$3:$H$3,0)),"")</f>
        <v/>
      </c>
      <c r="AA23" s="52"/>
      <c r="AB23" s="295" t="str">
        <f>IF(AA23="","",IF(VLOOKUP(AA23,'G-3 Multipliers'!$L$3:$N$6,2,FALSE)=0,"Spatial Data Missing ⚠",VLOOKUP(AA23,'G-3 Multipliers'!$L$3:$N$6,2,FALSE)))</f>
        <v/>
      </c>
      <c r="AC23" s="299" t="str">
        <f>IF(AA23="","",IF(VLOOKUP(AA23,'G-3 Multipliers'!$L$3:$N$6,3,FALSE)=0,"Spatial Data Missing ⚠",VLOOKUP(AA23,'G-3 Multipliers'!$L$3:$N$6,3,FALSE)))</f>
        <v/>
      </c>
      <c r="AD23" s="313" t="str">
        <f t="shared" si="4"/>
        <v/>
      </c>
      <c r="AE23" s="58"/>
      <c r="AF23" s="58"/>
      <c r="AG23" s="283" t="str">
        <f t="shared" si="5"/>
        <v/>
      </c>
      <c r="AH23" s="296" t="str">
        <f t="shared" si="6"/>
        <v/>
      </c>
      <c r="AI23" s="297" t="str">
        <f>IF(AH23="Check Data ⚠","Check Data ⚠",IFERROR(VLOOKUP(AH23,'G-4 Temporal multipliers'!$A$4:$C$36,3,FALSE),""))</f>
        <v/>
      </c>
      <c r="AJ23" s="275" t="str">
        <f>IF(S23="","",VLOOKUP(S23,'G-3 Multipliers'!$A$2:$E$134,4,FALSE))</f>
        <v/>
      </c>
      <c r="AK23" s="283" t="str">
        <f t="shared" si="7"/>
        <v/>
      </c>
      <c r="AL23" s="283" t="str">
        <f t="shared" si="8"/>
        <v/>
      </c>
      <c r="AM23" s="314" t="str">
        <f>IFERROR(IF(F23="","",IF(AH23="Check Data ⚠","Check Data ⚠",VLOOKUP(AL23,'G-3 Multipliers'!$P$2:$Q$6,2,FALSE))),"")</f>
        <v/>
      </c>
      <c r="AN23" s="289" t="str">
        <f t="shared" si="9"/>
        <v/>
      </c>
      <c r="AO23" s="52"/>
      <c r="AP23" s="51"/>
      <c r="AQ23" s="104"/>
      <c r="AT23" s="35" t="str">
        <f t="shared" si="10"/>
        <v>No</v>
      </c>
      <c r="AU23" s="35" t="str">
        <f>IF(E23="","",IF(ISNA(VLOOKUP($E23,'A-1 On-Site Habitat Baseline'!$D$1:$AV$258,4,FALSE)),"",(VLOOKUP($E23,'A-1 On-Site Habitat Baseline'!$D$1:$AV$258,4,FALSE))))</f>
        <v/>
      </c>
    </row>
    <row r="24" spans="1:47" ht="14">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05" t="str">
        <f>'A-1 On-Site Habitat Baseline'!AL23</f>
        <v/>
      </c>
      <c r="F24" s="295" t="str">
        <f>IF(E24="","",IF(ISNA(VLOOKUP($E24,'A-1 On-Site Habitat Baseline'!$D$1:$AV$258,45,FALSE)),"",(VLOOKUP($E24,'A-1 On-Site Habitat Baseline'!$D$1:$AV$258,45,FALSE))))</f>
        <v/>
      </c>
      <c r="G24" s="295" t="str">
        <f>IF(E24="","",IF(ISNA(VLOOKUP($E24,'A-1 On-Site Habitat Baseline'!$D$1:$O$258,5,FALSE)),"",(VLOOKUP($E24,'A-1 On-Site Habitat Baseline'!$D$1:$O$258,5,FALSE))))</f>
        <v/>
      </c>
      <c r="H24" s="295" t="str">
        <f>IF(E24="","",IF(ISNA(VLOOKUP($E24,'A-1 On-Site Habitat Baseline'!$D$1:$O$258,6,FALSE)),"",(VLOOKUP($E24,'A-1 On-Site Habitat Baseline'!$D$1:$O$258,6,FALSE))))</f>
        <v/>
      </c>
      <c r="I24" s="295" t="str">
        <f>IF(E24="","",IF(ISNA(VLOOKUP($E24,'A-1 On-Site Habitat Baseline'!$D$1:$O$258,7,FALSE)),"",(VLOOKUP($E24,'A-1 On-Site Habitat Baseline'!$D$1:$O$258,7,FALSE))))</f>
        <v/>
      </c>
      <c r="J24" s="295" t="str">
        <f>IF(E24="","",IF(ISNA(VLOOKUP($E24,'A-1 On-Site Habitat Baseline'!$D$1:$O$258,8,FALSE)),"",(VLOOKUP($E24,'A-1 On-Site Habitat Baseline'!$D$1:$O$258,8,FALSE))))</f>
        <v/>
      </c>
      <c r="K24" s="295" t="str">
        <f>IF(E24="","",IF(ISNA(VLOOKUP($E24,'A-1 On-Site Habitat Baseline'!$D$1:$O$258,9,FALSE)),"",(VLOOKUP($E24,'A-1 On-Site Habitat Baseline'!$D$1:$O$258,9,FALSE))))</f>
        <v/>
      </c>
      <c r="L24" s="295" t="str">
        <f>IF(E24="","",IF(ISNA(VLOOKUP($E24,'A-1 On-Site Habitat Baseline'!$D$1:$O$258,11,FALSE)),"",(VLOOKUP($E24,'A-1 On-Site Habitat Baseline'!$D$1:$O$258,11,FALSE))))</f>
        <v/>
      </c>
      <c r="M24" s="295" t="str">
        <f>IF(E24="","",IF(ISNA(VLOOKUP($E24,'A-1 On-Site Habitat Baseline'!$D$1:$O$258,12,FALSE)),"",(VLOOKUP($E24,'A-1 On-Site Habitat Baseline'!$D$1:$O$258,12,FALSE))))</f>
        <v/>
      </c>
      <c r="N24" s="306" t="str">
        <f>IF(E24="","",IF(ISNA(VLOOKUP($E24,'A-1 On-Site Habitat Baseline'!$D$1:$X$258,14,FALSE)),"",(VLOOKUP($E24,'A-1 On-Site Habitat Baseline'!$D$1:$X$258,14,FALSE))))</f>
        <v/>
      </c>
      <c r="O24" s="299" t="str">
        <f>IF(E24="","",IF(ISNA(VLOOKUP($E24,'A-1 On-Site Habitat Baseline'!$D$1:$X$258,16,FALSE)),"",(VLOOKUP($E24,'A-1 On-Site Habitat Baseline'!$D$1:$X$258,13,FALSE))))</f>
        <v/>
      </c>
      <c r="P24" s="154" t="str">
        <f>IFERROR(INDEX('G-1 All Habitats'!$AG$49:$AG$63,MATCH(Q24,'G-1 All Habitats'!$AF$27:$AF$41,0)),"")</f>
        <v/>
      </c>
      <c r="Q24" s="155" t="str">
        <f t="shared" si="0"/>
        <v/>
      </c>
      <c r="R24" s="155"/>
      <c r="S24" s="237" t="str">
        <f>IFERROR(INDEX('G-1 All Habitats'!$B$3:$B$135,MATCH(R24,'G-1 All Habitats'!$A$3:$A$135,0)),"")</f>
        <v/>
      </c>
      <c r="T24" s="275" t="str">
        <f t="shared" si="1"/>
        <v/>
      </c>
      <c r="U24" s="276" t="str">
        <f t="shared" si="2"/>
        <v/>
      </c>
      <c r="V24" s="311" t="str">
        <f t="shared" si="3"/>
        <v/>
      </c>
      <c r="W24" s="295" t="str">
        <f>IF(S24="","",VLOOKUP(S24,'G-1 All Habitats'!$B$2:$M$135,10,FALSE))</f>
        <v/>
      </c>
      <c r="X24" s="295" t="str">
        <f>IFERROR(VLOOKUP(W24,'G-1 All Habitats'!$V$3:$W$7,2,FALSE),"")</f>
        <v/>
      </c>
      <c r="Y24" s="57"/>
      <c r="Z24" s="299" t="str">
        <f>IFERROR(INDEX('G-8 Condition Look up'!$A$3:$H$135,MATCH(S24,'G-8 Condition Look up'!$A$3:$A$135,0),MATCH(Y24,'G-8 Condition Look up'!$A$3:$H$3,0)),"")</f>
        <v/>
      </c>
      <c r="AA24" s="52"/>
      <c r="AB24" s="295" t="str">
        <f>IF(AA24="","",IF(VLOOKUP(AA24,'G-3 Multipliers'!$L$3:$N$6,2,FALSE)=0,"Spatial Data Missing ⚠",VLOOKUP(AA24,'G-3 Multipliers'!$L$3:$N$6,2,FALSE)))</f>
        <v/>
      </c>
      <c r="AC24" s="299" t="str">
        <f>IF(AA24="","",IF(VLOOKUP(AA24,'G-3 Multipliers'!$L$3:$N$6,3,FALSE)=0,"Spatial Data Missing ⚠",VLOOKUP(AA24,'G-3 Multipliers'!$L$3:$N$6,3,FALSE)))</f>
        <v/>
      </c>
      <c r="AD24" s="313" t="str">
        <f t="shared" si="4"/>
        <v/>
      </c>
      <c r="AE24" s="58"/>
      <c r="AF24" s="58"/>
      <c r="AG24" s="283" t="str">
        <f t="shared" si="5"/>
        <v/>
      </c>
      <c r="AH24" s="296" t="str">
        <f t="shared" si="6"/>
        <v/>
      </c>
      <c r="AI24" s="297" t="str">
        <f>IF(AH24="Check Data ⚠","Check Data ⚠",IFERROR(VLOOKUP(AH24,'G-4 Temporal multipliers'!$A$4:$C$36,3,FALSE),""))</f>
        <v/>
      </c>
      <c r="AJ24" s="275" t="str">
        <f>IF(S24="","",VLOOKUP(S24,'G-3 Multipliers'!$A$2:$E$134,4,FALSE))</f>
        <v/>
      </c>
      <c r="AK24" s="283" t="str">
        <f t="shared" si="7"/>
        <v/>
      </c>
      <c r="AL24" s="283" t="str">
        <f t="shared" si="8"/>
        <v/>
      </c>
      <c r="AM24" s="314" t="str">
        <f>IFERROR(IF(F24="","",IF(AH24="Check Data ⚠","Check Data ⚠",VLOOKUP(AL24,'G-3 Multipliers'!$P$2:$Q$6,2,FALSE))),"")</f>
        <v/>
      </c>
      <c r="AN24" s="289" t="str">
        <f t="shared" si="9"/>
        <v/>
      </c>
      <c r="AO24" s="52"/>
      <c r="AP24" s="51"/>
      <c r="AQ24" s="104"/>
      <c r="AT24" s="35" t="str">
        <f t="shared" si="10"/>
        <v>No</v>
      </c>
      <c r="AU24" s="35" t="str">
        <f>IF(E24="","",IF(ISNA(VLOOKUP($E24,'A-1 On-Site Habitat Baseline'!$D$1:$AV$258,4,FALSE)),"",(VLOOKUP($E24,'A-1 On-Site Habitat Baseline'!$D$1:$AV$258,4,FALSE))))</f>
        <v/>
      </c>
    </row>
    <row r="25" spans="1:47" ht="14">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05" t="str">
        <f>'A-1 On-Site Habitat Baseline'!AL24</f>
        <v/>
      </c>
      <c r="F25" s="295" t="str">
        <f>IF(E25="","",IF(ISNA(VLOOKUP($E25,'A-1 On-Site Habitat Baseline'!$D$1:$AV$258,45,FALSE)),"",(VLOOKUP($E25,'A-1 On-Site Habitat Baseline'!$D$1:$AV$258,45,FALSE))))</f>
        <v/>
      </c>
      <c r="G25" s="295" t="str">
        <f>IF(E25="","",IF(ISNA(VLOOKUP($E25,'A-1 On-Site Habitat Baseline'!$D$1:$O$258,5,FALSE)),"",(VLOOKUP($E25,'A-1 On-Site Habitat Baseline'!$D$1:$O$258,5,FALSE))))</f>
        <v/>
      </c>
      <c r="H25" s="295" t="str">
        <f>IF(E25="","",IF(ISNA(VLOOKUP($E25,'A-1 On-Site Habitat Baseline'!$D$1:$O$258,6,FALSE)),"",(VLOOKUP($E25,'A-1 On-Site Habitat Baseline'!$D$1:$O$258,6,FALSE))))</f>
        <v/>
      </c>
      <c r="I25" s="295" t="str">
        <f>IF(E25="","",IF(ISNA(VLOOKUP($E25,'A-1 On-Site Habitat Baseline'!$D$1:$O$258,7,FALSE)),"",(VLOOKUP($E25,'A-1 On-Site Habitat Baseline'!$D$1:$O$258,7,FALSE))))</f>
        <v/>
      </c>
      <c r="J25" s="295" t="str">
        <f>IF(E25="","",IF(ISNA(VLOOKUP($E25,'A-1 On-Site Habitat Baseline'!$D$1:$O$258,8,FALSE)),"",(VLOOKUP($E25,'A-1 On-Site Habitat Baseline'!$D$1:$O$258,8,FALSE))))</f>
        <v/>
      </c>
      <c r="K25" s="295" t="str">
        <f>IF(E25="","",IF(ISNA(VLOOKUP($E25,'A-1 On-Site Habitat Baseline'!$D$1:$O$258,9,FALSE)),"",(VLOOKUP($E25,'A-1 On-Site Habitat Baseline'!$D$1:$O$258,9,FALSE))))</f>
        <v/>
      </c>
      <c r="L25" s="295" t="str">
        <f>IF(E25="","",IF(ISNA(VLOOKUP($E25,'A-1 On-Site Habitat Baseline'!$D$1:$O$258,11,FALSE)),"",(VLOOKUP($E25,'A-1 On-Site Habitat Baseline'!$D$1:$O$258,11,FALSE))))</f>
        <v/>
      </c>
      <c r="M25" s="295" t="str">
        <f>IF(E25="","",IF(ISNA(VLOOKUP($E25,'A-1 On-Site Habitat Baseline'!$D$1:$O$258,12,FALSE)),"",(VLOOKUP($E25,'A-1 On-Site Habitat Baseline'!$D$1:$O$258,12,FALSE))))</f>
        <v/>
      </c>
      <c r="N25" s="306" t="str">
        <f>IF(E25="","",IF(ISNA(VLOOKUP($E25,'A-1 On-Site Habitat Baseline'!$D$1:$X$258,14,FALSE)),"",(VLOOKUP($E25,'A-1 On-Site Habitat Baseline'!$D$1:$X$258,14,FALSE))))</f>
        <v/>
      </c>
      <c r="O25" s="299" t="str">
        <f>IF(E25="","",IF(ISNA(VLOOKUP($E25,'A-1 On-Site Habitat Baseline'!$D$1:$X$258,16,FALSE)),"",(VLOOKUP($E25,'A-1 On-Site Habitat Baseline'!$D$1:$X$258,13,FALSE))))</f>
        <v/>
      </c>
      <c r="P25" s="154" t="str">
        <f>IFERROR(INDEX('G-1 All Habitats'!$AG$49:$AG$63,MATCH(Q25,'G-1 All Habitats'!$AF$27:$AF$41,0)),"")</f>
        <v/>
      </c>
      <c r="Q25" s="155" t="str">
        <f t="shared" si="0"/>
        <v/>
      </c>
      <c r="R25" s="155"/>
      <c r="S25" s="237" t="str">
        <f>IFERROR(INDEX('G-1 All Habitats'!$B$3:$B$135,MATCH(R25,'G-1 All Habitats'!$A$3:$A$135,0)),"")</f>
        <v/>
      </c>
      <c r="T25" s="275" t="str">
        <f t="shared" si="1"/>
        <v/>
      </c>
      <c r="U25" s="276" t="str">
        <f t="shared" si="2"/>
        <v/>
      </c>
      <c r="V25" s="311" t="str">
        <f t="shared" si="3"/>
        <v/>
      </c>
      <c r="W25" s="295" t="str">
        <f>IF(S25="","",VLOOKUP(S25,'G-1 All Habitats'!$B$2:$M$135,10,FALSE))</f>
        <v/>
      </c>
      <c r="X25" s="295" t="str">
        <f>IFERROR(VLOOKUP(W25,'G-1 All Habitats'!$V$3:$W$7,2,FALSE),"")</f>
        <v/>
      </c>
      <c r="Y25" s="57"/>
      <c r="Z25" s="299" t="str">
        <f>IFERROR(INDEX('G-8 Condition Look up'!$A$3:$H$135,MATCH(S25,'G-8 Condition Look up'!$A$3:$A$135,0),MATCH(Y25,'G-8 Condition Look up'!$A$3:$H$3,0)),"")</f>
        <v/>
      </c>
      <c r="AA25" s="52"/>
      <c r="AB25" s="295" t="str">
        <f>IF(AA25="","",IF(VLOOKUP(AA25,'G-3 Multipliers'!$L$3:$N$6,2,FALSE)=0,"Spatial Data Missing ⚠",VLOOKUP(AA25,'G-3 Multipliers'!$L$3:$N$6,2,FALSE)))</f>
        <v/>
      </c>
      <c r="AC25" s="299" t="str">
        <f>IF(AA25="","",IF(VLOOKUP(AA25,'G-3 Multipliers'!$L$3:$N$6,3,FALSE)=0,"Spatial Data Missing ⚠",VLOOKUP(AA25,'G-3 Multipliers'!$L$3:$N$6,3,FALSE)))</f>
        <v/>
      </c>
      <c r="AD25" s="313" t="str">
        <f t="shared" si="4"/>
        <v/>
      </c>
      <c r="AE25" s="58"/>
      <c r="AF25" s="58"/>
      <c r="AG25" s="283" t="str">
        <f t="shared" si="5"/>
        <v/>
      </c>
      <c r="AH25" s="296" t="str">
        <f t="shared" si="6"/>
        <v/>
      </c>
      <c r="AI25" s="297" t="str">
        <f>IF(AH25="Check Data ⚠","Check Data ⚠",IFERROR(VLOOKUP(AH25,'G-4 Temporal multipliers'!$A$4:$C$36,3,FALSE),""))</f>
        <v/>
      </c>
      <c r="AJ25" s="275" t="str">
        <f>IF(S25="","",VLOOKUP(S25,'G-3 Multipliers'!$A$2:$E$134,4,FALSE))</f>
        <v/>
      </c>
      <c r="AK25" s="283" t="str">
        <f t="shared" si="7"/>
        <v/>
      </c>
      <c r="AL25" s="283" t="str">
        <f t="shared" si="8"/>
        <v/>
      </c>
      <c r="AM25" s="314" t="str">
        <f>IFERROR(IF(F25="","",IF(AH25="Check Data ⚠","Check Data ⚠",VLOOKUP(AL25,'G-3 Multipliers'!$P$2:$Q$6,2,FALSE))),"")</f>
        <v/>
      </c>
      <c r="AN25" s="289" t="str">
        <f t="shared" si="9"/>
        <v/>
      </c>
      <c r="AO25" s="52"/>
      <c r="AP25" s="51"/>
      <c r="AQ25" s="104"/>
      <c r="AT25" s="35" t="str">
        <f t="shared" si="10"/>
        <v>No</v>
      </c>
      <c r="AU25" s="35" t="str">
        <f>IF(E25="","",IF(ISNA(VLOOKUP($E25,'A-1 On-Site Habitat Baseline'!$D$1:$AV$258,4,FALSE)),"",(VLOOKUP($E25,'A-1 On-Site Habitat Baseline'!$D$1:$AV$258,4,FALSE))))</f>
        <v/>
      </c>
    </row>
    <row r="26" spans="1:47" ht="14">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05" t="str">
        <f>'A-1 On-Site Habitat Baseline'!AL25</f>
        <v/>
      </c>
      <c r="F26" s="295" t="str">
        <f>IF(E26="","",IF(ISNA(VLOOKUP($E26,'A-1 On-Site Habitat Baseline'!$D$1:$AV$258,45,FALSE)),"",(VLOOKUP($E26,'A-1 On-Site Habitat Baseline'!$D$1:$AV$258,45,FALSE))))</f>
        <v/>
      </c>
      <c r="G26" s="295" t="str">
        <f>IF(E26="","",IF(ISNA(VLOOKUP($E26,'A-1 On-Site Habitat Baseline'!$D$1:$O$258,5,FALSE)),"",(VLOOKUP($E26,'A-1 On-Site Habitat Baseline'!$D$1:$O$258,5,FALSE))))</f>
        <v/>
      </c>
      <c r="H26" s="295" t="str">
        <f>IF(E26="","",IF(ISNA(VLOOKUP($E26,'A-1 On-Site Habitat Baseline'!$D$1:$O$258,6,FALSE)),"",(VLOOKUP($E26,'A-1 On-Site Habitat Baseline'!$D$1:$O$258,6,FALSE))))</f>
        <v/>
      </c>
      <c r="I26" s="295" t="str">
        <f>IF(E26="","",IF(ISNA(VLOOKUP($E26,'A-1 On-Site Habitat Baseline'!$D$1:$O$258,7,FALSE)),"",(VLOOKUP($E26,'A-1 On-Site Habitat Baseline'!$D$1:$O$258,7,FALSE))))</f>
        <v/>
      </c>
      <c r="J26" s="295" t="str">
        <f>IF(E26="","",IF(ISNA(VLOOKUP($E26,'A-1 On-Site Habitat Baseline'!$D$1:$O$258,8,FALSE)),"",(VLOOKUP($E26,'A-1 On-Site Habitat Baseline'!$D$1:$O$258,8,FALSE))))</f>
        <v/>
      </c>
      <c r="K26" s="295" t="str">
        <f>IF(E26="","",IF(ISNA(VLOOKUP($E26,'A-1 On-Site Habitat Baseline'!$D$1:$O$258,9,FALSE)),"",(VLOOKUP($E26,'A-1 On-Site Habitat Baseline'!$D$1:$O$258,9,FALSE))))</f>
        <v/>
      </c>
      <c r="L26" s="295" t="str">
        <f>IF(E26="","",IF(ISNA(VLOOKUP($E26,'A-1 On-Site Habitat Baseline'!$D$1:$O$258,11,FALSE)),"",(VLOOKUP($E26,'A-1 On-Site Habitat Baseline'!$D$1:$O$258,11,FALSE))))</f>
        <v/>
      </c>
      <c r="M26" s="295" t="str">
        <f>IF(E26="","",IF(ISNA(VLOOKUP($E26,'A-1 On-Site Habitat Baseline'!$D$1:$O$258,12,FALSE)),"",(VLOOKUP($E26,'A-1 On-Site Habitat Baseline'!$D$1:$O$258,12,FALSE))))</f>
        <v/>
      </c>
      <c r="N26" s="306" t="str">
        <f>IF(E26="","",IF(ISNA(VLOOKUP($E26,'A-1 On-Site Habitat Baseline'!$D$1:$X$258,14,FALSE)),"",(VLOOKUP($E26,'A-1 On-Site Habitat Baseline'!$D$1:$X$258,14,FALSE))))</f>
        <v/>
      </c>
      <c r="O26" s="299" t="str">
        <f>IF(E26="","",IF(ISNA(VLOOKUP($E26,'A-1 On-Site Habitat Baseline'!$D$1:$X$258,16,FALSE)),"",(VLOOKUP($E26,'A-1 On-Site Habitat Baseline'!$D$1:$X$258,13,FALSE))))</f>
        <v/>
      </c>
      <c r="P26" s="154" t="str">
        <f>IFERROR(INDEX('G-1 All Habitats'!$AG$49:$AG$63,MATCH(Q26,'G-1 All Habitats'!$AF$27:$AF$41,0)),"")</f>
        <v/>
      </c>
      <c r="Q26" s="155" t="str">
        <f t="shared" si="0"/>
        <v/>
      </c>
      <c r="R26" s="155"/>
      <c r="S26" s="237" t="str">
        <f>IFERROR(INDEX('G-1 All Habitats'!$B$3:$B$135,MATCH(R26,'G-1 All Habitats'!$A$3:$A$135,0)),"")</f>
        <v/>
      </c>
      <c r="T26" s="275" t="str">
        <f t="shared" si="1"/>
        <v/>
      </c>
      <c r="U26" s="276" t="str">
        <f t="shared" si="2"/>
        <v/>
      </c>
      <c r="V26" s="311" t="str">
        <f t="shared" si="3"/>
        <v/>
      </c>
      <c r="W26" s="295" t="str">
        <f>IF(S26="","",VLOOKUP(S26,'G-1 All Habitats'!$B$2:$M$135,10,FALSE))</f>
        <v/>
      </c>
      <c r="X26" s="295" t="str">
        <f>IFERROR(VLOOKUP(W26,'G-1 All Habitats'!$V$3:$W$7,2,FALSE),"")</f>
        <v/>
      </c>
      <c r="Y26" s="57"/>
      <c r="Z26" s="299" t="str">
        <f>IFERROR(INDEX('G-8 Condition Look up'!$A$3:$H$135,MATCH(S26,'G-8 Condition Look up'!$A$3:$A$135,0),MATCH(Y26,'G-8 Condition Look up'!$A$3:$H$3,0)),"")</f>
        <v/>
      </c>
      <c r="AA26" s="52"/>
      <c r="AB26" s="295" t="str">
        <f>IF(AA26="","",IF(VLOOKUP(AA26,'G-3 Multipliers'!$L$3:$N$6,2,FALSE)=0,"Spatial Data Missing ⚠",VLOOKUP(AA26,'G-3 Multipliers'!$L$3:$N$6,2,FALSE)))</f>
        <v/>
      </c>
      <c r="AC26" s="299" t="str">
        <f>IF(AA26="","",IF(VLOOKUP(AA26,'G-3 Multipliers'!$L$3:$N$6,3,FALSE)=0,"Spatial Data Missing ⚠",VLOOKUP(AA26,'G-3 Multipliers'!$L$3:$N$6,3,FALSE)))</f>
        <v/>
      </c>
      <c r="AD26" s="313" t="str">
        <f t="shared" si="4"/>
        <v/>
      </c>
      <c r="AE26" s="58"/>
      <c r="AF26" s="58"/>
      <c r="AG26" s="283" t="str">
        <f t="shared" si="5"/>
        <v/>
      </c>
      <c r="AH26" s="296" t="str">
        <f t="shared" si="6"/>
        <v/>
      </c>
      <c r="AI26" s="297" t="str">
        <f>IF(AH26="Check Data ⚠","Check Data ⚠",IFERROR(VLOOKUP(AH26,'G-4 Temporal multipliers'!$A$4:$C$36,3,FALSE),""))</f>
        <v/>
      </c>
      <c r="AJ26" s="275" t="str">
        <f>IF(S26="","",VLOOKUP(S26,'G-3 Multipliers'!$A$2:$E$134,4,FALSE))</f>
        <v/>
      </c>
      <c r="AK26" s="283" t="str">
        <f t="shared" si="7"/>
        <v/>
      </c>
      <c r="AL26" s="283" t="str">
        <f t="shared" si="8"/>
        <v/>
      </c>
      <c r="AM26" s="314" t="str">
        <f>IFERROR(IF(F26="","",IF(AH26="Check Data ⚠","Check Data ⚠",VLOOKUP(AL26,'G-3 Multipliers'!$P$2:$Q$6,2,FALSE))),"")</f>
        <v/>
      </c>
      <c r="AN26" s="289" t="str">
        <f t="shared" si="9"/>
        <v/>
      </c>
      <c r="AO26" s="52"/>
      <c r="AP26" s="51"/>
      <c r="AQ26" s="104"/>
      <c r="AT26" s="35" t="str">
        <f t="shared" si="10"/>
        <v>No</v>
      </c>
      <c r="AU26" s="35" t="str">
        <f>IF(E26="","",IF(ISNA(VLOOKUP($E26,'A-1 On-Site Habitat Baseline'!$D$1:$AV$258,4,FALSE)),"",(VLOOKUP($E26,'A-1 On-Site Habitat Baseline'!$D$1:$AV$258,4,FALSE))))</f>
        <v/>
      </c>
    </row>
    <row r="27" spans="1:47" ht="14">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05" t="str">
        <f>'A-1 On-Site Habitat Baseline'!AL26</f>
        <v/>
      </c>
      <c r="F27" s="295" t="str">
        <f>IF(E27="","",IF(ISNA(VLOOKUP($E27,'A-1 On-Site Habitat Baseline'!$D$1:$AV$258,45,FALSE)),"",(VLOOKUP($E27,'A-1 On-Site Habitat Baseline'!$D$1:$AV$258,45,FALSE))))</f>
        <v/>
      </c>
      <c r="G27" s="295" t="str">
        <f>IF(E27="","",IF(ISNA(VLOOKUP($E27,'A-1 On-Site Habitat Baseline'!$D$1:$O$258,5,FALSE)),"",(VLOOKUP($E27,'A-1 On-Site Habitat Baseline'!$D$1:$O$258,5,FALSE))))</f>
        <v/>
      </c>
      <c r="H27" s="295" t="str">
        <f>IF(E27="","",IF(ISNA(VLOOKUP($E27,'A-1 On-Site Habitat Baseline'!$D$1:$O$258,6,FALSE)),"",(VLOOKUP($E27,'A-1 On-Site Habitat Baseline'!$D$1:$O$258,6,FALSE))))</f>
        <v/>
      </c>
      <c r="I27" s="295" t="str">
        <f>IF(E27="","",IF(ISNA(VLOOKUP($E27,'A-1 On-Site Habitat Baseline'!$D$1:$O$258,7,FALSE)),"",(VLOOKUP($E27,'A-1 On-Site Habitat Baseline'!$D$1:$O$258,7,FALSE))))</f>
        <v/>
      </c>
      <c r="J27" s="295" t="str">
        <f>IF(E27="","",IF(ISNA(VLOOKUP($E27,'A-1 On-Site Habitat Baseline'!$D$1:$O$258,8,FALSE)),"",(VLOOKUP($E27,'A-1 On-Site Habitat Baseline'!$D$1:$O$258,8,FALSE))))</f>
        <v/>
      </c>
      <c r="K27" s="295" t="str">
        <f>IF(E27="","",IF(ISNA(VLOOKUP($E27,'A-1 On-Site Habitat Baseline'!$D$1:$O$258,9,FALSE)),"",(VLOOKUP($E27,'A-1 On-Site Habitat Baseline'!$D$1:$O$258,9,FALSE))))</f>
        <v/>
      </c>
      <c r="L27" s="295" t="str">
        <f>IF(E27="","",IF(ISNA(VLOOKUP($E27,'A-1 On-Site Habitat Baseline'!$D$1:$O$258,11,FALSE)),"",(VLOOKUP($E27,'A-1 On-Site Habitat Baseline'!$D$1:$O$258,11,FALSE))))</f>
        <v/>
      </c>
      <c r="M27" s="295" t="str">
        <f>IF(E27="","",IF(ISNA(VLOOKUP($E27,'A-1 On-Site Habitat Baseline'!$D$1:$O$258,12,FALSE)),"",(VLOOKUP($E27,'A-1 On-Site Habitat Baseline'!$D$1:$O$258,12,FALSE))))</f>
        <v/>
      </c>
      <c r="N27" s="306" t="str">
        <f>IF(E27="","",IF(ISNA(VLOOKUP($E27,'A-1 On-Site Habitat Baseline'!$D$1:$X$258,14,FALSE)),"",(VLOOKUP($E27,'A-1 On-Site Habitat Baseline'!$D$1:$X$258,14,FALSE))))</f>
        <v/>
      </c>
      <c r="O27" s="299" t="str">
        <f>IF(E27="","",IF(ISNA(VLOOKUP($E27,'A-1 On-Site Habitat Baseline'!$D$1:$X$258,16,FALSE)),"",(VLOOKUP($E27,'A-1 On-Site Habitat Baseline'!$D$1:$X$258,13,FALSE))))</f>
        <v/>
      </c>
      <c r="P27" s="154" t="str">
        <f>IFERROR(INDEX('G-1 All Habitats'!$AG$49:$AG$63,MATCH(Q27,'G-1 All Habitats'!$AF$27:$AF$41,0)),"")</f>
        <v/>
      </c>
      <c r="Q27" s="155" t="str">
        <f t="shared" si="0"/>
        <v/>
      </c>
      <c r="R27" s="155"/>
      <c r="S27" s="237" t="str">
        <f>IFERROR(INDEX('G-1 All Habitats'!$B$3:$B$135,MATCH(R27,'G-1 All Habitats'!$A$3:$A$135,0)),"")</f>
        <v/>
      </c>
      <c r="T27" s="275" t="str">
        <f t="shared" si="1"/>
        <v/>
      </c>
      <c r="U27" s="276" t="str">
        <f t="shared" si="2"/>
        <v/>
      </c>
      <c r="V27" s="311" t="str">
        <f t="shared" si="3"/>
        <v/>
      </c>
      <c r="W27" s="295" t="str">
        <f>IF(S27="","",VLOOKUP(S27,'G-1 All Habitats'!$B$2:$M$135,10,FALSE))</f>
        <v/>
      </c>
      <c r="X27" s="295" t="str">
        <f>IFERROR(VLOOKUP(W27,'G-1 All Habitats'!$V$3:$W$7,2,FALSE),"")</f>
        <v/>
      </c>
      <c r="Y27" s="57"/>
      <c r="Z27" s="299" t="str">
        <f>IFERROR(INDEX('G-8 Condition Look up'!$A$3:$H$135,MATCH(S27,'G-8 Condition Look up'!$A$3:$A$135,0),MATCH(Y27,'G-8 Condition Look up'!$A$3:$H$3,0)),"")</f>
        <v/>
      </c>
      <c r="AA27" s="52"/>
      <c r="AB27" s="295" t="str">
        <f>IF(AA27="","",IF(VLOOKUP(AA27,'G-3 Multipliers'!$L$3:$N$6,2,FALSE)=0,"Spatial Data Missing ⚠",VLOOKUP(AA27,'G-3 Multipliers'!$L$3:$N$6,2,FALSE)))</f>
        <v/>
      </c>
      <c r="AC27" s="299" t="str">
        <f>IF(AA27="","",IF(VLOOKUP(AA27,'G-3 Multipliers'!$L$3:$N$6,3,FALSE)=0,"Spatial Data Missing ⚠",VLOOKUP(AA27,'G-3 Multipliers'!$L$3:$N$6,3,FALSE)))</f>
        <v/>
      </c>
      <c r="AD27" s="313" t="str">
        <f t="shared" si="4"/>
        <v/>
      </c>
      <c r="AE27" s="58"/>
      <c r="AF27" s="58"/>
      <c r="AG27" s="283" t="str">
        <f t="shared" si="5"/>
        <v/>
      </c>
      <c r="AH27" s="296" t="str">
        <f t="shared" si="6"/>
        <v/>
      </c>
      <c r="AI27" s="297" t="str">
        <f>IF(AH27="Check Data ⚠","Check Data ⚠",IFERROR(VLOOKUP(AH27,'G-4 Temporal multipliers'!$A$4:$C$36,3,FALSE),""))</f>
        <v/>
      </c>
      <c r="AJ27" s="275" t="str">
        <f>IF(S27="","",VLOOKUP(S27,'G-3 Multipliers'!$A$2:$E$134,4,FALSE))</f>
        <v/>
      </c>
      <c r="AK27" s="283" t="str">
        <f t="shared" si="7"/>
        <v/>
      </c>
      <c r="AL27" s="283" t="str">
        <f t="shared" si="8"/>
        <v/>
      </c>
      <c r="AM27" s="314" t="str">
        <f>IFERROR(IF(F27="","",IF(AH27="Check Data ⚠","Check Data ⚠",VLOOKUP(AL27,'G-3 Multipliers'!$P$2:$Q$6,2,FALSE))),"")</f>
        <v/>
      </c>
      <c r="AN27" s="289" t="str">
        <f t="shared" si="9"/>
        <v/>
      </c>
      <c r="AO27" s="52"/>
      <c r="AP27" s="51"/>
      <c r="AQ27" s="104"/>
      <c r="AT27" s="35" t="str">
        <f t="shared" si="10"/>
        <v>No</v>
      </c>
      <c r="AU27" s="35" t="str">
        <f>IF(E27="","",IF(ISNA(VLOOKUP($E27,'A-1 On-Site Habitat Baseline'!$D$1:$AV$258,4,FALSE)),"",(VLOOKUP($E27,'A-1 On-Site Habitat Baseline'!$D$1:$AV$258,4,FALSE))))</f>
        <v/>
      </c>
    </row>
    <row r="28" spans="1:47" ht="14">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05" t="str">
        <f>'A-1 On-Site Habitat Baseline'!AL27</f>
        <v/>
      </c>
      <c r="F28" s="295" t="str">
        <f>IF(E28="","",IF(ISNA(VLOOKUP($E28,'A-1 On-Site Habitat Baseline'!$D$1:$AV$258,45,FALSE)),"",(VLOOKUP($E28,'A-1 On-Site Habitat Baseline'!$D$1:$AV$258,45,FALSE))))</f>
        <v/>
      </c>
      <c r="G28" s="295" t="str">
        <f>IF(E28="","",IF(ISNA(VLOOKUP($E28,'A-1 On-Site Habitat Baseline'!$D$1:$O$258,5,FALSE)),"",(VLOOKUP($E28,'A-1 On-Site Habitat Baseline'!$D$1:$O$258,5,FALSE))))</f>
        <v/>
      </c>
      <c r="H28" s="295" t="str">
        <f>IF(E28="","",IF(ISNA(VLOOKUP($E28,'A-1 On-Site Habitat Baseline'!$D$1:$O$258,6,FALSE)),"",(VLOOKUP($E28,'A-1 On-Site Habitat Baseline'!$D$1:$O$258,6,FALSE))))</f>
        <v/>
      </c>
      <c r="I28" s="295" t="str">
        <f>IF(E28="","",IF(ISNA(VLOOKUP($E28,'A-1 On-Site Habitat Baseline'!$D$1:$O$258,7,FALSE)),"",(VLOOKUP($E28,'A-1 On-Site Habitat Baseline'!$D$1:$O$258,7,FALSE))))</f>
        <v/>
      </c>
      <c r="J28" s="295" t="str">
        <f>IF(E28="","",IF(ISNA(VLOOKUP($E28,'A-1 On-Site Habitat Baseline'!$D$1:$O$258,8,FALSE)),"",(VLOOKUP($E28,'A-1 On-Site Habitat Baseline'!$D$1:$O$258,8,FALSE))))</f>
        <v/>
      </c>
      <c r="K28" s="295" t="str">
        <f>IF(E28="","",IF(ISNA(VLOOKUP($E28,'A-1 On-Site Habitat Baseline'!$D$1:$O$258,9,FALSE)),"",(VLOOKUP($E28,'A-1 On-Site Habitat Baseline'!$D$1:$O$258,9,FALSE))))</f>
        <v/>
      </c>
      <c r="L28" s="295" t="str">
        <f>IF(E28="","",IF(ISNA(VLOOKUP($E28,'A-1 On-Site Habitat Baseline'!$D$1:$O$258,11,FALSE)),"",(VLOOKUP($E28,'A-1 On-Site Habitat Baseline'!$D$1:$O$258,11,FALSE))))</f>
        <v/>
      </c>
      <c r="M28" s="295" t="str">
        <f>IF(E28="","",IF(ISNA(VLOOKUP($E28,'A-1 On-Site Habitat Baseline'!$D$1:$O$258,12,FALSE)),"",(VLOOKUP($E28,'A-1 On-Site Habitat Baseline'!$D$1:$O$258,12,FALSE))))</f>
        <v/>
      </c>
      <c r="N28" s="306" t="str">
        <f>IF(E28="","",IF(ISNA(VLOOKUP($E28,'A-1 On-Site Habitat Baseline'!$D$1:$X$258,14,FALSE)),"",(VLOOKUP($E28,'A-1 On-Site Habitat Baseline'!$D$1:$X$258,14,FALSE))))</f>
        <v/>
      </c>
      <c r="O28" s="299" t="str">
        <f>IF(E28="","",IF(ISNA(VLOOKUP($E28,'A-1 On-Site Habitat Baseline'!$D$1:$X$258,16,FALSE)),"",(VLOOKUP($E28,'A-1 On-Site Habitat Baseline'!$D$1:$X$258,13,FALSE))))</f>
        <v/>
      </c>
      <c r="P28" s="154" t="str">
        <f>IFERROR(INDEX('G-1 All Habitats'!$AG$49:$AG$63,MATCH(Q28,'G-1 All Habitats'!$AF$27:$AF$41,0)),"")</f>
        <v/>
      </c>
      <c r="Q28" s="155" t="str">
        <f t="shared" si="0"/>
        <v/>
      </c>
      <c r="R28" s="155"/>
      <c r="S28" s="237" t="str">
        <f>IFERROR(INDEX('G-1 All Habitats'!$B$3:$B$135,MATCH(R28,'G-1 All Habitats'!$A$3:$A$135,0)),"")</f>
        <v/>
      </c>
      <c r="T28" s="275" t="str">
        <f t="shared" si="1"/>
        <v/>
      </c>
      <c r="U28" s="276" t="str">
        <f t="shared" si="2"/>
        <v/>
      </c>
      <c r="V28" s="311" t="str">
        <f t="shared" si="3"/>
        <v/>
      </c>
      <c r="W28" s="295" t="str">
        <f>IF(S28="","",VLOOKUP(S28,'G-1 All Habitats'!$B$2:$M$135,10,FALSE))</f>
        <v/>
      </c>
      <c r="X28" s="295" t="str">
        <f>IFERROR(VLOOKUP(W28,'G-1 All Habitats'!$V$3:$W$7,2,FALSE),"")</f>
        <v/>
      </c>
      <c r="Y28" s="57"/>
      <c r="Z28" s="299" t="str">
        <f>IFERROR(INDEX('G-8 Condition Look up'!$A$3:$H$135,MATCH(S28,'G-8 Condition Look up'!$A$3:$A$135,0),MATCH(Y28,'G-8 Condition Look up'!$A$3:$H$3,0)),"")</f>
        <v/>
      </c>
      <c r="AA28" s="52"/>
      <c r="AB28" s="295" t="str">
        <f>IF(AA28="","",IF(VLOOKUP(AA28,'G-3 Multipliers'!$L$3:$N$6,2,FALSE)=0,"Spatial Data Missing ⚠",VLOOKUP(AA28,'G-3 Multipliers'!$L$3:$N$6,2,FALSE)))</f>
        <v/>
      </c>
      <c r="AC28" s="299" t="str">
        <f>IF(AA28="","",IF(VLOOKUP(AA28,'G-3 Multipliers'!$L$3:$N$6,3,FALSE)=0,"Spatial Data Missing ⚠",VLOOKUP(AA28,'G-3 Multipliers'!$L$3:$N$6,3,FALSE)))</f>
        <v/>
      </c>
      <c r="AD28" s="313" t="str">
        <f t="shared" si="4"/>
        <v/>
      </c>
      <c r="AE28" s="58"/>
      <c r="AF28" s="58"/>
      <c r="AG28" s="283" t="str">
        <f t="shared" si="5"/>
        <v/>
      </c>
      <c r="AH28" s="296" t="str">
        <f t="shared" si="6"/>
        <v/>
      </c>
      <c r="AI28" s="297" t="str">
        <f>IF(AH28="Check Data ⚠","Check Data ⚠",IFERROR(VLOOKUP(AH28,'G-4 Temporal multipliers'!$A$4:$C$36,3,FALSE),""))</f>
        <v/>
      </c>
      <c r="AJ28" s="275" t="str">
        <f>IF(S28="","",VLOOKUP(S28,'G-3 Multipliers'!$A$2:$E$134,4,FALSE))</f>
        <v/>
      </c>
      <c r="AK28" s="283" t="str">
        <f t="shared" si="7"/>
        <v/>
      </c>
      <c r="AL28" s="283" t="str">
        <f t="shared" si="8"/>
        <v/>
      </c>
      <c r="AM28" s="314" t="str">
        <f>IFERROR(IF(F28="","",IF(AH28="Check Data ⚠","Check Data ⚠",VLOOKUP(AL28,'G-3 Multipliers'!$P$2:$Q$6,2,FALSE))),"")</f>
        <v/>
      </c>
      <c r="AN28" s="289" t="str">
        <f t="shared" si="9"/>
        <v/>
      </c>
      <c r="AO28" s="52"/>
      <c r="AP28" s="51"/>
      <c r="AQ28" s="104"/>
      <c r="AT28" s="35" t="str">
        <f t="shared" si="10"/>
        <v>No</v>
      </c>
      <c r="AU28" s="35" t="str">
        <f>IF(E28="","",IF(ISNA(VLOOKUP($E28,'A-1 On-Site Habitat Baseline'!$D$1:$AV$258,4,FALSE)),"",(VLOOKUP($E28,'A-1 On-Site Habitat Baseline'!$D$1:$AV$258,4,FALSE))))</f>
        <v/>
      </c>
    </row>
    <row r="29" spans="1:47" ht="14">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05" t="str">
        <f>'A-1 On-Site Habitat Baseline'!AL28</f>
        <v/>
      </c>
      <c r="F29" s="295" t="str">
        <f>IF(E29="","",IF(ISNA(VLOOKUP($E29,'A-1 On-Site Habitat Baseline'!$D$1:$AV$258,45,FALSE)),"",(VLOOKUP($E29,'A-1 On-Site Habitat Baseline'!$D$1:$AV$258,45,FALSE))))</f>
        <v/>
      </c>
      <c r="G29" s="295" t="str">
        <f>IF(E29="","",IF(ISNA(VLOOKUP($E29,'A-1 On-Site Habitat Baseline'!$D$1:$O$258,5,FALSE)),"",(VLOOKUP($E29,'A-1 On-Site Habitat Baseline'!$D$1:$O$258,5,FALSE))))</f>
        <v/>
      </c>
      <c r="H29" s="295" t="str">
        <f>IF(E29="","",IF(ISNA(VLOOKUP($E29,'A-1 On-Site Habitat Baseline'!$D$1:$O$258,6,FALSE)),"",(VLOOKUP($E29,'A-1 On-Site Habitat Baseline'!$D$1:$O$258,6,FALSE))))</f>
        <v/>
      </c>
      <c r="I29" s="295" t="str">
        <f>IF(E29="","",IF(ISNA(VLOOKUP($E29,'A-1 On-Site Habitat Baseline'!$D$1:$O$258,7,FALSE)),"",(VLOOKUP($E29,'A-1 On-Site Habitat Baseline'!$D$1:$O$258,7,FALSE))))</f>
        <v/>
      </c>
      <c r="J29" s="295" t="str">
        <f>IF(E29="","",IF(ISNA(VLOOKUP($E29,'A-1 On-Site Habitat Baseline'!$D$1:$O$258,8,FALSE)),"",(VLOOKUP($E29,'A-1 On-Site Habitat Baseline'!$D$1:$O$258,8,FALSE))))</f>
        <v/>
      </c>
      <c r="K29" s="295" t="str">
        <f>IF(E29="","",IF(ISNA(VLOOKUP($E29,'A-1 On-Site Habitat Baseline'!$D$1:$O$258,9,FALSE)),"",(VLOOKUP($E29,'A-1 On-Site Habitat Baseline'!$D$1:$O$258,9,FALSE))))</f>
        <v/>
      </c>
      <c r="L29" s="295" t="str">
        <f>IF(E29="","",IF(ISNA(VLOOKUP($E29,'A-1 On-Site Habitat Baseline'!$D$1:$O$258,11,FALSE)),"",(VLOOKUP($E29,'A-1 On-Site Habitat Baseline'!$D$1:$O$258,11,FALSE))))</f>
        <v/>
      </c>
      <c r="M29" s="295" t="str">
        <f>IF(E29="","",IF(ISNA(VLOOKUP($E29,'A-1 On-Site Habitat Baseline'!$D$1:$O$258,12,FALSE)),"",(VLOOKUP($E29,'A-1 On-Site Habitat Baseline'!$D$1:$O$258,12,FALSE))))</f>
        <v/>
      </c>
      <c r="N29" s="306" t="str">
        <f>IF(E29="","",IF(ISNA(VLOOKUP($E29,'A-1 On-Site Habitat Baseline'!$D$1:$X$258,14,FALSE)),"",(VLOOKUP($E29,'A-1 On-Site Habitat Baseline'!$D$1:$X$258,14,FALSE))))</f>
        <v/>
      </c>
      <c r="O29" s="299" t="str">
        <f>IF(E29="","",IF(ISNA(VLOOKUP($E29,'A-1 On-Site Habitat Baseline'!$D$1:$X$258,16,FALSE)),"",(VLOOKUP($E29,'A-1 On-Site Habitat Baseline'!$D$1:$X$258,13,FALSE))))</f>
        <v/>
      </c>
      <c r="P29" s="154" t="str">
        <f>IFERROR(INDEX('G-1 All Habitats'!$AG$49:$AG$63,MATCH(Q29,'G-1 All Habitats'!$AF$27:$AF$41,0)),"")</f>
        <v/>
      </c>
      <c r="Q29" s="155" t="str">
        <f t="shared" si="0"/>
        <v/>
      </c>
      <c r="R29" s="155"/>
      <c r="S29" s="237" t="str">
        <f>IFERROR(INDEX('G-1 All Habitats'!$B$3:$B$135,MATCH(R29,'G-1 All Habitats'!$A$3:$A$135,0)),"")</f>
        <v/>
      </c>
      <c r="T29" s="275" t="str">
        <f t="shared" si="1"/>
        <v/>
      </c>
      <c r="U29" s="276" t="str">
        <f t="shared" si="2"/>
        <v/>
      </c>
      <c r="V29" s="311" t="str">
        <f t="shared" si="3"/>
        <v/>
      </c>
      <c r="W29" s="295" t="str">
        <f>IF(S29="","",VLOOKUP(S29,'G-1 All Habitats'!$B$2:$M$135,10,FALSE))</f>
        <v/>
      </c>
      <c r="X29" s="295" t="str">
        <f>IFERROR(VLOOKUP(W29,'G-1 All Habitats'!$V$3:$W$7,2,FALSE),"")</f>
        <v/>
      </c>
      <c r="Y29" s="57"/>
      <c r="Z29" s="299" t="str">
        <f>IFERROR(INDEX('G-8 Condition Look up'!$A$3:$H$135,MATCH(S29,'G-8 Condition Look up'!$A$3:$A$135,0),MATCH(Y29,'G-8 Condition Look up'!$A$3:$H$3,0)),"")</f>
        <v/>
      </c>
      <c r="AA29" s="52"/>
      <c r="AB29" s="295" t="str">
        <f>IF(AA29="","",IF(VLOOKUP(AA29,'G-3 Multipliers'!$L$3:$N$6,2,FALSE)=0,"Spatial Data Missing ⚠",VLOOKUP(AA29,'G-3 Multipliers'!$L$3:$N$6,2,FALSE)))</f>
        <v/>
      </c>
      <c r="AC29" s="299" t="str">
        <f>IF(AA29="","",IF(VLOOKUP(AA29,'G-3 Multipliers'!$L$3:$N$6,3,FALSE)=0,"Spatial Data Missing ⚠",VLOOKUP(AA29,'G-3 Multipliers'!$L$3:$N$6,3,FALSE)))</f>
        <v/>
      </c>
      <c r="AD29" s="313" t="str">
        <f t="shared" si="4"/>
        <v/>
      </c>
      <c r="AE29" s="58"/>
      <c r="AF29" s="58"/>
      <c r="AG29" s="283" t="str">
        <f t="shared" si="5"/>
        <v/>
      </c>
      <c r="AH29" s="296" t="str">
        <f t="shared" si="6"/>
        <v/>
      </c>
      <c r="AI29" s="297" t="str">
        <f>IF(AH29="Check Data ⚠","Check Data ⚠",IFERROR(VLOOKUP(AH29,'G-4 Temporal multipliers'!$A$4:$C$36,3,FALSE),""))</f>
        <v/>
      </c>
      <c r="AJ29" s="275" t="str">
        <f>IF(S29="","",VLOOKUP(S29,'G-3 Multipliers'!$A$2:$E$134,4,FALSE))</f>
        <v/>
      </c>
      <c r="AK29" s="283" t="str">
        <f t="shared" si="7"/>
        <v/>
      </c>
      <c r="AL29" s="283" t="str">
        <f t="shared" si="8"/>
        <v/>
      </c>
      <c r="AM29" s="314" t="str">
        <f>IFERROR(IF(F29="","",IF(AH29="Check Data ⚠","Check Data ⚠",VLOOKUP(AL29,'G-3 Multipliers'!$P$2:$Q$6,2,FALSE))),"")</f>
        <v/>
      </c>
      <c r="AN29" s="289" t="str">
        <f t="shared" si="9"/>
        <v/>
      </c>
      <c r="AO29" s="52"/>
      <c r="AP29" s="51"/>
      <c r="AQ29" s="104"/>
      <c r="AT29" s="35" t="str">
        <f t="shared" si="10"/>
        <v>No</v>
      </c>
      <c r="AU29" s="35" t="str">
        <f>IF(E29="","",IF(ISNA(VLOOKUP($E29,'A-1 On-Site Habitat Baseline'!$D$1:$AV$258,4,FALSE)),"",(VLOOKUP($E29,'A-1 On-Site Habitat Baseline'!$D$1:$AV$258,4,FALSE))))</f>
        <v/>
      </c>
    </row>
    <row r="30" spans="1:47" ht="14">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05" t="str">
        <f>'A-1 On-Site Habitat Baseline'!AL29</f>
        <v/>
      </c>
      <c r="F30" s="295" t="str">
        <f>IF(E30="","",IF(ISNA(VLOOKUP($E30,'A-1 On-Site Habitat Baseline'!$D$1:$AV$258,45,FALSE)),"",(VLOOKUP($E30,'A-1 On-Site Habitat Baseline'!$D$1:$AV$258,45,FALSE))))</f>
        <v/>
      </c>
      <c r="G30" s="295" t="str">
        <f>IF(E30="","",IF(ISNA(VLOOKUP($E30,'A-1 On-Site Habitat Baseline'!$D$1:$O$258,5,FALSE)),"",(VLOOKUP($E30,'A-1 On-Site Habitat Baseline'!$D$1:$O$258,5,FALSE))))</f>
        <v/>
      </c>
      <c r="H30" s="295" t="str">
        <f>IF(E30="","",IF(ISNA(VLOOKUP($E30,'A-1 On-Site Habitat Baseline'!$D$1:$O$258,6,FALSE)),"",(VLOOKUP($E30,'A-1 On-Site Habitat Baseline'!$D$1:$O$258,6,FALSE))))</f>
        <v/>
      </c>
      <c r="I30" s="295" t="str">
        <f>IF(E30="","",IF(ISNA(VLOOKUP($E30,'A-1 On-Site Habitat Baseline'!$D$1:$O$258,7,FALSE)),"",(VLOOKUP($E30,'A-1 On-Site Habitat Baseline'!$D$1:$O$258,7,FALSE))))</f>
        <v/>
      </c>
      <c r="J30" s="295" t="str">
        <f>IF(E30="","",IF(ISNA(VLOOKUP($E30,'A-1 On-Site Habitat Baseline'!$D$1:$O$258,8,FALSE)),"",(VLOOKUP($E30,'A-1 On-Site Habitat Baseline'!$D$1:$O$258,8,FALSE))))</f>
        <v/>
      </c>
      <c r="K30" s="295" t="str">
        <f>IF(E30="","",IF(ISNA(VLOOKUP($E30,'A-1 On-Site Habitat Baseline'!$D$1:$O$258,9,FALSE)),"",(VLOOKUP($E30,'A-1 On-Site Habitat Baseline'!$D$1:$O$258,9,FALSE))))</f>
        <v/>
      </c>
      <c r="L30" s="295" t="str">
        <f>IF(E30="","",IF(ISNA(VLOOKUP($E30,'A-1 On-Site Habitat Baseline'!$D$1:$O$258,11,FALSE)),"",(VLOOKUP($E30,'A-1 On-Site Habitat Baseline'!$D$1:$O$258,11,FALSE))))</f>
        <v/>
      </c>
      <c r="M30" s="295" t="str">
        <f>IF(E30="","",IF(ISNA(VLOOKUP($E30,'A-1 On-Site Habitat Baseline'!$D$1:$O$258,12,FALSE)),"",(VLOOKUP($E30,'A-1 On-Site Habitat Baseline'!$D$1:$O$258,12,FALSE))))</f>
        <v/>
      </c>
      <c r="N30" s="306" t="str">
        <f>IF(E30="","",IF(ISNA(VLOOKUP($E30,'A-1 On-Site Habitat Baseline'!$D$1:$X$258,14,FALSE)),"",(VLOOKUP($E30,'A-1 On-Site Habitat Baseline'!$D$1:$X$258,14,FALSE))))</f>
        <v/>
      </c>
      <c r="O30" s="299" t="str">
        <f>IF(E30="","",IF(ISNA(VLOOKUP($E30,'A-1 On-Site Habitat Baseline'!$D$1:$X$258,16,FALSE)),"",(VLOOKUP($E30,'A-1 On-Site Habitat Baseline'!$D$1:$X$258,13,FALSE))))</f>
        <v/>
      </c>
      <c r="P30" s="154" t="str">
        <f>IFERROR(INDEX('G-1 All Habitats'!$AG$49:$AG$63,MATCH(Q30,'G-1 All Habitats'!$AF$27:$AF$41,0)),"")</f>
        <v/>
      </c>
      <c r="Q30" s="155" t="str">
        <f t="shared" si="0"/>
        <v/>
      </c>
      <c r="R30" s="155"/>
      <c r="S30" s="237" t="str">
        <f>IFERROR(INDEX('G-1 All Habitats'!$B$3:$B$135,MATCH(R30,'G-1 All Habitats'!$A$3:$A$135,0)),"")</f>
        <v/>
      </c>
      <c r="T30" s="275" t="str">
        <f t="shared" si="1"/>
        <v/>
      </c>
      <c r="U30" s="276" t="str">
        <f t="shared" si="2"/>
        <v/>
      </c>
      <c r="V30" s="311" t="str">
        <f t="shared" si="3"/>
        <v/>
      </c>
      <c r="W30" s="295" t="str">
        <f>IF(S30="","",VLOOKUP(S30,'G-1 All Habitats'!$B$2:$M$135,10,FALSE))</f>
        <v/>
      </c>
      <c r="X30" s="295" t="str">
        <f>IFERROR(VLOOKUP(W30,'G-1 All Habitats'!$V$3:$W$7,2,FALSE),"")</f>
        <v/>
      </c>
      <c r="Y30" s="57"/>
      <c r="Z30" s="299" t="str">
        <f>IFERROR(INDEX('G-8 Condition Look up'!$A$3:$H$135,MATCH(S30,'G-8 Condition Look up'!$A$3:$A$135,0),MATCH(Y30,'G-8 Condition Look up'!$A$3:$H$3,0)),"")</f>
        <v/>
      </c>
      <c r="AA30" s="52"/>
      <c r="AB30" s="295" t="str">
        <f>IF(AA30="","",IF(VLOOKUP(AA30,'G-3 Multipliers'!$L$3:$N$6,2,FALSE)=0,"Spatial Data Missing ⚠",VLOOKUP(AA30,'G-3 Multipliers'!$L$3:$N$6,2,FALSE)))</f>
        <v/>
      </c>
      <c r="AC30" s="299" t="str">
        <f>IF(AA30="","",IF(VLOOKUP(AA30,'G-3 Multipliers'!$L$3:$N$6,3,FALSE)=0,"Spatial Data Missing ⚠",VLOOKUP(AA30,'G-3 Multipliers'!$L$3:$N$6,3,FALSE)))</f>
        <v/>
      </c>
      <c r="AD30" s="313" t="str">
        <f t="shared" si="4"/>
        <v/>
      </c>
      <c r="AE30" s="58"/>
      <c r="AF30" s="58"/>
      <c r="AG30" s="283" t="str">
        <f t="shared" si="5"/>
        <v/>
      </c>
      <c r="AH30" s="296" t="str">
        <f t="shared" si="6"/>
        <v/>
      </c>
      <c r="AI30" s="297" t="str">
        <f>IF(AH30="Check Data ⚠","Check Data ⚠",IFERROR(VLOOKUP(AH30,'G-4 Temporal multipliers'!$A$4:$C$36,3,FALSE),""))</f>
        <v/>
      </c>
      <c r="AJ30" s="275" t="str">
        <f>IF(S30="","",VLOOKUP(S30,'G-3 Multipliers'!$A$2:$E$134,4,FALSE))</f>
        <v/>
      </c>
      <c r="AK30" s="283" t="str">
        <f t="shared" si="7"/>
        <v/>
      </c>
      <c r="AL30" s="283" t="str">
        <f t="shared" si="8"/>
        <v/>
      </c>
      <c r="AM30" s="314" t="str">
        <f>IFERROR(IF(F30="","",IF(AH30="Check Data ⚠","Check Data ⚠",VLOOKUP(AL30,'G-3 Multipliers'!$P$2:$Q$6,2,FALSE))),"")</f>
        <v/>
      </c>
      <c r="AN30" s="289" t="str">
        <f t="shared" si="9"/>
        <v/>
      </c>
      <c r="AO30" s="52"/>
      <c r="AP30" s="51"/>
      <c r="AQ30" s="104"/>
      <c r="AT30" s="35" t="str">
        <f t="shared" si="10"/>
        <v>No</v>
      </c>
      <c r="AU30" s="35" t="str">
        <f>IF(E30="","",IF(ISNA(VLOOKUP($E30,'A-1 On-Site Habitat Baseline'!$D$1:$AV$258,4,FALSE)),"",(VLOOKUP($E30,'A-1 On-Site Habitat Baseline'!$D$1:$AV$258,4,FALSE))))</f>
        <v/>
      </c>
    </row>
    <row r="31" spans="1:47" ht="14">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05" t="str">
        <f>'A-1 On-Site Habitat Baseline'!AL30</f>
        <v/>
      </c>
      <c r="F31" s="295" t="str">
        <f>IF(E31="","",IF(ISNA(VLOOKUP($E31,'A-1 On-Site Habitat Baseline'!$D$1:$AV$258,45,FALSE)),"",(VLOOKUP($E31,'A-1 On-Site Habitat Baseline'!$D$1:$AV$258,45,FALSE))))</f>
        <v/>
      </c>
      <c r="G31" s="295" t="str">
        <f>IF(E31="","",IF(ISNA(VLOOKUP($E31,'A-1 On-Site Habitat Baseline'!$D$1:$O$258,5,FALSE)),"",(VLOOKUP($E31,'A-1 On-Site Habitat Baseline'!$D$1:$O$258,5,FALSE))))</f>
        <v/>
      </c>
      <c r="H31" s="295" t="str">
        <f>IF(E31="","",IF(ISNA(VLOOKUP($E31,'A-1 On-Site Habitat Baseline'!$D$1:$O$258,6,FALSE)),"",(VLOOKUP($E31,'A-1 On-Site Habitat Baseline'!$D$1:$O$258,6,FALSE))))</f>
        <v/>
      </c>
      <c r="I31" s="295" t="str">
        <f>IF(E31="","",IF(ISNA(VLOOKUP($E31,'A-1 On-Site Habitat Baseline'!$D$1:$O$258,7,FALSE)),"",(VLOOKUP($E31,'A-1 On-Site Habitat Baseline'!$D$1:$O$258,7,FALSE))))</f>
        <v/>
      </c>
      <c r="J31" s="295" t="str">
        <f>IF(E31="","",IF(ISNA(VLOOKUP($E31,'A-1 On-Site Habitat Baseline'!$D$1:$O$258,8,FALSE)),"",(VLOOKUP($E31,'A-1 On-Site Habitat Baseline'!$D$1:$O$258,8,FALSE))))</f>
        <v/>
      </c>
      <c r="K31" s="295" t="str">
        <f>IF(E31="","",IF(ISNA(VLOOKUP($E31,'A-1 On-Site Habitat Baseline'!$D$1:$O$258,9,FALSE)),"",(VLOOKUP($E31,'A-1 On-Site Habitat Baseline'!$D$1:$O$258,9,FALSE))))</f>
        <v/>
      </c>
      <c r="L31" s="295" t="str">
        <f>IF(E31="","",IF(ISNA(VLOOKUP($E31,'A-1 On-Site Habitat Baseline'!$D$1:$O$258,11,FALSE)),"",(VLOOKUP($E31,'A-1 On-Site Habitat Baseline'!$D$1:$O$258,11,FALSE))))</f>
        <v/>
      </c>
      <c r="M31" s="295" t="str">
        <f>IF(E31="","",IF(ISNA(VLOOKUP($E31,'A-1 On-Site Habitat Baseline'!$D$1:$O$258,12,FALSE)),"",(VLOOKUP($E31,'A-1 On-Site Habitat Baseline'!$D$1:$O$258,12,FALSE))))</f>
        <v/>
      </c>
      <c r="N31" s="306" t="str">
        <f>IF(E31="","",IF(ISNA(VLOOKUP($E31,'A-1 On-Site Habitat Baseline'!$D$1:$X$258,14,FALSE)),"",(VLOOKUP($E31,'A-1 On-Site Habitat Baseline'!$D$1:$X$258,14,FALSE))))</f>
        <v/>
      </c>
      <c r="O31" s="299" t="str">
        <f>IF(E31="","",IF(ISNA(VLOOKUP($E31,'A-1 On-Site Habitat Baseline'!$D$1:$X$258,16,FALSE)),"",(VLOOKUP($E31,'A-1 On-Site Habitat Baseline'!$D$1:$X$258,13,FALSE))))</f>
        <v/>
      </c>
      <c r="P31" s="154" t="str">
        <f>IFERROR(INDEX('G-1 All Habitats'!$AG$49:$AG$63,MATCH(Q31,'G-1 All Habitats'!$AF$27:$AF$41,0)),"")</f>
        <v/>
      </c>
      <c r="Q31" s="155" t="str">
        <f t="shared" si="0"/>
        <v/>
      </c>
      <c r="R31" s="155"/>
      <c r="S31" s="237" t="str">
        <f>IFERROR(INDEX('G-1 All Habitats'!$B$3:$B$135,MATCH(R31,'G-1 All Habitats'!$A$3:$A$135,0)),"")</f>
        <v/>
      </c>
      <c r="T31" s="275" t="str">
        <f t="shared" si="1"/>
        <v/>
      </c>
      <c r="U31" s="276" t="str">
        <f t="shared" si="2"/>
        <v/>
      </c>
      <c r="V31" s="311" t="str">
        <f t="shared" si="3"/>
        <v/>
      </c>
      <c r="W31" s="295" t="str">
        <f>IF(S31="","",VLOOKUP(S31,'G-1 All Habitats'!$B$2:$M$135,10,FALSE))</f>
        <v/>
      </c>
      <c r="X31" s="295" t="str">
        <f>IFERROR(VLOOKUP(W31,'G-1 All Habitats'!$V$3:$W$7,2,FALSE),"")</f>
        <v/>
      </c>
      <c r="Y31" s="57"/>
      <c r="Z31" s="299" t="str">
        <f>IFERROR(INDEX('G-8 Condition Look up'!$A$3:$H$135,MATCH(S31,'G-8 Condition Look up'!$A$3:$A$135,0),MATCH(Y31,'G-8 Condition Look up'!$A$3:$H$3,0)),"")</f>
        <v/>
      </c>
      <c r="AA31" s="52"/>
      <c r="AB31" s="295" t="str">
        <f>IF(AA31="","",IF(VLOOKUP(AA31,'G-3 Multipliers'!$L$3:$N$6,2,FALSE)=0,"Spatial Data Missing ⚠",VLOOKUP(AA31,'G-3 Multipliers'!$L$3:$N$6,2,FALSE)))</f>
        <v/>
      </c>
      <c r="AC31" s="299" t="str">
        <f>IF(AA31="","",IF(VLOOKUP(AA31,'G-3 Multipliers'!$L$3:$N$6,3,FALSE)=0,"Spatial Data Missing ⚠",VLOOKUP(AA31,'G-3 Multipliers'!$L$3:$N$6,3,FALSE)))</f>
        <v/>
      </c>
      <c r="AD31" s="313" t="str">
        <f t="shared" si="4"/>
        <v/>
      </c>
      <c r="AE31" s="58"/>
      <c r="AF31" s="58"/>
      <c r="AG31" s="283" t="str">
        <f t="shared" si="5"/>
        <v/>
      </c>
      <c r="AH31" s="296" t="str">
        <f t="shared" si="6"/>
        <v/>
      </c>
      <c r="AI31" s="297" t="str">
        <f>IF(AH31="Check Data ⚠","Check Data ⚠",IFERROR(VLOOKUP(AH31,'G-4 Temporal multipliers'!$A$4:$C$36,3,FALSE),""))</f>
        <v/>
      </c>
      <c r="AJ31" s="275" t="str">
        <f>IF(S31="","",VLOOKUP(S31,'G-3 Multipliers'!$A$2:$E$134,4,FALSE))</f>
        <v/>
      </c>
      <c r="AK31" s="283" t="str">
        <f t="shared" si="7"/>
        <v/>
      </c>
      <c r="AL31" s="283" t="str">
        <f t="shared" si="8"/>
        <v/>
      </c>
      <c r="AM31" s="314" t="str">
        <f>IFERROR(IF(F31="","",IF(AH31="Check Data ⚠","Check Data ⚠",VLOOKUP(AL31,'G-3 Multipliers'!$P$2:$Q$6,2,FALSE))),"")</f>
        <v/>
      </c>
      <c r="AN31" s="289" t="str">
        <f t="shared" si="9"/>
        <v/>
      </c>
      <c r="AO31" s="52"/>
      <c r="AP31" s="51"/>
      <c r="AQ31" s="104"/>
      <c r="AT31" s="35" t="str">
        <f t="shared" si="10"/>
        <v>No</v>
      </c>
      <c r="AU31" s="35" t="str">
        <f>IF(E31="","",IF(ISNA(VLOOKUP($E31,'A-1 On-Site Habitat Baseline'!$D$1:$AV$258,4,FALSE)),"",(VLOOKUP($E31,'A-1 On-Site Habitat Baseline'!$D$1:$AV$258,4,FALSE))))</f>
        <v/>
      </c>
    </row>
    <row r="32" spans="1:47" ht="14">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05" t="str">
        <f>'A-1 On-Site Habitat Baseline'!AL31</f>
        <v/>
      </c>
      <c r="F32" s="295" t="str">
        <f>IF(E32="","",IF(ISNA(VLOOKUP($E32,'A-1 On-Site Habitat Baseline'!$D$1:$AV$258,45,FALSE)),"",(VLOOKUP($E32,'A-1 On-Site Habitat Baseline'!$D$1:$AV$258,45,FALSE))))</f>
        <v/>
      </c>
      <c r="G32" s="295" t="str">
        <f>IF(E32="","",IF(ISNA(VLOOKUP($E32,'A-1 On-Site Habitat Baseline'!$D$1:$O$258,5,FALSE)),"",(VLOOKUP($E32,'A-1 On-Site Habitat Baseline'!$D$1:$O$258,5,FALSE))))</f>
        <v/>
      </c>
      <c r="H32" s="295" t="str">
        <f>IF(E32="","",IF(ISNA(VLOOKUP($E32,'A-1 On-Site Habitat Baseline'!$D$1:$O$258,6,FALSE)),"",(VLOOKUP($E32,'A-1 On-Site Habitat Baseline'!$D$1:$O$258,6,FALSE))))</f>
        <v/>
      </c>
      <c r="I32" s="295" t="str">
        <f>IF(E32="","",IF(ISNA(VLOOKUP($E32,'A-1 On-Site Habitat Baseline'!$D$1:$O$258,7,FALSE)),"",(VLOOKUP($E32,'A-1 On-Site Habitat Baseline'!$D$1:$O$258,7,FALSE))))</f>
        <v/>
      </c>
      <c r="J32" s="295" t="str">
        <f>IF(E32="","",IF(ISNA(VLOOKUP($E32,'A-1 On-Site Habitat Baseline'!$D$1:$O$258,8,FALSE)),"",(VLOOKUP($E32,'A-1 On-Site Habitat Baseline'!$D$1:$O$258,8,FALSE))))</f>
        <v/>
      </c>
      <c r="K32" s="295" t="str">
        <f>IF(E32="","",IF(ISNA(VLOOKUP($E32,'A-1 On-Site Habitat Baseline'!$D$1:$O$258,9,FALSE)),"",(VLOOKUP($E32,'A-1 On-Site Habitat Baseline'!$D$1:$O$258,9,FALSE))))</f>
        <v/>
      </c>
      <c r="L32" s="295" t="str">
        <f>IF(E32="","",IF(ISNA(VLOOKUP($E32,'A-1 On-Site Habitat Baseline'!$D$1:$O$258,11,FALSE)),"",(VLOOKUP($E32,'A-1 On-Site Habitat Baseline'!$D$1:$O$258,11,FALSE))))</f>
        <v/>
      </c>
      <c r="M32" s="295" t="str">
        <f>IF(E32="","",IF(ISNA(VLOOKUP($E32,'A-1 On-Site Habitat Baseline'!$D$1:$O$258,12,FALSE)),"",(VLOOKUP($E32,'A-1 On-Site Habitat Baseline'!$D$1:$O$258,12,FALSE))))</f>
        <v/>
      </c>
      <c r="N32" s="306" t="str">
        <f>IF(E32="","",IF(ISNA(VLOOKUP($E32,'A-1 On-Site Habitat Baseline'!$D$1:$X$258,14,FALSE)),"",(VLOOKUP($E32,'A-1 On-Site Habitat Baseline'!$D$1:$X$258,14,FALSE))))</f>
        <v/>
      </c>
      <c r="O32" s="299" t="str">
        <f>IF(E32="","",IF(ISNA(VLOOKUP($E32,'A-1 On-Site Habitat Baseline'!$D$1:$X$258,16,FALSE)),"",(VLOOKUP($E32,'A-1 On-Site Habitat Baseline'!$D$1:$X$258,13,FALSE))))</f>
        <v/>
      </c>
      <c r="P32" s="154" t="str">
        <f>IFERROR(INDEX('G-1 All Habitats'!$AG$49:$AG$63,MATCH(Q32,'G-1 All Habitats'!$AF$27:$AF$41,0)),"")</f>
        <v/>
      </c>
      <c r="Q32" s="155" t="str">
        <f t="shared" si="0"/>
        <v/>
      </c>
      <c r="R32" s="155"/>
      <c r="S32" s="237" t="str">
        <f>IFERROR(INDEX('G-1 All Habitats'!$B$3:$B$135,MATCH(R32,'G-1 All Habitats'!$A$3:$A$135,0)),"")</f>
        <v/>
      </c>
      <c r="T32" s="275" t="str">
        <f t="shared" si="1"/>
        <v/>
      </c>
      <c r="U32" s="276" t="str">
        <f t="shared" si="2"/>
        <v/>
      </c>
      <c r="V32" s="311" t="str">
        <f t="shared" si="3"/>
        <v/>
      </c>
      <c r="W32" s="295" t="str">
        <f>IF(S32="","",VLOOKUP(S32,'G-1 All Habitats'!$B$2:$M$135,10,FALSE))</f>
        <v/>
      </c>
      <c r="X32" s="295" t="str">
        <f>IFERROR(VLOOKUP(W32,'G-1 All Habitats'!$V$3:$W$7,2,FALSE),"")</f>
        <v/>
      </c>
      <c r="Y32" s="57"/>
      <c r="Z32" s="299" t="str">
        <f>IFERROR(INDEX('G-8 Condition Look up'!$A$3:$H$135,MATCH(S32,'G-8 Condition Look up'!$A$3:$A$135,0),MATCH(Y32,'G-8 Condition Look up'!$A$3:$H$3,0)),"")</f>
        <v/>
      </c>
      <c r="AA32" s="52"/>
      <c r="AB32" s="295" t="str">
        <f>IF(AA32="","",IF(VLOOKUP(AA32,'G-3 Multipliers'!$L$3:$N$6,2,FALSE)=0,"Spatial Data Missing ⚠",VLOOKUP(AA32,'G-3 Multipliers'!$L$3:$N$6,2,FALSE)))</f>
        <v/>
      </c>
      <c r="AC32" s="299" t="str">
        <f>IF(AA32="","",IF(VLOOKUP(AA32,'G-3 Multipliers'!$L$3:$N$6,3,FALSE)=0,"Spatial Data Missing ⚠",VLOOKUP(AA32,'G-3 Multipliers'!$L$3:$N$6,3,FALSE)))</f>
        <v/>
      </c>
      <c r="AD32" s="313" t="str">
        <f t="shared" si="4"/>
        <v/>
      </c>
      <c r="AE32" s="58"/>
      <c r="AF32" s="58"/>
      <c r="AG32" s="283" t="str">
        <f t="shared" si="5"/>
        <v/>
      </c>
      <c r="AH32" s="296" t="str">
        <f t="shared" si="6"/>
        <v/>
      </c>
      <c r="AI32" s="297" t="str">
        <f>IF(AH32="Check Data ⚠","Check Data ⚠",IFERROR(VLOOKUP(AH32,'G-4 Temporal multipliers'!$A$4:$C$36,3,FALSE),""))</f>
        <v/>
      </c>
      <c r="AJ32" s="275" t="str">
        <f>IF(S32="","",VLOOKUP(S32,'G-3 Multipliers'!$A$2:$E$134,4,FALSE))</f>
        <v/>
      </c>
      <c r="AK32" s="283" t="str">
        <f t="shared" si="7"/>
        <v/>
      </c>
      <c r="AL32" s="283" t="str">
        <f t="shared" si="8"/>
        <v/>
      </c>
      <c r="AM32" s="314" t="str">
        <f>IFERROR(IF(F32="","",IF(AH32="Check Data ⚠","Check Data ⚠",VLOOKUP(AL32,'G-3 Multipliers'!$P$2:$Q$6,2,FALSE))),"")</f>
        <v/>
      </c>
      <c r="AN32" s="289" t="str">
        <f t="shared" si="9"/>
        <v/>
      </c>
      <c r="AO32" s="52"/>
      <c r="AP32" s="51"/>
      <c r="AQ32" s="104"/>
      <c r="AT32" s="35" t="str">
        <f t="shared" si="10"/>
        <v>No</v>
      </c>
      <c r="AU32" s="35" t="str">
        <f>IF(E32="","",IF(ISNA(VLOOKUP($E32,'A-1 On-Site Habitat Baseline'!$D$1:$AV$258,4,FALSE)),"",(VLOOKUP($E32,'A-1 On-Site Habitat Baseline'!$D$1:$AV$258,4,FALSE))))</f>
        <v/>
      </c>
    </row>
    <row r="33" spans="1:47" ht="14">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05" t="str">
        <f>'A-1 On-Site Habitat Baseline'!AL32</f>
        <v/>
      </c>
      <c r="F33" s="295" t="str">
        <f>IF(E33="","",IF(ISNA(VLOOKUP($E33,'A-1 On-Site Habitat Baseline'!$D$1:$AV$258,45,FALSE)),"",(VLOOKUP($E33,'A-1 On-Site Habitat Baseline'!$D$1:$AV$258,45,FALSE))))</f>
        <v/>
      </c>
      <c r="G33" s="295" t="str">
        <f>IF(E33="","",IF(ISNA(VLOOKUP($E33,'A-1 On-Site Habitat Baseline'!$D$1:$O$258,5,FALSE)),"",(VLOOKUP($E33,'A-1 On-Site Habitat Baseline'!$D$1:$O$258,5,FALSE))))</f>
        <v/>
      </c>
      <c r="H33" s="295" t="str">
        <f>IF(E33="","",IF(ISNA(VLOOKUP($E33,'A-1 On-Site Habitat Baseline'!$D$1:$O$258,6,FALSE)),"",(VLOOKUP($E33,'A-1 On-Site Habitat Baseline'!$D$1:$O$258,6,FALSE))))</f>
        <v/>
      </c>
      <c r="I33" s="295" t="str">
        <f>IF(E33="","",IF(ISNA(VLOOKUP($E33,'A-1 On-Site Habitat Baseline'!$D$1:$O$258,7,FALSE)),"",(VLOOKUP($E33,'A-1 On-Site Habitat Baseline'!$D$1:$O$258,7,FALSE))))</f>
        <v/>
      </c>
      <c r="J33" s="295" t="str">
        <f>IF(E33="","",IF(ISNA(VLOOKUP($E33,'A-1 On-Site Habitat Baseline'!$D$1:$O$258,8,FALSE)),"",(VLOOKUP($E33,'A-1 On-Site Habitat Baseline'!$D$1:$O$258,8,FALSE))))</f>
        <v/>
      </c>
      <c r="K33" s="295" t="str">
        <f>IF(E33="","",IF(ISNA(VLOOKUP($E33,'A-1 On-Site Habitat Baseline'!$D$1:$O$258,9,FALSE)),"",(VLOOKUP($E33,'A-1 On-Site Habitat Baseline'!$D$1:$O$258,9,FALSE))))</f>
        <v/>
      </c>
      <c r="L33" s="295" t="str">
        <f>IF(E33="","",IF(ISNA(VLOOKUP($E33,'A-1 On-Site Habitat Baseline'!$D$1:$O$258,11,FALSE)),"",(VLOOKUP($E33,'A-1 On-Site Habitat Baseline'!$D$1:$O$258,11,FALSE))))</f>
        <v/>
      </c>
      <c r="M33" s="295" t="str">
        <f>IF(E33="","",IF(ISNA(VLOOKUP($E33,'A-1 On-Site Habitat Baseline'!$D$1:$O$258,12,FALSE)),"",(VLOOKUP($E33,'A-1 On-Site Habitat Baseline'!$D$1:$O$258,12,FALSE))))</f>
        <v/>
      </c>
      <c r="N33" s="306" t="str">
        <f>IF(E33="","",IF(ISNA(VLOOKUP($E33,'A-1 On-Site Habitat Baseline'!$D$1:$X$258,14,FALSE)),"",(VLOOKUP($E33,'A-1 On-Site Habitat Baseline'!$D$1:$X$258,14,FALSE))))</f>
        <v/>
      </c>
      <c r="O33" s="299" t="str">
        <f>IF(E33="","",IF(ISNA(VLOOKUP($E33,'A-1 On-Site Habitat Baseline'!$D$1:$X$258,16,FALSE)),"",(VLOOKUP($E33,'A-1 On-Site Habitat Baseline'!$D$1:$X$258,13,FALSE))))</f>
        <v/>
      </c>
      <c r="P33" s="154" t="str">
        <f>IFERROR(INDEX('G-1 All Habitats'!$AG$49:$AG$63,MATCH(Q33,'G-1 All Habitats'!$AF$27:$AF$41,0)),"")</f>
        <v/>
      </c>
      <c r="Q33" s="155" t="str">
        <f t="shared" si="0"/>
        <v/>
      </c>
      <c r="R33" s="155"/>
      <c r="S33" s="237" t="str">
        <f>IFERROR(INDEX('G-1 All Habitats'!$B$3:$B$135,MATCH(R33,'G-1 All Habitats'!$A$3:$A$135,0)),"")</f>
        <v/>
      </c>
      <c r="T33" s="275" t="str">
        <f t="shared" si="1"/>
        <v/>
      </c>
      <c r="U33" s="276" t="str">
        <f t="shared" si="2"/>
        <v/>
      </c>
      <c r="V33" s="311" t="str">
        <f t="shared" si="3"/>
        <v/>
      </c>
      <c r="W33" s="295" t="str">
        <f>IF(S33="","",VLOOKUP(S33,'G-1 All Habitats'!$B$2:$M$135,10,FALSE))</f>
        <v/>
      </c>
      <c r="X33" s="295" t="str">
        <f>IFERROR(VLOOKUP(W33,'G-1 All Habitats'!$V$3:$W$7,2,FALSE),"")</f>
        <v/>
      </c>
      <c r="Y33" s="57"/>
      <c r="Z33" s="299" t="str">
        <f>IFERROR(INDEX('G-8 Condition Look up'!$A$3:$H$135,MATCH(S33,'G-8 Condition Look up'!$A$3:$A$135,0),MATCH(Y33,'G-8 Condition Look up'!$A$3:$H$3,0)),"")</f>
        <v/>
      </c>
      <c r="AA33" s="52"/>
      <c r="AB33" s="295" t="str">
        <f>IF(AA33="","",IF(VLOOKUP(AA33,'G-3 Multipliers'!$L$3:$N$6,2,FALSE)=0,"Spatial Data Missing ⚠",VLOOKUP(AA33,'G-3 Multipliers'!$L$3:$N$6,2,FALSE)))</f>
        <v/>
      </c>
      <c r="AC33" s="299" t="str">
        <f>IF(AA33="","",IF(VLOOKUP(AA33,'G-3 Multipliers'!$L$3:$N$6,3,FALSE)=0,"Spatial Data Missing ⚠",VLOOKUP(AA33,'G-3 Multipliers'!$L$3:$N$6,3,FALSE)))</f>
        <v/>
      </c>
      <c r="AD33" s="313" t="str">
        <f t="shared" si="4"/>
        <v/>
      </c>
      <c r="AE33" s="58"/>
      <c r="AF33" s="58"/>
      <c r="AG33" s="283" t="str">
        <f t="shared" si="5"/>
        <v/>
      </c>
      <c r="AH33" s="296" t="str">
        <f t="shared" si="6"/>
        <v/>
      </c>
      <c r="AI33" s="297" t="str">
        <f>IF(AH33="Check Data ⚠","Check Data ⚠",IFERROR(VLOOKUP(AH33,'G-4 Temporal multipliers'!$A$4:$C$36,3,FALSE),""))</f>
        <v/>
      </c>
      <c r="AJ33" s="275" t="str">
        <f>IF(S33="","",VLOOKUP(S33,'G-3 Multipliers'!$A$2:$E$134,4,FALSE))</f>
        <v/>
      </c>
      <c r="AK33" s="283" t="str">
        <f t="shared" si="7"/>
        <v/>
      </c>
      <c r="AL33" s="283" t="str">
        <f t="shared" si="8"/>
        <v/>
      </c>
      <c r="AM33" s="314" t="str">
        <f>IFERROR(IF(F33="","",IF(AH33="Check Data ⚠","Check Data ⚠",VLOOKUP(AL33,'G-3 Multipliers'!$P$2:$Q$6,2,FALSE))),"")</f>
        <v/>
      </c>
      <c r="AN33" s="289" t="str">
        <f t="shared" si="9"/>
        <v/>
      </c>
      <c r="AO33" s="52"/>
      <c r="AP33" s="51"/>
      <c r="AQ33" s="104"/>
      <c r="AT33" s="35" t="str">
        <f t="shared" si="10"/>
        <v>No</v>
      </c>
      <c r="AU33" s="35" t="str">
        <f>IF(E33="","",IF(ISNA(VLOOKUP($E33,'A-1 On-Site Habitat Baseline'!$D$1:$AV$258,4,FALSE)),"",(VLOOKUP($E33,'A-1 On-Site Habitat Baseline'!$D$1:$AV$258,4,FALSE))))</f>
        <v/>
      </c>
    </row>
    <row r="34" spans="1:47" ht="14">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05" t="str">
        <f>'A-1 On-Site Habitat Baseline'!AL33</f>
        <v/>
      </c>
      <c r="F34" s="295" t="str">
        <f>IF(E34="","",IF(ISNA(VLOOKUP($E34,'A-1 On-Site Habitat Baseline'!$D$1:$AV$258,45,FALSE)),"",(VLOOKUP($E34,'A-1 On-Site Habitat Baseline'!$D$1:$AV$258,45,FALSE))))</f>
        <v/>
      </c>
      <c r="G34" s="295" t="str">
        <f>IF(E34="","",IF(ISNA(VLOOKUP($E34,'A-1 On-Site Habitat Baseline'!$D$1:$O$258,5,FALSE)),"",(VLOOKUP($E34,'A-1 On-Site Habitat Baseline'!$D$1:$O$258,5,FALSE))))</f>
        <v/>
      </c>
      <c r="H34" s="295" t="str">
        <f>IF(E34="","",IF(ISNA(VLOOKUP($E34,'A-1 On-Site Habitat Baseline'!$D$1:$O$258,6,FALSE)),"",(VLOOKUP($E34,'A-1 On-Site Habitat Baseline'!$D$1:$O$258,6,FALSE))))</f>
        <v/>
      </c>
      <c r="I34" s="295" t="str">
        <f>IF(E34="","",IF(ISNA(VLOOKUP($E34,'A-1 On-Site Habitat Baseline'!$D$1:$O$258,7,FALSE)),"",(VLOOKUP($E34,'A-1 On-Site Habitat Baseline'!$D$1:$O$258,7,FALSE))))</f>
        <v/>
      </c>
      <c r="J34" s="295" t="str">
        <f>IF(E34="","",IF(ISNA(VLOOKUP($E34,'A-1 On-Site Habitat Baseline'!$D$1:$O$258,8,FALSE)),"",(VLOOKUP($E34,'A-1 On-Site Habitat Baseline'!$D$1:$O$258,8,FALSE))))</f>
        <v/>
      </c>
      <c r="K34" s="295" t="str">
        <f>IF(E34="","",IF(ISNA(VLOOKUP($E34,'A-1 On-Site Habitat Baseline'!$D$1:$O$258,9,FALSE)),"",(VLOOKUP($E34,'A-1 On-Site Habitat Baseline'!$D$1:$O$258,9,FALSE))))</f>
        <v/>
      </c>
      <c r="L34" s="295" t="str">
        <f>IF(E34="","",IF(ISNA(VLOOKUP($E34,'A-1 On-Site Habitat Baseline'!$D$1:$O$258,11,FALSE)),"",(VLOOKUP($E34,'A-1 On-Site Habitat Baseline'!$D$1:$O$258,11,FALSE))))</f>
        <v/>
      </c>
      <c r="M34" s="295" t="str">
        <f>IF(E34="","",IF(ISNA(VLOOKUP($E34,'A-1 On-Site Habitat Baseline'!$D$1:$O$258,12,FALSE)),"",(VLOOKUP($E34,'A-1 On-Site Habitat Baseline'!$D$1:$O$258,12,FALSE))))</f>
        <v/>
      </c>
      <c r="N34" s="306" t="str">
        <f>IF(E34="","",IF(ISNA(VLOOKUP($E34,'A-1 On-Site Habitat Baseline'!$D$1:$X$258,14,FALSE)),"",(VLOOKUP($E34,'A-1 On-Site Habitat Baseline'!$D$1:$X$258,14,FALSE))))</f>
        <v/>
      </c>
      <c r="O34" s="299" t="str">
        <f>IF(E34="","",IF(ISNA(VLOOKUP($E34,'A-1 On-Site Habitat Baseline'!$D$1:$X$258,16,FALSE)),"",(VLOOKUP($E34,'A-1 On-Site Habitat Baseline'!$D$1:$X$258,13,FALSE))))</f>
        <v/>
      </c>
      <c r="P34" s="154" t="str">
        <f>IFERROR(INDEX('G-1 All Habitats'!$AG$49:$AG$63,MATCH(Q34,'G-1 All Habitats'!$AF$27:$AF$41,0)),"")</f>
        <v/>
      </c>
      <c r="Q34" s="155" t="str">
        <f t="shared" si="0"/>
        <v/>
      </c>
      <c r="R34" s="155"/>
      <c r="S34" s="237" t="str">
        <f>IFERROR(INDEX('G-1 All Habitats'!$B$3:$B$135,MATCH(R34,'G-1 All Habitats'!$A$3:$A$135,0)),"")</f>
        <v/>
      </c>
      <c r="T34" s="275" t="str">
        <f t="shared" si="1"/>
        <v/>
      </c>
      <c r="U34" s="276" t="str">
        <f t="shared" si="2"/>
        <v/>
      </c>
      <c r="V34" s="311" t="str">
        <f t="shared" si="3"/>
        <v/>
      </c>
      <c r="W34" s="295" t="str">
        <f>IF(S34="","",VLOOKUP(S34,'G-1 All Habitats'!$B$2:$M$135,10,FALSE))</f>
        <v/>
      </c>
      <c r="X34" s="295" t="str">
        <f>IFERROR(VLOOKUP(W34,'G-1 All Habitats'!$V$3:$W$7,2,FALSE),"")</f>
        <v/>
      </c>
      <c r="Y34" s="57"/>
      <c r="Z34" s="299" t="str">
        <f>IFERROR(INDEX('G-8 Condition Look up'!$A$3:$H$135,MATCH(S34,'G-8 Condition Look up'!$A$3:$A$135,0),MATCH(Y34,'G-8 Condition Look up'!$A$3:$H$3,0)),"")</f>
        <v/>
      </c>
      <c r="AA34" s="52"/>
      <c r="AB34" s="295" t="str">
        <f>IF(AA34="","",IF(VLOOKUP(AA34,'G-3 Multipliers'!$L$3:$N$6,2,FALSE)=0,"Spatial Data Missing ⚠",VLOOKUP(AA34,'G-3 Multipliers'!$L$3:$N$6,2,FALSE)))</f>
        <v/>
      </c>
      <c r="AC34" s="299" t="str">
        <f>IF(AA34="","",IF(VLOOKUP(AA34,'G-3 Multipliers'!$L$3:$N$6,3,FALSE)=0,"Spatial Data Missing ⚠",VLOOKUP(AA34,'G-3 Multipliers'!$L$3:$N$6,3,FALSE)))</f>
        <v/>
      </c>
      <c r="AD34" s="313" t="str">
        <f t="shared" si="4"/>
        <v/>
      </c>
      <c r="AE34" s="58"/>
      <c r="AF34" s="58"/>
      <c r="AG34" s="283" t="str">
        <f t="shared" si="5"/>
        <v/>
      </c>
      <c r="AH34" s="296" t="str">
        <f t="shared" si="6"/>
        <v/>
      </c>
      <c r="AI34" s="297" t="str">
        <f>IF(AH34="Check Data ⚠","Check Data ⚠",IFERROR(VLOOKUP(AH34,'G-4 Temporal multipliers'!$A$4:$C$36,3,FALSE),""))</f>
        <v/>
      </c>
      <c r="AJ34" s="275" t="str">
        <f>IF(S34="","",VLOOKUP(S34,'G-3 Multipliers'!$A$2:$E$134,4,FALSE))</f>
        <v/>
      </c>
      <c r="AK34" s="283" t="str">
        <f t="shared" si="7"/>
        <v/>
      </c>
      <c r="AL34" s="283" t="str">
        <f t="shared" si="8"/>
        <v/>
      </c>
      <c r="AM34" s="314" t="str">
        <f>IFERROR(IF(F34="","",IF(AH34="Check Data ⚠","Check Data ⚠",VLOOKUP(AL34,'G-3 Multipliers'!$P$2:$Q$6,2,FALSE))),"")</f>
        <v/>
      </c>
      <c r="AN34" s="289" t="str">
        <f t="shared" si="9"/>
        <v/>
      </c>
      <c r="AO34" s="52"/>
      <c r="AP34" s="51"/>
      <c r="AQ34" s="104"/>
      <c r="AT34" s="35" t="str">
        <f t="shared" si="10"/>
        <v>No</v>
      </c>
      <c r="AU34" s="35" t="str">
        <f>IF(E34="","",IF(ISNA(VLOOKUP($E34,'A-1 On-Site Habitat Baseline'!$D$1:$AV$258,4,FALSE)),"",(VLOOKUP($E34,'A-1 On-Site Habitat Baseline'!$D$1:$AV$258,4,FALSE))))</f>
        <v/>
      </c>
    </row>
    <row r="35" spans="1:47" ht="14">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05" t="str">
        <f>'A-1 On-Site Habitat Baseline'!AL34</f>
        <v/>
      </c>
      <c r="F35" s="295" t="str">
        <f>IF(E35="","",IF(ISNA(VLOOKUP($E35,'A-1 On-Site Habitat Baseline'!$D$1:$AV$258,45,FALSE)),"",(VLOOKUP($E35,'A-1 On-Site Habitat Baseline'!$D$1:$AV$258,45,FALSE))))</f>
        <v/>
      </c>
      <c r="G35" s="295" t="str">
        <f>IF(E35="","",IF(ISNA(VLOOKUP($E35,'A-1 On-Site Habitat Baseline'!$D$1:$O$258,5,FALSE)),"",(VLOOKUP($E35,'A-1 On-Site Habitat Baseline'!$D$1:$O$258,5,FALSE))))</f>
        <v/>
      </c>
      <c r="H35" s="295" t="str">
        <f>IF(E35="","",IF(ISNA(VLOOKUP($E35,'A-1 On-Site Habitat Baseline'!$D$1:$O$258,6,FALSE)),"",(VLOOKUP($E35,'A-1 On-Site Habitat Baseline'!$D$1:$O$258,6,FALSE))))</f>
        <v/>
      </c>
      <c r="I35" s="295" t="str">
        <f>IF(E35="","",IF(ISNA(VLOOKUP($E35,'A-1 On-Site Habitat Baseline'!$D$1:$O$258,7,FALSE)),"",(VLOOKUP($E35,'A-1 On-Site Habitat Baseline'!$D$1:$O$258,7,FALSE))))</f>
        <v/>
      </c>
      <c r="J35" s="295" t="str">
        <f>IF(E35="","",IF(ISNA(VLOOKUP($E35,'A-1 On-Site Habitat Baseline'!$D$1:$O$258,8,FALSE)),"",(VLOOKUP($E35,'A-1 On-Site Habitat Baseline'!$D$1:$O$258,8,FALSE))))</f>
        <v/>
      </c>
      <c r="K35" s="295" t="str">
        <f>IF(E35="","",IF(ISNA(VLOOKUP($E35,'A-1 On-Site Habitat Baseline'!$D$1:$O$258,9,FALSE)),"",(VLOOKUP($E35,'A-1 On-Site Habitat Baseline'!$D$1:$O$258,9,FALSE))))</f>
        <v/>
      </c>
      <c r="L35" s="295" t="str">
        <f>IF(E35="","",IF(ISNA(VLOOKUP($E35,'A-1 On-Site Habitat Baseline'!$D$1:$O$258,11,FALSE)),"",(VLOOKUP($E35,'A-1 On-Site Habitat Baseline'!$D$1:$O$258,11,FALSE))))</f>
        <v/>
      </c>
      <c r="M35" s="295" t="str">
        <f>IF(E35="","",IF(ISNA(VLOOKUP($E35,'A-1 On-Site Habitat Baseline'!$D$1:$O$258,12,FALSE)),"",(VLOOKUP($E35,'A-1 On-Site Habitat Baseline'!$D$1:$O$258,12,FALSE))))</f>
        <v/>
      </c>
      <c r="N35" s="306" t="str">
        <f>IF(E35="","",IF(ISNA(VLOOKUP($E35,'A-1 On-Site Habitat Baseline'!$D$1:$X$258,14,FALSE)),"",(VLOOKUP($E35,'A-1 On-Site Habitat Baseline'!$D$1:$X$258,14,FALSE))))</f>
        <v/>
      </c>
      <c r="O35" s="299" t="str">
        <f>IF(E35="","",IF(ISNA(VLOOKUP($E35,'A-1 On-Site Habitat Baseline'!$D$1:$X$258,16,FALSE)),"",(VLOOKUP($E35,'A-1 On-Site Habitat Baseline'!$D$1:$X$258,13,FALSE))))</f>
        <v/>
      </c>
      <c r="P35" s="154" t="str">
        <f>IFERROR(INDEX('G-1 All Habitats'!$AG$49:$AG$63,MATCH(Q35,'G-1 All Habitats'!$AF$27:$AF$41,0)),"")</f>
        <v/>
      </c>
      <c r="Q35" s="155" t="str">
        <f t="shared" si="0"/>
        <v/>
      </c>
      <c r="R35" s="155"/>
      <c r="S35" s="237" t="str">
        <f>IFERROR(INDEX('G-1 All Habitats'!$B$3:$B$135,MATCH(R35,'G-1 All Habitats'!$A$3:$A$135,0)),"")</f>
        <v/>
      </c>
      <c r="T35" s="275" t="str">
        <f t="shared" si="1"/>
        <v/>
      </c>
      <c r="U35" s="276" t="str">
        <f t="shared" si="2"/>
        <v/>
      </c>
      <c r="V35" s="311" t="str">
        <f t="shared" si="3"/>
        <v/>
      </c>
      <c r="W35" s="295" t="str">
        <f>IF(S35="","",VLOOKUP(S35,'G-1 All Habitats'!$B$2:$M$135,10,FALSE))</f>
        <v/>
      </c>
      <c r="X35" s="295" t="str">
        <f>IFERROR(VLOOKUP(W35,'G-1 All Habitats'!$V$3:$W$7,2,FALSE),"")</f>
        <v/>
      </c>
      <c r="Y35" s="57"/>
      <c r="Z35" s="299" t="str">
        <f>IFERROR(INDEX('G-8 Condition Look up'!$A$3:$H$135,MATCH(S35,'G-8 Condition Look up'!$A$3:$A$135,0),MATCH(Y35,'G-8 Condition Look up'!$A$3:$H$3,0)),"")</f>
        <v/>
      </c>
      <c r="AA35" s="52"/>
      <c r="AB35" s="295" t="str">
        <f>IF(AA35="","",IF(VLOOKUP(AA35,'G-3 Multipliers'!$L$3:$N$6,2,FALSE)=0,"Spatial Data Missing ⚠",VLOOKUP(AA35,'G-3 Multipliers'!$L$3:$N$6,2,FALSE)))</f>
        <v/>
      </c>
      <c r="AC35" s="299" t="str">
        <f>IF(AA35="","",IF(VLOOKUP(AA35,'G-3 Multipliers'!$L$3:$N$6,3,FALSE)=0,"Spatial Data Missing ⚠",VLOOKUP(AA35,'G-3 Multipliers'!$L$3:$N$6,3,FALSE)))</f>
        <v/>
      </c>
      <c r="AD35" s="313" t="str">
        <f t="shared" si="4"/>
        <v/>
      </c>
      <c r="AE35" s="58"/>
      <c r="AF35" s="58"/>
      <c r="AG35" s="283" t="str">
        <f t="shared" si="5"/>
        <v/>
      </c>
      <c r="AH35" s="296" t="str">
        <f t="shared" si="6"/>
        <v/>
      </c>
      <c r="AI35" s="297" t="str">
        <f>IF(AH35="Check Data ⚠","Check Data ⚠",IFERROR(VLOOKUP(AH35,'G-4 Temporal multipliers'!$A$4:$C$36,3,FALSE),""))</f>
        <v/>
      </c>
      <c r="AJ35" s="275" t="str">
        <f>IF(S35="","",VLOOKUP(S35,'G-3 Multipliers'!$A$2:$E$134,4,FALSE))</f>
        <v/>
      </c>
      <c r="AK35" s="283" t="str">
        <f t="shared" si="7"/>
        <v/>
      </c>
      <c r="AL35" s="283" t="str">
        <f t="shared" si="8"/>
        <v/>
      </c>
      <c r="AM35" s="314" t="str">
        <f>IFERROR(IF(F35="","",IF(AH35="Check Data ⚠","Check Data ⚠",VLOOKUP(AL35,'G-3 Multipliers'!$P$2:$Q$6,2,FALSE))),"")</f>
        <v/>
      </c>
      <c r="AN35" s="289" t="str">
        <f t="shared" si="9"/>
        <v/>
      </c>
      <c r="AO35" s="52"/>
      <c r="AP35" s="51"/>
      <c r="AQ35" s="104"/>
      <c r="AT35" s="35" t="str">
        <f t="shared" si="10"/>
        <v>No</v>
      </c>
      <c r="AU35" s="35" t="str">
        <f>IF(E35="","",IF(ISNA(VLOOKUP($E35,'A-1 On-Site Habitat Baseline'!$D$1:$AV$258,4,FALSE)),"",(VLOOKUP($E35,'A-1 On-Site Habitat Baseline'!$D$1:$AV$258,4,FALSE))))</f>
        <v/>
      </c>
    </row>
    <row r="36" spans="1:47" ht="14">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05" t="str">
        <f>'A-1 On-Site Habitat Baseline'!AL35</f>
        <v/>
      </c>
      <c r="F36" s="295" t="str">
        <f>IF(E36="","",IF(ISNA(VLOOKUP($E36,'A-1 On-Site Habitat Baseline'!$D$1:$AV$258,45,FALSE)),"",(VLOOKUP($E36,'A-1 On-Site Habitat Baseline'!$D$1:$AV$258,45,FALSE))))</f>
        <v/>
      </c>
      <c r="G36" s="295" t="str">
        <f>IF(E36="","",IF(ISNA(VLOOKUP($E36,'A-1 On-Site Habitat Baseline'!$D$1:$O$258,5,FALSE)),"",(VLOOKUP($E36,'A-1 On-Site Habitat Baseline'!$D$1:$O$258,5,FALSE))))</f>
        <v/>
      </c>
      <c r="H36" s="295" t="str">
        <f>IF(E36="","",IF(ISNA(VLOOKUP($E36,'A-1 On-Site Habitat Baseline'!$D$1:$O$258,6,FALSE)),"",(VLOOKUP($E36,'A-1 On-Site Habitat Baseline'!$D$1:$O$258,6,FALSE))))</f>
        <v/>
      </c>
      <c r="I36" s="295" t="str">
        <f>IF(E36="","",IF(ISNA(VLOOKUP($E36,'A-1 On-Site Habitat Baseline'!$D$1:$O$258,7,FALSE)),"",(VLOOKUP($E36,'A-1 On-Site Habitat Baseline'!$D$1:$O$258,7,FALSE))))</f>
        <v/>
      </c>
      <c r="J36" s="295" t="str">
        <f>IF(E36="","",IF(ISNA(VLOOKUP($E36,'A-1 On-Site Habitat Baseline'!$D$1:$O$258,8,FALSE)),"",(VLOOKUP($E36,'A-1 On-Site Habitat Baseline'!$D$1:$O$258,8,FALSE))))</f>
        <v/>
      </c>
      <c r="K36" s="295" t="str">
        <f>IF(E36="","",IF(ISNA(VLOOKUP($E36,'A-1 On-Site Habitat Baseline'!$D$1:$O$258,9,FALSE)),"",(VLOOKUP($E36,'A-1 On-Site Habitat Baseline'!$D$1:$O$258,9,FALSE))))</f>
        <v/>
      </c>
      <c r="L36" s="295" t="str">
        <f>IF(E36="","",IF(ISNA(VLOOKUP($E36,'A-1 On-Site Habitat Baseline'!$D$1:$O$258,11,FALSE)),"",(VLOOKUP($E36,'A-1 On-Site Habitat Baseline'!$D$1:$O$258,11,FALSE))))</f>
        <v/>
      </c>
      <c r="M36" s="295" t="str">
        <f>IF(E36="","",IF(ISNA(VLOOKUP($E36,'A-1 On-Site Habitat Baseline'!$D$1:$O$258,12,FALSE)),"",(VLOOKUP($E36,'A-1 On-Site Habitat Baseline'!$D$1:$O$258,12,FALSE))))</f>
        <v/>
      </c>
      <c r="N36" s="306" t="str">
        <f>IF(E36="","",IF(ISNA(VLOOKUP($E36,'A-1 On-Site Habitat Baseline'!$D$1:$X$258,14,FALSE)),"",(VLOOKUP($E36,'A-1 On-Site Habitat Baseline'!$D$1:$X$258,14,FALSE))))</f>
        <v/>
      </c>
      <c r="O36" s="299" t="str">
        <f>IF(E36="","",IF(ISNA(VLOOKUP($E36,'A-1 On-Site Habitat Baseline'!$D$1:$X$258,16,FALSE)),"",(VLOOKUP($E36,'A-1 On-Site Habitat Baseline'!$D$1:$X$258,13,FALSE))))</f>
        <v/>
      </c>
      <c r="P36" s="154" t="str">
        <f>IFERROR(INDEX('G-1 All Habitats'!$AG$49:$AG$63,MATCH(Q36,'G-1 All Habitats'!$AF$27:$AF$41,0)),"")</f>
        <v/>
      </c>
      <c r="Q36" s="155" t="str">
        <f t="shared" si="0"/>
        <v/>
      </c>
      <c r="R36" s="155"/>
      <c r="S36" s="237" t="str">
        <f>IFERROR(INDEX('G-1 All Habitats'!$B$3:$B$135,MATCH(R36,'G-1 All Habitats'!$A$3:$A$135,0)),"")</f>
        <v/>
      </c>
      <c r="T36" s="275" t="str">
        <f t="shared" si="1"/>
        <v/>
      </c>
      <c r="U36" s="276" t="str">
        <f t="shared" si="2"/>
        <v/>
      </c>
      <c r="V36" s="311" t="str">
        <f t="shared" si="3"/>
        <v/>
      </c>
      <c r="W36" s="295" t="str">
        <f>IF(S36="","",VLOOKUP(S36,'G-1 All Habitats'!$B$2:$M$135,10,FALSE))</f>
        <v/>
      </c>
      <c r="X36" s="295" t="str">
        <f>IFERROR(VLOOKUP(W36,'G-1 All Habitats'!$V$3:$W$7,2,FALSE),"")</f>
        <v/>
      </c>
      <c r="Y36" s="57"/>
      <c r="Z36" s="299" t="str">
        <f>IFERROR(INDEX('G-8 Condition Look up'!$A$3:$H$135,MATCH(S36,'G-8 Condition Look up'!$A$3:$A$135,0),MATCH(Y36,'G-8 Condition Look up'!$A$3:$H$3,0)),"")</f>
        <v/>
      </c>
      <c r="AA36" s="52"/>
      <c r="AB36" s="295" t="str">
        <f>IF(AA36="","",IF(VLOOKUP(AA36,'G-3 Multipliers'!$L$3:$N$6,2,FALSE)=0,"Spatial Data Missing ⚠",VLOOKUP(AA36,'G-3 Multipliers'!$L$3:$N$6,2,FALSE)))</f>
        <v/>
      </c>
      <c r="AC36" s="299" t="str">
        <f>IF(AA36="","",IF(VLOOKUP(AA36,'G-3 Multipliers'!$L$3:$N$6,3,FALSE)=0,"Spatial Data Missing ⚠",VLOOKUP(AA36,'G-3 Multipliers'!$L$3:$N$6,3,FALSE)))</f>
        <v/>
      </c>
      <c r="AD36" s="313" t="str">
        <f t="shared" si="4"/>
        <v/>
      </c>
      <c r="AE36" s="58"/>
      <c r="AF36" s="58"/>
      <c r="AG36" s="283" t="str">
        <f t="shared" si="5"/>
        <v/>
      </c>
      <c r="AH36" s="296" t="str">
        <f t="shared" si="6"/>
        <v/>
      </c>
      <c r="AI36" s="297" t="str">
        <f>IF(AH36="Check Data ⚠","Check Data ⚠",IFERROR(VLOOKUP(AH36,'G-4 Temporal multipliers'!$A$4:$C$36,3,FALSE),""))</f>
        <v/>
      </c>
      <c r="AJ36" s="275" t="str">
        <f>IF(S36="","",VLOOKUP(S36,'G-3 Multipliers'!$A$2:$E$134,4,FALSE))</f>
        <v/>
      </c>
      <c r="AK36" s="283" t="str">
        <f t="shared" si="7"/>
        <v/>
      </c>
      <c r="AL36" s="283" t="str">
        <f t="shared" si="8"/>
        <v/>
      </c>
      <c r="AM36" s="314" t="str">
        <f>IFERROR(IF(F36="","",IF(AH36="Check Data ⚠","Check Data ⚠",VLOOKUP(AL36,'G-3 Multipliers'!$P$2:$Q$6,2,FALSE))),"")</f>
        <v/>
      </c>
      <c r="AN36" s="289" t="str">
        <f t="shared" si="9"/>
        <v/>
      </c>
      <c r="AO36" s="52"/>
      <c r="AP36" s="51"/>
      <c r="AQ36" s="104"/>
      <c r="AT36" s="35" t="str">
        <f t="shared" si="10"/>
        <v>No</v>
      </c>
      <c r="AU36" s="35" t="str">
        <f>IF(E36="","",IF(ISNA(VLOOKUP($E36,'A-1 On-Site Habitat Baseline'!$D$1:$AV$258,4,FALSE)),"",(VLOOKUP($E36,'A-1 On-Site Habitat Baseline'!$D$1:$AV$258,4,FALSE))))</f>
        <v/>
      </c>
    </row>
    <row r="37" spans="1:47" ht="14">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05" t="str">
        <f>'A-1 On-Site Habitat Baseline'!AL36</f>
        <v/>
      </c>
      <c r="F37" s="295" t="str">
        <f>IF(E37="","",IF(ISNA(VLOOKUP($E37,'A-1 On-Site Habitat Baseline'!$D$1:$AV$258,45,FALSE)),"",(VLOOKUP($E37,'A-1 On-Site Habitat Baseline'!$D$1:$AV$258,45,FALSE))))</f>
        <v/>
      </c>
      <c r="G37" s="295" t="str">
        <f>IF(E37="","",IF(ISNA(VLOOKUP($E37,'A-1 On-Site Habitat Baseline'!$D$1:$O$258,5,FALSE)),"",(VLOOKUP($E37,'A-1 On-Site Habitat Baseline'!$D$1:$O$258,5,FALSE))))</f>
        <v/>
      </c>
      <c r="H37" s="295" t="str">
        <f>IF(E37="","",IF(ISNA(VLOOKUP($E37,'A-1 On-Site Habitat Baseline'!$D$1:$O$258,6,FALSE)),"",(VLOOKUP($E37,'A-1 On-Site Habitat Baseline'!$D$1:$O$258,6,FALSE))))</f>
        <v/>
      </c>
      <c r="I37" s="295" t="str">
        <f>IF(E37="","",IF(ISNA(VLOOKUP($E37,'A-1 On-Site Habitat Baseline'!$D$1:$O$258,7,FALSE)),"",(VLOOKUP($E37,'A-1 On-Site Habitat Baseline'!$D$1:$O$258,7,FALSE))))</f>
        <v/>
      </c>
      <c r="J37" s="295" t="str">
        <f>IF(E37="","",IF(ISNA(VLOOKUP($E37,'A-1 On-Site Habitat Baseline'!$D$1:$O$258,8,FALSE)),"",(VLOOKUP($E37,'A-1 On-Site Habitat Baseline'!$D$1:$O$258,8,FALSE))))</f>
        <v/>
      </c>
      <c r="K37" s="295" t="str">
        <f>IF(E37="","",IF(ISNA(VLOOKUP($E37,'A-1 On-Site Habitat Baseline'!$D$1:$O$258,9,FALSE)),"",(VLOOKUP($E37,'A-1 On-Site Habitat Baseline'!$D$1:$O$258,9,FALSE))))</f>
        <v/>
      </c>
      <c r="L37" s="295" t="str">
        <f>IF(E37="","",IF(ISNA(VLOOKUP($E37,'A-1 On-Site Habitat Baseline'!$D$1:$O$258,11,FALSE)),"",(VLOOKUP($E37,'A-1 On-Site Habitat Baseline'!$D$1:$O$258,11,FALSE))))</f>
        <v/>
      </c>
      <c r="M37" s="295" t="str">
        <f>IF(E37="","",IF(ISNA(VLOOKUP($E37,'A-1 On-Site Habitat Baseline'!$D$1:$O$258,12,FALSE)),"",(VLOOKUP($E37,'A-1 On-Site Habitat Baseline'!$D$1:$O$258,12,FALSE))))</f>
        <v/>
      </c>
      <c r="N37" s="306" t="str">
        <f>IF(E37="","",IF(ISNA(VLOOKUP($E37,'A-1 On-Site Habitat Baseline'!$D$1:$X$258,14,FALSE)),"",(VLOOKUP($E37,'A-1 On-Site Habitat Baseline'!$D$1:$X$258,14,FALSE))))</f>
        <v/>
      </c>
      <c r="O37" s="299" t="str">
        <f>IF(E37="","",IF(ISNA(VLOOKUP($E37,'A-1 On-Site Habitat Baseline'!$D$1:$X$258,16,FALSE)),"",(VLOOKUP($E37,'A-1 On-Site Habitat Baseline'!$D$1:$X$258,13,FALSE))))</f>
        <v/>
      </c>
      <c r="P37" s="154" t="str">
        <f>IFERROR(INDEX('G-1 All Habitats'!$AG$49:$AG$63,MATCH(Q37,'G-1 All Habitats'!$AF$27:$AF$41,0)),"")</f>
        <v/>
      </c>
      <c r="Q37" s="155" t="str">
        <f t="shared" si="0"/>
        <v/>
      </c>
      <c r="R37" s="155"/>
      <c r="S37" s="237" t="str">
        <f>IFERROR(INDEX('G-1 All Habitats'!$B$3:$B$135,MATCH(R37,'G-1 All Habitats'!$A$3:$A$135,0)),"")</f>
        <v/>
      </c>
      <c r="T37" s="275" t="str">
        <f t="shared" si="1"/>
        <v/>
      </c>
      <c r="U37" s="276" t="str">
        <f t="shared" si="2"/>
        <v/>
      </c>
      <c r="V37" s="311" t="str">
        <f t="shared" si="3"/>
        <v/>
      </c>
      <c r="W37" s="295" t="str">
        <f>IF(S37="","",VLOOKUP(S37,'G-1 All Habitats'!$B$2:$M$135,10,FALSE))</f>
        <v/>
      </c>
      <c r="X37" s="295" t="str">
        <f>IFERROR(VLOOKUP(W37,'G-1 All Habitats'!$V$3:$W$7,2,FALSE),"")</f>
        <v/>
      </c>
      <c r="Y37" s="57"/>
      <c r="Z37" s="299" t="str">
        <f>IFERROR(INDEX('G-8 Condition Look up'!$A$3:$H$135,MATCH(S37,'G-8 Condition Look up'!$A$3:$A$135,0),MATCH(Y37,'G-8 Condition Look up'!$A$3:$H$3,0)),"")</f>
        <v/>
      </c>
      <c r="AA37" s="52"/>
      <c r="AB37" s="295" t="str">
        <f>IF(AA37="","",IF(VLOOKUP(AA37,'G-3 Multipliers'!$L$3:$N$6,2,FALSE)=0,"Spatial Data Missing ⚠",VLOOKUP(AA37,'G-3 Multipliers'!$L$3:$N$6,2,FALSE)))</f>
        <v/>
      </c>
      <c r="AC37" s="299" t="str">
        <f>IF(AA37="","",IF(VLOOKUP(AA37,'G-3 Multipliers'!$L$3:$N$6,3,FALSE)=0,"Spatial Data Missing ⚠",VLOOKUP(AA37,'G-3 Multipliers'!$L$3:$N$6,3,FALSE)))</f>
        <v/>
      </c>
      <c r="AD37" s="313" t="str">
        <f t="shared" si="4"/>
        <v/>
      </c>
      <c r="AE37" s="58"/>
      <c r="AF37" s="58"/>
      <c r="AG37" s="283" t="str">
        <f t="shared" si="5"/>
        <v/>
      </c>
      <c r="AH37" s="296" t="str">
        <f t="shared" si="6"/>
        <v/>
      </c>
      <c r="AI37" s="297" t="str">
        <f>IF(AH37="Check Data ⚠","Check Data ⚠",IFERROR(VLOOKUP(AH37,'G-4 Temporal multipliers'!$A$4:$C$36,3,FALSE),""))</f>
        <v/>
      </c>
      <c r="AJ37" s="275" t="str">
        <f>IF(S37="","",VLOOKUP(S37,'G-3 Multipliers'!$A$2:$E$134,4,FALSE))</f>
        <v/>
      </c>
      <c r="AK37" s="283" t="str">
        <f t="shared" si="7"/>
        <v/>
      </c>
      <c r="AL37" s="283" t="str">
        <f t="shared" si="8"/>
        <v/>
      </c>
      <c r="AM37" s="314" t="str">
        <f>IFERROR(IF(F37="","",IF(AH37="Check Data ⚠","Check Data ⚠",VLOOKUP(AL37,'G-3 Multipliers'!$P$2:$Q$6,2,FALSE))),"")</f>
        <v/>
      </c>
      <c r="AN37" s="289" t="str">
        <f t="shared" si="9"/>
        <v/>
      </c>
      <c r="AO37" s="52"/>
      <c r="AP37" s="51"/>
      <c r="AQ37" s="104"/>
      <c r="AT37" s="35" t="str">
        <f t="shared" si="10"/>
        <v>No</v>
      </c>
      <c r="AU37" s="35" t="str">
        <f>IF(E37="","",IF(ISNA(VLOOKUP($E37,'A-1 On-Site Habitat Baseline'!$D$1:$AV$258,4,FALSE)),"",(VLOOKUP($E37,'A-1 On-Site Habitat Baseline'!$D$1:$AV$258,4,FALSE))))</f>
        <v/>
      </c>
    </row>
    <row r="38" spans="1:47" ht="14">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05" t="str">
        <f>'A-1 On-Site Habitat Baseline'!AL37</f>
        <v/>
      </c>
      <c r="F38" s="295" t="str">
        <f>IF(E38="","",IF(ISNA(VLOOKUP($E38,'A-1 On-Site Habitat Baseline'!$D$1:$AV$258,45,FALSE)),"",(VLOOKUP($E38,'A-1 On-Site Habitat Baseline'!$D$1:$AV$258,45,FALSE))))</f>
        <v/>
      </c>
      <c r="G38" s="295" t="str">
        <f>IF(E38="","",IF(ISNA(VLOOKUP($E38,'A-1 On-Site Habitat Baseline'!$D$1:$O$258,5,FALSE)),"",(VLOOKUP($E38,'A-1 On-Site Habitat Baseline'!$D$1:$O$258,5,FALSE))))</f>
        <v/>
      </c>
      <c r="H38" s="295" t="str">
        <f>IF(E38="","",IF(ISNA(VLOOKUP($E38,'A-1 On-Site Habitat Baseline'!$D$1:$O$258,6,FALSE)),"",(VLOOKUP($E38,'A-1 On-Site Habitat Baseline'!$D$1:$O$258,6,FALSE))))</f>
        <v/>
      </c>
      <c r="I38" s="295" t="str">
        <f>IF(E38="","",IF(ISNA(VLOOKUP($E38,'A-1 On-Site Habitat Baseline'!$D$1:$O$258,7,FALSE)),"",(VLOOKUP($E38,'A-1 On-Site Habitat Baseline'!$D$1:$O$258,7,FALSE))))</f>
        <v/>
      </c>
      <c r="J38" s="295" t="str">
        <f>IF(E38="","",IF(ISNA(VLOOKUP($E38,'A-1 On-Site Habitat Baseline'!$D$1:$O$258,8,FALSE)),"",(VLOOKUP($E38,'A-1 On-Site Habitat Baseline'!$D$1:$O$258,8,FALSE))))</f>
        <v/>
      </c>
      <c r="K38" s="295" t="str">
        <f>IF(E38="","",IF(ISNA(VLOOKUP($E38,'A-1 On-Site Habitat Baseline'!$D$1:$O$258,9,FALSE)),"",(VLOOKUP($E38,'A-1 On-Site Habitat Baseline'!$D$1:$O$258,9,FALSE))))</f>
        <v/>
      </c>
      <c r="L38" s="295" t="str">
        <f>IF(E38="","",IF(ISNA(VLOOKUP($E38,'A-1 On-Site Habitat Baseline'!$D$1:$O$258,11,FALSE)),"",(VLOOKUP($E38,'A-1 On-Site Habitat Baseline'!$D$1:$O$258,11,FALSE))))</f>
        <v/>
      </c>
      <c r="M38" s="295" t="str">
        <f>IF(E38="","",IF(ISNA(VLOOKUP($E38,'A-1 On-Site Habitat Baseline'!$D$1:$O$258,12,FALSE)),"",(VLOOKUP($E38,'A-1 On-Site Habitat Baseline'!$D$1:$O$258,12,FALSE))))</f>
        <v/>
      </c>
      <c r="N38" s="306" t="str">
        <f>IF(E38="","",IF(ISNA(VLOOKUP($E38,'A-1 On-Site Habitat Baseline'!$D$1:$X$258,14,FALSE)),"",(VLOOKUP($E38,'A-1 On-Site Habitat Baseline'!$D$1:$X$258,14,FALSE))))</f>
        <v/>
      </c>
      <c r="O38" s="299" t="str">
        <f>IF(E38="","",IF(ISNA(VLOOKUP($E38,'A-1 On-Site Habitat Baseline'!$D$1:$X$258,16,FALSE)),"",(VLOOKUP($E38,'A-1 On-Site Habitat Baseline'!$D$1:$X$258,13,FALSE))))</f>
        <v/>
      </c>
      <c r="P38" s="154" t="str">
        <f>IFERROR(INDEX('G-1 All Habitats'!$AG$49:$AG$63,MATCH(Q38,'G-1 All Habitats'!$AF$27:$AF$41,0)),"")</f>
        <v/>
      </c>
      <c r="Q38" s="155" t="str">
        <f t="shared" si="0"/>
        <v/>
      </c>
      <c r="R38" s="155"/>
      <c r="S38" s="237" t="str">
        <f>IFERROR(INDEX('G-1 All Habitats'!$B$3:$B$135,MATCH(R38,'G-1 All Habitats'!$A$3:$A$135,0)),"")</f>
        <v/>
      </c>
      <c r="T38" s="275" t="str">
        <f t="shared" si="1"/>
        <v/>
      </c>
      <c r="U38" s="276" t="str">
        <f t="shared" si="2"/>
        <v/>
      </c>
      <c r="V38" s="311" t="str">
        <f t="shared" si="3"/>
        <v/>
      </c>
      <c r="W38" s="295" t="str">
        <f>IF(S38="","",VLOOKUP(S38,'G-1 All Habitats'!$B$2:$M$135,10,FALSE))</f>
        <v/>
      </c>
      <c r="X38" s="295" t="str">
        <f>IFERROR(VLOOKUP(W38,'G-1 All Habitats'!$V$3:$W$7,2,FALSE),"")</f>
        <v/>
      </c>
      <c r="Y38" s="57"/>
      <c r="Z38" s="299" t="str">
        <f>IFERROR(INDEX('G-8 Condition Look up'!$A$3:$H$135,MATCH(S38,'G-8 Condition Look up'!$A$3:$A$135,0),MATCH(Y38,'G-8 Condition Look up'!$A$3:$H$3,0)),"")</f>
        <v/>
      </c>
      <c r="AA38" s="52"/>
      <c r="AB38" s="295" t="str">
        <f>IF(AA38="","",IF(VLOOKUP(AA38,'G-3 Multipliers'!$L$3:$N$6,2,FALSE)=0,"Spatial Data Missing ⚠",VLOOKUP(AA38,'G-3 Multipliers'!$L$3:$N$6,2,FALSE)))</f>
        <v/>
      </c>
      <c r="AC38" s="299" t="str">
        <f>IF(AA38="","",IF(VLOOKUP(AA38,'G-3 Multipliers'!$L$3:$N$6,3,FALSE)=0,"Spatial Data Missing ⚠",VLOOKUP(AA38,'G-3 Multipliers'!$L$3:$N$6,3,FALSE)))</f>
        <v/>
      </c>
      <c r="AD38" s="313" t="str">
        <f t="shared" si="4"/>
        <v/>
      </c>
      <c r="AE38" s="58"/>
      <c r="AF38" s="58"/>
      <c r="AG38" s="283" t="str">
        <f t="shared" si="5"/>
        <v/>
      </c>
      <c r="AH38" s="296" t="str">
        <f t="shared" si="6"/>
        <v/>
      </c>
      <c r="AI38" s="297" t="str">
        <f>IF(AH38="Check Data ⚠","Check Data ⚠",IFERROR(VLOOKUP(AH38,'G-4 Temporal multipliers'!$A$4:$C$36,3,FALSE),""))</f>
        <v/>
      </c>
      <c r="AJ38" s="275" t="str">
        <f>IF(S38="","",VLOOKUP(S38,'G-3 Multipliers'!$A$2:$E$134,4,FALSE))</f>
        <v/>
      </c>
      <c r="AK38" s="283" t="str">
        <f t="shared" si="7"/>
        <v/>
      </c>
      <c r="AL38" s="283" t="str">
        <f t="shared" si="8"/>
        <v/>
      </c>
      <c r="AM38" s="314" t="str">
        <f>IFERROR(IF(F38="","",IF(AH38="Check Data ⚠","Check Data ⚠",VLOOKUP(AL38,'G-3 Multipliers'!$P$2:$Q$6,2,FALSE))),"")</f>
        <v/>
      </c>
      <c r="AN38" s="289" t="str">
        <f t="shared" si="9"/>
        <v/>
      </c>
      <c r="AO38" s="52"/>
      <c r="AP38" s="51"/>
      <c r="AQ38" s="104"/>
      <c r="AT38" s="35" t="str">
        <f t="shared" si="10"/>
        <v>No</v>
      </c>
      <c r="AU38" s="35" t="str">
        <f>IF(E38="","",IF(ISNA(VLOOKUP($E38,'A-1 On-Site Habitat Baseline'!$D$1:$AV$258,4,FALSE)),"",(VLOOKUP($E38,'A-1 On-Site Habitat Baseline'!$D$1:$AV$258,4,FALSE))))</f>
        <v/>
      </c>
    </row>
    <row r="39" spans="1:47" ht="14">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05" t="str">
        <f>'A-1 On-Site Habitat Baseline'!AL38</f>
        <v/>
      </c>
      <c r="F39" s="295" t="str">
        <f>IF(E39="","",IF(ISNA(VLOOKUP($E39,'A-1 On-Site Habitat Baseline'!$D$1:$AV$258,45,FALSE)),"",(VLOOKUP($E39,'A-1 On-Site Habitat Baseline'!$D$1:$AV$258,45,FALSE))))</f>
        <v/>
      </c>
      <c r="G39" s="295" t="str">
        <f>IF(E39="","",IF(ISNA(VLOOKUP($E39,'A-1 On-Site Habitat Baseline'!$D$1:$O$258,5,FALSE)),"",(VLOOKUP($E39,'A-1 On-Site Habitat Baseline'!$D$1:$O$258,5,FALSE))))</f>
        <v/>
      </c>
      <c r="H39" s="295" t="str">
        <f>IF(E39="","",IF(ISNA(VLOOKUP($E39,'A-1 On-Site Habitat Baseline'!$D$1:$O$258,6,FALSE)),"",(VLOOKUP($E39,'A-1 On-Site Habitat Baseline'!$D$1:$O$258,6,FALSE))))</f>
        <v/>
      </c>
      <c r="I39" s="295" t="str">
        <f>IF(E39="","",IF(ISNA(VLOOKUP($E39,'A-1 On-Site Habitat Baseline'!$D$1:$O$258,7,FALSE)),"",(VLOOKUP($E39,'A-1 On-Site Habitat Baseline'!$D$1:$O$258,7,FALSE))))</f>
        <v/>
      </c>
      <c r="J39" s="295" t="str">
        <f>IF(E39="","",IF(ISNA(VLOOKUP($E39,'A-1 On-Site Habitat Baseline'!$D$1:$O$258,8,FALSE)),"",(VLOOKUP($E39,'A-1 On-Site Habitat Baseline'!$D$1:$O$258,8,FALSE))))</f>
        <v/>
      </c>
      <c r="K39" s="295" t="str">
        <f>IF(E39="","",IF(ISNA(VLOOKUP($E39,'A-1 On-Site Habitat Baseline'!$D$1:$O$258,9,FALSE)),"",(VLOOKUP($E39,'A-1 On-Site Habitat Baseline'!$D$1:$O$258,9,FALSE))))</f>
        <v/>
      </c>
      <c r="L39" s="295" t="str">
        <f>IF(E39="","",IF(ISNA(VLOOKUP($E39,'A-1 On-Site Habitat Baseline'!$D$1:$O$258,11,FALSE)),"",(VLOOKUP($E39,'A-1 On-Site Habitat Baseline'!$D$1:$O$258,11,FALSE))))</f>
        <v/>
      </c>
      <c r="M39" s="295" t="str">
        <f>IF(E39="","",IF(ISNA(VLOOKUP($E39,'A-1 On-Site Habitat Baseline'!$D$1:$O$258,12,FALSE)),"",(VLOOKUP($E39,'A-1 On-Site Habitat Baseline'!$D$1:$O$258,12,FALSE))))</f>
        <v/>
      </c>
      <c r="N39" s="306" t="str">
        <f>IF(E39="","",IF(ISNA(VLOOKUP($E39,'A-1 On-Site Habitat Baseline'!$D$1:$X$258,14,FALSE)),"",(VLOOKUP($E39,'A-1 On-Site Habitat Baseline'!$D$1:$X$258,14,FALSE))))</f>
        <v/>
      </c>
      <c r="O39" s="299" t="str">
        <f>IF(E39="","",IF(ISNA(VLOOKUP($E39,'A-1 On-Site Habitat Baseline'!$D$1:$X$258,16,FALSE)),"",(VLOOKUP($E39,'A-1 On-Site Habitat Baseline'!$D$1:$X$258,13,FALSE))))</f>
        <v/>
      </c>
      <c r="P39" s="154" t="str">
        <f>IFERROR(INDEX('G-1 All Habitats'!$AG$49:$AG$63,MATCH(Q39,'G-1 All Habitats'!$AF$27:$AF$41,0)),"")</f>
        <v/>
      </c>
      <c r="Q39" s="155" t="str">
        <f t="shared" si="0"/>
        <v/>
      </c>
      <c r="R39" s="155"/>
      <c r="S39" s="237" t="str">
        <f>IFERROR(INDEX('G-1 All Habitats'!$B$3:$B$135,MATCH(R39,'G-1 All Habitats'!$A$3:$A$135,0)),"")</f>
        <v/>
      </c>
      <c r="T39" s="275" t="str">
        <f t="shared" si="1"/>
        <v/>
      </c>
      <c r="U39" s="276" t="str">
        <f t="shared" si="2"/>
        <v/>
      </c>
      <c r="V39" s="311" t="str">
        <f t="shared" si="3"/>
        <v/>
      </c>
      <c r="W39" s="295" t="str">
        <f>IF(S39="","",VLOOKUP(S39,'G-1 All Habitats'!$B$2:$M$135,10,FALSE))</f>
        <v/>
      </c>
      <c r="X39" s="295" t="str">
        <f>IFERROR(VLOOKUP(W39,'G-1 All Habitats'!$V$3:$W$7,2,FALSE),"")</f>
        <v/>
      </c>
      <c r="Y39" s="57"/>
      <c r="Z39" s="299" t="str">
        <f>IFERROR(INDEX('G-8 Condition Look up'!$A$3:$H$135,MATCH(S39,'G-8 Condition Look up'!$A$3:$A$135,0),MATCH(Y39,'G-8 Condition Look up'!$A$3:$H$3,0)),"")</f>
        <v/>
      </c>
      <c r="AA39" s="52"/>
      <c r="AB39" s="295" t="str">
        <f>IF(AA39="","",IF(VLOOKUP(AA39,'G-3 Multipliers'!$L$3:$N$6,2,FALSE)=0,"Spatial Data Missing ⚠",VLOOKUP(AA39,'G-3 Multipliers'!$L$3:$N$6,2,FALSE)))</f>
        <v/>
      </c>
      <c r="AC39" s="299" t="str">
        <f>IF(AA39="","",IF(VLOOKUP(AA39,'G-3 Multipliers'!$L$3:$N$6,3,FALSE)=0,"Spatial Data Missing ⚠",VLOOKUP(AA39,'G-3 Multipliers'!$L$3:$N$6,3,FALSE)))</f>
        <v/>
      </c>
      <c r="AD39" s="313" t="str">
        <f t="shared" si="4"/>
        <v/>
      </c>
      <c r="AE39" s="58"/>
      <c r="AF39" s="58"/>
      <c r="AG39" s="283" t="str">
        <f t="shared" si="5"/>
        <v/>
      </c>
      <c r="AH39" s="296" t="str">
        <f t="shared" si="6"/>
        <v/>
      </c>
      <c r="AI39" s="297" t="str">
        <f>IF(AH39="Check Data ⚠","Check Data ⚠",IFERROR(VLOOKUP(AH39,'G-4 Temporal multipliers'!$A$4:$C$36,3,FALSE),""))</f>
        <v/>
      </c>
      <c r="AJ39" s="275" t="str">
        <f>IF(S39="","",VLOOKUP(S39,'G-3 Multipliers'!$A$2:$E$134,4,FALSE))</f>
        <v/>
      </c>
      <c r="AK39" s="283" t="str">
        <f t="shared" si="7"/>
        <v/>
      </c>
      <c r="AL39" s="283" t="str">
        <f t="shared" si="8"/>
        <v/>
      </c>
      <c r="AM39" s="314" t="str">
        <f>IFERROR(IF(F39="","",IF(AH39="Check Data ⚠","Check Data ⚠",VLOOKUP(AL39,'G-3 Multipliers'!$P$2:$Q$6,2,FALSE))),"")</f>
        <v/>
      </c>
      <c r="AN39" s="289" t="str">
        <f t="shared" si="9"/>
        <v/>
      </c>
      <c r="AO39" s="52"/>
      <c r="AP39" s="51"/>
      <c r="AQ39" s="104"/>
      <c r="AT39" s="35" t="str">
        <f t="shared" si="10"/>
        <v>No</v>
      </c>
      <c r="AU39" s="35" t="str">
        <f>IF(E39="","",IF(ISNA(VLOOKUP($E39,'A-1 On-Site Habitat Baseline'!$D$1:$AV$258,4,FALSE)),"",(VLOOKUP($E39,'A-1 On-Site Habitat Baseline'!$D$1:$AV$258,4,FALSE))))</f>
        <v/>
      </c>
    </row>
    <row r="40" spans="1:47" ht="14">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05" t="str">
        <f>'A-1 On-Site Habitat Baseline'!AL39</f>
        <v/>
      </c>
      <c r="F40" s="295" t="str">
        <f>IF(E40="","",IF(ISNA(VLOOKUP($E40,'A-1 On-Site Habitat Baseline'!$D$1:$AV$258,45,FALSE)),"",(VLOOKUP($E40,'A-1 On-Site Habitat Baseline'!$D$1:$AV$258,45,FALSE))))</f>
        <v/>
      </c>
      <c r="G40" s="295" t="str">
        <f>IF(E40="","",IF(ISNA(VLOOKUP($E40,'A-1 On-Site Habitat Baseline'!$D$1:$O$258,5,FALSE)),"",(VLOOKUP($E40,'A-1 On-Site Habitat Baseline'!$D$1:$O$258,5,FALSE))))</f>
        <v/>
      </c>
      <c r="H40" s="295" t="str">
        <f>IF(E40="","",IF(ISNA(VLOOKUP($E40,'A-1 On-Site Habitat Baseline'!$D$1:$O$258,6,FALSE)),"",(VLOOKUP($E40,'A-1 On-Site Habitat Baseline'!$D$1:$O$258,6,FALSE))))</f>
        <v/>
      </c>
      <c r="I40" s="295" t="str">
        <f>IF(E40="","",IF(ISNA(VLOOKUP($E40,'A-1 On-Site Habitat Baseline'!$D$1:$O$258,7,FALSE)),"",(VLOOKUP($E40,'A-1 On-Site Habitat Baseline'!$D$1:$O$258,7,FALSE))))</f>
        <v/>
      </c>
      <c r="J40" s="295" t="str">
        <f>IF(E40="","",IF(ISNA(VLOOKUP($E40,'A-1 On-Site Habitat Baseline'!$D$1:$O$258,8,FALSE)),"",(VLOOKUP($E40,'A-1 On-Site Habitat Baseline'!$D$1:$O$258,8,FALSE))))</f>
        <v/>
      </c>
      <c r="K40" s="295" t="str">
        <f>IF(E40="","",IF(ISNA(VLOOKUP($E40,'A-1 On-Site Habitat Baseline'!$D$1:$O$258,9,FALSE)),"",(VLOOKUP($E40,'A-1 On-Site Habitat Baseline'!$D$1:$O$258,9,FALSE))))</f>
        <v/>
      </c>
      <c r="L40" s="295" t="str">
        <f>IF(E40="","",IF(ISNA(VLOOKUP($E40,'A-1 On-Site Habitat Baseline'!$D$1:$O$258,11,FALSE)),"",(VLOOKUP($E40,'A-1 On-Site Habitat Baseline'!$D$1:$O$258,11,FALSE))))</f>
        <v/>
      </c>
      <c r="M40" s="295" t="str">
        <f>IF(E40="","",IF(ISNA(VLOOKUP($E40,'A-1 On-Site Habitat Baseline'!$D$1:$O$258,12,FALSE)),"",(VLOOKUP($E40,'A-1 On-Site Habitat Baseline'!$D$1:$O$258,12,FALSE))))</f>
        <v/>
      </c>
      <c r="N40" s="306" t="str">
        <f>IF(E40="","",IF(ISNA(VLOOKUP($E40,'A-1 On-Site Habitat Baseline'!$D$1:$X$258,14,FALSE)),"",(VLOOKUP($E40,'A-1 On-Site Habitat Baseline'!$D$1:$X$258,14,FALSE))))</f>
        <v/>
      </c>
      <c r="O40" s="299" t="str">
        <f>IF(E40="","",IF(ISNA(VLOOKUP($E40,'A-1 On-Site Habitat Baseline'!$D$1:$X$258,16,FALSE)),"",(VLOOKUP($E40,'A-1 On-Site Habitat Baseline'!$D$1:$X$258,13,FALSE))))</f>
        <v/>
      </c>
      <c r="P40" s="154" t="str">
        <f>IFERROR(INDEX('G-1 All Habitats'!$AG$49:$AG$63,MATCH(Q40,'G-1 All Habitats'!$AF$27:$AF$41,0)),"")</f>
        <v/>
      </c>
      <c r="Q40" s="155" t="str">
        <f t="shared" si="0"/>
        <v/>
      </c>
      <c r="R40" s="155"/>
      <c r="S40" s="237" t="str">
        <f>IFERROR(INDEX('G-1 All Habitats'!$B$3:$B$135,MATCH(R40,'G-1 All Habitats'!$A$3:$A$135,0)),"")</f>
        <v/>
      </c>
      <c r="T40" s="275" t="str">
        <f t="shared" si="1"/>
        <v/>
      </c>
      <c r="U40" s="276" t="str">
        <f t="shared" si="2"/>
        <v/>
      </c>
      <c r="V40" s="311" t="str">
        <f t="shared" si="3"/>
        <v/>
      </c>
      <c r="W40" s="295" t="str">
        <f>IF(S40="","",VLOOKUP(S40,'G-1 All Habitats'!$B$2:$M$135,10,FALSE))</f>
        <v/>
      </c>
      <c r="X40" s="295" t="str">
        <f>IFERROR(VLOOKUP(W40,'G-1 All Habitats'!$V$3:$W$7,2,FALSE),"")</f>
        <v/>
      </c>
      <c r="Y40" s="57"/>
      <c r="Z40" s="299" t="str">
        <f>IFERROR(INDEX('G-8 Condition Look up'!$A$3:$H$135,MATCH(S40,'G-8 Condition Look up'!$A$3:$A$135,0),MATCH(Y40,'G-8 Condition Look up'!$A$3:$H$3,0)),"")</f>
        <v/>
      </c>
      <c r="AA40" s="52"/>
      <c r="AB40" s="295" t="str">
        <f>IF(AA40="","",IF(VLOOKUP(AA40,'G-3 Multipliers'!$L$3:$N$6,2,FALSE)=0,"Spatial Data Missing ⚠",VLOOKUP(AA40,'G-3 Multipliers'!$L$3:$N$6,2,FALSE)))</f>
        <v/>
      </c>
      <c r="AC40" s="299" t="str">
        <f>IF(AA40="","",IF(VLOOKUP(AA40,'G-3 Multipliers'!$L$3:$N$6,3,FALSE)=0,"Spatial Data Missing ⚠",VLOOKUP(AA40,'G-3 Multipliers'!$L$3:$N$6,3,FALSE)))</f>
        <v/>
      </c>
      <c r="AD40" s="313" t="str">
        <f t="shared" si="4"/>
        <v/>
      </c>
      <c r="AE40" s="58"/>
      <c r="AF40" s="58"/>
      <c r="AG40" s="283" t="str">
        <f t="shared" si="5"/>
        <v/>
      </c>
      <c r="AH40" s="296" t="str">
        <f t="shared" si="6"/>
        <v/>
      </c>
      <c r="AI40" s="297" t="str">
        <f>IF(AH40="Check Data ⚠","Check Data ⚠",IFERROR(VLOOKUP(AH40,'G-4 Temporal multipliers'!$A$4:$C$36,3,FALSE),""))</f>
        <v/>
      </c>
      <c r="AJ40" s="275" t="str">
        <f>IF(S40="","",VLOOKUP(S40,'G-3 Multipliers'!$A$2:$E$134,4,FALSE))</f>
        <v/>
      </c>
      <c r="AK40" s="283" t="str">
        <f t="shared" si="7"/>
        <v/>
      </c>
      <c r="AL40" s="283" t="str">
        <f t="shared" si="8"/>
        <v/>
      </c>
      <c r="AM40" s="314" t="str">
        <f>IFERROR(IF(F40="","",IF(AH40="Check Data ⚠","Check Data ⚠",VLOOKUP(AL40,'G-3 Multipliers'!$P$2:$Q$6,2,FALSE))),"")</f>
        <v/>
      </c>
      <c r="AN40" s="289" t="str">
        <f t="shared" si="9"/>
        <v/>
      </c>
      <c r="AO40" s="52"/>
      <c r="AP40" s="51"/>
      <c r="AQ40" s="104"/>
      <c r="AT40" s="35" t="str">
        <f t="shared" si="10"/>
        <v>No</v>
      </c>
      <c r="AU40" s="35" t="str">
        <f>IF(E40="","",IF(ISNA(VLOOKUP($E40,'A-1 On-Site Habitat Baseline'!$D$1:$AV$258,4,FALSE)),"",(VLOOKUP($E40,'A-1 On-Site Habitat Baseline'!$D$1:$AV$258,4,FALSE))))</f>
        <v/>
      </c>
    </row>
    <row r="41" spans="1:47" ht="14">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05" t="str">
        <f>'A-1 On-Site Habitat Baseline'!AL40</f>
        <v/>
      </c>
      <c r="F41" s="295" t="str">
        <f>IF(E41="","",IF(ISNA(VLOOKUP($E41,'A-1 On-Site Habitat Baseline'!$D$1:$AV$258,45,FALSE)),"",(VLOOKUP($E41,'A-1 On-Site Habitat Baseline'!$D$1:$AV$258,45,FALSE))))</f>
        <v/>
      </c>
      <c r="G41" s="295" t="str">
        <f>IF(E41="","",IF(ISNA(VLOOKUP($E41,'A-1 On-Site Habitat Baseline'!$D$1:$O$258,5,FALSE)),"",(VLOOKUP($E41,'A-1 On-Site Habitat Baseline'!$D$1:$O$258,5,FALSE))))</f>
        <v/>
      </c>
      <c r="H41" s="295" t="str">
        <f>IF(E41="","",IF(ISNA(VLOOKUP($E41,'A-1 On-Site Habitat Baseline'!$D$1:$O$258,6,FALSE)),"",(VLOOKUP($E41,'A-1 On-Site Habitat Baseline'!$D$1:$O$258,6,FALSE))))</f>
        <v/>
      </c>
      <c r="I41" s="295" t="str">
        <f>IF(E41="","",IF(ISNA(VLOOKUP($E41,'A-1 On-Site Habitat Baseline'!$D$1:$O$258,7,FALSE)),"",(VLOOKUP($E41,'A-1 On-Site Habitat Baseline'!$D$1:$O$258,7,FALSE))))</f>
        <v/>
      </c>
      <c r="J41" s="295" t="str">
        <f>IF(E41="","",IF(ISNA(VLOOKUP($E41,'A-1 On-Site Habitat Baseline'!$D$1:$O$258,8,FALSE)),"",(VLOOKUP($E41,'A-1 On-Site Habitat Baseline'!$D$1:$O$258,8,FALSE))))</f>
        <v/>
      </c>
      <c r="K41" s="295" t="str">
        <f>IF(E41="","",IF(ISNA(VLOOKUP($E41,'A-1 On-Site Habitat Baseline'!$D$1:$O$258,9,FALSE)),"",(VLOOKUP($E41,'A-1 On-Site Habitat Baseline'!$D$1:$O$258,9,FALSE))))</f>
        <v/>
      </c>
      <c r="L41" s="295" t="str">
        <f>IF(E41="","",IF(ISNA(VLOOKUP($E41,'A-1 On-Site Habitat Baseline'!$D$1:$O$258,11,FALSE)),"",(VLOOKUP($E41,'A-1 On-Site Habitat Baseline'!$D$1:$O$258,11,FALSE))))</f>
        <v/>
      </c>
      <c r="M41" s="295" t="str">
        <f>IF(E41="","",IF(ISNA(VLOOKUP($E41,'A-1 On-Site Habitat Baseline'!$D$1:$O$258,12,FALSE)),"",(VLOOKUP($E41,'A-1 On-Site Habitat Baseline'!$D$1:$O$258,12,FALSE))))</f>
        <v/>
      </c>
      <c r="N41" s="306" t="str">
        <f>IF(E41="","",IF(ISNA(VLOOKUP($E41,'A-1 On-Site Habitat Baseline'!$D$1:$X$258,14,FALSE)),"",(VLOOKUP($E41,'A-1 On-Site Habitat Baseline'!$D$1:$X$258,14,FALSE))))</f>
        <v/>
      </c>
      <c r="O41" s="299" t="str">
        <f>IF(E41="","",IF(ISNA(VLOOKUP($E41,'A-1 On-Site Habitat Baseline'!$D$1:$X$258,16,FALSE)),"",(VLOOKUP($E41,'A-1 On-Site Habitat Baseline'!$D$1:$X$258,13,FALSE))))</f>
        <v/>
      </c>
      <c r="P41" s="154" t="str">
        <f>IFERROR(INDEX('G-1 All Habitats'!$AG$49:$AG$63,MATCH(Q41,'G-1 All Habitats'!$AF$27:$AF$41,0)),"")</f>
        <v/>
      </c>
      <c r="Q41" s="155" t="str">
        <f t="shared" si="0"/>
        <v/>
      </c>
      <c r="R41" s="155"/>
      <c r="S41" s="237" t="str">
        <f>IFERROR(INDEX('G-1 All Habitats'!$B$3:$B$135,MATCH(R41,'G-1 All Habitats'!$A$3:$A$135,0)),"")</f>
        <v/>
      </c>
      <c r="T41" s="275" t="str">
        <f t="shared" si="1"/>
        <v/>
      </c>
      <c r="U41" s="276" t="str">
        <f t="shared" si="2"/>
        <v/>
      </c>
      <c r="V41" s="311" t="str">
        <f t="shared" si="3"/>
        <v/>
      </c>
      <c r="W41" s="295" t="str">
        <f>IF(S41="","",VLOOKUP(S41,'G-1 All Habitats'!$B$2:$M$135,10,FALSE))</f>
        <v/>
      </c>
      <c r="X41" s="295" t="str">
        <f>IFERROR(VLOOKUP(W41,'G-1 All Habitats'!$V$3:$W$7,2,FALSE),"")</f>
        <v/>
      </c>
      <c r="Y41" s="57"/>
      <c r="Z41" s="299" t="str">
        <f>IFERROR(INDEX('G-8 Condition Look up'!$A$3:$H$135,MATCH(S41,'G-8 Condition Look up'!$A$3:$A$135,0),MATCH(Y41,'G-8 Condition Look up'!$A$3:$H$3,0)),"")</f>
        <v/>
      </c>
      <c r="AA41" s="52"/>
      <c r="AB41" s="295" t="str">
        <f>IF(AA41="","",IF(VLOOKUP(AA41,'G-3 Multipliers'!$L$3:$N$6,2,FALSE)=0,"Spatial Data Missing ⚠",VLOOKUP(AA41,'G-3 Multipliers'!$L$3:$N$6,2,FALSE)))</f>
        <v/>
      </c>
      <c r="AC41" s="299" t="str">
        <f>IF(AA41="","",IF(VLOOKUP(AA41,'G-3 Multipliers'!$L$3:$N$6,3,FALSE)=0,"Spatial Data Missing ⚠",VLOOKUP(AA41,'G-3 Multipliers'!$L$3:$N$6,3,FALSE)))</f>
        <v/>
      </c>
      <c r="AD41" s="313" t="str">
        <f t="shared" si="4"/>
        <v/>
      </c>
      <c r="AE41" s="58"/>
      <c r="AF41" s="58"/>
      <c r="AG41" s="283" t="str">
        <f t="shared" si="5"/>
        <v/>
      </c>
      <c r="AH41" s="296" t="str">
        <f t="shared" si="6"/>
        <v/>
      </c>
      <c r="AI41" s="297" t="str">
        <f>IF(AH41="Check Data ⚠","Check Data ⚠",IFERROR(VLOOKUP(AH41,'G-4 Temporal multipliers'!$A$4:$C$36,3,FALSE),""))</f>
        <v/>
      </c>
      <c r="AJ41" s="275" t="str">
        <f>IF(S41="","",VLOOKUP(S41,'G-3 Multipliers'!$A$2:$E$134,4,FALSE))</f>
        <v/>
      </c>
      <c r="AK41" s="283" t="str">
        <f t="shared" si="7"/>
        <v/>
      </c>
      <c r="AL41" s="283" t="str">
        <f t="shared" si="8"/>
        <v/>
      </c>
      <c r="AM41" s="314" t="str">
        <f>IFERROR(IF(F41="","",IF(AH41="Check Data ⚠","Check Data ⚠",VLOOKUP(AL41,'G-3 Multipliers'!$P$2:$Q$6,2,FALSE))),"")</f>
        <v/>
      </c>
      <c r="AN41" s="289" t="str">
        <f t="shared" si="9"/>
        <v/>
      </c>
      <c r="AO41" s="52"/>
      <c r="AP41" s="51"/>
      <c r="AQ41" s="104"/>
      <c r="AT41" s="35" t="str">
        <f t="shared" si="10"/>
        <v>No</v>
      </c>
      <c r="AU41" s="35" t="str">
        <f>IF(E41="","",IF(ISNA(VLOOKUP($E41,'A-1 On-Site Habitat Baseline'!$D$1:$AV$258,4,FALSE)),"",(VLOOKUP($E41,'A-1 On-Site Habitat Baseline'!$D$1:$AV$258,4,FALSE))))</f>
        <v/>
      </c>
    </row>
    <row r="42" spans="1:47" ht="14">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05" t="str">
        <f>'A-1 On-Site Habitat Baseline'!AL41</f>
        <v/>
      </c>
      <c r="F42" s="295" t="str">
        <f>IF(E42="","",IF(ISNA(VLOOKUP($E42,'A-1 On-Site Habitat Baseline'!$D$1:$AV$258,45,FALSE)),"",(VLOOKUP($E42,'A-1 On-Site Habitat Baseline'!$D$1:$AV$258,45,FALSE))))</f>
        <v/>
      </c>
      <c r="G42" s="295" t="str">
        <f>IF(E42="","",IF(ISNA(VLOOKUP($E42,'A-1 On-Site Habitat Baseline'!$D$1:$O$258,5,FALSE)),"",(VLOOKUP($E42,'A-1 On-Site Habitat Baseline'!$D$1:$O$258,5,FALSE))))</f>
        <v/>
      </c>
      <c r="H42" s="295" t="str">
        <f>IF(E42="","",IF(ISNA(VLOOKUP($E42,'A-1 On-Site Habitat Baseline'!$D$1:$O$258,6,FALSE)),"",(VLOOKUP($E42,'A-1 On-Site Habitat Baseline'!$D$1:$O$258,6,FALSE))))</f>
        <v/>
      </c>
      <c r="I42" s="295" t="str">
        <f>IF(E42="","",IF(ISNA(VLOOKUP($E42,'A-1 On-Site Habitat Baseline'!$D$1:$O$258,7,FALSE)),"",(VLOOKUP($E42,'A-1 On-Site Habitat Baseline'!$D$1:$O$258,7,FALSE))))</f>
        <v/>
      </c>
      <c r="J42" s="295" t="str">
        <f>IF(E42="","",IF(ISNA(VLOOKUP($E42,'A-1 On-Site Habitat Baseline'!$D$1:$O$258,8,FALSE)),"",(VLOOKUP($E42,'A-1 On-Site Habitat Baseline'!$D$1:$O$258,8,FALSE))))</f>
        <v/>
      </c>
      <c r="K42" s="295" t="str">
        <f>IF(E42="","",IF(ISNA(VLOOKUP($E42,'A-1 On-Site Habitat Baseline'!$D$1:$O$258,9,FALSE)),"",(VLOOKUP($E42,'A-1 On-Site Habitat Baseline'!$D$1:$O$258,9,FALSE))))</f>
        <v/>
      </c>
      <c r="L42" s="295" t="str">
        <f>IF(E42="","",IF(ISNA(VLOOKUP($E42,'A-1 On-Site Habitat Baseline'!$D$1:$O$258,11,FALSE)),"",(VLOOKUP($E42,'A-1 On-Site Habitat Baseline'!$D$1:$O$258,11,FALSE))))</f>
        <v/>
      </c>
      <c r="M42" s="295" t="str">
        <f>IF(E42="","",IF(ISNA(VLOOKUP($E42,'A-1 On-Site Habitat Baseline'!$D$1:$O$258,12,FALSE)),"",(VLOOKUP($E42,'A-1 On-Site Habitat Baseline'!$D$1:$O$258,12,FALSE))))</f>
        <v/>
      </c>
      <c r="N42" s="306" t="str">
        <f>IF(E42="","",IF(ISNA(VLOOKUP($E42,'A-1 On-Site Habitat Baseline'!$D$1:$X$258,14,FALSE)),"",(VLOOKUP($E42,'A-1 On-Site Habitat Baseline'!$D$1:$X$258,14,FALSE))))</f>
        <v/>
      </c>
      <c r="O42" s="299" t="str">
        <f>IF(E42="","",IF(ISNA(VLOOKUP($E42,'A-1 On-Site Habitat Baseline'!$D$1:$X$258,16,FALSE)),"",(VLOOKUP($E42,'A-1 On-Site Habitat Baseline'!$D$1:$X$258,13,FALSE))))</f>
        <v/>
      </c>
      <c r="P42" s="154" t="str">
        <f>IFERROR(INDEX('G-1 All Habitats'!$AG$49:$AG$63,MATCH(Q42,'G-1 All Habitats'!$AF$27:$AF$41,0)),"")</f>
        <v/>
      </c>
      <c r="Q42" s="155" t="str">
        <f t="shared" si="0"/>
        <v/>
      </c>
      <c r="R42" s="155"/>
      <c r="S42" s="237" t="str">
        <f>IFERROR(INDEX('G-1 All Habitats'!$B$3:$B$135,MATCH(R42,'G-1 All Habitats'!$A$3:$A$135,0)),"")</f>
        <v/>
      </c>
      <c r="T42" s="275" t="str">
        <f t="shared" si="1"/>
        <v/>
      </c>
      <c r="U42" s="276" t="str">
        <f t="shared" si="2"/>
        <v/>
      </c>
      <c r="V42" s="311" t="str">
        <f t="shared" si="3"/>
        <v/>
      </c>
      <c r="W42" s="295" t="str">
        <f>IF(S42="","",VLOOKUP(S42,'G-1 All Habitats'!$B$2:$M$135,10,FALSE))</f>
        <v/>
      </c>
      <c r="X42" s="295" t="str">
        <f>IFERROR(VLOOKUP(W42,'G-1 All Habitats'!$V$3:$W$7,2,FALSE),"")</f>
        <v/>
      </c>
      <c r="Y42" s="57"/>
      <c r="Z42" s="299" t="str">
        <f>IFERROR(INDEX('G-8 Condition Look up'!$A$3:$H$135,MATCH(S42,'G-8 Condition Look up'!$A$3:$A$135,0),MATCH(Y42,'G-8 Condition Look up'!$A$3:$H$3,0)),"")</f>
        <v/>
      </c>
      <c r="AA42" s="52"/>
      <c r="AB42" s="295" t="str">
        <f>IF(AA42="","",IF(VLOOKUP(AA42,'G-3 Multipliers'!$L$3:$N$6,2,FALSE)=0,"Spatial Data Missing ⚠",VLOOKUP(AA42,'G-3 Multipliers'!$L$3:$N$6,2,FALSE)))</f>
        <v/>
      </c>
      <c r="AC42" s="299" t="str">
        <f>IF(AA42="","",IF(VLOOKUP(AA42,'G-3 Multipliers'!$L$3:$N$6,3,FALSE)=0,"Spatial Data Missing ⚠",VLOOKUP(AA42,'G-3 Multipliers'!$L$3:$N$6,3,FALSE)))</f>
        <v/>
      </c>
      <c r="AD42" s="313" t="str">
        <f t="shared" si="4"/>
        <v/>
      </c>
      <c r="AE42" s="58"/>
      <c r="AF42" s="58"/>
      <c r="AG42" s="283" t="str">
        <f t="shared" si="5"/>
        <v/>
      </c>
      <c r="AH42" s="296" t="str">
        <f t="shared" si="6"/>
        <v/>
      </c>
      <c r="AI42" s="297" t="str">
        <f>IF(AH42="Check Data ⚠","Check Data ⚠",IFERROR(VLOOKUP(AH42,'G-4 Temporal multipliers'!$A$4:$C$36,3,FALSE),""))</f>
        <v/>
      </c>
      <c r="AJ42" s="275" t="str">
        <f>IF(S42="","",VLOOKUP(S42,'G-3 Multipliers'!$A$2:$E$134,4,FALSE))</f>
        <v/>
      </c>
      <c r="AK42" s="283" t="str">
        <f t="shared" si="7"/>
        <v/>
      </c>
      <c r="AL42" s="283" t="str">
        <f t="shared" si="8"/>
        <v/>
      </c>
      <c r="AM42" s="314" t="str">
        <f>IFERROR(IF(F42="","",IF(AH42="Check Data ⚠","Check Data ⚠",VLOOKUP(AL42,'G-3 Multipliers'!$P$2:$Q$6,2,FALSE))),"")</f>
        <v/>
      </c>
      <c r="AN42" s="289" t="str">
        <f t="shared" si="9"/>
        <v/>
      </c>
      <c r="AO42" s="52"/>
      <c r="AP42" s="51"/>
      <c r="AQ42" s="104"/>
      <c r="AT42" s="35" t="str">
        <f t="shared" si="10"/>
        <v>No</v>
      </c>
      <c r="AU42" s="35" t="str">
        <f>IF(E42="","",IF(ISNA(VLOOKUP($E42,'A-1 On-Site Habitat Baseline'!$D$1:$AV$258,4,FALSE)),"",(VLOOKUP($E42,'A-1 On-Site Habitat Baseline'!$D$1:$AV$258,4,FALSE))))</f>
        <v/>
      </c>
    </row>
    <row r="43" spans="1:47" ht="14">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05" t="str">
        <f>'A-1 On-Site Habitat Baseline'!AL42</f>
        <v/>
      </c>
      <c r="F43" s="295" t="str">
        <f>IF(E43="","",IF(ISNA(VLOOKUP($E43,'A-1 On-Site Habitat Baseline'!$D$1:$AV$258,45,FALSE)),"",(VLOOKUP($E43,'A-1 On-Site Habitat Baseline'!$D$1:$AV$258,45,FALSE))))</f>
        <v/>
      </c>
      <c r="G43" s="295" t="str">
        <f>IF(E43="","",IF(ISNA(VLOOKUP($E43,'A-1 On-Site Habitat Baseline'!$D$1:$O$258,5,FALSE)),"",(VLOOKUP($E43,'A-1 On-Site Habitat Baseline'!$D$1:$O$258,5,FALSE))))</f>
        <v/>
      </c>
      <c r="H43" s="295" t="str">
        <f>IF(E43="","",IF(ISNA(VLOOKUP($E43,'A-1 On-Site Habitat Baseline'!$D$1:$O$258,6,FALSE)),"",(VLOOKUP($E43,'A-1 On-Site Habitat Baseline'!$D$1:$O$258,6,FALSE))))</f>
        <v/>
      </c>
      <c r="I43" s="295" t="str">
        <f>IF(E43="","",IF(ISNA(VLOOKUP($E43,'A-1 On-Site Habitat Baseline'!$D$1:$O$258,7,FALSE)),"",(VLOOKUP($E43,'A-1 On-Site Habitat Baseline'!$D$1:$O$258,7,FALSE))))</f>
        <v/>
      </c>
      <c r="J43" s="295" t="str">
        <f>IF(E43="","",IF(ISNA(VLOOKUP($E43,'A-1 On-Site Habitat Baseline'!$D$1:$O$258,8,FALSE)),"",(VLOOKUP($E43,'A-1 On-Site Habitat Baseline'!$D$1:$O$258,8,FALSE))))</f>
        <v/>
      </c>
      <c r="K43" s="295" t="str">
        <f>IF(E43="","",IF(ISNA(VLOOKUP($E43,'A-1 On-Site Habitat Baseline'!$D$1:$O$258,9,FALSE)),"",(VLOOKUP($E43,'A-1 On-Site Habitat Baseline'!$D$1:$O$258,9,FALSE))))</f>
        <v/>
      </c>
      <c r="L43" s="295" t="str">
        <f>IF(E43="","",IF(ISNA(VLOOKUP($E43,'A-1 On-Site Habitat Baseline'!$D$1:$O$258,11,FALSE)),"",(VLOOKUP($E43,'A-1 On-Site Habitat Baseline'!$D$1:$O$258,11,FALSE))))</f>
        <v/>
      </c>
      <c r="M43" s="295" t="str">
        <f>IF(E43="","",IF(ISNA(VLOOKUP($E43,'A-1 On-Site Habitat Baseline'!$D$1:$O$258,12,FALSE)),"",(VLOOKUP($E43,'A-1 On-Site Habitat Baseline'!$D$1:$O$258,12,FALSE))))</f>
        <v/>
      </c>
      <c r="N43" s="306" t="str">
        <f>IF(E43="","",IF(ISNA(VLOOKUP($E43,'A-1 On-Site Habitat Baseline'!$D$1:$X$258,14,FALSE)),"",(VLOOKUP($E43,'A-1 On-Site Habitat Baseline'!$D$1:$X$258,14,FALSE))))</f>
        <v/>
      </c>
      <c r="O43" s="299" t="str">
        <f>IF(E43="","",IF(ISNA(VLOOKUP($E43,'A-1 On-Site Habitat Baseline'!$D$1:$X$258,16,FALSE)),"",(VLOOKUP($E43,'A-1 On-Site Habitat Baseline'!$D$1:$X$258,13,FALSE))))</f>
        <v/>
      </c>
      <c r="P43" s="154" t="str">
        <f>IFERROR(INDEX('G-1 All Habitats'!$AG$49:$AG$63,MATCH(Q43,'G-1 All Habitats'!$AF$27:$AF$41,0)),"")</f>
        <v/>
      </c>
      <c r="Q43" s="155" t="str">
        <f t="shared" si="0"/>
        <v/>
      </c>
      <c r="R43" s="155"/>
      <c r="S43" s="237" t="str">
        <f>IFERROR(INDEX('G-1 All Habitats'!$B$3:$B$135,MATCH(R43,'G-1 All Habitats'!$A$3:$A$135,0)),"")</f>
        <v/>
      </c>
      <c r="T43" s="275" t="str">
        <f t="shared" si="1"/>
        <v/>
      </c>
      <c r="U43" s="276" t="str">
        <f t="shared" si="2"/>
        <v/>
      </c>
      <c r="V43" s="311" t="str">
        <f t="shared" si="3"/>
        <v/>
      </c>
      <c r="W43" s="295" t="str">
        <f>IF(S43="","",VLOOKUP(S43,'G-1 All Habitats'!$B$2:$M$135,10,FALSE))</f>
        <v/>
      </c>
      <c r="X43" s="295" t="str">
        <f>IFERROR(VLOOKUP(W43,'G-1 All Habitats'!$V$3:$W$7,2,FALSE),"")</f>
        <v/>
      </c>
      <c r="Y43" s="57"/>
      <c r="Z43" s="299" t="str">
        <f>IFERROR(INDEX('G-8 Condition Look up'!$A$3:$H$135,MATCH(S43,'G-8 Condition Look up'!$A$3:$A$135,0),MATCH(Y43,'G-8 Condition Look up'!$A$3:$H$3,0)),"")</f>
        <v/>
      </c>
      <c r="AA43" s="52"/>
      <c r="AB43" s="295" t="str">
        <f>IF(AA43="","",IF(VLOOKUP(AA43,'G-3 Multipliers'!$L$3:$N$6,2,FALSE)=0,"Spatial Data Missing ⚠",VLOOKUP(AA43,'G-3 Multipliers'!$L$3:$N$6,2,FALSE)))</f>
        <v/>
      </c>
      <c r="AC43" s="299" t="str">
        <f>IF(AA43="","",IF(VLOOKUP(AA43,'G-3 Multipliers'!$L$3:$N$6,3,FALSE)=0,"Spatial Data Missing ⚠",VLOOKUP(AA43,'G-3 Multipliers'!$L$3:$N$6,3,FALSE)))</f>
        <v/>
      </c>
      <c r="AD43" s="313" t="str">
        <f t="shared" si="4"/>
        <v/>
      </c>
      <c r="AE43" s="58"/>
      <c r="AF43" s="58"/>
      <c r="AG43" s="283" t="str">
        <f t="shared" si="5"/>
        <v/>
      </c>
      <c r="AH43" s="296" t="str">
        <f t="shared" si="6"/>
        <v/>
      </c>
      <c r="AI43" s="297" t="str">
        <f>IF(AH43="Check Data ⚠","Check Data ⚠",IFERROR(VLOOKUP(AH43,'G-4 Temporal multipliers'!$A$4:$C$36,3,FALSE),""))</f>
        <v/>
      </c>
      <c r="AJ43" s="275" t="str">
        <f>IF(S43="","",VLOOKUP(S43,'G-3 Multipliers'!$A$2:$E$134,4,FALSE))</f>
        <v/>
      </c>
      <c r="AK43" s="283" t="str">
        <f t="shared" si="7"/>
        <v/>
      </c>
      <c r="AL43" s="283" t="str">
        <f t="shared" si="8"/>
        <v/>
      </c>
      <c r="AM43" s="314" t="str">
        <f>IFERROR(IF(F43="","",IF(AH43="Check Data ⚠","Check Data ⚠",VLOOKUP(AL43,'G-3 Multipliers'!$P$2:$Q$6,2,FALSE))),"")</f>
        <v/>
      </c>
      <c r="AN43" s="289" t="str">
        <f t="shared" si="9"/>
        <v/>
      </c>
      <c r="AO43" s="52"/>
      <c r="AP43" s="51"/>
      <c r="AQ43" s="104"/>
      <c r="AT43" s="35" t="str">
        <f t="shared" si="10"/>
        <v>No</v>
      </c>
      <c r="AU43" s="35" t="str">
        <f>IF(E43="","",IF(ISNA(VLOOKUP($E43,'A-1 On-Site Habitat Baseline'!$D$1:$AV$258,4,FALSE)),"",(VLOOKUP($E43,'A-1 On-Site Habitat Baseline'!$D$1:$AV$258,4,FALSE))))</f>
        <v/>
      </c>
    </row>
    <row r="44" spans="1:47" ht="14">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05" t="str">
        <f>'A-1 On-Site Habitat Baseline'!AL43</f>
        <v/>
      </c>
      <c r="F44" s="295" t="str">
        <f>IF(E44="","",IF(ISNA(VLOOKUP($E44,'A-1 On-Site Habitat Baseline'!$D$1:$AV$258,45,FALSE)),"",(VLOOKUP($E44,'A-1 On-Site Habitat Baseline'!$D$1:$AV$258,45,FALSE))))</f>
        <v/>
      </c>
      <c r="G44" s="295" t="str">
        <f>IF(E44="","",IF(ISNA(VLOOKUP($E44,'A-1 On-Site Habitat Baseline'!$D$1:$O$258,5,FALSE)),"",(VLOOKUP($E44,'A-1 On-Site Habitat Baseline'!$D$1:$O$258,5,FALSE))))</f>
        <v/>
      </c>
      <c r="H44" s="295" t="str">
        <f>IF(E44="","",IF(ISNA(VLOOKUP($E44,'A-1 On-Site Habitat Baseline'!$D$1:$O$258,6,FALSE)),"",(VLOOKUP($E44,'A-1 On-Site Habitat Baseline'!$D$1:$O$258,6,FALSE))))</f>
        <v/>
      </c>
      <c r="I44" s="295" t="str">
        <f>IF(E44="","",IF(ISNA(VLOOKUP($E44,'A-1 On-Site Habitat Baseline'!$D$1:$O$258,7,FALSE)),"",(VLOOKUP($E44,'A-1 On-Site Habitat Baseline'!$D$1:$O$258,7,FALSE))))</f>
        <v/>
      </c>
      <c r="J44" s="295" t="str">
        <f>IF(E44="","",IF(ISNA(VLOOKUP($E44,'A-1 On-Site Habitat Baseline'!$D$1:$O$258,8,FALSE)),"",(VLOOKUP($E44,'A-1 On-Site Habitat Baseline'!$D$1:$O$258,8,FALSE))))</f>
        <v/>
      </c>
      <c r="K44" s="295" t="str">
        <f>IF(E44="","",IF(ISNA(VLOOKUP($E44,'A-1 On-Site Habitat Baseline'!$D$1:$O$258,9,FALSE)),"",(VLOOKUP($E44,'A-1 On-Site Habitat Baseline'!$D$1:$O$258,9,FALSE))))</f>
        <v/>
      </c>
      <c r="L44" s="295" t="str">
        <f>IF(E44="","",IF(ISNA(VLOOKUP($E44,'A-1 On-Site Habitat Baseline'!$D$1:$O$258,11,FALSE)),"",(VLOOKUP($E44,'A-1 On-Site Habitat Baseline'!$D$1:$O$258,11,FALSE))))</f>
        <v/>
      </c>
      <c r="M44" s="295" t="str">
        <f>IF(E44="","",IF(ISNA(VLOOKUP($E44,'A-1 On-Site Habitat Baseline'!$D$1:$O$258,12,FALSE)),"",(VLOOKUP($E44,'A-1 On-Site Habitat Baseline'!$D$1:$O$258,12,FALSE))))</f>
        <v/>
      </c>
      <c r="N44" s="306" t="str">
        <f>IF(E44="","",IF(ISNA(VLOOKUP($E44,'A-1 On-Site Habitat Baseline'!$D$1:$X$258,14,FALSE)),"",(VLOOKUP($E44,'A-1 On-Site Habitat Baseline'!$D$1:$X$258,14,FALSE))))</f>
        <v/>
      </c>
      <c r="O44" s="299" t="str">
        <f>IF(E44="","",IF(ISNA(VLOOKUP($E44,'A-1 On-Site Habitat Baseline'!$D$1:$X$258,16,FALSE)),"",(VLOOKUP($E44,'A-1 On-Site Habitat Baseline'!$D$1:$X$258,13,FALSE))))</f>
        <v/>
      </c>
      <c r="P44" s="154" t="str">
        <f>IFERROR(INDEX('G-1 All Habitats'!$AG$49:$AG$63,MATCH(Q44,'G-1 All Habitats'!$AF$27:$AF$41,0)),"")</f>
        <v/>
      </c>
      <c r="Q44" s="155" t="str">
        <f t="shared" si="0"/>
        <v/>
      </c>
      <c r="R44" s="155"/>
      <c r="S44" s="237" t="str">
        <f>IFERROR(INDEX('G-1 All Habitats'!$B$3:$B$135,MATCH(R44,'G-1 All Habitats'!$A$3:$A$135,0)),"")</f>
        <v/>
      </c>
      <c r="T44" s="275" t="str">
        <f t="shared" si="1"/>
        <v/>
      </c>
      <c r="U44" s="276" t="str">
        <f t="shared" si="2"/>
        <v/>
      </c>
      <c r="V44" s="311" t="str">
        <f t="shared" si="3"/>
        <v/>
      </c>
      <c r="W44" s="295" t="str">
        <f>IF(S44="","",VLOOKUP(S44,'G-1 All Habitats'!$B$2:$M$135,10,FALSE))</f>
        <v/>
      </c>
      <c r="X44" s="295" t="str">
        <f>IFERROR(VLOOKUP(W44,'G-1 All Habitats'!$V$3:$W$7,2,FALSE),"")</f>
        <v/>
      </c>
      <c r="Y44" s="57"/>
      <c r="Z44" s="299" t="str">
        <f>IFERROR(INDEX('G-8 Condition Look up'!$A$3:$H$135,MATCH(S44,'G-8 Condition Look up'!$A$3:$A$135,0),MATCH(Y44,'G-8 Condition Look up'!$A$3:$H$3,0)),"")</f>
        <v/>
      </c>
      <c r="AA44" s="52"/>
      <c r="AB44" s="295" t="str">
        <f>IF(AA44="","",IF(VLOOKUP(AA44,'G-3 Multipliers'!$L$3:$N$6,2,FALSE)=0,"Spatial Data Missing ⚠",VLOOKUP(AA44,'G-3 Multipliers'!$L$3:$N$6,2,FALSE)))</f>
        <v/>
      </c>
      <c r="AC44" s="299" t="str">
        <f>IF(AA44="","",IF(VLOOKUP(AA44,'G-3 Multipliers'!$L$3:$N$6,3,FALSE)=0,"Spatial Data Missing ⚠",VLOOKUP(AA44,'G-3 Multipliers'!$L$3:$N$6,3,FALSE)))</f>
        <v/>
      </c>
      <c r="AD44" s="313" t="str">
        <f t="shared" si="4"/>
        <v/>
      </c>
      <c r="AE44" s="58"/>
      <c r="AF44" s="58"/>
      <c r="AG44" s="283" t="str">
        <f t="shared" si="5"/>
        <v/>
      </c>
      <c r="AH44" s="296" t="str">
        <f t="shared" si="6"/>
        <v/>
      </c>
      <c r="AI44" s="297" t="str">
        <f>IF(AH44="Check Data ⚠","Check Data ⚠",IFERROR(VLOOKUP(AH44,'G-4 Temporal multipliers'!$A$4:$C$36,3,FALSE),""))</f>
        <v/>
      </c>
      <c r="AJ44" s="275" t="str">
        <f>IF(S44="","",VLOOKUP(S44,'G-3 Multipliers'!$A$2:$E$134,4,FALSE))</f>
        <v/>
      </c>
      <c r="AK44" s="283" t="str">
        <f t="shared" si="7"/>
        <v/>
      </c>
      <c r="AL44" s="283" t="str">
        <f t="shared" si="8"/>
        <v/>
      </c>
      <c r="AM44" s="314" t="str">
        <f>IFERROR(IF(F44="","",IF(AH44="Check Data ⚠","Check Data ⚠",VLOOKUP(AL44,'G-3 Multipliers'!$P$2:$Q$6,2,FALSE))),"")</f>
        <v/>
      </c>
      <c r="AN44" s="289" t="str">
        <f t="shared" si="9"/>
        <v/>
      </c>
      <c r="AO44" s="52"/>
      <c r="AP44" s="51"/>
      <c r="AQ44" s="104"/>
      <c r="AT44" s="35" t="str">
        <f t="shared" si="10"/>
        <v>No</v>
      </c>
      <c r="AU44" s="35" t="str">
        <f>IF(E44="","",IF(ISNA(VLOOKUP($E44,'A-1 On-Site Habitat Baseline'!$D$1:$AV$258,4,FALSE)),"",(VLOOKUP($E44,'A-1 On-Site Habitat Baseline'!$D$1:$AV$258,4,FALSE))))</f>
        <v/>
      </c>
    </row>
    <row r="45" spans="1:47" ht="14">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05" t="str">
        <f>'A-1 On-Site Habitat Baseline'!AL44</f>
        <v/>
      </c>
      <c r="F45" s="295" t="str">
        <f>IF(E45="","",IF(ISNA(VLOOKUP($E45,'A-1 On-Site Habitat Baseline'!$D$1:$AV$258,45,FALSE)),"",(VLOOKUP($E45,'A-1 On-Site Habitat Baseline'!$D$1:$AV$258,45,FALSE))))</f>
        <v/>
      </c>
      <c r="G45" s="295" t="str">
        <f>IF(E45="","",IF(ISNA(VLOOKUP($E45,'A-1 On-Site Habitat Baseline'!$D$1:$O$258,5,FALSE)),"",(VLOOKUP($E45,'A-1 On-Site Habitat Baseline'!$D$1:$O$258,5,FALSE))))</f>
        <v/>
      </c>
      <c r="H45" s="295" t="str">
        <f>IF(E45="","",IF(ISNA(VLOOKUP($E45,'A-1 On-Site Habitat Baseline'!$D$1:$O$258,6,FALSE)),"",(VLOOKUP($E45,'A-1 On-Site Habitat Baseline'!$D$1:$O$258,6,FALSE))))</f>
        <v/>
      </c>
      <c r="I45" s="295" t="str">
        <f>IF(E45="","",IF(ISNA(VLOOKUP($E45,'A-1 On-Site Habitat Baseline'!$D$1:$O$258,7,FALSE)),"",(VLOOKUP($E45,'A-1 On-Site Habitat Baseline'!$D$1:$O$258,7,FALSE))))</f>
        <v/>
      </c>
      <c r="J45" s="295" t="str">
        <f>IF(E45="","",IF(ISNA(VLOOKUP($E45,'A-1 On-Site Habitat Baseline'!$D$1:$O$258,8,FALSE)),"",(VLOOKUP($E45,'A-1 On-Site Habitat Baseline'!$D$1:$O$258,8,FALSE))))</f>
        <v/>
      </c>
      <c r="K45" s="295" t="str">
        <f>IF(E45="","",IF(ISNA(VLOOKUP($E45,'A-1 On-Site Habitat Baseline'!$D$1:$O$258,9,FALSE)),"",(VLOOKUP($E45,'A-1 On-Site Habitat Baseline'!$D$1:$O$258,9,FALSE))))</f>
        <v/>
      </c>
      <c r="L45" s="295" t="str">
        <f>IF(E45="","",IF(ISNA(VLOOKUP($E45,'A-1 On-Site Habitat Baseline'!$D$1:$O$258,11,FALSE)),"",(VLOOKUP($E45,'A-1 On-Site Habitat Baseline'!$D$1:$O$258,11,FALSE))))</f>
        <v/>
      </c>
      <c r="M45" s="295" t="str">
        <f>IF(E45="","",IF(ISNA(VLOOKUP($E45,'A-1 On-Site Habitat Baseline'!$D$1:$O$258,12,FALSE)),"",(VLOOKUP($E45,'A-1 On-Site Habitat Baseline'!$D$1:$O$258,12,FALSE))))</f>
        <v/>
      </c>
      <c r="N45" s="306" t="str">
        <f>IF(E45="","",IF(ISNA(VLOOKUP($E45,'A-1 On-Site Habitat Baseline'!$D$1:$X$258,14,FALSE)),"",(VLOOKUP($E45,'A-1 On-Site Habitat Baseline'!$D$1:$X$258,14,FALSE))))</f>
        <v/>
      </c>
      <c r="O45" s="299" t="str">
        <f>IF(E45="","",IF(ISNA(VLOOKUP($E45,'A-1 On-Site Habitat Baseline'!$D$1:$X$258,16,FALSE)),"",(VLOOKUP($E45,'A-1 On-Site Habitat Baseline'!$D$1:$X$258,13,FALSE))))</f>
        <v/>
      </c>
      <c r="P45" s="154" t="str">
        <f>IFERROR(INDEX('G-1 All Habitats'!$AG$49:$AG$63,MATCH(Q45,'G-1 All Habitats'!$AF$27:$AF$41,0)),"")</f>
        <v/>
      </c>
      <c r="Q45" s="155" t="str">
        <f t="shared" si="0"/>
        <v/>
      </c>
      <c r="R45" s="155"/>
      <c r="S45" s="237" t="str">
        <f>IFERROR(INDEX('G-1 All Habitats'!$B$3:$B$135,MATCH(R45,'G-1 All Habitats'!$A$3:$A$135,0)),"")</f>
        <v/>
      </c>
      <c r="T45" s="275" t="str">
        <f t="shared" si="1"/>
        <v/>
      </c>
      <c r="U45" s="276" t="str">
        <f t="shared" si="2"/>
        <v/>
      </c>
      <c r="V45" s="311" t="str">
        <f t="shared" si="3"/>
        <v/>
      </c>
      <c r="W45" s="295" t="str">
        <f>IF(S45="","",VLOOKUP(S45,'G-1 All Habitats'!$B$2:$M$135,10,FALSE))</f>
        <v/>
      </c>
      <c r="X45" s="295" t="str">
        <f>IFERROR(VLOOKUP(W45,'G-1 All Habitats'!$V$3:$W$7,2,FALSE),"")</f>
        <v/>
      </c>
      <c r="Y45" s="57"/>
      <c r="Z45" s="299" t="str">
        <f>IFERROR(INDEX('G-8 Condition Look up'!$A$3:$H$135,MATCH(S45,'G-8 Condition Look up'!$A$3:$A$135,0),MATCH(Y45,'G-8 Condition Look up'!$A$3:$H$3,0)),"")</f>
        <v/>
      </c>
      <c r="AA45" s="52"/>
      <c r="AB45" s="295" t="str">
        <f>IF(AA45="","",IF(VLOOKUP(AA45,'G-3 Multipliers'!$L$3:$N$6,2,FALSE)=0,"Spatial Data Missing ⚠",VLOOKUP(AA45,'G-3 Multipliers'!$L$3:$N$6,2,FALSE)))</f>
        <v/>
      </c>
      <c r="AC45" s="299" t="str">
        <f>IF(AA45="","",IF(VLOOKUP(AA45,'G-3 Multipliers'!$L$3:$N$6,3,FALSE)=0,"Spatial Data Missing ⚠",VLOOKUP(AA45,'G-3 Multipliers'!$L$3:$N$6,3,FALSE)))</f>
        <v/>
      </c>
      <c r="AD45" s="313" t="str">
        <f t="shared" si="4"/>
        <v/>
      </c>
      <c r="AE45" s="58"/>
      <c r="AF45" s="58"/>
      <c r="AG45" s="283" t="str">
        <f t="shared" si="5"/>
        <v/>
      </c>
      <c r="AH45" s="296" t="str">
        <f t="shared" si="6"/>
        <v/>
      </c>
      <c r="AI45" s="297" t="str">
        <f>IF(AH45="Check Data ⚠","Check Data ⚠",IFERROR(VLOOKUP(AH45,'G-4 Temporal multipliers'!$A$4:$C$36,3,FALSE),""))</f>
        <v/>
      </c>
      <c r="AJ45" s="275" t="str">
        <f>IF(S45="","",VLOOKUP(S45,'G-3 Multipliers'!$A$2:$E$134,4,FALSE))</f>
        <v/>
      </c>
      <c r="AK45" s="283" t="str">
        <f t="shared" si="7"/>
        <v/>
      </c>
      <c r="AL45" s="283" t="str">
        <f t="shared" si="8"/>
        <v/>
      </c>
      <c r="AM45" s="314" t="str">
        <f>IFERROR(IF(F45="","",IF(AH45="Check Data ⚠","Check Data ⚠",VLOOKUP(AL45,'G-3 Multipliers'!$P$2:$Q$6,2,FALSE))),"")</f>
        <v/>
      </c>
      <c r="AN45" s="289" t="str">
        <f t="shared" si="9"/>
        <v/>
      </c>
      <c r="AO45" s="52"/>
      <c r="AP45" s="51"/>
      <c r="AQ45" s="104"/>
      <c r="AT45" s="35" t="str">
        <f t="shared" si="10"/>
        <v>No</v>
      </c>
      <c r="AU45" s="35" t="str">
        <f>IF(E45="","",IF(ISNA(VLOOKUP($E45,'A-1 On-Site Habitat Baseline'!$D$1:$AV$258,4,FALSE)),"",(VLOOKUP($E45,'A-1 On-Site Habitat Baseline'!$D$1:$AV$258,4,FALSE))))</f>
        <v/>
      </c>
    </row>
    <row r="46" spans="1:47" ht="14">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05" t="str">
        <f>'A-1 On-Site Habitat Baseline'!AL45</f>
        <v/>
      </c>
      <c r="F46" s="295" t="str">
        <f>IF(E46="","",IF(ISNA(VLOOKUP($E46,'A-1 On-Site Habitat Baseline'!$D$1:$AV$258,45,FALSE)),"",(VLOOKUP($E46,'A-1 On-Site Habitat Baseline'!$D$1:$AV$258,45,FALSE))))</f>
        <v/>
      </c>
      <c r="G46" s="295" t="str">
        <f>IF(E46="","",IF(ISNA(VLOOKUP($E46,'A-1 On-Site Habitat Baseline'!$D$1:$O$258,5,FALSE)),"",(VLOOKUP($E46,'A-1 On-Site Habitat Baseline'!$D$1:$O$258,5,FALSE))))</f>
        <v/>
      </c>
      <c r="H46" s="295" t="str">
        <f>IF(E46="","",IF(ISNA(VLOOKUP($E46,'A-1 On-Site Habitat Baseline'!$D$1:$O$258,6,FALSE)),"",(VLOOKUP($E46,'A-1 On-Site Habitat Baseline'!$D$1:$O$258,6,FALSE))))</f>
        <v/>
      </c>
      <c r="I46" s="295" t="str">
        <f>IF(E46="","",IF(ISNA(VLOOKUP($E46,'A-1 On-Site Habitat Baseline'!$D$1:$O$258,7,FALSE)),"",(VLOOKUP($E46,'A-1 On-Site Habitat Baseline'!$D$1:$O$258,7,FALSE))))</f>
        <v/>
      </c>
      <c r="J46" s="295" t="str">
        <f>IF(E46="","",IF(ISNA(VLOOKUP($E46,'A-1 On-Site Habitat Baseline'!$D$1:$O$258,8,FALSE)),"",(VLOOKUP($E46,'A-1 On-Site Habitat Baseline'!$D$1:$O$258,8,FALSE))))</f>
        <v/>
      </c>
      <c r="K46" s="295" t="str">
        <f>IF(E46="","",IF(ISNA(VLOOKUP($E46,'A-1 On-Site Habitat Baseline'!$D$1:$O$258,9,FALSE)),"",(VLOOKUP($E46,'A-1 On-Site Habitat Baseline'!$D$1:$O$258,9,FALSE))))</f>
        <v/>
      </c>
      <c r="L46" s="295" t="str">
        <f>IF(E46="","",IF(ISNA(VLOOKUP($E46,'A-1 On-Site Habitat Baseline'!$D$1:$O$258,11,FALSE)),"",(VLOOKUP($E46,'A-1 On-Site Habitat Baseline'!$D$1:$O$258,11,FALSE))))</f>
        <v/>
      </c>
      <c r="M46" s="295" t="str">
        <f>IF(E46="","",IF(ISNA(VLOOKUP($E46,'A-1 On-Site Habitat Baseline'!$D$1:$O$258,12,FALSE)),"",(VLOOKUP($E46,'A-1 On-Site Habitat Baseline'!$D$1:$O$258,12,FALSE))))</f>
        <v/>
      </c>
      <c r="N46" s="306" t="str">
        <f>IF(E46="","",IF(ISNA(VLOOKUP($E46,'A-1 On-Site Habitat Baseline'!$D$1:$X$258,14,FALSE)),"",(VLOOKUP($E46,'A-1 On-Site Habitat Baseline'!$D$1:$X$258,14,FALSE))))</f>
        <v/>
      </c>
      <c r="O46" s="299" t="str">
        <f>IF(E46="","",IF(ISNA(VLOOKUP($E46,'A-1 On-Site Habitat Baseline'!$D$1:$X$258,16,FALSE)),"",(VLOOKUP($E46,'A-1 On-Site Habitat Baseline'!$D$1:$X$258,13,FALSE))))</f>
        <v/>
      </c>
      <c r="P46" s="154" t="str">
        <f>IFERROR(INDEX('G-1 All Habitats'!$AG$49:$AG$63,MATCH(Q46,'G-1 All Habitats'!$AF$27:$AF$41,0)),"")</f>
        <v/>
      </c>
      <c r="Q46" s="155" t="str">
        <f t="shared" si="0"/>
        <v/>
      </c>
      <c r="R46" s="155"/>
      <c r="S46" s="237" t="str">
        <f>IFERROR(INDEX('G-1 All Habitats'!$B$3:$B$135,MATCH(R46,'G-1 All Habitats'!$A$3:$A$135,0)),"")</f>
        <v/>
      </c>
      <c r="T46" s="275" t="str">
        <f t="shared" si="1"/>
        <v/>
      </c>
      <c r="U46" s="276" t="str">
        <f t="shared" si="2"/>
        <v/>
      </c>
      <c r="V46" s="311" t="str">
        <f t="shared" si="3"/>
        <v/>
      </c>
      <c r="W46" s="295" t="str">
        <f>IF(S46="","",VLOOKUP(S46,'G-1 All Habitats'!$B$2:$M$135,10,FALSE))</f>
        <v/>
      </c>
      <c r="X46" s="295" t="str">
        <f>IFERROR(VLOOKUP(W46,'G-1 All Habitats'!$V$3:$W$7,2,FALSE),"")</f>
        <v/>
      </c>
      <c r="Y46" s="57"/>
      <c r="Z46" s="299" t="str">
        <f>IFERROR(INDEX('G-8 Condition Look up'!$A$3:$H$135,MATCH(S46,'G-8 Condition Look up'!$A$3:$A$135,0),MATCH(Y46,'G-8 Condition Look up'!$A$3:$H$3,0)),"")</f>
        <v/>
      </c>
      <c r="AA46" s="52"/>
      <c r="AB46" s="295" t="str">
        <f>IF(AA46="","",IF(VLOOKUP(AA46,'G-3 Multipliers'!$L$3:$N$6,2,FALSE)=0,"Spatial Data Missing ⚠",VLOOKUP(AA46,'G-3 Multipliers'!$L$3:$N$6,2,FALSE)))</f>
        <v/>
      </c>
      <c r="AC46" s="299" t="str">
        <f>IF(AA46="","",IF(VLOOKUP(AA46,'G-3 Multipliers'!$L$3:$N$6,3,FALSE)=0,"Spatial Data Missing ⚠",VLOOKUP(AA46,'G-3 Multipliers'!$L$3:$N$6,3,FALSE)))</f>
        <v/>
      </c>
      <c r="AD46" s="313" t="str">
        <f t="shared" si="4"/>
        <v/>
      </c>
      <c r="AE46" s="58"/>
      <c r="AF46" s="58"/>
      <c r="AG46" s="283" t="str">
        <f t="shared" si="5"/>
        <v/>
      </c>
      <c r="AH46" s="296" t="str">
        <f t="shared" si="6"/>
        <v/>
      </c>
      <c r="AI46" s="297" t="str">
        <f>IF(AH46="Check Data ⚠","Check Data ⚠",IFERROR(VLOOKUP(AH46,'G-4 Temporal multipliers'!$A$4:$C$36,3,FALSE),""))</f>
        <v/>
      </c>
      <c r="AJ46" s="275" t="str">
        <f>IF(S46="","",VLOOKUP(S46,'G-3 Multipliers'!$A$2:$E$134,4,FALSE))</f>
        <v/>
      </c>
      <c r="AK46" s="283" t="str">
        <f t="shared" si="7"/>
        <v/>
      </c>
      <c r="AL46" s="283" t="str">
        <f t="shared" si="8"/>
        <v/>
      </c>
      <c r="AM46" s="314" t="str">
        <f>IFERROR(IF(F46="","",IF(AH46="Check Data ⚠","Check Data ⚠",VLOOKUP(AL46,'G-3 Multipliers'!$P$2:$Q$6,2,FALSE))),"")</f>
        <v/>
      </c>
      <c r="AN46" s="289" t="str">
        <f t="shared" si="9"/>
        <v/>
      </c>
      <c r="AO46" s="52"/>
      <c r="AP46" s="51"/>
      <c r="AQ46" s="104"/>
      <c r="AT46" s="35" t="str">
        <f t="shared" si="10"/>
        <v>No</v>
      </c>
      <c r="AU46" s="35" t="str">
        <f>IF(E46="","",IF(ISNA(VLOOKUP($E46,'A-1 On-Site Habitat Baseline'!$D$1:$AV$258,4,FALSE)),"",(VLOOKUP($E46,'A-1 On-Site Habitat Baseline'!$D$1:$AV$258,4,FALSE))))</f>
        <v/>
      </c>
    </row>
    <row r="47" spans="1:47" ht="14">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05" t="str">
        <f>'A-1 On-Site Habitat Baseline'!AL46</f>
        <v/>
      </c>
      <c r="F47" s="295" t="str">
        <f>IF(E47="","",IF(ISNA(VLOOKUP($E47,'A-1 On-Site Habitat Baseline'!$D$1:$AV$258,45,FALSE)),"",(VLOOKUP($E47,'A-1 On-Site Habitat Baseline'!$D$1:$AV$258,45,FALSE))))</f>
        <v/>
      </c>
      <c r="G47" s="295" t="str">
        <f>IF(E47="","",IF(ISNA(VLOOKUP($E47,'A-1 On-Site Habitat Baseline'!$D$1:$O$258,5,FALSE)),"",(VLOOKUP($E47,'A-1 On-Site Habitat Baseline'!$D$1:$O$258,5,FALSE))))</f>
        <v/>
      </c>
      <c r="H47" s="295" t="str">
        <f>IF(E47="","",IF(ISNA(VLOOKUP($E47,'A-1 On-Site Habitat Baseline'!$D$1:$O$258,6,FALSE)),"",(VLOOKUP($E47,'A-1 On-Site Habitat Baseline'!$D$1:$O$258,6,FALSE))))</f>
        <v/>
      </c>
      <c r="I47" s="295" t="str">
        <f>IF(E47="","",IF(ISNA(VLOOKUP($E47,'A-1 On-Site Habitat Baseline'!$D$1:$O$258,7,FALSE)),"",(VLOOKUP($E47,'A-1 On-Site Habitat Baseline'!$D$1:$O$258,7,FALSE))))</f>
        <v/>
      </c>
      <c r="J47" s="295" t="str">
        <f>IF(E47="","",IF(ISNA(VLOOKUP($E47,'A-1 On-Site Habitat Baseline'!$D$1:$O$258,8,FALSE)),"",(VLOOKUP($E47,'A-1 On-Site Habitat Baseline'!$D$1:$O$258,8,FALSE))))</f>
        <v/>
      </c>
      <c r="K47" s="295" t="str">
        <f>IF(E47="","",IF(ISNA(VLOOKUP($E47,'A-1 On-Site Habitat Baseline'!$D$1:$O$258,9,FALSE)),"",(VLOOKUP($E47,'A-1 On-Site Habitat Baseline'!$D$1:$O$258,9,FALSE))))</f>
        <v/>
      </c>
      <c r="L47" s="295" t="str">
        <f>IF(E47="","",IF(ISNA(VLOOKUP($E47,'A-1 On-Site Habitat Baseline'!$D$1:$O$258,11,FALSE)),"",(VLOOKUP($E47,'A-1 On-Site Habitat Baseline'!$D$1:$O$258,11,FALSE))))</f>
        <v/>
      </c>
      <c r="M47" s="295" t="str">
        <f>IF(E47="","",IF(ISNA(VLOOKUP($E47,'A-1 On-Site Habitat Baseline'!$D$1:$O$258,12,FALSE)),"",(VLOOKUP($E47,'A-1 On-Site Habitat Baseline'!$D$1:$O$258,12,FALSE))))</f>
        <v/>
      </c>
      <c r="N47" s="306" t="str">
        <f>IF(E47="","",IF(ISNA(VLOOKUP($E47,'A-1 On-Site Habitat Baseline'!$D$1:$X$258,14,FALSE)),"",(VLOOKUP($E47,'A-1 On-Site Habitat Baseline'!$D$1:$X$258,14,FALSE))))</f>
        <v/>
      </c>
      <c r="O47" s="299" t="str">
        <f>IF(E47="","",IF(ISNA(VLOOKUP($E47,'A-1 On-Site Habitat Baseline'!$D$1:$X$258,16,FALSE)),"",(VLOOKUP($E47,'A-1 On-Site Habitat Baseline'!$D$1:$X$258,13,FALSE))))</f>
        <v/>
      </c>
      <c r="P47" s="154" t="str">
        <f>IFERROR(INDEX('G-1 All Habitats'!$AG$49:$AG$63,MATCH(Q47,'G-1 All Habitats'!$AF$27:$AF$41,0)),"")</f>
        <v/>
      </c>
      <c r="Q47" s="155" t="str">
        <f t="shared" si="0"/>
        <v/>
      </c>
      <c r="R47" s="155"/>
      <c r="S47" s="237" t="str">
        <f>IFERROR(INDEX('G-1 All Habitats'!$B$3:$B$135,MATCH(R47,'G-1 All Habitats'!$A$3:$A$135,0)),"")</f>
        <v/>
      </c>
      <c r="T47" s="275" t="str">
        <f t="shared" si="1"/>
        <v/>
      </c>
      <c r="U47" s="276" t="str">
        <f t="shared" si="2"/>
        <v/>
      </c>
      <c r="V47" s="311" t="str">
        <f t="shared" si="3"/>
        <v/>
      </c>
      <c r="W47" s="295" t="str">
        <f>IF(S47="","",VLOOKUP(S47,'G-1 All Habitats'!$B$2:$M$135,10,FALSE))</f>
        <v/>
      </c>
      <c r="X47" s="295" t="str">
        <f>IFERROR(VLOOKUP(W47,'G-1 All Habitats'!$V$3:$W$7,2,FALSE),"")</f>
        <v/>
      </c>
      <c r="Y47" s="57"/>
      <c r="Z47" s="299" t="str">
        <f>IFERROR(INDEX('G-8 Condition Look up'!$A$3:$H$135,MATCH(S47,'G-8 Condition Look up'!$A$3:$A$135,0),MATCH(Y47,'G-8 Condition Look up'!$A$3:$H$3,0)),"")</f>
        <v/>
      </c>
      <c r="AA47" s="52"/>
      <c r="AB47" s="295" t="str">
        <f>IF(AA47="","",IF(VLOOKUP(AA47,'G-3 Multipliers'!$L$3:$N$6,2,FALSE)=0,"Spatial Data Missing ⚠",VLOOKUP(AA47,'G-3 Multipliers'!$L$3:$N$6,2,FALSE)))</f>
        <v/>
      </c>
      <c r="AC47" s="299" t="str">
        <f>IF(AA47="","",IF(VLOOKUP(AA47,'G-3 Multipliers'!$L$3:$N$6,3,FALSE)=0,"Spatial Data Missing ⚠",VLOOKUP(AA47,'G-3 Multipliers'!$L$3:$N$6,3,FALSE)))</f>
        <v/>
      </c>
      <c r="AD47" s="313" t="str">
        <f t="shared" si="4"/>
        <v/>
      </c>
      <c r="AE47" s="58"/>
      <c r="AF47" s="58"/>
      <c r="AG47" s="283" t="str">
        <f t="shared" si="5"/>
        <v/>
      </c>
      <c r="AH47" s="296" t="str">
        <f t="shared" si="6"/>
        <v/>
      </c>
      <c r="AI47" s="297" t="str">
        <f>IF(AH47="Check Data ⚠","Check Data ⚠",IFERROR(VLOOKUP(AH47,'G-4 Temporal multipliers'!$A$4:$C$36,3,FALSE),""))</f>
        <v/>
      </c>
      <c r="AJ47" s="275" t="str">
        <f>IF(S47="","",VLOOKUP(S47,'G-3 Multipliers'!$A$2:$E$134,4,FALSE))</f>
        <v/>
      </c>
      <c r="AK47" s="283" t="str">
        <f t="shared" si="7"/>
        <v/>
      </c>
      <c r="AL47" s="283" t="str">
        <f t="shared" si="8"/>
        <v/>
      </c>
      <c r="AM47" s="314" t="str">
        <f>IFERROR(IF(F47="","",IF(AH47="Check Data ⚠","Check Data ⚠",VLOOKUP(AL47,'G-3 Multipliers'!$P$2:$Q$6,2,FALSE))),"")</f>
        <v/>
      </c>
      <c r="AN47" s="289" t="str">
        <f t="shared" si="9"/>
        <v/>
      </c>
      <c r="AO47" s="52"/>
      <c r="AP47" s="51"/>
      <c r="AQ47" s="104"/>
      <c r="AT47" s="35" t="str">
        <f t="shared" si="10"/>
        <v>No</v>
      </c>
      <c r="AU47" s="35" t="str">
        <f>IF(E47="","",IF(ISNA(VLOOKUP($E47,'A-1 On-Site Habitat Baseline'!$D$1:$AV$258,4,FALSE)),"",(VLOOKUP($E47,'A-1 On-Site Habitat Baseline'!$D$1:$AV$258,4,FALSE))))</f>
        <v/>
      </c>
    </row>
    <row r="48" spans="1:47" ht="14">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05" t="str">
        <f>'A-1 On-Site Habitat Baseline'!AL47</f>
        <v/>
      </c>
      <c r="F48" s="295" t="str">
        <f>IF(E48="","",IF(ISNA(VLOOKUP($E48,'A-1 On-Site Habitat Baseline'!$D$1:$AV$258,45,FALSE)),"",(VLOOKUP($E48,'A-1 On-Site Habitat Baseline'!$D$1:$AV$258,45,FALSE))))</f>
        <v/>
      </c>
      <c r="G48" s="295" t="str">
        <f>IF(E48="","",IF(ISNA(VLOOKUP($E48,'A-1 On-Site Habitat Baseline'!$D$1:$O$258,5,FALSE)),"",(VLOOKUP($E48,'A-1 On-Site Habitat Baseline'!$D$1:$O$258,5,FALSE))))</f>
        <v/>
      </c>
      <c r="H48" s="295" t="str">
        <f>IF(E48="","",IF(ISNA(VLOOKUP($E48,'A-1 On-Site Habitat Baseline'!$D$1:$O$258,6,FALSE)),"",(VLOOKUP($E48,'A-1 On-Site Habitat Baseline'!$D$1:$O$258,6,FALSE))))</f>
        <v/>
      </c>
      <c r="I48" s="295" t="str">
        <f>IF(E48="","",IF(ISNA(VLOOKUP($E48,'A-1 On-Site Habitat Baseline'!$D$1:$O$258,7,FALSE)),"",(VLOOKUP($E48,'A-1 On-Site Habitat Baseline'!$D$1:$O$258,7,FALSE))))</f>
        <v/>
      </c>
      <c r="J48" s="295" t="str">
        <f>IF(E48="","",IF(ISNA(VLOOKUP($E48,'A-1 On-Site Habitat Baseline'!$D$1:$O$258,8,FALSE)),"",(VLOOKUP($E48,'A-1 On-Site Habitat Baseline'!$D$1:$O$258,8,FALSE))))</f>
        <v/>
      </c>
      <c r="K48" s="295" t="str">
        <f>IF(E48="","",IF(ISNA(VLOOKUP($E48,'A-1 On-Site Habitat Baseline'!$D$1:$O$258,9,FALSE)),"",(VLOOKUP($E48,'A-1 On-Site Habitat Baseline'!$D$1:$O$258,9,FALSE))))</f>
        <v/>
      </c>
      <c r="L48" s="295" t="str">
        <f>IF(E48="","",IF(ISNA(VLOOKUP($E48,'A-1 On-Site Habitat Baseline'!$D$1:$O$258,11,FALSE)),"",(VLOOKUP($E48,'A-1 On-Site Habitat Baseline'!$D$1:$O$258,11,FALSE))))</f>
        <v/>
      </c>
      <c r="M48" s="295" t="str">
        <f>IF(E48="","",IF(ISNA(VLOOKUP($E48,'A-1 On-Site Habitat Baseline'!$D$1:$O$258,12,FALSE)),"",(VLOOKUP($E48,'A-1 On-Site Habitat Baseline'!$D$1:$O$258,12,FALSE))))</f>
        <v/>
      </c>
      <c r="N48" s="306" t="str">
        <f>IF(E48="","",IF(ISNA(VLOOKUP($E48,'A-1 On-Site Habitat Baseline'!$D$1:$X$258,14,FALSE)),"",(VLOOKUP($E48,'A-1 On-Site Habitat Baseline'!$D$1:$X$258,14,FALSE))))</f>
        <v/>
      </c>
      <c r="O48" s="299" t="str">
        <f>IF(E48="","",IF(ISNA(VLOOKUP($E48,'A-1 On-Site Habitat Baseline'!$D$1:$X$258,16,FALSE)),"",(VLOOKUP($E48,'A-1 On-Site Habitat Baseline'!$D$1:$X$258,13,FALSE))))</f>
        <v/>
      </c>
      <c r="P48" s="154" t="str">
        <f>IFERROR(INDEX('G-1 All Habitats'!$AG$49:$AG$63,MATCH(Q48,'G-1 All Habitats'!$AF$27:$AF$41,0)),"")</f>
        <v/>
      </c>
      <c r="Q48" s="155" t="str">
        <f t="shared" si="0"/>
        <v/>
      </c>
      <c r="R48" s="155"/>
      <c r="S48" s="237" t="str">
        <f>IFERROR(INDEX('G-1 All Habitats'!$B$3:$B$135,MATCH(R48,'G-1 All Habitats'!$A$3:$A$135,0)),"")</f>
        <v/>
      </c>
      <c r="T48" s="275" t="str">
        <f t="shared" si="1"/>
        <v/>
      </c>
      <c r="U48" s="276" t="str">
        <f t="shared" si="2"/>
        <v/>
      </c>
      <c r="V48" s="311" t="str">
        <f t="shared" si="3"/>
        <v/>
      </c>
      <c r="W48" s="295" t="str">
        <f>IF(S48="","",VLOOKUP(S48,'G-1 All Habitats'!$B$2:$M$135,10,FALSE))</f>
        <v/>
      </c>
      <c r="X48" s="295" t="str">
        <f>IFERROR(VLOOKUP(W48,'G-1 All Habitats'!$V$3:$W$7,2,FALSE),"")</f>
        <v/>
      </c>
      <c r="Y48" s="57"/>
      <c r="Z48" s="299" t="str">
        <f>IFERROR(INDEX('G-8 Condition Look up'!$A$3:$H$135,MATCH(S48,'G-8 Condition Look up'!$A$3:$A$135,0),MATCH(Y48,'G-8 Condition Look up'!$A$3:$H$3,0)),"")</f>
        <v/>
      </c>
      <c r="AA48" s="52"/>
      <c r="AB48" s="295" t="str">
        <f>IF(AA48="","",IF(VLOOKUP(AA48,'G-3 Multipliers'!$L$3:$N$6,2,FALSE)=0,"Spatial Data Missing ⚠",VLOOKUP(AA48,'G-3 Multipliers'!$L$3:$N$6,2,FALSE)))</f>
        <v/>
      </c>
      <c r="AC48" s="299" t="str">
        <f>IF(AA48="","",IF(VLOOKUP(AA48,'G-3 Multipliers'!$L$3:$N$6,3,FALSE)=0,"Spatial Data Missing ⚠",VLOOKUP(AA48,'G-3 Multipliers'!$L$3:$N$6,3,FALSE)))</f>
        <v/>
      </c>
      <c r="AD48" s="313" t="str">
        <f t="shared" si="4"/>
        <v/>
      </c>
      <c r="AE48" s="58"/>
      <c r="AF48" s="58"/>
      <c r="AG48" s="283" t="str">
        <f t="shared" si="5"/>
        <v/>
      </c>
      <c r="AH48" s="296" t="str">
        <f t="shared" si="6"/>
        <v/>
      </c>
      <c r="AI48" s="297" t="str">
        <f>IF(AH48="Check Data ⚠","Check Data ⚠",IFERROR(VLOOKUP(AH48,'G-4 Temporal multipliers'!$A$4:$C$36,3,FALSE),""))</f>
        <v/>
      </c>
      <c r="AJ48" s="275" t="str">
        <f>IF(S48="","",VLOOKUP(S48,'G-3 Multipliers'!$A$2:$E$134,4,FALSE))</f>
        <v/>
      </c>
      <c r="AK48" s="283" t="str">
        <f t="shared" si="7"/>
        <v/>
      </c>
      <c r="AL48" s="283" t="str">
        <f t="shared" si="8"/>
        <v/>
      </c>
      <c r="AM48" s="314" t="str">
        <f>IFERROR(IF(F48="","",IF(AH48="Check Data ⚠","Check Data ⚠",VLOOKUP(AL48,'G-3 Multipliers'!$P$2:$Q$6,2,FALSE))),"")</f>
        <v/>
      </c>
      <c r="AN48" s="289" t="str">
        <f t="shared" si="9"/>
        <v/>
      </c>
      <c r="AO48" s="52"/>
      <c r="AP48" s="51"/>
      <c r="AQ48" s="104"/>
      <c r="AT48" s="35" t="str">
        <f t="shared" si="10"/>
        <v>No</v>
      </c>
      <c r="AU48" s="35" t="str">
        <f>IF(E48="","",IF(ISNA(VLOOKUP($E48,'A-1 On-Site Habitat Baseline'!$D$1:$AV$258,4,FALSE)),"",(VLOOKUP($E48,'A-1 On-Site Habitat Baseline'!$D$1:$AV$258,4,FALSE))))</f>
        <v/>
      </c>
    </row>
    <row r="49" spans="1:47" ht="14">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05" t="str">
        <f>'A-1 On-Site Habitat Baseline'!AL48</f>
        <v/>
      </c>
      <c r="F49" s="295" t="str">
        <f>IF(E49="","",IF(ISNA(VLOOKUP($E49,'A-1 On-Site Habitat Baseline'!$D$1:$AV$258,45,FALSE)),"",(VLOOKUP($E49,'A-1 On-Site Habitat Baseline'!$D$1:$AV$258,45,FALSE))))</f>
        <v/>
      </c>
      <c r="G49" s="295" t="str">
        <f>IF(E49="","",IF(ISNA(VLOOKUP($E49,'A-1 On-Site Habitat Baseline'!$D$1:$O$258,5,FALSE)),"",(VLOOKUP($E49,'A-1 On-Site Habitat Baseline'!$D$1:$O$258,5,FALSE))))</f>
        <v/>
      </c>
      <c r="H49" s="295" t="str">
        <f>IF(E49="","",IF(ISNA(VLOOKUP($E49,'A-1 On-Site Habitat Baseline'!$D$1:$O$258,6,FALSE)),"",(VLOOKUP($E49,'A-1 On-Site Habitat Baseline'!$D$1:$O$258,6,FALSE))))</f>
        <v/>
      </c>
      <c r="I49" s="295" t="str">
        <f>IF(E49="","",IF(ISNA(VLOOKUP($E49,'A-1 On-Site Habitat Baseline'!$D$1:$O$258,7,FALSE)),"",(VLOOKUP($E49,'A-1 On-Site Habitat Baseline'!$D$1:$O$258,7,FALSE))))</f>
        <v/>
      </c>
      <c r="J49" s="295" t="str">
        <f>IF(E49="","",IF(ISNA(VLOOKUP($E49,'A-1 On-Site Habitat Baseline'!$D$1:$O$258,8,FALSE)),"",(VLOOKUP($E49,'A-1 On-Site Habitat Baseline'!$D$1:$O$258,8,FALSE))))</f>
        <v/>
      </c>
      <c r="K49" s="295" t="str">
        <f>IF(E49="","",IF(ISNA(VLOOKUP($E49,'A-1 On-Site Habitat Baseline'!$D$1:$O$258,9,FALSE)),"",(VLOOKUP($E49,'A-1 On-Site Habitat Baseline'!$D$1:$O$258,9,FALSE))))</f>
        <v/>
      </c>
      <c r="L49" s="295" t="str">
        <f>IF(E49="","",IF(ISNA(VLOOKUP($E49,'A-1 On-Site Habitat Baseline'!$D$1:$O$258,11,FALSE)),"",(VLOOKUP($E49,'A-1 On-Site Habitat Baseline'!$D$1:$O$258,11,FALSE))))</f>
        <v/>
      </c>
      <c r="M49" s="295" t="str">
        <f>IF(E49="","",IF(ISNA(VLOOKUP($E49,'A-1 On-Site Habitat Baseline'!$D$1:$O$258,12,FALSE)),"",(VLOOKUP($E49,'A-1 On-Site Habitat Baseline'!$D$1:$O$258,12,FALSE))))</f>
        <v/>
      </c>
      <c r="N49" s="306" t="str">
        <f>IF(E49="","",IF(ISNA(VLOOKUP($E49,'A-1 On-Site Habitat Baseline'!$D$1:$X$258,14,FALSE)),"",(VLOOKUP($E49,'A-1 On-Site Habitat Baseline'!$D$1:$X$258,14,FALSE))))</f>
        <v/>
      </c>
      <c r="O49" s="299" t="str">
        <f>IF(E49="","",IF(ISNA(VLOOKUP($E49,'A-1 On-Site Habitat Baseline'!$D$1:$X$258,16,FALSE)),"",(VLOOKUP($E49,'A-1 On-Site Habitat Baseline'!$D$1:$X$258,13,FALSE))))</f>
        <v/>
      </c>
      <c r="P49" s="154" t="str">
        <f>IFERROR(INDEX('G-1 All Habitats'!$AG$49:$AG$63,MATCH(Q49,'G-1 All Habitats'!$AF$27:$AF$41,0)),"")</f>
        <v/>
      </c>
      <c r="Q49" s="155" t="str">
        <f t="shared" si="0"/>
        <v/>
      </c>
      <c r="R49" s="155"/>
      <c r="S49" s="237" t="str">
        <f>IFERROR(INDEX('G-1 All Habitats'!$B$3:$B$135,MATCH(R49,'G-1 All Habitats'!$A$3:$A$135,0)),"")</f>
        <v/>
      </c>
      <c r="T49" s="275" t="str">
        <f t="shared" si="1"/>
        <v/>
      </c>
      <c r="U49" s="276" t="str">
        <f t="shared" si="2"/>
        <v/>
      </c>
      <c r="V49" s="311" t="str">
        <f t="shared" si="3"/>
        <v/>
      </c>
      <c r="W49" s="295" t="str">
        <f>IF(S49="","",VLOOKUP(S49,'G-1 All Habitats'!$B$2:$M$135,10,FALSE))</f>
        <v/>
      </c>
      <c r="X49" s="295" t="str">
        <f>IFERROR(VLOOKUP(W49,'G-1 All Habitats'!$V$3:$W$7,2,FALSE),"")</f>
        <v/>
      </c>
      <c r="Y49" s="57"/>
      <c r="Z49" s="299" t="str">
        <f>IFERROR(INDEX('G-8 Condition Look up'!$A$3:$H$135,MATCH(S49,'G-8 Condition Look up'!$A$3:$A$135,0),MATCH(Y49,'G-8 Condition Look up'!$A$3:$H$3,0)),"")</f>
        <v/>
      </c>
      <c r="AA49" s="52"/>
      <c r="AB49" s="295" t="str">
        <f>IF(AA49="","",IF(VLOOKUP(AA49,'G-3 Multipliers'!$L$3:$N$6,2,FALSE)=0,"Spatial Data Missing ⚠",VLOOKUP(AA49,'G-3 Multipliers'!$L$3:$N$6,2,FALSE)))</f>
        <v/>
      </c>
      <c r="AC49" s="299" t="str">
        <f>IF(AA49="","",IF(VLOOKUP(AA49,'G-3 Multipliers'!$L$3:$N$6,3,FALSE)=0,"Spatial Data Missing ⚠",VLOOKUP(AA49,'G-3 Multipliers'!$L$3:$N$6,3,FALSE)))</f>
        <v/>
      </c>
      <c r="AD49" s="313" t="str">
        <f t="shared" si="4"/>
        <v/>
      </c>
      <c r="AE49" s="58"/>
      <c r="AF49" s="58"/>
      <c r="AG49" s="283" t="str">
        <f t="shared" si="5"/>
        <v/>
      </c>
      <c r="AH49" s="296" t="str">
        <f t="shared" si="6"/>
        <v/>
      </c>
      <c r="AI49" s="297" t="str">
        <f>IF(AH49="Check Data ⚠","Check Data ⚠",IFERROR(VLOOKUP(AH49,'G-4 Temporal multipliers'!$A$4:$C$36,3,FALSE),""))</f>
        <v/>
      </c>
      <c r="AJ49" s="275" t="str">
        <f>IF(S49="","",VLOOKUP(S49,'G-3 Multipliers'!$A$2:$E$134,4,FALSE))</f>
        <v/>
      </c>
      <c r="AK49" s="283" t="str">
        <f t="shared" si="7"/>
        <v/>
      </c>
      <c r="AL49" s="283" t="str">
        <f t="shared" si="8"/>
        <v/>
      </c>
      <c r="AM49" s="314" t="str">
        <f>IFERROR(IF(F49="","",IF(AH49="Check Data ⚠","Check Data ⚠",VLOOKUP(AL49,'G-3 Multipliers'!$P$2:$Q$6,2,FALSE))),"")</f>
        <v/>
      </c>
      <c r="AN49" s="289" t="str">
        <f t="shared" si="9"/>
        <v/>
      </c>
      <c r="AO49" s="52"/>
      <c r="AP49" s="51"/>
      <c r="AQ49" s="104"/>
      <c r="AT49" s="35" t="str">
        <f t="shared" si="10"/>
        <v>No</v>
      </c>
      <c r="AU49" s="35" t="str">
        <f>IF(E49="","",IF(ISNA(VLOOKUP($E49,'A-1 On-Site Habitat Baseline'!$D$1:$AV$258,4,FALSE)),"",(VLOOKUP($E49,'A-1 On-Site Habitat Baseline'!$D$1:$AV$258,4,FALSE))))</f>
        <v/>
      </c>
    </row>
    <row r="50" spans="1:47" ht="14">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05" t="str">
        <f>'A-1 On-Site Habitat Baseline'!AL49</f>
        <v/>
      </c>
      <c r="F50" s="295" t="str">
        <f>IF(E50="","",IF(ISNA(VLOOKUP($E50,'A-1 On-Site Habitat Baseline'!$D$1:$AV$258,45,FALSE)),"",(VLOOKUP($E50,'A-1 On-Site Habitat Baseline'!$D$1:$AV$258,45,FALSE))))</f>
        <v/>
      </c>
      <c r="G50" s="295" t="str">
        <f>IF(E50="","",IF(ISNA(VLOOKUP($E50,'A-1 On-Site Habitat Baseline'!$D$1:$O$258,5,FALSE)),"",(VLOOKUP($E50,'A-1 On-Site Habitat Baseline'!$D$1:$O$258,5,FALSE))))</f>
        <v/>
      </c>
      <c r="H50" s="295" t="str">
        <f>IF(E50="","",IF(ISNA(VLOOKUP($E50,'A-1 On-Site Habitat Baseline'!$D$1:$O$258,6,FALSE)),"",(VLOOKUP($E50,'A-1 On-Site Habitat Baseline'!$D$1:$O$258,6,FALSE))))</f>
        <v/>
      </c>
      <c r="I50" s="295" t="str">
        <f>IF(E50="","",IF(ISNA(VLOOKUP($E50,'A-1 On-Site Habitat Baseline'!$D$1:$O$258,7,FALSE)),"",(VLOOKUP($E50,'A-1 On-Site Habitat Baseline'!$D$1:$O$258,7,FALSE))))</f>
        <v/>
      </c>
      <c r="J50" s="295" t="str">
        <f>IF(E50="","",IF(ISNA(VLOOKUP($E50,'A-1 On-Site Habitat Baseline'!$D$1:$O$258,8,FALSE)),"",(VLOOKUP($E50,'A-1 On-Site Habitat Baseline'!$D$1:$O$258,8,FALSE))))</f>
        <v/>
      </c>
      <c r="K50" s="295" t="str">
        <f>IF(E50="","",IF(ISNA(VLOOKUP($E50,'A-1 On-Site Habitat Baseline'!$D$1:$O$258,9,FALSE)),"",(VLOOKUP($E50,'A-1 On-Site Habitat Baseline'!$D$1:$O$258,9,FALSE))))</f>
        <v/>
      </c>
      <c r="L50" s="295" t="str">
        <f>IF(E50="","",IF(ISNA(VLOOKUP($E50,'A-1 On-Site Habitat Baseline'!$D$1:$O$258,11,FALSE)),"",(VLOOKUP($E50,'A-1 On-Site Habitat Baseline'!$D$1:$O$258,11,FALSE))))</f>
        <v/>
      </c>
      <c r="M50" s="295" t="str">
        <f>IF(E50="","",IF(ISNA(VLOOKUP($E50,'A-1 On-Site Habitat Baseline'!$D$1:$O$258,12,FALSE)),"",(VLOOKUP($E50,'A-1 On-Site Habitat Baseline'!$D$1:$O$258,12,FALSE))))</f>
        <v/>
      </c>
      <c r="N50" s="306" t="str">
        <f>IF(E50="","",IF(ISNA(VLOOKUP($E50,'A-1 On-Site Habitat Baseline'!$D$1:$X$258,14,FALSE)),"",(VLOOKUP($E50,'A-1 On-Site Habitat Baseline'!$D$1:$X$258,14,FALSE))))</f>
        <v/>
      </c>
      <c r="O50" s="299" t="str">
        <f>IF(E50="","",IF(ISNA(VLOOKUP($E50,'A-1 On-Site Habitat Baseline'!$D$1:$X$258,16,FALSE)),"",(VLOOKUP($E50,'A-1 On-Site Habitat Baseline'!$D$1:$X$258,13,FALSE))))</f>
        <v/>
      </c>
      <c r="P50" s="154" t="str">
        <f>IFERROR(INDEX('G-1 All Habitats'!$AG$49:$AG$63,MATCH(Q50,'G-1 All Habitats'!$AF$27:$AF$41,0)),"")</f>
        <v/>
      </c>
      <c r="Q50" s="155" t="str">
        <f t="shared" si="0"/>
        <v/>
      </c>
      <c r="R50" s="155"/>
      <c r="S50" s="237" t="str">
        <f>IFERROR(INDEX('G-1 All Habitats'!$B$3:$B$135,MATCH(R50,'G-1 All Habitats'!$A$3:$A$135,0)),"")</f>
        <v/>
      </c>
      <c r="T50" s="275" t="str">
        <f t="shared" si="1"/>
        <v/>
      </c>
      <c r="U50" s="276" t="str">
        <f t="shared" si="2"/>
        <v/>
      </c>
      <c r="V50" s="311" t="str">
        <f t="shared" si="3"/>
        <v/>
      </c>
      <c r="W50" s="295" t="str">
        <f>IF(S50="","",VLOOKUP(S50,'G-1 All Habitats'!$B$2:$M$135,10,FALSE))</f>
        <v/>
      </c>
      <c r="X50" s="295" t="str">
        <f>IFERROR(VLOOKUP(W50,'G-1 All Habitats'!$V$3:$W$7,2,FALSE),"")</f>
        <v/>
      </c>
      <c r="Y50" s="57"/>
      <c r="Z50" s="299" t="str">
        <f>IFERROR(INDEX('G-8 Condition Look up'!$A$3:$H$135,MATCH(S50,'G-8 Condition Look up'!$A$3:$A$135,0),MATCH(Y50,'G-8 Condition Look up'!$A$3:$H$3,0)),"")</f>
        <v/>
      </c>
      <c r="AA50" s="52"/>
      <c r="AB50" s="295" t="str">
        <f>IF(AA50="","",IF(VLOOKUP(AA50,'G-3 Multipliers'!$L$3:$N$6,2,FALSE)=0,"Spatial Data Missing ⚠",VLOOKUP(AA50,'G-3 Multipliers'!$L$3:$N$6,2,FALSE)))</f>
        <v/>
      </c>
      <c r="AC50" s="299" t="str">
        <f>IF(AA50="","",IF(VLOOKUP(AA50,'G-3 Multipliers'!$L$3:$N$6,3,FALSE)=0,"Spatial Data Missing ⚠",VLOOKUP(AA50,'G-3 Multipliers'!$L$3:$N$6,3,FALSE)))</f>
        <v/>
      </c>
      <c r="AD50" s="313" t="str">
        <f t="shared" si="4"/>
        <v/>
      </c>
      <c r="AE50" s="58"/>
      <c r="AF50" s="58"/>
      <c r="AG50" s="283" t="str">
        <f t="shared" si="5"/>
        <v/>
      </c>
      <c r="AH50" s="296" t="str">
        <f t="shared" si="6"/>
        <v/>
      </c>
      <c r="AI50" s="297" t="str">
        <f>IF(AH50="Check Data ⚠","Check Data ⚠",IFERROR(VLOOKUP(AH50,'G-4 Temporal multipliers'!$A$4:$C$36,3,FALSE),""))</f>
        <v/>
      </c>
      <c r="AJ50" s="275" t="str">
        <f>IF(S50="","",VLOOKUP(S50,'G-3 Multipliers'!$A$2:$E$134,4,FALSE))</f>
        <v/>
      </c>
      <c r="AK50" s="283" t="str">
        <f t="shared" si="7"/>
        <v/>
      </c>
      <c r="AL50" s="283" t="str">
        <f t="shared" si="8"/>
        <v/>
      </c>
      <c r="AM50" s="314" t="str">
        <f>IFERROR(IF(F50="","",IF(AH50="Check Data ⚠","Check Data ⚠",VLOOKUP(AL50,'G-3 Multipliers'!$P$2:$Q$6,2,FALSE))),"")</f>
        <v/>
      </c>
      <c r="AN50" s="289" t="str">
        <f t="shared" si="9"/>
        <v/>
      </c>
      <c r="AO50" s="52"/>
      <c r="AP50" s="51"/>
      <c r="AQ50" s="104"/>
      <c r="AT50" s="35" t="str">
        <f t="shared" si="10"/>
        <v>No</v>
      </c>
      <c r="AU50" s="35" t="str">
        <f>IF(E50="","",IF(ISNA(VLOOKUP($E50,'A-1 On-Site Habitat Baseline'!$D$1:$AV$258,4,FALSE)),"",(VLOOKUP($E50,'A-1 On-Site Habitat Baseline'!$D$1:$AV$258,4,FALSE))))</f>
        <v/>
      </c>
    </row>
    <row r="51" spans="1:47" ht="14">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05" t="str">
        <f>'A-1 On-Site Habitat Baseline'!AL50</f>
        <v/>
      </c>
      <c r="F51" s="295" t="str">
        <f>IF(E51="","",IF(ISNA(VLOOKUP($E51,'A-1 On-Site Habitat Baseline'!$D$1:$AV$258,45,FALSE)),"",(VLOOKUP($E51,'A-1 On-Site Habitat Baseline'!$D$1:$AV$258,45,FALSE))))</f>
        <v/>
      </c>
      <c r="G51" s="295" t="str">
        <f>IF(E51="","",IF(ISNA(VLOOKUP($E51,'A-1 On-Site Habitat Baseline'!$D$1:$O$258,5,FALSE)),"",(VLOOKUP($E51,'A-1 On-Site Habitat Baseline'!$D$1:$O$258,5,FALSE))))</f>
        <v/>
      </c>
      <c r="H51" s="295" t="str">
        <f>IF(E51="","",IF(ISNA(VLOOKUP($E51,'A-1 On-Site Habitat Baseline'!$D$1:$O$258,6,FALSE)),"",(VLOOKUP($E51,'A-1 On-Site Habitat Baseline'!$D$1:$O$258,6,FALSE))))</f>
        <v/>
      </c>
      <c r="I51" s="295" t="str">
        <f>IF(E51="","",IF(ISNA(VLOOKUP($E51,'A-1 On-Site Habitat Baseline'!$D$1:$O$258,7,FALSE)),"",(VLOOKUP($E51,'A-1 On-Site Habitat Baseline'!$D$1:$O$258,7,FALSE))))</f>
        <v/>
      </c>
      <c r="J51" s="295" t="str">
        <f>IF(E51="","",IF(ISNA(VLOOKUP($E51,'A-1 On-Site Habitat Baseline'!$D$1:$O$258,8,FALSE)),"",(VLOOKUP($E51,'A-1 On-Site Habitat Baseline'!$D$1:$O$258,8,FALSE))))</f>
        <v/>
      </c>
      <c r="K51" s="295" t="str">
        <f>IF(E51="","",IF(ISNA(VLOOKUP($E51,'A-1 On-Site Habitat Baseline'!$D$1:$O$258,9,FALSE)),"",(VLOOKUP($E51,'A-1 On-Site Habitat Baseline'!$D$1:$O$258,9,FALSE))))</f>
        <v/>
      </c>
      <c r="L51" s="295" t="str">
        <f>IF(E51="","",IF(ISNA(VLOOKUP($E51,'A-1 On-Site Habitat Baseline'!$D$1:$O$258,11,FALSE)),"",(VLOOKUP($E51,'A-1 On-Site Habitat Baseline'!$D$1:$O$258,11,FALSE))))</f>
        <v/>
      </c>
      <c r="M51" s="295" t="str">
        <f>IF(E51="","",IF(ISNA(VLOOKUP($E51,'A-1 On-Site Habitat Baseline'!$D$1:$O$258,12,FALSE)),"",(VLOOKUP($E51,'A-1 On-Site Habitat Baseline'!$D$1:$O$258,12,FALSE))))</f>
        <v/>
      </c>
      <c r="N51" s="306" t="str">
        <f>IF(E51="","",IF(ISNA(VLOOKUP($E51,'A-1 On-Site Habitat Baseline'!$D$1:$X$258,14,FALSE)),"",(VLOOKUP($E51,'A-1 On-Site Habitat Baseline'!$D$1:$X$258,14,FALSE))))</f>
        <v/>
      </c>
      <c r="O51" s="299" t="str">
        <f>IF(E51="","",IF(ISNA(VLOOKUP($E51,'A-1 On-Site Habitat Baseline'!$D$1:$X$258,16,FALSE)),"",(VLOOKUP($E51,'A-1 On-Site Habitat Baseline'!$D$1:$X$258,13,FALSE))))</f>
        <v/>
      </c>
      <c r="P51" s="154" t="str">
        <f>IFERROR(INDEX('G-1 All Habitats'!$AG$49:$AG$63,MATCH(Q51,'G-1 All Habitats'!$AF$27:$AF$41,0)),"")</f>
        <v/>
      </c>
      <c r="Q51" s="155" t="str">
        <f t="shared" si="0"/>
        <v/>
      </c>
      <c r="R51" s="155"/>
      <c r="S51" s="237" t="str">
        <f>IFERROR(INDEX('G-1 All Habitats'!$B$3:$B$135,MATCH(R51,'G-1 All Habitats'!$A$3:$A$135,0)),"")</f>
        <v/>
      </c>
      <c r="T51" s="275" t="str">
        <f t="shared" si="1"/>
        <v/>
      </c>
      <c r="U51" s="276" t="str">
        <f t="shared" si="2"/>
        <v/>
      </c>
      <c r="V51" s="311" t="str">
        <f t="shared" si="3"/>
        <v/>
      </c>
      <c r="W51" s="295" t="str">
        <f>IF(S51="","",VLOOKUP(S51,'G-1 All Habitats'!$B$2:$M$135,10,FALSE))</f>
        <v/>
      </c>
      <c r="X51" s="295" t="str">
        <f>IFERROR(VLOOKUP(W51,'G-1 All Habitats'!$V$3:$W$7,2,FALSE),"")</f>
        <v/>
      </c>
      <c r="Y51" s="57"/>
      <c r="Z51" s="299" t="str">
        <f>IFERROR(INDEX('G-8 Condition Look up'!$A$3:$H$135,MATCH(S51,'G-8 Condition Look up'!$A$3:$A$135,0),MATCH(Y51,'G-8 Condition Look up'!$A$3:$H$3,0)),"")</f>
        <v/>
      </c>
      <c r="AA51" s="52"/>
      <c r="AB51" s="295" t="str">
        <f>IF(AA51="","",IF(VLOOKUP(AA51,'G-3 Multipliers'!$L$3:$N$6,2,FALSE)=0,"Spatial Data Missing ⚠",VLOOKUP(AA51,'G-3 Multipliers'!$L$3:$N$6,2,FALSE)))</f>
        <v/>
      </c>
      <c r="AC51" s="299" t="str">
        <f>IF(AA51="","",IF(VLOOKUP(AA51,'G-3 Multipliers'!$L$3:$N$6,3,FALSE)=0,"Spatial Data Missing ⚠",VLOOKUP(AA51,'G-3 Multipliers'!$L$3:$N$6,3,FALSE)))</f>
        <v/>
      </c>
      <c r="AD51" s="313" t="str">
        <f t="shared" si="4"/>
        <v/>
      </c>
      <c r="AE51" s="58"/>
      <c r="AF51" s="58"/>
      <c r="AG51" s="283" t="str">
        <f t="shared" si="5"/>
        <v/>
      </c>
      <c r="AH51" s="296" t="str">
        <f t="shared" si="6"/>
        <v/>
      </c>
      <c r="AI51" s="297" t="str">
        <f>IF(AH51="Check Data ⚠","Check Data ⚠",IFERROR(VLOOKUP(AH51,'G-4 Temporal multipliers'!$A$4:$C$36,3,FALSE),""))</f>
        <v/>
      </c>
      <c r="AJ51" s="275" t="str">
        <f>IF(S51="","",VLOOKUP(S51,'G-3 Multipliers'!$A$2:$E$134,4,FALSE))</f>
        <v/>
      </c>
      <c r="AK51" s="283" t="str">
        <f t="shared" si="7"/>
        <v/>
      </c>
      <c r="AL51" s="283" t="str">
        <f t="shared" si="8"/>
        <v/>
      </c>
      <c r="AM51" s="314" t="str">
        <f>IFERROR(IF(F51="","",IF(AH51="Check Data ⚠","Check Data ⚠",VLOOKUP(AL51,'G-3 Multipliers'!$P$2:$Q$6,2,FALSE))),"")</f>
        <v/>
      </c>
      <c r="AN51" s="289" t="str">
        <f t="shared" si="9"/>
        <v/>
      </c>
      <c r="AO51" s="52"/>
      <c r="AP51" s="51"/>
      <c r="AQ51" s="104"/>
      <c r="AT51" s="35" t="str">
        <f t="shared" si="10"/>
        <v>No</v>
      </c>
      <c r="AU51" s="35" t="str">
        <f>IF(E51="","",IF(ISNA(VLOOKUP($E51,'A-1 On-Site Habitat Baseline'!$D$1:$AV$258,4,FALSE)),"",(VLOOKUP($E51,'A-1 On-Site Habitat Baseline'!$D$1:$AV$258,4,FALSE))))</f>
        <v/>
      </c>
    </row>
    <row r="52" spans="1:47" ht="14">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05" t="str">
        <f>'A-1 On-Site Habitat Baseline'!AL51</f>
        <v/>
      </c>
      <c r="F52" s="295" t="str">
        <f>IF(E52="","",IF(ISNA(VLOOKUP($E52,'A-1 On-Site Habitat Baseline'!$D$1:$AV$258,45,FALSE)),"",(VLOOKUP($E52,'A-1 On-Site Habitat Baseline'!$D$1:$AV$258,45,FALSE))))</f>
        <v/>
      </c>
      <c r="G52" s="295" t="str">
        <f>IF(E52="","",IF(ISNA(VLOOKUP($E52,'A-1 On-Site Habitat Baseline'!$D$1:$O$258,5,FALSE)),"",(VLOOKUP($E52,'A-1 On-Site Habitat Baseline'!$D$1:$O$258,5,FALSE))))</f>
        <v/>
      </c>
      <c r="H52" s="295" t="str">
        <f>IF(E52="","",IF(ISNA(VLOOKUP($E52,'A-1 On-Site Habitat Baseline'!$D$1:$O$258,6,FALSE)),"",(VLOOKUP($E52,'A-1 On-Site Habitat Baseline'!$D$1:$O$258,6,FALSE))))</f>
        <v/>
      </c>
      <c r="I52" s="295" t="str">
        <f>IF(E52="","",IF(ISNA(VLOOKUP($E52,'A-1 On-Site Habitat Baseline'!$D$1:$O$258,7,FALSE)),"",(VLOOKUP($E52,'A-1 On-Site Habitat Baseline'!$D$1:$O$258,7,FALSE))))</f>
        <v/>
      </c>
      <c r="J52" s="295" t="str">
        <f>IF(E52="","",IF(ISNA(VLOOKUP($E52,'A-1 On-Site Habitat Baseline'!$D$1:$O$258,8,FALSE)),"",(VLOOKUP($E52,'A-1 On-Site Habitat Baseline'!$D$1:$O$258,8,FALSE))))</f>
        <v/>
      </c>
      <c r="K52" s="295" t="str">
        <f>IF(E52="","",IF(ISNA(VLOOKUP($E52,'A-1 On-Site Habitat Baseline'!$D$1:$O$258,9,FALSE)),"",(VLOOKUP($E52,'A-1 On-Site Habitat Baseline'!$D$1:$O$258,9,FALSE))))</f>
        <v/>
      </c>
      <c r="L52" s="295" t="str">
        <f>IF(E52="","",IF(ISNA(VLOOKUP($E52,'A-1 On-Site Habitat Baseline'!$D$1:$O$258,11,FALSE)),"",(VLOOKUP($E52,'A-1 On-Site Habitat Baseline'!$D$1:$O$258,11,FALSE))))</f>
        <v/>
      </c>
      <c r="M52" s="295" t="str">
        <f>IF(E52="","",IF(ISNA(VLOOKUP($E52,'A-1 On-Site Habitat Baseline'!$D$1:$O$258,12,FALSE)),"",(VLOOKUP($E52,'A-1 On-Site Habitat Baseline'!$D$1:$O$258,12,FALSE))))</f>
        <v/>
      </c>
      <c r="N52" s="306" t="str">
        <f>IF(E52="","",IF(ISNA(VLOOKUP($E52,'A-1 On-Site Habitat Baseline'!$D$1:$X$258,14,FALSE)),"",(VLOOKUP($E52,'A-1 On-Site Habitat Baseline'!$D$1:$X$258,14,FALSE))))</f>
        <v/>
      </c>
      <c r="O52" s="299" t="str">
        <f>IF(E52="","",IF(ISNA(VLOOKUP($E52,'A-1 On-Site Habitat Baseline'!$D$1:$X$258,16,FALSE)),"",(VLOOKUP($E52,'A-1 On-Site Habitat Baseline'!$D$1:$X$258,13,FALSE))))</f>
        <v/>
      </c>
      <c r="P52" s="154" t="str">
        <f>IFERROR(INDEX('G-1 All Habitats'!$AG$49:$AG$63,MATCH(Q52,'G-1 All Habitats'!$AF$27:$AF$41,0)),"")</f>
        <v/>
      </c>
      <c r="Q52" s="155" t="str">
        <f t="shared" si="0"/>
        <v/>
      </c>
      <c r="R52" s="155"/>
      <c r="S52" s="237" t="str">
        <f>IFERROR(INDEX('G-1 All Habitats'!$B$3:$B$135,MATCH(R52,'G-1 All Habitats'!$A$3:$A$135,0)),"")</f>
        <v/>
      </c>
      <c r="T52" s="275" t="str">
        <f t="shared" si="1"/>
        <v/>
      </c>
      <c r="U52" s="276" t="str">
        <f t="shared" si="2"/>
        <v/>
      </c>
      <c r="V52" s="311" t="str">
        <f t="shared" si="3"/>
        <v/>
      </c>
      <c r="W52" s="295" t="str">
        <f>IF(S52="","",VLOOKUP(S52,'G-1 All Habitats'!$B$2:$M$135,10,FALSE))</f>
        <v/>
      </c>
      <c r="X52" s="295" t="str">
        <f>IFERROR(VLOOKUP(W52,'G-1 All Habitats'!$V$3:$W$7,2,FALSE),"")</f>
        <v/>
      </c>
      <c r="Y52" s="57"/>
      <c r="Z52" s="299" t="str">
        <f>IFERROR(INDEX('G-8 Condition Look up'!$A$3:$H$135,MATCH(S52,'G-8 Condition Look up'!$A$3:$A$135,0),MATCH(Y52,'G-8 Condition Look up'!$A$3:$H$3,0)),"")</f>
        <v/>
      </c>
      <c r="AA52" s="52"/>
      <c r="AB52" s="295" t="str">
        <f>IF(AA52="","",IF(VLOOKUP(AA52,'G-3 Multipliers'!$L$3:$N$6,2,FALSE)=0,"Spatial Data Missing ⚠",VLOOKUP(AA52,'G-3 Multipliers'!$L$3:$N$6,2,FALSE)))</f>
        <v/>
      </c>
      <c r="AC52" s="299" t="str">
        <f>IF(AA52="","",IF(VLOOKUP(AA52,'G-3 Multipliers'!$L$3:$N$6,3,FALSE)=0,"Spatial Data Missing ⚠",VLOOKUP(AA52,'G-3 Multipliers'!$L$3:$N$6,3,FALSE)))</f>
        <v/>
      </c>
      <c r="AD52" s="313" t="str">
        <f t="shared" si="4"/>
        <v/>
      </c>
      <c r="AE52" s="58"/>
      <c r="AF52" s="58"/>
      <c r="AG52" s="283" t="str">
        <f t="shared" si="5"/>
        <v/>
      </c>
      <c r="AH52" s="296" t="str">
        <f t="shared" si="6"/>
        <v/>
      </c>
      <c r="AI52" s="297" t="str">
        <f>IF(AH52="Check Data ⚠","Check Data ⚠",IFERROR(VLOOKUP(AH52,'G-4 Temporal multipliers'!$A$4:$C$36,3,FALSE),""))</f>
        <v/>
      </c>
      <c r="AJ52" s="275" t="str">
        <f>IF(S52="","",VLOOKUP(S52,'G-3 Multipliers'!$A$2:$E$134,4,FALSE))</f>
        <v/>
      </c>
      <c r="AK52" s="283" t="str">
        <f t="shared" si="7"/>
        <v/>
      </c>
      <c r="AL52" s="283" t="str">
        <f t="shared" si="8"/>
        <v/>
      </c>
      <c r="AM52" s="314" t="str">
        <f>IFERROR(IF(F52="","",IF(AH52="Check Data ⚠","Check Data ⚠",VLOOKUP(AL52,'G-3 Multipliers'!$P$2:$Q$6,2,FALSE))),"")</f>
        <v/>
      </c>
      <c r="AN52" s="289" t="str">
        <f t="shared" si="9"/>
        <v/>
      </c>
      <c r="AO52" s="52"/>
      <c r="AP52" s="51"/>
      <c r="AQ52" s="104"/>
      <c r="AT52" s="35" t="str">
        <f t="shared" si="10"/>
        <v>No</v>
      </c>
      <c r="AU52" s="35" t="str">
        <f>IF(E52="","",IF(ISNA(VLOOKUP($E52,'A-1 On-Site Habitat Baseline'!$D$1:$AV$258,4,FALSE)),"",(VLOOKUP($E52,'A-1 On-Site Habitat Baseline'!$D$1:$AV$258,4,FALSE))))</f>
        <v/>
      </c>
    </row>
    <row r="53" spans="1:47" ht="14">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05" t="str">
        <f>'A-1 On-Site Habitat Baseline'!AL52</f>
        <v/>
      </c>
      <c r="F53" s="295" t="str">
        <f>IF(E53="","",IF(ISNA(VLOOKUP($E53,'A-1 On-Site Habitat Baseline'!$D$1:$AV$258,45,FALSE)),"",(VLOOKUP($E53,'A-1 On-Site Habitat Baseline'!$D$1:$AV$258,45,FALSE))))</f>
        <v/>
      </c>
      <c r="G53" s="295" t="str">
        <f>IF(E53="","",IF(ISNA(VLOOKUP($E53,'A-1 On-Site Habitat Baseline'!$D$1:$O$258,5,FALSE)),"",(VLOOKUP($E53,'A-1 On-Site Habitat Baseline'!$D$1:$O$258,5,FALSE))))</f>
        <v/>
      </c>
      <c r="H53" s="295" t="str">
        <f>IF(E53="","",IF(ISNA(VLOOKUP($E53,'A-1 On-Site Habitat Baseline'!$D$1:$O$258,6,FALSE)),"",(VLOOKUP($E53,'A-1 On-Site Habitat Baseline'!$D$1:$O$258,6,FALSE))))</f>
        <v/>
      </c>
      <c r="I53" s="295" t="str">
        <f>IF(E53="","",IF(ISNA(VLOOKUP($E53,'A-1 On-Site Habitat Baseline'!$D$1:$O$258,7,FALSE)),"",(VLOOKUP($E53,'A-1 On-Site Habitat Baseline'!$D$1:$O$258,7,FALSE))))</f>
        <v/>
      </c>
      <c r="J53" s="295" t="str">
        <f>IF(E53="","",IF(ISNA(VLOOKUP($E53,'A-1 On-Site Habitat Baseline'!$D$1:$O$258,8,FALSE)),"",(VLOOKUP($E53,'A-1 On-Site Habitat Baseline'!$D$1:$O$258,8,FALSE))))</f>
        <v/>
      </c>
      <c r="K53" s="295" t="str">
        <f>IF(E53="","",IF(ISNA(VLOOKUP($E53,'A-1 On-Site Habitat Baseline'!$D$1:$O$258,9,FALSE)),"",(VLOOKUP($E53,'A-1 On-Site Habitat Baseline'!$D$1:$O$258,9,FALSE))))</f>
        <v/>
      </c>
      <c r="L53" s="295" t="str">
        <f>IF(E53="","",IF(ISNA(VLOOKUP($E53,'A-1 On-Site Habitat Baseline'!$D$1:$O$258,11,FALSE)),"",(VLOOKUP($E53,'A-1 On-Site Habitat Baseline'!$D$1:$O$258,11,FALSE))))</f>
        <v/>
      </c>
      <c r="M53" s="295" t="str">
        <f>IF(E53="","",IF(ISNA(VLOOKUP($E53,'A-1 On-Site Habitat Baseline'!$D$1:$O$258,12,FALSE)),"",(VLOOKUP($E53,'A-1 On-Site Habitat Baseline'!$D$1:$O$258,12,FALSE))))</f>
        <v/>
      </c>
      <c r="N53" s="306" t="str">
        <f>IF(E53="","",IF(ISNA(VLOOKUP($E53,'A-1 On-Site Habitat Baseline'!$D$1:$X$258,14,FALSE)),"",(VLOOKUP($E53,'A-1 On-Site Habitat Baseline'!$D$1:$X$258,14,FALSE))))</f>
        <v/>
      </c>
      <c r="O53" s="299" t="str">
        <f>IF(E53="","",IF(ISNA(VLOOKUP($E53,'A-1 On-Site Habitat Baseline'!$D$1:$X$258,16,FALSE)),"",(VLOOKUP($E53,'A-1 On-Site Habitat Baseline'!$D$1:$X$258,13,FALSE))))</f>
        <v/>
      </c>
      <c r="P53" s="154" t="str">
        <f>IFERROR(INDEX('G-1 All Habitats'!$AG$49:$AG$63,MATCH(Q53,'G-1 All Habitats'!$AF$27:$AF$41,0)),"")</f>
        <v/>
      </c>
      <c r="Q53" s="155" t="str">
        <f t="shared" si="0"/>
        <v/>
      </c>
      <c r="R53" s="155"/>
      <c r="S53" s="237" t="str">
        <f>IFERROR(INDEX('G-1 All Habitats'!$B$3:$B$135,MATCH(R53,'G-1 All Habitats'!$A$3:$A$135,0)),"")</f>
        <v/>
      </c>
      <c r="T53" s="275" t="str">
        <f t="shared" si="1"/>
        <v/>
      </c>
      <c r="U53" s="276" t="str">
        <f t="shared" si="2"/>
        <v/>
      </c>
      <c r="V53" s="311" t="str">
        <f t="shared" si="3"/>
        <v/>
      </c>
      <c r="W53" s="295" t="str">
        <f>IF(S53="","",VLOOKUP(S53,'G-1 All Habitats'!$B$2:$M$135,10,FALSE))</f>
        <v/>
      </c>
      <c r="X53" s="295" t="str">
        <f>IFERROR(VLOOKUP(W53,'G-1 All Habitats'!$V$3:$W$7,2,FALSE),"")</f>
        <v/>
      </c>
      <c r="Y53" s="57"/>
      <c r="Z53" s="299" t="str">
        <f>IFERROR(INDEX('G-8 Condition Look up'!$A$3:$H$135,MATCH(S53,'G-8 Condition Look up'!$A$3:$A$135,0),MATCH(Y53,'G-8 Condition Look up'!$A$3:$H$3,0)),"")</f>
        <v/>
      </c>
      <c r="AA53" s="52"/>
      <c r="AB53" s="295" t="str">
        <f>IF(AA53="","",IF(VLOOKUP(AA53,'G-3 Multipliers'!$L$3:$N$6,2,FALSE)=0,"Spatial Data Missing ⚠",VLOOKUP(AA53,'G-3 Multipliers'!$L$3:$N$6,2,FALSE)))</f>
        <v/>
      </c>
      <c r="AC53" s="299" t="str">
        <f>IF(AA53="","",IF(VLOOKUP(AA53,'G-3 Multipliers'!$L$3:$N$6,3,FALSE)=0,"Spatial Data Missing ⚠",VLOOKUP(AA53,'G-3 Multipliers'!$L$3:$N$6,3,FALSE)))</f>
        <v/>
      </c>
      <c r="AD53" s="313" t="str">
        <f t="shared" si="4"/>
        <v/>
      </c>
      <c r="AE53" s="58"/>
      <c r="AF53" s="58"/>
      <c r="AG53" s="283" t="str">
        <f t="shared" si="5"/>
        <v/>
      </c>
      <c r="AH53" s="296" t="str">
        <f t="shared" si="6"/>
        <v/>
      </c>
      <c r="AI53" s="297" t="str">
        <f>IF(AH53="Check Data ⚠","Check Data ⚠",IFERROR(VLOOKUP(AH53,'G-4 Temporal multipliers'!$A$4:$C$36,3,FALSE),""))</f>
        <v/>
      </c>
      <c r="AJ53" s="275" t="str">
        <f>IF(S53="","",VLOOKUP(S53,'G-3 Multipliers'!$A$2:$E$134,4,FALSE))</f>
        <v/>
      </c>
      <c r="AK53" s="283" t="str">
        <f t="shared" si="7"/>
        <v/>
      </c>
      <c r="AL53" s="283" t="str">
        <f t="shared" si="8"/>
        <v/>
      </c>
      <c r="AM53" s="314" t="str">
        <f>IFERROR(IF(F53="","",IF(AH53="Check Data ⚠","Check Data ⚠",VLOOKUP(AL53,'G-3 Multipliers'!$P$2:$Q$6,2,FALSE))),"")</f>
        <v/>
      </c>
      <c r="AN53" s="289" t="str">
        <f t="shared" si="9"/>
        <v/>
      </c>
      <c r="AO53" s="52"/>
      <c r="AP53" s="51"/>
      <c r="AQ53" s="104"/>
      <c r="AT53" s="35" t="str">
        <f t="shared" si="10"/>
        <v>No</v>
      </c>
      <c r="AU53" s="35" t="str">
        <f>IF(E53="","",IF(ISNA(VLOOKUP($E53,'A-1 On-Site Habitat Baseline'!$D$1:$AV$258,4,FALSE)),"",(VLOOKUP($E53,'A-1 On-Site Habitat Baseline'!$D$1:$AV$258,4,FALSE))))</f>
        <v/>
      </c>
    </row>
    <row r="54" spans="1:47" ht="14">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05" t="str">
        <f>'A-1 On-Site Habitat Baseline'!AL53</f>
        <v/>
      </c>
      <c r="F54" s="295" t="str">
        <f>IF(E54="","",IF(ISNA(VLOOKUP($E54,'A-1 On-Site Habitat Baseline'!$D$1:$AV$258,45,FALSE)),"",(VLOOKUP($E54,'A-1 On-Site Habitat Baseline'!$D$1:$AV$258,45,FALSE))))</f>
        <v/>
      </c>
      <c r="G54" s="295" t="str">
        <f>IF(E54="","",IF(ISNA(VLOOKUP($E54,'A-1 On-Site Habitat Baseline'!$D$1:$O$258,5,FALSE)),"",(VLOOKUP($E54,'A-1 On-Site Habitat Baseline'!$D$1:$O$258,5,FALSE))))</f>
        <v/>
      </c>
      <c r="H54" s="295" t="str">
        <f>IF(E54="","",IF(ISNA(VLOOKUP($E54,'A-1 On-Site Habitat Baseline'!$D$1:$O$258,6,FALSE)),"",(VLOOKUP($E54,'A-1 On-Site Habitat Baseline'!$D$1:$O$258,6,FALSE))))</f>
        <v/>
      </c>
      <c r="I54" s="295" t="str">
        <f>IF(E54="","",IF(ISNA(VLOOKUP($E54,'A-1 On-Site Habitat Baseline'!$D$1:$O$258,7,FALSE)),"",(VLOOKUP($E54,'A-1 On-Site Habitat Baseline'!$D$1:$O$258,7,FALSE))))</f>
        <v/>
      </c>
      <c r="J54" s="295" t="str">
        <f>IF(E54="","",IF(ISNA(VLOOKUP($E54,'A-1 On-Site Habitat Baseline'!$D$1:$O$258,8,FALSE)),"",(VLOOKUP($E54,'A-1 On-Site Habitat Baseline'!$D$1:$O$258,8,FALSE))))</f>
        <v/>
      </c>
      <c r="K54" s="295" t="str">
        <f>IF(E54="","",IF(ISNA(VLOOKUP($E54,'A-1 On-Site Habitat Baseline'!$D$1:$O$258,9,FALSE)),"",(VLOOKUP($E54,'A-1 On-Site Habitat Baseline'!$D$1:$O$258,9,FALSE))))</f>
        <v/>
      </c>
      <c r="L54" s="295" t="str">
        <f>IF(E54="","",IF(ISNA(VLOOKUP($E54,'A-1 On-Site Habitat Baseline'!$D$1:$O$258,11,FALSE)),"",(VLOOKUP($E54,'A-1 On-Site Habitat Baseline'!$D$1:$O$258,11,FALSE))))</f>
        <v/>
      </c>
      <c r="M54" s="295" t="str">
        <f>IF(E54="","",IF(ISNA(VLOOKUP($E54,'A-1 On-Site Habitat Baseline'!$D$1:$O$258,12,FALSE)),"",(VLOOKUP($E54,'A-1 On-Site Habitat Baseline'!$D$1:$O$258,12,FALSE))))</f>
        <v/>
      </c>
      <c r="N54" s="306" t="str">
        <f>IF(E54="","",IF(ISNA(VLOOKUP($E54,'A-1 On-Site Habitat Baseline'!$D$1:$X$258,14,FALSE)),"",(VLOOKUP($E54,'A-1 On-Site Habitat Baseline'!$D$1:$X$258,14,FALSE))))</f>
        <v/>
      </c>
      <c r="O54" s="299" t="str">
        <f>IF(E54="","",IF(ISNA(VLOOKUP($E54,'A-1 On-Site Habitat Baseline'!$D$1:$X$258,16,FALSE)),"",(VLOOKUP($E54,'A-1 On-Site Habitat Baseline'!$D$1:$X$258,13,FALSE))))</f>
        <v/>
      </c>
      <c r="P54" s="154" t="str">
        <f>IFERROR(INDEX('G-1 All Habitats'!$AG$49:$AG$63,MATCH(Q54,'G-1 All Habitats'!$AF$27:$AF$41,0)),"")</f>
        <v/>
      </c>
      <c r="Q54" s="155" t="str">
        <f t="shared" si="0"/>
        <v/>
      </c>
      <c r="R54" s="155"/>
      <c r="S54" s="237" t="str">
        <f>IFERROR(INDEX('G-1 All Habitats'!$B$3:$B$135,MATCH(R54,'G-1 All Habitats'!$A$3:$A$135,0)),"")</f>
        <v/>
      </c>
      <c r="T54" s="275" t="str">
        <f t="shared" si="1"/>
        <v/>
      </c>
      <c r="U54" s="276" t="str">
        <f t="shared" si="2"/>
        <v/>
      </c>
      <c r="V54" s="311" t="str">
        <f t="shared" si="3"/>
        <v/>
      </c>
      <c r="W54" s="295" t="str">
        <f>IF(S54="","",VLOOKUP(S54,'G-1 All Habitats'!$B$2:$M$135,10,FALSE))</f>
        <v/>
      </c>
      <c r="X54" s="295" t="str">
        <f>IFERROR(VLOOKUP(W54,'G-1 All Habitats'!$V$3:$W$7,2,FALSE),"")</f>
        <v/>
      </c>
      <c r="Y54" s="57"/>
      <c r="Z54" s="299" t="str">
        <f>IFERROR(INDEX('G-8 Condition Look up'!$A$3:$H$135,MATCH(S54,'G-8 Condition Look up'!$A$3:$A$135,0),MATCH(Y54,'G-8 Condition Look up'!$A$3:$H$3,0)),"")</f>
        <v/>
      </c>
      <c r="AA54" s="52"/>
      <c r="AB54" s="295" t="str">
        <f>IF(AA54="","",IF(VLOOKUP(AA54,'G-3 Multipliers'!$L$3:$N$6,2,FALSE)=0,"Spatial Data Missing ⚠",VLOOKUP(AA54,'G-3 Multipliers'!$L$3:$N$6,2,FALSE)))</f>
        <v/>
      </c>
      <c r="AC54" s="299" t="str">
        <f>IF(AA54="","",IF(VLOOKUP(AA54,'G-3 Multipliers'!$L$3:$N$6,3,FALSE)=0,"Spatial Data Missing ⚠",VLOOKUP(AA54,'G-3 Multipliers'!$L$3:$N$6,3,FALSE)))</f>
        <v/>
      </c>
      <c r="AD54" s="313" t="str">
        <f t="shared" si="4"/>
        <v/>
      </c>
      <c r="AE54" s="58"/>
      <c r="AF54" s="58"/>
      <c r="AG54" s="283" t="str">
        <f t="shared" si="5"/>
        <v/>
      </c>
      <c r="AH54" s="296" t="str">
        <f t="shared" si="6"/>
        <v/>
      </c>
      <c r="AI54" s="297" t="str">
        <f>IF(AH54="Check Data ⚠","Check Data ⚠",IFERROR(VLOOKUP(AH54,'G-4 Temporal multipliers'!$A$4:$C$36,3,FALSE),""))</f>
        <v/>
      </c>
      <c r="AJ54" s="275" t="str">
        <f>IF(S54="","",VLOOKUP(S54,'G-3 Multipliers'!$A$2:$E$134,4,FALSE))</f>
        <v/>
      </c>
      <c r="AK54" s="283" t="str">
        <f t="shared" si="7"/>
        <v/>
      </c>
      <c r="AL54" s="283" t="str">
        <f t="shared" si="8"/>
        <v/>
      </c>
      <c r="AM54" s="314" t="str">
        <f>IFERROR(IF(F54="","",IF(AH54="Check Data ⚠","Check Data ⚠",VLOOKUP(AL54,'G-3 Multipliers'!$P$2:$Q$6,2,FALSE))),"")</f>
        <v/>
      </c>
      <c r="AN54" s="289" t="str">
        <f t="shared" si="9"/>
        <v/>
      </c>
      <c r="AO54" s="52"/>
      <c r="AP54" s="51"/>
      <c r="AQ54" s="104"/>
      <c r="AT54" s="35" t="str">
        <f t="shared" si="10"/>
        <v>No</v>
      </c>
      <c r="AU54" s="35" t="str">
        <f>IF(E54="","",IF(ISNA(VLOOKUP($E54,'A-1 On-Site Habitat Baseline'!$D$1:$AV$258,4,FALSE)),"",(VLOOKUP($E54,'A-1 On-Site Habitat Baseline'!$D$1:$AV$258,4,FALSE))))</f>
        <v/>
      </c>
    </row>
    <row r="55" spans="1:47" ht="14">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05" t="str">
        <f>'A-1 On-Site Habitat Baseline'!AL54</f>
        <v/>
      </c>
      <c r="F55" s="295" t="str">
        <f>IF(E55="","",IF(ISNA(VLOOKUP($E55,'A-1 On-Site Habitat Baseline'!$D$1:$AV$258,45,FALSE)),"",(VLOOKUP($E55,'A-1 On-Site Habitat Baseline'!$D$1:$AV$258,45,FALSE))))</f>
        <v/>
      </c>
      <c r="G55" s="295" t="str">
        <f>IF(E55="","",IF(ISNA(VLOOKUP($E55,'A-1 On-Site Habitat Baseline'!$D$1:$O$258,5,FALSE)),"",(VLOOKUP($E55,'A-1 On-Site Habitat Baseline'!$D$1:$O$258,5,FALSE))))</f>
        <v/>
      </c>
      <c r="H55" s="295" t="str">
        <f>IF(E55="","",IF(ISNA(VLOOKUP($E55,'A-1 On-Site Habitat Baseline'!$D$1:$O$258,6,FALSE)),"",(VLOOKUP($E55,'A-1 On-Site Habitat Baseline'!$D$1:$O$258,6,FALSE))))</f>
        <v/>
      </c>
      <c r="I55" s="295" t="str">
        <f>IF(E55="","",IF(ISNA(VLOOKUP($E55,'A-1 On-Site Habitat Baseline'!$D$1:$O$258,7,FALSE)),"",(VLOOKUP($E55,'A-1 On-Site Habitat Baseline'!$D$1:$O$258,7,FALSE))))</f>
        <v/>
      </c>
      <c r="J55" s="295" t="str">
        <f>IF(E55="","",IF(ISNA(VLOOKUP($E55,'A-1 On-Site Habitat Baseline'!$D$1:$O$258,8,FALSE)),"",(VLOOKUP($E55,'A-1 On-Site Habitat Baseline'!$D$1:$O$258,8,FALSE))))</f>
        <v/>
      </c>
      <c r="K55" s="295" t="str">
        <f>IF(E55="","",IF(ISNA(VLOOKUP($E55,'A-1 On-Site Habitat Baseline'!$D$1:$O$258,9,FALSE)),"",(VLOOKUP($E55,'A-1 On-Site Habitat Baseline'!$D$1:$O$258,9,FALSE))))</f>
        <v/>
      </c>
      <c r="L55" s="295" t="str">
        <f>IF(E55="","",IF(ISNA(VLOOKUP($E55,'A-1 On-Site Habitat Baseline'!$D$1:$O$258,11,FALSE)),"",(VLOOKUP($E55,'A-1 On-Site Habitat Baseline'!$D$1:$O$258,11,FALSE))))</f>
        <v/>
      </c>
      <c r="M55" s="295" t="str">
        <f>IF(E55="","",IF(ISNA(VLOOKUP($E55,'A-1 On-Site Habitat Baseline'!$D$1:$O$258,12,FALSE)),"",(VLOOKUP($E55,'A-1 On-Site Habitat Baseline'!$D$1:$O$258,12,FALSE))))</f>
        <v/>
      </c>
      <c r="N55" s="306" t="str">
        <f>IF(E55="","",IF(ISNA(VLOOKUP($E55,'A-1 On-Site Habitat Baseline'!$D$1:$X$258,14,FALSE)),"",(VLOOKUP($E55,'A-1 On-Site Habitat Baseline'!$D$1:$X$258,14,FALSE))))</f>
        <v/>
      </c>
      <c r="O55" s="299" t="str">
        <f>IF(E55="","",IF(ISNA(VLOOKUP($E55,'A-1 On-Site Habitat Baseline'!$D$1:$X$258,16,FALSE)),"",(VLOOKUP($E55,'A-1 On-Site Habitat Baseline'!$D$1:$X$258,13,FALSE))))</f>
        <v/>
      </c>
      <c r="P55" s="154" t="str">
        <f>IFERROR(INDEX('G-1 All Habitats'!$AG$49:$AG$63,MATCH(Q55,'G-1 All Habitats'!$AF$27:$AF$41,0)),"")</f>
        <v/>
      </c>
      <c r="Q55" s="155" t="str">
        <f t="shared" si="0"/>
        <v/>
      </c>
      <c r="R55" s="155"/>
      <c r="S55" s="237" t="str">
        <f>IFERROR(INDEX('G-1 All Habitats'!$B$3:$B$135,MATCH(R55,'G-1 All Habitats'!$A$3:$A$135,0)),"")</f>
        <v/>
      </c>
      <c r="T55" s="275" t="str">
        <f t="shared" si="1"/>
        <v/>
      </c>
      <c r="U55" s="276" t="str">
        <f t="shared" si="2"/>
        <v/>
      </c>
      <c r="V55" s="311" t="str">
        <f t="shared" si="3"/>
        <v/>
      </c>
      <c r="W55" s="295" t="str">
        <f>IF(S55="","",VLOOKUP(S55,'G-1 All Habitats'!$B$2:$M$135,10,FALSE))</f>
        <v/>
      </c>
      <c r="X55" s="295" t="str">
        <f>IFERROR(VLOOKUP(W55,'G-1 All Habitats'!$V$3:$W$7,2,FALSE),"")</f>
        <v/>
      </c>
      <c r="Y55" s="57"/>
      <c r="Z55" s="299" t="str">
        <f>IFERROR(INDEX('G-8 Condition Look up'!$A$3:$H$135,MATCH(S55,'G-8 Condition Look up'!$A$3:$A$135,0),MATCH(Y55,'G-8 Condition Look up'!$A$3:$H$3,0)),"")</f>
        <v/>
      </c>
      <c r="AA55" s="52"/>
      <c r="AB55" s="295" t="str">
        <f>IF(AA55="","",IF(VLOOKUP(AA55,'G-3 Multipliers'!$L$3:$N$6,2,FALSE)=0,"Spatial Data Missing ⚠",VLOOKUP(AA55,'G-3 Multipliers'!$L$3:$N$6,2,FALSE)))</f>
        <v/>
      </c>
      <c r="AC55" s="299" t="str">
        <f>IF(AA55="","",IF(VLOOKUP(AA55,'G-3 Multipliers'!$L$3:$N$6,3,FALSE)=0,"Spatial Data Missing ⚠",VLOOKUP(AA55,'G-3 Multipliers'!$L$3:$N$6,3,FALSE)))</f>
        <v/>
      </c>
      <c r="AD55" s="313" t="str">
        <f t="shared" si="4"/>
        <v/>
      </c>
      <c r="AE55" s="58"/>
      <c r="AF55" s="58"/>
      <c r="AG55" s="283" t="str">
        <f t="shared" si="5"/>
        <v/>
      </c>
      <c r="AH55" s="296" t="str">
        <f t="shared" si="6"/>
        <v/>
      </c>
      <c r="AI55" s="297" t="str">
        <f>IF(AH55="Check Data ⚠","Check Data ⚠",IFERROR(VLOOKUP(AH55,'G-4 Temporal multipliers'!$A$4:$C$36,3,FALSE),""))</f>
        <v/>
      </c>
      <c r="AJ55" s="275" t="str">
        <f>IF(S55="","",VLOOKUP(S55,'G-3 Multipliers'!$A$2:$E$134,4,FALSE))</f>
        <v/>
      </c>
      <c r="AK55" s="283" t="str">
        <f t="shared" si="7"/>
        <v/>
      </c>
      <c r="AL55" s="283" t="str">
        <f t="shared" si="8"/>
        <v/>
      </c>
      <c r="AM55" s="314" t="str">
        <f>IFERROR(IF(F55="","",IF(AH55="Check Data ⚠","Check Data ⚠",VLOOKUP(AL55,'G-3 Multipliers'!$P$2:$Q$6,2,FALSE))),"")</f>
        <v/>
      </c>
      <c r="AN55" s="289" t="str">
        <f t="shared" si="9"/>
        <v/>
      </c>
      <c r="AO55" s="52"/>
      <c r="AP55" s="51"/>
      <c r="AQ55" s="104"/>
      <c r="AT55" s="35" t="str">
        <f t="shared" si="10"/>
        <v>No</v>
      </c>
      <c r="AU55" s="35" t="str">
        <f>IF(E55="","",IF(ISNA(VLOOKUP($E55,'A-1 On-Site Habitat Baseline'!$D$1:$AV$258,4,FALSE)),"",(VLOOKUP($E55,'A-1 On-Site Habitat Baseline'!$D$1:$AV$258,4,FALSE))))</f>
        <v/>
      </c>
    </row>
    <row r="56" spans="1:47" ht="14">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05" t="str">
        <f>'A-1 On-Site Habitat Baseline'!AL55</f>
        <v/>
      </c>
      <c r="F56" s="295" t="str">
        <f>IF(E56="","",IF(ISNA(VLOOKUP($E56,'A-1 On-Site Habitat Baseline'!$D$1:$AV$258,45,FALSE)),"",(VLOOKUP($E56,'A-1 On-Site Habitat Baseline'!$D$1:$AV$258,45,FALSE))))</f>
        <v/>
      </c>
      <c r="G56" s="295" t="str">
        <f>IF(E56="","",IF(ISNA(VLOOKUP($E56,'A-1 On-Site Habitat Baseline'!$D$1:$O$258,5,FALSE)),"",(VLOOKUP($E56,'A-1 On-Site Habitat Baseline'!$D$1:$O$258,5,FALSE))))</f>
        <v/>
      </c>
      <c r="H56" s="295" t="str">
        <f>IF(E56="","",IF(ISNA(VLOOKUP($E56,'A-1 On-Site Habitat Baseline'!$D$1:$O$258,6,FALSE)),"",(VLOOKUP($E56,'A-1 On-Site Habitat Baseline'!$D$1:$O$258,6,FALSE))))</f>
        <v/>
      </c>
      <c r="I56" s="295" t="str">
        <f>IF(E56="","",IF(ISNA(VLOOKUP($E56,'A-1 On-Site Habitat Baseline'!$D$1:$O$258,7,FALSE)),"",(VLOOKUP($E56,'A-1 On-Site Habitat Baseline'!$D$1:$O$258,7,FALSE))))</f>
        <v/>
      </c>
      <c r="J56" s="295" t="str">
        <f>IF(E56="","",IF(ISNA(VLOOKUP($E56,'A-1 On-Site Habitat Baseline'!$D$1:$O$258,8,FALSE)),"",(VLOOKUP($E56,'A-1 On-Site Habitat Baseline'!$D$1:$O$258,8,FALSE))))</f>
        <v/>
      </c>
      <c r="K56" s="295" t="str">
        <f>IF(E56="","",IF(ISNA(VLOOKUP($E56,'A-1 On-Site Habitat Baseline'!$D$1:$O$258,9,FALSE)),"",(VLOOKUP($E56,'A-1 On-Site Habitat Baseline'!$D$1:$O$258,9,FALSE))))</f>
        <v/>
      </c>
      <c r="L56" s="295" t="str">
        <f>IF(E56="","",IF(ISNA(VLOOKUP($E56,'A-1 On-Site Habitat Baseline'!$D$1:$O$258,11,FALSE)),"",(VLOOKUP($E56,'A-1 On-Site Habitat Baseline'!$D$1:$O$258,11,FALSE))))</f>
        <v/>
      </c>
      <c r="M56" s="295" t="str">
        <f>IF(E56="","",IF(ISNA(VLOOKUP($E56,'A-1 On-Site Habitat Baseline'!$D$1:$O$258,12,FALSE)),"",(VLOOKUP($E56,'A-1 On-Site Habitat Baseline'!$D$1:$O$258,12,FALSE))))</f>
        <v/>
      </c>
      <c r="N56" s="306" t="str">
        <f>IF(E56="","",IF(ISNA(VLOOKUP($E56,'A-1 On-Site Habitat Baseline'!$D$1:$X$258,14,FALSE)),"",(VLOOKUP($E56,'A-1 On-Site Habitat Baseline'!$D$1:$X$258,14,FALSE))))</f>
        <v/>
      </c>
      <c r="O56" s="299" t="str">
        <f>IF(E56="","",IF(ISNA(VLOOKUP($E56,'A-1 On-Site Habitat Baseline'!$D$1:$X$258,16,FALSE)),"",(VLOOKUP($E56,'A-1 On-Site Habitat Baseline'!$D$1:$X$258,13,FALSE))))</f>
        <v/>
      </c>
      <c r="P56" s="154" t="str">
        <f>IFERROR(INDEX('G-1 All Habitats'!$AG$49:$AG$63,MATCH(Q56,'G-1 All Habitats'!$AF$27:$AF$41,0)),"")</f>
        <v/>
      </c>
      <c r="Q56" s="155" t="str">
        <f t="shared" si="0"/>
        <v/>
      </c>
      <c r="R56" s="155"/>
      <c r="S56" s="237" t="str">
        <f>IFERROR(INDEX('G-1 All Habitats'!$B$3:$B$135,MATCH(R56,'G-1 All Habitats'!$A$3:$A$135,0)),"")</f>
        <v/>
      </c>
      <c r="T56" s="275" t="str">
        <f t="shared" si="1"/>
        <v/>
      </c>
      <c r="U56" s="276" t="str">
        <f t="shared" si="2"/>
        <v/>
      </c>
      <c r="V56" s="311" t="str">
        <f t="shared" si="3"/>
        <v/>
      </c>
      <c r="W56" s="295" t="str">
        <f>IF(S56="","",VLOOKUP(S56,'G-1 All Habitats'!$B$2:$M$135,10,FALSE))</f>
        <v/>
      </c>
      <c r="X56" s="295" t="str">
        <f>IFERROR(VLOOKUP(W56,'G-1 All Habitats'!$V$3:$W$7,2,FALSE),"")</f>
        <v/>
      </c>
      <c r="Y56" s="57"/>
      <c r="Z56" s="299" t="str">
        <f>IFERROR(INDEX('G-8 Condition Look up'!$A$3:$H$135,MATCH(S56,'G-8 Condition Look up'!$A$3:$A$135,0),MATCH(Y56,'G-8 Condition Look up'!$A$3:$H$3,0)),"")</f>
        <v/>
      </c>
      <c r="AA56" s="52"/>
      <c r="AB56" s="295" t="str">
        <f>IF(AA56="","",IF(VLOOKUP(AA56,'G-3 Multipliers'!$L$3:$N$6,2,FALSE)=0,"Spatial Data Missing ⚠",VLOOKUP(AA56,'G-3 Multipliers'!$L$3:$N$6,2,FALSE)))</f>
        <v/>
      </c>
      <c r="AC56" s="299" t="str">
        <f>IF(AA56="","",IF(VLOOKUP(AA56,'G-3 Multipliers'!$L$3:$N$6,3,FALSE)=0,"Spatial Data Missing ⚠",VLOOKUP(AA56,'G-3 Multipliers'!$L$3:$N$6,3,FALSE)))</f>
        <v/>
      </c>
      <c r="AD56" s="313" t="str">
        <f t="shared" si="4"/>
        <v/>
      </c>
      <c r="AE56" s="58"/>
      <c r="AF56" s="58"/>
      <c r="AG56" s="283" t="str">
        <f t="shared" si="5"/>
        <v/>
      </c>
      <c r="AH56" s="296" t="str">
        <f t="shared" si="6"/>
        <v/>
      </c>
      <c r="AI56" s="297" t="str">
        <f>IF(AH56="Check Data ⚠","Check Data ⚠",IFERROR(VLOOKUP(AH56,'G-4 Temporal multipliers'!$A$4:$C$36,3,FALSE),""))</f>
        <v/>
      </c>
      <c r="AJ56" s="275" t="str">
        <f>IF(S56="","",VLOOKUP(S56,'G-3 Multipliers'!$A$2:$E$134,4,FALSE))</f>
        <v/>
      </c>
      <c r="AK56" s="283" t="str">
        <f t="shared" si="7"/>
        <v/>
      </c>
      <c r="AL56" s="283" t="str">
        <f t="shared" si="8"/>
        <v/>
      </c>
      <c r="AM56" s="314" t="str">
        <f>IFERROR(IF(F56="","",IF(AH56="Check Data ⚠","Check Data ⚠",VLOOKUP(AL56,'G-3 Multipliers'!$P$2:$Q$6,2,FALSE))),"")</f>
        <v/>
      </c>
      <c r="AN56" s="289" t="str">
        <f t="shared" si="9"/>
        <v/>
      </c>
      <c r="AO56" s="52"/>
      <c r="AP56" s="51"/>
      <c r="AQ56" s="104"/>
      <c r="AT56" s="35" t="str">
        <f t="shared" si="10"/>
        <v>No</v>
      </c>
      <c r="AU56" s="35" t="str">
        <f>IF(E56="","",IF(ISNA(VLOOKUP($E56,'A-1 On-Site Habitat Baseline'!$D$1:$AV$258,4,FALSE)),"",(VLOOKUP($E56,'A-1 On-Site Habitat Baseline'!$D$1:$AV$258,4,FALSE))))</f>
        <v/>
      </c>
    </row>
    <row r="57" spans="1:47" ht="14">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05" t="str">
        <f>'A-1 On-Site Habitat Baseline'!AL56</f>
        <v/>
      </c>
      <c r="F57" s="295" t="str">
        <f>IF(E57="","",IF(ISNA(VLOOKUP($E57,'A-1 On-Site Habitat Baseline'!$D$1:$AV$258,45,FALSE)),"",(VLOOKUP($E57,'A-1 On-Site Habitat Baseline'!$D$1:$AV$258,45,FALSE))))</f>
        <v/>
      </c>
      <c r="G57" s="295" t="str">
        <f>IF(E57="","",IF(ISNA(VLOOKUP($E57,'A-1 On-Site Habitat Baseline'!$D$1:$O$258,5,FALSE)),"",(VLOOKUP($E57,'A-1 On-Site Habitat Baseline'!$D$1:$O$258,5,FALSE))))</f>
        <v/>
      </c>
      <c r="H57" s="295" t="str">
        <f>IF(E57="","",IF(ISNA(VLOOKUP($E57,'A-1 On-Site Habitat Baseline'!$D$1:$O$258,6,FALSE)),"",(VLOOKUP($E57,'A-1 On-Site Habitat Baseline'!$D$1:$O$258,6,FALSE))))</f>
        <v/>
      </c>
      <c r="I57" s="295" t="str">
        <f>IF(E57="","",IF(ISNA(VLOOKUP($E57,'A-1 On-Site Habitat Baseline'!$D$1:$O$258,7,FALSE)),"",(VLOOKUP($E57,'A-1 On-Site Habitat Baseline'!$D$1:$O$258,7,FALSE))))</f>
        <v/>
      </c>
      <c r="J57" s="295" t="str">
        <f>IF(E57="","",IF(ISNA(VLOOKUP($E57,'A-1 On-Site Habitat Baseline'!$D$1:$O$258,8,FALSE)),"",(VLOOKUP($E57,'A-1 On-Site Habitat Baseline'!$D$1:$O$258,8,FALSE))))</f>
        <v/>
      </c>
      <c r="K57" s="295" t="str">
        <f>IF(E57="","",IF(ISNA(VLOOKUP($E57,'A-1 On-Site Habitat Baseline'!$D$1:$O$258,9,FALSE)),"",(VLOOKUP($E57,'A-1 On-Site Habitat Baseline'!$D$1:$O$258,9,FALSE))))</f>
        <v/>
      </c>
      <c r="L57" s="295" t="str">
        <f>IF(E57="","",IF(ISNA(VLOOKUP($E57,'A-1 On-Site Habitat Baseline'!$D$1:$O$258,11,FALSE)),"",(VLOOKUP($E57,'A-1 On-Site Habitat Baseline'!$D$1:$O$258,11,FALSE))))</f>
        <v/>
      </c>
      <c r="M57" s="295" t="str">
        <f>IF(E57="","",IF(ISNA(VLOOKUP($E57,'A-1 On-Site Habitat Baseline'!$D$1:$O$258,12,FALSE)),"",(VLOOKUP($E57,'A-1 On-Site Habitat Baseline'!$D$1:$O$258,12,FALSE))))</f>
        <v/>
      </c>
      <c r="N57" s="306" t="str">
        <f>IF(E57="","",IF(ISNA(VLOOKUP($E57,'A-1 On-Site Habitat Baseline'!$D$1:$X$258,14,FALSE)),"",(VLOOKUP($E57,'A-1 On-Site Habitat Baseline'!$D$1:$X$258,14,FALSE))))</f>
        <v/>
      </c>
      <c r="O57" s="299" t="str">
        <f>IF(E57="","",IF(ISNA(VLOOKUP($E57,'A-1 On-Site Habitat Baseline'!$D$1:$X$258,16,FALSE)),"",(VLOOKUP($E57,'A-1 On-Site Habitat Baseline'!$D$1:$X$258,13,FALSE))))</f>
        <v/>
      </c>
      <c r="P57" s="154" t="str">
        <f>IFERROR(INDEX('G-1 All Habitats'!$AG$49:$AG$63,MATCH(Q57,'G-1 All Habitats'!$AF$27:$AF$41,0)),"")</f>
        <v/>
      </c>
      <c r="Q57" s="155" t="str">
        <f t="shared" si="0"/>
        <v/>
      </c>
      <c r="R57" s="155"/>
      <c r="S57" s="237" t="str">
        <f>IFERROR(INDEX('G-1 All Habitats'!$B$3:$B$135,MATCH(R57,'G-1 All Habitats'!$A$3:$A$135,0)),"")</f>
        <v/>
      </c>
      <c r="T57" s="275" t="str">
        <f t="shared" si="1"/>
        <v/>
      </c>
      <c r="U57" s="276" t="str">
        <f t="shared" si="2"/>
        <v/>
      </c>
      <c r="V57" s="311" t="str">
        <f t="shared" si="3"/>
        <v/>
      </c>
      <c r="W57" s="295" t="str">
        <f>IF(S57="","",VLOOKUP(S57,'G-1 All Habitats'!$B$2:$M$135,10,FALSE))</f>
        <v/>
      </c>
      <c r="X57" s="295" t="str">
        <f>IFERROR(VLOOKUP(W57,'G-1 All Habitats'!$V$3:$W$7,2,FALSE),"")</f>
        <v/>
      </c>
      <c r="Y57" s="57"/>
      <c r="Z57" s="299" t="str">
        <f>IFERROR(INDEX('G-8 Condition Look up'!$A$3:$H$135,MATCH(S57,'G-8 Condition Look up'!$A$3:$A$135,0),MATCH(Y57,'G-8 Condition Look up'!$A$3:$H$3,0)),"")</f>
        <v/>
      </c>
      <c r="AA57" s="52"/>
      <c r="AB57" s="295" t="str">
        <f>IF(AA57="","",IF(VLOOKUP(AA57,'G-3 Multipliers'!$L$3:$N$6,2,FALSE)=0,"Spatial Data Missing ⚠",VLOOKUP(AA57,'G-3 Multipliers'!$L$3:$N$6,2,FALSE)))</f>
        <v/>
      </c>
      <c r="AC57" s="299" t="str">
        <f>IF(AA57="","",IF(VLOOKUP(AA57,'G-3 Multipliers'!$L$3:$N$6,3,FALSE)=0,"Spatial Data Missing ⚠",VLOOKUP(AA57,'G-3 Multipliers'!$L$3:$N$6,3,FALSE)))</f>
        <v/>
      </c>
      <c r="AD57" s="313" t="str">
        <f t="shared" si="4"/>
        <v/>
      </c>
      <c r="AE57" s="58"/>
      <c r="AF57" s="58"/>
      <c r="AG57" s="283" t="str">
        <f t="shared" si="5"/>
        <v/>
      </c>
      <c r="AH57" s="296" t="str">
        <f t="shared" si="6"/>
        <v/>
      </c>
      <c r="AI57" s="297" t="str">
        <f>IF(AH57="Check Data ⚠","Check Data ⚠",IFERROR(VLOOKUP(AH57,'G-4 Temporal multipliers'!$A$4:$C$36,3,FALSE),""))</f>
        <v/>
      </c>
      <c r="AJ57" s="275" t="str">
        <f>IF(S57="","",VLOOKUP(S57,'G-3 Multipliers'!$A$2:$E$134,4,FALSE))</f>
        <v/>
      </c>
      <c r="AK57" s="283" t="str">
        <f t="shared" si="7"/>
        <v/>
      </c>
      <c r="AL57" s="283" t="str">
        <f t="shared" si="8"/>
        <v/>
      </c>
      <c r="AM57" s="314" t="str">
        <f>IFERROR(IF(F57="","",IF(AH57="Check Data ⚠","Check Data ⚠",VLOOKUP(AL57,'G-3 Multipliers'!$P$2:$Q$6,2,FALSE))),"")</f>
        <v/>
      </c>
      <c r="AN57" s="289" t="str">
        <f t="shared" si="9"/>
        <v/>
      </c>
      <c r="AO57" s="52"/>
      <c r="AP57" s="51"/>
      <c r="AQ57" s="104"/>
      <c r="AT57" s="35" t="str">
        <f t="shared" si="10"/>
        <v>No</v>
      </c>
      <c r="AU57" s="35" t="str">
        <f>IF(E57="","",IF(ISNA(VLOOKUP($E57,'A-1 On-Site Habitat Baseline'!$D$1:$AV$258,4,FALSE)),"",(VLOOKUP($E57,'A-1 On-Site Habitat Baseline'!$D$1:$AV$258,4,FALSE))))</f>
        <v/>
      </c>
    </row>
    <row r="58" spans="1:47" ht="14">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05" t="str">
        <f>'A-1 On-Site Habitat Baseline'!AL57</f>
        <v/>
      </c>
      <c r="F58" s="295" t="str">
        <f>IF(E58="","",IF(ISNA(VLOOKUP($E58,'A-1 On-Site Habitat Baseline'!$D$1:$AV$258,45,FALSE)),"",(VLOOKUP($E58,'A-1 On-Site Habitat Baseline'!$D$1:$AV$258,45,FALSE))))</f>
        <v/>
      </c>
      <c r="G58" s="295" t="str">
        <f>IF(E58="","",IF(ISNA(VLOOKUP($E58,'A-1 On-Site Habitat Baseline'!$D$1:$O$258,5,FALSE)),"",(VLOOKUP($E58,'A-1 On-Site Habitat Baseline'!$D$1:$O$258,5,FALSE))))</f>
        <v/>
      </c>
      <c r="H58" s="295" t="str">
        <f>IF(E58="","",IF(ISNA(VLOOKUP($E58,'A-1 On-Site Habitat Baseline'!$D$1:$O$258,6,FALSE)),"",(VLOOKUP($E58,'A-1 On-Site Habitat Baseline'!$D$1:$O$258,6,FALSE))))</f>
        <v/>
      </c>
      <c r="I58" s="295" t="str">
        <f>IF(E58="","",IF(ISNA(VLOOKUP($E58,'A-1 On-Site Habitat Baseline'!$D$1:$O$258,7,FALSE)),"",(VLOOKUP($E58,'A-1 On-Site Habitat Baseline'!$D$1:$O$258,7,FALSE))))</f>
        <v/>
      </c>
      <c r="J58" s="295" t="str">
        <f>IF(E58="","",IF(ISNA(VLOOKUP($E58,'A-1 On-Site Habitat Baseline'!$D$1:$O$258,8,FALSE)),"",(VLOOKUP($E58,'A-1 On-Site Habitat Baseline'!$D$1:$O$258,8,FALSE))))</f>
        <v/>
      </c>
      <c r="K58" s="295" t="str">
        <f>IF(E58="","",IF(ISNA(VLOOKUP($E58,'A-1 On-Site Habitat Baseline'!$D$1:$O$258,9,FALSE)),"",(VLOOKUP($E58,'A-1 On-Site Habitat Baseline'!$D$1:$O$258,9,FALSE))))</f>
        <v/>
      </c>
      <c r="L58" s="295" t="str">
        <f>IF(E58="","",IF(ISNA(VLOOKUP($E58,'A-1 On-Site Habitat Baseline'!$D$1:$O$258,11,FALSE)),"",(VLOOKUP($E58,'A-1 On-Site Habitat Baseline'!$D$1:$O$258,11,FALSE))))</f>
        <v/>
      </c>
      <c r="M58" s="295" t="str">
        <f>IF(E58="","",IF(ISNA(VLOOKUP($E58,'A-1 On-Site Habitat Baseline'!$D$1:$O$258,12,FALSE)),"",(VLOOKUP($E58,'A-1 On-Site Habitat Baseline'!$D$1:$O$258,12,FALSE))))</f>
        <v/>
      </c>
      <c r="N58" s="306" t="str">
        <f>IF(E58="","",IF(ISNA(VLOOKUP($E58,'A-1 On-Site Habitat Baseline'!$D$1:$X$258,14,FALSE)),"",(VLOOKUP($E58,'A-1 On-Site Habitat Baseline'!$D$1:$X$258,14,FALSE))))</f>
        <v/>
      </c>
      <c r="O58" s="299" t="str">
        <f>IF(E58="","",IF(ISNA(VLOOKUP($E58,'A-1 On-Site Habitat Baseline'!$D$1:$X$258,16,FALSE)),"",(VLOOKUP($E58,'A-1 On-Site Habitat Baseline'!$D$1:$X$258,13,FALSE))))</f>
        <v/>
      </c>
      <c r="P58" s="154" t="str">
        <f>IFERROR(INDEX('G-1 All Habitats'!$AG$49:$AG$63,MATCH(Q58,'G-1 All Habitats'!$AF$27:$AF$41,0)),"")</f>
        <v/>
      </c>
      <c r="Q58" s="155" t="str">
        <f t="shared" si="0"/>
        <v/>
      </c>
      <c r="R58" s="155"/>
      <c r="S58" s="237" t="str">
        <f>IFERROR(INDEX('G-1 All Habitats'!$B$3:$B$135,MATCH(R58,'G-1 All Habitats'!$A$3:$A$135,0)),"")</f>
        <v/>
      </c>
      <c r="T58" s="275" t="str">
        <f t="shared" si="1"/>
        <v/>
      </c>
      <c r="U58" s="276" t="str">
        <f t="shared" si="2"/>
        <v/>
      </c>
      <c r="V58" s="311" t="str">
        <f t="shared" si="3"/>
        <v/>
      </c>
      <c r="W58" s="295" t="str">
        <f>IF(S58="","",VLOOKUP(S58,'G-1 All Habitats'!$B$2:$M$135,10,FALSE))</f>
        <v/>
      </c>
      <c r="X58" s="295" t="str">
        <f>IFERROR(VLOOKUP(W58,'G-1 All Habitats'!$V$3:$W$7,2,FALSE),"")</f>
        <v/>
      </c>
      <c r="Y58" s="57"/>
      <c r="Z58" s="299" t="str">
        <f>IFERROR(INDEX('G-8 Condition Look up'!$A$3:$H$135,MATCH(S58,'G-8 Condition Look up'!$A$3:$A$135,0),MATCH(Y58,'G-8 Condition Look up'!$A$3:$H$3,0)),"")</f>
        <v/>
      </c>
      <c r="AA58" s="52"/>
      <c r="AB58" s="295" t="str">
        <f>IF(AA58="","",IF(VLOOKUP(AA58,'G-3 Multipliers'!$L$3:$N$6,2,FALSE)=0,"Spatial Data Missing ⚠",VLOOKUP(AA58,'G-3 Multipliers'!$L$3:$N$6,2,FALSE)))</f>
        <v/>
      </c>
      <c r="AC58" s="299" t="str">
        <f>IF(AA58="","",IF(VLOOKUP(AA58,'G-3 Multipliers'!$L$3:$N$6,3,FALSE)=0,"Spatial Data Missing ⚠",VLOOKUP(AA58,'G-3 Multipliers'!$L$3:$N$6,3,FALSE)))</f>
        <v/>
      </c>
      <c r="AD58" s="313" t="str">
        <f t="shared" si="4"/>
        <v/>
      </c>
      <c r="AE58" s="58"/>
      <c r="AF58" s="58"/>
      <c r="AG58" s="283" t="str">
        <f t="shared" si="5"/>
        <v/>
      </c>
      <c r="AH58" s="296" t="str">
        <f t="shared" si="6"/>
        <v/>
      </c>
      <c r="AI58" s="297" t="str">
        <f>IF(AH58="Check Data ⚠","Check Data ⚠",IFERROR(VLOOKUP(AH58,'G-4 Temporal multipliers'!$A$4:$C$36,3,FALSE),""))</f>
        <v/>
      </c>
      <c r="AJ58" s="275" t="str">
        <f>IF(S58="","",VLOOKUP(S58,'G-3 Multipliers'!$A$2:$E$134,4,FALSE))</f>
        <v/>
      </c>
      <c r="AK58" s="283" t="str">
        <f t="shared" si="7"/>
        <v/>
      </c>
      <c r="AL58" s="283" t="str">
        <f t="shared" si="8"/>
        <v/>
      </c>
      <c r="AM58" s="314" t="str">
        <f>IFERROR(IF(F58="","",IF(AH58="Check Data ⚠","Check Data ⚠",VLOOKUP(AL58,'G-3 Multipliers'!$P$2:$Q$6,2,FALSE))),"")</f>
        <v/>
      </c>
      <c r="AN58" s="289" t="str">
        <f t="shared" si="9"/>
        <v/>
      </c>
      <c r="AO58" s="52"/>
      <c r="AP58" s="51"/>
      <c r="AQ58" s="104"/>
      <c r="AT58" s="35" t="str">
        <f t="shared" si="10"/>
        <v>No</v>
      </c>
      <c r="AU58" s="35" t="str">
        <f>IF(E58="","",IF(ISNA(VLOOKUP($E58,'A-1 On-Site Habitat Baseline'!$D$1:$AV$258,4,FALSE)),"",(VLOOKUP($E58,'A-1 On-Site Habitat Baseline'!$D$1:$AV$258,4,FALSE))))</f>
        <v/>
      </c>
    </row>
    <row r="59" spans="1:47" ht="14">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05" t="str">
        <f>'A-1 On-Site Habitat Baseline'!AL58</f>
        <v/>
      </c>
      <c r="F59" s="295" t="str">
        <f>IF(E59="","",IF(ISNA(VLOOKUP($E59,'A-1 On-Site Habitat Baseline'!$D$1:$AV$258,45,FALSE)),"",(VLOOKUP($E59,'A-1 On-Site Habitat Baseline'!$D$1:$AV$258,45,FALSE))))</f>
        <v/>
      </c>
      <c r="G59" s="295" t="str">
        <f>IF(E59="","",IF(ISNA(VLOOKUP($E59,'A-1 On-Site Habitat Baseline'!$D$1:$O$258,5,FALSE)),"",(VLOOKUP($E59,'A-1 On-Site Habitat Baseline'!$D$1:$O$258,5,FALSE))))</f>
        <v/>
      </c>
      <c r="H59" s="295" t="str">
        <f>IF(E59="","",IF(ISNA(VLOOKUP($E59,'A-1 On-Site Habitat Baseline'!$D$1:$O$258,6,FALSE)),"",(VLOOKUP($E59,'A-1 On-Site Habitat Baseline'!$D$1:$O$258,6,FALSE))))</f>
        <v/>
      </c>
      <c r="I59" s="295" t="str">
        <f>IF(E59="","",IF(ISNA(VLOOKUP($E59,'A-1 On-Site Habitat Baseline'!$D$1:$O$258,7,FALSE)),"",(VLOOKUP($E59,'A-1 On-Site Habitat Baseline'!$D$1:$O$258,7,FALSE))))</f>
        <v/>
      </c>
      <c r="J59" s="295" t="str">
        <f>IF(E59="","",IF(ISNA(VLOOKUP($E59,'A-1 On-Site Habitat Baseline'!$D$1:$O$258,8,FALSE)),"",(VLOOKUP($E59,'A-1 On-Site Habitat Baseline'!$D$1:$O$258,8,FALSE))))</f>
        <v/>
      </c>
      <c r="K59" s="295" t="str">
        <f>IF(E59="","",IF(ISNA(VLOOKUP($E59,'A-1 On-Site Habitat Baseline'!$D$1:$O$258,9,FALSE)),"",(VLOOKUP($E59,'A-1 On-Site Habitat Baseline'!$D$1:$O$258,9,FALSE))))</f>
        <v/>
      </c>
      <c r="L59" s="295" t="str">
        <f>IF(E59="","",IF(ISNA(VLOOKUP($E59,'A-1 On-Site Habitat Baseline'!$D$1:$O$258,11,FALSE)),"",(VLOOKUP($E59,'A-1 On-Site Habitat Baseline'!$D$1:$O$258,11,FALSE))))</f>
        <v/>
      </c>
      <c r="M59" s="295" t="str">
        <f>IF(E59="","",IF(ISNA(VLOOKUP($E59,'A-1 On-Site Habitat Baseline'!$D$1:$O$258,12,FALSE)),"",(VLOOKUP($E59,'A-1 On-Site Habitat Baseline'!$D$1:$O$258,12,FALSE))))</f>
        <v/>
      </c>
      <c r="N59" s="306" t="str">
        <f>IF(E59="","",IF(ISNA(VLOOKUP($E59,'A-1 On-Site Habitat Baseline'!$D$1:$X$258,14,FALSE)),"",(VLOOKUP($E59,'A-1 On-Site Habitat Baseline'!$D$1:$X$258,14,FALSE))))</f>
        <v/>
      </c>
      <c r="O59" s="299" t="str">
        <f>IF(E59="","",IF(ISNA(VLOOKUP($E59,'A-1 On-Site Habitat Baseline'!$D$1:$X$258,16,FALSE)),"",(VLOOKUP($E59,'A-1 On-Site Habitat Baseline'!$D$1:$X$258,13,FALSE))))</f>
        <v/>
      </c>
      <c r="P59" s="154" t="str">
        <f>IFERROR(INDEX('G-1 All Habitats'!$AG$49:$AG$63,MATCH(Q59,'G-1 All Habitats'!$AF$27:$AF$41,0)),"")</f>
        <v/>
      </c>
      <c r="Q59" s="155" t="str">
        <f t="shared" si="0"/>
        <v/>
      </c>
      <c r="R59" s="155"/>
      <c r="S59" s="237" t="str">
        <f>IFERROR(INDEX('G-1 All Habitats'!$B$3:$B$135,MATCH(R59,'G-1 All Habitats'!$A$3:$A$135,0)),"")</f>
        <v/>
      </c>
      <c r="T59" s="275" t="str">
        <f t="shared" si="1"/>
        <v/>
      </c>
      <c r="U59" s="276" t="str">
        <f t="shared" si="2"/>
        <v/>
      </c>
      <c r="V59" s="311" t="str">
        <f t="shared" si="3"/>
        <v/>
      </c>
      <c r="W59" s="295" t="str">
        <f>IF(S59="","",VLOOKUP(S59,'G-1 All Habitats'!$B$2:$M$135,10,FALSE))</f>
        <v/>
      </c>
      <c r="X59" s="295" t="str">
        <f>IFERROR(VLOOKUP(W59,'G-1 All Habitats'!$V$3:$W$7,2,FALSE),"")</f>
        <v/>
      </c>
      <c r="Y59" s="57"/>
      <c r="Z59" s="299" t="str">
        <f>IFERROR(INDEX('G-8 Condition Look up'!$A$3:$H$135,MATCH(S59,'G-8 Condition Look up'!$A$3:$A$135,0),MATCH(Y59,'G-8 Condition Look up'!$A$3:$H$3,0)),"")</f>
        <v/>
      </c>
      <c r="AA59" s="52"/>
      <c r="AB59" s="295" t="str">
        <f>IF(AA59="","",IF(VLOOKUP(AA59,'G-3 Multipliers'!$L$3:$N$6,2,FALSE)=0,"Spatial Data Missing ⚠",VLOOKUP(AA59,'G-3 Multipliers'!$L$3:$N$6,2,FALSE)))</f>
        <v/>
      </c>
      <c r="AC59" s="299" t="str">
        <f>IF(AA59="","",IF(VLOOKUP(AA59,'G-3 Multipliers'!$L$3:$N$6,3,FALSE)=0,"Spatial Data Missing ⚠",VLOOKUP(AA59,'G-3 Multipliers'!$L$3:$N$6,3,FALSE)))</f>
        <v/>
      </c>
      <c r="AD59" s="313" t="str">
        <f t="shared" si="4"/>
        <v/>
      </c>
      <c r="AE59" s="58"/>
      <c r="AF59" s="58"/>
      <c r="AG59" s="283" t="str">
        <f t="shared" si="5"/>
        <v/>
      </c>
      <c r="AH59" s="296" t="str">
        <f t="shared" si="6"/>
        <v/>
      </c>
      <c r="AI59" s="297" t="str">
        <f>IF(AH59="Check Data ⚠","Check Data ⚠",IFERROR(VLOOKUP(AH59,'G-4 Temporal multipliers'!$A$4:$C$36,3,FALSE),""))</f>
        <v/>
      </c>
      <c r="AJ59" s="275" t="str">
        <f>IF(S59="","",VLOOKUP(S59,'G-3 Multipliers'!$A$2:$E$134,4,FALSE))</f>
        <v/>
      </c>
      <c r="AK59" s="283" t="str">
        <f t="shared" si="7"/>
        <v/>
      </c>
      <c r="AL59" s="283" t="str">
        <f t="shared" si="8"/>
        <v/>
      </c>
      <c r="AM59" s="314" t="str">
        <f>IFERROR(IF(F59="","",IF(AH59="Check Data ⚠","Check Data ⚠",VLOOKUP(AL59,'G-3 Multipliers'!$P$2:$Q$6,2,FALSE))),"")</f>
        <v/>
      </c>
      <c r="AN59" s="289" t="str">
        <f t="shared" si="9"/>
        <v/>
      </c>
      <c r="AO59" s="52"/>
      <c r="AP59" s="51"/>
      <c r="AQ59" s="104"/>
      <c r="AT59" s="35" t="str">
        <f t="shared" si="10"/>
        <v>No</v>
      </c>
      <c r="AU59" s="35" t="str">
        <f>IF(E59="","",IF(ISNA(VLOOKUP($E59,'A-1 On-Site Habitat Baseline'!$D$1:$AV$258,4,FALSE)),"",(VLOOKUP($E59,'A-1 On-Site Habitat Baseline'!$D$1:$AV$258,4,FALSE))))</f>
        <v/>
      </c>
    </row>
    <row r="60" spans="1:47" ht="14">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05" t="str">
        <f>'A-1 On-Site Habitat Baseline'!AL59</f>
        <v/>
      </c>
      <c r="F60" s="295" t="str">
        <f>IF(E60="","",IF(ISNA(VLOOKUP($E60,'A-1 On-Site Habitat Baseline'!$D$1:$AV$258,45,FALSE)),"",(VLOOKUP($E60,'A-1 On-Site Habitat Baseline'!$D$1:$AV$258,45,FALSE))))</f>
        <v/>
      </c>
      <c r="G60" s="295" t="str">
        <f>IF(E60="","",IF(ISNA(VLOOKUP($E60,'A-1 On-Site Habitat Baseline'!$D$1:$O$258,5,FALSE)),"",(VLOOKUP($E60,'A-1 On-Site Habitat Baseline'!$D$1:$O$258,5,FALSE))))</f>
        <v/>
      </c>
      <c r="H60" s="295" t="str">
        <f>IF(E60="","",IF(ISNA(VLOOKUP($E60,'A-1 On-Site Habitat Baseline'!$D$1:$O$258,6,FALSE)),"",(VLOOKUP($E60,'A-1 On-Site Habitat Baseline'!$D$1:$O$258,6,FALSE))))</f>
        <v/>
      </c>
      <c r="I60" s="295" t="str">
        <f>IF(E60="","",IF(ISNA(VLOOKUP($E60,'A-1 On-Site Habitat Baseline'!$D$1:$O$258,7,FALSE)),"",(VLOOKUP($E60,'A-1 On-Site Habitat Baseline'!$D$1:$O$258,7,FALSE))))</f>
        <v/>
      </c>
      <c r="J60" s="295" t="str">
        <f>IF(E60="","",IF(ISNA(VLOOKUP($E60,'A-1 On-Site Habitat Baseline'!$D$1:$O$258,8,FALSE)),"",(VLOOKUP($E60,'A-1 On-Site Habitat Baseline'!$D$1:$O$258,8,FALSE))))</f>
        <v/>
      </c>
      <c r="K60" s="295" t="str">
        <f>IF(E60="","",IF(ISNA(VLOOKUP($E60,'A-1 On-Site Habitat Baseline'!$D$1:$O$258,9,FALSE)),"",(VLOOKUP($E60,'A-1 On-Site Habitat Baseline'!$D$1:$O$258,9,FALSE))))</f>
        <v/>
      </c>
      <c r="L60" s="295" t="str">
        <f>IF(E60="","",IF(ISNA(VLOOKUP($E60,'A-1 On-Site Habitat Baseline'!$D$1:$O$258,11,FALSE)),"",(VLOOKUP($E60,'A-1 On-Site Habitat Baseline'!$D$1:$O$258,11,FALSE))))</f>
        <v/>
      </c>
      <c r="M60" s="295" t="str">
        <f>IF(E60="","",IF(ISNA(VLOOKUP($E60,'A-1 On-Site Habitat Baseline'!$D$1:$O$258,12,FALSE)),"",(VLOOKUP($E60,'A-1 On-Site Habitat Baseline'!$D$1:$O$258,12,FALSE))))</f>
        <v/>
      </c>
      <c r="N60" s="306" t="str">
        <f>IF(E60="","",IF(ISNA(VLOOKUP($E60,'A-1 On-Site Habitat Baseline'!$D$1:$X$258,14,FALSE)),"",(VLOOKUP($E60,'A-1 On-Site Habitat Baseline'!$D$1:$X$258,14,FALSE))))</f>
        <v/>
      </c>
      <c r="O60" s="299" t="str">
        <f>IF(E60="","",IF(ISNA(VLOOKUP($E60,'A-1 On-Site Habitat Baseline'!$D$1:$X$258,16,FALSE)),"",(VLOOKUP($E60,'A-1 On-Site Habitat Baseline'!$D$1:$X$258,13,FALSE))))</f>
        <v/>
      </c>
      <c r="P60" s="154" t="str">
        <f>IFERROR(INDEX('G-1 All Habitats'!$AG$49:$AG$63,MATCH(Q60,'G-1 All Habitats'!$AF$27:$AF$41,0)),"")</f>
        <v/>
      </c>
      <c r="Q60" s="155" t="str">
        <f t="shared" si="0"/>
        <v/>
      </c>
      <c r="R60" s="155"/>
      <c r="S60" s="237" t="str">
        <f>IFERROR(INDEX('G-1 All Habitats'!$B$3:$B$135,MATCH(R60,'G-1 All Habitats'!$A$3:$A$135,0)),"")</f>
        <v/>
      </c>
      <c r="T60" s="275" t="str">
        <f t="shared" si="1"/>
        <v/>
      </c>
      <c r="U60" s="276" t="str">
        <f t="shared" si="2"/>
        <v/>
      </c>
      <c r="V60" s="311" t="str">
        <f t="shared" si="3"/>
        <v/>
      </c>
      <c r="W60" s="295" t="str">
        <f>IF(S60="","",VLOOKUP(S60,'G-1 All Habitats'!$B$2:$M$135,10,FALSE))</f>
        <v/>
      </c>
      <c r="X60" s="295" t="str">
        <f>IFERROR(VLOOKUP(W60,'G-1 All Habitats'!$V$3:$W$7,2,FALSE),"")</f>
        <v/>
      </c>
      <c r="Y60" s="57"/>
      <c r="Z60" s="299" t="str">
        <f>IFERROR(INDEX('G-8 Condition Look up'!$A$3:$H$135,MATCH(S60,'G-8 Condition Look up'!$A$3:$A$135,0),MATCH(Y60,'G-8 Condition Look up'!$A$3:$H$3,0)),"")</f>
        <v/>
      </c>
      <c r="AA60" s="52"/>
      <c r="AB60" s="295" t="str">
        <f>IF(AA60="","",IF(VLOOKUP(AA60,'G-3 Multipliers'!$L$3:$N$6,2,FALSE)=0,"Spatial Data Missing ⚠",VLOOKUP(AA60,'G-3 Multipliers'!$L$3:$N$6,2,FALSE)))</f>
        <v/>
      </c>
      <c r="AC60" s="299" t="str">
        <f>IF(AA60="","",IF(VLOOKUP(AA60,'G-3 Multipliers'!$L$3:$N$6,3,FALSE)=0,"Spatial Data Missing ⚠",VLOOKUP(AA60,'G-3 Multipliers'!$L$3:$N$6,3,FALSE)))</f>
        <v/>
      </c>
      <c r="AD60" s="313" t="str">
        <f t="shared" si="4"/>
        <v/>
      </c>
      <c r="AE60" s="58"/>
      <c r="AF60" s="58"/>
      <c r="AG60" s="283" t="str">
        <f t="shared" si="5"/>
        <v/>
      </c>
      <c r="AH60" s="296" t="str">
        <f t="shared" si="6"/>
        <v/>
      </c>
      <c r="AI60" s="297" t="str">
        <f>IF(AH60="Check Data ⚠","Check Data ⚠",IFERROR(VLOOKUP(AH60,'G-4 Temporal multipliers'!$A$4:$C$36,3,FALSE),""))</f>
        <v/>
      </c>
      <c r="AJ60" s="275" t="str">
        <f>IF(S60="","",VLOOKUP(S60,'G-3 Multipliers'!$A$2:$E$134,4,FALSE))</f>
        <v/>
      </c>
      <c r="AK60" s="283" t="str">
        <f t="shared" si="7"/>
        <v/>
      </c>
      <c r="AL60" s="283" t="str">
        <f t="shared" si="8"/>
        <v/>
      </c>
      <c r="AM60" s="314" t="str">
        <f>IFERROR(IF(F60="","",IF(AH60="Check Data ⚠","Check Data ⚠",VLOOKUP(AL60,'G-3 Multipliers'!$P$2:$Q$6,2,FALSE))),"")</f>
        <v/>
      </c>
      <c r="AN60" s="289" t="str">
        <f t="shared" si="9"/>
        <v/>
      </c>
      <c r="AO60" s="52"/>
      <c r="AP60" s="51"/>
      <c r="AQ60" s="104"/>
      <c r="AT60" s="35" t="str">
        <f t="shared" si="10"/>
        <v>No</v>
      </c>
      <c r="AU60" s="35" t="str">
        <f>IF(E60="","",IF(ISNA(VLOOKUP($E60,'A-1 On-Site Habitat Baseline'!$D$1:$AV$258,4,FALSE)),"",(VLOOKUP($E60,'A-1 On-Site Habitat Baseline'!$D$1:$AV$258,4,FALSE))))</f>
        <v/>
      </c>
    </row>
    <row r="61" spans="1:47" ht="14">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05" t="str">
        <f>'A-1 On-Site Habitat Baseline'!AL60</f>
        <v/>
      </c>
      <c r="F61" s="295" t="str">
        <f>IF(E61="","",IF(ISNA(VLOOKUP($E61,'A-1 On-Site Habitat Baseline'!$D$1:$AV$258,45,FALSE)),"",(VLOOKUP($E61,'A-1 On-Site Habitat Baseline'!$D$1:$AV$258,45,FALSE))))</f>
        <v/>
      </c>
      <c r="G61" s="295" t="str">
        <f>IF(E61="","",IF(ISNA(VLOOKUP($E61,'A-1 On-Site Habitat Baseline'!$D$1:$O$258,5,FALSE)),"",(VLOOKUP($E61,'A-1 On-Site Habitat Baseline'!$D$1:$O$258,5,FALSE))))</f>
        <v/>
      </c>
      <c r="H61" s="295" t="str">
        <f>IF(E61="","",IF(ISNA(VLOOKUP($E61,'A-1 On-Site Habitat Baseline'!$D$1:$O$258,6,FALSE)),"",(VLOOKUP($E61,'A-1 On-Site Habitat Baseline'!$D$1:$O$258,6,FALSE))))</f>
        <v/>
      </c>
      <c r="I61" s="295" t="str">
        <f>IF(E61="","",IF(ISNA(VLOOKUP($E61,'A-1 On-Site Habitat Baseline'!$D$1:$O$258,7,FALSE)),"",(VLOOKUP($E61,'A-1 On-Site Habitat Baseline'!$D$1:$O$258,7,FALSE))))</f>
        <v/>
      </c>
      <c r="J61" s="295" t="str">
        <f>IF(E61="","",IF(ISNA(VLOOKUP($E61,'A-1 On-Site Habitat Baseline'!$D$1:$O$258,8,FALSE)),"",(VLOOKUP($E61,'A-1 On-Site Habitat Baseline'!$D$1:$O$258,8,FALSE))))</f>
        <v/>
      </c>
      <c r="K61" s="295" t="str">
        <f>IF(E61="","",IF(ISNA(VLOOKUP($E61,'A-1 On-Site Habitat Baseline'!$D$1:$O$258,9,FALSE)),"",(VLOOKUP($E61,'A-1 On-Site Habitat Baseline'!$D$1:$O$258,9,FALSE))))</f>
        <v/>
      </c>
      <c r="L61" s="295" t="str">
        <f>IF(E61="","",IF(ISNA(VLOOKUP($E61,'A-1 On-Site Habitat Baseline'!$D$1:$O$258,11,FALSE)),"",(VLOOKUP($E61,'A-1 On-Site Habitat Baseline'!$D$1:$O$258,11,FALSE))))</f>
        <v/>
      </c>
      <c r="M61" s="295" t="str">
        <f>IF(E61="","",IF(ISNA(VLOOKUP($E61,'A-1 On-Site Habitat Baseline'!$D$1:$O$258,12,FALSE)),"",(VLOOKUP($E61,'A-1 On-Site Habitat Baseline'!$D$1:$O$258,12,FALSE))))</f>
        <v/>
      </c>
      <c r="N61" s="306" t="str">
        <f>IF(E61="","",IF(ISNA(VLOOKUP($E61,'A-1 On-Site Habitat Baseline'!$D$1:$X$258,14,FALSE)),"",(VLOOKUP($E61,'A-1 On-Site Habitat Baseline'!$D$1:$X$258,14,FALSE))))</f>
        <v/>
      </c>
      <c r="O61" s="299" t="str">
        <f>IF(E61="","",IF(ISNA(VLOOKUP($E61,'A-1 On-Site Habitat Baseline'!$D$1:$X$258,16,FALSE)),"",(VLOOKUP($E61,'A-1 On-Site Habitat Baseline'!$D$1:$X$258,13,FALSE))))</f>
        <v/>
      </c>
      <c r="P61" s="154" t="str">
        <f>IFERROR(INDEX('G-1 All Habitats'!$AG$49:$AG$63,MATCH(Q61,'G-1 All Habitats'!$AF$27:$AF$41,0)),"")</f>
        <v/>
      </c>
      <c r="Q61" s="155" t="str">
        <f t="shared" si="0"/>
        <v/>
      </c>
      <c r="R61" s="155"/>
      <c r="S61" s="237" t="str">
        <f>IFERROR(INDEX('G-1 All Habitats'!$B$3:$B$135,MATCH(R61,'G-1 All Habitats'!$A$3:$A$135,0)),"")</f>
        <v/>
      </c>
      <c r="T61" s="275" t="str">
        <f t="shared" si="1"/>
        <v/>
      </c>
      <c r="U61" s="276" t="str">
        <f t="shared" si="2"/>
        <v/>
      </c>
      <c r="V61" s="311" t="str">
        <f t="shared" si="3"/>
        <v/>
      </c>
      <c r="W61" s="295" t="str">
        <f>IF(S61="","",VLOOKUP(S61,'G-1 All Habitats'!$B$2:$M$135,10,FALSE))</f>
        <v/>
      </c>
      <c r="X61" s="295" t="str">
        <f>IFERROR(VLOOKUP(W61,'G-1 All Habitats'!$V$3:$W$7,2,FALSE),"")</f>
        <v/>
      </c>
      <c r="Y61" s="57"/>
      <c r="Z61" s="299" t="str">
        <f>IFERROR(INDEX('G-8 Condition Look up'!$A$3:$H$135,MATCH(S61,'G-8 Condition Look up'!$A$3:$A$135,0),MATCH(Y61,'G-8 Condition Look up'!$A$3:$H$3,0)),"")</f>
        <v/>
      </c>
      <c r="AA61" s="52"/>
      <c r="AB61" s="295" t="str">
        <f>IF(AA61="","",IF(VLOOKUP(AA61,'G-3 Multipliers'!$L$3:$N$6,2,FALSE)=0,"Spatial Data Missing ⚠",VLOOKUP(AA61,'G-3 Multipliers'!$L$3:$N$6,2,FALSE)))</f>
        <v/>
      </c>
      <c r="AC61" s="299" t="str">
        <f>IF(AA61="","",IF(VLOOKUP(AA61,'G-3 Multipliers'!$L$3:$N$6,3,FALSE)=0,"Spatial Data Missing ⚠",VLOOKUP(AA61,'G-3 Multipliers'!$L$3:$N$6,3,FALSE)))</f>
        <v/>
      </c>
      <c r="AD61" s="313" t="str">
        <f t="shared" si="4"/>
        <v/>
      </c>
      <c r="AE61" s="58"/>
      <c r="AF61" s="58"/>
      <c r="AG61" s="283" t="str">
        <f t="shared" si="5"/>
        <v/>
      </c>
      <c r="AH61" s="296" t="str">
        <f t="shared" si="6"/>
        <v/>
      </c>
      <c r="AI61" s="297" t="str">
        <f>IF(AH61="Check Data ⚠","Check Data ⚠",IFERROR(VLOOKUP(AH61,'G-4 Temporal multipliers'!$A$4:$C$36,3,FALSE),""))</f>
        <v/>
      </c>
      <c r="AJ61" s="275" t="str">
        <f>IF(S61="","",VLOOKUP(S61,'G-3 Multipliers'!$A$2:$E$134,4,FALSE))</f>
        <v/>
      </c>
      <c r="AK61" s="283" t="str">
        <f t="shared" si="7"/>
        <v/>
      </c>
      <c r="AL61" s="283" t="str">
        <f t="shared" si="8"/>
        <v/>
      </c>
      <c r="AM61" s="314" t="str">
        <f>IFERROR(IF(F61="","",IF(AH61="Check Data ⚠","Check Data ⚠",VLOOKUP(AL61,'G-3 Multipliers'!$P$2:$Q$6,2,FALSE))),"")</f>
        <v/>
      </c>
      <c r="AN61" s="289" t="str">
        <f t="shared" si="9"/>
        <v/>
      </c>
      <c r="AO61" s="52"/>
      <c r="AP61" s="51"/>
      <c r="AQ61" s="104"/>
      <c r="AT61" s="35" t="str">
        <f t="shared" si="10"/>
        <v>No</v>
      </c>
      <c r="AU61" s="35" t="str">
        <f>IF(E61="","",IF(ISNA(VLOOKUP($E61,'A-1 On-Site Habitat Baseline'!$D$1:$AV$258,4,FALSE)),"",(VLOOKUP($E61,'A-1 On-Site Habitat Baseline'!$D$1:$AV$258,4,FALSE))))</f>
        <v/>
      </c>
    </row>
    <row r="62" spans="1:47" ht="14">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05" t="str">
        <f>'A-1 On-Site Habitat Baseline'!AL61</f>
        <v/>
      </c>
      <c r="F62" s="295" t="str">
        <f>IF(E62="","",IF(ISNA(VLOOKUP($E62,'A-1 On-Site Habitat Baseline'!$D$1:$AV$258,45,FALSE)),"",(VLOOKUP($E62,'A-1 On-Site Habitat Baseline'!$D$1:$AV$258,45,FALSE))))</f>
        <v/>
      </c>
      <c r="G62" s="295" t="str">
        <f>IF(E62="","",IF(ISNA(VLOOKUP($E62,'A-1 On-Site Habitat Baseline'!$D$1:$O$258,5,FALSE)),"",(VLOOKUP($E62,'A-1 On-Site Habitat Baseline'!$D$1:$O$258,5,FALSE))))</f>
        <v/>
      </c>
      <c r="H62" s="295" t="str">
        <f>IF(E62="","",IF(ISNA(VLOOKUP($E62,'A-1 On-Site Habitat Baseline'!$D$1:$O$258,6,FALSE)),"",(VLOOKUP($E62,'A-1 On-Site Habitat Baseline'!$D$1:$O$258,6,FALSE))))</f>
        <v/>
      </c>
      <c r="I62" s="295" t="str">
        <f>IF(E62="","",IF(ISNA(VLOOKUP($E62,'A-1 On-Site Habitat Baseline'!$D$1:$O$258,7,FALSE)),"",(VLOOKUP($E62,'A-1 On-Site Habitat Baseline'!$D$1:$O$258,7,FALSE))))</f>
        <v/>
      </c>
      <c r="J62" s="295" t="str">
        <f>IF(E62="","",IF(ISNA(VLOOKUP($E62,'A-1 On-Site Habitat Baseline'!$D$1:$O$258,8,FALSE)),"",(VLOOKUP($E62,'A-1 On-Site Habitat Baseline'!$D$1:$O$258,8,FALSE))))</f>
        <v/>
      </c>
      <c r="K62" s="295" t="str">
        <f>IF(E62="","",IF(ISNA(VLOOKUP($E62,'A-1 On-Site Habitat Baseline'!$D$1:$O$258,9,FALSE)),"",(VLOOKUP($E62,'A-1 On-Site Habitat Baseline'!$D$1:$O$258,9,FALSE))))</f>
        <v/>
      </c>
      <c r="L62" s="295" t="str">
        <f>IF(E62="","",IF(ISNA(VLOOKUP($E62,'A-1 On-Site Habitat Baseline'!$D$1:$O$258,11,FALSE)),"",(VLOOKUP($E62,'A-1 On-Site Habitat Baseline'!$D$1:$O$258,11,FALSE))))</f>
        <v/>
      </c>
      <c r="M62" s="295" t="str">
        <f>IF(E62="","",IF(ISNA(VLOOKUP($E62,'A-1 On-Site Habitat Baseline'!$D$1:$O$258,12,FALSE)),"",(VLOOKUP($E62,'A-1 On-Site Habitat Baseline'!$D$1:$O$258,12,FALSE))))</f>
        <v/>
      </c>
      <c r="N62" s="306" t="str">
        <f>IF(E62="","",IF(ISNA(VLOOKUP($E62,'A-1 On-Site Habitat Baseline'!$D$1:$X$258,14,FALSE)),"",(VLOOKUP($E62,'A-1 On-Site Habitat Baseline'!$D$1:$X$258,14,FALSE))))</f>
        <v/>
      </c>
      <c r="O62" s="299" t="str">
        <f>IF(E62="","",IF(ISNA(VLOOKUP($E62,'A-1 On-Site Habitat Baseline'!$D$1:$X$258,16,FALSE)),"",(VLOOKUP($E62,'A-1 On-Site Habitat Baseline'!$D$1:$X$258,13,FALSE))))</f>
        <v/>
      </c>
      <c r="P62" s="154" t="str">
        <f>IFERROR(INDEX('G-1 All Habitats'!$AG$49:$AG$63,MATCH(Q62,'G-1 All Habitats'!$AF$27:$AF$41,0)),"")</f>
        <v/>
      </c>
      <c r="Q62" s="155" t="str">
        <f t="shared" si="0"/>
        <v/>
      </c>
      <c r="R62" s="155"/>
      <c r="S62" s="237" t="str">
        <f>IFERROR(INDEX('G-1 All Habitats'!$B$3:$B$135,MATCH(R62,'G-1 All Habitats'!$A$3:$A$135,0)),"")</f>
        <v/>
      </c>
      <c r="T62" s="275" t="str">
        <f t="shared" si="1"/>
        <v/>
      </c>
      <c r="U62" s="276" t="str">
        <f t="shared" si="2"/>
        <v/>
      </c>
      <c r="V62" s="311" t="str">
        <f t="shared" si="3"/>
        <v/>
      </c>
      <c r="W62" s="295" t="str">
        <f>IF(S62="","",VLOOKUP(S62,'G-1 All Habitats'!$B$2:$M$135,10,FALSE))</f>
        <v/>
      </c>
      <c r="X62" s="295" t="str">
        <f>IFERROR(VLOOKUP(W62,'G-1 All Habitats'!$V$3:$W$7,2,FALSE),"")</f>
        <v/>
      </c>
      <c r="Y62" s="57"/>
      <c r="Z62" s="299" t="str">
        <f>IFERROR(INDEX('G-8 Condition Look up'!$A$3:$H$135,MATCH(S62,'G-8 Condition Look up'!$A$3:$A$135,0),MATCH(Y62,'G-8 Condition Look up'!$A$3:$H$3,0)),"")</f>
        <v/>
      </c>
      <c r="AA62" s="52"/>
      <c r="AB62" s="295" t="str">
        <f>IF(AA62="","",IF(VLOOKUP(AA62,'G-3 Multipliers'!$L$3:$N$6,2,FALSE)=0,"Spatial Data Missing ⚠",VLOOKUP(AA62,'G-3 Multipliers'!$L$3:$N$6,2,FALSE)))</f>
        <v/>
      </c>
      <c r="AC62" s="299" t="str">
        <f>IF(AA62="","",IF(VLOOKUP(AA62,'G-3 Multipliers'!$L$3:$N$6,3,FALSE)=0,"Spatial Data Missing ⚠",VLOOKUP(AA62,'G-3 Multipliers'!$L$3:$N$6,3,FALSE)))</f>
        <v/>
      </c>
      <c r="AD62" s="313" t="str">
        <f t="shared" si="4"/>
        <v/>
      </c>
      <c r="AE62" s="58"/>
      <c r="AF62" s="58"/>
      <c r="AG62" s="283" t="str">
        <f t="shared" si="5"/>
        <v/>
      </c>
      <c r="AH62" s="296" t="str">
        <f t="shared" si="6"/>
        <v/>
      </c>
      <c r="AI62" s="297" t="str">
        <f>IF(AH62="Check Data ⚠","Check Data ⚠",IFERROR(VLOOKUP(AH62,'G-4 Temporal multipliers'!$A$4:$C$36,3,FALSE),""))</f>
        <v/>
      </c>
      <c r="AJ62" s="275" t="str">
        <f>IF(S62="","",VLOOKUP(S62,'G-3 Multipliers'!$A$2:$E$134,4,FALSE))</f>
        <v/>
      </c>
      <c r="AK62" s="283" t="str">
        <f t="shared" si="7"/>
        <v/>
      </c>
      <c r="AL62" s="283" t="str">
        <f t="shared" si="8"/>
        <v/>
      </c>
      <c r="AM62" s="314" t="str">
        <f>IFERROR(IF(F62="","",IF(AH62="Check Data ⚠","Check Data ⚠",VLOOKUP(AL62,'G-3 Multipliers'!$P$2:$Q$6,2,FALSE))),"")</f>
        <v/>
      </c>
      <c r="AN62" s="289" t="str">
        <f t="shared" si="9"/>
        <v/>
      </c>
      <c r="AO62" s="52"/>
      <c r="AP62" s="51"/>
      <c r="AQ62" s="104"/>
      <c r="AT62" s="35" t="str">
        <f t="shared" si="10"/>
        <v>No</v>
      </c>
      <c r="AU62" s="35" t="str">
        <f>IF(E62="","",IF(ISNA(VLOOKUP($E62,'A-1 On-Site Habitat Baseline'!$D$1:$AV$258,4,FALSE)),"",(VLOOKUP($E62,'A-1 On-Site Habitat Baseline'!$D$1:$AV$258,4,FALSE))))</f>
        <v/>
      </c>
    </row>
    <row r="63" spans="1:47" ht="14">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05" t="str">
        <f>'A-1 On-Site Habitat Baseline'!AL62</f>
        <v/>
      </c>
      <c r="F63" s="295" t="str">
        <f>IF(E63="","",IF(ISNA(VLOOKUP($E63,'A-1 On-Site Habitat Baseline'!$D$1:$AV$258,45,FALSE)),"",(VLOOKUP($E63,'A-1 On-Site Habitat Baseline'!$D$1:$AV$258,45,FALSE))))</f>
        <v/>
      </c>
      <c r="G63" s="295" t="str">
        <f>IF(E63="","",IF(ISNA(VLOOKUP($E63,'A-1 On-Site Habitat Baseline'!$D$1:$O$258,5,FALSE)),"",(VLOOKUP($E63,'A-1 On-Site Habitat Baseline'!$D$1:$O$258,5,FALSE))))</f>
        <v/>
      </c>
      <c r="H63" s="295" t="str">
        <f>IF(E63="","",IF(ISNA(VLOOKUP($E63,'A-1 On-Site Habitat Baseline'!$D$1:$O$258,6,FALSE)),"",(VLOOKUP($E63,'A-1 On-Site Habitat Baseline'!$D$1:$O$258,6,FALSE))))</f>
        <v/>
      </c>
      <c r="I63" s="295" t="str">
        <f>IF(E63="","",IF(ISNA(VLOOKUP($E63,'A-1 On-Site Habitat Baseline'!$D$1:$O$258,7,FALSE)),"",(VLOOKUP($E63,'A-1 On-Site Habitat Baseline'!$D$1:$O$258,7,FALSE))))</f>
        <v/>
      </c>
      <c r="J63" s="295" t="str">
        <f>IF(E63="","",IF(ISNA(VLOOKUP($E63,'A-1 On-Site Habitat Baseline'!$D$1:$O$258,8,FALSE)),"",(VLOOKUP($E63,'A-1 On-Site Habitat Baseline'!$D$1:$O$258,8,FALSE))))</f>
        <v/>
      </c>
      <c r="K63" s="295" t="str">
        <f>IF(E63="","",IF(ISNA(VLOOKUP($E63,'A-1 On-Site Habitat Baseline'!$D$1:$O$258,9,FALSE)),"",(VLOOKUP($E63,'A-1 On-Site Habitat Baseline'!$D$1:$O$258,9,FALSE))))</f>
        <v/>
      </c>
      <c r="L63" s="295" t="str">
        <f>IF(E63="","",IF(ISNA(VLOOKUP($E63,'A-1 On-Site Habitat Baseline'!$D$1:$O$258,11,FALSE)),"",(VLOOKUP($E63,'A-1 On-Site Habitat Baseline'!$D$1:$O$258,11,FALSE))))</f>
        <v/>
      </c>
      <c r="M63" s="295" t="str">
        <f>IF(E63="","",IF(ISNA(VLOOKUP($E63,'A-1 On-Site Habitat Baseline'!$D$1:$O$258,12,FALSE)),"",(VLOOKUP($E63,'A-1 On-Site Habitat Baseline'!$D$1:$O$258,12,FALSE))))</f>
        <v/>
      </c>
      <c r="N63" s="306" t="str">
        <f>IF(E63="","",IF(ISNA(VLOOKUP($E63,'A-1 On-Site Habitat Baseline'!$D$1:$X$258,14,FALSE)),"",(VLOOKUP($E63,'A-1 On-Site Habitat Baseline'!$D$1:$X$258,14,FALSE))))</f>
        <v/>
      </c>
      <c r="O63" s="299" t="str">
        <f>IF(E63="","",IF(ISNA(VLOOKUP($E63,'A-1 On-Site Habitat Baseline'!$D$1:$X$258,16,FALSE)),"",(VLOOKUP($E63,'A-1 On-Site Habitat Baseline'!$D$1:$X$258,13,FALSE))))</f>
        <v/>
      </c>
      <c r="P63" s="154" t="str">
        <f>IFERROR(INDEX('G-1 All Habitats'!$AG$49:$AG$63,MATCH(Q63,'G-1 All Habitats'!$AF$27:$AF$41,0)),"")</f>
        <v/>
      </c>
      <c r="Q63" s="155" t="str">
        <f t="shared" si="0"/>
        <v/>
      </c>
      <c r="R63" s="155"/>
      <c r="S63" s="237" t="str">
        <f>IFERROR(INDEX('G-1 All Habitats'!$B$3:$B$135,MATCH(R63,'G-1 All Habitats'!$A$3:$A$135,0)),"")</f>
        <v/>
      </c>
      <c r="T63" s="275" t="str">
        <f t="shared" si="1"/>
        <v/>
      </c>
      <c r="U63" s="276" t="str">
        <f t="shared" si="2"/>
        <v/>
      </c>
      <c r="V63" s="311" t="str">
        <f t="shared" si="3"/>
        <v/>
      </c>
      <c r="W63" s="295" t="str">
        <f>IF(S63="","",VLOOKUP(S63,'G-1 All Habitats'!$B$2:$M$135,10,FALSE))</f>
        <v/>
      </c>
      <c r="X63" s="295" t="str">
        <f>IFERROR(VLOOKUP(W63,'G-1 All Habitats'!$V$3:$W$7,2,FALSE),"")</f>
        <v/>
      </c>
      <c r="Y63" s="57"/>
      <c r="Z63" s="299" t="str">
        <f>IFERROR(INDEX('G-8 Condition Look up'!$A$3:$H$135,MATCH(S63,'G-8 Condition Look up'!$A$3:$A$135,0),MATCH(Y63,'G-8 Condition Look up'!$A$3:$H$3,0)),"")</f>
        <v/>
      </c>
      <c r="AA63" s="52"/>
      <c r="AB63" s="295" t="str">
        <f>IF(AA63="","",IF(VLOOKUP(AA63,'G-3 Multipliers'!$L$3:$N$6,2,FALSE)=0,"Spatial Data Missing ⚠",VLOOKUP(AA63,'G-3 Multipliers'!$L$3:$N$6,2,FALSE)))</f>
        <v/>
      </c>
      <c r="AC63" s="299" t="str">
        <f>IF(AA63="","",IF(VLOOKUP(AA63,'G-3 Multipliers'!$L$3:$N$6,3,FALSE)=0,"Spatial Data Missing ⚠",VLOOKUP(AA63,'G-3 Multipliers'!$L$3:$N$6,3,FALSE)))</f>
        <v/>
      </c>
      <c r="AD63" s="313" t="str">
        <f t="shared" si="4"/>
        <v/>
      </c>
      <c r="AE63" s="58"/>
      <c r="AF63" s="58"/>
      <c r="AG63" s="283" t="str">
        <f t="shared" si="5"/>
        <v/>
      </c>
      <c r="AH63" s="296" t="str">
        <f t="shared" si="6"/>
        <v/>
      </c>
      <c r="AI63" s="297" t="str">
        <f>IF(AH63="Check Data ⚠","Check Data ⚠",IFERROR(VLOOKUP(AH63,'G-4 Temporal multipliers'!$A$4:$C$36,3,FALSE),""))</f>
        <v/>
      </c>
      <c r="AJ63" s="275" t="str">
        <f>IF(S63="","",VLOOKUP(S63,'G-3 Multipliers'!$A$2:$E$134,4,FALSE))</f>
        <v/>
      </c>
      <c r="AK63" s="283" t="str">
        <f t="shared" si="7"/>
        <v/>
      </c>
      <c r="AL63" s="283" t="str">
        <f t="shared" si="8"/>
        <v/>
      </c>
      <c r="AM63" s="314" t="str">
        <f>IFERROR(IF(F63="","",IF(AH63="Check Data ⚠","Check Data ⚠",VLOOKUP(AL63,'G-3 Multipliers'!$P$2:$Q$6,2,FALSE))),"")</f>
        <v/>
      </c>
      <c r="AN63" s="289" t="str">
        <f t="shared" si="9"/>
        <v/>
      </c>
      <c r="AO63" s="52"/>
      <c r="AP63" s="51"/>
      <c r="AQ63" s="104"/>
      <c r="AT63" s="35" t="str">
        <f t="shared" si="10"/>
        <v>No</v>
      </c>
      <c r="AU63" s="35" t="str">
        <f>IF(E63="","",IF(ISNA(VLOOKUP($E63,'A-1 On-Site Habitat Baseline'!$D$1:$AV$258,4,FALSE)),"",(VLOOKUP($E63,'A-1 On-Site Habitat Baseline'!$D$1:$AV$258,4,FALSE))))</f>
        <v/>
      </c>
    </row>
    <row r="64" spans="1:47" ht="14">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05" t="str">
        <f>'A-1 On-Site Habitat Baseline'!AL63</f>
        <v/>
      </c>
      <c r="F64" s="295" t="str">
        <f>IF(E64="","",IF(ISNA(VLOOKUP($E64,'A-1 On-Site Habitat Baseline'!$D$1:$AV$258,45,FALSE)),"",(VLOOKUP($E64,'A-1 On-Site Habitat Baseline'!$D$1:$AV$258,45,FALSE))))</f>
        <v/>
      </c>
      <c r="G64" s="295" t="str">
        <f>IF(E64="","",IF(ISNA(VLOOKUP($E64,'A-1 On-Site Habitat Baseline'!$D$1:$O$258,5,FALSE)),"",(VLOOKUP($E64,'A-1 On-Site Habitat Baseline'!$D$1:$O$258,5,FALSE))))</f>
        <v/>
      </c>
      <c r="H64" s="295" t="str">
        <f>IF(E64="","",IF(ISNA(VLOOKUP($E64,'A-1 On-Site Habitat Baseline'!$D$1:$O$258,6,FALSE)),"",(VLOOKUP($E64,'A-1 On-Site Habitat Baseline'!$D$1:$O$258,6,FALSE))))</f>
        <v/>
      </c>
      <c r="I64" s="295" t="str">
        <f>IF(E64="","",IF(ISNA(VLOOKUP($E64,'A-1 On-Site Habitat Baseline'!$D$1:$O$258,7,FALSE)),"",(VLOOKUP($E64,'A-1 On-Site Habitat Baseline'!$D$1:$O$258,7,FALSE))))</f>
        <v/>
      </c>
      <c r="J64" s="295" t="str">
        <f>IF(E64="","",IF(ISNA(VLOOKUP($E64,'A-1 On-Site Habitat Baseline'!$D$1:$O$258,8,FALSE)),"",(VLOOKUP($E64,'A-1 On-Site Habitat Baseline'!$D$1:$O$258,8,FALSE))))</f>
        <v/>
      </c>
      <c r="K64" s="295" t="str">
        <f>IF(E64="","",IF(ISNA(VLOOKUP($E64,'A-1 On-Site Habitat Baseline'!$D$1:$O$258,9,FALSE)),"",(VLOOKUP($E64,'A-1 On-Site Habitat Baseline'!$D$1:$O$258,9,FALSE))))</f>
        <v/>
      </c>
      <c r="L64" s="295" t="str">
        <f>IF(E64="","",IF(ISNA(VLOOKUP($E64,'A-1 On-Site Habitat Baseline'!$D$1:$O$258,11,FALSE)),"",(VLOOKUP($E64,'A-1 On-Site Habitat Baseline'!$D$1:$O$258,11,FALSE))))</f>
        <v/>
      </c>
      <c r="M64" s="295" t="str">
        <f>IF(E64="","",IF(ISNA(VLOOKUP($E64,'A-1 On-Site Habitat Baseline'!$D$1:$O$258,12,FALSE)),"",(VLOOKUP($E64,'A-1 On-Site Habitat Baseline'!$D$1:$O$258,12,FALSE))))</f>
        <v/>
      </c>
      <c r="N64" s="306" t="str">
        <f>IF(E64="","",IF(ISNA(VLOOKUP($E64,'A-1 On-Site Habitat Baseline'!$D$1:$X$258,14,FALSE)),"",(VLOOKUP($E64,'A-1 On-Site Habitat Baseline'!$D$1:$X$258,14,FALSE))))</f>
        <v/>
      </c>
      <c r="O64" s="299" t="str">
        <f>IF(E64="","",IF(ISNA(VLOOKUP($E64,'A-1 On-Site Habitat Baseline'!$D$1:$X$258,16,FALSE)),"",(VLOOKUP($E64,'A-1 On-Site Habitat Baseline'!$D$1:$X$258,13,FALSE))))</f>
        <v/>
      </c>
      <c r="P64" s="154" t="str">
        <f>IFERROR(INDEX('G-1 All Habitats'!$AG$49:$AG$63,MATCH(Q64,'G-1 All Habitats'!$AF$27:$AF$41,0)),"")</f>
        <v/>
      </c>
      <c r="Q64" s="155" t="str">
        <f t="shared" si="0"/>
        <v/>
      </c>
      <c r="R64" s="155"/>
      <c r="S64" s="237" t="str">
        <f>IFERROR(INDEX('G-1 All Habitats'!$B$3:$B$135,MATCH(R64,'G-1 All Habitats'!$A$3:$A$135,0)),"")</f>
        <v/>
      </c>
      <c r="T64" s="275" t="str">
        <f t="shared" si="1"/>
        <v/>
      </c>
      <c r="U64" s="276" t="str">
        <f t="shared" si="2"/>
        <v/>
      </c>
      <c r="V64" s="311" t="str">
        <f t="shared" si="3"/>
        <v/>
      </c>
      <c r="W64" s="295" t="str">
        <f>IF(S64="","",VLOOKUP(S64,'G-1 All Habitats'!$B$2:$M$135,10,FALSE))</f>
        <v/>
      </c>
      <c r="X64" s="295" t="str">
        <f>IFERROR(VLOOKUP(W64,'G-1 All Habitats'!$V$3:$W$7,2,FALSE),"")</f>
        <v/>
      </c>
      <c r="Y64" s="57"/>
      <c r="Z64" s="299" t="str">
        <f>IFERROR(INDEX('G-8 Condition Look up'!$A$3:$H$135,MATCH(S64,'G-8 Condition Look up'!$A$3:$A$135,0),MATCH(Y64,'G-8 Condition Look up'!$A$3:$H$3,0)),"")</f>
        <v/>
      </c>
      <c r="AA64" s="52"/>
      <c r="AB64" s="295" t="str">
        <f>IF(AA64="","",IF(VLOOKUP(AA64,'G-3 Multipliers'!$L$3:$N$6,2,FALSE)=0,"Spatial Data Missing ⚠",VLOOKUP(AA64,'G-3 Multipliers'!$L$3:$N$6,2,FALSE)))</f>
        <v/>
      </c>
      <c r="AC64" s="299" t="str">
        <f>IF(AA64="","",IF(VLOOKUP(AA64,'G-3 Multipliers'!$L$3:$N$6,3,FALSE)=0,"Spatial Data Missing ⚠",VLOOKUP(AA64,'G-3 Multipliers'!$L$3:$N$6,3,FALSE)))</f>
        <v/>
      </c>
      <c r="AD64" s="313" t="str">
        <f t="shared" si="4"/>
        <v/>
      </c>
      <c r="AE64" s="58"/>
      <c r="AF64" s="58"/>
      <c r="AG64" s="283" t="str">
        <f t="shared" si="5"/>
        <v/>
      </c>
      <c r="AH64" s="296" t="str">
        <f t="shared" si="6"/>
        <v/>
      </c>
      <c r="AI64" s="297" t="str">
        <f>IF(AH64="Check Data ⚠","Check Data ⚠",IFERROR(VLOOKUP(AH64,'G-4 Temporal multipliers'!$A$4:$C$36,3,FALSE),""))</f>
        <v/>
      </c>
      <c r="AJ64" s="275" t="str">
        <f>IF(S64="","",VLOOKUP(S64,'G-3 Multipliers'!$A$2:$E$134,4,FALSE))</f>
        <v/>
      </c>
      <c r="AK64" s="283" t="str">
        <f t="shared" si="7"/>
        <v/>
      </c>
      <c r="AL64" s="283" t="str">
        <f t="shared" si="8"/>
        <v/>
      </c>
      <c r="AM64" s="314" t="str">
        <f>IFERROR(IF(F64="","",IF(AH64="Check Data ⚠","Check Data ⚠",VLOOKUP(AL64,'G-3 Multipliers'!$P$2:$Q$6,2,FALSE))),"")</f>
        <v/>
      </c>
      <c r="AN64" s="289" t="str">
        <f t="shared" si="9"/>
        <v/>
      </c>
      <c r="AO64" s="52"/>
      <c r="AP64" s="51"/>
      <c r="AQ64" s="104"/>
      <c r="AT64" s="35" t="str">
        <f t="shared" si="10"/>
        <v>No</v>
      </c>
      <c r="AU64" s="35" t="str">
        <f>IF(E64="","",IF(ISNA(VLOOKUP($E64,'A-1 On-Site Habitat Baseline'!$D$1:$AV$258,4,FALSE)),"",(VLOOKUP($E64,'A-1 On-Site Habitat Baseline'!$D$1:$AV$258,4,FALSE))))</f>
        <v/>
      </c>
    </row>
    <row r="65" spans="1:47" ht="14">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05" t="str">
        <f>'A-1 On-Site Habitat Baseline'!AL64</f>
        <v/>
      </c>
      <c r="F65" s="295" t="str">
        <f>IF(E65="","",IF(ISNA(VLOOKUP($E65,'A-1 On-Site Habitat Baseline'!$D$1:$AV$258,45,FALSE)),"",(VLOOKUP($E65,'A-1 On-Site Habitat Baseline'!$D$1:$AV$258,45,FALSE))))</f>
        <v/>
      </c>
      <c r="G65" s="295" t="str">
        <f>IF(E65="","",IF(ISNA(VLOOKUP($E65,'A-1 On-Site Habitat Baseline'!$D$1:$O$258,5,FALSE)),"",(VLOOKUP($E65,'A-1 On-Site Habitat Baseline'!$D$1:$O$258,5,FALSE))))</f>
        <v/>
      </c>
      <c r="H65" s="295" t="str">
        <f>IF(E65="","",IF(ISNA(VLOOKUP($E65,'A-1 On-Site Habitat Baseline'!$D$1:$O$258,6,FALSE)),"",(VLOOKUP($E65,'A-1 On-Site Habitat Baseline'!$D$1:$O$258,6,FALSE))))</f>
        <v/>
      </c>
      <c r="I65" s="295" t="str">
        <f>IF(E65="","",IF(ISNA(VLOOKUP($E65,'A-1 On-Site Habitat Baseline'!$D$1:$O$258,7,FALSE)),"",(VLOOKUP($E65,'A-1 On-Site Habitat Baseline'!$D$1:$O$258,7,FALSE))))</f>
        <v/>
      </c>
      <c r="J65" s="295" t="str">
        <f>IF(E65="","",IF(ISNA(VLOOKUP($E65,'A-1 On-Site Habitat Baseline'!$D$1:$O$258,8,FALSE)),"",(VLOOKUP($E65,'A-1 On-Site Habitat Baseline'!$D$1:$O$258,8,FALSE))))</f>
        <v/>
      </c>
      <c r="K65" s="295" t="str">
        <f>IF(E65="","",IF(ISNA(VLOOKUP($E65,'A-1 On-Site Habitat Baseline'!$D$1:$O$258,9,FALSE)),"",(VLOOKUP($E65,'A-1 On-Site Habitat Baseline'!$D$1:$O$258,9,FALSE))))</f>
        <v/>
      </c>
      <c r="L65" s="295" t="str">
        <f>IF(E65="","",IF(ISNA(VLOOKUP($E65,'A-1 On-Site Habitat Baseline'!$D$1:$O$258,11,FALSE)),"",(VLOOKUP($E65,'A-1 On-Site Habitat Baseline'!$D$1:$O$258,11,FALSE))))</f>
        <v/>
      </c>
      <c r="M65" s="295" t="str">
        <f>IF(E65="","",IF(ISNA(VLOOKUP($E65,'A-1 On-Site Habitat Baseline'!$D$1:$O$258,12,FALSE)),"",(VLOOKUP($E65,'A-1 On-Site Habitat Baseline'!$D$1:$O$258,12,FALSE))))</f>
        <v/>
      </c>
      <c r="N65" s="306" t="str">
        <f>IF(E65="","",IF(ISNA(VLOOKUP($E65,'A-1 On-Site Habitat Baseline'!$D$1:$X$258,14,FALSE)),"",(VLOOKUP($E65,'A-1 On-Site Habitat Baseline'!$D$1:$X$258,14,FALSE))))</f>
        <v/>
      </c>
      <c r="O65" s="299" t="str">
        <f>IF(E65="","",IF(ISNA(VLOOKUP($E65,'A-1 On-Site Habitat Baseline'!$D$1:$X$258,16,FALSE)),"",(VLOOKUP($E65,'A-1 On-Site Habitat Baseline'!$D$1:$X$258,13,FALSE))))</f>
        <v/>
      </c>
      <c r="P65" s="154" t="str">
        <f>IFERROR(INDEX('G-1 All Habitats'!$AG$49:$AG$63,MATCH(Q65,'G-1 All Habitats'!$AF$27:$AF$41,0)),"")</f>
        <v/>
      </c>
      <c r="Q65" s="155" t="str">
        <f t="shared" si="0"/>
        <v/>
      </c>
      <c r="R65" s="155"/>
      <c r="S65" s="237" t="str">
        <f>IFERROR(INDEX('G-1 All Habitats'!$B$3:$B$135,MATCH(R65,'G-1 All Habitats'!$A$3:$A$135,0)),"")</f>
        <v/>
      </c>
      <c r="T65" s="275" t="str">
        <f t="shared" si="1"/>
        <v/>
      </c>
      <c r="U65" s="276" t="str">
        <f t="shared" si="2"/>
        <v/>
      </c>
      <c r="V65" s="311" t="str">
        <f t="shared" si="3"/>
        <v/>
      </c>
      <c r="W65" s="295" t="str">
        <f>IF(S65="","",VLOOKUP(S65,'G-1 All Habitats'!$B$2:$M$135,10,FALSE))</f>
        <v/>
      </c>
      <c r="X65" s="295" t="str">
        <f>IFERROR(VLOOKUP(W65,'G-1 All Habitats'!$V$3:$W$7,2,FALSE),"")</f>
        <v/>
      </c>
      <c r="Y65" s="57"/>
      <c r="Z65" s="299" t="str">
        <f>IFERROR(INDEX('G-8 Condition Look up'!$A$3:$H$135,MATCH(S65,'G-8 Condition Look up'!$A$3:$A$135,0),MATCH(Y65,'G-8 Condition Look up'!$A$3:$H$3,0)),"")</f>
        <v/>
      </c>
      <c r="AA65" s="52"/>
      <c r="AB65" s="295" t="str">
        <f>IF(AA65="","",IF(VLOOKUP(AA65,'G-3 Multipliers'!$L$3:$N$6,2,FALSE)=0,"Spatial Data Missing ⚠",VLOOKUP(AA65,'G-3 Multipliers'!$L$3:$N$6,2,FALSE)))</f>
        <v/>
      </c>
      <c r="AC65" s="299" t="str">
        <f>IF(AA65="","",IF(VLOOKUP(AA65,'G-3 Multipliers'!$L$3:$N$6,3,FALSE)=0,"Spatial Data Missing ⚠",VLOOKUP(AA65,'G-3 Multipliers'!$L$3:$N$6,3,FALSE)))</f>
        <v/>
      </c>
      <c r="AD65" s="313" t="str">
        <f t="shared" si="4"/>
        <v/>
      </c>
      <c r="AE65" s="58"/>
      <c r="AF65" s="58"/>
      <c r="AG65" s="283" t="str">
        <f t="shared" si="5"/>
        <v/>
      </c>
      <c r="AH65" s="296" t="str">
        <f t="shared" si="6"/>
        <v/>
      </c>
      <c r="AI65" s="297" t="str">
        <f>IF(AH65="Check Data ⚠","Check Data ⚠",IFERROR(VLOOKUP(AH65,'G-4 Temporal multipliers'!$A$4:$C$36,3,FALSE),""))</f>
        <v/>
      </c>
      <c r="AJ65" s="275" t="str">
        <f>IF(S65="","",VLOOKUP(S65,'G-3 Multipliers'!$A$2:$E$134,4,FALSE))</f>
        <v/>
      </c>
      <c r="AK65" s="283" t="str">
        <f t="shared" si="7"/>
        <v/>
      </c>
      <c r="AL65" s="283" t="str">
        <f t="shared" si="8"/>
        <v/>
      </c>
      <c r="AM65" s="314" t="str">
        <f>IFERROR(IF(F65="","",IF(AH65="Check Data ⚠","Check Data ⚠",VLOOKUP(AL65,'G-3 Multipliers'!$P$2:$Q$6,2,FALSE))),"")</f>
        <v/>
      </c>
      <c r="AN65" s="289" t="str">
        <f t="shared" si="9"/>
        <v/>
      </c>
      <c r="AO65" s="52"/>
      <c r="AP65" s="51"/>
      <c r="AQ65" s="104"/>
      <c r="AT65" s="35" t="str">
        <f t="shared" si="10"/>
        <v>No</v>
      </c>
      <c r="AU65" s="35" t="str">
        <f>IF(E65="","",IF(ISNA(VLOOKUP($E65,'A-1 On-Site Habitat Baseline'!$D$1:$AV$258,4,FALSE)),"",(VLOOKUP($E65,'A-1 On-Site Habitat Baseline'!$D$1:$AV$258,4,FALSE))))</f>
        <v/>
      </c>
    </row>
    <row r="66" spans="1:47" ht="14">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05" t="str">
        <f>'A-1 On-Site Habitat Baseline'!AL65</f>
        <v/>
      </c>
      <c r="F66" s="295" t="str">
        <f>IF(E66="","",IF(ISNA(VLOOKUP($E66,'A-1 On-Site Habitat Baseline'!$D$1:$AV$258,45,FALSE)),"",(VLOOKUP($E66,'A-1 On-Site Habitat Baseline'!$D$1:$AV$258,45,FALSE))))</f>
        <v/>
      </c>
      <c r="G66" s="295" t="str">
        <f>IF(E66="","",IF(ISNA(VLOOKUP($E66,'A-1 On-Site Habitat Baseline'!$D$1:$O$258,5,FALSE)),"",(VLOOKUP($E66,'A-1 On-Site Habitat Baseline'!$D$1:$O$258,5,FALSE))))</f>
        <v/>
      </c>
      <c r="H66" s="295" t="str">
        <f>IF(E66="","",IF(ISNA(VLOOKUP($E66,'A-1 On-Site Habitat Baseline'!$D$1:$O$258,6,FALSE)),"",(VLOOKUP($E66,'A-1 On-Site Habitat Baseline'!$D$1:$O$258,6,FALSE))))</f>
        <v/>
      </c>
      <c r="I66" s="295" t="str">
        <f>IF(E66="","",IF(ISNA(VLOOKUP($E66,'A-1 On-Site Habitat Baseline'!$D$1:$O$258,7,FALSE)),"",(VLOOKUP($E66,'A-1 On-Site Habitat Baseline'!$D$1:$O$258,7,FALSE))))</f>
        <v/>
      </c>
      <c r="J66" s="295" t="str">
        <f>IF(E66="","",IF(ISNA(VLOOKUP($E66,'A-1 On-Site Habitat Baseline'!$D$1:$O$258,8,FALSE)),"",(VLOOKUP($E66,'A-1 On-Site Habitat Baseline'!$D$1:$O$258,8,FALSE))))</f>
        <v/>
      </c>
      <c r="K66" s="295" t="str">
        <f>IF(E66="","",IF(ISNA(VLOOKUP($E66,'A-1 On-Site Habitat Baseline'!$D$1:$O$258,9,FALSE)),"",(VLOOKUP($E66,'A-1 On-Site Habitat Baseline'!$D$1:$O$258,9,FALSE))))</f>
        <v/>
      </c>
      <c r="L66" s="295" t="str">
        <f>IF(E66="","",IF(ISNA(VLOOKUP($E66,'A-1 On-Site Habitat Baseline'!$D$1:$O$258,11,FALSE)),"",(VLOOKUP($E66,'A-1 On-Site Habitat Baseline'!$D$1:$O$258,11,FALSE))))</f>
        <v/>
      </c>
      <c r="M66" s="295" t="str">
        <f>IF(E66="","",IF(ISNA(VLOOKUP($E66,'A-1 On-Site Habitat Baseline'!$D$1:$O$258,12,FALSE)),"",(VLOOKUP($E66,'A-1 On-Site Habitat Baseline'!$D$1:$O$258,12,FALSE))))</f>
        <v/>
      </c>
      <c r="N66" s="306" t="str">
        <f>IF(E66="","",IF(ISNA(VLOOKUP($E66,'A-1 On-Site Habitat Baseline'!$D$1:$X$258,14,FALSE)),"",(VLOOKUP($E66,'A-1 On-Site Habitat Baseline'!$D$1:$X$258,14,FALSE))))</f>
        <v/>
      </c>
      <c r="O66" s="299" t="str">
        <f>IF(E66="","",IF(ISNA(VLOOKUP($E66,'A-1 On-Site Habitat Baseline'!$D$1:$X$258,16,FALSE)),"",(VLOOKUP($E66,'A-1 On-Site Habitat Baseline'!$D$1:$X$258,13,FALSE))))</f>
        <v/>
      </c>
      <c r="P66" s="154" t="str">
        <f>IFERROR(INDEX('G-1 All Habitats'!$AG$49:$AG$63,MATCH(Q66,'G-1 All Habitats'!$AF$27:$AF$41,0)),"")</f>
        <v/>
      </c>
      <c r="Q66" s="155" t="str">
        <f t="shared" si="0"/>
        <v/>
      </c>
      <c r="R66" s="155"/>
      <c r="S66" s="237" t="str">
        <f>IFERROR(INDEX('G-1 All Habitats'!$B$3:$B$135,MATCH(R66,'G-1 All Habitats'!$A$3:$A$135,0)),"")</f>
        <v/>
      </c>
      <c r="T66" s="275" t="str">
        <f t="shared" si="1"/>
        <v/>
      </c>
      <c r="U66" s="276" t="str">
        <f t="shared" si="2"/>
        <v/>
      </c>
      <c r="V66" s="311" t="str">
        <f t="shared" si="3"/>
        <v/>
      </c>
      <c r="W66" s="295" t="str">
        <f>IF(S66="","",VLOOKUP(S66,'G-1 All Habitats'!$B$2:$M$135,10,FALSE))</f>
        <v/>
      </c>
      <c r="X66" s="295" t="str">
        <f>IFERROR(VLOOKUP(W66,'G-1 All Habitats'!$V$3:$W$7,2,FALSE),"")</f>
        <v/>
      </c>
      <c r="Y66" s="57"/>
      <c r="Z66" s="299" t="str">
        <f>IFERROR(INDEX('G-8 Condition Look up'!$A$3:$H$135,MATCH(S66,'G-8 Condition Look up'!$A$3:$A$135,0),MATCH(Y66,'G-8 Condition Look up'!$A$3:$H$3,0)),"")</f>
        <v/>
      </c>
      <c r="AA66" s="52"/>
      <c r="AB66" s="295" t="str">
        <f>IF(AA66="","",IF(VLOOKUP(AA66,'G-3 Multipliers'!$L$3:$N$6,2,FALSE)=0,"Spatial Data Missing ⚠",VLOOKUP(AA66,'G-3 Multipliers'!$L$3:$N$6,2,FALSE)))</f>
        <v/>
      </c>
      <c r="AC66" s="299" t="str">
        <f>IF(AA66="","",IF(VLOOKUP(AA66,'G-3 Multipliers'!$L$3:$N$6,3,FALSE)=0,"Spatial Data Missing ⚠",VLOOKUP(AA66,'G-3 Multipliers'!$L$3:$N$6,3,FALSE)))</f>
        <v/>
      </c>
      <c r="AD66" s="313" t="str">
        <f t="shared" si="4"/>
        <v/>
      </c>
      <c r="AE66" s="58"/>
      <c r="AF66" s="58"/>
      <c r="AG66" s="283" t="str">
        <f t="shared" si="5"/>
        <v/>
      </c>
      <c r="AH66" s="296" t="str">
        <f t="shared" si="6"/>
        <v/>
      </c>
      <c r="AI66" s="297" t="str">
        <f>IF(AH66="Check Data ⚠","Check Data ⚠",IFERROR(VLOOKUP(AH66,'G-4 Temporal multipliers'!$A$4:$C$36,3,FALSE),""))</f>
        <v/>
      </c>
      <c r="AJ66" s="275" t="str">
        <f>IF(S66="","",VLOOKUP(S66,'G-3 Multipliers'!$A$2:$E$134,4,FALSE))</f>
        <v/>
      </c>
      <c r="AK66" s="283" t="str">
        <f t="shared" si="7"/>
        <v/>
      </c>
      <c r="AL66" s="283" t="str">
        <f t="shared" si="8"/>
        <v/>
      </c>
      <c r="AM66" s="314" t="str">
        <f>IFERROR(IF(F66="","",IF(AH66="Check Data ⚠","Check Data ⚠",VLOOKUP(AL66,'G-3 Multipliers'!$P$2:$Q$6,2,FALSE))),"")</f>
        <v/>
      </c>
      <c r="AN66" s="289" t="str">
        <f t="shared" si="9"/>
        <v/>
      </c>
      <c r="AO66" s="52"/>
      <c r="AP66" s="51"/>
      <c r="AQ66" s="104"/>
      <c r="AT66" s="35" t="str">
        <f t="shared" si="10"/>
        <v>No</v>
      </c>
      <c r="AU66" s="35" t="str">
        <f>IF(E66="","",IF(ISNA(VLOOKUP($E66,'A-1 On-Site Habitat Baseline'!$D$1:$AV$258,4,FALSE)),"",(VLOOKUP($E66,'A-1 On-Site Habitat Baseline'!$D$1:$AV$258,4,FALSE))))</f>
        <v/>
      </c>
    </row>
    <row r="67" spans="1:47" ht="14">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05" t="str">
        <f>'A-1 On-Site Habitat Baseline'!AL66</f>
        <v/>
      </c>
      <c r="F67" s="295" t="str">
        <f>IF(E67="","",IF(ISNA(VLOOKUP($E67,'A-1 On-Site Habitat Baseline'!$D$1:$AV$258,45,FALSE)),"",(VLOOKUP($E67,'A-1 On-Site Habitat Baseline'!$D$1:$AV$258,45,FALSE))))</f>
        <v/>
      </c>
      <c r="G67" s="295" t="str">
        <f>IF(E67="","",IF(ISNA(VLOOKUP($E67,'A-1 On-Site Habitat Baseline'!$D$1:$O$258,5,FALSE)),"",(VLOOKUP($E67,'A-1 On-Site Habitat Baseline'!$D$1:$O$258,5,FALSE))))</f>
        <v/>
      </c>
      <c r="H67" s="295" t="str">
        <f>IF(E67="","",IF(ISNA(VLOOKUP($E67,'A-1 On-Site Habitat Baseline'!$D$1:$O$258,6,FALSE)),"",(VLOOKUP($E67,'A-1 On-Site Habitat Baseline'!$D$1:$O$258,6,FALSE))))</f>
        <v/>
      </c>
      <c r="I67" s="295" t="str">
        <f>IF(E67="","",IF(ISNA(VLOOKUP($E67,'A-1 On-Site Habitat Baseline'!$D$1:$O$258,7,FALSE)),"",(VLOOKUP($E67,'A-1 On-Site Habitat Baseline'!$D$1:$O$258,7,FALSE))))</f>
        <v/>
      </c>
      <c r="J67" s="295" t="str">
        <f>IF(E67="","",IF(ISNA(VLOOKUP($E67,'A-1 On-Site Habitat Baseline'!$D$1:$O$258,8,FALSE)),"",(VLOOKUP($E67,'A-1 On-Site Habitat Baseline'!$D$1:$O$258,8,FALSE))))</f>
        <v/>
      </c>
      <c r="K67" s="295" t="str">
        <f>IF(E67="","",IF(ISNA(VLOOKUP($E67,'A-1 On-Site Habitat Baseline'!$D$1:$O$258,9,FALSE)),"",(VLOOKUP($E67,'A-1 On-Site Habitat Baseline'!$D$1:$O$258,9,FALSE))))</f>
        <v/>
      </c>
      <c r="L67" s="295" t="str">
        <f>IF(E67="","",IF(ISNA(VLOOKUP($E67,'A-1 On-Site Habitat Baseline'!$D$1:$O$258,11,FALSE)),"",(VLOOKUP($E67,'A-1 On-Site Habitat Baseline'!$D$1:$O$258,11,FALSE))))</f>
        <v/>
      </c>
      <c r="M67" s="295" t="str">
        <f>IF(E67="","",IF(ISNA(VLOOKUP($E67,'A-1 On-Site Habitat Baseline'!$D$1:$O$258,12,FALSE)),"",(VLOOKUP($E67,'A-1 On-Site Habitat Baseline'!$D$1:$O$258,12,FALSE))))</f>
        <v/>
      </c>
      <c r="N67" s="306" t="str">
        <f>IF(E67="","",IF(ISNA(VLOOKUP($E67,'A-1 On-Site Habitat Baseline'!$D$1:$X$258,14,FALSE)),"",(VLOOKUP($E67,'A-1 On-Site Habitat Baseline'!$D$1:$X$258,14,FALSE))))</f>
        <v/>
      </c>
      <c r="O67" s="299" t="str">
        <f>IF(E67="","",IF(ISNA(VLOOKUP($E67,'A-1 On-Site Habitat Baseline'!$D$1:$X$258,16,FALSE)),"",(VLOOKUP($E67,'A-1 On-Site Habitat Baseline'!$D$1:$X$258,13,FALSE))))</f>
        <v/>
      </c>
      <c r="P67" s="154" t="str">
        <f>IFERROR(INDEX('G-1 All Habitats'!$AG$49:$AG$63,MATCH(Q67,'G-1 All Habitats'!$AF$27:$AF$41,0)),"")</f>
        <v/>
      </c>
      <c r="Q67" s="155" t="str">
        <f t="shared" si="0"/>
        <v/>
      </c>
      <c r="R67" s="155"/>
      <c r="S67" s="237" t="str">
        <f>IFERROR(INDEX('G-1 All Habitats'!$B$3:$B$135,MATCH(R67,'G-1 All Habitats'!$A$3:$A$135,0)),"")</f>
        <v/>
      </c>
      <c r="T67" s="275" t="str">
        <f t="shared" si="1"/>
        <v/>
      </c>
      <c r="U67" s="276" t="str">
        <f t="shared" si="2"/>
        <v/>
      </c>
      <c r="V67" s="311" t="str">
        <f t="shared" si="3"/>
        <v/>
      </c>
      <c r="W67" s="295" t="str">
        <f>IF(S67="","",VLOOKUP(S67,'G-1 All Habitats'!$B$2:$M$135,10,FALSE))</f>
        <v/>
      </c>
      <c r="X67" s="295" t="str">
        <f>IFERROR(VLOOKUP(W67,'G-1 All Habitats'!$V$3:$W$7,2,FALSE),"")</f>
        <v/>
      </c>
      <c r="Y67" s="57"/>
      <c r="Z67" s="299" t="str">
        <f>IFERROR(INDEX('G-8 Condition Look up'!$A$3:$H$135,MATCH(S67,'G-8 Condition Look up'!$A$3:$A$135,0),MATCH(Y67,'G-8 Condition Look up'!$A$3:$H$3,0)),"")</f>
        <v/>
      </c>
      <c r="AA67" s="52"/>
      <c r="AB67" s="295" t="str">
        <f>IF(AA67="","",IF(VLOOKUP(AA67,'G-3 Multipliers'!$L$3:$N$6,2,FALSE)=0,"Spatial Data Missing ⚠",VLOOKUP(AA67,'G-3 Multipliers'!$L$3:$N$6,2,FALSE)))</f>
        <v/>
      </c>
      <c r="AC67" s="299" t="str">
        <f>IF(AA67="","",IF(VLOOKUP(AA67,'G-3 Multipliers'!$L$3:$N$6,3,FALSE)=0,"Spatial Data Missing ⚠",VLOOKUP(AA67,'G-3 Multipliers'!$L$3:$N$6,3,FALSE)))</f>
        <v/>
      </c>
      <c r="AD67" s="313" t="str">
        <f t="shared" si="4"/>
        <v/>
      </c>
      <c r="AE67" s="58"/>
      <c r="AF67" s="58"/>
      <c r="AG67" s="283" t="str">
        <f t="shared" si="5"/>
        <v/>
      </c>
      <c r="AH67" s="296" t="str">
        <f t="shared" si="6"/>
        <v/>
      </c>
      <c r="AI67" s="297" t="str">
        <f>IF(AH67="Check Data ⚠","Check Data ⚠",IFERROR(VLOOKUP(AH67,'G-4 Temporal multipliers'!$A$4:$C$36,3,FALSE),""))</f>
        <v/>
      </c>
      <c r="AJ67" s="275" t="str">
        <f>IF(S67="","",VLOOKUP(S67,'G-3 Multipliers'!$A$2:$E$134,4,FALSE))</f>
        <v/>
      </c>
      <c r="AK67" s="283" t="str">
        <f t="shared" si="7"/>
        <v/>
      </c>
      <c r="AL67" s="283" t="str">
        <f t="shared" si="8"/>
        <v/>
      </c>
      <c r="AM67" s="314" t="str">
        <f>IFERROR(IF(F67="","",IF(AH67="Check Data ⚠","Check Data ⚠",VLOOKUP(AL67,'G-3 Multipliers'!$P$2:$Q$6,2,FALSE))),"")</f>
        <v/>
      </c>
      <c r="AN67" s="289" t="str">
        <f t="shared" si="9"/>
        <v/>
      </c>
      <c r="AO67" s="52"/>
      <c r="AP67" s="51"/>
      <c r="AQ67" s="104"/>
      <c r="AT67" s="35" t="str">
        <f t="shared" si="10"/>
        <v>No</v>
      </c>
      <c r="AU67" s="35" t="str">
        <f>IF(E67="","",IF(ISNA(VLOOKUP($E67,'A-1 On-Site Habitat Baseline'!$D$1:$AV$258,4,FALSE)),"",(VLOOKUP($E67,'A-1 On-Site Habitat Baseline'!$D$1:$AV$258,4,FALSE))))</f>
        <v/>
      </c>
    </row>
    <row r="68" spans="1:47" ht="14">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05" t="str">
        <f>'A-1 On-Site Habitat Baseline'!AL67</f>
        <v/>
      </c>
      <c r="F68" s="295" t="str">
        <f>IF(E68="","",IF(ISNA(VLOOKUP($E68,'A-1 On-Site Habitat Baseline'!$D$1:$AV$258,45,FALSE)),"",(VLOOKUP($E68,'A-1 On-Site Habitat Baseline'!$D$1:$AV$258,45,FALSE))))</f>
        <v/>
      </c>
      <c r="G68" s="295" t="str">
        <f>IF(E68="","",IF(ISNA(VLOOKUP($E68,'A-1 On-Site Habitat Baseline'!$D$1:$O$258,5,FALSE)),"",(VLOOKUP($E68,'A-1 On-Site Habitat Baseline'!$D$1:$O$258,5,FALSE))))</f>
        <v/>
      </c>
      <c r="H68" s="295" t="str">
        <f>IF(E68="","",IF(ISNA(VLOOKUP($E68,'A-1 On-Site Habitat Baseline'!$D$1:$O$258,6,FALSE)),"",(VLOOKUP($E68,'A-1 On-Site Habitat Baseline'!$D$1:$O$258,6,FALSE))))</f>
        <v/>
      </c>
      <c r="I68" s="295" t="str">
        <f>IF(E68="","",IF(ISNA(VLOOKUP($E68,'A-1 On-Site Habitat Baseline'!$D$1:$O$258,7,FALSE)),"",(VLOOKUP($E68,'A-1 On-Site Habitat Baseline'!$D$1:$O$258,7,FALSE))))</f>
        <v/>
      </c>
      <c r="J68" s="295" t="str">
        <f>IF(E68="","",IF(ISNA(VLOOKUP($E68,'A-1 On-Site Habitat Baseline'!$D$1:$O$258,8,FALSE)),"",(VLOOKUP($E68,'A-1 On-Site Habitat Baseline'!$D$1:$O$258,8,FALSE))))</f>
        <v/>
      </c>
      <c r="K68" s="295" t="str">
        <f>IF(E68="","",IF(ISNA(VLOOKUP($E68,'A-1 On-Site Habitat Baseline'!$D$1:$O$258,9,FALSE)),"",(VLOOKUP($E68,'A-1 On-Site Habitat Baseline'!$D$1:$O$258,9,FALSE))))</f>
        <v/>
      </c>
      <c r="L68" s="295" t="str">
        <f>IF(E68="","",IF(ISNA(VLOOKUP($E68,'A-1 On-Site Habitat Baseline'!$D$1:$O$258,11,FALSE)),"",(VLOOKUP($E68,'A-1 On-Site Habitat Baseline'!$D$1:$O$258,11,FALSE))))</f>
        <v/>
      </c>
      <c r="M68" s="295" t="str">
        <f>IF(E68="","",IF(ISNA(VLOOKUP($E68,'A-1 On-Site Habitat Baseline'!$D$1:$O$258,12,FALSE)),"",(VLOOKUP($E68,'A-1 On-Site Habitat Baseline'!$D$1:$O$258,12,FALSE))))</f>
        <v/>
      </c>
      <c r="N68" s="306" t="str">
        <f>IF(E68="","",IF(ISNA(VLOOKUP($E68,'A-1 On-Site Habitat Baseline'!$D$1:$X$258,14,FALSE)),"",(VLOOKUP($E68,'A-1 On-Site Habitat Baseline'!$D$1:$X$258,14,FALSE))))</f>
        <v/>
      </c>
      <c r="O68" s="299" t="str">
        <f>IF(E68="","",IF(ISNA(VLOOKUP($E68,'A-1 On-Site Habitat Baseline'!$D$1:$X$258,16,FALSE)),"",(VLOOKUP($E68,'A-1 On-Site Habitat Baseline'!$D$1:$X$258,13,FALSE))))</f>
        <v/>
      </c>
      <c r="P68" s="154" t="str">
        <f>IFERROR(INDEX('G-1 All Habitats'!$AG$49:$AG$63,MATCH(Q68,'G-1 All Habitats'!$AF$27:$AF$41,0)),"")</f>
        <v/>
      </c>
      <c r="Q68" s="155" t="str">
        <f t="shared" si="0"/>
        <v/>
      </c>
      <c r="R68" s="155"/>
      <c r="S68" s="237" t="str">
        <f>IFERROR(INDEX('G-1 All Habitats'!$B$3:$B$135,MATCH(R68,'G-1 All Habitats'!$A$3:$A$135,0)),"")</f>
        <v/>
      </c>
      <c r="T68" s="275" t="str">
        <f t="shared" si="1"/>
        <v/>
      </c>
      <c r="U68" s="276" t="str">
        <f t="shared" si="2"/>
        <v/>
      </c>
      <c r="V68" s="311" t="str">
        <f t="shared" si="3"/>
        <v/>
      </c>
      <c r="W68" s="295" t="str">
        <f>IF(S68="","",VLOOKUP(S68,'G-1 All Habitats'!$B$2:$M$135,10,FALSE))</f>
        <v/>
      </c>
      <c r="X68" s="295" t="str">
        <f>IFERROR(VLOOKUP(W68,'G-1 All Habitats'!$V$3:$W$7,2,FALSE),"")</f>
        <v/>
      </c>
      <c r="Y68" s="57"/>
      <c r="Z68" s="299" t="str">
        <f>IFERROR(INDEX('G-8 Condition Look up'!$A$3:$H$135,MATCH(S68,'G-8 Condition Look up'!$A$3:$A$135,0),MATCH(Y68,'G-8 Condition Look up'!$A$3:$H$3,0)),"")</f>
        <v/>
      </c>
      <c r="AA68" s="52"/>
      <c r="AB68" s="295" t="str">
        <f>IF(AA68="","",IF(VLOOKUP(AA68,'G-3 Multipliers'!$L$3:$N$6,2,FALSE)=0,"Spatial Data Missing ⚠",VLOOKUP(AA68,'G-3 Multipliers'!$L$3:$N$6,2,FALSE)))</f>
        <v/>
      </c>
      <c r="AC68" s="299" t="str">
        <f>IF(AA68="","",IF(VLOOKUP(AA68,'G-3 Multipliers'!$L$3:$N$6,3,FALSE)=0,"Spatial Data Missing ⚠",VLOOKUP(AA68,'G-3 Multipliers'!$L$3:$N$6,3,FALSE)))</f>
        <v/>
      </c>
      <c r="AD68" s="313" t="str">
        <f t="shared" si="4"/>
        <v/>
      </c>
      <c r="AE68" s="58"/>
      <c r="AF68" s="58"/>
      <c r="AG68" s="283" t="str">
        <f t="shared" si="5"/>
        <v/>
      </c>
      <c r="AH68" s="296" t="str">
        <f t="shared" si="6"/>
        <v/>
      </c>
      <c r="AI68" s="297" t="str">
        <f>IF(AH68="Check Data ⚠","Check Data ⚠",IFERROR(VLOOKUP(AH68,'G-4 Temporal multipliers'!$A$4:$C$36,3,FALSE),""))</f>
        <v/>
      </c>
      <c r="AJ68" s="275" t="str">
        <f>IF(S68="","",VLOOKUP(S68,'G-3 Multipliers'!$A$2:$E$134,4,FALSE))</f>
        <v/>
      </c>
      <c r="AK68" s="283" t="str">
        <f t="shared" si="7"/>
        <v/>
      </c>
      <c r="AL68" s="283" t="str">
        <f t="shared" si="8"/>
        <v/>
      </c>
      <c r="AM68" s="314" t="str">
        <f>IFERROR(IF(F68="","",IF(AH68="Check Data ⚠","Check Data ⚠",VLOOKUP(AL68,'G-3 Multipliers'!$P$2:$Q$6,2,FALSE))),"")</f>
        <v/>
      </c>
      <c r="AN68" s="289" t="str">
        <f t="shared" si="9"/>
        <v/>
      </c>
      <c r="AO68" s="52"/>
      <c r="AP68" s="51"/>
      <c r="AQ68" s="104"/>
      <c r="AT68" s="35" t="str">
        <f t="shared" si="10"/>
        <v>No</v>
      </c>
      <c r="AU68" s="35" t="str">
        <f>IF(E68="","",IF(ISNA(VLOOKUP($E68,'A-1 On-Site Habitat Baseline'!$D$1:$AV$258,4,FALSE)),"",(VLOOKUP($E68,'A-1 On-Site Habitat Baseline'!$D$1:$AV$258,4,FALSE))))</f>
        <v/>
      </c>
    </row>
    <row r="69" spans="1:47" ht="14">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05" t="str">
        <f>'A-1 On-Site Habitat Baseline'!AL68</f>
        <v/>
      </c>
      <c r="F69" s="295" t="str">
        <f>IF(E69="","",IF(ISNA(VLOOKUP($E69,'A-1 On-Site Habitat Baseline'!$D$1:$AV$258,45,FALSE)),"",(VLOOKUP($E69,'A-1 On-Site Habitat Baseline'!$D$1:$AV$258,45,FALSE))))</f>
        <v/>
      </c>
      <c r="G69" s="295" t="str">
        <f>IF(E69="","",IF(ISNA(VLOOKUP($E69,'A-1 On-Site Habitat Baseline'!$D$1:$O$258,5,FALSE)),"",(VLOOKUP($E69,'A-1 On-Site Habitat Baseline'!$D$1:$O$258,5,FALSE))))</f>
        <v/>
      </c>
      <c r="H69" s="295" t="str">
        <f>IF(E69="","",IF(ISNA(VLOOKUP($E69,'A-1 On-Site Habitat Baseline'!$D$1:$O$258,6,FALSE)),"",(VLOOKUP($E69,'A-1 On-Site Habitat Baseline'!$D$1:$O$258,6,FALSE))))</f>
        <v/>
      </c>
      <c r="I69" s="295" t="str">
        <f>IF(E69="","",IF(ISNA(VLOOKUP($E69,'A-1 On-Site Habitat Baseline'!$D$1:$O$258,7,FALSE)),"",(VLOOKUP($E69,'A-1 On-Site Habitat Baseline'!$D$1:$O$258,7,FALSE))))</f>
        <v/>
      </c>
      <c r="J69" s="295" t="str">
        <f>IF(E69="","",IF(ISNA(VLOOKUP($E69,'A-1 On-Site Habitat Baseline'!$D$1:$O$258,8,FALSE)),"",(VLOOKUP($E69,'A-1 On-Site Habitat Baseline'!$D$1:$O$258,8,FALSE))))</f>
        <v/>
      </c>
      <c r="K69" s="295" t="str">
        <f>IF(E69="","",IF(ISNA(VLOOKUP($E69,'A-1 On-Site Habitat Baseline'!$D$1:$O$258,9,FALSE)),"",(VLOOKUP($E69,'A-1 On-Site Habitat Baseline'!$D$1:$O$258,9,FALSE))))</f>
        <v/>
      </c>
      <c r="L69" s="295" t="str">
        <f>IF(E69="","",IF(ISNA(VLOOKUP($E69,'A-1 On-Site Habitat Baseline'!$D$1:$O$258,11,FALSE)),"",(VLOOKUP($E69,'A-1 On-Site Habitat Baseline'!$D$1:$O$258,11,FALSE))))</f>
        <v/>
      </c>
      <c r="M69" s="295" t="str">
        <f>IF(E69="","",IF(ISNA(VLOOKUP($E69,'A-1 On-Site Habitat Baseline'!$D$1:$O$258,12,FALSE)),"",(VLOOKUP($E69,'A-1 On-Site Habitat Baseline'!$D$1:$O$258,12,FALSE))))</f>
        <v/>
      </c>
      <c r="N69" s="306" t="str">
        <f>IF(E69="","",IF(ISNA(VLOOKUP($E69,'A-1 On-Site Habitat Baseline'!$D$1:$X$258,14,FALSE)),"",(VLOOKUP($E69,'A-1 On-Site Habitat Baseline'!$D$1:$X$258,14,FALSE))))</f>
        <v/>
      </c>
      <c r="O69" s="299" t="str">
        <f>IF(E69="","",IF(ISNA(VLOOKUP($E69,'A-1 On-Site Habitat Baseline'!$D$1:$X$258,16,FALSE)),"",(VLOOKUP($E69,'A-1 On-Site Habitat Baseline'!$D$1:$X$258,13,FALSE))))</f>
        <v/>
      </c>
      <c r="P69" s="154" t="str">
        <f>IFERROR(INDEX('G-1 All Habitats'!$AG$49:$AG$63,MATCH(Q69,'G-1 All Habitats'!$AF$27:$AF$41,0)),"")</f>
        <v/>
      </c>
      <c r="Q69" s="155" t="str">
        <f t="shared" si="0"/>
        <v/>
      </c>
      <c r="R69" s="155"/>
      <c r="S69" s="237" t="str">
        <f>IFERROR(INDEX('G-1 All Habitats'!$B$3:$B$135,MATCH(R69,'G-1 All Habitats'!$A$3:$A$135,0)),"")</f>
        <v/>
      </c>
      <c r="T69" s="275" t="str">
        <f t="shared" si="1"/>
        <v/>
      </c>
      <c r="U69" s="276" t="str">
        <f t="shared" si="2"/>
        <v/>
      </c>
      <c r="V69" s="311" t="str">
        <f t="shared" si="3"/>
        <v/>
      </c>
      <c r="W69" s="295" t="str">
        <f>IF(S69="","",VLOOKUP(S69,'G-1 All Habitats'!$B$2:$M$135,10,FALSE))</f>
        <v/>
      </c>
      <c r="X69" s="295" t="str">
        <f>IFERROR(VLOOKUP(W69,'G-1 All Habitats'!$V$3:$W$7,2,FALSE),"")</f>
        <v/>
      </c>
      <c r="Y69" s="57"/>
      <c r="Z69" s="299" t="str">
        <f>IFERROR(INDEX('G-8 Condition Look up'!$A$3:$H$135,MATCH(S69,'G-8 Condition Look up'!$A$3:$A$135,0),MATCH(Y69,'G-8 Condition Look up'!$A$3:$H$3,0)),"")</f>
        <v/>
      </c>
      <c r="AA69" s="52"/>
      <c r="AB69" s="295" t="str">
        <f>IF(AA69="","",IF(VLOOKUP(AA69,'G-3 Multipliers'!$L$3:$N$6,2,FALSE)=0,"Spatial Data Missing ⚠",VLOOKUP(AA69,'G-3 Multipliers'!$L$3:$N$6,2,FALSE)))</f>
        <v/>
      </c>
      <c r="AC69" s="299" t="str">
        <f>IF(AA69="","",IF(VLOOKUP(AA69,'G-3 Multipliers'!$L$3:$N$6,3,FALSE)=0,"Spatial Data Missing ⚠",VLOOKUP(AA69,'G-3 Multipliers'!$L$3:$N$6,3,FALSE)))</f>
        <v/>
      </c>
      <c r="AD69" s="313" t="str">
        <f t="shared" si="4"/>
        <v/>
      </c>
      <c r="AE69" s="58"/>
      <c r="AF69" s="58"/>
      <c r="AG69" s="283" t="str">
        <f t="shared" si="5"/>
        <v/>
      </c>
      <c r="AH69" s="296" t="str">
        <f t="shared" si="6"/>
        <v/>
      </c>
      <c r="AI69" s="297" t="str">
        <f>IF(AH69="Check Data ⚠","Check Data ⚠",IFERROR(VLOOKUP(AH69,'G-4 Temporal multipliers'!$A$4:$C$36,3,FALSE),""))</f>
        <v/>
      </c>
      <c r="AJ69" s="275" t="str">
        <f>IF(S69="","",VLOOKUP(S69,'G-3 Multipliers'!$A$2:$E$134,4,FALSE))</f>
        <v/>
      </c>
      <c r="AK69" s="283" t="str">
        <f t="shared" si="7"/>
        <v/>
      </c>
      <c r="AL69" s="283" t="str">
        <f t="shared" si="8"/>
        <v/>
      </c>
      <c r="AM69" s="314" t="str">
        <f>IFERROR(IF(F69="","",IF(AH69="Check Data ⚠","Check Data ⚠",VLOOKUP(AL69,'G-3 Multipliers'!$P$2:$Q$6,2,FALSE))),"")</f>
        <v/>
      </c>
      <c r="AN69" s="289" t="str">
        <f t="shared" si="9"/>
        <v/>
      </c>
      <c r="AO69" s="52"/>
      <c r="AP69" s="51"/>
      <c r="AQ69" s="104"/>
      <c r="AT69" s="35" t="str">
        <f t="shared" si="10"/>
        <v>No</v>
      </c>
      <c r="AU69" s="35" t="str">
        <f>IF(E69="","",IF(ISNA(VLOOKUP($E69,'A-1 On-Site Habitat Baseline'!$D$1:$AV$258,4,FALSE)),"",(VLOOKUP($E69,'A-1 On-Site Habitat Baseline'!$D$1:$AV$258,4,FALSE))))</f>
        <v/>
      </c>
    </row>
    <row r="70" spans="1:47" ht="14">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05" t="str">
        <f>'A-1 On-Site Habitat Baseline'!AL69</f>
        <v/>
      </c>
      <c r="F70" s="295" t="str">
        <f>IF(E70="","",IF(ISNA(VLOOKUP($E70,'A-1 On-Site Habitat Baseline'!$D$1:$AV$258,45,FALSE)),"",(VLOOKUP($E70,'A-1 On-Site Habitat Baseline'!$D$1:$AV$258,45,FALSE))))</f>
        <v/>
      </c>
      <c r="G70" s="295" t="str">
        <f>IF(E70="","",IF(ISNA(VLOOKUP($E70,'A-1 On-Site Habitat Baseline'!$D$1:$O$258,5,FALSE)),"",(VLOOKUP($E70,'A-1 On-Site Habitat Baseline'!$D$1:$O$258,5,FALSE))))</f>
        <v/>
      </c>
      <c r="H70" s="295" t="str">
        <f>IF(E70="","",IF(ISNA(VLOOKUP($E70,'A-1 On-Site Habitat Baseline'!$D$1:$O$258,6,FALSE)),"",(VLOOKUP($E70,'A-1 On-Site Habitat Baseline'!$D$1:$O$258,6,FALSE))))</f>
        <v/>
      </c>
      <c r="I70" s="295" t="str">
        <f>IF(E70="","",IF(ISNA(VLOOKUP($E70,'A-1 On-Site Habitat Baseline'!$D$1:$O$258,7,FALSE)),"",(VLOOKUP($E70,'A-1 On-Site Habitat Baseline'!$D$1:$O$258,7,FALSE))))</f>
        <v/>
      </c>
      <c r="J70" s="295" t="str">
        <f>IF(E70="","",IF(ISNA(VLOOKUP($E70,'A-1 On-Site Habitat Baseline'!$D$1:$O$258,8,FALSE)),"",(VLOOKUP($E70,'A-1 On-Site Habitat Baseline'!$D$1:$O$258,8,FALSE))))</f>
        <v/>
      </c>
      <c r="K70" s="295" t="str">
        <f>IF(E70="","",IF(ISNA(VLOOKUP($E70,'A-1 On-Site Habitat Baseline'!$D$1:$O$258,9,FALSE)),"",(VLOOKUP($E70,'A-1 On-Site Habitat Baseline'!$D$1:$O$258,9,FALSE))))</f>
        <v/>
      </c>
      <c r="L70" s="295" t="str">
        <f>IF(E70="","",IF(ISNA(VLOOKUP($E70,'A-1 On-Site Habitat Baseline'!$D$1:$O$258,11,FALSE)),"",(VLOOKUP($E70,'A-1 On-Site Habitat Baseline'!$D$1:$O$258,11,FALSE))))</f>
        <v/>
      </c>
      <c r="M70" s="295" t="str">
        <f>IF(E70="","",IF(ISNA(VLOOKUP($E70,'A-1 On-Site Habitat Baseline'!$D$1:$O$258,12,FALSE)),"",(VLOOKUP($E70,'A-1 On-Site Habitat Baseline'!$D$1:$O$258,12,FALSE))))</f>
        <v/>
      </c>
      <c r="N70" s="306" t="str">
        <f>IF(E70="","",IF(ISNA(VLOOKUP($E70,'A-1 On-Site Habitat Baseline'!$D$1:$X$258,14,FALSE)),"",(VLOOKUP($E70,'A-1 On-Site Habitat Baseline'!$D$1:$X$258,14,FALSE))))</f>
        <v/>
      </c>
      <c r="O70" s="299" t="str">
        <f>IF(E70="","",IF(ISNA(VLOOKUP($E70,'A-1 On-Site Habitat Baseline'!$D$1:$X$258,16,FALSE)),"",(VLOOKUP($E70,'A-1 On-Site Habitat Baseline'!$D$1:$X$258,13,FALSE))))</f>
        <v/>
      </c>
      <c r="P70" s="154" t="str">
        <f>IFERROR(INDEX('G-1 All Habitats'!$AG$49:$AG$63,MATCH(Q70,'G-1 All Habitats'!$AF$27:$AF$41,0)),"")</f>
        <v/>
      </c>
      <c r="Q70" s="155" t="str">
        <f t="shared" si="0"/>
        <v/>
      </c>
      <c r="R70" s="155"/>
      <c r="S70" s="237" t="str">
        <f>IFERROR(INDEX('G-1 All Habitats'!$B$3:$B$135,MATCH(R70,'G-1 All Habitats'!$A$3:$A$135,0)),"")</f>
        <v/>
      </c>
      <c r="T70" s="275" t="str">
        <f t="shared" si="1"/>
        <v/>
      </c>
      <c r="U70" s="276" t="str">
        <f t="shared" si="2"/>
        <v/>
      </c>
      <c r="V70" s="311" t="str">
        <f t="shared" si="3"/>
        <v/>
      </c>
      <c r="W70" s="295" t="str">
        <f>IF(S70="","",VLOOKUP(S70,'G-1 All Habitats'!$B$2:$M$135,10,FALSE))</f>
        <v/>
      </c>
      <c r="X70" s="295" t="str">
        <f>IFERROR(VLOOKUP(W70,'G-1 All Habitats'!$V$3:$W$7,2,FALSE),"")</f>
        <v/>
      </c>
      <c r="Y70" s="57"/>
      <c r="Z70" s="299" t="str">
        <f>IFERROR(INDEX('G-8 Condition Look up'!$A$3:$H$135,MATCH(S70,'G-8 Condition Look up'!$A$3:$A$135,0),MATCH(Y70,'G-8 Condition Look up'!$A$3:$H$3,0)),"")</f>
        <v/>
      </c>
      <c r="AA70" s="52"/>
      <c r="AB70" s="295" t="str">
        <f>IF(AA70="","",IF(VLOOKUP(AA70,'G-3 Multipliers'!$L$3:$N$6,2,FALSE)=0,"Spatial Data Missing ⚠",VLOOKUP(AA70,'G-3 Multipliers'!$L$3:$N$6,2,FALSE)))</f>
        <v/>
      </c>
      <c r="AC70" s="299" t="str">
        <f>IF(AA70="","",IF(VLOOKUP(AA70,'G-3 Multipliers'!$L$3:$N$6,3,FALSE)=0,"Spatial Data Missing ⚠",VLOOKUP(AA70,'G-3 Multipliers'!$L$3:$N$6,3,FALSE)))</f>
        <v/>
      </c>
      <c r="AD70" s="313" t="str">
        <f t="shared" si="4"/>
        <v/>
      </c>
      <c r="AE70" s="58"/>
      <c r="AF70" s="58"/>
      <c r="AG70" s="283" t="str">
        <f t="shared" si="5"/>
        <v/>
      </c>
      <c r="AH70" s="296" t="str">
        <f t="shared" si="6"/>
        <v/>
      </c>
      <c r="AI70" s="297" t="str">
        <f>IF(AH70="Check Data ⚠","Check Data ⚠",IFERROR(VLOOKUP(AH70,'G-4 Temporal multipliers'!$A$4:$C$36,3,FALSE),""))</f>
        <v/>
      </c>
      <c r="AJ70" s="275" t="str">
        <f>IF(S70="","",VLOOKUP(S70,'G-3 Multipliers'!$A$2:$E$134,4,FALSE))</f>
        <v/>
      </c>
      <c r="AK70" s="283" t="str">
        <f t="shared" si="7"/>
        <v/>
      </c>
      <c r="AL70" s="283" t="str">
        <f t="shared" si="8"/>
        <v/>
      </c>
      <c r="AM70" s="314" t="str">
        <f>IFERROR(IF(F70="","",IF(AH70="Check Data ⚠","Check Data ⚠",VLOOKUP(AL70,'G-3 Multipliers'!$P$2:$Q$6,2,FALSE))),"")</f>
        <v/>
      </c>
      <c r="AN70" s="289" t="str">
        <f t="shared" si="9"/>
        <v/>
      </c>
      <c r="AO70" s="52"/>
      <c r="AP70" s="51"/>
      <c r="AQ70" s="104"/>
      <c r="AT70" s="35" t="str">
        <f t="shared" si="10"/>
        <v>No</v>
      </c>
      <c r="AU70" s="35" t="str">
        <f>IF(E70="","",IF(ISNA(VLOOKUP($E70,'A-1 On-Site Habitat Baseline'!$D$1:$AV$258,4,FALSE)),"",(VLOOKUP($E70,'A-1 On-Site Habitat Baseline'!$D$1:$AV$258,4,FALSE))))</f>
        <v/>
      </c>
    </row>
    <row r="71" spans="1:47" ht="14">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05" t="str">
        <f>'A-1 On-Site Habitat Baseline'!AL70</f>
        <v/>
      </c>
      <c r="F71" s="295" t="str">
        <f>IF(E71="","",IF(ISNA(VLOOKUP($E71,'A-1 On-Site Habitat Baseline'!$D$1:$AV$258,45,FALSE)),"",(VLOOKUP($E71,'A-1 On-Site Habitat Baseline'!$D$1:$AV$258,45,FALSE))))</f>
        <v/>
      </c>
      <c r="G71" s="295" t="str">
        <f>IF(E71="","",IF(ISNA(VLOOKUP($E71,'A-1 On-Site Habitat Baseline'!$D$1:$O$258,5,FALSE)),"",(VLOOKUP($E71,'A-1 On-Site Habitat Baseline'!$D$1:$O$258,5,FALSE))))</f>
        <v/>
      </c>
      <c r="H71" s="295" t="str">
        <f>IF(E71="","",IF(ISNA(VLOOKUP($E71,'A-1 On-Site Habitat Baseline'!$D$1:$O$258,6,FALSE)),"",(VLOOKUP($E71,'A-1 On-Site Habitat Baseline'!$D$1:$O$258,6,FALSE))))</f>
        <v/>
      </c>
      <c r="I71" s="295" t="str">
        <f>IF(E71="","",IF(ISNA(VLOOKUP($E71,'A-1 On-Site Habitat Baseline'!$D$1:$O$258,7,FALSE)),"",(VLOOKUP($E71,'A-1 On-Site Habitat Baseline'!$D$1:$O$258,7,FALSE))))</f>
        <v/>
      </c>
      <c r="J71" s="295" t="str">
        <f>IF(E71="","",IF(ISNA(VLOOKUP($E71,'A-1 On-Site Habitat Baseline'!$D$1:$O$258,8,FALSE)),"",(VLOOKUP($E71,'A-1 On-Site Habitat Baseline'!$D$1:$O$258,8,FALSE))))</f>
        <v/>
      </c>
      <c r="K71" s="295" t="str">
        <f>IF(E71="","",IF(ISNA(VLOOKUP($E71,'A-1 On-Site Habitat Baseline'!$D$1:$O$258,9,FALSE)),"",(VLOOKUP($E71,'A-1 On-Site Habitat Baseline'!$D$1:$O$258,9,FALSE))))</f>
        <v/>
      </c>
      <c r="L71" s="295" t="str">
        <f>IF(E71="","",IF(ISNA(VLOOKUP($E71,'A-1 On-Site Habitat Baseline'!$D$1:$O$258,11,FALSE)),"",(VLOOKUP($E71,'A-1 On-Site Habitat Baseline'!$D$1:$O$258,11,FALSE))))</f>
        <v/>
      </c>
      <c r="M71" s="295" t="str">
        <f>IF(E71="","",IF(ISNA(VLOOKUP($E71,'A-1 On-Site Habitat Baseline'!$D$1:$O$258,12,FALSE)),"",(VLOOKUP($E71,'A-1 On-Site Habitat Baseline'!$D$1:$O$258,12,FALSE))))</f>
        <v/>
      </c>
      <c r="N71" s="306" t="str">
        <f>IF(E71="","",IF(ISNA(VLOOKUP($E71,'A-1 On-Site Habitat Baseline'!$D$1:$X$258,14,FALSE)),"",(VLOOKUP($E71,'A-1 On-Site Habitat Baseline'!$D$1:$X$258,14,FALSE))))</f>
        <v/>
      </c>
      <c r="O71" s="299" t="str">
        <f>IF(E71="","",IF(ISNA(VLOOKUP($E71,'A-1 On-Site Habitat Baseline'!$D$1:$X$258,16,FALSE)),"",(VLOOKUP($E71,'A-1 On-Site Habitat Baseline'!$D$1:$X$258,13,FALSE))))</f>
        <v/>
      </c>
      <c r="P71" s="154" t="str">
        <f>IFERROR(INDEX('G-1 All Habitats'!$AG$49:$AG$63,MATCH(Q71,'G-1 All Habitats'!$AF$27:$AF$41,0)),"")</f>
        <v/>
      </c>
      <c r="Q71" s="155" t="str">
        <f t="shared" si="0"/>
        <v/>
      </c>
      <c r="R71" s="155"/>
      <c r="S71" s="237" t="str">
        <f>IFERROR(INDEX('G-1 All Habitats'!$B$3:$B$135,MATCH(R71,'G-1 All Habitats'!$A$3:$A$135,0)),"")</f>
        <v/>
      </c>
      <c r="T71" s="275" t="str">
        <f t="shared" si="1"/>
        <v/>
      </c>
      <c r="U71" s="276" t="str">
        <f t="shared" si="2"/>
        <v/>
      </c>
      <c r="V71" s="311" t="str">
        <f t="shared" si="3"/>
        <v/>
      </c>
      <c r="W71" s="295" t="str">
        <f>IF(S71="","",VLOOKUP(S71,'G-1 All Habitats'!$B$2:$M$135,10,FALSE))</f>
        <v/>
      </c>
      <c r="X71" s="295" t="str">
        <f>IFERROR(VLOOKUP(W71,'G-1 All Habitats'!$V$3:$W$7,2,FALSE),"")</f>
        <v/>
      </c>
      <c r="Y71" s="57"/>
      <c r="Z71" s="299" t="str">
        <f>IFERROR(INDEX('G-8 Condition Look up'!$A$3:$H$135,MATCH(S71,'G-8 Condition Look up'!$A$3:$A$135,0),MATCH(Y71,'G-8 Condition Look up'!$A$3:$H$3,0)),"")</f>
        <v/>
      </c>
      <c r="AA71" s="52"/>
      <c r="AB71" s="295" t="str">
        <f>IF(AA71="","",IF(VLOOKUP(AA71,'G-3 Multipliers'!$L$3:$N$6,2,FALSE)=0,"Spatial Data Missing ⚠",VLOOKUP(AA71,'G-3 Multipliers'!$L$3:$N$6,2,FALSE)))</f>
        <v/>
      </c>
      <c r="AC71" s="299" t="str">
        <f>IF(AA71="","",IF(VLOOKUP(AA71,'G-3 Multipliers'!$L$3:$N$6,3,FALSE)=0,"Spatial Data Missing ⚠",VLOOKUP(AA71,'G-3 Multipliers'!$L$3:$N$6,3,FALSE)))</f>
        <v/>
      </c>
      <c r="AD71" s="313" t="str">
        <f t="shared" si="4"/>
        <v/>
      </c>
      <c r="AE71" s="58"/>
      <c r="AF71" s="58"/>
      <c r="AG71" s="283" t="str">
        <f t="shared" si="5"/>
        <v/>
      </c>
      <c r="AH71" s="296" t="str">
        <f t="shared" si="6"/>
        <v/>
      </c>
      <c r="AI71" s="297" t="str">
        <f>IF(AH71="Check Data ⚠","Check Data ⚠",IFERROR(VLOOKUP(AH71,'G-4 Temporal multipliers'!$A$4:$C$36,3,FALSE),""))</f>
        <v/>
      </c>
      <c r="AJ71" s="275" t="str">
        <f>IF(S71="","",VLOOKUP(S71,'G-3 Multipliers'!$A$2:$E$134,4,FALSE))</f>
        <v/>
      </c>
      <c r="AK71" s="283" t="str">
        <f t="shared" si="7"/>
        <v/>
      </c>
      <c r="AL71" s="283" t="str">
        <f t="shared" si="8"/>
        <v/>
      </c>
      <c r="AM71" s="314" t="str">
        <f>IFERROR(IF(F71="","",IF(AH71="Check Data ⚠","Check Data ⚠",VLOOKUP(AL71,'G-3 Multipliers'!$P$2:$Q$6,2,FALSE))),"")</f>
        <v/>
      </c>
      <c r="AN71" s="289" t="str">
        <f t="shared" si="9"/>
        <v/>
      </c>
      <c r="AO71" s="52"/>
      <c r="AP71" s="51"/>
      <c r="AQ71" s="104"/>
      <c r="AT71" s="35" t="str">
        <f t="shared" si="10"/>
        <v>No</v>
      </c>
      <c r="AU71" s="35" t="str">
        <f>IF(E71="","",IF(ISNA(VLOOKUP($E71,'A-1 On-Site Habitat Baseline'!$D$1:$AV$258,4,FALSE)),"",(VLOOKUP($E71,'A-1 On-Site Habitat Baseline'!$D$1:$AV$258,4,FALSE))))</f>
        <v/>
      </c>
    </row>
    <row r="72" spans="1:47" ht="14">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05" t="str">
        <f>'A-1 On-Site Habitat Baseline'!AL71</f>
        <v/>
      </c>
      <c r="F72" s="295" t="str">
        <f>IF(E72="","",IF(ISNA(VLOOKUP($E72,'A-1 On-Site Habitat Baseline'!$D$1:$AV$258,45,FALSE)),"",(VLOOKUP($E72,'A-1 On-Site Habitat Baseline'!$D$1:$AV$258,45,FALSE))))</f>
        <v/>
      </c>
      <c r="G72" s="295" t="str">
        <f>IF(E72="","",IF(ISNA(VLOOKUP($E72,'A-1 On-Site Habitat Baseline'!$D$1:$O$258,5,FALSE)),"",(VLOOKUP($E72,'A-1 On-Site Habitat Baseline'!$D$1:$O$258,5,FALSE))))</f>
        <v/>
      </c>
      <c r="H72" s="295" t="str">
        <f>IF(E72="","",IF(ISNA(VLOOKUP($E72,'A-1 On-Site Habitat Baseline'!$D$1:$O$258,6,FALSE)),"",(VLOOKUP($E72,'A-1 On-Site Habitat Baseline'!$D$1:$O$258,6,FALSE))))</f>
        <v/>
      </c>
      <c r="I72" s="295" t="str">
        <f>IF(E72="","",IF(ISNA(VLOOKUP($E72,'A-1 On-Site Habitat Baseline'!$D$1:$O$258,7,FALSE)),"",(VLOOKUP($E72,'A-1 On-Site Habitat Baseline'!$D$1:$O$258,7,FALSE))))</f>
        <v/>
      </c>
      <c r="J72" s="295" t="str">
        <f>IF(E72="","",IF(ISNA(VLOOKUP($E72,'A-1 On-Site Habitat Baseline'!$D$1:$O$258,8,FALSE)),"",(VLOOKUP($E72,'A-1 On-Site Habitat Baseline'!$D$1:$O$258,8,FALSE))))</f>
        <v/>
      </c>
      <c r="K72" s="295" t="str">
        <f>IF(E72="","",IF(ISNA(VLOOKUP($E72,'A-1 On-Site Habitat Baseline'!$D$1:$O$258,9,FALSE)),"",(VLOOKUP($E72,'A-1 On-Site Habitat Baseline'!$D$1:$O$258,9,FALSE))))</f>
        <v/>
      </c>
      <c r="L72" s="295" t="str">
        <f>IF(E72="","",IF(ISNA(VLOOKUP($E72,'A-1 On-Site Habitat Baseline'!$D$1:$O$258,11,FALSE)),"",(VLOOKUP($E72,'A-1 On-Site Habitat Baseline'!$D$1:$O$258,11,FALSE))))</f>
        <v/>
      </c>
      <c r="M72" s="295" t="str">
        <f>IF(E72="","",IF(ISNA(VLOOKUP($E72,'A-1 On-Site Habitat Baseline'!$D$1:$O$258,12,FALSE)),"",(VLOOKUP($E72,'A-1 On-Site Habitat Baseline'!$D$1:$O$258,12,FALSE))))</f>
        <v/>
      </c>
      <c r="N72" s="306" t="str">
        <f>IF(E72="","",IF(ISNA(VLOOKUP($E72,'A-1 On-Site Habitat Baseline'!$D$1:$X$258,14,FALSE)),"",(VLOOKUP($E72,'A-1 On-Site Habitat Baseline'!$D$1:$X$258,14,FALSE))))</f>
        <v/>
      </c>
      <c r="O72" s="299" t="str">
        <f>IF(E72="","",IF(ISNA(VLOOKUP($E72,'A-1 On-Site Habitat Baseline'!$D$1:$X$258,16,FALSE)),"",(VLOOKUP($E72,'A-1 On-Site Habitat Baseline'!$D$1:$X$258,13,FALSE))))</f>
        <v/>
      </c>
      <c r="P72" s="154" t="str">
        <f>IFERROR(INDEX('G-1 All Habitats'!$AG$49:$AG$63,MATCH(Q72,'G-1 All Habitats'!$AF$27:$AF$41,0)),"")</f>
        <v/>
      </c>
      <c r="Q72" s="155" t="str">
        <f t="shared" si="0"/>
        <v/>
      </c>
      <c r="R72" s="155"/>
      <c r="S72" s="237" t="str">
        <f>IFERROR(INDEX('G-1 All Habitats'!$B$3:$B$135,MATCH(R72,'G-1 All Habitats'!$A$3:$A$135,0)),"")</f>
        <v/>
      </c>
      <c r="T72" s="275" t="str">
        <f t="shared" si="1"/>
        <v/>
      </c>
      <c r="U72" s="276" t="str">
        <f t="shared" si="2"/>
        <v/>
      </c>
      <c r="V72" s="311" t="str">
        <f t="shared" si="3"/>
        <v/>
      </c>
      <c r="W72" s="295" t="str">
        <f>IF(S72="","",VLOOKUP(S72,'G-1 All Habitats'!$B$2:$M$135,10,FALSE))</f>
        <v/>
      </c>
      <c r="X72" s="295" t="str">
        <f>IFERROR(VLOOKUP(W72,'G-1 All Habitats'!$V$3:$W$7,2,FALSE),"")</f>
        <v/>
      </c>
      <c r="Y72" s="57"/>
      <c r="Z72" s="299" t="str">
        <f>IFERROR(INDEX('G-8 Condition Look up'!$A$3:$H$135,MATCH(S72,'G-8 Condition Look up'!$A$3:$A$135,0),MATCH(Y72,'G-8 Condition Look up'!$A$3:$H$3,0)),"")</f>
        <v/>
      </c>
      <c r="AA72" s="52"/>
      <c r="AB72" s="295" t="str">
        <f>IF(AA72="","",IF(VLOOKUP(AA72,'G-3 Multipliers'!$L$3:$N$6,2,FALSE)=0,"Spatial Data Missing ⚠",VLOOKUP(AA72,'G-3 Multipliers'!$L$3:$N$6,2,FALSE)))</f>
        <v/>
      </c>
      <c r="AC72" s="299" t="str">
        <f>IF(AA72="","",IF(VLOOKUP(AA72,'G-3 Multipliers'!$L$3:$N$6,3,FALSE)=0,"Spatial Data Missing ⚠",VLOOKUP(AA72,'G-3 Multipliers'!$L$3:$N$6,3,FALSE)))</f>
        <v/>
      </c>
      <c r="AD72" s="313" t="str">
        <f t="shared" si="4"/>
        <v/>
      </c>
      <c r="AE72" s="58"/>
      <c r="AF72" s="58"/>
      <c r="AG72" s="283" t="str">
        <f t="shared" si="5"/>
        <v/>
      </c>
      <c r="AH72" s="296" t="str">
        <f t="shared" si="6"/>
        <v/>
      </c>
      <c r="AI72" s="297" t="str">
        <f>IF(AH72="Check Data ⚠","Check Data ⚠",IFERROR(VLOOKUP(AH72,'G-4 Temporal multipliers'!$A$4:$C$36,3,FALSE),""))</f>
        <v/>
      </c>
      <c r="AJ72" s="275" t="str">
        <f>IF(S72="","",VLOOKUP(S72,'G-3 Multipliers'!$A$2:$E$134,4,FALSE))</f>
        <v/>
      </c>
      <c r="AK72" s="283" t="str">
        <f t="shared" si="7"/>
        <v/>
      </c>
      <c r="AL72" s="283" t="str">
        <f t="shared" si="8"/>
        <v/>
      </c>
      <c r="AM72" s="314" t="str">
        <f>IFERROR(IF(F72="","",IF(AH72="Check Data ⚠","Check Data ⚠",VLOOKUP(AL72,'G-3 Multipliers'!$P$2:$Q$6,2,FALSE))),"")</f>
        <v/>
      </c>
      <c r="AN72" s="289" t="str">
        <f t="shared" si="9"/>
        <v/>
      </c>
      <c r="AO72" s="52"/>
      <c r="AP72" s="51"/>
      <c r="AQ72" s="104"/>
      <c r="AT72" s="35" t="str">
        <f t="shared" si="10"/>
        <v>No</v>
      </c>
      <c r="AU72" s="35" t="str">
        <f>IF(E72="","",IF(ISNA(VLOOKUP($E72,'A-1 On-Site Habitat Baseline'!$D$1:$AV$258,4,FALSE)),"",(VLOOKUP($E72,'A-1 On-Site Habitat Baseline'!$D$1:$AV$258,4,FALSE))))</f>
        <v/>
      </c>
    </row>
    <row r="73" spans="1:47" ht="14">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05" t="str">
        <f>'A-1 On-Site Habitat Baseline'!AL72</f>
        <v/>
      </c>
      <c r="F73" s="295" t="str">
        <f>IF(E73="","",IF(ISNA(VLOOKUP($E73,'A-1 On-Site Habitat Baseline'!$D$1:$AV$258,45,FALSE)),"",(VLOOKUP($E73,'A-1 On-Site Habitat Baseline'!$D$1:$AV$258,45,FALSE))))</f>
        <v/>
      </c>
      <c r="G73" s="295" t="str">
        <f>IF(E73="","",IF(ISNA(VLOOKUP($E73,'A-1 On-Site Habitat Baseline'!$D$1:$O$258,5,FALSE)),"",(VLOOKUP($E73,'A-1 On-Site Habitat Baseline'!$D$1:$O$258,5,FALSE))))</f>
        <v/>
      </c>
      <c r="H73" s="295" t="str">
        <f>IF(E73="","",IF(ISNA(VLOOKUP($E73,'A-1 On-Site Habitat Baseline'!$D$1:$O$258,6,FALSE)),"",(VLOOKUP($E73,'A-1 On-Site Habitat Baseline'!$D$1:$O$258,6,FALSE))))</f>
        <v/>
      </c>
      <c r="I73" s="295" t="str">
        <f>IF(E73="","",IF(ISNA(VLOOKUP($E73,'A-1 On-Site Habitat Baseline'!$D$1:$O$258,7,FALSE)),"",(VLOOKUP($E73,'A-1 On-Site Habitat Baseline'!$D$1:$O$258,7,FALSE))))</f>
        <v/>
      </c>
      <c r="J73" s="295" t="str">
        <f>IF(E73="","",IF(ISNA(VLOOKUP($E73,'A-1 On-Site Habitat Baseline'!$D$1:$O$258,8,FALSE)),"",(VLOOKUP($E73,'A-1 On-Site Habitat Baseline'!$D$1:$O$258,8,FALSE))))</f>
        <v/>
      </c>
      <c r="K73" s="295" t="str">
        <f>IF(E73="","",IF(ISNA(VLOOKUP($E73,'A-1 On-Site Habitat Baseline'!$D$1:$O$258,9,FALSE)),"",(VLOOKUP($E73,'A-1 On-Site Habitat Baseline'!$D$1:$O$258,9,FALSE))))</f>
        <v/>
      </c>
      <c r="L73" s="295" t="str">
        <f>IF(E73="","",IF(ISNA(VLOOKUP($E73,'A-1 On-Site Habitat Baseline'!$D$1:$O$258,11,FALSE)),"",(VLOOKUP($E73,'A-1 On-Site Habitat Baseline'!$D$1:$O$258,11,FALSE))))</f>
        <v/>
      </c>
      <c r="M73" s="295" t="str">
        <f>IF(E73="","",IF(ISNA(VLOOKUP($E73,'A-1 On-Site Habitat Baseline'!$D$1:$O$258,12,FALSE)),"",(VLOOKUP($E73,'A-1 On-Site Habitat Baseline'!$D$1:$O$258,12,FALSE))))</f>
        <v/>
      </c>
      <c r="N73" s="306" t="str">
        <f>IF(E73="","",IF(ISNA(VLOOKUP($E73,'A-1 On-Site Habitat Baseline'!$D$1:$X$258,14,FALSE)),"",(VLOOKUP($E73,'A-1 On-Site Habitat Baseline'!$D$1:$X$258,14,FALSE))))</f>
        <v/>
      </c>
      <c r="O73" s="299" t="str">
        <f>IF(E73="","",IF(ISNA(VLOOKUP($E73,'A-1 On-Site Habitat Baseline'!$D$1:$X$258,16,FALSE)),"",(VLOOKUP($E73,'A-1 On-Site Habitat Baseline'!$D$1:$X$258,13,FALSE))))</f>
        <v/>
      </c>
      <c r="P73" s="154" t="str">
        <f>IFERROR(INDEX('G-1 All Habitats'!$AG$49:$AG$63,MATCH(Q73,'G-1 All Habitats'!$AF$27:$AF$41,0)),"")</f>
        <v/>
      </c>
      <c r="Q73" s="155" t="str">
        <f t="shared" si="0"/>
        <v/>
      </c>
      <c r="R73" s="155"/>
      <c r="S73" s="237" t="str">
        <f>IFERROR(INDEX('G-1 All Habitats'!$B$3:$B$135,MATCH(R73,'G-1 All Habitats'!$A$3:$A$135,0)),"")</f>
        <v/>
      </c>
      <c r="T73" s="275" t="str">
        <f t="shared" si="1"/>
        <v/>
      </c>
      <c r="U73" s="276" t="str">
        <f t="shared" si="2"/>
        <v/>
      </c>
      <c r="V73" s="311" t="str">
        <f t="shared" si="3"/>
        <v/>
      </c>
      <c r="W73" s="295" t="str">
        <f>IF(S73="","",VLOOKUP(S73,'G-1 All Habitats'!$B$2:$M$135,10,FALSE))</f>
        <v/>
      </c>
      <c r="X73" s="295" t="str">
        <f>IFERROR(VLOOKUP(W73,'G-1 All Habitats'!$V$3:$W$7,2,FALSE),"")</f>
        <v/>
      </c>
      <c r="Y73" s="57"/>
      <c r="Z73" s="299" t="str">
        <f>IFERROR(INDEX('G-8 Condition Look up'!$A$3:$H$135,MATCH(S73,'G-8 Condition Look up'!$A$3:$A$135,0),MATCH(Y73,'G-8 Condition Look up'!$A$3:$H$3,0)),"")</f>
        <v/>
      </c>
      <c r="AA73" s="52"/>
      <c r="AB73" s="295" t="str">
        <f>IF(AA73="","",IF(VLOOKUP(AA73,'G-3 Multipliers'!$L$3:$N$6,2,FALSE)=0,"Spatial Data Missing ⚠",VLOOKUP(AA73,'G-3 Multipliers'!$L$3:$N$6,2,FALSE)))</f>
        <v/>
      </c>
      <c r="AC73" s="299" t="str">
        <f>IF(AA73="","",IF(VLOOKUP(AA73,'G-3 Multipliers'!$L$3:$N$6,3,FALSE)=0,"Spatial Data Missing ⚠",VLOOKUP(AA73,'G-3 Multipliers'!$L$3:$N$6,3,FALSE)))</f>
        <v/>
      </c>
      <c r="AD73" s="313" t="str">
        <f t="shared" si="4"/>
        <v/>
      </c>
      <c r="AE73" s="58"/>
      <c r="AF73" s="58"/>
      <c r="AG73" s="283" t="str">
        <f t="shared" si="5"/>
        <v/>
      </c>
      <c r="AH73" s="296" t="str">
        <f t="shared" si="6"/>
        <v/>
      </c>
      <c r="AI73" s="297" t="str">
        <f>IF(AH73="Check Data ⚠","Check Data ⚠",IFERROR(VLOOKUP(AH73,'G-4 Temporal multipliers'!$A$4:$C$36,3,FALSE),""))</f>
        <v/>
      </c>
      <c r="AJ73" s="275" t="str">
        <f>IF(S73="","",VLOOKUP(S73,'G-3 Multipliers'!$A$2:$E$134,4,FALSE))</f>
        <v/>
      </c>
      <c r="AK73" s="283" t="str">
        <f t="shared" si="7"/>
        <v/>
      </c>
      <c r="AL73" s="283" t="str">
        <f t="shared" si="8"/>
        <v/>
      </c>
      <c r="AM73" s="314" t="str">
        <f>IFERROR(IF(F73="","",IF(AH73="Check Data ⚠","Check Data ⚠",VLOOKUP(AL73,'G-3 Multipliers'!$P$2:$Q$6,2,FALSE))),"")</f>
        <v/>
      </c>
      <c r="AN73" s="289" t="str">
        <f t="shared" si="9"/>
        <v/>
      </c>
      <c r="AO73" s="52"/>
      <c r="AP73" s="51"/>
      <c r="AQ73" s="104"/>
      <c r="AT73" s="35" t="str">
        <f t="shared" si="10"/>
        <v>No</v>
      </c>
      <c r="AU73" s="35" t="str">
        <f>IF(E73="","",IF(ISNA(VLOOKUP($E73,'A-1 On-Site Habitat Baseline'!$D$1:$AV$258,4,FALSE)),"",(VLOOKUP($E73,'A-1 On-Site Habitat Baseline'!$D$1:$AV$258,4,FALSE))))</f>
        <v/>
      </c>
    </row>
    <row r="74" spans="1:47" ht="14">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05" t="str">
        <f>'A-1 On-Site Habitat Baseline'!AL73</f>
        <v/>
      </c>
      <c r="F74" s="295" t="str">
        <f>IF(E74="","",IF(ISNA(VLOOKUP($E74,'A-1 On-Site Habitat Baseline'!$D$1:$AV$258,45,FALSE)),"",(VLOOKUP($E74,'A-1 On-Site Habitat Baseline'!$D$1:$AV$258,45,FALSE))))</f>
        <v/>
      </c>
      <c r="G74" s="295" t="str">
        <f>IF(E74="","",IF(ISNA(VLOOKUP($E74,'A-1 On-Site Habitat Baseline'!$D$1:$O$258,5,FALSE)),"",(VLOOKUP($E74,'A-1 On-Site Habitat Baseline'!$D$1:$O$258,5,FALSE))))</f>
        <v/>
      </c>
      <c r="H74" s="295" t="str">
        <f>IF(E74="","",IF(ISNA(VLOOKUP($E74,'A-1 On-Site Habitat Baseline'!$D$1:$O$258,6,FALSE)),"",(VLOOKUP($E74,'A-1 On-Site Habitat Baseline'!$D$1:$O$258,6,FALSE))))</f>
        <v/>
      </c>
      <c r="I74" s="295" t="str">
        <f>IF(E74="","",IF(ISNA(VLOOKUP($E74,'A-1 On-Site Habitat Baseline'!$D$1:$O$258,7,FALSE)),"",(VLOOKUP($E74,'A-1 On-Site Habitat Baseline'!$D$1:$O$258,7,FALSE))))</f>
        <v/>
      </c>
      <c r="J74" s="295" t="str">
        <f>IF(E74="","",IF(ISNA(VLOOKUP($E74,'A-1 On-Site Habitat Baseline'!$D$1:$O$258,8,FALSE)),"",(VLOOKUP($E74,'A-1 On-Site Habitat Baseline'!$D$1:$O$258,8,FALSE))))</f>
        <v/>
      </c>
      <c r="K74" s="295" t="str">
        <f>IF(E74="","",IF(ISNA(VLOOKUP($E74,'A-1 On-Site Habitat Baseline'!$D$1:$O$258,9,FALSE)),"",(VLOOKUP($E74,'A-1 On-Site Habitat Baseline'!$D$1:$O$258,9,FALSE))))</f>
        <v/>
      </c>
      <c r="L74" s="295" t="str">
        <f>IF(E74="","",IF(ISNA(VLOOKUP($E74,'A-1 On-Site Habitat Baseline'!$D$1:$O$258,11,FALSE)),"",(VLOOKUP($E74,'A-1 On-Site Habitat Baseline'!$D$1:$O$258,11,FALSE))))</f>
        <v/>
      </c>
      <c r="M74" s="295" t="str">
        <f>IF(E74="","",IF(ISNA(VLOOKUP($E74,'A-1 On-Site Habitat Baseline'!$D$1:$O$258,12,FALSE)),"",(VLOOKUP($E74,'A-1 On-Site Habitat Baseline'!$D$1:$O$258,12,FALSE))))</f>
        <v/>
      </c>
      <c r="N74" s="306" t="str">
        <f>IF(E74="","",IF(ISNA(VLOOKUP($E74,'A-1 On-Site Habitat Baseline'!$D$1:$X$258,14,FALSE)),"",(VLOOKUP($E74,'A-1 On-Site Habitat Baseline'!$D$1:$X$258,14,FALSE))))</f>
        <v/>
      </c>
      <c r="O74" s="299" t="str">
        <f>IF(E74="","",IF(ISNA(VLOOKUP($E74,'A-1 On-Site Habitat Baseline'!$D$1:$X$258,16,FALSE)),"",(VLOOKUP($E74,'A-1 On-Site Habitat Baseline'!$D$1:$X$258,13,FALSE))))</f>
        <v/>
      </c>
      <c r="P74" s="154" t="str">
        <f>IFERROR(INDEX('G-1 All Habitats'!$AG$49:$AG$63,MATCH(Q74,'G-1 All Habitats'!$AF$27:$AF$41,0)),"")</f>
        <v/>
      </c>
      <c r="Q74" s="155" t="str">
        <f t="shared" si="0"/>
        <v/>
      </c>
      <c r="R74" s="155"/>
      <c r="S74" s="237" t="str">
        <f>IFERROR(INDEX('G-1 All Habitats'!$B$3:$B$135,MATCH(R74,'G-1 All Habitats'!$A$3:$A$135,0)),"")</f>
        <v/>
      </c>
      <c r="T74" s="275" t="str">
        <f t="shared" si="1"/>
        <v/>
      </c>
      <c r="U74" s="276" t="str">
        <f t="shared" si="2"/>
        <v/>
      </c>
      <c r="V74" s="311" t="str">
        <f t="shared" si="3"/>
        <v/>
      </c>
      <c r="W74" s="295" t="str">
        <f>IF(S74="","",VLOOKUP(S74,'G-1 All Habitats'!$B$2:$M$135,10,FALSE))</f>
        <v/>
      </c>
      <c r="X74" s="295" t="str">
        <f>IFERROR(VLOOKUP(W74,'G-1 All Habitats'!$V$3:$W$7,2,FALSE),"")</f>
        <v/>
      </c>
      <c r="Y74" s="57"/>
      <c r="Z74" s="299" t="str">
        <f>IFERROR(INDEX('G-8 Condition Look up'!$A$3:$H$135,MATCH(S74,'G-8 Condition Look up'!$A$3:$A$135,0),MATCH(Y74,'G-8 Condition Look up'!$A$3:$H$3,0)),"")</f>
        <v/>
      </c>
      <c r="AA74" s="52"/>
      <c r="AB74" s="295" t="str">
        <f>IF(AA74="","",IF(VLOOKUP(AA74,'G-3 Multipliers'!$L$3:$N$6,2,FALSE)=0,"Spatial Data Missing ⚠",VLOOKUP(AA74,'G-3 Multipliers'!$L$3:$N$6,2,FALSE)))</f>
        <v/>
      </c>
      <c r="AC74" s="299" t="str">
        <f>IF(AA74="","",IF(VLOOKUP(AA74,'G-3 Multipliers'!$L$3:$N$6,3,FALSE)=0,"Spatial Data Missing ⚠",VLOOKUP(AA74,'G-3 Multipliers'!$L$3:$N$6,3,FALSE)))</f>
        <v/>
      </c>
      <c r="AD74" s="313" t="str">
        <f t="shared" si="4"/>
        <v/>
      </c>
      <c r="AE74" s="58"/>
      <c r="AF74" s="58"/>
      <c r="AG74" s="283" t="str">
        <f t="shared" si="5"/>
        <v/>
      </c>
      <c r="AH74" s="296" t="str">
        <f t="shared" si="6"/>
        <v/>
      </c>
      <c r="AI74" s="297" t="str">
        <f>IF(AH74="Check Data ⚠","Check Data ⚠",IFERROR(VLOOKUP(AH74,'G-4 Temporal multipliers'!$A$4:$C$36,3,FALSE),""))</f>
        <v/>
      </c>
      <c r="AJ74" s="275" t="str">
        <f>IF(S74="","",VLOOKUP(S74,'G-3 Multipliers'!$A$2:$E$134,4,FALSE))</f>
        <v/>
      </c>
      <c r="AK74" s="283" t="str">
        <f t="shared" si="7"/>
        <v/>
      </c>
      <c r="AL74" s="283" t="str">
        <f t="shared" si="8"/>
        <v/>
      </c>
      <c r="AM74" s="314" t="str">
        <f>IFERROR(IF(F74="","",IF(AH74="Check Data ⚠","Check Data ⚠",VLOOKUP(AL74,'G-3 Multipliers'!$P$2:$Q$6,2,FALSE))),"")</f>
        <v/>
      </c>
      <c r="AN74" s="289" t="str">
        <f t="shared" si="9"/>
        <v/>
      </c>
      <c r="AO74" s="52"/>
      <c r="AP74" s="51"/>
      <c r="AQ74" s="104"/>
      <c r="AT74" s="35" t="str">
        <f t="shared" si="10"/>
        <v>No</v>
      </c>
      <c r="AU74" s="35" t="str">
        <f>IF(E74="","",IF(ISNA(VLOOKUP($E74,'A-1 On-Site Habitat Baseline'!$D$1:$AV$258,4,FALSE)),"",(VLOOKUP($E74,'A-1 On-Site Habitat Baseline'!$D$1:$AV$258,4,FALSE))))</f>
        <v/>
      </c>
    </row>
    <row r="75" spans="1:47" ht="14">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05" t="str">
        <f>'A-1 On-Site Habitat Baseline'!AL74</f>
        <v/>
      </c>
      <c r="F75" s="295" t="str">
        <f>IF(E75="","",IF(ISNA(VLOOKUP($E75,'A-1 On-Site Habitat Baseline'!$D$1:$AV$258,45,FALSE)),"",(VLOOKUP($E75,'A-1 On-Site Habitat Baseline'!$D$1:$AV$258,45,FALSE))))</f>
        <v/>
      </c>
      <c r="G75" s="295" t="str">
        <f>IF(E75="","",IF(ISNA(VLOOKUP($E75,'A-1 On-Site Habitat Baseline'!$D$1:$O$258,5,FALSE)),"",(VLOOKUP($E75,'A-1 On-Site Habitat Baseline'!$D$1:$O$258,5,FALSE))))</f>
        <v/>
      </c>
      <c r="H75" s="295" t="str">
        <f>IF(E75="","",IF(ISNA(VLOOKUP($E75,'A-1 On-Site Habitat Baseline'!$D$1:$O$258,6,FALSE)),"",(VLOOKUP($E75,'A-1 On-Site Habitat Baseline'!$D$1:$O$258,6,FALSE))))</f>
        <v/>
      </c>
      <c r="I75" s="295" t="str">
        <f>IF(E75="","",IF(ISNA(VLOOKUP($E75,'A-1 On-Site Habitat Baseline'!$D$1:$O$258,7,FALSE)),"",(VLOOKUP($E75,'A-1 On-Site Habitat Baseline'!$D$1:$O$258,7,FALSE))))</f>
        <v/>
      </c>
      <c r="J75" s="295" t="str">
        <f>IF(E75="","",IF(ISNA(VLOOKUP($E75,'A-1 On-Site Habitat Baseline'!$D$1:$O$258,8,FALSE)),"",(VLOOKUP($E75,'A-1 On-Site Habitat Baseline'!$D$1:$O$258,8,FALSE))))</f>
        <v/>
      </c>
      <c r="K75" s="295" t="str">
        <f>IF(E75="","",IF(ISNA(VLOOKUP($E75,'A-1 On-Site Habitat Baseline'!$D$1:$O$258,9,FALSE)),"",(VLOOKUP($E75,'A-1 On-Site Habitat Baseline'!$D$1:$O$258,9,FALSE))))</f>
        <v/>
      </c>
      <c r="L75" s="295" t="str">
        <f>IF(E75="","",IF(ISNA(VLOOKUP($E75,'A-1 On-Site Habitat Baseline'!$D$1:$O$258,11,FALSE)),"",(VLOOKUP($E75,'A-1 On-Site Habitat Baseline'!$D$1:$O$258,11,FALSE))))</f>
        <v/>
      </c>
      <c r="M75" s="295" t="str">
        <f>IF(E75="","",IF(ISNA(VLOOKUP($E75,'A-1 On-Site Habitat Baseline'!$D$1:$O$258,12,FALSE)),"",(VLOOKUP($E75,'A-1 On-Site Habitat Baseline'!$D$1:$O$258,12,FALSE))))</f>
        <v/>
      </c>
      <c r="N75" s="306" t="str">
        <f>IF(E75="","",IF(ISNA(VLOOKUP($E75,'A-1 On-Site Habitat Baseline'!$D$1:$X$258,14,FALSE)),"",(VLOOKUP($E75,'A-1 On-Site Habitat Baseline'!$D$1:$X$258,14,FALSE))))</f>
        <v/>
      </c>
      <c r="O75" s="299" t="str">
        <f>IF(E75="","",IF(ISNA(VLOOKUP($E75,'A-1 On-Site Habitat Baseline'!$D$1:$X$258,16,FALSE)),"",(VLOOKUP($E75,'A-1 On-Site Habitat Baseline'!$D$1:$X$258,13,FALSE))))</f>
        <v/>
      </c>
      <c r="P75" s="154" t="str">
        <f>IFERROR(INDEX('G-1 All Habitats'!$AG$49:$AG$63,MATCH(Q75,'G-1 All Habitats'!$AF$27:$AF$41,0)),"")</f>
        <v/>
      </c>
      <c r="Q75" s="155" t="str">
        <f t="shared" si="0"/>
        <v/>
      </c>
      <c r="R75" s="155"/>
      <c r="S75" s="237" t="str">
        <f>IFERROR(INDEX('G-1 All Habitats'!$B$3:$B$135,MATCH(R75,'G-1 All Habitats'!$A$3:$A$135,0)),"")</f>
        <v/>
      </c>
      <c r="T75" s="275" t="str">
        <f t="shared" si="1"/>
        <v/>
      </c>
      <c r="U75" s="276" t="str">
        <f t="shared" si="2"/>
        <v/>
      </c>
      <c r="V75" s="311" t="str">
        <f t="shared" si="3"/>
        <v/>
      </c>
      <c r="W75" s="295" t="str">
        <f>IF(S75="","",VLOOKUP(S75,'G-1 All Habitats'!$B$2:$M$135,10,FALSE))</f>
        <v/>
      </c>
      <c r="X75" s="295" t="str">
        <f>IFERROR(VLOOKUP(W75,'G-1 All Habitats'!$V$3:$W$7,2,FALSE),"")</f>
        <v/>
      </c>
      <c r="Y75" s="57"/>
      <c r="Z75" s="299" t="str">
        <f>IFERROR(INDEX('G-8 Condition Look up'!$A$3:$H$135,MATCH(S75,'G-8 Condition Look up'!$A$3:$A$135,0),MATCH(Y75,'G-8 Condition Look up'!$A$3:$H$3,0)),"")</f>
        <v/>
      </c>
      <c r="AA75" s="52"/>
      <c r="AB75" s="295" t="str">
        <f>IF(AA75="","",IF(VLOOKUP(AA75,'G-3 Multipliers'!$L$3:$N$6,2,FALSE)=0,"Spatial Data Missing ⚠",VLOOKUP(AA75,'G-3 Multipliers'!$L$3:$N$6,2,FALSE)))</f>
        <v/>
      </c>
      <c r="AC75" s="299" t="str">
        <f>IF(AA75="","",IF(VLOOKUP(AA75,'G-3 Multipliers'!$L$3:$N$6,3,FALSE)=0,"Spatial Data Missing ⚠",VLOOKUP(AA75,'G-3 Multipliers'!$L$3:$N$6,3,FALSE)))</f>
        <v/>
      </c>
      <c r="AD75" s="313" t="str">
        <f t="shared" si="4"/>
        <v/>
      </c>
      <c r="AE75" s="58"/>
      <c r="AF75" s="58"/>
      <c r="AG75" s="283" t="str">
        <f t="shared" si="5"/>
        <v/>
      </c>
      <c r="AH75" s="296" t="str">
        <f t="shared" si="6"/>
        <v/>
      </c>
      <c r="AI75" s="297" t="str">
        <f>IF(AH75="Check Data ⚠","Check Data ⚠",IFERROR(VLOOKUP(AH75,'G-4 Temporal multipliers'!$A$4:$C$36,3,FALSE),""))</f>
        <v/>
      </c>
      <c r="AJ75" s="275" t="str">
        <f>IF(S75="","",VLOOKUP(S75,'G-3 Multipliers'!$A$2:$E$134,4,FALSE))</f>
        <v/>
      </c>
      <c r="AK75" s="283" t="str">
        <f t="shared" si="7"/>
        <v/>
      </c>
      <c r="AL75" s="283" t="str">
        <f t="shared" si="8"/>
        <v/>
      </c>
      <c r="AM75" s="314" t="str">
        <f>IFERROR(IF(F75="","",IF(AH75="Check Data ⚠","Check Data ⚠",VLOOKUP(AL75,'G-3 Multipliers'!$P$2:$Q$6,2,FALSE))),"")</f>
        <v/>
      </c>
      <c r="AN75" s="289" t="str">
        <f t="shared" si="9"/>
        <v/>
      </c>
      <c r="AO75" s="52"/>
      <c r="AP75" s="51"/>
      <c r="AQ75" s="104"/>
      <c r="AT75" s="35" t="str">
        <f t="shared" si="10"/>
        <v>No</v>
      </c>
      <c r="AU75" s="35" t="str">
        <f>IF(E75="","",IF(ISNA(VLOOKUP($E75,'A-1 On-Site Habitat Baseline'!$D$1:$AV$258,4,FALSE)),"",(VLOOKUP($E75,'A-1 On-Site Habitat Baseline'!$D$1:$AV$258,4,FALSE))))</f>
        <v/>
      </c>
    </row>
    <row r="76" spans="1:47" ht="14">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05" t="str">
        <f>'A-1 On-Site Habitat Baseline'!AL75</f>
        <v/>
      </c>
      <c r="F76" s="295" t="str">
        <f>IF(E76="","",IF(ISNA(VLOOKUP($E76,'A-1 On-Site Habitat Baseline'!$D$1:$AV$258,45,FALSE)),"",(VLOOKUP($E76,'A-1 On-Site Habitat Baseline'!$D$1:$AV$258,45,FALSE))))</f>
        <v/>
      </c>
      <c r="G76" s="295" t="str">
        <f>IF(E76="","",IF(ISNA(VLOOKUP($E76,'A-1 On-Site Habitat Baseline'!$D$1:$O$258,5,FALSE)),"",(VLOOKUP($E76,'A-1 On-Site Habitat Baseline'!$D$1:$O$258,5,FALSE))))</f>
        <v/>
      </c>
      <c r="H76" s="295" t="str">
        <f>IF(E76="","",IF(ISNA(VLOOKUP($E76,'A-1 On-Site Habitat Baseline'!$D$1:$O$258,6,FALSE)),"",(VLOOKUP($E76,'A-1 On-Site Habitat Baseline'!$D$1:$O$258,6,FALSE))))</f>
        <v/>
      </c>
      <c r="I76" s="295" t="str">
        <f>IF(E76="","",IF(ISNA(VLOOKUP($E76,'A-1 On-Site Habitat Baseline'!$D$1:$O$258,7,FALSE)),"",(VLOOKUP($E76,'A-1 On-Site Habitat Baseline'!$D$1:$O$258,7,FALSE))))</f>
        <v/>
      </c>
      <c r="J76" s="295" t="str">
        <f>IF(E76="","",IF(ISNA(VLOOKUP($E76,'A-1 On-Site Habitat Baseline'!$D$1:$O$258,8,FALSE)),"",(VLOOKUP($E76,'A-1 On-Site Habitat Baseline'!$D$1:$O$258,8,FALSE))))</f>
        <v/>
      </c>
      <c r="K76" s="295" t="str">
        <f>IF(E76="","",IF(ISNA(VLOOKUP($E76,'A-1 On-Site Habitat Baseline'!$D$1:$O$258,9,FALSE)),"",(VLOOKUP($E76,'A-1 On-Site Habitat Baseline'!$D$1:$O$258,9,FALSE))))</f>
        <v/>
      </c>
      <c r="L76" s="295" t="str">
        <f>IF(E76="","",IF(ISNA(VLOOKUP($E76,'A-1 On-Site Habitat Baseline'!$D$1:$O$258,11,FALSE)),"",(VLOOKUP($E76,'A-1 On-Site Habitat Baseline'!$D$1:$O$258,11,FALSE))))</f>
        <v/>
      </c>
      <c r="M76" s="295" t="str">
        <f>IF(E76="","",IF(ISNA(VLOOKUP($E76,'A-1 On-Site Habitat Baseline'!$D$1:$O$258,12,FALSE)),"",(VLOOKUP($E76,'A-1 On-Site Habitat Baseline'!$D$1:$O$258,12,FALSE))))</f>
        <v/>
      </c>
      <c r="N76" s="306" t="str">
        <f>IF(E76="","",IF(ISNA(VLOOKUP($E76,'A-1 On-Site Habitat Baseline'!$D$1:$X$258,14,FALSE)),"",(VLOOKUP($E76,'A-1 On-Site Habitat Baseline'!$D$1:$X$258,14,FALSE))))</f>
        <v/>
      </c>
      <c r="O76" s="299" t="str">
        <f>IF(E76="","",IF(ISNA(VLOOKUP($E76,'A-1 On-Site Habitat Baseline'!$D$1:$X$258,16,FALSE)),"",(VLOOKUP($E76,'A-1 On-Site Habitat Baseline'!$D$1:$X$258,13,FALSE))))</f>
        <v/>
      </c>
      <c r="P76" s="154" t="str">
        <f>IFERROR(INDEX('G-1 All Habitats'!$AG$49:$AG$63,MATCH(Q76,'G-1 All Habitats'!$AF$27:$AF$41,0)),"")</f>
        <v/>
      </c>
      <c r="Q76" s="155" t="str">
        <f t="shared" si="0"/>
        <v/>
      </c>
      <c r="R76" s="155"/>
      <c r="S76" s="237" t="str">
        <f>IFERROR(INDEX('G-1 All Habitats'!$B$3:$B$135,MATCH(R76,'G-1 All Habitats'!$A$3:$A$135,0)),"")</f>
        <v/>
      </c>
      <c r="T76" s="275" t="str">
        <f t="shared" si="1"/>
        <v/>
      </c>
      <c r="U76" s="276" t="str">
        <f t="shared" si="2"/>
        <v/>
      </c>
      <c r="V76" s="311" t="str">
        <f t="shared" si="11" ref="V76:V139">IF(S76="","",VLOOKUP(E76,BaselineHabSite,17,FALSE))</f>
        <v/>
      </c>
      <c r="W76" s="295" t="str">
        <f>IF(S76="","",VLOOKUP(S76,'G-1 All Habitats'!$B$2:$M$135,10,FALSE))</f>
        <v/>
      </c>
      <c r="X76" s="295" t="str">
        <f>IFERROR(VLOOKUP(W76,'G-1 All Habitats'!$V$3:$W$7,2,FALSE),"")</f>
        <v/>
      </c>
      <c r="Y76" s="57"/>
      <c r="Z76" s="299" t="str">
        <f>IFERROR(INDEX('G-8 Condition Look up'!$A$3:$H$135,MATCH(S76,'G-8 Condition Look up'!$A$3:$A$135,0),MATCH(Y76,'G-8 Condition Look up'!$A$3:$H$3,0)),"")</f>
        <v/>
      </c>
      <c r="AA76" s="52"/>
      <c r="AB76" s="295" t="str">
        <f>IF(AA76="","",IF(VLOOKUP(AA76,'G-3 Multipliers'!$L$3:$N$6,2,FALSE)=0,"Spatial Data Missing ⚠",VLOOKUP(AA76,'G-3 Multipliers'!$L$3:$N$6,2,FALSE)))</f>
        <v/>
      </c>
      <c r="AC76" s="299" t="str">
        <f>IF(AA76="","",IF(VLOOKUP(AA76,'G-3 Multipliers'!$L$3:$N$6,3,FALSE)=0,"Spatial Data Missing ⚠",VLOOKUP(AA76,'G-3 Multipliers'!$L$3:$N$6,3,FALSE)))</f>
        <v/>
      </c>
      <c r="AD76" s="313" t="str">
        <f t="shared" si="12" ref="AD76:AD139">IFERROR(IF(OR(LEFT(U76,5)="Error",LEFT(T76,5)="Error"),"Check Data ⚠",INDEX(EnhanceTemporal,MATCH(S76,EnhanceHabitat,0),MATCH(U76,EnhanceCondition,0))),"")</f>
        <v/>
      </c>
      <c r="AE76" s="58"/>
      <c r="AF76" s="58"/>
      <c r="AG76" s="283" t="str">
        <f t="shared" si="5"/>
        <v/>
      </c>
      <c r="AH76" s="296" t="str">
        <f t="shared" si="6"/>
        <v/>
      </c>
      <c r="AI76" s="297" t="str">
        <f>IF(AH76="Check Data ⚠","Check Data ⚠",IFERROR(VLOOKUP(AH76,'G-4 Temporal multipliers'!$A$4:$C$36,3,FALSE),""))</f>
        <v/>
      </c>
      <c r="AJ76" s="275" t="str">
        <f>IF(S76="","",VLOOKUP(S76,'G-3 Multipliers'!$A$2:$E$134,4,FALSE))</f>
        <v/>
      </c>
      <c r="AK76" s="283" t="str">
        <f t="shared" si="7"/>
        <v/>
      </c>
      <c r="AL76" s="283" t="str">
        <f t="shared" si="8"/>
        <v/>
      </c>
      <c r="AM76" s="314" t="str">
        <f>IFERROR(IF(F76="","",IF(AH76="Check Data ⚠","Check Data ⚠",VLOOKUP(AL76,'G-3 Multipliers'!$P$2:$Q$6,2,FALSE))),"")</f>
        <v/>
      </c>
      <c r="AN76" s="289" t="str">
        <f t="shared" si="9"/>
        <v/>
      </c>
      <c r="AO76" s="52"/>
      <c r="AP76" s="51"/>
      <c r="AQ76" s="104"/>
      <c r="AT76" s="35" t="str">
        <f t="shared" si="10"/>
        <v>No</v>
      </c>
      <c r="AU76" s="35" t="str">
        <f>IF(E76="","",IF(ISNA(VLOOKUP($E76,'A-1 On-Site Habitat Baseline'!$D$1:$AV$258,4,FALSE)),"",(VLOOKUP($E76,'A-1 On-Site Habitat Baseline'!$D$1:$AV$258,4,FALSE))))</f>
        <v/>
      </c>
    </row>
    <row r="77" spans="1:47" ht="14">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05" t="str">
        <f>'A-1 On-Site Habitat Baseline'!AL76</f>
        <v/>
      </c>
      <c r="F77" s="295" t="str">
        <f>IF(E77="","",IF(ISNA(VLOOKUP($E77,'A-1 On-Site Habitat Baseline'!$D$1:$AV$258,45,FALSE)),"",(VLOOKUP($E77,'A-1 On-Site Habitat Baseline'!$D$1:$AV$258,45,FALSE))))</f>
        <v/>
      </c>
      <c r="G77" s="295" t="str">
        <f>IF(E77="","",IF(ISNA(VLOOKUP($E77,'A-1 On-Site Habitat Baseline'!$D$1:$O$258,5,FALSE)),"",(VLOOKUP($E77,'A-1 On-Site Habitat Baseline'!$D$1:$O$258,5,FALSE))))</f>
        <v/>
      </c>
      <c r="H77" s="295" t="str">
        <f>IF(E77="","",IF(ISNA(VLOOKUP($E77,'A-1 On-Site Habitat Baseline'!$D$1:$O$258,6,FALSE)),"",(VLOOKUP($E77,'A-1 On-Site Habitat Baseline'!$D$1:$O$258,6,FALSE))))</f>
        <v/>
      </c>
      <c r="I77" s="295" t="str">
        <f>IF(E77="","",IF(ISNA(VLOOKUP($E77,'A-1 On-Site Habitat Baseline'!$D$1:$O$258,7,FALSE)),"",(VLOOKUP($E77,'A-1 On-Site Habitat Baseline'!$D$1:$O$258,7,FALSE))))</f>
        <v/>
      </c>
      <c r="J77" s="295" t="str">
        <f>IF(E77="","",IF(ISNA(VLOOKUP($E77,'A-1 On-Site Habitat Baseline'!$D$1:$O$258,8,FALSE)),"",(VLOOKUP($E77,'A-1 On-Site Habitat Baseline'!$D$1:$O$258,8,FALSE))))</f>
        <v/>
      </c>
      <c r="K77" s="295" t="str">
        <f>IF(E77="","",IF(ISNA(VLOOKUP($E77,'A-1 On-Site Habitat Baseline'!$D$1:$O$258,9,FALSE)),"",(VLOOKUP($E77,'A-1 On-Site Habitat Baseline'!$D$1:$O$258,9,FALSE))))</f>
        <v/>
      </c>
      <c r="L77" s="295" t="str">
        <f>IF(E77="","",IF(ISNA(VLOOKUP($E77,'A-1 On-Site Habitat Baseline'!$D$1:$O$258,11,FALSE)),"",(VLOOKUP($E77,'A-1 On-Site Habitat Baseline'!$D$1:$O$258,11,FALSE))))</f>
        <v/>
      </c>
      <c r="M77" s="295" t="str">
        <f>IF(E77="","",IF(ISNA(VLOOKUP($E77,'A-1 On-Site Habitat Baseline'!$D$1:$O$258,12,FALSE)),"",(VLOOKUP($E77,'A-1 On-Site Habitat Baseline'!$D$1:$O$258,12,FALSE))))</f>
        <v/>
      </c>
      <c r="N77" s="306" t="str">
        <f>IF(E77="","",IF(ISNA(VLOOKUP($E77,'A-1 On-Site Habitat Baseline'!$D$1:$X$258,14,FALSE)),"",(VLOOKUP($E77,'A-1 On-Site Habitat Baseline'!$D$1:$X$258,14,FALSE))))</f>
        <v/>
      </c>
      <c r="O77" s="299" t="str">
        <f>IF(E77="","",IF(ISNA(VLOOKUP($E77,'A-1 On-Site Habitat Baseline'!$D$1:$X$258,16,FALSE)),"",(VLOOKUP($E77,'A-1 On-Site Habitat Baseline'!$D$1:$X$258,13,FALSE))))</f>
        <v/>
      </c>
      <c r="P77" s="154" t="str">
        <f>IFERROR(INDEX('G-1 All Habitats'!$AG$49:$AG$63,MATCH(Q77,'G-1 All Habitats'!$AF$27:$AF$41,0)),"")</f>
        <v/>
      </c>
      <c r="Q77" s="155" t="str">
        <f t="shared" si="13" ref="Q77:Q140">A77</f>
        <v/>
      </c>
      <c r="R77" s="155"/>
      <c r="S77" s="237" t="str">
        <f>IFERROR(INDEX('G-1 All Habitats'!$B$3:$B$135,MATCH(R77,'G-1 All Habitats'!$A$3:$A$135,0)),"")</f>
        <v/>
      </c>
      <c r="T77" s="275" t="str">
        <f t="shared" si="14" ref="T77:T140">IF(E77="","",IF(AND(LEFT(O77,6)="Same d",I77&gt;X77),"Error - Trading rules not satisfied ▲",IF(AND(LEFT(O77,6)="Same b",AND(LEFT(F77,5)&lt;&gt;LEFT(S77,5),I77&gt;X77)),"Error - Trading rules not satisfied ▲",IF(AND(LEFT(O77,6)="Same h",F77&lt;&gt;S77),"Error - Trading rules not satisfied ▲",IF(AND(LEFT(O77,6)="Bespok",F77&lt;&gt;S77,LEFT(F77,27)&lt;&gt;"Woodland and forest - Other"),"Error - Trading rules not satisfied ▲",IF(X77&lt;I77,"Error Trading Down ▲",IF(AND(R77="Littoral seagrass",F77&lt;&gt;"Intertidal sediment - Littoral seagrass",F77&lt;&gt;"Intertidal sediment - Littoral sand"),"Error - Enhancement not possible ▲",IF(AND(R77="Artificial hard structures with integrated greening of grey infrastructure (IGGI)",F77&lt;&gt;"Intertidal hard structures - Artificial hard structures with integrated greening of grey infrastructure (IGGI)",F77&lt;&gt;"Intertidal hard structures - Artificial hard structures",F77&lt;&gt;"Intertidal hard structures - Artificial features of hard structures"),"Error - Enhancement not possible ▲",H77&amp;" - "&amp;W77))))))))</f>
        <v/>
      </c>
      <c r="U77" s="276" t="str">
        <f t="shared" si="15" ref="U77:U140">IF(F77="","",IF(OR(LEFT(F77,27)&lt;&gt;"Woodland and forest - Other",LEFT(S77,8)&lt;&gt;"Woodland"),IF(AND(S77&lt;&gt;F77,AU77="Yes"),"Error you cannot replace an irreplaceable habitat ▲",IF(AND(LEFT(F77,55)&lt;&gt;LEFT(S77,55),T77="High - High"),"Error - Not like for like ▲",IF(AND(I77=X77,K77&gt;Z77),"Error - Can not reduce condition ▲",IF(AND(I77=X77,K77=Z77),"Error - No enhancement ▲",IF(K77&gt;Z77,"Error - condition cannot be reduced ▲",IF(X77&lt;I77,"Error Trading Down ▲",IF(AND(F77&lt;&gt;S77,I77&lt;X77),"Lower Distinctiveness Habitat"&amp;" - "&amp;Y77,J77&amp;" - "&amp;Y77))))))),IF(AND(LEFT(F77,55)&lt;&gt;LEFT(S77,55),T77="High - High"),"Error - Not like for like ▲",IF(AND(I77=X77,K77&gt;Z77),"Error - Can not reduce condition ▲",IF(AND(I77=X77,K77=Z77),"Error - No enhancement ▲",IF(K77&gt;Z77,"Error - condition cannot be reduced ▲",IF(X77&lt;I77,"Error Trading Down ▲",IF(AND(F77&lt;&gt;S77,I77&lt;X77),"Lower Distinctiveness Habitat"&amp;" - "&amp;Y77,J77&amp;" - "&amp;Y77))))))))</f>
        <v/>
      </c>
      <c r="V77" s="311" t="str">
        <f t="shared" si="11"/>
        <v/>
      </c>
      <c r="W77" s="295" t="str">
        <f>IF(S77="","",VLOOKUP(S77,'G-1 All Habitats'!$B$2:$M$135,10,FALSE))</f>
        <v/>
      </c>
      <c r="X77" s="295" t="str">
        <f>IFERROR(VLOOKUP(W77,'G-1 All Habitats'!$V$3:$W$7,2,FALSE),"")</f>
        <v/>
      </c>
      <c r="Y77" s="57"/>
      <c r="Z77" s="299" t="str">
        <f>IFERROR(INDEX('G-8 Condition Look up'!$A$3:$H$135,MATCH(S77,'G-8 Condition Look up'!$A$3:$A$135,0),MATCH(Y77,'G-8 Condition Look up'!$A$3:$H$3,0)),"")</f>
        <v/>
      </c>
      <c r="AA77" s="52"/>
      <c r="AB77" s="295" t="str">
        <f>IF(AA77="","",IF(VLOOKUP(AA77,'G-3 Multipliers'!$L$3:$N$6,2,FALSE)=0,"Spatial Data Missing ⚠",VLOOKUP(AA77,'G-3 Multipliers'!$L$3:$N$6,2,FALSE)))</f>
        <v/>
      </c>
      <c r="AC77" s="299" t="str">
        <f>IF(AA77="","",IF(VLOOKUP(AA77,'G-3 Multipliers'!$L$3:$N$6,3,FALSE)=0,"Spatial Data Missing ⚠",VLOOKUP(AA77,'G-3 Multipliers'!$L$3:$N$6,3,FALSE)))</f>
        <v/>
      </c>
      <c r="AD77" s="313" t="str">
        <f t="shared" si="12"/>
        <v/>
      </c>
      <c r="AE77" s="58"/>
      <c r="AF77" s="58"/>
      <c r="AG77" s="283" t="str">
        <f t="shared" si="16" ref="AG77:AG140">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296" t="str">
        <f t="shared" si="17" ref="AH77:AH140">IF(AG77="Error -both advance and delayed habitat creation ▲","Check Data ⚠",IF(AG77="Check Data ⚠","Check Data ⚠",IF(AD77="","",IF(AD77="Not Possible ▲","Check Data ⚠",IF(AND(AD77="30+",AE77=0),"30+",IF(AND(AD77="30+",AE77="30+"),0,IF(AND(AD77="30+",AE77&lt;30),30-AE77,IF(AD77="30+",30-AE77,IF(AE77&gt;AD77,0,IF(AF77="30+","30+",IF(AD77+AF77&gt;30,"30+",IF(AD77+AF77&gt;30,"30+",IF(AD77-AE77&gt;30,"30+",IF(AD77+AF77-AE77&gt;0,AD77+AF77-AE77,IF(AD77-AE77&gt;0,AD77-AE77,AD77+AF77-AE77)))))))))))))))</f>
        <v/>
      </c>
      <c r="AI77" s="297" t="str">
        <f>IF(AH77="Check Data ⚠","Check Data ⚠",IFERROR(VLOOKUP(AH77,'G-4 Temporal multipliers'!$A$4:$C$36,3,FALSE),""))</f>
        <v/>
      </c>
      <c r="AJ77" s="275" t="str">
        <f>IF(S77="","",VLOOKUP(S77,'G-3 Multipliers'!$A$2:$E$134,4,FALSE))</f>
        <v/>
      </c>
      <c r="AK77" s="283" t="str">
        <f t="shared" si="18" ref="AK77:AK140">IF(E77="","",IF(AG77="Check details - Is there evidence that habitat has reached target condition? ⚠","Low Difficulty - only applicable if all habitat created before losses ⚠","Standard difficulty applied"))</f>
        <v/>
      </c>
      <c r="AL77" s="283" t="str">
        <f t="shared" si="19" ref="AL77:AL140">(IF(AND(AK77="Standard difficulty applied",AD77&gt;AE77),AJ77,IF(AND(AK77="Low Difficulty - only applicable if all habitat created before losses ⚠",AE77&gt;=AD77),"Low",AJ77)))</f>
        <v/>
      </c>
      <c r="AM77" s="314" t="str">
        <f>IFERROR(IF(F77="","",IF(AH77="Check Data ⚠","Check Data ⚠",VLOOKUP(AL77,'G-3 Multipliers'!$P$2:$Q$6,2,FALSE))),"")</f>
        <v/>
      </c>
      <c r="AN77" s="289" t="str">
        <f t="shared" si="20" ref="AN77:AN140">IFERROR(IF(N77="Error - you cannot enhance irreplaceable individual trees ▲","Error - you cannot enhance irreplaceable individual trees ▲",IF(K77&gt;Z77,((((V77*X77*Z77)-(V77*I77*Z77))*(AM77*AI77))+(V77*I77*Z77))*(AC77),((((V77*X77*Z77)-(V77*I77*K77))*(AM77*AI77))+(V77*I77*K77))*(AC77))),"")</f>
        <v/>
      </c>
      <c r="AO77" s="52"/>
      <c r="AP77" s="51"/>
      <c r="AQ77" s="104"/>
      <c r="AT77" s="35" t="str">
        <f t="shared" si="21" ref="AT77:AT140">IF(Q77&lt;&gt;A77,"Yes","No")</f>
        <v>No</v>
      </c>
      <c r="AU77" s="35" t="str">
        <f>IF(E77="","",IF(ISNA(VLOOKUP($E77,'A-1 On-Site Habitat Baseline'!$D$1:$AV$258,4,FALSE)),"",(VLOOKUP($E77,'A-1 On-Site Habitat Baseline'!$D$1:$AV$258,4,FALSE))))</f>
        <v/>
      </c>
    </row>
    <row r="78" spans="1:47" ht="14">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05" t="str">
        <f>'A-1 On-Site Habitat Baseline'!AL77</f>
        <v/>
      </c>
      <c r="F78" s="295" t="str">
        <f>IF(E78="","",IF(ISNA(VLOOKUP($E78,'A-1 On-Site Habitat Baseline'!$D$1:$AV$258,45,FALSE)),"",(VLOOKUP($E78,'A-1 On-Site Habitat Baseline'!$D$1:$AV$258,45,FALSE))))</f>
        <v/>
      </c>
      <c r="G78" s="295" t="str">
        <f>IF(E78="","",IF(ISNA(VLOOKUP($E78,'A-1 On-Site Habitat Baseline'!$D$1:$O$258,5,FALSE)),"",(VLOOKUP($E78,'A-1 On-Site Habitat Baseline'!$D$1:$O$258,5,FALSE))))</f>
        <v/>
      </c>
      <c r="H78" s="295" t="str">
        <f>IF(E78="","",IF(ISNA(VLOOKUP($E78,'A-1 On-Site Habitat Baseline'!$D$1:$O$258,6,FALSE)),"",(VLOOKUP($E78,'A-1 On-Site Habitat Baseline'!$D$1:$O$258,6,FALSE))))</f>
        <v/>
      </c>
      <c r="I78" s="295" t="str">
        <f>IF(E78="","",IF(ISNA(VLOOKUP($E78,'A-1 On-Site Habitat Baseline'!$D$1:$O$258,7,FALSE)),"",(VLOOKUP($E78,'A-1 On-Site Habitat Baseline'!$D$1:$O$258,7,FALSE))))</f>
        <v/>
      </c>
      <c r="J78" s="295" t="str">
        <f>IF(E78="","",IF(ISNA(VLOOKUP($E78,'A-1 On-Site Habitat Baseline'!$D$1:$O$258,8,FALSE)),"",(VLOOKUP($E78,'A-1 On-Site Habitat Baseline'!$D$1:$O$258,8,FALSE))))</f>
        <v/>
      </c>
      <c r="K78" s="295" t="str">
        <f>IF(E78="","",IF(ISNA(VLOOKUP($E78,'A-1 On-Site Habitat Baseline'!$D$1:$O$258,9,FALSE)),"",(VLOOKUP($E78,'A-1 On-Site Habitat Baseline'!$D$1:$O$258,9,FALSE))))</f>
        <v/>
      </c>
      <c r="L78" s="295" t="str">
        <f>IF(E78="","",IF(ISNA(VLOOKUP($E78,'A-1 On-Site Habitat Baseline'!$D$1:$O$258,11,FALSE)),"",(VLOOKUP($E78,'A-1 On-Site Habitat Baseline'!$D$1:$O$258,11,FALSE))))</f>
        <v/>
      </c>
      <c r="M78" s="295" t="str">
        <f>IF(E78="","",IF(ISNA(VLOOKUP($E78,'A-1 On-Site Habitat Baseline'!$D$1:$O$258,12,FALSE)),"",(VLOOKUP($E78,'A-1 On-Site Habitat Baseline'!$D$1:$O$258,12,FALSE))))</f>
        <v/>
      </c>
      <c r="N78" s="306" t="str">
        <f>IF(E78="","",IF(ISNA(VLOOKUP($E78,'A-1 On-Site Habitat Baseline'!$D$1:$X$258,14,FALSE)),"",(VLOOKUP($E78,'A-1 On-Site Habitat Baseline'!$D$1:$X$258,14,FALSE))))</f>
        <v/>
      </c>
      <c r="O78" s="299" t="str">
        <f>IF(E78="","",IF(ISNA(VLOOKUP($E78,'A-1 On-Site Habitat Baseline'!$D$1:$X$258,16,FALSE)),"",(VLOOKUP($E78,'A-1 On-Site Habitat Baseline'!$D$1:$X$258,13,FALSE))))</f>
        <v/>
      </c>
      <c r="P78" s="154" t="str">
        <f>IFERROR(INDEX('G-1 All Habitats'!$AG$49:$AG$63,MATCH(Q78,'G-1 All Habitats'!$AF$27:$AF$41,0)),"")</f>
        <v/>
      </c>
      <c r="Q78" s="155" t="str">
        <f t="shared" si="13"/>
        <v/>
      </c>
      <c r="R78" s="155"/>
      <c r="S78" s="237" t="str">
        <f>IFERROR(INDEX('G-1 All Habitats'!$B$3:$B$135,MATCH(R78,'G-1 All Habitats'!$A$3:$A$135,0)),"")</f>
        <v/>
      </c>
      <c r="T78" s="275" t="str">
        <f t="shared" si="14"/>
        <v/>
      </c>
      <c r="U78" s="276" t="str">
        <f t="shared" si="15"/>
        <v/>
      </c>
      <c r="V78" s="311" t="str">
        <f t="shared" si="11"/>
        <v/>
      </c>
      <c r="W78" s="295" t="str">
        <f>IF(S78="","",VLOOKUP(S78,'G-1 All Habitats'!$B$2:$M$135,10,FALSE))</f>
        <v/>
      </c>
      <c r="X78" s="295" t="str">
        <f>IFERROR(VLOOKUP(W78,'G-1 All Habitats'!$V$3:$W$7,2,FALSE),"")</f>
        <v/>
      </c>
      <c r="Y78" s="57"/>
      <c r="Z78" s="299" t="str">
        <f>IFERROR(INDEX('G-8 Condition Look up'!$A$3:$H$135,MATCH(S78,'G-8 Condition Look up'!$A$3:$A$135,0),MATCH(Y78,'G-8 Condition Look up'!$A$3:$H$3,0)),"")</f>
        <v/>
      </c>
      <c r="AA78" s="52"/>
      <c r="AB78" s="295" t="str">
        <f>IF(AA78="","",IF(VLOOKUP(AA78,'G-3 Multipliers'!$L$3:$N$6,2,FALSE)=0,"Spatial Data Missing ⚠",VLOOKUP(AA78,'G-3 Multipliers'!$L$3:$N$6,2,FALSE)))</f>
        <v/>
      </c>
      <c r="AC78" s="299" t="str">
        <f>IF(AA78="","",IF(VLOOKUP(AA78,'G-3 Multipliers'!$L$3:$N$6,3,FALSE)=0,"Spatial Data Missing ⚠",VLOOKUP(AA78,'G-3 Multipliers'!$L$3:$N$6,3,FALSE)))</f>
        <v/>
      </c>
      <c r="AD78" s="313" t="str">
        <f t="shared" si="12"/>
        <v/>
      </c>
      <c r="AE78" s="58"/>
      <c r="AF78" s="58"/>
      <c r="AG78" s="283" t="str">
        <f t="shared" si="16"/>
        <v/>
      </c>
      <c r="AH78" s="296" t="str">
        <f t="shared" si="17"/>
        <v/>
      </c>
      <c r="AI78" s="297" t="str">
        <f>IF(AH78="Check Data ⚠","Check Data ⚠",IFERROR(VLOOKUP(AH78,'G-4 Temporal multipliers'!$A$4:$C$36,3,FALSE),""))</f>
        <v/>
      </c>
      <c r="AJ78" s="275" t="str">
        <f>IF(S78="","",VLOOKUP(S78,'G-3 Multipliers'!$A$2:$E$134,4,FALSE))</f>
        <v/>
      </c>
      <c r="AK78" s="283" t="str">
        <f t="shared" si="18"/>
        <v/>
      </c>
      <c r="AL78" s="283" t="str">
        <f t="shared" si="19"/>
        <v/>
      </c>
      <c r="AM78" s="314" t="str">
        <f>IFERROR(IF(F78="","",IF(AH78="Check Data ⚠","Check Data ⚠",VLOOKUP(AL78,'G-3 Multipliers'!$P$2:$Q$6,2,FALSE))),"")</f>
        <v/>
      </c>
      <c r="AN78" s="289" t="str">
        <f t="shared" si="20"/>
        <v/>
      </c>
      <c r="AO78" s="52"/>
      <c r="AP78" s="51"/>
      <c r="AQ78" s="104"/>
      <c r="AT78" s="35" t="str">
        <f t="shared" si="21"/>
        <v>No</v>
      </c>
      <c r="AU78" s="35" t="str">
        <f>IF(E78="","",IF(ISNA(VLOOKUP($E78,'A-1 On-Site Habitat Baseline'!$D$1:$AV$258,4,FALSE)),"",(VLOOKUP($E78,'A-1 On-Site Habitat Baseline'!$D$1:$AV$258,4,FALSE))))</f>
        <v/>
      </c>
    </row>
    <row r="79" spans="1:47" ht="14">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05" t="str">
        <f>'A-1 On-Site Habitat Baseline'!AL78</f>
        <v/>
      </c>
      <c r="F79" s="295" t="str">
        <f>IF(E79="","",IF(ISNA(VLOOKUP($E79,'A-1 On-Site Habitat Baseline'!$D$1:$AV$258,45,FALSE)),"",(VLOOKUP($E79,'A-1 On-Site Habitat Baseline'!$D$1:$AV$258,45,FALSE))))</f>
        <v/>
      </c>
      <c r="G79" s="295" t="str">
        <f>IF(E79="","",IF(ISNA(VLOOKUP($E79,'A-1 On-Site Habitat Baseline'!$D$1:$O$258,5,FALSE)),"",(VLOOKUP($E79,'A-1 On-Site Habitat Baseline'!$D$1:$O$258,5,FALSE))))</f>
        <v/>
      </c>
      <c r="H79" s="295" t="str">
        <f>IF(E79="","",IF(ISNA(VLOOKUP($E79,'A-1 On-Site Habitat Baseline'!$D$1:$O$258,6,FALSE)),"",(VLOOKUP($E79,'A-1 On-Site Habitat Baseline'!$D$1:$O$258,6,FALSE))))</f>
        <v/>
      </c>
      <c r="I79" s="295" t="str">
        <f>IF(E79="","",IF(ISNA(VLOOKUP($E79,'A-1 On-Site Habitat Baseline'!$D$1:$O$258,7,FALSE)),"",(VLOOKUP($E79,'A-1 On-Site Habitat Baseline'!$D$1:$O$258,7,FALSE))))</f>
        <v/>
      </c>
      <c r="J79" s="295" t="str">
        <f>IF(E79="","",IF(ISNA(VLOOKUP($E79,'A-1 On-Site Habitat Baseline'!$D$1:$O$258,8,FALSE)),"",(VLOOKUP($E79,'A-1 On-Site Habitat Baseline'!$D$1:$O$258,8,FALSE))))</f>
        <v/>
      </c>
      <c r="K79" s="295" t="str">
        <f>IF(E79="","",IF(ISNA(VLOOKUP($E79,'A-1 On-Site Habitat Baseline'!$D$1:$O$258,9,FALSE)),"",(VLOOKUP($E79,'A-1 On-Site Habitat Baseline'!$D$1:$O$258,9,FALSE))))</f>
        <v/>
      </c>
      <c r="L79" s="295" t="str">
        <f>IF(E79="","",IF(ISNA(VLOOKUP($E79,'A-1 On-Site Habitat Baseline'!$D$1:$O$258,11,FALSE)),"",(VLOOKUP($E79,'A-1 On-Site Habitat Baseline'!$D$1:$O$258,11,FALSE))))</f>
        <v/>
      </c>
      <c r="M79" s="295" t="str">
        <f>IF(E79="","",IF(ISNA(VLOOKUP($E79,'A-1 On-Site Habitat Baseline'!$D$1:$O$258,12,FALSE)),"",(VLOOKUP($E79,'A-1 On-Site Habitat Baseline'!$D$1:$O$258,12,FALSE))))</f>
        <v/>
      </c>
      <c r="N79" s="306" t="str">
        <f>IF(E79="","",IF(ISNA(VLOOKUP($E79,'A-1 On-Site Habitat Baseline'!$D$1:$X$258,14,FALSE)),"",(VLOOKUP($E79,'A-1 On-Site Habitat Baseline'!$D$1:$X$258,14,FALSE))))</f>
        <v/>
      </c>
      <c r="O79" s="299" t="str">
        <f>IF(E79="","",IF(ISNA(VLOOKUP($E79,'A-1 On-Site Habitat Baseline'!$D$1:$X$258,16,FALSE)),"",(VLOOKUP($E79,'A-1 On-Site Habitat Baseline'!$D$1:$X$258,13,FALSE))))</f>
        <v/>
      </c>
      <c r="P79" s="154" t="str">
        <f>IFERROR(INDEX('G-1 All Habitats'!$AG$49:$AG$63,MATCH(Q79,'G-1 All Habitats'!$AF$27:$AF$41,0)),"")</f>
        <v/>
      </c>
      <c r="Q79" s="155" t="str">
        <f t="shared" si="13"/>
        <v/>
      </c>
      <c r="R79" s="155"/>
      <c r="S79" s="237" t="str">
        <f>IFERROR(INDEX('G-1 All Habitats'!$B$3:$B$135,MATCH(R79,'G-1 All Habitats'!$A$3:$A$135,0)),"")</f>
        <v/>
      </c>
      <c r="T79" s="275" t="str">
        <f t="shared" si="14"/>
        <v/>
      </c>
      <c r="U79" s="276" t="str">
        <f t="shared" si="15"/>
        <v/>
      </c>
      <c r="V79" s="311" t="str">
        <f t="shared" si="11"/>
        <v/>
      </c>
      <c r="W79" s="295" t="str">
        <f>IF(S79="","",VLOOKUP(S79,'G-1 All Habitats'!$B$2:$M$135,10,FALSE))</f>
        <v/>
      </c>
      <c r="X79" s="295" t="str">
        <f>IFERROR(VLOOKUP(W79,'G-1 All Habitats'!$V$3:$W$7,2,FALSE),"")</f>
        <v/>
      </c>
      <c r="Y79" s="57"/>
      <c r="Z79" s="299" t="str">
        <f>IFERROR(INDEX('G-8 Condition Look up'!$A$3:$H$135,MATCH(S79,'G-8 Condition Look up'!$A$3:$A$135,0),MATCH(Y79,'G-8 Condition Look up'!$A$3:$H$3,0)),"")</f>
        <v/>
      </c>
      <c r="AA79" s="52"/>
      <c r="AB79" s="295" t="str">
        <f>IF(AA79="","",IF(VLOOKUP(AA79,'G-3 Multipliers'!$L$3:$N$6,2,FALSE)=0,"Spatial Data Missing ⚠",VLOOKUP(AA79,'G-3 Multipliers'!$L$3:$N$6,2,FALSE)))</f>
        <v/>
      </c>
      <c r="AC79" s="299" t="str">
        <f>IF(AA79="","",IF(VLOOKUP(AA79,'G-3 Multipliers'!$L$3:$N$6,3,FALSE)=0,"Spatial Data Missing ⚠",VLOOKUP(AA79,'G-3 Multipliers'!$L$3:$N$6,3,FALSE)))</f>
        <v/>
      </c>
      <c r="AD79" s="313" t="str">
        <f t="shared" si="12"/>
        <v/>
      </c>
      <c r="AE79" s="58"/>
      <c r="AF79" s="58"/>
      <c r="AG79" s="283" t="str">
        <f t="shared" si="16"/>
        <v/>
      </c>
      <c r="AH79" s="296" t="str">
        <f t="shared" si="17"/>
        <v/>
      </c>
      <c r="AI79" s="297" t="str">
        <f>IF(AH79="Check Data ⚠","Check Data ⚠",IFERROR(VLOOKUP(AH79,'G-4 Temporal multipliers'!$A$4:$C$36,3,FALSE),""))</f>
        <v/>
      </c>
      <c r="AJ79" s="275" t="str">
        <f>IF(S79="","",VLOOKUP(S79,'G-3 Multipliers'!$A$2:$E$134,4,FALSE))</f>
        <v/>
      </c>
      <c r="AK79" s="283" t="str">
        <f t="shared" si="18"/>
        <v/>
      </c>
      <c r="AL79" s="283" t="str">
        <f t="shared" si="19"/>
        <v/>
      </c>
      <c r="AM79" s="314" t="str">
        <f>IFERROR(IF(F79="","",IF(AH79="Check Data ⚠","Check Data ⚠",VLOOKUP(AL79,'G-3 Multipliers'!$P$2:$Q$6,2,FALSE))),"")</f>
        <v/>
      </c>
      <c r="AN79" s="289" t="str">
        <f t="shared" si="20"/>
        <v/>
      </c>
      <c r="AO79" s="52"/>
      <c r="AP79" s="51"/>
      <c r="AQ79" s="104"/>
      <c r="AT79" s="35" t="str">
        <f t="shared" si="21"/>
        <v>No</v>
      </c>
      <c r="AU79" s="35" t="str">
        <f>IF(E79="","",IF(ISNA(VLOOKUP($E79,'A-1 On-Site Habitat Baseline'!$D$1:$AV$258,4,FALSE)),"",(VLOOKUP($E79,'A-1 On-Site Habitat Baseline'!$D$1:$AV$258,4,FALSE))))</f>
        <v/>
      </c>
    </row>
    <row r="80" spans="1:47" ht="14">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05" t="str">
        <f>'A-1 On-Site Habitat Baseline'!AL79</f>
        <v/>
      </c>
      <c r="F80" s="295" t="str">
        <f>IF(E80="","",IF(ISNA(VLOOKUP($E80,'A-1 On-Site Habitat Baseline'!$D$1:$AV$258,45,FALSE)),"",(VLOOKUP($E80,'A-1 On-Site Habitat Baseline'!$D$1:$AV$258,45,FALSE))))</f>
        <v/>
      </c>
      <c r="G80" s="295" t="str">
        <f>IF(E80="","",IF(ISNA(VLOOKUP($E80,'A-1 On-Site Habitat Baseline'!$D$1:$O$258,5,FALSE)),"",(VLOOKUP($E80,'A-1 On-Site Habitat Baseline'!$D$1:$O$258,5,FALSE))))</f>
        <v/>
      </c>
      <c r="H80" s="295" t="str">
        <f>IF(E80="","",IF(ISNA(VLOOKUP($E80,'A-1 On-Site Habitat Baseline'!$D$1:$O$258,6,FALSE)),"",(VLOOKUP($E80,'A-1 On-Site Habitat Baseline'!$D$1:$O$258,6,FALSE))))</f>
        <v/>
      </c>
      <c r="I80" s="295" t="str">
        <f>IF(E80="","",IF(ISNA(VLOOKUP($E80,'A-1 On-Site Habitat Baseline'!$D$1:$O$258,7,FALSE)),"",(VLOOKUP($E80,'A-1 On-Site Habitat Baseline'!$D$1:$O$258,7,FALSE))))</f>
        <v/>
      </c>
      <c r="J80" s="295" t="str">
        <f>IF(E80="","",IF(ISNA(VLOOKUP($E80,'A-1 On-Site Habitat Baseline'!$D$1:$O$258,8,FALSE)),"",(VLOOKUP($E80,'A-1 On-Site Habitat Baseline'!$D$1:$O$258,8,FALSE))))</f>
        <v/>
      </c>
      <c r="K80" s="295" t="str">
        <f>IF(E80="","",IF(ISNA(VLOOKUP($E80,'A-1 On-Site Habitat Baseline'!$D$1:$O$258,9,FALSE)),"",(VLOOKUP($E80,'A-1 On-Site Habitat Baseline'!$D$1:$O$258,9,FALSE))))</f>
        <v/>
      </c>
      <c r="L80" s="295" t="str">
        <f>IF(E80="","",IF(ISNA(VLOOKUP($E80,'A-1 On-Site Habitat Baseline'!$D$1:$O$258,11,FALSE)),"",(VLOOKUP($E80,'A-1 On-Site Habitat Baseline'!$D$1:$O$258,11,FALSE))))</f>
        <v/>
      </c>
      <c r="M80" s="295" t="str">
        <f>IF(E80="","",IF(ISNA(VLOOKUP($E80,'A-1 On-Site Habitat Baseline'!$D$1:$O$258,12,FALSE)),"",(VLOOKUP($E80,'A-1 On-Site Habitat Baseline'!$D$1:$O$258,12,FALSE))))</f>
        <v/>
      </c>
      <c r="N80" s="306" t="str">
        <f>IF(E80="","",IF(ISNA(VLOOKUP($E80,'A-1 On-Site Habitat Baseline'!$D$1:$X$258,14,FALSE)),"",(VLOOKUP($E80,'A-1 On-Site Habitat Baseline'!$D$1:$X$258,14,FALSE))))</f>
        <v/>
      </c>
      <c r="O80" s="299" t="str">
        <f>IF(E80="","",IF(ISNA(VLOOKUP($E80,'A-1 On-Site Habitat Baseline'!$D$1:$X$258,16,FALSE)),"",(VLOOKUP($E80,'A-1 On-Site Habitat Baseline'!$D$1:$X$258,13,FALSE))))</f>
        <v/>
      </c>
      <c r="P80" s="154" t="str">
        <f>IFERROR(INDEX('G-1 All Habitats'!$AG$49:$AG$63,MATCH(Q80,'G-1 All Habitats'!$AF$27:$AF$41,0)),"")</f>
        <v/>
      </c>
      <c r="Q80" s="155" t="str">
        <f t="shared" si="13"/>
        <v/>
      </c>
      <c r="R80" s="155"/>
      <c r="S80" s="237" t="str">
        <f>IFERROR(INDEX('G-1 All Habitats'!$B$3:$B$135,MATCH(R80,'G-1 All Habitats'!$A$3:$A$135,0)),"")</f>
        <v/>
      </c>
      <c r="T80" s="275" t="str">
        <f t="shared" si="14"/>
        <v/>
      </c>
      <c r="U80" s="276" t="str">
        <f t="shared" si="15"/>
        <v/>
      </c>
      <c r="V80" s="311" t="str">
        <f t="shared" si="11"/>
        <v/>
      </c>
      <c r="W80" s="295" t="str">
        <f>IF(S80="","",VLOOKUP(S80,'G-1 All Habitats'!$B$2:$M$135,10,FALSE))</f>
        <v/>
      </c>
      <c r="X80" s="295" t="str">
        <f>IFERROR(VLOOKUP(W80,'G-1 All Habitats'!$V$3:$W$7,2,FALSE),"")</f>
        <v/>
      </c>
      <c r="Y80" s="57"/>
      <c r="Z80" s="299" t="str">
        <f>IFERROR(INDEX('G-8 Condition Look up'!$A$3:$H$135,MATCH(S80,'G-8 Condition Look up'!$A$3:$A$135,0),MATCH(Y80,'G-8 Condition Look up'!$A$3:$H$3,0)),"")</f>
        <v/>
      </c>
      <c r="AA80" s="52"/>
      <c r="AB80" s="295" t="str">
        <f>IF(AA80="","",IF(VLOOKUP(AA80,'G-3 Multipliers'!$L$3:$N$6,2,FALSE)=0,"Spatial Data Missing ⚠",VLOOKUP(AA80,'G-3 Multipliers'!$L$3:$N$6,2,FALSE)))</f>
        <v/>
      </c>
      <c r="AC80" s="299" t="str">
        <f>IF(AA80="","",IF(VLOOKUP(AA80,'G-3 Multipliers'!$L$3:$N$6,3,FALSE)=0,"Spatial Data Missing ⚠",VLOOKUP(AA80,'G-3 Multipliers'!$L$3:$N$6,3,FALSE)))</f>
        <v/>
      </c>
      <c r="AD80" s="313" t="str">
        <f t="shared" si="12"/>
        <v/>
      </c>
      <c r="AE80" s="58"/>
      <c r="AF80" s="58"/>
      <c r="AG80" s="283" t="str">
        <f t="shared" si="16"/>
        <v/>
      </c>
      <c r="AH80" s="296" t="str">
        <f t="shared" si="17"/>
        <v/>
      </c>
      <c r="AI80" s="297" t="str">
        <f>IF(AH80="Check Data ⚠","Check Data ⚠",IFERROR(VLOOKUP(AH80,'G-4 Temporal multipliers'!$A$4:$C$36,3,FALSE),""))</f>
        <v/>
      </c>
      <c r="AJ80" s="275" t="str">
        <f>IF(S80="","",VLOOKUP(S80,'G-3 Multipliers'!$A$2:$E$134,4,FALSE))</f>
        <v/>
      </c>
      <c r="AK80" s="283" t="str">
        <f t="shared" si="18"/>
        <v/>
      </c>
      <c r="AL80" s="283" t="str">
        <f t="shared" si="19"/>
        <v/>
      </c>
      <c r="AM80" s="314" t="str">
        <f>IFERROR(IF(F80="","",IF(AH80="Check Data ⚠","Check Data ⚠",VLOOKUP(AL80,'G-3 Multipliers'!$P$2:$Q$6,2,FALSE))),"")</f>
        <v/>
      </c>
      <c r="AN80" s="289" t="str">
        <f t="shared" si="20"/>
        <v/>
      </c>
      <c r="AO80" s="52"/>
      <c r="AP80" s="51"/>
      <c r="AQ80" s="104"/>
      <c r="AT80" s="35" t="str">
        <f t="shared" si="21"/>
        <v>No</v>
      </c>
      <c r="AU80" s="35" t="str">
        <f>IF(E80="","",IF(ISNA(VLOOKUP($E80,'A-1 On-Site Habitat Baseline'!$D$1:$AV$258,4,FALSE)),"",(VLOOKUP($E80,'A-1 On-Site Habitat Baseline'!$D$1:$AV$258,4,FALSE))))</f>
        <v/>
      </c>
    </row>
    <row r="81" spans="1:47" ht="14">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05" t="str">
        <f>'A-1 On-Site Habitat Baseline'!AL80</f>
        <v/>
      </c>
      <c r="F81" s="295" t="str">
        <f>IF(E81="","",IF(ISNA(VLOOKUP($E81,'A-1 On-Site Habitat Baseline'!$D$1:$AV$258,45,FALSE)),"",(VLOOKUP($E81,'A-1 On-Site Habitat Baseline'!$D$1:$AV$258,45,FALSE))))</f>
        <v/>
      </c>
      <c r="G81" s="295" t="str">
        <f>IF(E81="","",IF(ISNA(VLOOKUP($E81,'A-1 On-Site Habitat Baseline'!$D$1:$O$258,5,FALSE)),"",(VLOOKUP($E81,'A-1 On-Site Habitat Baseline'!$D$1:$O$258,5,FALSE))))</f>
        <v/>
      </c>
      <c r="H81" s="295" t="str">
        <f>IF(E81="","",IF(ISNA(VLOOKUP($E81,'A-1 On-Site Habitat Baseline'!$D$1:$O$258,6,FALSE)),"",(VLOOKUP($E81,'A-1 On-Site Habitat Baseline'!$D$1:$O$258,6,FALSE))))</f>
        <v/>
      </c>
      <c r="I81" s="295" t="str">
        <f>IF(E81="","",IF(ISNA(VLOOKUP($E81,'A-1 On-Site Habitat Baseline'!$D$1:$O$258,7,FALSE)),"",(VLOOKUP($E81,'A-1 On-Site Habitat Baseline'!$D$1:$O$258,7,FALSE))))</f>
        <v/>
      </c>
      <c r="J81" s="295" t="str">
        <f>IF(E81="","",IF(ISNA(VLOOKUP($E81,'A-1 On-Site Habitat Baseline'!$D$1:$O$258,8,FALSE)),"",(VLOOKUP($E81,'A-1 On-Site Habitat Baseline'!$D$1:$O$258,8,FALSE))))</f>
        <v/>
      </c>
      <c r="K81" s="295" t="str">
        <f>IF(E81="","",IF(ISNA(VLOOKUP($E81,'A-1 On-Site Habitat Baseline'!$D$1:$O$258,9,FALSE)),"",(VLOOKUP($E81,'A-1 On-Site Habitat Baseline'!$D$1:$O$258,9,FALSE))))</f>
        <v/>
      </c>
      <c r="L81" s="295" t="str">
        <f>IF(E81="","",IF(ISNA(VLOOKUP($E81,'A-1 On-Site Habitat Baseline'!$D$1:$O$258,11,FALSE)),"",(VLOOKUP($E81,'A-1 On-Site Habitat Baseline'!$D$1:$O$258,11,FALSE))))</f>
        <v/>
      </c>
      <c r="M81" s="295" t="str">
        <f>IF(E81="","",IF(ISNA(VLOOKUP($E81,'A-1 On-Site Habitat Baseline'!$D$1:$O$258,12,FALSE)),"",(VLOOKUP($E81,'A-1 On-Site Habitat Baseline'!$D$1:$O$258,12,FALSE))))</f>
        <v/>
      </c>
      <c r="N81" s="306" t="str">
        <f>IF(E81="","",IF(ISNA(VLOOKUP($E81,'A-1 On-Site Habitat Baseline'!$D$1:$X$258,14,FALSE)),"",(VLOOKUP($E81,'A-1 On-Site Habitat Baseline'!$D$1:$X$258,14,FALSE))))</f>
        <v/>
      </c>
      <c r="O81" s="299" t="str">
        <f>IF(E81="","",IF(ISNA(VLOOKUP($E81,'A-1 On-Site Habitat Baseline'!$D$1:$X$258,16,FALSE)),"",(VLOOKUP($E81,'A-1 On-Site Habitat Baseline'!$D$1:$X$258,13,FALSE))))</f>
        <v/>
      </c>
      <c r="P81" s="154" t="str">
        <f>IFERROR(INDEX('G-1 All Habitats'!$AG$49:$AG$63,MATCH(Q81,'G-1 All Habitats'!$AF$27:$AF$41,0)),"")</f>
        <v/>
      </c>
      <c r="Q81" s="155" t="str">
        <f t="shared" si="13"/>
        <v/>
      </c>
      <c r="R81" s="155"/>
      <c r="S81" s="237" t="str">
        <f>IFERROR(INDEX('G-1 All Habitats'!$B$3:$B$135,MATCH(R81,'G-1 All Habitats'!$A$3:$A$135,0)),"")</f>
        <v/>
      </c>
      <c r="T81" s="275" t="str">
        <f t="shared" si="14"/>
        <v/>
      </c>
      <c r="U81" s="276" t="str">
        <f t="shared" si="15"/>
        <v/>
      </c>
      <c r="V81" s="311" t="str">
        <f t="shared" si="11"/>
        <v/>
      </c>
      <c r="W81" s="295" t="str">
        <f>IF(S81="","",VLOOKUP(S81,'G-1 All Habitats'!$B$2:$M$135,10,FALSE))</f>
        <v/>
      </c>
      <c r="X81" s="295" t="str">
        <f>IFERROR(VLOOKUP(W81,'G-1 All Habitats'!$V$3:$W$7,2,FALSE),"")</f>
        <v/>
      </c>
      <c r="Y81" s="57"/>
      <c r="Z81" s="299" t="str">
        <f>IFERROR(INDEX('G-8 Condition Look up'!$A$3:$H$135,MATCH(S81,'G-8 Condition Look up'!$A$3:$A$135,0),MATCH(Y81,'G-8 Condition Look up'!$A$3:$H$3,0)),"")</f>
        <v/>
      </c>
      <c r="AA81" s="52"/>
      <c r="AB81" s="295" t="str">
        <f>IF(AA81="","",IF(VLOOKUP(AA81,'G-3 Multipliers'!$L$3:$N$6,2,FALSE)=0,"Spatial Data Missing ⚠",VLOOKUP(AA81,'G-3 Multipliers'!$L$3:$N$6,2,FALSE)))</f>
        <v/>
      </c>
      <c r="AC81" s="299" t="str">
        <f>IF(AA81="","",IF(VLOOKUP(AA81,'G-3 Multipliers'!$L$3:$N$6,3,FALSE)=0,"Spatial Data Missing ⚠",VLOOKUP(AA81,'G-3 Multipliers'!$L$3:$N$6,3,FALSE)))</f>
        <v/>
      </c>
      <c r="AD81" s="313" t="str">
        <f t="shared" si="12"/>
        <v/>
      </c>
      <c r="AE81" s="58"/>
      <c r="AF81" s="58"/>
      <c r="AG81" s="283" t="str">
        <f t="shared" si="16"/>
        <v/>
      </c>
      <c r="AH81" s="296" t="str">
        <f t="shared" si="17"/>
        <v/>
      </c>
      <c r="AI81" s="297" t="str">
        <f>IF(AH81="Check Data ⚠","Check Data ⚠",IFERROR(VLOOKUP(AH81,'G-4 Temporal multipliers'!$A$4:$C$36,3,FALSE),""))</f>
        <v/>
      </c>
      <c r="AJ81" s="275" t="str">
        <f>IF(S81="","",VLOOKUP(S81,'G-3 Multipliers'!$A$2:$E$134,4,FALSE))</f>
        <v/>
      </c>
      <c r="AK81" s="283" t="str">
        <f t="shared" si="18"/>
        <v/>
      </c>
      <c r="AL81" s="283" t="str">
        <f t="shared" si="19"/>
        <v/>
      </c>
      <c r="AM81" s="314" t="str">
        <f>IFERROR(IF(F81="","",IF(AH81="Check Data ⚠","Check Data ⚠",VLOOKUP(AL81,'G-3 Multipliers'!$P$2:$Q$6,2,FALSE))),"")</f>
        <v/>
      </c>
      <c r="AN81" s="289" t="str">
        <f t="shared" si="20"/>
        <v/>
      </c>
      <c r="AO81" s="52"/>
      <c r="AP81" s="51"/>
      <c r="AQ81" s="104"/>
      <c r="AT81" s="35" t="str">
        <f t="shared" si="21"/>
        <v>No</v>
      </c>
      <c r="AU81" s="35" t="str">
        <f>IF(E81="","",IF(ISNA(VLOOKUP($E81,'A-1 On-Site Habitat Baseline'!$D$1:$AV$258,4,FALSE)),"",(VLOOKUP($E81,'A-1 On-Site Habitat Baseline'!$D$1:$AV$258,4,FALSE))))</f>
        <v/>
      </c>
    </row>
    <row r="82" spans="1:47" ht="14">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05" t="str">
        <f>'A-1 On-Site Habitat Baseline'!AL81</f>
        <v/>
      </c>
      <c r="F82" s="295" t="str">
        <f>IF(E82="","",IF(ISNA(VLOOKUP($E82,'A-1 On-Site Habitat Baseline'!$D$1:$AV$258,45,FALSE)),"",(VLOOKUP($E82,'A-1 On-Site Habitat Baseline'!$D$1:$AV$258,45,FALSE))))</f>
        <v/>
      </c>
      <c r="G82" s="295" t="str">
        <f>IF(E82="","",IF(ISNA(VLOOKUP($E82,'A-1 On-Site Habitat Baseline'!$D$1:$O$258,5,FALSE)),"",(VLOOKUP($E82,'A-1 On-Site Habitat Baseline'!$D$1:$O$258,5,FALSE))))</f>
        <v/>
      </c>
      <c r="H82" s="295" t="str">
        <f>IF(E82="","",IF(ISNA(VLOOKUP($E82,'A-1 On-Site Habitat Baseline'!$D$1:$O$258,6,FALSE)),"",(VLOOKUP($E82,'A-1 On-Site Habitat Baseline'!$D$1:$O$258,6,FALSE))))</f>
        <v/>
      </c>
      <c r="I82" s="295" t="str">
        <f>IF(E82="","",IF(ISNA(VLOOKUP($E82,'A-1 On-Site Habitat Baseline'!$D$1:$O$258,7,FALSE)),"",(VLOOKUP($E82,'A-1 On-Site Habitat Baseline'!$D$1:$O$258,7,FALSE))))</f>
        <v/>
      </c>
      <c r="J82" s="295" t="str">
        <f>IF(E82="","",IF(ISNA(VLOOKUP($E82,'A-1 On-Site Habitat Baseline'!$D$1:$O$258,8,FALSE)),"",(VLOOKUP($E82,'A-1 On-Site Habitat Baseline'!$D$1:$O$258,8,FALSE))))</f>
        <v/>
      </c>
      <c r="K82" s="295" t="str">
        <f>IF(E82="","",IF(ISNA(VLOOKUP($E82,'A-1 On-Site Habitat Baseline'!$D$1:$O$258,9,FALSE)),"",(VLOOKUP($E82,'A-1 On-Site Habitat Baseline'!$D$1:$O$258,9,FALSE))))</f>
        <v/>
      </c>
      <c r="L82" s="295" t="str">
        <f>IF(E82="","",IF(ISNA(VLOOKUP($E82,'A-1 On-Site Habitat Baseline'!$D$1:$O$258,11,FALSE)),"",(VLOOKUP($E82,'A-1 On-Site Habitat Baseline'!$D$1:$O$258,11,FALSE))))</f>
        <v/>
      </c>
      <c r="M82" s="295" t="str">
        <f>IF(E82="","",IF(ISNA(VLOOKUP($E82,'A-1 On-Site Habitat Baseline'!$D$1:$O$258,12,FALSE)),"",(VLOOKUP($E82,'A-1 On-Site Habitat Baseline'!$D$1:$O$258,12,FALSE))))</f>
        <v/>
      </c>
      <c r="N82" s="306" t="str">
        <f>IF(E82="","",IF(ISNA(VLOOKUP($E82,'A-1 On-Site Habitat Baseline'!$D$1:$X$258,14,FALSE)),"",(VLOOKUP($E82,'A-1 On-Site Habitat Baseline'!$D$1:$X$258,14,FALSE))))</f>
        <v/>
      </c>
      <c r="O82" s="299" t="str">
        <f>IF(E82="","",IF(ISNA(VLOOKUP($E82,'A-1 On-Site Habitat Baseline'!$D$1:$X$258,16,FALSE)),"",(VLOOKUP($E82,'A-1 On-Site Habitat Baseline'!$D$1:$X$258,13,FALSE))))</f>
        <v/>
      </c>
      <c r="P82" s="154" t="str">
        <f>IFERROR(INDEX('G-1 All Habitats'!$AG$49:$AG$63,MATCH(Q82,'G-1 All Habitats'!$AF$27:$AF$41,0)),"")</f>
        <v/>
      </c>
      <c r="Q82" s="155" t="str">
        <f t="shared" si="13"/>
        <v/>
      </c>
      <c r="R82" s="155"/>
      <c r="S82" s="237" t="str">
        <f>IFERROR(INDEX('G-1 All Habitats'!$B$3:$B$135,MATCH(R82,'G-1 All Habitats'!$A$3:$A$135,0)),"")</f>
        <v/>
      </c>
      <c r="T82" s="275" t="str">
        <f t="shared" si="14"/>
        <v/>
      </c>
      <c r="U82" s="276" t="str">
        <f t="shared" si="15"/>
        <v/>
      </c>
      <c r="V82" s="311" t="str">
        <f t="shared" si="11"/>
        <v/>
      </c>
      <c r="W82" s="295" t="str">
        <f>IF(S82="","",VLOOKUP(S82,'G-1 All Habitats'!$B$2:$M$135,10,FALSE))</f>
        <v/>
      </c>
      <c r="X82" s="295" t="str">
        <f>IFERROR(VLOOKUP(W82,'G-1 All Habitats'!$V$3:$W$7,2,FALSE),"")</f>
        <v/>
      </c>
      <c r="Y82" s="57"/>
      <c r="Z82" s="299" t="str">
        <f>IFERROR(INDEX('G-8 Condition Look up'!$A$3:$H$135,MATCH(S82,'G-8 Condition Look up'!$A$3:$A$135,0),MATCH(Y82,'G-8 Condition Look up'!$A$3:$H$3,0)),"")</f>
        <v/>
      </c>
      <c r="AA82" s="52"/>
      <c r="AB82" s="295" t="str">
        <f>IF(AA82="","",IF(VLOOKUP(AA82,'G-3 Multipliers'!$L$3:$N$6,2,FALSE)=0,"Spatial Data Missing ⚠",VLOOKUP(AA82,'G-3 Multipliers'!$L$3:$N$6,2,FALSE)))</f>
        <v/>
      </c>
      <c r="AC82" s="299" t="str">
        <f>IF(AA82="","",IF(VLOOKUP(AA82,'G-3 Multipliers'!$L$3:$N$6,3,FALSE)=0,"Spatial Data Missing ⚠",VLOOKUP(AA82,'G-3 Multipliers'!$L$3:$N$6,3,FALSE)))</f>
        <v/>
      </c>
      <c r="AD82" s="313" t="str">
        <f t="shared" si="12"/>
        <v/>
      </c>
      <c r="AE82" s="58"/>
      <c r="AF82" s="58"/>
      <c r="AG82" s="283" t="str">
        <f t="shared" si="16"/>
        <v/>
      </c>
      <c r="AH82" s="296" t="str">
        <f t="shared" si="17"/>
        <v/>
      </c>
      <c r="AI82" s="297" t="str">
        <f>IF(AH82="Check Data ⚠","Check Data ⚠",IFERROR(VLOOKUP(AH82,'G-4 Temporal multipliers'!$A$4:$C$36,3,FALSE),""))</f>
        <v/>
      </c>
      <c r="AJ82" s="275" t="str">
        <f>IF(S82="","",VLOOKUP(S82,'G-3 Multipliers'!$A$2:$E$134,4,FALSE))</f>
        <v/>
      </c>
      <c r="AK82" s="283" t="str">
        <f t="shared" si="18"/>
        <v/>
      </c>
      <c r="AL82" s="283" t="str">
        <f t="shared" si="19"/>
        <v/>
      </c>
      <c r="AM82" s="314" t="str">
        <f>IFERROR(IF(F82="","",IF(AH82="Check Data ⚠","Check Data ⚠",VLOOKUP(AL82,'G-3 Multipliers'!$P$2:$Q$6,2,FALSE))),"")</f>
        <v/>
      </c>
      <c r="AN82" s="289" t="str">
        <f t="shared" si="20"/>
        <v/>
      </c>
      <c r="AO82" s="52"/>
      <c r="AP82" s="51"/>
      <c r="AQ82" s="104"/>
      <c r="AT82" s="35" t="str">
        <f t="shared" si="21"/>
        <v>No</v>
      </c>
      <c r="AU82" s="35" t="str">
        <f>IF(E82="","",IF(ISNA(VLOOKUP($E82,'A-1 On-Site Habitat Baseline'!$D$1:$AV$258,4,FALSE)),"",(VLOOKUP($E82,'A-1 On-Site Habitat Baseline'!$D$1:$AV$258,4,FALSE))))</f>
        <v/>
      </c>
    </row>
    <row r="83" spans="1:47" ht="14">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05" t="str">
        <f>'A-1 On-Site Habitat Baseline'!AL82</f>
        <v/>
      </c>
      <c r="F83" s="295" t="str">
        <f>IF(E83="","",IF(ISNA(VLOOKUP($E83,'A-1 On-Site Habitat Baseline'!$D$1:$AV$258,45,FALSE)),"",(VLOOKUP($E83,'A-1 On-Site Habitat Baseline'!$D$1:$AV$258,45,FALSE))))</f>
        <v/>
      </c>
      <c r="G83" s="295" t="str">
        <f>IF(E83="","",IF(ISNA(VLOOKUP($E83,'A-1 On-Site Habitat Baseline'!$D$1:$O$258,5,FALSE)),"",(VLOOKUP($E83,'A-1 On-Site Habitat Baseline'!$D$1:$O$258,5,FALSE))))</f>
        <v/>
      </c>
      <c r="H83" s="295" t="str">
        <f>IF(E83="","",IF(ISNA(VLOOKUP($E83,'A-1 On-Site Habitat Baseline'!$D$1:$O$258,6,FALSE)),"",(VLOOKUP($E83,'A-1 On-Site Habitat Baseline'!$D$1:$O$258,6,FALSE))))</f>
        <v/>
      </c>
      <c r="I83" s="295" t="str">
        <f>IF(E83="","",IF(ISNA(VLOOKUP($E83,'A-1 On-Site Habitat Baseline'!$D$1:$O$258,7,FALSE)),"",(VLOOKUP($E83,'A-1 On-Site Habitat Baseline'!$D$1:$O$258,7,FALSE))))</f>
        <v/>
      </c>
      <c r="J83" s="295" t="str">
        <f>IF(E83="","",IF(ISNA(VLOOKUP($E83,'A-1 On-Site Habitat Baseline'!$D$1:$O$258,8,FALSE)),"",(VLOOKUP($E83,'A-1 On-Site Habitat Baseline'!$D$1:$O$258,8,FALSE))))</f>
        <v/>
      </c>
      <c r="K83" s="295" t="str">
        <f>IF(E83="","",IF(ISNA(VLOOKUP($E83,'A-1 On-Site Habitat Baseline'!$D$1:$O$258,9,FALSE)),"",(VLOOKUP($E83,'A-1 On-Site Habitat Baseline'!$D$1:$O$258,9,FALSE))))</f>
        <v/>
      </c>
      <c r="L83" s="295" t="str">
        <f>IF(E83="","",IF(ISNA(VLOOKUP($E83,'A-1 On-Site Habitat Baseline'!$D$1:$O$258,11,FALSE)),"",(VLOOKUP($E83,'A-1 On-Site Habitat Baseline'!$D$1:$O$258,11,FALSE))))</f>
        <v/>
      </c>
      <c r="M83" s="295" t="str">
        <f>IF(E83="","",IF(ISNA(VLOOKUP($E83,'A-1 On-Site Habitat Baseline'!$D$1:$O$258,12,FALSE)),"",(VLOOKUP($E83,'A-1 On-Site Habitat Baseline'!$D$1:$O$258,12,FALSE))))</f>
        <v/>
      </c>
      <c r="N83" s="306" t="str">
        <f>IF(E83="","",IF(ISNA(VLOOKUP($E83,'A-1 On-Site Habitat Baseline'!$D$1:$X$258,14,FALSE)),"",(VLOOKUP($E83,'A-1 On-Site Habitat Baseline'!$D$1:$X$258,14,FALSE))))</f>
        <v/>
      </c>
      <c r="O83" s="299" t="str">
        <f>IF(E83="","",IF(ISNA(VLOOKUP($E83,'A-1 On-Site Habitat Baseline'!$D$1:$X$258,16,FALSE)),"",(VLOOKUP($E83,'A-1 On-Site Habitat Baseline'!$D$1:$X$258,13,FALSE))))</f>
        <v/>
      </c>
      <c r="P83" s="154" t="str">
        <f>IFERROR(INDEX('G-1 All Habitats'!$AG$49:$AG$63,MATCH(Q83,'G-1 All Habitats'!$AF$27:$AF$41,0)),"")</f>
        <v/>
      </c>
      <c r="Q83" s="155" t="str">
        <f t="shared" si="13"/>
        <v/>
      </c>
      <c r="R83" s="155"/>
      <c r="S83" s="237" t="str">
        <f>IFERROR(INDEX('G-1 All Habitats'!$B$3:$B$135,MATCH(R83,'G-1 All Habitats'!$A$3:$A$135,0)),"")</f>
        <v/>
      </c>
      <c r="T83" s="275" t="str">
        <f t="shared" si="14"/>
        <v/>
      </c>
      <c r="U83" s="276" t="str">
        <f t="shared" si="15"/>
        <v/>
      </c>
      <c r="V83" s="311" t="str">
        <f t="shared" si="11"/>
        <v/>
      </c>
      <c r="W83" s="295" t="str">
        <f>IF(S83="","",VLOOKUP(S83,'G-1 All Habitats'!$B$2:$M$135,10,FALSE))</f>
        <v/>
      </c>
      <c r="X83" s="295" t="str">
        <f>IFERROR(VLOOKUP(W83,'G-1 All Habitats'!$V$3:$W$7,2,FALSE),"")</f>
        <v/>
      </c>
      <c r="Y83" s="57"/>
      <c r="Z83" s="299" t="str">
        <f>IFERROR(INDEX('G-8 Condition Look up'!$A$3:$H$135,MATCH(S83,'G-8 Condition Look up'!$A$3:$A$135,0),MATCH(Y83,'G-8 Condition Look up'!$A$3:$H$3,0)),"")</f>
        <v/>
      </c>
      <c r="AA83" s="52"/>
      <c r="AB83" s="295" t="str">
        <f>IF(AA83="","",IF(VLOOKUP(AA83,'G-3 Multipliers'!$L$3:$N$6,2,FALSE)=0,"Spatial Data Missing ⚠",VLOOKUP(AA83,'G-3 Multipliers'!$L$3:$N$6,2,FALSE)))</f>
        <v/>
      </c>
      <c r="AC83" s="299" t="str">
        <f>IF(AA83="","",IF(VLOOKUP(AA83,'G-3 Multipliers'!$L$3:$N$6,3,FALSE)=0,"Spatial Data Missing ⚠",VLOOKUP(AA83,'G-3 Multipliers'!$L$3:$N$6,3,FALSE)))</f>
        <v/>
      </c>
      <c r="AD83" s="313" t="str">
        <f t="shared" si="12"/>
        <v/>
      </c>
      <c r="AE83" s="58"/>
      <c r="AF83" s="58"/>
      <c r="AG83" s="283" t="str">
        <f t="shared" si="16"/>
        <v/>
      </c>
      <c r="AH83" s="296" t="str">
        <f t="shared" si="17"/>
        <v/>
      </c>
      <c r="AI83" s="297" t="str">
        <f>IF(AH83="Check Data ⚠","Check Data ⚠",IFERROR(VLOOKUP(AH83,'G-4 Temporal multipliers'!$A$4:$C$36,3,FALSE),""))</f>
        <v/>
      </c>
      <c r="AJ83" s="275" t="str">
        <f>IF(S83="","",VLOOKUP(S83,'G-3 Multipliers'!$A$2:$E$134,4,FALSE))</f>
        <v/>
      </c>
      <c r="AK83" s="283" t="str">
        <f t="shared" si="18"/>
        <v/>
      </c>
      <c r="AL83" s="283" t="str">
        <f t="shared" si="19"/>
        <v/>
      </c>
      <c r="AM83" s="314" t="str">
        <f>IFERROR(IF(F83="","",IF(AH83="Check Data ⚠","Check Data ⚠",VLOOKUP(AL83,'G-3 Multipliers'!$P$2:$Q$6,2,FALSE))),"")</f>
        <v/>
      </c>
      <c r="AN83" s="289" t="str">
        <f t="shared" si="20"/>
        <v/>
      </c>
      <c r="AO83" s="52"/>
      <c r="AP83" s="51"/>
      <c r="AQ83" s="104"/>
      <c r="AT83" s="35" t="str">
        <f t="shared" si="21"/>
        <v>No</v>
      </c>
      <c r="AU83" s="35" t="str">
        <f>IF(E83="","",IF(ISNA(VLOOKUP($E83,'A-1 On-Site Habitat Baseline'!$D$1:$AV$258,4,FALSE)),"",(VLOOKUP($E83,'A-1 On-Site Habitat Baseline'!$D$1:$AV$258,4,FALSE))))</f>
        <v/>
      </c>
    </row>
    <row r="84" spans="1:47" ht="14">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05" t="str">
        <f>'A-1 On-Site Habitat Baseline'!AL83</f>
        <v/>
      </c>
      <c r="F84" s="295" t="str">
        <f>IF(E84="","",IF(ISNA(VLOOKUP($E84,'A-1 On-Site Habitat Baseline'!$D$1:$AV$258,45,FALSE)),"",(VLOOKUP($E84,'A-1 On-Site Habitat Baseline'!$D$1:$AV$258,45,FALSE))))</f>
        <v/>
      </c>
      <c r="G84" s="295" t="str">
        <f>IF(E84="","",IF(ISNA(VLOOKUP($E84,'A-1 On-Site Habitat Baseline'!$D$1:$O$258,5,FALSE)),"",(VLOOKUP($E84,'A-1 On-Site Habitat Baseline'!$D$1:$O$258,5,FALSE))))</f>
        <v/>
      </c>
      <c r="H84" s="295" t="str">
        <f>IF(E84="","",IF(ISNA(VLOOKUP($E84,'A-1 On-Site Habitat Baseline'!$D$1:$O$258,6,FALSE)),"",(VLOOKUP($E84,'A-1 On-Site Habitat Baseline'!$D$1:$O$258,6,FALSE))))</f>
        <v/>
      </c>
      <c r="I84" s="295" t="str">
        <f>IF(E84="","",IF(ISNA(VLOOKUP($E84,'A-1 On-Site Habitat Baseline'!$D$1:$O$258,7,FALSE)),"",(VLOOKUP($E84,'A-1 On-Site Habitat Baseline'!$D$1:$O$258,7,FALSE))))</f>
        <v/>
      </c>
      <c r="J84" s="295" t="str">
        <f>IF(E84="","",IF(ISNA(VLOOKUP($E84,'A-1 On-Site Habitat Baseline'!$D$1:$O$258,8,FALSE)),"",(VLOOKUP($E84,'A-1 On-Site Habitat Baseline'!$D$1:$O$258,8,FALSE))))</f>
        <v/>
      </c>
      <c r="K84" s="295" t="str">
        <f>IF(E84="","",IF(ISNA(VLOOKUP($E84,'A-1 On-Site Habitat Baseline'!$D$1:$O$258,9,FALSE)),"",(VLOOKUP($E84,'A-1 On-Site Habitat Baseline'!$D$1:$O$258,9,FALSE))))</f>
        <v/>
      </c>
      <c r="L84" s="295" t="str">
        <f>IF(E84="","",IF(ISNA(VLOOKUP($E84,'A-1 On-Site Habitat Baseline'!$D$1:$O$258,11,FALSE)),"",(VLOOKUP($E84,'A-1 On-Site Habitat Baseline'!$D$1:$O$258,11,FALSE))))</f>
        <v/>
      </c>
      <c r="M84" s="295" t="str">
        <f>IF(E84="","",IF(ISNA(VLOOKUP($E84,'A-1 On-Site Habitat Baseline'!$D$1:$O$258,12,FALSE)),"",(VLOOKUP($E84,'A-1 On-Site Habitat Baseline'!$D$1:$O$258,12,FALSE))))</f>
        <v/>
      </c>
      <c r="N84" s="306" t="str">
        <f>IF(E84="","",IF(ISNA(VLOOKUP($E84,'A-1 On-Site Habitat Baseline'!$D$1:$X$258,14,FALSE)),"",(VLOOKUP($E84,'A-1 On-Site Habitat Baseline'!$D$1:$X$258,14,FALSE))))</f>
        <v/>
      </c>
      <c r="O84" s="299" t="str">
        <f>IF(E84="","",IF(ISNA(VLOOKUP($E84,'A-1 On-Site Habitat Baseline'!$D$1:$X$258,16,FALSE)),"",(VLOOKUP($E84,'A-1 On-Site Habitat Baseline'!$D$1:$X$258,13,FALSE))))</f>
        <v/>
      </c>
      <c r="P84" s="154" t="str">
        <f>IFERROR(INDEX('G-1 All Habitats'!$AG$49:$AG$63,MATCH(Q84,'G-1 All Habitats'!$AF$27:$AF$41,0)),"")</f>
        <v/>
      </c>
      <c r="Q84" s="155" t="str">
        <f t="shared" si="13"/>
        <v/>
      </c>
      <c r="R84" s="155"/>
      <c r="S84" s="237" t="str">
        <f>IFERROR(INDEX('G-1 All Habitats'!$B$3:$B$135,MATCH(R84,'G-1 All Habitats'!$A$3:$A$135,0)),"")</f>
        <v/>
      </c>
      <c r="T84" s="275" t="str">
        <f t="shared" si="14"/>
        <v/>
      </c>
      <c r="U84" s="276" t="str">
        <f t="shared" si="15"/>
        <v/>
      </c>
      <c r="V84" s="311" t="str">
        <f t="shared" si="11"/>
        <v/>
      </c>
      <c r="W84" s="295" t="str">
        <f>IF(S84="","",VLOOKUP(S84,'G-1 All Habitats'!$B$2:$M$135,10,FALSE))</f>
        <v/>
      </c>
      <c r="X84" s="295" t="str">
        <f>IFERROR(VLOOKUP(W84,'G-1 All Habitats'!$V$3:$W$7,2,FALSE),"")</f>
        <v/>
      </c>
      <c r="Y84" s="57"/>
      <c r="Z84" s="299" t="str">
        <f>IFERROR(INDEX('G-8 Condition Look up'!$A$3:$H$135,MATCH(S84,'G-8 Condition Look up'!$A$3:$A$135,0),MATCH(Y84,'G-8 Condition Look up'!$A$3:$H$3,0)),"")</f>
        <v/>
      </c>
      <c r="AA84" s="52"/>
      <c r="AB84" s="295" t="str">
        <f>IF(AA84="","",IF(VLOOKUP(AA84,'G-3 Multipliers'!$L$3:$N$6,2,FALSE)=0,"Spatial Data Missing ⚠",VLOOKUP(AA84,'G-3 Multipliers'!$L$3:$N$6,2,FALSE)))</f>
        <v/>
      </c>
      <c r="AC84" s="299" t="str">
        <f>IF(AA84="","",IF(VLOOKUP(AA84,'G-3 Multipliers'!$L$3:$N$6,3,FALSE)=0,"Spatial Data Missing ⚠",VLOOKUP(AA84,'G-3 Multipliers'!$L$3:$N$6,3,FALSE)))</f>
        <v/>
      </c>
      <c r="AD84" s="313" t="str">
        <f t="shared" si="12"/>
        <v/>
      </c>
      <c r="AE84" s="58"/>
      <c r="AF84" s="58"/>
      <c r="AG84" s="283" t="str">
        <f t="shared" si="16"/>
        <v/>
      </c>
      <c r="AH84" s="296" t="str">
        <f t="shared" si="17"/>
        <v/>
      </c>
      <c r="AI84" s="297" t="str">
        <f>IF(AH84="Check Data ⚠","Check Data ⚠",IFERROR(VLOOKUP(AH84,'G-4 Temporal multipliers'!$A$4:$C$36,3,FALSE),""))</f>
        <v/>
      </c>
      <c r="AJ84" s="275" t="str">
        <f>IF(S84="","",VLOOKUP(S84,'G-3 Multipliers'!$A$2:$E$134,4,FALSE))</f>
        <v/>
      </c>
      <c r="AK84" s="283" t="str">
        <f t="shared" si="18"/>
        <v/>
      </c>
      <c r="AL84" s="283" t="str">
        <f t="shared" si="19"/>
        <v/>
      </c>
      <c r="AM84" s="314" t="str">
        <f>IFERROR(IF(F84="","",IF(AH84="Check Data ⚠","Check Data ⚠",VLOOKUP(AL84,'G-3 Multipliers'!$P$2:$Q$6,2,FALSE))),"")</f>
        <v/>
      </c>
      <c r="AN84" s="289" t="str">
        <f t="shared" si="20"/>
        <v/>
      </c>
      <c r="AO84" s="52"/>
      <c r="AP84" s="51"/>
      <c r="AQ84" s="104"/>
      <c r="AT84" s="35" t="str">
        <f t="shared" si="21"/>
        <v>No</v>
      </c>
      <c r="AU84" s="35" t="str">
        <f>IF(E84="","",IF(ISNA(VLOOKUP($E84,'A-1 On-Site Habitat Baseline'!$D$1:$AV$258,4,FALSE)),"",(VLOOKUP($E84,'A-1 On-Site Habitat Baseline'!$D$1:$AV$258,4,FALSE))))</f>
        <v/>
      </c>
    </row>
    <row r="85" spans="1:47" ht="14">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05" t="str">
        <f>'A-1 On-Site Habitat Baseline'!AL84</f>
        <v/>
      </c>
      <c r="F85" s="295" t="str">
        <f>IF(E85="","",IF(ISNA(VLOOKUP($E85,'A-1 On-Site Habitat Baseline'!$D$1:$AV$258,45,FALSE)),"",(VLOOKUP($E85,'A-1 On-Site Habitat Baseline'!$D$1:$AV$258,45,FALSE))))</f>
        <v/>
      </c>
      <c r="G85" s="295" t="str">
        <f>IF(E85="","",IF(ISNA(VLOOKUP($E85,'A-1 On-Site Habitat Baseline'!$D$1:$O$258,5,FALSE)),"",(VLOOKUP($E85,'A-1 On-Site Habitat Baseline'!$D$1:$O$258,5,FALSE))))</f>
        <v/>
      </c>
      <c r="H85" s="295" t="str">
        <f>IF(E85="","",IF(ISNA(VLOOKUP($E85,'A-1 On-Site Habitat Baseline'!$D$1:$O$258,6,FALSE)),"",(VLOOKUP($E85,'A-1 On-Site Habitat Baseline'!$D$1:$O$258,6,FALSE))))</f>
        <v/>
      </c>
      <c r="I85" s="295" t="str">
        <f>IF(E85="","",IF(ISNA(VLOOKUP($E85,'A-1 On-Site Habitat Baseline'!$D$1:$O$258,7,FALSE)),"",(VLOOKUP($E85,'A-1 On-Site Habitat Baseline'!$D$1:$O$258,7,FALSE))))</f>
        <v/>
      </c>
      <c r="J85" s="295" t="str">
        <f>IF(E85="","",IF(ISNA(VLOOKUP($E85,'A-1 On-Site Habitat Baseline'!$D$1:$O$258,8,FALSE)),"",(VLOOKUP($E85,'A-1 On-Site Habitat Baseline'!$D$1:$O$258,8,FALSE))))</f>
        <v/>
      </c>
      <c r="K85" s="295" t="str">
        <f>IF(E85="","",IF(ISNA(VLOOKUP($E85,'A-1 On-Site Habitat Baseline'!$D$1:$O$258,9,FALSE)),"",(VLOOKUP($E85,'A-1 On-Site Habitat Baseline'!$D$1:$O$258,9,FALSE))))</f>
        <v/>
      </c>
      <c r="L85" s="295" t="str">
        <f>IF(E85="","",IF(ISNA(VLOOKUP($E85,'A-1 On-Site Habitat Baseline'!$D$1:$O$258,11,FALSE)),"",(VLOOKUP($E85,'A-1 On-Site Habitat Baseline'!$D$1:$O$258,11,FALSE))))</f>
        <v/>
      </c>
      <c r="M85" s="295" t="str">
        <f>IF(E85="","",IF(ISNA(VLOOKUP($E85,'A-1 On-Site Habitat Baseline'!$D$1:$O$258,12,FALSE)),"",(VLOOKUP($E85,'A-1 On-Site Habitat Baseline'!$D$1:$O$258,12,FALSE))))</f>
        <v/>
      </c>
      <c r="N85" s="306" t="str">
        <f>IF(E85="","",IF(ISNA(VLOOKUP($E85,'A-1 On-Site Habitat Baseline'!$D$1:$X$258,14,FALSE)),"",(VLOOKUP($E85,'A-1 On-Site Habitat Baseline'!$D$1:$X$258,14,FALSE))))</f>
        <v/>
      </c>
      <c r="O85" s="299" t="str">
        <f>IF(E85="","",IF(ISNA(VLOOKUP($E85,'A-1 On-Site Habitat Baseline'!$D$1:$X$258,16,FALSE)),"",(VLOOKUP($E85,'A-1 On-Site Habitat Baseline'!$D$1:$X$258,13,FALSE))))</f>
        <v/>
      </c>
      <c r="P85" s="154" t="str">
        <f>IFERROR(INDEX('G-1 All Habitats'!$AG$49:$AG$63,MATCH(Q85,'G-1 All Habitats'!$AF$27:$AF$41,0)),"")</f>
        <v/>
      </c>
      <c r="Q85" s="155" t="str">
        <f t="shared" si="13"/>
        <v/>
      </c>
      <c r="R85" s="155"/>
      <c r="S85" s="237" t="str">
        <f>IFERROR(INDEX('G-1 All Habitats'!$B$3:$B$135,MATCH(R85,'G-1 All Habitats'!$A$3:$A$135,0)),"")</f>
        <v/>
      </c>
      <c r="T85" s="275" t="str">
        <f t="shared" si="14"/>
        <v/>
      </c>
      <c r="U85" s="276" t="str">
        <f t="shared" si="15"/>
        <v/>
      </c>
      <c r="V85" s="311" t="str">
        <f t="shared" si="11"/>
        <v/>
      </c>
      <c r="W85" s="295" t="str">
        <f>IF(S85="","",VLOOKUP(S85,'G-1 All Habitats'!$B$2:$M$135,10,FALSE))</f>
        <v/>
      </c>
      <c r="X85" s="295" t="str">
        <f>IFERROR(VLOOKUP(W85,'G-1 All Habitats'!$V$3:$W$7,2,FALSE),"")</f>
        <v/>
      </c>
      <c r="Y85" s="57"/>
      <c r="Z85" s="299" t="str">
        <f>IFERROR(INDEX('G-8 Condition Look up'!$A$3:$H$135,MATCH(S85,'G-8 Condition Look up'!$A$3:$A$135,0),MATCH(Y85,'G-8 Condition Look up'!$A$3:$H$3,0)),"")</f>
        <v/>
      </c>
      <c r="AA85" s="52"/>
      <c r="AB85" s="295" t="str">
        <f>IF(AA85="","",IF(VLOOKUP(AA85,'G-3 Multipliers'!$L$3:$N$6,2,FALSE)=0,"Spatial Data Missing ⚠",VLOOKUP(AA85,'G-3 Multipliers'!$L$3:$N$6,2,FALSE)))</f>
        <v/>
      </c>
      <c r="AC85" s="299" t="str">
        <f>IF(AA85="","",IF(VLOOKUP(AA85,'G-3 Multipliers'!$L$3:$N$6,3,FALSE)=0,"Spatial Data Missing ⚠",VLOOKUP(AA85,'G-3 Multipliers'!$L$3:$N$6,3,FALSE)))</f>
        <v/>
      </c>
      <c r="AD85" s="313" t="str">
        <f t="shared" si="12"/>
        <v/>
      </c>
      <c r="AE85" s="58"/>
      <c r="AF85" s="58"/>
      <c r="AG85" s="283" t="str">
        <f t="shared" si="16"/>
        <v/>
      </c>
      <c r="AH85" s="296" t="str">
        <f t="shared" si="17"/>
        <v/>
      </c>
      <c r="AI85" s="297" t="str">
        <f>IF(AH85="Check Data ⚠","Check Data ⚠",IFERROR(VLOOKUP(AH85,'G-4 Temporal multipliers'!$A$4:$C$36,3,FALSE),""))</f>
        <v/>
      </c>
      <c r="AJ85" s="275" t="str">
        <f>IF(S85="","",VLOOKUP(S85,'G-3 Multipliers'!$A$2:$E$134,4,FALSE))</f>
        <v/>
      </c>
      <c r="AK85" s="283" t="str">
        <f t="shared" si="18"/>
        <v/>
      </c>
      <c r="AL85" s="283" t="str">
        <f t="shared" si="19"/>
        <v/>
      </c>
      <c r="AM85" s="314" t="str">
        <f>IFERROR(IF(F85="","",IF(AH85="Check Data ⚠","Check Data ⚠",VLOOKUP(AL85,'G-3 Multipliers'!$P$2:$Q$6,2,FALSE))),"")</f>
        <v/>
      </c>
      <c r="AN85" s="289" t="str">
        <f t="shared" si="20"/>
        <v/>
      </c>
      <c r="AO85" s="52"/>
      <c r="AP85" s="51"/>
      <c r="AQ85" s="104"/>
      <c r="AT85" s="35" t="str">
        <f t="shared" si="21"/>
        <v>No</v>
      </c>
      <c r="AU85" s="35" t="str">
        <f>IF(E85="","",IF(ISNA(VLOOKUP($E85,'A-1 On-Site Habitat Baseline'!$D$1:$AV$258,4,FALSE)),"",(VLOOKUP($E85,'A-1 On-Site Habitat Baseline'!$D$1:$AV$258,4,FALSE))))</f>
        <v/>
      </c>
    </row>
    <row r="86" spans="1:47" ht="14">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05" t="str">
        <f>'A-1 On-Site Habitat Baseline'!AL85</f>
        <v/>
      </c>
      <c r="F86" s="295" t="str">
        <f>IF(E86="","",IF(ISNA(VLOOKUP($E86,'A-1 On-Site Habitat Baseline'!$D$1:$AV$258,45,FALSE)),"",(VLOOKUP($E86,'A-1 On-Site Habitat Baseline'!$D$1:$AV$258,45,FALSE))))</f>
        <v/>
      </c>
      <c r="G86" s="295" t="str">
        <f>IF(E86="","",IF(ISNA(VLOOKUP($E86,'A-1 On-Site Habitat Baseline'!$D$1:$O$258,5,FALSE)),"",(VLOOKUP($E86,'A-1 On-Site Habitat Baseline'!$D$1:$O$258,5,FALSE))))</f>
        <v/>
      </c>
      <c r="H86" s="295" t="str">
        <f>IF(E86="","",IF(ISNA(VLOOKUP($E86,'A-1 On-Site Habitat Baseline'!$D$1:$O$258,6,FALSE)),"",(VLOOKUP($E86,'A-1 On-Site Habitat Baseline'!$D$1:$O$258,6,FALSE))))</f>
        <v/>
      </c>
      <c r="I86" s="295" t="str">
        <f>IF(E86="","",IF(ISNA(VLOOKUP($E86,'A-1 On-Site Habitat Baseline'!$D$1:$O$258,7,FALSE)),"",(VLOOKUP($E86,'A-1 On-Site Habitat Baseline'!$D$1:$O$258,7,FALSE))))</f>
        <v/>
      </c>
      <c r="J86" s="295" t="str">
        <f>IF(E86="","",IF(ISNA(VLOOKUP($E86,'A-1 On-Site Habitat Baseline'!$D$1:$O$258,8,FALSE)),"",(VLOOKUP($E86,'A-1 On-Site Habitat Baseline'!$D$1:$O$258,8,FALSE))))</f>
        <v/>
      </c>
      <c r="K86" s="295" t="str">
        <f>IF(E86="","",IF(ISNA(VLOOKUP($E86,'A-1 On-Site Habitat Baseline'!$D$1:$O$258,9,FALSE)),"",(VLOOKUP($E86,'A-1 On-Site Habitat Baseline'!$D$1:$O$258,9,FALSE))))</f>
        <v/>
      </c>
      <c r="L86" s="295" t="str">
        <f>IF(E86="","",IF(ISNA(VLOOKUP($E86,'A-1 On-Site Habitat Baseline'!$D$1:$O$258,11,FALSE)),"",(VLOOKUP($E86,'A-1 On-Site Habitat Baseline'!$D$1:$O$258,11,FALSE))))</f>
        <v/>
      </c>
      <c r="M86" s="295" t="str">
        <f>IF(E86="","",IF(ISNA(VLOOKUP($E86,'A-1 On-Site Habitat Baseline'!$D$1:$O$258,12,FALSE)),"",(VLOOKUP($E86,'A-1 On-Site Habitat Baseline'!$D$1:$O$258,12,FALSE))))</f>
        <v/>
      </c>
      <c r="N86" s="306" t="str">
        <f>IF(E86="","",IF(ISNA(VLOOKUP($E86,'A-1 On-Site Habitat Baseline'!$D$1:$X$258,14,FALSE)),"",(VLOOKUP($E86,'A-1 On-Site Habitat Baseline'!$D$1:$X$258,14,FALSE))))</f>
        <v/>
      </c>
      <c r="O86" s="299" t="str">
        <f>IF(E86="","",IF(ISNA(VLOOKUP($E86,'A-1 On-Site Habitat Baseline'!$D$1:$X$258,16,FALSE)),"",(VLOOKUP($E86,'A-1 On-Site Habitat Baseline'!$D$1:$X$258,13,FALSE))))</f>
        <v/>
      </c>
      <c r="P86" s="154" t="str">
        <f>IFERROR(INDEX('G-1 All Habitats'!$AG$49:$AG$63,MATCH(Q86,'G-1 All Habitats'!$AF$27:$AF$41,0)),"")</f>
        <v/>
      </c>
      <c r="Q86" s="155" t="str">
        <f t="shared" si="13"/>
        <v/>
      </c>
      <c r="R86" s="155"/>
      <c r="S86" s="237" t="str">
        <f>IFERROR(INDEX('G-1 All Habitats'!$B$3:$B$135,MATCH(R86,'G-1 All Habitats'!$A$3:$A$135,0)),"")</f>
        <v/>
      </c>
      <c r="T86" s="275" t="str">
        <f t="shared" si="14"/>
        <v/>
      </c>
      <c r="U86" s="276" t="str">
        <f t="shared" si="15"/>
        <v/>
      </c>
      <c r="V86" s="311" t="str">
        <f t="shared" si="11"/>
        <v/>
      </c>
      <c r="W86" s="295" t="str">
        <f>IF(S86="","",VLOOKUP(S86,'G-1 All Habitats'!$B$2:$M$135,10,FALSE))</f>
        <v/>
      </c>
      <c r="X86" s="295" t="str">
        <f>IFERROR(VLOOKUP(W86,'G-1 All Habitats'!$V$3:$W$7,2,FALSE),"")</f>
        <v/>
      </c>
      <c r="Y86" s="57"/>
      <c r="Z86" s="299" t="str">
        <f>IFERROR(INDEX('G-8 Condition Look up'!$A$3:$H$135,MATCH(S86,'G-8 Condition Look up'!$A$3:$A$135,0),MATCH(Y86,'G-8 Condition Look up'!$A$3:$H$3,0)),"")</f>
        <v/>
      </c>
      <c r="AA86" s="52"/>
      <c r="AB86" s="295" t="str">
        <f>IF(AA86="","",IF(VLOOKUP(AA86,'G-3 Multipliers'!$L$3:$N$6,2,FALSE)=0,"Spatial Data Missing ⚠",VLOOKUP(AA86,'G-3 Multipliers'!$L$3:$N$6,2,FALSE)))</f>
        <v/>
      </c>
      <c r="AC86" s="299" t="str">
        <f>IF(AA86="","",IF(VLOOKUP(AA86,'G-3 Multipliers'!$L$3:$N$6,3,FALSE)=0,"Spatial Data Missing ⚠",VLOOKUP(AA86,'G-3 Multipliers'!$L$3:$N$6,3,FALSE)))</f>
        <v/>
      </c>
      <c r="AD86" s="313" t="str">
        <f t="shared" si="12"/>
        <v/>
      </c>
      <c r="AE86" s="58"/>
      <c r="AF86" s="58"/>
      <c r="AG86" s="283" t="str">
        <f t="shared" si="16"/>
        <v/>
      </c>
      <c r="AH86" s="296" t="str">
        <f t="shared" si="17"/>
        <v/>
      </c>
      <c r="AI86" s="297" t="str">
        <f>IF(AH86="Check Data ⚠","Check Data ⚠",IFERROR(VLOOKUP(AH86,'G-4 Temporal multipliers'!$A$4:$C$36,3,FALSE),""))</f>
        <v/>
      </c>
      <c r="AJ86" s="275" t="str">
        <f>IF(S86="","",VLOOKUP(S86,'G-3 Multipliers'!$A$2:$E$134,4,FALSE))</f>
        <v/>
      </c>
      <c r="AK86" s="283" t="str">
        <f t="shared" si="18"/>
        <v/>
      </c>
      <c r="AL86" s="283" t="str">
        <f t="shared" si="19"/>
        <v/>
      </c>
      <c r="AM86" s="314" t="str">
        <f>IFERROR(IF(F86="","",IF(AH86="Check Data ⚠","Check Data ⚠",VLOOKUP(AL86,'G-3 Multipliers'!$P$2:$Q$6,2,FALSE))),"")</f>
        <v/>
      </c>
      <c r="AN86" s="289" t="str">
        <f t="shared" si="20"/>
        <v/>
      </c>
      <c r="AO86" s="52"/>
      <c r="AP86" s="51"/>
      <c r="AQ86" s="104"/>
      <c r="AT86" s="35" t="str">
        <f t="shared" si="21"/>
        <v>No</v>
      </c>
      <c r="AU86" s="35" t="str">
        <f>IF(E86="","",IF(ISNA(VLOOKUP($E86,'A-1 On-Site Habitat Baseline'!$D$1:$AV$258,4,FALSE)),"",(VLOOKUP($E86,'A-1 On-Site Habitat Baseline'!$D$1:$AV$258,4,FALSE))))</f>
        <v/>
      </c>
    </row>
    <row r="87" spans="1:47" ht="14">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05" t="str">
        <f>'A-1 On-Site Habitat Baseline'!AL86</f>
        <v/>
      </c>
      <c r="F87" s="295" t="str">
        <f>IF(E87="","",IF(ISNA(VLOOKUP($E87,'A-1 On-Site Habitat Baseline'!$D$1:$AV$258,45,FALSE)),"",(VLOOKUP($E87,'A-1 On-Site Habitat Baseline'!$D$1:$AV$258,45,FALSE))))</f>
        <v/>
      </c>
      <c r="G87" s="295" t="str">
        <f>IF(E87="","",IF(ISNA(VLOOKUP($E87,'A-1 On-Site Habitat Baseline'!$D$1:$O$258,5,FALSE)),"",(VLOOKUP($E87,'A-1 On-Site Habitat Baseline'!$D$1:$O$258,5,FALSE))))</f>
        <v/>
      </c>
      <c r="H87" s="295" t="str">
        <f>IF(E87="","",IF(ISNA(VLOOKUP($E87,'A-1 On-Site Habitat Baseline'!$D$1:$O$258,6,FALSE)),"",(VLOOKUP($E87,'A-1 On-Site Habitat Baseline'!$D$1:$O$258,6,FALSE))))</f>
        <v/>
      </c>
      <c r="I87" s="295" t="str">
        <f>IF(E87="","",IF(ISNA(VLOOKUP($E87,'A-1 On-Site Habitat Baseline'!$D$1:$O$258,7,FALSE)),"",(VLOOKUP($E87,'A-1 On-Site Habitat Baseline'!$D$1:$O$258,7,FALSE))))</f>
        <v/>
      </c>
      <c r="J87" s="295" t="str">
        <f>IF(E87="","",IF(ISNA(VLOOKUP($E87,'A-1 On-Site Habitat Baseline'!$D$1:$O$258,8,FALSE)),"",(VLOOKUP($E87,'A-1 On-Site Habitat Baseline'!$D$1:$O$258,8,FALSE))))</f>
        <v/>
      </c>
      <c r="K87" s="295" t="str">
        <f>IF(E87="","",IF(ISNA(VLOOKUP($E87,'A-1 On-Site Habitat Baseline'!$D$1:$O$258,9,FALSE)),"",(VLOOKUP($E87,'A-1 On-Site Habitat Baseline'!$D$1:$O$258,9,FALSE))))</f>
        <v/>
      </c>
      <c r="L87" s="295" t="str">
        <f>IF(E87="","",IF(ISNA(VLOOKUP($E87,'A-1 On-Site Habitat Baseline'!$D$1:$O$258,11,FALSE)),"",(VLOOKUP($E87,'A-1 On-Site Habitat Baseline'!$D$1:$O$258,11,FALSE))))</f>
        <v/>
      </c>
      <c r="M87" s="295" t="str">
        <f>IF(E87="","",IF(ISNA(VLOOKUP($E87,'A-1 On-Site Habitat Baseline'!$D$1:$O$258,12,FALSE)),"",(VLOOKUP($E87,'A-1 On-Site Habitat Baseline'!$D$1:$O$258,12,FALSE))))</f>
        <v/>
      </c>
      <c r="N87" s="306" t="str">
        <f>IF(E87="","",IF(ISNA(VLOOKUP($E87,'A-1 On-Site Habitat Baseline'!$D$1:$X$258,14,FALSE)),"",(VLOOKUP($E87,'A-1 On-Site Habitat Baseline'!$D$1:$X$258,14,FALSE))))</f>
        <v/>
      </c>
      <c r="O87" s="299" t="str">
        <f>IF(E87="","",IF(ISNA(VLOOKUP($E87,'A-1 On-Site Habitat Baseline'!$D$1:$X$258,16,FALSE)),"",(VLOOKUP($E87,'A-1 On-Site Habitat Baseline'!$D$1:$X$258,13,FALSE))))</f>
        <v/>
      </c>
      <c r="P87" s="154" t="str">
        <f>IFERROR(INDEX('G-1 All Habitats'!$AG$49:$AG$63,MATCH(Q87,'G-1 All Habitats'!$AF$27:$AF$41,0)),"")</f>
        <v/>
      </c>
      <c r="Q87" s="155" t="str">
        <f t="shared" si="13"/>
        <v/>
      </c>
      <c r="R87" s="155"/>
      <c r="S87" s="237" t="str">
        <f>IFERROR(INDEX('G-1 All Habitats'!$B$3:$B$135,MATCH(R87,'G-1 All Habitats'!$A$3:$A$135,0)),"")</f>
        <v/>
      </c>
      <c r="T87" s="275" t="str">
        <f t="shared" si="14"/>
        <v/>
      </c>
      <c r="U87" s="276" t="str">
        <f t="shared" si="15"/>
        <v/>
      </c>
      <c r="V87" s="311" t="str">
        <f t="shared" si="11"/>
        <v/>
      </c>
      <c r="W87" s="295" t="str">
        <f>IF(S87="","",VLOOKUP(S87,'G-1 All Habitats'!$B$2:$M$135,10,FALSE))</f>
        <v/>
      </c>
      <c r="X87" s="295" t="str">
        <f>IFERROR(VLOOKUP(W87,'G-1 All Habitats'!$V$3:$W$7,2,FALSE),"")</f>
        <v/>
      </c>
      <c r="Y87" s="57"/>
      <c r="Z87" s="299" t="str">
        <f>IFERROR(INDEX('G-8 Condition Look up'!$A$3:$H$135,MATCH(S87,'G-8 Condition Look up'!$A$3:$A$135,0),MATCH(Y87,'G-8 Condition Look up'!$A$3:$H$3,0)),"")</f>
        <v/>
      </c>
      <c r="AA87" s="52"/>
      <c r="AB87" s="295" t="str">
        <f>IF(AA87="","",IF(VLOOKUP(AA87,'G-3 Multipliers'!$L$3:$N$6,2,FALSE)=0,"Spatial Data Missing ⚠",VLOOKUP(AA87,'G-3 Multipliers'!$L$3:$N$6,2,FALSE)))</f>
        <v/>
      </c>
      <c r="AC87" s="299" t="str">
        <f>IF(AA87="","",IF(VLOOKUP(AA87,'G-3 Multipliers'!$L$3:$N$6,3,FALSE)=0,"Spatial Data Missing ⚠",VLOOKUP(AA87,'G-3 Multipliers'!$L$3:$N$6,3,FALSE)))</f>
        <v/>
      </c>
      <c r="AD87" s="313" t="str">
        <f t="shared" si="12"/>
        <v/>
      </c>
      <c r="AE87" s="58"/>
      <c r="AF87" s="58"/>
      <c r="AG87" s="283" t="str">
        <f t="shared" si="16"/>
        <v/>
      </c>
      <c r="AH87" s="296" t="str">
        <f t="shared" si="17"/>
        <v/>
      </c>
      <c r="AI87" s="297" t="str">
        <f>IF(AH87="Check Data ⚠","Check Data ⚠",IFERROR(VLOOKUP(AH87,'G-4 Temporal multipliers'!$A$4:$C$36,3,FALSE),""))</f>
        <v/>
      </c>
      <c r="AJ87" s="275" t="str">
        <f>IF(S87="","",VLOOKUP(S87,'G-3 Multipliers'!$A$2:$E$134,4,FALSE))</f>
        <v/>
      </c>
      <c r="AK87" s="283" t="str">
        <f t="shared" si="18"/>
        <v/>
      </c>
      <c r="AL87" s="283" t="str">
        <f t="shared" si="19"/>
        <v/>
      </c>
      <c r="AM87" s="314" t="str">
        <f>IFERROR(IF(F87="","",IF(AH87="Check Data ⚠","Check Data ⚠",VLOOKUP(AL87,'G-3 Multipliers'!$P$2:$Q$6,2,FALSE))),"")</f>
        <v/>
      </c>
      <c r="AN87" s="289" t="str">
        <f t="shared" si="20"/>
        <v/>
      </c>
      <c r="AO87" s="52"/>
      <c r="AP87" s="51"/>
      <c r="AQ87" s="104"/>
      <c r="AT87" s="35" t="str">
        <f t="shared" si="21"/>
        <v>No</v>
      </c>
      <c r="AU87" s="35" t="str">
        <f>IF(E87="","",IF(ISNA(VLOOKUP($E87,'A-1 On-Site Habitat Baseline'!$D$1:$AV$258,4,FALSE)),"",(VLOOKUP($E87,'A-1 On-Site Habitat Baseline'!$D$1:$AV$258,4,FALSE))))</f>
        <v/>
      </c>
    </row>
    <row r="88" spans="1:47" ht="14">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05" t="str">
        <f>'A-1 On-Site Habitat Baseline'!AL87</f>
        <v/>
      </c>
      <c r="F88" s="295" t="str">
        <f>IF(E88="","",IF(ISNA(VLOOKUP($E88,'A-1 On-Site Habitat Baseline'!$D$1:$AV$258,45,FALSE)),"",(VLOOKUP($E88,'A-1 On-Site Habitat Baseline'!$D$1:$AV$258,45,FALSE))))</f>
        <v/>
      </c>
      <c r="G88" s="295" t="str">
        <f>IF(E88="","",IF(ISNA(VLOOKUP($E88,'A-1 On-Site Habitat Baseline'!$D$1:$O$258,5,FALSE)),"",(VLOOKUP($E88,'A-1 On-Site Habitat Baseline'!$D$1:$O$258,5,FALSE))))</f>
        <v/>
      </c>
      <c r="H88" s="295" t="str">
        <f>IF(E88="","",IF(ISNA(VLOOKUP($E88,'A-1 On-Site Habitat Baseline'!$D$1:$O$258,6,FALSE)),"",(VLOOKUP($E88,'A-1 On-Site Habitat Baseline'!$D$1:$O$258,6,FALSE))))</f>
        <v/>
      </c>
      <c r="I88" s="295" t="str">
        <f>IF(E88="","",IF(ISNA(VLOOKUP($E88,'A-1 On-Site Habitat Baseline'!$D$1:$O$258,7,FALSE)),"",(VLOOKUP($E88,'A-1 On-Site Habitat Baseline'!$D$1:$O$258,7,FALSE))))</f>
        <v/>
      </c>
      <c r="J88" s="295" t="str">
        <f>IF(E88="","",IF(ISNA(VLOOKUP($E88,'A-1 On-Site Habitat Baseline'!$D$1:$O$258,8,FALSE)),"",(VLOOKUP($E88,'A-1 On-Site Habitat Baseline'!$D$1:$O$258,8,FALSE))))</f>
        <v/>
      </c>
      <c r="K88" s="295" t="str">
        <f>IF(E88="","",IF(ISNA(VLOOKUP($E88,'A-1 On-Site Habitat Baseline'!$D$1:$O$258,9,FALSE)),"",(VLOOKUP($E88,'A-1 On-Site Habitat Baseline'!$D$1:$O$258,9,FALSE))))</f>
        <v/>
      </c>
      <c r="L88" s="295" t="str">
        <f>IF(E88="","",IF(ISNA(VLOOKUP($E88,'A-1 On-Site Habitat Baseline'!$D$1:$O$258,11,FALSE)),"",(VLOOKUP($E88,'A-1 On-Site Habitat Baseline'!$D$1:$O$258,11,FALSE))))</f>
        <v/>
      </c>
      <c r="M88" s="295" t="str">
        <f>IF(E88="","",IF(ISNA(VLOOKUP($E88,'A-1 On-Site Habitat Baseline'!$D$1:$O$258,12,FALSE)),"",(VLOOKUP($E88,'A-1 On-Site Habitat Baseline'!$D$1:$O$258,12,FALSE))))</f>
        <v/>
      </c>
      <c r="N88" s="306" t="str">
        <f>IF(E88="","",IF(ISNA(VLOOKUP($E88,'A-1 On-Site Habitat Baseline'!$D$1:$X$258,14,FALSE)),"",(VLOOKUP($E88,'A-1 On-Site Habitat Baseline'!$D$1:$X$258,14,FALSE))))</f>
        <v/>
      </c>
      <c r="O88" s="299" t="str">
        <f>IF(E88="","",IF(ISNA(VLOOKUP($E88,'A-1 On-Site Habitat Baseline'!$D$1:$X$258,16,FALSE)),"",(VLOOKUP($E88,'A-1 On-Site Habitat Baseline'!$D$1:$X$258,13,FALSE))))</f>
        <v/>
      </c>
      <c r="P88" s="154" t="str">
        <f>IFERROR(INDEX('G-1 All Habitats'!$AG$49:$AG$63,MATCH(Q88,'G-1 All Habitats'!$AF$27:$AF$41,0)),"")</f>
        <v/>
      </c>
      <c r="Q88" s="155" t="str">
        <f t="shared" si="13"/>
        <v/>
      </c>
      <c r="R88" s="155"/>
      <c r="S88" s="237" t="str">
        <f>IFERROR(INDEX('G-1 All Habitats'!$B$3:$B$135,MATCH(R88,'G-1 All Habitats'!$A$3:$A$135,0)),"")</f>
        <v/>
      </c>
      <c r="T88" s="275" t="str">
        <f t="shared" si="14"/>
        <v/>
      </c>
      <c r="U88" s="276" t="str">
        <f t="shared" si="15"/>
        <v/>
      </c>
      <c r="V88" s="311" t="str">
        <f t="shared" si="11"/>
        <v/>
      </c>
      <c r="W88" s="295" t="str">
        <f>IF(S88="","",VLOOKUP(S88,'G-1 All Habitats'!$B$2:$M$135,10,FALSE))</f>
        <v/>
      </c>
      <c r="X88" s="295" t="str">
        <f>IFERROR(VLOOKUP(W88,'G-1 All Habitats'!$V$3:$W$7,2,FALSE),"")</f>
        <v/>
      </c>
      <c r="Y88" s="57"/>
      <c r="Z88" s="299" t="str">
        <f>IFERROR(INDEX('G-8 Condition Look up'!$A$3:$H$135,MATCH(S88,'G-8 Condition Look up'!$A$3:$A$135,0),MATCH(Y88,'G-8 Condition Look up'!$A$3:$H$3,0)),"")</f>
        <v/>
      </c>
      <c r="AA88" s="52"/>
      <c r="AB88" s="295" t="str">
        <f>IF(AA88="","",IF(VLOOKUP(AA88,'G-3 Multipliers'!$L$3:$N$6,2,FALSE)=0,"Spatial Data Missing ⚠",VLOOKUP(AA88,'G-3 Multipliers'!$L$3:$N$6,2,FALSE)))</f>
        <v/>
      </c>
      <c r="AC88" s="299" t="str">
        <f>IF(AA88="","",IF(VLOOKUP(AA88,'G-3 Multipliers'!$L$3:$N$6,3,FALSE)=0,"Spatial Data Missing ⚠",VLOOKUP(AA88,'G-3 Multipliers'!$L$3:$N$6,3,FALSE)))</f>
        <v/>
      </c>
      <c r="AD88" s="313" t="str">
        <f t="shared" si="12"/>
        <v/>
      </c>
      <c r="AE88" s="58"/>
      <c r="AF88" s="58"/>
      <c r="AG88" s="283" t="str">
        <f t="shared" si="16"/>
        <v/>
      </c>
      <c r="AH88" s="296" t="str">
        <f t="shared" si="17"/>
        <v/>
      </c>
      <c r="AI88" s="297" t="str">
        <f>IF(AH88="Check Data ⚠","Check Data ⚠",IFERROR(VLOOKUP(AH88,'G-4 Temporal multipliers'!$A$4:$C$36,3,FALSE),""))</f>
        <v/>
      </c>
      <c r="AJ88" s="275" t="str">
        <f>IF(S88="","",VLOOKUP(S88,'G-3 Multipliers'!$A$2:$E$134,4,FALSE))</f>
        <v/>
      </c>
      <c r="AK88" s="283" t="str">
        <f t="shared" si="18"/>
        <v/>
      </c>
      <c r="AL88" s="283" t="str">
        <f t="shared" si="19"/>
        <v/>
      </c>
      <c r="AM88" s="314" t="str">
        <f>IFERROR(IF(F88="","",IF(AH88="Check Data ⚠","Check Data ⚠",VLOOKUP(AL88,'G-3 Multipliers'!$P$2:$Q$6,2,FALSE))),"")</f>
        <v/>
      </c>
      <c r="AN88" s="289" t="str">
        <f t="shared" si="20"/>
        <v/>
      </c>
      <c r="AO88" s="52"/>
      <c r="AP88" s="51"/>
      <c r="AQ88" s="104"/>
      <c r="AT88" s="35" t="str">
        <f t="shared" si="21"/>
        <v>No</v>
      </c>
      <c r="AU88" s="35" t="str">
        <f>IF(E88="","",IF(ISNA(VLOOKUP($E88,'A-1 On-Site Habitat Baseline'!$D$1:$AV$258,4,FALSE)),"",(VLOOKUP($E88,'A-1 On-Site Habitat Baseline'!$D$1:$AV$258,4,FALSE))))</f>
        <v/>
      </c>
    </row>
    <row r="89" spans="1:47" ht="14">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05" t="str">
        <f>'A-1 On-Site Habitat Baseline'!AL88</f>
        <v/>
      </c>
      <c r="F89" s="295" t="str">
        <f>IF(E89="","",IF(ISNA(VLOOKUP($E89,'A-1 On-Site Habitat Baseline'!$D$1:$AV$258,45,FALSE)),"",(VLOOKUP($E89,'A-1 On-Site Habitat Baseline'!$D$1:$AV$258,45,FALSE))))</f>
        <v/>
      </c>
      <c r="G89" s="295" t="str">
        <f>IF(E89="","",IF(ISNA(VLOOKUP($E89,'A-1 On-Site Habitat Baseline'!$D$1:$O$258,5,FALSE)),"",(VLOOKUP($E89,'A-1 On-Site Habitat Baseline'!$D$1:$O$258,5,FALSE))))</f>
        <v/>
      </c>
      <c r="H89" s="295" t="str">
        <f>IF(E89="","",IF(ISNA(VLOOKUP($E89,'A-1 On-Site Habitat Baseline'!$D$1:$O$258,6,FALSE)),"",(VLOOKUP($E89,'A-1 On-Site Habitat Baseline'!$D$1:$O$258,6,FALSE))))</f>
        <v/>
      </c>
      <c r="I89" s="295" t="str">
        <f>IF(E89="","",IF(ISNA(VLOOKUP($E89,'A-1 On-Site Habitat Baseline'!$D$1:$O$258,7,FALSE)),"",(VLOOKUP($E89,'A-1 On-Site Habitat Baseline'!$D$1:$O$258,7,FALSE))))</f>
        <v/>
      </c>
      <c r="J89" s="295" t="str">
        <f>IF(E89="","",IF(ISNA(VLOOKUP($E89,'A-1 On-Site Habitat Baseline'!$D$1:$O$258,8,FALSE)),"",(VLOOKUP($E89,'A-1 On-Site Habitat Baseline'!$D$1:$O$258,8,FALSE))))</f>
        <v/>
      </c>
      <c r="K89" s="295" t="str">
        <f>IF(E89="","",IF(ISNA(VLOOKUP($E89,'A-1 On-Site Habitat Baseline'!$D$1:$O$258,9,FALSE)),"",(VLOOKUP($E89,'A-1 On-Site Habitat Baseline'!$D$1:$O$258,9,FALSE))))</f>
        <v/>
      </c>
      <c r="L89" s="295" t="str">
        <f>IF(E89="","",IF(ISNA(VLOOKUP($E89,'A-1 On-Site Habitat Baseline'!$D$1:$O$258,11,FALSE)),"",(VLOOKUP($E89,'A-1 On-Site Habitat Baseline'!$D$1:$O$258,11,FALSE))))</f>
        <v/>
      </c>
      <c r="M89" s="295" t="str">
        <f>IF(E89="","",IF(ISNA(VLOOKUP($E89,'A-1 On-Site Habitat Baseline'!$D$1:$O$258,12,FALSE)),"",(VLOOKUP($E89,'A-1 On-Site Habitat Baseline'!$D$1:$O$258,12,FALSE))))</f>
        <v/>
      </c>
      <c r="N89" s="306" t="str">
        <f>IF(E89="","",IF(ISNA(VLOOKUP($E89,'A-1 On-Site Habitat Baseline'!$D$1:$X$258,14,FALSE)),"",(VLOOKUP($E89,'A-1 On-Site Habitat Baseline'!$D$1:$X$258,14,FALSE))))</f>
        <v/>
      </c>
      <c r="O89" s="299" t="str">
        <f>IF(E89="","",IF(ISNA(VLOOKUP($E89,'A-1 On-Site Habitat Baseline'!$D$1:$X$258,16,FALSE)),"",(VLOOKUP($E89,'A-1 On-Site Habitat Baseline'!$D$1:$X$258,13,FALSE))))</f>
        <v/>
      </c>
      <c r="P89" s="154" t="str">
        <f>IFERROR(INDEX('G-1 All Habitats'!$AG$49:$AG$63,MATCH(Q89,'G-1 All Habitats'!$AF$27:$AF$41,0)),"")</f>
        <v/>
      </c>
      <c r="Q89" s="155" t="str">
        <f t="shared" si="13"/>
        <v/>
      </c>
      <c r="R89" s="155"/>
      <c r="S89" s="237" t="str">
        <f>IFERROR(INDEX('G-1 All Habitats'!$B$3:$B$135,MATCH(R89,'G-1 All Habitats'!$A$3:$A$135,0)),"")</f>
        <v/>
      </c>
      <c r="T89" s="275" t="str">
        <f t="shared" si="14"/>
        <v/>
      </c>
      <c r="U89" s="276" t="str">
        <f t="shared" si="15"/>
        <v/>
      </c>
      <c r="V89" s="311" t="str">
        <f t="shared" si="11"/>
        <v/>
      </c>
      <c r="W89" s="295" t="str">
        <f>IF(S89="","",VLOOKUP(S89,'G-1 All Habitats'!$B$2:$M$135,10,FALSE))</f>
        <v/>
      </c>
      <c r="X89" s="295" t="str">
        <f>IFERROR(VLOOKUP(W89,'G-1 All Habitats'!$V$3:$W$7,2,FALSE),"")</f>
        <v/>
      </c>
      <c r="Y89" s="57"/>
      <c r="Z89" s="299" t="str">
        <f>IFERROR(INDEX('G-8 Condition Look up'!$A$3:$H$135,MATCH(S89,'G-8 Condition Look up'!$A$3:$A$135,0),MATCH(Y89,'G-8 Condition Look up'!$A$3:$H$3,0)),"")</f>
        <v/>
      </c>
      <c r="AA89" s="52"/>
      <c r="AB89" s="295" t="str">
        <f>IF(AA89="","",IF(VLOOKUP(AA89,'G-3 Multipliers'!$L$3:$N$6,2,FALSE)=0,"Spatial Data Missing ⚠",VLOOKUP(AA89,'G-3 Multipliers'!$L$3:$N$6,2,FALSE)))</f>
        <v/>
      </c>
      <c r="AC89" s="299" t="str">
        <f>IF(AA89="","",IF(VLOOKUP(AA89,'G-3 Multipliers'!$L$3:$N$6,3,FALSE)=0,"Spatial Data Missing ⚠",VLOOKUP(AA89,'G-3 Multipliers'!$L$3:$N$6,3,FALSE)))</f>
        <v/>
      </c>
      <c r="AD89" s="313" t="str">
        <f t="shared" si="12"/>
        <v/>
      </c>
      <c r="AE89" s="58"/>
      <c r="AF89" s="58"/>
      <c r="AG89" s="283" t="str">
        <f t="shared" si="16"/>
        <v/>
      </c>
      <c r="AH89" s="296" t="str">
        <f t="shared" si="17"/>
        <v/>
      </c>
      <c r="AI89" s="297" t="str">
        <f>IF(AH89="Check Data ⚠","Check Data ⚠",IFERROR(VLOOKUP(AH89,'G-4 Temporal multipliers'!$A$4:$C$36,3,FALSE),""))</f>
        <v/>
      </c>
      <c r="AJ89" s="275" t="str">
        <f>IF(S89="","",VLOOKUP(S89,'G-3 Multipliers'!$A$2:$E$134,4,FALSE))</f>
        <v/>
      </c>
      <c r="AK89" s="283" t="str">
        <f t="shared" si="18"/>
        <v/>
      </c>
      <c r="AL89" s="283" t="str">
        <f t="shared" si="19"/>
        <v/>
      </c>
      <c r="AM89" s="314" t="str">
        <f>IFERROR(IF(F89="","",IF(AH89="Check Data ⚠","Check Data ⚠",VLOOKUP(AL89,'G-3 Multipliers'!$P$2:$Q$6,2,FALSE))),"")</f>
        <v/>
      </c>
      <c r="AN89" s="289" t="str">
        <f t="shared" si="20"/>
        <v/>
      </c>
      <c r="AO89" s="52"/>
      <c r="AP89" s="51"/>
      <c r="AQ89" s="104"/>
      <c r="AT89" s="35" t="str">
        <f t="shared" si="21"/>
        <v>No</v>
      </c>
      <c r="AU89" s="35" t="str">
        <f>IF(E89="","",IF(ISNA(VLOOKUP($E89,'A-1 On-Site Habitat Baseline'!$D$1:$AV$258,4,FALSE)),"",(VLOOKUP($E89,'A-1 On-Site Habitat Baseline'!$D$1:$AV$258,4,FALSE))))</f>
        <v/>
      </c>
    </row>
    <row r="90" spans="1:47" ht="14">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05" t="str">
        <f>'A-1 On-Site Habitat Baseline'!AL89</f>
        <v/>
      </c>
      <c r="F90" s="295" t="str">
        <f>IF(E90="","",IF(ISNA(VLOOKUP($E90,'A-1 On-Site Habitat Baseline'!$D$1:$AV$258,45,FALSE)),"",(VLOOKUP($E90,'A-1 On-Site Habitat Baseline'!$D$1:$AV$258,45,FALSE))))</f>
        <v/>
      </c>
      <c r="G90" s="295" t="str">
        <f>IF(E90="","",IF(ISNA(VLOOKUP($E90,'A-1 On-Site Habitat Baseline'!$D$1:$O$258,5,FALSE)),"",(VLOOKUP($E90,'A-1 On-Site Habitat Baseline'!$D$1:$O$258,5,FALSE))))</f>
        <v/>
      </c>
      <c r="H90" s="295" t="str">
        <f>IF(E90="","",IF(ISNA(VLOOKUP($E90,'A-1 On-Site Habitat Baseline'!$D$1:$O$258,6,FALSE)),"",(VLOOKUP($E90,'A-1 On-Site Habitat Baseline'!$D$1:$O$258,6,FALSE))))</f>
        <v/>
      </c>
      <c r="I90" s="295" t="str">
        <f>IF(E90="","",IF(ISNA(VLOOKUP($E90,'A-1 On-Site Habitat Baseline'!$D$1:$O$258,7,FALSE)),"",(VLOOKUP($E90,'A-1 On-Site Habitat Baseline'!$D$1:$O$258,7,FALSE))))</f>
        <v/>
      </c>
      <c r="J90" s="295" t="str">
        <f>IF(E90="","",IF(ISNA(VLOOKUP($E90,'A-1 On-Site Habitat Baseline'!$D$1:$O$258,8,FALSE)),"",(VLOOKUP($E90,'A-1 On-Site Habitat Baseline'!$D$1:$O$258,8,FALSE))))</f>
        <v/>
      </c>
      <c r="K90" s="295" t="str">
        <f>IF(E90="","",IF(ISNA(VLOOKUP($E90,'A-1 On-Site Habitat Baseline'!$D$1:$O$258,9,FALSE)),"",(VLOOKUP($E90,'A-1 On-Site Habitat Baseline'!$D$1:$O$258,9,FALSE))))</f>
        <v/>
      </c>
      <c r="L90" s="295" t="str">
        <f>IF(E90="","",IF(ISNA(VLOOKUP($E90,'A-1 On-Site Habitat Baseline'!$D$1:$O$258,11,FALSE)),"",(VLOOKUP($E90,'A-1 On-Site Habitat Baseline'!$D$1:$O$258,11,FALSE))))</f>
        <v/>
      </c>
      <c r="M90" s="295" t="str">
        <f>IF(E90="","",IF(ISNA(VLOOKUP($E90,'A-1 On-Site Habitat Baseline'!$D$1:$O$258,12,FALSE)),"",(VLOOKUP($E90,'A-1 On-Site Habitat Baseline'!$D$1:$O$258,12,FALSE))))</f>
        <v/>
      </c>
      <c r="N90" s="306" t="str">
        <f>IF(E90="","",IF(ISNA(VLOOKUP($E90,'A-1 On-Site Habitat Baseline'!$D$1:$X$258,14,FALSE)),"",(VLOOKUP($E90,'A-1 On-Site Habitat Baseline'!$D$1:$X$258,14,FALSE))))</f>
        <v/>
      </c>
      <c r="O90" s="299" t="str">
        <f>IF(E90="","",IF(ISNA(VLOOKUP($E90,'A-1 On-Site Habitat Baseline'!$D$1:$X$258,16,FALSE)),"",(VLOOKUP($E90,'A-1 On-Site Habitat Baseline'!$D$1:$X$258,13,FALSE))))</f>
        <v/>
      </c>
      <c r="P90" s="154" t="str">
        <f>IFERROR(INDEX('G-1 All Habitats'!$AG$49:$AG$63,MATCH(Q90,'G-1 All Habitats'!$AF$27:$AF$41,0)),"")</f>
        <v/>
      </c>
      <c r="Q90" s="155" t="str">
        <f t="shared" si="13"/>
        <v/>
      </c>
      <c r="R90" s="155"/>
      <c r="S90" s="237" t="str">
        <f>IFERROR(INDEX('G-1 All Habitats'!$B$3:$B$135,MATCH(R90,'G-1 All Habitats'!$A$3:$A$135,0)),"")</f>
        <v/>
      </c>
      <c r="T90" s="275" t="str">
        <f t="shared" si="14"/>
        <v/>
      </c>
      <c r="U90" s="276" t="str">
        <f t="shared" si="15"/>
        <v/>
      </c>
      <c r="V90" s="311" t="str">
        <f t="shared" si="11"/>
        <v/>
      </c>
      <c r="W90" s="295" t="str">
        <f>IF(S90="","",VLOOKUP(S90,'G-1 All Habitats'!$B$2:$M$135,10,FALSE))</f>
        <v/>
      </c>
      <c r="X90" s="295" t="str">
        <f>IFERROR(VLOOKUP(W90,'G-1 All Habitats'!$V$3:$W$7,2,FALSE),"")</f>
        <v/>
      </c>
      <c r="Y90" s="57"/>
      <c r="Z90" s="299" t="str">
        <f>IFERROR(INDEX('G-8 Condition Look up'!$A$3:$H$135,MATCH(S90,'G-8 Condition Look up'!$A$3:$A$135,0),MATCH(Y90,'G-8 Condition Look up'!$A$3:$H$3,0)),"")</f>
        <v/>
      </c>
      <c r="AA90" s="52"/>
      <c r="AB90" s="295" t="str">
        <f>IF(AA90="","",IF(VLOOKUP(AA90,'G-3 Multipliers'!$L$3:$N$6,2,FALSE)=0,"Spatial Data Missing ⚠",VLOOKUP(AA90,'G-3 Multipliers'!$L$3:$N$6,2,FALSE)))</f>
        <v/>
      </c>
      <c r="AC90" s="299" t="str">
        <f>IF(AA90="","",IF(VLOOKUP(AA90,'G-3 Multipliers'!$L$3:$N$6,3,FALSE)=0,"Spatial Data Missing ⚠",VLOOKUP(AA90,'G-3 Multipliers'!$L$3:$N$6,3,FALSE)))</f>
        <v/>
      </c>
      <c r="AD90" s="313" t="str">
        <f t="shared" si="12"/>
        <v/>
      </c>
      <c r="AE90" s="58"/>
      <c r="AF90" s="58"/>
      <c r="AG90" s="283" t="str">
        <f t="shared" si="16"/>
        <v/>
      </c>
      <c r="AH90" s="296" t="str">
        <f t="shared" si="17"/>
        <v/>
      </c>
      <c r="AI90" s="297" t="str">
        <f>IF(AH90="Check Data ⚠","Check Data ⚠",IFERROR(VLOOKUP(AH90,'G-4 Temporal multipliers'!$A$4:$C$36,3,FALSE),""))</f>
        <v/>
      </c>
      <c r="AJ90" s="275" t="str">
        <f>IF(S90="","",VLOOKUP(S90,'G-3 Multipliers'!$A$2:$E$134,4,FALSE))</f>
        <v/>
      </c>
      <c r="AK90" s="283" t="str">
        <f t="shared" si="18"/>
        <v/>
      </c>
      <c r="AL90" s="283" t="str">
        <f t="shared" si="19"/>
        <v/>
      </c>
      <c r="AM90" s="314" t="str">
        <f>IFERROR(IF(F90="","",IF(AH90="Check Data ⚠","Check Data ⚠",VLOOKUP(AL90,'G-3 Multipliers'!$P$2:$Q$6,2,FALSE))),"")</f>
        <v/>
      </c>
      <c r="AN90" s="289" t="str">
        <f t="shared" si="20"/>
        <v/>
      </c>
      <c r="AO90" s="52"/>
      <c r="AP90" s="51"/>
      <c r="AQ90" s="104"/>
      <c r="AT90" s="35" t="str">
        <f t="shared" si="21"/>
        <v>No</v>
      </c>
      <c r="AU90" s="35" t="str">
        <f>IF(E90="","",IF(ISNA(VLOOKUP($E90,'A-1 On-Site Habitat Baseline'!$D$1:$AV$258,4,FALSE)),"",(VLOOKUP($E90,'A-1 On-Site Habitat Baseline'!$D$1:$AV$258,4,FALSE))))</f>
        <v/>
      </c>
    </row>
    <row r="91" spans="1:47" ht="14">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05" t="str">
        <f>'A-1 On-Site Habitat Baseline'!AL90</f>
        <v/>
      </c>
      <c r="F91" s="295" t="str">
        <f>IF(E91="","",IF(ISNA(VLOOKUP($E91,'A-1 On-Site Habitat Baseline'!$D$1:$AV$258,45,FALSE)),"",(VLOOKUP($E91,'A-1 On-Site Habitat Baseline'!$D$1:$AV$258,45,FALSE))))</f>
        <v/>
      </c>
      <c r="G91" s="295" t="str">
        <f>IF(E91="","",IF(ISNA(VLOOKUP($E91,'A-1 On-Site Habitat Baseline'!$D$1:$O$258,5,FALSE)),"",(VLOOKUP($E91,'A-1 On-Site Habitat Baseline'!$D$1:$O$258,5,FALSE))))</f>
        <v/>
      </c>
      <c r="H91" s="295" t="str">
        <f>IF(E91="","",IF(ISNA(VLOOKUP($E91,'A-1 On-Site Habitat Baseline'!$D$1:$O$258,6,FALSE)),"",(VLOOKUP($E91,'A-1 On-Site Habitat Baseline'!$D$1:$O$258,6,FALSE))))</f>
        <v/>
      </c>
      <c r="I91" s="295" t="str">
        <f>IF(E91="","",IF(ISNA(VLOOKUP($E91,'A-1 On-Site Habitat Baseline'!$D$1:$O$258,7,FALSE)),"",(VLOOKUP($E91,'A-1 On-Site Habitat Baseline'!$D$1:$O$258,7,FALSE))))</f>
        <v/>
      </c>
      <c r="J91" s="295" t="str">
        <f>IF(E91="","",IF(ISNA(VLOOKUP($E91,'A-1 On-Site Habitat Baseline'!$D$1:$O$258,8,FALSE)),"",(VLOOKUP($E91,'A-1 On-Site Habitat Baseline'!$D$1:$O$258,8,FALSE))))</f>
        <v/>
      </c>
      <c r="K91" s="295" t="str">
        <f>IF(E91="","",IF(ISNA(VLOOKUP($E91,'A-1 On-Site Habitat Baseline'!$D$1:$O$258,9,FALSE)),"",(VLOOKUP($E91,'A-1 On-Site Habitat Baseline'!$D$1:$O$258,9,FALSE))))</f>
        <v/>
      </c>
      <c r="L91" s="295" t="str">
        <f>IF(E91="","",IF(ISNA(VLOOKUP($E91,'A-1 On-Site Habitat Baseline'!$D$1:$O$258,11,FALSE)),"",(VLOOKUP($E91,'A-1 On-Site Habitat Baseline'!$D$1:$O$258,11,FALSE))))</f>
        <v/>
      </c>
      <c r="M91" s="295" t="str">
        <f>IF(E91="","",IF(ISNA(VLOOKUP($E91,'A-1 On-Site Habitat Baseline'!$D$1:$O$258,12,FALSE)),"",(VLOOKUP($E91,'A-1 On-Site Habitat Baseline'!$D$1:$O$258,12,FALSE))))</f>
        <v/>
      </c>
      <c r="N91" s="306" t="str">
        <f>IF(E91="","",IF(ISNA(VLOOKUP($E91,'A-1 On-Site Habitat Baseline'!$D$1:$X$258,14,FALSE)),"",(VLOOKUP($E91,'A-1 On-Site Habitat Baseline'!$D$1:$X$258,14,FALSE))))</f>
        <v/>
      </c>
      <c r="O91" s="299" t="str">
        <f>IF(E91="","",IF(ISNA(VLOOKUP($E91,'A-1 On-Site Habitat Baseline'!$D$1:$X$258,16,FALSE)),"",(VLOOKUP($E91,'A-1 On-Site Habitat Baseline'!$D$1:$X$258,13,FALSE))))</f>
        <v/>
      </c>
      <c r="P91" s="154" t="str">
        <f>IFERROR(INDEX('G-1 All Habitats'!$AG$49:$AG$63,MATCH(Q91,'G-1 All Habitats'!$AF$27:$AF$41,0)),"")</f>
        <v/>
      </c>
      <c r="Q91" s="155" t="str">
        <f t="shared" si="13"/>
        <v/>
      </c>
      <c r="R91" s="155"/>
      <c r="S91" s="237" t="str">
        <f>IFERROR(INDEX('G-1 All Habitats'!$B$3:$B$135,MATCH(R91,'G-1 All Habitats'!$A$3:$A$135,0)),"")</f>
        <v/>
      </c>
      <c r="T91" s="275" t="str">
        <f t="shared" si="14"/>
        <v/>
      </c>
      <c r="U91" s="276" t="str">
        <f t="shared" si="15"/>
        <v/>
      </c>
      <c r="V91" s="311" t="str">
        <f t="shared" si="11"/>
        <v/>
      </c>
      <c r="W91" s="295" t="str">
        <f>IF(S91="","",VLOOKUP(S91,'G-1 All Habitats'!$B$2:$M$135,10,FALSE))</f>
        <v/>
      </c>
      <c r="X91" s="295" t="str">
        <f>IFERROR(VLOOKUP(W91,'G-1 All Habitats'!$V$3:$W$7,2,FALSE),"")</f>
        <v/>
      </c>
      <c r="Y91" s="57"/>
      <c r="Z91" s="299" t="str">
        <f>IFERROR(INDEX('G-8 Condition Look up'!$A$3:$H$135,MATCH(S91,'G-8 Condition Look up'!$A$3:$A$135,0),MATCH(Y91,'G-8 Condition Look up'!$A$3:$H$3,0)),"")</f>
        <v/>
      </c>
      <c r="AA91" s="52"/>
      <c r="AB91" s="295" t="str">
        <f>IF(AA91="","",IF(VLOOKUP(AA91,'G-3 Multipliers'!$L$3:$N$6,2,FALSE)=0,"Spatial Data Missing ⚠",VLOOKUP(AA91,'G-3 Multipliers'!$L$3:$N$6,2,FALSE)))</f>
        <v/>
      </c>
      <c r="AC91" s="299" t="str">
        <f>IF(AA91="","",IF(VLOOKUP(AA91,'G-3 Multipliers'!$L$3:$N$6,3,FALSE)=0,"Spatial Data Missing ⚠",VLOOKUP(AA91,'G-3 Multipliers'!$L$3:$N$6,3,FALSE)))</f>
        <v/>
      </c>
      <c r="AD91" s="313" t="str">
        <f t="shared" si="12"/>
        <v/>
      </c>
      <c r="AE91" s="58"/>
      <c r="AF91" s="58"/>
      <c r="AG91" s="283" t="str">
        <f t="shared" si="16"/>
        <v/>
      </c>
      <c r="AH91" s="296" t="str">
        <f t="shared" si="17"/>
        <v/>
      </c>
      <c r="AI91" s="297" t="str">
        <f>IF(AH91="Check Data ⚠","Check Data ⚠",IFERROR(VLOOKUP(AH91,'G-4 Temporal multipliers'!$A$4:$C$36,3,FALSE),""))</f>
        <v/>
      </c>
      <c r="AJ91" s="275" t="str">
        <f>IF(S91="","",VLOOKUP(S91,'G-3 Multipliers'!$A$2:$E$134,4,FALSE))</f>
        <v/>
      </c>
      <c r="AK91" s="283" t="str">
        <f t="shared" si="18"/>
        <v/>
      </c>
      <c r="AL91" s="283" t="str">
        <f t="shared" si="19"/>
        <v/>
      </c>
      <c r="AM91" s="314" t="str">
        <f>IFERROR(IF(F91="","",IF(AH91="Check Data ⚠","Check Data ⚠",VLOOKUP(AL91,'G-3 Multipliers'!$P$2:$Q$6,2,FALSE))),"")</f>
        <v/>
      </c>
      <c r="AN91" s="289" t="str">
        <f t="shared" si="20"/>
        <v/>
      </c>
      <c r="AO91" s="52"/>
      <c r="AP91" s="51"/>
      <c r="AQ91" s="104"/>
      <c r="AT91" s="35" t="str">
        <f t="shared" si="21"/>
        <v>No</v>
      </c>
      <c r="AU91" s="35" t="str">
        <f>IF(E91="","",IF(ISNA(VLOOKUP($E91,'A-1 On-Site Habitat Baseline'!$D$1:$AV$258,4,FALSE)),"",(VLOOKUP($E91,'A-1 On-Site Habitat Baseline'!$D$1:$AV$258,4,FALSE))))</f>
        <v/>
      </c>
    </row>
    <row r="92" spans="1:47" ht="14">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05" t="str">
        <f>'A-1 On-Site Habitat Baseline'!AL91</f>
        <v/>
      </c>
      <c r="F92" s="295" t="str">
        <f>IF(E92="","",IF(ISNA(VLOOKUP($E92,'A-1 On-Site Habitat Baseline'!$D$1:$AV$258,45,FALSE)),"",(VLOOKUP($E92,'A-1 On-Site Habitat Baseline'!$D$1:$AV$258,45,FALSE))))</f>
        <v/>
      </c>
      <c r="G92" s="295" t="str">
        <f>IF(E92="","",IF(ISNA(VLOOKUP($E92,'A-1 On-Site Habitat Baseline'!$D$1:$O$258,5,FALSE)),"",(VLOOKUP($E92,'A-1 On-Site Habitat Baseline'!$D$1:$O$258,5,FALSE))))</f>
        <v/>
      </c>
      <c r="H92" s="295" t="str">
        <f>IF(E92="","",IF(ISNA(VLOOKUP($E92,'A-1 On-Site Habitat Baseline'!$D$1:$O$258,6,FALSE)),"",(VLOOKUP($E92,'A-1 On-Site Habitat Baseline'!$D$1:$O$258,6,FALSE))))</f>
        <v/>
      </c>
      <c r="I92" s="295" t="str">
        <f>IF(E92="","",IF(ISNA(VLOOKUP($E92,'A-1 On-Site Habitat Baseline'!$D$1:$O$258,7,FALSE)),"",(VLOOKUP($E92,'A-1 On-Site Habitat Baseline'!$D$1:$O$258,7,FALSE))))</f>
        <v/>
      </c>
      <c r="J92" s="295" t="str">
        <f>IF(E92="","",IF(ISNA(VLOOKUP($E92,'A-1 On-Site Habitat Baseline'!$D$1:$O$258,8,FALSE)),"",(VLOOKUP($E92,'A-1 On-Site Habitat Baseline'!$D$1:$O$258,8,FALSE))))</f>
        <v/>
      </c>
      <c r="K92" s="295" t="str">
        <f>IF(E92="","",IF(ISNA(VLOOKUP($E92,'A-1 On-Site Habitat Baseline'!$D$1:$O$258,9,FALSE)),"",(VLOOKUP($E92,'A-1 On-Site Habitat Baseline'!$D$1:$O$258,9,FALSE))))</f>
        <v/>
      </c>
      <c r="L92" s="295" t="str">
        <f>IF(E92="","",IF(ISNA(VLOOKUP($E92,'A-1 On-Site Habitat Baseline'!$D$1:$O$258,11,FALSE)),"",(VLOOKUP($E92,'A-1 On-Site Habitat Baseline'!$D$1:$O$258,11,FALSE))))</f>
        <v/>
      </c>
      <c r="M92" s="295" t="str">
        <f>IF(E92="","",IF(ISNA(VLOOKUP($E92,'A-1 On-Site Habitat Baseline'!$D$1:$O$258,12,FALSE)),"",(VLOOKUP($E92,'A-1 On-Site Habitat Baseline'!$D$1:$O$258,12,FALSE))))</f>
        <v/>
      </c>
      <c r="N92" s="306" t="str">
        <f>IF(E92="","",IF(ISNA(VLOOKUP($E92,'A-1 On-Site Habitat Baseline'!$D$1:$X$258,14,FALSE)),"",(VLOOKUP($E92,'A-1 On-Site Habitat Baseline'!$D$1:$X$258,14,FALSE))))</f>
        <v/>
      </c>
      <c r="O92" s="299" t="str">
        <f>IF(E92="","",IF(ISNA(VLOOKUP($E92,'A-1 On-Site Habitat Baseline'!$D$1:$X$258,16,FALSE)),"",(VLOOKUP($E92,'A-1 On-Site Habitat Baseline'!$D$1:$X$258,13,FALSE))))</f>
        <v/>
      </c>
      <c r="P92" s="154" t="str">
        <f>IFERROR(INDEX('G-1 All Habitats'!$AG$49:$AG$63,MATCH(Q92,'G-1 All Habitats'!$AF$27:$AF$41,0)),"")</f>
        <v/>
      </c>
      <c r="Q92" s="155" t="str">
        <f t="shared" si="13"/>
        <v/>
      </c>
      <c r="R92" s="155"/>
      <c r="S92" s="237" t="str">
        <f>IFERROR(INDEX('G-1 All Habitats'!$B$3:$B$135,MATCH(R92,'G-1 All Habitats'!$A$3:$A$135,0)),"")</f>
        <v/>
      </c>
      <c r="T92" s="275" t="str">
        <f t="shared" si="14"/>
        <v/>
      </c>
      <c r="U92" s="276" t="str">
        <f t="shared" si="15"/>
        <v/>
      </c>
      <c r="V92" s="311" t="str">
        <f t="shared" si="11"/>
        <v/>
      </c>
      <c r="W92" s="295" t="str">
        <f>IF(S92="","",VLOOKUP(S92,'G-1 All Habitats'!$B$2:$M$135,10,FALSE))</f>
        <v/>
      </c>
      <c r="X92" s="295" t="str">
        <f>IFERROR(VLOOKUP(W92,'G-1 All Habitats'!$V$3:$W$7,2,FALSE),"")</f>
        <v/>
      </c>
      <c r="Y92" s="57"/>
      <c r="Z92" s="299" t="str">
        <f>IFERROR(INDEX('G-8 Condition Look up'!$A$3:$H$135,MATCH(S92,'G-8 Condition Look up'!$A$3:$A$135,0),MATCH(Y92,'G-8 Condition Look up'!$A$3:$H$3,0)),"")</f>
        <v/>
      </c>
      <c r="AA92" s="52"/>
      <c r="AB92" s="295" t="str">
        <f>IF(AA92="","",IF(VLOOKUP(AA92,'G-3 Multipliers'!$L$3:$N$6,2,FALSE)=0,"Spatial Data Missing ⚠",VLOOKUP(AA92,'G-3 Multipliers'!$L$3:$N$6,2,FALSE)))</f>
        <v/>
      </c>
      <c r="AC92" s="299" t="str">
        <f>IF(AA92="","",IF(VLOOKUP(AA92,'G-3 Multipliers'!$L$3:$N$6,3,FALSE)=0,"Spatial Data Missing ⚠",VLOOKUP(AA92,'G-3 Multipliers'!$L$3:$N$6,3,FALSE)))</f>
        <v/>
      </c>
      <c r="AD92" s="313" t="str">
        <f t="shared" si="12"/>
        <v/>
      </c>
      <c r="AE92" s="58"/>
      <c r="AF92" s="58"/>
      <c r="AG92" s="283" t="str">
        <f t="shared" si="16"/>
        <v/>
      </c>
      <c r="AH92" s="296" t="str">
        <f t="shared" si="17"/>
        <v/>
      </c>
      <c r="AI92" s="297" t="str">
        <f>IF(AH92="Check Data ⚠","Check Data ⚠",IFERROR(VLOOKUP(AH92,'G-4 Temporal multipliers'!$A$4:$C$36,3,FALSE),""))</f>
        <v/>
      </c>
      <c r="AJ92" s="275" t="str">
        <f>IF(S92="","",VLOOKUP(S92,'G-3 Multipliers'!$A$2:$E$134,4,FALSE))</f>
        <v/>
      </c>
      <c r="AK92" s="283" t="str">
        <f t="shared" si="18"/>
        <v/>
      </c>
      <c r="AL92" s="283" t="str">
        <f t="shared" si="19"/>
        <v/>
      </c>
      <c r="AM92" s="314" t="str">
        <f>IFERROR(IF(F92="","",IF(AH92="Check Data ⚠","Check Data ⚠",VLOOKUP(AL92,'G-3 Multipliers'!$P$2:$Q$6,2,FALSE))),"")</f>
        <v/>
      </c>
      <c r="AN92" s="289" t="str">
        <f t="shared" si="20"/>
        <v/>
      </c>
      <c r="AO92" s="52"/>
      <c r="AP92" s="51"/>
      <c r="AQ92" s="104"/>
      <c r="AT92" s="35" t="str">
        <f t="shared" si="21"/>
        <v>No</v>
      </c>
      <c r="AU92" s="35" t="str">
        <f>IF(E92="","",IF(ISNA(VLOOKUP($E92,'A-1 On-Site Habitat Baseline'!$D$1:$AV$258,4,FALSE)),"",(VLOOKUP($E92,'A-1 On-Site Habitat Baseline'!$D$1:$AV$258,4,FALSE))))</f>
        <v/>
      </c>
    </row>
    <row r="93" spans="1:47" ht="14">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05" t="str">
        <f>'A-1 On-Site Habitat Baseline'!AL92</f>
        <v/>
      </c>
      <c r="F93" s="295" t="str">
        <f>IF(E93="","",IF(ISNA(VLOOKUP($E93,'A-1 On-Site Habitat Baseline'!$D$1:$AV$258,45,FALSE)),"",(VLOOKUP($E93,'A-1 On-Site Habitat Baseline'!$D$1:$AV$258,45,FALSE))))</f>
        <v/>
      </c>
      <c r="G93" s="295" t="str">
        <f>IF(E93="","",IF(ISNA(VLOOKUP($E93,'A-1 On-Site Habitat Baseline'!$D$1:$O$258,5,FALSE)),"",(VLOOKUP($E93,'A-1 On-Site Habitat Baseline'!$D$1:$O$258,5,FALSE))))</f>
        <v/>
      </c>
      <c r="H93" s="295" t="str">
        <f>IF(E93="","",IF(ISNA(VLOOKUP($E93,'A-1 On-Site Habitat Baseline'!$D$1:$O$258,6,FALSE)),"",(VLOOKUP($E93,'A-1 On-Site Habitat Baseline'!$D$1:$O$258,6,FALSE))))</f>
        <v/>
      </c>
      <c r="I93" s="295" t="str">
        <f>IF(E93="","",IF(ISNA(VLOOKUP($E93,'A-1 On-Site Habitat Baseline'!$D$1:$O$258,7,FALSE)),"",(VLOOKUP($E93,'A-1 On-Site Habitat Baseline'!$D$1:$O$258,7,FALSE))))</f>
        <v/>
      </c>
      <c r="J93" s="295" t="str">
        <f>IF(E93="","",IF(ISNA(VLOOKUP($E93,'A-1 On-Site Habitat Baseline'!$D$1:$O$258,8,FALSE)),"",(VLOOKUP($E93,'A-1 On-Site Habitat Baseline'!$D$1:$O$258,8,FALSE))))</f>
        <v/>
      </c>
      <c r="K93" s="295" t="str">
        <f>IF(E93="","",IF(ISNA(VLOOKUP($E93,'A-1 On-Site Habitat Baseline'!$D$1:$O$258,9,FALSE)),"",(VLOOKUP($E93,'A-1 On-Site Habitat Baseline'!$D$1:$O$258,9,FALSE))))</f>
        <v/>
      </c>
      <c r="L93" s="295" t="str">
        <f>IF(E93="","",IF(ISNA(VLOOKUP($E93,'A-1 On-Site Habitat Baseline'!$D$1:$O$258,11,FALSE)),"",(VLOOKUP($E93,'A-1 On-Site Habitat Baseline'!$D$1:$O$258,11,FALSE))))</f>
        <v/>
      </c>
      <c r="M93" s="295" t="str">
        <f>IF(E93="","",IF(ISNA(VLOOKUP($E93,'A-1 On-Site Habitat Baseline'!$D$1:$O$258,12,FALSE)),"",(VLOOKUP($E93,'A-1 On-Site Habitat Baseline'!$D$1:$O$258,12,FALSE))))</f>
        <v/>
      </c>
      <c r="N93" s="306" t="str">
        <f>IF(E93="","",IF(ISNA(VLOOKUP($E93,'A-1 On-Site Habitat Baseline'!$D$1:$X$258,14,FALSE)),"",(VLOOKUP($E93,'A-1 On-Site Habitat Baseline'!$D$1:$X$258,14,FALSE))))</f>
        <v/>
      </c>
      <c r="O93" s="299" t="str">
        <f>IF(E93="","",IF(ISNA(VLOOKUP($E93,'A-1 On-Site Habitat Baseline'!$D$1:$X$258,16,FALSE)),"",(VLOOKUP($E93,'A-1 On-Site Habitat Baseline'!$D$1:$X$258,13,FALSE))))</f>
        <v/>
      </c>
      <c r="P93" s="154" t="str">
        <f>IFERROR(INDEX('G-1 All Habitats'!$AG$49:$AG$63,MATCH(Q93,'G-1 All Habitats'!$AF$27:$AF$41,0)),"")</f>
        <v/>
      </c>
      <c r="Q93" s="155" t="str">
        <f t="shared" si="13"/>
        <v/>
      </c>
      <c r="R93" s="155"/>
      <c r="S93" s="237" t="str">
        <f>IFERROR(INDEX('G-1 All Habitats'!$B$3:$B$135,MATCH(R93,'G-1 All Habitats'!$A$3:$A$135,0)),"")</f>
        <v/>
      </c>
      <c r="T93" s="275" t="str">
        <f t="shared" si="14"/>
        <v/>
      </c>
      <c r="U93" s="276" t="str">
        <f t="shared" si="15"/>
        <v/>
      </c>
      <c r="V93" s="311" t="str">
        <f t="shared" si="11"/>
        <v/>
      </c>
      <c r="W93" s="295" t="str">
        <f>IF(S93="","",VLOOKUP(S93,'G-1 All Habitats'!$B$2:$M$135,10,FALSE))</f>
        <v/>
      </c>
      <c r="X93" s="295" t="str">
        <f>IFERROR(VLOOKUP(W93,'G-1 All Habitats'!$V$3:$W$7,2,FALSE),"")</f>
        <v/>
      </c>
      <c r="Y93" s="57"/>
      <c r="Z93" s="299" t="str">
        <f>IFERROR(INDEX('G-8 Condition Look up'!$A$3:$H$135,MATCH(S93,'G-8 Condition Look up'!$A$3:$A$135,0),MATCH(Y93,'G-8 Condition Look up'!$A$3:$H$3,0)),"")</f>
        <v/>
      </c>
      <c r="AA93" s="52"/>
      <c r="AB93" s="295" t="str">
        <f>IF(AA93="","",IF(VLOOKUP(AA93,'G-3 Multipliers'!$L$3:$N$6,2,FALSE)=0,"Spatial Data Missing ⚠",VLOOKUP(AA93,'G-3 Multipliers'!$L$3:$N$6,2,FALSE)))</f>
        <v/>
      </c>
      <c r="AC93" s="299" t="str">
        <f>IF(AA93="","",IF(VLOOKUP(AA93,'G-3 Multipliers'!$L$3:$N$6,3,FALSE)=0,"Spatial Data Missing ⚠",VLOOKUP(AA93,'G-3 Multipliers'!$L$3:$N$6,3,FALSE)))</f>
        <v/>
      </c>
      <c r="AD93" s="313" t="str">
        <f t="shared" si="12"/>
        <v/>
      </c>
      <c r="AE93" s="58"/>
      <c r="AF93" s="58"/>
      <c r="AG93" s="283" t="str">
        <f t="shared" si="16"/>
        <v/>
      </c>
      <c r="AH93" s="296" t="str">
        <f t="shared" si="17"/>
        <v/>
      </c>
      <c r="AI93" s="297" t="str">
        <f>IF(AH93="Check Data ⚠","Check Data ⚠",IFERROR(VLOOKUP(AH93,'G-4 Temporal multipliers'!$A$4:$C$36,3,FALSE),""))</f>
        <v/>
      </c>
      <c r="AJ93" s="275" t="str">
        <f>IF(S93="","",VLOOKUP(S93,'G-3 Multipliers'!$A$2:$E$134,4,FALSE))</f>
        <v/>
      </c>
      <c r="AK93" s="283" t="str">
        <f t="shared" si="18"/>
        <v/>
      </c>
      <c r="AL93" s="283" t="str">
        <f t="shared" si="19"/>
        <v/>
      </c>
      <c r="AM93" s="314" t="str">
        <f>IFERROR(IF(F93="","",IF(AH93="Check Data ⚠","Check Data ⚠",VLOOKUP(AL93,'G-3 Multipliers'!$P$2:$Q$6,2,FALSE))),"")</f>
        <v/>
      </c>
      <c r="AN93" s="289" t="str">
        <f t="shared" si="20"/>
        <v/>
      </c>
      <c r="AO93" s="52"/>
      <c r="AP93" s="51"/>
      <c r="AQ93" s="104"/>
      <c r="AT93" s="35" t="str">
        <f t="shared" si="21"/>
        <v>No</v>
      </c>
      <c r="AU93" s="35" t="str">
        <f>IF(E93="","",IF(ISNA(VLOOKUP($E93,'A-1 On-Site Habitat Baseline'!$D$1:$AV$258,4,FALSE)),"",(VLOOKUP($E93,'A-1 On-Site Habitat Baseline'!$D$1:$AV$258,4,FALSE))))</f>
        <v/>
      </c>
    </row>
    <row r="94" spans="1:47" ht="14">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05" t="str">
        <f>'A-1 On-Site Habitat Baseline'!AL93</f>
        <v/>
      </c>
      <c r="F94" s="295" t="str">
        <f>IF(E94="","",IF(ISNA(VLOOKUP($E94,'A-1 On-Site Habitat Baseline'!$D$1:$AV$258,45,FALSE)),"",(VLOOKUP($E94,'A-1 On-Site Habitat Baseline'!$D$1:$AV$258,45,FALSE))))</f>
        <v/>
      </c>
      <c r="G94" s="295" t="str">
        <f>IF(E94="","",IF(ISNA(VLOOKUP($E94,'A-1 On-Site Habitat Baseline'!$D$1:$O$258,5,FALSE)),"",(VLOOKUP($E94,'A-1 On-Site Habitat Baseline'!$D$1:$O$258,5,FALSE))))</f>
        <v/>
      </c>
      <c r="H94" s="295" t="str">
        <f>IF(E94="","",IF(ISNA(VLOOKUP($E94,'A-1 On-Site Habitat Baseline'!$D$1:$O$258,6,FALSE)),"",(VLOOKUP($E94,'A-1 On-Site Habitat Baseline'!$D$1:$O$258,6,FALSE))))</f>
        <v/>
      </c>
      <c r="I94" s="295" t="str">
        <f>IF(E94="","",IF(ISNA(VLOOKUP($E94,'A-1 On-Site Habitat Baseline'!$D$1:$O$258,7,FALSE)),"",(VLOOKUP($E94,'A-1 On-Site Habitat Baseline'!$D$1:$O$258,7,FALSE))))</f>
        <v/>
      </c>
      <c r="J94" s="295" t="str">
        <f>IF(E94="","",IF(ISNA(VLOOKUP($E94,'A-1 On-Site Habitat Baseline'!$D$1:$O$258,8,FALSE)),"",(VLOOKUP($E94,'A-1 On-Site Habitat Baseline'!$D$1:$O$258,8,FALSE))))</f>
        <v/>
      </c>
      <c r="K94" s="295" t="str">
        <f>IF(E94="","",IF(ISNA(VLOOKUP($E94,'A-1 On-Site Habitat Baseline'!$D$1:$O$258,9,FALSE)),"",(VLOOKUP($E94,'A-1 On-Site Habitat Baseline'!$D$1:$O$258,9,FALSE))))</f>
        <v/>
      </c>
      <c r="L94" s="295" t="str">
        <f>IF(E94="","",IF(ISNA(VLOOKUP($E94,'A-1 On-Site Habitat Baseline'!$D$1:$O$258,11,FALSE)),"",(VLOOKUP($E94,'A-1 On-Site Habitat Baseline'!$D$1:$O$258,11,FALSE))))</f>
        <v/>
      </c>
      <c r="M94" s="295" t="str">
        <f>IF(E94="","",IF(ISNA(VLOOKUP($E94,'A-1 On-Site Habitat Baseline'!$D$1:$O$258,12,FALSE)),"",(VLOOKUP($E94,'A-1 On-Site Habitat Baseline'!$D$1:$O$258,12,FALSE))))</f>
        <v/>
      </c>
      <c r="N94" s="306" t="str">
        <f>IF(E94="","",IF(ISNA(VLOOKUP($E94,'A-1 On-Site Habitat Baseline'!$D$1:$X$258,14,FALSE)),"",(VLOOKUP($E94,'A-1 On-Site Habitat Baseline'!$D$1:$X$258,14,FALSE))))</f>
        <v/>
      </c>
      <c r="O94" s="299" t="str">
        <f>IF(E94="","",IF(ISNA(VLOOKUP($E94,'A-1 On-Site Habitat Baseline'!$D$1:$X$258,16,FALSE)),"",(VLOOKUP($E94,'A-1 On-Site Habitat Baseline'!$D$1:$X$258,13,FALSE))))</f>
        <v/>
      </c>
      <c r="P94" s="154" t="str">
        <f>IFERROR(INDEX('G-1 All Habitats'!$AG$49:$AG$63,MATCH(Q94,'G-1 All Habitats'!$AF$27:$AF$41,0)),"")</f>
        <v/>
      </c>
      <c r="Q94" s="155" t="str">
        <f t="shared" si="13"/>
        <v/>
      </c>
      <c r="R94" s="155"/>
      <c r="S94" s="237" t="str">
        <f>IFERROR(INDEX('G-1 All Habitats'!$B$3:$B$135,MATCH(R94,'G-1 All Habitats'!$A$3:$A$135,0)),"")</f>
        <v/>
      </c>
      <c r="T94" s="275" t="str">
        <f t="shared" si="14"/>
        <v/>
      </c>
      <c r="U94" s="276" t="str">
        <f t="shared" si="15"/>
        <v/>
      </c>
      <c r="V94" s="311" t="str">
        <f t="shared" si="11"/>
        <v/>
      </c>
      <c r="W94" s="295" t="str">
        <f>IF(S94="","",VLOOKUP(S94,'G-1 All Habitats'!$B$2:$M$135,10,FALSE))</f>
        <v/>
      </c>
      <c r="X94" s="295" t="str">
        <f>IFERROR(VLOOKUP(W94,'G-1 All Habitats'!$V$3:$W$7,2,FALSE),"")</f>
        <v/>
      </c>
      <c r="Y94" s="57"/>
      <c r="Z94" s="299" t="str">
        <f>IFERROR(INDEX('G-8 Condition Look up'!$A$3:$H$135,MATCH(S94,'G-8 Condition Look up'!$A$3:$A$135,0),MATCH(Y94,'G-8 Condition Look up'!$A$3:$H$3,0)),"")</f>
        <v/>
      </c>
      <c r="AA94" s="52"/>
      <c r="AB94" s="295" t="str">
        <f>IF(AA94="","",IF(VLOOKUP(AA94,'G-3 Multipliers'!$L$3:$N$6,2,FALSE)=0,"Spatial Data Missing ⚠",VLOOKUP(AA94,'G-3 Multipliers'!$L$3:$N$6,2,FALSE)))</f>
        <v/>
      </c>
      <c r="AC94" s="299" t="str">
        <f>IF(AA94="","",IF(VLOOKUP(AA94,'G-3 Multipliers'!$L$3:$N$6,3,FALSE)=0,"Spatial Data Missing ⚠",VLOOKUP(AA94,'G-3 Multipliers'!$L$3:$N$6,3,FALSE)))</f>
        <v/>
      </c>
      <c r="AD94" s="313" t="str">
        <f t="shared" si="12"/>
        <v/>
      </c>
      <c r="AE94" s="58"/>
      <c r="AF94" s="58"/>
      <c r="AG94" s="283" t="str">
        <f t="shared" si="16"/>
        <v/>
      </c>
      <c r="AH94" s="296" t="str">
        <f t="shared" si="17"/>
        <v/>
      </c>
      <c r="AI94" s="297" t="str">
        <f>IF(AH94="Check Data ⚠","Check Data ⚠",IFERROR(VLOOKUP(AH94,'G-4 Temporal multipliers'!$A$4:$C$36,3,FALSE),""))</f>
        <v/>
      </c>
      <c r="AJ94" s="275" t="str">
        <f>IF(S94="","",VLOOKUP(S94,'G-3 Multipliers'!$A$2:$E$134,4,FALSE))</f>
        <v/>
      </c>
      <c r="AK94" s="283" t="str">
        <f t="shared" si="18"/>
        <v/>
      </c>
      <c r="AL94" s="283" t="str">
        <f t="shared" si="19"/>
        <v/>
      </c>
      <c r="AM94" s="314" t="str">
        <f>IFERROR(IF(F94="","",IF(AH94="Check Data ⚠","Check Data ⚠",VLOOKUP(AL94,'G-3 Multipliers'!$P$2:$Q$6,2,FALSE))),"")</f>
        <v/>
      </c>
      <c r="AN94" s="289" t="str">
        <f t="shared" si="20"/>
        <v/>
      </c>
      <c r="AO94" s="52"/>
      <c r="AP94" s="51"/>
      <c r="AQ94" s="104"/>
      <c r="AT94" s="35" t="str">
        <f t="shared" si="21"/>
        <v>No</v>
      </c>
      <c r="AU94" s="35" t="str">
        <f>IF(E94="","",IF(ISNA(VLOOKUP($E94,'A-1 On-Site Habitat Baseline'!$D$1:$AV$258,4,FALSE)),"",(VLOOKUP($E94,'A-1 On-Site Habitat Baseline'!$D$1:$AV$258,4,FALSE))))</f>
        <v/>
      </c>
    </row>
    <row r="95" spans="1:47" ht="14">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05" t="str">
        <f>'A-1 On-Site Habitat Baseline'!AL94</f>
        <v/>
      </c>
      <c r="F95" s="295" t="str">
        <f>IF(E95="","",IF(ISNA(VLOOKUP($E95,'A-1 On-Site Habitat Baseline'!$D$1:$AV$258,45,FALSE)),"",(VLOOKUP($E95,'A-1 On-Site Habitat Baseline'!$D$1:$AV$258,45,FALSE))))</f>
        <v/>
      </c>
      <c r="G95" s="295" t="str">
        <f>IF(E95="","",IF(ISNA(VLOOKUP($E95,'A-1 On-Site Habitat Baseline'!$D$1:$O$258,5,FALSE)),"",(VLOOKUP($E95,'A-1 On-Site Habitat Baseline'!$D$1:$O$258,5,FALSE))))</f>
        <v/>
      </c>
      <c r="H95" s="295" t="str">
        <f>IF(E95="","",IF(ISNA(VLOOKUP($E95,'A-1 On-Site Habitat Baseline'!$D$1:$O$258,6,FALSE)),"",(VLOOKUP($E95,'A-1 On-Site Habitat Baseline'!$D$1:$O$258,6,FALSE))))</f>
        <v/>
      </c>
      <c r="I95" s="295" t="str">
        <f>IF(E95="","",IF(ISNA(VLOOKUP($E95,'A-1 On-Site Habitat Baseline'!$D$1:$O$258,7,FALSE)),"",(VLOOKUP($E95,'A-1 On-Site Habitat Baseline'!$D$1:$O$258,7,FALSE))))</f>
        <v/>
      </c>
      <c r="J95" s="295" t="str">
        <f>IF(E95="","",IF(ISNA(VLOOKUP($E95,'A-1 On-Site Habitat Baseline'!$D$1:$O$258,8,FALSE)),"",(VLOOKUP($E95,'A-1 On-Site Habitat Baseline'!$D$1:$O$258,8,FALSE))))</f>
        <v/>
      </c>
      <c r="K95" s="295" t="str">
        <f>IF(E95="","",IF(ISNA(VLOOKUP($E95,'A-1 On-Site Habitat Baseline'!$D$1:$O$258,9,FALSE)),"",(VLOOKUP($E95,'A-1 On-Site Habitat Baseline'!$D$1:$O$258,9,FALSE))))</f>
        <v/>
      </c>
      <c r="L95" s="295" t="str">
        <f>IF(E95="","",IF(ISNA(VLOOKUP($E95,'A-1 On-Site Habitat Baseline'!$D$1:$O$258,11,FALSE)),"",(VLOOKUP($E95,'A-1 On-Site Habitat Baseline'!$D$1:$O$258,11,FALSE))))</f>
        <v/>
      </c>
      <c r="M95" s="295" t="str">
        <f>IF(E95="","",IF(ISNA(VLOOKUP($E95,'A-1 On-Site Habitat Baseline'!$D$1:$O$258,12,FALSE)),"",(VLOOKUP($E95,'A-1 On-Site Habitat Baseline'!$D$1:$O$258,12,FALSE))))</f>
        <v/>
      </c>
      <c r="N95" s="306" t="str">
        <f>IF(E95="","",IF(ISNA(VLOOKUP($E95,'A-1 On-Site Habitat Baseline'!$D$1:$X$258,14,FALSE)),"",(VLOOKUP($E95,'A-1 On-Site Habitat Baseline'!$D$1:$X$258,14,FALSE))))</f>
        <v/>
      </c>
      <c r="O95" s="299" t="str">
        <f>IF(E95="","",IF(ISNA(VLOOKUP($E95,'A-1 On-Site Habitat Baseline'!$D$1:$X$258,16,FALSE)),"",(VLOOKUP($E95,'A-1 On-Site Habitat Baseline'!$D$1:$X$258,13,FALSE))))</f>
        <v/>
      </c>
      <c r="P95" s="154" t="str">
        <f>IFERROR(INDEX('G-1 All Habitats'!$AG$49:$AG$63,MATCH(Q95,'G-1 All Habitats'!$AF$27:$AF$41,0)),"")</f>
        <v/>
      </c>
      <c r="Q95" s="155" t="str">
        <f t="shared" si="13"/>
        <v/>
      </c>
      <c r="R95" s="155"/>
      <c r="S95" s="237" t="str">
        <f>IFERROR(INDEX('G-1 All Habitats'!$B$3:$B$135,MATCH(R95,'G-1 All Habitats'!$A$3:$A$135,0)),"")</f>
        <v/>
      </c>
      <c r="T95" s="275" t="str">
        <f t="shared" si="14"/>
        <v/>
      </c>
      <c r="U95" s="276" t="str">
        <f t="shared" si="15"/>
        <v/>
      </c>
      <c r="V95" s="311" t="str">
        <f t="shared" si="11"/>
        <v/>
      </c>
      <c r="W95" s="295" t="str">
        <f>IF(S95="","",VLOOKUP(S95,'G-1 All Habitats'!$B$2:$M$135,10,FALSE))</f>
        <v/>
      </c>
      <c r="X95" s="295" t="str">
        <f>IFERROR(VLOOKUP(W95,'G-1 All Habitats'!$V$3:$W$7,2,FALSE),"")</f>
        <v/>
      </c>
      <c r="Y95" s="57"/>
      <c r="Z95" s="299" t="str">
        <f>IFERROR(INDEX('G-8 Condition Look up'!$A$3:$H$135,MATCH(S95,'G-8 Condition Look up'!$A$3:$A$135,0),MATCH(Y95,'G-8 Condition Look up'!$A$3:$H$3,0)),"")</f>
        <v/>
      </c>
      <c r="AA95" s="52"/>
      <c r="AB95" s="295" t="str">
        <f>IF(AA95="","",IF(VLOOKUP(AA95,'G-3 Multipliers'!$L$3:$N$6,2,FALSE)=0,"Spatial Data Missing ⚠",VLOOKUP(AA95,'G-3 Multipliers'!$L$3:$N$6,2,FALSE)))</f>
        <v/>
      </c>
      <c r="AC95" s="299" t="str">
        <f>IF(AA95="","",IF(VLOOKUP(AA95,'G-3 Multipliers'!$L$3:$N$6,3,FALSE)=0,"Spatial Data Missing ⚠",VLOOKUP(AA95,'G-3 Multipliers'!$L$3:$N$6,3,FALSE)))</f>
        <v/>
      </c>
      <c r="AD95" s="313" t="str">
        <f t="shared" si="12"/>
        <v/>
      </c>
      <c r="AE95" s="58"/>
      <c r="AF95" s="58"/>
      <c r="AG95" s="283" t="str">
        <f t="shared" si="16"/>
        <v/>
      </c>
      <c r="AH95" s="296" t="str">
        <f t="shared" si="17"/>
        <v/>
      </c>
      <c r="AI95" s="297" t="str">
        <f>IF(AH95="Check Data ⚠","Check Data ⚠",IFERROR(VLOOKUP(AH95,'G-4 Temporal multipliers'!$A$4:$C$36,3,FALSE),""))</f>
        <v/>
      </c>
      <c r="AJ95" s="275" t="str">
        <f>IF(S95="","",VLOOKUP(S95,'G-3 Multipliers'!$A$2:$E$134,4,FALSE))</f>
        <v/>
      </c>
      <c r="AK95" s="283" t="str">
        <f t="shared" si="18"/>
        <v/>
      </c>
      <c r="AL95" s="283" t="str">
        <f t="shared" si="19"/>
        <v/>
      </c>
      <c r="AM95" s="314" t="str">
        <f>IFERROR(IF(F95="","",IF(AH95="Check Data ⚠","Check Data ⚠",VLOOKUP(AL95,'G-3 Multipliers'!$P$2:$Q$6,2,FALSE))),"")</f>
        <v/>
      </c>
      <c r="AN95" s="289" t="str">
        <f t="shared" si="20"/>
        <v/>
      </c>
      <c r="AO95" s="52"/>
      <c r="AP95" s="51"/>
      <c r="AQ95" s="104"/>
      <c r="AT95" s="35" t="str">
        <f t="shared" si="21"/>
        <v>No</v>
      </c>
      <c r="AU95" s="35" t="str">
        <f>IF(E95="","",IF(ISNA(VLOOKUP($E95,'A-1 On-Site Habitat Baseline'!$D$1:$AV$258,4,FALSE)),"",(VLOOKUP($E95,'A-1 On-Site Habitat Baseline'!$D$1:$AV$258,4,FALSE))))</f>
        <v/>
      </c>
    </row>
    <row r="96" spans="1:47" ht="14">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05" t="str">
        <f>'A-1 On-Site Habitat Baseline'!AL95</f>
        <v/>
      </c>
      <c r="F96" s="295" t="str">
        <f>IF(E96="","",IF(ISNA(VLOOKUP($E96,'A-1 On-Site Habitat Baseline'!$D$1:$AV$258,45,FALSE)),"",(VLOOKUP($E96,'A-1 On-Site Habitat Baseline'!$D$1:$AV$258,45,FALSE))))</f>
        <v/>
      </c>
      <c r="G96" s="295" t="str">
        <f>IF(E96="","",IF(ISNA(VLOOKUP($E96,'A-1 On-Site Habitat Baseline'!$D$1:$O$258,5,FALSE)),"",(VLOOKUP($E96,'A-1 On-Site Habitat Baseline'!$D$1:$O$258,5,FALSE))))</f>
        <v/>
      </c>
      <c r="H96" s="295" t="str">
        <f>IF(E96="","",IF(ISNA(VLOOKUP($E96,'A-1 On-Site Habitat Baseline'!$D$1:$O$258,6,FALSE)),"",(VLOOKUP($E96,'A-1 On-Site Habitat Baseline'!$D$1:$O$258,6,FALSE))))</f>
        <v/>
      </c>
      <c r="I96" s="295" t="str">
        <f>IF(E96="","",IF(ISNA(VLOOKUP($E96,'A-1 On-Site Habitat Baseline'!$D$1:$O$258,7,FALSE)),"",(VLOOKUP($E96,'A-1 On-Site Habitat Baseline'!$D$1:$O$258,7,FALSE))))</f>
        <v/>
      </c>
      <c r="J96" s="295" t="str">
        <f>IF(E96="","",IF(ISNA(VLOOKUP($E96,'A-1 On-Site Habitat Baseline'!$D$1:$O$258,8,FALSE)),"",(VLOOKUP($E96,'A-1 On-Site Habitat Baseline'!$D$1:$O$258,8,FALSE))))</f>
        <v/>
      </c>
      <c r="K96" s="295" t="str">
        <f>IF(E96="","",IF(ISNA(VLOOKUP($E96,'A-1 On-Site Habitat Baseline'!$D$1:$O$258,9,FALSE)),"",(VLOOKUP($E96,'A-1 On-Site Habitat Baseline'!$D$1:$O$258,9,FALSE))))</f>
        <v/>
      </c>
      <c r="L96" s="295" t="str">
        <f>IF(E96="","",IF(ISNA(VLOOKUP($E96,'A-1 On-Site Habitat Baseline'!$D$1:$O$258,11,FALSE)),"",(VLOOKUP($E96,'A-1 On-Site Habitat Baseline'!$D$1:$O$258,11,FALSE))))</f>
        <v/>
      </c>
      <c r="M96" s="295" t="str">
        <f>IF(E96="","",IF(ISNA(VLOOKUP($E96,'A-1 On-Site Habitat Baseline'!$D$1:$O$258,12,FALSE)),"",(VLOOKUP($E96,'A-1 On-Site Habitat Baseline'!$D$1:$O$258,12,FALSE))))</f>
        <v/>
      </c>
      <c r="N96" s="306" t="str">
        <f>IF(E96="","",IF(ISNA(VLOOKUP($E96,'A-1 On-Site Habitat Baseline'!$D$1:$X$258,14,FALSE)),"",(VLOOKUP($E96,'A-1 On-Site Habitat Baseline'!$D$1:$X$258,14,FALSE))))</f>
        <v/>
      </c>
      <c r="O96" s="299" t="str">
        <f>IF(E96="","",IF(ISNA(VLOOKUP($E96,'A-1 On-Site Habitat Baseline'!$D$1:$X$258,16,FALSE)),"",(VLOOKUP($E96,'A-1 On-Site Habitat Baseline'!$D$1:$X$258,13,FALSE))))</f>
        <v/>
      </c>
      <c r="P96" s="154" t="str">
        <f>IFERROR(INDEX('G-1 All Habitats'!$AG$49:$AG$63,MATCH(Q96,'G-1 All Habitats'!$AF$27:$AF$41,0)),"")</f>
        <v/>
      </c>
      <c r="Q96" s="155" t="str">
        <f t="shared" si="13"/>
        <v/>
      </c>
      <c r="R96" s="155"/>
      <c r="S96" s="237" t="str">
        <f>IFERROR(INDEX('G-1 All Habitats'!$B$3:$B$135,MATCH(R96,'G-1 All Habitats'!$A$3:$A$135,0)),"")</f>
        <v/>
      </c>
      <c r="T96" s="275" t="str">
        <f t="shared" si="14"/>
        <v/>
      </c>
      <c r="U96" s="276" t="str">
        <f t="shared" si="15"/>
        <v/>
      </c>
      <c r="V96" s="311" t="str">
        <f t="shared" si="11"/>
        <v/>
      </c>
      <c r="W96" s="295" t="str">
        <f>IF(S96="","",VLOOKUP(S96,'G-1 All Habitats'!$B$2:$M$135,10,FALSE))</f>
        <v/>
      </c>
      <c r="X96" s="295" t="str">
        <f>IFERROR(VLOOKUP(W96,'G-1 All Habitats'!$V$3:$W$7,2,FALSE),"")</f>
        <v/>
      </c>
      <c r="Y96" s="57"/>
      <c r="Z96" s="299" t="str">
        <f>IFERROR(INDEX('G-8 Condition Look up'!$A$3:$H$135,MATCH(S96,'G-8 Condition Look up'!$A$3:$A$135,0),MATCH(Y96,'G-8 Condition Look up'!$A$3:$H$3,0)),"")</f>
        <v/>
      </c>
      <c r="AA96" s="52"/>
      <c r="AB96" s="295" t="str">
        <f>IF(AA96="","",IF(VLOOKUP(AA96,'G-3 Multipliers'!$L$3:$N$6,2,FALSE)=0,"Spatial Data Missing ⚠",VLOOKUP(AA96,'G-3 Multipliers'!$L$3:$N$6,2,FALSE)))</f>
        <v/>
      </c>
      <c r="AC96" s="299" t="str">
        <f>IF(AA96="","",IF(VLOOKUP(AA96,'G-3 Multipliers'!$L$3:$N$6,3,FALSE)=0,"Spatial Data Missing ⚠",VLOOKUP(AA96,'G-3 Multipliers'!$L$3:$N$6,3,FALSE)))</f>
        <v/>
      </c>
      <c r="AD96" s="313" t="str">
        <f t="shared" si="12"/>
        <v/>
      </c>
      <c r="AE96" s="58"/>
      <c r="AF96" s="58"/>
      <c r="AG96" s="283" t="str">
        <f t="shared" si="16"/>
        <v/>
      </c>
      <c r="AH96" s="296" t="str">
        <f t="shared" si="17"/>
        <v/>
      </c>
      <c r="AI96" s="297" t="str">
        <f>IF(AH96="Check Data ⚠","Check Data ⚠",IFERROR(VLOOKUP(AH96,'G-4 Temporal multipliers'!$A$4:$C$36,3,FALSE),""))</f>
        <v/>
      </c>
      <c r="AJ96" s="275" t="str">
        <f>IF(S96="","",VLOOKUP(S96,'G-3 Multipliers'!$A$2:$E$134,4,FALSE))</f>
        <v/>
      </c>
      <c r="AK96" s="283" t="str">
        <f t="shared" si="18"/>
        <v/>
      </c>
      <c r="AL96" s="283" t="str">
        <f t="shared" si="19"/>
        <v/>
      </c>
      <c r="AM96" s="314" t="str">
        <f>IFERROR(IF(F96="","",IF(AH96="Check Data ⚠","Check Data ⚠",VLOOKUP(AL96,'G-3 Multipliers'!$P$2:$Q$6,2,FALSE))),"")</f>
        <v/>
      </c>
      <c r="AN96" s="289" t="str">
        <f t="shared" si="20"/>
        <v/>
      </c>
      <c r="AO96" s="52"/>
      <c r="AP96" s="51"/>
      <c r="AQ96" s="104"/>
      <c r="AT96" s="35" t="str">
        <f t="shared" si="21"/>
        <v>No</v>
      </c>
      <c r="AU96" s="35" t="str">
        <f>IF(E96="","",IF(ISNA(VLOOKUP($E96,'A-1 On-Site Habitat Baseline'!$D$1:$AV$258,4,FALSE)),"",(VLOOKUP($E96,'A-1 On-Site Habitat Baseline'!$D$1:$AV$258,4,FALSE))))</f>
        <v/>
      </c>
    </row>
    <row r="97" spans="1:47" ht="14">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05" t="str">
        <f>'A-1 On-Site Habitat Baseline'!AL96</f>
        <v/>
      </c>
      <c r="F97" s="295" t="str">
        <f>IF(E97="","",IF(ISNA(VLOOKUP($E97,'A-1 On-Site Habitat Baseline'!$D$1:$AV$258,45,FALSE)),"",(VLOOKUP($E97,'A-1 On-Site Habitat Baseline'!$D$1:$AV$258,45,FALSE))))</f>
        <v/>
      </c>
      <c r="G97" s="295" t="str">
        <f>IF(E97="","",IF(ISNA(VLOOKUP($E97,'A-1 On-Site Habitat Baseline'!$D$1:$O$258,5,FALSE)),"",(VLOOKUP($E97,'A-1 On-Site Habitat Baseline'!$D$1:$O$258,5,FALSE))))</f>
        <v/>
      </c>
      <c r="H97" s="295" t="str">
        <f>IF(E97="","",IF(ISNA(VLOOKUP($E97,'A-1 On-Site Habitat Baseline'!$D$1:$O$258,6,FALSE)),"",(VLOOKUP($E97,'A-1 On-Site Habitat Baseline'!$D$1:$O$258,6,FALSE))))</f>
        <v/>
      </c>
      <c r="I97" s="295" t="str">
        <f>IF(E97="","",IF(ISNA(VLOOKUP($E97,'A-1 On-Site Habitat Baseline'!$D$1:$O$258,7,FALSE)),"",(VLOOKUP($E97,'A-1 On-Site Habitat Baseline'!$D$1:$O$258,7,FALSE))))</f>
        <v/>
      </c>
      <c r="J97" s="295" t="str">
        <f>IF(E97="","",IF(ISNA(VLOOKUP($E97,'A-1 On-Site Habitat Baseline'!$D$1:$O$258,8,FALSE)),"",(VLOOKUP($E97,'A-1 On-Site Habitat Baseline'!$D$1:$O$258,8,FALSE))))</f>
        <v/>
      </c>
      <c r="K97" s="295" t="str">
        <f>IF(E97="","",IF(ISNA(VLOOKUP($E97,'A-1 On-Site Habitat Baseline'!$D$1:$O$258,9,FALSE)),"",(VLOOKUP($E97,'A-1 On-Site Habitat Baseline'!$D$1:$O$258,9,FALSE))))</f>
        <v/>
      </c>
      <c r="L97" s="295" t="str">
        <f>IF(E97="","",IF(ISNA(VLOOKUP($E97,'A-1 On-Site Habitat Baseline'!$D$1:$O$258,11,FALSE)),"",(VLOOKUP($E97,'A-1 On-Site Habitat Baseline'!$D$1:$O$258,11,FALSE))))</f>
        <v/>
      </c>
      <c r="M97" s="295" t="str">
        <f>IF(E97="","",IF(ISNA(VLOOKUP($E97,'A-1 On-Site Habitat Baseline'!$D$1:$O$258,12,FALSE)),"",(VLOOKUP($E97,'A-1 On-Site Habitat Baseline'!$D$1:$O$258,12,FALSE))))</f>
        <v/>
      </c>
      <c r="N97" s="306" t="str">
        <f>IF(E97="","",IF(ISNA(VLOOKUP($E97,'A-1 On-Site Habitat Baseline'!$D$1:$X$258,14,FALSE)),"",(VLOOKUP($E97,'A-1 On-Site Habitat Baseline'!$D$1:$X$258,14,FALSE))))</f>
        <v/>
      </c>
      <c r="O97" s="299" t="str">
        <f>IF(E97="","",IF(ISNA(VLOOKUP($E97,'A-1 On-Site Habitat Baseline'!$D$1:$X$258,16,FALSE)),"",(VLOOKUP($E97,'A-1 On-Site Habitat Baseline'!$D$1:$X$258,13,FALSE))))</f>
        <v/>
      </c>
      <c r="P97" s="154" t="str">
        <f>IFERROR(INDEX('G-1 All Habitats'!$AG$49:$AG$63,MATCH(Q97,'G-1 All Habitats'!$AF$27:$AF$41,0)),"")</f>
        <v/>
      </c>
      <c r="Q97" s="155" t="str">
        <f t="shared" si="13"/>
        <v/>
      </c>
      <c r="R97" s="155"/>
      <c r="S97" s="237" t="str">
        <f>IFERROR(INDEX('G-1 All Habitats'!$B$3:$B$135,MATCH(R97,'G-1 All Habitats'!$A$3:$A$135,0)),"")</f>
        <v/>
      </c>
      <c r="T97" s="275" t="str">
        <f t="shared" si="14"/>
        <v/>
      </c>
      <c r="U97" s="276" t="str">
        <f t="shared" si="15"/>
        <v/>
      </c>
      <c r="V97" s="311" t="str">
        <f t="shared" si="11"/>
        <v/>
      </c>
      <c r="W97" s="295" t="str">
        <f>IF(S97="","",VLOOKUP(S97,'G-1 All Habitats'!$B$2:$M$135,10,FALSE))</f>
        <v/>
      </c>
      <c r="X97" s="295" t="str">
        <f>IFERROR(VLOOKUP(W97,'G-1 All Habitats'!$V$3:$W$7,2,FALSE),"")</f>
        <v/>
      </c>
      <c r="Y97" s="57"/>
      <c r="Z97" s="299" t="str">
        <f>IFERROR(INDEX('G-8 Condition Look up'!$A$3:$H$135,MATCH(S97,'G-8 Condition Look up'!$A$3:$A$135,0),MATCH(Y97,'G-8 Condition Look up'!$A$3:$H$3,0)),"")</f>
        <v/>
      </c>
      <c r="AA97" s="52"/>
      <c r="AB97" s="295" t="str">
        <f>IF(AA97="","",IF(VLOOKUP(AA97,'G-3 Multipliers'!$L$3:$N$6,2,FALSE)=0,"Spatial Data Missing ⚠",VLOOKUP(AA97,'G-3 Multipliers'!$L$3:$N$6,2,FALSE)))</f>
        <v/>
      </c>
      <c r="AC97" s="299" t="str">
        <f>IF(AA97="","",IF(VLOOKUP(AA97,'G-3 Multipliers'!$L$3:$N$6,3,FALSE)=0,"Spatial Data Missing ⚠",VLOOKUP(AA97,'G-3 Multipliers'!$L$3:$N$6,3,FALSE)))</f>
        <v/>
      </c>
      <c r="AD97" s="313" t="str">
        <f t="shared" si="12"/>
        <v/>
      </c>
      <c r="AE97" s="58"/>
      <c r="AF97" s="58"/>
      <c r="AG97" s="283" t="str">
        <f t="shared" si="16"/>
        <v/>
      </c>
      <c r="AH97" s="296" t="str">
        <f t="shared" si="17"/>
        <v/>
      </c>
      <c r="AI97" s="297" t="str">
        <f>IF(AH97="Check Data ⚠","Check Data ⚠",IFERROR(VLOOKUP(AH97,'G-4 Temporal multipliers'!$A$4:$C$36,3,FALSE),""))</f>
        <v/>
      </c>
      <c r="AJ97" s="275" t="str">
        <f>IF(S97="","",VLOOKUP(S97,'G-3 Multipliers'!$A$2:$E$134,4,FALSE))</f>
        <v/>
      </c>
      <c r="AK97" s="283" t="str">
        <f t="shared" si="18"/>
        <v/>
      </c>
      <c r="AL97" s="283" t="str">
        <f t="shared" si="19"/>
        <v/>
      </c>
      <c r="AM97" s="314" t="str">
        <f>IFERROR(IF(F97="","",IF(AH97="Check Data ⚠","Check Data ⚠",VLOOKUP(AL97,'G-3 Multipliers'!$P$2:$Q$6,2,FALSE))),"")</f>
        <v/>
      </c>
      <c r="AN97" s="289" t="str">
        <f t="shared" si="20"/>
        <v/>
      </c>
      <c r="AO97" s="52"/>
      <c r="AP97" s="51"/>
      <c r="AQ97" s="104"/>
      <c r="AT97" s="35" t="str">
        <f t="shared" si="21"/>
        <v>No</v>
      </c>
      <c r="AU97" s="35" t="str">
        <f>IF(E97="","",IF(ISNA(VLOOKUP($E97,'A-1 On-Site Habitat Baseline'!$D$1:$AV$258,4,FALSE)),"",(VLOOKUP($E97,'A-1 On-Site Habitat Baseline'!$D$1:$AV$258,4,FALSE))))</f>
        <v/>
      </c>
    </row>
    <row r="98" spans="1:47" ht="14">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05" t="str">
        <f>'A-1 On-Site Habitat Baseline'!AL97</f>
        <v/>
      </c>
      <c r="F98" s="295" t="str">
        <f>IF(E98="","",IF(ISNA(VLOOKUP($E98,'A-1 On-Site Habitat Baseline'!$D$1:$AV$258,45,FALSE)),"",(VLOOKUP($E98,'A-1 On-Site Habitat Baseline'!$D$1:$AV$258,45,FALSE))))</f>
        <v/>
      </c>
      <c r="G98" s="295" t="str">
        <f>IF(E98="","",IF(ISNA(VLOOKUP($E98,'A-1 On-Site Habitat Baseline'!$D$1:$O$258,5,FALSE)),"",(VLOOKUP($E98,'A-1 On-Site Habitat Baseline'!$D$1:$O$258,5,FALSE))))</f>
        <v/>
      </c>
      <c r="H98" s="295" t="str">
        <f>IF(E98="","",IF(ISNA(VLOOKUP($E98,'A-1 On-Site Habitat Baseline'!$D$1:$O$258,6,FALSE)),"",(VLOOKUP($E98,'A-1 On-Site Habitat Baseline'!$D$1:$O$258,6,FALSE))))</f>
        <v/>
      </c>
      <c r="I98" s="295" t="str">
        <f>IF(E98="","",IF(ISNA(VLOOKUP($E98,'A-1 On-Site Habitat Baseline'!$D$1:$O$258,7,FALSE)),"",(VLOOKUP($E98,'A-1 On-Site Habitat Baseline'!$D$1:$O$258,7,FALSE))))</f>
        <v/>
      </c>
      <c r="J98" s="295" t="str">
        <f>IF(E98="","",IF(ISNA(VLOOKUP($E98,'A-1 On-Site Habitat Baseline'!$D$1:$O$258,8,FALSE)),"",(VLOOKUP($E98,'A-1 On-Site Habitat Baseline'!$D$1:$O$258,8,FALSE))))</f>
        <v/>
      </c>
      <c r="K98" s="295" t="str">
        <f>IF(E98="","",IF(ISNA(VLOOKUP($E98,'A-1 On-Site Habitat Baseline'!$D$1:$O$258,9,FALSE)),"",(VLOOKUP($E98,'A-1 On-Site Habitat Baseline'!$D$1:$O$258,9,FALSE))))</f>
        <v/>
      </c>
      <c r="L98" s="295" t="str">
        <f>IF(E98="","",IF(ISNA(VLOOKUP($E98,'A-1 On-Site Habitat Baseline'!$D$1:$O$258,11,FALSE)),"",(VLOOKUP($E98,'A-1 On-Site Habitat Baseline'!$D$1:$O$258,11,FALSE))))</f>
        <v/>
      </c>
      <c r="M98" s="295" t="str">
        <f>IF(E98="","",IF(ISNA(VLOOKUP($E98,'A-1 On-Site Habitat Baseline'!$D$1:$O$258,12,FALSE)),"",(VLOOKUP($E98,'A-1 On-Site Habitat Baseline'!$D$1:$O$258,12,FALSE))))</f>
        <v/>
      </c>
      <c r="N98" s="306" t="str">
        <f>IF(E98="","",IF(ISNA(VLOOKUP($E98,'A-1 On-Site Habitat Baseline'!$D$1:$X$258,14,FALSE)),"",(VLOOKUP($E98,'A-1 On-Site Habitat Baseline'!$D$1:$X$258,14,FALSE))))</f>
        <v/>
      </c>
      <c r="O98" s="299" t="str">
        <f>IF(E98="","",IF(ISNA(VLOOKUP($E98,'A-1 On-Site Habitat Baseline'!$D$1:$X$258,16,FALSE)),"",(VLOOKUP($E98,'A-1 On-Site Habitat Baseline'!$D$1:$X$258,13,FALSE))))</f>
        <v/>
      </c>
      <c r="P98" s="154" t="str">
        <f>IFERROR(INDEX('G-1 All Habitats'!$AG$49:$AG$63,MATCH(Q98,'G-1 All Habitats'!$AF$27:$AF$41,0)),"")</f>
        <v/>
      </c>
      <c r="Q98" s="155" t="str">
        <f t="shared" si="13"/>
        <v/>
      </c>
      <c r="R98" s="155"/>
      <c r="S98" s="237" t="str">
        <f>IFERROR(INDEX('G-1 All Habitats'!$B$3:$B$135,MATCH(R98,'G-1 All Habitats'!$A$3:$A$135,0)),"")</f>
        <v/>
      </c>
      <c r="T98" s="275" t="str">
        <f t="shared" si="14"/>
        <v/>
      </c>
      <c r="U98" s="276" t="str">
        <f t="shared" si="15"/>
        <v/>
      </c>
      <c r="V98" s="311" t="str">
        <f t="shared" si="11"/>
        <v/>
      </c>
      <c r="W98" s="295" t="str">
        <f>IF(S98="","",VLOOKUP(S98,'G-1 All Habitats'!$B$2:$M$135,10,FALSE))</f>
        <v/>
      </c>
      <c r="X98" s="295" t="str">
        <f>IFERROR(VLOOKUP(W98,'G-1 All Habitats'!$V$3:$W$7,2,FALSE),"")</f>
        <v/>
      </c>
      <c r="Y98" s="57"/>
      <c r="Z98" s="299" t="str">
        <f>IFERROR(INDEX('G-8 Condition Look up'!$A$3:$H$135,MATCH(S98,'G-8 Condition Look up'!$A$3:$A$135,0),MATCH(Y98,'G-8 Condition Look up'!$A$3:$H$3,0)),"")</f>
        <v/>
      </c>
      <c r="AA98" s="52"/>
      <c r="AB98" s="295" t="str">
        <f>IF(AA98="","",IF(VLOOKUP(AA98,'G-3 Multipliers'!$L$3:$N$6,2,FALSE)=0,"Spatial Data Missing ⚠",VLOOKUP(AA98,'G-3 Multipliers'!$L$3:$N$6,2,FALSE)))</f>
        <v/>
      </c>
      <c r="AC98" s="299" t="str">
        <f>IF(AA98="","",IF(VLOOKUP(AA98,'G-3 Multipliers'!$L$3:$N$6,3,FALSE)=0,"Spatial Data Missing ⚠",VLOOKUP(AA98,'G-3 Multipliers'!$L$3:$N$6,3,FALSE)))</f>
        <v/>
      </c>
      <c r="AD98" s="313" t="str">
        <f t="shared" si="12"/>
        <v/>
      </c>
      <c r="AE98" s="58"/>
      <c r="AF98" s="58"/>
      <c r="AG98" s="283" t="str">
        <f t="shared" si="16"/>
        <v/>
      </c>
      <c r="AH98" s="296" t="str">
        <f t="shared" si="17"/>
        <v/>
      </c>
      <c r="AI98" s="297" t="str">
        <f>IF(AH98="Check Data ⚠","Check Data ⚠",IFERROR(VLOOKUP(AH98,'G-4 Temporal multipliers'!$A$4:$C$36,3,FALSE),""))</f>
        <v/>
      </c>
      <c r="AJ98" s="275" t="str">
        <f>IF(S98="","",VLOOKUP(S98,'G-3 Multipliers'!$A$2:$E$134,4,FALSE))</f>
        <v/>
      </c>
      <c r="AK98" s="283" t="str">
        <f t="shared" si="18"/>
        <v/>
      </c>
      <c r="AL98" s="283" t="str">
        <f t="shared" si="19"/>
        <v/>
      </c>
      <c r="AM98" s="314" t="str">
        <f>IFERROR(IF(F98="","",IF(AH98="Check Data ⚠","Check Data ⚠",VLOOKUP(AL98,'G-3 Multipliers'!$P$2:$Q$6,2,FALSE))),"")</f>
        <v/>
      </c>
      <c r="AN98" s="289" t="str">
        <f t="shared" si="20"/>
        <v/>
      </c>
      <c r="AO98" s="52"/>
      <c r="AP98" s="51"/>
      <c r="AQ98" s="104"/>
      <c r="AT98" s="35" t="str">
        <f t="shared" si="21"/>
        <v>No</v>
      </c>
      <c r="AU98" s="35" t="str">
        <f>IF(E98="","",IF(ISNA(VLOOKUP($E98,'A-1 On-Site Habitat Baseline'!$D$1:$AV$258,4,FALSE)),"",(VLOOKUP($E98,'A-1 On-Site Habitat Baseline'!$D$1:$AV$258,4,FALSE))))</f>
        <v/>
      </c>
    </row>
    <row r="99" spans="1:47" ht="14">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05" t="str">
        <f>'A-1 On-Site Habitat Baseline'!AL98</f>
        <v/>
      </c>
      <c r="F99" s="295" t="str">
        <f>IF(E99="","",IF(ISNA(VLOOKUP($E99,'A-1 On-Site Habitat Baseline'!$D$1:$AV$258,45,FALSE)),"",(VLOOKUP($E99,'A-1 On-Site Habitat Baseline'!$D$1:$AV$258,45,FALSE))))</f>
        <v/>
      </c>
      <c r="G99" s="295" t="str">
        <f>IF(E99="","",IF(ISNA(VLOOKUP($E99,'A-1 On-Site Habitat Baseline'!$D$1:$O$258,5,FALSE)),"",(VLOOKUP($E99,'A-1 On-Site Habitat Baseline'!$D$1:$O$258,5,FALSE))))</f>
        <v/>
      </c>
      <c r="H99" s="295" t="str">
        <f>IF(E99="","",IF(ISNA(VLOOKUP($E99,'A-1 On-Site Habitat Baseline'!$D$1:$O$258,6,FALSE)),"",(VLOOKUP($E99,'A-1 On-Site Habitat Baseline'!$D$1:$O$258,6,FALSE))))</f>
        <v/>
      </c>
      <c r="I99" s="295" t="str">
        <f>IF(E99="","",IF(ISNA(VLOOKUP($E99,'A-1 On-Site Habitat Baseline'!$D$1:$O$258,7,FALSE)),"",(VLOOKUP($E99,'A-1 On-Site Habitat Baseline'!$D$1:$O$258,7,FALSE))))</f>
        <v/>
      </c>
      <c r="J99" s="295" t="str">
        <f>IF(E99="","",IF(ISNA(VLOOKUP($E99,'A-1 On-Site Habitat Baseline'!$D$1:$O$258,8,FALSE)),"",(VLOOKUP($E99,'A-1 On-Site Habitat Baseline'!$D$1:$O$258,8,FALSE))))</f>
        <v/>
      </c>
      <c r="K99" s="295" t="str">
        <f>IF(E99="","",IF(ISNA(VLOOKUP($E99,'A-1 On-Site Habitat Baseline'!$D$1:$O$258,9,FALSE)),"",(VLOOKUP($E99,'A-1 On-Site Habitat Baseline'!$D$1:$O$258,9,FALSE))))</f>
        <v/>
      </c>
      <c r="L99" s="295" t="str">
        <f>IF(E99="","",IF(ISNA(VLOOKUP($E99,'A-1 On-Site Habitat Baseline'!$D$1:$O$258,11,FALSE)),"",(VLOOKUP($E99,'A-1 On-Site Habitat Baseline'!$D$1:$O$258,11,FALSE))))</f>
        <v/>
      </c>
      <c r="M99" s="295" t="str">
        <f>IF(E99="","",IF(ISNA(VLOOKUP($E99,'A-1 On-Site Habitat Baseline'!$D$1:$O$258,12,FALSE)),"",(VLOOKUP($E99,'A-1 On-Site Habitat Baseline'!$D$1:$O$258,12,FALSE))))</f>
        <v/>
      </c>
      <c r="N99" s="306" t="str">
        <f>IF(E99="","",IF(ISNA(VLOOKUP($E99,'A-1 On-Site Habitat Baseline'!$D$1:$X$258,14,FALSE)),"",(VLOOKUP($E99,'A-1 On-Site Habitat Baseline'!$D$1:$X$258,14,FALSE))))</f>
        <v/>
      </c>
      <c r="O99" s="299" t="str">
        <f>IF(E99="","",IF(ISNA(VLOOKUP($E99,'A-1 On-Site Habitat Baseline'!$D$1:$X$258,16,FALSE)),"",(VLOOKUP($E99,'A-1 On-Site Habitat Baseline'!$D$1:$X$258,13,FALSE))))</f>
        <v/>
      </c>
      <c r="P99" s="154" t="str">
        <f>IFERROR(INDEX('G-1 All Habitats'!$AG$49:$AG$63,MATCH(Q99,'G-1 All Habitats'!$AF$27:$AF$41,0)),"")</f>
        <v/>
      </c>
      <c r="Q99" s="155" t="str">
        <f t="shared" si="13"/>
        <v/>
      </c>
      <c r="R99" s="155"/>
      <c r="S99" s="237" t="str">
        <f>IFERROR(INDEX('G-1 All Habitats'!$B$3:$B$135,MATCH(R99,'G-1 All Habitats'!$A$3:$A$135,0)),"")</f>
        <v/>
      </c>
      <c r="T99" s="275" t="str">
        <f t="shared" si="14"/>
        <v/>
      </c>
      <c r="U99" s="276" t="str">
        <f t="shared" si="15"/>
        <v/>
      </c>
      <c r="V99" s="311" t="str">
        <f t="shared" si="11"/>
        <v/>
      </c>
      <c r="W99" s="295" t="str">
        <f>IF(S99="","",VLOOKUP(S99,'G-1 All Habitats'!$B$2:$M$135,10,FALSE))</f>
        <v/>
      </c>
      <c r="X99" s="295" t="str">
        <f>IFERROR(VLOOKUP(W99,'G-1 All Habitats'!$V$3:$W$7,2,FALSE),"")</f>
        <v/>
      </c>
      <c r="Y99" s="57"/>
      <c r="Z99" s="299" t="str">
        <f>IFERROR(INDEX('G-8 Condition Look up'!$A$3:$H$135,MATCH(S99,'G-8 Condition Look up'!$A$3:$A$135,0),MATCH(Y99,'G-8 Condition Look up'!$A$3:$H$3,0)),"")</f>
        <v/>
      </c>
      <c r="AA99" s="52"/>
      <c r="AB99" s="295" t="str">
        <f>IF(AA99="","",IF(VLOOKUP(AA99,'G-3 Multipliers'!$L$3:$N$6,2,FALSE)=0,"Spatial Data Missing ⚠",VLOOKUP(AA99,'G-3 Multipliers'!$L$3:$N$6,2,FALSE)))</f>
        <v/>
      </c>
      <c r="AC99" s="299" t="str">
        <f>IF(AA99="","",IF(VLOOKUP(AA99,'G-3 Multipliers'!$L$3:$N$6,3,FALSE)=0,"Spatial Data Missing ⚠",VLOOKUP(AA99,'G-3 Multipliers'!$L$3:$N$6,3,FALSE)))</f>
        <v/>
      </c>
      <c r="AD99" s="313" t="str">
        <f t="shared" si="12"/>
        <v/>
      </c>
      <c r="AE99" s="58"/>
      <c r="AF99" s="58"/>
      <c r="AG99" s="283" t="str">
        <f t="shared" si="16"/>
        <v/>
      </c>
      <c r="AH99" s="296" t="str">
        <f t="shared" si="17"/>
        <v/>
      </c>
      <c r="AI99" s="297" t="str">
        <f>IF(AH99="Check Data ⚠","Check Data ⚠",IFERROR(VLOOKUP(AH99,'G-4 Temporal multipliers'!$A$4:$C$36,3,FALSE),""))</f>
        <v/>
      </c>
      <c r="AJ99" s="275" t="str">
        <f>IF(S99="","",VLOOKUP(S99,'G-3 Multipliers'!$A$2:$E$134,4,FALSE))</f>
        <v/>
      </c>
      <c r="AK99" s="283" t="str">
        <f t="shared" si="18"/>
        <v/>
      </c>
      <c r="AL99" s="283" t="str">
        <f t="shared" si="19"/>
        <v/>
      </c>
      <c r="AM99" s="314" t="str">
        <f>IFERROR(IF(F99="","",IF(AH99="Check Data ⚠","Check Data ⚠",VLOOKUP(AL99,'G-3 Multipliers'!$P$2:$Q$6,2,FALSE))),"")</f>
        <v/>
      </c>
      <c r="AN99" s="289" t="str">
        <f t="shared" si="20"/>
        <v/>
      </c>
      <c r="AO99" s="52"/>
      <c r="AP99" s="51"/>
      <c r="AQ99" s="104"/>
      <c r="AT99" s="35" t="str">
        <f t="shared" si="21"/>
        <v>No</v>
      </c>
      <c r="AU99" s="35" t="str">
        <f>IF(E99="","",IF(ISNA(VLOOKUP($E99,'A-1 On-Site Habitat Baseline'!$D$1:$AV$258,4,FALSE)),"",(VLOOKUP($E99,'A-1 On-Site Habitat Baseline'!$D$1:$AV$258,4,FALSE))))</f>
        <v/>
      </c>
    </row>
    <row r="100" spans="1:47" ht="14">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05" t="str">
        <f>'A-1 On-Site Habitat Baseline'!AL99</f>
        <v/>
      </c>
      <c r="F100" s="295" t="str">
        <f>IF(E100="","",IF(ISNA(VLOOKUP($E100,'A-1 On-Site Habitat Baseline'!$D$1:$AV$258,45,FALSE)),"",(VLOOKUP($E100,'A-1 On-Site Habitat Baseline'!$D$1:$AV$258,45,FALSE))))</f>
        <v/>
      </c>
      <c r="G100" s="295" t="str">
        <f>IF(E100="","",IF(ISNA(VLOOKUP($E100,'A-1 On-Site Habitat Baseline'!$D$1:$O$258,5,FALSE)),"",(VLOOKUP($E100,'A-1 On-Site Habitat Baseline'!$D$1:$O$258,5,FALSE))))</f>
        <v/>
      </c>
      <c r="H100" s="295" t="str">
        <f>IF(E100="","",IF(ISNA(VLOOKUP($E100,'A-1 On-Site Habitat Baseline'!$D$1:$O$258,6,FALSE)),"",(VLOOKUP($E100,'A-1 On-Site Habitat Baseline'!$D$1:$O$258,6,FALSE))))</f>
        <v/>
      </c>
      <c r="I100" s="295" t="str">
        <f>IF(E100="","",IF(ISNA(VLOOKUP($E100,'A-1 On-Site Habitat Baseline'!$D$1:$O$258,7,FALSE)),"",(VLOOKUP($E100,'A-1 On-Site Habitat Baseline'!$D$1:$O$258,7,FALSE))))</f>
        <v/>
      </c>
      <c r="J100" s="295" t="str">
        <f>IF(E100="","",IF(ISNA(VLOOKUP($E100,'A-1 On-Site Habitat Baseline'!$D$1:$O$258,8,FALSE)),"",(VLOOKUP($E100,'A-1 On-Site Habitat Baseline'!$D$1:$O$258,8,FALSE))))</f>
        <v/>
      </c>
      <c r="K100" s="295" t="str">
        <f>IF(E100="","",IF(ISNA(VLOOKUP($E100,'A-1 On-Site Habitat Baseline'!$D$1:$O$258,9,FALSE)),"",(VLOOKUP($E100,'A-1 On-Site Habitat Baseline'!$D$1:$O$258,9,FALSE))))</f>
        <v/>
      </c>
      <c r="L100" s="295" t="str">
        <f>IF(E100="","",IF(ISNA(VLOOKUP($E100,'A-1 On-Site Habitat Baseline'!$D$1:$O$258,11,FALSE)),"",(VLOOKUP($E100,'A-1 On-Site Habitat Baseline'!$D$1:$O$258,11,FALSE))))</f>
        <v/>
      </c>
      <c r="M100" s="295" t="str">
        <f>IF(E100="","",IF(ISNA(VLOOKUP($E100,'A-1 On-Site Habitat Baseline'!$D$1:$O$258,12,FALSE)),"",(VLOOKUP($E100,'A-1 On-Site Habitat Baseline'!$D$1:$O$258,12,FALSE))))</f>
        <v/>
      </c>
      <c r="N100" s="306" t="str">
        <f>IF(E100="","",IF(ISNA(VLOOKUP($E100,'A-1 On-Site Habitat Baseline'!$D$1:$X$258,14,FALSE)),"",(VLOOKUP($E100,'A-1 On-Site Habitat Baseline'!$D$1:$X$258,14,FALSE))))</f>
        <v/>
      </c>
      <c r="O100" s="299" t="str">
        <f>IF(E100="","",IF(ISNA(VLOOKUP($E100,'A-1 On-Site Habitat Baseline'!$D$1:$X$258,16,FALSE)),"",(VLOOKUP($E100,'A-1 On-Site Habitat Baseline'!$D$1:$X$258,13,FALSE))))</f>
        <v/>
      </c>
      <c r="P100" s="154" t="str">
        <f>IFERROR(INDEX('G-1 All Habitats'!$AG$49:$AG$63,MATCH(Q100,'G-1 All Habitats'!$AF$27:$AF$41,0)),"")</f>
        <v/>
      </c>
      <c r="Q100" s="155" t="str">
        <f t="shared" si="13"/>
        <v/>
      </c>
      <c r="R100" s="155"/>
      <c r="S100" s="237" t="str">
        <f>IFERROR(INDEX('G-1 All Habitats'!$B$3:$B$135,MATCH(R100,'G-1 All Habitats'!$A$3:$A$135,0)),"")</f>
        <v/>
      </c>
      <c r="T100" s="275" t="str">
        <f t="shared" si="14"/>
        <v/>
      </c>
      <c r="U100" s="276" t="str">
        <f t="shared" si="15"/>
        <v/>
      </c>
      <c r="V100" s="311" t="str">
        <f t="shared" si="11"/>
        <v/>
      </c>
      <c r="W100" s="295" t="str">
        <f>IF(S100="","",VLOOKUP(S100,'G-1 All Habitats'!$B$2:$M$135,10,FALSE))</f>
        <v/>
      </c>
      <c r="X100" s="295" t="str">
        <f>IFERROR(VLOOKUP(W100,'G-1 All Habitats'!$V$3:$W$7,2,FALSE),"")</f>
        <v/>
      </c>
      <c r="Y100" s="57"/>
      <c r="Z100" s="299" t="str">
        <f>IFERROR(INDEX('G-8 Condition Look up'!$A$3:$H$135,MATCH(S100,'G-8 Condition Look up'!$A$3:$A$135,0),MATCH(Y100,'G-8 Condition Look up'!$A$3:$H$3,0)),"")</f>
        <v/>
      </c>
      <c r="AA100" s="52"/>
      <c r="AB100" s="295" t="str">
        <f>IF(AA100="","",IF(VLOOKUP(AA100,'G-3 Multipliers'!$L$3:$N$6,2,FALSE)=0,"Spatial Data Missing ⚠",VLOOKUP(AA100,'G-3 Multipliers'!$L$3:$N$6,2,FALSE)))</f>
        <v/>
      </c>
      <c r="AC100" s="299" t="str">
        <f>IF(AA100="","",IF(VLOOKUP(AA100,'G-3 Multipliers'!$L$3:$N$6,3,FALSE)=0,"Spatial Data Missing ⚠",VLOOKUP(AA100,'G-3 Multipliers'!$L$3:$N$6,3,FALSE)))</f>
        <v/>
      </c>
      <c r="AD100" s="313" t="str">
        <f t="shared" si="12"/>
        <v/>
      </c>
      <c r="AE100" s="58"/>
      <c r="AF100" s="58"/>
      <c r="AG100" s="283" t="str">
        <f t="shared" si="16"/>
        <v/>
      </c>
      <c r="AH100" s="296" t="str">
        <f t="shared" si="17"/>
        <v/>
      </c>
      <c r="AI100" s="297" t="str">
        <f>IF(AH100="Check Data ⚠","Check Data ⚠",IFERROR(VLOOKUP(AH100,'G-4 Temporal multipliers'!$A$4:$C$36,3,FALSE),""))</f>
        <v/>
      </c>
      <c r="AJ100" s="275" t="str">
        <f>IF(S100="","",VLOOKUP(S100,'G-3 Multipliers'!$A$2:$E$134,4,FALSE))</f>
        <v/>
      </c>
      <c r="AK100" s="283" t="str">
        <f t="shared" si="18"/>
        <v/>
      </c>
      <c r="AL100" s="283" t="str">
        <f t="shared" si="19"/>
        <v/>
      </c>
      <c r="AM100" s="314" t="str">
        <f>IFERROR(IF(F100="","",IF(AH100="Check Data ⚠","Check Data ⚠",VLOOKUP(AL100,'G-3 Multipliers'!$P$2:$Q$6,2,FALSE))),"")</f>
        <v/>
      </c>
      <c r="AN100" s="289" t="str">
        <f t="shared" si="20"/>
        <v/>
      </c>
      <c r="AO100" s="52"/>
      <c r="AP100" s="51"/>
      <c r="AQ100" s="104"/>
      <c r="AT100" s="35" t="str">
        <f t="shared" si="21"/>
        <v>No</v>
      </c>
      <c r="AU100" s="35" t="str">
        <f>IF(E100="","",IF(ISNA(VLOOKUP($E100,'A-1 On-Site Habitat Baseline'!$D$1:$AV$258,4,FALSE)),"",(VLOOKUP($E100,'A-1 On-Site Habitat Baseline'!$D$1:$AV$258,4,FALSE))))</f>
        <v/>
      </c>
    </row>
    <row r="101" spans="1:47" ht="14">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05" t="str">
        <f>'A-1 On-Site Habitat Baseline'!AL100</f>
        <v/>
      </c>
      <c r="F101" s="295" t="str">
        <f>IF(E101="","",IF(ISNA(VLOOKUP($E101,'A-1 On-Site Habitat Baseline'!$D$1:$AV$258,45,FALSE)),"",(VLOOKUP($E101,'A-1 On-Site Habitat Baseline'!$D$1:$AV$258,45,FALSE))))</f>
        <v/>
      </c>
      <c r="G101" s="295" t="str">
        <f>IF(E101="","",IF(ISNA(VLOOKUP($E101,'A-1 On-Site Habitat Baseline'!$D$1:$O$258,5,FALSE)),"",(VLOOKUP($E101,'A-1 On-Site Habitat Baseline'!$D$1:$O$258,5,FALSE))))</f>
        <v/>
      </c>
      <c r="H101" s="295" t="str">
        <f>IF(E101="","",IF(ISNA(VLOOKUP($E101,'A-1 On-Site Habitat Baseline'!$D$1:$O$258,6,FALSE)),"",(VLOOKUP($E101,'A-1 On-Site Habitat Baseline'!$D$1:$O$258,6,FALSE))))</f>
        <v/>
      </c>
      <c r="I101" s="295" t="str">
        <f>IF(E101="","",IF(ISNA(VLOOKUP($E101,'A-1 On-Site Habitat Baseline'!$D$1:$O$258,7,FALSE)),"",(VLOOKUP($E101,'A-1 On-Site Habitat Baseline'!$D$1:$O$258,7,FALSE))))</f>
        <v/>
      </c>
      <c r="J101" s="295" t="str">
        <f>IF(E101="","",IF(ISNA(VLOOKUP($E101,'A-1 On-Site Habitat Baseline'!$D$1:$O$258,8,FALSE)),"",(VLOOKUP($E101,'A-1 On-Site Habitat Baseline'!$D$1:$O$258,8,FALSE))))</f>
        <v/>
      </c>
      <c r="K101" s="295" t="str">
        <f>IF(E101="","",IF(ISNA(VLOOKUP($E101,'A-1 On-Site Habitat Baseline'!$D$1:$O$258,9,FALSE)),"",(VLOOKUP($E101,'A-1 On-Site Habitat Baseline'!$D$1:$O$258,9,FALSE))))</f>
        <v/>
      </c>
      <c r="L101" s="295" t="str">
        <f>IF(E101="","",IF(ISNA(VLOOKUP($E101,'A-1 On-Site Habitat Baseline'!$D$1:$O$258,11,FALSE)),"",(VLOOKUP($E101,'A-1 On-Site Habitat Baseline'!$D$1:$O$258,11,FALSE))))</f>
        <v/>
      </c>
      <c r="M101" s="295" t="str">
        <f>IF(E101="","",IF(ISNA(VLOOKUP($E101,'A-1 On-Site Habitat Baseline'!$D$1:$O$258,12,FALSE)),"",(VLOOKUP($E101,'A-1 On-Site Habitat Baseline'!$D$1:$O$258,12,FALSE))))</f>
        <v/>
      </c>
      <c r="N101" s="306" t="str">
        <f>IF(E101="","",IF(ISNA(VLOOKUP($E101,'A-1 On-Site Habitat Baseline'!$D$1:$X$258,14,FALSE)),"",(VLOOKUP($E101,'A-1 On-Site Habitat Baseline'!$D$1:$X$258,14,FALSE))))</f>
        <v/>
      </c>
      <c r="O101" s="299" t="str">
        <f>IF(E101="","",IF(ISNA(VLOOKUP($E101,'A-1 On-Site Habitat Baseline'!$D$1:$X$258,16,FALSE)),"",(VLOOKUP($E101,'A-1 On-Site Habitat Baseline'!$D$1:$X$258,13,FALSE))))</f>
        <v/>
      </c>
      <c r="P101" s="154" t="str">
        <f>IFERROR(INDEX('G-1 All Habitats'!$AG$49:$AG$63,MATCH(Q101,'G-1 All Habitats'!$AF$27:$AF$41,0)),"")</f>
        <v/>
      </c>
      <c r="Q101" s="155" t="str">
        <f t="shared" si="13"/>
        <v/>
      </c>
      <c r="R101" s="155"/>
      <c r="S101" s="237" t="str">
        <f>IFERROR(INDEX('G-1 All Habitats'!$B$3:$B$135,MATCH(R101,'G-1 All Habitats'!$A$3:$A$135,0)),"")</f>
        <v/>
      </c>
      <c r="T101" s="275" t="str">
        <f t="shared" si="14"/>
        <v/>
      </c>
      <c r="U101" s="276" t="str">
        <f t="shared" si="15"/>
        <v/>
      </c>
      <c r="V101" s="311" t="str">
        <f t="shared" si="11"/>
        <v/>
      </c>
      <c r="W101" s="295" t="str">
        <f>IF(S101="","",VLOOKUP(S101,'G-1 All Habitats'!$B$2:$M$135,10,FALSE))</f>
        <v/>
      </c>
      <c r="X101" s="295" t="str">
        <f>IFERROR(VLOOKUP(W101,'G-1 All Habitats'!$V$3:$W$7,2,FALSE),"")</f>
        <v/>
      </c>
      <c r="Y101" s="57"/>
      <c r="Z101" s="299" t="str">
        <f>IFERROR(INDEX('G-8 Condition Look up'!$A$3:$H$135,MATCH(S101,'G-8 Condition Look up'!$A$3:$A$135,0),MATCH(Y101,'G-8 Condition Look up'!$A$3:$H$3,0)),"")</f>
        <v/>
      </c>
      <c r="AA101" s="52"/>
      <c r="AB101" s="295" t="str">
        <f>IF(AA101="","",IF(VLOOKUP(AA101,'G-3 Multipliers'!$L$3:$N$6,2,FALSE)=0,"Spatial Data Missing ⚠",VLOOKUP(AA101,'G-3 Multipliers'!$L$3:$N$6,2,FALSE)))</f>
        <v/>
      </c>
      <c r="AC101" s="299" t="str">
        <f>IF(AA101="","",IF(VLOOKUP(AA101,'G-3 Multipliers'!$L$3:$N$6,3,FALSE)=0,"Spatial Data Missing ⚠",VLOOKUP(AA101,'G-3 Multipliers'!$L$3:$N$6,3,FALSE)))</f>
        <v/>
      </c>
      <c r="AD101" s="313" t="str">
        <f t="shared" si="12"/>
        <v/>
      </c>
      <c r="AE101" s="58"/>
      <c r="AF101" s="58"/>
      <c r="AG101" s="283" t="str">
        <f t="shared" si="16"/>
        <v/>
      </c>
      <c r="AH101" s="296" t="str">
        <f t="shared" si="17"/>
        <v/>
      </c>
      <c r="AI101" s="297" t="str">
        <f>IF(AH101="Check Data ⚠","Check Data ⚠",IFERROR(VLOOKUP(AH101,'G-4 Temporal multipliers'!$A$4:$C$36,3,FALSE),""))</f>
        <v/>
      </c>
      <c r="AJ101" s="275" t="str">
        <f>IF(S101="","",VLOOKUP(S101,'G-3 Multipliers'!$A$2:$E$134,4,FALSE))</f>
        <v/>
      </c>
      <c r="AK101" s="283" t="str">
        <f t="shared" si="18"/>
        <v/>
      </c>
      <c r="AL101" s="283" t="str">
        <f t="shared" si="19"/>
        <v/>
      </c>
      <c r="AM101" s="314" t="str">
        <f>IFERROR(IF(F101="","",IF(AH101="Check Data ⚠","Check Data ⚠",VLOOKUP(AL101,'G-3 Multipliers'!$P$2:$Q$6,2,FALSE))),"")</f>
        <v/>
      </c>
      <c r="AN101" s="289" t="str">
        <f t="shared" si="20"/>
        <v/>
      </c>
      <c r="AO101" s="52"/>
      <c r="AP101" s="51"/>
      <c r="AQ101" s="104"/>
      <c r="AT101" s="35" t="str">
        <f t="shared" si="21"/>
        <v>No</v>
      </c>
      <c r="AU101" s="35" t="str">
        <f>IF(E101="","",IF(ISNA(VLOOKUP($E101,'A-1 On-Site Habitat Baseline'!$D$1:$AV$258,4,FALSE)),"",(VLOOKUP($E101,'A-1 On-Site Habitat Baseline'!$D$1:$AV$258,4,FALSE))))</f>
        <v/>
      </c>
    </row>
    <row r="102" spans="1:47" ht="14">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05" t="str">
        <f>'A-1 On-Site Habitat Baseline'!AL101</f>
        <v/>
      </c>
      <c r="F102" s="295" t="str">
        <f>IF(E102="","",IF(ISNA(VLOOKUP($E102,'A-1 On-Site Habitat Baseline'!$D$1:$AV$258,45,FALSE)),"",(VLOOKUP($E102,'A-1 On-Site Habitat Baseline'!$D$1:$AV$258,45,FALSE))))</f>
        <v/>
      </c>
      <c r="G102" s="295" t="str">
        <f>IF(E102="","",IF(ISNA(VLOOKUP($E102,'A-1 On-Site Habitat Baseline'!$D$1:$O$258,5,FALSE)),"",(VLOOKUP($E102,'A-1 On-Site Habitat Baseline'!$D$1:$O$258,5,FALSE))))</f>
        <v/>
      </c>
      <c r="H102" s="295" t="str">
        <f>IF(E102="","",IF(ISNA(VLOOKUP($E102,'A-1 On-Site Habitat Baseline'!$D$1:$O$258,6,FALSE)),"",(VLOOKUP($E102,'A-1 On-Site Habitat Baseline'!$D$1:$O$258,6,FALSE))))</f>
        <v/>
      </c>
      <c r="I102" s="295" t="str">
        <f>IF(E102="","",IF(ISNA(VLOOKUP($E102,'A-1 On-Site Habitat Baseline'!$D$1:$O$258,7,FALSE)),"",(VLOOKUP($E102,'A-1 On-Site Habitat Baseline'!$D$1:$O$258,7,FALSE))))</f>
        <v/>
      </c>
      <c r="J102" s="295" t="str">
        <f>IF(E102="","",IF(ISNA(VLOOKUP($E102,'A-1 On-Site Habitat Baseline'!$D$1:$O$258,8,FALSE)),"",(VLOOKUP($E102,'A-1 On-Site Habitat Baseline'!$D$1:$O$258,8,FALSE))))</f>
        <v/>
      </c>
      <c r="K102" s="295" t="str">
        <f>IF(E102="","",IF(ISNA(VLOOKUP($E102,'A-1 On-Site Habitat Baseline'!$D$1:$O$258,9,FALSE)),"",(VLOOKUP($E102,'A-1 On-Site Habitat Baseline'!$D$1:$O$258,9,FALSE))))</f>
        <v/>
      </c>
      <c r="L102" s="295" t="str">
        <f>IF(E102="","",IF(ISNA(VLOOKUP($E102,'A-1 On-Site Habitat Baseline'!$D$1:$O$258,11,FALSE)),"",(VLOOKUP($E102,'A-1 On-Site Habitat Baseline'!$D$1:$O$258,11,FALSE))))</f>
        <v/>
      </c>
      <c r="M102" s="295" t="str">
        <f>IF(E102="","",IF(ISNA(VLOOKUP($E102,'A-1 On-Site Habitat Baseline'!$D$1:$O$258,12,FALSE)),"",(VLOOKUP($E102,'A-1 On-Site Habitat Baseline'!$D$1:$O$258,12,FALSE))))</f>
        <v/>
      </c>
      <c r="N102" s="306" t="str">
        <f>IF(E102="","",IF(ISNA(VLOOKUP($E102,'A-1 On-Site Habitat Baseline'!$D$1:$X$258,14,FALSE)),"",(VLOOKUP($E102,'A-1 On-Site Habitat Baseline'!$D$1:$X$258,14,FALSE))))</f>
        <v/>
      </c>
      <c r="O102" s="299" t="str">
        <f>IF(E102="","",IF(ISNA(VLOOKUP($E102,'A-1 On-Site Habitat Baseline'!$D$1:$X$258,16,FALSE)),"",(VLOOKUP($E102,'A-1 On-Site Habitat Baseline'!$D$1:$X$258,13,FALSE))))</f>
        <v/>
      </c>
      <c r="P102" s="154" t="str">
        <f>IFERROR(INDEX('G-1 All Habitats'!$AG$49:$AG$63,MATCH(Q102,'G-1 All Habitats'!$AF$27:$AF$41,0)),"")</f>
        <v/>
      </c>
      <c r="Q102" s="155" t="str">
        <f t="shared" si="13"/>
        <v/>
      </c>
      <c r="R102" s="155"/>
      <c r="S102" s="237" t="str">
        <f>IFERROR(INDEX('G-1 All Habitats'!$B$3:$B$135,MATCH(R102,'G-1 All Habitats'!$A$3:$A$135,0)),"")</f>
        <v/>
      </c>
      <c r="T102" s="275" t="str">
        <f t="shared" si="14"/>
        <v/>
      </c>
      <c r="U102" s="276" t="str">
        <f t="shared" si="15"/>
        <v/>
      </c>
      <c r="V102" s="311" t="str">
        <f t="shared" si="11"/>
        <v/>
      </c>
      <c r="W102" s="295" t="str">
        <f>IF(S102="","",VLOOKUP(S102,'G-1 All Habitats'!$B$2:$M$135,10,FALSE))</f>
        <v/>
      </c>
      <c r="X102" s="295" t="str">
        <f>IFERROR(VLOOKUP(W102,'G-1 All Habitats'!$V$3:$W$7,2,FALSE),"")</f>
        <v/>
      </c>
      <c r="Y102" s="57"/>
      <c r="Z102" s="299" t="str">
        <f>IFERROR(INDEX('G-8 Condition Look up'!$A$3:$H$135,MATCH(S102,'G-8 Condition Look up'!$A$3:$A$135,0),MATCH(Y102,'G-8 Condition Look up'!$A$3:$H$3,0)),"")</f>
        <v/>
      </c>
      <c r="AA102" s="52"/>
      <c r="AB102" s="295" t="str">
        <f>IF(AA102="","",IF(VLOOKUP(AA102,'G-3 Multipliers'!$L$3:$N$6,2,FALSE)=0,"Spatial Data Missing ⚠",VLOOKUP(AA102,'G-3 Multipliers'!$L$3:$N$6,2,FALSE)))</f>
        <v/>
      </c>
      <c r="AC102" s="299" t="str">
        <f>IF(AA102="","",IF(VLOOKUP(AA102,'G-3 Multipliers'!$L$3:$N$6,3,FALSE)=0,"Spatial Data Missing ⚠",VLOOKUP(AA102,'G-3 Multipliers'!$L$3:$N$6,3,FALSE)))</f>
        <v/>
      </c>
      <c r="AD102" s="313" t="str">
        <f t="shared" si="12"/>
        <v/>
      </c>
      <c r="AE102" s="58"/>
      <c r="AF102" s="58"/>
      <c r="AG102" s="283" t="str">
        <f t="shared" si="16"/>
        <v/>
      </c>
      <c r="AH102" s="296" t="str">
        <f t="shared" si="17"/>
        <v/>
      </c>
      <c r="AI102" s="297" t="str">
        <f>IF(AH102="Check Data ⚠","Check Data ⚠",IFERROR(VLOOKUP(AH102,'G-4 Temporal multipliers'!$A$4:$C$36,3,FALSE),""))</f>
        <v/>
      </c>
      <c r="AJ102" s="275" t="str">
        <f>IF(S102="","",VLOOKUP(S102,'G-3 Multipliers'!$A$2:$E$134,4,FALSE))</f>
        <v/>
      </c>
      <c r="AK102" s="283" t="str">
        <f t="shared" si="18"/>
        <v/>
      </c>
      <c r="AL102" s="283" t="str">
        <f t="shared" si="19"/>
        <v/>
      </c>
      <c r="AM102" s="314" t="str">
        <f>IFERROR(IF(F102="","",IF(AH102="Check Data ⚠","Check Data ⚠",VLOOKUP(AL102,'G-3 Multipliers'!$P$2:$Q$6,2,FALSE))),"")</f>
        <v/>
      </c>
      <c r="AN102" s="289" t="str">
        <f t="shared" si="20"/>
        <v/>
      </c>
      <c r="AO102" s="52"/>
      <c r="AP102" s="51"/>
      <c r="AQ102" s="104"/>
      <c r="AT102" s="35" t="str">
        <f t="shared" si="21"/>
        <v>No</v>
      </c>
      <c r="AU102" s="35" t="str">
        <f>IF(E102="","",IF(ISNA(VLOOKUP($E102,'A-1 On-Site Habitat Baseline'!$D$1:$AV$258,4,FALSE)),"",(VLOOKUP($E102,'A-1 On-Site Habitat Baseline'!$D$1:$AV$258,4,FALSE))))</f>
        <v/>
      </c>
    </row>
    <row r="103" spans="1:47" ht="14">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05" t="str">
        <f>'A-1 On-Site Habitat Baseline'!AL102</f>
        <v/>
      </c>
      <c r="F103" s="295" t="str">
        <f>IF(E103="","",IF(ISNA(VLOOKUP($E103,'A-1 On-Site Habitat Baseline'!$D$1:$AV$258,45,FALSE)),"",(VLOOKUP($E103,'A-1 On-Site Habitat Baseline'!$D$1:$AV$258,45,FALSE))))</f>
        <v/>
      </c>
      <c r="G103" s="295" t="str">
        <f>IF(E103="","",IF(ISNA(VLOOKUP($E103,'A-1 On-Site Habitat Baseline'!$D$1:$O$258,5,FALSE)),"",(VLOOKUP($E103,'A-1 On-Site Habitat Baseline'!$D$1:$O$258,5,FALSE))))</f>
        <v/>
      </c>
      <c r="H103" s="295" t="str">
        <f>IF(E103="","",IF(ISNA(VLOOKUP($E103,'A-1 On-Site Habitat Baseline'!$D$1:$O$258,6,FALSE)),"",(VLOOKUP($E103,'A-1 On-Site Habitat Baseline'!$D$1:$O$258,6,FALSE))))</f>
        <v/>
      </c>
      <c r="I103" s="295" t="str">
        <f>IF(E103="","",IF(ISNA(VLOOKUP($E103,'A-1 On-Site Habitat Baseline'!$D$1:$O$258,7,FALSE)),"",(VLOOKUP($E103,'A-1 On-Site Habitat Baseline'!$D$1:$O$258,7,FALSE))))</f>
        <v/>
      </c>
      <c r="J103" s="295" t="str">
        <f>IF(E103="","",IF(ISNA(VLOOKUP($E103,'A-1 On-Site Habitat Baseline'!$D$1:$O$258,8,FALSE)),"",(VLOOKUP($E103,'A-1 On-Site Habitat Baseline'!$D$1:$O$258,8,FALSE))))</f>
        <v/>
      </c>
      <c r="K103" s="295" t="str">
        <f>IF(E103="","",IF(ISNA(VLOOKUP($E103,'A-1 On-Site Habitat Baseline'!$D$1:$O$258,9,FALSE)),"",(VLOOKUP($E103,'A-1 On-Site Habitat Baseline'!$D$1:$O$258,9,FALSE))))</f>
        <v/>
      </c>
      <c r="L103" s="295" t="str">
        <f>IF(E103="","",IF(ISNA(VLOOKUP($E103,'A-1 On-Site Habitat Baseline'!$D$1:$O$258,11,FALSE)),"",(VLOOKUP($E103,'A-1 On-Site Habitat Baseline'!$D$1:$O$258,11,FALSE))))</f>
        <v/>
      </c>
      <c r="M103" s="295" t="str">
        <f>IF(E103="","",IF(ISNA(VLOOKUP($E103,'A-1 On-Site Habitat Baseline'!$D$1:$O$258,12,FALSE)),"",(VLOOKUP($E103,'A-1 On-Site Habitat Baseline'!$D$1:$O$258,12,FALSE))))</f>
        <v/>
      </c>
      <c r="N103" s="306" t="str">
        <f>IF(E103="","",IF(ISNA(VLOOKUP($E103,'A-1 On-Site Habitat Baseline'!$D$1:$X$258,14,FALSE)),"",(VLOOKUP($E103,'A-1 On-Site Habitat Baseline'!$D$1:$X$258,14,FALSE))))</f>
        <v/>
      </c>
      <c r="O103" s="299" t="str">
        <f>IF(E103="","",IF(ISNA(VLOOKUP($E103,'A-1 On-Site Habitat Baseline'!$D$1:$X$258,16,FALSE)),"",(VLOOKUP($E103,'A-1 On-Site Habitat Baseline'!$D$1:$X$258,13,FALSE))))</f>
        <v/>
      </c>
      <c r="P103" s="154" t="str">
        <f>IFERROR(INDEX('G-1 All Habitats'!$AG$49:$AG$63,MATCH(Q103,'G-1 All Habitats'!$AF$27:$AF$41,0)),"")</f>
        <v/>
      </c>
      <c r="Q103" s="155" t="str">
        <f t="shared" si="13"/>
        <v/>
      </c>
      <c r="R103" s="155"/>
      <c r="S103" s="237" t="str">
        <f>IFERROR(INDEX('G-1 All Habitats'!$B$3:$B$135,MATCH(R103,'G-1 All Habitats'!$A$3:$A$135,0)),"")</f>
        <v/>
      </c>
      <c r="T103" s="275" t="str">
        <f t="shared" si="14"/>
        <v/>
      </c>
      <c r="U103" s="276" t="str">
        <f t="shared" si="15"/>
        <v/>
      </c>
      <c r="V103" s="311" t="str">
        <f t="shared" si="11"/>
        <v/>
      </c>
      <c r="W103" s="295" t="str">
        <f>IF(S103="","",VLOOKUP(S103,'G-1 All Habitats'!$B$2:$M$135,10,FALSE))</f>
        <v/>
      </c>
      <c r="X103" s="295" t="str">
        <f>IFERROR(VLOOKUP(W103,'G-1 All Habitats'!$V$3:$W$7,2,FALSE),"")</f>
        <v/>
      </c>
      <c r="Y103" s="57"/>
      <c r="Z103" s="299" t="str">
        <f>IFERROR(INDEX('G-8 Condition Look up'!$A$3:$H$135,MATCH(S103,'G-8 Condition Look up'!$A$3:$A$135,0),MATCH(Y103,'G-8 Condition Look up'!$A$3:$H$3,0)),"")</f>
        <v/>
      </c>
      <c r="AA103" s="52"/>
      <c r="AB103" s="295" t="str">
        <f>IF(AA103="","",IF(VLOOKUP(AA103,'G-3 Multipliers'!$L$3:$N$6,2,FALSE)=0,"Spatial Data Missing ⚠",VLOOKUP(AA103,'G-3 Multipliers'!$L$3:$N$6,2,FALSE)))</f>
        <v/>
      </c>
      <c r="AC103" s="299" t="str">
        <f>IF(AA103="","",IF(VLOOKUP(AA103,'G-3 Multipliers'!$L$3:$N$6,3,FALSE)=0,"Spatial Data Missing ⚠",VLOOKUP(AA103,'G-3 Multipliers'!$L$3:$N$6,3,FALSE)))</f>
        <v/>
      </c>
      <c r="AD103" s="313" t="str">
        <f t="shared" si="12"/>
        <v/>
      </c>
      <c r="AE103" s="58"/>
      <c r="AF103" s="58"/>
      <c r="AG103" s="283" t="str">
        <f t="shared" si="16"/>
        <v/>
      </c>
      <c r="AH103" s="296" t="str">
        <f t="shared" si="17"/>
        <v/>
      </c>
      <c r="AI103" s="297" t="str">
        <f>IF(AH103="Check Data ⚠","Check Data ⚠",IFERROR(VLOOKUP(AH103,'G-4 Temporal multipliers'!$A$4:$C$36,3,FALSE),""))</f>
        <v/>
      </c>
      <c r="AJ103" s="275" t="str">
        <f>IF(S103="","",VLOOKUP(S103,'G-3 Multipliers'!$A$2:$E$134,4,FALSE))</f>
        <v/>
      </c>
      <c r="AK103" s="283" t="str">
        <f t="shared" si="18"/>
        <v/>
      </c>
      <c r="AL103" s="283" t="str">
        <f t="shared" si="19"/>
        <v/>
      </c>
      <c r="AM103" s="314" t="str">
        <f>IFERROR(IF(F103="","",IF(AH103="Check Data ⚠","Check Data ⚠",VLOOKUP(AL103,'G-3 Multipliers'!$P$2:$Q$6,2,FALSE))),"")</f>
        <v/>
      </c>
      <c r="AN103" s="289" t="str">
        <f t="shared" si="20"/>
        <v/>
      </c>
      <c r="AO103" s="52"/>
      <c r="AP103" s="51"/>
      <c r="AQ103" s="104"/>
      <c r="AT103" s="35" t="str">
        <f t="shared" si="21"/>
        <v>No</v>
      </c>
      <c r="AU103" s="35" t="str">
        <f>IF(E103="","",IF(ISNA(VLOOKUP($E103,'A-1 On-Site Habitat Baseline'!$D$1:$AV$258,4,FALSE)),"",(VLOOKUP($E103,'A-1 On-Site Habitat Baseline'!$D$1:$AV$258,4,FALSE))))</f>
        <v/>
      </c>
    </row>
    <row r="104" spans="1:47" ht="14">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05" t="str">
        <f>'A-1 On-Site Habitat Baseline'!AL103</f>
        <v/>
      </c>
      <c r="F104" s="295" t="str">
        <f>IF(E104="","",IF(ISNA(VLOOKUP($E104,'A-1 On-Site Habitat Baseline'!$D$1:$AV$258,45,FALSE)),"",(VLOOKUP($E104,'A-1 On-Site Habitat Baseline'!$D$1:$AV$258,45,FALSE))))</f>
        <v/>
      </c>
      <c r="G104" s="295" t="str">
        <f>IF(E104="","",IF(ISNA(VLOOKUP($E104,'A-1 On-Site Habitat Baseline'!$D$1:$O$258,5,FALSE)),"",(VLOOKUP($E104,'A-1 On-Site Habitat Baseline'!$D$1:$O$258,5,FALSE))))</f>
        <v/>
      </c>
      <c r="H104" s="295" t="str">
        <f>IF(E104="","",IF(ISNA(VLOOKUP($E104,'A-1 On-Site Habitat Baseline'!$D$1:$O$258,6,FALSE)),"",(VLOOKUP($E104,'A-1 On-Site Habitat Baseline'!$D$1:$O$258,6,FALSE))))</f>
        <v/>
      </c>
      <c r="I104" s="295" t="str">
        <f>IF(E104="","",IF(ISNA(VLOOKUP($E104,'A-1 On-Site Habitat Baseline'!$D$1:$O$258,7,FALSE)),"",(VLOOKUP($E104,'A-1 On-Site Habitat Baseline'!$D$1:$O$258,7,FALSE))))</f>
        <v/>
      </c>
      <c r="J104" s="295" t="str">
        <f>IF(E104="","",IF(ISNA(VLOOKUP($E104,'A-1 On-Site Habitat Baseline'!$D$1:$O$258,8,FALSE)),"",(VLOOKUP($E104,'A-1 On-Site Habitat Baseline'!$D$1:$O$258,8,FALSE))))</f>
        <v/>
      </c>
      <c r="K104" s="295" t="str">
        <f>IF(E104="","",IF(ISNA(VLOOKUP($E104,'A-1 On-Site Habitat Baseline'!$D$1:$O$258,9,FALSE)),"",(VLOOKUP($E104,'A-1 On-Site Habitat Baseline'!$D$1:$O$258,9,FALSE))))</f>
        <v/>
      </c>
      <c r="L104" s="295" t="str">
        <f>IF(E104="","",IF(ISNA(VLOOKUP($E104,'A-1 On-Site Habitat Baseline'!$D$1:$O$258,11,FALSE)),"",(VLOOKUP($E104,'A-1 On-Site Habitat Baseline'!$D$1:$O$258,11,FALSE))))</f>
        <v/>
      </c>
      <c r="M104" s="295" t="str">
        <f>IF(E104="","",IF(ISNA(VLOOKUP($E104,'A-1 On-Site Habitat Baseline'!$D$1:$O$258,12,FALSE)),"",(VLOOKUP($E104,'A-1 On-Site Habitat Baseline'!$D$1:$O$258,12,FALSE))))</f>
        <v/>
      </c>
      <c r="N104" s="306" t="str">
        <f>IF(E104="","",IF(ISNA(VLOOKUP($E104,'A-1 On-Site Habitat Baseline'!$D$1:$X$258,14,FALSE)),"",(VLOOKUP($E104,'A-1 On-Site Habitat Baseline'!$D$1:$X$258,14,FALSE))))</f>
        <v/>
      </c>
      <c r="O104" s="299" t="str">
        <f>IF(E104="","",IF(ISNA(VLOOKUP($E104,'A-1 On-Site Habitat Baseline'!$D$1:$X$258,16,FALSE)),"",(VLOOKUP($E104,'A-1 On-Site Habitat Baseline'!$D$1:$X$258,13,FALSE))))</f>
        <v/>
      </c>
      <c r="P104" s="154" t="str">
        <f>IFERROR(INDEX('G-1 All Habitats'!$AG$49:$AG$63,MATCH(Q104,'G-1 All Habitats'!$AF$27:$AF$41,0)),"")</f>
        <v/>
      </c>
      <c r="Q104" s="155" t="str">
        <f t="shared" si="13"/>
        <v/>
      </c>
      <c r="R104" s="155"/>
      <c r="S104" s="237" t="str">
        <f>IFERROR(INDEX('G-1 All Habitats'!$B$3:$B$135,MATCH(R104,'G-1 All Habitats'!$A$3:$A$135,0)),"")</f>
        <v/>
      </c>
      <c r="T104" s="275" t="str">
        <f t="shared" si="14"/>
        <v/>
      </c>
      <c r="U104" s="276" t="str">
        <f t="shared" si="15"/>
        <v/>
      </c>
      <c r="V104" s="311" t="str">
        <f t="shared" si="11"/>
        <v/>
      </c>
      <c r="W104" s="295" t="str">
        <f>IF(S104="","",VLOOKUP(S104,'G-1 All Habitats'!$B$2:$M$135,10,FALSE))</f>
        <v/>
      </c>
      <c r="X104" s="295" t="str">
        <f>IFERROR(VLOOKUP(W104,'G-1 All Habitats'!$V$3:$W$7,2,FALSE),"")</f>
        <v/>
      </c>
      <c r="Y104" s="57"/>
      <c r="Z104" s="299" t="str">
        <f>IFERROR(INDEX('G-8 Condition Look up'!$A$3:$H$135,MATCH(S104,'G-8 Condition Look up'!$A$3:$A$135,0),MATCH(Y104,'G-8 Condition Look up'!$A$3:$H$3,0)),"")</f>
        <v/>
      </c>
      <c r="AA104" s="52"/>
      <c r="AB104" s="295" t="str">
        <f>IF(AA104="","",IF(VLOOKUP(AA104,'G-3 Multipliers'!$L$3:$N$6,2,FALSE)=0,"Spatial Data Missing ⚠",VLOOKUP(AA104,'G-3 Multipliers'!$L$3:$N$6,2,FALSE)))</f>
        <v/>
      </c>
      <c r="AC104" s="299" t="str">
        <f>IF(AA104="","",IF(VLOOKUP(AA104,'G-3 Multipliers'!$L$3:$N$6,3,FALSE)=0,"Spatial Data Missing ⚠",VLOOKUP(AA104,'G-3 Multipliers'!$L$3:$N$6,3,FALSE)))</f>
        <v/>
      </c>
      <c r="AD104" s="313" t="str">
        <f t="shared" si="12"/>
        <v/>
      </c>
      <c r="AE104" s="58"/>
      <c r="AF104" s="58"/>
      <c r="AG104" s="283" t="str">
        <f t="shared" si="16"/>
        <v/>
      </c>
      <c r="AH104" s="296" t="str">
        <f t="shared" si="17"/>
        <v/>
      </c>
      <c r="AI104" s="297" t="str">
        <f>IF(AH104="Check Data ⚠","Check Data ⚠",IFERROR(VLOOKUP(AH104,'G-4 Temporal multipliers'!$A$4:$C$36,3,FALSE),""))</f>
        <v/>
      </c>
      <c r="AJ104" s="275" t="str">
        <f>IF(S104="","",VLOOKUP(S104,'G-3 Multipliers'!$A$2:$E$134,4,FALSE))</f>
        <v/>
      </c>
      <c r="AK104" s="283" t="str">
        <f t="shared" si="18"/>
        <v/>
      </c>
      <c r="AL104" s="283" t="str">
        <f t="shared" si="19"/>
        <v/>
      </c>
      <c r="AM104" s="314" t="str">
        <f>IFERROR(IF(F104="","",IF(AH104="Check Data ⚠","Check Data ⚠",VLOOKUP(AL104,'G-3 Multipliers'!$P$2:$Q$6,2,FALSE))),"")</f>
        <v/>
      </c>
      <c r="AN104" s="289" t="str">
        <f t="shared" si="20"/>
        <v/>
      </c>
      <c r="AO104" s="52"/>
      <c r="AP104" s="51"/>
      <c r="AQ104" s="104"/>
      <c r="AT104" s="35" t="str">
        <f t="shared" si="21"/>
        <v>No</v>
      </c>
      <c r="AU104" s="35" t="str">
        <f>IF(E104="","",IF(ISNA(VLOOKUP($E104,'A-1 On-Site Habitat Baseline'!$D$1:$AV$258,4,FALSE)),"",(VLOOKUP($E104,'A-1 On-Site Habitat Baseline'!$D$1:$AV$258,4,FALSE))))</f>
        <v/>
      </c>
    </row>
    <row r="105" spans="1:47" ht="14">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05" t="str">
        <f>'A-1 On-Site Habitat Baseline'!AL104</f>
        <v/>
      </c>
      <c r="F105" s="295" t="str">
        <f>IF(E105="","",IF(ISNA(VLOOKUP($E105,'A-1 On-Site Habitat Baseline'!$D$1:$AV$258,45,FALSE)),"",(VLOOKUP($E105,'A-1 On-Site Habitat Baseline'!$D$1:$AV$258,45,FALSE))))</f>
        <v/>
      </c>
      <c r="G105" s="295" t="str">
        <f>IF(E105="","",IF(ISNA(VLOOKUP($E105,'A-1 On-Site Habitat Baseline'!$D$1:$O$258,5,FALSE)),"",(VLOOKUP($E105,'A-1 On-Site Habitat Baseline'!$D$1:$O$258,5,FALSE))))</f>
        <v/>
      </c>
      <c r="H105" s="295" t="str">
        <f>IF(E105="","",IF(ISNA(VLOOKUP($E105,'A-1 On-Site Habitat Baseline'!$D$1:$O$258,6,FALSE)),"",(VLOOKUP($E105,'A-1 On-Site Habitat Baseline'!$D$1:$O$258,6,FALSE))))</f>
        <v/>
      </c>
      <c r="I105" s="295" t="str">
        <f>IF(E105="","",IF(ISNA(VLOOKUP($E105,'A-1 On-Site Habitat Baseline'!$D$1:$O$258,7,FALSE)),"",(VLOOKUP($E105,'A-1 On-Site Habitat Baseline'!$D$1:$O$258,7,FALSE))))</f>
        <v/>
      </c>
      <c r="J105" s="295" t="str">
        <f>IF(E105="","",IF(ISNA(VLOOKUP($E105,'A-1 On-Site Habitat Baseline'!$D$1:$O$258,8,FALSE)),"",(VLOOKUP($E105,'A-1 On-Site Habitat Baseline'!$D$1:$O$258,8,FALSE))))</f>
        <v/>
      </c>
      <c r="K105" s="295" t="str">
        <f>IF(E105="","",IF(ISNA(VLOOKUP($E105,'A-1 On-Site Habitat Baseline'!$D$1:$O$258,9,FALSE)),"",(VLOOKUP($E105,'A-1 On-Site Habitat Baseline'!$D$1:$O$258,9,FALSE))))</f>
        <v/>
      </c>
      <c r="L105" s="295" t="str">
        <f>IF(E105="","",IF(ISNA(VLOOKUP($E105,'A-1 On-Site Habitat Baseline'!$D$1:$O$258,11,FALSE)),"",(VLOOKUP($E105,'A-1 On-Site Habitat Baseline'!$D$1:$O$258,11,FALSE))))</f>
        <v/>
      </c>
      <c r="M105" s="295" t="str">
        <f>IF(E105="","",IF(ISNA(VLOOKUP($E105,'A-1 On-Site Habitat Baseline'!$D$1:$O$258,12,FALSE)),"",(VLOOKUP($E105,'A-1 On-Site Habitat Baseline'!$D$1:$O$258,12,FALSE))))</f>
        <v/>
      </c>
      <c r="N105" s="306" t="str">
        <f>IF(E105="","",IF(ISNA(VLOOKUP($E105,'A-1 On-Site Habitat Baseline'!$D$1:$X$258,14,FALSE)),"",(VLOOKUP($E105,'A-1 On-Site Habitat Baseline'!$D$1:$X$258,14,FALSE))))</f>
        <v/>
      </c>
      <c r="O105" s="299" t="str">
        <f>IF(E105="","",IF(ISNA(VLOOKUP($E105,'A-1 On-Site Habitat Baseline'!$D$1:$X$258,16,FALSE)),"",(VLOOKUP($E105,'A-1 On-Site Habitat Baseline'!$D$1:$X$258,13,FALSE))))</f>
        <v/>
      </c>
      <c r="P105" s="154" t="str">
        <f>IFERROR(INDEX('G-1 All Habitats'!$AG$49:$AG$63,MATCH(Q105,'G-1 All Habitats'!$AF$27:$AF$41,0)),"")</f>
        <v/>
      </c>
      <c r="Q105" s="155" t="str">
        <f t="shared" si="13"/>
        <v/>
      </c>
      <c r="R105" s="155"/>
      <c r="S105" s="237" t="str">
        <f>IFERROR(INDEX('G-1 All Habitats'!$B$3:$B$135,MATCH(R105,'G-1 All Habitats'!$A$3:$A$135,0)),"")</f>
        <v/>
      </c>
      <c r="T105" s="275" t="str">
        <f t="shared" si="14"/>
        <v/>
      </c>
      <c r="U105" s="276" t="str">
        <f t="shared" si="15"/>
        <v/>
      </c>
      <c r="V105" s="311" t="str">
        <f t="shared" si="11"/>
        <v/>
      </c>
      <c r="W105" s="295" t="str">
        <f>IF(S105="","",VLOOKUP(S105,'G-1 All Habitats'!$B$2:$M$135,10,FALSE))</f>
        <v/>
      </c>
      <c r="X105" s="295" t="str">
        <f>IFERROR(VLOOKUP(W105,'G-1 All Habitats'!$V$3:$W$7,2,FALSE),"")</f>
        <v/>
      </c>
      <c r="Y105" s="57"/>
      <c r="Z105" s="299" t="str">
        <f>IFERROR(INDEX('G-8 Condition Look up'!$A$3:$H$135,MATCH(S105,'G-8 Condition Look up'!$A$3:$A$135,0),MATCH(Y105,'G-8 Condition Look up'!$A$3:$H$3,0)),"")</f>
        <v/>
      </c>
      <c r="AA105" s="52"/>
      <c r="AB105" s="295" t="str">
        <f>IF(AA105="","",IF(VLOOKUP(AA105,'G-3 Multipliers'!$L$3:$N$6,2,FALSE)=0,"Spatial Data Missing ⚠",VLOOKUP(AA105,'G-3 Multipliers'!$L$3:$N$6,2,FALSE)))</f>
        <v/>
      </c>
      <c r="AC105" s="299" t="str">
        <f>IF(AA105="","",IF(VLOOKUP(AA105,'G-3 Multipliers'!$L$3:$N$6,3,FALSE)=0,"Spatial Data Missing ⚠",VLOOKUP(AA105,'G-3 Multipliers'!$L$3:$N$6,3,FALSE)))</f>
        <v/>
      </c>
      <c r="AD105" s="313" t="str">
        <f t="shared" si="12"/>
        <v/>
      </c>
      <c r="AE105" s="58"/>
      <c r="AF105" s="58"/>
      <c r="AG105" s="283" t="str">
        <f t="shared" si="16"/>
        <v/>
      </c>
      <c r="AH105" s="296" t="str">
        <f t="shared" si="17"/>
        <v/>
      </c>
      <c r="AI105" s="297" t="str">
        <f>IF(AH105="Check Data ⚠","Check Data ⚠",IFERROR(VLOOKUP(AH105,'G-4 Temporal multipliers'!$A$4:$C$36,3,FALSE),""))</f>
        <v/>
      </c>
      <c r="AJ105" s="275" t="str">
        <f>IF(S105="","",VLOOKUP(S105,'G-3 Multipliers'!$A$2:$E$134,4,FALSE))</f>
        <v/>
      </c>
      <c r="AK105" s="283" t="str">
        <f t="shared" si="18"/>
        <v/>
      </c>
      <c r="AL105" s="283" t="str">
        <f t="shared" si="19"/>
        <v/>
      </c>
      <c r="AM105" s="314" t="str">
        <f>IFERROR(IF(F105="","",IF(AH105="Check Data ⚠","Check Data ⚠",VLOOKUP(AL105,'G-3 Multipliers'!$P$2:$Q$6,2,FALSE))),"")</f>
        <v/>
      </c>
      <c r="AN105" s="289" t="str">
        <f t="shared" si="20"/>
        <v/>
      </c>
      <c r="AO105" s="52"/>
      <c r="AP105" s="51"/>
      <c r="AQ105" s="104"/>
      <c r="AT105" s="35" t="str">
        <f t="shared" si="21"/>
        <v>No</v>
      </c>
      <c r="AU105" s="35" t="str">
        <f>IF(E105="","",IF(ISNA(VLOOKUP($E105,'A-1 On-Site Habitat Baseline'!$D$1:$AV$258,4,FALSE)),"",(VLOOKUP($E105,'A-1 On-Site Habitat Baseline'!$D$1:$AV$258,4,FALSE))))</f>
        <v/>
      </c>
    </row>
    <row r="106" spans="1:47" ht="14">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05" t="str">
        <f>'A-1 On-Site Habitat Baseline'!AL105</f>
        <v/>
      </c>
      <c r="F106" s="295" t="str">
        <f>IF(E106="","",IF(ISNA(VLOOKUP($E106,'A-1 On-Site Habitat Baseline'!$D$1:$AV$258,45,FALSE)),"",(VLOOKUP($E106,'A-1 On-Site Habitat Baseline'!$D$1:$AV$258,45,FALSE))))</f>
        <v/>
      </c>
      <c r="G106" s="295" t="str">
        <f>IF(E106="","",IF(ISNA(VLOOKUP($E106,'A-1 On-Site Habitat Baseline'!$D$1:$O$258,5,FALSE)),"",(VLOOKUP($E106,'A-1 On-Site Habitat Baseline'!$D$1:$O$258,5,FALSE))))</f>
        <v/>
      </c>
      <c r="H106" s="295" t="str">
        <f>IF(E106="","",IF(ISNA(VLOOKUP($E106,'A-1 On-Site Habitat Baseline'!$D$1:$O$258,6,FALSE)),"",(VLOOKUP($E106,'A-1 On-Site Habitat Baseline'!$D$1:$O$258,6,FALSE))))</f>
        <v/>
      </c>
      <c r="I106" s="295" t="str">
        <f>IF(E106="","",IF(ISNA(VLOOKUP($E106,'A-1 On-Site Habitat Baseline'!$D$1:$O$258,7,FALSE)),"",(VLOOKUP($E106,'A-1 On-Site Habitat Baseline'!$D$1:$O$258,7,FALSE))))</f>
        <v/>
      </c>
      <c r="J106" s="295" t="str">
        <f>IF(E106="","",IF(ISNA(VLOOKUP($E106,'A-1 On-Site Habitat Baseline'!$D$1:$O$258,8,FALSE)),"",(VLOOKUP($E106,'A-1 On-Site Habitat Baseline'!$D$1:$O$258,8,FALSE))))</f>
        <v/>
      </c>
      <c r="K106" s="295" t="str">
        <f>IF(E106="","",IF(ISNA(VLOOKUP($E106,'A-1 On-Site Habitat Baseline'!$D$1:$O$258,9,FALSE)),"",(VLOOKUP($E106,'A-1 On-Site Habitat Baseline'!$D$1:$O$258,9,FALSE))))</f>
        <v/>
      </c>
      <c r="L106" s="295" t="str">
        <f>IF(E106="","",IF(ISNA(VLOOKUP($E106,'A-1 On-Site Habitat Baseline'!$D$1:$O$258,11,FALSE)),"",(VLOOKUP($E106,'A-1 On-Site Habitat Baseline'!$D$1:$O$258,11,FALSE))))</f>
        <v/>
      </c>
      <c r="M106" s="295" t="str">
        <f>IF(E106="","",IF(ISNA(VLOOKUP($E106,'A-1 On-Site Habitat Baseline'!$D$1:$O$258,12,FALSE)),"",(VLOOKUP($E106,'A-1 On-Site Habitat Baseline'!$D$1:$O$258,12,FALSE))))</f>
        <v/>
      </c>
      <c r="N106" s="306" t="str">
        <f>IF(E106="","",IF(ISNA(VLOOKUP($E106,'A-1 On-Site Habitat Baseline'!$D$1:$X$258,14,FALSE)),"",(VLOOKUP($E106,'A-1 On-Site Habitat Baseline'!$D$1:$X$258,14,FALSE))))</f>
        <v/>
      </c>
      <c r="O106" s="299" t="str">
        <f>IF(E106="","",IF(ISNA(VLOOKUP($E106,'A-1 On-Site Habitat Baseline'!$D$1:$X$258,16,FALSE)),"",(VLOOKUP($E106,'A-1 On-Site Habitat Baseline'!$D$1:$X$258,13,FALSE))))</f>
        <v/>
      </c>
      <c r="P106" s="154" t="str">
        <f>IFERROR(INDEX('G-1 All Habitats'!$AG$49:$AG$63,MATCH(Q106,'G-1 All Habitats'!$AF$27:$AF$41,0)),"")</f>
        <v/>
      </c>
      <c r="Q106" s="155" t="str">
        <f t="shared" si="13"/>
        <v/>
      </c>
      <c r="R106" s="155"/>
      <c r="S106" s="237" t="str">
        <f>IFERROR(INDEX('G-1 All Habitats'!$B$3:$B$135,MATCH(R106,'G-1 All Habitats'!$A$3:$A$135,0)),"")</f>
        <v/>
      </c>
      <c r="T106" s="275" t="str">
        <f t="shared" si="14"/>
        <v/>
      </c>
      <c r="U106" s="276" t="str">
        <f t="shared" si="15"/>
        <v/>
      </c>
      <c r="V106" s="311" t="str">
        <f t="shared" si="11"/>
        <v/>
      </c>
      <c r="W106" s="295" t="str">
        <f>IF(S106="","",VLOOKUP(S106,'G-1 All Habitats'!$B$2:$M$135,10,FALSE))</f>
        <v/>
      </c>
      <c r="X106" s="295" t="str">
        <f>IFERROR(VLOOKUP(W106,'G-1 All Habitats'!$V$3:$W$7,2,FALSE),"")</f>
        <v/>
      </c>
      <c r="Y106" s="57"/>
      <c r="Z106" s="299" t="str">
        <f>IFERROR(INDEX('G-8 Condition Look up'!$A$3:$H$135,MATCH(S106,'G-8 Condition Look up'!$A$3:$A$135,0),MATCH(Y106,'G-8 Condition Look up'!$A$3:$H$3,0)),"")</f>
        <v/>
      </c>
      <c r="AA106" s="52"/>
      <c r="AB106" s="295" t="str">
        <f>IF(AA106="","",IF(VLOOKUP(AA106,'G-3 Multipliers'!$L$3:$N$6,2,FALSE)=0,"Spatial Data Missing ⚠",VLOOKUP(AA106,'G-3 Multipliers'!$L$3:$N$6,2,FALSE)))</f>
        <v/>
      </c>
      <c r="AC106" s="299" t="str">
        <f>IF(AA106="","",IF(VLOOKUP(AA106,'G-3 Multipliers'!$L$3:$N$6,3,FALSE)=0,"Spatial Data Missing ⚠",VLOOKUP(AA106,'G-3 Multipliers'!$L$3:$N$6,3,FALSE)))</f>
        <v/>
      </c>
      <c r="AD106" s="313" t="str">
        <f t="shared" si="12"/>
        <v/>
      </c>
      <c r="AE106" s="58"/>
      <c r="AF106" s="58"/>
      <c r="AG106" s="283" t="str">
        <f t="shared" si="16"/>
        <v/>
      </c>
      <c r="AH106" s="296" t="str">
        <f t="shared" si="17"/>
        <v/>
      </c>
      <c r="AI106" s="297" t="str">
        <f>IF(AH106="Check Data ⚠","Check Data ⚠",IFERROR(VLOOKUP(AH106,'G-4 Temporal multipliers'!$A$4:$C$36,3,FALSE),""))</f>
        <v/>
      </c>
      <c r="AJ106" s="275" t="str">
        <f>IF(S106="","",VLOOKUP(S106,'G-3 Multipliers'!$A$2:$E$134,4,FALSE))</f>
        <v/>
      </c>
      <c r="AK106" s="283" t="str">
        <f t="shared" si="18"/>
        <v/>
      </c>
      <c r="AL106" s="283" t="str">
        <f t="shared" si="19"/>
        <v/>
      </c>
      <c r="AM106" s="314" t="str">
        <f>IFERROR(IF(F106="","",IF(AH106="Check Data ⚠","Check Data ⚠",VLOOKUP(AL106,'G-3 Multipliers'!$P$2:$Q$6,2,FALSE))),"")</f>
        <v/>
      </c>
      <c r="AN106" s="289" t="str">
        <f t="shared" si="20"/>
        <v/>
      </c>
      <c r="AO106" s="52"/>
      <c r="AP106" s="51"/>
      <c r="AQ106" s="104"/>
      <c r="AT106" s="35" t="str">
        <f t="shared" si="21"/>
        <v>No</v>
      </c>
      <c r="AU106" s="35" t="str">
        <f>IF(E106="","",IF(ISNA(VLOOKUP($E106,'A-1 On-Site Habitat Baseline'!$D$1:$AV$258,4,FALSE)),"",(VLOOKUP($E106,'A-1 On-Site Habitat Baseline'!$D$1:$AV$258,4,FALSE))))</f>
        <v/>
      </c>
    </row>
    <row r="107" spans="1:47" ht="14">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05" t="str">
        <f>'A-1 On-Site Habitat Baseline'!AL106</f>
        <v/>
      </c>
      <c r="F107" s="295" t="str">
        <f>IF(E107="","",IF(ISNA(VLOOKUP($E107,'A-1 On-Site Habitat Baseline'!$D$1:$AV$258,45,FALSE)),"",(VLOOKUP($E107,'A-1 On-Site Habitat Baseline'!$D$1:$AV$258,45,FALSE))))</f>
        <v/>
      </c>
      <c r="G107" s="295" t="str">
        <f>IF(E107="","",IF(ISNA(VLOOKUP($E107,'A-1 On-Site Habitat Baseline'!$D$1:$O$258,5,FALSE)),"",(VLOOKUP($E107,'A-1 On-Site Habitat Baseline'!$D$1:$O$258,5,FALSE))))</f>
        <v/>
      </c>
      <c r="H107" s="295" t="str">
        <f>IF(E107="","",IF(ISNA(VLOOKUP($E107,'A-1 On-Site Habitat Baseline'!$D$1:$O$258,6,FALSE)),"",(VLOOKUP($E107,'A-1 On-Site Habitat Baseline'!$D$1:$O$258,6,FALSE))))</f>
        <v/>
      </c>
      <c r="I107" s="295" t="str">
        <f>IF(E107="","",IF(ISNA(VLOOKUP($E107,'A-1 On-Site Habitat Baseline'!$D$1:$O$258,7,FALSE)),"",(VLOOKUP($E107,'A-1 On-Site Habitat Baseline'!$D$1:$O$258,7,FALSE))))</f>
        <v/>
      </c>
      <c r="J107" s="295" t="str">
        <f>IF(E107="","",IF(ISNA(VLOOKUP($E107,'A-1 On-Site Habitat Baseline'!$D$1:$O$258,8,FALSE)),"",(VLOOKUP($E107,'A-1 On-Site Habitat Baseline'!$D$1:$O$258,8,FALSE))))</f>
        <v/>
      </c>
      <c r="K107" s="295" t="str">
        <f>IF(E107="","",IF(ISNA(VLOOKUP($E107,'A-1 On-Site Habitat Baseline'!$D$1:$O$258,9,FALSE)),"",(VLOOKUP($E107,'A-1 On-Site Habitat Baseline'!$D$1:$O$258,9,FALSE))))</f>
        <v/>
      </c>
      <c r="L107" s="295" t="str">
        <f>IF(E107="","",IF(ISNA(VLOOKUP($E107,'A-1 On-Site Habitat Baseline'!$D$1:$O$258,11,FALSE)),"",(VLOOKUP($E107,'A-1 On-Site Habitat Baseline'!$D$1:$O$258,11,FALSE))))</f>
        <v/>
      </c>
      <c r="M107" s="295" t="str">
        <f>IF(E107="","",IF(ISNA(VLOOKUP($E107,'A-1 On-Site Habitat Baseline'!$D$1:$O$258,12,FALSE)),"",(VLOOKUP($E107,'A-1 On-Site Habitat Baseline'!$D$1:$O$258,12,FALSE))))</f>
        <v/>
      </c>
      <c r="N107" s="306" t="str">
        <f>IF(E107="","",IF(ISNA(VLOOKUP($E107,'A-1 On-Site Habitat Baseline'!$D$1:$X$258,14,FALSE)),"",(VLOOKUP($E107,'A-1 On-Site Habitat Baseline'!$D$1:$X$258,14,FALSE))))</f>
        <v/>
      </c>
      <c r="O107" s="299" t="str">
        <f>IF(E107="","",IF(ISNA(VLOOKUP($E107,'A-1 On-Site Habitat Baseline'!$D$1:$X$258,16,FALSE)),"",(VLOOKUP($E107,'A-1 On-Site Habitat Baseline'!$D$1:$X$258,13,FALSE))))</f>
        <v/>
      </c>
      <c r="P107" s="154" t="str">
        <f>IFERROR(INDEX('G-1 All Habitats'!$AG$49:$AG$63,MATCH(Q107,'G-1 All Habitats'!$AF$27:$AF$41,0)),"")</f>
        <v/>
      </c>
      <c r="Q107" s="155" t="str">
        <f t="shared" si="13"/>
        <v/>
      </c>
      <c r="R107" s="155"/>
      <c r="S107" s="237" t="str">
        <f>IFERROR(INDEX('G-1 All Habitats'!$B$3:$B$135,MATCH(R107,'G-1 All Habitats'!$A$3:$A$135,0)),"")</f>
        <v/>
      </c>
      <c r="T107" s="275" t="str">
        <f t="shared" si="14"/>
        <v/>
      </c>
      <c r="U107" s="276" t="str">
        <f t="shared" si="15"/>
        <v/>
      </c>
      <c r="V107" s="311" t="str">
        <f t="shared" si="11"/>
        <v/>
      </c>
      <c r="W107" s="295" t="str">
        <f>IF(S107="","",VLOOKUP(S107,'G-1 All Habitats'!$B$2:$M$135,10,FALSE))</f>
        <v/>
      </c>
      <c r="X107" s="295" t="str">
        <f>IFERROR(VLOOKUP(W107,'G-1 All Habitats'!$V$3:$W$7,2,FALSE),"")</f>
        <v/>
      </c>
      <c r="Y107" s="57"/>
      <c r="Z107" s="299" t="str">
        <f>IFERROR(INDEX('G-8 Condition Look up'!$A$3:$H$135,MATCH(S107,'G-8 Condition Look up'!$A$3:$A$135,0),MATCH(Y107,'G-8 Condition Look up'!$A$3:$H$3,0)),"")</f>
        <v/>
      </c>
      <c r="AA107" s="52"/>
      <c r="AB107" s="295" t="str">
        <f>IF(AA107="","",IF(VLOOKUP(AA107,'G-3 Multipliers'!$L$3:$N$6,2,FALSE)=0,"Spatial Data Missing ⚠",VLOOKUP(AA107,'G-3 Multipliers'!$L$3:$N$6,2,FALSE)))</f>
        <v/>
      </c>
      <c r="AC107" s="299" t="str">
        <f>IF(AA107="","",IF(VLOOKUP(AA107,'G-3 Multipliers'!$L$3:$N$6,3,FALSE)=0,"Spatial Data Missing ⚠",VLOOKUP(AA107,'G-3 Multipliers'!$L$3:$N$6,3,FALSE)))</f>
        <v/>
      </c>
      <c r="AD107" s="313" t="str">
        <f t="shared" si="12"/>
        <v/>
      </c>
      <c r="AE107" s="58"/>
      <c r="AF107" s="58"/>
      <c r="AG107" s="283" t="str">
        <f t="shared" si="16"/>
        <v/>
      </c>
      <c r="AH107" s="296" t="str">
        <f t="shared" si="17"/>
        <v/>
      </c>
      <c r="AI107" s="297" t="str">
        <f>IF(AH107="Check Data ⚠","Check Data ⚠",IFERROR(VLOOKUP(AH107,'G-4 Temporal multipliers'!$A$4:$C$36,3,FALSE),""))</f>
        <v/>
      </c>
      <c r="AJ107" s="275" t="str">
        <f>IF(S107="","",VLOOKUP(S107,'G-3 Multipliers'!$A$2:$E$134,4,FALSE))</f>
        <v/>
      </c>
      <c r="AK107" s="283" t="str">
        <f t="shared" si="18"/>
        <v/>
      </c>
      <c r="AL107" s="283" t="str">
        <f t="shared" si="19"/>
        <v/>
      </c>
      <c r="AM107" s="314" t="str">
        <f>IFERROR(IF(F107="","",IF(AH107="Check Data ⚠","Check Data ⚠",VLOOKUP(AL107,'G-3 Multipliers'!$P$2:$Q$6,2,FALSE))),"")</f>
        <v/>
      </c>
      <c r="AN107" s="289" t="str">
        <f t="shared" si="20"/>
        <v/>
      </c>
      <c r="AO107" s="52"/>
      <c r="AP107" s="51"/>
      <c r="AQ107" s="104"/>
      <c r="AT107" s="35" t="str">
        <f t="shared" si="21"/>
        <v>No</v>
      </c>
      <c r="AU107" s="35" t="str">
        <f>IF(E107="","",IF(ISNA(VLOOKUP($E107,'A-1 On-Site Habitat Baseline'!$D$1:$AV$258,4,FALSE)),"",(VLOOKUP($E107,'A-1 On-Site Habitat Baseline'!$D$1:$AV$258,4,FALSE))))</f>
        <v/>
      </c>
    </row>
    <row r="108" spans="1:47" ht="14">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05" t="str">
        <f>'A-1 On-Site Habitat Baseline'!AL107</f>
        <v/>
      </c>
      <c r="F108" s="295" t="str">
        <f>IF(E108="","",IF(ISNA(VLOOKUP($E108,'A-1 On-Site Habitat Baseline'!$D$1:$AV$258,45,FALSE)),"",(VLOOKUP($E108,'A-1 On-Site Habitat Baseline'!$D$1:$AV$258,45,FALSE))))</f>
        <v/>
      </c>
      <c r="G108" s="295" t="str">
        <f>IF(E108="","",IF(ISNA(VLOOKUP($E108,'A-1 On-Site Habitat Baseline'!$D$1:$O$258,5,FALSE)),"",(VLOOKUP($E108,'A-1 On-Site Habitat Baseline'!$D$1:$O$258,5,FALSE))))</f>
        <v/>
      </c>
      <c r="H108" s="295" t="str">
        <f>IF(E108="","",IF(ISNA(VLOOKUP($E108,'A-1 On-Site Habitat Baseline'!$D$1:$O$258,6,FALSE)),"",(VLOOKUP($E108,'A-1 On-Site Habitat Baseline'!$D$1:$O$258,6,FALSE))))</f>
        <v/>
      </c>
      <c r="I108" s="295" t="str">
        <f>IF(E108="","",IF(ISNA(VLOOKUP($E108,'A-1 On-Site Habitat Baseline'!$D$1:$O$258,7,FALSE)),"",(VLOOKUP($E108,'A-1 On-Site Habitat Baseline'!$D$1:$O$258,7,FALSE))))</f>
        <v/>
      </c>
      <c r="J108" s="295" t="str">
        <f>IF(E108="","",IF(ISNA(VLOOKUP($E108,'A-1 On-Site Habitat Baseline'!$D$1:$O$258,8,FALSE)),"",(VLOOKUP($E108,'A-1 On-Site Habitat Baseline'!$D$1:$O$258,8,FALSE))))</f>
        <v/>
      </c>
      <c r="K108" s="295" t="str">
        <f>IF(E108="","",IF(ISNA(VLOOKUP($E108,'A-1 On-Site Habitat Baseline'!$D$1:$O$258,9,FALSE)),"",(VLOOKUP($E108,'A-1 On-Site Habitat Baseline'!$D$1:$O$258,9,FALSE))))</f>
        <v/>
      </c>
      <c r="L108" s="295" t="str">
        <f>IF(E108="","",IF(ISNA(VLOOKUP($E108,'A-1 On-Site Habitat Baseline'!$D$1:$O$258,11,FALSE)),"",(VLOOKUP($E108,'A-1 On-Site Habitat Baseline'!$D$1:$O$258,11,FALSE))))</f>
        <v/>
      </c>
      <c r="M108" s="295" t="str">
        <f>IF(E108="","",IF(ISNA(VLOOKUP($E108,'A-1 On-Site Habitat Baseline'!$D$1:$O$258,12,FALSE)),"",(VLOOKUP($E108,'A-1 On-Site Habitat Baseline'!$D$1:$O$258,12,FALSE))))</f>
        <v/>
      </c>
      <c r="N108" s="306" t="str">
        <f>IF(E108="","",IF(ISNA(VLOOKUP($E108,'A-1 On-Site Habitat Baseline'!$D$1:$X$258,14,FALSE)),"",(VLOOKUP($E108,'A-1 On-Site Habitat Baseline'!$D$1:$X$258,14,FALSE))))</f>
        <v/>
      </c>
      <c r="O108" s="299" t="str">
        <f>IF(E108="","",IF(ISNA(VLOOKUP($E108,'A-1 On-Site Habitat Baseline'!$D$1:$X$258,16,FALSE)),"",(VLOOKUP($E108,'A-1 On-Site Habitat Baseline'!$D$1:$X$258,13,FALSE))))</f>
        <v/>
      </c>
      <c r="P108" s="154" t="str">
        <f>IFERROR(INDEX('G-1 All Habitats'!$AG$49:$AG$63,MATCH(Q108,'G-1 All Habitats'!$AF$27:$AF$41,0)),"")</f>
        <v/>
      </c>
      <c r="Q108" s="155" t="str">
        <f t="shared" si="13"/>
        <v/>
      </c>
      <c r="R108" s="155"/>
      <c r="S108" s="237" t="str">
        <f>IFERROR(INDEX('G-1 All Habitats'!$B$3:$B$135,MATCH(R108,'G-1 All Habitats'!$A$3:$A$135,0)),"")</f>
        <v/>
      </c>
      <c r="T108" s="275" t="str">
        <f t="shared" si="14"/>
        <v/>
      </c>
      <c r="U108" s="276" t="str">
        <f t="shared" si="15"/>
        <v/>
      </c>
      <c r="V108" s="311" t="str">
        <f t="shared" si="11"/>
        <v/>
      </c>
      <c r="W108" s="295" t="str">
        <f>IF(S108="","",VLOOKUP(S108,'G-1 All Habitats'!$B$2:$M$135,10,FALSE))</f>
        <v/>
      </c>
      <c r="X108" s="295" t="str">
        <f>IFERROR(VLOOKUP(W108,'G-1 All Habitats'!$V$3:$W$7,2,FALSE),"")</f>
        <v/>
      </c>
      <c r="Y108" s="57"/>
      <c r="Z108" s="299" t="str">
        <f>IFERROR(INDEX('G-8 Condition Look up'!$A$3:$H$135,MATCH(S108,'G-8 Condition Look up'!$A$3:$A$135,0),MATCH(Y108,'G-8 Condition Look up'!$A$3:$H$3,0)),"")</f>
        <v/>
      </c>
      <c r="AA108" s="52"/>
      <c r="AB108" s="295" t="str">
        <f>IF(AA108="","",IF(VLOOKUP(AA108,'G-3 Multipliers'!$L$3:$N$6,2,FALSE)=0,"Spatial Data Missing ⚠",VLOOKUP(AA108,'G-3 Multipliers'!$L$3:$N$6,2,FALSE)))</f>
        <v/>
      </c>
      <c r="AC108" s="299" t="str">
        <f>IF(AA108="","",IF(VLOOKUP(AA108,'G-3 Multipliers'!$L$3:$N$6,3,FALSE)=0,"Spatial Data Missing ⚠",VLOOKUP(AA108,'G-3 Multipliers'!$L$3:$N$6,3,FALSE)))</f>
        <v/>
      </c>
      <c r="AD108" s="313" t="str">
        <f t="shared" si="12"/>
        <v/>
      </c>
      <c r="AE108" s="58"/>
      <c r="AF108" s="58"/>
      <c r="AG108" s="283" t="str">
        <f t="shared" si="16"/>
        <v/>
      </c>
      <c r="AH108" s="296" t="str">
        <f t="shared" si="17"/>
        <v/>
      </c>
      <c r="AI108" s="297" t="str">
        <f>IF(AH108="Check Data ⚠","Check Data ⚠",IFERROR(VLOOKUP(AH108,'G-4 Temporal multipliers'!$A$4:$C$36,3,FALSE),""))</f>
        <v/>
      </c>
      <c r="AJ108" s="275" t="str">
        <f>IF(S108="","",VLOOKUP(S108,'G-3 Multipliers'!$A$2:$E$134,4,FALSE))</f>
        <v/>
      </c>
      <c r="AK108" s="283" t="str">
        <f t="shared" si="18"/>
        <v/>
      </c>
      <c r="AL108" s="283" t="str">
        <f t="shared" si="19"/>
        <v/>
      </c>
      <c r="AM108" s="314" t="str">
        <f>IFERROR(IF(F108="","",IF(AH108="Check Data ⚠","Check Data ⚠",VLOOKUP(AL108,'G-3 Multipliers'!$P$2:$Q$6,2,FALSE))),"")</f>
        <v/>
      </c>
      <c r="AN108" s="289" t="str">
        <f t="shared" si="20"/>
        <v/>
      </c>
      <c r="AO108" s="52"/>
      <c r="AP108" s="51"/>
      <c r="AQ108" s="104"/>
      <c r="AT108" s="35" t="str">
        <f t="shared" si="21"/>
        <v>No</v>
      </c>
      <c r="AU108" s="35" t="str">
        <f>IF(E108="","",IF(ISNA(VLOOKUP($E108,'A-1 On-Site Habitat Baseline'!$D$1:$AV$258,4,FALSE)),"",(VLOOKUP($E108,'A-1 On-Site Habitat Baseline'!$D$1:$AV$258,4,FALSE))))</f>
        <v/>
      </c>
    </row>
    <row r="109" spans="1:47" ht="14">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05" t="str">
        <f>'A-1 On-Site Habitat Baseline'!AL108</f>
        <v/>
      </c>
      <c r="F109" s="295" t="str">
        <f>IF(E109="","",IF(ISNA(VLOOKUP($E109,'A-1 On-Site Habitat Baseline'!$D$1:$AV$258,45,FALSE)),"",(VLOOKUP($E109,'A-1 On-Site Habitat Baseline'!$D$1:$AV$258,45,FALSE))))</f>
        <v/>
      </c>
      <c r="G109" s="295" t="str">
        <f>IF(E109="","",IF(ISNA(VLOOKUP($E109,'A-1 On-Site Habitat Baseline'!$D$1:$O$258,5,FALSE)),"",(VLOOKUP($E109,'A-1 On-Site Habitat Baseline'!$D$1:$O$258,5,FALSE))))</f>
        <v/>
      </c>
      <c r="H109" s="295" t="str">
        <f>IF(E109="","",IF(ISNA(VLOOKUP($E109,'A-1 On-Site Habitat Baseline'!$D$1:$O$258,6,FALSE)),"",(VLOOKUP($E109,'A-1 On-Site Habitat Baseline'!$D$1:$O$258,6,FALSE))))</f>
        <v/>
      </c>
      <c r="I109" s="295" t="str">
        <f>IF(E109="","",IF(ISNA(VLOOKUP($E109,'A-1 On-Site Habitat Baseline'!$D$1:$O$258,7,FALSE)),"",(VLOOKUP($E109,'A-1 On-Site Habitat Baseline'!$D$1:$O$258,7,FALSE))))</f>
        <v/>
      </c>
      <c r="J109" s="295" t="str">
        <f>IF(E109="","",IF(ISNA(VLOOKUP($E109,'A-1 On-Site Habitat Baseline'!$D$1:$O$258,8,FALSE)),"",(VLOOKUP($E109,'A-1 On-Site Habitat Baseline'!$D$1:$O$258,8,FALSE))))</f>
        <v/>
      </c>
      <c r="K109" s="295" t="str">
        <f>IF(E109="","",IF(ISNA(VLOOKUP($E109,'A-1 On-Site Habitat Baseline'!$D$1:$O$258,9,FALSE)),"",(VLOOKUP($E109,'A-1 On-Site Habitat Baseline'!$D$1:$O$258,9,FALSE))))</f>
        <v/>
      </c>
      <c r="L109" s="295" t="str">
        <f>IF(E109="","",IF(ISNA(VLOOKUP($E109,'A-1 On-Site Habitat Baseline'!$D$1:$O$258,11,FALSE)),"",(VLOOKUP($E109,'A-1 On-Site Habitat Baseline'!$D$1:$O$258,11,FALSE))))</f>
        <v/>
      </c>
      <c r="M109" s="295" t="str">
        <f>IF(E109="","",IF(ISNA(VLOOKUP($E109,'A-1 On-Site Habitat Baseline'!$D$1:$O$258,12,FALSE)),"",(VLOOKUP($E109,'A-1 On-Site Habitat Baseline'!$D$1:$O$258,12,FALSE))))</f>
        <v/>
      </c>
      <c r="N109" s="306" t="str">
        <f>IF(E109="","",IF(ISNA(VLOOKUP($E109,'A-1 On-Site Habitat Baseline'!$D$1:$X$258,14,FALSE)),"",(VLOOKUP($E109,'A-1 On-Site Habitat Baseline'!$D$1:$X$258,14,FALSE))))</f>
        <v/>
      </c>
      <c r="O109" s="299" t="str">
        <f>IF(E109="","",IF(ISNA(VLOOKUP($E109,'A-1 On-Site Habitat Baseline'!$D$1:$X$258,16,FALSE)),"",(VLOOKUP($E109,'A-1 On-Site Habitat Baseline'!$D$1:$X$258,13,FALSE))))</f>
        <v/>
      </c>
      <c r="P109" s="154" t="str">
        <f>IFERROR(INDEX('G-1 All Habitats'!$AG$49:$AG$63,MATCH(Q109,'G-1 All Habitats'!$AF$27:$AF$41,0)),"")</f>
        <v/>
      </c>
      <c r="Q109" s="155" t="str">
        <f t="shared" si="13"/>
        <v/>
      </c>
      <c r="R109" s="155"/>
      <c r="S109" s="237" t="str">
        <f>IFERROR(INDEX('G-1 All Habitats'!$B$3:$B$135,MATCH(R109,'G-1 All Habitats'!$A$3:$A$135,0)),"")</f>
        <v/>
      </c>
      <c r="T109" s="275" t="str">
        <f t="shared" si="14"/>
        <v/>
      </c>
      <c r="U109" s="276" t="str">
        <f t="shared" si="15"/>
        <v/>
      </c>
      <c r="V109" s="311" t="str">
        <f t="shared" si="11"/>
        <v/>
      </c>
      <c r="W109" s="295" t="str">
        <f>IF(S109="","",VLOOKUP(S109,'G-1 All Habitats'!$B$2:$M$135,10,FALSE))</f>
        <v/>
      </c>
      <c r="X109" s="295" t="str">
        <f>IFERROR(VLOOKUP(W109,'G-1 All Habitats'!$V$3:$W$7,2,FALSE),"")</f>
        <v/>
      </c>
      <c r="Y109" s="57"/>
      <c r="Z109" s="299" t="str">
        <f>IFERROR(INDEX('G-8 Condition Look up'!$A$3:$H$135,MATCH(S109,'G-8 Condition Look up'!$A$3:$A$135,0),MATCH(Y109,'G-8 Condition Look up'!$A$3:$H$3,0)),"")</f>
        <v/>
      </c>
      <c r="AA109" s="52"/>
      <c r="AB109" s="295" t="str">
        <f>IF(AA109="","",IF(VLOOKUP(AA109,'G-3 Multipliers'!$L$3:$N$6,2,FALSE)=0,"Spatial Data Missing ⚠",VLOOKUP(AA109,'G-3 Multipliers'!$L$3:$N$6,2,FALSE)))</f>
        <v/>
      </c>
      <c r="AC109" s="299" t="str">
        <f>IF(AA109="","",IF(VLOOKUP(AA109,'G-3 Multipliers'!$L$3:$N$6,3,FALSE)=0,"Spatial Data Missing ⚠",VLOOKUP(AA109,'G-3 Multipliers'!$L$3:$N$6,3,FALSE)))</f>
        <v/>
      </c>
      <c r="AD109" s="313" t="str">
        <f t="shared" si="12"/>
        <v/>
      </c>
      <c r="AE109" s="58"/>
      <c r="AF109" s="58"/>
      <c r="AG109" s="283" t="str">
        <f t="shared" si="16"/>
        <v/>
      </c>
      <c r="AH109" s="296" t="str">
        <f t="shared" si="17"/>
        <v/>
      </c>
      <c r="AI109" s="297" t="str">
        <f>IF(AH109="Check Data ⚠","Check Data ⚠",IFERROR(VLOOKUP(AH109,'G-4 Temporal multipliers'!$A$4:$C$36,3,FALSE),""))</f>
        <v/>
      </c>
      <c r="AJ109" s="275" t="str">
        <f>IF(S109="","",VLOOKUP(S109,'G-3 Multipliers'!$A$2:$E$134,4,FALSE))</f>
        <v/>
      </c>
      <c r="AK109" s="283" t="str">
        <f t="shared" si="18"/>
        <v/>
      </c>
      <c r="AL109" s="283" t="str">
        <f t="shared" si="19"/>
        <v/>
      </c>
      <c r="AM109" s="314" t="str">
        <f>IFERROR(IF(F109="","",IF(AH109="Check Data ⚠","Check Data ⚠",VLOOKUP(AL109,'G-3 Multipliers'!$P$2:$Q$6,2,FALSE))),"")</f>
        <v/>
      </c>
      <c r="AN109" s="289" t="str">
        <f t="shared" si="20"/>
        <v/>
      </c>
      <c r="AO109" s="52"/>
      <c r="AP109" s="51"/>
      <c r="AQ109" s="104"/>
      <c r="AT109" s="35" t="str">
        <f t="shared" si="21"/>
        <v>No</v>
      </c>
      <c r="AU109" s="35" t="str">
        <f>IF(E109="","",IF(ISNA(VLOOKUP($E109,'A-1 On-Site Habitat Baseline'!$D$1:$AV$258,4,FALSE)),"",(VLOOKUP($E109,'A-1 On-Site Habitat Baseline'!$D$1:$AV$258,4,FALSE))))</f>
        <v/>
      </c>
    </row>
    <row r="110" spans="1:47" ht="14">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05" t="str">
        <f>'A-1 On-Site Habitat Baseline'!AL109</f>
        <v/>
      </c>
      <c r="F110" s="295" t="str">
        <f>IF(E110="","",IF(ISNA(VLOOKUP($E110,'A-1 On-Site Habitat Baseline'!$D$1:$AV$258,45,FALSE)),"",(VLOOKUP($E110,'A-1 On-Site Habitat Baseline'!$D$1:$AV$258,45,FALSE))))</f>
        <v/>
      </c>
      <c r="G110" s="295" t="str">
        <f>IF(E110="","",IF(ISNA(VLOOKUP($E110,'A-1 On-Site Habitat Baseline'!$D$1:$O$258,5,FALSE)),"",(VLOOKUP($E110,'A-1 On-Site Habitat Baseline'!$D$1:$O$258,5,FALSE))))</f>
        <v/>
      </c>
      <c r="H110" s="295" t="str">
        <f>IF(E110="","",IF(ISNA(VLOOKUP($E110,'A-1 On-Site Habitat Baseline'!$D$1:$O$258,6,FALSE)),"",(VLOOKUP($E110,'A-1 On-Site Habitat Baseline'!$D$1:$O$258,6,FALSE))))</f>
        <v/>
      </c>
      <c r="I110" s="295" t="str">
        <f>IF(E110="","",IF(ISNA(VLOOKUP($E110,'A-1 On-Site Habitat Baseline'!$D$1:$O$258,7,FALSE)),"",(VLOOKUP($E110,'A-1 On-Site Habitat Baseline'!$D$1:$O$258,7,FALSE))))</f>
        <v/>
      </c>
      <c r="J110" s="295" t="str">
        <f>IF(E110="","",IF(ISNA(VLOOKUP($E110,'A-1 On-Site Habitat Baseline'!$D$1:$O$258,8,FALSE)),"",(VLOOKUP($E110,'A-1 On-Site Habitat Baseline'!$D$1:$O$258,8,FALSE))))</f>
        <v/>
      </c>
      <c r="K110" s="295" t="str">
        <f>IF(E110="","",IF(ISNA(VLOOKUP($E110,'A-1 On-Site Habitat Baseline'!$D$1:$O$258,9,FALSE)),"",(VLOOKUP($E110,'A-1 On-Site Habitat Baseline'!$D$1:$O$258,9,FALSE))))</f>
        <v/>
      </c>
      <c r="L110" s="295" t="str">
        <f>IF(E110="","",IF(ISNA(VLOOKUP($E110,'A-1 On-Site Habitat Baseline'!$D$1:$O$258,11,FALSE)),"",(VLOOKUP($E110,'A-1 On-Site Habitat Baseline'!$D$1:$O$258,11,FALSE))))</f>
        <v/>
      </c>
      <c r="M110" s="295" t="str">
        <f>IF(E110="","",IF(ISNA(VLOOKUP($E110,'A-1 On-Site Habitat Baseline'!$D$1:$O$258,12,FALSE)),"",(VLOOKUP($E110,'A-1 On-Site Habitat Baseline'!$D$1:$O$258,12,FALSE))))</f>
        <v/>
      </c>
      <c r="N110" s="306" t="str">
        <f>IF(E110="","",IF(ISNA(VLOOKUP($E110,'A-1 On-Site Habitat Baseline'!$D$1:$X$258,14,FALSE)),"",(VLOOKUP($E110,'A-1 On-Site Habitat Baseline'!$D$1:$X$258,14,FALSE))))</f>
        <v/>
      </c>
      <c r="O110" s="299" t="str">
        <f>IF(E110="","",IF(ISNA(VLOOKUP($E110,'A-1 On-Site Habitat Baseline'!$D$1:$X$258,16,FALSE)),"",(VLOOKUP($E110,'A-1 On-Site Habitat Baseline'!$D$1:$X$258,13,FALSE))))</f>
        <v/>
      </c>
      <c r="P110" s="154" t="str">
        <f>IFERROR(INDEX('G-1 All Habitats'!$AG$49:$AG$63,MATCH(Q110,'G-1 All Habitats'!$AF$27:$AF$41,0)),"")</f>
        <v/>
      </c>
      <c r="Q110" s="155" t="str">
        <f t="shared" si="13"/>
        <v/>
      </c>
      <c r="R110" s="155"/>
      <c r="S110" s="237" t="str">
        <f>IFERROR(INDEX('G-1 All Habitats'!$B$3:$B$135,MATCH(R110,'G-1 All Habitats'!$A$3:$A$135,0)),"")</f>
        <v/>
      </c>
      <c r="T110" s="275" t="str">
        <f t="shared" si="14"/>
        <v/>
      </c>
      <c r="U110" s="276" t="str">
        <f t="shared" si="15"/>
        <v/>
      </c>
      <c r="V110" s="311" t="str">
        <f t="shared" si="11"/>
        <v/>
      </c>
      <c r="W110" s="295" t="str">
        <f>IF(S110="","",VLOOKUP(S110,'G-1 All Habitats'!$B$2:$M$135,10,FALSE))</f>
        <v/>
      </c>
      <c r="X110" s="295" t="str">
        <f>IFERROR(VLOOKUP(W110,'G-1 All Habitats'!$V$3:$W$7,2,FALSE),"")</f>
        <v/>
      </c>
      <c r="Y110" s="57"/>
      <c r="Z110" s="299" t="str">
        <f>IFERROR(INDEX('G-8 Condition Look up'!$A$3:$H$135,MATCH(S110,'G-8 Condition Look up'!$A$3:$A$135,0),MATCH(Y110,'G-8 Condition Look up'!$A$3:$H$3,0)),"")</f>
        <v/>
      </c>
      <c r="AA110" s="52"/>
      <c r="AB110" s="295" t="str">
        <f>IF(AA110="","",IF(VLOOKUP(AA110,'G-3 Multipliers'!$L$3:$N$6,2,FALSE)=0,"Spatial Data Missing ⚠",VLOOKUP(AA110,'G-3 Multipliers'!$L$3:$N$6,2,FALSE)))</f>
        <v/>
      </c>
      <c r="AC110" s="299" t="str">
        <f>IF(AA110="","",IF(VLOOKUP(AA110,'G-3 Multipliers'!$L$3:$N$6,3,FALSE)=0,"Spatial Data Missing ⚠",VLOOKUP(AA110,'G-3 Multipliers'!$L$3:$N$6,3,FALSE)))</f>
        <v/>
      </c>
      <c r="AD110" s="313" t="str">
        <f t="shared" si="12"/>
        <v/>
      </c>
      <c r="AE110" s="58"/>
      <c r="AF110" s="58"/>
      <c r="AG110" s="283" t="str">
        <f t="shared" si="16"/>
        <v/>
      </c>
      <c r="AH110" s="296" t="str">
        <f t="shared" si="17"/>
        <v/>
      </c>
      <c r="AI110" s="297" t="str">
        <f>IF(AH110="Check Data ⚠","Check Data ⚠",IFERROR(VLOOKUP(AH110,'G-4 Temporal multipliers'!$A$4:$C$36,3,FALSE),""))</f>
        <v/>
      </c>
      <c r="AJ110" s="275" t="str">
        <f>IF(S110="","",VLOOKUP(S110,'G-3 Multipliers'!$A$2:$E$134,4,FALSE))</f>
        <v/>
      </c>
      <c r="AK110" s="283" t="str">
        <f t="shared" si="18"/>
        <v/>
      </c>
      <c r="AL110" s="283" t="str">
        <f t="shared" si="19"/>
        <v/>
      </c>
      <c r="AM110" s="314" t="str">
        <f>IFERROR(IF(F110="","",IF(AH110="Check Data ⚠","Check Data ⚠",VLOOKUP(AL110,'G-3 Multipliers'!$P$2:$Q$6,2,FALSE))),"")</f>
        <v/>
      </c>
      <c r="AN110" s="289" t="str">
        <f t="shared" si="20"/>
        <v/>
      </c>
      <c r="AO110" s="52"/>
      <c r="AP110" s="51"/>
      <c r="AQ110" s="104"/>
      <c r="AT110" s="35" t="str">
        <f t="shared" si="21"/>
        <v>No</v>
      </c>
      <c r="AU110" s="35" t="str">
        <f>IF(E110="","",IF(ISNA(VLOOKUP($E110,'A-1 On-Site Habitat Baseline'!$D$1:$AV$258,4,FALSE)),"",(VLOOKUP($E110,'A-1 On-Site Habitat Baseline'!$D$1:$AV$258,4,FALSE))))</f>
        <v/>
      </c>
    </row>
    <row r="111" spans="1:47" ht="14">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05" t="str">
        <f>'A-1 On-Site Habitat Baseline'!AL110</f>
        <v/>
      </c>
      <c r="F111" s="295" t="str">
        <f>IF(E111="","",IF(ISNA(VLOOKUP($E111,'A-1 On-Site Habitat Baseline'!$D$1:$AV$258,45,FALSE)),"",(VLOOKUP($E111,'A-1 On-Site Habitat Baseline'!$D$1:$AV$258,45,FALSE))))</f>
        <v/>
      </c>
      <c r="G111" s="295" t="str">
        <f>IF(E111="","",IF(ISNA(VLOOKUP($E111,'A-1 On-Site Habitat Baseline'!$D$1:$O$258,5,FALSE)),"",(VLOOKUP($E111,'A-1 On-Site Habitat Baseline'!$D$1:$O$258,5,FALSE))))</f>
        <v/>
      </c>
      <c r="H111" s="295" t="str">
        <f>IF(E111="","",IF(ISNA(VLOOKUP($E111,'A-1 On-Site Habitat Baseline'!$D$1:$O$258,6,FALSE)),"",(VLOOKUP($E111,'A-1 On-Site Habitat Baseline'!$D$1:$O$258,6,FALSE))))</f>
        <v/>
      </c>
      <c r="I111" s="295" t="str">
        <f>IF(E111="","",IF(ISNA(VLOOKUP($E111,'A-1 On-Site Habitat Baseline'!$D$1:$O$258,7,FALSE)),"",(VLOOKUP($E111,'A-1 On-Site Habitat Baseline'!$D$1:$O$258,7,FALSE))))</f>
        <v/>
      </c>
      <c r="J111" s="295" t="str">
        <f>IF(E111="","",IF(ISNA(VLOOKUP($E111,'A-1 On-Site Habitat Baseline'!$D$1:$O$258,8,FALSE)),"",(VLOOKUP($E111,'A-1 On-Site Habitat Baseline'!$D$1:$O$258,8,FALSE))))</f>
        <v/>
      </c>
      <c r="K111" s="295" t="str">
        <f>IF(E111="","",IF(ISNA(VLOOKUP($E111,'A-1 On-Site Habitat Baseline'!$D$1:$O$258,9,FALSE)),"",(VLOOKUP($E111,'A-1 On-Site Habitat Baseline'!$D$1:$O$258,9,FALSE))))</f>
        <v/>
      </c>
      <c r="L111" s="295" t="str">
        <f>IF(E111="","",IF(ISNA(VLOOKUP($E111,'A-1 On-Site Habitat Baseline'!$D$1:$O$258,11,FALSE)),"",(VLOOKUP($E111,'A-1 On-Site Habitat Baseline'!$D$1:$O$258,11,FALSE))))</f>
        <v/>
      </c>
      <c r="M111" s="295" t="str">
        <f>IF(E111="","",IF(ISNA(VLOOKUP($E111,'A-1 On-Site Habitat Baseline'!$D$1:$O$258,12,FALSE)),"",(VLOOKUP($E111,'A-1 On-Site Habitat Baseline'!$D$1:$O$258,12,FALSE))))</f>
        <v/>
      </c>
      <c r="N111" s="306" t="str">
        <f>IF(E111="","",IF(ISNA(VLOOKUP($E111,'A-1 On-Site Habitat Baseline'!$D$1:$X$258,14,FALSE)),"",(VLOOKUP($E111,'A-1 On-Site Habitat Baseline'!$D$1:$X$258,14,FALSE))))</f>
        <v/>
      </c>
      <c r="O111" s="299" t="str">
        <f>IF(E111="","",IF(ISNA(VLOOKUP($E111,'A-1 On-Site Habitat Baseline'!$D$1:$X$258,16,FALSE)),"",(VLOOKUP($E111,'A-1 On-Site Habitat Baseline'!$D$1:$X$258,13,FALSE))))</f>
        <v/>
      </c>
      <c r="P111" s="154" t="str">
        <f>IFERROR(INDEX('G-1 All Habitats'!$AG$49:$AG$63,MATCH(Q111,'G-1 All Habitats'!$AF$27:$AF$41,0)),"")</f>
        <v/>
      </c>
      <c r="Q111" s="155" t="str">
        <f t="shared" si="13"/>
        <v/>
      </c>
      <c r="R111" s="155"/>
      <c r="S111" s="237" t="str">
        <f>IFERROR(INDEX('G-1 All Habitats'!$B$3:$B$135,MATCH(R111,'G-1 All Habitats'!$A$3:$A$135,0)),"")</f>
        <v/>
      </c>
      <c r="T111" s="275" t="str">
        <f t="shared" si="14"/>
        <v/>
      </c>
      <c r="U111" s="276" t="str">
        <f t="shared" si="15"/>
        <v/>
      </c>
      <c r="V111" s="311" t="str">
        <f t="shared" si="11"/>
        <v/>
      </c>
      <c r="W111" s="295" t="str">
        <f>IF(S111="","",VLOOKUP(S111,'G-1 All Habitats'!$B$2:$M$135,10,FALSE))</f>
        <v/>
      </c>
      <c r="X111" s="295" t="str">
        <f>IFERROR(VLOOKUP(W111,'G-1 All Habitats'!$V$3:$W$7,2,FALSE),"")</f>
        <v/>
      </c>
      <c r="Y111" s="57"/>
      <c r="Z111" s="299" t="str">
        <f>IFERROR(INDEX('G-8 Condition Look up'!$A$3:$H$135,MATCH(S111,'G-8 Condition Look up'!$A$3:$A$135,0),MATCH(Y111,'G-8 Condition Look up'!$A$3:$H$3,0)),"")</f>
        <v/>
      </c>
      <c r="AA111" s="52"/>
      <c r="AB111" s="295" t="str">
        <f>IF(AA111="","",IF(VLOOKUP(AA111,'G-3 Multipliers'!$L$3:$N$6,2,FALSE)=0,"Spatial Data Missing ⚠",VLOOKUP(AA111,'G-3 Multipliers'!$L$3:$N$6,2,FALSE)))</f>
        <v/>
      </c>
      <c r="AC111" s="299" t="str">
        <f>IF(AA111="","",IF(VLOOKUP(AA111,'G-3 Multipliers'!$L$3:$N$6,3,FALSE)=0,"Spatial Data Missing ⚠",VLOOKUP(AA111,'G-3 Multipliers'!$L$3:$N$6,3,FALSE)))</f>
        <v/>
      </c>
      <c r="AD111" s="313" t="str">
        <f t="shared" si="12"/>
        <v/>
      </c>
      <c r="AE111" s="58"/>
      <c r="AF111" s="58"/>
      <c r="AG111" s="283" t="str">
        <f t="shared" si="16"/>
        <v/>
      </c>
      <c r="AH111" s="296" t="str">
        <f t="shared" si="17"/>
        <v/>
      </c>
      <c r="AI111" s="297" t="str">
        <f>IF(AH111="Check Data ⚠","Check Data ⚠",IFERROR(VLOOKUP(AH111,'G-4 Temporal multipliers'!$A$4:$C$36,3,FALSE),""))</f>
        <v/>
      </c>
      <c r="AJ111" s="275" t="str">
        <f>IF(S111="","",VLOOKUP(S111,'G-3 Multipliers'!$A$2:$E$134,4,FALSE))</f>
        <v/>
      </c>
      <c r="AK111" s="283" t="str">
        <f t="shared" si="18"/>
        <v/>
      </c>
      <c r="AL111" s="283" t="str">
        <f t="shared" si="19"/>
        <v/>
      </c>
      <c r="AM111" s="314" t="str">
        <f>IFERROR(IF(F111="","",IF(AH111="Check Data ⚠","Check Data ⚠",VLOOKUP(AL111,'G-3 Multipliers'!$P$2:$Q$6,2,FALSE))),"")</f>
        <v/>
      </c>
      <c r="AN111" s="289" t="str">
        <f t="shared" si="20"/>
        <v/>
      </c>
      <c r="AO111" s="52"/>
      <c r="AP111" s="51"/>
      <c r="AQ111" s="104"/>
      <c r="AT111" s="35" t="str">
        <f t="shared" si="21"/>
        <v>No</v>
      </c>
      <c r="AU111" s="35" t="str">
        <f>IF(E111="","",IF(ISNA(VLOOKUP($E111,'A-1 On-Site Habitat Baseline'!$D$1:$AV$258,4,FALSE)),"",(VLOOKUP($E111,'A-1 On-Site Habitat Baseline'!$D$1:$AV$258,4,FALSE))))</f>
        <v/>
      </c>
    </row>
    <row r="112" spans="1:47" ht="14">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05" t="str">
        <f>'A-1 On-Site Habitat Baseline'!AL111</f>
        <v/>
      </c>
      <c r="F112" s="295" t="str">
        <f>IF(E112="","",IF(ISNA(VLOOKUP($E112,'A-1 On-Site Habitat Baseline'!$D$1:$AV$258,45,FALSE)),"",(VLOOKUP($E112,'A-1 On-Site Habitat Baseline'!$D$1:$AV$258,45,FALSE))))</f>
        <v/>
      </c>
      <c r="G112" s="295" t="str">
        <f>IF(E112="","",IF(ISNA(VLOOKUP($E112,'A-1 On-Site Habitat Baseline'!$D$1:$O$258,5,FALSE)),"",(VLOOKUP($E112,'A-1 On-Site Habitat Baseline'!$D$1:$O$258,5,FALSE))))</f>
        <v/>
      </c>
      <c r="H112" s="295" t="str">
        <f>IF(E112="","",IF(ISNA(VLOOKUP($E112,'A-1 On-Site Habitat Baseline'!$D$1:$O$258,6,FALSE)),"",(VLOOKUP($E112,'A-1 On-Site Habitat Baseline'!$D$1:$O$258,6,FALSE))))</f>
        <v/>
      </c>
      <c r="I112" s="295" t="str">
        <f>IF(E112="","",IF(ISNA(VLOOKUP($E112,'A-1 On-Site Habitat Baseline'!$D$1:$O$258,7,FALSE)),"",(VLOOKUP($E112,'A-1 On-Site Habitat Baseline'!$D$1:$O$258,7,FALSE))))</f>
        <v/>
      </c>
      <c r="J112" s="295" t="str">
        <f>IF(E112="","",IF(ISNA(VLOOKUP($E112,'A-1 On-Site Habitat Baseline'!$D$1:$O$258,8,FALSE)),"",(VLOOKUP($E112,'A-1 On-Site Habitat Baseline'!$D$1:$O$258,8,FALSE))))</f>
        <v/>
      </c>
      <c r="K112" s="295" t="str">
        <f>IF(E112="","",IF(ISNA(VLOOKUP($E112,'A-1 On-Site Habitat Baseline'!$D$1:$O$258,9,FALSE)),"",(VLOOKUP($E112,'A-1 On-Site Habitat Baseline'!$D$1:$O$258,9,FALSE))))</f>
        <v/>
      </c>
      <c r="L112" s="295" t="str">
        <f>IF(E112="","",IF(ISNA(VLOOKUP($E112,'A-1 On-Site Habitat Baseline'!$D$1:$O$258,11,FALSE)),"",(VLOOKUP($E112,'A-1 On-Site Habitat Baseline'!$D$1:$O$258,11,FALSE))))</f>
        <v/>
      </c>
      <c r="M112" s="295" t="str">
        <f>IF(E112="","",IF(ISNA(VLOOKUP($E112,'A-1 On-Site Habitat Baseline'!$D$1:$O$258,12,FALSE)),"",(VLOOKUP($E112,'A-1 On-Site Habitat Baseline'!$D$1:$O$258,12,FALSE))))</f>
        <v/>
      </c>
      <c r="N112" s="306" t="str">
        <f>IF(E112="","",IF(ISNA(VLOOKUP($E112,'A-1 On-Site Habitat Baseline'!$D$1:$X$258,14,FALSE)),"",(VLOOKUP($E112,'A-1 On-Site Habitat Baseline'!$D$1:$X$258,14,FALSE))))</f>
        <v/>
      </c>
      <c r="O112" s="299" t="str">
        <f>IF(E112="","",IF(ISNA(VLOOKUP($E112,'A-1 On-Site Habitat Baseline'!$D$1:$X$258,16,FALSE)),"",(VLOOKUP($E112,'A-1 On-Site Habitat Baseline'!$D$1:$X$258,13,FALSE))))</f>
        <v/>
      </c>
      <c r="P112" s="154" t="str">
        <f>IFERROR(INDEX('G-1 All Habitats'!$AG$49:$AG$63,MATCH(Q112,'G-1 All Habitats'!$AF$27:$AF$41,0)),"")</f>
        <v/>
      </c>
      <c r="Q112" s="155" t="str">
        <f t="shared" si="13"/>
        <v/>
      </c>
      <c r="R112" s="155"/>
      <c r="S112" s="237" t="str">
        <f>IFERROR(INDEX('G-1 All Habitats'!$B$3:$B$135,MATCH(R112,'G-1 All Habitats'!$A$3:$A$135,0)),"")</f>
        <v/>
      </c>
      <c r="T112" s="275" t="str">
        <f t="shared" si="14"/>
        <v/>
      </c>
      <c r="U112" s="276" t="str">
        <f t="shared" si="15"/>
        <v/>
      </c>
      <c r="V112" s="311" t="str">
        <f t="shared" si="11"/>
        <v/>
      </c>
      <c r="W112" s="295" t="str">
        <f>IF(S112="","",VLOOKUP(S112,'G-1 All Habitats'!$B$2:$M$135,10,FALSE))</f>
        <v/>
      </c>
      <c r="X112" s="295" t="str">
        <f>IFERROR(VLOOKUP(W112,'G-1 All Habitats'!$V$3:$W$7,2,FALSE),"")</f>
        <v/>
      </c>
      <c r="Y112" s="57"/>
      <c r="Z112" s="299" t="str">
        <f>IFERROR(INDEX('G-8 Condition Look up'!$A$3:$H$135,MATCH(S112,'G-8 Condition Look up'!$A$3:$A$135,0),MATCH(Y112,'G-8 Condition Look up'!$A$3:$H$3,0)),"")</f>
        <v/>
      </c>
      <c r="AA112" s="52"/>
      <c r="AB112" s="295" t="str">
        <f>IF(AA112="","",IF(VLOOKUP(AA112,'G-3 Multipliers'!$L$3:$N$6,2,FALSE)=0,"Spatial Data Missing ⚠",VLOOKUP(AA112,'G-3 Multipliers'!$L$3:$N$6,2,FALSE)))</f>
        <v/>
      </c>
      <c r="AC112" s="299" t="str">
        <f>IF(AA112="","",IF(VLOOKUP(AA112,'G-3 Multipliers'!$L$3:$N$6,3,FALSE)=0,"Spatial Data Missing ⚠",VLOOKUP(AA112,'G-3 Multipliers'!$L$3:$N$6,3,FALSE)))</f>
        <v/>
      </c>
      <c r="AD112" s="313" t="str">
        <f t="shared" si="12"/>
        <v/>
      </c>
      <c r="AE112" s="58"/>
      <c r="AF112" s="58"/>
      <c r="AG112" s="283" t="str">
        <f t="shared" si="16"/>
        <v/>
      </c>
      <c r="AH112" s="296" t="str">
        <f t="shared" si="17"/>
        <v/>
      </c>
      <c r="AI112" s="297" t="str">
        <f>IF(AH112="Check Data ⚠","Check Data ⚠",IFERROR(VLOOKUP(AH112,'G-4 Temporal multipliers'!$A$4:$C$36,3,FALSE),""))</f>
        <v/>
      </c>
      <c r="AJ112" s="275" t="str">
        <f>IF(S112="","",VLOOKUP(S112,'G-3 Multipliers'!$A$2:$E$134,4,FALSE))</f>
        <v/>
      </c>
      <c r="AK112" s="283" t="str">
        <f t="shared" si="18"/>
        <v/>
      </c>
      <c r="AL112" s="283" t="str">
        <f t="shared" si="19"/>
        <v/>
      </c>
      <c r="AM112" s="314" t="str">
        <f>IFERROR(IF(F112="","",IF(AH112="Check Data ⚠","Check Data ⚠",VLOOKUP(AL112,'G-3 Multipliers'!$P$2:$Q$6,2,FALSE))),"")</f>
        <v/>
      </c>
      <c r="AN112" s="289" t="str">
        <f t="shared" si="20"/>
        <v/>
      </c>
      <c r="AO112" s="52"/>
      <c r="AP112" s="51"/>
      <c r="AQ112" s="104"/>
      <c r="AT112" s="35" t="str">
        <f t="shared" si="21"/>
        <v>No</v>
      </c>
      <c r="AU112" s="35" t="str">
        <f>IF(E112="","",IF(ISNA(VLOOKUP($E112,'A-1 On-Site Habitat Baseline'!$D$1:$AV$258,4,FALSE)),"",(VLOOKUP($E112,'A-1 On-Site Habitat Baseline'!$D$1:$AV$258,4,FALSE))))</f>
        <v/>
      </c>
    </row>
    <row r="113" spans="1:47" ht="14">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05" t="str">
        <f>'A-1 On-Site Habitat Baseline'!AL112</f>
        <v/>
      </c>
      <c r="F113" s="295" t="str">
        <f>IF(E113="","",IF(ISNA(VLOOKUP($E113,'A-1 On-Site Habitat Baseline'!$D$1:$AV$258,45,FALSE)),"",(VLOOKUP($E113,'A-1 On-Site Habitat Baseline'!$D$1:$AV$258,45,FALSE))))</f>
        <v/>
      </c>
      <c r="G113" s="295" t="str">
        <f>IF(E113="","",IF(ISNA(VLOOKUP($E113,'A-1 On-Site Habitat Baseline'!$D$1:$O$258,5,FALSE)),"",(VLOOKUP($E113,'A-1 On-Site Habitat Baseline'!$D$1:$O$258,5,FALSE))))</f>
        <v/>
      </c>
      <c r="H113" s="295" t="str">
        <f>IF(E113="","",IF(ISNA(VLOOKUP($E113,'A-1 On-Site Habitat Baseline'!$D$1:$O$258,6,FALSE)),"",(VLOOKUP($E113,'A-1 On-Site Habitat Baseline'!$D$1:$O$258,6,FALSE))))</f>
        <v/>
      </c>
      <c r="I113" s="295" t="str">
        <f>IF(E113="","",IF(ISNA(VLOOKUP($E113,'A-1 On-Site Habitat Baseline'!$D$1:$O$258,7,FALSE)),"",(VLOOKUP($E113,'A-1 On-Site Habitat Baseline'!$D$1:$O$258,7,FALSE))))</f>
        <v/>
      </c>
      <c r="J113" s="295" t="str">
        <f>IF(E113="","",IF(ISNA(VLOOKUP($E113,'A-1 On-Site Habitat Baseline'!$D$1:$O$258,8,FALSE)),"",(VLOOKUP($E113,'A-1 On-Site Habitat Baseline'!$D$1:$O$258,8,FALSE))))</f>
        <v/>
      </c>
      <c r="K113" s="295" t="str">
        <f>IF(E113="","",IF(ISNA(VLOOKUP($E113,'A-1 On-Site Habitat Baseline'!$D$1:$O$258,9,FALSE)),"",(VLOOKUP($E113,'A-1 On-Site Habitat Baseline'!$D$1:$O$258,9,FALSE))))</f>
        <v/>
      </c>
      <c r="L113" s="295" t="str">
        <f>IF(E113="","",IF(ISNA(VLOOKUP($E113,'A-1 On-Site Habitat Baseline'!$D$1:$O$258,11,FALSE)),"",(VLOOKUP($E113,'A-1 On-Site Habitat Baseline'!$D$1:$O$258,11,FALSE))))</f>
        <v/>
      </c>
      <c r="M113" s="295" t="str">
        <f>IF(E113="","",IF(ISNA(VLOOKUP($E113,'A-1 On-Site Habitat Baseline'!$D$1:$O$258,12,FALSE)),"",(VLOOKUP($E113,'A-1 On-Site Habitat Baseline'!$D$1:$O$258,12,FALSE))))</f>
        <v/>
      </c>
      <c r="N113" s="306" t="str">
        <f>IF(E113="","",IF(ISNA(VLOOKUP($E113,'A-1 On-Site Habitat Baseline'!$D$1:$X$258,14,FALSE)),"",(VLOOKUP($E113,'A-1 On-Site Habitat Baseline'!$D$1:$X$258,14,FALSE))))</f>
        <v/>
      </c>
      <c r="O113" s="299" t="str">
        <f>IF(E113="","",IF(ISNA(VLOOKUP($E113,'A-1 On-Site Habitat Baseline'!$D$1:$X$258,16,FALSE)),"",(VLOOKUP($E113,'A-1 On-Site Habitat Baseline'!$D$1:$X$258,13,FALSE))))</f>
        <v/>
      </c>
      <c r="P113" s="154" t="str">
        <f>IFERROR(INDEX('G-1 All Habitats'!$AG$49:$AG$63,MATCH(Q113,'G-1 All Habitats'!$AF$27:$AF$41,0)),"")</f>
        <v/>
      </c>
      <c r="Q113" s="155" t="str">
        <f t="shared" si="13"/>
        <v/>
      </c>
      <c r="R113" s="155"/>
      <c r="S113" s="237" t="str">
        <f>IFERROR(INDEX('G-1 All Habitats'!$B$3:$B$135,MATCH(R113,'G-1 All Habitats'!$A$3:$A$135,0)),"")</f>
        <v/>
      </c>
      <c r="T113" s="275" t="str">
        <f t="shared" si="14"/>
        <v/>
      </c>
      <c r="U113" s="276" t="str">
        <f t="shared" si="15"/>
        <v/>
      </c>
      <c r="V113" s="311" t="str">
        <f t="shared" si="11"/>
        <v/>
      </c>
      <c r="W113" s="295" t="str">
        <f>IF(S113="","",VLOOKUP(S113,'G-1 All Habitats'!$B$2:$M$135,10,FALSE))</f>
        <v/>
      </c>
      <c r="X113" s="295" t="str">
        <f>IFERROR(VLOOKUP(W113,'G-1 All Habitats'!$V$3:$W$7,2,FALSE),"")</f>
        <v/>
      </c>
      <c r="Y113" s="57"/>
      <c r="Z113" s="299" t="str">
        <f>IFERROR(INDEX('G-8 Condition Look up'!$A$3:$H$135,MATCH(S113,'G-8 Condition Look up'!$A$3:$A$135,0),MATCH(Y113,'G-8 Condition Look up'!$A$3:$H$3,0)),"")</f>
        <v/>
      </c>
      <c r="AA113" s="52"/>
      <c r="AB113" s="295" t="str">
        <f>IF(AA113="","",IF(VLOOKUP(AA113,'G-3 Multipliers'!$L$3:$N$6,2,FALSE)=0,"Spatial Data Missing ⚠",VLOOKUP(AA113,'G-3 Multipliers'!$L$3:$N$6,2,FALSE)))</f>
        <v/>
      </c>
      <c r="AC113" s="299" t="str">
        <f>IF(AA113="","",IF(VLOOKUP(AA113,'G-3 Multipliers'!$L$3:$N$6,3,FALSE)=0,"Spatial Data Missing ⚠",VLOOKUP(AA113,'G-3 Multipliers'!$L$3:$N$6,3,FALSE)))</f>
        <v/>
      </c>
      <c r="AD113" s="313" t="str">
        <f t="shared" si="12"/>
        <v/>
      </c>
      <c r="AE113" s="58"/>
      <c r="AF113" s="58"/>
      <c r="AG113" s="283" t="str">
        <f t="shared" si="16"/>
        <v/>
      </c>
      <c r="AH113" s="296" t="str">
        <f t="shared" si="17"/>
        <v/>
      </c>
      <c r="AI113" s="297" t="str">
        <f>IF(AH113="Check Data ⚠","Check Data ⚠",IFERROR(VLOOKUP(AH113,'G-4 Temporal multipliers'!$A$4:$C$36,3,FALSE),""))</f>
        <v/>
      </c>
      <c r="AJ113" s="275" t="str">
        <f>IF(S113="","",VLOOKUP(S113,'G-3 Multipliers'!$A$2:$E$134,4,FALSE))</f>
        <v/>
      </c>
      <c r="AK113" s="283" t="str">
        <f t="shared" si="18"/>
        <v/>
      </c>
      <c r="AL113" s="283" t="str">
        <f t="shared" si="19"/>
        <v/>
      </c>
      <c r="AM113" s="314" t="str">
        <f>IFERROR(IF(F113="","",IF(AH113="Check Data ⚠","Check Data ⚠",VLOOKUP(AL113,'G-3 Multipliers'!$P$2:$Q$6,2,FALSE))),"")</f>
        <v/>
      </c>
      <c r="AN113" s="289" t="str">
        <f t="shared" si="20"/>
        <v/>
      </c>
      <c r="AO113" s="52"/>
      <c r="AP113" s="51"/>
      <c r="AQ113" s="104"/>
      <c r="AT113" s="35" t="str">
        <f t="shared" si="21"/>
        <v>No</v>
      </c>
      <c r="AU113" s="35" t="str">
        <f>IF(E113="","",IF(ISNA(VLOOKUP($E113,'A-1 On-Site Habitat Baseline'!$D$1:$AV$258,4,FALSE)),"",(VLOOKUP($E113,'A-1 On-Site Habitat Baseline'!$D$1:$AV$258,4,FALSE))))</f>
        <v/>
      </c>
    </row>
    <row r="114" spans="1:47" ht="14">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05" t="str">
        <f>'A-1 On-Site Habitat Baseline'!AL113</f>
        <v/>
      </c>
      <c r="F114" s="295" t="str">
        <f>IF(E114="","",IF(ISNA(VLOOKUP($E114,'A-1 On-Site Habitat Baseline'!$D$1:$AV$258,45,FALSE)),"",(VLOOKUP($E114,'A-1 On-Site Habitat Baseline'!$D$1:$AV$258,45,FALSE))))</f>
        <v/>
      </c>
      <c r="G114" s="295" t="str">
        <f>IF(E114="","",IF(ISNA(VLOOKUP($E114,'A-1 On-Site Habitat Baseline'!$D$1:$O$258,5,FALSE)),"",(VLOOKUP($E114,'A-1 On-Site Habitat Baseline'!$D$1:$O$258,5,FALSE))))</f>
        <v/>
      </c>
      <c r="H114" s="295" t="str">
        <f>IF(E114="","",IF(ISNA(VLOOKUP($E114,'A-1 On-Site Habitat Baseline'!$D$1:$O$258,6,FALSE)),"",(VLOOKUP($E114,'A-1 On-Site Habitat Baseline'!$D$1:$O$258,6,FALSE))))</f>
        <v/>
      </c>
      <c r="I114" s="295" t="str">
        <f>IF(E114="","",IF(ISNA(VLOOKUP($E114,'A-1 On-Site Habitat Baseline'!$D$1:$O$258,7,FALSE)),"",(VLOOKUP($E114,'A-1 On-Site Habitat Baseline'!$D$1:$O$258,7,FALSE))))</f>
        <v/>
      </c>
      <c r="J114" s="295" t="str">
        <f>IF(E114="","",IF(ISNA(VLOOKUP($E114,'A-1 On-Site Habitat Baseline'!$D$1:$O$258,8,FALSE)),"",(VLOOKUP($E114,'A-1 On-Site Habitat Baseline'!$D$1:$O$258,8,FALSE))))</f>
        <v/>
      </c>
      <c r="K114" s="295" t="str">
        <f>IF(E114="","",IF(ISNA(VLOOKUP($E114,'A-1 On-Site Habitat Baseline'!$D$1:$O$258,9,FALSE)),"",(VLOOKUP($E114,'A-1 On-Site Habitat Baseline'!$D$1:$O$258,9,FALSE))))</f>
        <v/>
      </c>
      <c r="L114" s="295" t="str">
        <f>IF(E114="","",IF(ISNA(VLOOKUP($E114,'A-1 On-Site Habitat Baseline'!$D$1:$O$258,11,FALSE)),"",(VLOOKUP($E114,'A-1 On-Site Habitat Baseline'!$D$1:$O$258,11,FALSE))))</f>
        <v/>
      </c>
      <c r="M114" s="295" t="str">
        <f>IF(E114="","",IF(ISNA(VLOOKUP($E114,'A-1 On-Site Habitat Baseline'!$D$1:$O$258,12,FALSE)),"",(VLOOKUP($E114,'A-1 On-Site Habitat Baseline'!$D$1:$O$258,12,FALSE))))</f>
        <v/>
      </c>
      <c r="N114" s="306" t="str">
        <f>IF(E114="","",IF(ISNA(VLOOKUP($E114,'A-1 On-Site Habitat Baseline'!$D$1:$X$258,14,FALSE)),"",(VLOOKUP($E114,'A-1 On-Site Habitat Baseline'!$D$1:$X$258,14,FALSE))))</f>
        <v/>
      </c>
      <c r="O114" s="299" t="str">
        <f>IF(E114="","",IF(ISNA(VLOOKUP($E114,'A-1 On-Site Habitat Baseline'!$D$1:$X$258,16,FALSE)),"",(VLOOKUP($E114,'A-1 On-Site Habitat Baseline'!$D$1:$X$258,13,FALSE))))</f>
        <v/>
      </c>
      <c r="P114" s="154" t="str">
        <f>IFERROR(INDEX('G-1 All Habitats'!$AG$49:$AG$63,MATCH(Q114,'G-1 All Habitats'!$AF$27:$AF$41,0)),"")</f>
        <v/>
      </c>
      <c r="Q114" s="155" t="str">
        <f t="shared" si="13"/>
        <v/>
      </c>
      <c r="R114" s="155"/>
      <c r="S114" s="237" t="str">
        <f>IFERROR(INDEX('G-1 All Habitats'!$B$3:$B$135,MATCH(R114,'G-1 All Habitats'!$A$3:$A$135,0)),"")</f>
        <v/>
      </c>
      <c r="T114" s="275" t="str">
        <f t="shared" si="14"/>
        <v/>
      </c>
      <c r="U114" s="276" t="str">
        <f t="shared" si="15"/>
        <v/>
      </c>
      <c r="V114" s="311" t="str">
        <f t="shared" si="11"/>
        <v/>
      </c>
      <c r="W114" s="295" t="str">
        <f>IF(S114="","",VLOOKUP(S114,'G-1 All Habitats'!$B$2:$M$135,10,FALSE))</f>
        <v/>
      </c>
      <c r="X114" s="295" t="str">
        <f>IFERROR(VLOOKUP(W114,'G-1 All Habitats'!$V$3:$W$7,2,FALSE),"")</f>
        <v/>
      </c>
      <c r="Y114" s="57"/>
      <c r="Z114" s="299" t="str">
        <f>IFERROR(INDEX('G-8 Condition Look up'!$A$3:$H$135,MATCH(S114,'G-8 Condition Look up'!$A$3:$A$135,0),MATCH(Y114,'G-8 Condition Look up'!$A$3:$H$3,0)),"")</f>
        <v/>
      </c>
      <c r="AA114" s="52"/>
      <c r="AB114" s="295" t="str">
        <f>IF(AA114="","",IF(VLOOKUP(AA114,'G-3 Multipliers'!$L$3:$N$6,2,FALSE)=0,"Spatial Data Missing ⚠",VLOOKUP(AA114,'G-3 Multipliers'!$L$3:$N$6,2,FALSE)))</f>
        <v/>
      </c>
      <c r="AC114" s="299" t="str">
        <f>IF(AA114="","",IF(VLOOKUP(AA114,'G-3 Multipliers'!$L$3:$N$6,3,FALSE)=0,"Spatial Data Missing ⚠",VLOOKUP(AA114,'G-3 Multipliers'!$L$3:$N$6,3,FALSE)))</f>
        <v/>
      </c>
      <c r="AD114" s="313" t="str">
        <f t="shared" si="12"/>
        <v/>
      </c>
      <c r="AE114" s="58"/>
      <c r="AF114" s="58"/>
      <c r="AG114" s="283" t="str">
        <f t="shared" si="16"/>
        <v/>
      </c>
      <c r="AH114" s="296" t="str">
        <f t="shared" si="17"/>
        <v/>
      </c>
      <c r="AI114" s="297" t="str">
        <f>IF(AH114="Check Data ⚠","Check Data ⚠",IFERROR(VLOOKUP(AH114,'G-4 Temporal multipliers'!$A$4:$C$36,3,FALSE),""))</f>
        <v/>
      </c>
      <c r="AJ114" s="275" t="str">
        <f>IF(S114="","",VLOOKUP(S114,'G-3 Multipliers'!$A$2:$E$134,4,FALSE))</f>
        <v/>
      </c>
      <c r="AK114" s="283" t="str">
        <f t="shared" si="18"/>
        <v/>
      </c>
      <c r="AL114" s="283" t="str">
        <f t="shared" si="19"/>
        <v/>
      </c>
      <c r="AM114" s="314" t="str">
        <f>IFERROR(IF(F114="","",IF(AH114="Check Data ⚠","Check Data ⚠",VLOOKUP(AL114,'G-3 Multipliers'!$P$2:$Q$6,2,FALSE))),"")</f>
        <v/>
      </c>
      <c r="AN114" s="289" t="str">
        <f t="shared" si="20"/>
        <v/>
      </c>
      <c r="AO114" s="52"/>
      <c r="AP114" s="51"/>
      <c r="AQ114" s="104"/>
      <c r="AT114" s="35" t="str">
        <f t="shared" si="21"/>
        <v>No</v>
      </c>
      <c r="AU114" s="35" t="str">
        <f>IF(E114="","",IF(ISNA(VLOOKUP($E114,'A-1 On-Site Habitat Baseline'!$D$1:$AV$258,4,FALSE)),"",(VLOOKUP($E114,'A-1 On-Site Habitat Baseline'!$D$1:$AV$258,4,FALSE))))</f>
        <v/>
      </c>
    </row>
    <row r="115" spans="1:47" ht="14">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05" t="str">
        <f>'A-1 On-Site Habitat Baseline'!AL114</f>
        <v/>
      </c>
      <c r="F115" s="295" t="str">
        <f>IF(E115="","",IF(ISNA(VLOOKUP($E115,'A-1 On-Site Habitat Baseline'!$D$1:$AV$258,45,FALSE)),"",(VLOOKUP($E115,'A-1 On-Site Habitat Baseline'!$D$1:$AV$258,45,FALSE))))</f>
        <v/>
      </c>
      <c r="G115" s="295" t="str">
        <f>IF(E115="","",IF(ISNA(VLOOKUP($E115,'A-1 On-Site Habitat Baseline'!$D$1:$O$258,5,FALSE)),"",(VLOOKUP($E115,'A-1 On-Site Habitat Baseline'!$D$1:$O$258,5,FALSE))))</f>
        <v/>
      </c>
      <c r="H115" s="295" t="str">
        <f>IF(E115="","",IF(ISNA(VLOOKUP($E115,'A-1 On-Site Habitat Baseline'!$D$1:$O$258,6,FALSE)),"",(VLOOKUP($E115,'A-1 On-Site Habitat Baseline'!$D$1:$O$258,6,FALSE))))</f>
        <v/>
      </c>
      <c r="I115" s="295" t="str">
        <f>IF(E115="","",IF(ISNA(VLOOKUP($E115,'A-1 On-Site Habitat Baseline'!$D$1:$O$258,7,FALSE)),"",(VLOOKUP($E115,'A-1 On-Site Habitat Baseline'!$D$1:$O$258,7,FALSE))))</f>
        <v/>
      </c>
      <c r="J115" s="295" t="str">
        <f>IF(E115="","",IF(ISNA(VLOOKUP($E115,'A-1 On-Site Habitat Baseline'!$D$1:$O$258,8,FALSE)),"",(VLOOKUP($E115,'A-1 On-Site Habitat Baseline'!$D$1:$O$258,8,FALSE))))</f>
        <v/>
      </c>
      <c r="K115" s="295" t="str">
        <f>IF(E115="","",IF(ISNA(VLOOKUP($E115,'A-1 On-Site Habitat Baseline'!$D$1:$O$258,9,FALSE)),"",(VLOOKUP($E115,'A-1 On-Site Habitat Baseline'!$D$1:$O$258,9,FALSE))))</f>
        <v/>
      </c>
      <c r="L115" s="295" t="str">
        <f>IF(E115="","",IF(ISNA(VLOOKUP($E115,'A-1 On-Site Habitat Baseline'!$D$1:$O$258,11,FALSE)),"",(VLOOKUP($E115,'A-1 On-Site Habitat Baseline'!$D$1:$O$258,11,FALSE))))</f>
        <v/>
      </c>
      <c r="M115" s="295" t="str">
        <f>IF(E115="","",IF(ISNA(VLOOKUP($E115,'A-1 On-Site Habitat Baseline'!$D$1:$O$258,12,FALSE)),"",(VLOOKUP($E115,'A-1 On-Site Habitat Baseline'!$D$1:$O$258,12,FALSE))))</f>
        <v/>
      </c>
      <c r="N115" s="306" t="str">
        <f>IF(E115="","",IF(ISNA(VLOOKUP($E115,'A-1 On-Site Habitat Baseline'!$D$1:$X$258,14,FALSE)),"",(VLOOKUP($E115,'A-1 On-Site Habitat Baseline'!$D$1:$X$258,14,FALSE))))</f>
        <v/>
      </c>
      <c r="O115" s="299" t="str">
        <f>IF(E115="","",IF(ISNA(VLOOKUP($E115,'A-1 On-Site Habitat Baseline'!$D$1:$X$258,16,FALSE)),"",(VLOOKUP($E115,'A-1 On-Site Habitat Baseline'!$D$1:$X$258,13,FALSE))))</f>
        <v/>
      </c>
      <c r="P115" s="154" t="str">
        <f>IFERROR(INDEX('G-1 All Habitats'!$AG$49:$AG$63,MATCH(Q115,'G-1 All Habitats'!$AF$27:$AF$41,0)),"")</f>
        <v/>
      </c>
      <c r="Q115" s="155" t="str">
        <f t="shared" si="13"/>
        <v/>
      </c>
      <c r="R115" s="155"/>
      <c r="S115" s="237" t="str">
        <f>IFERROR(INDEX('G-1 All Habitats'!$B$3:$B$135,MATCH(R115,'G-1 All Habitats'!$A$3:$A$135,0)),"")</f>
        <v/>
      </c>
      <c r="T115" s="275" t="str">
        <f t="shared" si="14"/>
        <v/>
      </c>
      <c r="U115" s="276" t="str">
        <f t="shared" si="15"/>
        <v/>
      </c>
      <c r="V115" s="311" t="str">
        <f t="shared" si="11"/>
        <v/>
      </c>
      <c r="W115" s="295" t="str">
        <f>IF(S115="","",VLOOKUP(S115,'G-1 All Habitats'!$B$2:$M$135,10,FALSE))</f>
        <v/>
      </c>
      <c r="X115" s="295" t="str">
        <f>IFERROR(VLOOKUP(W115,'G-1 All Habitats'!$V$3:$W$7,2,FALSE),"")</f>
        <v/>
      </c>
      <c r="Y115" s="57"/>
      <c r="Z115" s="299" t="str">
        <f>IFERROR(INDEX('G-8 Condition Look up'!$A$3:$H$135,MATCH(S115,'G-8 Condition Look up'!$A$3:$A$135,0),MATCH(Y115,'G-8 Condition Look up'!$A$3:$H$3,0)),"")</f>
        <v/>
      </c>
      <c r="AA115" s="52"/>
      <c r="AB115" s="295" t="str">
        <f>IF(AA115="","",IF(VLOOKUP(AA115,'G-3 Multipliers'!$L$3:$N$6,2,FALSE)=0,"Spatial Data Missing ⚠",VLOOKUP(AA115,'G-3 Multipliers'!$L$3:$N$6,2,FALSE)))</f>
        <v/>
      </c>
      <c r="AC115" s="299" t="str">
        <f>IF(AA115="","",IF(VLOOKUP(AA115,'G-3 Multipliers'!$L$3:$N$6,3,FALSE)=0,"Spatial Data Missing ⚠",VLOOKUP(AA115,'G-3 Multipliers'!$L$3:$N$6,3,FALSE)))</f>
        <v/>
      </c>
      <c r="AD115" s="313" t="str">
        <f t="shared" si="12"/>
        <v/>
      </c>
      <c r="AE115" s="58"/>
      <c r="AF115" s="58"/>
      <c r="AG115" s="283" t="str">
        <f t="shared" si="16"/>
        <v/>
      </c>
      <c r="AH115" s="296" t="str">
        <f t="shared" si="17"/>
        <v/>
      </c>
      <c r="AI115" s="297" t="str">
        <f>IF(AH115="Check Data ⚠","Check Data ⚠",IFERROR(VLOOKUP(AH115,'G-4 Temporal multipliers'!$A$4:$C$36,3,FALSE),""))</f>
        <v/>
      </c>
      <c r="AJ115" s="275" t="str">
        <f>IF(S115="","",VLOOKUP(S115,'G-3 Multipliers'!$A$2:$E$134,4,FALSE))</f>
        <v/>
      </c>
      <c r="AK115" s="283" t="str">
        <f t="shared" si="18"/>
        <v/>
      </c>
      <c r="AL115" s="283" t="str">
        <f t="shared" si="19"/>
        <v/>
      </c>
      <c r="AM115" s="314" t="str">
        <f>IFERROR(IF(F115="","",IF(AH115="Check Data ⚠","Check Data ⚠",VLOOKUP(AL115,'G-3 Multipliers'!$P$2:$Q$6,2,FALSE))),"")</f>
        <v/>
      </c>
      <c r="AN115" s="289" t="str">
        <f t="shared" si="20"/>
        <v/>
      </c>
      <c r="AO115" s="52"/>
      <c r="AP115" s="51"/>
      <c r="AQ115" s="104"/>
      <c r="AT115" s="35" t="str">
        <f t="shared" si="21"/>
        <v>No</v>
      </c>
      <c r="AU115" s="35" t="str">
        <f>IF(E115="","",IF(ISNA(VLOOKUP($E115,'A-1 On-Site Habitat Baseline'!$D$1:$AV$258,4,FALSE)),"",(VLOOKUP($E115,'A-1 On-Site Habitat Baseline'!$D$1:$AV$258,4,FALSE))))</f>
        <v/>
      </c>
    </row>
    <row r="116" spans="1:47" ht="14">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05" t="str">
        <f>'A-1 On-Site Habitat Baseline'!AL115</f>
        <v/>
      </c>
      <c r="F116" s="295" t="str">
        <f>IF(E116="","",IF(ISNA(VLOOKUP($E116,'A-1 On-Site Habitat Baseline'!$D$1:$AV$258,45,FALSE)),"",(VLOOKUP($E116,'A-1 On-Site Habitat Baseline'!$D$1:$AV$258,45,FALSE))))</f>
        <v/>
      </c>
      <c r="G116" s="295" t="str">
        <f>IF(E116="","",IF(ISNA(VLOOKUP($E116,'A-1 On-Site Habitat Baseline'!$D$1:$O$258,5,FALSE)),"",(VLOOKUP($E116,'A-1 On-Site Habitat Baseline'!$D$1:$O$258,5,FALSE))))</f>
        <v/>
      </c>
      <c r="H116" s="295" t="str">
        <f>IF(E116="","",IF(ISNA(VLOOKUP($E116,'A-1 On-Site Habitat Baseline'!$D$1:$O$258,6,FALSE)),"",(VLOOKUP($E116,'A-1 On-Site Habitat Baseline'!$D$1:$O$258,6,FALSE))))</f>
        <v/>
      </c>
      <c r="I116" s="295" t="str">
        <f>IF(E116="","",IF(ISNA(VLOOKUP($E116,'A-1 On-Site Habitat Baseline'!$D$1:$O$258,7,FALSE)),"",(VLOOKUP($E116,'A-1 On-Site Habitat Baseline'!$D$1:$O$258,7,FALSE))))</f>
        <v/>
      </c>
      <c r="J116" s="295" t="str">
        <f>IF(E116="","",IF(ISNA(VLOOKUP($E116,'A-1 On-Site Habitat Baseline'!$D$1:$O$258,8,FALSE)),"",(VLOOKUP($E116,'A-1 On-Site Habitat Baseline'!$D$1:$O$258,8,FALSE))))</f>
        <v/>
      </c>
      <c r="K116" s="295" t="str">
        <f>IF(E116="","",IF(ISNA(VLOOKUP($E116,'A-1 On-Site Habitat Baseline'!$D$1:$O$258,9,FALSE)),"",(VLOOKUP($E116,'A-1 On-Site Habitat Baseline'!$D$1:$O$258,9,FALSE))))</f>
        <v/>
      </c>
      <c r="L116" s="295" t="str">
        <f>IF(E116="","",IF(ISNA(VLOOKUP($E116,'A-1 On-Site Habitat Baseline'!$D$1:$O$258,11,FALSE)),"",(VLOOKUP($E116,'A-1 On-Site Habitat Baseline'!$D$1:$O$258,11,FALSE))))</f>
        <v/>
      </c>
      <c r="M116" s="295" t="str">
        <f>IF(E116="","",IF(ISNA(VLOOKUP($E116,'A-1 On-Site Habitat Baseline'!$D$1:$O$258,12,FALSE)),"",(VLOOKUP($E116,'A-1 On-Site Habitat Baseline'!$D$1:$O$258,12,FALSE))))</f>
        <v/>
      </c>
      <c r="N116" s="306" t="str">
        <f>IF(E116="","",IF(ISNA(VLOOKUP($E116,'A-1 On-Site Habitat Baseline'!$D$1:$X$258,14,FALSE)),"",(VLOOKUP($E116,'A-1 On-Site Habitat Baseline'!$D$1:$X$258,14,FALSE))))</f>
        <v/>
      </c>
      <c r="O116" s="299" t="str">
        <f>IF(E116="","",IF(ISNA(VLOOKUP($E116,'A-1 On-Site Habitat Baseline'!$D$1:$X$258,16,FALSE)),"",(VLOOKUP($E116,'A-1 On-Site Habitat Baseline'!$D$1:$X$258,13,FALSE))))</f>
        <v/>
      </c>
      <c r="P116" s="154" t="str">
        <f>IFERROR(INDEX('G-1 All Habitats'!$AG$49:$AG$63,MATCH(Q116,'G-1 All Habitats'!$AF$27:$AF$41,0)),"")</f>
        <v/>
      </c>
      <c r="Q116" s="155" t="str">
        <f t="shared" si="13"/>
        <v/>
      </c>
      <c r="R116" s="155"/>
      <c r="S116" s="237" t="str">
        <f>IFERROR(INDEX('G-1 All Habitats'!$B$3:$B$135,MATCH(R116,'G-1 All Habitats'!$A$3:$A$135,0)),"")</f>
        <v/>
      </c>
      <c r="T116" s="275" t="str">
        <f t="shared" si="14"/>
        <v/>
      </c>
      <c r="U116" s="276" t="str">
        <f t="shared" si="15"/>
        <v/>
      </c>
      <c r="V116" s="311" t="str">
        <f t="shared" si="11"/>
        <v/>
      </c>
      <c r="W116" s="295" t="str">
        <f>IF(S116="","",VLOOKUP(S116,'G-1 All Habitats'!$B$2:$M$135,10,FALSE))</f>
        <v/>
      </c>
      <c r="X116" s="295" t="str">
        <f>IFERROR(VLOOKUP(W116,'G-1 All Habitats'!$V$3:$W$7,2,FALSE),"")</f>
        <v/>
      </c>
      <c r="Y116" s="57"/>
      <c r="Z116" s="299" t="str">
        <f>IFERROR(INDEX('G-8 Condition Look up'!$A$3:$H$135,MATCH(S116,'G-8 Condition Look up'!$A$3:$A$135,0),MATCH(Y116,'G-8 Condition Look up'!$A$3:$H$3,0)),"")</f>
        <v/>
      </c>
      <c r="AA116" s="52"/>
      <c r="AB116" s="295" t="str">
        <f>IF(AA116="","",IF(VLOOKUP(AA116,'G-3 Multipliers'!$L$3:$N$6,2,FALSE)=0,"Spatial Data Missing ⚠",VLOOKUP(AA116,'G-3 Multipliers'!$L$3:$N$6,2,FALSE)))</f>
        <v/>
      </c>
      <c r="AC116" s="299" t="str">
        <f>IF(AA116="","",IF(VLOOKUP(AA116,'G-3 Multipliers'!$L$3:$N$6,3,FALSE)=0,"Spatial Data Missing ⚠",VLOOKUP(AA116,'G-3 Multipliers'!$L$3:$N$6,3,FALSE)))</f>
        <v/>
      </c>
      <c r="AD116" s="313" t="str">
        <f t="shared" si="12"/>
        <v/>
      </c>
      <c r="AE116" s="58"/>
      <c r="AF116" s="58"/>
      <c r="AG116" s="283" t="str">
        <f t="shared" si="16"/>
        <v/>
      </c>
      <c r="AH116" s="296" t="str">
        <f t="shared" si="17"/>
        <v/>
      </c>
      <c r="AI116" s="297" t="str">
        <f>IF(AH116="Check Data ⚠","Check Data ⚠",IFERROR(VLOOKUP(AH116,'G-4 Temporal multipliers'!$A$4:$C$36,3,FALSE),""))</f>
        <v/>
      </c>
      <c r="AJ116" s="275" t="str">
        <f>IF(S116="","",VLOOKUP(S116,'G-3 Multipliers'!$A$2:$E$134,4,FALSE))</f>
        <v/>
      </c>
      <c r="AK116" s="283" t="str">
        <f t="shared" si="18"/>
        <v/>
      </c>
      <c r="AL116" s="283" t="str">
        <f t="shared" si="19"/>
        <v/>
      </c>
      <c r="AM116" s="314" t="str">
        <f>IFERROR(IF(F116="","",IF(AH116="Check Data ⚠","Check Data ⚠",VLOOKUP(AL116,'G-3 Multipliers'!$P$2:$Q$6,2,FALSE))),"")</f>
        <v/>
      </c>
      <c r="AN116" s="289" t="str">
        <f t="shared" si="20"/>
        <v/>
      </c>
      <c r="AO116" s="52"/>
      <c r="AP116" s="51"/>
      <c r="AQ116" s="104"/>
      <c r="AT116" s="35" t="str">
        <f t="shared" si="21"/>
        <v>No</v>
      </c>
      <c r="AU116" s="35" t="str">
        <f>IF(E116="","",IF(ISNA(VLOOKUP($E116,'A-1 On-Site Habitat Baseline'!$D$1:$AV$258,4,FALSE)),"",(VLOOKUP($E116,'A-1 On-Site Habitat Baseline'!$D$1:$AV$258,4,FALSE))))</f>
        <v/>
      </c>
    </row>
    <row r="117" spans="1:47" ht="14">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05" t="str">
        <f>'A-1 On-Site Habitat Baseline'!AL116</f>
        <v/>
      </c>
      <c r="F117" s="295" t="str">
        <f>IF(E117="","",IF(ISNA(VLOOKUP($E117,'A-1 On-Site Habitat Baseline'!$D$1:$AV$258,45,FALSE)),"",(VLOOKUP($E117,'A-1 On-Site Habitat Baseline'!$D$1:$AV$258,45,FALSE))))</f>
        <v/>
      </c>
      <c r="G117" s="295" t="str">
        <f>IF(E117="","",IF(ISNA(VLOOKUP($E117,'A-1 On-Site Habitat Baseline'!$D$1:$O$258,5,FALSE)),"",(VLOOKUP($E117,'A-1 On-Site Habitat Baseline'!$D$1:$O$258,5,FALSE))))</f>
        <v/>
      </c>
      <c r="H117" s="295" t="str">
        <f>IF(E117="","",IF(ISNA(VLOOKUP($E117,'A-1 On-Site Habitat Baseline'!$D$1:$O$258,6,FALSE)),"",(VLOOKUP($E117,'A-1 On-Site Habitat Baseline'!$D$1:$O$258,6,FALSE))))</f>
        <v/>
      </c>
      <c r="I117" s="295" t="str">
        <f>IF(E117="","",IF(ISNA(VLOOKUP($E117,'A-1 On-Site Habitat Baseline'!$D$1:$O$258,7,FALSE)),"",(VLOOKUP($E117,'A-1 On-Site Habitat Baseline'!$D$1:$O$258,7,FALSE))))</f>
        <v/>
      </c>
      <c r="J117" s="295" t="str">
        <f>IF(E117="","",IF(ISNA(VLOOKUP($E117,'A-1 On-Site Habitat Baseline'!$D$1:$O$258,8,FALSE)),"",(VLOOKUP($E117,'A-1 On-Site Habitat Baseline'!$D$1:$O$258,8,FALSE))))</f>
        <v/>
      </c>
      <c r="K117" s="295" t="str">
        <f>IF(E117="","",IF(ISNA(VLOOKUP($E117,'A-1 On-Site Habitat Baseline'!$D$1:$O$258,9,FALSE)),"",(VLOOKUP($E117,'A-1 On-Site Habitat Baseline'!$D$1:$O$258,9,FALSE))))</f>
        <v/>
      </c>
      <c r="L117" s="295" t="str">
        <f>IF(E117="","",IF(ISNA(VLOOKUP($E117,'A-1 On-Site Habitat Baseline'!$D$1:$O$258,11,FALSE)),"",(VLOOKUP($E117,'A-1 On-Site Habitat Baseline'!$D$1:$O$258,11,FALSE))))</f>
        <v/>
      </c>
      <c r="M117" s="295" t="str">
        <f>IF(E117="","",IF(ISNA(VLOOKUP($E117,'A-1 On-Site Habitat Baseline'!$D$1:$O$258,12,FALSE)),"",(VLOOKUP($E117,'A-1 On-Site Habitat Baseline'!$D$1:$O$258,12,FALSE))))</f>
        <v/>
      </c>
      <c r="N117" s="306" t="str">
        <f>IF(E117="","",IF(ISNA(VLOOKUP($E117,'A-1 On-Site Habitat Baseline'!$D$1:$X$258,14,FALSE)),"",(VLOOKUP($E117,'A-1 On-Site Habitat Baseline'!$D$1:$X$258,14,FALSE))))</f>
        <v/>
      </c>
      <c r="O117" s="299" t="str">
        <f>IF(E117="","",IF(ISNA(VLOOKUP($E117,'A-1 On-Site Habitat Baseline'!$D$1:$X$258,16,FALSE)),"",(VLOOKUP($E117,'A-1 On-Site Habitat Baseline'!$D$1:$X$258,13,FALSE))))</f>
        <v/>
      </c>
      <c r="P117" s="154" t="str">
        <f>IFERROR(INDEX('G-1 All Habitats'!$AG$49:$AG$63,MATCH(Q117,'G-1 All Habitats'!$AF$27:$AF$41,0)),"")</f>
        <v/>
      </c>
      <c r="Q117" s="155" t="str">
        <f t="shared" si="13"/>
        <v/>
      </c>
      <c r="R117" s="155"/>
      <c r="S117" s="237" t="str">
        <f>IFERROR(INDEX('G-1 All Habitats'!$B$3:$B$135,MATCH(R117,'G-1 All Habitats'!$A$3:$A$135,0)),"")</f>
        <v/>
      </c>
      <c r="T117" s="275" t="str">
        <f t="shared" si="14"/>
        <v/>
      </c>
      <c r="U117" s="276" t="str">
        <f t="shared" si="15"/>
        <v/>
      </c>
      <c r="V117" s="311" t="str">
        <f t="shared" si="11"/>
        <v/>
      </c>
      <c r="W117" s="295" t="str">
        <f>IF(S117="","",VLOOKUP(S117,'G-1 All Habitats'!$B$2:$M$135,10,FALSE))</f>
        <v/>
      </c>
      <c r="X117" s="295" t="str">
        <f>IFERROR(VLOOKUP(W117,'G-1 All Habitats'!$V$3:$W$7,2,FALSE),"")</f>
        <v/>
      </c>
      <c r="Y117" s="57"/>
      <c r="Z117" s="299" t="str">
        <f>IFERROR(INDEX('G-8 Condition Look up'!$A$3:$H$135,MATCH(S117,'G-8 Condition Look up'!$A$3:$A$135,0),MATCH(Y117,'G-8 Condition Look up'!$A$3:$H$3,0)),"")</f>
        <v/>
      </c>
      <c r="AA117" s="52"/>
      <c r="AB117" s="295" t="str">
        <f>IF(AA117="","",IF(VLOOKUP(AA117,'G-3 Multipliers'!$L$3:$N$6,2,FALSE)=0,"Spatial Data Missing ⚠",VLOOKUP(AA117,'G-3 Multipliers'!$L$3:$N$6,2,FALSE)))</f>
        <v/>
      </c>
      <c r="AC117" s="299" t="str">
        <f>IF(AA117="","",IF(VLOOKUP(AA117,'G-3 Multipliers'!$L$3:$N$6,3,FALSE)=0,"Spatial Data Missing ⚠",VLOOKUP(AA117,'G-3 Multipliers'!$L$3:$N$6,3,FALSE)))</f>
        <v/>
      </c>
      <c r="AD117" s="313" t="str">
        <f t="shared" si="12"/>
        <v/>
      </c>
      <c r="AE117" s="58"/>
      <c r="AF117" s="58"/>
      <c r="AG117" s="283" t="str">
        <f t="shared" si="16"/>
        <v/>
      </c>
      <c r="AH117" s="296" t="str">
        <f t="shared" si="17"/>
        <v/>
      </c>
      <c r="AI117" s="297" t="str">
        <f>IF(AH117="Check Data ⚠","Check Data ⚠",IFERROR(VLOOKUP(AH117,'G-4 Temporal multipliers'!$A$4:$C$36,3,FALSE),""))</f>
        <v/>
      </c>
      <c r="AJ117" s="275" t="str">
        <f>IF(S117="","",VLOOKUP(S117,'G-3 Multipliers'!$A$2:$E$134,4,FALSE))</f>
        <v/>
      </c>
      <c r="AK117" s="283" t="str">
        <f t="shared" si="18"/>
        <v/>
      </c>
      <c r="AL117" s="283" t="str">
        <f t="shared" si="19"/>
        <v/>
      </c>
      <c r="AM117" s="314" t="str">
        <f>IFERROR(IF(F117="","",IF(AH117="Check Data ⚠","Check Data ⚠",VLOOKUP(AL117,'G-3 Multipliers'!$P$2:$Q$6,2,FALSE))),"")</f>
        <v/>
      </c>
      <c r="AN117" s="289" t="str">
        <f t="shared" si="20"/>
        <v/>
      </c>
      <c r="AO117" s="52"/>
      <c r="AP117" s="51"/>
      <c r="AQ117" s="104"/>
      <c r="AT117" s="35" t="str">
        <f t="shared" si="21"/>
        <v>No</v>
      </c>
      <c r="AU117" s="35" t="str">
        <f>IF(E117="","",IF(ISNA(VLOOKUP($E117,'A-1 On-Site Habitat Baseline'!$D$1:$AV$258,4,FALSE)),"",(VLOOKUP($E117,'A-1 On-Site Habitat Baseline'!$D$1:$AV$258,4,FALSE))))</f>
        <v/>
      </c>
    </row>
    <row r="118" spans="1:47" ht="14">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05" t="str">
        <f>'A-1 On-Site Habitat Baseline'!AL117</f>
        <v/>
      </c>
      <c r="F118" s="295" t="str">
        <f>IF(E118="","",IF(ISNA(VLOOKUP($E118,'A-1 On-Site Habitat Baseline'!$D$1:$AV$258,45,FALSE)),"",(VLOOKUP($E118,'A-1 On-Site Habitat Baseline'!$D$1:$AV$258,45,FALSE))))</f>
        <v/>
      </c>
      <c r="G118" s="295" t="str">
        <f>IF(E118="","",IF(ISNA(VLOOKUP($E118,'A-1 On-Site Habitat Baseline'!$D$1:$O$258,5,FALSE)),"",(VLOOKUP($E118,'A-1 On-Site Habitat Baseline'!$D$1:$O$258,5,FALSE))))</f>
        <v/>
      </c>
      <c r="H118" s="295" t="str">
        <f>IF(E118="","",IF(ISNA(VLOOKUP($E118,'A-1 On-Site Habitat Baseline'!$D$1:$O$258,6,FALSE)),"",(VLOOKUP($E118,'A-1 On-Site Habitat Baseline'!$D$1:$O$258,6,FALSE))))</f>
        <v/>
      </c>
      <c r="I118" s="295" t="str">
        <f>IF(E118="","",IF(ISNA(VLOOKUP($E118,'A-1 On-Site Habitat Baseline'!$D$1:$O$258,7,FALSE)),"",(VLOOKUP($E118,'A-1 On-Site Habitat Baseline'!$D$1:$O$258,7,FALSE))))</f>
        <v/>
      </c>
      <c r="J118" s="295" t="str">
        <f>IF(E118="","",IF(ISNA(VLOOKUP($E118,'A-1 On-Site Habitat Baseline'!$D$1:$O$258,8,FALSE)),"",(VLOOKUP($E118,'A-1 On-Site Habitat Baseline'!$D$1:$O$258,8,FALSE))))</f>
        <v/>
      </c>
      <c r="K118" s="295" t="str">
        <f>IF(E118="","",IF(ISNA(VLOOKUP($E118,'A-1 On-Site Habitat Baseline'!$D$1:$O$258,9,FALSE)),"",(VLOOKUP($E118,'A-1 On-Site Habitat Baseline'!$D$1:$O$258,9,FALSE))))</f>
        <v/>
      </c>
      <c r="L118" s="295" t="str">
        <f>IF(E118="","",IF(ISNA(VLOOKUP($E118,'A-1 On-Site Habitat Baseline'!$D$1:$O$258,11,FALSE)),"",(VLOOKUP($E118,'A-1 On-Site Habitat Baseline'!$D$1:$O$258,11,FALSE))))</f>
        <v/>
      </c>
      <c r="M118" s="295" t="str">
        <f>IF(E118="","",IF(ISNA(VLOOKUP($E118,'A-1 On-Site Habitat Baseline'!$D$1:$O$258,12,FALSE)),"",(VLOOKUP($E118,'A-1 On-Site Habitat Baseline'!$D$1:$O$258,12,FALSE))))</f>
        <v/>
      </c>
      <c r="N118" s="306" t="str">
        <f>IF(E118="","",IF(ISNA(VLOOKUP($E118,'A-1 On-Site Habitat Baseline'!$D$1:$X$258,14,FALSE)),"",(VLOOKUP($E118,'A-1 On-Site Habitat Baseline'!$D$1:$X$258,14,FALSE))))</f>
        <v/>
      </c>
      <c r="O118" s="299" t="str">
        <f>IF(E118="","",IF(ISNA(VLOOKUP($E118,'A-1 On-Site Habitat Baseline'!$D$1:$X$258,16,FALSE)),"",(VLOOKUP($E118,'A-1 On-Site Habitat Baseline'!$D$1:$X$258,13,FALSE))))</f>
        <v/>
      </c>
      <c r="P118" s="154" t="str">
        <f>IFERROR(INDEX('G-1 All Habitats'!$AG$49:$AG$63,MATCH(Q118,'G-1 All Habitats'!$AF$27:$AF$41,0)),"")</f>
        <v/>
      </c>
      <c r="Q118" s="155" t="str">
        <f t="shared" si="13"/>
        <v/>
      </c>
      <c r="R118" s="155"/>
      <c r="S118" s="237" t="str">
        <f>IFERROR(INDEX('G-1 All Habitats'!$B$3:$B$135,MATCH(R118,'G-1 All Habitats'!$A$3:$A$135,0)),"")</f>
        <v/>
      </c>
      <c r="T118" s="275" t="str">
        <f t="shared" si="14"/>
        <v/>
      </c>
      <c r="U118" s="276" t="str">
        <f t="shared" si="15"/>
        <v/>
      </c>
      <c r="V118" s="311" t="str">
        <f t="shared" si="11"/>
        <v/>
      </c>
      <c r="W118" s="295" t="str">
        <f>IF(S118="","",VLOOKUP(S118,'G-1 All Habitats'!$B$2:$M$135,10,FALSE))</f>
        <v/>
      </c>
      <c r="X118" s="295" t="str">
        <f>IFERROR(VLOOKUP(W118,'G-1 All Habitats'!$V$3:$W$7,2,FALSE),"")</f>
        <v/>
      </c>
      <c r="Y118" s="57"/>
      <c r="Z118" s="299" t="str">
        <f>IFERROR(INDEX('G-8 Condition Look up'!$A$3:$H$135,MATCH(S118,'G-8 Condition Look up'!$A$3:$A$135,0),MATCH(Y118,'G-8 Condition Look up'!$A$3:$H$3,0)),"")</f>
        <v/>
      </c>
      <c r="AA118" s="52"/>
      <c r="AB118" s="295" t="str">
        <f>IF(AA118="","",IF(VLOOKUP(AA118,'G-3 Multipliers'!$L$3:$N$6,2,FALSE)=0,"Spatial Data Missing ⚠",VLOOKUP(AA118,'G-3 Multipliers'!$L$3:$N$6,2,FALSE)))</f>
        <v/>
      </c>
      <c r="AC118" s="299" t="str">
        <f>IF(AA118="","",IF(VLOOKUP(AA118,'G-3 Multipliers'!$L$3:$N$6,3,FALSE)=0,"Spatial Data Missing ⚠",VLOOKUP(AA118,'G-3 Multipliers'!$L$3:$N$6,3,FALSE)))</f>
        <v/>
      </c>
      <c r="AD118" s="313" t="str">
        <f t="shared" si="12"/>
        <v/>
      </c>
      <c r="AE118" s="58"/>
      <c r="AF118" s="58"/>
      <c r="AG118" s="283" t="str">
        <f t="shared" si="16"/>
        <v/>
      </c>
      <c r="AH118" s="296" t="str">
        <f t="shared" si="17"/>
        <v/>
      </c>
      <c r="AI118" s="297" t="str">
        <f>IF(AH118="Check Data ⚠","Check Data ⚠",IFERROR(VLOOKUP(AH118,'G-4 Temporal multipliers'!$A$4:$C$36,3,FALSE),""))</f>
        <v/>
      </c>
      <c r="AJ118" s="275" t="str">
        <f>IF(S118="","",VLOOKUP(S118,'G-3 Multipliers'!$A$2:$E$134,4,FALSE))</f>
        <v/>
      </c>
      <c r="AK118" s="283" t="str">
        <f t="shared" si="18"/>
        <v/>
      </c>
      <c r="AL118" s="283" t="str">
        <f t="shared" si="19"/>
        <v/>
      </c>
      <c r="AM118" s="314" t="str">
        <f>IFERROR(IF(F118="","",IF(AH118="Check Data ⚠","Check Data ⚠",VLOOKUP(AL118,'G-3 Multipliers'!$P$2:$Q$6,2,FALSE))),"")</f>
        <v/>
      </c>
      <c r="AN118" s="289" t="str">
        <f t="shared" si="20"/>
        <v/>
      </c>
      <c r="AO118" s="52"/>
      <c r="AP118" s="51"/>
      <c r="AQ118" s="104"/>
      <c r="AT118" s="35" t="str">
        <f t="shared" si="21"/>
        <v>No</v>
      </c>
      <c r="AU118" s="35" t="str">
        <f>IF(E118="","",IF(ISNA(VLOOKUP($E118,'A-1 On-Site Habitat Baseline'!$D$1:$AV$258,4,FALSE)),"",(VLOOKUP($E118,'A-1 On-Site Habitat Baseline'!$D$1:$AV$258,4,FALSE))))</f>
        <v/>
      </c>
    </row>
    <row r="119" spans="1:47" ht="14">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05" t="str">
        <f>'A-1 On-Site Habitat Baseline'!AL118</f>
        <v/>
      </c>
      <c r="F119" s="295" t="str">
        <f>IF(E119="","",IF(ISNA(VLOOKUP($E119,'A-1 On-Site Habitat Baseline'!$D$1:$AV$258,45,FALSE)),"",(VLOOKUP($E119,'A-1 On-Site Habitat Baseline'!$D$1:$AV$258,45,FALSE))))</f>
        <v/>
      </c>
      <c r="G119" s="295" t="str">
        <f>IF(E119="","",IF(ISNA(VLOOKUP($E119,'A-1 On-Site Habitat Baseline'!$D$1:$O$258,5,FALSE)),"",(VLOOKUP($E119,'A-1 On-Site Habitat Baseline'!$D$1:$O$258,5,FALSE))))</f>
        <v/>
      </c>
      <c r="H119" s="295" t="str">
        <f>IF(E119="","",IF(ISNA(VLOOKUP($E119,'A-1 On-Site Habitat Baseline'!$D$1:$O$258,6,FALSE)),"",(VLOOKUP($E119,'A-1 On-Site Habitat Baseline'!$D$1:$O$258,6,FALSE))))</f>
        <v/>
      </c>
      <c r="I119" s="295" t="str">
        <f>IF(E119="","",IF(ISNA(VLOOKUP($E119,'A-1 On-Site Habitat Baseline'!$D$1:$O$258,7,FALSE)),"",(VLOOKUP($E119,'A-1 On-Site Habitat Baseline'!$D$1:$O$258,7,FALSE))))</f>
        <v/>
      </c>
      <c r="J119" s="295" t="str">
        <f>IF(E119="","",IF(ISNA(VLOOKUP($E119,'A-1 On-Site Habitat Baseline'!$D$1:$O$258,8,FALSE)),"",(VLOOKUP($E119,'A-1 On-Site Habitat Baseline'!$D$1:$O$258,8,FALSE))))</f>
        <v/>
      </c>
      <c r="K119" s="295" t="str">
        <f>IF(E119="","",IF(ISNA(VLOOKUP($E119,'A-1 On-Site Habitat Baseline'!$D$1:$O$258,9,FALSE)),"",(VLOOKUP($E119,'A-1 On-Site Habitat Baseline'!$D$1:$O$258,9,FALSE))))</f>
        <v/>
      </c>
      <c r="L119" s="295" t="str">
        <f>IF(E119="","",IF(ISNA(VLOOKUP($E119,'A-1 On-Site Habitat Baseline'!$D$1:$O$258,11,FALSE)),"",(VLOOKUP($E119,'A-1 On-Site Habitat Baseline'!$D$1:$O$258,11,FALSE))))</f>
        <v/>
      </c>
      <c r="M119" s="295" t="str">
        <f>IF(E119="","",IF(ISNA(VLOOKUP($E119,'A-1 On-Site Habitat Baseline'!$D$1:$O$258,12,FALSE)),"",(VLOOKUP($E119,'A-1 On-Site Habitat Baseline'!$D$1:$O$258,12,FALSE))))</f>
        <v/>
      </c>
      <c r="N119" s="306" t="str">
        <f>IF(E119="","",IF(ISNA(VLOOKUP($E119,'A-1 On-Site Habitat Baseline'!$D$1:$X$258,14,FALSE)),"",(VLOOKUP($E119,'A-1 On-Site Habitat Baseline'!$D$1:$X$258,14,FALSE))))</f>
        <v/>
      </c>
      <c r="O119" s="299" t="str">
        <f>IF(E119="","",IF(ISNA(VLOOKUP($E119,'A-1 On-Site Habitat Baseline'!$D$1:$X$258,16,FALSE)),"",(VLOOKUP($E119,'A-1 On-Site Habitat Baseline'!$D$1:$X$258,13,FALSE))))</f>
        <v/>
      </c>
      <c r="P119" s="154" t="str">
        <f>IFERROR(INDEX('G-1 All Habitats'!$AG$49:$AG$63,MATCH(Q119,'G-1 All Habitats'!$AF$27:$AF$41,0)),"")</f>
        <v/>
      </c>
      <c r="Q119" s="155" t="str">
        <f t="shared" si="13"/>
        <v/>
      </c>
      <c r="R119" s="155"/>
      <c r="S119" s="237" t="str">
        <f>IFERROR(INDEX('G-1 All Habitats'!$B$3:$B$135,MATCH(R119,'G-1 All Habitats'!$A$3:$A$135,0)),"")</f>
        <v/>
      </c>
      <c r="T119" s="275" t="str">
        <f t="shared" si="14"/>
        <v/>
      </c>
      <c r="U119" s="276" t="str">
        <f t="shared" si="15"/>
        <v/>
      </c>
      <c r="V119" s="311" t="str">
        <f t="shared" si="11"/>
        <v/>
      </c>
      <c r="W119" s="295" t="str">
        <f>IF(S119="","",VLOOKUP(S119,'G-1 All Habitats'!$B$2:$M$135,10,FALSE))</f>
        <v/>
      </c>
      <c r="X119" s="295" t="str">
        <f>IFERROR(VLOOKUP(W119,'G-1 All Habitats'!$V$3:$W$7,2,FALSE),"")</f>
        <v/>
      </c>
      <c r="Y119" s="57"/>
      <c r="Z119" s="299" t="str">
        <f>IFERROR(INDEX('G-8 Condition Look up'!$A$3:$H$135,MATCH(S119,'G-8 Condition Look up'!$A$3:$A$135,0),MATCH(Y119,'G-8 Condition Look up'!$A$3:$H$3,0)),"")</f>
        <v/>
      </c>
      <c r="AA119" s="52"/>
      <c r="AB119" s="295" t="str">
        <f>IF(AA119="","",IF(VLOOKUP(AA119,'G-3 Multipliers'!$L$3:$N$6,2,FALSE)=0,"Spatial Data Missing ⚠",VLOOKUP(AA119,'G-3 Multipliers'!$L$3:$N$6,2,FALSE)))</f>
        <v/>
      </c>
      <c r="AC119" s="299" t="str">
        <f>IF(AA119="","",IF(VLOOKUP(AA119,'G-3 Multipliers'!$L$3:$N$6,3,FALSE)=0,"Spatial Data Missing ⚠",VLOOKUP(AA119,'G-3 Multipliers'!$L$3:$N$6,3,FALSE)))</f>
        <v/>
      </c>
      <c r="AD119" s="313" t="str">
        <f t="shared" si="12"/>
        <v/>
      </c>
      <c r="AE119" s="58"/>
      <c r="AF119" s="58"/>
      <c r="AG119" s="283" t="str">
        <f t="shared" si="16"/>
        <v/>
      </c>
      <c r="AH119" s="296" t="str">
        <f t="shared" si="17"/>
        <v/>
      </c>
      <c r="AI119" s="297" t="str">
        <f>IF(AH119="Check Data ⚠","Check Data ⚠",IFERROR(VLOOKUP(AH119,'G-4 Temporal multipliers'!$A$4:$C$36,3,FALSE),""))</f>
        <v/>
      </c>
      <c r="AJ119" s="275" t="str">
        <f>IF(S119="","",VLOOKUP(S119,'G-3 Multipliers'!$A$2:$E$134,4,FALSE))</f>
        <v/>
      </c>
      <c r="AK119" s="283" t="str">
        <f t="shared" si="18"/>
        <v/>
      </c>
      <c r="AL119" s="283" t="str">
        <f t="shared" si="19"/>
        <v/>
      </c>
      <c r="AM119" s="314" t="str">
        <f>IFERROR(IF(F119="","",IF(AH119="Check Data ⚠","Check Data ⚠",VLOOKUP(AL119,'G-3 Multipliers'!$P$2:$Q$6,2,FALSE))),"")</f>
        <v/>
      </c>
      <c r="AN119" s="289" t="str">
        <f t="shared" si="20"/>
        <v/>
      </c>
      <c r="AO119" s="52"/>
      <c r="AP119" s="51"/>
      <c r="AQ119" s="104"/>
      <c r="AT119" s="35" t="str">
        <f t="shared" si="21"/>
        <v>No</v>
      </c>
      <c r="AU119" s="35" t="str">
        <f>IF(E119="","",IF(ISNA(VLOOKUP($E119,'A-1 On-Site Habitat Baseline'!$D$1:$AV$258,4,FALSE)),"",(VLOOKUP($E119,'A-1 On-Site Habitat Baseline'!$D$1:$AV$258,4,FALSE))))</f>
        <v/>
      </c>
    </row>
    <row r="120" spans="1:47" ht="14">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05" t="str">
        <f>'A-1 On-Site Habitat Baseline'!AL119</f>
        <v/>
      </c>
      <c r="F120" s="295" t="str">
        <f>IF(E120="","",IF(ISNA(VLOOKUP($E120,'A-1 On-Site Habitat Baseline'!$D$1:$AV$258,45,FALSE)),"",(VLOOKUP($E120,'A-1 On-Site Habitat Baseline'!$D$1:$AV$258,45,FALSE))))</f>
        <v/>
      </c>
      <c r="G120" s="295" t="str">
        <f>IF(E120="","",IF(ISNA(VLOOKUP($E120,'A-1 On-Site Habitat Baseline'!$D$1:$O$258,5,FALSE)),"",(VLOOKUP($E120,'A-1 On-Site Habitat Baseline'!$D$1:$O$258,5,FALSE))))</f>
        <v/>
      </c>
      <c r="H120" s="295" t="str">
        <f>IF(E120="","",IF(ISNA(VLOOKUP($E120,'A-1 On-Site Habitat Baseline'!$D$1:$O$258,6,FALSE)),"",(VLOOKUP($E120,'A-1 On-Site Habitat Baseline'!$D$1:$O$258,6,FALSE))))</f>
        <v/>
      </c>
      <c r="I120" s="295" t="str">
        <f>IF(E120="","",IF(ISNA(VLOOKUP($E120,'A-1 On-Site Habitat Baseline'!$D$1:$O$258,7,FALSE)),"",(VLOOKUP($E120,'A-1 On-Site Habitat Baseline'!$D$1:$O$258,7,FALSE))))</f>
        <v/>
      </c>
      <c r="J120" s="295" t="str">
        <f>IF(E120="","",IF(ISNA(VLOOKUP($E120,'A-1 On-Site Habitat Baseline'!$D$1:$O$258,8,FALSE)),"",(VLOOKUP($E120,'A-1 On-Site Habitat Baseline'!$D$1:$O$258,8,FALSE))))</f>
        <v/>
      </c>
      <c r="K120" s="295" t="str">
        <f>IF(E120="","",IF(ISNA(VLOOKUP($E120,'A-1 On-Site Habitat Baseline'!$D$1:$O$258,9,FALSE)),"",(VLOOKUP($E120,'A-1 On-Site Habitat Baseline'!$D$1:$O$258,9,FALSE))))</f>
        <v/>
      </c>
      <c r="L120" s="295" t="str">
        <f>IF(E120="","",IF(ISNA(VLOOKUP($E120,'A-1 On-Site Habitat Baseline'!$D$1:$O$258,11,FALSE)),"",(VLOOKUP($E120,'A-1 On-Site Habitat Baseline'!$D$1:$O$258,11,FALSE))))</f>
        <v/>
      </c>
      <c r="M120" s="295" t="str">
        <f>IF(E120="","",IF(ISNA(VLOOKUP($E120,'A-1 On-Site Habitat Baseline'!$D$1:$O$258,12,FALSE)),"",(VLOOKUP($E120,'A-1 On-Site Habitat Baseline'!$D$1:$O$258,12,FALSE))))</f>
        <v/>
      </c>
      <c r="N120" s="306" t="str">
        <f>IF(E120="","",IF(ISNA(VLOOKUP($E120,'A-1 On-Site Habitat Baseline'!$D$1:$X$258,14,FALSE)),"",(VLOOKUP($E120,'A-1 On-Site Habitat Baseline'!$D$1:$X$258,14,FALSE))))</f>
        <v/>
      </c>
      <c r="O120" s="299" t="str">
        <f>IF(E120="","",IF(ISNA(VLOOKUP($E120,'A-1 On-Site Habitat Baseline'!$D$1:$X$258,16,FALSE)),"",(VLOOKUP($E120,'A-1 On-Site Habitat Baseline'!$D$1:$X$258,13,FALSE))))</f>
        <v/>
      </c>
      <c r="P120" s="154" t="str">
        <f>IFERROR(INDEX('G-1 All Habitats'!$AG$49:$AG$63,MATCH(Q120,'G-1 All Habitats'!$AF$27:$AF$41,0)),"")</f>
        <v/>
      </c>
      <c r="Q120" s="155" t="str">
        <f t="shared" si="13"/>
        <v/>
      </c>
      <c r="R120" s="155"/>
      <c r="S120" s="237" t="str">
        <f>IFERROR(INDEX('G-1 All Habitats'!$B$3:$B$135,MATCH(R120,'G-1 All Habitats'!$A$3:$A$135,0)),"")</f>
        <v/>
      </c>
      <c r="T120" s="275" t="str">
        <f t="shared" si="14"/>
        <v/>
      </c>
      <c r="U120" s="276" t="str">
        <f t="shared" si="15"/>
        <v/>
      </c>
      <c r="V120" s="311" t="str">
        <f t="shared" si="11"/>
        <v/>
      </c>
      <c r="W120" s="295" t="str">
        <f>IF(S120="","",VLOOKUP(S120,'G-1 All Habitats'!$B$2:$M$135,10,FALSE))</f>
        <v/>
      </c>
      <c r="X120" s="295" t="str">
        <f>IFERROR(VLOOKUP(W120,'G-1 All Habitats'!$V$3:$W$7,2,FALSE),"")</f>
        <v/>
      </c>
      <c r="Y120" s="57"/>
      <c r="Z120" s="299" t="str">
        <f>IFERROR(INDEX('G-8 Condition Look up'!$A$3:$H$135,MATCH(S120,'G-8 Condition Look up'!$A$3:$A$135,0),MATCH(Y120,'G-8 Condition Look up'!$A$3:$H$3,0)),"")</f>
        <v/>
      </c>
      <c r="AA120" s="52"/>
      <c r="AB120" s="295" t="str">
        <f>IF(AA120="","",IF(VLOOKUP(AA120,'G-3 Multipliers'!$L$3:$N$6,2,FALSE)=0,"Spatial Data Missing ⚠",VLOOKUP(AA120,'G-3 Multipliers'!$L$3:$N$6,2,FALSE)))</f>
        <v/>
      </c>
      <c r="AC120" s="299" t="str">
        <f>IF(AA120="","",IF(VLOOKUP(AA120,'G-3 Multipliers'!$L$3:$N$6,3,FALSE)=0,"Spatial Data Missing ⚠",VLOOKUP(AA120,'G-3 Multipliers'!$L$3:$N$6,3,FALSE)))</f>
        <v/>
      </c>
      <c r="AD120" s="313" t="str">
        <f t="shared" si="12"/>
        <v/>
      </c>
      <c r="AE120" s="58"/>
      <c r="AF120" s="58"/>
      <c r="AG120" s="283" t="str">
        <f t="shared" si="16"/>
        <v/>
      </c>
      <c r="AH120" s="296" t="str">
        <f t="shared" si="17"/>
        <v/>
      </c>
      <c r="AI120" s="297" t="str">
        <f>IF(AH120="Check Data ⚠","Check Data ⚠",IFERROR(VLOOKUP(AH120,'G-4 Temporal multipliers'!$A$4:$C$36,3,FALSE),""))</f>
        <v/>
      </c>
      <c r="AJ120" s="275" t="str">
        <f>IF(S120="","",VLOOKUP(S120,'G-3 Multipliers'!$A$2:$E$134,4,FALSE))</f>
        <v/>
      </c>
      <c r="AK120" s="283" t="str">
        <f t="shared" si="18"/>
        <v/>
      </c>
      <c r="AL120" s="283" t="str">
        <f t="shared" si="19"/>
        <v/>
      </c>
      <c r="AM120" s="314" t="str">
        <f>IFERROR(IF(F120="","",IF(AH120="Check Data ⚠","Check Data ⚠",VLOOKUP(AL120,'G-3 Multipliers'!$P$2:$Q$6,2,FALSE))),"")</f>
        <v/>
      </c>
      <c r="AN120" s="289" t="str">
        <f t="shared" si="20"/>
        <v/>
      </c>
      <c r="AO120" s="52"/>
      <c r="AP120" s="51"/>
      <c r="AQ120" s="104"/>
      <c r="AT120" s="35" t="str">
        <f t="shared" si="21"/>
        <v>No</v>
      </c>
      <c r="AU120" s="35" t="str">
        <f>IF(E120="","",IF(ISNA(VLOOKUP($E120,'A-1 On-Site Habitat Baseline'!$D$1:$AV$258,4,FALSE)),"",(VLOOKUP($E120,'A-1 On-Site Habitat Baseline'!$D$1:$AV$258,4,FALSE))))</f>
        <v/>
      </c>
    </row>
    <row r="121" spans="1:47" ht="14">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05" t="str">
        <f>'A-1 On-Site Habitat Baseline'!AL120</f>
        <v/>
      </c>
      <c r="F121" s="295" t="str">
        <f>IF(E121="","",IF(ISNA(VLOOKUP($E121,'A-1 On-Site Habitat Baseline'!$D$1:$AV$258,45,FALSE)),"",(VLOOKUP($E121,'A-1 On-Site Habitat Baseline'!$D$1:$AV$258,45,FALSE))))</f>
        <v/>
      </c>
      <c r="G121" s="295" t="str">
        <f>IF(E121="","",IF(ISNA(VLOOKUP($E121,'A-1 On-Site Habitat Baseline'!$D$1:$O$258,5,FALSE)),"",(VLOOKUP($E121,'A-1 On-Site Habitat Baseline'!$D$1:$O$258,5,FALSE))))</f>
        <v/>
      </c>
      <c r="H121" s="295" t="str">
        <f>IF(E121="","",IF(ISNA(VLOOKUP($E121,'A-1 On-Site Habitat Baseline'!$D$1:$O$258,6,FALSE)),"",(VLOOKUP($E121,'A-1 On-Site Habitat Baseline'!$D$1:$O$258,6,FALSE))))</f>
        <v/>
      </c>
      <c r="I121" s="295" t="str">
        <f>IF(E121="","",IF(ISNA(VLOOKUP($E121,'A-1 On-Site Habitat Baseline'!$D$1:$O$258,7,FALSE)),"",(VLOOKUP($E121,'A-1 On-Site Habitat Baseline'!$D$1:$O$258,7,FALSE))))</f>
        <v/>
      </c>
      <c r="J121" s="295" t="str">
        <f>IF(E121="","",IF(ISNA(VLOOKUP($E121,'A-1 On-Site Habitat Baseline'!$D$1:$O$258,8,FALSE)),"",(VLOOKUP($E121,'A-1 On-Site Habitat Baseline'!$D$1:$O$258,8,FALSE))))</f>
        <v/>
      </c>
      <c r="K121" s="295" t="str">
        <f>IF(E121="","",IF(ISNA(VLOOKUP($E121,'A-1 On-Site Habitat Baseline'!$D$1:$O$258,9,FALSE)),"",(VLOOKUP($E121,'A-1 On-Site Habitat Baseline'!$D$1:$O$258,9,FALSE))))</f>
        <v/>
      </c>
      <c r="L121" s="295" t="str">
        <f>IF(E121="","",IF(ISNA(VLOOKUP($E121,'A-1 On-Site Habitat Baseline'!$D$1:$O$258,11,FALSE)),"",(VLOOKUP($E121,'A-1 On-Site Habitat Baseline'!$D$1:$O$258,11,FALSE))))</f>
        <v/>
      </c>
      <c r="M121" s="295" t="str">
        <f>IF(E121="","",IF(ISNA(VLOOKUP($E121,'A-1 On-Site Habitat Baseline'!$D$1:$O$258,12,FALSE)),"",(VLOOKUP($E121,'A-1 On-Site Habitat Baseline'!$D$1:$O$258,12,FALSE))))</f>
        <v/>
      </c>
      <c r="N121" s="306" t="str">
        <f>IF(E121="","",IF(ISNA(VLOOKUP($E121,'A-1 On-Site Habitat Baseline'!$D$1:$X$258,14,FALSE)),"",(VLOOKUP($E121,'A-1 On-Site Habitat Baseline'!$D$1:$X$258,14,FALSE))))</f>
        <v/>
      </c>
      <c r="O121" s="299" t="str">
        <f>IF(E121="","",IF(ISNA(VLOOKUP($E121,'A-1 On-Site Habitat Baseline'!$D$1:$X$258,16,FALSE)),"",(VLOOKUP($E121,'A-1 On-Site Habitat Baseline'!$D$1:$X$258,13,FALSE))))</f>
        <v/>
      </c>
      <c r="P121" s="154" t="str">
        <f>IFERROR(INDEX('G-1 All Habitats'!$AG$49:$AG$63,MATCH(Q121,'G-1 All Habitats'!$AF$27:$AF$41,0)),"")</f>
        <v/>
      </c>
      <c r="Q121" s="155" t="str">
        <f t="shared" si="13"/>
        <v/>
      </c>
      <c r="R121" s="155"/>
      <c r="S121" s="237" t="str">
        <f>IFERROR(INDEX('G-1 All Habitats'!$B$3:$B$135,MATCH(R121,'G-1 All Habitats'!$A$3:$A$135,0)),"")</f>
        <v/>
      </c>
      <c r="T121" s="275" t="str">
        <f t="shared" si="14"/>
        <v/>
      </c>
      <c r="U121" s="276" t="str">
        <f t="shared" si="15"/>
        <v/>
      </c>
      <c r="V121" s="311" t="str">
        <f t="shared" si="11"/>
        <v/>
      </c>
      <c r="W121" s="295" t="str">
        <f>IF(S121="","",VLOOKUP(S121,'G-1 All Habitats'!$B$2:$M$135,10,FALSE))</f>
        <v/>
      </c>
      <c r="X121" s="295" t="str">
        <f>IFERROR(VLOOKUP(W121,'G-1 All Habitats'!$V$3:$W$7,2,FALSE),"")</f>
        <v/>
      </c>
      <c r="Y121" s="57"/>
      <c r="Z121" s="299" t="str">
        <f>IFERROR(INDEX('G-8 Condition Look up'!$A$3:$H$135,MATCH(S121,'G-8 Condition Look up'!$A$3:$A$135,0),MATCH(Y121,'G-8 Condition Look up'!$A$3:$H$3,0)),"")</f>
        <v/>
      </c>
      <c r="AA121" s="52"/>
      <c r="AB121" s="295" t="str">
        <f>IF(AA121="","",IF(VLOOKUP(AA121,'G-3 Multipliers'!$L$3:$N$6,2,FALSE)=0,"Spatial Data Missing ⚠",VLOOKUP(AA121,'G-3 Multipliers'!$L$3:$N$6,2,FALSE)))</f>
        <v/>
      </c>
      <c r="AC121" s="299" t="str">
        <f>IF(AA121="","",IF(VLOOKUP(AA121,'G-3 Multipliers'!$L$3:$N$6,3,FALSE)=0,"Spatial Data Missing ⚠",VLOOKUP(AA121,'G-3 Multipliers'!$L$3:$N$6,3,FALSE)))</f>
        <v/>
      </c>
      <c r="AD121" s="313" t="str">
        <f t="shared" si="12"/>
        <v/>
      </c>
      <c r="AE121" s="58"/>
      <c r="AF121" s="58"/>
      <c r="AG121" s="283" t="str">
        <f t="shared" si="16"/>
        <v/>
      </c>
      <c r="AH121" s="296" t="str">
        <f t="shared" si="17"/>
        <v/>
      </c>
      <c r="AI121" s="297" t="str">
        <f>IF(AH121="Check Data ⚠","Check Data ⚠",IFERROR(VLOOKUP(AH121,'G-4 Temporal multipliers'!$A$4:$C$36,3,FALSE),""))</f>
        <v/>
      </c>
      <c r="AJ121" s="275" t="str">
        <f>IF(S121="","",VLOOKUP(S121,'G-3 Multipliers'!$A$2:$E$134,4,FALSE))</f>
        <v/>
      </c>
      <c r="AK121" s="283" t="str">
        <f t="shared" si="18"/>
        <v/>
      </c>
      <c r="AL121" s="283" t="str">
        <f t="shared" si="19"/>
        <v/>
      </c>
      <c r="AM121" s="314" t="str">
        <f>IFERROR(IF(F121="","",IF(AH121="Check Data ⚠","Check Data ⚠",VLOOKUP(AL121,'G-3 Multipliers'!$P$2:$Q$6,2,FALSE))),"")</f>
        <v/>
      </c>
      <c r="AN121" s="289" t="str">
        <f t="shared" si="20"/>
        <v/>
      </c>
      <c r="AO121" s="52"/>
      <c r="AP121" s="51"/>
      <c r="AQ121" s="104"/>
      <c r="AT121" s="35" t="str">
        <f t="shared" si="21"/>
        <v>No</v>
      </c>
      <c r="AU121" s="35" t="str">
        <f>IF(E121="","",IF(ISNA(VLOOKUP($E121,'A-1 On-Site Habitat Baseline'!$D$1:$AV$258,4,FALSE)),"",(VLOOKUP($E121,'A-1 On-Site Habitat Baseline'!$D$1:$AV$258,4,FALSE))))</f>
        <v/>
      </c>
    </row>
    <row r="122" spans="1:47" ht="14">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05" t="str">
        <f>'A-1 On-Site Habitat Baseline'!AL121</f>
        <v/>
      </c>
      <c r="F122" s="295" t="str">
        <f>IF(E122="","",IF(ISNA(VLOOKUP($E122,'A-1 On-Site Habitat Baseline'!$D$1:$AV$258,45,FALSE)),"",(VLOOKUP($E122,'A-1 On-Site Habitat Baseline'!$D$1:$AV$258,45,FALSE))))</f>
        <v/>
      </c>
      <c r="G122" s="295" t="str">
        <f>IF(E122="","",IF(ISNA(VLOOKUP($E122,'A-1 On-Site Habitat Baseline'!$D$1:$O$258,5,FALSE)),"",(VLOOKUP($E122,'A-1 On-Site Habitat Baseline'!$D$1:$O$258,5,FALSE))))</f>
        <v/>
      </c>
      <c r="H122" s="295" t="str">
        <f>IF(E122="","",IF(ISNA(VLOOKUP($E122,'A-1 On-Site Habitat Baseline'!$D$1:$O$258,6,FALSE)),"",(VLOOKUP($E122,'A-1 On-Site Habitat Baseline'!$D$1:$O$258,6,FALSE))))</f>
        <v/>
      </c>
      <c r="I122" s="295" t="str">
        <f>IF(E122="","",IF(ISNA(VLOOKUP($E122,'A-1 On-Site Habitat Baseline'!$D$1:$O$258,7,FALSE)),"",(VLOOKUP($E122,'A-1 On-Site Habitat Baseline'!$D$1:$O$258,7,FALSE))))</f>
        <v/>
      </c>
      <c r="J122" s="295" t="str">
        <f>IF(E122="","",IF(ISNA(VLOOKUP($E122,'A-1 On-Site Habitat Baseline'!$D$1:$O$258,8,FALSE)),"",(VLOOKUP($E122,'A-1 On-Site Habitat Baseline'!$D$1:$O$258,8,FALSE))))</f>
        <v/>
      </c>
      <c r="K122" s="295" t="str">
        <f>IF(E122="","",IF(ISNA(VLOOKUP($E122,'A-1 On-Site Habitat Baseline'!$D$1:$O$258,9,FALSE)),"",(VLOOKUP($E122,'A-1 On-Site Habitat Baseline'!$D$1:$O$258,9,FALSE))))</f>
        <v/>
      </c>
      <c r="L122" s="295" t="str">
        <f>IF(E122="","",IF(ISNA(VLOOKUP($E122,'A-1 On-Site Habitat Baseline'!$D$1:$O$258,11,FALSE)),"",(VLOOKUP($E122,'A-1 On-Site Habitat Baseline'!$D$1:$O$258,11,FALSE))))</f>
        <v/>
      </c>
      <c r="M122" s="295" t="str">
        <f>IF(E122="","",IF(ISNA(VLOOKUP($E122,'A-1 On-Site Habitat Baseline'!$D$1:$O$258,12,FALSE)),"",(VLOOKUP($E122,'A-1 On-Site Habitat Baseline'!$D$1:$O$258,12,FALSE))))</f>
        <v/>
      </c>
      <c r="N122" s="306" t="str">
        <f>IF(E122="","",IF(ISNA(VLOOKUP($E122,'A-1 On-Site Habitat Baseline'!$D$1:$X$258,14,FALSE)),"",(VLOOKUP($E122,'A-1 On-Site Habitat Baseline'!$D$1:$X$258,14,FALSE))))</f>
        <v/>
      </c>
      <c r="O122" s="299" t="str">
        <f>IF(E122="","",IF(ISNA(VLOOKUP($E122,'A-1 On-Site Habitat Baseline'!$D$1:$X$258,16,FALSE)),"",(VLOOKUP($E122,'A-1 On-Site Habitat Baseline'!$D$1:$X$258,13,FALSE))))</f>
        <v/>
      </c>
      <c r="P122" s="154" t="str">
        <f>IFERROR(INDEX('G-1 All Habitats'!$AG$49:$AG$63,MATCH(Q122,'G-1 All Habitats'!$AF$27:$AF$41,0)),"")</f>
        <v/>
      </c>
      <c r="Q122" s="155" t="str">
        <f t="shared" si="13"/>
        <v/>
      </c>
      <c r="R122" s="155"/>
      <c r="S122" s="237" t="str">
        <f>IFERROR(INDEX('G-1 All Habitats'!$B$3:$B$135,MATCH(R122,'G-1 All Habitats'!$A$3:$A$135,0)),"")</f>
        <v/>
      </c>
      <c r="T122" s="275" t="str">
        <f t="shared" si="14"/>
        <v/>
      </c>
      <c r="U122" s="276" t="str">
        <f t="shared" si="15"/>
        <v/>
      </c>
      <c r="V122" s="311" t="str">
        <f t="shared" si="11"/>
        <v/>
      </c>
      <c r="W122" s="295" t="str">
        <f>IF(S122="","",VLOOKUP(S122,'G-1 All Habitats'!$B$2:$M$135,10,FALSE))</f>
        <v/>
      </c>
      <c r="X122" s="295" t="str">
        <f>IFERROR(VLOOKUP(W122,'G-1 All Habitats'!$V$3:$W$7,2,FALSE),"")</f>
        <v/>
      </c>
      <c r="Y122" s="57"/>
      <c r="Z122" s="299" t="str">
        <f>IFERROR(INDEX('G-8 Condition Look up'!$A$3:$H$135,MATCH(S122,'G-8 Condition Look up'!$A$3:$A$135,0),MATCH(Y122,'G-8 Condition Look up'!$A$3:$H$3,0)),"")</f>
        <v/>
      </c>
      <c r="AA122" s="52"/>
      <c r="AB122" s="295" t="str">
        <f>IF(AA122="","",IF(VLOOKUP(AA122,'G-3 Multipliers'!$L$3:$N$6,2,FALSE)=0,"Spatial Data Missing ⚠",VLOOKUP(AA122,'G-3 Multipliers'!$L$3:$N$6,2,FALSE)))</f>
        <v/>
      </c>
      <c r="AC122" s="299" t="str">
        <f>IF(AA122="","",IF(VLOOKUP(AA122,'G-3 Multipliers'!$L$3:$N$6,3,FALSE)=0,"Spatial Data Missing ⚠",VLOOKUP(AA122,'G-3 Multipliers'!$L$3:$N$6,3,FALSE)))</f>
        <v/>
      </c>
      <c r="AD122" s="313" t="str">
        <f t="shared" si="12"/>
        <v/>
      </c>
      <c r="AE122" s="58"/>
      <c r="AF122" s="58"/>
      <c r="AG122" s="283" t="str">
        <f t="shared" si="16"/>
        <v/>
      </c>
      <c r="AH122" s="296" t="str">
        <f t="shared" si="17"/>
        <v/>
      </c>
      <c r="AI122" s="297" t="str">
        <f>IF(AH122="Check Data ⚠","Check Data ⚠",IFERROR(VLOOKUP(AH122,'G-4 Temporal multipliers'!$A$4:$C$36,3,FALSE),""))</f>
        <v/>
      </c>
      <c r="AJ122" s="275" t="str">
        <f>IF(S122="","",VLOOKUP(S122,'G-3 Multipliers'!$A$2:$E$134,4,FALSE))</f>
        <v/>
      </c>
      <c r="AK122" s="283" t="str">
        <f t="shared" si="18"/>
        <v/>
      </c>
      <c r="AL122" s="283" t="str">
        <f t="shared" si="19"/>
        <v/>
      </c>
      <c r="AM122" s="314" t="str">
        <f>IFERROR(IF(F122="","",IF(AH122="Check Data ⚠","Check Data ⚠",VLOOKUP(AL122,'G-3 Multipliers'!$P$2:$Q$6,2,FALSE))),"")</f>
        <v/>
      </c>
      <c r="AN122" s="289" t="str">
        <f t="shared" si="20"/>
        <v/>
      </c>
      <c r="AO122" s="52"/>
      <c r="AP122" s="51"/>
      <c r="AQ122" s="104"/>
      <c r="AT122" s="35" t="str">
        <f t="shared" si="21"/>
        <v>No</v>
      </c>
      <c r="AU122" s="35" t="str">
        <f>IF(E122="","",IF(ISNA(VLOOKUP($E122,'A-1 On-Site Habitat Baseline'!$D$1:$AV$258,4,FALSE)),"",(VLOOKUP($E122,'A-1 On-Site Habitat Baseline'!$D$1:$AV$258,4,FALSE))))</f>
        <v/>
      </c>
    </row>
    <row r="123" spans="1:47" ht="14">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05" t="str">
        <f>'A-1 On-Site Habitat Baseline'!AL122</f>
        <v/>
      </c>
      <c r="F123" s="295" t="str">
        <f>IF(E123="","",IF(ISNA(VLOOKUP($E123,'A-1 On-Site Habitat Baseline'!$D$1:$AV$258,45,FALSE)),"",(VLOOKUP($E123,'A-1 On-Site Habitat Baseline'!$D$1:$AV$258,45,FALSE))))</f>
        <v/>
      </c>
      <c r="G123" s="295" t="str">
        <f>IF(E123="","",IF(ISNA(VLOOKUP($E123,'A-1 On-Site Habitat Baseline'!$D$1:$O$258,5,FALSE)),"",(VLOOKUP($E123,'A-1 On-Site Habitat Baseline'!$D$1:$O$258,5,FALSE))))</f>
        <v/>
      </c>
      <c r="H123" s="295" t="str">
        <f>IF(E123="","",IF(ISNA(VLOOKUP($E123,'A-1 On-Site Habitat Baseline'!$D$1:$O$258,6,FALSE)),"",(VLOOKUP($E123,'A-1 On-Site Habitat Baseline'!$D$1:$O$258,6,FALSE))))</f>
        <v/>
      </c>
      <c r="I123" s="295" t="str">
        <f>IF(E123="","",IF(ISNA(VLOOKUP($E123,'A-1 On-Site Habitat Baseline'!$D$1:$O$258,7,FALSE)),"",(VLOOKUP($E123,'A-1 On-Site Habitat Baseline'!$D$1:$O$258,7,FALSE))))</f>
        <v/>
      </c>
      <c r="J123" s="295" t="str">
        <f>IF(E123="","",IF(ISNA(VLOOKUP($E123,'A-1 On-Site Habitat Baseline'!$D$1:$O$258,8,FALSE)),"",(VLOOKUP($E123,'A-1 On-Site Habitat Baseline'!$D$1:$O$258,8,FALSE))))</f>
        <v/>
      </c>
      <c r="K123" s="295" t="str">
        <f>IF(E123="","",IF(ISNA(VLOOKUP($E123,'A-1 On-Site Habitat Baseline'!$D$1:$O$258,9,FALSE)),"",(VLOOKUP($E123,'A-1 On-Site Habitat Baseline'!$D$1:$O$258,9,FALSE))))</f>
        <v/>
      </c>
      <c r="L123" s="295" t="str">
        <f>IF(E123="","",IF(ISNA(VLOOKUP($E123,'A-1 On-Site Habitat Baseline'!$D$1:$O$258,11,FALSE)),"",(VLOOKUP($E123,'A-1 On-Site Habitat Baseline'!$D$1:$O$258,11,FALSE))))</f>
        <v/>
      </c>
      <c r="M123" s="295" t="str">
        <f>IF(E123="","",IF(ISNA(VLOOKUP($E123,'A-1 On-Site Habitat Baseline'!$D$1:$O$258,12,FALSE)),"",(VLOOKUP($E123,'A-1 On-Site Habitat Baseline'!$D$1:$O$258,12,FALSE))))</f>
        <v/>
      </c>
      <c r="N123" s="306" t="str">
        <f>IF(E123="","",IF(ISNA(VLOOKUP($E123,'A-1 On-Site Habitat Baseline'!$D$1:$X$258,14,FALSE)),"",(VLOOKUP($E123,'A-1 On-Site Habitat Baseline'!$D$1:$X$258,14,FALSE))))</f>
        <v/>
      </c>
      <c r="O123" s="299" t="str">
        <f>IF(E123="","",IF(ISNA(VLOOKUP($E123,'A-1 On-Site Habitat Baseline'!$D$1:$X$258,16,FALSE)),"",(VLOOKUP($E123,'A-1 On-Site Habitat Baseline'!$D$1:$X$258,13,FALSE))))</f>
        <v/>
      </c>
      <c r="P123" s="154" t="str">
        <f>IFERROR(INDEX('G-1 All Habitats'!$AG$49:$AG$63,MATCH(Q123,'G-1 All Habitats'!$AF$27:$AF$41,0)),"")</f>
        <v/>
      </c>
      <c r="Q123" s="155" t="str">
        <f t="shared" si="13"/>
        <v/>
      </c>
      <c r="R123" s="155"/>
      <c r="S123" s="237" t="str">
        <f>IFERROR(INDEX('G-1 All Habitats'!$B$3:$B$135,MATCH(R123,'G-1 All Habitats'!$A$3:$A$135,0)),"")</f>
        <v/>
      </c>
      <c r="T123" s="275" t="str">
        <f t="shared" si="14"/>
        <v/>
      </c>
      <c r="U123" s="276" t="str">
        <f t="shared" si="15"/>
        <v/>
      </c>
      <c r="V123" s="311" t="str">
        <f t="shared" si="11"/>
        <v/>
      </c>
      <c r="W123" s="295" t="str">
        <f>IF(S123="","",VLOOKUP(S123,'G-1 All Habitats'!$B$2:$M$135,10,FALSE))</f>
        <v/>
      </c>
      <c r="X123" s="295" t="str">
        <f>IFERROR(VLOOKUP(W123,'G-1 All Habitats'!$V$3:$W$7,2,FALSE),"")</f>
        <v/>
      </c>
      <c r="Y123" s="57"/>
      <c r="Z123" s="299" t="str">
        <f>IFERROR(INDEX('G-8 Condition Look up'!$A$3:$H$135,MATCH(S123,'G-8 Condition Look up'!$A$3:$A$135,0),MATCH(Y123,'G-8 Condition Look up'!$A$3:$H$3,0)),"")</f>
        <v/>
      </c>
      <c r="AA123" s="52"/>
      <c r="AB123" s="295" t="str">
        <f>IF(AA123="","",IF(VLOOKUP(AA123,'G-3 Multipliers'!$L$3:$N$6,2,FALSE)=0,"Spatial Data Missing ⚠",VLOOKUP(AA123,'G-3 Multipliers'!$L$3:$N$6,2,FALSE)))</f>
        <v/>
      </c>
      <c r="AC123" s="299" t="str">
        <f>IF(AA123="","",IF(VLOOKUP(AA123,'G-3 Multipliers'!$L$3:$N$6,3,FALSE)=0,"Spatial Data Missing ⚠",VLOOKUP(AA123,'G-3 Multipliers'!$L$3:$N$6,3,FALSE)))</f>
        <v/>
      </c>
      <c r="AD123" s="313" t="str">
        <f t="shared" si="12"/>
        <v/>
      </c>
      <c r="AE123" s="58"/>
      <c r="AF123" s="58"/>
      <c r="AG123" s="283" t="str">
        <f t="shared" si="16"/>
        <v/>
      </c>
      <c r="AH123" s="296" t="str">
        <f t="shared" si="17"/>
        <v/>
      </c>
      <c r="AI123" s="297" t="str">
        <f>IF(AH123="Check Data ⚠","Check Data ⚠",IFERROR(VLOOKUP(AH123,'G-4 Temporal multipliers'!$A$4:$C$36,3,FALSE),""))</f>
        <v/>
      </c>
      <c r="AJ123" s="275" t="str">
        <f>IF(S123="","",VLOOKUP(S123,'G-3 Multipliers'!$A$2:$E$134,4,FALSE))</f>
        <v/>
      </c>
      <c r="AK123" s="283" t="str">
        <f t="shared" si="18"/>
        <v/>
      </c>
      <c r="AL123" s="283" t="str">
        <f t="shared" si="19"/>
        <v/>
      </c>
      <c r="AM123" s="314" t="str">
        <f>IFERROR(IF(F123="","",IF(AH123="Check Data ⚠","Check Data ⚠",VLOOKUP(AL123,'G-3 Multipliers'!$P$2:$Q$6,2,FALSE))),"")</f>
        <v/>
      </c>
      <c r="AN123" s="289" t="str">
        <f t="shared" si="20"/>
        <v/>
      </c>
      <c r="AO123" s="52"/>
      <c r="AP123" s="51"/>
      <c r="AQ123" s="104"/>
      <c r="AT123" s="35" t="str">
        <f t="shared" si="21"/>
        <v>No</v>
      </c>
      <c r="AU123" s="35" t="str">
        <f>IF(E123="","",IF(ISNA(VLOOKUP($E123,'A-1 On-Site Habitat Baseline'!$D$1:$AV$258,4,FALSE)),"",(VLOOKUP($E123,'A-1 On-Site Habitat Baseline'!$D$1:$AV$258,4,FALSE))))</f>
        <v/>
      </c>
    </row>
    <row r="124" spans="1:47" ht="14">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05" t="str">
        <f>'A-1 On-Site Habitat Baseline'!AL123</f>
        <v/>
      </c>
      <c r="F124" s="295" t="str">
        <f>IF(E124="","",IF(ISNA(VLOOKUP($E124,'A-1 On-Site Habitat Baseline'!$D$1:$AV$258,45,FALSE)),"",(VLOOKUP($E124,'A-1 On-Site Habitat Baseline'!$D$1:$AV$258,45,FALSE))))</f>
        <v/>
      </c>
      <c r="G124" s="295" t="str">
        <f>IF(E124="","",IF(ISNA(VLOOKUP($E124,'A-1 On-Site Habitat Baseline'!$D$1:$O$258,5,FALSE)),"",(VLOOKUP($E124,'A-1 On-Site Habitat Baseline'!$D$1:$O$258,5,FALSE))))</f>
        <v/>
      </c>
      <c r="H124" s="295" t="str">
        <f>IF(E124="","",IF(ISNA(VLOOKUP($E124,'A-1 On-Site Habitat Baseline'!$D$1:$O$258,6,FALSE)),"",(VLOOKUP($E124,'A-1 On-Site Habitat Baseline'!$D$1:$O$258,6,FALSE))))</f>
        <v/>
      </c>
      <c r="I124" s="295" t="str">
        <f>IF(E124="","",IF(ISNA(VLOOKUP($E124,'A-1 On-Site Habitat Baseline'!$D$1:$O$258,7,FALSE)),"",(VLOOKUP($E124,'A-1 On-Site Habitat Baseline'!$D$1:$O$258,7,FALSE))))</f>
        <v/>
      </c>
      <c r="J124" s="295" t="str">
        <f>IF(E124="","",IF(ISNA(VLOOKUP($E124,'A-1 On-Site Habitat Baseline'!$D$1:$O$258,8,FALSE)),"",(VLOOKUP($E124,'A-1 On-Site Habitat Baseline'!$D$1:$O$258,8,FALSE))))</f>
        <v/>
      </c>
      <c r="K124" s="295" t="str">
        <f>IF(E124="","",IF(ISNA(VLOOKUP($E124,'A-1 On-Site Habitat Baseline'!$D$1:$O$258,9,FALSE)),"",(VLOOKUP($E124,'A-1 On-Site Habitat Baseline'!$D$1:$O$258,9,FALSE))))</f>
        <v/>
      </c>
      <c r="L124" s="295" t="str">
        <f>IF(E124="","",IF(ISNA(VLOOKUP($E124,'A-1 On-Site Habitat Baseline'!$D$1:$O$258,11,FALSE)),"",(VLOOKUP($E124,'A-1 On-Site Habitat Baseline'!$D$1:$O$258,11,FALSE))))</f>
        <v/>
      </c>
      <c r="M124" s="295" t="str">
        <f>IF(E124="","",IF(ISNA(VLOOKUP($E124,'A-1 On-Site Habitat Baseline'!$D$1:$O$258,12,FALSE)),"",(VLOOKUP($E124,'A-1 On-Site Habitat Baseline'!$D$1:$O$258,12,FALSE))))</f>
        <v/>
      </c>
      <c r="N124" s="306" t="str">
        <f>IF(E124="","",IF(ISNA(VLOOKUP($E124,'A-1 On-Site Habitat Baseline'!$D$1:$X$258,14,FALSE)),"",(VLOOKUP($E124,'A-1 On-Site Habitat Baseline'!$D$1:$X$258,14,FALSE))))</f>
        <v/>
      </c>
      <c r="O124" s="299" t="str">
        <f>IF(E124="","",IF(ISNA(VLOOKUP($E124,'A-1 On-Site Habitat Baseline'!$D$1:$X$258,16,FALSE)),"",(VLOOKUP($E124,'A-1 On-Site Habitat Baseline'!$D$1:$X$258,13,FALSE))))</f>
        <v/>
      </c>
      <c r="P124" s="154" t="str">
        <f>IFERROR(INDEX('G-1 All Habitats'!$AG$49:$AG$63,MATCH(Q124,'G-1 All Habitats'!$AF$27:$AF$41,0)),"")</f>
        <v/>
      </c>
      <c r="Q124" s="155" t="str">
        <f t="shared" si="13"/>
        <v/>
      </c>
      <c r="R124" s="155"/>
      <c r="S124" s="237" t="str">
        <f>IFERROR(INDEX('G-1 All Habitats'!$B$3:$B$135,MATCH(R124,'G-1 All Habitats'!$A$3:$A$135,0)),"")</f>
        <v/>
      </c>
      <c r="T124" s="275" t="str">
        <f t="shared" si="14"/>
        <v/>
      </c>
      <c r="U124" s="276" t="str">
        <f t="shared" si="15"/>
        <v/>
      </c>
      <c r="V124" s="311" t="str">
        <f t="shared" si="11"/>
        <v/>
      </c>
      <c r="W124" s="295" t="str">
        <f>IF(S124="","",VLOOKUP(S124,'G-1 All Habitats'!$B$2:$M$135,10,FALSE))</f>
        <v/>
      </c>
      <c r="X124" s="295" t="str">
        <f>IFERROR(VLOOKUP(W124,'G-1 All Habitats'!$V$3:$W$7,2,FALSE),"")</f>
        <v/>
      </c>
      <c r="Y124" s="57"/>
      <c r="Z124" s="299" t="str">
        <f>IFERROR(INDEX('G-8 Condition Look up'!$A$3:$H$135,MATCH(S124,'G-8 Condition Look up'!$A$3:$A$135,0),MATCH(Y124,'G-8 Condition Look up'!$A$3:$H$3,0)),"")</f>
        <v/>
      </c>
      <c r="AA124" s="52"/>
      <c r="AB124" s="295" t="str">
        <f>IF(AA124="","",IF(VLOOKUP(AA124,'G-3 Multipliers'!$L$3:$N$6,2,FALSE)=0,"Spatial Data Missing ⚠",VLOOKUP(AA124,'G-3 Multipliers'!$L$3:$N$6,2,FALSE)))</f>
        <v/>
      </c>
      <c r="AC124" s="299" t="str">
        <f>IF(AA124="","",IF(VLOOKUP(AA124,'G-3 Multipliers'!$L$3:$N$6,3,FALSE)=0,"Spatial Data Missing ⚠",VLOOKUP(AA124,'G-3 Multipliers'!$L$3:$N$6,3,FALSE)))</f>
        <v/>
      </c>
      <c r="AD124" s="313" t="str">
        <f t="shared" si="12"/>
        <v/>
      </c>
      <c r="AE124" s="58"/>
      <c r="AF124" s="58"/>
      <c r="AG124" s="283" t="str">
        <f t="shared" si="16"/>
        <v/>
      </c>
      <c r="AH124" s="296" t="str">
        <f t="shared" si="17"/>
        <v/>
      </c>
      <c r="AI124" s="297" t="str">
        <f>IF(AH124="Check Data ⚠","Check Data ⚠",IFERROR(VLOOKUP(AH124,'G-4 Temporal multipliers'!$A$4:$C$36,3,FALSE),""))</f>
        <v/>
      </c>
      <c r="AJ124" s="275" t="str">
        <f>IF(S124="","",VLOOKUP(S124,'G-3 Multipliers'!$A$2:$E$134,4,FALSE))</f>
        <v/>
      </c>
      <c r="AK124" s="283" t="str">
        <f t="shared" si="18"/>
        <v/>
      </c>
      <c r="AL124" s="283" t="str">
        <f t="shared" si="19"/>
        <v/>
      </c>
      <c r="AM124" s="314" t="str">
        <f>IFERROR(IF(F124="","",IF(AH124="Check Data ⚠","Check Data ⚠",VLOOKUP(AL124,'G-3 Multipliers'!$P$2:$Q$6,2,FALSE))),"")</f>
        <v/>
      </c>
      <c r="AN124" s="289" t="str">
        <f t="shared" si="20"/>
        <v/>
      </c>
      <c r="AO124" s="52"/>
      <c r="AP124" s="51"/>
      <c r="AQ124" s="104"/>
      <c r="AT124" s="35" t="str">
        <f t="shared" si="21"/>
        <v>No</v>
      </c>
      <c r="AU124" s="35" t="str">
        <f>IF(E124="","",IF(ISNA(VLOOKUP($E124,'A-1 On-Site Habitat Baseline'!$D$1:$AV$258,4,FALSE)),"",(VLOOKUP($E124,'A-1 On-Site Habitat Baseline'!$D$1:$AV$258,4,FALSE))))</f>
        <v/>
      </c>
    </row>
    <row r="125" spans="1:47" ht="14">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05" t="str">
        <f>'A-1 On-Site Habitat Baseline'!AL124</f>
        <v/>
      </c>
      <c r="F125" s="295" t="str">
        <f>IF(E125="","",IF(ISNA(VLOOKUP($E125,'A-1 On-Site Habitat Baseline'!$D$1:$AV$258,45,FALSE)),"",(VLOOKUP($E125,'A-1 On-Site Habitat Baseline'!$D$1:$AV$258,45,FALSE))))</f>
        <v/>
      </c>
      <c r="G125" s="295" t="str">
        <f>IF(E125="","",IF(ISNA(VLOOKUP($E125,'A-1 On-Site Habitat Baseline'!$D$1:$O$258,5,FALSE)),"",(VLOOKUP($E125,'A-1 On-Site Habitat Baseline'!$D$1:$O$258,5,FALSE))))</f>
        <v/>
      </c>
      <c r="H125" s="295" t="str">
        <f>IF(E125="","",IF(ISNA(VLOOKUP($E125,'A-1 On-Site Habitat Baseline'!$D$1:$O$258,6,FALSE)),"",(VLOOKUP($E125,'A-1 On-Site Habitat Baseline'!$D$1:$O$258,6,FALSE))))</f>
        <v/>
      </c>
      <c r="I125" s="295" t="str">
        <f>IF(E125="","",IF(ISNA(VLOOKUP($E125,'A-1 On-Site Habitat Baseline'!$D$1:$O$258,7,FALSE)),"",(VLOOKUP($E125,'A-1 On-Site Habitat Baseline'!$D$1:$O$258,7,FALSE))))</f>
        <v/>
      </c>
      <c r="J125" s="295" t="str">
        <f>IF(E125="","",IF(ISNA(VLOOKUP($E125,'A-1 On-Site Habitat Baseline'!$D$1:$O$258,8,FALSE)),"",(VLOOKUP($E125,'A-1 On-Site Habitat Baseline'!$D$1:$O$258,8,FALSE))))</f>
        <v/>
      </c>
      <c r="K125" s="295" t="str">
        <f>IF(E125="","",IF(ISNA(VLOOKUP($E125,'A-1 On-Site Habitat Baseline'!$D$1:$O$258,9,FALSE)),"",(VLOOKUP($E125,'A-1 On-Site Habitat Baseline'!$D$1:$O$258,9,FALSE))))</f>
        <v/>
      </c>
      <c r="L125" s="295" t="str">
        <f>IF(E125="","",IF(ISNA(VLOOKUP($E125,'A-1 On-Site Habitat Baseline'!$D$1:$O$258,11,FALSE)),"",(VLOOKUP($E125,'A-1 On-Site Habitat Baseline'!$D$1:$O$258,11,FALSE))))</f>
        <v/>
      </c>
      <c r="M125" s="295" t="str">
        <f>IF(E125="","",IF(ISNA(VLOOKUP($E125,'A-1 On-Site Habitat Baseline'!$D$1:$O$258,12,FALSE)),"",(VLOOKUP($E125,'A-1 On-Site Habitat Baseline'!$D$1:$O$258,12,FALSE))))</f>
        <v/>
      </c>
      <c r="N125" s="306" t="str">
        <f>IF(E125="","",IF(ISNA(VLOOKUP($E125,'A-1 On-Site Habitat Baseline'!$D$1:$X$258,14,FALSE)),"",(VLOOKUP($E125,'A-1 On-Site Habitat Baseline'!$D$1:$X$258,14,FALSE))))</f>
        <v/>
      </c>
      <c r="O125" s="299" t="str">
        <f>IF(E125="","",IF(ISNA(VLOOKUP($E125,'A-1 On-Site Habitat Baseline'!$D$1:$X$258,16,FALSE)),"",(VLOOKUP($E125,'A-1 On-Site Habitat Baseline'!$D$1:$X$258,13,FALSE))))</f>
        <v/>
      </c>
      <c r="P125" s="154" t="str">
        <f>IFERROR(INDEX('G-1 All Habitats'!$AG$49:$AG$63,MATCH(Q125,'G-1 All Habitats'!$AF$27:$AF$41,0)),"")</f>
        <v/>
      </c>
      <c r="Q125" s="155" t="str">
        <f t="shared" si="13"/>
        <v/>
      </c>
      <c r="R125" s="155"/>
      <c r="S125" s="237" t="str">
        <f>IFERROR(INDEX('G-1 All Habitats'!$B$3:$B$135,MATCH(R125,'G-1 All Habitats'!$A$3:$A$135,0)),"")</f>
        <v/>
      </c>
      <c r="T125" s="275" t="str">
        <f t="shared" si="14"/>
        <v/>
      </c>
      <c r="U125" s="276" t="str">
        <f t="shared" si="15"/>
        <v/>
      </c>
      <c r="V125" s="311" t="str">
        <f t="shared" si="11"/>
        <v/>
      </c>
      <c r="W125" s="295" t="str">
        <f>IF(S125="","",VLOOKUP(S125,'G-1 All Habitats'!$B$2:$M$135,10,FALSE))</f>
        <v/>
      </c>
      <c r="X125" s="295" t="str">
        <f>IFERROR(VLOOKUP(W125,'G-1 All Habitats'!$V$3:$W$7,2,FALSE),"")</f>
        <v/>
      </c>
      <c r="Y125" s="57"/>
      <c r="Z125" s="299" t="str">
        <f>IFERROR(INDEX('G-8 Condition Look up'!$A$3:$H$135,MATCH(S125,'G-8 Condition Look up'!$A$3:$A$135,0),MATCH(Y125,'G-8 Condition Look up'!$A$3:$H$3,0)),"")</f>
        <v/>
      </c>
      <c r="AA125" s="52"/>
      <c r="AB125" s="295" t="str">
        <f>IF(AA125="","",IF(VLOOKUP(AA125,'G-3 Multipliers'!$L$3:$N$6,2,FALSE)=0,"Spatial Data Missing ⚠",VLOOKUP(AA125,'G-3 Multipliers'!$L$3:$N$6,2,FALSE)))</f>
        <v/>
      </c>
      <c r="AC125" s="299" t="str">
        <f>IF(AA125="","",IF(VLOOKUP(AA125,'G-3 Multipliers'!$L$3:$N$6,3,FALSE)=0,"Spatial Data Missing ⚠",VLOOKUP(AA125,'G-3 Multipliers'!$L$3:$N$6,3,FALSE)))</f>
        <v/>
      </c>
      <c r="AD125" s="313" t="str">
        <f t="shared" si="12"/>
        <v/>
      </c>
      <c r="AE125" s="58"/>
      <c r="AF125" s="58"/>
      <c r="AG125" s="283" t="str">
        <f t="shared" si="16"/>
        <v/>
      </c>
      <c r="AH125" s="296" t="str">
        <f t="shared" si="17"/>
        <v/>
      </c>
      <c r="AI125" s="297" t="str">
        <f>IF(AH125="Check Data ⚠","Check Data ⚠",IFERROR(VLOOKUP(AH125,'G-4 Temporal multipliers'!$A$4:$C$36,3,FALSE),""))</f>
        <v/>
      </c>
      <c r="AJ125" s="275" t="str">
        <f>IF(S125="","",VLOOKUP(S125,'G-3 Multipliers'!$A$2:$E$134,4,FALSE))</f>
        <v/>
      </c>
      <c r="AK125" s="283" t="str">
        <f t="shared" si="18"/>
        <v/>
      </c>
      <c r="AL125" s="283" t="str">
        <f t="shared" si="19"/>
        <v/>
      </c>
      <c r="AM125" s="314" t="str">
        <f>IFERROR(IF(F125="","",IF(AH125="Check Data ⚠","Check Data ⚠",VLOOKUP(AL125,'G-3 Multipliers'!$P$2:$Q$6,2,FALSE))),"")</f>
        <v/>
      </c>
      <c r="AN125" s="289" t="str">
        <f t="shared" si="20"/>
        <v/>
      </c>
      <c r="AO125" s="52"/>
      <c r="AP125" s="51"/>
      <c r="AQ125" s="104"/>
      <c r="AT125" s="35" t="str">
        <f t="shared" si="21"/>
        <v>No</v>
      </c>
      <c r="AU125" s="35" t="str">
        <f>IF(E125="","",IF(ISNA(VLOOKUP($E125,'A-1 On-Site Habitat Baseline'!$D$1:$AV$258,4,FALSE)),"",(VLOOKUP($E125,'A-1 On-Site Habitat Baseline'!$D$1:$AV$258,4,FALSE))))</f>
        <v/>
      </c>
    </row>
    <row r="126" spans="1:47" ht="14">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05" t="str">
        <f>'A-1 On-Site Habitat Baseline'!AL125</f>
        <v/>
      </c>
      <c r="F126" s="295" t="str">
        <f>IF(E126="","",IF(ISNA(VLOOKUP($E126,'A-1 On-Site Habitat Baseline'!$D$1:$AV$258,45,FALSE)),"",(VLOOKUP($E126,'A-1 On-Site Habitat Baseline'!$D$1:$AV$258,45,FALSE))))</f>
        <v/>
      </c>
      <c r="G126" s="295" t="str">
        <f>IF(E126="","",IF(ISNA(VLOOKUP($E126,'A-1 On-Site Habitat Baseline'!$D$1:$O$258,5,FALSE)),"",(VLOOKUP($E126,'A-1 On-Site Habitat Baseline'!$D$1:$O$258,5,FALSE))))</f>
        <v/>
      </c>
      <c r="H126" s="295" t="str">
        <f>IF(E126="","",IF(ISNA(VLOOKUP($E126,'A-1 On-Site Habitat Baseline'!$D$1:$O$258,6,FALSE)),"",(VLOOKUP($E126,'A-1 On-Site Habitat Baseline'!$D$1:$O$258,6,FALSE))))</f>
        <v/>
      </c>
      <c r="I126" s="295" t="str">
        <f>IF(E126="","",IF(ISNA(VLOOKUP($E126,'A-1 On-Site Habitat Baseline'!$D$1:$O$258,7,FALSE)),"",(VLOOKUP($E126,'A-1 On-Site Habitat Baseline'!$D$1:$O$258,7,FALSE))))</f>
        <v/>
      </c>
      <c r="J126" s="295" t="str">
        <f>IF(E126="","",IF(ISNA(VLOOKUP($E126,'A-1 On-Site Habitat Baseline'!$D$1:$O$258,8,FALSE)),"",(VLOOKUP($E126,'A-1 On-Site Habitat Baseline'!$D$1:$O$258,8,FALSE))))</f>
        <v/>
      </c>
      <c r="K126" s="295" t="str">
        <f>IF(E126="","",IF(ISNA(VLOOKUP($E126,'A-1 On-Site Habitat Baseline'!$D$1:$O$258,9,FALSE)),"",(VLOOKUP($E126,'A-1 On-Site Habitat Baseline'!$D$1:$O$258,9,FALSE))))</f>
        <v/>
      </c>
      <c r="L126" s="295" t="str">
        <f>IF(E126="","",IF(ISNA(VLOOKUP($E126,'A-1 On-Site Habitat Baseline'!$D$1:$O$258,11,FALSE)),"",(VLOOKUP($E126,'A-1 On-Site Habitat Baseline'!$D$1:$O$258,11,FALSE))))</f>
        <v/>
      </c>
      <c r="M126" s="295" t="str">
        <f>IF(E126="","",IF(ISNA(VLOOKUP($E126,'A-1 On-Site Habitat Baseline'!$D$1:$O$258,12,FALSE)),"",(VLOOKUP($E126,'A-1 On-Site Habitat Baseline'!$D$1:$O$258,12,FALSE))))</f>
        <v/>
      </c>
      <c r="N126" s="306" t="str">
        <f>IF(E126="","",IF(ISNA(VLOOKUP($E126,'A-1 On-Site Habitat Baseline'!$D$1:$X$258,14,FALSE)),"",(VLOOKUP($E126,'A-1 On-Site Habitat Baseline'!$D$1:$X$258,14,FALSE))))</f>
        <v/>
      </c>
      <c r="O126" s="299" t="str">
        <f>IF(E126="","",IF(ISNA(VLOOKUP($E126,'A-1 On-Site Habitat Baseline'!$D$1:$X$258,16,FALSE)),"",(VLOOKUP($E126,'A-1 On-Site Habitat Baseline'!$D$1:$X$258,13,FALSE))))</f>
        <v/>
      </c>
      <c r="P126" s="154" t="str">
        <f>IFERROR(INDEX('G-1 All Habitats'!$AG$49:$AG$63,MATCH(Q126,'G-1 All Habitats'!$AF$27:$AF$41,0)),"")</f>
        <v/>
      </c>
      <c r="Q126" s="155" t="str">
        <f t="shared" si="13"/>
        <v/>
      </c>
      <c r="R126" s="155"/>
      <c r="S126" s="237" t="str">
        <f>IFERROR(INDEX('G-1 All Habitats'!$B$3:$B$135,MATCH(R126,'G-1 All Habitats'!$A$3:$A$135,0)),"")</f>
        <v/>
      </c>
      <c r="T126" s="275" t="str">
        <f t="shared" si="14"/>
        <v/>
      </c>
      <c r="U126" s="276" t="str">
        <f t="shared" si="15"/>
        <v/>
      </c>
      <c r="V126" s="311" t="str">
        <f t="shared" si="11"/>
        <v/>
      </c>
      <c r="W126" s="295" t="str">
        <f>IF(S126="","",VLOOKUP(S126,'G-1 All Habitats'!$B$2:$M$135,10,FALSE))</f>
        <v/>
      </c>
      <c r="X126" s="295" t="str">
        <f>IFERROR(VLOOKUP(W126,'G-1 All Habitats'!$V$3:$W$7,2,FALSE),"")</f>
        <v/>
      </c>
      <c r="Y126" s="57"/>
      <c r="Z126" s="299" t="str">
        <f>IFERROR(INDEX('G-8 Condition Look up'!$A$3:$H$135,MATCH(S126,'G-8 Condition Look up'!$A$3:$A$135,0),MATCH(Y126,'G-8 Condition Look up'!$A$3:$H$3,0)),"")</f>
        <v/>
      </c>
      <c r="AA126" s="52"/>
      <c r="AB126" s="295" t="str">
        <f>IF(AA126="","",IF(VLOOKUP(AA126,'G-3 Multipliers'!$L$3:$N$6,2,FALSE)=0,"Spatial Data Missing ⚠",VLOOKUP(AA126,'G-3 Multipliers'!$L$3:$N$6,2,FALSE)))</f>
        <v/>
      </c>
      <c r="AC126" s="299" t="str">
        <f>IF(AA126="","",IF(VLOOKUP(AA126,'G-3 Multipliers'!$L$3:$N$6,3,FALSE)=0,"Spatial Data Missing ⚠",VLOOKUP(AA126,'G-3 Multipliers'!$L$3:$N$6,3,FALSE)))</f>
        <v/>
      </c>
      <c r="AD126" s="313" t="str">
        <f t="shared" si="12"/>
        <v/>
      </c>
      <c r="AE126" s="58"/>
      <c r="AF126" s="58"/>
      <c r="AG126" s="283" t="str">
        <f t="shared" si="16"/>
        <v/>
      </c>
      <c r="AH126" s="296" t="str">
        <f t="shared" si="17"/>
        <v/>
      </c>
      <c r="AI126" s="297" t="str">
        <f>IF(AH126="Check Data ⚠","Check Data ⚠",IFERROR(VLOOKUP(AH126,'G-4 Temporal multipliers'!$A$4:$C$36,3,FALSE),""))</f>
        <v/>
      </c>
      <c r="AJ126" s="275" t="str">
        <f>IF(S126="","",VLOOKUP(S126,'G-3 Multipliers'!$A$2:$E$134,4,FALSE))</f>
        <v/>
      </c>
      <c r="AK126" s="283" t="str">
        <f t="shared" si="18"/>
        <v/>
      </c>
      <c r="AL126" s="283" t="str">
        <f t="shared" si="19"/>
        <v/>
      </c>
      <c r="AM126" s="314" t="str">
        <f>IFERROR(IF(F126="","",IF(AH126="Check Data ⚠","Check Data ⚠",VLOOKUP(AL126,'G-3 Multipliers'!$P$2:$Q$6,2,FALSE))),"")</f>
        <v/>
      </c>
      <c r="AN126" s="289" t="str">
        <f t="shared" si="20"/>
        <v/>
      </c>
      <c r="AO126" s="52"/>
      <c r="AP126" s="51"/>
      <c r="AQ126" s="104"/>
      <c r="AT126" s="35" t="str">
        <f t="shared" si="21"/>
        <v>No</v>
      </c>
      <c r="AU126" s="35" t="str">
        <f>IF(E126="","",IF(ISNA(VLOOKUP($E126,'A-1 On-Site Habitat Baseline'!$D$1:$AV$258,4,FALSE)),"",(VLOOKUP($E126,'A-1 On-Site Habitat Baseline'!$D$1:$AV$258,4,FALSE))))</f>
        <v/>
      </c>
    </row>
    <row r="127" spans="1:47" ht="14">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05" t="str">
        <f>'A-1 On-Site Habitat Baseline'!AL126</f>
        <v/>
      </c>
      <c r="F127" s="295" t="str">
        <f>IF(E127="","",IF(ISNA(VLOOKUP($E127,'A-1 On-Site Habitat Baseline'!$D$1:$AV$258,45,FALSE)),"",(VLOOKUP($E127,'A-1 On-Site Habitat Baseline'!$D$1:$AV$258,45,FALSE))))</f>
        <v/>
      </c>
      <c r="G127" s="295" t="str">
        <f>IF(E127="","",IF(ISNA(VLOOKUP($E127,'A-1 On-Site Habitat Baseline'!$D$1:$O$258,5,FALSE)),"",(VLOOKUP($E127,'A-1 On-Site Habitat Baseline'!$D$1:$O$258,5,FALSE))))</f>
        <v/>
      </c>
      <c r="H127" s="295" t="str">
        <f>IF(E127="","",IF(ISNA(VLOOKUP($E127,'A-1 On-Site Habitat Baseline'!$D$1:$O$258,6,FALSE)),"",(VLOOKUP($E127,'A-1 On-Site Habitat Baseline'!$D$1:$O$258,6,FALSE))))</f>
        <v/>
      </c>
      <c r="I127" s="295" t="str">
        <f>IF(E127="","",IF(ISNA(VLOOKUP($E127,'A-1 On-Site Habitat Baseline'!$D$1:$O$258,7,FALSE)),"",(VLOOKUP($E127,'A-1 On-Site Habitat Baseline'!$D$1:$O$258,7,FALSE))))</f>
        <v/>
      </c>
      <c r="J127" s="295" t="str">
        <f>IF(E127="","",IF(ISNA(VLOOKUP($E127,'A-1 On-Site Habitat Baseline'!$D$1:$O$258,8,FALSE)),"",(VLOOKUP($E127,'A-1 On-Site Habitat Baseline'!$D$1:$O$258,8,FALSE))))</f>
        <v/>
      </c>
      <c r="K127" s="295" t="str">
        <f>IF(E127="","",IF(ISNA(VLOOKUP($E127,'A-1 On-Site Habitat Baseline'!$D$1:$O$258,9,FALSE)),"",(VLOOKUP($E127,'A-1 On-Site Habitat Baseline'!$D$1:$O$258,9,FALSE))))</f>
        <v/>
      </c>
      <c r="L127" s="295" t="str">
        <f>IF(E127="","",IF(ISNA(VLOOKUP($E127,'A-1 On-Site Habitat Baseline'!$D$1:$O$258,11,FALSE)),"",(VLOOKUP($E127,'A-1 On-Site Habitat Baseline'!$D$1:$O$258,11,FALSE))))</f>
        <v/>
      </c>
      <c r="M127" s="295" t="str">
        <f>IF(E127="","",IF(ISNA(VLOOKUP($E127,'A-1 On-Site Habitat Baseline'!$D$1:$O$258,12,FALSE)),"",(VLOOKUP($E127,'A-1 On-Site Habitat Baseline'!$D$1:$O$258,12,FALSE))))</f>
        <v/>
      </c>
      <c r="N127" s="306" t="str">
        <f>IF(E127="","",IF(ISNA(VLOOKUP($E127,'A-1 On-Site Habitat Baseline'!$D$1:$X$258,14,FALSE)),"",(VLOOKUP($E127,'A-1 On-Site Habitat Baseline'!$D$1:$X$258,14,FALSE))))</f>
        <v/>
      </c>
      <c r="O127" s="299" t="str">
        <f>IF(E127="","",IF(ISNA(VLOOKUP($E127,'A-1 On-Site Habitat Baseline'!$D$1:$X$258,16,FALSE)),"",(VLOOKUP($E127,'A-1 On-Site Habitat Baseline'!$D$1:$X$258,13,FALSE))))</f>
        <v/>
      </c>
      <c r="P127" s="154" t="str">
        <f>IFERROR(INDEX('G-1 All Habitats'!$AG$49:$AG$63,MATCH(Q127,'G-1 All Habitats'!$AF$27:$AF$41,0)),"")</f>
        <v/>
      </c>
      <c r="Q127" s="155" t="str">
        <f t="shared" si="13"/>
        <v/>
      </c>
      <c r="R127" s="155"/>
      <c r="S127" s="237" t="str">
        <f>IFERROR(INDEX('G-1 All Habitats'!$B$3:$B$135,MATCH(R127,'G-1 All Habitats'!$A$3:$A$135,0)),"")</f>
        <v/>
      </c>
      <c r="T127" s="275" t="str">
        <f t="shared" si="14"/>
        <v/>
      </c>
      <c r="U127" s="276" t="str">
        <f t="shared" si="15"/>
        <v/>
      </c>
      <c r="V127" s="311" t="str">
        <f t="shared" si="11"/>
        <v/>
      </c>
      <c r="W127" s="295" t="str">
        <f>IF(S127="","",VLOOKUP(S127,'G-1 All Habitats'!$B$2:$M$135,10,FALSE))</f>
        <v/>
      </c>
      <c r="X127" s="295" t="str">
        <f>IFERROR(VLOOKUP(W127,'G-1 All Habitats'!$V$3:$W$7,2,FALSE),"")</f>
        <v/>
      </c>
      <c r="Y127" s="57"/>
      <c r="Z127" s="299" t="str">
        <f>IFERROR(INDEX('G-8 Condition Look up'!$A$3:$H$135,MATCH(S127,'G-8 Condition Look up'!$A$3:$A$135,0),MATCH(Y127,'G-8 Condition Look up'!$A$3:$H$3,0)),"")</f>
        <v/>
      </c>
      <c r="AA127" s="52"/>
      <c r="AB127" s="295" t="str">
        <f>IF(AA127="","",IF(VLOOKUP(AA127,'G-3 Multipliers'!$L$3:$N$6,2,FALSE)=0,"Spatial Data Missing ⚠",VLOOKUP(AA127,'G-3 Multipliers'!$L$3:$N$6,2,FALSE)))</f>
        <v/>
      </c>
      <c r="AC127" s="299" t="str">
        <f>IF(AA127="","",IF(VLOOKUP(AA127,'G-3 Multipliers'!$L$3:$N$6,3,FALSE)=0,"Spatial Data Missing ⚠",VLOOKUP(AA127,'G-3 Multipliers'!$L$3:$N$6,3,FALSE)))</f>
        <v/>
      </c>
      <c r="AD127" s="313" t="str">
        <f t="shared" si="12"/>
        <v/>
      </c>
      <c r="AE127" s="58"/>
      <c r="AF127" s="58"/>
      <c r="AG127" s="283" t="str">
        <f t="shared" si="16"/>
        <v/>
      </c>
      <c r="AH127" s="296" t="str">
        <f t="shared" si="17"/>
        <v/>
      </c>
      <c r="AI127" s="297" t="str">
        <f>IF(AH127="Check Data ⚠","Check Data ⚠",IFERROR(VLOOKUP(AH127,'G-4 Temporal multipliers'!$A$4:$C$36,3,FALSE),""))</f>
        <v/>
      </c>
      <c r="AJ127" s="275" t="str">
        <f>IF(S127="","",VLOOKUP(S127,'G-3 Multipliers'!$A$2:$E$134,4,FALSE))</f>
        <v/>
      </c>
      <c r="AK127" s="283" t="str">
        <f t="shared" si="18"/>
        <v/>
      </c>
      <c r="AL127" s="283" t="str">
        <f t="shared" si="19"/>
        <v/>
      </c>
      <c r="AM127" s="314" t="str">
        <f>IFERROR(IF(F127="","",IF(AH127="Check Data ⚠","Check Data ⚠",VLOOKUP(AL127,'G-3 Multipliers'!$P$2:$Q$6,2,FALSE))),"")</f>
        <v/>
      </c>
      <c r="AN127" s="289" t="str">
        <f t="shared" si="20"/>
        <v/>
      </c>
      <c r="AO127" s="52"/>
      <c r="AP127" s="51"/>
      <c r="AQ127" s="104"/>
      <c r="AT127" s="35" t="str">
        <f t="shared" si="21"/>
        <v>No</v>
      </c>
      <c r="AU127" s="35" t="str">
        <f>IF(E127="","",IF(ISNA(VLOOKUP($E127,'A-1 On-Site Habitat Baseline'!$D$1:$AV$258,4,FALSE)),"",(VLOOKUP($E127,'A-1 On-Site Habitat Baseline'!$D$1:$AV$258,4,FALSE))))</f>
        <v/>
      </c>
    </row>
    <row r="128" spans="1:47" ht="14">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05" t="str">
        <f>'A-1 On-Site Habitat Baseline'!AL127</f>
        <v/>
      </c>
      <c r="F128" s="295" t="str">
        <f>IF(E128="","",IF(ISNA(VLOOKUP($E128,'A-1 On-Site Habitat Baseline'!$D$1:$AV$258,45,FALSE)),"",(VLOOKUP($E128,'A-1 On-Site Habitat Baseline'!$D$1:$AV$258,45,FALSE))))</f>
        <v/>
      </c>
      <c r="G128" s="295" t="str">
        <f>IF(E128="","",IF(ISNA(VLOOKUP($E128,'A-1 On-Site Habitat Baseline'!$D$1:$O$258,5,FALSE)),"",(VLOOKUP($E128,'A-1 On-Site Habitat Baseline'!$D$1:$O$258,5,FALSE))))</f>
        <v/>
      </c>
      <c r="H128" s="295" t="str">
        <f>IF(E128="","",IF(ISNA(VLOOKUP($E128,'A-1 On-Site Habitat Baseline'!$D$1:$O$258,6,FALSE)),"",(VLOOKUP($E128,'A-1 On-Site Habitat Baseline'!$D$1:$O$258,6,FALSE))))</f>
        <v/>
      </c>
      <c r="I128" s="295" t="str">
        <f>IF(E128="","",IF(ISNA(VLOOKUP($E128,'A-1 On-Site Habitat Baseline'!$D$1:$O$258,7,FALSE)),"",(VLOOKUP($E128,'A-1 On-Site Habitat Baseline'!$D$1:$O$258,7,FALSE))))</f>
        <v/>
      </c>
      <c r="J128" s="295" t="str">
        <f>IF(E128="","",IF(ISNA(VLOOKUP($E128,'A-1 On-Site Habitat Baseline'!$D$1:$O$258,8,FALSE)),"",(VLOOKUP($E128,'A-1 On-Site Habitat Baseline'!$D$1:$O$258,8,FALSE))))</f>
        <v/>
      </c>
      <c r="K128" s="295" t="str">
        <f>IF(E128="","",IF(ISNA(VLOOKUP($E128,'A-1 On-Site Habitat Baseline'!$D$1:$O$258,9,FALSE)),"",(VLOOKUP($E128,'A-1 On-Site Habitat Baseline'!$D$1:$O$258,9,FALSE))))</f>
        <v/>
      </c>
      <c r="L128" s="295" t="str">
        <f>IF(E128="","",IF(ISNA(VLOOKUP($E128,'A-1 On-Site Habitat Baseline'!$D$1:$O$258,11,FALSE)),"",(VLOOKUP($E128,'A-1 On-Site Habitat Baseline'!$D$1:$O$258,11,FALSE))))</f>
        <v/>
      </c>
      <c r="M128" s="295" t="str">
        <f>IF(E128="","",IF(ISNA(VLOOKUP($E128,'A-1 On-Site Habitat Baseline'!$D$1:$O$258,12,FALSE)),"",(VLOOKUP($E128,'A-1 On-Site Habitat Baseline'!$D$1:$O$258,12,FALSE))))</f>
        <v/>
      </c>
      <c r="N128" s="306" t="str">
        <f>IF(E128="","",IF(ISNA(VLOOKUP($E128,'A-1 On-Site Habitat Baseline'!$D$1:$X$258,14,FALSE)),"",(VLOOKUP($E128,'A-1 On-Site Habitat Baseline'!$D$1:$X$258,14,FALSE))))</f>
        <v/>
      </c>
      <c r="O128" s="299" t="str">
        <f>IF(E128="","",IF(ISNA(VLOOKUP($E128,'A-1 On-Site Habitat Baseline'!$D$1:$X$258,16,FALSE)),"",(VLOOKUP($E128,'A-1 On-Site Habitat Baseline'!$D$1:$X$258,13,FALSE))))</f>
        <v/>
      </c>
      <c r="P128" s="154" t="str">
        <f>IFERROR(INDEX('G-1 All Habitats'!$AG$49:$AG$63,MATCH(Q128,'G-1 All Habitats'!$AF$27:$AF$41,0)),"")</f>
        <v/>
      </c>
      <c r="Q128" s="155" t="str">
        <f t="shared" si="13"/>
        <v/>
      </c>
      <c r="R128" s="155"/>
      <c r="S128" s="237" t="str">
        <f>IFERROR(INDEX('G-1 All Habitats'!$B$3:$B$135,MATCH(R128,'G-1 All Habitats'!$A$3:$A$135,0)),"")</f>
        <v/>
      </c>
      <c r="T128" s="275" t="str">
        <f t="shared" si="14"/>
        <v/>
      </c>
      <c r="U128" s="276" t="str">
        <f t="shared" si="15"/>
        <v/>
      </c>
      <c r="V128" s="311" t="str">
        <f t="shared" si="11"/>
        <v/>
      </c>
      <c r="W128" s="295" t="str">
        <f>IF(S128="","",VLOOKUP(S128,'G-1 All Habitats'!$B$2:$M$135,10,FALSE))</f>
        <v/>
      </c>
      <c r="X128" s="295" t="str">
        <f>IFERROR(VLOOKUP(W128,'G-1 All Habitats'!$V$3:$W$7,2,FALSE),"")</f>
        <v/>
      </c>
      <c r="Y128" s="57"/>
      <c r="Z128" s="299" t="str">
        <f>IFERROR(INDEX('G-8 Condition Look up'!$A$3:$H$135,MATCH(S128,'G-8 Condition Look up'!$A$3:$A$135,0),MATCH(Y128,'G-8 Condition Look up'!$A$3:$H$3,0)),"")</f>
        <v/>
      </c>
      <c r="AA128" s="52"/>
      <c r="AB128" s="295" t="str">
        <f>IF(AA128="","",IF(VLOOKUP(AA128,'G-3 Multipliers'!$L$3:$N$6,2,FALSE)=0,"Spatial Data Missing ⚠",VLOOKUP(AA128,'G-3 Multipliers'!$L$3:$N$6,2,FALSE)))</f>
        <v/>
      </c>
      <c r="AC128" s="299" t="str">
        <f>IF(AA128="","",IF(VLOOKUP(AA128,'G-3 Multipliers'!$L$3:$N$6,3,FALSE)=0,"Spatial Data Missing ⚠",VLOOKUP(AA128,'G-3 Multipliers'!$L$3:$N$6,3,FALSE)))</f>
        <v/>
      </c>
      <c r="AD128" s="313" t="str">
        <f t="shared" si="12"/>
        <v/>
      </c>
      <c r="AE128" s="58"/>
      <c r="AF128" s="58"/>
      <c r="AG128" s="283" t="str">
        <f t="shared" si="16"/>
        <v/>
      </c>
      <c r="AH128" s="296" t="str">
        <f t="shared" si="17"/>
        <v/>
      </c>
      <c r="AI128" s="297" t="str">
        <f>IF(AH128="Check Data ⚠","Check Data ⚠",IFERROR(VLOOKUP(AH128,'G-4 Temporal multipliers'!$A$4:$C$36,3,FALSE),""))</f>
        <v/>
      </c>
      <c r="AJ128" s="275" t="str">
        <f>IF(S128="","",VLOOKUP(S128,'G-3 Multipliers'!$A$2:$E$134,4,FALSE))</f>
        <v/>
      </c>
      <c r="AK128" s="283" t="str">
        <f t="shared" si="18"/>
        <v/>
      </c>
      <c r="AL128" s="283" t="str">
        <f t="shared" si="19"/>
        <v/>
      </c>
      <c r="AM128" s="314" t="str">
        <f>IFERROR(IF(F128="","",IF(AH128="Check Data ⚠","Check Data ⚠",VLOOKUP(AL128,'G-3 Multipliers'!$P$2:$Q$6,2,FALSE))),"")</f>
        <v/>
      </c>
      <c r="AN128" s="289" t="str">
        <f t="shared" si="20"/>
        <v/>
      </c>
      <c r="AO128" s="52"/>
      <c r="AP128" s="51"/>
      <c r="AQ128" s="104"/>
      <c r="AT128" s="35" t="str">
        <f t="shared" si="21"/>
        <v>No</v>
      </c>
      <c r="AU128" s="35" t="str">
        <f>IF(E128="","",IF(ISNA(VLOOKUP($E128,'A-1 On-Site Habitat Baseline'!$D$1:$AV$258,4,FALSE)),"",(VLOOKUP($E128,'A-1 On-Site Habitat Baseline'!$D$1:$AV$258,4,FALSE))))</f>
        <v/>
      </c>
    </row>
    <row r="129" spans="1:47" ht="14">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05" t="str">
        <f>'A-1 On-Site Habitat Baseline'!AL128</f>
        <v/>
      </c>
      <c r="F129" s="295" t="str">
        <f>IF(E129="","",IF(ISNA(VLOOKUP($E129,'A-1 On-Site Habitat Baseline'!$D$1:$AV$258,45,FALSE)),"",(VLOOKUP($E129,'A-1 On-Site Habitat Baseline'!$D$1:$AV$258,45,FALSE))))</f>
        <v/>
      </c>
      <c r="G129" s="295" t="str">
        <f>IF(E129="","",IF(ISNA(VLOOKUP($E129,'A-1 On-Site Habitat Baseline'!$D$1:$O$258,5,FALSE)),"",(VLOOKUP($E129,'A-1 On-Site Habitat Baseline'!$D$1:$O$258,5,FALSE))))</f>
        <v/>
      </c>
      <c r="H129" s="295" t="str">
        <f>IF(E129="","",IF(ISNA(VLOOKUP($E129,'A-1 On-Site Habitat Baseline'!$D$1:$O$258,6,FALSE)),"",(VLOOKUP($E129,'A-1 On-Site Habitat Baseline'!$D$1:$O$258,6,FALSE))))</f>
        <v/>
      </c>
      <c r="I129" s="295" t="str">
        <f>IF(E129="","",IF(ISNA(VLOOKUP($E129,'A-1 On-Site Habitat Baseline'!$D$1:$O$258,7,FALSE)),"",(VLOOKUP($E129,'A-1 On-Site Habitat Baseline'!$D$1:$O$258,7,FALSE))))</f>
        <v/>
      </c>
      <c r="J129" s="295" t="str">
        <f>IF(E129="","",IF(ISNA(VLOOKUP($E129,'A-1 On-Site Habitat Baseline'!$D$1:$O$258,8,FALSE)),"",(VLOOKUP($E129,'A-1 On-Site Habitat Baseline'!$D$1:$O$258,8,FALSE))))</f>
        <v/>
      </c>
      <c r="K129" s="295" t="str">
        <f>IF(E129="","",IF(ISNA(VLOOKUP($E129,'A-1 On-Site Habitat Baseline'!$D$1:$O$258,9,FALSE)),"",(VLOOKUP($E129,'A-1 On-Site Habitat Baseline'!$D$1:$O$258,9,FALSE))))</f>
        <v/>
      </c>
      <c r="L129" s="295" t="str">
        <f>IF(E129="","",IF(ISNA(VLOOKUP($E129,'A-1 On-Site Habitat Baseline'!$D$1:$O$258,11,FALSE)),"",(VLOOKUP($E129,'A-1 On-Site Habitat Baseline'!$D$1:$O$258,11,FALSE))))</f>
        <v/>
      </c>
      <c r="M129" s="295" t="str">
        <f>IF(E129="","",IF(ISNA(VLOOKUP($E129,'A-1 On-Site Habitat Baseline'!$D$1:$O$258,12,FALSE)),"",(VLOOKUP($E129,'A-1 On-Site Habitat Baseline'!$D$1:$O$258,12,FALSE))))</f>
        <v/>
      </c>
      <c r="N129" s="306" t="str">
        <f>IF(E129="","",IF(ISNA(VLOOKUP($E129,'A-1 On-Site Habitat Baseline'!$D$1:$X$258,14,FALSE)),"",(VLOOKUP($E129,'A-1 On-Site Habitat Baseline'!$D$1:$X$258,14,FALSE))))</f>
        <v/>
      </c>
      <c r="O129" s="299" t="str">
        <f>IF(E129="","",IF(ISNA(VLOOKUP($E129,'A-1 On-Site Habitat Baseline'!$D$1:$X$258,16,FALSE)),"",(VLOOKUP($E129,'A-1 On-Site Habitat Baseline'!$D$1:$X$258,13,FALSE))))</f>
        <v/>
      </c>
      <c r="P129" s="154" t="str">
        <f>IFERROR(INDEX('G-1 All Habitats'!$AG$49:$AG$63,MATCH(Q129,'G-1 All Habitats'!$AF$27:$AF$41,0)),"")</f>
        <v/>
      </c>
      <c r="Q129" s="155" t="str">
        <f t="shared" si="13"/>
        <v/>
      </c>
      <c r="R129" s="155"/>
      <c r="S129" s="237" t="str">
        <f>IFERROR(INDEX('G-1 All Habitats'!$B$3:$B$135,MATCH(R129,'G-1 All Habitats'!$A$3:$A$135,0)),"")</f>
        <v/>
      </c>
      <c r="T129" s="275" t="str">
        <f t="shared" si="14"/>
        <v/>
      </c>
      <c r="U129" s="276" t="str">
        <f t="shared" si="15"/>
        <v/>
      </c>
      <c r="V129" s="311" t="str">
        <f t="shared" si="11"/>
        <v/>
      </c>
      <c r="W129" s="295" t="str">
        <f>IF(S129="","",VLOOKUP(S129,'G-1 All Habitats'!$B$2:$M$135,10,FALSE))</f>
        <v/>
      </c>
      <c r="X129" s="295" t="str">
        <f>IFERROR(VLOOKUP(W129,'G-1 All Habitats'!$V$3:$W$7,2,FALSE),"")</f>
        <v/>
      </c>
      <c r="Y129" s="57"/>
      <c r="Z129" s="299" t="str">
        <f>IFERROR(INDEX('G-8 Condition Look up'!$A$3:$H$135,MATCH(S129,'G-8 Condition Look up'!$A$3:$A$135,0),MATCH(Y129,'G-8 Condition Look up'!$A$3:$H$3,0)),"")</f>
        <v/>
      </c>
      <c r="AA129" s="52"/>
      <c r="AB129" s="295" t="str">
        <f>IF(AA129="","",IF(VLOOKUP(AA129,'G-3 Multipliers'!$L$3:$N$6,2,FALSE)=0,"Spatial Data Missing ⚠",VLOOKUP(AA129,'G-3 Multipliers'!$L$3:$N$6,2,FALSE)))</f>
        <v/>
      </c>
      <c r="AC129" s="299" t="str">
        <f>IF(AA129="","",IF(VLOOKUP(AA129,'G-3 Multipliers'!$L$3:$N$6,3,FALSE)=0,"Spatial Data Missing ⚠",VLOOKUP(AA129,'G-3 Multipliers'!$L$3:$N$6,3,FALSE)))</f>
        <v/>
      </c>
      <c r="AD129" s="313" t="str">
        <f t="shared" si="12"/>
        <v/>
      </c>
      <c r="AE129" s="58"/>
      <c r="AF129" s="58"/>
      <c r="AG129" s="283" t="str">
        <f t="shared" si="16"/>
        <v/>
      </c>
      <c r="AH129" s="296" t="str">
        <f t="shared" si="17"/>
        <v/>
      </c>
      <c r="AI129" s="297" t="str">
        <f>IF(AH129="Check Data ⚠","Check Data ⚠",IFERROR(VLOOKUP(AH129,'G-4 Temporal multipliers'!$A$4:$C$36,3,FALSE),""))</f>
        <v/>
      </c>
      <c r="AJ129" s="275" t="str">
        <f>IF(S129="","",VLOOKUP(S129,'G-3 Multipliers'!$A$2:$E$134,4,FALSE))</f>
        <v/>
      </c>
      <c r="AK129" s="283" t="str">
        <f t="shared" si="18"/>
        <v/>
      </c>
      <c r="AL129" s="283" t="str">
        <f t="shared" si="19"/>
        <v/>
      </c>
      <c r="AM129" s="314" t="str">
        <f>IFERROR(IF(F129="","",IF(AH129="Check Data ⚠","Check Data ⚠",VLOOKUP(AL129,'G-3 Multipliers'!$P$2:$Q$6,2,FALSE))),"")</f>
        <v/>
      </c>
      <c r="AN129" s="289" t="str">
        <f t="shared" si="20"/>
        <v/>
      </c>
      <c r="AO129" s="52"/>
      <c r="AP129" s="51"/>
      <c r="AQ129" s="104"/>
      <c r="AT129" s="35" t="str">
        <f t="shared" si="21"/>
        <v>No</v>
      </c>
      <c r="AU129" s="35" t="str">
        <f>IF(E129="","",IF(ISNA(VLOOKUP($E129,'A-1 On-Site Habitat Baseline'!$D$1:$AV$258,4,FALSE)),"",(VLOOKUP($E129,'A-1 On-Site Habitat Baseline'!$D$1:$AV$258,4,FALSE))))</f>
        <v/>
      </c>
    </row>
    <row r="130" spans="1:47" ht="14">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05" t="str">
        <f>'A-1 On-Site Habitat Baseline'!AL129</f>
        <v/>
      </c>
      <c r="F130" s="295" t="str">
        <f>IF(E130="","",IF(ISNA(VLOOKUP($E130,'A-1 On-Site Habitat Baseline'!$D$1:$AV$258,45,FALSE)),"",(VLOOKUP($E130,'A-1 On-Site Habitat Baseline'!$D$1:$AV$258,45,FALSE))))</f>
        <v/>
      </c>
      <c r="G130" s="295" t="str">
        <f>IF(E130="","",IF(ISNA(VLOOKUP($E130,'A-1 On-Site Habitat Baseline'!$D$1:$O$258,5,FALSE)),"",(VLOOKUP($E130,'A-1 On-Site Habitat Baseline'!$D$1:$O$258,5,FALSE))))</f>
        <v/>
      </c>
      <c r="H130" s="295" t="str">
        <f>IF(E130="","",IF(ISNA(VLOOKUP($E130,'A-1 On-Site Habitat Baseline'!$D$1:$O$258,6,FALSE)),"",(VLOOKUP($E130,'A-1 On-Site Habitat Baseline'!$D$1:$O$258,6,FALSE))))</f>
        <v/>
      </c>
      <c r="I130" s="295" t="str">
        <f>IF(E130="","",IF(ISNA(VLOOKUP($E130,'A-1 On-Site Habitat Baseline'!$D$1:$O$258,7,FALSE)),"",(VLOOKUP($E130,'A-1 On-Site Habitat Baseline'!$D$1:$O$258,7,FALSE))))</f>
        <v/>
      </c>
      <c r="J130" s="295" t="str">
        <f>IF(E130="","",IF(ISNA(VLOOKUP($E130,'A-1 On-Site Habitat Baseline'!$D$1:$O$258,8,FALSE)),"",(VLOOKUP($E130,'A-1 On-Site Habitat Baseline'!$D$1:$O$258,8,FALSE))))</f>
        <v/>
      </c>
      <c r="K130" s="295" t="str">
        <f>IF(E130="","",IF(ISNA(VLOOKUP($E130,'A-1 On-Site Habitat Baseline'!$D$1:$O$258,9,FALSE)),"",(VLOOKUP($E130,'A-1 On-Site Habitat Baseline'!$D$1:$O$258,9,FALSE))))</f>
        <v/>
      </c>
      <c r="L130" s="295" t="str">
        <f>IF(E130="","",IF(ISNA(VLOOKUP($E130,'A-1 On-Site Habitat Baseline'!$D$1:$O$258,11,FALSE)),"",(VLOOKUP($E130,'A-1 On-Site Habitat Baseline'!$D$1:$O$258,11,FALSE))))</f>
        <v/>
      </c>
      <c r="M130" s="295" t="str">
        <f>IF(E130="","",IF(ISNA(VLOOKUP($E130,'A-1 On-Site Habitat Baseline'!$D$1:$O$258,12,FALSE)),"",(VLOOKUP($E130,'A-1 On-Site Habitat Baseline'!$D$1:$O$258,12,FALSE))))</f>
        <v/>
      </c>
      <c r="N130" s="306" t="str">
        <f>IF(E130="","",IF(ISNA(VLOOKUP($E130,'A-1 On-Site Habitat Baseline'!$D$1:$X$258,14,FALSE)),"",(VLOOKUP($E130,'A-1 On-Site Habitat Baseline'!$D$1:$X$258,14,FALSE))))</f>
        <v/>
      </c>
      <c r="O130" s="299" t="str">
        <f>IF(E130="","",IF(ISNA(VLOOKUP($E130,'A-1 On-Site Habitat Baseline'!$D$1:$X$258,16,FALSE)),"",(VLOOKUP($E130,'A-1 On-Site Habitat Baseline'!$D$1:$X$258,13,FALSE))))</f>
        <v/>
      </c>
      <c r="P130" s="154" t="str">
        <f>IFERROR(INDEX('G-1 All Habitats'!$AG$49:$AG$63,MATCH(Q130,'G-1 All Habitats'!$AF$27:$AF$41,0)),"")</f>
        <v/>
      </c>
      <c r="Q130" s="155" t="str">
        <f t="shared" si="13"/>
        <v/>
      </c>
      <c r="R130" s="155"/>
      <c r="S130" s="237" t="str">
        <f>IFERROR(INDEX('G-1 All Habitats'!$B$3:$B$135,MATCH(R130,'G-1 All Habitats'!$A$3:$A$135,0)),"")</f>
        <v/>
      </c>
      <c r="T130" s="275" t="str">
        <f t="shared" si="14"/>
        <v/>
      </c>
      <c r="U130" s="276" t="str">
        <f t="shared" si="15"/>
        <v/>
      </c>
      <c r="V130" s="311" t="str">
        <f t="shared" si="11"/>
        <v/>
      </c>
      <c r="W130" s="295" t="str">
        <f>IF(S130="","",VLOOKUP(S130,'G-1 All Habitats'!$B$2:$M$135,10,FALSE))</f>
        <v/>
      </c>
      <c r="X130" s="295" t="str">
        <f>IFERROR(VLOOKUP(W130,'G-1 All Habitats'!$V$3:$W$7,2,FALSE),"")</f>
        <v/>
      </c>
      <c r="Y130" s="57"/>
      <c r="Z130" s="299" t="str">
        <f>IFERROR(INDEX('G-8 Condition Look up'!$A$3:$H$135,MATCH(S130,'G-8 Condition Look up'!$A$3:$A$135,0),MATCH(Y130,'G-8 Condition Look up'!$A$3:$H$3,0)),"")</f>
        <v/>
      </c>
      <c r="AA130" s="52"/>
      <c r="AB130" s="295" t="str">
        <f>IF(AA130="","",IF(VLOOKUP(AA130,'G-3 Multipliers'!$L$3:$N$6,2,FALSE)=0,"Spatial Data Missing ⚠",VLOOKUP(AA130,'G-3 Multipliers'!$L$3:$N$6,2,FALSE)))</f>
        <v/>
      </c>
      <c r="AC130" s="299" t="str">
        <f>IF(AA130="","",IF(VLOOKUP(AA130,'G-3 Multipliers'!$L$3:$N$6,3,FALSE)=0,"Spatial Data Missing ⚠",VLOOKUP(AA130,'G-3 Multipliers'!$L$3:$N$6,3,FALSE)))</f>
        <v/>
      </c>
      <c r="AD130" s="313" t="str">
        <f t="shared" si="12"/>
        <v/>
      </c>
      <c r="AE130" s="58"/>
      <c r="AF130" s="58"/>
      <c r="AG130" s="283" t="str">
        <f t="shared" si="16"/>
        <v/>
      </c>
      <c r="AH130" s="296" t="str">
        <f t="shared" si="17"/>
        <v/>
      </c>
      <c r="AI130" s="297" t="str">
        <f>IF(AH130="Check Data ⚠","Check Data ⚠",IFERROR(VLOOKUP(AH130,'G-4 Temporal multipliers'!$A$4:$C$36,3,FALSE),""))</f>
        <v/>
      </c>
      <c r="AJ130" s="275" t="str">
        <f>IF(S130="","",VLOOKUP(S130,'G-3 Multipliers'!$A$2:$E$134,4,FALSE))</f>
        <v/>
      </c>
      <c r="AK130" s="283" t="str">
        <f t="shared" si="18"/>
        <v/>
      </c>
      <c r="AL130" s="283" t="str">
        <f t="shared" si="19"/>
        <v/>
      </c>
      <c r="AM130" s="314" t="str">
        <f>IFERROR(IF(F130="","",IF(AH130="Check Data ⚠","Check Data ⚠",VLOOKUP(AL130,'G-3 Multipliers'!$P$2:$Q$6,2,FALSE))),"")</f>
        <v/>
      </c>
      <c r="AN130" s="289" t="str">
        <f t="shared" si="20"/>
        <v/>
      </c>
      <c r="AO130" s="52"/>
      <c r="AP130" s="51"/>
      <c r="AQ130" s="104"/>
      <c r="AT130" s="35" t="str">
        <f t="shared" si="21"/>
        <v>No</v>
      </c>
      <c r="AU130" s="35" t="str">
        <f>IF(E130="","",IF(ISNA(VLOOKUP($E130,'A-1 On-Site Habitat Baseline'!$D$1:$AV$258,4,FALSE)),"",(VLOOKUP($E130,'A-1 On-Site Habitat Baseline'!$D$1:$AV$258,4,FALSE))))</f>
        <v/>
      </c>
    </row>
    <row r="131" spans="1:47" ht="14">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05" t="str">
        <f>'A-1 On-Site Habitat Baseline'!AL130</f>
        <v/>
      </c>
      <c r="F131" s="295" t="str">
        <f>IF(E131="","",IF(ISNA(VLOOKUP($E131,'A-1 On-Site Habitat Baseline'!$D$1:$AV$258,45,FALSE)),"",(VLOOKUP($E131,'A-1 On-Site Habitat Baseline'!$D$1:$AV$258,45,FALSE))))</f>
        <v/>
      </c>
      <c r="G131" s="295" t="str">
        <f>IF(E131="","",IF(ISNA(VLOOKUP($E131,'A-1 On-Site Habitat Baseline'!$D$1:$O$258,5,FALSE)),"",(VLOOKUP($E131,'A-1 On-Site Habitat Baseline'!$D$1:$O$258,5,FALSE))))</f>
        <v/>
      </c>
      <c r="H131" s="295" t="str">
        <f>IF(E131="","",IF(ISNA(VLOOKUP($E131,'A-1 On-Site Habitat Baseline'!$D$1:$O$258,6,FALSE)),"",(VLOOKUP($E131,'A-1 On-Site Habitat Baseline'!$D$1:$O$258,6,FALSE))))</f>
        <v/>
      </c>
      <c r="I131" s="295" t="str">
        <f>IF(E131="","",IF(ISNA(VLOOKUP($E131,'A-1 On-Site Habitat Baseline'!$D$1:$O$258,7,FALSE)),"",(VLOOKUP($E131,'A-1 On-Site Habitat Baseline'!$D$1:$O$258,7,FALSE))))</f>
        <v/>
      </c>
      <c r="J131" s="295" t="str">
        <f>IF(E131="","",IF(ISNA(VLOOKUP($E131,'A-1 On-Site Habitat Baseline'!$D$1:$O$258,8,FALSE)),"",(VLOOKUP($E131,'A-1 On-Site Habitat Baseline'!$D$1:$O$258,8,FALSE))))</f>
        <v/>
      </c>
      <c r="K131" s="295" t="str">
        <f>IF(E131="","",IF(ISNA(VLOOKUP($E131,'A-1 On-Site Habitat Baseline'!$D$1:$O$258,9,FALSE)),"",(VLOOKUP($E131,'A-1 On-Site Habitat Baseline'!$D$1:$O$258,9,FALSE))))</f>
        <v/>
      </c>
      <c r="L131" s="295" t="str">
        <f>IF(E131="","",IF(ISNA(VLOOKUP($E131,'A-1 On-Site Habitat Baseline'!$D$1:$O$258,11,FALSE)),"",(VLOOKUP($E131,'A-1 On-Site Habitat Baseline'!$D$1:$O$258,11,FALSE))))</f>
        <v/>
      </c>
      <c r="M131" s="295" t="str">
        <f>IF(E131="","",IF(ISNA(VLOOKUP($E131,'A-1 On-Site Habitat Baseline'!$D$1:$O$258,12,FALSE)),"",(VLOOKUP($E131,'A-1 On-Site Habitat Baseline'!$D$1:$O$258,12,FALSE))))</f>
        <v/>
      </c>
      <c r="N131" s="306" t="str">
        <f>IF(E131="","",IF(ISNA(VLOOKUP($E131,'A-1 On-Site Habitat Baseline'!$D$1:$X$258,14,FALSE)),"",(VLOOKUP($E131,'A-1 On-Site Habitat Baseline'!$D$1:$X$258,14,FALSE))))</f>
        <v/>
      </c>
      <c r="O131" s="299" t="str">
        <f>IF(E131="","",IF(ISNA(VLOOKUP($E131,'A-1 On-Site Habitat Baseline'!$D$1:$X$258,16,FALSE)),"",(VLOOKUP($E131,'A-1 On-Site Habitat Baseline'!$D$1:$X$258,13,FALSE))))</f>
        <v/>
      </c>
      <c r="P131" s="154" t="str">
        <f>IFERROR(INDEX('G-1 All Habitats'!$AG$49:$AG$63,MATCH(Q131,'G-1 All Habitats'!$AF$27:$AF$41,0)),"")</f>
        <v/>
      </c>
      <c r="Q131" s="155" t="str">
        <f t="shared" si="13"/>
        <v/>
      </c>
      <c r="R131" s="155"/>
      <c r="S131" s="237" t="str">
        <f>IFERROR(INDEX('G-1 All Habitats'!$B$3:$B$135,MATCH(R131,'G-1 All Habitats'!$A$3:$A$135,0)),"")</f>
        <v/>
      </c>
      <c r="T131" s="275" t="str">
        <f t="shared" si="14"/>
        <v/>
      </c>
      <c r="U131" s="276" t="str">
        <f t="shared" si="15"/>
        <v/>
      </c>
      <c r="V131" s="311" t="str">
        <f t="shared" si="11"/>
        <v/>
      </c>
      <c r="W131" s="295" t="str">
        <f>IF(S131="","",VLOOKUP(S131,'G-1 All Habitats'!$B$2:$M$135,10,FALSE))</f>
        <v/>
      </c>
      <c r="X131" s="295" t="str">
        <f>IFERROR(VLOOKUP(W131,'G-1 All Habitats'!$V$3:$W$7,2,FALSE),"")</f>
        <v/>
      </c>
      <c r="Y131" s="57"/>
      <c r="Z131" s="299" t="str">
        <f>IFERROR(INDEX('G-8 Condition Look up'!$A$3:$H$135,MATCH(S131,'G-8 Condition Look up'!$A$3:$A$135,0),MATCH(Y131,'G-8 Condition Look up'!$A$3:$H$3,0)),"")</f>
        <v/>
      </c>
      <c r="AA131" s="52"/>
      <c r="AB131" s="295" t="str">
        <f>IF(AA131="","",IF(VLOOKUP(AA131,'G-3 Multipliers'!$L$3:$N$6,2,FALSE)=0,"Spatial Data Missing ⚠",VLOOKUP(AA131,'G-3 Multipliers'!$L$3:$N$6,2,FALSE)))</f>
        <v/>
      </c>
      <c r="AC131" s="299" t="str">
        <f>IF(AA131="","",IF(VLOOKUP(AA131,'G-3 Multipliers'!$L$3:$N$6,3,FALSE)=0,"Spatial Data Missing ⚠",VLOOKUP(AA131,'G-3 Multipliers'!$L$3:$N$6,3,FALSE)))</f>
        <v/>
      </c>
      <c r="AD131" s="313" t="str">
        <f t="shared" si="12"/>
        <v/>
      </c>
      <c r="AE131" s="58"/>
      <c r="AF131" s="58"/>
      <c r="AG131" s="283" t="str">
        <f t="shared" si="16"/>
        <v/>
      </c>
      <c r="AH131" s="296" t="str">
        <f t="shared" si="17"/>
        <v/>
      </c>
      <c r="AI131" s="297" t="str">
        <f>IF(AH131="Check Data ⚠","Check Data ⚠",IFERROR(VLOOKUP(AH131,'G-4 Temporal multipliers'!$A$4:$C$36,3,FALSE),""))</f>
        <v/>
      </c>
      <c r="AJ131" s="275" t="str">
        <f>IF(S131="","",VLOOKUP(S131,'G-3 Multipliers'!$A$2:$E$134,4,FALSE))</f>
        <v/>
      </c>
      <c r="AK131" s="283" t="str">
        <f t="shared" si="18"/>
        <v/>
      </c>
      <c r="AL131" s="283" t="str">
        <f t="shared" si="19"/>
        <v/>
      </c>
      <c r="AM131" s="314" t="str">
        <f>IFERROR(IF(F131="","",IF(AH131="Check Data ⚠","Check Data ⚠",VLOOKUP(AL131,'G-3 Multipliers'!$P$2:$Q$6,2,FALSE))),"")</f>
        <v/>
      </c>
      <c r="AN131" s="289" t="str">
        <f t="shared" si="20"/>
        <v/>
      </c>
      <c r="AO131" s="52"/>
      <c r="AP131" s="51"/>
      <c r="AQ131" s="104"/>
      <c r="AT131" s="35" t="str">
        <f t="shared" si="21"/>
        <v>No</v>
      </c>
      <c r="AU131" s="35" t="str">
        <f>IF(E131="","",IF(ISNA(VLOOKUP($E131,'A-1 On-Site Habitat Baseline'!$D$1:$AV$258,4,FALSE)),"",(VLOOKUP($E131,'A-1 On-Site Habitat Baseline'!$D$1:$AV$258,4,FALSE))))</f>
        <v/>
      </c>
    </row>
    <row r="132" spans="1:47" ht="14">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05" t="str">
        <f>'A-1 On-Site Habitat Baseline'!AL131</f>
        <v/>
      </c>
      <c r="F132" s="295" t="str">
        <f>IF(E132="","",IF(ISNA(VLOOKUP($E132,'A-1 On-Site Habitat Baseline'!$D$1:$AV$258,45,FALSE)),"",(VLOOKUP($E132,'A-1 On-Site Habitat Baseline'!$D$1:$AV$258,45,FALSE))))</f>
        <v/>
      </c>
      <c r="G132" s="295" t="str">
        <f>IF(E132="","",IF(ISNA(VLOOKUP($E132,'A-1 On-Site Habitat Baseline'!$D$1:$O$258,5,FALSE)),"",(VLOOKUP($E132,'A-1 On-Site Habitat Baseline'!$D$1:$O$258,5,FALSE))))</f>
        <v/>
      </c>
      <c r="H132" s="295" t="str">
        <f>IF(E132="","",IF(ISNA(VLOOKUP($E132,'A-1 On-Site Habitat Baseline'!$D$1:$O$258,6,FALSE)),"",(VLOOKUP($E132,'A-1 On-Site Habitat Baseline'!$D$1:$O$258,6,FALSE))))</f>
        <v/>
      </c>
      <c r="I132" s="295" t="str">
        <f>IF(E132="","",IF(ISNA(VLOOKUP($E132,'A-1 On-Site Habitat Baseline'!$D$1:$O$258,7,FALSE)),"",(VLOOKUP($E132,'A-1 On-Site Habitat Baseline'!$D$1:$O$258,7,FALSE))))</f>
        <v/>
      </c>
      <c r="J132" s="295" t="str">
        <f>IF(E132="","",IF(ISNA(VLOOKUP($E132,'A-1 On-Site Habitat Baseline'!$D$1:$O$258,8,FALSE)),"",(VLOOKUP($E132,'A-1 On-Site Habitat Baseline'!$D$1:$O$258,8,FALSE))))</f>
        <v/>
      </c>
      <c r="K132" s="295" t="str">
        <f>IF(E132="","",IF(ISNA(VLOOKUP($E132,'A-1 On-Site Habitat Baseline'!$D$1:$O$258,9,FALSE)),"",(VLOOKUP($E132,'A-1 On-Site Habitat Baseline'!$D$1:$O$258,9,FALSE))))</f>
        <v/>
      </c>
      <c r="L132" s="295" t="str">
        <f>IF(E132="","",IF(ISNA(VLOOKUP($E132,'A-1 On-Site Habitat Baseline'!$D$1:$O$258,11,FALSE)),"",(VLOOKUP($E132,'A-1 On-Site Habitat Baseline'!$D$1:$O$258,11,FALSE))))</f>
        <v/>
      </c>
      <c r="M132" s="295" t="str">
        <f>IF(E132="","",IF(ISNA(VLOOKUP($E132,'A-1 On-Site Habitat Baseline'!$D$1:$O$258,12,FALSE)),"",(VLOOKUP($E132,'A-1 On-Site Habitat Baseline'!$D$1:$O$258,12,FALSE))))</f>
        <v/>
      </c>
      <c r="N132" s="306" t="str">
        <f>IF(E132="","",IF(ISNA(VLOOKUP($E132,'A-1 On-Site Habitat Baseline'!$D$1:$X$258,14,FALSE)),"",(VLOOKUP($E132,'A-1 On-Site Habitat Baseline'!$D$1:$X$258,14,FALSE))))</f>
        <v/>
      </c>
      <c r="O132" s="299" t="str">
        <f>IF(E132="","",IF(ISNA(VLOOKUP($E132,'A-1 On-Site Habitat Baseline'!$D$1:$X$258,16,FALSE)),"",(VLOOKUP($E132,'A-1 On-Site Habitat Baseline'!$D$1:$X$258,13,FALSE))))</f>
        <v/>
      </c>
      <c r="P132" s="154" t="str">
        <f>IFERROR(INDEX('G-1 All Habitats'!$AG$49:$AG$63,MATCH(Q132,'G-1 All Habitats'!$AF$27:$AF$41,0)),"")</f>
        <v/>
      </c>
      <c r="Q132" s="155" t="str">
        <f t="shared" si="13"/>
        <v/>
      </c>
      <c r="R132" s="155"/>
      <c r="S132" s="237" t="str">
        <f>IFERROR(INDEX('G-1 All Habitats'!$B$3:$B$135,MATCH(R132,'G-1 All Habitats'!$A$3:$A$135,0)),"")</f>
        <v/>
      </c>
      <c r="T132" s="275" t="str">
        <f t="shared" si="14"/>
        <v/>
      </c>
      <c r="U132" s="276" t="str">
        <f t="shared" si="15"/>
        <v/>
      </c>
      <c r="V132" s="311" t="str">
        <f t="shared" si="11"/>
        <v/>
      </c>
      <c r="W132" s="295" t="str">
        <f>IF(S132="","",VLOOKUP(S132,'G-1 All Habitats'!$B$2:$M$135,10,FALSE))</f>
        <v/>
      </c>
      <c r="X132" s="295" t="str">
        <f>IFERROR(VLOOKUP(W132,'G-1 All Habitats'!$V$3:$W$7,2,FALSE),"")</f>
        <v/>
      </c>
      <c r="Y132" s="57"/>
      <c r="Z132" s="299" t="str">
        <f>IFERROR(INDEX('G-8 Condition Look up'!$A$3:$H$135,MATCH(S132,'G-8 Condition Look up'!$A$3:$A$135,0),MATCH(Y132,'G-8 Condition Look up'!$A$3:$H$3,0)),"")</f>
        <v/>
      </c>
      <c r="AA132" s="52"/>
      <c r="AB132" s="295" t="str">
        <f>IF(AA132="","",IF(VLOOKUP(AA132,'G-3 Multipliers'!$L$3:$N$6,2,FALSE)=0,"Spatial Data Missing ⚠",VLOOKUP(AA132,'G-3 Multipliers'!$L$3:$N$6,2,FALSE)))</f>
        <v/>
      </c>
      <c r="AC132" s="299" t="str">
        <f>IF(AA132="","",IF(VLOOKUP(AA132,'G-3 Multipliers'!$L$3:$N$6,3,FALSE)=0,"Spatial Data Missing ⚠",VLOOKUP(AA132,'G-3 Multipliers'!$L$3:$N$6,3,FALSE)))</f>
        <v/>
      </c>
      <c r="AD132" s="313" t="str">
        <f t="shared" si="12"/>
        <v/>
      </c>
      <c r="AE132" s="58"/>
      <c r="AF132" s="58"/>
      <c r="AG132" s="283" t="str">
        <f t="shared" si="16"/>
        <v/>
      </c>
      <c r="AH132" s="296" t="str">
        <f t="shared" si="17"/>
        <v/>
      </c>
      <c r="AI132" s="297" t="str">
        <f>IF(AH132="Check Data ⚠","Check Data ⚠",IFERROR(VLOOKUP(AH132,'G-4 Temporal multipliers'!$A$4:$C$36,3,FALSE),""))</f>
        <v/>
      </c>
      <c r="AJ132" s="275" t="str">
        <f>IF(S132="","",VLOOKUP(S132,'G-3 Multipliers'!$A$2:$E$134,4,FALSE))</f>
        <v/>
      </c>
      <c r="AK132" s="283" t="str">
        <f t="shared" si="18"/>
        <v/>
      </c>
      <c r="AL132" s="283" t="str">
        <f t="shared" si="19"/>
        <v/>
      </c>
      <c r="AM132" s="314" t="str">
        <f>IFERROR(IF(F132="","",IF(AH132="Check Data ⚠","Check Data ⚠",VLOOKUP(AL132,'G-3 Multipliers'!$P$2:$Q$6,2,FALSE))),"")</f>
        <v/>
      </c>
      <c r="AN132" s="289" t="str">
        <f t="shared" si="20"/>
        <v/>
      </c>
      <c r="AO132" s="52"/>
      <c r="AP132" s="51"/>
      <c r="AQ132" s="104"/>
      <c r="AT132" s="35" t="str">
        <f t="shared" si="21"/>
        <v>No</v>
      </c>
      <c r="AU132" s="35" t="str">
        <f>IF(E132="","",IF(ISNA(VLOOKUP($E132,'A-1 On-Site Habitat Baseline'!$D$1:$AV$258,4,FALSE)),"",(VLOOKUP($E132,'A-1 On-Site Habitat Baseline'!$D$1:$AV$258,4,FALSE))))</f>
        <v/>
      </c>
    </row>
    <row r="133" spans="1:47" ht="14">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05" t="str">
        <f>'A-1 On-Site Habitat Baseline'!AL132</f>
        <v/>
      </c>
      <c r="F133" s="295" t="str">
        <f>IF(E133="","",IF(ISNA(VLOOKUP($E133,'A-1 On-Site Habitat Baseline'!$D$1:$AV$258,45,FALSE)),"",(VLOOKUP($E133,'A-1 On-Site Habitat Baseline'!$D$1:$AV$258,45,FALSE))))</f>
        <v/>
      </c>
      <c r="G133" s="295" t="str">
        <f>IF(E133="","",IF(ISNA(VLOOKUP($E133,'A-1 On-Site Habitat Baseline'!$D$1:$O$258,5,FALSE)),"",(VLOOKUP($E133,'A-1 On-Site Habitat Baseline'!$D$1:$O$258,5,FALSE))))</f>
        <v/>
      </c>
      <c r="H133" s="295" t="str">
        <f>IF(E133="","",IF(ISNA(VLOOKUP($E133,'A-1 On-Site Habitat Baseline'!$D$1:$O$258,6,FALSE)),"",(VLOOKUP($E133,'A-1 On-Site Habitat Baseline'!$D$1:$O$258,6,FALSE))))</f>
        <v/>
      </c>
      <c r="I133" s="295" t="str">
        <f>IF(E133="","",IF(ISNA(VLOOKUP($E133,'A-1 On-Site Habitat Baseline'!$D$1:$O$258,7,FALSE)),"",(VLOOKUP($E133,'A-1 On-Site Habitat Baseline'!$D$1:$O$258,7,FALSE))))</f>
        <v/>
      </c>
      <c r="J133" s="295" t="str">
        <f>IF(E133="","",IF(ISNA(VLOOKUP($E133,'A-1 On-Site Habitat Baseline'!$D$1:$O$258,8,FALSE)),"",(VLOOKUP($E133,'A-1 On-Site Habitat Baseline'!$D$1:$O$258,8,FALSE))))</f>
        <v/>
      </c>
      <c r="K133" s="295" t="str">
        <f>IF(E133="","",IF(ISNA(VLOOKUP($E133,'A-1 On-Site Habitat Baseline'!$D$1:$O$258,9,FALSE)),"",(VLOOKUP($E133,'A-1 On-Site Habitat Baseline'!$D$1:$O$258,9,FALSE))))</f>
        <v/>
      </c>
      <c r="L133" s="295" t="str">
        <f>IF(E133="","",IF(ISNA(VLOOKUP($E133,'A-1 On-Site Habitat Baseline'!$D$1:$O$258,11,FALSE)),"",(VLOOKUP($E133,'A-1 On-Site Habitat Baseline'!$D$1:$O$258,11,FALSE))))</f>
        <v/>
      </c>
      <c r="M133" s="295" t="str">
        <f>IF(E133="","",IF(ISNA(VLOOKUP($E133,'A-1 On-Site Habitat Baseline'!$D$1:$O$258,12,FALSE)),"",(VLOOKUP($E133,'A-1 On-Site Habitat Baseline'!$D$1:$O$258,12,FALSE))))</f>
        <v/>
      </c>
      <c r="N133" s="306" t="str">
        <f>IF(E133="","",IF(ISNA(VLOOKUP($E133,'A-1 On-Site Habitat Baseline'!$D$1:$X$258,14,FALSE)),"",(VLOOKUP($E133,'A-1 On-Site Habitat Baseline'!$D$1:$X$258,14,FALSE))))</f>
        <v/>
      </c>
      <c r="O133" s="299" t="str">
        <f>IF(E133="","",IF(ISNA(VLOOKUP($E133,'A-1 On-Site Habitat Baseline'!$D$1:$X$258,16,FALSE)),"",(VLOOKUP($E133,'A-1 On-Site Habitat Baseline'!$D$1:$X$258,13,FALSE))))</f>
        <v/>
      </c>
      <c r="P133" s="154" t="str">
        <f>IFERROR(INDEX('G-1 All Habitats'!$AG$49:$AG$63,MATCH(Q133,'G-1 All Habitats'!$AF$27:$AF$41,0)),"")</f>
        <v/>
      </c>
      <c r="Q133" s="155" t="str">
        <f t="shared" si="13"/>
        <v/>
      </c>
      <c r="R133" s="155"/>
      <c r="S133" s="237" t="str">
        <f>IFERROR(INDEX('G-1 All Habitats'!$B$3:$B$135,MATCH(R133,'G-1 All Habitats'!$A$3:$A$135,0)),"")</f>
        <v/>
      </c>
      <c r="T133" s="275" t="str">
        <f t="shared" si="14"/>
        <v/>
      </c>
      <c r="U133" s="276" t="str">
        <f t="shared" si="15"/>
        <v/>
      </c>
      <c r="V133" s="311" t="str">
        <f t="shared" si="11"/>
        <v/>
      </c>
      <c r="W133" s="295" t="str">
        <f>IF(S133="","",VLOOKUP(S133,'G-1 All Habitats'!$B$2:$M$135,10,FALSE))</f>
        <v/>
      </c>
      <c r="X133" s="295" t="str">
        <f>IFERROR(VLOOKUP(W133,'G-1 All Habitats'!$V$3:$W$7,2,FALSE),"")</f>
        <v/>
      </c>
      <c r="Y133" s="57"/>
      <c r="Z133" s="299" t="str">
        <f>IFERROR(INDEX('G-8 Condition Look up'!$A$3:$H$135,MATCH(S133,'G-8 Condition Look up'!$A$3:$A$135,0),MATCH(Y133,'G-8 Condition Look up'!$A$3:$H$3,0)),"")</f>
        <v/>
      </c>
      <c r="AA133" s="52"/>
      <c r="AB133" s="295" t="str">
        <f>IF(AA133="","",IF(VLOOKUP(AA133,'G-3 Multipliers'!$L$3:$N$6,2,FALSE)=0,"Spatial Data Missing ⚠",VLOOKUP(AA133,'G-3 Multipliers'!$L$3:$N$6,2,FALSE)))</f>
        <v/>
      </c>
      <c r="AC133" s="299" t="str">
        <f>IF(AA133="","",IF(VLOOKUP(AA133,'G-3 Multipliers'!$L$3:$N$6,3,FALSE)=0,"Spatial Data Missing ⚠",VLOOKUP(AA133,'G-3 Multipliers'!$L$3:$N$6,3,FALSE)))</f>
        <v/>
      </c>
      <c r="AD133" s="313" t="str">
        <f t="shared" si="12"/>
        <v/>
      </c>
      <c r="AE133" s="58"/>
      <c r="AF133" s="58"/>
      <c r="AG133" s="283" t="str">
        <f t="shared" si="16"/>
        <v/>
      </c>
      <c r="AH133" s="296" t="str">
        <f t="shared" si="17"/>
        <v/>
      </c>
      <c r="AI133" s="297" t="str">
        <f>IF(AH133="Check Data ⚠","Check Data ⚠",IFERROR(VLOOKUP(AH133,'G-4 Temporal multipliers'!$A$4:$C$36,3,FALSE),""))</f>
        <v/>
      </c>
      <c r="AJ133" s="275" t="str">
        <f>IF(S133="","",VLOOKUP(S133,'G-3 Multipliers'!$A$2:$E$134,4,FALSE))</f>
        <v/>
      </c>
      <c r="AK133" s="283" t="str">
        <f t="shared" si="18"/>
        <v/>
      </c>
      <c r="AL133" s="283" t="str">
        <f t="shared" si="19"/>
        <v/>
      </c>
      <c r="AM133" s="314" t="str">
        <f>IFERROR(IF(F133="","",IF(AH133="Check Data ⚠","Check Data ⚠",VLOOKUP(AL133,'G-3 Multipliers'!$P$2:$Q$6,2,FALSE))),"")</f>
        <v/>
      </c>
      <c r="AN133" s="289" t="str">
        <f t="shared" si="20"/>
        <v/>
      </c>
      <c r="AO133" s="52"/>
      <c r="AP133" s="51"/>
      <c r="AQ133" s="104"/>
      <c r="AT133" s="35" t="str">
        <f t="shared" si="21"/>
        <v>No</v>
      </c>
      <c r="AU133" s="35" t="str">
        <f>IF(E133="","",IF(ISNA(VLOOKUP($E133,'A-1 On-Site Habitat Baseline'!$D$1:$AV$258,4,FALSE)),"",(VLOOKUP($E133,'A-1 On-Site Habitat Baseline'!$D$1:$AV$258,4,FALSE))))</f>
        <v/>
      </c>
    </row>
    <row r="134" spans="1:47" ht="14">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05" t="str">
        <f>'A-1 On-Site Habitat Baseline'!AL133</f>
        <v/>
      </c>
      <c r="F134" s="295" t="str">
        <f>IF(E134="","",IF(ISNA(VLOOKUP($E134,'A-1 On-Site Habitat Baseline'!$D$1:$AV$258,45,FALSE)),"",(VLOOKUP($E134,'A-1 On-Site Habitat Baseline'!$D$1:$AV$258,45,FALSE))))</f>
        <v/>
      </c>
      <c r="G134" s="295" t="str">
        <f>IF(E134="","",IF(ISNA(VLOOKUP($E134,'A-1 On-Site Habitat Baseline'!$D$1:$O$258,5,FALSE)),"",(VLOOKUP($E134,'A-1 On-Site Habitat Baseline'!$D$1:$O$258,5,FALSE))))</f>
        <v/>
      </c>
      <c r="H134" s="295" t="str">
        <f>IF(E134="","",IF(ISNA(VLOOKUP($E134,'A-1 On-Site Habitat Baseline'!$D$1:$O$258,6,FALSE)),"",(VLOOKUP($E134,'A-1 On-Site Habitat Baseline'!$D$1:$O$258,6,FALSE))))</f>
        <v/>
      </c>
      <c r="I134" s="295" t="str">
        <f>IF(E134="","",IF(ISNA(VLOOKUP($E134,'A-1 On-Site Habitat Baseline'!$D$1:$O$258,7,FALSE)),"",(VLOOKUP($E134,'A-1 On-Site Habitat Baseline'!$D$1:$O$258,7,FALSE))))</f>
        <v/>
      </c>
      <c r="J134" s="295" t="str">
        <f>IF(E134="","",IF(ISNA(VLOOKUP($E134,'A-1 On-Site Habitat Baseline'!$D$1:$O$258,8,FALSE)),"",(VLOOKUP($E134,'A-1 On-Site Habitat Baseline'!$D$1:$O$258,8,FALSE))))</f>
        <v/>
      </c>
      <c r="K134" s="295" t="str">
        <f>IF(E134="","",IF(ISNA(VLOOKUP($E134,'A-1 On-Site Habitat Baseline'!$D$1:$O$258,9,FALSE)),"",(VLOOKUP($E134,'A-1 On-Site Habitat Baseline'!$D$1:$O$258,9,FALSE))))</f>
        <v/>
      </c>
      <c r="L134" s="295" t="str">
        <f>IF(E134="","",IF(ISNA(VLOOKUP($E134,'A-1 On-Site Habitat Baseline'!$D$1:$O$258,11,FALSE)),"",(VLOOKUP($E134,'A-1 On-Site Habitat Baseline'!$D$1:$O$258,11,FALSE))))</f>
        <v/>
      </c>
      <c r="M134" s="295" t="str">
        <f>IF(E134="","",IF(ISNA(VLOOKUP($E134,'A-1 On-Site Habitat Baseline'!$D$1:$O$258,12,FALSE)),"",(VLOOKUP($E134,'A-1 On-Site Habitat Baseline'!$D$1:$O$258,12,FALSE))))</f>
        <v/>
      </c>
      <c r="N134" s="306" t="str">
        <f>IF(E134="","",IF(ISNA(VLOOKUP($E134,'A-1 On-Site Habitat Baseline'!$D$1:$X$258,14,FALSE)),"",(VLOOKUP($E134,'A-1 On-Site Habitat Baseline'!$D$1:$X$258,14,FALSE))))</f>
        <v/>
      </c>
      <c r="O134" s="299" t="str">
        <f>IF(E134="","",IF(ISNA(VLOOKUP($E134,'A-1 On-Site Habitat Baseline'!$D$1:$X$258,16,FALSE)),"",(VLOOKUP($E134,'A-1 On-Site Habitat Baseline'!$D$1:$X$258,13,FALSE))))</f>
        <v/>
      </c>
      <c r="P134" s="154" t="str">
        <f>IFERROR(INDEX('G-1 All Habitats'!$AG$49:$AG$63,MATCH(Q134,'G-1 All Habitats'!$AF$27:$AF$41,0)),"")</f>
        <v/>
      </c>
      <c r="Q134" s="155" t="str">
        <f t="shared" si="13"/>
        <v/>
      </c>
      <c r="R134" s="155"/>
      <c r="S134" s="237" t="str">
        <f>IFERROR(INDEX('G-1 All Habitats'!$B$3:$B$135,MATCH(R134,'G-1 All Habitats'!$A$3:$A$135,0)),"")</f>
        <v/>
      </c>
      <c r="T134" s="275" t="str">
        <f t="shared" si="14"/>
        <v/>
      </c>
      <c r="U134" s="276" t="str">
        <f t="shared" si="15"/>
        <v/>
      </c>
      <c r="V134" s="311" t="str">
        <f t="shared" si="11"/>
        <v/>
      </c>
      <c r="W134" s="295" t="str">
        <f>IF(S134="","",VLOOKUP(S134,'G-1 All Habitats'!$B$2:$M$135,10,FALSE))</f>
        <v/>
      </c>
      <c r="X134" s="295" t="str">
        <f>IFERROR(VLOOKUP(W134,'G-1 All Habitats'!$V$3:$W$7,2,FALSE),"")</f>
        <v/>
      </c>
      <c r="Y134" s="57"/>
      <c r="Z134" s="299" t="str">
        <f>IFERROR(INDEX('G-8 Condition Look up'!$A$3:$H$135,MATCH(S134,'G-8 Condition Look up'!$A$3:$A$135,0),MATCH(Y134,'G-8 Condition Look up'!$A$3:$H$3,0)),"")</f>
        <v/>
      </c>
      <c r="AA134" s="52"/>
      <c r="AB134" s="295" t="str">
        <f>IF(AA134="","",IF(VLOOKUP(AA134,'G-3 Multipliers'!$L$3:$N$6,2,FALSE)=0,"Spatial Data Missing ⚠",VLOOKUP(AA134,'G-3 Multipliers'!$L$3:$N$6,2,FALSE)))</f>
        <v/>
      </c>
      <c r="AC134" s="299" t="str">
        <f>IF(AA134="","",IF(VLOOKUP(AA134,'G-3 Multipliers'!$L$3:$N$6,3,FALSE)=0,"Spatial Data Missing ⚠",VLOOKUP(AA134,'G-3 Multipliers'!$L$3:$N$6,3,FALSE)))</f>
        <v/>
      </c>
      <c r="AD134" s="313" t="str">
        <f t="shared" si="12"/>
        <v/>
      </c>
      <c r="AE134" s="58"/>
      <c r="AF134" s="58"/>
      <c r="AG134" s="283" t="str">
        <f t="shared" si="16"/>
        <v/>
      </c>
      <c r="AH134" s="296" t="str">
        <f t="shared" si="17"/>
        <v/>
      </c>
      <c r="AI134" s="297" t="str">
        <f>IF(AH134="Check Data ⚠","Check Data ⚠",IFERROR(VLOOKUP(AH134,'G-4 Temporal multipliers'!$A$4:$C$36,3,FALSE),""))</f>
        <v/>
      </c>
      <c r="AJ134" s="275" t="str">
        <f>IF(S134="","",VLOOKUP(S134,'G-3 Multipliers'!$A$2:$E$134,4,FALSE))</f>
        <v/>
      </c>
      <c r="AK134" s="283" t="str">
        <f t="shared" si="18"/>
        <v/>
      </c>
      <c r="AL134" s="283" t="str">
        <f t="shared" si="19"/>
        <v/>
      </c>
      <c r="AM134" s="314" t="str">
        <f>IFERROR(IF(F134="","",IF(AH134="Check Data ⚠","Check Data ⚠",VLOOKUP(AL134,'G-3 Multipliers'!$P$2:$Q$6,2,FALSE))),"")</f>
        <v/>
      </c>
      <c r="AN134" s="289" t="str">
        <f t="shared" si="20"/>
        <v/>
      </c>
      <c r="AO134" s="52"/>
      <c r="AP134" s="51"/>
      <c r="AQ134" s="104"/>
      <c r="AT134" s="35" t="str">
        <f t="shared" si="21"/>
        <v>No</v>
      </c>
      <c r="AU134" s="35" t="str">
        <f>IF(E134="","",IF(ISNA(VLOOKUP($E134,'A-1 On-Site Habitat Baseline'!$D$1:$AV$258,4,FALSE)),"",(VLOOKUP($E134,'A-1 On-Site Habitat Baseline'!$D$1:$AV$258,4,FALSE))))</f>
        <v/>
      </c>
    </row>
    <row r="135" spans="1:47" ht="14">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05" t="str">
        <f>'A-1 On-Site Habitat Baseline'!AL134</f>
        <v/>
      </c>
      <c r="F135" s="295" t="str">
        <f>IF(E135="","",IF(ISNA(VLOOKUP($E135,'A-1 On-Site Habitat Baseline'!$D$1:$AV$258,45,FALSE)),"",(VLOOKUP($E135,'A-1 On-Site Habitat Baseline'!$D$1:$AV$258,45,FALSE))))</f>
        <v/>
      </c>
      <c r="G135" s="295" t="str">
        <f>IF(E135="","",IF(ISNA(VLOOKUP($E135,'A-1 On-Site Habitat Baseline'!$D$1:$O$258,5,FALSE)),"",(VLOOKUP($E135,'A-1 On-Site Habitat Baseline'!$D$1:$O$258,5,FALSE))))</f>
        <v/>
      </c>
      <c r="H135" s="295" t="str">
        <f>IF(E135="","",IF(ISNA(VLOOKUP($E135,'A-1 On-Site Habitat Baseline'!$D$1:$O$258,6,FALSE)),"",(VLOOKUP($E135,'A-1 On-Site Habitat Baseline'!$D$1:$O$258,6,FALSE))))</f>
        <v/>
      </c>
      <c r="I135" s="295" t="str">
        <f>IF(E135="","",IF(ISNA(VLOOKUP($E135,'A-1 On-Site Habitat Baseline'!$D$1:$O$258,7,FALSE)),"",(VLOOKUP($E135,'A-1 On-Site Habitat Baseline'!$D$1:$O$258,7,FALSE))))</f>
        <v/>
      </c>
      <c r="J135" s="295" t="str">
        <f>IF(E135="","",IF(ISNA(VLOOKUP($E135,'A-1 On-Site Habitat Baseline'!$D$1:$O$258,8,FALSE)),"",(VLOOKUP($E135,'A-1 On-Site Habitat Baseline'!$D$1:$O$258,8,FALSE))))</f>
        <v/>
      </c>
      <c r="K135" s="295" t="str">
        <f>IF(E135="","",IF(ISNA(VLOOKUP($E135,'A-1 On-Site Habitat Baseline'!$D$1:$O$258,9,FALSE)),"",(VLOOKUP($E135,'A-1 On-Site Habitat Baseline'!$D$1:$O$258,9,FALSE))))</f>
        <v/>
      </c>
      <c r="L135" s="295" t="str">
        <f>IF(E135="","",IF(ISNA(VLOOKUP($E135,'A-1 On-Site Habitat Baseline'!$D$1:$O$258,11,FALSE)),"",(VLOOKUP($E135,'A-1 On-Site Habitat Baseline'!$D$1:$O$258,11,FALSE))))</f>
        <v/>
      </c>
      <c r="M135" s="295" t="str">
        <f>IF(E135="","",IF(ISNA(VLOOKUP($E135,'A-1 On-Site Habitat Baseline'!$D$1:$O$258,12,FALSE)),"",(VLOOKUP($E135,'A-1 On-Site Habitat Baseline'!$D$1:$O$258,12,FALSE))))</f>
        <v/>
      </c>
      <c r="N135" s="306" t="str">
        <f>IF(E135="","",IF(ISNA(VLOOKUP($E135,'A-1 On-Site Habitat Baseline'!$D$1:$X$258,14,FALSE)),"",(VLOOKUP($E135,'A-1 On-Site Habitat Baseline'!$D$1:$X$258,14,FALSE))))</f>
        <v/>
      </c>
      <c r="O135" s="299" t="str">
        <f>IF(E135="","",IF(ISNA(VLOOKUP($E135,'A-1 On-Site Habitat Baseline'!$D$1:$X$258,16,FALSE)),"",(VLOOKUP($E135,'A-1 On-Site Habitat Baseline'!$D$1:$X$258,13,FALSE))))</f>
        <v/>
      </c>
      <c r="P135" s="154" t="str">
        <f>IFERROR(INDEX('G-1 All Habitats'!$AG$49:$AG$63,MATCH(Q135,'G-1 All Habitats'!$AF$27:$AF$41,0)),"")</f>
        <v/>
      </c>
      <c r="Q135" s="155" t="str">
        <f t="shared" si="13"/>
        <v/>
      </c>
      <c r="R135" s="155"/>
      <c r="S135" s="237" t="str">
        <f>IFERROR(INDEX('G-1 All Habitats'!$B$3:$B$135,MATCH(R135,'G-1 All Habitats'!$A$3:$A$135,0)),"")</f>
        <v/>
      </c>
      <c r="T135" s="275" t="str">
        <f t="shared" si="14"/>
        <v/>
      </c>
      <c r="U135" s="276" t="str">
        <f t="shared" si="15"/>
        <v/>
      </c>
      <c r="V135" s="311" t="str">
        <f t="shared" si="11"/>
        <v/>
      </c>
      <c r="W135" s="295" t="str">
        <f>IF(S135="","",VLOOKUP(S135,'G-1 All Habitats'!$B$2:$M$135,10,FALSE))</f>
        <v/>
      </c>
      <c r="X135" s="295" t="str">
        <f>IFERROR(VLOOKUP(W135,'G-1 All Habitats'!$V$3:$W$7,2,FALSE),"")</f>
        <v/>
      </c>
      <c r="Y135" s="57"/>
      <c r="Z135" s="299" t="str">
        <f>IFERROR(INDEX('G-8 Condition Look up'!$A$3:$H$135,MATCH(S135,'G-8 Condition Look up'!$A$3:$A$135,0),MATCH(Y135,'G-8 Condition Look up'!$A$3:$H$3,0)),"")</f>
        <v/>
      </c>
      <c r="AA135" s="52"/>
      <c r="AB135" s="295" t="str">
        <f>IF(AA135="","",IF(VLOOKUP(AA135,'G-3 Multipliers'!$L$3:$N$6,2,FALSE)=0,"Spatial Data Missing ⚠",VLOOKUP(AA135,'G-3 Multipliers'!$L$3:$N$6,2,FALSE)))</f>
        <v/>
      </c>
      <c r="AC135" s="299" t="str">
        <f>IF(AA135="","",IF(VLOOKUP(AA135,'G-3 Multipliers'!$L$3:$N$6,3,FALSE)=0,"Spatial Data Missing ⚠",VLOOKUP(AA135,'G-3 Multipliers'!$L$3:$N$6,3,FALSE)))</f>
        <v/>
      </c>
      <c r="AD135" s="313" t="str">
        <f t="shared" si="12"/>
        <v/>
      </c>
      <c r="AE135" s="58"/>
      <c r="AF135" s="58"/>
      <c r="AG135" s="283" t="str">
        <f t="shared" si="16"/>
        <v/>
      </c>
      <c r="AH135" s="296" t="str">
        <f t="shared" si="17"/>
        <v/>
      </c>
      <c r="AI135" s="297" t="str">
        <f>IF(AH135="Check Data ⚠","Check Data ⚠",IFERROR(VLOOKUP(AH135,'G-4 Temporal multipliers'!$A$4:$C$36,3,FALSE),""))</f>
        <v/>
      </c>
      <c r="AJ135" s="275" t="str">
        <f>IF(S135="","",VLOOKUP(S135,'G-3 Multipliers'!$A$2:$E$134,4,FALSE))</f>
        <v/>
      </c>
      <c r="AK135" s="283" t="str">
        <f t="shared" si="18"/>
        <v/>
      </c>
      <c r="AL135" s="283" t="str">
        <f t="shared" si="19"/>
        <v/>
      </c>
      <c r="AM135" s="314" t="str">
        <f>IFERROR(IF(F135="","",IF(AH135="Check Data ⚠","Check Data ⚠",VLOOKUP(AL135,'G-3 Multipliers'!$P$2:$Q$6,2,FALSE))),"")</f>
        <v/>
      </c>
      <c r="AN135" s="289" t="str">
        <f t="shared" si="20"/>
        <v/>
      </c>
      <c r="AO135" s="52"/>
      <c r="AP135" s="51"/>
      <c r="AQ135" s="104"/>
      <c r="AT135" s="35" t="str">
        <f t="shared" si="21"/>
        <v>No</v>
      </c>
      <c r="AU135" s="35" t="str">
        <f>IF(E135="","",IF(ISNA(VLOOKUP($E135,'A-1 On-Site Habitat Baseline'!$D$1:$AV$258,4,FALSE)),"",(VLOOKUP($E135,'A-1 On-Site Habitat Baseline'!$D$1:$AV$258,4,FALSE))))</f>
        <v/>
      </c>
    </row>
    <row r="136" spans="1:47" ht="14">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05" t="str">
        <f>'A-1 On-Site Habitat Baseline'!AL135</f>
        <v/>
      </c>
      <c r="F136" s="295" t="str">
        <f>IF(E136="","",IF(ISNA(VLOOKUP($E136,'A-1 On-Site Habitat Baseline'!$D$1:$AV$258,45,FALSE)),"",(VLOOKUP($E136,'A-1 On-Site Habitat Baseline'!$D$1:$AV$258,45,FALSE))))</f>
        <v/>
      </c>
      <c r="G136" s="295" t="str">
        <f>IF(E136="","",IF(ISNA(VLOOKUP($E136,'A-1 On-Site Habitat Baseline'!$D$1:$O$258,5,FALSE)),"",(VLOOKUP($E136,'A-1 On-Site Habitat Baseline'!$D$1:$O$258,5,FALSE))))</f>
        <v/>
      </c>
      <c r="H136" s="295" t="str">
        <f>IF(E136="","",IF(ISNA(VLOOKUP($E136,'A-1 On-Site Habitat Baseline'!$D$1:$O$258,6,FALSE)),"",(VLOOKUP($E136,'A-1 On-Site Habitat Baseline'!$D$1:$O$258,6,FALSE))))</f>
        <v/>
      </c>
      <c r="I136" s="295" t="str">
        <f>IF(E136="","",IF(ISNA(VLOOKUP($E136,'A-1 On-Site Habitat Baseline'!$D$1:$O$258,7,FALSE)),"",(VLOOKUP($E136,'A-1 On-Site Habitat Baseline'!$D$1:$O$258,7,FALSE))))</f>
        <v/>
      </c>
      <c r="J136" s="295" t="str">
        <f>IF(E136="","",IF(ISNA(VLOOKUP($E136,'A-1 On-Site Habitat Baseline'!$D$1:$O$258,8,FALSE)),"",(VLOOKUP($E136,'A-1 On-Site Habitat Baseline'!$D$1:$O$258,8,FALSE))))</f>
        <v/>
      </c>
      <c r="K136" s="295" t="str">
        <f>IF(E136="","",IF(ISNA(VLOOKUP($E136,'A-1 On-Site Habitat Baseline'!$D$1:$O$258,9,FALSE)),"",(VLOOKUP($E136,'A-1 On-Site Habitat Baseline'!$D$1:$O$258,9,FALSE))))</f>
        <v/>
      </c>
      <c r="L136" s="295" t="str">
        <f>IF(E136="","",IF(ISNA(VLOOKUP($E136,'A-1 On-Site Habitat Baseline'!$D$1:$O$258,11,FALSE)),"",(VLOOKUP($E136,'A-1 On-Site Habitat Baseline'!$D$1:$O$258,11,FALSE))))</f>
        <v/>
      </c>
      <c r="M136" s="295" t="str">
        <f>IF(E136="","",IF(ISNA(VLOOKUP($E136,'A-1 On-Site Habitat Baseline'!$D$1:$O$258,12,FALSE)),"",(VLOOKUP($E136,'A-1 On-Site Habitat Baseline'!$D$1:$O$258,12,FALSE))))</f>
        <v/>
      </c>
      <c r="N136" s="306" t="str">
        <f>IF(E136="","",IF(ISNA(VLOOKUP($E136,'A-1 On-Site Habitat Baseline'!$D$1:$X$258,14,FALSE)),"",(VLOOKUP($E136,'A-1 On-Site Habitat Baseline'!$D$1:$X$258,14,FALSE))))</f>
        <v/>
      </c>
      <c r="O136" s="299" t="str">
        <f>IF(E136="","",IF(ISNA(VLOOKUP($E136,'A-1 On-Site Habitat Baseline'!$D$1:$X$258,16,FALSE)),"",(VLOOKUP($E136,'A-1 On-Site Habitat Baseline'!$D$1:$X$258,13,FALSE))))</f>
        <v/>
      </c>
      <c r="P136" s="154" t="str">
        <f>IFERROR(INDEX('G-1 All Habitats'!$AG$49:$AG$63,MATCH(Q136,'G-1 All Habitats'!$AF$27:$AF$41,0)),"")</f>
        <v/>
      </c>
      <c r="Q136" s="155" t="str">
        <f t="shared" si="13"/>
        <v/>
      </c>
      <c r="R136" s="155"/>
      <c r="S136" s="237" t="str">
        <f>IFERROR(INDEX('G-1 All Habitats'!$B$3:$B$135,MATCH(R136,'G-1 All Habitats'!$A$3:$A$135,0)),"")</f>
        <v/>
      </c>
      <c r="T136" s="275" t="str">
        <f t="shared" si="14"/>
        <v/>
      </c>
      <c r="U136" s="276" t="str">
        <f t="shared" si="15"/>
        <v/>
      </c>
      <c r="V136" s="311" t="str">
        <f t="shared" si="11"/>
        <v/>
      </c>
      <c r="W136" s="295" t="str">
        <f>IF(S136="","",VLOOKUP(S136,'G-1 All Habitats'!$B$2:$M$135,10,FALSE))</f>
        <v/>
      </c>
      <c r="X136" s="295" t="str">
        <f>IFERROR(VLOOKUP(W136,'G-1 All Habitats'!$V$3:$W$7,2,FALSE),"")</f>
        <v/>
      </c>
      <c r="Y136" s="57"/>
      <c r="Z136" s="299" t="str">
        <f>IFERROR(INDEX('G-8 Condition Look up'!$A$3:$H$135,MATCH(S136,'G-8 Condition Look up'!$A$3:$A$135,0),MATCH(Y136,'G-8 Condition Look up'!$A$3:$H$3,0)),"")</f>
        <v/>
      </c>
      <c r="AA136" s="52"/>
      <c r="AB136" s="295" t="str">
        <f>IF(AA136="","",IF(VLOOKUP(AA136,'G-3 Multipliers'!$L$3:$N$6,2,FALSE)=0,"Spatial Data Missing ⚠",VLOOKUP(AA136,'G-3 Multipliers'!$L$3:$N$6,2,FALSE)))</f>
        <v/>
      </c>
      <c r="AC136" s="299" t="str">
        <f>IF(AA136="","",IF(VLOOKUP(AA136,'G-3 Multipliers'!$L$3:$N$6,3,FALSE)=0,"Spatial Data Missing ⚠",VLOOKUP(AA136,'G-3 Multipliers'!$L$3:$N$6,3,FALSE)))</f>
        <v/>
      </c>
      <c r="AD136" s="313" t="str">
        <f t="shared" si="12"/>
        <v/>
      </c>
      <c r="AE136" s="58"/>
      <c r="AF136" s="58"/>
      <c r="AG136" s="283" t="str">
        <f t="shared" si="16"/>
        <v/>
      </c>
      <c r="AH136" s="296" t="str">
        <f t="shared" si="17"/>
        <v/>
      </c>
      <c r="AI136" s="297" t="str">
        <f>IF(AH136="Check Data ⚠","Check Data ⚠",IFERROR(VLOOKUP(AH136,'G-4 Temporal multipliers'!$A$4:$C$36,3,FALSE),""))</f>
        <v/>
      </c>
      <c r="AJ136" s="275" t="str">
        <f>IF(S136="","",VLOOKUP(S136,'G-3 Multipliers'!$A$2:$E$134,4,FALSE))</f>
        <v/>
      </c>
      <c r="AK136" s="283" t="str">
        <f t="shared" si="18"/>
        <v/>
      </c>
      <c r="AL136" s="283" t="str">
        <f t="shared" si="19"/>
        <v/>
      </c>
      <c r="AM136" s="314" t="str">
        <f>IFERROR(IF(F136="","",IF(AH136="Check Data ⚠","Check Data ⚠",VLOOKUP(AL136,'G-3 Multipliers'!$P$2:$Q$6,2,FALSE))),"")</f>
        <v/>
      </c>
      <c r="AN136" s="289" t="str">
        <f t="shared" si="20"/>
        <v/>
      </c>
      <c r="AO136" s="52"/>
      <c r="AP136" s="51"/>
      <c r="AQ136" s="104"/>
      <c r="AT136" s="35" t="str">
        <f t="shared" si="21"/>
        <v>No</v>
      </c>
      <c r="AU136" s="35" t="str">
        <f>IF(E136="","",IF(ISNA(VLOOKUP($E136,'A-1 On-Site Habitat Baseline'!$D$1:$AV$258,4,FALSE)),"",(VLOOKUP($E136,'A-1 On-Site Habitat Baseline'!$D$1:$AV$258,4,FALSE))))</f>
        <v/>
      </c>
    </row>
    <row r="137" spans="1:47" ht="14">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05" t="str">
        <f>'A-1 On-Site Habitat Baseline'!AL136</f>
        <v/>
      </c>
      <c r="F137" s="295" t="str">
        <f>IF(E137="","",IF(ISNA(VLOOKUP($E137,'A-1 On-Site Habitat Baseline'!$D$1:$AV$258,45,FALSE)),"",(VLOOKUP($E137,'A-1 On-Site Habitat Baseline'!$D$1:$AV$258,45,FALSE))))</f>
        <v/>
      </c>
      <c r="G137" s="295" t="str">
        <f>IF(E137="","",IF(ISNA(VLOOKUP($E137,'A-1 On-Site Habitat Baseline'!$D$1:$O$258,5,FALSE)),"",(VLOOKUP($E137,'A-1 On-Site Habitat Baseline'!$D$1:$O$258,5,FALSE))))</f>
        <v/>
      </c>
      <c r="H137" s="295" t="str">
        <f>IF(E137="","",IF(ISNA(VLOOKUP($E137,'A-1 On-Site Habitat Baseline'!$D$1:$O$258,6,FALSE)),"",(VLOOKUP($E137,'A-1 On-Site Habitat Baseline'!$D$1:$O$258,6,FALSE))))</f>
        <v/>
      </c>
      <c r="I137" s="295" t="str">
        <f>IF(E137="","",IF(ISNA(VLOOKUP($E137,'A-1 On-Site Habitat Baseline'!$D$1:$O$258,7,FALSE)),"",(VLOOKUP($E137,'A-1 On-Site Habitat Baseline'!$D$1:$O$258,7,FALSE))))</f>
        <v/>
      </c>
      <c r="J137" s="295" t="str">
        <f>IF(E137="","",IF(ISNA(VLOOKUP($E137,'A-1 On-Site Habitat Baseline'!$D$1:$O$258,8,FALSE)),"",(VLOOKUP($E137,'A-1 On-Site Habitat Baseline'!$D$1:$O$258,8,FALSE))))</f>
        <v/>
      </c>
      <c r="K137" s="295" t="str">
        <f>IF(E137="","",IF(ISNA(VLOOKUP($E137,'A-1 On-Site Habitat Baseline'!$D$1:$O$258,9,FALSE)),"",(VLOOKUP($E137,'A-1 On-Site Habitat Baseline'!$D$1:$O$258,9,FALSE))))</f>
        <v/>
      </c>
      <c r="L137" s="295" t="str">
        <f>IF(E137="","",IF(ISNA(VLOOKUP($E137,'A-1 On-Site Habitat Baseline'!$D$1:$O$258,11,FALSE)),"",(VLOOKUP($E137,'A-1 On-Site Habitat Baseline'!$D$1:$O$258,11,FALSE))))</f>
        <v/>
      </c>
      <c r="M137" s="295" t="str">
        <f>IF(E137="","",IF(ISNA(VLOOKUP($E137,'A-1 On-Site Habitat Baseline'!$D$1:$O$258,12,FALSE)),"",(VLOOKUP($E137,'A-1 On-Site Habitat Baseline'!$D$1:$O$258,12,FALSE))))</f>
        <v/>
      </c>
      <c r="N137" s="306" t="str">
        <f>IF(E137="","",IF(ISNA(VLOOKUP($E137,'A-1 On-Site Habitat Baseline'!$D$1:$X$258,14,FALSE)),"",(VLOOKUP($E137,'A-1 On-Site Habitat Baseline'!$D$1:$X$258,14,FALSE))))</f>
        <v/>
      </c>
      <c r="O137" s="299" t="str">
        <f>IF(E137="","",IF(ISNA(VLOOKUP($E137,'A-1 On-Site Habitat Baseline'!$D$1:$X$258,16,FALSE)),"",(VLOOKUP($E137,'A-1 On-Site Habitat Baseline'!$D$1:$X$258,13,FALSE))))</f>
        <v/>
      </c>
      <c r="P137" s="154" t="str">
        <f>IFERROR(INDEX('G-1 All Habitats'!$AG$49:$AG$63,MATCH(Q137,'G-1 All Habitats'!$AF$27:$AF$41,0)),"")</f>
        <v/>
      </c>
      <c r="Q137" s="155" t="str">
        <f t="shared" si="13"/>
        <v/>
      </c>
      <c r="R137" s="155"/>
      <c r="S137" s="237" t="str">
        <f>IFERROR(INDEX('G-1 All Habitats'!$B$3:$B$135,MATCH(R137,'G-1 All Habitats'!$A$3:$A$135,0)),"")</f>
        <v/>
      </c>
      <c r="T137" s="275" t="str">
        <f t="shared" si="14"/>
        <v/>
      </c>
      <c r="U137" s="276" t="str">
        <f t="shared" si="15"/>
        <v/>
      </c>
      <c r="V137" s="311" t="str">
        <f t="shared" si="11"/>
        <v/>
      </c>
      <c r="W137" s="295" t="str">
        <f>IF(S137="","",VLOOKUP(S137,'G-1 All Habitats'!$B$2:$M$135,10,FALSE))</f>
        <v/>
      </c>
      <c r="X137" s="295" t="str">
        <f>IFERROR(VLOOKUP(W137,'G-1 All Habitats'!$V$3:$W$7,2,FALSE),"")</f>
        <v/>
      </c>
      <c r="Y137" s="57"/>
      <c r="Z137" s="299" t="str">
        <f>IFERROR(INDEX('G-8 Condition Look up'!$A$3:$H$135,MATCH(S137,'G-8 Condition Look up'!$A$3:$A$135,0),MATCH(Y137,'G-8 Condition Look up'!$A$3:$H$3,0)),"")</f>
        <v/>
      </c>
      <c r="AA137" s="52"/>
      <c r="AB137" s="295" t="str">
        <f>IF(AA137="","",IF(VLOOKUP(AA137,'G-3 Multipliers'!$L$3:$N$6,2,FALSE)=0,"Spatial Data Missing ⚠",VLOOKUP(AA137,'G-3 Multipliers'!$L$3:$N$6,2,FALSE)))</f>
        <v/>
      </c>
      <c r="AC137" s="299" t="str">
        <f>IF(AA137="","",IF(VLOOKUP(AA137,'G-3 Multipliers'!$L$3:$N$6,3,FALSE)=0,"Spatial Data Missing ⚠",VLOOKUP(AA137,'G-3 Multipliers'!$L$3:$N$6,3,FALSE)))</f>
        <v/>
      </c>
      <c r="AD137" s="313" t="str">
        <f t="shared" si="12"/>
        <v/>
      </c>
      <c r="AE137" s="58"/>
      <c r="AF137" s="58"/>
      <c r="AG137" s="283" t="str">
        <f t="shared" si="16"/>
        <v/>
      </c>
      <c r="AH137" s="296" t="str">
        <f t="shared" si="17"/>
        <v/>
      </c>
      <c r="AI137" s="297" t="str">
        <f>IF(AH137="Check Data ⚠","Check Data ⚠",IFERROR(VLOOKUP(AH137,'G-4 Temporal multipliers'!$A$4:$C$36,3,FALSE),""))</f>
        <v/>
      </c>
      <c r="AJ137" s="275" t="str">
        <f>IF(S137="","",VLOOKUP(S137,'G-3 Multipliers'!$A$2:$E$134,4,FALSE))</f>
        <v/>
      </c>
      <c r="AK137" s="283" t="str">
        <f t="shared" si="18"/>
        <v/>
      </c>
      <c r="AL137" s="283" t="str">
        <f t="shared" si="19"/>
        <v/>
      </c>
      <c r="AM137" s="314" t="str">
        <f>IFERROR(IF(F137="","",IF(AH137="Check Data ⚠","Check Data ⚠",VLOOKUP(AL137,'G-3 Multipliers'!$P$2:$Q$6,2,FALSE))),"")</f>
        <v/>
      </c>
      <c r="AN137" s="289" t="str">
        <f t="shared" si="20"/>
        <v/>
      </c>
      <c r="AO137" s="52"/>
      <c r="AP137" s="51"/>
      <c r="AQ137" s="104"/>
      <c r="AT137" s="35" t="str">
        <f t="shared" si="21"/>
        <v>No</v>
      </c>
      <c r="AU137" s="35" t="str">
        <f>IF(E137="","",IF(ISNA(VLOOKUP($E137,'A-1 On-Site Habitat Baseline'!$D$1:$AV$258,4,FALSE)),"",(VLOOKUP($E137,'A-1 On-Site Habitat Baseline'!$D$1:$AV$258,4,FALSE))))</f>
        <v/>
      </c>
    </row>
    <row r="138" spans="1:47" ht="14">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05" t="str">
        <f>'A-1 On-Site Habitat Baseline'!AL137</f>
        <v/>
      </c>
      <c r="F138" s="295" t="str">
        <f>IF(E138="","",IF(ISNA(VLOOKUP($E138,'A-1 On-Site Habitat Baseline'!$D$1:$AV$258,45,FALSE)),"",(VLOOKUP($E138,'A-1 On-Site Habitat Baseline'!$D$1:$AV$258,45,FALSE))))</f>
        <v/>
      </c>
      <c r="G138" s="295" t="str">
        <f>IF(E138="","",IF(ISNA(VLOOKUP($E138,'A-1 On-Site Habitat Baseline'!$D$1:$O$258,5,FALSE)),"",(VLOOKUP($E138,'A-1 On-Site Habitat Baseline'!$D$1:$O$258,5,FALSE))))</f>
        <v/>
      </c>
      <c r="H138" s="295" t="str">
        <f>IF(E138="","",IF(ISNA(VLOOKUP($E138,'A-1 On-Site Habitat Baseline'!$D$1:$O$258,6,FALSE)),"",(VLOOKUP($E138,'A-1 On-Site Habitat Baseline'!$D$1:$O$258,6,FALSE))))</f>
        <v/>
      </c>
      <c r="I138" s="295" t="str">
        <f>IF(E138="","",IF(ISNA(VLOOKUP($E138,'A-1 On-Site Habitat Baseline'!$D$1:$O$258,7,FALSE)),"",(VLOOKUP($E138,'A-1 On-Site Habitat Baseline'!$D$1:$O$258,7,FALSE))))</f>
        <v/>
      </c>
      <c r="J138" s="295" t="str">
        <f>IF(E138="","",IF(ISNA(VLOOKUP($E138,'A-1 On-Site Habitat Baseline'!$D$1:$O$258,8,FALSE)),"",(VLOOKUP($E138,'A-1 On-Site Habitat Baseline'!$D$1:$O$258,8,FALSE))))</f>
        <v/>
      </c>
      <c r="K138" s="295" t="str">
        <f>IF(E138="","",IF(ISNA(VLOOKUP($E138,'A-1 On-Site Habitat Baseline'!$D$1:$O$258,9,FALSE)),"",(VLOOKUP($E138,'A-1 On-Site Habitat Baseline'!$D$1:$O$258,9,FALSE))))</f>
        <v/>
      </c>
      <c r="L138" s="295" t="str">
        <f>IF(E138="","",IF(ISNA(VLOOKUP($E138,'A-1 On-Site Habitat Baseline'!$D$1:$O$258,11,FALSE)),"",(VLOOKUP($E138,'A-1 On-Site Habitat Baseline'!$D$1:$O$258,11,FALSE))))</f>
        <v/>
      </c>
      <c r="M138" s="295" t="str">
        <f>IF(E138="","",IF(ISNA(VLOOKUP($E138,'A-1 On-Site Habitat Baseline'!$D$1:$O$258,12,FALSE)),"",(VLOOKUP($E138,'A-1 On-Site Habitat Baseline'!$D$1:$O$258,12,FALSE))))</f>
        <v/>
      </c>
      <c r="N138" s="306" t="str">
        <f>IF(E138="","",IF(ISNA(VLOOKUP($E138,'A-1 On-Site Habitat Baseline'!$D$1:$X$258,14,FALSE)),"",(VLOOKUP($E138,'A-1 On-Site Habitat Baseline'!$D$1:$X$258,14,FALSE))))</f>
        <v/>
      </c>
      <c r="O138" s="299" t="str">
        <f>IF(E138="","",IF(ISNA(VLOOKUP($E138,'A-1 On-Site Habitat Baseline'!$D$1:$X$258,16,FALSE)),"",(VLOOKUP($E138,'A-1 On-Site Habitat Baseline'!$D$1:$X$258,13,FALSE))))</f>
        <v/>
      </c>
      <c r="P138" s="154" t="str">
        <f>IFERROR(INDEX('G-1 All Habitats'!$AG$49:$AG$63,MATCH(Q138,'G-1 All Habitats'!$AF$27:$AF$41,0)),"")</f>
        <v/>
      </c>
      <c r="Q138" s="155" t="str">
        <f t="shared" si="13"/>
        <v/>
      </c>
      <c r="R138" s="155"/>
      <c r="S138" s="237" t="str">
        <f>IFERROR(INDEX('G-1 All Habitats'!$B$3:$B$135,MATCH(R138,'G-1 All Habitats'!$A$3:$A$135,0)),"")</f>
        <v/>
      </c>
      <c r="T138" s="275" t="str">
        <f t="shared" si="14"/>
        <v/>
      </c>
      <c r="U138" s="276" t="str">
        <f t="shared" si="15"/>
        <v/>
      </c>
      <c r="V138" s="311" t="str">
        <f t="shared" si="11"/>
        <v/>
      </c>
      <c r="W138" s="295" t="str">
        <f>IF(S138="","",VLOOKUP(S138,'G-1 All Habitats'!$B$2:$M$135,10,FALSE))</f>
        <v/>
      </c>
      <c r="X138" s="295" t="str">
        <f>IFERROR(VLOOKUP(W138,'G-1 All Habitats'!$V$3:$W$7,2,FALSE),"")</f>
        <v/>
      </c>
      <c r="Y138" s="57"/>
      <c r="Z138" s="299" t="str">
        <f>IFERROR(INDEX('G-8 Condition Look up'!$A$3:$H$135,MATCH(S138,'G-8 Condition Look up'!$A$3:$A$135,0),MATCH(Y138,'G-8 Condition Look up'!$A$3:$H$3,0)),"")</f>
        <v/>
      </c>
      <c r="AA138" s="52"/>
      <c r="AB138" s="295" t="str">
        <f>IF(AA138="","",IF(VLOOKUP(AA138,'G-3 Multipliers'!$L$3:$N$6,2,FALSE)=0,"Spatial Data Missing ⚠",VLOOKUP(AA138,'G-3 Multipliers'!$L$3:$N$6,2,FALSE)))</f>
        <v/>
      </c>
      <c r="AC138" s="299" t="str">
        <f>IF(AA138="","",IF(VLOOKUP(AA138,'G-3 Multipliers'!$L$3:$N$6,3,FALSE)=0,"Spatial Data Missing ⚠",VLOOKUP(AA138,'G-3 Multipliers'!$L$3:$N$6,3,FALSE)))</f>
        <v/>
      </c>
      <c r="AD138" s="313" t="str">
        <f t="shared" si="12"/>
        <v/>
      </c>
      <c r="AE138" s="58"/>
      <c r="AF138" s="58"/>
      <c r="AG138" s="283" t="str">
        <f t="shared" si="16"/>
        <v/>
      </c>
      <c r="AH138" s="296" t="str">
        <f t="shared" si="17"/>
        <v/>
      </c>
      <c r="AI138" s="297" t="str">
        <f>IF(AH138="Check Data ⚠","Check Data ⚠",IFERROR(VLOOKUP(AH138,'G-4 Temporal multipliers'!$A$4:$C$36,3,FALSE),""))</f>
        <v/>
      </c>
      <c r="AJ138" s="275" t="str">
        <f>IF(S138="","",VLOOKUP(S138,'G-3 Multipliers'!$A$2:$E$134,4,FALSE))</f>
        <v/>
      </c>
      <c r="AK138" s="283" t="str">
        <f t="shared" si="18"/>
        <v/>
      </c>
      <c r="AL138" s="283" t="str">
        <f t="shared" si="19"/>
        <v/>
      </c>
      <c r="AM138" s="314" t="str">
        <f>IFERROR(IF(F138="","",IF(AH138="Check Data ⚠","Check Data ⚠",VLOOKUP(AL138,'G-3 Multipliers'!$P$2:$Q$6,2,FALSE))),"")</f>
        <v/>
      </c>
      <c r="AN138" s="289" t="str">
        <f t="shared" si="20"/>
        <v/>
      </c>
      <c r="AO138" s="52"/>
      <c r="AP138" s="51"/>
      <c r="AQ138" s="104"/>
      <c r="AT138" s="35" t="str">
        <f t="shared" si="21"/>
        <v>No</v>
      </c>
      <c r="AU138" s="35" t="str">
        <f>IF(E138="","",IF(ISNA(VLOOKUP($E138,'A-1 On-Site Habitat Baseline'!$D$1:$AV$258,4,FALSE)),"",(VLOOKUP($E138,'A-1 On-Site Habitat Baseline'!$D$1:$AV$258,4,FALSE))))</f>
        <v/>
      </c>
    </row>
    <row r="139" spans="1:47" ht="14">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05" t="str">
        <f>'A-1 On-Site Habitat Baseline'!AL138</f>
        <v/>
      </c>
      <c r="F139" s="295" t="str">
        <f>IF(E139="","",IF(ISNA(VLOOKUP($E139,'A-1 On-Site Habitat Baseline'!$D$1:$AV$258,45,FALSE)),"",(VLOOKUP($E139,'A-1 On-Site Habitat Baseline'!$D$1:$AV$258,45,FALSE))))</f>
        <v/>
      </c>
      <c r="G139" s="295" t="str">
        <f>IF(E139="","",IF(ISNA(VLOOKUP($E139,'A-1 On-Site Habitat Baseline'!$D$1:$O$258,5,FALSE)),"",(VLOOKUP($E139,'A-1 On-Site Habitat Baseline'!$D$1:$O$258,5,FALSE))))</f>
        <v/>
      </c>
      <c r="H139" s="295" t="str">
        <f>IF(E139="","",IF(ISNA(VLOOKUP($E139,'A-1 On-Site Habitat Baseline'!$D$1:$O$258,6,FALSE)),"",(VLOOKUP($E139,'A-1 On-Site Habitat Baseline'!$D$1:$O$258,6,FALSE))))</f>
        <v/>
      </c>
      <c r="I139" s="295" t="str">
        <f>IF(E139="","",IF(ISNA(VLOOKUP($E139,'A-1 On-Site Habitat Baseline'!$D$1:$O$258,7,FALSE)),"",(VLOOKUP($E139,'A-1 On-Site Habitat Baseline'!$D$1:$O$258,7,FALSE))))</f>
        <v/>
      </c>
      <c r="J139" s="295" t="str">
        <f>IF(E139="","",IF(ISNA(VLOOKUP($E139,'A-1 On-Site Habitat Baseline'!$D$1:$O$258,8,FALSE)),"",(VLOOKUP($E139,'A-1 On-Site Habitat Baseline'!$D$1:$O$258,8,FALSE))))</f>
        <v/>
      </c>
      <c r="K139" s="295" t="str">
        <f>IF(E139="","",IF(ISNA(VLOOKUP($E139,'A-1 On-Site Habitat Baseline'!$D$1:$O$258,9,FALSE)),"",(VLOOKUP($E139,'A-1 On-Site Habitat Baseline'!$D$1:$O$258,9,FALSE))))</f>
        <v/>
      </c>
      <c r="L139" s="295" t="str">
        <f>IF(E139="","",IF(ISNA(VLOOKUP($E139,'A-1 On-Site Habitat Baseline'!$D$1:$O$258,11,FALSE)),"",(VLOOKUP($E139,'A-1 On-Site Habitat Baseline'!$D$1:$O$258,11,FALSE))))</f>
        <v/>
      </c>
      <c r="M139" s="295" t="str">
        <f>IF(E139="","",IF(ISNA(VLOOKUP($E139,'A-1 On-Site Habitat Baseline'!$D$1:$O$258,12,FALSE)),"",(VLOOKUP($E139,'A-1 On-Site Habitat Baseline'!$D$1:$O$258,12,FALSE))))</f>
        <v/>
      </c>
      <c r="N139" s="306" t="str">
        <f>IF(E139="","",IF(ISNA(VLOOKUP($E139,'A-1 On-Site Habitat Baseline'!$D$1:$X$258,14,FALSE)),"",(VLOOKUP($E139,'A-1 On-Site Habitat Baseline'!$D$1:$X$258,14,FALSE))))</f>
        <v/>
      </c>
      <c r="O139" s="299" t="str">
        <f>IF(E139="","",IF(ISNA(VLOOKUP($E139,'A-1 On-Site Habitat Baseline'!$D$1:$X$258,16,FALSE)),"",(VLOOKUP($E139,'A-1 On-Site Habitat Baseline'!$D$1:$X$258,13,FALSE))))</f>
        <v/>
      </c>
      <c r="P139" s="154" t="str">
        <f>IFERROR(INDEX('G-1 All Habitats'!$AG$49:$AG$63,MATCH(Q139,'G-1 All Habitats'!$AF$27:$AF$41,0)),"")</f>
        <v/>
      </c>
      <c r="Q139" s="155" t="str">
        <f t="shared" si="13"/>
        <v/>
      </c>
      <c r="R139" s="155"/>
      <c r="S139" s="237" t="str">
        <f>IFERROR(INDEX('G-1 All Habitats'!$B$3:$B$135,MATCH(R139,'G-1 All Habitats'!$A$3:$A$135,0)),"")</f>
        <v/>
      </c>
      <c r="T139" s="275" t="str">
        <f t="shared" si="14"/>
        <v/>
      </c>
      <c r="U139" s="276" t="str">
        <f t="shared" si="15"/>
        <v/>
      </c>
      <c r="V139" s="311" t="str">
        <f t="shared" si="11"/>
        <v/>
      </c>
      <c r="W139" s="295" t="str">
        <f>IF(S139="","",VLOOKUP(S139,'G-1 All Habitats'!$B$2:$M$135,10,FALSE))</f>
        <v/>
      </c>
      <c r="X139" s="295" t="str">
        <f>IFERROR(VLOOKUP(W139,'G-1 All Habitats'!$V$3:$W$7,2,FALSE),"")</f>
        <v/>
      </c>
      <c r="Y139" s="57"/>
      <c r="Z139" s="299" t="str">
        <f>IFERROR(INDEX('G-8 Condition Look up'!$A$3:$H$135,MATCH(S139,'G-8 Condition Look up'!$A$3:$A$135,0),MATCH(Y139,'G-8 Condition Look up'!$A$3:$H$3,0)),"")</f>
        <v/>
      </c>
      <c r="AA139" s="52"/>
      <c r="AB139" s="295" t="str">
        <f>IF(AA139="","",IF(VLOOKUP(AA139,'G-3 Multipliers'!$L$3:$N$6,2,FALSE)=0,"Spatial Data Missing ⚠",VLOOKUP(AA139,'G-3 Multipliers'!$L$3:$N$6,2,FALSE)))</f>
        <v/>
      </c>
      <c r="AC139" s="299" t="str">
        <f>IF(AA139="","",IF(VLOOKUP(AA139,'G-3 Multipliers'!$L$3:$N$6,3,FALSE)=0,"Spatial Data Missing ⚠",VLOOKUP(AA139,'G-3 Multipliers'!$L$3:$N$6,3,FALSE)))</f>
        <v/>
      </c>
      <c r="AD139" s="313" t="str">
        <f t="shared" si="12"/>
        <v/>
      </c>
      <c r="AE139" s="58"/>
      <c r="AF139" s="58"/>
      <c r="AG139" s="283" t="str">
        <f t="shared" si="16"/>
        <v/>
      </c>
      <c r="AH139" s="296" t="str">
        <f t="shared" si="17"/>
        <v/>
      </c>
      <c r="AI139" s="297" t="str">
        <f>IF(AH139="Check Data ⚠","Check Data ⚠",IFERROR(VLOOKUP(AH139,'G-4 Temporal multipliers'!$A$4:$C$36,3,FALSE),""))</f>
        <v/>
      </c>
      <c r="AJ139" s="275" t="str">
        <f>IF(S139="","",VLOOKUP(S139,'G-3 Multipliers'!$A$2:$E$134,4,FALSE))</f>
        <v/>
      </c>
      <c r="AK139" s="283" t="str">
        <f t="shared" si="18"/>
        <v/>
      </c>
      <c r="AL139" s="283" t="str">
        <f t="shared" si="19"/>
        <v/>
      </c>
      <c r="AM139" s="314" t="str">
        <f>IFERROR(IF(F139="","",IF(AH139="Check Data ⚠","Check Data ⚠",VLOOKUP(AL139,'G-3 Multipliers'!$P$2:$Q$6,2,FALSE))),"")</f>
        <v/>
      </c>
      <c r="AN139" s="289" t="str">
        <f t="shared" si="20"/>
        <v/>
      </c>
      <c r="AO139" s="52"/>
      <c r="AP139" s="51"/>
      <c r="AQ139" s="104"/>
      <c r="AT139" s="35" t="str">
        <f t="shared" si="21"/>
        <v>No</v>
      </c>
      <c r="AU139" s="35" t="str">
        <f>IF(E139="","",IF(ISNA(VLOOKUP($E139,'A-1 On-Site Habitat Baseline'!$D$1:$AV$258,4,FALSE)),"",(VLOOKUP($E139,'A-1 On-Site Habitat Baseline'!$D$1:$AV$258,4,FALSE))))</f>
        <v/>
      </c>
    </row>
    <row r="140" spans="1:47" ht="14">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05" t="str">
        <f>'A-1 On-Site Habitat Baseline'!AL139</f>
        <v/>
      </c>
      <c r="F140" s="295" t="str">
        <f>IF(E140="","",IF(ISNA(VLOOKUP($E140,'A-1 On-Site Habitat Baseline'!$D$1:$AV$258,45,FALSE)),"",(VLOOKUP($E140,'A-1 On-Site Habitat Baseline'!$D$1:$AV$258,45,FALSE))))</f>
        <v/>
      </c>
      <c r="G140" s="295" t="str">
        <f>IF(E140="","",IF(ISNA(VLOOKUP($E140,'A-1 On-Site Habitat Baseline'!$D$1:$O$258,5,FALSE)),"",(VLOOKUP($E140,'A-1 On-Site Habitat Baseline'!$D$1:$O$258,5,FALSE))))</f>
        <v/>
      </c>
      <c r="H140" s="295" t="str">
        <f>IF(E140="","",IF(ISNA(VLOOKUP($E140,'A-1 On-Site Habitat Baseline'!$D$1:$O$258,6,FALSE)),"",(VLOOKUP($E140,'A-1 On-Site Habitat Baseline'!$D$1:$O$258,6,FALSE))))</f>
        <v/>
      </c>
      <c r="I140" s="295" t="str">
        <f>IF(E140="","",IF(ISNA(VLOOKUP($E140,'A-1 On-Site Habitat Baseline'!$D$1:$O$258,7,FALSE)),"",(VLOOKUP($E140,'A-1 On-Site Habitat Baseline'!$D$1:$O$258,7,FALSE))))</f>
        <v/>
      </c>
      <c r="J140" s="295" t="str">
        <f>IF(E140="","",IF(ISNA(VLOOKUP($E140,'A-1 On-Site Habitat Baseline'!$D$1:$O$258,8,FALSE)),"",(VLOOKUP($E140,'A-1 On-Site Habitat Baseline'!$D$1:$O$258,8,FALSE))))</f>
        <v/>
      </c>
      <c r="K140" s="295" t="str">
        <f>IF(E140="","",IF(ISNA(VLOOKUP($E140,'A-1 On-Site Habitat Baseline'!$D$1:$O$258,9,FALSE)),"",(VLOOKUP($E140,'A-1 On-Site Habitat Baseline'!$D$1:$O$258,9,FALSE))))</f>
        <v/>
      </c>
      <c r="L140" s="295" t="str">
        <f>IF(E140="","",IF(ISNA(VLOOKUP($E140,'A-1 On-Site Habitat Baseline'!$D$1:$O$258,11,FALSE)),"",(VLOOKUP($E140,'A-1 On-Site Habitat Baseline'!$D$1:$O$258,11,FALSE))))</f>
        <v/>
      </c>
      <c r="M140" s="295" t="str">
        <f>IF(E140="","",IF(ISNA(VLOOKUP($E140,'A-1 On-Site Habitat Baseline'!$D$1:$O$258,12,FALSE)),"",(VLOOKUP($E140,'A-1 On-Site Habitat Baseline'!$D$1:$O$258,12,FALSE))))</f>
        <v/>
      </c>
      <c r="N140" s="306" t="str">
        <f>IF(E140="","",IF(ISNA(VLOOKUP($E140,'A-1 On-Site Habitat Baseline'!$D$1:$X$258,14,FALSE)),"",(VLOOKUP($E140,'A-1 On-Site Habitat Baseline'!$D$1:$X$258,14,FALSE))))</f>
        <v/>
      </c>
      <c r="O140" s="299" t="str">
        <f>IF(E140="","",IF(ISNA(VLOOKUP($E140,'A-1 On-Site Habitat Baseline'!$D$1:$X$258,16,FALSE)),"",(VLOOKUP($E140,'A-1 On-Site Habitat Baseline'!$D$1:$X$258,13,FALSE))))</f>
        <v/>
      </c>
      <c r="P140" s="154" t="str">
        <f>IFERROR(INDEX('G-1 All Habitats'!$AG$49:$AG$63,MATCH(Q140,'G-1 All Habitats'!$AF$27:$AF$41,0)),"")</f>
        <v/>
      </c>
      <c r="Q140" s="155" t="str">
        <f t="shared" si="13"/>
        <v/>
      </c>
      <c r="R140" s="155"/>
      <c r="S140" s="237" t="str">
        <f>IFERROR(INDEX('G-1 All Habitats'!$B$3:$B$135,MATCH(R140,'G-1 All Habitats'!$A$3:$A$135,0)),"")</f>
        <v/>
      </c>
      <c r="T140" s="275" t="str">
        <f t="shared" si="14"/>
        <v/>
      </c>
      <c r="U140" s="276" t="str">
        <f t="shared" si="15"/>
        <v/>
      </c>
      <c r="V140" s="311" t="str">
        <f t="shared" si="22" ref="V140:V203">IF(S140="","",VLOOKUP(E140,BaselineHabSite,17,FALSE))</f>
        <v/>
      </c>
      <c r="W140" s="295" t="str">
        <f>IF(S140="","",VLOOKUP(S140,'G-1 All Habitats'!$B$2:$M$135,10,FALSE))</f>
        <v/>
      </c>
      <c r="X140" s="295" t="str">
        <f>IFERROR(VLOOKUP(W140,'G-1 All Habitats'!$V$3:$W$7,2,FALSE),"")</f>
        <v/>
      </c>
      <c r="Y140" s="57"/>
      <c r="Z140" s="299" t="str">
        <f>IFERROR(INDEX('G-8 Condition Look up'!$A$3:$H$135,MATCH(S140,'G-8 Condition Look up'!$A$3:$A$135,0),MATCH(Y140,'G-8 Condition Look up'!$A$3:$H$3,0)),"")</f>
        <v/>
      </c>
      <c r="AA140" s="52"/>
      <c r="AB140" s="295" t="str">
        <f>IF(AA140="","",IF(VLOOKUP(AA140,'G-3 Multipliers'!$L$3:$N$6,2,FALSE)=0,"Spatial Data Missing ⚠",VLOOKUP(AA140,'G-3 Multipliers'!$L$3:$N$6,2,FALSE)))</f>
        <v/>
      </c>
      <c r="AC140" s="299" t="str">
        <f>IF(AA140="","",IF(VLOOKUP(AA140,'G-3 Multipliers'!$L$3:$N$6,3,FALSE)=0,"Spatial Data Missing ⚠",VLOOKUP(AA140,'G-3 Multipliers'!$L$3:$N$6,3,FALSE)))</f>
        <v/>
      </c>
      <c r="AD140" s="313" t="str">
        <f t="shared" si="23" ref="AD140:AD203">IFERROR(IF(OR(LEFT(U140,5)="Error",LEFT(T140,5)="Error"),"Check Data ⚠",INDEX(EnhanceTemporal,MATCH(S140,EnhanceHabitat,0),MATCH(U140,EnhanceCondition,0))),"")</f>
        <v/>
      </c>
      <c r="AE140" s="58"/>
      <c r="AF140" s="58"/>
      <c r="AG140" s="283" t="str">
        <f t="shared" si="16"/>
        <v/>
      </c>
      <c r="AH140" s="296" t="str">
        <f t="shared" si="17"/>
        <v/>
      </c>
      <c r="AI140" s="297" t="str">
        <f>IF(AH140="Check Data ⚠","Check Data ⚠",IFERROR(VLOOKUP(AH140,'G-4 Temporal multipliers'!$A$4:$C$36,3,FALSE),""))</f>
        <v/>
      </c>
      <c r="AJ140" s="275" t="str">
        <f>IF(S140="","",VLOOKUP(S140,'G-3 Multipliers'!$A$2:$E$134,4,FALSE))</f>
        <v/>
      </c>
      <c r="AK140" s="283" t="str">
        <f t="shared" si="18"/>
        <v/>
      </c>
      <c r="AL140" s="283" t="str">
        <f t="shared" si="19"/>
        <v/>
      </c>
      <c r="AM140" s="314" t="str">
        <f>IFERROR(IF(F140="","",IF(AH140="Check Data ⚠","Check Data ⚠",VLOOKUP(AL140,'G-3 Multipliers'!$P$2:$Q$6,2,FALSE))),"")</f>
        <v/>
      </c>
      <c r="AN140" s="289" t="str">
        <f t="shared" si="20"/>
        <v/>
      </c>
      <c r="AO140" s="52"/>
      <c r="AP140" s="51"/>
      <c r="AQ140" s="104"/>
      <c r="AT140" s="35" t="str">
        <f t="shared" si="21"/>
        <v>No</v>
      </c>
      <c r="AU140" s="35" t="str">
        <f>IF(E140="","",IF(ISNA(VLOOKUP($E140,'A-1 On-Site Habitat Baseline'!$D$1:$AV$258,4,FALSE)),"",(VLOOKUP($E140,'A-1 On-Site Habitat Baseline'!$D$1:$AV$258,4,FALSE))))</f>
        <v/>
      </c>
    </row>
    <row r="141" spans="1:47" ht="14">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05" t="str">
        <f>'A-1 On-Site Habitat Baseline'!AL140</f>
        <v/>
      </c>
      <c r="F141" s="295" t="str">
        <f>IF(E141="","",IF(ISNA(VLOOKUP($E141,'A-1 On-Site Habitat Baseline'!$D$1:$AV$258,45,FALSE)),"",(VLOOKUP($E141,'A-1 On-Site Habitat Baseline'!$D$1:$AV$258,45,FALSE))))</f>
        <v/>
      </c>
      <c r="G141" s="295" t="str">
        <f>IF(E141="","",IF(ISNA(VLOOKUP($E141,'A-1 On-Site Habitat Baseline'!$D$1:$O$258,5,FALSE)),"",(VLOOKUP($E141,'A-1 On-Site Habitat Baseline'!$D$1:$O$258,5,FALSE))))</f>
        <v/>
      </c>
      <c r="H141" s="295" t="str">
        <f>IF(E141="","",IF(ISNA(VLOOKUP($E141,'A-1 On-Site Habitat Baseline'!$D$1:$O$258,6,FALSE)),"",(VLOOKUP($E141,'A-1 On-Site Habitat Baseline'!$D$1:$O$258,6,FALSE))))</f>
        <v/>
      </c>
      <c r="I141" s="295" t="str">
        <f>IF(E141="","",IF(ISNA(VLOOKUP($E141,'A-1 On-Site Habitat Baseline'!$D$1:$O$258,7,FALSE)),"",(VLOOKUP($E141,'A-1 On-Site Habitat Baseline'!$D$1:$O$258,7,FALSE))))</f>
        <v/>
      </c>
      <c r="J141" s="295" t="str">
        <f>IF(E141="","",IF(ISNA(VLOOKUP($E141,'A-1 On-Site Habitat Baseline'!$D$1:$O$258,8,FALSE)),"",(VLOOKUP($E141,'A-1 On-Site Habitat Baseline'!$D$1:$O$258,8,FALSE))))</f>
        <v/>
      </c>
      <c r="K141" s="295" t="str">
        <f>IF(E141="","",IF(ISNA(VLOOKUP($E141,'A-1 On-Site Habitat Baseline'!$D$1:$O$258,9,FALSE)),"",(VLOOKUP($E141,'A-1 On-Site Habitat Baseline'!$D$1:$O$258,9,FALSE))))</f>
        <v/>
      </c>
      <c r="L141" s="295" t="str">
        <f>IF(E141="","",IF(ISNA(VLOOKUP($E141,'A-1 On-Site Habitat Baseline'!$D$1:$O$258,11,FALSE)),"",(VLOOKUP($E141,'A-1 On-Site Habitat Baseline'!$D$1:$O$258,11,FALSE))))</f>
        <v/>
      </c>
      <c r="M141" s="295" t="str">
        <f>IF(E141="","",IF(ISNA(VLOOKUP($E141,'A-1 On-Site Habitat Baseline'!$D$1:$O$258,12,FALSE)),"",(VLOOKUP($E141,'A-1 On-Site Habitat Baseline'!$D$1:$O$258,12,FALSE))))</f>
        <v/>
      </c>
      <c r="N141" s="306" t="str">
        <f>IF(E141="","",IF(ISNA(VLOOKUP($E141,'A-1 On-Site Habitat Baseline'!$D$1:$X$258,14,FALSE)),"",(VLOOKUP($E141,'A-1 On-Site Habitat Baseline'!$D$1:$X$258,14,FALSE))))</f>
        <v/>
      </c>
      <c r="O141" s="299" t="str">
        <f>IF(E141="","",IF(ISNA(VLOOKUP($E141,'A-1 On-Site Habitat Baseline'!$D$1:$X$258,16,FALSE)),"",(VLOOKUP($E141,'A-1 On-Site Habitat Baseline'!$D$1:$X$258,13,FALSE))))</f>
        <v/>
      </c>
      <c r="P141" s="154" t="str">
        <f>IFERROR(INDEX('G-1 All Habitats'!$AG$49:$AG$63,MATCH(Q141,'G-1 All Habitats'!$AF$27:$AF$41,0)),"")</f>
        <v/>
      </c>
      <c r="Q141" s="155" t="str">
        <f t="shared" si="24" ref="Q141:Q204">A141</f>
        <v/>
      </c>
      <c r="R141" s="155"/>
      <c r="S141" s="237" t="str">
        <f>IFERROR(INDEX('G-1 All Habitats'!$B$3:$B$135,MATCH(R141,'G-1 All Habitats'!$A$3:$A$135,0)),"")</f>
        <v/>
      </c>
      <c r="T141" s="275" t="str">
        <f t="shared" si="25" ref="T141:T204">IF(E141="","",IF(AND(LEFT(O141,6)="Same d",I141&gt;X141),"Error - Trading rules not satisfied ▲",IF(AND(LEFT(O141,6)="Same b",AND(LEFT(F141,5)&lt;&gt;LEFT(S141,5),I141&gt;X141)),"Error - Trading rules not satisfied ▲",IF(AND(LEFT(O141,6)="Same h",F141&lt;&gt;S141),"Error - Trading rules not satisfied ▲",IF(AND(LEFT(O141,6)="Bespok",F141&lt;&gt;S141,LEFT(F141,27)&lt;&gt;"Woodland and forest - Other"),"Error - Trading rules not satisfied ▲",IF(X141&lt;I141,"Error Trading Down ▲",IF(AND(R141="Littoral seagrass",F141&lt;&gt;"Intertidal sediment - Littoral seagrass",F141&lt;&gt;"Intertidal sediment - Littoral sand"),"Error - Enhancement not possible ▲",IF(AND(R141="Artificial hard structures with integrated greening of grey infrastructure (IGGI)",F141&lt;&gt;"Intertidal hard structures - Artificial hard structures with integrated greening of grey infrastructure (IGGI)",F141&lt;&gt;"Intertidal hard structures - Artificial hard structures",F141&lt;&gt;"Intertidal hard structures - Artificial features of hard structures"),"Error - Enhancement not possible ▲",H141&amp;" - "&amp;W141))))))))</f>
        <v/>
      </c>
      <c r="U141" s="276" t="str">
        <f t="shared" si="26" ref="U141:U204">IF(F141="","",IF(OR(LEFT(F141,27)&lt;&gt;"Woodland and forest - Other",LEFT(S141,8)&lt;&gt;"Woodland"),IF(AND(S141&lt;&gt;F141,AU141="Yes"),"Error you cannot replace an irreplaceable habitat ▲",IF(AND(LEFT(F141,55)&lt;&gt;LEFT(S141,55),T141="High - High"),"Error - Not like for like ▲",IF(AND(I141=X141,K141&gt;Z141),"Error - Can not reduce condition ▲",IF(AND(I141=X141,K141=Z141),"Error - No enhancement ▲",IF(K141&gt;Z141,"Error - condition cannot be reduced ▲",IF(X141&lt;I141,"Error Trading Down ▲",IF(AND(F141&lt;&gt;S141,I141&lt;X141),"Lower Distinctiveness Habitat"&amp;" - "&amp;Y141,J141&amp;" - "&amp;Y141))))))),IF(AND(LEFT(F141,55)&lt;&gt;LEFT(S141,55),T141="High - High"),"Error - Not like for like ▲",IF(AND(I141=X141,K141&gt;Z141),"Error - Can not reduce condition ▲",IF(AND(I141=X141,K141=Z141),"Error - No enhancement ▲",IF(K141&gt;Z141,"Error - condition cannot be reduced ▲",IF(X141&lt;I141,"Error Trading Down ▲",IF(AND(F141&lt;&gt;S141,I141&lt;X141),"Lower Distinctiveness Habitat"&amp;" - "&amp;Y141,J141&amp;" - "&amp;Y141))))))))</f>
        <v/>
      </c>
      <c r="V141" s="311" t="str">
        <f t="shared" si="22"/>
        <v/>
      </c>
      <c r="W141" s="295" t="str">
        <f>IF(S141="","",VLOOKUP(S141,'G-1 All Habitats'!$B$2:$M$135,10,FALSE))</f>
        <v/>
      </c>
      <c r="X141" s="295" t="str">
        <f>IFERROR(VLOOKUP(W141,'G-1 All Habitats'!$V$3:$W$7,2,FALSE),"")</f>
        <v/>
      </c>
      <c r="Y141" s="57"/>
      <c r="Z141" s="299" t="str">
        <f>IFERROR(INDEX('G-8 Condition Look up'!$A$3:$H$135,MATCH(S141,'G-8 Condition Look up'!$A$3:$A$135,0),MATCH(Y141,'G-8 Condition Look up'!$A$3:$H$3,0)),"")</f>
        <v/>
      </c>
      <c r="AA141" s="52"/>
      <c r="AB141" s="295" t="str">
        <f>IF(AA141="","",IF(VLOOKUP(AA141,'G-3 Multipliers'!$L$3:$N$6,2,FALSE)=0,"Spatial Data Missing ⚠",VLOOKUP(AA141,'G-3 Multipliers'!$L$3:$N$6,2,FALSE)))</f>
        <v/>
      </c>
      <c r="AC141" s="299" t="str">
        <f>IF(AA141="","",IF(VLOOKUP(AA141,'G-3 Multipliers'!$L$3:$N$6,3,FALSE)=0,"Spatial Data Missing ⚠",VLOOKUP(AA141,'G-3 Multipliers'!$L$3:$N$6,3,FALSE)))</f>
        <v/>
      </c>
      <c r="AD141" s="313" t="str">
        <f t="shared" si="23"/>
        <v/>
      </c>
      <c r="AE141" s="58"/>
      <c r="AF141" s="58"/>
      <c r="AG141" s="283" t="str">
        <f t="shared" si="27" ref="AG141:AG204">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296" t="str">
        <f t="shared" si="28" ref="AH141:AH204">IF(AG141="Error -both advance and delayed habitat creation ▲","Check Data ⚠",IF(AG141="Check Data ⚠","Check Data ⚠",IF(AD141="","",IF(AD141="Not Possible ▲","Check Data ⚠",IF(AND(AD141="30+",AE141=0),"30+",IF(AND(AD141="30+",AE141="30+"),0,IF(AND(AD141="30+",AE141&lt;30),30-AE141,IF(AD141="30+",30-AE141,IF(AE141&gt;AD141,0,IF(AF141="30+","30+",IF(AD141+AF141&gt;30,"30+",IF(AD141+AF141&gt;30,"30+",IF(AD141-AE141&gt;30,"30+",IF(AD141+AF141-AE141&gt;0,AD141+AF141-AE141,IF(AD141-AE141&gt;0,AD141-AE141,AD141+AF141-AE141)))))))))))))))</f>
        <v/>
      </c>
      <c r="AI141" s="297" t="str">
        <f>IF(AH141="Check Data ⚠","Check Data ⚠",IFERROR(VLOOKUP(AH141,'G-4 Temporal multipliers'!$A$4:$C$36,3,FALSE),""))</f>
        <v/>
      </c>
      <c r="AJ141" s="275" t="str">
        <f>IF(S141="","",VLOOKUP(S141,'G-3 Multipliers'!$A$2:$E$134,4,FALSE))</f>
        <v/>
      </c>
      <c r="AK141" s="283" t="str">
        <f t="shared" si="29" ref="AK141:AK204">IF(E141="","",IF(AG141="Check details - Is there evidence that habitat has reached target condition? ⚠","Low Difficulty - only applicable if all habitat created before losses ⚠","Standard difficulty applied"))</f>
        <v/>
      </c>
      <c r="AL141" s="283" t="str">
        <f t="shared" si="30" ref="AL141:AL204">(IF(AND(AK141="Standard difficulty applied",AD141&gt;AE141),AJ141,IF(AND(AK141="Low Difficulty - only applicable if all habitat created before losses ⚠",AE141&gt;=AD141),"Low",AJ141)))</f>
        <v/>
      </c>
      <c r="AM141" s="314" t="str">
        <f>IFERROR(IF(F141="","",IF(AH141="Check Data ⚠","Check Data ⚠",VLOOKUP(AL141,'G-3 Multipliers'!$P$2:$Q$6,2,FALSE))),"")</f>
        <v/>
      </c>
      <c r="AN141" s="289" t="str">
        <f t="shared" si="31" ref="AN141:AN204">IFERROR(IF(N141="Error - you cannot enhance irreplaceable individual trees ▲","Error - you cannot enhance irreplaceable individual trees ▲",IF(K141&gt;Z141,((((V141*X141*Z141)-(V141*I141*Z141))*(AM141*AI141))+(V141*I141*Z141))*(AC141),((((V141*X141*Z141)-(V141*I141*K141))*(AM141*AI141))+(V141*I141*K141))*(AC141))),"")</f>
        <v/>
      </c>
      <c r="AO141" s="52"/>
      <c r="AP141" s="51"/>
      <c r="AQ141" s="104"/>
      <c r="AT141" s="35" t="str">
        <f t="shared" si="32" ref="AT141:AT204">IF(Q141&lt;&gt;A141,"Yes","No")</f>
        <v>No</v>
      </c>
      <c r="AU141" s="35" t="str">
        <f>IF(E141="","",IF(ISNA(VLOOKUP($E141,'A-1 On-Site Habitat Baseline'!$D$1:$AV$258,4,FALSE)),"",(VLOOKUP($E141,'A-1 On-Site Habitat Baseline'!$D$1:$AV$258,4,FALSE))))</f>
        <v/>
      </c>
    </row>
    <row r="142" spans="1:47" ht="14">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05" t="str">
        <f>'A-1 On-Site Habitat Baseline'!AL141</f>
        <v/>
      </c>
      <c r="F142" s="295" t="str">
        <f>IF(E142="","",IF(ISNA(VLOOKUP($E142,'A-1 On-Site Habitat Baseline'!$D$1:$AV$258,45,FALSE)),"",(VLOOKUP($E142,'A-1 On-Site Habitat Baseline'!$D$1:$AV$258,45,FALSE))))</f>
        <v/>
      </c>
      <c r="G142" s="295" t="str">
        <f>IF(E142="","",IF(ISNA(VLOOKUP($E142,'A-1 On-Site Habitat Baseline'!$D$1:$O$258,5,FALSE)),"",(VLOOKUP($E142,'A-1 On-Site Habitat Baseline'!$D$1:$O$258,5,FALSE))))</f>
        <v/>
      </c>
      <c r="H142" s="295" t="str">
        <f>IF(E142="","",IF(ISNA(VLOOKUP($E142,'A-1 On-Site Habitat Baseline'!$D$1:$O$258,6,FALSE)),"",(VLOOKUP($E142,'A-1 On-Site Habitat Baseline'!$D$1:$O$258,6,FALSE))))</f>
        <v/>
      </c>
      <c r="I142" s="295" t="str">
        <f>IF(E142="","",IF(ISNA(VLOOKUP($E142,'A-1 On-Site Habitat Baseline'!$D$1:$O$258,7,FALSE)),"",(VLOOKUP($E142,'A-1 On-Site Habitat Baseline'!$D$1:$O$258,7,FALSE))))</f>
        <v/>
      </c>
      <c r="J142" s="295" t="str">
        <f>IF(E142="","",IF(ISNA(VLOOKUP($E142,'A-1 On-Site Habitat Baseline'!$D$1:$O$258,8,FALSE)),"",(VLOOKUP($E142,'A-1 On-Site Habitat Baseline'!$D$1:$O$258,8,FALSE))))</f>
        <v/>
      </c>
      <c r="K142" s="295" t="str">
        <f>IF(E142="","",IF(ISNA(VLOOKUP($E142,'A-1 On-Site Habitat Baseline'!$D$1:$O$258,9,FALSE)),"",(VLOOKUP($E142,'A-1 On-Site Habitat Baseline'!$D$1:$O$258,9,FALSE))))</f>
        <v/>
      </c>
      <c r="L142" s="295" t="str">
        <f>IF(E142="","",IF(ISNA(VLOOKUP($E142,'A-1 On-Site Habitat Baseline'!$D$1:$O$258,11,FALSE)),"",(VLOOKUP($E142,'A-1 On-Site Habitat Baseline'!$D$1:$O$258,11,FALSE))))</f>
        <v/>
      </c>
      <c r="M142" s="295" t="str">
        <f>IF(E142="","",IF(ISNA(VLOOKUP($E142,'A-1 On-Site Habitat Baseline'!$D$1:$O$258,12,FALSE)),"",(VLOOKUP($E142,'A-1 On-Site Habitat Baseline'!$D$1:$O$258,12,FALSE))))</f>
        <v/>
      </c>
      <c r="N142" s="306" t="str">
        <f>IF(E142="","",IF(ISNA(VLOOKUP($E142,'A-1 On-Site Habitat Baseline'!$D$1:$X$258,14,FALSE)),"",(VLOOKUP($E142,'A-1 On-Site Habitat Baseline'!$D$1:$X$258,14,FALSE))))</f>
        <v/>
      </c>
      <c r="O142" s="299" t="str">
        <f>IF(E142="","",IF(ISNA(VLOOKUP($E142,'A-1 On-Site Habitat Baseline'!$D$1:$X$258,16,FALSE)),"",(VLOOKUP($E142,'A-1 On-Site Habitat Baseline'!$D$1:$X$258,13,FALSE))))</f>
        <v/>
      </c>
      <c r="P142" s="154" t="str">
        <f>IFERROR(INDEX('G-1 All Habitats'!$AG$49:$AG$63,MATCH(Q142,'G-1 All Habitats'!$AF$27:$AF$41,0)),"")</f>
        <v/>
      </c>
      <c r="Q142" s="155" t="str">
        <f t="shared" si="24"/>
        <v/>
      </c>
      <c r="R142" s="155"/>
      <c r="S142" s="237" t="str">
        <f>IFERROR(INDEX('G-1 All Habitats'!$B$3:$B$135,MATCH(R142,'G-1 All Habitats'!$A$3:$A$135,0)),"")</f>
        <v/>
      </c>
      <c r="T142" s="275" t="str">
        <f t="shared" si="25"/>
        <v/>
      </c>
      <c r="U142" s="276" t="str">
        <f t="shared" si="26"/>
        <v/>
      </c>
      <c r="V142" s="311" t="str">
        <f t="shared" si="22"/>
        <v/>
      </c>
      <c r="W142" s="295" t="str">
        <f>IF(S142="","",VLOOKUP(S142,'G-1 All Habitats'!$B$2:$M$135,10,FALSE))</f>
        <v/>
      </c>
      <c r="X142" s="295" t="str">
        <f>IFERROR(VLOOKUP(W142,'G-1 All Habitats'!$V$3:$W$7,2,FALSE),"")</f>
        <v/>
      </c>
      <c r="Y142" s="57"/>
      <c r="Z142" s="299" t="str">
        <f>IFERROR(INDEX('G-8 Condition Look up'!$A$3:$H$135,MATCH(S142,'G-8 Condition Look up'!$A$3:$A$135,0),MATCH(Y142,'G-8 Condition Look up'!$A$3:$H$3,0)),"")</f>
        <v/>
      </c>
      <c r="AA142" s="52"/>
      <c r="AB142" s="295" t="str">
        <f>IF(AA142="","",IF(VLOOKUP(AA142,'G-3 Multipliers'!$L$3:$N$6,2,FALSE)=0,"Spatial Data Missing ⚠",VLOOKUP(AA142,'G-3 Multipliers'!$L$3:$N$6,2,FALSE)))</f>
        <v/>
      </c>
      <c r="AC142" s="299" t="str">
        <f>IF(AA142="","",IF(VLOOKUP(AA142,'G-3 Multipliers'!$L$3:$N$6,3,FALSE)=0,"Spatial Data Missing ⚠",VLOOKUP(AA142,'G-3 Multipliers'!$L$3:$N$6,3,FALSE)))</f>
        <v/>
      </c>
      <c r="AD142" s="313" t="str">
        <f t="shared" si="23"/>
        <v/>
      </c>
      <c r="AE142" s="58"/>
      <c r="AF142" s="58"/>
      <c r="AG142" s="283" t="str">
        <f t="shared" si="27"/>
        <v/>
      </c>
      <c r="AH142" s="296" t="str">
        <f t="shared" si="28"/>
        <v/>
      </c>
      <c r="AI142" s="297" t="str">
        <f>IF(AH142="Check Data ⚠","Check Data ⚠",IFERROR(VLOOKUP(AH142,'G-4 Temporal multipliers'!$A$4:$C$36,3,FALSE),""))</f>
        <v/>
      </c>
      <c r="AJ142" s="275" t="str">
        <f>IF(S142="","",VLOOKUP(S142,'G-3 Multipliers'!$A$2:$E$134,4,FALSE))</f>
        <v/>
      </c>
      <c r="AK142" s="283" t="str">
        <f t="shared" si="29"/>
        <v/>
      </c>
      <c r="AL142" s="283" t="str">
        <f t="shared" si="30"/>
        <v/>
      </c>
      <c r="AM142" s="314" t="str">
        <f>IFERROR(IF(F142="","",IF(AH142="Check Data ⚠","Check Data ⚠",VLOOKUP(AL142,'G-3 Multipliers'!$P$2:$Q$6,2,FALSE))),"")</f>
        <v/>
      </c>
      <c r="AN142" s="289" t="str">
        <f t="shared" si="31"/>
        <v/>
      </c>
      <c r="AO142" s="52"/>
      <c r="AP142" s="51"/>
      <c r="AQ142" s="104"/>
      <c r="AT142" s="35" t="str">
        <f t="shared" si="32"/>
        <v>No</v>
      </c>
      <c r="AU142" s="35" t="str">
        <f>IF(E142="","",IF(ISNA(VLOOKUP($E142,'A-1 On-Site Habitat Baseline'!$D$1:$AV$258,4,FALSE)),"",(VLOOKUP($E142,'A-1 On-Site Habitat Baseline'!$D$1:$AV$258,4,FALSE))))</f>
        <v/>
      </c>
    </row>
    <row r="143" spans="1:47" ht="14">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05" t="str">
        <f>'A-1 On-Site Habitat Baseline'!AL142</f>
        <v/>
      </c>
      <c r="F143" s="295" t="str">
        <f>IF(E143="","",IF(ISNA(VLOOKUP($E143,'A-1 On-Site Habitat Baseline'!$D$1:$AV$258,45,FALSE)),"",(VLOOKUP($E143,'A-1 On-Site Habitat Baseline'!$D$1:$AV$258,45,FALSE))))</f>
        <v/>
      </c>
      <c r="G143" s="295" t="str">
        <f>IF(E143="","",IF(ISNA(VLOOKUP($E143,'A-1 On-Site Habitat Baseline'!$D$1:$O$258,5,FALSE)),"",(VLOOKUP($E143,'A-1 On-Site Habitat Baseline'!$D$1:$O$258,5,FALSE))))</f>
        <v/>
      </c>
      <c r="H143" s="295" t="str">
        <f>IF(E143="","",IF(ISNA(VLOOKUP($E143,'A-1 On-Site Habitat Baseline'!$D$1:$O$258,6,FALSE)),"",(VLOOKUP($E143,'A-1 On-Site Habitat Baseline'!$D$1:$O$258,6,FALSE))))</f>
        <v/>
      </c>
      <c r="I143" s="295" t="str">
        <f>IF(E143="","",IF(ISNA(VLOOKUP($E143,'A-1 On-Site Habitat Baseline'!$D$1:$O$258,7,FALSE)),"",(VLOOKUP($E143,'A-1 On-Site Habitat Baseline'!$D$1:$O$258,7,FALSE))))</f>
        <v/>
      </c>
      <c r="J143" s="295" t="str">
        <f>IF(E143="","",IF(ISNA(VLOOKUP($E143,'A-1 On-Site Habitat Baseline'!$D$1:$O$258,8,FALSE)),"",(VLOOKUP($E143,'A-1 On-Site Habitat Baseline'!$D$1:$O$258,8,FALSE))))</f>
        <v/>
      </c>
      <c r="K143" s="295" t="str">
        <f>IF(E143="","",IF(ISNA(VLOOKUP($E143,'A-1 On-Site Habitat Baseline'!$D$1:$O$258,9,FALSE)),"",(VLOOKUP($E143,'A-1 On-Site Habitat Baseline'!$D$1:$O$258,9,FALSE))))</f>
        <v/>
      </c>
      <c r="L143" s="295" t="str">
        <f>IF(E143="","",IF(ISNA(VLOOKUP($E143,'A-1 On-Site Habitat Baseline'!$D$1:$O$258,11,FALSE)),"",(VLOOKUP($E143,'A-1 On-Site Habitat Baseline'!$D$1:$O$258,11,FALSE))))</f>
        <v/>
      </c>
      <c r="M143" s="295" t="str">
        <f>IF(E143="","",IF(ISNA(VLOOKUP($E143,'A-1 On-Site Habitat Baseline'!$D$1:$O$258,12,FALSE)),"",(VLOOKUP($E143,'A-1 On-Site Habitat Baseline'!$D$1:$O$258,12,FALSE))))</f>
        <v/>
      </c>
      <c r="N143" s="306" t="str">
        <f>IF(E143="","",IF(ISNA(VLOOKUP($E143,'A-1 On-Site Habitat Baseline'!$D$1:$X$258,14,FALSE)),"",(VLOOKUP($E143,'A-1 On-Site Habitat Baseline'!$D$1:$X$258,14,FALSE))))</f>
        <v/>
      </c>
      <c r="O143" s="299" t="str">
        <f>IF(E143="","",IF(ISNA(VLOOKUP($E143,'A-1 On-Site Habitat Baseline'!$D$1:$X$258,16,FALSE)),"",(VLOOKUP($E143,'A-1 On-Site Habitat Baseline'!$D$1:$X$258,13,FALSE))))</f>
        <v/>
      </c>
      <c r="P143" s="154" t="str">
        <f>IFERROR(INDEX('G-1 All Habitats'!$AG$49:$AG$63,MATCH(Q143,'G-1 All Habitats'!$AF$27:$AF$41,0)),"")</f>
        <v/>
      </c>
      <c r="Q143" s="155" t="str">
        <f t="shared" si="24"/>
        <v/>
      </c>
      <c r="R143" s="155"/>
      <c r="S143" s="237" t="str">
        <f>IFERROR(INDEX('G-1 All Habitats'!$B$3:$B$135,MATCH(R143,'G-1 All Habitats'!$A$3:$A$135,0)),"")</f>
        <v/>
      </c>
      <c r="T143" s="275" t="str">
        <f t="shared" si="25"/>
        <v/>
      </c>
      <c r="U143" s="276" t="str">
        <f t="shared" si="26"/>
        <v/>
      </c>
      <c r="V143" s="311" t="str">
        <f t="shared" si="22"/>
        <v/>
      </c>
      <c r="W143" s="295" t="str">
        <f>IF(S143="","",VLOOKUP(S143,'G-1 All Habitats'!$B$2:$M$135,10,FALSE))</f>
        <v/>
      </c>
      <c r="X143" s="295" t="str">
        <f>IFERROR(VLOOKUP(W143,'G-1 All Habitats'!$V$3:$W$7,2,FALSE),"")</f>
        <v/>
      </c>
      <c r="Y143" s="57"/>
      <c r="Z143" s="299" t="str">
        <f>IFERROR(INDEX('G-8 Condition Look up'!$A$3:$H$135,MATCH(S143,'G-8 Condition Look up'!$A$3:$A$135,0),MATCH(Y143,'G-8 Condition Look up'!$A$3:$H$3,0)),"")</f>
        <v/>
      </c>
      <c r="AA143" s="52"/>
      <c r="AB143" s="295" t="str">
        <f>IF(AA143="","",IF(VLOOKUP(AA143,'G-3 Multipliers'!$L$3:$N$6,2,FALSE)=0,"Spatial Data Missing ⚠",VLOOKUP(AA143,'G-3 Multipliers'!$L$3:$N$6,2,FALSE)))</f>
        <v/>
      </c>
      <c r="AC143" s="299" t="str">
        <f>IF(AA143="","",IF(VLOOKUP(AA143,'G-3 Multipliers'!$L$3:$N$6,3,FALSE)=0,"Spatial Data Missing ⚠",VLOOKUP(AA143,'G-3 Multipliers'!$L$3:$N$6,3,FALSE)))</f>
        <v/>
      </c>
      <c r="AD143" s="313" t="str">
        <f t="shared" si="23"/>
        <v/>
      </c>
      <c r="AE143" s="58"/>
      <c r="AF143" s="58"/>
      <c r="AG143" s="283" t="str">
        <f t="shared" si="27"/>
        <v/>
      </c>
      <c r="AH143" s="296" t="str">
        <f t="shared" si="28"/>
        <v/>
      </c>
      <c r="AI143" s="297" t="str">
        <f>IF(AH143="Check Data ⚠","Check Data ⚠",IFERROR(VLOOKUP(AH143,'G-4 Temporal multipliers'!$A$4:$C$36,3,FALSE),""))</f>
        <v/>
      </c>
      <c r="AJ143" s="275" t="str">
        <f>IF(S143="","",VLOOKUP(S143,'G-3 Multipliers'!$A$2:$E$134,4,FALSE))</f>
        <v/>
      </c>
      <c r="AK143" s="283" t="str">
        <f t="shared" si="29"/>
        <v/>
      </c>
      <c r="AL143" s="283" t="str">
        <f t="shared" si="30"/>
        <v/>
      </c>
      <c r="AM143" s="314" t="str">
        <f>IFERROR(IF(F143="","",IF(AH143="Check Data ⚠","Check Data ⚠",VLOOKUP(AL143,'G-3 Multipliers'!$P$2:$Q$6,2,FALSE))),"")</f>
        <v/>
      </c>
      <c r="AN143" s="289" t="str">
        <f t="shared" si="31"/>
        <v/>
      </c>
      <c r="AO143" s="52"/>
      <c r="AP143" s="51"/>
      <c r="AQ143" s="104"/>
      <c r="AT143" s="35" t="str">
        <f t="shared" si="32"/>
        <v>No</v>
      </c>
      <c r="AU143" s="35" t="str">
        <f>IF(E143="","",IF(ISNA(VLOOKUP($E143,'A-1 On-Site Habitat Baseline'!$D$1:$AV$258,4,FALSE)),"",(VLOOKUP($E143,'A-1 On-Site Habitat Baseline'!$D$1:$AV$258,4,FALSE))))</f>
        <v/>
      </c>
    </row>
    <row r="144" spans="1:47" ht="14">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05" t="str">
        <f>'A-1 On-Site Habitat Baseline'!AL143</f>
        <v/>
      </c>
      <c r="F144" s="295" t="str">
        <f>IF(E144="","",IF(ISNA(VLOOKUP($E144,'A-1 On-Site Habitat Baseline'!$D$1:$AV$258,45,FALSE)),"",(VLOOKUP($E144,'A-1 On-Site Habitat Baseline'!$D$1:$AV$258,45,FALSE))))</f>
        <v/>
      </c>
      <c r="G144" s="295" t="str">
        <f>IF(E144="","",IF(ISNA(VLOOKUP($E144,'A-1 On-Site Habitat Baseline'!$D$1:$O$258,5,FALSE)),"",(VLOOKUP($E144,'A-1 On-Site Habitat Baseline'!$D$1:$O$258,5,FALSE))))</f>
        <v/>
      </c>
      <c r="H144" s="295" t="str">
        <f>IF(E144="","",IF(ISNA(VLOOKUP($E144,'A-1 On-Site Habitat Baseline'!$D$1:$O$258,6,FALSE)),"",(VLOOKUP($E144,'A-1 On-Site Habitat Baseline'!$D$1:$O$258,6,FALSE))))</f>
        <v/>
      </c>
      <c r="I144" s="295" t="str">
        <f>IF(E144="","",IF(ISNA(VLOOKUP($E144,'A-1 On-Site Habitat Baseline'!$D$1:$O$258,7,FALSE)),"",(VLOOKUP($E144,'A-1 On-Site Habitat Baseline'!$D$1:$O$258,7,FALSE))))</f>
        <v/>
      </c>
      <c r="J144" s="295" t="str">
        <f>IF(E144="","",IF(ISNA(VLOOKUP($E144,'A-1 On-Site Habitat Baseline'!$D$1:$O$258,8,FALSE)),"",(VLOOKUP($E144,'A-1 On-Site Habitat Baseline'!$D$1:$O$258,8,FALSE))))</f>
        <v/>
      </c>
      <c r="K144" s="295" t="str">
        <f>IF(E144="","",IF(ISNA(VLOOKUP($E144,'A-1 On-Site Habitat Baseline'!$D$1:$O$258,9,FALSE)),"",(VLOOKUP($E144,'A-1 On-Site Habitat Baseline'!$D$1:$O$258,9,FALSE))))</f>
        <v/>
      </c>
      <c r="L144" s="295" t="str">
        <f>IF(E144="","",IF(ISNA(VLOOKUP($E144,'A-1 On-Site Habitat Baseline'!$D$1:$O$258,11,FALSE)),"",(VLOOKUP($E144,'A-1 On-Site Habitat Baseline'!$D$1:$O$258,11,FALSE))))</f>
        <v/>
      </c>
      <c r="M144" s="295" t="str">
        <f>IF(E144="","",IF(ISNA(VLOOKUP($E144,'A-1 On-Site Habitat Baseline'!$D$1:$O$258,12,FALSE)),"",(VLOOKUP($E144,'A-1 On-Site Habitat Baseline'!$D$1:$O$258,12,FALSE))))</f>
        <v/>
      </c>
      <c r="N144" s="306" t="str">
        <f>IF(E144="","",IF(ISNA(VLOOKUP($E144,'A-1 On-Site Habitat Baseline'!$D$1:$X$258,14,FALSE)),"",(VLOOKUP($E144,'A-1 On-Site Habitat Baseline'!$D$1:$X$258,14,FALSE))))</f>
        <v/>
      </c>
      <c r="O144" s="299" t="str">
        <f>IF(E144="","",IF(ISNA(VLOOKUP($E144,'A-1 On-Site Habitat Baseline'!$D$1:$X$258,16,FALSE)),"",(VLOOKUP($E144,'A-1 On-Site Habitat Baseline'!$D$1:$X$258,13,FALSE))))</f>
        <v/>
      </c>
      <c r="P144" s="154" t="str">
        <f>IFERROR(INDEX('G-1 All Habitats'!$AG$49:$AG$63,MATCH(Q144,'G-1 All Habitats'!$AF$27:$AF$41,0)),"")</f>
        <v/>
      </c>
      <c r="Q144" s="155" t="str">
        <f t="shared" si="24"/>
        <v/>
      </c>
      <c r="R144" s="155"/>
      <c r="S144" s="237" t="str">
        <f>IFERROR(INDEX('G-1 All Habitats'!$B$3:$B$135,MATCH(R144,'G-1 All Habitats'!$A$3:$A$135,0)),"")</f>
        <v/>
      </c>
      <c r="T144" s="275" t="str">
        <f t="shared" si="25"/>
        <v/>
      </c>
      <c r="U144" s="276" t="str">
        <f t="shared" si="26"/>
        <v/>
      </c>
      <c r="V144" s="311" t="str">
        <f t="shared" si="22"/>
        <v/>
      </c>
      <c r="W144" s="295" t="str">
        <f>IF(S144="","",VLOOKUP(S144,'G-1 All Habitats'!$B$2:$M$135,10,FALSE))</f>
        <v/>
      </c>
      <c r="X144" s="295" t="str">
        <f>IFERROR(VLOOKUP(W144,'G-1 All Habitats'!$V$3:$W$7,2,FALSE),"")</f>
        <v/>
      </c>
      <c r="Y144" s="57"/>
      <c r="Z144" s="299" t="str">
        <f>IFERROR(INDEX('G-8 Condition Look up'!$A$3:$H$135,MATCH(S144,'G-8 Condition Look up'!$A$3:$A$135,0),MATCH(Y144,'G-8 Condition Look up'!$A$3:$H$3,0)),"")</f>
        <v/>
      </c>
      <c r="AA144" s="52"/>
      <c r="AB144" s="295" t="str">
        <f>IF(AA144="","",IF(VLOOKUP(AA144,'G-3 Multipliers'!$L$3:$N$6,2,FALSE)=0,"Spatial Data Missing ⚠",VLOOKUP(AA144,'G-3 Multipliers'!$L$3:$N$6,2,FALSE)))</f>
        <v/>
      </c>
      <c r="AC144" s="299" t="str">
        <f>IF(AA144="","",IF(VLOOKUP(AA144,'G-3 Multipliers'!$L$3:$N$6,3,FALSE)=0,"Spatial Data Missing ⚠",VLOOKUP(AA144,'G-3 Multipliers'!$L$3:$N$6,3,FALSE)))</f>
        <v/>
      </c>
      <c r="AD144" s="313" t="str">
        <f t="shared" si="23"/>
        <v/>
      </c>
      <c r="AE144" s="58"/>
      <c r="AF144" s="58"/>
      <c r="AG144" s="283" t="str">
        <f t="shared" si="27"/>
        <v/>
      </c>
      <c r="AH144" s="296" t="str">
        <f t="shared" si="28"/>
        <v/>
      </c>
      <c r="AI144" s="297" t="str">
        <f>IF(AH144="Check Data ⚠","Check Data ⚠",IFERROR(VLOOKUP(AH144,'G-4 Temporal multipliers'!$A$4:$C$36,3,FALSE),""))</f>
        <v/>
      </c>
      <c r="AJ144" s="275" t="str">
        <f>IF(S144="","",VLOOKUP(S144,'G-3 Multipliers'!$A$2:$E$134,4,FALSE))</f>
        <v/>
      </c>
      <c r="AK144" s="283" t="str">
        <f t="shared" si="29"/>
        <v/>
      </c>
      <c r="AL144" s="283" t="str">
        <f t="shared" si="30"/>
        <v/>
      </c>
      <c r="AM144" s="314" t="str">
        <f>IFERROR(IF(F144="","",IF(AH144="Check Data ⚠","Check Data ⚠",VLOOKUP(AL144,'G-3 Multipliers'!$P$2:$Q$6,2,FALSE))),"")</f>
        <v/>
      </c>
      <c r="AN144" s="289" t="str">
        <f t="shared" si="31"/>
        <v/>
      </c>
      <c r="AO144" s="52"/>
      <c r="AP144" s="51"/>
      <c r="AQ144" s="104"/>
      <c r="AT144" s="35" t="str">
        <f t="shared" si="32"/>
        <v>No</v>
      </c>
      <c r="AU144" s="35" t="str">
        <f>IF(E144="","",IF(ISNA(VLOOKUP($E144,'A-1 On-Site Habitat Baseline'!$D$1:$AV$258,4,FALSE)),"",(VLOOKUP($E144,'A-1 On-Site Habitat Baseline'!$D$1:$AV$258,4,FALSE))))</f>
        <v/>
      </c>
    </row>
    <row r="145" spans="1:47" ht="14">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05" t="str">
        <f>'A-1 On-Site Habitat Baseline'!AL144</f>
        <v/>
      </c>
      <c r="F145" s="295" t="str">
        <f>IF(E145="","",IF(ISNA(VLOOKUP($E145,'A-1 On-Site Habitat Baseline'!$D$1:$AV$258,45,FALSE)),"",(VLOOKUP($E145,'A-1 On-Site Habitat Baseline'!$D$1:$AV$258,45,FALSE))))</f>
        <v/>
      </c>
      <c r="G145" s="295" t="str">
        <f>IF(E145="","",IF(ISNA(VLOOKUP($E145,'A-1 On-Site Habitat Baseline'!$D$1:$O$258,5,FALSE)),"",(VLOOKUP($E145,'A-1 On-Site Habitat Baseline'!$D$1:$O$258,5,FALSE))))</f>
        <v/>
      </c>
      <c r="H145" s="295" t="str">
        <f>IF(E145="","",IF(ISNA(VLOOKUP($E145,'A-1 On-Site Habitat Baseline'!$D$1:$O$258,6,FALSE)),"",(VLOOKUP($E145,'A-1 On-Site Habitat Baseline'!$D$1:$O$258,6,FALSE))))</f>
        <v/>
      </c>
      <c r="I145" s="295" t="str">
        <f>IF(E145="","",IF(ISNA(VLOOKUP($E145,'A-1 On-Site Habitat Baseline'!$D$1:$O$258,7,FALSE)),"",(VLOOKUP($E145,'A-1 On-Site Habitat Baseline'!$D$1:$O$258,7,FALSE))))</f>
        <v/>
      </c>
      <c r="J145" s="295" t="str">
        <f>IF(E145="","",IF(ISNA(VLOOKUP($E145,'A-1 On-Site Habitat Baseline'!$D$1:$O$258,8,FALSE)),"",(VLOOKUP($E145,'A-1 On-Site Habitat Baseline'!$D$1:$O$258,8,FALSE))))</f>
        <v/>
      </c>
      <c r="K145" s="295" t="str">
        <f>IF(E145="","",IF(ISNA(VLOOKUP($E145,'A-1 On-Site Habitat Baseline'!$D$1:$O$258,9,FALSE)),"",(VLOOKUP($E145,'A-1 On-Site Habitat Baseline'!$D$1:$O$258,9,FALSE))))</f>
        <v/>
      </c>
      <c r="L145" s="295" t="str">
        <f>IF(E145="","",IF(ISNA(VLOOKUP($E145,'A-1 On-Site Habitat Baseline'!$D$1:$O$258,11,FALSE)),"",(VLOOKUP($E145,'A-1 On-Site Habitat Baseline'!$D$1:$O$258,11,FALSE))))</f>
        <v/>
      </c>
      <c r="M145" s="295" t="str">
        <f>IF(E145="","",IF(ISNA(VLOOKUP($E145,'A-1 On-Site Habitat Baseline'!$D$1:$O$258,12,FALSE)),"",(VLOOKUP($E145,'A-1 On-Site Habitat Baseline'!$D$1:$O$258,12,FALSE))))</f>
        <v/>
      </c>
      <c r="N145" s="306" t="str">
        <f>IF(E145="","",IF(ISNA(VLOOKUP($E145,'A-1 On-Site Habitat Baseline'!$D$1:$X$258,14,FALSE)),"",(VLOOKUP($E145,'A-1 On-Site Habitat Baseline'!$D$1:$X$258,14,FALSE))))</f>
        <v/>
      </c>
      <c r="O145" s="299" t="str">
        <f>IF(E145="","",IF(ISNA(VLOOKUP($E145,'A-1 On-Site Habitat Baseline'!$D$1:$X$258,16,FALSE)),"",(VLOOKUP($E145,'A-1 On-Site Habitat Baseline'!$D$1:$X$258,13,FALSE))))</f>
        <v/>
      </c>
      <c r="P145" s="154" t="str">
        <f>IFERROR(INDEX('G-1 All Habitats'!$AG$49:$AG$63,MATCH(Q145,'G-1 All Habitats'!$AF$27:$AF$41,0)),"")</f>
        <v/>
      </c>
      <c r="Q145" s="155" t="str">
        <f t="shared" si="24"/>
        <v/>
      </c>
      <c r="R145" s="155"/>
      <c r="S145" s="237" t="str">
        <f>IFERROR(INDEX('G-1 All Habitats'!$B$3:$B$135,MATCH(R145,'G-1 All Habitats'!$A$3:$A$135,0)),"")</f>
        <v/>
      </c>
      <c r="T145" s="275" t="str">
        <f t="shared" si="25"/>
        <v/>
      </c>
      <c r="U145" s="276" t="str">
        <f t="shared" si="26"/>
        <v/>
      </c>
      <c r="V145" s="311" t="str">
        <f t="shared" si="22"/>
        <v/>
      </c>
      <c r="W145" s="295" t="str">
        <f>IF(S145="","",VLOOKUP(S145,'G-1 All Habitats'!$B$2:$M$135,10,FALSE))</f>
        <v/>
      </c>
      <c r="X145" s="295" t="str">
        <f>IFERROR(VLOOKUP(W145,'G-1 All Habitats'!$V$3:$W$7,2,FALSE),"")</f>
        <v/>
      </c>
      <c r="Y145" s="57"/>
      <c r="Z145" s="299" t="str">
        <f>IFERROR(INDEX('G-8 Condition Look up'!$A$3:$H$135,MATCH(S145,'G-8 Condition Look up'!$A$3:$A$135,0),MATCH(Y145,'G-8 Condition Look up'!$A$3:$H$3,0)),"")</f>
        <v/>
      </c>
      <c r="AA145" s="52"/>
      <c r="AB145" s="295" t="str">
        <f>IF(AA145="","",IF(VLOOKUP(AA145,'G-3 Multipliers'!$L$3:$N$6,2,FALSE)=0,"Spatial Data Missing ⚠",VLOOKUP(AA145,'G-3 Multipliers'!$L$3:$N$6,2,FALSE)))</f>
        <v/>
      </c>
      <c r="AC145" s="299" t="str">
        <f>IF(AA145="","",IF(VLOOKUP(AA145,'G-3 Multipliers'!$L$3:$N$6,3,FALSE)=0,"Spatial Data Missing ⚠",VLOOKUP(AA145,'G-3 Multipliers'!$L$3:$N$6,3,FALSE)))</f>
        <v/>
      </c>
      <c r="AD145" s="313" t="str">
        <f t="shared" si="23"/>
        <v/>
      </c>
      <c r="AE145" s="58"/>
      <c r="AF145" s="58"/>
      <c r="AG145" s="283" t="str">
        <f t="shared" si="27"/>
        <v/>
      </c>
      <c r="AH145" s="296" t="str">
        <f t="shared" si="28"/>
        <v/>
      </c>
      <c r="AI145" s="297" t="str">
        <f>IF(AH145="Check Data ⚠","Check Data ⚠",IFERROR(VLOOKUP(AH145,'G-4 Temporal multipliers'!$A$4:$C$36,3,FALSE),""))</f>
        <v/>
      </c>
      <c r="AJ145" s="275" t="str">
        <f>IF(S145="","",VLOOKUP(S145,'G-3 Multipliers'!$A$2:$E$134,4,FALSE))</f>
        <v/>
      </c>
      <c r="AK145" s="283" t="str">
        <f t="shared" si="29"/>
        <v/>
      </c>
      <c r="AL145" s="283" t="str">
        <f t="shared" si="30"/>
        <v/>
      </c>
      <c r="AM145" s="314" t="str">
        <f>IFERROR(IF(F145="","",IF(AH145="Check Data ⚠","Check Data ⚠",VLOOKUP(AL145,'G-3 Multipliers'!$P$2:$Q$6,2,FALSE))),"")</f>
        <v/>
      </c>
      <c r="AN145" s="289" t="str">
        <f t="shared" si="31"/>
        <v/>
      </c>
      <c r="AO145" s="52"/>
      <c r="AP145" s="51"/>
      <c r="AQ145" s="104"/>
      <c r="AT145" s="35" t="str">
        <f t="shared" si="32"/>
        <v>No</v>
      </c>
      <c r="AU145" s="35" t="str">
        <f>IF(E145="","",IF(ISNA(VLOOKUP($E145,'A-1 On-Site Habitat Baseline'!$D$1:$AV$258,4,FALSE)),"",(VLOOKUP($E145,'A-1 On-Site Habitat Baseline'!$D$1:$AV$258,4,FALSE))))</f>
        <v/>
      </c>
    </row>
    <row r="146" spans="1:47" ht="14">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05" t="str">
        <f>'A-1 On-Site Habitat Baseline'!AL145</f>
        <v/>
      </c>
      <c r="F146" s="295" t="str">
        <f>IF(E146="","",IF(ISNA(VLOOKUP($E146,'A-1 On-Site Habitat Baseline'!$D$1:$AV$258,45,FALSE)),"",(VLOOKUP($E146,'A-1 On-Site Habitat Baseline'!$D$1:$AV$258,45,FALSE))))</f>
        <v/>
      </c>
      <c r="G146" s="295" t="str">
        <f>IF(E146="","",IF(ISNA(VLOOKUP($E146,'A-1 On-Site Habitat Baseline'!$D$1:$O$258,5,FALSE)),"",(VLOOKUP($E146,'A-1 On-Site Habitat Baseline'!$D$1:$O$258,5,FALSE))))</f>
        <v/>
      </c>
      <c r="H146" s="295" t="str">
        <f>IF(E146="","",IF(ISNA(VLOOKUP($E146,'A-1 On-Site Habitat Baseline'!$D$1:$O$258,6,FALSE)),"",(VLOOKUP($E146,'A-1 On-Site Habitat Baseline'!$D$1:$O$258,6,FALSE))))</f>
        <v/>
      </c>
      <c r="I146" s="295" t="str">
        <f>IF(E146="","",IF(ISNA(VLOOKUP($E146,'A-1 On-Site Habitat Baseline'!$D$1:$O$258,7,FALSE)),"",(VLOOKUP($E146,'A-1 On-Site Habitat Baseline'!$D$1:$O$258,7,FALSE))))</f>
        <v/>
      </c>
      <c r="J146" s="295" t="str">
        <f>IF(E146="","",IF(ISNA(VLOOKUP($E146,'A-1 On-Site Habitat Baseline'!$D$1:$O$258,8,FALSE)),"",(VLOOKUP($E146,'A-1 On-Site Habitat Baseline'!$D$1:$O$258,8,FALSE))))</f>
        <v/>
      </c>
      <c r="K146" s="295" t="str">
        <f>IF(E146="","",IF(ISNA(VLOOKUP($E146,'A-1 On-Site Habitat Baseline'!$D$1:$O$258,9,FALSE)),"",(VLOOKUP($E146,'A-1 On-Site Habitat Baseline'!$D$1:$O$258,9,FALSE))))</f>
        <v/>
      </c>
      <c r="L146" s="295" t="str">
        <f>IF(E146="","",IF(ISNA(VLOOKUP($E146,'A-1 On-Site Habitat Baseline'!$D$1:$O$258,11,FALSE)),"",(VLOOKUP($E146,'A-1 On-Site Habitat Baseline'!$D$1:$O$258,11,FALSE))))</f>
        <v/>
      </c>
      <c r="M146" s="295" t="str">
        <f>IF(E146="","",IF(ISNA(VLOOKUP($E146,'A-1 On-Site Habitat Baseline'!$D$1:$O$258,12,FALSE)),"",(VLOOKUP($E146,'A-1 On-Site Habitat Baseline'!$D$1:$O$258,12,FALSE))))</f>
        <v/>
      </c>
      <c r="N146" s="306" t="str">
        <f>IF(E146="","",IF(ISNA(VLOOKUP($E146,'A-1 On-Site Habitat Baseline'!$D$1:$X$258,14,FALSE)),"",(VLOOKUP($E146,'A-1 On-Site Habitat Baseline'!$D$1:$X$258,14,FALSE))))</f>
        <v/>
      </c>
      <c r="O146" s="299" t="str">
        <f>IF(E146="","",IF(ISNA(VLOOKUP($E146,'A-1 On-Site Habitat Baseline'!$D$1:$X$258,16,FALSE)),"",(VLOOKUP($E146,'A-1 On-Site Habitat Baseline'!$D$1:$X$258,13,FALSE))))</f>
        <v/>
      </c>
      <c r="P146" s="154" t="str">
        <f>IFERROR(INDEX('G-1 All Habitats'!$AG$49:$AG$63,MATCH(Q146,'G-1 All Habitats'!$AF$27:$AF$41,0)),"")</f>
        <v/>
      </c>
      <c r="Q146" s="155" t="str">
        <f t="shared" si="24"/>
        <v/>
      </c>
      <c r="R146" s="155"/>
      <c r="S146" s="237" t="str">
        <f>IFERROR(INDEX('G-1 All Habitats'!$B$3:$B$135,MATCH(R146,'G-1 All Habitats'!$A$3:$A$135,0)),"")</f>
        <v/>
      </c>
      <c r="T146" s="275" t="str">
        <f t="shared" si="25"/>
        <v/>
      </c>
      <c r="U146" s="276" t="str">
        <f t="shared" si="26"/>
        <v/>
      </c>
      <c r="V146" s="311" t="str">
        <f t="shared" si="22"/>
        <v/>
      </c>
      <c r="W146" s="295" t="str">
        <f>IF(S146="","",VLOOKUP(S146,'G-1 All Habitats'!$B$2:$M$135,10,FALSE))</f>
        <v/>
      </c>
      <c r="X146" s="295" t="str">
        <f>IFERROR(VLOOKUP(W146,'G-1 All Habitats'!$V$3:$W$7,2,FALSE),"")</f>
        <v/>
      </c>
      <c r="Y146" s="57"/>
      <c r="Z146" s="299" t="str">
        <f>IFERROR(INDEX('G-8 Condition Look up'!$A$3:$H$135,MATCH(S146,'G-8 Condition Look up'!$A$3:$A$135,0),MATCH(Y146,'G-8 Condition Look up'!$A$3:$H$3,0)),"")</f>
        <v/>
      </c>
      <c r="AA146" s="52"/>
      <c r="AB146" s="295" t="str">
        <f>IF(AA146="","",IF(VLOOKUP(AA146,'G-3 Multipliers'!$L$3:$N$6,2,FALSE)=0,"Spatial Data Missing ⚠",VLOOKUP(AA146,'G-3 Multipliers'!$L$3:$N$6,2,FALSE)))</f>
        <v/>
      </c>
      <c r="AC146" s="299" t="str">
        <f>IF(AA146="","",IF(VLOOKUP(AA146,'G-3 Multipliers'!$L$3:$N$6,3,FALSE)=0,"Spatial Data Missing ⚠",VLOOKUP(AA146,'G-3 Multipliers'!$L$3:$N$6,3,FALSE)))</f>
        <v/>
      </c>
      <c r="AD146" s="313" t="str">
        <f t="shared" si="23"/>
        <v/>
      </c>
      <c r="AE146" s="58"/>
      <c r="AF146" s="58"/>
      <c r="AG146" s="283" t="str">
        <f t="shared" si="27"/>
        <v/>
      </c>
      <c r="AH146" s="296" t="str">
        <f t="shared" si="28"/>
        <v/>
      </c>
      <c r="AI146" s="297" t="str">
        <f>IF(AH146="Check Data ⚠","Check Data ⚠",IFERROR(VLOOKUP(AH146,'G-4 Temporal multipliers'!$A$4:$C$36,3,FALSE),""))</f>
        <v/>
      </c>
      <c r="AJ146" s="275" t="str">
        <f>IF(S146="","",VLOOKUP(S146,'G-3 Multipliers'!$A$2:$E$134,4,FALSE))</f>
        <v/>
      </c>
      <c r="AK146" s="283" t="str">
        <f t="shared" si="29"/>
        <v/>
      </c>
      <c r="AL146" s="283" t="str">
        <f t="shared" si="30"/>
        <v/>
      </c>
      <c r="AM146" s="314" t="str">
        <f>IFERROR(IF(F146="","",IF(AH146="Check Data ⚠","Check Data ⚠",VLOOKUP(AL146,'G-3 Multipliers'!$P$2:$Q$6,2,FALSE))),"")</f>
        <v/>
      </c>
      <c r="AN146" s="289" t="str">
        <f t="shared" si="31"/>
        <v/>
      </c>
      <c r="AO146" s="52"/>
      <c r="AP146" s="51"/>
      <c r="AQ146" s="104"/>
      <c r="AT146" s="35" t="str">
        <f t="shared" si="32"/>
        <v>No</v>
      </c>
      <c r="AU146" s="35" t="str">
        <f>IF(E146="","",IF(ISNA(VLOOKUP($E146,'A-1 On-Site Habitat Baseline'!$D$1:$AV$258,4,FALSE)),"",(VLOOKUP($E146,'A-1 On-Site Habitat Baseline'!$D$1:$AV$258,4,FALSE))))</f>
        <v/>
      </c>
    </row>
    <row r="147" spans="1:47" ht="14">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05" t="str">
        <f>'A-1 On-Site Habitat Baseline'!AL146</f>
        <v/>
      </c>
      <c r="F147" s="295" t="str">
        <f>IF(E147="","",IF(ISNA(VLOOKUP($E147,'A-1 On-Site Habitat Baseline'!$D$1:$AV$258,45,FALSE)),"",(VLOOKUP($E147,'A-1 On-Site Habitat Baseline'!$D$1:$AV$258,45,FALSE))))</f>
        <v/>
      </c>
      <c r="G147" s="295" t="str">
        <f>IF(E147="","",IF(ISNA(VLOOKUP($E147,'A-1 On-Site Habitat Baseline'!$D$1:$O$258,5,FALSE)),"",(VLOOKUP($E147,'A-1 On-Site Habitat Baseline'!$D$1:$O$258,5,FALSE))))</f>
        <v/>
      </c>
      <c r="H147" s="295" t="str">
        <f>IF(E147="","",IF(ISNA(VLOOKUP($E147,'A-1 On-Site Habitat Baseline'!$D$1:$O$258,6,FALSE)),"",(VLOOKUP($E147,'A-1 On-Site Habitat Baseline'!$D$1:$O$258,6,FALSE))))</f>
        <v/>
      </c>
      <c r="I147" s="295" t="str">
        <f>IF(E147="","",IF(ISNA(VLOOKUP($E147,'A-1 On-Site Habitat Baseline'!$D$1:$O$258,7,FALSE)),"",(VLOOKUP($E147,'A-1 On-Site Habitat Baseline'!$D$1:$O$258,7,FALSE))))</f>
        <v/>
      </c>
      <c r="J147" s="295" t="str">
        <f>IF(E147="","",IF(ISNA(VLOOKUP($E147,'A-1 On-Site Habitat Baseline'!$D$1:$O$258,8,FALSE)),"",(VLOOKUP($E147,'A-1 On-Site Habitat Baseline'!$D$1:$O$258,8,FALSE))))</f>
        <v/>
      </c>
      <c r="K147" s="295" t="str">
        <f>IF(E147="","",IF(ISNA(VLOOKUP($E147,'A-1 On-Site Habitat Baseline'!$D$1:$O$258,9,FALSE)),"",(VLOOKUP($E147,'A-1 On-Site Habitat Baseline'!$D$1:$O$258,9,FALSE))))</f>
        <v/>
      </c>
      <c r="L147" s="295" t="str">
        <f>IF(E147="","",IF(ISNA(VLOOKUP($E147,'A-1 On-Site Habitat Baseline'!$D$1:$O$258,11,FALSE)),"",(VLOOKUP($E147,'A-1 On-Site Habitat Baseline'!$D$1:$O$258,11,FALSE))))</f>
        <v/>
      </c>
      <c r="M147" s="295" t="str">
        <f>IF(E147="","",IF(ISNA(VLOOKUP($E147,'A-1 On-Site Habitat Baseline'!$D$1:$O$258,12,FALSE)),"",(VLOOKUP($E147,'A-1 On-Site Habitat Baseline'!$D$1:$O$258,12,FALSE))))</f>
        <v/>
      </c>
      <c r="N147" s="306" t="str">
        <f>IF(E147="","",IF(ISNA(VLOOKUP($E147,'A-1 On-Site Habitat Baseline'!$D$1:$X$258,14,FALSE)),"",(VLOOKUP($E147,'A-1 On-Site Habitat Baseline'!$D$1:$X$258,14,FALSE))))</f>
        <v/>
      </c>
      <c r="O147" s="299" t="str">
        <f>IF(E147="","",IF(ISNA(VLOOKUP($E147,'A-1 On-Site Habitat Baseline'!$D$1:$X$258,16,FALSE)),"",(VLOOKUP($E147,'A-1 On-Site Habitat Baseline'!$D$1:$X$258,13,FALSE))))</f>
        <v/>
      </c>
      <c r="P147" s="154" t="str">
        <f>IFERROR(INDEX('G-1 All Habitats'!$AG$49:$AG$63,MATCH(Q147,'G-1 All Habitats'!$AF$27:$AF$41,0)),"")</f>
        <v/>
      </c>
      <c r="Q147" s="155" t="str">
        <f t="shared" si="24"/>
        <v/>
      </c>
      <c r="R147" s="155"/>
      <c r="S147" s="237" t="str">
        <f>IFERROR(INDEX('G-1 All Habitats'!$B$3:$B$135,MATCH(R147,'G-1 All Habitats'!$A$3:$A$135,0)),"")</f>
        <v/>
      </c>
      <c r="T147" s="275" t="str">
        <f t="shared" si="25"/>
        <v/>
      </c>
      <c r="U147" s="276" t="str">
        <f t="shared" si="26"/>
        <v/>
      </c>
      <c r="V147" s="311" t="str">
        <f t="shared" si="22"/>
        <v/>
      </c>
      <c r="W147" s="295" t="str">
        <f>IF(S147="","",VLOOKUP(S147,'G-1 All Habitats'!$B$2:$M$135,10,FALSE))</f>
        <v/>
      </c>
      <c r="X147" s="295" t="str">
        <f>IFERROR(VLOOKUP(W147,'G-1 All Habitats'!$V$3:$W$7,2,FALSE),"")</f>
        <v/>
      </c>
      <c r="Y147" s="57"/>
      <c r="Z147" s="299" t="str">
        <f>IFERROR(INDEX('G-8 Condition Look up'!$A$3:$H$135,MATCH(S147,'G-8 Condition Look up'!$A$3:$A$135,0),MATCH(Y147,'G-8 Condition Look up'!$A$3:$H$3,0)),"")</f>
        <v/>
      </c>
      <c r="AA147" s="52"/>
      <c r="AB147" s="295" t="str">
        <f>IF(AA147="","",IF(VLOOKUP(AA147,'G-3 Multipliers'!$L$3:$N$6,2,FALSE)=0,"Spatial Data Missing ⚠",VLOOKUP(AA147,'G-3 Multipliers'!$L$3:$N$6,2,FALSE)))</f>
        <v/>
      </c>
      <c r="AC147" s="299" t="str">
        <f>IF(AA147="","",IF(VLOOKUP(AA147,'G-3 Multipliers'!$L$3:$N$6,3,FALSE)=0,"Spatial Data Missing ⚠",VLOOKUP(AA147,'G-3 Multipliers'!$L$3:$N$6,3,FALSE)))</f>
        <v/>
      </c>
      <c r="AD147" s="313" t="str">
        <f t="shared" si="23"/>
        <v/>
      </c>
      <c r="AE147" s="58"/>
      <c r="AF147" s="58"/>
      <c r="AG147" s="283" t="str">
        <f t="shared" si="27"/>
        <v/>
      </c>
      <c r="AH147" s="296" t="str">
        <f t="shared" si="28"/>
        <v/>
      </c>
      <c r="AI147" s="297" t="str">
        <f>IF(AH147="Check Data ⚠","Check Data ⚠",IFERROR(VLOOKUP(AH147,'G-4 Temporal multipliers'!$A$4:$C$36,3,FALSE),""))</f>
        <v/>
      </c>
      <c r="AJ147" s="275" t="str">
        <f>IF(S147="","",VLOOKUP(S147,'G-3 Multipliers'!$A$2:$E$134,4,FALSE))</f>
        <v/>
      </c>
      <c r="AK147" s="283" t="str">
        <f t="shared" si="29"/>
        <v/>
      </c>
      <c r="AL147" s="283" t="str">
        <f t="shared" si="30"/>
        <v/>
      </c>
      <c r="AM147" s="314" t="str">
        <f>IFERROR(IF(F147="","",IF(AH147="Check Data ⚠","Check Data ⚠",VLOOKUP(AL147,'G-3 Multipliers'!$P$2:$Q$6,2,FALSE))),"")</f>
        <v/>
      </c>
      <c r="AN147" s="289" t="str">
        <f t="shared" si="31"/>
        <v/>
      </c>
      <c r="AO147" s="52"/>
      <c r="AP147" s="51"/>
      <c r="AQ147" s="104"/>
      <c r="AT147" s="35" t="str">
        <f t="shared" si="32"/>
        <v>No</v>
      </c>
      <c r="AU147" s="35" t="str">
        <f>IF(E147="","",IF(ISNA(VLOOKUP($E147,'A-1 On-Site Habitat Baseline'!$D$1:$AV$258,4,FALSE)),"",(VLOOKUP($E147,'A-1 On-Site Habitat Baseline'!$D$1:$AV$258,4,FALSE))))</f>
        <v/>
      </c>
    </row>
    <row r="148" spans="1:47" ht="14">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05" t="str">
        <f>'A-1 On-Site Habitat Baseline'!AL147</f>
        <v/>
      </c>
      <c r="F148" s="295" t="str">
        <f>IF(E148="","",IF(ISNA(VLOOKUP($E148,'A-1 On-Site Habitat Baseline'!$D$1:$AV$258,45,FALSE)),"",(VLOOKUP($E148,'A-1 On-Site Habitat Baseline'!$D$1:$AV$258,45,FALSE))))</f>
        <v/>
      </c>
      <c r="G148" s="295" t="str">
        <f>IF(E148="","",IF(ISNA(VLOOKUP($E148,'A-1 On-Site Habitat Baseline'!$D$1:$O$258,5,FALSE)),"",(VLOOKUP($E148,'A-1 On-Site Habitat Baseline'!$D$1:$O$258,5,FALSE))))</f>
        <v/>
      </c>
      <c r="H148" s="295" t="str">
        <f>IF(E148="","",IF(ISNA(VLOOKUP($E148,'A-1 On-Site Habitat Baseline'!$D$1:$O$258,6,FALSE)),"",(VLOOKUP($E148,'A-1 On-Site Habitat Baseline'!$D$1:$O$258,6,FALSE))))</f>
        <v/>
      </c>
      <c r="I148" s="295" t="str">
        <f>IF(E148="","",IF(ISNA(VLOOKUP($E148,'A-1 On-Site Habitat Baseline'!$D$1:$O$258,7,FALSE)),"",(VLOOKUP($E148,'A-1 On-Site Habitat Baseline'!$D$1:$O$258,7,FALSE))))</f>
        <v/>
      </c>
      <c r="J148" s="295" t="str">
        <f>IF(E148="","",IF(ISNA(VLOOKUP($E148,'A-1 On-Site Habitat Baseline'!$D$1:$O$258,8,FALSE)),"",(VLOOKUP($E148,'A-1 On-Site Habitat Baseline'!$D$1:$O$258,8,FALSE))))</f>
        <v/>
      </c>
      <c r="K148" s="295" t="str">
        <f>IF(E148="","",IF(ISNA(VLOOKUP($E148,'A-1 On-Site Habitat Baseline'!$D$1:$O$258,9,FALSE)),"",(VLOOKUP($E148,'A-1 On-Site Habitat Baseline'!$D$1:$O$258,9,FALSE))))</f>
        <v/>
      </c>
      <c r="L148" s="295" t="str">
        <f>IF(E148="","",IF(ISNA(VLOOKUP($E148,'A-1 On-Site Habitat Baseline'!$D$1:$O$258,11,FALSE)),"",(VLOOKUP($E148,'A-1 On-Site Habitat Baseline'!$D$1:$O$258,11,FALSE))))</f>
        <v/>
      </c>
      <c r="M148" s="295" t="str">
        <f>IF(E148="","",IF(ISNA(VLOOKUP($E148,'A-1 On-Site Habitat Baseline'!$D$1:$O$258,12,FALSE)),"",(VLOOKUP($E148,'A-1 On-Site Habitat Baseline'!$D$1:$O$258,12,FALSE))))</f>
        <v/>
      </c>
      <c r="N148" s="306" t="str">
        <f>IF(E148="","",IF(ISNA(VLOOKUP($E148,'A-1 On-Site Habitat Baseline'!$D$1:$X$258,14,FALSE)),"",(VLOOKUP($E148,'A-1 On-Site Habitat Baseline'!$D$1:$X$258,14,FALSE))))</f>
        <v/>
      </c>
      <c r="O148" s="299" t="str">
        <f>IF(E148="","",IF(ISNA(VLOOKUP($E148,'A-1 On-Site Habitat Baseline'!$D$1:$X$258,16,FALSE)),"",(VLOOKUP($E148,'A-1 On-Site Habitat Baseline'!$D$1:$X$258,13,FALSE))))</f>
        <v/>
      </c>
      <c r="P148" s="154" t="str">
        <f>IFERROR(INDEX('G-1 All Habitats'!$AG$49:$AG$63,MATCH(Q148,'G-1 All Habitats'!$AF$27:$AF$41,0)),"")</f>
        <v/>
      </c>
      <c r="Q148" s="155" t="str">
        <f t="shared" si="24"/>
        <v/>
      </c>
      <c r="R148" s="155"/>
      <c r="S148" s="237" t="str">
        <f>IFERROR(INDEX('G-1 All Habitats'!$B$3:$B$135,MATCH(R148,'G-1 All Habitats'!$A$3:$A$135,0)),"")</f>
        <v/>
      </c>
      <c r="T148" s="275" t="str">
        <f t="shared" si="25"/>
        <v/>
      </c>
      <c r="U148" s="276" t="str">
        <f t="shared" si="26"/>
        <v/>
      </c>
      <c r="V148" s="311" t="str">
        <f t="shared" si="22"/>
        <v/>
      </c>
      <c r="W148" s="295" t="str">
        <f>IF(S148="","",VLOOKUP(S148,'G-1 All Habitats'!$B$2:$M$135,10,FALSE))</f>
        <v/>
      </c>
      <c r="X148" s="295" t="str">
        <f>IFERROR(VLOOKUP(W148,'G-1 All Habitats'!$V$3:$W$7,2,FALSE),"")</f>
        <v/>
      </c>
      <c r="Y148" s="57"/>
      <c r="Z148" s="299" t="str">
        <f>IFERROR(INDEX('G-8 Condition Look up'!$A$3:$H$135,MATCH(S148,'G-8 Condition Look up'!$A$3:$A$135,0),MATCH(Y148,'G-8 Condition Look up'!$A$3:$H$3,0)),"")</f>
        <v/>
      </c>
      <c r="AA148" s="52"/>
      <c r="AB148" s="295" t="str">
        <f>IF(AA148="","",IF(VLOOKUP(AA148,'G-3 Multipliers'!$L$3:$N$6,2,FALSE)=0,"Spatial Data Missing ⚠",VLOOKUP(AA148,'G-3 Multipliers'!$L$3:$N$6,2,FALSE)))</f>
        <v/>
      </c>
      <c r="AC148" s="299" t="str">
        <f>IF(AA148="","",IF(VLOOKUP(AA148,'G-3 Multipliers'!$L$3:$N$6,3,FALSE)=0,"Spatial Data Missing ⚠",VLOOKUP(AA148,'G-3 Multipliers'!$L$3:$N$6,3,FALSE)))</f>
        <v/>
      </c>
      <c r="AD148" s="313" t="str">
        <f t="shared" si="23"/>
        <v/>
      </c>
      <c r="AE148" s="58"/>
      <c r="AF148" s="58"/>
      <c r="AG148" s="283" t="str">
        <f t="shared" si="27"/>
        <v/>
      </c>
      <c r="AH148" s="296" t="str">
        <f t="shared" si="28"/>
        <v/>
      </c>
      <c r="AI148" s="297" t="str">
        <f>IF(AH148="Check Data ⚠","Check Data ⚠",IFERROR(VLOOKUP(AH148,'G-4 Temporal multipliers'!$A$4:$C$36,3,FALSE),""))</f>
        <v/>
      </c>
      <c r="AJ148" s="275" t="str">
        <f>IF(S148="","",VLOOKUP(S148,'G-3 Multipliers'!$A$2:$E$134,4,FALSE))</f>
        <v/>
      </c>
      <c r="AK148" s="283" t="str">
        <f t="shared" si="29"/>
        <v/>
      </c>
      <c r="AL148" s="283" t="str">
        <f t="shared" si="30"/>
        <v/>
      </c>
      <c r="AM148" s="314" t="str">
        <f>IFERROR(IF(F148="","",IF(AH148="Check Data ⚠","Check Data ⚠",VLOOKUP(AL148,'G-3 Multipliers'!$P$2:$Q$6,2,FALSE))),"")</f>
        <v/>
      </c>
      <c r="AN148" s="289" t="str">
        <f t="shared" si="31"/>
        <v/>
      </c>
      <c r="AO148" s="52"/>
      <c r="AP148" s="51"/>
      <c r="AQ148" s="104"/>
      <c r="AT148" s="35" t="str">
        <f t="shared" si="32"/>
        <v>No</v>
      </c>
      <c r="AU148" s="35" t="str">
        <f>IF(E148="","",IF(ISNA(VLOOKUP($E148,'A-1 On-Site Habitat Baseline'!$D$1:$AV$258,4,FALSE)),"",(VLOOKUP($E148,'A-1 On-Site Habitat Baseline'!$D$1:$AV$258,4,FALSE))))</f>
        <v/>
      </c>
    </row>
    <row r="149" spans="1:47" ht="14">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05" t="str">
        <f>'A-1 On-Site Habitat Baseline'!AL148</f>
        <v/>
      </c>
      <c r="F149" s="295" t="str">
        <f>IF(E149="","",IF(ISNA(VLOOKUP($E149,'A-1 On-Site Habitat Baseline'!$D$1:$AV$258,45,FALSE)),"",(VLOOKUP($E149,'A-1 On-Site Habitat Baseline'!$D$1:$AV$258,45,FALSE))))</f>
        <v/>
      </c>
      <c r="G149" s="295" t="str">
        <f>IF(E149="","",IF(ISNA(VLOOKUP($E149,'A-1 On-Site Habitat Baseline'!$D$1:$O$258,5,FALSE)),"",(VLOOKUP($E149,'A-1 On-Site Habitat Baseline'!$D$1:$O$258,5,FALSE))))</f>
        <v/>
      </c>
      <c r="H149" s="295" t="str">
        <f>IF(E149="","",IF(ISNA(VLOOKUP($E149,'A-1 On-Site Habitat Baseline'!$D$1:$O$258,6,FALSE)),"",(VLOOKUP($E149,'A-1 On-Site Habitat Baseline'!$D$1:$O$258,6,FALSE))))</f>
        <v/>
      </c>
      <c r="I149" s="295" t="str">
        <f>IF(E149="","",IF(ISNA(VLOOKUP($E149,'A-1 On-Site Habitat Baseline'!$D$1:$O$258,7,FALSE)),"",(VLOOKUP($E149,'A-1 On-Site Habitat Baseline'!$D$1:$O$258,7,FALSE))))</f>
        <v/>
      </c>
      <c r="J149" s="295" t="str">
        <f>IF(E149="","",IF(ISNA(VLOOKUP($E149,'A-1 On-Site Habitat Baseline'!$D$1:$O$258,8,FALSE)),"",(VLOOKUP($E149,'A-1 On-Site Habitat Baseline'!$D$1:$O$258,8,FALSE))))</f>
        <v/>
      </c>
      <c r="K149" s="295" t="str">
        <f>IF(E149="","",IF(ISNA(VLOOKUP($E149,'A-1 On-Site Habitat Baseline'!$D$1:$O$258,9,FALSE)),"",(VLOOKUP($E149,'A-1 On-Site Habitat Baseline'!$D$1:$O$258,9,FALSE))))</f>
        <v/>
      </c>
      <c r="L149" s="295" t="str">
        <f>IF(E149="","",IF(ISNA(VLOOKUP($E149,'A-1 On-Site Habitat Baseline'!$D$1:$O$258,11,FALSE)),"",(VLOOKUP($E149,'A-1 On-Site Habitat Baseline'!$D$1:$O$258,11,FALSE))))</f>
        <v/>
      </c>
      <c r="M149" s="295" t="str">
        <f>IF(E149="","",IF(ISNA(VLOOKUP($E149,'A-1 On-Site Habitat Baseline'!$D$1:$O$258,12,FALSE)),"",(VLOOKUP($E149,'A-1 On-Site Habitat Baseline'!$D$1:$O$258,12,FALSE))))</f>
        <v/>
      </c>
      <c r="N149" s="306" t="str">
        <f>IF(E149="","",IF(ISNA(VLOOKUP($E149,'A-1 On-Site Habitat Baseline'!$D$1:$X$258,14,FALSE)),"",(VLOOKUP($E149,'A-1 On-Site Habitat Baseline'!$D$1:$X$258,14,FALSE))))</f>
        <v/>
      </c>
      <c r="O149" s="299" t="str">
        <f>IF(E149="","",IF(ISNA(VLOOKUP($E149,'A-1 On-Site Habitat Baseline'!$D$1:$X$258,16,FALSE)),"",(VLOOKUP($E149,'A-1 On-Site Habitat Baseline'!$D$1:$X$258,13,FALSE))))</f>
        <v/>
      </c>
      <c r="P149" s="154" t="str">
        <f>IFERROR(INDEX('G-1 All Habitats'!$AG$49:$AG$63,MATCH(Q149,'G-1 All Habitats'!$AF$27:$AF$41,0)),"")</f>
        <v/>
      </c>
      <c r="Q149" s="155" t="str">
        <f t="shared" si="24"/>
        <v/>
      </c>
      <c r="R149" s="155"/>
      <c r="S149" s="237" t="str">
        <f>IFERROR(INDEX('G-1 All Habitats'!$B$3:$B$135,MATCH(R149,'G-1 All Habitats'!$A$3:$A$135,0)),"")</f>
        <v/>
      </c>
      <c r="T149" s="275" t="str">
        <f t="shared" si="25"/>
        <v/>
      </c>
      <c r="U149" s="276" t="str">
        <f t="shared" si="26"/>
        <v/>
      </c>
      <c r="V149" s="311" t="str">
        <f t="shared" si="22"/>
        <v/>
      </c>
      <c r="W149" s="295" t="str">
        <f>IF(S149="","",VLOOKUP(S149,'G-1 All Habitats'!$B$2:$M$135,10,FALSE))</f>
        <v/>
      </c>
      <c r="X149" s="295" t="str">
        <f>IFERROR(VLOOKUP(W149,'G-1 All Habitats'!$V$3:$W$7,2,FALSE),"")</f>
        <v/>
      </c>
      <c r="Y149" s="57"/>
      <c r="Z149" s="299" t="str">
        <f>IFERROR(INDEX('G-8 Condition Look up'!$A$3:$H$135,MATCH(S149,'G-8 Condition Look up'!$A$3:$A$135,0),MATCH(Y149,'G-8 Condition Look up'!$A$3:$H$3,0)),"")</f>
        <v/>
      </c>
      <c r="AA149" s="52"/>
      <c r="AB149" s="295" t="str">
        <f>IF(AA149="","",IF(VLOOKUP(AA149,'G-3 Multipliers'!$L$3:$N$6,2,FALSE)=0,"Spatial Data Missing ⚠",VLOOKUP(AA149,'G-3 Multipliers'!$L$3:$N$6,2,FALSE)))</f>
        <v/>
      </c>
      <c r="AC149" s="299" t="str">
        <f>IF(AA149="","",IF(VLOOKUP(AA149,'G-3 Multipliers'!$L$3:$N$6,3,FALSE)=0,"Spatial Data Missing ⚠",VLOOKUP(AA149,'G-3 Multipliers'!$L$3:$N$6,3,FALSE)))</f>
        <v/>
      </c>
      <c r="AD149" s="313" t="str">
        <f t="shared" si="23"/>
        <v/>
      </c>
      <c r="AE149" s="58"/>
      <c r="AF149" s="58"/>
      <c r="AG149" s="283" t="str">
        <f t="shared" si="27"/>
        <v/>
      </c>
      <c r="AH149" s="296" t="str">
        <f t="shared" si="28"/>
        <v/>
      </c>
      <c r="AI149" s="297" t="str">
        <f>IF(AH149="Check Data ⚠","Check Data ⚠",IFERROR(VLOOKUP(AH149,'G-4 Temporal multipliers'!$A$4:$C$36,3,FALSE),""))</f>
        <v/>
      </c>
      <c r="AJ149" s="275" t="str">
        <f>IF(S149="","",VLOOKUP(S149,'G-3 Multipliers'!$A$2:$E$134,4,FALSE))</f>
        <v/>
      </c>
      <c r="AK149" s="283" t="str">
        <f t="shared" si="29"/>
        <v/>
      </c>
      <c r="AL149" s="283" t="str">
        <f t="shared" si="30"/>
        <v/>
      </c>
      <c r="AM149" s="314" t="str">
        <f>IFERROR(IF(F149="","",IF(AH149="Check Data ⚠","Check Data ⚠",VLOOKUP(AL149,'G-3 Multipliers'!$P$2:$Q$6,2,FALSE))),"")</f>
        <v/>
      </c>
      <c r="AN149" s="289" t="str">
        <f t="shared" si="31"/>
        <v/>
      </c>
      <c r="AO149" s="52"/>
      <c r="AP149" s="51"/>
      <c r="AQ149" s="104"/>
      <c r="AT149" s="35" t="str">
        <f t="shared" si="32"/>
        <v>No</v>
      </c>
      <c r="AU149" s="35" t="str">
        <f>IF(E149="","",IF(ISNA(VLOOKUP($E149,'A-1 On-Site Habitat Baseline'!$D$1:$AV$258,4,FALSE)),"",(VLOOKUP($E149,'A-1 On-Site Habitat Baseline'!$D$1:$AV$258,4,FALSE))))</f>
        <v/>
      </c>
    </row>
    <row r="150" spans="1:47" ht="14">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05" t="str">
        <f>'A-1 On-Site Habitat Baseline'!AL149</f>
        <v/>
      </c>
      <c r="F150" s="295" t="str">
        <f>IF(E150="","",IF(ISNA(VLOOKUP($E150,'A-1 On-Site Habitat Baseline'!$D$1:$AV$258,45,FALSE)),"",(VLOOKUP($E150,'A-1 On-Site Habitat Baseline'!$D$1:$AV$258,45,FALSE))))</f>
        <v/>
      </c>
      <c r="G150" s="295" t="str">
        <f>IF(E150="","",IF(ISNA(VLOOKUP($E150,'A-1 On-Site Habitat Baseline'!$D$1:$O$258,5,FALSE)),"",(VLOOKUP($E150,'A-1 On-Site Habitat Baseline'!$D$1:$O$258,5,FALSE))))</f>
        <v/>
      </c>
      <c r="H150" s="295" t="str">
        <f>IF(E150="","",IF(ISNA(VLOOKUP($E150,'A-1 On-Site Habitat Baseline'!$D$1:$O$258,6,FALSE)),"",(VLOOKUP($E150,'A-1 On-Site Habitat Baseline'!$D$1:$O$258,6,FALSE))))</f>
        <v/>
      </c>
      <c r="I150" s="295" t="str">
        <f>IF(E150="","",IF(ISNA(VLOOKUP($E150,'A-1 On-Site Habitat Baseline'!$D$1:$O$258,7,FALSE)),"",(VLOOKUP($E150,'A-1 On-Site Habitat Baseline'!$D$1:$O$258,7,FALSE))))</f>
        <v/>
      </c>
      <c r="J150" s="295" t="str">
        <f>IF(E150="","",IF(ISNA(VLOOKUP($E150,'A-1 On-Site Habitat Baseline'!$D$1:$O$258,8,FALSE)),"",(VLOOKUP($E150,'A-1 On-Site Habitat Baseline'!$D$1:$O$258,8,FALSE))))</f>
        <v/>
      </c>
      <c r="K150" s="295" t="str">
        <f>IF(E150="","",IF(ISNA(VLOOKUP($E150,'A-1 On-Site Habitat Baseline'!$D$1:$O$258,9,FALSE)),"",(VLOOKUP($E150,'A-1 On-Site Habitat Baseline'!$D$1:$O$258,9,FALSE))))</f>
        <v/>
      </c>
      <c r="L150" s="295" t="str">
        <f>IF(E150="","",IF(ISNA(VLOOKUP($E150,'A-1 On-Site Habitat Baseline'!$D$1:$O$258,11,FALSE)),"",(VLOOKUP($E150,'A-1 On-Site Habitat Baseline'!$D$1:$O$258,11,FALSE))))</f>
        <v/>
      </c>
      <c r="M150" s="295" t="str">
        <f>IF(E150="","",IF(ISNA(VLOOKUP($E150,'A-1 On-Site Habitat Baseline'!$D$1:$O$258,12,FALSE)),"",(VLOOKUP($E150,'A-1 On-Site Habitat Baseline'!$D$1:$O$258,12,FALSE))))</f>
        <v/>
      </c>
      <c r="N150" s="306" t="str">
        <f>IF(E150="","",IF(ISNA(VLOOKUP($E150,'A-1 On-Site Habitat Baseline'!$D$1:$X$258,14,FALSE)),"",(VLOOKUP($E150,'A-1 On-Site Habitat Baseline'!$D$1:$X$258,14,FALSE))))</f>
        <v/>
      </c>
      <c r="O150" s="299" t="str">
        <f>IF(E150="","",IF(ISNA(VLOOKUP($E150,'A-1 On-Site Habitat Baseline'!$D$1:$X$258,16,FALSE)),"",(VLOOKUP($E150,'A-1 On-Site Habitat Baseline'!$D$1:$X$258,13,FALSE))))</f>
        <v/>
      </c>
      <c r="P150" s="154" t="str">
        <f>IFERROR(INDEX('G-1 All Habitats'!$AG$49:$AG$63,MATCH(Q150,'G-1 All Habitats'!$AF$27:$AF$41,0)),"")</f>
        <v/>
      </c>
      <c r="Q150" s="155" t="str">
        <f t="shared" si="24"/>
        <v/>
      </c>
      <c r="R150" s="155"/>
      <c r="S150" s="237" t="str">
        <f>IFERROR(INDEX('G-1 All Habitats'!$B$3:$B$135,MATCH(R150,'G-1 All Habitats'!$A$3:$A$135,0)),"")</f>
        <v/>
      </c>
      <c r="T150" s="275" t="str">
        <f t="shared" si="25"/>
        <v/>
      </c>
      <c r="U150" s="276" t="str">
        <f t="shared" si="26"/>
        <v/>
      </c>
      <c r="V150" s="311" t="str">
        <f t="shared" si="22"/>
        <v/>
      </c>
      <c r="W150" s="295" t="str">
        <f>IF(S150="","",VLOOKUP(S150,'G-1 All Habitats'!$B$2:$M$135,10,FALSE))</f>
        <v/>
      </c>
      <c r="X150" s="295" t="str">
        <f>IFERROR(VLOOKUP(W150,'G-1 All Habitats'!$V$3:$W$7,2,FALSE),"")</f>
        <v/>
      </c>
      <c r="Y150" s="57"/>
      <c r="Z150" s="299" t="str">
        <f>IFERROR(INDEX('G-8 Condition Look up'!$A$3:$H$135,MATCH(S150,'G-8 Condition Look up'!$A$3:$A$135,0),MATCH(Y150,'G-8 Condition Look up'!$A$3:$H$3,0)),"")</f>
        <v/>
      </c>
      <c r="AA150" s="52"/>
      <c r="AB150" s="295" t="str">
        <f>IF(AA150="","",IF(VLOOKUP(AA150,'G-3 Multipliers'!$L$3:$N$6,2,FALSE)=0,"Spatial Data Missing ⚠",VLOOKUP(AA150,'G-3 Multipliers'!$L$3:$N$6,2,FALSE)))</f>
        <v/>
      </c>
      <c r="AC150" s="299" t="str">
        <f>IF(AA150="","",IF(VLOOKUP(AA150,'G-3 Multipliers'!$L$3:$N$6,3,FALSE)=0,"Spatial Data Missing ⚠",VLOOKUP(AA150,'G-3 Multipliers'!$L$3:$N$6,3,FALSE)))</f>
        <v/>
      </c>
      <c r="AD150" s="313" t="str">
        <f t="shared" si="23"/>
        <v/>
      </c>
      <c r="AE150" s="58"/>
      <c r="AF150" s="58"/>
      <c r="AG150" s="283" t="str">
        <f t="shared" si="27"/>
        <v/>
      </c>
      <c r="AH150" s="296" t="str">
        <f t="shared" si="28"/>
        <v/>
      </c>
      <c r="AI150" s="297" t="str">
        <f>IF(AH150="Check Data ⚠","Check Data ⚠",IFERROR(VLOOKUP(AH150,'G-4 Temporal multipliers'!$A$4:$C$36,3,FALSE),""))</f>
        <v/>
      </c>
      <c r="AJ150" s="275" t="str">
        <f>IF(S150="","",VLOOKUP(S150,'G-3 Multipliers'!$A$2:$E$134,4,FALSE))</f>
        <v/>
      </c>
      <c r="AK150" s="283" t="str">
        <f t="shared" si="29"/>
        <v/>
      </c>
      <c r="AL150" s="283" t="str">
        <f t="shared" si="30"/>
        <v/>
      </c>
      <c r="AM150" s="314" t="str">
        <f>IFERROR(IF(F150="","",IF(AH150="Check Data ⚠","Check Data ⚠",VLOOKUP(AL150,'G-3 Multipliers'!$P$2:$Q$6,2,FALSE))),"")</f>
        <v/>
      </c>
      <c r="AN150" s="289" t="str">
        <f t="shared" si="31"/>
        <v/>
      </c>
      <c r="AO150" s="52"/>
      <c r="AP150" s="51"/>
      <c r="AQ150" s="104"/>
      <c r="AT150" s="35" t="str">
        <f t="shared" si="32"/>
        <v>No</v>
      </c>
      <c r="AU150" s="35" t="str">
        <f>IF(E150="","",IF(ISNA(VLOOKUP($E150,'A-1 On-Site Habitat Baseline'!$D$1:$AV$258,4,FALSE)),"",(VLOOKUP($E150,'A-1 On-Site Habitat Baseline'!$D$1:$AV$258,4,FALSE))))</f>
        <v/>
      </c>
    </row>
    <row r="151" spans="1:47" ht="14">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05" t="str">
        <f>'A-1 On-Site Habitat Baseline'!AL150</f>
        <v/>
      </c>
      <c r="F151" s="295" t="str">
        <f>IF(E151="","",IF(ISNA(VLOOKUP($E151,'A-1 On-Site Habitat Baseline'!$D$1:$AV$258,45,FALSE)),"",(VLOOKUP($E151,'A-1 On-Site Habitat Baseline'!$D$1:$AV$258,45,FALSE))))</f>
        <v/>
      </c>
      <c r="G151" s="295" t="str">
        <f>IF(E151="","",IF(ISNA(VLOOKUP($E151,'A-1 On-Site Habitat Baseline'!$D$1:$O$258,5,FALSE)),"",(VLOOKUP($E151,'A-1 On-Site Habitat Baseline'!$D$1:$O$258,5,FALSE))))</f>
        <v/>
      </c>
      <c r="H151" s="295" t="str">
        <f>IF(E151="","",IF(ISNA(VLOOKUP($E151,'A-1 On-Site Habitat Baseline'!$D$1:$O$258,6,FALSE)),"",(VLOOKUP($E151,'A-1 On-Site Habitat Baseline'!$D$1:$O$258,6,FALSE))))</f>
        <v/>
      </c>
      <c r="I151" s="295" t="str">
        <f>IF(E151="","",IF(ISNA(VLOOKUP($E151,'A-1 On-Site Habitat Baseline'!$D$1:$O$258,7,FALSE)),"",(VLOOKUP($E151,'A-1 On-Site Habitat Baseline'!$D$1:$O$258,7,FALSE))))</f>
        <v/>
      </c>
      <c r="J151" s="295" t="str">
        <f>IF(E151="","",IF(ISNA(VLOOKUP($E151,'A-1 On-Site Habitat Baseline'!$D$1:$O$258,8,FALSE)),"",(VLOOKUP($E151,'A-1 On-Site Habitat Baseline'!$D$1:$O$258,8,FALSE))))</f>
        <v/>
      </c>
      <c r="K151" s="295" t="str">
        <f>IF(E151="","",IF(ISNA(VLOOKUP($E151,'A-1 On-Site Habitat Baseline'!$D$1:$O$258,9,FALSE)),"",(VLOOKUP($E151,'A-1 On-Site Habitat Baseline'!$D$1:$O$258,9,FALSE))))</f>
        <v/>
      </c>
      <c r="L151" s="295" t="str">
        <f>IF(E151="","",IF(ISNA(VLOOKUP($E151,'A-1 On-Site Habitat Baseline'!$D$1:$O$258,11,FALSE)),"",(VLOOKUP($E151,'A-1 On-Site Habitat Baseline'!$D$1:$O$258,11,FALSE))))</f>
        <v/>
      </c>
      <c r="M151" s="295" t="str">
        <f>IF(E151="","",IF(ISNA(VLOOKUP($E151,'A-1 On-Site Habitat Baseline'!$D$1:$O$258,12,FALSE)),"",(VLOOKUP($E151,'A-1 On-Site Habitat Baseline'!$D$1:$O$258,12,FALSE))))</f>
        <v/>
      </c>
      <c r="N151" s="306" t="str">
        <f>IF(E151="","",IF(ISNA(VLOOKUP($E151,'A-1 On-Site Habitat Baseline'!$D$1:$X$258,14,FALSE)),"",(VLOOKUP($E151,'A-1 On-Site Habitat Baseline'!$D$1:$X$258,14,FALSE))))</f>
        <v/>
      </c>
      <c r="O151" s="299" t="str">
        <f>IF(E151="","",IF(ISNA(VLOOKUP($E151,'A-1 On-Site Habitat Baseline'!$D$1:$X$258,16,FALSE)),"",(VLOOKUP($E151,'A-1 On-Site Habitat Baseline'!$D$1:$X$258,13,FALSE))))</f>
        <v/>
      </c>
      <c r="P151" s="154" t="str">
        <f>IFERROR(INDEX('G-1 All Habitats'!$AG$49:$AG$63,MATCH(Q151,'G-1 All Habitats'!$AF$27:$AF$41,0)),"")</f>
        <v/>
      </c>
      <c r="Q151" s="155" t="str">
        <f t="shared" si="24"/>
        <v/>
      </c>
      <c r="R151" s="155"/>
      <c r="S151" s="237" t="str">
        <f>IFERROR(INDEX('G-1 All Habitats'!$B$3:$B$135,MATCH(R151,'G-1 All Habitats'!$A$3:$A$135,0)),"")</f>
        <v/>
      </c>
      <c r="T151" s="275" t="str">
        <f t="shared" si="25"/>
        <v/>
      </c>
      <c r="U151" s="276" t="str">
        <f t="shared" si="26"/>
        <v/>
      </c>
      <c r="V151" s="311" t="str">
        <f t="shared" si="22"/>
        <v/>
      </c>
      <c r="W151" s="295" t="str">
        <f>IF(S151="","",VLOOKUP(S151,'G-1 All Habitats'!$B$2:$M$135,10,FALSE))</f>
        <v/>
      </c>
      <c r="X151" s="295" t="str">
        <f>IFERROR(VLOOKUP(W151,'G-1 All Habitats'!$V$3:$W$7,2,FALSE),"")</f>
        <v/>
      </c>
      <c r="Y151" s="57"/>
      <c r="Z151" s="299" t="str">
        <f>IFERROR(INDEX('G-8 Condition Look up'!$A$3:$H$135,MATCH(S151,'G-8 Condition Look up'!$A$3:$A$135,0),MATCH(Y151,'G-8 Condition Look up'!$A$3:$H$3,0)),"")</f>
        <v/>
      </c>
      <c r="AA151" s="52"/>
      <c r="AB151" s="295" t="str">
        <f>IF(AA151="","",IF(VLOOKUP(AA151,'G-3 Multipliers'!$L$3:$N$6,2,FALSE)=0,"Spatial Data Missing ⚠",VLOOKUP(AA151,'G-3 Multipliers'!$L$3:$N$6,2,FALSE)))</f>
        <v/>
      </c>
      <c r="AC151" s="299" t="str">
        <f>IF(AA151="","",IF(VLOOKUP(AA151,'G-3 Multipliers'!$L$3:$N$6,3,FALSE)=0,"Spatial Data Missing ⚠",VLOOKUP(AA151,'G-3 Multipliers'!$L$3:$N$6,3,FALSE)))</f>
        <v/>
      </c>
      <c r="AD151" s="313" t="str">
        <f t="shared" si="23"/>
        <v/>
      </c>
      <c r="AE151" s="58"/>
      <c r="AF151" s="58"/>
      <c r="AG151" s="283" t="str">
        <f t="shared" si="27"/>
        <v/>
      </c>
      <c r="AH151" s="296" t="str">
        <f t="shared" si="28"/>
        <v/>
      </c>
      <c r="AI151" s="297" t="str">
        <f>IF(AH151="Check Data ⚠","Check Data ⚠",IFERROR(VLOOKUP(AH151,'G-4 Temporal multipliers'!$A$4:$C$36,3,FALSE),""))</f>
        <v/>
      </c>
      <c r="AJ151" s="275" t="str">
        <f>IF(S151="","",VLOOKUP(S151,'G-3 Multipliers'!$A$2:$E$134,4,FALSE))</f>
        <v/>
      </c>
      <c r="AK151" s="283" t="str">
        <f t="shared" si="29"/>
        <v/>
      </c>
      <c r="AL151" s="283" t="str">
        <f t="shared" si="30"/>
        <v/>
      </c>
      <c r="AM151" s="314" t="str">
        <f>IFERROR(IF(F151="","",IF(AH151="Check Data ⚠","Check Data ⚠",VLOOKUP(AL151,'G-3 Multipliers'!$P$2:$Q$6,2,FALSE))),"")</f>
        <v/>
      </c>
      <c r="AN151" s="289" t="str">
        <f t="shared" si="31"/>
        <v/>
      </c>
      <c r="AO151" s="52"/>
      <c r="AP151" s="51"/>
      <c r="AQ151" s="104"/>
      <c r="AT151" s="35" t="str">
        <f t="shared" si="32"/>
        <v>No</v>
      </c>
      <c r="AU151" s="35" t="str">
        <f>IF(E151="","",IF(ISNA(VLOOKUP($E151,'A-1 On-Site Habitat Baseline'!$D$1:$AV$258,4,FALSE)),"",(VLOOKUP($E151,'A-1 On-Site Habitat Baseline'!$D$1:$AV$258,4,FALSE))))</f>
        <v/>
      </c>
    </row>
    <row r="152" spans="1:47" ht="14">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05" t="str">
        <f>'A-1 On-Site Habitat Baseline'!AL151</f>
        <v/>
      </c>
      <c r="F152" s="295" t="str">
        <f>IF(E152="","",IF(ISNA(VLOOKUP($E152,'A-1 On-Site Habitat Baseline'!$D$1:$AV$258,45,FALSE)),"",(VLOOKUP($E152,'A-1 On-Site Habitat Baseline'!$D$1:$AV$258,45,FALSE))))</f>
        <v/>
      </c>
      <c r="G152" s="295" t="str">
        <f>IF(E152="","",IF(ISNA(VLOOKUP($E152,'A-1 On-Site Habitat Baseline'!$D$1:$O$258,5,FALSE)),"",(VLOOKUP($E152,'A-1 On-Site Habitat Baseline'!$D$1:$O$258,5,FALSE))))</f>
        <v/>
      </c>
      <c r="H152" s="295" t="str">
        <f>IF(E152="","",IF(ISNA(VLOOKUP($E152,'A-1 On-Site Habitat Baseline'!$D$1:$O$258,6,FALSE)),"",(VLOOKUP($E152,'A-1 On-Site Habitat Baseline'!$D$1:$O$258,6,FALSE))))</f>
        <v/>
      </c>
      <c r="I152" s="295" t="str">
        <f>IF(E152="","",IF(ISNA(VLOOKUP($E152,'A-1 On-Site Habitat Baseline'!$D$1:$O$258,7,FALSE)),"",(VLOOKUP($E152,'A-1 On-Site Habitat Baseline'!$D$1:$O$258,7,FALSE))))</f>
        <v/>
      </c>
      <c r="J152" s="295" t="str">
        <f>IF(E152="","",IF(ISNA(VLOOKUP($E152,'A-1 On-Site Habitat Baseline'!$D$1:$O$258,8,FALSE)),"",(VLOOKUP($E152,'A-1 On-Site Habitat Baseline'!$D$1:$O$258,8,FALSE))))</f>
        <v/>
      </c>
      <c r="K152" s="295" t="str">
        <f>IF(E152="","",IF(ISNA(VLOOKUP($E152,'A-1 On-Site Habitat Baseline'!$D$1:$O$258,9,FALSE)),"",(VLOOKUP($E152,'A-1 On-Site Habitat Baseline'!$D$1:$O$258,9,FALSE))))</f>
        <v/>
      </c>
      <c r="L152" s="295" t="str">
        <f>IF(E152="","",IF(ISNA(VLOOKUP($E152,'A-1 On-Site Habitat Baseline'!$D$1:$O$258,11,FALSE)),"",(VLOOKUP($E152,'A-1 On-Site Habitat Baseline'!$D$1:$O$258,11,FALSE))))</f>
        <v/>
      </c>
      <c r="M152" s="295" t="str">
        <f>IF(E152="","",IF(ISNA(VLOOKUP($E152,'A-1 On-Site Habitat Baseline'!$D$1:$O$258,12,FALSE)),"",(VLOOKUP($E152,'A-1 On-Site Habitat Baseline'!$D$1:$O$258,12,FALSE))))</f>
        <v/>
      </c>
      <c r="N152" s="306" t="str">
        <f>IF(E152="","",IF(ISNA(VLOOKUP($E152,'A-1 On-Site Habitat Baseline'!$D$1:$X$258,14,FALSE)),"",(VLOOKUP($E152,'A-1 On-Site Habitat Baseline'!$D$1:$X$258,14,FALSE))))</f>
        <v/>
      </c>
      <c r="O152" s="299" t="str">
        <f>IF(E152="","",IF(ISNA(VLOOKUP($E152,'A-1 On-Site Habitat Baseline'!$D$1:$X$258,16,FALSE)),"",(VLOOKUP($E152,'A-1 On-Site Habitat Baseline'!$D$1:$X$258,13,FALSE))))</f>
        <v/>
      </c>
      <c r="P152" s="154" t="str">
        <f>IFERROR(INDEX('G-1 All Habitats'!$AG$49:$AG$63,MATCH(Q152,'G-1 All Habitats'!$AF$27:$AF$41,0)),"")</f>
        <v/>
      </c>
      <c r="Q152" s="155" t="str">
        <f t="shared" si="24"/>
        <v/>
      </c>
      <c r="R152" s="155"/>
      <c r="S152" s="237" t="str">
        <f>IFERROR(INDEX('G-1 All Habitats'!$B$3:$B$135,MATCH(R152,'G-1 All Habitats'!$A$3:$A$135,0)),"")</f>
        <v/>
      </c>
      <c r="T152" s="275" t="str">
        <f t="shared" si="25"/>
        <v/>
      </c>
      <c r="U152" s="276" t="str">
        <f t="shared" si="26"/>
        <v/>
      </c>
      <c r="V152" s="311" t="str">
        <f t="shared" si="22"/>
        <v/>
      </c>
      <c r="W152" s="295" t="str">
        <f>IF(S152="","",VLOOKUP(S152,'G-1 All Habitats'!$B$2:$M$135,10,FALSE))</f>
        <v/>
      </c>
      <c r="X152" s="295" t="str">
        <f>IFERROR(VLOOKUP(W152,'G-1 All Habitats'!$V$3:$W$7,2,FALSE),"")</f>
        <v/>
      </c>
      <c r="Y152" s="57"/>
      <c r="Z152" s="299" t="str">
        <f>IFERROR(INDEX('G-8 Condition Look up'!$A$3:$H$135,MATCH(S152,'G-8 Condition Look up'!$A$3:$A$135,0),MATCH(Y152,'G-8 Condition Look up'!$A$3:$H$3,0)),"")</f>
        <v/>
      </c>
      <c r="AA152" s="52"/>
      <c r="AB152" s="295" t="str">
        <f>IF(AA152="","",IF(VLOOKUP(AA152,'G-3 Multipliers'!$L$3:$N$6,2,FALSE)=0,"Spatial Data Missing ⚠",VLOOKUP(AA152,'G-3 Multipliers'!$L$3:$N$6,2,FALSE)))</f>
        <v/>
      </c>
      <c r="AC152" s="299" t="str">
        <f>IF(AA152="","",IF(VLOOKUP(AA152,'G-3 Multipliers'!$L$3:$N$6,3,FALSE)=0,"Spatial Data Missing ⚠",VLOOKUP(AA152,'G-3 Multipliers'!$L$3:$N$6,3,FALSE)))</f>
        <v/>
      </c>
      <c r="AD152" s="313" t="str">
        <f t="shared" si="23"/>
        <v/>
      </c>
      <c r="AE152" s="58"/>
      <c r="AF152" s="58"/>
      <c r="AG152" s="283" t="str">
        <f t="shared" si="27"/>
        <v/>
      </c>
      <c r="AH152" s="296" t="str">
        <f t="shared" si="28"/>
        <v/>
      </c>
      <c r="AI152" s="297" t="str">
        <f>IF(AH152="Check Data ⚠","Check Data ⚠",IFERROR(VLOOKUP(AH152,'G-4 Temporal multipliers'!$A$4:$C$36,3,FALSE),""))</f>
        <v/>
      </c>
      <c r="AJ152" s="275" t="str">
        <f>IF(S152="","",VLOOKUP(S152,'G-3 Multipliers'!$A$2:$E$134,4,FALSE))</f>
        <v/>
      </c>
      <c r="AK152" s="283" t="str">
        <f t="shared" si="29"/>
        <v/>
      </c>
      <c r="AL152" s="283" t="str">
        <f t="shared" si="30"/>
        <v/>
      </c>
      <c r="AM152" s="314" t="str">
        <f>IFERROR(IF(F152="","",IF(AH152="Check Data ⚠","Check Data ⚠",VLOOKUP(AL152,'G-3 Multipliers'!$P$2:$Q$6,2,FALSE))),"")</f>
        <v/>
      </c>
      <c r="AN152" s="289" t="str">
        <f t="shared" si="31"/>
        <v/>
      </c>
      <c r="AO152" s="52"/>
      <c r="AP152" s="51"/>
      <c r="AQ152" s="104"/>
      <c r="AT152" s="35" t="str">
        <f t="shared" si="32"/>
        <v>No</v>
      </c>
      <c r="AU152" s="35" t="str">
        <f>IF(E152="","",IF(ISNA(VLOOKUP($E152,'A-1 On-Site Habitat Baseline'!$D$1:$AV$258,4,FALSE)),"",(VLOOKUP($E152,'A-1 On-Site Habitat Baseline'!$D$1:$AV$258,4,FALSE))))</f>
        <v/>
      </c>
    </row>
    <row r="153" spans="1:47" ht="14">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05" t="str">
        <f>'A-1 On-Site Habitat Baseline'!AL152</f>
        <v/>
      </c>
      <c r="F153" s="295" t="str">
        <f>IF(E153="","",IF(ISNA(VLOOKUP($E153,'A-1 On-Site Habitat Baseline'!$D$1:$AV$258,45,FALSE)),"",(VLOOKUP($E153,'A-1 On-Site Habitat Baseline'!$D$1:$AV$258,45,FALSE))))</f>
        <v/>
      </c>
      <c r="G153" s="295" t="str">
        <f>IF(E153="","",IF(ISNA(VLOOKUP($E153,'A-1 On-Site Habitat Baseline'!$D$1:$O$258,5,FALSE)),"",(VLOOKUP($E153,'A-1 On-Site Habitat Baseline'!$D$1:$O$258,5,FALSE))))</f>
        <v/>
      </c>
      <c r="H153" s="295" t="str">
        <f>IF(E153="","",IF(ISNA(VLOOKUP($E153,'A-1 On-Site Habitat Baseline'!$D$1:$O$258,6,FALSE)),"",(VLOOKUP($E153,'A-1 On-Site Habitat Baseline'!$D$1:$O$258,6,FALSE))))</f>
        <v/>
      </c>
      <c r="I153" s="295" t="str">
        <f>IF(E153="","",IF(ISNA(VLOOKUP($E153,'A-1 On-Site Habitat Baseline'!$D$1:$O$258,7,FALSE)),"",(VLOOKUP($E153,'A-1 On-Site Habitat Baseline'!$D$1:$O$258,7,FALSE))))</f>
        <v/>
      </c>
      <c r="J153" s="295" t="str">
        <f>IF(E153="","",IF(ISNA(VLOOKUP($E153,'A-1 On-Site Habitat Baseline'!$D$1:$O$258,8,FALSE)),"",(VLOOKUP($E153,'A-1 On-Site Habitat Baseline'!$D$1:$O$258,8,FALSE))))</f>
        <v/>
      </c>
      <c r="K153" s="295" t="str">
        <f>IF(E153="","",IF(ISNA(VLOOKUP($E153,'A-1 On-Site Habitat Baseline'!$D$1:$O$258,9,FALSE)),"",(VLOOKUP($E153,'A-1 On-Site Habitat Baseline'!$D$1:$O$258,9,FALSE))))</f>
        <v/>
      </c>
      <c r="L153" s="295" t="str">
        <f>IF(E153="","",IF(ISNA(VLOOKUP($E153,'A-1 On-Site Habitat Baseline'!$D$1:$O$258,11,FALSE)),"",(VLOOKUP($E153,'A-1 On-Site Habitat Baseline'!$D$1:$O$258,11,FALSE))))</f>
        <v/>
      </c>
      <c r="M153" s="295" t="str">
        <f>IF(E153="","",IF(ISNA(VLOOKUP($E153,'A-1 On-Site Habitat Baseline'!$D$1:$O$258,12,FALSE)),"",(VLOOKUP($E153,'A-1 On-Site Habitat Baseline'!$D$1:$O$258,12,FALSE))))</f>
        <v/>
      </c>
      <c r="N153" s="306" t="str">
        <f>IF(E153="","",IF(ISNA(VLOOKUP($E153,'A-1 On-Site Habitat Baseline'!$D$1:$X$258,14,FALSE)),"",(VLOOKUP($E153,'A-1 On-Site Habitat Baseline'!$D$1:$X$258,14,FALSE))))</f>
        <v/>
      </c>
      <c r="O153" s="299" t="str">
        <f>IF(E153="","",IF(ISNA(VLOOKUP($E153,'A-1 On-Site Habitat Baseline'!$D$1:$X$258,16,FALSE)),"",(VLOOKUP($E153,'A-1 On-Site Habitat Baseline'!$D$1:$X$258,13,FALSE))))</f>
        <v/>
      </c>
      <c r="P153" s="154" t="str">
        <f>IFERROR(INDEX('G-1 All Habitats'!$AG$49:$AG$63,MATCH(Q153,'G-1 All Habitats'!$AF$27:$AF$41,0)),"")</f>
        <v/>
      </c>
      <c r="Q153" s="155" t="str">
        <f t="shared" si="24"/>
        <v/>
      </c>
      <c r="R153" s="155"/>
      <c r="S153" s="237" t="str">
        <f>IFERROR(INDEX('G-1 All Habitats'!$B$3:$B$135,MATCH(R153,'G-1 All Habitats'!$A$3:$A$135,0)),"")</f>
        <v/>
      </c>
      <c r="T153" s="275" t="str">
        <f t="shared" si="25"/>
        <v/>
      </c>
      <c r="U153" s="276" t="str">
        <f t="shared" si="26"/>
        <v/>
      </c>
      <c r="V153" s="311" t="str">
        <f t="shared" si="22"/>
        <v/>
      </c>
      <c r="W153" s="295" t="str">
        <f>IF(S153="","",VLOOKUP(S153,'G-1 All Habitats'!$B$2:$M$135,10,FALSE))</f>
        <v/>
      </c>
      <c r="X153" s="295" t="str">
        <f>IFERROR(VLOOKUP(W153,'G-1 All Habitats'!$V$3:$W$7,2,FALSE),"")</f>
        <v/>
      </c>
      <c r="Y153" s="57"/>
      <c r="Z153" s="299" t="str">
        <f>IFERROR(INDEX('G-8 Condition Look up'!$A$3:$H$135,MATCH(S153,'G-8 Condition Look up'!$A$3:$A$135,0),MATCH(Y153,'G-8 Condition Look up'!$A$3:$H$3,0)),"")</f>
        <v/>
      </c>
      <c r="AA153" s="52"/>
      <c r="AB153" s="295" t="str">
        <f>IF(AA153="","",IF(VLOOKUP(AA153,'G-3 Multipliers'!$L$3:$N$6,2,FALSE)=0,"Spatial Data Missing ⚠",VLOOKUP(AA153,'G-3 Multipliers'!$L$3:$N$6,2,FALSE)))</f>
        <v/>
      </c>
      <c r="AC153" s="299" t="str">
        <f>IF(AA153="","",IF(VLOOKUP(AA153,'G-3 Multipliers'!$L$3:$N$6,3,FALSE)=0,"Spatial Data Missing ⚠",VLOOKUP(AA153,'G-3 Multipliers'!$L$3:$N$6,3,FALSE)))</f>
        <v/>
      </c>
      <c r="AD153" s="313" t="str">
        <f t="shared" si="23"/>
        <v/>
      </c>
      <c r="AE153" s="58"/>
      <c r="AF153" s="58"/>
      <c r="AG153" s="283" t="str">
        <f t="shared" si="27"/>
        <v/>
      </c>
      <c r="AH153" s="296" t="str">
        <f t="shared" si="28"/>
        <v/>
      </c>
      <c r="AI153" s="297" t="str">
        <f>IF(AH153="Check Data ⚠","Check Data ⚠",IFERROR(VLOOKUP(AH153,'G-4 Temporal multipliers'!$A$4:$C$36,3,FALSE),""))</f>
        <v/>
      </c>
      <c r="AJ153" s="275" t="str">
        <f>IF(S153="","",VLOOKUP(S153,'G-3 Multipliers'!$A$2:$E$134,4,FALSE))</f>
        <v/>
      </c>
      <c r="AK153" s="283" t="str">
        <f t="shared" si="29"/>
        <v/>
      </c>
      <c r="AL153" s="283" t="str">
        <f t="shared" si="30"/>
        <v/>
      </c>
      <c r="AM153" s="314" t="str">
        <f>IFERROR(IF(F153="","",IF(AH153="Check Data ⚠","Check Data ⚠",VLOOKUP(AL153,'G-3 Multipliers'!$P$2:$Q$6,2,FALSE))),"")</f>
        <v/>
      </c>
      <c r="AN153" s="289" t="str">
        <f t="shared" si="31"/>
        <v/>
      </c>
      <c r="AO153" s="52"/>
      <c r="AP153" s="51"/>
      <c r="AQ153" s="104"/>
      <c r="AT153" s="35" t="str">
        <f t="shared" si="32"/>
        <v>No</v>
      </c>
      <c r="AU153" s="35" t="str">
        <f>IF(E153="","",IF(ISNA(VLOOKUP($E153,'A-1 On-Site Habitat Baseline'!$D$1:$AV$258,4,FALSE)),"",(VLOOKUP($E153,'A-1 On-Site Habitat Baseline'!$D$1:$AV$258,4,FALSE))))</f>
        <v/>
      </c>
    </row>
    <row r="154" spans="1:47" ht="14">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05" t="str">
        <f>'A-1 On-Site Habitat Baseline'!AL153</f>
        <v/>
      </c>
      <c r="F154" s="295" t="str">
        <f>IF(E154="","",IF(ISNA(VLOOKUP($E154,'A-1 On-Site Habitat Baseline'!$D$1:$AV$258,45,FALSE)),"",(VLOOKUP($E154,'A-1 On-Site Habitat Baseline'!$D$1:$AV$258,45,FALSE))))</f>
        <v/>
      </c>
      <c r="G154" s="295" t="str">
        <f>IF(E154="","",IF(ISNA(VLOOKUP($E154,'A-1 On-Site Habitat Baseline'!$D$1:$O$258,5,FALSE)),"",(VLOOKUP($E154,'A-1 On-Site Habitat Baseline'!$D$1:$O$258,5,FALSE))))</f>
        <v/>
      </c>
      <c r="H154" s="295" t="str">
        <f>IF(E154="","",IF(ISNA(VLOOKUP($E154,'A-1 On-Site Habitat Baseline'!$D$1:$O$258,6,FALSE)),"",(VLOOKUP($E154,'A-1 On-Site Habitat Baseline'!$D$1:$O$258,6,FALSE))))</f>
        <v/>
      </c>
      <c r="I154" s="295" t="str">
        <f>IF(E154="","",IF(ISNA(VLOOKUP($E154,'A-1 On-Site Habitat Baseline'!$D$1:$O$258,7,FALSE)),"",(VLOOKUP($E154,'A-1 On-Site Habitat Baseline'!$D$1:$O$258,7,FALSE))))</f>
        <v/>
      </c>
      <c r="J154" s="295" t="str">
        <f>IF(E154="","",IF(ISNA(VLOOKUP($E154,'A-1 On-Site Habitat Baseline'!$D$1:$O$258,8,FALSE)),"",(VLOOKUP($E154,'A-1 On-Site Habitat Baseline'!$D$1:$O$258,8,FALSE))))</f>
        <v/>
      </c>
      <c r="K154" s="295" t="str">
        <f>IF(E154="","",IF(ISNA(VLOOKUP($E154,'A-1 On-Site Habitat Baseline'!$D$1:$O$258,9,FALSE)),"",(VLOOKUP($E154,'A-1 On-Site Habitat Baseline'!$D$1:$O$258,9,FALSE))))</f>
        <v/>
      </c>
      <c r="L154" s="295" t="str">
        <f>IF(E154="","",IF(ISNA(VLOOKUP($E154,'A-1 On-Site Habitat Baseline'!$D$1:$O$258,11,FALSE)),"",(VLOOKUP($E154,'A-1 On-Site Habitat Baseline'!$D$1:$O$258,11,FALSE))))</f>
        <v/>
      </c>
      <c r="M154" s="295" t="str">
        <f>IF(E154="","",IF(ISNA(VLOOKUP($E154,'A-1 On-Site Habitat Baseline'!$D$1:$O$258,12,FALSE)),"",(VLOOKUP($E154,'A-1 On-Site Habitat Baseline'!$D$1:$O$258,12,FALSE))))</f>
        <v/>
      </c>
      <c r="N154" s="306" t="str">
        <f>IF(E154="","",IF(ISNA(VLOOKUP($E154,'A-1 On-Site Habitat Baseline'!$D$1:$X$258,14,FALSE)),"",(VLOOKUP($E154,'A-1 On-Site Habitat Baseline'!$D$1:$X$258,14,FALSE))))</f>
        <v/>
      </c>
      <c r="O154" s="299" t="str">
        <f>IF(E154="","",IF(ISNA(VLOOKUP($E154,'A-1 On-Site Habitat Baseline'!$D$1:$X$258,16,FALSE)),"",(VLOOKUP($E154,'A-1 On-Site Habitat Baseline'!$D$1:$X$258,13,FALSE))))</f>
        <v/>
      </c>
      <c r="P154" s="154" t="str">
        <f>IFERROR(INDEX('G-1 All Habitats'!$AG$49:$AG$63,MATCH(Q154,'G-1 All Habitats'!$AF$27:$AF$41,0)),"")</f>
        <v/>
      </c>
      <c r="Q154" s="155" t="str">
        <f t="shared" si="24"/>
        <v/>
      </c>
      <c r="R154" s="155"/>
      <c r="S154" s="237" t="str">
        <f>IFERROR(INDEX('G-1 All Habitats'!$B$3:$B$135,MATCH(R154,'G-1 All Habitats'!$A$3:$A$135,0)),"")</f>
        <v/>
      </c>
      <c r="T154" s="275" t="str">
        <f t="shared" si="25"/>
        <v/>
      </c>
      <c r="U154" s="276" t="str">
        <f t="shared" si="26"/>
        <v/>
      </c>
      <c r="V154" s="311" t="str">
        <f t="shared" si="22"/>
        <v/>
      </c>
      <c r="W154" s="295" t="str">
        <f>IF(S154="","",VLOOKUP(S154,'G-1 All Habitats'!$B$2:$M$135,10,FALSE))</f>
        <v/>
      </c>
      <c r="X154" s="295" t="str">
        <f>IFERROR(VLOOKUP(W154,'G-1 All Habitats'!$V$3:$W$7,2,FALSE),"")</f>
        <v/>
      </c>
      <c r="Y154" s="57"/>
      <c r="Z154" s="299" t="str">
        <f>IFERROR(INDEX('G-8 Condition Look up'!$A$3:$H$135,MATCH(S154,'G-8 Condition Look up'!$A$3:$A$135,0),MATCH(Y154,'G-8 Condition Look up'!$A$3:$H$3,0)),"")</f>
        <v/>
      </c>
      <c r="AA154" s="52"/>
      <c r="AB154" s="295" t="str">
        <f>IF(AA154="","",IF(VLOOKUP(AA154,'G-3 Multipliers'!$L$3:$N$6,2,FALSE)=0,"Spatial Data Missing ⚠",VLOOKUP(AA154,'G-3 Multipliers'!$L$3:$N$6,2,FALSE)))</f>
        <v/>
      </c>
      <c r="AC154" s="299" t="str">
        <f>IF(AA154="","",IF(VLOOKUP(AA154,'G-3 Multipliers'!$L$3:$N$6,3,FALSE)=0,"Spatial Data Missing ⚠",VLOOKUP(AA154,'G-3 Multipliers'!$L$3:$N$6,3,FALSE)))</f>
        <v/>
      </c>
      <c r="AD154" s="313" t="str">
        <f t="shared" si="23"/>
        <v/>
      </c>
      <c r="AE154" s="58"/>
      <c r="AF154" s="58"/>
      <c r="AG154" s="283" t="str">
        <f t="shared" si="27"/>
        <v/>
      </c>
      <c r="AH154" s="296" t="str">
        <f t="shared" si="28"/>
        <v/>
      </c>
      <c r="AI154" s="297" t="str">
        <f>IF(AH154="Check Data ⚠","Check Data ⚠",IFERROR(VLOOKUP(AH154,'G-4 Temporal multipliers'!$A$4:$C$36,3,FALSE),""))</f>
        <v/>
      </c>
      <c r="AJ154" s="275" t="str">
        <f>IF(S154="","",VLOOKUP(S154,'G-3 Multipliers'!$A$2:$E$134,4,FALSE))</f>
        <v/>
      </c>
      <c r="AK154" s="283" t="str">
        <f t="shared" si="29"/>
        <v/>
      </c>
      <c r="AL154" s="283" t="str">
        <f t="shared" si="30"/>
        <v/>
      </c>
      <c r="AM154" s="314" t="str">
        <f>IFERROR(IF(F154="","",IF(AH154="Check Data ⚠","Check Data ⚠",VLOOKUP(AL154,'G-3 Multipliers'!$P$2:$Q$6,2,FALSE))),"")</f>
        <v/>
      </c>
      <c r="AN154" s="289" t="str">
        <f t="shared" si="31"/>
        <v/>
      </c>
      <c r="AO154" s="52"/>
      <c r="AP154" s="51"/>
      <c r="AQ154" s="104"/>
      <c r="AT154" s="35" t="str">
        <f t="shared" si="32"/>
        <v>No</v>
      </c>
      <c r="AU154" s="35" t="str">
        <f>IF(E154="","",IF(ISNA(VLOOKUP($E154,'A-1 On-Site Habitat Baseline'!$D$1:$AV$258,4,FALSE)),"",(VLOOKUP($E154,'A-1 On-Site Habitat Baseline'!$D$1:$AV$258,4,FALSE))))</f>
        <v/>
      </c>
    </row>
    <row r="155" spans="1:47" ht="14">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05" t="str">
        <f>'A-1 On-Site Habitat Baseline'!AL154</f>
        <v/>
      </c>
      <c r="F155" s="295" t="str">
        <f>IF(E155="","",IF(ISNA(VLOOKUP($E155,'A-1 On-Site Habitat Baseline'!$D$1:$AV$258,45,FALSE)),"",(VLOOKUP($E155,'A-1 On-Site Habitat Baseline'!$D$1:$AV$258,45,FALSE))))</f>
        <v/>
      </c>
      <c r="G155" s="295" t="str">
        <f>IF(E155="","",IF(ISNA(VLOOKUP($E155,'A-1 On-Site Habitat Baseline'!$D$1:$O$258,5,FALSE)),"",(VLOOKUP($E155,'A-1 On-Site Habitat Baseline'!$D$1:$O$258,5,FALSE))))</f>
        <v/>
      </c>
      <c r="H155" s="295" t="str">
        <f>IF(E155="","",IF(ISNA(VLOOKUP($E155,'A-1 On-Site Habitat Baseline'!$D$1:$O$258,6,FALSE)),"",(VLOOKUP($E155,'A-1 On-Site Habitat Baseline'!$D$1:$O$258,6,FALSE))))</f>
        <v/>
      </c>
      <c r="I155" s="295" t="str">
        <f>IF(E155="","",IF(ISNA(VLOOKUP($E155,'A-1 On-Site Habitat Baseline'!$D$1:$O$258,7,FALSE)),"",(VLOOKUP($E155,'A-1 On-Site Habitat Baseline'!$D$1:$O$258,7,FALSE))))</f>
        <v/>
      </c>
      <c r="J155" s="295" t="str">
        <f>IF(E155="","",IF(ISNA(VLOOKUP($E155,'A-1 On-Site Habitat Baseline'!$D$1:$O$258,8,FALSE)),"",(VLOOKUP($E155,'A-1 On-Site Habitat Baseline'!$D$1:$O$258,8,FALSE))))</f>
        <v/>
      </c>
      <c r="K155" s="295" t="str">
        <f>IF(E155="","",IF(ISNA(VLOOKUP($E155,'A-1 On-Site Habitat Baseline'!$D$1:$O$258,9,FALSE)),"",(VLOOKUP($E155,'A-1 On-Site Habitat Baseline'!$D$1:$O$258,9,FALSE))))</f>
        <v/>
      </c>
      <c r="L155" s="295" t="str">
        <f>IF(E155="","",IF(ISNA(VLOOKUP($E155,'A-1 On-Site Habitat Baseline'!$D$1:$O$258,11,FALSE)),"",(VLOOKUP($E155,'A-1 On-Site Habitat Baseline'!$D$1:$O$258,11,FALSE))))</f>
        <v/>
      </c>
      <c r="M155" s="295" t="str">
        <f>IF(E155="","",IF(ISNA(VLOOKUP($E155,'A-1 On-Site Habitat Baseline'!$D$1:$O$258,12,FALSE)),"",(VLOOKUP($E155,'A-1 On-Site Habitat Baseline'!$D$1:$O$258,12,FALSE))))</f>
        <v/>
      </c>
      <c r="N155" s="306" t="str">
        <f>IF(E155="","",IF(ISNA(VLOOKUP($E155,'A-1 On-Site Habitat Baseline'!$D$1:$X$258,14,FALSE)),"",(VLOOKUP($E155,'A-1 On-Site Habitat Baseline'!$D$1:$X$258,14,FALSE))))</f>
        <v/>
      </c>
      <c r="O155" s="299" t="str">
        <f>IF(E155="","",IF(ISNA(VLOOKUP($E155,'A-1 On-Site Habitat Baseline'!$D$1:$X$258,16,FALSE)),"",(VLOOKUP($E155,'A-1 On-Site Habitat Baseline'!$D$1:$X$258,13,FALSE))))</f>
        <v/>
      </c>
      <c r="P155" s="154" t="str">
        <f>IFERROR(INDEX('G-1 All Habitats'!$AG$49:$AG$63,MATCH(Q155,'G-1 All Habitats'!$AF$27:$AF$41,0)),"")</f>
        <v/>
      </c>
      <c r="Q155" s="155" t="str">
        <f t="shared" si="24"/>
        <v/>
      </c>
      <c r="R155" s="155"/>
      <c r="S155" s="237" t="str">
        <f>IFERROR(INDEX('G-1 All Habitats'!$B$3:$B$135,MATCH(R155,'G-1 All Habitats'!$A$3:$A$135,0)),"")</f>
        <v/>
      </c>
      <c r="T155" s="275" t="str">
        <f t="shared" si="25"/>
        <v/>
      </c>
      <c r="U155" s="276" t="str">
        <f t="shared" si="26"/>
        <v/>
      </c>
      <c r="V155" s="311" t="str">
        <f t="shared" si="22"/>
        <v/>
      </c>
      <c r="W155" s="295" t="str">
        <f>IF(S155="","",VLOOKUP(S155,'G-1 All Habitats'!$B$2:$M$135,10,FALSE))</f>
        <v/>
      </c>
      <c r="X155" s="295" t="str">
        <f>IFERROR(VLOOKUP(W155,'G-1 All Habitats'!$V$3:$W$7,2,FALSE),"")</f>
        <v/>
      </c>
      <c r="Y155" s="57"/>
      <c r="Z155" s="299" t="str">
        <f>IFERROR(INDEX('G-8 Condition Look up'!$A$3:$H$135,MATCH(S155,'G-8 Condition Look up'!$A$3:$A$135,0),MATCH(Y155,'G-8 Condition Look up'!$A$3:$H$3,0)),"")</f>
        <v/>
      </c>
      <c r="AA155" s="52"/>
      <c r="AB155" s="295" t="str">
        <f>IF(AA155="","",IF(VLOOKUP(AA155,'G-3 Multipliers'!$L$3:$N$6,2,FALSE)=0,"Spatial Data Missing ⚠",VLOOKUP(AA155,'G-3 Multipliers'!$L$3:$N$6,2,FALSE)))</f>
        <v/>
      </c>
      <c r="AC155" s="299" t="str">
        <f>IF(AA155="","",IF(VLOOKUP(AA155,'G-3 Multipliers'!$L$3:$N$6,3,FALSE)=0,"Spatial Data Missing ⚠",VLOOKUP(AA155,'G-3 Multipliers'!$L$3:$N$6,3,FALSE)))</f>
        <v/>
      </c>
      <c r="AD155" s="313" t="str">
        <f t="shared" si="23"/>
        <v/>
      </c>
      <c r="AE155" s="58"/>
      <c r="AF155" s="58"/>
      <c r="AG155" s="283" t="str">
        <f t="shared" si="27"/>
        <v/>
      </c>
      <c r="AH155" s="296" t="str">
        <f t="shared" si="28"/>
        <v/>
      </c>
      <c r="AI155" s="297" t="str">
        <f>IF(AH155="Check Data ⚠","Check Data ⚠",IFERROR(VLOOKUP(AH155,'G-4 Temporal multipliers'!$A$4:$C$36,3,FALSE),""))</f>
        <v/>
      </c>
      <c r="AJ155" s="275" t="str">
        <f>IF(S155="","",VLOOKUP(S155,'G-3 Multipliers'!$A$2:$E$134,4,FALSE))</f>
        <v/>
      </c>
      <c r="AK155" s="283" t="str">
        <f t="shared" si="29"/>
        <v/>
      </c>
      <c r="AL155" s="283" t="str">
        <f t="shared" si="30"/>
        <v/>
      </c>
      <c r="AM155" s="314" t="str">
        <f>IFERROR(IF(F155="","",IF(AH155="Check Data ⚠","Check Data ⚠",VLOOKUP(AL155,'G-3 Multipliers'!$P$2:$Q$6,2,FALSE))),"")</f>
        <v/>
      </c>
      <c r="AN155" s="289" t="str">
        <f t="shared" si="31"/>
        <v/>
      </c>
      <c r="AO155" s="52"/>
      <c r="AP155" s="51"/>
      <c r="AQ155" s="104"/>
      <c r="AT155" s="35" t="str">
        <f t="shared" si="32"/>
        <v>No</v>
      </c>
      <c r="AU155" s="35" t="str">
        <f>IF(E155="","",IF(ISNA(VLOOKUP($E155,'A-1 On-Site Habitat Baseline'!$D$1:$AV$258,4,FALSE)),"",(VLOOKUP($E155,'A-1 On-Site Habitat Baseline'!$D$1:$AV$258,4,FALSE))))</f>
        <v/>
      </c>
    </row>
    <row r="156" spans="1:47" ht="14">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05" t="str">
        <f>'A-1 On-Site Habitat Baseline'!AL155</f>
        <v/>
      </c>
      <c r="F156" s="295" t="str">
        <f>IF(E156="","",IF(ISNA(VLOOKUP($E156,'A-1 On-Site Habitat Baseline'!$D$1:$AV$258,45,FALSE)),"",(VLOOKUP($E156,'A-1 On-Site Habitat Baseline'!$D$1:$AV$258,45,FALSE))))</f>
        <v/>
      </c>
      <c r="G156" s="295" t="str">
        <f>IF(E156="","",IF(ISNA(VLOOKUP($E156,'A-1 On-Site Habitat Baseline'!$D$1:$O$258,5,FALSE)),"",(VLOOKUP($E156,'A-1 On-Site Habitat Baseline'!$D$1:$O$258,5,FALSE))))</f>
        <v/>
      </c>
      <c r="H156" s="295" t="str">
        <f>IF(E156="","",IF(ISNA(VLOOKUP($E156,'A-1 On-Site Habitat Baseline'!$D$1:$O$258,6,FALSE)),"",(VLOOKUP($E156,'A-1 On-Site Habitat Baseline'!$D$1:$O$258,6,FALSE))))</f>
        <v/>
      </c>
      <c r="I156" s="295" t="str">
        <f>IF(E156="","",IF(ISNA(VLOOKUP($E156,'A-1 On-Site Habitat Baseline'!$D$1:$O$258,7,FALSE)),"",(VLOOKUP($E156,'A-1 On-Site Habitat Baseline'!$D$1:$O$258,7,FALSE))))</f>
        <v/>
      </c>
      <c r="J156" s="295" t="str">
        <f>IF(E156="","",IF(ISNA(VLOOKUP($E156,'A-1 On-Site Habitat Baseline'!$D$1:$O$258,8,FALSE)),"",(VLOOKUP($E156,'A-1 On-Site Habitat Baseline'!$D$1:$O$258,8,FALSE))))</f>
        <v/>
      </c>
      <c r="K156" s="295" t="str">
        <f>IF(E156="","",IF(ISNA(VLOOKUP($E156,'A-1 On-Site Habitat Baseline'!$D$1:$O$258,9,FALSE)),"",(VLOOKUP($E156,'A-1 On-Site Habitat Baseline'!$D$1:$O$258,9,FALSE))))</f>
        <v/>
      </c>
      <c r="L156" s="295" t="str">
        <f>IF(E156="","",IF(ISNA(VLOOKUP($E156,'A-1 On-Site Habitat Baseline'!$D$1:$O$258,11,FALSE)),"",(VLOOKUP($E156,'A-1 On-Site Habitat Baseline'!$D$1:$O$258,11,FALSE))))</f>
        <v/>
      </c>
      <c r="M156" s="295" t="str">
        <f>IF(E156="","",IF(ISNA(VLOOKUP($E156,'A-1 On-Site Habitat Baseline'!$D$1:$O$258,12,FALSE)),"",(VLOOKUP($E156,'A-1 On-Site Habitat Baseline'!$D$1:$O$258,12,FALSE))))</f>
        <v/>
      </c>
      <c r="N156" s="306" t="str">
        <f>IF(E156="","",IF(ISNA(VLOOKUP($E156,'A-1 On-Site Habitat Baseline'!$D$1:$X$258,14,FALSE)),"",(VLOOKUP($E156,'A-1 On-Site Habitat Baseline'!$D$1:$X$258,14,FALSE))))</f>
        <v/>
      </c>
      <c r="O156" s="299" t="str">
        <f>IF(E156="","",IF(ISNA(VLOOKUP($E156,'A-1 On-Site Habitat Baseline'!$D$1:$X$258,16,FALSE)),"",(VLOOKUP($E156,'A-1 On-Site Habitat Baseline'!$D$1:$X$258,13,FALSE))))</f>
        <v/>
      </c>
      <c r="P156" s="154" t="str">
        <f>IFERROR(INDEX('G-1 All Habitats'!$AG$49:$AG$63,MATCH(Q156,'G-1 All Habitats'!$AF$27:$AF$41,0)),"")</f>
        <v/>
      </c>
      <c r="Q156" s="155" t="str">
        <f t="shared" si="24"/>
        <v/>
      </c>
      <c r="R156" s="155"/>
      <c r="S156" s="237" t="str">
        <f>IFERROR(INDEX('G-1 All Habitats'!$B$3:$B$135,MATCH(R156,'G-1 All Habitats'!$A$3:$A$135,0)),"")</f>
        <v/>
      </c>
      <c r="T156" s="275" t="str">
        <f t="shared" si="25"/>
        <v/>
      </c>
      <c r="U156" s="276" t="str">
        <f t="shared" si="26"/>
        <v/>
      </c>
      <c r="V156" s="311" t="str">
        <f t="shared" si="22"/>
        <v/>
      </c>
      <c r="W156" s="295" t="str">
        <f>IF(S156="","",VLOOKUP(S156,'G-1 All Habitats'!$B$2:$M$135,10,FALSE))</f>
        <v/>
      </c>
      <c r="X156" s="295" t="str">
        <f>IFERROR(VLOOKUP(W156,'G-1 All Habitats'!$V$3:$W$7,2,FALSE),"")</f>
        <v/>
      </c>
      <c r="Y156" s="57"/>
      <c r="Z156" s="299" t="str">
        <f>IFERROR(INDEX('G-8 Condition Look up'!$A$3:$H$135,MATCH(S156,'G-8 Condition Look up'!$A$3:$A$135,0),MATCH(Y156,'G-8 Condition Look up'!$A$3:$H$3,0)),"")</f>
        <v/>
      </c>
      <c r="AA156" s="52"/>
      <c r="AB156" s="295" t="str">
        <f>IF(AA156="","",IF(VLOOKUP(AA156,'G-3 Multipliers'!$L$3:$N$6,2,FALSE)=0,"Spatial Data Missing ⚠",VLOOKUP(AA156,'G-3 Multipliers'!$L$3:$N$6,2,FALSE)))</f>
        <v/>
      </c>
      <c r="AC156" s="299" t="str">
        <f>IF(AA156="","",IF(VLOOKUP(AA156,'G-3 Multipliers'!$L$3:$N$6,3,FALSE)=0,"Spatial Data Missing ⚠",VLOOKUP(AA156,'G-3 Multipliers'!$L$3:$N$6,3,FALSE)))</f>
        <v/>
      </c>
      <c r="AD156" s="313" t="str">
        <f t="shared" si="23"/>
        <v/>
      </c>
      <c r="AE156" s="58"/>
      <c r="AF156" s="58"/>
      <c r="AG156" s="283" t="str">
        <f t="shared" si="27"/>
        <v/>
      </c>
      <c r="AH156" s="296" t="str">
        <f t="shared" si="28"/>
        <v/>
      </c>
      <c r="AI156" s="297" t="str">
        <f>IF(AH156="Check Data ⚠","Check Data ⚠",IFERROR(VLOOKUP(AH156,'G-4 Temporal multipliers'!$A$4:$C$36,3,FALSE),""))</f>
        <v/>
      </c>
      <c r="AJ156" s="275" t="str">
        <f>IF(S156="","",VLOOKUP(S156,'G-3 Multipliers'!$A$2:$E$134,4,FALSE))</f>
        <v/>
      </c>
      <c r="AK156" s="283" t="str">
        <f t="shared" si="29"/>
        <v/>
      </c>
      <c r="AL156" s="283" t="str">
        <f t="shared" si="30"/>
        <v/>
      </c>
      <c r="AM156" s="314" t="str">
        <f>IFERROR(IF(F156="","",IF(AH156="Check Data ⚠","Check Data ⚠",VLOOKUP(AL156,'G-3 Multipliers'!$P$2:$Q$6,2,FALSE))),"")</f>
        <v/>
      </c>
      <c r="AN156" s="289" t="str">
        <f t="shared" si="31"/>
        <v/>
      </c>
      <c r="AO156" s="52"/>
      <c r="AP156" s="51"/>
      <c r="AQ156" s="104"/>
      <c r="AT156" s="35" t="str">
        <f t="shared" si="32"/>
        <v>No</v>
      </c>
      <c r="AU156" s="35" t="str">
        <f>IF(E156="","",IF(ISNA(VLOOKUP($E156,'A-1 On-Site Habitat Baseline'!$D$1:$AV$258,4,FALSE)),"",(VLOOKUP($E156,'A-1 On-Site Habitat Baseline'!$D$1:$AV$258,4,FALSE))))</f>
        <v/>
      </c>
    </row>
    <row r="157" spans="1:47" ht="14">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05" t="str">
        <f>'A-1 On-Site Habitat Baseline'!AL156</f>
        <v/>
      </c>
      <c r="F157" s="295" t="str">
        <f>IF(E157="","",IF(ISNA(VLOOKUP($E157,'A-1 On-Site Habitat Baseline'!$D$1:$AV$258,45,FALSE)),"",(VLOOKUP($E157,'A-1 On-Site Habitat Baseline'!$D$1:$AV$258,45,FALSE))))</f>
        <v/>
      </c>
      <c r="G157" s="295" t="str">
        <f>IF(E157="","",IF(ISNA(VLOOKUP($E157,'A-1 On-Site Habitat Baseline'!$D$1:$O$258,5,FALSE)),"",(VLOOKUP($E157,'A-1 On-Site Habitat Baseline'!$D$1:$O$258,5,FALSE))))</f>
        <v/>
      </c>
      <c r="H157" s="295" t="str">
        <f>IF(E157="","",IF(ISNA(VLOOKUP($E157,'A-1 On-Site Habitat Baseline'!$D$1:$O$258,6,FALSE)),"",(VLOOKUP($E157,'A-1 On-Site Habitat Baseline'!$D$1:$O$258,6,FALSE))))</f>
        <v/>
      </c>
      <c r="I157" s="295" t="str">
        <f>IF(E157="","",IF(ISNA(VLOOKUP($E157,'A-1 On-Site Habitat Baseline'!$D$1:$O$258,7,FALSE)),"",(VLOOKUP($E157,'A-1 On-Site Habitat Baseline'!$D$1:$O$258,7,FALSE))))</f>
        <v/>
      </c>
      <c r="J157" s="295" t="str">
        <f>IF(E157="","",IF(ISNA(VLOOKUP($E157,'A-1 On-Site Habitat Baseline'!$D$1:$O$258,8,FALSE)),"",(VLOOKUP($E157,'A-1 On-Site Habitat Baseline'!$D$1:$O$258,8,FALSE))))</f>
        <v/>
      </c>
      <c r="K157" s="295" t="str">
        <f>IF(E157="","",IF(ISNA(VLOOKUP($E157,'A-1 On-Site Habitat Baseline'!$D$1:$O$258,9,FALSE)),"",(VLOOKUP($E157,'A-1 On-Site Habitat Baseline'!$D$1:$O$258,9,FALSE))))</f>
        <v/>
      </c>
      <c r="L157" s="295" t="str">
        <f>IF(E157="","",IF(ISNA(VLOOKUP($E157,'A-1 On-Site Habitat Baseline'!$D$1:$O$258,11,FALSE)),"",(VLOOKUP($E157,'A-1 On-Site Habitat Baseline'!$D$1:$O$258,11,FALSE))))</f>
        <v/>
      </c>
      <c r="M157" s="295" t="str">
        <f>IF(E157="","",IF(ISNA(VLOOKUP($E157,'A-1 On-Site Habitat Baseline'!$D$1:$O$258,12,FALSE)),"",(VLOOKUP($E157,'A-1 On-Site Habitat Baseline'!$D$1:$O$258,12,FALSE))))</f>
        <v/>
      </c>
      <c r="N157" s="306" t="str">
        <f>IF(E157="","",IF(ISNA(VLOOKUP($E157,'A-1 On-Site Habitat Baseline'!$D$1:$X$258,14,FALSE)),"",(VLOOKUP($E157,'A-1 On-Site Habitat Baseline'!$D$1:$X$258,14,FALSE))))</f>
        <v/>
      </c>
      <c r="O157" s="299" t="str">
        <f>IF(E157="","",IF(ISNA(VLOOKUP($E157,'A-1 On-Site Habitat Baseline'!$D$1:$X$258,16,FALSE)),"",(VLOOKUP($E157,'A-1 On-Site Habitat Baseline'!$D$1:$X$258,13,FALSE))))</f>
        <v/>
      </c>
      <c r="P157" s="154" t="str">
        <f>IFERROR(INDEX('G-1 All Habitats'!$AG$49:$AG$63,MATCH(Q157,'G-1 All Habitats'!$AF$27:$AF$41,0)),"")</f>
        <v/>
      </c>
      <c r="Q157" s="155" t="str">
        <f t="shared" si="24"/>
        <v/>
      </c>
      <c r="R157" s="155"/>
      <c r="S157" s="237" t="str">
        <f>IFERROR(INDEX('G-1 All Habitats'!$B$3:$B$135,MATCH(R157,'G-1 All Habitats'!$A$3:$A$135,0)),"")</f>
        <v/>
      </c>
      <c r="T157" s="275" t="str">
        <f t="shared" si="25"/>
        <v/>
      </c>
      <c r="U157" s="276" t="str">
        <f t="shared" si="26"/>
        <v/>
      </c>
      <c r="V157" s="311" t="str">
        <f t="shared" si="22"/>
        <v/>
      </c>
      <c r="W157" s="295" t="str">
        <f>IF(S157="","",VLOOKUP(S157,'G-1 All Habitats'!$B$2:$M$135,10,FALSE))</f>
        <v/>
      </c>
      <c r="X157" s="295" t="str">
        <f>IFERROR(VLOOKUP(W157,'G-1 All Habitats'!$V$3:$W$7,2,FALSE),"")</f>
        <v/>
      </c>
      <c r="Y157" s="57"/>
      <c r="Z157" s="299" t="str">
        <f>IFERROR(INDEX('G-8 Condition Look up'!$A$3:$H$135,MATCH(S157,'G-8 Condition Look up'!$A$3:$A$135,0),MATCH(Y157,'G-8 Condition Look up'!$A$3:$H$3,0)),"")</f>
        <v/>
      </c>
      <c r="AA157" s="52"/>
      <c r="AB157" s="295" t="str">
        <f>IF(AA157="","",IF(VLOOKUP(AA157,'G-3 Multipliers'!$L$3:$N$6,2,FALSE)=0,"Spatial Data Missing ⚠",VLOOKUP(AA157,'G-3 Multipliers'!$L$3:$N$6,2,FALSE)))</f>
        <v/>
      </c>
      <c r="AC157" s="299" t="str">
        <f>IF(AA157="","",IF(VLOOKUP(AA157,'G-3 Multipliers'!$L$3:$N$6,3,FALSE)=0,"Spatial Data Missing ⚠",VLOOKUP(AA157,'G-3 Multipliers'!$L$3:$N$6,3,FALSE)))</f>
        <v/>
      </c>
      <c r="AD157" s="313" t="str">
        <f t="shared" si="23"/>
        <v/>
      </c>
      <c r="AE157" s="58"/>
      <c r="AF157" s="58"/>
      <c r="AG157" s="283" t="str">
        <f t="shared" si="27"/>
        <v/>
      </c>
      <c r="AH157" s="296" t="str">
        <f t="shared" si="28"/>
        <v/>
      </c>
      <c r="AI157" s="297" t="str">
        <f>IF(AH157="Check Data ⚠","Check Data ⚠",IFERROR(VLOOKUP(AH157,'G-4 Temporal multipliers'!$A$4:$C$36,3,FALSE),""))</f>
        <v/>
      </c>
      <c r="AJ157" s="275" t="str">
        <f>IF(S157="","",VLOOKUP(S157,'G-3 Multipliers'!$A$2:$E$134,4,FALSE))</f>
        <v/>
      </c>
      <c r="AK157" s="283" t="str">
        <f t="shared" si="29"/>
        <v/>
      </c>
      <c r="AL157" s="283" t="str">
        <f t="shared" si="30"/>
        <v/>
      </c>
      <c r="AM157" s="314" t="str">
        <f>IFERROR(IF(F157="","",IF(AH157="Check Data ⚠","Check Data ⚠",VLOOKUP(AL157,'G-3 Multipliers'!$P$2:$Q$6,2,FALSE))),"")</f>
        <v/>
      </c>
      <c r="AN157" s="289" t="str">
        <f t="shared" si="31"/>
        <v/>
      </c>
      <c r="AO157" s="52"/>
      <c r="AP157" s="51"/>
      <c r="AQ157" s="104"/>
      <c r="AT157" s="35" t="str">
        <f t="shared" si="32"/>
        <v>No</v>
      </c>
      <c r="AU157" s="35" t="str">
        <f>IF(E157="","",IF(ISNA(VLOOKUP($E157,'A-1 On-Site Habitat Baseline'!$D$1:$AV$258,4,FALSE)),"",(VLOOKUP($E157,'A-1 On-Site Habitat Baseline'!$D$1:$AV$258,4,FALSE))))</f>
        <v/>
      </c>
    </row>
    <row r="158" spans="1:47" ht="14">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05" t="str">
        <f>'A-1 On-Site Habitat Baseline'!AL157</f>
        <v/>
      </c>
      <c r="F158" s="295" t="str">
        <f>IF(E158="","",IF(ISNA(VLOOKUP($E158,'A-1 On-Site Habitat Baseline'!$D$1:$AV$258,45,FALSE)),"",(VLOOKUP($E158,'A-1 On-Site Habitat Baseline'!$D$1:$AV$258,45,FALSE))))</f>
        <v/>
      </c>
      <c r="G158" s="295" t="str">
        <f>IF(E158="","",IF(ISNA(VLOOKUP($E158,'A-1 On-Site Habitat Baseline'!$D$1:$O$258,5,FALSE)),"",(VLOOKUP($E158,'A-1 On-Site Habitat Baseline'!$D$1:$O$258,5,FALSE))))</f>
        <v/>
      </c>
      <c r="H158" s="295" t="str">
        <f>IF(E158="","",IF(ISNA(VLOOKUP($E158,'A-1 On-Site Habitat Baseline'!$D$1:$O$258,6,FALSE)),"",(VLOOKUP($E158,'A-1 On-Site Habitat Baseline'!$D$1:$O$258,6,FALSE))))</f>
        <v/>
      </c>
      <c r="I158" s="295" t="str">
        <f>IF(E158="","",IF(ISNA(VLOOKUP($E158,'A-1 On-Site Habitat Baseline'!$D$1:$O$258,7,FALSE)),"",(VLOOKUP($E158,'A-1 On-Site Habitat Baseline'!$D$1:$O$258,7,FALSE))))</f>
        <v/>
      </c>
      <c r="J158" s="295" t="str">
        <f>IF(E158="","",IF(ISNA(VLOOKUP($E158,'A-1 On-Site Habitat Baseline'!$D$1:$O$258,8,FALSE)),"",(VLOOKUP($E158,'A-1 On-Site Habitat Baseline'!$D$1:$O$258,8,FALSE))))</f>
        <v/>
      </c>
      <c r="K158" s="295" t="str">
        <f>IF(E158="","",IF(ISNA(VLOOKUP($E158,'A-1 On-Site Habitat Baseline'!$D$1:$O$258,9,FALSE)),"",(VLOOKUP($E158,'A-1 On-Site Habitat Baseline'!$D$1:$O$258,9,FALSE))))</f>
        <v/>
      </c>
      <c r="L158" s="295" t="str">
        <f>IF(E158="","",IF(ISNA(VLOOKUP($E158,'A-1 On-Site Habitat Baseline'!$D$1:$O$258,11,FALSE)),"",(VLOOKUP($E158,'A-1 On-Site Habitat Baseline'!$D$1:$O$258,11,FALSE))))</f>
        <v/>
      </c>
      <c r="M158" s="295" t="str">
        <f>IF(E158="","",IF(ISNA(VLOOKUP($E158,'A-1 On-Site Habitat Baseline'!$D$1:$O$258,12,FALSE)),"",(VLOOKUP($E158,'A-1 On-Site Habitat Baseline'!$D$1:$O$258,12,FALSE))))</f>
        <v/>
      </c>
      <c r="N158" s="306" t="str">
        <f>IF(E158="","",IF(ISNA(VLOOKUP($E158,'A-1 On-Site Habitat Baseline'!$D$1:$X$258,14,FALSE)),"",(VLOOKUP($E158,'A-1 On-Site Habitat Baseline'!$D$1:$X$258,14,FALSE))))</f>
        <v/>
      </c>
      <c r="O158" s="299" t="str">
        <f>IF(E158="","",IF(ISNA(VLOOKUP($E158,'A-1 On-Site Habitat Baseline'!$D$1:$X$258,16,FALSE)),"",(VLOOKUP($E158,'A-1 On-Site Habitat Baseline'!$D$1:$X$258,13,FALSE))))</f>
        <v/>
      </c>
      <c r="P158" s="154" t="str">
        <f>IFERROR(INDEX('G-1 All Habitats'!$AG$49:$AG$63,MATCH(Q158,'G-1 All Habitats'!$AF$27:$AF$41,0)),"")</f>
        <v/>
      </c>
      <c r="Q158" s="155" t="str">
        <f t="shared" si="24"/>
        <v/>
      </c>
      <c r="R158" s="155"/>
      <c r="S158" s="237" t="str">
        <f>IFERROR(INDEX('G-1 All Habitats'!$B$3:$B$135,MATCH(R158,'G-1 All Habitats'!$A$3:$A$135,0)),"")</f>
        <v/>
      </c>
      <c r="T158" s="275" t="str">
        <f t="shared" si="25"/>
        <v/>
      </c>
      <c r="U158" s="276" t="str">
        <f t="shared" si="26"/>
        <v/>
      </c>
      <c r="V158" s="311" t="str">
        <f t="shared" si="22"/>
        <v/>
      </c>
      <c r="W158" s="295" t="str">
        <f>IF(S158="","",VLOOKUP(S158,'G-1 All Habitats'!$B$2:$M$135,10,FALSE))</f>
        <v/>
      </c>
      <c r="X158" s="295" t="str">
        <f>IFERROR(VLOOKUP(W158,'G-1 All Habitats'!$V$3:$W$7,2,FALSE),"")</f>
        <v/>
      </c>
      <c r="Y158" s="57"/>
      <c r="Z158" s="299" t="str">
        <f>IFERROR(INDEX('G-8 Condition Look up'!$A$3:$H$135,MATCH(S158,'G-8 Condition Look up'!$A$3:$A$135,0),MATCH(Y158,'G-8 Condition Look up'!$A$3:$H$3,0)),"")</f>
        <v/>
      </c>
      <c r="AA158" s="52"/>
      <c r="AB158" s="295" t="str">
        <f>IF(AA158="","",IF(VLOOKUP(AA158,'G-3 Multipliers'!$L$3:$N$6,2,FALSE)=0,"Spatial Data Missing ⚠",VLOOKUP(AA158,'G-3 Multipliers'!$L$3:$N$6,2,FALSE)))</f>
        <v/>
      </c>
      <c r="AC158" s="299" t="str">
        <f>IF(AA158="","",IF(VLOOKUP(AA158,'G-3 Multipliers'!$L$3:$N$6,3,FALSE)=0,"Spatial Data Missing ⚠",VLOOKUP(AA158,'G-3 Multipliers'!$L$3:$N$6,3,FALSE)))</f>
        <v/>
      </c>
      <c r="AD158" s="313" t="str">
        <f t="shared" si="23"/>
        <v/>
      </c>
      <c r="AE158" s="58"/>
      <c r="AF158" s="58"/>
      <c r="AG158" s="283" t="str">
        <f t="shared" si="27"/>
        <v/>
      </c>
      <c r="AH158" s="296" t="str">
        <f t="shared" si="28"/>
        <v/>
      </c>
      <c r="AI158" s="297" t="str">
        <f>IF(AH158="Check Data ⚠","Check Data ⚠",IFERROR(VLOOKUP(AH158,'G-4 Temporal multipliers'!$A$4:$C$36,3,FALSE),""))</f>
        <v/>
      </c>
      <c r="AJ158" s="275" t="str">
        <f>IF(S158="","",VLOOKUP(S158,'G-3 Multipliers'!$A$2:$E$134,4,FALSE))</f>
        <v/>
      </c>
      <c r="AK158" s="283" t="str">
        <f t="shared" si="29"/>
        <v/>
      </c>
      <c r="AL158" s="283" t="str">
        <f t="shared" si="30"/>
        <v/>
      </c>
      <c r="AM158" s="314" t="str">
        <f>IFERROR(IF(F158="","",IF(AH158="Check Data ⚠","Check Data ⚠",VLOOKUP(AL158,'G-3 Multipliers'!$P$2:$Q$6,2,FALSE))),"")</f>
        <v/>
      </c>
      <c r="AN158" s="289" t="str">
        <f t="shared" si="31"/>
        <v/>
      </c>
      <c r="AO158" s="52"/>
      <c r="AP158" s="51"/>
      <c r="AQ158" s="104"/>
      <c r="AT158" s="35" t="str">
        <f t="shared" si="32"/>
        <v>No</v>
      </c>
      <c r="AU158" s="35" t="str">
        <f>IF(E158="","",IF(ISNA(VLOOKUP($E158,'A-1 On-Site Habitat Baseline'!$D$1:$AV$258,4,FALSE)),"",(VLOOKUP($E158,'A-1 On-Site Habitat Baseline'!$D$1:$AV$258,4,FALSE))))</f>
        <v/>
      </c>
    </row>
    <row r="159" spans="1:47" ht="14">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05" t="str">
        <f>'A-1 On-Site Habitat Baseline'!AL158</f>
        <v/>
      </c>
      <c r="F159" s="295" t="str">
        <f>IF(E159="","",IF(ISNA(VLOOKUP($E159,'A-1 On-Site Habitat Baseline'!$D$1:$AV$258,45,FALSE)),"",(VLOOKUP($E159,'A-1 On-Site Habitat Baseline'!$D$1:$AV$258,45,FALSE))))</f>
        <v/>
      </c>
      <c r="G159" s="295" t="str">
        <f>IF(E159="","",IF(ISNA(VLOOKUP($E159,'A-1 On-Site Habitat Baseline'!$D$1:$O$258,5,FALSE)),"",(VLOOKUP($E159,'A-1 On-Site Habitat Baseline'!$D$1:$O$258,5,FALSE))))</f>
        <v/>
      </c>
      <c r="H159" s="295" t="str">
        <f>IF(E159="","",IF(ISNA(VLOOKUP($E159,'A-1 On-Site Habitat Baseline'!$D$1:$O$258,6,FALSE)),"",(VLOOKUP($E159,'A-1 On-Site Habitat Baseline'!$D$1:$O$258,6,FALSE))))</f>
        <v/>
      </c>
      <c r="I159" s="295" t="str">
        <f>IF(E159="","",IF(ISNA(VLOOKUP($E159,'A-1 On-Site Habitat Baseline'!$D$1:$O$258,7,FALSE)),"",(VLOOKUP($E159,'A-1 On-Site Habitat Baseline'!$D$1:$O$258,7,FALSE))))</f>
        <v/>
      </c>
      <c r="J159" s="295" t="str">
        <f>IF(E159="","",IF(ISNA(VLOOKUP($E159,'A-1 On-Site Habitat Baseline'!$D$1:$O$258,8,FALSE)),"",(VLOOKUP($E159,'A-1 On-Site Habitat Baseline'!$D$1:$O$258,8,FALSE))))</f>
        <v/>
      </c>
      <c r="K159" s="295" t="str">
        <f>IF(E159="","",IF(ISNA(VLOOKUP($E159,'A-1 On-Site Habitat Baseline'!$D$1:$O$258,9,FALSE)),"",(VLOOKUP($E159,'A-1 On-Site Habitat Baseline'!$D$1:$O$258,9,FALSE))))</f>
        <v/>
      </c>
      <c r="L159" s="295" t="str">
        <f>IF(E159="","",IF(ISNA(VLOOKUP($E159,'A-1 On-Site Habitat Baseline'!$D$1:$O$258,11,FALSE)),"",(VLOOKUP($E159,'A-1 On-Site Habitat Baseline'!$D$1:$O$258,11,FALSE))))</f>
        <v/>
      </c>
      <c r="M159" s="295" t="str">
        <f>IF(E159="","",IF(ISNA(VLOOKUP($E159,'A-1 On-Site Habitat Baseline'!$D$1:$O$258,12,FALSE)),"",(VLOOKUP($E159,'A-1 On-Site Habitat Baseline'!$D$1:$O$258,12,FALSE))))</f>
        <v/>
      </c>
      <c r="N159" s="306" t="str">
        <f>IF(E159="","",IF(ISNA(VLOOKUP($E159,'A-1 On-Site Habitat Baseline'!$D$1:$X$258,14,FALSE)),"",(VLOOKUP($E159,'A-1 On-Site Habitat Baseline'!$D$1:$X$258,14,FALSE))))</f>
        <v/>
      </c>
      <c r="O159" s="299" t="str">
        <f>IF(E159="","",IF(ISNA(VLOOKUP($E159,'A-1 On-Site Habitat Baseline'!$D$1:$X$258,16,FALSE)),"",(VLOOKUP($E159,'A-1 On-Site Habitat Baseline'!$D$1:$X$258,13,FALSE))))</f>
        <v/>
      </c>
      <c r="P159" s="154" t="str">
        <f>IFERROR(INDEX('G-1 All Habitats'!$AG$49:$AG$63,MATCH(Q159,'G-1 All Habitats'!$AF$27:$AF$41,0)),"")</f>
        <v/>
      </c>
      <c r="Q159" s="155" t="str">
        <f t="shared" si="24"/>
        <v/>
      </c>
      <c r="R159" s="155"/>
      <c r="S159" s="237" t="str">
        <f>IFERROR(INDEX('G-1 All Habitats'!$B$3:$B$135,MATCH(R159,'G-1 All Habitats'!$A$3:$A$135,0)),"")</f>
        <v/>
      </c>
      <c r="T159" s="275" t="str">
        <f t="shared" si="25"/>
        <v/>
      </c>
      <c r="U159" s="276" t="str">
        <f t="shared" si="26"/>
        <v/>
      </c>
      <c r="V159" s="311" t="str">
        <f t="shared" si="22"/>
        <v/>
      </c>
      <c r="W159" s="295" t="str">
        <f>IF(S159="","",VLOOKUP(S159,'G-1 All Habitats'!$B$2:$M$135,10,FALSE))</f>
        <v/>
      </c>
      <c r="X159" s="295" t="str">
        <f>IFERROR(VLOOKUP(W159,'G-1 All Habitats'!$V$3:$W$7,2,FALSE),"")</f>
        <v/>
      </c>
      <c r="Y159" s="57"/>
      <c r="Z159" s="299" t="str">
        <f>IFERROR(INDEX('G-8 Condition Look up'!$A$3:$H$135,MATCH(S159,'G-8 Condition Look up'!$A$3:$A$135,0),MATCH(Y159,'G-8 Condition Look up'!$A$3:$H$3,0)),"")</f>
        <v/>
      </c>
      <c r="AA159" s="52"/>
      <c r="AB159" s="295" t="str">
        <f>IF(AA159="","",IF(VLOOKUP(AA159,'G-3 Multipliers'!$L$3:$N$6,2,FALSE)=0,"Spatial Data Missing ⚠",VLOOKUP(AA159,'G-3 Multipliers'!$L$3:$N$6,2,FALSE)))</f>
        <v/>
      </c>
      <c r="AC159" s="299" t="str">
        <f>IF(AA159="","",IF(VLOOKUP(AA159,'G-3 Multipliers'!$L$3:$N$6,3,FALSE)=0,"Spatial Data Missing ⚠",VLOOKUP(AA159,'G-3 Multipliers'!$L$3:$N$6,3,FALSE)))</f>
        <v/>
      </c>
      <c r="AD159" s="313" t="str">
        <f t="shared" si="23"/>
        <v/>
      </c>
      <c r="AE159" s="58"/>
      <c r="AF159" s="58"/>
      <c r="AG159" s="283" t="str">
        <f t="shared" si="27"/>
        <v/>
      </c>
      <c r="AH159" s="296" t="str">
        <f t="shared" si="28"/>
        <v/>
      </c>
      <c r="AI159" s="297" t="str">
        <f>IF(AH159="Check Data ⚠","Check Data ⚠",IFERROR(VLOOKUP(AH159,'G-4 Temporal multipliers'!$A$4:$C$36,3,FALSE),""))</f>
        <v/>
      </c>
      <c r="AJ159" s="275" t="str">
        <f>IF(S159="","",VLOOKUP(S159,'G-3 Multipliers'!$A$2:$E$134,4,FALSE))</f>
        <v/>
      </c>
      <c r="AK159" s="283" t="str">
        <f t="shared" si="29"/>
        <v/>
      </c>
      <c r="AL159" s="283" t="str">
        <f t="shared" si="30"/>
        <v/>
      </c>
      <c r="AM159" s="314" t="str">
        <f>IFERROR(IF(F159="","",IF(AH159="Check Data ⚠","Check Data ⚠",VLOOKUP(AL159,'G-3 Multipliers'!$P$2:$Q$6,2,FALSE))),"")</f>
        <v/>
      </c>
      <c r="AN159" s="289" t="str">
        <f t="shared" si="31"/>
        <v/>
      </c>
      <c r="AO159" s="52"/>
      <c r="AP159" s="51"/>
      <c r="AQ159" s="104"/>
      <c r="AT159" s="35" t="str">
        <f t="shared" si="32"/>
        <v>No</v>
      </c>
      <c r="AU159" s="35" t="str">
        <f>IF(E159="","",IF(ISNA(VLOOKUP($E159,'A-1 On-Site Habitat Baseline'!$D$1:$AV$258,4,FALSE)),"",(VLOOKUP($E159,'A-1 On-Site Habitat Baseline'!$D$1:$AV$258,4,FALSE))))</f>
        <v/>
      </c>
    </row>
    <row r="160" spans="1:47" ht="14">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05" t="str">
        <f>'A-1 On-Site Habitat Baseline'!AL159</f>
        <v/>
      </c>
      <c r="F160" s="295" t="str">
        <f>IF(E160="","",IF(ISNA(VLOOKUP($E160,'A-1 On-Site Habitat Baseline'!$D$1:$AV$258,45,FALSE)),"",(VLOOKUP($E160,'A-1 On-Site Habitat Baseline'!$D$1:$AV$258,45,FALSE))))</f>
        <v/>
      </c>
      <c r="G160" s="295" t="str">
        <f>IF(E160="","",IF(ISNA(VLOOKUP($E160,'A-1 On-Site Habitat Baseline'!$D$1:$O$258,5,FALSE)),"",(VLOOKUP($E160,'A-1 On-Site Habitat Baseline'!$D$1:$O$258,5,FALSE))))</f>
        <v/>
      </c>
      <c r="H160" s="295" t="str">
        <f>IF(E160="","",IF(ISNA(VLOOKUP($E160,'A-1 On-Site Habitat Baseline'!$D$1:$O$258,6,FALSE)),"",(VLOOKUP($E160,'A-1 On-Site Habitat Baseline'!$D$1:$O$258,6,FALSE))))</f>
        <v/>
      </c>
      <c r="I160" s="295" t="str">
        <f>IF(E160="","",IF(ISNA(VLOOKUP($E160,'A-1 On-Site Habitat Baseline'!$D$1:$O$258,7,FALSE)),"",(VLOOKUP($E160,'A-1 On-Site Habitat Baseline'!$D$1:$O$258,7,FALSE))))</f>
        <v/>
      </c>
      <c r="J160" s="295" t="str">
        <f>IF(E160="","",IF(ISNA(VLOOKUP($E160,'A-1 On-Site Habitat Baseline'!$D$1:$O$258,8,FALSE)),"",(VLOOKUP($E160,'A-1 On-Site Habitat Baseline'!$D$1:$O$258,8,FALSE))))</f>
        <v/>
      </c>
      <c r="K160" s="295" t="str">
        <f>IF(E160="","",IF(ISNA(VLOOKUP($E160,'A-1 On-Site Habitat Baseline'!$D$1:$O$258,9,FALSE)),"",(VLOOKUP($E160,'A-1 On-Site Habitat Baseline'!$D$1:$O$258,9,FALSE))))</f>
        <v/>
      </c>
      <c r="L160" s="295" t="str">
        <f>IF(E160="","",IF(ISNA(VLOOKUP($E160,'A-1 On-Site Habitat Baseline'!$D$1:$O$258,11,FALSE)),"",(VLOOKUP($E160,'A-1 On-Site Habitat Baseline'!$D$1:$O$258,11,FALSE))))</f>
        <v/>
      </c>
      <c r="M160" s="295" t="str">
        <f>IF(E160="","",IF(ISNA(VLOOKUP($E160,'A-1 On-Site Habitat Baseline'!$D$1:$O$258,12,FALSE)),"",(VLOOKUP($E160,'A-1 On-Site Habitat Baseline'!$D$1:$O$258,12,FALSE))))</f>
        <v/>
      </c>
      <c r="N160" s="306" t="str">
        <f>IF(E160="","",IF(ISNA(VLOOKUP($E160,'A-1 On-Site Habitat Baseline'!$D$1:$X$258,14,FALSE)),"",(VLOOKUP($E160,'A-1 On-Site Habitat Baseline'!$D$1:$X$258,14,FALSE))))</f>
        <v/>
      </c>
      <c r="O160" s="299" t="str">
        <f>IF(E160="","",IF(ISNA(VLOOKUP($E160,'A-1 On-Site Habitat Baseline'!$D$1:$X$258,16,FALSE)),"",(VLOOKUP($E160,'A-1 On-Site Habitat Baseline'!$D$1:$X$258,13,FALSE))))</f>
        <v/>
      </c>
      <c r="P160" s="154" t="str">
        <f>IFERROR(INDEX('G-1 All Habitats'!$AG$49:$AG$63,MATCH(Q160,'G-1 All Habitats'!$AF$27:$AF$41,0)),"")</f>
        <v/>
      </c>
      <c r="Q160" s="155" t="str">
        <f t="shared" si="24"/>
        <v/>
      </c>
      <c r="R160" s="155"/>
      <c r="S160" s="237" t="str">
        <f>IFERROR(INDEX('G-1 All Habitats'!$B$3:$B$135,MATCH(R160,'G-1 All Habitats'!$A$3:$A$135,0)),"")</f>
        <v/>
      </c>
      <c r="T160" s="275" t="str">
        <f t="shared" si="25"/>
        <v/>
      </c>
      <c r="U160" s="276" t="str">
        <f t="shared" si="26"/>
        <v/>
      </c>
      <c r="V160" s="311" t="str">
        <f t="shared" si="22"/>
        <v/>
      </c>
      <c r="W160" s="295" t="str">
        <f>IF(S160="","",VLOOKUP(S160,'G-1 All Habitats'!$B$2:$M$135,10,FALSE))</f>
        <v/>
      </c>
      <c r="X160" s="295" t="str">
        <f>IFERROR(VLOOKUP(W160,'G-1 All Habitats'!$V$3:$W$7,2,FALSE),"")</f>
        <v/>
      </c>
      <c r="Y160" s="57"/>
      <c r="Z160" s="299" t="str">
        <f>IFERROR(INDEX('G-8 Condition Look up'!$A$3:$H$135,MATCH(S160,'G-8 Condition Look up'!$A$3:$A$135,0),MATCH(Y160,'G-8 Condition Look up'!$A$3:$H$3,0)),"")</f>
        <v/>
      </c>
      <c r="AA160" s="52"/>
      <c r="AB160" s="295" t="str">
        <f>IF(AA160="","",IF(VLOOKUP(AA160,'G-3 Multipliers'!$L$3:$N$6,2,FALSE)=0,"Spatial Data Missing ⚠",VLOOKUP(AA160,'G-3 Multipliers'!$L$3:$N$6,2,FALSE)))</f>
        <v/>
      </c>
      <c r="AC160" s="299" t="str">
        <f>IF(AA160="","",IF(VLOOKUP(AA160,'G-3 Multipliers'!$L$3:$N$6,3,FALSE)=0,"Spatial Data Missing ⚠",VLOOKUP(AA160,'G-3 Multipliers'!$L$3:$N$6,3,FALSE)))</f>
        <v/>
      </c>
      <c r="AD160" s="313" t="str">
        <f t="shared" si="23"/>
        <v/>
      </c>
      <c r="AE160" s="58"/>
      <c r="AF160" s="58"/>
      <c r="AG160" s="283" t="str">
        <f t="shared" si="27"/>
        <v/>
      </c>
      <c r="AH160" s="296" t="str">
        <f t="shared" si="28"/>
        <v/>
      </c>
      <c r="AI160" s="297" t="str">
        <f>IF(AH160="Check Data ⚠","Check Data ⚠",IFERROR(VLOOKUP(AH160,'G-4 Temporal multipliers'!$A$4:$C$36,3,FALSE),""))</f>
        <v/>
      </c>
      <c r="AJ160" s="275" t="str">
        <f>IF(S160="","",VLOOKUP(S160,'G-3 Multipliers'!$A$2:$E$134,4,FALSE))</f>
        <v/>
      </c>
      <c r="AK160" s="283" t="str">
        <f t="shared" si="29"/>
        <v/>
      </c>
      <c r="AL160" s="283" t="str">
        <f t="shared" si="30"/>
        <v/>
      </c>
      <c r="AM160" s="314" t="str">
        <f>IFERROR(IF(F160="","",IF(AH160="Check Data ⚠","Check Data ⚠",VLOOKUP(AL160,'G-3 Multipliers'!$P$2:$Q$6,2,FALSE))),"")</f>
        <v/>
      </c>
      <c r="AN160" s="289" t="str">
        <f t="shared" si="31"/>
        <v/>
      </c>
      <c r="AO160" s="52"/>
      <c r="AP160" s="51"/>
      <c r="AQ160" s="104"/>
      <c r="AT160" s="35" t="str">
        <f t="shared" si="32"/>
        <v>No</v>
      </c>
      <c r="AU160" s="35" t="str">
        <f>IF(E160="","",IF(ISNA(VLOOKUP($E160,'A-1 On-Site Habitat Baseline'!$D$1:$AV$258,4,FALSE)),"",(VLOOKUP($E160,'A-1 On-Site Habitat Baseline'!$D$1:$AV$258,4,FALSE))))</f>
        <v/>
      </c>
    </row>
    <row r="161" spans="1:47" ht="14">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05" t="str">
        <f>'A-1 On-Site Habitat Baseline'!AL160</f>
        <v/>
      </c>
      <c r="F161" s="295" t="str">
        <f>IF(E161="","",IF(ISNA(VLOOKUP($E161,'A-1 On-Site Habitat Baseline'!$D$1:$AV$258,45,FALSE)),"",(VLOOKUP($E161,'A-1 On-Site Habitat Baseline'!$D$1:$AV$258,45,FALSE))))</f>
        <v/>
      </c>
      <c r="G161" s="295" t="str">
        <f>IF(E161="","",IF(ISNA(VLOOKUP($E161,'A-1 On-Site Habitat Baseline'!$D$1:$O$258,5,FALSE)),"",(VLOOKUP($E161,'A-1 On-Site Habitat Baseline'!$D$1:$O$258,5,FALSE))))</f>
        <v/>
      </c>
      <c r="H161" s="295" t="str">
        <f>IF(E161="","",IF(ISNA(VLOOKUP($E161,'A-1 On-Site Habitat Baseline'!$D$1:$O$258,6,FALSE)),"",(VLOOKUP($E161,'A-1 On-Site Habitat Baseline'!$D$1:$O$258,6,FALSE))))</f>
        <v/>
      </c>
      <c r="I161" s="295" t="str">
        <f>IF(E161="","",IF(ISNA(VLOOKUP($E161,'A-1 On-Site Habitat Baseline'!$D$1:$O$258,7,FALSE)),"",(VLOOKUP($E161,'A-1 On-Site Habitat Baseline'!$D$1:$O$258,7,FALSE))))</f>
        <v/>
      </c>
      <c r="J161" s="295" t="str">
        <f>IF(E161="","",IF(ISNA(VLOOKUP($E161,'A-1 On-Site Habitat Baseline'!$D$1:$O$258,8,FALSE)),"",(VLOOKUP($E161,'A-1 On-Site Habitat Baseline'!$D$1:$O$258,8,FALSE))))</f>
        <v/>
      </c>
      <c r="K161" s="295" t="str">
        <f>IF(E161="","",IF(ISNA(VLOOKUP($E161,'A-1 On-Site Habitat Baseline'!$D$1:$O$258,9,FALSE)),"",(VLOOKUP($E161,'A-1 On-Site Habitat Baseline'!$D$1:$O$258,9,FALSE))))</f>
        <v/>
      </c>
      <c r="L161" s="295" t="str">
        <f>IF(E161="","",IF(ISNA(VLOOKUP($E161,'A-1 On-Site Habitat Baseline'!$D$1:$O$258,11,FALSE)),"",(VLOOKUP($E161,'A-1 On-Site Habitat Baseline'!$D$1:$O$258,11,FALSE))))</f>
        <v/>
      </c>
      <c r="M161" s="295" t="str">
        <f>IF(E161="","",IF(ISNA(VLOOKUP($E161,'A-1 On-Site Habitat Baseline'!$D$1:$O$258,12,FALSE)),"",(VLOOKUP($E161,'A-1 On-Site Habitat Baseline'!$D$1:$O$258,12,FALSE))))</f>
        <v/>
      </c>
      <c r="N161" s="306" t="str">
        <f>IF(E161="","",IF(ISNA(VLOOKUP($E161,'A-1 On-Site Habitat Baseline'!$D$1:$X$258,14,FALSE)),"",(VLOOKUP($E161,'A-1 On-Site Habitat Baseline'!$D$1:$X$258,14,FALSE))))</f>
        <v/>
      </c>
      <c r="O161" s="299" t="str">
        <f>IF(E161="","",IF(ISNA(VLOOKUP($E161,'A-1 On-Site Habitat Baseline'!$D$1:$X$258,16,FALSE)),"",(VLOOKUP($E161,'A-1 On-Site Habitat Baseline'!$D$1:$X$258,13,FALSE))))</f>
        <v/>
      </c>
      <c r="P161" s="154" t="str">
        <f>IFERROR(INDEX('G-1 All Habitats'!$AG$49:$AG$63,MATCH(Q161,'G-1 All Habitats'!$AF$27:$AF$41,0)),"")</f>
        <v/>
      </c>
      <c r="Q161" s="155" t="str">
        <f t="shared" si="24"/>
        <v/>
      </c>
      <c r="R161" s="155"/>
      <c r="S161" s="237" t="str">
        <f>IFERROR(INDEX('G-1 All Habitats'!$B$3:$B$135,MATCH(R161,'G-1 All Habitats'!$A$3:$A$135,0)),"")</f>
        <v/>
      </c>
      <c r="T161" s="275" t="str">
        <f t="shared" si="25"/>
        <v/>
      </c>
      <c r="U161" s="276" t="str">
        <f t="shared" si="26"/>
        <v/>
      </c>
      <c r="V161" s="311" t="str">
        <f t="shared" si="22"/>
        <v/>
      </c>
      <c r="W161" s="295" t="str">
        <f>IF(S161="","",VLOOKUP(S161,'G-1 All Habitats'!$B$2:$M$135,10,FALSE))</f>
        <v/>
      </c>
      <c r="X161" s="295" t="str">
        <f>IFERROR(VLOOKUP(W161,'G-1 All Habitats'!$V$3:$W$7,2,FALSE),"")</f>
        <v/>
      </c>
      <c r="Y161" s="57"/>
      <c r="Z161" s="299" t="str">
        <f>IFERROR(INDEX('G-8 Condition Look up'!$A$3:$H$135,MATCH(S161,'G-8 Condition Look up'!$A$3:$A$135,0),MATCH(Y161,'G-8 Condition Look up'!$A$3:$H$3,0)),"")</f>
        <v/>
      </c>
      <c r="AA161" s="52"/>
      <c r="AB161" s="295" t="str">
        <f>IF(AA161="","",IF(VLOOKUP(AA161,'G-3 Multipliers'!$L$3:$N$6,2,FALSE)=0,"Spatial Data Missing ⚠",VLOOKUP(AA161,'G-3 Multipliers'!$L$3:$N$6,2,FALSE)))</f>
        <v/>
      </c>
      <c r="AC161" s="299" t="str">
        <f>IF(AA161="","",IF(VLOOKUP(AA161,'G-3 Multipliers'!$L$3:$N$6,3,FALSE)=0,"Spatial Data Missing ⚠",VLOOKUP(AA161,'G-3 Multipliers'!$L$3:$N$6,3,FALSE)))</f>
        <v/>
      </c>
      <c r="AD161" s="313" t="str">
        <f t="shared" si="23"/>
        <v/>
      </c>
      <c r="AE161" s="58"/>
      <c r="AF161" s="58"/>
      <c r="AG161" s="283" t="str">
        <f t="shared" si="27"/>
        <v/>
      </c>
      <c r="AH161" s="296" t="str">
        <f t="shared" si="28"/>
        <v/>
      </c>
      <c r="AI161" s="297" t="str">
        <f>IF(AH161="Check Data ⚠","Check Data ⚠",IFERROR(VLOOKUP(AH161,'G-4 Temporal multipliers'!$A$4:$C$36,3,FALSE),""))</f>
        <v/>
      </c>
      <c r="AJ161" s="275" t="str">
        <f>IF(S161="","",VLOOKUP(S161,'G-3 Multipliers'!$A$2:$E$134,4,FALSE))</f>
        <v/>
      </c>
      <c r="AK161" s="283" t="str">
        <f t="shared" si="29"/>
        <v/>
      </c>
      <c r="AL161" s="283" t="str">
        <f t="shared" si="30"/>
        <v/>
      </c>
      <c r="AM161" s="314" t="str">
        <f>IFERROR(IF(F161="","",IF(AH161="Check Data ⚠","Check Data ⚠",VLOOKUP(AL161,'G-3 Multipliers'!$P$2:$Q$6,2,FALSE))),"")</f>
        <v/>
      </c>
      <c r="AN161" s="289" t="str">
        <f t="shared" si="31"/>
        <v/>
      </c>
      <c r="AO161" s="52"/>
      <c r="AP161" s="51"/>
      <c r="AQ161" s="104"/>
      <c r="AT161" s="35" t="str">
        <f t="shared" si="32"/>
        <v>No</v>
      </c>
      <c r="AU161" s="35" t="str">
        <f>IF(E161="","",IF(ISNA(VLOOKUP($E161,'A-1 On-Site Habitat Baseline'!$D$1:$AV$258,4,FALSE)),"",(VLOOKUP($E161,'A-1 On-Site Habitat Baseline'!$D$1:$AV$258,4,FALSE))))</f>
        <v/>
      </c>
    </row>
    <row r="162" spans="1:47" ht="14">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05" t="str">
        <f>'A-1 On-Site Habitat Baseline'!AL161</f>
        <v/>
      </c>
      <c r="F162" s="295" t="str">
        <f>IF(E162="","",IF(ISNA(VLOOKUP($E162,'A-1 On-Site Habitat Baseline'!$D$1:$AV$258,45,FALSE)),"",(VLOOKUP($E162,'A-1 On-Site Habitat Baseline'!$D$1:$AV$258,45,FALSE))))</f>
        <v/>
      </c>
      <c r="G162" s="295" t="str">
        <f>IF(E162="","",IF(ISNA(VLOOKUP($E162,'A-1 On-Site Habitat Baseline'!$D$1:$O$258,5,FALSE)),"",(VLOOKUP($E162,'A-1 On-Site Habitat Baseline'!$D$1:$O$258,5,FALSE))))</f>
        <v/>
      </c>
      <c r="H162" s="295" t="str">
        <f>IF(E162="","",IF(ISNA(VLOOKUP($E162,'A-1 On-Site Habitat Baseline'!$D$1:$O$258,6,FALSE)),"",(VLOOKUP($E162,'A-1 On-Site Habitat Baseline'!$D$1:$O$258,6,FALSE))))</f>
        <v/>
      </c>
      <c r="I162" s="295" t="str">
        <f>IF(E162="","",IF(ISNA(VLOOKUP($E162,'A-1 On-Site Habitat Baseline'!$D$1:$O$258,7,FALSE)),"",(VLOOKUP($E162,'A-1 On-Site Habitat Baseline'!$D$1:$O$258,7,FALSE))))</f>
        <v/>
      </c>
      <c r="J162" s="295" t="str">
        <f>IF(E162="","",IF(ISNA(VLOOKUP($E162,'A-1 On-Site Habitat Baseline'!$D$1:$O$258,8,FALSE)),"",(VLOOKUP($E162,'A-1 On-Site Habitat Baseline'!$D$1:$O$258,8,FALSE))))</f>
        <v/>
      </c>
      <c r="K162" s="295" t="str">
        <f>IF(E162="","",IF(ISNA(VLOOKUP($E162,'A-1 On-Site Habitat Baseline'!$D$1:$O$258,9,FALSE)),"",(VLOOKUP($E162,'A-1 On-Site Habitat Baseline'!$D$1:$O$258,9,FALSE))))</f>
        <v/>
      </c>
      <c r="L162" s="295" t="str">
        <f>IF(E162="","",IF(ISNA(VLOOKUP($E162,'A-1 On-Site Habitat Baseline'!$D$1:$O$258,11,FALSE)),"",(VLOOKUP($E162,'A-1 On-Site Habitat Baseline'!$D$1:$O$258,11,FALSE))))</f>
        <v/>
      </c>
      <c r="M162" s="295" t="str">
        <f>IF(E162="","",IF(ISNA(VLOOKUP($E162,'A-1 On-Site Habitat Baseline'!$D$1:$O$258,12,FALSE)),"",(VLOOKUP($E162,'A-1 On-Site Habitat Baseline'!$D$1:$O$258,12,FALSE))))</f>
        <v/>
      </c>
      <c r="N162" s="306" t="str">
        <f>IF(E162="","",IF(ISNA(VLOOKUP($E162,'A-1 On-Site Habitat Baseline'!$D$1:$X$258,14,FALSE)),"",(VLOOKUP($E162,'A-1 On-Site Habitat Baseline'!$D$1:$X$258,14,FALSE))))</f>
        <v/>
      </c>
      <c r="O162" s="299" t="str">
        <f>IF(E162="","",IF(ISNA(VLOOKUP($E162,'A-1 On-Site Habitat Baseline'!$D$1:$X$258,16,FALSE)),"",(VLOOKUP($E162,'A-1 On-Site Habitat Baseline'!$D$1:$X$258,13,FALSE))))</f>
        <v/>
      </c>
      <c r="P162" s="154" t="str">
        <f>IFERROR(INDEX('G-1 All Habitats'!$AG$49:$AG$63,MATCH(Q162,'G-1 All Habitats'!$AF$27:$AF$41,0)),"")</f>
        <v/>
      </c>
      <c r="Q162" s="155" t="str">
        <f t="shared" si="24"/>
        <v/>
      </c>
      <c r="R162" s="155"/>
      <c r="S162" s="237" t="str">
        <f>IFERROR(INDEX('G-1 All Habitats'!$B$3:$B$135,MATCH(R162,'G-1 All Habitats'!$A$3:$A$135,0)),"")</f>
        <v/>
      </c>
      <c r="T162" s="275" t="str">
        <f t="shared" si="25"/>
        <v/>
      </c>
      <c r="U162" s="276" t="str">
        <f t="shared" si="26"/>
        <v/>
      </c>
      <c r="V162" s="311" t="str">
        <f t="shared" si="22"/>
        <v/>
      </c>
      <c r="W162" s="295" t="str">
        <f>IF(S162="","",VLOOKUP(S162,'G-1 All Habitats'!$B$2:$M$135,10,FALSE))</f>
        <v/>
      </c>
      <c r="X162" s="295" t="str">
        <f>IFERROR(VLOOKUP(W162,'G-1 All Habitats'!$V$3:$W$7,2,FALSE),"")</f>
        <v/>
      </c>
      <c r="Y162" s="57"/>
      <c r="Z162" s="299" t="str">
        <f>IFERROR(INDEX('G-8 Condition Look up'!$A$3:$H$135,MATCH(S162,'G-8 Condition Look up'!$A$3:$A$135,0),MATCH(Y162,'G-8 Condition Look up'!$A$3:$H$3,0)),"")</f>
        <v/>
      </c>
      <c r="AA162" s="52"/>
      <c r="AB162" s="295" t="str">
        <f>IF(AA162="","",IF(VLOOKUP(AA162,'G-3 Multipliers'!$L$3:$N$6,2,FALSE)=0,"Spatial Data Missing ⚠",VLOOKUP(AA162,'G-3 Multipliers'!$L$3:$N$6,2,FALSE)))</f>
        <v/>
      </c>
      <c r="AC162" s="299" t="str">
        <f>IF(AA162="","",IF(VLOOKUP(AA162,'G-3 Multipliers'!$L$3:$N$6,3,FALSE)=0,"Spatial Data Missing ⚠",VLOOKUP(AA162,'G-3 Multipliers'!$L$3:$N$6,3,FALSE)))</f>
        <v/>
      </c>
      <c r="AD162" s="313" t="str">
        <f t="shared" si="23"/>
        <v/>
      </c>
      <c r="AE162" s="58"/>
      <c r="AF162" s="58"/>
      <c r="AG162" s="283" t="str">
        <f t="shared" si="27"/>
        <v/>
      </c>
      <c r="AH162" s="296" t="str">
        <f t="shared" si="28"/>
        <v/>
      </c>
      <c r="AI162" s="297" t="str">
        <f>IF(AH162="Check Data ⚠","Check Data ⚠",IFERROR(VLOOKUP(AH162,'G-4 Temporal multipliers'!$A$4:$C$36,3,FALSE),""))</f>
        <v/>
      </c>
      <c r="AJ162" s="275" t="str">
        <f>IF(S162="","",VLOOKUP(S162,'G-3 Multipliers'!$A$2:$E$134,4,FALSE))</f>
        <v/>
      </c>
      <c r="AK162" s="283" t="str">
        <f t="shared" si="29"/>
        <v/>
      </c>
      <c r="AL162" s="283" t="str">
        <f t="shared" si="30"/>
        <v/>
      </c>
      <c r="AM162" s="314" t="str">
        <f>IFERROR(IF(F162="","",IF(AH162="Check Data ⚠","Check Data ⚠",VLOOKUP(AL162,'G-3 Multipliers'!$P$2:$Q$6,2,FALSE))),"")</f>
        <v/>
      </c>
      <c r="AN162" s="289" t="str">
        <f t="shared" si="31"/>
        <v/>
      </c>
      <c r="AO162" s="52"/>
      <c r="AP162" s="51"/>
      <c r="AQ162" s="104"/>
      <c r="AT162" s="35" t="str">
        <f t="shared" si="32"/>
        <v>No</v>
      </c>
      <c r="AU162" s="35" t="str">
        <f>IF(E162="","",IF(ISNA(VLOOKUP($E162,'A-1 On-Site Habitat Baseline'!$D$1:$AV$258,4,FALSE)),"",(VLOOKUP($E162,'A-1 On-Site Habitat Baseline'!$D$1:$AV$258,4,FALSE))))</f>
        <v/>
      </c>
    </row>
    <row r="163" spans="1:47" ht="14">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05" t="str">
        <f>'A-1 On-Site Habitat Baseline'!AL162</f>
        <v/>
      </c>
      <c r="F163" s="295" t="str">
        <f>IF(E163="","",IF(ISNA(VLOOKUP($E163,'A-1 On-Site Habitat Baseline'!$D$1:$AV$258,45,FALSE)),"",(VLOOKUP($E163,'A-1 On-Site Habitat Baseline'!$D$1:$AV$258,45,FALSE))))</f>
        <v/>
      </c>
      <c r="G163" s="295" t="str">
        <f>IF(E163="","",IF(ISNA(VLOOKUP($E163,'A-1 On-Site Habitat Baseline'!$D$1:$O$258,5,FALSE)),"",(VLOOKUP($E163,'A-1 On-Site Habitat Baseline'!$D$1:$O$258,5,FALSE))))</f>
        <v/>
      </c>
      <c r="H163" s="295" t="str">
        <f>IF(E163="","",IF(ISNA(VLOOKUP($E163,'A-1 On-Site Habitat Baseline'!$D$1:$O$258,6,FALSE)),"",(VLOOKUP($E163,'A-1 On-Site Habitat Baseline'!$D$1:$O$258,6,FALSE))))</f>
        <v/>
      </c>
      <c r="I163" s="295" t="str">
        <f>IF(E163="","",IF(ISNA(VLOOKUP($E163,'A-1 On-Site Habitat Baseline'!$D$1:$O$258,7,FALSE)),"",(VLOOKUP($E163,'A-1 On-Site Habitat Baseline'!$D$1:$O$258,7,FALSE))))</f>
        <v/>
      </c>
      <c r="J163" s="295" t="str">
        <f>IF(E163="","",IF(ISNA(VLOOKUP($E163,'A-1 On-Site Habitat Baseline'!$D$1:$O$258,8,FALSE)),"",(VLOOKUP($E163,'A-1 On-Site Habitat Baseline'!$D$1:$O$258,8,FALSE))))</f>
        <v/>
      </c>
      <c r="K163" s="295" t="str">
        <f>IF(E163="","",IF(ISNA(VLOOKUP($E163,'A-1 On-Site Habitat Baseline'!$D$1:$O$258,9,FALSE)),"",(VLOOKUP($E163,'A-1 On-Site Habitat Baseline'!$D$1:$O$258,9,FALSE))))</f>
        <v/>
      </c>
      <c r="L163" s="295" t="str">
        <f>IF(E163="","",IF(ISNA(VLOOKUP($E163,'A-1 On-Site Habitat Baseline'!$D$1:$O$258,11,FALSE)),"",(VLOOKUP($E163,'A-1 On-Site Habitat Baseline'!$D$1:$O$258,11,FALSE))))</f>
        <v/>
      </c>
      <c r="M163" s="295" t="str">
        <f>IF(E163="","",IF(ISNA(VLOOKUP($E163,'A-1 On-Site Habitat Baseline'!$D$1:$O$258,12,FALSE)),"",(VLOOKUP($E163,'A-1 On-Site Habitat Baseline'!$D$1:$O$258,12,FALSE))))</f>
        <v/>
      </c>
      <c r="N163" s="306" t="str">
        <f>IF(E163="","",IF(ISNA(VLOOKUP($E163,'A-1 On-Site Habitat Baseline'!$D$1:$X$258,14,FALSE)),"",(VLOOKUP($E163,'A-1 On-Site Habitat Baseline'!$D$1:$X$258,14,FALSE))))</f>
        <v/>
      </c>
      <c r="O163" s="299" t="str">
        <f>IF(E163="","",IF(ISNA(VLOOKUP($E163,'A-1 On-Site Habitat Baseline'!$D$1:$X$258,16,FALSE)),"",(VLOOKUP($E163,'A-1 On-Site Habitat Baseline'!$D$1:$X$258,13,FALSE))))</f>
        <v/>
      </c>
      <c r="P163" s="154" t="str">
        <f>IFERROR(INDEX('G-1 All Habitats'!$AG$49:$AG$63,MATCH(Q163,'G-1 All Habitats'!$AF$27:$AF$41,0)),"")</f>
        <v/>
      </c>
      <c r="Q163" s="155" t="str">
        <f t="shared" si="24"/>
        <v/>
      </c>
      <c r="R163" s="155"/>
      <c r="S163" s="237" t="str">
        <f>IFERROR(INDEX('G-1 All Habitats'!$B$3:$B$135,MATCH(R163,'G-1 All Habitats'!$A$3:$A$135,0)),"")</f>
        <v/>
      </c>
      <c r="T163" s="275" t="str">
        <f t="shared" si="25"/>
        <v/>
      </c>
      <c r="U163" s="276" t="str">
        <f t="shared" si="26"/>
        <v/>
      </c>
      <c r="V163" s="311" t="str">
        <f t="shared" si="22"/>
        <v/>
      </c>
      <c r="W163" s="295" t="str">
        <f>IF(S163="","",VLOOKUP(S163,'G-1 All Habitats'!$B$2:$M$135,10,FALSE))</f>
        <v/>
      </c>
      <c r="X163" s="295" t="str">
        <f>IFERROR(VLOOKUP(W163,'G-1 All Habitats'!$V$3:$W$7,2,FALSE),"")</f>
        <v/>
      </c>
      <c r="Y163" s="57"/>
      <c r="Z163" s="299" t="str">
        <f>IFERROR(INDEX('G-8 Condition Look up'!$A$3:$H$135,MATCH(S163,'G-8 Condition Look up'!$A$3:$A$135,0),MATCH(Y163,'G-8 Condition Look up'!$A$3:$H$3,0)),"")</f>
        <v/>
      </c>
      <c r="AA163" s="52"/>
      <c r="AB163" s="295" t="str">
        <f>IF(AA163="","",IF(VLOOKUP(AA163,'G-3 Multipliers'!$L$3:$N$6,2,FALSE)=0,"Spatial Data Missing ⚠",VLOOKUP(AA163,'G-3 Multipliers'!$L$3:$N$6,2,FALSE)))</f>
        <v/>
      </c>
      <c r="AC163" s="299" t="str">
        <f>IF(AA163="","",IF(VLOOKUP(AA163,'G-3 Multipliers'!$L$3:$N$6,3,FALSE)=0,"Spatial Data Missing ⚠",VLOOKUP(AA163,'G-3 Multipliers'!$L$3:$N$6,3,FALSE)))</f>
        <v/>
      </c>
      <c r="AD163" s="313" t="str">
        <f t="shared" si="23"/>
        <v/>
      </c>
      <c r="AE163" s="58"/>
      <c r="AF163" s="58"/>
      <c r="AG163" s="283" t="str">
        <f t="shared" si="27"/>
        <v/>
      </c>
      <c r="AH163" s="296" t="str">
        <f t="shared" si="28"/>
        <v/>
      </c>
      <c r="AI163" s="297" t="str">
        <f>IF(AH163="Check Data ⚠","Check Data ⚠",IFERROR(VLOOKUP(AH163,'G-4 Temporal multipliers'!$A$4:$C$36,3,FALSE),""))</f>
        <v/>
      </c>
      <c r="AJ163" s="275" t="str">
        <f>IF(S163="","",VLOOKUP(S163,'G-3 Multipliers'!$A$2:$E$134,4,FALSE))</f>
        <v/>
      </c>
      <c r="AK163" s="283" t="str">
        <f t="shared" si="29"/>
        <v/>
      </c>
      <c r="AL163" s="283" t="str">
        <f t="shared" si="30"/>
        <v/>
      </c>
      <c r="AM163" s="314" t="str">
        <f>IFERROR(IF(F163="","",IF(AH163="Check Data ⚠","Check Data ⚠",VLOOKUP(AL163,'G-3 Multipliers'!$P$2:$Q$6,2,FALSE))),"")</f>
        <v/>
      </c>
      <c r="AN163" s="289" t="str">
        <f t="shared" si="31"/>
        <v/>
      </c>
      <c r="AO163" s="52"/>
      <c r="AP163" s="51"/>
      <c r="AQ163" s="104"/>
      <c r="AT163" s="35" t="str">
        <f t="shared" si="32"/>
        <v>No</v>
      </c>
      <c r="AU163" s="35" t="str">
        <f>IF(E163="","",IF(ISNA(VLOOKUP($E163,'A-1 On-Site Habitat Baseline'!$D$1:$AV$258,4,FALSE)),"",(VLOOKUP($E163,'A-1 On-Site Habitat Baseline'!$D$1:$AV$258,4,FALSE))))</f>
        <v/>
      </c>
    </row>
    <row r="164" spans="1:47" ht="14">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05" t="str">
        <f>'A-1 On-Site Habitat Baseline'!AL163</f>
        <v/>
      </c>
      <c r="F164" s="295" t="str">
        <f>IF(E164="","",IF(ISNA(VLOOKUP($E164,'A-1 On-Site Habitat Baseline'!$D$1:$AV$258,45,FALSE)),"",(VLOOKUP($E164,'A-1 On-Site Habitat Baseline'!$D$1:$AV$258,45,FALSE))))</f>
        <v/>
      </c>
      <c r="G164" s="295" t="str">
        <f>IF(E164="","",IF(ISNA(VLOOKUP($E164,'A-1 On-Site Habitat Baseline'!$D$1:$O$258,5,FALSE)),"",(VLOOKUP($E164,'A-1 On-Site Habitat Baseline'!$D$1:$O$258,5,FALSE))))</f>
        <v/>
      </c>
      <c r="H164" s="295" t="str">
        <f>IF(E164="","",IF(ISNA(VLOOKUP($E164,'A-1 On-Site Habitat Baseline'!$D$1:$O$258,6,FALSE)),"",(VLOOKUP($E164,'A-1 On-Site Habitat Baseline'!$D$1:$O$258,6,FALSE))))</f>
        <v/>
      </c>
      <c r="I164" s="295" t="str">
        <f>IF(E164="","",IF(ISNA(VLOOKUP($E164,'A-1 On-Site Habitat Baseline'!$D$1:$O$258,7,FALSE)),"",(VLOOKUP($E164,'A-1 On-Site Habitat Baseline'!$D$1:$O$258,7,FALSE))))</f>
        <v/>
      </c>
      <c r="J164" s="295" t="str">
        <f>IF(E164="","",IF(ISNA(VLOOKUP($E164,'A-1 On-Site Habitat Baseline'!$D$1:$O$258,8,FALSE)),"",(VLOOKUP($E164,'A-1 On-Site Habitat Baseline'!$D$1:$O$258,8,FALSE))))</f>
        <v/>
      </c>
      <c r="K164" s="295" t="str">
        <f>IF(E164="","",IF(ISNA(VLOOKUP($E164,'A-1 On-Site Habitat Baseline'!$D$1:$O$258,9,FALSE)),"",(VLOOKUP($E164,'A-1 On-Site Habitat Baseline'!$D$1:$O$258,9,FALSE))))</f>
        <v/>
      </c>
      <c r="L164" s="295" t="str">
        <f>IF(E164="","",IF(ISNA(VLOOKUP($E164,'A-1 On-Site Habitat Baseline'!$D$1:$O$258,11,FALSE)),"",(VLOOKUP($E164,'A-1 On-Site Habitat Baseline'!$D$1:$O$258,11,FALSE))))</f>
        <v/>
      </c>
      <c r="M164" s="295" t="str">
        <f>IF(E164="","",IF(ISNA(VLOOKUP($E164,'A-1 On-Site Habitat Baseline'!$D$1:$O$258,12,FALSE)),"",(VLOOKUP($E164,'A-1 On-Site Habitat Baseline'!$D$1:$O$258,12,FALSE))))</f>
        <v/>
      </c>
      <c r="N164" s="306" t="str">
        <f>IF(E164="","",IF(ISNA(VLOOKUP($E164,'A-1 On-Site Habitat Baseline'!$D$1:$X$258,14,FALSE)),"",(VLOOKUP($E164,'A-1 On-Site Habitat Baseline'!$D$1:$X$258,14,FALSE))))</f>
        <v/>
      </c>
      <c r="O164" s="299" t="str">
        <f>IF(E164="","",IF(ISNA(VLOOKUP($E164,'A-1 On-Site Habitat Baseline'!$D$1:$X$258,16,FALSE)),"",(VLOOKUP($E164,'A-1 On-Site Habitat Baseline'!$D$1:$X$258,13,FALSE))))</f>
        <v/>
      </c>
      <c r="P164" s="154" t="str">
        <f>IFERROR(INDEX('G-1 All Habitats'!$AG$49:$AG$63,MATCH(Q164,'G-1 All Habitats'!$AF$27:$AF$41,0)),"")</f>
        <v/>
      </c>
      <c r="Q164" s="155" t="str">
        <f t="shared" si="24"/>
        <v/>
      </c>
      <c r="R164" s="155"/>
      <c r="S164" s="237" t="str">
        <f>IFERROR(INDEX('G-1 All Habitats'!$B$3:$B$135,MATCH(R164,'G-1 All Habitats'!$A$3:$A$135,0)),"")</f>
        <v/>
      </c>
      <c r="T164" s="275" t="str">
        <f t="shared" si="25"/>
        <v/>
      </c>
      <c r="U164" s="276" t="str">
        <f t="shared" si="26"/>
        <v/>
      </c>
      <c r="V164" s="311" t="str">
        <f t="shared" si="22"/>
        <v/>
      </c>
      <c r="W164" s="295" t="str">
        <f>IF(S164="","",VLOOKUP(S164,'G-1 All Habitats'!$B$2:$M$135,10,FALSE))</f>
        <v/>
      </c>
      <c r="X164" s="295" t="str">
        <f>IFERROR(VLOOKUP(W164,'G-1 All Habitats'!$V$3:$W$7,2,FALSE),"")</f>
        <v/>
      </c>
      <c r="Y164" s="57"/>
      <c r="Z164" s="299" t="str">
        <f>IFERROR(INDEX('G-8 Condition Look up'!$A$3:$H$135,MATCH(S164,'G-8 Condition Look up'!$A$3:$A$135,0),MATCH(Y164,'G-8 Condition Look up'!$A$3:$H$3,0)),"")</f>
        <v/>
      </c>
      <c r="AA164" s="52"/>
      <c r="AB164" s="295" t="str">
        <f>IF(AA164="","",IF(VLOOKUP(AA164,'G-3 Multipliers'!$L$3:$N$6,2,FALSE)=0,"Spatial Data Missing ⚠",VLOOKUP(AA164,'G-3 Multipliers'!$L$3:$N$6,2,FALSE)))</f>
        <v/>
      </c>
      <c r="AC164" s="299" t="str">
        <f>IF(AA164="","",IF(VLOOKUP(AA164,'G-3 Multipliers'!$L$3:$N$6,3,FALSE)=0,"Spatial Data Missing ⚠",VLOOKUP(AA164,'G-3 Multipliers'!$L$3:$N$6,3,FALSE)))</f>
        <v/>
      </c>
      <c r="AD164" s="313" t="str">
        <f t="shared" si="23"/>
        <v/>
      </c>
      <c r="AE164" s="58"/>
      <c r="AF164" s="58"/>
      <c r="AG164" s="283" t="str">
        <f t="shared" si="27"/>
        <v/>
      </c>
      <c r="AH164" s="296" t="str">
        <f t="shared" si="28"/>
        <v/>
      </c>
      <c r="AI164" s="297" t="str">
        <f>IF(AH164="Check Data ⚠","Check Data ⚠",IFERROR(VLOOKUP(AH164,'G-4 Temporal multipliers'!$A$4:$C$36,3,FALSE),""))</f>
        <v/>
      </c>
      <c r="AJ164" s="275" t="str">
        <f>IF(S164="","",VLOOKUP(S164,'G-3 Multipliers'!$A$2:$E$134,4,FALSE))</f>
        <v/>
      </c>
      <c r="AK164" s="283" t="str">
        <f t="shared" si="29"/>
        <v/>
      </c>
      <c r="AL164" s="283" t="str">
        <f t="shared" si="30"/>
        <v/>
      </c>
      <c r="AM164" s="314" t="str">
        <f>IFERROR(IF(F164="","",IF(AH164="Check Data ⚠","Check Data ⚠",VLOOKUP(AL164,'G-3 Multipliers'!$P$2:$Q$6,2,FALSE))),"")</f>
        <v/>
      </c>
      <c r="AN164" s="289" t="str">
        <f t="shared" si="31"/>
        <v/>
      </c>
      <c r="AO164" s="52"/>
      <c r="AP164" s="51"/>
      <c r="AQ164" s="104"/>
      <c r="AT164" s="35" t="str">
        <f t="shared" si="32"/>
        <v>No</v>
      </c>
      <c r="AU164" s="35" t="str">
        <f>IF(E164="","",IF(ISNA(VLOOKUP($E164,'A-1 On-Site Habitat Baseline'!$D$1:$AV$258,4,FALSE)),"",(VLOOKUP($E164,'A-1 On-Site Habitat Baseline'!$D$1:$AV$258,4,FALSE))))</f>
        <v/>
      </c>
    </row>
    <row r="165" spans="1:47" ht="14">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05" t="str">
        <f>'A-1 On-Site Habitat Baseline'!AL164</f>
        <v/>
      </c>
      <c r="F165" s="295" t="str">
        <f>IF(E165="","",IF(ISNA(VLOOKUP($E165,'A-1 On-Site Habitat Baseline'!$D$1:$AV$258,45,FALSE)),"",(VLOOKUP($E165,'A-1 On-Site Habitat Baseline'!$D$1:$AV$258,45,FALSE))))</f>
        <v/>
      </c>
      <c r="G165" s="295" t="str">
        <f>IF(E165="","",IF(ISNA(VLOOKUP($E165,'A-1 On-Site Habitat Baseline'!$D$1:$O$258,5,FALSE)),"",(VLOOKUP($E165,'A-1 On-Site Habitat Baseline'!$D$1:$O$258,5,FALSE))))</f>
        <v/>
      </c>
      <c r="H165" s="295" t="str">
        <f>IF(E165="","",IF(ISNA(VLOOKUP($E165,'A-1 On-Site Habitat Baseline'!$D$1:$O$258,6,FALSE)),"",(VLOOKUP($E165,'A-1 On-Site Habitat Baseline'!$D$1:$O$258,6,FALSE))))</f>
        <v/>
      </c>
      <c r="I165" s="295" t="str">
        <f>IF(E165="","",IF(ISNA(VLOOKUP($E165,'A-1 On-Site Habitat Baseline'!$D$1:$O$258,7,FALSE)),"",(VLOOKUP($E165,'A-1 On-Site Habitat Baseline'!$D$1:$O$258,7,FALSE))))</f>
        <v/>
      </c>
      <c r="J165" s="295" t="str">
        <f>IF(E165="","",IF(ISNA(VLOOKUP($E165,'A-1 On-Site Habitat Baseline'!$D$1:$O$258,8,FALSE)),"",(VLOOKUP($E165,'A-1 On-Site Habitat Baseline'!$D$1:$O$258,8,FALSE))))</f>
        <v/>
      </c>
      <c r="K165" s="295" t="str">
        <f>IF(E165="","",IF(ISNA(VLOOKUP($E165,'A-1 On-Site Habitat Baseline'!$D$1:$O$258,9,FALSE)),"",(VLOOKUP($E165,'A-1 On-Site Habitat Baseline'!$D$1:$O$258,9,FALSE))))</f>
        <v/>
      </c>
      <c r="L165" s="295" t="str">
        <f>IF(E165="","",IF(ISNA(VLOOKUP($E165,'A-1 On-Site Habitat Baseline'!$D$1:$O$258,11,FALSE)),"",(VLOOKUP($E165,'A-1 On-Site Habitat Baseline'!$D$1:$O$258,11,FALSE))))</f>
        <v/>
      </c>
      <c r="M165" s="295" t="str">
        <f>IF(E165="","",IF(ISNA(VLOOKUP($E165,'A-1 On-Site Habitat Baseline'!$D$1:$O$258,12,FALSE)),"",(VLOOKUP($E165,'A-1 On-Site Habitat Baseline'!$D$1:$O$258,12,FALSE))))</f>
        <v/>
      </c>
      <c r="N165" s="306" t="str">
        <f>IF(E165="","",IF(ISNA(VLOOKUP($E165,'A-1 On-Site Habitat Baseline'!$D$1:$X$258,14,FALSE)),"",(VLOOKUP($E165,'A-1 On-Site Habitat Baseline'!$D$1:$X$258,14,FALSE))))</f>
        <v/>
      </c>
      <c r="O165" s="299" t="str">
        <f>IF(E165="","",IF(ISNA(VLOOKUP($E165,'A-1 On-Site Habitat Baseline'!$D$1:$X$258,16,FALSE)),"",(VLOOKUP($E165,'A-1 On-Site Habitat Baseline'!$D$1:$X$258,13,FALSE))))</f>
        <v/>
      </c>
      <c r="P165" s="154" t="str">
        <f>IFERROR(INDEX('G-1 All Habitats'!$AG$49:$AG$63,MATCH(Q165,'G-1 All Habitats'!$AF$27:$AF$41,0)),"")</f>
        <v/>
      </c>
      <c r="Q165" s="155" t="str">
        <f t="shared" si="24"/>
        <v/>
      </c>
      <c r="R165" s="155"/>
      <c r="S165" s="237" t="str">
        <f>IFERROR(INDEX('G-1 All Habitats'!$B$3:$B$135,MATCH(R165,'G-1 All Habitats'!$A$3:$A$135,0)),"")</f>
        <v/>
      </c>
      <c r="T165" s="275" t="str">
        <f t="shared" si="25"/>
        <v/>
      </c>
      <c r="U165" s="276" t="str">
        <f t="shared" si="26"/>
        <v/>
      </c>
      <c r="V165" s="311" t="str">
        <f t="shared" si="22"/>
        <v/>
      </c>
      <c r="W165" s="295" t="str">
        <f>IF(S165="","",VLOOKUP(S165,'G-1 All Habitats'!$B$2:$M$135,10,FALSE))</f>
        <v/>
      </c>
      <c r="X165" s="295" t="str">
        <f>IFERROR(VLOOKUP(W165,'G-1 All Habitats'!$V$3:$W$7,2,FALSE),"")</f>
        <v/>
      </c>
      <c r="Y165" s="57"/>
      <c r="Z165" s="299" t="str">
        <f>IFERROR(INDEX('G-8 Condition Look up'!$A$3:$H$135,MATCH(S165,'G-8 Condition Look up'!$A$3:$A$135,0),MATCH(Y165,'G-8 Condition Look up'!$A$3:$H$3,0)),"")</f>
        <v/>
      </c>
      <c r="AA165" s="52"/>
      <c r="AB165" s="295" t="str">
        <f>IF(AA165="","",IF(VLOOKUP(AA165,'G-3 Multipliers'!$L$3:$N$6,2,FALSE)=0,"Spatial Data Missing ⚠",VLOOKUP(AA165,'G-3 Multipliers'!$L$3:$N$6,2,FALSE)))</f>
        <v/>
      </c>
      <c r="AC165" s="299" t="str">
        <f>IF(AA165="","",IF(VLOOKUP(AA165,'G-3 Multipliers'!$L$3:$N$6,3,FALSE)=0,"Spatial Data Missing ⚠",VLOOKUP(AA165,'G-3 Multipliers'!$L$3:$N$6,3,FALSE)))</f>
        <v/>
      </c>
      <c r="AD165" s="313" t="str">
        <f t="shared" si="23"/>
        <v/>
      </c>
      <c r="AE165" s="58"/>
      <c r="AF165" s="58"/>
      <c r="AG165" s="283" t="str">
        <f t="shared" si="27"/>
        <v/>
      </c>
      <c r="AH165" s="296" t="str">
        <f t="shared" si="28"/>
        <v/>
      </c>
      <c r="AI165" s="297" t="str">
        <f>IF(AH165="Check Data ⚠","Check Data ⚠",IFERROR(VLOOKUP(AH165,'G-4 Temporal multipliers'!$A$4:$C$36,3,FALSE),""))</f>
        <v/>
      </c>
      <c r="AJ165" s="275" t="str">
        <f>IF(S165="","",VLOOKUP(S165,'G-3 Multipliers'!$A$2:$E$134,4,FALSE))</f>
        <v/>
      </c>
      <c r="AK165" s="283" t="str">
        <f t="shared" si="29"/>
        <v/>
      </c>
      <c r="AL165" s="283" t="str">
        <f t="shared" si="30"/>
        <v/>
      </c>
      <c r="AM165" s="314" t="str">
        <f>IFERROR(IF(F165="","",IF(AH165="Check Data ⚠","Check Data ⚠",VLOOKUP(AL165,'G-3 Multipliers'!$P$2:$Q$6,2,FALSE))),"")</f>
        <v/>
      </c>
      <c r="AN165" s="289" t="str">
        <f t="shared" si="31"/>
        <v/>
      </c>
      <c r="AO165" s="52"/>
      <c r="AP165" s="51"/>
      <c r="AQ165" s="104"/>
      <c r="AT165" s="35" t="str">
        <f t="shared" si="32"/>
        <v>No</v>
      </c>
      <c r="AU165" s="35" t="str">
        <f>IF(E165="","",IF(ISNA(VLOOKUP($E165,'A-1 On-Site Habitat Baseline'!$D$1:$AV$258,4,FALSE)),"",(VLOOKUP($E165,'A-1 On-Site Habitat Baseline'!$D$1:$AV$258,4,FALSE))))</f>
        <v/>
      </c>
    </row>
    <row r="166" spans="1:47" ht="14">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05" t="str">
        <f>'A-1 On-Site Habitat Baseline'!AL165</f>
        <v/>
      </c>
      <c r="F166" s="295" t="str">
        <f>IF(E166="","",IF(ISNA(VLOOKUP($E166,'A-1 On-Site Habitat Baseline'!$D$1:$AV$258,45,FALSE)),"",(VLOOKUP($E166,'A-1 On-Site Habitat Baseline'!$D$1:$AV$258,45,FALSE))))</f>
        <v/>
      </c>
      <c r="G166" s="295" t="str">
        <f>IF(E166="","",IF(ISNA(VLOOKUP($E166,'A-1 On-Site Habitat Baseline'!$D$1:$O$258,5,FALSE)),"",(VLOOKUP($E166,'A-1 On-Site Habitat Baseline'!$D$1:$O$258,5,FALSE))))</f>
        <v/>
      </c>
      <c r="H166" s="295" t="str">
        <f>IF(E166="","",IF(ISNA(VLOOKUP($E166,'A-1 On-Site Habitat Baseline'!$D$1:$O$258,6,FALSE)),"",(VLOOKUP($E166,'A-1 On-Site Habitat Baseline'!$D$1:$O$258,6,FALSE))))</f>
        <v/>
      </c>
      <c r="I166" s="295" t="str">
        <f>IF(E166="","",IF(ISNA(VLOOKUP($E166,'A-1 On-Site Habitat Baseline'!$D$1:$O$258,7,FALSE)),"",(VLOOKUP($E166,'A-1 On-Site Habitat Baseline'!$D$1:$O$258,7,FALSE))))</f>
        <v/>
      </c>
      <c r="J166" s="295" t="str">
        <f>IF(E166="","",IF(ISNA(VLOOKUP($E166,'A-1 On-Site Habitat Baseline'!$D$1:$O$258,8,FALSE)),"",(VLOOKUP($E166,'A-1 On-Site Habitat Baseline'!$D$1:$O$258,8,FALSE))))</f>
        <v/>
      </c>
      <c r="K166" s="295" t="str">
        <f>IF(E166="","",IF(ISNA(VLOOKUP($E166,'A-1 On-Site Habitat Baseline'!$D$1:$O$258,9,FALSE)),"",(VLOOKUP($E166,'A-1 On-Site Habitat Baseline'!$D$1:$O$258,9,FALSE))))</f>
        <v/>
      </c>
      <c r="L166" s="295" t="str">
        <f>IF(E166="","",IF(ISNA(VLOOKUP($E166,'A-1 On-Site Habitat Baseline'!$D$1:$O$258,11,FALSE)),"",(VLOOKUP($E166,'A-1 On-Site Habitat Baseline'!$D$1:$O$258,11,FALSE))))</f>
        <v/>
      </c>
      <c r="M166" s="295" t="str">
        <f>IF(E166="","",IF(ISNA(VLOOKUP($E166,'A-1 On-Site Habitat Baseline'!$D$1:$O$258,12,FALSE)),"",(VLOOKUP($E166,'A-1 On-Site Habitat Baseline'!$D$1:$O$258,12,FALSE))))</f>
        <v/>
      </c>
      <c r="N166" s="306" t="str">
        <f>IF(E166="","",IF(ISNA(VLOOKUP($E166,'A-1 On-Site Habitat Baseline'!$D$1:$X$258,14,FALSE)),"",(VLOOKUP($E166,'A-1 On-Site Habitat Baseline'!$D$1:$X$258,14,FALSE))))</f>
        <v/>
      </c>
      <c r="O166" s="299" t="str">
        <f>IF(E166="","",IF(ISNA(VLOOKUP($E166,'A-1 On-Site Habitat Baseline'!$D$1:$X$258,16,FALSE)),"",(VLOOKUP($E166,'A-1 On-Site Habitat Baseline'!$D$1:$X$258,13,FALSE))))</f>
        <v/>
      </c>
      <c r="P166" s="154" t="str">
        <f>IFERROR(INDEX('G-1 All Habitats'!$AG$49:$AG$63,MATCH(Q166,'G-1 All Habitats'!$AF$27:$AF$41,0)),"")</f>
        <v/>
      </c>
      <c r="Q166" s="155" t="str">
        <f t="shared" si="24"/>
        <v/>
      </c>
      <c r="R166" s="155"/>
      <c r="S166" s="237" t="str">
        <f>IFERROR(INDEX('G-1 All Habitats'!$B$3:$B$135,MATCH(R166,'G-1 All Habitats'!$A$3:$A$135,0)),"")</f>
        <v/>
      </c>
      <c r="T166" s="275" t="str">
        <f t="shared" si="25"/>
        <v/>
      </c>
      <c r="U166" s="276" t="str">
        <f t="shared" si="26"/>
        <v/>
      </c>
      <c r="V166" s="311" t="str">
        <f t="shared" si="22"/>
        <v/>
      </c>
      <c r="W166" s="295" t="str">
        <f>IF(S166="","",VLOOKUP(S166,'G-1 All Habitats'!$B$2:$M$135,10,FALSE))</f>
        <v/>
      </c>
      <c r="X166" s="295" t="str">
        <f>IFERROR(VLOOKUP(W166,'G-1 All Habitats'!$V$3:$W$7,2,FALSE),"")</f>
        <v/>
      </c>
      <c r="Y166" s="57"/>
      <c r="Z166" s="299" t="str">
        <f>IFERROR(INDEX('G-8 Condition Look up'!$A$3:$H$135,MATCH(S166,'G-8 Condition Look up'!$A$3:$A$135,0),MATCH(Y166,'G-8 Condition Look up'!$A$3:$H$3,0)),"")</f>
        <v/>
      </c>
      <c r="AA166" s="52"/>
      <c r="AB166" s="295" t="str">
        <f>IF(AA166="","",IF(VLOOKUP(AA166,'G-3 Multipliers'!$L$3:$N$6,2,FALSE)=0,"Spatial Data Missing ⚠",VLOOKUP(AA166,'G-3 Multipliers'!$L$3:$N$6,2,FALSE)))</f>
        <v/>
      </c>
      <c r="AC166" s="299" t="str">
        <f>IF(AA166="","",IF(VLOOKUP(AA166,'G-3 Multipliers'!$L$3:$N$6,3,FALSE)=0,"Spatial Data Missing ⚠",VLOOKUP(AA166,'G-3 Multipliers'!$L$3:$N$6,3,FALSE)))</f>
        <v/>
      </c>
      <c r="AD166" s="313" t="str">
        <f t="shared" si="23"/>
        <v/>
      </c>
      <c r="AE166" s="58"/>
      <c r="AF166" s="58"/>
      <c r="AG166" s="283" t="str">
        <f t="shared" si="27"/>
        <v/>
      </c>
      <c r="AH166" s="296" t="str">
        <f t="shared" si="28"/>
        <v/>
      </c>
      <c r="AI166" s="297" t="str">
        <f>IF(AH166="Check Data ⚠","Check Data ⚠",IFERROR(VLOOKUP(AH166,'G-4 Temporal multipliers'!$A$4:$C$36,3,FALSE),""))</f>
        <v/>
      </c>
      <c r="AJ166" s="275" t="str">
        <f>IF(S166="","",VLOOKUP(S166,'G-3 Multipliers'!$A$2:$E$134,4,FALSE))</f>
        <v/>
      </c>
      <c r="AK166" s="283" t="str">
        <f t="shared" si="29"/>
        <v/>
      </c>
      <c r="AL166" s="283" t="str">
        <f t="shared" si="30"/>
        <v/>
      </c>
      <c r="AM166" s="314" t="str">
        <f>IFERROR(IF(F166="","",IF(AH166="Check Data ⚠","Check Data ⚠",VLOOKUP(AL166,'G-3 Multipliers'!$P$2:$Q$6,2,FALSE))),"")</f>
        <v/>
      </c>
      <c r="AN166" s="289" t="str">
        <f t="shared" si="31"/>
        <v/>
      </c>
      <c r="AO166" s="52"/>
      <c r="AP166" s="51"/>
      <c r="AQ166" s="104"/>
      <c r="AT166" s="35" t="str">
        <f t="shared" si="32"/>
        <v>No</v>
      </c>
      <c r="AU166" s="35" t="str">
        <f>IF(E166="","",IF(ISNA(VLOOKUP($E166,'A-1 On-Site Habitat Baseline'!$D$1:$AV$258,4,FALSE)),"",(VLOOKUP($E166,'A-1 On-Site Habitat Baseline'!$D$1:$AV$258,4,FALSE))))</f>
        <v/>
      </c>
    </row>
    <row r="167" spans="1:47" ht="14">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05" t="str">
        <f>'A-1 On-Site Habitat Baseline'!AL166</f>
        <v/>
      </c>
      <c r="F167" s="295" t="str">
        <f>IF(E167="","",IF(ISNA(VLOOKUP($E167,'A-1 On-Site Habitat Baseline'!$D$1:$AV$258,45,FALSE)),"",(VLOOKUP($E167,'A-1 On-Site Habitat Baseline'!$D$1:$AV$258,45,FALSE))))</f>
        <v/>
      </c>
      <c r="G167" s="295" t="str">
        <f>IF(E167="","",IF(ISNA(VLOOKUP($E167,'A-1 On-Site Habitat Baseline'!$D$1:$O$258,5,FALSE)),"",(VLOOKUP($E167,'A-1 On-Site Habitat Baseline'!$D$1:$O$258,5,FALSE))))</f>
        <v/>
      </c>
      <c r="H167" s="295" t="str">
        <f>IF(E167="","",IF(ISNA(VLOOKUP($E167,'A-1 On-Site Habitat Baseline'!$D$1:$O$258,6,FALSE)),"",(VLOOKUP($E167,'A-1 On-Site Habitat Baseline'!$D$1:$O$258,6,FALSE))))</f>
        <v/>
      </c>
      <c r="I167" s="295" t="str">
        <f>IF(E167="","",IF(ISNA(VLOOKUP($E167,'A-1 On-Site Habitat Baseline'!$D$1:$O$258,7,FALSE)),"",(VLOOKUP($E167,'A-1 On-Site Habitat Baseline'!$D$1:$O$258,7,FALSE))))</f>
        <v/>
      </c>
      <c r="J167" s="295" t="str">
        <f>IF(E167="","",IF(ISNA(VLOOKUP($E167,'A-1 On-Site Habitat Baseline'!$D$1:$O$258,8,FALSE)),"",(VLOOKUP($E167,'A-1 On-Site Habitat Baseline'!$D$1:$O$258,8,FALSE))))</f>
        <v/>
      </c>
      <c r="K167" s="295" t="str">
        <f>IF(E167="","",IF(ISNA(VLOOKUP($E167,'A-1 On-Site Habitat Baseline'!$D$1:$O$258,9,FALSE)),"",(VLOOKUP($E167,'A-1 On-Site Habitat Baseline'!$D$1:$O$258,9,FALSE))))</f>
        <v/>
      </c>
      <c r="L167" s="295" t="str">
        <f>IF(E167="","",IF(ISNA(VLOOKUP($E167,'A-1 On-Site Habitat Baseline'!$D$1:$O$258,11,FALSE)),"",(VLOOKUP($E167,'A-1 On-Site Habitat Baseline'!$D$1:$O$258,11,FALSE))))</f>
        <v/>
      </c>
      <c r="M167" s="295" t="str">
        <f>IF(E167="","",IF(ISNA(VLOOKUP($E167,'A-1 On-Site Habitat Baseline'!$D$1:$O$258,12,FALSE)),"",(VLOOKUP($E167,'A-1 On-Site Habitat Baseline'!$D$1:$O$258,12,FALSE))))</f>
        <v/>
      </c>
      <c r="N167" s="306" t="str">
        <f>IF(E167="","",IF(ISNA(VLOOKUP($E167,'A-1 On-Site Habitat Baseline'!$D$1:$X$258,14,FALSE)),"",(VLOOKUP($E167,'A-1 On-Site Habitat Baseline'!$D$1:$X$258,14,FALSE))))</f>
        <v/>
      </c>
      <c r="O167" s="299" t="str">
        <f>IF(E167="","",IF(ISNA(VLOOKUP($E167,'A-1 On-Site Habitat Baseline'!$D$1:$X$258,16,FALSE)),"",(VLOOKUP($E167,'A-1 On-Site Habitat Baseline'!$D$1:$X$258,13,FALSE))))</f>
        <v/>
      </c>
      <c r="P167" s="154" t="str">
        <f>IFERROR(INDEX('G-1 All Habitats'!$AG$49:$AG$63,MATCH(Q167,'G-1 All Habitats'!$AF$27:$AF$41,0)),"")</f>
        <v/>
      </c>
      <c r="Q167" s="155" t="str">
        <f t="shared" si="24"/>
        <v/>
      </c>
      <c r="R167" s="155"/>
      <c r="S167" s="237" t="str">
        <f>IFERROR(INDEX('G-1 All Habitats'!$B$3:$B$135,MATCH(R167,'G-1 All Habitats'!$A$3:$A$135,0)),"")</f>
        <v/>
      </c>
      <c r="T167" s="275" t="str">
        <f t="shared" si="25"/>
        <v/>
      </c>
      <c r="U167" s="276" t="str">
        <f t="shared" si="26"/>
        <v/>
      </c>
      <c r="V167" s="311" t="str">
        <f t="shared" si="22"/>
        <v/>
      </c>
      <c r="W167" s="295" t="str">
        <f>IF(S167="","",VLOOKUP(S167,'G-1 All Habitats'!$B$2:$M$135,10,FALSE))</f>
        <v/>
      </c>
      <c r="X167" s="295" t="str">
        <f>IFERROR(VLOOKUP(W167,'G-1 All Habitats'!$V$3:$W$7,2,FALSE),"")</f>
        <v/>
      </c>
      <c r="Y167" s="57"/>
      <c r="Z167" s="299" t="str">
        <f>IFERROR(INDEX('G-8 Condition Look up'!$A$3:$H$135,MATCH(S167,'G-8 Condition Look up'!$A$3:$A$135,0),MATCH(Y167,'G-8 Condition Look up'!$A$3:$H$3,0)),"")</f>
        <v/>
      </c>
      <c r="AA167" s="52"/>
      <c r="AB167" s="295" t="str">
        <f>IF(AA167="","",IF(VLOOKUP(AA167,'G-3 Multipliers'!$L$3:$N$6,2,FALSE)=0,"Spatial Data Missing ⚠",VLOOKUP(AA167,'G-3 Multipliers'!$L$3:$N$6,2,FALSE)))</f>
        <v/>
      </c>
      <c r="AC167" s="299" t="str">
        <f>IF(AA167="","",IF(VLOOKUP(AA167,'G-3 Multipliers'!$L$3:$N$6,3,FALSE)=0,"Spatial Data Missing ⚠",VLOOKUP(AA167,'G-3 Multipliers'!$L$3:$N$6,3,FALSE)))</f>
        <v/>
      </c>
      <c r="AD167" s="313" t="str">
        <f t="shared" si="23"/>
        <v/>
      </c>
      <c r="AE167" s="58"/>
      <c r="AF167" s="58"/>
      <c r="AG167" s="283" t="str">
        <f t="shared" si="27"/>
        <v/>
      </c>
      <c r="AH167" s="296" t="str">
        <f t="shared" si="28"/>
        <v/>
      </c>
      <c r="AI167" s="297" t="str">
        <f>IF(AH167="Check Data ⚠","Check Data ⚠",IFERROR(VLOOKUP(AH167,'G-4 Temporal multipliers'!$A$4:$C$36,3,FALSE),""))</f>
        <v/>
      </c>
      <c r="AJ167" s="275" t="str">
        <f>IF(S167="","",VLOOKUP(S167,'G-3 Multipliers'!$A$2:$E$134,4,FALSE))</f>
        <v/>
      </c>
      <c r="AK167" s="283" t="str">
        <f t="shared" si="29"/>
        <v/>
      </c>
      <c r="AL167" s="283" t="str">
        <f t="shared" si="30"/>
        <v/>
      </c>
      <c r="AM167" s="314" t="str">
        <f>IFERROR(IF(F167="","",IF(AH167="Check Data ⚠","Check Data ⚠",VLOOKUP(AL167,'G-3 Multipliers'!$P$2:$Q$6,2,FALSE))),"")</f>
        <v/>
      </c>
      <c r="AN167" s="289" t="str">
        <f t="shared" si="31"/>
        <v/>
      </c>
      <c r="AO167" s="52"/>
      <c r="AP167" s="51"/>
      <c r="AQ167" s="104"/>
      <c r="AT167" s="35" t="str">
        <f t="shared" si="32"/>
        <v>No</v>
      </c>
      <c r="AU167" s="35" t="str">
        <f>IF(E167="","",IF(ISNA(VLOOKUP($E167,'A-1 On-Site Habitat Baseline'!$D$1:$AV$258,4,FALSE)),"",(VLOOKUP($E167,'A-1 On-Site Habitat Baseline'!$D$1:$AV$258,4,FALSE))))</f>
        <v/>
      </c>
    </row>
    <row r="168" spans="1:47" ht="14">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05" t="str">
        <f>'A-1 On-Site Habitat Baseline'!AL167</f>
        <v/>
      </c>
      <c r="F168" s="295" t="str">
        <f>IF(E168="","",IF(ISNA(VLOOKUP($E168,'A-1 On-Site Habitat Baseline'!$D$1:$AV$258,45,FALSE)),"",(VLOOKUP($E168,'A-1 On-Site Habitat Baseline'!$D$1:$AV$258,45,FALSE))))</f>
        <v/>
      </c>
      <c r="G168" s="295" t="str">
        <f>IF(E168="","",IF(ISNA(VLOOKUP($E168,'A-1 On-Site Habitat Baseline'!$D$1:$O$258,5,FALSE)),"",(VLOOKUP($E168,'A-1 On-Site Habitat Baseline'!$D$1:$O$258,5,FALSE))))</f>
        <v/>
      </c>
      <c r="H168" s="295" t="str">
        <f>IF(E168="","",IF(ISNA(VLOOKUP($E168,'A-1 On-Site Habitat Baseline'!$D$1:$O$258,6,FALSE)),"",(VLOOKUP($E168,'A-1 On-Site Habitat Baseline'!$D$1:$O$258,6,FALSE))))</f>
        <v/>
      </c>
      <c r="I168" s="295" t="str">
        <f>IF(E168="","",IF(ISNA(VLOOKUP($E168,'A-1 On-Site Habitat Baseline'!$D$1:$O$258,7,FALSE)),"",(VLOOKUP($E168,'A-1 On-Site Habitat Baseline'!$D$1:$O$258,7,FALSE))))</f>
        <v/>
      </c>
      <c r="J168" s="295" t="str">
        <f>IF(E168="","",IF(ISNA(VLOOKUP($E168,'A-1 On-Site Habitat Baseline'!$D$1:$O$258,8,FALSE)),"",(VLOOKUP($E168,'A-1 On-Site Habitat Baseline'!$D$1:$O$258,8,FALSE))))</f>
        <v/>
      </c>
      <c r="K168" s="295" t="str">
        <f>IF(E168="","",IF(ISNA(VLOOKUP($E168,'A-1 On-Site Habitat Baseline'!$D$1:$O$258,9,FALSE)),"",(VLOOKUP($E168,'A-1 On-Site Habitat Baseline'!$D$1:$O$258,9,FALSE))))</f>
        <v/>
      </c>
      <c r="L168" s="295" t="str">
        <f>IF(E168="","",IF(ISNA(VLOOKUP($E168,'A-1 On-Site Habitat Baseline'!$D$1:$O$258,11,FALSE)),"",(VLOOKUP($E168,'A-1 On-Site Habitat Baseline'!$D$1:$O$258,11,FALSE))))</f>
        <v/>
      </c>
      <c r="M168" s="295" t="str">
        <f>IF(E168="","",IF(ISNA(VLOOKUP($E168,'A-1 On-Site Habitat Baseline'!$D$1:$O$258,12,FALSE)),"",(VLOOKUP($E168,'A-1 On-Site Habitat Baseline'!$D$1:$O$258,12,FALSE))))</f>
        <v/>
      </c>
      <c r="N168" s="306" t="str">
        <f>IF(E168="","",IF(ISNA(VLOOKUP($E168,'A-1 On-Site Habitat Baseline'!$D$1:$X$258,14,FALSE)),"",(VLOOKUP($E168,'A-1 On-Site Habitat Baseline'!$D$1:$X$258,14,FALSE))))</f>
        <v/>
      </c>
      <c r="O168" s="299" t="str">
        <f>IF(E168="","",IF(ISNA(VLOOKUP($E168,'A-1 On-Site Habitat Baseline'!$D$1:$X$258,16,FALSE)),"",(VLOOKUP($E168,'A-1 On-Site Habitat Baseline'!$D$1:$X$258,13,FALSE))))</f>
        <v/>
      </c>
      <c r="P168" s="154" t="str">
        <f>IFERROR(INDEX('G-1 All Habitats'!$AG$49:$AG$63,MATCH(Q168,'G-1 All Habitats'!$AF$27:$AF$41,0)),"")</f>
        <v/>
      </c>
      <c r="Q168" s="155" t="str">
        <f t="shared" si="24"/>
        <v/>
      </c>
      <c r="R168" s="155"/>
      <c r="S168" s="237" t="str">
        <f>IFERROR(INDEX('G-1 All Habitats'!$B$3:$B$135,MATCH(R168,'G-1 All Habitats'!$A$3:$A$135,0)),"")</f>
        <v/>
      </c>
      <c r="T168" s="275" t="str">
        <f t="shared" si="25"/>
        <v/>
      </c>
      <c r="U168" s="276" t="str">
        <f t="shared" si="26"/>
        <v/>
      </c>
      <c r="V168" s="311" t="str">
        <f t="shared" si="22"/>
        <v/>
      </c>
      <c r="W168" s="295" t="str">
        <f>IF(S168="","",VLOOKUP(S168,'G-1 All Habitats'!$B$2:$M$135,10,FALSE))</f>
        <v/>
      </c>
      <c r="X168" s="295" t="str">
        <f>IFERROR(VLOOKUP(W168,'G-1 All Habitats'!$V$3:$W$7,2,FALSE),"")</f>
        <v/>
      </c>
      <c r="Y168" s="57"/>
      <c r="Z168" s="299" t="str">
        <f>IFERROR(INDEX('G-8 Condition Look up'!$A$3:$H$135,MATCH(S168,'G-8 Condition Look up'!$A$3:$A$135,0),MATCH(Y168,'G-8 Condition Look up'!$A$3:$H$3,0)),"")</f>
        <v/>
      </c>
      <c r="AA168" s="52"/>
      <c r="AB168" s="295" t="str">
        <f>IF(AA168="","",IF(VLOOKUP(AA168,'G-3 Multipliers'!$L$3:$N$6,2,FALSE)=0,"Spatial Data Missing ⚠",VLOOKUP(AA168,'G-3 Multipliers'!$L$3:$N$6,2,FALSE)))</f>
        <v/>
      </c>
      <c r="AC168" s="299" t="str">
        <f>IF(AA168="","",IF(VLOOKUP(AA168,'G-3 Multipliers'!$L$3:$N$6,3,FALSE)=0,"Spatial Data Missing ⚠",VLOOKUP(AA168,'G-3 Multipliers'!$L$3:$N$6,3,FALSE)))</f>
        <v/>
      </c>
      <c r="AD168" s="313" t="str">
        <f t="shared" si="23"/>
        <v/>
      </c>
      <c r="AE168" s="58"/>
      <c r="AF168" s="58"/>
      <c r="AG168" s="283" t="str">
        <f t="shared" si="27"/>
        <v/>
      </c>
      <c r="AH168" s="296" t="str">
        <f t="shared" si="28"/>
        <v/>
      </c>
      <c r="AI168" s="297" t="str">
        <f>IF(AH168="Check Data ⚠","Check Data ⚠",IFERROR(VLOOKUP(AH168,'G-4 Temporal multipliers'!$A$4:$C$36,3,FALSE),""))</f>
        <v/>
      </c>
      <c r="AJ168" s="275" t="str">
        <f>IF(S168="","",VLOOKUP(S168,'G-3 Multipliers'!$A$2:$E$134,4,FALSE))</f>
        <v/>
      </c>
      <c r="AK168" s="283" t="str">
        <f t="shared" si="29"/>
        <v/>
      </c>
      <c r="AL168" s="283" t="str">
        <f t="shared" si="30"/>
        <v/>
      </c>
      <c r="AM168" s="314" t="str">
        <f>IFERROR(IF(F168="","",IF(AH168="Check Data ⚠","Check Data ⚠",VLOOKUP(AL168,'G-3 Multipliers'!$P$2:$Q$6,2,FALSE))),"")</f>
        <v/>
      </c>
      <c r="AN168" s="289" t="str">
        <f t="shared" si="31"/>
        <v/>
      </c>
      <c r="AO168" s="52"/>
      <c r="AP168" s="51"/>
      <c r="AQ168" s="104"/>
      <c r="AT168" s="35" t="str">
        <f t="shared" si="32"/>
        <v>No</v>
      </c>
      <c r="AU168" s="35" t="str">
        <f>IF(E168="","",IF(ISNA(VLOOKUP($E168,'A-1 On-Site Habitat Baseline'!$D$1:$AV$258,4,FALSE)),"",(VLOOKUP($E168,'A-1 On-Site Habitat Baseline'!$D$1:$AV$258,4,FALSE))))</f>
        <v/>
      </c>
    </row>
    <row r="169" spans="1:47" ht="14">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05" t="str">
        <f>'A-1 On-Site Habitat Baseline'!AL168</f>
        <v/>
      </c>
      <c r="F169" s="295" t="str">
        <f>IF(E169="","",IF(ISNA(VLOOKUP($E169,'A-1 On-Site Habitat Baseline'!$D$1:$AV$258,45,FALSE)),"",(VLOOKUP($E169,'A-1 On-Site Habitat Baseline'!$D$1:$AV$258,45,FALSE))))</f>
        <v/>
      </c>
      <c r="G169" s="295" t="str">
        <f>IF(E169="","",IF(ISNA(VLOOKUP($E169,'A-1 On-Site Habitat Baseline'!$D$1:$O$258,5,FALSE)),"",(VLOOKUP($E169,'A-1 On-Site Habitat Baseline'!$D$1:$O$258,5,FALSE))))</f>
        <v/>
      </c>
      <c r="H169" s="295" t="str">
        <f>IF(E169="","",IF(ISNA(VLOOKUP($E169,'A-1 On-Site Habitat Baseline'!$D$1:$O$258,6,FALSE)),"",(VLOOKUP($E169,'A-1 On-Site Habitat Baseline'!$D$1:$O$258,6,FALSE))))</f>
        <v/>
      </c>
      <c r="I169" s="295" t="str">
        <f>IF(E169="","",IF(ISNA(VLOOKUP($E169,'A-1 On-Site Habitat Baseline'!$D$1:$O$258,7,FALSE)),"",(VLOOKUP($E169,'A-1 On-Site Habitat Baseline'!$D$1:$O$258,7,FALSE))))</f>
        <v/>
      </c>
      <c r="J169" s="295" t="str">
        <f>IF(E169="","",IF(ISNA(VLOOKUP($E169,'A-1 On-Site Habitat Baseline'!$D$1:$O$258,8,FALSE)),"",(VLOOKUP($E169,'A-1 On-Site Habitat Baseline'!$D$1:$O$258,8,FALSE))))</f>
        <v/>
      </c>
      <c r="K169" s="295" t="str">
        <f>IF(E169="","",IF(ISNA(VLOOKUP($E169,'A-1 On-Site Habitat Baseline'!$D$1:$O$258,9,FALSE)),"",(VLOOKUP($E169,'A-1 On-Site Habitat Baseline'!$D$1:$O$258,9,FALSE))))</f>
        <v/>
      </c>
      <c r="L169" s="295" t="str">
        <f>IF(E169="","",IF(ISNA(VLOOKUP($E169,'A-1 On-Site Habitat Baseline'!$D$1:$O$258,11,FALSE)),"",(VLOOKUP($E169,'A-1 On-Site Habitat Baseline'!$D$1:$O$258,11,FALSE))))</f>
        <v/>
      </c>
      <c r="M169" s="295" t="str">
        <f>IF(E169="","",IF(ISNA(VLOOKUP($E169,'A-1 On-Site Habitat Baseline'!$D$1:$O$258,12,FALSE)),"",(VLOOKUP($E169,'A-1 On-Site Habitat Baseline'!$D$1:$O$258,12,FALSE))))</f>
        <v/>
      </c>
      <c r="N169" s="306" t="str">
        <f>IF(E169="","",IF(ISNA(VLOOKUP($E169,'A-1 On-Site Habitat Baseline'!$D$1:$X$258,14,FALSE)),"",(VLOOKUP($E169,'A-1 On-Site Habitat Baseline'!$D$1:$X$258,14,FALSE))))</f>
        <v/>
      </c>
      <c r="O169" s="299" t="str">
        <f>IF(E169="","",IF(ISNA(VLOOKUP($E169,'A-1 On-Site Habitat Baseline'!$D$1:$X$258,16,FALSE)),"",(VLOOKUP($E169,'A-1 On-Site Habitat Baseline'!$D$1:$X$258,13,FALSE))))</f>
        <v/>
      </c>
      <c r="P169" s="154" t="str">
        <f>IFERROR(INDEX('G-1 All Habitats'!$AG$49:$AG$63,MATCH(Q169,'G-1 All Habitats'!$AF$27:$AF$41,0)),"")</f>
        <v/>
      </c>
      <c r="Q169" s="155" t="str">
        <f t="shared" si="24"/>
        <v/>
      </c>
      <c r="R169" s="155"/>
      <c r="S169" s="237" t="str">
        <f>IFERROR(INDEX('G-1 All Habitats'!$B$3:$B$135,MATCH(R169,'G-1 All Habitats'!$A$3:$A$135,0)),"")</f>
        <v/>
      </c>
      <c r="T169" s="275" t="str">
        <f t="shared" si="25"/>
        <v/>
      </c>
      <c r="U169" s="276" t="str">
        <f t="shared" si="26"/>
        <v/>
      </c>
      <c r="V169" s="311" t="str">
        <f t="shared" si="22"/>
        <v/>
      </c>
      <c r="W169" s="295" t="str">
        <f>IF(S169="","",VLOOKUP(S169,'G-1 All Habitats'!$B$2:$M$135,10,FALSE))</f>
        <v/>
      </c>
      <c r="X169" s="295" t="str">
        <f>IFERROR(VLOOKUP(W169,'G-1 All Habitats'!$V$3:$W$7,2,FALSE),"")</f>
        <v/>
      </c>
      <c r="Y169" s="57"/>
      <c r="Z169" s="299" t="str">
        <f>IFERROR(INDEX('G-8 Condition Look up'!$A$3:$H$135,MATCH(S169,'G-8 Condition Look up'!$A$3:$A$135,0),MATCH(Y169,'G-8 Condition Look up'!$A$3:$H$3,0)),"")</f>
        <v/>
      </c>
      <c r="AA169" s="52"/>
      <c r="AB169" s="295" t="str">
        <f>IF(AA169="","",IF(VLOOKUP(AA169,'G-3 Multipliers'!$L$3:$N$6,2,FALSE)=0,"Spatial Data Missing ⚠",VLOOKUP(AA169,'G-3 Multipliers'!$L$3:$N$6,2,FALSE)))</f>
        <v/>
      </c>
      <c r="AC169" s="299" t="str">
        <f>IF(AA169="","",IF(VLOOKUP(AA169,'G-3 Multipliers'!$L$3:$N$6,3,FALSE)=0,"Spatial Data Missing ⚠",VLOOKUP(AA169,'G-3 Multipliers'!$L$3:$N$6,3,FALSE)))</f>
        <v/>
      </c>
      <c r="AD169" s="313" t="str">
        <f t="shared" si="23"/>
        <v/>
      </c>
      <c r="AE169" s="58"/>
      <c r="AF169" s="58"/>
      <c r="AG169" s="283" t="str">
        <f t="shared" si="27"/>
        <v/>
      </c>
      <c r="AH169" s="296" t="str">
        <f t="shared" si="28"/>
        <v/>
      </c>
      <c r="AI169" s="297" t="str">
        <f>IF(AH169="Check Data ⚠","Check Data ⚠",IFERROR(VLOOKUP(AH169,'G-4 Temporal multipliers'!$A$4:$C$36,3,FALSE),""))</f>
        <v/>
      </c>
      <c r="AJ169" s="275" t="str">
        <f>IF(S169="","",VLOOKUP(S169,'G-3 Multipliers'!$A$2:$E$134,4,FALSE))</f>
        <v/>
      </c>
      <c r="AK169" s="283" t="str">
        <f t="shared" si="29"/>
        <v/>
      </c>
      <c r="AL169" s="283" t="str">
        <f t="shared" si="30"/>
        <v/>
      </c>
      <c r="AM169" s="314" t="str">
        <f>IFERROR(IF(F169="","",IF(AH169="Check Data ⚠","Check Data ⚠",VLOOKUP(AL169,'G-3 Multipliers'!$P$2:$Q$6,2,FALSE))),"")</f>
        <v/>
      </c>
      <c r="AN169" s="289" t="str">
        <f t="shared" si="31"/>
        <v/>
      </c>
      <c r="AO169" s="52"/>
      <c r="AP169" s="51"/>
      <c r="AQ169" s="104"/>
      <c r="AT169" s="35" t="str">
        <f t="shared" si="32"/>
        <v>No</v>
      </c>
      <c r="AU169" s="35" t="str">
        <f>IF(E169="","",IF(ISNA(VLOOKUP($E169,'A-1 On-Site Habitat Baseline'!$D$1:$AV$258,4,FALSE)),"",(VLOOKUP($E169,'A-1 On-Site Habitat Baseline'!$D$1:$AV$258,4,FALSE))))</f>
        <v/>
      </c>
    </row>
    <row r="170" spans="1:47" ht="14">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05" t="str">
        <f>'A-1 On-Site Habitat Baseline'!AL169</f>
        <v/>
      </c>
      <c r="F170" s="295" t="str">
        <f>IF(E170="","",IF(ISNA(VLOOKUP($E170,'A-1 On-Site Habitat Baseline'!$D$1:$AV$258,45,FALSE)),"",(VLOOKUP($E170,'A-1 On-Site Habitat Baseline'!$D$1:$AV$258,45,FALSE))))</f>
        <v/>
      </c>
      <c r="G170" s="295" t="str">
        <f>IF(E170="","",IF(ISNA(VLOOKUP($E170,'A-1 On-Site Habitat Baseline'!$D$1:$O$258,5,FALSE)),"",(VLOOKUP($E170,'A-1 On-Site Habitat Baseline'!$D$1:$O$258,5,FALSE))))</f>
        <v/>
      </c>
      <c r="H170" s="295" t="str">
        <f>IF(E170="","",IF(ISNA(VLOOKUP($E170,'A-1 On-Site Habitat Baseline'!$D$1:$O$258,6,FALSE)),"",(VLOOKUP($E170,'A-1 On-Site Habitat Baseline'!$D$1:$O$258,6,FALSE))))</f>
        <v/>
      </c>
      <c r="I170" s="295" t="str">
        <f>IF(E170="","",IF(ISNA(VLOOKUP($E170,'A-1 On-Site Habitat Baseline'!$D$1:$O$258,7,FALSE)),"",(VLOOKUP($E170,'A-1 On-Site Habitat Baseline'!$D$1:$O$258,7,FALSE))))</f>
        <v/>
      </c>
      <c r="J170" s="295" t="str">
        <f>IF(E170="","",IF(ISNA(VLOOKUP($E170,'A-1 On-Site Habitat Baseline'!$D$1:$O$258,8,FALSE)),"",(VLOOKUP($E170,'A-1 On-Site Habitat Baseline'!$D$1:$O$258,8,FALSE))))</f>
        <v/>
      </c>
      <c r="K170" s="295" t="str">
        <f>IF(E170="","",IF(ISNA(VLOOKUP($E170,'A-1 On-Site Habitat Baseline'!$D$1:$O$258,9,FALSE)),"",(VLOOKUP($E170,'A-1 On-Site Habitat Baseline'!$D$1:$O$258,9,FALSE))))</f>
        <v/>
      </c>
      <c r="L170" s="295" t="str">
        <f>IF(E170="","",IF(ISNA(VLOOKUP($E170,'A-1 On-Site Habitat Baseline'!$D$1:$O$258,11,FALSE)),"",(VLOOKUP($E170,'A-1 On-Site Habitat Baseline'!$D$1:$O$258,11,FALSE))))</f>
        <v/>
      </c>
      <c r="M170" s="295" t="str">
        <f>IF(E170="","",IF(ISNA(VLOOKUP($E170,'A-1 On-Site Habitat Baseline'!$D$1:$O$258,12,FALSE)),"",(VLOOKUP($E170,'A-1 On-Site Habitat Baseline'!$D$1:$O$258,12,FALSE))))</f>
        <v/>
      </c>
      <c r="N170" s="306" t="str">
        <f>IF(E170="","",IF(ISNA(VLOOKUP($E170,'A-1 On-Site Habitat Baseline'!$D$1:$X$258,14,FALSE)),"",(VLOOKUP($E170,'A-1 On-Site Habitat Baseline'!$D$1:$X$258,14,FALSE))))</f>
        <v/>
      </c>
      <c r="O170" s="299" t="str">
        <f>IF(E170="","",IF(ISNA(VLOOKUP($E170,'A-1 On-Site Habitat Baseline'!$D$1:$X$258,16,FALSE)),"",(VLOOKUP($E170,'A-1 On-Site Habitat Baseline'!$D$1:$X$258,13,FALSE))))</f>
        <v/>
      </c>
      <c r="P170" s="154" t="str">
        <f>IFERROR(INDEX('G-1 All Habitats'!$AG$49:$AG$63,MATCH(Q170,'G-1 All Habitats'!$AF$27:$AF$41,0)),"")</f>
        <v/>
      </c>
      <c r="Q170" s="155" t="str">
        <f t="shared" si="24"/>
        <v/>
      </c>
      <c r="R170" s="155"/>
      <c r="S170" s="237" t="str">
        <f>IFERROR(INDEX('G-1 All Habitats'!$B$3:$B$135,MATCH(R170,'G-1 All Habitats'!$A$3:$A$135,0)),"")</f>
        <v/>
      </c>
      <c r="T170" s="275" t="str">
        <f t="shared" si="25"/>
        <v/>
      </c>
      <c r="U170" s="276" t="str">
        <f t="shared" si="26"/>
        <v/>
      </c>
      <c r="V170" s="311" t="str">
        <f t="shared" si="22"/>
        <v/>
      </c>
      <c r="W170" s="295" t="str">
        <f>IF(S170="","",VLOOKUP(S170,'G-1 All Habitats'!$B$2:$M$135,10,FALSE))</f>
        <v/>
      </c>
      <c r="X170" s="295" t="str">
        <f>IFERROR(VLOOKUP(W170,'G-1 All Habitats'!$V$3:$W$7,2,FALSE),"")</f>
        <v/>
      </c>
      <c r="Y170" s="57"/>
      <c r="Z170" s="299" t="str">
        <f>IFERROR(INDEX('G-8 Condition Look up'!$A$3:$H$135,MATCH(S170,'G-8 Condition Look up'!$A$3:$A$135,0),MATCH(Y170,'G-8 Condition Look up'!$A$3:$H$3,0)),"")</f>
        <v/>
      </c>
      <c r="AA170" s="52"/>
      <c r="AB170" s="295" t="str">
        <f>IF(AA170="","",IF(VLOOKUP(AA170,'G-3 Multipliers'!$L$3:$N$6,2,FALSE)=0,"Spatial Data Missing ⚠",VLOOKUP(AA170,'G-3 Multipliers'!$L$3:$N$6,2,FALSE)))</f>
        <v/>
      </c>
      <c r="AC170" s="299" t="str">
        <f>IF(AA170="","",IF(VLOOKUP(AA170,'G-3 Multipliers'!$L$3:$N$6,3,FALSE)=0,"Spatial Data Missing ⚠",VLOOKUP(AA170,'G-3 Multipliers'!$L$3:$N$6,3,FALSE)))</f>
        <v/>
      </c>
      <c r="AD170" s="313" t="str">
        <f t="shared" si="23"/>
        <v/>
      </c>
      <c r="AE170" s="58"/>
      <c r="AF170" s="58"/>
      <c r="AG170" s="283" t="str">
        <f t="shared" si="27"/>
        <v/>
      </c>
      <c r="AH170" s="296" t="str">
        <f t="shared" si="28"/>
        <v/>
      </c>
      <c r="AI170" s="297" t="str">
        <f>IF(AH170="Check Data ⚠","Check Data ⚠",IFERROR(VLOOKUP(AH170,'G-4 Temporal multipliers'!$A$4:$C$36,3,FALSE),""))</f>
        <v/>
      </c>
      <c r="AJ170" s="275" t="str">
        <f>IF(S170="","",VLOOKUP(S170,'G-3 Multipliers'!$A$2:$E$134,4,FALSE))</f>
        <v/>
      </c>
      <c r="AK170" s="283" t="str">
        <f t="shared" si="29"/>
        <v/>
      </c>
      <c r="AL170" s="283" t="str">
        <f t="shared" si="30"/>
        <v/>
      </c>
      <c r="AM170" s="314" t="str">
        <f>IFERROR(IF(F170="","",IF(AH170="Check Data ⚠","Check Data ⚠",VLOOKUP(AL170,'G-3 Multipliers'!$P$2:$Q$6,2,FALSE))),"")</f>
        <v/>
      </c>
      <c r="AN170" s="289" t="str">
        <f t="shared" si="31"/>
        <v/>
      </c>
      <c r="AO170" s="52"/>
      <c r="AP170" s="51"/>
      <c r="AQ170" s="104"/>
      <c r="AT170" s="35" t="str">
        <f t="shared" si="32"/>
        <v>No</v>
      </c>
      <c r="AU170" s="35" t="str">
        <f>IF(E170="","",IF(ISNA(VLOOKUP($E170,'A-1 On-Site Habitat Baseline'!$D$1:$AV$258,4,FALSE)),"",(VLOOKUP($E170,'A-1 On-Site Habitat Baseline'!$D$1:$AV$258,4,FALSE))))</f>
        <v/>
      </c>
    </row>
    <row r="171" spans="1:47" ht="14">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05" t="str">
        <f>'A-1 On-Site Habitat Baseline'!AL170</f>
        <v/>
      </c>
      <c r="F171" s="295" t="str">
        <f>IF(E171="","",IF(ISNA(VLOOKUP($E171,'A-1 On-Site Habitat Baseline'!$D$1:$AV$258,45,FALSE)),"",(VLOOKUP($E171,'A-1 On-Site Habitat Baseline'!$D$1:$AV$258,45,FALSE))))</f>
        <v/>
      </c>
      <c r="G171" s="295" t="str">
        <f>IF(E171="","",IF(ISNA(VLOOKUP($E171,'A-1 On-Site Habitat Baseline'!$D$1:$O$258,5,FALSE)),"",(VLOOKUP($E171,'A-1 On-Site Habitat Baseline'!$D$1:$O$258,5,FALSE))))</f>
        <v/>
      </c>
      <c r="H171" s="295" t="str">
        <f>IF(E171="","",IF(ISNA(VLOOKUP($E171,'A-1 On-Site Habitat Baseline'!$D$1:$O$258,6,FALSE)),"",(VLOOKUP($E171,'A-1 On-Site Habitat Baseline'!$D$1:$O$258,6,FALSE))))</f>
        <v/>
      </c>
      <c r="I171" s="295" t="str">
        <f>IF(E171="","",IF(ISNA(VLOOKUP($E171,'A-1 On-Site Habitat Baseline'!$D$1:$O$258,7,FALSE)),"",(VLOOKUP($E171,'A-1 On-Site Habitat Baseline'!$D$1:$O$258,7,FALSE))))</f>
        <v/>
      </c>
      <c r="J171" s="295" t="str">
        <f>IF(E171="","",IF(ISNA(VLOOKUP($E171,'A-1 On-Site Habitat Baseline'!$D$1:$O$258,8,FALSE)),"",(VLOOKUP($E171,'A-1 On-Site Habitat Baseline'!$D$1:$O$258,8,FALSE))))</f>
        <v/>
      </c>
      <c r="K171" s="295" t="str">
        <f>IF(E171="","",IF(ISNA(VLOOKUP($E171,'A-1 On-Site Habitat Baseline'!$D$1:$O$258,9,FALSE)),"",(VLOOKUP($E171,'A-1 On-Site Habitat Baseline'!$D$1:$O$258,9,FALSE))))</f>
        <v/>
      </c>
      <c r="L171" s="295" t="str">
        <f>IF(E171="","",IF(ISNA(VLOOKUP($E171,'A-1 On-Site Habitat Baseline'!$D$1:$O$258,11,FALSE)),"",(VLOOKUP($E171,'A-1 On-Site Habitat Baseline'!$D$1:$O$258,11,FALSE))))</f>
        <v/>
      </c>
      <c r="M171" s="295" t="str">
        <f>IF(E171="","",IF(ISNA(VLOOKUP($E171,'A-1 On-Site Habitat Baseline'!$D$1:$O$258,12,FALSE)),"",(VLOOKUP($E171,'A-1 On-Site Habitat Baseline'!$D$1:$O$258,12,FALSE))))</f>
        <v/>
      </c>
      <c r="N171" s="306" t="str">
        <f>IF(E171="","",IF(ISNA(VLOOKUP($E171,'A-1 On-Site Habitat Baseline'!$D$1:$X$258,14,FALSE)),"",(VLOOKUP($E171,'A-1 On-Site Habitat Baseline'!$D$1:$X$258,14,FALSE))))</f>
        <v/>
      </c>
      <c r="O171" s="299" t="str">
        <f>IF(E171="","",IF(ISNA(VLOOKUP($E171,'A-1 On-Site Habitat Baseline'!$D$1:$X$258,16,FALSE)),"",(VLOOKUP($E171,'A-1 On-Site Habitat Baseline'!$D$1:$X$258,13,FALSE))))</f>
        <v/>
      </c>
      <c r="P171" s="154" t="str">
        <f>IFERROR(INDEX('G-1 All Habitats'!$AG$49:$AG$63,MATCH(Q171,'G-1 All Habitats'!$AF$27:$AF$41,0)),"")</f>
        <v/>
      </c>
      <c r="Q171" s="155" t="str">
        <f t="shared" si="24"/>
        <v/>
      </c>
      <c r="R171" s="155"/>
      <c r="S171" s="237" t="str">
        <f>IFERROR(INDEX('G-1 All Habitats'!$B$3:$B$135,MATCH(R171,'G-1 All Habitats'!$A$3:$A$135,0)),"")</f>
        <v/>
      </c>
      <c r="T171" s="275" t="str">
        <f t="shared" si="25"/>
        <v/>
      </c>
      <c r="U171" s="276" t="str">
        <f t="shared" si="26"/>
        <v/>
      </c>
      <c r="V171" s="311" t="str">
        <f t="shared" si="22"/>
        <v/>
      </c>
      <c r="W171" s="295" t="str">
        <f>IF(S171="","",VLOOKUP(S171,'G-1 All Habitats'!$B$2:$M$135,10,FALSE))</f>
        <v/>
      </c>
      <c r="X171" s="295" t="str">
        <f>IFERROR(VLOOKUP(W171,'G-1 All Habitats'!$V$3:$W$7,2,FALSE),"")</f>
        <v/>
      </c>
      <c r="Y171" s="57"/>
      <c r="Z171" s="299" t="str">
        <f>IFERROR(INDEX('G-8 Condition Look up'!$A$3:$H$135,MATCH(S171,'G-8 Condition Look up'!$A$3:$A$135,0),MATCH(Y171,'G-8 Condition Look up'!$A$3:$H$3,0)),"")</f>
        <v/>
      </c>
      <c r="AA171" s="52"/>
      <c r="AB171" s="295" t="str">
        <f>IF(AA171="","",IF(VLOOKUP(AA171,'G-3 Multipliers'!$L$3:$N$6,2,FALSE)=0,"Spatial Data Missing ⚠",VLOOKUP(AA171,'G-3 Multipliers'!$L$3:$N$6,2,FALSE)))</f>
        <v/>
      </c>
      <c r="AC171" s="299" t="str">
        <f>IF(AA171="","",IF(VLOOKUP(AA171,'G-3 Multipliers'!$L$3:$N$6,3,FALSE)=0,"Spatial Data Missing ⚠",VLOOKUP(AA171,'G-3 Multipliers'!$L$3:$N$6,3,FALSE)))</f>
        <v/>
      </c>
      <c r="AD171" s="313" t="str">
        <f t="shared" si="23"/>
        <v/>
      </c>
      <c r="AE171" s="58"/>
      <c r="AF171" s="58"/>
      <c r="AG171" s="283" t="str">
        <f t="shared" si="27"/>
        <v/>
      </c>
      <c r="AH171" s="296" t="str">
        <f t="shared" si="28"/>
        <v/>
      </c>
      <c r="AI171" s="297" t="str">
        <f>IF(AH171="Check Data ⚠","Check Data ⚠",IFERROR(VLOOKUP(AH171,'G-4 Temporal multipliers'!$A$4:$C$36,3,FALSE),""))</f>
        <v/>
      </c>
      <c r="AJ171" s="275" t="str">
        <f>IF(S171="","",VLOOKUP(S171,'G-3 Multipliers'!$A$2:$E$134,4,FALSE))</f>
        <v/>
      </c>
      <c r="AK171" s="283" t="str">
        <f t="shared" si="29"/>
        <v/>
      </c>
      <c r="AL171" s="283" t="str">
        <f t="shared" si="30"/>
        <v/>
      </c>
      <c r="AM171" s="314" t="str">
        <f>IFERROR(IF(F171="","",IF(AH171="Check Data ⚠","Check Data ⚠",VLOOKUP(AL171,'G-3 Multipliers'!$P$2:$Q$6,2,FALSE))),"")</f>
        <v/>
      </c>
      <c r="AN171" s="289" t="str">
        <f t="shared" si="31"/>
        <v/>
      </c>
      <c r="AO171" s="52"/>
      <c r="AP171" s="51"/>
      <c r="AQ171" s="104"/>
      <c r="AT171" s="35" t="str">
        <f t="shared" si="32"/>
        <v>No</v>
      </c>
      <c r="AU171" s="35" t="str">
        <f>IF(E171="","",IF(ISNA(VLOOKUP($E171,'A-1 On-Site Habitat Baseline'!$D$1:$AV$258,4,FALSE)),"",(VLOOKUP($E171,'A-1 On-Site Habitat Baseline'!$D$1:$AV$258,4,FALSE))))</f>
        <v/>
      </c>
    </row>
    <row r="172" spans="1:47" ht="14">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05" t="str">
        <f>'A-1 On-Site Habitat Baseline'!AL171</f>
        <v/>
      </c>
      <c r="F172" s="295" t="str">
        <f>IF(E172="","",IF(ISNA(VLOOKUP($E172,'A-1 On-Site Habitat Baseline'!$D$1:$AV$258,45,FALSE)),"",(VLOOKUP($E172,'A-1 On-Site Habitat Baseline'!$D$1:$AV$258,45,FALSE))))</f>
        <v/>
      </c>
      <c r="G172" s="295" t="str">
        <f>IF(E172="","",IF(ISNA(VLOOKUP($E172,'A-1 On-Site Habitat Baseline'!$D$1:$O$258,5,FALSE)),"",(VLOOKUP($E172,'A-1 On-Site Habitat Baseline'!$D$1:$O$258,5,FALSE))))</f>
        <v/>
      </c>
      <c r="H172" s="295" t="str">
        <f>IF(E172="","",IF(ISNA(VLOOKUP($E172,'A-1 On-Site Habitat Baseline'!$D$1:$O$258,6,FALSE)),"",(VLOOKUP($E172,'A-1 On-Site Habitat Baseline'!$D$1:$O$258,6,FALSE))))</f>
        <v/>
      </c>
      <c r="I172" s="295" t="str">
        <f>IF(E172="","",IF(ISNA(VLOOKUP($E172,'A-1 On-Site Habitat Baseline'!$D$1:$O$258,7,FALSE)),"",(VLOOKUP($E172,'A-1 On-Site Habitat Baseline'!$D$1:$O$258,7,FALSE))))</f>
        <v/>
      </c>
      <c r="J172" s="295" t="str">
        <f>IF(E172="","",IF(ISNA(VLOOKUP($E172,'A-1 On-Site Habitat Baseline'!$D$1:$O$258,8,FALSE)),"",(VLOOKUP($E172,'A-1 On-Site Habitat Baseline'!$D$1:$O$258,8,FALSE))))</f>
        <v/>
      </c>
      <c r="K172" s="295" t="str">
        <f>IF(E172="","",IF(ISNA(VLOOKUP($E172,'A-1 On-Site Habitat Baseline'!$D$1:$O$258,9,FALSE)),"",(VLOOKUP($E172,'A-1 On-Site Habitat Baseline'!$D$1:$O$258,9,FALSE))))</f>
        <v/>
      </c>
      <c r="L172" s="295" t="str">
        <f>IF(E172="","",IF(ISNA(VLOOKUP($E172,'A-1 On-Site Habitat Baseline'!$D$1:$O$258,11,FALSE)),"",(VLOOKUP($E172,'A-1 On-Site Habitat Baseline'!$D$1:$O$258,11,FALSE))))</f>
        <v/>
      </c>
      <c r="M172" s="295" t="str">
        <f>IF(E172="","",IF(ISNA(VLOOKUP($E172,'A-1 On-Site Habitat Baseline'!$D$1:$O$258,12,FALSE)),"",(VLOOKUP($E172,'A-1 On-Site Habitat Baseline'!$D$1:$O$258,12,FALSE))))</f>
        <v/>
      </c>
      <c r="N172" s="306" t="str">
        <f>IF(E172="","",IF(ISNA(VLOOKUP($E172,'A-1 On-Site Habitat Baseline'!$D$1:$X$258,14,FALSE)),"",(VLOOKUP($E172,'A-1 On-Site Habitat Baseline'!$D$1:$X$258,14,FALSE))))</f>
        <v/>
      </c>
      <c r="O172" s="299" t="str">
        <f>IF(E172="","",IF(ISNA(VLOOKUP($E172,'A-1 On-Site Habitat Baseline'!$D$1:$X$258,16,FALSE)),"",(VLOOKUP($E172,'A-1 On-Site Habitat Baseline'!$D$1:$X$258,13,FALSE))))</f>
        <v/>
      </c>
      <c r="P172" s="154" t="str">
        <f>IFERROR(INDEX('G-1 All Habitats'!$AG$49:$AG$63,MATCH(Q172,'G-1 All Habitats'!$AF$27:$AF$41,0)),"")</f>
        <v/>
      </c>
      <c r="Q172" s="155" t="str">
        <f t="shared" si="24"/>
        <v/>
      </c>
      <c r="R172" s="155"/>
      <c r="S172" s="237" t="str">
        <f>IFERROR(INDEX('G-1 All Habitats'!$B$3:$B$135,MATCH(R172,'G-1 All Habitats'!$A$3:$A$135,0)),"")</f>
        <v/>
      </c>
      <c r="T172" s="275" t="str">
        <f t="shared" si="25"/>
        <v/>
      </c>
      <c r="U172" s="276" t="str">
        <f t="shared" si="26"/>
        <v/>
      </c>
      <c r="V172" s="311" t="str">
        <f t="shared" si="22"/>
        <v/>
      </c>
      <c r="W172" s="295" t="str">
        <f>IF(S172="","",VLOOKUP(S172,'G-1 All Habitats'!$B$2:$M$135,10,FALSE))</f>
        <v/>
      </c>
      <c r="X172" s="295" t="str">
        <f>IFERROR(VLOOKUP(W172,'G-1 All Habitats'!$V$3:$W$7,2,FALSE),"")</f>
        <v/>
      </c>
      <c r="Y172" s="57"/>
      <c r="Z172" s="299" t="str">
        <f>IFERROR(INDEX('G-8 Condition Look up'!$A$3:$H$135,MATCH(S172,'G-8 Condition Look up'!$A$3:$A$135,0),MATCH(Y172,'G-8 Condition Look up'!$A$3:$H$3,0)),"")</f>
        <v/>
      </c>
      <c r="AA172" s="52"/>
      <c r="AB172" s="295" t="str">
        <f>IF(AA172="","",IF(VLOOKUP(AA172,'G-3 Multipliers'!$L$3:$N$6,2,FALSE)=0,"Spatial Data Missing ⚠",VLOOKUP(AA172,'G-3 Multipliers'!$L$3:$N$6,2,FALSE)))</f>
        <v/>
      </c>
      <c r="AC172" s="299" t="str">
        <f>IF(AA172="","",IF(VLOOKUP(AA172,'G-3 Multipliers'!$L$3:$N$6,3,FALSE)=0,"Spatial Data Missing ⚠",VLOOKUP(AA172,'G-3 Multipliers'!$L$3:$N$6,3,FALSE)))</f>
        <v/>
      </c>
      <c r="AD172" s="313" t="str">
        <f t="shared" si="23"/>
        <v/>
      </c>
      <c r="AE172" s="58"/>
      <c r="AF172" s="58"/>
      <c r="AG172" s="283" t="str">
        <f t="shared" si="27"/>
        <v/>
      </c>
      <c r="AH172" s="296" t="str">
        <f t="shared" si="28"/>
        <v/>
      </c>
      <c r="AI172" s="297" t="str">
        <f>IF(AH172="Check Data ⚠","Check Data ⚠",IFERROR(VLOOKUP(AH172,'G-4 Temporal multipliers'!$A$4:$C$36,3,FALSE),""))</f>
        <v/>
      </c>
      <c r="AJ172" s="275" t="str">
        <f>IF(S172="","",VLOOKUP(S172,'G-3 Multipliers'!$A$2:$E$134,4,FALSE))</f>
        <v/>
      </c>
      <c r="AK172" s="283" t="str">
        <f t="shared" si="29"/>
        <v/>
      </c>
      <c r="AL172" s="283" t="str">
        <f t="shared" si="30"/>
        <v/>
      </c>
      <c r="AM172" s="314" t="str">
        <f>IFERROR(IF(F172="","",IF(AH172="Check Data ⚠","Check Data ⚠",VLOOKUP(AL172,'G-3 Multipliers'!$P$2:$Q$6,2,FALSE))),"")</f>
        <v/>
      </c>
      <c r="AN172" s="289" t="str">
        <f t="shared" si="31"/>
        <v/>
      </c>
      <c r="AO172" s="52"/>
      <c r="AP172" s="51"/>
      <c r="AQ172" s="104"/>
      <c r="AT172" s="35" t="str">
        <f t="shared" si="32"/>
        <v>No</v>
      </c>
      <c r="AU172" s="35" t="str">
        <f>IF(E172="","",IF(ISNA(VLOOKUP($E172,'A-1 On-Site Habitat Baseline'!$D$1:$AV$258,4,FALSE)),"",(VLOOKUP($E172,'A-1 On-Site Habitat Baseline'!$D$1:$AV$258,4,FALSE))))</f>
        <v/>
      </c>
    </row>
    <row r="173" spans="1:47" ht="14">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05" t="str">
        <f>'A-1 On-Site Habitat Baseline'!AL172</f>
        <v/>
      </c>
      <c r="F173" s="295" t="str">
        <f>IF(E173="","",IF(ISNA(VLOOKUP($E173,'A-1 On-Site Habitat Baseline'!$D$1:$AV$258,45,FALSE)),"",(VLOOKUP($E173,'A-1 On-Site Habitat Baseline'!$D$1:$AV$258,45,FALSE))))</f>
        <v/>
      </c>
      <c r="G173" s="295" t="str">
        <f>IF(E173="","",IF(ISNA(VLOOKUP($E173,'A-1 On-Site Habitat Baseline'!$D$1:$O$258,5,FALSE)),"",(VLOOKUP($E173,'A-1 On-Site Habitat Baseline'!$D$1:$O$258,5,FALSE))))</f>
        <v/>
      </c>
      <c r="H173" s="295" t="str">
        <f>IF(E173="","",IF(ISNA(VLOOKUP($E173,'A-1 On-Site Habitat Baseline'!$D$1:$O$258,6,FALSE)),"",(VLOOKUP($E173,'A-1 On-Site Habitat Baseline'!$D$1:$O$258,6,FALSE))))</f>
        <v/>
      </c>
      <c r="I173" s="295" t="str">
        <f>IF(E173="","",IF(ISNA(VLOOKUP($E173,'A-1 On-Site Habitat Baseline'!$D$1:$O$258,7,FALSE)),"",(VLOOKUP($E173,'A-1 On-Site Habitat Baseline'!$D$1:$O$258,7,FALSE))))</f>
        <v/>
      </c>
      <c r="J173" s="295" t="str">
        <f>IF(E173="","",IF(ISNA(VLOOKUP($E173,'A-1 On-Site Habitat Baseline'!$D$1:$O$258,8,FALSE)),"",(VLOOKUP($E173,'A-1 On-Site Habitat Baseline'!$D$1:$O$258,8,FALSE))))</f>
        <v/>
      </c>
      <c r="K173" s="295" t="str">
        <f>IF(E173="","",IF(ISNA(VLOOKUP($E173,'A-1 On-Site Habitat Baseline'!$D$1:$O$258,9,FALSE)),"",(VLOOKUP($E173,'A-1 On-Site Habitat Baseline'!$D$1:$O$258,9,FALSE))))</f>
        <v/>
      </c>
      <c r="L173" s="295" t="str">
        <f>IF(E173="","",IF(ISNA(VLOOKUP($E173,'A-1 On-Site Habitat Baseline'!$D$1:$O$258,11,FALSE)),"",(VLOOKUP($E173,'A-1 On-Site Habitat Baseline'!$D$1:$O$258,11,FALSE))))</f>
        <v/>
      </c>
      <c r="M173" s="295" t="str">
        <f>IF(E173="","",IF(ISNA(VLOOKUP($E173,'A-1 On-Site Habitat Baseline'!$D$1:$O$258,12,FALSE)),"",(VLOOKUP($E173,'A-1 On-Site Habitat Baseline'!$D$1:$O$258,12,FALSE))))</f>
        <v/>
      </c>
      <c r="N173" s="306" t="str">
        <f>IF(E173="","",IF(ISNA(VLOOKUP($E173,'A-1 On-Site Habitat Baseline'!$D$1:$X$258,14,FALSE)),"",(VLOOKUP($E173,'A-1 On-Site Habitat Baseline'!$D$1:$X$258,14,FALSE))))</f>
        <v/>
      </c>
      <c r="O173" s="299" t="str">
        <f>IF(E173="","",IF(ISNA(VLOOKUP($E173,'A-1 On-Site Habitat Baseline'!$D$1:$X$258,16,FALSE)),"",(VLOOKUP($E173,'A-1 On-Site Habitat Baseline'!$D$1:$X$258,13,FALSE))))</f>
        <v/>
      </c>
      <c r="P173" s="154" t="str">
        <f>IFERROR(INDEX('G-1 All Habitats'!$AG$49:$AG$63,MATCH(Q173,'G-1 All Habitats'!$AF$27:$AF$41,0)),"")</f>
        <v/>
      </c>
      <c r="Q173" s="155" t="str">
        <f t="shared" si="24"/>
        <v/>
      </c>
      <c r="R173" s="155"/>
      <c r="S173" s="237" t="str">
        <f>IFERROR(INDEX('G-1 All Habitats'!$B$3:$B$135,MATCH(R173,'G-1 All Habitats'!$A$3:$A$135,0)),"")</f>
        <v/>
      </c>
      <c r="T173" s="275" t="str">
        <f t="shared" si="25"/>
        <v/>
      </c>
      <c r="U173" s="276" t="str">
        <f t="shared" si="26"/>
        <v/>
      </c>
      <c r="V173" s="311" t="str">
        <f t="shared" si="22"/>
        <v/>
      </c>
      <c r="W173" s="295" t="str">
        <f>IF(S173="","",VLOOKUP(S173,'G-1 All Habitats'!$B$2:$M$135,10,FALSE))</f>
        <v/>
      </c>
      <c r="X173" s="295" t="str">
        <f>IFERROR(VLOOKUP(W173,'G-1 All Habitats'!$V$3:$W$7,2,FALSE),"")</f>
        <v/>
      </c>
      <c r="Y173" s="57"/>
      <c r="Z173" s="299" t="str">
        <f>IFERROR(INDEX('G-8 Condition Look up'!$A$3:$H$135,MATCH(S173,'G-8 Condition Look up'!$A$3:$A$135,0),MATCH(Y173,'G-8 Condition Look up'!$A$3:$H$3,0)),"")</f>
        <v/>
      </c>
      <c r="AA173" s="52"/>
      <c r="AB173" s="295" t="str">
        <f>IF(AA173="","",IF(VLOOKUP(AA173,'G-3 Multipliers'!$L$3:$N$6,2,FALSE)=0,"Spatial Data Missing ⚠",VLOOKUP(AA173,'G-3 Multipliers'!$L$3:$N$6,2,FALSE)))</f>
        <v/>
      </c>
      <c r="AC173" s="299" t="str">
        <f>IF(AA173="","",IF(VLOOKUP(AA173,'G-3 Multipliers'!$L$3:$N$6,3,FALSE)=0,"Spatial Data Missing ⚠",VLOOKUP(AA173,'G-3 Multipliers'!$L$3:$N$6,3,FALSE)))</f>
        <v/>
      </c>
      <c r="AD173" s="313" t="str">
        <f t="shared" si="23"/>
        <v/>
      </c>
      <c r="AE173" s="58"/>
      <c r="AF173" s="58"/>
      <c r="AG173" s="283" t="str">
        <f t="shared" si="27"/>
        <v/>
      </c>
      <c r="AH173" s="296" t="str">
        <f t="shared" si="28"/>
        <v/>
      </c>
      <c r="AI173" s="297" t="str">
        <f>IF(AH173="Check Data ⚠","Check Data ⚠",IFERROR(VLOOKUP(AH173,'G-4 Temporal multipliers'!$A$4:$C$36,3,FALSE),""))</f>
        <v/>
      </c>
      <c r="AJ173" s="275" t="str">
        <f>IF(S173="","",VLOOKUP(S173,'G-3 Multipliers'!$A$2:$E$134,4,FALSE))</f>
        <v/>
      </c>
      <c r="AK173" s="283" t="str">
        <f t="shared" si="29"/>
        <v/>
      </c>
      <c r="AL173" s="283" t="str">
        <f t="shared" si="30"/>
        <v/>
      </c>
      <c r="AM173" s="314" t="str">
        <f>IFERROR(IF(F173="","",IF(AH173="Check Data ⚠","Check Data ⚠",VLOOKUP(AL173,'G-3 Multipliers'!$P$2:$Q$6,2,FALSE))),"")</f>
        <v/>
      </c>
      <c r="AN173" s="289" t="str">
        <f t="shared" si="31"/>
        <v/>
      </c>
      <c r="AO173" s="52"/>
      <c r="AP173" s="51"/>
      <c r="AQ173" s="104"/>
      <c r="AT173" s="35" t="str">
        <f t="shared" si="32"/>
        <v>No</v>
      </c>
      <c r="AU173" s="35" t="str">
        <f>IF(E173="","",IF(ISNA(VLOOKUP($E173,'A-1 On-Site Habitat Baseline'!$D$1:$AV$258,4,FALSE)),"",(VLOOKUP($E173,'A-1 On-Site Habitat Baseline'!$D$1:$AV$258,4,FALSE))))</f>
        <v/>
      </c>
    </row>
    <row r="174" spans="1:47" ht="14">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05" t="str">
        <f>'A-1 On-Site Habitat Baseline'!AL173</f>
        <v/>
      </c>
      <c r="F174" s="295" t="str">
        <f>IF(E174="","",IF(ISNA(VLOOKUP($E174,'A-1 On-Site Habitat Baseline'!$D$1:$AV$258,45,FALSE)),"",(VLOOKUP($E174,'A-1 On-Site Habitat Baseline'!$D$1:$AV$258,45,FALSE))))</f>
        <v/>
      </c>
      <c r="G174" s="295" t="str">
        <f>IF(E174="","",IF(ISNA(VLOOKUP($E174,'A-1 On-Site Habitat Baseline'!$D$1:$O$258,5,FALSE)),"",(VLOOKUP($E174,'A-1 On-Site Habitat Baseline'!$D$1:$O$258,5,FALSE))))</f>
        <v/>
      </c>
      <c r="H174" s="295" t="str">
        <f>IF(E174="","",IF(ISNA(VLOOKUP($E174,'A-1 On-Site Habitat Baseline'!$D$1:$O$258,6,FALSE)),"",(VLOOKUP($E174,'A-1 On-Site Habitat Baseline'!$D$1:$O$258,6,FALSE))))</f>
        <v/>
      </c>
      <c r="I174" s="295" t="str">
        <f>IF(E174="","",IF(ISNA(VLOOKUP($E174,'A-1 On-Site Habitat Baseline'!$D$1:$O$258,7,FALSE)),"",(VLOOKUP($E174,'A-1 On-Site Habitat Baseline'!$D$1:$O$258,7,FALSE))))</f>
        <v/>
      </c>
      <c r="J174" s="295" t="str">
        <f>IF(E174="","",IF(ISNA(VLOOKUP($E174,'A-1 On-Site Habitat Baseline'!$D$1:$O$258,8,FALSE)),"",(VLOOKUP($E174,'A-1 On-Site Habitat Baseline'!$D$1:$O$258,8,FALSE))))</f>
        <v/>
      </c>
      <c r="K174" s="295" t="str">
        <f>IF(E174="","",IF(ISNA(VLOOKUP($E174,'A-1 On-Site Habitat Baseline'!$D$1:$O$258,9,FALSE)),"",(VLOOKUP($E174,'A-1 On-Site Habitat Baseline'!$D$1:$O$258,9,FALSE))))</f>
        <v/>
      </c>
      <c r="L174" s="295" t="str">
        <f>IF(E174="","",IF(ISNA(VLOOKUP($E174,'A-1 On-Site Habitat Baseline'!$D$1:$O$258,11,FALSE)),"",(VLOOKUP($E174,'A-1 On-Site Habitat Baseline'!$D$1:$O$258,11,FALSE))))</f>
        <v/>
      </c>
      <c r="M174" s="295" t="str">
        <f>IF(E174="","",IF(ISNA(VLOOKUP($E174,'A-1 On-Site Habitat Baseline'!$D$1:$O$258,12,FALSE)),"",(VLOOKUP($E174,'A-1 On-Site Habitat Baseline'!$D$1:$O$258,12,FALSE))))</f>
        <v/>
      </c>
      <c r="N174" s="306" t="str">
        <f>IF(E174="","",IF(ISNA(VLOOKUP($E174,'A-1 On-Site Habitat Baseline'!$D$1:$X$258,14,FALSE)),"",(VLOOKUP($E174,'A-1 On-Site Habitat Baseline'!$D$1:$X$258,14,FALSE))))</f>
        <v/>
      </c>
      <c r="O174" s="299" t="str">
        <f>IF(E174="","",IF(ISNA(VLOOKUP($E174,'A-1 On-Site Habitat Baseline'!$D$1:$X$258,16,FALSE)),"",(VLOOKUP($E174,'A-1 On-Site Habitat Baseline'!$D$1:$X$258,13,FALSE))))</f>
        <v/>
      </c>
      <c r="P174" s="154" t="str">
        <f>IFERROR(INDEX('G-1 All Habitats'!$AG$49:$AG$63,MATCH(Q174,'G-1 All Habitats'!$AF$27:$AF$41,0)),"")</f>
        <v/>
      </c>
      <c r="Q174" s="155" t="str">
        <f t="shared" si="24"/>
        <v/>
      </c>
      <c r="R174" s="155"/>
      <c r="S174" s="237" t="str">
        <f>IFERROR(INDEX('G-1 All Habitats'!$B$3:$B$135,MATCH(R174,'G-1 All Habitats'!$A$3:$A$135,0)),"")</f>
        <v/>
      </c>
      <c r="T174" s="275" t="str">
        <f t="shared" si="25"/>
        <v/>
      </c>
      <c r="U174" s="276" t="str">
        <f t="shared" si="26"/>
        <v/>
      </c>
      <c r="V174" s="311" t="str">
        <f t="shared" si="22"/>
        <v/>
      </c>
      <c r="W174" s="295" t="str">
        <f>IF(S174="","",VLOOKUP(S174,'G-1 All Habitats'!$B$2:$M$135,10,FALSE))</f>
        <v/>
      </c>
      <c r="X174" s="295" t="str">
        <f>IFERROR(VLOOKUP(W174,'G-1 All Habitats'!$V$3:$W$7,2,FALSE),"")</f>
        <v/>
      </c>
      <c r="Y174" s="57"/>
      <c r="Z174" s="299" t="str">
        <f>IFERROR(INDEX('G-8 Condition Look up'!$A$3:$H$135,MATCH(S174,'G-8 Condition Look up'!$A$3:$A$135,0),MATCH(Y174,'G-8 Condition Look up'!$A$3:$H$3,0)),"")</f>
        <v/>
      </c>
      <c r="AA174" s="52"/>
      <c r="AB174" s="295" t="str">
        <f>IF(AA174="","",IF(VLOOKUP(AA174,'G-3 Multipliers'!$L$3:$N$6,2,FALSE)=0,"Spatial Data Missing ⚠",VLOOKUP(AA174,'G-3 Multipliers'!$L$3:$N$6,2,FALSE)))</f>
        <v/>
      </c>
      <c r="AC174" s="299" t="str">
        <f>IF(AA174="","",IF(VLOOKUP(AA174,'G-3 Multipliers'!$L$3:$N$6,3,FALSE)=0,"Spatial Data Missing ⚠",VLOOKUP(AA174,'G-3 Multipliers'!$L$3:$N$6,3,FALSE)))</f>
        <v/>
      </c>
      <c r="AD174" s="313" t="str">
        <f t="shared" si="23"/>
        <v/>
      </c>
      <c r="AE174" s="58"/>
      <c r="AF174" s="58"/>
      <c r="AG174" s="283" t="str">
        <f t="shared" si="27"/>
        <v/>
      </c>
      <c r="AH174" s="296" t="str">
        <f t="shared" si="28"/>
        <v/>
      </c>
      <c r="AI174" s="297" t="str">
        <f>IF(AH174="Check Data ⚠","Check Data ⚠",IFERROR(VLOOKUP(AH174,'G-4 Temporal multipliers'!$A$4:$C$36,3,FALSE),""))</f>
        <v/>
      </c>
      <c r="AJ174" s="275" t="str">
        <f>IF(S174="","",VLOOKUP(S174,'G-3 Multipliers'!$A$2:$E$134,4,FALSE))</f>
        <v/>
      </c>
      <c r="AK174" s="283" t="str">
        <f t="shared" si="29"/>
        <v/>
      </c>
      <c r="AL174" s="283" t="str">
        <f t="shared" si="30"/>
        <v/>
      </c>
      <c r="AM174" s="314" t="str">
        <f>IFERROR(IF(F174="","",IF(AH174="Check Data ⚠","Check Data ⚠",VLOOKUP(AL174,'G-3 Multipliers'!$P$2:$Q$6,2,FALSE))),"")</f>
        <v/>
      </c>
      <c r="AN174" s="289" t="str">
        <f t="shared" si="31"/>
        <v/>
      </c>
      <c r="AO174" s="52"/>
      <c r="AP174" s="51"/>
      <c r="AQ174" s="104"/>
      <c r="AT174" s="35" t="str">
        <f t="shared" si="32"/>
        <v>No</v>
      </c>
      <c r="AU174" s="35" t="str">
        <f>IF(E174="","",IF(ISNA(VLOOKUP($E174,'A-1 On-Site Habitat Baseline'!$D$1:$AV$258,4,FALSE)),"",(VLOOKUP($E174,'A-1 On-Site Habitat Baseline'!$D$1:$AV$258,4,FALSE))))</f>
        <v/>
      </c>
    </row>
    <row r="175" spans="1:47" ht="14">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05" t="str">
        <f>'A-1 On-Site Habitat Baseline'!AL174</f>
        <v/>
      </c>
      <c r="F175" s="295" t="str">
        <f>IF(E175="","",IF(ISNA(VLOOKUP($E175,'A-1 On-Site Habitat Baseline'!$D$1:$AV$258,45,FALSE)),"",(VLOOKUP($E175,'A-1 On-Site Habitat Baseline'!$D$1:$AV$258,45,FALSE))))</f>
        <v/>
      </c>
      <c r="G175" s="295" t="str">
        <f>IF(E175="","",IF(ISNA(VLOOKUP($E175,'A-1 On-Site Habitat Baseline'!$D$1:$O$258,5,FALSE)),"",(VLOOKUP($E175,'A-1 On-Site Habitat Baseline'!$D$1:$O$258,5,FALSE))))</f>
        <v/>
      </c>
      <c r="H175" s="295" t="str">
        <f>IF(E175="","",IF(ISNA(VLOOKUP($E175,'A-1 On-Site Habitat Baseline'!$D$1:$O$258,6,FALSE)),"",(VLOOKUP($E175,'A-1 On-Site Habitat Baseline'!$D$1:$O$258,6,FALSE))))</f>
        <v/>
      </c>
      <c r="I175" s="295" t="str">
        <f>IF(E175="","",IF(ISNA(VLOOKUP($E175,'A-1 On-Site Habitat Baseline'!$D$1:$O$258,7,FALSE)),"",(VLOOKUP($E175,'A-1 On-Site Habitat Baseline'!$D$1:$O$258,7,FALSE))))</f>
        <v/>
      </c>
      <c r="J175" s="295" t="str">
        <f>IF(E175="","",IF(ISNA(VLOOKUP($E175,'A-1 On-Site Habitat Baseline'!$D$1:$O$258,8,FALSE)),"",(VLOOKUP($E175,'A-1 On-Site Habitat Baseline'!$D$1:$O$258,8,FALSE))))</f>
        <v/>
      </c>
      <c r="K175" s="295" t="str">
        <f>IF(E175="","",IF(ISNA(VLOOKUP($E175,'A-1 On-Site Habitat Baseline'!$D$1:$O$258,9,FALSE)),"",(VLOOKUP($E175,'A-1 On-Site Habitat Baseline'!$D$1:$O$258,9,FALSE))))</f>
        <v/>
      </c>
      <c r="L175" s="295" t="str">
        <f>IF(E175="","",IF(ISNA(VLOOKUP($E175,'A-1 On-Site Habitat Baseline'!$D$1:$O$258,11,FALSE)),"",(VLOOKUP($E175,'A-1 On-Site Habitat Baseline'!$D$1:$O$258,11,FALSE))))</f>
        <v/>
      </c>
      <c r="M175" s="295" t="str">
        <f>IF(E175="","",IF(ISNA(VLOOKUP($E175,'A-1 On-Site Habitat Baseline'!$D$1:$O$258,12,FALSE)),"",(VLOOKUP($E175,'A-1 On-Site Habitat Baseline'!$D$1:$O$258,12,FALSE))))</f>
        <v/>
      </c>
      <c r="N175" s="306" t="str">
        <f>IF(E175="","",IF(ISNA(VLOOKUP($E175,'A-1 On-Site Habitat Baseline'!$D$1:$X$258,14,FALSE)),"",(VLOOKUP($E175,'A-1 On-Site Habitat Baseline'!$D$1:$X$258,14,FALSE))))</f>
        <v/>
      </c>
      <c r="O175" s="299" t="str">
        <f>IF(E175="","",IF(ISNA(VLOOKUP($E175,'A-1 On-Site Habitat Baseline'!$D$1:$X$258,16,FALSE)),"",(VLOOKUP($E175,'A-1 On-Site Habitat Baseline'!$D$1:$X$258,13,FALSE))))</f>
        <v/>
      </c>
      <c r="P175" s="154" t="str">
        <f>IFERROR(INDEX('G-1 All Habitats'!$AG$49:$AG$63,MATCH(Q175,'G-1 All Habitats'!$AF$27:$AF$41,0)),"")</f>
        <v/>
      </c>
      <c r="Q175" s="155" t="str">
        <f t="shared" si="24"/>
        <v/>
      </c>
      <c r="R175" s="155"/>
      <c r="S175" s="237" t="str">
        <f>IFERROR(INDEX('G-1 All Habitats'!$B$3:$B$135,MATCH(R175,'G-1 All Habitats'!$A$3:$A$135,0)),"")</f>
        <v/>
      </c>
      <c r="T175" s="275" t="str">
        <f t="shared" si="25"/>
        <v/>
      </c>
      <c r="U175" s="276" t="str">
        <f t="shared" si="26"/>
        <v/>
      </c>
      <c r="V175" s="311" t="str">
        <f t="shared" si="22"/>
        <v/>
      </c>
      <c r="W175" s="295" t="str">
        <f>IF(S175="","",VLOOKUP(S175,'G-1 All Habitats'!$B$2:$M$135,10,FALSE))</f>
        <v/>
      </c>
      <c r="X175" s="295" t="str">
        <f>IFERROR(VLOOKUP(W175,'G-1 All Habitats'!$V$3:$W$7,2,FALSE),"")</f>
        <v/>
      </c>
      <c r="Y175" s="57"/>
      <c r="Z175" s="299" t="str">
        <f>IFERROR(INDEX('G-8 Condition Look up'!$A$3:$H$135,MATCH(S175,'G-8 Condition Look up'!$A$3:$A$135,0),MATCH(Y175,'G-8 Condition Look up'!$A$3:$H$3,0)),"")</f>
        <v/>
      </c>
      <c r="AA175" s="52"/>
      <c r="AB175" s="295" t="str">
        <f>IF(AA175="","",IF(VLOOKUP(AA175,'G-3 Multipliers'!$L$3:$N$6,2,FALSE)=0,"Spatial Data Missing ⚠",VLOOKUP(AA175,'G-3 Multipliers'!$L$3:$N$6,2,FALSE)))</f>
        <v/>
      </c>
      <c r="AC175" s="299" t="str">
        <f>IF(AA175="","",IF(VLOOKUP(AA175,'G-3 Multipliers'!$L$3:$N$6,3,FALSE)=0,"Spatial Data Missing ⚠",VLOOKUP(AA175,'G-3 Multipliers'!$L$3:$N$6,3,FALSE)))</f>
        <v/>
      </c>
      <c r="AD175" s="313" t="str">
        <f t="shared" si="23"/>
        <v/>
      </c>
      <c r="AE175" s="58"/>
      <c r="AF175" s="58"/>
      <c r="AG175" s="283" t="str">
        <f t="shared" si="27"/>
        <v/>
      </c>
      <c r="AH175" s="296" t="str">
        <f t="shared" si="28"/>
        <v/>
      </c>
      <c r="AI175" s="297" t="str">
        <f>IF(AH175="Check Data ⚠","Check Data ⚠",IFERROR(VLOOKUP(AH175,'G-4 Temporal multipliers'!$A$4:$C$36,3,FALSE),""))</f>
        <v/>
      </c>
      <c r="AJ175" s="275" t="str">
        <f>IF(S175="","",VLOOKUP(S175,'G-3 Multipliers'!$A$2:$E$134,4,FALSE))</f>
        <v/>
      </c>
      <c r="AK175" s="283" t="str">
        <f t="shared" si="29"/>
        <v/>
      </c>
      <c r="AL175" s="283" t="str">
        <f t="shared" si="30"/>
        <v/>
      </c>
      <c r="AM175" s="314" t="str">
        <f>IFERROR(IF(F175="","",IF(AH175="Check Data ⚠","Check Data ⚠",VLOOKUP(AL175,'G-3 Multipliers'!$P$2:$Q$6,2,FALSE))),"")</f>
        <v/>
      </c>
      <c r="AN175" s="289" t="str">
        <f t="shared" si="31"/>
        <v/>
      </c>
      <c r="AO175" s="52"/>
      <c r="AP175" s="51"/>
      <c r="AQ175" s="104"/>
      <c r="AT175" s="35" t="str">
        <f t="shared" si="32"/>
        <v>No</v>
      </c>
      <c r="AU175" s="35" t="str">
        <f>IF(E175="","",IF(ISNA(VLOOKUP($E175,'A-1 On-Site Habitat Baseline'!$D$1:$AV$258,4,FALSE)),"",(VLOOKUP($E175,'A-1 On-Site Habitat Baseline'!$D$1:$AV$258,4,FALSE))))</f>
        <v/>
      </c>
    </row>
    <row r="176" spans="1:47" ht="14">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05" t="str">
        <f>'A-1 On-Site Habitat Baseline'!AL175</f>
        <v/>
      </c>
      <c r="F176" s="295" t="str">
        <f>IF(E176="","",IF(ISNA(VLOOKUP($E176,'A-1 On-Site Habitat Baseline'!$D$1:$AV$258,45,FALSE)),"",(VLOOKUP($E176,'A-1 On-Site Habitat Baseline'!$D$1:$AV$258,45,FALSE))))</f>
        <v/>
      </c>
      <c r="G176" s="295" t="str">
        <f>IF(E176="","",IF(ISNA(VLOOKUP($E176,'A-1 On-Site Habitat Baseline'!$D$1:$O$258,5,FALSE)),"",(VLOOKUP($E176,'A-1 On-Site Habitat Baseline'!$D$1:$O$258,5,FALSE))))</f>
        <v/>
      </c>
      <c r="H176" s="295" t="str">
        <f>IF(E176="","",IF(ISNA(VLOOKUP($E176,'A-1 On-Site Habitat Baseline'!$D$1:$O$258,6,FALSE)),"",(VLOOKUP($E176,'A-1 On-Site Habitat Baseline'!$D$1:$O$258,6,FALSE))))</f>
        <v/>
      </c>
      <c r="I176" s="295" t="str">
        <f>IF(E176="","",IF(ISNA(VLOOKUP($E176,'A-1 On-Site Habitat Baseline'!$D$1:$O$258,7,FALSE)),"",(VLOOKUP($E176,'A-1 On-Site Habitat Baseline'!$D$1:$O$258,7,FALSE))))</f>
        <v/>
      </c>
      <c r="J176" s="295" t="str">
        <f>IF(E176="","",IF(ISNA(VLOOKUP($E176,'A-1 On-Site Habitat Baseline'!$D$1:$O$258,8,FALSE)),"",(VLOOKUP($E176,'A-1 On-Site Habitat Baseline'!$D$1:$O$258,8,FALSE))))</f>
        <v/>
      </c>
      <c r="K176" s="295" t="str">
        <f>IF(E176="","",IF(ISNA(VLOOKUP($E176,'A-1 On-Site Habitat Baseline'!$D$1:$O$258,9,FALSE)),"",(VLOOKUP($E176,'A-1 On-Site Habitat Baseline'!$D$1:$O$258,9,FALSE))))</f>
        <v/>
      </c>
      <c r="L176" s="295" t="str">
        <f>IF(E176="","",IF(ISNA(VLOOKUP($E176,'A-1 On-Site Habitat Baseline'!$D$1:$O$258,11,FALSE)),"",(VLOOKUP($E176,'A-1 On-Site Habitat Baseline'!$D$1:$O$258,11,FALSE))))</f>
        <v/>
      </c>
      <c r="M176" s="295" t="str">
        <f>IF(E176="","",IF(ISNA(VLOOKUP($E176,'A-1 On-Site Habitat Baseline'!$D$1:$O$258,12,FALSE)),"",(VLOOKUP($E176,'A-1 On-Site Habitat Baseline'!$D$1:$O$258,12,FALSE))))</f>
        <v/>
      </c>
      <c r="N176" s="306" t="str">
        <f>IF(E176="","",IF(ISNA(VLOOKUP($E176,'A-1 On-Site Habitat Baseline'!$D$1:$X$258,14,FALSE)),"",(VLOOKUP($E176,'A-1 On-Site Habitat Baseline'!$D$1:$X$258,14,FALSE))))</f>
        <v/>
      </c>
      <c r="O176" s="299" t="str">
        <f>IF(E176="","",IF(ISNA(VLOOKUP($E176,'A-1 On-Site Habitat Baseline'!$D$1:$X$258,16,FALSE)),"",(VLOOKUP($E176,'A-1 On-Site Habitat Baseline'!$D$1:$X$258,13,FALSE))))</f>
        <v/>
      </c>
      <c r="P176" s="154" t="str">
        <f>IFERROR(INDEX('G-1 All Habitats'!$AG$49:$AG$63,MATCH(Q176,'G-1 All Habitats'!$AF$27:$AF$41,0)),"")</f>
        <v/>
      </c>
      <c r="Q176" s="155" t="str">
        <f t="shared" si="24"/>
        <v/>
      </c>
      <c r="R176" s="155"/>
      <c r="S176" s="237" t="str">
        <f>IFERROR(INDEX('G-1 All Habitats'!$B$3:$B$135,MATCH(R176,'G-1 All Habitats'!$A$3:$A$135,0)),"")</f>
        <v/>
      </c>
      <c r="T176" s="275" t="str">
        <f t="shared" si="25"/>
        <v/>
      </c>
      <c r="U176" s="276" t="str">
        <f t="shared" si="26"/>
        <v/>
      </c>
      <c r="V176" s="311" t="str">
        <f t="shared" si="22"/>
        <v/>
      </c>
      <c r="W176" s="295" t="str">
        <f>IF(S176="","",VLOOKUP(S176,'G-1 All Habitats'!$B$2:$M$135,10,FALSE))</f>
        <v/>
      </c>
      <c r="X176" s="295" t="str">
        <f>IFERROR(VLOOKUP(W176,'G-1 All Habitats'!$V$3:$W$7,2,FALSE),"")</f>
        <v/>
      </c>
      <c r="Y176" s="57"/>
      <c r="Z176" s="299" t="str">
        <f>IFERROR(INDEX('G-8 Condition Look up'!$A$3:$H$135,MATCH(S176,'G-8 Condition Look up'!$A$3:$A$135,0),MATCH(Y176,'G-8 Condition Look up'!$A$3:$H$3,0)),"")</f>
        <v/>
      </c>
      <c r="AA176" s="52"/>
      <c r="AB176" s="295" t="str">
        <f>IF(AA176="","",IF(VLOOKUP(AA176,'G-3 Multipliers'!$L$3:$N$6,2,FALSE)=0,"Spatial Data Missing ⚠",VLOOKUP(AA176,'G-3 Multipliers'!$L$3:$N$6,2,FALSE)))</f>
        <v/>
      </c>
      <c r="AC176" s="299" t="str">
        <f>IF(AA176="","",IF(VLOOKUP(AA176,'G-3 Multipliers'!$L$3:$N$6,3,FALSE)=0,"Spatial Data Missing ⚠",VLOOKUP(AA176,'G-3 Multipliers'!$L$3:$N$6,3,FALSE)))</f>
        <v/>
      </c>
      <c r="AD176" s="313" t="str">
        <f t="shared" si="23"/>
        <v/>
      </c>
      <c r="AE176" s="58"/>
      <c r="AF176" s="58"/>
      <c r="AG176" s="283" t="str">
        <f t="shared" si="27"/>
        <v/>
      </c>
      <c r="AH176" s="296" t="str">
        <f t="shared" si="28"/>
        <v/>
      </c>
      <c r="AI176" s="297" t="str">
        <f>IF(AH176="Check Data ⚠","Check Data ⚠",IFERROR(VLOOKUP(AH176,'G-4 Temporal multipliers'!$A$4:$C$36,3,FALSE),""))</f>
        <v/>
      </c>
      <c r="AJ176" s="275" t="str">
        <f>IF(S176="","",VLOOKUP(S176,'G-3 Multipliers'!$A$2:$E$134,4,FALSE))</f>
        <v/>
      </c>
      <c r="AK176" s="283" t="str">
        <f t="shared" si="29"/>
        <v/>
      </c>
      <c r="AL176" s="283" t="str">
        <f t="shared" si="30"/>
        <v/>
      </c>
      <c r="AM176" s="314" t="str">
        <f>IFERROR(IF(F176="","",IF(AH176="Check Data ⚠","Check Data ⚠",VLOOKUP(AL176,'G-3 Multipliers'!$P$2:$Q$6,2,FALSE))),"")</f>
        <v/>
      </c>
      <c r="AN176" s="289" t="str">
        <f t="shared" si="31"/>
        <v/>
      </c>
      <c r="AO176" s="52"/>
      <c r="AP176" s="51"/>
      <c r="AQ176" s="104"/>
      <c r="AT176" s="35" t="str">
        <f t="shared" si="32"/>
        <v>No</v>
      </c>
      <c r="AU176" s="35" t="str">
        <f>IF(E176="","",IF(ISNA(VLOOKUP($E176,'A-1 On-Site Habitat Baseline'!$D$1:$AV$258,4,FALSE)),"",(VLOOKUP($E176,'A-1 On-Site Habitat Baseline'!$D$1:$AV$258,4,FALSE))))</f>
        <v/>
      </c>
    </row>
    <row r="177" spans="1:47" ht="14">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05" t="str">
        <f>'A-1 On-Site Habitat Baseline'!AL176</f>
        <v/>
      </c>
      <c r="F177" s="295" t="str">
        <f>IF(E177="","",IF(ISNA(VLOOKUP($E177,'A-1 On-Site Habitat Baseline'!$D$1:$AV$258,45,FALSE)),"",(VLOOKUP($E177,'A-1 On-Site Habitat Baseline'!$D$1:$AV$258,45,FALSE))))</f>
        <v/>
      </c>
      <c r="G177" s="295" t="str">
        <f>IF(E177="","",IF(ISNA(VLOOKUP($E177,'A-1 On-Site Habitat Baseline'!$D$1:$O$258,5,FALSE)),"",(VLOOKUP($E177,'A-1 On-Site Habitat Baseline'!$D$1:$O$258,5,FALSE))))</f>
        <v/>
      </c>
      <c r="H177" s="295" t="str">
        <f>IF(E177="","",IF(ISNA(VLOOKUP($E177,'A-1 On-Site Habitat Baseline'!$D$1:$O$258,6,FALSE)),"",(VLOOKUP($E177,'A-1 On-Site Habitat Baseline'!$D$1:$O$258,6,FALSE))))</f>
        <v/>
      </c>
      <c r="I177" s="295" t="str">
        <f>IF(E177="","",IF(ISNA(VLOOKUP($E177,'A-1 On-Site Habitat Baseline'!$D$1:$O$258,7,FALSE)),"",(VLOOKUP($E177,'A-1 On-Site Habitat Baseline'!$D$1:$O$258,7,FALSE))))</f>
        <v/>
      </c>
      <c r="J177" s="295" t="str">
        <f>IF(E177="","",IF(ISNA(VLOOKUP($E177,'A-1 On-Site Habitat Baseline'!$D$1:$O$258,8,FALSE)),"",(VLOOKUP($E177,'A-1 On-Site Habitat Baseline'!$D$1:$O$258,8,FALSE))))</f>
        <v/>
      </c>
      <c r="K177" s="295" t="str">
        <f>IF(E177="","",IF(ISNA(VLOOKUP($E177,'A-1 On-Site Habitat Baseline'!$D$1:$O$258,9,FALSE)),"",(VLOOKUP($E177,'A-1 On-Site Habitat Baseline'!$D$1:$O$258,9,FALSE))))</f>
        <v/>
      </c>
      <c r="L177" s="295" t="str">
        <f>IF(E177="","",IF(ISNA(VLOOKUP($E177,'A-1 On-Site Habitat Baseline'!$D$1:$O$258,11,FALSE)),"",(VLOOKUP($E177,'A-1 On-Site Habitat Baseline'!$D$1:$O$258,11,FALSE))))</f>
        <v/>
      </c>
      <c r="M177" s="295" t="str">
        <f>IF(E177="","",IF(ISNA(VLOOKUP($E177,'A-1 On-Site Habitat Baseline'!$D$1:$O$258,12,FALSE)),"",(VLOOKUP($E177,'A-1 On-Site Habitat Baseline'!$D$1:$O$258,12,FALSE))))</f>
        <v/>
      </c>
      <c r="N177" s="306" t="str">
        <f>IF(E177="","",IF(ISNA(VLOOKUP($E177,'A-1 On-Site Habitat Baseline'!$D$1:$X$258,14,FALSE)),"",(VLOOKUP($E177,'A-1 On-Site Habitat Baseline'!$D$1:$X$258,14,FALSE))))</f>
        <v/>
      </c>
      <c r="O177" s="299" t="str">
        <f>IF(E177="","",IF(ISNA(VLOOKUP($E177,'A-1 On-Site Habitat Baseline'!$D$1:$X$258,16,FALSE)),"",(VLOOKUP($E177,'A-1 On-Site Habitat Baseline'!$D$1:$X$258,13,FALSE))))</f>
        <v/>
      </c>
      <c r="P177" s="154" t="str">
        <f>IFERROR(INDEX('G-1 All Habitats'!$AG$49:$AG$63,MATCH(Q177,'G-1 All Habitats'!$AF$27:$AF$41,0)),"")</f>
        <v/>
      </c>
      <c r="Q177" s="155" t="str">
        <f t="shared" si="24"/>
        <v/>
      </c>
      <c r="R177" s="155"/>
      <c r="S177" s="237" t="str">
        <f>IFERROR(INDEX('G-1 All Habitats'!$B$3:$B$135,MATCH(R177,'G-1 All Habitats'!$A$3:$A$135,0)),"")</f>
        <v/>
      </c>
      <c r="T177" s="275" t="str">
        <f t="shared" si="25"/>
        <v/>
      </c>
      <c r="U177" s="276" t="str">
        <f t="shared" si="26"/>
        <v/>
      </c>
      <c r="V177" s="311" t="str">
        <f t="shared" si="22"/>
        <v/>
      </c>
      <c r="W177" s="295" t="str">
        <f>IF(S177="","",VLOOKUP(S177,'G-1 All Habitats'!$B$2:$M$135,10,FALSE))</f>
        <v/>
      </c>
      <c r="X177" s="295" t="str">
        <f>IFERROR(VLOOKUP(W177,'G-1 All Habitats'!$V$3:$W$7,2,FALSE),"")</f>
        <v/>
      </c>
      <c r="Y177" s="57"/>
      <c r="Z177" s="299" t="str">
        <f>IFERROR(INDEX('G-8 Condition Look up'!$A$3:$H$135,MATCH(S177,'G-8 Condition Look up'!$A$3:$A$135,0),MATCH(Y177,'G-8 Condition Look up'!$A$3:$H$3,0)),"")</f>
        <v/>
      </c>
      <c r="AA177" s="52"/>
      <c r="AB177" s="295" t="str">
        <f>IF(AA177="","",IF(VLOOKUP(AA177,'G-3 Multipliers'!$L$3:$N$6,2,FALSE)=0,"Spatial Data Missing ⚠",VLOOKUP(AA177,'G-3 Multipliers'!$L$3:$N$6,2,FALSE)))</f>
        <v/>
      </c>
      <c r="AC177" s="299" t="str">
        <f>IF(AA177="","",IF(VLOOKUP(AA177,'G-3 Multipliers'!$L$3:$N$6,3,FALSE)=0,"Spatial Data Missing ⚠",VLOOKUP(AA177,'G-3 Multipliers'!$L$3:$N$6,3,FALSE)))</f>
        <v/>
      </c>
      <c r="AD177" s="313" t="str">
        <f t="shared" si="23"/>
        <v/>
      </c>
      <c r="AE177" s="58"/>
      <c r="AF177" s="58"/>
      <c r="AG177" s="283" t="str">
        <f t="shared" si="27"/>
        <v/>
      </c>
      <c r="AH177" s="296" t="str">
        <f t="shared" si="28"/>
        <v/>
      </c>
      <c r="AI177" s="297" t="str">
        <f>IF(AH177="Check Data ⚠","Check Data ⚠",IFERROR(VLOOKUP(AH177,'G-4 Temporal multipliers'!$A$4:$C$36,3,FALSE),""))</f>
        <v/>
      </c>
      <c r="AJ177" s="275" t="str">
        <f>IF(S177="","",VLOOKUP(S177,'G-3 Multipliers'!$A$2:$E$134,4,FALSE))</f>
        <v/>
      </c>
      <c r="AK177" s="283" t="str">
        <f t="shared" si="29"/>
        <v/>
      </c>
      <c r="AL177" s="283" t="str">
        <f t="shared" si="30"/>
        <v/>
      </c>
      <c r="AM177" s="314" t="str">
        <f>IFERROR(IF(F177="","",IF(AH177="Check Data ⚠","Check Data ⚠",VLOOKUP(AL177,'G-3 Multipliers'!$P$2:$Q$6,2,FALSE))),"")</f>
        <v/>
      </c>
      <c r="AN177" s="289" t="str">
        <f t="shared" si="31"/>
        <v/>
      </c>
      <c r="AO177" s="52"/>
      <c r="AP177" s="51"/>
      <c r="AQ177" s="104"/>
      <c r="AT177" s="35" t="str">
        <f t="shared" si="32"/>
        <v>No</v>
      </c>
      <c r="AU177" s="35" t="str">
        <f>IF(E177="","",IF(ISNA(VLOOKUP($E177,'A-1 On-Site Habitat Baseline'!$D$1:$AV$258,4,FALSE)),"",(VLOOKUP($E177,'A-1 On-Site Habitat Baseline'!$D$1:$AV$258,4,FALSE))))</f>
        <v/>
      </c>
    </row>
    <row r="178" spans="1:47" ht="14">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05" t="str">
        <f>'A-1 On-Site Habitat Baseline'!AL177</f>
        <v/>
      </c>
      <c r="F178" s="295" t="str">
        <f>IF(E178="","",IF(ISNA(VLOOKUP($E178,'A-1 On-Site Habitat Baseline'!$D$1:$AV$258,45,FALSE)),"",(VLOOKUP($E178,'A-1 On-Site Habitat Baseline'!$D$1:$AV$258,45,FALSE))))</f>
        <v/>
      </c>
      <c r="G178" s="295" t="str">
        <f>IF(E178="","",IF(ISNA(VLOOKUP($E178,'A-1 On-Site Habitat Baseline'!$D$1:$O$258,5,FALSE)),"",(VLOOKUP($E178,'A-1 On-Site Habitat Baseline'!$D$1:$O$258,5,FALSE))))</f>
        <v/>
      </c>
      <c r="H178" s="295" t="str">
        <f>IF(E178="","",IF(ISNA(VLOOKUP($E178,'A-1 On-Site Habitat Baseline'!$D$1:$O$258,6,FALSE)),"",(VLOOKUP($E178,'A-1 On-Site Habitat Baseline'!$D$1:$O$258,6,FALSE))))</f>
        <v/>
      </c>
      <c r="I178" s="295" t="str">
        <f>IF(E178="","",IF(ISNA(VLOOKUP($E178,'A-1 On-Site Habitat Baseline'!$D$1:$O$258,7,FALSE)),"",(VLOOKUP($E178,'A-1 On-Site Habitat Baseline'!$D$1:$O$258,7,FALSE))))</f>
        <v/>
      </c>
      <c r="J178" s="295" t="str">
        <f>IF(E178="","",IF(ISNA(VLOOKUP($E178,'A-1 On-Site Habitat Baseline'!$D$1:$O$258,8,FALSE)),"",(VLOOKUP($E178,'A-1 On-Site Habitat Baseline'!$D$1:$O$258,8,FALSE))))</f>
        <v/>
      </c>
      <c r="K178" s="295" t="str">
        <f>IF(E178="","",IF(ISNA(VLOOKUP($E178,'A-1 On-Site Habitat Baseline'!$D$1:$O$258,9,FALSE)),"",(VLOOKUP($E178,'A-1 On-Site Habitat Baseline'!$D$1:$O$258,9,FALSE))))</f>
        <v/>
      </c>
      <c r="L178" s="295" t="str">
        <f>IF(E178="","",IF(ISNA(VLOOKUP($E178,'A-1 On-Site Habitat Baseline'!$D$1:$O$258,11,FALSE)),"",(VLOOKUP($E178,'A-1 On-Site Habitat Baseline'!$D$1:$O$258,11,FALSE))))</f>
        <v/>
      </c>
      <c r="M178" s="295" t="str">
        <f>IF(E178="","",IF(ISNA(VLOOKUP($E178,'A-1 On-Site Habitat Baseline'!$D$1:$O$258,12,FALSE)),"",(VLOOKUP($E178,'A-1 On-Site Habitat Baseline'!$D$1:$O$258,12,FALSE))))</f>
        <v/>
      </c>
      <c r="N178" s="306" t="str">
        <f>IF(E178="","",IF(ISNA(VLOOKUP($E178,'A-1 On-Site Habitat Baseline'!$D$1:$X$258,14,FALSE)),"",(VLOOKUP($E178,'A-1 On-Site Habitat Baseline'!$D$1:$X$258,14,FALSE))))</f>
        <v/>
      </c>
      <c r="O178" s="299" t="str">
        <f>IF(E178="","",IF(ISNA(VLOOKUP($E178,'A-1 On-Site Habitat Baseline'!$D$1:$X$258,16,FALSE)),"",(VLOOKUP($E178,'A-1 On-Site Habitat Baseline'!$D$1:$X$258,13,FALSE))))</f>
        <v/>
      </c>
      <c r="P178" s="154" t="str">
        <f>IFERROR(INDEX('G-1 All Habitats'!$AG$49:$AG$63,MATCH(Q178,'G-1 All Habitats'!$AF$27:$AF$41,0)),"")</f>
        <v/>
      </c>
      <c r="Q178" s="155" t="str">
        <f t="shared" si="24"/>
        <v/>
      </c>
      <c r="R178" s="155"/>
      <c r="S178" s="237" t="str">
        <f>IFERROR(INDEX('G-1 All Habitats'!$B$3:$B$135,MATCH(R178,'G-1 All Habitats'!$A$3:$A$135,0)),"")</f>
        <v/>
      </c>
      <c r="T178" s="275" t="str">
        <f t="shared" si="25"/>
        <v/>
      </c>
      <c r="U178" s="276" t="str">
        <f t="shared" si="26"/>
        <v/>
      </c>
      <c r="V178" s="311" t="str">
        <f t="shared" si="22"/>
        <v/>
      </c>
      <c r="W178" s="295" t="str">
        <f>IF(S178="","",VLOOKUP(S178,'G-1 All Habitats'!$B$2:$M$135,10,FALSE))</f>
        <v/>
      </c>
      <c r="X178" s="295" t="str">
        <f>IFERROR(VLOOKUP(W178,'G-1 All Habitats'!$V$3:$W$7,2,FALSE),"")</f>
        <v/>
      </c>
      <c r="Y178" s="57"/>
      <c r="Z178" s="299" t="str">
        <f>IFERROR(INDEX('G-8 Condition Look up'!$A$3:$H$135,MATCH(S178,'G-8 Condition Look up'!$A$3:$A$135,0),MATCH(Y178,'G-8 Condition Look up'!$A$3:$H$3,0)),"")</f>
        <v/>
      </c>
      <c r="AA178" s="52"/>
      <c r="AB178" s="295" t="str">
        <f>IF(AA178="","",IF(VLOOKUP(AA178,'G-3 Multipliers'!$L$3:$N$6,2,FALSE)=0,"Spatial Data Missing ⚠",VLOOKUP(AA178,'G-3 Multipliers'!$L$3:$N$6,2,FALSE)))</f>
        <v/>
      </c>
      <c r="AC178" s="299" t="str">
        <f>IF(AA178="","",IF(VLOOKUP(AA178,'G-3 Multipliers'!$L$3:$N$6,3,FALSE)=0,"Spatial Data Missing ⚠",VLOOKUP(AA178,'G-3 Multipliers'!$L$3:$N$6,3,FALSE)))</f>
        <v/>
      </c>
      <c r="AD178" s="313" t="str">
        <f t="shared" si="23"/>
        <v/>
      </c>
      <c r="AE178" s="58"/>
      <c r="AF178" s="58"/>
      <c r="AG178" s="283" t="str">
        <f t="shared" si="27"/>
        <v/>
      </c>
      <c r="AH178" s="296" t="str">
        <f t="shared" si="28"/>
        <v/>
      </c>
      <c r="AI178" s="297" t="str">
        <f>IF(AH178="Check Data ⚠","Check Data ⚠",IFERROR(VLOOKUP(AH178,'G-4 Temporal multipliers'!$A$4:$C$36,3,FALSE),""))</f>
        <v/>
      </c>
      <c r="AJ178" s="275" t="str">
        <f>IF(S178="","",VLOOKUP(S178,'G-3 Multipliers'!$A$2:$E$134,4,FALSE))</f>
        <v/>
      </c>
      <c r="AK178" s="283" t="str">
        <f t="shared" si="29"/>
        <v/>
      </c>
      <c r="AL178" s="283" t="str">
        <f t="shared" si="30"/>
        <v/>
      </c>
      <c r="AM178" s="314" t="str">
        <f>IFERROR(IF(F178="","",IF(AH178="Check Data ⚠","Check Data ⚠",VLOOKUP(AL178,'G-3 Multipliers'!$P$2:$Q$6,2,FALSE))),"")</f>
        <v/>
      </c>
      <c r="AN178" s="289" t="str">
        <f t="shared" si="31"/>
        <v/>
      </c>
      <c r="AO178" s="52"/>
      <c r="AP178" s="51"/>
      <c r="AQ178" s="104"/>
      <c r="AT178" s="35" t="str">
        <f t="shared" si="32"/>
        <v>No</v>
      </c>
      <c r="AU178" s="35" t="str">
        <f>IF(E178="","",IF(ISNA(VLOOKUP($E178,'A-1 On-Site Habitat Baseline'!$D$1:$AV$258,4,FALSE)),"",(VLOOKUP($E178,'A-1 On-Site Habitat Baseline'!$D$1:$AV$258,4,FALSE))))</f>
        <v/>
      </c>
    </row>
    <row r="179" spans="1:47" ht="14">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05" t="str">
        <f>'A-1 On-Site Habitat Baseline'!AL178</f>
        <v/>
      </c>
      <c r="F179" s="295" t="str">
        <f>IF(E179="","",IF(ISNA(VLOOKUP($E179,'A-1 On-Site Habitat Baseline'!$D$1:$AV$258,45,FALSE)),"",(VLOOKUP($E179,'A-1 On-Site Habitat Baseline'!$D$1:$AV$258,45,FALSE))))</f>
        <v/>
      </c>
      <c r="G179" s="295" t="str">
        <f>IF(E179="","",IF(ISNA(VLOOKUP($E179,'A-1 On-Site Habitat Baseline'!$D$1:$O$258,5,FALSE)),"",(VLOOKUP($E179,'A-1 On-Site Habitat Baseline'!$D$1:$O$258,5,FALSE))))</f>
        <v/>
      </c>
      <c r="H179" s="295" t="str">
        <f>IF(E179="","",IF(ISNA(VLOOKUP($E179,'A-1 On-Site Habitat Baseline'!$D$1:$O$258,6,FALSE)),"",(VLOOKUP($E179,'A-1 On-Site Habitat Baseline'!$D$1:$O$258,6,FALSE))))</f>
        <v/>
      </c>
      <c r="I179" s="295" t="str">
        <f>IF(E179="","",IF(ISNA(VLOOKUP($E179,'A-1 On-Site Habitat Baseline'!$D$1:$O$258,7,FALSE)),"",(VLOOKUP($E179,'A-1 On-Site Habitat Baseline'!$D$1:$O$258,7,FALSE))))</f>
        <v/>
      </c>
      <c r="J179" s="295" t="str">
        <f>IF(E179="","",IF(ISNA(VLOOKUP($E179,'A-1 On-Site Habitat Baseline'!$D$1:$O$258,8,FALSE)),"",(VLOOKUP($E179,'A-1 On-Site Habitat Baseline'!$D$1:$O$258,8,FALSE))))</f>
        <v/>
      </c>
      <c r="K179" s="295" t="str">
        <f>IF(E179="","",IF(ISNA(VLOOKUP($E179,'A-1 On-Site Habitat Baseline'!$D$1:$O$258,9,FALSE)),"",(VLOOKUP($E179,'A-1 On-Site Habitat Baseline'!$D$1:$O$258,9,FALSE))))</f>
        <v/>
      </c>
      <c r="L179" s="295" t="str">
        <f>IF(E179="","",IF(ISNA(VLOOKUP($E179,'A-1 On-Site Habitat Baseline'!$D$1:$O$258,11,FALSE)),"",(VLOOKUP($E179,'A-1 On-Site Habitat Baseline'!$D$1:$O$258,11,FALSE))))</f>
        <v/>
      </c>
      <c r="M179" s="295" t="str">
        <f>IF(E179="","",IF(ISNA(VLOOKUP($E179,'A-1 On-Site Habitat Baseline'!$D$1:$O$258,12,FALSE)),"",(VLOOKUP($E179,'A-1 On-Site Habitat Baseline'!$D$1:$O$258,12,FALSE))))</f>
        <v/>
      </c>
      <c r="N179" s="306" t="str">
        <f>IF(E179="","",IF(ISNA(VLOOKUP($E179,'A-1 On-Site Habitat Baseline'!$D$1:$X$258,14,FALSE)),"",(VLOOKUP($E179,'A-1 On-Site Habitat Baseline'!$D$1:$X$258,14,FALSE))))</f>
        <v/>
      </c>
      <c r="O179" s="299" t="str">
        <f>IF(E179="","",IF(ISNA(VLOOKUP($E179,'A-1 On-Site Habitat Baseline'!$D$1:$X$258,16,FALSE)),"",(VLOOKUP($E179,'A-1 On-Site Habitat Baseline'!$D$1:$X$258,13,FALSE))))</f>
        <v/>
      </c>
      <c r="P179" s="154" t="str">
        <f>IFERROR(INDEX('G-1 All Habitats'!$AG$49:$AG$63,MATCH(Q179,'G-1 All Habitats'!$AF$27:$AF$41,0)),"")</f>
        <v/>
      </c>
      <c r="Q179" s="155" t="str">
        <f t="shared" si="24"/>
        <v/>
      </c>
      <c r="R179" s="155"/>
      <c r="S179" s="237" t="str">
        <f>IFERROR(INDEX('G-1 All Habitats'!$B$3:$B$135,MATCH(R179,'G-1 All Habitats'!$A$3:$A$135,0)),"")</f>
        <v/>
      </c>
      <c r="T179" s="275" t="str">
        <f t="shared" si="25"/>
        <v/>
      </c>
      <c r="U179" s="276" t="str">
        <f t="shared" si="26"/>
        <v/>
      </c>
      <c r="V179" s="311" t="str">
        <f t="shared" si="22"/>
        <v/>
      </c>
      <c r="W179" s="295" t="str">
        <f>IF(S179="","",VLOOKUP(S179,'G-1 All Habitats'!$B$2:$M$135,10,FALSE))</f>
        <v/>
      </c>
      <c r="X179" s="295" t="str">
        <f>IFERROR(VLOOKUP(W179,'G-1 All Habitats'!$V$3:$W$7,2,FALSE),"")</f>
        <v/>
      </c>
      <c r="Y179" s="57"/>
      <c r="Z179" s="299" t="str">
        <f>IFERROR(INDEX('G-8 Condition Look up'!$A$3:$H$135,MATCH(S179,'G-8 Condition Look up'!$A$3:$A$135,0),MATCH(Y179,'G-8 Condition Look up'!$A$3:$H$3,0)),"")</f>
        <v/>
      </c>
      <c r="AA179" s="52"/>
      <c r="AB179" s="295" t="str">
        <f>IF(AA179="","",IF(VLOOKUP(AA179,'G-3 Multipliers'!$L$3:$N$6,2,FALSE)=0,"Spatial Data Missing ⚠",VLOOKUP(AA179,'G-3 Multipliers'!$L$3:$N$6,2,FALSE)))</f>
        <v/>
      </c>
      <c r="AC179" s="299" t="str">
        <f>IF(AA179="","",IF(VLOOKUP(AA179,'G-3 Multipliers'!$L$3:$N$6,3,FALSE)=0,"Spatial Data Missing ⚠",VLOOKUP(AA179,'G-3 Multipliers'!$L$3:$N$6,3,FALSE)))</f>
        <v/>
      </c>
      <c r="AD179" s="313" t="str">
        <f t="shared" si="23"/>
        <v/>
      </c>
      <c r="AE179" s="58"/>
      <c r="AF179" s="58"/>
      <c r="AG179" s="283" t="str">
        <f t="shared" si="27"/>
        <v/>
      </c>
      <c r="AH179" s="296" t="str">
        <f t="shared" si="28"/>
        <v/>
      </c>
      <c r="AI179" s="297" t="str">
        <f>IF(AH179="Check Data ⚠","Check Data ⚠",IFERROR(VLOOKUP(AH179,'G-4 Temporal multipliers'!$A$4:$C$36,3,FALSE),""))</f>
        <v/>
      </c>
      <c r="AJ179" s="275" t="str">
        <f>IF(S179="","",VLOOKUP(S179,'G-3 Multipliers'!$A$2:$E$134,4,FALSE))</f>
        <v/>
      </c>
      <c r="AK179" s="283" t="str">
        <f t="shared" si="29"/>
        <v/>
      </c>
      <c r="AL179" s="283" t="str">
        <f t="shared" si="30"/>
        <v/>
      </c>
      <c r="AM179" s="314" t="str">
        <f>IFERROR(IF(F179="","",IF(AH179="Check Data ⚠","Check Data ⚠",VLOOKUP(AL179,'G-3 Multipliers'!$P$2:$Q$6,2,FALSE))),"")</f>
        <v/>
      </c>
      <c r="AN179" s="289" t="str">
        <f t="shared" si="31"/>
        <v/>
      </c>
      <c r="AO179" s="52"/>
      <c r="AP179" s="51"/>
      <c r="AQ179" s="104"/>
      <c r="AT179" s="35" t="str">
        <f t="shared" si="32"/>
        <v>No</v>
      </c>
      <c r="AU179" s="35" t="str">
        <f>IF(E179="","",IF(ISNA(VLOOKUP($E179,'A-1 On-Site Habitat Baseline'!$D$1:$AV$258,4,FALSE)),"",(VLOOKUP($E179,'A-1 On-Site Habitat Baseline'!$D$1:$AV$258,4,FALSE))))</f>
        <v/>
      </c>
    </row>
    <row r="180" spans="1:47" ht="14">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05" t="str">
        <f>'A-1 On-Site Habitat Baseline'!AL179</f>
        <v/>
      </c>
      <c r="F180" s="295" t="str">
        <f>IF(E180="","",IF(ISNA(VLOOKUP($E180,'A-1 On-Site Habitat Baseline'!$D$1:$AV$258,45,FALSE)),"",(VLOOKUP($E180,'A-1 On-Site Habitat Baseline'!$D$1:$AV$258,45,FALSE))))</f>
        <v/>
      </c>
      <c r="G180" s="295" t="str">
        <f>IF(E180="","",IF(ISNA(VLOOKUP($E180,'A-1 On-Site Habitat Baseline'!$D$1:$O$258,5,FALSE)),"",(VLOOKUP($E180,'A-1 On-Site Habitat Baseline'!$D$1:$O$258,5,FALSE))))</f>
        <v/>
      </c>
      <c r="H180" s="295" t="str">
        <f>IF(E180="","",IF(ISNA(VLOOKUP($E180,'A-1 On-Site Habitat Baseline'!$D$1:$O$258,6,FALSE)),"",(VLOOKUP($E180,'A-1 On-Site Habitat Baseline'!$D$1:$O$258,6,FALSE))))</f>
        <v/>
      </c>
      <c r="I180" s="295" t="str">
        <f>IF(E180="","",IF(ISNA(VLOOKUP($E180,'A-1 On-Site Habitat Baseline'!$D$1:$O$258,7,FALSE)),"",(VLOOKUP($E180,'A-1 On-Site Habitat Baseline'!$D$1:$O$258,7,FALSE))))</f>
        <v/>
      </c>
      <c r="J180" s="295" t="str">
        <f>IF(E180="","",IF(ISNA(VLOOKUP($E180,'A-1 On-Site Habitat Baseline'!$D$1:$O$258,8,FALSE)),"",(VLOOKUP($E180,'A-1 On-Site Habitat Baseline'!$D$1:$O$258,8,FALSE))))</f>
        <v/>
      </c>
      <c r="K180" s="295" t="str">
        <f>IF(E180="","",IF(ISNA(VLOOKUP($E180,'A-1 On-Site Habitat Baseline'!$D$1:$O$258,9,FALSE)),"",(VLOOKUP($E180,'A-1 On-Site Habitat Baseline'!$D$1:$O$258,9,FALSE))))</f>
        <v/>
      </c>
      <c r="L180" s="295" t="str">
        <f>IF(E180="","",IF(ISNA(VLOOKUP($E180,'A-1 On-Site Habitat Baseline'!$D$1:$O$258,11,FALSE)),"",(VLOOKUP($E180,'A-1 On-Site Habitat Baseline'!$D$1:$O$258,11,FALSE))))</f>
        <v/>
      </c>
      <c r="M180" s="295" t="str">
        <f>IF(E180="","",IF(ISNA(VLOOKUP($E180,'A-1 On-Site Habitat Baseline'!$D$1:$O$258,12,FALSE)),"",(VLOOKUP($E180,'A-1 On-Site Habitat Baseline'!$D$1:$O$258,12,FALSE))))</f>
        <v/>
      </c>
      <c r="N180" s="306" t="str">
        <f>IF(E180="","",IF(ISNA(VLOOKUP($E180,'A-1 On-Site Habitat Baseline'!$D$1:$X$258,14,FALSE)),"",(VLOOKUP($E180,'A-1 On-Site Habitat Baseline'!$D$1:$X$258,14,FALSE))))</f>
        <v/>
      </c>
      <c r="O180" s="299" t="str">
        <f>IF(E180="","",IF(ISNA(VLOOKUP($E180,'A-1 On-Site Habitat Baseline'!$D$1:$X$258,16,FALSE)),"",(VLOOKUP($E180,'A-1 On-Site Habitat Baseline'!$D$1:$X$258,13,FALSE))))</f>
        <v/>
      </c>
      <c r="P180" s="154" t="str">
        <f>IFERROR(INDEX('G-1 All Habitats'!$AG$49:$AG$63,MATCH(Q180,'G-1 All Habitats'!$AF$27:$AF$41,0)),"")</f>
        <v/>
      </c>
      <c r="Q180" s="155" t="str">
        <f t="shared" si="24"/>
        <v/>
      </c>
      <c r="R180" s="155"/>
      <c r="S180" s="237" t="str">
        <f>IFERROR(INDEX('G-1 All Habitats'!$B$3:$B$135,MATCH(R180,'G-1 All Habitats'!$A$3:$A$135,0)),"")</f>
        <v/>
      </c>
      <c r="T180" s="275" t="str">
        <f t="shared" si="25"/>
        <v/>
      </c>
      <c r="U180" s="276" t="str">
        <f t="shared" si="26"/>
        <v/>
      </c>
      <c r="V180" s="311" t="str">
        <f t="shared" si="22"/>
        <v/>
      </c>
      <c r="W180" s="295" t="str">
        <f>IF(S180="","",VLOOKUP(S180,'G-1 All Habitats'!$B$2:$M$135,10,FALSE))</f>
        <v/>
      </c>
      <c r="X180" s="295" t="str">
        <f>IFERROR(VLOOKUP(W180,'G-1 All Habitats'!$V$3:$W$7,2,FALSE),"")</f>
        <v/>
      </c>
      <c r="Y180" s="57"/>
      <c r="Z180" s="299" t="str">
        <f>IFERROR(INDEX('G-8 Condition Look up'!$A$3:$H$135,MATCH(S180,'G-8 Condition Look up'!$A$3:$A$135,0),MATCH(Y180,'G-8 Condition Look up'!$A$3:$H$3,0)),"")</f>
        <v/>
      </c>
      <c r="AA180" s="52"/>
      <c r="AB180" s="295" t="str">
        <f>IF(AA180="","",IF(VLOOKUP(AA180,'G-3 Multipliers'!$L$3:$N$6,2,FALSE)=0,"Spatial Data Missing ⚠",VLOOKUP(AA180,'G-3 Multipliers'!$L$3:$N$6,2,FALSE)))</f>
        <v/>
      </c>
      <c r="AC180" s="299" t="str">
        <f>IF(AA180="","",IF(VLOOKUP(AA180,'G-3 Multipliers'!$L$3:$N$6,3,FALSE)=0,"Spatial Data Missing ⚠",VLOOKUP(AA180,'G-3 Multipliers'!$L$3:$N$6,3,FALSE)))</f>
        <v/>
      </c>
      <c r="AD180" s="313" t="str">
        <f t="shared" si="23"/>
        <v/>
      </c>
      <c r="AE180" s="58"/>
      <c r="AF180" s="58"/>
      <c r="AG180" s="283" t="str">
        <f t="shared" si="27"/>
        <v/>
      </c>
      <c r="AH180" s="296" t="str">
        <f t="shared" si="28"/>
        <v/>
      </c>
      <c r="AI180" s="297" t="str">
        <f>IF(AH180="Check Data ⚠","Check Data ⚠",IFERROR(VLOOKUP(AH180,'G-4 Temporal multipliers'!$A$4:$C$36,3,FALSE),""))</f>
        <v/>
      </c>
      <c r="AJ180" s="275" t="str">
        <f>IF(S180="","",VLOOKUP(S180,'G-3 Multipliers'!$A$2:$E$134,4,FALSE))</f>
        <v/>
      </c>
      <c r="AK180" s="283" t="str">
        <f t="shared" si="29"/>
        <v/>
      </c>
      <c r="AL180" s="283" t="str">
        <f t="shared" si="30"/>
        <v/>
      </c>
      <c r="AM180" s="314" t="str">
        <f>IFERROR(IF(F180="","",IF(AH180="Check Data ⚠","Check Data ⚠",VLOOKUP(AL180,'G-3 Multipliers'!$P$2:$Q$6,2,FALSE))),"")</f>
        <v/>
      </c>
      <c r="AN180" s="289" t="str">
        <f t="shared" si="31"/>
        <v/>
      </c>
      <c r="AO180" s="52"/>
      <c r="AP180" s="51"/>
      <c r="AQ180" s="104"/>
      <c r="AT180" s="35" t="str">
        <f t="shared" si="32"/>
        <v>No</v>
      </c>
      <c r="AU180" s="35" t="str">
        <f>IF(E180="","",IF(ISNA(VLOOKUP($E180,'A-1 On-Site Habitat Baseline'!$D$1:$AV$258,4,FALSE)),"",(VLOOKUP($E180,'A-1 On-Site Habitat Baseline'!$D$1:$AV$258,4,FALSE))))</f>
        <v/>
      </c>
    </row>
    <row r="181" spans="1:47" ht="14">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05" t="str">
        <f>'A-1 On-Site Habitat Baseline'!AL180</f>
        <v/>
      </c>
      <c r="F181" s="295" t="str">
        <f>IF(E181="","",IF(ISNA(VLOOKUP($E181,'A-1 On-Site Habitat Baseline'!$D$1:$AV$258,45,FALSE)),"",(VLOOKUP($E181,'A-1 On-Site Habitat Baseline'!$D$1:$AV$258,45,FALSE))))</f>
        <v/>
      </c>
      <c r="G181" s="295" t="str">
        <f>IF(E181="","",IF(ISNA(VLOOKUP($E181,'A-1 On-Site Habitat Baseline'!$D$1:$O$258,5,FALSE)),"",(VLOOKUP($E181,'A-1 On-Site Habitat Baseline'!$D$1:$O$258,5,FALSE))))</f>
        <v/>
      </c>
      <c r="H181" s="295" t="str">
        <f>IF(E181="","",IF(ISNA(VLOOKUP($E181,'A-1 On-Site Habitat Baseline'!$D$1:$O$258,6,FALSE)),"",(VLOOKUP($E181,'A-1 On-Site Habitat Baseline'!$D$1:$O$258,6,FALSE))))</f>
        <v/>
      </c>
      <c r="I181" s="295" t="str">
        <f>IF(E181="","",IF(ISNA(VLOOKUP($E181,'A-1 On-Site Habitat Baseline'!$D$1:$O$258,7,FALSE)),"",(VLOOKUP($E181,'A-1 On-Site Habitat Baseline'!$D$1:$O$258,7,FALSE))))</f>
        <v/>
      </c>
      <c r="J181" s="295" t="str">
        <f>IF(E181="","",IF(ISNA(VLOOKUP($E181,'A-1 On-Site Habitat Baseline'!$D$1:$O$258,8,FALSE)),"",(VLOOKUP($E181,'A-1 On-Site Habitat Baseline'!$D$1:$O$258,8,FALSE))))</f>
        <v/>
      </c>
      <c r="K181" s="295" t="str">
        <f>IF(E181="","",IF(ISNA(VLOOKUP($E181,'A-1 On-Site Habitat Baseline'!$D$1:$O$258,9,FALSE)),"",(VLOOKUP($E181,'A-1 On-Site Habitat Baseline'!$D$1:$O$258,9,FALSE))))</f>
        <v/>
      </c>
      <c r="L181" s="295" t="str">
        <f>IF(E181="","",IF(ISNA(VLOOKUP($E181,'A-1 On-Site Habitat Baseline'!$D$1:$O$258,11,FALSE)),"",(VLOOKUP($E181,'A-1 On-Site Habitat Baseline'!$D$1:$O$258,11,FALSE))))</f>
        <v/>
      </c>
      <c r="M181" s="295" t="str">
        <f>IF(E181="","",IF(ISNA(VLOOKUP($E181,'A-1 On-Site Habitat Baseline'!$D$1:$O$258,12,FALSE)),"",(VLOOKUP($E181,'A-1 On-Site Habitat Baseline'!$D$1:$O$258,12,FALSE))))</f>
        <v/>
      </c>
      <c r="N181" s="306" t="str">
        <f>IF(E181="","",IF(ISNA(VLOOKUP($E181,'A-1 On-Site Habitat Baseline'!$D$1:$X$258,14,FALSE)),"",(VLOOKUP($E181,'A-1 On-Site Habitat Baseline'!$D$1:$X$258,14,FALSE))))</f>
        <v/>
      </c>
      <c r="O181" s="299" t="str">
        <f>IF(E181="","",IF(ISNA(VLOOKUP($E181,'A-1 On-Site Habitat Baseline'!$D$1:$X$258,16,FALSE)),"",(VLOOKUP($E181,'A-1 On-Site Habitat Baseline'!$D$1:$X$258,13,FALSE))))</f>
        <v/>
      </c>
      <c r="P181" s="154" t="str">
        <f>IFERROR(INDEX('G-1 All Habitats'!$AG$49:$AG$63,MATCH(Q181,'G-1 All Habitats'!$AF$27:$AF$41,0)),"")</f>
        <v/>
      </c>
      <c r="Q181" s="155" t="str">
        <f t="shared" si="24"/>
        <v/>
      </c>
      <c r="R181" s="155"/>
      <c r="S181" s="237" t="str">
        <f>IFERROR(INDEX('G-1 All Habitats'!$B$3:$B$135,MATCH(R181,'G-1 All Habitats'!$A$3:$A$135,0)),"")</f>
        <v/>
      </c>
      <c r="T181" s="275" t="str">
        <f t="shared" si="25"/>
        <v/>
      </c>
      <c r="U181" s="276" t="str">
        <f t="shared" si="26"/>
        <v/>
      </c>
      <c r="V181" s="311" t="str">
        <f t="shared" si="22"/>
        <v/>
      </c>
      <c r="W181" s="295" t="str">
        <f>IF(S181="","",VLOOKUP(S181,'G-1 All Habitats'!$B$2:$M$135,10,FALSE))</f>
        <v/>
      </c>
      <c r="X181" s="295" t="str">
        <f>IFERROR(VLOOKUP(W181,'G-1 All Habitats'!$V$3:$W$7,2,FALSE),"")</f>
        <v/>
      </c>
      <c r="Y181" s="57"/>
      <c r="Z181" s="299" t="str">
        <f>IFERROR(INDEX('G-8 Condition Look up'!$A$3:$H$135,MATCH(S181,'G-8 Condition Look up'!$A$3:$A$135,0),MATCH(Y181,'G-8 Condition Look up'!$A$3:$H$3,0)),"")</f>
        <v/>
      </c>
      <c r="AA181" s="52"/>
      <c r="AB181" s="295" t="str">
        <f>IF(AA181="","",IF(VLOOKUP(AA181,'G-3 Multipliers'!$L$3:$N$6,2,FALSE)=0,"Spatial Data Missing ⚠",VLOOKUP(AA181,'G-3 Multipliers'!$L$3:$N$6,2,FALSE)))</f>
        <v/>
      </c>
      <c r="AC181" s="299" t="str">
        <f>IF(AA181="","",IF(VLOOKUP(AA181,'G-3 Multipliers'!$L$3:$N$6,3,FALSE)=0,"Spatial Data Missing ⚠",VLOOKUP(AA181,'G-3 Multipliers'!$L$3:$N$6,3,FALSE)))</f>
        <v/>
      </c>
      <c r="AD181" s="313" t="str">
        <f t="shared" si="23"/>
        <v/>
      </c>
      <c r="AE181" s="58"/>
      <c r="AF181" s="58"/>
      <c r="AG181" s="283" t="str">
        <f t="shared" si="27"/>
        <v/>
      </c>
      <c r="AH181" s="296" t="str">
        <f t="shared" si="28"/>
        <v/>
      </c>
      <c r="AI181" s="297" t="str">
        <f>IF(AH181="Check Data ⚠","Check Data ⚠",IFERROR(VLOOKUP(AH181,'G-4 Temporal multipliers'!$A$4:$C$36,3,FALSE),""))</f>
        <v/>
      </c>
      <c r="AJ181" s="275" t="str">
        <f>IF(S181="","",VLOOKUP(S181,'G-3 Multipliers'!$A$2:$E$134,4,FALSE))</f>
        <v/>
      </c>
      <c r="AK181" s="283" t="str">
        <f t="shared" si="29"/>
        <v/>
      </c>
      <c r="AL181" s="283" t="str">
        <f t="shared" si="30"/>
        <v/>
      </c>
      <c r="AM181" s="314" t="str">
        <f>IFERROR(IF(F181="","",IF(AH181="Check Data ⚠","Check Data ⚠",VLOOKUP(AL181,'G-3 Multipliers'!$P$2:$Q$6,2,FALSE))),"")</f>
        <v/>
      </c>
      <c r="AN181" s="289" t="str">
        <f t="shared" si="31"/>
        <v/>
      </c>
      <c r="AO181" s="52"/>
      <c r="AP181" s="51"/>
      <c r="AQ181" s="104"/>
      <c r="AT181" s="35" t="str">
        <f t="shared" si="32"/>
        <v>No</v>
      </c>
      <c r="AU181" s="35" t="str">
        <f>IF(E181="","",IF(ISNA(VLOOKUP($E181,'A-1 On-Site Habitat Baseline'!$D$1:$AV$258,4,FALSE)),"",(VLOOKUP($E181,'A-1 On-Site Habitat Baseline'!$D$1:$AV$258,4,FALSE))))</f>
        <v/>
      </c>
    </row>
    <row r="182" spans="1:47" ht="14">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05" t="str">
        <f>'A-1 On-Site Habitat Baseline'!AL181</f>
        <v/>
      </c>
      <c r="F182" s="295" t="str">
        <f>IF(E182="","",IF(ISNA(VLOOKUP($E182,'A-1 On-Site Habitat Baseline'!$D$1:$AV$258,45,FALSE)),"",(VLOOKUP($E182,'A-1 On-Site Habitat Baseline'!$D$1:$AV$258,45,FALSE))))</f>
        <v/>
      </c>
      <c r="G182" s="295" t="str">
        <f>IF(E182="","",IF(ISNA(VLOOKUP($E182,'A-1 On-Site Habitat Baseline'!$D$1:$O$258,5,FALSE)),"",(VLOOKUP($E182,'A-1 On-Site Habitat Baseline'!$D$1:$O$258,5,FALSE))))</f>
        <v/>
      </c>
      <c r="H182" s="295" t="str">
        <f>IF(E182="","",IF(ISNA(VLOOKUP($E182,'A-1 On-Site Habitat Baseline'!$D$1:$O$258,6,FALSE)),"",(VLOOKUP($E182,'A-1 On-Site Habitat Baseline'!$D$1:$O$258,6,FALSE))))</f>
        <v/>
      </c>
      <c r="I182" s="295" t="str">
        <f>IF(E182="","",IF(ISNA(VLOOKUP($E182,'A-1 On-Site Habitat Baseline'!$D$1:$O$258,7,FALSE)),"",(VLOOKUP($E182,'A-1 On-Site Habitat Baseline'!$D$1:$O$258,7,FALSE))))</f>
        <v/>
      </c>
      <c r="J182" s="295" t="str">
        <f>IF(E182="","",IF(ISNA(VLOOKUP($E182,'A-1 On-Site Habitat Baseline'!$D$1:$O$258,8,FALSE)),"",(VLOOKUP($E182,'A-1 On-Site Habitat Baseline'!$D$1:$O$258,8,FALSE))))</f>
        <v/>
      </c>
      <c r="K182" s="295" t="str">
        <f>IF(E182="","",IF(ISNA(VLOOKUP($E182,'A-1 On-Site Habitat Baseline'!$D$1:$O$258,9,FALSE)),"",(VLOOKUP($E182,'A-1 On-Site Habitat Baseline'!$D$1:$O$258,9,FALSE))))</f>
        <v/>
      </c>
      <c r="L182" s="295" t="str">
        <f>IF(E182="","",IF(ISNA(VLOOKUP($E182,'A-1 On-Site Habitat Baseline'!$D$1:$O$258,11,FALSE)),"",(VLOOKUP($E182,'A-1 On-Site Habitat Baseline'!$D$1:$O$258,11,FALSE))))</f>
        <v/>
      </c>
      <c r="M182" s="295" t="str">
        <f>IF(E182="","",IF(ISNA(VLOOKUP($E182,'A-1 On-Site Habitat Baseline'!$D$1:$O$258,12,FALSE)),"",(VLOOKUP($E182,'A-1 On-Site Habitat Baseline'!$D$1:$O$258,12,FALSE))))</f>
        <v/>
      </c>
      <c r="N182" s="306" t="str">
        <f>IF(E182="","",IF(ISNA(VLOOKUP($E182,'A-1 On-Site Habitat Baseline'!$D$1:$X$258,14,FALSE)),"",(VLOOKUP($E182,'A-1 On-Site Habitat Baseline'!$D$1:$X$258,14,FALSE))))</f>
        <v/>
      </c>
      <c r="O182" s="299" t="str">
        <f>IF(E182="","",IF(ISNA(VLOOKUP($E182,'A-1 On-Site Habitat Baseline'!$D$1:$X$258,16,FALSE)),"",(VLOOKUP($E182,'A-1 On-Site Habitat Baseline'!$D$1:$X$258,13,FALSE))))</f>
        <v/>
      </c>
      <c r="P182" s="154" t="str">
        <f>IFERROR(INDEX('G-1 All Habitats'!$AG$49:$AG$63,MATCH(Q182,'G-1 All Habitats'!$AF$27:$AF$41,0)),"")</f>
        <v/>
      </c>
      <c r="Q182" s="155" t="str">
        <f t="shared" si="24"/>
        <v/>
      </c>
      <c r="R182" s="155"/>
      <c r="S182" s="237" t="str">
        <f>IFERROR(INDEX('G-1 All Habitats'!$B$3:$B$135,MATCH(R182,'G-1 All Habitats'!$A$3:$A$135,0)),"")</f>
        <v/>
      </c>
      <c r="T182" s="275" t="str">
        <f t="shared" si="25"/>
        <v/>
      </c>
      <c r="U182" s="276" t="str">
        <f t="shared" si="26"/>
        <v/>
      </c>
      <c r="V182" s="311" t="str">
        <f t="shared" si="22"/>
        <v/>
      </c>
      <c r="W182" s="295" t="str">
        <f>IF(S182="","",VLOOKUP(S182,'G-1 All Habitats'!$B$2:$M$135,10,FALSE))</f>
        <v/>
      </c>
      <c r="X182" s="295" t="str">
        <f>IFERROR(VLOOKUP(W182,'G-1 All Habitats'!$V$3:$W$7,2,FALSE),"")</f>
        <v/>
      </c>
      <c r="Y182" s="57"/>
      <c r="Z182" s="299" t="str">
        <f>IFERROR(INDEX('G-8 Condition Look up'!$A$3:$H$135,MATCH(S182,'G-8 Condition Look up'!$A$3:$A$135,0),MATCH(Y182,'G-8 Condition Look up'!$A$3:$H$3,0)),"")</f>
        <v/>
      </c>
      <c r="AA182" s="52"/>
      <c r="AB182" s="295" t="str">
        <f>IF(AA182="","",IF(VLOOKUP(AA182,'G-3 Multipliers'!$L$3:$N$6,2,FALSE)=0,"Spatial Data Missing ⚠",VLOOKUP(AA182,'G-3 Multipliers'!$L$3:$N$6,2,FALSE)))</f>
        <v/>
      </c>
      <c r="AC182" s="299" t="str">
        <f>IF(AA182="","",IF(VLOOKUP(AA182,'G-3 Multipliers'!$L$3:$N$6,3,FALSE)=0,"Spatial Data Missing ⚠",VLOOKUP(AA182,'G-3 Multipliers'!$L$3:$N$6,3,FALSE)))</f>
        <v/>
      </c>
      <c r="AD182" s="313" t="str">
        <f t="shared" si="23"/>
        <v/>
      </c>
      <c r="AE182" s="58"/>
      <c r="AF182" s="58"/>
      <c r="AG182" s="283" t="str">
        <f t="shared" si="27"/>
        <v/>
      </c>
      <c r="AH182" s="296" t="str">
        <f t="shared" si="28"/>
        <v/>
      </c>
      <c r="AI182" s="297" t="str">
        <f>IF(AH182="Check Data ⚠","Check Data ⚠",IFERROR(VLOOKUP(AH182,'G-4 Temporal multipliers'!$A$4:$C$36,3,FALSE),""))</f>
        <v/>
      </c>
      <c r="AJ182" s="275" t="str">
        <f>IF(S182="","",VLOOKUP(S182,'G-3 Multipliers'!$A$2:$E$134,4,FALSE))</f>
        <v/>
      </c>
      <c r="AK182" s="283" t="str">
        <f t="shared" si="29"/>
        <v/>
      </c>
      <c r="AL182" s="283" t="str">
        <f t="shared" si="30"/>
        <v/>
      </c>
      <c r="AM182" s="314" t="str">
        <f>IFERROR(IF(F182="","",IF(AH182="Check Data ⚠","Check Data ⚠",VLOOKUP(AL182,'G-3 Multipliers'!$P$2:$Q$6,2,FALSE))),"")</f>
        <v/>
      </c>
      <c r="AN182" s="289" t="str">
        <f t="shared" si="31"/>
        <v/>
      </c>
      <c r="AO182" s="52"/>
      <c r="AP182" s="51"/>
      <c r="AQ182" s="104"/>
      <c r="AT182" s="35" t="str">
        <f t="shared" si="32"/>
        <v>No</v>
      </c>
      <c r="AU182" s="35" t="str">
        <f>IF(E182="","",IF(ISNA(VLOOKUP($E182,'A-1 On-Site Habitat Baseline'!$D$1:$AV$258,4,FALSE)),"",(VLOOKUP($E182,'A-1 On-Site Habitat Baseline'!$D$1:$AV$258,4,FALSE))))</f>
        <v/>
      </c>
    </row>
    <row r="183" spans="1:47" ht="14">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05" t="str">
        <f>'A-1 On-Site Habitat Baseline'!AL182</f>
        <v/>
      </c>
      <c r="F183" s="295" t="str">
        <f>IF(E183="","",IF(ISNA(VLOOKUP($E183,'A-1 On-Site Habitat Baseline'!$D$1:$AV$258,45,FALSE)),"",(VLOOKUP($E183,'A-1 On-Site Habitat Baseline'!$D$1:$AV$258,45,FALSE))))</f>
        <v/>
      </c>
      <c r="G183" s="295" t="str">
        <f>IF(E183="","",IF(ISNA(VLOOKUP($E183,'A-1 On-Site Habitat Baseline'!$D$1:$O$258,5,FALSE)),"",(VLOOKUP($E183,'A-1 On-Site Habitat Baseline'!$D$1:$O$258,5,FALSE))))</f>
        <v/>
      </c>
      <c r="H183" s="295" t="str">
        <f>IF(E183="","",IF(ISNA(VLOOKUP($E183,'A-1 On-Site Habitat Baseline'!$D$1:$O$258,6,FALSE)),"",(VLOOKUP($E183,'A-1 On-Site Habitat Baseline'!$D$1:$O$258,6,FALSE))))</f>
        <v/>
      </c>
      <c r="I183" s="295" t="str">
        <f>IF(E183="","",IF(ISNA(VLOOKUP($E183,'A-1 On-Site Habitat Baseline'!$D$1:$O$258,7,FALSE)),"",(VLOOKUP($E183,'A-1 On-Site Habitat Baseline'!$D$1:$O$258,7,FALSE))))</f>
        <v/>
      </c>
      <c r="J183" s="295" t="str">
        <f>IF(E183="","",IF(ISNA(VLOOKUP($E183,'A-1 On-Site Habitat Baseline'!$D$1:$O$258,8,FALSE)),"",(VLOOKUP($E183,'A-1 On-Site Habitat Baseline'!$D$1:$O$258,8,FALSE))))</f>
        <v/>
      </c>
      <c r="K183" s="295" t="str">
        <f>IF(E183="","",IF(ISNA(VLOOKUP($E183,'A-1 On-Site Habitat Baseline'!$D$1:$O$258,9,FALSE)),"",(VLOOKUP($E183,'A-1 On-Site Habitat Baseline'!$D$1:$O$258,9,FALSE))))</f>
        <v/>
      </c>
      <c r="L183" s="295" t="str">
        <f>IF(E183="","",IF(ISNA(VLOOKUP($E183,'A-1 On-Site Habitat Baseline'!$D$1:$O$258,11,FALSE)),"",(VLOOKUP($E183,'A-1 On-Site Habitat Baseline'!$D$1:$O$258,11,FALSE))))</f>
        <v/>
      </c>
      <c r="M183" s="295" t="str">
        <f>IF(E183="","",IF(ISNA(VLOOKUP($E183,'A-1 On-Site Habitat Baseline'!$D$1:$O$258,12,FALSE)),"",(VLOOKUP($E183,'A-1 On-Site Habitat Baseline'!$D$1:$O$258,12,FALSE))))</f>
        <v/>
      </c>
      <c r="N183" s="306" t="str">
        <f>IF(E183="","",IF(ISNA(VLOOKUP($E183,'A-1 On-Site Habitat Baseline'!$D$1:$X$258,14,FALSE)),"",(VLOOKUP($E183,'A-1 On-Site Habitat Baseline'!$D$1:$X$258,14,FALSE))))</f>
        <v/>
      </c>
      <c r="O183" s="299" t="str">
        <f>IF(E183="","",IF(ISNA(VLOOKUP($E183,'A-1 On-Site Habitat Baseline'!$D$1:$X$258,16,FALSE)),"",(VLOOKUP($E183,'A-1 On-Site Habitat Baseline'!$D$1:$X$258,13,FALSE))))</f>
        <v/>
      </c>
      <c r="P183" s="154" t="str">
        <f>IFERROR(INDEX('G-1 All Habitats'!$AG$49:$AG$63,MATCH(Q183,'G-1 All Habitats'!$AF$27:$AF$41,0)),"")</f>
        <v/>
      </c>
      <c r="Q183" s="155" t="str">
        <f t="shared" si="24"/>
        <v/>
      </c>
      <c r="R183" s="155"/>
      <c r="S183" s="237" t="str">
        <f>IFERROR(INDEX('G-1 All Habitats'!$B$3:$B$135,MATCH(R183,'G-1 All Habitats'!$A$3:$A$135,0)),"")</f>
        <v/>
      </c>
      <c r="T183" s="275" t="str">
        <f t="shared" si="25"/>
        <v/>
      </c>
      <c r="U183" s="276" t="str">
        <f t="shared" si="26"/>
        <v/>
      </c>
      <c r="V183" s="311" t="str">
        <f t="shared" si="22"/>
        <v/>
      </c>
      <c r="W183" s="295" t="str">
        <f>IF(S183="","",VLOOKUP(S183,'G-1 All Habitats'!$B$2:$M$135,10,FALSE))</f>
        <v/>
      </c>
      <c r="X183" s="295" t="str">
        <f>IFERROR(VLOOKUP(W183,'G-1 All Habitats'!$V$3:$W$7,2,FALSE),"")</f>
        <v/>
      </c>
      <c r="Y183" s="57"/>
      <c r="Z183" s="299" t="str">
        <f>IFERROR(INDEX('G-8 Condition Look up'!$A$3:$H$135,MATCH(S183,'G-8 Condition Look up'!$A$3:$A$135,0),MATCH(Y183,'G-8 Condition Look up'!$A$3:$H$3,0)),"")</f>
        <v/>
      </c>
      <c r="AA183" s="52"/>
      <c r="AB183" s="295" t="str">
        <f>IF(AA183="","",IF(VLOOKUP(AA183,'G-3 Multipliers'!$L$3:$N$6,2,FALSE)=0,"Spatial Data Missing ⚠",VLOOKUP(AA183,'G-3 Multipliers'!$L$3:$N$6,2,FALSE)))</f>
        <v/>
      </c>
      <c r="AC183" s="299" t="str">
        <f>IF(AA183="","",IF(VLOOKUP(AA183,'G-3 Multipliers'!$L$3:$N$6,3,FALSE)=0,"Spatial Data Missing ⚠",VLOOKUP(AA183,'G-3 Multipliers'!$L$3:$N$6,3,FALSE)))</f>
        <v/>
      </c>
      <c r="AD183" s="313" t="str">
        <f t="shared" si="23"/>
        <v/>
      </c>
      <c r="AE183" s="58"/>
      <c r="AF183" s="58"/>
      <c r="AG183" s="283" t="str">
        <f t="shared" si="27"/>
        <v/>
      </c>
      <c r="AH183" s="296" t="str">
        <f t="shared" si="28"/>
        <v/>
      </c>
      <c r="AI183" s="297" t="str">
        <f>IF(AH183="Check Data ⚠","Check Data ⚠",IFERROR(VLOOKUP(AH183,'G-4 Temporal multipliers'!$A$4:$C$36,3,FALSE),""))</f>
        <v/>
      </c>
      <c r="AJ183" s="275" t="str">
        <f>IF(S183="","",VLOOKUP(S183,'G-3 Multipliers'!$A$2:$E$134,4,FALSE))</f>
        <v/>
      </c>
      <c r="AK183" s="283" t="str">
        <f t="shared" si="29"/>
        <v/>
      </c>
      <c r="AL183" s="283" t="str">
        <f t="shared" si="30"/>
        <v/>
      </c>
      <c r="AM183" s="314" t="str">
        <f>IFERROR(IF(F183="","",IF(AH183="Check Data ⚠","Check Data ⚠",VLOOKUP(AL183,'G-3 Multipliers'!$P$2:$Q$6,2,FALSE))),"")</f>
        <v/>
      </c>
      <c r="AN183" s="289" t="str">
        <f t="shared" si="31"/>
        <v/>
      </c>
      <c r="AO183" s="52"/>
      <c r="AP183" s="51"/>
      <c r="AQ183" s="104"/>
      <c r="AT183" s="35" t="str">
        <f t="shared" si="32"/>
        <v>No</v>
      </c>
      <c r="AU183" s="35" t="str">
        <f>IF(E183="","",IF(ISNA(VLOOKUP($E183,'A-1 On-Site Habitat Baseline'!$D$1:$AV$258,4,FALSE)),"",(VLOOKUP($E183,'A-1 On-Site Habitat Baseline'!$D$1:$AV$258,4,FALSE))))</f>
        <v/>
      </c>
    </row>
    <row r="184" spans="1:47" ht="14">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05" t="str">
        <f>'A-1 On-Site Habitat Baseline'!AL183</f>
        <v/>
      </c>
      <c r="F184" s="295" t="str">
        <f>IF(E184="","",IF(ISNA(VLOOKUP($E184,'A-1 On-Site Habitat Baseline'!$D$1:$AV$258,45,FALSE)),"",(VLOOKUP($E184,'A-1 On-Site Habitat Baseline'!$D$1:$AV$258,45,FALSE))))</f>
        <v/>
      </c>
      <c r="G184" s="295" t="str">
        <f>IF(E184="","",IF(ISNA(VLOOKUP($E184,'A-1 On-Site Habitat Baseline'!$D$1:$O$258,5,FALSE)),"",(VLOOKUP($E184,'A-1 On-Site Habitat Baseline'!$D$1:$O$258,5,FALSE))))</f>
        <v/>
      </c>
      <c r="H184" s="295" t="str">
        <f>IF(E184="","",IF(ISNA(VLOOKUP($E184,'A-1 On-Site Habitat Baseline'!$D$1:$O$258,6,FALSE)),"",(VLOOKUP($E184,'A-1 On-Site Habitat Baseline'!$D$1:$O$258,6,FALSE))))</f>
        <v/>
      </c>
      <c r="I184" s="295" t="str">
        <f>IF(E184="","",IF(ISNA(VLOOKUP($E184,'A-1 On-Site Habitat Baseline'!$D$1:$O$258,7,FALSE)),"",(VLOOKUP($E184,'A-1 On-Site Habitat Baseline'!$D$1:$O$258,7,FALSE))))</f>
        <v/>
      </c>
      <c r="J184" s="295" t="str">
        <f>IF(E184="","",IF(ISNA(VLOOKUP($E184,'A-1 On-Site Habitat Baseline'!$D$1:$O$258,8,FALSE)),"",(VLOOKUP($E184,'A-1 On-Site Habitat Baseline'!$D$1:$O$258,8,FALSE))))</f>
        <v/>
      </c>
      <c r="K184" s="295" t="str">
        <f>IF(E184="","",IF(ISNA(VLOOKUP($E184,'A-1 On-Site Habitat Baseline'!$D$1:$O$258,9,FALSE)),"",(VLOOKUP($E184,'A-1 On-Site Habitat Baseline'!$D$1:$O$258,9,FALSE))))</f>
        <v/>
      </c>
      <c r="L184" s="295" t="str">
        <f>IF(E184="","",IF(ISNA(VLOOKUP($E184,'A-1 On-Site Habitat Baseline'!$D$1:$O$258,11,FALSE)),"",(VLOOKUP($E184,'A-1 On-Site Habitat Baseline'!$D$1:$O$258,11,FALSE))))</f>
        <v/>
      </c>
      <c r="M184" s="295" t="str">
        <f>IF(E184="","",IF(ISNA(VLOOKUP($E184,'A-1 On-Site Habitat Baseline'!$D$1:$O$258,12,FALSE)),"",(VLOOKUP($E184,'A-1 On-Site Habitat Baseline'!$D$1:$O$258,12,FALSE))))</f>
        <v/>
      </c>
      <c r="N184" s="306" t="str">
        <f>IF(E184="","",IF(ISNA(VLOOKUP($E184,'A-1 On-Site Habitat Baseline'!$D$1:$X$258,14,FALSE)),"",(VLOOKUP($E184,'A-1 On-Site Habitat Baseline'!$D$1:$X$258,14,FALSE))))</f>
        <v/>
      </c>
      <c r="O184" s="299" t="str">
        <f>IF(E184="","",IF(ISNA(VLOOKUP($E184,'A-1 On-Site Habitat Baseline'!$D$1:$X$258,16,FALSE)),"",(VLOOKUP($E184,'A-1 On-Site Habitat Baseline'!$D$1:$X$258,13,FALSE))))</f>
        <v/>
      </c>
      <c r="P184" s="154" t="str">
        <f>IFERROR(INDEX('G-1 All Habitats'!$AG$49:$AG$63,MATCH(Q184,'G-1 All Habitats'!$AF$27:$AF$41,0)),"")</f>
        <v/>
      </c>
      <c r="Q184" s="155" t="str">
        <f t="shared" si="24"/>
        <v/>
      </c>
      <c r="R184" s="155"/>
      <c r="S184" s="237" t="str">
        <f>IFERROR(INDEX('G-1 All Habitats'!$B$3:$B$135,MATCH(R184,'G-1 All Habitats'!$A$3:$A$135,0)),"")</f>
        <v/>
      </c>
      <c r="T184" s="275" t="str">
        <f t="shared" si="25"/>
        <v/>
      </c>
      <c r="U184" s="276" t="str">
        <f t="shared" si="26"/>
        <v/>
      </c>
      <c r="V184" s="311" t="str">
        <f t="shared" si="22"/>
        <v/>
      </c>
      <c r="W184" s="295" t="str">
        <f>IF(S184="","",VLOOKUP(S184,'G-1 All Habitats'!$B$2:$M$135,10,FALSE))</f>
        <v/>
      </c>
      <c r="X184" s="295" t="str">
        <f>IFERROR(VLOOKUP(W184,'G-1 All Habitats'!$V$3:$W$7,2,FALSE),"")</f>
        <v/>
      </c>
      <c r="Y184" s="57"/>
      <c r="Z184" s="299" t="str">
        <f>IFERROR(INDEX('G-8 Condition Look up'!$A$3:$H$135,MATCH(S184,'G-8 Condition Look up'!$A$3:$A$135,0),MATCH(Y184,'G-8 Condition Look up'!$A$3:$H$3,0)),"")</f>
        <v/>
      </c>
      <c r="AA184" s="52"/>
      <c r="AB184" s="295" t="str">
        <f>IF(AA184="","",IF(VLOOKUP(AA184,'G-3 Multipliers'!$L$3:$N$6,2,FALSE)=0,"Spatial Data Missing ⚠",VLOOKUP(AA184,'G-3 Multipliers'!$L$3:$N$6,2,FALSE)))</f>
        <v/>
      </c>
      <c r="AC184" s="299" t="str">
        <f>IF(AA184="","",IF(VLOOKUP(AA184,'G-3 Multipliers'!$L$3:$N$6,3,FALSE)=0,"Spatial Data Missing ⚠",VLOOKUP(AA184,'G-3 Multipliers'!$L$3:$N$6,3,FALSE)))</f>
        <v/>
      </c>
      <c r="AD184" s="313" t="str">
        <f t="shared" si="23"/>
        <v/>
      </c>
      <c r="AE184" s="58"/>
      <c r="AF184" s="58"/>
      <c r="AG184" s="283" t="str">
        <f t="shared" si="27"/>
        <v/>
      </c>
      <c r="AH184" s="296" t="str">
        <f t="shared" si="28"/>
        <v/>
      </c>
      <c r="AI184" s="297" t="str">
        <f>IF(AH184="Check Data ⚠","Check Data ⚠",IFERROR(VLOOKUP(AH184,'G-4 Temporal multipliers'!$A$4:$C$36,3,FALSE),""))</f>
        <v/>
      </c>
      <c r="AJ184" s="275" t="str">
        <f>IF(S184="","",VLOOKUP(S184,'G-3 Multipliers'!$A$2:$E$134,4,FALSE))</f>
        <v/>
      </c>
      <c r="AK184" s="283" t="str">
        <f t="shared" si="29"/>
        <v/>
      </c>
      <c r="AL184" s="283" t="str">
        <f t="shared" si="30"/>
        <v/>
      </c>
      <c r="AM184" s="314" t="str">
        <f>IFERROR(IF(F184="","",IF(AH184="Check Data ⚠","Check Data ⚠",VLOOKUP(AL184,'G-3 Multipliers'!$P$2:$Q$6,2,FALSE))),"")</f>
        <v/>
      </c>
      <c r="AN184" s="289" t="str">
        <f t="shared" si="31"/>
        <v/>
      </c>
      <c r="AO184" s="52"/>
      <c r="AP184" s="51"/>
      <c r="AQ184" s="104"/>
      <c r="AT184" s="35" t="str">
        <f t="shared" si="32"/>
        <v>No</v>
      </c>
      <c r="AU184" s="35" t="str">
        <f>IF(E184="","",IF(ISNA(VLOOKUP($E184,'A-1 On-Site Habitat Baseline'!$D$1:$AV$258,4,FALSE)),"",(VLOOKUP($E184,'A-1 On-Site Habitat Baseline'!$D$1:$AV$258,4,FALSE))))</f>
        <v/>
      </c>
    </row>
    <row r="185" spans="1:47" ht="14">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05" t="str">
        <f>'A-1 On-Site Habitat Baseline'!AL184</f>
        <v/>
      </c>
      <c r="F185" s="295" t="str">
        <f>IF(E185="","",IF(ISNA(VLOOKUP($E185,'A-1 On-Site Habitat Baseline'!$D$1:$AV$258,45,FALSE)),"",(VLOOKUP($E185,'A-1 On-Site Habitat Baseline'!$D$1:$AV$258,45,FALSE))))</f>
        <v/>
      </c>
      <c r="G185" s="295" t="str">
        <f>IF(E185="","",IF(ISNA(VLOOKUP($E185,'A-1 On-Site Habitat Baseline'!$D$1:$O$258,5,FALSE)),"",(VLOOKUP($E185,'A-1 On-Site Habitat Baseline'!$D$1:$O$258,5,FALSE))))</f>
        <v/>
      </c>
      <c r="H185" s="295" t="str">
        <f>IF(E185="","",IF(ISNA(VLOOKUP($E185,'A-1 On-Site Habitat Baseline'!$D$1:$O$258,6,FALSE)),"",(VLOOKUP($E185,'A-1 On-Site Habitat Baseline'!$D$1:$O$258,6,FALSE))))</f>
        <v/>
      </c>
      <c r="I185" s="295" t="str">
        <f>IF(E185="","",IF(ISNA(VLOOKUP($E185,'A-1 On-Site Habitat Baseline'!$D$1:$O$258,7,FALSE)),"",(VLOOKUP($E185,'A-1 On-Site Habitat Baseline'!$D$1:$O$258,7,FALSE))))</f>
        <v/>
      </c>
      <c r="J185" s="295" t="str">
        <f>IF(E185="","",IF(ISNA(VLOOKUP($E185,'A-1 On-Site Habitat Baseline'!$D$1:$O$258,8,FALSE)),"",(VLOOKUP($E185,'A-1 On-Site Habitat Baseline'!$D$1:$O$258,8,FALSE))))</f>
        <v/>
      </c>
      <c r="K185" s="295" t="str">
        <f>IF(E185="","",IF(ISNA(VLOOKUP($E185,'A-1 On-Site Habitat Baseline'!$D$1:$O$258,9,FALSE)),"",(VLOOKUP($E185,'A-1 On-Site Habitat Baseline'!$D$1:$O$258,9,FALSE))))</f>
        <v/>
      </c>
      <c r="L185" s="295" t="str">
        <f>IF(E185="","",IF(ISNA(VLOOKUP($E185,'A-1 On-Site Habitat Baseline'!$D$1:$O$258,11,FALSE)),"",(VLOOKUP($E185,'A-1 On-Site Habitat Baseline'!$D$1:$O$258,11,FALSE))))</f>
        <v/>
      </c>
      <c r="M185" s="295" t="str">
        <f>IF(E185="","",IF(ISNA(VLOOKUP($E185,'A-1 On-Site Habitat Baseline'!$D$1:$O$258,12,FALSE)),"",(VLOOKUP($E185,'A-1 On-Site Habitat Baseline'!$D$1:$O$258,12,FALSE))))</f>
        <v/>
      </c>
      <c r="N185" s="306" t="str">
        <f>IF(E185="","",IF(ISNA(VLOOKUP($E185,'A-1 On-Site Habitat Baseline'!$D$1:$X$258,14,FALSE)),"",(VLOOKUP($E185,'A-1 On-Site Habitat Baseline'!$D$1:$X$258,14,FALSE))))</f>
        <v/>
      </c>
      <c r="O185" s="299" t="str">
        <f>IF(E185="","",IF(ISNA(VLOOKUP($E185,'A-1 On-Site Habitat Baseline'!$D$1:$X$258,16,FALSE)),"",(VLOOKUP($E185,'A-1 On-Site Habitat Baseline'!$D$1:$X$258,13,FALSE))))</f>
        <v/>
      </c>
      <c r="P185" s="154" t="str">
        <f>IFERROR(INDEX('G-1 All Habitats'!$AG$49:$AG$63,MATCH(Q185,'G-1 All Habitats'!$AF$27:$AF$41,0)),"")</f>
        <v/>
      </c>
      <c r="Q185" s="155" t="str">
        <f t="shared" si="24"/>
        <v/>
      </c>
      <c r="R185" s="155"/>
      <c r="S185" s="237" t="str">
        <f>IFERROR(INDEX('G-1 All Habitats'!$B$3:$B$135,MATCH(R185,'G-1 All Habitats'!$A$3:$A$135,0)),"")</f>
        <v/>
      </c>
      <c r="T185" s="275" t="str">
        <f t="shared" si="25"/>
        <v/>
      </c>
      <c r="U185" s="276" t="str">
        <f t="shared" si="26"/>
        <v/>
      </c>
      <c r="V185" s="311" t="str">
        <f t="shared" si="22"/>
        <v/>
      </c>
      <c r="W185" s="295" t="str">
        <f>IF(S185="","",VLOOKUP(S185,'G-1 All Habitats'!$B$2:$M$135,10,FALSE))</f>
        <v/>
      </c>
      <c r="X185" s="295" t="str">
        <f>IFERROR(VLOOKUP(W185,'G-1 All Habitats'!$V$3:$W$7,2,FALSE),"")</f>
        <v/>
      </c>
      <c r="Y185" s="57"/>
      <c r="Z185" s="299" t="str">
        <f>IFERROR(INDEX('G-8 Condition Look up'!$A$3:$H$135,MATCH(S185,'G-8 Condition Look up'!$A$3:$A$135,0),MATCH(Y185,'G-8 Condition Look up'!$A$3:$H$3,0)),"")</f>
        <v/>
      </c>
      <c r="AA185" s="52"/>
      <c r="AB185" s="295" t="str">
        <f>IF(AA185="","",IF(VLOOKUP(AA185,'G-3 Multipliers'!$L$3:$N$6,2,FALSE)=0,"Spatial Data Missing ⚠",VLOOKUP(AA185,'G-3 Multipliers'!$L$3:$N$6,2,FALSE)))</f>
        <v/>
      </c>
      <c r="AC185" s="299" t="str">
        <f>IF(AA185="","",IF(VLOOKUP(AA185,'G-3 Multipliers'!$L$3:$N$6,3,FALSE)=0,"Spatial Data Missing ⚠",VLOOKUP(AA185,'G-3 Multipliers'!$L$3:$N$6,3,FALSE)))</f>
        <v/>
      </c>
      <c r="AD185" s="313" t="str">
        <f t="shared" si="23"/>
        <v/>
      </c>
      <c r="AE185" s="58"/>
      <c r="AF185" s="58"/>
      <c r="AG185" s="283" t="str">
        <f t="shared" si="27"/>
        <v/>
      </c>
      <c r="AH185" s="296" t="str">
        <f t="shared" si="28"/>
        <v/>
      </c>
      <c r="AI185" s="297" t="str">
        <f>IF(AH185="Check Data ⚠","Check Data ⚠",IFERROR(VLOOKUP(AH185,'G-4 Temporal multipliers'!$A$4:$C$36,3,FALSE),""))</f>
        <v/>
      </c>
      <c r="AJ185" s="275" t="str">
        <f>IF(S185="","",VLOOKUP(S185,'G-3 Multipliers'!$A$2:$E$134,4,FALSE))</f>
        <v/>
      </c>
      <c r="AK185" s="283" t="str">
        <f t="shared" si="29"/>
        <v/>
      </c>
      <c r="AL185" s="283" t="str">
        <f t="shared" si="30"/>
        <v/>
      </c>
      <c r="AM185" s="314" t="str">
        <f>IFERROR(IF(F185="","",IF(AH185="Check Data ⚠","Check Data ⚠",VLOOKUP(AL185,'G-3 Multipliers'!$P$2:$Q$6,2,FALSE))),"")</f>
        <v/>
      </c>
      <c r="AN185" s="289" t="str">
        <f t="shared" si="31"/>
        <v/>
      </c>
      <c r="AO185" s="52"/>
      <c r="AP185" s="51"/>
      <c r="AQ185" s="104"/>
      <c r="AT185" s="35" t="str">
        <f t="shared" si="32"/>
        <v>No</v>
      </c>
      <c r="AU185" s="35" t="str">
        <f>IF(E185="","",IF(ISNA(VLOOKUP($E185,'A-1 On-Site Habitat Baseline'!$D$1:$AV$258,4,FALSE)),"",(VLOOKUP($E185,'A-1 On-Site Habitat Baseline'!$D$1:$AV$258,4,FALSE))))</f>
        <v/>
      </c>
    </row>
    <row r="186" spans="1:47" ht="14">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05" t="str">
        <f>'A-1 On-Site Habitat Baseline'!AL185</f>
        <v/>
      </c>
      <c r="F186" s="295" t="str">
        <f>IF(E186="","",IF(ISNA(VLOOKUP($E186,'A-1 On-Site Habitat Baseline'!$D$1:$AV$258,45,FALSE)),"",(VLOOKUP($E186,'A-1 On-Site Habitat Baseline'!$D$1:$AV$258,45,FALSE))))</f>
        <v/>
      </c>
      <c r="G186" s="295" t="str">
        <f>IF(E186="","",IF(ISNA(VLOOKUP($E186,'A-1 On-Site Habitat Baseline'!$D$1:$O$258,5,FALSE)),"",(VLOOKUP($E186,'A-1 On-Site Habitat Baseline'!$D$1:$O$258,5,FALSE))))</f>
        <v/>
      </c>
      <c r="H186" s="295" t="str">
        <f>IF(E186="","",IF(ISNA(VLOOKUP($E186,'A-1 On-Site Habitat Baseline'!$D$1:$O$258,6,FALSE)),"",(VLOOKUP($E186,'A-1 On-Site Habitat Baseline'!$D$1:$O$258,6,FALSE))))</f>
        <v/>
      </c>
      <c r="I186" s="295" t="str">
        <f>IF(E186="","",IF(ISNA(VLOOKUP($E186,'A-1 On-Site Habitat Baseline'!$D$1:$O$258,7,FALSE)),"",(VLOOKUP($E186,'A-1 On-Site Habitat Baseline'!$D$1:$O$258,7,FALSE))))</f>
        <v/>
      </c>
      <c r="J186" s="295" t="str">
        <f>IF(E186="","",IF(ISNA(VLOOKUP($E186,'A-1 On-Site Habitat Baseline'!$D$1:$O$258,8,FALSE)),"",(VLOOKUP($E186,'A-1 On-Site Habitat Baseline'!$D$1:$O$258,8,FALSE))))</f>
        <v/>
      </c>
      <c r="K186" s="295" t="str">
        <f>IF(E186="","",IF(ISNA(VLOOKUP($E186,'A-1 On-Site Habitat Baseline'!$D$1:$O$258,9,FALSE)),"",(VLOOKUP($E186,'A-1 On-Site Habitat Baseline'!$D$1:$O$258,9,FALSE))))</f>
        <v/>
      </c>
      <c r="L186" s="295" t="str">
        <f>IF(E186="","",IF(ISNA(VLOOKUP($E186,'A-1 On-Site Habitat Baseline'!$D$1:$O$258,11,FALSE)),"",(VLOOKUP($E186,'A-1 On-Site Habitat Baseline'!$D$1:$O$258,11,FALSE))))</f>
        <v/>
      </c>
      <c r="M186" s="295" t="str">
        <f>IF(E186="","",IF(ISNA(VLOOKUP($E186,'A-1 On-Site Habitat Baseline'!$D$1:$O$258,12,FALSE)),"",(VLOOKUP($E186,'A-1 On-Site Habitat Baseline'!$D$1:$O$258,12,FALSE))))</f>
        <v/>
      </c>
      <c r="N186" s="306" t="str">
        <f>IF(E186="","",IF(ISNA(VLOOKUP($E186,'A-1 On-Site Habitat Baseline'!$D$1:$X$258,14,FALSE)),"",(VLOOKUP($E186,'A-1 On-Site Habitat Baseline'!$D$1:$X$258,14,FALSE))))</f>
        <v/>
      </c>
      <c r="O186" s="299" t="str">
        <f>IF(E186="","",IF(ISNA(VLOOKUP($E186,'A-1 On-Site Habitat Baseline'!$D$1:$X$258,16,FALSE)),"",(VLOOKUP($E186,'A-1 On-Site Habitat Baseline'!$D$1:$X$258,13,FALSE))))</f>
        <v/>
      </c>
      <c r="P186" s="154" t="str">
        <f>IFERROR(INDEX('G-1 All Habitats'!$AG$49:$AG$63,MATCH(Q186,'G-1 All Habitats'!$AF$27:$AF$41,0)),"")</f>
        <v/>
      </c>
      <c r="Q186" s="155" t="str">
        <f t="shared" si="24"/>
        <v/>
      </c>
      <c r="R186" s="155"/>
      <c r="S186" s="237" t="str">
        <f>IFERROR(INDEX('G-1 All Habitats'!$B$3:$B$135,MATCH(R186,'G-1 All Habitats'!$A$3:$A$135,0)),"")</f>
        <v/>
      </c>
      <c r="T186" s="275" t="str">
        <f t="shared" si="25"/>
        <v/>
      </c>
      <c r="U186" s="276" t="str">
        <f t="shared" si="26"/>
        <v/>
      </c>
      <c r="V186" s="311" t="str">
        <f t="shared" si="22"/>
        <v/>
      </c>
      <c r="W186" s="295" t="str">
        <f>IF(S186="","",VLOOKUP(S186,'G-1 All Habitats'!$B$2:$M$135,10,FALSE))</f>
        <v/>
      </c>
      <c r="X186" s="295" t="str">
        <f>IFERROR(VLOOKUP(W186,'G-1 All Habitats'!$V$3:$W$7,2,FALSE),"")</f>
        <v/>
      </c>
      <c r="Y186" s="57"/>
      <c r="Z186" s="299" t="str">
        <f>IFERROR(INDEX('G-8 Condition Look up'!$A$3:$H$135,MATCH(S186,'G-8 Condition Look up'!$A$3:$A$135,0),MATCH(Y186,'G-8 Condition Look up'!$A$3:$H$3,0)),"")</f>
        <v/>
      </c>
      <c r="AA186" s="52"/>
      <c r="AB186" s="295" t="str">
        <f>IF(AA186="","",IF(VLOOKUP(AA186,'G-3 Multipliers'!$L$3:$N$6,2,FALSE)=0,"Spatial Data Missing ⚠",VLOOKUP(AA186,'G-3 Multipliers'!$L$3:$N$6,2,FALSE)))</f>
        <v/>
      </c>
      <c r="AC186" s="299" t="str">
        <f>IF(AA186="","",IF(VLOOKUP(AA186,'G-3 Multipliers'!$L$3:$N$6,3,FALSE)=0,"Spatial Data Missing ⚠",VLOOKUP(AA186,'G-3 Multipliers'!$L$3:$N$6,3,FALSE)))</f>
        <v/>
      </c>
      <c r="AD186" s="313" t="str">
        <f t="shared" si="23"/>
        <v/>
      </c>
      <c r="AE186" s="58"/>
      <c r="AF186" s="58"/>
      <c r="AG186" s="283" t="str">
        <f t="shared" si="27"/>
        <v/>
      </c>
      <c r="AH186" s="296" t="str">
        <f t="shared" si="28"/>
        <v/>
      </c>
      <c r="AI186" s="297" t="str">
        <f>IF(AH186="Check Data ⚠","Check Data ⚠",IFERROR(VLOOKUP(AH186,'G-4 Temporal multipliers'!$A$4:$C$36,3,FALSE),""))</f>
        <v/>
      </c>
      <c r="AJ186" s="275" t="str">
        <f>IF(S186="","",VLOOKUP(S186,'G-3 Multipliers'!$A$2:$E$134,4,FALSE))</f>
        <v/>
      </c>
      <c r="AK186" s="283" t="str">
        <f t="shared" si="29"/>
        <v/>
      </c>
      <c r="AL186" s="283" t="str">
        <f t="shared" si="30"/>
        <v/>
      </c>
      <c r="AM186" s="314" t="str">
        <f>IFERROR(IF(F186="","",IF(AH186="Check Data ⚠","Check Data ⚠",VLOOKUP(AL186,'G-3 Multipliers'!$P$2:$Q$6,2,FALSE))),"")</f>
        <v/>
      </c>
      <c r="AN186" s="289" t="str">
        <f t="shared" si="31"/>
        <v/>
      </c>
      <c r="AO186" s="52"/>
      <c r="AP186" s="51"/>
      <c r="AQ186" s="104"/>
      <c r="AT186" s="35" t="str">
        <f t="shared" si="32"/>
        <v>No</v>
      </c>
      <c r="AU186" s="35" t="str">
        <f>IF(E186="","",IF(ISNA(VLOOKUP($E186,'A-1 On-Site Habitat Baseline'!$D$1:$AV$258,4,FALSE)),"",(VLOOKUP($E186,'A-1 On-Site Habitat Baseline'!$D$1:$AV$258,4,FALSE))))</f>
        <v/>
      </c>
    </row>
    <row r="187" spans="1:47" ht="14">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05" t="str">
        <f>'A-1 On-Site Habitat Baseline'!AL186</f>
        <v/>
      </c>
      <c r="F187" s="295" t="str">
        <f>IF(E187="","",IF(ISNA(VLOOKUP($E187,'A-1 On-Site Habitat Baseline'!$D$1:$AV$258,45,FALSE)),"",(VLOOKUP($E187,'A-1 On-Site Habitat Baseline'!$D$1:$AV$258,45,FALSE))))</f>
        <v/>
      </c>
      <c r="G187" s="295" t="str">
        <f>IF(E187="","",IF(ISNA(VLOOKUP($E187,'A-1 On-Site Habitat Baseline'!$D$1:$O$258,5,FALSE)),"",(VLOOKUP($E187,'A-1 On-Site Habitat Baseline'!$D$1:$O$258,5,FALSE))))</f>
        <v/>
      </c>
      <c r="H187" s="295" t="str">
        <f>IF(E187="","",IF(ISNA(VLOOKUP($E187,'A-1 On-Site Habitat Baseline'!$D$1:$O$258,6,FALSE)),"",(VLOOKUP($E187,'A-1 On-Site Habitat Baseline'!$D$1:$O$258,6,FALSE))))</f>
        <v/>
      </c>
      <c r="I187" s="295" t="str">
        <f>IF(E187="","",IF(ISNA(VLOOKUP($E187,'A-1 On-Site Habitat Baseline'!$D$1:$O$258,7,FALSE)),"",(VLOOKUP($E187,'A-1 On-Site Habitat Baseline'!$D$1:$O$258,7,FALSE))))</f>
        <v/>
      </c>
      <c r="J187" s="295" t="str">
        <f>IF(E187="","",IF(ISNA(VLOOKUP($E187,'A-1 On-Site Habitat Baseline'!$D$1:$O$258,8,FALSE)),"",(VLOOKUP($E187,'A-1 On-Site Habitat Baseline'!$D$1:$O$258,8,FALSE))))</f>
        <v/>
      </c>
      <c r="K187" s="295" t="str">
        <f>IF(E187="","",IF(ISNA(VLOOKUP($E187,'A-1 On-Site Habitat Baseline'!$D$1:$O$258,9,FALSE)),"",(VLOOKUP($E187,'A-1 On-Site Habitat Baseline'!$D$1:$O$258,9,FALSE))))</f>
        <v/>
      </c>
      <c r="L187" s="295" t="str">
        <f>IF(E187="","",IF(ISNA(VLOOKUP($E187,'A-1 On-Site Habitat Baseline'!$D$1:$O$258,11,FALSE)),"",(VLOOKUP($E187,'A-1 On-Site Habitat Baseline'!$D$1:$O$258,11,FALSE))))</f>
        <v/>
      </c>
      <c r="M187" s="295" t="str">
        <f>IF(E187="","",IF(ISNA(VLOOKUP($E187,'A-1 On-Site Habitat Baseline'!$D$1:$O$258,12,FALSE)),"",(VLOOKUP($E187,'A-1 On-Site Habitat Baseline'!$D$1:$O$258,12,FALSE))))</f>
        <v/>
      </c>
      <c r="N187" s="306" t="str">
        <f>IF(E187="","",IF(ISNA(VLOOKUP($E187,'A-1 On-Site Habitat Baseline'!$D$1:$X$258,14,FALSE)),"",(VLOOKUP($E187,'A-1 On-Site Habitat Baseline'!$D$1:$X$258,14,FALSE))))</f>
        <v/>
      </c>
      <c r="O187" s="299" t="str">
        <f>IF(E187="","",IF(ISNA(VLOOKUP($E187,'A-1 On-Site Habitat Baseline'!$D$1:$X$258,16,FALSE)),"",(VLOOKUP($E187,'A-1 On-Site Habitat Baseline'!$D$1:$X$258,13,FALSE))))</f>
        <v/>
      </c>
      <c r="P187" s="154" t="str">
        <f>IFERROR(INDEX('G-1 All Habitats'!$AG$49:$AG$63,MATCH(Q187,'G-1 All Habitats'!$AF$27:$AF$41,0)),"")</f>
        <v/>
      </c>
      <c r="Q187" s="155" t="str">
        <f t="shared" si="24"/>
        <v/>
      </c>
      <c r="R187" s="155"/>
      <c r="S187" s="237" t="str">
        <f>IFERROR(INDEX('G-1 All Habitats'!$B$3:$B$135,MATCH(R187,'G-1 All Habitats'!$A$3:$A$135,0)),"")</f>
        <v/>
      </c>
      <c r="T187" s="275" t="str">
        <f t="shared" si="25"/>
        <v/>
      </c>
      <c r="U187" s="276" t="str">
        <f t="shared" si="26"/>
        <v/>
      </c>
      <c r="V187" s="311" t="str">
        <f t="shared" si="22"/>
        <v/>
      </c>
      <c r="W187" s="295" t="str">
        <f>IF(S187="","",VLOOKUP(S187,'G-1 All Habitats'!$B$2:$M$135,10,FALSE))</f>
        <v/>
      </c>
      <c r="X187" s="295" t="str">
        <f>IFERROR(VLOOKUP(W187,'G-1 All Habitats'!$V$3:$W$7,2,FALSE),"")</f>
        <v/>
      </c>
      <c r="Y187" s="57"/>
      <c r="Z187" s="299" t="str">
        <f>IFERROR(INDEX('G-8 Condition Look up'!$A$3:$H$135,MATCH(S187,'G-8 Condition Look up'!$A$3:$A$135,0),MATCH(Y187,'G-8 Condition Look up'!$A$3:$H$3,0)),"")</f>
        <v/>
      </c>
      <c r="AA187" s="52"/>
      <c r="AB187" s="295" t="str">
        <f>IF(AA187="","",IF(VLOOKUP(AA187,'G-3 Multipliers'!$L$3:$N$6,2,FALSE)=0,"Spatial Data Missing ⚠",VLOOKUP(AA187,'G-3 Multipliers'!$L$3:$N$6,2,FALSE)))</f>
        <v/>
      </c>
      <c r="AC187" s="299" t="str">
        <f>IF(AA187="","",IF(VLOOKUP(AA187,'G-3 Multipliers'!$L$3:$N$6,3,FALSE)=0,"Spatial Data Missing ⚠",VLOOKUP(AA187,'G-3 Multipliers'!$L$3:$N$6,3,FALSE)))</f>
        <v/>
      </c>
      <c r="AD187" s="313" t="str">
        <f t="shared" si="23"/>
        <v/>
      </c>
      <c r="AE187" s="58"/>
      <c r="AF187" s="58"/>
      <c r="AG187" s="283" t="str">
        <f t="shared" si="27"/>
        <v/>
      </c>
      <c r="AH187" s="296" t="str">
        <f t="shared" si="28"/>
        <v/>
      </c>
      <c r="AI187" s="297" t="str">
        <f>IF(AH187="Check Data ⚠","Check Data ⚠",IFERROR(VLOOKUP(AH187,'G-4 Temporal multipliers'!$A$4:$C$36,3,FALSE),""))</f>
        <v/>
      </c>
      <c r="AJ187" s="275" t="str">
        <f>IF(S187="","",VLOOKUP(S187,'G-3 Multipliers'!$A$2:$E$134,4,FALSE))</f>
        <v/>
      </c>
      <c r="AK187" s="283" t="str">
        <f t="shared" si="29"/>
        <v/>
      </c>
      <c r="AL187" s="283" t="str">
        <f t="shared" si="30"/>
        <v/>
      </c>
      <c r="AM187" s="314" t="str">
        <f>IFERROR(IF(F187="","",IF(AH187="Check Data ⚠","Check Data ⚠",VLOOKUP(AL187,'G-3 Multipliers'!$P$2:$Q$6,2,FALSE))),"")</f>
        <v/>
      </c>
      <c r="AN187" s="289" t="str">
        <f t="shared" si="31"/>
        <v/>
      </c>
      <c r="AO187" s="52"/>
      <c r="AP187" s="51"/>
      <c r="AQ187" s="104"/>
      <c r="AT187" s="35" t="str">
        <f t="shared" si="32"/>
        <v>No</v>
      </c>
      <c r="AU187" s="35" t="str">
        <f>IF(E187="","",IF(ISNA(VLOOKUP($E187,'A-1 On-Site Habitat Baseline'!$D$1:$AV$258,4,FALSE)),"",(VLOOKUP($E187,'A-1 On-Site Habitat Baseline'!$D$1:$AV$258,4,FALSE))))</f>
        <v/>
      </c>
    </row>
    <row r="188" spans="1:47" ht="14">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05" t="str">
        <f>'A-1 On-Site Habitat Baseline'!AL187</f>
        <v/>
      </c>
      <c r="F188" s="295" t="str">
        <f>IF(E188="","",IF(ISNA(VLOOKUP($E188,'A-1 On-Site Habitat Baseline'!$D$1:$AV$258,45,FALSE)),"",(VLOOKUP($E188,'A-1 On-Site Habitat Baseline'!$D$1:$AV$258,45,FALSE))))</f>
        <v/>
      </c>
      <c r="G188" s="295" t="str">
        <f>IF(E188="","",IF(ISNA(VLOOKUP($E188,'A-1 On-Site Habitat Baseline'!$D$1:$O$258,5,FALSE)),"",(VLOOKUP($E188,'A-1 On-Site Habitat Baseline'!$D$1:$O$258,5,FALSE))))</f>
        <v/>
      </c>
      <c r="H188" s="295" t="str">
        <f>IF(E188="","",IF(ISNA(VLOOKUP($E188,'A-1 On-Site Habitat Baseline'!$D$1:$O$258,6,FALSE)),"",(VLOOKUP($E188,'A-1 On-Site Habitat Baseline'!$D$1:$O$258,6,FALSE))))</f>
        <v/>
      </c>
      <c r="I188" s="295" t="str">
        <f>IF(E188="","",IF(ISNA(VLOOKUP($E188,'A-1 On-Site Habitat Baseline'!$D$1:$O$258,7,FALSE)),"",(VLOOKUP($E188,'A-1 On-Site Habitat Baseline'!$D$1:$O$258,7,FALSE))))</f>
        <v/>
      </c>
      <c r="J188" s="295" t="str">
        <f>IF(E188="","",IF(ISNA(VLOOKUP($E188,'A-1 On-Site Habitat Baseline'!$D$1:$O$258,8,FALSE)),"",(VLOOKUP($E188,'A-1 On-Site Habitat Baseline'!$D$1:$O$258,8,FALSE))))</f>
        <v/>
      </c>
      <c r="K188" s="295" t="str">
        <f>IF(E188="","",IF(ISNA(VLOOKUP($E188,'A-1 On-Site Habitat Baseline'!$D$1:$O$258,9,FALSE)),"",(VLOOKUP($E188,'A-1 On-Site Habitat Baseline'!$D$1:$O$258,9,FALSE))))</f>
        <v/>
      </c>
      <c r="L188" s="295" t="str">
        <f>IF(E188="","",IF(ISNA(VLOOKUP($E188,'A-1 On-Site Habitat Baseline'!$D$1:$O$258,11,FALSE)),"",(VLOOKUP($E188,'A-1 On-Site Habitat Baseline'!$D$1:$O$258,11,FALSE))))</f>
        <v/>
      </c>
      <c r="M188" s="295" t="str">
        <f>IF(E188="","",IF(ISNA(VLOOKUP($E188,'A-1 On-Site Habitat Baseline'!$D$1:$O$258,12,FALSE)),"",(VLOOKUP($E188,'A-1 On-Site Habitat Baseline'!$D$1:$O$258,12,FALSE))))</f>
        <v/>
      </c>
      <c r="N188" s="306" t="str">
        <f>IF(E188="","",IF(ISNA(VLOOKUP($E188,'A-1 On-Site Habitat Baseline'!$D$1:$X$258,14,FALSE)),"",(VLOOKUP($E188,'A-1 On-Site Habitat Baseline'!$D$1:$X$258,14,FALSE))))</f>
        <v/>
      </c>
      <c r="O188" s="299" t="str">
        <f>IF(E188="","",IF(ISNA(VLOOKUP($E188,'A-1 On-Site Habitat Baseline'!$D$1:$X$258,16,FALSE)),"",(VLOOKUP($E188,'A-1 On-Site Habitat Baseline'!$D$1:$X$258,13,FALSE))))</f>
        <v/>
      </c>
      <c r="P188" s="154" t="str">
        <f>IFERROR(INDEX('G-1 All Habitats'!$AG$49:$AG$63,MATCH(Q188,'G-1 All Habitats'!$AF$27:$AF$41,0)),"")</f>
        <v/>
      </c>
      <c r="Q188" s="155" t="str">
        <f t="shared" si="24"/>
        <v/>
      </c>
      <c r="R188" s="155"/>
      <c r="S188" s="237" t="str">
        <f>IFERROR(INDEX('G-1 All Habitats'!$B$3:$B$135,MATCH(R188,'G-1 All Habitats'!$A$3:$A$135,0)),"")</f>
        <v/>
      </c>
      <c r="T188" s="275" t="str">
        <f t="shared" si="25"/>
        <v/>
      </c>
      <c r="U188" s="276" t="str">
        <f t="shared" si="26"/>
        <v/>
      </c>
      <c r="V188" s="311" t="str">
        <f t="shared" si="22"/>
        <v/>
      </c>
      <c r="W188" s="295" t="str">
        <f>IF(S188="","",VLOOKUP(S188,'G-1 All Habitats'!$B$2:$M$135,10,FALSE))</f>
        <v/>
      </c>
      <c r="X188" s="295" t="str">
        <f>IFERROR(VLOOKUP(W188,'G-1 All Habitats'!$V$3:$W$7,2,FALSE),"")</f>
        <v/>
      </c>
      <c r="Y188" s="57"/>
      <c r="Z188" s="299" t="str">
        <f>IFERROR(INDEX('G-8 Condition Look up'!$A$3:$H$135,MATCH(S188,'G-8 Condition Look up'!$A$3:$A$135,0),MATCH(Y188,'G-8 Condition Look up'!$A$3:$H$3,0)),"")</f>
        <v/>
      </c>
      <c r="AA188" s="52"/>
      <c r="AB188" s="295" t="str">
        <f>IF(AA188="","",IF(VLOOKUP(AA188,'G-3 Multipliers'!$L$3:$N$6,2,FALSE)=0,"Spatial Data Missing ⚠",VLOOKUP(AA188,'G-3 Multipliers'!$L$3:$N$6,2,FALSE)))</f>
        <v/>
      </c>
      <c r="AC188" s="299" t="str">
        <f>IF(AA188="","",IF(VLOOKUP(AA188,'G-3 Multipliers'!$L$3:$N$6,3,FALSE)=0,"Spatial Data Missing ⚠",VLOOKUP(AA188,'G-3 Multipliers'!$L$3:$N$6,3,FALSE)))</f>
        <v/>
      </c>
      <c r="AD188" s="313" t="str">
        <f t="shared" si="23"/>
        <v/>
      </c>
      <c r="AE188" s="58"/>
      <c r="AF188" s="58"/>
      <c r="AG188" s="283" t="str">
        <f t="shared" si="27"/>
        <v/>
      </c>
      <c r="AH188" s="296" t="str">
        <f t="shared" si="28"/>
        <v/>
      </c>
      <c r="AI188" s="297" t="str">
        <f>IF(AH188="Check Data ⚠","Check Data ⚠",IFERROR(VLOOKUP(AH188,'G-4 Temporal multipliers'!$A$4:$C$36,3,FALSE),""))</f>
        <v/>
      </c>
      <c r="AJ188" s="275" t="str">
        <f>IF(S188="","",VLOOKUP(S188,'G-3 Multipliers'!$A$2:$E$134,4,FALSE))</f>
        <v/>
      </c>
      <c r="AK188" s="283" t="str">
        <f t="shared" si="29"/>
        <v/>
      </c>
      <c r="AL188" s="283" t="str">
        <f t="shared" si="30"/>
        <v/>
      </c>
      <c r="AM188" s="314" t="str">
        <f>IFERROR(IF(F188="","",IF(AH188="Check Data ⚠","Check Data ⚠",VLOOKUP(AL188,'G-3 Multipliers'!$P$2:$Q$6,2,FALSE))),"")</f>
        <v/>
      </c>
      <c r="AN188" s="289" t="str">
        <f t="shared" si="31"/>
        <v/>
      </c>
      <c r="AO188" s="52"/>
      <c r="AP188" s="51"/>
      <c r="AQ188" s="104"/>
      <c r="AT188" s="35" t="str">
        <f t="shared" si="32"/>
        <v>No</v>
      </c>
      <c r="AU188" s="35" t="str">
        <f>IF(E188="","",IF(ISNA(VLOOKUP($E188,'A-1 On-Site Habitat Baseline'!$D$1:$AV$258,4,FALSE)),"",(VLOOKUP($E188,'A-1 On-Site Habitat Baseline'!$D$1:$AV$258,4,FALSE))))</f>
        <v/>
      </c>
    </row>
    <row r="189" spans="1:47" ht="14">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05" t="str">
        <f>'A-1 On-Site Habitat Baseline'!AL188</f>
        <v/>
      </c>
      <c r="F189" s="295" t="str">
        <f>IF(E189="","",IF(ISNA(VLOOKUP($E189,'A-1 On-Site Habitat Baseline'!$D$1:$AV$258,45,FALSE)),"",(VLOOKUP($E189,'A-1 On-Site Habitat Baseline'!$D$1:$AV$258,45,FALSE))))</f>
        <v/>
      </c>
      <c r="G189" s="295" t="str">
        <f>IF(E189="","",IF(ISNA(VLOOKUP($E189,'A-1 On-Site Habitat Baseline'!$D$1:$O$258,5,FALSE)),"",(VLOOKUP($E189,'A-1 On-Site Habitat Baseline'!$D$1:$O$258,5,FALSE))))</f>
        <v/>
      </c>
      <c r="H189" s="295" t="str">
        <f>IF(E189="","",IF(ISNA(VLOOKUP($E189,'A-1 On-Site Habitat Baseline'!$D$1:$O$258,6,FALSE)),"",(VLOOKUP($E189,'A-1 On-Site Habitat Baseline'!$D$1:$O$258,6,FALSE))))</f>
        <v/>
      </c>
      <c r="I189" s="295" t="str">
        <f>IF(E189="","",IF(ISNA(VLOOKUP($E189,'A-1 On-Site Habitat Baseline'!$D$1:$O$258,7,FALSE)),"",(VLOOKUP($E189,'A-1 On-Site Habitat Baseline'!$D$1:$O$258,7,FALSE))))</f>
        <v/>
      </c>
      <c r="J189" s="295" t="str">
        <f>IF(E189="","",IF(ISNA(VLOOKUP($E189,'A-1 On-Site Habitat Baseline'!$D$1:$O$258,8,FALSE)),"",(VLOOKUP($E189,'A-1 On-Site Habitat Baseline'!$D$1:$O$258,8,FALSE))))</f>
        <v/>
      </c>
      <c r="K189" s="295" t="str">
        <f>IF(E189="","",IF(ISNA(VLOOKUP($E189,'A-1 On-Site Habitat Baseline'!$D$1:$O$258,9,FALSE)),"",(VLOOKUP($E189,'A-1 On-Site Habitat Baseline'!$D$1:$O$258,9,FALSE))))</f>
        <v/>
      </c>
      <c r="L189" s="295" t="str">
        <f>IF(E189="","",IF(ISNA(VLOOKUP($E189,'A-1 On-Site Habitat Baseline'!$D$1:$O$258,11,FALSE)),"",(VLOOKUP($E189,'A-1 On-Site Habitat Baseline'!$D$1:$O$258,11,FALSE))))</f>
        <v/>
      </c>
      <c r="M189" s="295" t="str">
        <f>IF(E189="","",IF(ISNA(VLOOKUP($E189,'A-1 On-Site Habitat Baseline'!$D$1:$O$258,12,FALSE)),"",(VLOOKUP($E189,'A-1 On-Site Habitat Baseline'!$D$1:$O$258,12,FALSE))))</f>
        <v/>
      </c>
      <c r="N189" s="306" t="str">
        <f>IF(E189="","",IF(ISNA(VLOOKUP($E189,'A-1 On-Site Habitat Baseline'!$D$1:$X$258,14,FALSE)),"",(VLOOKUP($E189,'A-1 On-Site Habitat Baseline'!$D$1:$X$258,14,FALSE))))</f>
        <v/>
      </c>
      <c r="O189" s="299" t="str">
        <f>IF(E189="","",IF(ISNA(VLOOKUP($E189,'A-1 On-Site Habitat Baseline'!$D$1:$X$258,16,FALSE)),"",(VLOOKUP($E189,'A-1 On-Site Habitat Baseline'!$D$1:$X$258,13,FALSE))))</f>
        <v/>
      </c>
      <c r="P189" s="154" t="str">
        <f>IFERROR(INDEX('G-1 All Habitats'!$AG$49:$AG$63,MATCH(Q189,'G-1 All Habitats'!$AF$27:$AF$41,0)),"")</f>
        <v/>
      </c>
      <c r="Q189" s="155" t="str">
        <f t="shared" si="24"/>
        <v/>
      </c>
      <c r="R189" s="155"/>
      <c r="S189" s="237" t="str">
        <f>IFERROR(INDEX('G-1 All Habitats'!$B$3:$B$135,MATCH(R189,'G-1 All Habitats'!$A$3:$A$135,0)),"")</f>
        <v/>
      </c>
      <c r="T189" s="275" t="str">
        <f t="shared" si="25"/>
        <v/>
      </c>
      <c r="U189" s="276" t="str">
        <f t="shared" si="26"/>
        <v/>
      </c>
      <c r="V189" s="311" t="str">
        <f t="shared" si="22"/>
        <v/>
      </c>
      <c r="W189" s="295" t="str">
        <f>IF(S189="","",VLOOKUP(S189,'G-1 All Habitats'!$B$2:$M$135,10,FALSE))</f>
        <v/>
      </c>
      <c r="X189" s="295" t="str">
        <f>IFERROR(VLOOKUP(W189,'G-1 All Habitats'!$V$3:$W$7,2,FALSE),"")</f>
        <v/>
      </c>
      <c r="Y189" s="57"/>
      <c r="Z189" s="299" t="str">
        <f>IFERROR(INDEX('G-8 Condition Look up'!$A$3:$H$135,MATCH(S189,'G-8 Condition Look up'!$A$3:$A$135,0),MATCH(Y189,'G-8 Condition Look up'!$A$3:$H$3,0)),"")</f>
        <v/>
      </c>
      <c r="AA189" s="52"/>
      <c r="AB189" s="295" t="str">
        <f>IF(AA189="","",IF(VLOOKUP(AA189,'G-3 Multipliers'!$L$3:$N$6,2,FALSE)=0,"Spatial Data Missing ⚠",VLOOKUP(AA189,'G-3 Multipliers'!$L$3:$N$6,2,FALSE)))</f>
        <v/>
      </c>
      <c r="AC189" s="299" t="str">
        <f>IF(AA189="","",IF(VLOOKUP(AA189,'G-3 Multipliers'!$L$3:$N$6,3,FALSE)=0,"Spatial Data Missing ⚠",VLOOKUP(AA189,'G-3 Multipliers'!$L$3:$N$6,3,FALSE)))</f>
        <v/>
      </c>
      <c r="AD189" s="313" t="str">
        <f t="shared" si="23"/>
        <v/>
      </c>
      <c r="AE189" s="58"/>
      <c r="AF189" s="58"/>
      <c r="AG189" s="283" t="str">
        <f t="shared" si="27"/>
        <v/>
      </c>
      <c r="AH189" s="296" t="str">
        <f t="shared" si="28"/>
        <v/>
      </c>
      <c r="AI189" s="297" t="str">
        <f>IF(AH189="Check Data ⚠","Check Data ⚠",IFERROR(VLOOKUP(AH189,'G-4 Temporal multipliers'!$A$4:$C$36,3,FALSE),""))</f>
        <v/>
      </c>
      <c r="AJ189" s="275" t="str">
        <f>IF(S189="","",VLOOKUP(S189,'G-3 Multipliers'!$A$2:$E$134,4,FALSE))</f>
        <v/>
      </c>
      <c r="AK189" s="283" t="str">
        <f t="shared" si="29"/>
        <v/>
      </c>
      <c r="AL189" s="283" t="str">
        <f t="shared" si="30"/>
        <v/>
      </c>
      <c r="AM189" s="314" t="str">
        <f>IFERROR(IF(F189="","",IF(AH189="Check Data ⚠","Check Data ⚠",VLOOKUP(AL189,'G-3 Multipliers'!$P$2:$Q$6,2,FALSE))),"")</f>
        <v/>
      </c>
      <c r="AN189" s="289" t="str">
        <f t="shared" si="31"/>
        <v/>
      </c>
      <c r="AO189" s="52"/>
      <c r="AP189" s="51"/>
      <c r="AQ189" s="104"/>
      <c r="AT189" s="35" t="str">
        <f t="shared" si="32"/>
        <v>No</v>
      </c>
      <c r="AU189" s="35" t="str">
        <f>IF(E189="","",IF(ISNA(VLOOKUP($E189,'A-1 On-Site Habitat Baseline'!$D$1:$AV$258,4,FALSE)),"",(VLOOKUP($E189,'A-1 On-Site Habitat Baseline'!$D$1:$AV$258,4,FALSE))))</f>
        <v/>
      </c>
    </row>
    <row r="190" spans="1:47" ht="14">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05" t="str">
        <f>'A-1 On-Site Habitat Baseline'!AL189</f>
        <v/>
      </c>
      <c r="F190" s="295" t="str">
        <f>IF(E190="","",IF(ISNA(VLOOKUP($E190,'A-1 On-Site Habitat Baseline'!$D$1:$AV$258,45,FALSE)),"",(VLOOKUP($E190,'A-1 On-Site Habitat Baseline'!$D$1:$AV$258,45,FALSE))))</f>
        <v/>
      </c>
      <c r="G190" s="295" t="str">
        <f>IF(E190="","",IF(ISNA(VLOOKUP($E190,'A-1 On-Site Habitat Baseline'!$D$1:$O$258,5,FALSE)),"",(VLOOKUP($E190,'A-1 On-Site Habitat Baseline'!$D$1:$O$258,5,FALSE))))</f>
        <v/>
      </c>
      <c r="H190" s="295" t="str">
        <f>IF(E190="","",IF(ISNA(VLOOKUP($E190,'A-1 On-Site Habitat Baseline'!$D$1:$O$258,6,FALSE)),"",(VLOOKUP($E190,'A-1 On-Site Habitat Baseline'!$D$1:$O$258,6,FALSE))))</f>
        <v/>
      </c>
      <c r="I190" s="295" t="str">
        <f>IF(E190="","",IF(ISNA(VLOOKUP($E190,'A-1 On-Site Habitat Baseline'!$D$1:$O$258,7,FALSE)),"",(VLOOKUP($E190,'A-1 On-Site Habitat Baseline'!$D$1:$O$258,7,FALSE))))</f>
        <v/>
      </c>
      <c r="J190" s="295" t="str">
        <f>IF(E190="","",IF(ISNA(VLOOKUP($E190,'A-1 On-Site Habitat Baseline'!$D$1:$O$258,8,FALSE)),"",(VLOOKUP($E190,'A-1 On-Site Habitat Baseline'!$D$1:$O$258,8,FALSE))))</f>
        <v/>
      </c>
      <c r="K190" s="295" t="str">
        <f>IF(E190="","",IF(ISNA(VLOOKUP($E190,'A-1 On-Site Habitat Baseline'!$D$1:$O$258,9,FALSE)),"",(VLOOKUP($E190,'A-1 On-Site Habitat Baseline'!$D$1:$O$258,9,FALSE))))</f>
        <v/>
      </c>
      <c r="L190" s="295" t="str">
        <f>IF(E190="","",IF(ISNA(VLOOKUP($E190,'A-1 On-Site Habitat Baseline'!$D$1:$O$258,11,FALSE)),"",(VLOOKUP($E190,'A-1 On-Site Habitat Baseline'!$D$1:$O$258,11,FALSE))))</f>
        <v/>
      </c>
      <c r="M190" s="295" t="str">
        <f>IF(E190="","",IF(ISNA(VLOOKUP($E190,'A-1 On-Site Habitat Baseline'!$D$1:$O$258,12,FALSE)),"",(VLOOKUP($E190,'A-1 On-Site Habitat Baseline'!$D$1:$O$258,12,FALSE))))</f>
        <v/>
      </c>
      <c r="N190" s="306" t="str">
        <f>IF(E190="","",IF(ISNA(VLOOKUP($E190,'A-1 On-Site Habitat Baseline'!$D$1:$X$258,14,FALSE)),"",(VLOOKUP($E190,'A-1 On-Site Habitat Baseline'!$D$1:$X$258,14,FALSE))))</f>
        <v/>
      </c>
      <c r="O190" s="299" t="str">
        <f>IF(E190="","",IF(ISNA(VLOOKUP($E190,'A-1 On-Site Habitat Baseline'!$D$1:$X$258,16,FALSE)),"",(VLOOKUP($E190,'A-1 On-Site Habitat Baseline'!$D$1:$X$258,13,FALSE))))</f>
        <v/>
      </c>
      <c r="P190" s="154" t="str">
        <f>IFERROR(INDEX('G-1 All Habitats'!$AG$49:$AG$63,MATCH(Q190,'G-1 All Habitats'!$AF$27:$AF$41,0)),"")</f>
        <v/>
      </c>
      <c r="Q190" s="155" t="str">
        <f t="shared" si="24"/>
        <v/>
      </c>
      <c r="R190" s="155"/>
      <c r="S190" s="237" t="str">
        <f>IFERROR(INDEX('G-1 All Habitats'!$B$3:$B$135,MATCH(R190,'G-1 All Habitats'!$A$3:$A$135,0)),"")</f>
        <v/>
      </c>
      <c r="T190" s="275" t="str">
        <f t="shared" si="25"/>
        <v/>
      </c>
      <c r="U190" s="276" t="str">
        <f t="shared" si="26"/>
        <v/>
      </c>
      <c r="V190" s="311" t="str">
        <f t="shared" si="22"/>
        <v/>
      </c>
      <c r="W190" s="295" t="str">
        <f>IF(S190="","",VLOOKUP(S190,'G-1 All Habitats'!$B$2:$M$135,10,FALSE))</f>
        <v/>
      </c>
      <c r="X190" s="295" t="str">
        <f>IFERROR(VLOOKUP(W190,'G-1 All Habitats'!$V$3:$W$7,2,FALSE),"")</f>
        <v/>
      </c>
      <c r="Y190" s="57"/>
      <c r="Z190" s="299" t="str">
        <f>IFERROR(INDEX('G-8 Condition Look up'!$A$3:$H$135,MATCH(S190,'G-8 Condition Look up'!$A$3:$A$135,0),MATCH(Y190,'G-8 Condition Look up'!$A$3:$H$3,0)),"")</f>
        <v/>
      </c>
      <c r="AA190" s="52"/>
      <c r="AB190" s="295" t="str">
        <f>IF(AA190="","",IF(VLOOKUP(AA190,'G-3 Multipliers'!$L$3:$N$6,2,FALSE)=0,"Spatial Data Missing ⚠",VLOOKUP(AA190,'G-3 Multipliers'!$L$3:$N$6,2,FALSE)))</f>
        <v/>
      </c>
      <c r="AC190" s="299" t="str">
        <f>IF(AA190="","",IF(VLOOKUP(AA190,'G-3 Multipliers'!$L$3:$N$6,3,FALSE)=0,"Spatial Data Missing ⚠",VLOOKUP(AA190,'G-3 Multipliers'!$L$3:$N$6,3,FALSE)))</f>
        <v/>
      </c>
      <c r="AD190" s="313" t="str">
        <f t="shared" si="23"/>
        <v/>
      </c>
      <c r="AE190" s="58"/>
      <c r="AF190" s="58"/>
      <c r="AG190" s="283" t="str">
        <f t="shared" si="27"/>
        <v/>
      </c>
      <c r="AH190" s="296" t="str">
        <f t="shared" si="28"/>
        <v/>
      </c>
      <c r="AI190" s="297" t="str">
        <f>IF(AH190="Check Data ⚠","Check Data ⚠",IFERROR(VLOOKUP(AH190,'G-4 Temporal multipliers'!$A$4:$C$36,3,FALSE),""))</f>
        <v/>
      </c>
      <c r="AJ190" s="275" t="str">
        <f>IF(S190="","",VLOOKUP(S190,'G-3 Multipliers'!$A$2:$E$134,4,FALSE))</f>
        <v/>
      </c>
      <c r="AK190" s="283" t="str">
        <f t="shared" si="29"/>
        <v/>
      </c>
      <c r="AL190" s="283" t="str">
        <f t="shared" si="30"/>
        <v/>
      </c>
      <c r="AM190" s="314" t="str">
        <f>IFERROR(IF(F190="","",IF(AH190="Check Data ⚠","Check Data ⚠",VLOOKUP(AL190,'G-3 Multipliers'!$P$2:$Q$6,2,FALSE))),"")</f>
        <v/>
      </c>
      <c r="AN190" s="289" t="str">
        <f t="shared" si="31"/>
        <v/>
      </c>
      <c r="AO190" s="52"/>
      <c r="AP190" s="51"/>
      <c r="AQ190" s="104"/>
      <c r="AT190" s="35" t="str">
        <f t="shared" si="32"/>
        <v>No</v>
      </c>
      <c r="AU190" s="35" t="str">
        <f>IF(E190="","",IF(ISNA(VLOOKUP($E190,'A-1 On-Site Habitat Baseline'!$D$1:$AV$258,4,FALSE)),"",(VLOOKUP($E190,'A-1 On-Site Habitat Baseline'!$D$1:$AV$258,4,FALSE))))</f>
        <v/>
      </c>
    </row>
    <row r="191" spans="1:47" ht="14">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05" t="str">
        <f>'A-1 On-Site Habitat Baseline'!AL190</f>
        <v/>
      </c>
      <c r="F191" s="295" t="str">
        <f>IF(E191="","",IF(ISNA(VLOOKUP($E191,'A-1 On-Site Habitat Baseline'!$D$1:$AV$258,45,FALSE)),"",(VLOOKUP($E191,'A-1 On-Site Habitat Baseline'!$D$1:$AV$258,45,FALSE))))</f>
        <v/>
      </c>
      <c r="G191" s="295" t="str">
        <f>IF(E191="","",IF(ISNA(VLOOKUP($E191,'A-1 On-Site Habitat Baseline'!$D$1:$O$258,5,FALSE)),"",(VLOOKUP($E191,'A-1 On-Site Habitat Baseline'!$D$1:$O$258,5,FALSE))))</f>
        <v/>
      </c>
      <c r="H191" s="295" t="str">
        <f>IF(E191="","",IF(ISNA(VLOOKUP($E191,'A-1 On-Site Habitat Baseline'!$D$1:$O$258,6,FALSE)),"",(VLOOKUP($E191,'A-1 On-Site Habitat Baseline'!$D$1:$O$258,6,FALSE))))</f>
        <v/>
      </c>
      <c r="I191" s="295" t="str">
        <f>IF(E191="","",IF(ISNA(VLOOKUP($E191,'A-1 On-Site Habitat Baseline'!$D$1:$O$258,7,FALSE)),"",(VLOOKUP($E191,'A-1 On-Site Habitat Baseline'!$D$1:$O$258,7,FALSE))))</f>
        <v/>
      </c>
      <c r="J191" s="295" t="str">
        <f>IF(E191="","",IF(ISNA(VLOOKUP($E191,'A-1 On-Site Habitat Baseline'!$D$1:$O$258,8,FALSE)),"",(VLOOKUP($E191,'A-1 On-Site Habitat Baseline'!$D$1:$O$258,8,FALSE))))</f>
        <v/>
      </c>
      <c r="K191" s="295" t="str">
        <f>IF(E191="","",IF(ISNA(VLOOKUP($E191,'A-1 On-Site Habitat Baseline'!$D$1:$O$258,9,FALSE)),"",(VLOOKUP($E191,'A-1 On-Site Habitat Baseline'!$D$1:$O$258,9,FALSE))))</f>
        <v/>
      </c>
      <c r="L191" s="295" t="str">
        <f>IF(E191="","",IF(ISNA(VLOOKUP($E191,'A-1 On-Site Habitat Baseline'!$D$1:$O$258,11,FALSE)),"",(VLOOKUP($E191,'A-1 On-Site Habitat Baseline'!$D$1:$O$258,11,FALSE))))</f>
        <v/>
      </c>
      <c r="M191" s="295" t="str">
        <f>IF(E191="","",IF(ISNA(VLOOKUP($E191,'A-1 On-Site Habitat Baseline'!$D$1:$O$258,12,FALSE)),"",(VLOOKUP($E191,'A-1 On-Site Habitat Baseline'!$D$1:$O$258,12,FALSE))))</f>
        <v/>
      </c>
      <c r="N191" s="306" t="str">
        <f>IF(E191="","",IF(ISNA(VLOOKUP($E191,'A-1 On-Site Habitat Baseline'!$D$1:$X$258,14,FALSE)),"",(VLOOKUP($E191,'A-1 On-Site Habitat Baseline'!$D$1:$X$258,14,FALSE))))</f>
        <v/>
      </c>
      <c r="O191" s="299" t="str">
        <f>IF(E191="","",IF(ISNA(VLOOKUP($E191,'A-1 On-Site Habitat Baseline'!$D$1:$X$258,16,FALSE)),"",(VLOOKUP($E191,'A-1 On-Site Habitat Baseline'!$D$1:$X$258,13,FALSE))))</f>
        <v/>
      </c>
      <c r="P191" s="154" t="str">
        <f>IFERROR(INDEX('G-1 All Habitats'!$AG$49:$AG$63,MATCH(Q191,'G-1 All Habitats'!$AF$27:$AF$41,0)),"")</f>
        <v/>
      </c>
      <c r="Q191" s="155" t="str">
        <f t="shared" si="24"/>
        <v/>
      </c>
      <c r="R191" s="155"/>
      <c r="S191" s="237" t="str">
        <f>IFERROR(INDEX('G-1 All Habitats'!$B$3:$B$135,MATCH(R191,'G-1 All Habitats'!$A$3:$A$135,0)),"")</f>
        <v/>
      </c>
      <c r="T191" s="275" t="str">
        <f t="shared" si="25"/>
        <v/>
      </c>
      <c r="U191" s="276" t="str">
        <f t="shared" si="26"/>
        <v/>
      </c>
      <c r="V191" s="311" t="str">
        <f t="shared" si="22"/>
        <v/>
      </c>
      <c r="W191" s="295" t="str">
        <f>IF(S191="","",VLOOKUP(S191,'G-1 All Habitats'!$B$2:$M$135,10,FALSE))</f>
        <v/>
      </c>
      <c r="X191" s="295" t="str">
        <f>IFERROR(VLOOKUP(W191,'G-1 All Habitats'!$V$3:$W$7,2,FALSE),"")</f>
        <v/>
      </c>
      <c r="Y191" s="57"/>
      <c r="Z191" s="299" t="str">
        <f>IFERROR(INDEX('G-8 Condition Look up'!$A$3:$H$135,MATCH(S191,'G-8 Condition Look up'!$A$3:$A$135,0),MATCH(Y191,'G-8 Condition Look up'!$A$3:$H$3,0)),"")</f>
        <v/>
      </c>
      <c r="AA191" s="52"/>
      <c r="AB191" s="295" t="str">
        <f>IF(AA191="","",IF(VLOOKUP(AA191,'G-3 Multipliers'!$L$3:$N$6,2,FALSE)=0,"Spatial Data Missing ⚠",VLOOKUP(AA191,'G-3 Multipliers'!$L$3:$N$6,2,FALSE)))</f>
        <v/>
      </c>
      <c r="AC191" s="299" t="str">
        <f>IF(AA191="","",IF(VLOOKUP(AA191,'G-3 Multipliers'!$L$3:$N$6,3,FALSE)=0,"Spatial Data Missing ⚠",VLOOKUP(AA191,'G-3 Multipliers'!$L$3:$N$6,3,FALSE)))</f>
        <v/>
      </c>
      <c r="AD191" s="313" t="str">
        <f t="shared" si="23"/>
        <v/>
      </c>
      <c r="AE191" s="58"/>
      <c r="AF191" s="58"/>
      <c r="AG191" s="283" t="str">
        <f t="shared" si="27"/>
        <v/>
      </c>
      <c r="AH191" s="296" t="str">
        <f t="shared" si="28"/>
        <v/>
      </c>
      <c r="AI191" s="297" t="str">
        <f>IF(AH191="Check Data ⚠","Check Data ⚠",IFERROR(VLOOKUP(AH191,'G-4 Temporal multipliers'!$A$4:$C$36,3,FALSE),""))</f>
        <v/>
      </c>
      <c r="AJ191" s="275" t="str">
        <f>IF(S191="","",VLOOKUP(S191,'G-3 Multipliers'!$A$2:$E$134,4,FALSE))</f>
        <v/>
      </c>
      <c r="AK191" s="283" t="str">
        <f t="shared" si="29"/>
        <v/>
      </c>
      <c r="AL191" s="283" t="str">
        <f t="shared" si="30"/>
        <v/>
      </c>
      <c r="AM191" s="314" t="str">
        <f>IFERROR(IF(F191="","",IF(AH191="Check Data ⚠","Check Data ⚠",VLOOKUP(AL191,'G-3 Multipliers'!$P$2:$Q$6,2,FALSE))),"")</f>
        <v/>
      </c>
      <c r="AN191" s="289" t="str">
        <f t="shared" si="31"/>
        <v/>
      </c>
      <c r="AO191" s="52"/>
      <c r="AP191" s="51"/>
      <c r="AQ191" s="104"/>
      <c r="AT191" s="35" t="str">
        <f t="shared" si="32"/>
        <v>No</v>
      </c>
      <c r="AU191" s="35" t="str">
        <f>IF(E191="","",IF(ISNA(VLOOKUP($E191,'A-1 On-Site Habitat Baseline'!$D$1:$AV$258,4,FALSE)),"",(VLOOKUP($E191,'A-1 On-Site Habitat Baseline'!$D$1:$AV$258,4,FALSE))))</f>
        <v/>
      </c>
    </row>
    <row r="192" spans="1:47" ht="14">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05" t="str">
        <f>'A-1 On-Site Habitat Baseline'!AL191</f>
        <v/>
      </c>
      <c r="F192" s="295" t="str">
        <f>IF(E192="","",IF(ISNA(VLOOKUP($E192,'A-1 On-Site Habitat Baseline'!$D$1:$AV$258,45,FALSE)),"",(VLOOKUP($E192,'A-1 On-Site Habitat Baseline'!$D$1:$AV$258,45,FALSE))))</f>
        <v/>
      </c>
      <c r="G192" s="295" t="str">
        <f>IF(E192="","",IF(ISNA(VLOOKUP($E192,'A-1 On-Site Habitat Baseline'!$D$1:$O$258,5,FALSE)),"",(VLOOKUP($E192,'A-1 On-Site Habitat Baseline'!$D$1:$O$258,5,FALSE))))</f>
        <v/>
      </c>
      <c r="H192" s="295" t="str">
        <f>IF(E192="","",IF(ISNA(VLOOKUP($E192,'A-1 On-Site Habitat Baseline'!$D$1:$O$258,6,FALSE)),"",(VLOOKUP($E192,'A-1 On-Site Habitat Baseline'!$D$1:$O$258,6,FALSE))))</f>
        <v/>
      </c>
      <c r="I192" s="295" t="str">
        <f>IF(E192="","",IF(ISNA(VLOOKUP($E192,'A-1 On-Site Habitat Baseline'!$D$1:$O$258,7,FALSE)),"",(VLOOKUP($E192,'A-1 On-Site Habitat Baseline'!$D$1:$O$258,7,FALSE))))</f>
        <v/>
      </c>
      <c r="J192" s="295" t="str">
        <f>IF(E192="","",IF(ISNA(VLOOKUP($E192,'A-1 On-Site Habitat Baseline'!$D$1:$O$258,8,FALSE)),"",(VLOOKUP($E192,'A-1 On-Site Habitat Baseline'!$D$1:$O$258,8,FALSE))))</f>
        <v/>
      </c>
      <c r="K192" s="295" t="str">
        <f>IF(E192="","",IF(ISNA(VLOOKUP($E192,'A-1 On-Site Habitat Baseline'!$D$1:$O$258,9,FALSE)),"",(VLOOKUP($E192,'A-1 On-Site Habitat Baseline'!$D$1:$O$258,9,FALSE))))</f>
        <v/>
      </c>
      <c r="L192" s="295" t="str">
        <f>IF(E192="","",IF(ISNA(VLOOKUP($E192,'A-1 On-Site Habitat Baseline'!$D$1:$O$258,11,FALSE)),"",(VLOOKUP($E192,'A-1 On-Site Habitat Baseline'!$D$1:$O$258,11,FALSE))))</f>
        <v/>
      </c>
      <c r="M192" s="295" t="str">
        <f>IF(E192="","",IF(ISNA(VLOOKUP($E192,'A-1 On-Site Habitat Baseline'!$D$1:$O$258,12,FALSE)),"",(VLOOKUP($E192,'A-1 On-Site Habitat Baseline'!$D$1:$O$258,12,FALSE))))</f>
        <v/>
      </c>
      <c r="N192" s="306" t="str">
        <f>IF(E192="","",IF(ISNA(VLOOKUP($E192,'A-1 On-Site Habitat Baseline'!$D$1:$X$258,14,FALSE)),"",(VLOOKUP($E192,'A-1 On-Site Habitat Baseline'!$D$1:$X$258,14,FALSE))))</f>
        <v/>
      </c>
      <c r="O192" s="299" t="str">
        <f>IF(E192="","",IF(ISNA(VLOOKUP($E192,'A-1 On-Site Habitat Baseline'!$D$1:$X$258,16,FALSE)),"",(VLOOKUP($E192,'A-1 On-Site Habitat Baseline'!$D$1:$X$258,13,FALSE))))</f>
        <v/>
      </c>
      <c r="P192" s="154" t="str">
        <f>IFERROR(INDEX('G-1 All Habitats'!$AG$49:$AG$63,MATCH(Q192,'G-1 All Habitats'!$AF$27:$AF$41,0)),"")</f>
        <v/>
      </c>
      <c r="Q192" s="155" t="str">
        <f t="shared" si="24"/>
        <v/>
      </c>
      <c r="R192" s="155"/>
      <c r="S192" s="237" t="str">
        <f>IFERROR(INDEX('G-1 All Habitats'!$B$3:$B$135,MATCH(R192,'G-1 All Habitats'!$A$3:$A$135,0)),"")</f>
        <v/>
      </c>
      <c r="T192" s="275" t="str">
        <f t="shared" si="25"/>
        <v/>
      </c>
      <c r="U192" s="276" t="str">
        <f t="shared" si="26"/>
        <v/>
      </c>
      <c r="V192" s="311" t="str">
        <f t="shared" si="22"/>
        <v/>
      </c>
      <c r="W192" s="295" t="str">
        <f>IF(S192="","",VLOOKUP(S192,'G-1 All Habitats'!$B$2:$M$135,10,FALSE))</f>
        <v/>
      </c>
      <c r="X192" s="295" t="str">
        <f>IFERROR(VLOOKUP(W192,'G-1 All Habitats'!$V$3:$W$7,2,FALSE),"")</f>
        <v/>
      </c>
      <c r="Y192" s="57"/>
      <c r="Z192" s="299" t="str">
        <f>IFERROR(INDEX('G-8 Condition Look up'!$A$3:$H$135,MATCH(S192,'G-8 Condition Look up'!$A$3:$A$135,0),MATCH(Y192,'G-8 Condition Look up'!$A$3:$H$3,0)),"")</f>
        <v/>
      </c>
      <c r="AA192" s="52"/>
      <c r="AB192" s="295" t="str">
        <f>IF(AA192="","",IF(VLOOKUP(AA192,'G-3 Multipliers'!$L$3:$N$6,2,FALSE)=0,"Spatial Data Missing ⚠",VLOOKUP(AA192,'G-3 Multipliers'!$L$3:$N$6,2,FALSE)))</f>
        <v/>
      </c>
      <c r="AC192" s="299" t="str">
        <f>IF(AA192="","",IF(VLOOKUP(AA192,'G-3 Multipliers'!$L$3:$N$6,3,FALSE)=0,"Spatial Data Missing ⚠",VLOOKUP(AA192,'G-3 Multipliers'!$L$3:$N$6,3,FALSE)))</f>
        <v/>
      </c>
      <c r="AD192" s="313" t="str">
        <f t="shared" si="23"/>
        <v/>
      </c>
      <c r="AE192" s="58"/>
      <c r="AF192" s="58"/>
      <c r="AG192" s="283" t="str">
        <f t="shared" si="27"/>
        <v/>
      </c>
      <c r="AH192" s="296" t="str">
        <f t="shared" si="28"/>
        <v/>
      </c>
      <c r="AI192" s="297" t="str">
        <f>IF(AH192="Check Data ⚠","Check Data ⚠",IFERROR(VLOOKUP(AH192,'G-4 Temporal multipliers'!$A$4:$C$36,3,FALSE),""))</f>
        <v/>
      </c>
      <c r="AJ192" s="275" t="str">
        <f>IF(S192="","",VLOOKUP(S192,'G-3 Multipliers'!$A$2:$E$134,4,FALSE))</f>
        <v/>
      </c>
      <c r="AK192" s="283" t="str">
        <f t="shared" si="29"/>
        <v/>
      </c>
      <c r="AL192" s="283" t="str">
        <f t="shared" si="30"/>
        <v/>
      </c>
      <c r="AM192" s="314" t="str">
        <f>IFERROR(IF(F192="","",IF(AH192="Check Data ⚠","Check Data ⚠",VLOOKUP(AL192,'G-3 Multipliers'!$P$2:$Q$6,2,FALSE))),"")</f>
        <v/>
      </c>
      <c r="AN192" s="289" t="str">
        <f t="shared" si="31"/>
        <v/>
      </c>
      <c r="AO192" s="52"/>
      <c r="AP192" s="51"/>
      <c r="AQ192" s="104"/>
      <c r="AT192" s="35" t="str">
        <f t="shared" si="32"/>
        <v>No</v>
      </c>
      <c r="AU192" s="35" t="str">
        <f>IF(E192="","",IF(ISNA(VLOOKUP($E192,'A-1 On-Site Habitat Baseline'!$D$1:$AV$258,4,FALSE)),"",(VLOOKUP($E192,'A-1 On-Site Habitat Baseline'!$D$1:$AV$258,4,FALSE))))</f>
        <v/>
      </c>
    </row>
    <row r="193" spans="1:47" ht="14">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05" t="str">
        <f>'A-1 On-Site Habitat Baseline'!AL192</f>
        <v/>
      </c>
      <c r="F193" s="295" t="str">
        <f>IF(E193="","",IF(ISNA(VLOOKUP($E193,'A-1 On-Site Habitat Baseline'!$D$1:$AV$258,45,FALSE)),"",(VLOOKUP($E193,'A-1 On-Site Habitat Baseline'!$D$1:$AV$258,45,FALSE))))</f>
        <v/>
      </c>
      <c r="G193" s="295" t="str">
        <f>IF(E193="","",IF(ISNA(VLOOKUP($E193,'A-1 On-Site Habitat Baseline'!$D$1:$O$258,5,FALSE)),"",(VLOOKUP($E193,'A-1 On-Site Habitat Baseline'!$D$1:$O$258,5,FALSE))))</f>
        <v/>
      </c>
      <c r="H193" s="295" t="str">
        <f>IF(E193="","",IF(ISNA(VLOOKUP($E193,'A-1 On-Site Habitat Baseline'!$D$1:$O$258,6,FALSE)),"",(VLOOKUP($E193,'A-1 On-Site Habitat Baseline'!$D$1:$O$258,6,FALSE))))</f>
        <v/>
      </c>
      <c r="I193" s="295" t="str">
        <f>IF(E193="","",IF(ISNA(VLOOKUP($E193,'A-1 On-Site Habitat Baseline'!$D$1:$O$258,7,FALSE)),"",(VLOOKUP($E193,'A-1 On-Site Habitat Baseline'!$D$1:$O$258,7,FALSE))))</f>
        <v/>
      </c>
      <c r="J193" s="295" t="str">
        <f>IF(E193="","",IF(ISNA(VLOOKUP($E193,'A-1 On-Site Habitat Baseline'!$D$1:$O$258,8,FALSE)),"",(VLOOKUP($E193,'A-1 On-Site Habitat Baseline'!$D$1:$O$258,8,FALSE))))</f>
        <v/>
      </c>
      <c r="K193" s="295" t="str">
        <f>IF(E193="","",IF(ISNA(VLOOKUP($E193,'A-1 On-Site Habitat Baseline'!$D$1:$O$258,9,FALSE)),"",(VLOOKUP($E193,'A-1 On-Site Habitat Baseline'!$D$1:$O$258,9,FALSE))))</f>
        <v/>
      </c>
      <c r="L193" s="295" t="str">
        <f>IF(E193="","",IF(ISNA(VLOOKUP($E193,'A-1 On-Site Habitat Baseline'!$D$1:$O$258,11,FALSE)),"",(VLOOKUP($E193,'A-1 On-Site Habitat Baseline'!$D$1:$O$258,11,FALSE))))</f>
        <v/>
      </c>
      <c r="M193" s="295" t="str">
        <f>IF(E193="","",IF(ISNA(VLOOKUP($E193,'A-1 On-Site Habitat Baseline'!$D$1:$O$258,12,FALSE)),"",(VLOOKUP($E193,'A-1 On-Site Habitat Baseline'!$D$1:$O$258,12,FALSE))))</f>
        <v/>
      </c>
      <c r="N193" s="306" t="str">
        <f>IF(E193="","",IF(ISNA(VLOOKUP($E193,'A-1 On-Site Habitat Baseline'!$D$1:$X$258,14,FALSE)),"",(VLOOKUP($E193,'A-1 On-Site Habitat Baseline'!$D$1:$X$258,14,FALSE))))</f>
        <v/>
      </c>
      <c r="O193" s="299" t="str">
        <f>IF(E193="","",IF(ISNA(VLOOKUP($E193,'A-1 On-Site Habitat Baseline'!$D$1:$X$258,16,FALSE)),"",(VLOOKUP($E193,'A-1 On-Site Habitat Baseline'!$D$1:$X$258,13,FALSE))))</f>
        <v/>
      </c>
      <c r="P193" s="154" t="str">
        <f>IFERROR(INDEX('G-1 All Habitats'!$AG$49:$AG$63,MATCH(Q193,'G-1 All Habitats'!$AF$27:$AF$41,0)),"")</f>
        <v/>
      </c>
      <c r="Q193" s="155" t="str">
        <f t="shared" si="24"/>
        <v/>
      </c>
      <c r="R193" s="155"/>
      <c r="S193" s="237" t="str">
        <f>IFERROR(INDEX('G-1 All Habitats'!$B$3:$B$135,MATCH(R193,'G-1 All Habitats'!$A$3:$A$135,0)),"")</f>
        <v/>
      </c>
      <c r="T193" s="275" t="str">
        <f t="shared" si="25"/>
        <v/>
      </c>
      <c r="U193" s="276" t="str">
        <f t="shared" si="26"/>
        <v/>
      </c>
      <c r="V193" s="311" t="str">
        <f t="shared" si="22"/>
        <v/>
      </c>
      <c r="W193" s="295" t="str">
        <f>IF(S193="","",VLOOKUP(S193,'G-1 All Habitats'!$B$2:$M$135,10,FALSE))</f>
        <v/>
      </c>
      <c r="X193" s="295" t="str">
        <f>IFERROR(VLOOKUP(W193,'G-1 All Habitats'!$V$3:$W$7,2,FALSE),"")</f>
        <v/>
      </c>
      <c r="Y193" s="57"/>
      <c r="Z193" s="299" t="str">
        <f>IFERROR(INDEX('G-8 Condition Look up'!$A$3:$H$135,MATCH(S193,'G-8 Condition Look up'!$A$3:$A$135,0),MATCH(Y193,'G-8 Condition Look up'!$A$3:$H$3,0)),"")</f>
        <v/>
      </c>
      <c r="AA193" s="52"/>
      <c r="AB193" s="295" t="str">
        <f>IF(AA193="","",IF(VLOOKUP(AA193,'G-3 Multipliers'!$L$3:$N$6,2,FALSE)=0,"Spatial Data Missing ⚠",VLOOKUP(AA193,'G-3 Multipliers'!$L$3:$N$6,2,FALSE)))</f>
        <v/>
      </c>
      <c r="AC193" s="299" t="str">
        <f>IF(AA193="","",IF(VLOOKUP(AA193,'G-3 Multipliers'!$L$3:$N$6,3,FALSE)=0,"Spatial Data Missing ⚠",VLOOKUP(AA193,'G-3 Multipliers'!$L$3:$N$6,3,FALSE)))</f>
        <v/>
      </c>
      <c r="AD193" s="313" t="str">
        <f t="shared" si="23"/>
        <v/>
      </c>
      <c r="AE193" s="58"/>
      <c r="AF193" s="58"/>
      <c r="AG193" s="283" t="str">
        <f t="shared" si="27"/>
        <v/>
      </c>
      <c r="AH193" s="296" t="str">
        <f t="shared" si="28"/>
        <v/>
      </c>
      <c r="AI193" s="297" t="str">
        <f>IF(AH193="Check Data ⚠","Check Data ⚠",IFERROR(VLOOKUP(AH193,'G-4 Temporal multipliers'!$A$4:$C$36,3,FALSE),""))</f>
        <v/>
      </c>
      <c r="AJ193" s="275" t="str">
        <f>IF(S193="","",VLOOKUP(S193,'G-3 Multipliers'!$A$2:$E$134,4,FALSE))</f>
        <v/>
      </c>
      <c r="AK193" s="283" t="str">
        <f t="shared" si="29"/>
        <v/>
      </c>
      <c r="AL193" s="283" t="str">
        <f t="shared" si="30"/>
        <v/>
      </c>
      <c r="AM193" s="314" t="str">
        <f>IFERROR(IF(F193="","",IF(AH193="Check Data ⚠","Check Data ⚠",VLOOKUP(AL193,'G-3 Multipliers'!$P$2:$Q$6,2,FALSE))),"")</f>
        <v/>
      </c>
      <c r="AN193" s="289" t="str">
        <f t="shared" si="31"/>
        <v/>
      </c>
      <c r="AO193" s="52"/>
      <c r="AP193" s="51"/>
      <c r="AQ193" s="104"/>
      <c r="AT193" s="35" t="str">
        <f t="shared" si="32"/>
        <v>No</v>
      </c>
      <c r="AU193" s="35" t="str">
        <f>IF(E193="","",IF(ISNA(VLOOKUP($E193,'A-1 On-Site Habitat Baseline'!$D$1:$AV$258,4,FALSE)),"",(VLOOKUP($E193,'A-1 On-Site Habitat Baseline'!$D$1:$AV$258,4,FALSE))))</f>
        <v/>
      </c>
    </row>
    <row r="194" spans="1:47" ht="14">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05" t="str">
        <f>'A-1 On-Site Habitat Baseline'!AL193</f>
        <v/>
      </c>
      <c r="F194" s="295" t="str">
        <f>IF(E194="","",IF(ISNA(VLOOKUP($E194,'A-1 On-Site Habitat Baseline'!$D$1:$AV$258,45,FALSE)),"",(VLOOKUP($E194,'A-1 On-Site Habitat Baseline'!$D$1:$AV$258,45,FALSE))))</f>
        <v/>
      </c>
      <c r="G194" s="295" t="str">
        <f>IF(E194="","",IF(ISNA(VLOOKUP($E194,'A-1 On-Site Habitat Baseline'!$D$1:$O$258,5,FALSE)),"",(VLOOKUP($E194,'A-1 On-Site Habitat Baseline'!$D$1:$O$258,5,FALSE))))</f>
        <v/>
      </c>
      <c r="H194" s="295" t="str">
        <f>IF(E194="","",IF(ISNA(VLOOKUP($E194,'A-1 On-Site Habitat Baseline'!$D$1:$O$258,6,FALSE)),"",(VLOOKUP($E194,'A-1 On-Site Habitat Baseline'!$D$1:$O$258,6,FALSE))))</f>
        <v/>
      </c>
      <c r="I194" s="295" t="str">
        <f>IF(E194="","",IF(ISNA(VLOOKUP($E194,'A-1 On-Site Habitat Baseline'!$D$1:$O$258,7,FALSE)),"",(VLOOKUP($E194,'A-1 On-Site Habitat Baseline'!$D$1:$O$258,7,FALSE))))</f>
        <v/>
      </c>
      <c r="J194" s="295" t="str">
        <f>IF(E194="","",IF(ISNA(VLOOKUP($E194,'A-1 On-Site Habitat Baseline'!$D$1:$O$258,8,FALSE)),"",(VLOOKUP($E194,'A-1 On-Site Habitat Baseline'!$D$1:$O$258,8,FALSE))))</f>
        <v/>
      </c>
      <c r="K194" s="295" t="str">
        <f>IF(E194="","",IF(ISNA(VLOOKUP($E194,'A-1 On-Site Habitat Baseline'!$D$1:$O$258,9,FALSE)),"",(VLOOKUP($E194,'A-1 On-Site Habitat Baseline'!$D$1:$O$258,9,FALSE))))</f>
        <v/>
      </c>
      <c r="L194" s="295" t="str">
        <f>IF(E194="","",IF(ISNA(VLOOKUP($E194,'A-1 On-Site Habitat Baseline'!$D$1:$O$258,11,FALSE)),"",(VLOOKUP($E194,'A-1 On-Site Habitat Baseline'!$D$1:$O$258,11,FALSE))))</f>
        <v/>
      </c>
      <c r="M194" s="295" t="str">
        <f>IF(E194="","",IF(ISNA(VLOOKUP($E194,'A-1 On-Site Habitat Baseline'!$D$1:$O$258,12,FALSE)),"",(VLOOKUP($E194,'A-1 On-Site Habitat Baseline'!$D$1:$O$258,12,FALSE))))</f>
        <v/>
      </c>
      <c r="N194" s="306" t="str">
        <f>IF(E194="","",IF(ISNA(VLOOKUP($E194,'A-1 On-Site Habitat Baseline'!$D$1:$X$258,14,FALSE)),"",(VLOOKUP($E194,'A-1 On-Site Habitat Baseline'!$D$1:$X$258,14,FALSE))))</f>
        <v/>
      </c>
      <c r="O194" s="299" t="str">
        <f>IF(E194="","",IF(ISNA(VLOOKUP($E194,'A-1 On-Site Habitat Baseline'!$D$1:$X$258,16,FALSE)),"",(VLOOKUP($E194,'A-1 On-Site Habitat Baseline'!$D$1:$X$258,13,FALSE))))</f>
        <v/>
      </c>
      <c r="P194" s="154" t="str">
        <f>IFERROR(INDEX('G-1 All Habitats'!$AG$49:$AG$63,MATCH(Q194,'G-1 All Habitats'!$AF$27:$AF$41,0)),"")</f>
        <v/>
      </c>
      <c r="Q194" s="155" t="str">
        <f t="shared" si="24"/>
        <v/>
      </c>
      <c r="R194" s="155"/>
      <c r="S194" s="237" t="str">
        <f>IFERROR(INDEX('G-1 All Habitats'!$B$3:$B$135,MATCH(R194,'G-1 All Habitats'!$A$3:$A$135,0)),"")</f>
        <v/>
      </c>
      <c r="T194" s="275" t="str">
        <f t="shared" si="25"/>
        <v/>
      </c>
      <c r="U194" s="276" t="str">
        <f t="shared" si="26"/>
        <v/>
      </c>
      <c r="V194" s="311" t="str">
        <f t="shared" si="22"/>
        <v/>
      </c>
      <c r="W194" s="295" t="str">
        <f>IF(S194="","",VLOOKUP(S194,'G-1 All Habitats'!$B$2:$M$135,10,FALSE))</f>
        <v/>
      </c>
      <c r="X194" s="295" t="str">
        <f>IFERROR(VLOOKUP(W194,'G-1 All Habitats'!$V$3:$W$7,2,FALSE),"")</f>
        <v/>
      </c>
      <c r="Y194" s="57"/>
      <c r="Z194" s="299" t="str">
        <f>IFERROR(INDEX('G-8 Condition Look up'!$A$3:$H$135,MATCH(S194,'G-8 Condition Look up'!$A$3:$A$135,0),MATCH(Y194,'G-8 Condition Look up'!$A$3:$H$3,0)),"")</f>
        <v/>
      </c>
      <c r="AA194" s="52"/>
      <c r="AB194" s="295" t="str">
        <f>IF(AA194="","",IF(VLOOKUP(AA194,'G-3 Multipliers'!$L$3:$N$6,2,FALSE)=0,"Spatial Data Missing ⚠",VLOOKUP(AA194,'G-3 Multipliers'!$L$3:$N$6,2,FALSE)))</f>
        <v/>
      </c>
      <c r="AC194" s="299" t="str">
        <f>IF(AA194="","",IF(VLOOKUP(AA194,'G-3 Multipliers'!$L$3:$N$6,3,FALSE)=0,"Spatial Data Missing ⚠",VLOOKUP(AA194,'G-3 Multipliers'!$L$3:$N$6,3,FALSE)))</f>
        <v/>
      </c>
      <c r="AD194" s="313" t="str">
        <f t="shared" si="23"/>
        <v/>
      </c>
      <c r="AE194" s="58"/>
      <c r="AF194" s="58"/>
      <c r="AG194" s="283" t="str">
        <f t="shared" si="27"/>
        <v/>
      </c>
      <c r="AH194" s="296" t="str">
        <f t="shared" si="28"/>
        <v/>
      </c>
      <c r="AI194" s="297" t="str">
        <f>IF(AH194="Check Data ⚠","Check Data ⚠",IFERROR(VLOOKUP(AH194,'G-4 Temporal multipliers'!$A$4:$C$36,3,FALSE),""))</f>
        <v/>
      </c>
      <c r="AJ194" s="275" t="str">
        <f>IF(S194="","",VLOOKUP(S194,'G-3 Multipliers'!$A$2:$E$134,4,FALSE))</f>
        <v/>
      </c>
      <c r="AK194" s="283" t="str">
        <f t="shared" si="29"/>
        <v/>
      </c>
      <c r="AL194" s="283" t="str">
        <f t="shared" si="30"/>
        <v/>
      </c>
      <c r="AM194" s="314" t="str">
        <f>IFERROR(IF(F194="","",IF(AH194="Check Data ⚠","Check Data ⚠",VLOOKUP(AL194,'G-3 Multipliers'!$P$2:$Q$6,2,FALSE))),"")</f>
        <v/>
      </c>
      <c r="AN194" s="289" t="str">
        <f t="shared" si="31"/>
        <v/>
      </c>
      <c r="AO194" s="52"/>
      <c r="AP194" s="51"/>
      <c r="AQ194" s="104"/>
      <c r="AT194" s="35" t="str">
        <f t="shared" si="32"/>
        <v>No</v>
      </c>
      <c r="AU194" s="35" t="str">
        <f>IF(E194="","",IF(ISNA(VLOOKUP($E194,'A-1 On-Site Habitat Baseline'!$D$1:$AV$258,4,FALSE)),"",(VLOOKUP($E194,'A-1 On-Site Habitat Baseline'!$D$1:$AV$258,4,FALSE))))</f>
        <v/>
      </c>
    </row>
    <row r="195" spans="1:47" ht="14">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05" t="str">
        <f>'A-1 On-Site Habitat Baseline'!AL194</f>
        <v/>
      </c>
      <c r="F195" s="295" t="str">
        <f>IF(E195="","",IF(ISNA(VLOOKUP($E195,'A-1 On-Site Habitat Baseline'!$D$1:$AV$258,45,FALSE)),"",(VLOOKUP($E195,'A-1 On-Site Habitat Baseline'!$D$1:$AV$258,45,FALSE))))</f>
        <v/>
      </c>
      <c r="G195" s="295" t="str">
        <f>IF(E195="","",IF(ISNA(VLOOKUP($E195,'A-1 On-Site Habitat Baseline'!$D$1:$O$258,5,FALSE)),"",(VLOOKUP($E195,'A-1 On-Site Habitat Baseline'!$D$1:$O$258,5,FALSE))))</f>
        <v/>
      </c>
      <c r="H195" s="295" t="str">
        <f>IF(E195="","",IF(ISNA(VLOOKUP($E195,'A-1 On-Site Habitat Baseline'!$D$1:$O$258,6,FALSE)),"",(VLOOKUP($E195,'A-1 On-Site Habitat Baseline'!$D$1:$O$258,6,FALSE))))</f>
        <v/>
      </c>
      <c r="I195" s="295" t="str">
        <f>IF(E195="","",IF(ISNA(VLOOKUP($E195,'A-1 On-Site Habitat Baseline'!$D$1:$O$258,7,FALSE)),"",(VLOOKUP($E195,'A-1 On-Site Habitat Baseline'!$D$1:$O$258,7,FALSE))))</f>
        <v/>
      </c>
      <c r="J195" s="295" t="str">
        <f>IF(E195="","",IF(ISNA(VLOOKUP($E195,'A-1 On-Site Habitat Baseline'!$D$1:$O$258,8,FALSE)),"",(VLOOKUP($E195,'A-1 On-Site Habitat Baseline'!$D$1:$O$258,8,FALSE))))</f>
        <v/>
      </c>
      <c r="K195" s="295" t="str">
        <f>IF(E195="","",IF(ISNA(VLOOKUP($E195,'A-1 On-Site Habitat Baseline'!$D$1:$O$258,9,FALSE)),"",(VLOOKUP($E195,'A-1 On-Site Habitat Baseline'!$D$1:$O$258,9,FALSE))))</f>
        <v/>
      </c>
      <c r="L195" s="295" t="str">
        <f>IF(E195="","",IF(ISNA(VLOOKUP($E195,'A-1 On-Site Habitat Baseline'!$D$1:$O$258,11,FALSE)),"",(VLOOKUP($E195,'A-1 On-Site Habitat Baseline'!$D$1:$O$258,11,FALSE))))</f>
        <v/>
      </c>
      <c r="M195" s="295" t="str">
        <f>IF(E195="","",IF(ISNA(VLOOKUP($E195,'A-1 On-Site Habitat Baseline'!$D$1:$O$258,12,FALSE)),"",(VLOOKUP($E195,'A-1 On-Site Habitat Baseline'!$D$1:$O$258,12,FALSE))))</f>
        <v/>
      </c>
      <c r="N195" s="306" t="str">
        <f>IF(E195="","",IF(ISNA(VLOOKUP($E195,'A-1 On-Site Habitat Baseline'!$D$1:$X$258,14,FALSE)),"",(VLOOKUP($E195,'A-1 On-Site Habitat Baseline'!$D$1:$X$258,14,FALSE))))</f>
        <v/>
      </c>
      <c r="O195" s="299" t="str">
        <f>IF(E195="","",IF(ISNA(VLOOKUP($E195,'A-1 On-Site Habitat Baseline'!$D$1:$X$258,16,FALSE)),"",(VLOOKUP($E195,'A-1 On-Site Habitat Baseline'!$D$1:$X$258,13,FALSE))))</f>
        <v/>
      </c>
      <c r="P195" s="154" t="str">
        <f>IFERROR(INDEX('G-1 All Habitats'!$AG$49:$AG$63,MATCH(Q195,'G-1 All Habitats'!$AF$27:$AF$41,0)),"")</f>
        <v/>
      </c>
      <c r="Q195" s="155" t="str">
        <f t="shared" si="24"/>
        <v/>
      </c>
      <c r="R195" s="155"/>
      <c r="S195" s="237" t="str">
        <f>IFERROR(INDEX('G-1 All Habitats'!$B$3:$B$135,MATCH(R195,'G-1 All Habitats'!$A$3:$A$135,0)),"")</f>
        <v/>
      </c>
      <c r="T195" s="275" t="str">
        <f t="shared" si="25"/>
        <v/>
      </c>
      <c r="U195" s="276" t="str">
        <f t="shared" si="26"/>
        <v/>
      </c>
      <c r="V195" s="311" t="str">
        <f t="shared" si="22"/>
        <v/>
      </c>
      <c r="W195" s="295" t="str">
        <f>IF(S195="","",VLOOKUP(S195,'G-1 All Habitats'!$B$2:$M$135,10,FALSE))</f>
        <v/>
      </c>
      <c r="X195" s="295" t="str">
        <f>IFERROR(VLOOKUP(W195,'G-1 All Habitats'!$V$3:$W$7,2,FALSE),"")</f>
        <v/>
      </c>
      <c r="Y195" s="57"/>
      <c r="Z195" s="299" t="str">
        <f>IFERROR(INDEX('G-8 Condition Look up'!$A$3:$H$135,MATCH(S195,'G-8 Condition Look up'!$A$3:$A$135,0),MATCH(Y195,'G-8 Condition Look up'!$A$3:$H$3,0)),"")</f>
        <v/>
      </c>
      <c r="AA195" s="52"/>
      <c r="AB195" s="295" t="str">
        <f>IF(AA195="","",IF(VLOOKUP(AA195,'G-3 Multipliers'!$L$3:$N$6,2,FALSE)=0,"Spatial Data Missing ⚠",VLOOKUP(AA195,'G-3 Multipliers'!$L$3:$N$6,2,FALSE)))</f>
        <v/>
      </c>
      <c r="AC195" s="299" t="str">
        <f>IF(AA195="","",IF(VLOOKUP(AA195,'G-3 Multipliers'!$L$3:$N$6,3,FALSE)=0,"Spatial Data Missing ⚠",VLOOKUP(AA195,'G-3 Multipliers'!$L$3:$N$6,3,FALSE)))</f>
        <v/>
      </c>
      <c r="AD195" s="313" t="str">
        <f t="shared" si="23"/>
        <v/>
      </c>
      <c r="AE195" s="58"/>
      <c r="AF195" s="58"/>
      <c r="AG195" s="283" t="str">
        <f t="shared" si="27"/>
        <v/>
      </c>
      <c r="AH195" s="296" t="str">
        <f t="shared" si="28"/>
        <v/>
      </c>
      <c r="AI195" s="297" t="str">
        <f>IF(AH195="Check Data ⚠","Check Data ⚠",IFERROR(VLOOKUP(AH195,'G-4 Temporal multipliers'!$A$4:$C$36,3,FALSE),""))</f>
        <v/>
      </c>
      <c r="AJ195" s="275" t="str">
        <f>IF(S195="","",VLOOKUP(S195,'G-3 Multipliers'!$A$2:$E$134,4,FALSE))</f>
        <v/>
      </c>
      <c r="AK195" s="283" t="str">
        <f t="shared" si="29"/>
        <v/>
      </c>
      <c r="AL195" s="283" t="str">
        <f t="shared" si="30"/>
        <v/>
      </c>
      <c r="AM195" s="314" t="str">
        <f>IFERROR(IF(F195="","",IF(AH195="Check Data ⚠","Check Data ⚠",VLOOKUP(AL195,'G-3 Multipliers'!$P$2:$Q$6,2,FALSE))),"")</f>
        <v/>
      </c>
      <c r="AN195" s="289" t="str">
        <f t="shared" si="31"/>
        <v/>
      </c>
      <c r="AO195" s="52"/>
      <c r="AP195" s="51"/>
      <c r="AQ195" s="104"/>
      <c r="AT195" s="35" t="str">
        <f t="shared" si="32"/>
        <v>No</v>
      </c>
      <c r="AU195" s="35" t="str">
        <f>IF(E195="","",IF(ISNA(VLOOKUP($E195,'A-1 On-Site Habitat Baseline'!$D$1:$AV$258,4,FALSE)),"",(VLOOKUP($E195,'A-1 On-Site Habitat Baseline'!$D$1:$AV$258,4,FALSE))))</f>
        <v/>
      </c>
    </row>
    <row r="196" spans="1:47" ht="14">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05" t="str">
        <f>'A-1 On-Site Habitat Baseline'!AL195</f>
        <v/>
      </c>
      <c r="F196" s="295" t="str">
        <f>IF(E196="","",IF(ISNA(VLOOKUP($E196,'A-1 On-Site Habitat Baseline'!$D$1:$AV$258,45,FALSE)),"",(VLOOKUP($E196,'A-1 On-Site Habitat Baseline'!$D$1:$AV$258,45,FALSE))))</f>
        <v/>
      </c>
      <c r="G196" s="295" t="str">
        <f>IF(E196="","",IF(ISNA(VLOOKUP($E196,'A-1 On-Site Habitat Baseline'!$D$1:$O$258,5,FALSE)),"",(VLOOKUP($E196,'A-1 On-Site Habitat Baseline'!$D$1:$O$258,5,FALSE))))</f>
        <v/>
      </c>
      <c r="H196" s="295" t="str">
        <f>IF(E196="","",IF(ISNA(VLOOKUP($E196,'A-1 On-Site Habitat Baseline'!$D$1:$O$258,6,FALSE)),"",(VLOOKUP($E196,'A-1 On-Site Habitat Baseline'!$D$1:$O$258,6,FALSE))))</f>
        <v/>
      </c>
      <c r="I196" s="295" t="str">
        <f>IF(E196="","",IF(ISNA(VLOOKUP($E196,'A-1 On-Site Habitat Baseline'!$D$1:$O$258,7,FALSE)),"",(VLOOKUP($E196,'A-1 On-Site Habitat Baseline'!$D$1:$O$258,7,FALSE))))</f>
        <v/>
      </c>
      <c r="J196" s="295" t="str">
        <f>IF(E196="","",IF(ISNA(VLOOKUP($E196,'A-1 On-Site Habitat Baseline'!$D$1:$O$258,8,FALSE)),"",(VLOOKUP($E196,'A-1 On-Site Habitat Baseline'!$D$1:$O$258,8,FALSE))))</f>
        <v/>
      </c>
      <c r="K196" s="295" t="str">
        <f>IF(E196="","",IF(ISNA(VLOOKUP($E196,'A-1 On-Site Habitat Baseline'!$D$1:$O$258,9,FALSE)),"",(VLOOKUP($E196,'A-1 On-Site Habitat Baseline'!$D$1:$O$258,9,FALSE))))</f>
        <v/>
      </c>
      <c r="L196" s="295" t="str">
        <f>IF(E196="","",IF(ISNA(VLOOKUP($E196,'A-1 On-Site Habitat Baseline'!$D$1:$O$258,11,FALSE)),"",(VLOOKUP($E196,'A-1 On-Site Habitat Baseline'!$D$1:$O$258,11,FALSE))))</f>
        <v/>
      </c>
      <c r="M196" s="295" t="str">
        <f>IF(E196="","",IF(ISNA(VLOOKUP($E196,'A-1 On-Site Habitat Baseline'!$D$1:$O$258,12,FALSE)),"",(VLOOKUP($E196,'A-1 On-Site Habitat Baseline'!$D$1:$O$258,12,FALSE))))</f>
        <v/>
      </c>
      <c r="N196" s="306" t="str">
        <f>IF(E196="","",IF(ISNA(VLOOKUP($E196,'A-1 On-Site Habitat Baseline'!$D$1:$X$258,14,FALSE)),"",(VLOOKUP($E196,'A-1 On-Site Habitat Baseline'!$D$1:$X$258,14,FALSE))))</f>
        <v/>
      </c>
      <c r="O196" s="299" t="str">
        <f>IF(E196="","",IF(ISNA(VLOOKUP($E196,'A-1 On-Site Habitat Baseline'!$D$1:$X$258,16,FALSE)),"",(VLOOKUP($E196,'A-1 On-Site Habitat Baseline'!$D$1:$X$258,13,FALSE))))</f>
        <v/>
      </c>
      <c r="P196" s="154" t="str">
        <f>IFERROR(INDEX('G-1 All Habitats'!$AG$49:$AG$63,MATCH(Q196,'G-1 All Habitats'!$AF$27:$AF$41,0)),"")</f>
        <v/>
      </c>
      <c r="Q196" s="155" t="str">
        <f t="shared" si="24"/>
        <v/>
      </c>
      <c r="R196" s="155"/>
      <c r="S196" s="237" t="str">
        <f>IFERROR(INDEX('G-1 All Habitats'!$B$3:$B$135,MATCH(R196,'G-1 All Habitats'!$A$3:$A$135,0)),"")</f>
        <v/>
      </c>
      <c r="T196" s="275" t="str">
        <f t="shared" si="25"/>
        <v/>
      </c>
      <c r="U196" s="276" t="str">
        <f t="shared" si="26"/>
        <v/>
      </c>
      <c r="V196" s="311" t="str">
        <f t="shared" si="22"/>
        <v/>
      </c>
      <c r="W196" s="295" t="str">
        <f>IF(S196="","",VLOOKUP(S196,'G-1 All Habitats'!$B$2:$M$135,10,FALSE))</f>
        <v/>
      </c>
      <c r="X196" s="295" t="str">
        <f>IFERROR(VLOOKUP(W196,'G-1 All Habitats'!$V$3:$W$7,2,FALSE),"")</f>
        <v/>
      </c>
      <c r="Y196" s="57"/>
      <c r="Z196" s="299" t="str">
        <f>IFERROR(INDEX('G-8 Condition Look up'!$A$3:$H$135,MATCH(S196,'G-8 Condition Look up'!$A$3:$A$135,0),MATCH(Y196,'G-8 Condition Look up'!$A$3:$H$3,0)),"")</f>
        <v/>
      </c>
      <c r="AA196" s="52"/>
      <c r="AB196" s="295" t="str">
        <f>IF(AA196="","",IF(VLOOKUP(AA196,'G-3 Multipliers'!$L$3:$N$6,2,FALSE)=0,"Spatial Data Missing ⚠",VLOOKUP(AA196,'G-3 Multipliers'!$L$3:$N$6,2,FALSE)))</f>
        <v/>
      </c>
      <c r="AC196" s="299" t="str">
        <f>IF(AA196="","",IF(VLOOKUP(AA196,'G-3 Multipliers'!$L$3:$N$6,3,FALSE)=0,"Spatial Data Missing ⚠",VLOOKUP(AA196,'G-3 Multipliers'!$L$3:$N$6,3,FALSE)))</f>
        <v/>
      </c>
      <c r="AD196" s="313" t="str">
        <f t="shared" si="23"/>
        <v/>
      </c>
      <c r="AE196" s="58"/>
      <c r="AF196" s="58"/>
      <c r="AG196" s="283" t="str">
        <f t="shared" si="27"/>
        <v/>
      </c>
      <c r="AH196" s="296" t="str">
        <f t="shared" si="28"/>
        <v/>
      </c>
      <c r="AI196" s="297" t="str">
        <f>IF(AH196="Check Data ⚠","Check Data ⚠",IFERROR(VLOOKUP(AH196,'G-4 Temporal multipliers'!$A$4:$C$36,3,FALSE),""))</f>
        <v/>
      </c>
      <c r="AJ196" s="275" t="str">
        <f>IF(S196="","",VLOOKUP(S196,'G-3 Multipliers'!$A$2:$E$134,4,FALSE))</f>
        <v/>
      </c>
      <c r="AK196" s="283" t="str">
        <f t="shared" si="29"/>
        <v/>
      </c>
      <c r="AL196" s="283" t="str">
        <f t="shared" si="30"/>
        <v/>
      </c>
      <c r="AM196" s="314" t="str">
        <f>IFERROR(IF(F196="","",IF(AH196="Check Data ⚠","Check Data ⚠",VLOOKUP(AL196,'G-3 Multipliers'!$P$2:$Q$6,2,FALSE))),"")</f>
        <v/>
      </c>
      <c r="AN196" s="289" t="str">
        <f t="shared" si="31"/>
        <v/>
      </c>
      <c r="AO196" s="52"/>
      <c r="AP196" s="51"/>
      <c r="AQ196" s="104"/>
      <c r="AT196" s="35" t="str">
        <f t="shared" si="32"/>
        <v>No</v>
      </c>
      <c r="AU196" s="35" t="str">
        <f>IF(E196="","",IF(ISNA(VLOOKUP($E196,'A-1 On-Site Habitat Baseline'!$D$1:$AV$258,4,FALSE)),"",(VLOOKUP($E196,'A-1 On-Site Habitat Baseline'!$D$1:$AV$258,4,FALSE))))</f>
        <v/>
      </c>
    </row>
    <row r="197" spans="1:47" ht="14">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05" t="str">
        <f>'A-1 On-Site Habitat Baseline'!AL196</f>
        <v/>
      </c>
      <c r="F197" s="295" t="str">
        <f>IF(E197="","",IF(ISNA(VLOOKUP($E197,'A-1 On-Site Habitat Baseline'!$D$1:$AV$258,45,FALSE)),"",(VLOOKUP($E197,'A-1 On-Site Habitat Baseline'!$D$1:$AV$258,45,FALSE))))</f>
        <v/>
      </c>
      <c r="G197" s="295" t="str">
        <f>IF(E197="","",IF(ISNA(VLOOKUP($E197,'A-1 On-Site Habitat Baseline'!$D$1:$O$258,5,FALSE)),"",(VLOOKUP($E197,'A-1 On-Site Habitat Baseline'!$D$1:$O$258,5,FALSE))))</f>
        <v/>
      </c>
      <c r="H197" s="295" t="str">
        <f>IF(E197="","",IF(ISNA(VLOOKUP($E197,'A-1 On-Site Habitat Baseline'!$D$1:$O$258,6,FALSE)),"",(VLOOKUP($E197,'A-1 On-Site Habitat Baseline'!$D$1:$O$258,6,FALSE))))</f>
        <v/>
      </c>
      <c r="I197" s="295" t="str">
        <f>IF(E197="","",IF(ISNA(VLOOKUP($E197,'A-1 On-Site Habitat Baseline'!$D$1:$O$258,7,FALSE)),"",(VLOOKUP($E197,'A-1 On-Site Habitat Baseline'!$D$1:$O$258,7,FALSE))))</f>
        <v/>
      </c>
      <c r="J197" s="295" t="str">
        <f>IF(E197="","",IF(ISNA(VLOOKUP($E197,'A-1 On-Site Habitat Baseline'!$D$1:$O$258,8,FALSE)),"",(VLOOKUP($E197,'A-1 On-Site Habitat Baseline'!$D$1:$O$258,8,FALSE))))</f>
        <v/>
      </c>
      <c r="K197" s="295" t="str">
        <f>IF(E197="","",IF(ISNA(VLOOKUP($E197,'A-1 On-Site Habitat Baseline'!$D$1:$O$258,9,FALSE)),"",(VLOOKUP($E197,'A-1 On-Site Habitat Baseline'!$D$1:$O$258,9,FALSE))))</f>
        <v/>
      </c>
      <c r="L197" s="295" t="str">
        <f>IF(E197="","",IF(ISNA(VLOOKUP($E197,'A-1 On-Site Habitat Baseline'!$D$1:$O$258,11,FALSE)),"",(VLOOKUP($E197,'A-1 On-Site Habitat Baseline'!$D$1:$O$258,11,FALSE))))</f>
        <v/>
      </c>
      <c r="M197" s="295" t="str">
        <f>IF(E197="","",IF(ISNA(VLOOKUP($E197,'A-1 On-Site Habitat Baseline'!$D$1:$O$258,12,FALSE)),"",(VLOOKUP($E197,'A-1 On-Site Habitat Baseline'!$D$1:$O$258,12,FALSE))))</f>
        <v/>
      </c>
      <c r="N197" s="306" t="str">
        <f>IF(E197="","",IF(ISNA(VLOOKUP($E197,'A-1 On-Site Habitat Baseline'!$D$1:$X$258,14,FALSE)),"",(VLOOKUP($E197,'A-1 On-Site Habitat Baseline'!$D$1:$X$258,14,FALSE))))</f>
        <v/>
      </c>
      <c r="O197" s="299" t="str">
        <f>IF(E197="","",IF(ISNA(VLOOKUP($E197,'A-1 On-Site Habitat Baseline'!$D$1:$X$258,16,FALSE)),"",(VLOOKUP($E197,'A-1 On-Site Habitat Baseline'!$D$1:$X$258,13,FALSE))))</f>
        <v/>
      </c>
      <c r="P197" s="154" t="str">
        <f>IFERROR(INDEX('G-1 All Habitats'!$AG$49:$AG$63,MATCH(Q197,'G-1 All Habitats'!$AF$27:$AF$41,0)),"")</f>
        <v/>
      </c>
      <c r="Q197" s="155" t="str">
        <f t="shared" si="24"/>
        <v/>
      </c>
      <c r="R197" s="155"/>
      <c r="S197" s="237" t="str">
        <f>IFERROR(INDEX('G-1 All Habitats'!$B$3:$B$135,MATCH(R197,'G-1 All Habitats'!$A$3:$A$135,0)),"")</f>
        <v/>
      </c>
      <c r="T197" s="275" t="str">
        <f t="shared" si="25"/>
        <v/>
      </c>
      <c r="U197" s="276" t="str">
        <f t="shared" si="26"/>
        <v/>
      </c>
      <c r="V197" s="311" t="str">
        <f t="shared" si="22"/>
        <v/>
      </c>
      <c r="W197" s="295" t="str">
        <f>IF(S197="","",VLOOKUP(S197,'G-1 All Habitats'!$B$2:$M$135,10,FALSE))</f>
        <v/>
      </c>
      <c r="X197" s="295" t="str">
        <f>IFERROR(VLOOKUP(W197,'G-1 All Habitats'!$V$3:$W$7,2,FALSE),"")</f>
        <v/>
      </c>
      <c r="Y197" s="57"/>
      <c r="Z197" s="299" t="str">
        <f>IFERROR(INDEX('G-8 Condition Look up'!$A$3:$H$135,MATCH(S197,'G-8 Condition Look up'!$A$3:$A$135,0),MATCH(Y197,'G-8 Condition Look up'!$A$3:$H$3,0)),"")</f>
        <v/>
      </c>
      <c r="AA197" s="52"/>
      <c r="AB197" s="295" t="str">
        <f>IF(AA197="","",IF(VLOOKUP(AA197,'G-3 Multipliers'!$L$3:$N$6,2,FALSE)=0,"Spatial Data Missing ⚠",VLOOKUP(AA197,'G-3 Multipliers'!$L$3:$N$6,2,FALSE)))</f>
        <v/>
      </c>
      <c r="AC197" s="299" t="str">
        <f>IF(AA197="","",IF(VLOOKUP(AA197,'G-3 Multipliers'!$L$3:$N$6,3,FALSE)=0,"Spatial Data Missing ⚠",VLOOKUP(AA197,'G-3 Multipliers'!$L$3:$N$6,3,FALSE)))</f>
        <v/>
      </c>
      <c r="AD197" s="313" t="str">
        <f t="shared" si="23"/>
        <v/>
      </c>
      <c r="AE197" s="58"/>
      <c r="AF197" s="58"/>
      <c r="AG197" s="283" t="str">
        <f t="shared" si="27"/>
        <v/>
      </c>
      <c r="AH197" s="296" t="str">
        <f t="shared" si="28"/>
        <v/>
      </c>
      <c r="AI197" s="297" t="str">
        <f>IF(AH197="Check Data ⚠","Check Data ⚠",IFERROR(VLOOKUP(AH197,'G-4 Temporal multipliers'!$A$4:$C$36,3,FALSE),""))</f>
        <v/>
      </c>
      <c r="AJ197" s="275" t="str">
        <f>IF(S197="","",VLOOKUP(S197,'G-3 Multipliers'!$A$2:$E$134,4,FALSE))</f>
        <v/>
      </c>
      <c r="AK197" s="283" t="str">
        <f t="shared" si="29"/>
        <v/>
      </c>
      <c r="AL197" s="283" t="str">
        <f t="shared" si="30"/>
        <v/>
      </c>
      <c r="AM197" s="314" t="str">
        <f>IFERROR(IF(F197="","",IF(AH197="Check Data ⚠","Check Data ⚠",VLOOKUP(AL197,'G-3 Multipliers'!$P$2:$Q$6,2,FALSE))),"")</f>
        <v/>
      </c>
      <c r="AN197" s="289" t="str">
        <f t="shared" si="31"/>
        <v/>
      </c>
      <c r="AO197" s="52"/>
      <c r="AP197" s="51"/>
      <c r="AQ197" s="104"/>
      <c r="AT197" s="35" t="str">
        <f t="shared" si="32"/>
        <v>No</v>
      </c>
      <c r="AU197" s="35" t="str">
        <f>IF(E197="","",IF(ISNA(VLOOKUP($E197,'A-1 On-Site Habitat Baseline'!$D$1:$AV$258,4,FALSE)),"",(VLOOKUP($E197,'A-1 On-Site Habitat Baseline'!$D$1:$AV$258,4,FALSE))))</f>
        <v/>
      </c>
    </row>
    <row r="198" spans="1:47" ht="14">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05" t="str">
        <f>'A-1 On-Site Habitat Baseline'!AL197</f>
        <v/>
      </c>
      <c r="F198" s="295" t="str">
        <f>IF(E198="","",IF(ISNA(VLOOKUP($E198,'A-1 On-Site Habitat Baseline'!$D$1:$AV$258,45,FALSE)),"",(VLOOKUP($E198,'A-1 On-Site Habitat Baseline'!$D$1:$AV$258,45,FALSE))))</f>
        <v/>
      </c>
      <c r="G198" s="295" t="str">
        <f>IF(E198="","",IF(ISNA(VLOOKUP($E198,'A-1 On-Site Habitat Baseline'!$D$1:$O$258,5,FALSE)),"",(VLOOKUP($E198,'A-1 On-Site Habitat Baseline'!$D$1:$O$258,5,FALSE))))</f>
        <v/>
      </c>
      <c r="H198" s="295" t="str">
        <f>IF(E198="","",IF(ISNA(VLOOKUP($E198,'A-1 On-Site Habitat Baseline'!$D$1:$O$258,6,FALSE)),"",(VLOOKUP($E198,'A-1 On-Site Habitat Baseline'!$D$1:$O$258,6,FALSE))))</f>
        <v/>
      </c>
      <c r="I198" s="295" t="str">
        <f>IF(E198="","",IF(ISNA(VLOOKUP($E198,'A-1 On-Site Habitat Baseline'!$D$1:$O$258,7,FALSE)),"",(VLOOKUP($E198,'A-1 On-Site Habitat Baseline'!$D$1:$O$258,7,FALSE))))</f>
        <v/>
      </c>
      <c r="J198" s="295" t="str">
        <f>IF(E198="","",IF(ISNA(VLOOKUP($E198,'A-1 On-Site Habitat Baseline'!$D$1:$O$258,8,FALSE)),"",(VLOOKUP($E198,'A-1 On-Site Habitat Baseline'!$D$1:$O$258,8,FALSE))))</f>
        <v/>
      </c>
      <c r="K198" s="295" t="str">
        <f>IF(E198="","",IF(ISNA(VLOOKUP($E198,'A-1 On-Site Habitat Baseline'!$D$1:$O$258,9,FALSE)),"",(VLOOKUP($E198,'A-1 On-Site Habitat Baseline'!$D$1:$O$258,9,FALSE))))</f>
        <v/>
      </c>
      <c r="L198" s="295" t="str">
        <f>IF(E198="","",IF(ISNA(VLOOKUP($E198,'A-1 On-Site Habitat Baseline'!$D$1:$O$258,11,FALSE)),"",(VLOOKUP($E198,'A-1 On-Site Habitat Baseline'!$D$1:$O$258,11,FALSE))))</f>
        <v/>
      </c>
      <c r="M198" s="295" t="str">
        <f>IF(E198="","",IF(ISNA(VLOOKUP($E198,'A-1 On-Site Habitat Baseline'!$D$1:$O$258,12,FALSE)),"",(VLOOKUP($E198,'A-1 On-Site Habitat Baseline'!$D$1:$O$258,12,FALSE))))</f>
        <v/>
      </c>
      <c r="N198" s="306" t="str">
        <f>IF(E198="","",IF(ISNA(VLOOKUP($E198,'A-1 On-Site Habitat Baseline'!$D$1:$X$258,14,FALSE)),"",(VLOOKUP($E198,'A-1 On-Site Habitat Baseline'!$D$1:$X$258,14,FALSE))))</f>
        <v/>
      </c>
      <c r="O198" s="299" t="str">
        <f>IF(E198="","",IF(ISNA(VLOOKUP($E198,'A-1 On-Site Habitat Baseline'!$D$1:$X$258,16,FALSE)),"",(VLOOKUP($E198,'A-1 On-Site Habitat Baseline'!$D$1:$X$258,13,FALSE))))</f>
        <v/>
      </c>
      <c r="P198" s="154" t="str">
        <f>IFERROR(INDEX('G-1 All Habitats'!$AG$49:$AG$63,MATCH(Q198,'G-1 All Habitats'!$AF$27:$AF$41,0)),"")</f>
        <v/>
      </c>
      <c r="Q198" s="155" t="str">
        <f t="shared" si="24"/>
        <v/>
      </c>
      <c r="R198" s="155"/>
      <c r="S198" s="237" t="str">
        <f>IFERROR(INDEX('G-1 All Habitats'!$B$3:$B$135,MATCH(R198,'G-1 All Habitats'!$A$3:$A$135,0)),"")</f>
        <v/>
      </c>
      <c r="T198" s="275" t="str">
        <f t="shared" si="25"/>
        <v/>
      </c>
      <c r="U198" s="276" t="str">
        <f t="shared" si="26"/>
        <v/>
      </c>
      <c r="V198" s="311" t="str">
        <f t="shared" si="22"/>
        <v/>
      </c>
      <c r="W198" s="295" t="str">
        <f>IF(S198="","",VLOOKUP(S198,'G-1 All Habitats'!$B$2:$M$135,10,FALSE))</f>
        <v/>
      </c>
      <c r="X198" s="295" t="str">
        <f>IFERROR(VLOOKUP(W198,'G-1 All Habitats'!$V$3:$W$7,2,FALSE),"")</f>
        <v/>
      </c>
      <c r="Y198" s="57"/>
      <c r="Z198" s="299" t="str">
        <f>IFERROR(INDEX('G-8 Condition Look up'!$A$3:$H$135,MATCH(S198,'G-8 Condition Look up'!$A$3:$A$135,0),MATCH(Y198,'G-8 Condition Look up'!$A$3:$H$3,0)),"")</f>
        <v/>
      </c>
      <c r="AA198" s="52"/>
      <c r="AB198" s="295" t="str">
        <f>IF(AA198="","",IF(VLOOKUP(AA198,'G-3 Multipliers'!$L$3:$N$6,2,FALSE)=0,"Spatial Data Missing ⚠",VLOOKUP(AA198,'G-3 Multipliers'!$L$3:$N$6,2,FALSE)))</f>
        <v/>
      </c>
      <c r="AC198" s="299" t="str">
        <f>IF(AA198="","",IF(VLOOKUP(AA198,'G-3 Multipliers'!$L$3:$N$6,3,FALSE)=0,"Spatial Data Missing ⚠",VLOOKUP(AA198,'G-3 Multipliers'!$L$3:$N$6,3,FALSE)))</f>
        <v/>
      </c>
      <c r="AD198" s="313" t="str">
        <f t="shared" si="23"/>
        <v/>
      </c>
      <c r="AE198" s="58"/>
      <c r="AF198" s="58"/>
      <c r="AG198" s="283" t="str">
        <f t="shared" si="27"/>
        <v/>
      </c>
      <c r="AH198" s="296" t="str">
        <f t="shared" si="28"/>
        <v/>
      </c>
      <c r="AI198" s="297" t="str">
        <f>IF(AH198="Check Data ⚠","Check Data ⚠",IFERROR(VLOOKUP(AH198,'G-4 Temporal multipliers'!$A$4:$C$36,3,FALSE),""))</f>
        <v/>
      </c>
      <c r="AJ198" s="275" t="str">
        <f>IF(S198="","",VLOOKUP(S198,'G-3 Multipliers'!$A$2:$E$134,4,FALSE))</f>
        <v/>
      </c>
      <c r="AK198" s="283" t="str">
        <f t="shared" si="29"/>
        <v/>
      </c>
      <c r="AL198" s="283" t="str">
        <f t="shared" si="30"/>
        <v/>
      </c>
      <c r="AM198" s="314" t="str">
        <f>IFERROR(IF(F198="","",IF(AH198="Check Data ⚠","Check Data ⚠",VLOOKUP(AL198,'G-3 Multipliers'!$P$2:$Q$6,2,FALSE))),"")</f>
        <v/>
      </c>
      <c r="AN198" s="289" t="str">
        <f t="shared" si="31"/>
        <v/>
      </c>
      <c r="AO198" s="52"/>
      <c r="AP198" s="51"/>
      <c r="AQ198" s="104"/>
      <c r="AT198" s="35" t="str">
        <f t="shared" si="32"/>
        <v>No</v>
      </c>
      <c r="AU198" s="35" t="str">
        <f>IF(E198="","",IF(ISNA(VLOOKUP($E198,'A-1 On-Site Habitat Baseline'!$D$1:$AV$258,4,FALSE)),"",(VLOOKUP($E198,'A-1 On-Site Habitat Baseline'!$D$1:$AV$258,4,FALSE))))</f>
        <v/>
      </c>
    </row>
    <row r="199" spans="1:47" ht="14">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05" t="str">
        <f>'A-1 On-Site Habitat Baseline'!AL198</f>
        <v/>
      </c>
      <c r="F199" s="295" t="str">
        <f>IF(E199="","",IF(ISNA(VLOOKUP($E199,'A-1 On-Site Habitat Baseline'!$D$1:$AV$258,45,FALSE)),"",(VLOOKUP($E199,'A-1 On-Site Habitat Baseline'!$D$1:$AV$258,45,FALSE))))</f>
        <v/>
      </c>
      <c r="G199" s="295" t="str">
        <f>IF(E199="","",IF(ISNA(VLOOKUP($E199,'A-1 On-Site Habitat Baseline'!$D$1:$O$258,5,FALSE)),"",(VLOOKUP($E199,'A-1 On-Site Habitat Baseline'!$D$1:$O$258,5,FALSE))))</f>
        <v/>
      </c>
      <c r="H199" s="295" t="str">
        <f>IF(E199="","",IF(ISNA(VLOOKUP($E199,'A-1 On-Site Habitat Baseline'!$D$1:$O$258,6,FALSE)),"",(VLOOKUP($E199,'A-1 On-Site Habitat Baseline'!$D$1:$O$258,6,FALSE))))</f>
        <v/>
      </c>
      <c r="I199" s="295" t="str">
        <f>IF(E199="","",IF(ISNA(VLOOKUP($E199,'A-1 On-Site Habitat Baseline'!$D$1:$O$258,7,FALSE)),"",(VLOOKUP($E199,'A-1 On-Site Habitat Baseline'!$D$1:$O$258,7,FALSE))))</f>
        <v/>
      </c>
      <c r="J199" s="295" t="str">
        <f>IF(E199="","",IF(ISNA(VLOOKUP($E199,'A-1 On-Site Habitat Baseline'!$D$1:$O$258,8,FALSE)),"",(VLOOKUP($E199,'A-1 On-Site Habitat Baseline'!$D$1:$O$258,8,FALSE))))</f>
        <v/>
      </c>
      <c r="K199" s="295" t="str">
        <f>IF(E199="","",IF(ISNA(VLOOKUP($E199,'A-1 On-Site Habitat Baseline'!$D$1:$O$258,9,FALSE)),"",(VLOOKUP($E199,'A-1 On-Site Habitat Baseline'!$D$1:$O$258,9,FALSE))))</f>
        <v/>
      </c>
      <c r="L199" s="295" t="str">
        <f>IF(E199="","",IF(ISNA(VLOOKUP($E199,'A-1 On-Site Habitat Baseline'!$D$1:$O$258,11,FALSE)),"",(VLOOKUP($E199,'A-1 On-Site Habitat Baseline'!$D$1:$O$258,11,FALSE))))</f>
        <v/>
      </c>
      <c r="M199" s="295" t="str">
        <f>IF(E199="","",IF(ISNA(VLOOKUP($E199,'A-1 On-Site Habitat Baseline'!$D$1:$O$258,12,FALSE)),"",(VLOOKUP($E199,'A-1 On-Site Habitat Baseline'!$D$1:$O$258,12,FALSE))))</f>
        <v/>
      </c>
      <c r="N199" s="306" t="str">
        <f>IF(E199="","",IF(ISNA(VLOOKUP($E199,'A-1 On-Site Habitat Baseline'!$D$1:$X$258,14,FALSE)),"",(VLOOKUP($E199,'A-1 On-Site Habitat Baseline'!$D$1:$X$258,14,FALSE))))</f>
        <v/>
      </c>
      <c r="O199" s="299" t="str">
        <f>IF(E199="","",IF(ISNA(VLOOKUP($E199,'A-1 On-Site Habitat Baseline'!$D$1:$X$258,16,FALSE)),"",(VLOOKUP($E199,'A-1 On-Site Habitat Baseline'!$D$1:$X$258,13,FALSE))))</f>
        <v/>
      </c>
      <c r="P199" s="154" t="str">
        <f>IFERROR(INDEX('G-1 All Habitats'!$AG$49:$AG$63,MATCH(Q199,'G-1 All Habitats'!$AF$27:$AF$41,0)),"")</f>
        <v/>
      </c>
      <c r="Q199" s="155" t="str">
        <f t="shared" si="24"/>
        <v/>
      </c>
      <c r="R199" s="155"/>
      <c r="S199" s="237" t="str">
        <f>IFERROR(INDEX('G-1 All Habitats'!$B$3:$B$135,MATCH(R199,'G-1 All Habitats'!$A$3:$A$135,0)),"")</f>
        <v/>
      </c>
      <c r="T199" s="275" t="str">
        <f t="shared" si="25"/>
        <v/>
      </c>
      <c r="U199" s="276" t="str">
        <f t="shared" si="26"/>
        <v/>
      </c>
      <c r="V199" s="311" t="str">
        <f t="shared" si="22"/>
        <v/>
      </c>
      <c r="W199" s="295" t="str">
        <f>IF(S199="","",VLOOKUP(S199,'G-1 All Habitats'!$B$2:$M$135,10,FALSE))</f>
        <v/>
      </c>
      <c r="X199" s="295" t="str">
        <f>IFERROR(VLOOKUP(W199,'G-1 All Habitats'!$V$3:$W$7,2,FALSE),"")</f>
        <v/>
      </c>
      <c r="Y199" s="57"/>
      <c r="Z199" s="299" t="str">
        <f>IFERROR(INDEX('G-8 Condition Look up'!$A$3:$H$135,MATCH(S199,'G-8 Condition Look up'!$A$3:$A$135,0),MATCH(Y199,'G-8 Condition Look up'!$A$3:$H$3,0)),"")</f>
        <v/>
      </c>
      <c r="AA199" s="52"/>
      <c r="AB199" s="295" t="str">
        <f>IF(AA199="","",IF(VLOOKUP(AA199,'G-3 Multipliers'!$L$3:$N$6,2,FALSE)=0,"Spatial Data Missing ⚠",VLOOKUP(AA199,'G-3 Multipliers'!$L$3:$N$6,2,FALSE)))</f>
        <v/>
      </c>
      <c r="AC199" s="299" t="str">
        <f>IF(AA199="","",IF(VLOOKUP(AA199,'G-3 Multipliers'!$L$3:$N$6,3,FALSE)=0,"Spatial Data Missing ⚠",VLOOKUP(AA199,'G-3 Multipliers'!$L$3:$N$6,3,FALSE)))</f>
        <v/>
      </c>
      <c r="AD199" s="313" t="str">
        <f t="shared" si="23"/>
        <v/>
      </c>
      <c r="AE199" s="58"/>
      <c r="AF199" s="58"/>
      <c r="AG199" s="283" t="str">
        <f t="shared" si="27"/>
        <v/>
      </c>
      <c r="AH199" s="296" t="str">
        <f t="shared" si="28"/>
        <v/>
      </c>
      <c r="AI199" s="297" t="str">
        <f>IF(AH199="Check Data ⚠","Check Data ⚠",IFERROR(VLOOKUP(AH199,'G-4 Temporal multipliers'!$A$4:$C$36,3,FALSE),""))</f>
        <v/>
      </c>
      <c r="AJ199" s="275" t="str">
        <f>IF(S199="","",VLOOKUP(S199,'G-3 Multipliers'!$A$2:$E$134,4,FALSE))</f>
        <v/>
      </c>
      <c r="AK199" s="283" t="str">
        <f t="shared" si="29"/>
        <v/>
      </c>
      <c r="AL199" s="283" t="str">
        <f t="shared" si="30"/>
        <v/>
      </c>
      <c r="AM199" s="314" t="str">
        <f>IFERROR(IF(F199="","",IF(AH199="Check Data ⚠","Check Data ⚠",VLOOKUP(AL199,'G-3 Multipliers'!$P$2:$Q$6,2,FALSE))),"")</f>
        <v/>
      </c>
      <c r="AN199" s="289" t="str">
        <f t="shared" si="31"/>
        <v/>
      </c>
      <c r="AO199" s="52"/>
      <c r="AP199" s="51"/>
      <c r="AQ199" s="104"/>
      <c r="AT199" s="35" t="str">
        <f t="shared" si="32"/>
        <v>No</v>
      </c>
      <c r="AU199" s="35" t="str">
        <f>IF(E199="","",IF(ISNA(VLOOKUP($E199,'A-1 On-Site Habitat Baseline'!$D$1:$AV$258,4,FALSE)),"",(VLOOKUP($E199,'A-1 On-Site Habitat Baseline'!$D$1:$AV$258,4,FALSE))))</f>
        <v/>
      </c>
    </row>
    <row r="200" spans="1:47" ht="14">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05" t="str">
        <f>'A-1 On-Site Habitat Baseline'!AL199</f>
        <v/>
      </c>
      <c r="F200" s="295" t="str">
        <f>IF(E200="","",IF(ISNA(VLOOKUP($E200,'A-1 On-Site Habitat Baseline'!$D$1:$AV$258,45,FALSE)),"",(VLOOKUP($E200,'A-1 On-Site Habitat Baseline'!$D$1:$AV$258,45,FALSE))))</f>
        <v/>
      </c>
      <c r="G200" s="295" t="str">
        <f>IF(E200="","",IF(ISNA(VLOOKUP($E200,'A-1 On-Site Habitat Baseline'!$D$1:$O$258,5,FALSE)),"",(VLOOKUP($E200,'A-1 On-Site Habitat Baseline'!$D$1:$O$258,5,FALSE))))</f>
        <v/>
      </c>
      <c r="H200" s="295" t="str">
        <f>IF(E200="","",IF(ISNA(VLOOKUP($E200,'A-1 On-Site Habitat Baseline'!$D$1:$O$258,6,FALSE)),"",(VLOOKUP($E200,'A-1 On-Site Habitat Baseline'!$D$1:$O$258,6,FALSE))))</f>
        <v/>
      </c>
      <c r="I200" s="295" t="str">
        <f>IF(E200="","",IF(ISNA(VLOOKUP($E200,'A-1 On-Site Habitat Baseline'!$D$1:$O$258,7,FALSE)),"",(VLOOKUP($E200,'A-1 On-Site Habitat Baseline'!$D$1:$O$258,7,FALSE))))</f>
        <v/>
      </c>
      <c r="J200" s="295" t="str">
        <f>IF(E200="","",IF(ISNA(VLOOKUP($E200,'A-1 On-Site Habitat Baseline'!$D$1:$O$258,8,FALSE)),"",(VLOOKUP($E200,'A-1 On-Site Habitat Baseline'!$D$1:$O$258,8,FALSE))))</f>
        <v/>
      </c>
      <c r="K200" s="295" t="str">
        <f>IF(E200="","",IF(ISNA(VLOOKUP($E200,'A-1 On-Site Habitat Baseline'!$D$1:$O$258,9,FALSE)),"",(VLOOKUP($E200,'A-1 On-Site Habitat Baseline'!$D$1:$O$258,9,FALSE))))</f>
        <v/>
      </c>
      <c r="L200" s="295" t="str">
        <f>IF(E200="","",IF(ISNA(VLOOKUP($E200,'A-1 On-Site Habitat Baseline'!$D$1:$O$258,11,FALSE)),"",(VLOOKUP($E200,'A-1 On-Site Habitat Baseline'!$D$1:$O$258,11,FALSE))))</f>
        <v/>
      </c>
      <c r="M200" s="295" t="str">
        <f>IF(E200="","",IF(ISNA(VLOOKUP($E200,'A-1 On-Site Habitat Baseline'!$D$1:$O$258,12,FALSE)),"",(VLOOKUP($E200,'A-1 On-Site Habitat Baseline'!$D$1:$O$258,12,FALSE))))</f>
        <v/>
      </c>
      <c r="N200" s="306" t="str">
        <f>IF(E200="","",IF(ISNA(VLOOKUP($E200,'A-1 On-Site Habitat Baseline'!$D$1:$X$258,14,FALSE)),"",(VLOOKUP($E200,'A-1 On-Site Habitat Baseline'!$D$1:$X$258,14,FALSE))))</f>
        <v/>
      </c>
      <c r="O200" s="299" t="str">
        <f>IF(E200="","",IF(ISNA(VLOOKUP($E200,'A-1 On-Site Habitat Baseline'!$D$1:$X$258,16,FALSE)),"",(VLOOKUP($E200,'A-1 On-Site Habitat Baseline'!$D$1:$X$258,13,FALSE))))</f>
        <v/>
      </c>
      <c r="P200" s="154" t="str">
        <f>IFERROR(INDEX('G-1 All Habitats'!$AG$49:$AG$63,MATCH(Q200,'G-1 All Habitats'!$AF$27:$AF$41,0)),"")</f>
        <v/>
      </c>
      <c r="Q200" s="155" t="str">
        <f t="shared" si="24"/>
        <v/>
      </c>
      <c r="R200" s="155"/>
      <c r="S200" s="237" t="str">
        <f>IFERROR(INDEX('G-1 All Habitats'!$B$3:$B$135,MATCH(R200,'G-1 All Habitats'!$A$3:$A$135,0)),"")</f>
        <v/>
      </c>
      <c r="T200" s="275" t="str">
        <f t="shared" si="25"/>
        <v/>
      </c>
      <c r="U200" s="276" t="str">
        <f t="shared" si="26"/>
        <v/>
      </c>
      <c r="V200" s="311" t="str">
        <f t="shared" si="22"/>
        <v/>
      </c>
      <c r="W200" s="295" t="str">
        <f>IF(S200="","",VLOOKUP(S200,'G-1 All Habitats'!$B$2:$M$135,10,FALSE))</f>
        <v/>
      </c>
      <c r="X200" s="295" t="str">
        <f>IFERROR(VLOOKUP(W200,'G-1 All Habitats'!$V$3:$W$7,2,FALSE),"")</f>
        <v/>
      </c>
      <c r="Y200" s="57"/>
      <c r="Z200" s="299" t="str">
        <f>IFERROR(INDEX('G-8 Condition Look up'!$A$3:$H$135,MATCH(S200,'G-8 Condition Look up'!$A$3:$A$135,0),MATCH(Y200,'G-8 Condition Look up'!$A$3:$H$3,0)),"")</f>
        <v/>
      </c>
      <c r="AA200" s="52"/>
      <c r="AB200" s="295" t="str">
        <f>IF(AA200="","",IF(VLOOKUP(AA200,'G-3 Multipliers'!$L$3:$N$6,2,FALSE)=0,"Spatial Data Missing ⚠",VLOOKUP(AA200,'G-3 Multipliers'!$L$3:$N$6,2,FALSE)))</f>
        <v/>
      </c>
      <c r="AC200" s="299" t="str">
        <f>IF(AA200="","",IF(VLOOKUP(AA200,'G-3 Multipliers'!$L$3:$N$6,3,FALSE)=0,"Spatial Data Missing ⚠",VLOOKUP(AA200,'G-3 Multipliers'!$L$3:$N$6,3,FALSE)))</f>
        <v/>
      </c>
      <c r="AD200" s="313" t="str">
        <f t="shared" si="23"/>
        <v/>
      </c>
      <c r="AE200" s="58"/>
      <c r="AF200" s="58"/>
      <c r="AG200" s="283" t="str">
        <f t="shared" si="27"/>
        <v/>
      </c>
      <c r="AH200" s="296" t="str">
        <f t="shared" si="28"/>
        <v/>
      </c>
      <c r="AI200" s="297" t="str">
        <f>IF(AH200="Check Data ⚠","Check Data ⚠",IFERROR(VLOOKUP(AH200,'G-4 Temporal multipliers'!$A$4:$C$36,3,FALSE),""))</f>
        <v/>
      </c>
      <c r="AJ200" s="275" t="str">
        <f>IF(S200="","",VLOOKUP(S200,'G-3 Multipliers'!$A$2:$E$134,4,FALSE))</f>
        <v/>
      </c>
      <c r="AK200" s="283" t="str">
        <f t="shared" si="29"/>
        <v/>
      </c>
      <c r="AL200" s="283" t="str">
        <f t="shared" si="30"/>
        <v/>
      </c>
      <c r="AM200" s="314" t="str">
        <f>IFERROR(IF(F200="","",IF(AH200="Check Data ⚠","Check Data ⚠",VLOOKUP(AL200,'G-3 Multipliers'!$P$2:$Q$6,2,FALSE))),"")</f>
        <v/>
      </c>
      <c r="AN200" s="289" t="str">
        <f t="shared" si="31"/>
        <v/>
      </c>
      <c r="AO200" s="52"/>
      <c r="AP200" s="51"/>
      <c r="AQ200" s="104"/>
      <c r="AT200" s="35" t="str">
        <f t="shared" si="32"/>
        <v>No</v>
      </c>
      <c r="AU200" s="35" t="str">
        <f>IF(E200="","",IF(ISNA(VLOOKUP($E200,'A-1 On-Site Habitat Baseline'!$D$1:$AV$258,4,FALSE)),"",(VLOOKUP($E200,'A-1 On-Site Habitat Baseline'!$D$1:$AV$258,4,FALSE))))</f>
        <v/>
      </c>
    </row>
    <row r="201" spans="1:47" ht="14">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05" t="str">
        <f>'A-1 On-Site Habitat Baseline'!AL200</f>
        <v/>
      </c>
      <c r="F201" s="295" t="str">
        <f>IF(E201="","",IF(ISNA(VLOOKUP($E201,'A-1 On-Site Habitat Baseline'!$D$1:$AV$258,45,FALSE)),"",(VLOOKUP($E201,'A-1 On-Site Habitat Baseline'!$D$1:$AV$258,45,FALSE))))</f>
        <v/>
      </c>
      <c r="G201" s="295" t="str">
        <f>IF(E201="","",IF(ISNA(VLOOKUP($E201,'A-1 On-Site Habitat Baseline'!$D$1:$O$258,5,FALSE)),"",(VLOOKUP($E201,'A-1 On-Site Habitat Baseline'!$D$1:$O$258,5,FALSE))))</f>
        <v/>
      </c>
      <c r="H201" s="295" t="str">
        <f>IF(E201="","",IF(ISNA(VLOOKUP($E201,'A-1 On-Site Habitat Baseline'!$D$1:$O$258,6,FALSE)),"",(VLOOKUP($E201,'A-1 On-Site Habitat Baseline'!$D$1:$O$258,6,FALSE))))</f>
        <v/>
      </c>
      <c r="I201" s="295" t="str">
        <f>IF(E201="","",IF(ISNA(VLOOKUP($E201,'A-1 On-Site Habitat Baseline'!$D$1:$O$258,7,FALSE)),"",(VLOOKUP($E201,'A-1 On-Site Habitat Baseline'!$D$1:$O$258,7,FALSE))))</f>
        <v/>
      </c>
      <c r="J201" s="295" t="str">
        <f>IF(E201="","",IF(ISNA(VLOOKUP($E201,'A-1 On-Site Habitat Baseline'!$D$1:$O$258,8,FALSE)),"",(VLOOKUP($E201,'A-1 On-Site Habitat Baseline'!$D$1:$O$258,8,FALSE))))</f>
        <v/>
      </c>
      <c r="K201" s="295" t="str">
        <f>IF(E201="","",IF(ISNA(VLOOKUP($E201,'A-1 On-Site Habitat Baseline'!$D$1:$O$258,9,FALSE)),"",(VLOOKUP($E201,'A-1 On-Site Habitat Baseline'!$D$1:$O$258,9,FALSE))))</f>
        <v/>
      </c>
      <c r="L201" s="295" t="str">
        <f>IF(E201="","",IF(ISNA(VLOOKUP($E201,'A-1 On-Site Habitat Baseline'!$D$1:$O$258,11,FALSE)),"",(VLOOKUP($E201,'A-1 On-Site Habitat Baseline'!$D$1:$O$258,11,FALSE))))</f>
        <v/>
      </c>
      <c r="M201" s="295" t="str">
        <f>IF(E201="","",IF(ISNA(VLOOKUP($E201,'A-1 On-Site Habitat Baseline'!$D$1:$O$258,12,FALSE)),"",(VLOOKUP($E201,'A-1 On-Site Habitat Baseline'!$D$1:$O$258,12,FALSE))))</f>
        <v/>
      </c>
      <c r="N201" s="306" t="str">
        <f>IF(E201="","",IF(ISNA(VLOOKUP($E201,'A-1 On-Site Habitat Baseline'!$D$1:$X$258,14,FALSE)),"",(VLOOKUP($E201,'A-1 On-Site Habitat Baseline'!$D$1:$X$258,14,FALSE))))</f>
        <v/>
      </c>
      <c r="O201" s="299" t="str">
        <f>IF(E201="","",IF(ISNA(VLOOKUP($E201,'A-1 On-Site Habitat Baseline'!$D$1:$X$258,16,FALSE)),"",(VLOOKUP($E201,'A-1 On-Site Habitat Baseline'!$D$1:$X$258,13,FALSE))))</f>
        <v/>
      </c>
      <c r="P201" s="154" t="str">
        <f>IFERROR(INDEX('G-1 All Habitats'!$AG$49:$AG$63,MATCH(Q201,'G-1 All Habitats'!$AF$27:$AF$41,0)),"")</f>
        <v/>
      </c>
      <c r="Q201" s="155" t="str">
        <f t="shared" si="24"/>
        <v/>
      </c>
      <c r="R201" s="155"/>
      <c r="S201" s="237" t="str">
        <f>IFERROR(INDEX('G-1 All Habitats'!$B$3:$B$135,MATCH(R201,'G-1 All Habitats'!$A$3:$A$135,0)),"")</f>
        <v/>
      </c>
      <c r="T201" s="275" t="str">
        <f t="shared" si="25"/>
        <v/>
      </c>
      <c r="U201" s="276" t="str">
        <f t="shared" si="26"/>
        <v/>
      </c>
      <c r="V201" s="311" t="str">
        <f t="shared" si="22"/>
        <v/>
      </c>
      <c r="W201" s="295" t="str">
        <f>IF(S201="","",VLOOKUP(S201,'G-1 All Habitats'!$B$2:$M$135,10,FALSE))</f>
        <v/>
      </c>
      <c r="X201" s="295" t="str">
        <f>IFERROR(VLOOKUP(W201,'G-1 All Habitats'!$V$3:$W$7,2,FALSE),"")</f>
        <v/>
      </c>
      <c r="Y201" s="57"/>
      <c r="Z201" s="299" t="str">
        <f>IFERROR(INDEX('G-8 Condition Look up'!$A$3:$H$135,MATCH(S201,'G-8 Condition Look up'!$A$3:$A$135,0),MATCH(Y201,'G-8 Condition Look up'!$A$3:$H$3,0)),"")</f>
        <v/>
      </c>
      <c r="AA201" s="52"/>
      <c r="AB201" s="295" t="str">
        <f>IF(AA201="","",IF(VLOOKUP(AA201,'G-3 Multipliers'!$L$3:$N$6,2,FALSE)=0,"Spatial Data Missing ⚠",VLOOKUP(AA201,'G-3 Multipliers'!$L$3:$N$6,2,FALSE)))</f>
        <v/>
      </c>
      <c r="AC201" s="299" t="str">
        <f>IF(AA201="","",IF(VLOOKUP(AA201,'G-3 Multipliers'!$L$3:$N$6,3,FALSE)=0,"Spatial Data Missing ⚠",VLOOKUP(AA201,'G-3 Multipliers'!$L$3:$N$6,3,FALSE)))</f>
        <v/>
      </c>
      <c r="AD201" s="313" t="str">
        <f t="shared" si="23"/>
        <v/>
      </c>
      <c r="AE201" s="58"/>
      <c r="AF201" s="58"/>
      <c r="AG201" s="283" t="str">
        <f t="shared" si="27"/>
        <v/>
      </c>
      <c r="AH201" s="296" t="str">
        <f t="shared" si="28"/>
        <v/>
      </c>
      <c r="AI201" s="297" t="str">
        <f>IF(AH201="Check Data ⚠","Check Data ⚠",IFERROR(VLOOKUP(AH201,'G-4 Temporal multipliers'!$A$4:$C$36,3,FALSE),""))</f>
        <v/>
      </c>
      <c r="AJ201" s="275" t="str">
        <f>IF(S201="","",VLOOKUP(S201,'G-3 Multipliers'!$A$2:$E$134,4,FALSE))</f>
        <v/>
      </c>
      <c r="AK201" s="283" t="str">
        <f t="shared" si="29"/>
        <v/>
      </c>
      <c r="AL201" s="283" t="str">
        <f t="shared" si="30"/>
        <v/>
      </c>
      <c r="AM201" s="314" t="str">
        <f>IFERROR(IF(F201="","",IF(AH201="Check Data ⚠","Check Data ⚠",VLOOKUP(AL201,'G-3 Multipliers'!$P$2:$Q$6,2,FALSE))),"")</f>
        <v/>
      </c>
      <c r="AN201" s="289" t="str">
        <f t="shared" si="31"/>
        <v/>
      </c>
      <c r="AO201" s="52"/>
      <c r="AP201" s="51"/>
      <c r="AQ201" s="104"/>
      <c r="AT201" s="35" t="str">
        <f t="shared" si="32"/>
        <v>No</v>
      </c>
      <c r="AU201" s="35" t="str">
        <f>IF(E201="","",IF(ISNA(VLOOKUP($E201,'A-1 On-Site Habitat Baseline'!$D$1:$AV$258,4,FALSE)),"",(VLOOKUP($E201,'A-1 On-Site Habitat Baseline'!$D$1:$AV$258,4,FALSE))))</f>
        <v/>
      </c>
    </row>
    <row r="202" spans="1:47" ht="14">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05" t="str">
        <f>'A-1 On-Site Habitat Baseline'!AL201</f>
        <v/>
      </c>
      <c r="F202" s="295" t="str">
        <f>IF(E202="","",IF(ISNA(VLOOKUP($E202,'A-1 On-Site Habitat Baseline'!$D$1:$AV$258,45,FALSE)),"",(VLOOKUP($E202,'A-1 On-Site Habitat Baseline'!$D$1:$AV$258,45,FALSE))))</f>
        <v/>
      </c>
      <c r="G202" s="295" t="str">
        <f>IF(E202="","",IF(ISNA(VLOOKUP($E202,'A-1 On-Site Habitat Baseline'!$D$1:$O$258,5,FALSE)),"",(VLOOKUP($E202,'A-1 On-Site Habitat Baseline'!$D$1:$O$258,5,FALSE))))</f>
        <v/>
      </c>
      <c r="H202" s="295" t="str">
        <f>IF(E202="","",IF(ISNA(VLOOKUP($E202,'A-1 On-Site Habitat Baseline'!$D$1:$O$258,6,FALSE)),"",(VLOOKUP($E202,'A-1 On-Site Habitat Baseline'!$D$1:$O$258,6,FALSE))))</f>
        <v/>
      </c>
      <c r="I202" s="295" t="str">
        <f>IF(E202="","",IF(ISNA(VLOOKUP($E202,'A-1 On-Site Habitat Baseline'!$D$1:$O$258,7,FALSE)),"",(VLOOKUP($E202,'A-1 On-Site Habitat Baseline'!$D$1:$O$258,7,FALSE))))</f>
        <v/>
      </c>
      <c r="J202" s="295" t="str">
        <f>IF(E202="","",IF(ISNA(VLOOKUP($E202,'A-1 On-Site Habitat Baseline'!$D$1:$O$258,8,FALSE)),"",(VLOOKUP($E202,'A-1 On-Site Habitat Baseline'!$D$1:$O$258,8,FALSE))))</f>
        <v/>
      </c>
      <c r="K202" s="295" t="str">
        <f>IF(E202="","",IF(ISNA(VLOOKUP($E202,'A-1 On-Site Habitat Baseline'!$D$1:$O$258,9,FALSE)),"",(VLOOKUP($E202,'A-1 On-Site Habitat Baseline'!$D$1:$O$258,9,FALSE))))</f>
        <v/>
      </c>
      <c r="L202" s="295" t="str">
        <f>IF(E202="","",IF(ISNA(VLOOKUP($E202,'A-1 On-Site Habitat Baseline'!$D$1:$O$258,11,FALSE)),"",(VLOOKUP($E202,'A-1 On-Site Habitat Baseline'!$D$1:$O$258,11,FALSE))))</f>
        <v/>
      </c>
      <c r="M202" s="295" t="str">
        <f>IF(E202="","",IF(ISNA(VLOOKUP($E202,'A-1 On-Site Habitat Baseline'!$D$1:$O$258,12,FALSE)),"",(VLOOKUP($E202,'A-1 On-Site Habitat Baseline'!$D$1:$O$258,12,FALSE))))</f>
        <v/>
      </c>
      <c r="N202" s="306" t="str">
        <f>IF(E202="","",IF(ISNA(VLOOKUP($E202,'A-1 On-Site Habitat Baseline'!$D$1:$X$258,14,FALSE)),"",(VLOOKUP($E202,'A-1 On-Site Habitat Baseline'!$D$1:$X$258,14,FALSE))))</f>
        <v/>
      </c>
      <c r="O202" s="299" t="str">
        <f>IF(E202="","",IF(ISNA(VLOOKUP($E202,'A-1 On-Site Habitat Baseline'!$D$1:$X$258,16,FALSE)),"",(VLOOKUP($E202,'A-1 On-Site Habitat Baseline'!$D$1:$X$258,13,FALSE))))</f>
        <v/>
      </c>
      <c r="P202" s="154" t="str">
        <f>IFERROR(INDEX('G-1 All Habitats'!$AG$49:$AG$63,MATCH(Q202,'G-1 All Habitats'!$AF$27:$AF$41,0)),"")</f>
        <v/>
      </c>
      <c r="Q202" s="155" t="str">
        <f t="shared" si="24"/>
        <v/>
      </c>
      <c r="R202" s="155"/>
      <c r="S202" s="237" t="str">
        <f>IFERROR(INDEX('G-1 All Habitats'!$B$3:$B$135,MATCH(R202,'G-1 All Habitats'!$A$3:$A$135,0)),"")</f>
        <v/>
      </c>
      <c r="T202" s="275" t="str">
        <f t="shared" si="25"/>
        <v/>
      </c>
      <c r="U202" s="276" t="str">
        <f t="shared" si="26"/>
        <v/>
      </c>
      <c r="V202" s="311" t="str">
        <f t="shared" si="22"/>
        <v/>
      </c>
      <c r="W202" s="295" t="str">
        <f>IF(S202="","",VLOOKUP(S202,'G-1 All Habitats'!$B$2:$M$135,10,FALSE))</f>
        <v/>
      </c>
      <c r="X202" s="295" t="str">
        <f>IFERROR(VLOOKUP(W202,'G-1 All Habitats'!$V$3:$W$7,2,FALSE),"")</f>
        <v/>
      </c>
      <c r="Y202" s="57"/>
      <c r="Z202" s="299" t="str">
        <f>IFERROR(INDEX('G-8 Condition Look up'!$A$3:$H$135,MATCH(S202,'G-8 Condition Look up'!$A$3:$A$135,0),MATCH(Y202,'G-8 Condition Look up'!$A$3:$H$3,0)),"")</f>
        <v/>
      </c>
      <c r="AA202" s="52"/>
      <c r="AB202" s="295" t="str">
        <f>IF(AA202="","",IF(VLOOKUP(AA202,'G-3 Multipliers'!$L$3:$N$6,2,FALSE)=0,"Spatial Data Missing ⚠",VLOOKUP(AA202,'G-3 Multipliers'!$L$3:$N$6,2,FALSE)))</f>
        <v/>
      </c>
      <c r="AC202" s="299" t="str">
        <f>IF(AA202="","",IF(VLOOKUP(AA202,'G-3 Multipliers'!$L$3:$N$6,3,FALSE)=0,"Spatial Data Missing ⚠",VLOOKUP(AA202,'G-3 Multipliers'!$L$3:$N$6,3,FALSE)))</f>
        <v/>
      </c>
      <c r="AD202" s="313" t="str">
        <f t="shared" si="23"/>
        <v/>
      </c>
      <c r="AE202" s="58"/>
      <c r="AF202" s="58"/>
      <c r="AG202" s="283" t="str">
        <f t="shared" si="27"/>
        <v/>
      </c>
      <c r="AH202" s="296" t="str">
        <f t="shared" si="28"/>
        <v/>
      </c>
      <c r="AI202" s="297" t="str">
        <f>IF(AH202="Check Data ⚠","Check Data ⚠",IFERROR(VLOOKUP(AH202,'G-4 Temporal multipliers'!$A$4:$C$36,3,FALSE),""))</f>
        <v/>
      </c>
      <c r="AJ202" s="275" t="str">
        <f>IF(S202="","",VLOOKUP(S202,'G-3 Multipliers'!$A$2:$E$134,4,FALSE))</f>
        <v/>
      </c>
      <c r="AK202" s="283" t="str">
        <f t="shared" si="29"/>
        <v/>
      </c>
      <c r="AL202" s="283" t="str">
        <f t="shared" si="30"/>
        <v/>
      </c>
      <c r="AM202" s="314" t="str">
        <f>IFERROR(IF(F202="","",IF(AH202="Check Data ⚠","Check Data ⚠",VLOOKUP(AL202,'G-3 Multipliers'!$P$2:$Q$6,2,FALSE))),"")</f>
        <v/>
      </c>
      <c r="AN202" s="289" t="str">
        <f t="shared" si="31"/>
        <v/>
      </c>
      <c r="AO202" s="52"/>
      <c r="AP202" s="51"/>
      <c r="AQ202" s="104"/>
      <c r="AT202" s="35" t="str">
        <f t="shared" si="32"/>
        <v>No</v>
      </c>
      <c r="AU202" s="35" t="str">
        <f>IF(E202="","",IF(ISNA(VLOOKUP($E202,'A-1 On-Site Habitat Baseline'!$D$1:$AV$258,4,FALSE)),"",(VLOOKUP($E202,'A-1 On-Site Habitat Baseline'!$D$1:$AV$258,4,FALSE))))</f>
        <v/>
      </c>
    </row>
    <row r="203" spans="1:47" ht="14">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05" t="str">
        <f>'A-1 On-Site Habitat Baseline'!AL202</f>
        <v/>
      </c>
      <c r="F203" s="295" t="str">
        <f>IF(E203="","",IF(ISNA(VLOOKUP($E203,'A-1 On-Site Habitat Baseline'!$D$1:$AV$258,45,FALSE)),"",(VLOOKUP($E203,'A-1 On-Site Habitat Baseline'!$D$1:$AV$258,45,FALSE))))</f>
        <v/>
      </c>
      <c r="G203" s="295" t="str">
        <f>IF(E203="","",IF(ISNA(VLOOKUP($E203,'A-1 On-Site Habitat Baseline'!$D$1:$O$258,5,FALSE)),"",(VLOOKUP($E203,'A-1 On-Site Habitat Baseline'!$D$1:$O$258,5,FALSE))))</f>
        <v/>
      </c>
      <c r="H203" s="295" t="str">
        <f>IF(E203="","",IF(ISNA(VLOOKUP($E203,'A-1 On-Site Habitat Baseline'!$D$1:$O$258,6,FALSE)),"",(VLOOKUP($E203,'A-1 On-Site Habitat Baseline'!$D$1:$O$258,6,FALSE))))</f>
        <v/>
      </c>
      <c r="I203" s="295" t="str">
        <f>IF(E203="","",IF(ISNA(VLOOKUP($E203,'A-1 On-Site Habitat Baseline'!$D$1:$O$258,7,FALSE)),"",(VLOOKUP($E203,'A-1 On-Site Habitat Baseline'!$D$1:$O$258,7,FALSE))))</f>
        <v/>
      </c>
      <c r="J203" s="295" t="str">
        <f>IF(E203="","",IF(ISNA(VLOOKUP($E203,'A-1 On-Site Habitat Baseline'!$D$1:$O$258,8,FALSE)),"",(VLOOKUP($E203,'A-1 On-Site Habitat Baseline'!$D$1:$O$258,8,FALSE))))</f>
        <v/>
      </c>
      <c r="K203" s="295" t="str">
        <f>IF(E203="","",IF(ISNA(VLOOKUP($E203,'A-1 On-Site Habitat Baseline'!$D$1:$O$258,9,FALSE)),"",(VLOOKUP($E203,'A-1 On-Site Habitat Baseline'!$D$1:$O$258,9,FALSE))))</f>
        <v/>
      </c>
      <c r="L203" s="295" t="str">
        <f>IF(E203="","",IF(ISNA(VLOOKUP($E203,'A-1 On-Site Habitat Baseline'!$D$1:$O$258,11,FALSE)),"",(VLOOKUP($E203,'A-1 On-Site Habitat Baseline'!$D$1:$O$258,11,FALSE))))</f>
        <v/>
      </c>
      <c r="M203" s="295" t="str">
        <f>IF(E203="","",IF(ISNA(VLOOKUP($E203,'A-1 On-Site Habitat Baseline'!$D$1:$O$258,12,FALSE)),"",(VLOOKUP($E203,'A-1 On-Site Habitat Baseline'!$D$1:$O$258,12,FALSE))))</f>
        <v/>
      </c>
      <c r="N203" s="306" t="str">
        <f>IF(E203="","",IF(ISNA(VLOOKUP($E203,'A-1 On-Site Habitat Baseline'!$D$1:$X$258,14,FALSE)),"",(VLOOKUP($E203,'A-1 On-Site Habitat Baseline'!$D$1:$X$258,14,FALSE))))</f>
        <v/>
      </c>
      <c r="O203" s="299" t="str">
        <f>IF(E203="","",IF(ISNA(VLOOKUP($E203,'A-1 On-Site Habitat Baseline'!$D$1:$X$258,16,FALSE)),"",(VLOOKUP($E203,'A-1 On-Site Habitat Baseline'!$D$1:$X$258,13,FALSE))))</f>
        <v/>
      </c>
      <c r="P203" s="154" t="str">
        <f>IFERROR(INDEX('G-1 All Habitats'!$AG$49:$AG$63,MATCH(Q203,'G-1 All Habitats'!$AF$27:$AF$41,0)),"")</f>
        <v/>
      </c>
      <c r="Q203" s="155" t="str">
        <f t="shared" si="24"/>
        <v/>
      </c>
      <c r="R203" s="155"/>
      <c r="S203" s="237" t="str">
        <f>IFERROR(INDEX('G-1 All Habitats'!$B$3:$B$135,MATCH(R203,'G-1 All Habitats'!$A$3:$A$135,0)),"")</f>
        <v/>
      </c>
      <c r="T203" s="275" t="str">
        <f t="shared" si="25"/>
        <v/>
      </c>
      <c r="U203" s="276" t="str">
        <f t="shared" si="26"/>
        <v/>
      </c>
      <c r="V203" s="311" t="str">
        <f t="shared" si="22"/>
        <v/>
      </c>
      <c r="W203" s="295" t="str">
        <f>IF(S203="","",VLOOKUP(S203,'G-1 All Habitats'!$B$2:$M$135,10,FALSE))</f>
        <v/>
      </c>
      <c r="X203" s="295" t="str">
        <f>IFERROR(VLOOKUP(W203,'G-1 All Habitats'!$V$3:$W$7,2,FALSE),"")</f>
        <v/>
      </c>
      <c r="Y203" s="57"/>
      <c r="Z203" s="299" t="str">
        <f>IFERROR(INDEX('G-8 Condition Look up'!$A$3:$H$135,MATCH(S203,'G-8 Condition Look up'!$A$3:$A$135,0),MATCH(Y203,'G-8 Condition Look up'!$A$3:$H$3,0)),"")</f>
        <v/>
      </c>
      <c r="AA203" s="52"/>
      <c r="AB203" s="295" t="str">
        <f>IF(AA203="","",IF(VLOOKUP(AA203,'G-3 Multipliers'!$L$3:$N$6,2,FALSE)=0,"Spatial Data Missing ⚠",VLOOKUP(AA203,'G-3 Multipliers'!$L$3:$N$6,2,FALSE)))</f>
        <v/>
      </c>
      <c r="AC203" s="299" t="str">
        <f>IF(AA203="","",IF(VLOOKUP(AA203,'G-3 Multipliers'!$L$3:$N$6,3,FALSE)=0,"Spatial Data Missing ⚠",VLOOKUP(AA203,'G-3 Multipliers'!$L$3:$N$6,3,FALSE)))</f>
        <v/>
      </c>
      <c r="AD203" s="313" t="str">
        <f t="shared" si="23"/>
        <v/>
      </c>
      <c r="AE203" s="58"/>
      <c r="AF203" s="58"/>
      <c r="AG203" s="283" t="str">
        <f t="shared" si="27"/>
        <v/>
      </c>
      <c r="AH203" s="296" t="str">
        <f t="shared" si="28"/>
        <v/>
      </c>
      <c r="AI203" s="297" t="str">
        <f>IF(AH203="Check Data ⚠","Check Data ⚠",IFERROR(VLOOKUP(AH203,'G-4 Temporal multipliers'!$A$4:$C$36,3,FALSE),""))</f>
        <v/>
      </c>
      <c r="AJ203" s="275" t="str">
        <f>IF(S203="","",VLOOKUP(S203,'G-3 Multipliers'!$A$2:$E$134,4,FALSE))</f>
        <v/>
      </c>
      <c r="AK203" s="283" t="str">
        <f t="shared" si="29"/>
        <v/>
      </c>
      <c r="AL203" s="283" t="str">
        <f t="shared" si="30"/>
        <v/>
      </c>
      <c r="AM203" s="314" t="str">
        <f>IFERROR(IF(F203="","",IF(AH203="Check Data ⚠","Check Data ⚠",VLOOKUP(AL203,'G-3 Multipliers'!$P$2:$Q$6,2,FALSE))),"")</f>
        <v/>
      </c>
      <c r="AN203" s="289" t="str">
        <f t="shared" si="31"/>
        <v/>
      </c>
      <c r="AO203" s="52"/>
      <c r="AP203" s="51"/>
      <c r="AQ203" s="104"/>
      <c r="AT203" s="35" t="str">
        <f t="shared" si="32"/>
        <v>No</v>
      </c>
      <c r="AU203" s="35" t="str">
        <f>IF(E203="","",IF(ISNA(VLOOKUP($E203,'A-1 On-Site Habitat Baseline'!$D$1:$AV$258,4,FALSE)),"",(VLOOKUP($E203,'A-1 On-Site Habitat Baseline'!$D$1:$AV$258,4,FALSE))))</f>
        <v/>
      </c>
    </row>
    <row r="204" spans="1:47" ht="14">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05" t="str">
        <f>'A-1 On-Site Habitat Baseline'!AL203</f>
        <v/>
      </c>
      <c r="F204" s="295" t="str">
        <f>IF(E204="","",IF(ISNA(VLOOKUP($E204,'A-1 On-Site Habitat Baseline'!$D$1:$AV$258,45,FALSE)),"",(VLOOKUP($E204,'A-1 On-Site Habitat Baseline'!$D$1:$AV$258,45,FALSE))))</f>
        <v/>
      </c>
      <c r="G204" s="295" t="str">
        <f>IF(E204="","",IF(ISNA(VLOOKUP($E204,'A-1 On-Site Habitat Baseline'!$D$1:$O$258,5,FALSE)),"",(VLOOKUP($E204,'A-1 On-Site Habitat Baseline'!$D$1:$O$258,5,FALSE))))</f>
        <v/>
      </c>
      <c r="H204" s="295" t="str">
        <f>IF(E204="","",IF(ISNA(VLOOKUP($E204,'A-1 On-Site Habitat Baseline'!$D$1:$O$258,6,FALSE)),"",(VLOOKUP($E204,'A-1 On-Site Habitat Baseline'!$D$1:$O$258,6,FALSE))))</f>
        <v/>
      </c>
      <c r="I204" s="295" t="str">
        <f>IF(E204="","",IF(ISNA(VLOOKUP($E204,'A-1 On-Site Habitat Baseline'!$D$1:$O$258,7,FALSE)),"",(VLOOKUP($E204,'A-1 On-Site Habitat Baseline'!$D$1:$O$258,7,FALSE))))</f>
        <v/>
      </c>
      <c r="J204" s="295" t="str">
        <f>IF(E204="","",IF(ISNA(VLOOKUP($E204,'A-1 On-Site Habitat Baseline'!$D$1:$O$258,8,FALSE)),"",(VLOOKUP($E204,'A-1 On-Site Habitat Baseline'!$D$1:$O$258,8,FALSE))))</f>
        <v/>
      </c>
      <c r="K204" s="295" t="str">
        <f>IF(E204="","",IF(ISNA(VLOOKUP($E204,'A-1 On-Site Habitat Baseline'!$D$1:$O$258,9,FALSE)),"",(VLOOKUP($E204,'A-1 On-Site Habitat Baseline'!$D$1:$O$258,9,FALSE))))</f>
        <v/>
      </c>
      <c r="L204" s="295" t="str">
        <f>IF(E204="","",IF(ISNA(VLOOKUP($E204,'A-1 On-Site Habitat Baseline'!$D$1:$O$258,11,FALSE)),"",(VLOOKUP($E204,'A-1 On-Site Habitat Baseline'!$D$1:$O$258,11,FALSE))))</f>
        <v/>
      </c>
      <c r="M204" s="295" t="str">
        <f>IF(E204="","",IF(ISNA(VLOOKUP($E204,'A-1 On-Site Habitat Baseline'!$D$1:$O$258,12,FALSE)),"",(VLOOKUP($E204,'A-1 On-Site Habitat Baseline'!$D$1:$O$258,12,FALSE))))</f>
        <v/>
      </c>
      <c r="N204" s="306" t="str">
        <f>IF(E204="","",IF(ISNA(VLOOKUP($E204,'A-1 On-Site Habitat Baseline'!$D$1:$X$258,14,FALSE)),"",(VLOOKUP($E204,'A-1 On-Site Habitat Baseline'!$D$1:$X$258,14,FALSE))))</f>
        <v/>
      </c>
      <c r="O204" s="299" t="str">
        <f>IF(E204="","",IF(ISNA(VLOOKUP($E204,'A-1 On-Site Habitat Baseline'!$D$1:$X$258,16,FALSE)),"",(VLOOKUP($E204,'A-1 On-Site Habitat Baseline'!$D$1:$X$258,13,FALSE))))</f>
        <v/>
      </c>
      <c r="P204" s="154" t="str">
        <f>IFERROR(INDEX('G-1 All Habitats'!$AG$49:$AG$63,MATCH(Q204,'G-1 All Habitats'!$AF$27:$AF$41,0)),"")</f>
        <v/>
      </c>
      <c r="Q204" s="155" t="str">
        <f t="shared" si="24"/>
        <v/>
      </c>
      <c r="R204" s="155"/>
      <c r="S204" s="237" t="str">
        <f>IFERROR(INDEX('G-1 All Habitats'!$B$3:$B$135,MATCH(R204,'G-1 All Habitats'!$A$3:$A$135,0)),"")</f>
        <v/>
      </c>
      <c r="T204" s="275" t="str">
        <f t="shared" si="25"/>
        <v/>
      </c>
      <c r="U204" s="276" t="str">
        <f t="shared" si="26"/>
        <v/>
      </c>
      <c r="V204" s="311" t="str">
        <f t="shared" si="33" ref="V204:V257">IF(S204="","",VLOOKUP(E204,BaselineHabSite,17,FALSE))</f>
        <v/>
      </c>
      <c r="W204" s="295" t="str">
        <f>IF(S204="","",VLOOKUP(S204,'G-1 All Habitats'!$B$2:$M$135,10,FALSE))</f>
        <v/>
      </c>
      <c r="X204" s="295" t="str">
        <f>IFERROR(VLOOKUP(W204,'G-1 All Habitats'!$V$3:$W$7,2,FALSE),"")</f>
        <v/>
      </c>
      <c r="Y204" s="57"/>
      <c r="Z204" s="299" t="str">
        <f>IFERROR(INDEX('G-8 Condition Look up'!$A$3:$H$135,MATCH(S204,'G-8 Condition Look up'!$A$3:$A$135,0),MATCH(Y204,'G-8 Condition Look up'!$A$3:$H$3,0)),"")</f>
        <v/>
      </c>
      <c r="AA204" s="52"/>
      <c r="AB204" s="295" t="str">
        <f>IF(AA204="","",IF(VLOOKUP(AA204,'G-3 Multipliers'!$L$3:$N$6,2,FALSE)=0,"Spatial Data Missing ⚠",VLOOKUP(AA204,'G-3 Multipliers'!$L$3:$N$6,2,FALSE)))</f>
        <v/>
      </c>
      <c r="AC204" s="299" t="str">
        <f>IF(AA204="","",IF(VLOOKUP(AA204,'G-3 Multipliers'!$L$3:$N$6,3,FALSE)=0,"Spatial Data Missing ⚠",VLOOKUP(AA204,'G-3 Multipliers'!$L$3:$N$6,3,FALSE)))</f>
        <v/>
      </c>
      <c r="AD204" s="313" t="str">
        <f t="shared" si="34" ref="AD204:AD257">IFERROR(IF(OR(LEFT(U204,5)="Error",LEFT(T204,5)="Error"),"Check Data ⚠",INDEX(EnhanceTemporal,MATCH(S204,EnhanceHabitat,0),MATCH(U204,EnhanceCondition,0))),"")</f>
        <v/>
      </c>
      <c r="AE204" s="58"/>
      <c r="AF204" s="58"/>
      <c r="AG204" s="283" t="str">
        <f t="shared" si="27"/>
        <v/>
      </c>
      <c r="AH204" s="296" t="str">
        <f t="shared" si="28"/>
        <v/>
      </c>
      <c r="AI204" s="297" t="str">
        <f>IF(AH204="Check Data ⚠","Check Data ⚠",IFERROR(VLOOKUP(AH204,'G-4 Temporal multipliers'!$A$4:$C$36,3,FALSE),""))</f>
        <v/>
      </c>
      <c r="AJ204" s="275" t="str">
        <f>IF(S204="","",VLOOKUP(S204,'G-3 Multipliers'!$A$2:$E$134,4,FALSE))</f>
        <v/>
      </c>
      <c r="AK204" s="283" t="str">
        <f t="shared" si="29"/>
        <v/>
      </c>
      <c r="AL204" s="283" t="str">
        <f t="shared" si="30"/>
        <v/>
      </c>
      <c r="AM204" s="314" t="str">
        <f>IFERROR(IF(F204="","",IF(AH204="Check Data ⚠","Check Data ⚠",VLOOKUP(AL204,'G-3 Multipliers'!$P$2:$Q$6,2,FALSE))),"")</f>
        <v/>
      </c>
      <c r="AN204" s="289" t="str">
        <f t="shared" si="31"/>
        <v/>
      </c>
      <c r="AO204" s="52"/>
      <c r="AP204" s="51"/>
      <c r="AQ204" s="104"/>
      <c r="AT204" s="35" t="str">
        <f t="shared" si="32"/>
        <v>No</v>
      </c>
      <c r="AU204" s="35" t="str">
        <f>IF(E204="","",IF(ISNA(VLOOKUP($E204,'A-1 On-Site Habitat Baseline'!$D$1:$AV$258,4,FALSE)),"",(VLOOKUP($E204,'A-1 On-Site Habitat Baseline'!$D$1:$AV$258,4,FALSE))))</f>
        <v/>
      </c>
    </row>
    <row r="205" spans="1:47" ht="14">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05" t="str">
        <f>'A-1 On-Site Habitat Baseline'!AL204</f>
        <v/>
      </c>
      <c r="F205" s="295" t="str">
        <f>IF(E205="","",IF(ISNA(VLOOKUP($E205,'A-1 On-Site Habitat Baseline'!$D$1:$AV$258,45,FALSE)),"",(VLOOKUP($E205,'A-1 On-Site Habitat Baseline'!$D$1:$AV$258,45,FALSE))))</f>
        <v/>
      </c>
      <c r="G205" s="295" t="str">
        <f>IF(E205="","",IF(ISNA(VLOOKUP($E205,'A-1 On-Site Habitat Baseline'!$D$1:$O$258,5,FALSE)),"",(VLOOKUP($E205,'A-1 On-Site Habitat Baseline'!$D$1:$O$258,5,FALSE))))</f>
        <v/>
      </c>
      <c r="H205" s="295" t="str">
        <f>IF(E205="","",IF(ISNA(VLOOKUP($E205,'A-1 On-Site Habitat Baseline'!$D$1:$O$258,6,FALSE)),"",(VLOOKUP($E205,'A-1 On-Site Habitat Baseline'!$D$1:$O$258,6,FALSE))))</f>
        <v/>
      </c>
      <c r="I205" s="295" t="str">
        <f>IF(E205="","",IF(ISNA(VLOOKUP($E205,'A-1 On-Site Habitat Baseline'!$D$1:$O$258,7,FALSE)),"",(VLOOKUP($E205,'A-1 On-Site Habitat Baseline'!$D$1:$O$258,7,FALSE))))</f>
        <v/>
      </c>
      <c r="J205" s="295" t="str">
        <f>IF(E205="","",IF(ISNA(VLOOKUP($E205,'A-1 On-Site Habitat Baseline'!$D$1:$O$258,8,FALSE)),"",(VLOOKUP($E205,'A-1 On-Site Habitat Baseline'!$D$1:$O$258,8,FALSE))))</f>
        <v/>
      </c>
      <c r="K205" s="295" t="str">
        <f>IF(E205="","",IF(ISNA(VLOOKUP($E205,'A-1 On-Site Habitat Baseline'!$D$1:$O$258,9,FALSE)),"",(VLOOKUP($E205,'A-1 On-Site Habitat Baseline'!$D$1:$O$258,9,FALSE))))</f>
        <v/>
      </c>
      <c r="L205" s="295" t="str">
        <f>IF(E205="","",IF(ISNA(VLOOKUP($E205,'A-1 On-Site Habitat Baseline'!$D$1:$O$258,11,FALSE)),"",(VLOOKUP($E205,'A-1 On-Site Habitat Baseline'!$D$1:$O$258,11,FALSE))))</f>
        <v/>
      </c>
      <c r="M205" s="295" t="str">
        <f>IF(E205="","",IF(ISNA(VLOOKUP($E205,'A-1 On-Site Habitat Baseline'!$D$1:$O$258,12,FALSE)),"",(VLOOKUP($E205,'A-1 On-Site Habitat Baseline'!$D$1:$O$258,12,FALSE))))</f>
        <v/>
      </c>
      <c r="N205" s="306" t="str">
        <f>IF(E205="","",IF(ISNA(VLOOKUP($E205,'A-1 On-Site Habitat Baseline'!$D$1:$X$258,14,FALSE)),"",(VLOOKUP($E205,'A-1 On-Site Habitat Baseline'!$D$1:$X$258,14,FALSE))))</f>
        <v/>
      </c>
      <c r="O205" s="299" t="str">
        <f>IF(E205="","",IF(ISNA(VLOOKUP($E205,'A-1 On-Site Habitat Baseline'!$D$1:$X$258,16,FALSE)),"",(VLOOKUP($E205,'A-1 On-Site Habitat Baseline'!$D$1:$X$258,13,FALSE))))</f>
        <v/>
      </c>
      <c r="P205" s="154" t="str">
        <f>IFERROR(INDEX('G-1 All Habitats'!$AG$49:$AG$63,MATCH(Q205,'G-1 All Habitats'!$AF$27:$AF$41,0)),"")</f>
        <v/>
      </c>
      <c r="Q205" s="155" t="str">
        <f t="shared" si="35" ref="Q205:Q257">A205</f>
        <v/>
      </c>
      <c r="R205" s="155"/>
      <c r="S205" s="237" t="str">
        <f>IFERROR(INDEX('G-1 All Habitats'!$B$3:$B$135,MATCH(R205,'G-1 All Habitats'!$A$3:$A$135,0)),"")</f>
        <v/>
      </c>
      <c r="T205" s="275" t="str">
        <f t="shared" si="36" ref="T205:T257">IF(E205="","",IF(AND(LEFT(O205,6)="Same d",I205&gt;X205),"Error - Trading rules not satisfied ▲",IF(AND(LEFT(O205,6)="Same b",AND(LEFT(F205,5)&lt;&gt;LEFT(S205,5),I205&gt;X205)),"Error - Trading rules not satisfied ▲",IF(AND(LEFT(O205,6)="Same h",F205&lt;&gt;S205),"Error - Trading rules not satisfied ▲",IF(AND(LEFT(O205,6)="Bespok",F205&lt;&gt;S205,LEFT(F205,27)&lt;&gt;"Woodland and forest - Other"),"Error - Trading rules not satisfied ▲",IF(X205&lt;I205,"Error Trading Down ▲",IF(AND(R205="Littoral seagrass",F205&lt;&gt;"Intertidal sediment - Littoral seagrass",F205&lt;&gt;"Intertidal sediment - Littoral sand"),"Error - Enhancement not possible ▲",IF(AND(R205="Artificial hard structures with integrated greening of grey infrastructure (IGGI)",F205&lt;&gt;"Intertidal hard structures - Artificial hard structures with integrated greening of grey infrastructure (IGGI)",F205&lt;&gt;"Intertidal hard structures - Artificial hard structures",F205&lt;&gt;"Intertidal hard structures - Artificial features of hard structures"),"Error - Enhancement not possible ▲",H205&amp;" - "&amp;W205))))))))</f>
        <v/>
      </c>
      <c r="U205" s="276" t="str">
        <f t="shared" si="37" ref="U205:U257">IF(F205="","",IF(OR(LEFT(F205,27)&lt;&gt;"Woodland and forest - Other",LEFT(S205,8)&lt;&gt;"Woodland"),IF(AND(S205&lt;&gt;F205,AU205="Yes"),"Error you cannot replace an irreplaceable habitat ▲",IF(AND(LEFT(F205,55)&lt;&gt;LEFT(S205,55),T205="High - High"),"Error - Not like for like ▲",IF(AND(I205=X205,K205&gt;Z205),"Error - Can not reduce condition ▲",IF(AND(I205=X205,K205=Z205),"Error - No enhancement ▲",IF(K205&gt;Z205,"Error - condition cannot be reduced ▲",IF(X205&lt;I205,"Error Trading Down ▲",IF(AND(F205&lt;&gt;S205,I205&lt;X205),"Lower Distinctiveness Habitat"&amp;" - "&amp;Y205,J205&amp;" - "&amp;Y205))))))),IF(AND(LEFT(F205,55)&lt;&gt;LEFT(S205,55),T205="High - High"),"Error - Not like for like ▲",IF(AND(I205=X205,K205&gt;Z205),"Error - Can not reduce condition ▲",IF(AND(I205=X205,K205=Z205),"Error - No enhancement ▲",IF(K205&gt;Z205,"Error - condition cannot be reduced ▲",IF(X205&lt;I205,"Error Trading Down ▲",IF(AND(F205&lt;&gt;S205,I205&lt;X205),"Lower Distinctiveness Habitat"&amp;" - "&amp;Y205,J205&amp;" - "&amp;Y205))))))))</f>
        <v/>
      </c>
      <c r="V205" s="311" t="str">
        <f t="shared" si="33"/>
        <v/>
      </c>
      <c r="W205" s="295" t="str">
        <f>IF(S205="","",VLOOKUP(S205,'G-1 All Habitats'!$B$2:$M$135,10,FALSE))</f>
        <v/>
      </c>
      <c r="X205" s="295" t="str">
        <f>IFERROR(VLOOKUP(W205,'G-1 All Habitats'!$V$3:$W$7,2,FALSE),"")</f>
        <v/>
      </c>
      <c r="Y205" s="57"/>
      <c r="Z205" s="299" t="str">
        <f>IFERROR(INDEX('G-8 Condition Look up'!$A$3:$H$135,MATCH(S205,'G-8 Condition Look up'!$A$3:$A$135,0),MATCH(Y205,'G-8 Condition Look up'!$A$3:$H$3,0)),"")</f>
        <v/>
      </c>
      <c r="AA205" s="52"/>
      <c r="AB205" s="295" t="str">
        <f>IF(AA205="","",IF(VLOOKUP(AA205,'G-3 Multipliers'!$L$3:$N$6,2,FALSE)=0,"Spatial Data Missing ⚠",VLOOKUP(AA205,'G-3 Multipliers'!$L$3:$N$6,2,FALSE)))</f>
        <v/>
      </c>
      <c r="AC205" s="299" t="str">
        <f>IF(AA205="","",IF(VLOOKUP(AA205,'G-3 Multipliers'!$L$3:$N$6,3,FALSE)=0,"Spatial Data Missing ⚠",VLOOKUP(AA205,'G-3 Multipliers'!$L$3:$N$6,3,FALSE)))</f>
        <v/>
      </c>
      <c r="AD205" s="313" t="str">
        <f t="shared" si="34"/>
        <v/>
      </c>
      <c r="AE205" s="58"/>
      <c r="AF205" s="58"/>
      <c r="AG205" s="283" t="str">
        <f t="shared" si="38" ref="AG205:AG257">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296" t="str">
        <f t="shared" si="39" ref="AH205:AH257">IF(AG205="Error -both advance and delayed habitat creation ▲","Check Data ⚠",IF(AG205="Check Data ⚠","Check Data ⚠",IF(AD205="","",IF(AD205="Not Possible ▲","Check Data ⚠",IF(AND(AD205="30+",AE205=0),"30+",IF(AND(AD205="30+",AE205="30+"),0,IF(AND(AD205="30+",AE205&lt;30),30-AE205,IF(AD205="30+",30-AE205,IF(AE205&gt;AD205,0,IF(AF205="30+","30+",IF(AD205+AF205&gt;30,"30+",IF(AD205+AF205&gt;30,"30+",IF(AD205-AE205&gt;30,"30+",IF(AD205+AF205-AE205&gt;0,AD205+AF205-AE205,IF(AD205-AE205&gt;0,AD205-AE205,AD205+AF205-AE205)))))))))))))))</f>
        <v/>
      </c>
      <c r="AI205" s="297" t="str">
        <f>IF(AH205="Check Data ⚠","Check Data ⚠",IFERROR(VLOOKUP(AH205,'G-4 Temporal multipliers'!$A$4:$C$36,3,FALSE),""))</f>
        <v/>
      </c>
      <c r="AJ205" s="275" t="str">
        <f>IF(S205="","",VLOOKUP(S205,'G-3 Multipliers'!$A$2:$E$134,4,FALSE))</f>
        <v/>
      </c>
      <c r="AK205" s="283" t="str">
        <f t="shared" si="40" ref="AK205:AK257">IF(E205="","",IF(AG205="Check details - Is there evidence that habitat has reached target condition? ⚠","Low Difficulty - only applicable if all habitat created before losses ⚠","Standard difficulty applied"))</f>
        <v/>
      </c>
      <c r="AL205" s="283" t="str">
        <f t="shared" si="41" ref="AL205:AL257">(IF(AND(AK205="Standard difficulty applied",AD205&gt;AE205),AJ205,IF(AND(AK205="Low Difficulty - only applicable if all habitat created before losses ⚠",AE205&gt;=AD205),"Low",AJ205)))</f>
        <v/>
      </c>
      <c r="AM205" s="314" t="str">
        <f>IFERROR(IF(F205="","",IF(AH205="Check Data ⚠","Check Data ⚠",VLOOKUP(AL205,'G-3 Multipliers'!$P$2:$Q$6,2,FALSE))),"")</f>
        <v/>
      </c>
      <c r="AN205" s="289" t="str">
        <f t="shared" si="42" ref="AN205:AN257">IFERROR(IF(N205="Error - you cannot enhance irreplaceable individual trees ▲","Error - you cannot enhance irreplaceable individual trees ▲",IF(K205&gt;Z205,((((V205*X205*Z205)-(V205*I205*Z205))*(AM205*AI205))+(V205*I205*Z205))*(AC205),((((V205*X205*Z205)-(V205*I205*K205))*(AM205*AI205))+(V205*I205*K205))*(AC205))),"")</f>
        <v/>
      </c>
      <c r="AO205" s="52"/>
      <c r="AP205" s="51"/>
      <c r="AQ205" s="104"/>
      <c r="AT205" s="35" t="str">
        <f t="shared" si="43" ref="AT205:AT257">IF(Q205&lt;&gt;A205,"Yes","No")</f>
        <v>No</v>
      </c>
      <c r="AU205" s="35" t="str">
        <f>IF(E205="","",IF(ISNA(VLOOKUP($E205,'A-1 On-Site Habitat Baseline'!$D$1:$AV$258,4,FALSE)),"",(VLOOKUP($E205,'A-1 On-Site Habitat Baseline'!$D$1:$AV$258,4,FALSE))))</f>
        <v/>
      </c>
    </row>
    <row r="206" spans="1:47" ht="14">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05" t="str">
        <f>'A-1 On-Site Habitat Baseline'!AL205</f>
        <v/>
      </c>
      <c r="F206" s="295" t="str">
        <f>IF(E206="","",IF(ISNA(VLOOKUP($E206,'A-1 On-Site Habitat Baseline'!$D$1:$AV$258,45,FALSE)),"",(VLOOKUP($E206,'A-1 On-Site Habitat Baseline'!$D$1:$AV$258,45,FALSE))))</f>
        <v/>
      </c>
      <c r="G206" s="295" t="str">
        <f>IF(E206="","",IF(ISNA(VLOOKUP($E206,'A-1 On-Site Habitat Baseline'!$D$1:$O$258,5,FALSE)),"",(VLOOKUP($E206,'A-1 On-Site Habitat Baseline'!$D$1:$O$258,5,FALSE))))</f>
        <v/>
      </c>
      <c r="H206" s="295" t="str">
        <f>IF(E206="","",IF(ISNA(VLOOKUP($E206,'A-1 On-Site Habitat Baseline'!$D$1:$O$258,6,FALSE)),"",(VLOOKUP($E206,'A-1 On-Site Habitat Baseline'!$D$1:$O$258,6,FALSE))))</f>
        <v/>
      </c>
      <c r="I206" s="295" t="str">
        <f>IF(E206="","",IF(ISNA(VLOOKUP($E206,'A-1 On-Site Habitat Baseline'!$D$1:$O$258,7,FALSE)),"",(VLOOKUP($E206,'A-1 On-Site Habitat Baseline'!$D$1:$O$258,7,FALSE))))</f>
        <v/>
      </c>
      <c r="J206" s="295" t="str">
        <f>IF(E206="","",IF(ISNA(VLOOKUP($E206,'A-1 On-Site Habitat Baseline'!$D$1:$O$258,8,FALSE)),"",(VLOOKUP($E206,'A-1 On-Site Habitat Baseline'!$D$1:$O$258,8,FALSE))))</f>
        <v/>
      </c>
      <c r="K206" s="295" t="str">
        <f>IF(E206="","",IF(ISNA(VLOOKUP($E206,'A-1 On-Site Habitat Baseline'!$D$1:$O$258,9,FALSE)),"",(VLOOKUP($E206,'A-1 On-Site Habitat Baseline'!$D$1:$O$258,9,FALSE))))</f>
        <v/>
      </c>
      <c r="L206" s="295" t="str">
        <f>IF(E206="","",IF(ISNA(VLOOKUP($E206,'A-1 On-Site Habitat Baseline'!$D$1:$O$258,11,FALSE)),"",(VLOOKUP($E206,'A-1 On-Site Habitat Baseline'!$D$1:$O$258,11,FALSE))))</f>
        <v/>
      </c>
      <c r="M206" s="295" t="str">
        <f>IF(E206="","",IF(ISNA(VLOOKUP($E206,'A-1 On-Site Habitat Baseline'!$D$1:$O$258,12,FALSE)),"",(VLOOKUP($E206,'A-1 On-Site Habitat Baseline'!$D$1:$O$258,12,FALSE))))</f>
        <v/>
      </c>
      <c r="N206" s="306" t="str">
        <f>IF(E206="","",IF(ISNA(VLOOKUP($E206,'A-1 On-Site Habitat Baseline'!$D$1:$X$258,14,FALSE)),"",(VLOOKUP($E206,'A-1 On-Site Habitat Baseline'!$D$1:$X$258,14,FALSE))))</f>
        <v/>
      </c>
      <c r="O206" s="299" t="str">
        <f>IF(E206="","",IF(ISNA(VLOOKUP($E206,'A-1 On-Site Habitat Baseline'!$D$1:$X$258,16,FALSE)),"",(VLOOKUP($E206,'A-1 On-Site Habitat Baseline'!$D$1:$X$258,13,FALSE))))</f>
        <v/>
      </c>
      <c r="P206" s="154" t="str">
        <f>IFERROR(INDEX('G-1 All Habitats'!$AG$49:$AG$63,MATCH(Q206,'G-1 All Habitats'!$AF$27:$AF$41,0)),"")</f>
        <v/>
      </c>
      <c r="Q206" s="155" t="str">
        <f t="shared" si="35"/>
        <v/>
      </c>
      <c r="R206" s="155"/>
      <c r="S206" s="237" t="str">
        <f>IFERROR(INDEX('G-1 All Habitats'!$B$3:$B$135,MATCH(R206,'G-1 All Habitats'!$A$3:$A$135,0)),"")</f>
        <v/>
      </c>
      <c r="T206" s="275" t="str">
        <f t="shared" si="36"/>
        <v/>
      </c>
      <c r="U206" s="276" t="str">
        <f t="shared" si="37"/>
        <v/>
      </c>
      <c r="V206" s="311" t="str">
        <f t="shared" si="33"/>
        <v/>
      </c>
      <c r="W206" s="295" t="str">
        <f>IF(S206="","",VLOOKUP(S206,'G-1 All Habitats'!$B$2:$M$135,10,FALSE))</f>
        <v/>
      </c>
      <c r="X206" s="295" t="str">
        <f>IFERROR(VLOOKUP(W206,'G-1 All Habitats'!$V$3:$W$7,2,FALSE),"")</f>
        <v/>
      </c>
      <c r="Y206" s="57"/>
      <c r="Z206" s="299" t="str">
        <f>IFERROR(INDEX('G-8 Condition Look up'!$A$3:$H$135,MATCH(S206,'G-8 Condition Look up'!$A$3:$A$135,0),MATCH(Y206,'G-8 Condition Look up'!$A$3:$H$3,0)),"")</f>
        <v/>
      </c>
      <c r="AA206" s="52"/>
      <c r="AB206" s="295" t="str">
        <f>IF(AA206="","",IF(VLOOKUP(AA206,'G-3 Multipliers'!$L$3:$N$6,2,FALSE)=0,"Spatial Data Missing ⚠",VLOOKUP(AA206,'G-3 Multipliers'!$L$3:$N$6,2,FALSE)))</f>
        <v/>
      </c>
      <c r="AC206" s="299" t="str">
        <f>IF(AA206="","",IF(VLOOKUP(AA206,'G-3 Multipliers'!$L$3:$N$6,3,FALSE)=0,"Spatial Data Missing ⚠",VLOOKUP(AA206,'G-3 Multipliers'!$L$3:$N$6,3,FALSE)))</f>
        <v/>
      </c>
      <c r="AD206" s="313" t="str">
        <f t="shared" si="34"/>
        <v/>
      </c>
      <c r="AE206" s="58"/>
      <c r="AF206" s="58"/>
      <c r="AG206" s="283" t="str">
        <f t="shared" si="38"/>
        <v/>
      </c>
      <c r="AH206" s="296" t="str">
        <f t="shared" si="39"/>
        <v/>
      </c>
      <c r="AI206" s="297" t="str">
        <f>IF(AH206="Check Data ⚠","Check Data ⚠",IFERROR(VLOOKUP(AH206,'G-4 Temporal multipliers'!$A$4:$C$36,3,FALSE),""))</f>
        <v/>
      </c>
      <c r="AJ206" s="275" t="str">
        <f>IF(S206="","",VLOOKUP(S206,'G-3 Multipliers'!$A$2:$E$134,4,FALSE))</f>
        <v/>
      </c>
      <c r="AK206" s="283" t="str">
        <f t="shared" si="40"/>
        <v/>
      </c>
      <c r="AL206" s="283" t="str">
        <f t="shared" si="41"/>
        <v/>
      </c>
      <c r="AM206" s="314" t="str">
        <f>IFERROR(IF(F206="","",IF(AH206="Check Data ⚠","Check Data ⚠",VLOOKUP(AL206,'G-3 Multipliers'!$P$2:$Q$6,2,FALSE))),"")</f>
        <v/>
      </c>
      <c r="AN206" s="289" t="str">
        <f t="shared" si="42"/>
        <v/>
      </c>
      <c r="AO206" s="52"/>
      <c r="AP206" s="51"/>
      <c r="AQ206" s="104"/>
      <c r="AT206" s="35" t="str">
        <f t="shared" si="43"/>
        <v>No</v>
      </c>
      <c r="AU206" s="35" t="str">
        <f>IF(E206="","",IF(ISNA(VLOOKUP($E206,'A-1 On-Site Habitat Baseline'!$D$1:$AV$258,4,FALSE)),"",(VLOOKUP($E206,'A-1 On-Site Habitat Baseline'!$D$1:$AV$258,4,FALSE))))</f>
        <v/>
      </c>
    </row>
    <row r="207" spans="1:47" ht="14">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05" t="str">
        <f>'A-1 On-Site Habitat Baseline'!AL206</f>
        <v/>
      </c>
      <c r="F207" s="295" t="str">
        <f>IF(E207="","",IF(ISNA(VLOOKUP($E207,'A-1 On-Site Habitat Baseline'!$D$1:$AV$258,45,FALSE)),"",(VLOOKUP($E207,'A-1 On-Site Habitat Baseline'!$D$1:$AV$258,45,FALSE))))</f>
        <v/>
      </c>
      <c r="G207" s="295" t="str">
        <f>IF(E207="","",IF(ISNA(VLOOKUP($E207,'A-1 On-Site Habitat Baseline'!$D$1:$O$258,5,FALSE)),"",(VLOOKUP($E207,'A-1 On-Site Habitat Baseline'!$D$1:$O$258,5,FALSE))))</f>
        <v/>
      </c>
      <c r="H207" s="295" t="str">
        <f>IF(E207="","",IF(ISNA(VLOOKUP($E207,'A-1 On-Site Habitat Baseline'!$D$1:$O$258,6,FALSE)),"",(VLOOKUP($E207,'A-1 On-Site Habitat Baseline'!$D$1:$O$258,6,FALSE))))</f>
        <v/>
      </c>
      <c r="I207" s="295" t="str">
        <f>IF(E207="","",IF(ISNA(VLOOKUP($E207,'A-1 On-Site Habitat Baseline'!$D$1:$O$258,7,FALSE)),"",(VLOOKUP($E207,'A-1 On-Site Habitat Baseline'!$D$1:$O$258,7,FALSE))))</f>
        <v/>
      </c>
      <c r="J207" s="295" t="str">
        <f>IF(E207="","",IF(ISNA(VLOOKUP($E207,'A-1 On-Site Habitat Baseline'!$D$1:$O$258,8,FALSE)),"",(VLOOKUP($E207,'A-1 On-Site Habitat Baseline'!$D$1:$O$258,8,FALSE))))</f>
        <v/>
      </c>
      <c r="K207" s="295" t="str">
        <f>IF(E207="","",IF(ISNA(VLOOKUP($E207,'A-1 On-Site Habitat Baseline'!$D$1:$O$258,9,FALSE)),"",(VLOOKUP($E207,'A-1 On-Site Habitat Baseline'!$D$1:$O$258,9,FALSE))))</f>
        <v/>
      </c>
      <c r="L207" s="295" t="str">
        <f>IF(E207="","",IF(ISNA(VLOOKUP($E207,'A-1 On-Site Habitat Baseline'!$D$1:$O$258,11,FALSE)),"",(VLOOKUP($E207,'A-1 On-Site Habitat Baseline'!$D$1:$O$258,11,FALSE))))</f>
        <v/>
      </c>
      <c r="M207" s="295" t="str">
        <f>IF(E207="","",IF(ISNA(VLOOKUP($E207,'A-1 On-Site Habitat Baseline'!$D$1:$O$258,12,FALSE)),"",(VLOOKUP($E207,'A-1 On-Site Habitat Baseline'!$D$1:$O$258,12,FALSE))))</f>
        <v/>
      </c>
      <c r="N207" s="306" t="str">
        <f>IF(E207="","",IF(ISNA(VLOOKUP($E207,'A-1 On-Site Habitat Baseline'!$D$1:$X$258,14,FALSE)),"",(VLOOKUP($E207,'A-1 On-Site Habitat Baseline'!$D$1:$X$258,14,FALSE))))</f>
        <v/>
      </c>
      <c r="O207" s="299" t="str">
        <f>IF(E207="","",IF(ISNA(VLOOKUP($E207,'A-1 On-Site Habitat Baseline'!$D$1:$X$258,16,FALSE)),"",(VLOOKUP($E207,'A-1 On-Site Habitat Baseline'!$D$1:$X$258,13,FALSE))))</f>
        <v/>
      </c>
      <c r="P207" s="154" t="str">
        <f>IFERROR(INDEX('G-1 All Habitats'!$AG$49:$AG$63,MATCH(Q207,'G-1 All Habitats'!$AF$27:$AF$41,0)),"")</f>
        <v/>
      </c>
      <c r="Q207" s="155" t="str">
        <f t="shared" si="35"/>
        <v/>
      </c>
      <c r="R207" s="155"/>
      <c r="S207" s="237" t="str">
        <f>IFERROR(INDEX('G-1 All Habitats'!$B$3:$B$135,MATCH(R207,'G-1 All Habitats'!$A$3:$A$135,0)),"")</f>
        <v/>
      </c>
      <c r="T207" s="275" t="str">
        <f t="shared" si="36"/>
        <v/>
      </c>
      <c r="U207" s="276" t="str">
        <f t="shared" si="37"/>
        <v/>
      </c>
      <c r="V207" s="311" t="str">
        <f t="shared" si="33"/>
        <v/>
      </c>
      <c r="W207" s="295" t="str">
        <f>IF(S207="","",VLOOKUP(S207,'G-1 All Habitats'!$B$2:$M$135,10,FALSE))</f>
        <v/>
      </c>
      <c r="X207" s="295" t="str">
        <f>IFERROR(VLOOKUP(W207,'G-1 All Habitats'!$V$3:$W$7,2,FALSE),"")</f>
        <v/>
      </c>
      <c r="Y207" s="57"/>
      <c r="Z207" s="299" t="str">
        <f>IFERROR(INDEX('G-8 Condition Look up'!$A$3:$H$135,MATCH(S207,'G-8 Condition Look up'!$A$3:$A$135,0),MATCH(Y207,'G-8 Condition Look up'!$A$3:$H$3,0)),"")</f>
        <v/>
      </c>
      <c r="AA207" s="52"/>
      <c r="AB207" s="295" t="str">
        <f>IF(AA207="","",IF(VLOOKUP(AA207,'G-3 Multipliers'!$L$3:$N$6,2,FALSE)=0,"Spatial Data Missing ⚠",VLOOKUP(AA207,'G-3 Multipliers'!$L$3:$N$6,2,FALSE)))</f>
        <v/>
      </c>
      <c r="AC207" s="299" t="str">
        <f>IF(AA207="","",IF(VLOOKUP(AA207,'G-3 Multipliers'!$L$3:$N$6,3,FALSE)=0,"Spatial Data Missing ⚠",VLOOKUP(AA207,'G-3 Multipliers'!$L$3:$N$6,3,FALSE)))</f>
        <v/>
      </c>
      <c r="AD207" s="313" t="str">
        <f t="shared" si="34"/>
        <v/>
      </c>
      <c r="AE207" s="58"/>
      <c r="AF207" s="58"/>
      <c r="AG207" s="283" t="str">
        <f t="shared" si="38"/>
        <v/>
      </c>
      <c r="AH207" s="296" t="str">
        <f t="shared" si="39"/>
        <v/>
      </c>
      <c r="AI207" s="297" t="str">
        <f>IF(AH207="Check Data ⚠","Check Data ⚠",IFERROR(VLOOKUP(AH207,'G-4 Temporal multipliers'!$A$4:$C$36,3,FALSE),""))</f>
        <v/>
      </c>
      <c r="AJ207" s="275" t="str">
        <f>IF(S207="","",VLOOKUP(S207,'G-3 Multipliers'!$A$2:$E$134,4,FALSE))</f>
        <v/>
      </c>
      <c r="AK207" s="283" t="str">
        <f t="shared" si="40"/>
        <v/>
      </c>
      <c r="AL207" s="283" t="str">
        <f t="shared" si="41"/>
        <v/>
      </c>
      <c r="AM207" s="314" t="str">
        <f>IFERROR(IF(F207="","",IF(AH207="Check Data ⚠","Check Data ⚠",VLOOKUP(AL207,'G-3 Multipliers'!$P$2:$Q$6,2,FALSE))),"")</f>
        <v/>
      </c>
      <c r="AN207" s="289" t="str">
        <f t="shared" si="42"/>
        <v/>
      </c>
      <c r="AO207" s="52"/>
      <c r="AP207" s="51"/>
      <c r="AQ207" s="104"/>
      <c r="AT207" s="35" t="str">
        <f t="shared" si="43"/>
        <v>No</v>
      </c>
      <c r="AU207" s="35" t="str">
        <f>IF(E207="","",IF(ISNA(VLOOKUP($E207,'A-1 On-Site Habitat Baseline'!$D$1:$AV$258,4,FALSE)),"",(VLOOKUP($E207,'A-1 On-Site Habitat Baseline'!$D$1:$AV$258,4,FALSE))))</f>
        <v/>
      </c>
    </row>
    <row r="208" spans="1:47" ht="14">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05" t="str">
        <f>'A-1 On-Site Habitat Baseline'!AL207</f>
        <v/>
      </c>
      <c r="F208" s="295" t="str">
        <f>IF(E208="","",IF(ISNA(VLOOKUP($E208,'A-1 On-Site Habitat Baseline'!$D$1:$AV$258,45,FALSE)),"",(VLOOKUP($E208,'A-1 On-Site Habitat Baseline'!$D$1:$AV$258,45,FALSE))))</f>
        <v/>
      </c>
      <c r="G208" s="295" t="str">
        <f>IF(E208="","",IF(ISNA(VLOOKUP($E208,'A-1 On-Site Habitat Baseline'!$D$1:$O$258,5,FALSE)),"",(VLOOKUP($E208,'A-1 On-Site Habitat Baseline'!$D$1:$O$258,5,FALSE))))</f>
        <v/>
      </c>
      <c r="H208" s="295" t="str">
        <f>IF(E208="","",IF(ISNA(VLOOKUP($E208,'A-1 On-Site Habitat Baseline'!$D$1:$O$258,6,FALSE)),"",(VLOOKUP($E208,'A-1 On-Site Habitat Baseline'!$D$1:$O$258,6,FALSE))))</f>
        <v/>
      </c>
      <c r="I208" s="295" t="str">
        <f>IF(E208="","",IF(ISNA(VLOOKUP($E208,'A-1 On-Site Habitat Baseline'!$D$1:$O$258,7,FALSE)),"",(VLOOKUP($E208,'A-1 On-Site Habitat Baseline'!$D$1:$O$258,7,FALSE))))</f>
        <v/>
      </c>
      <c r="J208" s="295" t="str">
        <f>IF(E208="","",IF(ISNA(VLOOKUP($E208,'A-1 On-Site Habitat Baseline'!$D$1:$O$258,8,FALSE)),"",(VLOOKUP($E208,'A-1 On-Site Habitat Baseline'!$D$1:$O$258,8,FALSE))))</f>
        <v/>
      </c>
      <c r="K208" s="295" t="str">
        <f>IF(E208="","",IF(ISNA(VLOOKUP($E208,'A-1 On-Site Habitat Baseline'!$D$1:$O$258,9,FALSE)),"",(VLOOKUP($E208,'A-1 On-Site Habitat Baseline'!$D$1:$O$258,9,FALSE))))</f>
        <v/>
      </c>
      <c r="L208" s="295" t="str">
        <f>IF(E208="","",IF(ISNA(VLOOKUP($E208,'A-1 On-Site Habitat Baseline'!$D$1:$O$258,11,FALSE)),"",(VLOOKUP($E208,'A-1 On-Site Habitat Baseline'!$D$1:$O$258,11,FALSE))))</f>
        <v/>
      </c>
      <c r="M208" s="295" t="str">
        <f>IF(E208="","",IF(ISNA(VLOOKUP($E208,'A-1 On-Site Habitat Baseline'!$D$1:$O$258,12,FALSE)),"",(VLOOKUP($E208,'A-1 On-Site Habitat Baseline'!$D$1:$O$258,12,FALSE))))</f>
        <v/>
      </c>
      <c r="N208" s="306" t="str">
        <f>IF(E208="","",IF(ISNA(VLOOKUP($E208,'A-1 On-Site Habitat Baseline'!$D$1:$X$258,14,FALSE)),"",(VLOOKUP($E208,'A-1 On-Site Habitat Baseline'!$D$1:$X$258,14,FALSE))))</f>
        <v/>
      </c>
      <c r="O208" s="299" t="str">
        <f>IF(E208="","",IF(ISNA(VLOOKUP($E208,'A-1 On-Site Habitat Baseline'!$D$1:$X$258,16,FALSE)),"",(VLOOKUP($E208,'A-1 On-Site Habitat Baseline'!$D$1:$X$258,13,FALSE))))</f>
        <v/>
      </c>
      <c r="P208" s="154" t="str">
        <f>IFERROR(INDEX('G-1 All Habitats'!$AG$49:$AG$63,MATCH(Q208,'G-1 All Habitats'!$AF$27:$AF$41,0)),"")</f>
        <v/>
      </c>
      <c r="Q208" s="155" t="str">
        <f t="shared" si="35"/>
        <v/>
      </c>
      <c r="R208" s="155"/>
      <c r="S208" s="237" t="str">
        <f>IFERROR(INDEX('G-1 All Habitats'!$B$3:$B$135,MATCH(R208,'G-1 All Habitats'!$A$3:$A$135,0)),"")</f>
        <v/>
      </c>
      <c r="T208" s="275" t="str">
        <f t="shared" si="36"/>
        <v/>
      </c>
      <c r="U208" s="276" t="str">
        <f t="shared" si="37"/>
        <v/>
      </c>
      <c r="V208" s="311" t="str">
        <f t="shared" si="33"/>
        <v/>
      </c>
      <c r="W208" s="295" t="str">
        <f>IF(S208="","",VLOOKUP(S208,'G-1 All Habitats'!$B$2:$M$135,10,FALSE))</f>
        <v/>
      </c>
      <c r="X208" s="295" t="str">
        <f>IFERROR(VLOOKUP(W208,'G-1 All Habitats'!$V$3:$W$7,2,FALSE),"")</f>
        <v/>
      </c>
      <c r="Y208" s="57"/>
      <c r="Z208" s="299" t="str">
        <f>IFERROR(INDEX('G-8 Condition Look up'!$A$3:$H$135,MATCH(S208,'G-8 Condition Look up'!$A$3:$A$135,0),MATCH(Y208,'G-8 Condition Look up'!$A$3:$H$3,0)),"")</f>
        <v/>
      </c>
      <c r="AA208" s="52"/>
      <c r="AB208" s="295" t="str">
        <f>IF(AA208="","",IF(VLOOKUP(AA208,'G-3 Multipliers'!$L$3:$N$6,2,FALSE)=0,"Spatial Data Missing ⚠",VLOOKUP(AA208,'G-3 Multipliers'!$L$3:$N$6,2,FALSE)))</f>
        <v/>
      </c>
      <c r="AC208" s="299" t="str">
        <f>IF(AA208="","",IF(VLOOKUP(AA208,'G-3 Multipliers'!$L$3:$N$6,3,FALSE)=0,"Spatial Data Missing ⚠",VLOOKUP(AA208,'G-3 Multipliers'!$L$3:$N$6,3,FALSE)))</f>
        <v/>
      </c>
      <c r="AD208" s="313" t="str">
        <f t="shared" si="34"/>
        <v/>
      </c>
      <c r="AE208" s="58"/>
      <c r="AF208" s="58"/>
      <c r="AG208" s="283" t="str">
        <f t="shared" si="38"/>
        <v/>
      </c>
      <c r="AH208" s="296" t="str">
        <f t="shared" si="39"/>
        <v/>
      </c>
      <c r="AI208" s="297" t="str">
        <f>IF(AH208="Check Data ⚠","Check Data ⚠",IFERROR(VLOOKUP(AH208,'G-4 Temporal multipliers'!$A$4:$C$36,3,FALSE),""))</f>
        <v/>
      </c>
      <c r="AJ208" s="275" t="str">
        <f>IF(S208="","",VLOOKUP(S208,'G-3 Multipliers'!$A$2:$E$134,4,FALSE))</f>
        <v/>
      </c>
      <c r="AK208" s="283" t="str">
        <f t="shared" si="40"/>
        <v/>
      </c>
      <c r="AL208" s="283" t="str">
        <f t="shared" si="41"/>
        <v/>
      </c>
      <c r="AM208" s="314" t="str">
        <f>IFERROR(IF(F208="","",IF(AH208="Check Data ⚠","Check Data ⚠",VLOOKUP(AL208,'G-3 Multipliers'!$P$2:$Q$6,2,FALSE))),"")</f>
        <v/>
      </c>
      <c r="AN208" s="289" t="str">
        <f t="shared" si="42"/>
        <v/>
      </c>
      <c r="AO208" s="52"/>
      <c r="AP208" s="51"/>
      <c r="AQ208" s="104"/>
      <c r="AT208" s="35" t="str">
        <f t="shared" si="43"/>
        <v>No</v>
      </c>
      <c r="AU208" s="35" t="str">
        <f>IF(E208="","",IF(ISNA(VLOOKUP($E208,'A-1 On-Site Habitat Baseline'!$D$1:$AV$258,4,FALSE)),"",(VLOOKUP($E208,'A-1 On-Site Habitat Baseline'!$D$1:$AV$258,4,FALSE))))</f>
        <v/>
      </c>
    </row>
    <row r="209" spans="1:47" ht="14">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05" t="str">
        <f>'A-1 On-Site Habitat Baseline'!AL208</f>
        <v/>
      </c>
      <c r="F209" s="295" t="str">
        <f>IF(E209="","",IF(ISNA(VLOOKUP($E209,'A-1 On-Site Habitat Baseline'!$D$1:$AV$258,45,FALSE)),"",(VLOOKUP($E209,'A-1 On-Site Habitat Baseline'!$D$1:$AV$258,45,FALSE))))</f>
        <v/>
      </c>
      <c r="G209" s="295" t="str">
        <f>IF(E209="","",IF(ISNA(VLOOKUP($E209,'A-1 On-Site Habitat Baseline'!$D$1:$O$258,5,FALSE)),"",(VLOOKUP($E209,'A-1 On-Site Habitat Baseline'!$D$1:$O$258,5,FALSE))))</f>
        <v/>
      </c>
      <c r="H209" s="295" t="str">
        <f>IF(E209="","",IF(ISNA(VLOOKUP($E209,'A-1 On-Site Habitat Baseline'!$D$1:$O$258,6,FALSE)),"",(VLOOKUP($E209,'A-1 On-Site Habitat Baseline'!$D$1:$O$258,6,FALSE))))</f>
        <v/>
      </c>
      <c r="I209" s="295" t="str">
        <f>IF(E209="","",IF(ISNA(VLOOKUP($E209,'A-1 On-Site Habitat Baseline'!$D$1:$O$258,7,FALSE)),"",(VLOOKUP($E209,'A-1 On-Site Habitat Baseline'!$D$1:$O$258,7,FALSE))))</f>
        <v/>
      </c>
      <c r="J209" s="295" t="str">
        <f>IF(E209="","",IF(ISNA(VLOOKUP($E209,'A-1 On-Site Habitat Baseline'!$D$1:$O$258,8,FALSE)),"",(VLOOKUP($E209,'A-1 On-Site Habitat Baseline'!$D$1:$O$258,8,FALSE))))</f>
        <v/>
      </c>
      <c r="K209" s="295" t="str">
        <f>IF(E209="","",IF(ISNA(VLOOKUP($E209,'A-1 On-Site Habitat Baseline'!$D$1:$O$258,9,FALSE)),"",(VLOOKUP($E209,'A-1 On-Site Habitat Baseline'!$D$1:$O$258,9,FALSE))))</f>
        <v/>
      </c>
      <c r="L209" s="295" t="str">
        <f>IF(E209="","",IF(ISNA(VLOOKUP($E209,'A-1 On-Site Habitat Baseline'!$D$1:$O$258,11,FALSE)),"",(VLOOKUP($E209,'A-1 On-Site Habitat Baseline'!$D$1:$O$258,11,FALSE))))</f>
        <v/>
      </c>
      <c r="M209" s="295" t="str">
        <f>IF(E209="","",IF(ISNA(VLOOKUP($E209,'A-1 On-Site Habitat Baseline'!$D$1:$O$258,12,FALSE)),"",(VLOOKUP($E209,'A-1 On-Site Habitat Baseline'!$D$1:$O$258,12,FALSE))))</f>
        <v/>
      </c>
      <c r="N209" s="306" t="str">
        <f>IF(E209="","",IF(ISNA(VLOOKUP($E209,'A-1 On-Site Habitat Baseline'!$D$1:$X$258,14,FALSE)),"",(VLOOKUP($E209,'A-1 On-Site Habitat Baseline'!$D$1:$X$258,14,FALSE))))</f>
        <v/>
      </c>
      <c r="O209" s="299" t="str">
        <f>IF(E209="","",IF(ISNA(VLOOKUP($E209,'A-1 On-Site Habitat Baseline'!$D$1:$X$258,16,FALSE)),"",(VLOOKUP($E209,'A-1 On-Site Habitat Baseline'!$D$1:$X$258,13,FALSE))))</f>
        <v/>
      </c>
      <c r="P209" s="154" t="str">
        <f>IFERROR(INDEX('G-1 All Habitats'!$AG$49:$AG$63,MATCH(Q209,'G-1 All Habitats'!$AF$27:$AF$41,0)),"")</f>
        <v/>
      </c>
      <c r="Q209" s="155" t="str">
        <f t="shared" si="35"/>
        <v/>
      </c>
      <c r="R209" s="155"/>
      <c r="S209" s="237" t="str">
        <f>IFERROR(INDEX('G-1 All Habitats'!$B$3:$B$135,MATCH(R209,'G-1 All Habitats'!$A$3:$A$135,0)),"")</f>
        <v/>
      </c>
      <c r="T209" s="275" t="str">
        <f t="shared" si="36"/>
        <v/>
      </c>
      <c r="U209" s="276" t="str">
        <f t="shared" si="37"/>
        <v/>
      </c>
      <c r="V209" s="311" t="str">
        <f t="shared" si="33"/>
        <v/>
      </c>
      <c r="W209" s="295" t="str">
        <f>IF(S209="","",VLOOKUP(S209,'G-1 All Habitats'!$B$2:$M$135,10,FALSE))</f>
        <v/>
      </c>
      <c r="X209" s="295" t="str">
        <f>IFERROR(VLOOKUP(W209,'G-1 All Habitats'!$V$3:$W$7,2,FALSE),"")</f>
        <v/>
      </c>
      <c r="Y209" s="57"/>
      <c r="Z209" s="299" t="str">
        <f>IFERROR(INDEX('G-8 Condition Look up'!$A$3:$H$135,MATCH(S209,'G-8 Condition Look up'!$A$3:$A$135,0),MATCH(Y209,'G-8 Condition Look up'!$A$3:$H$3,0)),"")</f>
        <v/>
      </c>
      <c r="AA209" s="52"/>
      <c r="AB209" s="295" t="str">
        <f>IF(AA209="","",IF(VLOOKUP(AA209,'G-3 Multipliers'!$L$3:$N$6,2,FALSE)=0,"Spatial Data Missing ⚠",VLOOKUP(AA209,'G-3 Multipliers'!$L$3:$N$6,2,FALSE)))</f>
        <v/>
      </c>
      <c r="AC209" s="299" t="str">
        <f>IF(AA209="","",IF(VLOOKUP(AA209,'G-3 Multipliers'!$L$3:$N$6,3,FALSE)=0,"Spatial Data Missing ⚠",VLOOKUP(AA209,'G-3 Multipliers'!$L$3:$N$6,3,FALSE)))</f>
        <v/>
      </c>
      <c r="AD209" s="313" t="str">
        <f t="shared" si="34"/>
        <v/>
      </c>
      <c r="AE209" s="58"/>
      <c r="AF209" s="58"/>
      <c r="AG209" s="283" t="str">
        <f t="shared" si="38"/>
        <v/>
      </c>
      <c r="AH209" s="296" t="str">
        <f t="shared" si="39"/>
        <v/>
      </c>
      <c r="AI209" s="297" t="str">
        <f>IF(AH209="Check Data ⚠","Check Data ⚠",IFERROR(VLOOKUP(AH209,'G-4 Temporal multipliers'!$A$4:$C$36,3,FALSE),""))</f>
        <v/>
      </c>
      <c r="AJ209" s="275" t="str">
        <f>IF(S209="","",VLOOKUP(S209,'G-3 Multipliers'!$A$2:$E$134,4,FALSE))</f>
        <v/>
      </c>
      <c r="AK209" s="283" t="str">
        <f t="shared" si="40"/>
        <v/>
      </c>
      <c r="AL209" s="283" t="str">
        <f t="shared" si="41"/>
        <v/>
      </c>
      <c r="AM209" s="314" t="str">
        <f>IFERROR(IF(F209="","",IF(AH209="Check Data ⚠","Check Data ⚠",VLOOKUP(AL209,'G-3 Multipliers'!$P$2:$Q$6,2,FALSE))),"")</f>
        <v/>
      </c>
      <c r="AN209" s="289" t="str">
        <f t="shared" si="42"/>
        <v/>
      </c>
      <c r="AO209" s="52"/>
      <c r="AP209" s="51"/>
      <c r="AQ209" s="104"/>
      <c r="AT209" s="35" t="str">
        <f t="shared" si="43"/>
        <v>No</v>
      </c>
      <c r="AU209" s="35" t="str">
        <f>IF(E209="","",IF(ISNA(VLOOKUP($E209,'A-1 On-Site Habitat Baseline'!$D$1:$AV$258,4,FALSE)),"",(VLOOKUP($E209,'A-1 On-Site Habitat Baseline'!$D$1:$AV$258,4,FALSE))))</f>
        <v/>
      </c>
    </row>
    <row r="210" spans="1:47" ht="14">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05" t="str">
        <f>'A-1 On-Site Habitat Baseline'!AL209</f>
        <v/>
      </c>
      <c r="F210" s="295" t="str">
        <f>IF(E210="","",IF(ISNA(VLOOKUP($E210,'A-1 On-Site Habitat Baseline'!$D$1:$AV$258,45,FALSE)),"",(VLOOKUP($E210,'A-1 On-Site Habitat Baseline'!$D$1:$AV$258,45,FALSE))))</f>
        <v/>
      </c>
      <c r="G210" s="295" t="str">
        <f>IF(E210="","",IF(ISNA(VLOOKUP($E210,'A-1 On-Site Habitat Baseline'!$D$1:$O$258,5,FALSE)),"",(VLOOKUP($E210,'A-1 On-Site Habitat Baseline'!$D$1:$O$258,5,FALSE))))</f>
        <v/>
      </c>
      <c r="H210" s="295" t="str">
        <f>IF(E210="","",IF(ISNA(VLOOKUP($E210,'A-1 On-Site Habitat Baseline'!$D$1:$O$258,6,FALSE)),"",(VLOOKUP($E210,'A-1 On-Site Habitat Baseline'!$D$1:$O$258,6,FALSE))))</f>
        <v/>
      </c>
      <c r="I210" s="295" t="str">
        <f>IF(E210="","",IF(ISNA(VLOOKUP($E210,'A-1 On-Site Habitat Baseline'!$D$1:$O$258,7,FALSE)),"",(VLOOKUP($E210,'A-1 On-Site Habitat Baseline'!$D$1:$O$258,7,FALSE))))</f>
        <v/>
      </c>
      <c r="J210" s="295" t="str">
        <f>IF(E210="","",IF(ISNA(VLOOKUP($E210,'A-1 On-Site Habitat Baseline'!$D$1:$O$258,8,FALSE)),"",(VLOOKUP($E210,'A-1 On-Site Habitat Baseline'!$D$1:$O$258,8,FALSE))))</f>
        <v/>
      </c>
      <c r="K210" s="295" t="str">
        <f>IF(E210="","",IF(ISNA(VLOOKUP($E210,'A-1 On-Site Habitat Baseline'!$D$1:$O$258,9,FALSE)),"",(VLOOKUP($E210,'A-1 On-Site Habitat Baseline'!$D$1:$O$258,9,FALSE))))</f>
        <v/>
      </c>
      <c r="L210" s="295" t="str">
        <f>IF(E210="","",IF(ISNA(VLOOKUP($E210,'A-1 On-Site Habitat Baseline'!$D$1:$O$258,11,FALSE)),"",(VLOOKUP($E210,'A-1 On-Site Habitat Baseline'!$D$1:$O$258,11,FALSE))))</f>
        <v/>
      </c>
      <c r="M210" s="295" t="str">
        <f>IF(E210="","",IF(ISNA(VLOOKUP($E210,'A-1 On-Site Habitat Baseline'!$D$1:$O$258,12,FALSE)),"",(VLOOKUP($E210,'A-1 On-Site Habitat Baseline'!$D$1:$O$258,12,FALSE))))</f>
        <v/>
      </c>
      <c r="N210" s="306" t="str">
        <f>IF(E210="","",IF(ISNA(VLOOKUP($E210,'A-1 On-Site Habitat Baseline'!$D$1:$X$258,14,FALSE)),"",(VLOOKUP($E210,'A-1 On-Site Habitat Baseline'!$D$1:$X$258,14,FALSE))))</f>
        <v/>
      </c>
      <c r="O210" s="299" t="str">
        <f>IF(E210="","",IF(ISNA(VLOOKUP($E210,'A-1 On-Site Habitat Baseline'!$D$1:$X$258,16,FALSE)),"",(VLOOKUP($E210,'A-1 On-Site Habitat Baseline'!$D$1:$X$258,13,FALSE))))</f>
        <v/>
      </c>
      <c r="P210" s="154" t="str">
        <f>IFERROR(INDEX('G-1 All Habitats'!$AG$49:$AG$63,MATCH(Q210,'G-1 All Habitats'!$AF$27:$AF$41,0)),"")</f>
        <v/>
      </c>
      <c r="Q210" s="155" t="str">
        <f t="shared" si="35"/>
        <v/>
      </c>
      <c r="R210" s="155"/>
      <c r="S210" s="237" t="str">
        <f>IFERROR(INDEX('G-1 All Habitats'!$B$3:$B$135,MATCH(R210,'G-1 All Habitats'!$A$3:$A$135,0)),"")</f>
        <v/>
      </c>
      <c r="T210" s="275" t="str">
        <f t="shared" si="36"/>
        <v/>
      </c>
      <c r="U210" s="276" t="str">
        <f t="shared" si="37"/>
        <v/>
      </c>
      <c r="V210" s="311" t="str">
        <f t="shared" si="33"/>
        <v/>
      </c>
      <c r="W210" s="295" t="str">
        <f>IF(S210="","",VLOOKUP(S210,'G-1 All Habitats'!$B$2:$M$135,10,FALSE))</f>
        <v/>
      </c>
      <c r="X210" s="295" t="str">
        <f>IFERROR(VLOOKUP(W210,'G-1 All Habitats'!$V$3:$W$7,2,FALSE),"")</f>
        <v/>
      </c>
      <c r="Y210" s="57"/>
      <c r="Z210" s="299" t="str">
        <f>IFERROR(INDEX('G-8 Condition Look up'!$A$3:$H$135,MATCH(S210,'G-8 Condition Look up'!$A$3:$A$135,0),MATCH(Y210,'G-8 Condition Look up'!$A$3:$H$3,0)),"")</f>
        <v/>
      </c>
      <c r="AA210" s="52"/>
      <c r="AB210" s="295" t="str">
        <f>IF(AA210="","",IF(VLOOKUP(AA210,'G-3 Multipliers'!$L$3:$N$6,2,FALSE)=0,"Spatial Data Missing ⚠",VLOOKUP(AA210,'G-3 Multipliers'!$L$3:$N$6,2,FALSE)))</f>
        <v/>
      </c>
      <c r="AC210" s="299" t="str">
        <f>IF(AA210="","",IF(VLOOKUP(AA210,'G-3 Multipliers'!$L$3:$N$6,3,FALSE)=0,"Spatial Data Missing ⚠",VLOOKUP(AA210,'G-3 Multipliers'!$L$3:$N$6,3,FALSE)))</f>
        <v/>
      </c>
      <c r="AD210" s="313" t="str">
        <f t="shared" si="34"/>
        <v/>
      </c>
      <c r="AE210" s="58"/>
      <c r="AF210" s="58"/>
      <c r="AG210" s="283" t="str">
        <f t="shared" si="38"/>
        <v/>
      </c>
      <c r="AH210" s="296" t="str">
        <f t="shared" si="39"/>
        <v/>
      </c>
      <c r="AI210" s="297" t="str">
        <f>IF(AH210="Check Data ⚠","Check Data ⚠",IFERROR(VLOOKUP(AH210,'G-4 Temporal multipliers'!$A$4:$C$36,3,FALSE),""))</f>
        <v/>
      </c>
      <c r="AJ210" s="275" t="str">
        <f>IF(S210="","",VLOOKUP(S210,'G-3 Multipliers'!$A$2:$E$134,4,FALSE))</f>
        <v/>
      </c>
      <c r="AK210" s="283" t="str">
        <f t="shared" si="40"/>
        <v/>
      </c>
      <c r="AL210" s="283" t="str">
        <f t="shared" si="41"/>
        <v/>
      </c>
      <c r="AM210" s="314" t="str">
        <f>IFERROR(IF(F210="","",IF(AH210="Check Data ⚠","Check Data ⚠",VLOOKUP(AL210,'G-3 Multipliers'!$P$2:$Q$6,2,FALSE))),"")</f>
        <v/>
      </c>
      <c r="AN210" s="289" t="str">
        <f t="shared" si="42"/>
        <v/>
      </c>
      <c r="AO210" s="52"/>
      <c r="AP210" s="51"/>
      <c r="AQ210" s="104"/>
      <c r="AT210" s="35" t="str">
        <f t="shared" si="43"/>
        <v>No</v>
      </c>
      <c r="AU210" s="35" t="str">
        <f>IF(E210="","",IF(ISNA(VLOOKUP($E210,'A-1 On-Site Habitat Baseline'!$D$1:$AV$258,4,FALSE)),"",(VLOOKUP($E210,'A-1 On-Site Habitat Baseline'!$D$1:$AV$258,4,FALSE))))</f>
        <v/>
      </c>
    </row>
    <row r="211" spans="1:47" ht="14">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05" t="str">
        <f>'A-1 On-Site Habitat Baseline'!AL210</f>
        <v/>
      </c>
      <c r="F211" s="295" t="str">
        <f>IF(E211="","",IF(ISNA(VLOOKUP($E211,'A-1 On-Site Habitat Baseline'!$D$1:$AV$258,45,FALSE)),"",(VLOOKUP($E211,'A-1 On-Site Habitat Baseline'!$D$1:$AV$258,45,FALSE))))</f>
        <v/>
      </c>
      <c r="G211" s="295" t="str">
        <f>IF(E211="","",IF(ISNA(VLOOKUP($E211,'A-1 On-Site Habitat Baseline'!$D$1:$O$258,5,FALSE)),"",(VLOOKUP($E211,'A-1 On-Site Habitat Baseline'!$D$1:$O$258,5,FALSE))))</f>
        <v/>
      </c>
      <c r="H211" s="295" t="str">
        <f>IF(E211="","",IF(ISNA(VLOOKUP($E211,'A-1 On-Site Habitat Baseline'!$D$1:$O$258,6,FALSE)),"",(VLOOKUP($E211,'A-1 On-Site Habitat Baseline'!$D$1:$O$258,6,FALSE))))</f>
        <v/>
      </c>
      <c r="I211" s="295" t="str">
        <f>IF(E211="","",IF(ISNA(VLOOKUP($E211,'A-1 On-Site Habitat Baseline'!$D$1:$O$258,7,FALSE)),"",(VLOOKUP($E211,'A-1 On-Site Habitat Baseline'!$D$1:$O$258,7,FALSE))))</f>
        <v/>
      </c>
      <c r="J211" s="295" t="str">
        <f>IF(E211="","",IF(ISNA(VLOOKUP($E211,'A-1 On-Site Habitat Baseline'!$D$1:$O$258,8,FALSE)),"",(VLOOKUP($E211,'A-1 On-Site Habitat Baseline'!$D$1:$O$258,8,FALSE))))</f>
        <v/>
      </c>
      <c r="K211" s="295" t="str">
        <f>IF(E211="","",IF(ISNA(VLOOKUP($E211,'A-1 On-Site Habitat Baseline'!$D$1:$O$258,9,FALSE)),"",(VLOOKUP($E211,'A-1 On-Site Habitat Baseline'!$D$1:$O$258,9,FALSE))))</f>
        <v/>
      </c>
      <c r="L211" s="295" t="str">
        <f>IF(E211="","",IF(ISNA(VLOOKUP($E211,'A-1 On-Site Habitat Baseline'!$D$1:$O$258,11,FALSE)),"",(VLOOKUP($E211,'A-1 On-Site Habitat Baseline'!$D$1:$O$258,11,FALSE))))</f>
        <v/>
      </c>
      <c r="M211" s="295" t="str">
        <f>IF(E211="","",IF(ISNA(VLOOKUP($E211,'A-1 On-Site Habitat Baseline'!$D$1:$O$258,12,FALSE)),"",(VLOOKUP($E211,'A-1 On-Site Habitat Baseline'!$D$1:$O$258,12,FALSE))))</f>
        <v/>
      </c>
      <c r="N211" s="306" t="str">
        <f>IF(E211="","",IF(ISNA(VLOOKUP($E211,'A-1 On-Site Habitat Baseline'!$D$1:$X$258,14,FALSE)),"",(VLOOKUP($E211,'A-1 On-Site Habitat Baseline'!$D$1:$X$258,14,FALSE))))</f>
        <v/>
      </c>
      <c r="O211" s="299" t="str">
        <f>IF(E211="","",IF(ISNA(VLOOKUP($E211,'A-1 On-Site Habitat Baseline'!$D$1:$X$258,16,FALSE)),"",(VLOOKUP($E211,'A-1 On-Site Habitat Baseline'!$D$1:$X$258,13,FALSE))))</f>
        <v/>
      </c>
      <c r="P211" s="154" t="str">
        <f>IFERROR(INDEX('G-1 All Habitats'!$AG$49:$AG$63,MATCH(Q211,'G-1 All Habitats'!$AF$27:$AF$41,0)),"")</f>
        <v/>
      </c>
      <c r="Q211" s="155" t="str">
        <f t="shared" si="35"/>
        <v/>
      </c>
      <c r="R211" s="155"/>
      <c r="S211" s="237" t="str">
        <f>IFERROR(INDEX('G-1 All Habitats'!$B$3:$B$135,MATCH(R211,'G-1 All Habitats'!$A$3:$A$135,0)),"")</f>
        <v/>
      </c>
      <c r="T211" s="275" t="str">
        <f t="shared" si="36"/>
        <v/>
      </c>
      <c r="U211" s="276" t="str">
        <f t="shared" si="37"/>
        <v/>
      </c>
      <c r="V211" s="311" t="str">
        <f t="shared" si="33"/>
        <v/>
      </c>
      <c r="W211" s="295" t="str">
        <f>IF(S211="","",VLOOKUP(S211,'G-1 All Habitats'!$B$2:$M$135,10,FALSE))</f>
        <v/>
      </c>
      <c r="X211" s="295" t="str">
        <f>IFERROR(VLOOKUP(W211,'G-1 All Habitats'!$V$3:$W$7,2,FALSE),"")</f>
        <v/>
      </c>
      <c r="Y211" s="57"/>
      <c r="Z211" s="299" t="str">
        <f>IFERROR(INDEX('G-8 Condition Look up'!$A$3:$H$135,MATCH(S211,'G-8 Condition Look up'!$A$3:$A$135,0),MATCH(Y211,'G-8 Condition Look up'!$A$3:$H$3,0)),"")</f>
        <v/>
      </c>
      <c r="AA211" s="52"/>
      <c r="AB211" s="295" t="str">
        <f>IF(AA211="","",IF(VLOOKUP(AA211,'G-3 Multipliers'!$L$3:$N$6,2,FALSE)=0,"Spatial Data Missing ⚠",VLOOKUP(AA211,'G-3 Multipliers'!$L$3:$N$6,2,FALSE)))</f>
        <v/>
      </c>
      <c r="AC211" s="299" t="str">
        <f>IF(AA211="","",IF(VLOOKUP(AA211,'G-3 Multipliers'!$L$3:$N$6,3,FALSE)=0,"Spatial Data Missing ⚠",VLOOKUP(AA211,'G-3 Multipliers'!$L$3:$N$6,3,FALSE)))</f>
        <v/>
      </c>
      <c r="AD211" s="313" t="str">
        <f t="shared" si="34"/>
        <v/>
      </c>
      <c r="AE211" s="58"/>
      <c r="AF211" s="58"/>
      <c r="AG211" s="283" t="str">
        <f t="shared" si="38"/>
        <v/>
      </c>
      <c r="AH211" s="296" t="str">
        <f t="shared" si="39"/>
        <v/>
      </c>
      <c r="AI211" s="297" t="str">
        <f>IF(AH211="Check Data ⚠","Check Data ⚠",IFERROR(VLOOKUP(AH211,'G-4 Temporal multipliers'!$A$4:$C$36,3,FALSE),""))</f>
        <v/>
      </c>
      <c r="AJ211" s="275" t="str">
        <f>IF(S211="","",VLOOKUP(S211,'G-3 Multipliers'!$A$2:$E$134,4,FALSE))</f>
        <v/>
      </c>
      <c r="AK211" s="283" t="str">
        <f t="shared" si="40"/>
        <v/>
      </c>
      <c r="AL211" s="283" t="str">
        <f t="shared" si="41"/>
        <v/>
      </c>
      <c r="AM211" s="314" t="str">
        <f>IFERROR(IF(F211="","",IF(AH211="Check Data ⚠","Check Data ⚠",VLOOKUP(AL211,'G-3 Multipliers'!$P$2:$Q$6,2,FALSE))),"")</f>
        <v/>
      </c>
      <c r="AN211" s="289" t="str">
        <f t="shared" si="42"/>
        <v/>
      </c>
      <c r="AO211" s="52"/>
      <c r="AP211" s="51"/>
      <c r="AQ211" s="104"/>
      <c r="AT211" s="35" t="str">
        <f t="shared" si="43"/>
        <v>No</v>
      </c>
      <c r="AU211" s="35" t="str">
        <f>IF(E211="","",IF(ISNA(VLOOKUP($E211,'A-1 On-Site Habitat Baseline'!$D$1:$AV$258,4,FALSE)),"",(VLOOKUP($E211,'A-1 On-Site Habitat Baseline'!$D$1:$AV$258,4,FALSE))))</f>
        <v/>
      </c>
    </row>
    <row r="212" spans="1:47" ht="14">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05" t="str">
        <f>'A-1 On-Site Habitat Baseline'!AL211</f>
        <v/>
      </c>
      <c r="F212" s="295" t="str">
        <f>IF(E212="","",IF(ISNA(VLOOKUP($E212,'A-1 On-Site Habitat Baseline'!$D$1:$AV$258,45,FALSE)),"",(VLOOKUP($E212,'A-1 On-Site Habitat Baseline'!$D$1:$AV$258,45,FALSE))))</f>
        <v/>
      </c>
      <c r="G212" s="295" t="str">
        <f>IF(E212="","",IF(ISNA(VLOOKUP($E212,'A-1 On-Site Habitat Baseline'!$D$1:$O$258,5,FALSE)),"",(VLOOKUP($E212,'A-1 On-Site Habitat Baseline'!$D$1:$O$258,5,FALSE))))</f>
        <v/>
      </c>
      <c r="H212" s="295" t="str">
        <f>IF(E212="","",IF(ISNA(VLOOKUP($E212,'A-1 On-Site Habitat Baseline'!$D$1:$O$258,6,FALSE)),"",(VLOOKUP($E212,'A-1 On-Site Habitat Baseline'!$D$1:$O$258,6,FALSE))))</f>
        <v/>
      </c>
      <c r="I212" s="295" t="str">
        <f>IF(E212="","",IF(ISNA(VLOOKUP($E212,'A-1 On-Site Habitat Baseline'!$D$1:$O$258,7,FALSE)),"",(VLOOKUP($E212,'A-1 On-Site Habitat Baseline'!$D$1:$O$258,7,FALSE))))</f>
        <v/>
      </c>
      <c r="J212" s="295" t="str">
        <f>IF(E212="","",IF(ISNA(VLOOKUP($E212,'A-1 On-Site Habitat Baseline'!$D$1:$O$258,8,FALSE)),"",(VLOOKUP($E212,'A-1 On-Site Habitat Baseline'!$D$1:$O$258,8,FALSE))))</f>
        <v/>
      </c>
      <c r="K212" s="295" t="str">
        <f>IF(E212="","",IF(ISNA(VLOOKUP($E212,'A-1 On-Site Habitat Baseline'!$D$1:$O$258,9,FALSE)),"",(VLOOKUP($E212,'A-1 On-Site Habitat Baseline'!$D$1:$O$258,9,FALSE))))</f>
        <v/>
      </c>
      <c r="L212" s="295" t="str">
        <f>IF(E212="","",IF(ISNA(VLOOKUP($E212,'A-1 On-Site Habitat Baseline'!$D$1:$O$258,11,FALSE)),"",(VLOOKUP($E212,'A-1 On-Site Habitat Baseline'!$D$1:$O$258,11,FALSE))))</f>
        <v/>
      </c>
      <c r="M212" s="295" t="str">
        <f>IF(E212="","",IF(ISNA(VLOOKUP($E212,'A-1 On-Site Habitat Baseline'!$D$1:$O$258,12,FALSE)),"",(VLOOKUP($E212,'A-1 On-Site Habitat Baseline'!$D$1:$O$258,12,FALSE))))</f>
        <v/>
      </c>
      <c r="N212" s="306" t="str">
        <f>IF(E212="","",IF(ISNA(VLOOKUP($E212,'A-1 On-Site Habitat Baseline'!$D$1:$X$258,14,FALSE)),"",(VLOOKUP($E212,'A-1 On-Site Habitat Baseline'!$D$1:$X$258,14,FALSE))))</f>
        <v/>
      </c>
      <c r="O212" s="299" t="str">
        <f>IF(E212="","",IF(ISNA(VLOOKUP($E212,'A-1 On-Site Habitat Baseline'!$D$1:$X$258,16,FALSE)),"",(VLOOKUP($E212,'A-1 On-Site Habitat Baseline'!$D$1:$X$258,13,FALSE))))</f>
        <v/>
      </c>
      <c r="P212" s="154" t="str">
        <f>IFERROR(INDEX('G-1 All Habitats'!$AG$49:$AG$63,MATCH(Q212,'G-1 All Habitats'!$AF$27:$AF$41,0)),"")</f>
        <v/>
      </c>
      <c r="Q212" s="155" t="str">
        <f t="shared" si="35"/>
        <v/>
      </c>
      <c r="R212" s="155"/>
      <c r="S212" s="237" t="str">
        <f>IFERROR(INDEX('G-1 All Habitats'!$B$3:$B$135,MATCH(R212,'G-1 All Habitats'!$A$3:$A$135,0)),"")</f>
        <v/>
      </c>
      <c r="T212" s="275" t="str">
        <f t="shared" si="36"/>
        <v/>
      </c>
      <c r="U212" s="276" t="str">
        <f t="shared" si="37"/>
        <v/>
      </c>
      <c r="V212" s="311" t="str">
        <f t="shared" si="33"/>
        <v/>
      </c>
      <c r="W212" s="295" t="str">
        <f>IF(S212="","",VLOOKUP(S212,'G-1 All Habitats'!$B$2:$M$135,10,FALSE))</f>
        <v/>
      </c>
      <c r="X212" s="295" t="str">
        <f>IFERROR(VLOOKUP(W212,'G-1 All Habitats'!$V$3:$W$7,2,FALSE),"")</f>
        <v/>
      </c>
      <c r="Y212" s="57"/>
      <c r="Z212" s="299" t="str">
        <f>IFERROR(INDEX('G-8 Condition Look up'!$A$3:$H$135,MATCH(S212,'G-8 Condition Look up'!$A$3:$A$135,0),MATCH(Y212,'G-8 Condition Look up'!$A$3:$H$3,0)),"")</f>
        <v/>
      </c>
      <c r="AA212" s="52"/>
      <c r="AB212" s="295" t="str">
        <f>IF(AA212="","",IF(VLOOKUP(AA212,'G-3 Multipliers'!$L$3:$N$6,2,FALSE)=0,"Spatial Data Missing ⚠",VLOOKUP(AA212,'G-3 Multipliers'!$L$3:$N$6,2,FALSE)))</f>
        <v/>
      </c>
      <c r="AC212" s="299" t="str">
        <f>IF(AA212="","",IF(VLOOKUP(AA212,'G-3 Multipliers'!$L$3:$N$6,3,FALSE)=0,"Spatial Data Missing ⚠",VLOOKUP(AA212,'G-3 Multipliers'!$L$3:$N$6,3,FALSE)))</f>
        <v/>
      </c>
      <c r="AD212" s="313" t="str">
        <f t="shared" si="34"/>
        <v/>
      </c>
      <c r="AE212" s="58"/>
      <c r="AF212" s="58"/>
      <c r="AG212" s="283" t="str">
        <f t="shared" si="38"/>
        <v/>
      </c>
      <c r="AH212" s="296" t="str">
        <f t="shared" si="39"/>
        <v/>
      </c>
      <c r="AI212" s="297" t="str">
        <f>IF(AH212="Check Data ⚠","Check Data ⚠",IFERROR(VLOOKUP(AH212,'G-4 Temporal multipliers'!$A$4:$C$36,3,FALSE),""))</f>
        <v/>
      </c>
      <c r="AJ212" s="275" t="str">
        <f>IF(S212="","",VLOOKUP(S212,'G-3 Multipliers'!$A$2:$E$134,4,FALSE))</f>
        <v/>
      </c>
      <c r="AK212" s="283" t="str">
        <f t="shared" si="40"/>
        <v/>
      </c>
      <c r="AL212" s="283" t="str">
        <f t="shared" si="41"/>
        <v/>
      </c>
      <c r="AM212" s="314" t="str">
        <f>IFERROR(IF(F212="","",IF(AH212="Check Data ⚠","Check Data ⚠",VLOOKUP(AL212,'G-3 Multipliers'!$P$2:$Q$6,2,FALSE))),"")</f>
        <v/>
      </c>
      <c r="AN212" s="289" t="str">
        <f t="shared" si="42"/>
        <v/>
      </c>
      <c r="AO212" s="52"/>
      <c r="AP212" s="51"/>
      <c r="AQ212" s="104"/>
      <c r="AT212" s="35" t="str">
        <f t="shared" si="43"/>
        <v>No</v>
      </c>
      <c r="AU212" s="35" t="str">
        <f>IF(E212="","",IF(ISNA(VLOOKUP($E212,'A-1 On-Site Habitat Baseline'!$D$1:$AV$258,4,FALSE)),"",(VLOOKUP($E212,'A-1 On-Site Habitat Baseline'!$D$1:$AV$258,4,FALSE))))</f>
        <v/>
      </c>
    </row>
    <row r="213" spans="1:47" ht="14">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05" t="str">
        <f>'A-1 On-Site Habitat Baseline'!AL212</f>
        <v/>
      </c>
      <c r="F213" s="295" t="str">
        <f>IF(E213="","",IF(ISNA(VLOOKUP($E213,'A-1 On-Site Habitat Baseline'!$D$1:$AV$258,45,FALSE)),"",(VLOOKUP($E213,'A-1 On-Site Habitat Baseline'!$D$1:$AV$258,45,FALSE))))</f>
        <v/>
      </c>
      <c r="G213" s="295" t="str">
        <f>IF(E213="","",IF(ISNA(VLOOKUP($E213,'A-1 On-Site Habitat Baseline'!$D$1:$O$258,5,FALSE)),"",(VLOOKUP($E213,'A-1 On-Site Habitat Baseline'!$D$1:$O$258,5,FALSE))))</f>
        <v/>
      </c>
      <c r="H213" s="295" t="str">
        <f>IF(E213="","",IF(ISNA(VLOOKUP($E213,'A-1 On-Site Habitat Baseline'!$D$1:$O$258,6,FALSE)),"",(VLOOKUP($E213,'A-1 On-Site Habitat Baseline'!$D$1:$O$258,6,FALSE))))</f>
        <v/>
      </c>
      <c r="I213" s="295" t="str">
        <f>IF(E213="","",IF(ISNA(VLOOKUP($E213,'A-1 On-Site Habitat Baseline'!$D$1:$O$258,7,FALSE)),"",(VLOOKUP($E213,'A-1 On-Site Habitat Baseline'!$D$1:$O$258,7,FALSE))))</f>
        <v/>
      </c>
      <c r="J213" s="295" t="str">
        <f>IF(E213="","",IF(ISNA(VLOOKUP($E213,'A-1 On-Site Habitat Baseline'!$D$1:$O$258,8,FALSE)),"",(VLOOKUP($E213,'A-1 On-Site Habitat Baseline'!$D$1:$O$258,8,FALSE))))</f>
        <v/>
      </c>
      <c r="K213" s="295" t="str">
        <f>IF(E213="","",IF(ISNA(VLOOKUP($E213,'A-1 On-Site Habitat Baseline'!$D$1:$O$258,9,FALSE)),"",(VLOOKUP($E213,'A-1 On-Site Habitat Baseline'!$D$1:$O$258,9,FALSE))))</f>
        <v/>
      </c>
      <c r="L213" s="295" t="str">
        <f>IF(E213="","",IF(ISNA(VLOOKUP($E213,'A-1 On-Site Habitat Baseline'!$D$1:$O$258,11,FALSE)),"",(VLOOKUP($E213,'A-1 On-Site Habitat Baseline'!$D$1:$O$258,11,FALSE))))</f>
        <v/>
      </c>
      <c r="M213" s="295" t="str">
        <f>IF(E213="","",IF(ISNA(VLOOKUP($E213,'A-1 On-Site Habitat Baseline'!$D$1:$O$258,12,FALSE)),"",(VLOOKUP($E213,'A-1 On-Site Habitat Baseline'!$D$1:$O$258,12,FALSE))))</f>
        <v/>
      </c>
      <c r="N213" s="306" t="str">
        <f>IF(E213="","",IF(ISNA(VLOOKUP($E213,'A-1 On-Site Habitat Baseline'!$D$1:$X$258,14,FALSE)),"",(VLOOKUP($E213,'A-1 On-Site Habitat Baseline'!$D$1:$X$258,14,FALSE))))</f>
        <v/>
      </c>
      <c r="O213" s="299" t="str">
        <f>IF(E213="","",IF(ISNA(VLOOKUP($E213,'A-1 On-Site Habitat Baseline'!$D$1:$X$258,16,FALSE)),"",(VLOOKUP($E213,'A-1 On-Site Habitat Baseline'!$D$1:$X$258,13,FALSE))))</f>
        <v/>
      </c>
      <c r="P213" s="154" t="str">
        <f>IFERROR(INDEX('G-1 All Habitats'!$AG$49:$AG$63,MATCH(Q213,'G-1 All Habitats'!$AF$27:$AF$41,0)),"")</f>
        <v/>
      </c>
      <c r="Q213" s="155" t="str">
        <f t="shared" si="35"/>
        <v/>
      </c>
      <c r="R213" s="155"/>
      <c r="S213" s="237" t="str">
        <f>IFERROR(INDEX('G-1 All Habitats'!$B$3:$B$135,MATCH(R213,'G-1 All Habitats'!$A$3:$A$135,0)),"")</f>
        <v/>
      </c>
      <c r="T213" s="275" t="str">
        <f t="shared" si="36"/>
        <v/>
      </c>
      <c r="U213" s="276" t="str">
        <f t="shared" si="37"/>
        <v/>
      </c>
      <c r="V213" s="311" t="str">
        <f t="shared" si="33"/>
        <v/>
      </c>
      <c r="W213" s="295" t="str">
        <f>IF(S213="","",VLOOKUP(S213,'G-1 All Habitats'!$B$2:$M$135,10,FALSE))</f>
        <v/>
      </c>
      <c r="X213" s="295" t="str">
        <f>IFERROR(VLOOKUP(W213,'G-1 All Habitats'!$V$3:$W$7,2,FALSE),"")</f>
        <v/>
      </c>
      <c r="Y213" s="57"/>
      <c r="Z213" s="299" t="str">
        <f>IFERROR(INDEX('G-8 Condition Look up'!$A$3:$H$135,MATCH(S213,'G-8 Condition Look up'!$A$3:$A$135,0),MATCH(Y213,'G-8 Condition Look up'!$A$3:$H$3,0)),"")</f>
        <v/>
      </c>
      <c r="AA213" s="52"/>
      <c r="AB213" s="295" t="str">
        <f>IF(AA213="","",IF(VLOOKUP(AA213,'G-3 Multipliers'!$L$3:$N$6,2,FALSE)=0,"Spatial Data Missing ⚠",VLOOKUP(AA213,'G-3 Multipliers'!$L$3:$N$6,2,FALSE)))</f>
        <v/>
      </c>
      <c r="AC213" s="299" t="str">
        <f>IF(AA213="","",IF(VLOOKUP(AA213,'G-3 Multipliers'!$L$3:$N$6,3,FALSE)=0,"Spatial Data Missing ⚠",VLOOKUP(AA213,'G-3 Multipliers'!$L$3:$N$6,3,FALSE)))</f>
        <v/>
      </c>
      <c r="AD213" s="313" t="str">
        <f t="shared" si="34"/>
        <v/>
      </c>
      <c r="AE213" s="58"/>
      <c r="AF213" s="58"/>
      <c r="AG213" s="283" t="str">
        <f t="shared" si="38"/>
        <v/>
      </c>
      <c r="AH213" s="296" t="str">
        <f t="shared" si="39"/>
        <v/>
      </c>
      <c r="AI213" s="297" t="str">
        <f>IF(AH213="Check Data ⚠","Check Data ⚠",IFERROR(VLOOKUP(AH213,'G-4 Temporal multipliers'!$A$4:$C$36,3,FALSE),""))</f>
        <v/>
      </c>
      <c r="AJ213" s="275" t="str">
        <f>IF(S213="","",VLOOKUP(S213,'G-3 Multipliers'!$A$2:$E$134,4,FALSE))</f>
        <v/>
      </c>
      <c r="AK213" s="283" t="str">
        <f t="shared" si="40"/>
        <v/>
      </c>
      <c r="AL213" s="283" t="str">
        <f t="shared" si="41"/>
        <v/>
      </c>
      <c r="AM213" s="314" t="str">
        <f>IFERROR(IF(F213="","",IF(AH213="Check Data ⚠","Check Data ⚠",VLOOKUP(AL213,'G-3 Multipliers'!$P$2:$Q$6,2,FALSE))),"")</f>
        <v/>
      </c>
      <c r="AN213" s="289" t="str">
        <f t="shared" si="42"/>
        <v/>
      </c>
      <c r="AO213" s="52"/>
      <c r="AP213" s="51"/>
      <c r="AQ213" s="104"/>
      <c r="AT213" s="35" t="str">
        <f t="shared" si="43"/>
        <v>No</v>
      </c>
      <c r="AU213" s="35" t="str">
        <f>IF(E213="","",IF(ISNA(VLOOKUP($E213,'A-1 On-Site Habitat Baseline'!$D$1:$AV$258,4,FALSE)),"",(VLOOKUP($E213,'A-1 On-Site Habitat Baseline'!$D$1:$AV$258,4,FALSE))))</f>
        <v/>
      </c>
    </row>
    <row r="214" spans="1:47" ht="14">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05" t="str">
        <f>'A-1 On-Site Habitat Baseline'!AL213</f>
        <v/>
      </c>
      <c r="F214" s="295" t="str">
        <f>IF(E214="","",IF(ISNA(VLOOKUP($E214,'A-1 On-Site Habitat Baseline'!$D$1:$AV$258,45,FALSE)),"",(VLOOKUP($E214,'A-1 On-Site Habitat Baseline'!$D$1:$AV$258,45,FALSE))))</f>
        <v/>
      </c>
      <c r="G214" s="295" t="str">
        <f>IF(E214="","",IF(ISNA(VLOOKUP($E214,'A-1 On-Site Habitat Baseline'!$D$1:$O$258,5,FALSE)),"",(VLOOKUP($E214,'A-1 On-Site Habitat Baseline'!$D$1:$O$258,5,FALSE))))</f>
        <v/>
      </c>
      <c r="H214" s="295" t="str">
        <f>IF(E214="","",IF(ISNA(VLOOKUP($E214,'A-1 On-Site Habitat Baseline'!$D$1:$O$258,6,FALSE)),"",(VLOOKUP($E214,'A-1 On-Site Habitat Baseline'!$D$1:$O$258,6,FALSE))))</f>
        <v/>
      </c>
      <c r="I214" s="295" t="str">
        <f>IF(E214="","",IF(ISNA(VLOOKUP($E214,'A-1 On-Site Habitat Baseline'!$D$1:$O$258,7,FALSE)),"",(VLOOKUP($E214,'A-1 On-Site Habitat Baseline'!$D$1:$O$258,7,FALSE))))</f>
        <v/>
      </c>
      <c r="J214" s="295" t="str">
        <f>IF(E214="","",IF(ISNA(VLOOKUP($E214,'A-1 On-Site Habitat Baseline'!$D$1:$O$258,8,FALSE)),"",(VLOOKUP($E214,'A-1 On-Site Habitat Baseline'!$D$1:$O$258,8,FALSE))))</f>
        <v/>
      </c>
      <c r="K214" s="295" t="str">
        <f>IF(E214="","",IF(ISNA(VLOOKUP($E214,'A-1 On-Site Habitat Baseline'!$D$1:$O$258,9,FALSE)),"",(VLOOKUP($E214,'A-1 On-Site Habitat Baseline'!$D$1:$O$258,9,FALSE))))</f>
        <v/>
      </c>
      <c r="L214" s="295" t="str">
        <f>IF(E214="","",IF(ISNA(VLOOKUP($E214,'A-1 On-Site Habitat Baseline'!$D$1:$O$258,11,FALSE)),"",(VLOOKUP($E214,'A-1 On-Site Habitat Baseline'!$D$1:$O$258,11,FALSE))))</f>
        <v/>
      </c>
      <c r="M214" s="295" t="str">
        <f>IF(E214="","",IF(ISNA(VLOOKUP($E214,'A-1 On-Site Habitat Baseline'!$D$1:$O$258,12,FALSE)),"",(VLOOKUP($E214,'A-1 On-Site Habitat Baseline'!$D$1:$O$258,12,FALSE))))</f>
        <v/>
      </c>
      <c r="N214" s="306" t="str">
        <f>IF(E214="","",IF(ISNA(VLOOKUP($E214,'A-1 On-Site Habitat Baseline'!$D$1:$X$258,14,FALSE)),"",(VLOOKUP($E214,'A-1 On-Site Habitat Baseline'!$D$1:$X$258,14,FALSE))))</f>
        <v/>
      </c>
      <c r="O214" s="299" t="str">
        <f>IF(E214="","",IF(ISNA(VLOOKUP($E214,'A-1 On-Site Habitat Baseline'!$D$1:$X$258,16,FALSE)),"",(VLOOKUP($E214,'A-1 On-Site Habitat Baseline'!$D$1:$X$258,13,FALSE))))</f>
        <v/>
      </c>
      <c r="P214" s="154" t="str">
        <f>IFERROR(INDEX('G-1 All Habitats'!$AG$49:$AG$63,MATCH(Q214,'G-1 All Habitats'!$AF$27:$AF$41,0)),"")</f>
        <v/>
      </c>
      <c r="Q214" s="155" t="str">
        <f t="shared" si="35"/>
        <v/>
      </c>
      <c r="R214" s="155"/>
      <c r="S214" s="237" t="str">
        <f>IFERROR(INDEX('G-1 All Habitats'!$B$3:$B$135,MATCH(R214,'G-1 All Habitats'!$A$3:$A$135,0)),"")</f>
        <v/>
      </c>
      <c r="T214" s="275" t="str">
        <f t="shared" si="36"/>
        <v/>
      </c>
      <c r="U214" s="276" t="str">
        <f t="shared" si="37"/>
        <v/>
      </c>
      <c r="V214" s="311" t="str">
        <f t="shared" si="33"/>
        <v/>
      </c>
      <c r="W214" s="295" t="str">
        <f>IF(S214="","",VLOOKUP(S214,'G-1 All Habitats'!$B$2:$M$135,10,FALSE))</f>
        <v/>
      </c>
      <c r="X214" s="295" t="str">
        <f>IFERROR(VLOOKUP(W214,'G-1 All Habitats'!$V$3:$W$7,2,FALSE),"")</f>
        <v/>
      </c>
      <c r="Y214" s="57"/>
      <c r="Z214" s="299" t="str">
        <f>IFERROR(INDEX('G-8 Condition Look up'!$A$3:$H$135,MATCH(S214,'G-8 Condition Look up'!$A$3:$A$135,0),MATCH(Y214,'G-8 Condition Look up'!$A$3:$H$3,0)),"")</f>
        <v/>
      </c>
      <c r="AA214" s="52"/>
      <c r="AB214" s="295" t="str">
        <f>IF(AA214="","",IF(VLOOKUP(AA214,'G-3 Multipliers'!$L$3:$N$6,2,FALSE)=0,"Spatial Data Missing ⚠",VLOOKUP(AA214,'G-3 Multipliers'!$L$3:$N$6,2,FALSE)))</f>
        <v/>
      </c>
      <c r="AC214" s="299" t="str">
        <f>IF(AA214="","",IF(VLOOKUP(AA214,'G-3 Multipliers'!$L$3:$N$6,3,FALSE)=0,"Spatial Data Missing ⚠",VLOOKUP(AA214,'G-3 Multipliers'!$L$3:$N$6,3,FALSE)))</f>
        <v/>
      </c>
      <c r="AD214" s="313" t="str">
        <f t="shared" si="34"/>
        <v/>
      </c>
      <c r="AE214" s="58"/>
      <c r="AF214" s="58"/>
      <c r="AG214" s="283" t="str">
        <f t="shared" si="38"/>
        <v/>
      </c>
      <c r="AH214" s="296" t="str">
        <f t="shared" si="39"/>
        <v/>
      </c>
      <c r="AI214" s="297" t="str">
        <f>IF(AH214="Check Data ⚠","Check Data ⚠",IFERROR(VLOOKUP(AH214,'G-4 Temporal multipliers'!$A$4:$C$36,3,FALSE),""))</f>
        <v/>
      </c>
      <c r="AJ214" s="275" t="str">
        <f>IF(S214="","",VLOOKUP(S214,'G-3 Multipliers'!$A$2:$E$134,4,FALSE))</f>
        <v/>
      </c>
      <c r="AK214" s="283" t="str">
        <f t="shared" si="40"/>
        <v/>
      </c>
      <c r="AL214" s="283" t="str">
        <f t="shared" si="41"/>
        <v/>
      </c>
      <c r="AM214" s="314" t="str">
        <f>IFERROR(IF(F214="","",IF(AH214="Check Data ⚠","Check Data ⚠",VLOOKUP(AL214,'G-3 Multipliers'!$P$2:$Q$6,2,FALSE))),"")</f>
        <v/>
      </c>
      <c r="AN214" s="289" t="str">
        <f t="shared" si="42"/>
        <v/>
      </c>
      <c r="AO214" s="52"/>
      <c r="AP214" s="51"/>
      <c r="AQ214" s="104"/>
      <c r="AT214" s="35" t="str">
        <f t="shared" si="43"/>
        <v>No</v>
      </c>
      <c r="AU214" s="35" t="str">
        <f>IF(E214="","",IF(ISNA(VLOOKUP($E214,'A-1 On-Site Habitat Baseline'!$D$1:$AV$258,4,FALSE)),"",(VLOOKUP($E214,'A-1 On-Site Habitat Baseline'!$D$1:$AV$258,4,FALSE))))</f>
        <v/>
      </c>
    </row>
    <row r="215" spans="1:47" ht="14">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05" t="str">
        <f>'A-1 On-Site Habitat Baseline'!AL214</f>
        <v/>
      </c>
      <c r="F215" s="295" t="str">
        <f>IF(E215="","",IF(ISNA(VLOOKUP($E215,'A-1 On-Site Habitat Baseline'!$D$1:$AV$258,45,FALSE)),"",(VLOOKUP($E215,'A-1 On-Site Habitat Baseline'!$D$1:$AV$258,45,FALSE))))</f>
        <v/>
      </c>
      <c r="G215" s="295" t="str">
        <f>IF(E215="","",IF(ISNA(VLOOKUP($E215,'A-1 On-Site Habitat Baseline'!$D$1:$O$258,5,FALSE)),"",(VLOOKUP($E215,'A-1 On-Site Habitat Baseline'!$D$1:$O$258,5,FALSE))))</f>
        <v/>
      </c>
      <c r="H215" s="295" t="str">
        <f>IF(E215="","",IF(ISNA(VLOOKUP($E215,'A-1 On-Site Habitat Baseline'!$D$1:$O$258,6,FALSE)),"",(VLOOKUP($E215,'A-1 On-Site Habitat Baseline'!$D$1:$O$258,6,FALSE))))</f>
        <v/>
      </c>
      <c r="I215" s="295" t="str">
        <f>IF(E215="","",IF(ISNA(VLOOKUP($E215,'A-1 On-Site Habitat Baseline'!$D$1:$O$258,7,FALSE)),"",(VLOOKUP($E215,'A-1 On-Site Habitat Baseline'!$D$1:$O$258,7,FALSE))))</f>
        <v/>
      </c>
      <c r="J215" s="295" t="str">
        <f>IF(E215="","",IF(ISNA(VLOOKUP($E215,'A-1 On-Site Habitat Baseline'!$D$1:$O$258,8,FALSE)),"",(VLOOKUP($E215,'A-1 On-Site Habitat Baseline'!$D$1:$O$258,8,FALSE))))</f>
        <v/>
      </c>
      <c r="K215" s="295" t="str">
        <f>IF(E215="","",IF(ISNA(VLOOKUP($E215,'A-1 On-Site Habitat Baseline'!$D$1:$O$258,9,FALSE)),"",(VLOOKUP($E215,'A-1 On-Site Habitat Baseline'!$D$1:$O$258,9,FALSE))))</f>
        <v/>
      </c>
      <c r="L215" s="295" t="str">
        <f>IF(E215="","",IF(ISNA(VLOOKUP($E215,'A-1 On-Site Habitat Baseline'!$D$1:$O$258,11,FALSE)),"",(VLOOKUP($E215,'A-1 On-Site Habitat Baseline'!$D$1:$O$258,11,FALSE))))</f>
        <v/>
      </c>
      <c r="M215" s="295" t="str">
        <f>IF(E215="","",IF(ISNA(VLOOKUP($E215,'A-1 On-Site Habitat Baseline'!$D$1:$O$258,12,FALSE)),"",(VLOOKUP($E215,'A-1 On-Site Habitat Baseline'!$D$1:$O$258,12,FALSE))))</f>
        <v/>
      </c>
      <c r="N215" s="306" t="str">
        <f>IF(E215="","",IF(ISNA(VLOOKUP($E215,'A-1 On-Site Habitat Baseline'!$D$1:$X$258,14,FALSE)),"",(VLOOKUP($E215,'A-1 On-Site Habitat Baseline'!$D$1:$X$258,14,FALSE))))</f>
        <v/>
      </c>
      <c r="O215" s="299" t="str">
        <f>IF(E215="","",IF(ISNA(VLOOKUP($E215,'A-1 On-Site Habitat Baseline'!$D$1:$X$258,16,FALSE)),"",(VLOOKUP($E215,'A-1 On-Site Habitat Baseline'!$D$1:$X$258,13,FALSE))))</f>
        <v/>
      </c>
      <c r="P215" s="154" t="str">
        <f>IFERROR(INDEX('G-1 All Habitats'!$AG$49:$AG$63,MATCH(Q215,'G-1 All Habitats'!$AF$27:$AF$41,0)),"")</f>
        <v/>
      </c>
      <c r="Q215" s="155" t="str">
        <f t="shared" si="35"/>
        <v/>
      </c>
      <c r="R215" s="155"/>
      <c r="S215" s="237" t="str">
        <f>IFERROR(INDEX('G-1 All Habitats'!$B$3:$B$135,MATCH(R215,'G-1 All Habitats'!$A$3:$A$135,0)),"")</f>
        <v/>
      </c>
      <c r="T215" s="275" t="str">
        <f t="shared" si="36"/>
        <v/>
      </c>
      <c r="U215" s="276" t="str">
        <f t="shared" si="37"/>
        <v/>
      </c>
      <c r="V215" s="311" t="str">
        <f t="shared" si="33"/>
        <v/>
      </c>
      <c r="W215" s="295" t="str">
        <f>IF(S215="","",VLOOKUP(S215,'G-1 All Habitats'!$B$2:$M$135,10,FALSE))</f>
        <v/>
      </c>
      <c r="X215" s="295" t="str">
        <f>IFERROR(VLOOKUP(W215,'G-1 All Habitats'!$V$3:$W$7,2,FALSE),"")</f>
        <v/>
      </c>
      <c r="Y215" s="57"/>
      <c r="Z215" s="299" t="str">
        <f>IFERROR(INDEX('G-8 Condition Look up'!$A$3:$H$135,MATCH(S215,'G-8 Condition Look up'!$A$3:$A$135,0),MATCH(Y215,'G-8 Condition Look up'!$A$3:$H$3,0)),"")</f>
        <v/>
      </c>
      <c r="AA215" s="52"/>
      <c r="AB215" s="295" t="str">
        <f>IF(AA215="","",IF(VLOOKUP(AA215,'G-3 Multipliers'!$L$3:$N$6,2,FALSE)=0,"Spatial Data Missing ⚠",VLOOKUP(AA215,'G-3 Multipliers'!$L$3:$N$6,2,FALSE)))</f>
        <v/>
      </c>
      <c r="AC215" s="299" t="str">
        <f>IF(AA215="","",IF(VLOOKUP(AA215,'G-3 Multipliers'!$L$3:$N$6,3,FALSE)=0,"Spatial Data Missing ⚠",VLOOKUP(AA215,'G-3 Multipliers'!$L$3:$N$6,3,FALSE)))</f>
        <v/>
      </c>
      <c r="AD215" s="313" t="str">
        <f t="shared" si="34"/>
        <v/>
      </c>
      <c r="AE215" s="58"/>
      <c r="AF215" s="58"/>
      <c r="AG215" s="283" t="str">
        <f t="shared" si="38"/>
        <v/>
      </c>
      <c r="AH215" s="296" t="str">
        <f t="shared" si="39"/>
        <v/>
      </c>
      <c r="AI215" s="297" t="str">
        <f>IF(AH215="Check Data ⚠","Check Data ⚠",IFERROR(VLOOKUP(AH215,'G-4 Temporal multipliers'!$A$4:$C$36,3,FALSE),""))</f>
        <v/>
      </c>
      <c r="AJ215" s="275" t="str">
        <f>IF(S215="","",VLOOKUP(S215,'G-3 Multipliers'!$A$2:$E$134,4,FALSE))</f>
        <v/>
      </c>
      <c r="AK215" s="283" t="str">
        <f t="shared" si="40"/>
        <v/>
      </c>
      <c r="AL215" s="283" t="str">
        <f t="shared" si="41"/>
        <v/>
      </c>
      <c r="AM215" s="314" t="str">
        <f>IFERROR(IF(F215="","",IF(AH215="Check Data ⚠","Check Data ⚠",VLOOKUP(AL215,'G-3 Multipliers'!$P$2:$Q$6,2,FALSE))),"")</f>
        <v/>
      </c>
      <c r="AN215" s="289" t="str">
        <f t="shared" si="42"/>
        <v/>
      </c>
      <c r="AO215" s="52"/>
      <c r="AP215" s="51"/>
      <c r="AQ215" s="104"/>
      <c r="AT215" s="35" t="str">
        <f t="shared" si="43"/>
        <v>No</v>
      </c>
      <c r="AU215" s="35" t="str">
        <f>IF(E215="","",IF(ISNA(VLOOKUP($E215,'A-1 On-Site Habitat Baseline'!$D$1:$AV$258,4,FALSE)),"",(VLOOKUP($E215,'A-1 On-Site Habitat Baseline'!$D$1:$AV$258,4,FALSE))))</f>
        <v/>
      </c>
    </row>
    <row r="216" spans="1:47" ht="14">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05" t="str">
        <f>'A-1 On-Site Habitat Baseline'!AL215</f>
        <v/>
      </c>
      <c r="F216" s="295" t="str">
        <f>IF(E216="","",IF(ISNA(VLOOKUP($E216,'A-1 On-Site Habitat Baseline'!$D$1:$AV$258,45,FALSE)),"",(VLOOKUP($E216,'A-1 On-Site Habitat Baseline'!$D$1:$AV$258,45,FALSE))))</f>
        <v/>
      </c>
      <c r="G216" s="295" t="str">
        <f>IF(E216="","",IF(ISNA(VLOOKUP($E216,'A-1 On-Site Habitat Baseline'!$D$1:$O$258,5,FALSE)),"",(VLOOKUP($E216,'A-1 On-Site Habitat Baseline'!$D$1:$O$258,5,FALSE))))</f>
        <v/>
      </c>
      <c r="H216" s="295" t="str">
        <f>IF(E216="","",IF(ISNA(VLOOKUP($E216,'A-1 On-Site Habitat Baseline'!$D$1:$O$258,6,FALSE)),"",(VLOOKUP($E216,'A-1 On-Site Habitat Baseline'!$D$1:$O$258,6,FALSE))))</f>
        <v/>
      </c>
      <c r="I216" s="295" t="str">
        <f>IF(E216="","",IF(ISNA(VLOOKUP($E216,'A-1 On-Site Habitat Baseline'!$D$1:$O$258,7,FALSE)),"",(VLOOKUP($E216,'A-1 On-Site Habitat Baseline'!$D$1:$O$258,7,FALSE))))</f>
        <v/>
      </c>
      <c r="J216" s="295" t="str">
        <f>IF(E216="","",IF(ISNA(VLOOKUP($E216,'A-1 On-Site Habitat Baseline'!$D$1:$O$258,8,FALSE)),"",(VLOOKUP($E216,'A-1 On-Site Habitat Baseline'!$D$1:$O$258,8,FALSE))))</f>
        <v/>
      </c>
      <c r="K216" s="295" t="str">
        <f>IF(E216="","",IF(ISNA(VLOOKUP($E216,'A-1 On-Site Habitat Baseline'!$D$1:$O$258,9,FALSE)),"",(VLOOKUP($E216,'A-1 On-Site Habitat Baseline'!$D$1:$O$258,9,FALSE))))</f>
        <v/>
      </c>
      <c r="L216" s="295" t="str">
        <f>IF(E216="","",IF(ISNA(VLOOKUP($E216,'A-1 On-Site Habitat Baseline'!$D$1:$O$258,11,FALSE)),"",(VLOOKUP($E216,'A-1 On-Site Habitat Baseline'!$D$1:$O$258,11,FALSE))))</f>
        <v/>
      </c>
      <c r="M216" s="295" t="str">
        <f>IF(E216="","",IF(ISNA(VLOOKUP($E216,'A-1 On-Site Habitat Baseline'!$D$1:$O$258,12,FALSE)),"",(VLOOKUP($E216,'A-1 On-Site Habitat Baseline'!$D$1:$O$258,12,FALSE))))</f>
        <v/>
      </c>
      <c r="N216" s="306" t="str">
        <f>IF(E216="","",IF(ISNA(VLOOKUP($E216,'A-1 On-Site Habitat Baseline'!$D$1:$X$258,14,FALSE)),"",(VLOOKUP($E216,'A-1 On-Site Habitat Baseline'!$D$1:$X$258,14,FALSE))))</f>
        <v/>
      </c>
      <c r="O216" s="299" t="str">
        <f>IF(E216="","",IF(ISNA(VLOOKUP($E216,'A-1 On-Site Habitat Baseline'!$D$1:$X$258,16,FALSE)),"",(VLOOKUP($E216,'A-1 On-Site Habitat Baseline'!$D$1:$X$258,13,FALSE))))</f>
        <v/>
      </c>
      <c r="P216" s="154" t="str">
        <f>IFERROR(INDEX('G-1 All Habitats'!$AG$49:$AG$63,MATCH(Q216,'G-1 All Habitats'!$AF$27:$AF$41,0)),"")</f>
        <v/>
      </c>
      <c r="Q216" s="155" t="str">
        <f t="shared" si="35"/>
        <v/>
      </c>
      <c r="R216" s="155"/>
      <c r="S216" s="237" t="str">
        <f>IFERROR(INDEX('G-1 All Habitats'!$B$3:$B$135,MATCH(R216,'G-1 All Habitats'!$A$3:$A$135,0)),"")</f>
        <v/>
      </c>
      <c r="T216" s="275" t="str">
        <f t="shared" si="36"/>
        <v/>
      </c>
      <c r="U216" s="276" t="str">
        <f t="shared" si="37"/>
        <v/>
      </c>
      <c r="V216" s="311" t="str">
        <f t="shared" si="33"/>
        <v/>
      </c>
      <c r="W216" s="295" t="str">
        <f>IF(S216="","",VLOOKUP(S216,'G-1 All Habitats'!$B$2:$M$135,10,FALSE))</f>
        <v/>
      </c>
      <c r="X216" s="295" t="str">
        <f>IFERROR(VLOOKUP(W216,'G-1 All Habitats'!$V$3:$W$7,2,FALSE),"")</f>
        <v/>
      </c>
      <c r="Y216" s="57"/>
      <c r="Z216" s="299" t="str">
        <f>IFERROR(INDEX('G-8 Condition Look up'!$A$3:$H$135,MATCH(S216,'G-8 Condition Look up'!$A$3:$A$135,0),MATCH(Y216,'G-8 Condition Look up'!$A$3:$H$3,0)),"")</f>
        <v/>
      </c>
      <c r="AA216" s="52"/>
      <c r="AB216" s="295" t="str">
        <f>IF(AA216="","",IF(VLOOKUP(AA216,'G-3 Multipliers'!$L$3:$N$6,2,FALSE)=0,"Spatial Data Missing ⚠",VLOOKUP(AA216,'G-3 Multipliers'!$L$3:$N$6,2,FALSE)))</f>
        <v/>
      </c>
      <c r="AC216" s="299" t="str">
        <f>IF(AA216="","",IF(VLOOKUP(AA216,'G-3 Multipliers'!$L$3:$N$6,3,FALSE)=0,"Spatial Data Missing ⚠",VLOOKUP(AA216,'G-3 Multipliers'!$L$3:$N$6,3,FALSE)))</f>
        <v/>
      </c>
      <c r="AD216" s="313" t="str">
        <f t="shared" si="34"/>
        <v/>
      </c>
      <c r="AE216" s="58"/>
      <c r="AF216" s="58"/>
      <c r="AG216" s="283" t="str">
        <f t="shared" si="38"/>
        <v/>
      </c>
      <c r="AH216" s="296" t="str">
        <f t="shared" si="39"/>
        <v/>
      </c>
      <c r="AI216" s="297" t="str">
        <f>IF(AH216="Check Data ⚠","Check Data ⚠",IFERROR(VLOOKUP(AH216,'G-4 Temporal multipliers'!$A$4:$C$36,3,FALSE),""))</f>
        <v/>
      </c>
      <c r="AJ216" s="275" t="str">
        <f>IF(S216="","",VLOOKUP(S216,'G-3 Multipliers'!$A$2:$E$134,4,FALSE))</f>
        <v/>
      </c>
      <c r="AK216" s="283" t="str">
        <f t="shared" si="40"/>
        <v/>
      </c>
      <c r="AL216" s="283" t="str">
        <f t="shared" si="41"/>
        <v/>
      </c>
      <c r="AM216" s="314" t="str">
        <f>IFERROR(IF(F216="","",IF(AH216="Check Data ⚠","Check Data ⚠",VLOOKUP(AL216,'G-3 Multipliers'!$P$2:$Q$6,2,FALSE))),"")</f>
        <v/>
      </c>
      <c r="AN216" s="289" t="str">
        <f t="shared" si="42"/>
        <v/>
      </c>
      <c r="AO216" s="52"/>
      <c r="AP216" s="51"/>
      <c r="AQ216" s="104"/>
      <c r="AT216" s="35" t="str">
        <f t="shared" si="43"/>
        <v>No</v>
      </c>
      <c r="AU216" s="35" t="str">
        <f>IF(E216="","",IF(ISNA(VLOOKUP($E216,'A-1 On-Site Habitat Baseline'!$D$1:$AV$258,4,FALSE)),"",(VLOOKUP($E216,'A-1 On-Site Habitat Baseline'!$D$1:$AV$258,4,FALSE))))</f>
        <v/>
      </c>
    </row>
    <row r="217" spans="1:47" ht="14">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05" t="str">
        <f>'A-1 On-Site Habitat Baseline'!AL216</f>
        <v/>
      </c>
      <c r="F217" s="295" t="str">
        <f>IF(E217="","",IF(ISNA(VLOOKUP($E217,'A-1 On-Site Habitat Baseline'!$D$1:$AV$258,45,FALSE)),"",(VLOOKUP($E217,'A-1 On-Site Habitat Baseline'!$D$1:$AV$258,45,FALSE))))</f>
        <v/>
      </c>
      <c r="G217" s="295" t="str">
        <f>IF(E217="","",IF(ISNA(VLOOKUP($E217,'A-1 On-Site Habitat Baseline'!$D$1:$O$258,5,FALSE)),"",(VLOOKUP($E217,'A-1 On-Site Habitat Baseline'!$D$1:$O$258,5,FALSE))))</f>
        <v/>
      </c>
      <c r="H217" s="295" t="str">
        <f>IF(E217="","",IF(ISNA(VLOOKUP($E217,'A-1 On-Site Habitat Baseline'!$D$1:$O$258,6,FALSE)),"",(VLOOKUP($E217,'A-1 On-Site Habitat Baseline'!$D$1:$O$258,6,FALSE))))</f>
        <v/>
      </c>
      <c r="I217" s="295" t="str">
        <f>IF(E217="","",IF(ISNA(VLOOKUP($E217,'A-1 On-Site Habitat Baseline'!$D$1:$O$258,7,FALSE)),"",(VLOOKUP($E217,'A-1 On-Site Habitat Baseline'!$D$1:$O$258,7,FALSE))))</f>
        <v/>
      </c>
      <c r="J217" s="295" t="str">
        <f>IF(E217="","",IF(ISNA(VLOOKUP($E217,'A-1 On-Site Habitat Baseline'!$D$1:$O$258,8,FALSE)),"",(VLOOKUP($E217,'A-1 On-Site Habitat Baseline'!$D$1:$O$258,8,FALSE))))</f>
        <v/>
      </c>
      <c r="K217" s="295" t="str">
        <f>IF(E217="","",IF(ISNA(VLOOKUP($E217,'A-1 On-Site Habitat Baseline'!$D$1:$O$258,9,FALSE)),"",(VLOOKUP($E217,'A-1 On-Site Habitat Baseline'!$D$1:$O$258,9,FALSE))))</f>
        <v/>
      </c>
      <c r="L217" s="295" t="str">
        <f>IF(E217="","",IF(ISNA(VLOOKUP($E217,'A-1 On-Site Habitat Baseline'!$D$1:$O$258,11,FALSE)),"",(VLOOKUP($E217,'A-1 On-Site Habitat Baseline'!$D$1:$O$258,11,FALSE))))</f>
        <v/>
      </c>
      <c r="M217" s="295" t="str">
        <f>IF(E217="","",IF(ISNA(VLOOKUP($E217,'A-1 On-Site Habitat Baseline'!$D$1:$O$258,12,FALSE)),"",(VLOOKUP($E217,'A-1 On-Site Habitat Baseline'!$D$1:$O$258,12,FALSE))))</f>
        <v/>
      </c>
      <c r="N217" s="306" t="str">
        <f>IF(E217="","",IF(ISNA(VLOOKUP($E217,'A-1 On-Site Habitat Baseline'!$D$1:$X$258,14,FALSE)),"",(VLOOKUP($E217,'A-1 On-Site Habitat Baseline'!$D$1:$X$258,14,FALSE))))</f>
        <v/>
      </c>
      <c r="O217" s="299" t="str">
        <f>IF(E217="","",IF(ISNA(VLOOKUP($E217,'A-1 On-Site Habitat Baseline'!$D$1:$X$258,16,FALSE)),"",(VLOOKUP($E217,'A-1 On-Site Habitat Baseline'!$D$1:$X$258,13,FALSE))))</f>
        <v/>
      </c>
      <c r="P217" s="154" t="str">
        <f>IFERROR(INDEX('G-1 All Habitats'!$AG$49:$AG$63,MATCH(Q217,'G-1 All Habitats'!$AF$27:$AF$41,0)),"")</f>
        <v/>
      </c>
      <c r="Q217" s="155" t="str">
        <f t="shared" si="35"/>
        <v/>
      </c>
      <c r="R217" s="155"/>
      <c r="S217" s="237" t="str">
        <f>IFERROR(INDEX('G-1 All Habitats'!$B$3:$B$135,MATCH(R217,'G-1 All Habitats'!$A$3:$A$135,0)),"")</f>
        <v/>
      </c>
      <c r="T217" s="275" t="str">
        <f t="shared" si="36"/>
        <v/>
      </c>
      <c r="U217" s="276" t="str">
        <f t="shared" si="37"/>
        <v/>
      </c>
      <c r="V217" s="311" t="str">
        <f t="shared" si="33"/>
        <v/>
      </c>
      <c r="W217" s="295" t="str">
        <f>IF(S217="","",VLOOKUP(S217,'G-1 All Habitats'!$B$2:$M$135,10,FALSE))</f>
        <v/>
      </c>
      <c r="X217" s="295" t="str">
        <f>IFERROR(VLOOKUP(W217,'G-1 All Habitats'!$V$3:$W$7,2,FALSE),"")</f>
        <v/>
      </c>
      <c r="Y217" s="57"/>
      <c r="Z217" s="299" t="str">
        <f>IFERROR(INDEX('G-8 Condition Look up'!$A$3:$H$135,MATCH(S217,'G-8 Condition Look up'!$A$3:$A$135,0),MATCH(Y217,'G-8 Condition Look up'!$A$3:$H$3,0)),"")</f>
        <v/>
      </c>
      <c r="AA217" s="52"/>
      <c r="AB217" s="295" t="str">
        <f>IF(AA217="","",IF(VLOOKUP(AA217,'G-3 Multipliers'!$L$3:$N$6,2,FALSE)=0,"Spatial Data Missing ⚠",VLOOKUP(AA217,'G-3 Multipliers'!$L$3:$N$6,2,FALSE)))</f>
        <v/>
      </c>
      <c r="AC217" s="299" t="str">
        <f>IF(AA217="","",IF(VLOOKUP(AA217,'G-3 Multipliers'!$L$3:$N$6,3,FALSE)=0,"Spatial Data Missing ⚠",VLOOKUP(AA217,'G-3 Multipliers'!$L$3:$N$6,3,FALSE)))</f>
        <v/>
      </c>
      <c r="AD217" s="313" t="str">
        <f t="shared" si="34"/>
        <v/>
      </c>
      <c r="AE217" s="58"/>
      <c r="AF217" s="58"/>
      <c r="AG217" s="283" t="str">
        <f t="shared" si="38"/>
        <v/>
      </c>
      <c r="AH217" s="296" t="str">
        <f t="shared" si="39"/>
        <v/>
      </c>
      <c r="AI217" s="297" t="str">
        <f>IF(AH217="Check Data ⚠","Check Data ⚠",IFERROR(VLOOKUP(AH217,'G-4 Temporal multipliers'!$A$4:$C$36,3,FALSE),""))</f>
        <v/>
      </c>
      <c r="AJ217" s="275" t="str">
        <f>IF(S217="","",VLOOKUP(S217,'G-3 Multipliers'!$A$2:$E$134,4,FALSE))</f>
        <v/>
      </c>
      <c r="AK217" s="283" t="str">
        <f t="shared" si="40"/>
        <v/>
      </c>
      <c r="AL217" s="283" t="str">
        <f t="shared" si="41"/>
        <v/>
      </c>
      <c r="AM217" s="314" t="str">
        <f>IFERROR(IF(F217="","",IF(AH217="Check Data ⚠","Check Data ⚠",VLOOKUP(AL217,'G-3 Multipliers'!$P$2:$Q$6,2,FALSE))),"")</f>
        <v/>
      </c>
      <c r="AN217" s="289" t="str">
        <f t="shared" si="42"/>
        <v/>
      </c>
      <c r="AO217" s="52"/>
      <c r="AP217" s="51"/>
      <c r="AQ217" s="104"/>
      <c r="AT217" s="35" t="str">
        <f t="shared" si="43"/>
        <v>No</v>
      </c>
      <c r="AU217" s="35" t="str">
        <f>IF(E217="","",IF(ISNA(VLOOKUP($E217,'A-1 On-Site Habitat Baseline'!$D$1:$AV$258,4,FALSE)),"",(VLOOKUP($E217,'A-1 On-Site Habitat Baseline'!$D$1:$AV$258,4,FALSE))))</f>
        <v/>
      </c>
    </row>
    <row r="218" spans="1:47" ht="14">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05" t="str">
        <f>'A-1 On-Site Habitat Baseline'!AL217</f>
        <v/>
      </c>
      <c r="F218" s="295" t="str">
        <f>IF(E218="","",IF(ISNA(VLOOKUP($E218,'A-1 On-Site Habitat Baseline'!$D$1:$AV$258,45,FALSE)),"",(VLOOKUP($E218,'A-1 On-Site Habitat Baseline'!$D$1:$AV$258,45,FALSE))))</f>
        <v/>
      </c>
      <c r="G218" s="295" t="str">
        <f>IF(E218="","",IF(ISNA(VLOOKUP($E218,'A-1 On-Site Habitat Baseline'!$D$1:$O$258,5,FALSE)),"",(VLOOKUP($E218,'A-1 On-Site Habitat Baseline'!$D$1:$O$258,5,FALSE))))</f>
        <v/>
      </c>
      <c r="H218" s="295" t="str">
        <f>IF(E218="","",IF(ISNA(VLOOKUP($E218,'A-1 On-Site Habitat Baseline'!$D$1:$O$258,6,FALSE)),"",(VLOOKUP($E218,'A-1 On-Site Habitat Baseline'!$D$1:$O$258,6,FALSE))))</f>
        <v/>
      </c>
      <c r="I218" s="295" t="str">
        <f>IF(E218="","",IF(ISNA(VLOOKUP($E218,'A-1 On-Site Habitat Baseline'!$D$1:$O$258,7,FALSE)),"",(VLOOKUP($E218,'A-1 On-Site Habitat Baseline'!$D$1:$O$258,7,FALSE))))</f>
        <v/>
      </c>
      <c r="J218" s="295" t="str">
        <f>IF(E218="","",IF(ISNA(VLOOKUP($E218,'A-1 On-Site Habitat Baseline'!$D$1:$O$258,8,FALSE)),"",(VLOOKUP($E218,'A-1 On-Site Habitat Baseline'!$D$1:$O$258,8,FALSE))))</f>
        <v/>
      </c>
      <c r="K218" s="295" t="str">
        <f>IF(E218="","",IF(ISNA(VLOOKUP($E218,'A-1 On-Site Habitat Baseline'!$D$1:$O$258,9,FALSE)),"",(VLOOKUP($E218,'A-1 On-Site Habitat Baseline'!$D$1:$O$258,9,FALSE))))</f>
        <v/>
      </c>
      <c r="L218" s="295" t="str">
        <f>IF(E218="","",IF(ISNA(VLOOKUP($E218,'A-1 On-Site Habitat Baseline'!$D$1:$O$258,11,FALSE)),"",(VLOOKUP($E218,'A-1 On-Site Habitat Baseline'!$D$1:$O$258,11,FALSE))))</f>
        <v/>
      </c>
      <c r="M218" s="295" t="str">
        <f>IF(E218="","",IF(ISNA(VLOOKUP($E218,'A-1 On-Site Habitat Baseline'!$D$1:$O$258,12,FALSE)),"",(VLOOKUP($E218,'A-1 On-Site Habitat Baseline'!$D$1:$O$258,12,FALSE))))</f>
        <v/>
      </c>
      <c r="N218" s="306" t="str">
        <f>IF(E218="","",IF(ISNA(VLOOKUP($E218,'A-1 On-Site Habitat Baseline'!$D$1:$X$258,14,FALSE)),"",(VLOOKUP($E218,'A-1 On-Site Habitat Baseline'!$D$1:$X$258,14,FALSE))))</f>
        <v/>
      </c>
      <c r="O218" s="299" t="str">
        <f>IF(E218="","",IF(ISNA(VLOOKUP($E218,'A-1 On-Site Habitat Baseline'!$D$1:$X$258,16,FALSE)),"",(VLOOKUP($E218,'A-1 On-Site Habitat Baseline'!$D$1:$X$258,13,FALSE))))</f>
        <v/>
      </c>
      <c r="P218" s="154" t="str">
        <f>IFERROR(INDEX('G-1 All Habitats'!$AG$49:$AG$63,MATCH(Q218,'G-1 All Habitats'!$AF$27:$AF$41,0)),"")</f>
        <v/>
      </c>
      <c r="Q218" s="155" t="str">
        <f t="shared" si="35"/>
        <v/>
      </c>
      <c r="R218" s="155"/>
      <c r="S218" s="237" t="str">
        <f>IFERROR(INDEX('G-1 All Habitats'!$B$3:$B$135,MATCH(R218,'G-1 All Habitats'!$A$3:$A$135,0)),"")</f>
        <v/>
      </c>
      <c r="T218" s="275" t="str">
        <f t="shared" si="36"/>
        <v/>
      </c>
      <c r="U218" s="276" t="str">
        <f t="shared" si="37"/>
        <v/>
      </c>
      <c r="V218" s="311" t="str">
        <f t="shared" si="33"/>
        <v/>
      </c>
      <c r="W218" s="295" t="str">
        <f>IF(S218="","",VLOOKUP(S218,'G-1 All Habitats'!$B$2:$M$135,10,FALSE))</f>
        <v/>
      </c>
      <c r="X218" s="295" t="str">
        <f>IFERROR(VLOOKUP(W218,'G-1 All Habitats'!$V$3:$W$7,2,FALSE),"")</f>
        <v/>
      </c>
      <c r="Y218" s="57"/>
      <c r="Z218" s="299" t="str">
        <f>IFERROR(INDEX('G-8 Condition Look up'!$A$3:$H$135,MATCH(S218,'G-8 Condition Look up'!$A$3:$A$135,0),MATCH(Y218,'G-8 Condition Look up'!$A$3:$H$3,0)),"")</f>
        <v/>
      </c>
      <c r="AA218" s="52"/>
      <c r="AB218" s="295" t="str">
        <f>IF(AA218="","",IF(VLOOKUP(AA218,'G-3 Multipliers'!$L$3:$N$6,2,FALSE)=0,"Spatial Data Missing ⚠",VLOOKUP(AA218,'G-3 Multipliers'!$L$3:$N$6,2,FALSE)))</f>
        <v/>
      </c>
      <c r="AC218" s="299" t="str">
        <f>IF(AA218="","",IF(VLOOKUP(AA218,'G-3 Multipliers'!$L$3:$N$6,3,FALSE)=0,"Spatial Data Missing ⚠",VLOOKUP(AA218,'G-3 Multipliers'!$L$3:$N$6,3,FALSE)))</f>
        <v/>
      </c>
      <c r="AD218" s="313" t="str">
        <f t="shared" si="34"/>
        <v/>
      </c>
      <c r="AE218" s="58"/>
      <c r="AF218" s="58"/>
      <c r="AG218" s="283" t="str">
        <f t="shared" si="38"/>
        <v/>
      </c>
      <c r="AH218" s="296" t="str">
        <f t="shared" si="39"/>
        <v/>
      </c>
      <c r="AI218" s="297" t="str">
        <f>IF(AH218="Check Data ⚠","Check Data ⚠",IFERROR(VLOOKUP(AH218,'G-4 Temporal multipliers'!$A$4:$C$36,3,FALSE),""))</f>
        <v/>
      </c>
      <c r="AJ218" s="275" t="str">
        <f>IF(S218="","",VLOOKUP(S218,'G-3 Multipliers'!$A$2:$E$134,4,FALSE))</f>
        <v/>
      </c>
      <c r="AK218" s="283" t="str">
        <f t="shared" si="40"/>
        <v/>
      </c>
      <c r="AL218" s="283" t="str">
        <f t="shared" si="41"/>
        <v/>
      </c>
      <c r="AM218" s="314" t="str">
        <f>IFERROR(IF(F218="","",IF(AH218="Check Data ⚠","Check Data ⚠",VLOOKUP(AL218,'G-3 Multipliers'!$P$2:$Q$6,2,FALSE))),"")</f>
        <v/>
      </c>
      <c r="AN218" s="289" t="str">
        <f t="shared" si="42"/>
        <v/>
      </c>
      <c r="AO218" s="52"/>
      <c r="AP218" s="51"/>
      <c r="AQ218" s="104"/>
      <c r="AT218" s="35" t="str">
        <f t="shared" si="43"/>
        <v>No</v>
      </c>
      <c r="AU218" s="35" t="str">
        <f>IF(E218="","",IF(ISNA(VLOOKUP($E218,'A-1 On-Site Habitat Baseline'!$D$1:$AV$258,4,FALSE)),"",(VLOOKUP($E218,'A-1 On-Site Habitat Baseline'!$D$1:$AV$258,4,FALSE))))</f>
        <v/>
      </c>
    </row>
    <row r="219" spans="1:47" ht="14">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05" t="str">
        <f>'A-1 On-Site Habitat Baseline'!AL218</f>
        <v/>
      </c>
      <c r="F219" s="295" t="str">
        <f>IF(E219="","",IF(ISNA(VLOOKUP($E219,'A-1 On-Site Habitat Baseline'!$D$1:$AV$258,45,FALSE)),"",(VLOOKUP($E219,'A-1 On-Site Habitat Baseline'!$D$1:$AV$258,45,FALSE))))</f>
        <v/>
      </c>
      <c r="G219" s="295" t="str">
        <f>IF(E219="","",IF(ISNA(VLOOKUP($E219,'A-1 On-Site Habitat Baseline'!$D$1:$O$258,5,FALSE)),"",(VLOOKUP($E219,'A-1 On-Site Habitat Baseline'!$D$1:$O$258,5,FALSE))))</f>
        <v/>
      </c>
      <c r="H219" s="295" t="str">
        <f>IF(E219="","",IF(ISNA(VLOOKUP($E219,'A-1 On-Site Habitat Baseline'!$D$1:$O$258,6,FALSE)),"",(VLOOKUP($E219,'A-1 On-Site Habitat Baseline'!$D$1:$O$258,6,FALSE))))</f>
        <v/>
      </c>
      <c r="I219" s="295" t="str">
        <f>IF(E219="","",IF(ISNA(VLOOKUP($E219,'A-1 On-Site Habitat Baseline'!$D$1:$O$258,7,FALSE)),"",(VLOOKUP($E219,'A-1 On-Site Habitat Baseline'!$D$1:$O$258,7,FALSE))))</f>
        <v/>
      </c>
      <c r="J219" s="295" t="str">
        <f>IF(E219="","",IF(ISNA(VLOOKUP($E219,'A-1 On-Site Habitat Baseline'!$D$1:$O$258,8,FALSE)),"",(VLOOKUP($E219,'A-1 On-Site Habitat Baseline'!$D$1:$O$258,8,FALSE))))</f>
        <v/>
      </c>
      <c r="K219" s="295" t="str">
        <f>IF(E219="","",IF(ISNA(VLOOKUP($E219,'A-1 On-Site Habitat Baseline'!$D$1:$O$258,9,FALSE)),"",(VLOOKUP($E219,'A-1 On-Site Habitat Baseline'!$D$1:$O$258,9,FALSE))))</f>
        <v/>
      </c>
      <c r="L219" s="295" t="str">
        <f>IF(E219="","",IF(ISNA(VLOOKUP($E219,'A-1 On-Site Habitat Baseline'!$D$1:$O$258,11,FALSE)),"",(VLOOKUP($E219,'A-1 On-Site Habitat Baseline'!$D$1:$O$258,11,FALSE))))</f>
        <v/>
      </c>
      <c r="M219" s="295" t="str">
        <f>IF(E219="","",IF(ISNA(VLOOKUP($E219,'A-1 On-Site Habitat Baseline'!$D$1:$O$258,12,FALSE)),"",(VLOOKUP($E219,'A-1 On-Site Habitat Baseline'!$D$1:$O$258,12,FALSE))))</f>
        <v/>
      </c>
      <c r="N219" s="306" t="str">
        <f>IF(E219="","",IF(ISNA(VLOOKUP($E219,'A-1 On-Site Habitat Baseline'!$D$1:$X$258,14,FALSE)),"",(VLOOKUP($E219,'A-1 On-Site Habitat Baseline'!$D$1:$X$258,14,FALSE))))</f>
        <v/>
      </c>
      <c r="O219" s="299" t="str">
        <f>IF(E219="","",IF(ISNA(VLOOKUP($E219,'A-1 On-Site Habitat Baseline'!$D$1:$X$258,16,FALSE)),"",(VLOOKUP($E219,'A-1 On-Site Habitat Baseline'!$D$1:$X$258,13,FALSE))))</f>
        <v/>
      </c>
      <c r="P219" s="154" t="str">
        <f>IFERROR(INDEX('G-1 All Habitats'!$AG$49:$AG$63,MATCH(Q219,'G-1 All Habitats'!$AF$27:$AF$41,0)),"")</f>
        <v/>
      </c>
      <c r="Q219" s="155" t="str">
        <f t="shared" si="35"/>
        <v/>
      </c>
      <c r="R219" s="155"/>
      <c r="S219" s="237" t="str">
        <f>IFERROR(INDEX('G-1 All Habitats'!$B$3:$B$135,MATCH(R219,'G-1 All Habitats'!$A$3:$A$135,0)),"")</f>
        <v/>
      </c>
      <c r="T219" s="275" t="str">
        <f t="shared" si="36"/>
        <v/>
      </c>
      <c r="U219" s="276" t="str">
        <f t="shared" si="37"/>
        <v/>
      </c>
      <c r="V219" s="311" t="str">
        <f t="shared" si="33"/>
        <v/>
      </c>
      <c r="W219" s="295" t="str">
        <f>IF(S219="","",VLOOKUP(S219,'G-1 All Habitats'!$B$2:$M$135,10,FALSE))</f>
        <v/>
      </c>
      <c r="X219" s="295" t="str">
        <f>IFERROR(VLOOKUP(W219,'G-1 All Habitats'!$V$3:$W$7,2,FALSE),"")</f>
        <v/>
      </c>
      <c r="Y219" s="57"/>
      <c r="Z219" s="299" t="str">
        <f>IFERROR(INDEX('G-8 Condition Look up'!$A$3:$H$135,MATCH(S219,'G-8 Condition Look up'!$A$3:$A$135,0),MATCH(Y219,'G-8 Condition Look up'!$A$3:$H$3,0)),"")</f>
        <v/>
      </c>
      <c r="AA219" s="52"/>
      <c r="AB219" s="295" t="str">
        <f>IF(AA219="","",IF(VLOOKUP(AA219,'G-3 Multipliers'!$L$3:$N$6,2,FALSE)=0,"Spatial Data Missing ⚠",VLOOKUP(AA219,'G-3 Multipliers'!$L$3:$N$6,2,FALSE)))</f>
        <v/>
      </c>
      <c r="AC219" s="299" t="str">
        <f>IF(AA219="","",IF(VLOOKUP(AA219,'G-3 Multipliers'!$L$3:$N$6,3,FALSE)=0,"Spatial Data Missing ⚠",VLOOKUP(AA219,'G-3 Multipliers'!$L$3:$N$6,3,FALSE)))</f>
        <v/>
      </c>
      <c r="AD219" s="313" t="str">
        <f t="shared" si="34"/>
        <v/>
      </c>
      <c r="AE219" s="58"/>
      <c r="AF219" s="58"/>
      <c r="AG219" s="283" t="str">
        <f t="shared" si="38"/>
        <v/>
      </c>
      <c r="AH219" s="296" t="str">
        <f t="shared" si="39"/>
        <v/>
      </c>
      <c r="AI219" s="297" t="str">
        <f>IF(AH219="Check Data ⚠","Check Data ⚠",IFERROR(VLOOKUP(AH219,'G-4 Temporal multipliers'!$A$4:$C$36,3,FALSE),""))</f>
        <v/>
      </c>
      <c r="AJ219" s="275" t="str">
        <f>IF(S219="","",VLOOKUP(S219,'G-3 Multipliers'!$A$2:$E$134,4,FALSE))</f>
        <v/>
      </c>
      <c r="AK219" s="283" t="str">
        <f t="shared" si="40"/>
        <v/>
      </c>
      <c r="AL219" s="283" t="str">
        <f t="shared" si="41"/>
        <v/>
      </c>
      <c r="AM219" s="314" t="str">
        <f>IFERROR(IF(F219="","",IF(AH219="Check Data ⚠","Check Data ⚠",VLOOKUP(AL219,'G-3 Multipliers'!$P$2:$Q$6,2,FALSE))),"")</f>
        <v/>
      </c>
      <c r="AN219" s="289" t="str">
        <f t="shared" si="42"/>
        <v/>
      </c>
      <c r="AO219" s="52"/>
      <c r="AP219" s="51"/>
      <c r="AQ219" s="104"/>
      <c r="AT219" s="35" t="str">
        <f t="shared" si="43"/>
        <v>No</v>
      </c>
      <c r="AU219" s="35" t="str">
        <f>IF(E219="","",IF(ISNA(VLOOKUP($E219,'A-1 On-Site Habitat Baseline'!$D$1:$AV$258,4,FALSE)),"",(VLOOKUP($E219,'A-1 On-Site Habitat Baseline'!$D$1:$AV$258,4,FALSE))))</f>
        <v/>
      </c>
    </row>
    <row r="220" spans="1:47" ht="14">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05" t="str">
        <f>'A-1 On-Site Habitat Baseline'!AL219</f>
        <v/>
      </c>
      <c r="F220" s="295" t="str">
        <f>IF(E220="","",IF(ISNA(VLOOKUP($E220,'A-1 On-Site Habitat Baseline'!$D$1:$AV$258,45,FALSE)),"",(VLOOKUP($E220,'A-1 On-Site Habitat Baseline'!$D$1:$AV$258,45,FALSE))))</f>
        <v/>
      </c>
      <c r="G220" s="295" t="str">
        <f>IF(E220="","",IF(ISNA(VLOOKUP($E220,'A-1 On-Site Habitat Baseline'!$D$1:$O$258,5,FALSE)),"",(VLOOKUP($E220,'A-1 On-Site Habitat Baseline'!$D$1:$O$258,5,FALSE))))</f>
        <v/>
      </c>
      <c r="H220" s="295" t="str">
        <f>IF(E220="","",IF(ISNA(VLOOKUP($E220,'A-1 On-Site Habitat Baseline'!$D$1:$O$258,6,FALSE)),"",(VLOOKUP($E220,'A-1 On-Site Habitat Baseline'!$D$1:$O$258,6,FALSE))))</f>
        <v/>
      </c>
      <c r="I220" s="295" t="str">
        <f>IF(E220="","",IF(ISNA(VLOOKUP($E220,'A-1 On-Site Habitat Baseline'!$D$1:$O$258,7,FALSE)),"",(VLOOKUP($E220,'A-1 On-Site Habitat Baseline'!$D$1:$O$258,7,FALSE))))</f>
        <v/>
      </c>
      <c r="J220" s="295" t="str">
        <f>IF(E220="","",IF(ISNA(VLOOKUP($E220,'A-1 On-Site Habitat Baseline'!$D$1:$O$258,8,FALSE)),"",(VLOOKUP($E220,'A-1 On-Site Habitat Baseline'!$D$1:$O$258,8,FALSE))))</f>
        <v/>
      </c>
      <c r="K220" s="295" t="str">
        <f>IF(E220="","",IF(ISNA(VLOOKUP($E220,'A-1 On-Site Habitat Baseline'!$D$1:$O$258,9,FALSE)),"",(VLOOKUP($E220,'A-1 On-Site Habitat Baseline'!$D$1:$O$258,9,FALSE))))</f>
        <v/>
      </c>
      <c r="L220" s="295" t="str">
        <f>IF(E220="","",IF(ISNA(VLOOKUP($E220,'A-1 On-Site Habitat Baseline'!$D$1:$O$258,11,FALSE)),"",(VLOOKUP($E220,'A-1 On-Site Habitat Baseline'!$D$1:$O$258,11,FALSE))))</f>
        <v/>
      </c>
      <c r="M220" s="295" t="str">
        <f>IF(E220="","",IF(ISNA(VLOOKUP($E220,'A-1 On-Site Habitat Baseline'!$D$1:$O$258,12,FALSE)),"",(VLOOKUP($E220,'A-1 On-Site Habitat Baseline'!$D$1:$O$258,12,FALSE))))</f>
        <v/>
      </c>
      <c r="N220" s="306" t="str">
        <f>IF(E220="","",IF(ISNA(VLOOKUP($E220,'A-1 On-Site Habitat Baseline'!$D$1:$X$258,14,FALSE)),"",(VLOOKUP($E220,'A-1 On-Site Habitat Baseline'!$D$1:$X$258,14,FALSE))))</f>
        <v/>
      </c>
      <c r="O220" s="299" t="str">
        <f>IF(E220="","",IF(ISNA(VLOOKUP($E220,'A-1 On-Site Habitat Baseline'!$D$1:$X$258,16,FALSE)),"",(VLOOKUP($E220,'A-1 On-Site Habitat Baseline'!$D$1:$X$258,13,FALSE))))</f>
        <v/>
      </c>
      <c r="P220" s="154" t="str">
        <f>IFERROR(INDEX('G-1 All Habitats'!$AG$49:$AG$63,MATCH(Q220,'G-1 All Habitats'!$AF$27:$AF$41,0)),"")</f>
        <v/>
      </c>
      <c r="Q220" s="155" t="str">
        <f t="shared" si="35"/>
        <v/>
      </c>
      <c r="R220" s="155"/>
      <c r="S220" s="237" t="str">
        <f>IFERROR(INDEX('G-1 All Habitats'!$B$3:$B$135,MATCH(R220,'G-1 All Habitats'!$A$3:$A$135,0)),"")</f>
        <v/>
      </c>
      <c r="T220" s="275" t="str">
        <f t="shared" si="36"/>
        <v/>
      </c>
      <c r="U220" s="276" t="str">
        <f t="shared" si="37"/>
        <v/>
      </c>
      <c r="V220" s="311" t="str">
        <f t="shared" si="33"/>
        <v/>
      </c>
      <c r="W220" s="295" t="str">
        <f>IF(S220="","",VLOOKUP(S220,'G-1 All Habitats'!$B$2:$M$135,10,FALSE))</f>
        <v/>
      </c>
      <c r="X220" s="295" t="str">
        <f>IFERROR(VLOOKUP(W220,'G-1 All Habitats'!$V$3:$W$7,2,FALSE),"")</f>
        <v/>
      </c>
      <c r="Y220" s="57"/>
      <c r="Z220" s="299" t="str">
        <f>IFERROR(INDEX('G-8 Condition Look up'!$A$3:$H$135,MATCH(S220,'G-8 Condition Look up'!$A$3:$A$135,0),MATCH(Y220,'G-8 Condition Look up'!$A$3:$H$3,0)),"")</f>
        <v/>
      </c>
      <c r="AA220" s="52"/>
      <c r="AB220" s="295" t="str">
        <f>IF(AA220="","",IF(VLOOKUP(AA220,'G-3 Multipliers'!$L$3:$N$6,2,FALSE)=0,"Spatial Data Missing ⚠",VLOOKUP(AA220,'G-3 Multipliers'!$L$3:$N$6,2,FALSE)))</f>
        <v/>
      </c>
      <c r="AC220" s="299" t="str">
        <f>IF(AA220="","",IF(VLOOKUP(AA220,'G-3 Multipliers'!$L$3:$N$6,3,FALSE)=0,"Spatial Data Missing ⚠",VLOOKUP(AA220,'G-3 Multipliers'!$L$3:$N$6,3,FALSE)))</f>
        <v/>
      </c>
      <c r="AD220" s="313" t="str">
        <f t="shared" si="34"/>
        <v/>
      </c>
      <c r="AE220" s="58"/>
      <c r="AF220" s="58"/>
      <c r="AG220" s="283" t="str">
        <f t="shared" si="38"/>
        <v/>
      </c>
      <c r="AH220" s="296" t="str">
        <f t="shared" si="39"/>
        <v/>
      </c>
      <c r="AI220" s="297" t="str">
        <f>IF(AH220="Check Data ⚠","Check Data ⚠",IFERROR(VLOOKUP(AH220,'G-4 Temporal multipliers'!$A$4:$C$36,3,FALSE),""))</f>
        <v/>
      </c>
      <c r="AJ220" s="275" t="str">
        <f>IF(S220="","",VLOOKUP(S220,'G-3 Multipliers'!$A$2:$E$134,4,FALSE))</f>
        <v/>
      </c>
      <c r="AK220" s="283" t="str">
        <f t="shared" si="40"/>
        <v/>
      </c>
      <c r="AL220" s="283" t="str">
        <f t="shared" si="41"/>
        <v/>
      </c>
      <c r="AM220" s="314" t="str">
        <f>IFERROR(IF(F220="","",IF(AH220="Check Data ⚠","Check Data ⚠",VLOOKUP(AL220,'G-3 Multipliers'!$P$2:$Q$6,2,FALSE))),"")</f>
        <v/>
      </c>
      <c r="AN220" s="289" t="str">
        <f t="shared" si="42"/>
        <v/>
      </c>
      <c r="AO220" s="52"/>
      <c r="AP220" s="51"/>
      <c r="AQ220" s="104"/>
      <c r="AT220" s="35" t="str">
        <f t="shared" si="43"/>
        <v>No</v>
      </c>
      <c r="AU220" s="35" t="str">
        <f>IF(E220="","",IF(ISNA(VLOOKUP($E220,'A-1 On-Site Habitat Baseline'!$D$1:$AV$258,4,FALSE)),"",(VLOOKUP($E220,'A-1 On-Site Habitat Baseline'!$D$1:$AV$258,4,FALSE))))</f>
        <v/>
      </c>
    </row>
    <row r="221" spans="1:47" ht="14">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05" t="str">
        <f>'A-1 On-Site Habitat Baseline'!AL220</f>
        <v/>
      </c>
      <c r="F221" s="295" t="str">
        <f>IF(E221="","",IF(ISNA(VLOOKUP($E221,'A-1 On-Site Habitat Baseline'!$D$1:$AV$258,45,FALSE)),"",(VLOOKUP($E221,'A-1 On-Site Habitat Baseline'!$D$1:$AV$258,45,FALSE))))</f>
        <v/>
      </c>
      <c r="G221" s="295" t="str">
        <f>IF(E221="","",IF(ISNA(VLOOKUP($E221,'A-1 On-Site Habitat Baseline'!$D$1:$O$258,5,FALSE)),"",(VLOOKUP($E221,'A-1 On-Site Habitat Baseline'!$D$1:$O$258,5,FALSE))))</f>
        <v/>
      </c>
      <c r="H221" s="295" t="str">
        <f>IF(E221="","",IF(ISNA(VLOOKUP($E221,'A-1 On-Site Habitat Baseline'!$D$1:$O$258,6,FALSE)),"",(VLOOKUP($E221,'A-1 On-Site Habitat Baseline'!$D$1:$O$258,6,FALSE))))</f>
        <v/>
      </c>
      <c r="I221" s="295" t="str">
        <f>IF(E221="","",IF(ISNA(VLOOKUP($E221,'A-1 On-Site Habitat Baseline'!$D$1:$O$258,7,FALSE)),"",(VLOOKUP($E221,'A-1 On-Site Habitat Baseline'!$D$1:$O$258,7,FALSE))))</f>
        <v/>
      </c>
      <c r="J221" s="295" t="str">
        <f>IF(E221="","",IF(ISNA(VLOOKUP($E221,'A-1 On-Site Habitat Baseline'!$D$1:$O$258,8,FALSE)),"",(VLOOKUP($E221,'A-1 On-Site Habitat Baseline'!$D$1:$O$258,8,FALSE))))</f>
        <v/>
      </c>
      <c r="K221" s="295" t="str">
        <f>IF(E221="","",IF(ISNA(VLOOKUP($E221,'A-1 On-Site Habitat Baseline'!$D$1:$O$258,9,FALSE)),"",(VLOOKUP($E221,'A-1 On-Site Habitat Baseline'!$D$1:$O$258,9,FALSE))))</f>
        <v/>
      </c>
      <c r="L221" s="295" t="str">
        <f>IF(E221="","",IF(ISNA(VLOOKUP($E221,'A-1 On-Site Habitat Baseline'!$D$1:$O$258,11,FALSE)),"",(VLOOKUP($E221,'A-1 On-Site Habitat Baseline'!$D$1:$O$258,11,FALSE))))</f>
        <v/>
      </c>
      <c r="M221" s="295" t="str">
        <f>IF(E221="","",IF(ISNA(VLOOKUP($E221,'A-1 On-Site Habitat Baseline'!$D$1:$O$258,12,FALSE)),"",(VLOOKUP($E221,'A-1 On-Site Habitat Baseline'!$D$1:$O$258,12,FALSE))))</f>
        <v/>
      </c>
      <c r="N221" s="306" t="str">
        <f>IF(E221="","",IF(ISNA(VLOOKUP($E221,'A-1 On-Site Habitat Baseline'!$D$1:$X$258,14,FALSE)),"",(VLOOKUP($E221,'A-1 On-Site Habitat Baseline'!$D$1:$X$258,14,FALSE))))</f>
        <v/>
      </c>
      <c r="O221" s="299" t="str">
        <f>IF(E221="","",IF(ISNA(VLOOKUP($E221,'A-1 On-Site Habitat Baseline'!$D$1:$X$258,16,FALSE)),"",(VLOOKUP($E221,'A-1 On-Site Habitat Baseline'!$D$1:$X$258,13,FALSE))))</f>
        <v/>
      </c>
      <c r="P221" s="154" t="str">
        <f>IFERROR(INDEX('G-1 All Habitats'!$AG$49:$AG$63,MATCH(Q221,'G-1 All Habitats'!$AF$27:$AF$41,0)),"")</f>
        <v/>
      </c>
      <c r="Q221" s="155" t="str">
        <f t="shared" si="35"/>
        <v/>
      </c>
      <c r="R221" s="155"/>
      <c r="S221" s="237" t="str">
        <f>IFERROR(INDEX('G-1 All Habitats'!$B$3:$B$135,MATCH(R221,'G-1 All Habitats'!$A$3:$A$135,0)),"")</f>
        <v/>
      </c>
      <c r="T221" s="275" t="str">
        <f t="shared" si="36"/>
        <v/>
      </c>
      <c r="U221" s="276" t="str">
        <f t="shared" si="37"/>
        <v/>
      </c>
      <c r="V221" s="311" t="str">
        <f t="shared" si="33"/>
        <v/>
      </c>
      <c r="W221" s="295" t="str">
        <f>IF(S221="","",VLOOKUP(S221,'G-1 All Habitats'!$B$2:$M$135,10,FALSE))</f>
        <v/>
      </c>
      <c r="X221" s="295" t="str">
        <f>IFERROR(VLOOKUP(W221,'G-1 All Habitats'!$V$3:$W$7,2,FALSE),"")</f>
        <v/>
      </c>
      <c r="Y221" s="57"/>
      <c r="Z221" s="299" t="str">
        <f>IFERROR(INDEX('G-8 Condition Look up'!$A$3:$H$135,MATCH(S221,'G-8 Condition Look up'!$A$3:$A$135,0),MATCH(Y221,'G-8 Condition Look up'!$A$3:$H$3,0)),"")</f>
        <v/>
      </c>
      <c r="AA221" s="52"/>
      <c r="AB221" s="295" t="str">
        <f>IF(AA221="","",IF(VLOOKUP(AA221,'G-3 Multipliers'!$L$3:$N$6,2,FALSE)=0,"Spatial Data Missing ⚠",VLOOKUP(AA221,'G-3 Multipliers'!$L$3:$N$6,2,FALSE)))</f>
        <v/>
      </c>
      <c r="AC221" s="299" t="str">
        <f>IF(AA221="","",IF(VLOOKUP(AA221,'G-3 Multipliers'!$L$3:$N$6,3,FALSE)=0,"Spatial Data Missing ⚠",VLOOKUP(AA221,'G-3 Multipliers'!$L$3:$N$6,3,FALSE)))</f>
        <v/>
      </c>
      <c r="AD221" s="313" t="str">
        <f t="shared" si="34"/>
        <v/>
      </c>
      <c r="AE221" s="58"/>
      <c r="AF221" s="58"/>
      <c r="AG221" s="283" t="str">
        <f t="shared" si="38"/>
        <v/>
      </c>
      <c r="AH221" s="296" t="str">
        <f t="shared" si="39"/>
        <v/>
      </c>
      <c r="AI221" s="297" t="str">
        <f>IF(AH221="Check Data ⚠","Check Data ⚠",IFERROR(VLOOKUP(AH221,'G-4 Temporal multipliers'!$A$4:$C$36,3,FALSE),""))</f>
        <v/>
      </c>
      <c r="AJ221" s="275" t="str">
        <f>IF(S221="","",VLOOKUP(S221,'G-3 Multipliers'!$A$2:$E$134,4,FALSE))</f>
        <v/>
      </c>
      <c r="AK221" s="283" t="str">
        <f t="shared" si="40"/>
        <v/>
      </c>
      <c r="AL221" s="283" t="str">
        <f t="shared" si="41"/>
        <v/>
      </c>
      <c r="AM221" s="314" t="str">
        <f>IFERROR(IF(F221="","",IF(AH221="Check Data ⚠","Check Data ⚠",VLOOKUP(AL221,'G-3 Multipliers'!$P$2:$Q$6,2,FALSE))),"")</f>
        <v/>
      </c>
      <c r="AN221" s="289" t="str">
        <f t="shared" si="42"/>
        <v/>
      </c>
      <c r="AO221" s="52"/>
      <c r="AP221" s="51"/>
      <c r="AQ221" s="104"/>
      <c r="AT221" s="35" t="str">
        <f t="shared" si="43"/>
        <v>No</v>
      </c>
      <c r="AU221" s="35" t="str">
        <f>IF(E221="","",IF(ISNA(VLOOKUP($E221,'A-1 On-Site Habitat Baseline'!$D$1:$AV$258,4,FALSE)),"",(VLOOKUP($E221,'A-1 On-Site Habitat Baseline'!$D$1:$AV$258,4,FALSE))))</f>
        <v/>
      </c>
    </row>
    <row r="222" spans="1:47" ht="14">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05" t="str">
        <f>'A-1 On-Site Habitat Baseline'!AL221</f>
        <v/>
      </c>
      <c r="F222" s="295" t="str">
        <f>IF(E222="","",IF(ISNA(VLOOKUP($E222,'A-1 On-Site Habitat Baseline'!$D$1:$AV$258,45,FALSE)),"",(VLOOKUP($E222,'A-1 On-Site Habitat Baseline'!$D$1:$AV$258,45,FALSE))))</f>
        <v/>
      </c>
      <c r="G222" s="295" t="str">
        <f>IF(E222="","",IF(ISNA(VLOOKUP($E222,'A-1 On-Site Habitat Baseline'!$D$1:$O$258,5,FALSE)),"",(VLOOKUP($E222,'A-1 On-Site Habitat Baseline'!$D$1:$O$258,5,FALSE))))</f>
        <v/>
      </c>
      <c r="H222" s="295" t="str">
        <f>IF(E222="","",IF(ISNA(VLOOKUP($E222,'A-1 On-Site Habitat Baseline'!$D$1:$O$258,6,FALSE)),"",(VLOOKUP($E222,'A-1 On-Site Habitat Baseline'!$D$1:$O$258,6,FALSE))))</f>
        <v/>
      </c>
      <c r="I222" s="295" t="str">
        <f>IF(E222="","",IF(ISNA(VLOOKUP($E222,'A-1 On-Site Habitat Baseline'!$D$1:$O$258,7,FALSE)),"",(VLOOKUP($E222,'A-1 On-Site Habitat Baseline'!$D$1:$O$258,7,FALSE))))</f>
        <v/>
      </c>
      <c r="J222" s="295" t="str">
        <f>IF(E222="","",IF(ISNA(VLOOKUP($E222,'A-1 On-Site Habitat Baseline'!$D$1:$O$258,8,FALSE)),"",(VLOOKUP($E222,'A-1 On-Site Habitat Baseline'!$D$1:$O$258,8,FALSE))))</f>
        <v/>
      </c>
      <c r="K222" s="295" t="str">
        <f>IF(E222="","",IF(ISNA(VLOOKUP($E222,'A-1 On-Site Habitat Baseline'!$D$1:$O$258,9,FALSE)),"",(VLOOKUP($E222,'A-1 On-Site Habitat Baseline'!$D$1:$O$258,9,FALSE))))</f>
        <v/>
      </c>
      <c r="L222" s="295" t="str">
        <f>IF(E222="","",IF(ISNA(VLOOKUP($E222,'A-1 On-Site Habitat Baseline'!$D$1:$O$258,11,FALSE)),"",(VLOOKUP($E222,'A-1 On-Site Habitat Baseline'!$D$1:$O$258,11,FALSE))))</f>
        <v/>
      </c>
      <c r="M222" s="295" t="str">
        <f>IF(E222="","",IF(ISNA(VLOOKUP($E222,'A-1 On-Site Habitat Baseline'!$D$1:$O$258,12,FALSE)),"",(VLOOKUP($E222,'A-1 On-Site Habitat Baseline'!$D$1:$O$258,12,FALSE))))</f>
        <v/>
      </c>
      <c r="N222" s="306" t="str">
        <f>IF(E222="","",IF(ISNA(VLOOKUP($E222,'A-1 On-Site Habitat Baseline'!$D$1:$X$258,14,FALSE)),"",(VLOOKUP($E222,'A-1 On-Site Habitat Baseline'!$D$1:$X$258,14,FALSE))))</f>
        <v/>
      </c>
      <c r="O222" s="299" t="str">
        <f>IF(E222="","",IF(ISNA(VLOOKUP($E222,'A-1 On-Site Habitat Baseline'!$D$1:$X$258,16,FALSE)),"",(VLOOKUP($E222,'A-1 On-Site Habitat Baseline'!$D$1:$X$258,13,FALSE))))</f>
        <v/>
      </c>
      <c r="P222" s="154" t="str">
        <f>IFERROR(INDEX('G-1 All Habitats'!$AG$49:$AG$63,MATCH(Q222,'G-1 All Habitats'!$AF$27:$AF$41,0)),"")</f>
        <v/>
      </c>
      <c r="Q222" s="155" t="str">
        <f t="shared" si="35"/>
        <v/>
      </c>
      <c r="R222" s="155"/>
      <c r="S222" s="237" t="str">
        <f>IFERROR(INDEX('G-1 All Habitats'!$B$3:$B$135,MATCH(R222,'G-1 All Habitats'!$A$3:$A$135,0)),"")</f>
        <v/>
      </c>
      <c r="T222" s="275" t="str">
        <f t="shared" si="36"/>
        <v/>
      </c>
      <c r="U222" s="276" t="str">
        <f t="shared" si="37"/>
        <v/>
      </c>
      <c r="V222" s="311" t="str">
        <f t="shared" si="33"/>
        <v/>
      </c>
      <c r="W222" s="295" t="str">
        <f>IF(S222="","",VLOOKUP(S222,'G-1 All Habitats'!$B$2:$M$135,10,FALSE))</f>
        <v/>
      </c>
      <c r="X222" s="295" t="str">
        <f>IFERROR(VLOOKUP(W222,'G-1 All Habitats'!$V$3:$W$7,2,FALSE),"")</f>
        <v/>
      </c>
      <c r="Y222" s="57"/>
      <c r="Z222" s="299" t="str">
        <f>IFERROR(INDEX('G-8 Condition Look up'!$A$3:$H$135,MATCH(S222,'G-8 Condition Look up'!$A$3:$A$135,0),MATCH(Y222,'G-8 Condition Look up'!$A$3:$H$3,0)),"")</f>
        <v/>
      </c>
      <c r="AA222" s="52"/>
      <c r="AB222" s="295" t="str">
        <f>IF(AA222="","",IF(VLOOKUP(AA222,'G-3 Multipliers'!$L$3:$N$6,2,FALSE)=0,"Spatial Data Missing ⚠",VLOOKUP(AA222,'G-3 Multipliers'!$L$3:$N$6,2,FALSE)))</f>
        <v/>
      </c>
      <c r="AC222" s="299" t="str">
        <f>IF(AA222="","",IF(VLOOKUP(AA222,'G-3 Multipliers'!$L$3:$N$6,3,FALSE)=0,"Spatial Data Missing ⚠",VLOOKUP(AA222,'G-3 Multipliers'!$L$3:$N$6,3,FALSE)))</f>
        <v/>
      </c>
      <c r="AD222" s="313" t="str">
        <f t="shared" si="34"/>
        <v/>
      </c>
      <c r="AE222" s="58"/>
      <c r="AF222" s="58"/>
      <c r="AG222" s="283" t="str">
        <f t="shared" si="38"/>
        <v/>
      </c>
      <c r="AH222" s="296" t="str">
        <f t="shared" si="39"/>
        <v/>
      </c>
      <c r="AI222" s="297" t="str">
        <f>IF(AH222="Check Data ⚠","Check Data ⚠",IFERROR(VLOOKUP(AH222,'G-4 Temporal multipliers'!$A$4:$C$36,3,FALSE),""))</f>
        <v/>
      </c>
      <c r="AJ222" s="275" t="str">
        <f>IF(S222="","",VLOOKUP(S222,'G-3 Multipliers'!$A$2:$E$134,4,FALSE))</f>
        <v/>
      </c>
      <c r="AK222" s="283" t="str">
        <f t="shared" si="40"/>
        <v/>
      </c>
      <c r="AL222" s="283" t="str">
        <f t="shared" si="41"/>
        <v/>
      </c>
      <c r="AM222" s="314" t="str">
        <f>IFERROR(IF(F222="","",IF(AH222="Check Data ⚠","Check Data ⚠",VLOOKUP(AL222,'G-3 Multipliers'!$P$2:$Q$6,2,FALSE))),"")</f>
        <v/>
      </c>
      <c r="AN222" s="289" t="str">
        <f t="shared" si="42"/>
        <v/>
      </c>
      <c r="AO222" s="52"/>
      <c r="AP222" s="51"/>
      <c r="AQ222" s="104"/>
      <c r="AT222" s="35" t="str">
        <f t="shared" si="43"/>
        <v>No</v>
      </c>
      <c r="AU222" s="35" t="str">
        <f>IF(E222="","",IF(ISNA(VLOOKUP($E222,'A-1 On-Site Habitat Baseline'!$D$1:$AV$258,4,FALSE)),"",(VLOOKUP($E222,'A-1 On-Site Habitat Baseline'!$D$1:$AV$258,4,FALSE))))</f>
        <v/>
      </c>
    </row>
    <row r="223" spans="1:47" ht="14">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05" t="str">
        <f>'A-1 On-Site Habitat Baseline'!AL222</f>
        <v/>
      </c>
      <c r="F223" s="295" t="str">
        <f>IF(E223="","",IF(ISNA(VLOOKUP($E223,'A-1 On-Site Habitat Baseline'!$D$1:$AV$258,45,FALSE)),"",(VLOOKUP($E223,'A-1 On-Site Habitat Baseline'!$D$1:$AV$258,45,FALSE))))</f>
        <v/>
      </c>
      <c r="G223" s="295" t="str">
        <f>IF(E223="","",IF(ISNA(VLOOKUP($E223,'A-1 On-Site Habitat Baseline'!$D$1:$O$258,5,FALSE)),"",(VLOOKUP($E223,'A-1 On-Site Habitat Baseline'!$D$1:$O$258,5,FALSE))))</f>
        <v/>
      </c>
      <c r="H223" s="295" t="str">
        <f>IF(E223="","",IF(ISNA(VLOOKUP($E223,'A-1 On-Site Habitat Baseline'!$D$1:$O$258,6,FALSE)),"",(VLOOKUP($E223,'A-1 On-Site Habitat Baseline'!$D$1:$O$258,6,FALSE))))</f>
        <v/>
      </c>
      <c r="I223" s="295" t="str">
        <f>IF(E223="","",IF(ISNA(VLOOKUP($E223,'A-1 On-Site Habitat Baseline'!$D$1:$O$258,7,FALSE)),"",(VLOOKUP($E223,'A-1 On-Site Habitat Baseline'!$D$1:$O$258,7,FALSE))))</f>
        <v/>
      </c>
      <c r="J223" s="295" t="str">
        <f>IF(E223="","",IF(ISNA(VLOOKUP($E223,'A-1 On-Site Habitat Baseline'!$D$1:$O$258,8,FALSE)),"",(VLOOKUP($E223,'A-1 On-Site Habitat Baseline'!$D$1:$O$258,8,FALSE))))</f>
        <v/>
      </c>
      <c r="K223" s="295" t="str">
        <f>IF(E223="","",IF(ISNA(VLOOKUP($E223,'A-1 On-Site Habitat Baseline'!$D$1:$O$258,9,FALSE)),"",(VLOOKUP($E223,'A-1 On-Site Habitat Baseline'!$D$1:$O$258,9,FALSE))))</f>
        <v/>
      </c>
      <c r="L223" s="295" t="str">
        <f>IF(E223="","",IF(ISNA(VLOOKUP($E223,'A-1 On-Site Habitat Baseline'!$D$1:$O$258,11,FALSE)),"",(VLOOKUP($E223,'A-1 On-Site Habitat Baseline'!$D$1:$O$258,11,FALSE))))</f>
        <v/>
      </c>
      <c r="M223" s="295" t="str">
        <f>IF(E223="","",IF(ISNA(VLOOKUP($E223,'A-1 On-Site Habitat Baseline'!$D$1:$O$258,12,FALSE)),"",(VLOOKUP($E223,'A-1 On-Site Habitat Baseline'!$D$1:$O$258,12,FALSE))))</f>
        <v/>
      </c>
      <c r="N223" s="306" t="str">
        <f>IF(E223="","",IF(ISNA(VLOOKUP($E223,'A-1 On-Site Habitat Baseline'!$D$1:$X$258,14,FALSE)),"",(VLOOKUP($E223,'A-1 On-Site Habitat Baseline'!$D$1:$X$258,14,FALSE))))</f>
        <v/>
      </c>
      <c r="O223" s="299" t="str">
        <f>IF(E223="","",IF(ISNA(VLOOKUP($E223,'A-1 On-Site Habitat Baseline'!$D$1:$X$258,16,FALSE)),"",(VLOOKUP($E223,'A-1 On-Site Habitat Baseline'!$D$1:$X$258,13,FALSE))))</f>
        <v/>
      </c>
      <c r="P223" s="154" t="str">
        <f>IFERROR(INDEX('G-1 All Habitats'!$AG$49:$AG$63,MATCH(Q223,'G-1 All Habitats'!$AF$27:$AF$41,0)),"")</f>
        <v/>
      </c>
      <c r="Q223" s="155" t="str">
        <f t="shared" si="35"/>
        <v/>
      </c>
      <c r="R223" s="155"/>
      <c r="S223" s="237" t="str">
        <f>IFERROR(INDEX('G-1 All Habitats'!$B$3:$B$135,MATCH(R223,'G-1 All Habitats'!$A$3:$A$135,0)),"")</f>
        <v/>
      </c>
      <c r="T223" s="275" t="str">
        <f t="shared" si="36"/>
        <v/>
      </c>
      <c r="U223" s="276" t="str">
        <f t="shared" si="37"/>
        <v/>
      </c>
      <c r="V223" s="311" t="str">
        <f t="shared" si="33"/>
        <v/>
      </c>
      <c r="W223" s="295" t="str">
        <f>IF(S223="","",VLOOKUP(S223,'G-1 All Habitats'!$B$2:$M$135,10,FALSE))</f>
        <v/>
      </c>
      <c r="X223" s="295" t="str">
        <f>IFERROR(VLOOKUP(W223,'G-1 All Habitats'!$V$3:$W$7,2,FALSE),"")</f>
        <v/>
      </c>
      <c r="Y223" s="57"/>
      <c r="Z223" s="299" t="str">
        <f>IFERROR(INDEX('G-8 Condition Look up'!$A$3:$H$135,MATCH(S223,'G-8 Condition Look up'!$A$3:$A$135,0),MATCH(Y223,'G-8 Condition Look up'!$A$3:$H$3,0)),"")</f>
        <v/>
      </c>
      <c r="AA223" s="52"/>
      <c r="AB223" s="295" t="str">
        <f>IF(AA223="","",IF(VLOOKUP(AA223,'G-3 Multipliers'!$L$3:$N$6,2,FALSE)=0,"Spatial Data Missing ⚠",VLOOKUP(AA223,'G-3 Multipliers'!$L$3:$N$6,2,FALSE)))</f>
        <v/>
      </c>
      <c r="AC223" s="299" t="str">
        <f>IF(AA223="","",IF(VLOOKUP(AA223,'G-3 Multipliers'!$L$3:$N$6,3,FALSE)=0,"Spatial Data Missing ⚠",VLOOKUP(AA223,'G-3 Multipliers'!$L$3:$N$6,3,FALSE)))</f>
        <v/>
      </c>
      <c r="AD223" s="313" t="str">
        <f t="shared" si="34"/>
        <v/>
      </c>
      <c r="AE223" s="58"/>
      <c r="AF223" s="58"/>
      <c r="AG223" s="283" t="str">
        <f t="shared" si="38"/>
        <v/>
      </c>
      <c r="AH223" s="296" t="str">
        <f t="shared" si="39"/>
        <v/>
      </c>
      <c r="AI223" s="297" t="str">
        <f>IF(AH223="Check Data ⚠","Check Data ⚠",IFERROR(VLOOKUP(AH223,'G-4 Temporal multipliers'!$A$4:$C$36,3,FALSE),""))</f>
        <v/>
      </c>
      <c r="AJ223" s="275" t="str">
        <f>IF(S223="","",VLOOKUP(S223,'G-3 Multipliers'!$A$2:$E$134,4,FALSE))</f>
        <v/>
      </c>
      <c r="AK223" s="283" t="str">
        <f t="shared" si="40"/>
        <v/>
      </c>
      <c r="AL223" s="283" t="str">
        <f t="shared" si="41"/>
        <v/>
      </c>
      <c r="AM223" s="314" t="str">
        <f>IFERROR(IF(F223="","",IF(AH223="Check Data ⚠","Check Data ⚠",VLOOKUP(AL223,'G-3 Multipliers'!$P$2:$Q$6,2,FALSE))),"")</f>
        <v/>
      </c>
      <c r="AN223" s="289" t="str">
        <f t="shared" si="42"/>
        <v/>
      </c>
      <c r="AO223" s="52"/>
      <c r="AP223" s="51"/>
      <c r="AQ223" s="104"/>
      <c r="AT223" s="35" t="str">
        <f t="shared" si="43"/>
        <v>No</v>
      </c>
      <c r="AU223" s="35" t="str">
        <f>IF(E223="","",IF(ISNA(VLOOKUP($E223,'A-1 On-Site Habitat Baseline'!$D$1:$AV$258,4,FALSE)),"",(VLOOKUP($E223,'A-1 On-Site Habitat Baseline'!$D$1:$AV$258,4,FALSE))))</f>
        <v/>
      </c>
    </row>
    <row r="224" spans="1:47" ht="14">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05" t="str">
        <f>'A-1 On-Site Habitat Baseline'!AL223</f>
        <v/>
      </c>
      <c r="F224" s="295" t="str">
        <f>IF(E224="","",IF(ISNA(VLOOKUP($E224,'A-1 On-Site Habitat Baseline'!$D$1:$AV$258,45,FALSE)),"",(VLOOKUP($E224,'A-1 On-Site Habitat Baseline'!$D$1:$AV$258,45,FALSE))))</f>
        <v/>
      </c>
      <c r="G224" s="295" t="str">
        <f>IF(E224="","",IF(ISNA(VLOOKUP($E224,'A-1 On-Site Habitat Baseline'!$D$1:$O$258,5,FALSE)),"",(VLOOKUP($E224,'A-1 On-Site Habitat Baseline'!$D$1:$O$258,5,FALSE))))</f>
        <v/>
      </c>
      <c r="H224" s="295" t="str">
        <f>IF(E224="","",IF(ISNA(VLOOKUP($E224,'A-1 On-Site Habitat Baseline'!$D$1:$O$258,6,FALSE)),"",(VLOOKUP($E224,'A-1 On-Site Habitat Baseline'!$D$1:$O$258,6,FALSE))))</f>
        <v/>
      </c>
      <c r="I224" s="295" t="str">
        <f>IF(E224="","",IF(ISNA(VLOOKUP($E224,'A-1 On-Site Habitat Baseline'!$D$1:$O$258,7,FALSE)),"",(VLOOKUP($E224,'A-1 On-Site Habitat Baseline'!$D$1:$O$258,7,FALSE))))</f>
        <v/>
      </c>
      <c r="J224" s="295" t="str">
        <f>IF(E224="","",IF(ISNA(VLOOKUP($E224,'A-1 On-Site Habitat Baseline'!$D$1:$O$258,8,FALSE)),"",(VLOOKUP($E224,'A-1 On-Site Habitat Baseline'!$D$1:$O$258,8,FALSE))))</f>
        <v/>
      </c>
      <c r="K224" s="295" t="str">
        <f>IF(E224="","",IF(ISNA(VLOOKUP($E224,'A-1 On-Site Habitat Baseline'!$D$1:$O$258,9,FALSE)),"",(VLOOKUP($E224,'A-1 On-Site Habitat Baseline'!$D$1:$O$258,9,FALSE))))</f>
        <v/>
      </c>
      <c r="L224" s="295" t="str">
        <f>IF(E224="","",IF(ISNA(VLOOKUP($E224,'A-1 On-Site Habitat Baseline'!$D$1:$O$258,11,FALSE)),"",(VLOOKUP($E224,'A-1 On-Site Habitat Baseline'!$D$1:$O$258,11,FALSE))))</f>
        <v/>
      </c>
      <c r="M224" s="295" t="str">
        <f>IF(E224="","",IF(ISNA(VLOOKUP($E224,'A-1 On-Site Habitat Baseline'!$D$1:$O$258,12,FALSE)),"",(VLOOKUP($E224,'A-1 On-Site Habitat Baseline'!$D$1:$O$258,12,FALSE))))</f>
        <v/>
      </c>
      <c r="N224" s="306" t="str">
        <f>IF(E224="","",IF(ISNA(VLOOKUP($E224,'A-1 On-Site Habitat Baseline'!$D$1:$X$258,14,FALSE)),"",(VLOOKUP($E224,'A-1 On-Site Habitat Baseline'!$D$1:$X$258,14,FALSE))))</f>
        <v/>
      </c>
      <c r="O224" s="299" t="str">
        <f>IF(E224="","",IF(ISNA(VLOOKUP($E224,'A-1 On-Site Habitat Baseline'!$D$1:$X$258,16,FALSE)),"",(VLOOKUP($E224,'A-1 On-Site Habitat Baseline'!$D$1:$X$258,13,FALSE))))</f>
        <v/>
      </c>
      <c r="P224" s="154" t="str">
        <f>IFERROR(INDEX('G-1 All Habitats'!$AG$49:$AG$63,MATCH(Q224,'G-1 All Habitats'!$AF$27:$AF$41,0)),"")</f>
        <v/>
      </c>
      <c r="Q224" s="155" t="str">
        <f t="shared" si="35"/>
        <v/>
      </c>
      <c r="R224" s="155"/>
      <c r="S224" s="237" t="str">
        <f>IFERROR(INDEX('G-1 All Habitats'!$B$3:$B$135,MATCH(R224,'G-1 All Habitats'!$A$3:$A$135,0)),"")</f>
        <v/>
      </c>
      <c r="T224" s="275" t="str">
        <f t="shared" si="36"/>
        <v/>
      </c>
      <c r="U224" s="276" t="str">
        <f t="shared" si="37"/>
        <v/>
      </c>
      <c r="V224" s="311" t="str">
        <f t="shared" si="33"/>
        <v/>
      </c>
      <c r="W224" s="295" t="str">
        <f>IF(S224="","",VLOOKUP(S224,'G-1 All Habitats'!$B$2:$M$135,10,FALSE))</f>
        <v/>
      </c>
      <c r="X224" s="295" t="str">
        <f>IFERROR(VLOOKUP(W224,'G-1 All Habitats'!$V$3:$W$7,2,FALSE),"")</f>
        <v/>
      </c>
      <c r="Y224" s="57"/>
      <c r="Z224" s="299" t="str">
        <f>IFERROR(INDEX('G-8 Condition Look up'!$A$3:$H$135,MATCH(S224,'G-8 Condition Look up'!$A$3:$A$135,0),MATCH(Y224,'G-8 Condition Look up'!$A$3:$H$3,0)),"")</f>
        <v/>
      </c>
      <c r="AA224" s="52"/>
      <c r="AB224" s="295" t="str">
        <f>IF(AA224="","",IF(VLOOKUP(AA224,'G-3 Multipliers'!$L$3:$N$6,2,FALSE)=0,"Spatial Data Missing ⚠",VLOOKUP(AA224,'G-3 Multipliers'!$L$3:$N$6,2,FALSE)))</f>
        <v/>
      </c>
      <c r="AC224" s="299" t="str">
        <f>IF(AA224="","",IF(VLOOKUP(AA224,'G-3 Multipliers'!$L$3:$N$6,3,FALSE)=0,"Spatial Data Missing ⚠",VLOOKUP(AA224,'G-3 Multipliers'!$L$3:$N$6,3,FALSE)))</f>
        <v/>
      </c>
      <c r="AD224" s="313" t="str">
        <f t="shared" si="34"/>
        <v/>
      </c>
      <c r="AE224" s="58"/>
      <c r="AF224" s="58"/>
      <c r="AG224" s="283" t="str">
        <f t="shared" si="38"/>
        <v/>
      </c>
      <c r="AH224" s="296" t="str">
        <f t="shared" si="39"/>
        <v/>
      </c>
      <c r="AI224" s="297" t="str">
        <f>IF(AH224="Check Data ⚠","Check Data ⚠",IFERROR(VLOOKUP(AH224,'G-4 Temporal multipliers'!$A$4:$C$36,3,FALSE),""))</f>
        <v/>
      </c>
      <c r="AJ224" s="275" t="str">
        <f>IF(S224="","",VLOOKUP(S224,'G-3 Multipliers'!$A$2:$E$134,4,FALSE))</f>
        <v/>
      </c>
      <c r="AK224" s="283" t="str">
        <f t="shared" si="40"/>
        <v/>
      </c>
      <c r="AL224" s="283" t="str">
        <f t="shared" si="41"/>
        <v/>
      </c>
      <c r="AM224" s="314" t="str">
        <f>IFERROR(IF(F224="","",IF(AH224="Check Data ⚠","Check Data ⚠",VLOOKUP(AL224,'G-3 Multipliers'!$P$2:$Q$6,2,FALSE))),"")</f>
        <v/>
      </c>
      <c r="AN224" s="289" t="str">
        <f t="shared" si="42"/>
        <v/>
      </c>
      <c r="AO224" s="52"/>
      <c r="AP224" s="51"/>
      <c r="AQ224" s="104"/>
      <c r="AT224" s="35" t="str">
        <f t="shared" si="43"/>
        <v>No</v>
      </c>
      <c r="AU224" s="35" t="str">
        <f>IF(E224="","",IF(ISNA(VLOOKUP($E224,'A-1 On-Site Habitat Baseline'!$D$1:$AV$258,4,FALSE)),"",(VLOOKUP($E224,'A-1 On-Site Habitat Baseline'!$D$1:$AV$258,4,FALSE))))</f>
        <v/>
      </c>
    </row>
    <row r="225" spans="1:47" ht="14">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05" t="str">
        <f>'A-1 On-Site Habitat Baseline'!AL224</f>
        <v/>
      </c>
      <c r="F225" s="295" t="str">
        <f>IF(E225="","",IF(ISNA(VLOOKUP($E225,'A-1 On-Site Habitat Baseline'!$D$1:$AV$258,45,FALSE)),"",(VLOOKUP($E225,'A-1 On-Site Habitat Baseline'!$D$1:$AV$258,45,FALSE))))</f>
        <v/>
      </c>
      <c r="G225" s="295" t="str">
        <f>IF(E225="","",IF(ISNA(VLOOKUP($E225,'A-1 On-Site Habitat Baseline'!$D$1:$O$258,5,FALSE)),"",(VLOOKUP($E225,'A-1 On-Site Habitat Baseline'!$D$1:$O$258,5,FALSE))))</f>
        <v/>
      </c>
      <c r="H225" s="295" t="str">
        <f>IF(E225="","",IF(ISNA(VLOOKUP($E225,'A-1 On-Site Habitat Baseline'!$D$1:$O$258,6,FALSE)),"",(VLOOKUP($E225,'A-1 On-Site Habitat Baseline'!$D$1:$O$258,6,FALSE))))</f>
        <v/>
      </c>
      <c r="I225" s="295" t="str">
        <f>IF(E225="","",IF(ISNA(VLOOKUP($E225,'A-1 On-Site Habitat Baseline'!$D$1:$O$258,7,FALSE)),"",(VLOOKUP($E225,'A-1 On-Site Habitat Baseline'!$D$1:$O$258,7,FALSE))))</f>
        <v/>
      </c>
      <c r="J225" s="295" t="str">
        <f>IF(E225="","",IF(ISNA(VLOOKUP($E225,'A-1 On-Site Habitat Baseline'!$D$1:$O$258,8,FALSE)),"",(VLOOKUP($E225,'A-1 On-Site Habitat Baseline'!$D$1:$O$258,8,FALSE))))</f>
        <v/>
      </c>
      <c r="K225" s="295" t="str">
        <f>IF(E225="","",IF(ISNA(VLOOKUP($E225,'A-1 On-Site Habitat Baseline'!$D$1:$O$258,9,FALSE)),"",(VLOOKUP($E225,'A-1 On-Site Habitat Baseline'!$D$1:$O$258,9,FALSE))))</f>
        <v/>
      </c>
      <c r="L225" s="295" t="str">
        <f>IF(E225="","",IF(ISNA(VLOOKUP($E225,'A-1 On-Site Habitat Baseline'!$D$1:$O$258,11,FALSE)),"",(VLOOKUP($E225,'A-1 On-Site Habitat Baseline'!$D$1:$O$258,11,FALSE))))</f>
        <v/>
      </c>
      <c r="M225" s="295" t="str">
        <f>IF(E225="","",IF(ISNA(VLOOKUP($E225,'A-1 On-Site Habitat Baseline'!$D$1:$O$258,12,FALSE)),"",(VLOOKUP($E225,'A-1 On-Site Habitat Baseline'!$D$1:$O$258,12,FALSE))))</f>
        <v/>
      </c>
      <c r="N225" s="306" t="str">
        <f>IF(E225="","",IF(ISNA(VLOOKUP($E225,'A-1 On-Site Habitat Baseline'!$D$1:$X$258,14,FALSE)),"",(VLOOKUP($E225,'A-1 On-Site Habitat Baseline'!$D$1:$X$258,14,FALSE))))</f>
        <v/>
      </c>
      <c r="O225" s="299" t="str">
        <f>IF(E225="","",IF(ISNA(VLOOKUP($E225,'A-1 On-Site Habitat Baseline'!$D$1:$X$258,16,FALSE)),"",(VLOOKUP($E225,'A-1 On-Site Habitat Baseline'!$D$1:$X$258,13,FALSE))))</f>
        <v/>
      </c>
      <c r="P225" s="154" t="str">
        <f>IFERROR(INDEX('G-1 All Habitats'!$AG$49:$AG$63,MATCH(Q225,'G-1 All Habitats'!$AF$27:$AF$41,0)),"")</f>
        <v/>
      </c>
      <c r="Q225" s="155" t="str">
        <f t="shared" si="35"/>
        <v/>
      </c>
      <c r="R225" s="155"/>
      <c r="S225" s="237" t="str">
        <f>IFERROR(INDEX('G-1 All Habitats'!$B$3:$B$135,MATCH(R225,'G-1 All Habitats'!$A$3:$A$135,0)),"")</f>
        <v/>
      </c>
      <c r="T225" s="275" t="str">
        <f t="shared" si="36"/>
        <v/>
      </c>
      <c r="U225" s="276" t="str">
        <f t="shared" si="37"/>
        <v/>
      </c>
      <c r="V225" s="311" t="str">
        <f t="shared" si="33"/>
        <v/>
      </c>
      <c r="W225" s="295" t="str">
        <f>IF(S225="","",VLOOKUP(S225,'G-1 All Habitats'!$B$2:$M$135,10,FALSE))</f>
        <v/>
      </c>
      <c r="X225" s="295" t="str">
        <f>IFERROR(VLOOKUP(W225,'G-1 All Habitats'!$V$3:$W$7,2,FALSE),"")</f>
        <v/>
      </c>
      <c r="Y225" s="57"/>
      <c r="Z225" s="299" t="str">
        <f>IFERROR(INDEX('G-8 Condition Look up'!$A$3:$H$135,MATCH(S225,'G-8 Condition Look up'!$A$3:$A$135,0),MATCH(Y225,'G-8 Condition Look up'!$A$3:$H$3,0)),"")</f>
        <v/>
      </c>
      <c r="AA225" s="52"/>
      <c r="AB225" s="295" t="str">
        <f>IF(AA225="","",IF(VLOOKUP(AA225,'G-3 Multipliers'!$L$3:$N$6,2,FALSE)=0,"Spatial Data Missing ⚠",VLOOKUP(AA225,'G-3 Multipliers'!$L$3:$N$6,2,FALSE)))</f>
        <v/>
      </c>
      <c r="AC225" s="299" t="str">
        <f>IF(AA225="","",IF(VLOOKUP(AA225,'G-3 Multipliers'!$L$3:$N$6,3,FALSE)=0,"Spatial Data Missing ⚠",VLOOKUP(AA225,'G-3 Multipliers'!$L$3:$N$6,3,FALSE)))</f>
        <v/>
      </c>
      <c r="AD225" s="313" t="str">
        <f t="shared" si="34"/>
        <v/>
      </c>
      <c r="AE225" s="58"/>
      <c r="AF225" s="58"/>
      <c r="AG225" s="283" t="str">
        <f t="shared" si="38"/>
        <v/>
      </c>
      <c r="AH225" s="296" t="str">
        <f t="shared" si="39"/>
        <v/>
      </c>
      <c r="AI225" s="297" t="str">
        <f>IF(AH225="Check Data ⚠","Check Data ⚠",IFERROR(VLOOKUP(AH225,'G-4 Temporal multipliers'!$A$4:$C$36,3,FALSE),""))</f>
        <v/>
      </c>
      <c r="AJ225" s="275" t="str">
        <f>IF(S225="","",VLOOKUP(S225,'G-3 Multipliers'!$A$2:$E$134,4,FALSE))</f>
        <v/>
      </c>
      <c r="AK225" s="283" t="str">
        <f t="shared" si="40"/>
        <v/>
      </c>
      <c r="AL225" s="283" t="str">
        <f t="shared" si="41"/>
        <v/>
      </c>
      <c r="AM225" s="314" t="str">
        <f>IFERROR(IF(F225="","",IF(AH225="Check Data ⚠","Check Data ⚠",VLOOKUP(AL225,'G-3 Multipliers'!$P$2:$Q$6,2,FALSE))),"")</f>
        <v/>
      </c>
      <c r="AN225" s="289" t="str">
        <f t="shared" si="42"/>
        <v/>
      </c>
      <c r="AO225" s="52"/>
      <c r="AP225" s="51"/>
      <c r="AQ225" s="104"/>
      <c r="AT225" s="35" t="str">
        <f t="shared" si="43"/>
        <v>No</v>
      </c>
      <c r="AU225" s="35" t="str">
        <f>IF(E225="","",IF(ISNA(VLOOKUP($E225,'A-1 On-Site Habitat Baseline'!$D$1:$AV$258,4,FALSE)),"",(VLOOKUP($E225,'A-1 On-Site Habitat Baseline'!$D$1:$AV$258,4,FALSE))))</f>
        <v/>
      </c>
    </row>
    <row r="226" spans="1:47" ht="14">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05" t="str">
        <f>'A-1 On-Site Habitat Baseline'!AL225</f>
        <v/>
      </c>
      <c r="F226" s="295" t="str">
        <f>IF(E226="","",IF(ISNA(VLOOKUP($E226,'A-1 On-Site Habitat Baseline'!$D$1:$AV$258,45,FALSE)),"",(VLOOKUP($E226,'A-1 On-Site Habitat Baseline'!$D$1:$AV$258,45,FALSE))))</f>
        <v/>
      </c>
      <c r="G226" s="295" t="str">
        <f>IF(E226="","",IF(ISNA(VLOOKUP($E226,'A-1 On-Site Habitat Baseline'!$D$1:$O$258,5,FALSE)),"",(VLOOKUP($E226,'A-1 On-Site Habitat Baseline'!$D$1:$O$258,5,FALSE))))</f>
        <v/>
      </c>
      <c r="H226" s="295" t="str">
        <f>IF(E226="","",IF(ISNA(VLOOKUP($E226,'A-1 On-Site Habitat Baseline'!$D$1:$O$258,6,FALSE)),"",(VLOOKUP($E226,'A-1 On-Site Habitat Baseline'!$D$1:$O$258,6,FALSE))))</f>
        <v/>
      </c>
      <c r="I226" s="295" t="str">
        <f>IF(E226="","",IF(ISNA(VLOOKUP($E226,'A-1 On-Site Habitat Baseline'!$D$1:$O$258,7,FALSE)),"",(VLOOKUP($E226,'A-1 On-Site Habitat Baseline'!$D$1:$O$258,7,FALSE))))</f>
        <v/>
      </c>
      <c r="J226" s="295" t="str">
        <f>IF(E226="","",IF(ISNA(VLOOKUP($E226,'A-1 On-Site Habitat Baseline'!$D$1:$O$258,8,FALSE)),"",(VLOOKUP($E226,'A-1 On-Site Habitat Baseline'!$D$1:$O$258,8,FALSE))))</f>
        <v/>
      </c>
      <c r="K226" s="295" t="str">
        <f>IF(E226="","",IF(ISNA(VLOOKUP($E226,'A-1 On-Site Habitat Baseline'!$D$1:$O$258,9,FALSE)),"",(VLOOKUP($E226,'A-1 On-Site Habitat Baseline'!$D$1:$O$258,9,FALSE))))</f>
        <v/>
      </c>
      <c r="L226" s="295" t="str">
        <f>IF(E226="","",IF(ISNA(VLOOKUP($E226,'A-1 On-Site Habitat Baseline'!$D$1:$O$258,11,FALSE)),"",(VLOOKUP($E226,'A-1 On-Site Habitat Baseline'!$D$1:$O$258,11,FALSE))))</f>
        <v/>
      </c>
      <c r="M226" s="295" t="str">
        <f>IF(E226="","",IF(ISNA(VLOOKUP($E226,'A-1 On-Site Habitat Baseline'!$D$1:$O$258,12,FALSE)),"",(VLOOKUP($E226,'A-1 On-Site Habitat Baseline'!$D$1:$O$258,12,FALSE))))</f>
        <v/>
      </c>
      <c r="N226" s="306" t="str">
        <f>IF(E226="","",IF(ISNA(VLOOKUP($E226,'A-1 On-Site Habitat Baseline'!$D$1:$X$258,14,FALSE)),"",(VLOOKUP($E226,'A-1 On-Site Habitat Baseline'!$D$1:$X$258,14,FALSE))))</f>
        <v/>
      </c>
      <c r="O226" s="299" t="str">
        <f>IF(E226="","",IF(ISNA(VLOOKUP($E226,'A-1 On-Site Habitat Baseline'!$D$1:$X$258,16,FALSE)),"",(VLOOKUP($E226,'A-1 On-Site Habitat Baseline'!$D$1:$X$258,13,FALSE))))</f>
        <v/>
      </c>
      <c r="P226" s="154" t="str">
        <f>IFERROR(INDEX('G-1 All Habitats'!$AG$49:$AG$63,MATCH(Q226,'G-1 All Habitats'!$AF$27:$AF$41,0)),"")</f>
        <v/>
      </c>
      <c r="Q226" s="155" t="str">
        <f t="shared" si="35"/>
        <v/>
      </c>
      <c r="R226" s="155"/>
      <c r="S226" s="237" t="str">
        <f>IFERROR(INDEX('G-1 All Habitats'!$B$3:$B$135,MATCH(R226,'G-1 All Habitats'!$A$3:$A$135,0)),"")</f>
        <v/>
      </c>
      <c r="T226" s="275" t="str">
        <f t="shared" si="36"/>
        <v/>
      </c>
      <c r="U226" s="276" t="str">
        <f t="shared" si="37"/>
        <v/>
      </c>
      <c r="V226" s="311" t="str">
        <f t="shared" si="33"/>
        <v/>
      </c>
      <c r="W226" s="295" t="str">
        <f>IF(S226="","",VLOOKUP(S226,'G-1 All Habitats'!$B$2:$M$135,10,FALSE))</f>
        <v/>
      </c>
      <c r="X226" s="295" t="str">
        <f>IFERROR(VLOOKUP(W226,'G-1 All Habitats'!$V$3:$W$7,2,FALSE),"")</f>
        <v/>
      </c>
      <c r="Y226" s="57"/>
      <c r="Z226" s="299" t="str">
        <f>IFERROR(INDEX('G-8 Condition Look up'!$A$3:$H$135,MATCH(S226,'G-8 Condition Look up'!$A$3:$A$135,0),MATCH(Y226,'G-8 Condition Look up'!$A$3:$H$3,0)),"")</f>
        <v/>
      </c>
      <c r="AA226" s="52"/>
      <c r="AB226" s="295" t="str">
        <f>IF(AA226="","",IF(VLOOKUP(AA226,'G-3 Multipliers'!$L$3:$N$6,2,FALSE)=0,"Spatial Data Missing ⚠",VLOOKUP(AA226,'G-3 Multipliers'!$L$3:$N$6,2,FALSE)))</f>
        <v/>
      </c>
      <c r="AC226" s="299" t="str">
        <f>IF(AA226="","",IF(VLOOKUP(AA226,'G-3 Multipliers'!$L$3:$N$6,3,FALSE)=0,"Spatial Data Missing ⚠",VLOOKUP(AA226,'G-3 Multipliers'!$L$3:$N$6,3,FALSE)))</f>
        <v/>
      </c>
      <c r="AD226" s="313" t="str">
        <f t="shared" si="34"/>
        <v/>
      </c>
      <c r="AE226" s="58"/>
      <c r="AF226" s="58"/>
      <c r="AG226" s="283" t="str">
        <f t="shared" si="38"/>
        <v/>
      </c>
      <c r="AH226" s="296" t="str">
        <f t="shared" si="39"/>
        <v/>
      </c>
      <c r="AI226" s="297" t="str">
        <f>IF(AH226="Check Data ⚠","Check Data ⚠",IFERROR(VLOOKUP(AH226,'G-4 Temporal multipliers'!$A$4:$C$36,3,FALSE),""))</f>
        <v/>
      </c>
      <c r="AJ226" s="275" t="str">
        <f>IF(S226="","",VLOOKUP(S226,'G-3 Multipliers'!$A$2:$E$134,4,FALSE))</f>
        <v/>
      </c>
      <c r="AK226" s="283" t="str">
        <f t="shared" si="40"/>
        <v/>
      </c>
      <c r="AL226" s="283" t="str">
        <f t="shared" si="41"/>
        <v/>
      </c>
      <c r="AM226" s="314" t="str">
        <f>IFERROR(IF(F226="","",IF(AH226="Check Data ⚠","Check Data ⚠",VLOOKUP(AL226,'G-3 Multipliers'!$P$2:$Q$6,2,FALSE))),"")</f>
        <v/>
      </c>
      <c r="AN226" s="289" t="str">
        <f t="shared" si="42"/>
        <v/>
      </c>
      <c r="AO226" s="52"/>
      <c r="AP226" s="51"/>
      <c r="AQ226" s="104"/>
      <c r="AT226" s="35" t="str">
        <f t="shared" si="43"/>
        <v>No</v>
      </c>
      <c r="AU226" s="35" t="str">
        <f>IF(E226="","",IF(ISNA(VLOOKUP($E226,'A-1 On-Site Habitat Baseline'!$D$1:$AV$258,4,FALSE)),"",(VLOOKUP($E226,'A-1 On-Site Habitat Baseline'!$D$1:$AV$258,4,FALSE))))</f>
        <v/>
      </c>
    </row>
    <row r="227" spans="1:47" ht="14">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05" t="str">
        <f>'A-1 On-Site Habitat Baseline'!AL226</f>
        <v/>
      </c>
      <c r="F227" s="295" t="str">
        <f>IF(E227="","",IF(ISNA(VLOOKUP($E227,'A-1 On-Site Habitat Baseline'!$D$1:$AV$258,45,FALSE)),"",(VLOOKUP($E227,'A-1 On-Site Habitat Baseline'!$D$1:$AV$258,45,FALSE))))</f>
        <v/>
      </c>
      <c r="G227" s="295" t="str">
        <f>IF(E227="","",IF(ISNA(VLOOKUP($E227,'A-1 On-Site Habitat Baseline'!$D$1:$O$258,5,FALSE)),"",(VLOOKUP($E227,'A-1 On-Site Habitat Baseline'!$D$1:$O$258,5,FALSE))))</f>
        <v/>
      </c>
      <c r="H227" s="295" t="str">
        <f>IF(E227="","",IF(ISNA(VLOOKUP($E227,'A-1 On-Site Habitat Baseline'!$D$1:$O$258,6,FALSE)),"",(VLOOKUP($E227,'A-1 On-Site Habitat Baseline'!$D$1:$O$258,6,FALSE))))</f>
        <v/>
      </c>
      <c r="I227" s="295" t="str">
        <f>IF(E227="","",IF(ISNA(VLOOKUP($E227,'A-1 On-Site Habitat Baseline'!$D$1:$O$258,7,FALSE)),"",(VLOOKUP($E227,'A-1 On-Site Habitat Baseline'!$D$1:$O$258,7,FALSE))))</f>
        <v/>
      </c>
      <c r="J227" s="295" t="str">
        <f>IF(E227="","",IF(ISNA(VLOOKUP($E227,'A-1 On-Site Habitat Baseline'!$D$1:$O$258,8,FALSE)),"",(VLOOKUP($E227,'A-1 On-Site Habitat Baseline'!$D$1:$O$258,8,FALSE))))</f>
        <v/>
      </c>
      <c r="K227" s="295" t="str">
        <f>IF(E227="","",IF(ISNA(VLOOKUP($E227,'A-1 On-Site Habitat Baseline'!$D$1:$O$258,9,FALSE)),"",(VLOOKUP($E227,'A-1 On-Site Habitat Baseline'!$D$1:$O$258,9,FALSE))))</f>
        <v/>
      </c>
      <c r="L227" s="295" t="str">
        <f>IF(E227="","",IF(ISNA(VLOOKUP($E227,'A-1 On-Site Habitat Baseline'!$D$1:$O$258,11,FALSE)),"",(VLOOKUP($E227,'A-1 On-Site Habitat Baseline'!$D$1:$O$258,11,FALSE))))</f>
        <v/>
      </c>
      <c r="M227" s="295" t="str">
        <f>IF(E227="","",IF(ISNA(VLOOKUP($E227,'A-1 On-Site Habitat Baseline'!$D$1:$O$258,12,FALSE)),"",(VLOOKUP($E227,'A-1 On-Site Habitat Baseline'!$D$1:$O$258,12,FALSE))))</f>
        <v/>
      </c>
      <c r="N227" s="306" t="str">
        <f>IF(E227="","",IF(ISNA(VLOOKUP($E227,'A-1 On-Site Habitat Baseline'!$D$1:$X$258,14,FALSE)),"",(VLOOKUP($E227,'A-1 On-Site Habitat Baseline'!$D$1:$X$258,14,FALSE))))</f>
        <v/>
      </c>
      <c r="O227" s="299" t="str">
        <f>IF(E227="","",IF(ISNA(VLOOKUP($E227,'A-1 On-Site Habitat Baseline'!$D$1:$X$258,16,FALSE)),"",(VLOOKUP($E227,'A-1 On-Site Habitat Baseline'!$D$1:$X$258,13,FALSE))))</f>
        <v/>
      </c>
      <c r="P227" s="154" t="str">
        <f>IFERROR(INDEX('G-1 All Habitats'!$AG$49:$AG$63,MATCH(Q227,'G-1 All Habitats'!$AF$27:$AF$41,0)),"")</f>
        <v/>
      </c>
      <c r="Q227" s="155" t="str">
        <f t="shared" si="35"/>
        <v/>
      </c>
      <c r="R227" s="155"/>
      <c r="S227" s="237" t="str">
        <f>IFERROR(INDEX('G-1 All Habitats'!$B$3:$B$135,MATCH(R227,'G-1 All Habitats'!$A$3:$A$135,0)),"")</f>
        <v/>
      </c>
      <c r="T227" s="275" t="str">
        <f t="shared" si="36"/>
        <v/>
      </c>
      <c r="U227" s="276" t="str">
        <f t="shared" si="37"/>
        <v/>
      </c>
      <c r="V227" s="311" t="str">
        <f t="shared" si="33"/>
        <v/>
      </c>
      <c r="W227" s="295" t="str">
        <f>IF(S227="","",VLOOKUP(S227,'G-1 All Habitats'!$B$2:$M$135,10,FALSE))</f>
        <v/>
      </c>
      <c r="X227" s="295" t="str">
        <f>IFERROR(VLOOKUP(W227,'G-1 All Habitats'!$V$3:$W$7,2,FALSE),"")</f>
        <v/>
      </c>
      <c r="Y227" s="57"/>
      <c r="Z227" s="299" t="str">
        <f>IFERROR(INDEX('G-8 Condition Look up'!$A$3:$H$135,MATCH(S227,'G-8 Condition Look up'!$A$3:$A$135,0),MATCH(Y227,'G-8 Condition Look up'!$A$3:$H$3,0)),"")</f>
        <v/>
      </c>
      <c r="AA227" s="52"/>
      <c r="AB227" s="295" t="str">
        <f>IF(AA227="","",IF(VLOOKUP(AA227,'G-3 Multipliers'!$L$3:$N$6,2,FALSE)=0,"Spatial Data Missing ⚠",VLOOKUP(AA227,'G-3 Multipliers'!$L$3:$N$6,2,FALSE)))</f>
        <v/>
      </c>
      <c r="AC227" s="299" t="str">
        <f>IF(AA227="","",IF(VLOOKUP(AA227,'G-3 Multipliers'!$L$3:$N$6,3,FALSE)=0,"Spatial Data Missing ⚠",VLOOKUP(AA227,'G-3 Multipliers'!$L$3:$N$6,3,FALSE)))</f>
        <v/>
      </c>
      <c r="AD227" s="313" t="str">
        <f t="shared" si="34"/>
        <v/>
      </c>
      <c r="AE227" s="58"/>
      <c r="AF227" s="58"/>
      <c r="AG227" s="283" t="str">
        <f t="shared" si="38"/>
        <v/>
      </c>
      <c r="AH227" s="296" t="str">
        <f t="shared" si="39"/>
        <v/>
      </c>
      <c r="AI227" s="297" t="str">
        <f>IF(AH227="Check Data ⚠","Check Data ⚠",IFERROR(VLOOKUP(AH227,'G-4 Temporal multipliers'!$A$4:$C$36,3,FALSE),""))</f>
        <v/>
      </c>
      <c r="AJ227" s="275" t="str">
        <f>IF(S227="","",VLOOKUP(S227,'G-3 Multipliers'!$A$2:$E$134,4,FALSE))</f>
        <v/>
      </c>
      <c r="AK227" s="283" t="str">
        <f t="shared" si="40"/>
        <v/>
      </c>
      <c r="AL227" s="283" t="str">
        <f>(IF(AND(AK227="Standard difficulty applied",AD227&gt;AE227),AJ227,IF(AND(AK227="Low Difficulty - only applicable if all habitat created before losses ⚠",AE227&gt;=AD227),"Low",AJ227)))</f>
        <v/>
      </c>
      <c r="AM227" s="314" t="str">
        <f>IFERROR(IF(F227="","",IF(AH227="Check Data ⚠","Check Data ⚠",VLOOKUP(AL227,'G-3 Multipliers'!$P$2:$Q$6,2,FALSE))),"")</f>
        <v/>
      </c>
      <c r="AN227" s="289" t="str">
        <f t="shared" si="42"/>
        <v/>
      </c>
      <c r="AO227" s="52"/>
      <c r="AP227" s="51"/>
      <c r="AQ227" s="104"/>
      <c r="AT227" s="35" t="str">
        <f t="shared" si="43"/>
        <v>No</v>
      </c>
      <c r="AU227" s="35" t="str">
        <f>IF(E227="","",IF(ISNA(VLOOKUP($E227,'A-1 On-Site Habitat Baseline'!$D$1:$AV$258,4,FALSE)),"",(VLOOKUP($E227,'A-1 On-Site Habitat Baseline'!$D$1:$AV$258,4,FALSE))))</f>
        <v/>
      </c>
    </row>
    <row r="228" spans="1:47" ht="14">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05" t="str">
        <f>'A-1 On-Site Habitat Baseline'!AL227</f>
        <v/>
      </c>
      <c r="F228" s="295" t="str">
        <f>IF(E228="","",IF(ISNA(VLOOKUP($E228,'A-1 On-Site Habitat Baseline'!$D$1:$AV$258,45,FALSE)),"",(VLOOKUP($E228,'A-1 On-Site Habitat Baseline'!$D$1:$AV$258,45,FALSE))))</f>
        <v/>
      </c>
      <c r="G228" s="295" t="str">
        <f>IF(E228="","",IF(ISNA(VLOOKUP($E228,'A-1 On-Site Habitat Baseline'!$D$1:$O$258,5,FALSE)),"",(VLOOKUP($E228,'A-1 On-Site Habitat Baseline'!$D$1:$O$258,5,FALSE))))</f>
        <v/>
      </c>
      <c r="H228" s="295" t="str">
        <f>IF(E228="","",IF(ISNA(VLOOKUP($E228,'A-1 On-Site Habitat Baseline'!$D$1:$O$258,6,FALSE)),"",(VLOOKUP($E228,'A-1 On-Site Habitat Baseline'!$D$1:$O$258,6,FALSE))))</f>
        <v/>
      </c>
      <c r="I228" s="295" t="str">
        <f>IF(E228="","",IF(ISNA(VLOOKUP($E228,'A-1 On-Site Habitat Baseline'!$D$1:$O$258,7,FALSE)),"",(VLOOKUP($E228,'A-1 On-Site Habitat Baseline'!$D$1:$O$258,7,FALSE))))</f>
        <v/>
      </c>
      <c r="J228" s="295" t="str">
        <f>IF(E228="","",IF(ISNA(VLOOKUP($E228,'A-1 On-Site Habitat Baseline'!$D$1:$O$258,8,FALSE)),"",(VLOOKUP($E228,'A-1 On-Site Habitat Baseline'!$D$1:$O$258,8,FALSE))))</f>
        <v/>
      </c>
      <c r="K228" s="295" t="str">
        <f>IF(E228="","",IF(ISNA(VLOOKUP($E228,'A-1 On-Site Habitat Baseline'!$D$1:$O$258,9,FALSE)),"",(VLOOKUP($E228,'A-1 On-Site Habitat Baseline'!$D$1:$O$258,9,FALSE))))</f>
        <v/>
      </c>
      <c r="L228" s="295" t="str">
        <f>IF(E228="","",IF(ISNA(VLOOKUP($E228,'A-1 On-Site Habitat Baseline'!$D$1:$O$258,11,FALSE)),"",(VLOOKUP($E228,'A-1 On-Site Habitat Baseline'!$D$1:$O$258,11,FALSE))))</f>
        <v/>
      </c>
      <c r="M228" s="295" t="str">
        <f>IF(E228="","",IF(ISNA(VLOOKUP($E228,'A-1 On-Site Habitat Baseline'!$D$1:$O$258,12,FALSE)),"",(VLOOKUP($E228,'A-1 On-Site Habitat Baseline'!$D$1:$O$258,12,FALSE))))</f>
        <v/>
      </c>
      <c r="N228" s="306" t="str">
        <f>IF(E228="","",IF(ISNA(VLOOKUP($E228,'A-1 On-Site Habitat Baseline'!$D$1:$X$258,14,FALSE)),"",(VLOOKUP($E228,'A-1 On-Site Habitat Baseline'!$D$1:$X$258,14,FALSE))))</f>
        <v/>
      </c>
      <c r="O228" s="299" t="str">
        <f>IF(E228="","",IF(ISNA(VLOOKUP($E228,'A-1 On-Site Habitat Baseline'!$D$1:$X$258,16,FALSE)),"",(VLOOKUP($E228,'A-1 On-Site Habitat Baseline'!$D$1:$X$258,13,FALSE))))</f>
        <v/>
      </c>
      <c r="P228" s="154" t="str">
        <f>IFERROR(INDEX('G-1 All Habitats'!$AG$49:$AG$63,MATCH(Q228,'G-1 All Habitats'!$AF$27:$AF$41,0)),"")</f>
        <v/>
      </c>
      <c r="Q228" s="155" t="str">
        <f t="shared" si="35"/>
        <v/>
      </c>
      <c r="R228" s="155"/>
      <c r="S228" s="237" t="str">
        <f>IFERROR(INDEX('G-1 All Habitats'!$B$3:$B$135,MATCH(R228,'G-1 All Habitats'!$A$3:$A$135,0)),"")</f>
        <v/>
      </c>
      <c r="T228" s="275" t="str">
        <f t="shared" si="36"/>
        <v/>
      </c>
      <c r="U228" s="276" t="str">
        <f t="shared" si="37"/>
        <v/>
      </c>
      <c r="V228" s="311" t="str">
        <f t="shared" si="33"/>
        <v/>
      </c>
      <c r="W228" s="295" t="str">
        <f>IF(S228="","",VLOOKUP(S228,'G-1 All Habitats'!$B$2:$M$135,10,FALSE))</f>
        <v/>
      </c>
      <c r="X228" s="295" t="str">
        <f>IFERROR(VLOOKUP(W228,'G-1 All Habitats'!$V$3:$W$7,2,FALSE),"")</f>
        <v/>
      </c>
      <c r="Y228" s="57"/>
      <c r="Z228" s="299" t="str">
        <f>IFERROR(INDEX('G-8 Condition Look up'!$A$3:$H$135,MATCH(S228,'G-8 Condition Look up'!$A$3:$A$135,0),MATCH(Y228,'G-8 Condition Look up'!$A$3:$H$3,0)),"")</f>
        <v/>
      </c>
      <c r="AA228" s="52"/>
      <c r="AB228" s="295" t="str">
        <f>IF(AA228="","",IF(VLOOKUP(AA228,'G-3 Multipliers'!$L$3:$N$6,2,FALSE)=0,"Spatial Data Missing ⚠",VLOOKUP(AA228,'G-3 Multipliers'!$L$3:$N$6,2,FALSE)))</f>
        <v/>
      </c>
      <c r="AC228" s="299" t="str">
        <f>IF(AA228="","",IF(VLOOKUP(AA228,'G-3 Multipliers'!$L$3:$N$6,3,FALSE)=0,"Spatial Data Missing ⚠",VLOOKUP(AA228,'G-3 Multipliers'!$L$3:$N$6,3,FALSE)))</f>
        <v/>
      </c>
      <c r="AD228" s="313" t="str">
        <f t="shared" si="34"/>
        <v/>
      </c>
      <c r="AE228" s="58"/>
      <c r="AF228" s="58"/>
      <c r="AG228" s="283" t="str">
        <f t="shared" si="38"/>
        <v/>
      </c>
      <c r="AH228" s="296" t="str">
        <f t="shared" si="39"/>
        <v/>
      </c>
      <c r="AI228" s="297" t="str">
        <f>IF(AH228="Check Data ⚠","Check Data ⚠",IFERROR(VLOOKUP(AH228,'G-4 Temporal multipliers'!$A$4:$C$36,3,FALSE),""))</f>
        <v/>
      </c>
      <c r="AJ228" s="275" t="str">
        <f>IF(S228="","",VLOOKUP(S228,'G-3 Multipliers'!$A$2:$E$134,4,FALSE))</f>
        <v/>
      </c>
      <c r="AK228" s="283" t="str">
        <f t="shared" si="40"/>
        <v/>
      </c>
      <c r="AL228" s="283" t="str">
        <f t="shared" si="41"/>
        <v/>
      </c>
      <c r="AM228" s="314" t="str">
        <f>IFERROR(IF(F228="","",IF(AH228="Check Data ⚠","Check Data ⚠",VLOOKUP(AL228,'G-3 Multipliers'!$P$2:$Q$6,2,FALSE))),"")</f>
        <v/>
      </c>
      <c r="AN228" s="289" t="str">
        <f t="shared" si="42"/>
        <v/>
      </c>
      <c r="AO228" s="52"/>
      <c r="AP228" s="51"/>
      <c r="AQ228" s="104"/>
      <c r="AT228" s="35" t="str">
        <f t="shared" si="43"/>
        <v>No</v>
      </c>
      <c r="AU228" s="35" t="str">
        <f>IF(E228="","",IF(ISNA(VLOOKUP($E228,'A-1 On-Site Habitat Baseline'!$D$1:$AV$258,4,FALSE)),"",(VLOOKUP($E228,'A-1 On-Site Habitat Baseline'!$D$1:$AV$258,4,FALSE))))</f>
        <v/>
      </c>
    </row>
    <row r="229" spans="1:47" ht="14">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05" t="str">
        <f>'A-1 On-Site Habitat Baseline'!AL228</f>
        <v/>
      </c>
      <c r="F229" s="295" t="str">
        <f>IF(E229="","",IF(ISNA(VLOOKUP($E229,'A-1 On-Site Habitat Baseline'!$D$1:$AV$258,45,FALSE)),"",(VLOOKUP($E229,'A-1 On-Site Habitat Baseline'!$D$1:$AV$258,45,FALSE))))</f>
        <v/>
      </c>
      <c r="G229" s="295" t="str">
        <f>IF(E229="","",IF(ISNA(VLOOKUP($E229,'A-1 On-Site Habitat Baseline'!$D$1:$O$258,5,FALSE)),"",(VLOOKUP($E229,'A-1 On-Site Habitat Baseline'!$D$1:$O$258,5,FALSE))))</f>
        <v/>
      </c>
      <c r="H229" s="295" t="str">
        <f>IF(E229="","",IF(ISNA(VLOOKUP($E229,'A-1 On-Site Habitat Baseline'!$D$1:$O$258,6,FALSE)),"",(VLOOKUP($E229,'A-1 On-Site Habitat Baseline'!$D$1:$O$258,6,FALSE))))</f>
        <v/>
      </c>
      <c r="I229" s="295" t="str">
        <f>IF(E229="","",IF(ISNA(VLOOKUP($E229,'A-1 On-Site Habitat Baseline'!$D$1:$O$258,7,FALSE)),"",(VLOOKUP($E229,'A-1 On-Site Habitat Baseline'!$D$1:$O$258,7,FALSE))))</f>
        <v/>
      </c>
      <c r="J229" s="295" t="str">
        <f>IF(E229="","",IF(ISNA(VLOOKUP($E229,'A-1 On-Site Habitat Baseline'!$D$1:$O$258,8,FALSE)),"",(VLOOKUP($E229,'A-1 On-Site Habitat Baseline'!$D$1:$O$258,8,FALSE))))</f>
        <v/>
      </c>
      <c r="K229" s="295" t="str">
        <f>IF(E229="","",IF(ISNA(VLOOKUP($E229,'A-1 On-Site Habitat Baseline'!$D$1:$O$258,9,FALSE)),"",(VLOOKUP($E229,'A-1 On-Site Habitat Baseline'!$D$1:$O$258,9,FALSE))))</f>
        <v/>
      </c>
      <c r="L229" s="295" t="str">
        <f>IF(E229="","",IF(ISNA(VLOOKUP($E229,'A-1 On-Site Habitat Baseline'!$D$1:$O$258,11,FALSE)),"",(VLOOKUP($E229,'A-1 On-Site Habitat Baseline'!$D$1:$O$258,11,FALSE))))</f>
        <v/>
      </c>
      <c r="M229" s="295" t="str">
        <f>IF(E229="","",IF(ISNA(VLOOKUP($E229,'A-1 On-Site Habitat Baseline'!$D$1:$O$258,12,FALSE)),"",(VLOOKUP($E229,'A-1 On-Site Habitat Baseline'!$D$1:$O$258,12,FALSE))))</f>
        <v/>
      </c>
      <c r="N229" s="306" t="str">
        <f>IF(E229="","",IF(ISNA(VLOOKUP($E229,'A-1 On-Site Habitat Baseline'!$D$1:$X$258,14,FALSE)),"",(VLOOKUP($E229,'A-1 On-Site Habitat Baseline'!$D$1:$X$258,14,FALSE))))</f>
        <v/>
      </c>
      <c r="O229" s="299" t="str">
        <f>IF(E229="","",IF(ISNA(VLOOKUP($E229,'A-1 On-Site Habitat Baseline'!$D$1:$X$258,16,FALSE)),"",(VLOOKUP($E229,'A-1 On-Site Habitat Baseline'!$D$1:$X$258,13,FALSE))))</f>
        <v/>
      </c>
      <c r="P229" s="154" t="str">
        <f>IFERROR(INDEX('G-1 All Habitats'!$AG$49:$AG$63,MATCH(Q229,'G-1 All Habitats'!$AF$27:$AF$41,0)),"")</f>
        <v/>
      </c>
      <c r="Q229" s="155" t="str">
        <f t="shared" si="35"/>
        <v/>
      </c>
      <c r="R229" s="155"/>
      <c r="S229" s="237" t="str">
        <f>IFERROR(INDEX('G-1 All Habitats'!$B$3:$B$135,MATCH(R229,'G-1 All Habitats'!$A$3:$A$135,0)),"")</f>
        <v/>
      </c>
      <c r="T229" s="275" t="str">
        <f t="shared" si="36"/>
        <v/>
      </c>
      <c r="U229" s="276" t="str">
        <f t="shared" si="37"/>
        <v/>
      </c>
      <c r="V229" s="311" t="str">
        <f t="shared" si="33"/>
        <v/>
      </c>
      <c r="W229" s="295" t="str">
        <f>IF(S229="","",VLOOKUP(S229,'G-1 All Habitats'!$B$2:$M$135,10,FALSE))</f>
        <v/>
      </c>
      <c r="X229" s="295" t="str">
        <f>IFERROR(VLOOKUP(W229,'G-1 All Habitats'!$V$3:$W$7,2,FALSE),"")</f>
        <v/>
      </c>
      <c r="Y229" s="57"/>
      <c r="Z229" s="299" t="str">
        <f>IFERROR(INDEX('G-8 Condition Look up'!$A$3:$H$135,MATCH(S229,'G-8 Condition Look up'!$A$3:$A$135,0),MATCH(Y229,'G-8 Condition Look up'!$A$3:$H$3,0)),"")</f>
        <v/>
      </c>
      <c r="AA229" s="52"/>
      <c r="AB229" s="295" t="str">
        <f>IF(AA229="","",IF(VLOOKUP(AA229,'G-3 Multipliers'!$L$3:$N$6,2,FALSE)=0,"Spatial Data Missing ⚠",VLOOKUP(AA229,'G-3 Multipliers'!$L$3:$N$6,2,FALSE)))</f>
        <v/>
      </c>
      <c r="AC229" s="299" t="str">
        <f>IF(AA229="","",IF(VLOOKUP(AA229,'G-3 Multipliers'!$L$3:$N$6,3,FALSE)=0,"Spatial Data Missing ⚠",VLOOKUP(AA229,'G-3 Multipliers'!$L$3:$N$6,3,FALSE)))</f>
        <v/>
      </c>
      <c r="AD229" s="313" t="str">
        <f t="shared" si="34"/>
        <v/>
      </c>
      <c r="AE229" s="58"/>
      <c r="AF229" s="58"/>
      <c r="AG229" s="283" t="str">
        <f t="shared" si="38"/>
        <v/>
      </c>
      <c r="AH229" s="296" t="str">
        <f t="shared" si="39"/>
        <v/>
      </c>
      <c r="AI229" s="297" t="str">
        <f>IF(AH229="Check Data ⚠","Check Data ⚠",IFERROR(VLOOKUP(AH229,'G-4 Temporal multipliers'!$A$4:$C$36,3,FALSE),""))</f>
        <v/>
      </c>
      <c r="AJ229" s="275" t="str">
        <f>IF(S229="","",VLOOKUP(S229,'G-3 Multipliers'!$A$2:$E$134,4,FALSE))</f>
        <v/>
      </c>
      <c r="AK229" s="283" t="str">
        <f t="shared" si="40"/>
        <v/>
      </c>
      <c r="AL229" s="283" t="str">
        <f t="shared" si="41"/>
        <v/>
      </c>
      <c r="AM229" s="314" t="str">
        <f>IFERROR(IF(F229="","",IF(AH229="Check Data ⚠","Check Data ⚠",VLOOKUP(AL229,'G-3 Multipliers'!$P$2:$Q$6,2,FALSE))),"")</f>
        <v/>
      </c>
      <c r="AN229" s="289" t="str">
        <f t="shared" si="42"/>
        <v/>
      </c>
      <c r="AO229" s="52"/>
      <c r="AP229" s="51"/>
      <c r="AQ229" s="104"/>
      <c r="AT229" s="35" t="str">
        <f t="shared" si="43"/>
        <v>No</v>
      </c>
      <c r="AU229" s="35" t="str">
        <f>IF(E229="","",IF(ISNA(VLOOKUP($E229,'A-1 On-Site Habitat Baseline'!$D$1:$AV$258,4,FALSE)),"",(VLOOKUP($E229,'A-1 On-Site Habitat Baseline'!$D$1:$AV$258,4,FALSE))))</f>
        <v/>
      </c>
    </row>
    <row r="230" spans="1:47" ht="14">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05" t="str">
        <f>'A-1 On-Site Habitat Baseline'!AL229</f>
        <v/>
      </c>
      <c r="F230" s="295" t="str">
        <f>IF(E230="","",IF(ISNA(VLOOKUP($E230,'A-1 On-Site Habitat Baseline'!$D$1:$AV$258,45,FALSE)),"",(VLOOKUP($E230,'A-1 On-Site Habitat Baseline'!$D$1:$AV$258,45,FALSE))))</f>
        <v/>
      </c>
      <c r="G230" s="295" t="str">
        <f>IF(E230="","",IF(ISNA(VLOOKUP($E230,'A-1 On-Site Habitat Baseline'!$D$1:$O$258,5,FALSE)),"",(VLOOKUP($E230,'A-1 On-Site Habitat Baseline'!$D$1:$O$258,5,FALSE))))</f>
        <v/>
      </c>
      <c r="H230" s="295" t="str">
        <f>IF(E230="","",IF(ISNA(VLOOKUP($E230,'A-1 On-Site Habitat Baseline'!$D$1:$O$258,6,FALSE)),"",(VLOOKUP($E230,'A-1 On-Site Habitat Baseline'!$D$1:$O$258,6,FALSE))))</f>
        <v/>
      </c>
      <c r="I230" s="295" t="str">
        <f>IF(E230="","",IF(ISNA(VLOOKUP($E230,'A-1 On-Site Habitat Baseline'!$D$1:$O$258,7,FALSE)),"",(VLOOKUP($E230,'A-1 On-Site Habitat Baseline'!$D$1:$O$258,7,FALSE))))</f>
        <v/>
      </c>
      <c r="J230" s="295" t="str">
        <f>IF(E230="","",IF(ISNA(VLOOKUP($E230,'A-1 On-Site Habitat Baseline'!$D$1:$O$258,8,FALSE)),"",(VLOOKUP($E230,'A-1 On-Site Habitat Baseline'!$D$1:$O$258,8,FALSE))))</f>
        <v/>
      </c>
      <c r="K230" s="295" t="str">
        <f>IF(E230="","",IF(ISNA(VLOOKUP($E230,'A-1 On-Site Habitat Baseline'!$D$1:$O$258,9,FALSE)),"",(VLOOKUP($E230,'A-1 On-Site Habitat Baseline'!$D$1:$O$258,9,FALSE))))</f>
        <v/>
      </c>
      <c r="L230" s="295" t="str">
        <f>IF(E230="","",IF(ISNA(VLOOKUP($E230,'A-1 On-Site Habitat Baseline'!$D$1:$O$258,11,FALSE)),"",(VLOOKUP($E230,'A-1 On-Site Habitat Baseline'!$D$1:$O$258,11,FALSE))))</f>
        <v/>
      </c>
      <c r="M230" s="295" t="str">
        <f>IF(E230="","",IF(ISNA(VLOOKUP($E230,'A-1 On-Site Habitat Baseline'!$D$1:$O$258,12,FALSE)),"",(VLOOKUP($E230,'A-1 On-Site Habitat Baseline'!$D$1:$O$258,12,FALSE))))</f>
        <v/>
      </c>
      <c r="N230" s="306" t="str">
        <f>IF(E230="","",IF(ISNA(VLOOKUP($E230,'A-1 On-Site Habitat Baseline'!$D$1:$X$258,14,FALSE)),"",(VLOOKUP($E230,'A-1 On-Site Habitat Baseline'!$D$1:$X$258,14,FALSE))))</f>
        <v/>
      </c>
      <c r="O230" s="299" t="str">
        <f>IF(E230="","",IF(ISNA(VLOOKUP($E230,'A-1 On-Site Habitat Baseline'!$D$1:$X$258,16,FALSE)),"",(VLOOKUP($E230,'A-1 On-Site Habitat Baseline'!$D$1:$X$258,13,FALSE))))</f>
        <v/>
      </c>
      <c r="P230" s="154" t="str">
        <f>IFERROR(INDEX('G-1 All Habitats'!$AG$49:$AG$63,MATCH(Q230,'G-1 All Habitats'!$AF$27:$AF$41,0)),"")</f>
        <v/>
      </c>
      <c r="Q230" s="155" t="str">
        <f t="shared" si="35"/>
        <v/>
      </c>
      <c r="R230" s="155"/>
      <c r="S230" s="237" t="str">
        <f>IFERROR(INDEX('G-1 All Habitats'!$B$3:$B$135,MATCH(R230,'G-1 All Habitats'!$A$3:$A$135,0)),"")</f>
        <v/>
      </c>
      <c r="T230" s="275" t="str">
        <f t="shared" si="36"/>
        <v/>
      </c>
      <c r="U230" s="276" t="str">
        <f t="shared" si="37"/>
        <v/>
      </c>
      <c r="V230" s="311" t="str">
        <f t="shared" si="33"/>
        <v/>
      </c>
      <c r="W230" s="295" t="str">
        <f>IF(S230="","",VLOOKUP(S230,'G-1 All Habitats'!$B$2:$M$135,10,FALSE))</f>
        <v/>
      </c>
      <c r="X230" s="295" t="str">
        <f>IFERROR(VLOOKUP(W230,'G-1 All Habitats'!$V$3:$W$7,2,FALSE),"")</f>
        <v/>
      </c>
      <c r="Y230" s="57"/>
      <c r="Z230" s="299" t="str">
        <f>IFERROR(INDEX('G-8 Condition Look up'!$A$3:$H$135,MATCH(S230,'G-8 Condition Look up'!$A$3:$A$135,0),MATCH(Y230,'G-8 Condition Look up'!$A$3:$H$3,0)),"")</f>
        <v/>
      </c>
      <c r="AA230" s="52"/>
      <c r="AB230" s="295" t="str">
        <f>IF(AA230="","",IF(VLOOKUP(AA230,'G-3 Multipliers'!$L$3:$N$6,2,FALSE)=0,"Spatial Data Missing ⚠",VLOOKUP(AA230,'G-3 Multipliers'!$L$3:$N$6,2,FALSE)))</f>
        <v/>
      </c>
      <c r="AC230" s="299" t="str">
        <f>IF(AA230="","",IF(VLOOKUP(AA230,'G-3 Multipliers'!$L$3:$N$6,3,FALSE)=0,"Spatial Data Missing ⚠",VLOOKUP(AA230,'G-3 Multipliers'!$L$3:$N$6,3,FALSE)))</f>
        <v/>
      </c>
      <c r="AD230" s="313" t="str">
        <f t="shared" si="34"/>
        <v/>
      </c>
      <c r="AE230" s="58"/>
      <c r="AF230" s="58"/>
      <c r="AG230" s="283" t="str">
        <f t="shared" si="38"/>
        <v/>
      </c>
      <c r="AH230" s="296" t="str">
        <f t="shared" si="39"/>
        <v/>
      </c>
      <c r="AI230" s="297" t="str">
        <f>IF(AH230="Check Data ⚠","Check Data ⚠",IFERROR(VLOOKUP(AH230,'G-4 Temporal multipliers'!$A$4:$C$36,3,FALSE),""))</f>
        <v/>
      </c>
      <c r="AJ230" s="275" t="str">
        <f>IF(S230="","",VLOOKUP(S230,'G-3 Multipliers'!$A$2:$E$134,4,FALSE))</f>
        <v/>
      </c>
      <c r="AK230" s="283" t="str">
        <f t="shared" si="40"/>
        <v/>
      </c>
      <c r="AL230" s="283" t="str">
        <f t="shared" si="41"/>
        <v/>
      </c>
      <c r="AM230" s="314" t="str">
        <f>IFERROR(IF(F230="","",IF(AH230="Check Data ⚠","Check Data ⚠",VLOOKUP(AL230,'G-3 Multipliers'!$P$2:$Q$6,2,FALSE))),"")</f>
        <v/>
      </c>
      <c r="AN230" s="289" t="str">
        <f t="shared" si="42"/>
        <v/>
      </c>
      <c r="AO230" s="52"/>
      <c r="AP230" s="51"/>
      <c r="AQ230" s="104"/>
      <c r="AT230" s="35" t="str">
        <f t="shared" si="43"/>
        <v>No</v>
      </c>
      <c r="AU230" s="35" t="str">
        <f>IF(E230="","",IF(ISNA(VLOOKUP($E230,'A-1 On-Site Habitat Baseline'!$D$1:$AV$258,4,FALSE)),"",(VLOOKUP($E230,'A-1 On-Site Habitat Baseline'!$D$1:$AV$258,4,FALSE))))</f>
        <v/>
      </c>
    </row>
    <row r="231" spans="1:47" ht="14">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05" t="str">
        <f>'A-1 On-Site Habitat Baseline'!AL230</f>
        <v/>
      </c>
      <c r="F231" s="295" t="str">
        <f>IF(E231="","",IF(ISNA(VLOOKUP($E231,'A-1 On-Site Habitat Baseline'!$D$1:$AV$258,45,FALSE)),"",(VLOOKUP($E231,'A-1 On-Site Habitat Baseline'!$D$1:$AV$258,45,FALSE))))</f>
        <v/>
      </c>
      <c r="G231" s="295" t="str">
        <f>IF(E231="","",IF(ISNA(VLOOKUP($E231,'A-1 On-Site Habitat Baseline'!$D$1:$O$258,5,FALSE)),"",(VLOOKUP($E231,'A-1 On-Site Habitat Baseline'!$D$1:$O$258,5,FALSE))))</f>
        <v/>
      </c>
      <c r="H231" s="295" t="str">
        <f>IF(E231="","",IF(ISNA(VLOOKUP($E231,'A-1 On-Site Habitat Baseline'!$D$1:$O$258,6,FALSE)),"",(VLOOKUP($E231,'A-1 On-Site Habitat Baseline'!$D$1:$O$258,6,FALSE))))</f>
        <v/>
      </c>
      <c r="I231" s="295" t="str">
        <f>IF(E231="","",IF(ISNA(VLOOKUP($E231,'A-1 On-Site Habitat Baseline'!$D$1:$O$258,7,FALSE)),"",(VLOOKUP($E231,'A-1 On-Site Habitat Baseline'!$D$1:$O$258,7,FALSE))))</f>
        <v/>
      </c>
      <c r="J231" s="295" t="str">
        <f>IF(E231="","",IF(ISNA(VLOOKUP($E231,'A-1 On-Site Habitat Baseline'!$D$1:$O$258,8,FALSE)),"",(VLOOKUP($E231,'A-1 On-Site Habitat Baseline'!$D$1:$O$258,8,FALSE))))</f>
        <v/>
      </c>
      <c r="K231" s="295" t="str">
        <f>IF(E231="","",IF(ISNA(VLOOKUP($E231,'A-1 On-Site Habitat Baseline'!$D$1:$O$258,9,FALSE)),"",(VLOOKUP($E231,'A-1 On-Site Habitat Baseline'!$D$1:$O$258,9,FALSE))))</f>
        <v/>
      </c>
      <c r="L231" s="295" t="str">
        <f>IF(E231="","",IF(ISNA(VLOOKUP($E231,'A-1 On-Site Habitat Baseline'!$D$1:$O$258,11,FALSE)),"",(VLOOKUP($E231,'A-1 On-Site Habitat Baseline'!$D$1:$O$258,11,FALSE))))</f>
        <v/>
      </c>
      <c r="M231" s="295" t="str">
        <f>IF(E231="","",IF(ISNA(VLOOKUP($E231,'A-1 On-Site Habitat Baseline'!$D$1:$O$258,12,FALSE)),"",(VLOOKUP($E231,'A-1 On-Site Habitat Baseline'!$D$1:$O$258,12,FALSE))))</f>
        <v/>
      </c>
      <c r="N231" s="306" t="str">
        <f>IF(E231="","",IF(ISNA(VLOOKUP($E231,'A-1 On-Site Habitat Baseline'!$D$1:$X$258,14,FALSE)),"",(VLOOKUP($E231,'A-1 On-Site Habitat Baseline'!$D$1:$X$258,14,FALSE))))</f>
        <v/>
      </c>
      <c r="O231" s="299" t="str">
        <f>IF(E231="","",IF(ISNA(VLOOKUP($E231,'A-1 On-Site Habitat Baseline'!$D$1:$X$258,16,FALSE)),"",(VLOOKUP($E231,'A-1 On-Site Habitat Baseline'!$D$1:$X$258,13,FALSE))))</f>
        <v/>
      </c>
      <c r="P231" s="154" t="str">
        <f>IFERROR(INDEX('G-1 All Habitats'!$AG$49:$AG$63,MATCH(Q231,'G-1 All Habitats'!$AF$27:$AF$41,0)),"")</f>
        <v/>
      </c>
      <c r="Q231" s="155" t="str">
        <f t="shared" si="35"/>
        <v/>
      </c>
      <c r="R231" s="155"/>
      <c r="S231" s="237" t="str">
        <f>IFERROR(INDEX('G-1 All Habitats'!$B$3:$B$135,MATCH(R231,'G-1 All Habitats'!$A$3:$A$135,0)),"")</f>
        <v/>
      </c>
      <c r="T231" s="275" t="str">
        <f t="shared" si="36"/>
        <v/>
      </c>
      <c r="U231" s="276" t="str">
        <f t="shared" si="37"/>
        <v/>
      </c>
      <c r="V231" s="311" t="str">
        <f t="shared" si="33"/>
        <v/>
      </c>
      <c r="W231" s="295" t="str">
        <f>IF(S231="","",VLOOKUP(S231,'G-1 All Habitats'!$B$2:$M$135,10,FALSE))</f>
        <v/>
      </c>
      <c r="X231" s="295" t="str">
        <f>IFERROR(VLOOKUP(W231,'G-1 All Habitats'!$V$3:$W$7,2,FALSE),"")</f>
        <v/>
      </c>
      <c r="Y231" s="57"/>
      <c r="Z231" s="299" t="str">
        <f>IFERROR(INDEX('G-8 Condition Look up'!$A$3:$H$135,MATCH(S231,'G-8 Condition Look up'!$A$3:$A$135,0),MATCH(Y231,'G-8 Condition Look up'!$A$3:$H$3,0)),"")</f>
        <v/>
      </c>
      <c r="AA231" s="52"/>
      <c r="AB231" s="295" t="str">
        <f>IF(AA231="","",IF(VLOOKUP(AA231,'G-3 Multipliers'!$L$3:$N$6,2,FALSE)=0,"Spatial Data Missing ⚠",VLOOKUP(AA231,'G-3 Multipliers'!$L$3:$N$6,2,FALSE)))</f>
        <v/>
      </c>
      <c r="AC231" s="299" t="str">
        <f>IF(AA231="","",IF(VLOOKUP(AA231,'G-3 Multipliers'!$L$3:$N$6,3,FALSE)=0,"Spatial Data Missing ⚠",VLOOKUP(AA231,'G-3 Multipliers'!$L$3:$N$6,3,FALSE)))</f>
        <v/>
      </c>
      <c r="AD231" s="313" t="str">
        <f t="shared" si="34"/>
        <v/>
      </c>
      <c r="AE231" s="58"/>
      <c r="AF231" s="58"/>
      <c r="AG231" s="283" t="str">
        <f t="shared" si="38"/>
        <v/>
      </c>
      <c r="AH231" s="296" t="str">
        <f t="shared" si="39"/>
        <v/>
      </c>
      <c r="AI231" s="297" t="str">
        <f>IF(AH231="Check Data ⚠","Check Data ⚠",IFERROR(VLOOKUP(AH231,'G-4 Temporal multipliers'!$A$4:$C$36,3,FALSE),""))</f>
        <v/>
      </c>
      <c r="AJ231" s="275" t="str">
        <f>IF(S231="","",VLOOKUP(S231,'G-3 Multipliers'!$A$2:$E$134,4,FALSE))</f>
        <v/>
      </c>
      <c r="AK231" s="283" t="str">
        <f t="shared" si="40"/>
        <v/>
      </c>
      <c r="AL231" s="283" t="str">
        <f t="shared" si="41"/>
        <v/>
      </c>
      <c r="AM231" s="314" t="str">
        <f>IFERROR(IF(F231="","",IF(AH231="Check Data ⚠","Check Data ⚠",VLOOKUP(AL231,'G-3 Multipliers'!$P$2:$Q$6,2,FALSE))),"")</f>
        <v/>
      </c>
      <c r="AN231" s="289" t="str">
        <f t="shared" si="42"/>
        <v/>
      </c>
      <c r="AO231" s="52"/>
      <c r="AP231" s="51"/>
      <c r="AQ231" s="104"/>
      <c r="AT231" s="35" t="str">
        <f t="shared" si="43"/>
        <v>No</v>
      </c>
      <c r="AU231" s="35" t="str">
        <f>IF(E231="","",IF(ISNA(VLOOKUP($E231,'A-1 On-Site Habitat Baseline'!$D$1:$AV$258,4,FALSE)),"",(VLOOKUP($E231,'A-1 On-Site Habitat Baseline'!$D$1:$AV$258,4,FALSE))))</f>
        <v/>
      </c>
    </row>
    <row r="232" spans="1:47" ht="14">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05" t="str">
        <f>'A-1 On-Site Habitat Baseline'!AL231</f>
        <v/>
      </c>
      <c r="F232" s="295" t="str">
        <f>IF(E232="","",IF(ISNA(VLOOKUP($E232,'A-1 On-Site Habitat Baseline'!$D$1:$AV$258,45,FALSE)),"",(VLOOKUP($E232,'A-1 On-Site Habitat Baseline'!$D$1:$AV$258,45,FALSE))))</f>
        <v/>
      </c>
      <c r="G232" s="295" t="str">
        <f>IF(E232="","",IF(ISNA(VLOOKUP($E232,'A-1 On-Site Habitat Baseline'!$D$1:$O$258,5,FALSE)),"",(VLOOKUP($E232,'A-1 On-Site Habitat Baseline'!$D$1:$O$258,5,FALSE))))</f>
        <v/>
      </c>
      <c r="H232" s="295" t="str">
        <f>IF(E232="","",IF(ISNA(VLOOKUP($E232,'A-1 On-Site Habitat Baseline'!$D$1:$O$258,6,FALSE)),"",(VLOOKUP($E232,'A-1 On-Site Habitat Baseline'!$D$1:$O$258,6,FALSE))))</f>
        <v/>
      </c>
      <c r="I232" s="295" t="str">
        <f>IF(E232="","",IF(ISNA(VLOOKUP($E232,'A-1 On-Site Habitat Baseline'!$D$1:$O$258,7,FALSE)),"",(VLOOKUP($E232,'A-1 On-Site Habitat Baseline'!$D$1:$O$258,7,FALSE))))</f>
        <v/>
      </c>
      <c r="J232" s="295" t="str">
        <f>IF(E232="","",IF(ISNA(VLOOKUP($E232,'A-1 On-Site Habitat Baseline'!$D$1:$O$258,8,FALSE)),"",(VLOOKUP($E232,'A-1 On-Site Habitat Baseline'!$D$1:$O$258,8,FALSE))))</f>
        <v/>
      </c>
      <c r="K232" s="295" t="str">
        <f>IF(E232="","",IF(ISNA(VLOOKUP($E232,'A-1 On-Site Habitat Baseline'!$D$1:$O$258,9,FALSE)),"",(VLOOKUP($E232,'A-1 On-Site Habitat Baseline'!$D$1:$O$258,9,FALSE))))</f>
        <v/>
      </c>
      <c r="L232" s="295" t="str">
        <f>IF(E232="","",IF(ISNA(VLOOKUP($E232,'A-1 On-Site Habitat Baseline'!$D$1:$O$258,11,FALSE)),"",(VLOOKUP($E232,'A-1 On-Site Habitat Baseline'!$D$1:$O$258,11,FALSE))))</f>
        <v/>
      </c>
      <c r="M232" s="295" t="str">
        <f>IF(E232="","",IF(ISNA(VLOOKUP($E232,'A-1 On-Site Habitat Baseline'!$D$1:$O$258,12,FALSE)),"",(VLOOKUP($E232,'A-1 On-Site Habitat Baseline'!$D$1:$O$258,12,FALSE))))</f>
        <v/>
      </c>
      <c r="N232" s="306" t="str">
        <f>IF(E232="","",IF(ISNA(VLOOKUP($E232,'A-1 On-Site Habitat Baseline'!$D$1:$X$258,14,FALSE)),"",(VLOOKUP($E232,'A-1 On-Site Habitat Baseline'!$D$1:$X$258,14,FALSE))))</f>
        <v/>
      </c>
      <c r="O232" s="299" t="str">
        <f>IF(E232="","",IF(ISNA(VLOOKUP($E232,'A-1 On-Site Habitat Baseline'!$D$1:$X$258,16,FALSE)),"",(VLOOKUP($E232,'A-1 On-Site Habitat Baseline'!$D$1:$X$258,13,FALSE))))</f>
        <v/>
      </c>
      <c r="P232" s="154" t="str">
        <f>IFERROR(INDEX('G-1 All Habitats'!$AG$49:$AG$63,MATCH(Q232,'G-1 All Habitats'!$AF$27:$AF$41,0)),"")</f>
        <v/>
      </c>
      <c r="Q232" s="155" t="str">
        <f t="shared" si="35"/>
        <v/>
      </c>
      <c r="R232" s="155"/>
      <c r="S232" s="237" t="str">
        <f>IFERROR(INDEX('G-1 All Habitats'!$B$3:$B$135,MATCH(R232,'G-1 All Habitats'!$A$3:$A$135,0)),"")</f>
        <v/>
      </c>
      <c r="T232" s="275" t="str">
        <f t="shared" si="36"/>
        <v/>
      </c>
      <c r="U232" s="276" t="str">
        <f t="shared" si="37"/>
        <v/>
      </c>
      <c r="V232" s="311" t="str">
        <f t="shared" si="33"/>
        <v/>
      </c>
      <c r="W232" s="295" t="str">
        <f>IF(S232="","",VLOOKUP(S232,'G-1 All Habitats'!$B$2:$M$135,10,FALSE))</f>
        <v/>
      </c>
      <c r="X232" s="295" t="str">
        <f>IFERROR(VLOOKUP(W232,'G-1 All Habitats'!$V$3:$W$7,2,FALSE),"")</f>
        <v/>
      </c>
      <c r="Y232" s="57"/>
      <c r="Z232" s="299" t="str">
        <f>IFERROR(INDEX('G-8 Condition Look up'!$A$3:$H$135,MATCH(S232,'G-8 Condition Look up'!$A$3:$A$135,0),MATCH(Y232,'G-8 Condition Look up'!$A$3:$H$3,0)),"")</f>
        <v/>
      </c>
      <c r="AA232" s="52"/>
      <c r="AB232" s="295" t="str">
        <f>IF(AA232="","",IF(VLOOKUP(AA232,'G-3 Multipliers'!$L$3:$N$6,2,FALSE)=0,"Spatial Data Missing ⚠",VLOOKUP(AA232,'G-3 Multipliers'!$L$3:$N$6,2,FALSE)))</f>
        <v/>
      </c>
      <c r="AC232" s="299" t="str">
        <f>IF(AA232="","",IF(VLOOKUP(AA232,'G-3 Multipliers'!$L$3:$N$6,3,FALSE)=0,"Spatial Data Missing ⚠",VLOOKUP(AA232,'G-3 Multipliers'!$L$3:$N$6,3,FALSE)))</f>
        <v/>
      </c>
      <c r="AD232" s="313" t="str">
        <f t="shared" si="34"/>
        <v/>
      </c>
      <c r="AE232" s="58"/>
      <c r="AF232" s="58"/>
      <c r="AG232" s="283" t="str">
        <f t="shared" si="38"/>
        <v/>
      </c>
      <c r="AH232" s="296" t="str">
        <f t="shared" si="39"/>
        <v/>
      </c>
      <c r="AI232" s="297" t="str">
        <f>IF(AH232="Check Data ⚠","Check Data ⚠",IFERROR(VLOOKUP(AH232,'G-4 Temporal multipliers'!$A$4:$C$36,3,FALSE),""))</f>
        <v/>
      </c>
      <c r="AJ232" s="275" t="str">
        <f>IF(S232="","",VLOOKUP(S232,'G-3 Multipliers'!$A$2:$E$134,4,FALSE))</f>
        <v/>
      </c>
      <c r="AK232" s="283" t="str">
        <f t="shared" si="40"/>
        <v/>
      </c>
      <c r="AL232" s="283" t="str">
        <f t="shared" si="41"/>
        <v/>
      </c>
      <c r="AM232" s="314" t="str">
        <f>IFERROR(IF(F232="","",IF(AH232="Check Data ⚠","Check Data ⚠",VLOOKUP(AL232,'G-3 Multipliers'!$P$2:$Q$6,2,FALSE))),"")</f>
        <v/>
      </c>
      <c r="AN232" s="289" t="str">
        <f t="shared" si="42"/>
        <v/>
      </c>
      <c r="AO232" s="52"/>
      <c r="AP232" s="51"/>
      <c r="AQ232" s="104"/>
      <c r="AT232" s="35" t="str">
        <f t="shared" si="43"/>
        <v>No</v>
      </c>
      <c r="AU232" s="35" t="str">
        <f>IF(E232="","",IF(ISNA(VLOOKUP($E232,'A-1 On-Site Habitat Baseline'!$D$1:$AV$258,4,FALSE)),"",(VLOOKUP($E232,'A-1 On-Site Habitat Baseline'!$D$1:$AV$258,4,FALSE))))</f>
        <v/>
      </c>
    </row>
    <row r="233" spans="1:47" ht="14">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05" t="str">
        <f>'A-1 On-Site Habitat Baseline'!AL232</f>
        <v/>
      </c>
      <c r="F233" s="295" t="str">
        <f>IF(E233="","",IF(ISNA(VLOOKUP($E233,'A-1 On-Site Habitat Baseline'!$D$1:$AV$258,45,FALSE)),"",(VLOOKUP($E233,'A-1 On-Site Habitat Baseline'!$D$1:$AV$258,45,FALSE))))</f>
        <v/>
      </c>
      <c r="G233" s="295" t="str">
        <f>IF(E233="","",IF(ISNA(VLOOKUP($E233,'A-1 On-Site Habitat Baseline'!$D$1:$O$258,5,FALSE)),"",(VLOOKUP($E233,'A-1 On-Site Habitat Baseline'!$D$1:$O$258,5,FALSE))))</f>
        <v/>
      </c>
      <c r="H233" s="295" t="str">
        <f>IF(E233="","",IF(ISNA(VLOOKUP($E233,'A-1 On-Site Habitat Baseline'!$D$1:$O$258,6,FALSE)),"",(VLOOKUP($E233,'A-1 On-Site Habitat Baseline'!$D$1:$O$258,6,FALSE))))</f>
        <v/>
      </c>
      <c r="I233" s="295" t="str">
        <f>IF(E233="","",IF(ISNA(VLOOKUP($E233,'A-1 On-Site Habitat Baseline'!$D$1:$O$258,7,FALSE)),"",(VLOOKUP($E233,'A-1 On-Site Habitat Baseline'!$D$1:$O$258,7,FALSE))))</f>
        <v/>
      </c>
      <c r="J233" s="295" t="str">
        <f>IF(E233="","",IF(ISNA(VLOOKUP($E233,'A-1 On-Site Habitat Baseline'!$D$1:$O$258,8,FALSE)),"",(VLOOKUP($E233,'A-1 On-Site Habitat Baseline'!$D$1:$O$258,8,FALSE))))</f>
        <v/>
      </c>
      <c r="K233" s="295" t="str">
        <f>IF(E233="","",IF(ISNA(VLOOKUP($E233,'A-1 On-Site Habitat Baseline'!$D$1:$O$258,9,FALSE)),"",(VLOOKUP($E233,'A-1 On-Site Habitat Baseline'!$D$1:$O$258,9,FALSE))))</f>
        <v/>
      </c>
      <c r="L233" s="295" t="str">
        <f>IF(E233="","",IF(ISNA(VLOOKUP($E233,'A-1 On-Site Habitat Baseline'!$D$1:$O$258,11,FALSE)),"",(VLOOKUP($E233,'A-1 On-Site Habitat Baseline'!$D$1:$O$258,11,FALSE))))</f>
        <v/>
      </c>
      <c r="M233" s="295" t="str">
        <f>IF(E233="","",IF(ISNA(VLOOKUP($E233,'A-1 On-Site Habitat Baseline'!$D$1:$O$258,12,FALSE)),"",(VLOOKUP($E233,'A-1 On-Site Habitat Baseline'!$D$1:$O$258,12,FALSE))))</f>
        <v/>
      </c>
      <c r="N233" s="306" t="str">
        <f>IF(E233="","",IF(ISNA(VLOOKUP($E233,'A-1 On-Site Habitat Baseline'!$D$1:$X$258,14,FALSE)),"",(VLOOKUP($E233,'A-1 On-Site Habitat Baseline'!$D$1:$X$258,14,FALSE))))</f>
        <v/>
      </c>
      <c r="O233" s="299" t="str">
        <f>IF(E233="","",IF(ISNA(VLOOKUP($E233,'A-1 On-Site Habitat Baseline'!$D$1:$X$258,16,FALSE)),"",(VLOOKUP($E233,'A-1 On-Site Habitat Baseline'!$D$1:$X$258,13,FALSE))))</f>
        <v/>
      </c>
      <c r="P233" s="154" t="str">
        <f>IFERROR(INDEX('G-1 All Habitats'!$AG$49:$AG$63,MATCH(Q233,'G-1 All Habitats'!$AF$27:$AF$41,0)),"")</f>
        <v/>
      </c>
      <c r="Q233" s="155" t="str">
        <f t="shared" si="35"/>
        <v/>
      </c>
      <c r="R233" s="155"/>
      <c r="S233" s="237" t="str">
        <f>IFERROR(INDEX('G-1 All Habitats'!$B$3:$B$135,MATCH(R233,'G-1 All Habitats'!$A$3:$A$135,0)),"")</f>
        <v/>
      </c>
      <c r="T233" s="275" t="str">
        <f t="shared" si="36"/>
        <v/>
      </c>
      <c r="U233" s="276" t="str">
        <f t="shared" si="37"/>
        <v/>
      </c>
      <c r="V233" s="311" t="str">
        <f t="shared" si="33"/>
        <v/>
      </c>
      <c r="W233" s="295" t="str">
        <f>IF(S233="","",VLOOKUP(S233,'G-1 All Habitats'!$B$2:$M$135,10,FALSE))</f>
        <v/>
      </c>
      <c r="X233" s="295" t="str">
        <f>IFERROR(VLOOKUP(W233,'G-1 All Habitats'!$V$3:$W$7,2,FALSE),"")</f>
        <v/>
      </c>
      <c r="Y233" s="57"/>
      <c r="Z233" s="299" t="str">
        <f>IFERROR(INDEX('G-8 Condition Look up'!$A$3:$H$135,MATCH(S233,'G-8 Condition Look up'!$A$3:$A$135,0),MATCH(Y233,'G-8 Condition Look up'!$A$3:$H$3,0)),"")</f>
        <v/>
      </c>
      <c r="AA233" s="52"/>
      <c r="AB233" s="295" t="str">
        <f>IF(AA233="","",IF(VLOOKUP(AA233,'G-3 Multipliers'!$L$3:$N$6,2,FALSE)=0,"Spatial Data Missing ⚠",VLOOKUP(AA233,'G-3 Multipliers'!$L$3:$N$6,2,FALSE)))</f>
        <v/>
      </c>
      <c r="AC233" s="299" t="str">
        <f>IF(AA233="","",IF(VLOOKUP(AA233,'G-3 Multipliers'!$L$3:$N$6,3,FALSE)=0,"Spatial Data Missing ⚠",VLOOKUP(AA233,'G-3 Multipliers'!$L$3:$N$6,3,FALSE)))</f>
        <v/>
      </c>
      <c r="AD233" s="313" t="str">
        <f t="shared" si="34"/>
        <v/>
      </c>
      <c r="AE233" s="58"/>
      <c r="AF233" s="58"/>
      <c r="AG233" s="283" t="str">
        <f t="shared" si="38"/>
        <v/>
      </c>
      <c r="AH233" s="296" t="str">
        <f t="shared" si="39"/>
        <v/>
      </c>
      <c r="AI233" s="297" t="str">
        <f>IF(AH233="Check Data ⚠","Check Data ⚠",IFERROR(VLOOKUP(AH233,'G-4 Temporal multipliers'!$A$4:$C$36,3,FALSE),""))</f>
        <v/>
      </c>
      <c r="AJ233" s="275" t="str">
        <f>IF(S233="","",VLOOKUP(S233,'G-3 Multipliers'!$A$2:$E$134,4,FALSE))</f>
        <v/>
      </c>
      <c r="AK233" s="283" t="str">
        <f t="shared" si="40"/>
        <v/>
      </c>
      <c r="AL233" s="283" t="str">
        <f t="shared" si="41"/>
        <v/>
      </c>
      <c r="AM233" s="314" t="str">
        <f>IFERROR(IF(F233="","",IF(AH233="Check Data ⚠","Check Data ⚠",VLOOKUP(AL233,'G-3 Multipliers'!$P$2:$Q$6,2,FALSE))),"")</f>
        <v/>
      </c>
      <c r="AN233" s="289" t="str">
        <f t="shared" si="42"/>
        <v/>
      </c>
      <c r="AO233" s="52"/>
      <c r="AP233" s="51"/>
      <c r="AQ233" s="104"/>
      <c r="AT233" s="35" t="str">
        <f t="shared" si="43"/>
        <v>No</v>
      </c>
      <c r="AU233" s="35" t="str">
        <f>IF(E233="","",IF(ISNA(VLOOKUP($E233,'A-1 On-Site Habitat Baseline'!$D$1:$AV$258,4,FALSE)),"",(VLOOKUP($E233,'A-1 On-Site Habitat Baseline'!$D$1:$AV$258,4,FALSE))))</f>
        <v/>
      </c>
    </row>
    <row r="234" spans="1:47" ht="14">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05" t="str">
        <f>'A-1 On-Site Habitat Baseline'!AL233</f>
        <v/>
      </c>
      <c r="F234" s="295" t="str">
        <f>IF(E234="","",IF(ISNA(VLOOKUP($E234,'A-1 On-Site Habitat Baseline'!$D$1:$AV$258,45,FALSE)),"",(VLOOKUP($E234,'A-1 On-Site Habitat Baseline'!$D$1:$AV$258,45,FALSE))))</f>
        <v/>
      </c>
      <c r="G234" s="295" t="str">
        <f>IF(E234="","",IF(ISNA(VLOOKUP($E234,'A-1 On-Site Habitat Baseline'!$D$1:$O$258,5,FALSE)),"",(VLOOKUP($E234,'A-1 On-Site Habitat Baseline'!$D$1:$O$258,5,FALSE))))</f>
        <v/>
      </c>
      <c r="H234" s="295" t="str">
        <f>IF(E234="","",IF(ISNA(VLOOKUP($E234,'A-1 On-Site Habitat Baseline'!$D$1:$O$258,6,FALSE)),"",(VLOOKUP($E234,'A-1 On-Site Habitat Baseline'!$D$1:$O$258,6,FALSE))))</f>
        <v/>
      </c>
      <c r="I234" s="295" t="str">
        <f>IF(E234="","",IF(ISNA(VLOOKUP($E234,'A-1 On-Site Habitat Baseline'!$D$1:$O$258,7,FALSE)),"",(VLOOKUP($E234,'A-1 On-Site Habitat Baseline'!$D$1:$O$258,7,FALSE))))</f>
        <v/>
      </c>
      <c r="J234" s="295" t="str">
        <f>IF(E234="","",IF(ISNA(VLOOKUP($E234,'A-1 On-Site Habitat Baseline'!$D$1:$O$258,8,FALSE)),"",(VLOOKUP($E234,'A-1 On-Site Habitat Baseline'!$D$1:$O$258,8,FALSE))))</f>
        <v/>
      </c>
      <c r="K234" s="295" t="str">
        <f>IF(E234="","",IF(ISNA(VLOOKUP($E234,'A-1 On-Site Habitat Baseline'!$D$1:$O$258,9,FALSE)),"",(VLOOKUP($E234,'A-1 On-Site Habitat Baseline'!$D$1:$O$258,9,FALSE))))</f>
        <v/>
      </c>
      <c r="L234" s="295" t="str">
        <f>IF(E234="","",IF(ISNA(VLOOKUP($E234,'A-1 On-Site Habitat Baseline'!$D$1:$O$258,11,FALSE)),"",(VLOOKUP($E234,'A-1 On-Site Habitat Baseline'!$D$1:$O$258,11,FALSE))))</f>
        <v/>
      </c>
      <c r="M234" s="295" t="str">
        <f>IF(E234="","",IF(ISNA(VLOOKUP($E234,'A-1 On-Site Habitat Baseline'!$D$1:$O$258,12,FALSE)),"",(VLOOKUP($E234,'A-1 On-Site Habitat Baseline'!$D$1:$O$258,12,FALSE))))</f>
        <v/>
      </c>
      <c r="N234" s="306" t="str">
        <f>IF(E234="","",IF(ISNA(VLOOKUP($E234,'A-1 On-Site Habitat Baseline'!$D$1:$X$258,14,FALSE)),"",(VLOOKUP($E234,'A-1 On-Site Habitat Baseline'!$D$1:$X$258,14,FALSE))))</f>
        <v/>
      </c>
      <c r="O234" s="299" t="str">
        <f>IF(E234="","",IF(ISNA(VLOOKUP($E234,'A-1 On-Site Habitat Baseline'!$D$1:$X$258,16,FALSE)),"",(VLOOKUP($E234,'A-1 On-Site Habitat Baseline'!$D$1:$X$258,13,FALSE))))</f>
        <v/>
      </c>
      <c r="P234" s="154" t="str">
        <f>IFERROR(INDEX('G-1 All Habitats'!$AG$49:$AG$63,MATCH(Q234,'G-1 All Habitats'!$AF$27:$AF$41,0)),"")</f>
        <v/>
      </c>
      <c r="Q234" s="155" t="str">
        <f t="shared" si="35"/>
        <v/>
      </c>
      <c r="R234" s="155"/>
      <c r="S234" s="237" t="str">
        <f>IFERROR(INDEX('G-1 All Habitats'!$B$3:$B$135,MATCH(R234,'G-1 All Habitats'!$A$3:$A$135,0)),"")</f>
        <v/>
      </c>
      <c r="T234" s="275" t="str">
        <f t="shared" si="36"/>
        <v/>
      </c>
      <c r="U234" s="276" t="str">
        <f t="shared" si="37"/>
        <v/>
      </c>
      <c r="V234" s="311" t="str">
        <f t="shared" si="33"/>
        <v/>
      </c>
      <c r="W234" s="295" t="str">
        <f>IF(S234="","",VLOOKUP(S234,'G-1 All Habitats'!$B$2:$M$135,10,FALSE))</f>
        <v/>
      </c>
      <c r="X234" s="295" t="str">
        <f>IFERROR(VLOOKUP(W234,'G-1 All Habitats'!$V$3:$W$7,2,FALSE),"")</f>
        <v/>
      </c>
      <c r="Y234" s="57"/>
      <c r="Z234" s="299" t="str">
        <f>IFERROR(INDEX('G-8 Condition Look up'!$A$3:$H$135,MATCH(S234,'G-8 Condition Look up'!$A$3:$A$135,0),MATCH(Y234,'G-8 Condition Look up'!$A$3:$H$3,0)),"")</f>
        <v/>
      </c>
      <c r="AA234" s="52"/>
      <c r="AB234" s="295" t="str">
        <f>IF(AA234="","",IF(VLOOKUP(AA234,'G-3 Multipliers'!$L$3:$N$6,2,FALSE)=0,"Spatial Data Missing ⚠",VLOOKUP(AA234,'G-3 Multipliers'!$L$3:$N$6,2,FALSE)))</f>
        <v/>
      </c>
      <c r="AC234" s="299" t="str">
        <f>IF(AA234="","",IF(VLOOKUP(AA234,'G-3 Multipliers'!$L$3:$N$6,3,FALSE)=0,"Spatial Data Missing ⚠",VLOOKUP(AA234,'G-3 Multipliers'!$L$3:$N$6,3,FALSE)))</f>
        <v/>
      </c>
      <c r="AD234" s="313" t="str">
        <f t="shared" si="34"/>
        <v/>
      </c>
      <c r="AE234" s="58"/>
      <c r="AF234" s="58"/>
      <c r="AG234" s="283" t="str">
        <f t="shared" si="38"/>
        <v/>
      </c>
      <c r="AH234" s="296" t="str">
        <f t="shared" si="39"/>
        <v/>
      </c>
      <c r="AI234" s="297" t="str">
        <f>IF(AH234="Check Data ⚠","Check Data ⚠",IFERROR(VLOOKUP(AH234,'G-4 Temporal multipliers'!$A$4:$C$36,3,FALSE),""))</f>
        <v/>
      </c>
      <c r="AJ234" s="275" t="str">
        <f>IF(S234="","",VLOOKUP(S234,'G-3 Multipliers'!$A$2:$E$134,4,FALSE))</f>
        <v/>
      </c>
      <c r="AK234" s="283" t="str">
        <f t="shared" si="40"/>
        <v/>
      </c>
      <c r="AL234" s="283" t="str">
        <f t="shared" si="41"/>
        <v/>
      </c>
      <c r="AM234" s="314" t="str">
        <f>IFERROR(IF(F234="","",IF(AH234="Check Data ⚠","Check Data ⚠",VLOOKUP(AL234,'G-3 Multipliers'!$P$2:$Q$6,2,FALSE))),"")</f>
        <v/>
      </c>
      <c r="AN234" s="289" t="str">
        <f t="shared" si="42"/>
        <v/>
      </c>
      <c r="AO234" s="52"/>
      <c r="AP234" s="51"/>
      <c r="AQ234" s="104"/>
      <c r="AT234" s="35" t="str">
        <f t="shared" si="43"/>
        <v>No</v>
      </c>
      <c r="AU234" s="35" t="str">
        <f>IF(E234="","",IF(ISNA(VLOOKUP($E234,'A-1 On-Site Habitat Baseline'!$D$1:$AV$258,4,FALSE)),"",(VLOOKUP($E234,'A-1 On-Site Habitat Baseline'!$D$1:$AV$258,4,FALSE))))</f>
        <v/>
      </c>
    </row>
    <row r="235" spans="1:47" ht="14">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05" t="str">
        <f>'A-1 On-Site Habitat Baseline'!AL234</f>
        <v/>
      </c>
      <c r="F235" s="295" t="str">
        <f>IF(E235="","",IF(ISNA(VLOOKUP($E235,'A-1 On-Site Habitat Baseline'!$D$1:$AV$258,45,FALSE)),"",(VLOOKUP($E235,'A-1 On-Site Habitat Baseline'!$D$1:$AV$258,45,FALSE))))</f>
        <v/>
      </c>
      <c r="G235" s="295" t="str">
        <f>IF(E235="","",IF(ISNA(VLOOKUP($E235,'A-1 On-Site Habitat Baseline'!$D$1:$O$258,5,FALSE)),"",(VLOOKUP($E235,'A-1 On-Site Habitat Baseline'!$D$1:$O$258,5,FALSE))))</f>
        <v/>
      </c>
      <c r="H235" s="295" t="str">
        <f>IF(E235="","",IF(ISNA(VLOOKUP($E235,'A-1 On-Site Habitat Baseline'!$D$1:$O$258,6,FALSE)),"",(VLOOKUP($E235,'A-1 On-Site Habitat Baseline'!$D$1:$O$258,6,FALSE))))</f>
        <v/>
      </c>
      <c r="I235" s="295" t="str">
        <f>IF(E235="","",IF(ISNA(VLOOKUP($E235,'A-1 On-Site Habitat Baseline'!$D$1:$O$258,7,FALSE)),"",(VLOOKUP($E235,'A-1 On-Site Habitat Baseline'!$D$1:$O$258,7,FALSE))))</f>
        <v/>
      </c>
      <c r="J235" s="295" t="str">
        <f>IF(E235="","",IF(ISNA(VLOOKUP($E235,'A-1 On-Site Habitat Baseline'!$D$1:$O$258,8,FALSE)),"",(VLOOKUP($E235,'A-1 On-Site Habitat Baseline'!$D$1:$O$258,8,FALSE))))</f>
        <v/>
      </c>
      <c r="K235" s="295" t="str">
        <f>IF(E235="","",IF(ISNA(VLOOKUP($E235,'A-1 On-Site Habitat Baseline'!$D$1:$O$258,9,FALSE)),"",(VLOOKUP($E235,'A-1 On-Site Habitat Baseline'!$D$1:$O$258,9,FALSE))))</f>
        <v/>
      </c>
      <c r="L235" s="295" t="str">
        <f>IF(E235="","",IF(ISNA(VLOOKUP($E235,'A-1 On-Site Habitat Baseline'!$D$1:$O$258,11,FALSE)),"",(VLOOKUP($E235,'A-1 On-Site Habitat Baseline'!$D$1:$O$258,11,FALSE))))</f>
        <v/>
      </c>
      <c r="M235" s="295" t="str">
        <f>IF(E235="","",IF(ISNA(VLOOKUP($E235,'A-1 On-Site Habitat Baseline'!$D$1:$O$258,12,FALSE)),"",(VLOOKUP($E235,'A-1 On-Site Habitat Baseline'!$D$1:$O$258,12,FALSE))))</f>
        <v/>
      </c>
      <c r="N235" s="306" t="str">
        <f>IF(E235="","",IF(ISNA(VLOOKUP($E235,'A-1 On-Site Habitat Baseline'!$D$1:$X$258,14,FALSE)),"",(VLOOKUP($E235,'A-1 On-Site Habitat Baseline'!$D$1:$X$258,14,FALSE))))</f>
        <v/>
      </c>
      <c r="O235" s="299" t="str">
        <f>IF(E235="","",IF(ISNA(VLOOKUP($E235,'A-1 On-Site Habitat Baseline'!$D$1:$X$258,16,FALSE)),"",(VLOOKUP($E235,'A-1 On-Site Habitat Baseline'!$D$1:$X$258,13,FALSE))))</f>
        <v/>
      </c>
      <c r="P235" s="154" t="str">
        <f>IFERROR(INDEX('G-1 All Habitats'!$AG$49:$AG$63,MATCH(Q235,'G-1 All Habitats'!$AF$27:$AF$41,0)),"")</f>
        <v/>
      </c>
      <c r="Q235" s="155" t="str">
        <f t="shared" si="35"/>
        <v/>
      </c>
      <c r="R235" s="155"/>
      <c r="S235" s="237" t="str">
        <f>IFERROR(INDEX('G-1 All Habitats'!$B$3:$B$135,MATCH(R235,'G-1 All Habitats'!$A$3:$A$135,0)),"")</f>
        <v/>
      </c>
      <c r="T235" s="275" t="str">
        <f t="shared" si="36"/>
        <v/>
      </c>
      <c r="U235" s="276" t="str">
        <f t="shared" si="37"/>
        <v/>
      </c>
      <c r="V235" s="311" t="str">
        <f t="shared" si="33"/>
        <v/>
      </c>
      <c r="W235" s="295" t="str">
        <f>IF(S235="","",VLOOKUP(S235,'G-1 All Habitats'!$B$2:$M$135,10,FALSE))</f>
        <v/>
      </c>
      <c r="X235" s="295" t="str">
        <f>IFERROR(VLOOKUP(W235,'G-1 All Habitats'!$V$3:$W$7,2,FALSE),"")</f>
        <v/>
      </c>
      <c r="Y235" s="57"/>
      <c r="Z235" s="299" t="str">
        <f>IFERROR(INDEX('G-8 Condition Look up'!$A$3:$H$135,MATCH(S235,'G-8 Condition Look up'!$A$3:$A$135,0),MATCH(Y235,'G-8 Condition Look up'!$A$3:$H$3,0)),"")</f>
        <v/>
      </c>
      <c r="AA235" s="52"/>
      <c r="AB235" s="295" t="str">
        <f>IF(AA235="","",IF(VLOOKUP(AA235,'G-3 Multipliers'!$L$3:$N$6,2,FALSE)=0,"Spatial Data Missing ⚠",VLOOKUP(AA235,'G-3 Multipliers'!$L$3:$N$6,2,FALSE)))</f>
        <v/>
      </c>
      <c r="AC235" s="299" t="str">
        <f>IF(AA235="","",IF(VLOOKUP(AA235,'G-3 Multipliers'!$L$3:$N$6,3,FALSE)=0,"Spatial Data Missing ⚠",VLOOKUP(AA235,'G-3 Multipliers'!$L$3:$N$6,3,FALSE)))</f>
        <v/>
      </c>
      <c r="AD235" s="313" t="str">
        <f t="shared" si="34"/>
        <v/>
      </c>
      <c r="AE235" s="58"/>
      <c r="AF235" s="58"/>
      <c r="AG235" s="283" t="str">
        <f t="shared" si="38"/>
        <v/>
      </c>
      <c r="AH235" s="296" t="str">
        <f t="shared" si="39"/>
        <v/>
      </c>
      <c r="AI235" s="297" t="str">
        <f>IF(AH235="Check Data ⚠","Check Data ⚠",IFERROR(VLOOKUP(AH235,'G-4 Temporal multipliers'!$A$4:$C$36,3,FALSE),""))</f>
        <v/>
      </c>
      <c r="AJ235" s="275" t="str">
        <f>IF(S235="","",VLOOKUP(S235,'G-3 Multipliers'!$A$2:$E$134,4,FALSE))</f>
        <v/>
      </c>
      <c r="AK235" s="283" t="str">
        <f t="shared" si="40"/>
        <v/>
      </c>
      <c r="AL235" s="283" t="str">
        <f t="shared" si="41"/>
        <v/>
      </c>
      <c r="AM235" s="314" t="str">
        <f>IFERROR(IF(F235="","",IF(AH235="Check Data ⚠","Check Data ⚠",VLOOKUP(AL235,'G-3 Multipliers'!$P$2:$Q$6,2,FALSE))),"")</f>
        <v/>
      </c>
      <c r="AN235" s="289" t="str">
        <f t="shared" si="42"/>
        <v/>
      </c>
      <c r="AO235" s="52"/>
      <c r="AP235" s="51"/>
      <c r="AQ235" s="104"/>
      <c r="AT235" s="35" t="str">
        <f t="shared" si="43"/>
        <v>No</v>
      </c>
      <c r="AU235" s="35" t="str">
        <f>IF(E235="","",IF(ISNA(VLOOKUP($E235,'A-1 On-Site Habitat Baseline'!$D$1:$AV$258,4,FALSE)),"",(VLOOKUP($E235,'A-1 On-Site Habitat Baseline'!$D$1:$AV$258,4,FALSE))))</f>
        <v/>
      </c>
    </row>
    <row r="236" spans="1:47" ht="14">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05" t="str">
        <f>'A-1 On-Site Habitat Baseline'!AL235</f>
        <v/>
      </c>
      <c r="F236" s="295" t="str">
        <f>IF(E236="","",IF(ISNA(VLOOKUP($E236,'A-1 On-Site Habitat Baseline'!$D$1:$AV$258,45,FALSE)),"",(VLOOKUP($E236,'A-1 On-Site Habitat Baseline'!$D$1:$AV$258,45,FALSE))))</f>
        <v/>
      </c>
      <c r="G236" s="295" t="str">
        <f>IF(E236="","",IF(ISNA(VLOOKUP($E236,'A-1 On-Site Habitat Baseline'!$D$1:$O$258,5,FALSE)),"",(VLOOKUP($E236,'A-1 On-Site Habitat Baseline'!$D$1:$O$258,5,FALSE))))</f>
        <v/>
      </c>
      <c r="H236" s="295" t="str">
        <f>IF(E236="","",IF(ISNA(VLOOKUP($E236,'A-1 On-Site Habitat Baseline'!$D$1:$O$258,6,FALSE)),"",(VLOOKUP($E236,'A-1 On-Site Habitat Baseline'!$D$1:$O$258,6,FALSE))))</f>
        <v/>
      </c>
      <c r="I236" s="295" t="str">
        <f>IF(E236="","",IF(ISNA(VLOOKUP($E236,'A-1 On-Site Habitat Baseline'!$D$1:$O$258,7,FALSE)),"",(VLOOKUP($E236,'A-1 On-Site Habitat Baseline'!$D$1:$O$258,7,FALSE))))</f>
        <v/>
      </c>
      <c r="J236" s="295" t="str">
        <f>IF(E236="","",IF(ISNA(VLOOKUP($E236,'A-1 On-Site Habitat Baseline'!$D$1:$O$258,8,FALSE)),"",(VLOOKUP($E236,'A-1 On-Site Habitat Baseline'!$D$1:$O$258,8,FALSE))))</f>
        <v/>
      </c>
      <c r="K236" s="295" t="str">
        <f>IF(E236="","",IF(ISNA(VLOOKUP($E236,'A-1 On-Site Habitat Baseline'!$D$1:$O$258,9,FALSE)),"",(VLOOKUP($E236,'A-1 On-Site Habitat Baseline'!$D$1:$O$258,9,FALSE))))</f>
        <v/>
      </c>
      <c r="L236" s="295" t="str">
        <f>IF(E236="","",IF(ISNA(VLOOKUP($E236,'A-1 On-Site Habitat Baseline'!$D$1:$O$258,11,FALSE)),"",(VLOOKUP($E236,'A-1 On-Site Habitat Baseline'!$D$1:$O$258,11,FALSE))))</f>
        <v/>
      </c>
      <c r="M236" s="295" t="str">
        <f>IF(E236="","",IF(ISNA(VLOOKUP($E236,'A-1 On-Site Habitat Baseline'!$D$1:$O$258,12,FALSE)),"",(VLOOKUP($E236,'A-1 On-Site Habitat Baseline'!$D$1:$O$258,12,FALSE))))</f>
        <v/>
      </c>
      <c r="N236" s="306" t="str">
        <f>IF(E236="","",IF(ISNA(VLOOKUP($E236,'A-1 On-Site Habitat Baseline'!$D$1:$X$258,14,FALSE)),"",(VLOOKUP($E236,'A-1 On-Site Habitat Baseline'!$D$1:$X$258,14,FALSE))))</f>
        <v/>
      </c>
      <c r="O236" s="299" t="str">
        <f>IF(E236="","",IF(ISNA(VLOOKUP($E236,'A-1 On-Site Habitat Baseline'!$D$1:$X$258,16,FALSE)),"",(VLOOKUP($E236,'A-1 On-Site Habitat Baseline'!$D$1:$X$258,13,FALSE))))</f>
        <v/>
      </c>
      <c r="P236" s="154" t="str">
        <f>IFERROR(INDEX('G-1 All Habitats'!$AG$49:$AG$63,MATCH(Q236,'G-1 All Habitats'!$AF$27:$AF$41,0)),"")</f>
        <v/>
      </c>
      <c r="Q236" s="155" t="str">
        <f t="shared" si="35"/>
        <v/>
      </c>
      <c r="R236" s="155"/>
      <c r="S236" s="237" t="str">
        <f>IFERROR(INDEX('G-1 All Habitats'!$B$3:$B$135,MATCH(R236,'G-1 All Habitats'!$A$3:$A$135,0)),"")</f>
        <v/>
      </c>
      <c r="T236" s="275" t="str">
        <f t="shared" si="36"/>
        <v/>
      </c>
      <c r="U236" s="276" t="str">
        <f t="shared" si="37"/>
        <v/>
      </c>
      <c r="V236" s="311" t="str">
        <f t="shared" si="33"/>
        <v/>
      </c>
      <c r="W236" s="295" t="str">
        <f>IF(S236="","",VLOOKUP(S236,'G-1 All Habitats'!$B$2:$M$135,10,FALSE))</f>
        <v/>
      </c>
      <c r="X236" s="295" t="str">
        <f>IFERROR(VLOOKUP(W236,'G-1 All Habitats'!$V$3:$W$7,2,FALSE),"")</f>
        <v/>
      </c>
      <c r="Y236" s="57"/>
      <c r="Z236" s="299" t="str">
        <f>IFERROR(INDEX('G-8 Condition Look up'!$A$3:$H$135,MATCH(S236,'G-8 Condition Look up'!$A$3:$A$135,0),MATCH(Y236,'G-8 Condition Look up'!$A$3:$H$3,0)),"")</f>
        <v/>
      </c>
      <c r="AA236" s="52"/>
      <c r="AB236" s="295" t="str">
        <f>IF(AA236="","",IF(VLOOKUP(AA236,'G-3 Multipliers'!$L$3:$N$6,2,FALSE)=0,"Spatial Data Missing ⚠",VLOOKUP(AA236,'G-3 Multipliers'!$L$3:$N$6,2,FALSE)))</f>
        <v/>
      </c>
      <c r="AC236" s="299" t="str">
        <f>IF(AA236="","",IF(VLOOKUP(AA236,'G-3 Multipliers'!$L$3:$N$6,3,FALSE)=0,"Spatial Data Missing ⚠",VLOOKUP(AA236,'G-3 Multipliers'!$L$3:$N$6,3,FALSE)))</f>
        <v/>
      </c>
      <c r="AD236" s="313" t="str">
        <f t="shared" si="34"/>
        <v/>
      </c>
      <c r="AE236" s="58"/>
      <c r="AF236" s="58"/>
      <c r="AG236" s="283" t="str">
        <f t="shared" si="38"/>
        <v/>
      </c>
      <c r="AH236" s="296" t="str">
        <f t="shared" si="39"/>
        <v/>
      </c>
      <c r="AI236" s="297" t="str">
        <f>IF(AH236="Check Data ⚠","Check Data ⚠",IFERROR(VLOOKUP(AH236,'G-4 Temporal multipliers'!$A$4:$C$36,3,FALSE),""))</f>
        <v/>
      </c>
      <c r="AJ236" s="275" t="str">
        <f>IF(S236="","",VLOOKUP(S236,'G-3 Multipliers'!$A$2:$E$134,4,FALSE))</f>
        <v/>
      </c>
      <c r="AK236" s="283" t="str">
        <f t="shared" si="40"/>
        <v/>
      </c>
      <c r="AL236" s="283" t="str">
        <f t="shared" si="41"/>
        <v/>
      </c>
      <c r="AM236" s="314" t="str">
        <f>IFERROR(IF(F236="","",IF(AH236="Check Data ⚠","Check Data ⚠",VLOOKUP(AL236,'G-3 Multipliers'!$P$2:$Q$6,2,FALSE))),"")</f>
        <v/>
      </c>
      <c r="AN236" s="289" t="str">
        <f t="shared" si="42"/>
        <v/>
      </c>
      <c r="AO236" s="52"/>
      <c r="AP236" s="51"/>
      <c r="AQ236" s="104"/>
      <c r="AT236" s="35" t="str">
        <f t="shared" si="43"/>
        <v>No</v>
      </c>
      <c r="AU236" s="35" t="str">
        <f>IF(E236="","",IF(ISNA(VLOOKUP($E236,'A-1 On-Site Habitat Baseline'!$D$1:$AV$258,4,FALSE)),"",(VLOOKUP($E236,'A-1 On-Site Habitat Baseline'!$D$1:$AV$258,4,FALSE))))</f>
        <v/>
      </c>
    </row>
    <row r="237" spans="1:47" ht="14">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05" t="str">
        <f>'A-1 On-Site Habitat Baseline'!AL236</f>
        <v/>
      </c>
      <c r="F237" s="295" t="str">
        <f>IF(E237="","",IF(ISNA(VLOOKUP($E237,'A-1 On-Site Habitat Baseline'!$D$1:$AV$258,45,FALSE)),"",(VLOOKUP($E237,'A-1 On-Site Habitat Baseline'!$D$1:$AV$258,45,FALSE))))</f>
        <v/>
      </c>
      <c r="G237" s="295" t="str">
        <f>IF(E237="","",IF(ISNA(VLOOKUP($E237,'A-1 On-Site Habitat Baseline'!$D$1:$O$258,5,FALSE)),"",(VLOOKUP($E237,'A-1 On-Site Habitat Baseline'!$D$1:$O$258,5,FALSE))))</f>
        <v/>
      </c>
      <c r="H237" s="295" t="str">
        <f>IF(E237="","",IF(ISNA(VLOOKUP($E237,'A-1 On-Site Habitat Baseline'!$D$1:$O$258,6,FALSE)),"",(VLOOKUP($E237,'A-1 On-Site Habitat Baseline'!$D$1:$O$258,6,FALSE))))</f>
        <v/>
      </c>
      <c r="I237" s="295" t="str">
        <f>IF(E237="","",IF(ISNA(VLOOKUP($E237,'A-1 On-Site Habitat Baseline'!$D$1:$O$258,7,FALSE)),"",(VLOOKUP($E237,'A-1 On-Site Habitat Baseline'!$D$1:$O$258,7,FALSE))))</f>
        <v/>
      </c>
      <c r="J237" s="295" t="str">
        <f>IF(E237="","",IF(ISNA(VLOOKUP($E237,'A-1 On-Site Habitat Baseline'!$D$1:$O$258,8,FALSE)),"",(VLOOKUP($E237,'A-1 On-Site Habitat Baseline'!$D$1:$O$258,8,FALSE))))</f>
        <v/>
      </c>
      <c r="K237" s="295" t="str">
        <f>IF(E237="","",IF(ISNA(VLOOKUP($E237,'A-1 On-Site Habitat Baseline'!$D$1:$O$258,9,FALSE)),"",(VLOOKUP($E237,'A-1 On-Site Habitat Baseline'!$D$1:$O$258,9,FALSE))))</f>
        <v/>
      </c>
      <c r="L237" s="295" t="str">
        <f>IF(E237="","",IF(ISNA(VLOOKUP($E237,'A-1 On-Site Habitat Baseline'!$D$1:$O$258,11,FALSE)),"",(VLOOKUP($E237,'A-1 On-Site Habitat Baseline'!$D$1:$O$258,11,FALSE))))</f>
        <v/>
      </c>
      <c r="M237" s="295" t="str">
        <f>IF(E237="","",IF(ISNA(VLOOKUP($E237,'A-1 On-Site Habitat Baseline'!$D$1:$O$258,12,FALSE)),"",(VLOOKUP($E237,'A-1 On-Site Habitat Baseline'!$D$1:$O$258,12,FALSE))))</f>
        <v/>
      </c>
      <c r="N237" s="306" t="str">
        <f>IF(E237="","",IF(ISNA(VLOOKUP($E237,'A-1 On-Site Habitat Baseline'!$D$1:$X$258,14,FALSE)),"",(VLOOKUP($E237,'A-1 On-Site Habitat Baseline'!$D$1:$X$258,14,FALSE))))</f>
        <v/>
      </c>
      <c r="O237" s="299" t="str">
        <f>IF(E237="","",IF(ISNA(VLOOKUP($E237,'A-1 On-Site Habitat Baseline'!$D$1:$X$258,16,FALSE)),"",(VLOOKUP($E237,'A-1 On-Site Habitat Baseline'!$D$1:$X$258,13,FALSE))))</f>
        <v/>
      </c>
      <c r="P237" s="154" t="str">
        <f>IFERROR(INDEX('G-1 All Habitats'!$AG$49:$AG$63,MATCH(Q237,'G-1 All Habitats'!$AF$27:$AF$41,0)),"")</f>
        <v/>
      </c>
      <c r="Q237" s="155" t="str">
        <f t="shared" si="35"/>
        <v/>
      </c>
      <c r="R237" s="155"/>
      <c r="S237" s="237" t="str">
        <f>IFERROR(INDEX('G-1 All Habitats'!$B$3:$B$135,MATCH(R237,'G-1 All Habitats'!$A$3:$A$135,0)),"")</f>
        <v/>
      </c>
      <c r="T237" s="275" t="str">
        <f t="shared" si="36"/>
        <v/>
      </c>
      <c r="U237" s="276" t="str">
        <f t="shared" si="37"/>
        <v/>
      </c>
      <c r="V237" s="311" t="str">
        <f t="shared" si="33"/>
        <v/>
      </c>
      <c r="W237" s="295" t="str">
        <f>IF(S237="","",VLOOKUP(S237,'G-1 All Habitats'!$B$2:$M$135,10,FALSE))</f>
        <v/>
      </c>
      <c r="X237" s="295" t="str">
        <f>IFERROR(VLOOKUP(W237,'G-1 All Habitats'!$V$3:$W$7,2,FALSE),"")</f>
        <v/>
      </c>
      <c r="Y237" s="57"/>
      <c r="Z237" s="299" t="str">
        <f>IFERROR(INDEX('G-8 Condition Look up'!$A$3:$H$135,MATCH(S237,'G-8 Condition Look up'!$A$3:$A$135,0),MATCH(Y237,'G-8 Condition Look up'!$A$3:$H$3,0)),"")</f>
        <v/>
      </c>
      <c r="AA237" s="52"/>
      <c r="AB237" s="295" t="str">
        <f>IF(AA237="","",IF(VLOOKUP(AA237,'G-3 Multipliers'!$L$3:$N$6,2,FALSE)=0,"Spatial Data Missing ⚠",VLOOKUP(AA237,'G-3 Multipliers'!$L$3:$N$6,2,FALSE)))</f>
        <v/>
      </c>
      <c r="AC237" s="299" t="str">
        <f>IF(AA237="","",IF(VLOOKUP(AA237,'G-3 Multipliers'!$L$3:$N$6,3,FALSE)=0,"Spatial Data Missing ⚠",VLOOKUP(AA237,'G-3 Multipliers'!$L$3:$N$6,3,FALSE)))</f>
        <v/>
      </c>
      <c r="AD237" s="313" t="str">
        <f t="shared" si="34"/>
        <v/>
      </c>
      <c r="AE237" s="58"/>
      <c r="AF237" s="58"/>
      <c r="AG237" s="283" t="str">
        <f t="shared" si="38"/>
        <v/>
      </c>
      <c r="AH237" s="296" t="str">
        <f t="shared" si="39"/>
        <v/>
      </c>
      <c r="AI237" s="297" t="str">
        <f>IF(AH237="Check Data ⚠","Check Data ⚠",IFERROR(VLOOKUP(AH237,'G-4 Temporal multipliers'!$A$4:$C$36,3,FALSE),""))</f>
        <v/>
      </c>
      <c r="AJ237" s="275" t="str">
        <f>IF(S237="","",VLOOKUP(S237,'G-3 Multipliers'!$A$2:$E$134,4,FALSE))</f>
        <v/>
      </c>
      <c r="AK237" s="283" t="str">
        <f t="shared" si="40"/>
        <v/>
      </c>
      <c r="AL237" s="283" t="str">
        <f t="shared" si="41"/>
        <v/>
      </c>
      <c r="AM237" s="314" t="str">
        <f>IFERROR(IF(F237="","",IF(AH237="Check Data ⚠","Check Data ⚠",VLOOKUP(AL237,'G-3 Multipliers'!$P$2:$Q$6,2,FALSE))),"")</f>
        <v/>
      </c>
      <c r="AN237" s="289" t="str">
        <f t="shared" si="42"/>
        <v/>
      </c>
      <c r="AO237" s="52"/>
      <c r="AP237" s="51"/>
      <c r="AQ237" s="104"/>
      <c r="AT237" s="35" t="str">
        <f t="shared" si="43"/>
        <v>No</v>
      </c>
      <c r="AU237" s="35" t="str">
        <f>IF(E237="","",IF(ISNA(VLOOKUP($E237,'A-1 On-Site Habitat Baseline'!$D$1:$AV$258,4,FALSE)),"",(VLOOKUP($E237,'A-1 On-Site Habitat Baseline'!$D$1:$AV$258,4,FALSE))))</f>
        <v/>
      </c>
    </row>
    <row r="238" spans="1:47" ht="14">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05" t="str">
        <f>'A-1 On-Site Habitat Baseline'!AL237</f>
        <v/>
      </c>
      <c r="F238" s="295" t="str">
        <f>IF(E238="","",IF(ISNA(VLOOKUP($E238,'A-1 On-Site Habitat Baseline'!$D$1:$AV$258,45,FALSE)),"",(VLOOKUP($E238,'A-1 On-Site Habitat Baseline'!$D$1:$AV$258,45,FALSE))))</f>
        <v/>
      </c>
      <c r="G238" s="295" t="str">
        <f>IF(E238="","",IF(ISNA(VLOOKUP($E238,'A-1 On-Site Habitat Baseline'!$D$1:$O$258,5,FALSE)),"",(VLOOKUP($E238,'A-1 On-Site Habitat Baseline'!$D$1:$O$258,5,FALSE))))</f>
        <v/>
      </c>
      <c r="H238" s="295" t="str">
        <f>IF(E238="","",IF(ISNA(VLOOKUP($E238,'A-1 On-Site Habitat Baseline'!$D$1:$O$258,6,FALSE)),"",(VLOOKUP($E238,'A-1 On-Site Habitat Baseline'!$D$1:$O$258,6,FALSE))))</f>
        <v/>
      </c>
      <c r="I238" s="295" t="str">
        <f>IF(E238="","",IF(ISNA(VLOOKUP($E238,'A-1 On-Site Habitat Baseline'!$D$1:$O$258,7,FALSE)),"",(VLOOKUP($E238,'A-1 On-Site Habitat Baseline'!$D$1:$O$258,7,FALSE))))</f>
        <v/>
      </c>
      <c r="J238" s="295" t="str">
        <f>IF(E238="","",IF(ISNA(VLOOKUP($E238,'A-1 On-Site Habitat Baseline'!$D$1:$O$258,8,FALSE)),"",(VLOOKUP($E238,'A-1 On-Site Habitat Baseline'!$D$1:$O$258,8,FALSE))))</f>
        <v/>
      </c>
      <c r="K238" s="295" t="str">
        <f>IF(E238="","",IF(ISNA(VLOOKUP($E238,'A-1 On-Site Habitat Baseline'!$D$1:$O$258,9,FALSE)),"",(VLOOKUP($E238,'A-1 On-Site Habitat Baseline'!$D$1:$O$258,9,FALSE))))</f>
        <v/>
      </c>
      <c r="L238" s="295" t="str">
        <f>IF(E238="","",IF(ISNA(VLOOKUP($E238,'A-1 On-Site Habitat Baseline'!$D$1:$O$258,11,FALSE)),"",(VLOOKUP($E238,'A-1 On-Site Habitat Baseline'!$D$1:$O$258,11,FALSE))))</f>
        <v/>
      </c>
      <c r="M238" s="295" t="str">
        <f>IF(E238="","",IF(ISNA(VLOOKUP($E238,'A-1 On-Site Habitat Baseline'!$D$1:$O$258,12,FALSE)),"",(VLOOKUP($E238,'A-1 On-Site Habitat Baseline'!$D$1:$O$258,12,FALSE))))</f>
        <v/>
      </c>
      <c r="N238" s="306" t="str">
        <f>IF(E238="","",IF(ISNA(VLOOKUP($E238,'A-1 On-Site Habitat Baseline'!$D$1:$X$258,14,FALSE)),"",(VLOOKUP($E238,'A-1 On-Site Habitat Baseline'!$D$1:$X$258,14,FALSE))))</f>
        <v/>
      </c>
      <c r="O238" s="299" t="str">
        <f>IF(E238="","",IF(ISNA(VLOOKUP($E238,'A-1 On-Site Habitat Baseline'!$D$1:$X$258,16,FALSE)),"",(VLOOKUP($E238,'A-1 On-Site Habitat Baseline'!$D$1:$X$258,13,FALSE))))</f>
        <v/>
      </c>
      <c r="P238" s="154" t="str">
        <f>IFERROR(INDEX('G-1 All Habitats'!$AG$49:$AG$63,MATCH(Q238,'G-1 All Habitats'!$AF$27:$AF$41,0)),"")</f>
        <v/>
      </c>
      <c r="Q238" s="155" t="str">
        <f t="shared" si="35"/>
        <v/>
      </c>
      <c r="R238" s="155"/>
      <c r="S238" s="237" t="str">
        <f>IFERROR(INDEX('G-1 All Habitats'!$B$3:$B$135,MATCH(R238,'G-1 All Habitats'!$A$3:$A$135,0)),"")</f>
        <v/>
      </c>
      <c r="T238" s="275" t="str">
        <f t="shared" si="36"/>
        <v/>
      </c>
      <c r="U238" s="276" t="str">
        <f t="shared" si="37"/>
        <v/>
      </c>
      <c r="V238" s="311" t="str">
        <f t="shared" si="33"/>
        <v/>
      </c>
      <c r="W238" s="295" t="str">
        <f>IF(S238="","",VLOOKUP(S238,'G-1 All Habitats'!$B$2:$M$135,10,FALSE))</f>
        <v/>
      </c>
      <c r="X238" s="295" t="str">
        <f>IFERROR(VLOOKUP(W238,'G-1 All Habitats'!$V$3:$W$7,2,FALSE),"")</f>
        <v/>
      </c>
      <c r="Y238" s="57"/>
      <c r="Z238" s="299" t="str">
        <f>IFERROR(INDEX('G-8 Condition Look up'!$A$3:$H$135,MATCH(S238,'G-8 Condition Look up'!$A$3:$A$135,0),MATCH(Y238,'G-8 Condition Look up'!$A$3:$H$3,0)),"")</f>
        <v/>
      </c>
      <c r="AA238" s="52"/>
      <c r="AB238" s="295" t="str">
        <f>IF(AA238="","",IF(VLOOKUP(AA238,'G-3 Multipliers'!$L$3:$N$6,2,FALSE)=0,"Spatial Data Missing ⚠",VLOOKUP(AA238,'G-3 Multipliers'!$L$3:$N$6,2,FALSE)))</f>
        <v/>
      </c>
      <c r="AC238" s="299" t="str">
        <f>IF(AA238="","",IF(VLOOKUP(AA238,'G-3 Multipliers'!$L$3:$N$6,3,FALSE)=0,"Spatial Data Missing ⚠",VLOOKUP(AA238,'G-3 Multipliers'!$L$3:$N$6,3,FALSE)))</f>
        <v/>
      </c>
      <c r="AD238" s="313" t="str">
        <f t="shared" si="34"/>
        <v/>
      </c>
      <c r="AE238" s="58"/>
      <c r="AF238" s="58"/>
      <c r="AG238" s="283" t="str">
        <f t="shared" si="38"/>
        <v/>
      </c>
      <c r="AH238" s="296" t="str">
        <f t="shared" si="39"/>
        <v/>
      </c>
      <c r="AI238" s="297" t="str">
        <f>IF(AH238="Check Data ⚠","Check Data ⚠",IFERROR(VLOOKUP(AH238,'G-4 Temporal multipliers'!$A$4:$C$36,3,FALSE),""))</f>
        <v/>
      </c>
      <c r="AJ238" s="275" t="str">
        <f>IF(S238="","",VLOOKUP(S238,'G-3 Multipliers'!$A$2:$E$134,4,FALSE))</f>
        <v/>
      </c>
      <c r="AK238" s="283" t="str">
        <f t="shared" si="40"/>
        <v/>
      </c>
      <c r="AL238" s="283" t="str">
        <f t="shared" si="41"/>
        <v/>
      </c>
      <c r="AM238" s="314" t="str">
        <f>IFERROR(IF(F238="","",IF(AH238="Check Data ⚠","Check Data ⚠",VLOOKUP(AL238,'G-3 Multipliers'!$P$2:$Q$6,2,FALSE))),"")</f>
        <v/>
      </c>
      <c r="AN238" s="289" t="str">
        <f t="shared" si="42"/>
        <v/>
      </c>
      <c r="AO238" s="52"/>
      <c r="AP238" s="51"/>
      <c r="AQ238" s="104"/>
      <c r="AT238" s="35" t="str">
        <f t="shared" si="43"/>
        <v>No</v>
      </c>
      <c r="AU238" s="35" t="str">
        <f>IF(E238="","",IF(ISNA(VLOOKUP($E238,'A-1 On-Site Habitat Baseline'!$D$1:$AV$258,4,FALSE)),"",(VLOOKUP($E238,'A-1 On-Site Habitat Baseline'!$D$1:$AV$258,4,FALSE))))</f>
        <v/>
      </c>
    </row>
    <row r="239" spans="1:47" ht="14">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05" t="str">
        <f>'A-1 On-Site Habitat Baseline'!AL238</f>
        <v/>
      </c>
      <c r="F239" s="295" t="str">
        <f>IF(E239="","",IF(ISNA(VLOOKUP($E239,'A-1 On-Site Habitat Baseline'!$D$1:$AV$258,45,FALSE)),"",(VLOOKUP($E239,'A-1 On-Site Habitat Baseline'!$D$1:$AV$258,45,FALSE))))</f>
        <v/>
      </c>
      <c r="G239" s="295" t="str">
        <f>IF(E239="","",IF(ISNA(VLOOKUP($E239,'A-1 On-Site Habitat Baseline'!$D$1:$O$258,5,FALSE)),"",(VLOOKUP($E239,'A-1 On-Site Habitat Baseline'!$D$1:$O$258,5,FALSE))))</f>
        <v/>
      </c>
      <c r="H239" s="295" t="str">
        <f>IF(E239="","",IF(ISNA(VLOOKUP($E239,'A-1 On-Site Habitat Baseline'!$D$1:$O$258,6,FALSE)),"",(VLOOKUP($E239,'A-1 On-Site Habitat Baseline'!$D$1:$O$258,6,FALSE))))</f>
        <v/>
      </c>
      <c r="I239" s="295" t="str">
        <f>IF(E239="","",IF(ISNA(VLOOKUP($E239,'A-1 On-Site Habitat Baseline'!$D$1:$O$258,7,FALSE)),"",(VLOOKUP($E239,'A-1 On-Site Habitat Baseline'!$D$1:$O$258,7,FALSE))))</f>
        <v/>
      </c>
      <c r="J239" s="295" t="str">
        <f>IF(E239="","",IF(ISNA(VLOOKUP($E239,'A-1 On-Site Habitat Baseline'!$D$1:$O$258,8,FALSE)),"",(VLOOKUP($E239,'A-1 On-Site Habitat Baseline'!$D$1:$O$258,8,FALSE))))</f>
        <v/>
      </c>
      <c r="K239" s="295" t="str">
        <f>IF(E239="","",IF(ISNA(VLOOKUP($E239,'A-1 On-Site Habitat Baseline'!$D$1:$O$258,9,FALSE)),"",(VLOOKUP($E239,'A-1 On-Site Habitat Baseline'!$D$1:$O$258,9,FALSE))))</f>
        <v/>
      </c>
      <c r="L239" s="295" t="str">
        <f>IF(E239="","",IF(ISNA(VLOOKUP($E239,'A-1 On-Site Habitat Baseline'!$D$1:$O$258,11,FALSE)),"",(VLOOKUP($E239,'A-1 On-Site Habitat Baseline'!$D$1:$O$258,11,FALSE))))</f>
        <v/>
      </c>
      <c r="M239" s="295" t="str">
        <f>IF(E239="","",IF(ISNA(VLOOKUP($E239,'A-1 On-Site Habitat Baseline'!$D$1:$O$258,12,FALSE)),"",(VLOOKUP($E239,'A-1 On-Site Habitat Baseline'!$D$1:$O$258,12,FALSE))))</f>
        <v/>
      </c>
      <c r="N239" s="306" t="str">
        <f>IF(E239="","",IF(ISNA(VLOOKUP($E239,'A-1 On-Site Habitat Baseline'!$D$1:$X$258,14,FALSE)),"",(VLOOKUP($E239,'A-1 On-Site Habitat Baseline'!$D$1:$X$258,14,FALSE))))</f>
        <v/>
      </c>
      <c r="O239" s="299" t="str">
        <f>IF(E239="","",IF(ISNA(VLOOKUP($E239,'A-1 On-Site Habitat Baseline'!$D$1:$X$258,16,FALSE)),"",(VLOOKUP($E239,'A-1 On-Site Habitat Baseline'!$D$1:$X$258,13,FALSE))))</f>
        <v/>
      </c>
      <c r="P239" s="154" t="str">
        <f>IFERROR(INDEX('G-1 All Habitats'!$AG$49:$AG$63,MATCH(Q239,'G-1 All Habitats'!$AF$27:$AF$41,0)),"")</f>
        <v/>
      </c>
      <c r="Q239" s="155" t="str">
        <f t="shared" si="35"/>
        <v/>
      </c>
      <c r="R239" s="155"/>
      <c r="S239" s="237" t="str">
        <f>IFERROR(INDEX('G-1 All Habitats'!$B$3:$B$135,MATCH(R239,'G-1 All Habitats'!$A$3:$A$135,0)),"")</f>
        <v/>
      </c>
      <c r="T239" s="275" t="str">
        <f t="shared" si="36"/>
        <v/>
      </c>
      <c r="U239" s="276" t="str">
        <f t="shared" si="37"/>
        <v/>
      </c>
      <c r="V239" s="311" t="str">
        <f t="shared" si="33"/>
        <v/>
      </c>
      <c r="W239" s="295" t="str">
        <f>IF(S239="","",VLOOKUP(S239,'G-1 All Habitats'!$B$2:$M$135,10,FALSE))</f>
        <v/>
      </c>
      <c r="X239" s="295" t="str">
        <f>IFERROR(VLOOKUP(W239,'G-1 All Habitats'!$V$3:$W$7,2,FALSE),"")</f>
        <v/>
      </c>
      <c r="Y239" s="57"/>
      <c r="Z239" s="299" t="str">
        <f>IFERROR(INDEX('G-8 Condition Look up'!$A$3:$H$135,MATCH(S239,'G-8 Condition Look up'!$A$3:$A$135,0),MATCH(Y239,'G-8 Condition Look up'!$A$3:$H$3,0)),"")</f>
        <v/>
      </c>
      <c r="AA239" s="52"/>
      <c r="AB239" s="295" t="str">
        <f>IF(AA239="","",IF(VLOOKUP(AA239,'G-3 Multipliers'!$L$3:$N$6,2,FALSE)=0,"Spatial Data Missing ⚠",VLOOKUP(AA239,'G-3 Multipliers'!$L$3:$N$6,2,FALSE)))</f>
        <v/>
      </c>
      <c r="AC239" s="299" t="str">
        <f>IF(AA239="","",IF(VLOOKUP(AA239,'G-3 Multipliers'!$L$3:$N$6,3,FALSE)=0,"Spatial Data Missing ⚠",VLOOKUP(AA239,'G-3 Multipliers'!$L$3:$N$6,3,FALSE)))</f>
        <v/>
      </c>
      <c r="AD239" s="313" t="str">
        <f t="shared" si="34"/>
        <v/>
      </c>
      <c r="AE239" s="58"/>
      <c r="AF239" s="58"/>
      <c r="AG239" s="283" t="str">
        <f t="shared" si="38"/>
        <v/>
      </c>
      <c r="AH239" s="296" t="str">
        <f t="shared" si="39"/>
        <v/>
      </c>
      <c r="AI239" s="297" t="str">
        <f>IF(AH239="Check Data ⚠","Check Data ⚠",IFERROR(VLOOKUP(AH239,'G-4 Temporal multipliers'!$A$4:$C$36,3,FALSE),""))</f>
        <v/>
      </c>
      <c r="AJ239" s="275" t="str">
        <f>IF(S239="","",VLOOKUP(S239,'G-3 Multipliers'!$A$2:$E$134,4,FALSE))</f>
        <v/>
      </c>
      <c r="AK239" s="283" t="str">
        <f t="shared" si="40"/>
        <v/>
      </c>
      <c r="AL239" s="283" t="str">
        <f t="shared" si="41"/>
        <v/>
      </c>
      <c r="AM239" s="314" t="str">
        <f>IFERROR(IF(F239="","",IF(AH239="Check Data ⚠","Check Data ⚠",VLOOKUP(AL239,'G-3 Multipliers'!$P$2:$Q$6,2,FALSE))),"")</f>
        <v/>
      </c>
      <c r="AN239" s="289" t="str">
        <f t="shared" si="42"/>
        <v/>
      </c>
      <c r="AO239" s="52"/>
      <c r="AP239" s="51"/>
      <c r="AQ239" s="104"/>
      <c r="AT239" s="35" t="str">
        <f t="shared" si="43"/>
        <v>No</v>
      </c>
      <c r="AU239" s="35" t="str">
        <f>IF(E239="","",IF(ISNA(VLOOKUP($E239,'A-1 On-Site Habitat Baseline'!$D$1:$AV$258,4,FALSE)),"",(VLOOKUP($E239,'A-1 On-Site Habitat Baseline'!$D$1:$AV$258,4,FALSE))))</f>
        <v/>
      </c>
    </row>
    <row r="240" spans="1:47" ht="14">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05" t="str">
        <f>'A-1 On-Site Habitat Baseline'!AL239</f>
        <v/>
      </c>
      <c r="F240" s="295" t="str">
        <f>IF(E240="","",IF(ISNA(VLOOKUP($E240,'A-1 On-Site Habitat Baseline'!$D$1:$AV$258,45,FALSE)),"",(VLOOKUP($E240,'A-1 On-Site Habitat Baseline'!$D$1:$AV$258,45,FALSE))))</f>
        <v/>
      </c>
      <c r="G240" s="295" t="str">
        <f>IF(E240="","",IF(ISNA(VLOOKUP($E240,'A-1 On-Site Habitat Baseline'!$D$1:$O$258,5,FALSE)),"",(VLOOKUP($E240,'A-1 On-Site Habitat Baseline'!$D$1:$O$258,5,FALSE))))</f>
        <v/>
      </c>
      <c r="H240" s="295" t="str">
        <f>IF(E240="","",IF(ISNA(VLOOKUP($E240,'A-1 On-Site Habitat Baseline'!$D$1:$O$258,6,FALSE)),"",(VLOOKUP($E240,'A-1 On-Site Habitat Baseline'!$D$1:$O$258,6,FALSE))))</f>
        <v/>
      </c>
      <c r="I240" s="295" t="str">
        <f>IF(E240="","",IF(ISNA(VLOOKUP($E240,'A-1 On-Site Habitat Baseline'!$D$1:$O$258,7,FALSE)),"",(VLOOKUP($E240,'A-1 On-Site Habitat Baseline'!$D$1:$O$258,7,FALSE))))</f>
        <v/>
      </c>
      <c r="J240" s="295" t="str">
        <f>IF(E240="","",IF(ISNA(VLOOKUP($E240,'A-1 On-Site Habitat Baseline'!$D$1:$O$258,8,FALSE)),"",(VLOOKUP($E240,'A-1 On-Site Habitat Baseline'!$D$1:$O$258,8,FALSE))))</f>
        <v/>
      </c>
      <c r="K240" s="295" t="str">
        <f>IF(E240="","",IF(ISNA(VLOOKUP($E240,'A-1 On-Site Habitat Baseline'!$D$1:$O$258,9,FALSE)),"",(VLOOKUP($E240,'A-1 On-Site Habitat Baseline'!$D$1:$O$258,9,FALSE))))</f>
        <v/>
      </c>
      <c r="L240" s="295" t="str">
        <f>IF(E240="","",IF(ISNA(VLOOKUP($E240,'A-1 On-Site Habitat Baseline'!$D$1:$O$258,11,FALSE)),"",(VLOOKUP($E240,'A-1 On-Site Habitat Baseline'!$D$1:$O$258,11,FALSE))))</f>
        <v/>
      </c>
      <c r="M240" s="295" t="str">
        <f>IF(E240="","",IF(ISNA(VLOOKUP($E240,'A-1 On-Site Habitat Baseline'!$D$1:$O$258,12,FALSE)),"",(VLOOKUP($E240,'A-1 On-Site Habitat Baseline'!$D$1:$O$258,12,FALSE))))</f>
        <v/>
      </c>
      <c r="N240" s="306" t="str">
        <f>IF(E240="","",IF(ISNA(VLOOKUP($E240,'A-1 On-Site Habitat Baseline'!$D$1:$X$258,14,FALSE)),"",(VLOOKUP($E240,'A-1 On-Site Habitat Baseline'!$D$1:$X$258,14,FALSE))))</f>
        <v/>
      </c>
      <c r="O240" s="299" t="str">
        <f>IF(E240="","",IF(ISNA(VLOOKUP($E240,'A-1 On-Site Habitat Baseline'!$D$1:$X$258,16,FALSE)),"",(VLOOKUP($E240,'A-1 On-Site Habitat Baseline'!$D$1:$X$258,13,FALSE))))</f>
        <v/>
      </c>
      <c r="P240" s="154" t="str">
        <f>IFERROR(INDEX('G-1 All Habitats'!$AG$49:$AG$63,MATCH(Q240,'G-1 All Habitats'!$AF$27:$AF$41,0)),"")</f>
        <v/>
      </c>
      <c r="Q240" s="155" t="str">
        <f t="shared" si="35"/>
        <v/>
      </c>
      <c r="R240" s="155"/>
      <c r="S240" s="237" t="str">
        <f>IFERROR(INDEX('G-1 All Habitats'!$B$3:$B$135,MATCH(R240,'G-1 All Habitats'!$A$3:$A$135,0)),"")</f>
        <v/>
      </c>
      <c r="T240" s="275" t="str">
        <f t="shared" si="36"/>
        <v/>
      </c>
      <c r="U240" s="276" t="str">
        <f t="shared" si="37"/>
        <v/>
      </c>
      <c r="V240" s="311" t="str">
        <f t="shared" si="33"/>
        <v/>
      </c>
      <c r="W240" s="295" t="str">
        <f>IF(S240="","",VLOOKUP(S240,'G-1 All Habitats'!$B$2:$M$135,10,FALSE))</f>
        <v/>
      </c>
      <c r="X240" s="295" t="str">
        <f>IFERROR(VLOOKUP(W240,'G-1 All Habitats'!$V$3:$W$7,2,FALSE),"")</f>
        <v/>
      </c>
      <c r="Y240" s="57"/>
      <c r="Z240" s="299" t="str">
        <f>IFERROR(INDEX('G-8 Condition Look up'!$A$3:$H$135,MATCH(S240,'G-8 Condition Look up'!$A$3:$A$135,0),MATCH(Y240,'G-8 Condition Look up'!$A$3:$H$3,0)),"")</f>
        <v/>
      </c>
      <c r="AA240" s="52"/>
      <c r="AB240" s="295" t="str">
        <f>IF(AA240="","",IF(VLOOKUP(AA240,'G-3 Multipliers'!$L$3:$N$6,2,FALSE)=0,"Spatial Data Missing ⚠",VLOOKUP(AA240,'G-3 Multipliers'!$L$3:$N$6,2,FALSE)))</f>
        <v/>
      </c>
      <c r="AC240" s="299" t="str">
        <f>IF(AA240="","",IF(VLOOKUP(AA240,'G-3 Multipliers'!$L$3:$N$6,3,FALSE)=0,"Spatial Data Missing ⚠",VLOOKUP(AA240,'G-3 Multipliers'!$L$3:$N$6,3,FALSE)))</f>
        <v/>
      </c>
      <c r="AD240" s="313" t="str">
        <f t="shared" si="34"/>
        <v/>
      </c>
      <c r="AE240" s="58"/>
      <c r="AF240" s="58"/>
      <c r="AG240" s="283" t="str">
        <f t="shared" si="38"/>
        <v/>
      </c>
      <c r="AH240" s="296" t="str">
        <f t="shared" si="39"/>
        <v/>
      </c>
      <c r="AI240" s="297" t="str">
        <f>IF(AH240="Check Data ⚠","Check Data ⚠",IFERROR(VLOOKUP(AH240,'G-4 Temporal multipliers'!$A$4:$C$36,3,FALSE),""))</f>
        <v/>
      </c>
      <c r="AJ240" s="275" t="str">
        <f>IF(S240="","",VLOOKUP(S240,'G-3 Multipliers'!$A$2:$E$134,4,FALSE))</f>
        <v/>
      </c>
      <c r="AK240" s="283" t="str">
        <f t="shared" si="40"/>
        <v/>
      </c>
      <c r="AL240" s="283" t="str">
        <f t="shared" si="41"/>
        <v/>
      </c>
      <c r="AM240" s="314" t="str">
        <f>IFERROR(IF(F240="","",IF(AH240="Check Data ⚠","Check Data ⚠",VLOOKUP(AL240,'G-3 Multipliers'!$P$2:$Q$6,2,FALSE))),"")</f>
        <v/>
      </c>
      <c r="AN240" s="289" t="str">
        <f t="shared" si="42"/>
        <v/>
      </c>
      <c r="AO240" s="52"/>
      <c r="AP240" s="51"/>
      <c r="AQ240" s="104"/>
      <c r="AT240" s="35" t="str">
        <f t="shared" si="43"/>
        <v>No</v>
      </c>
      <c r="AU240" s="35" t="str">
        <f>IF(E240="","",IF(ISNA(VLOOKUP($E240,'A-1 On-Site Habitat Baseline'!$D$1:$AV$258,4,FALSE)),"",(VLOOKUP($E240,'A-1 On-Site Habitat Baseline'!$D$1:$AV$258,4,FALSE))))</f>
        <v/>
      </c>
    </row>
    <row r="241" spans="1:47" ht="14">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05" t="str">
        <f>'A-1 On-Site Habitat Baseline'!AL240</f>
        <v/>
      </c>
      <c r="F241" s="295" t="str">
        <f>IF(E241="","",IF(ISNA(VLOOKUP($E241,'A-1 On-Site Habitat Baseline'!$D$1:$AV$258,45,FALSE)),"",(VLOOKUP($E241,'A-1 On-Site Habitat Baseline'!$D$1:$AV$258,45,FALSE))))</f>
        <v/>
      </c>
      <c r="G241" s="295" t="str">
        <f>IF(E241="","",IF(ISNA(VLOOKUP($E241,'A-1 On-Site Habitat Baseline'!$D$1:$O$258,5,FALSE)),"",(VLOOKUP($E241,'A-1 On-Site Habitat Baseline'!$D$1:$O$258,5,FALSE))))</f>
        <v/>
      </c>
      <c r="H241" s="295" t="str">
        <f>IF(E241="","",IF(ISNA(VLOOKUP($E241,'A-1 On-Site Habitat Baseline'!$D$1:$O$258,6,FALSE)),"",(VLOOKUP($E241,'A-1 On-Site Habitat Baseline'!$D$1:$O$258,6,FALSE))))</f>
        <v/>
      </c>
      <c r="I241" s="295" t="str">
        <f>IF(E241="","",IF(ISNA(VLOOKUP($E241,'A-1 On-Site Habitat Baseline'!$D$1:$O$258,7,FALSE)),"",(VLOOKUP($E241,'A-1 On-Site Habitat Baseline'!$D$1:$O$258,7,FALSE))))</f>
        <v/>
      </c>
      <c r="J241" s="295" t="str">
        <f>IF(E241="","",IF(ISNA(VLOOKUP($E241,'A-1 On-Site Habitat Baseline'!$D$1:$O$258,8,FALSE)),"",(VLOOKUP($E241,'A-1 On-Site Habitat Baseline'!$D$1:$O$258,8,FALSE))))</f>
        <v/>
      </c>
      <c r="K241" s="295" t="str">
        <f>IF(E241="","",IF(ISNA(VLOOKUP($E241,'A-1 On-Site Habitat Baseline'!$D$1:$O$258,9,FALSE)),"",(VLOOKUP($E241,'A-1 On-Site Habitat Baseline'!$D$1:$O$258,9,FALSE))))</f>
        <v/>
      </c>
      <c r="L241" s="295" t="str">
        <f>IF(E241="","",IF(ISNA(VLOOKUP($E241,'A-1 On-Site Habitat Baseline'!$D$1:$O$258,11,FALSE)),"",(VLOOKUP($E241,'A-1 On-Site Habitat Baseline'!$D$1:$O$258,11,FALSE))))</f>
        <v/>
      </c>
      <c r="M241" s="295" t="str">
        <f>IF(E241="","",IF(ISNA(VLOOKUP($E241,'A-1 On-Site Habitat Baseline'!$D$1:$O$258,12,FALSE)),"",(VLOOKUP($E241,'A-1 On-Site Habitat Baseline'!$D$1:$O$258,12,FALSE))))</f>
        <v/>
      </c>
      <c r="N241" s="306" t="str">
        <f>IF(E241="","",IF(ISNA(VLOOKUP($E241,'A-1 On-Site Habitat Baseline'!$D$1:$X$258,14,FALSE)),"",(VLOOKUP($E241,'A-1 On-Site Habitat Baseline'!$D$1:$X$258,14,FALSE))))</f>
        <v/>
      </c>
      <c r="O241" s="299" t="str">
        <f>IF(E241="","",IF(ISNA(VLOOKUP($E241,'A-1 On-Site Habitat Baseline'!$D$1:$X$258,16,FALSE)),"",(VLOOKUP($E241,'A-1 On-Site Habitat Baseline'!$D$1:$X$258,13,FALSE))))</f>
        <v/>
      </c>
      <c r="P241" s="154" t="str">
        <f>IFERROR(INDEX('G-1 All Habitats'!$AG$49:$AG$63,MATCH(Q241,'G-1 All Habitats'!$AF$27:$AF$41,0)),"")</f>
        <v/>
      </c>
      <c r="Q241" s="155" t="str">
        <f t="shared" si="35"/>
        <v/>
      </c>
      <c r="R241" s="155"/>
      <c r="S241" s="237" t="str">
        <f>IFERROR(INDEX('G-1 All Habitats'!$B$3:$B$135,MATCH(R241,'G-1 All Habitats'!$A$3:$A$135,0)),"")</f>
        <v/>
      </c>
      <c r="T241" s="275" t="str">
        <f t="shared" si="36"/>
        <v/>
      </c>
      <c r="U241" s="276" t="str">
        <f t="shared" si="37"/>
        <v/>
      </c>
      <c r="V241" s="311" t="str">
        <f t="shared" si="33"/>
        <v/>
      </c>
      <c r="W241" s="295" t="str">
        <f>IF(S241="","",VLOOKUP(S241,'G-1 All Habitats'!$B$2:$M$135,10,FALSE))</f>
        <v/>
      </c>
      <c r="X241" s="295" t="str">
        <f>IFERROR(VLOOKUP(W241,'G-1 All Habitats'!$V$3:$W$7,2,FALSE),"")</f>
        <v/>
      </c>
      <c r="Y241" s="57"/>
      <c r="Z241" s="299" t="str">
        <f>IFERROR(INDEX('G-8 Condition Look up'!$A$3:$H$135,MATCH(S241,'G-8 Condition Look up'!$A$3:$A$135,0),MATCH(Y241,'G-8 Condition Look up'!$A$3:$H$3,0)),"")</f>
        <v/>
      </c>
      <c r="AA241" s="52"/>
      <c r="AB241" s="295" t="str">
        <f>IF(AA241="","",IF(VLOOKUP(AA241,'G-3 Multipliers'!$L$3:$N$6,2,FALSE)=0,"Spatial Data Missing ⚠",VLOOKUP(AA241,'G-3 Multipliers'!$L$3:$N$6,2,FALSE)))</f>
        <v/>
      </c>
      <c r="AC241" s="299" t="str">
        <f>IF(AA241="","",IF(VLOOKUP(AA241,'G-3 Multipliers'!$L$3:$N$6,3,FALSE)=0,"Spatial Data Missing ⚠",VLOOKUP(AA241,'G-3 Multipliers'!$L$3:$N$6,3,FALSE)))</f>
        <v/>
      </c>
      <c r="AD241" s="313" t="str">
        <f t="shared" si="34"/>
        <v/>
      </c>
      <c r="AE241" s="58"/>
      <c r="AF241" s="58"/>
      <c r="AG241" s="283" t="str">
        <f t="shared" si="38"/>
        <v/>
      </c>
      <c r="AH241" s="296" t="str">
        <f t="shared" si="39"/>
        <v/>
      </c>
      <c r="AI241" s="297" t="str">
        <f>IF(AH241="Check Data ⚠","Check Data ⚠",IFERROR(VLOOKUP(AH241,'G-4 Temporal multipliers'!$A$4:$C$36,3,FALSE),""))</f>
        <v/>
      </c>
      <c r="AJ241" s="275" t="str">
        <f>IF(S241="","",VLOOKUP(S241,'G-3 Multipliers'!$A$2:$E$134,4,FALSE))</f>
        <v/>
      </c>
      <c r="AK241" s="283" t="str">
        <f t="shared" si="40"/>
        <v/>
      </c>
      <c r="AL241" s="283" t="str">
        <f t="shared" si="41"/>
        <v/>
      </c>
      <c r="AM241" s="314" t="str">
        <f>IFERROR(IF(F241="","",IF(AH241="Check Data ⚠","Check Data ⚠",VLOOKUP(AL241,'G-3 Multipliers'!$P$2:$Q$6,2,FALSE))),"")</f>
        <v/>
      </c>
      <c r="AN241" s="289" t="str">
        <f t="shared" si="42"/>
        <v/>
      </c>
      <c r="AO241" s="52"/>
      <c r="AP241" s="51"/>
      <c r="AQ241" s="104"/>
      <c r="AT241" s="35" t="str">
        <f t="shared" si="43"/>
        <v>No</v>
      </c>
      <c r="AU241" s="35" t="str">
        <f>IF(E241="","",IF(ISNA(VLOOKUP($E241,'A-1 On-Site Habitat Baseline'!$D$1:$AV$258,4,FALSE)),"",(VLOOKUP($E241,'A-1 On-Site Habitat Baseline'!$D$1:$AV$258,4,FALSE))))</f>
        <v/>
      </c>
    </row>
    <row r="242" spans="1:47" ht="14">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05" t="str">
        <f>'A-1 On-Site Habitat Baseline'!AL241</f>
        <v/>
      </c>
      <c r="F242" s="295" t="str">
        <f>IF(E242="","",IF(ISNA(VLOOKUP($E242,'A-1 On-Site Habitat Baseline'!$D$1:$AV$258,45,FALSE)),"",(VLOOKUP($E242,'A-1 On-Site Habitat Baseline'!$D$1:$AV$258,45,FALSE))))</f>
        <v/>
      </c>
      <c r="G242" s="295" t="str">
        <f>IF(E242="","",IF(ISNA(VLOOKUP($E242,'A-1 On-Site Habitat Baseline'!$D$1:$O$258,5,FALSE)),"",(VLOOKUP($E242,'A-1 On-Site Habitat Baseline'!$D$1:$O$258,5,FALSE))))</f>
        <v/>
      </c>
      <c r="H242" s="295" t="str">
        <f>IF(E242="","",IF(ISNA(VLOOKUP($E242,'A-1 On-Site Habitat Baseline'!$D$1:$O$258,6,FALSE)),"",(VLOOKUP($E242,'A-1 On-Site Habitat Baseline'!$D$1:$O$258,6,FALSE))))</f>
        <v/>
      </c>
      <c r="I242" s="295" t="str">
        <f>IF(E242="","",IF(ISNA(VLOOKUP($E242,'A-1 On-Site Habitat Baseline'!$D$1:$O$258,7,FALSE)),"",(VLOOKUP($E242,'A-1 On-Site Habitat Baseline'!$D$1:$O$258,7,FALSE))))</f>
        <v/>
      </c>
      <c r="J242" s="295" t="str">
        <f>IF(E242="","",IF(ISNA(VLOOKUP($E242,'A-1 On-Site Habitat Baseline'!$D$1:$O$258,8,FALSE)),"",(VLOOKUP($E242,'A-1 On-Site Habitat Baseline'!$D$1:$O$258,8,FALSE))))</f>
        <v/>
      </c>
      <c r="K242" s="295" t="str">
        <f>IF(E242="","",IF(ISNA(VLOOKUP($E242,'A-1 On-Site Habitat Baseline'!$D$1:$O$258,9,FALSE)),"",(VLOOKUP($E242,'A-1 On-Site Habitat Baseline'!$D$1:$O$258,9,FALSE))))</f>
        <v/>
      </c>
      <c r="L242" s="295" t="str">
        <f>IF(E242="","",IF(ISNA(VLOOKUP($E242,'A-1 On-Site Habitat Baseline'!$D$1:$O$258,11,FALSE)),"",(VLOOKUP($E242,'A-1 On-Site Habitat Baseline'!$D$1:$O$258,11,FALSE))))</f>
        <v/>
      </c>
      <c r="M242" s="295" t="str">
        <f>IF(E242="","",IF(ISNA(VLOOKUP($E242,'A-1 On-Site Habitat Baseline'!$D$1:$O$258,12,FALSE)),"",(VLOOKUP($E242,'A-1 On-Site Habitat Baseline'!$D$1:$O$258,12,FALSE))))</f>
        <v/>
      </c>
      <c r="N242" s="306" t="str">
        <f>IF(E242="","",IF(ISNA(VLOOKUP($E242,'A-1 On-Site Habitat Baseline'!$D$1:$X$258,14,FALSE)),"",(VLOOKUP($E242,'A-1 On-Site Habitat Baseline'!$D$1:$X$258,14,FALSE))))</f>
        <v/>
      </c>
      <c r="O242" s="299" t="str">
        <f>IF(E242="","",IF(ISNA(VLOOKUP($E242,'A-1 On-Site Habitat Baseline'!$D$1:$X$258,16,FALSE)),"",(VLOOKUP($E242,'A-1 On-Site Habitat Baseline'!$D$1:$X$258,13,FALSE))))</f>
        <v/>
      </c>
      <c r="P242" s="154" t="str">
        <f>IFERROR(INDEX('G-1 All Habitats'!$AG$49:$AG$63,MATCH(Q242,'G-1 All Habitats'!$AF$27:$AF$41,0)),"")</f>
        <v/>
      </c>
      <c r="Q242" s="155" t="str">
        <f t="shared" si="35"/>
        <v/>
      </c>
      <c r="R242" s="155"/>
      <c r="S242" s="237" t="str">
        <f>IFERROR(INDEX('G-1 All Habitats'!$B$3:$B$135,MATCH(R242,'G-1 All Habitats'!$A$3:$A$135,0)),"")</f>
        <v/>
      </c>
      <c r="T242" s="275" t="str">
        <f t="shared" si="36"/>
        <v/>
      </c>
      <c r="U242" s="276" t="str">
        <f t="shared" si="37"/>
        <v/>
      </c>
      <c r="V242" s="311" t="str">
        <f t="shared" si="33"/>
        <v/>
      </c>
      <c r="W242" s="295" t="str">
        <f>IF(S242="","",VLOOKUP(S242,'G-1 All Habitats'!$B$2:$M$135,10,FALSE))</f>
        <v/>
      </c>
      <c r="X242" s="295" t="str">
        <f>IFERROR(VLOOKUP(W242,'G-1 All Habitats'!$V$3:$W$7,2,FALSE),"")</f>
        <v/>
      </c>
      <c r="Y242" s="57"/>
      <c r="Z242" s="299" t="str">
        <f>IFERROR(INDEX('G-8 Condition Look up'!$A$3:$H$135,MATCH(S242,'G-8 Condition Look up'!$A$3:$A$135,0),MATCH(Y242,'G-8 Condition Look up'!$A$3:$H$3,0)),"")</f>
        <v/>
      </c>
      <c r="AA242" s="52"/>
      <c r="AB242" s="295" t="str">
        <f>IF(AA242="","",IF(VLOOKUP(AA242,'G-3 Multipliers'!$L$3:$N$6,2,FALSE)=0,"Spatial Data Missing ⚠",VLOOKUP(AA242,'G-3 Multipliers'!$L$3:$N$6,2,FALSE)))</f>
        <v/>
      </c>
      <c r="AC242" s="299" t="str">
        <f>IF(AA242="","",IF(VLOOKUP(AA242,'G-3 Multipliers'!$L$3:$N$6,3,FALSE)=0,"Spatial Data Missing ⚠",VLOOKUP(AA242,'G-3 Multipliers'!$L$3:$N$6,3,FALSE)))</f>
        <v/>
      </c>
      <c r="AD242" s="313" t="str">
        <f t="shared" si="34"/>
        <v/>
      </c>
      <c r="AE242" s="58"/>
      <c r="AF242" s="58"/>
      <c r="AG242" s="283" t="str">
        <f t="shared" si="38"/>
        <v/>
      </c>
      <c r="AH242" s="296" t="str">
        <f t="shared" si="39"/>
        <v/>
      </c>
      <c r="AI242" s="297" t="str">
        <f>IF(AH242="Check Data ⚠","Check Data ⚠",IFERROR(VLOOKUP(AH242,'G-4 Temporal multipliers'!$A$4:$C$36,3,FALSE),""))</f>
        <v/>
      </c>
      <c r="AJ242" s="275" t="str">
        <f>IF(S242="","",VLOOKUP(S242,'G-3 Multipliers'!$A$2:$E$134,4,FALSE))</f>
        <v/>
      </c>
      <c r="AK242" s="283" t="str">
        <f t="shared" si="40"/>
        <v/>
      </c>
      <c r="AL242" s="283" t="str">
        <f t="shared" si="41"/>
        <v/>
      </c>
      <c r="AM242" s="314" t="str">
        <f>IFERROR(IF(F242="","",IF(AH242="Check Data ⚠","Check Data ⚠",VLOOKUP(AL242,'G-3 Multipliers'!$P$2:$Q$6,2,FALSE))),"")</f>
        <v/>
      </c>
      <c r="AN242" s="289" t="str">
        <f t="shared" si="42"/>
        <v/>
      </c>
      <c r="AO242" s="52"/>
      <c r="AP242" s="51"/>
      <c r="AQ242" s="104"/>
      <c r="AT242" s="35" t="str">
        <f t="shared" si="43"/>
        <v>No</v>
      </c>
      <c r="AU242" s="35" t="str">
        <f>IF(E242="","",IF(ISNA(VLOOKUP($E242,'A-1 On-Site Habitat Baseline'!$D$1:$AV$258,4,FALSE)),"",(VLOOKUP($E242,'A-1 On-Site Habitat Baseline'!$D$1:$AV$258,4,FALSE))))</f>
        <v/>
      </c>
    </row>
    <row r="243" spans="1:47" ht="14">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05" t="str">
        <f>'A-1 On-Site Habitat Baseline'!AL242</f>
        <v/>
      </c>
      <c r="F243" s="295" t="str">
        <f>IF(E243="","",IF(ISNA(VLOOKUP($E243,'A-1 On-Site Habitat Baseline'!$D$1:$AV$258,45,FALSE)),"",(VLOOKUP($E243,'A-1 On-Site Habitat Baseline'!$D$1:$AV$258,45,FALSE))))</f>
        <v/>
      </c>
      <c r="G243" s="295" t="str">
        <f>IF(E243="","",IF(ISNA(VLOOKUP($E243,'A-1 On-Site Habitat Baseline'!$D$1:$O$258,5,FALSE)),"",(VLOOKUP($E243,'A-1 On-Site Habitat Baseline'!$D$1:$O$258,5,FALSE))))</f>
        <v/>
      </c>
      <c r="H243" s="295" t="str">
        <f>IF(E243="","",IF(ISNA(VLOOKUP($E243,'A-1 On-Site Habitat Baseline'!$D$1:$O$258,6,FALSE)),"",(VLOOKUP($E243,'A-1 On-Site Habitat Baseline'!$D$1:$O$258,6,FALSE))))</f>
        <v/>
      </c>
      <c r="I243" s="295" t="str">
        <f>IF(E243="","",IF(ISNA(VLOOKUP($E243,'A-1 On-Site Habitat Baseline'!$D$1:$O$258,7,FALSE)),"",(VLOOKUP($E243,'A-1 On-Site Habitat Baseline'!$D$1:$O$258,7,FALSE))))</f>
        <v/>
      </c>
      <c r="J243" s="295" t="str">
        <f>IF(E243="","",IF(ISNA(VLOOKUP($E243,'A-1 On-Site Habitat Baseline'!$D$1:$O$258,8,FALSE)),"",(VLOOKUP($E243,'A-1 On-Site Habitat Baseline'!$D$1:$O$258,8,FALSE))))</f>
        <v/>
      </c>
      <c r="K243" s="295" t="str">
        <f>IF(E243="","",IF(ISNA(VLOOKUP($E243,'A-1 On-Site Habitat Baseline'!$D$1:$O$258,9,FALSE)),"",(VLOOKUP($E243,'A-1 On-Site Habitat Baseline'!$D$1:$O$258,9,FALSE))))</f>
        <v/>
      </c>
      <c r="L243" s="295" t="str">
        <f>IF(E243="","",IF(ISNA(VLOOKUP($E243,'A-1 On-Site Habitat Baseline'!$D$1:$O$258,11,FALSE)),"",(VLOOKUP($E243,'A-1 On-Site Habitat Baseline'!$D$1:$O$258,11,FALSE))))</f>
        <v/>
      </c>
      <c r="M243" s="295" t="str">
        <f>IF(E243="","",IF(ISNA(VLOOKUP($E243,'A-1 On-Site Habitat Baseline'!$D$1:$O$258,12,FALSE)),"",(VLOOKUP($E243,'A-1 On-Site Habitat Baseline'!$D$1:$O$258,12,FALSE))))</f>
        <v/>
      </c>
      <c r="N243" s="306" t="str">
        <f>IF(E243="","",IF(ISNA(VLOOKUP($E243,'A-1 On-Site Habitat Baseline'!$D$1:$X$258,14,FALSE)),"",(VLOOKUP($E243,'A-1 On-Site Habitat Baseline'!$D$1:$X$258,14,FALSE))))</f>
        <v/>
      </c>
      <c r="O243" s="299" t="str">
        <f>IF(E243="","",IF(ISNA(VLOOKUP($E243,'A-1 On-Site Habitat Baseline'!$D$1:$X$258,16,FALSE)),"",(VLOOKUP($E243,'A-1 On-Site Habitat Baseline'!$D$1:$X$258,13,FALSE))))</f>
        <v/>
      </c>
      <c r="P243" s="154" t="str">
        <f>IFERROR(INDEX('G-1 All Habitats'!$AG$49:$AG$63,MATCH(Q243,'G-1 All Habitats'!$AF$27:$AF$41,0)),"")</f>
        <v/>
      </c>
      <c r="Q243" s="155" t="str">
        <f t="shared" si="35"/>
        <v/>
      </c>
      <c r="R243" s="155"/>
      <c r="S243" s="237" t="str">
        <f>IFERROR(INDEX('G-1 All Habitats'!$B$3:$B$135,MATCH(R243,'G-1 All Habitats'!$A$3:$A$135,0)),"")</f>
        <v/>
      </c>
      <c r="T243" s="275" t="str">
        <f t="shared" si="36"/>
        <v/>
      </c>
      <c r="U243" s="276" t="str">
        <f t="shared" si="37"/>
        <v/>
      </c>
      <c r="V243" s="311" t="str">
        <f t="shared" si="33"/>
        <v/>
      </c>
      <c r="W243" s="295" t="str">
        <f>IF(S243="","",VLOOKUP(S243,'G-1 All Habitats'!$B$2:$M$135,10,FALSE))</f>
        <v/>
      </c>
      <c r="X243" s="295" t="str">
        <f>IFERROR(VLOOKUP(W243,'G-1 All Habitats'!$V$3:$W$7,2,FALSE),"")</f>
        <v/>
      </c>
      <c r="Y243" s="57"/>
      <c r="Z243" s="299" t="str">
        <f>IFERROR(INDEX('G-8 Condition Look up'!$A$3:$H$135,MATCH(S243,'G-8 Condition Look up'!$A$3:$A$135,0),MATCH(Y243,'G-8 Condition Look up'!$A$3:$H$3,0)),"")</f>
        <v/>
      </c>
      <c r="AA243" s="52"/>
      <c r="AB243" s="295" t="str">
        <f>IF(AA243="","",IF(VLOOKUP(AA243,'G-3 Multipliers'!$L$3:$N$6,2,FALSE)=0,"Spatial Data Missing ⚠",VLOOKUP(AA243,'G-3 Multipliers'!$L$3:$N$6,2,FALSE)))</f>
        <v/>
      </c>
      <c r="AC243" s="299" t="str">
        <f>IF(AA243="","",IF(VLOOKUP(AA243,'G-3 Multipliers'!$L$3:$N$6,3,FALSE)=0,"Spatial Data Missing ⚠",VLOOKUP(AA243,'G-3 Multipliers'!$L$3:$N$6,3,FALSE)))</f>
        <v/>
      </c>
      <c r="AD243" s="313" t="str">
        <f t="shared" si="34"/>
        <v/>
      </c>
      <c r="AE243" s="58"/>
      <c r="AF243" s="58"/>
      <c r="AG243" s="283" t="str">
        <f t="shared" si="38"/>
        <v/>
      </c>
      <c r="AH243" s="296" t="str">
        <f t="shared" si="39"/>
        <v/>
      </c>
      <c r="AI243" s="297" t="str">
        <f>IF(AH243="Check Data ⚠","Check Data ⚠",IFERROR(VLOOKUP(AH243,'G-4 Temporal multipliers'!$A$4:$C$36,3,FALSE),""))</f>
        <v/>
      </c>
      <c r="AJ243" s="275" t="str">
        <f>IF(S243="","",VLOOKUP(S243,'G-3 Multipliers'!$A$2:$E$134,4,FALSE))</f>
        <v/>
      </c>
      <c r="AK243" s="283" t="str">
        <f t="shared" si="40"/>
        <v/>
      </c>
      <c r="AL243" s="283" t="str">
        <f t="shared" si="41"/>
        <v/>
      </c>
      <c r="AM243" s="314" t="str">
        <f>IFERROR(IF(F243="","",IF(AH243="Check Data ⚠","Check Data ⚠",VLOOKUP(AL243,'G-3 Multipliers'!$P$2:$Q$6,2,FALSE))),"")</f>
        <v/>
      </c>
      <c r="AN243" s="289" t="str">
        <f t="shared" si="42"/>
        <v/>
      </c>
      <c r="AO243" s="52"/>
      <c r="AP243" s="51"/>
      <c r="AQ243" s="104"/>
      <c r="AT243" s="35" t="str">
        <f t="shared" si="43"/>
        <v>No</v>
      </c>
      <c r="AU243" s="35" t="str">
        <f>IF(E243="","",IF(ISNA(VLOOKUP($E243,'A-1 On-Site Habitat Baseline'!$D$1:$AV$258,4,FALSE)),"",(VLOOKUP($E243,'A-1 On-Site Habitat Baseline'!$D$1:$AV$258,4,FALSE))))</f>
        <v/>
      </c>
    </row>
    <row r="244" spans="1:47" ht="14">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05" t="str">
        <f>'A-1 On-Site Habitat Baseline'!AL243</f>
        <v/>
      </c>
      <c r="F244" s="295" t="str">
        <f>IF(E244="","",IF(ISNA(VLOOKUP($E244,'A-1 On-Site Habitat Baseline'!$D$1:$AV$258,45,FALSE)),"",(VLOOKUP($E244,'A-1 On-Site Habitat Baseline'!$D$1:$AV$258,45,FALSE))))</f>
        <v/>
      </c>
      <c r="G244" s="295" t="str">
        <f>IF(E244="","",IF(ISNA(VLOOKUP($E244,'A-1 On-Site Habitat Baseline'!$D$1:$O$258,5,FALSE)),"",(VLOOKUP($E244,'A-1 On-Site Habitat Baseline'!$D$1:$O$258,5,FALSE))))</f>
        <v/>
      </c>
      <c r="H244" s="295" t="str">
        <f>IF(E244="","",IF(ISNA(VLOOKUP($E244,'A-1 On-Site Habitat Baseline'!$D$1:$O$258,6,FALSE)),"",(VLOOKUP($E244,'A-1 On-Site Habitat Baseline'!$D$1:$O$258,6,FALSE))))</f>
        <v/>
      </c>
      <c r="I244" s="295" t="str">
        <f>IF(E244="","",IF(ISNA(VLOOKUP($E244,'A-1 On-Site Habitat Baseline'!$D$1:$O$258,7,FALSE)),"",(VLOOKUP($E244,'A-1 On-Site Habitat Baseline'!$D$1:$O$258,7,FALSE))))</f>
        <v/>
      </c>
      <c r="J244" s="295" t="str">
        <f>IF(E244="","",IF(ISNA(VLOOKUP($E244,'A-1 On-Site Habitat Baseline'!$D$1:$O$258,8,FALSE)),"",(VLOOKUP($E244,'A-1 On-Site Habitat Baseline'!$D$1:$O$258,8,FALSE))))</f>
        <v/>
      </c>
      <c r="K244" s="295" t="str">
        <f>IF(E244="","",IF(ISNA(VLOOKUP($E244,'A-1 On-Site Habitat Baseline'!$D$1:$O$258,9,FALSE)),"",(VLOOKUP($E244,'A-1 On-Site Habitat Baseline'!$D$1:$O$258,9,FALSE))))</f>
        <v/>
      </c>
      <c r="L244" s="295" t="str">
        <f>IF(E244="","",IF(ISNA(VLOOKUP($E244,'A-1 On-Site Habitat Baseline'!$D$1:$O$258,11,FALSE)),"",(VLOOKUP($E244,'A-1 On-Site Habitat Baseline'!$D$1:$O$258,11,FALSE))))</f>
        <v/>
      </c>
      <c r="M244" s="295" t="str">
        <f>IF(E244="","",IF(ISNA(VLOOKUP($E244,'A-1 On-Site Habitat Baseline'!$D$1:$O$258,12,FALSE)),"",(VLOOKUP($E244,'A-1 On-Site Habitat Baseline'!$D$1:$O$258,12,FALSE))))</f>
        <v/>
      </c>
      <c r="N244" s="306" t="str">
        <f>IF(E244="","",IF(ISNA(VLOOKUP($E244,'A-1 On-Site Habitat Baseline'!$D$1:$X$258,14,FALSE)),"",(VLOOKUP($E244,'A-1 On-Site Habitat Baseline'!$D$1:$X$258,14,FALSE))))</f>
        <v/>
      </c>
      <c r="O244" s="299" t="str">
        <f>IF(E244="","",IF(ISNA(VLOOKUP($E244,'A-1 On-Site Habitat Baseline'!$D$1:$X$258,16,FALSE)),"",(VLOOKUP($E244,'A-1 On-Site Habitat Baseline'!$D$1:$X$258,13,FALSE))))</f>
        <v/>
      </c>
      <c r="P244" s="154" t="str">
        <f>IFERROR(INDEX('G-1 All Habitats'!$AG$49:$AG$63,MATCH(Q244,'G-1 All Habitats'!$AF$27:$AF$41,0)),"")</f>
        <v/>
      </c>
      <c r="Q244" s="155" t="str">
        <f t="shared" si="35"/>
        <v/>
      </c>
      <c r="R244" s="155"/>
      <c r="S244" s="237" t="str">
        <f>IFERROR(INDEX('G-1 All Habitats'!$B$3:$B$135,MATCH(R244,'G-1 All Habitats'!$A$3:$A$135,0)),"")</f>
        <v/>
      </c>
      <c r="T244" s="275" t="str">
        <f t="shared" si="36"/>
        <v/>
      </c>
      <c r="U244" s="276" t="str">
        <f t="shared" si="37"/>
        <v/>
      </c>
      <c r="V244" s="311" t="str">
        <f t="shared" si="33"/>
        <v/>
      </c>
      <c r="W244" s="295" t="str">
        <f>IF(S244="","",VLOOKUP(S244,'G-1 All Habitats'!$B$2:$M$135,10,FALSE))</f>
        <v/>
      </c>
      <c r="X244" s="295" t="str">
        <f>IFERROR(VLOOKUP(W244,'G-1 All Habitats'!$V$3:$W$7,2,FALSE),"")</f>
        <v/>
      </c>
      <c r="Y244" s="57"/>
      <c r="Z244" s="299" t="str">
        <f>IFERROR(INDEX('G-8 Condition Look up'!$A$3:$H$135,MATCH(S244,'G-8 Condition Look up'!$A$3:$A$135,0),MATCH(Y244,'G-8 Condition Look up'!$A$3:$H$3,0)),"")</f>
        <v/>
      </c>
      <c r="AA244" s="52"/>
      <c r="AB244" s="295" t="str">
        <f>IF(AA244="","",IF(VLOOKUP(AA244,'G-3 Multipliers'!$L$3:$N$6,2,FALSE)=0,"Spatial Data Missing ⚠",VLOOKUP(AA244,'G-3 Multipliers'!$L$3:$N$6,2,FALSE)))</f>
        <v/>
      </c>
      <c r="AC244" s="299" t="str">
        <f>IF(AA244="","",IF(VLOOKUP(AA244,'G-3 Multipliers'!$L$3:$N$6,3,FALSE)=0,"Spatial Data Missing ⚠",VLOOKUP(AA244,'G-3 Multipliers'!$L$3:$N$6,3,FALSE)))</f>
        <v/>
      </c>
      <c r="AD244" s="313" t="str">
        <f t="shared" si="34"/>
        <v/>
      </c>
      <c r="AE244" s="58"/>
      <c r="AF244" s="58"/>
      <c r="AG244" s="283" t="str">
        <f t="shared" si="38"/>
        <v/>
      </c>
      <c r="AH244" s="296" t="str">
        <f t="shared" si="39"/>
        <v/>
      </c>
      <c r="AI244" s="297" t="str">
        <f>IF(AH244="Check Data ⚠","Check Data ⚠",IFERROR(VLOOKUP(AH244,'G-4 Temporal multipliers'!$A$4:$C$36,3,FALSE),""))</f>
        <v/>
      </c>
      <c r="AJ244" s="275" t="str">
        <f>IF(S244="","",VLOOKUP(S244,'G-3 Multipliers'!$A$2:$E$134,4,FALSE))</f>
        <v/>
      </c>
      <c r="AK244" s="283" t="str">
        <f t="shared" si="40"/>
        <v/>
      </c>
      <c r="AL244" s="283" t="str">
        <f t="shared" si="41"/>
        <v/>
      </c>
      <c r="AM244" s="314" t="str">
        <f>IFERROR(IF(F244="","",IF(AH244="Check Data ⚠","Check Data ⚠",VLOOKUP(AL244,'G-3 Multipliers'!$P$2:$Q$6,2,FALSE))),"")</f>
        <v/>
      </c>
      <c r="AN244" s="289" t="str">
        <f t="shared" si="42"/>
        <v/>
      </c>
      <c r="AO244" s="52"/>
      <c r="AP244" s="51"/>
      <c r="AQ244" s="104"/>
      <c r="AT244" s="35" t="str">
        <f t="shared" si="43"/>
        <v>No</v>
      </c>
      <c r="AU244" s="35" t="str">
        <f>IF(E244="","",IF(ISNA(VLOOKUP($E244,'A-1 On-Site Habitat Baseline'!$D$1:$AV$258,4,FALSE)),"",(VLOOKUP($E244,'A-1 On-Site Habitat Baseline'!$D$1:$AV$258,4,FALSE))))</f>
        <v/>
      </c>
    </row>
    <row r="245" spans="1:47" ht="14">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05" t="str">
        <f>'A-1 On-Site Habitat Baseline'!AL244</f>
        <v/>
      </c>
      <c r="F245" s="295" t="str">
        <f>IF(E245="","",IF(ISNA(VLOOKUP($E245,'A-1 On-Site Habitat Baseline'!$D$1:$AV$258,45,FALSE)),"",(VLOOKUP($E245,'A-1 On-Site Habitat Baseline'!$D$1:$AV$258,45,FALSE))))</f>
        <v/>
      </c>
      <c r="G245" s="295" t="str">
        <f>IF(E245="","",IF(ISNA(VLOOKUP($E245,'A-1 On-Site Habitat Baseline'!$D$1:$O$258,5,FALSE)),"",(VLOOKUP($E245,'A-1 On-Site Habitat Baseline'!$D$1:$O$258,5,FALSE))))</f>
        <v/>
      </c>
      <c r="H245" s="295" t="str">
        <f>IF(E245="","",IF(ISNA(VLOOKUP($E245,'A-1 On-Site Habitat Baseline'!$D$1:$O$258,6,FALSE)),"",(VLOOKUP($E245,'A-1 On-Site Habitat Baseline'!$D$1:$O$258,6,FALSE))))</f>
        <v/>
      </c>
      <c r="I245" s="295" t="str">
        <f>IF(E245="","",IF(ISNA(VLOOKUP($E245,'A-1 On-Site Habitat Baseline'!$D$1:$O$258,7,FALSE)),"",(VLOOKUP($E245,'A-1 On-Site Habitat Baseline'!$D$1:$O$258,7,FALSE))))</f>
        <v/>
      </c>
      <c r="J245" s="295" t="str">
        <f>IF(E245="","",IF(ISNA(VLOOKUP($E245,'A-1 On-Site Habitat Baseline'!$D$1:$O$258,8,FALSE)),"",(VLOOKUP($E245,'A-1 On-Site Habitat Baseline'!$D$1:$O$258,8,FALSE))))</f>
        <v/>
      </c>
      <c r="K245" s="295" t="str">
        <f>IF(E245="","",IF(ISNA(VLOOKUP($E245,'A-1 On-Site Habitat Baseline'!$D$1:$O$258,9,FALSE)),"",(VLOOKUP($E245,'A-1 On-Site Habitat Baseline'!$D$1:$O$258,9,FALSE))))</f>
        <v/>
      </c>
      <c r="L245" s="295" t="str">
        <f>IF(E245="","",IF(ISNA(VLOOKUP($E245,'A-1 On-Site Habitat Baseline'!$D$1:$O$258,11,FALSE)),"",(VLOOKUP($E245,'A-1 On-Site Habitat Baseline'!$D$1:$O$258,11,FALSE))))</f>
        <v/>
      </c>
      <c r="M245" s="295" t="str">
        <f>IF(E245="","",IF(ISNA(VLOOKUP($E245,'A-1 On-Site Habitat Baseline'!$D$1:$O$258,12,FALSE)),"",(VLOOKUP($E245,'A-1 On-Site Habitat Baseline'!$D$1:$O$258,12,FALSE))))</f>
        <v/>
      </c>
      <c r="N245" s="306" t="str">
        <f>IF(E245="","",IF(ISNA(VLOOKUP($E245,'A-1 On-Site Habitat Baseline'!$D$1:$X$258,14,FALSE)),"",(VLOOKUP($E245,'A-1 On-Site Habitat Baseline'!$D$1:$X$258,14,FALSE))))</f>
        <v/>
      </c>
      <c r="O245" s="299" t="str">
        <f>IF(E245="","",IF(ISNA(VLOOKUP($E245,'A-1 On-Site Habitat Baseline'!$D$1:$X$258,16,FALSE)),"",(VLOOKUP($E245,'A-1 On-Site Habitat Baseline'!$D$1:$X$258,13,FALSE))))</f>
        <v/>
      </c>
      <c r="P245" s="154" t="str">
        <f>IFERROR(INDEX('G-1 All Habitats'!$AG$49:$AG$63,MATCH(Q245,'G-1 All Habitats'!$AF$27:$AF$41,0)),"")</f>
        <v/>
      </c>
      <c r="Q245" s="155" t="str">
        <f t="shared" si="35"/>
        <v/>
      </c>
      <c r="R245" s="155"/>
      <c r="S245" s="237" t="str">
        <f>IFERROR(INDEX('G-1 All Habitats'!$B$3:$B$135,MATCH(R245,'G-1 All Habitats'!$A$3:$A$135,0)),"")</f>
        <v/>
      </c>
      <c r="T245" s="275" t="str">
        <f t="shared" si="36"/>
        <v/>
      </c>
      <c r="U245" s="276" t="str">
        <f t="shared" si="37"/>
        <v/>
      </c>
      <c r="V245" s="311" t="str">
        <f t="shared" si="33"/>
        <v/>
      </c>
      <c r="W245" s="295" t="str">
        <f>IF(S245="","",VLOOKUP(S245,'G-1 All Habitats'!$B$2:$M$135,10,FALSE))</f>
        <v/>
      </c>
      <c r="X245" s="295" t="str">
        <f>IFERROR(VLOOKUP(W245,'G-1 All Habitats'!$V$3:$W$7,2,FALSE),"")</f>
        <v/>
      </c>
      <c r="Y245" s="57"/>
      <c r="Z245" s="299" t="str">
        <f>IFERROR(INDEX('G-8 Condition Look up'!$A$3:$H$135,MATCH(S245,'G-8 Condition Look up'!$A$3:$A$135,0),MATCH(Y245,'G-8 Condition Look up'!$A$3:$H$3,0)),"")</f>
        <v/>
      </c>
      <c r="AA245" s="52"/>
      <c r="AB245" s="295" t="str">
        <f>IF(AA245="","",IF(VLOOKUP(AA245,'G-3 Multipliers'!$L$3:$N$6,2,FALSE)=0,"Spatial Data Missing ⚠",VLOOKUP(AA245,'G-3 Multipliers'!$L$3:$N$6,2,FALSE)))</f>
        <v/>
      </c>
      <c r="AC245" s="299" t="str">
        <f>IF(AA245="","",IF(VLOOKUP(AA245,'G-3 Multipliers'!$L$3:$N$6,3,FALSE)=0,"Spatial Data Missing ⚠",VLOOKUP(AA245,'G-3 Multipliers'!$L$3:$N$6,3,FALSE)))</f>
        <v/>
      </c>
      <c r="AD245" s="313" t="str">
        <f t="shared" si="34"/>
        <v/>
      </c>
      <c r="AE245" s="58"/>
      <c r="AF245" s="58"/>
      <c r="AG245" s="283" t="str">
        <f t="shared" si="38"/>
        <v/>
      </c>
      <c r="AH245" s="296" t="str">
        <f t="shared" si="39"/>
        <v/>
      </c>
      <c r="AI245" s="297" t="str">
        <f>IF(AH245="Check Data ⚠","Check Data ⚠",IFERROR(VLOOKUP(AH245,'G-4 Temporal multipliers'!$A$4:$C$36,3,FALSE),""))</f>
        <v/>
      </c>
      <c r="AJ245" s="275" t="str">
        <f>IF(S245="","",VLOOKUP(S245,'G-3 Multipliers'!$A$2:$E$134,4,FALSE))</f>
        <v/>
      </c>
      <c r="AK245" s="283" t="str">
        <f t="shared" si="40"/>
        <v/>
      </c>
      <c r="AL245" s="283" t="str">
        <f t="shared" si="41"/>
        <v/>
      </c>
      <c r="AM245" s="314" t="str">
        <f>IFERROR(IF(F245="","",IF(AH245="Check Data ⚠","Check Data ⚠",VLOOKUP(AL245,'G-3 Multipliers'!$P$2:$Q$6,2,FALSE))),"")</f>
        <v/>
      </c>
      <c r="AN245" s="289" t="str">
        <f t="shared" si="42"/>
        <v/>
      </c>
      <c r="AO245" s="52"/>
      <c r="AP245" s="51"/>
      <c r="AQ245" s="104"/>
      <c r="AT245" s="35" t="str">
        <f t="shared" si="43"/>
        <v>No</v>
      </c>
      <c r="AU245" s="35" t="str">
        <f>IF(E245="","",IF(ISNA(VLOOKUP($E245,'A-1 On-Site Habitat Baseline'!$D$1:$AV$258,4,FALSE)),"",(VLOOKUP($E245,'A-1 On-Site Habitat Baseline'!$D$1:$AV$258,4,FALSE))))</f>
        <v/>
      </c>
    </row>
    <row r="246" spans="1:47" ht="14">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05" t="str">
        <f>'A-1 On-Site Habitat Baseline'!AL245</f>
        <v/>
      </c>
      <c r="F246" s="295" t="str">
        <f>IF(E246="","",IF(ISNA(VLOOKUP($E246,'A-1 On-Site Habitat Baseline'!$D$1:$AV$258,45,FALSE)),"",(VLOOKUP($E246,'A-1 On-Site Habitat Baseline'!$D$1:$AV$258,45,FALSE))))</f>
        <v/>
      </c>
      <c r="G246" s="295" t="str">
        <f>IF(E246="","",IF(ISNA(VLOOKUP($E246,'A-1 On-Site Habitat Baseline'!$D$1:$O$258,5,FALSE)),"",(VLOOKUP($E246,'A-1 On-Site Habitat Baseline'!$D$1:$O$258,5,FALSE))))</f>
        <v/>
      </c>
      <c r="H246" s="295" t="str">
        <f>IF(E246="","",IF(ISNA(VLOOKUP($E246,'A-1 On-Site Habitat Baseline'!$D$1:$O$258,6,FALSE)),"",(VLOOKUP($E246,'A-1 On-Site Habitat Baseline'!$D$1:$O$258,6,FALSE))))</f>
        <v/>
      </c>
      <c r="I246" s="295" t="str">
        <f>IF(E246="","",IF(ISNA(VLOOKUP($E246,'A-1 On-Site Habitat Baseline'!$D$1:$O$258,7,FALSE)),"",(VLOOKUP($E246,'A-1 On-Site Habitat Baseline'!$D$1:$O$258,7,FALSE))))</f>
        <v/>
      </c>
      <c r="J246" s="295" t="str">
        <f>IF(E246="","",IF(ISNA(VLOOKUP($E246,'A-1 On-Site Habitat Baseline'!$D$1:$O$258,8,FALSE)),"",(VLOOKUP($E246,'A-1 On-Site Habitat Baseline'!$D$1:$O$258,8,FALSE))))</f>
        <v/>
      </c>
      <c r="K246" s="295" t="str">
        <f>IF(E246="","",IF(ISNA(VLOOKUP($E246,'A-1 On-Site Habitat Baseline'!$D$1:$O$258,9,FALSE)),"",(VLOOKUP($E246,'A-1 On-Site Habitat Baseline'!$D$1:$O$258,9,FALSE))))</f>
        <v/>
      </c>
      <c r="L246" s="295" t="str">
        <f>IF(E246="","",IF(ISNA(VLOOKUP($E246,'A-1 On-Site Habitat Baseline'!$D$1:$O$258,11,FALSE)),"",(VLOOKUP($E246,'A-1 On-Site Habitat Baseline'!$D$1:$O$258,11,FALSE))))</f>
        <v/>
      </c>
      <c r="M246" s="295" t="str">
        <f>IF(E246="","",IF(ISNA(VLOOKUP($E246,'A-1 On-Site Habitat Baseline'!$D$1:$O$258,12,FALSE)),"",(VLOOKUP($E246,'A-1 On-Site Habitat Baseline'!$D$1:$O$258,12,FALSE))))</f>
        <v/>
      </c>
      <c r="N246" s="306" t="str">
        <f>IF(E246="","",IF(ISNA(VLOOKUP($E246,'A-1 On-Site Habitat Baseline'!$D$1:$X$258,14,FALSE)),"",(VLOOKUP($E246,'A-1 On-Site Habitat Baseline'!$D$1:$X$258,14,FALSE))))</f>
        <v/>
      </c>
      <c r="O246" s="299" t="str">
        <f>IF(E246="","",IF(ISNA(VLOOKUP($E246,'A-1 On-Site Habitat Baseline'!$D$1:$X$258,16,FALSE)),"",(VLOOKUP($E246,'A-1 On-Site Habitat Baseline'!$D$1:$X$258,13,FALSE))))</f>
        <v/>
      </c>
      <c r="P246" s="154" t="str">
        <f>IFERROR(INDEX('G-1 All Habitats'!$AG$49:$AG$63,MATCH(Q246,'G-1 All Habitats'!$AF$27:$AF$41,0)),"")</f>
        <v/>
      </c>
      <c r="Q246" s="155" t="str">
        <f t="shared" si="35"/>
        <v/>
      </c>
      <c r="R246" s="155"/>
      <c r="S246" s="237" t="str">
        <f>IFERROR(INDEX('G-1 All Habitats'!$B$3:$B$135,MATCH(R246,'G-1 All Habitats'!$A$3:$A$135,0)),"")</f>
        <v/>
      </c>
      <c r="T246" s="275" t="str">
        <f t="shared" si="36"/>
        <v/>
      </c>
      <c r="U246" s="276" t="str">
        <f t="shared" si="37"/>
        <v/>
      </c>
      <c r="V246" s="311" t="str">
        <f t="shared" si="33"/>
        <v/>
      </c>
      <c r="W246" s="295" t="str">
        <f>IF(S246="","",VLOOKUP(S246,'G-1 All Habitats'!$B$2:$M$135,10,FALSE))</f>
        <v/>
      </c>
      <c r="X246" s="295" t="str">
        <f>IFERROR(VLOOKUP(W246,'G-1 All Habitats'!$V$3:$W$7,2,FALSE),"")</f>
        <v/>
      </c>
      <c r="Y246" s="57"/>
      <c r="Z246" s="299" t="str">
        <f>IFERROR(INDEX('G-8 Condition Look up'!$A$3:$H$135,MATCH(S246,'G-8 Condition Look up'!$A$3:$A$135,0),MATCH(Y246,'G-8 Condition Look up'!$A$3:$H$3,0)),"")</f>
        <v/>
      </c>
      <c r="AA246" s="52"/>
      <c r="AB246" s="295" t="str">
        <f>IF(AA246="","",IF(VLOOKUP(AA246,'G-3 Multipliers'!$L$3:$N$6,2,FALSE)=0,"Spatial Data Missing ⚠",VLOOKUP(AA246,'G-3 Multipliers'!$L$3:$N$6,2,FALSE)))</f>
        <v/>
      </c>
      <c r="AC246" s="299" t="str">
        <f>IF(AA246="","",IF(VLOOKUP(AA246,'G-3 Multipliers'!$L$3:$N$6,3,FALSE)=0,"Spatial Data Missing ⚠",VLOOKUP(AA246,'G-3 Multipliers'!$L$3:$N$6,3,FALSE)))</f>
        <v/>
      </c>
      <c r="AD246" s="313" t="str">
        <f t="shared" si="34"/>
        <v/>
      </c>
      <c r="AE246" s="58"/>
      <c r="AF246" s="58"/>
      <c r="AG246" s="283" t="str">
        <f t="shared" si="38"/>
        <v/>
      </c>
      <c r="AH246" s="296" t="str">
        <f t="shared" si="39"/>
        <v/>
      </c>
      <c r="AI246" s="297" t="str">
        <f>IF(AH246="Check Data ⚠","Check Data ⚠",IFERROR(VLOOKUP(AH246,'G-4 Temporal multipliers'!$A$4:$C$36,3,FALSE),""))</f>
        <v/>
      </c>
      <c r="AJ246" s="275" t="str">
        <f>IF(S246="","",VLOOKUP(S246,'G-3 Multipliers'!$A$2:$E$134,4,FALSE))</f>
        <v/>
      </c>
      <c r="AK246" s="283" t="str">
        <f t="shared" si="40"/>
        <v/>
      </c>
      <c r="AL246" s="283" t="str">
        <f t="shared" si="41"/>
        <v/>
      </c>
      <c r="AM246" s="314" t="str">
        <f>IFERROR(IF(F246="","",IF(AH246="Check Data ⚠","Check Data ⚠",VLOOKUP(AL246,'G-3 Multipliers'!$P$2:$Q$6,2,FALSE))),"")</f>
        <v/>
      </c>
      <c r="AN246" s="289" t="str">
        <f t="shared" si="42"/>
        <v/>
      </c>
      <c r="AO246" s="52"/>
      <c r="AP246" s="51"/>
      <c r="AQ246" s="104"/>
      <c r="AT246" s="35" t="str">
        <f t="shared" si="43"/>
        <v>No</v>
      </c>
      <c r="AU246" s="35" t="str">
        <f>IF(E246="","",IF(ISNA(VLOOKUP($E246,'A-1 On-Site Habitat Baseline'!$D$1:$AV$258,4,FALSE)),"",(VLOOKUP($E246,'A-1 On-Site Habitat Baseline'!$D$1:$AV$258,4,FALSE))))</f>
        <v/>
      </c>
    </row>
    <row r="247" spans="1:47" ht="14">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05" t="str">
        <f>'A-1 On-Site Habitat Baseline'!AL246</f>
        <v/>
      </c>
      <c r="F247" s="295" t="str">
        <f>IF(E247="","",IF(ISNA(VLOOKUP($E247,'A-1 On-Site Habitat Baseline'!$D$1:$AV$258,45,FALSE)),"",(VLOOKUP($E247,'A-1 On-Site Habitat Baseline'!$D$1:$AV$258,45,FALSE))))</f>
        <v/>
      </c>
      <c r="G247" s="295" t="str">
        <f>IF(E247="","",IF(ISNA(VLOOKUP($E247,'A-1 On-Site Habitat Baseline'!$D$1:$O$258,5,FALSE)),"",(VLOOKUP($E247,'A-1 On-Site Habitat Baseline'!$D$1:$O$258,5,FALSE))))</f>
        <v/>
      </c>
      <c r="H247" s="295" t="str">
        <f>IF(E247="","",IF(ISNA(VLOOKUP($E247,'A-1 On-Site Habitat Baseline'!$D$1:$O$258,6,FALSE)),"",(VLOOKUP($E247,'A-1 On-Site Habitat Baseline'!$D$1:$O$258,6,FALSE))))</f>
        <v/>
      </c>
      <c r="I247" s="295" t="str">
        <f>IF(E247="","",IF(ISNA(VLOOKUP($E247,'A-1 On-Site Habitat Baseline'!$D$1:$O$258,7,FALSE)),"",(VLOOKUP($E247,'A-1 On-Site Habitat Baseline'!$D$1:$O$258,7,FALSE))))</f>
        <v/>
      </c>
      <c r="J247" s="295" t="str">
        <f>IF(E247="","",IF(ISNA(VLOOKUP($E247,'A-1 On-Site Habitat Baseline'!$D$1:$O$258,8,FALSE)),"",(VLOOKUP($E247,'A-1 On-Site Habitat Baseline'!$D$1:$O$258,8,FALSE))))</f>
        <v/>
      </c>
      <c r="K247" s="295" t="str">
        <f>IF(E247="","",IF(ISNA(VLOOKUP($E247,'A-1 On-Site Habitat Baseline'!$D$1:$O$258,9,FALSE)),"",(VLOOKUP($E247,'A-1 On-Site Habitat Baseline'!$D$1:$O$258,9,FALSE))))</f>
        <v/>
      </c>
      <c r="L247" s="295" t="str">
        <f>IF(E247="","",IF(ISNA(VLOOKUP($E247,'A-1 On-Site Habitat Baseline'!$D$1:$O$258,11,FALSE)),"",(VLOOKUP($E247,'A-1 On-Site Habitat Baseline'!$D$1:$O$258,11,FALSE))))</f>
        <v/>
      </c>
      <c r="M247" s="295" t="str">
        <f>IF(E247="","",IF(ISNA(VLOOKUP($E247,'A-1 On-Site Habitat Baseline'!$D$1:$O$258,12,FALSE)),"",(VLOOKUP($E247,'A-1 On-Site Habitat Baseline'!$D$1:$O$258,12,FALSE))))</f>
        <v/>
      </c>
      <c r="N247" s="306" t="str">
        <f>IF(E247="","",IF(ISNA(VLOOKUP($E247,'A-1 On-Site Habitat Baseline'!$D$1:$X$258,14,FALSE)),"",(VLOOKUP($E247,'A-1 On-Site Habitat Baseline'!$D$1:$X$258,14,FALSE))))</f>
        <v/>
      </c>
      <c r="O247" s="299" t="str">
        <f>IF(E247="","",IF(ISNA(VLOOKUP($E247,'A-1 On-Site Habitat Baseline'!$D$1:$X$258,16,FALSE)),"",(VLOOKUP($E247,'A-1 On-Site Habitat Baseline'!$D$1:$X$258,13,FALSE))))</f>
        <v/>
      </c>
      <c r="P247" s="154" t="str">
        <f>IFERROR(INDEX('G-1 All Habitats'!$AG$49:$AG$63,MATCH(Q247,'G-1 All Habitats'!$AF$27:$AF$41,0)),"")</f>
        <v/>
      </c>
      <c r="Q247" s="155" t="str">
        <f t="shared" si="35"/>
        <v/>
      </c>
      <c r="R247" s="155"/>
      <c r="S247" s="237" t="str">
        <f>IFERROR(INDEX('G-1 All Habitats'!$B$3:$B$135,MATCH(R247,'G-1 All Habitats'!$A$3:$A$135,0)),"")</f>
        <v/>
      </c>
      <c r="T247" s="275" t="str">
        <f t="shared" si="36"/>
        <v/>
      </c>
      <c r="U247" s="276" t="str">
        <f t="shared" si="37"/>
        <v/>
      </c>
      <c r="V247" s="311" t="str">
        <f t="shared" si="33"/>
        <v/>
      </c>
      <c r="W247" s="295" t="str">
        <f>IF(S247="","",VLOOKUP(S247,'G-1 All Habitats'!$B$2:$M$135,10,FALSE))</f>
        <v/>
      </c>
      <c r="X247" s="295" t="str">
        <f>IFERROR(VLOOKUP(W247,'G-1 All Habitats'!$V$3:$W$7,2,FALSE),"")</f>
        <v/>
      </c>
      <c r="Y247" s="57"/>
      <c r="Z247" s="299" t="str">
        <f>IFERROR(INDEX('G-8 Condition Look up'!$A$3:$H$135,MATCH(S247,'G-8 Condition Look up'!$A$3:$A$135,0),MATCH(Y247,'G-8 Condition Look up'!$A$3:$H$3,0)),"")</f>
        <v/>
      </c>
      <c r="AA247" s="52"/>
      <c r="AB247" s="295" t="str">
        <f>IF(AA247="","",IF(VLOOKUP(AA247,'G-3 Multipliers'!$L$3:$N$6,2,FALSE)=0,"Spatial Data Missing ⚠",VLOOKUP(AA247,'G-3 Multipliers'!$L$3:$N$6,2,FALSE)))</f>
        <v/>
      </c>
      <c r="AC247" s="299" t="str">
        <f>IF(AA247="","",IF(VLOOKUP(AA247,'G-3 Multipliers'!$L$3:$N$6,3,FALSE)=0,"Spatial Data Missing ⚠",VLOOKUP(AA247,'G-3 Multipliers'!$L$3:$N$6,3,FALSE)))</f>
        <v/>
      </c>
      <c r="AD247" s="313" t="str">
        <f t="shared" si="34"/>
        <v/>
      </c>
      <c r="AE247" s="58"/>
      <c r="AF247" s="58"/>
      <c r="AG247" s="283" t="str">
        <f t="shared" si="38"/>
        <v/>
      </c>
      <c r="AH247" s="296" t="str">
        <f t="shared" si="39"/>
        <v/>
      </c>
      <c r="AI247" s="297" t="str">
        <f>IF(AH247="Check Data ⚠","Check Data ⚠",IFERROR(VLOOKUP(AH247,'G-4 Temporal multipliers'!$A$4:$C$36,3,FALSE),""))</f>
        <v/>
      </c>
      <c r="AJ247" s="275" t="str">
        <f>IF(S247="","",VLOOKUP(S247,'G-3 Multipliers'!$A$2:$E$134,4,FALSE))</f>
        <v/>
      </c>
      <c r="AK247" s="283" t="str">
        <f t="shared" si="40"/>
        <v/>
      </c>
      <c r="AL247" s="283" t="str">
        <f t="shared" si="41"/>
        <v/>
      </c>
      <c r="AM247" s="314" t="str">
        <f>IFERROR(IF(F247="","",IF(AH247="Check Data ⚠","Check Data ⚠",VLOOKUP(AL247,'G-3 Multipliers'!$P$2:$Q$6,2,FALSE))),"")</f>
        <v/>
      </c>
      <c r="AN247" s="289" t="str">
        <f t="shared" si="42"/>
        <v/>
      </c>
      <c r="AO247" s="52"/>
      <c r="AP247" s="51"/>
      <c r="AQ247" s="104"/>
      <c r="AT247" s="35" t="str">
        <f t="shared" si="43"/>
        <v>No</v>
      </c>
      <c r="AU247" s="35" t="str">
        <f>IF(E247="","",IF(ISNA(VLOOKUP($E247,'A-1 On-Site Habitat Baseline'!$D$1:$AV$258,4,FALSE)),"",(VLOOKUP($E247,'A-1 On-Site Habitat Baseline'!$D$1:$AV$258,4,FALSE))))</f>
        <v/>
      </c>
    </row>
    <row r="248" spans="1:47" ht="14">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05" t="str">
        <f>'A-1 On-Site Habitat Baseline'!AL247</f>
        <v/>
      </c>
      <c r="F248" s="295" t="str">
        <f>IF(E248="","",IF(ISNA(VLOOKUP($E248,'A-1 On-Site Habitat Baseline'!$D$1:$AV$258,45,FALSE)),"",(VLOOKUP($E248,'A-1 On-Site Habitat Baseline'!$D$1:$AV$258,45,FALSE))))</f>
        <v/>
      </c>
      <c r="G248" s="295" t="str">
        <f>IF(E248="","",IF(ISNA(VLOOKUP($E248,'A-1 On-Site Habitat Baseline'!$D$1:$O$258,5,FALSE)),"",(VLOOKUP($E248,'A-1 On-Site Habitat Baseline'!$D$1:$O$258,5,FALSE))))</f>
        <v/>
      </c>
      <c r="H248" s="295" t="str">
        <f>IF(E248="","",IF(ISNA(VLOOKUP($E248,'A-1 On-Site Habitat Baseline'!$D$1:$O$258,6,FALSE)),"",(VLOOKUP($E248,'A-1 On-Site Habitat Baseline'!$D$1:$O$258,6,FALSE))))</f>
        <v/>
      </c>
      <c r="I248" s="295" t="str">
        <f>IF(E248="","",IF(ISNA(VLOOKUP($E248,'A-1 On-Site Habitat Baseline'!$D$1:$O$258,7,FALSE)),"",(VLOOKUP($E248,'A-1 On-Site Habitat Baseline'!$D$1:$O$258,7,FALSE))))</f>
        <v/>
      </c>
      <c r="J248" s="295" t="str">
        <f>IF(E248="","",IF(ISNA(VLOOKUP($E248,'A-1 On-Site Habitat Baseline'!$D$1:$O$258,8,FALSE)),"",(VLOOKUP($E248,'A-1 On-Site Habitat Baseline'!$D$1:$O$258,8,FALSE))))</f>
        <v/>
      </c>
      <c r="K248" s="295" t="str">
        <f>IF(E248="","",IF(ISNA(VLOOKUP($E248,'A-1 On-Site Habitat Baseline'!$D$1:$O$258,9,FALSE)),"",(VLOOKUP($E248,'A-1 On-Site Habitat Baseline'!$D$1:$O$258,9,FALSE))))</f>
        <v/>
      </c>
      <c r="L248" s="295" t="str">
        <f>IF(E248="","",IF(ISNA(VLOOKUP($E248,'A-1 On-Site Habitat Baseline'!$D$1:$O$258,11,FALSE)),"",(VLOOKUP($E248,'A-1 On-Site Habitat Baseline'!$D$1:$O$258,11,FALSE))))</f>
        <v/>
      </c>
      <c r="M248" s="295" t="str">
        <f>IF(E248="","",IF(ISNA(VLOOKUP($E248,'A-1 On-Site Habitat Baseline'!$D$1:$O$258,12,FALSE)),"",(VLOOKUP($E248,'A-1 On-Site Habitat Baseline'!$D$1:$O$258,12,FALSE))))</f>
        <v/>
      </c>
      <c r="N248" s="306" t="str">
        <f>IF(E248="","",IF(ISNA(VLOOKUP($E248,'A-1 On-Site Habitat Baseline'!$D$1:$X$258,14,FALSE)),"",(VLOOKUP($E248,'A-1 On-Site Habitat Baseline'!$D$1:$X$258,14,FALSE))))</f>
        <v/>
      </c>
      <c r="O248" s="299" t="str">
        <f>IF(E248="","",IF(ISNA(VLOOKUP($E248,'A-1 On-Site Habitat Baseline'!$D$1:$X$258,16,FALSE)),"",(VLOOKUP($E248,'A-1 On-Site Habitat Baseline'!$D$1:$X$258,13,FALSE))))</f>
        <v/>
      </c>
      <c r="P248" s="154" t="str">
        <f>IFERROR(INDEX('G-1 All Habitats'!$AG$49:$AG$63,MATCH(Q248,'G-1 All Habitats'!$AF$27:$AF$41,0)),"")</f>
        <v/>
      </c>
      <c r="Q248" s="155" t="str">
        <f t="shared" si="35"/>
        <v/>
      </c>
      <c r="R248" s="155"/>
      <c r="S248" s="237" t="str">
        <f>IFERROR(INDEX('G-1 All Habitats'!$B$3:$B$135,MATCH(R248,'G-1 All Habitats'!$A$3:$A$135,0)),"")</f>
        <v/>
      </c>
      <c r="T248" s="275" t="str">
        <f t="shared" si="36"/>
        <v/>
      </c>
      <c r="U248" s="276" t="str">
        <f t="shared" si="37"/>
        <v/>
      </c>
      <c r="V248" s="311" t="str">
        <f t="shared" si="33"/>
        <v/>
      </c>
      <c r="W248" s="295" t="str">
        <f>IF(S248="","",VLOOKUP(S248,'G-1 All Habitats'!$B$2:$M$135,10,FALSE))</f>
        <v/>
      </c>
      <c r="X248" s="295" t="str">
        <f>IFERROR(VLOOKUP(W248,'G-1 All Habitats'!$V$3:$W$7,2,FALSE),"")</f>
        <v/>
      </c>
      <c r="Y248" s="57"/>
      <c r="Z248" s="299" t="str">
        <f>IFERROR(INDEX('G-8 Condition Look up'!$A$3:$H$135,MATCH(S248,'G-8 Condition Look up'!$A$3:$A$135,0),MATCH(Y248,'G-8 Condition Look up'!$A$3:$H$3,0)),"")</f>
        <v/>
      </c>
      <c r="AA248" s="52"/>
      <c r="AB248" s="295" t="str">
        <f>IF(AA248="","",IF(VLOOKUP(AA248,'G-3 Multipliers'!$L$3:$N$6,2,FALSE)=0,"Spatial Data Missing ⚠",VLOOKUP(AA248,'G-3 Multipliers'!$L$3:$N$6,2,FALSE)))</f>
        <v/>
      </c>
      <c r="AC248" s="299" t="str">
        <f>IF(AA248="","",IF(VLOOKUP(AA248,'G-3 Multipliers'!$L$3:$N$6,3,FALSE)=0,"Spatial Data Missing ⚠",VLOOKUP(AA248,'G-3 Multipliers'!$L$3:$N$6,3,FALSE)))</f>
        <v/>
      </c>
      <c r="AD248" s="313" t="str">
        <f t="shared" si="34"/>
        <v/>
      </c>
      <c r="AE248" s="58"/>
      <c r="AF248" s="58"/>
      <c r="AG248" s="283" t="str">
        <f t="shared" si="38"/>
        <v/>
      </c>
      <c r="AH248" s="296" t="str">
        <f t="shared" si="39"/>
        <v/>
      </c>
      <c r="AI248" s="297" t="str">
        <f>IF(AH248="Check Data ⚠","Check Data ⚠",IFERROR(VLOOKUP(AH248,'G-4 Temporal multipliers'!$A$4:$C$36,3,FALSE),""))</f>
        <v/>
      </c>
      <c r="AJ248" s="275" t="str">
        <f>IF(S248="","",VLOOKUP(S248,'G-3 Multipliers'!$A$2:$E$134,4,FALSE))</f>
        <v/>
      </c>
      <c r="AK248" s="283" t="str">
        <f t="shared" si="40"/>
        <v/>
      </c>
      <c r="AL248" s="283" t="str">
        <f t="shared" si="41"/>
        <v/>
      </c>
      <c r="AM248" s="314" t="str">
        <f>IFERROR(IF(F248="","",IF(AH248="Check Data ⚠","Check Data ⚠",VLOOKUP(AL248,'G-3 Multipliers'!$P$2:$Q$6,2,FALSE))),"")</f>
        <v/>
      </c>
      <c r="AN248" s="289" t="str">
        <f t="shared" si="42"/>
        <v/>
      </c>
      <c r="AO248" s="52"/>
      <c r="AP248" s="51"/>
      <c r="AQ248" s="104"/>
      <c r="AT248" s="35" t="str">
        <f t="shared" si="43"/>
        <v>No</v>
      </c>
      <c r="AU248" s="35" t="str">
        <f>IF(E248="","",IF(ISNA(VLOOKUP($E248,'A-1 On-Site Habitat Baseline'!$D$1:$AV$258,4,FALSE)),"",(VLOOKUP($E248,'A-1 On-Site Habitat Baseline'!$D$1:$AV$258,4,FALSE))))</f>
        <v/>
      </c>
    </row>
    <row r="249" spans="1:47" ht="14">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05" t="str">
        <f>'A-1 On-Site Habitat Baseline'!AL248</f>
        <v/>
      </c>
      <c r="F249" s="295" t="str">
        <f>IF(E249="","",IF(ISNA(VLOOKUP($E249,'A-1 On-Site Habitat Baseline'!$D$1:$AV$258,45,FALSE)),"",(VLOOKUP($E249,'A-1 On-Site Habitat Baseline'!$D$1:$AV$258,45,FALSE))))</f>
        <v/>
      </c>
      <c r="G249" s="295" t="str">
        <f>IF(E249="","",IF(ISNA(VLOOKUP($E249,'A-1 On-Site Habitat Baseline'!$D$1:$O$258,5,FALSE)),"",(VLOOKUP($E249,'A-1 On-Site Habitat Baseline'!$D$1:$O$258,5,FALSE))))</f>
        <v/>
      </c>
      <c r="H249" s="295" t="str">
        <f>IF(E249="","",IF(ISNA(VLOOKUP($E249,'A-1 On-Site Habitat Baseline'!$D$1:$O$258,6,FALSE)),"",(VLOOKUP($E249,'A-1 On-Site Habitat Baseline'!$D$1:$O$258,6,FALSE))))</f>
        <v/>
      </c>
      <c r="I249" s="295" t="str">
        <f>IF(E249="","",IF(ISNA(VLOOKUP($E249,'A-1 On-Site Habitat Baseline'!$D$1:$O$258,7,FALSE)),"",(VLOOKUP($E249,'A-1 On-Site Habitat Baseline'!$D$1:$O$258,7,FALSE))))</f>
        <v/>
      </c>
      <c r="J249" s="295" t="str">
        <f>IF(E249="","",IF(ISNA(VLOOKUP($E249,'A-1 On-Site Habitat Baseline'!$D$1:$O$258,8,FALSE)),"",(VLOOKUP($E249,'A-1 On-Site Habitat Baseline'!$D$1:$O$258,8,FALSE))))</f>
        <v/>
      </c>
      <c r="K249" s="295" t="str">
        <f>IF(E249="","",IF(ISNA(VLOOKUP($E249,'A-1 On-Site Habitat Baseline'!$D$1:$O$258,9,FALSE)),"",(VLOOKUP($E249,'A-1 On-Site Habitat Baseline'!$D$1:$O$258,9,FALSE))))</f>
        <v/>
      </c>
      <c r="L249" s="295" t="str">
        <f>IF(E249="","",IF(ISNA(VLOOKUP($E249,'A-1 On-Site Habitat Baseline'!$D$1:$O$258,11,FALSE)),"",(VLOOKUP($E249,'A-1 On-Site Habitat Baseline'!$D$1:$O$258,11,FALSE))))</f>
        <v/>
      </c>
      <c r="M249" s="295" t="str">
        <f>IF(E249="","",IF(ISNA(VLOOKUP($E249,'A-1 On-Site Habitat Baseline'!$D$1:$O$258,12,FALSE)),"",(VLOOKUP($E249,'A-1 On-Site Habitat Baseline'!$D$1:$O$258,12,FALSE))))</f>
        <v/>
      </c>
      <c r="N249" s="306" t="str">
        <f>IF(E249="","",IF(ISNA(VLOOKUP($E249,'A-1 On-Site Habitat Baseline'!$D$1:$X$258,14,FALSE)),"",(VLOOKUP($E249,'A-1 On-Site Habitat Baseline'!$D$1:$X$258,14,FALSE))))</f>
        <v/>
      </c>
      <c r="O249" s="299" t="str">
        <f>IF(E249="","",IF(ISNA(VLOOKUP($E249,'A-1 On-Site Habitat Baseline'!$D$1:$X$258,16,FALSE)),"",(VLOOKUP($E249,'A-1 On-Site Habitat Baseline'!$D$1:$X$258,13,FALSE))))</f>
        <v/>
      </c>
      <c r="P249" s="154" t="str">
        <f>IFERROR(INDEX('G-1 All Habitats'!$AG$49:$AG$63,MATCH(Q249,'G-1 All Habitats'!$AF$27:$AF$41,0)),"")</f>
        <v/>
      </c>
      <c r="Q249" s="155" t="str">
        <f t="shared" si="35"/>
        <v/>
      </c>
      <c r="R249" s="155"/>
      <c r="S249" s="237" t="str">
        <f>IFERROR(INDEX('G-1 All Habitats'!$B$3:$B$135,MATCH(R249,'G-1 All Habitats'!$A$3:$A$135,0)),"")</f>
        <v/>
      </c>
      <c r="T249" s="275" t="str">
        <f t="shared" si="36"/>
        <v/>
      </c>
      <c r="U249" s="276" t="str">
        <f t="shared" si="37"/>
        <v/>
      </c>
      <c r="V249" s="311" t="str">
        <f t="shared" si="33"/>
        <v/>
      </c>
      <c r="W249" s="295" t="str">
        <f>IF(S249="","",VLOOKUP(S249,'G-1 All Habitats'!$B$2:$M$135,10,FALSE))</f>
        <v/>
      </c>
      <c r="X249" s="295" t="str">
        <f>IFERROR(VLOOKUP(W249,'G-1 All Habitats'!$V$3:$W$7,2,FALSE),"")</f>
        <v/>
      </c>
      <c r="Y249" s="57"/>
      <c r="Z249" s="299" t="str">
        <f>IFERROR(INDEX('G-8 Condition Look up'!$A$3:$H$135,MATCH(S249,'G-8 Condition Look up'!$A$3:$A$135,0),MATCH(Y249,'G-8 Condition Look up'!$A$3:$H$3,0)),"")</f>
        <v/>
      </c>
      <c r="AA249" s="52"/>
      <c r="AB249" s="295" t="str">
        <f>IF(AA249="","",IF(VLOOKUP(AA249,'G-3 Multipliers'!$L$3:$N$6,2,FALSE)=0,"Spatial Data Missing ⚠",VLOOKUP(AA249,'G-3 Multipliers'!$L$3:$N$6,2,FALSE)))</f>
        <v/>
      </c>
      <c r="AC249" s="299" t="str">
        <f>IF(AA249="","",IF(VLOOKUP(AA249,'G-3 Multipliers'!$L$3:$N$6,3,FALSE)=0,"Spatial Data Missing ⚠",VLOOKUP(AA249,'G-3 Multipliers'!$L$3:$N$6,3,FALSE)))</f>
        <v/>
      </c>
      <c r="AD249" s="313" t="str">
        <f t="shared" si="34"/>
        <v/>
      </c>
      <c r="AE249" s="58"/>
      <c r="AF249" s="58"/>
      <c r="AG249" s="283" t="str">
        <f t="shared" si="38"/>
        <v/>
      </c>
      <c r="AH249" s="296" t="str">
        <f t="shared" si="39"/>
        <v/>
      </c>
      <c r="AI249" s="297" t="str">
        <f>IF(AH249="Check Data ⚠","Check Data ⚠",IFERROR(VLOOKUP(AH249,'G-4 Temporal multipliers'!$A$4:$C$36,3,FALSE),""))</f>
        <v/>
      </c>
      <c r="AJ249" s="275" t="str">
        <f>IF(S249="","",VLOOKUP(S249,'G-3 Multipliers'!$A$2:$E$134,4,FALSE))</f>
        <v/>
      </c>
      <c r="AK249" s="283" t="str">
        <f t="shared" si="40"/>
        <v/>
      </c>
      <c r="AL249" s="283" t="str">
        <f t="shared" si="41"/>
        <v/>
      </c>
      <c r="AM249" s="314" t="str">
        <f>IFERROR(IF(F249="","",IF(AH249="Check Data ⚠","Check Data ⚠",VLOOKUP(AL249,'G-3 Multipliers'!$P$2:$Q$6,2,FALSE))),"")</f>
        <v/>
      </c>
      <c r="AN249" s="289" t="str">
        <f t="shared" si="42"/>
        <v/>
      </c>
      <c r="AO249" s="52"/>
      <c r="AP249" s="51"/>
      <c r="AQ249" s="104"/>
      <c r="AT249" s="35" t="str">
        <f t="shared" si="43"/>
        <v>No</v>
      </c>
      <c r="AU249" s="35" t="str">
        <f>IF(E249="","",IF(ISNA(VLOOKUP($E249,'A-1 On-Site Habitat Baseline'!$D$1:$AV$258,4,FALSE)),"",(VLOOKUP($E249,'A-1 On-Site Habitat Baseline'!$D$1:$AV$258,4,FALSE))))</f>
        <v/>
      </c>
    </row>
    <row r="250" spans="1:47" ht="14">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05" t="str">
        <f>'A-1 On-Site Habitat Baseline'!AL249</f>
        <v/>
      </c>
      <c r="F250" s="295" t="str">
        <f>IF(E250="","",IF(ISNA(VLOOKUP($E250,'A-1 On-Site Habitat Baseline'!$D$1:$AV$258,45,FALSE)),"",(VLOOKUP($E250,'A-1 On-Site Habitat Baseline'!$D$1:$AV$258,45,FALSE))))</f>
        <v/>
      </c>
      <c r="G250" s="295" t="str">
        <f>IF(E250="","",IF(ISNA(VLOOKUP($E250,'A-1 On-Site Habitat Baseline'!$D$1:$O$258,5,FALSE)),"",(VLOOKUP($E250,'A-1 On-Site Habitat Baseline'!$D$1:$O$258,5,FALSE))))</f>
        <v/>
      </c>
      <c r="H250" s="295" t="str">
        <f>IF(E250="","",IF(ISNA(VLOOKUP($E250,'A-1 On-Site Habitat Baseline'!$D$1:$O$258,6,FALSE)),"",(VLOOKUP($E250,'A-1 On-Site Habitat Baseline'!$D$1:$O$258,6,FALSE))))</f>
        <v/>
      </c>
      <c r="I250" s="295" t="str">
        <f>IF(E250="","",IF(ISNA(VLOOKUP($E250,'A-1 On-Site Habitat Baseline'!$D$1:$O$258,7,FALSE)),"",(VLOOKUP($E250,'A-1 On-Site Habitat Baseline'!$D$1:$O$258,7,FALSE))))</f>
        <v/>
      </c>
      <c r="J250" s="295" t="str">
        <f>IF(E250="","",IF(ISNA(VLOOKUP($E250,'A-1 On-Site Habitat Baseline'!$D$1:$O$258,8,FALSE)),"",(VLOOKUP($E250,'A-1 On-Site Habitat Baseline'!$D$1:$O$258,8,FALSE))))</f>
        <v/>
      </c>
      <c r="K250" s="295" t="str">
        <f>IF(E250="","",IF(ISNA(VLOOKUP($E250,'A-1 On-Site Habitat Baseline'!$D$1:$O$258,9,FALSE)),"",(VLOOKUP($E250,'A-1 On-Site Habitat Baseline'!$D$1:$O$258,9,FALSE))))</f>
        <v/>
      </c>
      <c r="L250" s="295" t="str">
        <f>IF(E250="","",IF(ISNA(VLOOKUP($E250,'A-1 On-Site Habitat Baseline'!$D$1:$O$258,11,FALSE)),"",(VLOOKUP($E250,'A-1 On-Site Habitat Baseline'!$D$1:$O$258,11,FALSE))))</f>
        <v/>
      </c>
      <c r="M250" s="295" t="str">
        <f>IF(E250="","",IF(ISNA(VLOOKUP($E250,'A-1 On-Site Habitat Baseline'!$D$1:$O$258,12,FALSE)),"",(VLOOKUP($E250,'A-1 On-Site Habitat Baseline'!$D$1:$O$258,12,FALSE))))</f>
        <v/>
      </c>
      <c r="N250" s="306" t="str">
        <f>IF(E250="","",IF(ISNA(VLOOKUP($E250,'A-1 On-Site Habitat Baseline'!$D$1:$X$258,14,FALSE)),"",(VLOOKUP($E250,'A-1 On-Site Habitat Baseline'!$D$1:$X$258,14,FALSE))))</f>
        <v/>
      </c>
      <c r="O250" s="299" t="str">
        <f>IF(E250="","",IF(ISNA(VLOOKUP($E250,'A-1 On-Site Habitat Baseline'!$D$1:$X$258,16,FALSE)),"",(VLOOKUP($E250,'A-1 On-Site Habitat Baseline'!$D$1:$X$258,13,FALSE))))</f>
        <v/>
      </c>
      <c r="P250" s="154" t="str">
        <f>IFERROR(INDEX('G-1 All Habitats'!$AG$49:$AG$63,MATCH(Q250,'G-1 All Habitats'!$AF$27:$AF$41,0)),"")</f>
        <v/>
      </c>
      <c r="Q250" s="155" t="str">
        <f t="shared" si="35"/>
        <v/>
      </c>
      <c r="R250" s="155"/>
      <c r="S250" s="237" t="str">
        <f>IFERROR(INDEX('G-1 All Habitats'!$B$3:$B$135,MATCH(R250,'G-1 All Habitats'!$A$3:$A$135,0)),"")</f>
        <v/>
      </c>
      <c r="T250" s="275" t="str">
        <f t="shared" si="36"/>
        <v/>
      </c>
      <c r="U250" s="276" t="str">
        <f t="shared" si="37"/>
        <v/>
      </c>
      <c r="V250" s="311" t="str">
        <f t="shared" si="33"/>
        <v/>
      </c>
      <c r="W250" s="295" t="str">
        <f>IF(S250="","",VLOOKUP(S250,'G-1 All Habitats'!$B$2:$M$135,10,FALSE))</f>
        <v/>
      </c>
      <c r="X250" s="295" t="str">
        <f>IFERROR(VLOOKUP(W250,'G-1 All Habitats'!$V$3:$W$7,2,FALSE),"")</f>
        <v/>
      </c>
      <c r="Y250" s="57"/>
      <c r="Z250" s="299" t="str">
        <f>IFERROR(INDEX('G-8 Condition Look up'!$A$3:$H$135,MATCH(S250,'G-8 Condition Look up'!$A$3:$A$135,0),MATCH(Y250,'G-8 Condition Look up'!$A$3:$H$3,0)),"")</f>
        <v/>
      </c>
      <c r="AA250" s="52"/>
      <c r="AB250" s="295" t="str">
        <f>IF(AA250="","",IF(VLOOKUP(AA250,'G-3 Multipliers'!$L$3:$N$6,2,FALSE)=0,"Spatial Data Missing ⚠",VLOOKUP(AA250,'G-3 Multipliers'!$L$3:$N$6,2,FALSE)))</f>
        <v/>
      </c>
      <c r="AC250" s="299" t="str">
        <f>IF(AA250="","",IF(VLOOKUP(AA250,'G-3 Multipliers'!$L$3:$N$6,3,FALSE)=0,"Spatial Data Missing ⚠",VLOOKUP(AA250,'G-3 Multipliers'!$L$3:$N$6,3,FALSE)))</f>
        <v/>
      </c>
      <c r="AD250" s="313" t="str">
        <f t="shared" si="34"/>
        <v/>
      </c>
      <c r="AE250" s="58"/>
      <c r="AF250" s="58"/>
      <c r="AG250" s="283" t="str">
        <f t="shared" si="38"/>
        <v/>
      </c>
      <c r="AH250" s="296" t="str">
        <f t="shared" si="39"/>
        <v/>
      </c>
      <c r="AI250" s="297" t="str">
        <f>IF(AH250="Check Data ⚠","Check Data ⚠",IFERROR(VLOOKUP(AH250,'G-4 Temporal multipliers'!$A$4:$C$36,3,FALSE),""))</f>
        <v/>
      </c>
      <c r="AJ250" s="275" t="str">
        <f>IF(S250="","",VLOOKUP(S250,'G-3 Multipliers'!$A$2:$E$134,4,FALSE))</f>
        <v/>
      </c>
      <c r="AK250" s="283" t="str">
        <f t="shared" si="40"/>
        <v/>
      </c>
      <c r="AL250" s="283" t="str">
        <f t="shared" si="41"/>
        <v/>
      </c>
      <c r="AM250" s="314" t="str">
        <f>IFERROR(IF(F250="","",IF(AH250="Check Data ⚠","Check Data ⚠",VLOOKUP(AL250,'G-3 Multipliers'!$P$2:$Q$6,2,FALSE))),"")</f>
        <v/>
      </c>
      <c r="AN250" s="289" t="str">
        <f t="shared" si="42"/>
        <v/>
      </c>
      <c r="AO250" s="52"/>
      <c r="AP250" s="51"/>
      <c r="AQ250" s="104"/>
      <c r="AT250" s="35" t="str">
        <f t="shared" si="43"/>
        <v>No</v>
      </c>
      <c r="AU250" s="35" t="str">
        <f>IF(E250="","",IF(ISNA(VLOOKUP($E250,'A-1 On-Site Habitat Baseline'!$D$1:$AV$258,4,FALSE)),"",(VLOOKUP($E250,'A-1 On-Site Habitat Baseline'!$D$1:$AV$258,4,FALSE))))</f>
        <v/>
      </c>
    </row>
    <row r="251" spans="1:47" ht="14">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05" t="str">
        <f>'A-1 On-Site Habitat Baseline'!AL250</f>
        <v/>
      </c>
      <c r="F251" s="295" t="str">
        <f>IF(E251="","",IF(ISNA(VLOOKUP($E251,'A-1 On-Site Habitat Baseline'!$D$1:$AV$258,45,FALSE)),"",(VLOOKUP($E251,'A-1 On-Site Habitat Baseline'!$D$1:$AV$258,45,FALSE))))</f>
        <v/>
      </c>
      <c r="G251" s="295" t="str">
        <f>IF(E251="","",IF(ISNA(VLOOKUP($E251,'A-1 On-Site Habitat Baseline'!$D$1:$O$258,5,FALSE)),"",(VLOOKUP($E251,'A-1 On-Site Habitat Baseline'!$D$1:$O$258,5,FALSE))))</f>
        <v/>
      </c>
      <c r="H251" s="295" t="str">
        <f>IF(E251="","",IF(ISNA(VLOOKUP($E251,'A-1 On-Site Habitat Baseline'!$D$1:$O$258,6,FALSE)),"",(VLOOKUP($E251,'A-1 On-Site Habitat Baseline'!$D$1:$O$258,6,FALSE))))</f>
        <v/>
      </c>
      <c r="I251" s="295" t="str">
        <f>IF(E251="","",IF(ISNA(VLOOKUP($E251,'A-1 On-Site Habitat Baseline'!$D$1:$O$258,7,FALSE)),"",(VLOOKUP($E251,'A-1 On-Site Habitat Baseline'!$D$1:$O$258,7,FALSE))))</f>
        <v/>
      </c>
      <c r="J251" s="295" t="str">
        <f>IF(E251="","",IF(ISNA(VLOOKUP($E251,'A-1 On-Site Habitat Baseline'!$D$1:$O$258,8,FALSE)),"",(VLOOKUP($E251,'A-1 On-Site Habitat Baseline'!$D$1:$O$258,8,FALSE))))</f>
        <v/>
      </c>
      <c r="K251" s="295" t="str">
        <f>IF(E251="","",IF(ISNA(VLOOKUP($E251,'A-1 On-Site Habitat Baseline'!$D$1:$O$258,9,FALSE)),"",(VLOOKUP($E251,'A-1 On-Site Habitat Baseline'!$D$1:$O$258,9,FALSE))))</f>
        <v/>
      </c>
      <c r="L251" s="295" t="str">
        <f>IF(E251="","",IF(ISNA(VLOOKUP($E251,'A-1 On-Site Habitat Baseline'!$D$1:$O$258,11,FALSE)),"",(VLOOKUP($E251,'A-1 On-Site Habitat Baseline'!$D$1:$O$258,11,FALSE))))</f>
        <v/>
      </c>
      <c r="M251" s="295" t="str">
        <f>IF(E251="","",IF(ISNA(VLOOKUP($E251,'A-1 On-Site Habitat Baseline'!$D$1:$O$258,12,FALSE)),"",(VLOOKUP($E251,'A-1 On-Site Habitat Baseline'!$D$1:$O$258,12,FALSE))))</f>
        <v/>
      </c>
      <c r="N251" s="306" t="str">
        <f>IF(E251="","",IF(ISNA(VLOOKUP($E251,'A-1 On-Site Habitat Baseline'!$D$1:$X$258,14,FALSE)),"",(VLOOKUP($E251,'A-1 On-Site Habitat Baseline'!$D$1:$X$258,14,FALSE))))</f>
        <v/>
      </c>
      <c r="O251" s="299" t="str">
        <f>IF(E251="","",IF(ISNA(VLOOKUP($E251,'A-1 On-Site Habitat Baseline'!$D$1:$X$258,16,FALSE)),"",(VLOOKUP($E251,'A-1 On-Site Habitat Baseline'!$D$1:$X$258,13,FALSE))))</f>
        <v/>
      </c>
      <c r="P251" s="154" t="str">
        <f>IFERROR(INDEX('G-1 All Habitats'!$AG$49:$AG$63,MATCH(Q251,'G-1 All Habitats'!$AF$27:$AF$41,0)),"")</f>
        <v/>
      </c>
      <c r="Q251" s="155" t="str">
        <f t="shared" si="35"/>
        <v/>
      </c>
      <c r="R251" s="155"/>
      <c r="S251" s="237" t="str">
        <f>IFERROR(INDEX('G-1 All Habitats'!$B$3:$B$135,MATCH(R251,'G-1 All Habitats'!$A$3:$A$135,0)),"")</f>
        <v/>
      </c>
      <c r="T251" s="275" t="str">
        <f t="shared" si="36"/>
        <v/>
      </c>
      <c r="U251" s="276" t="str">
        <f t="shared" si="37"/>
        <v/>
      </c>
      <c r="V251" s="311" t="str">
        <f t="shared" si="33"/>
        <v/>
      </c>
      <c r="W251" s="295" t="str">
        <f>IF(S251="","",VLOOKUP(S251,'G-1 All Habitats'!$B$2:$M$135,10,FALSE))</f>
        <v/>
      </c>
      <c r="X251" s="295" t="str">
        <f>IFERROR(VLOOKUP(W251,'G-1 All Habitats'!$V$3:$W$7,2,FALSE),"")</f>
        <v/>
      </c>
      <c r="Y251" s="57"/>
      <c r="Z251" s="299" t="str">
        <f>IFERROR(INDEX('G-8 Condition Look up'!$A$3:$H$135,MATCH(S251,'G-8 Condition Look up'!$A$3:$A$135,0),MATCH(Y251,'G-8 Condition Look up'!$A$3:$H$3,0)),"")</f>
        <v/>
      </c>
      <c r="AA251" s="52"/>
      <c r="AB251" s="295" t="str">
        <f>IF(AA251="","",IF(VLOOKUP(AA251,'G-3 Multipliers'!$L$3:$N$6,2,FALSE)=0,"Spatial Data Missing ⚠",VLOOKUP(AA251,'G-3 Multipliers'!$L$3:$N$6,2,FALSE)))</f>
        <v/>
      </c>
      <c r="AC251" s="299" t="str">
        <f>IF(AA251="","",IF(VLOOKUP(AA251,'G-3 Multipliers'!$L$3:$N$6,3,FALSE)=0,"Spatial Data Missing ⚠",VLOOKUP(AA251,'G-3 Multipliers'!$L$3:$N$6,3,FALSE)))</f>
        <v/>
      </c>
      <c r="AD251" s="313" t="str">
        <f t="shared" si="34"/>
        <v/>
      </c>
      <c r="AE251" s="58"/>
      <c r="AF251" s="58"/>
      <c r="AG251" s="283" t="str">
        <f t="shared" si="38"/>
        <v/>
      </c>
      <c r="AH251" s="296" t="str">
        <f t="shared" si="39"/>
        <v/>
      </c>
      <c r="AI251" s="297" t="str">
        <f>IF(AH251="Check Data ⚠","Check Data ⚠",IFERROR(VLOOKUP(AH251,'G-4 Temporal multipliers'!$A$4:$C$36,3,FALSE),""))</f>
        <v/>
      </c>
      <c r="AJ251" s="275" t="str">
        <f>IF(S251="","",VLOOKUP(S251,'G-3 Multipliers'!$A$2:$E$134,4,FALSE))</f>
        <v/>
      </c>
      <c r="AK251" s="283" t="str">
        <f t="shared" si="40"/>
        <v/>
      </c>
      <c r="AL251" s="283" t="str">
        <f t="shared" si="41"/>
        <v/>
      </c>
      <c r="AM251" s="314" t="str">
        <f>IFERROR(IF(F251="","",IF(AH251="Check Data ⚠","Check Data ⚠",VLOOKUP(AL251,'G-3 Multipliers'!$P$2:$Q$6,2,FALSE))),"")</f>
        <v/>
      </c>
      <c r="AN251" s="289" t="str">
        <f t="shared" si="42"/>
        <v/>
      </c>
      <c r="AO251" s="52"/>
      <c r="AP251" s="51"/>
      <c r="AQ251" s="104"/>
      <c r="AT251" s="35" t="str">
        <f t="shared" si="43"/>
        <v>No</v>
      </c>
      <c r="AU251" s="35" t="str">
        <f>IF(E251="","",IF(ISNA(VLOOKUP($E251,'A-1 On-Site Habitat Baseline'!$D$1:$AV$258,4,FALSE)),"",(VLOOKUP($E251,'A-1 On-Site Habitat Baseline'!$D$1:$AV$258,4,FALSE))))</f>
        <v/>
      </c>
    </row>
    <row r="252" spans="1:47" ht="14">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05" t="str">
        <f>'A-1 On-Site Habitat Baseline'!AL251</f>
        <v/>
      </c>
      <c r="F252" s="295" t="str">
        <f>IF(E252="","",IF(ISNA(VLOOKUP($E252,'A-1 On-Site Habitat Baseline'!$D$1:$AV$258,45,FALSE)),"",(VLOOKUP($E252,'A-1 On-Site Habitat Baseline'!$D$1:$AV$258,45,FALSE))))</f>
        <v/>
      </c>
      <c r="G252" s="295" t="str">
        <f>IF(E252="","",IF(ISNA(VLOOKUP($E252,'A-1 On-Site Habitat Baseline'!$D$1:$O$258,5,FALSE)),"",(VLOOKUP($E252,'A-1 On-Site Habitat Baseline'!$D$1:$O$258,5,FALSE))))</f>
        <v/>
      </c>
      <c r="H252" s="295" t="str">
        <f>IF(E252="","",IF(ISNA(VLOOKUP($E252,'A-1 On-Site Habitat Baseline'!$D$1:$O$258,6,FALSE)),"",(VLOOKUP($E252,'A-1 On-Site Habitat Baseline'!$D$1:$O$258,6,FALSE))))</f>
        <v/>
      </c>
      <c r="I252" s="295" t="str">
        <f>IF(E252="","",IF(ISNA(VLOOKUP($E252,'A-1 On-Site Habitat Baseline'!$D$1:$O$258,7,FALSE)),"",(VLOOKUP($E252,'A-1 On-Site Habitat Baseline'!$D$1:$O$258,7,FALSE))))</f>
        <v/>
      </c>
      <c r="J252" s="295" t="str">
        <f>IF(E252="","",IF(ISNA(VLOOKUP($E252,'A-1 On-Site Habitat Baseline'!$D$1:$O$258,8,FALSE)),"",(VLOOKUP($E252,'A-1 On-Site Habitat Baseline'!$D$1:$O$258,8,FALSE))))</f>
        <v/>
      </c>
      <c r="K252" s="295" t="str">
        <f>IF(E252="","",IF(ISNA(VLOOKUP($E252,'A-1 On-Site Habitat Baseline'!$D$1:$O$258,9,FALSE)),"",(VLOOKUP($E252,'A-1 On-Site Habitat Baseline'!$D$1:$O$258,9,FALSE))))</f>
        <v/>
      </c>
      <c r="L252" s="295" t="str">
        <f>IF(E252="","",IF(ISNA(VLOOKUP($E252,'A-1 On-Site Habitat Baseline'!$D$1:$O$258,11,FALSE)),"",(VLOOKUP($E252,'A-1 On-Site Habitat Baseline'!$D$1:$O$258,11,FALSE))))</f>
        <v/>
      </c>
      <c r="M252" s="295" t="str">
        <f>IF(E252="","",IF(ISNA(VLOOKUP($E252,'A-1 On-Site Habitat Baseline'!$D$1:$O$258,12,FALSE)),"",(VLOOKUP($E252,'A-1 On-Site Habitat Baseline'!$D$1:$O$258,12,FALSE))))</f>
        <v/>
      </c>
      <c r="N252" s="306" t="str">
        <f>IF(E252="","",IF(ISNA(VLOOKUP($E252,'A-1 On-Site Habitat Baseline'!$D$1:$X$258,14,FALSE)),"",(VLOOKUP($E252,'A-1 On-Site Habitat Baseline'!$D$1:$X$258,14,FALSE))))</f>
        <v/>
      </c>
      <c r="O252" s="299" t="str">
        <f>IF(E252="","",IF(ISNA(VLOOKUP($E252,'A-1 On-Site Habitat Baseline'!$D$1:$X$258,16,FALSE)),"",(VLOOKUP($E252,'A-1 On-Site Habitat Baseline'!$D$1:$X$258,13,FALSE))))</f>
        <v/>
      </c>
      <c r="P252" s="154" t="str">
        <f>IFERROR(INDEX('G-1 All Habitats'!$AG$49:$AG$63,MATCH(Q252,'G-1 All Habitats'!$AF$27:$AF$41,0)),"")</f>
        <v/>
      </c>
      <c r="Q252" s="155" t="str">
        <f t="shared" si="35"/>
        <v/>
      </c>
      <c r="R252" s="155"/>
      <c r="S252" s="237" t="str">
        <f>IFERROR(INDEX('G-1 All Habitats'!$B$3:$B$135,MATCH(R252,'G-1 All Habitats'!$A$3:$A$135,0)),"")</f>
        <v/>
      </c>
      <c r="T252" s="275" t="str">
        <f t="shared" si="36"/>
        <v/>
      </c>
      <c r="U252" s="276" t="str">
        <f t="shared" si="37"/>
        <v/>
      </c>
      <c r="V252" s="311" t="str">
        <f t="shared" si="33"/>
        <v/>
      </c>
      <c r="W252" s="295" t="str">
        <f>IF(S252="","",VLOOKUP(S252,'G-1 All Habitats'!$B$2:$M$135,10,FALSE))</f>
        <v/>
      </c>
      <c r="X252" s="295" t="str">
        <f>IFERROR(VLOOKUP(W252,'G-1 All Habitats'!$V$3:$W$7,2,FALSE),"")</f>
        <v/>
      </c>
      <c r="Y252" s="57"/>
      <c r="Z252" s="299" t="str">
        <f>IFERROR(INDEX('G-8 Condition Look up'!$A$3:$H$135,MATCH(S252,'G-8 Condition Look up'!$A$3:$A$135,0),MATCH(Y252,'G-8 Condition Look up'!$A$3:$H$3,0)),"")</f>
        <v/>
      </c>
      <c r="AA252" s="52"/>
      <c r="AB252" s="295" t="str">
        <f>IF(AA252="","",IF(VLOOKUP(AA252,'G-3 Multipliers'!$L$3:$N$6,2,FALSE)=0,"Spatial Data Missing ⚠",VLOOKUP(AA252,'G-3 Multipliers'!$L$3:$N$6,2,FALSE)))</f>
        <v/>
      </c>
      <c r="AC252" s="299" t="str">
        <f>IF(AA252="","",IF(VLOOKUP(AA252,'G-3 Multipliers'!$L$3:$N$6,3,FALSE)=0,"Spatial Data Missing ⚠",VLOOKUP(AA252,'G-3 Multipliers'!$L$3:$N$6,3,FALSE)))</f>
        <v/>
      </c>
      <c r="AD252" s="313" t="str">
        <f t="shared" si="34"/>
        <v/>
      </c>
      <c r="AE252" s="58"/>
      <c r="AF252" s="58"/>
      <c r="AG252" s="283" t="str">
        <f t="shared" si="38"/>
        <v/>
      </c>
      <c r="AH252" s="296" t="str">
        <f t="shared" si="39"/>
        <v/>
      </c>
      <c r="AI252" s="297" t="str">
        <f>IF(AH252="Check Data ⚠","Check Data ⚠",IFERROR(VLOOKUP(AH252,'G-4 Temporal multipliers'!$A$4:$C$36,3,FALSE),""))</f>
        <v/>
      </c>
      <c r="AJ252" s="275" t="str">
        <f>IF(S252="","",VLOOKUP(S252,'G-3 Multipliers'!$A$2:$E$134,4,FALSE))</f>
        <v/>
      </c>
      <c r="AK252" s="283" t="str">
        <f t="shared" si="40"/>
        <v/>
      </c>
      <c r="AL252" s="283" t="str">
        <f t="shared" si="41"/>
        <v/>
      </c>
      <c r="AM252" s="314" t="str">
        <f>IFERROR(IF(F252="","",IF(AH252="Check Data ⚠","Check Data ⚠",VLOOKUP(AL252,'G-3 Multipliers'!$P$2:$Q$6,2,FALSE))),"")</f>
        <v/>
      </c>
      <c r="AN252" s="289" t="str">
        <f t="shared" si="42"/>
        <v/>
      </c>
      <c r="AO252" s="52"/>
      <c r="AP252" s="51"/>
      <c r="AQ252" s="104"/>
      <c r="AT252" s="35" t="str">
        <f t="shared" si="43"/>
        <v>No</v>
      </c>
      <c r="AU252" s="35" t="str">
        <f>IF(E252="","",IF(ISNA(VLOOKUP($E252,'A-1 On-Site Habitat Baseline'!$D$1:$AV$258,4,FALSE)),"",(VLOOKUP($E252,'A-1 On-Site Habitat Baseline'!$D$1:$AV$258,4,FALSE))))</f>
        <v/>
      </c>
    </row>
    <row r="253" spans="1:47" ht="14">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05" t="str">
        <f>'A-1 On-Site Habitat Baseline'!AL252</f>
        <v/>
      </c>
      <c r="F253" s="295" t="str">
        <f>IF(E253="","",IF(ISNA(VLOOKUP($E253,'A-1 On-Site Habitat Baseline'!$D$1:$AV$258,45,FALSE)),"",(VLOOKUP($E253,'A-1 On-Site Habitat Baseline'!$D$1:$AV$258,45,FALSE))))</f>
        <v/>
      </c>
      <c r="G253" s="295" t="str">
        <f>IF(E253="","",IF(ISNA(VLOOKUP($E253,'A-1 On-Site Habitat Baseline'!$D$1:$O$258,5,FALSE)),"",(VLOOKUP($E253,'A-1 On-Site Habitat Baseline'!$D$1:$O$258,5,FALSE))))</f>
        <v/>
      </c>
      <c r="H253" s="295" t="str">
        <f>IF(E253="","",IF(ISNA(VLOOKUP($E253,'A-1 On-Site Habitat Baseline'!$D$1:$O$258,6,FALSE)),"",(VLOOKUP($E253,'A-1 On-Site Habitat Baseline'!$D$1:$O$258,6,FALSE))))</f>
        <v/>
      </c>
      <c r="I253" s="295" t="str">
        <f>IF(E253="","",IF(ISNA(VLOOKUP($E253,'A-1 On-Site Habitat Baseline'!$D$1:$O$258,7,FALSE)),"",(VLOOKUP($E253,'A-1 On-Site Habitat Baseline'!$D$1:$O$258,7,FALSE))))</f>
        <v/>
      </c>
      <c r="J253" s="295" t="str">
        <f>IF(E253="","",IF(ISNA(VLOOKUP($E253,'A-1 On-Site Habitat Baseline'!$D$1:$O$258,8,FALSE)),"",(VLOOKUP($E253,'A-1 On-Site Habitat Baseline'!$D$1:$O$258,8,FALSE))))</f>
        <v/>
      </c>
      <c r="K253" s="295" t="str">
        <f>IF(E253="","",IF(ISNA(VLOOKUP($E253,'A-1 On-Site Habitat Baseline'!$D$1:$O$258,9,FALSE)),"",(VLOOKUP($E253,'A-1 On-Site Habitat Baseline'!$D$1:$O$258,9,FALSE))))</f>
        <v/>
      </c>
      <c r="L253" s="295" t="str">
        <f>IF(E253="","",IF(ISNA(VLOOKUP($E253,'A-1 On-Site Habitat Baseline'!$D$1:$O$258,11,FALSE)),"",(VLOOKUP($E253,'A-1 On-Site Habitat Baseline'!$D$1:$O$258,11,FALSE))))</f>
        <v/>
      </c>
      <c r="M253" s="295" t="str">
        <f>IF(E253="","",IF(ISNA(VLOOKUP($E253,'A-1 On-Site Habitat Baseline'!$D$1:$O$258,12,FALSE)),"",(VLOOKUP($E253,'A-1 On-Site Habitat Baseline'!$D$1:$O$258,12,FALSE))))</f>
        <v/>
      </c>
      <c r="N253" s="306" t="str">
        <f>IF(E253="","",IF(ISNA(VLOOKUP($E253,'A-1 On-Site Habitat Baseline'!$D$1:$X$258,14,FALSE)),"",(VLOOKUP($E253,'A-1 On-Site Habitat Baseline'!$D$1:$X$258,14,FALSE))))</f>
        <v/>
      </c>
      <c r="O253" s="299" t="str">
        <f>IF(E253="","",IF(ISNA(VLOOKUP($E253,'A-1 On-Site Habitat Baseline'!$D$1:$X$258,16,FALSE)),"",(VLOOKUP($E253,'A-1 On-Site Habitat Baseline'!$D$1:$X$258,13,FALSE))))</f>
        <v/>
      </c>
      <c r="P253" s="154" t="str">
        <f>IFERROR(INDEX('G-1 All Habitats'!$AG$49:$AG$63,MATCH(Q253,'G-1 All Habitats'!$AF$27:$AF$41,0)),"")</f>
        <v/>
      </c>
      <c r="Q253" s="155" t="str">
        <f t="shared" si="35"/>
        <v/>
      </c>
      <c r="R253" s="155"/>
      <c r="S253" s="237" t="str">
        <f>IFERROR(INDEX('G-1 All Habitats'!$B$3:$B$135,MATCH(R253,'G-1 All Habitats'!$A$3:$A$135,0)),"")</f>
        <v/>
      </c>
      <c r="T253" s="275" t="str">
        <f t="shared" si="36"/>
        <v/>
      </c>
      <c r="U253" s="276" t="str">
        <f t="shared" si="37"/>
        <v/>
      </c>
      <c r="V253" s="311" t="str">
        <f t="shared" si="33"/>
        <v/>
      </c>
      <c r="W253" s="295" t="str">
        <f>IF(S253="","",VLOOKUP(S253,'G-1 All Habitats'!$B$2:$M$135,10,FALSE))</f>
        <v/>
      </c>
      <c r="X253" s="295" t="str">
        <f>IFERROR(VLOOKUP(W253,'G-1 All Habitats'!$V$3:$W$7,2,FALSE),"")</f>
        <v/>
      </c>
      <c r="Y253" s="57"/>
      <c r="Z253" s="299" t="str">
        <f>IFERROR(INDEX('G-8 Condition Look up'!$A$3:$H$135,MATCH(S253,'G-8 Condition Look up'!$A$3:$A$135,0),MATCH(Y253,'G-8 Condition Look up'!$A$3:$H$3,0)),"")</f>
        <v/>
      </c>
      <c r="AA253" s="52"/>
      <c r="AB253" s="295" t="str">
        <f>IF(AA253="","",IF(VLOOKUP(AA253,'G-3 Multipliers'!$L$3:$N$6,2,FALSE)=0,"Spatial Data Missing ⚠",VLOOKUP(AA253,'G-3 Multipliers'!$L$3:$N$6,2,FALSE)))</f>
        <v/>
      </c>
      <c r="AC253" s="299" t="str">
        <f>IF(AA253="","",IF(VLOOKUP(AA253,'G-3 Multipliers'!$L$3:$N$6,3,FALSE)=0,"Spatial Data Missing ⚠",VLOOKUP(AA253,'G-3 Multipliers'!$L$3:$N$6,3,FALSE)))</f>
        <v/>
      </c>
      <c r="AD253" s="313" t="str">
        <f t="shared" si="34"/>
        <v/>
      </c>
      <c r="AE253" s="58"/>
      <c r="AF253" s="58"/>
      <c r="AG253" s="283" t="str">
        <f t="shared" si="38"/>
        <v/>
      </c>
      <c r="AH253" s="296" t="str">
        <f t="shared" si="39"/>
        <v/>
      </c>
      <c r="AI253" s="297" t="str">
        <f>IF(AH253="Check Data ⚠","Check Data ⚠",IFERROR(VLOOKUP(AH253,'G-4 Temporal multipliers'!$A$4:$C$36,3,FALSE),""))</f>
        <v/>
      </c>
      <c r="AJ253" s="275" t="str">
        <f>IF(S253="","",VLOOKUP(S253,'G-3 Multipliers'!$A$2:$E$134,4,FALSE))</f>
        <v/>
      </c>
      <c r="AK253" s="283" t="str">
        <f t="shared" si="40"/>
        <v/>
      </c>
      <c r="AL253" s="283" t="str">
        <f t="shared" si="41"/>
        <v/>
      </c>
      <c r="AM253" s="314" t="str">
        <f>IFERROR(IF(F253="","",IF(AH253="Check Data ⚠","Check Data ⚠",VLOOKUP(AL253,'G-3 Multipliers'!$P$2:$Q$6,2,FALSE))),"")</f>
        <v/>
      </c>
      <c r="AN253" s="289" t="str">
        <f t="shared" si="42"/>
        <v/>
      </c>
      <c r="AO253" s="52"/>
      <c r="AP253" s="51"/>
      <c r="AQ253" s="104"/>
      <c r="AT253" s="35" t="str">
        <f t="shared" si="43"/>
        <v>No</v>
      </c>
      <c r="AU253" s="35" t="str">
        <f>IF(E253="","",IF(ISNA(VLOOKUP($E253,'A-1 On-Site Habitat Baseline'!$D$1:$AV$258,4,FALSE)),"",(VLOOKUP($E253,'A-1 On-Site Habitat Baseline'!$D$1:$AV$258,4,FALSE))))</f>
        <v/>
      </c>
    </row>
    <row r="254" spans="1:47" ht="14">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05" t="str">
        <f>'A-1 On-Site Habitat Baseline'!AL253</f>
        <v/>
      </c>
      <c r="F254" s="295" t="str">
        <f>IF(E254="","",IF(ISNA(VLOOKUP($E254,'A-1 On-Site Habitat Baseline'!$D$1:$AV$258,45,FALSE)),"",(VLOOKUP($E254,'A-1 On-Site Habitat Baseline'!$D$1:$AV$258,45,FALSE))))</f>
        <v/>
      </c>
      <c r="G254" s="295" t="str">
        <f>IF(E254="","",IF(ISNA(VLOOKUP($E254,'A-1 On-Site Habitat Baseline'!$D$1:$O$258,5,FALSE)),"",(VLOOKUP($E254,'A-1 On-Site Habitat Baseline'!$D$1:$O$258,5,FALSE))))</f>
        <v/>
      </c>
      <c r="H254" s="295" t="str">
        <f>IF(E254="","",IF(ISNA(VLOOKUP($E254,'A-1 On-Site Habitat Baseline'!$D$1:$O$258,6,FALSE)),"",(VLOOKUP($E254,'A-1 On-Site Habitat Baseline'!$D$1:$O$258,6,FALSE))))</f>
        <v/>
      </c>
      <c r="I254" s="295" t="str">
        <f>IF(E254="","",IF(ISNA(VLOOKUP($E254,'A-1 On-Site Habitat Baseline'!$D$1:$O$258,7,FALSE)),"",(VLOOKUP($E254,'A-1 On-Site Habitat Baseline'!$D$1:$O$258,7,FALSE))))</f>
        <v/>
      </c>
      <c r="J254" s="295" t="str">
        <f>IF(E254="","",IF(ISNA(VLOOKUP($E254,'A-1 On-Site Habitat Baseline'!$D$1:$O$258,8,FALSE)),"",(VLOOKUP($E254,'A-1 On-Site Habitat Baseline'!$D$1:$O$258,8,FALSE))))</f>
        <v/>
      </c>
      <c r="K254" s="295" t="str">
        <f>IF(E254="","",IF(ISNA(VLOOKUP($E254,'A-1 On-Site Habitat Baseline'!$D$1:$O$258,9,FALSE)),"",(VLOOKUP($E254,'A-1 On-Site Habitat Baseline'!$D$1:$O$258,9,FALSE))))</f>
        <v/>
      </c>
      <c r="L254" s="295" t="str">
        <f>IF(E254="","",IF(ISNA(VLOOKUP($E254,'A-1 On-Site Habitat Baseline'!$D$1:$O$258,11,FALSE)),"",(VLOOKUP($E254,'A-1 On-Site Habitat Baseline'!$D$1:$O$258,11,FALSE))))</f>
        <v/>
      </c>
      <c r="M254" s="295" t="str">
        <f>IF(E254="","",IF(ISNA(VLOOKUP($E254,'A-1 On-Site Habitat Baseline'!$D$1:$O$258,12,FALSE)),"",(VLOOKUP($E254,'A-1 On-Site Habitat Baseline'!$D$1:$O$258,12,FALSE))))</f>
        <v/>
      </c>
      <c r="N254" s="306" t="str">
        <f>IF(E254="","",IF(ISNA(VLOOKUP($E254,'A-1 On-Site Habitat Baseline'!$D$1:$X$258,14,FALSE)),"",(VLOOKUP($E254,'A-1 On-Site Habitat Baseline'!$D$1:$X$258,14,FALSE))))</f>
        <v/>
      </c>
      <c r="O254" s="299" t="str">
        <f>IF(E254="","",IF(ISNA(VLOOKUP($E254,'A-1 On-Site Habitat Baseline'!$D$1:$X$258,16,FALSE)),"",(VLOOKUP($E254,'A-1 On-Site Habitat Baseline'!$D$1:$X$258,13,FALSE))))</f>
        <v/>
      </c>
      <c r="P254" s="154" t="str">
        <f>IFERROR(INDEX('G-1 All Habitats'!$AG$49:$AG$63,MATCH(Q254,'G-1 All Habitats'!$AF$27:$AF$41,0)),"")</f>
        <v/>
      </c>
      <c r="Q254" s="155" t="str">
        <f t="shared" si="35"/>
        <v/>
      </c>
      <c r="R254" s="155"/>
      <c r="S254" s="237" t="str">
        <f>IFERROR(INDEX('G-1 All Habitats'!$B$3:$B$135,MATCH(R254,'G-1 All Habitats'!$A$3:$A$135,0)),"")</f>
        <v/>
      </c>
      <c r="T254" s="275" t="str">
        <f t="shared" si="36"/>
        <v/>
      </c>
      <c r="U254" s="276" t="str">
        <f t="shared" si="37"/>
        <v/>
      </c>
      <c r="V254" s="311" t="str">
        <f t="shared" si="33"/>
        <v/>
      </c>
      <c r="W254" s="295" t="str">
        <f>IF(S254="","",VLOOKUP(S254,'G-1 All Habitats'!$B$2:$M$135,10,FALSE))</f>
        <v/>
      </c>
      <c r="X254" s="295" t="str">
        <f>IFERROR(VLOOKUP(W254,'G-1 All Habitats'!$V$3:$W$7,2,FALSE),"")</f>
        <v/>
      </c>
      <c r="Y254" s="57"/>
      <c r="Z254" s="299" t="str">
        <f>IFERROR(INDEX('G-8 Condition Look up'!$A$3:$H$135,MATCH(S254,'G-8 Condition Look up'!$A$3:$A$135,0),MATCH(Y254,'G-8 Condition Look up'!$A$3:$H$3,0)),"")</f>
        <v/>
      </c>
      <c r="AA254" s="52"/>
      <c r="AB254" s="295" t="str">
        <f>IF(AA254="","",IF(VLOOKUP(AA254,'G-3 Multipliers'!$L$3:$N$6,2,FALSE)=0,"Spatial Data Missing ⚠",VLOOKUP(AA254,'G-3 Multipliers'!$L$3:$N$6,2,FALSE)))</f>
        <v/>
      </c>
      <c r="AC254" s="299" t="str">
        <f>IF(AA254="","",IF(VLOOKUP(AA254,'G-3 Multipliers'!$L$3:$N$6,3,FALSE)=0,"Spatial Data Missing ⚠",VLOOKUP(AA254,'G-3 Multipliers'!$L$3:$N$6,3,FALSE)))</f>
        <v/>
      </c>
      <c r="AD254" s="313" t="str">
        <f t="shared" si="34"/>
        <v/>
      </c>
      <c r="AE254" s="58"/>
      <c r="AF254" s="58"/>
      <c r="AG254" s="283" t="str">
        <f t="shared" si="38"/>
        <v/>
      </c>
      <c r="AH254" s="296" t="str">
        <f t="shared" si="39"/>
        <v/>
      </c>
      <c r="AI254" s="297" t="str">
        <f>IF(AH254="Check Data ⚠","Check Data ⚠",IFERROR(VLOOKUP(AH254,'G-4 Temporal multipliers'!$A$4:$C$36,3,FALSE),""))</f>
        <v/>
      </c>
      <c r="AJ254" s="275" t="str">
        <f>IF(S254="","",VLOOKUP(S254,'G-3 Multipliers'!$A$2:$E$134,4,FALSE))</f>
        <v/>
      </c>
      <c r="AK254" s="283" t="str">
        <f t="shared" si="40"/>
        <v/>
      </c>
      <c r="AL254" s="283" t="str">
        <f t="shared" si="41"/>
        <v/>
      </c>
      <c r="AM254" s="314" t="str">
        <f>IFERROR(IF(F254="","",IF(AH254="Check Data ⚠","Check Data ⚠",VLOOKUP(AL254,'G-3 Multipliers'!$P$2:$Q$6,2,FALSE))),"")</f>
        <v/>
      </c>
      <c r="AN254" s="289" t="str">
        <f t="shared" si="42"/>
        <v/>
      </c>
      <c r="AO254" s="52"/>
      <c r="AP254" s="51"/>
      <c r="AQ254" s="104"/>
      <c r="AT254" s="35" t="str">
        <f t="shared" si="43"/>
        <v>No</v>
      </c>
      <c r="AU254" s="35" t="str">
        <f>IF(E254="","",IF(ISNA(VLOOKUP($E254,'A-1 On-Site Habitat Baseline'!$D$1:$AV$258,4,FALSE)),"",(VLOOKUP($E254,'A-1 On-Site Habitat Baseline'!$D$1:$AV$258,4,FALSE))))</f>
        <v/>
      </c>
    </row>
    <row r="255" spans="1:47" ht="14">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05" t="str">
        <f>'A-1 On-Site Habitat Baseline'!AL254</f>
        <v/>
      </c>
      <c r="F255" s="295" t="str">
        <f>IF(E255="","",IF(ISNA(VLOOKUP($E255,'A-1 On-Site Habitat Baseline'!$D$1:$AV$258,45,FALSE)),"",(VLOOKUP($E255,'A-1 On-Site Habitat Baseline'!$D$1:$AV$258,45,FALSE))))</f>
        <v/>
      </c>
      <c r="G255" s="295" t="str">
        <f>IF(E255="","",IF(ISNA(VLOOKUP($E255,'A-1 On-Site Habitat Baseline'!$D$1:$O$258,5,FALSE)),"",(VLOOKUP($E255,'A-1 On-Site Habitat Baseline'!$D$1:$O$258,5,FALSE))))</f>
        <v/>
      </c>
      <c r="H255" s="295" t="str">
        <f>IF(E255="","",IF(ISNA(VLOOKUP($E255,'A-1 On-Site Habitat Baseline'!$D$1:$O$258,6,FALSE)),"",(VLOOKUP($E255,'A-1 On-Site Habitat Baseline'!$D$1:$O$258,6,FALSE))))</f>
        <v/>
      </c>
      <c r="I255" s="295" t="str">
        <f>IF(E255="","",IF(ISNA(VLOOKUP($E255,'A-1 On-Site Habitat Baseline'!$D$1:$O$258,7,FALSE)),"",(VLOOKUP($E255,'A-1 On-Site Habitat Baseline'!$D$1:$O$258,7,FALSE))))</f>
        <v/>
      </c>
      <c r="J255" s="295" t="str">
        <f>IF(E255="","",IF(ISNA(VLOOKUP($E255,'A-1 On-Site Habitat Baseline'!$D$1:$O$258,8,FALSE)),"",(VLOOKUP($E255,'A-1 On-Site Habitat Baseline'!$D$1:$O$258,8,FALSE))))</f>
        <v/>
      </c>
      <c r="K255" s="295" t="str">
        <f>IF(E255="","",IF(ISNA(VLOOKUP($E255,'A-1 On-Site Habitat Baseline'!$D$1:$O$258,9,FALSE)),"",(VLOOKUP($E255,'A-1 On-Site Habitat Baseline'!$D$1:$O$258,9,FALSE))))</f>
        <v/>
      </c>
      <c r="L255" s="295" t="str">
        <f>IF(E255="","",IF(ISNA(VLOOKUP($E255,'A-1 On-Site Habitat Baseline'!$D$1:$O$258,11,FALSE)),"",(VLOOKUP($E255,'A-1 On-Site Habitat Baseline'!$D$1:$O$258,11,FALSE))))</f>
        <v/>
      </c>
      <c r="M255" s="295" t="str">
        <f>IF(E255="","",IF(ISNA(VLOOKUP($E255,'A-1 On-Site Habitat Baseline'!$D$1:$O$258,12,FALSE)),"",(VLOOKUP($E255,'A-1 On-Site Habitat Baseline'!$D$1:$O$258,12,FALSE))))</f>
        <v/>
      </c>
      <c r="N255" s="306" t="str">
        <f>IF(E255="","",IF(ISNA(VLOOKUP($E255,'A-1 On-Site Habitat Baseline'!$D$1:$X$258,14,FALSE)),"",(VLOOKUP($E255,'A-1 On-Site Habitat Baseline'!$D$1:$X$258,14,FALSE))))</f>
        <v/>
      </c>
      <c r="O255" s="299" t="str">
        <f>IF(E255="","",IF(ISNA(VLOOKUP($E255,'A-1 On-Site Habitat Baseline'!$D$1:$X$258,16,FALSE)),"",(VLOOKUP($E255,'A-1 On-Site Habitat Baseline'!$D$1:$X$258,13,FALSE))))</f>
        <v/>
      </c>
      <c r="P255" s="154" t="str">
        <f>IFERROR(INDEX('G-1 All Habitats'!$AG$49:$AG$63,MATCH(Q255,'G-1 All Habitats'!$AF$27:$AF$41,0)),"")</f>
        <v/>
      </c>
      <c r="Q255" s="155" t="str">
        <f t="shared" si="35"/>
        <v/>
      </c>
      <c r="R255" s="155"/>
      <c r="S255" s="237" t="str">
        <f>IFERROR(INDEX('G-1 All Habitats'!$B$3:$B$135,MATCH(R255,'G-1 All Habitats'!$A$3:$A$135,0)),"")</f>
        <v/>
      </c>
      <c r="T255" s="275" t="str">
        <f t="shared" si="36"/>
        <v/>
      </c>
      <c r="U255" s="276" t="str">
        <f t="shared" si="37"/>
        <v/>
      </c>
      <c r="V255" s="311" t="str">
        <f t="shared" si="33"/>
        <v/>
      </c>
      <c r="W255" s="295" t="str">
        <f>IF(S255="","",VLOOKUP(S255,'G-1 All Habitats'!$B$2:$M$135,10,FALSE))</f>
        <v/>
      </c>
      <c r="X255" s="295" t="str">
        <f>IFERROR(VLOOKUP(W255,'G-1 All Habitats'!$V$3:$W$7,2,FALSE),"")</f>
        <v/>
      </c>
      <c r="Y255" s="57"/>
      <c r="Z255" s="299" t="str">
        <f>IFERROR(INDEX('G-8 Condition Look up'!$A$3:$H$135,MATCH(S255,'G-8 Condition Look up'!$A$3:$A$135,0),MATCH(Y255,'G-8 Condition Look up'!$A$3:$H$3,0)),"")</f>
        <v/>
      </c>
      <c r="AA255" s="52"/>
      <c r="AB255" s="295" t="str">
        <f>IF(AA255="","",IF(VLOOKUP(AA255,'G-3 Multipliers'!$L$3:$N$6,2,FALSE)=0,"Spatial Data Missing ⚠",VLOOKUP(AA255,'G-3 Multipliers'!$L$3:$N$6,2,FALSE)))</f>
        <v/>
      </c>
      <c r="AC255" s="299" t="str">
        <f>IF(AA255="","",IF(VLOOKUP(AA255,'G-3 Multipliers'!$L$3:$N$6,3,FALSE)=0,"Spatial Data Missing ⚠",VLOOKUP(AA255,'G-3 Multipliers'!$L$3:$N$6,3,FALSE)))</f>
        <v/>
      </c>
      <c r="AD255" s="313" t="str">
        <f t="shared" si="34"/>
        <v/>
      </c>
      <c r="AE255" s="58"/>
      <c r="AF255" s="58"/>
      <c r="AG255" s="283" t="str">
        <f t="shared" si="38"/>
        <v/>
      </c>
      <c r="AH255" s="296" t="str">
        <f t="shared" si="39"/>
        <v/>
      </c>
      <c r="AI255" s="297" t="str">
        <f>IF(AH255="Check Data ⚠","Check Data ⚠",IFERROR(VLOOKUP(AH255,'G-4 Temporal multipliers'!$A$4:$C$36,3,FALSE),""))</f>
        <v/>
      </c>
      <c r="AJ255" s="275" t="str">
        <f>IF(S255="","",VLOOKUP(S255,'G-3 Multipliers'!$A$2:$E$134,4,FALSE))</f>
        <v/>
      </c>
      <c r="AK255" s="283" t="str">
        <f t="shared" si="40"/>
        <v/>
      </c>
      <c r="AL255" s="283" t="str">
        <f t="shared" si="41"/>
        <v/>
      </c>
      <c r="AM255" s="314" t="str">
        <f>IFERROR(IF(F255="","",IF(AH255="Check Data ⚠","Check Data ⚠",VLOOKUP(AL255,'G-3 Multipliers'!$P$2:$Q$6,2,FALSE))),"")</f>
        <v/>
      </c>
      <c r="AN255" s="289" t="str">
        <f t="shared" si="42"/>
        <v/>
      </c>
      <c r="AO255" s="52"/>
      <c r="AP255" s="51"/>
      <c r="AQ255" s="104"/>
      <c r="AT255" s="35" t="str">
        <f t="shared" si="43"/>
        <v>No</v>
      </c>
      <c r="AU255" s="35" t="str">
        <f>IF(E255="","",IF(ISNA(VLOOKUP($E255,'A-1 On-Site Habitat Baseline'!$D$1:$AV$258,4,FALSE)),"",(VLOOKUP($E255,'A-1 On-Site Habitat Baseline'!$D$1:$AV$258,4,FALSE))))</f>
        <v/>
      </c>
    </row>
    <row r="256" spans="1:47" ht="14">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05" t="str">
        <f>'A-1 On-Site Habitat Baseline'!AL255</f>
        <v/>
      </c>
      <c r="F256" s="295" t="str">
        <f>IF(E256="","",IF(ISNA(VLOOKUP($E256,'A-1 On-Site Habitat Baseline'!$D$1:$AV$258,45,FALSE)),"",(VLOOKUP($E256,'A-1 On-Site Habitat Baseline'!$D$1:$AV$258,45,FALSE))))</f>
        <v/>
      </c>
      <c r="G256" s="295" t="str">
        <f>IF(E256="","",IF(ISNA(VLOOKUP($E256,'A-1 On-Site Habitat Baseline'!$D$1:$O$258,5,FALSE)),"",(VLOOKUP($E256,'A-1 On-Site Habitat Baseline'!$D$1:$O$258,5,FALSE))))</f>
        <v/>
      </c>
      <c r="H256" s="295" t="str">
        <f>IF(E256="","",IF(ISNA(VLOOKUP($E256,'A-1 On-Site Habitat Baseline'!$D$1:$O$258,6,FALSE)),"",(VLOOKUP($E256,'A-1 On-Site Habitat Baseline'!$D$1:$O$258,6,FALSE))))</f>
        <v/>
      </c>
      <c r="I256" s="295" t="str">
        <f>IF(E256="","",IF(ISNA(VLOOKUP($E256,'A-1 On-Site Habitat Baseline'!$D$1:$O$258,7,FALSE)),"",(VLOOKUP($E256,'A-1 On-Site Habitat Baseline'!$D$1:$O$258,7,FALSE))))</f>
        <v/>
      </c>
      <c r="J256" s="295" t="str">
        <f>IF(E256="","",IF(ISNA(VLOOKUP($E256,'A-1 On-Site Habitat Baseline'!$D$1:$O$258,8,FALSE)),"",(VLOOKUP($E256,'A-1 On-Site Habitat Baseline'!$D$1:$O$258,8,FALSE))))</f>
        <v/>
      </c>
      <c r="K256" s="295" t="str">
        <f>IF(E256="","",IF(ISNA(VLOOKUP($E256,'A-1 On-Site Habitat Baseline'!$D$1:$O$258,9,FALSE)),"",(VLOOKUP($E256,'A-1 On-Site Habitat Baseline'!$D$1:$O$258,9,FALSE))))</f>
        <v/>
      </c>
      <c r="L256" s="295" t="str">
        <f>IF(E256="","",IF(ISNA(VLOOKUP($E256,'A-1 On-Site Habitat Baseline'!$D$1:$O$258,11,FALSE)),"",(VLOOKUP($E256,'A-1 On-Site Habitat Baseline'!$D$1:$O$258,11,FALSE))))</f>
        <v/>
      </c>
      <c r="M256" s="295" t="str">
        <f>IF(E256="","",IF(ISNA(VLOOKUP($E256,'A-1 On-Site Habitat Baseline'!$D$1:$O$258,12,FALSE)),"",(VLOOKUP($E256,'A-1 On-Site Habitat Baseline'!$D$1:$O$258,12,FALSE))))</f>
        <v/>
      </c>
      <c r="N256" s="306" t="str">
        <f>IF(E256="","",IF(ISNA(VLOOKUP($E256,'A-1 On-Site Habitat Baseline'!$D$1:$X$258,14,FALSE)),"",(VLOOKUP($E256,'A-1 On-Site Habitat Baseline'!$D$1:$X$258,14,FALSE))))</f>
        <v/>
      </c>
      <c r="O256" s="299" t="str">
        <f>IF(E256="","",IF(ISNA(VLOOKUP($E256,'A-1 On-Site Habitat Baseline'!$D$1:$X$258,16,FALSE)),"",(VLOOKUP($E256,'A-1 On-Site Habitat Baseline'!$D$1:$X$258,13,FALSE))))</f>
        <v/>
      </c>
      <c r="P256" s="154" t="str">
        <f>IFERROR(INDEX('G-1 All Habitats'!$AG$49:$AG$63,MATCH(Q256,'G-1 All Habitats'!$AF$27:$AF$41,0)),"")</f>
        <v/>
      </c>
      <c r="Q256" s="155" t="str">
        <f t="shared" si="35"/>
        <v/>
      </c>
      <c r="R256" s="155"/>
      <c r="S256" s="237" t="str">
        <f>IFERROR(INDEX('G-1 All Habitats'!$B$3:$B$135,MATCH(R256,'G-1 All Habitats'!$A$3:$A$135,0)),"")</f>
        <v/>
      </c>
      <c r="T256" s="275" t="str">
        <f t="shared" si="36"/>
        <v/>
      </c>
      <c r="U256" s="276" t="str">
        <f t="shared" si="37"/>
        <v/>
      </c>
      <c r="V256" s="311" t="str">
        <f t="shared" si="33"/>
        <v/>
      </c>
      <c r="W256" s="295" t="str">
        <f>IF(S256="","",VLOOKUP(S256,'G-1 All Habitats'!$B$2:$M$135,10,FALSE))</f>
        <v/>
      </c>
      <c r="X256" s="295" t="str">
        <f>IFERROR(VLOOKUP(W256,'G-1 All Habitats'!$V$3:$W$7,2,FALSE),"")</f>
        <v/>
      </c>
      <c r="Y256" s="57"/>
      <c r="Z256" s="299" t="str">
        <f>IFERROR(INDEX('G-8 Condition Look up'!$A$3:$H$135,MATCH(S256,'G-8 Condition Look up'!$A$3:$A$135,0),MATCH(Y256,'G-8 Condition Look up'!$A$3:$H$3,0)),"")</f>
        <v/>
      </c>
      <c r="AA256" s="52"/>
      <c r="AB256" s="295" t="str">
        <f>IF(AA256="","",IF(VLOOKUP(AA256,'G-3 Multipliers'!$L$3:$N$6,2,FALSE)=0,"Spatial Data Missing ⚠",VLOOKUP(AA256,'G-3 Multipliers'!$L$3:$N$6,2,FALSE)))</f>
        <v/>
      </c>
      <c r="AC256" s="299" t="str">
        <f>IF(AA256="","",IF(VLOOKUP(AA256,'G-3 Multipliers'!$L$3:$N$6,3,FALSE)=0,"Spatial Data Missing ⚠",VLOOKUP(AA256,'G-3 Multipliers'!$L$3:$N$6,3,FALSE)))</f>
        <v/>
      </c>
      <c r="AD256" s="313" t="str">
        <f t="shared" si="34"/>
        <v/>
      </c>
      <c r="AE256" s="58"/>
      <c r="AF256" s="58"/>
      <c r="AG256" s="283" t="str">
        <f t="shared" si="38"/>
        <v/>
      </c>
      <c r="AH256" s="296" t="str">
        <f t="shared" si="39"/>
        <v/>
      </c>
      <c r="AI256" s="297" t="str">
        <f>IF(AH256="Check Data ⚠","Check Data ⚠",IFERROR(VLOOKUP(AH256,'G-4 Temporal multipliers'!$A$4:$C$36,3,FALSE),""))</f>
        <v/>
      </c>
      <c r="AJ256" s="275" t="str">
        <f>IF(S256="","",VLOOKUP(S256,'G-3 Multipliers'!$A$2:$E$134,4,FALSE))</f>
        <v/>
      </c>
      <c r="AK256" s="283" t="str">
        <f t="shared" si="40"/>
        <v/>
      </c>
      <c r="AL256" s="283" t="str">
        <f t="shared" si="41"/>
        <v/>
      </c>
      <c r="AM256" s="314" t="str">
        <f>IFERROR(IF(F256="","",IF(AH256="Check Data ⚠","Check Data ⚠",VLOOKUP(AL256,'G-3 Multipliers'!$P$2:$Q$6,2,FALSE))),"")</f>
        <v/>
      </c>
      <c r="AN256" s="289" t="str">
        <f t="shared" si="42"/>
        <v/>
      </c>
      <c r="AO256" s="52"/>
      <c r="AP256" s="51"/>
      <c r="AQ256" s="104"/>
      <c r="AT256" s="35" t="str">
        <f t="shared" si="43"/>
        <v>No</v>
      </c>
      <c r="AU256" s="35" t="str">
        <f>IF(E256="","",IF(ISNA(VLOOKUP($E256,'A-1 On-Site Habitat Baseline'!$D$1:$AV$258,4,FALSE)),"",(VLOOKUP($E256,'A-1 On-Site Habitat Baseline'!$D$1:$AV$258,4,FALSE))))</f>
        <v/>
      </c>
    </row>
    <row r="257" spans="1:47" ht="14.5" thickBot="1">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07" t="str">
        <f>'A-1 On-Site Habitat Baseline'!AL256</f>
        <v/>
      </c>
      <c r="F257" s="295" t="str">
        <f>IF(E257="","",IF(ISNA(VLOOKUP($E257,'A-1 On-Site Habitat Baseline'!$D$1:$AV$258,45,FALSE)),"",(VLOOKUP($E257,'A-1 On-Site Habitat Baseline'!$D$1:$AV$258,45,FALSE))))</f>
        <v/>
      </c>
      <c r="G257" s="308" t="str">
        <f>IF(E257="","",IF(ISNA(VLOOKUP($E257,'A-1 On-Site Habitat Baseline'!$D$1:$O$258,5,FALSE)),"",(VLOOKUP($E257,'A-1 On-Site Habitat Baseline'!$D$1:$O$258,5,FALSE))))</f>
        <v/>
      </c>
      <c r="H257" s="308" t="str">
        <f>IF(E257="","",IF(ISNA(VLOOKUP($E257,'A-1 On-Site Habitat Baseline'!$D$1:$O$258,6,FALSE)),"",(VLOOKUP($E257,'A-1 On-Site Habitat Baseline'!$D$1:$O$258,6,FALSE))))</f>
        <v/>
      </c>
      <c r="I257" s="308" t="str">
        <f>IF(E257="","",IF(ISNA(VLOOKUP($E257,'A-1 On-Site Habitat Baseline'!$D$1:$O$258,7,FALSE)),"",(VLOOKUP($E257,'A-1 On-Site Habitat Baseline'!$D$1:$O$258,7,FALSE))))</f>
        <v/>
      </c>
      <c r="J257" s="308" t="str">
        <f>IF(E257="","",IF(ISNA(VLOOKUP($E257,'A-1 On-Site Habitat Baseline'!$D$1:$O$258,8,FALSE)),"",(VLOOKUP($E257,'A-1 On-Site Habitat Baseline'!$D$1:$O$258,8,FALSE))))</f>
        <v/>
      </c>
      <c r="K257" s="308" t="str">
        <f>IF(E257="","",IF(ISNA(VLOOKUP($E257,'A-1 On-Site Habitat Baseline'!$D$1:$O$258,9,FALSE)),"",(VLOOKUP($E257,'A-1 On-Site Habitat Baseline'!$D$1:$O$258,9,FALSE))))</f>
        <v/>
      </c>
      <c r="L257" s="308" t="str">
        <f>IF(E257="","",IF(ISNA(VLOOKUP($E257,'A-1 On-Site Habitat Baseline'!$D$1:$O$258,11,FALSE)),"",(VLOOKUP($E257,'A-1 On-Site Habitat Baseline'!$D$1:$O$258,11,FALSE))))</f>
        <v/>
      </c>
      <c r="M257" s="308" t="str">
        <f>IF(E257="","",IF(ISNA(VLOOKUP($E257,'A-1 On-Site Habitat Baseline'!$D$1:$O$258,12,FALSE)),"",(VLOOKUP($E257,'A-1 On-Site Habitat Baseline'!$D$1:$O$258,12,FALSE))))</f>
        <v/>
      </c>
      <c r="N257" s="309" t="str">
        <f>IF(E257="","",IF(ISNA(VLOOKUP($E257,'A-1 On-Site Habitat Baseline'!$D$1:$X$258,14,FALSE)),"",(VLOOKUP($E257,'A-1 On-Site Habitat Baseline'!$D$1:$X$258,14,FALSE))))</f>
        <v/>
      </c>
      <c r="O257" s="299" t="str">
        <f>IF(E257="","",IF(ISNA(VLOOKUP($E257,'A-1 On-Site Habitat Baseline'!$D$1:$X$258,16,FALSE)),"",(VLOOKUP($E257,'A-1 On-Site Habitat Baseline'!$D$1:$X$258,13,FALSE))))</f>
        <v/>
      </c>
      <c r="P257" s="154" t="str">
        <f>IFERROR(INDEX('G-1 All Habitats'!$AG$49:$AG$63,MATCH(Q257,'G-1 All Habitats'!$AF$27:$AF$41,0)),"")</f>
        <v/>
      </c>
      <c r="Q257" s="155" t="str">
        <f t="shared" si="35"/>
        <v/>
      </c>
      <c r="R257" s="155"/>
      <c r="S257" s="237" t="str">
        <f>IFERROR(INDEX('G-1 All Habitats'!$B$3:$B$135,MATCH(R257,'G-1 All Habitats'!$A$3:$A$135,0)),"")</f>
        <v/>
      </c>
      <c r="T257" s="275" t="str">
        <f t="shared" si="36"/>
        <v/>
      </c>
      <c r="U257" s="276" t="str">
        <f t="shared" si="37"/>
        <v/>
      </c>
      <c r="V257" s="312" t="str">
        <f t="shared" si="33"/>
        <v/>
      </c>
      <c r="W257" s="295" t="str">
        <f>IF(S257="","",VLOOKUP(S257,'G-1 All Habitats'!$B$2:$M$135,10,FALSE))</f>
        <v/>
      </c>
      <c r="X257" s="308" t="str">
        <f>IFERROR(VLOOKUP(W257,'G-1 All Habitats'!$V$3:$W$7,2,FALSE),"")</f>
        <v/>
      </c>
      <c r="Y257" s="211"/>
      <c r="Z257" s="299" t="str">
        <f>IFERROR(INDEX('G-8 Condition Look up'!$A$3:$H$135,MATCH(S257,'G-8 Condition Look up'!$A$3:$A$135,0),MATCH(Y257,'G-8 Condition Look up'!$A$3:$H$3,0)),"")</f>
        <v/>
      </c>
      <c r="AA257" s="249"/>
      <c r="AB257" s="295" t="str">
        <f>IF(AA257="","",IF(VLOOKUP(AA257,'G-3 Multipliers'!$L$3:$N$6,2,FALSE)=0,"Spatial Data Missing ⚠",VLOOKUP(AA257,'G-3 Multipliers'!$L$3:$N$6,2,FALSE)))</f>
        <v/>
      </c>
      <c r="AC257" s="310" t="str">
        <f>IF(AA257="","",IF(VLOOKUP(AA257,'G-3 Multipliers'!$L$3:$N$6,3,FALSE)=0,"Spatial Data Missing ⚠",VLOOKUP(AA257,'G-3 Multipliers'!$L$3:$N$6,3,FALSE)))</f>
        <v/>
      </c>
      <c r="AD257" s="313" t="str">
        <f t="shared" si="34"/>
        <v/>
      </c>
      <c r="AE257" s="211"/>
      <c r="AF257" s="211"/>
      <c r="AG257" s="283" t="str">
        <f t="shared" si="38"/>
        <v/>
      </c>
      <c r="AH257" s="296" t="str">
        <f t="shared" si="39"/>
        <v/>
      </c>
      <c r="AI257" s="297" t="str">
        <f>IF(AH257="Check Data ⚠","Check Data ⚠",IFERROR(VLOOKUP(AH257,'G-4 Temporal multipliers'!$A$4:$C$36,3,FALSE),""))</f>
        <v/>
      </c>
      <c r="AJ257" s="275" t="str">
        <f>IF(S257="","",VLOOKUP(S257,'G-3 Multipliers'!$A$2:$E$134,4,FALSE))</f>
        <v/>
      </c>
      <c r="AK257" s="283" t="str">
        <f t="shared" si="40"/>
        <v/>
      </c>
      <c r="AL257" s="283" t="str">
        <f t="shared" si="41"/>
        <v/>
      </c>
      <c r="AM257" s="314" t="str">
        <f>IFERROR(IF(F257="","",IF(AH257="Check Data ⚠","Check Data ⚠",VLOOKUP(AL257,'G-3 Multipliers'!$P$2:$Q$6,2,FALSE))),"")</f>
        <v/>
      </c>
      <c r="AN257" s="289" t="str">
        <f t="shared" si="42"/>
        <v/>
      </c>
      <c r="AO257" s="249"/>
      <c r="AP257" s="930"/>
      <c r="AQ257" s="929"/>
      <c r="AT257" s="35" t="str">
        <f t="shared" si="43"/>
        <v>No</v>
      </c>
      <c r="AU257" s="35" t="str">
        <f>IF(E257="","",IF(ISNA(VLOOKUP($E257,'A-1 On-Site Habitat Baseline'!$D$1:$AV$258,4,FALSE)),"",(VLOOKUP($E257,'A-1 On-Site Habitat Baseline'!$D$1:$AV$258,4,FALSE))))</f>
        <v/>
      </c>
    </row>
    <row r="258" spans="5:42" ht="14.5" thickBot="1">
      <c r="E258" s="248"/>
      <c r="F258" s="248"/>
      <c r="G258" s="248"/>
      <c r="H258" s="248"/>
      <c r="I258" s="248"/>
      <c r="J258" s="248"/>
      <c r="K258" s="248"/>
      <c r="L258" s="248"/>
      <c r="M258" s="248"/>
      <c r="N258" s="248"/>
      <c r="O258" s="248"/>
      <c r="P258" s="248"/>
      <c r="Q258" s="248"/>
      <c r="R258" s="248"/>
      <c r="S258" s="248"/>
      <c r="T258" s="248"/>
      <c r="U258" s="631" t="s">
        <v>406</v>
      </c>
      <c r="V258" s="279">
        <f>SUM(V12:V257)</f>
        <v>0</v>
      </c>
      <c r="W258" s="248"/>
      <c r="X258" s="248"/>
      <c r="Y258" s="248"/>
      <c r="Z258" s="248"/>
      <c r="AA258" s="248"/>
      <c r="AB258" s="248"/>
      <c r="AC258" s="248"/>
      <c r="AD258" s="248"/>
      <c r="AE258" s="248"/>
      <c r="AF258" s="248"/>
      <c r="AG258" s="248"/>
      <c r="AH258" s="248"/>
      <c r="AI258" s="248"/>
      <c r="AJ258" s="248"/>
      <c r="AK258" s="248"/>
      <c r="AL258" s="248"/>
      <c r="AM258" s="178"/>
      <c r="AN258" s="279">
        <f>(SUM(AN12:AN257))</f>
        <v>0</v>
      </c>
      <c r="AO258" s="248"/>
      <c r="AP258" s="248"/>
    </row>
    <row r="259" spans="22:27" ht="17.5">
      <c r="V259" s="1638" t="str">
        <f>IF(V258&lt;&gt;'A-1 On-Site Habitat Baseline'!T259,"Error - Area of habitat enhancement must match the area from sheet A1 ▲","")</f>
        <v/>
      </c>
      <c r="W259" s="1638"/>
      <c r="X259" s="1638"/>
      <c r="Y259" s="1638"/>
      <c r="Z259" s="1638"/>
      <c r="AA259" s="1638"/>
    </row>
    <row r="260" ht="14"/>
    <row r="261" ht="14"/>
    <row r="262" ht="14"/>
    <row r="263" ht="14"/>
    <row r="264" ht="14"/>
    <row r="265" ht="14"/>
    <row r="266" ht="14"/>
  </sheetData>
  <sheetProtection algorithmName="SHA-512" hashValue="BZrSeMPZU22PLEfHcJb7jYFAmfu/Kr+Vg4tZsP/jFG6H8Du/1YvT1ZCJQ9oAbvFq5lo5qM5ArK/rfD95xKdf+A==" saltValue="a9c7potZ4AaUtYVDaejQEA==" spinCount="100000" sheet="1" objects="1" scenarios="1"/>
  <customSheetViews>
    <customSheetView guid="{8bda793c-c9c5-4fc6-a0a5-f1109f6d4f22}" topLeftCell="D1">
      <pane ySplit="11" topLeftCell="A12" activePane="bottomLeft" state="frozen"/>
      <selection pane="bottomLeft" activeCell="A1" sqref="A1"/>
      <pageMargins left="0.75" right="0.75" top="1" bottom="1" header="0.5" footer="0.5"/>
    </customSheetView>
  </customSheetViews>
  <mergeCells count="29">
    <mergeCell ref="AO10:AQ10"/>
    <mergeCell ref="AN10:AN11"/>
    <mergeCell ref="Z10:Z11"/>
    <mergeCell ref="Y10:Y11"/>
    <mergeCell ref="X10:X11"/>
    <mergeCell ref="W10:W11"/>
    <mergeCell ref="AD10:AI10"/>
    <mergeCell ref="T5:U5"/>
    <mergeCell ref="R2:U2"/>
    <mergeCell ref="F10:O10"/>
    <mergeCell ref="AA10:AC10"/>
    <mergeCell ref="V10:V11"/>
    <mergeCell ref="H5:L6"/>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Z12:Z257">
    <cfRule type="cellIs" priority="65" dxfId="1283" operator="equal">
      <formula>"Not Possible"</formula>
    </cfRule>
  </conditionalFormatting>
  <conditionalFormatting sqref="AN12:AN257">
    <cfRule type="containsText" priority="12" dxfId="1273" operator="containsText" text="Error">
      <formula>NOT(ISERROR(SEARCH("Error",AN12)))</formula>
    </cfRule>
    <cfRule type="containsText" priority="56" dxfId="1283" operator="containsText" text="Existing Value Not Required">
      <formula>NOT(ISERROR(SEARCH("Existing Value Not Required",AN12)))</formula>
    </cfRule>
    <cfRule type="containsText" priority="57" dxfId="1283" operator="containsText" text="Existing Value Required">
      <formula>NOT(ISERROR(SEARCH("Existing Value Required",AN12)))</formula>
    </cfRule>
  </conditionalFormatting>
  <conditionalFormatting sqref="AN256:AN257">
    <cfRule type="containsText" priority="54" dxfId="1279" operator="containsText" text="Existing Value Not Required">
      <formula>NOT(ISERROR(SEARCH("Existing Value Not Required",AN256)))</formula>
    </cfRule>
    <cfRule type="containsText" priority="55" dxfId="1279" operator="containsText" text="Existing Value Required">
      <formula>NOT(ISERROR(SEARCH("Existing Value Required",AN256)))</formula>
    </cfRule>
  </conditionalFormatting>
  <conditionalFormatting sqref="AD2">
    <cfRule type="containsText" priority="53" dxfId="1281" operator="containsText" text="Note">
      <formula>NOT(ISERROR(SEARCH("Note",AD2)))</formula>
    </cfRule>
  </conditionalFormatting>
  <conditionalFormatting sqref="T12:T257">
    <cfRule type="containsText" priority="52" dxfId="970" operator="containsText" text="Error">
      <formula>NOT(ISERROR(SEARCH("Error",T12)))</formula>
    </cfRule>
  </conditionalFormatting>
  <conditionalFormatting sqref="U12:U257">
    <cfRule type="containsText" priority="51" dxfId="1283" operator="containsText" text="Error">
      <formula>NOT(ISERROR(SEARCH("Error",U12)))</formula>
    </cfRule>
  </conditionalFormatting>
  <conditionalFormatting sqref="AB12:AB257">
    <cfRule type="containsText" priority="50" dxfId="1281" operator="containsText" text="Spatial">
      <formula>NOT(ISERROR(SEARCH("Spatial",AB12)))</formula>
    </cfRule>
  </conditionalFormatting>
  <conditionalFormatting sqref="AC12:AC257">
    <cfRule type="containsText" priority="49" dxfId="1281" operator="containsText" text="Spatial">
      <formula>NOT(ISERROR(SEARCH("Spatial",AC12)))</formula>
    </cfRule>
  </conditionalFormatting>
  <conditionalFormatting sqref="AD12:AD257">
    <cfRule type="containsText" priority="3" dxfId="1273" operator="containsText" text="▲">
      <formula>NOT(ISERROR(SEARCH("▲",AD12)))</formula>
    </cfRule>
    <cfRule type="containsText" priority="48" dxfId="1281" operator="containsText" text="Check Data">
      <formula>NOT(ISERROR(SEARCH("Check Data",AD12)))</formula>
    </cfRule>
  </conditionalFormatting>
  <conditionalFormatting sqref="AG12:AG257">
    <cfRule type="containsText" priority="46" dxfId="970" operator="containsText" text="Error">
      <formula>NOT(ISERROR(SEARCH("Error",AG12)))</formula>
    </cfRule>
    <cfRule type="containsText" priority="47" dxfId="1267" operator="containsText" text="Check">
      <formula>NOT(ISERROR(SEARCH("Check",AG12)))</formula>
    </cfRule>
  </conditionalFormatting>
  <conditionalFormatting sqref="AH12:AH257">
    <cfRule type="containsText" priority="44" dxfId="1267" operator="containsText" text="Check Data ⚠">
      <formula>NOT(ISERROR(SEARCH("Check Data ⚠",AH12)))</formula>
    </cfRule>
    <cfRule type="containsText" priority="45" dxfId="970" operator="containsText" text="Error ▲">
      <formula>NOT(ISERROR(SEARCH("Error ▲",AH12)))</formula>
    </cfRule>
  </conditionalFormatting>
  <conditionalFormatting sqref="AI12:AI257">
    <cfRule type="containsText" priority="42" dxfId="1281" operator="containsText" text="Check Data ⚠">
      <formula>NOT(ISERROR(SEARCH("Check Data ⚠",AI12)))</formula>
    </cfRule>
  </conditionalFormatting>
  <conditionalFormatting sqref="AK12:AK257">
    <cfRule type="containsText" priority="41" dxfId="1281"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priority="40" dxfId="1281" operator="containsText" text="Check Data ⚠">
      <formula>NOT(ISERROR(SEARCH("Check Data ⚠",AM12)))</formula>
    </cfRule>
  </conditionalFormatting>
  <conditionalFormatting sqref="O12:O257">
    <cfRule type="containsText" priority="36" dxfId="896" operator="containsText" text="Bespoke">
      <formula>NOT(ISERROR(SEARCH("Bespoke",O12)))</formula>
    </cfRule>
    <cfRule type="beginsWith" priority="37" dxfId="922" operator="beginsWith" text="Same distinctiveness">
      <formula>LEFT(O12,LEN("Same distinctiveness"))="Same distinctiveness"</formula>
    </cfRule>
    <cfRule type="beginsWith" priority="38" dxfId="921" operator="beginsWith" text="Same broad">
      <formula>LEFT(O12,LEN("Same broad"))="Same broad"</formula>
    </cfRule>
    <cfRule type="beginsWith" priority="39" dxfId="920" operator="beginsWith" text="Same Habitat">
      <formula>LEFT(O12,LEN("Same Habitat"))="Same Habitat"</formula>
    </cfRule>
  </conditionalFormatting>
  <conditionalFormatting sqref="V259:AA259">
    <cfRule type="containsText" priority="35" dxfId="1273" operator="containsText" text="Error">
      <formula>NOT(ISERROR(SEARCH("Error",V259)))</formula>
    </cfRule>
  </conditionalFormatting>
  <conditionalFormatting sqref="AD5">
    <cfRule type="containsText" priority="34" dxfId="1281" operator="containsText" text="Change">
      <formula>NOT(ISERROR(SEARCH("Change",AD5)))</formula>
    </cfRule>
  </conditionalFormatting>
  <conditionalFormatting sqref="T3">
    <cfRule type="containsText" priority="21" dxfId="1281" operator="containsText" text="Check">
      <formula>NOT(ISERROR(SEARCH("Check",T3)))</formula>
    </cfRule>
    <cfRule type="containsText" priority="22" dxfId="1279" operator="containsText" text="Error">
      <formula>NOT(ISERROR(SEARCH("Error",T3)))</formula>
    </cfRule>
  </conditionalFormatting>
  <conditionalFormatting sqref="T4">
    <cfRule type="containsText" priority="20" dxfId="1283" operator="containsText" text="Error">
      <formula>NOT(ISERROR(SEARCH("Error",T4)))</formula>
    </cfRule>
    <cfRule type="containsText" priority="30" dxfId="1267" operator="containsText" text="Check">
      <formula>NOT(ISERROR(SEARCH("Check",T4)))</formula>
    </cfRule>
    <cfRule type="cellIs" priority="441" dxfId="1283" operator="lessThan">
      <formula>0</formula>
    </cfRule>
  </conditionalFormatting>
  <conditionalFormatting sqref="T5">
    <cfRule type="containsText" priority="25" dxfId="1273" operator="containsText" text="No">
      <formula>NOT(ISERROR(SEARCH("No",T5)))</formula>
    </cfRule>
    <cfRule type="containsText" priority="26" dxfId="1282" operator="containsText" text="Yes">
      <formula>NOT(ISERROR(SEARCH("Yes",T5)))</formula>
    </cfRule>
  </conditionalFormatting>
  <conditionalFormatting sqref="V2:AA5">
    <cfRule type="containsText" priority="24" dxfId="1281" operator="containsText" text="Check">
      <formula>NOT(ISERROR(SEARCH("Check",V2)))</formula>
    </cfRule>
  </conditionalFormatting>
  <conditionalFormatting sqref="R6:T8">
    <cfRule type="containsText" priority="23" dxfId="1281" operator="containsText" text="⚠">
      <formula>NOT(ISERROR(SEARCH("⚠",R6)))</formula>
    </cfRule>
  </conditionalFormatting>
  <conditionalFormatting sqref="T4:U4">
    <cfRule type="cellIs" priority="31" dxfId="881" operator="equal">
      <formula>0</formula>
    </cfRule>
  </conditionalFormatting>
  <conditionalFormatting sqref="U258">
    <cfRule type="containsText" priority="16" dxfId="1279" operator="containsText" text="Error">
      <formula>NOT(ISERROR(SEARCH("Error",U258)))</formula>
    </cfRule>
    <cfRule type="containsText" priority="17" dxfId="1281" operator="containsText" text="Check">
      <formula>NOT(ISERROR(SEARCH("Check",U258)))</formula>
    </cfRule>
  </conditionalFormatting>
  <conditionalFormatting sqref="T3:U5">
    <cfRule type="containsText" priority="18" dxfId="932" operator="containsText" text="N/A">
      <formula>NOT(ISERROR(SEARCH("N/A",T3)))</formula>
    </cfRule>
  </conditionalFormatting>
  <conditionalFormatting sqref="F12:F257">
    <cfRule type="expression" priority="14" dxfId="877">
      <formula>$AU12="Yes"</formula>
    </cfRule>
  </conditionalFormatting>
  <conditionalFormatting sqref="H5:L6">
    <cfRule type="containsText" priority="13" dxfId="877" operator="containsText" text="Enhanced">
      <formula>NOT(ISERROR(SEARCH("Enhanced",H5)))</formula>
    </cfRule>
  </conditionalFormatting>
  <conditionalFormatting sqref="N1:N1048576">
    <cfRule type="containsText" priority="7" dxfId="1273" operator="containsText" text="Error">
      <formula>NOT(ISERROR(SEARCH("Error",N1)))</formula>
    </cfRule>
    <cfRule type="containsText" priority="11" dxfId="1273" operator="containsText" text="Check">
      <formula>NOT(ISERROR(SEARCH("Check",N1)))</formula>
    </cfRule>
  </conditionalFormatting>
  <conditionalFormatting sqref="AN1:AN1048576">
    <cfRule type="containsText" priority="10" dxfId="1273" operator="containsText" text="▲">
      <formula>NOT(ISERROR(SEARCH("▲",AN1)))</formula>
    </cfRule>
  </conditionalFormatting>
  <conditionalFormatting sqref="K1:K1048576">
    <cfRule type="containsText" priority="6" dxfId="1273" operator="containsText" text="▲">
      <formula>NOT(ISERROR(SEARCH("▲",K1)))</formula>
    </cfRule>
    <cfRule type="containsText" priority="8" dxfId="1273" operator="containsText" text="Not Possible">
      <formula>NOT(ISERROR(SEARCH("Not Possible",K1)))</formula>
    </cfRule>
  </conditionalFormatting>
  <conditionalFormatting sqref="AK1:AK1048576">
    <cfRule type="containsText" priority="5" dxfId="1281" operator="containsText" text="⚠">
      <formula>NOT(ISERROR(SEARCH("⚠",AK1)))</formula>
    </cfRule>
  </conditionalFormatting>
  <conditionalFormatting sqref="Z1:Z1048576">
    <cfRule type="containsText" priority="4" dxfId="1273" operator="containsText" text="▲">
      <formula>NOT(ISERROR(SEARCH("▲",Z1)))</formula>
    </cfRule>
  </conditionalFormatting>
  <conditionalFormatting sqref="O1:O1048576">
    <cfRule type="containsText" priority="2" dxfId="1281" operator="containsText" text=" ⚠">
      <formula>NOT(ISERROR(SEARCH(" ⚠",O1)))</formula>
    </cfRule>
  </conditionalFormatting>
  <conditionalFormatting sqref="AH1:AH1048576">
    <cfRule type="containsText" priority="1" dxfId="1281" operator="containsText" text="30+">
      <formula>NOT(ISERROR(SEARCH("30+",AH1)))</formula>
    </cfRule>
  </conditionalFormatting>
  <conditionalFormatting sqref="T4:U4">
    <cfRule type="expression" priority="9" dxfId="1289">
      <formula>'Headline Results'!$H$8:$I$8=0</formula>
    </cfRule>
  </conditionalFormatting>
  <conditionalFormatting sqref="T4">
    <cfRule type="cellIs" priority="442" dxfId="1284" operator="greaterThanOrEqual">
      <formula>Start!$F$22</formula>
    </cfRule>
  </conditionalFormatting>
  <conditionalFormatting sqref="T4:U4">
    <cfRule type="cellIs" priority="15" dxfId="1294" operator="lessThan">
      <formula>Start!$F$22</formula>
    </cfRule>
  </conditionalFormatting>
  <dataValidations count="6">
    <dataValidation allowBlank="1" showErrorMessage="1" errorTitle="Invalid Habitat" error="Select from List" sqref="S12:S257"/>
    <dataValidation type="list" allowBlank="1" showInputMessage="1" showErrorMessage="1" sqref="Y12:Y257">
      <formula1>INDIRECT(C12)</formula1>
    </dataValidation>
    <dataValidation type="list" allowBlank="1" showInputMessage="1" showErrorMessage="1" sqref="R12:R257">
      <formula1>INDIRECT(P12)</formula1>
    </dataValidation>
    <dataValidation type="list" allowBlank="1" showInputMessage="1" showErrorMessage="1" sqref="AA12:AA257">
      <formula1>'G-3 Multipliers'!$L$4:$L$6</formula1>
    </dataValidation>
    <dataValidation type="list" allowBlank="1" showInputMessage="1" showErrorMessage="1" sqref="AE12:AF257">
      <formula1>'G-4 Temporal multipliers'!$A$42:$A$73</formula1>
    </dataValidation>
    <dataValidation type="list" allowBlank="1" showInputMessage="1" showErrorMessage="1" sqref="Q12:Q257">
      <formula1>'G-1 All Habitats'!$AF$3:$AF$17</formula1>
    </dataValidation>
  </dataValidations>
  <pageMargins left="0.7" right="0.7" top="0.75" bottom="0.75" header="0.3" footer="0.3"/>
  <pageSetup horizontalDpi="90" verticalDpi="90" orientation="portrait" paperSize="9" r:id="rId2"/>
  <drawing r:id="rId1"/>
  <extLst>
    <ext xmlns:x14="http://schemas.microsoft.com/office/spreadsheetml/2009/9/main" uri="{78C0D931-6437-407d-A8EE-F0AAD7539E65}">
      <x14:conditionalFormattings>
        <x14:conditionalFormatting xmlns:xm="http://schemas.microsoft.com/office/excel/2006/main">
          <x14:cfRule type="iconSet" priority="43" id="{49215ace-143d-406d-9a04-fcd5ada59f8f}">
            <x14:iconSet iconSet="3Symbols" custom="1">
              <x14:cfvo type="percent">
                <xm:f>0</xm:f>
              </x14:cfvo>
              <x14:cfvo type="num">
                <xm:f>0</xm:f>
              </x14:cfvo>
              <x14:cfvo gte="0" type="num">
                <xm:f>30</xm:f>
              </x14:cfvo>
              <x14:cfIcon iconSet="NoIcons" iconId="0"/>
              <x14:cfIcon iconSet="NoIcons" iconId="0"/>
              <x14:cfIcon iconSet="3Symbols" iconId="1"/>
            </x14:iconSet>
            <x14:dxf/>
          </x14:cfRule>
          <xm:sqref>AH12:AH257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2:XFD271"/>
  <sheetViews>
    <sheetView zoomScale="80" zoomScaleNormal="80" workbookViewId="0" topLeftCell="D1">
      <pane ySplit="10" topLeftCell="A11" activePane="bottomLeft" state="frozen"/>
      <selection pane="topLeft" activeCell="E1" sqref="E1"/>
      <selection pane="bottomLeft" activeCell="D1" sqref="D1"/>
    </sheetView>
  </sheetViews>
  <sheetFormatPr defaultColWidth="0" defaultRowHeight="14"/>
  <cols>
    <col min="1" max="1" width="17.5714285714286" style="30" hidden="1" customWidth="1"/>
    <col min="2" max="2" width="14.5714285714286" style="30" hidden="1" customWidth="1"/>
    <col min="3" max="3" width="20.5714285714286" style="30" hidden="1" customWidth="1"/>
    <col min="4" max="4" width="10.4285714285714" style="30" customWidth="1"/>
    <col min="5" max="5" width="22.4285714285714" style="30" customWidth="1"/>
    <col min="6" max="6" width="70.4285714285714" style="30" customWidth="1"/>
    <col min="7" max="7" width="23.4285714285714" style="32" customWidth="1"/>
    <col min="8" max="8" width="19.5714285714286" style="33" customWidth="1"/>
    <col min="9" max="9" width="17.5714285714286" style="30" customWidth="1"/>
    <col min="10" max="10" width="8.57142857142857" style="30" customWidth="1"/>
    <col min="11" max="11" width="14.4285714285714" style="33" customWidth="1"/>
    <col min="12" max="12" width="11.5714285714286" style="33" customWidth="1"/>
    <col min="13" max="13" width="41.5714285714286" style="33" customWidth="1"/>
    <col min="14" max="14" width="15.4285714285714" style="33" customWidth="1"/>
    <col min="15" max="15" width="14.5714285714286" style="33" customWidth="1"/>
    <col min="16" max="16" width="32.5714285714286" style="33" customWidth="1"/>
    <col min="17" max="17" width="13.5714285714286" style="30" hidden="1" customWidth="1"/>
    <col min="18" max="18" width="82.5714285714286" style="33" customWidth="1"/>
    <col min="19" max="19" width="11.5714285714286" style="30" hidden="1" customWidth="1"/>
    <col min="20" max="20" width="17.4285714285714" style="33" customWidth="1"/>
    <col min="21" max="21" width="3.57142857142857" style="30" customWidth="1"/>
    <col min="22" max="22" width="11.5714285714286" style="33" customWidth="1"/>
    <col min="23" max="23" width="12.4285714285714" style="33" customWidth="1"/>
    <col min="24" max="24" width="14.5714285714286" style="33" customWidth="1"/>
    <col min="25" max="25" width="13" style="33" customWidth="1"/>
    <col min="26" max="26" width="13.4285714285714" style="33" customWidth="1"/>
    <col min="27" max="27" width="15.5714285714286" style="33" customWidth="1"/>
    <col min="28" max="28" width="32.5714285714286" style="30" customWidth="1"/>
    <col min="29" max="30" width="50.4285714285714" style="30" customWidth="1"/>
    <col min="31" max="31" width="14.4285714285714" style="30" customWidth="1"/>
    <col min="32" max="32" width="17.4285714285714" style="30" customWidth="1"/>
    <col min="33" max="34" width="4.42857142857143" style="11" hidden="1" customWidth="1"/>
    <col min="35" max="44" width="4.42857142857143" style="30" hidden="1" customWidth="1"/>
    <col min="45" max="45" width="4.42857142857143" style="885" hidden="1" customWidth="1"/>
    <col min="46" max="50" width="4.42857142857143" style="30" hidden="1" customWidth="1"/>
    <col min="51" max="51" width="4.42857142857143" style="33" hidden="1" customWidth="1"/>
    <col min="52" max="52" width="4.42857142857143" style="30" hidden="1" customWidth="1"/>
    <col min="53" max="55" width="4.42857142857143" style="30" customWidth="1"/>
    <col min="56" max="16380" width="4.42857142857143" style="30" hidden="1"/>
    <col min="16381" max="16384" width="4.42857142857143" style="406" hidden="1"/>
  </cols>
  <sheetData>
    <row r="1" ht="14.5" thickBot="1"/>
    <row r="2" spans="4:51" ht="18" thickBot="1">
      <c r="D2" s="1682" t="str">
        <f>CONCATENATE("Project Name:"," ",Start!F12,"     ","Map Reference:"," ",Start!F66)</f>
        <v xml:space="preserve">Project Name: Land east of Calne Road, Lyneham     Map Reference: </v>
      </c>
      <c r="E2" s="1683"/>
      <c r="F2" s="1684"/>
      <c r="I2" s="1597" t="s">
        <v>305</v>
      </c>
      <c r="J2" s="1598"/>
      <c r="K2" s="1598"/>
      <c r="L2" s="1598"/>
      <c r="M2" s="1599"/>
      <c r="O2" s="1681" t="str" cm="1">
        <f t="array" ref="O2">IF(OR(K11:K258="Fairly Good",K11:K258="Fairly Poor"),"A 'Fairly' Category has been used - check evidence to ensure this is appropriate ⚠","")</f>
        <v/>
      </c>
      <c r="P2" s="1681"/>
      <c r="Q2" s="1681"/>
      <c r="R2" s="1681"/>
      <c r="S2" s="1681"/>
      <c r="T2" s="1681"/>
      <c r="U2" s="1681"/>
      <c r="V2" s="1681"/>
      <c r="W2" s="1681"/>
      <c r="X2" s="1681"/>
      <c r="Y2" s="1681"/>
      <c r="AY2" s="30"/>
    </row>
    <row r="3" spans="4:51" ht="14">
      <c r="D3" s="1675" t="str">
        <f ca="1">MID(CELL("filename",C1),FIND("]",CELL("filename",C1))+1,256)</f>
        <v>D-1 Off-Site Habitat Baseline</v>
      </c>
      <c r="E3" s="1676"/>
      <c r="F3" s="1677"/>
      <c r="I3" s="1610" t="s">
        <v>306</v>
      </c>
      <c r="J3" s="1653"/>
      <c r="K3" s="1653"/>
      <c r="L3" s="1685"/>
      <c r="M3" s="698">
        <f>'Headline Results'!H47</f>
        <v>6.227824005922471</v>
      </c>
      <c r="O3" s="1681"/>
      <c r="P3" s="1681"/>
      <c r="Q3" s="1681"/>
      <c r="R3" s="1681"/>
      <c r="S3" s="1681"/>
      <c r="T3" s="1681"/>
      <c r="U3" s="1681"/>
      <c r="V3" s="1681"/>
      <c r="W3" s="1681"/>
      <c r="X3" s="1681"/>
      <c r="Y3" s="1681"/>
      <c r="AY3" s="30"/>
    </row>
    <row r="4" spans="4:51" ht="14.5" thickBot="1">
      <c r="D4" s="1678"/>
      <c r="E4" s="1679"/>
      <c r="F4" s="1680"/>
      <c r="I4" s="1686" t="s">
        <v>308</v>
      </c>
      <c r="J4" s="1687"/>
      <c r="K4" s="1687"/>
      <c r="L4" s="1688"/>
      <c r="M4" s="699">
        <f>'Headline Results'!H51</f>
        <v>0.3109272967693436</v>
      </c>
      <c r="O4" s="1681"/>
      <c r="P4" s="1681"/>
      <c r="Q4" s="1681"/>
      <c r="R4" s="1681"/>
      <c r="S4" s="1681"/>
      <c r="T4" s="1681"/>
      <c r="U4" s="1681"/>
      <c r="V4" s="1681"/>
      <c r="W4" s="1681"/>
      <c r="X4" s="1681"/>
      <c r="Y4" s="1681"/>
      <c r="AY4" s="30"/>
    </row>
    <row r="5" spans="9:51" ht="14.5" thickBot="1">
      <c r="I5" s="1689" t="s">
        <v>310</v>
      </c>
      <c r="J5" s="1690"/>
      <c r="K5" s="1690"/>
      <c r="L5" s="1691"/>
      <c r="M5" s="47" t="str" cm="1">
        <f t="array" ref="M5">IF(OR('Trading Summary Area Habitats'!G5:G8="No ▲"),"No - check trading summaries ▲","Yes ✓")</f>
        <v>Yes ✓</v>
      </c>
      <c r="O5" s="1681"/>
      <c r="P5" s="1681"/>
      <c r="Q5" s="1681"/>
      <c r="R5" s="1681"/>
      <c r="S5" s="1681"/>
      <c r="T5" s="1681"/>
      <c r="U5" s="1681"/>
      <c r="V5" s="1681"/>
      <c r="W5" s="1681"/>
      <c r="X5" s="1681"/>
      <c r="Y5" s="1681"/>
      <c r="AY5" s="30"/>
    </row>
    <row r="6" spans="9:13" ht="14">
      <c r="I6" s="1695" t="str" cm="1">
        <f t="array" ref="I6">IF(OR(E11:E258="watercourse footprint"),"Please ensure the watercourse details for any watercourse footprints recorded are included in the watercourse tabs ⚠","")</f>
        <v/>
      </c>
      <c r="J6" s="1695"/>
      <c r="K6" s="1695"/>
      <c r="L6" s="1695"/>
      <c r="M6" s="1695"/>
    </row>
    <row r="7" spans="4:13" ht="14">
      <c r="D7" s="89"/>
      <c r="E7" s="89"/>
      <c r="F7" s="89"/>
      <c r="I7" s="1696"/>
      <c r="J7" s="1696"/>
      <c r="K7" s="1696"/>
      <c r="L7" s="1696"/>
      <c r="M7" s="1696"/>
    </row>
    <row r="8" spans="4:13" ht="40.4" customHeight="1" thickBot="1">
      <c r="D8" s="89"/>
      <c r="E8" s="89"/>
      <c r="F8" s="89"/>
      <c r="I8" s="1697"/>
      <c r="J8" s="1697"/>
      <c r="K8" s="1697"/>
      <c r="L8" s="1697"/>
      <c r="M8" s="1697"/>
    </row>
    <row r="9" spans="4:45 16381:16384" s="30" customFormat="1" ht="28.5" thickBot="1">
      <c r="D9" s="160"/>
      <c r="E9" s="1692" t="s">
        <v>311</v>
      </c>
      <c r="F9" s="1692"/>
      <c r="G9" s="1692"/>
      <c r="H9" s="1692"/>
      <c r="I9" s="1698" t="s">
        <v>312</v>
      </c>
      <c r="J9" s="1698"/>
      <c r="K9" s="1698" t="s">
        <v>407</v>
      </c>
      <c r="L9" s="1698"/>
      <c r="M9" s="1698" t="s">
        <v>314</v>
      </c>
      <c r="N9" s="1698"/>
      <c r="O9" s="1698"/>
      <c r="P9" s="1698" t="s">
        <v>315</v>
      </c>
      <c r="Q9" s="507" t="s">
        <v>316</v>
      </c>
      <c r="R9" s="1699" t="s">
        <v>408</v>
      </c>
      <c r="S9" s="1700"/>
      <c r="T9" s="506" t="s">
        <v>316</v>
      </c>
      <c r="U9" s="94"/>
      <c r="V9" s="1698"/>
      <c r="W9" s="1698"/>
      <c r="X9" s="1698"/>
      <c r="Y9" s="1698"/>
      <c r="Z9" s="1698"/>
      <c r="AA9" s="1698"/>
      <c r="AB9" s="1698" t="s">
        <v>317</v>
      </c>
      <c r="AC9" s="1701" t="s">
        <v>318</v>
      </c>
      <c r="AD9" s="1702"/>
      <c r="AE9" s="1702"/>
      <c r="AF9" s="1703"/>
      <c r="AG9" s="11" t="s">
        <v>309</v>
      </c>
      <c r="AH9" s="11" t="s">
        <v>309</v>
      </c>
      <c r="AJ9" s="107" t="s">
        <v>319</v>
      </c>
      <c r="AK9" s="107"/>
      <c r="AL9" s="107"/>
      <c r="AM9" s="107"/>
      <c r="AN9" s="107"/>
      <c r="AO9" s="107" t="s">
        <v>320</v>
      </c>
      <c r="AP9" s="107"/>
      <c r="AQ9" s="107"/>
      <c r="AR9" s="107"/>
      <c r="AS9" s="885"/>
      <c r="XFA9" s="406"/>
      <c r="XFB9" s="406"/>
      <c r="XFC9" s="406"/>
      <c r="XFD9" s="406"/>
    </row>
    <row r="10" spans="2:51" ht="48.65" customHeight="1" thickBot="1">
      <c r="B10" s="88" t="s">
        <v>322</v>
      </c>
      <c r="D10" s="631" t="s">
        <v>323</v>
      </c>
      <c r="E10" s="584" t="s">
        <v>409</v>
      </c>
      <c r="F10" s="634" t="s">
        <v>284</v>
      </c>
      <c r="G10" s="121" t="s">
        <v>326</v>
      </c>
      <c r="H10" s="120" t="s">
        <v>327</v>
      </c>
      <c r="I10" s="584" t="s">
        <v>312</v>
      </c>
      <c r="J10" s="585" t="s">
        <v>328</v>
      </c>
      <c r="K10" s="116" t="s">
        <v>313</v>
      </c>
      <c r="L10" s="120" t="s">
        <v>328</v>
      </c>
      <c r="M10" s="116" t="s">
        <v>314</v>
      </c>
      <c r="N10" s="121" t="s">
        <v>314</v>
      </c>
      <c r="O10" s="120" t="s">
        <v>329</v>
      </c>
      <c r="P10" s="1692"/>
      <c r="Q10" s="526" t="s">
        <v>410</v>
      </c>
      <c r="R10" s="427" t="s">
        <v>411</v>
      </c>
      <c r="S10" s="700" t="s">
        <v>408</v>
      </c>
      <c r="T10" s="527" t="s">
        <v>330</v>
      </c>
      <c r="U10" s="94"/>
      <c r="V10" s="116" t="s">
        <v>274</v>
      </c>
      <c r="W10" s="121" t="s">
        <v>275</v>
      </c>
      <c r="X10" s="121" t="s">
        <v>331</v>
      </c>
      <c r="Y10" s="121" t="s">
        <v>332</v>
      </c>
      <c r="Z10" s="121" t="s">
        <v>276</v>
      </c>
      <c r="AA10" s="120" t="s">
        <v>334</v>
      </c>
      <c r="AB10" s="1692"/>
      <c r="AC10" s="116" t="s">
        <v>302</v>
      </c>
      <c r="AD10" s="121" t="s">
        <v>279</v>
      </c>
      <c r="AE10" s="43" t="s">
        <v>412</v>
      </c>
      <c r="AF10" s="42" t="s">
        <v>413</v>
      </c>
      <c r="AG10" s="522" t="s">
        <v>335</v>
      </c>
      <c r="AH10" s="522" t="s">
        <v>414</v>
      </c>
      <c r="AJ10" s="107" t="s">
        <v>337</v>
      </c>
      <c r="AK10" s="107" t="s">
        <v>338</v>
      </c>
      <c r="AL10" s="107" t="s">
        <v>339</v>
      </c>
      <c r="AM10" s="107" t="s">
        <v>340</v>
      </c>
      <c r="AN10" s="107"/>
      <c r="AO10" s="107" t="s">
        <v>337</v>
      </c>
      <c r="AP10" s="107" t="s">
        <v>338</v>
      </c>
      <c r="AQ10" s="107" t="s">
        <v>339</v>
      </c>
      <c r="AR10" s="107"/>
      <c r="AS10" s="886" t="s">
        <v>341</v>
      </c>
      <c r="AT10" s="1693" t="s">
        <v>321</v>
      </c>
      <c r="AU10" s="1694"/>
      <c r="AV10" s="583" t="s">
        <v>342</v>
      </c>
      <c r="AY10" s="121" t="s">
        <v>415</v>
      </c>
    </row>
    <row r="11" spans="1:51" ht="14">
      <c r="A11" s="30" t="str">
        <f>IFERROR(INDEX('G-1 All Habitats'!$AG$3:$AG$17,MATCH(E11,'G-1 All Habitats'!$AF$3:$AF$17,0)),"")</f>
        <v/>
      </c>
      <c r="B11" s="30" t="str">
        <f>IFERROR(INDEX('G-8 Condition Look up'!$I$4:$I$135,MATCH(AV11,'G-8 Condition Look up'!$A$4:$A$135,0)),"")</f>
        <v/>
      </c>
      <c r="D11" s="91">
        <v>1</v>
      </c>
      <c r="E11" s="58"/>
      <c r="F11" s="633"/>
      <c r="G11" s="133"/>
      <c r="H11" s="51"/>
      <c r="I11" s="348" t="str">
        <f>IF(AV11="","",IF(AND(AW11="Yes",G11="No"),"Irreplaceable habitat ▲",IF(AND(AW11="No",G11="Yes"),"Cannot be Irreplaceable ▲",VLOOKUP(AV11,'G-1 All Habitats'!$B$2:$M$135,10,FALSE))))</f>
        <v/>
      </c>
      <c r="J11" s="347" t="str">
        <f>IFERROR(VLOOKUP(I11,'G-1 All Habitats'!$V$3:$W$7,2,FALSE),"")</f>
        <v/>
      </c>
      <c r="K11" s="545"/>
      <c r="L11" s="544" t="str">
        <f>IFERROR(INDEX('G-8 Condition Look up'!$A$3:$H$135,MATCH(AV11,'G-8 Condition Look up'!$A$3:$A$135,0),MATCH(K11,'G-8 Condition Look up'!$A$3:$H$3,0)),"")</f>
        <v/>
      </c>
      <c r="M11" s="545"/>
      <c r="N11" s="280" t="str">
        <f>IF(M11="","",IF(VLOOKUP(M11,'G-3 Multipliers'!$L$3:$N$6,2,FALSE)=0,"Spatial Data Missing ⚠",VLOOKUP(M11,'G-3 Multipliers'!$L$3:$N$6,2,FALSE)))</f>
        <v/>
      </c>
      <c r="O11" s="347" t="str">
        <f>IF(M11="","",IF(VLOOKUP(M11,'G-3 Multipliers'!$L$3:$N$6,3,FALSE)=0,"Spatial Data Missing ⚠",VLOOKUP(M11,'G-3 Multipliers'!$L$3:$N$6,3,FALSE)))</f>
        <v/>
      </c>
      <c r="P11" s="354" t="str">
        <f>(IF(G11="Yes","Bespoke compensation likely to be required",(IFERROR(VLOOKUP(AV11,'G-1 All Habitats'!$B$2:$M$135,12,FALSE),""))))</f>
        <v/>
      </c>
      <c r="Q11" s="577" t="str">
        <f>IFERROR(IF(P11="","",IF(AND(E11="Individual trees",W11&gt;0,G11="Yes"),"Error - you cannot enhance irreplaceable individual trees ▲",IF(P11='G-1 All Habitats'!$X$9,T11*S11,IF(AND(P11='G-1 All Habitats'!$X$9,W11&gt;0),X11+(Y11*S11),IF(AND(P11='G-1 All Habitats'!$X$9,V11&gt;0),X11+(Y11*S11),IF(AND(P11='G-1 All Habitats'!$X$9,AG11&gt;0),"Any Loss Unacceptable  ⚠",IF(AND(P11='G-1 All Habitats'!$X$9,Z11&gt;0),"Any Loss Unacceptable ⚠",H11*J11*L11*O11*S11))))))),"Check Data ⚠")</f>
        <v/>
      </c>
      <c r="R11" s="428"/>
      <c r="S11" s="350" t="str">
        <f>IF(R11="","",IF(VLOOKUP(R11,'G-3 Multipliers'!$S$3:$T$10,2,FALSE)=0,"Spatial Data Missing ⚠",VLOOKUP(R11,'G-3 Multipliers'!$S$3:$T$10,2,FALSE)))</f>
        <v/>
      </c>
      <c r="T11" s="548" t="str">
        <f>IFERROR(IF(AND(F11&lt;&gt;"",G11=""),"Confirm irreplaceable habitat status ▲",(IF(AND(R11&lt;&gt;"",AF11=""),"Off-site reference required ▲",(IF(AND(E11="Individual trees",W11&gt;0,G11="Yes"),"Error - you cannot enhance irreplaceable individual trees ▲",(IF(AND(X11="Irreplaceable habitat - no units generated ⚠",(W11+V11)&lt;H11,OR(AB11="No",AB11="")),"Any Loss Unacceptable ⚠",(IF(X11="Irreplaceable habitat - no units generated ⚠",W11*J11*L11*O11,IF(AND(P11='G-1 All Habitats'!$X$9,AH11&gt;0,V11&lt;=0,W11&lt;=0,OR(AB11="No",AB11="")),"Any Loss Unacceptable ⚠",IF(AND(P11='G-1 All Habitats'!$X$9,AH11&gt;0,V11&lt;=0,W11&lt;=0),0,(IF(AND(P11='G-1 All Habitats'!$X$9,(W11+V11)&lt;H11,OR(AB11="No",AB11="")),"Any Loss Unacceptable ⚠",(IF(P11="","",IF(AND(P11='G-1 All Habitats'!$X$9,W11&gt;0),X11+Y11,IF(AND(P11='G-1 All Habitats'!$X$9,V11&gt;0),X11+Y11,IF(R11="","",H11*J11*L11*O11)))))))))))))))))),"Check Data ▲")</f>
        <v/>
      </c>
      <c r="U11" s="38"/>
      <c r="V11" s="52"/>
      <c r="W11" s="53"/>
      <c r="X11" s="287" t="str">
        <f>IFERROR(IF(G11="Yes","Irreplaceable habitat - no units generated ⚠",(V11*J11*L11*O11)),"")</f>
        <v/>
      </c>
      <c r="Y11" s="287" t="str">
        <f>IFERROR(IF(AND(E11="Individual trees",W11&gt;0,G11="Yes"),"Error - ▲",(W11*J11*L11*O11)),"")</f>
        <v/>
      </c>
      <c r="Z11" s="287" t="str">
        <f>IF(E11="","",IF(H11&lt;V11+W11,"Error in Areas ▲",H11-V11-W11))</f>
        <v/>
      </c>
      <c r="AA11" s="317" t="str">
        <f>IFERROR(IF(AND(E11="Individual trees",G11="Yes",W11&gt;0),"Error - you cannot enhance an irreplaceable tree ▲",(IF(H11="","",IF(H11-V11-W11=0&lt;0,"Error in Areas ▲",IF(V11+W11&gt;H11,"Error in Areas ▲",IF(AND(P11='G-1 All Habitats'!$X$9,AB11="Yes"),"Alternative Compensation ✓",IF(AND(P11='G-1 All Habitats'!$X$3,AB11="Yes"),"Alternative Compensation ✓",IF(AND(AB11="Pending",P11='G-1 All Habitats'!$X$3),"Bespoke compensation must be agreed ▲",IF(AND(AB11="Pending",P11='G-1 All Habitats'!$X$9),"Bespoke compensation must be agreed  ▲",IF(Z11=0,0,IF(P11='G-1 All Habitats'!$X$9,"Any Loss Unacceptable ▲",T11-X11-Y11))))))))))),"Check Data ⚠")</f>
        <v/>
      </c>
      <c r="AB11" s="586"/>
      <c r="AC11" s="101"/>
      <c r="AD11" s="133"/>
      <c r="AE11" s="115"/>
      <c r="AF11" s="931"/>
      <c r="AG11" s="523" t="str">
        <f>IF(OR(P11="",AB11="Yes"),"",IF(P11='G-1 All Habitats'!$X$9,H11-V11-W11,"None"))</f>
        <v/>
      </c>
      <c r="AH11" s="523" t="str">
        <f>IF(P11="","",IF(P11='G-1 All Habitats'!$X$9,AG11*J11*L11*O11,"None"))</f>
        <v/>
      </c>
      <c r="AJ11" s="107" t="str">
        <f>IF(AV11="","",IF(V11&gt;0,TRUE,FALSE))</f>
        <v/>
      </c>
      <c r="AK11" s="107" t="str">
        <f t="shared" si="0" ref="AK11:AK42">IF(H11="","",IF(W11&gt;0,TRUE,FALSE))</f>
        <v/>
      </c>
      <c r="AL11" s="107" t="str">
        <f>IF(I11="","",IF(#REF!&gt;0,TRUE,FALSE))</f>
        <v/>
      </c>
      <c r="AM11" s="107">
        <v>1</v>
      </c>
      <c r="AN11" s="107"/>
      <c r="AO11" s="107" t="str" cm="1">
        <f t="array" ref="AO11">IFERROR(INDEX($AM$11:$AM$259,MATCH(0,IF(TRUE=$AJ$11:$AJ$259,COUNTIF($AO$10:$AO10,$AM$11:$AM$259),""),0)),"")</f>
        <v/>
      </c>
      <c r="AP11" s="107" t="str" cm="1">
        <f t="array" ref="AP11">IFERROR(INDEX($AM$11:$AM$259,MATCH(0,IF(TRUE=$AK$11:$AK$259,COUNTIF($AP$10:$AP10,$AM$11:$AM$259),""),0)),"")</f>
        <v/>
      </c>
      <c r="AQ11" s="107" t="str" cm="1">
        <f t="array" ref="AQ11">IFERROR(INDEX($AM$11:$AM$259,MATCH(0,IF(TRUE=$AL$11:$AL$259,COUNTIF($AQ$10:$AQ10,$AM$11:$AM$259),""),0)),"")</f>
        <v/>
      </c>
      <c r="AS11" s="885" t="str">
        <f>IF(AND(OR(AB11="Yes",AB11="Pending"),P11='G-1 All Habitats'!$X$3),T11-X11-Y11,"0")</f>
        <v>0</v>
      </c>
      <c r="AT11" s="30" t="str">
        <f t="shared" si="1" ref="AT11:AT74">IF(AB11="Yes","Yes ✓",IF(AB11="","","No ▲"))</f>
        <v/>
      </c>
      <c r="AU11" s="30">
        <f>IF(AA11="Any Loss Unacceptable ▲",1,0)</f>
        <v>0</v>
      </c>
      <c r="AV11" s="576" t="str">
        <f>IFERROR(INDEX('G-1 All Habitats'!$B$3:$B$135,MATCH(F11,'G-1 All Habitats'!$A$3:$A$135,0)),"")</f>
        <v/>
      </c>
      <c r="AW11" s="30" t="str">
        <f>IF(AV11="","",VLOOKUP(AV11,'G-1 All Habitats'!$B$1:$T$135,19,FALSE))</f>
        <v/>
      </c>
      <c r="AX11" s="30" t="s">
        <v>348</v>
      </c>
      <c r="AY11" s="287" t="str">
        <f>IFERROR(IF(X11="Irreplaceable habitat - no units generated ⚠","0",(V11*J11*L11*O11*S11)+(AS11*S11)),"")</f>
        <v/>
      </c>
    </row>
    <row r="12" spans="1:51" ht="14">
      <c r="A12" s="30" t="str">
        <f>IFERROR(INDEX('G-1 All Habitats'!$AG$3:$AG$17,MATCH(E12,'G-1 All Habitats'!$AF$3:$AF$17,0)),"")</f>
        <v/>
      </c>
      <c r="B12" s="30" t="str">
        <f>IFERROR(INDEX('G-8 Condition Look up'!$I$4:$I$135,MATCH(AV12,'G-8 Condition Look up'!$A$4:$A$135,0)),"")</f>
        <v/>
      </c>
      <c r="D12" s="97">
        <v>2</v>
      </c>
      <c r="E12" s="633"/>
      <c r="F12" s="57"/>
      <c r="G12" s="133"/>
      <c r="H12" s="51"/>
      <c r="I12" s="509" t="str">
        <f>IF(AV12="","",IF(AND(AW12="Yes",G12="No"),"Irreplaceable habitat ▲",IF(AND(AW12="No",G12="Yes"),"Cannot be Irreplaceable ▲",VLOOKUP(AV12,'G-1 All Habitats'!$B$2:$M$135,10,FALSE))))</f>
        <v/>
      </c>
      <c r="J12" s="377" t="str">
        <f>IFERROR(VLOOKUP(I12,'G-1 All Habitats'!$V$3:$W$7,2,FALSE),"")</f>
        <v/>
      </c>
      <c r="K12" s="52"/>
      <c r="L12" s="276" t="str">
        <f>IFERROR(INDEX('G-8 Condition Look up'!$A$3:$H$135,MATCH(AV12,'G-8 Condition Look up'!$A$3:$A$135,0),MATCH(K12,'G-8 Condition Look up'!$A$3:$H$3,0)),"")</f>
        <v/>
      </c>
      <c r="M12" s="52"/>
      <c r="N12" s="295" t="str">
        <f>IF(M12="","",IF(VLOOKUP(M12,'G-3 Multipliers'!$L$3:$N$6,2,FALSE)=0,"Spatial Data Missing ⚠",VLOOKUP(M12,'G-3 Multipliers'!$L$3:$N$6,2,FALSE)))</f>
        <v/>
      </c>
      <c r="O12" s="353" t="str">
        <f>IF(M12="","",IF(VLOOKUP(M12,'G-3 Multipliers'!$L$3:$N$6,3,FALSE)=0,"Spatial Data Missing ⚠",VLOOKUP(M12,'G-3 Multipliers'!$L$3:$N$6,3,FALSE)))</f>
        <v/>
      </c>
      <c r="P12" s="336" t="str">
        <f>(IF(G12="Yes","Bespoke compensation likely to be required",(IFERROR(VLOOKUP(AV12,'G-1 All Habitats'!$B$2:$M$135,12,FALSE),""))))</f>
        <v/>
      </c>
      <c r="Q12" s="511" t="str">
        <f>IFERROR(IF(P12="","",IF(AND(E12="Individual trees",W12&gt;0,G12="Yes"),"Error - you cannot enhance irreplaceable individual trees ▲",IF(P12='G-1 All Habitats'!$X$9,T12*S12,IF(AND(P12='G-1 All Habitats'!$X$9,W12&gt;0),X12+(Y12*S12),IF(AND(P12='G-1 All Habitats'!$X$9,V12&gt;0),X12+(Y12*S12),IF(AND(P12='G-1 All Habitats'!$X$9,AG12&gt;0),"Any Loss Unacceptable  ⚠",IF(AND(P12='G-1 All Habitats'!$X$9,Z12&gt;0),"Any Loss Unacceptable ⚠",H12*J12*L12*O12*S12))))))),"Check Data ⚠")</f>
        <v/>
      </c>
      <c r="R12" s="393"/>
      <c r="S12" s="510" t="str">
        <f>IF(R12="","",IF(VLOOKUP(R12,'G-3 Multipliers'!$S$3:$T$10,2,FALSE)=0,"Spatial Data Missing ⚠",VLOOKUP(R12,'G-3 Multipliers'!$S$3:$T$10,2,FALSE)))</f>
        <v/>
      </c>
      <c r="T12" s="289" t="str">
        <f>IFERROR(IF(AND(F12&lt;&gt;"",G12=""),"Confirm irreplaceable habitat status ▲",(IF(AND(R12&lt;&gt;"",AF12=""),"Off-site reference required ▲",(IF(AND(E12="Individual trees",W12&gt;0,G12="Yes"),"Error - you cannot enhance irreplaceable individual trees ▲",(IF(AND(X12="Irreplaceable habitat - no units generated ⚠",(W12+V12)&lt;H12,OR(AB12="No",AB12="")),"Any Loss Unacceptable ⚠",(IF(X12="Irreplaceable habitat - no units generated ⚠",W12*J12*L12*O12,IF(AND(P12='G-1 All Habitats'!$X$9,AH12&gt;0,V12&lt;=0,W12&lt;=0,OR(AB12="No",AB12="")),"Any Loss Unacceptable ⚠",IF(AND(P12='G-1 All Habitats'!$X$9,AH12&gt;0,V12&lt;=0,W12&lt;=0),0,(IF(AND(P12='G-1 All Habitats'!$X$9,(W12+V12)&lt;H12,OR(AB12="No",AB12="")),"Any Loss Unacceptable ⚠",(IF(P12="","",IF(AND(P12='G-1 All Habitats'!$X$9,W12&gt;0),X12+Y12,IF(AND(P12='G-1 All Habitats'!$X$9,V12&gt;0),X12+Y12,IF(R12="","",H12*J12*L12*O12)))))))))))))))))),"Check Data ▲")</f>
        <v/>
      </c>
      <c r="U12" s="38"/>
      <c r="V12" s="52"/>
      <c r="W12" s="53"/>
      <c r="X12" s="287" t="str">
        <f t="shared" si="2" ref="X12:X75">IFERROR(IF(G12="Yes","Irreplaceable habitat - no units generated ⚠",(V12*J12*L12*O12)),"")</f>
        <v/>
      </c>
      <c r="Y12" s="287" t="str">
        <f t="shared" si="3" ref="Y12:Y75">IFERROR(IF(AND(E12="Individual trees",W12&gt;0,G12="Yes"),"Error - ▲",(W12*J12*L12*O12)),"")</f>
        <v/>
      </c>
      <c r="Z12" s="287" t="str">
        <f t="shared" si="4" ref="Z12:Z75">IF(E12="","",IF(H12&lt;V12+W12,"Error in Areas ▲",H12-V12-W12))</f>
        <v/>
      </c>
      <c r="AA12" s="317" t="str">
        <f>IFERROR(IF(AND(E12="Individual trees",G12="Yes",W12&gt;0),"Error - you cannot enhance an irreplaceable tree ▲",(IF(H12="","",IF(H12-V12-W12=0&lt;0,"Error in Areas ▲",IF(V12+W12&gt;H12,"Error in Areas ▲",IF(AND(P12='G-1 All Habitats'!$X$9,AB12="Yes"),"Alternative Compensation ✓",IF(AND(P12='G-1 All Habitats'!$X$3,AB12="Yes"),"Alternative Compensation ✓",IF(AND(AB12="Pending",P12='G-1 All Habitats'!$X$3),"Bespoke compensation must be agreed ▲",IF(AND(AB12="Pending",P12='G-1 All Habitats'!$X$9),"Bespoke compensation must be agreed  ▲",IF(Z12=0,0,IF(P12='G-1 All Habitats'!$X$9,"Any Loss Unacceptable ▲",T12-X12-Y12))))))))))),"Check Data ⚠")</f>
        <v/>
      </c>
      <c r="AB12" s="587"/>
      <c r="AC12" s="105"/>
      <c r="AD12" s="138"/>
      <c r="AE12" s="104"/>
      <c r="AF12" s="611"/>
      <c r="AG12" s="523" t="str">
        <f>IF(OR(P12="",AB12="Yes"),"",IF(P12='G-1 All Habitats'!$X$9,H12-V12-W12,"None"))</f>
        <v/>
      </c>
      <c r="AH12" s="523" t="str">
        <f>IF(P12="","",IF(P12='G-1 All Habitats'!$X$9,AG12*J12*L12*O12,"None"))</f>
        <v/>
      </c>
      <c r="AJ12" s="107" t="str">
        <f t="shared" si="5" ref="AJ12:AJ75">IF(AV12="","",IF(V12&gt;0,TRUE,FALSE))</f>
        <v/>
      </c>
      <c r="AK12" s="107" t="str">
        <f t="shared" si="0"/>
        <v/>
      </c>
      <c r="AL12" s="107" t="str">
        <f>IF(I12="","",IF(#REF!&gt;0,TRUE,FALSE))</f>
        <v/>
      </c>
      <c r="AM12" s="107">
        <v>2</v>
      </c>
      <c r="AN12" s="107"/>
      <c r="AO12" s="107" t="str">
        <f t="array" ref="AO12">IFERROR(INDEX($AM$11:$AM$259,MATCH(0,IF(TRUE=$AJ$11:$AJ$259,COUNTIF($AO$10:$AO11,$AM$11:$AM$259),""),0)),"")</f>
        <v/>
      </c>
      <c r="AP12" s="107" t="str">
        <f t="array" ref="AP12">IFERROR(INDEX($AM$11:$AM$259,MATCH(0,IF(TRUE=$AK$11:$AK$259,COUNTIF($AP$10:$AP11,$AM$11:$AM$259),""),0)),"")</f>
        <v/>
      </c>
      <c r="AQ12" s="107" t="str">
        <f t="array" ref="AQ12">IFERROR(INDEX($AM$11:$AM$259,MATCH(0,IF(TRUE=$AL$11:$AL$259,COUNTIF($AQ$10:$AQ11,$AM$11:$AM$259),""),0)),"")</f>
        <v/>
      </c>
      <c r="AS12" s="885" t="str">
        <f>IF(AND(OR(AB12="Yes",AB12="Pending"),P12='G-1 All Habitats'!$X$3),T12-X12-Y12,"0")</f>
        <v>0</v>
      </c>
      <c r="AT12" s="30" t="str">
        <f t="shared" si="1"/>
        <v/>
      </c>
      <c r="AU12" s="30">
        <f t="shared" si="6" ref="AU12:AU75">IF(AA12="Any Loss Unacceptable ▲",1,0)</f>
        <v>0</v>
      </c>
      <c r="AV12" s="230" t="str">
        <f>IFERROR(INDEX('G-1 All Habitats'!$B$3:$B$135,MATCH(F12,'G-1 All Habitats'!$A$3:$A$135,0)),"")</f>
        <v/>
      </c>
      <c r="AW12" s="30" t="str">
        <f>IF(AV12="","",VLOOKUP(AV12,'G-1 All Habitats'!$B$1:$T$135,19,FALSE))</f>
        <v/>
      </c>
      <c r="AX12" s="30" t="s">
        <v>344</v>
      </c>
      <c r="AY12" s="287" t="str">
        <f t="shared" si="7" ref="AY12:AY75">IFERROR(IF(X12="Irreplaceable habitat - no units generated ⚠","0",(V12*J12*L12*O12*S12)+(AS12*S12)),"")</f>
        <v/>
      </c>
    </row>
    <row r="13" spans="1:51" ht="14">
      <c r="A13" s="30" t="str">
        <f>IFERROR(INDEX('G-1 All Habitats'!$AG$3:$AG$17,MATCH(E13,'G-1 All Habitats'!$AF$3:$AF$17,0)),"")</f>
        <v/>
      </c>
      <c r="B13" s="30" t="str">
        <f>IFERROR(INDEX('G-8 Condition Look up'!$I$4:$I$135,MATCH(AV13,'G-8 Condition Look up'!$A$4:$A$135,0)),"")</f>
        <v/>
      </c>
      <c r="D13" s="97">
        <v>3</v>
      </c>
      <c r="E13" s="211"/>
      <c r="F13" s="57"/>
      <c r="G13" s="133"/>
      <c r="H13" s="51"/>
      <c r="I13" s="509" t="str">
        <f>IF(AV13="","",IF(AND(AW13="Yes",G13="No"),"Irreplaceable habitat ▲",IF(AND(AW13="No",G13="Yes"),"Cannot be Irreplaceable ▲",VLOOKUP(AV13,'G-1 All Habitats'!$B$2:$M$135,10,FALSE))))</f>
        <v/>
      </c>
      <c r="J13" s="377" t="str">
        <f>IFERROR(VLOOKUP(I13,'G-1 All Habitats'!$V$3:$W$7,2,FALSE),"")</f>
        <v/>
      </c>
      <c r="K13" s="52"/>
      <c r="L13" s="276" t="str">
        <f>IFERROR(INDEX('G-8 Condition Look up'!$A$3:$H$135,MATCH(AV13,'G-8 Condition Look up'!$A$3:$A$135,0),MATCH(K13,'G-8 Condition Look up'!$A$3:$H$3,0)),"")</f>
        <v/>
      </c>
      <c r="M13" s="52"/>
      <c r="N13" s="295" t="str">
        <f>IF(M13="","",IF(VLOOKUP(M13,'G-3 Multipliers'!$L$3:$N$6,2,FALSE)=0,"Spatial Data Missing ⚠",VLOOKUP(M13,'G-3 Multipliers'!$L$3:$N$6,2,FALSE)))</f>
        <v/>
      </c>
      <c r="O13" s="353" t="str">
        <f>IF(M13="","",IF(VLOOKUP(M13,'G-3 Multipliers'!$L$3:$N$6,3,FALSE)=0,"Spatial Data Missing ⚠",VLOOKUP(M13,'G-3 Multipliers'!$L$3:$N$6,3,FALSE)))</f>
        <v/>
      </c>
      <c r="P13" s="336" t="str">
        <f>(IF(G13="Yes","Bespoke compensation likely to be required",(IFERROR(VLOOKUP(AV13,'G-1 All Habitats'!$B$2:$M$135,12,FALSE),""))))</f>
        <v/>
      </c>
      <c r="Q13" s="511" t="str">
        <f>IFERROR(IF(P13="","",IF(AND(E13="Individual trees",W13&gt;0,G13="Yes"),"Error - you cannot enhance irreplaceable individual trees ▲",IF(P13='G-1 All Habitats'!$X$9,T13*S13,IF(AND(P13='G-1 All Habitats'!$X$9,W13&gt;0),X13+(Y13*S13),IF(AND(P13='G-1 All Habitats'!$X$9,V13&gt;0),X13+(Y13*S13),IF(AND(P13='G-1 All Habitats'!$X$9,AG13&gt;0),"Any Loss Unacceptable  ⚠",IF(AND(P13='G-1 All Habitats'!$X$9,Z13&gt;0),"Any Loss Unacceptable ⚠",H13*J13*L13*O13*S13))))))),"Check Data ⚠")</f>
        <v/>
      </c>
      <c r="R13" s="393"/>
      <c r="S13" s="510" t="str">
        <f>IF(R13="","",IF(VLOOKUP(R13,'G-3 Multipliers'!$S$3:$T$10,2,FALSE)=0,"Spatial Data Missing ⚠",VLOOKUP(R13,'G-3 Multipliers'!$S$3:$T$10,2,FALSE)))</f>
        <v/>
      </c>
      <c r="T13" s="289" t="str">
        <f>IFERROR(IF(AND(F13&lt;&gt;"",G13=""),"Confirm irreplaceable habitat status ▲",(IF(AND(R13&lt;&gt;"",AF13=""),"Off-site reference required ▲",(IF(AND(E13="Individual trees",W13&gt;0,G13="Yes"),"Error - you cannot enhance irreplaceable individual trees ▲",(IF(AND(X13="Irreplaceable habitat - no units generated ⚠",(W13+V13)&lt;H13,OR(AB13="No",AB13="")),"Any Loss Unacceptable ⚠",(IF(X13="Irreplaceable habitat - no units generated ⚠",W13*J13*L13*O13,IF(AND(P13='G-1 All Habitats'!$X$9,AH13&gt;0,V13&lt;=0,W13&lt;=0,OR(AB13="No",AB13="")),"Any Loss Unacceptable ⚠",IF(AND(P13='G-1 All Habitats'!$X$9,AH13&gt;0,V13&lt;=0,W13&lt;=0),0,(IF(AND(P13='G-1 All Habitats'!$X$9,(W13+V13)&lt;H13,OR(AB13="No",AB13="")),"Any Loss Unacceptable ⚠",(IF(P13="","",IF(AND(P13='G-1 All Habitats'!$X$9,W13&gt;0),X13+Y13,IF(AND(P13='G-1 All Habitats'!$X$9,V13&gt;0),X13+Y13,IF(R13="","",H13*J13*L13*O13)))))))))))))))))),"Check Data ▲")</f>
        <v/>
      </c>
      <c r="U13" s="38"/>
      <c r="V13" s="52"/>
      <c r="W13" s="53"/>
      <c r="X13" s="287" t="str">
        <f t="shared" si="2"/>
        <v/>
      </c>
      <c r="Y13" s="287" t="str">
        <f t="shared" si="3"/>
        <v/>
      </c>
      <c r="Z13" s="287" t="str">
        <f t="shared" si="4"/>
        <v/>
      </c>
      <c r="AA13" s="317" t="str">
        <f>IFERROR(IF(AND(E13="Individual trees",G13="Yes",W13&gt;0),"Error - you cannot enhance an irreplaceable tree ▲",(IF(H13="","",IF(H13-V13-W13=0&lt;0,"Error in Areas ▲",IF(V13+W13&gt;H13,"Error in Areas ▲",IF(AND(P13='G-1 All Habitats'!$X$9,AB13="Yes"),"Alternative Compensation ✓",IF(AND(P13='G-1 All Habitats'!$X$3,AB13="Yes"),"Alternative Compensation ✓",IF(AND(AB13="Pending",P13='G-1 All Habitats'!$X$3),"Bespoke compensation must be agreed ▲",IF(AND(AB13="Pending",P13='G-1 All Habitats'!$X$9),"Bespoke compensation must be agreed  ▲",IF(Z13=0,0,IF(P13='G-1 All Habitats'!$X$9,"Any Loss Unacceptable ▲",T13-X13-Y13))))))))))),"Check Data ⚠")</f>
        <v/>
      </c>
      <c r="AB13" s="587"/>
      <c r="AC13" s="105"/>
      <c r="AD13" s="138"/>
      <c r="AE13" s="104"/>
      <c r="AF13" s="611"/>
      <c r="AG13" s="523" t="str">
        <f>IF(OR(P13="",AB13="Yes"),"",IF(P13='G-1 All Habitats'!$X$9,H13-V13-W13,"None"))</f>
        <v/>
      </c>
      <c r="AH13" s="523" t="str">
        <f>IF(P13="","",IF(P13='G-1 All Habitats'!$X$9,AG13*J13*L13*O13,"None"))</f>
        <v/>
      </c>
      <c r="AJ13" s="107" t="str">
        <f t="shared" si="5"/>
        <v/>
      </c>
      <c r="AK13" s="107" t="str">
        <f t="shared" si="0"/>
        <v/>
      </c>
      <c r="AL13" s="107" t="str">
        <f>IF(I13="","",IF(#REF!&gt;0,TRUE,FALSE))</f>
        <v/>
      </c>
      <c r="AM13" s="107">
        <v>3</v>
      </c>
      <c r="AN13" s="107"/>
      <c r="AO13" s="107" t="str">
        <f t="array" ref="AO13">IFERROR(INDEX($AM$11:$AM$259,MATCH(0,IF(TRUE=$AJ$11:$AJ$259,COUNTIF($AO$10:$AO12,$AM$11:$AM$259),""),0)),"")</f>
        <v/>
      </c>
      <c r="AP13" s="107" t="str">
        <f t="array" ref="AP13">IFERROR(INDEX($AM$11:$AM$259,MATCH(0,IF(TRUE=$AK$11:$AK$259,COUNTIF($AP$10:$AP12,$AM$11:$AM$259),""),0)),"")</f>
        <v/>
      </c>
      <c r="AQ13" s="107" t="str">
        <f t="array" ref="AQ13">IFERROR(INDEX($AM$11:$AM$259,MATCH(0,IF(TRUE=$AL$11:$AL$259,COUNTIF($AQ$10:$AQ12,$AM$11:$AM$259),""),0)),"")</f>
        <v/>
      </c>
      <c r="AS13" s="885" t="str">
        <f>IF(AND(OR(AB13="Yes",AB13="Pending"),P13='G-1 All Habitats'!$X$3),T13-X13-Y13,"0")</f>
        <v>0</v>
      </c>
      <c r="AT13" s="30" t="str">
        <f t="shared" si="1"/>
        <v/>
      </c>
      <c r="AU13" s="30">
        <f t="shared" si="6"/>
        <v>0</v>
      </c>
      <c r="AV13" s="230" t="str">
        <f>IFERROR(INDEX('G-1 All Habitats'!$B$3:$B$135,MATCH(F13,'G-1 All Habitats'!$A$3:$A$135,0)),"")</f>
        <v/>
      </c>
      <c r="AW13" s="30" t="str">
        <f>IF(AV13="","",VLOOKUP(AV13,'G-1 All Habitats'!$B$1:$T$135,19,FALSE))</f>
        <v/>
      </c>
      <c r="AY13" s="287" t="str">
        <f t="shared" si="7"/>
        <v/>
      </c>
    </row>
    <row r="14" spans="1:51" ht="14">
      <c r="A14" s="30" t="str">
        <f>IFERROR(INDEX('G-1 All Habitats'!$AG$3:$AG$17,MATCH(E14,'G-1 All Habitats'!$AF$3:$AF$17,0)),"")</f>
        <v/>
      </c>
      <c r="B14" s="30" t="str">
        <f>IFERROR(INDEX('G-8 Condition Look up'!$I$4:$I$135,MATCH(AV14,'G-8 Condition Look up'!$A$4:$A$135,0)),"")</f>
        <v/>
      </c>
      <c r="D14" s="97">
        <v>4</v>
      </c>
      <c r="E14" s="211"/>
      <c r="F14" s="57"/>
      <c r="G14" s="133"/>
      <c r="H14" s="51"/>
      <c r="I14" s="509" t="str">
        <f>IF(AV14="","",IF(AND(AW14="Yes",G14="No"),"Irreplaceable habitat ▲",IF(AND(AW14="No",G14="Yes"),"Cannot be Irreplaceable ▲",VLOOKUP(AV14,'G-1 All Habitats'!$B$2:$M$135,10,FALSE))))</f>
        <v/>
      </c>
      <c r="J14" s="377" t="str">
        <f>IFERROR(VLOOKUP(I14,'G-1 All Habitats'!$V$3:$W$7,2,FALSE),"")</f>
        <v/>
      </c>
      <c r="K14" s="52"/>
      <c r="L14" s="276" t="str">
        <f>IFERROR(INDEX('G-8 Condition Look up'!$A$3:$H$135,MATCH(AV14,'G-8 Condition Look up'!$A$3:$A$135,0),MATCH(K14,'G-8 Condition Look up'!$A$3:$H$3,0)),"")</f>
        <v/>
      </c>
      <c r="M14" s="52"/>
      <c r="N14" s="295" t="str">
        <f>IF(M14="","",IF(VLOOKUP(M14,'G-3 Multipliers'!$L$3:$N$6,2,FALSE)=0,"Spatial Data Missing ⚠",VLOOKUP(M14,'G-3 Multipliers'!$L$3:$N$6,2,FALSE)))</f>
        <v/>
      </c>
      <c r="O14" s="353" t="str">
        <f>IF(M14="","",IF(VLOOKUP(M14,'G-3 Multipliers'!$L$3:$N$6,3,FALSE)=0,"Spatial Data Missing ⚠",VLOOKUP(M14,'G-3 Multipliers'!$L$3:$N$6,3,FALSE)))</f>
        <v/>
      </c>
      <c r="P14" s="336" t="str">
        <f>(IF(G14="Yes","Bespoke compensation likely to be required",(IFERROR(VLOOKUP(AV14,'G-1 All Habitats'!$B$2:$M$135,12,FALSE),""))))</f>
        <v/>
      </c>
      <c r="Q14" s="511" t="str">
        <f>IFERROR(IF(P14="","",IF(AND(E14="Individual trees",W14&gt;0,G14="Yes"),"Error - you cannot enhance irreplaceable individual trees ▲",IF(P14='G-1 All Habitats'!$X$9,T14*S14,IF(AND(P14='G-1 All Habitats'!$X$9,W14&gt;0),X14+(Y14*S14),IF(AND(P14='G-1 All Habitats'!$X$9,V14&gt;0),X14+(Y14*S14),IF(AND(P14='G-1 All Habitats'!$X$9,AG14&gt;0),"Any Loss Unacceptable  ⚠",IF(AND(P14='G-1 All Habitats'!$X$9,Z14&gt;0),"Any Loss Unacceptable ⚠",H14*J14*L14*O14*S14))))))),"Check Data ⚠")</f>
        <v/>
      </c>
      <c r="R14" s="393"/>
      <c r="S14" s="510" t="str">
        <f>IF(R14="","",IF(VLOOKUP(R14,'G-3 Multipliers'!$S$3:$T$10,2,FALSE)=0,"Spatial Data Missing ⚠",VLOOKUP(R14,'G-3 Multipliers'!$S$3:$T$10,2,FALSE)))</f>
        <v/>
      </c>
      <c r="T14" s="289" t="str">
        <f>IFERROR(IF(AND(F14&lt;&gt;"",G14=""),"Confirm irreplaceable habitat status ▲",(IF(AND(R14&lt;&gt;"",AF14=""),"Off-site reference required ▲",(IF(AND(E14="Individual trees",W14&gt;0,G14="Yes"),"Error - you cannot enhance irreplaceable individual trees ▲",(IF(AND(X14="Irreplaceable habitat - no units generated ⚠",(W14+V14)&lt;H14,OR(AB14="No",AB14="")),"Any Loss Unacceptable ⚠",(IF(X14="Irreplaceable habitat - no units generated ⚠",W14*J14*L14*O14,IF(AND(P14='G-1 All Habitats'!$X$9,AH14&gt;0,V14&lt;=0,W14&lt;=0,OR(AB14="No",AB14="")),"Any Loss Unacceptable ⚠",IF(AND(P14='G-1 All Habitats'!$X$9,AH14&gt;0,V14&lt;=0,W14&lt;=0),0,(IF(AND(P14='G-1 All Habitats'!$X$9,(W14+V14)&lt;H14,OR(AB14="No",AB14="")),"Any Loss Unacceptable ⚠",(IF(P14="","",IF(AND(P14='G-1 All Habitats'!$X$9,W14&gt;0),X14+Y14,IF(AND(P14='G-1 All Habitats'!$X$9,V14&gt;0),X14+Y14,IF(R14="","",H14*J14*L14*O14)))))))))))))))))),"Check Data ▲")</f>
        <v/>
      </c>
      <c r="U14" s="38"/>
      <c r="V14" s="52"/>
      <c r="W14" s="53"/>
      <c r="X14" s="287" t="str">
        <f t="shared" si="2"/>
        <v/>
      </c>
      <c r="Y14" s="287" t="str">
        <f t="shared" si="3"/>
        <v/>
      </c>
      <c r="Z14" s="287" t="str">
        <f t="shared" si="4"/>
        <v/>
      </c>
      <c r="AA14" s="317" t="str">
        <f>IFERROR(IF(AND(E14="Individual trees",G14="Yes",W14&gt;0),"Error - you cannot enhance an irreplaceable tree ▲",(IF(H14="","",IF(H14-V14-W14=0&lt;0,"Error in Areas ▲",IF(V14+W14&gt;H14,"Error in Areas ▲",IF(AND(P14='G-1 All Habitats'!$X$9,AB14="Yes"),"Alternative Compensation ✓",IF(AND(P14='G-1 All Habitats'!$X$3,AB14="Yes"),"Alternative Compensation ✓",IF(AND(AB14="Pending",P14='G-1 All Habitats'!$X$3),"Bespoke compensation must be agreed ▲",IF(AND(AB14="Pending",P14='G-1 All Habitats'!$X$9),"Bespoke compensation must be agreed  ▲",IF(Z14=0,0,IF(P14='G-1 All Habitats'!$X$9,"Any Loss Unacceptable ▲",T14-X14-Y14))))))))))),"Check Data ⚠")</f>
        <v/>
      </c>
      <c r="AB14" s="587"/>
      <c r="AC14" s="105"/>
      <c r="AD14" s="138"/>
      <c r="AE14" s="104"/>
      <c r="AF14" s="611"/>
      <c r="AG14" s="523" t="str">
        <f>IF(OR(P14="",AB14="Yes"),"",IF(P14='G-1 All Habitats'!$X$9,H14-V14-W14,"None"))</f>
        <v/>
      </c>
      <c r="AH14" s="523" t="str">
        <f>IF(P14="","",IF(P14='G-1 All Habitats'!$X$9,AG14*J14*L14*O14,"None"))</f>
        <v/>
      </c>
      <c r="AJ14" s="107" t="str">
        <f t="shared" si="5"/>
        <v/>
      </c>
      <c r="AK14" s="107" t="str">
        <f t="shared" si="0"/>
        <v/>
      </c>
      <c r="AL14" s="107" t="str">
        <f>IF(I14="","",IF(#REF!&gt;0,TRUE,FALSE))</f>
        <v/>
      </c>
      <c r="AM14" s="107">
        <v>4</v>
      </c>
      <c r="AN14" s="107"/>
      <c r="AO14" s="107" t="str">
        <f t="array" ref="AO14">IFERROR(INDEX($AM$11:$AM$259,MATCH(0,IF(TRUE=$AJ$11:$AJ$259,COUNTIF($AO$10:$AO13,$AM$11:$AM$259),""),0)),"")</f>
        <v/>
      </c>
      <c r="AP14" s="107" t="str">
        <f t="array" ref="AP14">IFERROR(INDEX($AM$11:$AM$259,MATCH(0,IF(TRUE=$AK$11:$AK$259,COUNTIF($AP$10:$AP13,$AM$11:$AM$259),""),0)),"")</f>
        <v/>
      </c>
      <c r="AQ14" s="107" t="str">
        <f t="array" ref="AQ14">IFERROR(INDEX($AM$11:$AM$259,MATCH(0,IF(TRUE=$AL$11:$AL$259,COUNTIF($AQ$10:$AQ13,$AM$11:$AM$259),""),0)),"")</f>
        <v/>
      </c>
      <c r="AS14" s="885" t="str">
        <f>IF(AND(OR(AB14="Yes",AB14="Pending"),P14='G-1 All Habitats'!$X$3),T14-X14-Y14,"0")</f>
        <v>0</v>
      </c>
      <c r="AT14" s="30" t="str">
        <f t="shared" si="1"/>
        <v/>
      </c>
      <c r="AU14" s="30">
        <f t="shared" si="6"/>
        <v>0</v>
      </c>
      <c r="AV14" s="230" t="str">
        <f>IFERROR(INDEX('G-1 All Habitats'!$B$3:$B$135,MATCH(F14,'G-1 All Habitats'!$A$3:$A$135,0)),"")</f>
        <v/>
      </c>
      <c r="AW14" s="30" t="str">
        <f>IF(AV14="","",VLOOKUP(AV14,'G-1 All Habitats'!$B$1:$T$135,19,FALSE))</f>
        <v/>
      </c>
      <c r="AY14" s="287" t="str">
        <f t="shared" si="7"/>
        <v/>
      </c>
    </row>
    <row r="15" spans="1:51" ht="14">
      <c r="A15" s="30" t="str">
        <f>IFERROR(INDEX('G-1 All Habitats'!$AG$3:$AG$17,MATCH(E15,'G-1 All Habitats'!$AF$3:$AF$17,0)),"")</f>
        <v/>
      </c>
      <c r="B15" s="30" t="str">
        <f>IFERROR(INDEX('G-8 Condition Look up'!$I$4:$I$135,MATCH(AV15,'G-8 Condition Look up'!$A$4:$A$135,0)),"")</f>
        <v/>
      </c>
      <c r="D15" s="97">
        <v>5</v>
      </c>
      <c r="E15" s="262"/>
      <c r="F15" s="262"/>
      <c r="G15" s="133"/>
      <c r="H15" s="51"/>
      <c r="I15" s="509" t="str">
        <f>IF(AV15="","",IF(AND(AW15="Yes",G15="No"),"Irreplaceable habitat ▲",IF(AND(AW15="No",G15="Yes"),"Cannot be Irreplaceable ▲",VLOOKUP(AV15,'G-1 All Habitats'!$B$2:$M$135,10,FALSE))))</f>
        <v/>
      </c>
      <c r="J15" s="377" t="str">
        <f>IFERROR(VLOOKUP(I15,'G-1 All Habitats'!$V$3:$W$7,2,FALSE),"")</f>
        <v/>
      </c>
      <c r="K15" s="52"/>
      <c r="L15" s="276" t="str">
        <f>IFERROR(INDEX('G-8 Condition Look up'!$A$3:$H$135,MATCH(AV15,'G-8 Condition Look up'!$A$3:$A$135,0),MATCH(K15,'G-8 Condition Look up'!$A$3:$H$3,0)),"")</f>
        <v/>
      </c>
      <c r="M15" s="52"/>
      <c r="N15" s="295" t="str">
        <f>IF(M15="","",IF(VLOOKUP(M15,'G-3 Multipliers'!$L$3:$N$6,2,FALSE)=0,"Spatial Data Missing ⚠",VLOOKUP(M15,'G-3 Multipliers'!$L$3:$N$6,2,FALSE)))</f>
        <v/>
      </c>
      <c r="O15" s="353" t="str">
        <f>IF(M15="","",IF(VLOOKUP(M15,'G-3 Multipliers'!$L$3:$N$6,3,FALSE)=0,"Spatial Data Missing ⚠",VLOOKUP(M15,'G-3 Multipliers'!$L$3:$N$6,3,FALSE)))</f>
        <v/>
      </c>
      <c r="P15" s="336" t="str">
        <f>(IF(G15="Yes","Bespoke compensation likely to be required",(IFERROR(VLOOKUP(AV15,'G-1 All Habitats'!$B$2:$M$135,12,FALSE),""))))</f>
        <v/>
      </c>
      <c r="Q15" s="511" t="str">
        <f>IFERROR(IF(P15="","",IF(AND(E15="Individual trees",W15&gt;0,G15="Yes"),"Error - you cannot enhance irreplaceable individual trees ▲",IF(P15='G-1 All Habitats'!$X$9,T15*S15,IF(AND(P15='G-1 All Habitats'!$X$9,W15&gt;0),X15+(Y15*S15),IF(AND(P15='G-1 All Habitats'!$X$9,V15&gt;0),X15+(Y15*S15),IF(AND(P15='G-1 All Habitats'!$X$9,AG15&gt;0),"Any Loss Unacceptable  ⚠",IF(AND(P15='G-1 All Habitats'!$X$9,Z15&gt;0),"Any Loss Unacceptable ⚠",H15*J15*L15*O15*S15))))))),"Check Data ⚠")</f>
        <v/>
      </c>
      <c r="R15" s="393"/>
      <c r="S15" s="510" t="str">
        <f>IF(R15="","",IF(VLOOKUP(R15,'G-3 Multipliers'!$S$3:$T$10,2,FALSE)=0,"Spatial Data Missing ⚠",VLOOKUP(R15,'G-3 Multipliers'!$S$3:$T$10,2,FALSE)))</f>
        <v/>
      </c>
      <c r="T15" s="289" t="str">
        <f>IFERROR(IF(AND(F15&lt;&gt;"",G15=""),"Confirm irreplaceable habitat status ▲",(IF(AND(R15&lt;&gt;"",AF15=""),"Off-site reference required ▲",(IF(AND(E15="Individual trees",W15&gt;0,G15="Yes"),"Error - you cannot enhance irreplaceable individual trees ▲",(IF(AND(X15="Irreplaceable habitat - no units generated ⚠",(W15+V15)&lt;H15,OR(AB15="No",AB15="")),"Any Loss Unacceptable ⚠",(IF(X15="Irreplaceable habitat - no units generated ⚠",W15*J15*L15*O15,IF(AND(P15='G-1 All Habitats'!$X$9,AH15&gt;0,V15&lt;=0,W15&lt;=0,OR(AB15="No",AB15="")),"Any Loss Unacceptable ⚠",IF(AND(P15='G-1 All Habitats'!$X$9,AH15&gt;0,V15&lt;=0,W15&lt;=0),0,(IF(AND(P15='G-1 All Habitats'!$X$9,(W15+V15)&lt;H15,OR(AB15="No",AB15="")),"Any Loss Unacceptable ⚠",(IF(P15="","",IF(AND(P15='G-1 All Habitats'!$X$9,W15&gt;0),X15+Y15,IF(AND(P15='G-1 All Habitats'!$X$9,V15&gt;0),X15+Y15,IF(R15="","",H15*J15*L15*O15)))))))))))))))))),"Check Data ▲")</f>
        <v/>
      </c>
      <c r="U15" s="38"/>
      <c r="V15" s="52"/>
      <c r="W15" s="53"/>
      <c r="X15" s="287" t="str">
        <f t="shared" si="2"/>
        <v/>
      </c>
      <c r="Y15" s="287" t="str">
        <f t="shared" si="3"/>
        <v/>
      </c>
      <c r="Z15" s="287" t="str">
        <f t="shared" si="4"/>
        <v/>
      </c>
      <c r="AA15" s="317" t="str">
        <f>IFERROR(IF(AND(E15="Individual trees",G15="Yes",W15&gt;0),"Error - you cannot enhance an irreplaceable tree ▲",(IF(H15="","",IF(H15-V15-W15=0&lt;0,"Error in Areas ▲",IF(V15+W15&gt;H15,"Error in Areas ▲",IF(AND(P15='G-1 All Habitats'!$X$9,AB15="Yes"),"Alternative Compensation ✓",IF(AND(P15='G-1 All Habitats'!$X$3,AB15="Yes"),"Alternative Compensation ✓",IF(AND(AB15="Pending",P15='G-1 All Habitats'!$X$3),"Bespoke compensation must be agreed ▲",IF(AND(AB15="Pending",P15='G-1 All Habitats'!$X$9),"Bespoke compensation must be agreed  ▲",IF(Z15=0,0,IF(P15='G-1 All Habitats'!$X$9,"Any Loss Unacceptable ▲",T15-X15-Y15))))))))))),"Check Data ⚠")</f>
        <v/>
      </c>
      <c r="AB15" s="587"/>
      <c r="AC15" s="105"/>
      <c r="AD15" s="138"/>
      <c r="AE15" s="104"/>
      <c r="AF15" s="611"/>
      <c r="AG15" s="523" t="str">
        <f>IF(OR(P15="",AB15="Yes"),"",IF(P15='G-1 All Habitats'!$X$9,H15-V15-W15,"None"))</f>
        <v/>
      </c>
      <c r="AH15" s="523" t="str">
        <f>IF(P15="","",IF(P15='G-1 All Habitats'!$X$9,AG15*J15*L15*O15,"None"))</f>
        <v/>
      </c>
      <c r="AJ15" s="107" t="str">
        <f t="shared" si="5"/>
        <v/>
      </c>
      <c r="AK15" s="107" t="str">
        <f t="shared" si="0"/>
        <v/>
      </c>
      <c r="AL15" s="107" t="str">
        <f>IF(I15="","",IF(#REF!&gt;0,TRUE,FALSE))</f>
        <v/>
      </c>
      <c r="AM15" s="107">
        <v>5</v>
      </c>
      <c r="AN15" s="107"/>
      <c r="AO15" s="107" t="str">
        <f t="array" ref="AO15">IFERROR(INDEX($AM$11:$AM$259,MATCH(0,IF(TRUE=$AJ$11:$AJ$259,COUNTIF($AO$10:$AO14,$AM$11:$AM$259),""),0)),"")</f>
        <v/>
      </c>
      <c r="AP15" s="107" t="str">
        <f t="array" ref="AP15">IFERROR(INDEX($AM$11:$AM$259,MATCH(0,IF(TRUE=$AK$11:$AK$259,COUNTIF($AP$10:$AP14,$AM$11:$AM$259),""),0)),"")</f>
        <v/>
      </c>
      <c r="AQ15" s="107" t="str">
        <f t="array" ref="AQ15">IFERROR(INDEX($AM$11:$AM$259,MATCH(0,IF(TRUE=$AL$11:$AL$259,COUNTIF($AQ$10:$AQ14,$AM$11:$AM$259),""),0)),"")</f>
        <v/>
      </c>
      <c r="AS15" s="885" t="str">
        <f>IF(AND(OR(AB15="Yes",AB15="Pending"),P15='G-1 All Habitats'!$X$3),T15-X15-Y15,"0")</f>
        <v>0</v>
      </c>
      <c r="AT15" s="30" t="str">
        <f t="shared" si="1"/>
        <v/>
      </c>
      <c r="AU15" s="30">
        <f t="shared" si="6"/>
        <v>0</v>
      </c>
      <c r="AV15" s="230" t="str">
        <f>IFERROR(INDEX('G-1 All Habitats'!$B$3:$B$135,MATCH(F15,'G-1 All Habitats'!$A$3:$A$135,0)),"")</f>
        <v/>
      </c>
      <c r="AW15" s="30" t="str">
        <f>IF(AV15="","",VLOOKUP(AV15,'G-1 All Habitats'!$B$1:$T$135,19,FALSE))</f>
        <v/>
      </c>
      <c r="AY15" s="287" t="str">
        <f t="shared" si="7"/>
        <v/>
      </c>
    </row>
    <row r="16" spans="1:51" ht="14">
      <c r="A16" s="30" t="str">
        <f>IFERROR(INDEX('G-1 All Habitats'!$AG$3:$AG$17,MATCH(E16,'G-1 All Habitats'!$AF$3:$AF$17,0)),"")</f>
        <v/>
      </c>
      <c r="B16" s="30" t="str">
        <f>IFERROR(INDEX('G-8 Condition Look up'!$I$4:$I$135,MATCH(AV16,'G-8 Condition Look up'!$A$4:$A$135,0)),"")</f>
        <v/>
      </c>
      <c r="D16" s="97">
        <v>6</v>
      </c>
      <c r="E16" s="262"/>
      <c r="F16" s="262"/>
      <c r="G16" s="133"/>
      <c r="H16" s="51"/>
      <c r="I16" s="509" t="str">
        <f>IF(AV16="","",IF(AND(AW16="Yes",G16="No"),"Irreplaceable habitat ▲",IF(AND(AW16="No",G16="Yes"),"Cannot be Irreplaceable ▲",VLOOKUP(AV16,'G-1 All Habitats'!$B$2:$M$135,10,FALSE))))</f>
        <v/>
      </c>
      <c r="J16" s="377" t="str">
        <f>IFERROR(VLOOKUP(I16,'G-1 All Habitats'!$V$3:$W$7,2,FALSE),"")</f>
        <v/>
      </c>
      <c r="K16" s="52"/>
      <c r="L16" s="276" t="str">
        <f>IFERROR(INDEX('G-8 Condition Look up'!$A$3:$H$135,MATCH(AV16,'G-8 Condition Look up'!$A$3:$A$135,0),MATCH(K16,'G-8 Condition Look up'!$A$3:$H$3,0)),"")</f>
        <v/>
      </c>
      <c r="M16" s="52"/>
      <c r="N16" s="295" t="str">
        <f>IF(M16="","",IF(VLOOKUP(M16,'G-3 Multipliers'!$L$3:$N$6,2,FALSE)=0,"Spatial Data Missing ⚠",VLOOKUP(M16,'G-3 Multipliers'!$L$3:$N$6,2,FALSE)))</f>
        <v/>
      </c>
      <c r="O16" s="353" t="str">
        <f>IF(M16="","",IF(VLOOKUP(M16,'G-3 Multipliers'!$L$3:$N$6,3,FALSE)=0,"Spatial Data Missing ⚠",VLOOKUP(M16,'G-3 Multipliers'!$L$3:$N$6,3,FALSE)))</f>
        <v/>
      </c>
      <c r="P16" s="336" t="str">
        <f>(IF(G16="Yes","Bespoke compensation likely to be required",(IFERROR(VLOOKUP(AV16,'G-1 All Habitats'!$B$2:$M$135,12,FALSE),""))))</f>
        <v/>
      </c>
      <c r="Q16" s="511" t="str">
        <f>IFERROR(IF(P16="","",IF(AND(E16="Individual trees",W16&gt;0,G16="Yes"),"Error - you cannot enhance irreplaceable individual trees ▲",IF(P16='G-1 All Habitats'!$X$9,T16*S16,IF(AND(P16='G-1 All Habitats'!$X$9,W16&gt;0),X16+(Y16*S16),IF(AND(P16='G-1 All Habitats'!$X$9,V16&gt;0),X16+(Y16*S16),IF(AND(P16='G-1 All Habitats'!$X$9,AG16&gt;0),"Any Loss Unacceptable  ⚠",IF(AND(P16='G-1 All Habitats'!$X$9,Z16&gt;0),"Any Loss Unacceptable ⚠",H16*J16*L16*O16*S16))))))),"Check Data ⚠")</f>
        <v/>
      </c>
      <c r="R16" s="393"/>
      <c r="S16" s="510" t="str">
        <f>IF(R16="","",IF(VLOOKUP(R16,'G-3 Multipliers'!$S$3:$T$10,2,FALSE)=0,"Spatial Data Missing ⚠",VLOOKUP(R16,'G-3 Multipliers'!$S$3:$T$10,2,FALSE)))</f>
        <v/>
      </c>
      <c r="T16" s="289" t="str">
        <f>IFERROR(IF(AND(F16&lt;&gt;"",G16=""),"Confirm irreplaceable habitat status ▲",(IF(AND(R16&lt;&gt;"",AF16=""),"Off-site reference required ▲",(IF(AND(E16="Individual trees",W16&gt;0,G16="Yes"),"Error - you cannot enhance irreplaceable individual trees ▲",(IF(AND(X16="Irreplaceable habitat - no units generated ⚠",(W16+V16)&lt;H16,OR(AB16="No",AB16="")),"Any Loss Unacceptable ⚠",(IF(X16="Irreplaceable habitat - no units generated ⚠",W16*J16*L16*O16,IF(AND(P16='G-1 All Habitats'!$X$9,AH16&gt;0,V16&lt;=0,W16&lt;=0,OR(AB16="No",AB16="")),"Any Loss Unacceptable ⚠",IF(AND(P16='G-1 All Habitats'!$X$9,AH16&gt;0,V16&lt;=0,W16&lt;=0),0,(IF(AND(P16='G-1 All Habitats'!$X$9,(W16+V16)&lt;H16,OR(AB16="No",AB16="")),"Any Loss Unacceptable ⚠",(IF(P16="","",IF(AND(P16='G-1 All Habitats'!$X$9,W16&gt;0),X16+Y16,IF(AND(P16='G-1 All Habitats'!$X$9,V16&gt;0),X16+Y16,IF(R16="","",H16*J16*L16*O16)))))))))))))))))),"Check Data ▲")</f>
        <v/>
      </c>
      <c r="U16" s="38"/>
      <c r="V16" s="52"/>
      <c r="W16" s="53"/>
      <c r="X16" s="287" t="str">
        <f t="shared" si="2"/>
        <v/>
      </c>
      <c r="Y16" s="287" t="str">
        <f t="shared" si="3"/>
        <v/>
      </c>
      <c r="Z16" s="287" t="str">
        <f t="shared" si="4"/>
        <v/>
      </c>
      <c r="AA16" s="317" t="str">
        <f>IFERROR(IF(AND(E16="Individual trees",G16="Yes",W16&gt;0),"Error - you cannot enhance an irreplaceable tree ▲",(IF(H16="","",IF(H16-V16-W16=0&lt;0,"Error in Areas ▲",IF(V16+W16&gt;H16,"Error in Areas ▲",IF(AND(P16='G-1 All Habitats'!$X$9,AB16="Yes"),"Alternative Compensation ✓",IF(AND(P16='G-1 All Habitats'!$X$3,AB16="Yes"),"Alternative Compensation ✓",IF(AND(AB16="Pending",P16='G-1 All Habitats'!$X$3),"Bespoke compensation must be agreed ▲",IF(AND(AB16="Pending",P16='G-1 All Habitats'!$X$9),"Bespoke compensation must be agreed  ▲",IF(Z16=0,0,IF(P16='G-1 All Habitats'!$X$9,"Any Loss Unacceptable ▲",T16-X16-Y16))))))))))),"Check Data ⚠")</f>
        <v/>
      </c>
      <c r="AB16" s="587"/>
      <c r="AC16" s="105"/>
      <c r="AD16" s="138"/>
      <c r="AE16" s="104"/>
      <c r="AF16" s="611"/>
      <c r="AG16" s="523" t="str">
        <f>IF(OR(P16="",AB16="Yes"),"",IF(P16='G-1 All Habitats'!$X$9,H16-V16-W16,"None"))</f>
        <v/>
      </c>
      <c r="AH16" s="523" t="str">
        <f>IF(P16="","",IF(P16='G-1 All Habitats'!$X$9,AG16*J16*L16*O16,"None"))</f>
        <v/>
      </c>
      <c r="AJ16" s="107" t="str">
        <f t="shared" si="5"/>
        <v/>
      </c>
      <c r="AK16" s="107" t="str">
        <f t="shared" si="0"/>
        <v/>
      </c>
      <c r="AL16" s="107" t="str">
        <f>IF(I16="","",IF(#REF!&gt;0,TRUE,FALSE))</f>
        <v/>
      </c>
      <c r="AM16" s="107">
        <v>6</v>
      </c>
      <c r="AN16" s="107"/>
      <c r="AO16" s="107" t="str">
        <f t="array" ref="AO16">IFERROR(INDEX($AM$11:$AM$259,MATCH(0,IF(TRUE=$AJ$11:$AJ$259,COUNTIF($AO$10:$AO15,$AM$11:$AM$259),""),0)),"")</f>
        <v/>
      </c>
      <c r="AP16" s="107" t="str">
        <f t="array" ref="AP16">IFERROR(INDEX($AM$11:$AM$259,MATCH(0,IF(TRUE=$AK$11:$AK$259,COUNTIF($AP$10:$AP15,$AM$11:$AM$259),""),0)),"")</f>
        <v/>
      </c>
      <c r="AQ16" s="107" t="str">
        <f t="array" ref="AQ16">IFERROR(INDEX($AM$11:$AM$259,MATCH(0,IF(TRUE=$AL$11:$AL$259,COUNTIF($AQ$10:$AQ15,$AM$11:$AM$259),""),0)),"")</f>
        <v/>
      </c>
      <c r="AS16" s="885" t="str">
        <f>IF(AND(OR(AB16="Yes",AB16="Pending"),P16='G-1 All Habitats'!$X$3),T16-X16-Y16,"0")</f>
        <v>0</v>
      </c>
      <c r="AT16" s="30" t="str">
        <f t="shared" si="1"/>
        <v/>
      </c>
      <c r="AU16" s="30">
        <f t="shared" si="6"/>
        <v>0</v>
      </c>
      <c r="AV16" s="230" t="str">
        <f>IFERROR(INDEX('G-1 All Habitats'!$B$3:$B$135,MATCH(F16,'G-1 All Habitats'!$A$3:$A$135,0)),"")</f>
        <v/>
      </c>
      <c r="AW16" s="30" t="str">
        <f>IF(AV16="","",VLOOKUP(AV16,'G-1 All Habitats'!$B$1:$T$135,19,FALSE))</f>
        <v/>
      </c>
      <c r="AY16" s="287" t="str">
        <f t="shared" si="7"/>
        <v/>
      </c>
    </row>
    <row r="17" spans="1:51" ht="14">
      <c r="A17" s="30" t="str">
        <f>IFERROR(INDEX('G-1 All Habitats'!$AG$3:$AG$17,MATCH(E17,'G-1 All Habitats'!$AF$3:$AF$17,0)),"")</f>
        <v/>
      </c>
      <c r="B17" s="30" t="str">
        <f>IFERROR(INDEX('G-8 Condition Look up'!$I$4:$I$135,MATCH(AV17,'G-8 Condition Look up'!$A$4:$A$135,0)),"")</f>
        <v/>
      </c>
      <c r="D17" s="97">
        <v>7</v>
      </c>
      <c r="E17" s="262"/>
      <c r="F17" s="262"/>
      <c r="G17" s="133"/>
      <c r="H17" s="51"/>
      <c r="I17" s="509" t="str">
        <f>IF(AV17="","",IF(AND(AW17="Yes",G17="No"),"Irreplaceable habitat ▲",IF(AND(AW17="No",G17="Yes"),"Cannot be Irreplaceable ▲",VLOOKUP(AV17,'G-1 All Habitats'!$B$2:$M$135,10,FALSE))))</f>
        <v/>
      </c>
      <c r="J17" s="377" t="str">
        <f>IFERROR(VLOOKUP(I17,'G-1 All Habitats'!$V$3:$W$7,2,FALSE),"")</f>
        <v/>
      </c>
      <c r="K17" s="52"/>
      <c r="L17" s="276" t="str">
        <f>IFERROR(INDEX('G-8 Condition Look up'!$A$3:$H$135,MATCH(AV17,'G-8 Condition Look up'!$A$3:$A$135,0),MATCH(K17,'G-8 Condition Look up'!$A$3:$H$3,0)),"")</f>
        <v/>
      </c>
      <c r="M17" s="52"/>
      <c r="N17" s="295" t="str">
        <f>IF(M17="","",IF(VLOOKUP(M17,'G-3 Multipliers'!$L$3:$N$6,2,FALSE)=0,"Spatial Data Missing ⚠",VLOOKUP(M17,'G-3 Multipliers'!$L$3:$N$6,2,FALSE)))</f>
        <v/>
      </c>
      <c r="O17" s="353" t="str">
        <f>IF(M17="","",IF(VLOOKUP(M17,'G-3 Multipliers'!$L$3:$N$6,3,FALSE)=0,"Spatial Data Missing ⚠",VLOOKUP(M17,'G-3 Multipliers'!$L$3:$N$6,3,FALSE)))</f>
        <v/>
      </c>
      <c r="P17" s="336" t="str">
        <f>(IF(G17="Yes","Bespoke compensation likely to be required",(IFERROR(VLOOKUP(AV17,'G-1 All Habitats'!$B$2:$M$135,12,FALSE),""))))</f>
        <v/>
      </c>
      <c r="Q17" s="511" t="str">
        <f>IFERROR(IF(P17="","",IF(AND(E17="Individual trees",W17&gt;0,G17="Yes"),"Error - you cannot enhance irreplaceable individual trees ▲",IF(P17='G-1 All Habitats'!$X$9,T17*S17,IF(AND(P17='G-1 All Habitats'!$X$9,W17&gt;0),X17+(Y17*S17),IF(AND(P17='G-1 All Habitats'!$X$9,V17&gt;0),X17+(Y17*S17),IF(AND(P17='G-1 All Habitats'!$X$9,AG17&gt;0),"Any Loss Unacceptable  ⚠",IF(AND(P17='G-1 All Habitats'!$X$9,Z17&gt;0),"Any Loss Unacceptable ⚠",H17*J17*L17*O17*S17))))))),"Check Data ⚠")</f>
        <v/>
      </c>
      <c r="R17" s="393"/>
      <c r="S17" s="510" t="str">
        <f>IF(R17="","",IF(VLOOKUP(R17,'G-3 Multipliers'!$S$3:$T$10,2,FALSE)=0,"Spatial Data Missing ⚠",VLOOKUP(R17,'G-3 Multipliers'!$S$3:$T$10,2,FALSE)))</f>
        <v/>
      </c>
      <c r="T17" s="289" t="str">
        <f>IFERROR(IF(AND(F17&lt;&gt;"",G17=""),"Confirm irreplaceable habitat status ▲",(IF(AND(R17&lt;&gt;"",AF17=""),"Off-site reference required ▲",(IF(AND(E17="Individual trees",W17&gt;0,G17="Yes"),"Error - you cannot enhance irreplaceable individual trees ▲",(IF(AND(X17="Irreplaceable habitat - no units generated ⚠",(W17+V17)&lt;H17,OR(AB17="No",AB17="")),"Any Loss Unacceptable ⚠",(IF(X17="Irreplaceable habitat - no units generated ⚠",W17*J17*L17*O17,IF(AND(P17='G-1 All Habitats'!$X$9,AH17&gt;0,V17&lt;=0,W17&lt;=0,OR(AB17="No",AB17="")),"Any Loss Unacceptable ⚠",IF(AND(P17='G-1 All Habitats'!$X$9,AH17&gt;0,V17&lt;=0,W17&lt;=0),0,(IF(AND(P17='G-1 All Habitats'!$X$9,(W17+V17)&lt;H17,OR(AB17="No",AB17="")),"Any Loss Unacceptable ⚠",(IF(P17="","",IF(AND(P17='G-1 All Habitats'!$X$9,W17&gt;0),X17+Y17,IF(AND(P17='G-1 All Habitats'!$X$9,V17&gt;0),X17+Y17,IF(R17="","",H17*J17*L17*O17)))))))))))))))))),"Check Data ▲")</f>
        <v/>
      </c>
      <c r="U17" s="38"/>
      <c r="V17" s="52"/>
      <c r="W17" s="53"/>
      <c r="X17" s="287" t="str">
        <f t="shared" si="2"/>
        <v/>
      </c>
      <c r="Y17" s="287" t="str">
        <f t="shared" si="3"/>
        <v/>
      </c>
      <c r="Z17" s="287" t="str">
        <f t="shared" si="4"/>
        <v/>
      </c>
      <c r="AA17" s="317" t="str">
        <f>IFERROR(IF(AND(E17="Individual trees",G17="Yes",W17&gt;0),"Error - you cannot enhance an irreplaceable tree ▲",(IF(H17="","",IF(H17-V17-W17=0&lt;0,"Error in Areas ▲",IF(V17+W17&gt;H17,"Error in Areas ▲",IF(AND(P17='G-1 All Habitats'!$X$9,AB17="Yes"),"Alternative Compensation ✓",IF(AND(P17='G-1 All Habitats'!$X$3,AB17="Yes"),"Alternative Compensation ✓",IF(AND(AB17="Pending",P17='G-1 All Habitats'!$X$3),"Bespoke compensation must be agreed ▲",IF(AND(AB17="Pending",P17='G-1 All Habitats'!$X$9),"Bespoke compensation must be agreed  ▲",IF(Z17=0,0,IF(P17='G-1 All Habitats'!$X$9,"Any Loss Unacceptable ▲",T17-X17-Y17))))))))))),"Check Data ⚠")</f>
        <v/>
      </c>
      <c r="AB17" s="587"/>
      <c r="AC17" s="105"/>
      <c r="AD17" s="138"/>
      <c r="AE17" s="104"/>
      <c r="AF17" s="611"/>
      <c r="AG17" s="523" t="str">
        <f>IF(OR(P17="",AB17="Yes"),"",IF(P17='G-1 All Habitats'!$X$9,H17-V17-W17,"None"))</f>
        <v/>
      </c>
      <c r="AH17" s="523" t="str">
        <f>IF(P17="","",IF(P17='G-1 All Habitats'!$X$9,AG17*J17*L17*O17,"None"))</f>
        <v/>
      </c>
      <c r="AJ17" s="107" t="str">
        <f t="shared" si="5"/>
        <v/>
      </c>
      <c r="AK17" s="107" t="str">
        <f t="shared" si="0"/>
        <v/>
      </c>
      <c r="AL17" s="107" t="str">
        <f>IF(I17="","",IF(#REF!&gt;0,TRUE,FALSE))</f>
        <v/>
      </c>
      <c r="AM17" s="107">
        <v>7</v>
      </c>
      <c r="AN17" s="107"/>
      <c r="AO17" s="107" t="str">
        <f t="array" ref="AO17">IFERROR(INDEX($AM$11:$AM$259,MATCH(0,IF(TRUE=$AJ$11:$AJ$259,COUNTIF($AO$10:$AO16,$AM$11:$AM$259),""),0)),"")</f>
        <v/>
      </c>
      <c r="AP17" s="107" t="str">
        <f t="array" ref="AP17">IFERROR(INDEX($AM$11:$AM$259,MATCH(0,IF(TRUE=$AK$11:$AK$259,COUNTIF($AP$10:$AP16,$AM$11:$AM$259),""),0)),"")</f>
        <v/>
      </c>
      <c r="AQ17" s="107" t="str">
        <f t="array" ref="AQ17">IFERROR(INDEX($AM$11:$AM$259,MATCH(0,IF(TRUE=$AL$11:$AL$259,COUNTIF($AQ$10:$AQ16,$AM$11:$AM$259),""),0)),"")</f>
        <v/>
      </c>
      <c r="AS17" s="885" t="str">
        <f>IF(AND(OR(AB17="Yes",AB17="Pending"),P17='G-1 All Habitats'!$X$3),T17-X17-Y17,"0")</f>
        <v>0</v>
      </c>
      <c r="AT17" s="30" t="str">
        <f t="shared" si="1"/>
        <v/>
      </c>
      <c r="AU17" s="30">
        <f t="shared" si="6"/>
        <v>0</v>
      </c>
      <c r="AV17" s="230" t="str">
        <f>IFERROR(INDEX('G-1 All Habitats'!$B$3:$B$135,MATCH(F17,'G-1 All Habitats'!$A$3:$A$135,0)),"")</f>
        <v/>
      </c>
      <c r="AW17" s="30" t="str">
        <f>IF(AV17="","",VLOOKUP(AV17,'G-1 All Habitats'!$B$1:$T$135,19,FALSE))</f>
        <v/>
      </c>
      <c r="AY17" s="287" t="str">
        <f t="shared" si="7"/>
        <v/>
      </c>
    </row>
    <row r="18" spans="1:51" ht="14">
      <c r="A18" s="30" t="str">
        <f>IFERROR(INDEX('G-1 All Habitats'!$AG$3:$AG$17,MATCH(E18,'G-1 All Habitats'!$AF$3:$AF$17,0)),"")</f>
        <v/>
      </c>
      <c r="B18" s="30" t="str">
        <f>IFERROR(INDEX('G-8 Condition Look up'!$I$4:$I$135,MATCH(AV18,'G-8 Condition Look up'!$A$4:$A$135,0)),"")</f>
        <v/>
      </c>
      <c r="D18" s="97">
        <v>8</v>
      </c>
      <c r="E18" s="262"/>
      <c r="F18" s="262"/>
      <c r="G18" s="133"/>
      <c r="H18" s="51"/>
      <c r="I18" s="509" t="str">
        <f>IF(AV18="","",IF(AND(AW18="Yes",G18="No"),"Irreplaceable habitat ▲",IF(AND(AW18="No",G18="Yes"),"Cannot be Irreplaceable ▲",VLOOKUP(AV18,'G-1 All Habitats'!$B$2:$M$135,10,FALSE))))</f>
        <v/>
      </c>
      <c r="J18" s="377" t="str">
        <f>IFERROR(VLOOKUP(I18,'G-1 All Habitats'!$V$3:$W$7,2,FALSE),"")</f>
        <v/>
      </c>
      <c r="K18" s="52"/>
      <c r="L18" s="276" t="str">
        <f>IFERROR(INDEX('G-8 Condition Look up'!$A$3:$H$135,MATCH(AV18,'G-8 Condition Look up'!$A$3:$A$135,0),MATCH(K18,'G-8 Condition Look up'!$A$3:$H$3,0)),"")</f>
        <v/>
      </c>
      <c r="M18" s="52"/>
      <c r="N18" s="295" t="str">
        <f>IF(M18="","",IF(VLOOKUP(M18,'G-3 Multipliers'!$L$3:$N$6,2,FALSE)=0,"Spatial Data Missing ⚠",VLOOKUP(M18,'G-3 Multipliers'!$L$3:$N$6,2,FALSE)))</f>
        <v/>
      </c>
      <c r="O18" s="353" t="str">
        <f>IF(M18="","",IF(VLOOKUP(M18,'G-3 Multipliers'!$L$3:$N$6,3,FALSE)=0,"Spatial Data Missing ⚠",VLOOKUP(M18,'G-3 Multipliers'!$L$3:$N$6,3,FALSE)))</f>
        <v/>
      </c>
      <c r="P18" s="336" t="str">
        <f>(IF(G18="Yes","Bespoke compensation likely to be required",(IFERROR(VLOOKUP(AV18,'G-1 All Habitats'!$B$2:$M$135,12,FALSE),""))))</f>
        <v/>
      </c>
      <c r="Q18" s="511" t="str">
        <f>IFERROR(IF(P18="","",IF(AND(E18="Individual trees",W18&gt;0,G18="Yes"),"Error - you cannot enhance irreplaceable individual trees ▲",IF(P18='G-1 All Habitats'!$X$9,T18*S18,IF(AND(P18='G-1 All Habitats'!$X$9,W18&gt;0),X18+(Y18*S18),IF(AND(P18='G-1 All Habitats'!$X$9,V18&gt;0),X18+(Y18*S18),IF(AND(P18='G-1 All Habitats'!$X$9,AG18&gt;0),"Any Loss Unacceptable  ⚠",IF(AND(P18='G-1 All Habitats'!$X$9,Z18&gt;0),"Any Loss Unacceptable ⚠",H18*J18*L18*O18*S18))))))),"Check Data ⚠")</f>
        <v/>
      </c>
      <c r="R18" s="393"/>
      <c r="S18" s="510" t="str">
        <f>IF(R18="","",IF(VLOOKUP(R18,'G-3 Multipliers'!$S$3:$T$10,2,FALSE)=0,"Spatial Data Missing ⚠",VLOOKUP(R18,'G-3 Multipliers'!$S$3:$T$10,2,FALSE)))</f>
        <v/>
      </c>
      <c r="T18" s="289" t="str">
        <f>IFERROR(IF(AND(F18&lt;&gt;"",G18=""),"Confirm irreplaceable habitat status ▲",(IF(AND(R18&lt;&gt;"",AF18=""),"Off-site reference required ▲",(IF(AND(E18="Individual trees",W18&gt;0,G18="Yes"),"Error - you cannot enhance irreplaceable individual trees ▲",(IF(AND(X18="Irreplaceable habitat - no units generated ⚠",(W18+V18)&lt;H18,OR(AB18="No",AB18="")),"Any Loss Unacceptable ⚠",(IF(X18="Irreplaceable habitat - no units generated ⚠",W18*J18*L18*O18,IF(AND(P18='G-1 All Habitats'!$X$9,AH18&gt;0,V18&lt;=0,W18&lt;=0,OR(AB18="No",AB18="")),"Any Loss Unacceptable ⚠",IF(AND(P18='G-1 All Habitats'!$X$9,AH18&gt;0,V18&lt;=0,W18&lt;=0),0,(IF(AND(P18='G-1 All Habitats'!$X$9,(W18+V18)&lt;H18,OR(AB18="No",AB18="")),"Any Loss Unacceptable ⚠",(IF(P18="","",IF(AND(P18='G-1 All Habitats'!$X$9,W18&gt;0),X18+Y18,IF(AND(P18='G-1 All Habitats'!$X$9,V18&gt;0),X18+Y18,IF(R18="","",H18*J18*L18*O18)))))))))))))))))),"Check Data ▲")</f>
        <v/>
      </c>
      <c r="U18" s="38"/>
      <c r="V18" s="52"/>
      <c r="W18" s="53"/>
      <c r="X18" s="287" t="str">
        <f t="shared" si="2"/>
        <v/>
      </c>
      <c r="Y18" s="287" t="str">
        <f t="shared" si="3"/>
        <v/>
      </c>
      <c r="Z18" s="287" t="str">
        <f t="shared" si="4"/>
        <v/>
      </c>
      <c r="AA18" s="317" t="str">
        <f>IFERROR(IF(AND(E18="Individual trees",G18="Yes",W18&gt;0),"Error - you cannot enhance an irreplaceable tree ▲",(IF(H18="","",IF(H18-V18-W18=0&lt;0,"Error in Areas ▲",IF(V18+W18&gt;H18,"Error in Areas ▲",IF(AND(P18='G-1 All Habitats'!$X$9,AB18="Yes"),"Alternative Compensation ✓",IF(AND(P18='G-1 All Habitats'!$X$3,AB18="Yes"),"Alternative Compensation ✓",IF(AND(AB18="Pending",P18='G-1 All Habitats'!$X$3),"Bespoke compensation must be agreed ▲",IF(AND(AB18="Pending",P18='G-1 All Habitats'!$X$9),"Bespoke compensation must be agreed  ▲",IF(Z18=0,0,IF(P18='G-1 All Habitats'!$X$9,"Any Loss Unacceptable ▲",T18-X18-Y18))))))))))),"Check Data ⚠")</f>
        <v/>
      </c>
      <c r="AB18" s="587"/>
      <c r="AC18" s="105"/>
      <c r="AD18" s="138"/>
      <c r="AE18" s="104"/>
      <c r="AF18" s="611"/>
      <c r="AG18" s="523" t="str">
        <f>IF(OR(P18="",AB18="Yes"),"",IF(P18='G-1 All Habitats'!$X$9,H18-V18-W18,"None"))</f>
        <v/>
      </c>
      <c r="AH18" s="523" t="str">
        <f>IF(P18="","",IF(P18='G-1 All Habitats'!$X$9,AG18*J18*L18*O18,"None"))</f>
        <v/>
      </c>
      <c r="AJ18" s="107" t="str">
        <f t="shared" si="5"/>
        <v/>
      </c>
      <c r="AK18" s="107" t="str">
        <f t="shared" si="0"/>
        <v/>
      </c>
      <c r="AL18" s="107" t="str">
        <f>IF(I18="","",IF(#REF!&gt;0,TRUE,FALSE))</f>
        <v/>
      </c>
      <c r="AM18" s="107">
        <v>8</v>
      </c>
      <c r="AN18" s="107"/>
      <c r="AO18" s="107" t="str">
        <f t="array" ref="AO18">IFERROR(INDEX($AM$11:$AM$259,MATCH(0,IF(TRUE=$AJ$11:$AJ$259,COUNTIF($AO$10:$AO17,$AM$11:$AM$259),""),0)),"")</f>
        <v/>
      </c>
      <c r="AP18" s="107" t="str">
        <f t="array" ref="AP18">IFERROR(INDEX($AM$11:$AM$259,MATCH(0,IF(TRUE=$AK$11:$AK$259,COUNTIF($AP$10:$AP17,$AM$11:$AM$259),""),0)),"")</f>
        <v/>
      </c>
      <c r="AQ18" s="107" t="str">
        <f t="array" ref="AQ18">IFERROR(INDEX($AM$11:$AM$259,MATCH(0,IF(TRUE=$AL$11:$AL$259,COUNTIF($AQ$10:$AQ17,$AM$11:$AM$259),""),0)),"")</f>
        <v/>
      </c>
      <c r="AS18" s="885" t="str">
        <f>IF(AND(OR(AB18="Yes",AB18="Pending"),P18='G-1 All Habitats'!$X$3),T18-X18-Y18,"0")</f>
        <v>0</v>
      </c>
      <c r="AT18" s="30" t="str">
        <f t="shared" si="1"/>
        <v/>
      </c>
      <c r="AU18" s="30">
        <f t="shared" si="6"/>
        <v>0</v>
      </c>
      <c r="AV18" s="230" t="str">
        <f>IFERROR(INDEX('G-1 All Habitats'!$B$3:$B$135,MATCH(F18,'G-1 All Habitats'!$A$3:$A$135,0)),"")</f>
        <v/>
      </c>
      <c r="AW18" s="30" t="str">
        <f>IF(AV18="","",VLOOKUP(AV18,'G-1 All Habitats'!$B$1:$T$135,19,FALSE))</f>
        <v/>
      </c>
      <c r="AY18" s="287" t="str">
        <f t="shared" si="7"/>
        <v/>
      </c>
    </row>
    <row r="19" spans="1:51" ht="14">
      <c r="A19" s="30" t="str">
        <f>IFERROR(INDEX('G-1 All Habitats'!$AG$3:$AG$17,MATCH(E19,'G-1 All Habitats'!$AF$3:$AF$17,0)),"")</f>
        <v/>
      </c>
      <c r="B19" s="30" t="str">
        <f>IFERROR(INDEX('G-8 Condition Look up'!$I$4:$I$135,MATCH(AV19,'G-8 Condition Look up'!$A$4:$A$135,0)),"")</f>
        <v/>
      </c>
      <c r="D19" s="97">
        <v>9</v>
      </c>
      <c r="E19" s="262"/>
      <c r="F19" s="262"/>
      <c r="G19" s="133"/>
      <c r="H19" s="51"/>
      <c r="I19" s="509" t="str">
        <f>IF(AV19="","",IF(AND(AW19="Yes",G19="No"),"Irreplaceable habitat ▲",IF(AND(AW19="No",G19="Yes"),"Cannot be Irreplaceable ▲",VLOOKUP(AV19,'G-1 All Habitats'!$B$2:$M$135,10,FALSE))))</f>
        <v/>
      </c>
      <c r="J19" s="377" t="str">
        <f>IFERROR(VLOOKUP(I19,'G-1 All Habitats'!$V$3:$W$7,2,FALSE),"")</f>
        <v/>
      </c>
      <c r="K19" s="52"/>
      <c r="L19" s="276" t="str">
        <f>IFERROR(INDEX('G-8 Condition Look up'!$A$3:$H$135,MATCH(AV19,'G-8 Condition Look up'!$A$3:$A$135,0),MATCH(K19,'G-8 Condition Look up'!$A$3:$H$3,0)),"")</f>
        <v/>
      </c>
      <c r="M19" s="52"/>
      <c r="N19" s="295" t="str">
        <f>IF(M19="","",IF(VLOOKUP(M19,'G-3 Multipliers'!$L$3:$N$6,2,FALSE)=0,"Spatial Data Missing ⚠",VLOOKUP(M19,'G-3 Multipliers'!$L$3:$N$6,2,FALSE)))</f>
        <v/>
      </c>
      <c r="O19" s="353" t="str">
        <f>IF(M19="","",IF(VLOOKUP(M19,'G-3 Multipliers'!$L$3:$N$6,3,FALSE)=0,"Spatial Data Missing ⚠",VLOOKUP(M19,'G-3 Multipliers'!$L$3:$N$6,3,FALSE)))</f>
        <v/>
      </c>
      <c r="P19" s="336" t="str">
        <f>(IF(G19="Yes","Bespoke compensation likely to be required",(IFERROR(VLOOKUP(AV19,'G-1 All Habitats'!$B$2:$M$135,12,FALSE),""))))</f>
        <v/>
      </c>
      <c r="Q19" s="511" t="str">
        <f>IFERROR(IF(P19="","",IF(AND(E19="Individual trees",W19&gt;0,G19="Yes"),"Error - you cannot enhance irreplaceable individual trees ▲",IF(P19='G-1 All Habitats'!$X$9,T19*S19,IF(AND(P19='G-1 All Habitats'!$X$9,W19&gt;0),X19+(Y19*S19),IF(AND(P19='G-1 All Habitats'!$X$9,V19&gt;0),X19+(Y19*S19),IF(AND(P19='G-1 All Habitats'!$X$9,AG19&gt;0),"Any Loss Unacceptable  ⚠",IF(AND(P19='G-1 All Habitats'!$X$9,Z19&gt;0),"Any Loss Unacceptable ⚠",H19*J19*L19*O19*S19))))))),"Check Data ⚠")</f>
        <v/>
      </c>
      <c r="R19" s="393"/>
      <c r="S19" s="510" t="str">
        <f>IF(R19="","",IF(VLOOKUP(R19,'G-3 Multipliers'!$S$3:$T$10,2,FALSE)=0,"Spatial Data Missing ⚠",VLOOKUP(R19,'G-3 Multipliers'!$S$3:$T$10,2,FALSE)))</f>
        <v/>
      </c>
      <c r="T19" s="289" t="str">
        <f>IFERROR(IF(AND(F19&lt;&gt;"",G19=""),"Confirm irreplaceable habitat status ▲",(IF(AND(R19&lt;&gt;"",AF19=""),"Off-site reference required ▲",(IF(AND(E19="Individual trees",W19&gt;0,G19="Yes"),"Error - you cannot enhance irreplaceable individual trees ▲",(IF(AND(X19="Irreplaceable habitat - no units generated ⚠",(W19+V19)&lt;H19,OR(AB19="No",AB19="")),"Any Loss Unacceptable ⚠",(IF(X19="Irreplaceable habitat - no units generated ⚠",W19*J19*L19*O19,IF(AND(P19='G-1 All Habitats'!$X$9,AH19&gt;0,V19&lt;=0,W19&lt;=0,OR(AB19="No",AB19="")),"Any Loss Unacceptable ⚠",IF(AND(P19='G-1 All Habitats'!$X$9,AH19&gt;0,V19&lt;=0,W19&lt;=0),0,(IF(AND(P19='G-1 All Habitats'!$X$9,(W19+V19)&lt;H19,OR(AB19="No",AB19="")),"Any Loss Unacceptable ⚠",(IF(P19="","",IF(AND(P19='G-1 All Habitats'!$X$9,W19&gt;0),X19+Y19,IF(AND(P19='G-1 All Habitats'!$X$9,V19&gt;0),X19+Y19,IF(R19="","",H19*J19*L19*O19)))))))))))))))))),"Check Data ▲")</f>
        <v/>
      </c>
      <c r="U19" s="38"/>
      <c r="V19" s="52"/>
      <c r="W19" s="53"/>
      <c r="X19" s="287" t="str">
        <f t="shared" si="2"/>
        <v/>
      </c>
      <c r="Y19" s="287" t="str">
        <f t="shared" si="3"/>
        <v/>
      </c>
      <c r="Z19" s="287" t="str">
        <f t="shared" si="4"/>
        <v/>
      </c>
      <c r="AA19" s="317" t="str">
        <f>IFERROR(IF(AND(E19="Individual trees",G19="Yes",W19&gt;0),"Error - you cannot enhance an irreplaceable tree ▲",(IF(H19="","",IF(H19-V19-W19=0&lt;0,"Error in Areas ▲",IF(V19+W19&gt;H19,"Error in Areas ▲",IF(AND(P19='G-1 All Habitats'!$X$9,AB19="Yes"),"Alternative Compensation ✓",IF(AND(P19='G-1 All Habitats'!$X$3,AB19="Yes"),"Alternative Compensation ✓",IF(AND(AB19="Pending",P19='G-1 All Habitats'!$X$3),"Bespoke compensation must be agreed ▲",IF(AND(AB19="Pending",P19='G-1 All Habitats'!$X$9),"Bespoke compensation must be agreed  ▲",IF(Z19=0,0,IF(P19='G-1 All Habitats'!$X$9,"Any Loss Unacceptable ▲",T19-X19-Y19))))))))))),"Check Data ⚠")</f>
        <v/>
      </c>
      <c r="AB19" s="587"/>
      <c r="AC19" s="105"/>
      <c r="AD19" s="138"/>
      <c r="AE19" s="104"/>
      <c r="AF19" s="611"/>
      <c r="AG19" s="523" t="str">
        <f>IF(OR(P19="",AB19="Yes"),"",IF(P19='G-1 All Habitats'!$X$9,H19-V19-W19,"None"))</f>
        <v/>
      </c>
      <c r="AH19" s="523" t="str">
        <f>IF(P19="","",IF(P19='G-1 All Habitats'!$X$9,AG19*J19*L19*O19,"None"))</f>
        <v/>
      </c>
      <c r="AJ19" s="107" t="str">
        <f t="shared" si="5"/>
        <v/>
      </c>
      <c r="AK19" s="107" t="str">
        <f t="shared" si="0"/>
        <v/>
      </c>
      <c r="AL19" s="107" t="str">
        <f>IF(I19="","",IF(#REF!&gt;0,TRUE,FALSE))</f>
        <v/>
      </c>
      <c r="AM19" s="107">
        <v>9</v>
      </c>
      <c r="AN19" s="107"/>
      <c r="AO19" s="107" t="str">
        <f t="array" ref="AO19">IFERROR(INDEX($AM$11:$AM$259,MATCH(0,IF(TRUE=$AJ$11:$AJ$259,COUNTIF($AO$10:$AO18,$AM$11:$AM$259),""),0)),"")</f>
        <v/>
      </c>
      <c r="AP19" s="107" t="str">
        <f t="array" ref="AP19">IFERROR(INDEX($AM$11:$AM$259,MATCH(0,IF(TRUE=$AK$11:$AK$259,COUNTIF($AP$10:$AP18,$AM$11:$AM$259),""),0)),"")</f>
        <v/>
      </c>
      <c r="AQ19" s="107" t="str">
        <f t="array" ref="AQ19">IFERROR(INDEX($AM$11:$AM$259,MATCH(0,IF(TRUE=$AL$11:$AL$259,COUNTIF($AQ$10:$AQ18,$AM$11:$AM$259),""),0)),"")</f>
        <v/>
      </c>
      <c r="AS19" s="885" t="str">
        <f>IF(AND(OR(AB19="Yes",AB19="Pending"),P19='G-1 All Habitats'!$X$3),T19-X19-Y19,"0")</f>
        <v>0</v>
      </c>
      <c r="AT19" s="30" t="str">
        <f t="shared" si="1"/>
        <v/>
      </c>
      <c r="AU19" s="30">
        <f t="shared" si="6"/>
        <v>0</v>
      </c>
      <c r="AV19" s="230" t="str">
        <f>IFERROR(INDEX('G-1 All Habitats'!$B$3:$B$135,MATCH(F19,'G-1 All Habitats'!$A$3:$A$135,0)),"")</f>
        <v/>
      </c>
      <c r="AW19" s="30" t="str">
        <f>IF(AV19="","",VLOOKUP(AV19,'G-1 All Habitats'!$B$1:$T$135,19,FALSE))</f>
        <v/>
      </c>
      <c r="AY19" s="287" t="str">
        <f t="shared" si="7"/>
        <v/>
      </c>
    </row>
    <row r="20" spans="1:51" ht="14">
      <c r="A20" s="30" t="str">
        <f>IFERROR(INDEX('G-1 All Habitats'!$AG$3:$AG$17,MATCH(E20,'G-1 All Habitats'!$AF$3:$AF$17,0)),"")</f>
        <v/>
      </c>
      <c r="B20" s="30" t="str">
        <f>IFERROR(INDEX('G-8 Condition Look up'!$I$4:$I$135,MATCH(AV20,'G-8 Condition Look up'!$A$4:$A$135,0)),"")</f>
        <v/>
      </c>
      <c r="D20" s="97">
        <v>10</v>
      </c>
      <c r="E20" s="262"/>
      <c r="F20" s="262"/>
      <c r="G20" s="133"/>
      <c r="H20" s="51"/>
      <c r="I20" s="509" t="str">
        <f>IF(AV20="","",IF(AND(AW20="Yes",G20="No"),"Irreplaceable habitat ▲",IF(AND(AW20="No",G20="Yes"),"Cannot be Irreplaceable ▲",VLOOKUP(AV20,'G-1 All Habitats'!$B$2:$M$135,10,FALSE))))</f>
        <v/>
      </c>
      <c r="J20" s="377" t="str">
        <f>IFERROR(VLOOKUP(I20,'G-1 All Habitats'!$V$3:$W$7,2,FALSE),"")</f>
        <v/>
      </c>
      <c r="K20" s="52"/>
      <c r="L20" s="276" t="str">
        <f>IFERROR(INDEX('G-8 Condition Look up'!$A$3:$H$135,MATCH(AV20,'G-8 Condition Look up'!$A$3:$A$135,0),MATCH(K20,'G-8 Condition Look up'!$A$3:$H$3,0)),"")</f>
        <v/>
      </c>
      <c r="M20" s="52"/>
      <c r="N20" s="295" t="str">
        <f>IF(M20="","",IF(VLOOKUP(M20,'G-3 Multipliers'!$L$3:$N$6,2,FALSE)=0,"Spatial Data Missing ⚠",VLOOKUP(M20,'G-3 Multipliers'!$L$3:$N$6,2,FALSE)))</f>
        <v/>
      </c>
      <c r="O20" s="353" t="str">
        <f>IF(M20="","",IF(VLOOKUP(M20,'G-3 Multipliers'!$L$3:$N$6,3,FALSE)=0,"Spatial Data Missing ⚠",VLOOKUP(M20,'G-3 Multipliers'!$L$3:$N$6,3,FALSE)))</f>
        <v/>
      </c>
      <c r="P20" s="336" t="str">
        <f>(IF(G20="Yes","Bespoke compensation likely to be required",(IFERROR(VLOOKUP(AV20,'G-1 All Habitats'!$B$2:$M$135,12,FALSE),""))))</f>
        <v/>
      </c>
      <c r="Q20" s="511" t="str">
        <f>IFERROR(IF(P20="","",IF(AND(E20="Individual trees",W20&gt;0,G20="Yes"),"Error - you cannot enhance irreplaceable individual trees ▲",IF(P20='G-1 All Habitats'!$X$9,T20*S20,IF(AND(P20='G-1 All Habitats'!$X$9,W20&gt;0),X20+(Y20*S20),IF(AND(P20='G-1 All Habitats'!$X$9,V20&gt;0),X20+(Y20*S20),IF(AND(P20='G-1 All Habitats'!$X$9,AG20&gt;0),"Any Loss Unacceptable  ⚠",IF(AND(P20='G-1 All Habitats'!$X$9,Z20&gt;0),"Any Loss Unacceptable ⚠",H20*J20*L20*O20*S20))))))),"Check Data ⚠")</f>
        <v/>
      </c>
      <c r="R20" s="393"/>
      <c r="S20" s="510" t="str">
        <f>IF(R20="","",IF(VLOOKUP(R20,'G-3 Multipliers'!$S$3:$T$10,2,FALSE)=0,"Spatial Data Missing ⚠",VLOOKUP(R20,'G-3 Multipliers'!$S$3:$T$10,2,FALSE)))</f>
        <v/>
      </c>
      <c r="T20" s="289" t="str">
        <f>IFERROR(IF(AND(F20&lt;&gt;"",G20=""),"Confirm irreplaceable habitat status ▲",(IF(AND(R20&lt;&gt;"",AF20=""),"Off-site reference required ▲",(IF(AND(E20="Individual trees",W20&gt;0,G20="Yes"),"Error - you cannot enhance irreplaceable individual trees ▲",(IF(AND(X20="Irreplaceable habitat - no units generated ⚠",(W20+V20)&lt;H20,OR(AB20="No",AB20="")),"Any Loss Unacceptable ⚠",(IF(X20="Irreplaceable habitat - no units generated ⚠",W20*J20*L20*O20,IF(AND(P20='G-1 All Habitats'!$X$9,AH20&gt;0,V20&lt;=0,W20&lt;=0,OR(AB20="No",AB20="")),"Any Loss Unacceptable ⚠",IF(AND(P20='G-1 All Habitats'!$X$9,AH20&gt;0,V20&lt;=0,W20&lt;=0),0,(IF(AND(P20='G-1 All Habitats'!$X$9,(W20+V20)&lt;H20,OR(AB20="No",AB20="")),"Any Loss Unacceptable ⚠",(IF(P20="","",IF(AND(P20='G-1 All Habitats'!$X$9,W20&gt;0),X20+Y20,IF(AND(P20='G-1 All Habitats'!$X$9,V20&gt;0),X20+Y20,IF(R20="","",H20*J20*L20*O20)))))))))))))))))),"Check Data ▲")</f>
        <v/>
      </c>
      <c r="U20" s="38"/>
      <c r="V20" s="52"/>
      <c r="W20" s="53"/>
      <c r="X20" s="287" t="str">
        <f t="shared" si="2"/>
        <v/>
      </c>
      <c r="Y20" s="287" t="str">
        <f t="shared" si="3"/>
        <v/>
      </c>
      <c r="Z20" s="287" t="str">
        <f t="shared" si="4"/>
        <v/>
      </c>
      <c r="AA20" s="317" t="str">
        <f>IFERROR(IF(AND(E20="Individual trees",G20="Yes",W20&gt;0),"Error - you cannot enhance an irreplaceable tree ▲",(IF(H20="","",IF(H20-V20-W20=0&lt;0,"Error in Areas ▲",IF(V20+W20&gt;H20,"Error in Areas ▲",IF(AND(P20='G-1 All Habitats'!$X$9,AB20="Yes"),"Alternative Compensation ✓",IF(AND(P20='G-1 All Habitats'!$X$3,AB20="Yes"),"Alternative Compensation ✓",IF(AND(AB20="Pending",P20='G-1 All Habitats'!$X$3),"Bespoke compensation must be agreed ▲",IF(AND(AB20="Pending",P20='G-1 All Habitats'!$X$9),"Bespoke compensation must be agreed  ▲",IF(Z20=0,0,IF(P20='G-1 All Habitats'!$X$9,"Any Loss Unacceptable ▲",T20-X20-Y20))))))))))),"Check Data ⚠")</f>
        <v/>
      </c>
      <c r="AB20" s="587"/>
      <c r="AC20" s="105"/>
      <c r="AD20" s="138"/>
      <c r="AE20" s="104"/>
      <c r="AF20" s="611"/>
      <c r="AG20" s="523" t="str">
        <f>IF(OR(P20="",AB20="Yes"),"",IF(P20='G-1 All Habitats'!$X$9,H20-V20-W20,"None"))</f>
        <v/>
      </c>
      <c r="AH20" s="523" t="str">
        <f>IF(P20="","",IF(P20='G-1 All Habitats'!$X$9,AG20*J20*L20*O20,"None"))</f>
        <v/>
      </c>
      <c r="AJ20" s="107" t="str">
        <f t="shared" si="5"/>
        <v/>
      </c>
      <c r="AK20" s="107" t="str">
        <f t="shared" si="0"/>
        <v/>
      </c>
      <c r="AL20" s="107" t="str">
        <f>IF(I20="","",IF(#REF!&gt;0,TRUE,FALSE))</f>
        <v/>
      </c>
      <c r="AM20" s="107">
        <v>10</v>
      </c>
      <c r="AN20" s="107"/>
      <c r="AO20" s="107" t="str">
        <f t="array" ref="AO20">IFERROR(INDEX($AM$11:$AM$259,MATCH(0,IF(TRUE=$AJ$11:$AJ$259,COUNTIF($AO$10:$AO19,$AM$11:$AM$259),""),0)),"")</f>
        <v/>
      </c>
      <c r="AP20" s="107" t="str">
        <f t="array" ref="AP20">IFERROR(INDEX($AM$11:$AM$259,MATCH(0,IF(TRUE=$AK$11:$AK$259,COUNTIF($AP$10:$AP19,$AM$11:$AM$259),""),0)),"")</f>
        <v/>
      </c>
      <c r="AQ20" s="107" t="str">
        <f t="array" ref="AQ20">IFERROR(INDEX($AM$11:$AM$259,MATCH(0,IF(TRUE=$AL$11:$AL$259,COUNTIF($AQ$10:$AQ19,$AM$11:$AM$259),""),0)),"")</f>
        <v/>
      </c>
      <c r="AS20" s="885" t="str">
        <f>IF(AND(OR(AB20="Yes",AB20="Pending"),P20='G-1 All Habitats'!$X$3),T20-X20-Y20,"0")</f>
        <v>0</v>
      </c>
      <c r="AT20" s="30" t="str">
        <f t="shared" si="1"/>
        <v/>
      </c>
      <c r="AU20" s="30">
        <f t="shared" si="6"/>
        <v>0</v>
      </c>
      <c r="AV20" s="230" t="str">
        <f>IFERROR(INDEX('G-1 All Habitats'!$B$3:$B$135,MATCH(F20,'G-1 All Habitats'!$A$3:$A$135,0)),"")</f>
        <v/>
      </c>
      <c r="AW20" s="30" t="str">
        <f>IF(AV20="","",VLOOKUP(AV20,'G-1 All Habitats'!$B$1:$T$135,19,FALSE))</f>
        <v/>
      </c>
      <c r="AY20" s="287" t="str">
        <f t="shared" si="7"/>
        <v/>
      </c>
    </row>
    <row r="21" spans="1:51" ht="14">
      <c r="A21" s="30" t="str">
        <f>IFERROR(INDEX('G-1 All Habitats'!$AG$3:$AG$17,MATCH(E21,'G-1 All Habitats'!$AF$3:$AF$17,0)),"")</f>
        <v/>
      </c>
      <c r="B21" s="30" t="str">
        <f>IFERROR(INDEX('G-8 Condition Look up'!$I$4:$I$135,MATCH(AV21,'G-8 Condition Look up'!$A$4:$A$135,0)),"")</f>
        <v/>
      </c>
      <c r="D21" s="97">
        <v>11</v>
      </c>
      <c r="E21" s="262"/>
      <c r="F21" s="262"/>
      <c r="G21" s="133"/>
      <c r="H21" s="51"/>
      <c r="I21" s="509" t="str">
        <f>IF(AV21="","",IF(AND(AW21="Yes",G21="No"),"Irreplaceable habitat ▲",IF(AND(AW21="No",G21="Yes"),"Cannot be Irreplaceable ▲",VLOOKUP(AV21,'G-1 All Habitats'!$B$2:$M$135,10,FALSE))))</f>
        <v/>
      </c>
      <c r="J21" s="377" t="str">
        <f>IFERROR(VLOOKUP(I21,'G-1 All Habitats'!$V$3:$W$7,2,FALSE),"")</f>
        <v/>
      </c>
      <c r="K21" s="52"/>
      <c r="L21" s="276" t="str">
        <f>IFERROR(INDEX('G-8 Condition Look up'!$A$3:$H$135,MATCH(AV21,'G-8 Condition Look up'!$A$3:$A$135,0),MATCH(K21,'G-8 Condition Look up'!$A$3:$H$3,0)),"")</f>
        <v/>
      </c>
      <c r="M21" s="52"/>
      <c r="N21" s="295" t="str">
        <f>IF(M21="","",IF(VLOOKUP(M21,'G-3 Multipliers'!$L$3:$N$6,2,FALSE)=0,"Spatial Data Missing ⚠",VLOOKUP(M21,'G-3 Multipliers'!$L$3:$N$6,2,FALSE)))</f>
        <v/>
      </c>
      <c r="O21" s="353" t="str">
        <f>IF(M21="","",IF(VLOOKUP(M21,'G-3 Multipliers'!$L$3:$N$6,3,FALSE)=0,"Spatial Data Missing ⚠",VLOOKUP(M21,'G-3 Multipliers'!$L$3:$N$6,3,FALSE)))</f>
        <v/>
      </c>
      <c r="P21" s="336" t="str">
        <f>(IF(G21="Yes","Bespoke compensation likely to be required",(IFERROR(VLOOKUP(AV21,'G-1 All Habitats'!$B$2:$M$135,12,FALSE),""))))</f>
        <v/>
      </c>
      <c r="Q21" s="511" t="str">
        <f>IFERROR(IF(P21="","",IF(AND(E21="Individual trees",W21&gt;0,G21="Yes"),"Error - you cannot enhance irreplaceable individual trees ▲",IF(P21='G-1 All Habitats'!$X$9,T21*S21,IF(AND(P21='G-1 All Habitats'!$X$9,W21&gt;0),X21+(Y21*S21),IF(AND(P21='G-1 All Habitats'!$X$9,V21&gt;0),X21+(Y21*S21),IF(AND(P21='G-1 All Habitats'!$X$9,AG21&gt;0),"Any Loss Unacceptable  ⚠",IF(AND(P21='G-1 All Habitats'!$X$9,Z21&gt;0),"Any Loss Unacceptable ⚠",H21*J21*L21*O21*S21))))))),"Check Data ⚠")</f>
        <v/>
      </c>
      <c r="R21" s="393"/>
      <c r="S21" s="510" t="str">
        <f>IF(R21="","",IF(VLOOKUP(R21,'G-3 Multipliers'!$S$3:$T$10,2,FALSE)=0,"Spatial Data Missing ⚠",VLOOKUP(R21,'G-3 Multipliers'!$S$3:$T$10,2,FALSE)))</f>
        <v/>
      </c>
      <c r="T21" s="289" t="str">
        <f>IFERROR(IF(AND(F21&lt;&gt;"",G21=""),"Confirm irreplaceable habitat status ▲",(IF(AND(R21&lt;&gt;"",AF21=""),"Off-site reference required ▲",(IF(AND(E21="Individual trees",W21&gt;0,G21="Yes"),"Error - you cannot enhance irreplaceable individual trees ▲",(IF(AND(X21="Irreplaceable habitat - no units generated ⚠",(W21+V21)&lt;H21,OR(AB21="No",AB21="")),"Any Loss Unacceptable ⚠",(IF(X21="Irreplaceable habitat - no units generated ⚠",W21*J21*L21*O21,IF(AND(P21='G-1 All Habitats'!$X$9,AH21&gt;0,V21&lt;=0,W21&lt;=0,OR(AB21="No",AB21="")),"Any Loss Unacceptable ⚠",IF(AND(P21='G-1 All Habitats'!$X$9,AH21&gt;0,V21&lt;=0,W21&lt;=0),0,(IF(AND(P21='G-1 All Habitats'!$X$9,(W21+V21)&lt;H21,OR(AB21="No",AB21="")),"Any Loss Unacceptable ⚠",(IF(P21="","",IF(AND(P21='G-1 All Habitats'!$X$9,W21&gt;0),X21+Y21,IF(AND(P21='G-1 All Habitats'!$X$9,V21&gt;0),X21+Y21,IF(R21="","",H21*J21*L21*O21)))))))))))))))))),"Check Data ▲")</f>
        <v/>
      </c>
      <c r="U21" s="38"/>
      <c r="V21" s="52"/>
      <c r="W21" s="53"/>
      <c r="X21" s="287" t="str">
        <f t="shared" si="2"/>
        <v/>
      </c>
      <c r="Y21" s="287" t="str">
        <f t="shared" si="3"/>
        <v/>
      </c>
      <c r="Z21" s="287" t="str">
        <f t="shared" si="4"/>
        <v/>
      </c>
      <c r="AA21" s="317" t="str">
        <f>IFERROR(IF(AND(E21="Individual trees",G21="Yes",W21&gt;0),"Error - you cannot enhance an irreplaceable tree ▲",(IF(H21="","",IF(H21-V21-W21=0&lt;0,"Error in Areas ▲",IF(V21+W21&gt;H21,"Error in Areas ▲",IF(AND(P21='G-1 All Habitats'!$X$9,AB21="Yes"),"Alternative Compensation ✓",IF(AND(P21='G-1 All Habitats'!$X$3,AB21="Yes"),"Alternative Compensation ✓",IF(AND(AB21="Pending",P21='G-1 All Habitats'!$X$3),"Bespoke compensation must be agreed ▲",IF(AND(AB21="Pending",P21='G-1 All Habitats'!$X$9),"Bespoke compensation must be agreed  ▲",IF(Z21=0,0,IF(P21='G-1 All Habitats'!$X$9,"Any Loss Unacceptable ▲",T21-X21-Y21))))))))))),"Check Data ⚠")</f>
        <v/>
      </c>
      <c r="AB21" s="587"/>
      <c r="AC21" s="105"/>
      <c r="AD21" s="138"/>
      <c r="AE21" s="104"/>
      <c r="AF21" s="611"/>
      <c r="AG21" s="523" t="str">
        <f>IF(OR(P21="",AB21="Yes"),"",IF(P21='G-1 All Habitats'!$X$9,H21-V21-W21,"None"))</f>
        <v/>
      </c>
      <c r="AH21" s="523" t="str">
        <f>IF(P21="","",IF(P21='G-1 All Habitats'!$X$9,AG21*J21*L21*O21,"None"))</f>
        <v/>
      </c>
      <c r="AJ21" s="107" t="str">
        <f t="shared" si="5"/>
        <v/>
      </c>
      <c r="AK21" s="107" t="str">
        <f t="shared" si="0"/>
        <v/>
      </c>
      <c r="AL21" s="107" t="str">
        <f>IF(I21="","",IF(#REF!&gt;0,TRUE,FALSE))</f>
        <v/>
      </c>
      <c r="AM21" s="107">
        <v>11</v>
      </c>
      <c r="AN21" s="107"/>
      <c r="AO21" s="107" t="str">
        <f t="array" ref="AO21">IFERROR(INDEX($AM$11:$AM$259,MATCH(0,IF(TRUE=$AJ$11:$AJ$259,COUNTIF($AO$10:$AO20,$AM$11:$AM$259),""),0)),"")</f>
        <v/>
      </c>
      <c r="AP21" s="107" t="str">
        <f t="array" ref="AP21">IFERROR(INDEX($AM$11:$AM$259,MATCH(0,IF(TRUE=$AK$11:$AK$259,COUNTIF($AP$10:$AP20,$AM$11:$AM$259),""),0)),"")</f>
        <v/>
      </c>
      <c r="AQ21" s="107" t="str">
        <f t="array" ref="AQ21">IFERROR(INDEX($AM$11:$AM$259,MATCH(0,IF(TRUE=$AL$11:$AL$259,COUNTIF($AQ$10:$AQ20,$AM$11:$AM$259),""),0)),"")</f>
        <v/>
      </c>
      <c r="AS21" s="885" t="str">
        <f>IF(AND(OR(AB21="Yes",AB21="Pending"),P21='G-1 All Habitats'!$X$3),T21-X21-Y21,"0")</f>
        <v>0</v>
      </c>
      <c r="AT21" s="30" t="str">
        <f t="shared" si="1"/>
        <v/>
      </c>
      <c r="AU21" s="30">
        <f t="shared" si="6"/>
        <v>0</v>
      </c>
      <c r="AV21" s="230" t="str">
        <f>IFERROR(INDEX('G-1 All Habitats'!$B$3:$B$135,MATCH(F21,'G-1 All Habitats'!$A$3:$A$135,0)),"")</f>
        <v/>
      </c>
      <c r="AW21" s="30" t="str">
        <f>IF(AV21="","",VLOOKUP(AV21,'G-1 All Habitats'!$B$1:$T$135,19,FALSE))</f>
        <v/>
      </c>
      <c r="AY21" s="287" t="str">
        <f t="shared" si="7"/>
        <v/>
      </c>
    </row>
    <row r="22" spans="1:51" ht="14">
      <c r="A22" s="30" t="str">
        <f>IFERROR(INDEX('G-1 All Habitats'!$AG$3:$AG$17,MATCH(E22,'G-1 All Habitats'!$AF$3:$AF$17,0)),"")</f>
        <v/>
      </c>
      <c r="B22" s="30" t="str">
        <f>IFERROR(INDEX('G-8 Condition Look up'!$I$4:$I$135,MATCH(AV22,'G-8 Condition Look up'!$A$4:$A$135,0)),"")</f>
        <v/>
      </c>
      <c r="D22" s="97">
        <v>12</v>
      </c>
      <c r="E22" s="262"/>
      <c r="F22" s="262"/>
      <c r="G22" s="133"/>
      <c r="H22" s="51"/>
      <c r="I22" s="509" t="str">
        <f>IF(AV22="","",IF(AND(AW22="Yes",G22="No"),"Irreplaceable habitat ▲",IF(AND(AW22="No",G22="Yes"),"Cannot be Irreplaceable ▲",VLOOKUP(AV22,'G-1 All Habitats'!$B$2:$M$135,10,FALSE))))</f>
        <v/>
      </c>
      <c r="J22" s="377" t="str">
        <f>IFERROR(VLOOKUP(I22,'G-1 All Habitats'!$V$3:$W$7,2,FALSE),"")</f>
        <v/>
      </c>
      <c r="K22" s="52"/>
      <c r="L22" s="276" t="str">
        <f>IFERROR(INDEX('G-8 Condition Look up'!$A$3:$H$135,MATCH(AV22,'G-8 Condition Look up'!$A$3:$A$135,0),MATCH(K22,'G-8 Condition Look up'!$A$3:$H$3,0)),"")</f>
        <v/>
      </c>
      <c r="M22" s="52"/>
      <c r="N22" s="295" t="str">
        <f>IF(M22="","",IF(VLOOKUP(M22,'G-3 Multipliers'!$L$3:$N$6,2,FALSE)=0,"Spatial Data Missing ⚠",VLOOKUP(M22,'G-3 Multipliers'!$L$3:$N$6,2,FALSE)))</f>
        <v/>
      </c>
      <c r="O22" s="353" t="str">
        <f>IF(M22="","",IF(VLOOKUP(M22,'G-3 Multipliers'!$L$3:$N$6,3,FALSE)=0,"Spatial Data Missing ⚠",VLOOKUP(M22,'G-3 Multipliers'!$L$3:$N$6,3,FALSE)))</f>
        <v/>
      </c>
      <c r="P22" s="336" t="str">
        <f>(IF(G22="Yes","Bespoke compensation likely to be required",(IFERROR(VLOOKUP(AV22,'G-1 All Habitats'!$B$2:$M$135,12,FALSE),""))))</f>
        <v/>
      </c>
      <c r="Q22" s="511" t="str">
        <f>IFERROR(IF(P22="","",IF(AND(E22="Individual trees",W22&gt;0,G22="Yes"),"Error - you cannot enhance irreplaceable individual trees ▲",IF(P22='G-1 All Habitats'!$X$9,T22*S22,IF(AND(P22='G-1 All Habitats'!$X$9,W22&gt;0),X22+(Y22*S22),IF(AND(P22='G-1 All Habitats'!$X$9,V22&gt;0),X22+(Y22*S22),IF(AND(P22='G-1 All Habitats'!$X$9,AG22&gt;0),"Any Loss Unacceptable  ⚠",IF(AND(P22='G-1 All Habitats'!$X$9,Z22&gt;0),"Any Loss Unacceptable ⚠",H22*J22*L22*O22*S22))))))),"Check Data ⚠")</f>
        <v/>
      </c>
      <c r="R22" s="393"/>
      <c r="S22" s="510" t="str">
        <f>IF(R22="","",IF(VLOOKUP(R22,'G-3 Multipliers'!$S$3:$T$10,2,FALSE)=0,"Spatial Data Missing ⚠",VLOOKUP(R22,'G-3 Multipliers'!$S$3:$T$10,2,FALSE)))</f>
        <v/>
      </c>
      <c r="T22" s="289" t="str">
        <f>IFERROR(IF(AND(F22&lt;&gt;"",G22=""),"Confirm irreplaceable habitat status ▲",(IF(AND(R22&lt;&gt;"",AF22=""),"Off-site reference required ▲",(IF(AND(E22="Individual trees",W22&gt;0,G22="Yes"),"Error - you cannot enhance irreplaceable individual trees ▲",(IF(AND(X22="Irreplaceable habitat - no units generated ⚠",(W22+V22)&lt;H22,OR(AB22="No",AB22="")),"Any Loss Unacceptable ⚠",(IF(X22="Irreplaceable habitat - no units generated ⚠",W22*J22*L22*O22,IF(AND(P22='G-1 All Habitats'!$X$9,AH22&gt;0,V22&lt;=0,W22&lt;=0,OR(AB22="No",AB22="")),"Any Loss Unacceptable ⚠",IF(AND(P22='G-1 All Habitats'!$X$9,AH22&gt;0,V22&lt;=0,W22&lt;=0),0,(IF(AND(P22='G-1 All Habitats'!$X$9,(W22+V22)&lt;H22,OR(AB22="No",AB22="")),"Any Loss Unacceptable ⚠",(IF(P22="","",IF(AND(P22='G-1 All Habitats'!$X$9,W22&gt;0),X22+Y22,IF(AND(P22='G-1 All Habitats'!$X$9,V22&gt;0),X22+Y22,IF(R22="","",H22*J22*L22*O22)))))))))))))))))),"Check Data ▲")</f>
        <v/>
      </c>
      <c r="U22" s="38"/>
      <c r="V22" s="52"/>
      <c r="W22" s="53"/>
      <c r="X22" s="287" t="str">
        <f t="shared" si="2"/>
        <v/>
      </c>
      <c r="Y22" s="287" t="str">
        <f t="shared" si="3"/>
        <v/>
      </c>
      <c r="Z22" s="287" t="str">
        <f t="shared" si="4"/>
        <v/>
      </c>
      <c r="AA22" s="317" t="str">
        <f>IFERROR(IF(AND(E22="Individual trees",G22="Yes",W22&gt;0),"Error - you cannot enhance an irreplaceable tree ▲",(IF(H22="","",IF(H22-V22-W22=0&lt;0,"Error in Areas ▲",IF(V22+W22&gt;H22,"Error in Areas ▲",IF(AND(P22='G-1 All Habitats'!$X$9,AB22="Yes"),"Alternative Compensation ✓",IF(AND(P22='G-1 All Habitats'!$X$3,AB22="Yes"),"Alternative Compensation ✓",IF(AND(AB22="Pending",P22='G-1 All Habitats'!$X$3),"Bespoke compensation must be agreed ▲",IF(AND(AB22="Pending",P22='G-1 All Habitats'!$X$9),"Bespoke compensation must be agreed  ▲",IF(Z22=0,0,IF(P22='G-1 All Habitats'!$X$9,"Any Loss Unacceptable ▲",T22-X22-Y22))))))))))),"Check Data ⚠")</f>
        <v/>
      </c>
      <c r="AB22" s="587"/>
      <c r="AC22" s="105"/>
      <c r="AD22" s="138"/>
      <c r="AE22" s="104"/>
      <c r="AF22" s="611"/>
      <c r="AG22" s="523" t="str">
        <f>IF(OR(P22="",AB22="Yes"),"",IF(P22='G-1 All Habitats'!$X$9,H22-V22-W22,"None"))</f>
        <v/>
      </c>
      <c r="AH22" s="523" t="str">
        <f>IF(P22="","",IF(P22='G-1 All Habitats'!$X$9,AG22*J22*L22*O22,"None"))</f>
        <v/>
      </c>
      <c r="AJ22" s="107" t="str">
        <f t="shared" si="5"/>
        <v/>
      </c>
      <c r="AK22" s="107" t="str">
        <f t="shared" si="0"/>
        <v/>
      </c>
      <c r="AL22" s="107" t="str">
        <f>IF(I22="","",IF(#REF!&gt;0,TRUE,FALSE))</f>
        <v/>
      </c>
      <c r="AM22" s="107">
        <v>12</v>
      </c>
      <c r="AN22" s="107"/>
      <c r="AO22" s="107" t="str">
        <f t="array" ref="AO22">IFERROR(INDEX($AM$11:$AM$259,MATCH(0,IF(TRUE=$AJ$11:$AJ$259,COUNTIF($AO$10:$AO21,$AM$11:$AM$259),""),0)),"")</f>
        <v/>
      </c>
      <c r="AP22" s="107" t="str">
        <f t="array" ref="AP22">IFERROR(INDEX($AM$11:$AM$259,MATCH(0,IF(TRUE=$AK$11:$AK$259,COUNTIF($AP$10:$AP21,$AM$11:$AM$259),""),0)),"")</f>
        <v/>
      </c>
      <c r="AQ22" s="107" t="str">
        <f t="array" ref="AQ22">IFERROR(INDEX($AM$11:$AM$259,MATCH(0,IF(TRUE=$AL$11:$AL$259,COUNTIF($AQ$10:$AQ21,$AM$11:$AM$259),""),0)),"")</f>
        <v/>
      </c>
      <c r="AS22" s="885" t="str">
        <f>IF(AND(OR(AB22="Yes",AB22="Pending"),P22='G-1 All Habitats'!$X$3),T22-X22-Y22,"0")</f>
        <v>0</v>
      </c>
      <c r="AT22" s="30" t="str">
        <f t="shared" si="1"/>
        <v/>
      </c>
      <c r="AU22" s="30">
        <f t="shared" si="6"/>
        <v>0</v>
      </c>
      <c r="AV22" s="230" t="str">
        <f>IFERROR(INDEX('G-1 All Habitats'!$B$3:$B$135,MATCH(F22,'G-1 All Habitats'!$A$3:$A$135,0)),"")</f>
        <v/>
      </c>
      <c r="AW22" s="30" t="str">
        <f>IF(AV22="","",VLOOKUP(AV22,'G-1 All Habitats'!$B$1:$T$135,19,FALSE))</f>
        <v/>
      </c>
      <c r="AY22" s="287" t="str">
        <f t="shared" si="7"/>
        <v/>
      </c>
    </row>
    <row r="23" spans="1:51" ht="14">
      <c r="A23" s="30" t="str">
        <f>IFERROR(INDEX('G-1 All Habitats'!$AG$3:$AG$17,MATCH(E23,'G-1 All Habitats'!$AF$3:$AF$17,0)),"")</f>
        <v/>
      </c>
      <c r="B23" s="30" t="str">
        <f>IFERROR(INDEX('G-8 Condition Look up'!$I$4:$I$135,MATCH(AV23,'G-8 Condition Look up'!$A$4:$A$135,0)),"")</f>
        <v/>
      </c>
      <c r="D23" s="97">
        <v>13</v>
      </c>
      <c r="E23" s="262"/>
      <c r="F23" s="262"/>
      <c r="G23" s="133"/>
      <c r="H23" s="51"/>
      <c r="I23" s="509" t="str">
        <f>IF(AV23="","",IF(AND(AW23="Yes",G23="No"),"Irreplaceable habitat ▲",IF(AND(AW23="No",G23="Yes"),"Cannot be Irreplaceable ▲",VLOOKUP(AV23,'G-1 All Habitats'!$B$2:$M$135,10,FALSE))))</f>
        <v/>
      </c>
      <c r="J23" s="377" t="str">
        <f>IFERROR(VLOOKUP(I23,'G-1 All Habitats'!$V$3:$W$7,2,FALSE),"")</f>
        <v/>
      </c>
      <c r="K23" s="52"/>
      <c r="L23" s="276" t="str">
        <f>IFERROR(INDEX('G-8 Condition Look up'!$A$3:$H$135,MATCH(AV23,'G-8 Condition Look up'!$A$3:$A$135,0),MATCH(K23,'G-8 Condition Look up'!$A$3:$H$3,0)),"")</f>
        <v/>
      </c>
      <c r="M23" s="52"/>
      <c r="N23" s="295" t="str">
        <f>IF(M23="","",IF(VLOOKUP(M23,'G-3 Multipliers'!$L$3:$N$6,2,FALSE)=0,"Spatial Data Missing ⚠",VLOOKUP(M23,'G-3 Multipliers'!$L$3:$N$6,2,FALSE)))</f>
        <v/>
      </c>
      <c r="O23" s="353" t="str">
        <f>IF(M23="","",IF(VLOOKUP(M23,'G-3 Multipliers'!$L$3:$N$6,3,FALSE)=0,"Spatial Data Missing ⚠",VLOOKUP(M23,'G-3 Multipliers'!$L$3:$N$6,3,FALSE)))</f>
        <v/>
      </c>
      <c r="P23" s="336" t="str">
        <f>(IF(G23="Yes","Bespoke compensation likely to be required",(IFERROR(VLOOKUP(AV23,'G-1 All Habitats'!$B$2:$M$135,12,FALSE),""))))</f>
        <v/>
      </c>
      <c r="Q23" s="511" t="str">
        <f>IFERROR(IF(P23="","",IF(AND(E23="Individual trees",W23&gt;0,G23="Yes"),"Error - you cannot enhance irreplaceable individual trees ▲",IF(P23='G-1 All Habitats'!$X$9,T23*S23,IF(AND(P23='G-1 All Habitats'!$X$9,W23&gt;0),X23+(Y23*S23),IF(AND(P23='G-1 All Habitats'!$X$9,V23&gt;0),X23+(Y23*S23),IF(AND(P23='G-1 All Habitats'!$X$9,AG23&gt;0),"Any Loss Unacceptable  ⚠",IF(AND(P23='G-1 All Habitats'!$X$9,Z23&gt;0),"Any Loss Unacceptable ⚠",H23*J23*L23*O23*S23))))))),"Check Data ⚠")</f>
        <v/>
      </c>
      <c r="R23" s="393"/>
      <c r="S23" s="510" t="str">
        <f>IF(R23="","",IF(VLOOKUP(R23,'G-3 Multipliers'!$S$3:$T$10,2,FALSE)=0,"Spatial Data Missing ⚠",VLOOKUP(R23,'G-3 Multipliers'!$S$3:$T$10,2,FALSE)))</f>
        <v/>
      </c>
      <c r="T23" s="289" t="str">
        <f>IFERROR(IF(AND(F23&lt;&gt;"",G23=""),"Confirm irreplaceable habitat status ▲",(IF(AND(R23&lt;&gt;"",AF23=""),"Off-site reference required ▲",(IF(AND(E23="Individual trees",W23&gt;0,G23="Yes"),"Error - you cannot enhance irreplaceable individual trees ▲",(IF(AND(X23="Irreplaceable habitat - no units generated ⚠",(W23+V23)&lt;H23,OR(AB23="No",AB23="")),"Any Loss Unacceptable ⚠",(IF(X23="Irreplaceable habitat - no units generated ⚠",W23*J23*L23*O23,IF(AND(P23='G-1 All Habitats'!$X$9,AH23&gt;0,V23&lt;=0,W23&lt;=0,OR(AB23="No",AB23="")),"Any Loss Unacceptable ⚠",IF(AND(P23='G-1 All Habitats'!$X$9,AH23&gt;0,V23&lt;=0,W23&lt;=0),0,(IF(AND(P23='G-1 All Habitats'!$X$9,(W23+V23)&lt;H23,OR(AB23="No",AB23="")),"Any Loss Unacceptable ⚠",(IF(P23="","",IF(AND(P23='G-1 All Habitats'!$X$9,W23&gt;0),X23+Y23,IF(AND(P23='G-1 All Habitats'!$X$9,V23&gt;0),X23+Y23,IF(R23="","",H23*J23*L23*O23)))))))))))))))))),"Check Data ▲")</f>
        <v/>
      </c>
      <c r="U23" s="38"/>
      <c r="V23" s="52"/>
      <c r="W23" s="53"/>
      <c r="X23" s="287" t="str">
        <f t="shared" si="2"/>
        <v/>
      </c>
      <c r="Y23" s="287" t="str">
        <f t="shared" si="3"/>
        <v/>
      </c>
      <c r="Z23" s="287" t="str">
        <f t="shared" si="4"/>
        <v/>
      </c>
      <c r="AA23" s="317" t="str">
        <f>IFERROR(IF(AND(E23="Individual trees",G23="Yes",W23&gt;0),"Error - you cannot enhance an irreplaceable tree ▲",(IF(H23="","",IF(H23-V23-W23=0&lt;0,"Error in Areas ▲",IF(V23+W23&gt;H23,"Error in Areas ▲",IF(AND(P23='G-1 All Habitats'!$X$9,AB23="Yes"),"Alternative Compensation ✓",IF(AND(P23='G-1 All Habitats'!$X$3,AB23="Yes"),"Alternative Compensation ✓",IF(AND(AB23="Pending",P23='G-1 All Habitats'!$X$3),"Bespoke compensation must be agreed ▲",IF(AND(AB23="Pending",P23='G-1 All Habitats'!$X$9),"Bespoke compensation must be agreed  ▲",IF(Z23=0,0,IF(P23='G-1 All Habitats'!$X$9,"Any Loss Unacceptable ▲",T23-X23-Y23))))))))))),"Check Data ⚠")</f>
        <v/>
      </c>
      <c r="AB23" s="587"/>
      <c r="AC23" s="105"/>
      <c r="AD23" s="138"/>
      <c r="AE23" s="104"/>
      <c r="AF23" s="611"/>
      <c r="AG23" s="523" t="str">
        <f>IF(OR(P23="",AB23="Yes"),"",IF(P23='G-1 All Habitats'!$X$9,H23-V23-W23,"None"))</f>
        <v/>
      </c>
      <c r="AH23" s="523" t="str">
        <f>IF(P23="","",IF(P23='G-1 All Habitats'!$X$9,AG23*J23*L23*O23,"None"))</f>
        <v/>
      </c>
      <c r="AJ23" s="107" t="str">
        <f t="shared" si="5"/>
        <v/>
      </c>
      <c r="AK23" s="107" t="str">
        <f t="shared" si="0"/>
        <v/>
      </c>
      <c r="AL23" s="107" t="str">
        <f>IF(I23="","",IF(#REF!&gt;0,TRUE,FALSE))</f>
        <v/>
      </c>
      <c r="AM23" s="107">
        <v>13</v>
      </c>
      <c r="AN23" s="107"/>
      <c r="AO23" s="107" t="str">
        <f t="array" ref="AO23">IFERROR(INDEX($AM$11:$AM$259,MATCH(0,IF(TRUE=$AJ$11:$AJ$259,COUNTIF($AO$10:$AO22,$AM$11:$AM$259),""),0)),"")</f>
        <v/>
      </c>
      <c r="AP23" s="107" t="str">
        <f t="array" ref="AP23">IFERROR(INDEX($AM$11:$AM$259,MATCH(0,IF(TRUE=$AK$11:$AK$259,COUNTIF($AP$10:$AP22,$AM$11:$AM$259),""),0)),"")</f>
        <v/>
      </c>
      <c r="AQ23" s="107" t="str">
        <f t="array" ref="AQ23">IFERROR(INDEX($AM$11:$AM$259,MATCH(0,IF(TRUE=$AL$11:$AL$259,COUNTIF($AQ$10:$AQ22,$AM$11:$AM$259),""),0)),"")</f>
        <v/>
      </c>
      <c r="AS23" s="885" t="str">
        <f>IF(AND(OR(AB23="Yes",AB23="Pending"),P23='G-1 All Habitats'!$X$3),T23-X23-Y23,"0")</f>
        <v>0</v>
      </c>
      <c r="AT23" s="30" t="str">
        <f t="shared" si="1"/>
        <v/>
      </c>
      <c r="AU23" s="30">
        <f t="shared" si="6"/>
        <v>0</v>
      </c>
      <c r="AV23" s="230" t="str">
        <f>IFERROR(INDEX('G-1 All Habitats'!$B$3:$B$135,MATCH(F23,'G-1 All Habitats'!$A$3:$A$135,0)),"")</f>
        <v/>
      </c>
      <c r="AW23" s="30" t="str">
        <f>IF(AV23="","",VLOOKUP(AV23,'G-1 All Habitats'!$B$1:$T$135,19,FALSE))</f>
        <v/>
      </c>
      <c r="AY23" s="287" t="str">
        <f t="shared" si="7"/>
        <v/>
      </c>
    </row>
    <row r="24" spans="1:51" ht="14">
      <c r="A24" s="30" t="str">
        <f>IFERROR(INDEX('G-1 All Habitats'!$AG$3:$AG$17,MATCH(E24,'G-1 All Habitats'!$AF$3:$AF$17,0)),"")</f>
        <v/>
      </c>
      <c r="B24" s="30" t="str">
        <f>IFERROR(INDEX('G-8 Condition Look up'!$I$4:$I$135,MATCH(AV24,'G-8 Condition Look up'!$A$4:$A$135,0)),"")</f>
        <v/>
      </c>
      <c r="D24" s="97">
        <v>14</v>
      </c>
      <c r="E24" s="262"/>
      <c r="F24" s="262"/>
      <c r="G24" s="133"/>
      <c r="H24" s="51"/>
      <c r="I24" s="509" t="str">
        <f>IF(AV24="","",IF(AND(AW24="Yes",G24="No"),"Irreplaceable habitat ▲",IF(AND(AW24="No",G24="Yes"),"Cannot be Irreplaceable ▲",VLOOKUP(AV24,'G-1 All Habitats'!$B$2:$M$135,10,FALSE))))</f>
        <v/>
      </c>
      <c r="J24" s="377" t="str">
        <f>IFERROR(VLOOKUP(I24,'G-1 All Habitats'!$V$3:$W$7,2,FALSE),"")</f>
        <v/>
      </c>
      <c r="K24" s="52"/>
      <c r="L24" s="276" t="str">
        <f>IFERROR(INDEX('G-8 Condition Look up'!$A$3:$H$135,MATCH(AV24,'G-8 Condition Look up'!$A$3:$A$135,0),MATCH(K24,'G-8 Condition Look up'!$A$3:$H$3,0)),"")</f>
        <v/>
      </c>
      <c r="M24" s="52"/>
      <c r="N24" s="295" t="str">
        <f>IF(M24="","",IF(VLOOKUP(M24,'G-3 Multipliers'!$L$3:$N$6,2,FALSE)=0,"Spatial Data Missing ⚠",VLOOKUP(M24,'G-3 Multipliers'!$L$3:$N$6,2,FALSE)))</f>
        <v/>
      </c>
      <c r="O24" s="353" t="str">
        <f>IF(M24="","",IF(VLOOKUP(M24,'G-3 Multipliers'!$L$3:$N$6,3,FALSE)=0,"Spatial Data Missing ⚠",VLOOKUP(M24,'G-3 Multipliers'!$L$3:$N$6,3,FALSE)))</f>
        <v/>
      </c>
      <c r="P24" s="336" t="str">
        <f>(IF(G24="Yes","Bespoke compensation likely to be required",(IFERROR(VLOOKUP(AV24,'G-1 All Habitats'!$B$2:$M$135,12,FALSE),""))))</f>
        <v/>
      </c>
      <c r="Q24" s="511" t="str">
        <f>IFERROR(IF(P24="","",IF(AND(E24="Individual trees",W24&gt;0,G24="Yes"),"Error - you cannot enhance irreplaceable individual trees ▲",IF(P24='G-1 All Habitats'!$X$9,T24*S24,IF(AND(P24='G-1 All Habitats'!$X$9,W24&gt;0),X24+(Y24*S24),IF(AND(P24='G-1 All Habitats'!$X$9,V24&gt;0),X24+(Y24*S24),IF(AND(P24='G-1 All Habitats'!$X$9,AG24&gt;0),"Any Loss Unacceptable  ⚠",IF(AND(P24='G-1 All Habitats'!$X$9,Z24&gt;0),"Any Loss Unacceptable ⚠",H24*J24*L24*O24*S24))))))),"Check Data ⚠")</f>
        <v/>
      </c>
      <c r="R24" s="393"/>
      <c r="S24" s="510" t="str">
        <f>IF(R24="","",IF(VLOOKUP(R24,'G-3 Multipliers'!$S$3:$T$10,2,FALSE)=0,"Spatial Data Missing ⚠",VLOOKUP(R24,'G-3 Multipliers'!$S$3:$T$10,2,FALSE)))</f>
        <v/>
      </c>
      <c r="T24" s="289" t="str">
        <f>IFERROR(IF(AND(F24&lt;&gt;"",G24=""),"Confirm irreplaceable habitat status ▲",(IF(AND(R24&lt;&gt;"",AF24=""),"Off-site reference required ▲",(IF(AND(E24="Individual trees",W24&gt;0,G24="Yes"),"Error - you cannot enhance irreplaceable individual trees ▲",(IF(AND(X24="Irreplaceable habitat - no units generated ⚠",(W24+V24)&lt;H24,OR(AB24="No",AB24="")),"Any Loss Unacceptable ⚠",(IF(X24="Irreplaceable habitat - no units generated ⚠",W24*J24*L24*O24,IF(AND(P24='G-1 All Habitats'!$X$9,AH24&gt;0,V24&lt;=0,W24&lt;=0,OR(AB24="No",AB24="")),"Any Loss Unacceptable ⚠",IF(AND(P24='G-1 All Habitats'!$X$9,AH24&gt;0,V24&lt;=0,W24&lt;=0),0,(IF(AND(P24='G-1 All Habitats'!$X$9,(W24+V24)&lt;H24,OR(AB24="No",AB24="")),"Any Loss Unacceptable ⚠",(IF(P24="","",IF(AND(P24='G-1 All Habitats'!$X$9,W24&gt;0),X24+Y24,IF(AND(P24='G-1 All Habitats'!$X$9,V24&gt;0),X24+Y24,IF(R24="","",H24*J24*L24*O24)))))))))))))))))),"Check Data ▲")</f>
        <v/>
      </c>
      <c r="U24" s="38"/>
      <c r="V24" s="52"/>
      <c r="W24" s="53"/>
      <c r="X24" s="287" t="str">
        <f t="shared" si="2"/>
        <v/>
      </c>
      <c r="Y24" s="287" t="str">
        <f t="shared" si="3"/>
        <v/>
      </c>
      <c r="Z24" s="287" t="str">
        <f t="shared" si="4"/>
        <v/>
      </c>
      <c r="AA24" s="317" t="str">
        <f>IFERROR(IF(AND(E24="Individual trees",G24="Yes",W24&gt;0),"Error - you cannot enhance an irreplaceable tree ▲",(IF(H24="","",IF(H24-V24-W24=0&lt;0,"Error in Areas ▲",IF(V24+W24&gt;H24,"Error in Areas ▲",IF(AND(P24='G-1 All Habitats'!$X$9,AB24="Yes"),"Alternative Compensation ✓",IF(AND(P24='G-1 All Habitats'!$X$3,AB24="Yes"),"Alternative Compensation ✓",IF(AND(AB24="Pending",P24='G-1 All Habitats'!$X$3),"Bespoke compensation must be agreed ▲",IF(AND(AB24="Pending",P24='G-1 All Habitats'!$X$9),"Bespoke compensation must be agreed  ▲",IF(Z24=0,0,IF(P24='G-1 All Habitats'!$X$9,"Any Loss Unacceptable ▲",T24-X24-Y24))))))))))),"Check Data ⚠")</f>
        <v/>
      </c>
      <c r="AB24" s="587"/>
      <c r="AC24" s="105"/>
      <c r="AD24" s="138"/>
      <c r="AE24" s="104"/>
      <c r="AF24" s="611"/>
      <c r="AG24" s="523" t="str">
        <f>IF(OR(P24="",AB24="Yes"),"",IF(P24='G-1 All Habitats'!$X$9,H24-V24-W24,"None"))</f>
        <v/>
      </c>
      <c r="AH24" s="523" t="str">
        <f>IF(P24="","",IF(P24='G-1 All Habitats'!$X$9,AG24*J24*L24*O24,"None"))</f>
        <v/>
      </c>
      <c r="AJ24" s="107" t="str">
        <f t="shared" si="5"/>
        <v/>
      </c>
      <c r="AK24" s="107" t="str">
        <f t="shared" si="0"/>
        <v/>
      </c>
      <c r="AL24" s="107" t="str">
        <f>IF(I24="","",IF(#REF!&gt;0,TRUE,FALSE))</f>
        <v/>
      </c>
      <c r="AM24" s="107">
        <v>14</v>
      </c>
      <c r="AN24" s="107"/>
      <c r="AO24" s="107" t="str">
        <f t="array" ref="AO24">IFERROR(INDEX($AM$11:$AM$259,MATCH(0,IF(TRUE=$AJ$11:$AJ$259,COUNTIF($AO$10:$AO23,$AM$11:$AM$259),""),0)),"")</f>
        <v/>
      </c>
      <c r="AP24" s="107" t="str">
        <f t="array" ref="AP24">IFERROR(INDEX($AM$11:$AM$259,MATCH(0,IF(TRUE=$AK$11:$AK$259,COUNTIF($AP$10:$AP23,$AM$11:$AM$259),""),0)),"")</f>
        <v/>
      </c>
      <c r="AQ24" s="107" t="str">
        <f t="array" ref="AQ24">IFERROR(INDEX($AM$11:$AM$259,MATCH(0,IF(TRUE=$AL$11:$AL$259,COUNTIF($AQ$10:$AQ23,$AM$11:$AM$259),""),0)),"")</f>
        <v/>
      </c>
      <c r="AS24" s="885" t="str">
        <f>IF(AND(OR(AB24="Yes",AB24="Pending"),P24='G-1 All Habitats'!$X$3),T24-X24-Y24,"0")</f>
        <v>0</v>
      </c>
      <c r="AT24" s="30" t="str">
        <f t="shared" si="1"/>
        <v/>
      </c>
      <c r="AU24" s="30">
        <f t="shared" si="6"/>
        <v>0</v>
      </c>
      <c r="AV24" s="230" t="str">
        <f>IFERROR(INDEX('G-1 All Habitats'!$B$3:$B$135,MATCH(F24,'G-1 All Habitats'!$A$3:$A$135,0)),"")</f>
        <v/>
      </c>
      <c r="AW24" s="30" t="str">
        <f>IF(AV24="","",VLOOKUP(AV24,'G-1 All Habitats'!$B$1:$T$135,19,FALSE))</f>
        <v/>
      </c>
      <c r="AY24" s="287" t="str">
        <f t="shared" si="7"/>
        <v/>
      </c>
    </row>
    <row r="25" spans="1:51" ht="14">
      <c r="A25" s="30" t="str">
        <f>IFERROR(INDEX('G-1 All Habitats'!$AG$3:$AG$17,MATCH(E25,'G-1 All Habitats'!$AF$3:$AF$17,0)),"")</f>
        <v/>
      </c>
      <c r="B25" s="30" t="str">
        <f>IFERROR(INDEX('G-8 Condition Look up'!$I$4:$I$135,MATCH(AV25,'G-8 Condition Look up'!$A$4:$A$135,0)),"")</f>
        <v/>
      </c>
      <c r="D25" s="97">
        <v>15</v>
      </c>
      <c r="E25" s="262"/>
      <c r="F25" s="262"/>
      <c r="G25" s="133"/>
      <c r="H25" s="51"/>
      <c r="I25" s="509" t="str">
        <f>IF(AV25="","",IF(AND(AW25="Yes",G25="No"),"Irreplaceable habitat ▲",IF(AND(AW25="No",G25="Yes"),"Cannot be Irreplaceable ▲",VLOOKUP(AV25,'G-1 All Habitats'!$B$2:$M$135,10,FALSE))))</f>
        <v/>
      </c>
      <c r="J25" s="377" t="str">
        <f>IFERROR(VLOOKUP(I25,'G-1 All Habitats'!$V$3:$W$7,2,FALSE),"")</f>
        <v/>
      </c>
      <c r="K25" s="52"/>
      <c r="L25" s="276" t="str">
        <f>IFERROR(INDEX('G-8 Condition Look up'!$A$3:$H$135,MATCH(AV25,'G-8 Condition Look up'!$A$3:$A$135,0),MATCH(K25,'G-8 Condition Look up'!$A$3:$H$3,0)),"")</f>
        <v/>
      </c>
      <c r="M25" s="52"/>
      <c r="N25" s="295" t="str">
        <f>IF(M25="","",IF(VLOOKUP(M25,'G-3 Multipliers'!$L$3:$N$6,2,FALSE)=0,"Spatial Data Missing ⚠",VLOOKUP(M25,'G-3 Multipliers'!$L$3:$N$6,2,FALSE)))</f>
        <v/>
      </c>
      <c r="O25" s="353" t="str">
        <f>IF(M25="","",IF(VLOOKUP(M25,'G-3 Multipliers'!$L$3:$N$6,3,FALSE)=0,"Spatial Data Missing ⚠",VLOOKUP(M25,'G-3 Multipliers'!$L$3:$N$6,3,FALSE)))</f>
        <v/>
      </c>
      <c r="P25" s="336" t="str">
        <f>(IF(G25="Yes","Bespoke compensation likely to be required",(IFERROR(VLOOKUP(AV25,'G-1 All Habitats'!$B$2:$M$135,12,FALSE),""))))</f>
        <v/>
      </c>
      <c r="Q25" s="511" t="str">
        <f>IFERROR(IF(P25="","",IF(AND(E25="Individual trees",W25&gt;0,G25="Yes"),"Error - you cannot enhance irreplaceable individual trees ▲",IF(P25='G-1 All Habitats'!$X$9,T25*S25,IF(AND(P25='G-1 All Habitats'!$X$9,W25&gt;0),X25+(Y25*S25),IF(AND(P25='G-1 All Habitats'!$X$9,V25&gt;0),X25+(Y25*S25),IF(AND(P25='G-1 All Habitats'!$X$9,AG25&gt;0),"Any Loss Unacceptable  ⚠",IF(AND(P25='G-1 All Habitats'!$X$9,Z25&gt;0),"Any Loss Unacceptable ⚠",H25*J25*L25*O25*S25))))))),"Check Data ⚠")</f>
        <v/>
      </c>
      <c r="R25" s="393"/>
      <c r="S25" s="510" t="str">
        <f>IF(R25="","",IF(VLOOKUP(R25,'G-3 Multipliers'!$S$3:$T$10,2,FALSE)=0,"Spatial Data Missing ⚠",VLOOKUP(R25,'G-3 Multipliers'!$S$3:$T$10,2,FALSE)))</f>
        <v/>
      </c>
      <c r="T25" s="289" t="str">
        <f>IFERROR(IF(AND(F25&lt;&gt;"",G25=""),"Confirm irreplaceable habitat status ▲",(IF(AND(R25&lt;&gt;"",AF25=""),"Off-site reference required ▲",(IF(AND(E25="Individual trees",W25&gt;0,G25="Yes"),"Error - you cannot enhance irreplaceable individual trees ▲",(IF(AND(X25="Irreplaceable habitat - no units generated ⚠",(W25+V25)&lt;H25,OR(AB25="No",AB25="")),"Any Loss Unacceptable ⚠",(IF(X25="Irreplaceable habitat - no units generated ⚠",W25*J25*L25*O25,IF(AND(P25='G-1 All Habitats'!$X$9,AH25&gt;0,V25&lt;=0,W25&lt;=0,OR(AB25="No",AB25="")),"Any Loss Unacceptable ⚠",IF(AND(P25='G-1 All Habitats'!$X$9,AH25&gt;0,V25&lt;=0,W25&lt;=0),0,(IF(AND(P25='G-1 All Habitats'!$X$9,(W25+V25)&lt;H25,OR(AB25="No",AB25="")),"Any Loss Unacceptable ⚠",(IF(P25="","",IF(AND(P25='G-1 All Habitats'!$X$9,W25&gt;0),X25+Y25,IF(AND(P25='G-1 All Habitats'!$X$9,V25&gt;0),X25+Y25,IF(R25="","",H25*J25*L25*O25)))))))))))))))))),"Check Data ▲")</f>
        <v/>
      </c>
      <c r="U25" s="38"/>
      <c r="V25" s="52"/>
      <c r="W25" s="53"/>
      <c r="X25" s="287" t="str">
        <f t="shared" si="2"/>
        <v/>
      </c>
      <c r="Y25" s="287" t="str">
        <f t="shared" si="3"/>
        <v/>
      </c>
      <c r="Z25" s="287" t="str">
        <f t="shared" si="4"/>
        <v/>
      </c>
      <c r="AA25" s="317" t="str">
        <f>IFERROR(IF(AND(E25="Individual trees",G25="Yes",W25&gt;0),"Error - you cannot enhance an irreplaceable tree ▲",(IF(H25="","",IF(H25-V25-W25=0&lt;0,"Error in Areas ▲",IF(V25+W25&gt;H25,"Error in Areas ▲",IF(AND(P25='G-1 All Habitats'!$X$9,AB25="Yes"),"Alternative Compensation ✓",IF(AND(P25='G-1 All Habitats'!$X$3,AB25="Yes"),"Alternative Compensation ✓",IF(AND(AB25="Pending",P25='G-1 All Habitats'!$X$3),"Bespoke compensation must be agreed ▲",IF(AND(AB25="Pending",P25='G-1 All Habitats'!$X$9),"Bespoke compensation must be agreed  ▲",IF(Z25=0,0,IF(P25='G-1 All Habitats'!$X$9,"Any Loss Unacceptable ▲",T25-X25-Y25))))))))))),"Check Data ⚠")</f>
        <v/>
      </c>
      <c r="AB25" s="587"/>
      <c r="AC25" s="105"/>
      <c r="AD25" s="138"/>
      <c r="AE25" s="104"/>
      <c r="AF25" s="611"/>
      <c r="AG25" s="523" t="str">
        <f>IF(OR(P25="",AB25="Yes"),"",IF(P25='G-1 All Habitats'!$X$9,H25-V25-W25,"None"))</f>
        <v/>
      </c>
      <c r="AH25" s="523" t="str">
        <f>IF(P25="","",IF(P25='G-1 All Habitats'!$X$9,AG25*J25*L25*O25,"None"))</f>
        <v/>
      </c>
      <c r="AJ25" s="107" t="str">
        <f t="shared" si="5"/>
        <v/>
      </c>
      <c r="AK25" s="107" t="str">
        <f t="shared" si="0"/>
        <v/>
      </c>
      <c r="AL25" s="107" t="str">
        <f>IF(I25="","",IF(#REF!&gt;0,TRUE,FALSE))</f>
        <v/>
      </c>
      <c r="AM25" s="107">
        <v>15</v>
      </c>
      <c r="AN25" s="107"/>
      <c r="AO25" s="107" t="str">
        <f t="array" ref="AO25">IFERROR(INDEX($AM$11:$AM$259,MATCH(0,IF(TRUE=$AJ$11:$AJ$259,COUNTIF($AO$10:$AO24,$AM$11:$AM$259),""),0)),"")</f>
        <v/>
      </c>
      <c r="AP25" s="107" t="str">
        <f t="array" ref="AP25">IFERROR(INDEX($AM$11:$AM$259,MATCH(0,IF(TRUE=$AK$11:$AK$259,COUNTIF($AP$10:$AP24,$AM$11:$AM$259),""),0)),"")</f>
        <v/>
      </c>
      <c r="AQ25" s="107" t="str">
        <f t="array" ref="AQ25">IFERROR(INDEX($AM$11:$AM$259,MATCH(0,IF(TRUE=$AL$11:$AL$259,COUNTIF($AQ$10:$AQ24,$AM$11:$AM$259),""),0)),"")</f>
        <v/>
      </c>
      <c r="AS25" s="885" t="str">
        <f>IF(AND(OR(AB25="Yes",AB25="Pending"),P25='G-1 All Habitats'!$X$3),T25-X25-Y25,"0")</f>
        <v>0</v>
      </c>
      <c r="AT25" s="30" t="str">
        <f t="shared" si="1"/>
        <v/>
      </c>
      <c r="AU25" s="30">
        <f t="shared" si="6"/>
        <v>0</v>
      </c>
      <c r="AV25" s="230" t="str">
        <f>IFERROR(INDEX('G-1 All Habitats'!$B$3:$B$135,MATCH(F25,'G-1 All Habitats'!$A$3:$A$135,0)),"")</f>
        <v/>
      </c>
      <c r="AW25" s="30" t="str">
        <f>IF(AV25="","",VLOOKUP(AV25,'G-1 All Habitats'!$B$1:$T$135,19,FALSE))</f>
        <v/>
      </c>
      <c r="AY25" s="287" t="str">
        <f t="shared" si="7"/>
        <v/>
      </c>
    </row>
    <row r="26" spans="1:51" ht="14">
      <c r="A26" s="30" t="str">
        <f>IFERROR(INDEX('G-1 All Habitats'!$AG$3:$AG$17,MATCH(E26,'G-1 All Habitats'!$AF$3:$AF$17,0)),"")</f>
        <v/>
      </c>
      <c r="B26" s="30" t="str">
        <f>IFERROR(INDEX('G-8 Condition Look up'!$I$4:$I$135,MATCH(AV26,'G-8 Condition Look up'!$A$4:$A$135,0)),"")</f>
        <v/>
      </c>
      <c r="D26" s="97">
        <v>16</v>
      </c>
      <c r="E26" s="262"/>
      <c r="F26" s="262"/>
      <c r="G26" s="133"/>
      <c r="H26" s="51"/>
      <c r="I26" s="509" t="str">
        <f>IF(AV26="","",IF(AND(AW26="Yes",G26="No"),"Irreplaceable habitat ▲",IF(AND(AW26="No",G26="Yes"),"Cannot be Irreplaceable ▲",VLOOKUP(AV26,'G-1 All Habitats'!$B$2:$M$135,10,FALSE))))</f>
        <v/>
      </c>
      <c r="J26" s="377" t="str">
        <f>IFERROR(VLOOKUP(I26,'G-1 All Habitats'!$V$3:$W$7,2,FALSE),"")</f>
        <v/>
      </c>
      <c r="K26" s="52"/>
      <c r="L26" s="276" t="str">
        <f>IFERROR(INDEX('G-8 Condition Look up'!$A$3:$H$135,MATCH(AV26,'G-8 Condition Look up'!$A$3:$A$135,0),MATCH(K26,'G-8 Condition Look up'!$A$3:$H$3,0)),"")</f>
        <v/>
      </c>
      <c r="M26" s="52"/>
      <c r="N26" s="295" t="str">
        <f>IF(M26="","",IF(VLOOKUP(M26,'G-3 Multipliers'!$L$3:$N$6,2,FALSE)=0,"Spatial Data Missing ⚠",VLOOKUP(M26,'G-3 Multipliers'!$L$3:$N$6,2,FALSE)))</f>
        <v/>
      </c>
      <c r="O26" s="353" t="str">
        <f>IF(M26="","",IF(VLOOKUP(M26,'G-3 Multipliers'!$L$3:$N$6,3,FALSE)=0,"Spatial Data Missing ⚠",VLOOKUP(M26,'G-3 Multipliers'!$L$3:$N$6,3,FALSE)))</f>
        <v/>
      </c>
      <c r="P26" s="336" t="str">
        <f>(IF(G26="Yes","Bespoke compensation likely to be required",(IFERROR(VLOOKUP(AV26,'G-1 All Habitats'!$B$2:$M$135,12,FALSE),""))))</f>
        <v/>
      </c>
      <c r="Q26" s="511" t="str">
        <f>IFERROR(IF(P26="","",IF(AND(E26="Individual trees",W26&gt;0,G26="Yes"),"Error - you cannot enhance irreplaceable individual trees ▲",IF(P26='G-1 All Habitats'!$X$9,T26*S26,IF(AND(P26='G-1 All Habitats'!$X$9,W26&gt;0),X26+(Y26*S26),IF(AND(P26='G-1 All Habitats'!$X$9,V26&gt;0),X26+(Y26*S26),IF(AND(P26='G-1 All Habitats'!$X$9,AG26&gt;0),"Any Loss Unacceptable  ⚠",IF(AND(P26='G-1 All Habitats'!$X$9,Z26&gt;0),"Any Loss Unacceptable ⚠",H26*J26*L26*O26*S26))))))),"Check Data ⚠")</f>
        <v/>
      </c>
      <c r="R26" s="393"/>
      <c r="S26" s="510" t="str">
        <f>IF(R26="","",IF(VLOOKUP(R26,'G-3 Multipliers'!$S$3:$T$10,2,FALSE)=0,"Spatial Data Missing ⚠",VLOOKUP(R26,'G-3 Multipliers'!$S$3:$T$10,2,FALSE)))</f>
        <v/>
      </c>
      <c r="T26" s="289" t="str">
        <f>IFERROR(IF(AND(F26&lt;&gt;"",G26=""),"Confirm irreplaceable habitat status ▲",(IF(AND(R26&lt;&gt;"",AF26=""),"Off-site reference required ▲",(IF(AND(E26="Individual trees",W26&gt;0,G26="Yes"),"Error - you cannot enhance irreplaceable individual trees ▲",(IF(AND(X26="Irreplaceable habitat - no units generated ⚠",(W26+V26)&lt;H26,OR(AB26="No",AB26="")),"Any Loss Unacceptable ⚠",(IF(X26="Irreplaceable habitat - no units generated ⚠",W26*J26*L26*O26,IF(AND(P26='G-1 All Habitats'!$X$9,AH26&gt;0,V26&lt;=0,W26&lt;=0,OR(AB26="No",AB26="")),"Any Loss Unacceptable ⚠",IF(AND(P26='G-1 All Habitats'!$X$9,AH26&gt;0,V26&lt;=0,W26&lt;=0),0,(IF(AND(P26='G-1 All Habitats'!$X$9,(W26+V26)&lt;H26,OR(AB26="No",AB26="")),"Any Loss Unacceptable ⚠",(IF(P26="","",IF(AND(P26='G-1 All Habitats'!$X$9,W26&gt;0),X26+Y26,IF(AND(P26='G-1 All Habitats'!$X$9,V26&gt;0),X26+Y26,IF(R26="","",H26*J26*L26*O26)))))))))))))))))),"Check Data ▲")</f>
        <v/>
      </c>
      <c r="U26" s="38"/>
      <c r="V26" s="52"/>
      <c r="W26" s="53"/>
      <c r="X26" s="287" t="str">
        <f t="shared" si="2"/>
        <v/>
      </c>
      <c r="Y26" s="287" t="str">
        <f t="shared" si="3"/>
        <v/>
      </c>
      <c r="Z26" s="287" t="str">
        <f t="shared" si="4"/>
        <v/>
      </c>
      <c r="AA26" s="317" t="str">
        <f>IFERROR(IF(AND(E26="Individual trees",G26="Yes",W26&gt;0),"Error - you cannot enhance an irreplaceable tree ▲",(IF(H26="","",IF(H26-V26-W26=0&lt;0,"Error in Areas ▲",IF(V26+W26&gt;H26,"Error in Areas ▲",IF(AND(P26='G-1 All Habitats'!$X$9,AB26="Yes"),"Alternative Compensation ✓",IF(AND(P26='G-1 All Habitats'!$X$3,AB26="Yes"),"Alternative Compensation ✓",IF(AND(AB26="Pending",P26='G-1 All Habitats'!$X$3),"Bespoke compensation must be agreed ▲",IF(AND(AB26="Pending",P26='G-1 All Habitats'!$X$9),"Bespoke compensation must be agreed  ▲",IF(Z26=0,0,IF(P26='G-1 All Habitats'!$X$9,"Any Loss Unacceptable ▲",T26-X26-Y26))))))))))),"Check Data ⚠")</f>
        <v/>
      </c>
      <c r="AB26" s="587"/>
      <c r="AC26" s="105"/>
      <c r="AD26" s="138"/>
      <c r="AE26" s="104"/>
      <c r="AF26" s="611"/>
      <c r="AG26" s="523" t="str">
        <f>IF(OR(P26="",AB26="Yes"),"",IF(P26='G-1 All Habitats'!$X$9,H26-V26-W26,"None"))</f>
        <v/>
      </c>
      <c r="AH26" s="523" t="str">
        <f>IF(P26="","",IF(P26='G-1 All Habitats'!$X$9,AG26*J26*L26*O26,"None"))</f>
        <v/>
      </c>
      <c r="AJ26" s="107" t="str">
        <f t="shared" si="5"/>
        <v/>
      </c>
      <c r="AK26" s="107" t="str">
        <f t="shared" si="0"/>
        <v/>
      </c>
      <c r="AL26" s="107" t="str">
        <f>IF(I26="","",IF(#REF!&gt;0,TRUE,FALSE))</f>
        <v/>
      </c>
      <c r="AM26" s="107">
        <v>16</v>
      </c>
      <c r="AN26" s="107"/>
      <c r="AO26" s="107" t="str">
        <f t="array" ref="AO26">IFERROR(INDEX($AM$11:$AM$259,MATCH(0,IF(TRUE=$AJ$11:$AJ$259,COUNTIF($AO$10:$AO25,$AM$11:$AM$259),""),0)),"")</f>
        <v/>
      </c>
      <c r="AP26" s="107" t="str">
        <f t="array" ref="AP26">IFERROR(INDEX($AM$11:$AM$259,MATCH(0,IF(TRUE=$AK$11:$AK$259,COUNTIF($AP$10:$AP25,$AM$11:$AM$259),""),0)),"")</f>
        <v/>
      </c>
      <c r="AQ26" s="107" t="str">
        <f t="array" ref="AQ26">IFERROR(INDEX($AM$11:$AM$259,MATCH(0,IF(TRUE=$AL$11:$AL$259,COUNTIF($AQ$10:$AQ25,$AM$11:$AM$259),""),0)),"")</f>
        <v/>
      </c>
      <c r="AS26" s="885" t="str">
        <f>IF(AND(OR(AB26="Yes",AB26="Pending"),P26='G-1 All Habitats'!$X$3),T26-X26-Y26,"0")</f>
        <v>0</v>
      </c>
      <c r="AT26" s="30" t="str">
        <f t="shared" si="1"/>
        <v/>
      </c>
      <c r="AU26" s="30">
        <f t="shared" si="6"/>
        <v>0</v>
      </c>
      <c r="AV26" s="230" t="str">
        <f>IFERROR(INDEX('G-1 All Habitats'!$B$3:$B$135,MATCH(F26,'G-1 All Habitats'!$A$3:$A$135,0)),"")</f>
        <v/>
      </c>
      <c r="AW26" s="30" t="str">
        <f>IF(AV26="","",VLOOKUP(AV26,'G-1 All Habitats'!$B$1:$T$135,19,FALSE))</f>
        <v/>
      </c>
      <c r="AY26" s="287" t="str">
        <f t="shared" si="7"/>
        <v/>
      </c>
    </row>
    <row r="27" spans="1:51" ht="14">
      <c r="A27" s="30" t="str">
        <f>IFERROR(INDEX('G-1 All Habitats'!$AG$3:$AG$17,MATCH(E27,'G-1 All Habitats'!$AF$3:$AF$17,0)),"")</f>
        <v/>
      </c>
      <c r="B27" s="30" t="str">
        <f>IFERROR(INDEX('G-8 Condition Look up'!$I$4:$I$135,MATCH(AV27,'G-8 Condition Look up'!$A$4:$A$135,0)),"")</f>
        <v/>
      </c>
      <c r="D27" s="97">
        <v>17</v>
      </c>
      <c r="E27" s="262"/>
      <c r="F27" s="262"/>
      <c r="G27" s="133"/>
      <c r="H27" s="51"/>
      <c r="I27" s="509" t="str">
        <f>IF(AV27="","",IF(AND(AW27="Yes",G27="No"),"Irreplaceable habitat ▲",IF(AND(AW27="No",G27="Yes"),"Cannot be Irreplaceable ▲",VLOOKUP(AV27,'G-1 All Habitats'!$B$2:$M$135,10,FALSE))))</f>
        <v/>
      </c>
      <c r="J27" s="377" t="str">
        <f>IFERROR(VLOOKUP(I27,'G-1 All Habitats'!$V$3:$W$7,2,FALSE),"")</f>
        <v/>
      </c>
      <c r="K27" s="52"/>
      <c r="L27" s="276" t="str">
        <f>IFERROR(INDEX('G-8 Condition Look up'!$A$3:$H$135,MATCH(AV27,'G-8 Condition Look up'!$A$3:$A$135,0),MATCH(K27,'G-8 Condition Look up'!$A$3:$H$3,0)),"")</f>
        <v/>
      </c>
      <c r="M27" s="52"/>
      <c r="N27" s="295" t="str">
        <f>IF(M27="","",IF(VLOOKUP(M27,'G-3 Multipliers'!$L$3:$N$6,2,FALSE)=0,"Spatial Data Missing ⚠",VLOOKUP(M27,'G-3 Multipliers'!$L$3:$N$6,2,FALSE)))</f>
        <v/>
      </c>
      <c r="O27" s="353" t="str">
        <f>IF(M27="","",IF(VLOOKUP(M27,'G-3 Multipliers'!$L$3:$N$6,3,FALSE)=0,"Spatial Data Missing ⚠",VLOOKUP(M27,'G-3 Multipliers'!$L$3:$N$6,3,FALSE)))</f>
        <v/>
      </c>
      <c r="P27" s="336" t="str">
        <f>(IF(G27="Yes","Bespoke compensation likely to be required",(IFERROR(VLOOKUP(AV27,'G-1 All Habitats'!$B$2:$M$135,12,FALSE),""))))</f>
        <v/>
      </c>
      <c r="Q27" s="511" t="str">
        <f>IFERROR(IF(P27="","",IF(AND(E27="Individual trees",W27&gt;0,G27="Yes"),"Error - you cannot enhance irreplaceable individual trees ▲",IF(P27='G-1 All Habitats'!$X$9,T27*S27,IF(AND(P27='G-1 All Habitats'!$X$9,W27&gt;0),X27+(Y27*S27),IF(AND(P27='G-1 All Habitats'!$X$9,V27&gt;0),X27+(Y27*S27),IF(AND(P27='G-1 All Habitats'!$X$9,AG27&gt;0),"Any Loss Unacceptable  ⚠",IF(AND(P27='G-1 All Habitats'!$X$9,Z27&gt;0),"Any Loss Unacceptable ⚠",H27*J27*L27*O27*S27))))))),"Check Data ⚠")</f>
        <v/>
      </c>
      <c r="R27" s="393"/>
      <c r="S27" s="510" t="str">
        <f>IF(R27="","",IF(VLOOKUP(R27,'G-3 Multipliers'!$S$3:$T$10,2,FALSE)=0,"Spatial Data Missing ⚠",VLOOKUP(R27,'G-3 Multipliers'!$S$3:$T$10,2,FALSE)))</f>
        <v/>
      </c>
      <c r="T27" s="289" t="str">
        <f>IFERROR(IF(AND(F27&lt;&gt;"",G27=""),"Confirm irreplaceable habitat status ▲",(IF(AND(R27&lt;&gt;"",AF27=""),"Off-site reference required ▲",(IF(AND(E27="Individual trees",W27&gt;0,G27="Yes"),"Error - you cannot enhance irreplaceable individual trees ▲",(IF(AND(X27="Irreplaceable habitat - no units generated ⚠",(W27+V27)&lt;H27,OR(AB27="No",AB27="")),"Any Loss Unacceptable ⚠",(IF(X27="Irreplaceable habitat - no units generated ⚠",W27*J27*L27*O27,IF(AND(P27='G-1 All Habitats'!$X$9,AH27&gt;0,V27&lt;=0,W27&lt;=0,OR(AB27="No",AB27="")),"Any Loss Unacceptable ⚠",IF(AND(P27='G-1 All Habitats'!$X$9,AH27&gt;0,V27&lt;=0,W27&lt;=0),0,(IF(AND(P27='G-1 All Habitats'!$X$9,(W27+V27)&lt;H27,OR(AB27="No",AB27="")),"Any Loss Unacceptable ⚠",(IF(P27="","",IF(AND(P27='G-1 All Habitats'!$X$9,W27&gt;0),X27+Y27,IF(AND(P27='G-1 All Habitats'!$X$9,V27&gt;0),X27+Y27,IF(R27="","",H27*J27*L27*O27)))))))))))))))))),"Check Data ▲")</f>
        <v/>
      </c>
      <c r="U27" s="38"/>
      <c r="V27" s="52"/>
      <c r="W27" s="53"/>
      <c r="X27" s="287" t="str">
        <f t="shared" si="2"/>
        <v/>
      </c>
      <c r="Y27" s="287" t="str">
        <f t="shared" si="3"/>
        <v/>
      </c>
      <c r="Z27" s="287" t="str">
        <f t="shared" si="4"/>
        <v/>
      </c>
      <c r="AA27" s="317" t="str">
        <f>IFERROR(IF(AND(E27="Individual trees",G27="Yes",W27&gt;0),"Error - you cannot enhance an irreplaceable tree ▲",(IF(H27="","",IF(H27-V27-W27=0&lt;0,"Error in Areas ▲",IF(V27+W27&gt;H27,"Error in Areas ▲",IF(AND(P27='G-1 All Habitats'!$X$9,AB27="Yes"),"Alternative Compensation ✓",IF(AND(P27='G-1 All Habitats'!$X$3,AB27="Yes"),"Alternative Compensation ✓",IF(AND(AB27="Pending",P27='G-1 All Habitats'!$X$3),"Bespoke compensation must be agreed ▲",IF(AND(AB27="Pending",P27='G-1 All Habitats'!$X$9),"Bespoke compensation must be agreed  ▲",IF(Z27=0,0,IF(P27='G-1 All Habitats'!$X$9,"Any Loss Unacceptable ▲",T27-X27-Y27))))))))))),"Check Data ⚠")</f>
        <v/>
      </c>
      <c r="AB27" s="587"/>
      <c r="AC27" s="105"/>
      <c r="AD27" s="138"/>
      <c r="AE27" s="104"/>
      <c r="AF27" s="611"/>
      <c r="AG27" s="523" t="str">
        <f>IF(OR(P27="",AB27="Yes"),"",IF(P27='G-1 All Habitats'!$X$9,H27-V27-W27,"None"))</f>
        <v/>
      </c>
      <c r="AH27" s="523" t="str">
        <f>IF(P27="","",IF(P27='G-1 All Habitats'!$X$9,AG27*J27*L27*O27,"None"))</f>
        <v/>
      </c>
      <c r="AJ27" s="107" t="str">
        <f t="shared" si="5"/>
        <v/>
      </c>
      <c r="AK27" s="107" t="str">
        <f t="shared" si="0"/>
        <v/>
      </c>
      <c r="AL27" s="107" t="str">
        <f>IF(I27="","",IF(#REF!&gt;0,TRUE,FALSE))</f>
        <v/>
      </c>
      <c r="AM27" s="107">
        <v>17</v>
      </c>
      <c r="AN27" s="107"/>
      <c r="AO27" s="107" t="str">
        <f t="array" ref="AO27">IFERROR(INDEX($AM$11:$AM$259,MATCH(0,IF(TRUE=$AJ$11:$AJ$259,COUNTIF($AO$10:$AO26,$AM$11:$AM$259),""),0)),"")</f>
        <v/>
      </c>
      <c r="AP27" s="107" t="str">
        <f t="array" ref="AP27">IFERROR(INDEX($AM$11:$AM$259,MATCH(0,IF(TRUE=$AK$11:$AK$259,COUNTIF($AP$10:$AP26,$AM$11:$AM$259),""),0)),"")</f>
        <v/>
      </c>
      <c r="AQ27" s="107" t="str">
        <f t="array" ref="AQ27">IFERROR(INDEX($AM$11:$AM$259,MATCH(0,IF(TRUE=$AL$11:$AL$259,COUNTIF($AQ$10:$AQ26,$AM$11:$AM$259),""),0)),"")</f>
        <v/>
      </c>
      <c r="AS27" s="885" t="str">
        <f>IF(AND(OR(AB27="Yes",AB27="Pending"),P27='G-1 All Habitats'!$X$3),T27-X27-Y27,"0")</f>
        <v>0</v>
      </c>
      <c r="AT27" s="30" t="str">
        <f t="shared" si="1"/>
        <v/>
      </c>
      <c r="AU27" s="30">
        <f t="shared" si="6"/>
        <v>0</v>
      </c>
      <c r="AV27" s="230" t="str">
        <f>IFERROR(INDEX('G-1 All Habitats'!$B$3:$B$135,MATCH(F27,'G-1 All Habitats'!$A$3:$A$135,0)),"")</f>
        <v/>
      </c>
      <c r="AW27" s="30" t="str">
        <f>IF(AV27="","",VLOOKUP(AV27,'G-1 All Habitats'!$B$1:$T$135,19,FALSE))</f>
        <v/>
      </c>
      <c r="AY27" s="287" t="str">
        <f t="shared" si="7"/>
        <v/>
      </c>
    </row>
    <row r="28" spans="1:51" ht="14">
      <c r="A28" s="30" t="str">
        <f>IFERROR(INDEX('G-1 All Habitats'!$AG$3:$AG$17,MATCH(E28,'G-1 All Habitats'!$AF$3:$AF$17,0)),"")</f>
        <v/>
      </c>
      <c r="B28" s="30" t="str">
        <f>IFERROR(INDEX('G-8 Condition Look up'!$I$4:$I$135,MATCH(AV28,'G-8 Condition Look up'!$A$4:$A$135,0)),"")</f>
        <v/>
      </c>
      <c r="D28" s="97">
        <v>18</v>
      </c>
      <c r="E28" s="262"/>
      <c r="F28" s="262"/>
      <c r="G28" s="133"/>
      <c r="H28" s="51"/>
      <c r="I28" s="509" t="str">
        <f>IF(AV28="","",IF(AND(AW28="Yes",G28="No"),"Irreplaceable habitat ▲",IF(AND(AW28="No",G28="Yes"),"Cannot be Irreplaceable ▲",VLOOKUP(AV28,'G-1 All Habitats'!$B$2:$M$135,10,FALSE))))</f>
        <v/>
      </c>
      <c r="J28" s="377" t="str">
        <f>IFERROR(VLOOKUP(I28,'G-1 All Habitats'!$V$3:$W$7,2,FALSE),"")</f>
        <v/>
      </c>
      <c r="K28" s="52"/>
      <c r="L28" s="276" t="str">
        <f>IFERROR(INDEX('G-8 Condition Look up'!$A$3:$H$135,MATCH(AV28,'G-8 Condition Look up'!$A$3:$A$135,0),MATCH(K28,'G-8 Condition Look up'!$A$3:$H$3,0)),"")</f>
        <v/>
      </c>
      <c r="M28" s="52"/>
      <c r="N28" s="295" t="str">
        <f>IF(M28="","",IF(VLOOKUP(M28,'G-3 Multipliers'!$L$3:$N$6,2,FALSE)=0,"Spatial Data Missing ⚠",VLOOKUP(M28,'G-3 Multipliers'!$L$3:$N$6,2,FALSE)))</f>
        <v/>
      </c>
      <c r="O28" s="353" t="str">
        <f>IF(M28="","",IF(VLOOKUP(M28,'G-3 Multipliers'!$L$3:$N$6,3,FALSE)=0,"Spatial Data Missing ⚠",VLOOKUP(M28,'G-3 Multipliers'!$L$3:$N$6,3,FALSE)))</f>
        <v/>
      </c>
      <c r="P28" s="336" t="str">
        <f>(IF(G28="Yes","Bespoke compensation likely to be required",(IFERROR(VLOOKUP(AV28,'G-1 All Habitats'!$B$2:$M$135,12,FALSE),""))))</f>
        <v/>
      </c>
      <c r="Q28" s="511" t="str">
        <f>IFERROR(IF(P28="","",IF(AND(E28="Individual trees",W28&gt;0,G28="Yes"),"Error - you cannot enhance irreplaceable individual trees ▲",IF(P28='G-1 All Habitats'!$X$9,T28*S28,IF(AND(P28='G-1 All Habitats'!$X$9,W28&gt;0),X28+(Y28*S28),IF(AND(P28='G-1 All Habitats'!$X$9,V28&gt;0),X28+(Y28*S28),IF(AND(P28='G-1 All Habitats'!$X$9,AG28&gt;0),"Any Loss Unacceptable  ⚠",IF(AND(P28='G-1 All Habitats'!$X$9,Z28&gt;0),"Any Loss Unacceptable ⚠",H28*J28*L28*O28*S28))))))),"Check Data ⚠")</f>
        <v/>
      </c>
      <c r="R28" s="393"/>
      <c r="S28" s="510" t="str">
        <f>IF(R28="","",IF(VLOOKUP(R28,'G-3 Multipliers'!$S$3:$T$10,2,FALSE)=0,"Spatial Data Missing ⚠",VLOOKUP(R28,'G-3 Multipliers'!$S$3:$T$10,2,FALSE)))</f>
        <v/>
      </c>
      <c r="T28" s="289" t="str">
        <f>IFERROR(IF(AND(F28&lt;&gt;"",G28=""),"Confirm irreplaceable habitat status ▲",(IF(AND(R28&lt;&gt;"",AF28=""),"Off-site reference required ▲",(IF(AND(E28="Individual trees",W28&gt;0,G28="Yes"),"Error - you cannot enhance irreplaceable individual trees ▲",(IF(AND(X28="Irreplaceable habitat - no units generated ⚠",(W28+V28)&lt;H28,OR(AB28="No",AB28="")),"Any Loss Unacceptable ⚠",(IF(X28="Irreplaceable habitat - no units generated ⚠",W28*J28*L28*O28,IF(AND(P28='G-1 All Habitats'!$X$9,AH28&gt;0,V28&lt;=0,W28&lt;=0,OR(AB28="No",AB28="")),"Any Loss Unacceptable ⚠",IF(AND(P28='G-1 All Habitats'!$X$9,AH28&gt;0,V28&lt;=0,W28&lt;=0),0,(IF(AND(P28='G-1 All Habitats'!$X$9,(W28+V28)&lt;H28,OR(AB28="No",AB28="")),"Any Loss Unacceptable ⚠",(IF(P28="","",IF(AND(P28='G-1 All Habitats'!$X$9,W28&gt;0),X28+Y28,IF(AND(P28='G-1 All Habitats'!$X$9,V28&gt;0),X28+Y28,IF(R28="","",H28*J28*L28*O28)))))))))))))))))),"Check Data ▲")</f>
        <v/>
      </c>
      <c r="U28" s="38"/>
      <c r="V28" s="52"/>
      <c r="W28" s="53"/>
      <c r="X28" s="287" t="str">
        <f t="shared" si="2"/>
        <v/>
      </c>
      <c r="Y28" s="287" t="str">
        <f t="shared" si="3"/>
        <v/>
      </c>
      <c r="Z28" s="287" t="str">
        <f t="shared" si="4"/>
        <v/>
      </c>
      <c r="AA28" s="317" t="str">
        <f>IFERROR(IF(AND(E28="Individual trees",G28="Yes",W28&gt;0),"Error - you cannot enhance an irreplaceable tree ▲",(IF(H28="","",IF(H28-V28-W28=0&lt;0,"Error in Areas ▲",IF(V28+W28&gt;H28,"Error in Areas ▲",IF(AND(P28='G-1 All Habitats'!$X$9,AB28="Yes"),"Alternative Compensation ✓",IF(AND(P28='G-1 All Habitats'!$X$3,AB28="Yes"),"Alternative Compensation ✓",IF(AND(AB28="Pending",P28='G-1 All Habitats'!$X$3),"Bespoke compensation must be agreed ▲",IF(AND(AB28="Pending",P28='G-1 All Habitats'!$X$9),"Bespoke compensation must be agreed  ▲",IF(Z28=0,0,IF(P28='G-1 All Habitats'!$X$9,"Any Loss Unacceptable ▲",T28-X28-Y28))))))))))),"Check Data ⚠")</f>
        <v/>
      </c>
      <c r="AB28" s="587"/>
      <c r="AC28" s="105"/>
      <c r="AD28" s="138"/>
      <c r="AE28" s="104"/>
      <c r="AF28" s="611"/>
      <c r="AG28" s="523" t="str">
        <f>IF(OR(P28="",AB28="Yes"),"",IF(P28='G-1 All Habitats'!$X$9,H28-V28-W28,"None"))</f>
        <v/>
      </c>
      <c r="AH28" s="523" t="str">
        <f>IF(P28="","",IF(P28='G-1 All Habitats'!$X$9,AG28*J28*L28*O28,"None"))</f>
        <v/>
      </c>
      <c r="AJ28" s="107" t="str">
        <f t="shared" si="5"/>
        <v/>
      </c>
      <c r="AK28" s="107" t="str">
        <f t="shared" si="0"/>
        <v/>
      </c>
      <c r="AL28" s="107" t="str">
        <f>IF(I28="","",IF(#REF!&gt;0,TRUE,FALSE))</f>
        <v/>
      </c>
      <c r="AM28" s="107">
        <v>18</v>
      </c>
      <c r="AN28" s="107"/>
      <c r="AO28" s="107" t="str">
        <f t="array" ref="AO28">IFERROR(INDEX($AM$11:$AM$259,MATCH(0,IF(TRUE=$AJ$11:$AJ$259,COUNTIF($AO$10:$AO27,$AM$11:$AM$259),""),0)),"")</f>
        <v/>
      </c>
      <c r="AP28" s="107" t="str">
        <f t="array" ref="AP28">IFERROR(INDEX($AM$11:$AM$259,MATCH(0,IF(TRUE=$AK$11:$AK$259,COUNTIF($AP$10:$AP27,$AM$11:$AM$259),""),0)),"")</f>
        <v/>
      </c>
      <c r="AQ28" s="107" t="str">
        <f t="array" ref="AQ28">IFERROR(INDEX($AM$11:$AM$259,MATCH(0,IF(TRUE=$AL$11:$AL$259,COUNTIF($AQ$10:$AQ27,$AM$11:$AM$259),""),0)),"")</f>
        <v/>
      </c>
      <c r="AS28" s="885" t="str">
        <f>IF(AND(OR(AB28="Yes",AB28="Pending"),P28='G-1 All Habitats'!$X$3),T28-X28-Y28,"0")</f>
        <v>0</v>
      </c>
      <c r="AT28" s="30" t="str">
        <f t="shared" si="1"/>
        <v/>
      </c>
      <c r="AU28" s="30">
        <f t="shared" si="6"/>
        <v>0</v>
      </c>
      <c r="AV28" s="230" t="str">
        <f>IFERROR(INDEX('G-1 All Habitats'!$B$3:$B$135,MATCH(F28,'G-1 All Habitats'!$A$3:$A$135,0)),"")</f>
        <v/>
      </c>
      <c r="AW28" s="30" t="str">
        <f>IF(AV28="","",VLOOKUP(AV28,'G-1 All Habitats'!$B$1:$T$135,19,FALSE))</f>
        <v/>
      </c>
      <c r="AY28" s="287" t="str">
        <f t="shared" si="7"/>
        <v/>
      </c>
    </row>
    <row r="29" spans="1:51" ht="14">
      <c r="A29" s="30" t="str">
        <f>IFERROR(INDEX('G-1 All Habitats'!$AG$3:$AG$17,MATCH(E29,'G-1 All Habitats'!$AF$3:$AF$17,0)),"")</f>
        <v/>
      </c>
      <c r="B29" s="30" t="str">
        <f>IFERROR(INDEX('G-8 Condition Look up'!$I$4:$I$135,MATCH(AV29,'G-8 Condition Look up'!$A$4:$A$135,0)),"")</f>
        <v/>
      </c>
      <c r="D29" s="97">
        <v>19</v>
      </c>
      <c r="E29" s="262"/>
      <c r="F29" s="262"/>
      <c r="G29" s="133"/>
      <c r="H29" s="51"/>
      <c r="I29" s="509" t="str">
        <f>IF(AV29="","",IF(AND(AW29="Yes",G29="No"),"Irreplaceable habitat ▲",IF(AND(AW29="No",G29="Yes"),"Cannot be Irreplaceable ▲",VLOOKUP(AV29,'G-1 All Habitats'!$B$2:$M$135,10,FALSE))))</f>
        <v/>
      </c>
      <c r="J29" s="377" t="str">
        <f>IFERROR(VLOOKUP(I29,'G-1 All Habitats'!$V$3:$W$7,2,FALSE),"")</f>
        <v/>
      </c>
      <c r="K29" s="52"/>
      <c r="L29" s="276" t="str">
        <f>IFERROR(INDEX('G-8 Condition Look up'!$A$3:$H$135,MATCH(AV29,'G-8 Condition Look up'!$A$3:$A$135,0),MATCH(K29,'G-8 Condition Look up'!$A$3:$H$3,0)),"")</f>
        <v/>
      </c>
      <c r="M29" s="52"/>
      <c r="N29" s="295" t="str">
        <f>IF(M29="","",IF(VLOOKUP(M29,'G-3 Multipliers'!$L$3:$N$6,2,FALSE)=0,"Spatial Data Missing ⚠",VLOOKUP(M29,'G-3 Multipliers'!$L$3:$N$6,2,FALSE)))</f>
        <v/>
      </c>
      <c r="O29" s="353" t="str">
        <f>IF(M29="","",IF(VLOOKUP(M29,'G-3 Multipliers'!$L$3:$N$6,3,FALSE)=0,"Spatial Data Missing ⚠",VLOOKUP(M29,'G-3 Multipliers'!$L$3:$N$6,3,FALSE)))</f>
        <v/>
      </c>
      <c r="P29" s="336" t="str">
        <f>(IF(G29="Yes","Bespoke compensation likely to be required",(IFERROR(VLOOKUP(AV29,'G-1 All Habitats'!$B$2:$M$135,12,FALSE),""))))</f>
        <v/>
      </c>
      <c r="Q29" s="511" t="str">
        <f>IFERROR(IF(P29="","",IF(AND(E29="Individual trees",W29&gt;0,G29="Yes"),"Error - you cannot enhance irreplaceable individual trees ▲",IF(P29='G-1 All Habitats'!$X$9,T29*S29,IF(AND(P29='G-1 All Habitats'!$X$9,W29&gt;0),X29+(Y29*S29),IF(AND(P29='G-1 All Habitats'!$X$9,V29&gt;0),X29+(Y29*S29),IF(AND(P29='G-1 All Habitats'!$X$9,AG29&gt;0),"Any Loss Unacceptable  ⚠",IF(AND(P29='G-1 All Habitats'!$X$9,Z29&gt;0),"Any Loss Unacceptable ⚠",H29*J29*L29*O29*S29))))))),"Check Data ⚠")</f>
        <v/>
      </c>
      <c r="R29" s="393"/>
      <c r="S29" s="510" t="str">
        <f>IF(R29="","",IF(VLOOKUP(R29,'G-3 Multipliers'!$S$3:$T$10,2,FALSE)=0,"Spatial Data Missing ⚠",VLOOKUP(R29,'G-3 Multipliers'!$S$3:$T$10,2,FALSE)))</f>
        <v/>
      </c>
      <c r="T29" s="289" t="str">
        <f>IFERROR(IF(AND(F29&lt;&gt;"",G29=""),"Confirm irreplaceable habitat status ▲",(IF(AND(R29&lt;&gt;"",AF29=""),"Off-site reference required ▲",(IF(AND(E29="Individual trees",W29&gt;0,G29="Yes"),"Error - you cannot enhance irreplaceable individual trees ▲",(IF(AND(X29="Irreplaceable habitat - no units generated ⚠",(W29+V29)&lt;H29,OR(AB29="No",AB29="")),"Any Loss Unacceptable ⚠",(IF(X29="Irreplaceable habitat - no units generated ⚠",W29*J29*L29*O29,IF(AND(P29='G-1 All Habitats'!$X$9,AH29&gt;0,V29&lt;=0,W29&lt;=0,OR(AB29="No",AB29="")),"Any Loss Unacceptable ⚠",IF(AND(P29='G-1 All Habitats'!$X$9,AH29&gt;0,V29&lt;=0,W29&lt;=0),0,(IF(AND(P29='G-1 All Habitats'!$X$9,(W29+V29)&lt;H29,OR(AB29="No",AB29="")),"Any Loss Unacceptable ⚠",(IF(P29="","",IF(AND(P29='G-1 All Habitats'!$X$9,W29&gt;0),X29+Y29,IF(AND(P29='G-1 All Habitats'!$X$9,V29&gt;0),X29+Y29,IF(R29="","",H29*J29*L29*O29)))))))))))))))))),"Check Data ▲")</f>
        <v/>
      </c>
      <c r="U29" s="38"/>
      <c r="V29" s="52"/>
      <c r="W29" s="53"/>
      <c r="X29" s="287" t="str">
        <f t="shared" si="2"/>
        <v/>
      </c>
      <c r="Y29" s="287" t="str">
        <f t="shared" si="3"/>
        <v/>
      </c>
      <c r="Z29" s="287" t="str">
        <f t="shared" si="4"/>
        <v/>
      </c>
      <c r="AA29" s="317" t="str">
        <f>IFERROR(IF(AND(E29="Individual trees",G29="Yes",W29&gt;0),"Error - you cannot enhance an irreplaceable tree ▲",(IF(H29="","",IF(H29-V29-W29=0&lt;0,"Error in Areas ▲",IF(V29+W29&gt;H29,"Error in Areas ▲",IF(AND(P29='G-1 All Habitats'!$X$9,AB29="Yes"),"Alternative Compensation ✓",IF(AND(P29='G-1 All Habitats'!$X$3,AB29="Yes"),"Alternative Compensation ✓",IF(AND(AB29="Pending",P29='G-1 All Habitats'!$X$3),"Bespoke compensation must be agreed ▲",IF(AND(AB29="Pending",P29='G-1 All Habitats'!$X$9),"Bespoke compensation must be agreed  ▲",IF(Z29=0,0,IF(P29='G-1 All Habitats'!$X$9,"Any Loss Unacceptable ▲",T29-X29-Y29))))))))))),"Check Data ⚠")</f>
        <v/>
      </c>
      <c r="AB29" s="587"/>
      <c r="AC29" s="105"/>
      <c r="AD29" s="138"/>
      <c r="AE29" s="104"/>
      <c r="AF29" s="611"/>
      <c r="AG29" s="523" t="str">
        <f>IF(OR(P29="",AB29="Yes"),"",IF(P29='G-1 All Habitats'!$X$9,H29-V29-W29,"None"))</f>
        <v/>
      </c>
      <c r="AH29" s="523" t="str">
        <f>IF(P29="","",IF(P29='G-1 All Habitats'!$X$9,AG29*J29*L29*O29,"None"))</f>
        <v/>
      </c>
      <c r="AJ29" s="107" t="str">
        <f t="shared" si="5"/>
        <v/>
      </c>
      <c r="AK29" s="107" t="str">
        <f t="shared" si="0"/>
        <v/>
      </c>
      <c r="AL29" s="107" t="str">
        <f>IF(I29="","",IF(#REF!&gt;0,TRUE,FALSE))</f>
        <v/>
      </c>
      <c r="AM29" s="107">
        <v>19</v>
      </c>
      <c r="AN29" s="107"/>
      <c r="AO29" s="107" t="str">
        <f t="array" ref="AO29">IFERROR(INDEX($AM$11:$AM$259,MATCH(0,IF(TRUE=$AJ$11:$AJ$259,COUNTIF($AO$10:$AO28,$AM$11:$AM$259),""),0)),"")</f>
        <v/>
      </c>
      <c r="AP29" s="107" t="str">
        <f t="array" ref="AP29">IFERROR(INDEX($AM$11:$AM$259,MATCH(0,IF(TRUE=$AK$11:$AK$259,COUNTIF($AP$10:$AP28,$AM$11:$AM$259),""),0)),"")</f>
        <v/>
      </c>
      <c r="AQ29" s="107" t="str">
        <f t="array" ref="AQ29">IFERROR(INDEX($AM$11:$AM$259,MATCH(0,IF(TRUE=$AL$11:$AL$259,COUNTIF($AQ$10:$AQ28,$AM$11:$AM$259),""),0)),"")</f>
        <v/>
      </c>
      <c r="AS29" s="885" t="str">
        <f>IF(AND(OR(AB29="Yes",AB29="Pending"),P29='G-1 All Habitats'!$X$3),T29-X29-Y29,"0")</f>
        <v>0</v>
      </c>
      <c r="AT29" s="30" t="str">
        <f t="shared" si="1"/>
        <v/>
      </c>
      <c r="AU29" s="30">
        <f t="shared" si="6"/>
        <v>0</v>
      </c>
      <c r="AV29" s="230" t="str">
        <f>IFERROR(INDEX('G-1 All Habitats'!$B$3:$B$135,MATCH(F29,'G-1 All Habitats'!$A$3:$A$135,0)),"")</f>
        <v/>
      </c>
      <c r="AW29" s="30" t="str">
        <f>IF(AV29="","",VLOOKUP(AV29,'G-1 All Habitats'!$B$1:$T$135,19,FALSE))</f>
        <v/>
      </c>
      <c r="AY29" s="287" t="str">
        <f t="shared" si="7"/>
        <v/>
      </c>
    </row>
    <row r="30" spans="1:51" ht="14">
      <c r="A30" s="30" t="str">
        <f>IFERROR(INDEX('G-1 All Habitats'!$AG$3:$AG$17,MATCH(E30,'G-1 All Habitats'!$AF$3:$AF$17,0)),"")</f>
        <v/>
      </c>
      <c r="B30" s="30" t="str">
        <f>IFERROR(INDEX('G-8 Condition Look up'!$I$4:$I$135,MATCH(AV30,'G-8 Condition Look up'!$A$4:$A$135,0)),"")</f>
        <v/>
      </c>
      <c r="D30" s="97">
        <v>20</v>
      </c>
      <c r="E30" s="262"/>
      <c r="F30" s="262"/>
      <c r="G30" s="133"/>
      <c r="H30" s="51"/>
      <c r="I30" s="509" t="str">
        <f>IF(AV30="","",IF(AND(AW30="Yes",G30="No"),"Irreplaceable habitat ▲",IF(AND(AW30="No",G30="Yes"),"Cannot be Irreplaceable ▲",VLOOKUP(AV30,'G-1 All Habitats'!$B$2:$M$135,10,FALSE))))</f>
        <v/>
      </c>
      <c r="J30" s="377" t="str">
        <f>IFERROR(VLOOKUP(I30,'G-1 All Habitats'!$V$3:$W$7,2,FALSE),"")</f>
        <v/>
      </c>
      <c r="K30" s="52"/>
      <c r="L30" s="276" t="str">
        <f>IFERROR(INDEX('G-8 Condition Look up'!$A$3:$H$135,MATCH(AV30,'G-8 Condition Look up'!$A$3:$A$135,0),MATCH(K30,'G-8 Condition Look up'!$A$3:$H$3,0)),"")</f>
        <v/>
      </c>
      <c r="M30" s="52"/>
      <c r="N30" s="295" t="str">
        <f>IF(M30="","",IF(VLOOKUP(M30,'G-3 Multipliers'!$L$3:$N$6,2,FALSE)=0,"Spatial Data Missing ⚠",VLOOKUP(M30,'G-3 Multipliers'!$L$3:$N$6,2,FALSE)))</f>
        <v/>
      </c>
      <c r="O30" s="353" t="str">
        <f>IF(M30="","",IF(VLOOKUP(M30,'G-3 Multipliers'!$L$3:$N$6,3,FALSE)=0,"Spatial Data Missing ⚠",VLOOKUP(M30,'G-3 Multipliers'!$L$3:$N$6,3,FALSE)))</f>
        <v/>
      </c>
      <c r="P30" s="336" t="str">
        <f>(IF(G30="Yes","Bespoke compensation likely to be required",(IFERROR(VLOOKUP(AV30,'G-1 All Habitats'!$B$2:$M$135,12,FALSE),""))))</f>
        <v/>
      </c>
      <c r="Q30" s="511" t="str">
        <f>IFERROR(IF(P30="","",IF(AND(E30="Individual trees",W30&gt;0,G30="Yes"),"Error - you cannot enhance irreplaceable individual trees ▲",IF(P30='G-1 All Habitats'!$X$9,T30*S30,IF(AND(P30='G-1 All Habitats'!$X$9,W30&gt;0),X30+(Y30*S30),IF(AND(P30='G-1 All Habitats'!$X$9,V30&gt;0),X30+(Y30*S30),IF(AND(P30='G-1 All Habitats'!$X$9,AG30&gt;0),"Any Loss Unacceptable  ⚠",IF(AND(P30='G-1 All Habitats'!$X$9,Z30&gt;0),"Any Loss Unacceptable ⚠",H30*J30*L30*O30*S30))))))),"Check Data ⚠")</f>
        <v/>
      </c>
      <c r="R30" s="393"/>
      <c r="S30" s="510" t="str">
        <f>IF(R30="","",IF(VLOOKUP(R30,'G-3 Multipliers'!$S$3:$T$10,2,FALSE)=0,"Spatial Data Missing ⚠",VLOOKUP(R30,'G-3 Multipliers'!$S$3:$T$10,2,FALSE)))</f>
        <v/>
      </c>
      <c r="T30" s="289" t="str">
        <f>IFERROR(IF(AND(F30&lt;&gt;"",G30=""),"Confirm irreplaceable habitat status ▲",(IF(AND(R30&lt;&gt;"",AF30=""),"Off-site reference required ▲",(IF(AND(E30="Individual trees",W30&gt;0,G30="Yes"),"Error - you cannot enhance irreplaceable individual trees ▲",(IF(AND(X30="Irreplaceable habitat - no units generated ⚠",(W30+V30)&lt;H30,OR(AB30="No",AB30="")),"Any Loss Unacceptable ⚠",(IF(X30="Irreplaceable habitat - no units generated ⚠",W30*J30*L30*O30,IF(AND(P30='G-1 All Habitats'!$X$9,AH30&gt;0,V30&lt;=0,W30&lt;=0,OR(AB30="No",AB30="")),"Any Loss Unacceptable ⚠",IF(AND(P30='G-1 All Habitats'!$X$9,AH30&gt;0,V30&lt;=0,W30&lt;=0),0,(IF(AND(P30='G-1 All Habitats'!$X$9,(W30+V30)&lt;H30,OR(AB30="No",AB30="")),"Any Loss Unacceptable ⚠",(IF(P30="","",IF(AND(P30='G-1 All Habitats'!$X$9,W30&gt;0),X30+Y30,IF(AND(P30='G-1 All Habitats'!$X$9,V30&gt;0),X30+Y30,IF(R30="","",H30*J30*L30*O30)))))))))))))))))),"Check Data ▲")</f>
        <v/>
      </c>
      <c r="U30" s="38"/>
      <c r="V30" s="52"/>
      <c r="W30" s="53"/>
      <c r="X30" s="287" t="str">
        <f t="shared" si="2"/>
        <v/>
      </c>
      <c r="Y30" s="287" t="str">
        <f t="shared" si="3"/>
        <v/>
      </c>
      <c r="Z30" s="287" t="str">
        <f t="shared" si="4"/>
        <v/>
      </c>
      <c r="AA30" s="317" t="str">
        <f>IFERROR(IF(AND(E30="Individual trees",G30="Yes",W30&gt;0),"Error - you cannot enhance an irreplaceable tree ▲",(IF(H30="","",IF(H30-V30-W30=0&lt;0,"Error in Areas ▲",IF(V30+W30&gt;H30,"Error in Areas ▲",IF(AND(P30='G-1 All Habitats'!$X$9,AB30="Yes"),"Alternative Compensation ✓",IF(AND(P30='G-1 All Habitats'!$X$3,AB30="Yes"),"Alternative Compensation ✓",IF(AND(AB30="Pending",P30='G-1 All Habitats'!$X$3),"Bespoke compensation must be agreed ▲",IF(AND(AB30="Pending",P30='G-1 All Habitats'!$X$9),"Bespoke compensation must be agreed  ▲",IF(Z30=0,0,IF(P30='G-1 All Habitats'!$X$9,"Any Loss Unacceptable ▲",T30-X30-Y30))))))))))),"Check Data ⚠")</f>
        <v/>
      </c>
      <c r="AB30" s="587"/>
      <c r="AC30" s="105"/>
      <c r="AD30" s="138"/>
      <c r="AE30" s="104"/>
      <c r="AF30" s="611"/>
      <c r="AG30" s="523" t="str">
        <f>IF(OR(P30="",AB30="Yes"),"",IF(P30='G-1 All Habitats'!$X$9,H30-V30-W30,"None"))</f>
        <v/>
      </c>
      <c r="AH30" s="523" t="str">
        <f>IF(P30="","",IF(P30='G-1 All Habitats'!$X$9,AG30*J30*L30*O30,"None"))</f>
        <v/>
      </c>
      <c r="AJ30" s="107" t="str">
        <f t="shared" si="5"/>
        <v/>
      </c>
      <c r="AK30" s="107" t="str">
        <f t="shared" si="0"/>
        <v/>
      </c>
      <c r="AL30" s="107" t="str">
        <f>IF(I30="","",IF(#REF!&gt;0,TRUE,FALSE))</f>
        <v/>
      </c>
      <c r="AM30" s="107">
        <v>20</v>
      </c>
      <c r="AN30" s="107"/>
      <c r="AO30" s="107" t="str">
        <f t="array" ref="AO30">IFERROR(INDEX($AM$11:$AM$259,MATCH(0,IF(TRUE=$AJ$11:$AJ$259,COUNTIF($AO$10:$AO29,$AM$11:$AM$259),""),0)),"")</f>
        <v/>
      </c>
      <c r="AP30" s="107" t="str">
        <f t="array" ref="AP30">IFERROR(INDEX($AM$11:$AM$259,MATCH(0,IF(TRUE=$AK$11:$AK$259,COUNTIF($AP$10:$AP29,$AM$11:$AM$259),""),0)),"")</f>
        <v/>
      </c>
      <c r="AQ30" s="107" t="str">
        <f t="array" ref="AQ30">IFERROR(INDEX($AM$11:$AM$259,MATCH(0,IF(TRUE=$AL$11:$AL$259,COUNTIF($AQ$10:$AQ29,$AM$11:$AM$259),""),0)),"")</f>
        <v/>
      </c>
      <c r="AS30" s="885" t="str">
        <f>IF(AND(OR(AB30="Yes",AB30="Pending"),P30='G-1 All Habitats'!$X$3),T30-X30-Y30,"0")</f>
        <v>0</v>
      </c>
      <c r="AT30" s="30" t="str">
        <f t="shared" si="1"/>
        <v/>
      </c>
      <c r="AU30" s="30">
        <f t="shared" si="6"/>
        <v>0</v>
      </c>
      <c r="AV30" s="230" t="str">
        <f>IFERROR(INDEX('G-1 All Habitats'!$B$3:$B$135,MATCH(F30,'G-1 All Habitats'!$A$3:$A$135,0)),"")</f>
        <v/>
      </c>
      <c r="AW30" s="30" t="str">
        <f>IF(AV30="","",VLOOKUP(AV30,'G-1 All Habitats'!$B$1:$T$135,19,FALSE))</f>
        <v/>
      </c>
      <c r="AY30" s="287" t="str">
        <f t="shared" si="7"/>
        <v/>
      </c>
    </row>
    <row r="31" spans="1:51" ht="14">
      <c r="A31" s="30" t="str">
        <f>IFERROR(INDEX('G-1 All Habitats'!$AG$3:$AG$17,MATCH(E31,'G-1 All Habitats'!$AF$3:$AF$17,0)),"")</f>
        <v/>
      </c>
      <c r="B31" s="30" t="str">
        <f>IFERROR(INDEX('G-8 Condition Look up'!$I$4:$I$135,MATCH(AV31,'G-8 Condition Look up'!$A$4:$A$135,0)),"")</f>
        <v/>
      </c>
      <c r="D31" s="97">
        <v>21</v>
      </c>
      <c r="E31" s="262"/>
      <c r="F31" s="262"/>
      <c r="G31" s="133"/>
      <c r="H31" s="51"/>
      <c r="I31" s="509" t="str">
        <f>IF(AV31="","",IF(AND(AW31="Yes",G31="No"),"Irreplaceable habitat ▲",IF(AND(AW31="No",G31="Yes"),"Cannot be Irreplaceable ▲",VLOOKUP(AV31,'G-1 All Habitats'!$B$2:$M$135,10,FALSE))))</f>
        <v/>
      </c>
      <c r="J31" s="377" t="str">
        <f>IFERROR(VLOOKUP(I31,'G-1 All Habitats'!$V$3:$W$7,2,FALSE),"")</f>
        <v/>
      </c>
      <c r="K31" s="52"/>
      <c r="L31" s="276" t="str">
        <f>IFERROR(INDEX('G-8 Condition Look up'!$A$3:$H$135,MATCH(AV31,'G-8 Condition Look up'!$A$3:$A$135,0),MATCH(K31,'G-8 Condition Look up'!$A$3:$H$3,0)),"")</f>
        <v/>
      </c>
      <c r="M31" s="52"/>
      <c r="N31" s="295" t="str">
        <f>IF(M31="","",IF(VLOOKUP(M31,'G-3 Multipliers'!$L$3:$N$6,2,FALSE)=0,"Spatial Data Missing ⚠",VLOOKUP(M31,'G-3 Multipliers'!$L$3:$N$6,2,FALSE)))</f>
        <v/>
      </c>
      <c r="O31" s="353" t="str">
        <f>IF(M31="","",IF(VLOOKUP(M31,'G-3 Multipliers'!$L$3:$N$6,3,FALSE)=0,"Spatial Data Missing ⚠",VLOOKUP(M31,'G-3 Multipliers'!$L$3:$N$6,3,FALSE)))</f>
        <v/>
      </c>
      <c r="P31" s="336" t="str">
        <f>(IF(G31="Yes","Bespoke compensation likely to be required",(IFERROR(VLOOKUP(AV31,'G-1 All Habitats'!$B$2:$M$135,12,FALSE),""))))</f>
        <v/>
      </c>
      <c r="Q31" s="511" t="str">
        <f>IFERROR(IF(P31="","",IF(AND(E31="Individual trees",W31&gt;0,G31="Yes"),"Error - you cannot enhance irreplaceable individual trees ▲",IF(P31='G-1 All Habitats'!$X$9,T31*S31,IF(AND(P31='G-1 All Habitats'!$X$9,W31&gt;0),X31+(Y31*S31),IF(AND(P31='G-1 All Habitats'!$X$9,V31&gt;0),X31+(Y31*S31),IF(AND(P31='G-1 All Habitats'!$X$9,AG31&gt;0),"Any Loss Unacceptable  ⚠",IF(AND(P31='G-1 All Habitats'!$X$9,Z31&gt;0),"Any Loss Unacceptable ⚠",H31*J31*L31*O31*S31))))))),"Check Data ⚠")</f>
        <v/>
      </c>
      <c r="R31" s="393"/>
      <c r="S31" s="510" t="str">
        <f>IF(R31="","",IF(VLOOKUP(R31,'G-3 Multipliers'!$S$3:$T$10,2,FALSE)=0,"Spatial Data Missing ⚠",VLOOKUP(R31,'G-3 Multipliers'!$S$3:$T$10,2,FALSE)))</f>
        <v/>
      </c>
      <c r="T31" s="289" t="str">
        <f>IFERROR(IF(AND(F31&lt;&gt;"",G31=""),"Confirm irreplaceable habitat status ▲",(IF(AND(R31&lt;&gt;"",AF31=""),"Off-site reference required ▲",(IF(AND(E31="Individual trees",W31&gt;0,G31="Yes"),"Error - you cannot enhance irreplaceable individual trees ▲",(IF(AND(X31="Irreplaceable habitat - no units generated ⚠",(W31+V31)&lt;H31,OR(AB31="No",AB31="")),"Any Loss Unacceptable ⚠",(IF(X31="Irreplaceable habitat - no units generated ⚠",W31*J31*L31*O31,IF(AND(P31='G-1 All Habitats'!$X$9,AH31&gt;0,V31&lt;=0,W31&lt;=0,OR(AB31="No",AB31="")),"Any Loss Unacceptable ⚠",IF(AND(P31='G-1 All Habitats'!$X$9,AH31&gt;0,V31&lt;=0,W31&lt;=0),0,(IF(AND(P31='G-1 All Habitats'!$X$9,(W31+V31)&lt;H31,OR(AB31="No",AB31="")),"Any Loss Unacceptable ⚠",(IF(P31="","",IF(AND(P31='G-1 All Habitats'!$X$9,W31&gt;0),X31+Y31,IF(AND(P31='G-1 All Habitats'!$X$9,V31&gt;0),X31+Y31,IF(R31="","",H31*J31*L31*O31)))))))))))))))))),"Check Data ▲")</f>
        <v/>
      </c>
      <c r="U31" s="38"/>
      <c r="V31" s="52"/>
      <c r="W31" s="53"/>
      <c r="X31" s="287" t="str">
        <f t="shared" si="2"/>
        <v/>
      </c>
      <c r="Y31" s="287" t="str">
        <f t="shared" si="3"/>
        <v/>
      </c>
      <c r="Z31" s="287" t="str">
        <f t="shared" si="4"/>
        <v/>
      </c>
      <c r="AA31" s="317" t="str">
        <f>IFERROR(IF(AND(E31="Individual trees",G31="Yes",W31&gt;0),"Error - you cannot enhance an irreplaceable tree ▲",(IF(H31="","",IF(H31-V31-W31=0&lt;0,"Error in Areas ▲",IF(V31+W31&gt;H31,"Error in Areas ▲",IF(AND(P31='G-1 All Habitats'!$X$9,AB31="Yes"),"Alternative Compensation ✓",IF(AND(P31='G-1 All Habitats'!$X$3,AB31="Yes"),"Alternative Compensation ✓",IF(AND(AB31="Pending",P31='G-1 All Habitats'!$X$3),"Bespoke compensation must be agreed ▲",IF(AND(AB31="Pending",P31='G-1 All Habitats'!$X$9),"Bespoke compensation must be agreed  ▲",IF(Z31=0,0,IF(P31='G-1 All Habitats'!$X$9,"Any Loss Unacceptable ▲",T31-X31-Y31))))))))))),"Check Data ⚠")</f>
        <v/>
      </c>
      <c r="AB31" s="587"/>
      <c r="AC31" s="105"/>
      <c r="AD31" s="138"/>
      <c r="AE31" s="104"/>
      <c r="AF31" s="611"/>
      <c r="AG31" s="523" t="str">
        <f>IF(OR(P31="",AB31="Yes"),"",IF(P31='G-1 All Habitats'!$X$9,H31-V31-W31,"None"))</f>
        <v/>
      </c>
      <c r="AH31" s="523" t="str">
        <f>IF(P31="","",IF(P31='G-1 All Habitats'!$X$9,AG31*J31*L31*O31,"None"))</f>
        <v/>
      </c>
      <c r="AJ31" s="107" t="str">
        <f t="shared" si="5"/>
        <v/>
      </c>
      <c r="AK31" s="107" t="str">
        <f t="shared" si="0"/>
        <v/>
      </c>
      <c r="AL31" s="107" t="str">
        <f>IF(I31="","",IF(#REF!&gt;0,TRUE,FALSE))</f>
        <v/>
      </c>
      <c r="AM31" s="107">
        <v>21</v>
      </c>
      <c r="AN31" s="107"/>
      <c r="AO31" s="107" t="str">
        <f t="array" ref="AO31">IFERROR(INDEX($AM$11:$AM$259,MATCH(0,IF(TRUE=$AJ$11:$AJ$259,COUNTIF($AO$10:$AO30,$AM$11:$AM$259),""),0)),"")</f>
        <v/>
      </c>
      <c r="AP31" s="107" t="str">
        <f t="array" ref="AP31">IFERROR(INDEX($AM$11:$AM$259,MATCH(0,IF(TRUE=$AK$11:$AK$259,COUNTIF($AP$10:$AP30,$AM$11:$AM$259),""),0)),"")</f>
        <v/>
      </c>
      <c r="AQ31" s="107" t="str">
        <f t="array" ref="AQ31">IFERROR(INDEX($AM$11:$AM$259,MATCH(0,IF(TRUE=$AL$11:$AL$259,COUNTIF($AQ$10:$AQ30,$AM$11:$AM$259),""),0)),"")</f>
        <v/>
      </c>
      <c r="AS31" s="885" t="str">
        <f>IF(AND(OR(AB31="Yes",AB31="Pending"),P31='G-1 All Habitats'!$X$3),T31-X31-Y31,"0")</f>
        <v>0</v>
      </c>
      <c r="AT31" s="30" t="str">
        <f t="shared" si="1"/>
        <v/>
      </c>
      <c r="AU31" s="30">
        <f t="shared" si="6"/>
        <v>0</v>
      </c>
      <c r="AV31" s="230" t="str">
        <f>IFERROR(INDEX('G-1 All Habitats'!$B$3:$B$135,MATCH(F31,'G-1 All Habitats'!$A$3:$A$135,0)),"")</f>
        <v/>
      </c>
      <c r="AW31" s="30" t="str">
        <f>IF(AV31="","",VLOOKUP(AV31,'G-1 All Habitats'!$B$1:$T$135,19,FALSE))</f>
        <v/>
      </c>
      <c r="AY31" s="287" t="str">
        <f t="shared" si="7"/>
        <v/>
      </c>
    </row>
    <row r="32" spans="1:51" ht="14">
      <c r="A32" s="30" t="str">
        <f>IFERROR(INDEX('G-1 All Habitats'!$AG$3:$AG$17,MATCH(E32,'G-1 All Habitats'!$AF$3:$AF$17,0)),"")</f>
        <v/>
      </c>
      <c r="B32" s="30" t="str">
        <f>IFERROR(INDEX('G-8 Condition Look up'!$I$4:$I$135,MATCH(AV32,'G-8 Condition Look up'!$A$4:$A$135,0)),"")</f>
        <v/>
      </c>
      <c r="D32" s="97">
        <v>22</v>
      </c>
      <c r="E32" s="262"/>
      <c r="F32" s="262"/>
      <c r="G32" s="133"/>
      <c r="H32" s="51"/>
      <c r="I32" s="509" t="str">
        <f>IF(AV32="","",IF(AND(AW32="Yes",G32="No"),"Irreplaceable habitat ▲",IF(AND(AW32="No",G32="Yes"),"Cannot be Irreplaceable ▲",VLOOKUP(AV32,'G-1 All Habitats'!$B$2:$M$135,10,FALSE))))</f>
        <v/>
      </c>
      <c r="J32" s="377" t="str">
        <f>IFERROR(VLOOKUP(I32,'G-1 All Habitats'!$V$3:$W$7,2,FALSE),"")</f>
        <v/>
      </c>
      <c r="K32" s="52"/>
      <c r="L32" s="276" t="str">
        <f>IFERROR(INDEX('G-8 Condition Look up'!$A$3:$H$135,MATCH(AV32,'G-8 Condition Look up'!$A$3:$A$135,0),MATCH(K32,'G-8 Condition Look up'!$A$3:$H$3,0)),"")</f>
        <v/>
      </c>
      <c r="M32" s="52"/>
      <c r="N32" s="295" t="str">
        <f>IF(M32="","",IF(VLOOKUP(M32,'G-3 Multipliers'!$L$3:$N$6,2,FALSE)=0,"Spatial Data Missing ⚠",VLOOKUP(M32,'G-3 Multipliers'!$L$3:$N$6,2,FALSE)))</f>
        <v/>
      </c>
      <c r="O32" s="353" t="str">
        <f>IF(M32="","",IF(VLOOKUP(M32,'G-3 Multipliers'!$L$3:$N$6,3,FALSE)=0,"Spatial Data Missing ⚠",VLOOKUP(M32,'G-3 Multipliers'!$L$3:$N$6,3,FALSE)))</f>
        <v/>
      </c>
      <c r="P32" s="336" t="str">
        <f>(IF(G32="Yes","Bespoke compensation likely to be required",(IFERROR(VLOOKUP(AV32,'G-1 All Habitats'!$B$2:$M$135,12,FALSE),""))))</f>
        <v/>
      </c>
      <c r="Q32" s="511" t="str">
        <f>IFERROR(IF(P32="","",IF(AND(E32="Individual trees",W32&gt;0,G32="Yes"),"Error - you cannot enhance irreplaceable individual trees ▲",IF(P32='G-1 All Habitats'!$X$9,T32*S32,IF(AND(P32='G-1 All Habitats'!$X$9,W32&gt;0),X32+(Y32*S32),IF(AND(P32='G-1 All Habitats'!$X$9,V32&gt;0),X32+(Y32*S32),IF(AND(P32='G-1 All Habitats'!$X$9,AG32&gt;0),"Any Loss Unacceptable  ⚠",IF(AND(P32='G-1 All Habitats'!$X$9,Z32&gt;0),"Any Loss Unacceptable ⚠",H32*J32*L32*O32*S32))))))),"Check Data ⚠")</f>
        <v/>
      </c>
      <c r="R32" s="393"/>
      <c r="S32" s="510" t="str">
        <f>IF(R32="","",IF(VLOOKUP(R32,'G-3 Multipliers'!$S$3:$T$10,2,FALSE)=0,"Spatial Data Missing ⚠",VLOOKUP(R32,'G-3 Multipliers'!$S$3:$T$10,2,FALSE)))</f>
        <v/>
      </c>
      <c r="T32" s="289" t="str">
        <f>IFERROR(IF(AND(F32&lt;&gt;"",G32=""),"Confirm irreplaceable habitat status ▲",(IF(AND(R32&lt;&gt;"",AF32=""),"Off-site reference required ▲",(IF(AND(E32="Individual trees",W32&gt;0,G32="Yes"),"Error - you cannot enhance irreplaceable individual trees ▲",(IF(AND(X32="Irreplaceable habitat - no units generated ⚠",(W32+V32)&lt;H32,OR(AB32="No",AB32="")),"Any Loss Unacceptable ⚠",(IF(X32="Irreplaceable habitat - no units generated ⚠",W32*J32*L32*O32,IF(AND(P32='G-1 All Habitats'!$X$9,AH32&gt;0,V32&lt;=0,W32&lt;=0,OR(AB32="No",AB32="")),"Any Loss Unacceptable ⚠",IF(AND(P32='G-1 All Habitats'!$X$9,AH32&gt;0,V32&lt;=0,W32&lt;=0),0,(IF(AND(P32='G-1 All Habitats'!$X$9,(W32+V32)&lt;H32,OR(AB32="No",AB32="")),"Any Loss Unacceptable ⚠",(IF(P32="","",IF(AND(P32='G-1 All Habitats'!$X$9,W32&gt;0),X32+Y32,IF(AND(P32='G-1 All Habitats'!$X$9,V32&gt;0),X32+Y32,IF(R32="","",H32*J32*L32*O32)))))))))))))))))),"Check Data ▲")</f>
        <v/>
      </c>
      <c r="U32" s="38"/>
      <c r="V32" s="52"/>
      <c r="W32" s="53"/>
      <c r="X32" s="287" t="str">
        <f t="shared" si="2"/>
        <v/>
      </c>
      <c r="Y32" s="287" t="str">
        <f t="shared" si="3"/>
        <v/>
      </c>
      <c r="Z32" s="287" t="str">
        <f t="shared" si="4"/>
        <v/>
      </c>
      <c r="AA32" s="317" t="str">
        <f>IFERROR(IF(AND(E32="Individual trees",G32="Yes",W32&gt;0),"Error - you cannot enhance an irreplaceable tree ▲",(IF(H32="","",IF(H32-V32-W32=0&lt;0,"Error in Areas ▲",IF(V32+W32&gt;H32,"Error in Areas ▲",IF(AND(P32='G-1 All Habitats'!$X$9,AB32="Yes"),"Alternative Compensation ✓",IF(AND(P32='G-1 All Habitats'!$X$3,AB32="Yes"),"Alternative Compensation ✓",IF(AND(AB32="Pending",P32='G-1 All Habitats'!$X$3),"Bespoke compensation must be agreed ▲",IF(AND(AB32="Pending",P32='G-1 All Habitats'!$X$9),"Bespoke compensation must be agreed  ▲",IF(Z32=0,0,IF(P32='G-1 All Habitats'!$X$9,"Any Loss Unacceptable ▲",T32-X32-Y32))))))))))),"Check Data ⚠")</f>
        <v/>
      </c>
      <c r="AB32" s="587"/>
      <c r="AC32" s="105"/>
      <c r="AD32" s="138"/>
      <c r="AE32" s="104"/>
      <c r="AF32" s="611"/>
      <c r="AG32" s="523" t="str">
        <f>IF(OR(P32="",AB32="Yes"),"",IF(P32='G-1 All Habitats'!$X$9,H32-V32-W32,"None"))</f>
        <v/>
      </c>
      <c r="AH32" s="523" t="str">
        <f>IF(P32="","",IF(P32='G-1 All Habitats'!$X$9,AG32*J32*L32*O32,"None"))</f>
        <v/>
      </c>
      <c r="AJ32" s="107" t="str">
        <f t="shared" si="5"/>
        <v/>
      </c>
      <c r="AK32" s="107" t="str">
        <f t="shared" si="0"/>
        <v/>
      </c>
      <c r="AL32" s="107" t="str">
        <f>IF(I32="","",IF(#REF!&gt;0,TRUE,FALSE))</f>
        <v/>
      </c>
      <c r="AM32" s="107">
        <v>22</v>
      </c>
      <c r="AN32" s="107"/>
      <c r="AO32" s="107" t="str">
        <f t="array" ref="AO32">IFERROR(INDEX($AM$11:$AM$259,MATCH(0,IF(TRUE=$AJ$11:$AJ$259,COUNTIF($AO$10:$AO31,$AM$11:$AM$259),""),0)),"")</f>
        <v/>
      </c>
      <c r="AP32" s="107" t="str">
        <f t="array" ref="AP32">IFERROR(INDEX($AM$11:$AM$259,MATCH(0,IF(TRUE=$AK$11:$AK$259,COUNTIF($AP$10:$AP31,$AM$11:$AM$259),""),0)),"")</f>
        <v/>
      </c>
      <c r="AQ32" s="107" t="str">
        <f t="array" ref="AQ32">IFERROR(INDEX($AM$11:$AM$259,MATCH(0,IF(TRUE=$AL$11:$AL$259,COUNTIF($AQ$10:$AQ31,$AM$11:$AM$259),""),0)),"")</f>
        <v/>
      </c>
      <c r="AS32" s="885" t="str">
        <f>IF(AND(OR(AB32="Yes",AB32="Pending"),P32='G-1 All Habitats'!$X$3),T32-X32-Y32,"0")</f>
        <v>0</v>
      </c>
      <c r="AT32" s="30" t="str">
        <f t="shared" si="1"/>
        <v/>
      </c>
      <c r="AU32" s="30">
        <f t="shared" si="6"/>
        <v>0</v>
      </c>
      <c r="AV32" s="230" t="str">
        <f>IFERROR(INDEX('G-1 All Habitats'!$B$3:$B$135,MATCH(F32,'G-1 All Habitats'!$A$3:$A$135,0)),"")</f>
        <v/>
      </c>
      <c r="AW32" s="30" t="str">
        <f>IF(AV32="","",VLOOKUP(AV32,'G-1 All Habitats'!$B$1:$T$135,19,FALSE))</f>
        <v/>
      </c>
      <c r="AY32" s="287" t="str">
        <f t="shared" si="7"/>
        <v/>
      </c>
    </row>
    <row r="33" spans="1:51" ht="14">
      <c r="A33" s="30" t="str">
        <f>IFERROR(INDEX('G-1 All Habitats'!$AG$3:$AG$17,MATCH(E33,'G-1 All Habitats'!$AF$3:$AF$17,0)),"")</f>
        <v/>
      </c>
      <c r="B33" s="30" t="str">
        <f>IFERROR(INDEX('G-8 Condition Look up'!$I$4:$I$135,MATCH(AV33,'G-8 Condition Look up'!$A$4:$A$135,0)),"")</f>
        <v/>
      </c>
      <c r="D33" s="97">
        <v>23</v>
      </c>
      <c r="E33" s="262"/>
      <c r="F33" s="262"/>
      <c r="G33" s="133"/>
      <c r="H33" s="51"/>
      <c r="I33" s="509" t="str">
        <f>IF(AV33="","",IF(AND(AW33="Yes",G33="No"),"Irreplaceable habitat ▲",IF(AND(AW33="No",G33="Yes"),"Cannot be Irreplaceable ▲",VLOOKUP(AV33,'G-1 All Habitats'!$B$2:$M$135,10,FALSE))))</f>
        <v/>
      </c>
      <c r="J33" s="377" t="str">
        <f>IFERROR(VLOOKUP(I33,'G-1 All Habitats'!$V$3:$W$7,2,FALSE),"")</f>
        <v/>
      </c>
      <c r="K33" s="52"/>
      <c r="L33" s="276" t="str">
        <f>IFERROR(INDEX('G-8 Condition Look up'!$A$3:$H$135,MATCH(AV33,'G-8 Condition Look up'!$A$3:$A$135,0),MATCH(K33,'G-8 Condition Look up'!$A$3:$H$3,0)),"")</f>
        <v/>
      </c>
      <c r="M33" s="52"/>
      <c r="N33" s="295" t="str">
        <f>IF(M33="","",IF(VLOOKUP(M33,'G-3 Multipliers'!$L$3:$N$6,2,FALSE)=0,"Spatial Data Missing ⚠",VLOOKUP(M33,'G-3 Multipliers'!$L$3:$N$6,2,FALSE)))</f>
        <v/>
      </c>
      <c r="O33" s="353" t="str">
        <f>IF(M33="","",IF(VLOOKUP(M33,'G-3 Multipliers'!$L$3:$N$6,3,FALSE)=0,"Spatial Data Missing ⚠",VLOOKUP(M33,'G-3 Multipliers'!$L$3:$N$6,3,FALSE)))</f>
        <v/>
      </c>
      <c r="P33" s="336" t="str">
        <f>(IF(G33="Yes","Bespoke compensation likely to be required",(IFERROR(VLOOKUP(AV33,'G-1 All Habitats'!$B$2:$M$135,12,FALSE),""))))</f>
        <v/>
      </c>
      <c r="Q33" s="511" t="str">
        <f>IFERROR(IF(P33="","",IF(AND(E33="Individual trees",W33&gt;0,G33="Yes"),"Error - you cannot enhance irreplaceable individual trees ▲",IF(P33='G-1 All Habitats'!$X$9,T33*S33,IF(AND(P33='G-1 All Habitats'!$X$9,W33&gt;0),X33+(Y33*S33),IF(AND(P33='G-1 All Habitats'!$X$9,V33&gt;0),X33+(Y33*S33),IF(AND(P33='G-1 All Habitats'!$X$9,AG33&gt;0),"Any Loss Unacceptable  ⚠",IF(AND(P33='G-1 All Habitats'!$X$9,Z33&gt;0),"Any Loss Unacceptable ⚠",H33*J33*L33*O33*S33))))))),"Check Data ⚠")</f>
        <v/>
      </c>
      <c r="R33" s="393"/>
      <c r="S33" s="510" t="str">
        <f>IF(R33="","",IF(VLOOKUP(R33,'G-3 Multipliers'!$S$3:$T$10,2,FALSE)=0,"Spatial Data Missing ⚠",VLOOKUP(R33,'G-3 Multipliers'!$S$3:$T$10,2,FALSE)))</f>
        <v/>
      </c>
      <c r="T33" s="289" t="str">
        <f>IFERROR(IF(AND(F33&lt;&gt;"",G33=""),"Confirm irreplaceable habitat status ▲",(IF(AND(R33&lt;&gt;"",AF33=""),"Off-site reference required ▲",(IF(AND(E33="Individual trees",W33&gt;0,G33="Yes"),"Error - you cannot enhance irreplaceable individual trees ▲",(IF(AND(X33="Irreplaceable habitat - no units generated ⚠",(W33+V33)&lt;H33,OR(AB33="No",AB33="")),"Any Loss Unacceptable ⚠",(IF(X33="Irreplaceable habitat - no units generated ⚠",W33*J33*L33*O33,IF(AND(P33='G-1 All Habitats'!$X$9,AH33&gt;0,V33&lt;=0,W33&lt;=0,OR(AB33="No",AB33="")),"Any Loss Unacceptable ⚠",IF(AND(P33='G-1 All Habitats'!$X$9,AH33&gt;0,V33&lt;=0,W33&lt;=0),0,(IF(AND(P33='G-1 All Habitats'!$X$9,(W33+V33)&lt;H33,OR(AB33="No",AB33="")),"Any Loss Unacceptable ⚠",(IF(P33="","",IF(AND(P33='G-1 All Habitats'!$X$9,W33&gt;0),X33+Y33,IF(AND(P33='G-1 All Habitats'!$X$9,V33&gt;0),X33+Y33,IF(R33="","",H33*J33*L33*O33)))))))))))))))))),"Check Data ▲")</f>
        <v/>
      </c>
      <c r="U33" s="38"/>
      <c r="V33" s="52"/>
      <c r="W33" s="53"/>
      <c r="X33" s="287" t="str">
        <f t="shared" si="2"/>
        <v/>
      </c>
      <c r="Y33" s="287" t="str">
        <f t="shared" si="3"/>
        <v/>
      </c>
      <c r="Z33" s="287" t="str">
        <f t="shared" si="4"/>
        <v/>
      </c>
      <c r="AA33" s="317" t="str">
        <f>IFERROR(IF(AND(E33="Individual trees",G33="Yes",W33&gt;0),"Error - you cannot enhance an irreplaceable tree ▲",(IF(H33="","",IF(H33-V33-W33=0&lt;0,"Error in Areas ▲",IF(V33+W33&gt;H33,"Error in Areas ▲",IF(AND(P33='G-1 All Habitats'!$X$9,AB33="Yes"),"Alternative Compensation ✓",IF(AND(P33='G-1 All Habitats'!$X$3,AB33="Yes"),"Alternative Compensation ✓",IF(AND(AB33="Pending",P33='G-1 All Habitats'!$X$3),"Bespoke compensation must be agreed ▲",IF(AND(AB33="Pending",P33='G-1 All Habitats'!$X$9),"Bespoke compensation must be agreed  ▲",IF(Z33=0,0,IF(P33='G-1 All Habitats'!$X$9,"Any Loss Unacceptable ▲",T33-X33-Y33))))))))))),"Check Data ⚠")</f>
        <v/>
      </c>
      <c r="AB33" s="587"/>
      <c r="AC33" s="105"/>
      <c r="AD33" s="138"/>
      <c r="AE33" s="104"/>
      <c r="AF33" s="611"/>
      <c r="AG33" s="523" t="str">
        <f>IF(OR(P33="",AB33="Yes"),"",IF(P33='G-1 All Habitats'!$X$9,H33-V33-W33,"None"))</f>
        <v/>
      </c>
      <c r="AH33" s="523" t="str">
        <f>IF(P33="","",IF(P33='G-1 All Habitats'!$X$9,AG33*J33*L33*O33,"None"))</f>
        <v/>
      </c>
      <c r="AJ33" s="107" t="str">
        <f t="shared" si="5"/>
        <v/>
      </c>
      <c r="AK33" s="107" t="str">
        <f t="shared" si="0"/>
        <v/>
      </c>
      <c r="AL33" s="107" t="str">
        <f>IF(I33="","",IF(#REF!&gt;0,TRUE,FALSE))</f>
        <v/>
      </c>
      <c r="AM33" s="107">
        <v>23</v>
      </c>
      <c r="AN33" s="107"/>
      <c r="AO33" s="107" t="str">
        <f t="array" ref="AO33">IFERROR(INDEX($AM$11:$AM$259,MATCH(0,IF(TRUE=$AJ$11:$AJ$259,COUNTIF($AO$10:$AO32,$AM$11:$AM$259),""),0)),"")</f>
        <v/>
      </c>
      <c r="AP33" s="107" t="str">
        <f t="array" ref="AP33">IFERROR(INDEX($AM$11:$AM$259,MATCH(0,IF(TRUE=$AK$11:$AK$259,COUNTIF($AP$10:$AP32,$AM$11:$AM$259),""),0)),"")</f>
        <v/>
      </c>
      <c r="AQ33" s="107" t="str">
        <f t="array" ref="AQ33">IFERROR(INDEX($AM$11:$AM$259,MATCH(0,IF(TRUE=$AL$11:$AL$259,COUNTIF($AQ$10:$AQ32,$AM$11:$AM$259),""),0)),"")</f>
        <v/>
      </c>
      <c r="AS33" s="885" t="str">
        <f>IF(AND(OR(AB33="Yes",AB33="Pending"),P33='G-1 All Habitats'!$X$3),T33-X33-Y33,"0")</f>
        <v>0</v>
      </c>
      <c r="AT33" s="30" t="str">
        <f t="shared" si="1"/>
        <v/>
      </c>
      <c r="AU33" s="30">
        <f t="shared" si="6"/>
        <v>0</v>
      </c>
      <c r="AV33" s="230" t="str">
        <f>IFERROR(INDEX('G-1 All Habitats'!$B$3:$B$135,MATCH(F33,'G-1 All Habitats'!$A$3:$A$135,0)),"")</f>
        <v/>
      </c>
      <c r="AW33" s="30" t="str">
        <f>IF(AV33="","",VLOOKUP(AV33,'G-1 All Habitats'!$B$1:$T$135,19,FALSE))</f>
        <v/>
      </c>
      <c r="AY33" s="287" t="str">
        <f t="shared" si="7"/>
        <v/>
      </c>
    </row>
    <row r="34" spans="1:51" ht="14">
      <c r="A34" s="30" t="str">
        <f>IFERROR(INDEX('G-1 All Habitats'!$AG$3:$AG$17,MATCH(E34,'G-1 All Habitats'!$AF$3:$AF$17,0)),"")</f>
        <v/>
      </c>
      <c r="B34" s="30" t="str">
        <f>IFERROR(INDEX('G-8 Condition Look up'!$I$4:$I$135,MATCH(AV34,'G-8 Condition Look up'!$A$4:$A$135,0)),"")</f>
        <v/>
      </c>
      <c r="D34" s="97">
        <v>24</v>
      </c>
      <c r="E34" s="262"/>
      <c r="F34" s="262"/>
      <c r="G34" s="133"/>
      <c r="H34" s="51"/>
      <c r="I34" s="509" t="str">
        <f>IF(AV34="","",IF(AND(AW34="Yes",G34="No"),"Irreplaceable habitat ▲",IF(AND(AW34="No",G34="Yes"),"Cannot be Irreplaceable ▲",VLOOKUP(AV34,'G-1 All Habitats'!$B$2:$M$135,10,FALSE))))</f>
        <v/>
      </c>
      <c r="J34" s="377" t="str">
        <f>IFERROR(VLOOKUP(I34,'G-1 All Habitats'!$V$3:$W$7,2,FALSE),"")</f>
        <v/>
      </c>
      <c r="K34" s="52"/>
      <c r="L34" s="276" t="str">
        <f>IFERROR(INDEX('G-8 Condition Look up'!$A$3:$H$135,MATCH(AV34,'G-8 Condition Look up'!$A$3:$A$135,0),MATCH(K34,'G-8 Condition Look up'!$A$3:$H$3,0)),"")</f>
        <v/>
      </c>
      <c r="M34" s="52"/>
      <c r="N34" s="295" t="str">
        <f>IF(M34="","",IF(VLOOKUP(M34,'G-3 Multipliers'!$L$3:$N$6,2,FALSE)=0,"Spatial Data Missing ⚠",VLOOKUP(M34,'G-3 Multipliers'!$L$3:$N$6,2,FALSE)))</f>
        <v/>
      </c>
      <c r="O34" s="353" t="str">
        <f>IF(M34="","",IF(VLOOKUP(M34,'G-3 Multipliers'!$L$3:$N$6,3,FALSE)=0,"Spatial Data Missing ⚠",VLOOKUP(M34,'G-3 Multipliers'!$L$3:$N$6,3,FALSE)))</f>
        <v/>
      </c>
      <c r="P34" s="336" t="str">
        <f>(IF(G34="Yes","Bespoke compensation likely to be required",(IFERROR(VLOOKUP(AV34,'G-1 All Habitats'!$B$2:$M$135,12,FALSE),""))))</f>
        <v/>
      </c>
      <c r="Q34" s="511" t="str">
        <f>IFERROR(IF(P34="","",IF(AND(E34="Individual trees",W34&gt;0,G34="Yes"),"Error - you cannot enhance irreplaceable individual trees ▲",IF(P34='G-1 All Habitats'!$X$9,T34*S34,IF(AND(P34='G-1 All Habitats'!$X$9,W34&gt;0),X34+(Y34*S34),IF(AND(P34='G-1 All Habitats'!$X$9,V34&gt;0),X34+(Y34*S34),IF(AND(P34='G-1 All Habitats'!$X$9,AG34&gt;0),"Any Loss Unacceptable  ⚠",IF(AND(P34='G-1 All Habitats'!$X$9,Z34&gt;0),"Any Loss Unacceptable ⚠",H34*J34*L34*O34*S34))))))),"Check Data ⚠")</f>
        <v/>
      </c>
      <c r="R34" s="393"/>
      <c r="S34" s="510" t="str">
        <f>IF(R34="","",IF(VLOOKUP(R34,'G-3 Multipliers'!$S$3:$T$10,2,FALSE)=0,"Spatial Data Missing ⚠",VLOOKUP(R34,'G-3 Multipliers'!$S$3:$T$10,2,FALSE)))</f>
        <v/>
      </c>
      <c r="T34" s="289" t="str">
        <f>IFERROR(IF(AND(F34&lt;&gt;"",G34=""),"Confirm irreplaceable habitat status ▲",(IF(AND(R34&lt;&gt;"",AF34=""),"Off-site reference required ▲",(IF(AND(E34="Individual trees",W34&gt;0,G34="Yes"),"Error - you cannot enhance irreplaceable individual trees ▲",(IF(AND(X34="Irreplaceable habitat - no units generated ⚠",(W34+V34)&lt;H34,OR(AB34="No",AB34="")),"Any Loss Unacceptable ⚠",(IF(X34="Irreplaceable habitat - no units generated ⚠",W34*J34*L34*O34,IF(AND(P34='G-1 All Habitats'!$X$9,AH34&gt;0,V34&lt;=0,W34&lt;=0,OR(AB34="No",AB34="")),"Any Loss Unacceptable ⚠",IF(AND(P34='G-1 All Habitats'!$X$9,AH34&gt;0,V34&lt;=0,W34&lt;=0),0,(IF(AND(P34='G-1 All Habitats'!$X$9,(W34+V34)&lt;H34,OR(AB34="No",AB34="")),"Any Loss Unacceptable ⚠",(IF(P34="","",IF(AND(P34='G-1 All Habitats'!$X$9,W34&gt;0),X34+Y34,IF(AND(P34='G-1 All Habitats'!$X$9,V34&gt;0),X34+Y34,IF(R34="","",H34*J34*L34*O34)))))))))))))))))),"Check Data ▲")</f>
        <v/>
      </c>
      <c r="U34" s="38"/>
      <c r="V34" s="52"/>
      <c r="W34" s="53"/>
      <c r="X34" s="287" t="str">
        <f t="shared" si="2"/>
        <v/>
      </c>
      <c r="Y34" s="287" t="str">
        <f t="shared" si="3"/>
        <v/>
      </c>
      <c r="Z34" s="287" t="str">
        <f t="shared" si="4"/>
        <v/>
      </c>
      <c r="AA34" s="317" t="str">
        <f>IFERROR(IF(AND(E34="Individual trees",G34="Yes",W34&gt;0),"Error - you cannot enhance an irreplaceable tree ▲",(IF(H34="","",IF(H34-V34-W34=0&lt;0,"Error in Areas ▲",IF(V34+W34&gt;H34,"Error in Areas ▲",IF(AND(P34='G-1 All Habitats'!$X$9,AB34="Yes"),"Alternative Compensation ✓",IF(AND(P34='G-1 All Habitats'!$X$3,AB34="Yes"),"Alternative Compensation ✓",IF(AND(AB34="Pending",P34='G-1 All Habitats'!$X$3),"Bespoke compensation must be agreed ▲",IF(AND(AB34="Pending",P34='G-1 All Habitats'!$X$9),"Bespoke compensation must be agreed  ▲",IF(Z34=0,0,IF(P34='G-1 All Habitats'!$X$9,"Any Loss Unacceptable ▲",T34-X34-Y34))))))))))),"Check Data ⚠")</f>
        <v/>
      </c>
      <c r="AB34" s="587"/>
      <c r="AC34" s="105"/>
      <c r="AD34" s="138"/>
      <c r="AE34" s="104"/>
      <c r="AF34" s="611"/>
      <c r="AG34" s="523" t="str">
        <f>IF(OR(P34="",AB34="Yes"),"",IF(P34='G-1 All Habitats'!$X$9,H34-V34-W34,"None"))</f>
        <v/>
      </c>
      <c r="AH34" s="523" t="str">
        <f>IF(P34="","",IF(P34='G-1 All Habitats'!$X$9,AG34*J34*L34*O34,"None"))</f>
        <v/>
      </c>
      <c r="AJ34" s="107" t="str">
        <f t="shared" si="5"/>
        <v/>
      </c>
      <c r="AK34" s="107" t="str">
        <f t="shared" si="0"/>
        <v/>
      </c>
      <c r="AL34" s="107" t="str">
        <f>IF(I34="","",IF(#REF!&gt;0,TRUE,FALSE))</f>
        <v/>
      </c>
      <c r="AM34" s="107">
        <v>24</v>
      </c>
      <c r="AN34" s="107"/>
      <c r="AO34" s="107" t="str">
        <f t="array" ref="AO34">IFERROR(INDEX($AM$11:$AM$259,MATCH(0,IF(TRUE=$AJ$11:$AJ$259,COUNTIF($AO$10:$AO33,$AM$11:$AM$259),""),0)),"")</f>
        <v/>
      </c>
      <c r="AP34" s="107" t="str">
        <f t="array" ref="AP34">IFERROR(INDEX($AM$11:$AM$259,MATCH(0,IF(TRUE=$AK$11:$AK$259,COUNTIF($AP$10:$AP33,$AM$11:$AM$259),""),0)),"")</f>
        <v/>
      </c>
      <c r="AQ34" s="107" t="str">
        <f t="array" ref="AQ34">IFERROR(INDEX($AM$11:$AM$259,MATCH(0,IF(TRUE=$AL$11:$AL$259,COUNTIF($AQ$10:$AQ33,$AM$11:$AM$259),""),0)),"")</f>
        <v/>
      </c>
      <c r="AS34" s="885" t="str">
        <f>IF(AND(OR(AB34="Yes",AB34="Pending"),P34='G-1 All Habitats'!$X$3),T34-X34-Y34,"0")</f>
        <v>0</v>
      </c>
      <c r="AT34" s="30" t="str">
        <f t="shared" si="1"/>
        <v/>
      </c>
      <c r="AU34" s="30">
        <f t="shared" si="6"/>
        <v>0</v>
      </c>
      <c r="AV34" s="230" t="str">
        <f>IFERROR(INDEX('G-1 All Habitats'!$B$3:$B$135,MATCH(F34,'G-1 All Habitats'!$A$3:$A$135,0)),"")</f>
        <v/>
      </c>
      <c r="AW34" s="30" t="str">
        <f>IF(AV34="","",VLOOKUP(AV34,'G-1 All Habitats'!$B$1:$T$135,19,FALSE))</f>
        <v/>
      </c>
      <c r="AY34" s="287" t="str">
        <f t="shared" si="7"/>
        <v/>
      </c>
    </row>
    <row r="35" spans="1:51" ht="14">
      <c r="A35" s="30" t="str">
        <f>IFERROR(INDEX('G-1 All Habitats'!$AG$3:$AG$17,MATCH(E35,'G-1 All Habitats'!$AF$3:$AF$17,0)),"")</f>
        <v/>
      </c>
      <c r="B35" s="30" t="str">
        <f>IFERROR(INDEX('G-8 Condition Look up'!$I$4:$I$135,MATCH(AV35,'G-8 Condition Look up'!$A$4:$A$135,0)),"")</f>
        <v/>
      </c>
      <c r="D35" s="97">
        <v>25</v>
      </c>
      <c r="E35" s="262"/>
      <c r="F35" s="262"/>
      <c r="G35" s="133"/>
      <c r="H35" s="51"/>
      <c r="I35" s="509" t="str">
        <f>IF(AV35="","",IF(AND(AW35="Yes",G35="No"),"Irreplaceable habitat ▲",IF(AND(AW35="No",G35="Yes"),"Cannot be Irreplaceable ▲",VLOOKUP(AV35,'G-1 All Habitats'!$B$2:$M$135,10,FALSE))))</f>
        <v/>
      </c>
      <c r="J35" s="377" t="str">
        <f>IFERROR(VLOOKUP(I35,'G-1 All Habitats'!$V$3:$W$7,2,FALSE),"")</f>
        <v/>
      </c>
      <c r="K35" s="52"/>
      <c r="L35" s="276" t="str">
        <f>IFERROR(INDEX('G-8 Condition Look up'!$A$3:$H$135,MATCH(AV35,'G-8 Condition Look up'!$A$3:$A$135,0),MATCH(K35,'G-8 Condition Look up'!$A$3:$H$3,0)),"")</f>
        <v/>
      </c>
      <c r="M35" s="52"/>
      <c r="N35" s="295" t="str">
        <f>IF(M35="","",IF(VLOOKUP(M35,'G-3 Multipliers'!$L$3:$N$6,2,FALSE)=0,"Spatial Data Missing ⚠",VLOOKUP(M35,'G-3 Multipliers'!$L$3:$N$6,2,FALSE)))</f>
        <v/>
      </c>
      <c r="O35" s="353" t="str">
        <f>IF(M35="","",IF(VLOOKUP(M35,'G-3 Multipliers'!$L$3:$N$6,3,FALSE)=0,"Spatial Data Missing ⚠",VLOOKUP(M35,'G-3 Multipliers'!$L$3:$N$6,3,FALSE)))</f>
        <v/>
      </c>
      <c r="P35" s="336" t="str">
        <f>(IF(G35="Yes","Bespoke compensation likely to be required",(IFERROR(VLOOKUP(AV35,'G-1 All Habitats'!$B$2:$M$135,12,FALSE),""))))</f>
        <v/>
      </c>
      <c r="Q35" s="511" t="str">
        <f>IFERROR(IF(P35="","",IF(AND(E35="Individual trees",W35&gt;0,G35="Yes"),"Error - you cannot enhance irreplaceable individual trees ▲",IF(P35='G-1 All Habitats'!$X$9,T35*S35,IF(AND(P35='G-1 All Habitats'!$X$9,W35&gt;0),X35+(Y35*S35),IF(AND(P35='G-1 All Habitats'!$X$9,V35&gt;0),X35+(Y35*S35),IF(AND(P35='G-1 All Habitats'!$X$9,AG35&gt;0),"Any Loss Unacceptable  ⚠",IF(AND(P35='G-1 All Habitats'!$X$9,Z35&gt;0),"Any Loss Unacceptable ⚠",H35*J35*L35*O35*S35))))))),"Check Data ⚠")</f>
        <v/>
      </c>
      <c r="R35" s="393"/>
      <c r="S35" s="510" t="str">
        <f>IF(R35="","",IF(VLOOKUP(R35,'G-3 Multipliers'!$S$3:$T$10,2,FALSE)=0,"Spatial Data Missing ⚠",VLOOKUP(R35,'G-3 Multipliers'!$S$3:$T$10,2,FALSE)))</f>
        <v/>
      </c>
      <c r="T35" s="289" t="str">
        <f>IFERROR(IF(AND(F35&lt;&gt;"",G35=""),"Confirm irreplaceable habitat status ▲",(IF(AND(R35&lt;&gt;"",AF35=""),"Off-site reference required ▲",(IF(AND(E35="Individual trees",W35&gt;0,G35="Yes"),"Error - you cannot enhance irreplaceable individual trees ▲",(IF(AND(X35="Irreplaceable habitat - no units generated ⚠",(W35+V35)&lt;H35,OR(AB35="No",AB35="")),"Any Loss Unacceptable ⚠",(IF(X35="Irreplaceable habitat - no units generated ⚠",W35*J35*L35*O35,IF(AND(P35='G-1 All Habitats'!$X$9,AH35&gt;0,V35&lt;=0,W35&lt;=0,OR(AB35="No",AB35="")),"Any Loss Unacceptable ⚠",IF(AND(P35='G-1 All Habitats'!$X$9,AH35&gt;0,V35&lt;=0,W35&lt;=0),0,(IF(AND(P35='G-1 All Habitats'!$X$9,(W35+V35)&lt;H35,OR(AB35="No",AB35="")),"Any Loss Unacceptable ⚠",(IF(P35="","",IF(AND(P35='G-1 All Habitats'!$X$9,W35&gt;0),X35+Y35,IF(AND(P35='G-1 All Habitats'!$X$9,V35&gt;0),X35+Y35,IF(R35="","",H35*J35*L35*O35)))))))))))))))))),"Check Data ▲")</f>
        <v/>
      </c>
      <c r="U35" s="38"/>
      <c r="V35" s="52"/>
      <c r="W35" s="53"/>
      <c r="X35" s="287" t="str">
        <f t="shared" si="2"/>
        <v/>
      </c>
      <c r="Y35" s="287" t="str">
        <f t="shared" si="3"/>
        <v/>
      </c>
      <c r="Z35" s="287" t="str">
        <f t="shared" si="4"/>
        <v/>
      </c>
      <c r="AA35" s="317" t="str">
        <f>IFERROR(IF(AND(E35="Individual trees",G35="Yes",W35&gt;0),"Error - you cannot enhance an irreplaceable tree ▲",(IF(H35="","",IF(H35-V35-W35=0&lt;0,"Error in Areas ▲",IF(V35+W35&gt;H35,"Error in Areas ▲",IF(AND(P35='G-1 All Habitats'!$X$9,AB35="Yes"),"Alternative Compensation ✓",IF(AND(P35='G-1 All Habitats'!$X$3,AB35="Yes"),"Alternative Compensation ✓",IF(AND(AB35="Pending",P35='G-1 All Habitats'!$X$3),"Bespoke compensation must be agreed ▲",IF(AND(AB35="Pending",P35='G-1 All Habitats'!$X$9),"Bespoke compensation must be agreed  ▲",IF(Z35=0,0,IF(P35='G-1 All Habitats'!$X$9,"Any Loss Unacceptable ▲",T35-X35-Y35))))))))))),"Check Data ⚠")</f>
        <v/>
      </c>
      <c r="AB35" s="587"/>
      <c r="AC35" s="105"/>
      <c r="AD35" s="138"/>
      <c r="AE35" s="104"/>
      <c r="AF35" s="611"/>
      <c r="AG35" s="523" t="str">
        <f>IF(OR(P35="",AB35="Yes"),"",IF(P35='G-1 All Habitats'!$X$9,H35-V35-W35,"None"))</f>
        <v/>
      </c>
      <c r="AH35" s="523" t="str">
        <f>IF(P35="","",IF(P35='G-1 All Habitats'!$X$9,AG35*J35*L35*O35,"None"))</f>
        <v/>
      </c>
      <c r="AJ35" s="107" t="str">
        <f t="shared" si="5"/>
        <v/>
      </c>
      <c r="AK35" s="107" t="str">
        <f t="shared" si="0"/>
        <v/>
      </c>
      <c r="AL35" s="107" t="str">
        <f>IF(I35="","",IF(#REF!&gt;0,TRUE,FALSE))</f>
        <v/>
      </c>
      <c r="AM35" s="107">
        <v>25</v>
      </c>
      <c r="AN35" s="107"/>
      <c r="AO35" s="107" t="str">
        <f t="array" ref="AO35">IFERROR(INDEX($AM$11:$AM$259,MATCH(0,IF(TRUE=$AJ$11:$AJ$259,COUNTIF($AO$10:$AO34,$AM$11:$AM$259),""),0)),"")</f>
        <v/>
      </c>
      <c r="AP35" s="107" t="str">
        <f t="array" ref="AP35">IFERROR(INDEX($AM$11:$AM$259,MATCH(0,IF(TRUE=$AK$11:$AK$259,COUNTIF($AP$10:$AP34,$AM$11:$AM$259),""),0)),"")</f>
        <v/>
      </c>
      <c r="AQ35" s="107" t="str">
        <f t="array" ref="AQ35">IFERROR(INDEX($AM$11:$AM$259,MATCH(0,IF(TRUE=$AL$11:$AL$259,COUNTIF($AQ$10:$AQ34,$AM$11:$AM$259),""),0)),"")</f>
        <v/>
      </c>
      <c r="AS35" s="885" t="str">
        <f>IF(AND(OR(AB35="Yes",AB35="Pending"),P35='G-1 All Habitats'!$X$3),T35-X35-Y35,"0")</f>
        <v>0</v>
      </c>
      <c r="AT35" s="30" t="str">
        <f t="shared" si="1"/>
        <v/>
      </c>
      <c r="AU35" s="30">
        <f t="shared" si="6"/>
        <v>0</v>
      </c>
      <c r="AV35" s="230" t="str">
        <f>IFERROR(INDEX('G-1 All Habitats'!$B$3:$B$135,MATCH(F35,'G-1 All Habitats'!$A$3:$A$135,0)),"")</f>
        <v/>
      </c>
      <c r="AW35" s="30" t="str">
        <f>IF(AV35="","",VLOOKUP(AV35,'G-1 All Habitats'!$B$1:$T$135,19,FALSE))</f>
        <v/>
      </c>
      <c r="AY35" s="287" t="str">
        <f t="shared" si="7"/>
        <v/>
      </c>
    </row>
    <row r="36" spans="1:51" ht="14">
      <c r="A36" s="30" t="str">
        <f>IFERROR(INDEX('G-1 All Habitats'!$AG$3:$AG$17,MATCH(E36,'G-1 All Habitats'!$AF$3:$AF$17,0)),"")</f>
        <v/>
      </c>
      <c r="B36" s="30" t="str">
        <f>IFERROR(INDEX('G-8 Condition Look up'!$I$4:$I$135,MATCH(AV36,'G-8 Condition Look up'!$A$4:$A$135,0)),"")</f>
        <v/>
      </c>
      <c r="D36" s="97">
        <v>26</v>
      </c>
      <c r="E36" s="262"/>
      <c r="F36" s="262"/>
      <c r="G36" s="133"/>
      <c r="H36" s="51"/>
      <c r="I36" s="509" t="str">
        <f>IF(AV36="","",IF(AND(AW36="Yes",G36="No"),"Irreplaceable habitat ▲",IF(AND(AW36="No",G36="Yes"),"Cannot be Irreplaceable ▲",VLOOKUP(AV36,'G-1 All Habitats'!$B$2:$M$135,10,FALSE))))</f>
        <v/>
      </c>
      <c r="J36" s="377" t="str">
        <f>IFERROR(VLOOKUP(I36,'G-1 All Habitats'!$V$3:$W$7,2,FALSE),"")</f>
        <v/>
      </c>
      <c r="K36" s="52"/>
      <c r="L36" s="276" t="str">
        <f>IFERROR(INDEX('G-8 Condition Look up'!$A$3:$H$135,MATCH(AV36,'G-8 Condition Look up'!$A$3:$A$135,0),MATCH(K36,'G-8 Condition Look up'!$A$3:$H$3,0)),"")</f>
        <v/>
      </c>
      <c r="M36" s="52"/>
      <c r="N36" s="295" t="str">
        <f>IF(M36="","",IF(VLOOKUP(M36,'G-3 Multipliers'!$L$3:$N$6,2,FALSE)=0,"Spatial Data Missing ⚠",VLOOKUP(M36,'G-3 Multipliers'!$L$3:$N$6,2,FALSE)))</f>
        <v/>
      </c>
      <c r="O36" s="353" t="str">
        <f>IF(M36="","",IF(VLOOKUP(M36,'G-3 Multipliers'!$L$3:$N$6,3,FALSE)=0,"Spatial Data Missing ⚠",VLOOKUP(M36,'G-3 Multipliers'!$L$3:$N$6,3,FALSE)))</f>
        <v/>
      </c>
      <c r="P36" s="336" t="str">
        <f>(IF(G36="Yes","Bespoke compensation likely to be required",(IFERROR(VLOOKUP(AV36,'G-1 All Habitats'!$B$2:$M$135,12,FALSE),""))))</f>
        <v/>
      </c>
      <c r="Q36" s="511" t="str">
        <f>IFERROR(IF(P36="","",IF(AND(E36="Individual trees",W36&gt;0,G36="Yes"),"Error - you cannot enhance irreplaceable individual trees ▲",IF(P36='G-1 All Habitats'!$X$9,T36*S36,IF(AND(P36='G-1 All Habitats'!$X$9,W36&gt;0),X36+(Y36*S36),IF(AND(P36='G-1 All Habitats'!$X$9,V36&gt;0),X36+(Y36*S36),IF(AND(P36='G-1 All Habitats'!$X$9,AG36&gt;0),"Any Loss Unacceptable  ⚠",IF(AND(P36='G-1 All Habitats'!$X$9,Z36&gt;0),"Any Loss Unacceptable ⚠",H36*J36*L36*O36*S36))))))),"Check Data ⚠")</f>
        <v/>
      </c>
      <c r="R36" s="393"/>
      <c r="S36" s="510" t="str">
        <f>IF(R36="","",IF(VLOOKUP(R36,'G-3 Multipliers'!$S$3:$T$10,2,FALSE)=0,"Spatial Data Missing ⚠",VLOOKUP(R36,'G-3 Multipliers'!$S$3:$T$10,2,FALSE)))</f>
        <v/>
      </c>
      <c r="T36" s="289" t="str">
        <f>IFERROR(IF(AND(F36&lt;&gt;"",G36=""),"Confirm irreplaceable habitat status ▲",(IF(AND(R36&lt;&gt;"",AF36=""),"Off-site reference required ▲",(IF(AND(E36="Individual trees",W36&gt;0,G36="Yes"),"Error - you cannot enhance irreplaceable individual trees ▲",(IF(AND(X36="Irreplaceable habitat - no units generated ⚠",(W36+V36)&lt;H36,OR(AB36="No",AB36="")),"Any Loss Unacceptable ⚠",(IF(X36="Irreplaceable habitat - no units generated ⚠",W36*J36*L36*O36,IF(AND(P36='G-1 All Habitats'!$X$9,AH36&gt;0,V36&lt;=0,W36&lt;=0,OR(AB36="No",AB36="")),"Any Loss Unacceptable ⚠",IF(AND(P36='G-1 All Habitats'!$X$9,AH36&gt;0,V36&lt;=0,W36&lt;=0),0,(IF(AND(P36='G-1 All Habitats'!$X$9,(W36+V36)&lt;H36,OR(AB36="No",AB36="")),"Any Loss Unacceptable ⚠",(IF(P36="","",IF(AND(P36='G-1 All Habitats'!$X$9,W36&gt;0),X36+Y36,IF(AND(P36='G-1 All Habitats'!$X$9,V36&gt;0),X36+Y36,IF(R36="","",H36*J36*L36*O36)))))))))))))))))),"Check Data ▲")</f>
        <v/>
      </c>
      <c r="U36" s="38"/>
      <c r="V36" s="52"/>
      <c r="W36" s="53"/>
      <c r="X36" s="287" t="str">
        <f t="shared" si="2"/>
        <v/>
      </c>
      <c r="Y36" s="287" t="str">
        <f t="shared" si="3"/>
        <v/>
      </c>
      <c r="Z36" s="287" t="str">
        <f t="shared" si="4"/>
        <v/>
      </c>
      <c r="AA36" s="317" t="str">
        <f>IFERROR(IF(AND(E36="Individual trees",G36="Yes",W36&gt;0),"Error - you cannot enhance an irreplaceable tree ▲",(IF(H36="","",IF(H36-V36-W36=0&lt;0,"Error in Areas ▲",IF(V36+W36&gt;H36,"Error in Areas ▲",IF(AND(P36='G-1 All Habitats'!$X$9,AB36="Yes"),"Alternative Compensation ✓",IF(AND(P36='G-1 All Habitats'!$X$3,AB36="Yes"),"Alternative Compensation ✓",IF(AND(AB36="Pending",P36='G-1 All Habitats'!$X$3),"Bespoke compensation must be agreed ▲",IF(AND(AB36="Pending",P36='G-1 All Habitats'!$X$9),"Bespoke compensation must be agreed  ▲",IF(Z36=0,0,IF(P36='G-1 All Habitats'!$X$9,"Any Loss Unacceptable ▲",T36-X36-Y36))))))))))),"Check Data ⚠")</f>
        <v/>
      </c>
      <c r="AB36" s="587"/>
      <c r="AC36" s="105"/>
      <c r="AD36" s="138"/>
      <c r="AE36" s="104"/>
      <c r="AF36" s="611"/>
      <c r="AG36" s="523" t="str">
        <f>IF(OR(P36="",AB36="Yes"),"",IF(P36='G-1 All Habitats'!$X$9,H36-V36-W36,"None"))</f>
        <v/>
      </c>
      <c r="AH36" s="523" t="str">
        <f>IF(P36="","",IF(P36='G-1 All Habitats'!$X$9,AG36*J36*L36*O36,"None"))</f>
        <v/>
      </c>
      <c r="AJ36" s="107" t="str">
        <f t="shared" si="5"/>
        <v/>
      </c>
      <c r="AK36" s="107" t="str">
        <f t="shared" si="0"/>
        <v/>
      </c>
      <c r="AL36" s="107" t="str">
        <f>IF(I36="","",IF(#REF!&gt;0,TRUE,FALSE))</f>
        <v/>
      </c>
      <c r="AM36" s="107">
        <v>26</v>
      </c>
      <c r="AN36" s="107"/>
      <c r="AO36" s="107" t="str">
        <f t="array" ref="AO36">IFERROR(INDEX($AM$11:$AM$259,MATCH(0,IF(TRUE=$AJ$11:$AJ$259,COUNTIF($AO$10:$AO35,$AM$11:$AM$259),""),0)),"")</f>
        <v/>
      </c>
      <c r="AP36" s="107" t="str">
        <f t="array" ref="AP36">IFERROR(INDEX($AM$11:$AM$259,MATCH(0,IF(TRUE=$AK$11:$AK$259,COUNTIF($AP$10:$AP35,$AM$11:$AM$259),""),0)),"")</f>
        <v/>
      </c>
      <c r="AQ36" s="107" t="str">
        <f t="array" ref="AQ36">IFERROR(INDEX($AM$11:$AM$259,MATCH(0,IF(TRUE=$AL$11:$AL$259,COUNTIF($AQ$10:$AQ35,$AM$11:$AM$259),""),0)),"")</f>
        <v/>
      </c>
      <c r="AS36" s="885" t="str">
        <f>IF(AND(OR(AB36="Yes",AB36="Pending"),P36='G-1 All Habitats'!$X$3),T36-X36-Y36,"0")</f>
        <v>0</v>
      </c>
      <c r="AT36" s="30" t="str">
        <f t="shared" si="1"/>
        <v/>
      </c>
      <c r="AU36" s="30">
        <f t="shared" si="6"/>
        <v>0</v>
      </c>
      <c r="AV36" s="230" t="str">
        <f>IFERROR(INDEX('G-1 All Habitats'!$B$3:$B$135,MATCH(F36,'G-1 All Habitats'!$A$3:$A$135,0)),"")</f>
        <v/>
      </c>
      <c r="AW36" s="30" t="str">
        <f>IF(AV36="","",VLOOKUP(AV36,'G-1 All Habitats'!$B$1:$T$135,19,FALSE))</f>
        <v/>
      </c>
      <c r="AY36" s="287" t="str">
        <f t="shared" si="7"/>
        <v/>
      </c>
    </row>
    <row r="37" spans="1:51" ht="14">
      <c r="A37" s="30" t="str">
        <f>IFERROR(INDEX('G-1 All Habitats'!$AG$3:$AG$17,MATCH(E37,'G-1 All Habitats'!$AF$3:$AF$17,0)),"")</f>
        <v/>
      </c>
      <c r="B37" s="30" t="str">
        <f>IFERROR(INDEX('G-8 Condition Look up'!$I$4:$I$135,MATCH(AV37,'G-8 Condition Look up'!$A$4:$A$135,0)),"")</f>
        <v/>
      </c>
      <c r="D37" s="97">
        <v>27</v>
      </c>
      <c r="E37" s="262"/>
      <c r="F37" s="262"/>
      <c r="G37" s="133"/>
      <c r="H37" s="51"/>
      <c r="I37" s="509" t="str">
        <f>IF(AV37="","",IF(AND(AW37="Yes",G37="No"),"Irreplaceable habitat ▲",IF(AND(AW37="No",G37="Yes"),"Cannot be Irreplaceable ▲",VLOOKUP(AV37,'G-1 All Habitats'!$B$2:$M$135,10,FALSE))))</f>
        <v/>
      </c>
      <c r="J37" s="377" t="str">
        <f>IFERROR(VLOOKUP(I37,'G-1 All Habitats'!$V$3:$W$7,2,FALSE),"")</f>
        <v/>
      </c>
      <c r="K37" s="52"/>
      <c r="L37" s="276" t="str">
        <f>IFERROR(INDEX('G-8 Condition Look up'!$A$3:$H$135,MATCH(AV37,'G-8 Condition Look up'!$A$3:$A$135,0),MATCH(K37,'G-8 Condition Look up'!$A$3:$H$3,0)),"")</f>
        <v/>
      </c>
      <c r="M37" s="52"/>
      <c r="N37" s="295" t="str">
        <f>IF(M37="","",IF(VLOOKUP(M37,'G-3 Multipliers'!$L$3:$N$6,2,FALSE)=0,"Spatial Data Missing ⚠",VLOOKUP(M37,'G-3 Multipliers'!$L$3:$N$6,2,FALSE)))</f>
        <v/>
      </c>
      <c r="O37" s="353" t="str">
        <f>IF(M37="","",IF(VLOOKUP(M37,'G-3 Multipliers'!$L$3:$N$6,3,FALSE)=0,"Spatial Data Missing ⚠",VLOOKUP(M37,'G-3 Multipliers'!$L$3:$N$6,3,FALSE)))</f>
        <v/>
      </c>
      <c r="P37" s="336" t="str">
        <f>(IF(G37="Yes","Bespoke compensation likely to be required",(IFERROR(VLOOKUP(AV37,'G-1 All Habitats'!$B$2:$M$135,12,FALSE),""))))</f>
        <v/>
      </c>
      <c r="Q37" s="511" t="str">
        <f>IFERROR(IF(P37="","",IF(AND(E37="Individual trees",W37&gt;0,G37="Yes"),"Error - you cannot enhance irreplaceable individual trees ▲",IF(P37='G-1 All Habitats'!$X$9,T37*S37,IF(AND(P37='G-1 All Habitats'!$X$9,W37&gt;0),X37+(Y37*S37),IF(AND(P37='G-1 All Habitats'!$X$9,V37&gt;0),X37+(Y37*S37),IF(AND(P37='G-1 All Habitats'!$X$9,AG37&gt;0),"Any Loss Unacceptable  ⚠",IF(AND(P37='G-1 All Habitats'!$X$9,Z37&gt;0),"Any Loss Unacceptable ⚠",H37*J37*L37*O37*S37))))))),"Check Data ⚠")</f>
        <v/>
      </c>
      <c r="R37" s="393"/>
      <c r="S37" s="510" t="str">
        <f>IF(R37="","",IF(VLOOKUP(R37,'G-3 Multipliers'!$S$3:$T$10,2,FALSE)=0,"Spatial Data Missing ⚠",VLOOKUP(R37,'G-3 Multipliers'!$S$3:$T$10,2,FALSE)))</f>
        <v/>
      </c>
      <c r="T37" s="289" t="str">
        <f>IFERROR(IF(AND(F37&lt;&gt;"",G37=""),"Confirm irreplaceable habitat status ▲",(IF(AND(R37&lt;&gt;"",AF37=""),"Off-site reference required ▲",(IF(AND(E37="Individual trees",W37&gt;0,G37="Yes"),"Error - you cannot enhance irreplaceable individual trees ▲",(IF(AND(X37="Irreplaceable habitat - no units generated ⚠",(W37+V37)&lt;H37,OR(AB37="No",AB37="")),"Any Loss Unacceptable ⚠",(IF(X37="Irreplaceable habitat - no units generated ⚠",W37*J37*L37*O37,IF(AND(P37='G-1 All Habitats'!$X$9,AH37&gt;0,V37&lt;=0,W37&lt;=0,OR(AB37="No",AB37="")),"Any Loss Unacceptable ⚠",IF(AND(P37='G-1 All Habitats'!$X$9,AH37&gt;0,V37&lt;=0,W37&lt;=0),0,(IF(AND(P37='G-1 All Habitats'!$X$9,(W37+V37)&lt;H37,OR(AB37="No",AB37="")),"Any Loss Unacceptable ⚠",(IF(P37="","",IF(AND(P37='G-1 All Habitats'!$X$9,W37&gt;0),X37+Y37,IF(AND(P37='G-1 All Habitats'!$X$9,V37&gt;0),X37+Y37,IF(R37="","",H37*J37*L37*O37)))))))))))))))))),"Check Data ▲")</f>
        <v/>
      </c>
      <c r="U37" s="38"/>
      <c r="V37" s="52"/>
      <c r="W37" s="53"/>
      <c r="X37" s="287" t="str">
        <f t="shared" si="2"/>
        <v/>
      </c>
      <c r="Y37" s="287" t="str">
        <f t="shared" si="3"/>
        <v/>
      </c>
      <c r="Z37" s="287" t="str">
        <f t="shared" si="4"/>
        <v/>
      </c>
      <c r="AA37" s="317" t="str">
        <f>IFERROR(IF(AND(E37="Individual trees",G37="Yes",W37&gt;0),"Error - you cannot enhance an irreplaceable tree ▲",(IF(H37="","",IF(H37-V37-W37=0&lt;0,"Error in Areas ▲",IF(V37+W37&gt;H37,"Error in Areas ▲",IF(AND(P37='G-1 All Habitats'!$X$9,AB37="Yes"),"Alternative Compensation ✓",IF(AND(P37='G-1 All Habitats'!$X$3,AB37="Yes"),"Alternative Compensation ✓",IF(AND(AB37="Pending",P37='G-1 All Habitats'!$X$3),"Bespoke compensation must be agreed ▲",IF(AND(AB37="Pending",P37='G-1 All Habitats'!$X$9),"Bespoke compensation must be agreed  ▲",IF(Z37=0,0,IF(P37='G-1 All Habitats'!$X$9,"Any Loss Unacceptable ▲",T37-X37-Y37))))))))))),"Check Data ⚠")</f>
        <v/>
      </c>
      <c r="AB37" s="587"/>
      <c r="AC37" s="105"/>
      <c r="AD37" s="138"/>
      <c r="AE37" s="104"/>
      <c r="AF37" s="611"/>
      <c r="AG37" s="523" t="str">
        <f>IF(OR(P37="",AB37="Yes"),"",IF(P37='G-1 All Habitats'!$X$9,H37-V37-W37,"None"))</f>
        <v/>
      </c>
      <c r="AH37" s="523" t="str">
        <f>IF(P37="","",IF(P37='G-1 All Habitats'!$X$9,AG37*J37*L37*O37,"None"))</f>
        <v/>
      </c>
      <c r="AJ37" s="107" t="str">
        <f t="shared" si="5"/>
        <v/>
      </c>
      <c r="AK37" s="107" t="str">
        <f t="shared" si="0"/>
        <v/>
      </c>
      <c r="AL37" s="107" t="str">
        <f>IF(I37="","",IF(#REF!&gt;0,TRUE,FALSE))</f>
        <v/>
      </c>
      <c r="AM37" s="107">
        <v>27</v>
      </c>
      <c r="AN37" s="107"/>
      <c r="AO37" s="107" t="str">
        <f t="array" ref="AO37">IFERROR(INDEX($AM$11:$AM$259,MATCH(0,IF(TRUE=$AJ$11:$AJ$259,COUNTIF($AO$10:$AO36,$AM$11:$AM$259),""),0)),"")</f>
        <v/>
      </c>
      <c r="AP37" s="107" t="str">
        <f t="array" ref="AP37">IFERROR(INDEX($AM$11:$AM$259,MATCH(0,IF(TRUE=$AK$11:$AK$259,COUNTIF($AP$10:$AP36,$AM$11:$AM$259),""),0)),"")</f>
        <v/>
      </c>
      <c r="AQ37" s="107" t="str">
        <f t="array" ref="AQ37">IFERROR(INDEX($AM$11:$AM$259,MATCH(0,IF(TRUE=$AL$11:$AL$259,COUNTIF($AQ$10:$AQ36,$AM$11:$AM$259),""),0)),"")</f>
        <v/>
      </c>
      <c r="AS37" s="885" t="str">
        <f>IF(AND(OR(AB37="Yes",AB37="Pending"),P37='G-1 All Habitats'!$X$3),T37-X37-Y37,"0")</f>
        <v>0</v>
      </c>
      <c r="AT37" s="30" t="str">
        <f t="shared" si="1"/>
        <v/>
      </c>
      <c r="AU37" s="30">
        <f t="shared" si="6"/>
        <v>0</v>
      </c>
      <c r="AV37" s="230" t="str">
        <f>IFERROR(INDEX('G-1 All Habitats'!$B$3:$B$135,MATCH(F37,'G-1 All Habitats'!$A$3:$A$135,0)),"")</f>
        <v/>
      </c>
      <c r="AW37" s="30" t="str">
        <f>IF(AV37="","",VLOOKUP(AV37,'G-1 All Habitats'!$B$1:$T$135,19,FALSE))</f>
        <v/>
      </c>
      <c r="AY37" s="287" t="str">
        <f t="shared" si="7"/>
        <v/>
      </c>
    </row>
    <row r="38" spans="1:51" ht="14">
      <c r="A38" s="30" t="str">
        <f>IFERROR(INDEX('G-1 All Habitats'!$AG$3:$AG$17,MATCH(E38,'G-1 All Habitats'!$AF$3:$AF$17,0)),"")</f>
        <v/>
      </c>
      <c r="B38" s="30" t="str">
        <f>IFERROR(INDEX('G-8 Condition Look up'!$I$4:$I$135,MATCH(AV38,'G-8 Condition Look up'!$A$4:$A$135,0)),"")</f>
        <v/>
      </c>
      <c r="D38" s="97">
        <v>28</v>
      </c>
      <c r="E38" s="262"/>
      <c r="F38" s="262"/>
      <c r="G38" s="133"/>
      <c r="H38" s="51"/>
      <c r="I38" s="509" t="str">
        <f>IF(AV38="","",IF(AND(AW38="Yes",G38="No"),"Irreplaceable habitat ▲",IF(AND(AW38="No",G38="Yes"),"Cannot be Irreplaceable ▲",VLOOKUP(AV38,'G-1 All Habitats'!$B$2:$M$135,10,FALSE))))</f>
        <v/>
      </c>
      <c r="J38" s="377" t="str">
        <f>IFERROR(VLOOKUP(I38,'G-1 All Habitats'!$V$3:$W$7,2,FALSE),"")</f>
        <v/>
      </c>
      <c r="K38" s="52"/>
      <c r="L38" s="276" t="str">
        <f>IFERROR(INDEX('G-8 Condition Look up'!$A$3:$H$135,MATCH(AV38,'G-8 Condition Look up'!$A$3:$A$135,0),MATCH(K38,'G-8 Condition Look up'!$A$3:$H$3,0)),"")</f>
        <v/>
      </c>
      <c r="M38" s="52"/>
      <c r="N38" s="295" t="str">
        <f>IF(M38="","",IF(VLOOKUP(M38,'G-3 Multipliers'!$L$3:$N$6,2,FALSE)=0,"Spatial Data Missing ⚠",VLOOKUP(M38,'G-3 Multipliers'!$L$3:$N$6,2,FALSE)))</f>
        <v/>
      </c>
      <c r="O38" s="353" t="str">
        <f>IF(M38="","",IF(VLOOKUP(M38,'G-3 Multipliers'!$L$3:$N$6,3,FALSE)=0,"Spatial Data Missing ⚠",VLOOKUP(M38,'G-3 Multipliers'!$L$3:$N$6,3,FALSE)))</f>
        <v/>
      </c>
      <c r="P38" s="336" t="str">
        <f>(IF(G38="Yes","Bespoke compensation likely to be required",(IFERROR(VLOOKUP(AV38,'G-1 All Habitats'!$B$2:$M$135,12,FALSE),""))))</f>
        <v/>
      </c>
      <c r="Q38" s="511" t="str">
        <f>IFERROR(IF(P38="","",IF(AND(E38="Individual trees",W38&gt;0,G38="Yes"),"Error - you cannot enhance irreplaceable individual trees ▲",IF(P38='G-1 All Habitats'!$X$9,T38*S38,IF(AND(P38='G-1 All Habitats'!$X$9,W38&gt;0),X38+(Y38*S38),IF(AND(P38='G-1 All Habitats'!$X$9,V38&gt;0),X38+(Y38*S38),IF(AND(P38='G-1 All Habitats'!$X$9,AG38&gt;0),"Any Loss Unacceptable  ⚠",IF(AND(P38='G-1 All Habitats'!$X$9,Z38&gt;0),"Any Loss Unacceptable ⚠",H38*J38*L38*O38*S38))))))),"Check Data ⚠")</f>
        <v/>
      </c>
      <c r="R38" s="393"/>
      <c r="S38" s="510" t="str">
        <f>IF(R38="","",IF(VLOOKUP(R38,'G-3 Multipliers'!$S$3:$T$10,2,FALSE)=0,"Spatial Data Missing ⚠",VLOOKUP(R38,'G-3 Multipliers'!$S$3:$T$10,2,FALSE)))</f>
        <v/>
      </c>
      <c r="T38" s="289" t="str">
        <f>IFERROR(IF(AND(F38&lt;&gt;"",G38=""),"Confirm irreplaceable habitat status ▲",(IF(AND(R38&lt;&gt;"",AF38=""),"Off-site reference required ▲",(IF(AND(E38="Individual trees",W38&gt;0,G38="Yes"),"Error - you cannot enhance irreplaceable individual trees ▲",(IF(AND(X38="Irreplaceable habitat - no units generated ⚠",(W38+V38)&lt;H38,OR(AB38="No",AB38="")),"Any Loss Unacceptable ⚠",(IF(X38="Irreplaceable habitat - no units generated ⚠",W38*J38*L38*O38,IF(AND(P38='G-1 All Habitats'!$X$9,AH38&gt;0,V38&lt;=0,W38&lt;=0,OR(AB38="No",AB38="")),"Any Loss Unacceptable ⚠",IF(AND(P38='G-1 All Habitats'!$X$9,AH38&gt;0,V38&lt;=0,W38&lt;=0),0,(IF(AND(P38='G-1 All Habitats'!$X$9,(W38+V38)&lt;H38,OR(AB38="No",AB38="")),"Any Loss Unacceptable ⚠",(IF(P38="","",IF(AND(P38='G-1 All Habitats'!$X$9,W38&gt;0),X38+Y38,IF(AND(P38='G-1 All Habitats'!$X$9,V38&gt;0),X38+Y38,IF(R38="","",H38*J38*L38*O38)))))))))))))))))),"Check Data ▲")</f>
        <v/>
      </c>
      <c r="U38" s="38"/>
      <c r="V38" s="52"/>
      <c r="W38" s="53"/>
      <c r="X38" s="287" t="str">
        <f t="shared" si="2"/>
        <v/>
      </c>
      <c r="Y38" s="287" t="str">
        <f t="shared" si="3"/>
        <v/>
      </c>
      <c r="Z38" s="287" t="str">
        <f t="shared" si="4"/>
        <v/>
      </c>
      <c r="AA38" s="317" t="str">
        <f>IFERROR(IF(AND(E38="Individual trees",G38="Yes",W38&gt;0),"Error - you cannot enhance an irreplaceable tree ▲",(IF(H38="","",IF(H38-V38-W38=0&lt;0,"Error in Areas ▲",IF(V38+W38&gt;H38,"Error in Areas ▲",IF(AND(P38='G-1 All Habitats'!$X$9,AB38="Yes"),"Alternative Compensation ✓",IF(AND(P38='G-1 All Habitats'!$X$3,AB38="Yes"),"Alternative Compensation ✓",IF(AND(AB38="Pending",P38='G-1 All Habitats'!$X$3),"Bespoke compensation must be agreed ▲",IF(AND(AB38="Pending",P38='G-1 All Habitats'!$X$9),"Bespoke compensation must be agreed  ▲",IF(Z38=0,0,IF(P38='G-1 All Habitats'!$X$9,"Any Loss Unacceptable ▲",T38-X38-Y38))))))))))),"Check Data ⚠")</f>
        <v/>
      </c>
      <c r="AB38" s="587"/>
      <c r="AC38" s="105"/>
      <c r="AD38" s="138"/>
      <c r="AE38" s="104"/>
      <c r="AF38" s="611"/>
      <c r="AG38" s="523" t="str">
        <f>IF(OR(P38="",AB38="Yes"),"",IF(P38='G-1 All Habitats'!$X$9,H38-V38-W38,"None"))</f>
        <v/>
      </c>
      <c r="AH38" s="523" t="str">
        <f>IF(P38="","",IF(P38='G-1 All Habitats'!$X$9,AG38*J38*L38*O38,"None"))</f>
        <v/>
      </c>
      <c r="AJ38" s="107" t="str">
        <f t="shared" si="5"/>
        <v/>
      </c>
      <c r="AK38" s="107" t="str">
        <f t="shared" si="0"/>
        <v/>
      </c>
      <c r="AL38" s="107" t="str">
        <f>IF(I38="","",IF(#REF!&gt;0,TRUE,FALSE))</f>
        <v/>
      </c>
      <c r="AM38" s="107">
        <v>28</v>
      </c>
      <c r="AN38" s="107"/>
      <c r="AO38" s="107" t="str">
        <f t="array" ref="AO38">IFERROR(INDEX($AM$11:$AM$259,MATCH(0,IF(TRUE=$AJ$11:$AJ$259,COUNTIF($AO$10:$AO37,$AM$11:$AM$259),""),0)),"")</f>
        <v/>
      </c>
      <c r="AP38" s="107" t="str">
        <f t="array" ref="AP38">IFERROR(INDEX($AM$11:$AM$259,MATCH(0,IF(TRUE=$AK$11:$AK$259,COUNTIF($AP$10:$AP37,$AM$11:$AM$259),""),0)),"")</f>
        <v/>
      </c>
      <c r="AQ38" s="107" t="str">
        <f t="array" ref="AQ38">IFERROR(INDEX($AM$11:$AM$259,MATCH(0,IF(TRUE=$AL$11:$AL$259,COUNTIF($AQ$10:$AQ37,$AM$11:$AM$259),""),0)),"")</f>
        <v/>
      </c>
      <c r="AS38" s="885" t="str">
        <f>IF(AND(OR(AB38="Yes",AB38="Pending"),P38='G-1 All Habitats'!$X$3),T38-X38-Y38,"0")</f>
        <v>0</v>
      </c>
      <c r="AT38" s="30" t="str">
        <f t="shared" si="1"/>
        <v/>
      </c>
      <c r="AU38" s="30">
        <f t="shared" si="6"/>
        <v>0</v>
      </c>
      <c r="AV38" s="230" t="str">
        <f>IFERROR(INDEX('G-1 All Habitats'!$B$3:$B$135,MATCH(F38,'G-1 All Habitats'!$A$3:$A$135,0)),"")</f>
        <v/>
      </c>
      <c r="AW38" s="30" t="str">
        <f>IF(AV38="","",VLOOKUP(AV38,'G-1 All Habitats'!$B$1:$T$135,19,FALSE))</f>
        <v/>
      </c>
      <c r="AY38" s="287" t="str">
        <f t="shared" si="7"/>
        <v/>
      </c>
    </row>
    <row r="39" spans="1:51" ht="14">
      <c r="A39" s="30" t="str">
        <f>IFERROR(INDEX('G-1 All Habitats'!$AG$3:$AG$17,MATCH(E39,'G-1 All Habitats'!$AF$3:$AF$17,0)),"")</f>
        <v/>
      </c>
      <c r="B39" s="30" t="str">
        <f>IFERROR(INDEX('G-8 Condition Look up'!$I$4:$I$135,MATCH(AV39,'G-8 Condition Look up'!$A$4:$A$135,0)),"")</f>
        <v/>
      </c>
      <c r="D39" s="97">
        <v>29</v>
      </c>
      <c r="E39" s="262"/>
      <c r="F39" s="262"/>
      <c r="G39" s="133"/>
      <c r="H39" s="51"/>
      <c r="I39" s="509" t="str">
        <f>IF(AV39="","",IF(AND(AW39="Yes",G39="No"),"Irreplaceable habitat ▲",IF(AND(AW39="No",G39="Yes"),"Cannot be Irreplaceable ▲",VLOOKUP(AV39,'G-1 All Habitats'!$B$2:$M$135,10,FALSE))))</f>
        <v/>
      </c>
      <c r="J39" s="377" t="str">
        <f>IFERROR(VLOOKUP(I39,'G-1 All Habitats'!$V$3:$W$7,2,FALSE),"")</f>
        <v/>
      </c>
      <c r="K39" s="52"/>
      <c r="L39" s="276" t="str">
        <f>IFERROR(INDEX('G-8 Condition Look up'!$A$3:$H$135,MATCH(AV39,'G-8 Condition Look up'!$A$3:$A$135,0),MATCH(K39,'G-8 Condition Look up'!$A$3:$H$3,0)),"")</f>
        <v/>
      </c>
      <c r="M39" s="52"/>
      <c r="N39" s="295" t="str">
        <f>IF(M39="","",IF(VLOOKUP(M39,'G-3 Multipliers'!$L$3:$N$6,2,FALSE)=0,"Spatial Data Missing ⚠",VLOOKUP(M39,'G-3 Multipliers'!$L$3:$N$6,2,FALSE)))</f>
        <v/>
      </c>
      <c r="O39" s="353" t="str">
        <f>IF(M39="","",IF(VLOOKUP(M39,'G-3 Multipliers'!$L$3:$N$6,3,FALSE)=0,"Spatial Data Missing ⚠",VLOOKUP(M39,'G-3 Multipliers'!$L$3:$N$6,3,FALSE)))</f>
        <v/>
      </c>
      <c r="P39" s="336" t="str">
        <f>(IF(G39="Yes","Bespoke compensation likely to be required",(IFERROR(VLOOKUP(AV39,'G-1 All Habitats'!$B$2:$M$135,12,FALSE),""))))</f>
        <v/>
      </c>
      <c r="Q39" s="511" t="str">
        <f>IFERROR(IF(P39="","",IF(AND(E39="Individual trees",W39&gt;0,G39="Yes"),"Error - you cannot enhance irreplaceable individual trees ▲",IF(P39='G-1 All Habitats'!$X$9,T39*S39,IF(AND(P39='G-1 All Habitats'!$X$9,W39&gt;0),X39+(Y39*S39),IF(AND(P39='G-1 All Habitats'!$X$9,V39&gt;0),X39+(Y39*S39),IF(AND(P39='G-1 All Habitats'!$X$9,AG39&gt;0),"Any Loss Unacceptable  ⚠",IF(AND(P39='G-1 All Habitats'!$X$9,Z39&gt;0),"Any Loss Unacceptable ⚠",H39*J39*L39*O39*S39))))))),"Check Data ⚠")</f>
        <v/>
      </c>
      <c r="R39" s="393"/>
      <c r="S39" s="510" t="str">
        <f>IF(R39="","",IF(VLOOKUP(R39,'G-3 Multipliers'!$S$3:$T$10,2,FALSE)=0,"Spatial Data Missing ⚠",VLOOKUP(R39,'G-3 Multipliers'!$S$3:$T$10,2,FALSE)))</f>
        <v/>
      </c>
      <c r="T39" s="289" t="str">
        <f>IFERROR(IF(AND(F39&lt;&gt;"",G39=""),"Confirm irreplaceable habitat status ▲",(IF(AND(R39&lt;&gt;"",AF39=""),"Off-site reference required ▲",(IF(AND(E39="Individual trees",W39&gt;0,G39="Yes"),"Error - you cannot enhance irreplaceable individual trees ▲",(IF(AND(X39="Irreplaceable habitat - no units generated ⚠",(W39+V39)&lt;H39,OR(AB39="No",AB39="")),"Any Loss Unacceptable ⚠",(IF(X39="Irreplaceable habitat - no units generated ⚠",W39*J39*L39*O39,IF(AND(P39='G-1 All Habitats'!$X$9,AH39&gt;0,V39&lt;=0,W39&lt;=0,OR(AB39="No",AB39="")),"Any Loss Unacceptable ⚠",IF(AND(P39='G-1 All Habitats'!$X$9,AH39&gt;0,V39&lt;=0,W39&lt;=0),0,(IF(AND(P39='G-1 All Habitats'!$X$9,(W39+V39)&lt;H39,OR(AB39="No",AB39="")),"Any Loss Unacceptable ⚠",(IF(P39="","",IF(AND(P39='G-1 All Habitats'!$X$9,W39&gt;0),X39+Y39,IF(AND(P39='G-1 All Habitats'!$X$9,V39&gt;0),X39+Y39,IF(R39="","",H39*J39*L39*O39)))))))))))))))))),"Check Data ▲")</f>
        <v/>
      </c>
      <c r="U39" s="38"/>
      <c r="V39" s="52"/>
      <c r="W39" s="53"/>
      <c r="X39" s="287" t="str">
        <f t="shared" si="2"/>
        <v/>
      </c>
      <c r="Y39" s="287" t="str">
        <f t="shared" si="3"/>
        <v/>
      </c>
      <c r="Z39" s="287" t="str">
        <f t="shared" si="4"/>
        <v/>
      </c>
      <c r="AA39" s="317" t="str">
        <f>IFERROR(IF(AND(E39="Individual trees",G39="Yes",W39&gt;0),"Error - you cannot enhance an irreplaceable tree ▲",(IF(H39="","",IF(H39-V39-W39=0&lt;0,"Error in Areas ▲",IF(V39+W39&gt;H39,"Error in Areas ▲",IF(AND(P39='G-1 All Habitats'!$X$9,AB39="Yes"),"Alternative Compensation ✓",IF(AND(P39='G-1 All Habitats'!$X$3,AB39="Yes"),"Alternative Compensation ✓",IF(AND(AB39="Pending",P39='G-1 All Habitats'!$X$3),"Bespoke compensation must be agreed ▲",IF(AND(AB39="Pending",P39='G-1 All Habitats'!$X$9),"Bespoke compensation must be agreed  ▲",IF(Z39=0,0,IF(P39='G-1 All Habitats'!$X$9,"Any Loss Unacceptable ▲",T39-X39-Y39))))))))))),"Check Data ⚠")</f>
        <v/>
      </c>
      <c r="AB39" s="587"/>
      <c r="AC39" s="105"/>
      <c r="AD39" s="138"/>
      <c r="AE39" s="104"/>
      <c r="AF39" s="611"/>
      <c r="AG39" s="523" t="str">
        <f>IF(OR(P39="",AB39="Yes"),"",IF(P39='G-1 All Habitats'!$X$9,H39-V39-W39,"None"))</f>
        <v/>
      </c>
      <c r="AH39" s="523" t="str">
        <f>IF(P39="","",IF(P39='G-1 All Habitats'!$X$9,AG39*J39*L39*O39,"None"))</f>
        <v/>
      </c>
      <c r="AJ39" s="107" t="str">
        <f t="shared" si="5"/>
        <v/>
      </c>
      <c r="AK39" s="107" t="str">
        <f t="shared" si="0"/>
        <v/>
      </c>
      <c r="AL39" s="107" t="str">
        <f>IF(I39="","",IF(#REF!&gt;0,TRUE,FALSE))</f>
        <v/>
      </c>
      <c r="AM39" s="107">
        <v>29</v>
      </c>
      <c r="AN39" s="107"/>
      <c r="AO39" s="107" t="str">
        <f t="array" ref="AO39">IFERROR(INDEX($AM$11:$AM$259,MATCH(0,IF(TRUE=$AJ$11:$AJ$259,COUNTIF($AO$10:$AO38,$AM$11:$AM$259),""),0)),"")</f>
        <v/>
      </c>
      <c r="AP39" s="107" t="str">
        <f t="array" ref="AP39">IFERROR(INDEX($AM$11:$AM$259,MATCH(0,IF(TRUE=$AK$11:$AK$259,COUNTIF($AP$10:$AP38,$AM$11:$AM$259),""),0)),"")</f>
        <v/>
      </c>
      <c r="AQ39" s="107" t="str">
        <f t="array" ref="AQ39">IFERROR(INDEX($AM$11:$AM$259,MATCH(0,IF(TRUE=$AL$11:$AL$259,COUNTIF($AQ$10:$AQ38,$AM$11:$AM$259),""),0)),"")</f>
        <v/>
      </c>
      <c r="AS39" s="885" t="str">
        <f>IF(AND(OR(AB39="Yes",AB39="Pending"),P39='G-1 All Habitats'!$X$3),T39-X39-Y39,"0")</f>
        <v>0</v>
      </c>
      <c r="AT39" s="30" t="str">
        <f t="shared" si="1"/>
        <v/>
      </c>
      <c r="AU39" s="30">
        <f t="shared" si="6"/>
        <v>0</v>
      </c>
      <c r="AV39" s="230" t="str">
        <f>IFERROR(INDEX('G-1 All Habitats'!$B$3:$B$135,MATCH(F39,'G-1 All Habitats'!$A$3:$A$135,0)),"")</f>
        <v/>
      </c>
      <c r="AW39" s="30" t="str">
        <f>IF(AV39="","",VLOOKUP(AV39,'G-1 All Habitats'!$B$1:$T$135,19,FALSE))</f>
        <v/>
      </c>
      <c r="AY39" s="287" t="str">
        <f t="shared" si="7"/>
        <v/>
      </c>
    </row>
    <row r="40" spans="1:51" ht="14">
      <c r="A40" s="30" t="str">
        <f>IFERROR(INDEX('G-1 All Habitats'!$AG$3:$AG$17,MATCH(E40,'G-1 All Habitats'!$AF$3:$AF$17,0)),"")</f>
        <v/>
      </c>
      <c r="B40" s="30" t="str">
        <f>IFERROR(INDEX('G-8 Condition Look up'!$I$4:$I$135,MATCH(AV40,'G-8 Condition Look up'!$A$4:$A$135,0)),"")</f>
        <v/>
      </c>
      <c r="D40" s="97">
        <v>30</v>
      </c>
      <c r="E40" s="262"/>
      <c r="F40" s="262"/>
      <c r="G40" s="133"/>
      <c r="H40" s="51"/>
      <c r="I40" s="509" t="str">
        <f>IF(AV40="","",IF(AND(AW40="Yes",G40="No"),"Irreplaceable habitat ▲",IF(AND(AW40="No",G40="Yes"),"Cannot be Irreplaceable ▲",VLOOKUP(AV40,'G-1 All Habitats'!$B$2:$M$135,10,FALSE))))</f>
        <v/>
      </c>
      <c r="J40" s="377" t="str">
        <f>IFERROR(VLOOKUP(I40,'G-1 All Habitats'!$V$3:$W$7,2,FALSE),"")</f>
        <v/>
      </c>
      <c r="K40" s="52"/>
      <c r="L40" s="276" t="str">
        <f>IFERROR(INDEX('G-8 Condition Look up'!$A$3:$H$135,MATCH(AV40,'G-8 Condition Look up'!$A$3:$A$135,0),MATCH(K40,'G-8 Condition Look up'!$A$3:$H$3,0)),"")</f>
        <v/>
      </c>
      <c r="M40" s="52"/>
      <c r="N40" s="295" t="str">
        <f>IF(M40="","",IF(VLOOKUP(M40,'G-3 Multipliers'!$L$3:$N$6,2,FALSE)=0,"Spatial Data Missing ⚠",VLOOKUP(M40,'G-3 Multipliers'!$L$3:$N$6,2,FALSE)))</f>
        <v/>
      </c>
      <c r="O40" s="353" t="str">
        <f>IF(M40="","",IF(VLOOKUP(M40,'G-3 Multipliers'!$L$3:$N$6,3,FALSE)=0,"Spatial Data Missing ⚠",VLOOKUP(M40,'G-3 Multipliers'!$L$3:$N$6,3,FALSE)))</f>
        <v/>
      </c>
      <c r="P40" s="336" t="str">
        <f>(IF(G40="Yes","Bespoke compensation likely to be required",(IFERROR(VLOOKUP(AV40,'G-1 All Habitats'!$B$2:$M$135,12,FALSE),""))))</f>
        <v/>
      </c>
      <c r="Q40" s="511" t="str">
        <f>IFERROR(IF(P40="","",IF(AND(E40="Individual trees",W40&gt;0,G40="Yes"),"Error - you cannot enhance irreplaceable individual trees ▲",IF(P40='G-1 All Habitats'!$X$9,T40*S40,IF(AND(P40='G-1 All Habitats'!$X$9,W40&gt;0),X40+(Y40*S40),IF(AND(P40='G-1 All Habitats'!$X$9,V40&gt;0),X40+(Y40*S40),IF(AND(P40='G-1 All Habitats'!$X$9,AG40&gt;0),"Any Loss Unacceptable  ⚠",IF(AND(P40='G-1 All Habitats'!$X$9,Z40&gt;0),"Any Loss Unacceptable ⚠",H40*J40*L40*O40*S40))))))),"Check Data ⚠")</f>
        <v/>
      </c>
      <c r="R40" s="393"/>
      <c r="S40" s="510" t="str">
        <f>IF(R40="","",IF(VLOOKUP(R40,'G-3 Multipliers'!$S$3:$T$10,2,FALSE)=0,"Spatial Data Missing ⚠",VLOOKUP(R40,'G-3 Multipliers'!$S$3:$T$10,2,FALSE)))</f>
        <v/>
      </c>
      <c r="T40" s="289" t="str">
        <f>IFERROR(IF(AND(F40&lt;&gt;"",G40=""),"Confirm irreplaceable habitat status ▲",(IF(AND(R40&lt;&gt;"",AF40=""),"Off-site reference required ▲",(IF(AND(E40="Individual trees",W40&gt;0,G40="Yes"),"Error - you cannot enhance irreplaceable individual trees ▲",(IF(AND(X40="Irreplaceable habitat - no units generated ⚠",(W40+V40)&lt;H40,OR(AB40="No",AB40="")),"Any Loss Unacceptable ⚠",(IF(X40="Irreplaceable habitat - no units generated ⚠",W40*J40*L40*O40,IF(AND(P40='G-1 All Habitats'!$X$9,AH40&gt;0,V40&lt;=0,W40&lt;=0,OR(AB40="No",AB40="")),"Any Loss Unacceptable ⚠",IF(AND(P40='G-1 All Habitats'!$X$9,AH40&gt;0,V40&lt;=0,W40&lt;=0),0,(IF(AND(P40='G-1 All Habitats'!$X$9,(W40+V40)&lt;H40,OR(AB40="No",AB40="")),"Any Loss Unacceptable ⚠",(IF(P40="","",IF(AND(P40='G-1 All Habitats'!$X$9,W40&gt;0),X40+Y40,IF(AND(P40='G-1 All Habitats'!$X$9,V40&gt;0),X40+Y40,IF(R40="","",H40*J40*L40*O40)))))))))))))))))),"Check Data ▲")</f>
        <v/>
      </c>
      <c r="U40" s="38"/>
      <c r="V40" s="52"/>
      <c r="W40" s="53"/>
      <c r="X40" s="287" t="str">
        <f t="shared" si="2"/>
        <v/>
      </c>
      <c r="Y40" s="287" t="str">
        <f t="shared" si="3"/>
        <v/>
      </c>
      <c r="Z40" s="287" t="str">
        <f t="shared" si="4"/>
        <v/>
      </c>
      <c r="AA40" s="317" t="str">
        <f>IFERROR(IF(AND(E40="Individual trees",G40="Yes",W40&gt;0),"Error - you cannot enhance an irreplaceable tree ▲",(IF(H40="","",IF(H40-V40-W40=0&lt;0,"Error in Areas ▲",IF(V40+W40&gt;H40,"Error in Areas ▲",IF(AND(P40='G-1 All Habitats'!$X$9,AB40="Yes"),"Alternative Compensation ✓",IF(AND(P40='G-1 All Habitats'!$X$3,AB40="Yes"),"Alternative Compensation ✓",IF(AND(AB40="Pending",P40='G-1 All Habitats'!$X$3),"Bespoke compensation must be agreed ▲",IF(AND(AB40="Pending",P40='G-1 All Habitats'!$X$9),"Bespoke compensation must be agreed  ▲",IF(Z40=0,0,IF(P40='G-1 All Habitats'!$X$9,"Any Loss Unacceptable ▲",T40-X40-Y40))))))))))),"Check Data ⚠")</f>
        <v/>
      </c>
      <c r="AB40" s="587"/>
      <c r="AC40" s="105"/>
      <c r="AD40" s="138"/>
      <c r="AE40" s="104"/>
      <c r="AF40" s="611"/>
      <c r="AG40" s="523" t="str">
        <f>IF(OR(P40="",AB40="Yes"),"",IF(P40='G-1 All Habitats'!$X$9,H40-V40-W40,"None"))</f>
        <v/>
      </c>
      <c r="AH40" s="523" t="str">
        <f>IF(P40="","",IF(P40='G-1 All Habitats'!$X$9,AG40*J40*L40*O40,"None"))</f>
        <v/>
      </c>
      <c r="AJ40" s="107" t="str">
        <f t="shared" si="5"/>
        <v/>
      </c>
      <c r="AK40" s="107" t="str">
        <f t="shared" si="0"/>
        <v/>
      </c>
      <c r="AL40" s="107" t="str">
        <f>IF(I40="","",IF(#REF!&gt;0,TRUE,FALSE))</f>
        <v/>
      </c>
      <c r="AM40" s="107">
        <v>30</v>
      </c>
      <c r="AN40" s="107"/>
      <c r="AO40" s="107" t="str">
        <f t="array" ref="AO40">IFERROR(INDEX($AM$11:$AM$259,MATCH(0,IF(TRUE=$AJ$11:$AJ$259,COUNTIF($AO$10:$AO39,$AM$11:$AM$259),""),0)),"")</f>
        <v/>
      </c>
      <c r="AP40" s="107" t="str">
        <f t="array" ref="AP40">IFERROR(INDEX($AM$11:$AM$259,MATCH(0,IF(TRUE=$AK$11:$AK$259,COUNTIF($AP$10:$AP39,$AM$11:$AM$259),""),0)),"")</f>
        <v/>
      </c>
      <c r="AQ40" s="107" t="str">
        <f t="array" ref="AQ40">IFERROR(INDEX($AM$11:$AM$259,MATCH(0,IF(TRUE=$AL$11:$AL$259,COUNTIF($AQ$10:$AQ39,$AM$11:$AM$259),""),0)),"")</f>
        <v/>
      </c>
      <c r="AS40" s="885" t="str">
        <f>IF(AND(OR(AB40="Yes",AB40="Pending"),P40='G-1 All Habitats'!$X$3),T40-X40-Y40,"0")</f>
        <v>0</v>
      </c>
      <c r="AT40" s="30" t="str">
        <f t="shared" si="1"/>
        <v/>
      </c>
      <c r="AU40" s="30">
        <f t="shared" si="6"/>
        <v>0</v>
      </c>
      <c r="AV40" s="230" t="str">
        <f>IFERROR(INDEX('G-1 All Habitats'!$B$3:$B$135,MATCH(F40,'G-1 All Habitats'!$A$3:$A$135,0)),"")</f>
        <v/>
      </c>
      <c r="AW40" s="30" t="str">
        <f>IF(AV40="","",VLOOKUP(AV40,'G-1 All Habitats'!$B$1:$T$135,19,FALSE))</f>
        <v/>
      </c>
      <c r="AY40" s="287" t="str">
        <f t="shared" si="7"/>
        <v/>
      </c>
    </row>
    <row r="41" spans="1:51" ht="14">
      <c r="A41" s="30" t="str">
        <f>IFERROR(INDEX('G-1 All Habitats'!$AG$3:$AG$17,MATCH(E41,'G-1 All Habitats'!$AF$3:$AF$17,0)),"")</f>
        <v/>
      </c>
      <c r="B41" s="30" t="str">
        <f>IFERROR(INDEX('G-8 Condition Look up'!$I$4:$I$135,MATCH(AV41,'G-8 Condition Look up'!$A$4:$A$135,0)),"")</f>
        <v/>
      </c>
      <c r="D41" s="97">
        <v>31</v>
      </c>
      <c r="E41" s="262"/>
      <c r="F41" s="262"/>
      <c r="G41" s="133"/>
      <c r="H41" s="51"/>
      <c r="I41" s="509" t="str">
        <f>IF(AV41="","",IF(AND(AW41="Yes",G41="No"),"Irreplaceable habitat ▲",IF(AND(AW41="No",G41="Yes"),"Cannot be Irreplaceable ▲",VLOOKUP(AV41,'G-1 All Habitats'!$B$2:$M$135,10,FALSE))))</f>
        <v/>
      </c>
      <c r="J41" s="377" t="str">
        <f>IFERROR(VLOOKUP(I41,'G-1 All Habitats'!$V$3:$W$7,2,FALSE),"")</f>
        <v/>
      </c>
      <c r="K41" s="52"/>
      <c r="L41" s="276" t="str">
        <f>IFERROR(INDEX('G-8 Condition Look up'!$A$3:$H$135,MATCH(AV41,'G-8 Condition Look up'!$A$3:$A$135,0),MATCH(K41,'G-8 Condition Look up'!$A$3:$H$3,0)),"")</f>
        <v/>
      </c>
      <c r="M41" s="52"/>
      <c r="N41" s="295" t="str">
        <f>IF(M41="","",IF(VLOOKUP(M41,'G-3 Multipliers'!$L$3:$N$6,2,FALSE)=0,"Spatial Data Missing ⚠",VLOOKUP(M41,'G-3 Multipliers'!$L$3:$N$6,2,FALSE)))</f>
        <v/>
      </c>
      <c r="O41" s="353" t="str">
        <f>IF(M41="","",IF(VLOOKUP(M41,'G-3 Multipliers'!$L$3:$N$6,3,FALSE)=0,"Spatial Data Missing ⚠",VLOOKUP(M41,'G-3 Multipliers'!$L$3:$N$6,3,FALSE)))</f>
        <v/>
      </c>
      <c r="P41" s="336" t="str">
        <f>(IF(G41="Yes","Bespoke compensation likely to be required",(IFERROR(VLOOKUP(AV41,'G-1 All Habitats'!$B$2:$M$135,12,FALSE),""))))</f>
        <v/>
      </c>
      <c r="Q41" s="511" t="str">
        <f>IFERROR(IF(P41="","",IF(AND(E41="Individual trees",W41&gt;0,G41="Yes"),"Error - you cannot enhance irreplaceable individual trees ▲",IF(P41='G-1 All Habitats'!$X$9,T41*S41,IF(AND(P41='G-1 All Habitats'!$X$9,W41&gt;0),X41+(Y41*S41),IF(AND(P41='G-1 All Habitats'!$X$9,V41&gt;0),X41+(Y41*S41),IF(AND(P41='G-1 All Habitats'!$X$9,AG41&gt;0),"Any Loss Unacceptable  ⚠",IF(AND(P41='G-1 All Habitats'!$X$9,Z41&gt;0),"Any Loss Unacceptable ⚠",H41*J41*L41*O41*S41))))))),"Check Data ⚠")</f>
        <v/>
      </c>
      <c r="R41" s="393"/>
      <c r="S41" s="510" t="str">
        <f>IF(R41="","",IF(VLOOKUP(R41,'G-3 Multipliers'!$S$3:$T$10,2,FALSE)=0,"Spatial Data Missing ⚠",VLOOKUP(R41,'G-3 Multipliers'!$S$3:$T$10,2,FALSE)))</f>
        <v/>
      </c>
      <c r="T41" s="289" t="str">
        <f>IFERROR(IF(AND(F41&lt;&gt;"",G41=""),"Confirm irreplaceable habitat status ▲",(IF(AND(R41&lt;&gt;"",AF41=""),"Off-site reference required ▲",(IF(AND(E41="Individual trees",W41&gt;0,G41="Yes"),"Error - you cannot enhance irreplaceable individual trees ▲",(IF(AND(X41="Irreplaceable habitat - no units generated ⚠",(W41+V41)&lt;H41,OR(AB41="No",AB41="")),"Any Loss Unacceptable ⚠",(IF(X41="Irreplaceable habitat - no units generated ⚠",W41*J41*L41*O41,IF(AND(P41='G-1 All Habitats'!$X$9,AH41&gt;0,V41&lt;=0,W41&lt;=0,OR(AB41="No",AB41="")),"Any Loss Unacceptable ⚠",IF(AND(P41='G-1 All Habitats'!$X$9,AH41&gt;0,V41&lt;=0,W41&lt;=0),0,(IF(AND(P41='G-1 All Habitats'!$X$9,(W41+V41)&lt;H41,OR(AB41="No",AB41="")),"Any Loss Unacceptable ⚠",(IF(P41="","",IF(AND(P41='G-1 All Habitats'!$X$9,W41&gt;0),X41+Y41,IF(AND(P41='G-1 All Habitats'!$X$9,V41&gt;0),X41+Y41,IF(R41="","",H41*J41*L41*O41)))))))))))))))))),"Check Data ▲")</f>
        <v/>
      </c>
      <c r="U41" s="38"/>
      <c r="V41" s="52"/>
      <c r="W41" s="53"/>
      <c r="X41" s="287" t="str">
        <f t="shared" si="2"/>
        <v/>
      </c>
      <c r="Y41" s="287" t="str">
        <f t="shared" si="3"/>
        <v/>
      </c>
      <c r="Z41" s="287" t="str">
        <f t="shared" si="4"/>
        <v/>
      </c>
      <c r="AA41" s="317" t="str">
        <f>IFERROR(IF(AND(E41="Individual trees",G41="Yes",W41&gt;0),"Error - you cannot enhance an irreplaceable tree ▲",(IF(H41="","",IF(H41-V41-W41=0&lt;0,"Error in Areas ▲",IF(V41+W41&gt;H41,"Error in Areas ▲",IF(AND(P41='G-1 All Habitats'!$X$9,AB41="Yes"),"Alternative Compensation ✓",IF(AND(P41='G-1 All Habitats'!$X$3,AB41="Yes"),"Alternative Compensation ✓",IF(AND(AB41="Pending",P41='G-1 All Habitats'!$X$3),"Bespoke compensation must be agreed ▲",IF(AND(AB41="Pending",P41='G-1 All Habitats'!$X$9),"Bespoke compensation must be agreed  ▲",IF(Z41=0,0,IF(P41='G-1 All Habitats'!$X$9,"Any Loss Unacceptable ▲",T41-X41-Y41))))))))))),"Check Data ⚠")</f>
        <v/>
      </c>
      <c r="AB41" s="587"/>
      <c r="AC41" s="105"/>
      <c r="AD41" s="138"/>
      <c r="AE41" s="104"/>
      <c r="AF41" s="611"/>
      <c r="AG41" s="523" t="str">
        <f>IF(OR(P41="",AB41="Yes"),"",IF(P41='G-1 All Habitats'!$X$9,H41-V41-W41,"None"))</f>
        <v/>
      </c>
      <c r="AH41" s="523" t="str">
        <f>IF(P41="","",IF(P41='G-1 All Habitats'!$X$9,AG41*J41*L41*O41,"None"))</f>
        <v/>
      </c>
      <c r="AJ41" s="107" t="str">
        <f t="shared" si="5"/>
        <v/>
      </c>
      <c r="AK41" s="107" t="str">
        <f t="shared" si="0"/>
        <v/>
      </c>
      <c r="AL41" s="107" t="str">
        <f>IF(I41="","",IF(#REF!&gt;0,TRUE,FALSE))</f>
        <v/>
      </c>
      <c r="AM41" s="107">
        <v>31</v>
      </c>
      <c r="AN41" s="107"/>
      <c r="AO41" s="107" t="str">
        <f t="array" ref="AO41">IFERROR(INDEX($AM$11:$AM$259,MATCH(0,IF(TRUE=$AJ$11:$AJ$259,COUNTIF($AO$10:$AO40,$AM$11:$AM$259),""),0)),"")</f>
        <v/>
      </c>
      <c r="AP41" s="107" t="str">
        <f t="array" ref="AP41">IFERROR(INDEX($AM$11:$AM$259,MATCH(0,IF(TRUE=$AK$11:$AK$259,COUNTIF($AP$10:$AP40,$AM$11:$AM$259),""),0)),"")</f>
        <v/>
      </c>
      <c r="AQ41" s="107" t="str">
        <f t="array" ref="AQ41">IFERROR(INDEX($AM$11:$AM$259,MATCH(0,IF(TRUE=$AL$11:$AL$259,COUNTIF($AQ$10:$AQ40,$AM$11:$AM$259),""),0)),"")</f>
        <v/>
      </c>
      <c r="AS41" s="885" t="str">
        <f>IF(AND(OR(AB41="Yes",AB41="Pending"),P41='G-1 All Habitats'!$X$3),T41-X41-Y41,"0")</f>
        <v>0</v>
      </c>
      <c r="AT41" s="30" t="str">
        <f t="shared" si="1"/>
        <v/>
      </c>
      <c r="AU41" s="30">
        <f t="shared" si="6"/>
        <v>0</v>
      </c>
      <c r="AV41" s="230" t="str">
        <f>IFERROR(INDEX('G-1 All Habitats'!$B$3:$B$135,MATCH(F41,'G-1 All Habitats'!$A$3:$A$135,0)),"")</f>
        <v/>
      </c>
      <c r="AW41" s="30" t="str">
        <f>IF(AV41="","",VLOOKUP(AV41,'G-1 All Habitats'!$B$1:$T$135,19,FALSE))</f>
        <v/>
      </c>
      <c r="AY41" s="287" t="str">
        <f t="shared" si="7"/>
        <v/>
      </c>
    </row>
    <row r="42" spans="1:51" ht="14">
      <c r="A42" s="30" t="str">
        <f>IFERROR(INDEX('G-1 All Habitats'!$AG$3:$AG$17,MATCH(E42,'G-1 All Habitats'!$AF$3:$AF$17,0)),"")</f>
        <v/>
      </c>
      <c r="B42" s="30" t="str">
        <f>IFERROR(INDEX('G-8 Condition Look up'!$I$4:$I$135,MATCH(AV42,'G-8 Condition Look up'!$A$4:$A$135,0)),"")</f>
        <v/>
      </c>
      <c r="D42" s="97">
        <v>32</v>
      </c>
      <c r="E42" s="262"/>
      <c r="F42" s="262"/>
      <c r="G42" s="133"/>
      <c r="H42" s="51"/>
      <c r="I42" s="509" t="str">
        <f>IF(AV42="","",IF(AND(AW42="Yes",G42="No"),"Irreplaceable habitat ▲",IF(AND(AW42="No",G42="Yes"),"Cannot be Irreplaceable ▲",VLOOKUP(AV42,'G-1 All Habitats'!$B$2:$M$135,10,FALSE))))</f>
        <v/>
      </c>
      <c r="J42" s="377" t="str">
        <f>IFERROR(VLOOKUP(I42,'G-1 All Habitats'!$V$3:$W$7,2,FALSE),"")</f>
        <v/>
      </c>
      <c r="K42" s="52"/>
      <c r="L42" s="276" t="str">
        <f>IFERROR(INDEX('G-8 Condition Look up'!$A$3:$H$135,MATCH(AV42,'G-8 Condition Look up'!$A$3:$A$135,0),MATCH(K42,'G-8 Condition Look up'!$A$3:$H$3,0)),"")</f>
        <v/>
      </c>
      <c r="M42" s="52"/>
      <c r="N42" s="295" t="str">
        <f>IF(M42="","",IF(VLOOKUP(M42,'G-3 Multipliers'!$L$3:$N$6,2,FALSE)=0,"Spatial Data Missing ⚠",VLOOKUP(M42,'G-3 Multipliers'!$L$3:$N$6,2,FALSE)))</f>
        <v/>
      </c>
      <c r="O42" s="353" t="str">
        <f>IF(M42="","",IF(VLOOKUP(M42,'G-3 Multipliers'!$L$3:$N$6,3,FALSE)=0,"Spatial Data Missing ⚠",VLOOKUP(M42,'G-3 Multipliers'!$L$3:$N$6,3,FALSE)))</f>
        <v/>
      </c>
      <c r="P42" s="336" t="str">
        <f>(IF(G42="Yes","Bespoke compensation likely to be required",(IFERROR(VLOOKUP(AV42,'G-1 All Habitats'!$B$2:$M$135,12,FALSE),""))))</f>
        <v/>
      </c>
      <c r="Q42" s="511" t="str">
        <f>IFERROR(IF(P42="","",IF(AND(E42="Individual trees",W42&gt;0,G42="Yes"),"Error - you cannot enhance irreplaceable individual trees ▲",IF(P42='G-1 All Habitats'!$X$9,T42*S42,IF(AND(P42='G-1 All Habitats'!$X$9,W42&gt;0),X42+(Y42*S42),IF(AND(P42='G-1 All Habitats'!$X$9,V42&gt;0),X42+(Y42*S42),IF(AND(P42='G-1 All Habitats'!$X$9,AG42&gt;0),"Any Loss Unacceptable  ⚠",IF(AND(P42='G-1 All Habitats'!$X$9,Z42&gt;0),"Any Loss Unacceptable ⚠",H42*J42*L42*O42*S42))))))),"Check Data ⚠")</f>
        <v/>
      </c>
      <c r="R42" s="393"/>
      <c r="S42" s="510" t="str">
        <f>IF(R42="","",IF(VLOOKUP(R42,'G-3 Multipliers'!$S$3:$T$10,2,FALSE)=0,"Spatial Data Missing ⚠",VLOOKUP(R42,'G-3 Multipliers'!$S$3:$T$10,2,FALSE)))</f>
        <v/>
      </c>
      <c r="T42" s="289" t="str">
        <f>IFERROR(IF(AND(F42&lt;&gt;"",G42=""),"Confirm irreplaceable habitat status ▲",(IF(AND(R42&lt;&gt;"",AF42=""),"Off-site reference required ▲",(IF(AND(E42="Individual trees",W42&gt;0,G42="Yes"),"Error - you cannot enhance irreplaceable individual trees ▲",(IF(AND(X42="Irreplaceable habitat - no units generated ⚠",(W42+V42)&lt;H42,OR(AB42="No",AB42="")),"Any Loss Unacceptable ⚠",(IF(X42="Irreplaceable habitat - no units generated ⚠",W42*J42*L42*O42,IF(AND(P42='G-1 All Habitats'!$X$9,AH42&gt;0,V42&lt;=0,W42&lt;=0,OR(AB42="No",AB42="")),"Any Loss Unacceptable ⚠",IF(AND(P42='G-1 All Habitats'!$X$9,AH42&gt;0,V42&lt;=0,W42&lt;=0),0,(IF(AND(P42='G-1 All Habitats'!$X$9,(W42+V42)&lt;H42,OR(AB42="No",AB42="")),"Any Loss Unacceptable ⚠",(IF(P42="","",IF(AND(P42='G-1 All Habitats'!$X$9,W42&gt;0),X42+Y42,IF(AND(P42='G-1 All Habitats'!$X$9,V42&gt;0),X42+Y42,IF(R42="","",H42*J42*L42*O42)))))))))))))))))),"Check Data ▲")</f>
        <v/>
      </c>
      <c r="U42" s="38"/>
      <c r="V42" s="52"/>
      <c r="W42" s="53"/>
      <c r="X42" s="287" t="str">
        <f t="shared" si="2"/>
        <v/>
      </c>
      <c r="Y42" s="287" t="str">
        <f t="shared" si="3"/>
        <v/>
      </c>
      <c r="Z42" s="287" t="str">
        <f t="shared" si="4"/>
        <v/>
      </c>
      <c r="AA42" s="317" t="str">
        <f>IFERROR(IF(AND(E42="Individual trees",G42="Yes",W42&gt;0),"Error - you cannot enhance an irreplaceable tree ▲",(IF(H42="","",IF(H42-V42-W42=0&lt;0,"Error in Areas ▲",IF(V42+W42&gt;H42,"Error in Areas ▲",IF(AND(P42='G-1 All Habitats'!$X$9,AB42="Yes"),"Alternative Compensation ✓",IF(AND(P42='G-1 All Habitats'!$X$3,AB42="Yes"),"Alternative Compensation ✓",IF(AND(AB42="Pending",P42='G-1 All Habitats'!$X$3),"Bespoke compensation must be agreed ▲",IF(AND(AB42="Pending",P42='G-1 All Habitats'!$X$9),"Bespoke compensation must be agreed  ▲",IF(Z42=0,0,IF(P42='G-1 All Habitats'!$X$9,"Any Loss Unacceptable ▲",T42-X42-Y42))))))))))),"Check Data ⚠")</f>
        <v/>
      </c>
      <c r="AB42" s="587"/>
      <c r="AC42" s="105"/>
      <c r="AD42" s="138"/>
      <c r="AE42" s="104"/>
      <c r="AF42" s="611"/>
      <c r="AG42" s="523" t="str">
        <f>IF(OR(P42="",AB42="Yes"),"",IF(P42='G-1 All Habitats'!$X$9,H42-V42-W42,"None"))</f>
        <v/>
      </c>
      <c r="AH42" s="523" t="str">
        <f>IF(P42="","",IF(P42='G-1 All Habitats'!$X$9,AG42*J42*L42*O42,"None"))</f>
        <v/>
      </c>
      <c r="AJ42" s="107" t="str">
        <f t="shared" si="5"/>
        <v/>
      </c>
      <c r="AK42" s="107" t="str">
        <f t="shared" si="0"/>
        <v/>
      </c>
      <c r="AL42" s="107" t="str">
        <f>IF(I42="","",IF(#REF!&gt;0,TRUE,FALSE))</f>
        <v/>
      </c>
      <c r="AM42" s="107">
        <v>32</v>
      </c>
      <c r="AN42" s="107"/>
      <c r="AO42" s="107" t="str">
        <f t="array" ref="AO42">IFERROR(INDEX($AM$11:$AM$259,MATCH(0,IF(TRUE=$AJ$11:$AJ$259,COUNTIF($AO$10:$AO41,$AM$11:$AM$259),""),0)),"")</f>
        <v/>
      </c>
      <c r="AP42" s="107" t="str">
        <f t="array" ref="AP42">IFERROR(INDEX($AM$11:$AM$259,MATCH(0,IF(TRUE=$AK$11:$AK$259,COUNTIF($AP$10:$AP41,$AM$11:$AM$259),""),0)),"")</f>
        <v/>
      </c>
      <c r="AQ42" s="107" t="str">
        <f t="array" ref="AQ42">IFERROR(INDEX($AM$11:$AM$259,MATCH(0,IF(TRUE=$AL$11:$AL$259,COUNTIF($AQ$10:$AQ41,$AM$11:$AM$259),""),0)),"")</f>
        <v/>
      </c>
      <c r="AS42" s="885" t="str">
        <f>IF(AND(OR(AB42="Yes",AB42="Pending"),P42='G-1 All Habitats'!$X$3),T42-X42-Y42,"0")</f>
        <v>0</v>
      </c>
      <c r="AT42" s="30" t="str">
        <f t="shared" si="1"/>
        <v/>
      </c>
      <c r="AU42" s="30">
        <f t="shared" si="6"/>
        <v>0</v>
      </c>
      <c r="AV42" s="230" t="str">
        <f>IFERROR(INDEX('G-1 All Habitats'!$B$3:$B$135,MATCH(F42,'G-1 All Habitats'!$A$3:$A$135,0)),"")</f>
        <v/>
      </c>
      <c r="AW42" s="30" t="str">
        <f>IF(AV42="","",VLOOKUP(AV42,'G-1 All Habitats'!$B$1:$T$135,19,FALSE))</f>
        <v/>
      </c>
      <c r="AY42" s="287" t="str">
        <f t="shared" si="7"/>
        <v/>
      </c>
    </row>
    <row r="43" spans="1:51" ht="14">
      <c r="A43" s="30" t="str">
        <f>IFERROR(INDEX('G-1 All Habitats'!$AG$3:$AG$17,MATCH(E43,'G-1 All Habitats'!$AF$3:$AF$17,0)),"")</f>
        <v/>
      </c>
      <c r="B43" s="30" t="str">
        <f>IFERROR(INDEX('G-8 Condition Look up'!$I$4:$I$135,MATCH(AV43,'G-8 Condition Look up'!$A$4:$A$135,0)),"")</f>
        <v/>
      </c>
      <c r="D43" s="97">
        <v>33</v>
      </c>
      <c r="E43" s="262"/>
      <c r="F43" s="262"/>
      <c r="G43" s="133"/>
      <c r="H43" s="51"/>
      <c r="I43" s="509" t="str">
        <f>IF(AV43="","",IF(AND(AW43="Yes",G43="No"),"Irreplaceable habitat ▲",IF(AND(AW43="No",G43="Yes"),"Cannot be Irreplaceable ▲",VLOOKUP(AV43,'G-1 All Habitats'!$B$2:$M$135,10,FALSE))))</f>
        <v/>
      </c>
      <c r="J43" s="377" t="str">
        <f>IFERROR(VLOOKUP(I43,'G-1 All Habitats'!$V$3:$W$7,2,FALSE),"")</f>
        <v/>
      </c>
      <c r="K43" s="52"/>
      <c r="L43" s="276" t="str">
        <f>IFERROR(INDEX('G-8 Condition Look up'!$A$3:$H$135,MATCH(AV43,'G-8 Condition Look up'!$A$3:$A$135,0),MATCH(K43,'G-8 Condition Look up'!$A$3:$H$3,0)),"")</f>
        <v/>
      </c>
      <c r="M43" s="52"/>
      <c r="N43" s="295" t="str">
        <f>IF(M43="","",IF(VLOOKUP(M43,'G-3 Multipliers'!$L$3:$N$6,2,FALSE)=0,"Spatial Data Missing ⚠",VLOOKUP(M43,'G-3 Multipliers'!$L$3:$N$6,2,FALSE)))</f>
        <v/>
      </c>
      <c r="O43" s="353" t="str">
        <f>IF(M43="","",IF(VLOOKUP(M43,'G-3 Multipliers'!$L$3:$N$6,3,FALSE)=0,"Spatial Data Missing ⚠",VLOOKUP(M43,'G-3 Multipliers'!$L$3:$N$6,3,FALSE)))</f>
        <v/>
      </c>
      <c r="P43" s="336" t="str">
        <f>(IF(G43="Yes","Bespoke compensation likely to be required",(IFERROR(VLOOKUP(AV43,'G-1 All Habitats'!$B$2:$M$135,12,FALSE),""))))</f>
        <v/>
      </c>
      <c r="Q43" s="511" t="str">
        <f>IFERROR(IF(P43="","",IF(AND(E43="Individual trees",W43&gt;0,G43="Yes"),"Error - you cannot enhance irreplaceable individual trees ▲",IF(P43='G-1 All Habitats'!$X$9,T43*S43,IF(AND(P43='G-1 All Habitats'!$X$9,W43&gt;0),X43+(Y43*S43),IF(AND(P43='G-1 All Habitats'!$X$9,V43&gt;0),X43+(Y43*S43),IF(AND(P43='G-1 All Habitats'!$X$9,AG43&gt;0),"Any Loss Unacceptable  ⚠",IF(AND(P43='G-1 All Habitats'!$X$9,Z43&gt;0),"Any Loss Unacceptable ⚠",H43*J43*L43*O43*S43))))))),"Check Data ⚠")</f>
        <v/>
      </c>
      <c r="R43" s="393"/>
      <c r="S43" s="510" t="str">
        <f>IF(R43="","",IF(VLOOKUP(R43,'G-3 Multipliers'!$S$3:$T$10,2,FALSE)=0,"Spatial Data Missing ⚠",VLOOKUP(R43,'G-3 Multipliers'!$S$3:$T$10,2,FALSE)))</f>
        <v/>
      </c>
      <c r="T43" s="289" t="str">
        <f>IFERROR(IF(AND(F43&lt;&gt;"",G43=""),"Confirm irreplaceable habitat status ▲",(IF(AND(R43&lt;&gt;"",AF43=""),"Off-site reference required ▲",(IF(AND(E43="Individual trees",W43&gt;0,G43="Yes"),"Error - you cannot enhance irreplaceable individual trees ▲",(IF(AND(X43="Irreplaceable habitat - no units generated ⚠",(W43+V43)&lt;H43,OR(AB43="No",AB43="")),"Any Loss Unacceptable ⚠",(IF(X43="Irreplaceable habitat - no units generated ⚠",W43*J43*L43*O43,IF(AND(P43='G-1 All Habitats'!$X$9,AH43&gt;0,V43&lt;=0,W43&lt;=0,OR(AB43="No",AB43="")),"Any Loss Unacceptable ⚠",IF(AND(P43='G-1 All Habitats'!$X$9,AH43&gt;0,V43&lt;=0,W43&lt;=0),0,(IF(AND(P43='G-1 All Habitats'!$X$9,(W43+V43)&lt;H43,OR(AB43="No",AB43="")),"Any Loss Unacceptable ⚠",(IF(P43="","",IF(AND(P43='G-1 All Habitats'!$X$9,W43&gt;0),X43+Y43,IF(AND(P43='G-1 All Habitats'!$X$9,V43&gt;0),X43+Y43,IF(R43="","",H43*J43*L43*O43)))))))))))))))))),"Check Data ▲")</f>
        <v/>
      </c>
      <c r="U43" s="38"/>
      <c r="V43" s="52"/>
      <c r="W43" s="53"/>
      <c r="X43" s="287" t="str">
        <f t="shared" si="2"/>
        <v/>
      </c>
      <c r="Y43" s="287" t="str">
        <f t="shared" si="3"/>
        <v/>
      </c>
      <c r="Z43" s="287" t="str">
        <f t="shared" si="4"/>
        <v/>
      </c>
      <c r="AA43" s="317" t="str">
        <f>IFERROR(IF(AND(E43="Individual trees",G43="Yes",W43&gt;0),"Error - you cannot enhance an irreplaceable tree ▲",(IF(H43="","",IF(H43-V43-W43=0&lt;0,"Error in Areas ▲",IF(V43+W43&gt;H43,"Error in Areas ▲",IF(AND(P43='G-1 All Habitats'!$X$9,AB43="Yes"),"Alternative Compensation ✓",IF(AND(P43='G-1 All Habitats'!$X$3,AB43="Yes"),"Alternative Compensation ✓",IF(AND(AB43="Pending",P43='G-1 All Habitats'!$X$3),"Bespoke compensation must be agreed ▲",IF(AND(AB43="Pending",P43='G-1 All Habitats'!$X$9),"Bespoke compensation must be agreed  ▲",IF(Z43=0,0,IF(P43='G-1 All Habitats'!$X$9,"Any Loss Unacceptable ▲",T43-X43-Y43))))))))))),"Check Data ⚠")</f>
        <v/>
      </c>
      <c r="AB43" s="587"/>
      <c r="AC43" s="105"/>
      <c r="AD43" s="138"/>
      <c r="AE43" s="104"/>
      <c r="AF43" s="611"/>
      <c r="AG43" s="523" t="str">
        <f>IF(OR(P43="",AB43="Yes"),"",IF(P43='G-1 All Habitats'!$X$9,H43-V43-W43,"None"))</f>
        <v/>
      </c>
      <c r="AH43" s="523" t="str">
        <f>IF(P43="","",IF(P43='G-1 All Habitats'!$X$9,AG43*J43*L43*O43,"None"))</f>
        <v/>
      </c>
      <c r="AJ43" s="107" t="str">
        <f t="shared" si="5"/>
        <v/>
      </c>
      <c r="AK43" s="107" t="str">
        <f t="shared" si="8" ref="AK43:AK74">IF(H43="","",IF(W43&gt;0,TRUE,FALSE))</f>
        <v/>
      </c>
      <c r="AL43" s="107" t="str">
        <f>IF(I43="","",IF(#REF!&gt;0,TRUE,FALSE))</f>
        <v/>
      </c>
      <c r="AM43" s="107">
        <v>33</v>
      </c>
      <c r="AN43" s="107"/>
      <c r="AO43" s="107" t="str">
        <f t="array" ref="AO43">IFERROR(INDEX($AM$11:$AM$259,MATCH(0,IF(TRUE=$AJ$11:$AJ$259,COUNTIF($AO$10:$AO42,$AM$11:$AM$259),""),0)),"")</f>
        <v/>
      </c>
      <c r="AP43" s="107" t="str">
        <f t="array" ref="AP43">IFERROR(INDEX($AM$11:$AM$259,MATCH(0,IF(TRUE=$AK$11:$AK$259,COUNTIF($AP$10:$AP42,$AM$11:$AM$259),""),0)),"")</f>
        <v/>
      </c>
      <c r="AQ43" s="107" t="str">
        <f t="array" ref="AQ43">IFERROR(INDEX($AM$11:$AM$259,MATCH(0,IF(TRUE=$AL$11:$AL$259,COUNTIF($AQ$10:$AQ42,$AM$11:$AM$259),""),0)),"")</f>
        <v/>
      </c>
      <c r="AS43" s="885" t="str">
        <f>IF(AND(OR(AB43="Yes",AB43="Pending"),P43='G-1 All Habitats'!$X$3),T43-X43-Y43,"0")</f>
        <v>0</v>
      </c>
      <c r="AT43" s="30" t="str">
        <f t="shared" si="1"/>
        <v/>
      </c>
      <c r="AU43" s="30">
        <f t="shared" si="6"/>
        <v>0</v>
      </c>
      <c r="AV43" s="230" t="str">
        <f>IFERROR(INDEX('G-1 All Habitats'!$B$3:$B$135,MATCH(F43,'G-1 All Habitats'!$A$3:$A$135,0)),"")</f>
        <v/>
      </c>
      <c r="AW43" s="30" t="str">
        <f>IF(AV43="","",VLOOKUP(AV43,'G-1 All Habitats'!$B$1:$T$135,19,FALSE))</f>
        <v/>
      </c>
      <c r="AY43" s="287" t="str">
        <f t="shared" si="7"/>
        <v/>
      </c>
    </row>
    <row r="44" spans="1:51" ht="14">
      <c r="A44" s="30" t="str">
        <f>IFERROR(INDEX('G-1 All Habitats'!$AG$3:$AG$17,MATCH(E44,'G-1 All Habitats'!$AF$3:$AF$17,0)),"")</f>
        <v/>
      </c>
      <c r="B44" s="30" t="str">
        <f>IFERROR(INDEX('G-8 Condition Look up'!$I$4:$I$135,MATCH(AV44,'G-8 Condition Look up'!$A$4:$A$135,0)),"")</f>
        <v/>
      </c>
      <c r="D44" s="97">
        <v>34</v>
      </c>
      <c r="E44" s="262"/>
      <c r="F44" s="262"/>
      <c r="G44" s="133"/>
      <c r="H44" s="51"/>
      <c r="I44" s="509" t="str">
        <f>IF(AV44="","",IF(AND(AW44="Yes",G44="No"),"Irreplaceable habitat ▲",IF(AND(AW44="No",G44="Yes"),"Cannot be Irreplaceable ▲",VLOOKUP(AV44,'G-1 All Habitats'!$B$2:$M$135,10,FALSE))))</f>
        <v/>
      </c>
      <c r="J44" s="377" t="str">
        <f>IFERROR(VLOOKUP(I44,'G-1 All Habitats'!$V$3:$W$7,2,FALSE),"")</f>
        <v/>
      </c>
      <c r="K44" s="52"/>
      <c r="L44" s="276" t="str">
        <f>IFERROR(INDEX('G-8 Condition Look up'!$A$3:$H$135,MATCH(AV44,'G-8 Condition Look up'!$A$3:$A$135,0),MATCH(K44,'G-8 Condition Look up'!$A$3:$H$3,0)),"")</f>
        <v/>
      </c>
      <c r="M44" s="52"/>
      <c r="N44" s="295" t="str">
        <f>IF(M44="","",IF(VLOOKUP(M44,'G-3 Multipliers'!$L$3:$N$6,2,FALSE)=0,"Spatial Data Missing ⚠",VLOOKUP(M44,'G-3 Multipliers'!$L$3:$N$6,2,FALSE)))</f>
        <v/>
      </c>
      <c r="O44" s="353" t="str">
        <f>IF(M44="","",IF(VLOOKUP(M44,'G-3 Multipliers'!$L$3:$N$6,3,FALSE)=0,"Spatial Data Missing ⚠",VLOOKUP(M44,'G-3 Multipliers'!$L$3:$N$6,3,FALSE)))</f>
        <v/>
      </c>
      <c r="P44" s="336" t="str">
        <f>(IF(G44="Yes","Bespoke compensation likely to be required",(IFERROR(VLOOKUP(AV44,'G-1 All Habitats'!$B$2:$M$135,12,FALSE),""))))</f>
        <v/>
      </c>
      <c r="Q44" s="511" t="str">
        <f>IFERROR(IF(P44="","",IF(AND(E44="Individual trees",W44&gt;0,G44="Yes"),"Error - you cannot enhance irreplaceable individual trees ▲",IF(P44='G-1 All Habitats'!$X$9,T44*S44,IF(AND(P44='G-1 All Habitats'!$X$9,W44&gt;0),X44+(Y44*S44),IF(AND(P44='G-1 All Habitats'!$X$9,V44&gt;0),X44+(Y44*S44),IF(AND(P44='G-1 All Habitats'!$X$9,AG44&gt;0),"Any Loss Unacceptable  ⚠",IF(AND(P44='G-1 All Habitats'!$X$9,Z44&gt;0),"Any Loss Unacceptable ⚠",H44*J44*L44*O44*S44))))))),"Check Data ⚠")</f>
        <v/>
      </c>
      <c r="R44" s="393"/>
      <c r="S44" s="510" t="str">
        <f>IF(R44="","",IF(VLOOKUP(R44,'G-3 Multipliers'!$S$3:$T$10,2,FALSE)=0,"Spatial Data Missing ⚠",VLOOKUP(R44,'G-3 Multipliers'!$S$3:$T$10,2,FALSE)))</f>
        <v/>
      </c>
      <c r="T44" s="289" t="str">
        <f>IFERROR(IF(AND(F44&lt;&gt;"",G44=""),"Confirm irreplaceable habitat status ▲",(IF(AND(R44&lt;&gt;"",AF44=""),"Off-site reference required ▲",(IF(AND(E44="Individual trees",W44&gt;0,G44="Yes"),"Error - you cannot enhance irreplaceable individual trees ▲",(IF(AND(X44="Irreplaceable habitat - no units generated ⚠",(W44+V44)&lt;H44,OR(AB44="No",AB44="")),"Any Loss Unacceptable ⚠",(IF(X44="Irreplaceable habitat - no units generated ⚠",W44*J44*L44*O44,IF(AND(P44='G-1 All Habitats'!$X$9,AH44&gt;0,V44&lt;=0,W44&lt;=0,OR(AB44="No",AB44="")),"Any Loss Unacceptable ⚠",IF(AND(P44='G-1 All Habitats'!$X$9,AH44&gt;0,V44&lt;=0,W44&lt;=0),0,(IF(AND(P44='G-1 All Habitats'!$X$9,(W44+V44)&lt;H44,OR(AB44="No",AB44="")),"Any Loss Unacceptable ⚠",(IF(P44="","",IF(AND(P44='G-1 All Habitats'!$X$9,W44&gt;0),X44+Y44,IF(AND(P44='G-1 All Habitats'!$X$9,V44&gt;0),X44+Y44,IF(R44="","",H44*J44*L44*O44)))))))))))))))))),"Check Data ▲")</f>
        <v/>
      </c>
      <c r="U44" s="38"/>
      <c r="V44" s="52"/>
      <c r="W44" s="53"/>
      <c r="X44" s="287" t="str">
        <f t="shared" si="2"/>
        <v/>
      </c>
      <c r="Y44" s="287" t="str">
        <f t="shared" si="3"/>
        <v/>
      </c>
      <c r="Z44" s="287" t="str">
        <f t="shared" si="4"/>
        <v/>
      </c>
      <c r="AA44" s="317" t="str">
        <f>IFERROR(IF(AND(E44="Individual trees",G44="Yes",W44&gt;0),"Error - you cannot enhance an irreplaceable tree ▲",(IF(H44="","",IF(H44-V44-W44=0&lt;0,"Error in Areas ▲",IF(V44+W44&gt;H44,"Error in Areas ▲",IF(AND(P44='G-1 All Habitats'!$X$9,AB44="Yes"),"Alternative Compensation ✓",IF(AND(P44='G-1 All Habitats'!$X$3,AB44="Yes"),"Alternative Compensation ✓",IF(AND(AB44="Pending",P44='G-1 All Habitats'!$X$3),"Bespoke compensation must be agreed ▲",IF(AND(AB44="Pending",P44='G-1 All Habitats'!$X$9),"Bespoke compensation must be agreed  ▲",IF(Z44=0,0,IF(P44='G-1 All Habitats'!$X$9,"Any Loss Unacceptable ▲",T44-X44-Y44))))))))))),"Check Data ⚠")</f>
        <v/>
      </c>
      <c r="AB44" s="587"/>
      <c r="AC44" s="105"/>
      <c r="AD44" s="138"/>
      <c r="AE44" s="104"/>
      <c r="AF44" s="611"/>
      <c r="AG44" s="523" t="str">
        <f>IF(OR(P44="",AB44="Yes"),"",IF(P44='G-1 All Habitats'!$X$9,H44-V44-W44,"None"))</f>
        <v/>
      </c>
      <c r="AH44" s="523" t="str">
        <f>IF(P44="","",IF(P44='G-1 All Habitats'!$X$9,AG44*J44*L44*O44,"None"))</f>
        <v/>
      </c>
      <c r="AJ44" s="107" t="str">
        <f t="shared" si="5"/>
        <v/>
      </c>
      <c r="AK44" s="107" t="str">
        <f t="shared" si="8"/>
        <v/>
      </c>
      <c r="AL44" s="107" t="str">
        <f>IF(I44="","",IF(#REF!&gt;0,TRUE,FALSE))</f>
        <v/>
      </c>
      <c r="AM44" s="107">
        <v>34</v>
      </c>
      <c r="AN44" s="107"/>
      <c r="AO44" s="107" t="str">
        <f t="array" ref="AO44">IFERROR(INDEX($AM$11:$AM$259,MATCH(0,IF(TRUE=$AJ$11:$AJ$259,COUNTIF($AO$10:$AO43,$AM$11:$AM$259),""),0)),"")</f>
        <v/>
      </c>
      <c r="AP44" s="107" t="str">
        <f t="array" ref="AP44">IFERROR(INDEX($AM$11:$AM$259,MATCH(0,IF(TRUE=$AK$11:$AK$259,COUNTIF($AP$10:$AP43,$AM$11:$AM$259),""),0)),"")</f>
        <v/>
      </c>
      <c r="AQ44" s="107" t="str">
        <f t="array" ref="AQ44">IFERROR(INDEX($AM$11:$AM$259,MATCH(0,IF(TRUE=$AL$11:$AL$259,COUNTIF($AQ$10:$AQ43,$AM$11:$AM$259),""),0)),"")</f>
        <v/>
      </c>
      <c r="AS44" s="885" t="str">
        <f>IF(AND(OR(AB44="Yes",AB44="Pending"),P44='G-1 All Habitats'!$X$3),T44-X44-Y44,"0")</f>
        <v>0</v>
      </c>
      <c r="AT44" s="30" t="str">
        <f t="shared" si="1"/>
        <v/>
      </c>
      <c r="AU44" s="30">
        <f t="shared" si="6"/>
        <v>0</v>
      </c>
      <c r="AV44" s="230" t="str">
        <f>IFERROR(INDEX('G-1 All Habitats'!$B$3:$B$135,MATCH(F44,'G-1 All Habitats'!$A$3:$A$135,0)),"")</f>
        <v/>
      </c>
      <c r="AW44" s="30" t="str">
        <f>IF(AV44="","",VLOOKUP(AV44,'G-1 All Habitats'!$B$1:$T$135,19,FALSE))</f>
        <v/>
      </c>
      <c r="AY44" s="287" t="str">
        <f t="shared" si="7"/>
        <v/>
      </c>
    </row>
    <row r="45" spans="1:51" ht="14">
      <c r="A45" s="30" t="str">
        <f>IFERROR(INDEX('G-1 All Habitats'!$AG$3:$AG$17,MATCH(E45,'G-1 All Habitats'!$AF$3:$AF$17,0)),"")</f>
        <v/>
      </c>
      <c r="B45" s="30" t="str">
        <f>IFERROR(INDEX('G-8 Condition Look up'!$I$4:$I$135,MATCH(AV45,'G-8 Condition Look up'!$A$4:$A$135,0)),"")</f>
        <v/>
      </c>
      <c r="D45" s="97">
        <v>35</v>
      </c>
      <c r="E45" s="262"/>
      <c r="F45" s="262"/>
      <c r="G45" s="133"/>
      <c r="H45" s="51"/>
      <c r="I45" s="509" t="str">
        <f>IF(AV45="","",IF(AND(AW45="Yes",G45="No"),"Irreplaceable habitat ▲",IF(AND(AW45="No",G45="Yes"),"Cannot be Irreplaceable ▲",VLOOKUP(AV45,'G-1 All Habitats'!$B$2:$M$135,10,FALSE))))</f>
        <v/>
      </c>
      <c r="J45" s="377" t="str">
        <f>IFERROR(VLOOKUP(I45,'G-1 All Habitats'!$V$3:$W$7,2,FALSE),"")</f>
        <v/>
      </c>
      <c r="K45" s="52"/>
      <c r="L45" s="276" t="str">
        <f>IFERROR(INDEX('G-8 Condition Look up'!$A$3:$H$135,MATCH(AV45,'G-8 Condition Look up'!$A$3:$A$135,0),MATCH(K45,'G-8 Condition Look up'!$A$3:$H$3,0)),"")</f>
        <v/>
      </c>
      <c r="M45" s="52"/>
      <c r="N45" s="295" t="str">
        <f>IF(M45="","",IF(VLOOKUP(M45,'G-3 Multipliers'!$L$3:$N$6,2,FALSE)=0,"Spatial Data Missing ⚠",VLOOKUP(M45,'G-3 Multipliers'!$L$3:$N$6,2,FALSE)))</f>
        <v/>
      </c>
      <c r="O45" s="353" t="str">
        <f>IF(M45="","",IF(VLOOKUP(M45,'G-3 Multipliers'!$L$3:$N$6,3,FALSE)=0,"Spatial Data Missing ⚠",VLOOKUP(M45,'G-3 Multipliers'!$L$3:$N$6,3,FALSE)))</f>
        <v/>
      </c>
      <c r="P45" s="336" t="str">
        <f>(IF(G45="Yes","Bespoke compensation likely to be required",(IFERROR(VLOOKUP(AV45,'G-1 All Habitats'!$B$2:$M$135,12,FALSE),""))))</f>
        <v/>
      </c>
      <c r="Q45" s="511" t="str">
        <f>IFERROR(IF(P45="","",IF(AND(E45="Individual trees",W45&gt;0,G45="Yes"),"Error - you cannot enhance irreplaceable individual trees ▲",IF(P45='G-1 All Habitats'!$X$9,T45*S45,IF(AND(P45='G-1 All Habitats'!$X$9,W45&gt;0),X45+(Y45*S45),IF(AND(P45='G-1 All Habitats'!$X$9,V45&gt;0),X45+(Y45*S45),IF(AND(P45='G-1 All Habitats'!$X$9,AG45&gt;0),"Any Loss Unacceptable  ⚠",IF(AND(P45='G-1 All Habitats'!$X$9,Z45&gt;0),"Any Loss Unacceptable ⚠",H45*J45*L45*O45*S45))))))),"Check Data ⚠")</f>
        <v/>
      </c>
      <c r="R45" s="393"/>
      <c r="S45" s="510" t="str">
        <f>IF(R45="","",IF(VLOOKUP(R45,'G-3 Multipliers'!$S$3:$T$10,2,FALSE)=0,"Spatial Data Missing ⚠",VLOOKUP(R45,'G-3 Multipliers'!$S$3:$T$10,2,FALSE)))</f>
        <v/>
      </c>
      <c r="T45" s="289" t="str">
        <f>IFERROR(IF(AND(F45&lt;&gt;"",G45=""),"Confirm irreplaceable habitat status ▲",(IF(AND(R45&lt;&gt;"",AF45=""),"Off-site reference required ▲",(IF(AND(E45="Individual trees",W45&gt;0,G45="Yes"),"Error - you cannot enhance irreplaceable individual trees ▲",(IF(AND(X45="Irreplaceable habitat - no units generated ⚠",(W45+V45)&lt;H45,OR(AB45="No",AB45="")),"Any Loss Unacceptable ⚠",(IF(X45="Irreplaceable habitat - no units generated ⚠",W45*J45*L45*O45,IF(AND(P45='G-1 All Habitats'!$X$9,AH45&gt;0,V45&lt;=0,W45&lt;=0,OR(AB45="No",AB45="")),"Any Loss Unacceptable ⚠",IF(AND(P45='G-1 All Habitats'!$X$9,AH45&gt;0,V45&lt;=0,W45&lt;=0),0,(IF(AND(P45='G-1 All Habitats'!$X$9,(W45+V45)&lt;H45,OR(AB45="No",AB45="")),"Any Loss Unacceptable ⚠",(IF(P45="","",IF(AND(P45='G-1 All Habitats'!$X$9,W45&gt;0),X45+Y45,IF(AND(P45='G-1 All Habitats'!$X$9,V45&gt;0),X45+Y45,IF(R45="","",H45*J45*L45*O45)))))))))))))))))),"Check Data ▲")</f>
        <v/>
      </c>
      <c r="U45" s="38"/>
      <c r="V45" s="52"/>
      <c r="W45" s="53"/>
      <c r="X45" s="287" t="str">
        <f t="shared" si="2"/>
        <v/>
      </c>
      <c r="Y45" s="287" t="str">
        <f t="shared" si="3"/>
        <v/>
      </c>
      <c r="Z45" s="287" t="str">
        <f t="shared" si="4"/>
        <v/>
      </c>
      <c r="AA45" s="317" t="str">
        <f>IFERROR(IF(AND(E45="Individual trees",G45="Yes",W45&gt;0),"Error - you cannot enhance an irreplaceable tree ▲",(IF(H45="","",IF(H45-V45-W45=0&lt;0,"Error in Areas ▲",IF(V45+W45&gt;H45,"Error in Areas ▲",IF(AND(P45='G-1 All Habitats'!$X$9,AB45="Yes"),"Alternative Compensation ✓",IF(AND(P45='G-1 All Habitats'!$X$3,AB45="Yes"),"Alternative Compensation ✓",IF(AND(AB45="Pending",P45='G-1 All Habitats'!$X$3),"Bespoke compensation must be agreed ▲",IF(AND(AB45="Pending",P45='G-1 All Habitats'!$X$9),"Bespoke compensation must be agreed  ▲",IF(Z45=0,0,IF(P45='G-1 All Habitats'!$X$9,"Any Loss Unacceptable ▲",T45-X45-Y45))))))))))),"Check Data ⚠")</f>
        <v/>
      </c>
      <c r="AB45" s="587"/>
      <c r="AC45" s="105"/>
      <c r="AD45" s="138"/>
      <c r="AE45" s="104"/>
      <c r="AF45" s="611"/>
      <c r="AG45" s="523" t="str">
        <f>IF(OR(P45="",AB45="Yes"),"",IF(P45='G-1 All Habitats'!$X$9,H45-V45-W45,"None"))</f>
        <v/>
      </c>
      <c r="AH45" s="523" t="str">
        <f>IF(P45="","",IF(P45='G-1 All Habitats'!$X$9,AG45*J45*L45*O45,"None"))</f>
        <v/>
      </c>
      <c r="AJ45" s="107" t="str">
        <f t="shared" si="5"/>
        <v/>
      </c>
      <c r="AK45" s="107" t="str">
        <f t="shared" si="8"/>
        <v/>
      </c>
      <c r="AL45" s="107" t="str">
        <f>IF(I45="","",IF(#REF!&gt;0,TRUE,FALSE))</f>
        <v/>
      </c>
      <c r="AM45" s="107">
        <v>35</v>
      </c>
      <c r="AN45" s="107"/>
      <c r="AO45" s="107" t="str">
        <f t="array" ref="AO45">IFERROR(INDEX($AM$11:$AM$259,MATCH(0,IF(TRUE=$AJ$11:$AJ$259,COUNTIF($AO$10:$AO44,$AM$11:$AM$259),""),0)),"")</f>
        <v/>
      </c>
      <c r="AP45" s="107" t="str">
        <f t="array" ref="AP45">IFERROR(INDEX($AM$11:$AM$259,MATCH(0,IF(TRUE=$AK$11:$AK$259,COUNTIF($AP$10:$AP44,$AM$11:$AM$259),""),0)),"")</f>
        <v/>
      </c>
      <c r="AQ45" s="107" t="str">
        <f t="array" ref="AQ45">IFERROR(INDEX($AM$11:$AM$259,MATCH(0,IF(TRUE=$AL$11:$AL$259,COUNTIF($AQ$10:$AQ44,$AM$11:$AM$259),""),0)),"")</f>
        <v/>
      </c>
      <c r="AS45" s="885" t="str">
        <f>IF(AND(OR(AB45="Yes",AB45="Pending"),P45='G-1 All Habitats'!$X$3),T45-X45-Y45,"0")</f>
        <v>0</v>
      </c>
      <c r="AT45" s="30" t="str">
        <f t="shared" si="1"/>
        <v/>
      </c>
      <c r="AU45" s="30">
        <f t="shared" si="6"/>
        <v>0</v>
      </c>
      <c r="AV45" s="230" t="str">
        <f>IFERROR(INDEX('G-1 All Habitats'!$B$3:$B$135,MATCH(F45,'G-1 All Habitats'!$A$3:$A$135,0)),"")</f>
        <v/>
      </c>
      <c r="AW45" s="30" t="str">
        <f>IF(AV45="","",VLOOKUP(AV45,'G-1 All Habitats'!$B$1:$T$135,19,FALSE))</f>
        <v/>
      </c>
      <c r="AY45" s="287" t="str">
        <f t="shared" si="7"/>
        <v/>
      </c>
    </row>
    <row r="46" spans="1:51" ht="14">
      <c r="A46" s="30" t="str">
        <f>IFERROR(INDEX('G-1 All Habitats'!$AG$3:$AG$17,MATCH(E46,'G-1 All Habitats'!$AF$3:$AF$17,0)),"")</f>
        <v/>
      </c>
      <c r="B46" s="30" t="str">
        <f>IFERROR(INDEX('G-8 Condition Look up'!$I$4:$I$135,MATCH(AV46,'G-8 Condition Look up'!$A$4:$A$135,0)),"")</f>
        <v/>
      </c>
      <c r="D46" s="97">
        <v>36</v>
      </c>
      <c r="E46" s="262"/>
      <c r="F46" s="262"/>
      <c r="G46" s="133"/>
      <c r="H46" s="51"/>
      <c r="I46" s="509" t="str">
        <f>IF(AV46="","",IF(AND(AW46="Yes",G46="No"),"Irreplaceable habitat ▲",IF(AND(AW46="No",G46="Yes"),"Cannot be Irreplaceable ▲",VLOOKUP(AV46,'G-1 All Habitats'!$B$2:$M$135,10,FALSE))))</f>
        <v/>
      </c>
      <c r="J46" s="377" t="str">
        <f>IFERROR(VLOOKUP(I46,'G-1 All Habitats'!$V$3:$W$7,2,FALSE),"")</f>
        <v/>
      </c>
      <c r="K46" s="52"/>
      <c r="L46" s="276" t="str">
        <f>IFERROR(INDEX('G-8 Condition Look up'!$A$3:$H$135,MATCH(AV46,'G-8 Condition Look up'!$A$3:$A$135,0),MATCH(K46,'G-8 Condition Look up'!$A$3:$H$3,0)),"")</f>
        <v/>
      </c>
      <c r="M46" s="52"/>
      <c r="N46" s="295" t="str">
        <f>IF(M46="","",IF(VLOOKUP(M46,'G-3 Multipliers'!$L$3:$N$6,2,FALSE)=0,"Spatial Data Missing ⚠",VLOOKUP(M46,'G-3 Multipliers'!$L$3:$N$6,2,FALSE)))</f>
        <v/>
      </c>
      <c r="O46" s="353" t="str">
        <f>IF(M46="","",IF(VLOOKUP(M46,'G-3 Multipliers'!$L$3:$N$6,3,FALSE)=0,"Spatial Data Missing ⚠",VLOOKUP(M46,'G-3 Multipliers'!$L$3:$N$6,3,FALSE)))</f>
        <v/>
      </c>
      <c r="P46" s="336" t="str">
        <f>(IF(G46="Yes","Bespoke compensation likely to be required",(IFERROR(VLOOKUP(AV46,'G-1 All Habitats'!$B$2:$M$135,12,FALSE),""))))</f>
        <v/>
      </c>
      <c r="Q46" s="511" t="str">
        <f>IFERROR(IF(P46="","",IF(AND(E46="Individual trees",W46&gt;0,G46="Yes"),"Error - you cannot enhance irreplaceable individual trees ▲",IF(P46='G-1 All Habitats'!$X$9,T46*S46,IF(AND(P46='G-1 All Habitats'!$X$9,W46&gt;0),X46+(Y46*S46),IF(AND(P46='G-1 All Habitats'!$X$9,V46&gt;0),X46+(Y46*S46),IF(AND(P46='G-1 All Habitats'!$X$9,AG46&gt;0),"Any Loss Unacceptable  ⚠",IF(AND(P46='G-1 All Habitats'!$X$9,Z46&gt;0),"Any Loss Unacceptable ⚠",H46*J46*L46*O46*S46))))))),"Check Data ⚠")</f>
        <v/>
      </c>
      <c r="R46" s="393"/>
      <c r="S46" s="510" t="str">
        <f>IF(R46="","",IF(VLOOKUP(R46,'G-3 Multipliers'!$S$3:$T$10,2,FALSE)=0,"Spatial Data Missing ⚠",VLOOKUP(R46,'G-3 Multipliers'!$S$3:$T$10,2,FALSE)))</f>
        <v/>
      </c>
      <c r="T46" s="289" t="str">
        <f>IFERROR(IF(AND(F46&lt;&gt;"",G46=""),"Confirm irreplaceable habitat status ▲",(IF(AND(R46&lt;&gt;"",AF46=""),"Off-site reference required ▲",(IF(AND(E46="Individual trees",W46&gt;0,G46="Yes"),"Error - you cannot enhance irreplaceable individual trees ▲",(IF(AND(X46="Irreplaceable habitat - no units generated ⚠",(W46+V46)&lt;H46,OR(AB46="No",AB46="")),"Any Loss Unacceptable ⚠",(IF(X46="Irreplaceable habitat - no units generated ⚠",W46*J46*L46*O46,IF(AND(P46='G-1 All Habitats'!$X$9,AH46&gt;0,V46&lt;=0,W46&lt;=0,OR(AB46="No",AB46="")),"Any Loss Unacceptable ⚠",IF(AND(P46='G-1 All Habitats'!$X$9,AH46&gt;0,V46&lt;=0,W46&lt;=0),0,(IF(AND(P46='G-1 All Habitats'!$X$9,(W46+V46)&lt;H46,OR(AB46="No",AB46="")),"Any Loss Unacceptable ⚠",(IF(P46="","",IF(AND(P46='G-1 All Habitats'!$X$9,W46&gt;0),X46+Y46,IF(AND(P46='G-1 All Habitats'!$X$9,V46&gt;0),X46+Y46,IF(R46="","",H46*J46*L46*O46)))))))))))))))))),"Check Data ▲")</f>
        <v/>
      </c>
      <c r="U46" s="38"/>
      <c r="V46" s="52"/>
      <c r="W46" s="53"/>
      <c r="X46" s="287" t="str">
        <f t="shared" si="2"/>
        <v/>
      </c>
      <c r="Y46" s="287" t="str">
        <f t="shared" si="3"/>
        <v/>
      </c>
      <c r="Z46" s="287" t="str">
        <f t="shared" si="4"/>
        <v/>
      </c>
      <c r="AA46" s="317" t="str">
        <f>IFERROR(IF(AND(E46="Individual trees",G46="Yes",W46&gt;0),"Error - you cannot enhance an irreplaceable tree ▲",(IF(H46="","",IF(H46-V46-W46=0&lt;0,"Error in Areas ▲",IF(V46+W46&gt;H46,"Error in Areas ▲",IF(AND(P46='G-1 All Habitats'!$X$9,AB46="Yes"),"Alternative Compensation ✓",IF(AND(P46='G-1 All Habitats'!$X$3,AB46="Yes"),"Alternative Compensation ✓",IF(AND(AB46="Pending",P46='G-1 All Habitats'!$X$3),"Bespoke compensation must be agreed ▲",IF(AND(AB46="Pending",P46='G-1 All Habitats'!$X$9),"Bespoke compensation must be agreed  ▲",IF(Z46=0,0,IF(P46='G-1 All Habitats'!$X$9,"Any Loss Unacceptable ▲",T46-X46-Y46))))))))))),"Check Data ⚠")</f>
        <v/>
      </c>
      <c r="AB46" s="587"/>
      <c r="AC46" s="105"/>
      <c r="AD46" s="138"/>
      <c r="AE46" s="104"/>
      <c r="AF46" s="611"/>
      <c r="AG46" s="523" t="str">
        <f>IF(OR(P46="",AB46="Yes"),"",IF(P46='G-1 All Habitats'!$X$9,H46-V46-W46,"None"))</f>
        <v/>
      </c>
      <c r="AH46" s="523" t="str">
        <f>IF(P46="","",IF(P46='G-1 All Habitats'!$X$9,AG46*J46*L46*O46,"None"))</f>
        <v/>
      </c>
      <c r="AJ46" s="107" t="str">
        <f t="shared" si="5"/>
        <v/>
      </c>
      <c r="AK46" s="107" t="str">
        <f t="shared" si="8"/>
        <v/>
      </c>
      <c r="AL46" s="107" t="str">
        <f>IF(I46="","",IF(#REF!&gt;0,TRUE,FALSE))</f>
        <v/>
      </c>
      <c r="AM46" s="107">
        <v>36</v>
      </c>
      <c r="AN46" s="107"/>
      <c r="AO46" s="107" t="str">
        <f t="array" ref="AO46">IFERROR(INDEX($AM$11:$AM$259,MATCH(0,IF(TRUE=$AJ$11:$AJ$259,COUNTIF($AO$10:$AO45,$AM$11:$AM$259),""),0)),"")</f>
        <v/>
      </c>
      <c r="AP46" s="107" t="str">
        <f t="array" ref="AP46">IFERROR(INDEX($AM$11:$AM$259,MATCH(0,IF(TRUE=$AK$11:$AK$259,COUNTIF($AP$10:$AP45,$AM$11:$AM$259),""),0)),"")</f>
        <v/>
      </c>
      <c r="AQ46" s="107" t="str">
        <f t="array" ref="AQ46">IFERROR(INDEX($AM$11:$AM$259,MATCH(0,IF(TRUE=$AL$11:$AL$259,COUNTIF($AQ$10:$AQ45,$AM$11:$AM$259),""),0)),"")</f>
        <v/>
      </c>
      <c r="AS46" s="885" t="str">
        <f>IF(AND(OR(AB46="Yes",AB46="Pending"),P46='G-1 All Habitats'!$X$3),T46-X46-Y46,"0")</f>
        <v>0</v>
      </c>
      <c r="AT46" s="30" t="str">
        <f t="shared" si="1"/>
        <v/>
      </c>
      <c r="AU46" s="30">
        <f t="shared" si="6"/>
        <v>0</v>
      </c>
      <c r="AV46" s="230" t="str">
        <f>IFERROR(INDEX('G-1 All Habitats'!$B$3:$B$135,MATCH(F46,'G-1 All Habitats'!$A$3:$A$135,0)),"")</f>
        <v/>
      </c>
      <c r="AW46" s="30" t="str">
        <f>IF(AV46="","",VLOOKUP(AV46,'G-1 All Habitats'!$B$1:$T$135,19,FALSE))</f>
        <v/>
      </c>
      <c r="AY46" s="287" t="str">
        <f t="shared" si="7"/>
        <v/>
      </c>
    </row>
    <row r="47" spans="1:51" ht="14">
      <c r="A47" s="30" t="str">
        <f>IFERROR(INDEX('G-1 All Habitats'!$AG$3:$AG$17,MATCH(E47,'G-1 All Habitats'!$AF$3:$AF$17,0)),"")</f>
        <v/>
      </c>
      <c r="B47" s="30" t="str">
        <f>IFERROR(INDEX('G-8 Condition Look up'!$I$4:$I$135,MATCH(AV47,'G-8 Condition Look up'!$A$4:$A$135,0)),"")</f>
        <v/>
      </c>
      <c r="D47" s="97">
        <v>37</v>
      </c>
      <c r="E47" s="262"/>
      <c r="F47" s="262"/>
      <c r="G47" s="133"/>
      <c r="H47" s="51"/>
      <c r="I47" s="509" t="str">
        <f>IF(AV47="","",IF(AND(AW47="Yes",G47="No"),"Irreplaceable habitat ▲",IF(AND(AW47="No",G47="Yes"),"Cannot be Irreplaceable ▲",VLOOKUP(AV47,'G-1 All Habitats'!$B$2:$M$135,10,FALSE))))</f>
        <v/>
      </c>
      <c r="J47" s="377" t="str">
        <f>IFERROR(VLOOKUP(I47,'G-1 All Habitats'!$V$3:$W$7,2,FALSE),"")</f>
        <v/>
      </c>
      <c r="K47" s="52"/>
      <c r="L47" s="276" t="str">
        <f>IFERROR(INDEX('G-8 Condition Look up'!$A$3:$H$135,MATCH(AV47,'G-8 Condition Look up'!$A$3:$A$135,0),MATCH(K47,'G-8 Condition Look up'!$A$3:$H$3,0)),"")</f>
        <v/>
      </c>
      <c r="M47" s="52"/>
      <c r="N47" s="295" t="str">
        <f>IF(M47="","",IF(VLOOKUP(M47,'G-3 Multipliers'!$L$3:$N$6,2,FALSE)=0,"Spatial Data Missing ⚠",VLOOKUP(M47,'G-3 Multipliers'!$L$3:$N$6,2,FALSE)))</f>
        <v/>
      </c>
      <c r="O47" s="353" t="str">
        <f>IF(M47="","",IF(VLOOKUP(M47,'G-3 Multipliers'!$L$3:$N$6,3,FALSE)=0,"Spatial Data Missing ⚠",VLOOKUP(M47,'G-3 Multipliers'!$L$3:$N$6,3,FALSE)))</f>
        <v/>
      </c>
      <c r="P47" s="336" t="str">
        <f>(IF(G47="Yes","Bespoke compensation likely to be required",(IFERROR(VLOOKUP(AV47,'G-1 All Habitats'!$B$2:$M$135,12,FALSE),""))))</f>
        <v/>
      </c>
      <c r="Q47" s="511" t="str">
        <f>IFERROR(IF(P47="","",IF(AND(E47="Individual trees",W47&gt;0,G47="Yes"),"Error - you cannot enhance irreplaceable individual trees ▲",IF(P47='G-1 All Habitats'!$X$9,T47*S47,IF(AND(P47='G-1 All Habitats'!$X$9,W47&gt;0),X47+(Y47*S47),IF(AND(P47='G-1 All Habitats'!$X$9,V47&gt;0),X47+(Y47*S47),IF(AND(P47='G-1 All Habitats'!$X$9,AG47&gt;0),"Any Loss Unacceptable  ⚠",IF(AND(P47='G-1 All Habitats'!$X$9,Z47&gt;0),"Any Loss Unacceptable ⚠",H47*J47*L47*O47*S47))))))),"Check Data ⚠")</f>
        <v/>
      </c>
      <c r="R47" s="393"/>
      <c r="S47" s="510" t="str">
        <f>IF(R47="","",IF(VLOOKUP(R47,'G-3 Multipliers'!$S$3:$T$10,2,FALSE)=0,"Spatial Data Missing ⚠",VLOOKUP(R47,'G-3 Multipliers'!$S$3:$T$10,2,FALSE)))</f>
        <v/>
      </c>
      <c r="T47" s="289" t="str">
        <f>IFERROR(IF(AND(F47&lt;&gt;"",G47=""),"Confirm irreplaceable habitat status ▲",(IF(AND(R47&lt;&gt;"",AF47=""),"Off-site reference required ▲",(IF(AND(E47="Individual trees",W47&gt;0,G47="Yes"),"Error - you cannot enhance irreplaceable individual trees ▲",(IF(AND(X47="Irreplaceable habitat - no units generated ⚠",(W47+V47)&lt;H47,OR(AB47="No",AB47="")),"Any Loss Unacceptable ⚠",(IF(X47="Irreplaceable habitat - no units generated ⚠",W47*J47*L47*O47,IF(AND(P47='G-1 All Habitats'!$X$9,AH47&gt;0,V47&lt;=0,W47&lt;=0,OR(AB47="No",AB47="")),"Any Loss Unacceptable ⚠",IF(AND(P47='G-1 All Habitats'!$X$9,AH47&gt;0,V47&lt;=0,W47&lt;=0),0,(IF(AND(P47='G-1 All Habitats'!$X$9,(W47+V47)&lt;H47,OR(AB47="No",AB47="")),"Any Loss Unacceptable ⚠",(IF(P47="","",IF(AND(P47='G-1 All Habitats'!$X$9,W47&gt;0),X47+Y47,IF(AND(P47='G-1 All Habitats'!$X$9,V47&gt;0),X47+Y47,IF(R47="","",H47*J47*L47*O47)))))))))))))))))),"Check Data ▲")</f>
        <v/>
      </c>
      <c r="U47" s="38"/>
      <c r="V47" s="52"/>
      <c r="W47" s="53"/>
      <c r="X47" s="287" t="str">
        <f t="shared" si="2"/>
        <v/>
      </c>
      <c r="Y47" s="287" t="str">
        <f t="shared" si="3"/>
        <v/>
      </c>
      <c r="Z47" s="287" t="str">
        <f t="shared" si="4"/>
        <v/>
      </c>
      <c r="AA47" s="317" t="str">
        <f>IFERROR(IF(AND(E47="Individual trees",G47="Yes",W47&gt;0),"Error - you cannot enhance an irreplaceable tree ▲",(IF(H47="","",IF(H47-V47-W47=0&lt;0,"Error in Areas ▲",IF(V47+W47&gt;H47,"Error in Areas ▲",IF(AND(P47='G-1 All Habitats'!$X$9,AB47="Yes"),"Alternative Compensation ✓",IF(AND(P47='G-1 All Habitats'!$X$3,AB47="Yes"),"Alternative Compensation ✓",IF(AND(AB47="Pending",P47='G-1 All Habitats'!$X$3),"Bespoke compensation must be agreed ▲",IF(AND(AB47="Pending",P47='G-1 All Habitats'!$X$9),"Bespoke compensation must be agreed  ▲",IF(Z47=0,0,IF(P47='G-1 All Habitats'!$X$9,"Any Loss Unacceptable ▲",T47-X47-Y47))))))))))),"Check Data ⚠")</f>
        <v/>
      </c>
      <c r="AB47" s="587"/>
      <c r="AC47" s="105"/>
      <c r="AD47" s="138"/>
      <c r="AE47" s="104"/>
      <c r="AF47" s="611"/>
      <c r="AG47" s="523" t="str">
        <f>IF(OR(P47="",AB47="Yes"),"",IF(P47='G-1 All Habitats'!$X$9,H47-V47-W47,"None"))</f>
        <v/>
      </c>
      <c r="AH47" s="523" t="str">
        <f>IF(P47="","",IF(P47='G-1 All Habitats'!$X$9,AG47*J47*L47*O47,"None"))</f>
        <v/>
      </c>
      <c r="AJ47" s="107" t="str">
        <f t="shared" si="5"/>
        <v/>
      </c>
      <c r="AK47" s="107" t="str">
        <f t="shared" si="8"/>
        <v/>
      </c>
      <c r="AL47" s="107" t="str">
        <f>IF(I47="","",IF(#REF!&gt;0,TRUE,FALSE))</f>
        <v/>
      </c>
      <c r="AM47" s="107">
        <v>37</v>
      </c>
      <c r="AN47" s="107"/>
      <c r="AO47" s="107" t="str">
        <f t="array" ref="AO47">IFERROR(INDEX($AM$11:$AM$259,MATCH(0,IF(TRUE=$AJ$11:$AJ$259,COUNTIF($AO$10:$AO46,$AM$11:$AM$259),""),0)),"")</f>
        <v/>
      </c>
      <c r="AP47" s="107" t="str">
        <f t="array" ref="AP47">IFERROR(INDEX($AM$11:$AM$259,MATCH(0,IF(TRUE=$AK$11:$AK$259,COUNTIF($AP$10:$AP46,$AM$11:$AM$259),""),0)),"")</f>
        <v/>
      </c>
      <c r="AQ47" s="107" t="str">
        <f t="array" ref="AQ47">IFERROR(INDEX($AM$11:$AM$259,MATCH(0,IF(TRUE=$AL$11:$AL$259,COUNTIF($AQ$10:$AQ46,$AM$11:$AM$259),""),0)),"")</f>
        <v/>
      </c>
      <c r="AS47" s="885" t="str">
        <f>IF(AND(OR(AB47="Yes",AB47="Pending"),P47='G-1 All Habitats'!$X$3),T47-X47-Y47,"0")</f>
        <v>0</v>
      </c>
      <c r="AT47" s="30" t="str">
        <f t="shared" si="1"/>
        <v/>
      </c>
      <c r="AU47" s="30">
        <f t="shared" si="6"/>
        <v>0</v>
      </c>
      <c r="AV47" s="230" t="str">
        <f>IFERROR(INDEX('G-1 All Habitats'!$B$3:$B$135,MATCH(F47,'G-1 All Habitats'!$A$3:$A$135,0)),"")</f>
        <v/>
      </c>
      <c r="AW47" s="30" t="str">
        <f>IF(AV47="","",VLOOKUP(AV47,'G-1 All Habitats'!$B$1:$T$135,19,FALSE))</f>
        <v/>
      </c>
      <c r="AY47" s="287" t="str">
        <f t="shared" si="7"/>
        <v/>
      </c>
    </row>
    <row r="48" spans="1:51" ht="14">
      <c r="A48" s="30" t="str">
        <f>IFERROR(INDEX('G-1 All Habitats'!$AG$3:$AG$17,MATCH(E48,'G-1 All Habitats'!$AF$3:$AF$17,0)),"")</f>
        <v/>
      </c>
      <c r="B48" s="30" t="str">
        <f>IFERROR(INDEX('G-8 Condition Look up'!$I$4:$I$135,MATCH(AV48,'G-8 Condition Look up'!$A$4:$A$135,0)),"")</f>
        <v/>
      </c>
      <c r="D48" s="97">
        <v>38</v>
      </c>
      <c r="E48" s="262"/>
      <c r="F48" s="262"/>
      <c r="G48" s="133"/>
      <c r="H48" s="51"/>
      <c r="I48" s="509" t="str">
        <f>IF(AV48="","",IF(AND(AW48="Yes",G48="No"),"Irreplaceable habitat ▲",IF(AND(AW48="No",G48="Yes"),"Cannot be Irreplaceable ▲",VLOOKUP(AV48,'G-1 All Habitats'!$B$2:$M$135,10,FALSE))))</f>
        <v/>
      </c>
      <c r="J48" s="377" t="str">
        <f>IFERROR(VLOOKUP(I48,'G-1 All Habitats'!$V$3:$W$7,2,FALSE),"")</f>
        <v/>
      </c>
      <c r="K48" s="52"/>
      <c r="L48" s="276" t="str">
        <f>IFERROR(INDEX('G-8 Condition Look up'!$A$3:$H$135,MATCH(AV48,'G-8 Condition Look up'!$A$3:$A$135,0),MATCH(K48,'G-8 Condition Look up'!$A$3:$H$3,0)),"")</f>
        <v/>
      </c>
      <c r="M48" s="52"/>
      <c r="N48" s="295" t="str">
        <f>IF(M48="","",IF(VLOOKUP(M48,'G-3 Multipliers'!$L$3:$N$6,2,FALSE)=0,"Spatial Data Missing ⚠",VLOOKUP(M48,'G-3 Multipliers'!$L$3:$N$6,2,FALSE)))</f>
        <v/>
      </c>
      <c r="O48" s="353" t="str">
        <f>IF(M48="","",IF(VLOOKUP(M48,'G-3 Multipliers'!$L$3:$N$6,3,FALSE)=0,"Spatial Data Missing ⚠",VLOOKUP(M48,'G-3 Multipliers'!$L$3:$N$6,3,FALSE)))</f>
        <v/>
      </c>
      <c r="P48" s="336" t="str">
        <f>(IF(G48="Yes","Bespoke compensation likely to be required",(IFERROR(VLOOKUP(AV48,'G-1 All Habitats'!$B$2:$M$135,12,FALSE),""))))</f>
        <v/>
      </c>
      <c r="Q48" s="511" t="str">
        <f>IFERROR(IF(P48="","",IF(AND(E48="Individual trees",W48&gt;0,G48="Yes"),"Error - you cannot enhance irreplaceable individual trees ▲",IF(P48='G-1 All Habitats'!$X$9,T48*S48,IF(AND(P48='G-1 All Habitats'!$X$9,W48&gt;0),X48+(Y48*S48),IF(AND(P48='G-1 All Habitats'!$X$9,V48&gt;0),X48+(Y48*S48),IF(AND(P48='G-1 All Habitats'!$X$9,AG48&gt;0),"Any Loss Unacceptable  ⚠",IF(AND(P48='G-1 All Habitats'!$X$9,Z48&gt;0),"Any Loss Unacceptable ⚠",H48*J48*L48*O48*S48))))))),"Check Data ⚠")</f>
        <v/>
      </c>
      <c r="R48" s="393"/>
      <c r="S48" s="510" t="str">
        <f>IF(R48="","",IF(VLOOKUP(R48,'G-3 Multipliers'!$S$3:$T$10,2,FALSE)=0,"Spatial Data Missing ⚠",VLOOKUP(R48,'G-3 Multipliers'!$S$3:$T$10,2,FALSE)))</f>
        <v/>
      </c>
      <c r="T48" s="289" t="str">
        <f>IFERROR(IF(AND(F48&lt;&gt;"",G48=""),"Confirm irreplaceable habitat status ▲",(IF(AND(R48&lt;&gt;"",AF48=""),"Off-site reference required ▲",(IF(AND(E48="Individual trees",W48&gt;0,G48="Yes"),"Error - you cannot enhance irreplaceable individual trees ▲",(IF(AND(X48="Irreplaceable habitat - no units generated ⚠",(W48+V48)&lt;H48,OR(AB48="No",AB48="")),"Any Loss Unacceptable ⚠",(IF(X48="Irreplaceable habitat - no units generated ⚠",W48*J48*L48*O48,IF(AND(P48='G-1 All Habitats'!$X$9,AH48&gt;0,V48&lt;=0,W48&lt;=0,OR(AB48="No",AB48="")),"Any Loss Unacceptable ⚠",IF(AND(P48='G-1 All Habitats'!$X$9,AH48&gt;0,V48&lt;=0,W48&lt;=0),0,(IF(AND(P48='G-1 All Habitats'!$X$9,(W48+V48)&lt;H48,OR(AB48="No",AB48="")),"Any Loss Unacceptable ⚠",(IF(P48="","",IF(AND(P48='G-1 All Habitats'!$X$9,W48&gt;0),X48+Y48,IF(AND(P48='G-1 All Habitats'!$X$9,V48&gt;0),X48+Y48,IF(R48="","",H48*J48*L48*O48)))))))))))))))))),"Check Data ▲")</f>
        <v/>
      </c>
      <c r="U48" s="38"/>
      <c r="V48" s="52"/>
      <c r="W48" s="53"/>
      <c r="X48" s="287" t="str">
        <f t="shared" si="2"/>
        <v/>
      </c>
      <c r="Y48" s="287" t="str">
        <f t="shared" si="3"/>
        <v/>
      </c>
      <c r="Z48" s="287" t="str">
        <f t="shared" si="4"/>
        <v/>
      </c>
      <c r="AA48" s="317" t="str">
        <f>IFERROR(IF(AND(E48="Individual trees",G48="Yes",W48&gt;0),"Error - you cannot enhance an irreplaceable tree ▲",(IF(H48="","",IF(H48-V48-W48=0&lt;0,"Error in Areas ▲",IF(V48+W48&gt;H48,"Error in Areas ▲",IF(AND(P48='G-1 All Habitats'!$X$9,AB48="Yes"),"Alternative Compensation ✓",IF(AND(P48='G-1 All Habitats'!$X$3,AB48="Yes"),"Alternative Compensation ✓",IF(AND(AB48="Pending",P48='G-1 All Habitats'!$X$3),"Bespoke compensation must be agreed ▲",IF(AND(AB48="Pending",P48='G-1 All Habitats'!$X$9),"Bespoke compensation must be agreed  ▲",IF(Z48=0,0,IF(P48='G-1 All Habitats'!$X$9,"Any Loss Unacceptable ▲",T48-X48-Y48))))))))))),"Check Data ⚠")</f>
        <v/>
      </c>
      <c r="AB48" s="587"/>
      <c r="AC48" s="105"/>
      <c r="AD48" s="138"/>
      <c r="AE48" s="104"/>
      <c r="AF48" s="611"/>
      <c r="AG48" s="523" t="str">
        <f>IF(OR(P48="",AB48="Yes"),"",IF(P48='G-1 All Habitats'!$X$9,H48-V48-W48,"None"))</f>
        <v/>
      </c>
      <c r="AH48" s="523" t="str">
        <f>IF(P48="","",IF(P48='G-1 All Habitats'!$X$9,AG48*J48*L48*O48,"None"))</f>
        <v/>
      </c>
      <c r="AJ48" s="107" t="str">
        <f t="shared" si="5"/>
        <v/>
      </c>
      <c r="AK48" s="107" t="str">
        <f t="shared" si="8"/>
        <v/>
      </c>
      <c r="AL48" s="107" t="str">
        <f>IF(I48="","",IF(#REF!&gt;0,TRUE,FALSE))</f>
        <v/>
      </c>
      <c r="AM48" s="107">
        <v>38</v>
      </c>
      <c r="AN48" s="107"/>
      <c r="AO48" s="107" t="str">
        <f t="array" ref="AO48">IFERROR(INDEX($AM$11:$AM$259,MATCH(0,IF(TRUE=$AJ$11:$AJ$259,COUNTIF($AO$10:$AO47,$AM$11:$AM$259),""),0)),"")</f>
        <v/>
      </c>
      <c r="AP48" s="107" t="str">
        <f t="array" ref="AP48">IFERROR(INDEX($AM$11:$AM$259,MATCH(0,IF(TRUE=$AK$11:$AK$259,COUNTIF($AP$10:$AP47,$AM$11:$AM$259),""),0)),"")</f>
        <v/>
      </c>
      <c r="AQ48" s="107" t="str">
        <f t="array" ref="AQ48">IFERROR(INDEX($AM$11:$AM$259,MATCH(0,IF(TRUE=$AL$11:$AL$259,COUNTIF($AQ$10:$AQ47,$AM$11:$AM$259),""),0)),"")</f>
        <v/>
      </c>
      <c r="AS48" s="885" t="str">
        <f>IF(AND(OR(AB48="Yes",AB48="Pending"),P48='G-1 All Habitats'!$X$3),T48-X48-Y48,"0")</f>
        <v>0</v>
      </c>
      <c r="AT48" s="30" t="str">
        <f t="shared" si="1"/>
        <v/>
      </c>
      <c r="AU48" s="30">
        <f t="shared" si="6"/>
        <v>0</v>
      </c>
      <c r="AV48" s="230" t="str">
        <f>IFERROR(INDEX('G-1 All Habitats'!$B$3:$B$135,MATCH(F48,'G-1 All Habitats'!$A$3:$A$135,0)),"")</f>
        <v/>
      </c>
      <c r="AW48" s="30" t="str">
        <f>IF(AV48="","",VLOOKUP(AV48,'G-1 All Habitats'!$B$1:$T$135,19,FALSE))</f>
        <v/>
      </c>
      <c r="AY48" s="287" t="str">
        <f t="shared" si="7"/>
        <v/>
      </c>
    </row>
    <row r="49" spans="1:51" ht="14">
      <c r="A49" s="30" t="str">
        <f>IFERROR(INDEX('G-1 All Habitats'!$AG$3:$AG$17,MATCH(E49,'G-1 All Habitats'!$AF$3:$AF$17,0)),"")</f>
        <v/>
      </c>
      <c r="B49" s="30" t="str">
        <f>IFERROR(INDEX('G-8 Condition Look up'!$I$4:$I$135,MATCH(AV49,'G-8 Condition Look up'!$A$4:$A$135,0)),"")</f>
        <v/>
      </c>
      <c r="D49" s="97">
        <v>39</v>
      </c>
      <c r="E49" s="262"/>
      <c r="F49" s="262"/>
      <c r="G49" s="133"/>
      <c r="H49" s="51"/>
      <c r="I49" s="509" t="str">
        <f>IF(AV49="","",IF(AND(AW49="Yes",G49="No"),"Irreplaceable habitat ▲",IF(AND(AW49="No",G49="Yes"),"Cannot be Irreplaceable ▲",VLOOKUP(AV49,'G-1 All Habitats'!$B$2:$M$135,10,FALSE))))</f>
        <v/>
      </c>
      <c r="J49" s="377" t="str">
        <f>IFERROR(VLOOKUP(I49,'G-1 All Habitats'!$V$3:$W$7,2,FALSE),"")</f>
        <v/>
      </c>
      <c r="K49" s="52"/>
      <c r="L49" s="276" t="str">
        <f>IFERROR(INDEX('G-8 Condition Look up'!$A$3:$H$135,MATCH(AV49,'G-8 Condition Look up'!$A$3:$A$135,0),MATCH(K49,'G-8 Condition Look up'!$A$3:$H$3,0)),"")</f>
        <v/>
      </c>
      <c r="M49" s="52"/>
      <c r="N49" s="295" t="str">
        <f>IF(M49="","",IF(VLOOKUP(M49,'G-3 Multipliers'!$L$3:$N$6,2,FALSE)=0,"Spatial Data Missing ⚠",VLOOKUP(M49,'G-3 Multipliers'!$L$3:$N$6,2,FALSE)))</f>
        <v/>
      </c>
      <c r="O49" s="353" t="str">
        <f>IF(M49="","",IF(VLOOKUP(M49,'G-3 Multipliers'!$L$3:$N$6,3,FALSE)=0,"Spatial Data Missing ⚠",VLOOKUP(M49,'G-3 Multipliers'!$L$3:$N$6,3,FALSE)))</f>
        <v/>
      </c>
      <c r="P49" s="336" t="str">
        <f>(IF(G49="Yes","Bespoke compensation likely to be required",(IFERROR(VLOOKUP(AV49,'G-1 All Habitats'!$B$2:$M$135,12,FALSE),""))))</f>
        <v/>
      </c>
      <c r="Q49" s="511" t="str">
        <f>IFERROR(IF(P49="","",IF(AND(E49="Individual trees",W49&gt;0,G49="Yes"),"Error - you cannot enhance irreplaceable individual trees ▲",IF(P49='G-1 All Habitats'!$X$9,T49*S49,IF(AND(P49='G-1 All Habitats'!$X$9,W49&gt;0),X49+(Y49*S49),IF(AND(P49='G-1 All Habitats'!$X$9,V49&gt;0),X49+(Y49*S49),IF(AND(P49='G-1 All Habitats'!$X$9,AG49&gt;0),"Any Loss Unacceptable  ⚠",IF(AND(P49='G-1 All Habitats'!$X$9,Z49&gt;0),"Any Loss Unacceptable ⚠",H49*J49*L49*O49*S49))))))),"Check Data ⚠")</f>
        <v/>
      </c>
      <c r="R49" s="393"/>
      <c r="S49" s="510" t="str">
        <f>IF(R49="","",IF(VLOOKUP(R49,'G-3 Multipliers'!$S$3:$T$10,2,FALSE)=0,"Spatial Data Missing ⚠",VLOOKUP(R49,'G-3 Multipliers'!$S$3:$T$10,2,FALSE)))</f>
        <v/>
      </c>
      <c r="T49" s="289" t="str">
        <f>IFERROR(IF(AND(F49&lt;&gt;"",G49=""),"Confirm irreplaceable habitat status ▲",(IF(AND(R49&lt;&gt;"",AF49=""),"Off-site reference required ▲",(IF(AND(E49="Individual trees",W49&gt;0,G49="Yes"),"Error - you cannot enhance irreplaceable individual trees ▲",(IF(AND(X49="Irreplaceable habitat - no units generated ⚠",(W49+V49)&lt;H49,OR(AB49="No",AB49="")),"Any Loss Unacceptable ⚠",(IF(X49="Irreplaceable habitat - no units generated ⚠",W49*J49*L49*O49,IF(AND(P49='G-1 All Habitats'!$X$9,AH49&gt;0,V49&lt;=0,W49&lt;=0,OR(AB49="No",AB49="")),"Any Loss Unacceptable ⚠",IF(AND(P49='G-1 All Habitats'!$X$9,AH49&gt;0,V49&lt;=0,W49&lt;=0),0,(IF(AND(P49='G-1 All Habitats'!$X$9,(W49+V49)&lt;H49,OR(AB49="No",AB49="")),"Any Loss Unacceptable ⚠",(IF(P49="","",IF(AND(P49='G-1 All Habitats'!$X$9,W49&gt;0),X49+Y49,IF(AND(P49='G-1 All Habitats'!$X$9,V49&gt;0),X49+Y49,IF(R49="","",H49*J49*L49*O49)))))))))))))))))),"Check Data ▲")</f>
        <v/>
      </c>
      <c r="U49" s="38"/>
      <c r="V49" s="52"/>
      <c r="W49" s="53"/>
      <c r="X49" s="287" t="str">
        <f t="shared" si="2"/>
        <v/>
      </c>
      <c r="Y49" s="287" t="str">
        <f t="shared" si="3"/>
        <v/>
      </c>
      <c r="Z49" s="287" t="str">
        <f t="shared" si="4"/>
        <v/>
      </c>
      <c r="AA49" s="317" t="str">
        <f>IFERROR(IF(AND(E49="Individual trees",G49="Yes",W49&gt;0),"Error - you cannot enhance an irreplaceable tree ▲",(IF(H49="","",IF(H49-V49-W49=0&lt;0,"Error in Areas ▲",IF(V49+W49&gt;H49,"Error in Areas ▲",IF(AND(P49='G-1 All Habitats'!$X$9,AB49="Yes"),"Alternative Compensation ✓",IF(AND(P49='G-1 All Habitats'!$X$3,AB49="Yes"),"Alternative Compensation ✓",IF(AND(AB49="Pending",P49='G-1 All Habitats'!$X$3),"Bespoke compensation must be agreed ▲",IF(AND(AB49="Pending",P49='G-1 All Habitats'!$X$9),"Bespoke compensation must be agreed  ▲",IF(Z49=0,0,IF(P49='G-1 All Habitats'!$X$9,"Any Loss Unacceptable ▲",T49-X49-Y49))))))))))),"Check Data ⚠")</f>
        <v/>
      </c>
      <c r="AB49" s="587"/>
      <c r="AC49" s="105"/>
      <c r="AD49" s="138"/>
      <c r="AE49" s="104"/>
      <c r="AF49" s="611"/>
      <c r="AG49" s="523" t="str">
        <f>IF(OR(P49="",AB49="Yes"),"",IF(P49='G-1 All Habitats'!$X$9,H49-V49-W49,"None"))</f>
        <v/>
      </c>
      <c r="AH49" s="523" t="str">
        <f>IF(P49="","",IF(P49='G-1 All Habitats'!$X$9,AG49*J49*L49*O49,"None"))</f>
        <v/>
      </c>
      <c r="AJ49" s="107" t="str">
        <f t="shared" si="5"/>
        <v/>
      </c>
      <c r="AK49" s="107" t="str">
        <f t="shared" si="8"/>
        <v/>
      </c>
      <c r="AL49" s="107" t="str">
        <f>IF(I49="","",IF(#REF!&gt;0,TRUE,FALSE))</f>
        <v/>
      </c>
      <c r="AM49" s="107">
        <v>39</v>
      </c>
      <c r="AN49" s="107"/>
      <c r="AO49" s="107" t="str">
        <f t="array" ref="AO49">IFERROR(INDEX($AM$11:$AM$259,MATCH(0,IF(TRUE=$AJ$11:$AJ$259,COUNTIF($AO$10:$AO48,$AM$11:$AM$259),""),0)),"")</f>
        <v/>
      </c>
      <c r="AP49" s="107" t="str">
        <f t="array" ref="AP49">IFERROR(INDEX($AM$11:$AM$259,MATCH(0,IF(TRUE=$AK$11:$AK$259,COUNTIF($AP$10:$AP48,$AM$11:$AM$259),""),0)),"")</f>
        <v/>
      </c>
      <c r="AQ49" s="107" t="str">
        <f t="array" ref="AQ49">IFERROR(INDEX($AM$11:$AM$259,MATCH(0,IF(TRUE=$AL$11:$AL$259,COUNTIF($AQ$10:$AQ48,$AM$11:$AM$259),""),0)),"")</f>
        <v/>
      </c>
      <c r="AS49" s="885" t="str">
        <f>IF(AND(OR(AB49="Yes",AB49="Pending"),P49='G-1 All Habitats'!$X$3),T49-X49-Y49,"0")</f>
        <v>0</v>
      </c>
      <c r="AT49" s="30" t="str">
        <f t="shared" si="1"/>
        <v/>
      </c>
      <c r="AU49" s="30">
        <f t="shared" si="6"/>
        <v>0</v>
      </c>
      <c r="AV49" s="230" t="str">
        <f>IFERROR(INDEX('G-1 All Habitats'!$B$3:$B$135,MATCH(F49,'G-1 All Habitats'!$A$3:$A$135,0)),"")</f>
        <v/>
      </c>
      <c r="AW49" s="30" t="str">
        <f>IF(AV49="","",VLOOKUP(AV49,'G-1 All Habitats'!$B$1:$T$135,19,FALSE))</f>
        <v/>
      </c>
      <c r="AY49" s="287" t="str">
        <f t="shared" si="7"/>
        <v/>
      </c>
    </row>
    <row r="50" spans="1:51" ht="14">
      <c r="A50" s="30" t="str">
        <f>IFERROR(INDEX('G-1 All Habitats'!$AG$3:$AG$17,MATCH(E50,'G-1 All Habitats'!$AF$3:$AF$17,0)),"")</f>
        <v/>
      </c>
      <c r="B50" s="30" t="str">
        <f>IFERROR(INDEX('G-8 Condition Look up'!$I$4:$I$135,MATCH(AV50,'G-8 Condition Look up'!$A$4:$A$135,0)),"")</f>
        <v/>
      </c>
      <c r="D50" s="97">
        <v>40</v>
      </c>
      <c r="E50" s="262"/>
      <c r="F50" s="262"/>
      <c r="G50" s="133"/>
      <c r="H50" s="51"/>
      <c r="I50" s="509" t="str">
        <f>IF(AV50="","",IF(AND(AW50="Yes",G50="No"),"Irreplaceable habitat ▲",IF(AND(AW50="No",G50="Yes"),"Cannot be Irreplaceable ▲",VLOOKUP(AV50,'G-1 All Habitats'!$B$2:$M$135,10,FALSE))))</f>
        <v/>
      </c>
      <c r="J50" s="377" t="str">
        <f>IFERROR(VLOOKUP(I50,'G-1 All Habitats'!$V$3:$W$7,2,FALSE),"")</f>
        <v/>
      </c>
      <c r="K50" s="52"/>
      <c r="L50" s="276" t="str">
        <f>IFERROR(INDEX('G-8 Condition Look up'!$A$3:$H$135,MATCH(AV50,'G-8 Condition Look up'!$A$3:$A$135,0),MATCH(K50,'G-8 Condition Look up'!$A$3:$H$3,0)),"")</f>
        <v/>
      </c>
      <c r="M50" s="52"/>
      <c r="N50" s="295" t="str">
        <f>IF(M50="","",IF(VLOOKUP(M50,'G-3 Multipliers'!$L$3:$N$6,2,FALSE)=0,"Spatial Data Missing ⚠",VLOOKUP(M50,'G-3 Multipliers'!$L$3:$N$6,2,FALSE)))</f>
        <v/>
      </c>
      <c r="O50" s="353" t="str">
        <f>IF(M50="","",IF(VLOOKUP(M50,'G-3 Multipliers'!$L$3:$N$6,3,FALSE)=0,"Spatial Data Missing ⚠",VLOOKUP(M50,'G-3 Multipliers'!$L$3:$N$6,3,FALSE)))</f>
        <v/>
      </c>
      <c r="P50" s="336" t="str">
        <f>(IF(G50="Yes","Bespoke compensation likely to be required",(IFERROR(VLOOKUP(AV50,'G-1 All Habitats'!$B$2:$M$135,12,FALSE),""))))</f>
        <v/>
      </c>
      <c r="Q50" s="511" t="str">
        <f>IFERROR(IF(P50="","",IF(AND(E50="Individual trees",W50&gt;0,G50="Yes"),"Error - you cannot enhance irreplaceable individual trees ▲",IF(P50='G-1 All Habitats'!$X$9,T50*S50,IF(AND(P50='G-1 All Habitats'!$X$9,W50&gt;0),X50+(Y50*S50),IF(AND(P50='G-1 All Habitats'!$X$9,V50&gt;0),X50+(Y50*S50),IF(AND(P50='G-1 All Habitats'!$X$9,AG50&gt;0),"Any Loss Unacceptable  ⚠",IF(AND(P50='G-1 All Habitats'!$X$9,Z50&gt;0),"Any Loss Unacceptable ⚠",H50*J50*L50*O50*S50))))))),"Check Data ⚠")</f>
        <v/>
      </c>
      <c r="R50" s="393"/>
      <c r="S50" s="510" t="str">
        <f>IF(R50="","",IF(VLOOKUP(R50,'G-3 Multipliers'!$S$3:$T$10,2,FALSE)=0,"Spatial Data Missing ⚠",VLOOKUP(R50,'G-3 Multipliers'!$S$3:$T$10,2,FALSE)))</f>
        <v/>
      </c>
      <c r="T50" s="289" t="str">
        <f>IFERROR(IF(AND(F50&lt;&gt;"",G50=""),"Confirm irreplaceable habitat status ▲",(IF(AND(R50&lt;&gt;"",AF50=""),"Off-site reference required ▲",(IF(AND(E50="Individual trees",W50&gt;0,G50="Yes"),"Error - you cannot enhance irreplaceable individual trees ▲",(IF(AND(X50="Irreplaceable habitat - no units generated ⚠",(W50+V50)&lt;H50,OR(AB50="No",AB50="")),"Any Loss Unacceptable ⚠",(IF(X50="Irreplaceable habitat - no units generated ⚠",W50*J50*L50*O50,IF(AND(P50='G-1 All Habitats'!$X$9,AH50&gt;0,V50&lt;=0,W50&lt;=0,OR(AB50="No",AB50="")),"Any Loss Unacceptable ⚠",IF(AND(P50='G-1 All Habitats'!$X$9,AH50&gt;0,V50&lt;=0,W50&lt;=0),0,(IF(AND(P50='G-1 All Habitats'!$X$9,(W50+V50)&lt;H50,OR(AB50="No",AB50="")),"Any Loss Unacceptable ⚠",(IF(P50="","",IF(AND(P50='G-1 All Habitats'!$X$9,W50&gt;0),X50+Y50,IF(AND(P50='G-1 All Habitats'!$X$9,V50&gt;0),X50+Y50,IF(R50="","",H50*J50*L50*O50)))))))))))))))))),"Check Data ▲")</f>
        <v/>
      </c>
      <c r="U50" s="38"/>
      <c r="V50" s="52"/>
      <c r="W50" s="53"/>
      <c r="X50" s="287" t="str">
        <f t="shared" si="2"/>
        <v/>
      </c>
      <c r="Y50" s="287" t="str">
        <f t="shared" si="3"/>
        <v/>
      </c>
      <c r="Z50" s="287" t="str">
        <f t="shared" si="4"/>
        <v/>
      </c>
      <c r="AA50" s="317" t="str">
        <f>IFERROR(IF(AND(E50="Individual trees",G50="Yes",W50&gt;0),"Error - you cannot enhance an irreplaceable tree ▲",(IF(H50="","",IF(H50-V50-W50=0&lt;0,"Error in Areas ▲",IF(V50+W50&gt;H50,"Error in Areas ▲",IF(AND(P50='G-1 All Habitats'!$X$9,AB50="Yes"),"Alternative Compensation ✓",IF(AND(P50='G-1 All Habitats'!$X$3,AB50="Yes"),"Alternative Compensation ✓",IF(AND(AB50="Pending",P50='G-1 All Habitats'!$X$3),"Bespoke compensation must be agreed ▲",IF(AND(AB50="Pending",P50='G-1 All Habitats'!$X$9),"Bespoke compensation must be agreed  ▲",IF(Z50=0,0,IF(P50='G-1 All Habitats'!$X$9,"Any Loss Unacceptable ▲",T50-X50-Y50))))))))))),"Check Data ⚠")</f>
        <v/>
      </c>
      <c r="AB50" s="587"/>
      <c r="AC50" s="105"/>
      <c r="AD50" s="138"/>
      <c r="AE50" s="104"/>
      <c r="AF50" s="611"/>
      <c r="AG50" s="523" t="str">
        <f>IF(OR(P50="",AB50="Yes"),"",IF(P50='G-1 All Habitats'!$X$9,H50-V50-W50,"None"))</f>
        <v/>
      </c>
      <c r="AH50" s="523" t="str">
        <f>IF(P50="","",IF(P50='G-1 All Habitats'!$X$9,AG50*J50*L50*O50,"None"))</f>
        <v/>
      </c>
      <c r="AJ50" s="107" t="str">
        <f t="shared" si="5"/>
        <v/>
      </c>
      <c r="AK50" s="107" t="str">
        <f t="shared" si="8"/>
        <v/>
      </c>
      <c r="AL50" s="107" t="str">
        <f>IF(I50="","",IF(#REF!&gt;0,TRUE,FALSE))</f>
        <v/>
      </c>
      <c r="AM50" s="107">
        <v>40</v>
      </c>
      <c r="AN50" s="107"/>
      <c r="AO50" s="107" t="str">
        <f t="array" ref="AO50">IFERROR(INDEX($AM$11:$AM$259,MATCH(0,IF(TRUE=$AJ$11:$AJ$259,COUNTIF($AO$10:$AO49,$AM$11:$AM$259),""),0)),"")</f>
        <v/>
      </c>
      <c r="AP50" s="107" t="str">
        <f t="array" ref="AP50">IFERROR(INDEX($AM$11:$AM$259,MATCH(0,IF(TRUE=$AK$11:$AK$259,COUNTIF($AP$10:$AP49,$AM$11:$AM$259),""),0)),"")</f>
        <v/>
      </c>
      <c r="AQ50" s="107" t="str">
        <f t="array" ref="AQ50">IFERROR(INDEX($AM$11:$AM$259,MATCH(0,IF(TRUE=$AL$11:$AL$259,COUNTIF($AQ$10:$AQ49,$AM$11:$AM$259),""),0)),"")</f>
        <v/>
      </c>
      <c r="AS50" s="885" t="str">
        <f>IF(AND(OR(AB50="Yes",AB50="Pending"),P50='G-1 All Habitats'!$X$3),T50-X50-Y50,"0")</f>
        <v>0</v>
      </c>
      <c r="AT50" s="30" t="str">
        <f t="shared" si="1"/>
        <v/>
      </c>
      <c r="AU50" s="30">
        <f t="shared" si="6"/>
        <v>0</v>
      </c>
      <c r="AV50" s="230" t="str">
        <f>IFERROR(INDEX('G-1 All Habitats'!$B$3:$B$135,MATCH(F50,'G-1 All Habitats'!$A$3:$A$135,0)),"")</f>
        <v/>
      </c>
      <c r="AW50" s="30" t="str">
        <f>IF(AV50="","",VLOOKUP(AV50,'G-1 All Habitats'!$B$1:$T$135,19,FALSE))</f>
        <v/>
      </c>
      <c r="AY50" s="287" t="str">
        <f t="shared" si="7"/>
        <v/>
      </c>
    </row>
    <row r="51" spans="1:51" ht="14">
      <c r="A51" s="30" t="str">
        <f>IFERROR(INDEX('G-1 All Habitats'!$AG$3:$AG$17,MATCH(E51,'G-1 All Habitats'!$AF$3:$AF$17,0)),"")</f>
        <v/>
      </c>
      <c r="B51" s="30" t="str">
        <f>IFERROR(INDEX('G-8 Condition Look up'!$I$4:$I$135,MATCH(AV51,'G-8 Condition Look up'!$A$4:$A$135,0)),"")</f>
        <v/>
      </c>
      <c r="D51" s="97">
        <v>41</v>
      </c>
      <c r="E51" s="262"/>
      <c r="F51" s="262"/>
      <c r="G51" s="133"/>
      <c r="H51" s="51"/>
      <c r="I51" s="509" t="str">
        <f>IF(AV51="","",IF(AND(AW51="Yes",G51="No"),"Irreplaceable habitat ▲",IF(AND(AW51="No",G51="Yes"),"Cannot be Irreplaceable ▲",VLOOKUP(AV51,'G-1 All Habitats'!$B$2:$M$135,10,FALSE))))</f>
        <v/>
      </c>
      <c r="J51" s="377" t="str">
        <f>IFERROR(VLOOKUP(I51,'G-1 All Habitats'!$V$3:$W$7,2,FALSE),"")</f>
        <v/>
      </c>
      <c r="K51" s="52"/>
      <c r="L51" s="276" t="str">
        <f>IFERROR(INDEX('G-8 Condition Look up'!$A$3:$H$135,MATCH(AV51,'G-8 Condition Look up'!$A$3:$A$135,0),MATCH(K51,'G-8 Condition Look up'!$A$3:$H$3,0)),"")</f>
        <v/>
      </c>
      <c r="M51" s="52"/>
      <c r="N51" s="295" t="str">
        <f>IF(M51="","",IF(VLOOKUP(M51,'G-3 Multipliers'!$L$3:$N$6,2,FALSE)=0,"Spatial Data Missing ⚠",VLOOKUP(M51,'G-3 Multipliers'!$L$3:$N$6,2,FALSE)))</f>
        <v/>
      </c>
      <c r="O51" s="353" t="str">
        <f>IF(M51="","",IF(VLOOKUP(M51,'G-3 Multipliers'!$L$3:$N$6,3,FALSE)=0,"Spatial Data Missing ⚠",VLOOKUP(M51,'G-3 Multipliers'!$L$3:$N$6,3,FALSE)))</f>
        <v/>
      </c>
      <c r="P51" s="336" t="str">
        <f>(IF(G51="Yes","Bespoke compensation likely to be required",(IFERROR(VLOOKUP(AV51,'G-1 All Habitats'!$B$2:$M$135,12,FALSE),""))))</f>
        <v/>
      </c>
      <c r="Q51" s="511" t="str">
        <f>IFERROR(IF(P51="","",IF(AND(E51="Individual trees",W51&gt;0,G51="Yes"),"Error - you cannot enhance irreplaceable individual trees ▲",IF(P51='G-1 All Habitats'!$X$9,T51*S51,IF(AND(P51='G-1 All Habitats'!$X$9,W51&gt;0),X51+(Y51*S51),IF(AND(P51='G-1 All Habitats'!$X$9,V51&gt;0),X51+(Y51*S51),IF(AND(P51='G-1 All Habitats'!$X$9,AG51&gt;0),"Any Loss Unacceptable  ⚠",IF(AND(P51='G-1 All Habitats'!$X$9,Z51&gt;0),"Any Loss Unacceptable ⚠",H51*J51*L51*O51*S51))))))),"Check Data ⚠")</f>
        <v/>
      </c>
      <c r="R51" s="393"/>
      <c r="S51" s="510" t="str">
        <f>IF(R51="","",IF(VLOOKUP(R51,'G-3 Multipliers'!$S$3:$T$10,2,FALSE)=0,"Spatial Data Missing ⚠",VLOOKUP(R51,'G-3 Multipliers'!$S$3:$T$10,2,FALSE)))</f>
        <v/>
      </c>
      <c r="T51" s="289" t="str">
        <f>IFERROR(IF(AND(F51&lt;&gt;"",G51=""),"Confirm irreplaceable habitat status ▲",(IF(AND(R51&lt;&gt;"",AF51=""),"Off-site reference required ▲",(IF(AND(E51="Individual trees",W51&gt;0,G51="Yes"),"Error - you cannot enhance irreplaceable individual trees ▲",(IF(AND(X51="Irreplaceable habitat - no units generated ⚠",(W51+V51)&lt;H51,OR(AB51="No",AB51="")),"Any Loss Unacceptable ⚠",(IF(X51="Irreplaceable habitat - no units generated ⚠",W51*J51*L51*O51,IF(AND(P51='G-1 All Habitats'!$X$9,AH51&gt;0,V51&lt;=0,W51&lt;=0,OR(AB51="No",AB51="")),"Any Loss Unacceptable ⚠",IF(AND(P51='G-1 All Habitats'!$X$9,AH51&gt;0,V51&lt;=0,W51&lt;=0),0,(IF(AND(P51='G-1 All Habitats'!$X$9,(W51+V51)&lt;H51,OR(AB51="No",AB51="")),"Any Loss Unacceptable ⚠",(IF(P51="","",IF(AND(P51='G-1 All Habitats'!$X$9,W51&gt;0),X51+Y51,IF(AND(P51='G-1 All Habitats'!$X$9,V51&gt;0),X51+Y51,IF(R51="","",H51*J51*L51*O51)))))))))))))))))),"Check Data ▲")</f>
        <v/>
      </c>
      <c r="U51" s="38"/>
      <c r="V51" s="52"/>
      <c r="W51" s="53"/>
      <c r="X51" s="287" t="str">
        <f t="shared" si="2"/>
        <v/>
      </c>
      <c r="Y51" s="287" t="str">
        <f t="shared" si="3"/>
        <v/>
      </c>
      <c r="Z51" s="287" t="str">
        <f t="shared" si="4"/>
        <v/>
      </c>
      <c r="AA51" s="317" t="str">
        <f>IFERROR(IF(AND(E51="Individual trees",G51="Yes",W51&gt;0),"Error - you cannot enhance an irreplaceable tree ▲",(IF(H51="","",IF(H51-V51-W51=0&lt;0,"Error in Areas ▲",IF(V51+W51&gt;H51,"Error in Areas ▲",IF(AND(P51='G-1 All Habitats'!$X$9,AB51="Yes"),"Alternative Compensation ✓",IF(AND(P51='G-1 All Habitats'!$X$3,AB51="Yes"),"Alternative Compensation ✓",IF(AND(AB51="Pending",P51='G-1 All Habitats'!$X$3),"Bespoke compensation must be agreed ▲",IF(AND(AB51="Pending",P51='G-1 All Habitats'!$X$9),"Bespoke compensation must be agreed  ▲",IF(Z51=0,0,IF(P51='G-1 All Habitats'!$X$9,"Any Loss Unacceptable ▲",T51-X51-Y51))))))))))),"Check Data ⚠")</f>
        <v/>
      </c>
      <c r="AB51" s="587"/>
      <c r="AC51" s="105"/>
      <c r="AD51" s="138"/>
      <c r="AE51" s="104"/>
      <c r="AF51" s="611"/>
      <c r="AG51" s="523" t="str">
        <f>IF(OR(P51="",AB51="Yes"),"",IF(P51='G-1 All Habitats'!$X$9,H51-V51-W51,"None"))</f>
        <v/>
      </c>
      <c r="AH51" s="523" t="str">
        <f>IF(P51="","",IF(P51='G-1 All Habitats'!$X$9,AG51*J51*L51*O51,"None"))</f>
        <v/>
      </c>
      <c r="AJ51" s="107" t="str">
        <f t="shared" si="5"/>
        <v/>
      </c>
      <c r="AK51" s="107" t="str">
        <f t="shared" si="8"/>
        <v/>
      </c>
      <c r="AL51" s="107" t="str">
        <f>IF(I51="","",IF(#REF!&gt;0,TRUE,FALSE))</f>
        <v/>
      </c>
      <c r="AM51" s="107">
        <v>41</v>
      </c>
      <c r="AN51" s="107"/>
      <c r="AO51" s="107" t="str">
        <f t="array" ref="AO51">IFERROR(INDEX($AM$11:$AM$259,MATCH(0,IF(TRUE=$AJ$11:$AJ$259,COUNTIF($AO$10:$AO50,$AM$11:$AM$259),""),0)),"")</f>
        <v/>
      </c>
      <c r="AP51" s="107" t="str">
        <f t="array" ref="AP51">IFERROR(INDEX($AM$11:$AM$259,MATCH(0,IF(TRUE=$AK$11:$AK$259,COUNTIF($AP$10:$AP50,$AM$11:$AM$259),""),0)),"")</f>
        <v/>
      </c>
      <c r="AQ51" s="107" t="str">
        <f t="array" ref="AQ51">IFERROR(INDEX($AM$11:$AM$259,MATCH(0,IF(TRUE=$AL$11:$AL$259,COUNTIF($AQ$10:$AQ50,$AM$11:$AM$259),""),0)),"")</f>
        <v/>
      </c>
      <c r="AS51" s="885" t="str">
        <f>IF(AND(OR(AB51="Yes",AB51="Pending"),P51='G-1 All Habitats'!$X$3),T51-X51-Y51,"0")</f>
        <v>0</v>
      </c>
      <c r="AT51" s="30" t="str">
        <f t="shared" si="1"/>
        <v/>
      </c>
      <c r="AU51" s="30">
        <f t="shared" si="6"/>
        <v>0</v>
      </c>
      <c r="AV51" s="230" t="str">
        <f>IFERROR(INDEX('G-1 All Habitats'!$B$3:$B$135,MATCH(F51,'G-1 All Habitats'!$A$3:$A$135,0)),"")</f>
        <v/>
      </c>
      <c r="AW51" s="30" t="str">
        <f>IF(AV51="","",VLOOKUP(AV51,'G-1 All Habitats'!$B$1:$T$135,19,FALSE))</f>
        <v/>
      </c>
      <c r="AY51" s="287" t="str">
        <f t="shared" si="7"/>
        <v/>
      </c>
    </row>
    <row r="52" spans="1:51" ht="14">
      <c r="A52" s="30" t="str">
        <f>IFERROR(INDEX('G-1 All Habitats'!$AG$3:$AG$17,MATCH(E52,'G-1 All Habitats'!$AF$3:$AF$17,0)),"")</f>
        <v/>
      </c>
      <c r="B52" s="30" t="str">
        <f>IFERROR(INDEX('G-8 Condition Look up'!$I$4:$I$135,MATCH(AV52,'G-8 Condition Look up'!$A$4:$A$135,0)),"")</f>
        <v/>
      </c>
      <c r="D52" s="97">
        <v>42</v>
      </c>
      <c r="E52" s="262"/>
      <c r="F52" s="262"/>
      <c r="G52" s="133"/>
      <c r="H52" s="51"/>
      <c r="I52" s="509" t="str">
        <f>IF(AV52="","",IF(AND(AW52="Yes",G52="No"),"Irreplaceable habitat ▲",IF(AND(AW52="No",G52="Yes"),"Cannot be Irreplaceable ▲",VLOOKUP(AV52,'G-1 All Habitats'!$B$2:$M$135,10,FALSE))))</f>
        <v/>
      </c>
      <c r="J52" s="377" t="str">
        <f>IFERROR(VLOOKUP(I52,'G-1 All Habitats'!$V$3:$W$7,2,FALSE),"")</f>
        <v/>
      </c>
      <c r="K52" s="52"/>
      <c r="L52" s="276" t="str">
        <f>IFERROR(INDEX('G-8 Condition Look up'!$A$3:$H$135,MATCH(AV52,'G-8 Condition Look up'!$A$3:$A$135,0),MATCH(K52,'G-8 Condition Look up'!$A$3:$H$3,0)),"")</f>
        <v/>
      </c>
      <c r="M52" s="52"/>
      <c r="N52" s="295" t="str">
        <f>IF(M52="","",IF(VLOOKUP(M52,'G-3 Multipliers'!$L$3:$N$6,2,FALSE)=0,"Spatial Data Missing ⚠",VLOOKUP(M52,'G-3 Multipliers'!$L$3:$N$6,2,FALSE)))</f>
        <v/>
      </c>
      <c r="O52" s="353" t="str">
        <f>IF(M52="","",IF(VLOOKUP(M52,'G-3 Multipliers'!$L$3:$N$6,3,FALSE)=0,"Spatial Data Missing ⚠",VLOOKUP(M52,'G-3 Multipliers'!$L$3:$N$6,3,FALSE)))</f>
        <v/>
      </c>
      <c r="P52" s="336" t="str">
        <f>(IF(G52="Yes","Bespoke compensation likely to be required",(IFERROR(VLOOKUP(AV52,'G-1 All Habitats'!$B$2:$M$135,12,FALSE),""))))</f>
        <v/>
      </c>
      <c r="Q52" s="511" t="str">
        <f>IFERROR(IF(P52="","",IF(AND(E52="Individual trees",W52&gt;0,G52="Yes"),"Error - you cannot enhance irreplaceable individual trees ▲",IF(P52='G-1 All Habitats'!$X$9,T52*S52,IF(AND(P52='G-1 All Habitats'!$X$9,W52&gt;0),X52+(Y52*S52),IF(AND(P52='G-1 All Habitats'!$X$9,V52&gt;0),X52+(Y52*S52),IF(AND(P52='G-1 All Habitats'!$X$9,AG52&gt;0),"Any Loss Unacceptable  ⚠",IF(AND(P52='G-1 All Habitats'!$X$9,Z52&gt;0),"Any Loss Unacceptable ⚠",H52*J52*L52*O52*S52))))))),"Check Data ⚠")</f>
        <v/>
      </c>
      <c r="R52" s="393"/>
      <c r="S52" s="510" t="str">
        <f>IF(R52="","",IF(VLOOKUP(R52,'G-3 Multipliers'!$S$3:$T$10,2,FALSE)=0,"Spatial Data Missing ⚠",VLOOKUP(R52,'G-3 Multipliers'!$S$3:$T$10,2,FALSE)))</f>
        <v/>
      </c>
      <c r="T52" s="289" t="str">
        <f>IFERROR(IF(AND(F52&lt;&gt;"",G52=""),"Confirm irreplaceable habitat status ▲",(IF(AND(R52&lt;&gt;"",AF52=""),"Off-site reference required ▲",(IF(AND(E52="Individual trees",W52&gt;0,G52="Yes"),"Error - you cannot enhance irreplaceable individual trees ▲",(IF(AND(X52="Irreplaceable habitat - no units generated ⚠",(W52+V52)&lt;H52,OR(AB52="No",AB52="")),"Any Loss Unacceptable ⚠",(IF(X52="Irreplaceable habitat - no units generated ⚠",W52*J52*L52*O52,IF(AND(P52='G-1 All Habitats'!$X$9,AH52&gt;0,V52&lt;=0,W52&lt;=0,OR(AB52="No",AB52="")),"Any Loss Unacceptable ⚠",IF(AND(P52='G-1 All Habitats'!$X$9,AH52&gt;0,V52&lt;=0,W52&lt;=0),0,(IF(AND(P52='G-1 All Habitats'!$X$9,(W52+V52)&lt;H52,OR(AB52="No",AB52="")),"Any Loss Unacceptable ⚠",(IF(P52="","",IF(AND(P52='G-1 All Habitats'!$X$9,W52&gt;0),X52+Y52,IF(AND(P52='G-1 All Habitats'!$X$9,V52&gt;0),X52+Y52,IF(R52="","",H52*J52*L52*O52)))))))))))))))))),"Check Data ▲")</f>
        <v/>
      </c>
      <c r="U52" s="38"/>
      <c r="V52" s="52"/>
      <c r="W52" s="53"/>
      <c r="X52" s="287" t="str">
        <f t="shared" si="2"/>
        <v/>
      </c>
      <c r="Y52" s="287" t="str">
        <f t="shared" si="3"/>
        <v/>
      </c>
      <c r="Z52" s="287" t="str">
        <f t="shared" si="4"/>
        <v/>
      </c>
      <c r="AA52" s="317" t="str">
        <f>IFERROR(IF(AND(E52="Individual trees",G52="Yes",W52&gt;0),"Error - you cannot enhance an irreplaceable tree ▲",(IF(H52="","",IF(H52-V52-W52=0&lt;0,"Error in Areas ▲",IF(V52+W52&gt;H52,"Error in Areas ▲",IF(AND(P52='G-1 All Habitats'!$X$9,AB52="Yes"),"Alternative Compensation ✓",IF(AND(P52='G-1 All Habitats'!$X$3,AB52="Yes"),"Alternative Compensation ✓",IF(AND(AB52="Pending",P52='G-1 All Habitats'!$X$3),"Bespoke compensation must be agreed ▲",IF(AND(AB52="Pending",P52='G-1 All Habitats'!$X$9),"Bespoke compensation must be agreed  ▲",IF(Z52=0,0,IF(P52='G-1 All Habitats'!$X$9,"Any Loss Unacceptable ▲",T52-X52-Y52))))))))))),"Check Data ⚠")</f>
        <v/>
      </c>
      <c r="AB52" s="587"/>
      <c r="AC52" s="105"/>
      <c r="AD52" s="138"/>
      <c r="AE52" s="104"/>
      <c r="AF52" s="611"/>
      <c r="AG52" s="523" t="str">
        <f>IF(OR(P52="",AB52="Yes"),"",IF(P52='G-1 All Habitats'!$X$9,H52-V52-W52,"None"))</f>
        <v/>
      </c>
      <c r="AH52" s="523" t="str">
        <f>IF(P52="","",IF(P52='G-1 All Habitats'!$X$9,AG52*J52*L52*O52,"None"))</f>
        <v/>
      </c>
      <c r="AJ52" s="107" t="str">
        <f t="shared" si="5"/>
        <v/>
      </c>
      <c r="AK52" s="107" t="str">
        <f t="shared" si="8"/>
        <v/>
      </c>
      <c r="AL52" s="107" t="str">
        <f>IF(I52="","",IF(#REF!&gt;0,TRUE,FALSE))</f>
        <v/>
      </c>
      <c r="AM52" s="107">
        <v>42</v>
      </c>
      <c r="AN52" s="107"/>
      <c r="AO52" s="107" t="str">
        <f t="array" ref="AO52">IFERROR(INDEX($AM$11:$AM$259,MATCH(0,IF(TRUE=$AJ$11:$AJ$259,COUNTIF($AO$10:$AO51,$AM$11:$AM$259),""),0)),"")</f>
        <v/>
      </c>
      <c r="AP52" s="107" t="str">
        <f t="array" ref="AP52">IFERROR(INDEX($AM$11:$AM$259,MATCH(0,IF(TRUE=$AK$11:$AK$259,COUNTIF($AP$10:$AP51,$AM$11:$AM$259),""),0)),"")</f>
        <v/>
      </c>
      <c r="AQ52" s="107" t="str">
        <f t="array" ref="AQ52">IFERROR(INDEX($AM$11:$AM$259,MATCH(0,IF(TRUE=$AL$11:$AL$259,COUNTIF($AQ$10:$AQ51,$AM$11:$AM$259),""),0)),"")</f>
        <v/>
      </c>
      <c r="AS52" s="885" t="str">
        <f>IF(AND(OR(AB52="Yes",AB52="Pending"),P52='G-1 All Habitats'!$X$3),T52-X52-Y52,"0")</f>
        <v>0</v>
      </c>
      <c r="AT52" s="30" t="str">
        <f t="shared" si="1"/>
        <v/>
      </c>
      <c r="AU52" s="30">
        <f t="shared" si="6"/>
        <v>0</v>
      </c>
      <c r="AV52" s="230" t="str">
        <f>IFERROR(INDEX('G-1 All Habitats'!$B$3:$B$135,MATCH(F52,'G-1 All Habitats'!$A$3:$A$135,0)),"")</f>
        <v/>
      </c>
      <c r="AW52" s="30" t="str">
        <f>IF(AV52="","",VLOOKUP(AV52,'G-1 All Habitats'!$B$1:$T$135,19,FALSE))</f>
        <v/>
      </c>
      <c r="AY52" s="287" t="str">
        <f t="shared" si="7"/>
        <v/>
      </c>
    </row>
    <row r="53" spans="1:51" ht="14">
      <c r="A53" s="30" t="str">
        <f>IFERROR(INDEX('G-1 All Habitats'!$AG$3:$AG$17,MATCH(E53,'G-1 All Habitats'!$AF$3:$AF$17,0)),"")</f>
        <v/>
      </c>
      <c r="B53" s="30" t="str">
        <f>IFERROR(INDEX('G-8 Condition Look up'!$I$4:$I$135,MATCH(AV53,'G-8 Condition Look up'!$A$4:$A$135,0)),"")</f>
        <v/>
      </c>
      <c r="D53" s="97">
        <v>43</v>
      </c>
      <c r="E53" s="262"/>
      <c r="F53" s="263"/>
      <c r="G53" s="133"/>
      <c r="H53" s="115"/>
      <c r="I53" s="509" t="str">
        <f>IF(AV53="","",IF(AND(AW53="Yes",G53="No"),"Irreplaceable habitat ▲",IF(AND(AW53="No",G53="Yes"),"Cannot be Irreplaceable ▲",VLOOKUP(AV53,'G-1 All Habitats'!$B$2:$M$135,10,FALSE))))</f>
        <v/>
      </c>
      <c r="J53" s="377" t="str">
        <f>IFERROR(VLOOKUP(I53,'G-1 All Habitats'!$V$3:$W$7,2,FALSE),"")</f>
        <v/>
      </c>
      <c r="K53" s="101"/>
      <c r="L53" s="276" t="str">
        <f>IFERROR(INDEX('G-8 Condition Look up'!$A$3:$H$135,MATCH(AV53,'G-8 Condition Look up'!$A$3:$A$135,0),MATCH(K53,'G-8 Condition Look up'!$A$3:$H$3,0)),"")</f>
        <v/>
      </c>
      <c r="M53" s="105"/>
      <c r="N53" s="295" t="str">
        <f>IF(M53="","",IF(VLOOKUP(M53,'G-3 Multipliers'!$L$3:$N$6,2,FALSE)=0,"Spatial Data Missing ⚠",VLOOKUP(M53,'G-3 Multipliers'!$L$3:$N$6,2,FALSE)))</f>
        <v/>
      </c>
      <c r="O53" s="353" t="str">
        <f>IF(M53="","",IF(VLOOKUP(M53,'G-3 Multipliers'!$L$3:$N$6,3,FALSE)=0,"Spatial Data Missing ⚠",VLOOKUP(M53,'G-3 Multipliers'!$L$3:$N$6,3,FALSE)))</f>
        <v/>
      </c>
      <c r="P53" s="336" t="str">
        <f>(IF(G53="Yes","Bespoke compensation likely to be required",(IFERROR(VLOOKUP(AV53,'G-1 All Habitats'!$B$2:$M$135,12,FALSE),""))))</f>
        <v/>
      </c>
      <c r="Q53" s="511" t="str">
        <f>IFERROR(IF(P53="","",IF(AND(E53="Individual trees",W53&gt;0,G53="Yes"),"Error - you cannot enhance irreplaceable individual trees ▲",IF(P53='G-1 All Habitats'!$X$9,T53*S53,IF(AND(P53='G-1 All Habitats'!$X$9,W53&gt;0),X53+(Y53*S53),IF(AND(P53='G-1 All Habitats'!$X$9,V53&gt;0),X53+(Y53*S53),IF(AND(P53='G-1 All Habitats'!$X$9,AG53&gt;0),"Any Loss Unacceptable  ⚠",IF(AND(P53='G-1 All Habitats'!$X$9,Z53&gt;0),"Any Loss Unacceptable ⚠",H53*J53*L53*O53*S53))))))),"Check Data ⚠")</f>
        <v/>
      </c>
      <c r="R53" s="393"/>
      <c r="S53" s="510" t="str">
        <f>IF(R53="","",IF(VLOOKUP(R53,'G-3 Multipliers'!$S$3:$T$10,2,FALSE)=0,"Spatial Data Missing ⚠",VLOOKUP(R53,'G-3 Multipliers'!$S$3:$T$10,2,FALSE)))</f>
        <v/>
      </c>
      <c r="T53" s="289" t="str">
        <f>IFERROR(IF(AND(F53&lt;&gt;"",G53=""),"Confirm irreplaceable habitat status ▲",(IF(AND(R53&lt;&gt;"",AF53=""),"Off-site reference required ▲",(IF(AND(E53="Individual trees",W53&gt;0,G53="Yes"),"Error - you cannot enhance irreplaceable individual trees ▲",(IF(AND(X53="Irreplaceable habitat - no units generated ⚠",(W53+V53)&lt;H53,OR(AB53="No",AB53="")),"Any Loss Unacceptable ⚠",(IF(X53="Irreplaceable habitat - no units generated ⚠",W53*J53*L53*O53,IF(AND(P53='G-1 All Habitats'!$X$9,AH53&gt;0,V53&lt;=0,W53&lt;=0,OR(AB53="No",AB53="")),"Any Loss Unacceptable ⚠",IF(AND(P53='G-1 All Habitats'!$X$9,AH53&gt;0,V53&lt;=0,W53&lt;=0),0,(IF(AND(P53='G-1 All Habitats'!$X$9,(W53+V53)&lt;H53,OR(AB53="No",AB53="")),"Any Loss Unacceptable ⚠",(IF(P53="","",IF(AND(P53='G-1 All Habitats'!$X$9,W53&gt;0),X53+Y53,IF(AND(P53='G-1 All Habitats'!$X$9,V53&gt;0),X53+Y53,IF(R53="","",H53*J53*L53*O53)))))))))))))))))),"Check Data ▲")</f>
        <v/>
      </c>
      <c r="U53" s="38"/>
      <c r="V53" s="52"/>
      <c r="W53" s="53"/>
      <c r="X53" s="287" t="str">
        <f t="shared" si="2"/>
        <v/>
      </c>
      <c r="Y53" s="287" t="str">
        <f t="shared" si="3"/>
        <v/>
      </c>
      <c r="Z53" s="287" t="str">
        <f t="shared" si="4"/>
        <v/>
      </c>
      <c r="AA53" s="317" t="str">
        <f>IFERROR(IF(AND(E53="Individual trees",G53="Yes",W53&gt;0),"Error - you cannot enhance an irreplaceable tree ▲",(IF(H53="","",IF(H53-V53-W53=0&lt;0,"Error in Areas ▲",IF(V53+W53&gt;H53,"Error in Areas ▲",IF(AND(P53='G-1 All Habitats'!$X$9,AB53="Yes"),"Alternative Compensation ✓",IF(AND(P53='G-1 All Habitats'!$X$3,AB53="Yes"),"Alternative Compensation ✓",IF(AND(AB53="Pending",P53='G-1 All Habitats'!$X$3),"Bespoke compensation must be agreed ▲",IF(AND(AB53="Pending",P53='G-1 All Habitats'!$X$9),"Bespoke compensation must be agreed  ▲",IF(Z53=0,0,IF(P53='G-1 All Habitats'!$X$9,"Any Loss Unacceptable ▲",T53-X53-Y53))))))))))),"Check Data ⚠")</f>
        <v/>
      </c>
      <c r="AB53" s="587"/>
      <c r="AC53" s="105"/>
      <c r="AD53" s="138"/>
      <c r="AE53" s="104"/>
      <c r="AF53" s="611"/>
      <c r="AG53" s="523" t="str">
        <f>IF(OR(P53="",AB53="Yes"),"",IF(P53='G-1 All Habitats'!$X$9,H53-V53-W53,"None"))</f>
        <v/>
      </c>
      <c r="AH53" s="523" t="str">
        <f>IF(P53="","",IF(P53='G-1 All Habitats'!$X$9,AG53*J53*L53*O53,"None"))</f>
        <v/>
      </c>
      <c r="AJ53" s="107" t="str">
        <f t="shared" si="5"/>
        <v/>
      </c>
      <c r="AK53" s="107" t="str">
        <f t="shared" si="8"/>
        <v/>
      </c>
      <c r="AL53" s="107" t="str">
        <f>IF(I53="","",IF(#REF!&gt;0,TRUE,FALSE))</f>
        <v/>
      </c>
      <c r="AM53" s="107">
        <v>43</v>
      </c>
      <c r="AN53" s="107"/>
      <c r="AO53" s="107" t="str">
        <f t="array" ref="AO53">IFERROR(INDEX($AM$11:$AM$259,MATCH(0,IF(TRUE=$AJ$11:$AJ$259,COUNTIF($AO$10:$AO52,$AM$11:$AM$259),""),0)),"")</f>
        <v/>
      </c>
      <c r="AP53" s="107" t="str">
        <f t="array" ref="AP53">IFERROR(INDEX($AM$11:$AM$259,MATCH(0,IF(TRUE=$AK$11:$AK$259,COUNTIF($AP$10:$AP52,$AM$11:$AM$259),""),0)),"")</f>
        <v/>
      </c>
      <c r="AQ53" s="107" t="str">
        <f t="array" ref="AQ53">IFERROR(INDEX($AM$11:$AM$259,MATCH(0,IF(TRUE=$AL$11:$AL$259,COUNTIF($AQ$10:$AQ52,$AM$11:$AM$259),""),0)),"")</f>
        <v/>
      </c>
      <c r="AS53" s="885" t="str">
        <f>IF(AND(OR(AB53="Yes",AB53="Pending"),P53='G-1 All Habitats'!$X$3),T53-X53-Y53,"0")</f>
        <v>0</v>
      </c>
      <c r="AT53" s="30" t="str">
        <f t="shared" si="1"/>
        <v/>
      </c>
      <c r="AU53" s="30">
        <f t="shared" si="6"/>
        <v>0</v>
      </c>
      <c r="AV53" s="230" t="str">
        <f>IFERROR(INDEX('G-1 All Habitats'!$B$3:$B$135,MATCH(F53,'G-1 All Habitats'!$A$3:$A$135,0)),"")</f>
        <v/>
      </c>
      <c r="AW53" s="30" t="str">
        <f>IF(AV53="","",VLOOKUP(AV53,'G-1 All Habitats'!$B$1:$T$135,19,FALSE))</f>
        <v/>
      </c>
      <c r="AY53" s="287" t="str">
        <f t="shared" si="7"/>
        <v/>
      </c>
    </row>
    <row r="54" spans="1:51" ht="14">
      <c r="A54" s="30" t="str">
        <f>IFERROR(INDEX('G-1 All Habitats'!$AG$3:$AG$17,MATCH(E54,'G-1 All Habitats'!$AF$3:$AF$17,0)),"")</f>
        <v/>
      </c>
      <c r="B54" s="30" t="str">
        <f>IFERROR(INDEX('G-8 Condition Look up'!$I$4:$I$135,MATCH(AV54,'G-8 Condition Look up'!$A$4:$A$135,0)),"")</f>
        <v/>
      </c>
      <c r="D54" s="97">
        <v>44</v>
      </c>
      <c r="E54" s="262"/>
      <c r="F54" s="263"/>
      <c r="G54" s="133"/>
      <c r="H54" s="115"/>
      <c r="I54" s="509" t="str">
        <f>IF(AV54="","",IF(AND(AW54="Yes",G54="No"),"Irreplaceable habitat ▲",IF(AND(AW54="No",G54="Yes"),"Cannot be Irreplaceable ▲",VLOOKUP(AV54,'G-1 All Habitats'!$B$2:$M$135,10,FALSE))))</f>
        <v/>
      </c>
      <c r="J54" s="377" t="str">
        <f>IFERROR(VLOOKUP(I54,'G-1 All Habitats'!$V$3:$W$7,2,FALSE),"")</f>
        <v/>
      </c>
      <c r="K54" s="101"/>
      <c r="L54" s="276" t="str">
        <f>IFERROR(INDEX('G-8 Condition Look up'!$A$3:$H$135,MATCH(AV54,'G-8 Condition Look up'!$A$3:$A$135,0),MATCH(K54,'G-8 Condition Look up'!$A$3:$H$3,0)),"")</f>
        <v/>
      </c>
      <c r="M54" s="105"/>
      <c r="N54" s="295" t="str">
        <f>IF(M54="","",IF(VLOOKUP(M54,'G-3 Multipliers'!$L$3:$N$6,2,FALSE)=0,"Spatial Data Missing ⚠",VLOOKUP(M54,'G-3 Multipliers'!$L$3:$N$6,2,FALSE)))</f>
        <v/>
      </c>
      <c r="O54" s="353" t="str">
        <f>IF(M54="","",IF(VLOOKUP(M54,'G-3 Multipliers'!$L$3:$N$6,3,FALSE)=0,"Spatial Data Missing ⚠",VLOOKUP(M54,'G-3 Multipliers'!$L$3:$N$6,3,FALSE)))</f>
        <v/>
      </c>
      <c r="P54" s="336" t="str">
        <f>(IF(G54="Yes","Bespoke compensation likely to be required",(IFERROR(VLOOKUP(AV54,'G-1 All Habitats'!$B$2:$M$135,12,FALSE),""))))</f>
        <v/>
      </c>
      <c r="Q54" s="511" t="str">
        <f>IFERROR(IF(P54="","",IF(AND(E54="Individual trees",W54&gt;0,G54="Yes"),"Error - you cannot enhance irreplaceable individual trees ▲",IF(P54='G-1 All Habitats'!$X$9,T54*S54,IF(AND(P54='G-1 All Habitats'!$X$9,W54&gt;0),X54+(Y54*S54),IF(AND(P54='G-1 All Habitats'!$X$9,V54&gt;0),X54+(Y54*S54),IF(AND(P54='G-1 All Habitats'!$X$9,AG54&gt;0),"Any Loss Unacceptable  ⚠",IF(AND(P54='G-1 All Habitats'!$X$9,Z54&gt;0),"Any Loss Unacceptable ⚠",H54*J54*L54*O54*S54))))))),"Check Data ⚠")</f>
        <v/>
      </c>
      <c r="R54" s="393"/>
      <c r="S54" s="510" t="str">
        <f>IF(R54="","",IF(VLOOKUP(R54,'G-3 Multipliers'!$S$3:$T$10,2,FALSE)=0,"Spatial Data Missing ⚠",VLOOKUP(R54,'G-3 Multipliers'!$S$3:$T$10,2,FALSE)))</f>
        <v/>
      </c>
      <c r="T54" s="289" t="str">
        <f>IFERROR(IF(AND(F54&lt;&gt;"",G54=""),"Confirm irreplaceable habitat status ▲",(IF(AND(R54&lt;&gt;"",AF54=""),"Off-site reference required ▲",(IF(AND(E54="Individual trees",W54&gt;0,G54="Yes"),"Error - you cannot enhance irreplaceable individual trees ▲",(IF(AND(X54="Irreplaceable habitat - no units generated ⚠",(W54+V54)&lt;H54,OR(AB54="No",AB54="")),"Any Loss Unacceptable ⚠",(IF(X54="Irreplaceable habitat - no units generated ⚠",W54*J54*L54*O54,IF(AND(P54='G-1 All Habitats'!$X$9,AH54&gt;0,V54&lt;=0,W54&lt;=0,OR(AB54="No",AB54="")),"Any Loss Unacceptable ⚠",IF(AND(P54='G-1 All Habitats'!$X$9,AH54&gt;0,V54&lt;=0,W54&lt;=0),0,(IF(AND(P54='G-1 All Habitats'!$X$9,(W54+V54)&lt;H54,OR(AB54="No",AB54="")),"Any Loss Unacceptable ⚠",(IF(P54="","",IF(AND(P54='G-1 All Habitats'!$X$9,W54&gt;0),X54+Y54,IF(AND(P54='G-1 All Habitats'!$X$9,V54&gt;0),X54+Y54,IF(R54="","",H54*J54*L54*O54)))))))))))))))))),"Check Data ▲")</f>
        <v/>
      </c>
      <c r="U54" s="38"/>
      <c r="V54" s="52"/>
      <c r="W54" s="53"/>
      <c r="X54" s="287" t="str">
        <f t="shared" si="2"/>
        <v/>
      </c>
      <c r="Y54" s="287" t="str">
        <f t="shared" si="3"/>
        <v/>
      </c>
      <c r="Z54" s="287" t="str">
        <f t="shared" si="4"/>
        <v/>
      </c>
      <c r="AA54" s="317" t="str">
        <f>IFERROR(IF(AND(E54="Individual trees",G54="Yes",W54&gt;0),"Error - you cannot enhance an irreplaceable tree ▲",(IF(H54="","",IF(H54-V54-W54=0&lt;0,"Error in Areas ▲",IF(V54+W54&gt;H54,"Error in Areas ▲",IF(AND(P54='G-1 All Habitats'!$X$9,AB54="Yes"),"Alternative Compensation ✓",IF(AND(P54='G-1 All Habitats'!$X$3,AB54="Yes"),"Alternative Compensation ✓",IF(AND(AB54="Pending",P54='G-1 All Habitats'!$X$3),"Bespoke compensation must be agreed ▲",IF(AND(AB54="Pending",P54='G-1 All Habitats'!$X$9),"Bespoke compensation must be agreed  ▲",IF(Z54=0,0,IF(P54='G-1 All Habitats'!$X$9,"Any Loss Unacceptable ▲",T54-X54-Y54))))))))))),"Check Data ⚠")</f>
        <v/>
      </c>
      <c r="AB54" s="587"/>
      <c r="AC54" s="105"/>
      <c r="AD54" s="138"/>
      <c r="AE54" s="104"/>
      <c r="AF54" s="611"/>
      <c r="AG54" s="523" t="str">
        <f>IF(OR(P54="",AB54="Yes"),"",IF(P54='G-1 All Habitats'!$X$9,H54-V54-W54,"None"))</f>
        <v/>
      </c>
      <c r="AH54" s="523" t="str">
        <f>IF(P54="","",IF(P54='G-1 All Habitats'!$X$9,AG54*J54*L54*O54,"None"))</f>
        <v/>
      </c>
      <c r="AJ54" s="107" t="str">
        <f t="shared" si="5"/>
        <v/>
      </c>
      <c r="AK54" s="107" t="str">
        <f t="shared" si="8"/>
        <v/>
      </c>
      <c r="AL54" s="107" t="str">
        <f>IF(I54="","",IF(#REF!&gt;0,TRUE,FALSE))</f>
        <v/>
      </c>
      <c r="AM54" s="107">
        <v>44</v>
      </c>
      <c r="AN54" s="107"/>
      <c r="AO54" s="107" t="str">
        <f t="array" ref="AO54">IFERROR(INDEX($AM$11:$AM$259,MATCH(0,IF(TRUE=$AJ$11:$AJ$259,COUNTIF($AO$10:$AO53,$AM$11:$AM$259),""),0)),"")</f>
        <v/>
      </c>
      <c r="AP54" s="107" t="str">
        <f t="array" ref="AP54">IFERROR(INDEX($AM$11:$AM$259,MATCH(0,IF(TRUE=$AK$11:$AK$259,COUNTIF($AP$10:$AP53,$AM$11:$AM$259),""),0)),"")</f>
        <v/>
      </c>
      <c r="AQ54" s="107" t="str">
        <f t="array" ref="AQ54">IFERROR(INDEX($AM$11:$AM$259,MATCH(0,IF(TRUE=$AL$11:$AL$259,COUNTIF($AQ$10:$AQ53,$AM$11:$AM$259),""),0)),"")</f>
        <v/>
      </c>
      <c r="AS54" s="885" t="str">
        <f>IF(AND(OR(AB54="Yes",AB54="Pending"),P54='G-1 All Habitats'!$X$3),T54-X54-Y54,"0")</f>
        <v>0</v>
      </c>
      <c r="AT54" s="30" t="str">
        <f t="shared" si="1"/>
        <v/>
      </c>
      <c r="AU54" s="30">
        <f t="shared" si="6"/>
        <v>0</v>
      </c>
      <c r="AV54" s="230" t="str">
        <f>IFERROR(INDEX('G-1 All Habitats'!$B$3:$B$135,MATCH(F54,'G-1 All Habitats'!$A$3:$A$135,0)),"")</f>
        <v/>
      </c>
      <c r="AW54" s="30" t="str">
        <f>IF(AV54="","",VLOOKUP(AV54,'G-1 All Habitats'!$B$1:$T$135,19,FALSE))</f>
        <v/>
      </c>
      <c r="AY54" s="287" t="str">
        <f t="shared" si="7"/>
        <v/>
      </c>
    </row>
    <row r="55" spans="1:51" ht="14">
      <c r="A55" s="30" t="str">
        <f>IFERROR(INDEX('G-1 All Habitats'!$AG$3:$AG$17,MATCH(E55,'G-1 All Habitats'!$AF$3:$AF$17,0)),"")</f>
        <v/>
      </c>
      <c r="B55" s="30" t="str">
        <f>IFERROR(INDEX('G-8 Condition Look up'!$I$4:$I$135,MATCH(AV55,'G-8 Condition Look up'!$A$4:$A$135,0)),"")</f>
        <v/>
      </c>
      <c r="D55" s="97">
        <v>45</v>
      </c>
      <c r="E55" s="262"/>
      <c r="F55" s="263"/>
      <c r="G55" s="133"/>
      <c r="H55" s="115"/>
      <c r="I55" s="509" t="str">
        <f>IF(AV55="","",IF(AND(AW55="Yes",G55="No"),"Irreplaceable habitat ▲",IF(AND(AW55="No",G55="Yes"),"Cannot be Irreplaceable ▲",VLOOKUP(AV55,'G-1 All Habitats'!$B$2:$M$135,10,FALSE))))</f>
        <v/>
      </c>
      <c r="J55" s="377" t="str">
        <f>IFERROR(VLOOKUP(I55,'G-1 All Habitats'!$V$3:$W$7,2,FALSE),"")</f>
        <v/>
      </c>
      <c r="K55" s="101"/>
      <c r="L55" s="276" t="str">
        <f>IFERROR(INDEX('G-8 Condition Look up'!$A$3:$H$135,MATCH(AV55,'G-8 Condition Look up'!$A$3:$A$135,0),MATCH(K55,'G-8 Condition Look up'!$A$3:$H$3,0)),"")</f>
        <v/>
      </c>
      <c r="M55" s="105"/>
      <c r="N55" s="295" t="str">
        <f>IF(M55="","",IF(VLOOKUP(M55,'G-3 Multipliers'!$L$3:$N$6,2,FALSE)=0,"Spatial Data Missing ⚠",VLOOKUP(M55,'G-3 Multipliers'!$L$3:$N$6,2,FALSE)))</f>
        <v/>
      </c>
      <c r="O55" s="353" t="str">
        <f>IF(M55="","",IF(VLOOKUP(M55,'G-3 Multipliers'!$L$3:$N$6,3,FALSE)=0,"Spatial Data Missing ⚠",VLOOKUP(M55,'G-3 Multipliers'!$L$3:$N$6,3,FALSE)))</f>
        <v/>
      </c>
      <c r="P55" s="336" t="str">
        <f>(IF(G55="Yes","Bespoke compensation likely to be required",(IFERROR(VLOOKUP(AV55,'G-1 All Habitats'!$B$2:$M$135,12,FALSE),""))))</f>
        <v/>
      </c>
      <c r="Q55" s="511" t="str">
        <f>IFERROR(IF(P55="","",IF(AND(E55="Individual trees",W55&gt;0,G55="Yes"),"Error - you cannot enhance irreplaceable individual trees ▲",IF(P55='G-1 All Habitats'!$X$9,T55*S55,IF(AND(P55='G-1 All Habitats'!$X$9,W55&gt;0),X55+(Y55*S55),IF(AND(P55='G-1 All Habitats'!$X$9,V55&gt;0),X55+(Y55*S55),IF(AND(P55='G-1 All Habitats'!$X$9,AG55&gt;0),"Any Loss Unacceptable  ⚠",IF(AND(P55='G-1 All Habitats'!$X$9,Z55&gt;0),"Any Loss Unacceptable ⚠",H55*J55*L55*O55*S55))))))),"Check Data ⚠")</f>
        <v/>
      </c>
      <c r="R55" s="393"/>
      <c r="S55" s="510" t="str">
        <f>IF(R55="","",IF(VLOOKUP(R55,'G-3 Multipliers'!$S$3:$T$10,2,FALSE)=0,"Spatial Data Missing ⚠",VLOOKUP(R55,'G-3 Multipliers'!$S$3:$T$10,2,FALSE)))</f>
        <v/>
      </c>
      <c r="T55" s="289" t="str">
        <f>IFERROR(IF(AND(F55&lt;&gt;"",G55=""),"Confirm irreplaceable habitat status ▲",(IF(AND(R55&lt;&gt;"",AF55=""),"Off-site reference required ▲",(IF(AND(E55="Individual trees",W55&gt;0,G55="Yes"),"Error - you cannot enhance irreplaceable individual trees ▲",(IF(AND(X55="Irreplaceable habitat - no units generated ⚠",(W55+V55)&lt;H55,OR(AB55="No",AB55="")),"Any Loss Unacceptable ⚠",(IF(X55="Irreplaceable habitat - no units generated ⚠",W55*J55*L55*O55,IF(AND(P55='G-1 All Habitats'!$X$9,AH55&gt;0,V55&lt;=0,W55&lt;=0,OR(AB55="No",AB55="")),"Any Loss Unacceptable ⚠",IF(AND(P55='G-1 All Habitats'!$X$9,AH55&gt;0,V55&lt;=0,W55&lt;=0),0,(IF(AND(P55='G-1 All Habitats'!$X$9,(W55+V55)&lt;H55,OR(AB55="No",AB55="")),"Any Loss Unacceptable ⚠",(IF(P55="","",IF(AND(P55='G-1 All Habitats'!$X$9,W55&gt;0),X55+Y55,IF(AND(P55='G-1 All Habitats'!$X$9,V55&gt;0),X55+Y55,IF(R55="","",H55*J55*L55*O55)))))))))))))))))),"Check Data ▲")</f>
        <v/>
      </c>
      <c r="U55" s="38"/>
      <c r="V55" s="52"/>
      <c r="W55" s="53"/>
      <c r="X55" s="287" t="str">
        <f t="shared" si="2"/>
        <v/>
      </c>
      <c r="Y55" s="287" t="str">
        <f t="shared" si="3"/>
        <v/>
      </c>
      <c r="Z55" s="287" t="str">
        <f t="shared" si="4"/>
        <v/>
      </c>
      <c r="AA55" s="317" t="str">
        <f>IFERROR(IF(AND(E55="Individual trees",G55="Yes",W55&gt;0),"Error - you cannot enhance an irreplaceable tree ▲",(IF(H55="","",IF(H55-V55-W55=0&lt;0,"Error in Areas ▲",IF(V55+W55&gt;H55,"Error in Areas ▲",IF(AND(P55='G-1 All Habitats'!$X$9,AB55="Yes"),"Alternative Compensation ✓",IF(AND(P55='G-1 All Habitats'!$X$3,AB55="Yes"),"Alternative Compensation ✓",IF(AND(AB55="Pending",P55='G-1 All Habitats'!$X$3),"Bespoke compensation must be agreed ▲",IF(AND(AB55="Pending",P55='G-1 All Habitats'!$X$9),"Bespoke compensation must be agreed  ▲",IF(Z55=0,0,IF(P55='G-1 All Habitats'!$X$9,"Any Loss Unacceptable ▲",T55-X55-Y55))))))))))),"Check Data ⚠")</f>
        <v/>
      </c>
      <c r="AB55" s="587"/>
      <c r="AC55" s="105"/>
      <c r="AD55" s="138"/>
      <c r="AE55" s="104"/>
      <c r="AF55" s="611"/>
      <c r="AG55" s="523" t="str">
        <f>IF(OR(P55="",AB55="Yes"),"",IF(P55='G-1 All Habitats'!$X$9,H55-V55-W55,"None"))</f>
        <v/>
      </c>
      <c r="AH55" s="523" t="str">
        <f>IF(P55="","",IF(P55='G-1 All Habitats'!$X$9,AG55*J55*L55*O55,"None"))</f>
        <v/>
      </c>
      <c r="AJ55" s="107" t="str">
        <f t="shared" si="5"/>
        <v/>
      </c>
      <c r="AK55" s="107" t="str">
        <f t="shared" si="8"/>
        <v/>
      </c>
      <c r="AL55" s="107" t="str">
        <f>IF(I55="","",IF(#REF!&gt;0,TRUE,FALSE))</f>
        <v/>
      </c>
      <c r="AM55" s="107">
        <v>45</v>
      </c>
      <c r="AN55" s="107"/>
      <c r="AO55" s="107" t="str">
        <f t="array" ref="AO55">IFERROR(INDEX($AM$11:$AM$259,MATCH(0,IF(TRUE=$AJ$11:$AJ$259,COUNTIF($AO$10:$AO54,$AM$11:$AM$259),""),0)),"")</f>
        <v/>
      </c>
      <c r="AP55" s="107" t="str">
        <f t="array" ref="AP55">IFERROR(INDEX($AM$11:$AM$259,MATCH(0,IF(TRUE=$AK$11:$AK$259,COUNTIF($AP$10:$AP54,$AM$11:$AM$259),""),0)),"")</f>
        <v/>
      </c>
      <c r="AQ55" s="107" t="str">
        <f t="array" ref="AQ55">IFERROR(INDEX($AM$11:$AM$259,MATCH(0,IF(TRUE=$AL$11:$AL$259,COUNTIF($AQ$10:$AQ54,$AM$11:$AM$259),""),0)),"")</f>
        <v/>
      </c>
      <c r="AS55" s="885" t="str">
        <f>IF(AND(OR(AB55="Yes",AB55="Pending"),P55='G-1 All Habitats'!$X$3),T55-X55-Y55,"0")</f>
        <v>0</v>
      </c>
      <c r="AT55" s="30" t="str">
        <f t="shared" si="1"/>
        <v/>
      </c>
      <c r="AU55" s="30">
        <f t="shared" si="6"/>
        <v>0</v>
      </c>
      <c r="AV55" s="230" t="str">
        <f>IFERROR(INDEX('G-1 All Habitats'!$B$3:$B$135,MATCH(F55,'G-1 All Habitats'!$A$3:$A$135,0)),"")</f>
        <v/>
      </c>
      <c r="AW55" s="30" t="str">
        <f>IF(AV55="","",VLOOKUP(AV55,'G-1 All Habitats'!$B$1:$T$135,19,FALSE))</f>
        <v/>
      </c>
      <c r="AY55" s="287" t="str">
        <f t="shared" si="7"/>
        <v/>
      </c>
    </row>
    <row r="56" spans="1:51" ht="14">
      <c r="A56" s="30" t="str">
        <f>IFERROR(INDEX('G-1 All Habitats'!$AG$3:$AG$17,MATCH(E56,'G-1 All Habitats'!$AF$3:$AF$17,0)),"")</f>
        <v/>
      </c>
      <c r="B56" s="30" t="str">
        <f>IFERROR(INDEX('G-8 Condition Look up'!$I$4:$I$135,MATCH(AV56,'G-8 Condition Look up'!$A$4:$A$135,0)),"")</f>
        <v/>
      </c>
      <c r="D56" s="97">
        <v>46</v>
      </c>
      <c r="E56" s="262"/>
      <c r="F56" s="263"/>
      <c r="G56" s="133"/>
      <c r="H56" s="115"/>
      <c r="I56" s="509" t="str">
        <f>IF(AV56="","",IF(AND(AW56="Yes",G56="No"),"Irreplaceable habitat ▲",IF(AND(AW56="No",G56="Yes"),"Cannot be Irreplaceable ▲",VLOOKUP(AV56,'G-1 All Habitats'!$B$2:$M$135,10,FALSE))))</f>
        <v/>
      </c>
      <c r="J56" s="377" t="str">
        <f>IFERROR(VLOOKUP(I56,'G-1 All Habitats'!$V$3:$W$7,2,FALSE),"")</f>
        <v/>
      </c>
      <c r="K56" s="101"/>
      <c r="L56" s="276" t="str">
        <f>IFERROR(INDEX('G-8 Condition Look up'!$A$3:$H$135,MATCH(AV56,'G-8 Condition Look up'!$A$3:$A$135,0),MATCH(K56,'G-8 Condition Look up'!$A$3:$H$3,0)),"")</f>
        <v/>
      </c>
      <c r="M56" s="105"/>
      <c r="N56" s="295" t="str">
        <f>IF(M56="","",IF(VLOOKUP(M56,'G-3 Multipliers'!$L$3:$N$6,2,FALSE)=0,"Spatial Data Missing ⚠",VLOOKUP(M56,'G-3 Multipliers'!$L$3:$N$6,2,FALSE)))</f>
        <v/>
      </c>
      <c r="O56" s="353" t="str">
        <f>IF(M56="","",IF(VLOOKUP(M56,'G-3 Multipliers'!$L$3:$N$6,3,FALSE)=0,"Spatial Data Missing ⚠",VLOOKUP(M56,'G-3 Multipliers'!$L$3:$N$6,3,FALSE)))</f>
        <v/>
      </c>
      <c r="P56" s="336" t="str">
        <f>(IF(G56="Yes","Bespoke compensation likely to be required",(IFERROR(VLOOKUP(AV56,'G-1 All Habitats'!$B$2:$M$135,12,FALSE),""))))</f>
        <v/>
      </c>
      <c r="Q56" s="511" t="str">
        <f>IFERROR(IF(P56="","",IF(AND(E56="Individual trees",W56&gt;0,G56="Yes"),"Error - you cannot enhance irreplaceable individual trees ▲",IF(P56='G-1 All Habitats'!$X$9,T56*S56,IF(AND(P56='G-1 All Habitats'!$X$9,W56&gt;0),X56+(Y56*S56),IF(AND(P56='G-1 All Habitats'!$X$9,V56&gt;0),X56+(Y56*S56),IF(AND(P56='G-1 All Habitats'!$X$9,AG56&gt;0),"Any Loss Unacceptable  ⚠",IF(AND(P56='G-1 All Habitats'!$X$9,Z56&gt;0),"Any Loss Unacceptable ⚠",H56*J56*L56*O56*S56))))))),"Check Data ⚠")</f>
        <v/>
      </c>
      <c r="R56" s="393"/>
      <c r="S56" s="510" t="str">
        <f>IF(R56="","",IF(VLOOKUP(R56,'G-3 Multipliers'!$S$3:$T$10,2,FALSE)=0,"Spatial Data Missing ⚠",VLOOKUP(R56,'G-3 Multipliers'!$S$3:$T$10,2,FALSE)))</f>
        <v/>
      </c>
      <c r="T56" s="289" t="str">
        <f>IFERROR(IF(AND(F56&lt;&gt;"",G56=""),"Confirm irreplaceable habitat status ▲",(IF(AND(R56&lt;&gt;"",AF56=""),"Off-site reference required ▲",(IF(AND(E56="Individual trees",W56&gt;0,G56="Yes"),"Error - you cannot enhance irreplaceable individual trees ▲",(IF(AND(X56="Irreplaceable habitat - no units generated ⚠",(W56+V56)&lt;H56,OR(AB56="No",AB56="")),"Any Loss Unacceptable ⚠",(IF(X56="Irreplaceable habitat - no units generated ⚠",W56*J56*L56*O56,IF(AND(P56='G-1 All Habitats'!$X$9,AH56&gt;0,V56&lt;=0,W56&lt;=0,OR(AB56="No",AB56="")),"Any Loss Unacceptable ⚠",IF(AND(P56='G-1 All Habitats'!$X$9,AH56&gt;0,V56&lt;=0,W56&lt;=0),0,(IF(AND(P56='G-1 All Habitats'!$X$9,(W56+V56)&lt;H56,OR(AB56="No",AB56="")),"Any Loss Unacceptable ⚠",(IF(P56="","",IF(AND(P56='G-1 All Habitats'!$X$9,W56&gt;0),X56+Y56,IF(AND(P56='G-1 All Habitats'!$X$9,V56&gt;0),X56+Y56,IF(R56="","",H56*J56*L56*O56)))))))))))))))))),"Check Data ▲")</f>
        <v/>
      </c>
      <c r="U56" s="38"/>
      <c r="V56" s="52"/>
      <c r="W56" s="53"/>
      <c r="X56" s="287" t="str">
        <f t="shared" si="2"/>
        <v/>
      </c>
      <c r="Y56" s="287" t="str">
        <f t="shared" si="3"/>
        <v/>
      </c>
      <c r="Z56" s="287" t="str">
        <f t="shared" si="4"/>
        <v/>
      </c>
      <c r="AA56" s="317" t="str">
        <f>IFERROR(IF(AND(E56="Individual trees",G56="Yes",W56&gt;0),"Error - you cannot enhance an irreplaceable tree ▲",(IF(H56="","",IF(H56-V56-W56=0&lt;0,"Error in Areas ▲",IF(V56+W56&gt;H56,"Error in Areas ▲",IF(AND(P56='G-1 All Habitats'!$X$9,AB56="Yes"),"Alternative Compensation ✓",IF(AND(P56='G-1 All Habitats'!$X$3,AB56="Yes"),"Alternative Compensation ✓",IF(AND(AB56="Pending",P56='G-1 All Habitats'!$X$3),"Bespoke compensation must be agreed ▲",IF(AND(AB56="Pending",P56='G-1 All Habitats'!$X$9),"Bespoke compensation must be agreed  ▲",IF(Z56=0,0,IF(P56='G-1 All Habitats'!$X$9,"Any Loss Unacceptable ▲",T56-X56-Y56))))))))))),"Check Data ⚠")</f>
        <v/>
      </c>
      <c r="AB56" s="587"/>
      <c r="AC56" s="105"/>
      <c r="AD56" s="138"/>
      <c r="AE56" s="104"/>
      <c r="AF56" s="611"/>
      <c r="AG56" s="523" t="str">
        <f>IF(OR(P56="",AB56="Yes"),"",IF(P56='G-1 All Habitats'!$X$9,H56-V56-W56,"None"))</f>
        <v/>
      </c>
      <c r="AH56" s="523" t="str">
        <f>IF(P56="","",IF(P56='G-1 All Habitats'!$X$9,AG56*J56*L56*O56,"None"))</f>
        <v/>
      </c>
      <c r="AJ56" s="107" t="str">
        <f t="shared" si="5"/>
        <v/>
      </c>
      <c r="AK56" s="107" t="str">
        <f t="shared" si="8"/>
        <v/>
      </c>
      <c r="AL56" s="107" t="str">
        <f>IF(I56="","",IF(#REF!&gt;0,TRUE,FALSE))</f>
        <v/>
      </c>
      <c r="AM56" s="107">
        <v>46</v>
      </c>
      <c r="AN56" s="107"/>
      <c r="AO56" s="107" t="str">
        <f t="array" ref="AO56">IFERROR(INDEX($AM$11:$AM$259,MATCH(0,IF(TRUE=$AJ$11:$AJ$259,COUNTIF($AO$10:$AO55,$AM$11:$AM$259),""),0)),"")</f>
        <v/>
      </c>
      <c r="AP56" s="107" t="str">
        <f t="array" ref="AP56">IFERROR(INDEX($AM$11:$AM$259,MATCH(0,IF(TRUE=$AK$11:$AK$259,COUNTIF($AP$10:$AP55,$AM$11:$AM$259),""),0)),"")</f>
        <v/>
      </c>
      <c r="AQ56" s="107" t="str">
        <f t="array" ref="AQ56">IFERROR(INDEX($AM$11:$AM$259,MATCH(0,IF(TRUE=$AL$11:$AL$259,COUNTIF($AQ$10:$AQ55,$AM$11:$AM$259),""),0)),"")</f>
        <v/>
      </c>
      <c r="AS56" s="885" t="str">
        <f>IF(AND(OR(AB56="Yes",AB56="Pending"),P56='G-1 All Habitats'!$X$3),T56-X56-Y56,"0")</f>
        <v>0</v>
      </c>
      <c r="AT56" s="30" t="str">
        <f t="shared" si="1"/>
        <v/>
      </c>
      <c r="AU56" s="30">
        <f t="shared" si="6"/>
        <v>0</v>
      </c>
      <c r="AV56" s="230" t="str">
        <f>IFERROR(INDEX('G-1 All Habitats'!$B$3:$B$135,MATCH(F56,'G-1 All Habitats'!$A$3:$A$135,0)),"")</f>
        <v/>
      </c>
      <c r="AW56" s="30" t="str">
        <f>IF(AV56="","",VLOOKUP(AV56,'G-1 All Habitats'!$B$1:$T$135,19,FALSE))</f>
        <v/>
      </c>
      <c r="AY56" s="287" t="str">
        <f t="shared" si="7"/>
        <v/>
      </c>
    </row>
    <row r="57" spans="1:51" ht="14">
      <c r="A57" s="30" t="str">
        <f>IFERROR(INDEX('G-1 All Habitats'!$AG$3:$AG$17,MATCH(E57,'G-1 All Habitats'!$AF$3:$AF$17,0)),"")</f>
        <v/>
      </c>
      <c r="B57" s="30" t="str">
        <f>IFERROR(INDEX('G-8 Condition Look up'!$I$4:$I$135,MATCH(AV57,'G-8 Condition Look up'!$A$4:$A$135,0)),"")</f>
        <v/>
      </c>
      <c r="D57" s="97">
        <v>47</v>
      </c>
      <c r="E57" s="262"/>
      <c r="F57" s="263"/>
      <c r="G57" s="133"/>
      <c r="H57" s="115"/>
      <c r="I57" s="509" t="str">
        <f>IF(AV57="","",IF(AND(AW57="Yes",G57="No"),"Irreplaceable habitat ▲",IF(AND(AW57="No",G57="Yes"),"Cannot be Irreplaceable ▲",VLOOKUP(AV57,'G-1 All Habitats'!$B$2:$M$135,10,FALSE))))</f>
        <v/>
      </c>
      <c r="J57" s="377" t="str">
        <f>IFERROR(VLOOKUP(I57,'G-1 All Habitats'!$V$3:$W$7,2,FALSE),"")</f>
        <v/>
      </c>
      <c r="K57" s="101"/>
      <c r="L57" s="276" t="str">
        <f>IFERROR(INDEX('G-8 Condition Look up'!$A$3:$H$135,MATCH(AV57,'G-8 Condition Look up'!$A$3:$A$135,0),MATCH(K57,'G-8 Condition Look up'!$A$3:$H$3,0)),"")</f>
        <v/>
      </c>
      <c r="M57" s="105"/>
      <c r="N57" s="295" t="str">
        <f>IF(M57="","",IF(VLOOKUP(M57,'G-3 Multipliers'!$L$3:$N$6,2,FALSE)=0,"Spatial Data Missing ⚠",VLOOKUP(M57,'G-3 Multipliers'!$L$3:$N$6,2,FALSE)))</f>
        <v/>
      </c>
      <c r="O57" s="353" t="str">
        <f>IF(M57="","",IF(VLOOKUP(M57,'G-3 Multipliers'!$L$3:$N$6,3,FALSE)=0,"Spatial Data Missing ⚠",VLOOKUP(M57,'G-3 Multipliers'!$L$3:$N$6,3,FALSE)))</f>
        <v/>
      </c>
      <c r="P57" s="336" t="str">
        <f>(IF(G57="Yes","Bespoke compensation likely to be required",(IFERROR(VLOOKUP(AV57,'G-1 All Habitats'!$B$2:$M$135,12,FALSE),""))))</f>
        <v/>
      </c>
      <c r="Q57" s="511" t="str">
        <f>IFERROR(IF(P57="","",IF(AND(E57="Individual trees",W57&gt;0,G57="Yes"),"Error - you cannot enhance irreplaceable individual trees ▲",IF(P57='G-1 All Habitats'!$X$9,T57*S57,IF(AND(P57='G-1 All Habitats'!$X$9,W57&gt;0),X57+(Y57*S57),IF(AND(P57='G-1 All Habitats'!$X$9,V57&gt;0),X57+(Y57*S57),IF(AND(P57='G-1 All Habitats'!$X$9,AG57&gt;0),"Any Loss Unacceptable  ⚠",IF(AND(P57='G-1 All Habitats'!$X$9,Z57&gt;0),"Any Loss Unacceptable ⚠",H57*J57*L57*O57*S57))))))),"Check Data ⚠")</f>
        <v/>
      </c>
      <c r="R57" s="393"/>
      <c r="S57" s="510" t="str">
        <f>IF(R57="","",IF(VLOOKUP(R57,'G-3 Multipliers'!$S$3:$T$10,2,FALSE)=0,"Spatial Data Missing ⚠",VLOOKUP(R57,'G-3 Multipliers'!$S$3:$T$10,2,FALSE)))</f>
        <v/>
      </c>
      <c r="T57" s="289" t="str">
        <f>IFERROR(IF(AND(F57&lt;&gt;"",G57=""),"Confirm irreplaceable habitat status ▲",(IF(AND(R57&lt;&gt;"",AF57=""),"Off-site reference required ▲",(IF(AND(E57="Individual trees",W57&gt;0,G57="Yes"),"Error - you cannot enhance irreplaceable individual trees ▲",(IF(AND(X57="Irreplaceable habitat - no units generated ⚠",(W57+V57)&lt;H57,OR(AB57="No",AB57="")),"Any Loss Unacceptable ⚠",(IF(X57="Irreplaceable habitat - no units generated ⚠",W57*J57*L57*O57,IF(AND(P57='G-1 All Habitats'!$X$9,AH57&gt;0,V57&lt;=0,W57&lt;=0,OR(AB57="No",AB57="")),"Any Loss Unacceptable ⚠",IF(AND(P57='G-1 All Habitats'!$X$9,AH57&gt;0,V57&lt;=0,W57&lt;=0),0,(IF(AND(P57='G-1 All Habitats'!$X$9,(W57+V57)&lt;H57,OR(AB57="No",AB57="")),"Any Loss Unacceptable ⚠",(IF(P57="","",IF(AND(P57='G-1 All Habitats'!$X$9,W57&gt;0),X57+Y57,IF(AND(P57='G-1 All Habitats'!$X$9,V57&gt;0),X57+Y57,IF(R57="","",H57*J57*L57*O57)))))))))))))))))),"Check Data ▲")</f>
        <v/>
      </c>
      <c r="U57" s="38"/>
      <c r="V57" s="52"/>
      <c r="W57" s="53"/>
      <c r="X57" s="287" t="str">
        <f t="shared" si="2"/>
        <v/>
      </c>
      <c r="Y57" s="287" t="str">
        <f t="shared" si="3"/>
        <v/>
      </c>
      <c r="Z57" s="287" t="str">
        <f t="shared" si="4"/>
        <v/>
      </c>
      <c r="AA57" s="317" t="str">
        <f>IFERROR(IF(AND(E57="Individual trees",G57="Yes",W57&gt;0),"Error - you cannot enhance an irreplaceable tree ▲",(IF(H57="","",IF(H57-V57-W57=0&lt;0,"Error in Areas ▲",IF(V57+W57&gt;H57,"Error in Areas ▲",IF(AND(P57='G-1 All Habitats'!$X$9,AB57="Yes"),"Alternative Compensation ✓",IF(AND(P57='G-1 All Habitats'!$X$3,AB57="Yes"),"Alternative Compensation ✓",IF(AND(AB57="Pending",P57='G-1 All Habitats'!$X$3),"Bespoke compensation must be agreed ▲",IF(AND(AB57="Pending",P57='G-1 All Habitats'!$X$9),"Bespoke compensation must be agreed  ▲",IF(Z57=0,0,IF(P57='G-1 All Habitats'!$X$9,"Any Loss Unacceptable ▲",T57-X57-Y57))))))))))),"Check Data ⚠")</f>
        <v/>
      </c>
      <c r="AB57" s="587"/>
      <c r="AC57" s="105"/>
      <c r="AD57" s="138"/>
      <c r="AE57" s="104"/>
      <c r="AF57" s="611"/>
      <c r="AG57" s="523" t="str">
        <f>IF(OR(P57="",AB57="Yes"),"",IF(P57='G-1 All Habitats'!$X$9,H57-V57-W57,"None"))</f>
        <v/>
      </c>
      <c r="AH57" s="523" t="str">
        <f>IF(P57="","",IF(P57='G-1 All Habitats'!$X$9,AG57*J57*L57*O57,"None"))</f>
        <v/>
      </c>
      <c r="AJ57" s="107" t="str">
        <f t="shared" si="5"/>
        <v/>
      </c>
      <c r="AK57" s="107" t="str">
        <f t="shared" si="8"/>
        <v/>
      </c>
      <c r="AL57" s="107" t="str">
        <f>IF(I57="","",IF(#REF!&gt;0,TRUE,FALSE))</f>
        <v/>
      </c>
      <c r="AM57" s="107">
        <v>47</v>
      </c>
      <c r="AN57" s="107"/>
      <c r="AO57" s="107" t="str">
        <f t="array" ref="AO57">IFERROR(INDEX($AM$11:$AM$259,MATCH(0,IF(TRUE=$AJ$11:$AJ$259,COUNTIF($AO$10:$AO56,$AM$11:$AM$259),""),0)),"")</f>
        <v/>
      </c>
      <c r="AP57" s="107" t="str">
        <f t="array" ref="AP57">IFERROR(INDEX($AM$11:$AM$259,MATCH(0,IF(TRUE=$AK$11:$AK$259,COUNTIF($AP$10:$AP56,$AM$11:$AM$259),""),0)),"")</f>
        <v/>
      </c>
      <c r="AQ57" s="107" t="str">
        <f t="array" ref="AQ57">IFERROR(INDEX($AM$11:$AM$259,MATCH(0,IF(TRUE=$AL$11:$AL$259,COUNTIF($AQ$10:$AQ56,$AM$11:$AM$259),""),0)),"")</f>
        <v/>
      </c>
      <c r="AS57" s="885" t="str">
        <f>IF(AND(OR(AB57="Yes",AB57="Pending"),P57='G-1 All Habitats'!$X$3),T57-X57-Y57,"0")</f>
        <v>0</v>
      </c>
      <c r="AT57" s="30" t="str">
        <f t="shared" si="1"/>
        <v/>
      </c>
      <c r="AU57" s="30">
        <f t="shared" si="6"/>
        <v>0</v>
      </c>
      <c r="AV57" s="230" t="str">
        <f>IFERROR(INDEX('G-1 All Habitats'!$B$3:$B$135,MATCH(F57,'G-1 All Habitats'!$A$3:$A$135,0)),"")</f>
        <v/>
      </c>
      <c r="AW57" s="30" t="str">
        <f>IF(AV57="","",VLOOKUP(AV57,'G-1 All Habitats'!$B$1:$T$135,19,FALSE))</f>
        <v/>
      </c>
      <c r="AY57" s="287" t="str">
        <f t="shared" si="7"/>
        <v/>
      </c>
    </row>
    <row r="58" spans="1:51" ht="14">
      <c r="A58" s="30" t="str">
        <f>IFERROR(INDEX('G-1 All Habitats'!$AG$3:$AG$17,MATCH(E58,'G-1 All Habitats'!$AF$3:$AF$17,0)),"")</f>
        <v/>
      </c>
      <c r="B58" s="30" t="str">
        <f>IFERROR(INDEX('G-8 Condition Look up'!$I$4:$I$135,MATCH(AV58,'G-8 Condition Look up'!$A$4:$A$135,0)),"")</f>
        <v/>
      </c>
      <c r="D58" s="97">
        <v>48</v>
      </c>
      <c r="E58" s="262"/>
      <c r="F58" s="263"/>
      <c r="G58" s="133"/>
      <c r="H58" s="115"/>
      <c r="I58" s="509" t="str">
        <f>IF(AV58="","",IF(AND(AW58="Yes",G58="No"),"Irreplaceable habitat ▲",IF(AND(AW58="No",G58="Yes"),"Cannot be Irreplaceable ▲",VLOOKUP(AV58,'G-1 All Habitats'!$B$2:$M$135,10,FALSE))))</f>
        <v/>
      </c>
      <c r="J58" s="377" t="str">
        <f>IFERROR(VLOOKUP(I58,'G-1 All Habitats'!$V$3:$W$7,2,FALSE),"")</f>
        <v/>
      </c>
      <c r="K58" s="101"/>
      <c r="L58" s="276" t="str">
        <f>IFERROR(INDEX('G-8 Condition Look up'!$A$3:$H$135,MATCH(AV58,'G-8 Condition Look up'!$A$3:$A$135,0),MATCH(K58,'G-8 Condition Look up'!$A$3:$H$3,0)),"")</f>
        <v/>
      </c>
      <c r="M58" s="105"/>
      <c r="N58" s="295" t="str">
        <f>IF(M58="","",IF(VLOOKUP(M58,'G-3 Multipliers'!$L$3:$N$6,2,FALSE)=0,"Spatial Data Missing ⚠",VLOOKUP(M58,'G-3 Multipliers'!$L$3:$N$6,2,FALSE)))</f>
        <v/>
      </c>
      <c r="O58" s="353" t="str">
        <f>IF(M58="","",IF(VLOOKUP(M58,'G-3 Multipliers'!$L$3:$N$6,3,FALSE)=0,"Spatial Data Missing ⚠",VLOOKUP(M58,'G-3 Multipliers'!$L$3:$N$6,3,FALSE)))</f>
        <v/>
      </c>
      <c r="P58" s="336" t="str">
        <f>(IF(G58="Yes","Bespoke compensation likely to be required",(IFERROR(VLOOKUP(AV58,'G-1 All Habitats'!$B$2:$M$135,12,FALSE),""))))</f>
        <v/>
      </c>
      <c r="Q58" s="511" t="str">
        <f>IFERROR(IF(P58="","",IF(AND(E58="Individual trees",W58&gt;0,G58="Yes"),"Error - you cannot enhance irreplaceable individual trees ▲",IF(P58='G-1 All Habitats'!$X$9,T58*S58,IF(AND(P58='G-1 All Habitats'!$X$9,W58&gt;0),X58+(Y58*S58),IF(AND(P58='G-1 All Habitats'!$X$9,V58&gt;0),X58+(Y58*S58),IF(AND(P58='G-1 All Habitats'!$X$9,AG58&gt;0),"Any Loss Unacceptable  ⚠",IF(AND(P58='G-1 All Habitats'!$X$9,Z58&gt;0),"Any Loss Unacceptable ⚠",H58*J58*L58*O58*S58))))))),"Check Data ⚠")</f>
        <v/>
      </c>
      <c r="R58" s="393"/>
      <c r="S58" s="510" t="str">
        <f>IF(R58="","",IF(VLOOKUP(R58,'G-3 Multipliers'!$S$3:$T$10,2,FALSE)=0,"Spatial Data Missing ⚠",VLOOKUP(R58,'G-3 Multipliers'!$S$3:$T$10,2,FALSE)))</f>
        <v/>
      </c>
      <c r="T58" s="289" t="str">
        <f>IFERROR(IF(AND(F58&lt;&gt;"",G58=""),"Confirm irreplaceable habitat status ▲",(IF(AND(R58&lt;&gt;"",AF58=""),"Off-site reference required ▲",(IF(AND(E58="Individual trees",W58&gt;0,G58="Yes"),"Error - you cannot enhance irreplaceable individual trees ▲",(IF(AND(X58="Irreplaceable habitat - no units generated ⚠",(W58+V58)&lt;H58,OR(AB58="No",AB58="")),"Any Loss Unacceptable ⚠",(IF(X58="Irreplaceable habitat - no units generated ⚠",W58*J58*L58*O58,IF(AND(P58='G-1 All Habitats'!$X$9,AH58&gt;0,V58&lt;=0,W58&lt;=0,OR(AB58="No",AB58="")),"Any Loss Unacceptable ⚠",IF(AND(P58='G-1 All Habitats'!$X$9,AH58&gt;0,V58&lt;=0,W58&lt;=0),0,(IF(AND(P58='G-1 All Habitats'!$X$9,(W58+V58)&lt;H58,OR(AB58="No",AB58="")),"Any Loss Unacceptable ⚠",(IF(P58="","",IF(AND(P58='G-1 All Habitats'!$X$9,W58&gt;0),X58+Y58,IF(AND(P58='G-1 All Habitats'!$X$9,V58&gt;0),X58+Y58,IF(R58="","",H58*J58*L58*O58)))))))))))))))))),"Check Data ▲")</f>
        <v/>
      </c>
      <c r="U58" s="38"/>
      <c r="V58" s="52"/>
      <c r="W58" s="53"/>
      <c r="X58" s="287" t="str">
        <f t="shared" si="2"/>
        <v/>
      </c>
      <c r="Y58" s="287" t="str">
        <f t="shared" si="3"/>
        <v/>
      </c>
      <c r="Z58" s="287" t="str">
        <f t="shared" si="4"/>
        <v/>
      </c>
      <c r="AA58" s="317" t="str">
        <f>IFERROR(IF(AND(E58="Individual trees",G58="Yes",W58&gt;0),"Error - you cannot enhance an irreplaceable tree ▲",(IF(H58="","",IF(H58-V58-W58=0&lt;0,"Error in Areas ▲",IF(V58+W58&gt;H58,"Error in Areas ▲",IF(AND(P58='G-1 All Habitats'!$X$9,AB58="Yes"),"Alternative Compensation ✓",IF(AND(P58='G-1 All Habitats'!$X$3,AB58="Yes"),"Alternative Compensation ✓",IF(AND(AB58="Pending",P58='G-1 All Habitats'!$X$3),"Bespoke compensation must be agreed ▲",IF(AND(AB58="Pending",P58='G-1 All Habitats'!$X$9),"Bespoke compensation must be agreed  ▲",IF(Z58=0,0,IF(P58='G-1 All Habitats'!$X$9,"Any Loss Unacceptable ▲",T58-X58-Y58))))))))))),"Check Data ⚠")</f>
        <v/>
      </c>
      <c r="AB58" s="587"/>
      <c r="AC58" s="105"/>
      <c r="AD58" s="138"/>
      <c r="AE58" s="104"/>
      <c r="AF58" s="611"/>
      <c r="AG58" s="523" t="str">
        <f>IF(OR(P58="",AB58="Yes"),"",IF(P58='G-1 All Habitats'!$X$9,H58-V58-W58,"None"))</f>
        <v/>
      </c>
      <c r="AH58" s="523" t="str">
        <f>IF(P58="","",IF(P58='G-1 All Habitats'!$X$9,AG58*J58*L58*O58,"None"))</f>
        <v/>
      </c>
      <c r="AJ58" s="107" t="str">
        <f t="shared" si="5"/>
        <v/>
      </c>
      <c r="AK58" s="107" t="str">
        <f t="shared" si="8"/>
        <v/>
      </c>
      <c r="AL58" s="107" t="str">
        <f>IF(I58="","",IF(#REF!&gt;0,TRUE,FALSE))</f>
        <v/>
      </c>
      <c r="AM58" s="107">
        <v>48</v>
      </c>
      <c r="AN58" s="107"/>
      <c r="AO58" s="107" t="str">
        <f t="array" ref="AO58">IFERROR(INDEX($AM$11:$AM$259,MATCH(0,IF(TRUE=$AJ$11:$AJ$259,COUNTIF($AO$10:$AO57,$AM$11:$AM$259),""),0)),"")</f>
        <v/>
      </c>
      <c r="AP58" s="107" t="str">
        <f t="array" ref="AP58">IFERROR(INDEX($AM$11:$AM$259,MATCH(0,IF(TRUE=$AK$11:$AK$259,COUNTIF($AP$10:$AP57,$AM$11:$AM$259),""),0)),"")</f>
        <v/>
      </c>
      <c r="AQ58" s="107" t="str">
        <f t="array" ref="AQ58">IFERROR(INDEX($AM$11:$AM$259,MATCH(0,IF(TRUE=$AL$11:$AL$259,COUNTIF($AQ$10:$AQ57,$AM$11:$AM$259),""),0)),"")</f>
        <v/>
      </c>
      <c r="AS58" s="885" t="str">
        <f>IF(AND(OR(AB58="Yes",AB58="Pending"),P58='G-1 All Habitats'!$X$3),T58-X58-Y58,"0")</f>
        <v>0</v>
      </c>
      <c r="AT58" s="30" t="str">
        <f t="shared" si="1"/>
        <v/>
      </c>
      <c r="AU58" s="30">
        <f t="shared" si="6"/>
        <v>0</v>
      </c>
      <c r="AV58" s="230" t="str">
        <f>IFERROR(INDEX('G-1 All Habitats'!$B$3:$B$135,MATCH(F58,'G-1 All Habitats'!$A$3:$A$135,0)),"")</f>
        <v/>
      </c>
      <c r="AW58" s="30" t="str">
        <f>IF(AV58="","",VLOOKUP(AV58,'G-1 All Habitats'!$B$1:$T$135,19,FALSE))</f>
        <v/>
      </c>
      <c r="AY58" s="287" t="str">
        <f t="shared" si="7"/>
        <v/>
      </c>
    </row>
    <row r="59" spans="1:51" ht="14">
      <c r="A59" s="30" t="str">
        <f>IFERROR(INDEX('G-1 All Habitats'!$AG$3:$AG$17,MATCH(E59,'G-1 All Habitats'!$AF$3:$AF$17,0)),"")</f>
        <v/>
      </c>
      <c r="B59" s="30" t="str">
        <f>IFERROR(INDEX('G-8 Condition Look up'!$I$4:$I$135,MATCH(AV59,'G-8 Condition Look up'!$A$4:$A$135,0)),"")</f>
        <v/>
      </c>
      <c r="D59" s="97">
        <v>49</v>
      </c>
      <c r="E59" s="262"/>
      <c r="F59" s="263"/>
      <c r="G59" s="133"/>
      <c r="H59" s="115"/>
      <c r="I59" s="509" t="str">
        <f>IF(AV59="","",IF(AND(AW59="Yes",G59="No"),"Irreplaceable habitat ▲",IF(AND(AW59="No",G59="Yes"),"Cannot be Irreplaceable ▲",VLOOKUP(AV59,'G-1 All Habitats'!$B$2:$M$135,10,FALSE))))</f>
        <v/>
      </c>
      <c r="J59" s="377" t="str">
        <f>IFERROR(VLOOKUP(I59,'G-1 All Habitats'!$V$3:$W$7,2,FALSE),"")</f>
        <v/>
      </c>
      <c r="K59" s="101"/>
      <c r="L59" s="276" t="str">
        <f>IFERROR(INDEX('G-8 Condition Look up'!$A$3:$H$135,MATCH(AV59,'G-8 Condition Look up'!$A$3:$A$135,0),MATCH(K59,'G-8 Condition Look up'!$A$3:$H$3,0)),"")</f>
        <v/>
      </c>
      <c r="M59" s="105"/>
      <c r="N59" s="295" t="str">
        <f>IF(M59="","",IF(VLOOKUP(M59,'G-3 Multipliers'!$L$3:$N$6,2,FALSE)=0,"Spatial Data Missing ⚠",VLOOKUP(M59,'G-3 Multipliers'!$L$3:$N$6,2,FALSE)))</f>
        <v/>
      </c>
      <c r="O59" s="353" t="str">
        <f>IF(M59="","",IF(VLOOKUP(M59,'G-3 Multipliers'!$L$3:$N$6,3,FALSE)=0,"Spatial Data Missing ⚠",VLOOKUP(M59,'G-3 Multipliers'!$L$3:$N$6,3,FALSE)))</f>
        <v/>
      </c>
      <c r="P59" s="336" t="str">
        <f>(IF(G59="Yes","Bespoke compensation likely to be required",(IFERROR(VLOOKUP(AV59,'G-1 All Habitats'!$B$2:$M$135,12,FALSE),""))))</f>
        <v/>
      </c>
      <c r="Q59" s="511" t="str">
        <f>IFERROR(IF(P59="","",IF(AND(E59="Individual trees",W59&gt;0,G59="Yes"),"Error - you cannot enhance irreplaceable individual trees ▲",IF(P59='G-1 All Habitats'!$X$9,T59*S59,IF(AND(P59='G-1 All Habitats'!$X$9,W59&gt;0),X59+(Y59*S59),IF(AND(P59='G-1 All Habitats'!$X$9,V59&gt;0),X59+(Y59*S59),IF(AND(P59='G-1 All Habitats'!$X$9,AG59&gt;0),"Any Loss Unacceptable  ⚠",IF(AND(P59='G-1 All Habitats'!$X$9,Z59&gt;0),"Any Loss Unacceptable ⚠",H59*J59*L59*O59*S59))))))),"Check Data ⚠")</f>
        <v/>
      </c>
      <c r="R59" s="393"/>
      <c r="S59" s="510" t="str">
        <f>IF(R59="","",IF(VLOOKUP(R59,'G-3 Multipliers'!$S$3:$T$10,2,FALSE)=0,"Spatial Data Missing ⚠",VLOOKUP(R59,'G-3 Multipliers'!$S$3:$T$10,2,FALSE)))</f>
        <v/>
      </c>
      <c r="T59" s="289" t="str">
        <f>IFERROR(IF(AND(F59&lt;&gt;"",G59=""),"Confirm irreplaceable habitat status ▲",(IF(AND(R59&lt;&gt;"",AF59=""),"Off-site reference required ▲",(IF(AND(E59="Individual trees",W59&gt;0,G59="Yes"),"Error - you cannot enhance irreplaceable individual trees ▲",(IF(AND(X59="Irreplaceable habitat - no units generated ⚠",(W59+V59)&lt;H59,OR(AB59="No",AB59="")),"Any Loss Unacceptable ⚠",(IF(X59="Irreplaceable habitat - no units generated ⚠",W59*J59*L59*O59,IF(AND(P59='G-1 All Habitats'!$X$9,AH59&gt;0,V59&lt;=0,W59&lt;=0,OR(AB59="No",AB59="")),"Any Loss Unacceptable ⚠",IF(AND(P59='G-1 All Habitats'!$X$9,AH59&gt;0,V59&lt;=0,W59&lt;=0),0,(IF(AND(P59='G-1 All Habitats'!$X$9,(W59+V59)&lt;H59,OR(AB59="No",AB59="")),"Any Loss Unacceptable ⚠",(IF(P59="","",IF(AND(P59='G-1 All Habitats'!$X$9,W59&gt;0),X59+Y59,IF(AND(P59='G-1 All Habitats'!$X$9,V59&gt;0),X59+Y59,IF(R59="","",H59*J59*L59*O59)))))))))))))))))),"Check Data ▲")</f>
        <v/>
      </c>
      <c r="U59" s="38"/>
      <c r="V59" s="52"/>
      <c r="W59" s="53"/>
      <c r="X59" s="287" t="str">
        <f t="shared" si="2"/>
        <v/>
      </c>
      <c r="Y59" s="287" t="str">
        <f t="shared" si="3"/>
        <v/>
      </c>
      <c r="Z59" s="287" t="str">
        <f t="shared" si="4"/>
        <v/>
      </c>
      <c r="AA59" s="317" t="str">
        <f>IFERROR(IF(AND(E59="Individual trees",G59="Yes",W59&gt;0),"Error - you cannot enhance an irreplaceable tree ▲",(IF(H59="","",IF(H59-V59-W59=0&lt;0,"Error in Areas ▲",IF(V59+W59&gt;H59,"Error in Areas ▲",IF(AND(P59='G-1 All Habitats'!$X$9,AB59="Yes"),"Alternative Compensation ✓",IF(AND(P59='G-1 All Habitats'!$X$3,AB59="Yes"),"Alternative Compensation ✓",IF(AND(AB59="Pending",P59='G-1 All Habitats'!$X$3),"Bespoke compensation must be agreed ▲",IF(AND(AB59="Pending",P59='G-1 All Habitats'!$X$9),"Bespoke compensation must be agreed  ▲",IF(Z59=0,0,IF(P59='G-1 All Habitats'!$X$9,"Any Loss Unacceptable ▲",T59-X59-Y59))))))))))),"Check Data ⚠")</f>
        <v/>
      </c>
      <c r="AB59" s="587"/>
      <c r="AC59" s="105"/>
      <c r="AD59" s="138"/>
      <c r="AE59" s="104"/>
      <c r="AF59" s="611"/>
      <c r="AG59" s="523" t="str">
        <f>IF(OR(P59="",AB59="Yes"),"",IF(P59='G-1 All Habitats'!$X$9,H59-V59-W59,"None"))</f>
        <v/>
      </c>
      <c r="AH59" s="523" t="str">
        <f>IF(P59="","",IF(P59='G-1 All Habitats'!$X$9,AG59*J59*L59*O59,"None"))</f>
        <v/>
      </c>
      <c r="AJ59" s="107" t="str">
        <f t="shared" si="5"/>
        <v/>
      </c>
      <c r="AK59" s="107" t="str">
        <f t="shared" si="8"/>
        <v/>
      </c>
      <c r="AL59" s="107" t="str">
        <f>IF(I59="","",IF(#REF!&gt;0,TRUE,FALSE))</f>
        <v/>
      </c>
      <c r="AM59" s="107">
        <v>49</v>
      </c>
      <c r="AN59" s="107"/>
      <c r="AO59" s="107" t="str">
        <f t="array" ref="AO59">IFERROR(INDEX($AM$11:$AM$259,MATCH(0,IF(TRUE=$AJ$11:$AJ$259,COUNTIF($AO$10:$AO58,$AM$11:$AM$259),""),0)),"")</f>
        <v/>
      </c>
      <c r="AP59" s="107" t="str">
        <f t="array" ref="AP59">IFERROR(INDEX($AM$11:$AM$259,MATCH(0,IF(TRUE=$AK$11:$AK$259,COUNTIF($AP$10:$AP58,$AM$11:$AM$259),""),0)),"")</f>
        <v/>
      </c>
      <c r="AQ59" s="107" t="str">
        <f t="array" ref="AQ59">IFERROR(INDEX($AM$11:$AM$259,MATCH(0,IF(TRUE=$AL$11:$AL$259,COUNTIF($AQ$10:$AQ58,$AM$11:$AM$259),""),0)),"")</f>
        <v/>
      </c>
      <c r="AS59" s="885" t="str">
        <f>IF(AND(OR(AB59="Yes",AB59="Pending"),P59='G-1 All Habitats'!$X$3),T59-X59-Y59,"0")</f>
        <v>0</v>
      </c>
      <c r="AT59" s="30" t="str">
        <f t="shared" si="1"/>
        <v/>
      </c>
      <c r="AU59" s="30">
        <f t="shared" si="6"/>
        <v>0</v>
      </c>
      <c r="AV59" s="230" t="str">
        <f>IFERROR(INDEX('G-1 All Habitats'!$B$3:$B$135,MATCH(F59,'G-1 All Habitats'!$A$3:$A$135,0)),"")</f>
        <v/>
      </c>
      <c r="AW59" s="30" t="str">
        <f>IF(AV59="","",VLOOKUP(AV59,'G-1 All Habitats'!$B$1:$T$135,19,FALSE))</f>
        <v/>
      </c>
      <c r="AY59" s="287" t="str">
        <f t="shared" si="7"/>
        <v/>
      </c>
    </row>
    <row r="60" spans="1:51" ht="14">
      <c r="A60" s="30" t="str">
        <f>IFERROR(INDEX('G-1 All Habitats'!$AG$3:$AG$17,MATCH(E60,'G-1 All Habitats'!$AF$3:$AF$17,0)),"")</f>
        <v/>
      </c>
      <c r="B60" s="30" t="str">
        <f>IFERROR(INDEX('G-8 Condition Look up'!$I$4:$I$135,MATCH(AV60,'G-8 Condition Look up'!$A$4:$A$135,0)),"")</f>
        <v/>
      </c>
      <c r="D60" s="97">
        <v>50</v>
      </c>
      <c r="E60" s="262"/>
      <c r="F60" s="263"/>
      <c r="G60" s="133"/>
      <c r="H60" s="115"/>
      <c r="I60" s="509" t="str">
        <f>IF(AV60="","",IF(AND(AW60="Yes",G60="No"),"Irreplaceable habitat ▲",IF(AND(AW60="No",G60="Yes"),"Cannot be Irreplaceable ▲",VLOOKUP(AV60,'G-1 All Habitats'!$B$2:$M$135,10,FALSE))))</f>
        <v/>
      </c>
      <c r="J60" s="377" t="str">
        <f>IFERROR(VLOOKUP(I60,'G-1 All Habitats'!$V$3:$W$7,2,FALSE),"")</f>
        <v/>
      </c>
      <c r="K60" s="101"/>
      <c r="L60" s="276" t="str">
        <f>IFERROR(INDEX('G-8 Condition Look up'!$A$3:$H$135,MATCH(AV60,'G-8 Condition Look up'!$A$3:$A$135,0),MATCH(K60,'G-8 Condition Look up'!$A$3:$H$3,0)),"")</f>
        <v/>
      </c>
      <c r="M60" s="105"/>
      <c r="N60" s="295" t="str">
        <f>IF(M60="","",IF(VLOOKUP(M60,'G-3 Multipliers'!$L$3:$N$6,2,FALSE)=0,"Spatial Data Missing ⚠",VLOOKUP(M60,'G-3 Multipliers'!$L$3:$N$6,2,FALSE)))</f>
        <v/>
      </c>
      <c r="O60" s="353" t="str">
        <f>IF(M60="","",IF(VLOOKUP(M60,'G-3 Multipliers'!$L$3:$N$6,3,FALSE)=0,"Spatial Data Missing ⚠",VLOOKUP(M60,'G-3 Multipliers'!$L$3:$N$6,3,FALSE)))</f>
        <v/>
      </c>
      <c r="P60" s="336" t="str">
        <f>(IF(G60="Yes","Bespoke compensation likely to be required",(IFERROR(VLOOKUP(AV60,'G-1 All Habitats'!$B$2:$M$135,12,FALSE),""))))</f>
        <v/>
      </c>
      <c r="Q60" s="511" t="str">
        <f>IFERROR(IF(P60="","",IF(AND(E60="Individual trees",W60&gt;0,G60="Yes"),"Error - you cannot enhance irreplaceable individual trees ▲",IF(P60='G-1 All Habitats'!$X$9,T60*S60,IF(AND(P60='G-1 All Habitats'!$X$9,W60&gt;0),X60+(Y60*S60),IF(AND(P60='G-1 All Habitats'!$X$9,V60&gt;0),X60+(Y60*S60),IF(AND(P60='G-1 All Habitats'!$X$9,AG60&gt;0),"Any Loss Unacceptable  ⚠",IF(AND(P60='G-1 All Habitats'!$X$9,Z60&gt;0),"Any Loss Unacceptable ⚠",H60*J60*L60*O60*S60))))))),"Check Data ⚠")</f>
        <v/>
      </c>
      <c r="R60" s="393"/>
      <c r="S60" s="510" t="str">
        <f>IF(R60="","",IF(VLOOKUP(R60,'G-3 Multipliers'!$S$3:$T$10,2,FALSE)=0,"Spatial Data Missing ⚠",VLOOKUP(R60,'G-3 Multipliers'!$S$3:$T$10,2,FALSE)))</f>
        <v/>
      </c>
      <c r="T60" s="289" t="str">
        <f>IFERROR(IF(AND(F60&lt;&gt;"",G60=""),"Confirm irreplaceable habitat status ▲",(IF(AND(R60&lt;&gt;"",AF60=""),"Off-site reference required ▲",(IF(AND(E60="Individual trees",W60&gt;0,G60="Yes"),"Error - you cannot enhance irreplaceable individual trees ▲",(IF(AND(X60="Irreplaceable habitat - no units generated ⚠",(W60+V60)&lt;H60,OR(AB60="No",AB60="")),"Any Loss Unacceptable ⚠",(IF(X60="Irreplaceable habitat - no units generated ⚠",W60*J60*L60*O60,IF(AND(P60='G-1 All Habitats'!$X$9,AH60&gt;0,V60&lt;=0,W60&lt;=0,OR(AB60="No",AB60="")),"Any Loss Unacceptable ⚠",IF(AND(P60='G-1 All Habitats'!$X$9,AH60&gt;0,V60&lt;=0,W60&lt;=0),0,(IF(AND(P60='G-1 All Habitats'!$X$9,(W60+V60)&lt;H60,OR(AB60="No",AB60="")),"Any Loss Unacceptable ⚠",(IF(P60="","",IF(AND(P60='G-1 All Habitats'!$X$9,W60&gt;0),X60+Y60,IF(AND(P60='G-1 All Habitats'!$X$9,V60&gt;0),X60+Y60,IF(R60="","",H60*J60*L60*O60)))))))))))))))))),"Check Data ▲")</f>
        <v/>
      </c>
      <c r="U60" s="38"/>
      <c r="V60" s="52"/>
      <c r="W60" s="53"/>
      <c r="X60" s="287" t="str">
        <f t="shared" si="2"/>
        <v/>
      </c>
      <c r="Y60" s="287" t="str">
        <f t="shared" si="3"/>
        <v/>
      </c>
      <c r="Z60" s="287" t="str">
        <f t="shared" si="4"/>
        <v/>
      </c>
      <c r="AA60" s="317" t="str">
        <f>IFERROR(IF(AND(E60="Individual trees",G60="Yes",W60&gt;0),"Error - you cannot enhance an irreplaceable tree ▲",(IF(H60="","",IF(H60-V60-W60=0&lt;0,"Error in Areas ▲",IF(V60+W60&gt;H60,"Error in Areas ▲",IF(AND(P60='G-1 All Habitats'!$X$9,AB60="Yes"),"Alternative Compensation ✓",IF(AND(P60='G-1 All Habitats'!$X$3,AB60="Yes"),"Alternative Compensation ✓",IF(AND(AB60="Pending",P60='G-1 All Habitats'!$X$3),"Bespoke compensation must be agreed ▲",IF(AND(AB60="Pending",P60='G-1 All Habitats'!$X$9),"Bespoke compensation must be agreed  ▲",IF(Z60=0,0,IF(P60='G-1 All Habitats'!$X$9,"Any Loss Unacceptable ▲",T60-X60-Y60))))))))))),"Check Data ⚠")</f>
        <v/>
      </c>
      <c r="AB60" s="587"/>
      <c r="AC60" s="105"/>
      <c r="AD60" s="138"/>
      <c r="AE60" s="104"/>
      <c r="AF60" s="611"/>
      <c r="AG60" s="523" t="str">
        <f>IF(OR(P60="",AB60="Yes"),"",IF(P60='G-1 All Habitats'!$X$9,H60-V60-W60,"None"))</f>
        <v/>
      </c>
      <c r="AH60" s="523" t="str">
        <f>IF(P60="","",IF(P60='G-1 All Habitats'!$X$9,AG60*J60*L60*O60,"None"))</f>
        <v/>
      </c>
      <c r="AJ60" s="107" t="str">
        <f t="shared" si="5"/>
        <v/>
      </c>
      <c r="AK60" s="107" t="str">
        <f t="shared" si="8"/>
        <v/>
      </c>
      <c r="AL60" s="107" t="str">
        <f>IF(I60="","",IF(#REF!&gt;0,TRUE,FALSE))</f>
        <v/>
      </c>
      <c r="AM60" s="107">
        <v>50</v>
      </c>
      <c r="AN60" s="107"/>
      <c r="AO60" s="107" t="str">
        <f t="array" ref="AO60">IFERROR(INDEX($AM$11:$AM$259,MATCH(0,IF(TRUE=$AJ$11:$AJ$259,COUNTIF($AO$10:$AO59,$AM$11:$AM$259),""),0)),"")</f>
        <v/>
      </c>
      <c r="AP60" s="107" t="str">
        <f t="array" ref="AP60">IFERROR(INDEX($AM$11:$AM$259,MATCH(0,IF(TRUE=$AK$11:$AK$259,COUNTIF($AP$10:$AP59,$AM$11:$AM$259),""),0)),"")</f>
        <v/>
      </c>
      <c r="AQ60" s="107" t="str">
        <f t="array" ref="AQ60">IFERROR(INDEX($AM$11:$AM$259,MATCH(0,IF(TRUE=$AL$11:$AL$259,COUNTIF($AQ$10:$AQ59,$AM$11:$AM$259),""),0)),"")</f>
        <v/>
      </c>
      <c r="AS60" s="885" t="str">
        <f>IF(AND(OR(AB60="Yes",AB60="Pending"),P60='G-1 All Habitats'!$X$3),T60-X60-Y60,"0")</f>
        <v>0</v>
      </c>
      <c r="AT60" s="30" t="str">
        <f t="shared" si="1"/>
        <v/>
      </c>
      <c r="AU60" s="30">
        <f t="shared" si="6"/>
        <v>0</v>
      </c>
      <c r="AV60" s="230" t="str">
        <f>IFERROR(INDEX('G-1 All Habitats'!$B$3:$B$135,MATCH(F60,'G-1 All Habitats'!$A$3:$A$135,0)),"")</f>
        <v/>
      </c>
      <c r="AW60" s="30" t="str">
        <f>IF(AV60="","",VLOOKUP(AV60,'G-1 All Habitats'!$B$1:$T$135,19,FALSE))</f>
        <v/>
      </c>
      <c r="AY60" s="287" t="str">
        <f t="shared" si="7"/>
        <v/>
      </c>
    </row>
    <row r="61" spans="1:51" ht="14">
      <c r="A61" s="30" t="str">
        <f>IFERROR(INDEX('G-1 All Habitats'!$AG$3:$AG$17,MATCH(E61,'G-1 All Habitats'!$AF$3:$AF$17,0)),"")</f>
        <v/>
      </c>
      <c r="B61" s="30" t="str">
        <f>IFERROR(INDEX('G-8 Condition Look up'!$I$4:$I$135,MATCH(AV61,'G-8 Condition Look up'!$A$4:$A$135,0)),"")</f>
        <v/>
      </c>
      <c r="D61" s="97">
        <v>51</v>
      </c>
      <c r="E61" s="262"/>
      <c r="F61" s="263"/>
      <c r="G61" s="133"/>
      <c r="H61" s="115"/>
      <c r="I61" s="509" t="str">
        <f>IF(AV61="","",IF(AND(AW61="Yes",G61="No"),"Irreplaceable habitat ▲",IF(AND(AW61="No",G61="Yes"),"Cannot be Irreplaceable ▲",VLOOKUP(AV61,'G-1 All Habitats'!$B$2:$M$135,10,FALSE))))</f>
        <v/>
      </c>
      <c r="J61" s="377" t="str">
        <f>IFERROR(VLOOKUP(I61,'G-1 All Habitats'!$V$3:$W$7,2,FALSE),"")</f>
        <v/>
      </c>
      <c r="K61" s="101"/>
      <c r="L61" s="276" t="str">
        <f>IFERROR(INDEX('G-8 Condition Look up'!$A$3:$H$135,MATCH(AV61,'G-8 Condition Look up'!$A$3:$A$135,0),MATCH(K61,'G-8 Condition Look up'!$A$3:$H$3,0)),"")</f>
        <v/>
      </c>
      <c r="M61" s="105"/>
      <c r="N61" s="295" t="str">
        <f>IF(M61="","",IF(VLOOKUP(M61,'G-3 Multipliers'!$L$3:$N$6,2,FALSE)=0,"Spatial Data Missing ⚠",VLOOKUP(M61,'G-3 Multipliers'!$L$3:$N$6,2,FALSE)))</f>
        <v/>
      </c>
      <c r="O61" s="353" t="str">
        <f>IF(M61="","",IF(VLOOKUP(M61,'G-3 Multipliers'!$L$3:$N$6,3,FALSE)=0,"Spatial Data Missing ⚠",VLOOKUP(M61,'G-3 Multipliers'!$L$3:$N$6,3,FALSE)))</f>
        <v/>
      </c>
      <c r="P61" s="336" t="str">
        <f>(IF(G61="Yes","Bespoke compensation likely to be required",(IFERROR(VLOOKUP(AV61,'G-1 All Habitats'!$B$2:$M$135,12,FALSE),""))))</f>
        <v/>
      </c>
      <c r="Q61" s="511" t="str">
        <f>IFERROR(IF(P61="","",IF(AND(E61="Individual trees",W61&gt;0,G61="Yes"),"Error - you cannot enhance irreplaceable individual trees ▲",IF(P61='G-1 All Habitats'!$X$9,T61*S61,IF(AND(P61='G-1 All Habitats'!$X$9,W61&gt;0),X61+(Y61*S61),IF(AND(P61='G-1 All Habitats'!$X$9,V61&gt;0),X61+(Y61*S61),IF(AND(P61='G-1 All Habitats'!$X$9,AG61&gt;0),"Any Loss Unacceptable  ⚠",IF(AND(P61='G-1 All Habitats'!$X$9,Z61&gt;0),"Any Loss Unacceptable ⚠",H61*J61*L61*O61*S61))))))),"Check Data ⚠")</f>
        <v/>
      </c>
      <c r="R61" s="393"/>
      <c r="S61" s="510" t="str">
        <f>IF(R61="","",IF(VLOOKUP(R61,'G-3 Multipliers'!$S$3:$T$10,2,FALSE)=0,"Spatial Data Missing ⚠",VLOOKUP(R61,'G-3 Multipliers'!$S$3:$T$10,2,FALSE)))</f>
        <v/>
      </c>
      <c r="T61" s="289" t="str">
        <f>IFERROR(IF(AND(F61&lt;&gt;"",G61=""),"Confirm irreplaceable habitat status ▲",(IF(AND(R61&lt;&gt;"",AF61=""),"Off-site reference required ▲",(IF(AND(E61="Individual trees",W61&gt;0,G61="Yes"),"Error - you cannot enhance irreplaceable individual trees ▲",(IF(AND(X61="Irreplaceable habitat - no units generated ⚠",(W61+V61)&lt;H61,OR(AB61="No",AB61="")),"Any Loss Unacceptable ⚠",(IF(X61="Irreplaceable habitat - no units generated ⚠",W61*J61*L61*O61,IF(AND(P61='G-1 All Habitats'!$X$9,AH61&gt;0,V61&lt;=0,W61&lt;=0,OR(AB61="No",AB61="")),"Any Loss Unacceptable ⚠",IF(AND(P61='G-1 All Habitats'!$X$9,AH61&gt;0,V61&lt;=0,W61&lt;=0),0,(IF(AND(P61='G-1 All Habitats'!$X$9,(W61+V61)&lt;H61,OR(AB61="No",AB61="")),"Any Loss Unacceptable ⚠",(IF(P61="","",IF(AND(P61='G-1 All Habitats'!$X$9,W61&gt;0),X61+Y61,IF(AND(P61='G-1 All Habitats'!$X$9,V61&gt;0),X61+Y61,IF(R61="","",H61*J61*L61*O61)))))))))))))))))),"Check Data ▲")</f>
        <v/>
      </c>
      <c r="U61" s="38"/>
      <c r="V61" s="52"/>
      <c r="W61" s="53"/>
      <c r="X61" s="287" t="str">
        <f t="shared" si="2"/>
        <v/>
      </c>
      <c r="Y61" s="287" t="str">
        <f t="shared" si="3"/>
        <v/>
      </c>
      <c r="Z61" s="287" t="str">
        <f t="shared" si="4"/>
        <v/>
      </c>
      <c r="AA61" s="317" t="str">
        <f>IFERROR(IF(AND(E61="Individual trees",G61="Yes",W61&gt;0),"Error - you cannot enhance an irreplaceable tree ▲",(IF(H61="","",IF(H61-V61-W61=0&lt;0,"Error in Areas ▲",IF(V61+W61&gt;H61,"Error in Areas ▲",IF(AND(P61='G-1 All Habitats'!$X$9,AB61="Yes"),"Alternative Compensation ✓",IF(AND(P61='G-1 All Habitats'!$X$3,AB61="Yes"),"Alternative Compensation ✓",IF(AND(AB61="Pending",P61='G-1 All Habitats'!$X$3),"Bespoke compensation must be agreed ▲",IF(AND(AB61="Pending",P61='G-1 All Habitats'!$X$9),"Bespoke compensation must be agreed  ▲",IF(Z61=0,0,IF(P61='G-1 All Habitats'!$X$9,"Any Loss Unacceptable ▲",T61-X61-Y61))))))))))),"Check Data ⚠")</f>
        <v/>
      </c>
      <c r="AB61" s="587"/>
      <c r="AC61" s="105"/>
      <c r="AD61" s="138"/>
      <c r="AE61" s="104"/>
      <c r="AF61" s="611"/>
      <c r="AG61" s="523" t="str">
        <f>IF(OR(P61="",AB61="Yes"),"",IF(P61='G-1 All Habitats'!$X$9,H61-V61-W61,"None"))</f>
        <v/>
      </c>
      <c r="AH61" s="523" t="str">
        <f>IF(P61="","",IF(P61='G-1 All Habitats'!$X$9,AG61*J61*L61*O61,"None"))</f>
        <v/>
      </c>
      <c r="AJ61" s="107" t="str">
        <f t="shared" si="5"/>
        <v/>
      </c>
      <c r="AK61" s="107" t="str">
        <f t="shared" si="8"/>
        <v/>
      </c>
      <c r="AL61" s="107" t="str">
        <f>IF(I61="","",IF(#REF!&gt;0,TRUE,FALSE))</f>
        <v/>
      </c>
      <c r="AM61" s="107">
        <v>51</v>
      </c>
      <c r="AN61" s="107"/>
      <c r="AO61" s="107" t="str">
        <f t="array" ref="AO61">IFERROR(INDEX($AM$11:$AM$259,MATCH(0,IF(TRUE=$AJ$11:$AJ$259,COUNTIF($AO$10:$AO60,$AM$11:$AM$259),""),0)),"")</f>
        <v/>
      </c>
      <c r="AP61" s="107" t="str">
        <f t="array" ref="AP61">IFERROR(INDEX($AM$11:$AM$259,MATCH(0,IF(TRUE=$AK$11:$AK$259,COUNTIF($AP$10:$AP60,$AM$11:$AM$259),""),0)),"")</f>
        <v/>
      </c>
      <c r="AQ61" s="107" t="str">
        <f t="array" ref="AQ61">IFERROR(INDEX($AM$11:$AM$259,MATCH(0,IF(TRUE=$AL$11:$AL$259,COUNTIF($AQ$10:$AQ60,$AM$11:$AM$259),""),0)),"")</f>
        <v/>
      </c>
      <c r="AS61" s="885" t="str">
        <f>IF(AND(OR(AB61="Yes",AB61="Pending"),P61='G-1 All Habitats'!$X$3),T61-X61-Y61,"0")</f>
        <v>0</v>
      </c>
      <c r="AT61" s="30" t="str">
        <f t="shared" si="1"/>
        <v/>
      </c>
      <c r="AU61" s="30">
        <f t="shared" si="6"/>
        <v>0</v>
      </c>
      <c r="AV61" s="230" t="str">
        <f>IFERROR(INDEX('G-1 All Habitats'!$B$3:$B$135,MATCH(F61,'G-1 All Habitats'!$A$3:$A$135,0)),"")</f>
        <v/>
      </c>
      <c r="AW61" s="30" t="str">
        <f>IF(AV61="","",VLOOKUP(AV61,'G-1 All Habitats'!$B$1:$T$135,19,FALSE))</f>
        <v/>
      </c>
      <c r="AY61" s="287" t="str">
        <f t="shared" si="7"/>
        <v/>
      </c>
    </row>
    <row r="62" spans="1:51" ht="14">
      <c r="A62" s="30" t="str">
        <f>IFERROR(INDEX('G-1 All Habitats'!$AG$3:$AG$17,MATCH(E62,'G-1 All Habitats'!$AF$3:$AF$17,0)),"")</f>
        <v/>
      </c>
      <c r="B62" s="30" t="str">
        <f>IFERROR(INDEX('G-8 Condition Look up'!$I$4:$I$135,MATCH(AV62,'G-8 Condition Look up'!$A$4:$A$135,0)),"")</f>
        <v/>
      </c>
      <c r="D62" s="97">
        <v>52</v>
      </c>
      <c r="E62" s="262"/>
      <c r="F62" s="263"/>
      <c r="G62" s="133"/>
      <c r="H62" s="115"/>
      <c r="I62" s="509" t="str">
        <f>IF(AV62="","",IF(AND(AW62="Yes",G62="No"),"Irreplaceable habitat ▲",IF(AND(AW62="No",G62="Yes"),"Cannot be Irreplaceable ▲",VLOOKUP(AV62,'G-1 All Habitats'!$B$2:$M$135,10,FALSE))))</f>
        <v/>
      </c>
      <c r="J62" s="377" t="str">
        <f>IFERROR(VLOOKUP(I62,'G-1 All Habitats'!$V$3:$W$7,2,FALSE),"")</f>
        <v/>
      </c>
      <c r="K62" s="101"/>
      <c r="L62" s="276" t="str">
        <f>IFERROR(INDEX('G-8 Condition Look up'!$A$3:$H$135,MATCH(AV62,'G-8 Condition Look up'!$A$3:$A$135,0),MATCH(K62,'G-8 Condition Look up'!$A$3:$H$3,0)),"")</f>
        <v/>
      </c>
      <c r="M62" s="105"/>
      <c r="N62" s="295" t="str">
        <f>IF(M62="","",IF(VLOOKUP(M62,'G-3 Multipliers'!$L$3:$N$6,2,FALSE)=0,"Spatial Data Missing ⚠",VLOOKUP(M62,'G-3 Multipliers'!$L$3:$N$6,2,FALSE)))</f>
        <v/>
      </c>
      <c r="O62" s="353" t="str">
        <f>IF(M62="","",IF(VLOOKUP(M62,'G-3 Multipliers'!$L$3:$N$6,3,FALSE)=0,"Spatial Data Missing ⚠",VLOOKUP(M62,'G-3 Multipliers'!$L$3:$N$6,3,FALSE)))</f>
        <v/>
      </c>
      <c r="P62" s="336" t="str">
        <f>(IF(G62="Yes","Bespoke compensation likely to be required",(IFERROR(VLOOKUP(AV62,'G-1 All Habitats'!$B$2:$M$135,12,FALSE),""))))</f>
        <v/>
      </c>
      <c r="Q62" s="511" t="str">
        <f>IFERROR(IF(P62="","",IF(AND(E62="Individual trees",W62&gt;0,G62="Yes"),"Error - you cannot enhance irreplaceable individual trees ▲",IF(P62='G-1 All Habitats'!$X$9,T62*S62,IF(AND(P62='G-1 All Habitats'!$X$9,W62&gt;0),X62+(Y62*S62),IF(AND(P62='G-1 All Habitats'!$X$9,V62&gt;0),X62+(Y62*S62),IF(AND(P62='G-1 All Habitats'!$X$9,AG62&gt;0),"Any Loss Unacceptable  ⚠",IF(AND(P62='G-1 All Habitats'!$X$9,Z62&gt;0),"Any Loss Unacceptable ⚠",H62*J62*L62*O62*S62))))))),"Check Data ⚠")</f>
        <v/>
      </c>
      <c r="R62" s="393"/>
      <c r="S62" s="510" t="str">
        <f>IF(R62="","",IF(VLOOKUP(R62,'G-3 Multipliers'!$S$3:$T$10,2,FALSE)=0,"Spatial Data Missing ⚠",VLOOKUP(R62,'G-3 Multipliers'!$S$3:$T$10,2,FALSE)))</f>
        <v/>
      </c>
      <c r="T62" s="289" t="str">
        <f>IFERROR(IF(AND(F62&lt;&gt;"",G62=""),"Confirm irreplaceable habitat status ▲",(IF(AND(R62&lt;&gt;"",AF62=""),"Off-site reference required ▲",(IF(AND(E62="Individual trees",W62&gt;0,G62="Yes"),"Error - you cannot enhance irreplaceable individual trees ▲",(IF(AND(X62="Irreplaceable habitat - no units generated ⚠",(W62+V62)&lt;H62,OR(AB62="No",AB62="")),"Any Loss Unacceptable ⚠",(IF(X62="Irreplaceable habitat - no units generated ⚠",W62*J62*L62*O62,IF(AND(P62='G-1 All Habitats'!$X$9,AH62&gt;0,V62&lt;=0,W62&lt;=0,OR(AB62="No",AB62="")),"Any Loss Unacceptable ⚠",IF(AND(P62='G-1 All Habitats'!$X$9,AH62&gt;0,V62&lt;=0,W62&lt;=0),0,(IF(AND(P62='G-1 All Habitats'!$X$9,(W62+V62)&lt;H62,OR(AB62="No",AB62="")),"Any Loss Unacceptable ⚠",(IF(P62="","",IF(AND(P62='G-1 All Habitats'!$X$9,W62&gt;0),X62+Y62,IF(AND(P62='G-1 All Habitats'!$X$9,V62&gt;0),X62+Y62,IF(R62="","",H62*J62*L62*O62)))))))))))))))))),"Check Data ▲")</f>
        <v/>
      </c>
      <c r="U62" s="38"/>
      <c r="V62" s="52"/>
      <c r="W62" s="53"/>
      <c r="X62" s="287" t="str">
        <f t="shared" si="2"/>
        <v/>
      </c>
      <c r="Y62" s="287" t="str">
        <f t="shared" si="3"/>
        <v/>
      </c>
      <c r="Z62" s="287" t="str">
        <f t="shared" si="4"/>
        <v/>
      </c>
      <c r="AA62" s="317" t="str">
        <f>IFERROR(IF(AND(E62="Individual trees",G62="Yes",W62&gt;0),"Error - you cannot enhance an irreplaceable tree ▲",(IF(H62="","",IF(H62-V62-W62=0&lt;0,"Error in Areas ▲",IF(V62+W62&gt;H62,"Error in Areas ▲",IF(AND(P62='G-1 All Habitats'!$X$9,AB62="Yes"),"Alternative Compensation ✓",IF(AND(P62='G-1 All Habitats'!$X$3,AB62="Yes"),"Alternative Compensation ✓",IF(AND(AB62="Pending",P62='G-1 All Habitats'!$X$3),"Bespoke compensation must be agreed ▲",IF(AND(AB62="Pending",P62='G-1 All Habitats'!$X$9),"Bespoke compensation must be agreed  ▲",IF(Z62=0,0,IF(P62='G-1 All Habitats'!$X$9,"Any Loss Unacceptable ▲",T62-X62-Y62))))))))))),"Check Data ⚠")</f>
        <v/>
      </c>
      <c r="AB62" s="587"/>
      <c r="AC62" s="105"/>
      <c r="AD62" s="138"/>
      <c r="AE62" s="104"/>
      <c r="AF62" s="611"/>
      <c r="AG62" s="523" t="str">
        <f>IF(OR(P62="",AB62="Yes"),"",IF(P62='G-1 All Habitats'!$X$9,H62-V62-W62,"None"))</f>
        <v/>
      </c>
      <c r="AH62" s="523" t="str">
        <f>IF(P62="","",IF(P62='G-1 All Habitats'!$X$9,AG62*J62*L62*O62,"None"))</f>
        <v/>
      </c>
      <c r="AJ62" s="107" t="str">
        <f t="shared" si="5"/>
        <v/>
      </c>
      <c r="AK62" s="107" t="str">
        <f t="shared" si="8"/>
        <v/>
      </c>
      <c r="AL62" s="107" t="str">
        <f>IF(I62="","",IF(#REF!&gt;0,TRUE,FALSE))</f>
        <v/>
      </c>
      <c r="AM62" s="107">
        <v>52</v>
      </c>
      <c r="AN62" s="107"/>
      <c r="AO62" s="107" t="str">
        <f t="array" ref="AO62">IFERROR(INDEX($AM$11:$AM$259,MATCH(0,IF(TRUE=$AJ$11:$AJ$259,COUNTIF($AO$10:$AO61,$AM$11:$AM$259),""),0)),"")</f>
        <v/>
      </c>
      <c r="AP62" s="107" t="str">
        <f t="array" ref="AP62">IFERROR(INDEX($AM$11:$AM$259,MATCH(0,IF(TRUE=$AK$11:$AK$259,COUNTIF($AP$10:$AP61,$AM$11:$AM$259),""),0)),"")</f>
        <v/>
      </c>
      <c r="AQ62" s="107" t="str">
        <f t="array" ref="AQ62">IFERROR(INDEX($AM$11:$AM$259,MATCH(0,IF(TRUE=$AL$11:$AL$259,COUNTIF($AQ$10:$AQ61,$AM$11:$AM$259),""),0)),"")</f>
        <v/>
      </c>
      <c r="AS62" s="885" t="str">
        <f>IF(AND(OR(AB62="Yes",AB62="Pending"),P62='G-1 All Habitats'!$X$3),T62-X62-Y62,"0")</f>
        <v>0</v>
      </c>
      <c r="AT62" s="30" t="str">
        <f t="shared" si="1"/>
        <v/>
      </c>
      <c r="AU62" s="30">
        <f t="shared" si="6"/>
        <v>0</v>
      </c>
      <c r="AV62" s="230" t="str">
        <f>IFERROR(INDEX('G-1 All Habitats'!$B$3:$B$135,MATCH(F62,'G-1 All Habitats'!$A$3:$A$135,0)),"")</f>
        <v/>
      </c>
      <c r="AW62" s="30" t="str">
        <f>IF(AV62="","",VLOOKUP(AV62,'G-1 All Habitats'!$B$1:$T$135,19,FALSE))</f>
        <v/>
      </c>
      <c r="AY62" s="287" t="str">
        <f t="shared" si="7"/>
        <v/>
      </c>
    </row>
    <row r="63" spans="1:51" ht="14">
      <c r="A63" s="30" t="str">
        <f>IFERROR(INDEX('G-1 All Habitats'!$AG$3:$AG$17,MATCH(E63,'G-1 All Habitats'!$AF$3:$AF$17,0)),"")</f>
        <v/>
      </c>
      <c r="B63" s="30" t="str">
        <f>IFERROR(INDEX('G-8 Condition Look up'!$I$4:$I$135,MATCH(AV63,'G-8 Condition Look up'!$A$4:$A$135,0)),"")</f>
        <v/>
      </c>
      <c r="D63" s="97">
        <v>53</v>
      </c>
      <c r="E63" s="262"/>
      <c r="F63" s="263"/>
      <c r="G63" s="133"/>
      <c r="H63" s="115"/>
      <c r="I63" s="509" t="str">
        <f>IF(AV63="","",IF(AND(AW63="Yes",G63="No"),"Irreplaceable habitat ▲",IF(AND(AW63="No",G63="Yes"),"Cannot be Irreplaceable ▲",VLOOKUP(AV63,'G-1 All Habitats'!$B$2:$M$135,10,FALSE))))</f>
        <v/>
      </c>
      <c r="J63" s="377" t="str">
        <f>IFERROR(VLOOKUP(I63,'G-1 All Habitats'!$V$3:$W$7,2,FALSE),"")</f>
        <v/>
      </c>
      <c r="K63" s="101"/>
      <c r="L63" s="276" t="str">
        <f>IFERROR(INDEX('G-8 Condition Look up'!$A$3:$H$135,MATCH(AV63,'G-8 Condition Look up'!$A$3:$A$135,0),MATCH(K63,'G-8 Condition Look up'!$A$3:$H$3,0)),"")</f>
        <v/>
      </c>
      <c r="M63" s="105"/>
      <c r="N63" s="295" t="str">
        <f>IF(M63="","",IF(VLOOKUP(M63,'G-3 Multipliers'!$L$3:$N$6,2,FALSE)=0,"Spatial Data Missing ⚠",VLOOKUP(M63,'G-3 Multipliers'!$L$3:$N$6,2,FALSE)))</f>
        <v/>
      </c>
      <c r="O63" s="353" t="str">
        <f>IF(M63="","",IF(VLOOKUP(M63,'G-3 Multipliers'!$L$3:$N$6,3,FALSE)=0,"Spatial Data Missing ⚠",VLOOKUP(M63,'G-3 Multipliers'!$L$3:$N$6,3,FALSE)))</f>
        <v/>
      </c>
      <c r="P63" s="336" t="str">
        <f>(IF(G63="Yes","Bespoke compensation likely to be required",(IFERROR(VLOOKUP(AV63,'G-1 All Habitats'!$B$2:$M$135,12,FALSE),""))))</f>
        <v/>
      </c>
      <c r="Q63" s="511" t="str">
        <f>IFERROR(IF(P63="","",IF(AND(E63="Individual trees",W63&gt;0,G63="Yes"),"Error - you cannot enhance irreplaceable individual trees ▲",IF(P63='G-1 All Habitats'!$X$9,T63*S63,IF(AND(P63='G-1 All Habitats'!$X$9,W63&gt;0),X63+(Y63*S63),IF(AND(P63='G-1 All Habitats'!$X$9,V63&gt;0),X63+(Y63*S63),IF(AND(P63='G-1 All Habitats'!$X$9,AG63&gt;0),"Any Loss Unacceptable  ⚠",IF(AND(P63='G-1 All Habitats'!$X$9,Z63&gt;0),"Any Loss Unacceptable ⚠",H63*J63*L63*O63*S63))))))),"Check Data ⚠")</f>
        <v/>
      </c>
      <c r="R63" s="393"/>
      <c r="S63" s="510" t="str">
        <f>IF(R63="","",IF(VLOOKUP(R63,'G-3 Multipliers'!$S$3:$T$10,2,FALSE)=0,"Spatial Data Missing ⚠",VLOOKUP(R63,'G-3 Multipliers'!$S$3:$T$10,2,FALSE)))</f>
        <v/>
      </c>
      <c r="T63" s="289" t="str">
        <f>IFERROR(IF(AND(F63&lt;&gt;"",G63=""),"Confirm irreplaceable habitat status ▲",(IF(AND(R63&lt;&gt;"",AF63=""),"Off-site reference required ▲",(IF(AND(E63="Individual trees",W63&gt;0,G63="Yes"),"Error - you cannot enhance irreplaceable individual trees ▲",(IF(AND(X63="Irreplaceable habitat - no units generated ⚠",(W63+V63)&lt;H63,OR(AB63="No",AB63="")),"Any Loss Unacceptable ⚠",(IF(X63="Irreplaceable habitat - no units generated ⚠",W63*J63*L63*O63,IF(AND(P63='G-1 All Habitats'!$X$9,AH63&gt;0,V63&lt;=0,W63&lt;=0,OR(AB63="No",AB63="")),"Any Loss Unacceptable ⚠",IF(AND(P63='G-1 All Habitats'!$X$9,AH63&gt;0,V63&lt;=0,W63&lt;=0),0,(IF(AND(P63='G-1 All Habitats'!$X$9,(W63+V63)&lt;H63,OR(AB63="No",AB63="")),"Any Loss Unacceptable ⚠",(IF(P63="","",IF(AND(P63='G-1 All Habitats'!$X$9,W63&gt;0),X63+Y63,IF(AND(P63='G-1 All Habitats'!$X$9,V63&gt;0),X63+Y63,IF(R63="","",H63*J63*L63*O63)))))))))))))))))),"Check Data ▲")</f>
        <v/>
      </c>
      <c r="U63" s="38"/>
      <c r="V63" s="52"/>
      <c r="W63" s="53"/>
      <c r="X63" s="287" t="str">
        <f t="shared" si="2"/>
        <v/>
      </c>
      <c r="Y63" s="287" t="str">
        <f t="shared" si="3"/>
        <v/>
      </c>
      <c r="Z63" s="287" t="str">
        <f t="shared" si="4"/>
        <v/>
      </c>
      <c r="AA63" s="317" t="str">
        <f>IFERROR(IF(AND(E63="Individual trees",G63="Yes",W63&gt;0),"Error - you cannot enhance an irreplaceable tree ▲",(IF(H63="","",IF(H63-V63-W63=0&lt;0,"Error in Areas ▲",IF(V63+W63&gt;H63,"Error in Areas ▲",IF(AND(P63='G-1 All Habitats'!$X$9,AB63="Yes"),"Alternative Compensation ✓",IF(AND(P63='G-1 All Habitats'!$X$3,AB63="Yes"),"Alternative Compensation ✓",IF(AND(AB63="Pending",P63='G-1 All Habitats'!$X$3),"Bespoke compensation must be agreed ▲",IF(AND(AB63="Pending",P63='G-1 All Habitats'!$X$9),"Bespoke compensation must be agreed  ▲",IF(Z63=0,0,IF(P63='G-1 All Habitats'!$X$9,"Any Loss Unacceptable ▲",T63-X63-Y63))))))))))),"Check Data ⚠")</f>
        <v/>
      </c>
      <c r="AB63" s="587"/>
      <c r="AC63" s="105"/>
      <c r="AD63" s="138"/>
      <c r="AE63" s="104"/>
      <c r="AF63" s="611"/>
      <c r="AG63" s="523" t="str">
        <f>IF(OR(P63="",AB63="Yes"),"",IF(P63='G-1 All Habitats'!$X$9,H63-V63-W63,"None"))</f>
        <v/>
      </c>
      <c r="AH63" s="523" t="str">
        <f>IF(P63="","",IF(P63='G-1 All Habitats'!$X$9,AG63*J63*L63*O63,"None"))</f>
        <v/>
      </c>
      <c r="AJ63" s="107" t="str">
        <f t="shared" si="5"/>
        <v/>
      </c>
      <c r="AK63" s="107" t="str">
        <f t="shared" si="8"/>
        <v/>
      </c>
      <c r="AL63" s="107" t="str">
        <f>IF(I63="","",IF(#REF!&gt;0,TRUE,FALSE))</f>
        <v/>
      </c>
      <c r="AM63" s="107">
        <v>53</v>
      </c>
      <c r="AN63" s="107"/>
      <c r="AO63" s="107" t="str">
        <f t="array" ref="AO63">IFERROR(INDEX($AM$11:$AM$259,MATCH(0,IF(TRUE=$AJ$11:$AJ$259,COUNTIF($AO$10:$AO62,$AM$11:$AM$259),""),0)),"")</f>
        <v/>
      </c>
      <c r="AP63" s="107" t="str">
        <f t="array" ref="AP63">IFERROR(INDEX($AM$11:$AM$259,MATCH(0,IF(TRUE=$AK$11:$AK$259,COUNTIF($AP$10:$AP62,$AM$11:$AM$259),""),0)),"")</f>
        <v/>
      </c>
      <c r="AQ63" s="107" t="str">
        <f t="array" ref="AQ63">IFERROR(INDEX($AM$11:$AM$259,MATCH(0,IF(TRUE=$AL$11:$AL$259,COUNTIF($AQ$10:$AQ62,$AM$11:$AM$259),""),0)),"")</f>
        <v/>
      </c>
      <c r="AS63" s="885" t="str">
        <f>IF(AND(OR(AB63="Yes",AB63="Pending"),P63='G-1 All Habitats'!$X$3),T63-X63-Y63,"0")</f>
        <v>0</v>
      </c>
      <c r="AT63" s="30" t="str">
        <f t="shared" si="1"/>
        <v/>
      </c>
      <c r="AU63" s="30">
        <f t="shared" si="6"/>
        <v>0</v>
      </c>
      <c r="AV63" s="230" t="str">
        <f>IFERROR(INDEX('G-1 All Habitats'!$B$3:$B$135,MATCH(F63,'G-1 All Habitats'!$A$3:$A$135,0)),"")</f>
        <v/>
      </c>
      <c r="AW63" s="30" t="str">
        <f>IF(AV63="","",VLOOKUP(AV63,'G-1 All Habitats'!$B$1:$T$135,19,FALSE))</f>
        <v/>
      </c>
      <c r="AY63" s="287" t="str">
        <f t="shared" si="7"/>
        <v/>
      </c>
    </row>
    <row r="64" spans="1:51" ht="14">
      <c r="A64" s="30" t="str">
        <f>IFERROR(INDEX('G-1 All Habitats'!$AG$3:$AG$17,MATCH(E64,'G-1 All Habitats'!$AF$3:$AF$17,0)),"")</f>
        <v/>
      </c>
      <c r="B64" s="30" t="str">
        <f>IFERROR(INDEX('G-8 Condition Look up'!$I$4:$I$135,MATCH(AV64,'G-8 Condition Look up'!$A$4:$A$135,0)),"")</f>
        <v/>
      </c>
      <c r="D64" s="97">
        <v>54</v>
      </c>
      <c r="E64" s="262"/>
      <c r="F64" s="263"/>
      <c r="G64" s="133"/>
      <c r="H64" s="115"/>
      <c r="I64" s="509" t="str">
        <f>IF(AV64="","",IF(AND(AW64="Yes",G64="No"),"Irreplaceable habitat ▲",IF(AND(AW64="No",G64="Yes"),"Cannot be Irreplaceable ▲",VLOOKUP(AV64,'G-1 All Habitats'!$B$2:$M$135,10,FALSE))))</f>
        <v/>
      </c>
      <c r="J64" s="377" t="str">
        <f>IFERROR(VLOOKUP(I64,'G-1 All Habitats'!$V$3:$W$7,2,FALSE),"")</f>
        <v/>
      </c>
      <c r="K64" s="101"/>
      <c r="L64" s="276" t="str">
        <f>IFERROR(INDEX('G-8 Condition Look up'!$A$3:$H$135,MATCH(AV64,'G-8 Condition Look up'!$A$3:$A$135,0),MATCH(K64,'G-8 Condition Look up'!$A$3:$H$3,0)),"")</f>
        <v/>
      </c>
      <c r="M64" s="105"/>
      <c r="N64" s="295" t="str">
        <f>IF(M64="","",IF(VLOOKUP(M64,'G-3 Multipliers'!$L$3:$N$6,2,FALSE)=0,"Spatial Data Missing ⚠",VLOOKUP(M64,'G-3 Multipliers'!$L$3:$N$6,2,FALSE)))</f>
        <v/>
      </c>
      <c r="O64" s="353" t="str">
        <f>IF(M64="","",IF(VLOOKUP(M64,'G-3 Multipliers'!$L$3:$N$6,3,FALSE)=0,"Spatial Data Missing ⚠",VLOOKUP(M64,'G-3 Multipliers'!$L$3:$N$6,3,FALSE)))</f>
        <v/>
      </c>
      <c r="P64" s="336" t="str">
        <f>(IF(G64="Yes","Bespoke compensation likely to be required",(IFERROR(VLOOKUP(AV64,'G-1 All Habitats'!$B$2:$M$135,12,FALSE),""))))</f>
        <v/>
      </c>
      <c r="Q64" s="511" t="str">
        <f>IFERROR(IF(P64="","",IF(AND(E64="Individual trees",W64&gt;0,G64="Yes"),"Error - you cannot enhance irreplaceable individual trees ▲",IF(P64='G-1 All Habitats'!$X$9,T64*S64,IF(AND(P64='G-1 All Habitats'!$X$9,W64&gt;0),X64+(Y64*S64),IF(AND(P64='G-1 All Habitats'!$X$9,V64&gt;0),X64+(Y64*S64),IF(AND(P64='G-1 All Habitats'!$X$9,AG64&gt;0),"Any Loss Unacceptable  ⚠",IF(AND(P64='G-1 All Habitats'!$X$9,Z64&gt;0),"Any Loss Unacceptable ⚠",H64*J64*L64*O64*S64))))))),"Check Data ⚠")</f>
        <v/>
      </c>
      <c r="R64" s="393"/>
      <c r="S64" s="510" t="str">
        <f>IF(R64="","",IF(VLOOKUP(R64,'G-3 Multipliers'!$S$3:$T$10,2,FALSE)=0,"Spatial Data Missing ⚠",VLOOKUP(R64,'G-3 Multipliers'!$S$3:$T$10,2,FALSE)))</f>
        <v/>
      </c>
      <c r="T64" s="289" t="str">
        <f>IFERROR(IF(AND(F64&lt;&gt;"",G64=""),"Confirm irreplaceable habitat status ▲",(IF(AND(R64&lt;&gt;"",AF64=""),"Off-site reference required ▲",(IF(AND(E64="Individual trees",W64&gt;0,G64="Yes"),"Error - you cannot enhance irreplaceable individual trees ▲",(IF(AND(X64="Irreplaceable habitat - no units generated ⚠",(W64+V64)&lt;H64,OR(AB64="No",AB64="")),"Any Loss Unacceptable ⚠",(IF(X64="Irreplaceable habitat - no units generated ⚠",W64*J64*L64*O64,IF(AND(P64='G-1 All Habitats'!$X$9,AH64&gt;0,V64&lt;=0,W64&lt;=0,OR(AB64="No",AB64="")),"Any Loss Unacceptable ⚠",IF(AND(P64='G-1 All Habitats'!$X$9,AH64&gt;0,V64&lt;=0,W64&lt;=0),0,(IF(AND(P64='G-1 All Habitats'!$X$9,(W64+V64)&lt;H64,OR(AB64="No",AB64="")),"Any Loss Unacceptable ⚠",(IF(P64="","",IF(AND(P64='G-1 All Habitats'!$X$9,W64&gt;0),X64+Y64,IF(AND(P64='G-1 All Habitats'!$X$9,V64&gt;0),X64+Y64,IF(R64="","",H64*J64*L64*O64)))))))))))))))))),"Check Data ▲")</f>
        <v/>
      </c>
      <c r="U64" s="38"/>
      <c r="V64" s="52"/>
      <c r="W64" s="53"/>
      <c r="X64" s="287" t="str">
        <f t="shared" si="2"/>
        <v/>
      </c>
      <c r="Y64" s="287" t="str">
        <f t="shared" si="3"/>
        <v/>
      </c>
      <c r="Z64" s="287" t="str">
        <f t="shared" si="4"/>
        <v/>
      </c>
      <c r="AA64" s="317" t="str">
        <f>IFERROR(IF(AND(E64="Individual trees",G64="Yes",W64&gt;0),"Error - you cannot enhance an irreplaceable tree ▲",(IF(H64="","",IF(H64-V64-W64=0&lt;0,"Error in Areas ▲",IF(V64+W64&gt;H64,"Error in Areas ▲",IF(AND(P64='G-1 All Habitats'!$X$9,AB64="Yes"),"Alternative Compensation ✓",IF(AND(P64='G-1 All Habitats'!$X$3,AB64="Yes"),"Alternative Compensation ✓",IF(AND(AB64="Pending",P64='G-1 All Habitats'!$X$3),"Bespoke compensation must be agreed ▲",IF(AND(AB64="Pending",P64='G-1 All Habitats'!$X$9),"Bespoke compensation must be agreed  ▲",IF(Z64=0,0,IF(P64='G-1 All Habitats'!$X$9,"Any Loss Unacceptable ▲",T64-X64-Y64))))))))))),"Check Data ⚠")</f>
        <v/>
      </c>
      <c r="AB64" s="587"/>
      <c r="AC64" s="105"/>
      <c r="AD64" s="138"/>
      <c r="AE64" s="104"/>
      <c r="AF64" s="611"/>
      <c r="AG64" s="523" t="str">
        <f>IF(OR(P64="",AB64="Yes"),"",IF(P64='G-1 All Habitats'!$X$9,H64-V64-W64,"None"))</f>
        <v/>
      </c>
      <c r="AH64" s="523" t="str">
        <f>IF(P64="","",IF(P64='G-1 All Habitats'!$X$9,AG64*J64*L64*O64,"None"))</f>
        <v/>
      </c>
      <c r="AJ64" s="107" t="str">
        <f t="shared" si="5"/>
        <v/>
      </c>
      <c r="AK64" s="107" t="str">
        <f t="shared" si="8"/>
        <v/>
      </c>
      <c r="AL64" s="107" t="str">
        <f>IF(I64="","",IF(#REF!&gt;0,TRUE,FALSE))</f>
        <v/>
      </c>
      <c r="AM64" s="107">
        <v>54</v>
      </c>
      <c r="AN64" s="107"/>
      <c r="AO64" s="107" t="str">
        <f t="array" ref="AO64">IFERROR(INDEX($AM$11:$AM$259,MATCH(0,IF(TRUE=$AJ$11:$AJ$259,COUNTIF($AO$10:$AO63,$AM$11:$AM$259),""),0)),"")</f>
        <v/>
      </c>
      <c r="AP64" s="107" t="str">
        <f t="array" ref="AP64">IFERROR(INDEX($AM$11:$AM$259,MATCH(0,IF(TRUE=$AK$11:$AK$259,COUNTIF($AP$10:$AP63,$AM$11:$AM$259),""),0)),"")</f>
        <v/>
      </c>
      <c r="AQ64" s="107" t="str">
        <f t="array" ref="AQ64">IFERROR(INDEX($AM$11:$AM$259,MATCH(0,IF(TRUE=$AL$11:$AL$259,COUNTIF($AQ$10:$AQ63,$AM$11:$AM$259),""),0)),"")</f>
        <v/>
      </c>
      <c r="AS64" s="885" t="str">
        <f>IF(AND(OR(AB64="Yes",AB64="Pending"),P64='G-1 All Habitats'!$X$3),T64-X64-Y64,"0")</f>
        <v>0</v>
      </c>
      <c r="AT64" s="30" t="str">
        <f t="shared" si="1"/>
        <v/>
      </c>
      <c r="AU64" s="30">
        <f t="shared" si="6"/>
        <v>0</v>
      </c>
      <c r="AV64" s="230" t="str">
        <f>IFERROR(INDEX('G-1 All Habitats'!$B$3:$B$135,MATCH(F64,'G-1 All Habitats'!$A$3:$A$135,0)),"")</f>
        <v/>
      </c>
      <c r="AW64" s="30" t="str">
        <f>IF(AV64="","",VLOOKUP(AV64,'G-1 All Habitats'!$B$1:$T$135,19,FALSE))</f>
        <v/>
      </c>
      <c r="AY64" s="287" t="str">
        <f t="shared" si="7"/>
        <v/>
      </c>
    </row>
    <row r="65" spans="1:51" ht="14">
      <c r="A65" s="30" t="str">
        <f>IFERROR(INDEX('G-1 All Habitats'!$AG$3:$AG$17,MATCH(E65,'G-1 All Habitats'!$AF$3:$AF$17,0)),"")</f>
        <v/>
      </c>
      <c r="B65" s="30" t="str">
        <f>IFERROR(INDEX('G-8 Condition Look up'!$I$4:$I$135,MATCH(AV65,'G-8 Condition Look up'!$A$4:$A$135,0)),"")</f>
        <v/>
      </c>
      <c r="D65" s="97">
        <v>55</v>
      </c>
      <c r="E65" s="262"/>
      <c r="F65" s="263"/>
      <c r="G65" s="133"/>
      <c r="H65" s="115"/>
      <c r="I65" s="509" t="str">
        <f>IF(AV65="","",IF(AND(AW65="Yes",G65="No"),"Irreplaceable habitat ▲",IF(AND(AW65="No",G65="Yes"),"Cannot be Irreplaceable ▲",VLOOKUP(AV65,'G-1 All Habitats'!$B$2:$M$135,10,FALSE))))</f>
        <v/>
      </c>
      <c r="J65" s="377" t="str">
        <f>IFERROR(VLOOKUP(I65,'G-1 All Habitats'!$V$3:$W$7,2,FALSE),"")</f>
        <v/>
      </c>
      <c r="K65" s="101"/>
      <c r="L65" s="276" t="str">
        <f>IFERROR(INDEX('G-8 Condition Look up'!$A$3:$H$135,MATCH(AV65,'G-8 Condition Look up'!$A$3:$A$135,0),MATCH(K65,'G-8 Condition Look up'!$A$3:$H$3,0)),"")</f>
        <v/>
      </c>
      <c r="M65" s="105"/>
      <c r="N65" s="295" t="str">
        <f>IF(M65="","",IF(VLOOKUP(M65,'G-3 Multipliers'!$L$3:$N$6,2,FALSE)=0,"Spatial Data Missing ⚠",VLOOKUP(M65,'G-3 Multipliers'!$L$3:$N$6,2,FALSE)))</f>
        <v/>
      </c>
      <c r="O65" s="353" t="str">
        <f>IF(M65="","",IF(VLOOKUP(M65,'G-3 Multipliers'!$L$3:$N$6,3,FALSE)=0,"Spatial Data Missing ⚠",VLOOKUP(M65,'G-3 Multipliers'!$L$3:$N$6,3,FALSE)))</f>
        <v/>
      </c>
      <c r="P65" s="336" t="str">
        <f>(IF(G65="Yes","Bespoke compensation likely to be required",(IFERROR(VLOOKUP(AV65,'G-1 All Habitats'!$B$2:$M$135,12,FALSE),""))))</f>
        <v/>
      </c>
      <c r="Q65" s="511" t="str">
        <f>IFERROR(IF(P65="","",IF(AND(E65="Individual trees",W65&gt;0,G65="Yes"),"Error - you cannot enhance irreplaceable individual trees ▲",IF(P65='G-1 All Habitats'!$X$9,T65*S65,IF(AND(P65='G-1 All Habitats'!$X$9,W65&gt;0),X65+(Y65*S65),IF(AND(P65='G-1 All Habitats'!$X$9,V65&gt;0),X65+(Y65*S65),IF(AND(P65='G-1 All Habitats'!$X$9,AG65&gt;0),"Any Loss Unacceptable  ⚠",IF(AND(P65='G-1 All Habitats'!$X$9,Z65&gt;0),"Any Loss Unacceptable ⚠",H65*J65*L65*O65*S65))))))),"Check Data ⚠")</f>
        <v/>
      </c>
      <c r="R65" s="393"/>
      <c r="S65" s="510" t="str">
        <f>IF(R65="","",IF(VLOOKUP(R65,'G-3 Multipliers'!$S$3:$T$10,2,FALSE)=0,"Spatial Data Missing ⚠",VLOOKUP(R65,'G-3 Multipliers'!$S$3:$T$10,2,FALSE)))</f>
        <v/>
      </c>
      <c r="T65" s="289" t="str">
        <f>IFERROR(IF(AND(F65&lt;&gt;"",G65=""),"Confirm irreplaceable habitat status ▲",(IF(AND(R65&lt;&gt;"",AF65=""),"Off-site reference required ▲",(IF(AND(E65="Individual trees",W65&gt;0,G65="Yes"),"Error - you cannot enhance irreplaceable individual trees ▲",(IF(AND(X65="Irreplaceable habitat - no units generated ⚠",(W65+V65)&lt;H65,OR(AB65="No",AB65="")),"Any Loss Unacceptable ⚠",(IF(X65="Irreplaceable habitat - no units generated ⚠",W65*J65*L65*O65,IF(AND(P65='G-1 All Habitats'!$X$9,AH65&gt;0,V65&lt;=0,W65&lt;=0,OR(AB65="No",AB65="")),"Any Loss Unacceptable ⚠",IF(AND(P65='G-1 All Habitats'!$X$9,AH65&gt;0,V65&lt;=0,W65&lt;=0),0,(IF(AND(P65='G-1 All Habitats'!$X$9,(W65+V65)&lt;H65,OR(AB65="No",AB65="")),"Any Loss Unacceptable ⚠",(IF(P65="","",IF(AND(P65='G-1 All Habitats'!$X$9,W65&gt;0),X65+Y65,IF(AND(P65='G-1 All Habitats'!$X$9,V65&gt;0),X65+Y65,IF(R65="","",H65*J65*L65*O65)))))))))))))))))),"Check Data ▲")</f>
        <v/>
      </c>
      <c r="U65" s="38"/>
      <c r="V65" s="52"/>
      <c r="W65" s="53"/>
      <c r="X65" s="287" t="str">
        <f t="shared" si="2"/>
        <v/>
      </c>
      <c r="Y65" s="287" t="str">
        <f t="shared" si="3"/>
        <v/>
      </c>
      <c r="Z65" s="287" t="str">
        <f t="shared" si="4"/>
        <v/>
      </c>
      <c r="AA65" s="317" t="str">
        <f>IFERROR(IF(AND(E65="Individual trees",G65="Yes",W65&gt;0),"Error - you cannot enhance an irreplaceable tree ▲",(IF(H65="","",IF(H65-V65-W65=0&lt;0,"Error in Areas ▲",IF(V65+W65&gt;H65,"Error in Areas ▲",IF(AND(P65='G-1 All Habitats'!$X$9,AB65="Yes"),"Alternative Compensation ✓",IF(AND(P65='G-1 All Habitats'!$X$3,AB65="Yes"),"Alternative Compensation ✓",IF(AND(AB65="Pending",P65='G-1 All Habitats'!$X$3),"Bespoke compensation must be agreed ▲",IF(AND(AB65="Pending",P65='G-1 All Habitats'!$X$9),"Bespoke compensation must be agreed  ▲",IF(Z65=0,0,IF(P65='G-1 All Habitats'!$X$9,"Any Loss Unacceptable ▲",T65-X65-Y65))))))))))),"Check Data ⚠")</f>
        <v/>
      </c>
      <c r="AB65" s="587"/>
      <c r="AC65" s="105"/>
      <c r="AD65" s="138"/>
      <c r="AE65" s="104"/>
      <c r="AF65" s="611"/>
      <c r="AG65" s="523" t="str">
        <f>IF(OR(P65="",AB65="Yes"),"",IF(P65='G-1 All Habitats'!$X$9,H65-V65-W65,"None"))</f>
        <v/>
      </c>
      <c r="AH65" s="523" t="str">
        <f>IF(P65="","",IF(P65='G-1 All Habitats'!$X$9,AG65*J65*L65*O65,"None"))</f>
        <v/>
      </c>
      <c r="AJ65" s="107" t="str">
        <f t="shared" si="5"/>
        <v/>
      </c>
      <c r="AK65" s="107" t="str">
        <f t="shared" si="8"/>
        <v/>
      </c>
      <c r="AL65" s="107" t="str">
        <f>IF(I65="","",IF(#REF!&gt;0,TRUE,FALSE))</f>
        <v/>
      </c>
      <c r="AM65" s="107">
        <v>55</v>
      </c>
      <c r="AN65" s="107"/>
      <c r="AO65" s="107" t="str">
        <f t="array" ref="AO65">IFERROR(INDEX($AM$11:$AM$259,MATCH(0,IF(TRUE=$AJ$11:$AJ$259,COUNTIF($AO$10:$AO64,$AM$11:$AM$259),""),0)),"")</f>
        <v/>
      </c>
      <c r="AP65" s="107" t="str">
        <f t="array" ref="AP65">IFERROR(INDEX($AM$11:$AM$259,MATCH(0,IF(TRUE=$AK$11:$AK$259,COUNTIF($AP$10:$AP64,$AM$11:$AM$259),""),0)),"")</f>
        <v/>
      </c>
      <c r="AQ65" s="107" t="str">
        <f t="array" ref="AQ65">IFERROR(INDEX($AM$11:$AM$259,MATCH(0,IF(TRUE=$AL$11:$AL$259,COUNTIF($AQ$10:$AQ64,$AM$11:$AM$259),""),0)),"")</f>
        <v/>
      </c>
      <c r="AS65" s="885" t="str">
        <f>IF(AND(OR(AB65="Yes",AB65="Pending"),P65='G-1 All Habitats'!$X$3),T65-X65-Y65,"0")</f>
        <v>0</v>
      </c>
      <c r="AT65" s="30" t="str">
        <f t="shared" si="1"/>
        <v/>
      </c>
      <c r="AU65" s="30">
        <f t="shared" si="6"/>
        <v>0</v>
      </c>
      <c r="AV65" s="230" t="str">
        <f>IFERROR(INDEX('G-1 All Habitats'!$B$3:$B$135,MATCH(F65,'G-1 All Habitats'!$A$3:$A$135,0)),"")</f>
        <v/>
      </c>
      <c r="AW65" s="30" t="str">
        <f>IF(AV65="","",VLOOKUP(AV65,'G-1 All Habitats'!$B$1:$T$135,19,FALSE))</f>
        <v/>
      </c>
      <c r="AY65" s="287" t="str">
        <f t="shared" si="7"/>
        <v/>
      </c>
    </row>
    <row r="66" spans="1:51" ht="14">
      <c r="A66" s="30" t="str">
        <f>IFERROR(INDEX('G-1 All Habitats'!$AG$3:$AG$17,MATCH(E66,'G-1 All Habitats'!$AF$3:$AF$17,0)),"")</f>
        <v/>
      </c>
      <c r="B66" s="30" t="str">
        <f>IFERROR(INDEX('G-8 Condition Look up'!$I$4:$I$135,MATCH(AV66,'G-8 Condition Look up'!$A$4:$A$135,0)),"")</f>
        <v/>
      </c>
      <c r="D66" s="97">
        <v>56</v>
      </c>
      <c r="E66" s="262"/>
      <c r="F66" s="263"/>
      <c r="G66" s="133"/>
      <c r="H66" s="115"/>
      <c r="I66" s="509" t="str">
        <f>IF(AV66="","",IF(AND(AW66="Yes",G66="No"),"Irreplaceable habitat ▲",IF(AND(AW66="No",G66="Yes"),"Cannot be Irreplaceable ▲",VLOOKUP(AV66,'G-1 All Habitats'!$B$2:$M$135,10,FALSE))))</f>
        <v/>
      </c>
      <c r="J66" s="377" t="str">
        <f>IFERROR(VLOOKUP(I66,'G-1 All Habitats'!$V$3:$W$7,2,FALSE),"")</f>
        <v/>
      </c>
      <c r="K66" s="101"/>
      <c r="L66" s="276" t="str">
        <f>IFERROR(INDEX('G-8 Condition Look up'!$A$3:$H$135,MATCH(AV66,'G-8 Condition Look up'!$A$3:$A$135,0),MATCH(K66,'G-8 Condition Look up'!$A$3:$H$3,0)),"")</f>
        <v/>
      </c>
      <c r="M66" s="105"/>
      <c r="N66" s="295" t="str">
        <f>IF(M66="","",IF(VLOOKUP(M66,'G-3 Multipliers'!$L$3:$N$6,2,FALSE)=0,"Spatial Data Missing ⚠",VLOOKUP(M66,'G-3 Multipliers'!$L$3:$N$6,2,FALSE)))</f>
        <v/>
      </c>
      <c r="O66" s="353" t="str">
        <f>IF(M66="","",IF(VLOOKUP(M66,'G-3 Multipliers'!$L$3:$N$6,3,FALSE)=0,"Spatial Data Missing ⚠",VLOOKUP(M66,'G-3 Multipliers'!$L$3:$N$6,3,FALSE)))</f>
        <v/>
      </c>
      <c r="P66" s="336" t="str">
        <f>(IF(G66="Yes","Bespoke compensation likely to be required",(IFERROR(VLOOKUP(AV66,'G-1 All Habitats'!$B$2:$M$135,12,FALSE),""))))</f>
        <v/>
      </c>
      <c r="Q66" s="511" t="str">
        <f>IFERROR(IF(P66="","",IF(AND(E66="Individual trees",W66&gt;0,G66="Yes"),"Error - you cannot enhance irreplaceable individual trees ▲",IF(P66='G-1 All Habitats'!$X$9,T66*S66,IF(AND(P66='G-1 All Habitats'!$X$9,W66&gt;0),X66+(Y66*S66),IF(AND(P66='G-1 All Habitats'!$X$9,V66&gt;0),X66+(Y66*S66),IF(AND(P66='G-1 All Habitats'!$X$9,AG66&gt;0),"Any Loss Unacceptable  ⚠",IF(AND(P66='G-1 All Habitats'!$X$9,Z66&gt;0),"Any Loss Unacceptable ⚠",H66*J66*L66*O66*S66))))))),"Check Data ⚠")</f>
        <v/>
      </c>
      <c r="R66" s="393"/>
      <c r="S66" s="510" t="str">
        <f>IF(R66="","",IF(VLOOKUP(R66,'G-3 Multipliers'!$S$3:$T$10,2,FALSE)=0,"Spatial Data Missing ⚠",VLOOKUP(R66,'G-3 Multipliers'!$S$3:$T$10,2,FALSE)))</f>
        <v/>
      </c>
      <c r="T66" s="289" t="str">
        <f>IFERROR(IF(AND(F66&lt;&gt;"",G66=""),"Confirm irreplaceable habitat status ▲",(IF(AND(R66&lt;&gt;"",AF66=""),"Off-site reference required ▲",(IF(AND(E66="Individual trees",W66&gt;0,G66="Yes"),"Error - you cannot enhance irreplaceable individual trees ▲",(IF(AND(X66="Irreplaceable habitat - no units generated ⚠",(W66+V66)&lt;H66,OR(AB66="No",AB66="")),"Any Loss Unacceptable ⚠",(IF(X66="Irreplaceable habitat - no units generated ⚠",W66*J66*L66*O66,IF(AND(P66='G-1 All Habitats'!$X$9,AH66&gt;0,V66&lt;=0,W66&lt;=0,OR(AB66="No",AB66="")),"Any Loss Unacceptable ⚠",IF(AND(P66='G-1 All Habitats'!$X$9,AH66&gt;0,V66&lt;=0,W66&lt;=0),0,(IF(AND(P66='G-1 All Habitats'!$X$9,(W66+V66)&lt;H66,OR(AB66="No",AB66="")),"Any Loss Unacceptable ⚠",(IF(P66="","",IF(AND(P66='G-1 All Habitats'!$X$9,W66&gt;0),X66+Y66,IF(AND(P66='G-1 All Habitats'!$X$9,V66&gt;0),X66+Y66,IF(R66="","",H66*J66*L66*O66)))))))))))))))))),"Check Data ▲")</f>
        <v/>
      </c>
      <c r="U66" s="38"/>
      <c r="V66" s="52"/>
      <c r="W66" s="53"/>
      <c r="X66" s="287" t="str">
        <f t="shared" si="2"/>
        <v/>
      </c>
      <c r="Y66" s="287" t="str">
        <f t="shared" si="3"/>
        <v/>
      </c>
      <c r="Z66" s="287" t="str">
        <f t="shared" si="4"/>
        <v/>
      </c>
      <c r="AA66" s="317" t="str">
        <f>IFERROR(IF(AND(E66="Individual trees",G66="Yes",W66&gt;0),"Error - you cannot enhance an irreplaceable tree ▲",(IF(H66="","",IF(H66-V66-W66=0&lt;0,"Error in Areas ▲",IF(V66+W66&gt;H66,"Error in Areas ▲",IF(AND(P66='G-1 All Habitats'!$X$9,AB66="Yes"),"Alternative Compensation ✓",IF(AND(P66='G-1 All Habitats'!$X$3,AB66="Yes"),"Alternative Compensation ✓",IF(AND(AB66="Pending",P66='G-1 All Habitats'!$X$3),"Bespoke compensation must be agreed ▲",IF(AND(AB66="Pending",P66='G-1 All Habitats'!$X$9),"Bespoke compensation must be agreed  ▲",IF(Z66=0,0,IF(P66='G-1 All Habitats'!$X$9,"Any Loss Unacceptable ▲",T66-X66-Y66))))))))))),"Check Data ⚠")</f>
        <v/>
      </c>
      <c r="AB66" s="587"/>
      <c r="AC66" s="105"/>
      <c r="AD66" s="138"/>
      <c r="AE66" s="104"/>
      <c r="AF66" s="611"/>
      <c r="AG66" s="523" t="str">
        <f>IF(OR(P66="",AB66="Yes"),"",IF(P66='G-1 All Habitats'!$X$9,H66-V66-W66,"None"))</f>
        <v/>
      </c>
      <c r="AH66" s="523" t="str">
        <f>IF(P66="","",IF(P66='G-1 All Habitats'!$X$9,AG66*J66*L66*O66,"None"))</f>
        <v/>
      </c>
      <c r="AJ66" s="107" t="str">
        <f t="shared" si="5"/>
        <v/>
      </c>
      <c r="AK66" s="107" t="str">
        <f t="shared" si="8"/>
        <v/>
      </c>
      <c r="AL66" s="107" t="str">
        <f>IF(I66="","",IF(#REF!&gt;0,TRUE,FALSE))</f>
        <v/>
      </c>
      <c r="AM66" s="107">
        <v>56</v>
      </c>
      <c r="AN66" s="107"/>
      <c r="AO66" s="107" t="str">
        <f t="array" ref="AO66">IFERROR(INDEX($AM$11:$AM$259,MATCH(0,IF(TRUE=$AJ$11:$AJ$259,COUNTIF($AO$10:$AO65,$AM$11:$AM$259),""),0)),"")</f>
        <v/>
      </c>
      <c r="AP66" s="107" t="str">
        <f t="array" ref="AP66">IFERROR(INDEX($AM$11:$AM$259,MATCH(0,IF(TRUE=$AK$11:$AK$259,COUNTIF($AP$10:$AP65,$AM$11:$AM$259),""),0)),"")</f>
        <v/>
      </c>
      <c r="AQ66" s="107" t="str">
        <f t="array" ref="AQ66">IFERROR(INDEX($AM$11:$AM$259,MATCH(0,IF(TRUE=$AL$11:$AL$259,COUNTIF($AQ$10:$AQ65,$AM$11:$AM$259),""),0)),"")</f>
        <v/>
      </c>
      <c r="AS66" s="885" t="str">
        <f>IF(AND(OR(AB66="Yes",AB66="Pending"),P66='G-1 All Habitats'!$X$3),T66-X66-Y66,"0")</f>
        <v>0</v>
      </c>
      <c r="AT66" s="30" t="str">
        <f t="shared" si="1"/>
        <v/>
      </c>
      <c r="AU66" s="30">
        <f t="shared" si="6"/>
        <v>0</v>
      </c>
      <c r="AV66" s="230" t="str">
        <f>IFERROR(INDEX('G-1 All Habitats'!$B$3:$B$135,MATCH(F66,'G-1 All Habitats'!$A$3:$A$135,0)),"")</f>
        <v/>
      </c>
      <c r="AW66" s="30" t="str">
        <f>IF(AV66="","",VLOOKUP(AV66,'G-1 All Habitats'!$B$1:$T$135,19,FALSE))</f>
        <v/>
      </c>
      <c r="AY66" s="287" t="str">
        <f t="shared" si="7"/>
        <v/>
      </c>
    </row>
    <row r="67" spans="1:51" ht="14">
      <c r="A67" s="30" t="str">
        <f>IFERROR(INDEX('G-1 All Habitats'!$AG$3:$AG$17,MATCH(E67,'G-1 All Habitats'!$AF$3:$AF$17,0)),"")</f>
        <v/>
      </c>
      <c r="B67" s="30" t="str">
        <f>IFERROR(INDEX('G-8 Condition Look up'!$I$4:$I$135,MATCH(AV67,'G-8 Condition Look up'!$A$4:$A$135,0)),"")</f>
        <v/>
      </c>
      <c r="D67" s="97">
        <v>57</v>
      </c>
      <c r="E67" s="262"/>
      <c r="F67" s="263"/>
      <c r="G67" s="133"/>
      <c r="H67" s="115"/>
      <c r="I67" s="509" t="str">
        <f>IF(AV67="","",IF(AND(AW67="Yes",G67="No"),"Irreplaceable habitat ▲",IF(AND(AW67="No",G67="Yes"),"Cannot be Irreplaceable ▲",VLOOKUP(AV67,'G-1 All Habitats'!$B$2:$M$135,10,FALSE))))</f>
        <v/>
      </c>
      <c r="J67" s="377" t="str">
        <f>IFERROR(VLOOKUP(I67,'G-1 All Habitats'!$V$3:$W$7,2,FALSE),"")</f>
        <v/>
      </c>
      <c r="K67" s="101"/>
      <c r="L67" s="276" t="str">
        <f>IFERROR(INDEX('G-8 Condition Look up'!$A$3:$H$135,MATCH(AV67,'G-8 Condition Look up'!$A$3:$A$135,0),MATCH(K67,'G-8 Condition Look up'!$A$3:$H$3,0)),"")</f>
        <v/>
      </c>
      <c r="M67" s="105"/>
      <c r="N67" s="295" t="str">
        <f>IF(M67="","",IF(VLOOKUP(M67,'G-3 Multipliers'!$L$3:$N$6,2,FALSE)=0,"Spatial Data Missing ⚠",VLOOKUP(M67,'G-3 Multipliers'!$L$3:$N$6,2,FALSE)))</f>
        <v/>
      </c>
      <c r="O67" s="353" t="str">
        <f>IF(M67="","",IF(VLOOKUP(M67,'G-3 Multipliers'!$L$3:$N$6,3,FALSE)=0,"Spatial Data Missing ⚠",VLOOKUP(M67,'G-3 Multipliers'!$L$3:$N$6,3,FALSE)))</f>
        <v/>
      </c>
      <c r="P67" s="336" t="str">
        <f>(IF(G67="Yes","Bespoke compensation likely to be required",(IFERROR(VLOOKUP(AV67,'G-1 All Habitats'!$B$2:$M$135,12,FALSE),""))))</f>
        <v/>
      </c>
      <c r="Q67" s="511" t="str">
        <f>IFERROR(IF(P67="","",IF(AND(E67="Individual trees",W67&gt;0,G67="Yes"),"Error - you cannot enhance irreplaceable individual trees ▲",IF(P67='G-1 All Habitats'!$X$9,T67*S67,IF(AND(P67='G-1 All Habitats'!$X$9,W67&gt;0),X67+(Y67*S67),IF(AND(P67='G-1 All Habitats'!$X$9,V67&gt;0),X67+(Y67*S67),IF(AND(P67='G-1 All Habitats'!$X$9,AG67&gt;0),"Any Loss Unacceptable  ⚠",IF(AND(P67='G-1 All Habitats'!$X$9,Z67&gt;0),"Any Loss Unacceptable ⚠",H67*J67*L67*O67*S67))))))),"Check Data ⚠")</f>
        <v/>
      </c>
      <c r="R67" s="393"/>
      <c r="S67" s="510" t="str">
        <f>IF(R67="","",IF(VLOOKUP(R67,'G-3 Multipliers'!$S$3:$T$10,2,FALSE)=0,"Spatial Data Missing ⚠",VLOOKUP(R67,'G-3 Multipliers'!$S$3:$T$10,2,FALSE)))</f>
        <v/>
      </c>
      <c r="T67" s="289" t="str">
        <f>IFERROR(IF(AND(F67&lt;&gt;"",G67=""),"Confirm irreplaceable habitat status ▲",(IF(AND(R67&lt;&gt;"",AF67=""),"Off-site reference required ▲",(IF(AND(E67="Individual trees",W67&gt;0,G67="Yes"),"Error - you cannot enhance irreplaceable individual trees ▲",(IF(AND(X67="Irreplaceable habitat - no units generated ⚠",(W67+V67)&lt;H67,OR(AB67="No",AB67="")),"Any Loss Unacceptable ⚠",(IF(X67="Irreplaceable habitat - no units generated ⚠",W67*J67*L67*O67,IF(AND(P67='G-1 All Habitats'!$X$9,AH67&gt;0,V67&lt;=0,W67&lt;=0,OR(AB67="No",AB67="")),"Any Loss Unacceptable ⚠",IF(AND(P67='G-1 All Habitats'!$X$9,AH67&gt;0,V67&lt;=0,W67&lt;=0),0,(IF(AND(P67='G-1 All Habitats'!$X$9,(W67+V67)&lt;H67,OR(AB67="No",AB67="")),"Any Loss Unacceptable ⚠",(IF(P67="","",IF(AND(P67='G-1 All Habitats'!$X$9,W67&gt;0),X67+Y67,IF(AND(P67='G-1 All Habitats'!$X$9,V67&gt;0),X67+Y67,IF(R67="","",H67*J67*L67*O67)))))))))))))))))),"Check Data ▲")</f>
        <v/>
      </c>
      <c r="U67" s="38"/>
      <c r="V67" s="52"/>
      <c r="W67" s="53"/>
      <c r="X67" s="287" t="str">
        <f t="shared" si="2"/>
        <v/>
      </c>
      <c r="Y67" s="287" t="str">
        <f t="shared" si="3"/>
        <v/>
      </c>
      <c r="Z67" s="287" t="str">
        <f t="shared" si="4"/>
        <v/>
      </c>
      <c r="AA67" s="317" t="str">
        <f>IFERROR(IF(AND(E67="Individual trees",G67="Yes",W67&gt;0),"Error - you cannot enhance an irreplaceable tree ▲",(IF(H67="","",IF(H67-V67-W67=0&lt;0,"Error in Areas ▲",IF(V67+W67&gt;H67,"Error in Areas ▲",IF(AND(P67='G-1 All Habitats'!$X$9,AB67="Yes"),"Alternative Compensation ✓",IF(AND(P67='G-1 All Habitats'!$X$3,AB67="Yes"),"Alternative Compensation ✓",IF(AND(AB67="Pending",P67='G-1 All Habitats'!$X$3),"Bespoke compensation must be agreed ▲",IF(AND(AB67="Pending",P67='G-1 All Habitats'!$X$9),"Bespoke compensation must be agreed  ▲",IF(Z67=0,0,IF(P67='G-1 All Habitats'!$X$9,"Any Loss Unacceptable ▲",T67-X67-Y67))))))))))),"Check Data ⚠")</f>
        <v/>
      </c>
      <c r="AB67" s="587"/>
      <c r="AC67" s="105"/>
      <c r="AD67" s="138"/>
      <c r="AE67" s="104"/>
      <c r="AF67" s="611"/>
      <c r="AG67" s="523" t="str">
        <f>IF(OR(P67="",AB67="Yes"),"",IF(P67='G-1 All Habitats'!$X$9,H67-V67-W67,"None"))</f>
        <v/>
      </c>
      <c r="AH67" s="523" t="str">
        <f>IF(P67="","",IF(P67='G-1 All Habitats'!$X$9,AG67*J67*L67*O67,"None"))</f>
        <v/>
      </c>
      <c r="AJ67" s="107" t="str">
        <f t="shared" si="5"/>
        <v/>
      </c>
      <c r="AK67" s="107" t="str">
        <f t="shared" si="8"/>
        <v/>
      </c>
      <c r="AL67" s="107" t="str">
        <f>IF(I67="","",IF(#REF!&gt;0,TRUE,FALSE))</f>
        <v/>
      </c>
      <c r="AM67" s="107">
        <v>57</v>
      </c>
      <c r="AN67" s="107"/>
      <c r="AO67" s="107" t="str">
        <f t="array" ref="AO67">IFERROR(INDEX($AM$11:$AM$259,MATCH(0,IF(TRUE=$AJ$11:$AJ$259,COUNTIF($AO$10:$AO66,$AM$11:$AM$259),""),0)),"")</f>
        <v/>
      </c>
      <c r="AP67" s="107" t="str">
        <f t="array" ref="AP67">IFERROR(INDEX($AM$11:$AM$259,MATCH(0,IF(TRUE=$AK$11:$AK$259,COUNTIF($AP$10:$AP66,$AM$11:$AM$259),""),0)),"")</f>
        <v/>
      </c>
      <c r="AQ67" s="107" t="str">
        <f t="array" ref="AQ67">IFERROR(INDEX($AM$11:$AM$259,MATCH(0,IF(TRUE=$AL$11:$AL$259,COUNTIF($AQ$10:$AQ66,$AM$11:$AM$259),""),0)),"")</f>
        <v/>
      </c>
      <c r="AS67" s="885" t="str">
        <f>IF(AND(OR(AB67="Yes",AB67="Pending"),P67='G-1 All Habitats'!$X$3),T67-X67-Y67,"0")</f>
        <v>0</v>
      </c>
      <c r="AT67" s="30" t="str">
        <f t="shared" si="1"/>
        <v/>
      </c>
      <c r="AU67" s="30">
        <f t="shared" si="6"/>
        <v>0</v>
      </c>
      <c r="AV67" s="230" t="str">
        <f>IFERROR(INDEX('G-1 All Habitats'!$B$3:$B$135,MATCH(F67,'G-1 All Habitats'!$A$3:$A$135,0)),"")</f>
        <v/>
      </c>
      <c r="AW67" s="30" t="str">
        <f>IF(AV67="","",VLOOKUP(AV67,'G-1 All Habitats'!$B$1:$T$135,19,FALSE))</f>
        <v/>
      </c>
      <c r="AY67" s="287" t="str">
        <f t="shared" si="7"/>
        <v/>
      </c>
    </row>
    <row r="68" spans="1:51" ht="14">
      <c r="A68" s="30" t="str">
        <f>IFERROR(INDEX('G-1 All Habitats'!$AG$3:$AG$17,MATCH(E68,'G-1 All Habitats'!$AF$3:$AF$17,0)),"")</f>
        <v/>
      </c>
      <c r="B68" s="30" t="str">
        <f>IFERROR(INDEX('G-8 Condition Look up'!$I$4:$I$135,MATCH(AV68,'G-8 Condition Look up'!$A$4:$A$135,0)),"")</f>
        <v/>
      </c>
      <c r="D68" s="97">
        <v>58</v>
      </c>
      <c r="E68" s="262"/>
      <c r="F68" s="263"/>
      <c r="G68" s="133"/>
      <c r="H68" s="115"/>
      <c r="I68" s="509" t="str">
        <f>IF(AV68="","",IF(AND(AW68="Yes",G68="No"),"Irreplaceable habitat ▲",IF(AND(AW68="No",G68="Yes"),"Cannot be Irreplaceable ▲",VLOOKUP(AV68,'G-1 All Habitats'!$B$2:$M$135,10,FALSE))))</f>
        <v/>
      </c>
      <c r="J68" s="377" t="str">
        <f>IFERROR(VLOOKUP(I68,'G-1 All Habitats'!$V$3:$W$7,2,FALSE),"")</f>
        <v/>
      </c>
      <c r="K68" s="101"/>
      <c r="L68" s="276" t="str">
        <f>IFERROR(INDEX('G-8 Condition Look up'!$A$3:$H$135,MATCH(AV68,'G-8 Condition Look up'!$A$3:$A$135,0),MATCH(K68,'G-8 Condition Look up'!$A$3:$H$3,0)),"")</f>
        <v/>
      </c>
      <c r="M68" s="105"/>
      <c r="N68" s="295" t="str">
        <f>IF(M68="","",IF(VLOOKUP(M68,'G-3 Multipliers'!$L$3:$N$6,2,FALSE)=0,"Spatial Data Missing ⚠",VLOOKUP(M68,'G-3 Multipliers'!$L$3:$N$6,2,FALSE)))</f>
        <v/>
      </c>
      <c r="O68" s="353" t="str">
        <f>IF(M68="","",IF(VLOOKUP(M68,'G-3 Multipliers'!$L$3:$N$6,3,FALSE)=0,"Spatial Data Missing ⚠",VLOOKUP(M68,'G-3 Multipliers'!$L$3:$N$6,3,FALSE)))</f>
        <v/>
      </c>
      <c r="P68" s="336" t="str">
        <f>(IF(G68="Yes","Bespoke compensation likely to be required",(IFERROR(VLOOKUP(AV68,'G-1 All Habitats'!$B$2:$M$135,12,FALSE),""))))</f>
        <v/>
      </c>
      <c r="Q68" s="511" t="str">
        <f>IFERROR(IF(P68="","",IF(AND(E68="Individual trees",W68&gt;0,G68="Yes"),"Error - you cannot enhance irreplaceable individual trees ▲",IF(P68='G-1 All Habitats'!$X$9,T68*S68,IF(AND(P68='G-1 All Habitats'!$X$9,W68&gt;0),X68+(Y68*S68),IF(AND(P68='G-1 All Habitats'!$X$9,V68&gt;0),X68+(Y68*S68),IF(AND(P68='G-1 All Habitats'!$X$9,AG68&gt;0),"Any Loss Unacceptable  ⚠",IF(AND(P68='G-1 All Habitats'!$X$9,Z68&gt;0),"Any Loss Unacceptable ⚠",H68*J68*L68*O68*S68))))))),"Check Data ⚠")</f>
        <v/>
      </c>
      <c r="R68" s="393"/>
      <c r="S68" s="510" t="str">
        <f>IF(R68="","",IF(VLOOKUP(R68,'G-3 Multipliers'!$S$3:$T$10,2,FALSE)=0,"Spatial Data Missing ⚠",VLOOKUP(R68,'G-3 Multipliers'!$S$3:$T$10,2,FALSE)))</f>
        <v/>
      </c>
      <c r="T68" s="289" t="str">
        <f>IFERROR(IF(AND(F68&lt;&gt;"",G68=""),"Confirm irreplaceable habitat status ▲",(IF(AND(R68&lt;&gt;"",AF68=""),"Off-site reference required ▲",(IF(AND(E68="Individual trees",W68&gt;0,G68="Yes"),"Error - you cannot enhance irreplaceable individual trees ▲",(IF(AND(X68="Irreplaceable habitat - no units generated ⚠",(W68+V68)&lt;H68,OR(AB68="No",AB68="")),"Any Loss Unacceptable ⚠",(IF(X68="Irreplaceable habitat - no units generated ⚠",W68*J68*L68*O68,IF(AND(P68='G-1 All Habitats'!$X$9,AH68&gt;0,V68&lt;=0,W68&lt;=0,OR(AB68="No",AB68="")),"Any Loss Unacceptable ⚠",IF(AND(P68='G-1 All Habitats'!$X$9,AH68&gt;0,V68&lt;=0,W68&lt;=0),0,(IF(AND(P68='G-1 All Habitats'!$X$9,(W68+V68)&lt;H68,OR(AB68="No",AB68="")),"Any Loss Unacceptable ⚠",(IF(P68="","",IF(AND(P68='G-1 All Habitats'!$X$9,W68&gt;0),X68+Y68,IF(AND(P68='G-1 All Habitats'!$X$9,V68&gt;0),X68+Y68,IF(R68="","",H68*J68*L68*O68)))))))))))))))))),"Check Data ▲")</f>
        <v/>
      </c>
      <c r="U68" s="38"/>
      <c r="V68" s="52"/>
      <c r="W68" s="53"/>
      <c r="X68" s="287" t="str">
        <f t="shared" si="2"/>
        <v/>
      </c>
      <c r="Y68" s="287" t="str">
        <f t="shared" si="3"/>
        <v/>
      </c>
      <c r="Z68" s="287" t="str">
        <f t="shared" si="4"/>
        <v/>
      </c>
      <c r="AA68" s="317" t="str">
        <f>IFERROR(IF(AND(E68="Individual trees",G68="Yes",W68&gt;0),"Error - you cannot enhance an irreplaceable tree ▲",(IF(H68="","",IF(H68-V68-W68=0&lt;0,"Error in Areas ▲",IF(V68+W68&gt;H68,"Error in Areas ▲",IF(AND(P68='G-1 All Habitats'!$X$9,AB68="Yes"),"Alternative Compensation ✓",IF(AND(P68='G-1 All Habitats'!$X$3,AB68="Yes"),"Alternative Compensation ✓",IF(AND(AB68="Pending",P68='G-1 All Habitats'!$X$3),"Bespoke compensation must be agreed ▲",IF(AND(AB68="Pending",P68='G-1 All Habitats'!$X$9),"Bespoke compensation must be agreed  ▲",IF(Z68=0,0,IF(P68='G-1 All Habitats'!$X$9,"Any Loss Unacceptable ▲",T68-X68-Y68))))))))))),"Check Data ⚠")</f>
        <v/>
      </c>
      <c r="AB68" s="587"/>
      <c r="AC68" s="105"/>
      <c r="AD68" s="138"/>
      <c r="AE68" s="104"/>
      <c r="AF68" s="611"/>
      <c r="AG68" s="523" t="str">
        <f>IF(OR(P68="",AB68="Yes"),"",IF(P68='G-1 All Habitats'!$X$9,H68-V68-W68,"None"))</f>
        <v/>
      </c>
      <c r="AH68" s="523" t="str">
        <f>IF(P68="","",IF(P68='G-1 All Habitats'!$X$9,AG68*J68*L68*O68,"None"))</f>
        <v/>
      </c>
      <c r="AJ68" s="107" t="str">
        <f t="shared" si="5"/>
        <v/>
      </c>
      <c r="AK68" s="107" t="str">
        <f t="shared" si="8"/>
        <v/>
      </c>
      <c r="AL68" s="107" t="str">
        <f>IF(I68="","",IF(#REF!&gt;0,TRUE,FALSE))</f>
        <v/>
      </c>
      <c r="AM68" s="107">
        <v>58</v>
      </c>
      <c r="AN68" s="107"/>
      <c r="AO68" s="107" t="str">
        <f t="array" ref="AO68">IFERROR(INDEX($AM$11:$AM$259,MATCH(0,IF(TRUE=$AJ$11:$AJ$259,COUNTIF($AO$10:$AO67,$AM$11:$AM$259),""),0)),"")</f>
        <v/>
      </c>
      <c r="AP68" s="107" t="str">
        <f t="array" ref="AP68">IFERROR(INDEX($AM$11:$AM$259,MATCH(0,IF(TRUE=$AK$11:$AK$259,COUNTIF($AP$10:$AP67,$AM$11:$AM$259),""),0)),"")</f>
        <v/>
      </c>
      <c r="AQ68" s="107" t="str">
        <f t="array" ref="AQ68">IFERROR(INDEX($AM$11:$AM$259,MATCH(0,IF(TRUE=$AL$11:$AL$259,COUNTIF($AQ$10:$AQ67,$AM$11:$AM$259),""),0)),"")</f>
        <v/>
      </c>
      <c r="AS68" s="885" t="str">
        <f>IF(AND(OR(AB68="Yes",AB68="Pending"),P68='G-1 All Habitats'!$X$3),T68-X68-Y68,"0")</f>
        <v>0</v>
      </c>
      <c r="AT68" s="30" t="str">
        <f t="shared" si="1"/>
        <v/>
      </c>
      <c r="AU68" s="30">
        <f t="shared" si="6"/>
        <v>0</v>
      </c>
      <c r="AV68" s="230" t="str">
        <f>IFERROR(INDEX('G-1 All Habitats'!$B$3:$B$135,MATCH(F68,'G-1 All Habitats'!$A$3:$A$135,0)),"")</f>
        <v/>
      </c>
      <c r="AW68" s="30" t="str">
        <f>IF(AV68="","",VLOOKUP(AV68,'G-1 All Habitats'!$B$1:$T$135,19,FALSE))</f>
        <v/>
      </c>
      <c r="AY68" s="287" t="str">
        <f t="shared" si="7"/>
        <v/>
      </c>
    </row>
    <row r="69" spans="1:51" ht="14">
      <c r="A69" s="30" t="str">
        <f>IFERROR(INDEX('G-1 All Habitats'!$AG$3:$AG$17,MATCH(E69,'G-1 All Habitats'!$AF$3:$AF$17,0)),"")</f>
        <v/>
      </c>
      <c r="B69" s="30" t="str">
        <f>IFERROR(INDEX('G-8 Condition Look up'!$I$4:$I$135,MATCH(AV69,'G-8 Condition Look up'!$A$4:$A$135,0)),"")</f>
        <v/>
      </c>
      <c r="D69" s="97">
        <v>59</v>
      </c>
      <c r="E69" s="262"/>
      <c r="F69" s="263"/>
      <c r="G69" s="133"/>
      <c r="H69" s="115"/>
      <c r="I69" s="509" t="str">
        <f>IF(AV69="","",IF(AND(AW69="Yes",G69="No"),"Irreplaceable habitat ▲",IF(AND(AW69="No",G69="Yes"),"Cannot be Irreplaceable ▲",VLOOKUP(AV69,'G-1 All Habitats'!$B$2:$M$135,10,FALSE))))</f>
        <v/>
      </c>
      <c r="J69" s="377" t="str">
        <f>IFERROR(VLOOKUP(I69,'G-1 All Habitats'!$V$3:$W$7,2,FALSE),"")</f>
        <v/>
      </c>
      <c r="K69" s="101"/>
      <c r="L69" s="276" t="str">
        <f>IFERROR(INDEX('G-8 Condition Look up'!$A$3:$H$135,MATCH(AV69,'G-8 Condition Look up'!$A$3:$A$135,0),MATCH(K69,'G-8 Condition Look up'!$A$3:$H$3,0)),"")</f>
        <v/>
      </c>
      <c r="M69" s="105"/>
      <c r="N69" s="295" t="str">
        <f>IF(M69="","",IF(VLOOKUP(M69,'G-3 Multipliers'!$L$3:$N$6,2,FALSE)=0,"Spatial Data Missing ⚠",VLOOKUP(M69,'G-3 Multipliers'!$L$3:$N$6,2,FALSE)))</f>
        <v/>
      </c>
      <c r="O69" s="353" t="str">
        <f>IF(M69="","",IF(VLOOKUP(M69,'G-3 Multipliers'!$L$3:$N$6,3,FALSE)=0,"Spatial Data Missing ⚠",VLOOKUP(M69,'G-3 Multipliers'!$L$3:$N$6,3,FALSE)))</f>
        <v/>
      </c>
      <c r="P69" s="336" t="str">
        <f>(IF(G69="Yes","Bespoke compensation likely to be required",(IFERROR(VLOOKUP(AV69,'G-1 All Habitats'!$B$2:$M$135,12,FALSE),""))))</f>
        <v/>
      </c>
      <c r="Q69" s="511" t="str">
        <f>IFERROR(IF(P69="","",IF(AND(E69="Individual trees",W69&gt;0,G69="Yes"),"Error - you cannot enhance irreplaceable individual trees ▲",IF(P69='G-1 All Habitats'!$X$9,T69*S69,IF(AND(P69='G-1 All Habitats'!$X$9,W69&gt;0),X69+(Y69*S69),IF(AND(P69='G-1 All Habitats'!$X$9,V69&gt;0),X69+(Y69*S69),IF(AND(P69='G-1 All Habitats'!$X$9,AG69&gt;0),"Any Loss Unacceptable  ⚠",IF(AND(P69='G-1 All Habitats'!$X$9,Z69&gt;0),"Any Loss Unacceptable ⚠",H69*J69*L69*O69*S69))))))),"Check Data ⚠")</f>
        <v/>
      </c>
      <c r="R69" s="393"/>
      <c r="S69" s="510" t="str">
        <f>IF(R69="","",IF(VLOOKUP(R69,'G-3 Multipliers'!$S$3:$T$10,2,FALSE)=0,"Spatial Data Missing ⚠",VLOOKUP(R69,'G-3 Multipliers'!$S$3:$T$10,2,FALSE)))</f>
        <v/>
      </c>
      <c r="T69" s="289" t="str">
        <f>IFERROR(IF(AND(F69&lt;&gt;"",G69=""),"Confirm irreplaceable habitat status ▲",(IF(AND(R69&lt;&gt;"",AF69=""),"Off-site reference required ▲",(IF(AND(E69="Individual trees",W69&gt;0,G69="Yes"),"Error - you cannot enhance irreplaceable individual trees ▲",(IF(AND(X69="Irreplaceable habitat - no units generated ⚠",(W69+V69)&lt;H69,OR(AB69="No",AB69="")),"Any Loss Unacceptable ⚠",(IF(X69="Irreplaceable habitat - no units generated ⚠",W69*J69*L69*O69,IF(AND(P69='G-1 All Habitats'!$X$9,AH69&gt;0,V69&lt;=0,W69&lt;=0,OR(AB69="No",AB69="")),"Any Loss Unacceptable ⚠",IF(AND(P69='G-1 All Habitats'!$X$9,AH69&gt;0,V69&lt;=0,W69&lt;=0),0,(IF(AND(P69='G-1 All Habitats'!$X$9,(W69+V69)&lt;H69,OR(AB69="No",AB69="")),"Any Loss Unacceptable ⚠",(IF(P69="","",IF(AND(P69='G-1 All Habitats'!$X$9,W69&gt;0),X69+Y69,IF(AND(P69='G-1 All Habitats'!$X$9,V69&gt;0),X69+Y69,IF(R69="","",H69*J69*L69*O69)))))))))))))))))),"Check Data ▲")</f>
        <v/>
      </c>
      <c r="U69" s="38"/>
      <c r="V69" s="52"/>
      <c r="W69" s="53"/>
      <c r="X69" s="287" t="str">
        <f t="shared" si="2"/>
        <v/>
      </c>
      <c r="Y69" s="287" t="str">
        <f t="shared" si="3"/>
        <v/>
      </c>
      <c r="Z69" s="287" t="str">
        <f t="shared" si="4"/>
        <v/>
      </c>
      <c r="AA69" s="317" t="str">
        <f>IFERROR(IF(AND(E69="Individual trees",G69="Yes",W69&gt;0),"Error - you cannot enhance an irreplaceable tree ▲",(IF(H69="","",IF(H69-V69-W69=0&lt;0,"Error in Areas ▲",IF(V69+W69&gt;H69,"Error in Areas ▲",IF(AND(P69='G-1 All Habitats'!$X$9,AB69="Yes"),"Alternative Compensation ✓",IF(AND(P69='G-1 All Habitats'!$X$3,AB69="Yes"),"Alternative Compensation ✓",IF(AND(AB69="Pending",P69='G-1 All Habitats'!$X$3),"Bespoke compensation must be agreed ▲",IF(AND(AB69="Pending",P69='G-1 All Habitats'!$X$9),"Bespoke compensation must be agreed  ▲",IF(Z69=0,0,IF(P69='G-1 All Habitats'!$X$9,"Any Loss Unacceptable ▲",T69-X69-Y69))))))))))),"Check Data ⚠")</f>
        <v/>
      </c>
      <c r="AB69" s="587"/>
      <c r="AC69" s="105"/>
      <c r="AD69" s="138"/>
      <c r="AE69" s="104"/>
      <c r="AF69" s="611"/>
      <c r="AG69" s="523" t="str">
        <f>IF(OR(P69="",AB69="Yes"),"",IF(P69='G-1 All Habitats'!$X$9,H69-V69-W69,"None"))</f>
        <v/>
      </c>
      <c r="AH69" s="523" t="str">
        <f>IF(P69="","",IF(P69='G-1 All Habitats'!$X$9,AG69*J69*L69*O69,"None"))</f>
        <v/>
      </c>
      <c r="AJ69" s="107" t="str">
        <f t="shared" si="5"/>
        <v/>
      </c>
      <c r="AK69" s="107" t="str">
        <f t="shared" si="8"/>
        <v/>
      </c>
      <c r="AL69" s="107" t="str">
        <f>IF(I69="","",IF(#REF!&gt;0,TRUE,FALSE))</f>
        <v/>
      </c>
      <c r="AM69" s="107">
        <v>59</v>
      </c>
      <c r="AN69" s="107"/>
      <c r="AO69" s="107" t="str">
        <f t="array" ref="AO69">IFERROR(INDEX($AM$11:$AM$259,MATCH(0,IF(TRUE=$AJ$11:$AJ$259,COUNTIF($AO$10:$AO68,$AM$11:$AM$259),""),0)),"")</f>
        <v/>
      </c>
      <c r="AP69" s="107" t="str">
        <f t="array" ref="AP69">IFERROR(INDEX($AM$11:$AM$259,MATCH(0,IF(TRUE=$AK$11:$AK$259,COUNTIF($AP$10:$AP68,$AM$11:$AM$259),""),0)),"")</f>
        <v/>
      </c>
      <c r="AQ69" s="107" t="str">
        <f t="array" ref="AQ69">IFERROR(INDEX($AM$11:$AM$259,MATCH(0,IF(TRUE=$AL$11:$AL$259,COUNTIF($AQ$10:$AQ68,$AM$11:$AM$259),""),0)),"")</f>
        <v/>
      </c>
      <c r="AS69" s="885" t="str">
        <f>IF(AND(OR(AB69="Yes",AB69="Pending"),P69='G-1 All Habitats'!$X$3),T69-X69-Y69,"0")</f>
        <v>0</v>
      </c>
      <c r="AT69" s="30" t="str">
        <f t="shared" si="1"/>
        <v/>
      </c>
      <c r="AU69" s="30">
        <f t="shared" si="6"/>
        <v>0</v>
      </c>
      <c r="AV69" s="230" t="str">
        <f>IFERROR(INDEX('G-1 All Habitats'!$B$3:$B$135,MATCH(F69,'G-1 All Habitats'!$A$3:$A$135,0)),"")</f>
        <v/>
      </c>
      <c r="AW69" s="30" t="str">
        <f>IF(AV69="","",VLOOKUP(AV69,'G-1 All Habitats'!$B$1:$T$135,19,FALSE))</f>
        <v/>
      </c>
      <c r="AY69" s="287" t="str">
        <f t="shared" si="7"/>
        <v/>
      </c>
    </row>
    <row r="70" spans="1:51" ht="14">
      <c r="A70" s="30" t="str">
        <f>IFERROR(INDEX('G-1 All Habitats'!$AG$3:$AG$17,MATCH(E70,'G-1 All Habitats'!$AF$3:$AF$17,0)),"")</f>
        <v/>
      </c>
      <c r="B70" s="30" t="str">
        <f>IFERROR(INDEX('G-8 Condition Look up'!$I$4:$I$135,MATCH(AV70,'G-8 Condition Look up'!$A$4:$A$135,0)),"")</f>
        <v/>
      </c>
      <c r="D70" s="97">
        <v>60</v>
      </c>
      <c r="E70" s="262"/>
      <c r="F70" s="263"/>
      <c r="G70" s="133"/>
      <c r="H70" s="115"/>
      <c r="I70" s="509" t="str">
        <f>IF(AV70="","",IF(AND(AW70="Yes",G70="No"),"Irreplaceable habitat ▲",IF(AND(AW70="No",G70="Yes"),"Cannot be Irreplaceable ▲",VLOOKUP(AV70,'G-1 All Habitats'!$B$2:$M$135,10,FALSE))))</f>
        <v/>
      </c>
      <c r="J70" s="377" t="str">
        <f>IFERROR(VLOOKUP(I70,'G-1 All Habitats'!$V$3:$W$7,2,FALSE),"")</f>
        <v/>
      </c>
      <c r="K70" s="101"/>
      <c r="L70" s="276" t="str">
        <f>IFERROR(INDEX('G-8 Condition Look up'!$A$3:$H$135,MATCH(AV70,'G-8 Condition Look up'!$A$3:$A$135,0),MATCH(K70,'G-8 Condition Look up'!$A$3:$H$3,0)),"")</f>
        <v/>
      </c>
      <c r="M70" s="105"/>
      <c r="N70" s="295" t="str">
        <f>IF(M70="","",IF(VLOOKUP(M70,'G-3 Multipliers'!$L$3:$N$6,2,FALSE)=0,"Spatial Data Missing ⚠",VLOOKUP(M70,'G-3 Multipliers'!$L$3:$N$6,2,FALSE)))</f>
        <v/>
      </c>
      <c r="O70" s="353" t="str">
        <f>IF(M70="","",IF(VLOOKUP(M70,'G-3 Multipliers'!$L$3:$N$6,3,FALSE)=0,"Spatial Data Missing ⚠",VLOOKUP(M70,'G-3 Multipliers'!$L$3:$N$6,3,FALSE)))</f>
        <v/>
      </c>
      <c r="P70" s="336" t="str">
        <f>(IF(G70="Yes","Bespoke compensation likely to be required",(IFERROR(VLOOKUP(AV70,'G-1 All Habitats'!$B$2:$M$135,12,FALSE),""))))</f>
        <v/>
      </c>
      <c r="Q70" s="511" t="str">
        <f>IFERROR(IF(P70="","",IF(AND(E70="Individual trees",W70&gt;0,G70="Yes"),"Error - you cannot enhance irreplaceable individual trees ▲",IF(P70='G-1 All Habitats'!$X$9,T70*S70,IF(AND(P70='G-1 All Habitats'!$X$9,W70&gt;0),X70+(Y70*S70),IF(AND(P70='G-1 All Habitats'!$X$9,V70&gt;0),X70+(Y70*S70),IF(AND(P70='G-1 All Habitats'!$X$9,AG70&gt;0),"Any Loss Unacceptable  ⚠",IF(AND(P70='G-1 All Habitats'!$X$9,Z70&gt;0),"Any Loss Unacceptable ⚠",H70*J70*L70*O70*S70))))))),"Check Data ⚠")</f>
        <v/>
      </c>
      <c r="R70" s="393"/>
      <c r="S70" s="510" t="str">
        <f>IF(R70="","",IF(VLOOKUP(R70,'G-3 Multipliers'!$S$3:$T$10,2,FALSE)=0,"Spatial Data Missing ⚠",VLOOKUP(R70,'G-3 Multipliers'!$S$3:$T$10,2,FALSE)))</f>
        <v/>
      </c>
      <c r="T70" s="289" t="str">
        <f>IFERROR(IF(AND(F70&lt;&gt;"",G70=""),"Confirm irreplaceable habitat status ▲",(IF(AND(R70&lt;&gt;"",AF70=""),"Off-site reference required ▲",(IF(AND(E70="Individual trees",W70&gt;0,G70="Yes"),"Error - you cannot enhance irreplaceable individual trees ▲",(IF(AND(X70="Irreplaceable habitat - no units generated ⚠",(W70+V70)&lt;H70,OR(AB70="No",AB70="")),"Any Loss Unacceptable ⚠",(IF(X70="Irreplaceable habitat - no units generated ⚠",W70*J70*L70*O70,IF(AND(P70='G-1 All Habitats'!$X$9,AH70&gt;0,V70&lt;=0,W70&lt;=0,OR(AB70="No",AB70="")),"Any Loss Unacceptable ⚠",IF(AND(P70='G-1 All Habitats'!$X$9,AH70&gt;0,V70&lt;=0,W70&lt;=0),0,(IF(AND(P70='G-1 All Habitats'!$X$9,(W70+V70)&lt;H70,OR(AB70="No",AB70="")),"Any Loss Unacceptable ⚠",(IF(P70="","",IF(AND(P70='G-1 All Habitats'!$X$9,W70&gt;0),X70+Y70,IF(AND(P70='G-1 All Habitats'!$X$9,V70&gt;0),X70+Y70,IF(R70="","",H70*J70*L70*O70)))))))))))))))))),"Check Data ▲")</f>
        <v/>
      </c>
      <c r="U70" s="38"/>
      <c r="V70" s="52"/>
      <c r="W70" s="53"/>
      <c r="X70" s="287" t="str">
        <f t="shared" si="2"/>
        <v/>
      </c>
      <c r="Y70" s="287" t="str">
        <f t="shared" si="3"/>
        <v/>
      </c>
      <c r="Z70" s="287" t="str">
        <f t="shared" si="4"/>
        <v/>
      </c>
      <c r="AA70" s="317" t="str">
        <f>IFERROR(IF(AND(E70="Individual trees",G70="Yes",W70&gt;0),"Error - you cannot enhance an irreplaceable tree ▲",(IF(H70="","",IF(H70-V70-W70=0&lt;0,"Error in Areas ▲",IF(V70+W70&gt;H70,"Error in Areas ▲",IF(AND(P70='G-1 All Habitats'!$X$9,AB70="Yes"),"Alternative Compensation ✓",IF(AND(P70='G-1 All Habitats'!$X$3,AB70="Yes"),"Alternative Compensation ✓",IF(AND(AB70="Pending",P70='G-1 All Habitats'!$X$3),"Bespoke compensation must be agreed ▲",IF(AND(AB70="Pending",P70='G-1 All Habitats'!$X$9),"Bespoke compensation must be agreed  ▲",IF(Z70=0,0,IF(P70='G-1 All Habitats'!$X$9,"Any Loss Unacceptable ▲",T70-X70-Y70))))))))))),"Check Data ⚠")</f>
        <v/>
      </c>
      <c r="AB70" s="587"/>
      <c r="AC70" s="105"/>
      <c r="AD70" s="138"/>
      <c r="AE70" s="104"/>
      <c r="AF70" s="611"/>
      <c r="AG70" s="523" t="str">
        <f>IF(OR(P70="",AB70="Yes"),"",IF(P70='G-1 All Habitats'!$X$9,H70-V70-W70,"None"))</f>
        <v/>
      </c>
      <c r="AH70" s="523" t="str">
        <f>IF(P70="","",IF(P70='G-1 All Habitats'!$X$9,AG70*J70*L70*O70,"None"))</f>
        <v/>
      </c>
      <c r="AJ70" s="107" t="str">
        <f t="shared" si="5"/>
        <v/>
      </c>
      <c r="AK70" s="107" t="str">
        <f t="shared" si="8"/>
        <v/>
      </c>
      <c r="AL70" s="107" t="str">
        <f>IF(I70="","",IF(#REF!&gt;0,TRUE,FALSE))</f>
        <v/>
      </c>
      <c r="AM70" s="107">
        <v>60</v>
      </c>
      <c r="AN70" s="107"/>
      <c r="AO70" s="107" t="str">
        <f t="array" ref="AO70">IFERROR(INDEX($AM$11:$AM$259,MATCH(0,IF(TRUE=$AJ$11:$AJ$259,COUNTIF($AO$10:$AO69,$AM$11:$AM$259),""),0)),"")</f>
        <v/>
      </c>
      <c r="AP70" s="107" t="str">
        <f t="array" ref="AP70">IFERROR(INDEX($AM$11:$AM$259,MATCH(0,IF(TRUE=$AK$11:$AK$259,COUNTIF($AP$10:$AP69,$AM$11:$AM$259),""),0)),"")</f>
        <v/>
      </c>
      <c r="AQ70" s="107" t="str">
        <f t="array" ref="AQ70">IFERROR(INDEX($AM$11:$AM$259,MATCH(0,IF(TRUE=$AL$11:$AL$259,COUNTIF($AQ$10:$AQ69,$AM$11:$AM$259),""),0)),"")</f>
        <v/>
      </c>
      <c r="AS70" s="885" t="str">
        <f>IF(AND(OR(AB70="Yes",AB70="Pending"),P70='G-1 All Habitats'!$X$3),T70-X70-Y70,"0")</f>
        <v>0</v>
      </c>
      <c r="AT70" s="30" t="str">
        <f t="shared" si="1"/>
        <v/>
      </c>
      <c r="AU70" s="30">
        <f t="shared" si="6"/>
        <v>0</v>
      </c>
      <c r="AV70" s="230" t="str">
        <f>IFERROR(INDEX('G-1 All Habitats'!$B$3:$B$135,MATCH(F70,'G-1 All Habitats'!$A$3:$A$135,0)),"")</f>
        <v/>
      </c>
      <c r="AW70" s="30" t="str">
        <f>IF(AV70="","",VLOOKUP(AV70,'G-1 All Habitats'!$B$1:$T$135,19,FALSE))</f>
        <v/>
      </c>
      <c r="AY70" s="287" t="str">
        <f t="shared" si="7"/>
        <v/>
      </c>
    </row>
    <row r="71" spans="1:51" ht="14">
      <c r="A71" s="30" t="str">
        <f>IFERROR(INDEX('G-1 All Habitats'!$AG$3:$AG$17,MATCH(E71,'G-1 All Habitats'!$AF$3:$AF$17,0)),"")</f>
        <v/>
      </c>
      <c r="B71" s="30" t="str">
        <f>IFERROR(INDEX('G-8 Condition Look up'!$I$4:$I$135,MATCH(AV71,'G-8 Condition Look up'!$A$4:$A$135,0)),"")</f>
        <v/>
      </c>
      <c r="D71" s="97">
        <v>61</v>
      </c>
      <c r="E71" s="262"/>
      <c r="F71" s="263"/>
      <c r="G71" s="133"/>
      <c r="H71" s="115"/>
      <c r="I71" s="509" t="str">
        <f>IF(AV71="","",IF(AND(AW71="Yes",G71="No"),"Irreplaceable habitat ▲",IF(AND(AW71="No",G71="Yes"),"Cannot be Irreplaceable ▲",VLOOKUP(AV71,'G-1 All Habitats'!$B$2:$M$135,10,FALSE))))</f>
        <v/>
      </c>
      <c r="J71" s="377" t="str">
        <f>IFERROR(VLOOKUP(I71,'G-1 All Habitats'!$V$3:$W$7,2,FALSE),"")</f>
        <v/>
      </c>
      <c r="K71" s="101"/>
      <c r="L71" s="276" t="str">
        <f>IFERROR(INDEX('G-8 Condition Look up'!$A$3:$H$135,MATCH(AV71,'G-8 Condition Look up'!$A$3:$A$135,0),MATCH(K71,'G-8 Condition Look up'!$A$3:$H$3,0)),"")</f>
        <v/>
      </c>
      <c r="M71" s="105"/>
      <c r="N71" s="295" t="str">
        <f>IF(M71="","",IF(VLOOKUP(M71,'G-3 Multipliers'!$L$3:$N$6,2,FALSE)=0,"Spatial Data Missing ⚠",VLOOKUP(M71,'G-3 Multipliers'!$L$3:$N$6,2,FALSE)))</f>
        <v/>
      </c>
      <c r="O71" s="353" t="str">
        <f>IF(M71="","",IF(VLOOKUP(M71,'G-3 Multipliers'!$L$3:$N$6,3,FALSE)=0,"Spatial Data Missing ⚠",VLOOKUP(M71,'G-3 Multipliers'!$L$3:$N$6,3,FALSE)))</f>
        <v/>
      </c>
      <c r="P71" s="336" t="str">
        <f>(IF(G71="Yes","Bespoke compensation likely to be required",(IFERROR(VLOOKUP(AV71,'G-1 All Habitats'!$B$2:$M$135,12,FALSE),""))))</f>
        <v/>
      </c>
      <c r="Q71" s="511" t="str">
        <f>IFERROR(IF(P71="","",IF(AND(E71="Individual trees",W71&gt;0,G71="Yes"),"Error - you cannot enhance irreplaceable individual trees ▲",IF(P71='G-1 All Habitats'!$X$9,T71*S71,IF(AND(P71='G-1 All Habitats'!$X$9,W71&gt;0),X71+(Y71*S71),IF(AND(P71='G-1 All Habitats'!$X$9,V71&gt;0),X71+(Y71*S71),IF(AND(P71='G-1 All Habitats'!$X$9,AG71&gt;0),"Any Loss Unacceptable  ⚠",IF(AND(P71='G-1 All Habitats'!$X$9,Z71&gt;0),"Any Loss Unacceptable ⚠",H71*J71*L71*O71*S71))))))),"Check Data ⚠")</f>
        <v/>
      </c>
      <c r="R71" s="393"/>
      <c r="S71" s="510" t="str">
        <f>IF(R71="","",IF(VLOOKUP(R71,'G-3 Multipliers'!$S$3:$T$10,2,FALSE)=0,"Spatial Data Missing ⚠",VLOOKUP(R71,'G-3 Multipliers'!$S$3:$T$10,2,FALSE)))</f>
        <v/>
      </c>
      <c r="T71" s="289" t="str">
        <f>IFERROR(IF(AND(F71&lt;&gt;"",G71=""),"Confirm irreplaceable habitat status ▲",(IF(AND(R71&lt;&gt;"",AF71=""),"Off-site reference required ▲",(IF(AND(E71="Individual trees",W71&gt;0,G71="Yes"),"Error - you cannot enhance irreplaceable individual trees ▲",(IF(AND(X71="Irreplaceable habitat - no units generated ⚠",(W71+V71)&lt;H71,OR(AB71="No",AB71="")),"Any Loss Unacceptable ⚠",(IF(X71="Irreplaceable habitat - no units generated ⚠",W71*J71*L71*O71,IF(AND(P71='G-1 All Habitats'!$X$9,AH71&gt;0,V71&lt;=0,W71&lt;=0,OR(AB71="No",AB71="")),"Any Loss Unacceptable ⚠",IF(AND(P71='G-1 All Habitats'!$X$9,AH71&gt;0,V71&lt;=0,W71&lt;=0),0,(IF(AND(P71='G-1 All Habitats'!$X$9,(W71+V71)&lt;H71,OR(AB71="No",AB71="")),"Any Loss Unacceptable ⚠",(IF(P71="","",IF(AND(P71='G-1 All Habitats'!$X$9,W71&gt;0),X71+Y71,IF(AND(P71='G-1 All Habitats'!$X$9,V71&gt;0),X71+Y71,IF(R71="","",H71*J71*L71*O71)))))))))))))))))),"Check Data ▲")</f>
        <v/>
      </c>
      <c r="U71" s="38"/>
      <c r="V71" s="52"/>
      <c r="W71" s="53"/>
      <c r="X71" s="287" t="str">
        <f t="shared" si="2"/>
        <v/>
      </c>
      <c r="Y71" s="287" t="str">
        <f t="shared" si="3"/>
        <v/>
      </c>
      <c r="Z71" s="287" t="str">
        <f t="shared" si="4"/>
        <v/>
      </c>
      <c r="AA71" s="317" t="str">
        <f>IFERROR(IF(AND(E71="Individual trees",G71="Yes",W71&gt;0),"Error - you cannot enhance an irreplaceable tree ▲",(IF(H71="","",IF(H71-V71-W71=0&lt;0,"Error in Areas ▲",IF(V71+W71&gt;H71,"Error in Areas ▲",IF(AND(P71='G-1 All Habitats'!$X$9,AB71="Yes"),"Alternative Compensation ✓",IF(AND(P71='G-1 All Habitats'!$X$3,AB71="Yes"),"Alternative Compensation ✓",IF(AND(AB71="Pending",P71='G-1 All Habitats'!$X$3),"Bespoke compensation must be agreed ▲",IF(AND(AB71="Pending",P71='G-1 All Habitats'!$X$9),"Bespoke compensation must be agreed  ▲",IF(Z71=0,0,IF(P71='G-1 All Habitats'!$X$9,"Any Loss Unacceptable ▲",T71-X71-Y71))))))))))),"Check Data ⚠")</f>
        <v/>
      </c>
      <c r="AB71" s="587"/>
      <c r="AC71" s="105"/>
      <c r="AD71" s="138"/>
      <c r="AE71" s="104"/>
      <c r="AF71" s="611"/>
      <c r="AG71" s="523" t="str">
        <f>IF(OR(P71="",AB71="Yes"),"",IF(P71='G-1 All Habitats'!$X$9,H71-V71-W71,"None"))</f>
        <v/>
      </c>
      <c r="AH71" s="523" t="str">
        <f>IF(P71="","",IF(P71='G-1 All Habitats'!$X$9,AG71*J71*L71*O71,"None"))</f>
        <v/>
      </c>
      <c r="AJ71" s="107" t="str">
        <f t="shared" si="5"/>
        <v/>
      </c>
      <c r="AK71" s="107" t="str">
        <f t="shared" si="8"/>
        <v/>
      </c>
      <c r="AL71" s="107" t="str">
        <f>IF(I71="","",IF(#REF!&gt;0,TRUE,FALSE))</f>
        <v/>
      </c>
      <c r="AM71" s="107">
        <v>61</v>
      </c>
      <c r="AN71" s="107"/>
      <c r="AO71" s="107" t="str">
        <f t="array" ref="AO71">IFERROR(INDEX($AM$11:$AM$259,MATCH(0,IF(TRUE=$AJ$11:$AJ$259,COUNTIF($AO$10:$AO70,$AM$11:$AM$259),""),0)),"")</f>
        <v/>
      </c>
      <c r="AP71" s="107" t="str">
        <f t="array" ref="AP71">IFERROR(INDEX($AM$11:$AM$259,MATCH(0,IF(TRUE=$AK$11:$AK$259,COUNTIF($AP$10:$AP70,$AM$11:$AM$259),""),0)),"")</f>
        <v/>
      </c>
      <c r="AQ71" s="107" t="str">
        <f t="array" ref="AQ71">IFERROR(INDEX($AM$11:$AM$259,MATCH(0,IF(TRUE=$AL$11:$AL$259,COUNTIF($AQ$10:$AQ70,$AM$11:$AM$259),""),0)),"")</f>
        <v/>
      </c>
      <c r="AS71" s="885" t="str">
        <f>IF(AND(OR(AB71="Yes",AB71="Pending"),P71='G-1 All Habitats'!$X$3),T71-X71-Y71,"0")</f>
        <v>0</v>
      </c>
      <c r="AT71" s="30" t="str">
        <f t="shared" si="1"/>
        <v/>
      </c>
      <c r="AU71" s="30">
        <f t="shared" si="6"/>
        <v>0</v>
      </c>
      <c r="AV71" s="230" t="str">
        <f>IFERROR(INDEX('G-1 All Habitats'!$B$3:$B$135,MATCH(F71,'G-1 All Habitats'!$A$3:$A$135,0)),"")</f>
        <v/>
      </c>
      <c r="AW71" s="30" t="str">
        <f>IF(AV71="","",VLOOKUP(AV71,'G-1 All Habitats'!$B$1:$T$135,19,FALSE))</f>
        <v/>
      </c>
      <c r="AY71" s="287" t="str">
        <f t="shared" si="7"/>
        <v/>
      </c>
    </row>
    <row r="72" spans="1:51" ht="14">
      <c r="A72" s="30" t="str">
        <f>IFERROR(INDEX('G-1 All Habitats'!$AG$3:$AG$17,MATCH(E72,'G-1 All Habitats'!$AF$3:$AF$17,0)),"")</f>
        <v/>
      </c>
      <c r="B72" s="30" t="str">
        <f>IFERROR(INDEX('G-8 Condition Look up'!$I$4:$I$135,MATCH(AV72,'G-8 Condition Look up'!$A$4:$A$135,0)),"")</f>
        <v/>
      </c>
      <c r="D72" s="97">
        <v>62</v>
      </c>
      <c r="E72" s="262"/>
      <c r="F72" s="263"/>
      <c r="G72" s="133"/>
      <c r="H72" s="115"/>
      <c r="I72" s="509" t="str">
        <f>IF(AV72="","",IF(AND(AW72="Yes",G72="No"),"Irreplaceable habitat ▲",IF(AND(AW72="No",G72="Yes"),"Cannot be Irreplaceable ▲",VLOOKUP(AV72,'G-1 All Habitats'!$B$2:$M$135,10,FALSE))))</f>
        <v/>
      </c>
      <c r="J72" s="377" t="str">
        <f>IFERROR(VLOOKUP(I72,'G-1 All Habitats'!$V$3:$W$7,2,FALSE),"")</f>
        <v/>
      </c>
      <c r="K72" s="101"/>
      <c r="L72" s="276" t="str">
        <f>IFERROR(INDEX('G-8 Condition Look up'!$A$3:$H$135,MATCH(AV72,'G-8 Condition Look up'!$A$3:$A$135,0),MATCH(K72,'G-8 Condition Look up'!$A$3:$H$3,0)),"")</f>
        <v/>
      </c>
      <c r="M72" s="105"/>
      <c r="N72" s="295" t="str">
        <f>IF(M72="","",IF(VLOOKUP(M72,'G-3 Multipliers'!$L$3:$N$6,2,FALSE)=0,"Spatial Data Missing ⚠",VLOOKUP(M72,'G-3 Multipliers'!$L$3:$N$6,2,FALSE)))</f>
        <v/>
      </c>
      <c r="O72" s="353" t="str">
        <f>IF(M72="","",IF(VLOOKUP(M72,'G-3 Multipliers'!$L$3:$N$6,3,FALSE)=0,"Spatial Data Missing ⚠",VLOOKUP(M72,'G-3 Multipliers'!$L$3:$N$6,3,FALSE)))</f>
        <v/>
      </c>
      <c r="P72" s="336" t="str">
        <f>(IF(G72="Yes","Bespoke compensation likely to be required",(IFERROR(VLOOKUP(AV72,'G-1 All Habitats'!$B$2:$M$135,12,FALSE),""))))</f>
        <v/>
      </c>
      <c r="Q72" s="511" t="str">
        <f>IFERROR(IF(P72="","",IF(AND(E72="Individual trees",W72&gt;0,G72="Yes"),"Error - you cannot enhance irreplaceable individual trees ▲",IF(P72='G-1 All Habitats'!$X$9,T72*S72,IF(AND(P72='G-1 All Habitats'!$X$9,W72&gt;0),X72+(Y72*S72),IF(AND(P72='G-1 All Habitats'!$X$9,V72&gt;0),X72+(Y72*S72),IF(AND(P72='G-1 All Habitats'!$X$9,AG72&gt;0),"Any Loss Unacceptable  ⚠",IF(AND(P72='G-1 All Habitats'!$X$9,Z72&gt;0),"Any Loss Unacceptable ⚠",H72*J72*L72*O72*S72))))))),"Check Data ⚠")</f>
        <v/>
      </c>
      <c r="R72" s="393"/>
      <c r="S72" s="510" t="str">
        <f>IF(R72="","",IF(VLOOKUP(R72,'G-3 Multipliers'!$S$3:$T$10,2,FALSE)=0,"Spatial Data Missing ⚠",VLOOKUP(R72,'G-3 Multipliers'!$S$3:$T$10,2,FALSE)))</f>
        <v/>
      </c>
      <c r="T72" s="289" t="str">
        <f>IFERROR(IF(AND(F72&lt;&gt;"",G72=""),"Confirm irreplaceable habitat status ▲",(IF(AND(R72&lt;&gt;"",AF72=""),"Off-site reference required ▲",(IF(AND(E72="Individual trees",W72&gt;0,G72="Yes"),"Error - you cannot enhance irreplaceable individual trees ▲",(IF(AND(X72="Irreplaceable habitat - no units generated ⚠",(W72+V72)&lt;H72,OR(AB72="No",AB72="")),"Any Loss Unacceptable ⚠",(IF(X72="Irreplaceable habitat - no units generated ⚠",W72*J72*L72*O72,IF(AND(P72='G-1 All Habitats'!$X$9,AH72&gt;0,V72&lt;=0,W72&lt;=0,OR(AB72="No",AB72="")),"Any Loss Unacceptable ⚠",IF(AND(P72='G-1 All Habitats'!$X$9,AH72&gt;0,V72&lt;=0,W72&lt;=0),0,(IF(AND(P72='G-1 All Habitats'!$X$9,(W72+V72)&lt;H72,OR(AB72="No",AB72="")),"Any Loss Unacceptable ⚠",(IF(P72="","",IF(AND(P72='G-1 All Habitats'!$X$9,W72&gt;0),X72+Y72,IF(AND(P72='G-1 All Habitats'!$X$9,V72&gt;0),X72+Y72,IF(R72="","",H72*J72*L72*O72)))))))))))))))))),"Check Data ▲")</f>
        <v/>
      </c>
      <c r="U72" s="38"/>
      <c r="V72" s="52"/>
      <c r="W72" s="53"/>
      <c r="X72" s="287" t="str">
        <f t="shared" si="2"/>
        <v/>
      </c>
      <c r="Y72" s="287" t="str">
        <f t="shared" si="3"/>
        <v/>
      </c>
      <c r="Z72" s="287" t="str">
        <f t="shared" si="4"/>
        <v/>
      </c>
      <c r="AA72" s="317" t="str">
        <f>IFERROR(IF(AND(E72="Individual trees",G72="Yes",W72&gt;0),"Error - you cannot enhance an irreplaceable tree ▲",(IF(H72="","",IF(H72-V72-W72=0&lt;0,"Error in Areas ▲",IF(V72+W72&gt;H72,"Error in Areas ▲",IF(AND(P72='G-1 All Habitats'!$X$9,AB72="Yes"),"Alternative Compensation ✓",IF(AND(P72='G-1 All Habitats'!$X$3,AB72="Yes"),"Alternative Compensation ✓",IF(AND(AB72="Pending",P72='G-1 All Habitats'!$X$3),"Bespoke compensation must be agreed ▲",IF(AND(AB72="Pending",P72='G-1 All Habitats'!$X$9),"Bespoke compensation must be agreed  ▲",IF(Z72=0,0,IF(P72='G-1 All Habitats'!$X$9,"Any Loss Unacceptable ▲",T72-X72-Y72))))))))))),"Check Data ⚠")</f>
        <v/>
      </c>
      <c r="AB72" s="587"/>
      <c r="AC72" s="105"/>
      <c r="AD72" s="138"/>
      <c r="AE72" s="104"/>
      <c r="AF72" s="611"/>
      <c r="AG72" s="523" t="str">
        <f>IF(OR(P72="",AB72="Yes"),"",IF(P72='G-1 All Habitats'!$X$9,H72-V72-W72,"None"))</f>
        <v/>
      </c>
      <c r="AH72" s="523" t="str">
        <f>IF(P72="","",IF(P72='G-1 All Habitats'!$X$9,AG72*J72*L72*O72,"None"))</f>
        <v/>
      </c>
      <c r="AJ72" s="107" t="str">
        <f t="shared" si="5"/>
        <v/>
      </c>
      <c r="AK72" s="107" t="str">
        <f t="shared" si="8"/>
        <v/>
      </c>
      <c r="AL72" s="107" t="str">
        <f>IF(I72="","",IF(#REF!&gt;0,TRUE,FALSE))</f>
        <v/>
      </c>
      <c r="AM72" s="107">
        <v>62</v>
      </c>
      <c r="AN72" s="107"/>
      <c r="AO72" s="107" t="str">
        <f t="array" ref="AO72">IFERROR(INDEX($AM$11:$AM$259,MATCH(0,IF(TRUE=$AJ$11:$AJ$259,COUNTIF($AO$10:$AO71,$AM$11:$AM$259),""),0)),"")</f>
        <v/>
      </c>
      <c r="AP72" s="107" t="str">
        <f t="array" ref="AP72">IFERROR(INDEX($AM$11:$AM$259,MATCH(0,IF(TRUE=$AK$11:$AK$259,COUNTIF($AP$10:$AP71,$AM$11:$AM$259),""),0)),"")</f>
        <v/>
      </c>
      <c r="AQ72" s="107" t="str">
        <f t="array" ref="AQ72">IFERROR(INDEX($AM$11:$AM$259,MATCH(0,IF(TRUE=$AL$11:$AL$259,COUNTIF($AQ$10:$AQ71,$AM$11:$AM$259),""),0)),"")</f>
        <v/>
      </c>
      <c r="AS72" s="885" t="str">
        <f>IF(AND(OR(AB72="Yes",AB72="Pending"),P72='G-1 All Habitats'!$X$3),T72-X72-Y72,"0")</f>
        <v>0</v>
      </c>
      <c r="AT72" s="30" t="str">
        <f t="shared" si="1"/>
        <v/>
      </c>
      <c r="AU72" s="30">
        <f t="shared" si="6"/>
        <v>0</v>
      </c>
      <c r="AV72" s="230" t="str">
        <f>IFERROR(INDEX('G-1 All Habitats'!$B$3:$B$135,MATCH(F72,'G-1 All Habitats'!$A$3:$A$135,0)),"")</f>
        <v/>
      </c>
      <c r="AW72" s="30" t="str">
        <f>IF(AV72="","",VLOOKUP(AV72,'G-1 All Habitats'!$B$1:$T$135,19,FALSE))</f>
        <v/>
      </c>
      <c r="AY72" s="287" t="str">
        <f t="shared" si="7"/>
        <v/>
      </c>
    </row>
    <row r="73" spans="1:51" ht="14">
      <c r="A73" s="30" t="str">
        <f>IFERROR(INDEX('G-1 All Habitats'!$AG$3:$AG$17,MATCH(E73,'G-1 All Habitats'!$AF$3:$AF$17,0)),"")</f>
        <v/>
      </c>
      <c r="B73" s="30" t="str">
        <f>IFERROR(INDEX('G-8 Condition Look up'!$I$4:$I$135,MATCH(AV73,'G-8 Condition Look up'!$A$4:$A$135,0)),"")</f>
        <v/>
      </c>
      <c r="D73" s="97">
        <v>63</v>
      </c>
      <c r="E73" s="262"/>
      <c r="F73" s="263"/>
      <c r="G73" s="133"/>
      <c r="H73" s="115"/>
      <c r="I73" s="509" t="str">
        <f>IF(AV73="","",IF(AND(AW73="Yes",G73="No"),"Irreplaceable habitat ▲",IF(AND(AW73="No",G73="Yes"),"Cannot be Irreplaceable ▲",VLOOKUP(AV73,'G-1 All Habitats'!$B$2:$M$135,10,FALSE))))</f>
        <v/>
      </c>
      <c r="J73" s="377" t="str">
        <f>IFERROR(VLOOKUP(I73,'G-1 All Habitats'!$V$3:$W$7,2,FALSE),"")</f>
        <v/>
      </c>
      <c r="K73" s="101"/>
      <c r="L73" s="276" t="str">
        <f>IFERROR(INDEX('G-8 Condition Look up'!$A$3:$H$135,MATCH(AV73,'G-8 Condition Look up'!$A$3:$A$135,0),MATCH(K73,'G-8 Condition Look up'!$A$3:$H$3,0)),"")</f>
        <v/>
      </c>
      <c r="M73" s="105"/>
      <c r="N73" s="295" t="str">
        <f>IF(M73="","",IF(VLOOKUP(M73,'G-3 Multipliers'!$L$3:$N$6,2,FALSE)=0,"Spatial Data Missing ⚠",VLOOKUP(M73,'G-3 Multipliers'!$L$3:$N$6,2,FALSE)))</f>
        <v/>
      </c>
      <c r="O73" s="353" t="str">
        <f>IF(M73="","",IF(VLOOKUP(M73,'G-3 Multipliers'!$L$3:$N$6,3,FALSE)=0,"Spatial Data Missing ⚠",VLOOKUP(M73,'G-3 Multipliers'!$L$3:$N$6,3,FALSE)))</f>
        <v/>
      </c>
      <c r="P73" s="336" t="str">
        <f>(IF(G73="Yes","Bespoke compensation likely to be required",(IFERROR(VLOOKUP(AV73,'G-1 All Habitats'!$B$2:$M$135,12,FALSE),""))))</f>
        <v/>
      </c>
      <c r="Q73" s="511" t="str">
        <f>IFERROR(IF(P73="","",IF(AND(E73="Individual trees",W73&gt;0,G73="Yes"),"Error - you cannot enhance irreplaceable individual trees ▲",IF(P73='G-1 All Habitats'!$X$9,T73*S73,IF(AND(P73='G-1 All Habitats'!$X$9,W73&gt;0),X73+(Y73*S73),IF(AND(P73='G-1 All Habitats'!$X$9,V73&gt;0),X73+(Y73*S73),IF(AND(P73='G-1 All Habitats'!$X$9,AG73&gt;0),"Any Loss Unacceptable  ⚠",IF(AND(P73='G-1 All Habitats'!$X$9,Z73&gt;0),"Any Loss Unacceptable ⚠",H73*J73*L73*O73*S73))))))),"Check Data ⚠")</f>
        <v/>
      </c>
      <c r="R73" s="393"/>
      <c r="S73" s="510" t="str">
        <f>IF(R73="","",IF(VLOOKUP(R73,'G-3 Multipliers'!$S$3:$T$10,2,FALSE)=0,"Spatial Data Missing ⚠",VLOOKUP(R73,'G-3 Multipliers'!$S$3:$T$10,2,FALSE)))</f>
        <v/>
      </c>
      <c r="T73" s="289" t="str">
        <f>IFERROR(IF(AND(F73&lt;&gt;"",G73=""),"Confirm irreplaceable habitat status ▲",(IF(AND(R73&lt;&gt;"",AF73=""),"Off-site reference required ▲",(IF(AND(E73="Individual trees",W73&gt;0,G73="Yes"),"Error - you cannot enhance irreplaceable individual trees ▲",(IF(AND(X73="Irreplaceable habitat - no units generated ⚠",(W73+V73)&lt;H73,OR(AB73="No",AB73="")),"Any Loss Unacceptable ⚠",(IF(X73="Irreplaceable habitat - no units generated ⚠",W73*J73*L73*O73,IF(AND(P73='G-1 All Habitats'!$X$9,AH73&gt;0,V73&lt;=0,W73&lt;=0,OR(AB73="No",AB73="")),"Any Loss Unacceptable ⚠",IF(AND(P73='G-1 All Habitats'!$X$9,AH73&gt;0,V73&lt;=0,W73&lt;=0),0,(IF(AND(P73='G-1 All Habitats'!$X$9,(W73+V73)&lt;H73,OR(AB73="No",AB73="")),"Any Loss Unacceptable ⚠",(IF(P73="","",IF(AND(P73='G-1 All Habitats'!$X$9,W73&gt;0),X73+Y73,IF(AND(P73='G-1 All Habitats'!$X$9,V73&gt;0),X73+Y73,IF(R73="","",H73*J73*L73*O73)))))))))))))))))),"Check Data ▲")</f>
        <v/>
      </c>
      <c r="U73" s="38"/>
      <c r="V73" s="52"/>
      <c r="W73" s="53"/>
      <c r="X73" s="287" t="str">
        <f t="shared" si="2"/>
        <v/>
      </c>
      <c r="Y73" s="287" t="str">
        <f t="shared" si="3"/>
        <v/>
      </c>
      <c r="Z73" s="287" t="str">
        <f t="shared" si="4"/>
        <v/>
      </c>
      <c r="AA73" s="317" t="str">
        <f>IFERROR(IF(AND(E73="Individual trees",G73="Yes",W73&gt;0),"Error - you cannot enhance an irreplaceable tree ▲",(IF(H73="","",IF(H73-V73-W73=0&lt;0,"Error in Areas ▲",IF(V73+W73&gt;H73,"Error in Areas ▲",IF(AND(P73='G-1 All Habitats'!$X$9,AB73="Yes"),"Alternative Compensation ✓",IF(AND(P73='G-1 All Habitats'!$X$3,AB73="Yes"),"Alternative Compensation ✓",IF(AND(AB73="Pending",P73='G-1 All Habitats'!$X$3),"Bespoke compensation must be agreed ▲",IF(AND(AB73="Pending",P73='G-1 All Habitats'!$X$9),"Bespoke compensation must be agreed  ▲",IF(Z73=0,0,IF(P73='G-1 All Habitats'!$X$9,"Any Loss Unacceptable ▲",T73-X73-Y73))))))))))),"Check Data ⚠")</f>
        <v/>
      </c>
      <c r="AB73" s="587"/>
      <c r="AC73" s="105"/>
      <c r="AD73" s="138"/>
      <c r="AE73" s="104"/>
      <c r="AF73" s="611"/>
      <c r="AG73" s="523" t="str">
        <f>IF(OR(P73="",AB73="Yes"),"",IF(P73='G-1 All Habitats'!$X$9,H73-V73-W73,"None"))</f>
        <v/>
      </c>
      <c r="AH73" s="523" t="str">
        <f>IF(P73="","",IF(P73='G-1 All Habitats'!$X$9,AG73*J73*L73*O73,"None"))</f>
        <v/>
      </c>
      <c r="AJ73" s="107" t="str">
        <f t="shared" si="5"/>
        <v/>
      </c>
      <c r="AK73" s="107" t="str">
        <f t="shared" si="8"/>
        <v/>
      </c>
      <c r="AL73" s="107" t="str">
        <f>IF(I73="","",IF(#REF!&gt;0,TRUE,FALSE))</f>
        <v/>
      </c>
      <c r="AM73" s="107">
        <v>63</v>
      </c>
      <c r="AN73" s="107"/>
      <c r="AO73" s="107" t="str">
        <f t="array" ref="AO73">IFERROR(INDEX($AM$11:$AM$259,MATCH(0,IF(TRUE=$AJ$11:$AJ$259,COUNTIF($AO$10:$AO72,$AM$11:$AM$259),""),0)),"")</f>
        <v/>
      </c>
      <c r="AP73" s="107" t="str">
        <f t="array" ref="AP73">IFERROR(INDEX($AM$11:$AM$259,MATCH(0,IF(TRUE=$AK$11:$AK$259,COUNTIF($AP$10:$AP72,$AM$11:$AM$259),""),0)),"")</f>
        <v/>
      </c>
      <c r="AQ73" s="107" t="str">
        <f t="array" ref="AQ73">IFERROR(INDEX($AM$11:$AM$259,MATCH(0,IF(TRUE=$AL$11:$AL$259,COUNTIF($AQ$10:$AQ72,$AM$11:$AM$259),""),0)),"")</f>
        <v/>
      </c>
      <c r="AS73" s="885" t="str">
        <f>IF(AND(OR(AB73="Yes",AB73="Pending"),P73='G-1 All Habitats'!$X$3),T73-X73-Y73,"0")</f>
        <v>0</v>
      </c>
      <c r="AT73" s="30" t="str">
        <f t="shared" si="1"/>
        <v/>
      </c>
      <c r="AU73" s="30">
        <f t="shared" si="6"/>
        <v>0</v>
      </c>
      <c r="AV73" s="230" t="str">
        <f>IFERROR(INDEX('G-1 All Habitats'!$B$3:$B$135,MATCH(F73,'G-1 All Habitats'!$A$3:$A$135,0)),"")</f>
        <v/>
      </c>
      <c r="AW73" s="30" t="str">
        <f>IF(AV73="","",VLOOKUP(AV73,'G-1 All Habitats'!$B$1:$T$135,19,FALSE))</f>
        <v/>
      </c>
      <c r="AY73" s="287" t="str">
        <f t="shared" si="7"/>
        <v/>
      </c>
    </row>
    <row r="74" spans="1:51" ht="14">
      <c r="A74" s="30" t="str">
        <f>IFERROR(INDEX('G-1 All Habitats'!$AG$3:$AG$17,MATCH(E74,'G-1 All Habitats'!$AF$3:$AF$17,0)),"")</f>
        <v/>
      </c>
      <c r="B74" s="30" t="str">
        <f>IFERROR(INDEX('G-8 Condition Look up'!$I$4:$I$135,MATCH(AV74,'G-8 Condition Look up'!$A$4:$A$135,0)),"")</f>
        <v/>
      </c>
      <c r="D74" s="97">
        <v>64</v>
      </c>
      <c r="E74" s="262"/>
      <c r="F74" s="263"/>
      <c r="G74" s="133"/>
      <c r="H74" s="115"/>
      <c r="I74" s="509" t="str">
        <f>IF(AV74="","",IF(AND(AW74="Yes",G74="No"),"Irreplaceable habitat ▲",IF(AND(AW74="No",G74="Yes"),"Cannot be Irreplaceable ▲",VLOOKUP(AV74,'G-1 All Habitats'!$B$2:$M$135,10,FALSE))))</f>
        <v/>
      </c>
      <c r="J74" s="377" t="str">
        <f>IFERROR(VLOOKUP(I74,'G-1 All Habitats'!$V$3:$W$7,2,FALSE),"")</f>
        <v/>
      </c>
      <c r="K74" s="101"/>
      <c r="L74" s="276" t="str">
        <f>IFERROR(INDEX('G-8 Condition Look up'!$A$3:$H$135,MATCH(AV74,'G-8 Condition Look up'!$A$3:$A$135,0),MATCH(K74,'G-8 Condition Look up'!$A$3:$H$3,0)),"")</f>
        <v/>
      </c>
      <c r="M74" s="105"/>
      <c r="N74" s="295" t="str">
        <f>IF(M74="","",IF(VLOOKUP(M74,'G-3 Multipliers'!$L$3:$N$6,2,FALSE)=0,"Spatial Data Missing ⚠",VLOOKUP(M74,'G-3 Multipliers'!$L$3:$N$6,2,FALSE)))</f>
        <v/>
      </c>
      <c r="O74" s="353" t="str">
        <f>IF(M74="","",IF(VLOOKUP(M74,'G-3 Multipliers'!$L$3:$N$6,3,FALSE)=0,"Spatial Data Missing ⚠",VLOOKUP(M74,'G-3 Multipliers'!$L$3:$N$6,3,FALSE)))</f>
        <v/>
      </c>
      <c r="P74" s="336" t="str">
        <f>(IF(G74="Yes","Bespoke compensation likely to be required",(IFERROR(VLOOKUP(AV74,'G-1 All Habitats'!$B$2:$M$135,12,FALSE),""))))</f>
        <v/>
      </c>
      <c r="Q74" s="511" t="str">
        <f>IFERROR(IF(P74="","",IF(AND(E74="Individual trees",W74&gt;0,G74="Yes"),"Error - you cannot enhance irreplaceable individual trees ▲",IF(P74='G-1 All Habitats'!$X$9,T74*S74,IF(AND(P74='G-1 All Habitats'!$X$9,W74&gt;0),X74+(Y74*S74),IF(AND(P74='G-1 All Habitats'!$X$9,V74&gt;0),X74+(Y74*S74),IF(AND(P74='G-1 All Habitats'!$X$9,AG74&gt;0),"Any Loss Unacceptable  ⚠",IF(AND(P74='G-1 All Habitats'!$X$9,Z74&gt;0),"Any Loss Unacceptable ⚠",H74*J74*L74*O74*S74))))))),"Check Data ⚠")</f>
        <v/>
      </c>
      <c r="R74" s="393"/>
      <c r="S74" s="510" t="str">
        <f>IF(R74="","",IF(VLOOKUP(R74,'G-3 Multipliers'!$S$3:$T$10,2,FALSE)=0,"Spatial Data Missing ⚠",VLOOKUP(R74,'G-3 Multipliers'!$S$3:$T$10,2,FALSE)))</f>
        <v/>
      </c>
      <c r="T74" s="289" t="str">
        <f>IFERROR(IF(AND(F74&lt;&gt;"",G74=""),"Confirm irreplaceable habitat status ▲",(IF(AND(R74&lt;&gt;"",AF74=""),"Off-site reference required ▲",(IF(AND(E74="Individual trees",W74&gt;0,G74="Yes"),"Error - you cannot enhance irreplaceable individual trees ▲",(IF(AND(X74="Irreplaceable habitat - no units generated ⚠",(W74+V74)&lt;H74,OR(AB74="No",AB74="")),"Any Loss Unacceptable ⚠",(IF(X74="Irreplaceable habitat - no units generated ⚠",W74*J74*L74*O74,IF(AND(P74='G-1 All Habitats'!$X$9,AH74&gt;0,V74&lt;=0,W74&lt;=0,OR(AB74="No",AB74="")),"Any Loss Unacceptable ⚠",IF(AND(P74='G-1 All Habitats'!$X$9,AH74&gt;0,V74&lt;=0,W74&lt;=0),0,(IF(AND(P74='G-1 All Habitats'!$X$9,(W74+V74)&lt;H74,OR(AB74="No",AB74="")),"Any Loss Unacceptable ⚠",(IF(P74="","",IF(AND(P74='G-1 All Habitats'!$X$9,W74&gt;0),X74+Y74,IF(AND(P74='G-1 All Habitats'!$X$9,V74&gt;0),X74+Y74,IF(R74="","",H74*J74*L74*O74)))))))))))))))))),"Check Data ▲")</f>
        <v/>
      </c>
      <c r="U74" s="38"/>
      <c r="V74" s="52"/>
      <c r="W74" s="53"/>
      <c r="X74" s="287" t="str">
        <f t="shared" si="2"/>
        <v/>
      </c>
      <c r="Y74" s="287" t="str">
        <f t="shared" si="3"/>
        <v/>
      </c>
      <c r="Z74" s="287" t="str">
        <f t="shared" si="4"/>
        <v/>
      </c>
      <c r="AA74" s="317" t="str">
        <f>IFERROR(IF(AND(E74="Individual trees",G74="Yes",W74&gt;0),"Error - you cannot enhance an irreplaceable tree ▲",(IF(H74="","",IF(H74-V74-W74=0&lt;0,"Error in Areas ▲",IF(V74+W74&gt;H74,"Error in Areas ▲",IF(AND(P74='G-1 All Habitats'!$X$9,AB74="Yes"),"Alternative Compensation ✓",IF(AND(P74='G-1 All Habitats'!$X$3,AB74="Yes"),"Alternative Compensation ✓",IF(AND(AB74="Pending",P74='G-1 All Habitats'!$X$3),"Bespoke compensation must be agreed ▲",IF(AND(AB74="Pending",P74='G-1 All Habitats'!$X$9),"Bespoke compensation must be agreed  ▲",IF(Z74=0,0,IF(P74='G-1 All Habitats'!$X$9,"Any Loss Unacceptable ▲",T74-X74-Y74))))))))))),"Check Data ⚠")</f>
        <v/>
      </c>
      <c r="AB74" s="587"/>
      <c r="AC74" s="105"/>
      <c r="AD74" s="138"/>
      <c r="AE74" s="104"/>
      <c r="AF74" s="611"/>
      <c r="AG74" s="523" t="str">
        <f>IF(OR(P74="",AB74="Yes"),"",IF(P74='G-1 All Habitats'!$X$9,H74-V74-W74,"None"))</f>
        <v/>
      </c>
      <c r="AH74" s="523" t="str">
        <f>IF(P74="","",IF(P74='G-1 All Habitats'!$X$9,AG74*J74*L74*O74,"None"))</f>
        <v/>
      </c>
      <c r="AJ74" s="107" t="str">
        <f t="shared" si="5"/>
        <v/>
      </c>
      <c r="AK74" s="107" t="str">
        <f t="shared" si="8"/>
        <v/>
      </c>
      <c r="AL74" s="107" t="str">
        <f>IF(I74="","",IF(#REF!&gt;0,TRUE,FALSE))</f>
        <v/>
      </c>
      <c r="AM74" s="107">
        <v>64</v>
      </c>
      <c r="AN74" s="107"/>
      <c r="AO74" s="107" t="str">
        <f t="array" ref="AO74">IFERROR(INDEX($AM$11:$AM$259,MATCH(0,IF(TRUE=$AJ$11:$AJ$259,COUNTIF($AO$10:$AO73,$AM$11:$AM$259),""),0)),"")</f>
        <v/>
      </c>
      <c r="AP74" s="107" t="str">
        <f t="array" ref="AP74">IFERROR(INDEX($AM$11:$AM$259,MATCH(0,IF(TRUE=$AK$11:$AK$259,COUNTIF($AP$10:$AP73,$AM$11:$AM$259),""),0)),"")</f>
        <v/>
      </c>
      <c r="AQ74" s="107" t="str">
        <f t="array" ref="AQ74">IFERROR(INDEX($AM$11:$AM$259,MATCH(0,IF(TRUE=$AL$11:$AL$259,COUNTIF($AQ$10:$AQ73,$AM$11:$AM$259),""),0)),"")</f>
        <v/>
      </c>
      <c r="AS74" s="885" t="str">
        <f>IF(AND(OR(AB74="Yes",AB74="Pending"),P74='G-1 All Habitats'!$X$3),T74-X74-Y74,"0")</f>
        <v>0</v>
      </c>
      <c r="AT74" s="30" t="str">
        <f t="shared" si="1"/>
        <v/>
      </c>
      <c r="AU74" s="30">
        <f t="shared" si="6"/>
        <v>0</v>
      </c>
      <c r="AV74" s="230" t="str">
        <f>IFERROR(INDEX('G-1 All Habitats'!$B$3:$B$135,MATCH(F74,'G-1 All Habitats'!$A$3:$A$135,0)),"")</f>
        <v/>
      </c>
      <c r="AW74" s="30" t="str">
        <f>IF(AV74="","",VLOOKUP(AV74,'G-1 All Habitats'!$B$1:$T$135,19,FALSE))</f>
        <v/>
      </c>
      <c r="AY74" s="287" t="str">
        <f t="shared" si="7"/>
        <v/>
      </c>
    </row>
    <row r="75" spans="1:51" ht="14">
      <c r="A75" s="30" t="str">
        <f>IFERROR(INDEX('G-1 All Habitats'!$AG$3:$AG$17,MATCH(E75,'G-1 All Habitats'!$AF$3:$AF$17,0)),"")</f>
        <v/>
      </c>
      <c r="B75" s="30" t="str">
        <f>IFERROR(INDEX('G-8 Condition Look up'!$I$4:$I$135,MATCH(AV75,'G-8 Condition Look up'!$A$4:$A$135,0)),"")</f>
        <v/>
      </c>
      <c r="D75" s="97">
        <v>65</v>
      </c>
      <c r="E75" s="262"/>
      <c r="F75" s="263"/>
      <c r="G75" s="133"/>
      <c r="H75" s="115"/>
      <c r="I75" s="509" t="str">
        <f>IF(AV75="","",IF(AND(AW75="Yes",G75="No"),"Irreplaceable habitat ▲",IF(AND(AW75="No",G75="Yes"),"Cannot be Irreplaceable ▲",VLOOKUP(AV75,'G-1 All Habitats'!$B$2:$M$135,10,FALSE))))</f>
        <v/>
      </c>
      <c r="J75" s="377" t="str">
        <f>IFERROR(VLOOKUP(I75,'G-1 All Habitats'!$V$3:$W$7,2,FALSE),"")</f>
        <v/>
      </c>
      <c r="K75" s="101"/>
      <c r="L75" s="276" t="str">
        <f>IFERROR(INDEX('G-8 Condition Look up'!$A$3:$H$135,MATCH(AV75,'G-8 Condition Look up'!$A$3:$A$135,0),MATCH(K75,'G-8 Condition Look up'!$A$3:$H$3,0)),"")</f>
        <v/>
      </c>
      <c r="M75" s="105"/>
      <c r="N75" s="295" t="str">
        <f>IF(M75="","",IF(VLOOKUP(M75,'G-3 Multipliers'!$L$3:$N$6,2,FALSE)=0,"Spatial Data Missing ⚠",VLOOKUP(M75,'G-3 Multipliers'!$L$3:$N$6,2,FALSE)))</f>
        <v/>
      </c>
      <c r="O75" s="353" t="str">
        <f>IF(M75="","",IF(VLOOKUP(M75,'G-3 Multipliers'!$L$3:$N$6,3,FALSE)=0,"Spatial Data Missing ⚠",VLOOKUP(M75,'G-3 Multipliers'!$L$3:$N$6,3,FALSE)))</f>
        <v/>
      </c>
      <c r="P75" s="336" t="str">
        <f>(IF(G75="Yes","Bespoke compensation likely to be required",(IFERROR(VLOOKUP(AV75,'G-1 All Habitats'!$B$2:$M$135,12,FALSE),""))))</f>
        <v/>
      </c>
      <c r="Q75" s="511" t="str">
        <f>IFERROR(IF(P75="","",IF(AND(E75="Individual trees",W75&gt;0,G75="Yes"),"Error - you cannot enhance irreplaceable individual trees ▲",IF(P75='G-1 All Habitats'!$X$9,T75*S75,IF(AND(P75='G-1 All Habitats'!$X$9,W75&gt;0),X75+(Y75*S75),IF(AND(P75='G-1 All Habitats'!$X$9,V75&gt;0),X75+(Y75*S75),IF(AND(P75='G-1 All Habitats'!$X$9,AG75&gt;0),"Any Loss Unacceptable  ⚠",IF(AND(P75='G-1 All Habitats'!$X$9,Z75&gt;0),"Any Loss Unacceptable ⚠",H75*J75*L75*O75*S75))))))),"Check Data ⚠")</f>
        <v/>
      </c>
      <c r="R75" s="393"/>
      <c r="S75" s="510" t="str">
        <f>IF(R75="","",IF(VLOOKUP(R75,'G-3 Multipliers'!$S$3:$T$10,2,FALSE)=0,"Spatial Data Missing ⚠",VLOOKUP(R75,'G-3 Multipliers'!$S$3:$T$10,2,FALSE)))</f>
        <v/>
      </c>
      <c r="T75" s="289" t="str">
        <f>IFERROR(IF(AND(F75&lt;&gt;"",G75=""),"Confirm irreplaceable habitat status ▲",(IF(AND(R75&lt;&gt;"",AF75=""),"Off-site reference required ▲",(IF(AND(E75="Individual trees",W75&gt;0,G75="Yes"),"Error - you cannot enhance irreplaceable individual trees ▲",(IF(AND(X75="Irreplaceable habitat - no units generated ⚠",(W75+V75)&lt;H75,OR(AB75="No",AB75="")),"Any Loss Unacceptable ⚠",(IF(X75="Irreplaceable habitat - no units generated ⚠",W75*J75*L75*O75,IF(AND(P75='G-1 All Habitats'!$X$9,AH75&gt;0,V75&lt;=0,W75&lt;=0,OR(AB75="No",AB75="")),"Any Loss Unacceptable ⚠",IF(AND(P75='G-1 All Habitats'!$X$9,AH75&gt;0,V75&lt;=0,W75&lt;=0),0,(IF(AND(P75='G-1 All Habitats'!$X$9,(W75+V75)&lt;H75,OR(AB75="No",AB75="")),"Any Loss Unacceptable ⚠",(IF(P75="","",IF(AND(P75='G-1 All Habitats'!$X$9,W75&gt;0),X75+Y75,IF(AND(P75='G-1 All Habitats'!$X$9,V75&gt;0),X75+Y75,IF(R75="","",H75*J75*L75*O75)))))))))))))))))),"Check Data ▲")</f>
        <v/>
      </c>
      <c r="U75" s="38"/>
      <c r="V75" s="52"/>
      <c r="W75" s="53"/>
      <c r="X75" s="287" t="str">
        <f t="shared" si="2"/>
        <v/>
      </c>
      <c r="Y75" s="287" t="str">
        <f t="shared" si="3"/>
        <v/>
      </c>
      <c r="Z75" s="287" t="str">
        <f t="shared" si="4"/>
        <v/>
      </c>
      <c r="AA75" s="317" t="str">
        <f>IFERROR(IF(AND(E75="Individual trees",G75="Yes",W75&gt;0),"Error - you cannot enhance an irreplaceable tree ▲",(IF(H75="","",IF(H75-V75-W75=0&lt;0,"Error in Areas ▲",IF(V75+W75&gt;H75,"Error in Areas ▲",IF(AND(P75='G-1 All Habitats'!$X$9,AB75="Yes"),"Alternative Compensation ✓",IF(AND(P75='G-1 All Habitats'!$X$3,AB75="Yes"),"Alternative Compensation ✓",IF(AND(AB75="Pending",P75='G-1 All Habitats'!$X$3),"Bespoke compensation must be agreed ▲",IF(AND(AB75="Pending",P75='G-1 All Habitats'!$X$9),"Bespoke compensation must be agreed  ▲",IF(Z75=0,0,IF(P75='G-1 All Habitats'!$X$9,"Any Loss Unacceptable ▲",T75-X75-Y75))))))))))),"Check Data ⚠")</f>
        <v/>
      </c>
      <c r="AB75" s="587"/>
      <c r="AC75" s="105"/>
      <c r="AD75" s="138"/>
      <c r="AE75" s="104"/>
      <c r="AF75" s="611"/>
      <c r="AG75" s="523" t="str">
        <f>IF(OR(P75="",AB75="Yes"),"",IF(P75='G-1 All Habitats'!$X$9,H75-V75-W75,"None"))</f>
        <v/>
      </c>
      <c r="AH75" s="523" t="str">
        <f>IF(P75="","",IF(P75='G-1 All Habitats'!$X$9,AG75*J75*L75*O75,"None"))</f>
        <v/>
      </c>
      <c r="AJ75" s="107" t="str">
        <f t="shared" si="5"/>
        <v/>
      </c>
      <c r="AK75" s="107" t="str">
        <f t="shared" si="9" ref="AK75:AK106">IF(H75="","",IF(W75&gt;0,TRUE,FALSE))</f>
        <v/>
      </c>
      <c r="AL75" s="107" t="str">
        <f>IF(I75="","",IF(#REF!&gt;0,TRUE,FALSE))</f>
        <v/>
      </c>
      <c r="AM75" s="107">
        <v>65</v>
      </c>
      <c r="AN75" s="107"/>
      <c r="AO75" s="107" t="str">
        <f t="array" ref="AO75">IFERROR(INDEX($AM$11:$AM$259,MATCH(0,IF(TRUE=$AJ$11:$AJ$259,COUNTIF($AO$10:$AO74,$AM$11:$AM$259),""),0)),"")</f>
        <v/>
      </c>
      <c r="AP75" s="107" t="str">
        <f t="array" ref="AP75">IFERROR(INDEX($AM$11:$AM$259,MATCH(0,IF(TRUE=$AK$11:$AK$259,COUNTIF($AP$10:$AP74,$AM$11:$AM$259),""),0)),"")</f>
        <v/>
      </c>
      <c r="AQ75" s="107" t="str">
        <f t="array" ref="AQ75">IFERROR(INDEX($AM$11:$AM$259,MATCH(0,IF(TRUE=$AL$11:$AL$259,COUNTIF($AQ$10:$AQ74,$AM$11:$AM$259),""),0)),"")</f>
        <v/>
      </c>
      <c r="AS75" s="885" t="str">
        <f>IF(AND(OR(AB75="Yes",AB75="Pending"),P75='G-1 All Habitats'!$X$3),T75-X75-Y75,"0")</f>
        <v>0</v>
      </c>
      <c r="AT75" s="30" t="str">
        <f t="shared" si="10" ref="AT75:AT138">IF(AB75="Yes","Yes ✓",IF(AB75="","","No ▲"))</f>
        <v/>
      </c>
      <c r="AU75" s="30">
        <f t="shared" si="6"/>
        <v>0</v>
      </c>
      <c r="AV75" s="230" t="str">
        <f>IFERROR(INDEX('G-1 All Habitats'!$B$3:$B$135,MATCH(F75,'G-1 All Habitats'!$A$3:$A$135,0)),"")</f>
        <v/>
      </c>
      <c r="AW75" s="30" t="str">
        <f>IF(AV75="","",VLOOKUP(AV75,'G-1 All Habitats'!$B$1:$T$135,19,FALSE))</f>
        <v/>
      </c>
      <c r="AY75" s="287" t="str">
        <f t="shared" si="7"/>
        <v/>
      </c>
    </row>
    <row r="76" spans="1:51" ht="14">
      <c r="A76" s="30" t="str">
        <f>IFERROR(INDEX('G-1 All Habitats'!$AG$3:$AG$17,MATCH(E76,'G-1 All Habitats'!$AF$3:$AF$17,0)),"")</f>
        <v/>
      </c>
      <c r="B76" s="30" t="str">
        <f>IFERROR(INDEX('G-8 Condition Look up'!$I$4:$I$135,MATCH(AV76,'G-8 Condition Look up'!$A$4:$A$135,0)),"")</f>
        <v/>
      </c>
      <c r="D76" s="97">
        <v>66</v>
      </c>
      <c r="E76" s="262"/>
      <c r="F76" s="263"/>
      <c r="G76" s="133"/>
      <c r="H76" s="115"/>
      <c r="I76" s="509" t="str">
        <f>IF(AV76="","",IF(AND(AW76="Yes",G76="No"),"Irreplaceable habitat ▲",IF(AND(AW76="No",G76="Yes"),"Cannot be Irreplaceable ▲",VLOOKUP(AV76,'G-1 All Habitats'!$B$2:$M$135,10,FALSE))))</f>
        <v/>
      </c>
      <c r="J76" s="377" t="str">
        <f>IFERROR(VLOOKUP(I76,'G-1 All Habitats'!$V$3:$W$7,2,FALSE),"")</f>
        <v/>
      </c>
      <c r="K76" s="101"/>
      <c r="L76" s="276" t="str">
        <f>IFERROR(INDEX('G-8 Condition Look up'!$A$3:$H$135,MATCH(AV76,'G-8 Condition Look up'!$A$3:$A$135,0),MATCH(K76,'G-8 Condition Look up'!$A$3:$H$3,0)),"")</f>
        <v/>
      </c>
      <c r="M76" s="105"/>
      <c r="N76" s="295" t="str">
        <f>IF(M76="","",IF(VLOOKUP(M76,'G-3 Multipliers'!$L$3:$N$6,2,FALSE)=0,"Spatial Data Missing ⚠",VLOOKUP(M76,'G-3 Multipliers'!$L$3:$N$6,2,FALSE)))</f>
        <v/>
      </c>
      <c r="O76" s="353" t="str">
        <f>IF(M76="","",IF(VLOOKUP(M76,'G-3 Multipliers'!$L$3:$N$6,3,FALSE)=0,"Spatial Data Missing ⚠",VLOOKUP(M76,'G-3 Multipliers'!$L$3:$N$6,3,FALSE)))</f>
        <v/>
      </c>
      <c r="P76" s="336" t="str">
        <f>(IF(G76="Yes","Bespoke compensation likely to be required",(IFERROR(VLOOKUP(AV76,'G-1 All Habitats'!$B$2:$M$135,12,FALSE),""))))</f>
        <v/>
      </c>
      <c r="Q76" s="511" t="str">
        <f>IFERROR(IF(P76="","",IF(AND(E76="Individual trees",W76&gt;0,G76="Yes"),"Error - you cannot enhance irreplaceable individual trees ▲",IF(P76='G-1 All Habitats'!$X$9,T76*S76,IF(AND(P76='G-1 All Habitats'!$X$9,W76&gt;0),X76+(Y76*S76),IF(AND(P76='G-1 All Habitats'!$X$9,V76&gt;0),X76+(Y76*S76),IF(AND(P76='G-1 All Habitats'!$X$9,AG76&gt;0),"Any Loss Unacceptable  ⚠",IF(AND(P76='G-1 All Habitats'!$X$9,Z76&gt;0),"Any Loss Unacceptable ⚠",H76*J76*L76*O76*S76))))))),"Check Data ⚠")</f>
        <v/>
      </c>
      <c r="R76" s="393"/>
      <c r="S76" s="510" t="str">
        <f>IF(R76="","",IF(VLOOKUP(R76,'G-3 Multipliers'!$S$3:$T$10,2,FALSE)=0,"Spatial Data Missing ⚠",VLOOKUP(R76,'G-3 Multipliers'!$S$3:$T$10,2,FALSE)))</f>
        <v/>
      </c>
      <c r="T76" s="289" t="str">
        <f>IFERROR(IF(AND(F76&lt;&gt;"",G76=""),"Confirm irreplaceable habitat status ▲",(IF(AND(R76&lt;&gt;"",AF76=""),"Off-site reference required ▲",(IF(AND(E76="Individual trees",W76&gt;0,G76="Yes"),"Error - you cannot enhance irreplaceable individual trees ▲",(IF(AND(X76="Irreplaceable habitat - no units generated ⚠",(W76+V76)&lt;H76,OR(AB76="No",AB76="")),"Any Loss Unacceptable ⚠",(IF(X76="Irreplaceable habitat - no units generated ⚠",W76*J76*L76*O76,IF(AND(P76='G-1 All Habitats'!$X$9,AH76&gt;0,V76&lt;=0,W76&lt;=0,OR(AB76="No",AB76="")),"Any Loss Unacceptable ⚠",IF(AND(P76='G-1 All Habitats'!$X$9,AH76&gt;0,V76&lt;=0,W76&lt;=0),0,(IF(AND(P76='G-1 All Habitats'!$X$9,(W76+V76)&lt;H76,OR(AB76="No",AB76="")),"Any Loss Unacceptable ⚠",(IF(P76="","",IF(AND(P76='G-1 All Habitats'!$X$9,W76&gt;0),X76+Y76,IF(AND(P76='G-1 All Habitats'!$X$9,V76&gt;0),X76+Y76,IF(R76="","",H76*J76*L76*O76)))))))))))))))))),"Check Data ▲")</f>
        <v/>
      </c>
      <c r="U76" s="38"/>
      <c r="V76" s="52"/>
      <c r="W76" s="53"/>
      <c r="X76" s="287" t="str">
        <f t="shared" si="11" ref="X76:X139">IFERROR(IF(G76="Yes","Irreplaceable habitat - no units generated ⚠",(V76*J76*L76*O76)),"")</f>
        <v/>
      </c>
      <c r="Y76" s="287" t="str">
        <f t="shared" si="12" ref="Y76:Y139">IFERROR(IF(AND(E76="Individual trees",W76&gt;0,G76="Yes"),"Error - ▲",(W76*J76*L76*O76)),"")</f>
        <v/>
      </c>
      <c r="Z76" s="287" t="str">
        <f t="shared" si="13" ref="Z76:Z139">IF(E76="","",IF(H76&lt;V76+W76,"Error in Areas ▲",H76-V76-W76))</f>
        <v/>
      </c>
      <c r="AA76" s="317" t="str">
        <f>IFERROR(IF(AND(E76="Individual trees",G76="Yes",W76&gt;0),"Error - you cannot enhance an irreplaceable tree ▲",(IF(H76="","",IF(H76-V76-W76=0&lt;0,"Error in Areas ▲",IF(V76+W76&gt;H76,"Error in Areas ▲",IF(AND(P76='G-1 All Habitats'!$X$9,AB76="Yes"),"Alternative Compensation ✓",IF(AND(P76='G-1 All Habitats'!$X$3,AB76="Yes"),"Alternative Compensation ✓",IF(AND(AB76="Pending",P76='G-1 All Habitats'!$X$3),"Bespoke compensation must be agreed ▲",IF(AND(AB76="Pending",P76='G-1 All Habitats'!$X$9),"Bespoke compensation must be agreed  ▲",IF(Z76=0,0,IF(P76='G-1 All Habitats'!$X$9,"Any Loss Unacceptable ▲",T76-X76-Y76))))))))))),"Check Data ⚠")</f>
        <v/>
      </c>
      <c r="AB76" s="587"/>
      <c r="AC76" s="105"/>
      <c r="AD76" s="138"/>
      <c r="AE76" s="104"/>
      <c r="AF76" s="611"/>
      <c r="AG76" s="523" t="str">
        <f>IF(OR(P76="",AB76="Yes"),"",IF(P76='G-1 All Habitats'!$X$9,H76-V76-W76,"None"))</f>
        <v/>
      </c>
      <c r="AH76" s="523" t="str">
        <f>IF(P76="","",IF(P76='G-1 All Habitats'!$X$9,AG76*J76*L76*O76,"None"))</f>
        <v/>
      </c>
      <c r="AJ76" s="107" t="str">
        <f t="shared" si="14" ref="AJ76:AJ139">IF(AV76="","",IF(V76&gt;0,TRUE,FALSE))</f>
        <v/>
      </c>
      <c r="AK76" s="107" t="str">
        <f t="shared" si="9"/>
        <v/>
      </c>
      <c r="AL76" s="107" t="str">
        <f>IF(I76="","",IF(#REF!&gt;0,TRUE,FALSE))</f>
        <v/>
      </c>
      <c r="AM76" s="107">
        <v>66</v>
      </c>
      <c r="AN76" s="107"/>
      <c r="AO76" s="107" t="str">
        <f t="array" ref="AO76">IFERROR(INDEX($AM$11:$AM$259,MATCH(0,IF(TRUE=$AJ$11:$AJ$259,COUNTIF($AO$10:$AO75,$AM$11:$AM$259),""),0)),"")</f>
        <v/>
      </c>
      <c r="AP76" s="107" t="str">
        <f t="array" ref="AP76">IFERROR(INDEX($AM$11:$AM$259,MATCH(0,IF(TRUE=$AK$11:$AK$259,COUNTIF($AP$10:$AP75,$AM$11:$AM$259),""),0)),"")</f>
        <v/>
      </c>
      <c r="AQ76" s="107" t="str">
        <f t="array" ref="AQ76">IFERROR(INDEX($AM$11:$AM$259,MATCH(0,IF(TRUE=$AL$11:$AL$259,COUNTIF($AQ$10:$AQ75,$AM$11:$AM$259),""),0)),"")</f>
        <v/>
      </c>
      <c r="AS76" s="885" t="str">
        <f>IF(AND(OR(AB76="Yes",AB76="Pending"),P76='G-1 All Habitats'!$X$3),T76-X76-Y76,"0")</f>
        <v>0</v>
      </c>
      <c r="AT76" s="30" t="str">
        <f t="shared" si="10"/>
        <v/>
      </c>
      <c r="AU76" s="30">
        <f t="shared" si="15" ref="AU76:AU139">IF(AA76="Any Loss Unacceptable ▲",1,0)</f>
        <v>0</v>
      </c>
      <c r="AV76" s="230" t="str">
        <f>IFERROR(INDEX('G-1 All Habitats'!$B$3:$B$135,MATCH(F76,'G-1 All Habitats'!$A$3:$A$135,0)),"")</f>
        <v/>
      </c>
      <c r="AW76" s="30" t="str">
        <f>IF(AV76="","",VLOOKUP(AV76,'G-1 All Habitats'!$B$1:$T$135,19,FALSE))</f>
        <v/>
      </c>
      <c r="AY76" s="287" t="str">
        <f t="shared" si="16" ref="AY76:AY139">IFERROR(IF(X76="Irreplaceable habitat - no units generated ⚠","0",(V76*J76*L76*O76*S76)+(AS76*S76)),"")</f>
        <v/>
      </c>
    </row>
    <row r="77" spans="1:51" ht="14">
      <c r="A77" s="30" t="str">
        <f>IFERROR(INDEX('G-1 All Habitats'!$AG$3:$AG$17,MATCH(E77,'G-1 All Habitats'!$AF$3:$AF$17,0)),"")</f>
        <v/>
      </c>
      <c r="B77" s="30" t="str">
        <f>IFERROR(INDEX('G-8 Condition Look up'!$I$4:$I$135,MATCH(AV77,'G-8 Condition Look up'!$A$4:$A$135,0)),"")</f>
        <v/>
      </c>
      <c r="D77" s="97">
        <v>67</v>
      </c>
      <c r="E77" s="262"/>
      <c r="F77" s="263"/>
      <c r="G77" s="133"/>
      <c r="H77" s="115"/>
      <c r="I77" s="509" t="str">
        <f>IF(AV77="","",IF(AND(AW77="Yes",G77="No"),"Irreplaceable habitat ▲",IF(AND(AW77="No",G77="Yes"),"Cannot be Irreplaceable ▲",VLOOKUP(AV77,'G-1 All Habitats'!$B$2:$M$135,10,FALSE))))</f>
        <v/>
      </c>
      <c r="J77" s="377" t="str">
        <f>IFERROR(VLOOKUP(I77,'G-1 All Habitats'!$V$3:$W$7,2,FALSE),"")</f>
        <v/>
      </c>
      <c r="K77" s="101"/>
      <c r="L77" s="276" t="str">
        <f>IFERROR(INDEX('G-8 Condition Look up'!$A$3:$H$135,MATCH(AV77,'G-8 Condition Look up'!$A$3:$A$135,0),MATCH(K77,'G-8 Condition Look up'!$A$3:$H$3,0)),"")</f>
        <v/>
      </c>
      <c r="M77" s="105"/>
      <c r="N77" s="295" t="str">
        <f>IF(M77="","",IF(VLOOKUP(M77,'G-3 Multipliers'!$L$3:$N$6,2,FALSE)=0,"Spatial Data Missing ⚠",VLOOKUP(M77,'G-3 Multipliers'!$L$3:$N$6,2,FALSE)))</f>
        <v/>
      </c>
      <c r="O77" s="353" t="str">
        <f>IF(M77="","",IF(VLOOKUP(M77,'G-3 Multipliers'!$L$3:$N$6,3,FALSE)=0,"Spatial Data Missing ⚠",VLOOKUP(M77,'G-3 Multipliers'!$L$3:$N$6,3,FALSE)))</f>
        <v/>
      </c>
      <c r="P77" s="336" t="str">
        <f>(IF(G77="Yes","Bespoke compensation likely to be required",(IFERROR(VLOOKUP(AV77,'G-1 All Habitats'!$B$2:$M$135,12,FALSE),""))))</f>
        <v/>
      </c>
      <c r="Q77" s="511" t="str">
        <f>IFERROR(IF(P77="","",IF(AND(E77="Individual trees",W77&gt;0,G77="Yes"),"Error - you cannot enhance irreplaceable individual trees ▲",IF(P77='G-1 All Habitats'!$X$9,T77*S77,IF(AND(P77='G-1 All Habitats'!$X$9,W77&gt;0),X77+(Y77*S77),IF(AND(P77='G-1 All Habitats'!$X$9,V77&gt;0),X77+(Y77*S77),IF(AND(P77='G-1 All Habitats'!$X$9,AG77&gt;0),"Any Loss Unacceptable  ⚠",IF(AND(P77='G-1 All Habitats'!$X$9,Z77&gt;0),"Any Loss Unacceptable ⚠",H77*J77*L77*O77*S77))))))),"Check Data ⚠")</f>
        <v/>
      </c>
      <c r="R77" s="393"/>
      <c r="S77" s="510" t="str">
        <f>IF(R77="","",IF(VLOOKUP(R77,'G-3 Multipliers'!$S$3:$T$10,2,FALSE)=0,"Spatial Data Missing ⚠",VLOOKUP(R77,'G-3 Multipliers'!$S$3:$T$10,2,FALSE)))</f>
        <v/>
      </c>
      <c r="T77" s="289" t="str">
        <f>IFERROR(IF(AND(F77&lt;&gt;"",G77=""),"Confirm irreplaceable habitat status ▲",(IF(AND(R77&lt;&gt;"",AF77=""),"Off-site reference required ▲",(IF(AND(E77="Individual trees",W77&gt;0,G77="Yes"),"Error - you cannot enhance irreplaceable individual trees ▲",(IF(AND(X77="Irreplaceable habitat - no units generated ⚠",(W77+V77)&lt;H77,OR(AB77="No",AB77="")),"Any Loss Unacceptable ⚠",(IF(X77="Irreplaceable habitat - no units generated ⚠",W77*J77*L77*O77,IF(AND(P77='G-1 All Habitats'!$X$9,AH77&gt;0,V77&lt;=0,W77&lt;=0,OR(AB77="No",AB77="")),"Any Loss Unacceptable ⚠",IF(AND(P77='G-1 All Habitats'!$X$9,AH77&gt;0,V77&lt;=0,W77&lt;=0),0,(IF(AND(P77='G-1 All Habitats'!$X$9,(W77+V77)&lt;H77,OR(AB77="No",AB77="")),"Any Loss Unacceptable ⚠",(IF(P77="","",IF(AND(P77='G-1 All Habitats'!$X$9,W77&gt;0),X77+Y77,IF(AND(P77='G-1 All Habitats'!$X$9,V77&gt;0),X77+Y77,IF(R77="","",H77*J77*L77*O77)))))))))))))))))),"Check Data ▲")</f>
        <v/>
      </c>
      <c r="U77" s="38"/>
      <c r="V77" s="52"/>
      <c r="W77" s="53"/>
      <c r="X77" s="287" t="str">
        <f t="shared" si="11"/>
        <v/>
      </c>
      <c r="Y77" s="287" t="str">
        <f t="shared" si="12"/>
        <v/>
      </c>
      <c r="Z77" s="287" t="str">
        <f t="shared" si="13"/>
        <v/>
      </c>
      <c r="AA77" s="317" t="str">
        <f>IFERROR(IF(AND(E77="Individual trees",G77="Yes",W77&gt;0),"Error - you cannot enhance an irreplaceable tree ▲",(IF(H77="","",IF(H77-V77-W77=0&lt;0,"Error in Areas ▲",IF(V77+W77&gt;H77,"Error in Areas ▲",IF(AND(P77='G-1 All Habitats'!$X$9,AB77="Yes"),"Alternative Compensation ✓",IF(AND(P77='G-1 All Habitats'!$X$3,AB77="Yes"),"Alternative Compensation ✓",IF(AND(AB77="Pending",P77='G-1 All Habitats'!$X$3),"Bespoke compensation must be agreed ▲",IF(AND(AB77="Pending",P77='G-1 All Habitats'!$X$9),"Bespoke compensation must be agreed  ▲",IF(Z77=0,0,IF(P77='G-1 All Habitats'!$X$9,"Any Loss Unacceptable ▲",T77-X77-Y77))))))))))),"Check Data ⚠")</f>
        <v/>
      </c>
      <c r="AB77" s="587"/>
      <c r="AC77" s="105"/>
      <c r="AD77" s="138"/>
      <c r="AE77" s="104"/>
      <c r="AF77" s="611"/>
      <c r="AG77" s="523" t="str">
        <f>IF(OR(P77="",AB77="Yes"),"",IF(P77='G-1 All Habitats'!$X$9,H77-V77-W77,"None"))</f>
        <v/>
      </c>
      <c r="AH77" s="523" t="str">
        <f>IF(P77="","",IF(P77='G-1 All Habitats'!$X$9,AG77*J77*L77*O77,"None"))</f>
        <v/>
      </c>
      <c r="AJ77" s="107" t="str">
        <f t="shared" si="14"/>
        <v/>
      </c>
      <c r="AK77" s="107" t="str">
        <f t="shared" si="9"/>
        <v/>
      </c>
      <c r="AL77" s="107" t="str">
        <f>IF(I77="","",IF(#REF!&gt;0,TRUE,FALSE))</f>
        <v/>
      </c>
      <c r="AM77" s="107">
        <v>67</v>
      </c>
      <c r="AN77" s="107"/>
      <c r="AO77" s="107" t="str">
        <f t="array" ref="AO77">IFERROR(INDEX($AM$11:$AM$259,MATCH(0,IF(TRUE=$AJ$11:$AJ$259,COUNTIF($AO$10:$AO76,$AM$11:$AM$259),""),0)),"")</f>
        <v/>
      </c>
      <c r="AP77" s="107" t="str">
        <f t="array" ref="AP77">IFERROR(INDEX($AM$11:$AM$259,MATCH(0,IF(TRUE=$AK$11:$AK$259,COUNTIF($AP$10:$AP76,$AM$11:$AM$259),""),0)),"")</f>
        <v/>
      </c>
      <c r="AQ77" s="107" t="str">
        <f t="array" ref="AQ77">IFERROR(INDEX($AM$11:$AM$259,MATCH(0,IF(TRUE=$AL$11:$AL$259,COUNTIF($AQ$10:$AQ76,$AM$11:$AM$259),""),0)),"")</f>
        <v/>
      </c>
      <c r="AS77" s="885" t="str">
        <f>IF(AND(OR(AB77="Yes",AB77="Pending"),P77='G-1 All Habitats'!$X$3),T77-X77-Y77,"0")</f>
        <v>0</v>
      </c>
      <c r="AT77" s="30" t="str">
        <f t="shared" si="10"/>
        <v/>
      </c>
      <c r="AU77" s="30">
        <f t="shared" si="15"/>
        <v>0</v>
      </c>
      <c r="AV77" s="230" t="str">
        <f>IFERROR(INDEX('G-1 All Habitats'!$B$3:$B$135,MATCH(F77,'G-1 All Habitats'!$A$3:$A$135,0)),"")</f>
        <v/>
      </c>
      <c r="AW77" s="30" t="str">
        <f>IF(AV77="","",VLOOKUP(AV77,'G-1 All Habitats'!$B$1:$T$135,19,FALSE))</f>
        <v/>
      </c>
      <c r="AY77" s="287" t="str">
        <f t="shared" si="16"/>
        <v/>
      </c>
    </row>
    <row r="78" spans="1:51" ht="14">
      <c r="A78" s="30" t="str">
        <f>IFERROR(INDEX('G-1 All Habitats'!$AG$3:$AG$17,MATCH(E78,'G-1 All Habitats'!$AF$3:$AF$17,0)),"")</f>
        <v/>
      </c>
      <c r="B78" s="30" t="str">
        <f>IFERROR(INDEX('G-8 Condition Look up'!$I$4:$I$135,MATCH(AV78,'G-8 Condition Look up'!$A$4:$A$135,0)),"")</f>
        <v/>
      </c>
      <c r="D78" s="97">
        <v>68</v>
      </c>
      <c r="E78" s="262"/>
      <c r="F78" s="263"/>
      <c r="G78" s="133"/>
      <c r="H78" s="115"/>
      <c r="I78" s="509" t="str">
        <f>IF(AV78="","",IF(AND(AW78="Yes",G78="No"),"Irreplaceable habitat ▲",IF(AND(AW78="No",G78="Yes"),"Cannot be Irreplaceable ▲",VLOOKUP(AV78,'G-1 All Habitats'!$B$2:$M$135,10,FALSE))))</f>
        <v/>
      </c>
      <c r="J78" s="377" t="str">
        <f>IFERROR(VLOOKUP(I78,'G-1 All Habitats'!$V$3:$W$7,2,FALSE),"")</f>
        <v/>
      </c>
      <c r="K78" s="101"/>
      <c r="L78" s="276" t="str">
        <f>IFERROR(INDEX('G-8 Condition Look up'!$A$3:$H$135,MATCH(AV78,'G-8 Condition Look up'!$A$3:$A$135,0),MATCH(K78,'G-8 Condition Look up'!$A$3:$H$3,0)),"")</f>
        <v/>
      </c>
      <c r="M78" s="105"/>
      <c r="N78" s="295" t="str">
        <f>IF(M78="","",IF(VLOOKUP(M78,'G-3 Multipliers'!$L$3:$N$6,2,FALSE)=0,"Spatial Data Missing ⚠",VLOOKUP(M78,'G-3 Multipliers'!$L$3:$N$6,2,FALSE)))</f>
        <v/>
      </c>
      <c r="O78" s="353" t="str">
        <f>IF(M78="","",IF(VLOOKUP(M78,'G-3 Multipliers'!$L$3:$N$6,3,FALSE)=0,"Spatial Data Missing ⚠",VLOOKUP(M78,'G-3 Multipliers'!$L$3:$N$6,3,FALSE)))</f>
        <v/>
      </c>
      <c r="P78" s="336" t="str">
        <f>(IF(G78="Yes","Bespoke compensation likely to be required",(IFERROR(VLOOKUP(AV78,'G-1 All Habitats'!$B$2:$M$135,12,FALSE),""))))</f>
        <v/>
      </c>
      <c r="Q78" s="511" t="str">
        <f>IFERROR(IF(P78="","",IF(AND(E78="Individual trees",W78&gt;0,G78="Yes"),"Error - you cannot enhance irreplaceable individual trees ▲",IF(P78='G-1 All Habitats'!$X$9,T78*S78,IF(AND(P78='G-1 All Habitats'!$X$9,W78&gt;0),X78+(Y78*S78),IF(AND(P78='G-1 All Habitats'!$X$9,V78&gt;0),X78+(Y78*S78),IF(AND(P78='G-1 All Habitats'!$X$9,AG78&gt;0),"Any Loss Unacceptable  ⚠",IF(AND(P78='G-1 All Habitats'!$X$9,Z78&gt;0),"Any Loss Unacceptable ⚠",H78*J78*L78*O78*S78))))))),"Check Data ⚠")</f>
        <v/>
      </c>
      <c r="R78" s="393"/>
      <c r="S78" s="510" t="str">
        <f>IF(R78="","",IF(VLOOKUP(R78,'G-3 Multipliers'!$S$3:$T$10,2,FALSE)=0,"Spatial Data Missing ⚠",VLOOKUP(R78,'G-3 Multipliers'!$S$3:$T$10,2,FALSE)))</f>
        <v/>
      </c>
      <c r="T78" s="289" t="str">
        <f>IFERROR(IF(AND(F78&lt;&gt;"",G78=""),"Confirm irreplaceable habitat status ▲",(IF(AND(R78&lt;&gt;"",AF78=""),"Off-site reference required ▲",(IF(AND(E78="Individual trees",W78&gt;0,G78="Yes"),"Error - you cannot enhance irreplaceable individual trees ▲",(IF(AND(X78="Irreplaceable habitat - no units generated ⚠",(W78+V78)&lt;H78,OR(AB78="No",AB78="")),"Any Loss Unacceptable ⚠",(IF(X78="Irreplaceable habitat - no units generated ⚠",W78*J78*L78*O78,IF(AND(P78='G-1 All Habitats'!$X$9,AH78&gt;0,V78&lt;=0,W78&lt;=0,OR(AB78="No",AB78="")),"Any Loss Unacceptable ⚠",IF(AND(P78='G-1 All Habitats'!$X$9,AH78&gt;0,V78&lt;=0,W78&lt;=0),0,(IF(AND(P78='G-1 All Habitats'!$X$9,(W78+V78)&lt;H78,OR(AB78="No",AB78="")),"Any Loss Unacceptable ⚠",(IF(P78="","",IF(AND(P78='G-1 All Habitats'!$X$9,W78&gt;0),X78+Y78,IF(AND(P78='G-1 All Habitats'!$X$9,V78&gt;0),X78+Y78,IF(R78="","",H78*J78*L78*O78)))))))))))))))))),"Check Data ▲")</f>
        <v/>
      </c>
      <c r="U78" s="38"/>
      <c r="V78" s="52"/>
      <c r="W78" s="53"/>
      <c r="X78" s="287" t="str">
        <f t="shared" si="11"/>
        <v/>
      </c>
      <c r="Y78" s="287" t="str">
        <f t="shared" si="12"/>
        <v/>
      </c>
      <c r="Z78" s="287" t="str">
        <f t="shared" si="13"/>
        <v/>
      </c>
      <c r="AA78" s="317" t="str">
        <f>IFERROR(IF(AND(E78="Individual trees",G78="Yes",W78&gt;0),"Error - you cannot enhance an irreplaceable tree ▲",(IF(H78="","",IF(H78-V78-W78=0&lt;0,"Error in Areas ▲",IF(V78+W78&gt;H78,"Error in Areas ▲",IF(AND(P78='G-1 All Habitats'!$X$9,AB78="Yes"),"Alternative Compensation ✓",IF(AND(P78='G-1 All Habitats'!$X$3,AB78="Yes"),"Alternative Compensation ✓",IF(AND(AB78="Pending",P78='G-1 All Habitats'!$X$3),"Bespoke compensation must be agreed ▲",IF(AND(AB78="Pending",P78='G-1 All Habitats'!$X$9),"Bespoke compensation must be agreed  ▲",IF(Z78=0,0,IF(P78='G-1 All Habitats'!$X$9,"Any Loss Unacceptable ▲",T78-X78-Y78))))))))))),"Check Data ⚠")</f>
        <v/>
      </c>
      <c r="AB78" s="587"/>
      <c r="AC78" s="105"/>
      <c r="AD78" s="138"/>
      <c r="AE78" s="104"/>
      <c r="AF78" s="611"/>
      <c r="AG78" s="523" t="str">
        <f>IF(OR(P78="",AB78="Yes"),"",IF(P78='G-1 All Habitats'!$X$9,H78-V78-W78,"None"))</f>
        <v/>
      </c>
      <c r="AH78" s="523" t="str">
        <f>IF(P78="","",IF(P78='G-1 All Habitats'!$X$9,AG78*J78*L78*O78,"None"))</f>
        <v/>
      </c>
      <c r="AJ78" s="107" t="str">
        <f t="shared" si="14"/>
        <v/>
      </c>
      <c r="AK78" s="107" t="str">
        <f t="shared" si="9"/>
        <v/>
      </c>
      <c r="AL78" s="107" t="str">
        <f>IF(I78="","",IF(#REF!&gt;0,TRUE,FALSE))</f>
        <v/>
      </c>
      <c r="AM78" s="107">
        <v>68</v>
      </c>
      <c r="AN78" s="107"/>
      <c r="AO78" s="107" t="str">
        <f t="array" ref="AO78">IFERROR(INDEX($AM$11:$AM$259,MATCH(0,IF(TRUE=$AJ$11:$AJ$259,COUNTIF($AO$10:$AO77,$AM$11:$AM$259),""),0)),"")</f>
        <v/>
      </c>
      <c r="AP78" s="107" t="str">
        <f t="array" ref="AP78">IFERROR(INDEX($AM$11:$AM$259,MATCH(0,IF(TRUE=$AK$11:$AK$259,COUNTIF($AP$10:$AP77,$AM$11:$AM$259),""),0)),"")</f>
        <v/>
      </c>
      <c r="AQ78" s="107" t="str">
        <f t="array" ref="AQ78">IFERROR(INDEX($AM$11:$AM$259,MATCH(0,IF(TRUE=$AL$11:$AL$259,COUNTIF($AQ$10:$AQ77,$AM$11:$AM$259),""),0)),"")</f>
        <v/>
      </c>
      <c r="AS78" s="885" t="str">
        <f>IF(AND(OR(AB78="Yes",AB78="Pending"),P78='G-1 All Habitats'!$X$3),T78-X78-Y78,"0")</f>
        <v>0</v>
      </c>
      <c r="AT78" s="30" t="str">
        <f t="shared" si="10"/>
        <v/>
      </c>
      <c r="AU78" s="30">
        <f t="shared" si="15"/>
        <v>0</v>
      </c>
      <c r="AV78" s="230" t="str">
        <f>IFERROR(INDEX('G-1 All Habitats'!$B$3:$B$135,MATCH(F78,'G-1 All Habitats'!$A$3:$A$135,0)),"")</f>
        <v/>
      </c>
      <c r="AW78" s="30" t="str">
        <f>IF(AV78="","",VLOOKUP(AV78,'G-1 All Habitats'!$B$1:$T$135,19,FALSE))</f>
        <v/>
      </c>
      <c r="AY78" s="287" t="str">
        <f t="shared" si="16"/>
        <v/>
      </c>
    </row>
    <row r="79" spans="1:51" ht="14">
      <c r="A79" s="30" t="str">
        <f>IFERROR(INDEX('G-1 All Habitats'!$AG$3:$AG$17,MATCH(E79,'G-1 All Habitats'!$AF$3:$AF$17,0)),"")</f>
        <v/>
      </c>
      <c r="B79" s="30" t="str">
        <f>IFERROR(INDEX('G-8 Condition Look up'!$I$4:$I$135,MATCH(AV79,'G-8 Condition Look up'!$A$4:$A$135,0)),"")</f>
        <v/>
      </c>
      <c r="D79" s="97">
        <v>69</v>
      </c>
      <c r="E79" s="262"/>
      <c r="F79" s="263"/>
      <c r="G79" s="133"/>
      <c r="H79" s="115"/>
      <c r="I79" s="509" t="str">
        <f>IF(AV79="","",IF(AND(AW79="Yes",G79="No"),"Irreplaceable habitat ▲",IF(AND(AW79="No",G79="Yes"),"Cannot be Irreplaceable ▲",VLOOKUP(AV79,'G-1 All Habitats'!$B$2:$M$135,10,FALSE))))</f>
        <v/>
      </c>
      <c r="J79" s="377" t="str">
        <f>IFERROR(VLOOKUP(I79,'G-1 All Habitats'!$V$3:$W$7,2,FALSE),"")</f>
        <v/>
      </c>
      <c r="K79" s="101"/>
      <c r="L79" s="276" t="str">
        <f>IFERROR(INDEX('G-8 Condition Look up'!$A$3:$H$135,MATCH(AV79,'G-8 Condition Look up'!$A$3:$A$135,0),MATCH(K79,'G-8 Condition Look up'!$A$3:$H$3,0)),"")</f>
        <v/>
      </c>
      <c r="M79" s="105"/>
      <c r="N79" s="295" t="str">
        <f>IF(M79="","",IF(VLOOKUP(M79,'G-3 Multipliers'!$L$3:$N$6,2,FALSE)=0,"Spatial Data Missing ⚠",VLOOKUP(M79,'G-3 Multipliers'!$L$3:$N$6,2,FALSE)))</f>
        <v/>
      </c>
      <c r="O79" s="353" t="str">
        <f>IF(M79="","",IF(VLOOKUP(M79,'G-3 Multipliers'!$L$3:$N$6,3,FALSE)=0,"Spatial Data Missing ⚠",VLOOKUP(M79,'G-3 Multipliers'!$L$3:$N$6,3,FALSE)))</f>
        <v/>
      </c>
      <c r="P79" s="336" t="str">
        <f>(IF(G79="Yes","Bespoke compensation likely to be required",(IFERROR(VLOOKUP(AV79,'G-1 All Habitats'!$B$2:$M$135,12,FALSE),""))))</f>
        <v/>
      </c>
      <c r="Q79" s="511" t="str">
        <f>IFERROR(IF(P79="","",IF(AND(E79="Individual trees",W79&gt;0,G79="Yes"),"Error - you cannot enhance irreplaceable individual trees ▲",IF(P79='G-1 All Habitats'!$X$9,T79*S79,IF(AND(P79='G-1 All Habitats'!$X$9,W79&gt;0),X79+(Y79*S79),IF(AND(P79='G-1 All Habitats'!$X$9,V79&gt;0),X79+(Y79*S79),IF(AND(P79='G-1 All Habitats'!$X$9,AG79&gt;0),"Any Loss Unacceptable  ⚠",IF(AND(P79='G-1 All Habitats'!$X$9,Z79&gt;0),"Any Loss Unacceptable ⚠",H79*J79*L79*O79*S79))))))),"Check Data ⚠")</f>
        <v/>
      </c>
      <c r="R79" s="393"/>
      <c r="S79" s="510" t="str">
        <f>IF(R79="","",IF(VLOOKUP(R79,'G-3 Multipliers'!$S$3:$T$10,2,FALSE)=0,"Spatial Data Missing ⚠",VLOOKUP(R79,'G-3 Multipliers'!$S$3:$T$10,2,FALSE)))</f>
        <v/>
      </c>
      <c r="T79" s="289" t="str">
        <f>IFERROR(IF(AND(F79&lt;&gt;"",G79=""),"Confirm irreplaceable habitat status ▲",(IF(AND(R79&lt;&gt;"",AF79=""),"Off-site reference required ▲",(IF(AND(E79="Individual trees",W79&gt;0,G79="Yes"),"Error - you cannot enhance irreplaceable individual trees ▲",(IF(AND(X79="Irreplaceable habitat - no units generated ⚠",(W79+V79)&lt;H79,OR(AB79="No",AB79="")),"Any Loss Unacceptable ⚠",(IF(X79="Irreplaceable habitat - no units generated ⚠",W79*J79*L79*O79,IF(AND(P79='G-1 All Habitats'!$X$9,AH79&gt;0,V79&lt;=0,W79&lt;=0,OR(AB79="No",AB79="")),"Any Loss Unacceptable ⚠",IF(AND(P79='G-1 All Habitats'!$X$9,AH79&gt;0,V79&lt;=0,W79&lt;=0),0,(IF(AND(P79='G-1 All Habitats'!$X$9,(W79+V79)&lt;H79,OR(AB79="No",AB79="")),"Any Loss Unacceptable ⚠",(IF(P79="","",IF(AND(P79='G-1 All Habitats'!$X$9,W79&gt;0),X79+Y79,IF(AND(P79='G-1 All Habitats'!$X$9,V79&gt;0),X79+Y79,IF(R79="","",H79*J79*L79*O79)))))))))))))))))),"Check Data ▲")</f>
        <v/>
      </c>
      <c r="U79" s="38"/>
      <c r="V79" s="52"/>
      <c r="W79" s="53"/>
      <c r="X79" s="287" t="str">
        <f t="shared" si="11"/>
        <v/>
      </c>
      <c r="Y79" s="287" t="str">
        <f t="shared" si="12"/>
        <v/>
      </c>
      <c r="Z79" s="287" t="str">
        <f t="shared" si="13"/>
        <v/>
      </c>
      <c r="AA79" s="317" t="str">
        <f>IFERROR(IF(AND(E79="Individual trees",G79="Yes",W79&gt;0),"Error - you cannot enhance an irreplaceable tree ▲",(IF(H79="","",IF(H79-V79-W79=0&lt;0,"Error in Areas ▲",IF(V79+W79&gt;H79,"Error in Areas ▲",IF(AND(P79='G-1 All Habitats'!$X$9,AB79="Yes"),"Alternative Compensation ✓",IF(AND(P79='G-1 All Habitats'!$X$3,AB79="Yes"),"Alternative Compensation ✓",IF(AND(AB79="Pending",P79='G-1 All Habitats'!$X$3),"Bespoke compensation must be agreed ▲",IF(AND(AB79="Pending",P79='G-1 All Habitats'!$X$9),"Bespoke compensation must be agreed  ▲",IF(Z79=0,0,IF(P79='G-1 All Habitats'!$X$9,"Any Loss Unacceptable ▲",T79-X79-Y79))))))))))),"Check Data ⚠")</f>
        <v/>
      </c>
      <c r="AB79" s="587"/>
      <c r="AC79" s="105"/>
      <c r="AD79" s="138"/>
      <c r="AE79" s="104"/>
      <c r="AF79" s="611"/>
      <c r="AG79" s="523" t="str">
        <f>IF(OR(P79="",AB79="Yes"),"",IF(P79='G-1 All Habitats'!$X$9,H79-V79-W79,"None"))</f>
        <v/>
      </c>
      <c r="AH79" s="523" t="str">
        <f>IF(P79="","",IF(P79='G-1 All Habitats'!$X$9,AG79*J79*L79*O79,"None"))</f>
        <v/>
      </c>
      <c r="AJ79" s="107" t="str">
        <f t="shared" si="14"/>
        <v/>
      </c>
      <c r="AK79" s="107" t="str">
        <f t="shared" si="9"/>
        <v/>
      </c>
      <c r="AL79" s="107" t="str">
        <f>IF(I79="","",IF(#REF!&gt;0,TRUE,FALSE))</f>
        <v/>
      </c>
      <c r="AM79" s="107">
        <v>69</v>
      </c>
      <c r="AN79" s="107"/>
      <c r="AO79" s="107" t="str">
        <f t="array" ref="AO79">IFERROR(INDEX($AM$11:$AM$259,MATCH(0,IF(TRUE=$AJ$11:$AJ$259,COUNTIF($AO$10:$AO78,$AM$11:$AM$259),""),0)),"")</f>
        <v/>
      </c>
      <c r="AP79" s="107" t="str">
        <f t="array" ref="AP79">IFERROR(INDEX($AM$11:$AM$259,MATCH(0,IF(TRUE=$AK$11:$AK$259,COUNTIF($AP$10:$AP78,$AM$11:$AM$259),""),0)),"")</f>
        <v/>
      </c>
      <c r="AQ79" s="107" t="str">
        <f t="array" ref="AQ79">IFERROR(INDEX($AM$11:$AM$259,MATCH(0,IF(TRUE=$AL$11:$AL$259,COUNTIF($AQ$10:$AQ78,$AM$11:$AM$259),""),0)),"")</f>
        <v/>
      </c>
      <c r="AS79" s="885" t="str">
        <f>IF(AND(OR(AB79="Yes",AB79="Pending"),P79='G-1 All Habitats'!$X$3),T79-X79-Y79,"0")</f>
        <v>0</v>
      </c>
      <c r="AT79" s="30" t="str">
        <f t="shared" si="10"/>
        <v/>
      </c>
      <c r="AU79" s="30">
        <f t="shared" si="15"/>
        <v>0</v>
      </c>
      <c r="AV79" s="230" t="str">
        <f>IFERROR(INDEX('G-1 All Habitats'!$B$3:$B$135,MATCH(F79,'G-1 All Habitats'!$A$3:$A$135,0)),"")</f>
        <v/>
      </c>
      <c r="AW79" s="30" t="str">
        <f>IF(AV79="","",VLOOKUP(AV79,'G-1 All Habitats'!$B$1:$T$135,19,FALSE))</f>
        <v/>
      </c>
      <c r="AY79" s="287" t="str">
        <f t="shared" si="16"/>
        <v/>
      </c>
    </row>
    <row r="80" spans="1:51" ht="14">
      <c r="A80" s="30" t="str">
        <f>IFERROR(INDEX('G-1 All Habitats'!$AG$3:$AG$17,MATCH(E80,'G-1 All Habitats'!$AF$3:$AF$17,0)),"")</f>
        <v/>
      </c>
      <c r="B80" s="30" t="str">
        <f>IFERROR(INDEX('G-8 Condition Look up'!$I$4:$I$135,MATCH(AV80,'G-8 Condition Look up'!$A$4:$A$135,0)),"")</f>
        <v/>
      </c>
      <c r="D80" s="97">
        <v>70</v>
      </c>
      <c r="E80" s="262"/>
      <c r="F80" s="263"/>
      <c r="G80" s="133"/>
      <c r="H80" s="115"/>
      <c r="I80" s="509" t="str">
        <f>IF(AV80="","",IF(AND(AW80="Yes",G80="No"),"Irreplaceable habitat ▲",IF(AND(AW80="No",G80="Yes"),"Cannot be Irreplaceable ▲",VLOOKUP(AV80,'G-1 All Habitats'!$B$2:$M$135,10,FALSE))))</f>
        <v/>
      </c>
      <c r="J80" s="377" t="str">
        <f>IFERROR(VLOOKUP(I80,'G-1 All Habitats'!$V$3:$W$7,2,FALSE),"")</f>
        <v/>
      </c>
      <c r="K80" s="101"/>
      <c r="L80" s="276" t="str">
        <f>IFERROR(INDEX('G-8 Condition Look up'!$A$3:$H$135,MATCH(AV80,'G-8 Condition Look up'!$A$3:$A$135,0),MATCH(K80,'G-8 Condition Look up'!$A$3:$H$3,0)),"")</f>
        <v/>
      </c>
      <c r="M80" s="105"/>
      <c r="N80" s="295" t="str">
        <f>IF(M80="","",IF(VLOOKUP(M80,'G-3 Multipliers'!$L$3:$N$6,2,FALSE)=0,"Spatial Data Missing ⚠",VLOOKUP(M80,'G-3 Multipliers'!$L$3:$N$6,2,FALSE)))</f>
        <v/>
      </c>
      <c r="O80" s="353" t="str">
        <f>IF(M80="","",IF(VLOOKUP(M80,'G-3 Multipliers'!$L$3:$N$6,3,FALSE)=0,"Spatial Data Missing ⚠",VLOOKUP(M80,'G-3 Multipliers'!$L$3:$N$6,3,FALSE)))</f>
        <v/>
      </c>
      <c r="P80" s="336" t="str">
        <f>(IF(G80="Yes","Bespoke compensation likely to be required",(IFERROR(VLOOKUP(AV80,'G-1 All Habitats'!$B$2:$M$135,12,FALSE),""))))</f>
        <v/>
      </c>
      <c r="Q80" s="511" t="str">
        <f>IFERROR(IF(P80="","",IF(AND(E80="Individual trees",W80&gt;0,G80="Yes"),"Error - you cannot enhance irreplaceable individual trees ▲",IF(P80='G-1 All Habitats'!$X$9,T80*S80,IF(AND(P80='G-1 All Habitats'!$X$9,W80&gt;0),X80+(Y80*S80),IF(AND(P80='G-1 All Habitats'!$X$9,V80&gt;0),X80+(Y80*S80),IF(AND(P80='G-1 All Habitats'!$X$9,AG80&gt;0),"Any Loss Unacceptable  ⚠",IF(AND(P80='G-1 All Habitats'!$X$9,Z80&gt;0),"Any Loss Unacceptable ⚠",H80*J80*L80*O80*S80))))))),"Check Data ⚠")</f>
        <v/>
      </c>
      <c r="R80" s="393"/>
      <c r="S80" s="510" t="str">
        <f>IF(R80="","",IF(VLOOKUP(R80,'G-3 Multipliers'!$S$3:$T$10,2,FALSE)=0,"Spatial Data Missing ⚠",VLOOKUP(R80,'G-3 Multipliers'!$S$3:$T$10,2,FALSE)))</f>
        <v/>
      </c>
      <c r="T80" s="289" t="str">
        <f>IFERROR(IF(AND(F80&lt;&gt;"",G80=""),"Confirm irreplaceable habitat status ▲",(IF(AND(R80&lt;&gt;"",AF80=""),"Off-site reference required ▲",(IF(AND(E80="Individual trees",W80&gt;0,G80="Yes"),"Error - you cannot enhance irreplaceable individual trees ▲",(IF(AND(X80="Irreplaceable habitat - no units generated ⚠",(W80+V80)&lt;H80,OR(AB80="No",AB80="")),"Any Loss Unacceptable ⚠",(IF(X80="Irreplaceable habitat - no units generated ⚠",W80*J80*L80*O80,IF(AND(P80='G-1 All Habitats'!$X$9,AH80&gt;0,V80&lt;=0,W80&lt;=0,OR(AB80="No",AB80="")),"Any Loss Unacceptable ⚠",IF(AND(P80='G-1 All Habitats'!$X$9,AH80&gt;0,V80&lt;=0,W80&lt;=0),0,(IF(AND(P80='G-1 All Habitats'!$X$9,(W80+V80)&lt;H80,OR(AB80="No",AB80="")),"Any Loss Unacceptable ⚠",(IF(P80="","",IF(AND(P80='G-1 All Habitats'!$X$9,W80&gt;0),X80+Y80,IF(AND(P80='G-1 All Habitats'!$X$9,V80&gt;0),X80+Y80,IF(R80="","",H80*J80*L80*O80)))))))))))))))))),"Check Data ▲")</f>
        <v/>
      </c>
      <c r="U80" s="38"/>
      <c r="V80" s="52"/>
      <c r="W80" s="53"/>
      <c r="X80" s="287" t="str">
        <f t="shared" si="11"/>
        <v/>
      </c>
      <c r="Y80" s="287" t="str">
        <f t="shared" si="12"/>
        <v/>
      </c>
      <c r="Z80" s="287" t="str">
        <f t="shared" si="13"/>
        <v/>
      </c>
      <c r="AA80" s="317" t="str">
        <f>IFERROR(IF(AND(E80="Individual trees",G80="Yes",W80&gt;0),"Error - you cannot enhance an irreplaceable tree ▲",(IF(H80="","",IF(H80-V80-W80=0&lt;0,"Error in Areas ▲",IF(V80+W80&gt;H80,"Error in Areas ▲",IF(AND(P80='G-1 All Habitats'!$X$9,AB80="Yes"),"Alternative Compensation ✓",IF(AND(P80='G-1 All Habitats'!$X$3,AB80="Yes"),"Alternative Compensation ✓",IF(AND(AB80="Pending",P80='G-1 All Habitats'!$X$3),"Bespoke compensation must be agreed ▲",IF(AND(AB80="Pending",P80='G-1 All Habitats'!$X$9),"Bespoke compensation must be agreed  ▲",IF(Z80=0,0,IF(P80='G-1 All Habitats'!$X$9,"Any Loss Unacceptable ▲",T80-X80-Y80))))))))))),"Check Data ⚠")</f>
        <v/>
      </c>
      <c r="AB80" s="587"/>
      <c r="AC80" s="105"/>
      <c r="AD80" s="138"/>
      <c r="AE80" s="104"/>
      <c r="AF80" s="611"/>
      <c r="AG80" s="523" t="str">
        <f>IF(OR(P80="",AB80="Yes"),"",IF(P80='G-1 All Habitats'!$X$9,H80-V80-W80,"None"))</f>
        <v/>
      </c>
      <c r="AH80" s="523" t="str">
        <f>IF(P80="","",IF(P80='G-1 All Habitats'!$X$9,AG80*J80*L80*O80,"None"))</f>
        <v/>
      </c>
      <c r="AJ80" s="107" t="str">
        <f t="shared" si="14"/>
        <v/>
      </c>
      <c r="AK80" s="107" t="str">
        <f t="shared" si="9"/>
        <v/>
      </c>
      <c r="AL80" s="107" t="str">
        <f>IF(I80="","",IF(#REF!&gt;0,TRUE,FALSE))</f>
        <v/>
      </c>
      <c r="AM80" s="107">
        <v>70</v>
      </c>
      <c r="AN80" s="107"/>
      <c r="AO80" s="107" t="str">
        <f t="array" ref="AO80">IFERROR(INDEX($AM$11:$AM$259,MATCH(0,IF(TRUE=$AJ$11:$AJ$259,COUNTIF($AO$10:$AO79,$AM$11:$AM$259),""),0)),"")</f>
        <v/>
      </c>
      <c r="AP80" s="107" t="str">
        <f t="array" ref="AP80">IFERROR(INDEX($AM$11:$AM$259,MATCH(0,IF(TRUE=$AK$11:$AK$259,COUNTIF($AP$10:$AP79,$AM$11:$AM$259),""),0)),"")</f>
        <v/>
      </c>
      <c r="AQ80" s="107" t="str">
        <f t="array" ref="AQ80">IFERROR(INDEX($AM$11:$AM$259,MATCH(0,IF(TRUE=$AL$11:$AL$259,COUNTIF($AQ$10:$AQ79,$AM$11:$AM$259),""),0)),"")</f>
        <v/>
      </c>
      <c r="AS80" s="885" t="str">
        <f>IF(AND(OR(AB80="Yes",AB80="Pending"),P80='G-1 All Habitats'!$X$3),T80-X80-Y80,"0")</f>
        <v>0</v>
      </c>
      <c r="AT80" s="30" t="str">
        <f t="shared" si="10"/>
        <v/>
      </c>
      <c r="AU80" s="30">
        <f t="shared" si="15"/>
        <v>0</v>
      </c>
      <c r="AV80" s="230" t="str">
        <f>IFERROR(INDEX('G-1 All Habitats'!$B$3:$B$135,MATCH(F80,'G-1 All Habitats'!$A$3:$A$135,0)),"")</f>
        <v/>
      </c>
      <c r="AW80" s="30" t="str">
        <f>IF(AV80="","",VLOOKUP(AV80,'G-1 All Habitats'!$B$1:$T$135,19,FALSE))</f>
        <v/>
      </c>
      <c r="AY80" s="287" t="str">
        <f t="shared" si="16"/>
        <v/>
      </c>
    </row>
    <row r="81" spans="1:51" ht="14">
      <c r="A81" s="30" t="str">
        <f>IFERROR(INDEX('G-1 All Habitats'!$AG$3:$AG$17,MATCH(E81,'G-1 All Habitats'!$AF$3:$AF$17,0)),"")</f>
        <v/>
      </c>
      <c r="B81" s="30" t="str">
        <f>IFERROR(INDEX('G-8 Condition Look up'!$I$4:$I$135,MATCH(AV81,'G-8 Condition Look up'!$A$4:$A$135,0)),"")</f>
        <v/>
      </c>
      <c r="D81" s="97">
        <v>71</v>
      </c>
      <c r="E81" s="262"/>
      <c r="F81" s="263"/>
      <c r="G81" s="133"/>
      <c r="H81" s="115"/>
      <c r="I81" s="509" t="str">
        <f>IF(AV81="","",IF(AND(AW81="Yes",G81="No"),"Irreplaceable habitat ▲",IF(AND(AW81="No",G81="Yes"),"Cannot be Irreplaceable ▲",VLOOKUP(AV81,'G-1 All Habitats'!$B$2:$M$135,10,FALSE))))</f>
        <v/>
      </c>
      <c r="J81" s="377" t="str">
        <f>IFERROR(VLOOKUP(I81,'G-1 All Habitats'!$V$3:$W$7,2,FALSE),"")</f>
        <v/>
      </c>
      <c r="K81" s="101"/>
      <c r="L81" s="276" t="str">
        <f>IFERROR(INDEX('G-8 Condition Look up'!$A$3:$H$135,MATCH(AV81,'G-8 Condition Look up'!$A$3:$A$135,0),MATCH(K81,'G-8 Condition Look up'!$A$3:$H$3,0)),"")</f>
        <v/>
      </c>
      <c r="M81" s="105"/>
      <c r="N81" s="295" t="str">
        <f>IF(M81="","",IF(VLOOKUP(M81,'G-3 Multipliers'!$L$3:$N$6,2,FALSE)=0,"Spatial Data Missing ⚠",VLOOKUP(M81,'G-3 Multipliers'!$L$3:$N$6,2,FALSE)))</f>
        <v/>
      </c>
      <c r="O81" s="353" t="str">
        <f>IF(M81="","",IF(VLOOKUP(M81,'G-3 Multipliers'!$L$3:$N$6,3,FALSE)=0,"Spatial Data Missing ⚠",VLOOKUP(M81,'G-3 Multipliers'!$L$3:$N$6,3,FALSE)))</f>
        <v/>
      </c>
      <c r="P81" s="336" t="str">
        <f>(IF(G81="Yes","Bespoke compensation likely to be required",(IFERROR(VLOOKUP(AV81,'G-1 All Habitats'!$B$2:$M$135,12,FALSE),""))))</f>
        <v/>
      </c>
      <c r="Q81" s="511" t="str">
        <f>IFERROR(IF(P81="","",IF(AND(E81="Individual trees",W81&gt;0,G81="Yes"),"Error - you cannot enhance irreplaceable individual trees ▲",IF(P81='G-1 All Habitats'!$X$9,T81*S81,IF(AND(P81='G-1 All Habitats'!$X$9,W81&gt;0),X81+(Y81*S81),IF(AND(P81='G-1 All Habitats'!$X$9,V81&gt;0),X81+(Y81*S81),IF(AND(P81='G-1 All Habitats'!$X$9,AG81&gt;0),"Any Loss Unacceptable  ⚠",IF(AND(P81='G-1 All Habitats'!$X$9,Z81&gt;0),"Any Loss Unacceptable ⚠",H81*J81*L81*O81*S81))))))),"Check Data ⚠")</f>
        <v/>
      </c>
      <c r="R81" s="393"/>
      <c r="S81" s="510" t="str">
        <f>IF(R81="","",IF(VLOOKUP(R81,'G-3 Multipliers'!$S$3:$T$10,2,FALSE)=0,"Spatial Data Missing ⚠",VLOOKUP(R81,'G-3 Multipliers'!$S$3:$T$10,2,FALSE)))</f>
        <v/>
      </c>
      <c r="T81" s="289" t="str">
        <f>IFERROR(IF(AND(F81&lt;&gt;"",G81=""),"Confirm irreplaceable habitat status ▲",(IF(AND(R81&lt;&gt;"",AF81=""),"Off-site reference required ▲",(IF(AND(E81="Individual trees",W81&gt;0,G81="Yes"),"Error - you cannot enhance irreplaceable individual trees ▲",(IF(AND(X81="Irreplaceable habitat - no units generated ⚠",(W81+V81)&lt;H81,OR(AB81="No",AB81="")),"Any Loss Unacceptable ⚠",(IF(X81="Irreplaceable habitat - no units generated ⚠",W81*J81*L81*O81,IF(AND(P81='G-1 All Habitats'!$X$9,AH81&gt;0,V81&lt;=0,W81&lt;=0,OR(AB81="No",AB81="")),"Any Loss Unacceptable ⚠",IF(AND(P81='G-1 All Habitats'!$X$9,AH81&gt;0,V81&lt;=0,W81&lt;=0),0,(IF(AND(P81='G-1 All Habitats'!$X$9,(W81+V81)&lt;H81,OR(AB81="No",AB81="")),"Any Loss Unacceptable ⚠",(IF(P81="","",IF(AND(P81='G-1 All Habitats'!$X$9,W81&gt;0),X81+Y81,IF(AND(P81='G-1 All Habitats'!$X$9,V81&gt;0),X81+Y81,IF(R81="","",H81*J81*L81*O81)))))))))))))))))),"Check Data ▲")</f>
        <v/>
      </c>
      <c r="U81" s="38"/>
      <c r="V81" s="52"/>
      <c r="W81" s="53"/>
      <c r="X81" s="287" t="str">
        <f t="shared" si="11"/>
        <v/>
      </c>
      <c r="Y81" s="287" t="str">
        <f t="shared" si="12"/>
        <v/>
      </c>
      <c r="Z81" s="287" t="str">
        <f t="shared" si="13"/>
        <v/>
      </c>
      <c r="AA81" s="317" t="str">
        <f>IFERROR(IF(AND(E81="Individual trees",G81="Yes",W81&gt;0),"Error - you cannot enhance an irreplaceable tree ▲",(IF(H81="","",IF(H81-V81-W81=0&lt;0,"Error in Areas ▲",IF(V81+W81&gt;H81,"Error in Areas ▲",IF(AND(P81='G-1 All Habitats'!$X$9,AB81="Yes"),"Alternative Compensation ✓",IF(AND(P81='G-1 All Habitats'!$X$3,AB81="Yes"),"Alternative Compensation ✓",IF(AND(AB81="Pending",P81='G-1 All Habitats'!$X$3),"Bespoke compensation must be agreed ▲",IF(AND(AB81="Pending",P81='G-1 All Habitats'!$X$9),"Bespoke compensation must be agreed  ▲",IF(Z81=0,0,IF(P81='G-1 All Habitats'!$X$9,"Any Loss Unacceptable ▲",T81-X81-Y81))))))))))),"Check Data ⚠")</f>
        <v/>
      </c>
      <c r="AB81" s="587"/>
      <c r="AC81" s="105"/>
      <c r="AD81" s="138"/>
      <c r="AE81" s="104"/>
      <c r="AF81" s="611"/>
      <c r="AG81" s="523" t="str">
        <f>IF(OR(P81="",AB81="Yes"),"",IF(P81='G-1 All Habitats'!$X$9,H81-V81-W81,"None"))</f>
        <v/>
      </c>
      <c r="AH81" s="523" t="str">
        <f>IF(P81="","",IF(P81='G-1 All Habitats'!$X$9,AG81*J81*L81*O81,"None"))</f>
        <v/>
      </c>
      <c r="AJ81" s="107" t="str">
        <f t="shared" si="14"/>
        <v/>
      </c>
      <c r="AK81" s="107" t="str">
        <f t="shared" si="9"/>
        <v/>
      </c>
      <c r="AL81" s="107" t="str">
        <f>IF(I81="","",IF(#REF!&gt;0,TRUE,FALSE))</f>
        <v/>
      </c>
      <c r="AM81" s="107">
        <v>71</v>
      </c>
      <c r="AN81" s="107"/>
      <c r="AO81" s="107" t="str">
        <f t="array" ref="AO81">IFERROR(INDEX($AM$11:$AM$259,MATCH(0,IF(TRUE=$AJ$11:$AJ$259,COUNTIF($AO$10:$AO80,$AM$11:$AM$259),""),0)),"")</f>
        <v/>
      </c>
      <c r="AP81" s="107" t="str">
        <f t="array" ref="AP81">IFERROR(INDEX($AM$11:$AM$259,MATCH(0,IF(TRUE=$AK$11:$AK$259,COUNTIF($AP$10:$AP80,$AM$11:$AM$259),""),0)),"")</f>
        <v/>
      </c>
      <c r="AQ81" s="107" t="str">
        <f t="array" ref="AQ81">IFERROR(INDEX($AM$11:$AM$259,MATCH(0,IF(TRUE=$AL$11:$AL$259,COUNTIF($AQ$10:$AQ80,$AM$11:$AM$259),""),0)),"")</f>
        <v/>
      </c>
      <c r="AS81" s="885" t="str">
        <f>IF(AND(OR(AB81="Yes",AB81="Pending"),P81='G-1 All Habitats'!$X$3),T81-X81-Y81,"0")</f>
        <v>0</v>
      </c>
      <c r="AT81" s="30" t="str">
        <f t="shared" si="10"/>
        <v/>
      </c>
      <c r="AU81" s="30">
        <f t="shared" si="15"/>
        <v>0</v>
      </c>
      <c r="AV81" s="230" t="str">
        <f>IFERROR(INDEX('G-1 All Habitats'!$B$3:$B$135,MATCH(F81,'G-1 All Habitats'!$A$3:$A$135,0)),"")</f>
        <v/>
      </c>
      <c r="AW81" s="30" t="str">
        <f>IF(AV81="","",VLOOKUP(AV81,'G-1 All Habitats'!$B$1:$T$135,19,FALSE))</f>
        <v/>
      </c>
      <c r="AY81" s="287" t="str">
        <f t="shared" si="16"/>
        <v/>
      </c>
    </row>
    <row r="82" spans="1:51" ht="14">
      <c r="A82" s="30" t="str">
        <f>IFERROR(INDEX('G-1 All Habitats'!$AG$3:$AG$17,MATCH(E82,'G-1 All Habitats'!$AF$3:$AF$17,0)),"")</f>
        <v/>
      </c>
      <c r="B82" s="30" t="str">
        <f>IFERROR(INDEX('G-8 Condition Look up'!$I$4:$I$135,MATCH(AV82,'G-8 Condition Look up'!$A$4:$A$135,0)),"")</f>
        <v/>
      </c>
      <c r="D82" s="97">
        <v>72</v>
      </c>
      <c r="E82" s="262"/>
      <c r="F82" s="263"/>
      <c r="G82" s="133"/>
      <c r="H82" s="115"/>
      <c r="I82" s="509" t="str">
        <f>IF(AV82="","",IF(AND(AW82="Yes",G82="No"),"Irreplaceable habitat ▲",IF(AND(AW82="No",G82="Yes"),"Cannot be Irreplaceable ▲",VLOOKUP(AV82,'G-1 All Habitats'!$B$2:$M$135,10,FALSE))))</f>
        <v/>
      </c>
      <c r="J82" s="377" t="str">
        <f>IFERROR(VLOOKUP(I82,'G-1 All Habitats'!$V$3:$W$7,2,FALSE),"")</f>
        <v/>
      </c>
      <c r="K82" s="101"/>
      <c r="L82" s="276" t="str">
        <f>IFERROR(INDEX('G-8 Condition Look up'!$A$3:$H$135,MATCH(AV82,'G-8 Condition Look up'!$A$3:$A$135,0),MATCH(K82,'G-8 Condition Look up'!$A$3:$H$3,0)),"")</f>
        <v/>
      </c>
      <c r="M82" s="105"/>
      <c r="N82" s="295" t="str">
        <f>IF(M82="","",IF(VLOOKUP(M82,'G-3 Multipliers'!$L$3:$N$6,2,FALSE)=0,"Spatial Data Missing ⚠",VLOOKUP(M82,'G-3 Multipliers'!$L$3:$N$6,2,FALSE)))</f>
        <v/>
      </c>
      <c r="O82" s="353" t="str">
        <f>IF(M82="","",IF(VLOOKUP(M82,'G-3 Multipliers'!$L$3:$N$6,3,FALSE)=0,"Spatial Data Missing ⚠",VLOOKUP(M82,'G-3 Multipliers'!$L$3:$N$6,3,FALSE)))</f>
        <v/>
      </c>
      <c r="P82" s="336" t="str">
        <f>(IF(G82="Yes","Bespoke compensation likely to be required",(IFERROR(VLOOKUP(AV82,'G-1 All Habitats'!$B$2:$M$135,12,FALSE),""))))</f>
        <v/>
      </c>
      <c r="Q82" s="511" t="str">
        <f>IFERROR(IF(P82="","",IF(AND(E82="Individual trees",W82&gt;0,G82="Yes"),"Error - you cannot enhance irreplaceable individual trees ▲",IF(P82='G-1 All Habitats'!$X$9,T82*S82,IF(AND(P82='G-1 All Habitats'!$X$9,W82&gt;0),X82+(Y82*S82),IF(AND(P82='G-1 All Habitats'!$X$9,V82&gt;0),X82+(Y82*S82),IF(AND(P82='G-1 All Habitats'!$X$9,AG82&gt;0),"Any Loss Unacceptable  ⚠",IF(AND(P82='G-1 All Habitats'!$X$9,Z82&gt;0),"Any Loss Unacceptable ⚠",H82*J82*L82*O82*S82))))))),"Check Data ⚠")</f>
        <v/>
      </c>
      <c r="R82" s="393"/>
      <c r="S82" s="510" t="str">
        <f>IF(R82="","",IF(VLOOKUP(R82,'G-3 Multipliers'!$S$3:$T$10,2,FALSE)=0,"Spatial Data Missing ⚠",VLOOKUP(R82,'G-3 Multipliers'!$S$3:$T$10,2,FALSE)))</f>
        <v/>
      </c>
      <c r="T82" s="289" t="str">
        <f>IFERROR(IF(AND(F82&lt;&gt;"",G82=""),"Confirm irreplaceable habitat status ▲",(IF(AND(R82&lt;&gt;"",AF82=""),"Off-site reference required ▲",(IF(AND(E82="Individual trees",W82&gt;0,G82="Yes"),"Error - you cannot enhance irreplaceable individual trees ▲",(IF(AND(X82="Irreplaceable habitat - no units generated ⚠",(W82+V82)&lt;H82,OR(AB82="No",AB82="")),"Any Loss Unacceptable ⚠",(IF(X82="Irreplaceable habitat - no units generated ⚠",W82*J82*L82*O82,IF(AND(P82='G-1 All Habitats'!$X$9,AH82&gt;0,V82&lt;=0,W82&lt;=0,OR(AB82="No",AB82="")),"Any Loss Unacceptable ⚠",IF(AND(P82='G-1 All Habitats'!$X$9,AH82&gt;0,V82&lt;=0,W82&lt;=0),0,(IF(AND(P82='G-1 All Habitats'!$X$9,(W82+V82)&lt;H82,OR(AB82="No",AB82="")),"Any Loss Unacceptable ⚠",(IF(P82="","",IF(AND(P82='G-1 All Habitats'!$X$9,W82&gt;0),X82+Y82,IF(AND(P82='G-1 All Habitats'!$X$9,V82&gt;0),X82+Y82,IF(R82="","",H82*J82*L82*O82)))))))))))))))))),"Check Data ▲")</f>
        <v/>
      </c>
      <c r="U82" s="38"/>
      <c r="V82" s="52"/>
      <c r="W82" s="53"/>
      <c r="X82" s="287" t="str">
        <f t="shared" si="11"/>
        <v/>
      </c>
      <c r="Y82" s="287" t="str">
        <f t="shared" si="12"/>
        <v/>
      </c>
      <c r="Z82" s="287" t="str">
        <f t="shared" si="13"/>
        <v/>
      </c>
      <c r="AA82" s="317" t="str">
        <f>IFERROR(IF(AND(E82="Individual trees",G82="Yes",W82&gt;0),"Error - you cannot enhance an irreplaceable tree ▲",(IF(H82="","",IF(H82-V82-W82=0&lt;0,"Error in Areas ▲",IF(V82+W82&gt;H82,"Error in Areas ▲",IF(AND(P82='G-1 All Habitats'!$X$9,AB82="Yes"),"Alternative Compensation ✓",IF(AND(P82='G-1 All Habitats'!$X$3,AB82="Yes"),"Alternative Compensation ✓",IF(AND(AB82="Pending",P82='G-1 All Habitats'!$X$3),"Bespoke compensation must be agreed ▲",IF(AND(AB82="Pending",P82='G-1 All Habitats'!$X$9),"Bespoke compensation must be agreed  ▲",IF(Z82=0,0,IF(P82='G-1 All Habitats'!$X$9,"Any Loss Unacceptable ▲",T82-X82-Y82))))))))))),"Check Data ⚠")</f>
        <v/>
      </c>
      <c r="AB82" s="587"/>
      <c r="AC82" s="105"/>
      <c r="AD82" s="138"/>
      <c r="AE82" s="104"/>
      <c r="AF82" s="611"/>
      <c r="AG82" s="523" t="str">
        <f>IF(OR(P82="",AB82="Yes"),"",IF(P82='G-1 All Habitats'!$X$9,H82-V82-W82,"None"))</f>
        <v/>
      </c>
      <c r="AH82" s="523" t="str">
        <f>IF(P82="","",IF(P82='G-1 All Habitats'!$X$9,AG82*J82*L82*O82,"None"))</f>
        <v/>
      </c>
      <c r="AJ82" s="107" t="str">
        <f t="shared" si="14"/>
        <v/>
      </c>
      <c r="AK82" s="107" t="str">
        <f t="shared" si="9"/>
        <v/>
      </c>
      <c r="AL82" s="107" t="str">
        <f>IF(I82="","",IF(#REF!&gt;0,TRUE,FALSE))</f>
        <v/>
      </c>
      <c r="AM82" s="107">
        <v>72</v>
      </c>
      <c r="AN82" s="107"/>
      <c r="AO82" s="107" t="str">
        <f t="array" ref="AO82">IFERROR(INDEX($AM$11:$AM$259,MATCH(0,IF(TRUE=$AJ$11:$AJ$259,COUNTIF($AO$10:$AO81,$AM$11:$AM$259),""),0)),"")</f>
        <v/>
      </c>
      <c r="AP82" s="107" t="str">
        <f t="array" ref="AP82">IFERROR(INDEX($AM$11:$AM$259,MATCH(0,IF(TRUE=$AK$11:$AK$259,COUNTIF($AP$10:$AP81,$AM$11:$AM$259),""),0)),"")</f>
        <v/>
      </c>
      <c r="AQ82" s="107" t="str">
        <f t="array" ref="AQ82">IFERROR(INDEX($AM$11:$AM$259,MATCH(0,IF(TRUE=$AL$11:$AL$259,COUNTIF($AQ$10:$AQ81,$AM$11:$AM$259),""),0)),"")</f>
        <v/>
      </c>
      <c r="AS82" s="885" t="str">
        <f>IF(AND(OR(AB82="Yes",AB82="Pending"),P82='G-1 All Habitats'!$X$3),T82-X82-Y82,"0")</f>
        <v>0</v>
      </c>
      <c r="AT82" s="30" t="str">
        <f t="shared" si="10"/>
        <v/>
      </c>
      <c r="AU82" s="30">
        <f t="shared" si="15"/>
        <v>0</v>
      </c>
      <c r="AV82" s="230" t="str">
        <f>IFERROR(INDEX('G-1 All Habitats'!$B$3:$B$135,MATCH(F82,'G-1 All Habitats'!$A$3:$A$135,0)),"")</f>
        <v/>
      </c>
      <c r="AW82" s="30" t="str">
        <f>IF(AV82="","",VLOOKUP(AV82,'G-1 All Habitats'!$B$1:$T$135,19,FALSE))</f>
        <v/>
      </c>
      <c r="AY82" s="287" t="str">
        <f t="shared" si="16"/>
        <v/>
      </c>
    </row>
    <row r="83" spans="1:51" ht="14">
      <c r="A83" s="30" t="str">
        <f>IFERROR(INDEX('G-1 All Habitats'!$AG$3:$AG$17,MATCH(E83,'G-1 All Habitats'!$AF$3:$AF$17,0)),"")</f>
        <v/>
      </c>
      <c r="B83" s="30" t="str">
        <f>IFERROR(INDEX('G-8 Condition Look up'!$I$4:$I$135,MATCH(AV83,'G-8 Condition Look up'!$A$4:$A$135,0)),"")</f>
        <v/>
      </c>
      <c r="D83" s="97">
        <v>73</v>
      </c>
      <c r="E83" s="262"/>
      <c r="F83" s="263"/>
      <c r="G83" s="133"/>
      <c r="H83" s="115"/>
      <c r="I83" s="509" t="str">
        <f>IF(AV83="","",IF(AND(AW83="Yes",G83="No"),"Irreplaceable habitat ▲",IF(AND(AW83="No",G83="Yes"),"Cannot be Irreplaceable ▲",VLOOKUP(AV83,'G-1 All Habitats'!$B$2:$M$135,10,FALSE))))</f>
        <v/>
      </c>
      <c r="J83" s="377" t="str">
        <f>IFERROR(VLOOKUP(I83,'G-1 All Habitats'!$V$3:$W$7,2,FALSE),"")</f>
        <v/>
      </c>
      <c r="K83" s="101"/>
      <c r="L83" s="276" t="str">
        <f>IFERROR(INDEX('G-8 Condition Look up'!$A$3:$H$135,MATCH(AV83,'G-8 Condition Look up'!$A$3:$A$135,0),MATCH(K83,'G-8 Condition Look up'!$A$3:$H$3,0)),"")</f>
        <v/>
      </c>
      <c r="M83" s="105"/>
      <c r="N83" s="295" t="str">
        <f>IF(M83="","",IF(VLOOKUP(M83,'G-3 Multipliers'!$L$3:$N$6,2,FALSE)=0,"Spatial Data Missing ⚠",VLOOKUP(M83,'G-3 Multipliers'!$L$3:$N$6,2,FALSE)))</f>
        <v/>
      </c>
      <c r="O83" s="353" t="str">
        <f>IF(M83="","",IF(VLOOKUP(M83,'G-3 Multipliers'!$L$3:$N$6,3,FALSE)=0,"Spatial Data Missing ⚠",VLOOKUP(M83,'G-3 Multipliers'!$L$3:$N$6,3,FALSE)))</f>
        <v/>
      </c>
      <c r="P83" s="336" t="str">
        <f>(IF(G83="Yes","Bespoke compensation likely to be required",(IFERROR(VLOOKUP(AV83,'G-1 All Habitats'!$B$2:$M$135,12,FALSE),""))))</f>
        <v/>
      </c>
      <c r="Q83" s="511" t="str">
        <f>IFERROR(IF(P83="","",IF(AND(E83="Individual trees",W83&gt;0,G83="Yes"),"Error - you cannot enhance irreplaceable individual trees ▲",IF(P83='G-1 All Habitats'!$X$9,T83*S83,IF(AND(P83='G-1 All Habitats'!$X$9,W83&gt;0),X83+(Y83*S83),IF(AND(P83='G-1 All Habitats'!$X$9,V83&gt;0),X83+(Y83*S83),IF(AND(P83='G-1 All Habitats'!$X$9,AG83&gt;0),"Any Loss Unacceptable  ⚠",IF(AND(P83='G-1 All Habitats'!$X$9,Z83&gt;0),"Any Loss Unacceptable ⚠",H83*J83*L83*O83*S83))))))),"Check Data ⚠")</f>
        <v/>
      </c>
      <c r="R83" s="393"/>
      <c r="S83" s="510" t="str">
        <f>IF(R83="","",IF(VLOOKUP(R83,'G-3 Multipliers'!$S$3:$T$10,2,FALSE)=0,"Spatial Data Missing ⚠",VLOOKUP(R83,'G-3 Multipliers'!$S$3:$T$10,2,FALSE)))</f>
        <v/>
      </c>
      <c r="T83" s="289" t="str">
        <f>IFERROR(IF(AND(F83&lt;&gt;"",G83=""),"Confirm irreplaceable habitat status ▲",(IF(AND(R83&lt;&gt;"",AF83=""),"Off-site reference required ▲",(IF(AND(E83="Individual trees",W83&gt;0,G83="Yes"),"Error - you cannot enhance irreplaceable individual trees ▲",(IF(AND(X83="Irreplaceable habitat - no units generated ⚠",(W83+V83)&lt;H83,OR(AB83="No",AB83="")),"Any Loss Unacceptable ⚠",(IF(X83="Irreplaceable habitat - no units generated ⚠",W83*J83*L83*O83,IF(AND(P83='G-1 All Habitats'!$X$9,AH83&gt;0,V83&lt;=0,W83&lt;=0,OR(AB83="No",AB83="")),"Any Loss Unacceptable ⚠",IF(AND(P83='G-1 All Habitats'!$X$9,AH83&gt;0,V83&lt;=0,W83&lt;=0),0,(IF(AND(P83='G-1 All Habitats'!$X$9,(W83+V83)&lt;H83,OR(AB83="No",AB83="")),"Any Loss Unacceptable ⚠",(IF(P83="","",IF(AND(P83='G-1 All Habitats'!$X$9,W83&gt;0),X83+Y83,IF(AND(P83='G-1 All Habitats'!$X$9,V83&gt;0),X83+Y83,IF(R83="","",H83*J83*L83*O83)))))))))))))))))),"Check Data ▲")</f>
        <v/>
      </c>
      <c r="U83" s="38"/>
      <c r="V83" s="52"/>
      <c r="W83" s="53"/>
      <c r="X83" s="287" t="str">
        <f t="shared" si="11"/>
        <v/>
      </c>
      <c r="Y83" s="287" t="str">
        <f t="shared" si="12"/>
        <v/>
      </c>
      <c r="Z83" s="287" t="str">
        <f t="shared" si="13"/>
        <v/>
      </c>
      <c r="AA83" s="317" t="str">
        <f>IFERROR(IF(AND(E83="Individual trees",G83="Yes",W83&gt;0),"Error - you cannot enhance an irreplaceable tree ▲",(IF(H83="","",IF(H83-V83-W83=0&lt;0,"Error in Areas ▲",IF(V83+W83&gt;H83,"Error in Areas ▲",IF(AND(P83='G-1 All Habitats'!$X$9,AB83="Yes"),"Alternative Compensation ✓",IF(AND(P83='G-1 All Habitats'!$X$3,AB83="Yes"),"Alternative Compensation ✓",IF(AND(AB83="Pending",P83='G-1 All Habitats'!$X$3),"Bespoke compensation must be agreed ▲",IF(AND(AB83="Pending",P83='G-1 All Habitats'!$X$9),"Bespoke compensation must be agreed  ▲",IF(Z83=0,0,IF(P83='G-1 All Habitats'!$X$9,"Any Loss Unacceptable ▲",T83-X83-Y83))))))))))),"Check Data ⚠")</f>
        <v/>
      </c>
      <c r="AB83" s="587"/>
      <c r="AC83" s="105"/>
      <c r="AD83" s="138"/>
      <c r="AE83" s="104"/>
      <c r="AF83" s="611"/>
      <c r="AG83" s="523" t="str">
        <f>IF(OR(P83="",AB83="Yes"),"",IF(P83='G-1 All Habitats'!$X$9,H83-V83-W83,"None"))</f>
        <v/>
      </c>
      <c r="AH83" s="523" t="str">
        <f>IF(P83="","",IF(P83='G-1 All Habitats'!$X$9,AG83*J83*L83*O83,"None"))</f>
        <v/>
      </c>
      <c r="AJ83" s="107" t="str">
        <f t="shared" si="14"/>
        <v/>
      </c>
      <c r="AK83" s="107" t="str">
        <f t="shared" si="9"/>
        <v/>
      </c>
      <c r="AL83" s="107" t="str">
        <f>IF(I83="","",IF(#REF!&gt;0,TRUE,FALSE))</f>
        <v/>
      </c>
      <c r="AM83" s="107">
        <v>73</v>
      </c>
      <c r="AN83" s="107"/>
      <c r="AO83" s="107" t="str">
        <f t="array" ref="AO83">IFERROR(INDEX($AM$11:$AM$259,MATCH(0,IF(TRUE=$AJ$11:$AJ$259,COUNTIF($AO$10:$AO82,$AM$11:$AM$259),""),0)),"")</f>
        <v/>
      </c>
      <c r="AP83" s="107" t="str">
        <f t="array" ref="AP83">IFERROR(INDEX($AM$11:$AM$259,MATCH(0,IF(TRUE=$AK$11:$AK$259,COUNTIF($AP$10:$AP82,$AM$11:$AM$259),""),0)),"")</f>
        <v/>
      </c>
      <c r="AQ83" s="107" t="str">
        <f t="array" ref="AQ83">IFERROR(INDEX($AM$11:$AM$259,MATCH(0,IF(TRUE=$AL$11:$AL$259,COUNTIF($AQ$10:$AQ82,$AM$11:$AM$259),""),0)),"")</f>
        <v/>
      </c>
      <c r="AS83" s="885" t="str">
        <f>IF(AND(OR(AB83="Yes",AB83="Pending"),P83='G-1 All Habitats'!$X$3),T83-X83-Y83,"0")</f>
        <v>0</v>
      </c>
      <c r="AT83" s="30" t="str">
        <f t="shared" si="10"/>
        <v/>
      </c>
      <c r="AU83" s="30">
        <f t="shared" si="15"/>
        <v>0</v>
      </c>
      <c r="AV83" s="230" t="str">
        <f>IFERROR(INDEX('G-1 All Habitats'!$B$3:$B$135,MATCH(F83,'G-1 All Habitats'!$A$3:$A$135,0)),"")</f>
        <v/>
      </c>
      <c r="AW83" s="30" t="str">
        <f>IF(AV83="","",VLOOKUP(AV83,'G-1 All Habitats'!$B$1:$T$135,19,FALSE))</f>
        <v/>
      </c>
      <c r="AY83" s="287" t="str">
        <f t="shared" si="16"/>
        <v/>
      </c>
    </row>
    <row r="84" spans="1:51" ht="14">
      <c r="A84" s="30" t="str">
        <f>IFERROR(INDEX('G-1 All Habitats'!$AG$3:$AG$17,MATCH(E84,'G-1 All Habitats'!$AF$3:$AF$17,0)),"")</f>
        <v/>
      </c>
      <c r="B84" s="30" t="str">
        <f>IFERROR(INDEX('G-8 Condition Look up'!$I$4:$I$135,MATCH(AV84,'G-8 Condition Look up'!$A$4:$A$135,0)),"")</f>
        <v/>
      </c>
      <c r="D84" s="97">
        <v>74</v>
      </c>
      <c r="E84" s="262"/>
      <c r="F84" s="263"/>
      <c r="G84" s="133"/>
      <c r="H84" s="115"/>
      <c r="I84" s="509" t="str">
        <f>IF(AV84="","",IF(AND(AW84="Yes",G84="No"),"Irreplaceable habitat ▲",IF(AND(AW84="No",G84="Yes"),"Cannot be Irreplaceable ▲",VLOOKUP(AV84,'G-1 All Habitats'!$B$2:$M$135,10,FALSE))))</f>
        <v/>
      </c>
      <c r="J84" s="377" t="str">
        <f>IFERROR(VLOOKUP(I84,'G-1 All Habitats'!$V$3:$W$7,2,FALSE),"")</f>
        <v/>
      </c>
      <c r="K84" s="101"/>
      <c r="L84" s="276" t="str">
        <f>IFERROR(INDEX('G-8 Condition Look up'!$A$3:$H$135,MATCH(AV84,'G-8 Condition Look up'!$A$3:$A$135,0),MATCH(K84,'G-8 Condition Look up'!$A$3:$H$3,0)),"")</f>
        <v/>
      </c>
      <c r="M84" s="105"/>
      <c r="N84" s="295" t="str">
        <f>IF(M84="","",IF(VLOOKUP(M84,'G-3 Multipliers'!$L$3:$N$6,2,FALSE)=0,"Spatial Data Missing ⚠",VLOOKUP(M84,'G-3 Multipliers'!$L$3:$N$6,2,FALSE)))</f>
        <v/>
      </c>
      <c r="O84" s="353" t="str">
        <f>IF(M84="","",IF(VLOOKUP(M84,'G-3 Multipliers'!$L$3:$N$6,3,FALSE)=0,"Spatial Data Missing ⚠",VLOOKUP(M84,'G-3 Multipliers'!$L$3:$N$6,3,FALSE)))</f>
        <v/>
      </c>
      <c r="P84" s="336" t="str">
        <f>(IF(G84="Yes","Bespoke compensation likely to be required",(IFERROR(VLOOKUP(AV84,'G-1 All Habitats'!$B$2:$M$135,12,FALSE),""))))</f>
        <v/>
      </c>
      <c r="Q84" s="511" t="str">
        <f>IFERROR(IF(P84="","",IF(AND(E84="Individual trees",W84&gt;0,G84="Yes"),"Error - you cannot enhance irreplaceable individual trees ▲",IF(P84='G-1 All Habitats'!$X$9,T84*S84,IF(AND(P84='G-1 All Habitats'!$X$9,W84&gt;0),X84+(Y84*S84),IF(AND(P84='G-1 All Habitats'!$X$9,V84&gt;0),X84+(Y84*S84),IF(AND(P84='G-1 All Habitats'!$X$9,AG84&gt;0),"Any Loss Unacceptable  ⚠",IF(AND(P84='G-1 All Habitats'!$X$9,Z84&gt;0),"Any Loss Unacceptable ⚠",H84*J84*L84*O84*S84))))))),"Check Data ⚠")</f>
        <v/>
      </c>
      <c r="R84" s="393"/>
      <c r="S84" s="510" t="str">
        <f>IF(R84="","",IF(VLOOKUP(R84,'G-3 Multipliers'!$S$3:$T$10,2,FALSE)=0,"Spatial Data Missing ⚠",VLOOKUP(R84,'G-3 Multipliers'!$S$3:$T$10,2,FALSE)))</f>
        <v/>
      </c>
      <c r="T84" s="289" t="str">
        <f>IFERROR(IF(AND(F84&lt;&gt;"",G84=""),"Confirm irreplaceable habitat status ▲",(IF(AND(R84&lt;&gt;"",AF84=""),"Off-site reference required ▲",(IF(AND(E84="Individual trees",W84&gt;0,G84="Yes"),"Error - you cannot enhance irreplaceable individual trees ▲",(IF(AND(X84="Irreplaceable habitat - no units generated ⚠",(W84+V84)&lt;H84,OR(AB84="No",AB84="")),"Any Loss Unacceptable ⚠",(IF(X84="Irreplaceable habitat - no units generated ⚠",W84*J84*L84*O84,IF(AND(P84='G-1 All Habitats'!$X$9,AH84&gt;0,V84&lt;=0,W84&lt;=0,OR(AB84="No",AB84="")),"Any Loss Unacceptable ⚠",IF(AND(P84='G-1 All Habitats'!$X$9,AH84&gt;0,V84&lt;=0,W84&lt;=0),0,(IF(AND(P84='G-1 All Habitats'!$X$9,(W84+V84)&lt;H84,OR(AB84="No",AB84="")),"Any Loss Unacceptable ⚠",(IF(P84="","",IF(AND(P84='G-1 All Habitats'!$X$9,W84&gt;0),X84+Y84,IF(AND(P84='G-1 All Habitats'!$X$9,V84&gt;0),X84+Y84,IF(R84="","",H84*J84*L84*O84)))))))))))))))))),"Check Data ▲")</f>
        <v/>
      </c>
      <c r="U84" s="38"/>
      <c r="V84" s="52"/>
      <c r="W84" s="53"/>
      <c r="X84" s="287" t="str">
        <f t="shared" si="11"/>
        <v/>
      </c>
      <c r="Y84" s="287" t="str">
        <f t="shared" si="12"/>
        <v/>
      </c>
      <c r="Z84" s="287" t="str">
        <f t="shared" si="13"/>
        <v/>
      </c>
      <c r="AA84" s="317" t="str">
        <f>IFERROR(IF(AND(E84="Individual trees",G84="Yes",W84&gt;0),"Error - you cannot enhance an irreplaceable tree ▲",(IF(H84="","",IF(H84-V84-W84=0&lt;0,"Error in Areas ▲",IF(V84+W84&gt;H84,"Error in Areas ▲",IF(AND(P84='G-1 All Habitats'!$X$9,AB84="Yes"),"Alternative Compensation ✓",IF(AND(P84='G-1 All Habitats'!$X$3,AB84="Yes"),"Alternative Compensation ✓",IF(AND(AB84="Pending",P84='G-1 All Habitats'!$X$3),"Bespoke compensation must be agreed ▲",IF(AND(AB84="Pending",P84='G-1 All Habitats'!$X$9),"Bespoke compensation must be agreed  ▲",IF(Z84=0,0,IF(P84='G-1 All Habitats'!$X$9,"Any Loss Unacceptable ▲",T84-X84-Y84))))))))))),"Check Data ⚠")</f>
        <v/>
      </c>
      <c r="AB84" s="587"/>
      <c r="AC84" s="105"/>
      <c r="AD84" s="138"/>
      <c r="AE84" s="104"/>
      <c r="AF84" s="611"/>
      <c r="AG84" s="523" t="str">
        <f>IF(OR(P84="",AB84="Yes"),"",IF(P84='G-1 All Habitats'!$X$9,H84-V84-W84,"None"))</f>
        <v/>
      </c>
      <c r="AH84" s="523" t="str">
        <f>IF(P84="","",IF(P84='G-1 All Habitats'!$X$9,AG84*J84*L84*O84,"None"))</f>
        <v/>
      </c>
      <c r="AJ84" s="107" t="str">
        <f t="shared" si="14"/>
        <v/>
      </c>
      <c r="AK84" s="107" t="str">
        <f t="shared" si="9"/>
        <v/>
      </c>
      <c r="AL84" s="107" t="str">
        <f>IF(I84="","",IF(#REF!&gt;0,TRUE,FALSE))</f>
        <v/>
      </c>
      <c r="AM84" s="107">
        <v>74</v>
      </c>
      <c r="AN84" s="107"/>
      <c r="AO84" s="107" t="str">
        <f t="array" ref="AO84">IFERROR(INDEX($AM$11:$AM$259,MATCH(0,IF(TRUE=$AJ$11:$AJ$259,COUNTIF($AO$10:$AO83,$AM$11:$AM$259),""),0)),"")</f>
        <v/>
      </c>
      <c r="AP84" s="107" t="str">
        <f t="array" ref="AP84">IFERROR(INDEX($AM$11:$AM$259,MATCH(0,IF(TRUE=$AK$11:$AK$259,COUNTIF($AP$10:$AP83,$AM$11:$AM$259),""),0)),"")</f>
        <v/>
      </c>
      <c r="AQ84" s="107" t="str">
        <f t="array" ref="AQ84">IFERROR(INDEX($AM$11:$AM$259,MATCH(0,IF(TRUE=$AL$11:$AL$259,COUNTIF($AQ$10:$AQ83,$AM$11:$AM$259),""),0)),"")</f>
        <v/>
      </c>
      <c r="AS84" s="885" t="str">
        <f>IF(AND(OR(AB84="Yes",AB84="Pending"),P84='G-1 All Habitats'!$X$3),T84-X84-Y84,"0")</f>
        <v>0</v>
      </c>
      <c r="AT84" s="30" t="str">
        <f t="shared" si="10"/>
        <v/>
      </c>
      <c r="AU84" s="30">
        <f t="shared" si="15"/>
        <v>0</v>
      </c>
      <c r="AV84" s="230" t="str">
        <f>IFERROR(INDEX('G-1 All Habitats'!$B$3:$B$135,MATCH(F84,'G-1 All Habitats'!$A$3:$A$135,0)),"")</f>
        <v/>
      </c>
      <c r="AW84" s="30" t="str">
        <f>IF(AV84="","",VLOOKUP(AV84,'G-1 All Habitats'!$B$1:$T$135,19,FALSE))</f>
        <v/>
      </c>
      <c r="AY84" s="287" t="str">
        <f t="shared" si="16"/>
        <v/>
      </c>
    </row>
    <row r="85" spans="1:51" ht="14">
      <c r="A85" s="30" t="str">
        <f>IFERROR(INDEX('G-1 All Habitats'!$AG$3:$AG$17,MATCH(E85,'G-1 All Habitats'!$AF$3:$AF$17,0)),"")</f>
        <v/>
      </c>
      <c r="B85" s="30" t="str">
        <f>IFERROR(INDEX('G-8 Condition Look up'!$I$4:$I$135,MATCH(AV85,'G-8 Condition Look up'!$A$4:$A$135,0)),"")</f>
        <v/>
      </c>
      <c r="D85" s="97">
        <v>75</v>
      </c>
      <c r="E85" s="262"/>
      <c r="F85" s="263"/>
      <c r="G85" s="133"/>
      <c r="H85" s="115"/>
      <c r="I85" s="509" t="str">
        <f>IF(AV85="","",IF(AND(AW85="Yes",G85="No"),"Irreplaceable habitat ▲",IF(AND(AW85="No",G85="Yes"),"Cannot be Irreplaceable ▲",VLOOKUP(AV85,'G-1 All Habitats'!$B$2:$M$135,10,FALSE))))</f>
        <v/>
      </c>
      <c r="J85" s="377" t="str">
        <f>IFERROR(VLOOKUP(I85,'G-1 All Habitats'!$V$3:$W$7,2,FALSE),"")</f>
        <v/>
      </c>
      <c r="K85" s="101"/>
      <c r="L85" s="276" t="str">
        <f>IFERROR(INDEX('G-8 Condition Look up'!$A$3:$H$135,MATCH(AV85,'G-8 Condition Look up'!$A$3:$A$135,0),MATCH(K85,'G-8 Condition Look up'!$A$3:$H$3,0)),"")</f>
        <v/>
      </c>
      <c r="M85" s="105"/>
      <c r="N85" s="295" t="str">
        <f>IF(M85="","",IF(VLOOKUP(M85,'G-3 Multipliers'!$L$3:$N$6,2,FALSE)=0,"Spatial Data Missing ⚠",VLOOKUP(M85,'G-3 Multipliers'!$L$3:$N$6,2,FALSE)))</f>
        <v/>
      </c>
      <c r="O85" s="353" t="str">
        <f>IF(M85="","",IF(VLOOKUP(M85,'G-3 Multipliers'!$L$3:$N$6,3,FALSE)=0,"Spatial Data Missing ⚠",VLOOKUP(M85,'G-3 Multipliers'!$L$3:$N$6,3,FALSE)))</f>
        <v/>
      </c>
      <c r="P85" s="336" t="str">
        <f>(IF(G85="Yes","Bespoke compensation likely to be required",(IFERROR(VLOOKUP(AV85,'G-1 All Habitats'!$B$2:$M$135,12,FALSE),""))))</f>
        <v/>
      </c>
      <c r="Q85" s="511" t="str">
        <f>IFERROR(IF(P85="","",IF(AND(E85="Individual trees",W85&gt;0,G85="Yes"),"Error - you cannot enhance irreplaceable individual trees ▲",IF(P85='G-1 All Habitats'!$X$9,T85*S85,IF(AND(P85='G-1 All Habitats'!$X$9,W85&gt;0),X85+(Y85*S85),IF(AND(P85='G-1 All Habitats'!$X$9,V85&gt;0),X85+(Y85*S85),IF(AND(P85='G-1 All Habitats'!$X$9,AG85&gt;0),"Any Loss Unacceptable  ⚠",IF(AND(P85='G-1 All Habitats'!$X$9,Z85&gt;0),"Any Loss Unacceptable ⚠",H85*J85*L85*O85*S85))))))),"Check Data ⚠")</f>
        <v/>
      </c>
      <c r="R85" s="393"/>
      <c r="S85" s="510" t="str">
        <f>IF(R85="","",IF(VLOOKUP(R85,'G-3 Multipliers'!$S$3:$T$10,2,FALSE)=0,"Spatial Data Missing ⚠",VLOOKUP(R85,'G-3 Multipliers'!$S$3:$T$10,2,FALSE)))</f>
        <v/>
      </c>
      <c r="T85" s="289" t="str">
        <f>IFERROR(IF(AND(F85&lt;&gt;"",G85=""),"Confirm irreplaceable habitat status ▲",(IF(AND(R85&lt;&gt;"",AF85=""),"Off-site reference required ▲",(IF(AND(E85="Individual trees",W85&gt;0,G85="Yes"),"Error - you cannot enhance irreplaceable individual trees ▲",(IF(AND(X85="Irreplaceable habitat - no units generated ⚠",(W85+V85)&lt;H85,OR(AB85="No",AB85="")),"Any Loss Unacceptable ⚠",(IF(X85="Irreplaceable habitat - no units generated ⚠",W85*J85*L85*O85,IF(AND(P85='G-1 All Habitats'!$X$9,AH85&gt;0,V85&lt;=0,W85&lt;=0,OR(AB85="No",AB85="")),"Any Loss Unacceptable ⚠",IF(AND(P85='G-1 All Habitats'!$X$9,AH85&gt;0,V85&lt;=0,W85&lt;=0),0,(IF(AND(P85='G-1 All Habitats'!$X$9,(W85+V85)&lt;H85,OR(AB85="No",AB85="")),"Any Loss Unacceptable ⚠",(IF(P85="","",IF(AND(P85='G-1 All Habitats'!$X$9,W85&gt;0),X85+Y85,IF(AND(P85='G-1 All Habitats'!$X$9,V85&gt;0),X85+Y85,IF(R85="","",H85*J85*L85*O85)))))))))))))))))),"Check Data ▲")</f>
        <v/>
      </c>
      <c r="U85" s="38"/>
      <c r="V85" s="52"/>
      <c r="W85" s="53"/>
      <c r="X85" s="287" t="str">
        <f t="shared" si="11"/>
        <v/>
      </c>
      <c r="Y85" s="287" t="str">
        <f t="shared" si="12"/>
        <v/>
      </c>
      <c r="Z85" s="287" t="str">
        <f t="shared" si="13"/>
        <v/>
      </c>
      <c r="AA85" s="317" t="str">
        <f>IFERROR(IF(AND(E85="Individual trees",G85="Yes",W85&gt;0),"Error - you cannot enhance an irreplaceable tree ▲",(IF(H85="","",IF(H85-V85-W85=0&lt;0,"Error in Areas ▲",IF(V85+W85&gt;H85,"Error in Areas ▲",IF(AND(P85='G-1 All Habitats'!$X$9,AB85="Yes"),"Alternative Compensation ✓",IF(AND(P85='G-1 All Habitats'!$X$3,AB85="Yes"),"Alternative Compensation ✓",IF(AND(AB85="Pending",P85='G-1 All Habitats'!$X$3),"Bespoke compensation must be agreed ▲",IF(AND(AB85="Pending",P85='G-1 All Habitats'!$X$9),"Bespoke compensation must be agreed  ▲",IF(Z85=0,0,IF(P85='G-1 All Habitats'!$X$9,"Any Loss Unacceptable ▲",T85-X85-Y85))))))))))),"Check Data ⚠")</f>
        <v/>
      </c>
      <c r="AB85" s="587"/>
      <c r="AC85" s="105"/>
      <c r="AD85" s="138"/>
      <c r="AE85" s="104"/>
      <c r="AF85" s="611"/>
      <c r="AG85" s="523" t="str">
        <f>IF(OR(P85="",AB85="Yes"),"",IF(P85='G-1 All Habitats'!$X$9,H85-V85-W85,"None"))</f>
        <v/>
      </c>
      <c r="AH85" s="523" t="str">
        <f>IF(P85="","",IF(P85='G-1 All Habitats'!$X$9,AG85*J85*L85*O85,"None"))</f>
        <v/>
      </c>
      <c r="AJ85" s="107" t="str">
        <f t="shared" si="14"/>
        <v/>
      </c>
      <c r="AK85" s="107" t="str">
        <f t="shared" si="9"/>
        <v/>
      </c>
      <c r="AL85" s="107" t="str">
        <f>IF(I85="","",IF(#REF!&gt;0,TRUE,FALSE))</f>
        <v/>
      </c>
      <c r="AM85" s="107">
        <v>75</v>
      </c>
      <c r="AN85" s="107"/>
      <c r="AO85" s="107" t="str">
        <f t="array" ref="AO85">IFERROR(INDEX($AM$11:$AM$259,MATCH(0,IF(TRUE=$AJ$11:$AJ$259,COUNTIF($AO$10:$AO84,$AM$11:$AM$259),""),0)),"")</f>
        <v/>
      </c>
      <c r="AP85" s="107" t="str">
        <f t="array" ref="AP85">IFERROR(INDEX($AM$11:$AM$259,MATCH(0,IF(TRUE=$AK$11:$AK$259,COUNTIF($AP$10:$AP84,$AM$11:$AM$259),""),0)),"")</f>
        <v/>
      </c>
      <c r="AQ85" s="107" t="str">
        <f t="array" ref="AQ85">IFERROR(INDEX($AM$11:$AM$259,MATCH(0,IF(TRUE=$AL$11:$AL$259,COUNTIF($AQ$10:$AQ84,$AM$11:$AM$259),""),0)),"")</f>
        <v/>
      </c>
      <c r="AS85" s="885" t="str">
        <f>IF(AND(OR(AB85="Yes",AB85="Pending"),P85='G-1 All Habitats'!$X$3),T85-X85-Y85,"0")</f>
        <v>0</v>
      </c>
      <c r="AT85" s="30" t="str">
        <f t="shared" si="10"/>
        <v/>
      </c>
      <c r="AU85" s="30">
        <f t="shared" si="15"/>
        <v>0</v>
      </c>
      <c r="AV85" s="230" t="str">
        <f>IFERROR(INDEX('G-1 All Habitats'!$B$3:$B$135,MATCH(F85,'G-1 All Habitats'!$A$3:$A$135,0)),"")</f>
        <v/>
      </c>
      <c r="AW85" s="30" t="str">
        <f>IF(AV85="","",VLOOKUP(AV85,'G-1 All Habitats'!$B$1:$T$135,19,FALSE))</f>
        <v/>
      </c>
      <c r="AY85" s="287" t="str">
        <f t="shared" si="16"/>
        <v/>
      </c>
    </row>
    <row r="86" spans="1:51" ht="14">
      <c r="A86" s="30" t="str">
        <f>IFERROR(INDEX('G-1 All Habitats'!$AG$3:$AG$17,MATCH(E86,'G-1 All Habitats'!$AF$3:$AF$17,0)),"")</f>
        <v/>
      </c>
      <c r="B86" s="30" t="str">
        <f>IFERROR(INDEX('G-8 Condition Look up'!$I$4:$I$135,MATCH(AV86,'G-8 Condition Look up'!$A$4:$A$135,0)),"")</f>
        <v/>
      </c>
      <c r="D86" s="97">
        <v>76</v>
      </c>
      <c r="E86" s="262"/>
      <c r="F86" s="263"/>
      <c r="G86" s="133"/>
      <c r="H86" s="115"/>
      <c r="I86" s="509" t="str">
        <f>IF(AV86="","",IF(AND(AW86="Yes",G86="No"),"Irreplaceable habitat ▲",IF(AND(AW86="No",G86="Yes"),"Cannot be Irreplaceable ▲",VLOOKUP(AV86,'G-1 All Habitats'!$B$2:$M$135,10,FALSE))))</f>
        <v/>
      </c>
      <c r="J86" s="377" t="str">
        <f>IFERROR(VLOOKUP(I86,'G-1 All Habitats'!$V$3:$W$7,2,FALSE),"")</f>
        <v/>
      </c>
      <c r="K86" s="101"/>
      <c r="L86" s="276" t="str">
        <f>IFERROR(INDEX('G-8 Condition Look up'!$A$3:$H$135,MATCH(AV86,'G-8 Condition Look up'!$A$3:$A$135,0),MATCH(K86,'G-8 Condition Look up'!$A$3:$H$3,0)),"")</f>
        <v/>
      </c>
      <c r="M86" s="105"/>
      <c r="N86" s="295" t="str">
        <f>IF(M86="","",IF(VLOOKUP(M86,'G-3 Multipliers'!$L$3:$N$6,2,FALSE)=0,"Spatial Data Missing ⚠",VLOOKUP(M86,'G-3 Multipliers'!$L$3:$N$6,2,FALSE)))</f>
        <v/>
      </c>
      <c r="O86" s="353" t="str">
        <f>IF(M86="","",IF(VLOOKUP(M86,'G-3 Multipliers'!$L$3:$N$6,3,FALSE)=0,"Spatial Data Missing ⚠",VLOOKUP(M86,'G-3 Multipliers'!$L$3:$N$6,3,FALSE)))</f>
        <v/>
      </c>
      <c r="P86" s="336" t="str">
        <f>(IF(G86="Yes","Bespoke compensation likely to be required",(IFERROR(VLOOKUP(AV86,'G-1 All Habitats'!$B$2:$M$135,12,FALSE),""))))</f>
        <v/>
      </c>
      <c r="Q86" s="511" t="str">
        <f>IFERROR(IF(P86="","",IF(AND(E86="Individual trees",W86&gt;0,G86="Yes"),"Error - you cannot enhance irreplaceable individual trees ▲",IF(P86='G-1 All Habitats'!$X$9,T86*S86,IF(AND(P86='G-1 All Habitats'!$X$9,W86&gt;0),X86+(Y86*S86),IF(AND(P86='G-1 All Habitats'!$X$9,V86&gt;0),X86+(Y86*S86),IF(AND(P86='G-1 All Habitats'!$X$9,AG86&gt;0),"Any Loss Unacceptable  ⚠",IF(AND(P86='G-1 All Habitats'!$X$9,Z86&gt;0),"Any Loss Unacceptable ⚠",H86*J86*L86*O86*S86))))))),"Check Data ⚠")</f>
        <v/>
      </c>
      <c r="R86" s="393"/>
      <c r="S86" s="510" t="str">
        <f>IF(R86="","",IF(VLOOKUP(R86,'G-3 Multipliers'!$S$3:$T$10,2,FALSE)=0,"Spatial Data Missing ⚠",VLOOKUP(R86,'G-3 Multipliers'!$S$3:$T$10,2,FALSE)))</f>
        <v/>
      </c>
      <c r="T86" s="289" t="str">
        <f>IFERROR(IF(AND(F86&lt;&gt;"",G86=""),"Confirm irreplaceable habitat status ▲",(IF(AND(R86&lt;&gt;"",AF86=""),"Off-site reference required ▲",(IF(AND(E86="Individual trees",W86&gt;0,G86="Yes"),"Error - you cannot enhance irreplaceable individual trees ▲",(IF(AND(X86="Irreplaceable habitat - no units generated ⚠",(W86+V86)&lt;H86,OR(AB86="No",AB86="")),"Any Loss Unacceptable ⚠",(IF(X86="Irreplaceable habitat - no units generated ⚠",W86*J86*L86*O86,IF(AND(P86='G-1 All Habitats'!$X$9,AH86&gt;0,V86&lt;=0,W86&lt;=0,OR(AB86="No",AB86="")),"Any Loss Unacceptable ⚠",IF(AND(P86='G-1 All Habitats'!$X$9,AH86&gt;0,V86&lt;=0,W86&lt;=0),0,(IF(AND(P86='G-1 All Habitats'!$X$9,(W86+V86)&lt;H86,OR(AB86="No",AB86="")),"Any Loss Unacceptable ⚠",(IF(P86="","",IF(AND(P86='G-1 All Habitats'!$X$9,W86&gt;0),X86+Y86,IF(AND(P86='G-1 All Habitats'!$X$9,V86&gt;0),X86+Y86,IF(R86="","",H86*J86*L86*O86)))))))))))))))))),"Check Data ▲")</f>
        <v/>
      </c>
      <c r="U86" s="38"/>
      <c r="V86" s="52"/>
      <c r="W86" s="53"/>
      <c r="X86" s="287" t="str">
        <f t="shared" si="11"/>
        <v/>
      </c>
      <c r="Y86" s="287" t="str">
        <f t="shared" si="12"/>
        <v/>
      </c>
      <c r="Z86" s="287" t="str">
        <f t="shared" si="13"/>
        <v/>
      </c>
      <c r="AA86" s="317" t="str">
        <f>IFERROR(IF(AND(E86="Individual trees",G86="Yes",W86&gt;0),"Error - you cannot enhance an irreplaceable tree ▲",(IF(H86="","",IF(H86-V86-W86=0&lt;0,"Error in Areas ▲",IF(V86+W86&gt;H86,"Error in Areas ▲",IF(AND(P86='G-1 All Habitats'!$X$9,AB86="Yes"),"Alternative Compensation ✓",IF(AND(P86='G-1 All Habitats'!$X$3,AB86="Yes"),"Alternative Compensation ✓",IF(AND(AB86="Pending",P86='G-1 All Habitats'!$X$3),"Bespoke compensation must be agreed ▲",IF(AND(AB86="Pending",P86='G-1 All Habitats'!$X$9),"Bespoke compensation must be agreed  ▲",IF(Z86=0,0,IF(P86='G-1 All Habitats'!$X$9,"Any Loss Unacceptable ▲",T86-X86-Y86))))))))))),"Check Data ⚠")</f>
        <v/>
      </c>
      <c r="AB86" s="587"/>
      <c r="AC86" s="105"/>
      <c r="AD86" s="138"/>
      <c r="AE86" s="104"/>
      <c r="AF86" s="611"/>
      <c r="AG86" s="523" t="str">
        <f>IF(OR(P86="",AB86="Yes"),"",IF(P86='G-1 All Habitats'!$X$9,H86-V86-W86,"None"))</f>
        <v/>
      </c>
      <c r="AH86" s="523" t="str">
        <f>IF(P86="","",IF(P86='G-1 All Habitats'!$X$9,AG86*J86*L86*O86,"None"))</f>
        <v/>
      </c>
      <c r="AJ86" s="107" t="str">
        <f t="shared" si="14"/>
        <v/>
      </c>
      <c r="AK86" s="107" t="str">
        <f t="shared" si="9"/>
        <v/>
      </c>
      <c r="AL86" s="107" t="str">
        <f>IF(I86="","",IF(#REF!&gt;0,TRUE,FALSE))</f>
        <v/>
      </c>
      <c r="AM86" s="107">
        <v>76</v>
      </c>
      <c r="AN86" s="107"/>
      <c r="AO86" s="107" t="str">
        <f t="array" ref="AO86">IFERROR(INDEX($AM$11:$AM$259,MATCH(0,IF(TRUE=$AJ$11:$AJ$259,COUNTIF($AO$10:$AO85,$AM$11:$AM$259),""),0)),"")</f>
        <v/>
      </c>
      <c r="AP86" s="107" t="str">
        <f t="array" ref="AP86">IFERROR(INDEX($AM$11:$AM$259,MATCH(0,IF(TRUE=$AK$11:$AK$259,COUNTIF($AP$10:$AP85,$AM$11:$AM$259),""),0)),"")</f>
        <v/>
      </c>
      <c r="AQ86" s="107" t="str">
        <f t="array" ref="AQ86">IFERROR(INDEX($AM$11:$AM$259,MATCH(0,IF(TRUE=$AL$11:$AL$259,COUNTIF($AQ$10:$AQ85,$AM$11:$AM$259),""),0)),"")</f>
        <v/>
      </c>
      <c r="AS86" s="885" t="str">
        <f>IF(AND(OR(AB86="Yes",AB86="Pending"),P86='G-1 All Habitats'!$X$3),T86-X86-Y86,"0")</f>
        <v>0</v>
      </c>
      <c r="AT86" s="30" t="str">
        <f t="shared" si="10"/>
        <v/>
      </c>
      <c r="AU86" s="30">
        <f t="shared" si="15"/>
        <v>0</v>
      </c>
      <c r="AV86" s="230" t="str">
        <f>IFERROR(INDEX('G-1 All Habitats'!$B$3:$B$135,MATCH(F86,'G-1 All Habitats'!$A$3:$A$135,0)),"")</f>
        <v/>
      </c>
      <c r="AW86" s="30" t="str">
        <f>IF(AV86="","",VLOOKUP(AV86,'G-1 All Habitats'!$B$1:$T$135,19,FALSE))</f>
        <v/>
      </c>
      <c r="AY86" s="287" t="str">
        <f t="shared" si="16"/>
        <v/>
      </c>
    </row>
    <row r="87" spans="1:51" ht="14">
      <c r="A87" s="30" t="str">
        <f>IFERROR(INDEX('G-1 All Habitats'!$AG$3:$AG$17,MATCH(E87,'G-1 All Habitats'!$AF$3:$AF$17,0)),"")</f>
        <v/>
      </c>
      <c r="B87" s="30" t="str">
        <f>IFERROR(INDEX('G-8 Condition Look up'!$I$4:$I$135,MATCH(AV87,'G-8 Condition Look up'!$A$4:$A$135,0)),"")</f>
        <v/>
      </c>
      <c r="D87" s="97">
        <v>77</v>
      </c>
      <c r="E87" s="262"/>
      <c r="F87" s="263"/>
      <c r="G87" s="133"/>
      <c r="H87" s="115"/>
      <c r="I87" s="509" t="str">
        <f>IF(AV87="","",IF(AND(AW87="Yes",G87="No"),"Irreplaceable habitat ▲",IF(AND(AW87="No",G87="Yes"),"Cannot be Irreplaceable ▲",VLOOKUP(AV87,'G-1 All Habitats'!$B$2:$M$135,10,FALSE))))</f>
        <v/>
      </c>
      <c r="J87" s="377" t="str">
        <f>IFERROR(VLOOKUP(I87,'G-1 All Habitats'!$V$3:$W$7,2,FALSE),"")</f>
        <v/>
      </c>
      <c r="K87" s="101"/>
      <c r="L87" s="276" t="str">
        <f>IFERROR(INDEX('G-8 Condition Look up'!$A$3:$H$135,MATCH(AV87,'G-8 Condition Look up'!$A$3:$A$135,0),MATCH(K87,'G-8 Condition Look up'!$A$3:$H$3,0)),"")</f>
        <v/>
      </c>
      <c r="M87" s="105"/>
      <c r="N87" s="295" t="str">
        <f>IF(M87="","",IF(VLOOKUP(M87,'G-3 Multipliers'!$L$3:$N$6,2,FALSE)=0,"Spatial Data Missing ⚠",VLOOKUP(M87,'G-3 Multipliers'!$L$3:$N$6,2,FALSE)))</f>
        <v/>
      </c>
      <c r="O87" s="353" t="str">
        <f>IF(M87="","",IF(VLOOKUP(M87,'G-3 Multipliers'!$L$3:$N$6,3,FALSE)=0,"Spatial Data Missing ⚠",VLOOKUP(M87,'G-3 Multipliers'!$L$3:$N$6,3,FALSE)))</f>
        <v/>
      </c>
      <c r="P87" s="336" t="str">
        <f>(IF(G87="Yes","Bespoke compensation likely to be required",(IFERROR(VLOOKUP(AV87,'G-1 All Habitats'!$B$2:$M$135,12,FALSE),""))))</f>
        <v/>
      </c>
      <c r="Q87" s="511" t="str">
        <f>IFERROR(IF(P87="","",IF(AND(E87="Individual trees",W87&gt;0,G87="Yes"),"Error - you cannot enhance irreplaceable individual trees ▲",IF(P87='G-1 All Habitats'!$X$9,T87*S87,IF(AND(P87='G-1 All Habitats'!$X$9,W87&gt;0),X87+(Y87*S87),IF(AND(P87='G-1 All Habitats'!$X$9,V87&gt;0),X87+(Y87*S87),IF(AND(P87='G-1 All Habitats'!$X$9,AG87&gt;0),"Any Loss Unacceptable  ⚠",IF(AND(P87='G-1 All Habitats'!$X$9,Z87&gt;0),"Any Loss Unacceptable ⚠",H87*J87*L87*O87*S87))))))),"Check Data ⚠")</f>
        <v/>
      </c>
      <c r="R87" s="393"/>
      <c r="S87" s="510" t="str">
        <f>IF(R87="","",IF(VLOOKUP(R87,'G-3 Multipliers'!$S$3:$T$10,2,FALSE)=0,"Spatial Data Missing ⚠",VLOOKUP(R87,'G-3 Multipliers'!$S$3:$T$10,2,FALSE)))</f>
        <v/>
      </c>
      <c r="T87" s="289" t="str">
        <f>IFERROR(IF(AND(F87&lt;&gt;"",G87=""),"Confirm irreplaceable habitat status ▲",(IF(AND(R87&lt;&gt;"",AF87=""),"Off-site reference required ▲",(IF(AND(E87="Individual trees",W87&gt;0,G87="Yes"),"Error - you cannot enhance irreplaceable individual trees ▲",(IF(AND(X87="Irreplaceable habitat - no units generated ⚠",(W87+V87)&lt;H87,OR(AB87="No",AB87="")),"Any Loss Unacceptable ⚠",(IF(X87="Irreplaceable habitat - no units generated ⚠",W87*J87*L87*O87,IF(AND(P87='G-1 All Habitats'!$X$9,AH87&gt;0,V87&lt;=0,W87&lt;=0,OR(AB87="No",AB87="")),"Any Loss Unacceptable ⚠",IF(AND(P87='G-1 All Habitats'!$X$9,AH87&gt;0,V87&lt;=0,W87&lt;=0),0,(IF(AND(P87='G-1 All Habitats'!$X$9,(W87+V87)&lt;H87,OR(AB87="No",AB87="")),"Any Loss Unacceptable ⚠",(IF(P87="","",IF(AND(P87='G-1 All Habitats'!$X$9,W87&gt;0),X87+Y87,IF(AND(P87='G-1 All Habitats'!$X$9,V87&gt;0),X87+Y87,IF(R87="","",H87*J87*L87*O87)))))))))))))))))),"Check Data ▲")</f>
        <v/>
      </c>
      <c r="U87" s="38"/>
      <c r="V87" s="52"/>
      <c r="W87" s="53"/>
      <c r="X87" s="287" t="str">
        <f t="shared" si="11"/>
        <v/>
      </c>
      <c r="Y87" s="287" t="str">
        <f t="shared" si="12"/>
        <v/>
      </c>
      <c r="Z87" s="287" t="str">
        <f t="shared" si="13"/>
        <v/>
      </c>
      <c r="AA87" s="317" t="str">
        <f>IFERROR(IF(AND(E87="Individual trees",G87="Yes",W87&gt;0),"Error - you cannot enhance an irreplaceable tree ▲",(IF(H87="","",IF(H87-V87-W87=0&lt;0,"Error in Areas ▲",IF(V87+W87&gt;H87,"Error in Areas ▲",IF(AND(P87='G-1 All Habitats'!$X$9,AB87="Yes"),"Alternative Compensation ✓",IF(AND(P87='G-1 All Habitats'!$X$3,AB87="Yes"),"Alternative Compensation ✓",IF(AND(AB87="Pending",P87='G-1 All Habitats'!$X$3),"Bespoke compensation must be agreed ▲",IF(AND(AB87="Pending",P87='G-1 All Habitats'!$X$9),"Bespoke compensation must be agreed  ▲",IF(Z87=0,0,IF(P87='G-1 All Habitats'!$X$9,"Any Loss Unacceptable ▲",T87-X87-Y87))))))))))),"Check Data ⚠")</f>
        <v/>
      </c>
      <c r="AB87" s="587"/>
      <c r="AC87" s="105"/>
      <c r="AD87" s="138"/>
      <c r="AE87" s="104"/>
      <c r="AF87" s="611"/>
      <c r="AG87" s="523" t="str">
        <f>IF(OR(P87="",AB87="Yes"),"",IF(P87='G-1 All Habitats'!$X$9,H87-V87-W87,"None"))</f>
        <v/>
      </c>
      <c r="AH87" s="523" t="str">
        <f>IF(P87="","",IF(P87='G-1 All Habitats'!$X$9,AG87*J87*L87*O87,"None"))</f>
        <v/>
      </c>
      <c r="AJ87" s="107" t="str">
        <f t="shared" si="14"/>
        <v/>
      </c>
      <c r="AK87" s="107" t="str">
        <f t="shared" si="9"/>
        <v/>
      </c>
      <c r="AL87" s="107" t="str">
        <f>IF(I87="","",IF(#REF!&gt;0,TRUE,FALSE))</f>
        <v/>
      </c>
      <c r="AM87" s="107">
        <v>77</v>
      </c>
      <c r="AN87" s="107"/>
      <c r="AO87" s="107" t="str">
        <f t="array" ref="AO87">IFERROR(INDEX($AM$11:$AM$259,MATCH(0,IF(TRUE=$AJ$11:$AJ$259,COUNTIF($AO$10:$AO86,$AM$11:$AM$259),""),0)),"")</f>
        <v/>
      </c>
      <c r="AP87" s="107" t="str">
        <f t="array" ref="AP87">IFERROR(INDEX($AM$11:$AM$259,MATCH(0,IF(TRUE=$AK$11:$AK$259,COUNTIF($AP$10:$AP86,$AM$11:$AM$259),""),0)),"")</f>
        <v/>
      </c>
      <c r="AQ87" s="107" t="str">
        <f t="array" ref="AQ87">IFERROR(INDEX($AM$11:$AM$259,MATCH(0,IF(TRUE=$AL$11:$AL$259,COUNTIF($AQ$10:$AQ86,$AM$11:$AM$259),""),0)),"")</f>
        <v/>
      </c>
      <c r="AS87" s="885" t="str">
        <f>IF(AND(OR(AB87="Yes",AB87="Pending"),P87='G-1 All Habitats'!$X$3),T87-X87-Y87,"0")</f>
        <v>0</v>
      </c>
      <c r="AT87" s="30" t="str">
        <f t="shared" si="10"/>
        <v/>
      </c>
      <c r="AU87" s="30">
        <f t="shared" si="15"/>
        <v>0</v>
      </c>
      <c r="AV87" s="230" t="str">
        <f>IFERROR(INDEX('G-1 All Habitats'!$B$3:$B$135,MATCH(F87,'G-1 All Habitats'!$A$3:$A$135,0)),"")</f>
        <v/>
      </c>
      <c r="AW87" s="30" t="str">
        <f>IF(AV87="","",VLOOKUP(AV87,'G-1 All Habitats'!$B$1:$T$135,19,FALSE))</f>
        <v/>
      </c>
      <c r="AY87" s="287" t="str">
        <f t="shared" si="16"/>
        <v/>
      </c>
    </row>
    <row r="88" spans="1:51" ht="14">
      <c r="A88" s="30" t="str">
        <f>IFERROR(INDEX('G-1 All Habitats'!$AG$3:$AG$17,MATCH(E88,'G-1 All Habitats'!$AF$3:$AF$17,0)),"")</f>
        <v/>
      </c>
      <c r="B88" s="30" t="str">
        <f>IFERROR(INDEX('G-8 Condition Look up'!$I$4:$I$135,MATCH(AV88,'G-8 Condition Look up'!$A$4:$A$135,0)),"")</f>
        <v/>
      </c>
      <c r="D88" s="97">
        <v>78</v>
      </c>
      <c r="E88" s="262"/>
      <c r="F88" s="263"/>
      <c r="G88" s="133"/>
      <c r="H88" s="115"/>
      <c r="I88" s="509" t="str">
        <f>IF(AV88="","",IF(AND(AW88="Yes",G88="No"),"Irreplaceable habitat ▲",IF(AND(AW88="No",G88="Yes"),"Cannot be Irreplaceable ▲",VLOOKUP(AV88,'G-1 All Habitats'!$B$2:$M$135,10,FALSE))))</f>
        <v/>
      </c>
      <c r="J88" s="377" t="str">
        <f>IFERROR(VLOOKUP(I88,'G-1 All Habitats'!$V$3:$W$7,2,FALSE),"")</f>
        <v/>
      </c>
      <c r="K88" s="101"/>
      <c r="L88" s="276" t="str">
        <f>IFERROR(INDEX('G-8 Condition Look up'!$A$3:$H$135,MATCH(AV88,'G-8 Condition Look up'!$A$3:$A$135,0),MATCH(K88,'G-8 Condition Look up'!$A$3:$H$3,0)),"")</f>
        <v/>
      </c>
      <c r="M88" s="105"/>
      <c r="N88" s="295" t="str">
        <f>IF(M88="","",IF(VLOOKUP(M88,'G-3 Multipliers'!$L$3:$N$6,2,FALSE)=0,"Spatial Data Missing ⚠",VLOOKUP(M88,'G-3 Multipliers'!$L$3:$N$6,2,FALSE)))</f>
        <v/>
      </c>
      <c r="O88" s="353" t="str">
        <f>IF(M88="","",IF(VLOOKUP(M88,'G-3 Multipliers'!$L$3:$N$6,3,FALSE)=0,"Spatial Data Missing ⚠",VLOOKUP(M88,'G-3 Multipliers'!$L$3:$N$6,3,FALSE)))</f>
        <v/>
      </c>
      <c r="P88" s="336" t="str">
        <f>(IF(G88="Yes","Bespoke compensation likely to be required",(IFERROR(VLOOKUP(AV88,'G-1 All Habitats'!$B$2:$M$135,12,FALSE),""))))</f>
        <v/>
      </c>
      <c r="Q88" s="511" t="str">
        <f>IFERROR(IF(P88="","",IF(AND(E88="Individual trees",W88&gt;0,G88="Yes"),"Error - you cannot enhance irreplaceable individual trees ▲",IF(P88='G-1 All Habitats'!$X$9,T88*S88,IF(AND(P88='G-1 All Habitats'!$X$9,W88&gt;0),X88+(Y88*S88),IF(AND(P88='G-1 All Habitats'!$X$9,V88&gt;0),X88+(Y88*S88),IF(AND(P88='G-1 All Habitats'!$X$9,AG88&gt;0),"Any Loss Unacceptable  ⚠",IF(AND(P88='G-1 All Habitats'!$X$9,Z88&gt;0),"Any Loss Unacceptable ⚠",H88*J88*L88*O88*S88))))))),"Check Data ⚠")</f>
        <v/>
      </c>
      <c r="R88" s="393"/>
      <c r="S88" s="510" t="str">
        <f>IF(R88="","",IF(VLOOKUP(R88,'G-3 Multipliers'!$S$3:$T$10,2,FALSE)=0,"Spatial Data Missing ⚠",VLOOKUP(R88,'G-3 Multipliers'!$S$3:$T$10,2,FALSE)))</f>
        <v/>
      </c>
      <c r="T88" s="289" t="str">
        <f>IFERROR(IF(AND(F88&lt;&gt;"",G88=""),"Confirm irreplaceable habitat status ▲",(IF(AND(R88&lt;&gt;"",AF88=""),"Off-site reference required ▲",(IF(AND(E88="Individual trees",W88&gt;0,G88="Yes"),"Error - you cannot enhance irreplaceable individual trees ▲",(IF(AND(X88="Irreplaceable habitat - no units generated ⚠",(W88+V88)&lt;H88,OR(AB88="No",AB88="")),"Any Loss Unacceptable ⚠",(IF(X88="Irreplaceable habitat - no units generated ⚠",W88*J88*L88*O88,IF(AND(P88='G-1 All Habitats'!$X$9,AH88&gt;0,V88&lt;=0,W88&lt;=0,OR(AB88="No",AB88="")),"Any Loss Unacceptable ⚠",IF(AND(P88='G-1 All Habitats'!$X$9,AH88&gt;0,V88&lt;=0,W88&lt;=0),0,(IF(AND(P88='G-1 All Habitats'!$X$9,(W88+V88)&lt;H88,OR(AB88="No",AB88="")),"Any Loss Unacceptable ⚠",(IF(P88="","",IF(AND(P88='G-1 All Habitats'!$X$9,W88&gt;0),X88+Y88,IF(AND(P88='G-1 All Habitats'!$X$9,V88&gt;0),X88+Y88,IF(R88="","",H88*J88*L88*O88)))))))))))))))))),"Check Data ▲")</f>
        <v/>
      </c>
      <c r="U88" s="38"/>
      <c r="V88" s="52"/>
      <c r="W88" s="53"/>
      <c r="X88" s="287" t="str">
        <f t="shared" si="11"/>
        <v/>
      </c>
      <c r="Y88" s="287" t="str">
        <f t="shared" si="12"/>
        <v/>
      </c>
      <c r="Z88" s="287" t="str">
        <f t="shared" si="13"/>
        <v/>
      </c>
      <c r="AA88" s="317" t="str">
        <f>IFERROR(IF(AND(E88="Individual trees",G88="Yes",W88&gt;0),"Error - you cannot enhance an irreplaceable tree ▲",(IF(H88="","",IF(H88-V88-W88=0&lt;0,"Error in Areas ▲",IF(V88+W88&gt;H88,"Error in Areas ▲",IF(AND(P88='G-1 All Habitats'!$X$9,AB88="Yes"),"Alternative Compensation ✓",IF(AND(P88='G-1 All Habitats'!$X$3,AB88="Yes"),"Alternative Compensation ✓",IF(AND(AB88="Pending",P88='G-1 All Habitats'!$X$3),"Bespoke compensation must be agreed ▲",IF(AND(AB88="Pending",P88='G-1 All Habitats'!$X$9),"Bespoke compensation must be agreed  ▲",IF(Z88=0,0,IF(P88='G-1 All Habitats'!$X$9,"Any Loss Unacceptable ▲",T88-X88-Y88))))))))))),"Check Data ⚠")</f>
        <v/>
      </c>
      <c r="AB88" s="587"/>
      <c r="AC88" s="105"/>
      <c r="AD88" s="138"/>
      <c r="AE88" s="104"/>
      <c r="AF88" s="611"/>
      <c r="AG88" s="523" t="str">
        <f>IF(OR(P88="",AB88="Yes"),"",IF(P88='G-1 All Habitats'!$X$9,H88-V88-W88,"None"))</f>
        <v/>
      </c>
      <c r="AH88" s="523" t="str">
        <f>IF(P88="","",IF(P88='G-1 All Habitats'!$X$9,AG88*J88*L88*O88,"None"))</f>
        <v/>
      </c>
      <c r="AJ88" s="107" t="str">
        <f t="shared" si="14"/>
        <v/>
      </c>
      <c r="AK88" s="107" t="str">
        <f t="shared" si="9"/>
        <v/>
      </c>
      <c r="AL88" s="107" t="str">
        <f>IF(I88="","",IF(#REF!&gt;0,TRUE,FALSE))</f>
        <v/>
      </c>
      <c r="AM88" s="107">
        <v>78</v>
      </c>
      <c r="AN88" s="107"/>
      <c r="AO88" s="107" t="str">
        <f t="array" ref="AO88">IFERROR(INDEX($AM$11:$AM$259,MATCH(0,IF(TRUE=$AJ$11:$AJ$259,COUNTIF($AO$10:$AO87,$AM$11:$AM$259),""),0)),"")</f>
        <v/>
      </c>
      <c r="AP88" s="107" t="str">
        <f t="array" ref="AP88">IFERROR(INDEX($AM$11:$AM$259,MATCH(0,IF(TRUE=$AK$11:$AK$259,COUNTIF($AP$10:$AP87,$AM$11:$AM$259),""),0)),"")</f>
        <v/>
      </c>
      <c r="AQ88" s="107" t="str">
        <f t="array" ref="AQ88">IFERROR(INDEX($AM$11:$AM$259,MATCH(0,IF(TRUE=$AL$11:$AL$259,COUNTIF($AQ$10:$AQ87,$AM$11:$AM$259),""),0)),"")</f>
        <v/>
      </c>
      <c r="AS88" s="885" t="str">
        <f>IF(AND(OR(AB88="Yes",AB88="Pending"),P88='G-1 All Habitats'!$X$3),T88-X88-Y88,"0")</f>
        <v>0</v>
      </c>
      <c r="AT88" s="30" t="str">
        <f t="shared" si="10"/>
        <v/>
      </c>
      <c r="AU88" s="30">
        <f t="shared" si="15"/>
        <v>0</v>
      </c>
      <c r="AV88" s="230" t="str">
        <f>IFERROR(INDEX('G-1 All Habitats'!$B$3:$B$135,MATCH(F88,'G-1 All Habitats'!$A$3:$A$135,0)),"")</f>
        <v/>
      </c>
      <c r="AW88" s="30" t="str">
        <f>IF(AV88="","",VLOOKUP(AV88,'G-1 All Habitats'!$B$1:$T$135,19,FALSE))</f>
        <v/>
      </c>
      <c r="AY88" s="287" t="str">
        <f t="shared" si="16"/>
        <v/>
      </c>
    </row>
    <row r="89" spans="1:51" ht="14">
      <c r="A89" s="30" t="str">
        <f>IFERROR(INDEX('G-1 All Habitats'!$AG$3:$AG$17,MATCH(E89,'G-1 All Habitats'!$AF$3:$AF$17,0)),"")</f>
        <v/>
      </c>
      <c r="B89" s="30" t="str">
        <f>IFERROR(INDEX('G-8 Condition Look up'!$I$4:$I$135,MATCH(AV89,'G-8 Condition Look up'!$A$4:$A$135,0)),"")</f>
        <v/>
      </c>
      <c r="D89" s="97">
        <v>79</v>
      </c>
      <c r="E89" s="262"/>
      <c r="F89" s="263"/>
      <c r="G89" s="133"/>
      <c r="H89" s="115"/>
      <c r="I89" s="509" t="str">
        <f>IF(AV89="","",IF(AND(AW89="Yes",G89="No"),"Irreplaceable habitat ▲",IF(AND(AW89="No",G89="Yes"),"Cannot be Irreplaceable ▲",VLOOKUP(AV89,'G-1 All Habitats'!$B$2:$M$135,10,FALSE))))</f>
        <v/>
      </c>
      <c r="J89" s="377" t="str">
        <f>IFERROR(VLOOKUP(I89,'G-1 All Habitats'!$V$3:$W$7,2,FALSE),"")</f>
        <v/>
      </c>
      <c r="K89" s="101"/>
      <c r="L89" s="276" t="str">
        <f>IFERROR(INDEX('G-8 Condition Look up'!$A$3:$H$135,MATCH(AV89,'G-8 Condition Look up'!$A$3:$A$135,0),MATCH(K89,'G-8 Condition Look up'!$A$3:$H$3,0)),"")</f>
        <v/>
      </c>
      <c r="M89" s="105"/>
      <c r="N89" s="295" t="str">
        <f>IF(M89="","",IF(VLOOKUP(M89,'G-3 Multipliers'!$L$3:$N$6,2,FALSE)=0,"Spatial Data Missing ⚠",VLOOKUP(M89,'G-3 Multipliers'!$L$3:$N$6,2,FALSE)))</f>
        <v/>
      </c>
      <c r="O89" s="353" t="str">
        <f>IF(M89="","",IF(VLOOKUP(M89,'G-3 Multipliers'!$L$3:$N$6,3,FALSE)=0,"Spatial Data Missing ⚠",VLOOKUP(M89,'G-3 Multipliers'!$L$3:$N$6,3,FALSE)))</f>
        <v/>
      </c>
      <c r="P89" s="336" t="str">
        <f>(IF(G89="Yes","Bespoke compensation likely to be required",(IFERROR(VLOOKUP(AV89,'G-1 All Habitats'!$B$2:$M$135,12,FALSE),""))))</f>
        <v/>
      </c>
      <c r="Q89" s="511" t="str">
        <f>IFERROR(IF(P89="","",IF(AND(E89="Individual trees",W89&gt;0,G89="Yes"),"Error - you cannot enhance irreplaceable individual trees ▲",IF(P89='G-1 All Habitats'!$X$9,T89*S89,IF(AND(P89='G-1 All Habitats'!$X$9,W89&gt;0),X89+(Y89*S89),IF(AND(P89='G-1 All Habitats'!$X$9,V89&gt;0),X89+(Y89*S89),IF(AND(P89='G-1 All Habitats'!$X$9,AG89&gt;0),"Any Loss Unacceptable  ⚠",IF(AND(P89='G-1 All Habitats'!$X$9,Z89&gt;0),"Any Loss Unacceptable ⚠",H89*J89*L89*O89*S89))))))),"Check Data ⚠")</f>
        <v/>
      </c>
      <c r="R89" s="393"/>
      <c r="S89" s="510" t="str">
        <f>IF(R89="","",IF(VLOOKUP(R89,'G-3 Multipliers'!$S$3:$T$10,2,FALSE)=0,"Spatial Data Missing ⚠",VLOOKUP(R89,'G-3 Multipliers'!$S$3:$T$10,2,FALSE)))</f>
        <v/>
      </c>
      <c r="T89" s="289" t="str">
        <f>IFERROR(IF(AND(F89&lt;&gt;"",G89=""),"Confirm irreplaceable habitat status ▲",(IF(AND(R89&lt;&gt;"",AF89=""),"Off-site reference required ▲",(IF(AND(E89="Individual trees",W89&gt;0,G89="Yes"),"Error - you cannot enhance irreplaceable individual trees ▲",(IF(AND(X89="Irreplaceable habitat - no units generated ⚠",(W89+V89)&lt;H89,OR(AB89="No",AB89="")),"Any Loss Unacceptable ⚠",(IF(X89="Irreplaceable habitat - no units generated ⚠",W89*J89*L89*O89,IF(AND(P89='G-1 All Habitats'!$X$9,AH89&gt;0,V89&lt;=0,W89&lt;=0,OR(AB89="No",AB89="")),"Any Loss Unacceptable ⚠",IF(AND(P89='G-1 All Habitats'!$X$9,AH89&gt;0,V89&lt;=0,W89&lt;=0),0,(IF(AND(P89='G-1 All Habitats'!$X$9,(W89+V89)&lt;H89,OR(AB89="No",AB89="")),"Any Loss Unacceptable ⚠",(IF(P89="","",IF(AND(P89='G-1 All Habitats'!$X$9,W89&gt;0),X89+Y89,IF(AND(P89='G-1 All Habitats'!$X$9,V89&gt;0),X89+Y89,IF(R89="","",H89*J89*L89*O89)))))))))))))))))),"Check Data ▲")</f>
        <v/>
      </c>
      <c r="U89" s="38"/>
      <c r="V89" s="52"/>
      <c r="W89" s="53"/>
      <c r="X89" s="287" t="str">
        <f t="shared" si="11"/>
        <v/>
      </c>
      <c r="Y89" s="287" t="str">
        <f t="shared" si="12"/>
        <v/>
      </c>
      <c r="Z89" s="287" t="str">
        <f t="shared" si="13"/>
        <v/>
      </c>
      <c r="AA89" s="317" t="str">
        <f>IFERROR(IF(AND(E89="Individual trees",G89="Yes",W89&gt;0),"Error - you cannot enhance an irreplaceable tree ▲",(IF(H89="","",IF(H89-V89-W89=0&lt;0,"Error in Areas ▲",IF(V89+W89&gt;H89,"Error in Areas ▲",IF(AND(P89='G-1 All Habitats'!$X$9,AB89="Yes"),"Alternative Compensation ✓",IF(AND(P89='G-1 All Habitats'!$X$3,AB89="Yes"),"Alternative Compensation ✓",IF(AND(AB89="Pending",P89='G-1 All Habitats'!$X$3),"Bespoke compensation must be agreed ▲",IF(AND(AB89="Pending",P89='G-1 All Habitats'!$X$9),"Bespoke compensation must be agreed  ▲",IF(Z89=0,0,IF(P89='G-1 All Habitats'!$X$9,"Any Loss Unacceptable ▲",T89-X89-Y89))))))))))),"Check Data ⚠")</f>
        <v/>
      </c>
      <c r="AB89" s="587"/>
      <c r="AC89" s="105"/>
      <c r="AD89" s="138"/>
      <c r="AE89" s="104"/>
      <c r="AF89" s="611"/>
      <c r="AG89" s="523" t="str">
        <f>IF(OR(P89="",AB89="Yes"),"",IF(P89='G-1 All Habitats'!$X$9,H89-V89-W89,"None"))</f>
        <v/>
      </c>
      <c r="AH89" s="523" t="str">
        <f>IF(P89="","",IF(P89='G-1 All Habitats'!$X$9,AG89*J89*L89*O89,"None"))</f>
        <v/>
      </c>
      <c r="AJ89" s="107" t="str">
        <f t="shared" si="14"/>
        <v/>
      </c>
      <c r="AK89" s="107" t="str">
        <f t="shared" si="9"/>
        <v/>
      </c>
      <c r="AL89" s="107" t="str">
        <f>IF(I89="","",IF(#REF!&gt;0,TRUE,FALSE))</f>
        <v/>
      </c>
      <c r="AM89" s="107">
        <v>79</v>
      </c>
      <c r="AN89" s="107"/>
      <c r="AO89" s="107" t="str">
        <f t="array" ref="AO89">IFERROR(INDEX($AM$11:$AM$259,MATCH(0,IF(TRUE=$AJ$11:$AJ$259,COUNTIF($AO$10:$AO88,$AM$11:$AM$259),""),0)),"")</f>
        <v/>
      </c>
      <c r="AP89" s="107" t="str">
        <f t="array" ref="AP89">IFERROR(INDEX($AM$11:$AM$259,MATCH(0,IF(TRUE=$AK$11:$AK$259,COUNTIF($AP$10:$AP88,$AM$11:$AM$259),""),0)),"")</f>
        <v/>
      </c>
      <c r="AQ89" s="107" t="str">
        <f t="array" ref="AQ89">IFERROR(INDEX($AM$11:$AM$259,MATCH(0,IF(TRUE=$AL$11:$AL$259,COUNTIF($AQ$10:$AQ88,$AM$11:$AM$259),""),0)),"")</f>
        <v/>
      </c>
      <c r="AS89" s="885" t="str">
        <f>IF(AND(OR(AB89="Yes",AB89="Pending"),P89='G-1 All Habitats'!$X$3),T89-X89-Y89,"0")</f>
        <v>0</v>
      </c>
      <c r="AT89" s="30" t="str">
        <f t="shared" si="10"/>
        <v/>
      </c>
      <c r="AU89" s="30">
        <f t="shared" si="15"/>
        <v>0</v>
      </c>
      <c r="AV89" s="230" t="str">
        <f>IFERROR(INDEX('G-1 All Habitats'!$B$3:$B$135,MATCH(F89,'G-1 All Habitats'!$A$3:$A$135,0)),"")</f>
        <v/>
      </c>
      <c r="AW89" s="30" t="str">
        <f>IF(AV89="","",VLOOKUP(AV89,'G-1 All Habitats'!$B$1:$T$135,19,FALSE))</f>
        <v/>
      </c>
      <c r="AY89" s="287" t="str">
        <f t="shared" si="16"/>
        <v/>
      </c>
    </row>
    <row r="90" spans="1:51" ht="14">
      <c r="A90" s="30" t="str">
        <f>IFERROR(INDEX('G-1 All Habitats'!$AG$3:$AG$17,MATCH(E90,'G-1 All Habitats'!$AF$3:$AF$17,0)),"")</f>
        <v/>
      </c>
      <c r="B90" s="30" t="str">
        <f>IFERROR(INDEX('G-8 Condition Look up'!$I$4:$I$135,MATCH(AV90,'G-8 Condition Look up'!$A$4:$A$135,0)),"")</f>
        <v/>
      </c>
      <c r="D90" s="97">
        <v>80</v>
      </c>
      <c r="E90" s="262"/>
      <c r="F90" s="263"/>
      <c r="G90" s="133"/>
      <c r="H90" s="115"/>
      <c r="I90" s="509" t="str">
        <f>IF(AV90="","",IF(AND(AW90="Yes",G90="No"),"Irreplaceable habitat ▲",IF(AND(AW90="No",G90="Yes"),"Cannot be Irreplaceable ▲",VLOOKUP(AV90,'G-1 All Habitats'!$B$2:$M$135,10,FALSE))))</f>
        <v/>
      </c>
      <c r="J90" s="377" t="str">
        <f>IFERROR(VLOOKUP(I90,'G-1 All Habitats'!$V$3:$W$7,2,FALSE),"")</f>
        <v/>
      </c>
      <c r="K90" s="101"/>
      <c r="L90" s="276" t="str">
        <f>IFERROR(INDEX('G-8 Condition Look up'!$A$3:$H$135,MATCH(AV90,'G-8 Condition Look up'!$A$3:$A$135,0),MATCH(K90,'G-8 Condition Look up'!$A$3:$H$3,0)),"")</f>
        <v/>
      </c>
      <c r="M90" s="105"/>
      <c r="N90" s="295" t="str">
        <f>IF(M90="","",IF(VLOOKUP(M90,'G-3 Multipliers'!$L$3:$N$6,2,FALSE)=0,"Spatial Data Missing ⚠",VLOOKUP(M90,'G-3 Multipliers'!$L$3:$N$6,2,FALSE)))</f>
        <v/>
      </c>
      <c r="O90" s="353" t="str">
        <f>IF(M90="","",IF(VLOOKUP(M90,'G-3 Multipliers'!$L$3:$N$6,3,FALSE)=0,"Spatial Data Missing ⚠",VLOOKUP(M90,'G-3 Multipliers'!$L$3:$N$6,3,FALSE)))</f>
        <v/>
      </c>
      <c r="P90" s="336" t="str">
        <f>(IF(G90="Yes","Bespoke compensation likely to be required",(IFERROR(VLOOKUP(AV90,'G-1 All Habitats'!$B$2:$M$135,12,FALSE),""))))</f>
        <v/>
      </c>
      <c r="Q90" s="511" t="str">
        <f>IFERROR(IF(P90="","",IF(AND(E90="Individual trees",W90&gt;0,G90="Yes"),"Error - you cannot enhance irreplaceable individual trees ▲",IF(P90='G-1 All Habitats'!$X$9,T90*S90,IF(AND(P90='G-1 All Habitats'!$X$9,W90&gt;0),X90+(Y90*S90),IF(AND(P90='G-1 All Habitats'!$X$9,V90&gt;0),X90+(Y90*S90),IF(AND(P90='G-1 All Habitats'!$X$9,AG90&gt;0),"Any Loss Unacceptable  ⚠",IF(AND(P90='G-1 All Habitats'!$X$9,Z90&gt;0),"Any Loss Unacceptable ⚠",H90*J90*L90*O90*S90))))))),"Check Data ⚠")</f>
        <v/>
      </c>
      <c r="R90" s="393"/>
      <c r="S90" s="510" t="str">
        <f>IF(R90="","",IF(VLOOKUP(R90,'G-3 Multipliers'!$S$3:$T$10,2,FALSE)=0,"Spatial Data Missing ⚠",VLOOKUP(R90,'G-3 Multipliers'!$S$3:$T$10,2,FALSE)))</f>
        <v/>
      </c>
      <c r="T90" s="289" t="str">
        <f>IFERROR(IF(AND(F90&lt;&gt;"",G90=""),"Confirm irreplaceable habitat status ▲",(IF(AND(R90&lt;&gt;"",AF90=""),"Off-site reference required ▲",(IF(AND(E90="Individual trees",W90&gt;0,G90="Yes"),"Error - you cannot enhance irreplaceable individual trees ▲",(IF(AND(X90="Irreplaceable habitat - no units generated ⚠",(W90+V90)&lt;H90,OR(AB90="No",AB90="")),"Any Loss Unacceptable ⚠",(IF(X90="Irreplaceable habitat - no units generated ⚠",W90*J90*L90*O90,IF(AND(P90='G-1 All Habitats'!$X$9,AH90&gt;0,V90&lt;=0,W90&lt;=0,OR(AB90="No",AB90="")),"Any Loss Unacceptable ⚠",IF(AND(P90='G-1 All Habitats'!$X$9,AH90&gt;0,V90&lt;=0,W90&lt;=0),0,(IF(AND(P90='G-1 All Habitats'!$X$9,(W90+V90)&lt;H90,OR(AB90="No",AB90="")),"Any Loss Unacceptable ⚠",(IF(P90="","",IF(AND(P90='G-1 All Habitats'!$X$9,W90&gt;0),X90+Y90,IF(AND(P90='G-1 All Habitats'!$X$9,V90&gt;0),X90+Y90,IF(R90="","",H90*J90*L90*O90)))))))))))))))))),"Check Data ▲")</f>
        <v/>
      </c>
      <c r="U90" s="38"/>
      <c r="V90" s="52"/>
      <c r="W90" s="53"/>
      <c r="X90" s="287" t="str">
        <f t="shared" si="11"/>
        <v/>
      </c>
      <c r="Y90" s="287" t="str">
        <f t="shared" si="12"/>
        <v/>
      </c>
      <c r="Z90" s="287" t="str">
        <f t="shared" si="13"/>
        <v/>
      </c>
      <c r="AA90" s="317" t="str">
        <f>IFERROR(IF(AND(E90="Individual trees",G90="Yes",W90&gt;0),"Error - you cannot enhance an irreplaceable tree ▲",(IF(H90="","",IF(H90-V90-W90=0&lt;0,"Error in Areas ▲",IF(V90+W90&gt;H90,"Error in Areas ▲",IF(AND(P90='G-1 All Habitats'!$X$9,AB90="Yes"),"Alternative Compensation ✓",IF(AND(P90='G-1 All Habitats'!$X$3,AB90="Yes"),"Alternative Compensation ✓",IF(AND(AB90="Pending",P90='G-1 All Habitats'!$X$3),"Bespoke compensation must be agreed ▲",IF(AND(AB90="Pending",P90='G-1 All Habitats'!$X$9),"Bespoke compensation must be agreed  ▲",IF(Z90=0,0,IF(P90='G-1 All Habitats'!$X$9,"Any Loss Unacceptable ▲",T90-X90-Y90))))))))))),"Check Data ⚠")</f>
        <v/>
      </c>
      <c r="AB90" s="587"/>
      <c r="AC90" s="105"/>
      <c r="AD90" s="138"/>
      <c r="AE90" s="104"/>
      <c r="AF90" s="611"/>
      <c r="AG90" s="523" t="str">
        <f>IF(OR(P90="",AB90="Yes"),"",IF(P90='G-1 All Habitats'!$X$9,H90-V90-W90,"None"))</f>
        <v/>
      </c>
      <c r="AH90" s="523" t="str">
        <f>IF(P90="","",IF(P90='G-1 All Habitats'!$X$9,AG90*J90*L90*O90,"None"))</f>
        <v/>
      </c>
      <c r="AJ90" s="107" t="str">
        <f t="shared" si="14"/>
        <v/>
      </c>
      <c r="AK90" s="107" t="str">
        <f t="shared" si="9"/>
        <v/>
      </c>
      <c r="AL90" s="107" t="str">
        <f>IF(I90="","",IF(#REF!&gt;0,TRUE,FALSE))</f>
        <v/>
      </c>
      <c r="AM90" s="107">
        <v>80</v>
      </c>
      <c r="AN90" s="107"/>
      <c r="AO90" s="107" t="str">
        <f t="array" ref="AO90">IFERROR(INDEX($AM$11:$AM$259,MATCH(0,IF(TRUE=$AJ$11:$AJ$259,COUNTIF($AO$10:$AO89,$AM$11:$AM$259),""),0)),"")</f>
        <v/>
      </c>
      <c r="AP90" s="107" t="str">
        <f t="array" ref="AP90">IFERROR(INDEX($AM$11:$AM$259,MATCH(0,IF(TRUE=$AK$11:$AK$259,COUNTIF($AP$10:$AP89,$AM$11:$AM$259),""),0)),"")</f>
        <v/>
      </c>
      <c r="AQ90" s="107" t="str">
        <f t="array" ref="AQ90">IFERROR(INDEX($AM$11:$AM$259,MATCH(0,IF(TRUE=$AL$11:$AL$259,COUNTIF($AQ$10:$AQ89,$AM$11:$AM$259),""),0)),"")</f>
        <v/>
      </c>
      <c r="AS90" s="885" t="str">
        <f>IF(AND(OR(AB90="Yes",AB90="Pending"),P90='G-1 All Habitats'!$X$3),T90-X90-Y90,"0")</f>
        <v>0</v>
      </c>
      <c r="AT90" s="30" t="str">
        <f t="shared" si="10"/>
        <v/>
      </c>
      <c r="AU90" s="30">
        <f t="shared" si="15"/>
        <v>0</v>
      </c>
      <c r="AV90" s="230" t="str">
        <f>IFERROR(INDEX('G-1 All Habitats'!$B$3:$B$135,MATCH(F90,'G-1 All Habitats'!$A$3:$A$135,0)),"")</f>
        <v/>
      </c>
      <c r="AW90" s="30" t="str">
        <f>IF(AV90="","",VLOOKUP(AV90,'G-1 All Habitats'!$B$1:$T$135,19,FALSE))</f>
        <v/>
      </c>
      <c r="AY90" s="287" t="str">
        <f t="shared" si="16"/>
        <v/>
      </c>
    </row>
    <row r="91" spans="1:51" ht="14">
      <c r="A91" s="30" t="str">
        <f>IFERROR(INDEX('G-1 All Habitats'!$AG$3:$AG$17,MATCH(E91,'G-1 All Habitats'!$AF$3:$AF$17,0)),"")</f>
        <v/>
      </c>
      <c r="B91" s="30" t="str">
        <f>IFERROR(INDEX('G-8 Condition Look up'!$I$4:$I$135,MATCH(AV91,'G-8 Condition Look up'!$A$4:$A$135,0)),"")</f>
        <v/>
      </c>
      <c r="D91" s="97">
        <v>81</v>
      </c>
      <c r="E91" s="262"/>
      <c r="F91" s="263"/>
      <c r="G91" s="133"/>
      <c r="H91" s="115"/>
      <c r="I91" s="509" t="str">
        <f>IF(AV91="","",IF(AND(AW91="Yes",G91="No"),"Irreplaceable habitat ▲",IF(AND(AW91="No",G91="Yes"),"Cannot be Irreplaceable ▲",VLOOKUP(AV91,'G-1 All Habitats'!$B$2:$M$135,10,FALSE))))</f>
        <v/>
      </c>
      <c r="J91" s="377" t="str">
        <f>IFERROR(VLOOKUP(I91,'G-1 All Habitats'!$V$3:$W$7,2,FALSE),"")</f>
        <v/>
      </c>
      <c r="K91" s="101"/>
      <c r="L91" s="276" t="str">
        <f>IFERROR(INDEX('G-8 Condition Look up'!$A$3:$H$135,MATCH(AV91,'G-8 Condition Look up'!$A$3:$A$135,0),MATCH(K91,'G-8 Condition Look up'!$A$3:$H$3,0)),"")</f>
        <v/>
      </c>
      <c r="M91" s="105"/>
      <c r="N91" s="295" t="str">
        <f>IF(M91="","",IF(VLOOKUP(M91,'G-3 Multipliers'!$L$3:$N$6,2,FALSE)=0,"Spatial Data Missing ⚠",VLOOKUP(M91,'G-3 Multipliers'!$L$3:$N$6,2,FALSE)))</f>
        <v/>
      </c>
      <c r="O91" s="353" t="str">
        <f>IF(M91="","",IF(VLOOKUP(M91,'G-3 Multipliers'!$L$3:$N$6,3,FALSE)=0,"Spatial Data Missing ⚠",VLOOKUP(M91,'G-3 Multipliers'!$L$3:$N$6,3,FALSE)))</f>
        <v/>
      </c>
      <c r="P91" s="336" t="str">
        <f>(IF(G91="Yes","Bespoke compensation likely to be required",(IFERROR(VLOOKUP(AV91,'G-1 All Habitats'!$B$2:$M$135,12,FALSE),""))))</f>
        <v/>
      </c>
      <c r="Q91" s="511" t="str">
        <f>IFERROR(IF(P91="","",IF(AND(E91="Individual trees",W91&gt;0,G91="Yes"),"Error - you cannot enhance irreplaceable individual trees ▲",IF(P91='G-1 All Habitats'!$X$9,T91*S91,IF(AND(P91='G-1 All Habitats'!$X$9,W91&gt;0),X91+(Y91*S91),IF(AND(P91='G-1 All Habitats'!$X$9,V91&gt;0),X91+(Y91*S91),IF(AND(P91='G-1 All Habitats'!$X$9,AG91&gt;0),"Any Loss Unacceptable  ⚠",IF(AND(P91='G-1 All Habitats'!$X$9,Z91&gt;0),"Any Loss Unacceptable ⚠",H91*J91*L91*O91*S91))))))),"Check Data ⚠")</f>
        <v/>
      </c>
      <c r="R91" s="393"/>
      <c r="S91" s="510" t="str">
        <f>IF(R91="","",IF(VLOOKUP(R91,'G-3 Multipliers'!$S$3:$T$10,2,FALSE)=0,"Spatial Data Missing ⚠",VLOOKUP(R91,'G-3 Multipliers'!$S$3:$T$10,2,FALSE)))</f>
        <v/>
      </c>
      <c r="T91" s="289" t="str">
        <f>IFERROR(IF(AND(F91&lt;&gt;"",G91=""),"Confirm irreplaceable habitat status ▲",(IF(AND(R91&lt;&gt;"",AF91=""),"Off-site reference required ▲",(IF(AND(E91="Individual trees",W91&gt;0,G91="Yes"),"Error - you cannot enhance irreplaceable individual trees ▲",(IF(AND(X91="Irreplaceable habitat - no units generated ⚠",(W91+V91)&lt;H91,OR(AB91="No",AB91="")),"Any Loss Unacceptable ⚠",(IF(X91="Irreplaceable habitat - no units generated ⚠",W91*J91*L91*O91,IF(AND(P91='G-1 All Habitats'!$X$9,AH91&gt;0,V91&lt;=0,W91&lt;=0,OR(AB91="No",AB91="")),"Any Loss Unacceptable ⚠",IF(AND(P91='G-1 All Habitats'!$X$9,AH91&gt;0,V91&lt;=0,W91&lt;=0),0,(IF(AND(P91='G-1 All Habitats'!$X$9,(W91+V91)&lt;H91,OR(AB91="No",AB91="")),"Any Loss Unacceptable ⚠",(IF(P91="","",IF(AND(P91='G-1 All Habitats'!$X$9,W91&gt;0),X91+Y91,IF(AND(P91='G-1 All Habitats'!$X$9,V91&gt;0),X91+Y91,IF(R91="","",H91*J91*L91*O91)))))))))))))))))),"Check Data ▲")</f>
        <v/>
      </c>
      <c r="U91" s="38"/>
      <c r="V91" s="52"/>
      <c r="W91" s="53"/>
      <c r="X91" s="287" t="str">
        <f t="shared" si="11"/>
        <v/>
      </c>
      <c r="Y91" s="287" t="str">
        <f t="shared" si="12"/>
        <v/>
      </c>
      <c r="Z91" s="287" t="str">
        <f t="shared" si="13"/>
        <v/>
      </c>
      <c r="AA91" s="317" t="str">
        <f>IFERROR(IF(AND(E91="Individual trees",G91="Yes",W91&gt;0),"Error - you cannot enhance an irreplaceable tree ▲",(IF(H91="","",IF(H91-V91-W91=0&lt;0,"Error in Areas ▲",IF(V91+W91&gt;H91,"Error in Areas ▲",IF(AND(P91='G-1 All Habitats'!$X$9,AB91="Yes"),"Alternative Compensation ✓",IF(AND(P91='G-1 All Habitats'!$X$3,AB91="Yes"),"Alternative Compensation ✓",IF(AND(AB91="Pending",P91='G-1 All Habitats'!$X$3),"Bespoke compensation must be agreed ▲",IF(AND(AB91="Pending",P91='G-1 All Habitats'!$X$9),"Bespoke compensation must be agreed  ▲",IF(Z91=0,0,IF(P91='G-1 All Habitats'!$X$9,"Any Loss Unacceptable ▲",T91-X91-Y91))))))))))),"Check Data ⚠")</f>
        <v/>
      </c>
      <c r="AB91" s="587"/>
      <c r="AC91" s="105"/>
      <c r="AD91" s="138"/>
      <c r="AE91" s="104"/>
      <c r="AF91" s="611"/>
      <c r="AG91" s="523" t="str">
        <f>IF(OR(P91="",AB91="Yes"),"",IF(P91='G-1 All Habitats'!$X$9,H91-V91-W91,"None"))</f>
        <v/>
      </c>
      <c r="AH91" s="523" t="str">
        <f>IF(P91="","",IF(P91='G-1 All Habitats'!$X$9,AG91*J91*L91*O91,"None"))</f>
        <v/>
      </c>
      <c r="AJ91" s="107" t="str">
        <f t="shared" si="14"/>
        <v/>
      </c>
      <c r="AK91" s="107" t="str">
        <f t="shared" si="9"/>
        <v/>
      </c>
      <c r="AL91" s="107" t="str">
        <f>IF(I91="","",IF(#REF!&gt;0,TRUE,FALSE))</f>
        <v/>
      </c>
      <c r="AM91" s="107">
        <v>81</v>
      </c>
      <c r="AN91" s="107"/>
      <c r="AO91" s="107" t="str">
        <f t="array" ref="AO91">IFERROR(INDEX($AM$11:$AM$259,MATCH(0,IF(TRUE=$AJ$11:$AJ$259,COUNTIF($AO$10:$AO90,$AM$11:$AM$259),""),0)),"")</f>
        <v/>
      </c>
      <c r="AP91" s="107" t="str">
        <f t="array" ref="AP91">IFERROR(INDEX($AM$11:$AM$259,MATCH(0,IF(TRUE=$AK$11:$AK$259,COUNTIF($AP$10:$AP90,$AM$11:$AM$259),""),0)),"")</f>
        <v/>
      </c>
      <c r="AQ91" s="107" t="str">
        <f t="array" ref="AQ91">IFERROR(INDEX($AM$11:$AM$259,MATCH(0,IF(TRUE=$AL$11:$AL$259,COUNTIF($AQ$10:$AQ90,$AM$11:$AM$259),""),0)),"")</f>
        <v/>
      </c>
      <c r="AS91" s="885" t="str">
        <f>IF(AND(OR(AB91="Yes",AB91="Pending"),P91='G-1 All Habitats'!$X$3),T91-X91-Y91,"0")</f>
        <v>0</v>
      </c>
      <c r="AT91" s="30" t="str">
        <f t="shared" si="10"/>
        <v/>
      </c>
      <c r="AU91" s="30">
        <f t="shared" si="15"/>
        <v>0</v>
      </c>
      <c r="AV91" s="230" t="str">
        <f>IFERROR(INDEX('G-1 All Habitats'!$B$3:$B$135,MATCH(F91,'G-1 All Habitats'!$A$3:$A$135,0)),"")</f>
        <v/>
      </c>
      <c r="AW91" s="30" t="str">
        <f>IF(AV91="","",VLOOKUP(AV91,'G-1 All Habitats'!$B$1:$T$135,19,FALSE))</f>
        <v/>
      </c>
      <c r="AY91" s="287" t="str">
        <f t="shared" si="16"/>
        <v/>
      </c>
    </row>
    <row r="92" spans="1:51" ht="14">
      <c r="A92" s="30" t="str">
        <f>IFERROR(INDEX('G-1 All Habitats'!$AG$3:$AG$17,MATCH(E92,'G-1 All Habitats'!$AF$3:$AF$17,0)),"")</f>
        <v/>
      </c>
      <c r="B92" s="30" t="str">
        <f>IFERROR(INDEX('G-8 Condition Look up'!$I$4:$I$135,MATCH(AV92,'G-8 Condition Look up'!$A$4:$A$135,0)),"")</f>
        <v/>
      </c>
      <c r="D92" s="97">
        <v>82</v>
      </c>
      <c r="E92" s="262"/>
      <c r="F92" s="263"/>
      <c r="G92" s="133"/>
      <c r="H92" s="115"/>
      <c r="I92" s="509" t="str">
        <f>IF(AV92="","",IF(AND(AW92="Yes",G92="No"),"Irreplaceable habitat ▲",IF(AND(AW92="No",G92="Yes"),"Cannot be Irreplaceable ▲",VLOOKUP(AV92,'G-1 All Habitats'!$B$2:$M$135,10,FALSE))))</f>
        <v/>
      </c>
      <c r="J92" s="377" t="str">
        <f>IFERROR(VLOOKUP(I92,'G-1 All Habitats'!$V$3:$W$7,2,FALSE),"")</f>
        <v/>
      </c>
      <c r="K92" s="101"/>
      <c r="L92" s="276" t="str">
        <f>IFERROR(INDEX('G-8 Condition Look up'!$A$3:$H$135,MATCH(AV92,'G-8 Condition Look up'!$A$3:$A$135,0),MATCH(K92,'G-8 Condition Look up'!$A$3:$H$3,0)),"")</f>
        <v/>
      </c>
      <c r="M92" s="105"/>
      <c r="N92" s="295" t="str">
        <f>IF(M92="","",IF(VLOOKUP(M92,'G-3 Multipliers'!$L$3:$N$6,2,FALSE)=0,"Spatial Data Missing ⚠",VLOOKUP(M92,'G-3 Multipliers'!$L$3:$N$6,2,FALSE)))</f>
        <v/>
      </c>
      <c r="O92" s="353" t="str">
        <f>IF(M92="","",IF(VLOOKUP(M92,'G-3 Multipliers'!$L$3:$N$6,3,FALSE)=0,"Spatial Data Missing ⚠",VLOOKUP(M92,'G-3 Multipliers'!$L$3:$N$6,3,FALSE)))</f>
        <v/>
      </c>
      <c r="P92" s="336" t="str">
        <f>(IF(G92="Yes","Bespoke compensation likely to be required",(IFERROR(VLOOKUP(AV92,'G-1 All Habitats'!$B$2:$M$135,12,FALSE),""))))</f>
        <v/>
      </c>
      <c r="Q92" s="511" t="str">
        <f>IFERROR(IF(P92="","",IF(AND(E92="Individual trees",W92&gt;0,G92="Yes"),"Error - you cannot enhance irreplaceable individual trees ▲",IF(P92='G-1 All Habitats'!$X$9,T92*S92,IF(AND(P92='G-1 All Habitats'!$X$9,W92&gt;0),X92+(Y92*S92),IF(AND(P92='G-1 All Habitats'!$X$9,V92&gt;0),X92+(Y92*S92),IF(AND(P92='G-1 All Habitats'!$X$9,AG92&gt;0),"Any Loss Unacceptable  ⚠",IF(AND(P92='G-1 All Habitats'!$X$9,Z92&gt;0),"Any Loss Unacceptable ⚠",H92*J92*L92*O92*S92))))))),"Check Data ⚠")</f>
        <v/>
      </c>
      <c r="R92" s="393"/>
      <c r="S92" s="510" t="str">
        <f>IF(R92="","",IF(VLOOKUP(R92,'G-3 Multipliers'!$S$3:$T$10,2,FALSE)=0,"Spatial Data Missing ⚠",VLOOKUP(R92,'G-3 Multipliers'!$S$3:$T$10,2,FALSE)))</f>
        <v/>
      </c>
      <c r="T92" s="289" t="str">
        <f>IFERROR(IF(AND(F92&lt;&gt;"",G92=""),"Confirm irreplaceable habitat status ▲",(IF(AND(R92&lt;&gt;"",AF92=""),"Off-site reference required ▲",(IF(AND(E92="Individual trees",W92&gt;0,G92="Yes"),"Error - you cannot enhance irreplaceable individual trees ▲",(IF(AND(X92="Irreplaceable habitat - no units generated ⚠",(W92+V92)&lt;H92,OR(AB92="No",AB92="")),"Any Loss Unacceptable ⚠",(IF(X92="Irreplaceable habitat - no units generated ⚠",W92*J92*L92*O92,IF(AND(P92='G-1 All Habitats'!$X$9,AH92&gt;0,V92&lt;=0,W92&lt;=0,OR(AB92="No",AB92="")),"Any Loss Unacceptable ⚠",IF(AND(P92='G-1 All Habitats'!$X$9,AH92&gt;0,V92&lt;=0,W92&lt;=0),0,(IF(AND(P92='G-1 All Habitats'!$X$9,(W92+V92)&lt;H92,OR(AB92="No",AB92="")),"Any Loss Unacceptable ⚠",(IF(P92="","",IF(AND(P92='G-1 All Habitats'!$X$9,W92&gt;0),X92+Y92,IF(AND(P92='G-1 All Habitats'!$X$9,V92&gt;0),X92+Y92,IF(R92="","",H92*J92*L92*O92)))))))))))))))))),"Check Data ▲")</f>
        <v/>
      </c>
      <c r="U92" s="38"/>
      <c r="V92" s="52"/>
      <c r="W92" s="53"/>
      <c r="X92" s="287" t="str">
        <f t="shared" si="11"/>
        <v/>
      </c>
      <c r="Y92" s="287" t="str">
        <f t="shared" si="12"/>
        <v/>
      </c>
      <c r="Z92" s="287" t="str">
        <f t="shared" si="13"/>
        <v/>
      </c>
      <c r="AA92" s="317" t="str">
        <f>IFERROR(IF(AND(E92="Individual trees",G92="Yes",W92&gt;0),"Error - you cannot enhance an irreplaceable tree ▲",(IF(H92="","",IF(H92-V92-W92=0&lt;0,"Error in Areas ▲",IF(V92+W92&gt;H92,"Error in Areas ▲",IF(AND(P92='G-1 All Habitats'!$X$9,AB92="Yes"),"Alternative Compensation ✓",IF(AND(P92='G-1 All Habitats'!$X$3,AB92="Yes"),"Alternative Compensation ✓",IF(AND(AB92="Pending",P92='G-1 All Habitats'!$X$3),"Bespoke compensation must be agreed ▲",IF(AND(AB92="Pending",P92='G-1 All Habitats'!$X$9),"Bespoke compensation must be agreed  ▲",IF(Z92=0,0,IF(P92='G-1 All Habitats'!$X$9,"Any Loss Unacceptable ▲",T92-X92-Y92))))))))))),"Check Data ⚠")</f>
        <v/>
      </c>
      <c r="AB92" s="587"/>
      <c r="AC92" s="105"/>
      <c r="AD92" s="138"/>
      <c r="AE92" s="104"/>
      <c r="AF92" s="611"/>
      <c r="AG92" s="523" t="str">
        <f>IF(OR(P92="",AB92="Yes"),"",IF(P92='G-1 All Habitats'!$X$9,H92-V92-W92,"None"))</f>
        <v/>
      </c>
      <c r="AH92" s="523" t="str">
        <f>IF(P92="","",IF(P92='G-1 All Habitats'!$X$9,AG92*J92*L92*O92,"None"))</f>
        <v/>
      </c>
      <c r="AJ92" s="107" t="str">
        <f t="shared" si="14"/>
        <v/>
      </c>
      <c r="AK92" s="107" t="str">
        <f t="shared" si="9"/>
        <v/>
      </c>
      <c r="AL92" s="107" t="str">
        <f>IF(I92="","",IF(#REF!&gt;0,TRUE,FALSE))</f>
        <v/>
      </c>
      <c r="AM92" s="107">
        <v>82</v>
      </c>
      <c r="AN92" s="107"/>
      <c r="AO92" s="107" t="str">
        <f t="array" ref="AO92">IFERROR(INDEX($AM$11:$AM$259,MATCH(0,IF(TRUE=$AJ$11:$AJ$259,COUNTIF($AO$10:$AO91,$AM$11:$AM$259),""),0)),"")</f>
        <v/>
      </c>
      <c r="AP92" s="107" t="str">
        <f t="array" ref="AP92">IFERROR(INDEX($AM$11:$AM$259,MATCH(0,IF(TRUE=$AK$11:$AK$259,COUNTIF($AP$10:$AP91,$AM$11:$AM$259),""),0)),"")</f>
        <v/>
      </c>
      <c r="AQ92" s="107" t="str">
        <f t="array" ref="AQ92">IFERROR(INDEX($AM$11:$AM$259,MATCH(0,IF(TRUE=$AL$11:$AL$259,COUNTIF($AQ$10:$AQ91,$AM$11:$AM$259),""),0)),"")</f>
        <v/>
      </c>
      <c r="AS92" s="885" t="str">
        <f>IF(AND(OR(AB92="Yes",AB92="Pending"),P92='G-1 All Habitats'!$X$3),T92-X92-Y92,"0")</f>
        <v>0</v>
      </c>
      <c r="AT92" s="30" t="str">
        <f t="shared" si="10"/>
        <v/>
      </c>
      <c r="AU92" s="30">
        <f t="shared" si="15"/>
        <v>0</v>
      </c>
      <c r="AV92" s="230" t="str">
        <f>IFERROR(INDEX('G-1 All Habitats'!$B$3:$B$135,MATCH(F92,'G-1 All Habitats'!$A$3:$A$135,0)),"")</f>
        <v/>
      </c>
      <c r="AW92" s="30" t="str">
        <f>IF(AV92="","",VLOOKUP(AV92,'G-1 All Habitats'!$B$1:$T$135,19,FALSE))</f>
        <v/>
      </c>
      <c r="AY92" s="287" t="str">
        <f t="shared" si="16"/>
        <v/>
      </c>
    </row>
    <row r="93" spans="1:51" ht="14">
      <c r="A93" s="30" t="str">
        <f>IFERROR(INDEX('G-1 All Habitats'!$AG$3:$AG$17,MATCH(E93,'G-1 All Habitats'!$AF$3:$AF$17,0)),"")</f>
        <v/>
      </c>
      <c r="B93" s="30" t="str">
        <f>IFERROR(INDEX('G-8 Condition Look up'!$I$4:$I$135,MATCH(AV93,'G-8 Condition Look up'!$A$4:$A$135,0)),"")</f>
        <v/>
      </c>
      <c r="D93" s="97">
        <v>83</v>
      </c>
      <c r="E93" s="262"/>
      <c r="F93" s="263"/>
      <c r="G93" s="133"/>
      <c r="H93" s="115"/>
      <c r="I93" s="509" t="str">
        <f>IF(AV93="","",IF(AND(AW93="Yes",G93="No"),"Irreplaceable habitat ▲",IF(AND(AW93="No",G93="Yes"),"Cannot be Irreplaceable ▲",VLOOKUP(AV93,'G-1 All Habitats'!$B$2:$M$135,10,FALSE))))</f>
        <v/>
      </c>
      <c r="J93" s="377" t="str">
        <f>IFERROR(VLOOKUP(I93,'G-1 All Habitats'!$V$3:$W$7,2,FALSE),"")</f>
        <v/>
      </c>
      <c r="K93" s="101"/>
      <c r="L93" s="276" t="str">
        <f>IFERROR(INDEX('G-8 Condition Look up'!$A$3:$H$135,MATCH(AV93,'G-8 Condition Look up'!$A$3:$A$135,0),MATCH(K93,'G-8 Condition Look up'!$A$3:$H$3,0)),"")</f>
        <v/>
      </c>
      <c r="M93" s="105"/>
      <c r="N93" s="295" t="str">
        <f>IF(M93="","",IF(VLOOKUP(M93,'G-3 Multipliers'!$L$3:$N$6,2,FALSE)=0,"Spatial Data Missing ⚠",VLOOKUP(M93,'G-3 Multipliers'!$L$3:$N$6,2,FALSE)))</f>
        <v/>
      </c>
      <c r="O93" s="353" t="str">
        <f>IF(M93="","",IF(VLOOKUP(M93,'G-3 Multipliers'!$L$3:$N$6,3,FALSE)=0,"Spatial Data Missing ⚠",VLOOKUP(M93,'G-3 Multipliers'!$L$3:$N$6,3,FALSE)))</f>
        <v/>
      </c>
      <c r="P93" s="336" t="str">
        <f>(IF(G93="Yes","Bespoke compensation likely to be required",(IFERROR(VLOOKUP(AV93,'G-1 All Habitats'!$B$2:$M$135,12,FALSE),""))))</f>
        <v/>
      </c>
      <c r="Q93" s="511" t="str">
        <f>IFERROR(IF(P93="","",IF(AND(E93="Individual trees",W93&gt;0,G93="Yes"),"Error - you cannot enhance irreplaceable individual trees ▲",IF(P93='G-1 All Habitats'!$X$9,T93*S93,IF(AND(P93='G-1 All Habitats'!$X$9,W93&gt;0),X93+(Y93*S93),IF(AND(P93='G-1 All Habitats'!$X$9,V93&gt;0),X93+(Y93*S93),IF(AND(P93='G-1 All Habitats'!$X$9,AG93&gt;0),"Any Loss Unacceptable  ⚠",IF(AND(P93='G-1 All Habitats'!$X$9,Z93&gt;0),"Any Loss Unacceptable ⚠",H93*J93*L93*O93*S93))))))),"Check Data ⚠")</f>
        <v/>
      </c>
      <c r="R93" s="393"/>
      <c r="S93" s="510" t="str">
        <f>IF(R93="","",IF(VLOOKUP(R93,'G-3 Multipliers'!$S$3:$T$10,2,FALSE)=0,"Spatial Data Missing ⚠",VLOOKUP(R93,'G-3 Multipliers'!$S$3:$T$10,2,FALSE)))</f>
        <v/>
      </c>
      <c r="T93" s="289" t="str">
        <f>IFERROR(IF(AND(F93&lt;&gt;"",G93=""),"Confirm irreplaceable habitat status ▲",(IF(AND(R93&lt;&gt;"",AF93=""),"Off-site reference required ▲",(IF(AND(E93="Individual trees",W93&gt;0,G93="Yes"),"Error - you cannot enhance irreplaceable individual trees ▲",(IF(AND(X93="Irreplaceable habitat - no units generated ⚠",(W93+V93)&lt;H93,OR(AB93="No",AB93="")),"Any Loss Unacceptable ⚠",(IF(X93="Irreplaceable habitat - no units generated ⚠",W93*J93*L93*O93,IF(AND(P93='G-1 All Habitats'!$X$9,AH93&gt;0,V93&lt;=0,W93&lt;=0,OR(AB93="No",AB93="")),"Any Loss Unacceptable ⚠",IF(AND(P93='G-1 All Habitats'!$X$9,AH93&gt;0,V93&lt;=0,W93&lt;=0),0,(IF(AND(P93='G-1 All Habitats'!$X$9,(W93+V93)&lt;H93,OR(AB93="No",AB93="")),"Any Loss Unacceptable ⚠",(IF(P93="","",IF(AND(P93='G-1 All Habitats'!$X$9,W93&gt;0),X93+Y93,IF(AND(P93='G-1 All Habitats'!$X$9,V93&gt;0),X93+Y93,IF(R93="","",H93*J93*L93*O93)))))))))))))))))),"Check Data ▲")</f>
        <v/>
      </c>
      <c r="U93" s="38"/>
      <c r="V93" s="52"/>
      <c r="W93" s="53"/>
      <c r="X93" s="287" t="str">
        <f t="shared" si="11"/>
        <v/>
      </c>
      <c r="Y93" s="287" t="str">
        <f t="shared" si="12"/>
        <v/>
      </c>
      <c r="Z93" s="287" t="str">
        <f t="shared" si="13"/>
        <v/>
      </c>
      <c r="AA93" s="317" t="str">
        <f>IFERROR(IF(AND(E93="Individual trees",G93="Yes",W93&gt;0),"Error - you cannot enhance an irreplaceable tree ▲",(IF(H93="","",IF(H93-V93-W93=0&lt;0,"Error in Areas ▲",IF(V93+W93&gt;H93,"Error in Areas ▲",IF(AND(P93='G-1 All Habitats'!$X$9,AB93="Yes"),"Alternative Compensation ✓",IF(AND(P93='G-1 All Habitats'!$X$3,AB93="Yes"),"Alternative Compensation ✓",IF(AND(AB93="Pending",P93='G-1 All Habitats'!$X$3),"Bespoke compensation must be agreed ▲",IF(AND(AB93="Pending",P93='G-1 All Habitats'!$X$9),"Bespoke compensation must be agreed  ▲",IF(Z93=0,0,IF(P93='G-1 All Habitats'!$X$9,"Any Loss Unacceptable ▲",T93-X93-Y93))))))))))),"Check Data ⚠")</f>
        <v/>
      </c>
      <c r="AB93" s="587"/>
      <c r="AC93" s="105"/>
      <c r="AD93" s="138"/>
      <c r="AE93" s="104"/>
      <c r="AF93" s="611"/>
      <c r="AG93" s="523" t="str">
        <f>IF(OR(P93="",AB93="Yes"),"",IF(P93='G-1 All Habitats'!$X$9,H93-V93-W93,"None"))</f>
        <v/>
      </c>
      <c r="AH93" s="523" t="str">
        <f>IF(P93="","",IF(P93='G-1 All Habitats'!$X$9,AG93*J93*L93*O93,"None"))</f>
        <v/>
      </c>
      <c r="AJ93" s="107" t="str">
        <f t="shared" si="14"/>
        <v/>
      </c>
      <c r="AK93" s="107" t="str">
        <f t="shared" si="9"/>
        <v/>
      </c>
      <c r="AL93" s="107" t="str">
        <f>IF(I93="","",IF(#REF!&gt;0,TRUE,FALSE))</f>
        <v/>
      </c>
      <c r="AM93" s="107">
        <v>83</v>
      </c>
      <c r="AN93" s="107"/>
      <c r="AO93" s="107" t="str">
        <f t="array" ref="AO93">IFERROR(INDEX($AM$11:$AM$259,MATCH(0,IF(TRUE=$AJ$11:$AJ$259,COUNTIF($AO$10:$AO92,$AM$11:$AM$259),""),0)),"")</f>
        <v/>
      </c>
      <c r="AP93" s="107" t="str">
        <f t="array" ref="AP93">IFERROR(INDEX($AM$11:$AM$259,MATCH(0,IF(TRUE=$AK$11:$AK$259,COUNTIF($AP$10:$AP92,$AM$11:$AM$259),""),0)),"")</f>
        <v/>
      </c>
      <c r="AQ93" s="107" t="str">
        <f t="array" ref="AQ93">IFERROR(INDEX($AM$11:$AM$259,MATCH(0,IF(TRUE=$AL$11:$AL$259,COUNTIF($AQ$10:$AQ92,$AM$11:$AM$259),""),0)),"")</f>
        <v/>
      </c>
      <c r="AS93" s="885" t="str">
        <f>IF(AND(OR(AB93="Yes",AB93="Pending"),P93='G-1 All Habitats'!$X$3),T93-X93-Y93,"0")</f>
        <v>0</v>
      </c>
      <c r="AT93" s="30" t="str">
        <f t="shared" si="10"/>
        <v/>
      </c>
      <c r="AU93" s="30">
        <f t="shared" si="15"/>
        <v>0</v>
      </c>
      <c r="AV93" s="230" t="str">
        <f>IFERROR(INDEX('G-1 All Habitats'!$B$3:$B$135,MATCH(F93,'G-1 All Habitats'!$A$3:$A$135,0)),"")</f>
        <v/>
      </c>
      <c r="AW93" s="30" t="str">
        <f>IF(AV93="","",VLOOKUP(AV93,'G-1 All Habitats'!$B$1:$T$135,19,FALSE))</f>
        <v/>
      </c>
      <c r="AY93" s="287" t="str">
        <f t="shared" si="16"/>
        <v/>
      </c>
    </row>
    <row r="94" spans="1:51" ht="14">
      <c r="A94" s="30" t="str">
        <f>IFERROR(INDEX('G-1 All Habitats'!$AG$3:$AG$17,MATCH(E94,'G-1 All Habitats'!$AF$3:$AF$17,0)),"")</f>
        <v/>
      </c>
      <c r="B94" s="30" t="str">
        <f>IFERROR(INDEX('G-8 Condition Look up'!$I$4:$I$135,MATCH(AV94,'G-8 Condition Look up'!$A$4:$A$135,0)),"")</f>
        <v/>
      </c>
      <c r="D94" s="97">
        <v>84</v>
      </c>
      <c r="E94" s="262"/>
      <c r="F94" s="263"/>
      <c r="G94" s="133"/>
      <c r="H94" s="115"/>
      <c r="I94" s="509" t="str">
        <f>IF(AV94="","",IF(AND(AW94="Yes",G94="No"),"Irreplaceable habitat ▲",IF(AND(AW94="No",G94="Yes"),"Cannot be Irreplaceable ▲",VLOOKUP(AV94,'G-1 All Habitats'!$B$2:$M$135,10,FALSE))))</f>
        <v/>
      </c>
      <c r="J94" s="377" t="str">
        <f>IFERROR(VLOOKUP(I94,'G-1 All Habitats'!$V$3:$W$7,2,FALSE),"")</f>
        <v/>
      </c>
      <c r="K94" s="101"/>
      <c r="L94" s="276" t="str">
        <f>IFERROR(INDEX('G-8 Condition Look up'!$A$3:$H$135,MATCH(AV94,'G-8 Condition Look up'!$A$3:$A$135,0),MATCH(K94,'G-8 Condition Look up'!$A$3:$H$3,0)),"")</f>
        <v/>
      </c>
      <c r="M94" s="105"/>
      <c r="N94" s="295" t="str">
        <f>IF(M94="","",IF(VLOOKUP(M94,'G-3 Multipliers'!$L$3:$N$6,2,FALSE)=0,"Spatial Data Missing ⚠",VLOOKUP(M94,'G-3 Multipliers'!$L$3:$N$6,2,FALSE)))</f>
        <v/>
      </c>
      <c r="O94" s="353" t="str">
        <f>IF(M94="","",IF(VLOOKUP(M94,'G-3 Multipliers'!$L$3:$N$6,3,FALSE)=0,"Spatial Data Missing ⚠",VLOOKUP(M94,'G-3 Multipliers'!$L$3:$N$6,3,FALSE)))</f>
        <v/>
      </c>
      <c r="P94" s="336" t="str">
        <f>(IF(G94="Yes","Bespoke compensation likely to be required",(IFERROR(VLOOKUP(AV94,'G-1 All Habitats'!$B$2:$M$135,12,FALSE),""))))</f>
        <v/>
      </c>
      <c r="Q94" s="511" t="str">
        <f>IFERROR(IF(P94="","",IF(AND(E94="Individual trees",W94&gt;0,G94="Yes"),"Error - you cannot enhance irreplaceable individual trees ▲",IF(P94='G-1 All Habitats'!$X$9,T94*S94,IF(AND(P94='G-1 All Habitats'!$X$9,W94&gt;0),X94+(Y94*S94),IF(AND(P94='G-1 All Habitats'!$X$9,V94&gt;0),X94+(Y94*S94),IF(AND(P94='G-1 All Habitats'!$X$9,AG94&gt;0),"Any Loss Unacceptable  ⚠",IF(AND(P94='G-1 All Habitats'!$X$9,Z94&gt;0),"Any Loss Unacceptable ⚠",H94*J94*L94*O94*S94))))))),"Check Data ⚠")</f>
        <v/>
      </c>
      <c r="R94" s="393"/>
      <c r="S94" s="510" t="str">
        <f>IF(R94="","",IF(VLOOKUP(R94,'G-3 Multipliers'!$S$3:$T$10,2,FALSE)=0,"Spatial Data Missing ⚠",VLOOKUP(R94,'G-3 Multipliers'!$S$3:$T$10,2,FALSE)))</f>
        <v/>
      </c>
      <c r="T94" s="289" t="str">
        <f>IFERROR(IF(AND(F94&lt;&gt;"",G94=""),"Confirm irreplaceable habitat status ▲",(IF(AND(R94&lt;&gt;"",AF94=""),"Off-site reference required ▲",(IF(AND(E94="Individual trees",W94&gt;0,G94="Yes"),"Error - you cannot enhance irreplaceable individual trees ▲",(IF(AND(X94="Irreplaceable habitat - no units generated ⚠",(W94+V94)&lt;H94,OR(AB94="No",AB94="")),"Any Loss Unacceptable ⚠",(IF(X94="Irreplaceable habitat - no units generated ⚠",W94*J94*L94*O94,IF(AND(P94='G-1 All Habitats'!$X$9,AH94&gt;0,V94&lt;=0,W94&lt;=0,OR(AB94="No",AB94="")),"Any Loss Unacceptable ⚠",IF(AND(P94='G-1 All Habitats'!$X$9,AH94&gt;0,V94&lt;=0,W94&lt;=0),0,(IF(AND(P94='G-1 All Habitats'!$X$9,(W94+V94)&lt;H94,OR(AB94="No",AB94="")),"Any Loss Unacceptable ⚠",(IF(P94="","",IF(AND(P94='G-1 All Habitats'!$X$9,W94&gt;0),X94+Y94,IF(AND(P94='G-1 All Habitats'!$X$9,V94&gt;0),X94+Y94,IF(R94="","",H94*J94*L94*O94)))))))))))))))))),"Check Data ▲")</f>
        <v/>
      </c>
      <c r="U94" s="38"/>
      <c r="V94" s="52"/>
      <c r="W94" s="53"/>
      <c r="X94" s="287" t="str">
        <f t="shared" si="11"/>
        <v/>
      </c>
      <c r="Y94" s="287" t="str">
        <f t="shared" si="12"/>
        <v/>
      </c>
      <c r="Z94" s="287" t="str">
        <f t="shared" si="13"/>
        <v/>
      </c>
      <c r="AA94" s="317" t="str">
        <f>IFERROR(IF(AND(E94="Individual trees",G94="Yes",W94&gt;0),"Error - you cannot enhance an irreplaceable tree ▲",(IF(H94="","",IF(H94-V94-W94=0&lt;0,"Error in Areas ▲",IF(V94+W94&gt;H94,"Error in Areas ▲",IF(AND(P94='G-1 All Habitats'!$X$9,AB94="Yes"),"Alternative Compensation ✓",IF(AND(P94='G-1 All Habitats'!$X$3,AB94="Yes"),"Alternative Compensation ✓",IF(AND(AB94="Pending",P94='G-1 All Habitats'!$X$3),"Bespoke compensation must be agreed ▲",IF(AND(AB94="Pending",P94='G-1 All Habitats'!$X$9),"Bespoke compensation must be agreed  ▲",IF(Z94=0,0,IF(P94='G-1 All Habitats'!$X$9,"Any Loss Unacceptable ▲",T94-X94-Y94))))))))))),"Check Data ⚠")</f>
        <v/>
      </c>
      <c r="AB94" s="587"/>
      <c r="AC94" s="105"/>
      <c r="AD94" s="138"/>
      <c r="AE94" s="104"/>
      <c r="AF94" s="611"/>
      <c r="AG94" s="523" t="str">
        <f>IF(OR(P94="",AB94="Yes"),"",IF(P94='G-1 All Habitats'!$X$9,H94-V94-W94,"None"))</f>
        <v/>
      </c>
      <c r="AH94" s="523" t="str">
        <f>IF(P94="","",IF(P94='G-1 All Habitats'!$X$9,AG94*J94*L94*O94,"None"))</f>
        <v/>
      </c>
      <c r="AJ94" s="107" t="str">
        <f t="shared" si="14"/>
        <v/>
      </c>
      <c r="AK94" s="107" t="str">
        <f t="shared" si="9"/>
        <v/>
      </c>
      <c r="AL94" s="107" t="str">
        <f>IF(I94="","",IF(#REF!&gt;0,TRUE,FALSE))</f>
        <v/>
      </c>
      <c r="AM94" s="107">
        <v>84</v>
      </c>
      <c r="AN94" s="107"/>
      <c r="AO94" s="107" t="str">
        <f t="array" ref="AO94">IFERROR(INDEX($AM$11:$AM$259,MATCH(0,IF(TRUE=$AJ$11:$AJ$259,COUNTIF($AO$10:$AO93,$AM$11:$AM$259),""),0)),"")</f>
        <v/>
      </c>
      <c r="AP94" s="107" t="str">
        <f t="array" ref="AP94">IFERROR(INDEX($AM$11:$AM$259,MATCH(0,IF(TRUE=$AK$11:$AK$259,COUNTIF($AP$10:$AP93,$AM$11:$AM$259),""),0)),"")</f>
        <v/>
      </c>
      <c r="AQ94" s="107" t="str">
        <f t="array" ref="AQ94">IFERROR(INDEX($AM$11:$AM$259,MATCH(0,IF(TRUE=$AL$11:$AL$259,COUNTIF($AQ$10:$AQ93,$AM$11:$AM$259),""),0)),"")</f>
        <v/>
      </c>
      <c r="AS94" s="885" t="str">
        <f>IF(AND(OR(AB94="Yes",AB94="Pending"),P94='G-1 All Habitats'!$X$3),T94-X94-Y94,"0")</f>
        <v>0</v>
      </c>
      <c r="AT94" s="30" t="str">
        <f t="shared" si="10"/>
        <v/>
      </c>
      <c r="AU94" s="30">
        <f t="shared" si="15"/>
        <v>0</v>
      </c>
      <c r="AV94" s="230" t="str">
        <f>IFERROR(INDEX('G-1 All Habitats'!$B$3:$B$135,MATCH(F94,'G-1 All Habitats'!$A$3:$A$135,0)),"")</f>
        <v/>
      </c>
      <c r="AW94" s="30" t="str">
        <f>IF(AV94="","",VLOOKUP(AV94,'G-1 All Habitats'!$B$1:$T$135,19,FALSE))</f>
        <v/>
      </c>
      <c r="AY94" s="287" t="str">
        <f t="shared" si="16"/>
        <v/>
      </c>
    </row>
    <row r="95" spans="1:51" ht="14">
      <c r="A95" s="30" t="str">
        <f>IFERROR(INDEX('G-1 All Habitats'!$AG$3:$AG$17,MATCH(E95,'G-1 All Habitats'!$AF$3:$AF$17,0)),"")</f>
        <v/>
      </c>
      <c r="B95" s="30" t="str">
        <f>IFERROR(INDEX('G-8 Condition Look up'!$I$4:$I$135,MATCH(AV95,'G-8 Condition Look up'!$A$4:$A$135,0)),"")</f>
        <v/>
      </c>
      <c r="D95" s="97">
        <v>85</v>
      </c>
      <c r="E95" s="262"/>
      <c r="F95" s="263"/>
      <c r="G95" s="133"/>
      <c r="H95" s="115"/>
      <c r="I95" s="509" t="str">
        <f>IF(AV95="","",IF(AND(AW95="Yes",G95="No"),"Irreplaceable habitat ▲",IF(AND(AW95="No",G95="Yes"),"Cannot be Irreplaceable ▲",VLOOKUP(AV95,'G-1 All Habitats'!$B$2:$M$135,10,FALSE))))</f>
        <v/>
      </c>
      <c r="J95" s="377" t="str">
        <f>IFERROR(VLOOKUP(I95,'G-1 All Habitats'!$V$3:$W$7,2,FALSE),"")</f>
        <v/>
      </c>
      <c r="K95" s="101"/>
      <c r="L95" s="276" t="str">
        <f>IFERROR(INDEX('G-8 Condition Look up'!$A$3:$H$135,MATCH(AV95,'G-8 Condition Look up'!$A$3:$A$135,0),MATCH(K95,'G-8 Condition Look up'!$A$3:$H$3,0)),"")</f>
        <v/>
      </c>
      <c r="M95" s="105"/>
      <c r="N95" s="295" t="str">
        <f>IF(M95="","",IF(VLOOKUP(M95,'G-3 Multipliers'!$L$3:$N$6,2,FALSE)=0,"Spatial Data Missing ⚠",VLOOKUP(M95,'G-3 Multipliers'!$L$3:$N$6,2,FALSE)))</f>
        <v/>
      </c>
      <c r="O95" s="353" t="str">
        <f>IF(M95="","",IF(VLOOKUP(M95,'G-3 Multipliers'!$L$3:$N$6,3,FALSE)=0,"Spatial Data Missing ⚠",VLOOKUP(M95,'G-3 Multipliers'!$L$3:$N$6,3,FALSE)))</f>
        <v/>
      </c>
      <c r="P95" s="336" t="str">
        <f>(IF(G95="Yes","Bespoke compensation likely to be required",(IFERROR(VLOOKUP(AV95,'G-1 All Habitats'!$B$2:$M$135,12,FALSE),""))))</f>
        <v/>
      </c>
      <c r="Q95" s="511" t="str">
        <f>IFERROR(IF(P95="","",IF(AND(E95="Individual trees",W95&gt;0,G95="Yes"),"Error - you cannot enhance irreplaceable individual trees ▲",IF(P95='G-1 All Habitats'!$X$9,T95*S95,IF(AND(P95='G-1 All Habitats'!$X$9,W95&gt;0),X95+(Y95*S95),IF(AND(P95='G-1 All Habitats'!$X$9,V95&gt;0),X95+(Y95*S95),IF(AND(P95='G-1 All Habitats'!$X$9,AG95&gt;0),"Any Loss Unacceptable  ⚠",IF(AND(P95='G-1 All Habitats'!$X$9,Z95&gt;0),"Any Loss Unacceptable ⚠",H95*J95*L95*O95*S95))))))),"Check Data ⚠")</f>
        <v/>
      </c>
      <c r="R95" s="393"/>
      <c r="S95" s="510" t="str">
        <f>IF(R95="","",IF(VLOOKUP(R95,'G-3 Multipliers'!$S$3:$T$10,2,FALSE)=0,"Spatial Data Missing ⚠",VLOOKUP(R95,'G-3 Multipliers'!$S$3:$T$10,2,FALSE)))</f>
        <v/>
      </c>
      <c r="T95" s="289" t="str">
        <f>IFERROR(IF(AND(F95&lt;&gt;"",G95=""),"Confirm irreplaceable habitat status ▲",(IF(AND(R95&lt;&gt;"",AF95=""),"Off-site reference required ▲",(IF(AND(E95="Individual trees",W95&gt;0,G95="Yes"),"Error - you cannot enhance irreplaceable individual trees ▲",(IF(AND(X95="Irreplaceable habitat - no units generated ⚠",(W95+V95)&lt;H95,OR(AB95="No",AB95="")),"Any Loss Unacceptable ⚠",(IF(X95="Irreplaceable habitat - no units generated ⚠",W95*J95*L95*O95,IF(AND(P95='G-1 All Habitats'!$X$9,AH95&gt;0,V95&lt;=0,W95&lt;=0,OR(AB95="No",AB95="")),"Any Loss Unacceptable ⚠",IF(AND(P95='G-1 All Habitats'!$X$9,AH95&gt;0,V95&lt;=0,W95&lt;=0),0,(IF(AND(P95='G-1 All Habitats'!$X$9,(W95+V95)&lt;H95,OR(AB95="No",AB95="")),"Any Loss Unacceptable ⚠",(IF(P95="","",IF(AND(P95='G-1 All Habitats'!$X$9,W95&gt;0),X95+Y95,IF(AND(P95='G-1 All Habitats'!$X$9,V95&gt;0),X95+Y95,IF(R95="","",H95*J95*L95*O95)))))))))))))))))),"Check Data ▲")</f>
        <v/>
      </c>
      <c r="U95" s="38"/>
      <c r="V95" s="52"/>
      <c r="W95" s="53"/>
      <c r="X95" s="287" t="str">
        <f t="shared" si="11"/>
        <v/>
      </c>
      <c r="Y95" s="287" t="str">
        <f t="shared" si="12"/>
        <v/>
      </c>
      <c r="Z95" s="287" t="str">
        <f t="shared" si="13"/>
        <v/>
      </c>
      <c r="AA95" s="317" t="str">
        <f>IFERROR(IF(AND(E95="Individual trees",G95="Yes",W95&gt;0),"Error - you cannot enhance an irreplaceable tree ▲",(IF(H95="","",IF(H95-V95-W95=0&lt;0,"Error in Areas ▲",IF(V95+W95&gt;H95,"Error in Areas ▲",IF(AND(P95='G-1 All Habitats'!$X$9,AB95="Yes"),"Alternative Compensation ✓",IF(AND(P95='G-1 All Habitats'!$X$3,AB95="Yes"),"Alternative Compensation ✓",IF(AND(AB95="Pending",P95='G-1 All Habitats'!$X$3),"Bespoke compensation must be agreed ▲",IF(AND(AB95="Pending",P95='G-1 All Habitats'!$X$9),"Bespoke compensation must be agreed  ▲",IF(Z95=0,0,IF(P95='G-1 All Habitats'!$X$9,"Any Loss Unacceptable ▲",T95-X95-Y95))))))))))),"Check Data ⚠")</f>
        <v/>
      </c>
      <c r="AB95" s="587"/>
      <c r="AC95" s="105"/>
      <c r="AD95" s="138"/>
      <c r="AE95" s="104"/>
      <c r="AF95" s="611"/>
      <c r="AG95" s="523" t="str">
        <f>IF(OR(P95="",AB95="Yes"),"",IF(P95='G-1 All Habitats'!$X$9,H95-V95-W95,"None"))</f>
        <v/>
      </c>
      <c r="AH95" s="523" t="str">
        <f>IF(P95="","",IF(P95='G-1 All Habitats'!$X$9,AG95*J95*L95*O95,"None"))</f>
        <v/>
      </c>
      <c r="AJ95" s="107" t="str">
        <f t="shared" si="14"/>
        <v/>
      </c>
      <c r="AK95" s="107" t="str">
        <f t="shared" si="9"/>
        <v/>
      </c>
      <c r="AL95" s="107" t="str">
        <f>IF(I95="","",IF(#REF!&gt;0,TRUE,FALSE))</f>
        <v/>
      </c>
      <c r="AM95" s="107">
        <v>85</v>
      </c>
      <c r="AN95" s="107"/>
      <c r="AO95" s="107" t="str">
        <f t="array" ref="AO95">IFERROR(INDEX($AM$11:$AM$259,MATCH(0,IF(TRUE=$AJ$11:$AJ$259,COUNTIF($AO$10:$AO94,$AM$11:$AM$259),""),0)),"")</f>
        <v/>
      </c>
      <c r="AP95" s="107" t="str">
        <f t="array" ref="AP95">IFERROR(INDEX($AM$11:$AM$259,MATCH(0,IF(TRUE=$AK$11:$AK$259,COUNTIF($AP$10:$AP94,$AM$11:$AM$259),""),0)),"")</f>
        <v/>
      </c>
      <c r="AQ95" s="107" t="str">
        <f t="array" ref="AQ95">IFERROR(INDEX($AM$11:$AM$259,MATCH(0,IF(TRUE=$AL$11:$AL$259,COUNTIF($AQ$10:$AQ94,$AM$11:$AM$259),""),0)),"")</f>
        <v/>
      </c>
      <c r="AS95" s="885" t="str">
        <f>IF(AND(OR(AB95="Yes",AB95="Pending"),P95='G-1 All Habitats'!$X$3),T95-X95-Y95,"0")</f>
        <v>0</v>
      </c>
      <c r="AT95" s="30" t="str">
        <f t="shared" si="10"/>
        <v/>
      </c>
      <c r="AU95" s="30">
        <f t="shared" si="15"/>
        <v>0</v>
      </c>
      <c r="AV95" s="230" t="str">
        <f>IFERROR(INDEX('G-1 All Habitats'!$B$3:$B$135,MATCH(F95,'G-1 All Habitats'!$A$3:$A$135,0)),"")</f>
        <v/>
      </c>
      <c r="AW95" s="30" t="str">
        <f>IF(AV95="","",VLOOKUP(AV95,'G-1 All Habitats'!$B$1:$T$135,19,FALSE))</f>
        <v/>
      </c>
      <c r="AY95" s="287" t="str">
        <f t="shared" si="16"/>
        <v/>
      </c>
    </row>
    <row r="96" spans="1:51" ht="14">
      <c r="A96" s="30" t="str">
        <f>IFERROR(INDEX('G-1 All Habitats'!$AG$3:$AG$17,MATCH(E96,'G-1 All Habitats'!$AF$3:$AF$17,0)),"")</f>
        <v/>
      </c>
      <c r="B96" s="30" t="str">
        <f>IFERROR(INDEX('G-8 Condition Look up'!$I$4:$I$135,MATCH(AV96,'G-8 Condition Look up'!$A$4:$A$135,0)),"")</f>
        <v/>
      </c>
      <c r="D96" s="97">
        <v>86</v>
      </c>
      <c r="E96" s="262"/>
      <c r="F96" s="263"/>
      <c r="G96" s="133"/>
      <c r="H96" s="115"/>
      <c r="I96" s="509" t="str">
        <f>IF(AV96="","",IF(AND(AW96="Yes",G96="No"),"Irreplaceable habitat ▲",IF(AND(AW96="No",G96="Yes"),"Cannot be Irreplaceable ▲",VLOOKUP(AV96,'G-1 All Habitats'!$B$2:$M$135,10,FALSE))))</f>
        <v/>
      </c>
      <c r="J96" s="377" t="str">
        <f>IFERROR(VLOOKUP(I96,'G-1 All Habitats'!$V$3:$W$7,2,FALSE),"")</f>
        <v/>
      </c>
      <c r="K96" s="101"/>
      <c r="L96" s="276" t="str">
        <f>IFERROR(INDEX('G-8 Condition Look up'!$A$3:$H$135,MATCH(AV96,'G-8 Condition Look up'!$A$3:$A$135,0),MATCH(K96,'G-8 Condition Look up'!$A$3:$H$3,0)),"")</f>
        <v/>
      </c>
      <c r="M96" s="105"/>
      <c r="N96" s="295" t="str">
        <f>IF(M96="","",IF(VLOOKUP(M96,'G-3 Multipliers'!$L$3:$N$6,2,FALSE)=0,"Spatial Data Missing ⚠",VLOOKUP(M96,'G-3 Multipliers'!$L$3:$N$6,2,FALSE)))</f>
        <v/>
      </c>
      <c r="O96" s="353" t="str">
        <f>IF(M96="","",IF(VLOOKUP(M96,'G-3 Multipliers'!$L$3:$N$6,3,FALSE)=0,"Spatial Data Missing ⚠",VLOOKUP(M96,'G-3 Multipliers'!$L$3:$N$6,3,FALSE)))</f>
        <v/>
      </c>
      <c r="P96" s="336" t="str">
        <f>(IF(G96="Yes","Bespoke compensation likely to be required",(IFERROR(VLOOKUP(AV96,'G-1 All Habitats'!$B$2:$M$135,12,FALSE),""))))</f>
        <v/>
      </c>
      <c r="Q96" s="511" t="str">
        <f>IFERROR(IF(P96="","",IF(AND(E96="Individual trees",W96&gt;0,G96="Yes"),"Error - you cannot enhance irreplaceable individual trees ▲",IF(P96='G-1 All Habitats'!$X$9,T96*S96,IF(AND(P96='G-1 All Habitats'!$X$9,W96&gt;0),X96+(Y96*S96),IF(AND(P96='G-1 All Habitats'!$X$9,V96&gt;0),X96+(Y96*S96),IF(AND(P96='G-1 All Habitats'!$X$9,AG96&gt;0),"Any Loss Unacceptable  ⚠",IF(AND(P96='G-1 All Habitats'!$X$9,Z96&gt;0),"Any Loss Unacceptable ⚠",H96*J96*L96*O96*S96))))))),"Check Data ⚠")</f>
        <v/>
      </c>
      <c r="R96" s="393"/>
      <c r="S96" s="510" t="str">
        <f>IF(R96="","",IF(VLOOKUP(R96,'G-3 Multipliers'!$S$3:$T$10,2,FALSE)=0,"Spatial Data Missing ⚠",VLOOKUP(R96,'G-3 Multipliers'!$S$3:$T$10,2,FALSE)))</f>
        <v/>
      </c>
      <c r="T96" s="289" t="str">
        <f>IFERROR(IF(AND(F96&lt;&gt;"",G96=""),"Confirm irreplaceable habitat status ▲",(IF(AND(R96&lt;&gt;"",AF96=""),"Off-site reference required ▲",(IF(AND(E96="Individual trees",W96&gt;0,G96="Yes"),"Error - you cannot enhance irreplaceable individual trees ▲",(IF(AND(X96="Irreplaceable habitat - no units generated ⚠",(W96+V96)&lt;H96,OR(AB96="No",AB96="")),"Any Loss Unacceptable ⚠",(IF(X96="Irreplaceable habitat - no units generated ⚠",W96*J96*L96*O96,IF(AND(P96='G-1 All Habitats'!$X$9,AH96&gt;0,V96&lt;=0,W96&lt;=0,OR(AB96="No",AB96="")),"Any Loss Unacceptable ⚠",IF(AND(P96='G-1 All Habitats'!$X$9,AH96&gt;0,V96&lt;=0,W96&lt;=0),0,(IF(AND(P96='G-1 All Habitats'!$X$9,(W96+V96)&lt;H96,OR(AB96="No",AB96="")),"Any Loss Unacceptable ⚠",(IF(P96="","",IF(AND(P96='G-1 All Habitats'!$X$9,W96&gt;0),X96+Y96,IF(AND(P96='G-1 All Habitats'!$X$9,V96&gt;0),X96+Y96,IF(R96="","",H96*J96*L96*O96)))))))))))))))))),"Check Data ▲")</f>
        <v/>
      </c>
      <c r="U96" s="38"/>
      <c r="V96" s="52"/>
      <c r="W96" s="53"/>
      <c r="X96" s="287" t="str">
        <f t="shared" si="11"/>
        <v/>
      </c>
      <c r="Y96" s="287" t="str">
        <f t="shared" si="12"/>
        <v/>
      </c>
      <c r="Z96" s="287" t="str">
        <f t="shared" si="13"/>
        <v/>
      </c>
      <c r="AA96" s="317" t="str">
        <f>IFERROR(IF(AND(E96="Individual trees",G96="Yes",W96&gt;0),"Error - you cannot enhance an irreplaceable tree ▲",(IF(H96="","",IF(H96-V96-W96=0&lt;0,"Error in Areas ▲",IF(V96+W96&gt;H96,"Error in Areas ▲",IF(AND(P96='G-1 All Habitats'!$X$9,AB96="Yes"),"Alternative Compensation ✓",IF(AND(P96='G-1 All Habitats'!$X$3,AB96="Yes"),"Alternative Compensation ✓",IF(AND(AB96="Pending",P96='G-1 All Habitats'!$X$3),"Bespoke compensation must be agreed ▲",IF(AND(AB96="Pending",P96='G-1 All Habitats'!$X$9),"Bespoke compensation must be agreed  ▲",IF(Z96=0,0,IF(P96='G-1 All Habitats'!$X$9,"Any Loss Unacceptable ▲",T96-X96-Y96))))))))))),"Check Data ⚠")</f>
        <v/>
      </c>
      <c r="AB96" s="587"/>
      <c r="AC96" s="105"/>
      <c r="AD96" s="138"/>
      <c r="AE96" s="104"/>
      <c r="AF96" s="611"/>
      <c r="AG96" s="523" t="str">
        <f>IF(OR(P96="",AB96="Yes"),"",IF(P96='G-1 All Habitats'!$X$9,H96-V96-W96,"None"))</f>
        <v/>
      </c>
      <c r="AH96" s="523" t="str">
        <f>IF(P96="","",IF(P96='G-1 All Habitats'!$X$9,AG96*J96*L96*O96,"None"))</f>
        <v/>
      </c>
      <c r="AJ96" s="107" t="str">
        <f t="shared" si="14"/>
        <v/>
      </c>
      <c r="AK96" s="107" t="str">
        <f t="shared" si="9"/>
        <v/>
      </c>
      <c r="AL96" s="107" t="str">
        <f>IF(I96="","",IF(#REF!&gt;0,TRUE,FALSE))</f>
        <v/>
      </c>
      <c r="AM96" s="107">
        <v>86</v>
      </c>
      <c r="AN96" s="107"/>
      <c r="AO96" s="107" t="str">
        <f t="array" ref="AO96">IFERROR(INDEX($AM$11:$AM$259,MATCH(0,IF(TRUE=$AJ$11:$AJ$259,COUNTIF($AO$10:$AO95,$AM$11:$AM$259),""),0)),"")</f>
        <v/>
      </c>
      <c r="AP96" s="107" t="str">
        <f t="array" ref="AP96">IFERROR(INDEX($AM$11:$AM$259,MATCH(0,IF(TRUE=$AK$11:$AK$259,COUNTIF($AP$10:$AP95,$AM$11:$AM$259),""),0)),"")</f>
        <v/>
      </c>
      <c r="AQ96" s="107" t="str">
        <f t="array" ref="AQ96">IFERROR(INDEX($AM$11:$AM$259,MATCH(0,IF(TRUE=$AL$11:$AL$259,COUNTIF($AQ$10:$AQ95,$AM$11:$AM$259),""),0)),"")</f>
        <v/>
      </c>
      <c r="AS96" s="885" t="str">
        <f>IF(AND(OR(AB96="Yes",AB96="Pending"),P96='G-1 All Habitats'!$X$3),T96-X96-Y96,"0")</f>
        <v>0</v>
      </c>
      <c r="AT96" s="30" t="str">
        <f t="shared" si="10"/>
        <v/>
      </c>
      <c r="AU96" s="30">
        <f t="shared" si="15"/>
        <v>0</v>
      </c>
      <c r="AV96" s="230" t="str">
        <f>IFERROR(INDEX('G-1 All Habitats'!$B$3:$B$135,MATCH(F96,'G-1 All Habitats'!$A$3:$A$135,0)),"")</f>
        <v/>
      </c>
      <c r="AW96" s="30" t="str">
        <f>IF(AV96="","",VLOOKUP(AV96,'G-1 All Habitats'!$B$1:$T$135,19,FALSE))</f>
        <v/>
      </c>
      <c r="AY96" s="287" t="str">
        <f t="shared" si="16"/>
        <v/>
      </c>
    </row>
    <row r="97" spans="1:51" ht="14">
      <c r="A97" s="30" t="str">
        <f>IFERROR(INDEX('G-1 All Habitats'!$AG$3:$AG$17,MATCH(E97,'G-1 All Habitats'!$AF$3:$AF$17,0)),"")</f>
        <v/>
      </c>
      <c r="B97" s="30" t="str">
        <f>IFERROR(INDEX('G-8 Condition Look up'!$I$4:$I$135,MATCH(AV97,'G-8 Condition Look up'!$A$4:$A$135,0)),"")</f>
        <v/>
      </c>
      <c r="D97" s="97">
        <v>87</v>
      </c>
      <c r="E97" s="262"/>
      <c r="F97" s="263"/>
      <c r="G97" s="133"/>
      <c r="H97" s="115"/>
      <c r="I97" s="509" t="str">
        <f>IF(AV97="","",IF(AND(AW97="Yes",G97="No"),"Irreplaceable habitat ▲",IF(AND(AW97="No",G97="Yes"),"Cannot be Irreplaceable ▲",VLOOKUP(AV97,'G-1 All Habitats'!$B$2:$M$135,10,FALSE))))</f>
        <v/>
      </c>
      <c r="J97" s="377" t="str">
        <f>IFERROR(VLOOKUP(I97,'G-1 All Habitats'!$V$3:$W$7,2,FALSE),"")</f>
        <v/>
      </c>
      <c r="K97" s="101"/>
      <c r="L97" s="276" t="str">
        <f>IFERROR(INDEX('G-8 Condition Look up'!$A$3:$H$135,MATCH(AV97,'G-8 Condition Look up'!$A$3:$A$135,0),MATCH(K97,'G-8 Condition Look up'!$A$3:$H$3,0)),"")</f>
        <v/>
      </c>
      <c r="M97" s="105"/>
      <c r="N97" s="295" t="str">
        <f>IF(M97="","",IF(VLOOKUP(M97,'G-3 Multipliers'!$L$3:$N$6,2,FALSE)=0,"Spatial Data Missing ⚠",VLOOKUP(M97,'G-3 Multipliers'!$L$3:$N$6,2,FALSE)))</f>
        <v/>
      </c>
      <c r="O97" s="353" t="str">
        <f>IF(M97="","",IF(VLOOKUP(M97,'G-3 Multipliers'!$L$3:$N$6,3,FALSE)=0,"Spatial Data Missing ⚠",VLOOKUP(M97,'G-3 Multipliers'!$L$3:$N$6,3,FALSE)))</f>
        <v/>
      </c>
      <c r="P97" s="336" t="str">
        <f>(IF(G97="Yes","Bespoke compensation likely to be required",(IFERROR(VLOOKUP(AV97,'G-1 All Habitats'!$B$2:$M$135,12,FALSE),""))))</f>
        <v/>
      </c>
      <c r="Q97" s="511" t="str">
        <f>IFERROR(IF(P97="","",IF(AND(E97="Individual trees",W97&gt;0,G97="Yes"),"Error - you cannot enhance irreplaceable individual trees ▲",IF(P97='G-1 All Habitats'!$X$9,T97*S97,IF(AND(P97='G-1 All Habitats'!$X$9,W97&gt;0),X97+(Y97*S97),IF(AND(P97='G-1 All Habitats'!$X$9,V97&gt;0),X97+(Y97*S97),IF(AND(P97='G-1 All Habitats'!$X$9,AG97&gt;0),"Any Loss Unacceptable  ⚠",IF(AND(P97='G-1 All Habitats'!$X$9,Z97&gt;0),"Any Loss Unacceptable ⚠",H97*J97*L97*O97*S97))))))),"Check Data ⚠")</f>
        <v/>
      </c>
      <c r="R97" s="393"/>
      <c r="S97" s="510" t="str">
        <f>IF(R97="","",IF(VLOOKUP(R97,'G-3 Multipliers'!$S$3:$T$10,2,FALSE)=0,"Spatial Data Missing ⚠",VLOOKUP(R97,'G-3 Multipliers'!$S$3:$T$10,2,FALSE)))</f>
        <v/>
      </c>
      <c r="T97" s="289" t="str">
        <f>IFERROR(IF(AND(F97&lt;&gt;"",G97=""),"Confirm irreplaceable habitat status ▲",(IF(AND(R97&lt;&gt;"",AF97=""),"Off-site reference required ▲",(IF(AND(E97="Individual trees",W97&gt;0,G97="Yes"),"Error - you cannot enhance irreplaceable individual trees ▲",(IF(AND(X97="Irreplaceable habitat - no units generated ⚠",(W97+V97)&lt;H97,OR(AB97="No",AB97="")),"Any Loss Unacceptable ⚠",(IF(X97="Irreplaceable habitat - no units generated ⚠",W97*J97*L97*O97,IF(AND(P97='G-1 All Habitats'!$X$9,AH97&gt;0,V97&lt;=0,W97&lt;=0,OR(AB97="No",AB97="")),"Any Loss Unacceptable ⚠",IF(AND(P97='G-1 All Habitats'!$X$9,AH97&gt;0,V97&lt;=0,W97&lt;=0),0,(IF(AND(P97='G-1 All Habitats'!$X$9,(W97+V97)&lt;H97,OR(AB97="No",AB97="")),"Any Loss Unacceptable ⚠",(IF(P97="","",IF(AND(P97='G-1 All Habitats'!$X$9,W97&gt;0),X97+Y97,IF(AND(P97='G-1 All Habitats'!$X$9,V97&gt;0),X97+Y97,IF(R97="","",H97*J97*L97*O97)))))))))))))))))),"Check Data ▲")</f>
        <v/>
      </c>
      <c r="U97" s="38"/>
      <c r="V97" s="52"/>
      <c r="W97" s="53"/>
      <c r="X97" s="287" t="str">
        <f t="shared" si="11"/>
        <v/>
      </c>
      <c r="Y97" s="287" t="str">
        <f t="shared" si="12"/>
        <v/>
      </c>
      <c r="Z97" s="287" t="str">
        <f t="shared" si="13"/>
        <v/>
      </c>
      <c r="AA97" s="317" t="str">
        <f>IFERROR(IF(AND(E97="Individual trees",G97="Yes",W97&gt;0),"Error - you cannot enhance an irreplaceable tree ▲",(IF(H97="","",IF(H97-V97-W97=0&lt;0,"Error in Areas ▲",IF(V97+W97&gt;H97,"Error in Areas ▲",IF(AND(P97='G-1 All Habitats'!$X$9,AB97="Yes"),"Alternative Compensation ✓",IF(AND(P97='G-1 All Habitats'!$X$3,AB97="Yes"),"Alternative Compensation ✓",IF(AND(AB97="Pending",P97='G-1 All Habitats'!$X$3),"Bespoke compensation must be agreed ▲",IF(AND(AB97="Pending",P97='G-1 All Habitats'!$X$9),"Bespoke compensation must be agreed  ▲",IF(Z97=0,0,IF(P97='G-1 All Habitats'!$X$9,"Any Loss Unacceptable ▲",T97-X97-Y97))))))))))),"Check Data ⚠")</f>
        <v/>
      </c>
      <c r="AB97" s="587"/>
      <c r="AC97" s="105"/>
      <c r="AD97" s="138"/>
      <c r="AE97" s="104"/>
      <c r="AF97" s="611"/>
      <c r="AG97" s="523" t="str">
        <f>IF(OR(P97="",AB97="Yes"),"",IF(P97='G-1 All Habitats'!$X$9,H97-V97-W97,"None"))</f>
        <v/>
      </c>
      <c r="AH97" s="523" t="str">
        <f>IF(P97="","",IF(P97='G-1 All Habitats'!$X$9,AG97*J97*L97*O97,"None"))</f>
        <v/>
      </c>
      <c r="AJ97" s="107" t="str">
        <f t="shared" si="14"/>
        <v/>
      </c>
      <c r="AK97" s="107" t="str">
        <f t="shared" si="9"/>
        <v/>
      </c>
      <c r="AL97" s="107" t="str">
        <f>IF(I97="","",IF(#REF!&gt;0,TRUE,FALSE))</f>
        <v/>
      </c>
      <c r="AM97" s="107">
        <v>87</v>
      </c>
      <c r="AN97" s="107"/>
      <c r="AO97" s="107" t="str">
        <f t="array" ref="AO97">IFERROR(INDEX($AM$11:$AM$259,MATCH(0,IF(TRUE=$AJ$11:$AJ$259,COUNTIF($AO$10:$AO96,$AM$11:$AM$259),""),0)),"")</f>
        <v/>
      </c>
      <c r="AP97" s="107" t="str">
        <f t="array" ref="AP97">IFERROR(INDEX($AM$11:$AM$259,MATCH(0,IF(TRUE=$AK$11:$AK$259,COUNTIF($AP$10:$AP96,$AM$11:$AM$259),""),0)),"")</f>
        <v/>
      </c>
      <c r="AQ97" s="107" t="str">
        <f t="array" ref="AQ97">IFERROR(INDEX($AM$11:$AM$259,MATCH(0,IF(TRUE=$AL$11:$AL$259,COUNTIF($AQ$10:$AQ96,$AM$11:$AM$259),""),0)),"")</f>
        <v/>
      </c>
      <c r="AS97" s="885" t="str">
        <f>IF(AND(OR(AB97="Yes",AB97="Pending"),P97='G-1 All Habitats'!$X$3),T97-X97-Y97,"0")</f>
        <v>0</v>
      </c>
      <c r="AT97" s="30" t="str">
        <f t="shared" si="10"/>
        <v/>
      </c>
      <c r="AU97" s="30">
        <f t="shared" si="15"/>
        <v>0</v>
      </c>
      <c r="AV97" s="230" t="str">
        <f>IFERROR(INDEX('G-1 All Habitats'!$B$3:$B$135,MATCH(F97,'G-1 All Habitats'!$A$3:$A$135,0)),"")</f>
        <v/>
      </c>
      <c r="AW97" s="30" t="str">
        <f>IF(AV97="","",VLOOKUP(AV97,'G-1 All Habitats'!$B$1:$T$135,19,FALSE))</f>
        <v/>
      </c>
      <c r="AY97" s="287" t="str">
        <f t="shared" si="16"/>
        <v/>
      </c>
    </row>
    <row r="98" spans="1:51" ht="14">
      <c r="A98" s="30" t="str">
        <f>IFERROR(INDEX('G-1 All Habitats'!$AG$3:$AG$17,MATCH(E98,'G-1 All Habitats'!$AF$3:$AF$17,0)),"")</f>
        <v/>
      </c>
      <c r="B98" s="30" t="str">
        <f>IFERROR(INDEX('G-8 Condition Look up'!$I$4:$I$135,MATCH(AV98,'G-8 Condition Look up'!$A$4:$A$135,0)),"")</f>
        <v/>
      </c>
      <c r="D98" s="97">
        <v>88</v>
      </c>
      <c r="E98" s="262"/>
      <c r="F98" s="263"/>
      <c r="G98" s="133"/>
      <c r="H98" s="115"/>
      <c r="I98" s="509" t="str">
        <f>IF(AV98="","",IF(AND(AW98="Yes",G98="No"),"Irreplaceable habitat ▲",IF(AND(AW98="No",G98="Yes"),"Cannot be Irreplaceable ▲",VLOOKUP(AV98,'G-1 All Habitats'!$B$2:$M$135,10,FALSE))))</f>
        <v/>
      </c>
      <c r="J98" s="377" t="str">
        <f>IFERROR(VLOOKUP(I98,'G-1 All Habitats'!$V$3:$W$7,2,FALSE),"")</f>
        <v/>
      </c>
      <c r="K98" s="101"/>
      <c r="L98" s="276" t="str">
        <f>IFERROR(INDEX('G-8 Condition Look up'!$A$3:$H$135,MATCH(AV98,'G-8 Condition Look up'!$A$3:$A$135,0),MATCH(K98,'G-8 Condition Look up'!$A$3:$H$3,0)),"")</f>
        <v/>
      </c>
      <c r="M98" s="105"/>
      <c r="N98" s="295" t="str">
        <f>IF(M98="","",IF(VLOOKUP(M98,'G-3 Multipliers'!$L$3:$N$6,2,FALSE)=0,"Spatial Data Missing ⚠",VLOOKUP(M98,'G-3 Multipliers'!$L$3:$N$6,2,FALSE)))</f>
        <v/>
      </c>
      <c r="O98" s="353" t="str">
        <f>IF(M98="","",IF(VLOOKUP(M98,'G-3 Multipliers'!$L$3:$N$6,3,FALSE)=0,"Spatial Data Missing ⚠",VLOOKUP(M98,'G-3 Multipliers'!$L$3:$N$6,3,FALSE)))</f>
        <v/>
      </c>
      <c r="P98" s="336" t="str">
        <f>(IF(G98="Yes","Bespoke compensation likely to be required",(IFERROR(VLOOKUP(AV98,'G-1 All Habitats'!$B$2:$M$135,12,FALSE),""))))</f>
        <v/>
      </c>
      <c r="Q98" s="511" t="str">
        <f>IFERROR(IF(P98="","",IF(AND(E98="Individual trees",W98&gt;0,G98="Yes"),"Error - you cannot enhance irreplaceable individual trees ▲",IF(P98='G-1 All Habitats'!$X$9,T98*S98,IF(AND(P98='G-1 All Habitats'!$X$9,W98&gt;0),X98+(Y98*S98),IF(AND(P98='G-1 All Habitats'!$X$9,V98&gt;0),X98+(Y98*S98),IF(AND(P98='G-1 All Habitats'!$X$9,AG98&gt;0),"Any Loss Unacceptable  ⚠",IF(AND(P98='G-1 All Habitats'!$X$9,Z98&gt;0),"Any Loss Unacceptable ⚠",H98*J98*L98*O98*S98))))))),"Check Data ⚠")</f>
        <v/>
      </c>
      <c r="R98" s="393"/>
      <c r="S98" s="510" t="str">
        <f>IF(R98="","",IF(VLOOKUP(R98,'G-3 Multipliers'!$S$3:$T$10,2,FALSE)=0,"Spatial Data Missing ⚠",VLOOKUP(R98,'G-3 Multipliers'!$S$3:$T$10,2,FALSE)))</f>
        <v/>
      </c>
      <c r="T98" s="289" t="str">
        <f>IFERROR(IF(AND(F98&lt;&gt;"",G98=""),"Confirm irreplaceable habitat status ▲",(IF(AND(R98&lt;&gt;"",AF98=""),"Off-site reference required ▲",(IF(AND(E98="Individual trees",W98&gt;0,G98="Yes"),"Error - you cannot enhance irreplaceable individual trees ▲",(IF(AND(X98="Irreplaceable habitat - no units generated ⚠",(W98+V98)&lt;H98,OR(AB98="No",AB98="")),"Any Loss Unacceptable ⚠",(IF(X98="Irreplaceable habitat - no units generated ⚠",W98*J98*L98*O98,IF(AND(P98='G-1 All Habitats'!$X$9,AH98&gt;0,V98&lt;=0,W98&lt;=0,OR(AB98="No",AB98="")),"Any Loss Unacceptable ⚠",IF(AND(P98='G-1 All Habitats'!$X$9,AH98&gt;0,V98&lt;=0,W98&lt;=0),0,(IF(AND(P98='G-1 All Habitats'!$X$9,(W98+V98)&lt;H98,OR(AB98="No",AB98="")),"Any Loss Unacceptable ⚠",(IF(P98="","",IF(AND(P98='G-1 All Habitats'!$X$9,W98&gt;0),X98+Y98,IF(AND(P98='G-1 All Habitats'!$X$9,V98&gt;0),X98+Y98,IF(R98="","",H98*J98*L98*O98)))))))))))))))))),"Check Data ▲")</f>
        <v/>
      </c>
      <c r="U98" s="38"/>
      <c r="V98" s="52"/>
      <c r="W98" s="53"/>
      <c r="X98" s="287" t="str">
        <f t="shared" si="11"/>
        <v/>
      </c>
      <c r="Y98" s="287" t="str">
        <f t="shared" si="12"/>
        <v/>
      </c>
      <c r="Z98" s="287" t="str">
        <f t="shared" si="13"/>
        <v/>
      </c>
      <c r="AA98" s="317" t="str">
        <f>IFERROR(IF(AND(E98="Individual trees",G98="Yes",W98&gt;0),"Error - you cannot enhance an irreplaceable tree ▲",(IF(H98="","",IF(H98-V98-W98=0&lt;0,"Error in Areas ▲",IF(V98+W98&gt;H98,"Error in Areas ▲",IF(AND(P98='G-1 All Habitats'!$X$9,AB98="Yes"),"Alternative Compensation ✓",IF(AND(P98='G-1 All Habitats'!$X$3,AB98="Yes"),"Alternative Compensation ✓",IF(AND(AB98="Pending",P98='G-1 All Habitats'!$X$3),"Bespoke compensation must be agreed ▲",IF(AND(AB98="Pending",P98='G-1 All Habitats'!$X$9),"Bespoke compensation must be agreed  ▲",IF(Z98=0,0,IF(P98='G-1 All Habitats'!$X$9,"Any Loss Unacceptable ▲",T98-X98-Y98))))))))))),"Check Data ⚠")</f>
        <v/>
      </c>
      <c r="AB98" s="587"/>
      <c r="AC98" s="105"/>
      <c r="AD98" s="138"/>
      <c r="AE98" s="104"/>
      <c r="AF98" s="611"/>
      <c r="AG98" s="523" t="str">
        <f>IF(OR(P98="",AB98="Yes"),"",IF(P98='G-1 All Habitats'!$X$9,H98-V98-W98,"None"))</f>
        <v/>
      </c>
      <c r="AH98" s="523" t="str">
        <f>IF(P98="","",IF(P98='G-1 All Habitats'!$X$9,AG98*J98*L98*O98,"None"))</f>
        <v/>
      </c>
      <c r="AJ98" s="107" t="str">
        <f t="shared" si="14"/>
        <v/>
      </c>
      <c r="AK98" s="107" t="str">
        <f t="shared" si="9"/>
        <v/>
      </c>
      <c r="AL98" s="107" t="str">
        <f>IF(I98="","",IF(#REF!&gt;0,TRUE,FALSE))</f>
        <v/>
      </c>
      <c r="AM98" s="107">
        <v>88</v>
      </c>
      <c r="AN98" s="107"/>
      <c r="AO98" s="107" t="str">
        <f t="array" ref="AO98">IFERROR(INDEX($AM$11:$AM$259,MATCH(0,IF(TRUE=$AJ$11:$AJ$259,COUNTIF($AO$10:$AO97,$AM$11:$AM$259),""),0)),"")</f>
        <v/>
      </c>
      <c r="AP98" s="107" t="str">
        <f t="array" ref="AP98">IFERROR(INDEX($AM$11:$AM$259,MATCH(0,IF(TRUE=$AK$11:$AK$259,COUNTIF($AP$10:$AP97,$AM$11:$AM$259),""),0)),"")</f>
        <v/>
      </c>
      <c r="AQ98" s="107" t="str">
        <f t="array" ref="AQ98">IFERROR(INDEX($AM$11:$AM$259,MATCH(0,IF(TRUE=$AL$11:$AL$259,COUNTIF($AQ$10:$AQ97,$AM$11:$AM$259),""),0)),"")</f>
        <v/>
      </c>
      <c r="AS98" s="885" t="str">
        <f>IF(AND(OR(AB98="Yes",AB98="Pending"),P98='G-1 All Habitats'!$X$3),T98-X98-Y98,"0")</f>
        <v>0</v>
      </c>
      <c r="AT98" s="30" t="str">
        <f t="shared" si="10"/>
        <v/>
      </c>
      <c r="AU98" s="30">
        <f t="shared" si="15"/>
        <v>0</v>
      </c>
      <c r="AV98" s="230" t="str">
        <f>IFERROR(INDEX('G-1 All Habitats'!$B$3:$B$135,MATCH(F98,'G-1 All Habitats'!$A$3:$A$135,0)),"")</f>
        <v/>
      </c>
      <c r="AW98" s="30" t="str">
        <f>IF(AV98="","",VLOOKUP(AV98,'G-1 All Habitats'!$B$1:$T$135,19,FALSE))</f>
        <v/>
      </c>
      <c r="AY98" s="287" t="str">
        <f t="shared" si="16"/>
        <v/>
      </c>
    </row>
    <row r="99" spans="1:51" ht="14">
      <c r="A99" s="30" t="str">
        <f>IFERROR(INDEX('G-1 All Habitats'!$AG$3:$AG$17,MATCH(E99,'G-1 All Habitats'!$AF$3:$AF$17,0)),"")</f>
        <v/>
      </c>
      <c r="B99" s="30" t="str">
        <f>IFERROR(INDEX('G-8 Condition Look up'!$I$4:$I$135,MATCH(AV99,'G-8 Condition Look up'!$A$4:$A$135,0)),"")</f>
        <v/>
      </c>
      <c r="D99" s="97">
        <v>89</v>
      </c>
      <c r="E99" s="262"/>
      <c r="F99" s="263"/>
      <c r="G99" s="133"/>
      <c r="H99" s="115"/>
      <c r="I99" s="509" t="str">
        <f>IF(AV99="","",IF(AND(AW99="Yes",G99="No"),"Irreplaceable habitat ▲",IF(AND(AW99="No",G99="Yes"),"Cannot be Irreplaceable ▲",VLOOKUP(AV99,'G-1 All Habitats'!$B$2:$M$135,10,FALSE))))</f>
        <v/>
      </c>
      <c r="J99" s="377" t="str">
        <f>IFERROR(VLOOKUP(I99,'G-1 All Habitats'!$V$3:$W$7,2,FALSE),"")</f>
        <v/>
      </c>
      <c r="K99" s="101"/>
      <c r="L99" s="276" t="str">
        <f>IFERROR(INDEX('G-8 Condition Look up'!$A$3:$H$135,MATCH(AV99,'G-8 Condition Look up'!$A$3:$A$135,0),MATCH(K99,'G-8 Condition Look up'!$A$3:$H$3,0)),"")</f>
        <v/>
      </c>
      <c r="M99" s="105"/>
      <c r="N99" s="295" t="str">
        <f>IF(M99="","",IF(VLOOKUP(M99,'G-3 Multipliers'!$L$3:$N$6,2,FALSE)=0,"Spatial Data Missing ⚠",VLOOKUP(M99,'G-3 Multipliers'!$L$3:$N$6,2,FALSE)))</f>
        <v/>
      </c>
      <c r="O99" s="353" t="str">
        <f>IF(M99="","",IF(VLOOKUP(M99,'G-3 Multipliers'!$L$3:$N$6,3,FALSE)=0,"Spatial Data Missing ⚠",VLOOKUP(M99,'G-3 Multipliers'!$L$3:$N$6,3,FALSE)))</f>
        <v/>
      </c>
      <c r="P99" s="336" t="str">
        <f>(IF(G99="Yes","Bespoke compensation likely to be required",(IFERROR(VLOOKUP(AV99,'G-1 All Habitats'!$B$2:$M$135,12,FALSE),""))))</f>
        <v/>
      </c>
      <c r="Q99" s="511" t="str">
        <f>IFERROR(IF(P99="","",IF(AND(E99="Individual trees",W99&gt;0,G99="Yes"),"Error - you cannot enhance irreplaceable individual trees ▲",IF(P99='G-1 All Habitats'!$X$9,T99*S99,IF(AND(P99='G-1 All Habitats'!$X$9,W99&gt;0),X99+(Y99*S99),IF(AND(P99='G-1 All Habitats'!$X$9,V99&gt;0),X99+(Y99*S99),IF(AND(P99='G-1 All Habitats'!$X$9,AG99&gt;0),"Any Loss Unacceptable  ⚠",IF(AND(P99='G-1 All Habitats'!$X$9,Z99&gt;0),"Any Loss Unacceptable ⚠",H99*J99*L99*O99*S99))))))),"Check Data ⚠")</f>
        <v/>
      </c>
      <c r="R99" s="393"/>
      <c r="S99" s="510" t="str">
        <f>IF(R99="","",IF(VLOOKUP(R99,'G-3 Multipliers'!$S$3:$T$10,2,FALSE)=0,"Spatial Data Missing ⚠",VLOOKUP(R99,'G-3 Multipliers'!$S$3:$T$10,2,FALSE)))</f>
        <v/>
      </c>
      <c r="T99" s="289" t="str">
        <f>IFERROR(IF(AND(F99&lt;&gt;"",G99=""),"Confirm irreplaceable habitat status ▲",(IF(AND(R99&lt;&gt;"",AF99=""),"Off-site reference required ▲",(IF(AND(E99="Individual trees",W99&gt;0,G99="Yes"),"Error - you cannot enhance irreplaceable individual trees ▲",(IF(AND(X99="Irreplaceable habitat - no units generated ⚠",(W99+V99)&lt;H99,OR(AB99="No",AB99="")),"Any Loss Unacceptable ⚠",(IF(X99="Irreplaceable habitat - no units generated ⚠",W99*J99*L99*O99,IF(AND(P99='G-1 All Habitats'!$X$9,AH99&gt;0,V99&lt;=0,W99&lt;=0,OR(AB99="No",AB99="")),"Any Loss Unacceptable ⚠",IF(AND(P99='G-1 All Habitats'!$X$9,AH99&gt;0,V99&lt;=0,W99&lt;=0),0,(IF(AND(P99='G-1 All Habitats'!$X$9,(W99+V99)&lt;H99,OR(AB99="No",AB99="")),"Any Loss Unacceptable ⚠",(IF(P99="","",IF(AND(P99='G-1 All Habitats'!$X$9,W99&gt;0),X99+Y99,IF(AND(P99='G-1 All Habitats'!$X$9,V99&gt;0),X99+Y99,IF(R99="","",H99*J99*L99*O99)))))))))))))))))),"Check Data ▲")</f>
        <v/>
      </c>
      <c r="U99" s="38"/>
      <c r="V99" s="52"/>
      <c r="W99" s="53"/>
      <c r="X99" s="287" t="str">
        <f t="shared" si="11"/>
        <v/>
      </c>
      <c r="Y99" s="287" t="str">
        <f t="shared" si="12"/>
        <v/>
      </c>
      <c r="Z99" s="287" t="str">
        <f t="shared" si="13"/>
        <v/>
      </c>
      <c r="AA99" s="317" t="str">
        <f>IFERROR(IF(AND(E99="Individual trees",G99="Yes",W99&gt;0),"Error - you cannot enhance an irreplaceable tree ▲",(IF(H99="","",IF(H99-V99-W99=0&lt;0,"Error in Areas ▲",IF(V99+W99&gt;H99,"Error in Areas ▲",IF(AND(P99='G-1 All Habitats'!$X$9,AB99="Yes"),"Alternative Compensation ✓",IF(AND(P99='G-1 All Habitats'!$X$3,AB99="Yes"),"Alternative Compensation ✓",IF(AND(AB99="Pending",P99='G-1 All Habitats'!$X$3),"Bespoke compensation must be agreed ▲",IF(AND(AB99="Pending",P99='G-1 All Habitats'!$X$9),"Bespoke compensation must be agreed  ▲",IF(Z99=0,0,IF(P99='G-1 All Habitats'!$X$9,"Any Loss Unacceptable ▲",T99-X99-Y99))))))))))),"Check Data ⚠")</f>
        <v/>
      </c>
      <c r="AB99" s="587"/>
      <c r="AC99" s="105"/>
      <c r="AD99" s="138"/>
      <c r="AE99" s="104"/>
      <c r="AF99" s="611"/>
      <c r="AG99" s="523" t="str">
        <f>IF(OR(P99="",AB99="Yes"),"",IF(P99='G-1 All Habitats'!$X$9,H99-V99-W99,"None"))</f>
        <v/>
      </c>
      <c r="AH99" s="523" t="str">
        <f>IF(P99="","",IF(P99='G-1 All Habitats'!$X$9,AG99*J99*L99*O99,"None"))</f>
        <v/>
      </c>
      <c r="AJ99" s="107" t="str">
        <f t="shared" si="14"/>
        <v/>
      </c>
      <c r="AK99" s="107" t="str">
        <f t="shared" si="9"/>
        <v/>
      </c>
      <c r="AL99" s="107" t="str">
        <f>IF(I99="","",IF(#REF!&gt;0,TRUE,FALSE))</f>
        <v/>
      </c>
      <c r="AM99" s="107">
        <v>89</v>
      </c>
      <c r="AN99" s="107"/>
      <c r="AO99" s="107" t="str">
        <f t="array" ref="AO99">IFERROR(INDEX($AM$11:$AM$259,MATCH(0,IF(TRUE=$AJ$11:$AJ$259,COUNTIF($AO$10:$AO98,$AM$11:$AM$259),""),0)),"")</f>
        <v/>
      </c>
      <c r="AP99" s="107" t="str">
        <f t="array" ref="AP99">IFERROR(INDEX($AM$11:$AM$259,MATCH(0,IF(TRUE=$AK$11:$AK$259,COUNTIF($AP$10:$AP98,$AM$11:$AM$259),""),0)),"")</f>
        <v/>
      </c>
      <c r="AQ99" s="107" t="str">
        <f t="array" ref="AQ99">IFERROR(INDEX($AM$11:$AM$259,MATCH(0,IF(TRUE=$AL$11:$AL$259,COUNTIF($AQ$10:$AQ98,$AM$11:$AM$259),""),0)),"")</f>
        <v/>
      </c>
      <c r="AS99" s="885" t="str">
        <f>IF(AND(OR(AB99="Yes",AB99="Pending"),P99='G-1 All Habitats'!$X$3),T99-X99-Y99,"0")</f>
        <v>0</v>
      </c>
      <c r="AT99" s="30" t="str">
        <f t="shared" si="10"/>
        <v/>
      </c>
      <c r="AU99" s="30">
        <f t="shared" si="15"/>
        <v>0</v>
      </c>
      <c r="AV99" s="230" t="str">
        <f>IFERROR(INDEX('G-1 All Habitats'!$B$3:$B$135,MATCH(F99,'G-1 All Habitats'!$A$3:$A$135,0)),"")</f>
        <v/>
      </c>
      <c r="AW99" s="30" t="str">
        <f>IF(AV99="","",VLOOKUP(AV99,'G-1 All Habitats'!$B$1:$T$135,19,FALSE))</f>
        <v/>
      </c>
      <c r="AY99" s="287" t="str">
        <f t="shared" si="16"/>
        <v/>
      </c>
    </row>
    <row r="100" spans="1:51" ht="14">
      <c r="A100" s="30" t="str">
        <f>IFERROR(INDEX('G-1 All Habitats'!$AG$3:$AG$17,MATCH(E100,'G-1 All Habitats'!$AF$3:$AF$17,0)),"")</f>
        <v/>
      </c>
      <c r="B100" s="30" t="str">
        <f>IFERROR(INDEX('G-8 Condition Look up'!$I$4:$I$135,MATCH(AV100,'G-8 Condition Look up'!$A$4:$A$135,0)),"")</f>
        <v/>
      </c>
      <c r="D100" s="97">
        <v>90</v>
      </c>
      <c r="E100" s="262"/>
      <c r="F100" s="263"/>
      <c r="G100" s="133"/>
      <c r="H100" s="115"/>
      <c r="I100" s="509" t="str">
        <f>IF(AV100="","",IF(AND(AW100="Yes",G100="No"),"Irreplaceable habitat ▲",IF(AND(AW100="No",G100="Yes"),"Cannot be Irreplaceable ▲",VLOOKUP(AV100,'G-1 All Habitats'!$B$2:$M$135,10,FALSE))))</f>
        <v/>
      </c>
      <c r="J100" s="377" t="str">
        <f>IFERROR(VLOOKUP(I100,'G-1 All Habitats'!$V$3:$W$7,2,FALSE),"")</f>
        <v/>
      </c>
      <c r="K100" s="101"/>
      <c r="L100" s="276" t="str">
        <f>IFERROR(INDEX('G-8 Condition Look up'!$A$3:$H$135,MATCH(AV100,'G-8 Condition Look up'!$A$3:$A$135,0),MATCH(K100,'G-8 Condition Look up'!$A$3:$H$3,0)),"")</f>
        <v/>
      </c>
      <c r="M100" s="105"/>
      <c r="N100" s="295" t="str">
        <f>IF(M100="","",IF(VLOOKUP(M100,'G-3 Multipliers'!$L$3:$N$6,2,FALSE)=0,"Spatial Data Missing ⚠",VLOOKUP(M100,'G-3 Multipliers'!$L$3:$N$6,2,FALSE)))</f>
        <v/>
      </c>
      <c r="O100" s="353" t="str">
        <f>IF(M100="","",IF(VLOOKUP(M100,'G-3 Multipliers'!$L$3:$N$6,3,FALSE)=0,"Spatial Data Missing ⚠",VLOOKUP(M100,'G-3 Multipliers'!$L$3:$N$6,3,FALSE)))</f>
        <v/>
      </c>
      <c r="P100" s="336" t="str">
        <f>(IF(G100="Yes","Bespoke compensation likely to be required",(IFERROR(VLOOKUP(AV100,'G-1 All Habitats'!$B$2:$M$135,12,FALSE),""))))</f>
        <v/>
      </c>
      <c r="Q100" s="511" t="str">
        <f>IFERROR(IF(P100="","",IF(AND(E100="Individual trees",W100&gt;0,G100="Yes"),"Error - you cannot enhance irreplaceable individual trees ▲",IF(P100='G-1 All Habitats'!$X$9,T100*S100,IF(AND(P100='G-1 All Habitats'!$X$9,W100&gt;0),X100+(Y100*S100),IF(AND(P100='G-1 All Habitats'!$X$9,V100&gt;0),X100+(Y100*S100),IF(AND(P100='G-1 All Habitats'!$X$9,AG100&gt;0),"Any Loss Unacceptable  ⚠",IF(AND(P100='G-1 All Habitats'!$X$9,Z100&gt;0),"Any Loss Unacceptable ⚠",H100*J100*L100*O100*S100))))))),"Check Data ⚠")</f>
        <v/>
      </c>
      <c r="R100" s="393"/>
      <c r="S100" s="510" t="str">
        <f>IF(R100="","",IF(VLOOKUP(R100,'G-3 Multipliers'!$S$3:$T$10,2,FALSE)=0,"Spatial Data Missing ⚠",VLOOKUP(R100,'G-3 Multipliers'!$S$3:$T$10,2,FALSE)))</f>
        <v/>
      </c>
      <c r="T100" s="289" t="str">
        <f>IFERROR(IF(AND(F100&lt;&gt;"",G100=""),"Confirm irreplaceable habitat status ▲",(IF(AND(R100&lt;&gt;"",AF100=""),"Off-site reference required ▲",(IF(AND(E100="Individual trees",W100&gt;0,G100="Yes"),"Error - you cannot enhance irreplaceable individual trees ▲",(IF(AND(X100="Irreplaceable habitat - no units generated ⚠",(W100+V100)&lt;H100,OR(AB100="No",AB100="")),"Any Loss Unacceptable ⚠",(IF(X100="Irreplaceable habitat - no units generated ⚠",W100*J100*L100*O100,IF(AND(P100='G-1 All Habitats'!$X$9,AH100&gt;0,V100&lt;=0,W100&lt;=0,OR(AB100="No",AB100="")),"Any Loss Unacceptable ⚠",IF(AND(P100='G-1 All Habitats'!$X$9,AH100&gt;0,V100&lt;=0,W100&lt;=0),0,(IF(AND(P100='G-1 All Habitats'!$X$9,(W100+V100)&lt;H100,OR(AB100="No",AB100="")),"Any Loss Unacceptable ⚠",(IF(P100="","",IF(AND(P100='G-1 All Habitats'!$X$9,W100&gt;0),X100+Y100,IF(AND(P100='G-1 All Habitats'!$X$9,V100&gt;0),X100+Y100,IF(R100="","",H100*J100*L100*O100)))))))))))))))))),"Check Data ▲")</f>
        <v/>
      </c>
      <c r="U100" s="38"/>
      <c r="V100" s="52"/>
      <c r="W100" s="53"/>
      <c r="X100" s="287" t="str">
        <f t="shared" si="11"/>
        <v/>
      </c>
      <c r="Y100" s="287" t="str">
        <f t="shared" si="12"/>
        <v/>
      </c>
      <c r="Z100" s="287" t="str">
        <f t="shared" si="13"/>
        <v/>
      </c>
      <c r="AA100" s="317" t="str">
        <f>IFERROR(IF(AND(E100="Individual trees",G100="Yes",W100&gt;0),"Error - you cannot enhance an irreplaceable tree ▲",(IF(H100="","",IF(H100-V100-W100=0&lt;0,"Error in Areas ▲",IF(V100+W100&gt;H100,"Error in Areas ▲",IF(AND(P100='G-1 All Habitats'!$X$9,AB100="Yes"),"Alternative Compensation ✓",IF(AND(P100='G-1 All Habitats'!$X$3,AB100="Yes"),"Alternative Compensation ✓",IF(AND(AB100="Pending",P100='G-1 All Habitats'!$X$3),"Bespoke compensation must be agreed ▲",IF(AND(AB100="Pending",P100='G-1 All Habitats'!$X$9),"Bespoke compensation must be agreed  ▲",IF(Z100=0,0,IF(P100='G-1 All Habitats'!$X$9,"Any Loss Unacceptable ▲",T100-X100-Y100))))))))))),"Check Data ⚠")</f>
        <v/>
      </c>
      <c r="AB100" s="587"/>
      <c r="AC100" s="105"/>
      <c r="AD100" s="138"/>
      <c r="AE100" s="104"/>
      <c r="AF100" s="611"/>
      <c r="AG100" s="523" t="str">
        <f>IF(OR(P100="",AB100="Yes"),"",IF(P100='G-1 All Habitats'!$X$9,H100-V100-W100,"None"))</f>
        <v/>
      </c>
      <c r="AH100" s="523" t="str">
        <f>IF(P100="","",IF(P100='G-1 All Habitats'!$X$9,AG100*J100*L100*O100,"None"))</f>
        <v/>
      </c>
      <c r="AJ100" s="107" t="str">
        <f t="shared" si="14"/>
        <v/>
      </c>
      <c r="AK100" s="107" t="str">
        <f t="shared" si="9"/>
        <v/>
      </c>
      <c r="AL100" s="107" t="str">
        <f>IF(I100="","",IF(#REF!&gt;0,TRUE,FALSE))</f>
        <v/>
      </c>
      <c r="AM100" s="107">
        <v>90</v>
      </c>
      <c r="AN100" s="107"/>
      <c r="AO100" s="107" t="str">
        <f t="array" ref="AO100">IFERROR(INDEX($AM$11:$AM$259,MATCH(0,IF(TRUE=$AJ$11:$AJ$259,COUNTIF($AO$10:$AO99,$AM$11:$AM$259),""),0)),"")</f>
        <v/>
      </c>
      <c r="AP100" s="107" t="str">
        <f t="array" ref="AP100">IFERROR(INDEX($AM$11:$AM$259,MATCH(0,IF(TRUE=$AK$11:$AK$259,COUNTIF($AP$10:$AP99,$AM$11:$AM$259),""),0)),"")</f>
        <v/>
      </c>
      <c r="AQ100" s="107" t="str">
        <f t="array" ref="AQ100">IFERROR(INDEX($AM$11:$AM$259,MATCH(0,IF(TRUE=$AL$11:$AL$259,COUNTIF($AQ$10:$AQ99,$AM$11:$AM$259),""),0)),"")</f>
        <v/>
      </c>
      <c r="AS100" s="885" t="str">
        <f>IF(AND(OR(AB100="Yes",AB100="Pending"),P100='G-1 All Habitats'!$X$3),T100-X100-Y100,"0")</f>
        <v>0</v>
      </c>
      <c r="AT100" s="30" t="str">
        <f t="shared" si="10"/>
        <v/>
      </c>
      <c r="AU100" s="30">
        <f t="shared" si="15"/>
        <v>0</v>
      </c>
      <c r="AV100" s="230" t="str">
        <f>IFERROR(INDEX('G-1 All Habitats'!$B$3:$B$135,MATCH(F100,'G-1 All Habitats'!$A$3:$A$135,0)),"")</f>
        <v/>
      </c>
      <c r="AW100" s="30" t="str">
        <f>IF(AV100="","",VLOOKUP(AV100,'G-1 All Habitats'!$B$1:$T$135,19,FALSE))</f>
        <v/>
      </c>
      <c r="AY100" s="287" t="str">
        <f t="shared" si="16"/>
        <v/>
      </c>
    </row>
    <row r="101" spans="1:51" ht="14">
      <c r="A101" s="30" t="str">
        <f>IFERROR(INDEX('G-1 All Habitats'!$AG$3:$AG$17,MATCH(E101,'G-1 All Habitats'!$AF$3:$AF$17,0)),"")</f>
        <v/>
      </c>
      <c r="B101" s="30" t="str">
        <f>IFERROR(INDEX('G-8 Condition Look up'!$I$4:$I$135,MATCH(AV101,'G-8 Condition Look up'!$A$4:$A$135,0)),"")</f>
        <v/>
      </c>
      <c r="D101" s="97">
        <v>91</v>
      </c>
      <c r="E101" s="262"/>
      <c r="F101" s="263"/>
      <c r="G101" s="133"/>
      <c r="H101" s="115"/>
      <c r="I101" s="509" t="str">
        <f>IF(AV101="","",IF(AND(AW101="Yes",G101="No"),"Irreplaceable habitat ▲",IF(AND(AW101="No",G101="Yes"),"Cannot be Irreplaceable ▲",VLOOKUP(AV101,'G-1 All Habitats'!$B$2:$M$135,10,FALSE))))</f>
        <v/>
      </c>
      <c r="J101" s="377" t="str">
        <f>IFERROR(VLOOKUP(I101,'G-1 All Habitats'!$V$3:$W$7,2,FALSE),"")</f>
        <v/>
      </c>
      <c r="K101" s="101"/>
      <c r="L101" s="276" t="str">
        <f>IFERROR(INDEX('G-8 Condition Look up'!$A$3:$H$135,MATCH(AV101,'G-8 Condition Look up'!$A$3:$A$135,0),MATCH(K101,'G-8 Condition Look up'!$A$3:$H$3,0)),"")</f>
        <v/>
      </c>
      <c r="M101" s="105"/>
      <c r="N101" s="295" t="str">
        <f>IF(M101="","",IF(VLOOKUP(M101,'G-3 Multipliers'!$L$3:$N$6,2,FALSE)=0,"Spatial Data Missing ⚠",VLOOKUP(M101,'G-3 Multipliers'!$L$3:$N$6,2,FALSE)))</f>
        <v/>
      </c>
      <c r="O101" s="353" t="str">
        <f>IF(M101="","",IF(VLOOKUP(M101,'G-3 Multipliers'!$L$3:$N$6,3,FALSE)=0,"Spatial Data Missing ⚠",VLOOKUP(M101,'G-3 Multipliers'!$L$3:$N$6,3,FALSE)))</f>
        <v/>
      </c>
      <c r="P101" s="336" t="str">
        <f>(IF(G101="Yes","Bespoke compensation likely to be required",(IFERROR(VLOOKUP(AV101,'G-1 All Habitats'!$B$2:$M$135,12,FALSE),""))))</f>
        <v/>
      </c>
      <c r="Q101" s="511" t="str">
        <f>IFERROR(IF(P101="","",IF(AND(E101="Individual trees",W101&gt;0,G101="Yes"),"Error - you cannot enhance irreplaceable individual trees ▲",IF(P101='G-1 All Habitats'!$X$9,T101*S101,IF(AND(P101='G-1 All Habitats'!$X$9,W101&gt;0),X101+(Y101*S101),IF(AND(P101='G-1 All Habitats'!$X$9,V101&gt;0),X101+(Y101*S101),IF(AND(P101='G-1 All Habitats'!$X$9,AG101&gt;0),"Any Loss Unacceptable  ⚠",IF(AND(P101='G-1 All Habitats'!$X$9,Z101&gt;0),"Any Loss Unacceptable ⚠",H101*J101*L101*O101*S101))))))),"Check Data ⚠")</f>
        <v/>
      </c>
      <c r="R101" s="393"/>
      <c r="S101" s="510" t="str">
        <f>IF(R101="","",IF(VLOOKUP(R101,'G-3 Multipliers'!$S$3:$T$10,2,FALSE)=0,"Spatial Data Missing ⚠",VLOOKUP(R101,'G-3 Multipliers'!$S$3:$T$10,2,FALSE)))</f>
        <v/>
      </c>
      <c r="T101" s="289" t="str">
        <f>IFERROR(IF(AND(F101&lt;&gt;"",G101=""),"Confirm irreplaceable habitat status ▲",(IF(AND(R101&lt;&gt;"",AF101=""),"Off-site reference required ▲",(IF(AND(E101="Individual trees",W101&gt;0,G101="Yes"),"Error - you cannot enhance irreplaceable individual trees ▲",(IF(AND(X101="Irreplaceable habitat - no units generated ⚠",(W101+V101)&lt;H101,OR(AB101="No",AB101="")),"Any Loss Unacceptable ⚠",(IF(X101="Irreplaceable habitat - no units generated ⚠",W101*J101*L101*O101,IF(AND(P101='G-1 All Habitats'!$X$9,AH101&gt;0,V101&lt;=0,W101&lt;=0,OR(AB101="No",AB101="")),"Any Loss Unacceptable ⚠",IF(AND(P101='G-1 All Habitats'!$X$9,AH101&gt;0,V101&lt;=0,W101&lt;=0),0,(IF(AND(P101='G-1 All Habitats'!$X$9,(W101+V101)&lt;H101,OR(AB101="No",AB101="")),"Any Loss Unacceptable ⚠",(IF(P101="","",IF(AND(P101='G-1 All Habitats'!$X$9,W101&gt;0),X101+Y101,IF(AND(P101='G-1 All Habitats'!$X$9,V101&gt;0),X101+Y101,IF(R101="","",H101*J101*L101*O101)))))))))))))))))),"Check Data ▲")</f>
        <v/>
      </c>
      <c r="U101" s="38"/>
      <c r="V101" s="52"/>
      <c r="W101" s="53"/>
      <c r="X101" s="287" t="str">
        <f t="shared" si="11"/>
        <v/>
      </c>
      <c r="Y101" s="287" t="str">
        <f t="shared" si="12"/>
        <v/>
      </c>
      <c r="Z101" s="287" t="str">
        <f t="shared" si="13"/>
        <v/>
      </c>
      <c r="AA101" s="317" t="str">
        <f>IFERROR(IF(AND(E101="Individual trees",G101="Yes",W101&gt;0),"Error - you cannot enhance an irreplaceable tree ▲",(IF(H101="","",IF(H101-V101-W101=0&lt;0,"Error in Areas ▲",IF(V101+W101&gt;H101,"Error in Areas ▲",IF(AND(P101='G-1 All Habitats'!$X$9,AB101="Yes"),"Alternative Compensation ✓",IF(AND(P101='G-1 All Habitats'!$X$3,AB101="Yes"),"Alternative Compensation ✓",IF(AND(AB101="Pending",P101='G-1 All Habitats'!$X$3),"Bespoke compensation must be agreed ▲",IF(AND(AB101="Pending",P101='G-1 All Habitats'!$X$9),"Bespoke compensation must be agreed  ▲",IF(Z101=0,0,IF(P101='G-1 All Habitats'!$X$9,"Any Loss Unacceptable ▲",T101-X101-Y101))))))))))),"Check Data ⚠")</f>
        <v/>
      </c>
      <c r="AB101" s="587"/>
      <c r="AC101" s="105"/>
      <c r="AD101" s="138"/>
      <c r="AE101" s="104"/>
      <c r="AF101" s="611"/>
      <c r="AG101" s="523" t="str">
        <f>IF(OR(P101="",AB101="Yes"),"",IF(P101='G-1 All Habitats'!$X$9,H101-V101-W101,"None"))</f>
        <v/>
      </c>
      <c r="AH101" s="523" t="str">
        <f>IF(P101="","",IF(P101='G-1 All Habitats'!$X$9,AG101*J101*L101*O101,"None"))</f>
        <v/>
      </c>
      <c r="AJ101" s="107" t="str">
        <f t="shared" si="14"/>
        <v/>
      </c>
      <c r="AK101" s="107" t="str">
        <f t="shared" si="9"/>
        <v/>
      </c>
      <c r="AL101" s="107" t="str">
        <f>IF(I101="","",IF(#REF!&gt;0,TRUE,FALSE))</f>
        <v/>
      </c>
      <c r="AM101" s="107">
        <v>91</v>
      </c>
      <c r="AN101" s="107"/>
      <c r="AO101" s="107" t="str">
        <f t="array" ref="AO101">IFERROR(INDEX($AM$11:$AM$259,MATCH(0,IF(TRUE=$AJ$11:$AJ$259,COUNTIF($AO$10:$AO100,$AM$11:$AM$259),""),0)),"")</f>
        <v/>
      </c>
      <c r="AP101" s="107" t="str">
        <f t="array" ref="AP101">IFERROR(INDEX($AM$11:$AM$259,MATCH(0,IF(TRUE=$AK$11:$AK$259,COUNTIF($AP$10:$AP100,$AM$11:$AM$259),""),0)),"")</f>
        <v/>
      </c>
      <c r="AQ101" s="107" t="str">
        <f t="array" ref="AQ101">IFERROR(INDEX($AM$11:$AM$259,MATCH(0,IF(TRUE=$AL$11:$AL$259,COUNTIF($AQ$10:$AQ100,$AM$11:$AM$259),""),0)),"")</f>
        <v/>
      </c>
      <c r="AS101" s="885" t="str">
        <f>IF(AND(OR(AB101="Yes",AB101="Pending"),P101='G-1 All Habitats'!$X$3),T101-X101-Y101,"0")</f>
        <v>0</v>
      </c>
      <c r="AT101" s="30" t="str">
        <f t="shared" si="10"/>
        <v/>
      </c>
      <c r="AU101" s="30">
        <f t="shared" si="15"/>
        <v>0</v>
      </c>
      <c r="AV101" s="230" t="str">
        <f>IFERROR(INDEX('G-1 All Habitats'!$B$3:$B$135,MATCH(F101,'G-1 All Habitats'!$A$3:$A$135,0)),"")</f>
        <v/>
      </c>
      <c r="AW101" s="30" t="str">
        <f>IF(AV101="","",VLOOKUP(AV101,'G-1 All Habitats'!$B$1:$T$135,19,FALSE))</f>
        <v/>
      </c>
      <c r="AY101" s="287" t="str">
        <f t="shared" si="16"/>
        <v/>
      </c>
    </row>
    <row r="102" spans="1:51" ht="14">
      <c r="A102" s="30" t="str">
        <f>IFERROR(INDEX('G-1 All Habitats'!$AG$3:$AG$17,MATCH(E102,'G-1 All Habitats'!$AF$3:$AF$17,0)),"")</f>
        <v/>
      </c>
      <c r="B102" s="30" t="str">
        <f>IFERROR(INDEX('G-8 Condition Look up'!$I$4:$I$135,MATCH(AV102,'G-8 Condition Look up'!$A$4:$A$135,0)),"")</f>
        <v/>
      </c>
      <c r="D102" s="97">
        <v>92</v>
      </c>
      <c r="E102" s="262"/>
      <c r="F102" s="263"/>
      <c r="G102" s="133"/>
      <c r="H102" s="115"/>
      <c r="I102" s="509" t="str">
        <f>IF(AV102="","",IF(AND(AW102="Yes",G102="No"),"Irreplaceable habitat ▲",IF(AND(AW102="No",G102="Yes"),"Cannot be Irreplaceable ▲",VLOOKUP(AV102,'G-1 All Habitats'!$B$2:$M$135,10,FALSE))))</f>
        <v/>
      </c>
      <c r="J102" s="377" t="str">
        <f>IFERROR(VLOOKUP(I102,'G-1 All Habitats'!$V$3:$W$7,2,FALSE),"")</f>
        <v/>
      </c>
      <c r="K102" s="101"/>
      <c r="L102" s="276" t="str">
        <f>IFERROR(INDEX('G-8 Condition Look up'!$A$3:$H$135,MATCH(AV102,'G-8 Condition Look up'!$A$3:$A$135,0),MATCH(K102,'G-8 Condition Look up'!$A$3:$H$3,0)),"")</f>
        <v/>
      </c>
      <c r="M102" s="105"/>
      <c r="N102" s="295" t="str">
        <f>IF(M102="","",IF(VLOOKUP(M102,'G-3 Multipliers'!$L$3:$N$6,2,FALSE)=0,"Spatial Data Missing ⚠",VLOOKUP(M102,'G-3 Multipliers'!$L$3:$N$6,2,FALSE)))</f>
        <v/>
      </c>
      <c r="O102" s="353" t="str">
        <f>IF(M102="","",IF(VLOOKUP(M102,'G-3 Multipliers'!$L$3:$N$6,3,FALSE)=0,"Spatial Data Missing ⚠",VLOOKUP(M102,'G-3 Multipliers'!$L$3:$N$6,3,FALSE)))</f>
        <v/>
      </c>
      <c r="P102" s="336" t="str">
        <f>(IF(G102="Yes","Bespoke compensation likely to be required",(IFERROR(VLOOKUP(AV102,'G-1 All Habitats'!$B$2:$M$135,12,FALSE),""))))</f>
        <v/>
      </c>
      <c r="Q102" s="511" t="str">
        <f>IFERROR(IF(P102="","",IF(AND(E102="Individual trees",W102&gt;0,G102="Yes"),"Error - you cannot enhance irreplaceable individual trees ▲",IF(P102='G-1 All Habitats'!$X$9,T102*S102,IF(AND(P102='G-1 All Habitats'!$X$9,W102&gt;0),X102+(Y102*S102),IF(AND(P102='G-1 All Habitats'!$X$9,V102&gt;0),X102+(Y102*S102),IF(AND(P102='G-1 All Habitats'!$X$9,AG102&gt;0),"Any Loss Unacceptable  ⚠",IF(AND(P102='G-1 All Habitats'!$X$9,Z102&gt;0),"Any Loss Unacceptable ⚠",H102*J102*L102*O102*S102))))))),"Check Data ⚠")</f>
        <v/>
      </c>
      <c r="R102" s="393"/>
      <c r="S102" s="510" t="str">
        <f>IF(R102="","",IF(VLOOKUP(R102,'G-3 Multipliers'!$S$3:$T$10,2,FALSE)=0,"Spatial Data Missing ⚠",VLOOKUP(R102,'G-3 Multipliers'!$S$3:$T$10,2,FALSE)))</f>
        <v/>
      </c>
      <c r="T102" s="289" t="str">
        <f>IFERROR(IF(AND(F102&lt;&gt;"",G102=""),"Confirm irreplaceable habitat status ▲",(IF(AND(R102&lt;&gt;"",AF102=""),"Off-site reference required ▲",(IF(AND(E102="Individual trees",W102&gt;0,G102="Yes"),"Error - you cannot enhance irreplaceable individual trees ▲",(IF(AND(X102="Irreplaceable habitat - no units generated ⚠",(W102+V102)&lt;H102,OR(AB102="No",AB102="")),"Any Loss Unacceptable ⚠",(IF(X102="Irreplaceable habitat - no units generated ⚠",W102*J102*L102*O102,IF(AND(P102='G-1 All Habitats'!$X$9,AH102&gt;0,V102&lt;=0,W102&lt;=0,OR(AB102="No",AB102="")),"Any Loss Unacceptable ⚠",IF(AND(P102='G-1 All Habitats'!$X$9,AH102&gt;0,V102&lt;=0,W102&lt;=0),0,(IF(AND(P102='G-1 All Habitats'!$X$9,(W102+V102)&lt;H102,OR(AB102="No",AB102="")),"Any Loss Unacceptable ⚠",(IF(P102="","",IF(AND(P102='G-1 All Habitats'!$X$9,W102&gt;0),X102+Y102,IF(AND(P102='G-1 All Habitats'!$X$9,V102&gt;0),X102+Y102,IF(R102="","",H102*J102*L102*O102)))))))))))))))))),"Check Data ▲")</f>
        <v/>
      </c>
      <c r="U102" s="38"/>
      <c r="V102" s="52"/>
      <c r="W102" s="53"/>
      <c r="X102" s="287" t="str">
        <f t="shared" si="11"/>
        <v/>
      </c>
      <c r="Y102" s="287" t="str">
        <f t="shared" si="12"/>
        <v/>
      </c>
      <c r="Z102" s="287" t="str">
        <f t="shared" si="13"/>
        <v/>
      </c>
      <c r="AA102" s="317" t="str">
        <f>IFERROR(IF(AND(E102="Individual trees",G102="Yes",W102&gt;0),"Error - you cannot enhance an irreplaceable tree ▲",(IF(H102="","",IF(H102-V102-W102=0&lt;0,"Error in Areas ▲",IF(V102+W102&gt;H102,"Error in Areas ▲",IF(AND(P102='G-1 All Habitats'!$X$9,AB102="Yes"),"Alternative Compensation ✓",IF(AND(P102='G-1 All Habitats'!$X$3,AB102="Yes"),"Alternative Compensation ✓",IF(AND(AB102="Pending",P102='G-1 All Habitats'!$X$3),"Bespoke compensation must be agreed ▲",IF(AND(AB102="Pending",P102='G-1 All Habitats'!$X$9),"Bespoke compensation must be agreed  ▲",IF(Z102=0,0,IF(P102='G-1 All Habitats'!$X$9,"Any Loss Unacceptable ▲",T102-X102-Y102))))))))))),"Check Data ⚠")</f>
        <v/>
      </c>
      <c r="AB102" s="587"/>
      <c r="AC102" s="105"/>
      <c r="AD102" s="138"/>
      <c r="AE102" s="104"/>
      <c r="AF102" s="611"/>
      <c r="AG102" s="523" t="str">
        <f>IF(OR(P102="",AB102="Yes"),"",IF(P102='G-1 All Habitats'!$X$9,H102-V102-W102,"None"))</f>
        <v/>
      </c>
      <c r="AH102" s="523" t="str">
        <f>IF(P102="","",IF(P102='G-1 All Habitats'!$X$9,AG102*J102*L102*O102,"None"))</f>
        <v/>
      </c>
      <c r="AJ102" s="107" t="str">
        <f t="shared" si="14"/>
        <v/>
      </c>
      <c r="AK102" s="107" t="str">
        <f t="shared" si="9"/>
        <v/>
      </c>
      <c r="AL102" s="107" t="str">
        <f>IF(I102="","",IF(#REF!&gt;0,TRUE,FALSE))</f>
        <v/>
      </c>
      <c r="AM102" s="107">
        <v>92</v>
      </c>
      <c r="AN102" s="107"/>
      <c r="AO102" s="107" t="str">
        <f t="array" ref="AO102">IFERROR(INDEX($AM$11:$AM$259,MATCH(0,IF(TRUE=$AJ$11:$AJ$259,COUNTIF($AO$10:$AO101,$AM$11:$AM$259),""),0)),"")</f>
        <v/>
      </c>
      <c r="AP102" s="107" t="str">
        <f t="array" ref="AP102">IFERROR(INDEX($AM$11:$AM$259,MATCH(0,IF(TRUE=$AK$11:$AK$259,COUNTIF($AP$10:$AP101,$AM$11:$AM$259),""),0)),"")</f>
        <v/>
      </c>
      <c r="AQ102" s="107" t="str">
        <f t="array" ref="AQ102">IFERROR(INDEX($AM$11:$AM$259,MATCH(0,IF(TRUE=$AL$11:$AL$259,COUNTIF($AQ$10:$AQ101,$AM$11:$AM$259),""),0)),"")</f>
        <v/>
      </c>
      <c r="AS102" s="885" t="str">
        <f>IF(AND(OR(AB102="Yes",AB102="Pending"),P102='G-1 All Habitats'!$X$3),T102-X102-Y102,"0")</f>
        <v>0</v>
      </c>
      <c r="AT102" s="30" t="str">
        <f t="shared" si="10"/>
        <v/>
      </c>
      <c r="AU102" s="30">
        <f t="shared" si="15"/>
        <v>0</v>
      </c>
      <c r="AV102" s="230" t="str">
        <f>IFERROR(INDEX('G-1 All Habitats'!$B$3:$B$135,MATCH(F102,'G-1 All Habitats'!$A$3:$A$135,0)),"")</f>
        <v/>
      </c>
      <c r="AW102" s="30" t="str">
        <f>IF(AV102="","",VLOOKUP(AV102,'G-1 All Habitats'!$B$1:$T$135,19,FALSE))</f>
        <v/>
      </c>
      <c r="AY102" s="287" t="str">
        <f t="shared" si="16"/>
        <v/>
      </c>
    </row>
    <row r="103" spans="1:51" ht="14">
      <c r="A103" s="30" t="str">
        <f>IFERROR(INDEX('G-1 All Habitats'!$AG$3:$AG$17,MATCH(E103,'G-1 All Habitats'!$AF$3:$AF$17,0)),"")</f>
        <v/>
      </c>
      <c r="B103" s="30" t="str">
        <f>IFERROR(INDEX('G-8 Condition Look up'!$I$4:$I$135,MATCH(AV103,'G-8 Condition Look up'!$A$4:$A$135,0)),"")</f>
        <v/>
      </c>
      <c r="D103" s="97">
        <v>93</v>
      </c>
      <c r="E103" s="262"/>
      <c r="F103" s="263"/>
      <c r="G103" s="133"/>
      <c r="H103" s="115"/>
      <c r="I103" s="509" t="str">
        <f>IF(AV103="","",IF(AND(AW103="Yes",G103="No"),"Irreplaceable habitat ▲",IF(AND(AW103="No",G103="Yes"),"Cannot be Irreplaceable ▲",VLOOKUP(AV103,'G-1 All Habitats'!$B$2:$M$135,10,FALSE))))</f>
        <v/>
      </c>
      <c r="J103" s="377" t="str">
        <f>IFERROR(VLOOKUP(I103,'G-1 All Habitats'!$V$3:$W$7,2,FALSE),"")</f>
        <v/>
      </c>
      <c r="K103" s="101"/>
      <c r="L103" s="276" t="str">
        <f>IFERROR(INDEX('G-8 Condition Look up'!$A$3:$H$135,MATCH(AV103,'G-8 Condition Look up'!$A$3:$A$135,0),MATCH(K103,'G-8 Condition Look up'!$A$3:$H$3,0)),"")</f>
        <v/>
      </c>
      <c r="M103" s="105"/>
      <c r="N103" s="295" t="str">
        <f>IF(M103="","",IF(VLOOKUP(M103,'G-3 Multipliers'!$L$3:$N$6,2,FALSE)=0,"Spatial Data Missing ⚠",VLOOKUP(M103,'G-3 Multipliers'!$L$3:$N$6,2,FALSE)))</f>
        <v/>
      </c>
      <c r="O103" s="353" t="str">
        <f>IF(M103="","",IF(VLOOKUP(M103,'G-3 Multipliers'!$L$3:$N$6,3,FALSE)=0,"Spatial Data Missing ⚠",VLOOKUP(M103,'G-3 Multipliers'!$L$3:$N$6,3,FALSE)))</f>
        <v/>
      </c>
      <c r="P103" s="336" t="str">
        <f>(IF(G103="Yes","Bespoke compensation likely to be required",(IFERROR(VLOOKUP(AV103,'G-1 All Habitats'!$B$2:$M$135,12,FALSE),""))))</f>
        <v/>
      </c>
      <c r="Q103" s="511" t="str">
        <f>IFERROR(IF(P103="","",IF(AND(E103="Individual trees",W103&gt;0,G103="Yes"),"Error - you cannot enhance irreplaceable individual trees ▲",IF(P103='G-1 All Habitats'!$X$9,T103*S103,IF(AND(P103='G-1 All Habitats'!$X$9,W103&gt;0),X103+(Y103*S103),IF(AND(P103='G-1 All Habitats'!$X$9,V103&gt;0),X103+(Y103*S103),IF(AND(P103='G-1 All Habitats'!$X$9,AG103&gt;0),"Any Loss Unacceptable  ⚠",IF(AND(P103='G-1 All Habitats'!$X$9,Z103&gt;0),"Any Loss Unacceptable ⚠",H103*J103*L103*O103*S103))))))),"Check Data ⚠")</f>
        <v/>
      </c>
      <c r="R103" s="393"/>
      <c r="S103" s="510" t="str">
        <f>IF(R103="","",IF(VLOOKUP(R103,'G-3 Multipliers'!$S$3:$T$10,2,FALSE)=0,"Spatial Data Missing ⚠",VLOOKUP(R103,'G-3 Multipliers'!$S$3:$T$10,2,FALSE)))</f>
        <v/>
      </c>
      <c r="T103" s="289" t="str">
        <f>IFERROR(IF(AND(F103&lt;&gt;"",G103=""),"Confirm irreplaceable habitat status ▲",(IF(AND(R103&lt;&gt;"",AF103=""),"Off-site reference required ▲",(IF(AND(E103="Individual trees",W103&gt;0,G103="Yes"),"Error - you cannot enhance irreplaceable individual trees ▲",(IF(AND(X103="Irreplaceable habitat - no units generated ⚠",(W103+V103)&lt;H103,OR(AB103="No",AB103="")),"Any Loss Unacceptable ⚠",(IF(X103="Irreplaceable habitat - no units generated ⚠",W103*J103*L103*O103,IF(AND(P103='G-1 All Habitats'!$X$9,AH103&gt;0,V103&lt;=0,W103&lt;=0,OR(AB103="No",AB103="")),"Any Loss Unacceptable ⚠",IF(AND(P103='G-1 All Habitats'!$X$9,AH103&gt;0,V103&lt;=0,W103&lt;=0),0,(IF(AND(P103='G-1 All Habitats'!$X$9,(W103+V103)&lt;H103,OR(AB103="No",AB103="")),"Any Loss Unacceptable ⚠",(IF(P103="","",IF(AND(P103='G-1 All Habitats'!$X$9,W103&gt;0),X103+Y103,IF(AND(P103='G-1 All Habitats'!$X$9,V103&gt;0),X103+Y103,IF(R103="","",H103*J103*L103*O103)))))))))))))))))),"Check Data ▲")</f>
        <v/>
      </c>
      <c r="U103" s="38"/>
      <c r="V103" s="52"/>
      <c r="W103" s="53"/>
      <c r="X103" s="287" t="str">
        <f t="shared" si="11"/>
        <v/>
      </c>
      <c r="Y103" s="287" t="str">
        <f t="shared" si="12"/>
        <v/>
      </c>
      <c r="Z103" s="287" t="str">
        <f t="shared" si="13"/>
        <v/>
      </c>
      <c r="AA103" s="317" t="str">
        <f>IFERROR(IF(AND(E103="Individual trees",G103="Yes",W103&gt;0),"Error - you cannot enhance an irreplaceable tree ▲",(IF(H103="","",IF(H103-V103-W103=0&lt;0,"Error in Areas ▲",IF(V103+W103&gt;H103,"Error in Areas ▲",IF(AND(P103='G-1 All Habitats'!$X$9,AB103="Yes"),"Alternative Compensation ✓",IF(AND(P103='G-1 All Habitats'!$X$3,AB103="Yes"),"Alternative Compensation ✓",IF(AND(AB103="Pending",P103='G-1 All Habitats'!$X$3),"Bespoke compensation must be agreed ▲",IF(AND(AB103="Pending",P103='G-1 All Habitats'!$X$9),"Bespoke compensation must be agreed  ▲",IF(Z103=0,0,IF(P103='G-1 All Habitats'!$X$9,"Any Loss Unacceptable ▲",T103-X103-Y103))))))))))),"Check Data ⚠")</f>
        <v/>
      </c>
      <c r="AB103" s="587"/>
      <c r="AC103" s="105"/>
      <c r="AD103" s="138"/>
      <c r="AE103" s="104"/>
      <c r="AF103" s="611"/>
      <c r="AG103" s="523" t="str">
        <f>IF(OR(P103="",AB103="Yes"),"",IF(P103='G-1 All Habitats'!$X$9,H103-V103-W103,"None"))</f>
        <v/>
      </c>
      <c r="AH103" s="523" t="str">
        <f>IF(P103="","",IF(P103='G-1 All Habitats'!$X$9,AG103*J103*L103*O103,"None"))</f>
        <v/>
      </c>
      <c r="AJ103" s="107" t="str">
        <f t="shared" si="14"/>
        <v/>
      </c>
      <c r="AK103" s="107" t="str">
        <f t="shared" si="9"/>
        <v/>
      </c>
      <c r="AL103" s="107" t="str">
        <f>IF(I103="","",IF(#REF!&gt;0,TRUE,FALSE))</f>
        <v/>
      </c>
      <c r="AM103" s="107">
        <v>93</v>
      </c>
      <c r="AN103" s="107"/>
      <c r="AO103" s="107" t="str">
        <f t="array" ref="AO103">IFERROR(INDEX($AM$11:$AM$259,MATCH(0,IF(TRUE=$AJ$11:$AJ$259,COUNTIF($AO$10:$AO102,$AM$11:$AM$259),""),0)),"")</f>
        <v/>
      </c>
      <c r="AP103" s="107" t="str">
        <f t="array" ref="AP103">IFERROR(INDEX($AM$11:$AM$259,MATCH(0,IF(TRUE=$AK$11:$AK$259,COUNTIF($AP$10:$AP102,$AM$11:$AM$259),""),0)),"")</f>
        <v/>
      </c>
      <c r="AQ103" s="107" t="str">
        <f t="array" ref="AQ103">IFERROR(INDEX($AM$11:$AM$259,MATCH(0,IF(TRUE=$AL$11:$AL$259,COUNTIF($AQ$10:$AQ102,$AM$11:$AM$259),""),0)),"")</f>
        <v/>
      </c>
      <c r="AS103" s="885" t="str">
        <f>IF(AND(OR(AB103="Yes",AB103="Pending"),P103='G-1 All Habitats'!$X$3),T103-X103-Y103,"0")</f>
        <v>0</v>
      </c>
      <c r="AT103" s="30" t="str">
        <f t="shared" si="10"/>
        <v/>
      </c>
      <c r="AU103" s="30">
        <f t="shared" si="15"/>
        <v>0</v>
      </c>
      <c r="AV103" s="230" t="str">
        <f>IFERROR(INDEX('G-1 All Habitats'!$B$3:$B$135,MATCH(F103,'G-1 All Habitats'!$A$3:$A$135,0)),"")</f>
        <v/>
      </c>
      <c r="AW103" s="30" t="str">
        <f>IF(AV103="","",VLOOKUP(AV103,'G-1 All Habitats'!$B$1:$T$135,19,FALSE))</f>
        <v/>
      </c>
      <c r="AY103" s="287" t="str">
        <f t="shared" si="16"/>
        <v/>
      </c>
    </row>
    <row r="104" spans="1:51" ht="14">
      <c r="A104" s="30" t="str">
        <f>IFERROR(INDEX('G-1 All Habitats'!$AG$3:$AG$17,MATCH(E104,'G-1 All Habitats'!$AF$3:$AF$17,0)),"")</f>
        <v/>
      </c>
      <c r="B104" s="30" t="str">
        <f>IFERROR(INDEX('G-8 Condition Look up'!$I$4:$I$135,MATCH(AV104,'G-8 Condition Look up'!$A$4:$A$135,0)),"")</f>
        <v/>
      </c>
      <c r="D104" s="97">
        <v>94</v>
      </c>
      <c r="E104" s="262"/>
      <c r="F104" s="263"/>
      <c r="G104" s="133"/>
      <c r="H104" s="115"/>
      <c r="I104" s="509" t="str">
        <f>IF(AV104="","",IF(AND(AW104="Yes",G104="No"),"Irreplaceable habitat ▲",IF(AND(AW104="No",G104="Yes"),"Cannot be Irreplaceable ▲",VLOOKUP(AV104,'G-1 All Habitats'!$B$2:$M$135,10,FALSE))))</f>
        <v/>
      </c>
      <c r="J104" s="377" t="str">
        <f>IFERROR(VLOOKUP(I104,'G-1 All Habitats'!$V$3:$W$7,2,FALSE),"")</f>
        <v/>
      </c>
      <c r="K104" s="101"/>
      <c r="L104" s="276" t="str">
        <f>IFERROR(INDEX('G-8 Condition Look up'!$A$3:$H$135,MATCH(AV104,'G-8 Condition Look up'!$A$3:$A$135,0),MATCH(K104,'G-8 Condition Look up'!$A$3:$H$3,0)),"")</f>
        <v/>
      </c>
      <c r="M104" s="105"/>
      <c r="N104" s="295" t="str">
        <f>IF(M104="","",IF(VLOOKUP(M104,'G-3 Multipliers'!$L$3:$N$6,2,FALSE)=0,"Spatial Data Missing ⚠",VLOOKUP(M104,'G-3 Multipliers'!$L$3:$N$6,2,FALSE)))</f>
        <v/>
      </c>
      <c r="O104" s="353" t="str">
        <f>IF(M104="","",IF(VLOOKUP(M104,'G-3 Multipliers'!$L$3:$N$6,3,FALSE)=0,"Spatial Data Missing ⚠",VLOOKUP(M104,'G-3 Multipliers'!$L$3:$N$6,3,FALSE)))</f>
        <v/>
      </c>
      <c r="P104" s="336" t="str">
        <f>(IF(G104="Yes","Bespoke compensation likely to be required",(IFERROR(VLOOKUP(AV104,'G-1 All Habitats'!$B$2:$M$135,12,FALSE),""))))</f>
        <v/>
      </c>
      <c r="Q104" s="511" t="str">
        <f>IFERROR(IF(P104="","",IF(AND(E104="Individual trees",W104&gt;0,G104="Yes"),"Error - you cannot enhance irreplaceable individual trees ▲",IF(P104='G-1 All Habitats'!$X$9,T104*S104,IF(AND(P104='G-1 All Habitats'!$X$9,W104&gt;0),X104+(Y104*S104),IF(AND(P104='G-1 All Habitats'!$X$9,V104&gt;0),X104+(Y104*S104),IF(AND(P104='G-1 All Habitats'!$X$9,AG104&gt;0),"Any Loss Unacceptable  ⚠",IF(AND(P104='G-1 All Habitats'!$X$9,Z104&gt;0),"Any Loss Unacceptable ⚠",H104*J104*L104*O104*S104))))))),"Check Data ⚠")</f>
        <v/>
      </c>
      <c r="R104" s="393"/>
      <c r="S104" s="510" t="str">
        <f>IF(R104="","",IF(VLOOKUP(R104,'G-3 Multipliers'!$S$3:$T$10,2,FALSE)=0,"Spatial Data Missing ⚠",VLOOKUP(R104,'G-3 Multipliers'!$S$3:$T$10,2,FALSE)))</f>
        <v/>
      </c>
      <c r="T104" s="289" t="str">
        <f>IFERROR(IF(AND(F104&lt;&gt;"",G104=""),"Confirm irreplaceable habitat status ▲",(IF(AND(R104&lt;&gt;"",AF104=""),"Off-site reference required ▲",(IF(AND(E104="Individual trees",W104&gt;0,G104="Yes"),"Error - you cannot enhance irreplaceable individual trees ▲",(IF(AND(X104="Irreplaceable habitat - no units generated ⚠",(W104+V104)&lt;H104,OR(AB104="No",AB104="")),"Any Loss Unacceptable ⚠",(IF(X104="Irreplaceable habitat - no units generated ⚠",W104*J104*L104*O104,IF(AND(P104='G-1 All Habitats'!$X$9,AH104&gt;0,V104&lt;=0,W104&lt;=0,OR(AB104="No",AB104="")),"Any Loss Unacceptable ⚠",IF(AND(P104='G-1 All Habitats'!$X$9,AH104&gt;0,V104&lt;=0,W104&lt;=0),0,(IF(AND(P104='G-1 All Habitats'!$X$9,(W104+V104)&lt;H104,OR(AB104="No",AB104="")),"Any Loss Unacceptable ⚠",(IF(P104="","",IF(AND(P104='G-1 All Habitats'!$X$9,W104&gt;0),X104+Y104,IF(AND(P104='G-1 All Habitats'!$X$9,V104&gt;0),X104+Y104,IF(R104="","",H104*J104*L104*O104)))))))))))))))))),"Check Data ▲")</f>
        <v/>
      </c>
      <c r="U104" s="38"/>
      <c r="V104" s="52"/>
      <c r="W104" s="53"/>
      <c r="X104" s="287" t="str">
        <f t="shared" si="11"/>
        <v/>
      </c>
      <c r="Y104" s="287" t="str">
        <f t="shared" si="12"/>
        <v/>
      </c>
      <c r="Z104" s="287" t="str">
        <f t="shared" si="13"/>
        <v/>
      </c>
      <c r="AA104" s="317" t="str">
        <f>IFERROR(IF(AND(E104="Individual trees",G104="Yes",W104&gt;0),"Error - you cannot enhance an irreplaceable tree ▲",(IF(H104="","",IF(H104-V104-W104=0&lt;0,"Error in Areas ▲",IF(V104+W104&gt;H104,"Error in Areas ▲",IF(AND(P104='G-1 All Habitats'!$X$9,AB104="Yes"),"Alternative Compensation ✓",IF(AND(P104='G-1 All Habitats'!$X$3,AB104="Yes"),"Alternative Compensation ✓",IF(AND(AB104="Pending",P104='G-1 All Habitats'!$X$3),"Bespoke compensation must be agreed ▲",IF(AND(AB104="Pending",P104='G-1 All Habitats'!$X$9),"Bespoke compensation must be agreed  ▲",IF(Z104=0,0,IF(P104='G-1 All Habitats'!$X$9,"Any Loss Unacceptable ▲",T104-X104-Y104))))))))))),"Check Data ⚠")</f>
        <v/>
      </c>
      <c r="AB104" s="587"/>
      <c r="AC104" s="105"/>
      <c r="AD104" s="138"/>
      <c r="AE104" s="104"/>
      <c r="AF104" s="611"/>
      <c r="AG104" s="523" t="str">
        <f>IF(OR(P104="",AB104="Yes"),"",IF(P104='G-1 All Habitats'!$X$9,H104-V104-W104,"None"))</f>
        <v/>
      </c>
      <c r="AH104" s="523" t="str">
        <f>IF(P104="","",IF(P104='G-1 All Habitats'!$X$9,AG104*J104*L104*O104,"None"))</f>
        <v/>
      </c>
      <c r="AJ104" s="107" t="str">
        <f t="shared" si="14"/>
        <v/>
      </c>
      <c r="AK104" s="107" t="str">
        <f t="shared" si="9"/>
        <v/>
      </c>
      <c r="AL104" s="107" t="str">
        <f>IF(I104="","",IF(#REF!&gt;0,TRUE,FALSE))</f>
        <v/>
      </c>
      <c r="AM104" s="107">
        <v>94</v>
      </c>
      <c r="AN104" s="107"/>
      <c r="AO104" s="107" t="str">
        <f t="array" ref="AO104">IFERROR(INDEX($AM$11:$AM$259,MATCH(0,IF(TRUE=$AJ$11:$AJ$259,COUNTIF($AO$10:$AO103,$AM$11:$AM$259),""),0)),"")</f>
        <v/>
      </c>
      <c r="AP104" s="107" t="str">
        <f t="array" ref="AP104">IFERROR(INDEX($AM$11:$AM$259,MATCH(0,IF(TRUE=$AK$11:$AK$259,COUNTIF($AP$10:$AP103,$AM$11:$AM$259),""),0)),"")</f>
        <v/>
      </c>
      <c r="AQ104" s="107" t="str">
        <f t="array" ref="AQ104">IFERROR(INDEX($AM$11:$AM$259,MATCH(0,IF(TRUE=$AL$11:$AL$259,COUNTIF($AQ$10:$AQ103,$AM$11:$AM$259),""),0)),"")</f>
        <v/>
      </c>
      <c r="AS104" s="885" t="str">
        <f>IF(AND(OR(AB104="Yes",AB104="Pending"),P104='G-1 All Habitats'!$X$3),T104-X104-Y104,"0")</f>
        <v>0</v>
      </c>
      <c r="AT104" s="30" t="str">
        <f t="shared" si="10"/>
        <v/>
      </c>
      <c r="AU104" s="30">
        <f t="shared" si="15"/>
        <v>0</v>
      </c>
      <c r="AV104" s="230" t="str">
        <f>IFERROR(INDEX('G-1 All Habitats'!$B$3:$B$135,MATCH(F104,'G-1 All Habitats'!$A$3:$A$135,0)),"")</f>
        <v/>
      </c>
      <c r="AW104" s="30" t="str">
        <f>IF(AV104="","",VLOOKUP(AV104,'G-1 All Habitats'!$B$1:$T$135,19,FALSE))</f>
        <v/>
      </c>
      <c r="AY104" s="287" t="str">
        <f t="shared" si="16"/>
        <v/>
      </c>
    </row>
    <row r="105" spans="1:51" ht="14">
      <c r="A105" s="30" t="str">
        <f>IFERROR(INDEX('G-1 All Habitats'!$AG$3:$AG$17,MATCH(E105,'G-1 All Habitats'!$AF$3:$AF$17,0)),"")</f>
        <v/>
      </c>
      <c r="B105" s="30" t="str">
        <f>IFERROR(INDEX('G-8 Condition Look up'!$I$4:$I$135,MATCH(AV105,'G-8 Condition Look up'!$A$4:$A$135,0)),"")</f>
        <v/>
      </c>
      <c r="D105" s="97">
        <v>95</v>
      </c>
      <c r="E105" s="262"/>
      <c r="F105" s="263"/>
      <c r="G105" s="133"/>
      <c r="H105" s="115"/>
      <c r="I105" s="509" t="str">
        <f>IF(AV105="","",IF(AND(AW105="Yes",G105="No"),"Irreplaceable habitat ▲",IF(AND(AW105="No",G105="Yes"),"Cannot be Irreplaceable ▲",VLOOKUP(AV105,'G-1 All Habitats'!$B$2:$M$135,10,FALSE))))</f>
        <v/>
      </c>
      <c r="J105" s="377" t="str">
        <f>IFERROR(VLOOKUP(I105,'G-1 All Habitats'!$V$3:$W$7,2,FALSE),"")</f>
        <v/>
      </c>
      <c r="K105" s="101"/>
      <c r="L105" s="276" t="str">
        <f>IFERROR(INDEX('G-8 Condition Look up'!$A$3:$H$135,MATCH(AV105,'G-8 Condition Look up'!$A$3:$A$135,0),MATCH(K105,'G-8 Condition Look up'!$A$3:$H$3,0)),"")</f>
        <v/>
      </c>
      <c r="M105" s="105"/>
      <c r="N105" s="295" t="str">
        <f>IF(M105="","",IF(VLOOKUP(M105,'G-3 Multipliers'!$L$3:$N$6,2,FALSE)=0,"Spatial Data Missing ⚠",VLOOKUP(M105,'G-3 Multipliers'!$L$3:$N$6,2,FALSE)))</f>
        <v/>
      </c>
      <c r="O105" s="353" t="str">
        <f>IF(M105="","",IF(VLOOKUP(M105,'G-3 Multipliers'!$L$3:$N$6,3,FALSE)=0,"Spatial Data Missing ⚠",VLOOKUP(M105,'G-3 Multipliers'!$L$3:$N$6,3,FALSE)))</f>
        <v/>
      </c>
      <c r="P105" s="336" t="str">
        <f>(IF(G105="Yes","Bespoke compensation likely to be required",(IFERROR(VLOOKUP(AV105,'G-1 All Habitats'!$B$2:$M$135,12,FALSE),""))))</f>
        <v/>
      </c>
      <c r="Q105" s="511" t="str">
        <f>IFERROR(IF(P105="","",IF(AND(E105="Individual trees",W105&gt;0,G105="Yes"),"Error - you cannot enhance irreplaceable individual trees ▲",IF(P105='G-1 All Habitats'!$X$9,T105*S105,IF(AND(P105='G-1 All Habitats'!$X$9,W105&gt;0),X105+(Y105*S105),IF(AND(P105='G-1 All Habitats'!$X$9,V105&gt;0),X105+(Y105*S105),IF(AND(P105='G-1 All Habitats'!$X$9,AG105&gt;0),"Any Loss Unacceptable  ⚠",IF(AND(P105='G-1 All Habitats'!$X$9,Z105&gt;0),"Any Loss Unacceptable ⚠",H105*J105*L105*O105*S105))))))),"Check Data ⚠")</f>
        <v/>
      </c>
      <c r="R105" s="393"/>
      <c r="S105" s="510" t="str">
        <f>IF(R105="","",IF(VLOOKUP(R105,'G-3 Multipliers'!$S$3:$T$10,2,FALSE)=0,"Spatial Data Missing ⚠",VLOOKUP(R105,'G-3 Multipliers'!$S$3:$T$10,2,FALSE)))</f>
        <v/>
      </c>
      <c r="T105" s="289" t="str">
        <f>IFERROR(IF(AND(F105&lt;&gt;"",G105=""),"Confirm irreplaceable habitat status ▲",(IF(AND(R105&lt;&gt;"",AF105=""),"Off-site reference required ▲",(IF(AND(E105="Individual trees",W105&gt;0,G105="Yes"),"Error - you cannot enhance irreplaceable individual trees ▲",(IF(AND(X105="Irreplaceable habitat - no units generated ⚠",(W105+V105)&lt;H105,OR(AB105="No",AB105="")),"Any Loss Unacceptable ⚠",(IF(X105="Irreplaceable habitat - no units generated ⚠",W105*J105*L105*O105,IF(AND(P105='G-1 All Habitats'!$X$9,AH105&gt;0,V105&lt;=0,W105&lt;=0,OR(AB105="No",AB105="")),"Any Loss Unacceptable ⚠",IF(AND(P105='G-1 All Habitats'!$X$9,AH105&gt;0,V105&lt;=0,W105&lt;=0),0,(IF(AND(P105='G-1 All Habitats'!$X$9,(W105+V105)&lt;H105,OR(AB105="No",AB105="")),"Any Loss Unacceptable ⚠",(IF(P105="","",IF(AND(P105='G-1 All Habitats'!$X$9,W105&gt;0),X105+Y105,IF(AND(P105='G-1 All Habitats'!$X$9,V105&gt;0),X105+Y105,IF(R105="","",H105*J105*L105*O105)))))))))))))))))),"Check Data ▲")</f>
        <v/>
      </c>
      <c r="U105" s="38"/>
      <c r="V105" s="52"/>
      <c r="W105" s="53"/>
      <c r="X105" s="287" t="str">
        <f t="shared" si="11"/>
        <v/>
      </c>
      <c r="Y105" s="287" t="str">
        <f t="shared" si="12"/>
        <v/>
      </c>
      <c r="Z105" s="287" t="str">
        <f t="shared" si="13"/>
        <v/>
      </c>
      <c r="AA105" s="317" t="str">
        <f>IFERROR(IF(AND(E105="Individual trees",G105="Yes",W105&gt;0),"Error - you cannot enhance an irreplaceable tree ▲",(IF(H105="","",IF(H105-V105-W105=0&lt;0,"Error in Areas ▲",IF(V105+W105&gt;H105,"Error in Areas ▲",IF(AND(P105='G-1 All Habitats'!$X$9,AB105="Yes"),"Alternative Compensation ✓",IF(AND(P105='G-1 All Habitats'!$X$3,AB105="Yes"),"Alternative Compensation ✓",IF(AND(AB105="Pending",P105='G-1 All Habitats'!$X$3),"Bespoke compensation must be agreed ▲",IF(AND(AB105="Pending",P105='G-1 All Habitats'!$X$9),"Bespoke compensation must be agreed  ▲",IF(Z105=0,0,IF(P105='G-1 All Habitats'!$X$9,"Any Loss Unacceptable ▲",T105-X105-Y105))))))))))),"Check Data ⚠")</f>
        <v/>
      </c>
      <c r="AB105" s="587"/>
      <c r="AC105" s="105"/>
      <c r="AD105" s="138"/>
      <c r="AE105" s="104"/>
      <c r="AF105" s="611"/>
      <c r="AG105" s="523" t="str">
        <f>IF(OR(P105="",AB105="Yes"),"",IF(P105='G-1 All Habitats'!$X$9,H105-V105-W105,"None"))</f>
        <v/>
      </c>
      <c r="AH105" s="523" t="str">
        <f>IF(P105="","",IF(P105='G-1 All Habitats'!$X$9,AG105*J105*L105*O105,"None"))</f>
        <v/>
      </c>
      <c r="AJ105" s="107" t="str">
        <f t="shared" si="14"/>
        <v/>
      </c>
      <c r="AK105" s="107" t="str">
        <f t="shared" si="9"/>
        <v/>
      </c>
      <c r="AL105" s="107" t="str">
        <f>IF(I105="","",IF(#REF!&gt;0,TRUE,FALSE))</f>
        <v/>
      </c>
      <c r="AM105" s="107">
        <v>95</v>
      </c>
      <c r="AN105" s="107"/>
      <c r="AO105" s="107" t="str">
        <f t="array" ref="AO105">IFERROR(INDEX($AM$11:$AM$259,MATCH(0,IF(TRUE=$AJ$11:$AJ$259,COUNTIF($AO$10:$AO104,$AM$11:$AM$259),""),0)),"")</f>
        <v/>
      </c>
      <c r="AP105" s="107" t="str">
        <f t="array" ref="AP105">IFERROR(INDEX($AM$11:$AM$259,MATCH(0,IF(TRUE=$AK$11:$AK$259,COUNTIF($AP$10:$AP104,$AM$11:$AM$259),""),0)),"")</f>
        <v/>
      </c>
      <c r="AQ105" s="107" t="str">
        <f t="array" ref="AQ105">IFERROR(INDEX($AM$11:$AM$259,MATCH(0,IF(TRUE=$AL$11:$AL$259,COUNTIF($AQ$10:$AQ104,$AM$11:$AM$259),""),0)),"")</f>
        <v/>
      </c>
      <c r="AS105" s="885" t="str">
        <f>IF(AND(OR(AB105="Yes",AB105="Pending"),P105='G-1 All Habitats'!$X$3),T105-X105-Y105,"0")</f>
        <v>0</v>
      </c>
      <c r="AT105" s="30" t="str">
        <f t="shared" si="10"/>
        <v/>
      </c>
      <c r="AU105" s="30">
        <f t="shared" si="15"/>
        <v>0</v>
      </c>
      <c r="AV105" s="230" t="str">
        <f>IFERROR(INDEX('G-1 All Habitats'!$B$3:$B$135,MATCH(F105,'G-1 All Habitats'!$A$3:$A$135,0)),"")</f>
        <v/>
      </c>
      <c r="AW105" s="30" t="str">
        <f>IF(AV105="","",VLOOKUP(AV105,'G-1 All Habitats'!$B$1:$T$135,19,FALSE))</f>
        <v/>
      </c>
      <c r="AY105" s="287" t="str">
        <f t="shared" si="16"/>
        <v/>
      </c>
    </row>
    <row r="106" spans="1:51" ht="14">
      <c r="A106" s="30" t="str">
        <f>IFERROR(INDEX('G-1 All Habitats'!$AG$3:$AG$17,MATCH(E106,'G-1 All Habitats'!$AF$3:$AF$17,0)),"")</f>
        <v/>
      </c>
      <c r="B106" s="30" t="str">
        <f>IFERROR(INDEX('G-8 Condition Look up'!$I$4:$I$135,MATCH(AV106,'G-8 Condition Look up'!$A$4:$A$135,0)),"")</f>
        <v/>
      </c>
      <c r="D106" s="97">
        <v>96</v>
      </c>
      <c r="E106" s="262"/>
      <c r="F106" s="263"/>
      <c r="G106" s="133"/>
      <c r="H106" s="115"/>
      <c r="I106" s="509" t="str">
        <f>IF(AV106="","",IF(AND(AW106="Yes",G106="No"),"Irreplaceable habitat ▲",IF(AND(AW106="No",G106="Yes"),"Cannot be Irreplaceable ▲",VLOOKUP(AV106,'G-1 All Habitats'!$B$2:$M$135,10,FALSE))))</f>
        <v/>
      </c>
      <c r="J106" s="377" t="str">
        <f>IFERROR(VLOOKUP(I106,'G-1 All Habitats'!$V$3:$W$7,2,FALSE),"")</f>
        <v/>
      </c>
      <c r="K106" s="101"/>
      <c r="L106" s="276" t="str">
        <f>IFERROR(INDEX('G-8 Condition Look up'!$A$3:$H$135,MATCH(AV106,'G-8 Condition Look up'!$A$3:$A$135,0),MATCH(K106,'G-8 Condition Look up'!$A$3:$H$3,0)),"")</f>
        <v/>
      </c>
      <c r="M106" s="105"/>
      <c r="N106" s="295" t="str">
        <f>IF(M106="","",IF(VLOOKUP(M106,'G-3 Multipliers'!$L$3:$N$6,2,FALSE)=0,"Spatial Data Missing ⚠",VLOOKUP(M106,'G-3 Multipliers'!$L$3:$N$6,2,FALSE)))</f>
        <v/>
      </c>
      <c r="O106" s="353" t="str">
        <f>IF(M106="","",IF(VLOOKUP(M106,'G-3 Multipliers'!$L$3:$N$6,3,FALSE)=0,"Spatial Data Missing ⚠",VLOOKUP(M106,'G-3 Multipliers'!$L$3:$N$6,3,FALSE)))</f>
        <v/>
      </c>
      <c r="P106" s="336" t="str">
        <f>(IF(G106="Yes","Bespoke compensation likely to be required",(IFERROR(VLOOKUP(AV106,'G-1 All Habitats'!$B$2:$M$135,12,FALSE),""))))</f>
        <v/>
      </c>
      <c r="Q106" s="511" t="str">
        <f>IFERROR(IF(P106="","",IF(AND(E106="Individual trees",W106&gt;0,G106="Yes"),"Error - you cannot enhance irreplaceable individual trees ▲",IF(P106='G-1 All Habitats'!$X$9,T106*S106,IF(AND(P106='G-1 All Habitats'!$X$9,W106&gt;0),X106+(Y106*S106),IF(AND(P106='G-1 All Habitats'!$X$9,V106&gt;0),X106+(Y106*S106),IF(AND(P106='G-1 All Habitats'!$X$9,AG106&gt;0),"Any Loss Unacceptable  ⚠",IF(AND(P106='G-1 All Habitats'!$X$9,Z106&gt;0),"Any Loss Unacceptable ⚠",H106*J106*L106*O106*S106))))))),"Check Data ⚠")</f>
        <v/>
      </c>
      <c r="R106" s="393"/>
      <c r="S106" s="510" t="str">
        <f>IF(R106="","",IF(VLOOKUP(R106,'G-3 Multipliers'!$S$3:$T$10,2,FALSE)=0,"Spatial Data Missing ⚠",VLOOKUP(R106,'G-3 Multipliers'!$S$3:$T$10,2,FALSE)))</f>
        <v/>
      </c>
      <c r="T106" s="289" t="str">
        <f>IFERROR(IF(AND(F106&lt;&gt;"",G106=""),"Confirm irreplaceable habitat status ▲",(IF(AND(R106&lt;&gt;"",AF106=""),"Off-site reference required ▲",(IF(AND(E106="Individual trees",W106&gt;0,G106="Yes"),"Error - you cannot enhance irreplaceable individual trees ▲",(IF(AND(X106="Irreplaceable habitat - no units generated ⚠",(W106+V106)&lt;H106,OR(AB106="No",AB106="")),"Any Loss Unacceptable ⚠",(IF(X106="Irreplaceable habitat - no units generated ⚠",W106*J106*L106*O106,IF(AND(P106='G-1 All Habitats'!$X$9,AH106&gt;0,V106&lt;=0,W106&lt;=0,OR(AB106="No",AB106="")),"Any Loss Unacceptable ⚠",IF(AND(P106='G-1 All Habitats'!$X$9,AH106&gt;0,V106&lt;=0,W106&lt;=0),0,(IF(AND(P106='G-1 All Habitats'!$X$9,(W106+V106)&lt;H106,OR(AB106="No",AB106="")),"Any Loss Unacceptable ⚠",(IF(P106="","",IF(AND(P106='G-1 All Habitats'!$X$9,W106&gt;0),X106+Y106,IF(AND(P106='G-1 All Habitats'!$X$9,V106&gt;0),X106+Y106,IF(R106="","",H106*J106*L106*O106)))))))))))))))))),"Check Data ▲")</f>
        <v/>
      </c>
      <c r="U106" s="38"/>
      <c r="V106" s="52"/>
      <c r="W106" s="53"/>
      <c r="X106" s="287" t="str">
        <f t="shared" si="11"/>
        <v/>
      </c>
      <c r="Y106" s="287" t="str">
        <f t="shared" si="12"/>
        <v/>
      </c>
      <c r="Z106" s="287" t="str">
        <f t="shared" si="13"/>
        <v/>
      </c>
      <c r="AA106" s="317" t="str">
        <f>IFERROR(IF(AND(E106="Individual trees",G106="Yes",W106&gt;0),"Error - you cannot enhance an irreplaceable tree ▲",(IF(H106="","",IF(H106-V106-W106=0&lt;0,"Error in Areas ▲",IF(V106+W106&gt;H106,"Error in Areas ▲",IF(AND(P106='G-1 All Habitats'!$X$9,AB106="Yes"),"Alternative Compensation ✓",IF(AND(P106='G-1 All Habitats'!$X$3,AB106="Yes"),"Alternative Compensation ✓",IF(AND(AB106="Pending",P106='G-1 All Habitats'!$X$3),"Bespoke compensation must be agreed ▲",IF(AND(AB106="Pending",P106='G-1 All Habitats'!$X$9),"Bespoke compensation must be agreed  ▲",IF(Z106=0,0,IF(P106='G-1 All Habitats'!$X$9,"Any Loss Unacceptable ▲",T106-X106-Y106))))))))))),"Check Data ⚠")</f>
        <v/>
      </c>
      <c r="AB106" s="587"/>
      <c r="AC106" s="105"/>
      <c r="AD106" s="138"/>
      <c r="AE106" s="104"/>
      <c r="AF106" s="611"/>
      <c r="AG106" s="523" t="str">
        <f>IF(OR(P106="",AB106="Yes"),"",IF(P106='G-1 All Habitats'!$X$9,H106-V106-W106,"None"))</f>
        <v/>
      </c>
      <c r="AH106" s="523" t="str">
        <f>IF(P106="","",IF(P106='G-1 All Habitats'!$X$9,AG106*J106*L106*O106,"None"))</f>
        <v/>
      </c>
      <c r="AJ106" s="107" t="str">
        <f t="shared" si="14"/>
        <v/>
      </c>
      <c r="AK106" s="107" t="str">
        <f t="shared" si="9"/>
        <v/>
      </c>
      <c r="AL106" s="107" t="str">
        <f>IF(I106="","",IF(#REF!&gt;0,TRUE,FALSE))</f>
        <v/>
      </c>
      <c r="AM106" s="107">
        <v>96</v>
      </c>
      <c r="AN106" s="107"/>
      <c r="AO106" s="107" t="str">
        <f t="array" ref="AO106">IFERROR(INDEX($AM$11:$AM$259,MATCH(0,IF(TRUE=$AJ$11:$AJ$259,COUNTIF($AO$10:$AO105,$AM$11:$AM$259),""),0)),"")</f>
        <v/>
      </c>
      <c r="AP106" s="107" t="str">
        <f t="array" ref="AP106">IFERROR(INDEX($AM$11:$AM$259,MATCH(0,IF(TRUE=$AK$11:$AK$259,COUNTIF($AP$10:$AP105,$AM$11:$AM$259),""),0)),"")</f>
        <v/>
      </c>
      <c r="AQ106" s="107" t="str">
        <f t="array" ref="AQ106">IFERROR(INDEX($AM$11:$AM$259,MATCH(0,IF(TRUE=$AL$11:$AL$259,COUNTIF($AQ$10:$AQ105,$AM$11:$AM$259),""),0)),"")</f>
        <v/>
      </c>
      <c r="AS106" s="885" t="str">
        <f>IF(AND(OR(AB106="Yes",AB106="Pending"),P106='G-1 All Habitats'!$X$3),T106-X106-Y106,"0")</f>
        <v>0</v>
      </c>
      <c r="AT106" s="30" t="str">
        <f t="shared" si="10"/>
        <v/>
      </c>
      <c r="AU106" s="30">
        <f t="shared" si="15"/>
        <v>0</v>
      </c>
      <c r="AV106" s="230" t="str">
        <f>IFERROR(INDEX('G-1 All Habitats'!$B$3:$B$135,MATCH(F106,'G-1 All Habitats'!$A$3:$A$135,0)),"")</f>
        <v/>
      </c>
      <c r="AW106" s="30" t="str">
        <f>IF(AV106="","",VLOOKUP(AV106,'G-1 All Habitats'!$B$1:$T$135,19,FALSE))</f>
        <v/>
      </c>
      <c r="AY106" s="287" t="str">
        <f t="shared" si="16"/>
        <v/>
      </c>
    </row>
    <row r="107" spans="1:51" ht="14">
      <c r="A107" s="30" t="str">
        <f>IFERROR(INDEX('G-1 All Habitats'!$AG$3:$AG$17,MATCH(E107,'G-1 All Habitats'!$AF$3:$AF$17,0)),"")</f>
        <v/>
      </c>
      <c r="B107" s="30" t="str">
        <f>IFERROR(INDEX('G-8 Condition Look up'!$I$4:$I$135,MATCH(AV107,'G-8 Condition Look up'!$A$4:$A$135,0)),"")</f>
        <v/>
      </c>
      <c r="D107" s="97">
        <v>97</v>
      </c>
      <c r="E107" s="262"/>
      <c r="F107" s="263"/>
      <c r="G107" s="133"/>
      <c r="H107" s="115"/>
      <c r="I107" s="509" t="str">
        <f>IF(AV107="","",IF(AND(AW107="Yes",G107="No"),"Irreplaceable habitat ▲",IF(AND(AW107="No",G107="Yes"),"Cannot be Irreplaceable ▲",VLOOKUP(AV107,'G-1 All Habitats'!$B$2:$M$135,10,FALSE))))</f>
        <v/>
      </c>
      <c r="J107" s="377" t="str">
        <f>IFERROR(VLOOKUP(I107,'G-1 All Habitats'!$V$3:$W$7,2,FALSE),"")</f>
        <v/>
      </c>
      <c r="K107" s="101"/>
      <c r="L107" s="276" t="str">
        <f>IFERROR(INDEX('G-8 Condition Look up'!$A$3:$H$135,MATCH(AV107,'G-8 Condition Look up'!$A$3:$A$135,0),MATCH(K107,'G-8 Condition Look up'!$A$3:$H$3,0)),"")</f>
        <v/>
      </c>
      <c r="M107" s="105"/>
      <c r="N107" s="295" t="str">
        <f>IF(M107="","",IF(VLOOKUP(M107,'G-3 Multipliers'!$L$3:$N$6,2,FALSE)=0,"Spatial Data Missing ⚠",VLOOKUP(M107,'G-3 Multipliers'!$L$3:$N$6,2,FALSE)))</f>
        <v/>
      </c>
      <c r="O107" s="353" t="str">
        <f>IF(M107="","",IF(VLOOKUP(M107,'G-3 Multipliers'!$L$3:$N$6,3,FALSE)=0,"Spatial Data Missing ⚠",VLOOKUP(M107,'G-3 Multipliers'!$L$3:$N$6,3,FALSE)))</f>
        <v/>
      </c>
      <c r="P107" s="336" t="str">
        <f>(IF(G107="Yes","Bespoke compensation likely to be required",(IFERROR(VLOOKUP(AV107,'G-1 All Habitats'!$B$2:$M$135,12,FALSE),""))))</f>
        <v/>
      </c>
      <c r="Q107" s="511" t="str">
        <f>IFERROR(IF(P107="","",IF(AND(E107="Individual trees",W107&gt;0,G107="Yes"),"Error - you cannot enhance irreplaceable individual trees ▲",IF(P107='G-1 All Habitats'!$X$9,T107*S107,IF(AND(P107='G-1 All Habitats'!$X$9,W107&gt;0),X107+(Y107*S107),IF(AND(P107='G-1 All Habitats'!$X$9,V107&gt;0),X107+(Y107*S107),IF(AND(P107='G-1 All Habitats'!$X$9,AG107&gt;0),"Any Loss Unacceptable  ⚠",IF(AND(P107='G-1 All Habitats'!$X$9,Z107&gt;0),"Any Loss Unacceptable ⚠",H107*J107*L107*O107*S107))))))),"Check Data ⚠")</f>
        <v/>
      </c>
      <c r="R107" s="393"/>
      <c r="S107" s="510" t="str">
        <f>IF(R107="","",IF(VLOOKUP(R107,'G-3 Multipliers'!$S$3:$T$10,2,FALSE)=0,"Spatial Data Missing ⚠",VLOOKUP(R107,'G-3 Multipliers'!$S$3:$T$10,2,FALSE)))</f>
        <v/>
      </c>
      <c r="T107" s="289" t="str">
        <f>IFERROR(IF(AND(F107&lt;&gt;"",G107=""),"Confirm irreplaceable habitat status ▲",(IF(AND(R107&lt;&gt;"",AF107=""),"Off-site reference required ▲",(IF(AND(E107="Individual trees",W107&gt;0,G107="Yes"),"Error - you cannot enhance irreplaceable individual trees ▲",(IF(AND(X107="Irreplaceable habitat - no units generated ⚠",(W107+V107)&lt;H107,OR(AB107="No",AB107="")),"Any Loss Unacceptable ⚠",(IF(X107="Irreplaceable habitat - no units generated ⚠",W107*J107*L107*O107,IF(AND(P107='G-1 All Habitats'!$X$9,AH107&gt;0,V107&lt;=0,W107&lt;=0,OR(AB107="No",AB107="")),"Any Loss Unacceptable ⚠",IF(AND(P107='G-1 All Habitats'!$X$9,AH107&gt;0,V107&lt;=0,W107&lt;=0),0,(IF(AND(P107='G-1 All Habitats'!$X$9,(W107+V107)&lt;H107,OR(AB107="No",AB107="")),"Any Loss Unacceptable ⚠",(IF(P107="","",IF(AND(P107='G-1 All Habitats'!$X$9,W107&gt;0),X107+Y107,IF(AND(P107='G-1 All Habitats'!$X$9,V107&gt;0),X107+Y107,IF(R107="","",H107*J107*L107*O107)))))))))))))))))),"Check Data ▲")</f>
        <v/>
      </c>
      <c r="U107" s="38"/>
      <c r="V107" s="52"/>
      <c r="W107" s="53"/>
      <c r="X107" s="287" t="str">
        <f t="shared" si="11"/>
        <v/>
      </c>
      <c r="Y107" s="287" t="str">
        <f t="shared" si="12"/>
        <v/>
      </c>
      <c r="Z107" s="287" t="str">
        <f t="shared" si="13"/>
        <v/>
      </c>
      <c r="AA107" s="317" t="str">
        <f>IFERROR(IF(AND(E107="Individual trees",G107="Yes",W107&gt;0),"Error - you cannot enhance an irreplaceable tree ▲",(IF(H107="","",IF(H107-V107-W107=0&lt;0,"Error in Areas ▲",IF(V107+W107&gt;H107,"Error in Areas ▲",IF(AND(P107='G-1 All Habitats'!$X$9,AB107="Yes"),"Alternative Compensation ✓",IF(AND(P107='G-1 All Habitats'!$X$3,AB107="Yes"),"Alternative Compensation ✓",IF(AND(AB107="Pending",P107='G-1 All Habitats'!$X$3),"Bespoke compensation must be agreed ▲",IF(AND(AB107="Pending",P107='G-1 All Habitats'!$X$9),"Bespoke compensation must be agreed  ▲",IF(Z107=0,0,IF(P107='G-1 All Habitats'!$X$9,"Any Loss Unacceptable ▲",T107-X107-Y107))))))))))),"Check Data ⚠")</f>
        <v/>
      </c>
      <c r="AB107" s="587"/>
      <c r="AC107" s="105"/>
      <c r="AD107" s="138"/>
      <c r="AE107" s="104"/>
      <c r="AF107" s="611"/>
      <c r="AG107" s="523" t="str">
        <f>IF(OR(P107="",AB107="Yes"),"",IF(P107='G-1 All Habitats'!$X$9,H107-V107-W107,"None"))</f>
        <v/>
      </c>
      <c r="AH107" s="523" t="str">
        <f>IF(P107="","",IF(P107='G-1 All Habitats'!$X$9,AG107*J107*L107*O107,"None"))</f>
        <v/>
      </c>
      <c r="AJ107" s="107" t="str">
        <f t="shared" si="14"/>
        <v/>
      </c>
      <c r="AK107" s="107" t="str">
        <f t="shared" si="17" ref="AK107:AK138">IF(H107="","",IF(W107&gt;0,TRUE,FALSE))</f>
        <v/>
      </c>
      <c r="AL107" s="107" t="str">
        <f>IF(I107="","",IF(#REF!&gt;0,TRUE,FALSE))</f>
        <v/>
      </c>
      <c r="AM107" s="107">
        <v>97</v>
      </c>
      <c r="AN107" s="107"/>
      <c r="AO107" s="107" t="str">
        <f t="array" ref="AO107">IFERROR(INDEX($AM$11:$AM$259,MATCH(0,IF(TRUE=$AJ$11:$AJ$259,COUNTIF($AO$10:$AO106,$AM$11:$AM$259),""),0)),"")</f>
        <v/>
      </c>
      <c r="AP107" s="107" t="str">
        <f t="array" ref="AP107">IFERROR(INDEX($AM$11:$AM$259,MATCH(0,IF(TRUE=$AK$11:$AK$259,COUNTIF($AP$10:$AP106,$AM$11:$AM$259),""),0)),"")</f>
        <v/>
      </c>
      <c r="AQ107" s="107" t="str">
        <f t="array" ref="AQ107">IFERROR(INDEX($AM$11:$AM$259,MATCH(0,IF(TRUE=$AL$11:$AL$259,COUNTIF($AQ$10:$AQ106,$AM$11:$AM$259),""),0)),"")</f>
        <v/>
      </c>
      <c r="AS107" s="885" t="str">
        <f>IF(AND(OR(AB107="Yes",AB107="Pending"),P107='G-1 All Habitats'!$X$3),T107-X107-Y107,"0")</f>
        <v>0</v>
      </c>
      <c r="AT107" s="30" t="str">
        <f t="shared" si="10"/>
        <v/>
      </c>
      <c r="AU107" s="30">
        <f t="shared" si="15"/>
        <v>0</v>
      </c>
      <c r="AV107" s="230" t="str">
        <f>IFERROR(INDEX('G-1 All Habitats'!$B$3:$B$135,MATCH(F107,'G-1 All Habitats'!$A$3:$A$135,0)),"")</f>
        <v/>
      </c>
      <c r="AW107" s="30" t="str">
        <f>IF(AV107="","",VLOOKUP(AV107,'G-1 All Habitats'!$B$1:$T$135,19,FALSE))</f>
        <v/>
      </c>
      <c r="AY107" s="287" t="str">
        <f t="shared" si="16"/>
        <v/>
      </c>
    </row>
    <row r="108" spans="1:51" ht="14">
      <c r="A108" s="30" t="str">
        <f>IFERROR(INDEX('G-1 All Habitats'!$AG$3:$AG$17,MATCH(E108,'G-1 All Habitats'!$AF$3:$AF$17,0)),"")</f>
        <v/>
      </c>
      <c r="B108" s="30" t="str">
        <f>IFERROR(INDEX('G-8 Condition Look up'!$I$4:$I$135,MATCH(AV108,'G-8 Condition Look up'!$A$4:$A$135,0)),"")</f>
        <v/>
      </c>
      <c r="D108" s="97">
        <v>98</v>
      </c>
      <c r="E108" s="262"/>
      <c r="F108" s="263"/>
      <c r="G108" s="133"/>
      <c r="H108" s="115"/>
      <c r="I108" s="509" t="str">
        <f>IF(AV108="","",IF(AND(AW108="Yes",G108="No"),"Irreplaceable habitat ▲",IF(AND(AW108="No",G108="Yes"),"Cannot be Irreplaceable ▲",VLOOKUP(AV108,'G-1 All Habitats'!$B$2:$M$135,10,FALSE))))</f>
        <v/>
      </c>
      <c r="J108" s="377" t="str">
        <f>IFERROR(VLOOKUP(I108,'G-1 All Habitats'!$V$3:$W$7,2,FALSE),"")</f>
        <v/>
      </c>
      <c r="K108" s="101"/>
      <c r="L108" s="276" t="str">
        <f>IFERROR(INDEX('G-8 Condition Look up'!$A$3:$H$135,MATCH(AV108,'G-8 Condition Look up'!$A$3:$A$135,0),MATCH(K108,'G-8 Condition Look up'!$A$3:$H$3,0)),"")</f>
        <v/>
      </c>
      <c r="M108" s="105"/>
      <c r="N108" s="295" t="str">
        <f>IF(M108="","",IF(VLOOKUP(M108,'G-3 Multipliers'!$L$3:$N$6,2,FALSE)=0,"Spatial Data Missing ⚠",VLOOKUP(M108,'G-3 Multipliers'!$L$3:$N$6,2,FALSE)))</f>
        <v/>
      </c>
      <c r="O108" s="353" t="str">
        <f>IF(M108="","",IF(VLOOKUP(M108,'G-3 Multipliers'!$L$3:$N$6,3,FALSE)=0,"Spatial Data Missing ⚠",VLOOKUP(M108,'G-3 Multipliers'!$L$3:$N$6,3,FALSE)))</f>
        <v/>
      </c>
      <c r="P108" s="336" t="str">
        <f>(IF(G108="Yes","Bespoke compensation likely to be required",(IFERROR(VLOOKUP(AV108,'G-1 All Habitats'!$B$2:$M$135,12,FALSE),""))))</f>
        <v/>
      </c>
      <c r="Q108" s="511" t="str">
        <f>IFERROR(IF(P108="","",IF(AND(E108="Individual trees",W108&gt;0,G108="Yes"),"Error - you cannot enhance irreplaceable individual trees ▲",IF(P108='G-1 All Habitats'!$X$9,T108*S108,IF(AND(P108='G-1 All Habitats'!$X$9,W108&gt;0),X108+(Y108*S108),IF(AND(P108='G-1 All Habitats'!$X$9,V108&gt;0),X108+(Y108*S108),IF(AND(P108='G-1 All Habitats'!$X$9,AG108&gt;0),"Any Loss Unacceptable  ⚠",IF(AND(P108='G-1 All Habitats'!$X$9,Z108&gt;0),"Any Loss Unacceptable ⚠",H108*J108*L108*O108*S108))))))),"Check Data ⚠")</f>
        <v/>
      </c>
      <c r="R108" s="393"/>
      <c r="S108" s="510" t="str">
        <f>IF(R108="","",IF(VLOOKUP(R108,'G-3 Multipliers'!$S$3:$T$10,2,FALSE)=0,"Spatial Data Missing ⚠",VLOOKUP(R108,'G-3 Multipliers'!$S$3:$T$10,2,FALSE)))</f>
        <v/>
      </c>
      <c r="T108" s="289" t="str">
        <f>IFERROR(IF(AND(F108&lt;&gt;"",G108=""),"Confirm irreplaceable habitat status ▲",(IF(AND(R108&lt;&gt;"",AF108=""),"Off-site reference required ▲",(IF(AND(E108="Individual trees",W108&gt;0,G108="Yes"),"Error - you cannot enhance irreplaceable individual trees ▲",(IF(AND(X108="Irreplaceable habitat - no units generated ⚠",(W108+V108)&lt;H108,OR(AB108="No",AB108="")),"Any Loss Unacceptable ⚠",(IF(X108="Irreplaceable habitat - no units generated ⚠",W108*J108*L108*O108,IF(AND(P108='G-1 All Habitats'!$X$9,AH108&gt;0,V108&lt;=0,W108&lt;=0,OR(AB108="No",AB108="")),"Any Loss Unacceptable ⚠",IF(AND(P108='G-1 All Habitats'!$X$9,AH108&gt;0,V108&lt;=0,W108&lt;=0),0,(IF(AND(P108='G-1 All Habitats'!$X$9,(W108+V108)&lt;H108,OR(AB108="No",AB108="")),"Any Loss Unacceptable ⚠",(IF(P108="","",IF(AND(P108='G-1 All Habitats'!$X$9,W108&gt;0),X108+Y108,IF(AND(P108='G-1 All Habitats'!$X$9,V108&gt;0),X108+Y108,IF(R108="","",H108*J108*L108*O108)))))))))))))))))),"Check Data ▲")</f>
        <v/>
      </c>
      <c r="U108" s="38"/>
      <c r="V108" s="52"/>
      <c r="W108" s="53"/>
      <c r="X108" s="287" t="str">
        <f t="shared" si="11"/>
        <v/>
      </c>
      <c r="Y108" s="287" t="str">
        <f t="shared" si="12"/>
        <v/>
      </c>
      <c r="Z108" s="287" t="str">
        <f t="shared" si="13"/>
        <v/>
      </c>
      <c r="AA108" s="317" t="str">
        <f>IFERROR(IF(AND(E108="Individual trees",G108="Yes",W108&gt;0),"Error - you cannot enhance an irreplaceable tree ▲",(IF(H108="","",IF(H108-V108-W108=0&lt;0,"Error in Areas ▲",IF(V108+W108&gt;H108,"Error in Areas ▲",IF(AND(P108='G-1 All Habitats'!$X$9,AB108="Yes"),"Alternative Compensation ✓",IF(AND(P108='G-1 All Habitats'!$X$3,AB108="Yes"),"Alternative Compensation ✓",IF(AND(AB108="Pending",P108='G-1 All Habitats'!$X$3),"Bespoke compensation must be agreed ▲",IF(AND(AB108="Pending",P108='G-1 All Habitats'!$X$9),"Bespoke compensation must be agreed  ▲",IF(Z108=0,0,IF(P108='G-1 All Habitats'!$X$9,"Any Loss Unacceptable ▲",T108-X108-Y108))))))))))),"Check Data ⚠")</f>
        <v/>
      </c>
      <c r="AB108" s="587"/>
      <c r="AC108" s="105"/>
      <c r="AD108" s="138"/>
      <c r="AE108" s="104"/>
      <c r="AF108" s="611"/>
      <c r="AG108" s="523" t="str">
        <f>IF(OR(P108="",AB108="Yes"),"",IF(P108='G-1 All Habitats'!$X$9,H108-V108-W108,"None"))</f>
        <v/>
      </c>
      <c r="AH108" s="523" t="str">
        <f>IF(P108="","",IF(P108='G-1 All Habitats'!$X$9,AG108*J108*L108*O108,"None"))</f>
        <v/>
      </c>
      <c r="AJ108" s="107" t="str">
        <f t="shared" si="14"/>
        <v/>
      </c>
      <c r="AK108" s="107" t="str">
        <f t="shared" si="17"/>
        <v/>
      </c>
      <c r="AL108" s="107" t="str">
        <f>IF(I108="","",IF(#REF!&gt;0,TRUE,FALSE))</f>
        <v/>
      </c>
      <c r="AM108" s="107">
        <v>98</v>
      </c>
      <c r="AN108" s="107"/>
      <c r="AO108" s="107" t="str">
        <f t="array" ref="AO108">IFERROR(INDEX($AM$11:$AM$259,MATCH(0,IF(TRUE=$AJ$11:$AJ$259,COUNTIF($AO$10:$AO107,$AM$11:$AM$259),""),0)),"")</f>
        <v/>
      </c>
      <c r="AP108" s="107" t="str">
        <f t="array" ref="AP108">IFERROR(INDEX($AM$11:$AM$259,MATCH(0,IF(TRUE=$AK$11:$AK$259,COUNTIF($AP$10:$AP107,$AM$11:$AM$259),""),0)),"")</f>
        <v/>
      </c>
      <c r="AQ108" s="107" t="str">
        <f t="array" ref="AQ108">IFERROR(INDEX($AM$11:$AM$259,MATCH(0,IF(TRUE=$AL$11:$AL$259,COUNTIF($AQ$10:$AQ107,$AM$11:$AM$259),""),0)),"")</f>
        <v/>
      </c>
      <c r="AS108" s="885" t="str">
        <f>IF(AND(OR(AB108="Yes",AB108="Pending"),P108='G-1 All Habitats'!$X$3),T108-X108-Y108,"0")</f>
        <v>0</v>
      </c>
      <c r="AT108" s="30" t="str">
        <f t="shared" si="10"/>
        <v/>
      </c>
      <c r="AU108" s="30">
        <f t="shared" si="15"/>
        <v>0</v>
      </c>
      <c r="AV108" s="230" t="str">
        <f>IFERROR(INDEX('G-1 All Habitats'!$B$3:$B$135,MATCH(F108,'G-1 All Habitats'!$A$3:$A$135,0)),"")</f>
        <v/>
      </c>
      <c r="AW108" s="30" t="str">
        <f>IF(AV108="","",VLOOKUP(AV108,'G-1 All Habitats'!$B$1:$T$135,19,FALSE))</f>
        <v/>
      </c>
      <c r="AY108" s="287" t="str">
        <f t="shared" si="16"/>
        <v/>
      </c>
    </row>
    <row r="109" spans="1:51" ht="14">
      <c r="A109" s="30" t="str">
        <f>IFERROR(INDEX('G-1 All Habitats'!$AG$3:$AG$17,MATCH(E109,'G-1 All Habitats'!$AF$3:$AF$17,0)),"")</f>
        <v/>
      </c>
      <c r="B109" s="30" t="str">
        <f>IFERROR(INDEX('G-8 Condition Look up'!$I$4:$I$135,MATCH(AV109,'G-8 Condition Look up'!$A$4:$A$135,0)),"")</f>
        <v/>
      </c>
      <c r="D109" s="97">
        <v>99</v>
      </c>
      <c r="E109" s="262"/>
      <c r="F109" s="263"/>
      <c r="G109" s="133"/>
      <c r="H109" s="115"/>
      <c r="I109" s="509" t="str">
        <f>IF(AV109="","",IF(AND(AW109="Yes",G109="No"),"Irreplaceable habitat ▲",IF(AND(AW109="No",G109="Yes"),"Cannot be Irreplaceable ▲",VLOOKUP(AV109,'G-1 All Habitats'!$B$2:$M$135,10,FALSE))))</f>
        <v/>
      </c>
      <c r="J109" s="377" t="str">
        <f>IFERROR(VLOOKUP(I109,'G-1 All Habitats'!$V$3:$W$7,2,FALSE),"")</f>
        <v/>
      </c>
      <c r="K109" s="101"/>
      <c r="L109" s="276" t="str">
        <f>IFERROR(INDEX('G-8 Condition Look up'!$A$3:$H$135,MATCH(AV109,'G-8 Condition Look up'!$A$3:$A$135,0),MATCH(K109,'G-8 Condition Look up'!$A$3:$H$3,0)),"")</f>
        <v/>
      </c>
      <c r="M109" s="105"/>
      <c r="N109" s="295" t="str">
        <f>IF(M109="","",IF(VLOOKUP(M109,'G-3 Multipliers'!$L$3:$N$6,2,FALSE)=0,"Spatial Data Missing ⚠",VLOOKUP(M109,'G-3 Multipliers'!$L$3:$N$6,2,FALSE)))</f>
        <v/>
      </c>
      <c r="O109" s="353" t="str">
        <f>IF(M109="","",IF(VLOOKUP(M109,'G-3 Multipliers'!$L$3:$N$6,3,FALSE)=0,"Spatial Data Missing ⚠",VLOOKUP(M109,'G-3 Multipliers'!$L$3:$N$6,3,FALSE)))</f>
        <v/>
      </c>
      <c r="P109" s="336" t="str">
        <f>(IF(G109="Yes","Bespoke compensation likely to be required",(IFERROR(VLOOKUP(AV109,'G-1 All Habitats'!$B$2:$M$135,12,FALSE),""))))</f>
        <v/>
      </c>
      <c r="Q109" s="511" t="str">
        <f>IFERROR(IF(P109="","",IF(AND(E109="Individual trees",W109&gt;0,G109="Yes"),"Error - you cannot enhance irreplaceable individual trees ▲",IF(P109='G-1 All Habitats'!$X$9,T109*S109,IF(AND(P109='G-1 All Habitats'!$X$9,W109&gt;0),X109+(Y109*S109),IF(AND(P109='G-1 All Habitats'!$X$9,V109&gt;0),X109+(Y109*S109),IF(AND(P109='G-1 All Habitats'!$X$9,AG109&gt;0),"Any Loss Unacceptable  ⚠",IF(AND(P109='G-1 All Habitats'!$X$9,Z109&gt;0),"Any Loss Unacceptable ⚠",H109*J109*L109*O109*S109))))))),"Check Data ⚠")</f>
        <v/>
      </c>
      <c r="R109" s="393"/>
      <c r="S109" s="510" t="str">
        <f>IF(R109="","",IF(VLOOKUP(R109,'G-3 Multipliers'!$S$3:$T$10,2,FALSE)=0,"Spatial Data Missing ⚠",VLOOKUP(R109,'G-3 Multipliers'!$S$3:$T$10,2,FALSE)))</f>
        <v/>
      </c>
      <c r="T109" s="289" t="str">
        <f>IFERROR(IF(AND(F109&lt;&gt;"",G109=""),"Confirm irreplaceable habitat status ▲",(IF(AND(R109&lt;&gt;"",AF109=""),"Off-site reference required ▲",(IF(AND(E109="Individual trees",W109&gt;0,G109="Yes"),"Error - you cannot enhance irreplaceable individual trees ▲",(IF(AND(X109="Irreplaceable habitat - no units generated ⚠",(W109+V109)&lt;H109,OR(AB109="No",AB109="")),"Any Loss Unacceptable ⚠",(IF(X109="Irreplaceable habitat - no units generated ⚠",W109*J109*L109*O109,IF(AND(P109='G-1 All Habitats'!$X$9,AH109&gt;0,V109&lt;=0,W109&lt;=0,OR(AB109="No",AB109="")),"Any Loss Unacceptable ⚠",IF(AND(P109='G-1 All Habitats'!$X$9,AH109&gt;0,V109&lt;=0,W109&lt;=0),0,(IF(AND(P109='G-1 All Habitats'!$X$9,(W109+V109)&lt;H109,OR(AB109="No",AB109="")),"Any Loss Unacceptable ⚠",(IF(P109="","",IF(AND(P109='G-1 All Habitats'!$X$9,W109&gt;0),X109+Y109,IF(AND(P109='G-1 All Habitats'!$X$9,V109&gt;0),X109+Y109,IF(R109="","",H109*J109*L109*O109)))))))))))))))))),"Check Data ▲")</f>
        <v/>
      </c>
      <c r="U109" s="38"/>
      <c r="V109" s="52"/>
      <c r="W109" s="53"/>
      <c r="X109" s="287" t="str">
        <f t="shared" si="11"/>
        <v/>
      </c>
      <c r="Y109" s="287" t="str">
        <f t="shared" si="12"/>
        <v/>
      </c>
      <c r="Z109" s="287" t="str">
        <f t="shared" si="13"/>
        <v/>
      </c>
      <c r="AA109" s="317" t="str">
        <f>IFERROR(IF(AND(E109="Individual trees",G109="Yes",W109&gt;0),"Error - you cannot enhance an irreplaceable tree ▲",(IF(H109="","",IF(H109-V109-W109=0&lt;0,"Error in Areas ▲",IF(V109+W109&gt;H109,"Error in Areas ▲",IF(AND(P109='G-1 All Habitats'!$X$9,AB109="Yes"),"Alternative Compensation ✓",IF(AND(P109='G-1 All Habitats'!$X$3,AB109="Yes"),"Alternative Compensation ✓",IF(AND(AB109="Pending",P109='G-1 All Habitats'!$X$3),"Bespoke compensation must be agreed ▲",IF(AND(AB109="Pending",P109='G-1 All Habitats'!$X$9),"Bespoke compensation must be agreed  ▲",IF(Z109=0,0,IF(P109='G-1 All Habitats'!$X$9,"Any Loss Unacceptable ▲",T109-X109-Y109))))))))))),"Check Data ⚠")</f>
        <v/>
      </c>
      <c r="AB109" s="587"/>
      <c r="AC109" s="105"/>
      <c r="AD109" s="138"/>
      <c r="AE109" s="104"/>
      <c r="AF109" s="611"/>
      <c r="AG109" s="523" t="str">
        <f>IF(OR(P109="",AB109="Yes"),"",IF(P109='G-1 All Habitats'!$X$9,H109-V109-W109,"None"))</f>
        <v/>
      </c>
      <c r="AH109" s="523" t="str">
        <f>IF(P109="","",IF(P109='G-1 All Habitats'!$X$9,AG109*J109*L109*O109,"None"))</f>
        <v/>
      </c>
      <c r="AJ109" s="107" t="str">
        <f t="shared" si="14"/>
        <v/>
      </c>
      <c r="AK109" s="107" t="str">
        <f t="shared" si="17"/>
        <v/>
      </c>
      <c r="AL109" s="107" t="str">
        <f>IF(I109="","",IF(#REF!&gt;0,TRUE,FALSE))</f>
        <v/>
      </c>
      <c r="AM109" s="107">
        <v>99</v>
      </c>
      <c r="AN109" s="107"/>
      <c r="AO109" s="107" t="str">
        <f t="array" ref="AO109">IFERROR(INDEX($AM$11:$AM$259,MATCH(0,IF(TRUE=$AJ$11:$AJ$259,COUNTIF($AO$10:$AO108,$AM$11:$AM$259),""),0)),"")</f>
        <v/>
      </c>
      <c r="AP109" s="107" t="str">
        <f t="array" ref="AP109">IFERROR(INDEX($AM$11:$AM$259,MATCH(0,IF(TRUE=$AK$11:$AK$259,COUNTIF($AP$10:$AP108,$AM$11:$AM$259),""),0)),"")</f>
        <v/>
      </c>
      <c r="AQ109" s="107" t="str">
        <f t="array" ref="AQ109">IFERROR(INDEX($AM$11:$AM$259,MATCH(0,IF(TRUE=$AL$11:$AL$259,COUNTIF($AQ$10:$AQ108,$AM$11:$AM$259),""),0)),"")</f>
        <v/>
      </c>
      <c r="AS109" s="885" t="str">
        <f>IF(AND(OR(AB109="Yes",AB109="Pending"),P109='G-1 All Habitats'!$X$3),T109-X109-Y109,"0")</f>
        <v>0</v>
      </c>
      <c r="AT109" s="30" t="str">
        <f t="shared" si="10"/>
        <v/>
      </c>
      <c r="AU109" s="30">
        <f t="shared" si="15"/>
        <v>0</v>
      </c>
      <c r="AV109" s="230" t="str">
        <f>IFERROR(INDEX('G-1 All Habitats'!$B$3:$B$135,MATCH(F109,'G-1 All Habitats'!$A$3:$A$135,0)),"")</f>
        <v/>
      </c>
      <c r="AW109" s="30" t="str">
        <f>IF(AV109="","",VLOOKUP(AV109,'G-1 All Habitats'!$B$1:$T$135,19,FALSE))</f>
        <v/>
      </c>
      <c r="AY109" s="287" t="str">
        <f t="shared" si="16"/>
        <v/>
      </c>
    </row>
    <row r="110" spans="1:51" ht="14">
      <c r="A110" s="30" t="str">
        <f>IFERROR(INDEX('G-1 All Habitats'!$AG$3:$AG$17,MATCH(E110,'G-1 All Habitats'!$AF$3:$AF$17,0)),"")</f>
        <v/>
      </c>
      <c r="B110" s="30" t="str">
        <f>IFERROR(INDEX('G-8 Condition Look up'!$I$4:$I$135,MATCH(AV110,'G-8 Condition Look up'!$A$4:$A$135,0)),"")</f>
        <v/>
      </c>
      <c r="D110" s="97">
        <v>100</v>
      </c>
      <c r="E110" s="262"/>
      <c r="F110" s="263"/>
      <c r="G110" s="133"/>
      <c r="H110" s="115"/>
      <c r="I110" s="509" t="str">
        <f>IF(AV110="","",IF(AND(AW110="Yes",G110="No"),"Irreplaceable habitat ▲",IF(AND(AW110="No",G110="Yes"),"Cannot be Irreplaceable ▲",VLOOKUP(AV110,'G-1 All Habitats'!$B$2:$M$135,10,FALSE))))</f>
        <v/>
      </c>
      <c r="J110" s="377" t="str">
        <f>IFERROR(VLOOKUP(I110,'G-1 All Habitats'!$V$3:$W$7,2,FALSE),"")</f>
        <v/>
      </c>
      <c r="K110" s="101"/>
      <c r="L110" s="276" t="str">
        <f>IFERROR(INDEX('G-8 Condition Look up'!$A$3:$H$135,MATCH(AV110,'G-8 Condition Look up'!$A$3:$A$135,0),MATCH(K110,'G-8 Condition Look up'!$A$3:$H$3,0)),"")</f>
        <v/>
      </c>
      <c r="M110" s="105"/>
      <c r="N110" s="295" t="str">
        <f>IF(M110="","",IF(VLOOKUP(M110,'G-3 Multipliers'!$L$3:$N$6,2,FALSE)=0,"Spatial Data Missing ⚠",VLOOKUP(M110,'G-3 Multipliers'!$L$3:$N$6,2,FALSE)))</f>
        <v/>
      </c>
      <c r="O110" s="353" t="str">
        <f>IF(M110="","",IF(VLOOKUP(M110,'G-3 Multipliers'!$L$3:$N$6,3,FALSE)=0,"Spatial Data Missing ⚠",VLOOKUP(M110,'G-3 Multipliers'!$L$3:$N$6,3,FALSE)))</f>
        <v/>
      </c>
      <c r="P110" s="336" t="str">
        <f>(IF(G110="Yes","Bespoke compensation likely to be required",(IFERROR(VLOOKUP(AV110,'G-1 All Habitats'!$B$2:$M$135,12,FALSE),""))))</f>
        <v/>
      </c>
      <c r="Q110" s="511" t="str">
        <f>IFERROR(IF(P110="","",IF(AND(E110="Individual trees",W110&gt;0,G110="Yes"),"Error - you cannot enhance irreplaceable individual trees ▲",IF(P110='G-1 All Habitats'!$X$9,T110*S110,IF(AND(P110='G-1 All Habitats'!$X$9,W110&gt;0),X110+(Y110*S110),IF(AND(P110='G-1 All Habitats'!$X$9,V110&gt;0),X110+(Y110*S110),IF(AND(P110='G-1 All Habitats'!$X$9,AG110&gt;0),"Any Loss Unacceptable  ⚠",IF(AND(P110='G-1 All Habitats'!$X$9,Z110&gt;0),"Any Loss Unacceptable ⚠",H110*J110*L110*O110*S110))))))),"Check Data ⚠")</f>
        <v/>
      </c>
      <c r="R110" s="393"/>
      <c r="S110" s="510" t="str">
        <f>IF(R110="","",IF(VLOOKUP(R110,'G-3 Multipliers'!$S$3:$T$10,2,FALSE)=0,"Spatial Data Missing ⚠",VLOOKUP(R110,'G-3 Multipliers'!$S$3:$T$10,2,FALSE)))</f>
        <v/>
      </c>
      <c r="T110" s="289" t="str">
        <f>IFERROR(IF(AND(F110&lt;&gt;"",G110=""),"Confirm irreplaceable habitat status ▲",(IF(AND(R110&lt;&gt;"",AF110=""),"Off-site reference required ▲",(IF(AND(E110="Individual trees",W110&gt;0,G110="Yes"),"Error - you cannot enhance irreplaceable individual trees ▲",(IF(AND(X110="Irreplaceable habitat - no units generated ⚠",(W110+V110)&lt;H110,OR(AB110="No",AB110="")),"Any Loss Unacceptable ⚠",(IF(X110="Irreplaceable habitat - no units generated ⚠",W110*J110*L110*O110,IF(AND(P110='G-1 All Habitats'!$X$9,AH110&gt;0,V110&lt;=0,W110&lt;=0,OR(AB110="No",AB110="")),"Any Loss Unacceptable ⚠",IF(AND(P110='G-1 All Habitats'!$X$9,AH110&gt;0,V110&lt;=0,W110&lt;=0),0,(IF(AND(P110='G-1 All Habitats'!$X$9,(W110+V110)&lt;H110,OR(AB110="No",AB110="")),"Any Loss Unacceptable ⚠",(IF(P110="","",IF(AND(P110='G-1 All Habitats'!$X$9,W110&gt;0),X110+Y110,IF(AND(P110='G-1 All Habitats'!$X$9,V110&gt;0),X110+Y110,IF(R110="","",H110*J110*L110*O110)))))))))))))))))),"Check Data ▲")</f>
        <v/>
      </c>
      <c r="U110" s="38"/>
      <c r="V110" s="52"/>
      <c r="W110" s="53"/>
      <c r="X110" s="287" t="str">
        <f t="shared" si="11"/>
        <v/>
      </c>
      <c r="Y110" s="287" t="str">
        <f t="shared" si="12"/>
        <v/>
      </c>
      <c r="Z110" s="287" t="str">
        <f t="shared" si="13"/>
        <v/>
      </c>
      <c r="AA110" s="317" t="str">
        <f>IFERROR(IF(AND(E110="Individual trees",G110="Yes",W110&gt;0),"Error - you cannot enhance an irreplaceable tree ▲",(IF(H110="","",IF(H110-V110-W110=0&lt;0,"Error in Areas ▲",IF(V110+W110&gt;H110,"Error in Areas ▲",IF(AND(P110='G-1 All Habitats'!$X$9,AB110="Yes"),"Alternative Compensation ✓",IF(AND(P110='G-1 All Habitats'!$X$3,AB110="Yes"),"Alternative Compensation ✓",IF(AND(AB110="Pending",P110='G-1 All Habitats'!$X$3),"Bespoke compensation must be agreed ▲",IF(AND(AB110="Pending",P110='G-1 All Habitats'!$X$9),"Bespoke compensation must be agreed  ▲",IF(Z110=0,0,IF(P110='G-1 All Habitats'!$X$9,"Any Loss Unacceptable ▲",T110-X110-Y110))))))))))),"Check Data ⚠")</f>
        <v/>
      </c>
      <c r="AB110" s="587"/>
      <c r="AC110" s="105"/>
      <c r="AD110" s="138"/>
      <c r="AE110" s="104"/>
      <c r="AF110" s="611"/>
      <c r="AG110" s="523" t="str">
        <f>IF(OR(P110="",AB110="Yes"),"",IF(P110='G-1 All Habitats'!$X$9,H110-V110-W110,"None"))</f>
        <v/>
      </c>
      <c r="AH110" s="523" t="str">
        <f>IF(P110="","",IF(P110='G-1 All Habitats'!$X$9,AG110*J110*L110*O110,"None"))</f>
        <v/>
      </c>
      <c r="AJ110" s="107" t="str">
        <f t="shared" si="14"/>
        <v/>
      </c>
      <c r="AK110" s="107" t="str">
        <f t="shared" si="17"/>
        <v/>
      </c>
      <c r="AL110" s="107" t="str">
        <f>IF(I110="","",IF(#REF!&gt;0,TRUE,FALSE))</f>
        <v/>
      </c>
      <c r="AM110" s="107">
        <v>100</v>
      </c>
      <c r="AN110" s="107"/>
      <c r="AO110" s="107" t="str">
        <f t="array" ref="AO110">IFERROR(INDEX($AM$11:$AM$259,MATCH(0,IF(TRUE=$AJ$11:$AJ$259,COUNTIF($AO$10:$AO109,$AM$11:$AM$259),""),0)),"")</f>
        <v/>
      </c>
      <c r="AP110" s="107" t="str">
        <f t="array" ref="AP110">IFERROR(INDEX($AM$11:$AM$259,MATCH(0,IF(TRUE=$AK$11:$AK$259,COUNTIF($AP$10:$AP109,$AM$11:$AM$259),""),0)),"")</f>
        <v/>
      </c>
      <c r="AQ110" s="107" t="str">
        <f t="array" ref="AQ110">IFERROR(INDEX($AM$11:$AM$259,MATCH(0,IF(TRUE=$AL$11:$AL$259,COUNTIF($AQ$10:$AQ109,$AM$11:$AM$259),""),0)),"")</f>
        <v/>
      </c>
      <c r="AS110" s="885" t="str">
        <f>IF(AND(OR(AB110="Yes",AB110="Pending"),P110='G-1 All Habitats'!$X$3),T110-X110-Y110,"0")</f>
        <v>0</v>
      </c>
      <c r="AT110" s="30" t="str">
        <f t="shared" si="10"/>
        <v/>
      </c>
      <c r="AU110" s="30">
        <f t="shared" si="15"/>
        <v>0</v>
      </c>
      <c r="AV110" s="230" t="str">
        <f>IFERROR(INDEX('G-1 All Habitats'!$B$3:$B$135,MATCH(F110,'G-1 All Habitats'!$A$3:$A$135,0)),"")</f>
        <v/>
      </c>
      <c r="AW110" s="30" t="str">
        <f>IF(AV110="","",VLOOKUP(AV110,'G-1 All Habitats'!$B$1:$T$135,19,FALSE))</f>
        <v/>
      </c>
      <c r="AY110" s="287" t="str">
        <f t="shared" si="16"/>
        <v/>
      </c>
    </row>
    <row r="111" spans="1:51" ht="14">
      <c r="A111" s="30" t="str">
        <f>IFERROR(INDEX('G-1 All Habitats'!$AG$3:$AG$17,MATCH(E111,'G-1 All Habitats'!$AF$3:$AF$17,0)),"")</f>
        <v/>
      </c>
      <c r="B111" s="30" t="str">
        <f>IFERROR(INDEX('G-8 Condition Look up'!$I$4:$I$135,MATCH(AV111,'G-8 Condition Look up'!$A$4:$A$135,0)),"")</f>
        <v/>
      </c>
      <c r="D111" s="97">
        <v>101</v>
      </c>
      <c r="E111" s="262"/>
      <c r="F111" s="263"/>
      <c r="G111" s="133"/>
      <c r="H111" s="115"/>
      <c r="I111" s="509" t="str">
        <f>IF(AV111="","",IF(AND(AW111="Yes",G111="No"),"Irreplaceable habitat ▲",IF(AND(AW111="No",G111="Yes"),"Cannot be Irreplaceable ▲",VLOOKUP(AV111,'G-1 All Habitats'!$B$2:$M$135,10,FALSE))))</f>
        <v/>
      </c>
      <c r="J111" s="377" t="str">
        <f>IFERROR(VLOOKUP(I111,'G-1 All Habitats'!$V$3:$W$7,2,FALSE),"")</f>
        <v/>
      </c>
      <c r="K111" s="101"/>
      <c r="L111" s="276" t="str">
        <f>IFERROR(INDEX('G-8 Condition Look up'!$A$3:$H$135,MATCH(AV111,'G-8 Condition Look up'!$A$3:$A$135,0),MATCH(K111,'G-8 Condition Look up'!$A$3:$H$3,0)),"")</f>
        <v/>
      </c>
      <c r="M111" s="105"/>
      <c r="N111" s="295" t="str">
        <f>IF(M111="","",IF(VLOOKUP(M111,'G-3 Multipliers'!$L$3:$N$6,2,FALSE)=0,"Spatial Data Missing ⚠",VLOOKUP(M111,'G-3 Multipliers'!$L$3:$N$6,2,FALSE)))</f>
        <v/>
      </c>
      <c r="O111" s="353" t="str">
        <f>IF(M111="","",IF(VLOOKUP(M111,'G-3 Multipliers'!$L$3:$N$6,3,FALSE)=0,"Spatial Data Missing ⚠",VLOOKUP(M111,'G-3 Multipliers'!$L$3:$N$6,3,FALSE)))</f>
        <v/>
      </c>
      <c r="P111" s="336" t="str">
        <f>(IF(G111="Yes","Bespoke compensation likely to be required",(IFERROR(VLOOKUP(AV111,'G-1 All Habitats'!$B$2:$M$135,12,FALSE),""))))</f>
        <v/>
      </c>
      <c r="Q111" s="511" t="str">
        <f>IFERROR(IF(P111="","",IF(AND(E111="Individual trees",W111&gt;0,G111="Yes"),"Error - you cannot enhance irreplaceable individual trees ▲",IF(P111='G-1 All Habitats'!$X$9,T111*S111,IF(AND(P111='G-1 All Habitats'!$X$9,W111&gt;0),X111+(Y111*S111),IF(AND(P111='G-1 All Habitats'!$X$9,V111&gt;0),X111+(Y111*S111),IF(AND(P111='G-1 All Habitats'!$X$9,AG111&gt;0),"Any Loss Unacceptable  ⚠",IF(AND(P111='G-1 All Habitats'!$X$9,Z111&gt;0),"Any Loss Unacceptable ⚠",H111*J111*L111*O111*S111))))))),"Check Data ⚠")</f>
        <v/>
      </c>
      <c r="R111" s="393"/>
      <c r="S111" s="510" t="str">
        <f>IF(R111="","",IF(VLOOKUP(R111,'G-3 Multipliers'!$S$3:$T$10,2,FALSE)=0,"Spatial Data Missing ⚠",VLOOKUP(R111,'G-3 Multipliers'!$S$3:$T$10,2,FALSE)))</f>
        <v/>
      </c>
      <c r="T111" s="289" t="str">
        <f>IFERROR(IF(AND(F111&lt;&gt;"",G111=""),"Confirm irreplaceable habitat status ▲",(IF(AND(R111&lt;&gt;"",AF111=""),"Off-site reference required ▲",(IF(AND(E111="Individual trees",W111&gt;0,G111="Yes"),"Error - you cannot enhance irreplaceable individual trees ▲",(IF(AND(X111="Irreplaceable habitat - no units generated ⚠",(W111+V111)&lt;H111,OR(AB111="No",AB111="")),"Any Loss Unacceptable ⚠",(IF(X111="Irreplaceable habitat - no units generated ⚠",W111*J111*L111*O111,IF(AND(P111='G-1 All Habitats'!$X$9,AH111&gt;0,V111&lt;=0,W111&lt;=0,OR(AB111="No",AB111="")),"Any Loss Unacceptable ⚠",IF(AND(P111='G-1 All Habitats'!$X$9,AH111&gt;0,V111&lt;=0,W111&lt;=0),0,(IF(AND(P111='G-1 All Habitats'!$X$9,(W111+V111)&lt;H111,OR(AB111="No",AB111="")),"Any Loss Unacceptable ⚠",(IF(P111="","",IF(AND(P111='G-1 All Habitats'!$X$9,W111&gt;0),X111+Y111,IF(AND(P111='G-1 All Habitats'!$X$9,V111&gt;0),X111+Y111,IF(R111="","",H111*J111*L111*O111)))))))))))))))))),"Check Data ▲")</f>
        <v/>
      </c>
      <c r="U111" s="38"/>
      <c r="V111" s="52"/>
      <c r="W111" s="53"/>
      <c r="X111" s="287" t="str">
        <f t="shared" si="11"/>
        <v/>
      </c>
      <c r="Y111" s="287" t="str">
        <f t="shared" si="12"/>
        <v/>
      </c>
      <c r="Z111" s="287" t="str">
        <f t="shared" si="13"/>
        <v/>
      </c>
      <c r="AA111" s="317" t="str">
        <f>IFERROR(IF(AND(E111="Individual trees",G111="Yes",W111&gt;0),"Error - you cannot enhance an irreplaceable tree ▲",(IF(H111="","",IF(H111-V111-W111=0&lt;0,"Error in Areas ▲",IF(V111+W111&gt;H111,"Error in Areas ▲",IF(AND(P111='G-1 All Habitats'!$X$9,AB111="Yes"),"Alternative Compensation ✓",IF(AND(P111='G-1 All Habitats'!$X$3,AB111="Yes"),"Alternative Compensation ✓",IF(AND(AB111="Pending",P111='G-1 All Habitats'!$X$3),"Bespoke compensation must be agreed ▲",IF(AND(AB111="Pending",P111='G-1 All Habitats'!$X$9),"Bespoke compensation must be agreed  ▲",IF(Z111=0,0,IF(P111='G-1 All Habitats'!$X$9,"Any Loss Unacceptable ▲",T111-X111-Y111))))))))))),"Check Data ⚠")</f>
        <v/>
      </c>
      <c r="AB111" s="587"/>
      <c r="AC111" s="105"/>
      <c r="AD111" s="138"/>
      <c r="AE111" s="104"/>
      <c r="AF111" s="611"/>
      <c r="AG111" s="523" t="str">
        <f>IF(OR(P111="",AB111="Yes"),"",IF(P111='G-1 All Habitats'!$X$9,H111-V111-W111,"None"))</f>
        <v/>
      </c>
      <c r="AH111" s="523" t="str">
        <f>IF(P111="","",IF(P111='G-1 All Habitats'!$X$9,AG111*J111*L111*O111,"None"))</f>
        <v/>
      </c>
      <c r="AJ111" s="107" t="str">
        <f t="shared" si="14"/>
        <v/>
      </c>
      <c r="AK111" s="107" t="str">
        <f t="shared" si="17"/>
        <v/>
      </c>
      <c r="AL111" s="107" t="str">
        <f>IF(I111="","",IF(#REF!&gt;0,TRUE,FALSE))</f>
        <v/>
      </c>
      <c r="AM111" s="107">
        <v>101</v>
      </c>
      <c r="AN111" s="107"/>
      <c r="AO111" s="107" t="str">
        <f t="array" ref="AO111">IFERROR(INDEX($AM$11:$AM$259,MATCH(0,IF(TRUE=$AJ$11:$AJ$259,COUNTIF($AO$10:$AO110,$AM$11:$AM$259),""),0)),"")</f>
        <v/>
      </c>
      <c r="AP111" s="107" t="str">
        <f t="array" ref="AP111">IFERROR(INDEX($AM$11:$AM$259,MATCH(0,IF(TRUE=$AK$11:$AK$259,COUNTIF($AP$10:$AP110,$AM$11:$AM$259),""),0)),"")</f>
        <v/>
      </c>
      <c r="AQ111" s="107" t="str">
        <f t="array" ref="AQ111">IFERROR(INDEX($AM$11:$AM$259,MATCH(0,IF(TRUE=$AL$11:$AL$259,COUNTIF($AQ$10:$AQ110,$AM$11:$AM$259),""),0)),"")</f>
        <v/>
      </c>
      <c r="AS111" s="885" t="str">
        <f>IF(AND(OR(AB111="Yes",AB111="Pending"),P111='G-1 All Habitats'!$X$3),T111-X111-Y111,"0")</f>
        <v>0</v>
      </c>
      <c r="AT111" s="30" t="str">
        <f t="shared" si="10"/>
        <v/>
      </c>
      <c r="AU111" s="30">
        <f t="shared" si="15"/>
        <v>0</v>
      </c>
      <c r="AV111" s="230" t="str">
        <f>IFERROR(INDEX('G-1 All Habitats'!$B$3:$B$135,MATCH(F111,'G-1 All Habitats'!$A$3:$A$135,0)),"")</f>
        <v/>
      </c>
      <c r="AW111" s="30" t="str">
        <f>IF(AV111="","",VLOOKUP(AV111,'G-1 All Habitats'!$B$1:$T$135,19,FALSE))</f>
        <v/>
      </c>
      <c r="AY111" s="287" t="str">
        <f t="shared" si="16"/>
        <v/>
      </c>
    </row>
    <row r="112" spans="1:51" ht="14">
      <c r="A112" s="30" t="str">
        <f>IFERROR(INDEX('G-1 All Habitats'!$AG$3:$AG$17,MATCH(E112,'G-1 All Habitats'!$AF$3:$AF$17,0)),"")</f>
        <v/>
      </c>
      <c r="B112" s="30" t="str">
        <f>IFERROR(INDEX('G-8 Condition Look up'!$I$4:$I$135,MATCH(AV112,'G-8 Condition Look up'!$A$4:$A$135,0)),"")</f>
        <v/>
      </c>
      <c r="D112" s="97">
        <v>102</v>
      </c>
      <c r="E112" s="262"/>
      <c r="F112" s="263"/>
      <c r="G112" s="133"/>
      <c r="H112" s="115"/>
      <c r="I112" s="509" t="str">
        <f>IF(AV112="","",IF(AND(AW112="Yes",G112="No"),"Irreplaceable habitat ▲",IF(AND(AW112="No",G112="Yes"),"Cannot be Irreplaceable ▲",VLOOKUP(AV112,'G-1 All Habitats'!$B$2:$M$135,10,FALSE))))</f>
        <v/>
      </c>
      <c r="J112" s="377" t="str">
        <f>IFERROR(VLOOKUP(I112,'G-1 All Habitats'!$V$3:$W$7,2,FALSE),"")</f>
        <v/>
      </c>
      <c r="K112" s="101"/>
      <c r="L112" s="276" t="str">
        <f>IFERROR(INDEX('G-8 Condition Look up'!$A$3:$H$135,MATCH(AV112,'G-8 Condition Look up'!$A$3:$A$135,0),MATCH(K112,'G-8 Condition Look up'!$A$3:$H$3,0)),"")</f>
        <v/>
      </c>
      <c r="M112" s="105"/>
      <c r="N112" s="295" t="str">
        <f>IF(M112="","",IF(VLOOKUP(M112,'G-3 Multipliers'!$L$3:$N$6,2,FALSE)=0,"Spatial Data Missing ⚠",VLOOKUP(M112,'G-3 Multipliers'!$L$3:$N$6,2,FALSE)))</f>
        <v/>
      </c>
      <c r="O112" s="353" t="str">
        <f>IF(M112="","",IF(VLOOKUP(M112,'G-3 Multipliers'!$L$3:$N$6,3,FALSE)=0,"Spatial Data Missing ⚠",VLOOKUP(M112,'G-3 Multipliers'!$L$3:$N$6,3,FALSE)))</f>
        <v/>
      </c>
      <c r="P112" s="336" t="str">
        <f>(IF(G112="Yes","Bespoke compensation likely to be required",(IFERROR(VLOOKUP(AV112,'G-1 All Habitats'!$B$2:$M$135,12,FALSE),""))))</f>
        <v/>
      </c>
      <c r="Q112" s="511" t="str">
        <f>IFERROR(IF(P112="","",IF(AND(E112="Individual trees",W112&gt;0,G112="Yes"),"Error - you cannot enhance irreplaceable individual trees ▲",IF(P112='G-1 All Habitats'!$X$9,T112*S112,IF(AND(P112='G-1 All Habitats'!$X$9,W112&gt;0),X112+(Y112*S112),IF(AND(P112='G-1 All Habitats'!$X$9,V112&gt;0),X112+(Y112*S112),IF(AND(P112='G-1 All Habitats'!$X$9,AG112&gt;0),"Any Loss Unacceptable  ⚠",IF(AND(P112='G-1 All Habitats'!$X$9,Z112&gt;0),"Any Loss Unacceptable ⚠",H112*J112*L112*O112*S112))))))),"Check Data ⚠")</f>
        <v/>
      </c>
      <c r="R112" s="393"/>
      <c r="S112" s="510" t="str">
        <f>IF(R112="","",IF(VLOOKUP(R112,'G-3 Multipliers'!$S$3:$T$10,2,FALSE)=0,"Spatial Data Missing ⚠",VLOOKUP(R112,'G-3 Multipliers'!$S$3:$T$10,2,FALSE)))</f>
        <v/>
      </c>
      <c r="T112" s="289" t="str">
        <f>IFERROR(IF(AND(F112&lt;&gt;"",G112=""),"Confirm irreplaceable habitat status ▲",(IF(AND(R112&lt;&gt;"",AF112=""),"Off-site reference required ▲",(IF(AND(E112="Individual trees",W112&gt;0,G112="Yes"),"Error - you cannot enhance irreplaceable individual trees ▲",(IF(AND(X112="Irreplaceable habitat - no units generated ⚠",(W112+V112)&lt;H112,OR(AB112="No",AB112="")),"Any Loss Unacceptable ⚠",(IF(X112="Irreplaceable habitat - no units generated ⚠",W112*J112*L112*O112,IF(AND(P112='G-1 All Habitats'!$X$9,AH112&gt;0,V112&lt;=0,W112&lt;=0,OR(AB112="No",AB112="")),"Any Loss Unacceptable ⚠",IF(AND(P112='G-1 All Habitats'!$X$9,AH112&gt;0,V112&lt;=0,W112&lt;=0),0,(IF(AND(P112='G-1 All Habitats'!$X$9,(W112+V112)&lt;H112,OR(AB112="No",AB112="")),"Any Loss Unacceptable ⚠",(IF(P112="","",IF(AND(P112='G-1 All Habitats'!$X$9,W112&gt;0),X112+Y112,IF(AND(P112='G-1 All Habitats'!$X$9,V112&gt;0),X112+Y112,IF(R112="","",H112*J112*L112*O112)))))))))))))))))),"Check Data ▲")</f>
        <v/>
      </c>
      <c r="U112" s="38"/>
      <c r="V112" s="52"/>
      <c r="W112" s="53"/>
      <c r="X112" s="287" t="str">
        <f t="shared" si="11"/>
        <v/>
      </c>
      <c r="Y112" s="287" t="str">
        <f t="shared" si="12"/>
        <v/>
      </c>
      <c r="Z112" s="287" t="str">
        <f t="shared" si="13"/>
        <v/>
      </c>
      <c r="AA112" s="317" t="str">
        <f>IFERROR(IF(AND(E112="Individual trees",G112="Yes",W112&gt;0),"Error - you cannot enhance an irreplaceable tree ▲",(IF(H112="","",IF(H112-V112-W112=0&lt;0,"Error in Areas ▲",IF(V112+W112&gt;H112,"Error in Areas ▲",IF(AND(P112='G-1 All Habitats'!$X$9,AB112="Yes"),"Alternative Compensation ✓",IF(AND(P112='G-1 All Habitats'!$X$3,AB112="Yes"),"Alternative Compensation ✓",IF(AND(AB112="Pending",P112='G-1 All Habitats'!$X$3),"Bespoke compensation must be agreed ▲",IF(AND(AB112="Pending",P112='G-1 All Habitats'!$X$9),"Bespoke compensation must be agreed  ▲",IF(Z112=0,0,IF(P112='G-1 All Habitats'!$X$9,"Any Loss Unacceptable ▲",T112-X112-Y112))))))))))),"Check Data ⚠")</f>
        <v/>
      </c>
      <c r="AB112" s="587"/>
      <c r="AC112" s="105"/>
      <c r="AD112" s="138"/>
      <c r="AE112" s="104"/>
      <c r="AF112" s="611"/>
      <c r="AG112" s="523" t="str">
        <f>IF(OR(P112="",AB112="Yes"),"",IF(P112='G-1 All Habitats'!$X$9,H112-V112-W112,"None"))</f>
        <v/>
      </c>
      <c r="AH112" s="523" t="str">
        <f>IF(P112="","",IF(P112='G-1 All Habitats'!$X$9,AG112*J112*L112*O112,"None"))</f>
        <v/>
      </c>
      <c r="AJ112" s="107" t="str">
        <f t="shared" si="14"/>
        <v/>
      </c>
      <c r="AK112" s="107" t="str">
        <f t="shared" si="17"/>
        <v/>
      </c>
      <c r="AL112" s="107" t="str">
        <f>IF(I112="","",IF(#REF!&gt;0,TRUE,FALSE))</f>
        <v/>
      </c>
      <c r="AM112" s="107">
        <v>102</v>
      </c>
      <c r="AN112" s="107"/>
      <c r="AO112" s="107" t="str">
        <f t="array" ref="AO112">IFERROR(INDEX($AM$11:$AM$259,MATCH(0,IF(TRUE=$AJ$11:$AJ$259,COUNTIF($AO$10:$AO111,$AM$11:$AM$259),""),0)),"")</f>
        <v/>
      </c>
      <c r="AP112" s="107" t="str">
        <f t="array" ref="AP112">IFERROR(INDEX($AM$11:$AM$259,MATCH(0,IF(TRUE=$AK$11:$AK$259,COUNTIF($AP$10:$AP111,$AM$11:$AM$259),""),0)),"")</f>
        <v/>
      </c>
      <c r="AQ112" s="107" t="str">
        <f t="array" ref="AQ112">IFERROR(INDEX($AM$11:$AM$259,MATCH(0,IF(TRUE=$AL$11:$AL$259,COUNTIF($AQ$10:$AQ111,$AM$11:$AM$259),""),0)),"")</f>
        <v/>
      </c>
      <c r="AS112" s="885" t="str">
        <f>IF(AND(OR(AB112="Yes",AB112="Pending"),P112='G-1 All Habitats'!$X$3),T112-X112-Y112,"0")</f>
        <v>0</v>
      </c>
      <c r="AT112" s="30" t="str">
        <f t="shared" si="10"/>
        <v/>
      </c>
      <c r="AU112" s="30">
        <f t="shared" si="15"/>
        <v>0</v>
      </c>
      <c r="AV112" s="230" t="str">
        <f>IFERROR(INDEX('G-1 All Habitats'!$B$3:$B$135,MATCH(F112,'G-1 All Habitats'!$A$3:$A$135,0)),"")</f>
        <v/>
      </c>
      <c r="AW112" s="30" t="str">
        <f>IF(AV112="","",VLOOKUP(AV112,'G-1 All Habitats'!$B$1:$T$135,19,FALSE))</f>
        <v/>
      </c>
      <c r="AY112" s="287" t="str">
        <f t="shared" si="16"/>
        <v/>
      </c>
    </row>
    <row r="113" spans="1:51" ht="14">
      <c r="A113" s="30" t="str">
        <f>IFERROR(INDEX('G-1 All Habitats'!$AG$3:$AG$17,MATCH(E113,'G-1 All Habitats'!$AF$3:$AF$17,0)),"")</f>
        <v/>
      </c>
      <c r="B113" s="30" t="str">
        <f>IFERROR(INDEX('G-8 Condition Look up'!$I$4:$I$135,MATCH(AV113,'G-8 Condition Look up'!$A$4:$A$135,0)),"")</f>
        <v/>
      </c>
      <c r="D113" s="97">
        <v>103</v>
      </c>
      <c r="E113" s="262"/>
      <c r="F113" s="263"/>
      <c r="G113" s="133"/>
      <c r="H113" s="115"/>
      <c r="I113" s="509" t="str">
        <f>IF(AV113="","",IF(AND(AW113="Yes",G113="No"),"Irreplaceable habitat ▲",IF(AND(AW113="No",G113="Yes"),"Cannot be Irreplaceable ▲",VLOOKUP(AV113,'G-1 All Habitats'!$B$2:$M$135,10,FALSE))))</f>
        <v/>
      </c>
      <c r="J113" s="377" t="str">
        <f>IFERROR(VLOOKUP(I113,'G-1 All Habitats'!$V$3:$W$7,2,FALSE),"")</f>
        <v/>
      </c>
      <c r="K113" s="101"/>
      <c r="L113" s="276" t="str">
        <f>IFERROR(INDEX('G-8 Condition Look up'!$A$3:$H$135,MATCH(AV113,'G-8 Condition Look up'!$A$3:$A$135,0),MATCH(K113,'G-8 Condition Look up'!$A$3:$H$3,0)),"")</f>
        <v/>
      </c>
      <c r="M113" s="105"/>
      <c r="N113" s="295" t="str">
        <f>IF(M113="","",IF(VLOOKUP(M113,'G-3 Multipliers'!$L$3:$N$6,2,FALSE)=0,"Spatial Data Missing ⚠",VLOOKUP(M113,'G-3 Multipliers'!$L$3:$N$6,2,FALSE)))</f>
        <v/>
      </c>
      <c r="O113" s="353" t="str">
        <f>IF(M113="","",IF(VLOOKUP(M113,'G-3 Multipliers'!$L$3:$N$6,3,FALSE)=0,"Spatial Data Missing ⚠",VLOOKUP(M113,'G-3 Multipliers'!$L$3:$N$6,3,FALSE)))</f>
        <v/>
      </c>
      <c r="P113" s="336" t="str">
        <f>(IF(G113="Yes","Bespoke compensation likely to be required",(IFERROR(VLOOKUP(AV113,'G-1 All Habitats'!$B$2:$M$135,12,FALSE),""))))</f>
        <v/>
      </c>
      <c r="Q113" s="511" t="str">
        <f>IFERROR(IF(P113="","",IF(AND(E113="Individual trees",W113&gt;0,G113="Yes"),"Error - you cannot enhance irreplaceable individual trees ▲",IF(P113='G-1 All Habitats'!$X$9,T113*S113,IF(AND(P113='G-1 All Habitats'!$X$9,W113&gt;0),X113+(Y113*S113),IF(AND(P113='G-1 All Habitats'!$X$9,V113&gt;0),X113+(Y113*S113),IF(AND(P113='G-1 All Habitats'!$X$9,AG113&gt;0),"Any Loss Unacceptable  ⚠",IF(AND(P113='G-1 All Habitats'!$X$9,Z113&gt;0),"Any Loss Unacceptable ⚠",H113*J113*L113*O113*S113))))))),"Check Data ⚠")</f>
        <v/>
      </c>
      <c r="R113" s="393"/>
      <c r="S113" s="510" t="str">
        <f>IF(R113="","",IF(VLOOKUP(R113,'G-3 Multipliers'!$S$3:$T$10,2,FALSE)=0,"Spatial Data Missing ⚠",VLOOKUP(R113,'G-3 Multipliers'!$S$3:$T$10,2,FALSE)))</f>
        <v/>
      </c>
      <c r="T113" s="289" t="str">
        <f>IFERROR(IF(AND(F113&lt;&gt;"",G113=""),"Confirm irreplaceable habitat status ▲",(IF(AND(R113&lt;&gt;"",AF113=""),"Off-site reference required ▲",(IF(AND(E113="Individual trees",W113&gt;0,G113="Yes"),"Error - you cannot enhance irreplaceable individual trees ▲",(IF(AND(X113="Irreplaceable habitat - no units generated ⚠",(W113+V113)&lt;H113,OR(AB113="No",AB113="")),"Any Loss Unacceptable ⚠",(IF(X113="Irreplaceable habitat - no units generated ⚠",W113*J113*L113*O113,IF(AND(P113='G-1 All Habitats'!$X$9,AH113&gt;0,V113&lt;=0,W113&lt;=0,OR(AB113="No",AB113="")),"Any Loss Unacceptable ⚠",IF(AND(P113='G-1 All Habitats'!$X$9,AH113&gt;0,V113&lt;=0,W113&lt;=0),0,(IF(AND(P113='G-1 All Habitats'!$X$9,(W113+V113)&lt;H113,OR(AB113="No",AB113="")),"Any Loss Unacceptable ⚠",(IF(P113="","",IF(AND(P113='G-1 All Habitats'!$X$9,W113&gt;0),X113+Y113,IF(AND(P113='G-1 All Habitats'!$X$9,V113&gt;0),X113+Y113,IF(R113="","",H113*J113*L113*O113)))))))))))))))))),"Check Data ▲")</f>
        <v/>
      </c>
      <c r="U113" s="38"/>
      <c r="V113" s="52"/>
      <c r="W113" s="53"/>
      <c r="X113" s="287" t="str">
        <f t="shared" si="11"/>
        <v/>
      </c>
      <c r="Y113" s="287" t="str">
        <f t="shared" si="12"/>
        <v/>
      </c>
      <c r="Z113" s="287" t="str">
        <f t="shared" si="13"/>
        <v/>
      </c>
      <c r="AA113" s="317" t="str">
        <f>IFERROR(IF(AND(E113="Individual trees",G113="Yes",W113&gt;0),"Error - you cannot enhance an irreplaceable tree ▲",(IF(H113="","",IF(H113-V113-W113=0&lt;0,"Error in Areas ▲",IF(V113+W113&gt;H113,"Error in Areas ▲",IF(AND(P113='G-1 All Habitats'!$X$9,AB113="Yes"),"Alternative Compensation ✓",IF(AND(P113='G-1 All Habitats'!$X$3,AB113="Yes"),"Alternative Compensation ✓",IF(AND(AB113="Pending",P113='G-1 All Habitats'!$X$3),"Bespoke compensation must be agreed ▲",IF(AND(AB113="Pending",P113='G-1 All Habitats'!$X$9),"Bespoke compensation must be agreed  ▲",IF(Z113=0,0,IF(P113='G-1 All Habitats'!$X$9,"Any Loss Unacceptable ▲",T113-X113-Y113))))))))))),"Check Data ⚠")</f>
        <v/>
      </c>
      <c r="AB113" s="587"/>
      <c r="AC113" s="105"/>
      <c r="AD113" s="138"/>
      <c r="AE113" s="104"/>
      <c r="AF113" s="611"/>
      <c r="AG113" s="523" t="str">
        <f>IF(OR(P113="",AB113="Yes"),"",IF(P113='G-1 All Habitats'!$X$9,H113-V113-W113,"None"))</f>
        <v/>
      </c>
      <c r="AH113" s="523" t="str">
        <f>IF(P113="","",IF(P113='G-1 All Habitats'!$X$9,AG113*J113*L113*O113,"None"))</f>
        <v/>
      </c>
      <c r="AJ113" s="107" t="str">
        <f t="shared" si="14"/>
        <v/>
      </c>
      <c r="AK113" s="107" t="str">
        <f t="shared" si="17"/>
        <v/>
      </c>
      <c r="AL113" s="107" t="str">
        <f>IF(I113="","",IF(#REF!&gt;0,TRUE,FALSE))</f>
        <v/>
      </c>
      <c r="AM113" s="107">
        <v>103</v>
      </c>
      <c r="AN113" s="107"/>
      <c r="AO113" s="107" t="str">
        <f t="array" ref="AO113">IFERROR(INDEX($AM$11:$AM$259,MATCH(0,IF(TRUE=$AJ$11:$AJ$259,COUNTIF($AO$10:$AO112,$AM$11:$AM$259),""),0)),"")</f>
        <v/>
      </c>
      <c r="AP113" s="107" t="str">
        <f t="array" ref="AP113">IFERROR(INDEX($AM$11:$AM$259,MATCH(0,IF(TRUE=$AK$11:$AK$259,COUNTIF($AP$10:$AP112,$AM$11:$AM$259),""),0)),"")</f>
        <v/>
      </c>
      <c r="AQ113" s="107" t="str">
        <f t="array" ref="AQ113">IFERROR(INDEX($AM$11:$AM$259,MATCH(0,IF(TRUE=$AL$11:$AL$259,COUNTIF($AQ$10:$AQ112,$AM$11:$AM$259),""),0)),"")</f>
        <v/>
      </c>
      <c r="AS113" s="885" t="str">
        <f>IF(AND(OR(AB113="Yes",AB113="Pending"),P113='G-1 All Habitats'!$X$3),T113-X113-Y113,"0")</f>
        <v>0</v>
      </c>
      <c r="AT113" s="30" t="str">
        <f t="shared" si="10"/>
        <v/>
      </c>
      <c r="AU113" s="30">
        <f t="shared" si="15"/>
        <v>0</v>
      </c>
      <c r="AV113" s="230" t="str">
        <f>IFERROR(INDEX('G-1 All Habitats'!$B$3:$B$135,MATCH(F113,'G-1 All Habitats'!$A$3:$A$135,0)),"")</f>
        <v/>
      </c>
      <c r="AW113" s="30" t="str">
        <f>IF(AV113="","",VLOOKUP(AV113,'G-1 All Habitats'!$B$1:$T$135,19,FALSE))</f>
        <v/>
      </c>
      <c r="AY113" s="287" t="str">
        <f t="shared" si="16"/>
        <v/>
      </c>
    </row>
    <row r="114" spans="1:51" ht="14">
      <c r="A114" s="30" t="str">
        <f>IFERROR(INDEX('G-1 All Habitats'!$AG$3:$AG$17,MATCH(E114,'G-1 All Habitats'!$AF$3:$AF$17,0)),"")</f>
        <v/>
      </c>
      <c r="B114" s="30" t="str">
        <f>IFERROR(INDEX('G-8 Condition Look up'!$I$4:$I$135,MATCH(AV114,'G-8 Condition Look up'!$A$4:$A$135,0)),"")</f>
        <v/>
      </c>
      <c r="D114" s="97">
        <v>104</v>
      </c>
      <c r="E114" s="262"/>
      <c r="F114" s="263"/>
      <c r="G114" s="133"/>
      <c r="H114" s="115"/>
      <c r="I114" s="509" t="str">
        <f>IF(AV114="","",IF(AND(AW114="Yes",G114="No"),"Irreplaceable habitat ▲",IF(AND(AW114="No",G114="Yes"),"Cannot be Irreplaceable ▲",VLOOKUP(AV114,'G-1 All Habitats'!$B$2:$M$135,10,FALSE))))</f>
        <v/>
      </c>
      <c r="J114" s="377" t="str">
        <f>IFERROR(VLOOKUP(I114,'G-1 All Habitats'!$V$3:$W$7,2,FALSE),"")</f>
        <v/>
      </c>
      <c r="K114" s="101"/>
      <c r="L114" s="276" t="str">
        <f>IFERROR(INDEX('G-8 Condition Look up'!$A$3:$H$135,MATCH(AV114,'G-8 Condition Look up'!$A$3:$A$135,0),MATCH(K114,'G-8 Condition Look up'!$A$3:$H$3,0)),"")</f>
        <v/>
      </c>
      <c r="M114" s="105"/>
      <c r="N114" s="295" t="str">
        <f>IF(M114="","",IF(VLOOKUP(M114,'G-3 Multipliers'!$L$3:$N$6,2,FALSE)=0,"Spatial Data Missing ⚠",VLOOKUP(M114,'G-3 Multipliers'!$L$3:$N$6,2,FALSE)))</f>
        <v/>
      </c>
      <c r="O114" s="353" t="str">
        <f>IF(M114="","",IF(VLOOKUP(M114,'G-3 Multipliers'!$L$3:$N$6,3,FALSE)=0,"Spatial Data Missing ⚠",VLOOKUP(M114,'G-3 Multipliers'!$L$3:$N$6,3,FALSE)))</f>
        <v/>
      </c>
      <c r="P114" s="336" t="str">
        <f>(IF(G114="Yes","Bespoke compensation likely to be required",(IFERROR(VLOOKUP(AV114,'G-1 All Habitats'!$B$2:$M$135,12,FALSE),""))))</f>
        <v/>
      </c>
      <c r="Q114" s="511" t="str">
        <f>IFERROR(IF(P114="","",IF(AND(E114="Individual trees",W114&gt;0,G114="Yes"),"Error - you cannot enhance irreplaceable individual trees ▲",IF(P114='G-1 All Habitats'!$X$9,T114*S114,IF(AND(P114='G-1 All Habitats'!$X$9,W114&gt;0),X114+(Y114*S114),IF(AND(P114='G-1 All Habitats'!$X$9,V114&gt;0),X114+(Y114*S114),IF(AND(P114='G-1 All Habitats'!$X$9,AG114&gt;0),"Any Loss Unacceptable  ⚠",IF(AND(P114='G-1 All Habitats'!$X$9,Z114&gt;0),"Any Loss Unacceptable ⚠",H114*J114*L114*O114*S114))))))),"Check Data ⚠")</f>
        <v/>
      </c>
      <c r="R114" s="393"/>
      <c r="S114" s="510" t="str">
        <f>IF(R114="","",IF(VLOOKUP(R114,'G-3 Multipliers'!$S$3:$T$10,2,FALSE)=0,"Spatial Data Missing ⚠",VLOOKUP(R114,'G-3 Multipliers'!$S$3:$T$10,2,FALSE)))</f>
        <v/>
      </c>
      <c r="T114" s="289" t="str">
        <f>IFERROR(IF(AND(F114&lt;&gt;"",G114=""),"Confirm irreplaceable habitat status ▲",(IF(AND(R114&lt;&gt;"",AF114=""),"Off-site reference required ▲",(IF(AND(E114="Individual trees",W114&gt;0,G114="Yes"),"Error - you cannot enhance irreplaceable individual trees ▲",(IF(AND(X114="Irreplaceable habitat - no units generated ⚠",(W114+V114)&lt;H114,OR(AB114="No",AB114="")),"Any Loss Unacceptable ⚠",(IF(X114="Irreplaceable habitat - no units generated ⚠",W114*J114*L114*O114,IF(AND(P114='G-1 All Habitats'!$X$9,AH114&gt;0,V114&lt;=0,W114&lt;=0,OR(AB114="No",AB114="")),"Any Loss Unacceptable ⚠",IF(AND(P114='G-1 All Habitats'!$X$9,AH114&gt;0,V114&lt;=0,W114&lt;=0),0,(IF(AND(P114='G-1 All Habitats'!$X$9,(W114+V114)&lt;H114,OR(AB114="No",AB114="")),"Any Loss Unacceptable ⚠",(IF(P114="","",IF(AND(P114='G-1 All Habitats'!$X$9,W114&gt;0),X114+Y114,IF(AND(P114='G-1 All Habitats'!$X$9,V114&gt;0),X114+Y114,IF(R114="","",H114*J114*L114*O114)))))))))))))))))),"Check Data ▲")</f>
        <v/>
      </c>
      <c r="U114" s="38"/>
      <c r="V114" s="52"/>
      <c r="W114" s="53"/>
      <c r="X114" s="287" t="str">
        <f t="shared" si="11"/>
        <v/>
      </c>
      <c r="Y114" s="287" t="str">
        <f t="shared" si="12"/>
        <v/>
      </c>
      <c r="Z114" s="287" t="str">
        <f t="shared" si="13"/>
        <v/>
      </c>
      <c r="AA114" s="317" t="str">
        <f>IFERROR(IF(AND(E114="Individual trees",G114="Yes",W114&gt;0),"Error - you cannot enhance an irreplaceable tree ▲",(IF(H114="","",IF(H114-V114-W114=0&lt;0,"Error in Areas ▲",IF(V114+W114&gt;H114,"Error in Areas ▲",IF(AND(P114='G-1 All Habitats'!$X$9,AB114="Yes"),"Alternative Compensation ✓",IF(AND(P114='G-1 All Habitats'!$X$3,AB114="Yes"),"Alternative Compensation ✓",IF(AND(AB114="Pending",P114='G-1 All Habitats'!$X$3),"Bespoke compensation must be agreed ▲",IF(AND(AB114="Pending",P114='G-1 All Habitats'!$X$9),"Bespoke compensation must be agreed  ▲",IF(Z114=0,0,IF(P114='G-1 All Habitats'!$X$9,"Any Loss Unacceptable ▲",T114-X114-Y114))))))))))),"Check Data ⚠")</f>
        <v/>
      </c>
      <c r="AB114" s="587"/>
      <c r="AC114" s="105"/>
      <c r="AD114" s="138"/>
      <c r="AE114" s="104"/>
      <c r="AF114" s="611"/>
      <c r="AG114" s="523" t="str">
        <f>IF(OR(P114="",AB114="Yes"),"",IF(P114='G-1 All Habitats'!$X$9,H114-V114-W114,"None"))</f>
        <v/>
      </c>
      <c r="AH114" s="523" t="str">
        <f>IF(P114="","",IF(P114='G-1 All Habitats'!$X$9,AG114*J114*L114*O114,"None"))</f>
        <v/>
      </c>
      <c r="AJ114" s="107" t="str">
        <f t="shared" si="14"/>
        <v/>
      </c>
      <c r="AK114" s="107" t="str">
        <f t="shared" si="17"/>
        <v/>
      </c>
      <c r="AL114" s="107" t="str">
        <f>IF(I114="","",IF(#REF!&gt;0,TRUE,FALSE))</f>
        <v/>
      </c>
      <c r="AM114" s="107">
        <v>104</v>
      </c>
      <c r="AN114" s="107"/>
      <c r="AO114" s="107" t="str">
        <f t="array" ref="AO114">IFERROR(INDEX($AM$11:$AM$259,MATCH(0,IF(TRUE=$AJ$11:$AJ$259,COUNTIF($AO$10:$AO113,$AM$11:$AM$259),""),0)),"")</f>
        <v/>
      </c>
      <c r="AP114" s="107" t="str">
        <f t="array" ref="AP114">IFERROR(INDEX($AM$11:$AM$259,MATCH(0,IF(TRUE=$AK$11:$AK$259,COUNTIF($AP$10:$AP113,$AM$11:$AM$259),""),0)),"")</f>
        <v/>
      </c>
      <c r="AQ114" s="107" t="str">
        <f t="array" ref="AQ114">IFERROR(INDEX($AM$11:$AM$259,MATCH(0,IF(TRUE=$AL$11:$AL$259,COUNTIF($AQ$10:$AQ113,$AM$11:$AM$259),""),0)),"")</f>
        <v/>
      </c>
      <c r="AS114" s="885" t="str">
        <f>IF(AND(OR(AB114="Yes",AB114="Pending"),P114='G-1 All Habitats'!$X$3),T114-X114-Y114,"0")</f>
        <v>0</v>
      </c>
      <c r="AT114" s="30" t="str">
        <f t="shared" si="10"/>
        <v/>
      </c>
      <c r="AU114" s="30">
        <f t="shared" si="15"/>
        <v>0</v>
      </c>
      <c r="AV114" s="230" t="str">
        <f>IFERROR(INDEX('G-1 All Habitats'!$B$3:$B$135,MATCH(F114,'G-1 All Habitats'!$A$3:$A$135,0)),"")</f>
        <v/>
      </c>
      <c r="AW114" s="30" t="str">
        <f>IF(AV114="","",VLOOKUP(AV114,'G-1 All Habitats'!$B$1:$T$135,19,FALSE))</f>
        <v/>
      </c>
      <c r="AY114" s="287" t="str">
        <f t="shared" si="16"/>
        <v/>
      </c>
    </row>
    <row r="115" spans="1:51" ht="14">
      <c r="A115" s="30" t="str">
        <f>IFERROR(INDEX('G-1 All Habitats'!$AG$3:$AG$17,MATCH(E115,'G-1 All Habitats'!$AF$3:$AF$17,0)),"")</f>
        <v/>
      </c>
      <c r="B115" s="30" t="str">
        <f>IFERROR(INDEX('G-8 Condition Look up'!$I$4:$I$135,MATCH(AV115,'G-8 Condition Look up'!$A$4:$A$135,0)),"")</f>
        <v/>
      </c>
      <c r="D115" s="97">
        <v>105</v>
      </c>
      <c r="E115" s="262"/>
      <c r="F115" s="263"/>
      <c r="G115" s="133"/>
      <c r="H115" s="115"/>
      <c r="I115" s="509" t="str">
        <f>IF(AV115="","",IF(AND(AW115="Yes",G115="No"),"Irreplaceable habitat ▲",IF(AND(AW115="No",G115="Yes"),"Cannot be Irreplaceable ▲",VLOOKUP(AV115,'G-1 All Habitats'!$B$2:$M$135,10,FALSE))))</f>
        <v/>
      </c>
      <c r="J115" s="377" t="str">
        <f>IFERROR(VLOOKUP(I115,'G-1 All Habitats'!$V$3:$W$7,2,FALSE),"")</f>
        <v/>
      </c>
      <c r="K115" s="101"/>
      <c r="L115" s="276" t="str">
        <f>IFERROR(INDEX('G-8 Condition Look up'!$A$3:$H$135,MATCH(AV115,'G-8 Condition Look up'!$A$3:$A$135,0),MATCH(K115,'G-8 Condition Look up'!$A$3:$H$3,0)),"")</f>
        <v/>
      </c>
      <c r="M115" s="105"/>
      <c r="N115" s="295" t="str">
        <f>IF(M115="","",IF(VLOOKUP(M115,'G-3 Multipliers'!$L$3:$N$6,2,FALSE)=0,"Spatial Data Missing ⚠",VLOOKUP(M115,'G-3 Multipliers'!$L$3:$N$6,2,FALSE)))</f>
        <v/>
      </c>
      <c r="O115" s="353" t="str">
        <f>IF(M115="","",IF(VLOOKUP(M115,'G-3 Multipliers'!$L$3:$N$6,3,FALSE)=0,"Spatial Data Missing ⚠",VLOOKUP(M115,'G-3 Multipliers'!$L$3:$N$6,3,FALSE)))</f>
        <v/>
      </c>
      <c r="P115" s="336" t="str">
        <f>(IF(G115="Yes","Bespoke compensation likely to be required",(IFERROR(VLOOKUP(AV115,'G-1 All Habitats'!$B$2:$M$135,12,FALSE),""))))</f>
        <v/>
      </c>
      <c r="Q115" s="511" t="str">
        <f>IFERROR(IF(P115="","",IF(AND(E115="Individual trees",W115&gt;0,G115="Yes"),"Error - you cannot enhance irreplaceable individual trees ▲",IF(P115='G-1 All Habitats'!$X$9,T115*S115,IF(AND(P115='G-1 All Habitats'!$X$9,W115&gt;0),X115+(Y115*S115),IF(AND(P115='G-1 All Habitats'!$X$9,V115&gt;0),X115+(Y115*S115),IF(AND(P115='G-1 All Habitats'!$X$9,AG115&gt;0),"Any Loss Unacceptable  ⚠",IF(AND(P115='G-1 All Habitats'!$X$9,Z115&gt;0),"Any Loss Unacceptable ⚠",H115*J115*L115*O115*S115))))))),"Check Data ⚠")</f>
        <v/>
      </c>
      <c r="R115" s="393"/>
      <c r="S115" s="510" t="str">
        <f>IF(R115="","",IF(VLOOKUP(R115,'G-3 Multipliers'!$S$3:$T$10,2,FALSE)=0,"Spatial Data Missing ⚠",VLOOKUP(R115,'G-3 Multipliers'!$S$3:$T$10,2,FALSE)))</f>
        <v/>
      </c>
      <c r="T115" s="289" t="str">
        <f>IFERROR(IF(AND(F115&lt;&gt;"",G115=""),"Confirm irreplaceable habitat status ▲",(IF(AND(R115&lt;&gt;"",AF115=""),"Off-site reference required ▲",(IF(AND(E115="Individual trees",W115&gt;0,G115="Yes"),"Error - you cannot enhance irreplaceable individual trees ▲",(IF(AND(X115="Irreplaceable habitat - no units generated ⚠",(W115+V115)&lt;H115,OR(AB115="No",AB115="")),"Any Loss Unacceptable ⚠",(IF(X115="Irreplaceable habitat - no units generated ⚠",W115*J115*L115*O115,IF(AND(P115='G-1 All Habitats'!$X$9,AH115&gt;0,V115&lt;=0,W115&lt;=0,OR(AB115="No",AB115="")),"Any Loss Unacceptable ⚠",IF(AND(P115='G-1 All Habitats'!$X$9,AH115&gt;0,V115&lt;=0,W115&lt;=0),0,(IF(AND(P115='G-1 All Habitats'!$X$9,(W115+V115)&lt;H115,OR(AB115="No",AB115="")),"Any Loss Unacceptable ⚠",(IF(P115="","",IF(AND(P115='G-1 All Habitats'!$X$9,W115&gt;0),X115+Y115,IF(AND(P115='G-1 All Habitats'!$X$9,V115&gt;0),X115+Y115,IF(R115="","",H115*J115*L115*O115)))))))))))))))))),"Check Data ▲")</f>
        <v/>
      </c>
      <c r="U115" s="38"/>
      <c r="V115" s="52"/>
      <c r="W115" s="53"/>
      <c r="X115" s="287" t="str">
        <f t="shared" si="11"/>
        <v/>
      </c>
      <c r="Y115" s="287" t="str">
        <f t="shared" si="12"/>
        <v/>
      </c>
      <c r="Z115" s="287" t="str">
        <f t="shared" si="13"/>
        <v/>
      </c>
      <c r="AA115" s="317" t="str">
        <f>IFERROR(IF(AND(E115="Individual trees",G115="Yes",W115&gt;0),"Error - you cannot enhance an irreplaceable tree ▲",(IF(H115="","",IF(H115-V115-W115=0&lt;0,"Error in Areas ▲",IF(V115+W115&gt;H115,"Error in Areas ▲",IF(AND(P115='G-1 All Habitats'!$X$9,AB115="Yes"),"Alternative Compensation ✓",IF(AND(P115='G-1 All Habitats'!$X$3,AB115="Yes"),"Alternative Compensation ✓",IF(AND(AB115="Pending",P115='G-1 All Habitats'!$X$3),"Bespoke compensation must be agreed ▲",IF(AND(AB115="Pending",P115='G-1 All Habitats'!$X$9),"Bespoke compensation must be agreed  ▲",IF(Z115=0,0,IF(P115='G-1 All Habitats'!$X$9,"Any Loss Unacceptable ▲",T115-X115-Y115))))))))))),"Check Data ⚠")</f>
        <v/>
      </c>
      <c r="AB115" s="587"/>
      <c r="AC115" s="105"/>
      <c r="AD115" s="138"/>
      <c r="AE115" s="104"/>
      <c r="AF115" s="611"/>
      <c r="AG115" s="523" t="str">
        <f>IF(OR(P115="",AB115="Yes"),"",IF(P115='G-1 All Habitats'!$X$9,H115-V115-W115,"None"))</f>
        <v/>
      </c>
      <c r="AH115" s="523" t="str">
        <f>IF(P115="","",IF(P115='G-1 All Habitats'!$X$9,AG115*J115*L115*O115,"None"))</f>
        <v/>
      </c>
      <c r="AJ115" s="107" t="str">
        <f t="shared" si="14"/>
        <v/>
      </c>
      <c r="AK115" s="107" t="str">
        <f t="shared" si="17"/>
        <v/>
      </c>
      <c r="AL115" s="107" t="str">
        <f>IF(I115="","",IF(#REF!&gt;0,TRUE,FALSE))</f>
        <v/>
      </c>
      <c r="AM115" s="107">
        <v>105</v>
      </c>
      <c r="AN115" s="107"/>
      <c r="AO115" s="107" t="str">
        <f t="array" ref="AO115">IFERROR(INDEX($AM$11:$AM$259,MATCH(0,IF(TRUE=$AJ$11:$AJ$259,COUNTIF($AO$10:$AO114,$AM$11:$AM$259),""),0)),"")</f>
        <v/>
      </c>
      <c r="AP115" s="107" t="str">
        <f t="array" ref="AP115">IFERROR(INDEX($AM$11:$AM$259,MATCH(0,IF(TRUE=$AK$11:$AK$259,COUNTIF($AP$10:$AP114,$AM$11:$AM$259),""),0)),"")</f>
        <v/>
      </c>
      <c r="AQ115" s="107" t="str">
        <f t="array" ref="AQ115">IFERROR(INDEX($AM$11:$AM$259,MATCH(0,IF(TRUE=$AL$11:$AL$259,COUNTIF($AQ$10:$AQ114,$AM$11:$AM$259),""),0)),"")</f>
        <v/>
      </c>
      <c r="AS115" s="885" t="str">
        <f>IF(AND(OR(AB115="Yes",AB115="Pending"),P115='G-1 All Habitats'!$X$3),T115-X115-Y115,"0")</f>
        <v>0</v>
      </c>
      <c r="AT115" s="30" t="str">
        <f t="shared" si="10"/>
        <v/>
      </c>
      <c r="AU115" s="30">
        <f t="shared" si="15"/>
        <v>0</v>
      </c>
      <c r="AV115" s="230" t="str">
        <f>IFERROR(INDEX('G-1 All Habitats'!$B$3:$B$135,MATCH(F115,'G-1 All Habitats'!$A$3:$A$135,0)),"")</f>
        <v/>
      </c>
      <c r="AW115" s="30" t="str">
        <f>IF(AV115="","",VLOOKUP(AV115,'G-1 All Habitats'!$B$1:$T$135,19,FALSE))</f>
        <v/>
      </c>
      <c r="AY115" s="287" t="str">
        <f t="shared" si="16"/>
        <v/>
      </c>
    </row>
    <row r="116" spans="1:51" ht="14">
      <c r="A116" s="30" t="str">
        <f>IFERROR(INDEX('G-1 All Habitats'!$AG$3:$AG$17,MATCH(E116,'G-1 All Habitats'!$AF$3:$AF$17,0)),"")</f>
        <v/>
      </c>
      <c r="B116" s="30" t="str">
        <f>IFERROR(INDEX('G-8 Condition Look up'!$I$4:$I$135,MATCH(AV116,'G-8 Condition Look up'!$A$4:$A$135,0)),"")</f>
        <v/>
      </c>
      <c r="D116" s="97">
        <v>106</v>
      </c>
      <c r="E116" s="262"/>
      <c r="F116" s="263"/>
      <c r="G116" s="133"/>
      <c r="H116" s="115"/>
      <c r="I116" s="509" t="str">
        <f>IF(AV116="","",IF(AND(AW116="Yes",G116="No"),"Irreplaceable habitat ▲",IF(AND(AW116="No",G116="Yes"),"Cannot be Irreplaceable ▲",VLOOKUP(AV116,'G-1 All Habitats'!$B$2:$M$135,10,FALSE))))</f>
        <v/>
      </c>
      <c r="J116" s="377" t="str">
        <f>IFERROR(VLOOKUP(I116,'G-1 All Habitats'!$V$3:$W$7,2,FALSE),"")</f>
        <v/>
      </c>
      <c r="K116" s="101"/>
      <c r="L116" s="276" t="str">
        <f>IFERROR(INDEX('G-8 Condition Look up'!$A$3:$H$135,MATCH(AV116,'G-8 Condition Look up'!$A$3:$A$135,0),MATCH(K116,'G-8 Condition Look up'!$A$3:$H$3,0)),"")</f>
        <v/>
      </c>
      <c r="M116" s="105"/>
      <c r="N116" s="295" t="str">
        <f>IF(M116="","",IF(VLOOKUP(M116,'G-3 Multipliers'!$L$3:$N$6,2,FALSE)=0,"Spatial Data Missing ⚠",VLOOKUP(M116,'G-3 Multipliers'!$L$3:$N$6,2,FALSE)))</f>
        <v/>
      </c>
      <c r="O116" s="353" t="str">
        <f>IF(M116="","",IF(VLOOKUP(M116,'G-3 Multipliers'!$L$3:$N$6,3,FALSE)=0,"Spatial Data Missing ⚠",VLOOKUP(M116,'G-3 Multipliers'!$L$3:$N$6,3,FALSE)))</f>
        <v/>
      </c>
      <c r="P116" s="336" t="str">
        <f>(IF(G116="Yes","Bespoke compensation likely to be required",(IFERROR(VLOOKUP(AV116,'G-1 All Habitats'!$B$2:$M$135,12,FALSE),""))))</f>
        <v/>
      </c>
      <c r="Q116" s="511" t="str">
        <f>IFERROR(IF(P116="","",IF(AND(E116="Individual trees",W116&gt;0,G116="Yes"),"Error - you cannot enhance irreplaceable individual trees ▲",IF(P116='G-1 All Habitats'!$X$9,T116*S116,IF(AND(P116='G-1 All Habitats'!$X$9,W116&gt;0),X116+(Y116*S116),IF(AND(P116='G-1 All Habitats'!$X$9,V116&gt;0),X116+(Y116*S116),IF(AND(P116='G-1 All Habitats'!$X$9,AG116&gt;0),"Any Loss Unacceptable  ⚠",IF(AND(P116='G-1 All Habitats'!$X$9,Z116&gt;0),"Any Loss Unacceptable ⚠",H116*J116*L116*O116*S116))))))),"Check Data ⚠")</f>
        <v/>
      </c>
      <c r="R116" s="393"/>
      <c r="S116" s="510" t="str">
        <f>IF(R116="","",IF(VLOOKUP(R116,'G-3 Multipliers'!$S$3:$T$10,2,FALSE)=0,"Spatial Data Missing ⚠",VLOOKUP(R116,'G-3 Multipliers'!$S$3:$T$10,2,FALSE)))</f>
        <v/>
      </c>
      <c r="T116" s="289" t="str">
        <f>IFERROR(IF(AND(F116&lt;&gt;"",G116=""),"Confirm irreplaceable habitat status ▲",(IF(AND(R116&lt;&gt;"",AF116=""),"Off-site reference required ▲",(IF(AND(E116="Individual trees",W116&gt;0,G116="Yes"),"Error - you cannot enhance irreplaceable individual trees ▲",(IF(AND(X116="Irreplaceable habitat - no units generated ⚠",(W116+V116)&lt;H116,OR(AB116="No",AB116="")),"Any Loss Unacceptable ⚠",(IF(X116="Irreplaceable habitat - no units generated ⚠",W116*J116*L116*O116,IF(AND(P116='G-1 All Habitats'!$X$9,AH116&gt;0,V116&lt;=0,W116&lt;=0,OR(AB116="No",AB116="")),"Any Loss Unacceptable ⚠",IF(AND(P116='G-1 All Habitats'!$X$9,AH116&gt;0,V116&lt;=0,W116&lt;=0),0,(IF(AND(P116='G-1 All Habitats'!$X$9,(W116+V116)&lt;H116,OR(AB116="No",AB116="")),"Any Loss Unacceptable ⚠",(IF(P116="","",IF(AND(P116='G-1 All Habitats'!$X$9,W116&gt;0),X116+Y116,IF(AND(P116='G-1 All Habitats'!$X$9,V116&gt;0),X116+Y116,IF(R116="","",H116*J116*L116*O116)))))))))))))))))),"Check Data ▲")</f>
        <v/>
      </c>
      <c r="U116" s="38"/>
      <c r="V116" s="52"/>
      <c r="W116" s="53"/>
      <c r="X116" s="287" t="str">
        <f t="shared" si="11"/>
        <v/>
      </c>
      <c r="Y116" s="287" t="str">
        <f t="shared" si="12"/>
        <v/>
      </c>
      <c r="Z116" s="287" t="str">
        <f t="shared" si="13"/>
        <v/>
      </c>
      <c r="AA116" s="317" t="str">
        <f>IFERROR(IF(AND(E116="Individual trees",G116="Yes",W116&gt;0),"Error - you cannot enhance an irreplaceable tree ▲",(IF(H116="","",IF(H116-V116-W116=0&lt;0,"Error in Areas ▲",IF(V116+W116&gt;H116,"Error in Areas ▲",IF(AND(P116='G-1 All Habitats'!$X$9,AB116="Yes"),"Alternative Compensation ✓",IF(AND(P116='G-1 All Habitats'!$X$3,AB116="Yes"),"Alternative Compensation ✓",IF(AND(AB116="Pending",P116='G-1 All Habitats'!$X$3),"Bespoke compensation must be agreed ▲",IF(AND(AB116="Pending",P116='G-1 All Habitats'!$X$9),"Bespoke compensation must be agreed  ▲",IF(Z116=0,0,IF(P116='G-1 All Habitats'!$X$9,"Any Loss Unacceptable ▲",T116-X116-Y116))))))))))),"Check Data ⚠")</f>
        <v/>
      </c>
      <c r="AB116" s="587"/>
      <c r="AC116" s="105"/>
      <c r="AD116" s="138"/>
      <c r="AE116" s="104"/>
      <c r="AF116" s="611"/>
      <c r="AG116" s="523" t="str">
        <f>IF(OR(P116="",AB116="Yes"),"",IF(P116='G-1 All Habitats'!$X$9,H116-V116-W116,"None"))</f>
        <v/>
      </c>
      <c r="AH116" s="523" t="str">
        <f>IF(P116="","",IF(P116='G-1 All Habitats'!$X$9,AG116*J116*L116*O116,"None"))</f>
        <v/>
      </c>
      <c r="AJ116" s="107" t="str">
        <f t="shared" si="14"/>
        <v/>
      </c>
      <c r="AK116" s="107" t="str">
        <f t="shared" si="17"/>
        <v/>
      </c>
      <c r="AL116" s="107" t="str">
        <f>IF(I116="","",IF(#REF!&gt;0,TRUE,FALSE))</f>
        <v/>
      </c>
      <c r="AM116" s="107">
        <v>106</v>
      </c>
      <c r="AN116" s="107"/>
      <c r="AO116" s="107" t="str">
        <f t="array" ref="AO116">IFERROR(INDEX($AM$11:$AM$259,MATCH(0,IF(TRUE=$AJ$11:$AJ$259,COUNTIF($AO$10:$AO115,$AM$11:$AM$259),""),0)),"")</f>
        <v/>
      </c>
      <c r="AP116" s="107" t="str">
        <f t="array" ref="AP116">IFERROR(INDEX($AM$11:$AM$259,MATCH(0,IF(TRUE=$AK$11:$AK$259,COUNTIF($AP$10:$AP115,$AM$11:$AM$259),""),0)),"")</f>
        <v/>
      </c>
      <c r="AQ116" s="107" t="str">
        <f t="array" ref="AQ116">IFERROR(INDEX($AM$11:$AM$259,MATCH(0,IF(TRUE=$AL$11:$AL$259,COUNTIF($AQ$10:$AQ115,$AM$11:$AM$259),""),0)),"")</f>
        <v/>
      </c>
      <c r="AS116" s="885" t="str">
        <f>IF(AND(OR(AB116="Yes",AB116="Pending"),P116='G-1 All Habitats'!$X$3),T116-X116-Y116,"0")</f>
        <v>0</v>
      </c>
      <c r="AT116" s="30" t="str">
        <f t="shared" si="10"/>
        <v/>
      </c>
      <c r="AU116" s="30">
        <f t="shared" si="15"/>
        <v>0</v>
      </c>
      <c r="AV116" s="230" t="str">
        <f>IFERROR(INDEX('G-1 All Habitats'!$B$3:$B$135,MATCH(F116,'G-1 All Habitats'!$A$3:$A$135,0)),"")</f>
        <v/>
      </c>
      <c r="AW116" s="30" t="str">
        <f>IF(AV116="","",VLOOKUP(AV116,'G-1 All Habitats'!$B$1:$T$135,19,FALSE))</f>
        <v/>
      </c>
      <c r="AY116" s="287" t="str">
        <f t="shared" si="16"/>
        <v/>
      </c>
    </row>
    <row r="117" spans="1:51" ht="14">
      <c r="A117" s="30" t="str">
        <f>IFERROR(INDEX('G-1 All Habitats'!$AG$3:$AG$17,MATCH(E117,'G-1 All Habitats'!$AF$3:$AF$17,0)),"")</f>
        <v/>
      </c>
      <c r="B117" s="30" t="str">
        <f>IFERROR(INDEX('G-8 Condition Look up'!$I$4:$I$135,MATCH(AV117,'G-8 Condition Look up'!$A$4:$A$135,0)),"")</f>
        <v/>
      </c>
      <c r="D117" s="97">
        <v>107</v>
      </c>
      <c r="E117" s="262"/>
      <c r="F117" s="263"/>
      <c r="G117" s="133"/>
      <c r="H117" s="115"/>
      <c r="I117" s="509" t="str">
        <f>IF(AV117="","",IF(AND(AW117="Yes",G117="No"),"Irreplaceable habitat ▲",IF(AND(AW117="No",G117="Yes"),"Cannot be Irreplaceable ▲",VLOOKUP(AV117,'G-1 All Habitats'!$B$2:$M$135,10,FALSE))))</f>
        <v/>
      </c>
      <c r="J117" s="377" t="str">
        <f>IFERROR(VLOOKUP(I117,'G-1 All Habitats'!$V$3:$W$7,2,FALSE),"")</f>
        <v/>
      </c>
      <c r="K117" s="101"/>
      <c r="L117" s="276" t="str">
        <f>IFERROR(INDEX('G-8 Condition Look up'!$A$3:$H$135,MATCH(AV117,'G-8 Condition Look up'!$A$3:$A$135,0),MATCH(K117,'G-8 Condition Look up'!$A$3:$H$3,0)),"")</f>
        <v/>
      </c>
      <c r="M117" s="105"/>
      <c r="N117" s="295" t="str">
        <f>IF(M117="","",IF(VLOOKUP(M117,'G-3 Multipliers'!$L$3:$N$6,2,FALSE)=0,"Spatial Data Missing ⚠",VLOOKUP(M117,'G-3 Multipliers'!$L$3:$N$6,2,FALSE)))</f>
        <v/>
      </c>
      <c r="O117" s="353" t="str">
        <f>IF(M117="","",IF(VLOOKUP(M117,'G-3 Multipliers'!$L$3:$N$6,3,FALSE)=0,"Spatial Data Missing ⚠",VLOOKUP(M117,'G-3 Multipliers'!$L$3:$N$6,3,FALSE)))</f>
        <v/>
      </c>
      <c r="P117" s="336" t="str">
        <f>(IF(G117="Yes","Bespoke compensation likely to be required",(IFERROR(VLOOKUP(AV117,'G-1 All Habitats'!$B$2:$M$135,12,FALSE),""))))</f>
        <v/>
      </c>
      <c r="Q117" s="511" t="str">
        <f>IFERROR(IF(P117="","",IF(AND(E117="Individual trees",W117&gt;0,G117="Yes"),"Error - you cannot enhance irreplaceable individual trees ▲",IF(P117='G-1 All Habitats'!$X$9,T117*S117,IF(AND(P117='G-1 All Habitats'!$X$9,W117&gt;0),X117+(Y117*S117),IF(AND(P117='G-1 All Habitats'!$X$9,V117&gt;0),X117+(Y117*S117),IF(AND(P117='G-1 All Habitats'!$X$9,AG117&gt;0),"Any Loss Unacceptable  ⚠",IF(AND(P117='G-1 All Habitats'!$X$9,Z117&gt;0),"Any Loss Unacceptable ⚠",H117*J117*L117*O117*S117))))))),"Check Data ⚠")</f>
        <v/>
      </c>
      <c r="R117" s="393"/>
      <c r="S117" s="510" t="str">
        <f>IF(R117="","",IF(VLOOKUP(R117,'G-3 Multipliers'!$S$3:$T$10,2,FALSE)=0,"Spatial Data Missing ⚠",VLOOKUP(R117,'G-3 Multipliers'!$S$3:$T$10,2,FALSE)))</f>
        <v/>
      </c>
      <c r="T117" s="289" t="str">
        <f>IFERROR(IF(AND(F117&lt;&gt;"",G117=""),"Confirm irreplaceable habitat status ▲",(IF(AND(R117&lt;&gt;"",AF117=""),"Off-site reference required ▲",(IF(AND(E117="Individual trees",W117&gt;0,G117="Yes"),"Error - you cannot enhance irreplaceable individual trees ▲",(IF(AND(X117="Irreplaceable habitat - no units generated ⚠",(W117+V117)&lt;H117,OR(AB117="No",AB117="")),"Any Loss Unacceptable ⚠",(IF(X117="Irreplaceable habitat - no units generated ⚠",W117*J117*L117*O117,IF(AND(P117='G-1 All Habitats'!$X$9,AH117&gt;0,V117&lt;=0,W117&lt;=0,OR(AB117="No",AB117="")),"Any Loss Unacceptable ⚠",IF(AND(P117='G-1 All Habitats'!$X$9,AH117&gt;0,V117&lt;=0,W117&lt;=0),0,(IF(AND(P117='G-1 All Habitats'!$X$9,(W117+V117)&lt;H117,OR(AB117="No",AB117="")),"Any Loss Unacceptable ⚠",(IF(P117="","",IF(AND(P117='G-1 All Habitats'!$X$9,W117&gt;0),X117+Y117,IF(AND(P117='G-1 All Habitats'!$X$9,V117&gt;0),X117+Y117,IF(R117="","",H117*J117*L117*O117)))))))))))))))))),"Check Data ▲")</f>
        <v/>
      </c>
      <c r="U117" s="38"/>
      <c r="V117" s="52"/>
      <c r="W117" s="53"/>
      <c r="X117" s="287" t="str">
        <f t="shared" si="11"/>
        <v/>
      </c>
      <c r="Y117" s="287" t="str">
        <f t="shared" si="12"/>
        <v/>
      </c>
      <c r="Z117" s="287" t="str">
        <f t="shared" si="13"/>
        <v/>
      </c>
      <c r="AA117" s="317" t="str">
        <f>IFERROR(IF(AND(E117="Individual trees",G117="Yes",W117&gt;0),"Error - you cannot enhance an irreplaceable tree ▲",(IF(H117="","",IF(H117-V117-W117=0&lt;0,"Error in Areas ▲",IF(V117+W117&gt;H117,"Error in Areas ▲",IF(AND(P117='G-1 All Habitats'!$X$9,AB117="Yes"),"Alternative Compensation ✓",IF(AND(P117='G-1 All Habitats'!$X$3,AB117="Yes"),"Alternative Compensation ✓",IF(AND(AB117="Pending",P117='G-1 All Habitats'!$X$3),"Bespoke compensation must be agreed ▲",IF(AND(AB117="Pending",P117='G-1 All Habitats'!$X$9),"Bespoke compensation must be agreed  ▲",IF(Z117=0,0,IF(P117='G-1 All Habitats'!$X$9,"Any Loss Unacceptable ▲",T117-X117-Y117))))))))))),"Check Data ⚠")</f>
        <v/>
      </c>
      <c r="AB117" s="587"/>
      <c r="AC117" s="105"/>
      <c r="AD117" s="138"/>
      <c r="AE117" s="104"/>
      <c r="AF117" s="611"/>
      <c r="AG117" s="523" t="str">
        <f>IF(OR(P117="",AB117="Yes"),"",IF(P117='G-1 All Habitats'!$X$9,H117-V117-W117,"None"))</f>
        <v/>
      </c>
      <c r="AH117" s="523" t="str">
        <f>IF(P117="","",IF(P117='G-1 All Habitats'!$X$9,AG117*J117*L117*O117,"None"))</f>
        <v/>
      </c>
      <c r="AJ117" s="107" t="str">
        <f t="shared" si="14"/>
        <v/>
      </c>
      <c r="AK117" s="107" t="str">
        <f t="shared" si="17"/>
        <v/>
      </c>
      <c r="AL117" s="107" t="str">
        <f>IF(I117="","",IF(#REF!&gt;0,TRUE,FALSE))</f>
        <v/>
      </c>
      <c r="AM117" s="107">
        <v>107</v>
      </c>
      <c r="AN117" s="107"/>
      <c r="AO117" s="107" t="str">
        <f t="array" ref="AO117">IFERROR(INDEX($AM$11:$AM$259,MATCH(0,IF(TRUE=$AJ$11:$AJ$259,COUNTIF($AO$10:$AO116,$AM$11:$AM$259),""),0)),"")</f>
        <v/>
      </c>
      <c r="AP117" s="107" t="str">
        <f t="array" ref="AP117">IFERROR(INDEX($AM$11:$AM$259,MATCH(0,IF(TRUE=$AK$11:$AK$259,COUNTIF($AP$10:$AP116,$AM$11:$AM$259),""),0)),"")</f>
        <v/>
      </c>
      <c r="AQ117" s="107" t="str">
        <f t="array" ref="AQ117">IFERROR(INDEX($AM$11:$AM$259,MATCH(0,IF(TRUE=$AL$11:$AL$259,COUNTIF($AQ$10:$AQ116,$AM$11:$AM$259),""),0)),"")</f>
        <v/>
      </c>
      <c r="AS117" s="885" t="str">
        <f>IF(AND(OR(AB117="Yes",AB117="Pending"),P117='G-1 All Habitats'!$X$3),T117-X117-Y117,"0")</f>
        <v>0</v>
      </c>
      <c r="AT117" s="30" t="str">
        <f t="shared" si="10"/>
        <v/>
      </c>
      <c r="AU117" s="30">
        <f t="shared" si="15"/>
        <v>0</v>
      </c>
      <c r="AV117" s="230" t="str">
        <f>IFERROR(INDEX('G-1 All Habitats'!$B$3:$B$135,MATCH(F117,'G-1 All Habitats'!$A$3:$A$135,0)),"")</f>
        <v/>
      </c>
      <c r="AW117" s="30" t="str">
        <f>IF(AV117="","",VLOOKUP(AV117,'G-1 All Habitats'!$B$1:$T$135,19,FALSE))</f>
        <v/>
      </c>
      <c r="AY117" s="287" t="str">
        <f t="shared" si="16"/>
        <v/>
      </c>
    </row>
    <row r="118" spans="1:51" ht="14">
      <c r="A118" s="30" t="str">
        <f>IFERROR(INDEX('G-1 All Habitats'!$AG$3:$AG$17,MATCH(E118,'G-1 All Habitats'!$AF$3:$AF$17,0)),"")</f>
        <v/>
      </c>
      <c r="B118" s="30" t="str">
        <f>IFERROR(INDEX('G-8 Condition Look up'!$I$4:$I$135,MATCH(AV118,'G-8 Condition Look up'!$A$4:$A$135,0)),"")</f>
        <v/>
      </c>
      <c r="D118" s="97">
        <v>108</v>
      </c>
      <c r="E118" s="262"/>
      <c r="F118" s="263"/>
      <c r="G118" s="133"/>
      <c r="H118" s="115"/>
      <c r="I118" s="509" t="str">
        <f>IF(AV118="","",IF(AND(AW118="Yes",G118="No"),"Irreplaceable habitat ▲",IF(AND(AW118="No",G118="Yes"),"Cannot be Irreplaceable ▲",VLOOKUP(AV118,'G-1 All Habitats'!$B$2:$M$135,10,FALSE))))</f>
        <v/>
      </c>
      <c r="J118" s="377" t="str">
        <f>IFERROR(VLOOKUP(I118,'G-1 All Habitats'!$V$3:$W$7,2,FALSE),"")</f>
        <v/>
      </c>
      <c r="K118" s="101"/>
      <c r="L118" s="276" t="str">
        <f>IFERROR(INDEX('G-8 Condition Look up'!$A$3:$H$135,MATCH(AV118,'G-8 Condition Look up'!$A$3:$A$135,0),MATCH(K118,'G-8 Condition Look up'!$A$3:$H$3,0)),"")</f>
        <v/>
      </c>
      <c r="M118" s="105"/>
      <c r="N118" s="295" t="str">
        <f>IF(M118="","",IF(VLOOKUP(M118,'G-3 Multipliers'!$L$3:$N$6,2,FALSE)=0,"Spatial Data Missing ⚠",VLOOKUP(M118,'G-3 Multipliers'!$L$3:$N$6,2,FALSE)))</f>
        <v/>
      </c>
      <c r="O118" s="353" t="str">
        <f>IF(M118="","",IF(VLOOKUP(M118,'G-3 Multipliers'!$L$3:$N$6,3,FALSE)=0,"Spatial Data Missing ⚠",VLOOKUP(M118,'G-3 Multipliers'!$L$3:$N$6,3,FALSE)))</f>
        <v/>
      </c>
      <c r="P118" s="336" t="str">
        <f>(IF(G118="Yes","Bespoke compensation likely to be required",(IFERROR(VLOOKUP(AV118,'G-1 All Habitats'!$B$2:$M$135,12,FALSE),""))))</f>
        <v/>
      </c>
      <c r="Q118" s="511" t="str">
        <f>IFERROR(IF(P118="","",IF(AND(E118="Individual trees",W118&gt;0,G118="Yes"),"Error - you cannot enhance irreplaceable individual trees ▲",IF(P118='G-1 All Habitats'!$X$9,T118*S118,IF(AND(P118='G-1 All Habitats'!$X$9,W118&gt;0),X118+(Y118*S118),IF(AND(P118='G-1 All Habitats'!$X$9,V118&gt;0),X118+(Y118*S118),IF(AND(P118='G-1 All Habitats'!$X$9,AG118&gt;0),"Any Loss Unacceptable  ⚠",IF(AND(P118='G-1 All Habitats'!$X$9,Z118&gt;0),"Any Loss Unacceptable ⚠",H118*J118*L118*O118*S118))))))),"Check Data ⚠")</f>
        <v/>
      </c>
      <c r="R118" s="393"/>
      <c r="S118" s="510" t="str">
        <f>IF(R118="","",IF(VLOOKUP(R118,'G-3 Multipliers'!$S$3:$T$10,2,FALSE)=0,"Spatial Data Missing ⚠",VLOOKUP(R118,'G-3 Multipliers'!$S$3:$T$10,2,FALSE)))</f>
        <v/>
      </c>
      <c r="T118" s="289" t="str">
        <f>IFERROR(IF(AND(F118&lt;&gt;"",G118=""),"Confirm irreplaceable habitat status ▲",(IF(AND(R118&lt;&gt;"",AF118=""),"Off-site reference required ▲",(IF(AND(E118="Individual trees",W118&gt;0,G118="Yes"),"Error - you cannot enhance irreplaceable individual trees ▲",(IF(AND(X118="Irreplaceable habitat - no units generated ⚠",(W118+V118)&lt;H118,OR(AB118="No",AB118="")),"Any Loss Unacceptable ⚠",(IF(X118="Irreplaceable habitat - no units generated ⚠",W118*J118*L118*O118,IF(AND(P118='G-1 All Habitats'!$X$9,AH118&gt;0,V118&lt;=0,W118&lt;=0,OR(AB118="No",AB118="")),"Any Loss Unacceptable ⚠",IF(AND(P118='G-1 All Habitats'!$X$9,AH118&gt;0,V118&lt;=0,W118&lt;=0),0,(IF(AND(P118='G-1 All Habitats'!$X$9,(W118+V118)&lt;H118,OR(AB118="No",AB118="")),"Any Loss Unacceptable ⚠",(IF(P118="","",IF(AND(P118='G-1 All Habitats'!$X$9,W118&gt;0),X118+Y118,IF(AND(P118='G-1 All Habitats'!$X$9,V118&gt;0),X118+Y118,IF(R118="","",H118*J118*L118*O118)))))))))))))))))),"Check Data ▲")</f>
        <v/>
      </c>
      <c r="U118" s="38"/>
      <c r="V118" s="52"/>
      <c r="W118" s="53"/>
      <c r="X118" s="287" t="str">
        <f t="shared" si="11"/>
        <v/>
      </c>
      <c r="Y118" s="287" t="str">
        <f t="shared" si="12"/>
        <v/>
      </c>
      <c r="Z118" s="287" t="str">
        <f t="shared" si="13"/>
        <v/>
      </c>
      <c r="AA118" s="317" t="str">
        <f>IFERROR(IF(AND(E118="Individual trees",G118="Yes",W118&gt;0),"Error - you cannot enhance an irreplaceable tree ▲",(IF(H118="","",IF(H118-V118-W118=0&lt;0,"Error in Areas ▲",IF(V118+W118&gt;H118,"Error in Areas ▲",IF(AND(P118='G-1 All Habitats'!$X$9,AB118="Yes"),"Alternative Compensation ✓",IF(AND(P118='G-1 All Habitats'!$X$3,AB118="Yes"),"Alternative Compensation ✓",IF(AND(AB118="Pending",P118='G-1 All Habitats'!$X$3),"Bespoke compensation must be agreed ▲",IF(AND(AB118="Pending",P118='G-1 All Habitats'!$X$9),"Bespoke compensation must be agreed  ▲",IF(Z118=0,0,IF(P118='G-1 All Habitats'!$X$9,"Any Loss Unacceptable ▲",T118-X118-Y118))))))))))),"Check Data ⚠")</f>
        <v/>
      </c>
      <c r="AB118" s="587"/>
      <c r="AC118" s="105"/>
      <c r="AD118" s="138"/>
      <c r="AE118" s="104"/>
      <c r="AF118" s="611"/>
      <c r="AG118" s="523" t="str">
        <f>IF(OR(P118="",AB118="Yes"),"",IF(P118='G-1 All Habitats'!$X$9,H118-V118-W118,"None"))</f>
        <v/>
      </c>
      <c r="AH118" s="523" t="str">
        <f>IF(P118="","",IF(P118='G-1 All Habitats'!$X$9,AG118*J118*L118*O118,"None"))</f>
        <v/>
      </c>
      <c r="AJ118" s="107" t="str">
        <f t="shared" si="14"/>
        <v/>
      </c>
      <c r="AK118" s="107" t="str">
        <f t="shared" si="17"/>
        <v/>
      </c>
      <c r="AL118" s="107" t="str">
        <f>IF(I118="","",IF(#REF!&gt;0,TRUE,FALSE))</f>
        <v/>
      </c>
      <c r="AM118" s="107">
        <v>108</v>
      </c>
      <c r="AN118" s="107"/>
      <c r="AO118" s="107" t="str">
        <f t="array" ref="AO118">IFERROR(INDEX($AM$11:$AM$259,MATCH(0,IF(TRUE=$AJ$11:$AJ$259,COUNTIF($AO$10:$AO117,$AM$11:$AM$259),""),0)),"")</f>
        <v/>
      </c>
      <c r="AP118" s="107" t="str">
        <f t="array" ref="AP118">IFERROR(INDEX($AM$11:$AM$259,MATCH(0,IF(TRUE=$AK$11:$AK$259,COUNTIF($AP$10:$AP117,$AM$11:$AM$259),""),0)),"")</f>
        <v/>
      </c>
      <c r="AQ118" s="107" t="str">
        <f t="array" ref="AQ118">IFERROR(INDEX($AM$11:$AM$259,MATCH(0,IF(TRUE=$AL$11:$AL$259,COUNTIF($AQ$10:$AQ117,$AM$11:$AM$259),""),0)),"")</f>
        <v/>
      </c>
      <c r="AS118" s="885" t="str">
        <f>IF(AND(OR(AB118="Yes",AB118="Pending"),P118='G-1 All Habitats'!$X$3),T118-X118-Y118,"0")</f>
        <v>0</v>
      </c>
      <c r="AT118" s="30" t="str">
        <f t="shared" si="10"/>
        <v/>
      </c>
      <c r="AU118" s="30">
        <f t="shared" si="15"/>
        <v>0</v>
      </c>
      <c r="AV118" s="230" t="str">
        <f>IFERROR(INDEX('G-1 All Habitats'!$B$3:$B$135,MATCH(F118,'G-1 All Habitats'!$A$3:$A$135,0)),"")</f>
        <v/>
      </c>
      <c r="AW118" s="30" t="str">
        <f>IF(AV118="","",VLOOKUP(AV118,'G-1 All Habitats'!$B$1:$T$135,19,FALSE))</f>
        <v/>
      </c>
      <c r="AY118" s="287" t="str">
        <f t="shared" si="16"/>
        <v/>
      </c>
    </row>
    <row r="119" spans="1:51" ht="14">
      <c r="A119" s="30" t="str">
        <f>IFERROR(INDEX('G-1 All Habitats'!$AG$3:$AG$17,MATCH(E119,'G-1 All Habitats'!$AF$3:$AF$17,0)),"")</f>
        <v/>
      </c>
      <c r="B119" s="30" t="str">
        <f>IFERROR(INDEX('G-8 Condition Look up'!$I$4:$I$135,MATCH(AV119,'G-8 Condition Look up'!$A$4:$A$135,0)),"")</f>
        <v/>
      </c>
      <c r="D119" s="97">
        <v>109</v>
      </c>
      <c r="E119" s="262"/>
      <c r="F119" s="263"/>
      <c r="G119" s="133"/>
      <c r="H119" s="115"/>
      <c r="I119" s="509" t="str">
        <f>IF(AV119="","",IF(AND(AW119="Yes",G119="No"),"Irreplaceable habitat ▲",IF(AND(AW119="No",G119="Yes"),"Cannot be Irreplaceable ▲",VLOOKUP(AV119,'G-1 All Habitats'!$B$2:$M$135,10,FALSE))))</f>
        <v/>
      </c>
      <c r="J119" s="377" t="str">
        <f>IFERROR(VLOOKUP(I119,'G-1 All Habitats'!$V$3:$W$7,2,FALSE),"")</f>
        <v/>
      </c>
      <c r="K119" s="101"/>
      <c r="L119" s="276" t="str">
        <f>IFERROR(INDEX('G-8 Condition Look up'!$A$3:$H$135,MATCH(AV119,'G-8 Condition Look up'!$A$3:$A$135,0),MATCH(K119,'G-8 Condition Look up'!$A$3:$H$3,0)),"")</f>
        <v/>
      </c>
      <c r="M119" s="105"/>
      <c r="N119" s="295" t="str">
        <f>IF(M119="","",IF(VLOOKUP(M119,'G-3 Multipliers'!$L$3:$N$6,2,FALSE)=0,"Spatial Data Missing ⚠",VLOOKUP(M119,'G-3 Multipliers'!$L$3:$N$6,2,FALSE)))</f>
        <v/>
      </c>
      <c r="O119" s="353" t="str">
        <f>IF(M119="","",IF(VLOOKUP(M119,'G-3 Multipliers'!$L$3:$N$6,3,FALSE)=0,"Spatial Data Missing ⚠",VLOOKUP(M119,'G-3 Multipliers'!$L$3:$N$6,3,FALSE)))</f>
        <v/>
      </c>
      <c r="P119" s="336" t="str">
        <f>(IF(G119="Yes","Bespoke compensation likely to be required",(IFERROR(VLOOKUP(AV119,'G-1 All Habitats'!$B$2:$M$135,12,FALSE),""))))</f>
        <v/>
      </c>
      <c r="Q119" s="511" t="str">
        <f>IFERROR(IF(P119="","",IF(AND(E119="Individual trees",W119&gt;0,G119="Yes"),"Error - you cannot enhance irreplaceable individual trees ▲",IF(P119='G-1 All Habitats'!$X$9,T119*S119,IF(AND(P119='G-1 All Habitats'!$X$9,W119&gt;0),X119+(Y119*S119),IF(AND(P119='G-1 All Habitats'!$X$9,V119&gt;0),X119+(Y119*S119),IF(AND(P119='G-1 All Habitats'!$X$9,AG119&gt;0),"Any Loss Unacceptable  ⚠",IF(AND(P119='G-1 All Habitats'!$X$9,Z119&gt;0),"Any Loss Unacceptable ⚠",H119*J119*L119*O119*S119))))))),"Check Data ⚠")</f>
        <v/>
      </c>
      <c r="R119" s="393"/>
      <c r="S119" s="510" t="str">
        <f>IF(R119="","",IF(VLOOKUP(R119,'G-3 Multipliers'!$S$3:$T$10,2,FALSE)=0,"Spatial Data Missing ⚠",VLOOKUP(R119,'G-3 Multipliers'!$S$3:$T$10,2,FALSE)))</f>
        <v/>
      </c>
      <c r="T119" s="289" t="str">
        <f>IFERROR(IF(AND(F119&lt;&gt;"",G119=""),"Confirm irreplaceable habitat status ▲",(IF(AND(R119&lt;&gt;"",AF119=""),"Off-site reference required ▲",(IF(AND(E119="Individual trees",W119&gt;0,G119="Yes"),"Error - you cannot enhance irreplaceable individual trees ▲",(IF(AND(X119="Irreplaceable habitat - no units generated ⚠",(W119+V119)&lt;H119,OR(AB119="No",AB119="")),"Any Loss Unacceptable ⚠",(IF(X119="Irreplaceable habitat - no units generated ⚠",W119*J119*L119*O119,IF(AND(P119='G-1 All Habitats'!$X$9,AH119&gt;0,V119&lt;=0,W119&lt;=0,OR(AB119="No",AB119="")),"Any Loss Unacceptable ⚠",IF(AND(P119='G-1 All Habitats'!$X$9,AH119&gt;0,V119&lt;=0,W119&lt;=0),0,(IF(AND(P119='G-1 All Habitats'!$X$9,(W119+V119)&lt;H119,OR(AB119="No",AB119="")),"Any Loss Unacceptable ⚠",(IF(P119="","",IF(AND(P119='G-1 All Habitats'!$X$9,W119&gt;0),X119+Y119,IF(AND(P119='G-1 All Habitats'!$X$9,V119&gt;0),X119+Y119,IF(R119="","",H119*J119*L119*O119)))))))))))))))))),"Check Data ▲")</f>
        <v/>
      </c>
      <c r="U119" s="38"/>
      <c r="V119" s="52"/>
      <c r="W119" s="53"/>
      <c r="X119" s="287" t="str">
        <f t="shared" si="11"/>
        <v/>
      </c>
      <c r="Y119" s="287" t="str">
        <f t="shared" si="12"/>
        <v/>
      </c>
      <c r="Z119" s="287" t="str">
        <f t="shared" si="13"/>
        <v/>
      </c>
      <c r="AA119" s="317" t="str">
        <f>IFERROR(IF(AND(E119="Individual trees",G119="Yes",W119&gt;0),"Error - you cannot enhance an irreplaceable tree ▲",(IF(H119="","",IF(H119-V119-W119=0&lt;0,"Error in Areas ▲",IF(V119+W119&gt;H119,"Error in Areas ▲",IF(AND(P119='G-1 All Habitats'!$X$9,AB119="Yes"),"Alternative Compensation ✓",IF(AND(P119='G-1 All Habitats'!$X$3,AB119="Yes"),"Alternative Compensation ✓",IF(AND(AB119="Pending",P119='G-1 All Habitats'!$X$3),"Bespoke compensation must be agreed ▲",IF(AND(AB119="Pending",P119='G-1 All Habitats'!$X$9),"Bespoke compensation must be agreed  ▲",IF(Z119=0,0,IF(P119='G-1 All Habitats'!$X$9,"Any Loss Unacceptable ▲",T119-X119-Y119))))))))))),"Check Data ⚠")</f>
        <v/>
      </c>
      <c r="AB119" s="587"/>
      <c r="AC119" s="105"/>
      <c r="AD119" s="138"/>
      <c r="AE119" s="104"/>
      <c r="AF119" s="611"/>
      <c r="AG119" s="523" t="str">
        <f>IF(OR(P119="",AB119="Yes"),"",IF(P119='G-1 All Habitats'!$X$9,H119-V119-W119,"None"))</f>
        <v/>
      </c>
      <c r="AH119" s="523" t="str">
        <f>IF(P119="","",IF(P119='G-1 All Habitats'!$X$9,AG119*J119*L119*O119,"None"))</f>
        <v/>
      </c>
      <c r="AJ119" s="107" t="str">
        <f t="shared" si="14"/>
        <v/>
      </c>
      <c r="AK119" s="107" t="str">
        <f t="shared" si="17"/>
        <v/>
      </c>
      <c r="AL119" s="107" t="str">
        <f>IF(I119="","",IF(#REF!&gt;0,TRUE,FALSE))</f>
        <v/>
      </c>
      <c r="AM119" s="107">
        <v>109</v>
      </c>
      <c r="AN119" s="107"/>
      <c r="AO119" s="107" t="str">
        <f t="array" ref="AO119">IFERROR(INDEX($AM$11:$AM$259,MATCH(0,IF(TRUE=$AJ$11:$AJ$259,COUNTIF($AO$10:$AO118,$AM$11:$AM$259),""),0)),"")</f>
        <v/>
      </c>
      <c r="AP119" s="107" t="str">
        <f t="array" ref="AP119">IFERROR(INDEX($AM$11:$AM$259,MATCH(0,IF(TRUE=$AK$11:$AK$259,COUNTIF($AP$10:$AP118,$AM$11:$AM$259),""),0)),"")</f>
        <v/>
      </c>
      <c r="AQ119" s="107" t="str">
        <f t="array" ref="AQ119">IFERROR(INDEX($AM$11:$AM$259,MATCH(0,IF(TRUE=$AL$11:$AL$259,COUNTIF($AQ$10:$AQ118,$AM$11:$AM$259),""),0)),"")</f>
        <v/>
      </c>
      <c r="AS119" s="885" t="str">
        <f>IF(AND(OR(AB119="Yes",AB119="Pending"),P119='G-1 All Habitats'!$X$3),T119-X119-Y119,"0")</f>
        <v>0</v>
      </c>
      <c r="AT119" s="30" t="str">
        <f t="shared" si="10"/>
        <v/>
      </c>
      <c r="AU119" s="30">
        <f t="shared" si="15"/>
        <v>0</v>
      </c>
      <c r="AV119" s="230" t="str">
        <f>IFERROR(INDEX('G-1 All Habitats'!$B$3:$B$135,MATCH(F119,'G-1 All Habitats'!$A$3:$A$135,0)),"")</f>
        <v/>
      </c>
      <c r="AW119" s="30" t="str">
        <f>IF(AV119="","",VLOOKUP(AV119,'G-1 All Habitats'!$B$1:$T$135,19,FALSE))</f>
        <v/>
      </c>
      <c r="AY119" s="287" t="str">
        <f t="shared" si="16"/>
        <v/>
      </c>
    </row>
    <row r="120" spans="1:51" ht="14">
      <c r="A120" s="30" t="str">
        <f>IFERROR(INDEX('G-1 All Habitats'!$AG$3:$AG$17,MATCH(E120,'G-1 All Habitats'!$AF$3:$AF$17,0)),"")</f>
        <v/>
      </c>
      <c r="B120" s="30" t="str">
        <f>IFERROR(INDEX('G-8 Condition Look up'!$I$4:$I$135,MATCH(AV120,'G-8 Condition Look up'!$A$4:$A$135,0)),"")</f>
        <v/>
      </c>
      <c r="D120" s="97">
        <v>110</v>
      </c>
      <c r="E120" s="262"/>
      <c r="F120" s="263"/>
      <c r="G120" s="133"/>
      <c r="H120" s="115"/>
      <c r="I120" s="509" t="str">
        <f>IF(AV120="","",IF(AND(AW120="Yes",G120="No"),"Irreplaceable habitat ▲",IF(AND(AW120="No",G120="Yes"),"Cannot be Irreplaceable ▲",VLOOKUP(AV120,'G-1 All Habitats'!$B$2:$M$135,10,FALSE))))</f>
        <v/>
      </c>
      <c r="J120" s="377" t="str">
        <f>IFERROR(VLOOKUP(I120,'G-1 All Habitats'!$V$3:$W$7,2,FALSE),"")</f>
        <v/>
      </c>
      <c r="K120" s="101"/>
      <c r="L120" s="276" t="str">
        <f>IFERROR(INDEX('G-8 Condition Look up'!$A$3:$H$135,MATCH(AV120,'G-8 Condition Look up'!$A$3:$A$135,0),MATCH(K120,'G-8 Condition Look up'!$A$3:$H$3,0)),"")</f>
        <v/>
      </c>
      <c r="M120" s="105"/>
      <c r="N120" s="295" t="str">
        <f>IF(M120="","",IF(VLOOKUP(M120,'G-3 Multipliers'!$L$3:$N$6,2,FALSE)=0,"Spatial Data Missing ⚠",VLOOKUP(M120,'G-3 Multipliers'!$L$3:$N$6,2,FALSE)))</f>
        <v/>
      </c>
      <c r="O120" s="353" t="str">
        <f>IF(M120="","",IF(VLOOKUP(M120,'G-3 Multipliers'!$L$3:$N$6,3,FALSE)=0,"Spatial Data Missing ⚠",VLOOKUP(M120,'G-3 Multipliers'!$L$3:$N$6,3,FALSE)))</f>
        <v/>
      </c>
      <c r="P120" s="336" t="str">
        <f>(IF(G120="Yes","Bespoke compensation likely to be required",(IFERROR(VLOOKUP(AV120,'G-1 All Habitats'!$B$2:$M$135,12,FALSE),""))))</f>
        <v/>
      </c>
      <c r="Q120" s="511" t="str">
        <f>IFERROR(IF(P120="","",IF(AND(E120="Individual trees",W120&gt;0,G120="Yes"),"Error - you cannot enhance irreplaceable individual trees ▲",IF(P120='G-1 All Habitats'!$X$9,T120*S120,IF(AND(P120='G-1 All Habitats'!$X$9,W120&gt;0),X120+(Y120*S120),IF(AND(P120='G-1 All Habitats'!$X$9,V120&gt;0),X120+(Y120*S120),IF(AND(P120='G-1 All Habitats'!$X$9,AG120&gt;0),"Any Loss Unacceptable  ⚠",IF(AND(P120='G-1 All Habitats'!$X$9,Z120&gt;0),"Any Loss Unacceptable ⚠",H120*J120*L120*O120*S120))))))),"Check Data ⚠")</f>
        <v/>
      </c>
      <c r="R120" s="393"/>
      <c r="S120" s="510" t="str">
        <f>IF(R120="","",IF(VLOOKUP(R120,'G-3 Multipliers'!$S$3:$T$10,2,FALSE)=0,"Spatial Data Missing ⚠",VLOOKUP(R120,'G-3 Multipliers'!$S$3:$T$10,2,FALSE)))</f>
        <v/>
      </c>
      <c r="T120" s="289" t="str">
        <f>IFERROR(IF(AND(F120&lt;&gt;"",G120=""),"Confirm irreplaceable habitat status ▲",(IF(AND(R120&lt;&gt;"",AF120=""),"Off-site reference required ▲",(IF(AND(E120="Individual trees",W120&gt;0,G120="Yes"),"Error - you cannot enhance irreplaceable individual trees ▲",(IF(AND(X120="Irreplaceable habitat - no units generated ⚠",(W120+V120)&lt;H120,OR(AB120="No",AB120="")),"Any Loss Unacceptable ⚠",(IF(X120="Irreplaceable habitat - no units generated ⚠",W120*J120*L120*O120,IF(AND(P120='G-1 All Habitats'!$X$9,AH120&gt;0,V120&lt;=0,W120&lt;=0,OR(AB120="No",AB120="")),"Any Loss Unacceptable ⚠",IF(AND(P120='G-1 All Habitats'!$X$9,AH120&gt;0,V120&lt;=0,W120&lt;=0),0,(IF(AND(P120='G-1 All Habitats'!$X$9,(W120+V120)&lt;H120,OR(AB120="No",AB120="")),"Any Loss Unacceptable ⚠",(IF(P120="","",IF(AND(P120='G-1 All Habitats'!$X$9,W120&gt;0),X120+Y120,IF(AND(P120='G-1 All Habitats'!$X$9,V120&gt;0),X120+Y120,IF(R120="","",H120*J120*L120*O120)))))))))))))))))),"Check Data ▲")</f>
        <v/>
      </c>
      <c r="U120" s="38"/>
      <c r="V120" s="52"/>
      <c r="W120" s="53"/>
      <c r="X120" s="287" t="str">
        <f t="shared" si="11"/>
        <v/>
      </c>
      <c r="Y120" s="287" t="str">
        <f t="shared" si="12"/>
        <v/>
      </c>
      <c r="Z120" s="287" t="str">
        <f t="shared" si="13"/>
        <v/>
      </c>
      <c r="AA120" s="317" t="str">
        <f>IFERROR(IF(AND(E120="Individual trees",G120="Yes",W120&gt;0),"Error - you cannot enhance an irreplaceable tree ▲",(IF(H120="","",IF(H120-V120-W120=0&lt;0,"Error in Areas ▲",IF(V120+W120&gt;H120,"Error in Areas ▲",IF(AND(P120='G-1 All Habitats'!$X$9,AB120="Yes"),"Alternative Compensation ✓",IF(AND(P120='G-1 All Habitats'!$X$3,AB120="Yes"),"Alternative Compensation ✓",IF(AND(AB120="Pending",P120='G-1 All Habitats'!$X$3),"Bespoke compensation must be agreed ▲",IF(AND(AB120="Pending",P120='G-1 All Habitats'!$X$9),"Bespoke compensation must be agreed  ▲",IF(Z120=0,0,IF(P120='G-1 All Habitats'!$X$9,"Any Loss Unacceptable ▲",T120-X120-Y120))))))))))),"Check Data ⚠")</f>
        <v/>
      </c>
      <c r="AB120" s="587"/>
      <c r="AC120" s="105"/>
      <c r="AD120" s="138"/>
      <c r="AE120" s="104"/>
      <c r="AF120" s="611"/>
      <c r="AG120" s="523" t="str">
        <f>IF(OR(P120="",AB120="Yes"),"",IF(P120='G-1 All Habitats'!$X$9,H120-V120-W120,"None"))</f>
        <v/>
      </c>
      <c r="AH120" s="523" t="str">
        <f>IF(P120="","",IF(P120='G-1 All Habitats'!$X$9,AG120*J120*L120*O120,"None"))</f>
        <v/>
      </c>
      <c r="AJ120" s="107" t="str">
        <f t="shared" si="14"/>
        <v/>
      </c>
      <c r="AK120" s="107" t="str">
        <f t="shared" si="17"/>
        <v/>
      </c>
      <c r="AL120" s="107" t="str">
        <f>IF(I120="","",IF(#REF!&gt;0,TRUE,FALSE))</f>
        <v/>
      </c>
      <c r="AM120" s="107">
        <v>110</v>
      </c>
      <c r="AN120" s="107"/>
      <c r="AO120" s="107" t="str">
        <f t="array" ref="AO120">IFERROR(INDEX($AM$11:$AM$259,MATCH(0,IF(TRUE=$AJ$11:$AJ$259,COUNTIF($AO$10:$AO119,$AM$11:$AM$259),""),0)),"")</f>
        <v/>
      </c>
      <c r="AP120" s="107" t="str">
        <f t="array" ref="AP120">IFERROR(INDEX($AM$11:$AM$259,MATCH(0,IF(TRUE=$AK$11:$AK$259,COUNTIF($AP$10:$AP119,$AM$11:$AM$259),""),0)),"")</f>
        <v/>
      </c>
      <c r="AQ120" s="107" t="str">
        <f t="array" ref="AQ120">IFERROR(INDEX($AM$11:$AM$259,MATCH(0,IF(TRUE=$AL$11:$AL$259,COUNTIF($AQ$10:$AQ119,$AM$11:$AM$259),""),0)),"")</f>
        <v/>
      </c>
      <c r="AS120" s="885" t="str">
        <f>IF(AND(OR(AB120="Yes",AB120="Pending"),P120='G-1 All Habitats'!$X$3),T120-X120-Y120,"0")</f>
        <v>0</v>
      </c>
      <c r="AT120" s="30" t="str">
        <f t="shared" si="10"/>
        <v/>
      </c>
      <c r="AU120" s="30">
        <f t="shared" si="15"/>
        <v>0</v>
      </c>
      <c r="AV120" s="230" t="str">
        <f>IFERROR(INDEX('G-1 All Habitats'!$B$3:$B$135,MATCH(F120,'G-1 All Habitats'!$A$3:$A$135,0)),"")</f>
        <v/>
      </c>
      <c r="AW120" s="30" t="str">
        <f>IF(AV120="","",VLOOKUP(AV120,'G-1 All Habitats'!$B$1:$T$135,19,FALSE))</f>
        <v/>
      </c>
      <c r="AY120" s="287" t="str">
        <f t="shared" si="16"/>
        <v/>
      </c>
    </row>
    <row r="121" spans="1:51" ht="14">
      <c r="A121" s="30" t="str">
        <f>IFERROR(INDEX('G-1 All Habitats'!$AG$3:$AG$17,MATCH(E121,'G-1 All Habitats'!$AF$3:$AF$17,0)),"")</f>
        <v/>
      </c>
      <c r="B121" s="30" t="str">
        <f>IFERROR(INDEX('G-8 Condition Look up'!$I$4:$I$135,MATCH(AV121,'G-8 Condition Look up'!$A$4:$A$135,0)),"")</f>
        <v/>
      </c>
      <c r="D121" s="97">
        <v>111</v>
      </c>
      <c r="E121" s="262"/>
      <c r="F121" s="263"/>
      <c r="G121" s="133"/>
      <c r="H121" s="115"/>
      <c r="I121" s="509" t="str">
        <f>IF(AV121="","",IF(AND(AW121="Yes",G121="No"),"Irreplaceable habitat ▲",IF(AND(AW121="No",G121="Yes"),"Cannot be Irreplaceable ▲",VLOOKUP(AV121,'G-1 All Habitats'!$B$2:$M$135,10,FALSE))))</f>
        <v/>
      </c>
      <c r="J121" s="377" t="str">
        <f>IFERROR(VLOOKUP(I121,'G-1 All Habitats'!$V$3:$W$7,2,FALSE),"")</f>
        <v/>
      </c>
      <c r="K121" s="101"/>
      <c r="L121" s="276" t="str">
        <f>IFERROR(INDEX('G-8 Condition Look up'!$A$3:$H$135,MATCH(AV121,'G-8 Condition Look up'!$A$3:$A$135,0),MATCH(K121,'G-8 Condition Look up'!$A$3:$H$3,0)),"")</f>
        <v/>
      </c>
      <c r="M121" s="105"/>
      <c r="N121" s="295" t="str">
        <f>IF(M121="","",IF(VLOOKUP(M121,'G-3 Multipliers'!$L$3:$N$6,2,FALSE)=0,"Spatial Data Missing ⚠",VLOOKUP(M121,'G-3 Multipliers'!$L$3:$N$6,2,FALSE)))</f>
        <v/>
      </c>
      <c r="O121" s="353" t="str">
        <f>IF(M121="","",IF(VLOOKUP(M121,'G-3 Multipliers'!$L$3:$N$6,3,FALSE)=0,"Spatial Data Missing ⚠",VLOOKUP(M121,'G-3 Multipliers'!$L$3:$N$6,3,FALSE)))</f>
        <v/>
      </c>
      <c r="P121" s="336" t="str">
        <f>(IF(G121="Yes","Bespoke compensation likely to be required",(IFERROR(VLOOKUP(AV121,'G-1 All Habitats'!$B$2:$M$135,12,FALSE),""))))</f>
        <v/>
      </c>
      <c r="Q121" s="511" t="str">
        <f>IFERROR(IF(P121="","",IF(AND(E121="Individual trees",W121&gt;0,G121="Yes"),"Error - you cannot enhance irreplaceable individual trees ▲",IF(P121='G-1 All Habitats'!$X$9,T121*S121,IF(AND(P121='G-1 All Habitats'!$X$9,W121&gt;0),X121+(Y121*S121),IF(AND(P121='G-1 All Habitats'!$X$9,V121&gt;0),X121+(Y121*S121),IF(AND(P121='G-1 All Habitats'!$X$9,AG121&gt;0),"Any Loss Unacceptable  ⚠",IF(AND(P121='G-1 All Habitats'!$X$9,Z121&gt;0),"Any Loss Unacceptable ⚠",H121*J121*L121*O121*S121))))))),"Check Data ⚠")</f>
        <v/>
      </c>
      <c r="R121" s="393"/>
      <c r="S121" s="510" t="str">
        <f>IF(R121="","",IF(VLOOKUP(R121,'G-3 Multipliers'!$S$3:$T$10,2,FALSE)=0,"Spatial Data Missing ⚠",VLOOKUP(R121,'G-3 Multipliers'!$S$3:$T$10,2,FALSE)))</f>
        <v/>
      </c>
      <c r="T121" s="289" t="str">
        <f>IFERROR(IF(AND(F121&lt;&gt;"",G121=""),"Confirm irreplaceable habitat status ▲",(IF(AND(R121&lt;&gt;"",AF121=""),"Off-site reference required ▲",(IF(AND(E121="Individual trees",W121&gt;0,G121="Yes"),"Error - you cannot enhance irreplaceable individual trees ▲",(IF(AND(X121="Irreplaceable habitat - no units generated ⚠",(W121+V121)&lt;H121,OR(AB121="No",AB121="")),"Any Loss Unacceptable ⚠",(IF(X121="Irreplaceable habitat - no units generated ⚠",W121*J121*L121*O121,IF(AND(P121='G-1 All Habitats'!$X$9,AH121&gt;0,V121&lt;=0,W121&lt;=0,OR(AB121="No",AB121="")),"Any Loss Unacceptable ⚠",IF(AND(P121='G-1 All Habitats'!$X$9,AH121&gt;0,V121&lt;=0,W121&lt;=0),0,(IF(AND(P121='G-1 All Habitats'!$X$9,(W121+V121)&lt;H121,OR(AB121="No",AB121="")),"Any Loss Unacceptable ⚠",(IF(P121="","",IF(AND(P121='G-1 All Habitats'!$X$9,W121&gt;0),X121+Y121,IF(AND(P121='G-1 All Habitats'!$X$9,V121&gt;0),X121+Y121,IF(R121="","",H121*J121*L121*O121)))))))))))))))))),"Check Data ▲")</f>
        <v/>
      </c>
      <c r="U121" s="38"/>
      <c r="V121" s="52"/>
      <c r="W121" s="53"/>
      <c r="X121" s="287" t="str">
        <f t="shared" si="11"/>
        <v/>
      </c>
      <c r="Y121" s="287" t="str">
        <f t="shared" si="12"/>
        <v/>
      </c>
      <c r="Z121" s="287" t="str">
        <f t="shared" si="13"/>
        <v/>
      </c>
      <c r="AA121" s="317" t="str">
        <f>IFERROR(IF(AND(E121="Individual trees",G121="Yes",W121&gt;0),"Error - you cannot enhance an irreplaceable tree ▲",(IF(H121="","",IF(H121-V121-W121=0&lt;0,"Error in Areas ▲",IF(V121+W121&gt;H121,"Error in Areas ▲",IF(AND(P121='G-1 All Habitats'!$X$9,AB121="Yes"),"Alternative Compensation ✓",IF(AND(P121='G-1 All Habitats'!$X$3,AB121="Yes"),"Alternative Compensation ✓",IF(AND(AB121="Pending",P121='G-1 All Habitats'!$X$3),"Bespoke compensation must be agreed ▲",IF(AND(AB121="Pending",P121='G-1 All Habitats'!$X$9),"Bespoke compensation must be agreed  ▲",IF(Z121=0,0,IF(P121='G-1 All Habitats'!$X$9,"Any Loss Unacceptable ▲",T121-X121-Y121))))))))))),"Check Data ⚠")</f>
        <v/>
      </c>
      <c r="AB121" s="587"/>
      <c r="AC121" s="105"/>
      <c r="AD121" s="138"/>
      <c r="AE121" s="104"/>
      <c r="AF121" s="611"/>
      <c r="AG121" s="523" t="str">
        <f>IF(OR(P121="",AB121="Yes"),"",IF(P121='G-1 All Habitats'!$X$9,H121-V121-W121,"None"))</f>
        <v/>
      </c>
      <c r="AH121" s="523" t="str">
        <f>IF(P121="","",IF(P121='G-1 All Habitats'!$X$9,AG121*J121*L121*O121,"None"))</f>
        <v/>
      </c>
      <c r="AJ121" s="107" t="str">
        <f t="shared" si="14"/>
        <v/>
      </c>
      <c r="AK121" s="107" t="str">
        <f t="shared" si="17"/>
        <v/>
      </c>
      <c r="AL121" s="107" t="str">
        <f>IF(I121="","",IF(#REF!&gt;0,TRUE,FALSE))</f>
        <v/>
      </c>
      <c r="AM121" s="107">
        <v>111</v>
      </c>
      <c r="AN121" s="107"/>
      <c r="AO121" s="107" t="str">
        <f t="array" ref="AO121">IFERROR(INDEX($AM$11:$AM$259,MATCH(0,IF(TRUE=$AJ$11:$AJ$259,COUNTIF($AO$10:$AO120,$AM$11:$AM$259),""),0)),"")</f>
        <v/>
      </c>
      <c r="AP121" s="107" t="str">
        <f t="array" ref="AP121">IFERROR(INDEX($AM$11:$AM$259,MATCH(0,IF(TRUE=$AK$11:$AK$259,COUNTIF($AP$10:$AP120,$AM$11:$AM$259),""),0)),"")</f>
        <v/>
      </c>
      <c r="AQ121" s="107" t="str">
        <f t="array" ref="AQ121">IFERROR(INDEX($AM$11:$AM$259,MATCH(0,IF(TRUE=$AL$11:$AL$259,COUNTIF($AQ$10:$AQ120,$AM$11:$AM$259),""),0)),"")</f>
        <v/>
      </c>
      <c r="AS121" s="885" t="str">
        <f>IF(AND(OR(AB121="Yes",AB121="Pending"),P121='G-1 All Habitats'!$X$3),T121-X121-Y121,"0")</f>
        <v>0</v>
      </c>
      <c r="AT121" s="30" t="str">
        <f t="shared" si="10"/>
        <v/>
      </c>
      <c r="AU121" s="30">
        <f t="shared" si="15"/>
        <v>0</v>
      </c>
      <c r="AV121" s="230" t="str">
        <f>IFERROR(INDEX('G-1 All Habitats'!$B$3:$B$135,MATCH(F121,'G-1 All Habitats'!$A$3:$A$135,0)),"")</f>
        <v/>
      </c>
      <c r="AW121" s="30" t="str">
        <f>IF(AV121="","",VLOOKUP(AV121,'G-1 All Habitats'!$B$1:$T$135,19,FALSE))</f>
        <v/>
      </c>
      <c r="AY121" s="287" t="str">
        <f t="shared" si="16"/>
        <v/>
      </c>
    </row>
    <row r="122" spans="1:51" ht="14">
      <c r="A122" s="30" t="str">
        <f>IFERROR(INDEX('G-1 All Habitats'!$AG$3:$AG$17,MATCH(E122,'G-1 All Habitats'!$AF$3:$AF$17,0)),"")</f>
        <v/>
      </c>
      <c r="B122" s="30" t="str">
        <f>IFERROR(INDEX('G-8 Condition Look up'!$I$4:$I$135,MATCH(AV122,'G-8 Condition Look up'!$A$4:$A$135,0)),"")</f>
        <v/>
      </c>
      <c r="D122" s="97">
        <v>112</v>
      </c>
      <c r="E122" s="262"/>
      <c r="F122" s="263"/>
      <c r="G122" s="133"/>
      <c r="H122" s="115"/>
      <c r="I122" s="509" t="str">
        <f>IF(AV122="","",IF(AND(AW122="Yes",G122="No"),"Irreplaceable habitat ▲",IF(AND(AW122="No",G122="Yes"),"Cannot be Irreplaceable ▲",VLOOKUP(AV122,'G-1 All Habitats'!$B$2:$M$135,10,FALSE))))</f>
        <v/>
      </c>
      <c r="J122" s="377" t="str">
        <f>IFERROR(VLOOKUP(I122,'G-1 All Habitats'!$V$3:$W$7,2,FALSE),"")</f>
        <v/>
      </c>
      <c r="K122" s="101"/>
      <c r="L122" s="276" t="str">
        <f>IFERROR(INDEX('G-8 Condition Look up'!$A$3:$H$135,MATCH(AV122,'G-8 Condition Look up'!$A$3:$A$135,0),MATCH(K122,'G-8 Condition Look up'!$A$3:$H$3,0)),"")</f>
        <v/>
      </c>
      <c r="M122" s="105"/>
      <c r="N122" s="295" t="str">
        <f>IF(M122="","",IF(VLOOKUP(M122,'G-3 Multipliers'!$L$3:$N$6,2,FALSE)=0,"Spatial Data Missing ⚠",VLOOKUP(M122,'G-3 Multipliers'!$L$3:$N$6,2,FALSE)))</f>
        <v/>
      </c>
      <c r="O122" s="353" t="str">
        <f>IF(M122="","",IF(VLOOKUP(M122,'G-3 Multipliers'!$L$3:$N$6,3,FALSE)=0,"Spatial Data Missing ⚠",VLOOKUP(M122,'G-3 Multipliers'!$L$3:$N$6,3,FALSE)))</f>
        <v/>
      </c>
      <c r="P122" s="336" t="str">
        <f>(IF(G122="Yes","Bespoke compensation likely to be required",(IFERROR(VLOOKUP(AV122,'G-1 All Habitats'!$B$2:$M$135,12,FALSE),""))))</f>
        <v/>
      </c>
      <c r="Q122" s="511" t="str">
        <f>IFERROR(IF(P122="","",IF(AND(E122="Individual trees",W122&gt;0,G122="Yes"),"Error - you cannot enhance irreplaceable individual trees ▲",IF(P122='G-1 All Habitats'!$X$9,T122*S122,IF(AND(P122='G-1 All Habitats'!$X$9,W122&gt;0),X122+(Y122*S122),IF(AND(P122='G-1 All Habitats'!$X$9,V122&gt;0),X122+(Y122*S122),IF(AND(P122='G-1 All Habitats'!$X$9,AG122&gt;0),"Any Loss Unacceptable  ⚠",IF(AND(P122='G-1 All Habitats'!$X$9,Z122&gt;0),"Any Loss Unacceptable ⚠",H122*J122*L122*O122*S122))))))),"Check Data ⚠")</f>
        <v/>
      </c>
      <c r="R122" s="393"/>
      <c r="S122" s="510" t="str">
        <f>IF(R122="","",IF(VLOOKUP(R122,'G-3 Multipliers'!$S$3:$T$10,2,FALSE)=0,"Spatial Data Missing ⚠",VLOOKUP(R122,'G-3 Multipliers'!$S$3:$T$10,2,FALSE)))</f>
        <v/>
      </c>
      <c r="T122" s="289" t="str">
        <f>IFERROR(IF(AND(F122&lt;&gt;"",G122=""),"Confirm irreplaceable habitat status ▲",(IF(AND(R122&lt;&gt;"",AF122=""),"Off-site reference required ▲",(IF(AND(E122="Individual trees",W122&gt;0,G122="Yes"),"Error - you cannot enhance irreplaceable individual trees ▲",(IF(AND(X122="Irreplaceable habitat - no units generated ⚠",(W122+V122)&lt;H122,OR(AB122="No",AB122="")),"Any Loss Unacceptable ⚠",(IF(X122="Irreplaceable habitat - no units generated ⚠",W122*J122*L122*O122,IF(AND(P122='G-1 All Habitats'!$X$9,AH122&gt;0,V122&lt;=0,W122&lt;=0,OR(AB122="No",AB122="")),"Any Loss Unacceptable ⚠",IF(AND(P122='G-1 All Habitats'!$X$9,AH122&gt;0,V122&lt;=0,W122&lt;=0),0,(IF(AND(P122='G-1 All Habitats'!$X$9,(W122+V122)&lt;H122,OR(AB122="No",AB122="")),"Any Loss Unacceptable ⚠",(IF(P122="","",IF(AND(P122='G-1 All Habitats'!$X$9,W122&gt;0),X122+Y122,IF(AND(P122='G-1 All Habitats'!$X$9,V122&gt;0),X122+Y122,IF(R122="","",H122*J122*L122*O122)))))))))))))))))),"Check Data ▲")</f>
        <v/>
      </c>
      <c r="U122" s="38"/>
      <c r="V122" s="52"/>
      <c r="W122" s="53"/>
      <c r="X122" s="287" t="str">
        <f t="shared" si="11"/>
        <v/>
      </c>
      <c r="Y122" s="287" t="str">
        <f t="shared" si="12"/>
        <v/>
      </c>
      <c r="Z122" s="287" t="str">
        <f t="shared" si="13"/>
        <v/>
      </c>
      <c r="AA122" s="317" t="str">
        <f>IFERROR(IF(AND(E122="Individual trees",G122="Yes",W122&gt;0),"Error - you cannot enhance an irreplaceable tree ▲",(IF(H122="","",IF(H122-V122-W122=0&lt;0,"Error in Areas ▲",IF(V122+W122&gt;H122,"Error in Areas ▲",IF(AND(P122='G-1 All Habitats'!$X$9,AB122="Yes"),"Alternative Compensation ✓",IF(AND(P122='G-1 All Habitats'!$X$3,AB122="Yes"),"Alternative Compensation ✓",IF(AND(AB122="Pending",P122='G-1 All Habitats'!$X$3),"Bespoke compensation must be agreed ▲",IF(AND(AB122="Pending",P122='G-1 All Habitats'!$X$9),"Bespoke compensation must be agreed  ▲",IF(Z122=0,0,IF(P122='G-1 All Habitats'!$X$9,"Any Loss Unacceptable ▲",T122-X122-Y122))))))))))),"Check Data ⚠")</f>
        <v/>
      </c>
      <c r="AB122" s="587"/>
      <c r="AC122" s="105"/>
      <c r="AD122" s="138"/>
      <c r="AE122" s="104"/>
      <c r="AF122" s="611"/>
      <c r="AG122" s="523" t="str">
        <f>IF(OR(P122="",AB122="Yes"),"",IF(P122='G-1 All Habitats'!$X$9,H122-V122-W122,"None"))</f>
        <v/>
      </c>
      <c r="AH122" s="523" t="str">
        <f>IF(P122="","",IF(P122='G-1 All Habitats'!$X$9,AG122*J122*L122*O122,"None"))</f>
        <v/>
      </c>
      <c r="AJ122" s="107" t="str">
        <f t="shared" si="14"/>
        <v/>
      </c>
      <c r="AK122" s="107" t="str">
        <f t="shared" si="17"/>
        <v/>
      </c>
      <c r="AL122" s="107" t="str">
        <f>IF(I122="","",IF(#REF!&gt;0,TRUE,FALSE))</f>
        <v/>
      </c>
      <c r="AM122" s="107">
        <v>112</v>
      </c>
      <c r="AN122" s="107"/>
      <c r="AO122" s="107" t="str">
        <f t="array" ref="AO122">IFERROR(INDEX($AM$11:$AM$259,MATCH(0,IF(TRUE=$AJ$11:$AJ$259,COUNTIF($AO$10:$AO121,$AM$11:$AM$259),""),0)),"")</f>
        <v/>
      </c>
      <c r="AP122" s="107" t="str">
        <f t="array" ref="AP122">IFERROR(INDEX($AM$11:$AM$259,MATCH(0,IF(TRUE=$AK$11:$AK$259,COUNTIF($AP$10:$AP121,$AM$11:$AM$259),""),0)),"")</f>
        <v/>
      </c>
      <c r="AQ122" s="107" t="str">
        <f t="array" ref="AQ122">IFERROR(INDEX($AM$11:$AM$259,MATCH(0,IF(TRUE=$AL$11:$AL$259,COUNTIF($AQ$10:$AQ121,$AM$11:$AM$259),""),0)),"")</f>
        <v/>
      </c>
      <c r="AS122" s="885" t="str">
        <f>IF(AND(OR(AB122="Yes",AB122="Pending"),P122='G-1 All Habitats'!$X$3),T122-X122-Y122,"0")</f>
        <v>0</v>
      </c>
      <c r="AT122" s="30" t="str">
        <f t="shared" si="10"/>
        <v/>
      </c>
      <c r="AU122" s="30">
        <f t="shared" si="15"/>
        <v>0</v>
      </c>
      <c r="AV122" s="230" t="str">
        <f>IFERROR(INDEX('G-1 All Habitats'!$B$3:$B$135,MATCH(F122,'G-1 All Habitats'!$A$3:$A$135,0)),"")</f>
        <v/>
      </c>
      <c r="AW122" s="30" t="str">
        <f>IF(AV122="","",VLOOKUP(AV122,'G-1 All Habitats'!$B$1:$T$135,19,FALSE))</f>
        <v/>
      </c>
      <c r="AY122" s="287" t="str">
        <f t="shared" si="16"/>
        <v/>
      </c>
    </row>
    <row r="123" spans="1:51" ht="14">
      <c r="A123" s="30" t="str">
        <f>IFERROR(INDEX('G-1 All Habitats'!$AG$3:$AG$17,MATCH(E123,'G-1 All Habitats'!$AF$3:$AF$17,0)),"")</f>
        <v/>
      </c>
      <c r="B123" s="30" t="str">
        <f>IFERROR(INDEX('G-8 Condition Look up'!$I$4:$I$135,MATCH(AV123,'G-8 Condition Look up'!$A$4:$A$135,0)),"")</f>
        <v/>
      </c>
      <c r="D123" s="97">
        <v>113</v>
      </c>
      <c r="E123" s="262"/>
      <c r="F123" s="263"/>
      <c r="G123" s="133"/>
      <c r="H123" s="115"/>
      <c r="I123" s="509" t="str">
        <f>IF(AV123="","",IF(AND(AW123="Yes",G123="No"),"Irreplaceable habitat ▲",IF(AND(AW123="No",G123="Yes"),"Cannot be Irreplaceable ▲",VLOOKUP(AV123,'G-1 All Habitats'!$B$2:$M$135,10,FALSE))))</f>
        <v/>
      </c>
      <c r="J123" s="377" t="str">
        <f>IFERROR(VLOOKUP(I123,'G-1 All Habitats'!$V$3:$W$7,2,FALSE),"")</f>
        <v/>
      </c>
      <c r="K123" s="101"/>
      <c r="L123" s="276" t="str">
        <f>IFERROR(INDEX('G-8 Condition Look up'!$A$3:$H$135,MATCH(AV123,'G-8 Condition Look up'!$A$3:$A$135,0),MATCH(K123,'G-8 Condition Look up'!$A$3:$H$3,0)),"")</f>
        <v/>
      </c>
      <c r="M123" s="105"/>
      <c r="N123" s="295" t="str">
        <f>IF(M123="","",IF(VLOOKUP(M123,'G-3 Multipliers'!$L$3:$N$6,2,FALSE)=0,"Spatial Data Missing ⚠",VLOOKUP(M123,'G-3 Multipliers'!$L$3:$N$6,2,FALSE)))</f>
        <v/>
      </c>
      <c r="O123" s="353" t="str">
        <f>IF(M123="","",IF(VLOOKUP(M123,'G-3 Multipliers'!$L$3:$N$6,3,FALSE)=0,"Spatial Data Missing ⚠",VLOOKUP(M123,'G-3 Multipliers'!$L$3:$N$6,3,FALSE)))</f>
        <v/>
      </c>
      <c r="P123" s="336" t="str">
        <f>(IF(G123="Yes","Bespoke compensation likely to be required",(IFERROR(VLOOKUP(AV123,'G-1 All Habitats'!$B$2:$M$135,12,FALSE),""))))</f>
        <v/>
      </c>
      <c r="Q123" s="511" t="str">
        <f>IFERROR(IF(P123="","",IF(AND(E123="Individual trees",W123&gt;0,G123="Yes"),"Error - you cannot enhance irreplaceable individual trees ▲",IF(P123='G-1 All Habitats'!$X$9,T123*S123,IF(AND(P123='G-1 All Habitats'!$X$9,W123&gt;0),X123+(Y123*S123),IF(AND(P123='G-1 All Habitats'!$X$9,V123&gt;0),X123+(Y123*S123),IF(AND(P123='G-1 All Habitats'!$X$9,AG123&gt;0),"Any Loss Unacceptable  ⚠",IF(AND(P123='G-1 All Habitats'!$X$9,Z123&gt;0),"Any Loss Unacceptable ⚠",H123*J123*L123*O123*S123))))))),"Check Data ⚠")</f>
        <v/>
      </c>
      <c r="R123" s="393"/>
      <c r="S123" s="510" t="str">
        <f>IF(R123="","",IF(VLOOKUP(R123,'G-3 Multipliers'!$S$3:$T$10,2,FALSE)=0,"Spatial Data Missing ⚠",VLOOKUP(R123,'G-3 Multipliers'!$S$3:$T$10,2,FALSE)))</f>
        <v/>
      </c>
      <c r="T123" s="289" t="str">
        <f>IFERROR(IF(AND(F123&lt;&gt;"",G123=""),"Confirm irreplaceable habitat status ▲",(IF(AND(R123&lt;&gt;"",AF123=""),"Off-site reference required ▲",(IF(AND(E123="Individual trees",W123&gt;0,G123="Yes"),"Error - you cannot enhance irreplaceable individual trees ▲",(IF(AND(X123="Irreplaceable habitat - no units generated ⚠",(W123+V123)&lt;H123,OR(AB123="No",AB123="")),"Any Loss Unacceptable ⚠",(IF(X123="Irreplaceable habitat - no units generated ⚠",W123*J123*L123*O123,IF(AND(P123='G-1 All Habitats'!$X$9,AH123&gt;0,V123&lt;=0,W123&lt;=0,OR(AB123="No",AB123="")),"Any Loss Unacceptable ⚠",IF(AND(P123='G-1 All Habitats'!$X$9,AH123&gt;0,V123&lt;=0,W123&lt;=0),0,(IF(AND(P123='G-1 All Habitats'!$X$9,(W123+V123)&lt;H123,OR(AB123="No",AB123="")),"Any Loss Unacceptable ⚠",(IF(P123="","",IF(AND(P123='G-1 All Habitats'!$X$9,W123&gt;0),X123+Y123,IF(AND(P123='G-1 All Habitats'!$X$9,V123&gt;0),X123+Y123,IF(R123="","",H123*J123*L123*O123)))))))))))))))))),"Check Data ▲")</f>
        <v/>
      </c>
      <c r="U123" s="38"/>
      <c r="V123" s="52"/>
      <c r="W123" s="53"/>
      <c r="X123" s="287" t="str">
        <f t="shared" si="11"/>
        <v/>
      </c>
      <c r="Y123" s="287" t="str">
        <f t="shared" si="12"/>
        <v/>
      </c>
      <c r="Z123" s="287" t="str">
        <f t="shared" si="13"/>
        <v/>
      </c>
      <c r="AA123" s="317" t="str">
        <f>IFERROR(IF(AND(E123="Individual trees",G123="Yes",W123&gt;0),"Error - you cannot enhance an irreplaceable tree ▲",(IF(H123="","",IF(H123-V123-W123=0&lt;0,"Error in Areas ▲",IF(V123+W123&gt;H123,"Error in Areas ▲",IF(AND(P123='G-1 All Habitats'!$X$9,AB123="Yes"),"Alternative Compensation ✓",IF(AND(P123='G-1 All Habitats'!$X$3,AB123="Yes"),"Alternative Compensation ✓",IF(AND(AB123="Pending",P123='G-1 All Habitats'!$X$3),"Bespoke compensation must be agreed ▲",IF(AND(AB123="Pending",P123='G-1 All Habitats'!$X$9),"Bespoke compensation must be agreed  ▲",IF(Z123=0,0,IF(P123='G-1 All Habitats'!$X$9,"Any Loss Unacceptable ▲",T123-X123-Y123))))))))))),"Check Data ⚠")</f>
        <v/>
      </c>
      <c r="AB123" s="587"/>
      <c r="AC123" s="105"/>
      <c r="AD123" s="138"/>
      <c r="AE123" s="104"/>
      <c r="AF123" s="611"/>
      <c r="AG123" s="523" t="str">
        <f>IF(OR(P123="",AB123="Yes"),"",IF(P123='G-1 All Habitats'!$X$9,H123-V123-W123,"None"))</f>
        <v/>
      </c>
      <c r="AH123" s="523" t="str">
        <f>IF(P123="","",IF(P123='G-1 All Habitats'!$X$9,AG123*J123*L123*O123,"None"))</f>
        <v/>
      </c>
      <c r="AJ123" s="107" t="str">
        <f t="shared" si="14"/>
        <v/>
      </c>
      <c r="AK123" s="107" t="str">
        <f t="shared" si="17"/>
        <v/>
      </c>
      <c r="AL123" s="107" t="str">
        <f>IF(I123="","",IF(#REF!&gt;0,TRUE,FALSE))</f>
        <v/>
      </c>
      <c r="AM123" s="107">
        <v>113</v>
      </c>
      <c r="AN123" s="107"/>
      <c r="AO123" s="107" t="str">
        <f t="array" ref="AO123">IFERROR(INDEX($AM$11:$AM$259,MATCH(0,IF(TRUE=$AJ$11:$AJ$259,COUNTIF($AO$10:$AO122,$AM$11:$AM$259),""),0)),"")</f>
        <v/>
      </c>
      <c r="AP123" s="107" t="str">
        <f t="array" ref="AP123">IFERROR(INDEX($AM$11:$AM$259,MATCH(0,IF(TRUE=$AK$11:$AK$259,COUNTIF($AP$10:$AP122,$AM$11:$AM$259),""),0)),"")</f>
        <v/>
      </c>
      <c r="AQ123" s="107" t="str">
        <f t="array" ref="AQ123">IFERROR(INDEX($AM$11:$AM$259,MATCH(0,IF(TRUE=$AL$11:$AL$259,COUNTIF($AQ$10:$AQ122,$AM$11:$AM$259),""),0)),"")</f>
        <v/>
      </c>
      <c r="AS123" s="885" t="str">
        <f>IF(AND(OR(AB123="Yes",AB123="Pending"),P123='G-1 All Habitats'!$X$3),T123-X123-Y123,"0")</f>
        <v>0</v>
      </c>
      <c r="AT123" s="30" t="str">
        <f t="shared" si="10"/>
        <v/>
      </c>
      <c r="AU123" s="30">
        <f t="shared" si="15"/>
        <v>0</v>
      </c>
      <c r="AV123" s="230" t="str">
        <f>IFERROR(INDEX('G-1 All Habitats'!$B$3:$B$135,MATCH(F123,'G-1 All Habitats'!$A$3:$A$135,0)),"")</f>
        <v/>
      </c>
      <c r="AW123" s="30" t="str">
        <f>IF(AV123="","",VLOOKUP(AV123,'G-1 All Habitats'!$B$1:$T$135,19,FALSE))</f>
        <v/>
      </c>
      <c r="AY123" s="287" t="str">
        <f t="shared" si="16"/>
        <v/>
      </c>
    </row>
    <row r="124" spans="1:51" ht="14">
      <c r="A124" s="30" t="str">
        <f>IFERROR(INDEX('G-1 All Habitats'!$AG$3:$AG$17,MATCH(E124,'G-1 All Habitats'!$AF$3:$AF$17,0)),"")</f>
        <v/>
      </c>
      <c r="B124" s="30" t="str">
        <f>IFERROR(INDEX('G-8 Condition Look up'!$I$4:$I$135,MATCH(AV124,'G-8 Condition Look up'!$A$4:$A$135,0)),"")</f>
        <v/>
      </c>
      <c r="D124" s="97">
        <v>114</v>
      </c>
      <c r="E124" s="262"/>
      <c r="F124" s="263"/>
      <c r="G124" s="133"/>
      <c r="H124" s="115"/>
      <c r="I124" s="509" t="str">
        <f>IF(AV124="","",IF(AND(AW124="Yes",G124="No"),"Irreplaceable habitat ▲",IF(AND(AW124="No",G124="Yes"),"Cannot be Irreplaceable ▲",VLOOKUP(AV124,'G-1 All Habitats'!$B$2:$M$135,10,FALSE))))</f>
        <v/>
      </c>
      <c r="J124" s="377" t="str">
        <f>IFERROR(VLOOKUP(I124,'G-1 All Habitats'!$V$3:$W$7,2,FALSE),"")</f>
        <v/>
      </c>
      <c r="K124" s="101"/>
      <c r="L124" s="276" t="str">
        <f>IFERROR(INDEX('G-8 Condition Look up'!$A$3:$H$135,MATCH(AV124,'G-8 Condition Look up'!$A$3:$A$135,0),MATCH(K124,'G-8 Condition Look up'!$A$3:$H$3,0)),"")</f>
        <v/>
      </c>
      <c r="M124" s="105"/>
      <c r="N124" s="295" t="str">
        <f>IF(M124="","",IF(VLOOKUP(M124,'G-3 Multipliers'!$L$3:$N$6,2,FALSE)=0,"Spatial Data Missing ⚠",VLOOKUP(M124,'G-3 Multipliers'!$L$3:$N$6,2,FALSE)))</f>
        <v/>
      </c>
      <c r="O124" s="353" t="str">
        <f>IF(M124="","",IF(VLOOKUP(M124,'G-3 Multipliers'!$L$3:$N$6,3,FALSE)=0,"Spatial Data Missing ⚠",VLOOKUP(M124,'G-3 Multipliers'!$L$3:$N$6,3,FALSE)))</f>
        <v/>
      </c>
      <c r="P124" s="336" t="str">
        <f>(IF(G124="Yes","Bespoke compensation likely to be required",(IFERROR(VLOOKUP(AV124,'G-1 All Habitats'!$B$2:$M$135,12,FALSE),""))))</f>
        <v/>
      </c>
      <c r="Q124" s="511" t="str">
        <f>IFERROR(IF(P124="","",IF(AND(E124="Individual trees",W124&gt;0,G124="Yes"),"Error - you cannot enhance irreplaceable individual trees ▲",IF(P124='G-1 All Habitats'!$X$9,T124*S124,IF(AND(P124='G-1 All Habitats'!$X$9,W124&gt;0),X124+(Y124*S124),IF(AND(P124='G-1 All Habitats'!$X$9,V124&gt;0),X124+(Y124*S124),IF(AND(P124='G-1 All Habitats'!$X$9,AG124&gt;0),"Any Loss Unacceptable  ⚠",IF(AND(P124='G-1 All Habitats'!$X$9,Z124&gt;0),"Any Loss Unacceptable ⚠",H124*J124*L124*O124*S124))))))),"Check Data ⚠")</f>
        <v/>
      </c>
      <c r="R124" s="393"/>
      <c r="S124" s="510" t="str">
        <f>IF(R124="","",IF(VLOOKUP(R124,'G-3 Multipliers'!$S$3:$T$10,2,FALSE)=0,"Spatial Data Missing ⚠",VLOOKUP(R124,'G-3 Multipliers'!$S$3:$T$10,2,FALSE)))</f>
        <v/>
      </c>
      <c r="T124" s="289" t="str">
        <f>IFERROR(IF(AND(F124&lt;&gt;"",G124=""),"Confirm irreplaceable habitat status ▲",(IF(AND(R124&lt;&gt;"",AF124=""),"Off-site reference required ▲",(IF(AND(E124="Individual trees",W124&gt;0,G124="Yes"),"Error - you cannot enhance irreplaceable individual trees ▲",(IF(AND(X124="Irreplaceable habitat - no units generated ⚠",(W124+V124)&lt;H124,OR(AB124="No",AB124="")),"Any Loss Unacceptable ⚠",(IF(X124="Irreplaceable habitat - no units generated ⚠",W124*J124*L124*O124,IF(AND(P124='G-1 All Habitats'!$X$9,AH124&gt;0,V124&lt;=0,W124&lt;=0,OR(AB124="No",AB124="")),"Any Loss Unacceptable ⚠",IF(AND(P124='G-1 All Habitats'!$X$9,AH124&gt;0,V124&lt;=0,W124&lt;=0),0,(IF(AND(P124='G-1 All Habitats'!$X$9,(W124+V124)&lt;H124,OR(AB124="No",AB124="")),"Any Loss Unacceptable ⚠",(IF(P124="","",IF(AND(P124='G-1 All Habitats'!$X$9,W124&gt;0),X124+Y124,IF(AND(P124='G-1 All Habitats'!$X$9,V124&gt;0),X124+Y124,IF(R124="","",H124*J124*L124*O124)))))))))))))))))),"Check Data ▲")</f>
        <v/>
      </c>
      <c r="U124" s="38"/>
      <c r="V124" s="52"/>
      <c r="W124" s="53"/>
      <c r="X124" s="287" t="str">
        <f t="shared" si="11"/>
        <v/>
      </c>
      <c r="Y124" s="287" t="str">
        <f t="shared" si="12"/>
        <v/>
      </c>
      <c r="Z124" s="287" t="str">
        <f t="shared" si="13"/>
        <v/>
      </c>
      <c r="AA124" s="317" t="str">
        <f>IFERROR(IF(AND(E124="Individual trees",G124="Yes",W124&gt;0),"Error - you cannot enhance an irreplaceable tree ▲",(IF(H124="","",IF(H124-V124-W124=0&lt;0,"Error in Areas ▲",IF(V124+W124&gt;H124,"Error in Areas ▲",IF(AND(P124='G-1 All Habitats'!$X$9,AB124="Yes"),"Alternative Compensation ✓",IF(AND(P124='G-1 All Habitats'!$X$3,AB124="Yes"),"Alternative Compensation ✓",IF(AND(AB124="Pending",P124='G-1 All Habitats'!$X$3),"Bespoke compensation must be agreed ▲",IF(AND(AB124="Pending",P124='G-1 All Habitats'!$X$9),"Bespoke compensation must be agreed  ▲",IF(Z124=0,0,IF(P124='G-1 All Habitats'!$X$9,"Any Loss Unacceptable ▲",T124-X124-Y124))))))))))),"Check Data ⚠")</f>
        <v/>
      </c>
      <c r="AB124" s="587"/>
      <c r="AC124" s="105"/>
      <c r="AD124" s="138"/>
      <c r="AE124" s="104"/>
      <c r="AF124" s="611"/>
      <c r="AG124" s="523" t="str">
        <f>IF(OR(P124="",AB124="Yes"),"",IF(P124='G-1 All Habitats'!$X$9,H124-V124-W124,"None"))</f>
        <v/>
      </c>
      <c r="AH124" s="523" t="str">
        <f>IF(P124="","",IF(P124='G-1 All Habitats'!$X$9,AG124*J124*L124*O124,"None"))</f>
        <v/>
      </c>
      <c r="AJ124" s="107" t="str">
        <f t="shared" si="14"/>
        <v/>
      </c>
      <c r="AK124" s="107" t="str">
        <f t="shared" si="17"/>
        <v/>
      </c>
      <c r="AL124" s="107" t="str">
        <f>IF(I124="","",IF(#REF!&gt;0,TRUE,FALSE))</f>
        <v/>
      </c>
      <c r="AM124" s="107">
        <v>114</v>
      </c>
      <c r="AN124" s="107"/>
      <c r="AO124" s="107" t="str">
        <f t="array" ref="AO124">IFERROR(INDEX($AM$11:$AM$259,MATCH(0,IF(TRUE=$AJ$11:$AJ$259,COUNTIF($AO$10:$AO123,$AM$11:$AM$259),""),0)),"")</f>
        <v/>
      </c>
      <c r="AP124" s="107" t="str">
        <f t="array" ref="AP124">IFERROR(INDEX($AM$11:$AM$259,MATCH(0,IF(TRUE=$AK$11:$AK$259,COUNTIF($AP$10:$AP123,$AM$11:$AM$259),""),0)),"")</f>
        <v/>
      </c>
      <c r="AQ124" s="107" t="str">
        <f t="array" ref="AQ124">IFERROR(INDEX($AM$11:$AM$259,MATCH(0,IF(TRUE=$AL$11:$AL$259,COUNTIF($AQ$10:$AQ123,$AM$11:$AM$259),""),0)),"")</f>
        <v/>
      </c>
      <c r="AS124" s="885" t="str">
        <f>IF(AND(OR(AB124="Yes",AB124="Pending"),P124='G-1 All Habitats'!$X$3),T124-X124-Y124,"0")</f>
        <v>0</v>
      </c>
      <c r="AT124" s="30" t="str">
        <f t="shared" si="10"/>
        <v/>
      </c>
      <c r="AU124" s="30">
        <f t="shared" si="15"/>
        <v>0</v>
      </c>
      <c r="AV124" s="230" t="str">
        <f>IFERROR(INDEX('G-1 All Habitats'!$B$3:$B$135,MATCH(F124,'G-1 All Habitats'!$A$3:$A$135,0)),"")</f>
        <v/>
      </c>
      <c r="AW124" s="30" t="str">
        <f>IF(AV124="","",VLOOKUP(AV124,'G-1 All Habitats'!$B$1:$T$135,19,FALSE))</f>
        <v/>
      </c>
      <c r="AY124" s="287" t="str">
        <f t="shared" si="16"/>
        <v/>
      </c>
    </row>
    <row r="125" spans="1:51" ht="14">
      <c r="A125" s="30" t="str">
        <f>IFERROR(INDEX('G-1 All Habitats'!$AG$3:$AG$17,MATCH(E125,'G-1 All Habitats'!$AF$3:$AF$17,0)),"")</f>
        <v/>
      </c>
      <c r="B125" s="30" t="str">
        <f>IFERROR(INDEX('G-8 Condition Look up'!$I$4:$I$135,MATCH(AV125,'G-8 Condition Look up'!$A$4:$A$135,0)),"")</f>
        <v/>
      </c>
      <c r="D125" s="97">
        <v>115</v>
      </c>
      <c r="E125" s="262"/>
      <c r="F125" s="263"/>
      <c r="G125" s="133"/>
      <c r="H125" s="115"/>
      <c r="I125" s="509" t="str">
        <f>IF(AV125="","",IF(AND(AW125="Yes",G125="No"),"Irreplaceable habitat ▲",IF(AND(AW125="No",G125="Yes"),"Cannot be Irreplaceable ▲",VLOOKUP(AV125,'G-1 All Habitats'!$B$2:$M$135,10,FALSE))))</f>
        <v/>
      </c>
      <c r="J125" s="377" t="str">
        <f>IFERROR(VLOOKUP(I125,'G-1 All Habitats'!$V$3:$W$7,2,FALSE),"")</f>
        <v/>
      </c>
      <c r="K125" s="101"/>
      <c r="L125" s="276" t="str">
        <f>IFERROR(INDEX('G-8 Condition Look up'!$A$3:$H$135,MATCH(AV125,'G-8 Condition Look up'!$A$3:$A$135,0),MATCH(K125,'G-8 Condition Look up'!$A$3:$H$3,0)),"")</f>
        <v/>
      </c>
      <c r="M125" s="105"/>
      <c r="N125" s="295" t="str">
        <f>IF(M125="","",IF(VLOOKUP(M125,'G-3 Multipliers'!$L$3:$N$6,2,FALSE)=0,"Spatial Data Missing ⚠",VLOOKUP(M125,'G-3 Multipliers'!$L$3:$N$6,2,FALSE)))</f>
        <v/>
      </c>
      <c r="O125" s="353" t="str">
        <f>IF(M125="","",IF(VLOOKUP(M125,'G-3 Multipliers'!$L$3:$N$6,3,FALSE)=0,"Spatial Data Missing ⚠",VLOOKUP(M125,'G-3 Multipliers'!$L$3:$N$6,3,FALSE)))</f>
        <v/>
      </c>
      <c r="P125" s="336" t="str">
        <f>(IF(G125="Yes","Bespoke compensation likely to be required",(IFERROR(VLOOKUP(AV125,'G-1 All Habitats'!$B$2:$M$135,12,FALSE),""))))</f>
        <v/>
      </c>
      <c r="Q125" s="511" t="str">
        <f>IFERROR(IF(P125="","",IF(AND(E125="Individual trees",W125&gt;0,G125="Yes"),"Error - you cannot enhance irreplaceable individual trees ▲",IF(P125='G-1 All Habitats'!$X$9,T125*S125,IF(AND(P125='G-1 All Habitats'!$X$9,W125&gt;0),X125+(Y125*S125),IF(AND(P125='G-1 All Habitats'!$X$9,V125&gt;0),X125+(Y125*S125),IF(AND(P125='G-1 All Habitats'!$X$9,AG125&gt;0),"Any Loss Unacceptable  ⚠",IF(AND(P125='G-1 All Habitats'!$X$9,Z125&gt;0),"Any Loss Unacceptable ⚠",H125*J125*L125*O125*S125))))))),"Check Data ⚠")</f>
        <v/>
      </c>
      <c r="R125" s="393"/>
      <c r="S125" s="510" t="str">
        <f>IF(R125="","",IF(VLOOKUP(R125,'G-3 Multipliers'!$S$3:$T$10,2,FALSE)=0,"Spatial Data Missing ⚠",VLOOKUP(R125,'G-3 Multipliers'!$S$3:$T$10,2,FALSE)))</f>
        <v/>
      </c>
      <c r="T125" s="289" t="str">
        <f>IFERROR(IF(AND(F125&lt;&gt;"",G125=""),"Confirm irreplaceable habitat status ▲",(IF(AND(R125&lt;&gt;"",AF125=""),"Off-site reference required ▲",(IF(AND(E125="Individual trees",W125&gt;0,G125="Yes"),"Error - you cannot enhance irreplaceable individual trees ▲",(IF(AND(X125="Irreplaceable habitat - no units generated ⚠",(W125+V125)&lt;H125,OR(AB125="No",AB125="")),"Any Loss Unacceptable ⚠",(IF(X125="Irreplaceable habitat - no units generated ⚠",W125*J125*L125*O125,IF(AND(P125='G-1 All Habitats'!$X$9,AH125&gt;0,V125&lt;=0,W125&lt;=0,OR(AB125="No",AB125="")),"Any Loss Unacceptable ⚠",IF(AND(P125='G-1 All Habitats'!$X$9,AH125&gt;0,V125&lt;=0,W125&lt;=0),0,(IF(AND(P125='G-1 All Habitats'!$X$9,(W125+V125)&lt;H125,OR(AB125="No",AB125="")),"Any Loss Unacceptable ⚠",(IF(P125="","",IF(AND(P125='G-1 All Habitats'!$X$9,W125&gt;0),X125+Y125,IF(AND(P125='G-1 All Habitats'!$X$9,V125&gt;0),X125+Y125,IF(R125="","",H125*J125*L125*O125)))))))))))))))))),"Check Data ▲")</f>
        <v/>
      </c>
      <c r="U125" s="38"/>
      <c r="V125" s="52"/>
      <c r="W125" s="53"/>
      <c r="X125" s="287" t="str">
        <f t="shared" si="11"/>
        <v/>
      </c>
      <c r="Y125" s="287" t="str">
        <f t="shared" si="12"/>
        <v/>
      </c>
      <c r="Z125" s="287" t="str">
        <f t="shared" si="13"/>
        <v/>
      </c>
      <c r="AA125" s="317" t="str">
        <f>IFERROR(IF(AND(E125="Individual trees",G125="Yes",W125&gt;0),"Error - you cannot enhance an irreplaceable tree ▲",(IF(H125="","",IF(H125-V125-W125=0&lt;0,"Error in Areas ▲",IF(V125+W125&gt;H125,"Error in Areas ▲",IF(AND(P125='G-1 All Habitats'!$X$9,AB125="Yes"),"Alternative Compensation ✓",IF(AND(P125='G-1 All Habitats'!$X$3,AB125="Yes"),"Alternative Compensation ✓",IF(AND(AB125="Pending",P125='G-1 All Habitats'!$X$3),"Bespoke compensation must be agreed ▲",IF(AND(AB125="Pending",P125='G-1 All Habitats'!$X$9),"Bespoke compensation must be agreed  ▲",IF(Z125=0,0,IF(P125='G-1 All Habitats'!$X$9,"Any Loss Unacceptable ▲",T125-X125-Y125))))))))))),"Check Data ⚠")</f>
        <v/>
      </c>
      <c r="AB125" s="587"/>
      <c r="AC125" s="105"/>
      <c r="AD125" s="138"/>
      <c r="AE125" s="104"/>
      <c r="AF125" s="611"/>
      <c r="AG125" s="523" t="str">
        <f>IF(OR(P125="",AB125="Yes"),"",IF(P125='G-1 All Habitats'!$X$9,H125-V125-W125,"None"))</f>
        <v/>
      </c>
      <c r="AH125" s="523" t="str">
        <f>IF(P125="","",IF(P125='G-1 All Habitats'!$X$9,AG125*J125*L125*O125,"None"))</f>
        <v/>
      </c>
      <c r="AJ125" s="107" t="str">
        <f t="shared" si="14"/>
        <v/>
      </c>
      <c r="AK125" s="107" t="str">
        <f t="shared" si="17"/>
        <v/>
      </c>
      <c r="AL125" s="107" t="str">
        <f>IF(I125="","",IF(#REF!&gt;0,TRUE,FALSE))</f>
        <v/>
      </c>
      <c r="AM125" s="107">
        <v>115</v>
      </c>
      <c r="AN125" s="107"/>
      <c r="AO125" s="107" t="str">
        <f t="array" ref="AO125">IFERROR(INDEX($AM$11:$AM$259,MATCH(0,IF(TRUE=$AJ$11:$AJ$259,COUNTIF($AO$10:$AO124,$AM$11:$AM$259),""),0)),"")</f>
        <v/>
      </c>
      <c r="AP125" s="107" t="str">
        <f t="array" ref="AP125">IFERROR(INDEX($AM$11:$AM$259,MATCH(0,IF(TRUE=$AK$11:$AK$259,COUNTIF($AP$10:$AP124,$AM$11:$AM$259),""),0)),"")</f>
        <v/>
      </c>
      <c r="AQ125" s="107" t="str">
        <f t="array" ref="AQ125">IFERROR(INDEX($AM$11:$AM$259,MATCH(0,IF(TRUE=$AL$11:$AL$259,COUNTIF($AQ$10:$AQ124,$AM$11:$AM$259),""),0)),"")</f>
        <v/>
      </c>
      <c r="AS125" s="885" t="str">
        <f>IF(AND(OR(AB125="Yes",AB125="Pending"),P125='G-1 All Habitats'!$X$3),T125-X125-Y125,"0")</f>
        <v>0</v>
      </c>
      <c r="AT125" s="30" t="str">
        <f t="shared" si="10"/>
        <v/>
      </c>
      <c r="AU125" s="30">
        <f t="shared" si="15"/>
        <v>0</v>
      </c>
      <c r="AV125" s="230" t="str">
        <f>IFERROR(INDEX('G-1 All Habitats'!$B$3:$B$135,MATCH(F125,'G-1 All Habitats'!$A$3:$A$135,0)),"")</f>
        <v/>
      </c>
      <c r="AW125" s="30" t="str">
        <f>IF(AV125="","",VLOOKUP(AV125,'G-1 All Habitats'!$B$1:$T$135,19,FALSE))</f>
        <v/>
      </c>
      <c r="AY125" s="287" t="str">
        <f t="shared" si="16"/>
        <v/>
      </c>
    </row>
    <row r="126" spans="1:51" ht="14">
      <c r="A126" s="30" t="str">
        <f>IFERROR(INDEX('G-1 All Habitats'!$AG$3:$AG$17,MATCH(E126,'G-1 All Habitats'!$AF$3:$AF$17,0)),"")</f>
        <v/>
      </c>
      <c r="B126" s="30" t="str">
        <f>IFERROR(INDEX('G-8 Condition Look up'!$I$4:$I$135,MATCH(AV126,'G-8 Condition Look up'!$A$4:$A$135,0)),"")</f>
        <v/>
      </c>
      <c r="D126" s="97">
        <v>116</v>
      </c>
      <c r="E126" s="262"/>
      <c r="F126" s="263"/>
      <c r="G126" s="133"/>
      <c r="H126" s="115"/>
      <c r="I126" s="509" t="str">
        <f>IF(AV126="","",IF(AND(AW126="Yes",G126="No"),"Irreplaceable habitat ▲",IF(AND(AW126="No",G126="Yes"),"Cannot be Irreplaceable ▲",VLOOKUP(AV126,'G-1 All Habitats'!$B$2:$M$135,10,FALSE))))</f>
        <v/>
      </c>
      <c r="J126" s="377" t="str">
        <f>IFERROR(VLOOKUP(I126,'G-1 All Habitats'!$V$3:$W$7,2,FALSE),"")</f>
        <v/>
      </c>
      <c r="K126" s="101"/>
      <c r="L126" s="276" t="str">
        <f>IFERROR(INDEX('G-8 Condition Look up'!$A$3:$H$135,MATCH(AV126,'G-8 Condition Look up'!$A$3:$A$135,0),MATCH(K126,'G-8 Condition Look up'!$A$3:$H$3,0)),"")</f>
        <v/>
      </c>
      <c r="M126" s="105"/>
      <c r="N126" s="295" t="str">
        <f>IF(M126="","",IF(VLOOKUP(M126,'G-3 Multipliers'!$L$3:$N$6,2,FALSE)=0,"Spatial Data Missing ⚠",VLOOKUP(M126,'G-3 Multipliers'!$L$3:$N$6,2,FALSE)))</f>
        <v/>
      </c>
      <c r="O126" s="353" t="str">
        <f>IF(M126="","",IF(VLOOKUP(M126,'G-3 Multipliers'!$L$3:$N$6,3,FALSE)=0,"Spatial Data Missing ⚠",VLOOKUP(M126,'G-3 Multipliers'!$L$3:$N$6,3,FALSE)))</f>
        <v/>
      </c>
      <c r="P126" s="336" t="str">
        <f>(IF(G126="Yes","Bespoke compensation likely to be required",(IFERROR(VLOOKUP(AV126,'G-1 All Habitats'!$B$2:$M$135,12,FALSE),""))))</f>
        <v/>
      </c>
      <c r="Q126" s="511" t="str">
        <f>IFERROR(IF(P126="","",IF(AND(E126="Individual trees",W126&gt;0,G126="Yes"),"Error - you cannot enhance irreplaceable individual trees ▲",IF(P126='G-1 All Habitats'!$X$9,T126*S126,IF(AND(P126='G-1 All Habitats'!$X$9,W126&gt;0),X126+(Y126*S126),IF(AND(P126='G-1 All Habitats'!$X$9,V126&gt;0),X126+(Y126*S126),IF(AND(P126='G-1 All Habitats'!$X$9,AG126&gt;0),"Any Loss Unacceptable  ⚠",IF(AND(P126='G-1 All Habitats'!$X$9,Z126&gt;0),"Any Loss Unacceptable ⚠",H126*J126*L126*O126*S126))))))),"Check Data ⚠")</f>
        <v/>
      </c>
      <c r="R126" s="393"/>
      <c r="S126" s="510" t="str">
        <f>IF(R126="","",IF(VLOOKUP(R126,'G-3 Multipliers'!$S$3:$T$10,2,FALSE)=0,"Spatial Data Missing ⚠",VLOOKUP(R126,'G-3 Multipliers'!$S$3:$T$10,2,FALSE)))</f>
        <v/>
      </c>
      <c r="T126" s="289" t="str">
        <f>IFERROR(IF(AND(F126&lt;&gt;"",G126=""),"Confirm irreplaceable habitat status ▲",(IF(AND(R126&lt;&gt;"",AF126=""),"Off-site reference required ▲",(IF(AND(E126="Individual trees",W126&gt;0,G126="Yes"),"Error - you cannot enhance irreplaceable individual trees ▲",(IF(AND(X126="Irreplaceable habitat - no units generated ⚠",(W126+V126)&lt;H126,OR(AB126="No",AB126="")),"Any Loss Unacceptable ⚠",(IF(X126="Irreplaceable habitat - no units generated ⚠",W126*J126*L126*O126,IF(AND(P126='G-1 All Habitats'!$X$9,AH126&gt;0,V126&lt;=0,W126&lt;=0,OR(AB126="No",AB126="")),"Any Loss Unacceptable ⚠",IF(AND(P126='G-1 All Habitats'!$X$9,AH126&gt;0,V126&lt;=0,W126&lt;=0),0,(IF(AND(P126='G-1 All Habitats'!$X$9,(W126+V126)&lt;H126,OR(AB126="No",AB126="")),"Any Loss Unacceptable ⚠",(IF(P126="","",IF(AND(P126='G-1 All Habitats'!$X$9,W126&gt;0),X126+Y126,IF(AND(P126='G-1 All Habitats'!$X$9,V126&gt;0),X126+Y126,IF(R126="","",H126*J126*L126*O126)))))))))))))))))),"Check Data ▲")</f>
        <v/>
      </c>
      <c r="U126" s="38"/>
      <c r="V126" s="52"/>
      <c r="W126" s="53"/>
      <c r="X126" s="287" t="str">
        <f t="shared" si="11"/>
        <v/>
      </c>
      <c r="Y126" s="287" t="str">
        <f t="shared" si="12"/>
        <v/>
      </c>
      <c r="Z126" s="287" t="str">
        <f t="shared" si="13"/>
        <v/>
      </c>
      <c r="AA126" s="317" t="str">
        <f>IFERROR(IF(AND(E126="Individual trees",G126="Yes",W126&gt;0),"Error - you cannot enhance an irreplaceable tree ▲",(IF(H126="","",IF(H126-V126-W126=0&lt;0,"Error in Areas ▲",IF(V126+W126&gt;H126,"Error in Areas ▲",IF(AND(P126='G-1 All Habitats'!$X$9,AB126="Yes"),"Alternative Compensation ✓",IF(AND(P126='G-1 All Habitats'!$X$3,AB126="Yes"),"Alternative Compensation ✓",IF(AND(AB126="Pending",P126='G-1 All Habitats'!$X$3),"Bespoke compensation must be agreed ▲",IF(AND(AB126="Pending",P126='G-1 All Habitats'!$X$9),"Bespoke compensation must be agreed  ▲",IF(Z126=0,0,IF(P126='G-1 All Habitats'!$X$9,"Any Loss Unacceptable ▲",T126-X126-Y126))))))))))),"Check Data ⚠")</f>
        <v/>
      </c>
      <c r="AB126" s="587"/>
      <c r="AC126" s="105"/>
      <c r="AD126" s="138"/>
      <c r="AE126" s="104"/>
      <c r="AF126" s="611"/>
      <c r="AG126" s="523" t="str">
        <f>IF(OR(P126="",AB126="Yes"),"",IF(P126='G-1 All Habitats'!$X$9,H126-V126-W126,"None"))</f>
        <v/>
      </c>
      <c r="AH126" s="523" t="str">
        <f>IF(P126="","",IF(P126='G-1 All Habitats'!$X$9,AG126*J126*L126*O126,"None"))</f>
        <v/>
      </c>
      <c r="AJ126" s="107" t="str">
        <f t="shared" si="14"/>
        <v/>
      </c>
      <c r="AK126" s="107" t="str">
        <f t="shared" si="17"/>
        <v/>
      </c>
      <c r="AL126" s="107" t="str">
        <f>IF(I126="","",IF(#REF!&gt;0,TRUE,FALSE))</f>
        <v/>
      </c>
      <c r="AM126" s="107">
        <v>116</v>
      </c>
      <c r="AN126" s="107"/>
      <c r="AO126" s="107" t="str">
        <f t="array" ref="AO126">IFERROR(INDEX($AM$11:$AM$259,MATCH(0,IF(TRUE=$AJ$11:$AJ$259,COUNTIF($AO$10:$AO125,$AM$11:$AM$259),""),0)),"")</f>
        <v/>
      </c>
      <c r="AP126" s="107" t="str">
        <f t="array" ref="AP126">IFERROR(INDEX($AM$11:$AM$259,MATCH(0,IF(TRUE=$AK$11:$AK$259,COUNTIF($AP$10:$AP125,$AM$11:$AM$259),""),0)),"")</f>
        <v/>
      </c>
      <c r="AQ126" s="107" t="str">
        <f t="array" ref="AQ126">IFERROR(INDEX($AM$11:$AM$259,MATCH(0,IF(TRUE=$AL$11:$AL$259,COUNTIF($AQ$10:$AQ125,$AM$11:$AM$259),""),0)),"")</f>
        <v/>
      </c>
      <c r="AS126" s="885" t="str">
        <f>IF(AND(OR(AB126="Yes",AB126="Pending"),P126='G-1 All Habitats'!$X$3),T126-X126-Y126,"0")</f>
        <v>0</v>
      </c>
      <c r="AT126" s="30" t="str">
        <f t="shared" si="10"/>
        <v/>
      </c>
      <c r="AU126" s="30">
        <f t="shared" si="15"/>
        <v>0</v>
      </c>
      <c r="AV126" s="230" t="str">
        <f>IFERROR(INDEX('G-1 All Habitats'!$B$3:$B$135,MATCH(F126,'G-1 All Habitats'!$A$3:$A$135,0)),"")</f>
        <v/>
      </c>
      <c r="AW126" s="30" t="str">
        <f>IF(AV126="","",VLOOKUP(AV126,'G-1 All Habitats'!$B$1:$T$135,19,FALSE))</f>
        <v/>
      </c>
      <c r="AY126" s="287" t="str">
        <f t="shared" si="16"/>
        <v/>
      </c>
    </row>
    <row r="127" spans="1:51" ht="14">
      <c r="A127" s="30" t="str">
        <f>IFERROR(INDEX('G-1 All Habitats'!$AG$3:$AG$17,MATCH(E127,'G-1 All Habitats'!$AF$3:$AF$17,0)),"")</f>
        <v/>
      </c>
      <c r="B127" s="30" t="str">
        <f>IFERROR(INDEX('G-8 Condition Look up'!$I$4:$I$135,MATCH(AV127,'G-8 Condition Look up'!$A$4:$A$135,0)),"")</f>
        <v/>
      </c>
      <c r="D127" s="97">
        <v>117</v>
      </c>
      <c r="E127" s="262"/>
      <c r="F127" s="263"/>
      <c r="G127" s="133"/>
      <c r="H127" s="115"/>
      <c r="I127" s="509" t="str">
        <f>IF(AV127="","",IF(AND(AW127="Yes",G127="No"),"Irreplaceable habitat ▲",IF(AND(AW127="No",G127="Yes"),"Cannot be Irreplaceable ▲",VLOOKUP(AV127,'G-1 All Habitats'!$B$2:$M$135,10,FALSE))))</f>
        <v/>
      </c>
      <c r="J127" s="377" t="str">
        <f>IFERROR(VLOOKUP(I127,'G-1 All Habitats'!$V$3:$W$7,2,FALSE),"")</f>
        <v/>
      </c>
      <c r="K127" s="101"/>
      <c r="L127" s="276" t="str">
        <f>IFERROR(INDEX('G-8 Condition Look up'!$A$3:$H$135,MATCH(AV127,'G-8 Condition Look up'!$A$3:$A$135,0),MATCH(K127,'G-8 Condition Look up'!$A$3:$H$3,0)),"")</f>
        <v/>
      </c>
      <c r="M127" s="105"/>
      <c r="N127" s="295" t="str">
        <f>IF(M127="","",IF(VLOOKUP(M127,'G-3 Multipliers'!$L$3:$N$6,2,FALSE)=0,"Spatial Data Missing ⚠",VLOOKUP(M127,'G-3 Multipliers'!$L$3:$N$6,2,FALSE)))</f>
        <v/>
      </c>
      <c r="O127" s="353" t="str">
        <f>IF(M127="","",IF(VLOOKUP(M127,'G-3 Multipliers'!$L$3:$N$6,3,FALSE)=0,"Spatial Data Missing ⚠",VLOOKUP(M127,'G-3 Multipliers'!$L$3:$N$6,3,FALSE)))</f>
        <v/>
      </c>
      <c r="P127" s="336" t="str">
        <f>(IF(G127="Yes","Bespoke compensation likely to be required",(IFERROR(VLOOKUP(AV127,'G-1 All Habitats'!$B$2:$M$135,12,FALSE),""))))</f>
        <v/>
      </c>
      <c r="Q127" s="511" t="str">
        <f>IFERROR(IF(P127="","",IF(AND(E127="Individual trees",W127&gt;0,G127="Yes"),"Error - you cannot enhance irreplaceable individual trees ▲",IF(P127='G-1 All Habitats'!$X$9,T127*S127,IF(AND(P127='G-1 All Habitats'!$X$9,W127&gt;0),X127+(Y127*S127),IF(AND(P127='G-1 All Habitats'!$X$9,V127&gt;0),X127+(Y127*S127),IF(AND(P127='G-1 All Habitats'!$X$9,AG127&gt;0),"Any Loss Unacceptable  ⚠",IF(AND(P127='G-1 All Habitats'!$X$9,Z127&gt;0),"Any Loss Unacceptable ⚠",H127*J127*L127*O127*S127))))))),"Check Data ⚠")</f>
        <v/>
      </c>
      <c r="R127" s="393"/>
      <c r="S127" s="510" t="str">
        <f>IF(R127="","",IF(VLOOKUP(R127,'G-3 Multipliers'!$S$3:$T$10,2,FALSE)=0,"Spatial Data Missing ⚠",VLOOKUP(R127,'G-3 Multipliers'!$S$3:$T$10,2,FALSE)))</f>
        <v/>
      </c>
      <c r="T127" s="289" t="str">
        <f>IFERROR(IF(AND(F127&lt;&gt;"",G127=""),"Confirm irreplaceable habitat status ▲",(IF(AND(R127&lt;&gt;"",AF127=""),"Off-site reference required ▲",(IF(AND(E127="Individual trees",W127&gt;0,G127="Yes"),"Error - you cannot enhance irreplaceable individual trees ▲",(IF(AND(X127="Irreplaceable habitat - no units generated ⚠",(W127+V127)&lt;H127,OR(AB127="No",AB127="")),"Any Loss Unacceptable ⚠",(IF(X127="Irreplaceable habitat - no units generated ⚠",W127*J127*L127*O127,IF(AND(P127='G-1 All Habitats'!$X$9,AH127&gt;0,V127&lt;=0,W127&lt;=0,OR(AB127="No",AB127="")),"Any Loss Unacceptable ⚠",IF(AND(P127='G-1 All Habitats'!$X$9,AH127&gt;0,V127&lt;=0,W127&lt;=0),0,(IF(AND(P127='G-1 All Habitats'!$X$9,(W127+V127)&lt;H127,OR(AB127="No",AB127="")),"Any Loss Unacceptable ⚠",(IF(P127="","",IF(AND(P127='G-1 All Habitats'!$X$9,W127&gt;0),X127+Y127,IF(AND(P127='G-1 All Habitats'!$X$9,V127&gt;0),X127+Y127,IF(R127="","",H127*J127*L127*O127)))))))))))))))))),"Check Data ▲")</f>
        <v/>
      </c>
      <c r="U127" s="38"/>
      <c r="V127" s="52"/>
      <c r="W127" s="53"/>
      <c r="X127" s="287" t="str">
        <f t="shared" si="11"/>
        <v/>
      </c>
      <c r="Y127" s="287" t="str">
        <f t="shared" si="12"/>
        <v/>
      </c>
      <c r="Z127" s="287" t="str">
        <f t="shared" si="13"/>
        <v/>
      </c>
      <c r="AA127" s="317" t="str">
        <f>IFERROR(IF(AND(E127="Individual trees",G127="Yes",W127&gt;0),"Error - you cannot enhance an irreplaceable tree ▲",(IF(H127="","",IF(H127-V127-W127=0&lt;0,"Error in Areas ▲",IF(V127+W127&gt;H127,"Error in Areas ▲",IF(AND(P127='G-1 All Habitats'!$X$9,AB127="Yes"),"Alternative Compensation ✓",IF(AND(P127='G-1 All Habitats'!$X$3,AB127="Yes"),"Alternative Compensation ✓",IF(AND(AB127="Pending",P127='G-1 All Habitats'!$X$3),"Bespoke compensation must be agreed ▲",IF(AND(AB127="Pending",P127='G-1 All Habitats'!$X$9),"Bespoke compensation must be agreed  ▲",IF(Z127=0,0,IF(P127='G-1 All Habitats'!$X$9,"Any Loss Unacceptable ▲",T127-X127-Y127))))))))))),"Check Data ⚠")</f>
        <v/>
      </c>
      <c r="AB127" s="587"/>
      <c r="AC127" s="105"/>
      <c r="AD127" s="138"/>
      <c r="AE127" s="104"/>
      <c r="AF127" s="611"/>
      <c r="AG127" s="523" t="str">
        <f>IF(OR(P127="",AB127="Yes"),"",IF(P127='G-1 All Habitats'!$X$9,H127-V127-W127,"None"))</f>
        <v/>
      </c>
      <c r="AH127" s="523" t="str">
        <f>IF(P127="","",IF(P127='G-1 All Habitats'!$X$9,AG127*J127*L127*O127,"None"))</f>
        <v/>
      </c>
      <c r="AJ127" s="107" t="str">
        <f t="shared" si="14"/>
        <v/>
      </c>
      <c r="AK127" s="107" t="str">
        <f t="shared" si="17"/>
        <v/>
      </c>
      <c r="AL127" s="107" t="str">
        <f>IF(I127="","",IF(#REF!&gt;0,TRUE,FALSE))</f>
        <v/>
      </c>
      <c r="AM127" s="107">
        <v>117</v>
      </c>
      <c r="AN127" s="107"/>
      <c r="AO127" s="107" t="str">
        <f t="array" ref="AO127">IFERROR(INDEX($AM$11:$AM$259,MATCH(0,IF(TRUE=$AJ$11:$AJ$259,COUNTIF($AO$10:$AO126,$AM$11:$AM$259),""),0)),"")</f>
        <v/>
      </c>
      <c r="AP127" s="107" t="str">
        <f t="array" ref="AP127">IFERROR(INDEX($AM$11:$AM$259,MATCH(0,IF(TRUE=$AK$11:$AK$259,COUNTIF($AP$10:$AP126,$AM$11:$AM$259),""),0)),"")</f>
        <v/>
      </c>
      <c r="AQ127" s="107" t="str">
        <f t="array" ref="AQ127">IFERROR(INDEX($AM$11:$AM$259,MATCH(0,IF(TRUE=$AL$11:$AL$259,COUNTIF($AQ$10:$AQ126,$AM$11:$AM$259),""),0)),"")</f>
        <v/>
      </c>
      <c r="AS127" s="885" t="str">
        <f>IF(AND(OR(AB127="Yes",AB127="Pending"),P127='G-1 All Habitats'!$X$3),T127-X127-Y127,"0")</f>
        <v>0</v>
      </c>
      <c r="AT127" s="30" t="str">
        <f t="shared" si="10"/>
        <v/>
      </c>
      <c r="AU127" s="30">
        <f t="shared" si="15"/>
        <v>0</v>
      </c>
      <c r="AV127" s="230" t="str">
        <f>IFERROR(INDEX('G-1 All Habitats'!$B$3:$B$135,MATCH(F127,'G-1 All Habitats'!$A$3:$A$135,0)),"")</f>
        <v/>
      </c>
      <c r="AW127" s="30" t="str">
        <f>IF(AV127="","",VLOOKUP(AV127,'G-1 All Habitats'!$B$1:$T$135,19,FALSE))</f>
        <v/>
      </c>
      <c r="AY127" s="287" t="str">
        <f t="shared" si="16"/>
        <v/>
      </c>
    </row>
    <row r="128" spans="1:51" ht="14">
      <c r="A128" s="30" t="str">
        <f>IFERROR(INDEX('G-1 All Habitats'!$AG$3:$AG$17,MATCH(E128,'G-1 All Habitats'!$AF$3:$AF$17,0)),"")</f>
        <v/>
      </c>
      <c r="B128" s="30" t="str">
        <f>IFERROR(INDEX('G-8 Condition Look up'!$I$4:$I$135,MATCH(AV128,'G-8 Condition Look up'!$A$4:$A$135,0)),"")</f>
        <v/>
      </c>
      <c r="D128" s="97">
        <v>118</v>
      </c>
      <c r="E128" s="262"/>
      <c r="F128" s="263"/>
      <c r="G128" s="133"/>
      <c r="H128" s="115"/>
      <c r="I128" s="509" t="str">
        <f>IF(AV128="","",IF(AND(AW128="Yes",G128="No"),"Irreplaceable habitat ▲",IF(AND(AW128="No",G128="Yes"),"Cannot be Irreplaceable ▲",VLOOKUP(AV128,'G-1 All Habitats'!$B$2:$M$135,10,FALSE))))</f>
        <v/>
      </c>
      <c r="J128" s="377" t="str">
        <f>IFERROR(VLOOKUP(I128,'G-1 All Habitats'!$V$3:$W$7,2,FALSE),"")</f>
        <v/>
      </c>
      <c r="K128" s="101"/>
      <c r="L128" s="276" t="str">
        <f>IFERROR(INDEX('G-8 Condition Look up'!$A$3:$H$135,MATCH(AV128,'G-8 Condition Look up'!$A$3:$A$135,0),MATCH(K128,'G-8 Condition Look up'!$A$3:$H$3,0)),"")</f>
        <v/>
      </c>
      <c r="M128" s="105"/>
      <c r="N128" s="295" t="str">
        <f>IF(M128="","",IF(VLOOKUP(M128,'G-3 Multipliers'!$L$3:$N$6,2,FALSE)=0,"Spatial Data Missing ⚠",VLOOKUP(M128,'G-3 Multipliers'!$L$3:$N$6,2,FALSE)))</f>
        <v/>
      </c>
      <c r="O128" s="353" t="str">
        <f>IF(M128="","",IF(VLOOKUP(M128,'G-3 Multipliers'!$L$3:$N$6,3,FALSE)=0,"Spatial Data Missing ⚠",VLOOKUP(M128,'G-3 Multipliers'!$L$3:$N$6,3,FALSE)))</f>
        <v/>
      </c>
      <c r="P128" s="336" t="str">
        <f>(IF(G128="Yes","Bespoke compensation likely to be required",(IFERROR(VLOOKUP(AV128,'G-1 All Habitats'!$B$2:$M$135,12,FALSE),""))))</f>
        <v/>
      </c>
      <c r="Q128" s="511" t="str">
        <f>IFERROR(IF(P128="","",IF(AND(E128="Individual trees",W128&gt;0,G128="Yes"),"Error - you cannot enhance irreplaceable individual trees ▲",IF(P128='G-1 All Habitats'!$X$9,T128*S128,IF(AND(P128='G-1 All Habitats'!$X$9,W128&gt;0),X128+(Y128*S128),IF(AND(P128='G-1 All Habitats'!$X$9,V128&gt;0),X128+(Y128*S128),IF(AND(P128='G-1 All Habitats'!$X$9,AG128&gt;0),"Any Loss Unacceptable  ⚠",IF(AND(P128='G-1 All Habitats'!$X$9,Z128&gt;0),"Any Loss Unacceptable ⚠",H128*J128*L128*O128*S128))))))),"Check Data ⚠")</f>
        <v/>
      </c>
      <c r="R128" s="393"/>
      <c r="S128" s="510" t="str">
        <f>IF(R128="","",IF(VLOOKUP(R128,'G-3 Multipliers'!$S$3:$T$10,2,FALSE)=0,"Spatial Data Missing ⚠",VLOOKUP(R128,'G-3 Multipliers'!$S$3:$T$10,2,FALSE)))</f>
        <v/>
      </c>
      <c r="T128" s="289" t="str">
        <f>IFERROR(IF(AND(F128&lt;&gt;"",G128=""),"Confirm irreplaceable habitat status ▲",(IF(AND(R128&lt;&gt;"",AF128=""),"Off-site reference required ▲",(IF(AND(E128="Individual trees",W128&gt;0,G128="Yes"),"Error - you cannot enhance irreplaceable individual trees ▲",(IF(AND(X128="Irreplaceable habitat - no units generated ⚠",(W128+V128)&lt;H128,OR(AB128="No",AB128="")),"Any Loss Unacceptable ⚠",(IF(X128="Irreplaceable habitat - no units generated ⚠",W128*J128*L128*O128,IF(AND(P128='G-1 All Habitats'!$X$9,AH128&gt;0,V128&lt;=0,W128&lt;=0,OR(AB128="No",AB128="")),"Any Loss Unacceptable ⚠",IF(AND(P128='G-1 All Habitats'!$X$9,AH128&gt;0,V128&lt;=0,W128&lt;=0),0,(IF(AND(P128='G-1 All Habitats'!$X$9,(W128+V128)&lt;H128,OR(AB128="No",AB128="")),"Any Loss Unacceptable ⚠",(IF(P128="","",IF(AND(P128='G-1 All Habitats'!$X$9,W128&gt;0),X128+Y128,IF(AND(P128='G-1 All Habitats'!$X$9,V128&gt;0),X128+Y128,IF(R128="","",H128*J128*L128*O128)))))))))))))))))),"Check Data ▲")</f>
        <v/>
      </c>
      <c r="U128" s="38"/>
      <c r="V128" s="52"/>
      <c r="W128" s="53"/>
      <c r="X128" s="287" t="str">
        <f t="shared" si="11"/>
        <v/>
      </c>
      <c r="Y128" s="287" t="str">
        <f t="shared" si="12"/>
        <v/>
      </c>
      <c r="Z128" s="287" t="str">
        <f t="shared" si="13"/>
        <v/>
      </c>
      <c r="AA128" s="317" t="str">
        <f>IFERROR(IF(AND(E128="Individual trees",G128="Yes",W128&gt;0),"Error - you cannot enhance an irreplaceable tree ▲",(IF(H128="","",IF(H128-V128-W128=0&lt;0,"Error in Areas ▲",IF(V128+W128&gt;H128,"Error in Areas ▲",IF(AND(P128='G-1 All Habitats'!$X$9,AB128="Yes"),"Alternative Compensation ✓",IF(AND(P128='G-1 All Habitats'!$X$3,AB128="Yes"),"Alternative Compensation ✓",IF(AND(AB128="Pending",P128='G-1 All Habitats'!$X$3),"Bespoke compensation must be agreed ▲",IF(AND(AB128="Pending",P128='G-1 All Habitats'!$X$9),"Bespoke compensation must be agreed  ▲",IF(Z128=0,0,IF(P128='G-1 All Habitats'!$X$9,"Any Loss Unacceptable ▲",T128-X128-Y128))))))))))),"Check Data ⚠")</f>
        <v/>
      </c>
      <c r="AB128" s="587"/>
      <c r="AC128" s="105"/>
      <c r="AD128" s="138"/>
      <c r="AE128" s="104"/>
      <c r="AF128" s="611"/>
      <c r="AG128" s="523" t="str">
        <f>IF(OR(P128="",AB128="Yes"),"",IF(P128='G-1 All Habitats'!$X$9,H128-V128-W128,"None"))</f>
        <v/>
      </c>
      <c r="AH128" s="523" t="str">
        <f>IF(P128="","",IF(P128='G-1 All Habitats'!$X$9,AG128*J128*L128*O128,"None"))</f>
        <v/>
      </c>
      <c r="AJ128" s="107" t="str">
        <f t="shared" si="14"/>
        <v/>
      </c>
      <c r="AK128" s="107" t="str">
        <f t="shared" si="17"/>
        <v/>
      </c>
      <c r="AL128" s="107" t="str">
        <f>IF(I128="","",IF(#REF!&gt;0,TRUE,FALSE))</f>
        <v/>
      </c>
      <c r="AM128" s="107">
        <v>118</v>
      </c>
      <c r="AN128" s="107"/>
      <c r="AO128" s="107" t="str">
        <f t="array" ref="AO128">IFERROR(INDEX($AM$11:$AM$259,MATCH(0,IF(TRUE=$AJ$11:$AJ$259,COUNTIF($AO$10:$AO127,$AM$11:$AM$259),""),0)),"")</f>
        <v/>
      </c>
      <c r="AP128" s="107" t="str">
        <f t="array" ref="AP128">IFERROR(INDEX($AM$11:$AM$259,MATCH(0,IF(TRUE=$AK$11:$AK$259,COUNTIF($AP$10:$AP127,$AM$11:$AM$259),""),0)),"")</f>
        <v/>
      </c>
      <c r="AQ128" s="107" t="str">
        <f t="array" ref="AQ128">IFERROR(INDEX($AM$11:$AM$259,MATCH(0,IF(TRUE=$AL$11:$AL$259,COUNTIF($AQ$10:$AQ127,$AM$11:$AM$259),""),0)),"")</f>
        <v/>
      </c>
      <c r="AS128" s="885" t="str">
        <f>IF(AND(OR(AB128="Yes",AB128="Pending"),P128='G-1 All Habitats'!$X$3),T128-X128-Y128,"0")</f>
        <v>0</v>
      </c>
      <c r="AT128" s="30" t="str">
        <f t="shared" si="10"/>
        <v/>
      </c>
      <c r="AU128" s="30">
        <f t="shared" si="15"/>
        <v>0</v>
      </c>
      <c r="AV128" s="230" t="str">
        <f>IFERROR(INDEX('G-1 All Habitats'!$B$3:$B$135,MATCH(F128,'G-1 All Habitats'!$A$3:$A$135,0)),"")</f>
        <v/>
      </c>
      <c r="AW128" s="30" t="str">
        <f>IF(AV128="","",VLOOKUP(AV128,'G-1 All Habitats'!$B$1:$T$135,19,FALSE))</f>
        <v/>
      </c>
      <c r="AY128" s="287" t="str">
        <f t="shared" si="16"/>
        <v/>
      </c>
    </row>
    <row r="129" spans="1:51" ht="14">
      <c r="A129" s="30" t="str">
        <f>IFERROR(INDEX('G-1 All Habitats'!$AG$3:$AG$17,MATCH(E129,'G-1 All Habitats'!$AF$3:$AF$17,0)),"")</f>
        <v/>
      </c>
      <c r="B129" s="30" t="str">
        <f>IFERROR(INDEX('G-8 Condition Look up'!$I$4:$I$135,MATCH(AV129,'G-8 Condition Look up'!$A$4:$A$135,0)),"")</f>
        <v/>
      </c>
      <c r="D129" s="97">
        <v>119</v>
      </c>
      <c r="E129" s="262"/>
      <c r="F129" s="263"/>
      <c r="G129" s="133"/>
      <c r="H129" s="115"/>
      <c r="I129" s="509" t="str">
        <f>IF(AV129="","",IF(AND(AW129="Yes",G129="No"),"Irreplaceable habitat ▲",IF(AND(AW129="No",G129="Yes"),"Cannot be Irreplaceable ▲",VLOOKUP(AV129,'G-1 All Habitats'!$B$2:$M$135,10,FALSE))))</f>
        <v/>
      </c>
      <c r="J129" s="377" t="str">
        <f>IFERROR(VLOOKUP(I129,'G-1 All Habitats'!$V$3:$W$7,2,FALSE),"")</f>
        <v/>
      </c>
      <c r="K129" s="101"/>
      <c r="L129" s="276" t="str">
        <f>IFERROR(INDEX('G-8 Condition Look up'!$A$3:$H$135,MATCH(AV129,'G-8 Condition Look up'!$A$3:$A$135,0),MATCH(K129,'G-8 Condition Look up'!$A$3:$H$3,0)),"")</f>
        <v/>
      </c>
      <c r="M129" s="105"/>
      <c r="N129" s="295" t="str">
        <f>IF(M129="","",IF(VLOOKUP(M129,'G-3 Multipliers'!$L$3:$N$6,2,FALSE)=0,"Spatial Data Missing ⚠",VLOOKUP(M129,'G-3 Multipliers'!$L$3:$N$6,2,FALSE)))</f>
        <v/>
      </c>
      <c r="O129" s="353" t="str">
        <f>IF(M129="","",IF(VLOOKUP(M129,'G-3 Multipliers'!$L$3:$N$6,3,FALSE)=0,"Spatial Data Missing ⚠",VLOOKUP(M129,'G-3 Multipliers'!$L$3:$N$6,3,FALSE)))</f>
        <v/>
      </c>
      <c r="P129" s="336" t="str">
        <f>(IF(G129="Yes","Bespoke compensation likely to be required",(IFERROR(VLOOKUP(AV129,'G-1 All Habitats'!$B$2:$M$135,12,FALSE),""))))</f>
        <v/>
      </c>
      <c r="Q129" s="511" t="str">
        <f>IFERROR(IF(P129="","",IF(AND(E129="Individual trees",W129&gt;0,G129="Yes"),"Error - you cannot enhance irreplaceable individual trees ▲",IF(P129='G-1 All Habitats'!$X$9,T129*S129,IF(AND(P129='G-1 All Habitats'!$X$9,W129&gt;0),X129+(Y129*S129),IF(AND(P129='G-1 All Habitats'!$X$9,V129&gt;0),X129+(Y129*S129),IF(AND(P129='G-1 All Habitats'!$X$9,AG129&gt;0),"Any Loss Unacceptable  ⚠",IF(AND(P129='G-1 All Habitats'!$X$9,Z129&gt;0),"Any Loss Unacceptable ⚠",H129*J129*L129*O129*S129))))))),"Check Data ⚠")</f>
        <v/>
      </c>
      <c r="R129" s="393"/>
      <c r="S129" s="510" t="str">
        <f>IF(R129="","",IF(VLOOKUP(R129,'G-3 Multipliers'!$S$3:$T$10,2,FALSE)=0,"Spatial Data Missing ⚠",VLOOKUP(R129,'G-3 Multipliers'!$S$3:$T$10,2,FALSE)))</f>
        <v/>
      </c>
      <c r="T129" s="289" t="str">
        <f>IFERROR(IF(AND(F129&lt;&gt;"",G129=""),"Confirm irreplaceable habitat status ▲",(IF(AND(R129&lt;&gt;"",AF129=""),"Off-site reference required ▲",(IF(AND(E129="Individual trees",W129&gt;0,G129="Yes"),"Error - you cannot enhance irreplaceable individual trees ▲",(IF(AND(X129="Irreplaceable habitat - no units generated ⚠",(W129+V129)&lt;H129,OR(AB129="No",AB129="")),"Any Loss Unacceptable ⚠",(IF(X129="Irreplaceable habitat - no units generated ⚠",W129*J129*L129*O129,IF(AND(P129='G-1 All Habitats'!$X$9,AH129&gt;0,V129&lt;=0,W129&lt;=0,OR(AB129="No",AB129="")),"Any Loss Unacceptable ⚠",IF(AND(P129='G-1 All Habitats'!$X$9,AH129&gt;0,V129&lt;=0,W129&lt;=0),0,(IF(AND(P129='G-1 All Habitats'!$X$9,(W129+V129)&lt;H129,OR(AB129="No",AB129="")),"Any Loss Unacceptable ⚠",(IF(P129="","",IF(AND(P129='G-1 All Habitats'!$X$9,W129&gt;0),X129+Y129,IF(AND(P129='G-1 All Habitats'!$X$9,V129&gt;0),X129+Y129,IF(R129="","",H129*J129*L129*O129)))))))))))))))))),"Check Data ▲")</f>
        <v/>
      </c>
      <c r="U129" s="38"/>
      <c r="V129" s="52"/>
      <c r="W129" s="53"/>
      <c r="X129" s="287" t="str">
        <f t="shared" si="11"/>
        <v/>
      </c>
      <c r="Y129" s="287" t="str">
        <f t="shared" si="12"/>
        <v/>
      </c>
      <c r="Z129" s="287" t="str">
        <f t="shared" si="13"/>
        <v/>
      </c>
      <c r="AA129" s="317" t="str">
        <f>IFERROR(IF(AND(E129="Individual trees",G129="Yes",W129&gt;0),"Error - you cannot enhance an irreplaceable tree ▲",(IF(H129="","",IF(H129-V129-W129=0&lt;0,"Error in Areas ▲",IF(V129+W129&gt;H129,"Error in Areas ▲",IF(AND(P129='G-1 All Habitats'!$X$9,AB129="Yes"),"Alternative Compensation ✓",IF(AND(P129='G-1 All Habitats'!$X$3,AB129="Yes"),"Alternative Compensation ✓",IF(AND(AB129="Pending",P129='G-1 All Habitats'!$X$3),"Bespoke compensation must be agreed ▲",IF(AND(AB129="Pending",P129='G-1 All Habitats'!$X$9),"Bespoke compensation must be agreed  ▲",IF(Z129=0,0,IF(P129='G-1 All Habitats'!$X$9,"Any Loss Unacceptable ▲",T129-X129-Y129))))))))))),"Check Data ⚠")</f>
        <v/>
      </c>
      <c r="AB129" s="587"/>
      <c r="AC129" s="105"/>
      <c r="AD129" s="138"/>
      <c r="AE129" s="104"/>
      <c r="AF129" s="611"/>
      <c r="AG129" s="523" t="str">
        <f>IF(OR(P129="",AB129="Yes"),"",IF(P129='G-1 All Habitats'!$X$9,H129-V129-W129,"None"))</f>
        <v/>
      </c>
      <c r="AH129" s="523" t="str">
        <f>IF(P129="","",IF(P129='G-1 All Habitats'!$X$9,AG129*J129*L129*O129,"None"))</f>
        <v/>
      </c>
      <c r="AJ129" s="107" t="str">
        <f t="shared" si="14"/>
        <v/>
      </c>
      <c r="AK129" s="107" t="str">
        <f t="shared" si="17"/>
        <v/>
      </c>
      <c r="AL129" s="107" t="str">
        <f>IF(I129="","",IF(#REF!&gt;0,TRUE,FALSE))</f>
        <v/>
      </c>
      <c r="AM129" s="107">
        <v>119</v>
      </c>
      <c r="AN129" s="107"/>
      <c r="AO129" s="107" t="str">
        <f t="array" ref="AO129">IFERROR(INDEX($AM$11:$AM$259,MATCH(0,IF(TRUE=$AJ$11:$AJ$259,COUNTIF($AO$10:$AO128,$AM$11:$AM$259),""),0)),"")</f>
        <v/>
      </c>
      <c r="AP129" s="107" t="str">
        <f t="array" ref="AP129">IFERROR(INDEX($AM$11:$AM$259,MATCH(0,IF(TRUE=$AK$11:$AK$259,COUNTIF($AP$10:$AP128,$AM$11:$AM$259),""),0)),"")</f>
        <v/>
      </c>
      <c r="AQ129" s="107" t="str">
        <f t="array" ref="AQ129">IFERROR(INDEX($AM$11:$AM$259,MATCH(0,IF(TRUE=$AL$11:$AL$259,COUNTIF($AQ$10:$AQ128,$AM$11:$AM$259),""),0)),"")</f>
        <v/>
      </c>
      <c r="AS129" s="885" t="str">
        <f>IF(AND(OR(AB129="Yes",AB129="Pending"),P129='G-1 All Habitats'!$X$3),T129-X129-Y129,"0")</f>
        <v>0</v>
      </c>
      <c r="AT129" s="30" t="str">
        <f t="shared" si="10"/>
        <v/>
      </c>
      <c r="AU129" s="30">
        <f t="shared" si="15"/>
        <v>0</v>
      </c>
      <c r="AV129" s="230" t="str">
        <f>IFERROR(INDEX('G-1 All Habitats'!$B$3:$B$135,MATCH(F129,'G-1 All Habitats'!$A$3:$A$135,0)),"")</f>
        <v/>
      </c>
      <c r="AW129" s="30" t="str">
        <f>IF(AV129="","",VLOOKUP(AV129,'G-1 All Habitats'!$B$1:$T$135,19,FALSE))</f>
        <v/>
      </c>
      <c r="AY129" s="287" t="str">
        <f t="shared" si="16"/>
        <v/>
      </c>
    </row>
    <row r="130" spans="1:51" ht="14">
      <c r="A130" s="30" t="str">
        <f>IFERROR(INDEX('G-1 All Habitats'!$AG$3:$AG$17,MATCH(E130,'G-1 All Habitats'!$AF$3:$AF$17,0)),"")</f>
        <v/>
      </c>
      <c r="B130" s="30" t="str">
        <f>IFERROR(INDEX('G-8 Condition Look up'!$I$4:$I$135,MATCH(AV130,'G-8 Condition Look up'!$A$4:$A$135,0)),"")</f>
        <v/>
      </c>
      <c r="D130" s="97">
        <v>120</v>
      </c>
      <c r="E130" s="262"/>
      <c r="F130" s="263"/>
      <c r="G130" s="133"/>
      <c r="H130" s="115"/>
      <c r="I130" s="509" t="str">
        <f>IF(AV130="","",IF(AND(AW130="Yes",G130="No"),"Irreplaceable habitat ▲",IF(AND(AW130="No",G130="Yes"),"Cannot be Irreplaceable ▲",VLOOKUP(AV130,'G-1 All Habitats'!$B$2:$M$135,10,FALSE))))</f>
        <v/>
      </c>
      <c r="J130" s="377" t="str">
        <f>IFERROR(VLOOKUP(I130,'G-1 All Habitats'!$V$3:$W$7,2,FALSE),"")</f>
        <v/>
      </c>
      <c r="K130" s="101"/>
      <c r="L130" s="276" t="str">
        <f>IFERROR(INDEX('G-8 Condition Look up'!$A$3:$H$135,MATCH(AV130,'G-8 Condition Look up'!$A$3:$A$135,0),MATCH(K130,'G-8 Condition Look up'!$A$3:$H$3,0)),"")</f>
        <v/>
      </c>
      <c r="M130" s="105"/>
      <c r="N130" s="295" t="str">
        <f>IF(M130="","",IF(VLOOKUP(M130,'G-3 Multipliers'!$L$3:$N$6,2,FALSE)=0,"Spatial Data Missing ⚠",VLOOKUP(M130,'G-3 Multipliers'!$L$3:$N$6,2,FALSE)))</f>
        <v/>
      </c>
      <c r="O130" s="353" t="str">
        <f>IF(M130="","",IF(VLOOKUP(M130,'G-3 Multipliers'!$L$3:$N$6,3,FALSE)=0,"Spatial Data Missing ⚠",VLOOKUP(M130,'G-3 Multipliers'!$L$3:$N$6,3,FALSE)))</f>
        <v/>
      </c>
      <c r="P130" s="336" t="str">
        <f>(IF(G130="Yes","Bespoke compensation likely to be required",(IFERROR(VLOOKUP(AV130,'G-1 All Habitats'!$B$2:$M$135,12,FALSE),""))))</f>
        <v/>
      </c>
      <c r="Q130" s="511" t="str">
        <f>IFERROR(IF(P130="","",IF(AND(E130="Individual trees",W130&gt;0,G130="Yes"),"Error - you cannot enhance irreplaceable individual trees ▲",IF(P130='G-1 All Habitats'!$X$9,T130*S130,IF(AND(P130='G-1 All Habitats'!$X$9,W130&gt;0),X130+(Y130*S130),IF(AND(P130='G-1 All Habitats'!$X$9,V130&gt;0),X130+(Y130*S130),IF(AND(P130='G-1 All Habitats'!$X$9,AG130&gt;0),"Any Loss Unacceptable  ⚠",IF(AND(P130='G-1 All Habitats'!$X$9,Z130&gt;0),"Any Loss Unacceptable ⚠",H130*J130*L130*O130*S130))))))),"Check Data ⚠")</f>
        <v/>
      </c>
      <c r="R130" s="393"/>
      <c r="S130" s="510" t="str">
        <f>IF(R130="","",IF(VLOOKUP(R130,'G-3 Multipliers'!$S$3:$T$10,2,FALSE)=0,"Spatial Data Missing ⚠",VLOOKUP(R130,'G-3 Multipliers'!$S$3:$T$10,2,FALSE)))</f>
        <v/>
      </c>
      <c r="T130" s="289" t="str">
        <f>IFERROR(IF(AND(F130&lt;&gt;"",G130=""),"Confirm irreplaceable habitat status ▲",(IF(AND(R130&lt;&gt;"",AF130=""),"Off-site reference required ▲",(IF(AND(E130="Individual trees",W130&gt;0,G130="Yes"),"Error - you cannot enhance irreplaceable individual trees ▲",(IF(AND(X130="Irreplaceable habitat - no units generated ⚠",(W130+V130)&lt;H130,OR(AB130="No",AB130="")),"Any Loss Unacceptable ⚠",(IF(X130="Irreplaceable habitat - no units generated ⚠",W130*J130*L130*O130,IF(AND(P130='G-1 All Habitats'!$X$9,AH130&gt;0,V130&lt;=0,W130&lt;=0,OR(AB130="No",AB130="")),"Any Loss Unacceptable ⚠",IF(AND(P130='G-1 All Habitats'!$X$9,AH130&gt;0,V130&lt;=0,W130&lt;=0),0,(IF(AND(P130='G-1 All Habitats'!$X$9,(W130+V130)&lt;H130,OR(AB130="No",AB130="")),"Any Loss Unacceptable ⚠",(IF(P130="","",IF(AND(P130='G-1 All Habitats'!$X$9,W130&gt;0),X130+Y130,IF(AND(P130='G-1 All Habitats'!$X$9,V130&gt;0),X130+Y130,IF(R130="","",H130*J130*L130*O130)))))))))))))))))),"Check Data ▲")</f>
        <v/>
      </c>
      <c r="U130" s="38"/>
      <c r="V130" s="52"/>
      <c r="W130" s="53"/>
      <c r="X130" s="287" t="str">
        <f t="shared" si="11"/>
        <v/>
      </c>
      <c r="Y130" s="287" t="str">
        <f t="shared" si="12"/>
        <v/>
      </c>
      <c r="Z130" s="287" t="str">
        <f t="shared" si="13"/>
        <v/>
      </c>
      <c r="AA130" s="317" t="str">
        <f>IFERROR(IF(AND(E130="Individual trees",G130="Yes",W130&gt;0),"Error - you cannot enhance an irreplaceable tree ▲",(IF(H130="","",IF(H130-V130-W130=0&lt;0,"Error in Areas ▲",IF(V130+W130&gt;H130,"Error in Areas ▲",IF(AND(P130='G-1 All Habitats'!$X$9,AB130="Yes"),"Alternative Compensation ✓",IF(AND(P130='G-1 All Habitats'!$X$3,AB130="Yes"),"Alternative Compensation ✓",IF(AND(AB130="Pending",P130='G-1 All Habitats'!$X$3),"Bespoke compensation must be agreed ▲",IF(AND(AB130="Pending",P130='G-1 All Habitats'!$X$9),"Bespoke compensation must be agreed  ▲",IF(Z130=0,0,IF(P130='G-1 All Habitats'!$X$9,"Any Loss Unacceptable ▲",T130-X130-Y130))))))))))),"Check Data ⚠")</f>
        <v/>
      </c>
      <c r="AB130" s="587"/>
      <c r="AC130" s="105"/>
      <c r="AD130" s="138"/>
      <c r="AE130" s="104"/>
      <c r="AF130" s="611"/>
      <c r="AG130" s="523" t="str">
        <f>IF(OR(P130="",AB130="Yes"),"",IF(P130='G-1 All Habitats'!$X$9,H130-V130-W130,"None"))</f>
        <v/>
      </c>
      <c r="AH130" s="523" t="str">
        <f>IF(P130="","",IF(P130='G-1 All Habitats'!$X$9,AG130*J130*L130*O130,"None"))</f>
        <v/>
      </c>
      <c r="AJ130" s="107" t="str">
        <f t="shared" si="14"/>
        <v/>
      </c>
      <c r="AK130" s="107" t="str">
        <f t="shared" si="17"/>
        <v/>
      </c>
      <c r="AL130" s="107" t="str">
        <f>IF(I130="","",IF(#REF!&gt;0,TRUE,FALSE))</f>
        <v/>
      </c>
      <c r="AM130" s="107">
        <v>120</v>
      </c>
      <c r="AN130" s="107"/>
      <c r="AO130" s="107" t="str">
        <f t="array" ref="AO130">IFERROR(INDEX($AM$11:$AM$259,MATCH(0,IF(TRUE=$AJ$11:$AJ$259,COUNTIF($AO$10:$AO129,$AM$11:$AM$259),""),0)),"")</f>
        <v/>
      </c>
      <c r="AP130" s="107" t="str">
        <f t="array" ref="AP130">IFERROR(INDEX($AM$11:$AM$259,MATCH(0,IF(TRUE=$AK$11:$AK$259,COUNTIF($AP$10:$AP129,$AM$11:$AM$259),""),0)),"")</f>
        <v/>
      </c>
      <c r="AQ130" s="107" t="str">
        <f t="array" ref="AQ130">IFERROR(INDEX($AM$11:$AM$259,MATCH(0,IF(TRUE=$AL$11:$AL$259,COUNTIF($AQ$10:$AQ129,$AM$11:$AM$259),""),0)),"")</f>
        <v/>
      </c>
      <c r="AS130" s="885" t="str">
        <f>IF(AND(OR(AB130="Yes",AB130="Pending"),P130='G-1 All Habitats'!$X$3),T130-X130-Y130,"0")</f>
        <v>0</v>
      </c>
      <c r="AT130" s="30" t="str">
        <f t="shared" si="10"/>
        <v/>
      </c>
      <c r="AU130" s="30">
        <f t="shared" si="15"/>
        <v>0</v>
      </c>
      <c r="AV130" s="230" t="str">
        <f>IFERROR(INDEX('G-1 All Habitats'!$B$3:$B$135,MATCH(F130,'G-1 All Habitats'!$A$3:$A$135,0)),"")</f>
        <v/>
      </c>
      <c r="AW130" s="30" t="str">
        <f>IF(AV130="","",VLOOKUP(AV130,'G-1 All Habitats'!$B$1:$T$135,19,FALSE))</f>
        <v/>
      </c>
      <c r="AY130" s="287" t="str">
        <f t="shared" si="16"/>
        <v/>
      </c>
    </row>
    <row r="131" spans="1:51" ht="14">
      <c r="A131" s="30" t="str">
        <f>IFERROR(INDEX('G-1 All Habitats'!$AG$3:$AG$17,MATCH(E131,'G-1 All Habitats'!$AF$3:$AF$17,0)),"")</f>
        <v/>
      </c>
      <c r="B131" s="30" t="str">
        <f>IFERROR(INDEX('G-8 Condition Look up'!$I$4:$I$135,MATCH(AV131,'G-8 Condition Look up'!$A$4:$A$135,0)),"")</f>
        <v/>
      </c>
      <c r="D131" s="97">
        <v>121</v>
      </c>
      <c r="E131" s="262"/>
      <c r="F131" s="263"/>
      <c r="G131" s="133"/>
      <c r="H131" s="115"/>
      <c r="I131" s="509" t="str">
        <f>IF(AV131="","",IF(AND(AW131="Yes",G131="No"),"Irreplaceable habitat ▲",IF(AND(AW131="No",G131="Yes"),"Cannot be Irreplaceable ▲",VLOOKUP(AV131,'G-1 All Habitats'!$B$2:$M$135,10,FALSE))))</f>
        <v/>
      </c>
      <c r="J131" s="377" t="str">
        <f>IFERROR(VLOOKUP(I131,'G-1 All Habitats'!$V$3:$W$7,2,FALSE),"")</f>
        <v/>
      </c>
      <c r="K131" s="101"/>
      <c r="L131" s="276" t="str">
        <f>IFERROR(INDEX('G-8 Condition Look up'!$A$3:$H$135,MATCH(AV131,'G-8 Condition Look up'!$A$3:$A$135,0),MATCH(K131,'G-8 Condition Look up'!$A$3:$H$3,0)),"")</f>
        <v/>
      </c>
      <c r="M131" s="105"/>
      <c r="N131" s="295" t="str">
        <f>IF(M131="","",IF(VLOOKUP(M131,'G-3 Multipliers'!$L$3:$N$6,2,FALSE)=0,"Spatial Data Missing ⚠",VLOOKUP(M131,'G-3 Multipliers'!$L$3:$N$6,2,FALSE)))</f>
        <v/>
      </c>
      <c r="O131" s="353" t="str">
        <f>IF(M131="","",IF(VLOOKUP(M131,'G-3 Multipliers'!$L$3:$N$6,3,FALSE)=0,"Spatial Data Missing ⚠",VLOOKUP(M131,'G-3 Multipliers'!$L$3:$N$6,3,FALSE)))</f>
        <v/>
      </c>
      <c r="P131" s="336" t="str">
        <f>(IF(G131="Yes","Bespoke compensation likely to be required",(IFERROR(VLOOKUP(AV131,'G-1 All Habitats'!$B$2:$M$135,12,FALSE),""))))</f>
        <v/>
      </c>
      <c r="Q131" s="511" t="str">
        <f>IFERROR(IF(P131="","",IF(AND(E131="Individual trees",W131&gt;0,G131="Yes"),"Error - you cannot enhance irreplaceable individual trees ▲",IF(P131='G-1 All Habitats'!$X$9,T131*S131,IF(AND(P131='G-1 All Habitats'!$X$9,W131&gt;0),X131+(Y131*S131),IF(AND(P131='G-1 All Habitats'!$X$9,V131&gt;0),X131+(Y131*S131),IF(AND(P131='G-1 All Habitats'!$X$9,AG131&gt;0),"Any Loss Unacceptable  ⚠",IF(AND(P131='G-1 All Habitats'!$X$9,Z131&gt;0),"Any Loss Unacceptable ⚠",H131*J131*L131*O131*S131))))))),"Check Data ⚠")</f>
        <v/>
      </c>
      <c r="R131" s="393"/>
      <c r="S131" s="510" t="str">
        <f>IF(R131="","",IF(VLOOKUP(R131,'G-3 Multipliers'!$S$3:$T$10,2,FALSE)=0,"Spatial Data Missing ⚠",VLOOKUP(R131,'G-3 Multipliers'!$S$3:$T$10,2,FALSE)))</f>
        <v/>
      </c>
      <c r="T131" s="289" t="str">
        <f>IFERROR(IF(AND(F131&lt;&gt;"",G131=""),"Confirm irreplaceable habitat status ▲",(IF(AND(R131&lt;&gt;"",AF131=""),"Off-site reference required ▲",(IF(AND(E131="Individual trees",W131&gt;0,G131="Yes"),"Error - you cannot enhance irreplaceable individual trees ▲",(IF(AND(X131="Irreplaceable habitat - no units generated ⚠",(W131+V131)&lt;H131,OR(AB131="No",AB131="")),"Any Loss Unacceptable ⚠",(IF(X131="Irreplaceable habitat - no units generated ⚠",W131*J131*L131*O131,IF(AND(P131='G-1 All Habitats'!$X$9,AH131&gt;0,V131&lt;=0,W131&lt;=0,OR(AB131="No",AB131="")),"Any Loss Unacceptable ⚠",IF(AND(P131='G-1 All Habitats'!$X$9,AH131&gt;0,V131&lt;=0,W131&lt;=0),0,(IF(AND(P131='G-1 All Habitats'!$X$9,(W131+V131)&lt;H131,OR(AB131="No",AB131="")),"Any Loss Unacceptable ⚠",(IF(P131="","",IF(AND(P131='G-1 All Habitats'!$X$9,W131&gt;0),X131+Y131,IF(AND(P131='G-1 All Habitats'!$X$9,V131&gt;0),X131+Y131,IF(R131="","",H131*J131*L131*O131)))))))))))))))))),"Check Data ▲")</f>
        <v/>
      </c>
      <c r="U131" s="38"/>
      <c r="V131" s="52"/>
      <c r="W131" s="53"/>
      <c r="X131" s="287" t="str">
        <f t="shared" si="11"/>
        <v/>
      </c>
      <c r="Y131" s="287" t="str">
        <f t="shared" si="12"/>
        <v/>
      </c>
      <c r="Z131" s="287" t="str">
        <f t="shared" si="13"/>
        <v/>
      </c>
      <c r="AA131" s="317" t="str">
        <f>IFERROR(IF(AND(E131="Individual trees",G131="Yes",W131&gt;0),"Error - you cannot enhance an irreplaceable tree ▲",(IF(H131="","",IF(H131-V131-W131=0&lt;0,"Error in Areas ▲",IF(V131+W131&gt;H131,"Error in Areas ▲",IF(AND(P131='G-1 All Habitats'!$X$9,AB131="Yes"),"Alternative Compensation ✓",IF(AND(P131='G-1 All Habitats'!$X$3,AB131="Yes"),"Alternative Compensation ✓",IF(AND(AB131="Pending",P131='G-1 All Habitats'!$X$3),"Bespoke compensation must be agreed ▲",IF(AND(AB131="Pending",P131='G-1 All Habitats'!$X$9),"Bespoke compensation must be agreed  ▲",IF(Z131=0,0,IF(P131='G-1 All Habitats'!$X$9,"Any Loss Unacceptable ▲",T131-X131-Y131))))))))))),"Check Data ⚠")</f>
        <v/>
      </c>
      <c r="AB131" s="587"/>
      <c r="AC131" s="105"/>
      <c r="AD131" s="138"/>
      <c r="AE131" s="104"/>
      <c r="AF131" s="611"/>
      <c r="AG131" s="523" t="str">
        <f>IF(OR(P131="",AB131="Yes"),"",IF(P131='G-1 All Habitats'!$X$9,H131-V131-W131,"None"))</f>
        <v/>
      </c>
      <c r="AH131" s="523" t="str">
        <f>IF(P131="","",IF(P131='G-1 All Habitats'!$X$9,AG131*J131*L131*O131,"None"))</f>
        <v/>
      </c>
      <c r="AJ131" s="107" t="str">
        <f t="shared" si="14"/>
        <v/>
      </c>
      <c r="AK131" s="107" t="str">
        <f t="shared" si="17"/>
        <v/>
      </c>
      <c r="AL131" s="107" t="str">
        <f>IF(I131="","",IF(#REF!&gt;0,TRUE,FALSE))</f>
        <v/>
      </c>
      <c r="AM131" s="107">
        <v>121</v>
      </c>
      <c r="AN131" s="107"/>
      <c r="AO131" s="107" t="str">
        <f t="array" ref="AO131">IFERROR(INDEX($AM$11:$AM$259,MATCH(0,IF(TRUE=$AJ$11:$AJ$259,COUNTIF($AO$10:$AO130,$AM$11:$AM$259),""),0)),"")</f>
        <v/>
      </c>
      <c r="AP131" s="107" t="str">
        <f t="array" ref="AP131">IFERROR(INDEX($AM$11:$AM$259,MATCH(0,IF(TRUE=$AK$11:$AK$259,COUNTIF($AP$10:$AP130,$AM$11:$AM$259),""),0)),"")</f>
        <v/>
      </c>
      <c r="AQ131" s="107" t="str">
        <f t="array" ref="AQ131">IFERROR(INDEX($AM$11:$AM$259,MATCH(0,IF(TRUE=$AL$11:$AL$259,COUNTIF($AQ$10:$AQ130,$AM$11:$AM$259),""),0)),"")</f>
        <v/>
      </c>
      <c r="AS131" s="885" t="str">
        <f>IF(AND(OR(AB131="Yes",AB131="Pending"),P131='G-1 All Habitats'!$X$3),T131-X131-Y131,"0")</f>
        <v>0</v>
      </c>
      <c r="AT131" s="30" t="str">
        <f t="shared" si="10"/>
        <v/>
      </c>
      <c r="AU131" s="30">
        <f t="shared" si="15"/>
        <v>0</v>
      </c>
      <c r="AV131" s="230" t="str">
        <f>IFERROR(INDEX('G-1 All Habitats'!$B$3:$B$135,MATCH(F131,'G-1 All Habitats'!$A$3:$A$135,0)),"")</f>
        <v/>
      </c>
      <c r="AW131" s="30" t="str">
        <f>IF(AV131="","",VLOOKUP(AV131,'G-1 All Habitats'!$B$1:$T$135,19,FALSE))</f>
        <v/>
      </c>
      <c r="AY131" s="287" t="str">
        <f t="shared" si="16"/>
        <v/>
      </c>
    </row>
    <row r="132" spans="1:51" ht="14">
      <c r="A132" s="30" t="str">
        <f>IFERROR(INDEX('G-1 All Habitats'!$AG$3:$AG$17,MATCH(E132,'G-1 All Habitats'!$AF$3:$AF$17,0)),"")</f>
        <v/>
      </c>
      <c r="B132" s="30" t="str">
        <f>IFERROR(INDEX('G-8 Condition Look up'!$I$4:$I$135,MATCH(AV132,'G-8 Condition Look up'!$A$4:$A$135,0)),"")</f>
        <v/>
      </c>
      <c r="D132" s="97">
        <v>122</v>
      </c>
      <c r="E132" s="262"/>
      <c r="F132" s="263"/>
      <c r="G132" s="133"/>
      <c r="H132" s="115"/>
      <c r="I132" s="509" t="str">
        <f>IF(AV132="","",IF(AND(AW132="Yes",G132="No"),"Irreplaceable habitat ▲",IF(AND(AW132="No",G132="Yes"),"Cannot be Irreplaceable ▲",VLOOKUP(AV132,'G-1 All Habitats'!$B$2:$M$135,10,FALSE))))</f>
        <v/>
      </c>
      <c r="J132" s="377" t="str">
        <f>IFERROR(VLOOKUP(I132,'G-1 All Habitats'!$V$3:$W$7,2,FALSE),"")</f>
        <v/>
      </c>
      <c r="K132" s="101"/>
      <c r="L132" s="276" t="str">
        <f>IFERROR(INDEX('G-8 Condition Look up'!$A$3:$H$135,MATCH(AV132,'G-8 Condition Look up'!$A$3:$A$135,0),MATCH(K132,'G-8 Condition Look up'!$A$3:$H$3,0)),"")</f>
        <v/>
      </c>
      <c r="M132" s="105"/>
      <c r="N132" s="295" t="str">
        <f>IF(M132="","",IF(VLOOKUP(M132,'G-3 Multipliers'!$L$3:$N$6,2,FALSE)=0,"Spatial Data Missing ⚠",VLOOKUP(M132,'G-3 Multipliers'!$L$3:$N$6,2,FALSE)))</f>
        <v/>
      </c>
      <c r="O132" s="353" t="str">
        <f>IF(M132="","",IF(VLOOKUP(M132,'G-3 Multipliers'!$L$3:$N$6,3,FALSE)=0,"Spatial Data Missing ⚠",VLOOKUP(M132,'G-3 Multipliers'!$L$3:$N$6,3,FALSE)))</f>
        <v/>
      </c>
      <c r="P132" s="336" t="str">
        <f>(IF(G132="Yes","Bespoke compensation likely to be required",(IFERROR(VLOOKUP(AV132,'G-1 All Habitats'!$B$2:$M$135,12,FALSE),""))))</f>
        <v/>
      </c>
      <c r="Q132" s="511" t="str">
        <f>IFERROR(IF(P132="","",IF(AND(E132="Individual trees",W132&gt;0,G132="Yes"),"Error - you cannot enhance irreplaceable individual trees ▲",IF(P132='G-1 All Habitats'!$X$9,T132*S132,IF(AND(P132='G-1 All Habitats'!$X$9,W132&gt;0),X132+(Y132*S132),IF(AND(P132='G-1 All Habitats'!$X$9,V132&gt;0),X132+(Y132*S132),IF(AND(P132='G-1 All Habitats'!$X$9,AG132&gt;0),"Any Loss Unacceptable  ⚠",IF(AND(P132='G-1 All Habitats'!$X$9,Z132&gt;0),"Any Loss Unacceptable ⚠",H132*J132*L132*O132*S132))))))),"Check Data ⚠")</f>
        <v/>
      </c>
      <c r="R132" s="393"/>
      <c r="S132" s="510" t="str">
        <f>IF(R132="","",IF(VLOOKUP(R132,'G-3 Multipliers'!$S$3:$T$10,2,FALSE)=0,"Spatial Data Missing ⚠",VLOOKUP(R132,'G-3 Multipliers'!$S$3:$T$10,2,FALSE)))</f>
        <v/>
      </c>
      <c r="T132" s="289" t="str">
        <f>IFERROR(IF(AND(F132&lt;&gt;"",G132=""),"Confirm irreplaceable habitat status ▲",(IF(AND(R132&lt;&gt;"",AF132=""),"Off-site reference required ▲",(IF(AND(E132="Individual trees",W132&gt;0,G132="Yes"),"Error - you cannot enhance irreplaceable individual trees ▲",(IF(AND(X132="Irreplaceable habitat - no units generated ⚠",(W132+V132)&lt;H132,OR(AB132="No",AB132="")),"Any Loss Unacceptable ⚠",(IF(X132="Irreplaceable habitat - no units generated ⚠",W132*J132*L132*O132,IF(AND(P132='G-1 All Habitats'!$X$9,AH132&gt;0,V132&lt;=0,W132&lt;=0,OR(AB132="No",AB132="")),"Any Loss Unacceptable ⚠",IF(AND(P132='G-1 All Habitats'!$X$9,AH132&gt;0,V132&lt;=0,W132&lt;=0),0,(IF(AND(P132='G-1 All Habitats'!$X$9,(W132+V132)&lt;H132,OR(AB132="No",AB132="")),"Any Loss Unacceptable ⚠",(IF(P132="","",IF(AND(P132='G-1 All Habitats'!$X$9,W132&gt;0),X132+Y132,IF(AND(P132='G-1 All Habitats'!$X$9,V132&gt;0),X132+Y132,IF(R132="","",H132*J132*L132*O132)))))))))))))))))),"Check Data ▲")</f>
        <v/>
      </c>
      <c r="U132" s="38"/>
      <c r="V132" s="52"/>
      <c r="W132" s="53"/>
      <c r="X132" s="287" t="str">
        <f t="shared" si="11"/>
        <v/>
      </c>
      <c r="Y132" s="287" t="str">
        <f t="shared" si="12"/>
        <v/>
      </c>
      <c r="Z132" s="287" t="str">
        <f t="shared" si="13"/>
        <v/>
      </c>
      <c r="AA132" s="317" t="str">
        <f>IFERROR(IF(AND(E132="Individual trees",G132="Yes",W132&gt;0),"Error - you cannot enhance an irreplaceable tree ▲",(IF(H132="","",IF(H132-V132-W132=0&lt;0,"Error in Areas ▲",IF(V132+W132&gt;H132,"Error in Areas ▲",IF(AND(P132='G-1 All Habitats'!$X$9,AB132="Yes"),"Alternative Compensation ✓",IF(AND(P132='G-1 All Habitats'!$X$3,AB132="Yes"),"Alternative Compensation ✓",IF(AND(AB132="Pending",P132='G-1 All Habitats'!$X$3),"Bespoke compensation must be agreed ▲",IF(AND(AB132="Pending",P132='G-1 All Habitats'!$X$9),"Bespoke compensation must be agreed  ▲",IF(Z132=0,0,IF(P132='G-1 All Habitats'!$X$9,"Any Loss Unacceptable ▲",T132-X132-Y132))))))))))),"Check Data ⚠")</f>
        <v/>
      </c>
      <c r="AB132" s="587"/>
      <c r="AC132" s="105"/>
      <c r="AD132" s="138"/>
      <c r="AE132" s="104"/>
      <c r="AF132" s="611"/>
      <c r="AG132" s="523" t="str">
        <f>IF(OR(P132="",AB132="Yes"),"",IF(P132='G-1 All Habitats'!$X$9,H132-V132-W132,"None"))</f>
        <v/>
      </c>
      <c r="AH132" s="523" t="str">
        <f>IF(P132="","",IF(P132='G-1 All Habitats'!$X$9,AG132*J132*L132*O132,"None"))</f>
        <v/>
      </c>
      <c r="AJ132" s="107" t="str">
        <f t="shared" si="14"/>
        <v/>
      </c>
      <c r="AK132" s="107" t="str">
        <f t="shared" si="17"/>
        <v/>
      </c>
      <c r="AL132" s="107" t="str">
        <f>IF(I132="","",IF(#REF!&gt;0,TRUE,FALSE))</f>
        <v/>
      </c>
      <c r="AM132" s="107">
        <v>122</v>
      </c>
      <c r="AN132" s="107"/>
      <c r="AO132" s="107" t="str">
        <f t="array" ref="AO132">IFERROR(INDEX($AM$11:$AM$259,MATCH(0,IF(TRUE=$AJ$11:$AJ$259,COUNTIF($AO$10:$AO131,$AM$11:$AM$259),""),0)),"")</f>
        <v/>
      </c>
      <c r="AP132" s="107" t="str">
        <f t="array" ref="AP132">IFERROR(INDEX($AM$11:$AM$259,MATCH(0,IF(TRUE=$AK$11:$AK$259,COUNTIF($AP$10:$AP131,$AM$11:$AM$259),""),0)),"")</f>
        <v/>
      </c>
      <c r="AQ132" s="107" t="str">
        <f t="array" ref="AQ132">IFERROR(INDEX($AM$11:$AM$259,MATCH(0,IF(TRUE=$AL$11:$AL$259,COUNTIF($AQ$10:$AQ131,$AM$11:$AM$259),""),0)),"")</f>
        <v/>
      </c>
      <c r="AS132" s="885" t="str">
        <f>IF(AND(OR(AB132="Yes",AB132="Pending"),P132='G-1 All Habitats'!$X$3),T132-X132-Y132,"0")</f>
        <v>0</v>
      </c>
      <c r="AT132" s="30" t="str">
        <f t="shared" si="10"/>
        <v/>
      </c>
      <c r="AU132" s="30">
        <f t="shared" si="15"/>
        <v>0</v>
      </c>
      <c r="AV132" s="230" t="str">
        <f>IFERROR(INDEX('G-1 All Habitats'!$B$3:$B$135,MATCH(F132,'G-1 All Habitats'!$A$3:$A$135,0)),"")</f>
        <v/>
      </c>
      <c r="AW132" s="30" t="str">
        <f>IF(AV132="","",VLOOKUP(AV132,'G-1 All Habitats'!$B$1:$T$135,19,FALSE))</f>
        <v/>
      </c>
      <c r="AY132" s="287" t="str">
        <f t="shared" si="16"/>
        <v/>
      </c>
    </row>
    <row r="133" spans="1:51" ht="14">
      <c r="A133" s="30" t="str">
        <f>IFERROR(INDEX('G-1 All Habitats'!$AG$3:$AG$17,MATCH(E133,'G-1 All Habitats'!$AF$3:$AF$17,0)),"")</f>
        <v/>
      </c>
      <c r="B133" s="30" t="str">
        <f>IFERROR(INDEX('G-8 Condition Look up'!$I$4:$I$135,MATCH(AV133,'G-8 Condition Look up'!$A$4:$A$135,0)),"")</f>
        <v/>
      </c>
      <c r="D133" s="97">
        <v>123</v>
      </c>
      <c r="E133" s="262"/>
      <c r="F133" s="263"/>
      <c r="G133" s="133"/>
      <c r="H133" s="115"/>
      <c r="I133" s="509" t="str">
        <f>IF(AV133="","",IF(AND(AW133="Yes",G133="No"),"Irreplaceable habitat ▲",IF(AND(AW133="No",G133="Yes"),"Cannot be Irreplaceable ▲",VLOOKUP(AV133,'G-1 All Habitats'!$B$2:$M$135,10,FALSE))))</f>
        <v/>
      </c>
      <c r="J133" s="377" t="str">
        <f>IFERROR(VLOOKUP(I133,'G-1 All Habitats'!$V$3:$W$7,2,FALSE),"")</f>
        <v/>
      </c>
      <c r="K133" s="101"/>
      <c r="L133" s="276" t="str">
        <f>IFERROR(INDEX('G-8 Condition Look up'!$A$3:$H$135,MATCH(AV133,'G-8 Condition Look up'!$A$3:$A$135,0),MATCH(K133,'G-8 Condition Look up'!$A$3:$H$3,0)),"")</f>
        <v/>
      </c>
      <c r="M133" s="105"/>
      <c r="N133" s="295" t="str">
        <f>IF(M133="","",IF(VLOOKUP(M133,'G-3 Multipliers'!$L$3:$N$6,2,FALSE)=0,"Spatial Data Missing ⚠",VLOOKUP(M133,'G-3 Multipliers'!$L$3:$N$6,2,FALSE)))</f>
        <v/>
      </c>
      <c r="O133" s="353" t="str">
        <f>IF(M133="","",IF(VLOOKUP(M133,'G-3 Multipliers'!$L$3:$N$6,3,FALSE)=0,"Spatial Data Missing ⚠",VLOOKUP(M133,'G-3 Multipliers'!$L$3:$N$6,3,FALSE)))</f>
        <v/>
      </c>
      <c r="P133" s="336" t="str">
        <f>(IF(G133="Yes","Bespoke compensation likely to be required",(IFERROR(VLOOKUP(AV133,'G-1 All Habitats'!$B$2:$M$135,12,FALSE),""))))</f>
        <v/>
      </c>
      <c r="Q133" s="511" t="str">
        <f>IFERROR(IF(P133="","",IF(AND(E133="Individual trees",W133&gt;0,G133="Yes"),"Error - you cannot enhance irreplaceable individual trees ▲",IF(P133='G-1 All Habitats'!$X$9,T133*S133,IF(AND(P133='G-1 All Habitats'!$X$9,W133&gt;0),X133+(Y133*S133),IF(AND(P133='G-1 All Habitats'!$X$9,V133&gt;0),X133+(Y133*S133),IF(AND(P133='G-1 All Habitats'!$X$9,AG133&gt;0),"Any Loss Unacceptable  ⚠",IF(AND(P133='G-1 All Habitats'!$X$9,Z133&gt;0),"Any Loss Unacceptable ⚠",H133*J133*L133*O133*S133))))))),"Check Data ⚠")</f>
        <v/>
      </c>
      <c r="R133" s="393"/>
      <c r="S133" s="510" t="str">
        <f>IF(R133="","",IF(VLOOKUP(R133,'G-3 Multipliers'!$S$3:$T$10,2,FALSE)=0,"Spatial Data Missing ⚠",VLOOKUP(R133,'G-3 Multipliers'!$S$3:$T$10,2,FALSE)))</f>
        <v/>
      </c>
      <c r="T133" s="289" t="str">
        <f>IFERROR(IF(AND(F133&lt;&gt;"",G133=""),"Confirm irreplaceable habitat status ▲",(IF(AND(R133&lt;&gt;"",AF133=""),"Off-site reference required ▲",(IF(AND(E133="Individual trees",W133&gt;0,G133="Yes"),"Error - you cannot enhance irreplaceable individual trees ▲",(IF(AND(X133="Irreplaceable habitat - no units generated ⚠",(W133+V133)&lt;H133,OR(AB133="No",AB133="")),"Any Loss Unacceptable ⚠",(IF(X133="Irreplaceable habitat - no units generated ⚠",W133*J133*L133*O133,IF(AND(P133='G-1 All Habitats'!$X$9,AH133&gt;0,V133&lt;=0,W133&lt;=0,OR(AB133="No",AB133="")),"Any Loss Unacceptable ⚠",IF(AND(P133='G-1 All Habitats'!$X$9,AH133&gt;0,V133&lt;=0,W133&lt;=0),0,(IF(AND(P133='G-1 All Habitats'!$X$9,(W133+V133)&lt;H133,OR(AB133="No",AB133="")),"Any Loss Unacceptable ⚠",(IF(P133="","",IF(AND(P133='G-1 All Habitats'!$X$9,W133&gt;0),X133+Y133,IF(AND(P133='G-1 All Habitats'!$X$9,V133&gt;0),X133+Y133,IF(R133="","",H133*J133*L133*O133)))))))))))))))))),"Check Data ▲")</f>
        <v/>
      </c>
      <c r="U133" s="38"/>
      <c r="V133" s="52"/>
      <c r="W133" s="53"/>
      <c r="X133" s="287" t="str">
        <f t="shared" si="11"/>
        <v/>
      </c>
      <c r="Y133" s="287" t="str">
        <f t="shared" si="12"/>
        <v/>
      </c>
      <c r="Z133" s="287" t="str">
        <f t="shared" si="13"/>
        <v/>
      </c>
      <c r="AA133" s="317" t="str">
        <f>IFERROR(IF(AND(E133="Individual trees",G133="Yes",W133&gt;0),"Error - you cannot enhance an irreplaceable tree ▲",(IF(H133="","",IF(H133-V133-W133=0&lt;0,"Error in Areas ▲",IF(V133+W133&gt;H133,"Error in Areas ▲",IF(AND(P133='G-1 All Habitats'!$X$9,AB133="Yes"),"Alternative Compensation ✓",IF(AND(P133='G-1 All Habitats'!$X$3,AB133="Yes"),"Alternative Compensation ✓",IF(AND(AB133="Pending",P133='G-1 All Habitats'!$X$3),"Bespoke compensation must be agreed ▲",IF(AND(AB133="Pending",P133='G-1 All Habitats'!$X$9),"Bespoke compensation must be agreed  ▲",IF(Z133=0,0,IF(P133='G-1 All Habitats'!$X$9,"Any Loss Unacceptable ▲",T133-X133-Y133))))))))))),"Check Data ⚠")</f>
        <v/>
      </c>
      <c r="AB133" s="587"/>
      <c r="AC133" s="105"/>
      <c r="AD133" s="138"/>
      <c r="AE133" s="104"/>
      <c r="AF133" s="611"/>
      <c r="AG133" s="523" t="str">
        <f>IF(OR(P133="",AB133="Yes"),"",IF(P133='G-1 All Habitats'!$X$9,H133-V133-W133,"None"))</f>
        <v/>
      </c>
      <c r="AH133" s="523" t="str">
        <f>IF(P133="","",IF(P133='G-1 All Habitats'!$X$9,AG133*J133*L133*O133,"None"))</f>
        <v/>
      </c>
      <c r="AJ133" s="107" t="str">
        <f t="shared" si="14"/>
        <v/>
      </c>
      <c r="AK133" s="107" t="str">
        <f t="shared" si="17"/>
        <v/>
      </c>
      <c r="AL133" s="107" t="str">
        <f>IF(I133="","",IF(#REF!&gt;0,TRUE,FALSE))</f>
        <v/>
      </c>
      <c r="AM133" s="107">
        <v>123</v>
      </c>
      <c r="AN133" s="107"/>
      <c r="AO133" s="107" t="str">
        <f t="array" ref="AO133">IFERROR(INDEX($AM$11:$AM$259,MATCH(0,IF(TRUE=$AJ$11:$AJ$259,COUNTIF($AO$10:$AO132,$AM$11:$AM$259),""),0)),"")</f>
        <v/>
      </c>
      <c r="AP133" s="107" t="str">
        <f t="array" ref="AP133">IFERROR(INDEX($AM$11:$AM$259,MATCH(0,IF(TRUE=$AK$11:$AK$259,COUNTIF($AP$10:$AP132,$AM$11:$AM$259),""),0)),"")</f>
        <v/>
      </c>
      <c r="AQ133" s="107" t="str">
        <f t="array" ref="AQ133">IFERROR(INDEX($AM$11:$AM$259,MATCH(0,IF(TRUE=$AL$11:$AL$259,COUNTIF($AQ$10:$AQ132,$AM$11:$AM$259),""),0)),"")</f>
        <v/>
      </c>
      <c r="AS133" s="885" t="str">
        <f>IF(AND(OR(AB133="Yes",AB133="Pending"),P133='G-1 All Habitats'!$X$3),T133-X133-Y133,"0")</f>
        <v>0</v>
      </c>
      <c r="AT133" s="30" t="str">
        <f t="shared" si="10"/>
        <v/>
      </c>
      <c r="AU133" s="30">
        <f t="shared" si="15"/>
        <v>0</v>
      </c>
      <c r="AV133" s="230" t="str">
        <f>IFERROR(INDEX('G-1 All Habitats'!$B$3:$B$135,MATCH(F133,'G-1 All Habitats'!$A$3:$A$135,0)),"")</f>
        <v/>
      </c>
      <c r="AW133" s="30" t="str">
        <f>IF(AV133="","",VLOOKUP(AV133,'G-1 All Habitats'!$B$1:$T$135,19,FALSE))</f>
        <v/>
      </c>
      <c r="AY133" s="287" t="str">
        <f t="shared" si="16"/>
        <v/>
      </c>
    </row>
    <row r="134" spans="1:51" ht="14">
      <c r="A134" s="30" t="str">
        <f>IFERROR(INDEX('G-1 All Habitats'!$AG$3:$AG$17,MATCH(E134,'G-1 All Habitats'!$AF$3:$AF$17,0)),"")</f>
        <v/>
      </c>
      <c r="B134" s="30" t="str">
        <f>IFERROR(INDEX('G-8 Condition Look up'!$I$4:$I$135,MATCH(AV134,'G-8 Condition Look up'!$A$4:$A$135,0)),"")</f>
        <v/>
      </c>
      <c r="D134" s="97">
        <v>124</v>
      </c>
      <c r="E134" s="262"/>
      <c r="F134" s="263"/>
      <c r="G134" s="133"/>
      <c r="H134" s="115"/>
      <c r="I134" s="509" t="str">
        <f>IF(AV134="","",IF(AND(AW134="Yes",G134="No"),"Irreplaceable habitat ▲",IF(AND(AW134="No",G134="Yes"),"Cannot be Irreplaceable ▲",VLOOKUP(AV134,'G-1 All Habitats'!$B$2:$M$135,10,FALSE))))</f>
        <v/>
      </c>
      <c r="J134" s="377" t="str">
        <f>IFERROR(VLOOKUP(I134,'G-1 All Habitats'!$V$3:$W$7,2,FALSE),"")</f>
        <v/>
      </c>
      <c r="K134" s="101"/>
      <c r="L134" s="276" t="str">
        <f>IFERROR(INDEX('G-8 Condition Look up'!$A$3:$H$135,MATCH(AV134,'G-8 Condition Look up'!$A$3:$A$135,0),MATCH(K134,'G-8 Condition Look up'!$A$3:$H$3,0)),"")</f>
        <v/>
      </c>
      <c r="M134" s="105"/>
      <c r="N134" s="295" t="str">
        <f>IF(M134="","",IF(VLOOKUP(M134,'G-3 Multipliers'!$L$3:$N$6,2,FALSE)=0,"Spatial Data Missing ⚠",VLOOKUP(M134,'G-3 Multipliers'!$L$3:$N$6,2,FALSE)))</f>
        <v/>
      </c>
      <c r="O134" s="353" t="str">
        <f>IF(M134="","",IF(VLOOKUP(M134,'G-3 Multipliers'!$L$3:$N$6,3,FALSE)=0,"Spatial Data Missing ⚠",VLOOKUP(M134,'G-3 Multipliers'!$L$3:$N$6,3,FALSE)))</f>
        <v/>
      </c>
      <c r="P134" s="336" t="str">
        <f>(IF(G134="Yes","Bespoke compensation likely to be required",(IFERROR(VLOOKUP(AV134,'G-1 All Habitats'!$B$2:$M$135,12,FALSE),""))))</f>
        <v/>
      </c>
      <c r="Q134" s="511" t="str">
        <f>IFERROR(IF(P134="","",IF(AND(E134="Individual trees",W134&gt;0,G134="Yes"),"Error - you cannot enhance irreplaceable individual trees ▲",IF(P134='G-1 All Habitats'!$X$9,T134*S134,IF(AND(P134='G-1 All Habitats'!$X$9,W134&gt;0),X134+(Y134*S134),IF(AND(P134='G-1 All Habitats'!$X$9,V134&gt;0),X134+(Y134*S134),IF(AND(P134='G-1 All Habitats'!$X$9,AG134&gt;0),"Any Loss Unacceptable  ⚠",IF(AND(P134='G-1 All Habitats'!$X$9,Z134&gt;0),"Any Loss Unacceptable ⚠",H134*J134*L134*O134*S134))))))),"Check Data ⚠")</f>
        <v/>
      </c>
      <c r="R134" s="393"/>
      <c r="S134" s="510" t="str">
        <f>IF(R134="","",IF(VLOOKUP(R134,'G-3 Multipliers'!$S$3:$T$10,2,FALSE)=0,"Spatial Data Missing ⚠",VLOOKUP(R134,'G-3 Multipliers'!$S$3:$T$10,2,FALSE)))</f>
        <v/>
      </c>
      <c r="T134" s="289" t="str">
        <f>IFERROR(IF(AND(F134&lt;&gt;"",G134=""),"Confirm irreplaceable habitat status ▲",(IF(AND(R134&lt;&gt;"",AF134=""),"Off-site reference required ▲",(IF(AND(E134="Individual trees",W134&gt;0,G134="Yes"),"Error - you cannot enhance irreplaceable individual trees ▲",(IF(AND(X134="Irreplaceable habitat - no units generated ⚠",(W134+V134)&lt;H134,OR(AB134="No",AB134="")),"Any Loss Unacceptable ⚠",(IF(X134="Irreplaceable habitat - no units generated ⚠",W134*J134*L134*O134,IF(AND(P134='G-1 All Habitats'!$X$9,AH134&gt;0,V134&lt;=0,W134&lt;=0,OR(AB134="No",AB134="")),"Any Loss Unacceptable ⚠",IF(AND(P134='G-1 All Habitats'!$X$9,AH134&gt;0,V134&lt;=0,W134&lt;=0),0,(IF(AND(P134='G-1 All Habitats'!$X$9,(W134+V134)&lt;H134,OR(AB134="No",AB134="")),"Any Loss Unacceptable ⚠",(IF(P134="","",IF(AND(P134='G-1 All Habitats'!$X$9,W134&gt;0),X134+Y134,IF(AND(P134='G-1 All Habitats'!$X$9,V134&gt;0),X134+Y134,IF(R134="","",H134*J134*L134*O134)))))))))))))))))),"Check Data ▲")</f>
        <v/>
      </c>
      <c r="U134" s="38"/>
      <c r="V134" s="52"/>
      <c r="W134" s="53"/>
      <c r="X134" s="287" t="str">
        <f t="shared" si="11"/>
        <v/>
      </c>
      <c r="Y134" s="287" t="str">
        <f t="shared" si="12"/>
        <v/>
      </c>
      <c r="Z134" s="287" t="str">
        <f t="shared" si="13"/>
        <v/>
      </c>
      <c r="AA134" s="317" t="str">
        <f>IFERROR(IF(AND(E134="Individual trees",G134="Yes",W134&gt;0),"Error - you cannot enhance an irreplaceable tree ▲",(IF(H134="","",IF(H134-V134-W134=0&lt;0,"Error in Areas ▲",IF(V134+W134&gt;H134,"Error in Areas ▲",IF(AND(P134='G-1 All Habitats'!$X$9,AB134="Yes"),"Alternative Compensation ✓",IF(AND(P134='G-1 All Habitats'!$X$3,AB134="Yes"),"Alternative Compensation ✓",IF(AND(AB134="Pending",P134='G-1 All Habitats'!$X$3),"Bespoke compensation must be agreed ▲",IF(AND(AB134="Pending",P134='G-1 All Habitats'!$X$9),"Bespoke compensation must be agreed  ▲",IF(Z134=0,0,IF(P134='G-1 All Habitats'!$X$9,"Any Loss Unacceptable ▲",T134-X134-Y134))))))))))),"Check Data ⚠")</f>
        <v/>
      </c>
      <c r="AB134" s="587"/>
      <c r="AC134" s="105"/>
      <c r="AD134" s="138"/>
      <c r="AE134" s="104"/>
      <c r="AF134" s="611"/>
      <c r="AG134" s="523" t="str">
        <f>IF(OR(P134="",AB134="Yes"),"",IF(P134='G-1 All Habitats'!$X$9,H134-V134-W134,"None"))</f>
        <v/>
      </c>
      <c r="AH134" s="523" t="str">
        <f>IF(P134="","",IF(P134='G-1 All Habitats'!$X$9,AG134*J134*L134*O134,"None"))</f>
        <v/>
      </c>
      <c r="AJ134" s="107" t="str">
        <f t="shared" si="14"/>
        <v/>
      </c>
      <c r="AK134" s="107" t="str">
        <f t="shared" si="17"/>
        <v/>
      </c>
      <c r="AL134" s="107" t="str">
        <f>IF(I134="","",IF(#REF!&gt;0,TRUE,FALSE))</f>
        <v/>
      </c>
      <c r="AM134" s="107">
        <v>124</v>
      </c>
      <c r="AN134" s="107"/>
      <c r="AO134" s="107" t="str">
        <f t="array" ref="AO134">IFERROR(INDEX($AM$11:$AM$259,MATCH(0,IF(TRUE=$AJ$11:$AJ$259,COUNTIF($AO$10:$AO133,$AM$11:$AM$259),""),0)),"")</f>
        <v/>
      </c>
      <c r="AP134" s="107" t="str">
        <f t="array" ref="AP134">IFERROR(INDEX($AM$11:$AM$259,MATCH(0,IF(TRUE=$AK$11:$AK$259,COUNTIF($AP$10:$AP133,$AM$11:$AM$259),""),0)),"")</f>
        <v/>
      </c>
      <c r="AQ134" s="107" t="str">
        <f t="array" ref="AQ134">IFERROR(INDEX($AM$11:$AM$259,MATCH(0,IF(TRUE=$AL$11:$AL$259,COUNTIF($AQ$10:$AQ133,$AM$11:$AM$259),""),0)),"")</f>
        <v/>
      </c>
      <c r="AS134" s="885" t="str">
        <f>IF(AND(OR(AB134="Yes",AB134="Pending"),P134='G-1 All Habitats'!$X$3),T134-X134-Y134,"0")</f>
        <v>0</v>
      </c>
      <c r="AT134" s="30" t="str">
        <f t="shared" si="10"/>
        <v/>
      </c>
      <c r="AU134" s="30">
        <f t="shared" si="15"/>
        <v>0</v>
      </c>
      <c r="AV134" s="230" t="str">
        <f>IFERROR(INDEX('G-1 All Habitats'!$B$3:$B$135,MATCH(F134,'G-1 All Habitats'!$A$3:$A$135,0)),"")</f>
        <v/>
      </c>
      <c r="AW134" s="30" t="str">
        <f>IF(AV134="","",VLOOKUP(AV134,'G-1 All Habitats'!$B$1:$T$135,19,FALSE))</f>
        <v/>
      </c>
      <c r="AY134" s="287" t="str">
        <f t="shared" si="16"/>
        <v/>
      </c>
    </row>
    <row r="135" spans="1:51" ht="14">
      <c r="A135" s="30" t="str">
        <f>IFERROR(INDEX('G-1 All Habitats'!$AG$3:$AG$17,MATCH(E135,'G-1 All Habitats'!$AF$3:$AF$17,0)),"")</f>
        <v/>
      </c>
      <c r="B135" s="30" t="str">
        <f>IFERROR(INDEX('G-8 Condition Look up'!$I$4:$I$135,MATCH(AV135,'G-8 Condition Look up'!$A$4:$A$135,0)),"")</f>
        <v/>
      </c>
      <c r="D135" s="97">
        <v>125</v>
      </c>
      <c r="E135" s="262"/>
      <c r="F135" s="263"/>
      <c r="G135" s="133"/>
      <c r="H135" s="115"/>
      <c r="I135" s="509" t="str">
        <f>IF(AV135="","",IF(AND(AW135="Yes",G135="No"),"Irreplaceable habitat ▲",IF(AND(AW135="No",G135="Yes"),"Cannot be Irreplaceable ▲",VLOOKUP(AV135,'G-1 All Habitats'!$B$2:$M$135,10,FALSE))))</f>
        <v/>
      </c>
      <c r="J135" s="377" t="str">
        <f>IFERROR(VLOOKUP(I135,'G-1 All Habitats'!$V$3:$W$7,2,FALSE),"")</f>
        <v/>
      </c>
      <c r="K135" s="101"/>
      <c r="L135" s="276" t="str">
        <f>IFERROR(INDEX('G-8 Condition Look up'!$A$3:$H$135,MATCH(AV135,'G-8 Condition Look up'!$A$3:$A$135,0),MATCH(K135,'G-8 Condition Look up'!$A$3:$H$3,0)),"")</f>
        <v/>
      </c>
      <c r="M135" s="105"/>
      <c r="N135" s="295" t="str">
        <f>IF(M135="","",IF(VLOOKUP(M135,'G-3 Multipliers'!$L$3:$N$6,2,FALSE)=0,"Spatial Data Missing ⚠",VLOOKUP(M135,'G-3 Multipliers'!$L$3:$N$6,2,FALSE)))</f>
        <v/>
      </c>
      <c r="O135" s="353" t="str">
        <f>IF(M135="","",IF(VLOOKUP(M135,'G-3 Multipliers'!$L$3:$N$6,3,FALSE)=0,"Spatial Data Missing ⚠",VLOOKUP(M135,'G-3 Multipliers'!$L$3:$N$6,3,FALSE)))</f>
        <v/>
      </c>
      <c r="P135" s="336" t="str">
        <f>(IF(G135="Yes","Bespoke compensation likely to be required",(IFERROR(VLOOKUP(AV135,'G-1 All Habitats'!$B$2:$M$135,12,FALSE),""))))</f>
        <v/>
      </c>
      <c r="Q135" s="511" t="str">
        <f>IFERROR(IF(P135="","",IF(AND(E135="Individual trees",W135&gt;0,G135="Yes"),"Error - you cannot enhance irreplaceable individual trees ▲",IF(P135='G-1 All Habitats'!$X$9,T135*S135,IF(AND(P135='G-1 All Habitats'!$X$9,W135&gt;0),X135+(Y135*S135),IF(AND(P135='G-1 All Habitats'!$X$9,V135&gt;0),X135+(Y135*S135),IF(AND(P135='G-1 All Habitats'!$X$9,AG135&gt;0),"Any Loss Unacceptable  ⚠",IF(AND(P135='G-1 All Habitats'!$X$9,Z135&gt;0),"Any Loss Unacceptable ⚠",H135*J135*L135*O135*S135))))))),"Check Data ⚠")</f>
        <v/>
      </c>
      <c r="R135" s="393"/>
      <c r="S135" s="510" t="str">
        <f>IF(R135="","",IF(VLOOKUP(R135,'G-3 Multipliers'!$S$3:$T$10,2,FALSE)=0,"Spatial Data Missing ⚠",VLOOKUP(R135,'G-3 Multipliers'!$S$3:$T$10,2,FALSE)))</f>
        <v/>
      </c>
      <c r="T135" s="289" t="str">
        <f>IFERROR(IF(AND(F135&lt;&gt;"",G135=""),"Confirm irreplaceable habitat status ▲",(IF(AND(R135&lt;&gt;"",AF135=""),"Off-site reference required ▲",(IF(AND(E135="Individual trees",W135&gt;0,G135="Yes"),"Error - you cannot enhance irreplaceable individual trees ▲",(IF(AND(X135="Irreplaceable habitat - no units generated ⚠",(W135+V135)&lt;H135,OR(AB135="No",AB135="")),"Any Loss Unacceptable ⚠",(IF(X135="Irreplaceable habitat - no units generated ⚠",W135*J135*L135*O135,IF(AND(P135='G-1 All Habitats'!$X$9,AH135&gt;0,V135&lt;=0,W135&lt;=0,OR(AB135="No",AB135="")),"Any Loss Unacceptable ⚠",IF(AND(P135='G-1 All Habitats'!$X$9,AH135&gt;0,V135&lt;=0,W135&lt;=0),0,(IF(AND(P135='G-1 All Habitats'!$X$9,(W135+V135)&lt;H135,OR(AB135="No",AB135="")),"Any Loss Unacceptable ⚠",(IF(P135="","",IF(AND(P135='G-1 All Habitats'!$X$9,W135&gt;0),X135+Y135,IF(AND(P135='G-1 All Habitats'!$X$9,V135&gt;0),X135+Y135,IF(R135="","",H135*J135*L135*O135)))))))))))))))))),"Check Data ▲")</f>
        <v/>
      </c>
      <c r="U135" s="38"/>
      <c r="V135" s="52"/>
      <c r="W135" s="53"/>
      <c r="X135" s="287" t="str">
        <f t="shared" si="11"/>
        <v/>
      </c>
      <c r="Y135" s="287" t="str">
        <f t="shared" si="12"/>
        <v/>
      </c>
      <c r="Z135" s="287" t="str">
        <f t="shared" si="13"/>
        <v/>
      </c>
      <c r="AA135" s="317" t="str">
        <f>IFERROR(IF(AND(E135="Individual trees",G135="Yes",W135&gt;0),"Error - you cannot enhance an irreplaceable tree ▲",(IF(H135="","",IF(H135-V135-W135=0&lt;0,"Error in Areas ▲",IF(V135+W135&gt;H135,"Error in Areas ▲",IF(AND(P135='G-1 All Habitats'!$X$9,AB135="Yes"),"Alternative Compensation ✓",IF(AND(P135='G-1 All Habitats'!$X$3,AB135="Yes"),"Alternative Compensation ✓",IF(AND(AB135="Pending",P135='G-1 All Habitats'!$X$3),"Bespoke compensation must be agreed ▲",IF(AND(AB135="Pending",P135='G-1 All Habitats'!$X$9),"Bespoke compensation must be agreed  ▲",IF(Z135=0,0,IF(P135='G-1 All Habitats'!$X$9,"Any Loss Unacceptable ▲",T135-X135-Y135))))))))))),"Check Data ⚠")</f>
        <v/>
      </c>
      <c r="AB135" s="587"/>
      <c r="AC135" s="105"/>
      <c r="AD135" s="138"/>
      <c r="AE135" s="104"/>
      <c r="AF135" s="611"/>
      <c r="AG135" s="523" t="str">
        <f>IF(OR(P135="",AB135="Yes"),"",IF(P135='G-1 All Habitats'!$X$9,H135-V135-W135,"None"))</f>
        <v/>
      </c>
      <c r="AH135" s="523" t="str">
        <f>IF(P135="","",IF(P135='G-1 All Habitats'!$X$9,AG135*J135*L135*O135,"None"))</f>
        <v/>
      </c>
      <c r="AJ135" s="107" t="str">
        <f t="shared" si="14"/>
        <v/>
      </c>
      <c r="AK135" s="107" t="str">
        <f t="shared" si="17"/>
        <v/>
      </c>
      <c r="AL135" s="107" t="str">
        <f>IF(I135="","",IF(#REF!&gt;0,TRUE,FALSE))</f>
        <v/>
      </c>
      <c r="AM135" s="107">
        <v>125</v>
      </c>
      <c r="AN135" s="107"/>
      <c r="AO135" s="107" t="str">
        <f t="array" ref="AO135">IFERROR(INDEX($AM$11:$AM$259,MATCH(0,IF(TRUE=$AJ$11:$AJ$259,COUNTIF($AO$10:$AO134,$AM$11:$AM$259),""),0)),"")</f>
        <v/>
      </c>
      <c r="AP135" s="107" t="str">
        <f t="array" ref="AP135">IFERROR(INDEX($AM$11:$AM$259,MATCH(0,IF(TRUE=$AK$11:$AK$259,COUNTIF($AP$10:$AP134,$AM$11:$AM$259),""),0)),"")</f>
        <v/>
      </c>
      <c r="AQ135" s="107" t="str">
        <f t="array" ref="AQ135">IFERROR(INDEX($AM$11:$AM$259,MATCH(0,IF(TRUE=$AL$11:$AL$259,COUNTIF($AQ$10:$AQ134,$AM$11:$AM$259),""),0)),"")</f>
        <v/>
      </c>
      <c r="AS135" s="885" t="str">
        <f>IF(AND(OR(AB135="Yes",AB135="Pending"),P135='G-1 All Habitats'!$X$3),T135-X135-Y135,"0")</f>
        <v>0</v>
      </c>
      <c r="AT135" s="30" t="str">
        <f t="shared" si="10"/>
        <v/>
      </c>
      <c r="AU135" s="30">
        <f t="shared" si="15"/>
        <v>0</v>
      </c>
      <c r="AV135" s="230" t="str">
        <f>IFERROR(INDEX('G-1 All Habitats'!$B$3:$B$135,MATCH(F135,'G-1 All Habitats'!$A$3:$A$135,0)),"")</f>
        <v/>
      </c>
      <c r="AW135" s="30" t="str">
        <f>IF(AV135="","",VLOOKUP(AV135,'G-1 All Habitats'!$B$1:$T$135,19,FALSE))</f>
        <v/>
      </c>
      <c r="AY135" s="287" t="str">
        <f t="shared" si="16"/>
        <v/>
      </c>
    </row>
    <row r="136" spans="1:51" ht="14">
      <c r="A136" s="30" t="str">
        <f>IFERROR(INDEX('G-1 All Habitats'!$AG$3:$AG$17,MATCH(E136,'G-1 All Habitats'!$AF$3:$AF$17,0)),"")</f>
        <v/>
      </c>
      <c r="B136" s="30" t="str">
        <f>IFERROR(INDEX('G-8 Condition Look up'!$I$4:$I$135,MATCH(AV136,'G-8 Condition Look up'!$A$4:$A$135,0)),"")</f>
        <v/>
      </c>
      <c r="D136" s="97">
        <v>126</v>
      </c>
      <c r="E136" s="262"/>
      <c r="F136" s="263"/>
      <c r="G136" s="133"/>
      <c r="H136" s="115"/>
      <c r="I136" s="509" t="str">
        <f>IF(AV136="","",IF(AND(AW136="Yes",G136="No"),"Irreplaceable habitat ▲",IF(AND(AW136="No",G136="Yes"),"Cannot be Irreplaceable ▲",VLOOKUP(AV136,'G-1 All Habitats'!$B$2:$M$135,10,FALSE))))</f>
        <v/>
      </c>
      <c r="J136" s="377" t="str">
        <f>IFERROR(VLOOKUP(I136,'G-1 All Habitats'!$V$3:$W$7,2,FALSE),"")</f>
        <v/>
      </c>
      <c r="K136" s="101"/>
      <c r="L136" s="276" t="str">
        <f>IFERROR(INDEX('G-8 Condition Look up'!$A$3:$H$135,MATCH(AV136,'G-8 Condition Look up'!$A$3:$A$135,0),MATCH(K136,'G-8 Condition Look up'!$A$3:$H$3,0)),"")</f>
        <v/>
      </c>
      <c r="M136" s="105"/>
      <c r="N136" s="295" t="str">
        <f>IF(M136="","",IF(VLOOKUP(M136,'G-3 Multipliers'!$L$3:$N$6,2,FALSE)=0,"Spatial Data Missing ⚠",VLOOKUP(M136,'G-3 Multipliers'!$L$3:$N$6,2,FALSE)))</f>
        <v/>
      </c>
      <c r="O136" s="353" t="str">
        <f>IF(M136="","",IF(VLOOKUP(M136,'G-3 Multipliers'!$L$3:$N$6,3,FALSE)=0,"Spatial Data Missing ⚠",VLOOKUP(M136,'G-3 Multipliers'!$L$3:$N$6,3,FALSE)))</f>
        <v/>
      </c>
      <c r="P136" s="336" t="str">
        <f>(IF(G136="Yes","Bespoke compensation likely to be required",(IFERROR(VLOOKUP(AV136,'G-1 All Habitats'!$B$2:$M$135,12,FALSE),""))))</f>
        <v/>
      </c>
      <c r="Q136" s="511" t="str">
        <f>IFERROR(IF(P136="","",IF(AND(E136="Individual trees",W136&gt;0,G136="Yes"),"Error - you cannot enhance irreplaceable individual trees ▲",IF(P136='G-1 All Habitats'!$X$9,T136*S136,IF(AND(P136='G-1 All Habitats'!$X$9,W136&gt;0),X136+(Y136*S136),IF(AND(P136='G-1 All Habitats'!$X$9,V136&gt;0),X136+(Y136*S136),IF(AND(P136='G-1 All Habitats'!$X$9,AG136&gt;0),"Any Loss Unacceptable  ⚠",IF(AND(P136='G-1 All Habitats'!$X$9,Z136&gt;0),"Any Loss Unacceptable ⚠",H136*J136*L136*O136*S136))))))),"Check Data ⚠")</f>
        <v/>
      </c>
      <c r="R136" s="393"/>
      <c r="S136" s="510" t="str">
        <f>IF(R136="","",IF(VLOOKUP(R136,'G-3 Multipliers'!$S$3:$T$10,2,FALSE)=0,"Spatial Data Missing ⚠",VLOOKUP(R136,'G-3 Multipliers'!$S$3:$T$10,2,FALSE)))</f>
        <v/>
      </c>
      <c r="T136" s="289" t="str">
        <f>IFERROR(IF(AND(F136&lt;&gt;"",G136=""),"Confirm irreplaceable habitat status ▲",(IF(AND(R136&lt;&gt;"",AF136=""),"Off-site reference required ▲",(IF(AND(E136="Individual trees",W136&gt;0,G136="Yes"),"Error - you cannot enhance irreplaceable individual trees ▲",(IF(AND(X136="Irreplaceable habitat - no units generated ⚠",(W136+V136)&lt;H136,OR(AB136="No",AB136="")),"Any Loss Unacceptable ⚠",(IF(X136="Irreplaceable habitat - no units generated ⚠",W136*J136*L136*O136,IF(AND(P136='G-1 All Habitats'!$X$9,AH136&gt;0,V136&lt;=0,W136&lt;=0,OR(AB136="No",AB136="")),"Any Loss Unacceptable ⚠",IF(AND(P136='G-1 All Habitats'!$X$9,AH136&gt;0,V136&lt;=0,W136&lt;=0),0,(IF(AND(P136='G-1 All Habitats'!$X$9,(W136+V136)&lt;H136,OR(AB136="No",AB136="")),"Any Loss Unacceptable ⚠",(IF(P136="","",IF(AND(P136='G-1 All Habitats'!$X$9,W136&gt;0),X136+Y136,IF(AND(P136='G-1 All Habitats'!$X$9,V136&gt;0),X136+Y136,IF(R136="","",H136*J136*L136*O136)))))))))))))))))),"Check Data ▲")</f>
        <v/>
      </c>
      <c r="U136" s="38"/>
      <c r="V136" s="52"/>
      <c r="W136" s="53"/>
      <c r="X136" s="287" t="str">
        <f t="shared" si="11"/>
        <v/>
      </c>
      <c r="Y136" s="287" t="str">
        <f t="shared" si="12"/>
        <v/>
      </c>
      <c r="Z136" s="287" t="str">
        <f t="shared" si="13"/>
        <v/>
      </c>
      <c r="AA136" s="317" t="str">
        <f>IFERROR(IF(AND(E136="Individual trees",G136="Yes",W136&gt;0),"Error - you cannot enhance an irreplaceable tree ▲",(IF(H136="","",IF(H136-V136-W136=0&lt;0,"Error in Areas ▲",IF(V136+W136&gt;H136,"Error in Areas ▲",IF(AND(P136='G-1 All Habitats'!$X$9,AB136="Yes"),"Alternative Compensation ✓",IF(AND(P136='G-1 All Habitats'!$X$3,AB136="Yes"),"Alternative Compensation ✓",IF(AND(AB136="Pending",P136='G-1 All Habitats'!$X$3),"Bespoke compensation must be agreed ▲",IF(AND(AB136="Pending",P136='G-1 All Habitats'!$X$9),"Bespoke compensation must be agreed  ▲",IF(Z136=0,0,IF(P136='G-1 All Habitats'!$X$9,"Any Loss Unacceptable ▲",T136-X136-Y136))))))))))),"Check Data ⚠")</f>
        <v/>
      </c>
      <c r="AB136" s="587"/>
      <c r="AC136" s="105"/>
      <c r="AD136" s="138"/>
      <c r="AE136" s="104"/>
      <c r="AF136" s="611"/>
      <c r="AG136" s="523" t="str">
        <f>IF(OR(P136="",AB136="Yes"),"",IF(P136='G-1 All Habitats'!$X$9,H136-V136-W136,"None"))</f>
        <v/>
      </c>
      <c r="AH136" s="523" t="str">
        <f>IF(P136="","",IF(P136='G-1 All Habitats'!$X$9,AG136*J136*L136*O136,"None"))</f>
        <v/>
      </c>
      <c r="AJ136" s="107" t="str">
        <f t="shared" si="14"/>
        <v/>
      </c>
      <c r="AK136" s="107" t="str">
        <f t="shared" si="17"/>
        <v/>
      </c>
      <c r="AL136" s="107" t="str">
        <f>IF(I136="","",IF(#REF!&gt;0,TRUE,FALSE))</f>
        <v/>
      </c>
      <c r="AM136" s="107">
        <v>126</v>
      </c>
      <c r="AN136" s="107"/>
      <c r="AO136" s="107" t="str">
        <f t="array" ref="AO136">IFERROR(INDEX($AM$11:$AM$259,MATCH(0,IF(TRUE=$AJ$11:$AJ$259,COUNTIF($AO$10:$AO135,$AM$11:$AM$259),""),0)),"")</f>
        <v/>
      </c>
      <c r="AP136" s="107" t="str">
        <f t="array" ref="AP136">IFERROR(INDEX($AM$11:$AM$259,MATCH(0,IF(TRUE=$AK$11:$AK$259,COUNTIF($AP$10:$AP135,$AM$11:$AM$259),""),0)),"")</f>
        <v/>
      </c>
      <c r="AQ136" s="107" t="str">
        <f t="array" ref="AQ136">IFERROR(INDEX($AM$11:$AM$259,MATCH(0,IF(TRUE=$AL$11:$AL$259,COUNTIF($AQ$10:$AQ135,$AM$11:$AM$259),""),0)),"")</f>
        <v/>
      </c>
      <c r="AS136" s="885" t="str">
        <f>IF(AND(OR(AB136="Yes",AB136="Pending"),P136='G-1 All Habitats'!$X$3),T136-X136-Y136,"0")</f>
        <v>0</v>
      </c>
      <c r="AT136" s="30" t="str">
        <f t="shared" si="10"/>
        <v/>
      </c>
      <c r="AU136" s="30">
        <f t="shared" si="15"/>
        <v>0</v>
      </c>
      <c r="AV136" s="230" t="str">
        <f>IFERROR(INDEX('G-1 All Habitats'!$B$3:$B$135,MATCH(F136,'G-1 All Habitats'!$A$3:$A$135,0)),"")</f>
        <v/>
      </c>
      <c r="AW136" s="30" t="str">
        <f>IF(AV136="","",VLOOKUP(AV136,'G-1 All Habitats'!$B$1:$T$135,19,FALSE))</f>
        <v/>
      </c>
      <c r="AY136" s="287" t="str">
        <f t="shared" si="16"/>
        <v/>
      </c>
    </row>
    <row r="137" spans="1:51" ht="14">
      <c r="A137" s="30" t="str">
        <f>IFERROR(INDEX('G-1 All Habitats'!$AG$3:$AG$17,MATCH(E137,'G-1 All Habitats'!$AF$3:$AF$17,0)),"")</f>
        <v/>
      </c>
      <c r="B137" s="30" t="str">
        <f>IFERROR(INDEX('G-8 Condition Look up'!$I$4:$I$135,MATCH(AV137,'G-8 Condition Look up'!$A$4:$A$135,0)),"")</f>
        <v/>
      </c>
      <c r="D137" s="97">
        <v>127</v>
      </c>
      <c r="E137" s="262"/>
      <c r="F137" s="263"/>
      <c r="G137" s="133"/>
      <c r="H137" s="115"/>
      <c r="I137" s="509" t="str">
        <f>IF(AV137="","",IF(AND(AW137="Yes",G137="No"),"Irreplaceable habitat ▲",IF(AND(AW137="No",G137="Yes"),"Cannot be Irreplaceable ▲",VLOOKUP(AV137,'G-1 All Habitats'!$B$2:$M$135,10,FALSE))))</f>
        <v/>
      </c>
      <c r="J137" s="377" t="str">
        <f>IFERROR(VLOOKUP(I137,'G-1 All Habitats'!$V$3:$W$7,2,FALSE),"")</f>
        <v/>
      </c>
      <c r="K137" s="101"/>
      <c r="L137" s="276" t="str">
        <f>IFERROR(INDEX('G-8 Condition Look up'!$A$3:$H$135,MATCH(AV137,'G-8 Condition Look up'!$A$3:$A$135,0),MATCH(K137,'G-8 Condition Look up'!$A$3:$H$3,0)),"")</f>
        <v/>
      </c>
      <c r="M137" s="105"/>
      <c r="N137" s="295" t="str">
        <f>IF(M137="","",IF(VLOOKUP(M137,'G-3 Multipliers'!$L$3:$N$6,2,FALSE)=0,"Spatial Data Missing ⚠",VLOOKUP(M137,'G-3 Multipliers'!$L$3:$N$6,2,FALSE)))</f>
        <v/>
      </c>
      <c r="O137" s="353" t="str">
        <f>IF(M137="","",IF(VLOOKUP(M137,'G-3 Multipliers'!$L$3:$N$6,3,FALSE)=0,"Spatial Data Missing ⚠",VLOOKUP(M137,'G-3 Multipliers'!$L$3:$N$6,3,FALSE)))</f>
        <v/>
      </c>
      <c r="P137" s="336" t="str">
        <f>(IF(G137="Yes","Bespoke compensation likely to be required",(IFERROR(VLOOKUP(AV137,'G-1 All Habitats'!$B$2:$M$135,12,FALSE),""))))</f>
        <v/>
      </c>
      <c r="Q137" s="511" t="str">
        <f>IFERROR(IF(P137="","",IF(AND(E137="Individual trees",W137&gt;0,G137="Yes"),"Error - you cannot enhance irreplaceable individual trees ▲",IF(P137='G-1 All Habitats'!$X$9,T137*S137,IF(AND(P137='G-1 All Habitats'!$X$9,W137&gt;0),X137+(Y137*S137),IF(AND(P137='G-1 All Habitats'!$X$9,V137&gt;0),X137+(Y137*S137),IF(AND(P137='G-1 All Habitats'!$X$9,AG137&gt;0),"Any Loss Unacceptable  ⚠",IF(AND(P137='G-1 All Habitats'!$X$9,Z137&gt;0),"Any Loss Unacceptable ⚠",H137*J137*L137*O137*S137))))))),"Check Data ⚠")</f>
        <v/>
      </c>
      <c r="R137" s="393"/>
      <c r="S137" s="510" t="str">
        <f>IF(R137="","",IF(VLOOKUP(R137,'G-3 Multipliers'!$S$3:$T$10,2,FALSE)=0,"Spatial Data Missing ⚠",VLOOKUP(R137,'G-3 Multipliers'!$S$3:$T$10,2,FALSE)))</f>
        <v/>
      </c>
      <c r="T137" s="289" t="str">
        <f>IFERROR(IF(AND(F137&lt;&gt;"",G137=""),"Confirm irreplaceable habitat status ▲",(IF(AND(R137&lt;&gt;"",AF137=""),"Off-site reference required ▲",(IF(AND(E137="Individual trees",W137&gt;0,G137="Yes"),"Error - you cannot enhance irreplaceable individual trees ▲",(IF(AND(X137="Irreplaceable habitat - no units generated ⚠",(W137+V137)&lt;H137,OR(AB137="No",AB137="")),"Any Loss Unacceptable ⚠",(IF(X137="Irreplaceable habitat - no units generated ⚠",W137*J137*L137*O137,IF(AND(P137='G-1 All Habitats'!$X$9,AH137&gt;0,V137&lt;=0,W137&lt;=0,OR(AB137="No",AB137="")),"Any Loss Unacceptable ⚠",IF(AND(P137='G-1 All Habitats'!$X$9,AH137&gt;0,V137&lt;=0,W137&lt;=0),0,(IF(AND(P137='G-1 All Habitats'!$X$9,(W137+V137)&lt;H137,OR(AB137="No",AB137="")),"Any Loss Unacceptable ⚠",(IF(P137="","",IF(AND(P137='G-1 All Habitats'!$X$9,W137&gt;0),X137+Y137,IF(AND(P137='G-1 All Habitats'!$X$9,V137&gt;0),X137+Y137,IF(R137="","",H137*J137*L137*O137)))))))))))))))))),"Check Data ▲")</f>
        <v/>
      </c>
      <c r="U137" s="38"/>
      <c r="V137" s="52"/>
      <c r="W137" s="53"/>
      <c r="X137" s="287" t="str">
        <f t="shared" si="11"/>
        <v/>
      </c>
      <c r="Y137" s="287" t="str">
        <f t="shared" si="12"/>
        <v/>
      </c>
      <c r="Z137" s="287" t="str">
        <f t="shared" si="13"/>
        <v/>
      </c>
      <c r="AA137" s="317" t="str">
        <f>IFERROR(IF(AND(E137="Individual trees",G137="Yes",W137&gt;0),"Error - you cannot enhance an irreplaceable tree ▲",(IF(H137="","",IF(H137-V137-W137=0&lt;0,"Error in Areas ▲",IF(V137+W137&gt;H137,"Error in Areas ▲",IF(AND(P137='G-1 All Habitats'!$X$9,AB137="Yes"),"Alternative Compensation ✓",IF(AND(P137='G-1 All Habitats'!$X$3,AB137="Yes"),"Alternative Compensation ✓",IF(AND(AB137="Pending",P137='G-1 All Habitats'!$X$3),"Bespoke compensation must be agreed ▲",IF(AND(AB137="Pending",P137='G-1 All Habitats'!$X$9),"Bespoke compensation must be agreed  ▲",IF(Z137=0,0,IF(P137='G-1 All Habitats'!$X$9,"Any Loss Unacceptable ▲",T137-X137-Y137))))))))))),"Check Data ⚠")</f>
        <v/>
      </c>
      <c r="AB137" s="587"/>
      <c r="AC137" s="105"/>
      <c r="AD137" s="138"/>
      <c r="AE137" s="104"/>
      <c r="AF137" s="611"/>
      <c r="AG137" s="523" t="str">
        <f>IF(OR(P137="",AB137="Yes"),"",IF(P137='G-1 All Habitats'!$X$9,H137-V137-W137,"None"))</f>
        <v/>
      </c>
      <c r="AH137" s="523" t="str">
        <f>IF(P137="","",IF(P137='G-1 All Habitats'!$X$9,AG137*J137*L137*O137,"None"))</f>
        <v/>
      </c>
      <c r="AJ137" s="107" t="str">
        <f t="shared" si="14"/>
        <v/>
      </c>
      <c r="AK137" s="107" t="str">
        <f t="shared" si="17"/>
        <v/>
      </c>
      <c r="AL137" s="107" t="str">
        <f>IF(I137="","",IF(#REF!&gt;0,TRUE,FALSE))</f>
        <v/>
      </c>
      <c r="AM137" s="107">
        <v>127</v>
      </c>
      <c r="AN137" s="107"/>
      <c r="AO137" s="107" t="str">
        <f t="array" ref="AO137">IFERROR(INDEX($AM$11:$AM$259,MATCH(0,IF(TRUE=$AJ$11:$AJ$259,COUNTIF($AO$10:$AO136,$AM$11:$AM$259),""),0)),"")</f>
        <v/>
      </c>
      <c r="AP137" s="107" t="str">
        <f t="array" ref="AP137">IFERROR(INDEX($AM$11:$AM$259,MATCH(0,IF(TRUE=$AK$11:$AK$259,COUNTIF($AP$10:$AP136,$AM$11:$AM$259),""),0)),"")</f>
        <v/>
      </c>
      <c r="AQ137" s="107" t="str">
        <f t="array" ref="AQ137">IFERROR(INDEX($AM$11:$AM$259,MATCH(0,IF(TRUE=$AL$11:$AL$259,COUNTIF($AQ$10:$AQ136,$AM$11:$AM$259),""),0)),"")</f>
        <v/>
      </c>
      <c r="AS137" s="885" t="str">
        <f>IF(AND(OR(AB137="Yes",AB137="Pending"),P137='G-1 All Habitats'!$X$3),T137-X137-Y137,"0")</f>
        <v>0</v>
      </c>
      <c r="AT137" s="30" t="str">
        <f t="shared" si="10"/>
        <v/>
      </c>
      <c r="AU137" s="30">
        <f t="shared" si="15"/>
        <v>0</v>
      </c>
      <c r="AV137" s="230" t="str">
        <f>IFERROR(INDEX('G-1 All Habitats'!$B$3:$B$135,MATCH(F137,'G-1 All Habitats'!$A$3:$A$135,0)),"")</f>
        <v/>
      </c>
      <c r="AW137" s="30" t="str">
        <f>IF(AV137="","",VLOOKUP(AV137,'G-1 All Habitats'!$B$1:$T$135,19,FALSE))</f>
        <v/>
      </c>
      <c r="AY137" s="287" t="str">
        <f t="shared" si="16"/>
        <v/>
      </c>
    </row>
    <row r="138" spans="1:51" ht="14">
      <c r="A138" s="30" t="str">
        <f>IFERROR(INDEX('G-1 All Habitats'!$AG$3:$AG$17,MATCH(E138,'G-1 All Habitats'!$AF$3:$AF$17,0)),"")</f>
        <v/>
      </c>
      <c r="B138" s="30" t="str">
        <f>IFERROR(INDEX('G-8 Condition Look up'!$I$4:$I$135,MATCH(AV138,'G-8 Condition Look up'!$A$4:$A$135,0)),"")</f>
        <v/>
      </c>
      <c r="D138" s="97">
        <v>128</v>
      </c>
      <c r="E138" s="262"/>
      <c r="F138" s="263"/>
      <c r="G138" s="133"/>
      <c r="H138" s="115"/>
      <c r="I138" s="509" t="str">
        <f>IF(AV138="","",IF(AND(AW138="Yes",G138="No"),"Irreplaceable habitat ▲",IF(AND(AW138="No",G138="Yes"),"Cannot be Irreplaceable ▲",VLOOKUP(AV138,'G-1 All Habitats'!$B$2:$M$135,10,FALSE))))</f>
        <v/>
      </c>
      <c r="J138" s="377" t="str">
        <f>IFERROR(VLOOKUP(I138,'G-1 All Habitats'!$V$3:$W$7,2,FALSE),"")</f>
        <v/>
      </c>
      <c r="K138" s="101"/>
      <c r="L138" s="276" t="str">
        <f>IFERROR(INDEX('G-8 Condition Look up'!$A$3:$H$135,MATCH(AV138,'G-8 Condition Look up'!$A$3:$A$135,0),MATCH(K138,'G-8 Condition Look up'!$A$3:$H$3,0)),"")</f>
        <v/>
      </c>
      <c r="M138" s="105"/>
      <c r="N138" s="295" t="str">
        <f>IF(M138="","",IF(VLOOKUP(M138,'G-3 Multipliers'!$L$3:$N$6,2,FALSE)=0,"Spatial Data Missing ⚠",VLOOKUP(M138,'G-3 Multipliers'!$L$3:$N$6,2,FALSE)))</f>
        <v/>
      </c>
      <c r="O138" s="353" t="str">
        <f>IF(M138="","",IF(VLOOKUP(M138,'G-3 Multipliers'!$L$3:$N$6,3,FALSE)=0,"Spatial Data Missing ⚠",VLOOKUP(M138,'G-3 Multipliers'!$L$3:$N$6,3,FALSE)))</f>
        <v/>
      </c>
      <c r="P138" s="336" t="str">
        <f>(IF(G138="Yes","Bespoke compensation likely to be required",(IFERROR(VLOOKUP(AV138,'G-1 All Habitats'!$B$2:$M$135,12,FALSE),""))))</f>
        <v/>
      </c>
      <c r="Q138" s="511" t="str">
        <f>IFERROR(IF(P138="","",IF(AND(E138="Individual trees",W138&gt;0,G138="Yes"),"Error - you cannot enhance irreplaceable individual trees ▲",IF(P138='G-1 All Habitats'!$X$9,T138*S138,IF(AND(P138='G-1 All Habitats'!$X$9,W138&gt;0),X138+(Y138*S138),IF(AND(P138='G-1 All Habitats'!$X$9,V138&gt;0),X138+(Y138*S138),IF(AND(P138='G-1 All Habitats'!$X$9,AG138&gt;0),"Any Loss Unacceptable  ⚠",IF(AND(P138='G-1 All Habitats'!$X$9,Z138&gt;0),"Any Loss Unacceptable ⚠",H138*J138*L138*O138*S138))))))),"Check Data ⚠")</f>
        <v/>
      </c>
      <c r="R138" s="393"/>
      <c r="S138" s="510" t="str">
        <f>IF(R138="","",IF(VLOOKUP(R138,'G-3 Multipliers'!$S$3:$T$10,2,FALSE)=0,"Spatial Data Missing ⚠",VLOOKUP(R138,'G-3 Multipliers'!$S$3:$T$10,2,FALSE)))</f>
        <v/>
      </c>
      <c r="T138" s="289" t="str">
        <f>IFERROR(IF(AND(F138&lt;&gt;"",G138=""),"Confirm irreplaceable habitat status ▲",(IF(AND(R138&lt;&gt;"",AF138=""),"Off-site reference required ▲",(IF(AND(E138="Individual trees",W138&gt;0,G138="Yes"),"Error - you cannot enhance irreplaceable individual trees ▲",(IF(AND(X138="Irreplaceable habitat - no units generated ⚠",(W138+V138)&lt;H138,OR(AB138="No",AB138="")),"Any Loss Unacceptable ⚠",(IF(X138="Irreplaceable habitat - no units generated ⚠",W138*J138*L138*O138,IF(AND(P138='G-1 All Habitats'!$X$9,AH138&gt;0,V138&lt;=0,W138&lt;=0,OR(AB138="No",AB138="")),"Any Loss Unacceptable ⚠",IF(AND(P138='G-1 All Habitats'!$X$9,AH138&gt;0,V138&lt;=0,W138&lt;=0),0,(IF(AND(P138='G-1 All Habitats'!$X$9,(W138+V138)&lt;H138,OR(AB138="No",AB138="")),"Any Loss Unacceptable ⚠",(IF(P138="","",IF(AND(P138='G-1 All Habitats'!$X$9,W138&gt;0),X138+Y138,IF(AND(P138='G-1 All Habitats'!$X$9,V138&gt;0),X138+Y138,IF(R138="","",H138*J138*L138*O138)))))))))))))))))),"Check Data ▲")</f>
        <v/>
      </c>
      <c r="U138" s="38"/>
      <c r="V138" s="52"/>
      <c r="W138" s="53"/>
      <c r="X138" s="287" t="str">
        <f t="shared" si="11"/>
        <v/>
      </c>
      <c r="Y138" s="287" t="str">
        <f t="shared" si="12"/>
        <v/>
      </c>
      <c r="Z138" s="287" t="str">
        <f t="shared" si="13"/>
        <v/>
      </c>
      <c r="AA138" s="317" t="str">
        <f>IFERROR(IF(AND(E138="Individual trees",G138="Yes",W138&gt;0),"Error - you cannot enhance an irreplaceable tree ▲",(IF(H138="","",IF(H138-V138-W138=0&lt;0,"Error in Areas ▲",IF(V138+W138&gt;H138,"Error in Areas ▲",IF(AND(P138='G-1 All Habitats'!$X$9,AB138="Yes"),"Alternative Compensation ✓",IF(AND(P138='G-1 All Habitats'!$X$3,AB138="Yes"),"Alternative Compensation ✓",IF(AND(AB138="Pending",P138='G-1 All Habitats'!$X$3),"Bespoke compensation must be agreed ▲",IF(AND(AB138="Pending",P138='G-1 All Habitats'!$X$9),"Bespoke compensation must be agreed  ▲",IF(Z138=0,0,IF(P138='G-1 All Habitats'!$X$9,"Any Loss Unacceptable ▲",T138-X138-Y138))))))))))),"Check Data ⚠")</f>
        <v/>
      </c>
      <c r="AB138" s="587"/>
      <c r="AC138" s="105"/>
      <c r="AD138" s="138"/>
      <c r="AE138" s="104"/>
      <c r="AF138" s="611"/>
      <c r="AG138" s="523" t="str">
        <f>IF(OR(P138="",AB138="Yes"),"",IF(P138='G-1 All Habitats'!$X$9,H138-V138-W138,"None"))</f>
        <v/>
      </c>
      <c r="AH138" s="523" t="str">
        <f>IF(P138="","",IF(P138='G-1 All Habitats'!$X$9,AG138*J138*L138*O138,"None"))</f>
        <v/>
      </c>
      <c r="AJ138" s="107" t="str">
        <f t="shared" si="14"/>
        <v/>
      </c>
      <c r="AK138" s="107" t="str">
        <f t="shared" si="17"/>
        <v/>
      </c>
      <c r="AL138" s="107" t="str">
        <f>IF(I138="","",IF(#REF!&gt;0,TRUE,FALSE))</f>
        <v/>
      </c>
      <c r="AM138" s="107">
        <v>128</v>
      </c>
      <c r="AN138" s="107"/>
      <c r="AO138" s="107" t="str">
        <f t="array" ref="AO138">IFERROR(INDEX($AM$11:$AM$259,MATCH(0,IF(TRUE=$AJ$11:$AJ$259,COUNTIF($AO$10:$AO137,$AM$11:$AM$259),""),0)),"")</f>
        <v/>
      </c>
      <c r="AP138" s="107" t="str">
        <f t="array" ref="AP138">IFERROR(INDEX($AM$11:$AM$259,MATCH(0,IF(TRUE=$AK$11:$AK$259,COUNTIF($AP$10:$AP137,$AM$11:$AM$259),""),0)),"")</f>
        <v/>
      </c>
      <c r="AQ138" s="107" t="str">
        <f t="array" ref="AQ138">IFERROR(INDEX($AM$11:$AM$259,MATCH(0,IF(TRUE=$AL$11:$AL$259,COUNTIF($AQ$10:$AQ137,$AM$11:$AM$259),""),0)),"")</f>
        <v/>
      </c>
      <c r="AS138" s="885" t="str">
        <f>IF(AND(OR(AB138="Yes",AB138="Pending"),P138='G-1 All Habitats'!$X$3),T138-X138-Y138,"0")</f>
        <v>0</v>
      </c>
      <c r="AT138" s="30" t="str">
        <f t="shared" si="10"/>
        <v/>
      </c>
      <c r="AU138" s="30">
        <f t="shared" si="15"/>
        <v>0</v>
      </c>
      <c r="AV138" s="230" t="str">
        <f>IFERROR(INDEX('G-1 All Habitats'!$B$3:$B$135,MATCH(F138,'G-1 All Habitats'!$A$3:$A$135,0)),"")</f>
        <v/>
      </c>
      <c r="AW138" s="30" t="str">
        <f>IF(AV138="","",VLOOKUP(AV138,'G-1 All Habitats'!$B$1:$T$135,19,FALSE))</f>
        <v/>
      </c>
      <c r="AY138" s="287" t="str">
        <f t="shared" si="16"/>
        <v/>
      </c>
    </row>
    <row r="139" spans="1:51" ht="14">
      <c r="A139" s="30" t="str">
        <f>IFERROR(INDEX('G-1 All Habitats'!$AG$3:$AG$17,MATCH(E139,'G-1 All Habitats'!$AF$3:$AF$17,0)),"")</f>
        <v/>
      </c>
      <c r="B139" s="30" t="str">
        <f>IFERROR(INDEX('G-8 Condition Look up'!$I$4:$I$135,MATCH(AV139,'G-8 Condition Look up'!$A$4:$A$135,0)),"")</f>
        <v/>
      </c>
      <c r="D139" s="97">
        <v>129</v>
      </c>
      <c r="E139" s="262"/>
      <c r="F139" s="263"/>
      <c r="G139" s="133"/>
      <c r="H139" s="115"/>
      <c r="I139" s="509" t="str">
        <f>IF(AV139="","",IF(AND(AW139="Yes",G139="No"),"Irreplaceable habitat ▲",IF(AND(AW139="No",G139="Yes"),"Cannot be Irreplaceable ▲",VLOOKUP(AV139,'G-1 All Habitats'!$B$2:$M$135,10,FALSE))))</f>
        <v/>
      </c>
      <c r="J139" s="377" t="str">
        <f>IFERROR(VLOOKUP(I139,'G-1 All Habitats'!$V$3:$W$7,2,FALSE),"")</f>
        <v/>
      </c>
      <c r="K139" s="101"/>
      <c r="L139" s="276" t="str">
        <f>IFERROR(INDEX('G-8 Condition Look up'!$A$3:$H$135,MATCH(AV139,'G-8 Condition Look up'!$A$3:$A$135,0),MATCH(K139,'G-8 Condition Look up'!$A$3:$H$3,0)),"")</f>
        <v/>
      </c>
      <c r="M139" s="105"/>
      <c r="N139" s="295" t="str">
        <f>IF(M139="","",IF(VLOOKUP(M139,'G-3 Multipliers'!$L$3:$N$6,2,FALSE)=0,"Spatial Data Missing ⚠",VLOOKUP(M139,'G-3 Multipliers'!$L$3:$N$6,2,FALSE)))</f>
        <v/>
      </c>
      <c r="O139" s="353" t="str">
        <f>IF(M139="","",IF(VLOOKUP(M139,'G-3 Multipliers'!$L$3:$N$6,3,FALSE)=0,"Spatial Data Missing ⚠",VLOOKUP(M139,'G-3 Multipliers'!$L$3:$N$6,3,FALSE)))</f>
        <v/>
      </c>
      <c r="P139" s="336" t="str">
        <f>(IF(G139="Yes","Bespoke compensation likely to be required",(IFERROR(VLOOKUP(AV139,'G-1 All Habitats'!$B$2:$M$135,12,FALSE),""))))</f>
        <v/>
      </c>
      <c r="Q139" s="511" t="str">
        <f>IFERROR(IF(P139="","",IF(AND(E139="Individual trees",W139&gt;0,G139="Yes"),"Error - you cannot enhance irreplaceable individual trees ▲",IF(P139='G-1 All Habitats'!$X$9,T139*S139,IF(AND(P139='G-1 All Habitats'!$X$9,W139&gt;0),X139+(Y139*S139),IF(AND(P139='G-1 All Habitats'!$X$9,V139&gt;0),X139+(Y139*S139),IF(AND(P139='G-1 All Habitats'!$X$9,AG139&gt;0),"Any Loss Unacceptable  ⚠",IF(AND(P139='G-1 All Habitats'!$X$9,Z139&gt;0),"Any Loss Unacceptable ⚠",H139*J139*L139*O139*S139))))))),"Check Data ⚠")</f>
        <v/>
      </c>
      <c r="R139" s="393"/>
      <c r="S139" s="510" t="str">
        <f>IF(R139="","",IF(VLOOKUP(R139,'G-3 Multipliers'!$S$3:$T$10,2,FALSE)=0,"Spatial Data Missing ⚠",VLOOKUP(R139,'G-3 Multipliers'!$S$3:$T$10,2,FALSE)))</f>
        <v/>
      </c>
      <c r="T139" s="289" t="str">
        <f>IFERROR(IF(AND(F139&lt;&gt;"",G139=""),"Confirm irreplaceable habitat status ▲",(IF(AND(R139&lt;&gt;"",AF139=""),"Off-site reference required ▲",(IF(AND(E139="Individual trees",W139&gt;0,G139="Yes"),"Error - you cannot enhance irreplaceable individual trees ▲",(IF(AND(X139="Irreplaceable habitat - no units generated ⚠",(W139+V139)&lt;H139,OR(AB139="No",AB139="")),"Any Loss Unacceptable ⚠",(IF(X139="Irreplaceable habitat - no units generated ⚠",W139*J139*L139*O139,IF(AND(P139='G-1 All Habitats'!$X$9,AH139&gt;0,V139&lt;=0,W139&lt;=0,OR(AB139="No",AB139="")),"Any Loss Unacceptable ⚠",IF(AND(P139='G-1 All Habitats'!$X$9,AH139&gt;0,V139&lt;=0,W139&lt;=0),0,(IF(AND(P139='G-1 All Habitats'!$X$9,(W139+V139)&lt;H139,OR(AB139="No",AB139="")),"Any Loss Unacceptable ⚠",(IF(P139="","",IF(AND(P139='G-1 All Habitats'!$X$9,W139&gt;0),X139+Y139,IF(AND(P139='G-1 All Habitats'!$X$9,V139&gt;0),X139+Y139,IF(R139="","",H139*J139*L139*O139)))))))))))))))))),"Check Data ▲")</f>
        <v/>
      </c>
      <c r="U139" s="38"/>
      <c r="V139" s="52"/>
      <c r="W139" s="53"/>
      <c r="X139" s="287" t="str">
        <f t="shared" si="11"/>
        <v/>
      </c>
      <c r="Y139" s="287" t="str">
        <f t="shared" si="12"/>
        <v/>
      </c>
      <c r="Z139" s="287" t="str">
        <f t="shared" si="13"/>
        <v/>
      </c>
      <c r="AA139" s="317" t="str">
        <f>IFERROR(IF(AND(E139="Individual trees",G139="Yes",W139&gt;0),"Error - you cannot enhance an irreplaceable tree ▲",(IF(H139="","",IF(H139-V139-W139=0&lt;0,"Error in Areas ▲",IF(V139+W139&gt;H139,"Error in Areas ▲",IF(AND(P139='G-1 All Habitats'!$X$9,AB139="Yes"),"Alternative Compensation ✓",IF(AND(P139='G-1 All Habitats'!$X$3,AB139="Yes"),"Alternative Compensation ✓",IF(AND(AB139="Pending",P139='G-1 All Habitats'!$X$3),"Bespoke compensation must be agreed ▲",IF(AND(AB139="Pending",P139='G-1 All Habitats'!$X$9),"Bespoke compensation must be agreed  ▲",IF(Z139=0,0,IF(P139='G-1 All Habitats'!$X$9,"Any Loss Unacceptable ▲",T139-X139-Y139))))))))))),"Check Data ⚠")</f>
        <v/>
      </c>
      <c r="AB139" s="587"/>
      <c r="AC139" s="105"/>
      <c r="AD139" s="138"/>
      <c r="AE139" s="104"/>
      <c r="AF139" s="611"/>
      <c r="AG139" s="523" t="str">
        <f>IF(OR(P139="",AB139="Yes"),"",IF(P139='G-1 All Habitats'!$X$9,H139-V139-W139,"None"))</f>
        <v/>
      </c>
      <c r="AH139" s="523" t="str">
        <f>IF(P139="","",IF(P139='G-1 All Habitats'!$X$9,AG139*J139*L139*O139,"None"))</f>
        <v/>
      </c>
      <c r="AJ139" s="107" t="str">
        <f t="shared" si="14"/>
        <v/>
      </c>
      <c r="AK139" s="107" t="str">
        <f t="shared" si="18" ref="AK139:AK170">IF(H139="","",IF(W139&gt;0,TRUE,FALSE))</f>
        <v/>
      </c>
      <c r="AL139" s="107" t="str">
        <f>IF(I139="","",IF(#REF!&gt;0,TRUE,FALSE))</f>
        <v/>
      </c>
      <c r="AM139" s="107">
        <v>129</v>
      </c>
      <c r="AN139" s="107"/>
      <c r="AO139" s="107" t="str">
        <f t="array" ref="AO139">IFERROR(INDEX($AM$11:$AM$259,MATCH(0,IF(TRUE=$AJ$11:$AJ$259,COUNTIF($AO$10:$AO138,$AM$11:$AM$259),""),0)),"")</f>
        <v/>
      </c>
      <c r="AP139" s="107" t="str">
        <f t="array" ref="AP139">IFERROR(INDEX($AM$11:$AM$259,MATCH(0,IF(TRUE=$AK$11:$AK$259,COUNTIF($AP$10:$AP138,$AM$11:$AM$259),""),0)),"")</f>
        <v/>
      </c>
      <c r="AQ139" s="107" t="str">
        <f t="array" ref="AQ139">IFERROR(INDEX($AM$11:$AM$259,MATCH(0,IF(TRUE=$AL$11:$AL$259,COUNTIF($AQ$10:$AQ138,$AM$11:$AM$259),""),0)),"")</f>
        <v/>
      </c>
      <c r="AS139" s="885" t="str">
        <f>IF(AND(OR(AB139="Yes",AB139="Pending"),P139='G-1 All Habitats'!$X$3),T139-X139-Y139,"0")</f>
        <v>0</v>
      </c>
      <c r="AT139" s="30" t="str">
        <f t="shared" si="19" ref="AT139:AT202">IF(AB139="Yes","Yes ✓",IF(AB139="","","No ▲"))</f>
        <v/>
      </c>
      <c r="AU139" s="30">
        <f t="shared" si="15"/>
        <v>0</v>
      </c>
      <c r="AV139" s="230" t="str">
        <f>IFERROR(INDEX('G-1 All Habitats'!$B$3:$B$135,MATCH(F139,'G-1 All Habitats'!$A$3:$A$135,0)),"")</f>
        <v/>
      </c>
      <c r="AW139" s="30" t="str">
        <f>IF(AV139="","",VLOOKUP(AV139,'G-1 All Habitats'!$B$1:$T$135,19,FALSE))</f>
        <v/>
      </c>
      <c r="AY139" s="287" t="str">
        <f t="shared" si="16"/>
        <v/>
      </c>
    </row>
    <row r="140" spans="1:51" ht="14">
      <c r="A140" s="30" t="str">
        <f>IFERROR(INDEX('G-1 All Habitats'!$AG$3:$AG$17,MATCH(E140,'G-1 All Habitats'!$AF$3:$AF$17,0)),"")</f>
        <v/>
      </c>
      <c r="B140" s="30" t="str">
        <f>IFERROR(INDEX('G-8 Condition Look up'!$I$4:$I$135,MATCH(AV140,'G-8 Condition Look up'!$A$4:$A$135,0)),"")</f>
        <v/>
      </c>
      <c r="D140" s="97">
        <v>130</v>
      </c>
      <c r="E140" s="262"/>
      <c r="F140" s="263"/>
      <c r="G140" s="133"/>
      <c r="H140" s="115"/>
      <c r="I140" s="509" t="str">
        <f>IF(AV140="","",IF(AND(AW140="Yes",G140="No"),"Irreplaceable habitat ▲",IF(AND(AW140="No",G140="Yes"),"Cannot be Irreplaceable ▲",VLOOKUP(AV140,'G-1 All Habitats'!$B$2:$M$135,10,FALSE))))</f>
        <v/>
      </c>
      <c r="J140" s="377" t="str">
        <f>IFERROR(VLOOKUP(I140,'G-1 All Habitats'!$V$3:$W$7,2,FALSE),"")</f>
        <v/>
      </c>
      <c r="K140" s="101"/>
      <c r="L140" s="276" t="str">
        <f>IFERROR(INDEX('G-8 Condition Look up'!$A$3:$H$135,MATCH(AV140,'G-8 Condition Look up'!$A$3:$A$135,0),MATCH(K140,'G-8 Condition Look up'!$A$3:$H$3,0)),"")</f>
        <v/>
      </c>
      <c r="M140" s="105"/>
      <c r="N140" s="295" t="str">
        <f>IF(M140="","",IF(VLOOKUP(M140,'G-3 Multipliers'!$L$3:$N$6,2,FALSE)=0,"Spatial Data Missing ⚠",VLOOKUP(M140,'G-3 Multipliers'!$L$3:$N$6,2,FALSE)))</f>
        <v/>
      </c>
      <c r="O140" s="353" t="str">
        <f>IF(M140="","",IF(VLOOKUP(M140,'G-3 Multipliers'!$L$3:$N$6,3,FALSE)=0,"Spatial Data Missing ⚠",VLOOKUP(M140,'G-3 Multipliers'!$L$3:$N$6,3,FALSE)))</f>
        <v/>
      </c>
      <c r="P140" s="336" t="str">
        <f>(IF(G140="Yes","Bespoke compensation likely to be required",(IFERROR(VLOOKUP(AV140,'G-1 All Habitats'!$B$2:$M$135,12,FALSE),""))))</f>
        <v/>
      </c>
      <c r="Q140" s="511" t="str">
        <f>IFERROR(IF(P140="","",IF(AND(E140="Individual trees",W140&gt;0,G140="Yes"),"Error - you cannot enhance irreplaceable individual trees ▲",IF(P140='G-1 All Habitats'!$X$9,T140*S140,IF(AND(P140='G-1 All Habitats'!$X$9,W140&gt;0),X140+(Y140*S140),IF(AND(P140='G-1 All Habitats'!$X$9,V140&gt;0),X140+(Y140*S140),IF(AND(P140='G-1 All Habitats'!$X$9,AG140&gt;0),"Any Loss Unacceptable  ⚠",IF(AND(P140='G-1 All Habitats'!$X$9,Z140&gt;0),"Any Loss Unacceptable ⚠",H140*J140*L140*O140*S140))))))),"Check Data ⚠")</f>
        <v/>
      </c>
      <c r="R140" s="393"/>
      <c r="S140" s="510" t="str">
        <f>IF(R140="","",IF(VLOOKUP(R140,'G-3 Multipliers'!$S$3:$T$10,2,FALSE)=0,"Spatial Data Missing ⚠",VLOOKUP(R140,'G-3 Multipliers'!$S$3:$T$10,2,FALSE)))</f>
        <v/>
      </c>
      <c r="T140" s="289" t="str">
        <f>IFERROR(IF(AND(F140&lt;&gt;"",G140=""),"Confirm irreplaceable habitat status ▲",(IF(AND(R140&lt;&gt;"",AF140=""),"Off-site reference required ▲",(IF(AND(E140="Individual trees",W140&gt;0,G140="Yes"),"Error - you cannot enhance irreplaceable individual trees ▲",(IF(AND(X140="Irreplaceable habitat - no units generated ⚠",(W140+V140)&lt;H140,OR(AB140="No",AB140="")),"Any Loss Unacceptable ⚠",(IF(X140="Irreplaceable habitat - no units generated ⚠",W140*J140*L140*O140,IF(AND(P140='G-1 All Habitats'!$X$9,AH140&gt;0,V140&lt;=0,W140&lt;=0,OR(AB140="No",AB140="")),"Any Loss Unacceptable ⚠",IF(AND(P140='G-1 All Habitats'!$X$9,AH140&gt;0,V140&lt;=0,W140&lt;=0),0,(IF(AND(P140='G-1 All Habitats'!$X$9,(W140+V140)&lt;H140,OR(AB140="No",AB140="")),"Any Loss Unacceptable ⚠",(IF(P140="","",IF(AND(P140='G-1 All Habitats'!$X$9,W140&gt;0),X140+Y140,IF(AND(P140='G-1 All Habitats'!$X$9,V140&gt;0),X140+Y140,IF(R140="","",H140*J140*L140*O140)))))))))))))))))),"Check Data ▲")</f>
        <v/>
      </c>
      <c r="U140" s="38"/>
      <c r="V140" s="52"/>
      <c r="W140" s="53"/>
      <c r="X140" s="287" t="str">
        <f t="shared" si="20" ref="X140:X203">IFERROR(IF(G140="Yes","Irreplaceable habitat - no units generated ⚠",(V140*J140*L140*O140)),"")</f>
        <v/>
      </c>
      <c r="Y140" s="287" t="str">
        <f t="shared" si="21" ref="Y140:Y203">IFERROR(IF(AND(E140="Individual trees",W140&gt;0,G140="Yes"),"Error - ▲",(W140*J140*L140*O140)),"")</f>
        <v/>
      </c>
      <c r="Z140" s="287" t="str">
        <f t="shared" si="22" ref="Z140:Z203">IF(E140="","",IF(H140&lt;V140+W140,"Error in Areas ▲",H140-V140-W140))</f>
        <v/>
      </c>
      <c r="AA140" s="317" t="str">
        <f>IFERROR(IF(AND(E140="Individual trees",G140="Yes",W140&gt;0),"Error - you cannot enhance an irreplaceable tree ▲",(IF(H140="","",IF(H140-V140-W140=0&lt;0,"Error in Areas ▲",IF(V140+W140&gt;H140,"Error in Areas ▲",IF(AND(P140='G-1 All Habitats'!$X$9,AB140="Yes"),"Alternative Compensation ✓",IF(AND(P140='G-1 All Habitats'!$X$3,AB140="Yes"),"Alternative Compensation ✓",IF(AND(AB140="Pending",P140='G-1 All Habitats'!$X$3),"Bespoke compensation must be agreed ▲",IF(AND(AB140="Pending",P140='G-1 All Habitats'!$X$9),"Bespoke compensation must be agreed  ▲",IF(Z140=0,0,IF(P140='G-1 All Habitats'!$X$9,"Any Loss Unacceptable ▲",T140-X140-Y140))))))))))),"Check Data ⚠")</f>
        <v/>
      </c>
      <c r="AB140" s="587"/>
      <c r="AC140" s="105"/>
      <c r="AD140" s="138"/>
      <c r="AE140" s="104"/>
      <c r="AF140" s="611"/>
      <c r="AG140" s="523" t="str">
        <f>IF(OR(P140="",AB140="Yes"),"",IF(P140='G-1 All Habitats'!$X$9,H140-V140-W140,"None"))</f>
        <v/>
      </c>
      <c r="AH140" s="523" t="str">
        <f>IF(P140="","",IF(P140='G-1 All Habitats'!$X$9,AG140*J140*L140*O140,"None"))</f>
        <v/>
      </c>
      <c r="AJ140" s="107" t="str">
        <f t="shared" si="23" ref="AJ140:AJ203">IF(AV140="","",IF(V140&gt;0,TRUE,FALSE))</f>
        <v/>
      </c>
      <c r="AK140" s="107" t="str">
        <f t="shared" si="18"/>
        <v/>
      </c>
      <c r="AL140" s="107" t="str">
        <f>IF(I140="","",IF(#REF!&gt;0,TRUE,FALSE))</f>
        <v/>
      </c>
      <c r="AM140" s="107">
        <v>130</v>
      </c>
      <c r="AN140" s="107"/>
      <c r="AO140" s="107" t="str">
        <f t="array" ref="AO140">IFERROR(INDEX($AM$11:$AM$259,MATCH(0,IF(TRUE=$AJ$11:$AJ$259,COUNTIF($AO$10:$AO139,$AM$11:$AM$259),""),0)),"")</f>
        <v/>
      </c>
      <c r="AP140" s="107" t="str">
        <f t="array" ref="AP140">IFERROR(INDEX($AM$11:$AM$259,MATCH(0,IF(TRUE=$AK$11:$AK$259,COUNTIF($AP$10:$AP139,$AM$11:$AM$259),""),0)),"")</f>
        <v/>
      </c>
      <c r="AQ140" s="107" t="str">
        <f t="array" ref="AQ140">IFERROR(INDEX($AM$11:$AM$259,MATCH(0,IF(TRUE=$AL$11:$AL$259,COUNTIF($AQ$10:$AQ139,$AM$11:$AM$259),""),0)),"")</f>
        <v/>
      </c>
      <c r="AS140" s="885" t="str">
        <f>IF(AND(OR(AB140="Yes",AB140="Pending"),P140='G-1 All Habitats'!$X$3),T140-X140-Y140,"0")</f>
        <v>0</v>
      </c>
      <c r="AT140" s="30" t="str">
        <f t="shared" si="19"/>
        <v/>
      </c>
      <c r="AU140" s="30">
        <f t="shared" si="24" ref="AU140:AU203">IF(AA140="Any Loss Unacceptable ▲",1,0)</f>
        <v>0</v>
      </c>
      <c r="AV140" s="230" t="str">
        <f>IFERROR(INDEX('G-1 All Habitats'!$B$3:$B$135,MATCH(F140,'G-1 All Habitats'!$A$3:$A$135,0)),"")</f>
        <v/>
      </c>
      <c r="AW140" s="30" t="str">
        <f>IF(AV140="","",VLOOKUP(AV140,'G-1 All Habitats'!$B$1:$T$135,19,FALSE))</f>
        <v/>
      </c>
      <c r="AY140" s="287" t="str">
        <f t="shared" si="25" ref="AY140:AY203">IFERROR(IF(X140="Irreplaceable habitat - no units generated ⚠","0",(V140*J140*L140*O140*S140)+(AS140*S140)),"")</f>
        <v/>
      </c>
    </row>
    <row r="141" spans="1:51" ht="14">
      <c r="A141" s="30" t="str">
        <f>IFERROR(INDEX('G-1 All Habitats'!$AG$3:$AG$17,MATCH(E141,'G-1 All Habitats'!$AF$3:$AF$17,0)),"")</f>
        <v/>
      </c>
      <c r="B141" s="30" t="str">
        <f>IFERROR(INDEX('G-8 Condition Look up'!$I$4:$I$135,MATCH(AV141,'G-8 Condition Look up'!$A$4:$A$135,0)),"")</f>
        <v/>
      </c>
      <c r="D141" s="97">
        <v>131</v>
      </c>
      <c r="E141" s="262"/>
      <c r="F141" s="263"/>
      <c r="G141" s="133"/>
      <c r="H141" s="115"/>
      <c r="I141" s="509" t="str">
        <f>IF(AV141="","",IF(AND(AW141="Yes",G141="No"),"Irreplaceable habitat ▲",IF(AND(AW141="No",G141="Yes"),"Cannot be Irreplaceable ▲",VLOOKUP(AV141,'G-1 All Habitats'!$B$2:$M$135,10,FALSE))))</f>
        <v/>
      </c>
      <c r="J141" s="377" t="str">
        <f>IFERROR(VLOOKUP(I141,'G-1 All Habitats'!$V$3:$W$7,2,FALSE),"")</f>
        <v/>
      </c>
      <c r="K141" s="101"/>
      <c r="L141" s="276" t="str">
        <f>IFERROR(INDEX('G-8 Condition Look up'!$A$3:$H$135,MATCH(AV141,'G-8 Condition Look up'!$A$3:$A$135,0),MATCH(K141,'G-8 Condition Look up'!$A$3:$H$3,0)),"")</f>
        <v/>
      </c>
      <c r="M141" s="105"/>
      <c r="N141" s="295" t="str">
        <f>IF(M141="","",IF(VLOOKUP(M141,'G-3 Multipliers'!$L$3:$N$6,2,FALSE)=0,"Spatial Data Missing ⚠",VLOOKUP(M141,'G-3 Multipliers'!$L$3:$N$6,2,FALSE)))</f>
        <v/>
      </c>
      <c r="O141" s="353" t="str">
        <f>IF(M141="","",IF(VLOOKUP(M141,'G-3 Multipliers'!$L$3:$N$6,3,FALSE)=0,"Spatial Data Missing ⚠",VLOOKUP(M141,'G-3 Multipliers'!$L$3:$N$6,3,FALSE)))</f>
        <v/>
      </c>
      <c r="P141" s="336" t="str">
        <f>(IF(G141="Yes","Bespoke compensation likely to be required",(IFERROR(VLOOKUP(AV141,'G-1 All Habitats'!$B$2:$M$135,12,FALSE),""))))</f>
        <v/>
      </c>
      <c r="Q141" s="511" t="str">
        <f>IFERROR(IF(P141="","",IF(AND(E141="Individual trees",W141&gt;0,G141="Yes"),"Error - you cannot enhance irreplaceable individual trees ▲",IF(P141='G-1 All Habitats'!$X$9,T141*S141,IF(AND(P141='G-1 All Habitats'!$X$9,W141&gt;0),X141+(Y141*S141),IF(AND(P141='G-1 All Habitats'!$X$9,V141&gt;0),X141+(Y141*S141),IF(AND(P141='G-1 All Habitats'!$X$9,AG141&gt;0),"Any Loss Unacceptable  ⚠",IF(AND(P141='G-1 All Habitats'!$X$9,Z141&gt;0),"Any Loss Unacceptable ⚠",H141*J141*L141*O141*S141))))))),"Check Data ⚠")</f>
        <v/>
      </c>
      <c r="R141" s="393"/>
      <c r="S141" s="510" t="str">
        <f>IF(R141="","",IF(VLOOKUP(R141,'G-3 Multipliers'!$S$3:$T$10,2,FALSE)=0,"Spatial Data Missing ⚠",VLOOKUP(R141,'G-3 Multipliers'!$S$3:$T$10,2,FALSE)))</f>
        <v/>
      </c>
      <c r="T141" s="289" t="str">
        <f>IFERROR(IF(AND(F141&lt;&gt;"",G141=""),"Confirm irreplaceable habitat status ▲",(IF(AND(R141&lt;&gt;"",AF141=""),"Off-site reference required ▲",(IF(AND(E141="Individual trees",W141&gt;0,G141="Yes"),"Error - you cannot enhance irreplaceable individual trees ▲",(IF(AND(X141="Irreplaceable habitat - no units generated ⚠",(W141+V141)&lt;H141,OR(AB141="No",AB141="")),"Any Loss Unacceptable ⚠",(IF(X141="Irreplaceable habitat - no units generated ⚠",W141*J141*L141*O141,IF(AND(P141='G-1 All Habitats'!$X$9,AH141&gt;0,V141&lt;=0,W141&lt;=0,OR(AB141="No",AB141="")),"Any Loss Unacceptable ⚠",IF(AND(P141='G-1 All Habitats'!$X$9,AH141&gt;0,V141&lt;=0,W141&lt;=0),0,(IF(AND(P141='G-1 All Habitats'!$X$9,(W141+V141)&lt;H141,OR(AB141="No",AB141="")),"Any Loss Unacceptable ⚠",(IF(P141="","",IF(AND(P141='G-1 All Habitats'!$X$9,W141&gt;0),X141+Y141,IF(AND(P141='G-1 All Habitats'!$X$9,V141&gt;0),X141+Y141,IF(R141="","",H141*J141*L141*O141)))))))))))))))))),"Check Data ▲")</f>
        <v/>
      </c>
      <c r="U141" s="38"/>
      <c r="V141" s="52"/>
      <c r="W141" s="53"/>
      <c r="X141" s="287" t="str">
        <f t="shared" si="20"/>
        <v/>
      </c>
      <c r="Y141" s="287" t="str">
        <f t="shared" si="21"/>
        <v/>
      </c>
      <c r="Z141" s="287" t="str">
        <f t="shared" si="22"/>
        <v/>
      </c>
      <c r="AA141" s="317" t="str">
        <f>IFERROR(IF(AND(E141="Individual trees",G141="Yes",W141&gt;0),"Error - you cannot enhance an irreplaceable tree ▲",(IF(H141="","",IF(H141-V141-W141=0&lt;0,"Error in Areas ▲",IF(V141+W141&gt;H141,"Error in Areas ▲",IF(AND(P141='G-1 All Habitats'!$X$9,AB141="Yes"),"Alternative Compensation ✓",IF(AND(P141='G-1 All Habitats'!$X$3,AB141="Yes"),"Alternative Compensation ✓",IF(AND(AB141="Pending",P141='G-1 All Habitats'!$X$3),"Bespoke compensation must be agreed ▲",IF(AND(AB141="Pending",P141='G-1 All Habitats'!$X$9),"Bespoke compensation must be agreed  ▲",IF(Z141=0,0,IF(P141='G-1 All Habitats'!$X$9,"Any Loss Unacceptable ▲",T141-X141-Y141))))))))))),"Check Data ⚠")</f>
        <v/>
      </c>
      <c r="AB141" s="587"/>
      <c r="AC141" s="105"/>
      <c r="AD141" s="138"/>
      <c r="AE141" s="104"/>
      <c r="AF141" s="611"/>
      <c r="AG141" s="523" t="str">
        <f>IF(OR(P141="",AB141="Yes"),"",IF(P141='G-1 All Habitats'!$X$9,H141-V141-W141,"None"))</f>
        <v/>
      </c>
      <c r="AH141" s="523" t="str">
        <f>IF(P141="","",IF(P141='G-1 All Habitats'!$X$9,AG141*J141*L141*O141,"None"))</f>
        <v/>
      </c>
      <c r="AJ141" s="107" t="str">
        <f t="shared" si="23"/>
        <v/>
      </c>
      <c r="AK141" s="107" t="str">
        <f t="shared" si="18"/>
        <v/>
      </c>
      <c r="AL141" s="107" t="str">
        <f>IF(I141="","",IF(#REF!&gt;0,TRUE,FALSE))</f>
        <v/>
      </c>
      <c r="AM141" s="107">
        <v>131</v>
      </c>
      <c r="AN141" s="107"/>
      <c r="AO141" s="107" t="str">
        <f t="array" ref="AO141">IFERROR(INDEX($AM$11:$AM$259,MATCH(0,IF(TRUE=$AJ$11:$AJ$259,COUNTIF($AO$10:$AO140,$AM$11:$AM$259),""),0)),"")</f>
        <v/>
      </c>
      <c r="AP141" s="107" t="str">
        <f t="array" ref="AP141">IFERROR(INDEX($AM$11:$AM$259,MATCH(0,IF(TRUE=$AK$11:$AK$259,COUNTIF($AP$10:$AP140,$AM$11:$AM$259),""),0)),"")</f>
        <v/>
      </c>
      <c r="AQ141" s="107" t="str">
        <f t="array" ref="AQ141">IFERROR(INDEX($AM$11:$AM$259,MATCH(0,IF(TRUE=$AL$11:$AL$259,COUNTIF($AQ$10:$AQ140,$AM$11:$AM$259),""),0)),"")</f>
        <v/>
      </c>
      <c r="AS141" s="885" t="str">
        <f>IF(AND(OR(AB141="Yes",AB141="Pending"),P141='G-1 All Habitats'!$X$3),T141-X141-Y141,"0")</f>
        <v>0</v>
      </c>
      <c r="AT141" s="30" t="str">
        <f t="shared" si="19"/>
        <v/>
      </c>
      <c r="AU141" s="30">
        <f t="shared" si="24"/>
        <v>0</v>
      </c>
      <c r="AV141" s="230" t="str">
        <f>IFERROR(INDEX('G-1 All Habitats'!$B$3:$B$135,MATCH(F141,'G-1 All Habitats'!$A$3:$A$135,0)),"")</f>
        <v/>
      </c>
      <c r="AW141" s="30" t="str">
        <f>IF(AV141="","",VLOOKUP(AV141,'G-1 All Habitats'!$B$1:$T$135,19,FALSE))</f>
        <v/>
      </c>
      <c r="AY141" s="287" t="str">
        <f t="shared" si="25"/>
        <v/>
      </c>
    </row>
    <row r="142" spans="1:51" ht="14">
      <c r="A142" s="30" t="str">
        <f>IFERROR(INDEX('G-1 All Habitats'!$AG$3:$AG$17,MATCH(E142,'G-1 All Habitats'!$AF$3:$AF$17,0)),"")</f>
        <v/>
      </c>
      <c r="B142" s="30" t="str">
        <f>IFERROR(INDEX('G-8 Condition Look up'!$I$4:$I$135,MATCH(AV142,'G-8 Condition Look up'!$A$4:$A$135,0)),"")</f>
        <v/>
      </c>
      <c r="D142" s="97">
        <v>132</v>
      </c>
      <c r="E142" s="262"/>
      <c r="F142" s="263"/>
      <c r="G142" s="133"/>
      <c r="H142" s="115"/>
      <c r="I142" s="509" t="str">
        <f>IF(AV142="","",IF(AND(AW142="Yes",G142="No"),"Irreplaceable habitat ▲",IF(AND(AW142="No",G142="Yes"),"Cannot be Irreplaceable ▲",VLOOKUP(AV142,'G-1 All Habitats'!$B$2:$M$135,10,FALSE))))</f>
        <v/>
      </c>
      <c r="J142" s="377" t="str">
        <f>IFERROR(VLOOKUP(I142,'G-1 All Habitats'!$V$3:$W$7,2,FALSE),"")</f>
        <v/>
      </c>
      <c r="K142" s="101"/>
      <c r="L142" s="276" t="str">
        <f>IFERROR(INDEX('G-8 Condition Look up'!$A$3:$H$135,MATCH(AV142,'G-8 Condition Look up'!$A$3:$A$135,0),MATCH(K142,'G-8 Condition Look up'!$A$3:$H$3,0)),"")</f>
        <v/>
      </c>
      <c r="M142" s="105"/>
      <c r="N142" s="295" t="str">
        <f>IF(M142="","",IF(VLOOKUP(M142,'G-3 Multipliers'!$L$3:$N$6,2,FALSE)=0,"Spatial Data Missing ⚠",VLOOKUP(M142,'G-3 Multipliers'!$L$3:$N$6,2,FALSE)))</f>
        <v/>
      </c>
      <c r="O142" s="353" t="str">
        <f>IF(M142="","",IF(VLOOKUP(M142,'G-3 Multipliers'!$L$3:$N$6,3,FALSE)=0,"Spatial Data Missing ⚠",VLOOKUP(M142,'G-3 Multipliers'!$L$3:$N$6,3,FALSE)))</f>
        <v/>
      </c>
      <c r="P142" s="336" t="str">
        <f>(IF(G142="Yes","Bespoke compensation likely to be required",(IFERROR(VLOOKUP(AV142,'G-1 All Habitats'!$B$2:$M$135,12,FALSE),""))))</f>
        <v/>
      </c>
      <c r="Q142" s="511" t="str">
        <f>IFERROR(IF(P142="","",IF(AND(E142="Individual trees",W142&gt;0,G142="Yes"),"Error - you cannot enhance irreplaceable individual trees ▲",IF(P142='G-1 All Habitats'!$X$9,T142*S142,IF(AND(P142='G-1 All Habitats'!$X$9,W142&gt;0),X142+(Y142*S142),IF(AND(P142='G-1 All Habitats'!$X$9,V142&gt;0),X142+(Y142*S142),IF(AND(P142='G-1 All Habitats'!$X$9,AG142&gt;0),"Any Loss Unacceptable  ⚠",IF(AND(P142='G-1 All Habitats'!$X$9,Z142&gt;0),"Any Loss Unacceptable ⚠",H142*J142*L142*O142*S142))))))),"Check Data ⚠")</f>
        <v/>
      </c>
      <c r="R142" s="393"/>
      <c r="S142" s="510" t="str">
        <f>IF(R142="","",IF(VLOOKUP(R142,'G-3 Multipliers'!$S$3:$T$10,2,FALSE)=0,"Spatial Data Missing ⚠",VLOOKUP(R142,'G-3 Multipliers'!$S$3:$T$10,2,FALSE)))</f>
        <v/>
      </c>
      <c r="T142" s="289" t="str">
        <f>IFERROR(IF(AND(F142&lt;&gt;"",G142=""),"Confirm irreplaceable habitat status ▲",(IF(AND(R142&lt;&gt;"",AF142=""),"Off-site reference required ▲",(IF(AND(E142="Individual trees",W142&gt;0,G142="Yes"),"Error - you cannot enhance irreplaceable individual trees ▲",(IF(AND(X142="Irreplaceable habitat - no units generated ⚠",(W142+V142)&lt;H142,OR(AB142="No",AB142="")),"Any Loss Unacceptable ⚠",(IF(X142="Irreplaceable habitat - no units generated ⚠",W142*J142*L142*O142,IF(AND(P142='G-1 All Habitats'!$X$9,AH142&gt;0,V142&lt;=0,W142&lt;=0,OR(AB142="No",AB142="")),"Any Loss Unacceptable ⚠",IF(AND(P142='G-1 All Habitats'!$X$9,AH142&gt;0,V142&lt;=0,W142&lt;=0),0,(IF(AND(P142='G-1 All Habitats'!$X$9,(W142+V142)&lt;H142,OR(AB142="No",AB142="")),"Any Loss Unacceptable ⚠",(IF(P142="","",IF(AND(P142='G-1 All Habitats'!$X$9,W142&gt;0),X142+Y142,IF(AND(P142='G-1 All Habitats'!$X$9,V142&gt;0),X142+Y142,IF(R142="","",H142*J142*L142*O142)))))))))))))))))),"Check Data ▲")</f>
        <v/>
      </c>
      <c r="U142" s="38"/>
      <c r="V142" s="52"/>
      <c r="W142" s="53"/>
      <c r="X142" s="287" t="str">
        <f t="shared" si="20"/>
        <v/>
      </c>
      <c r="Y142" s="287" t="str">
        <f t="shared" si="21"/>
        <v/>
      </c>
      <c r="Z142" s="287" t="str">
        <f t="shared" si="22"/>
        <v/>
      </c>
      <c r="AA142" s="317" t="str">
        <f>IFERROR(IF(AND(E142="Individual trees",G142="Yes",W142&gt;0),"Error - you cannot enhance an irreplaceable tree ▲",(IF(H142="","",IF(H142-V142-W142=0&lt;0,"Error in Areas ▲",IF(V142+W142&gt;H142,"Error in Areas ▲",IF(AND(P142='G-1 All Habitats'!$X$9,AB142="Yes"),"Alternative Compensation ✓",IF(AND(P142='G-1 All Habitats'!$X$3,AB142="Yes"),"Alternative Compensation ✓",IF(AND(AB142="Pending",P142='G-1 All Habitats'!$X$3),"Bespoke compensation must be agreed ▲",IF(AND(AB142="Pending",P142='G-1 All Habitats'!$X$9),"Bespoke compensation must be agreed  ▲",IF(Z142=0,0,IF(P142='G-1 All Habitats'!$X$9,"Any Loss Unacceptable ▲",T142-X142-Y142))))))))))),"Check Data ⚠")</f>
        <v/>
      </c>
      <c r="AB142" s="587"/>
      <c r="AC142" s="105"/>
      <c r="AD142" s="138"/>
      <c r="AE142" s="104"/>
      <c r="AF142" s="611"/>
      <c r="AG142" s="523" t="str">
        <f>IF(OR(P142="",AB142="Yes"),"",IF(P142='G-1 All Habitats'!$X$9,H142-V142-W142,"None"))</f>
        <v/>
      </c>
      <c r="AH142" s="523" t="str">
        <f>IF(P142="","",IF(P142='G-1 All Habitats'!$X$9,AG142*J142*L142*O142,"None"))</f>
        <v/>
      </c>
      <c r="AJ142" s="107" t="str">
        <f t="shared" si="23"/>
        <v/>
      </c>
      <c r="AK142" s="107" t="str">
        <f t="shared" si="18"/>
        <v/>
      </c>
      <c r="AL142" s="107" t="str">
        <f>IF(I142="","",IF(#REF!&gt;0,TRUE,FALSE))</f>
        <v/>
      </c>
      <c r="AM142" s="107">
        <v>132</v>
      </c>
      <c r="AN142" s="107"/>
      <c r="AO142" s="107" t="str">
        <f t="array" ref="AO142">IFERROR(INDEX($AM$11:$AM$259,MATCH(0,IF(TRUE=$AJ$11:$AJ$259,COUNTIF($AO$10:$AO141,$AM$11:$AM$259),""),0)),"")</f>
        <v/>
      </c>
      <c r="AP142" s="107" t="str">
        <f t="array" ref="AP142">IFERROR(INDEX($AM$11:$AM$259,MATCH(0,IF(TRUE=$AK$11:$AK$259,COUNTIF($AP$10:$AP141,$AM$11:$AM$259),""),0)),"")</f>
        <v/>
      </c>
      <c r="AQ142" s="107" t="str">
        <f t="array" ref="AQ142">IFERROR(INDEX($AM$11:$AM$259,MATCH(0,IF(TRUE=$AL$11:$AL$259,COUNTIF($AQ$10:$AQ141,$AM$11:$AM$259),""),0)),"")</f>
        <v/>
      </c>
      <c r="AS142" s="885" t="str">
        <f>IF(AND(OR(AB142="Yes",AB142="Pending"),P142='G-1 All Habitats'!$X$3),T142-X142-Y142,"0")</f>
        <v>0</v>
      </c>
      <c r="AT142" s="30" t="str">
        <f t="shared" si="19"/>
        <v/>
      </c>
      <c r="AU142" s="30">
        <f t="shared" si="24"/>
        <v>0</v>
      </c>
      <c r="AV142" s="230" t="str">
        <f>IFERROR(INDEX('G-1 All Habitats'!$B$3:$B$135,MATCH(F142,'G-1 All Habitats'!$A$3:$A$135,0)),"")</f>
        <v/>
      </c>
      <c r="AW142" s="30" t="str">
        <f>IF(AV142="","",VLOOKUP(AV142,'G-1 All Habitats'!$B$1:$T$135,19,FALSE))</f>
        <v/>
      </c>
      <c r="AY142" s="287" t="str">
        <f t="shared" si="25"/>
        <v/>
      </c>
    </row>
    <row r="143" spans="1:51" ht="14">
      <c r="A143" s="30" t="str">
        <f>IFERROR(INDEX('G-1 All Habitats'!$AG$3:$AG$17,MATCH(E143,'G-1 All Habitats'!$AF$3:$AF$17,0)),"")</f>
        <v/>
      </c>
      <c r="B143" s="30" t="str">
        <f>IFERROR(INDEX('G-8 Condition Look up'!$I$4:$I$135,MATCH(AV143,'G-8 Condition Look up'!$A$4:$A$135,0)),"")</f>
        <v/>
      </c>
      <c r="D143" s="97">
        <v>133</v>
      </c>
      <c r="E143" s="262"/>
      <c r="F143" s="263"/>
      <c r="G143" s="133"/>
      <c r="H143" s="115"/>
      <c r="I143" s="509" t="str">
        <f>IF(AV143="","",IF(AND(AW143="Yes",G143="No"),"Irreplaceable habitat ▲",IF(AND(AW143="No",G143="Yes"),"Cannot be Irreplaceable ▲",VLOOKUP(AV143,'G-1 All Habitats'!$B$2:$M$135,10,FALSE))))</f>
        <v/>
      </c>
      <c r="J143" s="377" t="str">
        <f>IFERROR(VLOOKUP(I143,'G-1 All Habitats'!$V$3:$W$7,2,FALSE),"")</f>
        <v/>
      </c>
      <c r="K143" s="101"/>
      <c r="L143" s="276" t="str">
        <f>IFERROR(INDEX('G-8 Condition Look up'!$A$3:$H$135,MATCH(AV143,'G-8 Condition Look up'!$A$3:$A$135,0),MATCH(K143,'G-8 Condition Look up'!$A$3:$H$3,0)),"")</f>
        <v/>
      </c>
      <c r="M143" s="105"/>
      <c r="N143" s="295" t="str">
        <f>IF(M143="","",IF(VLOOKUP(M143,'G-3 Multipliers'!$L$3:$N$6,2,FALSE)=0,"Spatial Data Missing ⚠",VLOOKUP(M143,'G-3 Multipliers'!$L$3:$N$6,2,FALSE)))</f>
        <v/>
      </c>
      <c r="O143" s="353" t="str">
        <f>IF(M143="","",IF(VLOOKUP(M143,'G-3 Multipliers'!$L$3:$N$6,3,FALSE)=0,"Spatial Data Missing ⚠",VLOOKUP(M143,'G-3 Multipliers'!$L$3:$N$6,3,FALSE)))</f>
        <v/>
      </c>
      <c r="P143" s="336" t="str">
        <f>(IF(G143="Yes","Bespoke compensation likely to be required",(IFERROR(VLOOKUP(AV143,'G-1 All Habitats'!$B$2:$M$135,12,FALSE),""))))</f>
        <v/>
      </c>
      <c r="Q143" s="511" t="str">
        <f>IFERROR(IF(P143="","",IF(AND(E143="Individual trees",W143&gt;0,G143="Yes"),"Error - you cannot enhance irreplaceable individual trees ▲",IF(P143='G-1 All Habitats'!$X$9,T143*S143,IF(AND(P143='G-1 All Habitats'!$X$9,W143&gt;0),X143+(Y143*S143),IF(AND(P143='G-1 All Habitats'!$X$9,V143&gt;0),X143+(Y143*S143),IF(AND(P143='G-1 All Habitats'!$X$9,AG143&gt;0),"Any Loss Unacceptable  ⚠",IF(AND(P143='G-1 All Habitats'!$X$9,Z143&gt;0),"Any Loss Unacceptable ⚠",H143*J143*L143*O143*S143))))))),"Check Data ⚠")</f>
        <v/>
      </c>
      <c r="R143" s="393"/>
      <c r="S143" s="510" t="str">
        <f>IF(R143="","",IF(VLOOKUP(R143,'G-3 Multipliers'!$S$3:$T$10,2,FALSE)=0,"Spatial Data Missing ⚠",VLOOKUP(R143,'G-3 Multipliers'!$S$3:$T$10,2,FALSE)))</f>
        <v/>
      </c>
      <c r="T143" s="289" t="str">
        <f>IFERROR(IF(AND(F143&lt;&gt;"",G143=""),"Confirm irreplaceable habitat status ▲",(IF(AND(R143&lt;&gt;"",AF143=""),"Off-site reference required ▲",(IF(AND(E143="Individual trees",W143&gt;0,G143="Yes"),"Error - you cannot enhance irreplaceable individual trees ▲",(IF(AND(X143="Irreplaceable habitat - no units generated ⚠",(W143+V143)&lt;H143,OR(AB143="No",AB143="")),"Any Loss Unacceptable ⚠",(IF(X143="Irreplaceable habitat - no units generated ⚠",W143*J143*L143*O143,IF(AND(P143='G-1 All Habitats'!$X$9,AH143&gt;0,V143&lt;=0,W143&lt;=0,OR(AB143="No",AB143="")),"Any Loss Unacceptable ⚠",IF(AND(P143='G-1 All Habitats'!$X$9,AH143&gt;0,V143&lt;=0,W143&lt;=0),0,(IF(AND(P143='G-1 All Habitats'!$X$9,(W143+V143)&lt;H143,OR(AB143="No",AB143="")),"Any Loss Unacceptable ⚠",(IF(P143="","",IF(AND(P143='G-1 All Habitats'!$X$9,W143&gt;0),X143+Y143,IF(AND(P143='G-1 All Habitats'!$X$9,V143&gt;0),X143+Y143,IF(R143="","",H143*J143*L143*O143)))))))))))))))))),"Check Data ▲")</f>
        <v/>
      </c>
      <c r="U143" s="38"/>
      <c r="V143" s="52"/>
      <c r="W143" s="53"/>
      <c r="X143" s="287" t="str">
        <f t="shared" si="20"/>
        <v/>
      </c>
      <c r="Y143" s="287" t="str">
        <f t="shared" si="21"/>
        <v/>
      </c>
      <c r="Z143" s="287" t="str">
        <f t="shared" si="22"/>
        <v/>
      </c>
      <c r="AA143" s="317" t="str">
        <f>IFERROR(IF(AND(E143="Individual trees",G143="Yes",W143&gt;0),"Error - you cannot enhance an irreplaceable tree ▲",(IF(H143="","",IF(H143-V143-W143=0&lt;0,"Error in Areas ▲",IF(V143+W143&gt;H143,"Error in Areas ▲",IF(AND(P143='G-1 All Habitats'!$X$9,AB143="Yes"),"Alternative Compensation ✓",IF(AND(P143='G-1 All Habitats'!$X$3,AB143="Yes"),"Alternative Compensation ✓",IF(AND(AB143="Pending",P143='G-1 All Habitats'!$X$3),"Bespoke compensation must be agreed ▲",IF(AND(AB143="Pending",P143='G-1 All Habitats'!$X$9),"Bespoke compensation must be agreed  ▲",IF(Z143=0,0,IF(P143='G-1 All Habitats'!$X$9,"Any Loss Unacceptable ▲",T143-X143-Y143))))))))))),"Check Data ⚠")</f>
        <v/>
      </c>
      <c r="AB143" s="587"/>
      <c r="AC143" s="105"/>
      <c r="AD143" s="138"/>
      <c r="AE143" s="104"/>
      <c r="AF143" s="611"/>
      <c r="AG143" s="523" t="str">
        <f>IF(OR(P143="",AB143="Yes"),"",IF(P143='G-1 All Habitats'!$X$9,H143-V143-W143,"None"))</f>
        <v/>
      </c>
      <c r="AH143" s="523" t="str">
        <f>IF(P143="","",IF(P143='G-1 All Habitats'!$X$9,AG143*J143*L143*O143,"None"))</f>
        <v/>
      </c>
      <c r="AJ143" s="107" t="str">
        <f t="shared" si="23"/>
        <v/>
      </c>
      <c r="AK143" s="107" t="str">
        <f t="shared" si="18"/>
        <v/>
      </c>
      <c r="AL143" s="107" t="str">
        <f>IF(I143="","",IF(#REF!&gt;0,TRUE,FALSE))</f>
        <v/>
      </c>
      <c r="AM143" s="107">
        <v>133</v>
      </c>
      <c r="AN143" s="107"/>
      <c r="AO143" s="107" t="str">
        <f t="array" ref="AO143">IFERROR(INDEX($AM$11:$AM$259,MATCH(0,IF(TRUE=$AJ$11:$AJ$259,COUNTIF($AO$10:$AO142,$AM$11:$AM$259),""),0)),"")</f>
        <v/>
      </c>
      <c r="AP143" s="107" t="str">
        <f t="array" ref="AP143">IFERROR(INDEX($AM$11:$AM$259,MATCH(0,IF(TRUE=$AK$11:$AK$259,COUNTIF($AP$10:$AP142,$AM$11:$AM$259),""),0)),"")</f>
        <v/>
      </c>
      <c r="AQ143" s="107" t="str">
        <f t="array" ref="AQ143">IFERROR(INDEX($AM$11:$AM$259,MATCH(0,IF(TRUE=$AL$11:$AL$259,COUNTIF($AQ$10:$AQ142,$AM$11:$AM$259),""),0)),"")</f>
        <v/>
      </c>
      <c r="AS143" s="885" t="str">
        <f>IF(AND(OR(AB143="Yes",AB143="Pending"),P143='G-1 All Habitats'!$X$3),T143-X143-Y143,"0")</f>
        <v>0</v>
      </c>
      <c r="AT143" s="30" t="str">
        <f t="shared" si="19"/>
        <v/>
      </c>
      <c r="AU143" s="30">
        <f t="shared" si="24"/>
        <v>0</v>
      </c>
      <c r="AV143" s="230" t="str">
        <f>IFERROR(INDEX('G-1 All Habitats'!$B$3:$B$135,MATCH(F143,'G-1 All Habitats'!$A$3:$A$135,0)),"")</f>
        <v/>
      </c>
      <c r="AW143" s="30" t="str">
        <f>IF(AV143="","",VLOOKUP(AV143,'G-1 All Habitats'!$B$1:$T$135,19,FALSE))</f>
        <v/>
      </c>
      <c r="AY143" s="287" t="str">
        <f t="shared" si="25"/>
        <v/>
      </c>
    </row>
    <row r="144" spans="1:51" ht="14">
      <c r="A144" s="30" t="str">
        <f>IFERROR(INDEX('G-1 All Habitats'!$AG$3:$AG$17,MATCH(E144,'G-1 All Habitats'!$AF$3:$AF$17,0)),"")</f>
        <v/>
      </c>
      <c r="B144" s="30" t="str">
        <f>IFERROR(INDEX('G-8 Condition Look up'!$I$4:$I$135,MATCH(AV144,'G-8 Condition Look up'!$A$4:$A$135,0)),"")</f>
        <v/>
      </c>
      <c r="D144" s="97">
        <v>134</v>
      </c>
      <c r="E144" s="262"/>
      <c r="F144" s="263"/>
      <c r="G144" s="133"/>
      <c r="H144" s="115"/>
      <c r="I144" s="509" t="str">
        <f>IF(AV144="","",IF(AND(AW144="Yes",G144="No"),"Irreplaceable habitat ▲",IF(AND(AW144="No",G144="Yes"),"Cannot be Irreplaceable ▲",VLOOKUP(AV144,'G-1 All Habitats'!$B$2:$M$135,10,FALSE))))</f>
        <v/>
      </c>
      <c r="J144" s="377" t="str">
        <f>IFERROR(VLOOKUP(I144,'G-1 All Habitats'!$V$3:$W$7,2,FALSE),"")</f>
        <v/>
      </c>
      <c r="K144" s="101"/>
      <c r="L144" s="276" t="str">
        <f>IFERROR(INDEX('G-8 Condition Look up'!$A$3:$H$135,MATCH(AV144,'G-8 Condition Look up'!$A$3:$A$135,0),MATCH(K144,'G-8 Condition Look up'!$A$3:$H$3,0)),"")</f>
        <v/>
      </c>
      <c r="M144" s="105"/>
      <c r="N144" s="295" t="str">
        <f>IF(M144="","",IF(VLOOKUP(M144,'G-3 Multipliers'!$L$3:$N$6,2,FALSE)=0,"Spatial Data Missing ⚠",VLOOKUP(M144,'G-3 Multipliers'!$L$3:$N$6,2,FALSE)))</f>
        <v/>
      </c>
      <c r="O144" s="353" t="str">
        <f>IF(M144="","",IF(VLOOKUP(M144,'G-3 Multipliers'!$L$3:$N$6,3,FALSE)=0,"Spatial Data Missing ⚠",VLOOKUP(M144,'G-3 Multipliers'!$L$3:$N$6,3,FALSE)))</f>
        <v/>
      </c>
      <c r="P144" s="336" t="str">
        <f>(IF(G144="Yes","Bespoke compensation likely to be required",(IFERROR(VLOOKUP(AV144,'G-1 All Habitats'!$B$2:$M$135,12,FALSE),""))))</f>
        <v/>
      </c>
      <c r="Q144" s="511" t="str">
        <f>IFERROR(IF(P144="","",IF(AND(E144="Individual trees",W144&gt;0,G144="Yes"),"Error - you cannot enhance irreplaceable individual trees ▲",IF(P144='G-1 All Habitats'!$X$9,T144*S144,IF(AND(P144='G-1 All Habitats'!$X$9,W144&gt;0),X144+(Y144*S144),IF(AND(P144='G-1 All Habitats'!$X$9,V144&gt;0),X144+(Y144*S144),IF(AND(P144='G-1 All Habitats'!$X$9,AG144&gt;0),"Any Loss Unacceptable  ⚠",IF(AND(P144='G-1 All Habitats'!$X$9,Z144&gt;0),"Any Loss Unacceptable ⚠",H144*J144*L144*O144*S144))))))),"Check Data ⚠")</f>
        <v/>
      </c>
      <c r="R144" s="393"/>
      <c r="S144" s="510" t="str">
        <f>IF(R144="","",IF(VLOOKUP(R144,'G-3 Multipliers'!$S$3:$T$10,2,FALSE)=0,"Spatial Data Missing ⚠",VLOOKUP(R144,'G-3 Multipliers'!$S$3:$T$10,2,FALSE)))</f>
        <v/>
      </c>
      <c r="T144" s="289" t="str">
        <f>IFERROR(IF(AND(F144&lt;&gt;"",G144=""),"Confirm irreplaceable habitat status ▲",(IF(AND(R144&lt;&gt;"",AF144=""),"Off-site reference required ▲",(IF(AND(E144="Individual trees",W144&gt;0,G144="Yes"),"Error - you cannot enhance irreplaceable individual trees ▲",(IF(AND(X144="Irreplaceable habitat - no units generated ⚠",(W144+V144)&lt;H144,OR(AB144="No",AB144="")),"Any Loss Unacceptable ⚠",(IF(X144="Irreplaceable habitat - no units generated ⚠",W144*J144*L144*O144,IF(AND(P144='G-1 All Habitats'!$X$9,AH144&gt;0,V144&lt;=0,W144&lt;=0,OR(AB144="No",AB144="")),"Any Loss Unacceptable ⚠",IF(AND(P144='G-1 All Habitats'!$X$9,AH144&gt;0,V144&lt;=0,W144&lt;=0),0,(IF(AND(P144='G-1 All Habitats'!$X$9,(W144+V144)&lt;H144,OR(AB144="No",AB144="")),"Any Loss Unacceptable ⚠",(IF(P144="","",IF(AND(P144='G-1 All Habitats'!$X$9,W144&gt;0),X144+Y144,IF(AND(P144='G-1 All Habitats'!$X$9,V144&gt;0),X144+Y144,IF(R144="","",H144*J144*L144*O144)))))))))))))))))),"Check Data ▲")</f>
        <v/>
      </c>
      <c r="U144" s="38"/>
      <c r="V144" s="52"/>
      <c r="W144" s="53"/>
      <c r="X144" s="287" t="str">
        <f t="shared" si="20"/>
        <v/>
      </c>
      <c r="Y144" s="287" t="str">
        <f t="shared" si="21"/>
        <v/>
      </c>
      <c r="Z144" s="287" t="str">
        <f t="shared" si="22"/>
        <v/>
      </c>
      <c r="AA144" s="317" t="str">
        <f>IFERROR(IF(AND(E144="Individual trees",G144="Yes",W144&gt;0),"Error - you cannot enhance an irreplaceable tree ▲",(IF(H144="","",IF(H144-V144-W144=0&lt;0,"Error in Areas ▲",IF(V144+W144&gt;H144,"Error in Areas ▲",IF(AND(P144='G-1 All Habitats'!$X$9,AB144="Yes"),"Alternative Compensation ✓",IF(AND(P144='G-1 All Habitats'!$X$3,AB144="Yes"),"Alternative Compensation ✓",IF(AND(AB144="Pending",P144='G-1 All Habitats'!$X$3),"Bespoke compensation must be agreed ▲",IF(AND(AB144="Pending",P144='G-1 All Habitats'!$X$9),"Bespoke compensation must be agreed  ▲",IF(Z144=0,0,IF(P144='G-1 All Habitats'!$X$9,"Any Loss Unacceptable ▲",T144-X144-Y144))))))))))),"Check Data ⚠")</f>
        <v/>
      </c>
      <c r="AB144" s="587"/>
      <c r="AC144" s="105"/>
      <c r="AD144" s="138"/>
      <c r="AE144" s="104"/>
      <c r="AF144" s="611"/>
      <c r="AG144" s="523" t="str">
        <f>IF(OR(P144="",AB144="Yes"),"",IF(P144='G-1 All Habitats'!$X$9,H144-V144-W144,"None"))</f>
        <v/>
      </c>
      <c r="AH144" s="523" t="str">
        <f>IF(P144="","",IF(P144='G-1 All Habitats'!$X$9,AG144*J144*L144*O144,"None"))</f>
        <v/>
      </c>
      <c r="AJ144" s="107" t="str">
        <f t="shared" si="23"/>
        <v/>
      </c>
      <c r="AK144" s="107" t="str">
        <f t="shared" si="18"/>
        <v/>
      </c>
      <c r="AL144" s="107" t="str">
        <f>IF(I144="","",IF(#REF!&gt;0,TRUE,FALSE))</f>
        <v/>
      </c>
      <c r="AM144" s="107">
        <v>134</v>
      </c>
      <c r="AN144" s="107"/>
      <c r="AO144" s="107" t="str">
        <f t="array" ref="AO144">IFERROR(INDEX($AM$11:$AM$259,MATCH(0,IF(TRUE=$AJ$11:$AJ$259,COUNTIF($AO$10:$AO143,$AM$11:$AM$259),""),0)),"")</f>
        <v/>
      </c>
      <c r="AP144" s="107" t="str">
        <f t="array" ref="AP144">IFERROR(INDEX($AM$11:$AM$259,MATCH(0,IF(TRUE=$AK$11:$AK$259,COUNTIF($AP$10:$AP143,$AM$11:$AM$259),""),0)),"")</f>
        <v/>
      </c>
      <c r="AQ144" s="107" t="str">
        <f t="array" ref="AQ144">IFERROR(INDEX($AM$11:$AM$259,MATCH(0,IF(TRUE=$AL$11:$AL$259,COUNTIF($AQ$10:$AQ143,$AM$11:$AM$259),""),0)),"")</f>
        <v/>
      </c>
      <c r="AS144" s="885" t="str">
        <f>IF(AND(OR(AB144="Yes",AB144="Pending"),P144='G-1 All Habitats'!$X$3),T144-X144-Y144,"0")</f>
        <v>0</v>
      </c>
      <c r="AT144" s="30" t="str">
        <f t="shared" si="19"/>
        <v/>
      </c>
      <c r="AU144" s="30">
        <f t="shared" si="24"/>
        <v>0</v>
      </c>
      <c r="AV144" s="230" t="str">
        <f>IFERROR(INDEX('G-1 All Habitats'!$B$3:$B$135,MATCH(F144,'G-1 All Habitats'!$A$3:$A$135,0)),"")</f>
        <v/>
      </c>
      <c r="AW144" s="30" t="str">
        <f>IF(AV144="","",VLOOKUP(AV144,'G-1 All Habitats'!$B$1:$T$135,19,FALSE))</f>
        <v/>
      </c>
      <c r="AY144" s="287" t="str">
        <f t="shared" si="25"/>
        <v/>
      </c>
    </row>
    <row r="145" spans="1:51" ht="14">
      <c r="A145" s="30" t="str">
        <f>IFERROR(INDEX('G-1 All Habitats'!$AG$3:$AG$17,MATCH(E145,'G-1 All Habitats'!$AF$3:$AF$17,0)),"")</f>
        <v/>
      </c>
      <c r="B145" s="30" t="str">
        <f>IFERROR(INDEX('G-8 Condition Look up'!$I$4:$I$135,MATCH(AV145,'G-8 Condition Look up'!$A$4:$A$135,0)),"")</f>
        <v/>
      </c>
      <c r="D145" s="97">
        <v>135</v>
      </c>
      <c r="E145" s="262"/>
      <c r="F145" s="263"/>
      <c r="G145" s="133"/>
      <c r="H145" s="115"/>
      <c r="I145" s="509" t="str">
        <f>IF(AV145="","",IF(AND(AW145="Yes",G145="No"),"Irreplaceable habitat ▲",IF(AND(AW145="No",G145="Yes"),"Cannot be Irreplaceable ▲",VLOOKUP(AV145,'G-1 All Habitats'!$B$2:$M$135,10,FALSE))))</f>
        <v/>
      </c>
      <c r="J145" s="377" t="str">
        <f>IFERROR(VLOOKUP(I145,'G-1 All Habitats'!$V$3:$W$7,2,FALSE),"")</f>
        <v/>
      </c>
      <c r="K145" s="101"/>
      <c r="L145" s="276" t="str">
        <f>IFERROR(INDEX('G-8 Condition Look up'!$A$3:$H$135,MATCH(AV145,'G-8 Condition Look up'!$A$3:$A$135,0),MATCH(K145,'G-8 Condition Look up'!$A$3:$H$3,0)),"")</f>
        <v/>
      </c>
      <c r="M145" s="105"/>
      <c r="N145" s="295" t="str">
        <f>IF(M145="","",IF(VLOOKUP(M145,'G-3 Multipliers'!$L$3:$N$6,2,FALSE)=0,"Spatial Data Missing ⚠",VLOOKUP(M145,'G-3 Multipliers'!$L$3:$N$6,2,FALSE)))</f>
        <v/>
      </c>
      <c r="O145" s="353" t="str">
        <f>IF(M145="","",IF(VLOOKUP(M145,'G-3 Multipliers'!$L$3:$N$6,3,FALSE)=0,"Spatial Data Missing ⚠",VLOOKUP(M145,'G-3 Multipliers'!$L$3:$N$6,3,FALSE)))</f>
        <v/>
      </c>
      <c r="P145" s="336" t="str">
        <f>(IF(G145="Yes","Bespoke compensation likely to be required",(IFERROR(VLOOKUP(AV145,'G-1 All Habitats'!$B$2:$M$135,12,FALSE),""))))</f>
        <v/>
      </c>
      <c r="Q145" s="511" t="str">
        <f>IFERROR(IF(P145="","",IF(AND(E145="Individual trees",W145&gt;0,G145="Yes"),"Error - you cannot enhance irreplaceable individual trees ▲",IF(P145='G-1 All Habitats'!$X$9,T145*S145,IF(AND(P145='G-1 All Habitats'!$X$9,W145&gt;0),X145+(Y145*S145),IF(AND(P145='G-1 All Habitats'!$X$9,V145&gt;0),X145+(Y145*S145),IF(AND(P145='G-1 All Habitats'!$X$9,AG145&gt;0),"Any Loss Unacceptable  ⚠",IF(AND(P145='G-1 All Habitats'!$X$9,Z145&gt;0),"Any Loss Unacceptable ⚠",H145*J145*L145*O145*S145))))))),"Check Data ⚠")</f>
        <v/>
      </c>
      <c r="R145" s="393"/>
      <c r="S145" s="510" t="str">
        <f>IF(R145="","",IF(VLOOKUP(R145,'G-3 Multipliers'!$S$3:$T$10,2,FALSE)=0,"Spatial Data Missing ⚠",VLOOKUP(R145,'G-3 Multipliers'!$S$3:$T$10,2,FALSE)))</f>
        <v/>
      </c>
      <c r="T145" s="289" t="str">
        <f>IFERROR(IF(AND(F145&lt;&gt;"",G145=""),"Confirm irreplaceable habitat status ▲",(IF(AND(R145&lt;&gt;"",AF145=""),"Off-site reference required ▲",(IF(AND(E145="Individual trees",W145&gt;0,G145="Yes"),"Error - you cannot enhance irreplaceable individual trees ▲",(IF(AND(X145="Irreplaceable habitat - no units generated ⚠",(W145+V145)&lt;H145,OR(AB145="No",AB145="")),"Any Loss Unacceptable ⚠",(IF(X145="Irreplaceable habitat - no units generated ⚠",W145*J145*L145*O145,IF(AND(P145='G-1 All Habitats'!$X$9,AH145&gt;0,V145&lt;=0,W145&lt;=0,OR(AB145="No",AB145="")),"Any Loss Unacceptable ⚠",IF(AND(P145='G-1 All Habitats'!$X$9,AH145&gt;0,V145&lt;=0,W145&lt;=0),0,(IF(AND(P145='G-1 All Habitats'!$X$9,(W145+V145)&lt;H145,OR(AB145="No",AB145="")),"Any Loss Unacceptable ⚠",(IF(P145="","",IF(AND(P145='G-1 All Habitats'!$X$9,W145&gt;0),X145+Y145,IF(AND(P145='G-1 All Habitats'!$X$9,V145&gt;0),X145+Y145,IF(R145="","",H145*J145*L145*O145)))))))))))))))))),"Check Data ▲")</f>
        <v/>
      </c>
      <c r="U145" s="38"/>
      <c r="V145" s="52"/>
      <c r="W145" s="53"/>
      <c r="X145" s="287" t="str">
        <f t="shared" si="20"/>
        <v/>
      </c>
      <c r="Y145" s="287" t="str">
        <f t="shared" si="21"/>
        <v/>
      </c>
      <c r="Z145" s="287" t="str">
        <f t="shared" si="22"/>
        <v/>
      </c>
      <c r="AA145" s="317" t="str">
        <f>IFERROR(IF(AND(E145="Individual trees",G145="Yes",W145&gt;0),"Error - you cannot enhance an irreplaceable tree ▲",(IF(H145="","",IF(H145-V145-W145=0&lt;0,"Error in Areas ▲",IF(V145+W145&gt;H145,"Error in Areas ▲",IF(AND(P145='G-1 All Habitats'!$X$9,AB145="Yes"),"Alternative Compensation ✓",IF(AND(P145='G-1 All Habitats'!$X$3,AB145="Yes"),"Alternative Compensation ✓",IF(AND(AB145="Pending",P145='G-1 All Habitats'!$X$3),"Bespoke compensation must be agreed ▲",IF(AND(AB145="Pending",P145='G-1 All Habitats'!$X$9),"Bespoke compensation must be agreed  ▲",IF(Z145=0,0,IF(P145='G-1 All Habitats'!$X$9,"Any Loss Unacceptable ▲",T145-X145-Y145))))))))))),"Check Data ⚠")</f>
        <v/>
      </c>
      <c r="AB145" s="587"/>
      <c r="AC145" s="105"/>
      <c r="AD145" s="138"/>
      <c r="AE145" s="104"/>
      <c r="AF145" s="611"/>
      <c r="AG145" s="523" t="str">
        <f>IF(OR(P145="",AB145="Yes"),"",IF(P145='G-1 All Habitats'!$X$9,H145-V145-W145,"None"))</f>
        <v/>
      </c>
      <c r="AH145" s="523" t="str">
        <f>IF(P145="","",IF(P145='G-1 All Habitats'!$X$9,AG145*J145*L145*O145,"None"))</f>
        <v/>
      </c>
      <c r="AJ145" s="107" t="str">
        <f t="shared" si="23"/>
        <v/>
      </c>
      <c r="AK145" s="107" t="str">
        <f t="shared" si="18"/>
        <v/>
      </c>
      <c r="AL145" s="107" t="str">
        <f>IF(I145="","",IF(#REF!&gt;0,TRUE,FALSE))</f>
        <v/>
      </c>
      <c r="AM145" s="107">
        <v>135</v>
      </c>
      <c r="AN145" s="107"/>
      <c r="AO145" s="107" t="str">
        <f t="array" ref="AO145">IFERROR(INDEX($AM$11:$AM$259,MATCH(0,IF(TRUE=$AJ$11:$AJ$259,COUNTIF($AO$10:$AO144,$AM$11:$AM$259),""),0)),"")</f>
        <v/>
      </c>
      <c r="AP145" s="107" t="str">
        <f t="array" ref="AP145">IFERROR(INDEX($AM$11:$AM$259,MATCH(0,IF(TRUE=$AK$11:$AK$259,COUNTIF($AP$10:$AP144,$AM$11:$AM$259),""),0)),"")</f>
        <v/>
      </c>
      <c r="AQ145" s="107" t="str">
        <f t="array" ref="AQ145">IFERROR(INDEX($AM$11:$AM$259,MATCH(0,IF(TRUE=$AL$11:$AL$259,COUNTIF($AQ$10:$AQ144,$AM$11:$AM$259),""),0)),"")</f>
        <v/>
      </c>
      <c r="AS145" s="885" t="str">
        <f>IF(AND(OR(AB145="Yes",AB145="Pending"),P145='G-1 All Habitats'!$X$3),T145-X145-Y145,"0")</f>
        <v>0</v>
      </c>
      <c r="AT145" s="30" t="str">
        <f t="shared" si="19"/>
        <v/>
      </c>
      <c r="AU145" s="30">
        <f t="shared" si="24"/>
        <v>0</v>
      </c>
      <c r="AV145" s="230" t="str">
        <f>IFERROR(INDEX('G-1 All Habitats'!$B$3:$B$135,MATCH(F145,'G-1 All Habitats'!$A$3:$A$135,0)),"")</f>
        <v/>
      </c>
      <c r="AW145" s="30" t="str">
        <f>IF(AV145="","",VLOOKUP(AV145,'G-1 All Habitats'!$B$1:$T$135,19,FALSE))</f>
        <v/>
      </c>
      <c r="AY145" s="287" t="str">
        <f t="shared" si="25"/>
        <v/>
      </c>
    </row>
    <row r="146" spans="1:51" ht="14">
      <c r="A146" s="30" t="str">
        <f>IFERROR(INDEX('G-1 All Habitats'!$AG$3:$AG$17,MATCH(E146,'G-1 All Habitats'!$AF$3:$AF$17,0)),"")</f>
        <v/>
      </c>
      <c r="B146" s="30" t="str">
        <f>IFERROR(INDEX('G-8 Condition Look up'!$I$4:$I$135,MATCH(AV146,'G-8 Condition Look up'!$A$4:$A$135,0)),"")</f>
        <v/>
      </c>
      <c r="D146" s="97">
        <v>136</v>
      </c>
      <c r="E146" s="262"/>
      <c r="F146" s="263"/>
      <c r="G146" s="133"/>
      <c r="H146" s="115"/>
      <c r="I146" s="509" t="str">
        <f>IF(AV146="","",IF(AND(AW146="Yes",G146="No"),"Irreplaceable habitat ▲",IF(AND(AW146="No",G146="Yes"),"Cannot be Irreplaceable ▲",VLOOKUP(AV146,'G-1 All Habitats'!$B$2:$M$135,10,FALSE))))</f>
        <v/>
      </c>
      <c r="J146" s="377" t="str">
        <f>IFERROR(VLOOKUP(I146,'G-1 All Habitats'!$V$3:$W$7,2,FALSE),"")</f>
        <v/>
      </c>
      <c r="K146" s="101"/>
      <c r="L146" s="276" t="str">
        <f>IFERROR(INDEX('G-8 Condition Look up'!$A$3:$H$135,MATCH(AV146,'G-8 Condition Look up'!$A$3:$A$135,0),MATCH(K146,'G-8 Condition Look up'!$A$3:$H$3,0)),"")</f>
        <v/>
      </c>
      <c r="M146" s="105"/>
      <c r="N146" s="295" t="str">
        <f>IF(M146="","",IF(VLOOKUP(M146,'G-3 Multipliers'!$L$3:$N$6,2,FALSE)=0,"Spatial Data Missing ⚠",VLOOKUP(M146,'G-3 Multipliers'!$L$3:$N$6,2,FALSE)))</f>
        <v/>
      </c>
      <c r="O146" s="353" t="str">
        <f>IF(M146="","",IF(VLOOKUP(M146,'G-3 Multipliers'!$L$3:$N$6,3,FALSE)=0,"Spatial Data Missing ⚠",VLOOKUP(M146,'G-3 Multipliers'!$L$3:$N$6,3,FALSE)))</f>
        <v/>
      </c>
      <c r="P146" s="336" t="str">
        <f>(IF(G146="Yes","Bespoke compensation likely to be required",(IFERROR(VLOOKUP(AV146,'G-1 All Habitats'!$B$2:$M$135,12,FALSE),""))))</f>
        <v/>
      </c>
      <c r="Q146" s="511" t="str">
        <f>IFERROR(IF(P146="","",IF(AND(E146="Individual trees",W146&gt;0,G146="Yes"),"Error - you cannot enhance irreplaceable individual trees ▲",IF(P146='G-1 All Habitats'!$X$9,T146*S146,IF(AND(P146='G-1 All Habitats'!$X$9,W146&gt;0),X146+(Y146*S146),IF(AND(P146='G-1 All Habitats'!$X$9,V146&gt;0),X146+(Y146*S146),IF(AND(P146='G-1 All Habitats'!$X$9,AG146&gt;0),"Any Loss Unacceptable  ⚠",IF(AND(P146='G-1 All Habitats'!$X$9,Z146&gt;0),"Any Loss Unacceptable ⚠",H146*J146*L146*O146*S146))))))),"Check Data ⚠")</f>
        <v/>
      </c>
      <c r="R146" s="393"/>
      <c r="S146" s="510" t="str">
        <f>IF(R146="","",IF(VLOOKUP(R146,'G-3 Multipliers'!$S$3:$T$10,2,FALSE)=0,"Spatial Data Missing ⚠",VLOOKUP(R146,'G-3 Multipliers'!$S$3:$T$10,2,FALSE)))</f>
        <v/>
      </c>
      <c r="T146" s="289" t="str">
        <f>IFERROR(IF(AND(F146&lt;&gt;"",G146=""),"Confirm irreplaceable habitat status ▲",(IF(AND(R146&lt;&gt;"",AF146=""),"Off-site reference required ▲",(IF(AND(E146="Individual trees",W146&gt;0,G146="Yes"),"Error - you cannot enhance irreplaceable individual trees ▲",(IF(AND(X146="Irreplaceable habitat - no units generated ⚠",(W146+V146)&lt;H146,OR(AB146="No",AB146="")),"Any Loss Unacceptable ⚠",(IF(X146="Irreplaceable habitat - no units generated ⚠",W146*J146*L146*O146,IF(AND(P146='G-1 All Habitats'!$X$9,AH146&gt;0,V146&lt;=0,W146&lt;=0,OR(AB146="No",AB146="")),"Any Loss Unacceptable ⚠",IF(AND(P146='G-1 All Habitats'!$X$9,AH146&gt;0,V146&lt;=0,W146&lt;=0),0,(IF(AND(P146='G-1 All Habitats'!$X$9,(W146+V146)&lt;H146,OR(AB146="No",AB146="")),"Any Loss Unacceptable ⚠",(IF(P146="","",IF(AND(P146='G-1 All Habitats'!$X$9,W146&gt;0),X146+Y146,IF(AND(P146='G-1 All Habitats'!$X$9,V146&gt;0),X146+Y146,IF(R146="","",H146*J146*L146*O146)))))))))))))))))),"Check Data ▲")</f>
        <v/>
      </c>
      <c r="U146" s="38"/>
      <c r="V146" s="52"/>
      <c r="W146" s="53"/>
      <c r="X146" s="287" t="str">
        <f t="shared" si="20"/>
        <v/>
      </c>
      <c r="Y146" s="287" t="str">
        <f t="shared" si="21"/>
        <v/>
      </c>
      <c r="Z146" s="287" t="str">
        <f t="shared" si="22"/>
        <v/>
      </c>
      <c r="AA146" s="317" t="str">
        <f>IFERROR(IF(AND(E146="Individual trees",G146="Yes",W146&gt;0),"Error - you cannot enhance an irreplaceable tree ▲",(IF(H146="","",IF(H146-V146-W146=0&lt;0,"Error in Areas ▲",IF(V146+W146&gt;H146,"Error in Areas ▲",IF(AND(P146='G-1 All Habitats'!$X$9,AB146="Yes"),"Alternative Compensation ✓",IF(AND(P146='G-1 All Habitats'!$X$3,AB146="Yes"),"Alternative Compensation ✓",IF(AND(AB146="Pending",P146='G-1 All Habitats'!$X$3),"Bespoke compensation must be agreed ▲",IF(AND(AB146="Pending",P146='G-1 All Habitats'!$X$9),"Bespoke compensation must be agreed  ▲",IF(Z146=0,0,IF(P146='G-1 All Habitats'!$X$9,"Any Loss Unacceptable ▲",T146-X146-Y146))))))))))),"Check Data ⚠")</f>
        <v/>
      </c>
      <c r="AB146" s="587"/>
      <c r="AC146" s="105"/>
      <c r="AD146" s="138"/>
      <c r="AE146" s="104"/>
      <c r="AF146" s="611"/>
      <c r="AG146" s="523" t="str">
        <f>IF(OR(P146="",AB146="Yes"),"",IF(P146='G-1 All Habitats'!$X$9,H146-V146-W146,"None"))</f>
        <v/>
      </c>
      <c r="AH146" s="523" t="str">
        <f>IF(P146="","",IF(P146='G-1 All Habitats'!$X$9,AG146*J146*L146*O146,"None"))</f>
        <v/>
      </c>
      <c r="AJ146" s="107" t="str">
        <f t="shared" si="23"/>
        <v/>
      </c>
      <c r="AK146" s="107" t="str">
        <f t="shared" si="18"/>
        <v/>
      </c>
      <c r="AL146" s="107" t="str">
        <f>IF(I146="","",IF(#REF!&gt;0,TRUE,FALSE))</f>
        <v/>
      </c>
      <c r="AM146" s="107">
        <v>136</v>
      </c>
      <c r="AN146" s="107"/>
      <c r="AO146" s="107" t="str">
        <f t="array" ref="AO146">IFERROR(INDEX($AM$11:$AM$259,MATCH(0,IF(TRUE=$AJ$11:$AJ$259,COUNTIF($AO$10:$AO145,$AM$11:$AM$259),""),0)),"")</f>
        <v/>
      </c>
      <c r="AP146" s="107" t="str">
        <f t="array" ref="AP146">IFERROR(INDEX($AM$11:$AM$259,MATCH(0,IF(TRUE=$AK$11:$AK$259,COUNTIF($AP$10:$AP145,$AM$11:$AM$259),""),0)),"")</f>
        <v/>
      </c>
      <c r="AQ146" s="107" t="str">
        <f t="array" ref="AQ146">IFERROR(INDEX($AM$11:$AM$259,MATCH(0,IF(TRUE=$AL$11:$AL$259,COUNTIF($AQ$10:$AQ145,$AM$11:$AM$259),""),0)),"")</f>
        <v/>
      </c>
      <c r="AS146" s="885" t="str">
        <f>IF(AND(OR(AB146="Yes",AB146="Pending"),P146='G-1 All Habitats'!$X$3),T146-X146-Y146,"0")</f>
        <v>0</v>
      </c>
      <c r="AT146" s="30" t="str">
        <f t="shared" si="19"/>
        <v/>
      </c>
      <c r="AU146" s="30">
        <f t="shared" si="24"/>
        <v>0</v>
      </c>
      <c r="AV146" s="230" t="str">
        <f>IFERROR(INDEX('G-1 All Habitats'!$B$3:$B$135,MATCH(F146,'G-1 All Habitats'!$A$3:$A$135,0)),"")</f>
        <v/>
      </c>
      <c r="AW146" s="30" t="str">
        <f>IF(AV146="","",VLOOKUP(AV146,'G-1 All Habitats'!$B$1:$T$135,19,FALSE))</f>
        <v/>
      </c>
      <c r="AY146" s="287" t="str">
        <f t="shared" si="25"/>
        <v/>
      </c>
    </row>
    <row r="147" spans="1:51" ht="14">
      <c r="A147" s="30" t="str">
        <f>IFERROR(INDEX('G-1 All Habitats'!$AG$3:$AG$17,MATCH(E147,'G-1 All Habitats'!$AF$3:$AF$17,0)),"")</f>
        <v/>
      </c>
      <c r="B147" s="30" t="str">
        <f>IFERROR(INDEX('G-8 Condition Look up'!$I$4:$I$135,MATCH(AV147,'G-8 Condition Look up'!$A$4:$A$135,0)),"")</f>
        <v/>
      </c>
      <c r="D147" s="97">
        <v>137</v>
      </c>
      <c r="E147" s="262"/>
      <c r="F147" s="263"/>
      <c r="G147" s="133"/>
      <c r="H147" s="115"/>
      <c r="I147" s="509" t="str">
        <f>IF(AV147="","",IF(AND(AW147="Yes",G147="No"),"Irreplaceable habitat ▲",IF(AND(AW147="No",G147="Yes"),"Cannot be Irreplaceable ▲",VLOOKUP(AV147,'G-1 All Habitats'!$B$2:$M$135,10,FALSE))))</f>
        <v/>
      </c>
      <c r="J147" s="377" t="str">
        <f>IFERROR(VLOOKUP(I147,'G-1 All Habitats'!$V$3:$W$7,2,FALSE),"")</f>
        <v/>
      </c>
      <c r="K147" s="101"/>
      <c r="L147" s="276" t="str">
        <f>IFERROR(INDEX('G-8 Condition Look up'!$A$3:$H$135,MATCH(AV147,'G-8 Condition Look up'!$A$3:$A$135,0),MATCH(K147,'G-8 Condition Look up'!$A$3:$H$3,0)),"")</f>
        <v/>
      </c>
      <c r="M147" s="105"/>
      <c r="N147" s="295" t="str">
        <f>IF(M147="","",IF(VLOOKUP(M147,'G-3 Multipliers'!$L$3:$N$6,2,FALSE)=0,"Spatial Data Missing ⚠",VLOOKUP(M147,'G-3 Multipliers'!$L$3:$N$6,2,FALSE)))</f>
        <v/>
      </c>
      <c r="O147" s="353" t="str">
        <f>IF(M147="","",IF(VLOOKUP(M147,'G-3 Multipliers'!$L$3:$N$6,3,FALSE)=0,"Spatial Data Missing ⚠",VLOOKUP(M147,'G-3 Multipliers'!$L$3:$N$6,3,FALSE)))</f>
        <v/>
      </c>
      <c r="P147" s="336" t="str">
        <f>(IF(G147="Yes","Bespoke compensation likely to be required",(IFERROR(VLOOKUP(AV147,'G-1 All Habitats'!$B$2:$M$135,12,FALSE),""))))</f>
        <v/>
      </c>
      <c r="Q147" s="511" t="str">
        <f>IFERROR(IF(P147="","",IF(AND(E147="Individual trees",W147&gt;0,G147="Yes"),"Error - you cannot enhance irreplaceable individual trees ▲",IF(P147='G-1 All Habitats'!$X$9,T147*S147,IF(AND(P147='G-1 All Habitats'!$X$9,W147&gt;0),X147+(Y147*S147),IF(AND(P147='G-1 All Habitats'!$X$9,V147&gt;0),X147+(Y147*S147),IF(AND(P147='G-1 All Habitats'!$X$9,AG147&gt;0),"Any Loss Unacceptable  ⚠",IF(AND(P147='G-1 All Habitats'!$X$9,Z147&gt;0),"Any Loss Unacceptable ⚠",H147*J147*L147*O147*S147))))))),"Check Data ⚠")</f>
        <v/>
      </c>
      <c r="R147" s="393"/>
      <c r="S147" s="510" t="str">
        <f>IF(R147="","",IF(VLOOKUP(R147,'G-3 Multipliers'!$S$3:$T$10,2,FALSE)=0,"Spatial Data Missing ⚠",VLOOKUP(R147,'G-3 Multipliers'!$S$3:$T$10,2,FALSE)))</f>
        <v/>
      </c>
      <c r="T147" s="289" t="str">
        <f>IFERROR(IF(AND(F147&lt;&gt;"",G147=""),"Confirm irreplaceable habitat status ▲",(IF(AND(R147&lt;&gt;"",AF147=""),"Off-site reference required ▲",(IF(AND(E147="Individual trees",W147&gt;0,G147="Yes"),"Error - you cannot enhance irreplaceable individual trees ▲",(IF(AND(X147="Irreplaceable habitat - no units generated ⚠",(W147+V147)&lt;H147,OR(AB147="No",AB147="")),"Any Loss Unacceptable ⚠",(IF(X147="Irreplaceable habitat - no units generated ⚠",W147*J147*L147*O147,IF(AND(P147='G-1 All Habitats'!$X$9,AH147&gt;0,V147&lt;=0,W147&lt;=0,OR(AB147="No",AB147="")),"Any Loss Unacceptable ⚠",IF(AND(P147='G-1 All Habitats'!$X$9,AH147&gt;0,V147&lt;=0,W147&lt;=0),0,(IF(AND(P147='G-1 All Habitats'!$X$9,(W147+V147)&lt;H147,OR(AB147="No",AB147="")),"Any Loss Unacceptable ⚠",(IF(P147="","",IF(AND(P147='G-1 All Habitats'!$X$9,W147&gt;0),X147+Y147,IF(AND(P147='G-1 All Habitats'!$X$9,V147&gt;0),X147+Y147,IF(R147="","",H147*J147*L147*O147)))))))))))))))))),"Check Data ▲")</f>
        <v/>
      </c>
      <c r="U147" s="38"/>
      <c r="V147" s="52"/>
      <c r="W147" s="53"/>
      <c r="X147" s="287" t="str">
        <f t="shared" si="20"/>
        <v/>
      </c>
      <c r="Y147" s="287" t="str">
        <f t="shared" si="21"/>
        <v/>
      </c>
      <c r="Z147" s="287" t="str">
        <f t="shared" si="22"/>
        <v/>
      </c>
      <c r="AA147" s="317" t="str">
        <f>IFERROR(IF(AND(E147="Individual trees",G147="Yes",W147&gt;0),"Error - you cannot enhance an irreplaceable tree ▲",(IF(H147="","",IF(H147-V147-W147=0&lt;0,"Error in Areas ▲",IF(V147+W147&gt;H147,"Error in Areas ▲",IF(AND(P147='G-1 All Habitats'!$X$9,AB147="Yes"),"Alternative Compensation ✓",IF(AND(P147='G-1 All Habitats'!$X$3,AB147="Yes"),"Alternative Compensation ✓",IF(AND(AB147="Pending",P147='G-1 All Habitats'!$X$3),"Bespoke compensation must be agreed ▲",IF(AND(AB147="Pending",P147='G-1 All Habitats'!$X$9),"Bespoke compensation must be agreed  ▲",IF(Z147=0,0,IF(P147='G-1 All Habitats'!$X$9,"Any Loss Unacceptable ▲",T147-X147-Y147))))))))))),"Check Data ⚠")</f>
        <v/>
      </c>
      <c r="AB147" s="587"/>
      <c r="AC147" s="105"/>
      <c r="AD147" s="138"/>
      <c r="AE147" s="104"/>
      <c r="AF147" s="611"/>
      <c r="AG147" s="523" t="str">
        <f>IF(OR(P147="",AB147="Yes"),"",IF(P147='G-1 All Habitats'!$X$9,H147-V147-W147,"None"))</f>
        <v/>
      </c>
      <c r="AH147" s="523" t="str">
        <f>IF(P147="","",IF(P147='G-1 All Habitats'!$X$9,AG147*J147*L147*O147,"None"))</f>
        <v/>
      </c>
      <c r="AJ147" s="107" t="str">
        <f t="shared" si="23"/>
        <v/>
      </c>
      <c r="AK147" s="107" t="str">
        <f t="shared" si="18"/>
        <v/>
      </c>
      <c r="AL147" s="107" t="str">
        <f>IF(I147="","",IF(#REF!&gt;0,TRUE,FALSE))</f>
        <v/>
      </c>
      <c r="AM147" s="107">
        <v>137</v>
      </c>
      <c r="AN147" s="107"/>
      <c r="AO147" s="107" t="str">
        <f t="array" ref="AO147">IFERROR(INDEX($AM$11:$AM$259,MATCH(0,IF(TRUE=$AJ$11:$AJ$259,COUNTIF($AO$10:$AO146,$AM$11:$AM$259),""),0)),"")</f>
        <v/>
      </c>
      <c r="AP147" s="107" t="str">
        <f t="array" ref="AP147">IFERROR(INDEX($AM$11:$AM$259,MATCH(0,IF(TRUE=$AK$11:$AK$259,COUNTIF($AP$10:$AP146,$AM$11:$AM$259),""),0)),"")</f>
        <v/>
      </c>
      <c r="AQ147" s="107" t="str">
        <f t="array" ref="AQ147">IFERROR(INDEX($AM$11:$AM$259,MATCH(0,IF(TRUE=$AL$11:$AL$259,COUNTIF($AQ$10:$AQ146,$AM$11:$AM$259),""),0)),"")</f>
        <v/>
      </c>
      <c r="AS147" s="885" t="str">
        <f>IF(AND(OR(AB147="Yes",AB147="Pending"),P147='G-1 All Habitats'!$X$3),T147-X147-Y147,"0")</f>
        <v>0</v>
      </c>
      <c r="AT147" s="30" t="str">
        <f t="shared" si="19"/>
        <v/>
      </c>
      <c r="AU147" s="30">
        <f t="shared" si="24"/>
        <v>0</v>
      </c>
      <c r="AV147" s="230" t="str">
        <f>IFERROR(INDEX('G-1 All Habitats'!$B$3:$B$135,MATCH(F147,'G-1 All Habitats'!$A$3:$A$135,0)),"")</f>
        <v/>
      </c>
      <c r="AW147" s="30" t="str">
        <f>IF(AV147="","",VLOOKUP(AV147,'G-1 All Habitats'!$B$1:$T$135,19,FALSE))</f>
        <v/>
      </c>
      <c r="AY147" s="287" t="str">
        <f t="shared" si="25"/>
        <v/>
      </c>
    </row>
    <row r="148" spans="1:51" ht="14">
      <c r="A148" s="30" t="str">
        <f>IFERROR(INDEX('G-1 All Habitats'!$AG$3:$AG$17,MATCH(E148,'G-1 All Habitats'!$AF$3:$AF$17,0)),"")</f>
        <v/>
      </c>
      <c r="B148" s="30" t="str">
        <f>IFERROR(INDEX('G-8 Condition Look up'!$I$4:$I$135,MATCH(AV148,'G-8 Condition Look up'!$A$4:$A$135,0)),"")</f>
        <v/>
      </c>
      <c r="D148" s="97">
        <v>138</v>
      </c>
      <c r="E148" s="262"/>
      <c r="F148" s="263"/>
      <c r="G148" s="133"/>
      <c r="H148" s="115"/>
      <c r="I148" s="509" t="str">
        <f>IF(AV148="","",IF(AND(AW148="Yes",G148="No"),"Irreplaceable habitat ▲",IF(AND(AW148="No",G148="Yes"),"Cannot be Irreplaceable ▲",VLOOKUP(AV148,'G-1 All Habitats'!$B$2:$M$135,10,FALSE))))</f>
        <v/>
      </c>
      <c r="J148" s="377" t="str">
        <f>IFERROR(VLOOKUP(I148,'G-1 All Habitats'!$V$3:$W$7,2,FALSE),"")</f>
        <v/>
      </c>
      <c r="K148" s="101"/>
      <c r="L148" s="276" t="str">
        <f>IFERROR(INDEX('G-8 Condition Look up'!$A$3:$H$135,MATCH(AV148,'G-8 Condition Look up'!$A$3:$A$135,0),MATCH(K148,'G-8 Condition Look up'!$A$3:$H$3,0)),"")</f>
        <v/>
      </c>
      <c r="M148" s="105"/>
      <c r="N148" s="295" t="str">
        <f>IF(M148="","",IF(VLOOKUP(M148,'G-3 Multipliers'!$L$3:$N$6,2,FALSE)=0,"Spatial Data Missing ⚠",VLOOKUP(M148,'G-3 Multipliers'!$L$3:$N$6,2,FALSE)))</f>
        <v/>
      </c>
      <c r="O148" s="353" t="str">
        <f>IF(M148="","",IF(VLOOKUP(M148,'G-3 Multipliers'!$L$3:$N$6,3,FALSE)=0,"Spatial Data Missing ⚠",VLOOKUP(M148,'G-3 Multipliers'!$L$3:$N$6,3,FALSE)))</f>
        <v/>
      </c>
      <c r="P148" s="336" t="str">
        <f>(IF(G148="Yes","Bespoke compensation likely to be required",(IFERROR(VLOOKUP(AV148,'G-1 All Habitats'!$B$2:$M$135,12,FALSE),""))))</f>
        <v/>
      </c>
      <c r="Q148" s="511" t="str">
        <f>IFERROR(IF(P148="","",IF(AND(E148="Individual trees",W148&gt;0,G148="Yes"),"Error - you cannot enhance irreplaceable individual trees ▲",IF(P148='G-1 All Habitats'!$X$9,T148*S148,IF(AND(P148='G-1 All Habitats'!$X$9,W148&gt;0),X148+(Y148*S148),IF(AND(P148='G-1 All Habitats'!$X$9,V148&gt;0),X148+(Y148*S148),IF(AND(P148='G-1 All Habitats'!$X$9,AG148&gt;0),"Any Loss Unacceptable  ⚠",IF(AND(P148='G-1 All Habitats'!$X$9,Z148&gt;0),"Any Loss Unacceptable ⚠",H148*J148*L148*O148*S148))))))),"Check Data ⚠")</f>
        <v/>
      </c>
      <c r="R148" s="393"/>
      <c r="S148" s="510" t="str">
        <f>IF(R148="","",IF(VLOOKUP(R148,'G-3 Multipliers'!$S$3:$T$10,2,FALSE)=0,"Spatial Data Missing ⚠",VLOOKUP(R148,'G-3 Multipliers'!$S$3:$T$10,2,FALSE)))</f>
        <v/>
      </c>
      <c r="T148" s="289" t="str">
        <f>IFERROR(IF(AND(F148&lt;&gt;"",G148=""),"Confirm irreplaceable habitat status ▲",(IF(AND(R148&lt;&gt;"",AF148=""),"Off-site reference required ▲",(IF(AND(E148="Individual trees",W148&gt;0,G148="Yes"),"Error - you cannot enhance irreplaceable individual trees ▲",(IF(AND(X148="Irreplaceable habitat - no units generated ⚠",(W148+V148)&lt;H148,OR(AB148="No",AB148="")),"Any Loss Unacceptable ⚠",(IF(X148="Irreplaceable habitat - no units generated ⚠",W148*J148*L148*O148,IF(AND(P148='G-1 All Habitats'!$X$9,AH148&gt;0,V148&lt;=0,W148&lt;=0,OR(AB148="No",AB148="")),"Any Loss Unacceptable ⚠",IF(AND(P148='G-1 All Habitats'!$X$9,AH148&gt;0,V148&lt;=0,W148&lt;=0),0,(IF(AND(P148='G-1 All Habitats'!$X$9,(W148+V148)&lt;H148,OR(AB148="No",AB148="")),"Any Loss Unacceptable ⚠",(IF(P148="","",IF(AND(P148='G-1 All Habitats'!$X$9,W148&gt;0),X148+Y148,IF(AND(P148='G-1 All Habitats'!$X$9,V148&gt;0),X148+Y148,IF(R148="","",H148*J148*L148*O148)))))))))))))))))),"Check Data ▲")</f>
        <v/>
      </c>
      <c r="U148" s="38"/>
      <c r="V148" s="52"/>
      <c r="W148" s="53"/>
      <c r="X148" s="287" t="str">
        <f t="shared" si="20"/>
        <v/>
      </c>
      <c r="Y148" s="287" t="str">
        <f t="shared" si="21"/>
        <v/>
      </c>
      <c r="Z148" s="287" t="str">
        <f t="shared" si="22"/>
        <v/>
      </c>
      <c r="AA148" s="317" t="str">
        <f>IFERROR(IF(AND(E148="Individual trees",G148="Yes",W148&gt;0),"Error - you cannot enhance an irreplaceable tree ▲",(IF(H148="","",IF(H148-V148-W148=0&lt;0,"Error in Areas ▲",IF(V148+W148&gt;H148,"Error in Areas ▲",IF(AND(P148='G-1 All Habitats'!$X$9,AB148="Yes"),"Alternative Compensation ✓",IF(AND(P148='G-1 All Habitats'!$X$3,AB148="Yes"),"Alternative Compensation ✓",IF(AND(AB148="Pending",P148='G-1 All Habitats'!$X$3),"Bespoke compensation must be agreed ▲",IF(AND(AB148="Pending",P148='G-1 All Habitats'!$X$9),"Bespoke compensation must be agreed  ▲",IF(Z148=0,0,IF(P148='G-1 All Habitats'!$X$9,"Any Loss Unacceptable ▲",T148-X148-Y148))))))))))),"Check Data ⚠")</f>
        <v/>
      </c>
      <c r="AB148" s="587"/>
      <c r="AC148" s="105"/>
      <c r="AD148" s="138"/>
      <c r="AE148" s="104"/>
      <c r="AF148" s="611"/>
      <c r="AG148" s="523" t="str">
        <f>IF(OR(P148="",AB148="Yes"),"",IF(P148='G-1 All Habitats'!$X$9,H148-V148-W148,"None"))</f>
        <v/>
      </c>
      <c r="AH148" s="523" t="str">
        <f>IF(P148="","",IF(P148='G-1 All Habitats'!$X$9,AG148*J148*L148*O148,"None"))</f>
        <v/>
      </c>
      <c r="AJ148" s="107" t="str">
        <f t="shared" si="23"/>
        <v/>
      </c>
      <c r="AK148" s="107" t="str">
        <f t="shared" si="18"/>
        <v/>
      </c>
      <c r="AL148" s="107" t="str">
        <f>IF(I148="","",IF(#REF!&gt;0,TRUE,FALSE))</f>
        <v/>
      </c>
      <c r="AM148" s="107">
        <v>138</v>
      </c>
      <c r="AN148" s="107"/>
      <c r="AO148" s="107" t="str">
        <f t="array" ref="AO148">IFERROR(INDEX($AM$11:$AM$259,MATCH(0,IF(TRUE=$AJ$11:$AJ$259,COUNTIF($AO$10:$AO147,$AM$11:$AM$259),""),0)),"")</f>
        <v/>
      </c>
      <c r="AP148" s="107" t="str">
        <f t="array" ref="AP148">IFERROR(INDEX($AM$11:$AM$259,MATCH(0,IF(TRUE=$AK$11:$AK$259,COUNTIF($AP$10:$AP147,$AM$11:$AM$259),""),0)),"")</f>
        <v/>
      </c>
      <c r="AQ148" s="107" t="str">
        <f t="array" ref="AQ148">IFERROR(INDEX($AM$11:$AM$259,MATCH(0,IF(TRUE=$AL$11:$AL$259,COUNTIF($AQ$10:$AQ147,$AM$11:$AM$259),""),0)),"")</f>
        <v/>
      </c>
      <c r="AS148" s="885" t="str">
        <f>IF(AND(OR(AB148="Yes",AB148="Pending"),P148='G-1 All Habitats'!$X$3),T148-X148-Y148,"0")</f>
        <v>0</v>
      </c>
      <c r="AT148" s="30" t="str">
        <f t="shared" si="19"/>
        <v/>
      </c>
      <c r="AU148" s="30">
        <f t="shared" si="24"/>
        <v>0</v>
      </c>
      <c r="AV148" s="230" t="str">
        <f>IFERROR(INDEX('G-1 All Habitats'!$B$3:$B$135,MATCH(F148,'G-1 All Habitats'!$A$3:$A$135,0)),"")</f>
        <v/>
      </c>
      <c r="AW148" s="30" t="str">
        <f>IF(AV148="","",VLOOKUP(AV148,'G-1 All Habitats'!$B$1:$T$135,19,FALSE))</f>
        <v/>
      </c>
      <c r="AY148" s="287" t="str">
        <f t="shared" si="25"/>
        <v/>
      </c>
    </row>
    <row r="149" spans="1:51" ht="14">
      <c r="A149" s="30" t="str">
        <f>IFERROR(INDEX('G-1 All Habitats'!$AG$3:$AG$17,MATCH(E149,'G-1 All Habitats'!$AF$3:$AF$17,0)),"")</f>
        <v/>
      </c>
      <c r="B149" s="30" t="str">
        <f>IFERROR(INDEX('G-8 Condition Look up'!$I$4:$I$135,MATCH(AV149,'G-8 Condition Look up'!$A$4:$A$135,0)),"")</f>
        <v/>
      </c>
      <c r="D149" s="97">
        <v>139</v>
      </c>
      <c r="E149" s="262"/>
      <c r="F149" s="263"/>
      <c r="G149" s="133"/>
      <c r="H149" s="115"/>
      <c r="I149" s="509" t="str">
        <f>IF(AV149="","",IF(AND(AW149="Yes",G149="No"),"Irreplaceable habitat ▲",IF(AND(AW149="No",G149="Yes"),"Cannot be Irreplaceable ▲",VLOOKUP(AV149,'G-1 All Habitats'!$B$2:$M$135,10,FALSE))))</f>
        <v/>
      </c>
      <c r="J149" s="377" t="str">
        <f>IFERROR(VLOOKUP(I149,'G-1 All Habitats'!$V$3:$W$7,2,FALSE),"")</f>
        <v/>
      </c>
      <c r="K149" s="101"/>
      <c r="L149" s="276" t="str">
        <f>IFERROR(INDEX('G-8 Condition Look up'!$A$3:$H$135,MATCH(AV149,'G-8 Condition Look up'!$A$3:$A$135,0),MATCH(K149,'G-8 Condition Look up'!$A$3:$H$3,0)),"")</f>
        <v/>
      </c>
      <c r="M149" s="105"/>
      <c r="N149" s="295" t="str">
        <f>IF(M149="","",IF(VLOOKUP(M149,'G-3 Multipliers'!$L$3:$N$6,2,FALSE)=0,"Spatial Data Missing ⚠",VLOOKUP(M149,'G-3 Multipliers'!$L$3:$N$6,2,FALSE)))</f>
        <v/>
      </c>
      <c r="O149" s="353" t="str">
        <f>IF(M149="","",IF(VLOOKUP(M149,'G-3 Multipliers'!$L$3:$N$6,3,FALSE)=0,"Spatial Data Missing ⚠",VLOOKUP(M149,'G-3 Multipliers'!$L$3:$N$6,3,FALSE)))</f>
        <v/>
      </c>
      <c r="P149" s="336" t="str">
        <f>(IF(G149="Yes","Bespoke compensation likely to be required",(IFERROR(VLOOKUP(AV149,'G-1 All Habitats'!$B$2:$M$135,12,FALSE),""))))</f>
        <v/>
      </c>
      <c r="Q149" s="511" t="str">
        <f>IFERROR(IF(P149="","",IF(AND(E149="Individual trees",W149&gt;0,G149="Yes"),"Error - you cannot enhance irreplaceable individual trees ▲",IF(P149='G-1 All Habitats'!$X$9,T149*S149,IF(AND(P149='G-1 All Habitats'!$X$9,W149&gt;0),X149+(Y149*S149),IF(AND(P149='G-1 All Habitats'!$X$9,V149&gt;0),X149+(Y149*S149),IF(AND(P149='G-1 All Habitats'!$X$9,AG149&gt;0),"Any Loss Unacceptable  ⚠",IF(AND(P149='G-1 All Habitats'!$X$9,Z149&gt;0),"Any Loss Unacceptable ⚠",H149*J149*L149*O149*S149))))))),"Check Data ⚠")</f>
        <v/>
      </c>
      <c r="R149" s="393"/>
      <c r="S149" s="510" t="str">
        <f>IF(R149="","",IF(VLOOKUP(R149,'G-3 Multipliers'!$S$3:$T$10,2,FALSE)=0,"Spatial Data Missing ⚠",VLOOKUP(R149,'G-3 Multipliers'!$S$3:$T$10,2,FALSE)))</f>
        <v/>
      </c>
      <c r="T149" s="289" t="str">
        <f>IFERROR(IF(AND(F149&lt;&gt;"",G149=""),"Confirm irreplaceable habitat status ▲",(IF(AND(R149&lt;&gt;"",AF149=""),"Off-site reference required ▲",(IF(AND(E149="Individual trees",W149&gt;0,G149="Yes"),"Error - you cannot enhance irreplaceable individual trees ▲",(IF(AND(X149="Irreplaceable habitat - no units generated ⚠",(W149+V149)&lt;H149,OR(AB149="No",AB149="")),"Any Loss Unacceptable ⚠",(IF(X149="Irreplaceable habitat - no units generated ⚠",W149*J149*L149*O149,IF(AND(P149='G-1 All Habitats'!$X$9,AH149&gt;0,V149&lt;=0,W149&lt;=0,OR(AB149="No",AB149="")),"Any Loss Unacceptable ⚠",IF(AND(P149='G-1 All Habitats'!$X$9,AH149&gt;0,V149&lt;=0,W149&lt;=0),0,(IF(AND(P149='G-1 All Habitats'!$X$9,(W149+V149)&lt;H149,OR(AB149="No",AB149="")),"Any Loss Unacceptable ⚠",(IF(P149="","",IF(AND(P149='G-1 All Habitats'!$X$9,W149&gt;0),X149+Y149,IF(AND(P149='G-1 All Habitats'!$X$9,V149&gt;0),X149+Y149,IF(R149="","",H149*J149*L149*O149)))))))))))))))))),"Check Data ▲")</f>
        <v/>
      </c>
      <c r="U149" s="38"/>
      <c r="V149" s="52"/>
      <c r="W149" s="53"/>
      <c r="X149" s="287" t="str">
        <f t="shared" si="20"/>
        <v/>
      </c>
      <c r="Y149" s="287" t="str">
        <f t="shared" si="21"/>
        <v/>
      </c>
      <c r="Z149" s="287" t="str">
        <f t="shared" si="22"/>
        <v/>
      </c>
      <c r="AA149" s="317" t="str">
        <f>IFERROR(IF(AND(E149="Individual trees",G149="Yes",W149&gt;0),"Error - you cannot enhance an irreplaceable tree ▲",(IF(H149="","",IF(H149-V149-W149=0&lt;0,"Error in Areas ▲",IF(V149+W149&gt;H149,"Error in Areas ▲",IF(AND(P149='G-1 All Habitats'!$X$9,AB149="Yes"),"Alternative Compensation ✓",IF(AND(P149='G-1 All Habitats'!$X$3,AB149="Yes"),"Alternative Compensation ✓",IF(AND(AB149="Pending",P149='G-1 All Habitats'!$X$3),"Bespoke compensation must be agreed ▲",IF(AND(AB149="Pending",P149='G-1 All Habitats'!$X$9),"Bespoke compensation must be agreed  ▲",IF(Z149=0,0,IF(P149='G-1 All Habitats'!$X$9,"Any Loss Unacceptable ▲",T149-X149-Y149))))))))))),"Check Data ⚠")</f>
        <v/>
      </c>
      <c r="AB149" s="587"/>
      <c r="AC149" s="105"/>
      <c r="AD149" s="138"/>
      <c r="AE149" s="104"/>
      <c r="AF149" s="611"/>
      <c r="AG149" s="523" t="str">
        <f>IF(OR(P149="",AB149="Yes"),"",IF(P149='G-1 All Habitats'!$X$9,H149-V149-W149,"None"))</f>
        <v/>
      </c>
      <c r="AH149" s="523" t="str">
        <f>IF(P149="","",IF(P149='G-1 All Habitats'!$X$9,AG149*J149*L149*O149,"None"))</f>
        <v/>
      </c>
      <c r="AJ149" s="107" t="str">
        <f t="shared" si="23"/>
        <v/>
      </c>
      <c r="AK149" s="107" t="str">
        <f t="shared" si="18"/>
        <v/>
      </c>
      <c r="AL149" s="107" t="str">
        <f>IF(I149="","",IF(#REF!&gt;0,TRUE,FALSE))</f>
        <v/>
      </c>
      <c r="AM149" s="107">
        <v>139</v>
      </c>
      <c r="AN149" s="107"/>
      <c r="AO149" s="107" t="str">
        <f t="array" ref="AO149">IFERROR(INDEX($AM$11:$AM$259,MATCH(0,IF(TRUE=$AJ$11:$AJ$259,COUNTIF($AO$10:$AO148,$AM$11:$AM$259),""),0)),"")</f>
        <v/>
      </c>
      <c r="AP149" s="107" t="str">
        <f t="array" ref="AP149">IFERROR(INDEX($AM$11:$AM$259,MATCH(0,IF(TRUE=$AK$11:$AK$259,COUNTIF($AP$10:$AP148,$AM$11:$AM$259),""),0)),"")</f>
        <v/>
      </c>
      <c r="AQ149" s="107" t="str">
        <f t="array" ref="AQ149">IFERROR(INDEX($AM$11:$AM$259,MATCH(0,IF(TRUE=$AL$11:$AL$259,COUNTIF($AQ$10:$AQ148,$AM$11:$AM$259),""),0)),"")</f>
        <v/>
      </c>
      <c r="AS149" s="885" t="str">
        <f>IF(AND(OR(AB149="Yes",AB149="Pending"),P149='G-1 All Habitats'!$X$3),T149-X149-Y149,"0")</f>
        <v>0</v>
      </c>
      <c r="AT149" s="30" t="str">
        <f t="shared" si="19"/>
        <v/>
      </c>
      <c r="AU149" s="30">
        <f t="shared" si="24"/>
        <v>0</v>
      </c>
      <c r="AV149" s="230" t="str">
        <f>IFERROR(INDEX('G-1 All Habitats'!$B$3:$B$135,MATCH(F149,'G-1 All Habitats'!$A$3:$A$135,0)),"")</f>
        <v/>
      </c>
      <c r="AW149" s="30" t="str">
        <f>IF(AV149="","",VLOOKUP(AV149,'G-1 All Habitats'!$B$1:$T$135,19,FALSE))</f>
        <v/>
      </c>
      <c r="AY149" s="287" t="str">
        <f t="shared" si="25"/>
        <v/>
      </c>
    </row>
    <row r="150" spans="1:51" ht="14">
      <c r="A150" s="30" t="str">
        <f>IFERROR(INDEX('G-1 All Habitats'!$AG$3:$AG$17,MATCH(E150,'G-1 All Habitats'!$AF$3:$AF$17,0)),"")</f>
        <v/>
      </c>
      <c r="B150" s="30" t="str">
        <f>IFERROR(INDEX('G-8 Condition Look up'!$I$4:$I$135,MATCH(AV150,'G-8 Condition Look up'!$A$4:$A$135,0)),"")</f>
        <v/>
      </c>
      <c r="D150" s="97">
        <v>140</v>
      </c>
      <c r="E150" s="262"/>
      <c r="F150" s="263"/>
      <c r="G150" s="133"/>
      <c r="H150" s="115"/>
      <c r="I150" s="509" t="str">
        <f>IF(AV150="","",IF(AND(AW150="Yes",G150="No"),"Irreplaceable habitat ▲",IF(AND(AW150="No",G150="Yes"),"Cannot be Irreplaceable ▲",VLOOKUP(AV150,'G-1 All Habitats'!$B$2:$M$135,10,FALSE))))</f>
        <v/>
      </c>
      <c r="J150" s="377" t="str">
        <f>IFERROR(VLOOKUP(I150,'G-1 All Habitats'!$V$3:$W$7,2,FALSE),"")</f>
        <v/>
      </c>
      <c r="K150" s="101"/>
      <c r="L150" s="276" t="str">
        <f>IFERROR(INDEX('G-8 Condition Look up'!$A$3:$H$135,MATCH(AV150,'G-8 Condition Look up'!$A$3:$A$135,0),MATCH(K150,'G-8 Condition Look up'!$A$3:$H$3,0)),"")</f>
        <v/>
      </c>
      <c r="M150" s="105"/>
      <c r="N150" s="295" t="str">
        <f>IF(M150="","",IF(VLOOKUP(M150,'G-3 Multipliers'!$L$3:$N$6,2,FALSE)=0,"Spatial Data Missing ⚠",VLOOKUP(M150,'G-3 Multipliers'!$L$3:$N$6,2,FALSE)))</f>
        <v/>
      </c>
      <c r="O150" s="353" t="str">
        <f>IF(M150="","",IF(VLOOKUP(M150,'G-3 Multipliers'!$L$3:$N$6,3,FALSE)=0,"Spatial Data Missing ⚠",VLOOKUP(M150,'G-3 Multipliers'!$L$3:$N$6,3,FALSE)))</f>
        <v/>
      </c>
      <c r="P150" s="336" t="str">
        <f>(IF(G150="Yes","Bespoke compensation likely to be required",(IFERROR(VLOOKUP(AV150,'G-1 All Habitats'!$B$2:$M$135,12,FALSE),""))))</f>
        <v/>
      </c>
      <c r="Q150" s="511" t="str">
        <f>IFERROR(IF(P150="","",IF(AND(E150="Individual trees",W150&gt;0,G150="Yes"),"Error - you cannot enhance irreplaceable individual trees ▲",IF(P150='G-1 All Habitats'!$X$9,T150*S150,IF(AND(P150='G-1 All Habitats'!$X$9,W150&gt;0),X150+(Y150*S150),IF(AND(P150='G-1 All Habitats'!$X$9,V150&gt;0),X150+(Y150*S150),IF(AND(P150='G-1 All Habitats'!$X$9,AG150&gt;0),"Any Loss Unacceptable  ⚠",IF(AND(P150='G-1 All Habitats'!$X$9,Z150&gt;0),"Any Loss Unacceptable ⚠",H150*J150*L150*O150*S150))))))),"Check Data ⚠")</f>
        <v/>
      </c>
      <c r="R150" s="393"/>
      <c r="S150" s="510" t="str">
        <f>IF(R150="","",IF(VLOOKUP(R150,'G-3 Multipliers'!$S$3:$T$10,2,FALSE)=0,"Spatial Data Missing ⚠",VLOOKUP(R150,'G-3 Multipliers'!$S$3:$T$10,2,FALSE)))</f>
        <v/>
      </c>
      <c r="T150" s="289" t="str">
        <f>IFERROR(IF(AND(F150&lt;&gt;"",G150=""),"Confirm irreplaceable habitat status ▲",(IF(AND(R150&lt;&gt;"",AF150=""),"Off-site reference required ▲",(IF(AND(E150="Individual trees",W150&gt;0,G150="Yes"),"Error - you cannot enhance irreplaceable individual trees ▲",(IF(AND(X150="Irreplaceable habitat - no units generated ⚠",(W150+V150)&lt;H150,OR(AB150="No",AB150="")),"Any Loss Unacceptable ⚠",(IF(X150="Irreplaceable habitat - no units generated ⚠",W150*J150*L150*O150,IF(AND(P150='G-1 All Habitats'!$X$9,AH150&gt;0,V150&lt;=0,W150&lt;=0,OR(AB150="No",AB150="")),"Any Loss Unacceptable ⚠",IF(AND(P150='G-1 All Habitats'!$X$9,AH150&gt;0,V150&lt;=0,W150&lt;=0),0,(IF(AND(P150='G-1 All Habitats'!$X$9,(W150+V150)&lt;H150,OR(AB150="No",AB150="")),"Any Loss Unacceptable ⚠",(IF(P150="","",IF(AND(P150='G-1 All Habitats'!$X$9,W150&gt;0),X150+Y150,IF(AND(P150='G-1 All Habitats'!$X$9,V150&gt;0),X150+Y150,IF(R150="","",H150*J150*L150*O150)))))))))))))))))),"Check Data ▲")</f>
        <v/>
      </c>
      <c r="U150" s="38"/>
      <c r="V150" s="52"/>
      <c r="W150" s="53"/>
      <c r="X150" s="287" t="str">
        <f t="shared" si="20"/>
        <v/>
      </c>
      <c r="Y150" s="287" t="str">
        <f t="shared" si="21"/>
        <v/>
      </c>
      <c r="Z150" s="287" t="str">
        <f t="shared" si="22"/>
        <v/>
      </c>
      <c r="AA150" s="317" t="str">
        <f>IFERROR(IF(AND(E150="Individual trees",G150="Yes",W150&gt;0),"Error - you cannot enhance an irreplaceable tree ▲",(IF(H150="","",IF(H150-V150-W150=0&lt;0,"Error in Areas ▲",IF(V150+W150&gt;H150,"Error in Areas ▲",IF(AND(P150='G-1 All Habitats'!$X$9,AB150="Yes"),"Alternative Compensation ✓",IF(AND(P150='G-1 All Habitats'!$X$3,AB150="Yes"),"Alternative Compensation ✓",IF(AND(AB150="Pending",P150='G-1 All Habitats'!$X$3),"Bespoke compensation must be agreed ▲",IF(AND(AB150="Pending",P150='G-1 All Habitats'!$X$9),"Bespoke compensation must be agreed  ▲",IF(Z150=0,0,IF(P150='G-1 All Habitats'!$X$9,"Any Loss Unacceptable ▲",T150-X150-Y150))))))))))),"Check Data ⚠")</f>
        <v/>
      </c>
      <c r="AB150" s="587"/>
      <c r="AC150" s="105"/>
      <c r="AD150" s="138"/>
      <c r="AE150" s="104"/>
      <c r="AF150" s="611"/>
      <c r="AG150" s="523" t="str">
        <f>IF(OR(P150="",AB150="Yes"),"",IF(P150='G-1 All Habitats'!$X$9,H150-V150-W150,"None"))</f>
        <v/>
      </c>
      <c r="AH150" s="523" t="str">
        <f>IF(P150="","",IF(P150='G-1 All Habitats'!$X$9,AG150*J150*L150*O150,"None"))</f>
        <v/>
      </c>
      <c r="AJ150" s="107" t="str">
        <f t="shared" si="23"/>
        <v/>
      </c>
      <c r="AK150" s="107" t="str">
        <f t="shared" si="18"/>
        <v/>
      </c>
      <c r="AL150" s="107" t="str">
        <f>IF(I150="","",IF(#REF!&gt;0,TRUE,FALSE))</f>
        <v/>
      </c>
      <c r="AM150" s="107">
        <v>140</v>
      </c>
      <c r="AN150" s="107"/>
      <c r="AO150" s="107" t="str">
        <f t="array" ref="AO150">IFERROR(INDEX($AM$11:$AM$259,MATCH(0,IF(TRUE=$AJ$11:$AJ$259,COUNTIF($AO$10:$AO149,$AM$11:$AM$259),""),0)),"")</f>
        <v/>
      </c>
      <c r="AP150" s="107" t="str">
        <f t="array" ref="AP150">IFERROR(INDEX($AM$11:$AM$259,MATCH(0,IF(TRUE=$AK$11:$AK$259,COUNTIF($AP$10:$AP149,$AM$11:$AM$259),""),0)),"")</f>
        <v/>
      </c>
      <c r="AQ150" s="107" t="str">
        <f t="array" ref="AQ150">IFERROR(INDEX($AM$11:$AM$259,MATCH(0,IF(TRUE=$AL$11:$AL$259,COUNTIF($AQ$10:$AQ149,$AM$11:$AM$259),""),0)),"")</f>
        <v/>
      </c>
      <c r="AS150" s="885" t="str">
        <f>IF(AND(OR(AB150="Yes",AB150="Pending"),P150='G-1 All Habitats'!$X$3),T150-X150-Y150,"0")</f>
        <v>0</v>
      </c>
      <c r="AT150" s="30" t="str">
        <f t="shared" si="19"/>
        <v/>
      </c>
      <c r="AU150" s="30">
        <f t="shared" si="24"/>
        <v>0</v>
      </c>
      <c r="AV150" s="230" t="str">
        <f>IFERROR(INDEX('G-1 All Habitats'!$B$3:$B$135,MATCH(F150,'G-1 All Habitats'!$A$3:$A$135,0)),"")</f>
        <v/>
      </c>
      <c r="AW150" s="30" t="str">
        <f>IF(AV150="","",VLOOKUP(AV150,'G-1 All Habitats'!$B$1:$T$135,19,FALSE))</f>
        <v/>
      </c>
      <c r="AY150" s="287" t="str">
        <f t="shared" si="25"/>
        <v/>
      </c>
    </row>
    <row r="151" spans="1:51" ht="14">
      <c r="A151" s="30" t="str">
        <f>IFERROR(INDEX('G-1 All Habitats'!$AG$3:$AG$17,MATCH(E151,'G-1 All Habitats'!$AF$3:$AF$17,0)),"")</f>
        <v/>
      </c>
      <c r="B151" s="30" t="str">
        <f>IFERROR(INDEX('G-8 Condition Look up'!$I$4:$I$135,MATCH(AV151,'G-8 Condition Look up'!$A$4:$A$135,0)),"")</f>
        <v/>
      </c>
      <c r="D151" s="97">
        <v>141</v>
      </c>
      <c r="E151" s="262"/>
      <c r="F151" s="263"/>
      <c r="G151" s="133"/>
      <c r="H151" s="115"/>
      <c r="I151" s="509" t="str">
        <f>IF(AV151="","",IF(AND(AW151="Yes",G151="No"),"Irreplaceable habitat ▲",IF(AND(AW151="No",G151="Yes"),"Cannot be Irreplaceable ▲",VLOOKUP(AV151,'G-1 All Habitats'!$B$2:$M$135,10,FALSE))))</f>
        <v/>
      </c>
      <c r="J151" s="377" t="str">
        <f>IFERROR(VLOOKUP(I151,'G-1 All Habitats'!$V$3:$W$7,2,FALSE),"")</f>
        <v/>
      </c>
      <c r="K151" s="101"/>
      <c r="L151" s="276" t="str">
        <f>IFERROR(INDEX('G-8 Condition Look up'!$A$3:$H$135,MATCH(AV151,'G-8 Condition Look up'!$A$3:$A$135,0),MATCH(K151,'G-8 Condition Look up'!$A$3:$H$3,0)),"")</f>
        <v/>
      </c>
      <c r="M151" s="105"/>
      <c r="N151" s="295" t="str">
        <f>IF(M151="","",IF(VLOOKUP(M151,'G-3 Multipliers'!$L$3:$N$6,2,FALSE)=0,"Spatial Data Missing ⚠",VLOOKUP(M151,'G-3 Multipliers'!$L$3:$N$6,2,FALSE)))</f>
        <v/>
      </c>
      <c r="O151" s="353" t="str">
        <f>IF(M151="","",IF(VLOOKUP(M151,'G-3 Multipliers'!$L$3:$N$6,3,FALSE)=0,"Spatial Data Missing ⚠",VLOOKUP(M151,'G-3 Multipliers'!$L$3:$N$6,3,FALSE)))</f>
        <v/>
      </c>
      <c r="P151" s="336" t="str">
        <f>(IF(G151="Yes","Bespoke compensation likely to be required",(IFERROR(VLOOKUP(AV151,'G-1 All Habitats'!$B$2:$M$135,12,FALSE),""))))</f>
        <v/>
      </c>
      <c r="Q151" s="511" t="str">
        <f>IFERROR(IF(P151="","",IF(AND(E151="Individual trees",W151&gt;0,G151="Yes"),"Error - you cannot enhance irreplaceable individual trees ▲",IF(P151='G-1 All Habitats'!$X$9,T151*S151,IF(AND(P151='G-1 All Habitats'!$X$9,W151&gt;0),X151+(Y151*S151),IF(AND(P151='G-1 All Habitats'!$X$9,V151&gt;0),X151+(Y151*S151),IF(AND(P151='G-1 All Habitats'!$X$9,AG151&gt;0),"Any Loss Unacceptable  ⚠",IF(AND(P151='G-1 All Habitats'!$X$9,Z151&gt;0),"Any Loss Unacceptable ⚠",H151*J151*L151*O151*S151))))))),"Check Data ⚠")</f>
        <v/>
      </c>
      <c r="R151" s="393"/>
      <c r="S151" s="510" t="str">
        <f>IF(R151="","",IF(VLOOKUP(R151,'G-3 Multipliers'!$S$3:$T$10,2,FALSE)=0,"Spatial Data Missing ⚠",VLOOKUP(R151,'G-3 Multipliers'!$S$3:$T$10,2,FALSE)))</f>
        <v/>
      </c>
      <c r="T151" s="289" t="str">
        <f>IFERROR(IF(AND(F151&lt;&gt;"",G151=""),"Confirm irreplaceable habitat status ▲",(IF(AND(R151&lt;&gt;"",AF151=""),"Off-site reference required ▲",(IF(AND(E151="Individual trees",W151&gt;0,G151="Yes"),"Error - you cannot enhance irreplaceable individual trees ▲",(IF(AND(X151="Irreplaceable habitat - no units generated ⚠",(W151+V151)&lt;H151,OR(AB151="No",AB151="")),"Any Loss Unacceptable ⚠",(IF(X151="Irreplaceable habitat - no units generated ⚠",W151*J151*L151*O151,IF(AND(P151='G-1 All Habitats'!$X$9,AH151&gt;0,V151&lt;=0,W151&lt;=0,OR(AB151="No",AB151="")),"Any Loss Unacceptable ⚠",IF(AND(P151='G-1 All Habitats'!$X$9,AH151&gt;0,V151&lt;=0,W151&lt;=0),0,(IF(AND(P151='G-1 All Habitats'!$X$9,(W151+V151)&lt;H151,OR(AB151="No",AB151="")),"Any Loss Unacceptable ⚠",(IF(P151="","",IF(AND(P151='G-1 All Habitats'!$X$9,W151&gt;0),X151+Y151,IF(AND(P151='G-1 All Habitats'!$X$9,V151&gt;0),X151+Y151,IF(R151="","",H151*J151*L151*O151)))))))))))))))))),"Check Data ▲")</f>
        <v/>
      </c>
      <c r="U151" s="38"/>
      <c r="V151" s="52"/>
      <c r="W151" s="53"/>
      <c r="X151" s="287" t="str">
        <f t="shared" si="20"/>
        <v/>
      </c>
      <c r="Y151" s="287" t="str">
        <f t="shared" si="21"/>
        <v/>
      </c>
      <c r="Z151" s="287" t="str">
        <f t="shared" si="22"/>
        <v/>
      </c>
      <c r="AA151" s="317" t="str">
        <f>IFERROR(IF(AND(E151="Individual trees",G151="Yes",W151&gt;0),"Error - you cannot enhance an irreplaceable tree ▲",(IF(H151="","",IF(H151-V151-W151=0&lt;0,"Error in Areas ▲",IF(V151+W151&gt;H151,"Error in Areas ▲",IF(AND(P151='G-1 All Habitats'!$X$9,AB151="Yes"),"Alternative Compensation ✓",IF(AND(P151='G-1 All Habitats'!$X$3,AB151="Yes"),"Alternative Compensation ✓",IF(AND(AB151="Pending",P151='G-1 All Habitats'!$X$3),"Bespoke compensation must be agreed ▲",IF(AND(AB151="Pending",P151='G-1 All Habitats'!$X$9),"Bespoke compensation must be agreed  ▲",IF(Z151=0,0,IF(P151='G-1 All Habitats'!$X$9,"Any Loss Unacceptable ▲",T151-X151-Y151))))))))))),"Check Data ⚠")</f>
        <v/>
      </c>
      <c r="AB151" s="587"/>
      <c r="AC151" s="105"/>
      <c r="AD151" s="138"/>
      <c r="AE151" s="104"/>
      <c r="AF151" s="611"/>
      <c r="AG151" s="523" t="str">
        <f>IF(OR(P151="",AB151="Yes"),"",IF(P151='G-1 All Habitats'!$X$9,H151-V151-W151,"None"))</f>
        <v/>
      </c>
      <c r="AH151" s="523" t="str">
        <f>IF(P151="","",IF(P151='G-1 All Habitats'!$X$9,AG151*J151*L151*O151,"None"))</f>
        <v/>
      </c>
      <c r="AJ151" s="107" t="str">
        <f t="shared" si="23"/>
        <v/>
      </c>
      <c r="AK151" s="107" t="str">
        <f t="shared" si="18"/>
        <v/>
      </c>
      <c r="AL151" s="107" t="str">
        <f>IF(I151="","",IF(#REF!&gt;0,TRUE,FALSE))</f>
        <v/>
      </c>
      <c r="AM151" s="107">
        <v>141</v>
      </c>
      <c r="AN151" s="107"/>
      <c r="AO151" s="107" t="str">
        <f t="array" ref="AO151">IFERROR(INDEX($AM$11:$AM$259,MATCH(0,IF(TRUE=$AJ$11:$AJ$259,COUNTIF($AO$10:$AO150,$AM$11:$AM$259),""),0)),"")</f>
        <v/>
      </c>
      <c r="AP151" s="107" t="str">
        <f t="array" ref="AP151">IFERROR(INDEX($AM$11:$AM$259,MATCH(0,IF(TRUE=$AK$11:$AK$259,COUNTIF($AP$10:$AP150,$AM$11:$AM$259),""),0)),"")</f>
        <v/>
      </c>
      <c r="AQ151" s="107" t="str">
        <f t="array" ref="AQ151">IFERROR(INDEX($AM$11:$AM$259,MATCH(0,IF(TRUE=$AL$11:$AL$259,COUNTIF($AQ$10:$AQ150,$AM$11:$AM$259),""),0)),"")</f>
        <v/>
      </c>
      <c r="AS151" s="885" t="str">
        <f>IF(AND(OR(AB151="Yes",AB151="Pending"),P151='G-1 All Habitats'!$X$3),T151-X151-Y151,"0")</f>
        <v>0</v>
      </c>
      <c r="AT151" s="30" t="str">
        <f t="shared" si="19"/>
        <v/>
      </c>
      <c r="AU151" s="30">
        <f t="shared" si="24"/>
        <v>0</v>
      </c>
      <c r="AV151" s="230" t="str">
        <f>IFERROR(INDEX('G-1 All Habitats'!$B$3:$B$135,MATCH(F151,'G-1 All Habitats'!$A$3:$A$135,0)),"")</f>
        <v/>
      </c>
      <c r="AW151" s="30" t="str">
        <f>IF(AV151="","",VLOOKUP(AV151,'G-1 All Habitats'!$B$1:$T$135,19,FALSE))</f>
        <v/>
      </c>
      <c r="AY151" s="287" t="str">
        <f t="shared" si="25"/>
        <v/>
      </c>
    </row>
    <row r="152" spans="1:51" ht="14">
      <c r="A152" s="30" t="str">
        <f>IFERROR(INDEX('G-1 All Habitats'!$AG$3:$AG$17,MATCH(E152,'G-1 All Habitats'!$AF$3:$AF$17,0)),"")</f>
        <v/>
      </c>
      <c r="B152" s="30" t="str">
        <f>IFERROR(INDEX('G-8 Condition Look up'!$I$4:$I$135,MATCH(AV152,'G-8 Condition Look up'!$A$4:$A$135,0)),"")</f>
        <v/>
      </c>
      <c r="D152" s="97">
        <v>142</v>
      </c>
      <c r="E152" s="262"/>
      <c r="F152" s="263"/>
      <c r="G152" s="133"/>
      <c r="H152" s="115"/>
      <c r="I152" s="509" t="str">
        <f>IF(AV152="","",IF(AND(AW152="Yes",G152="No"),"Irreplaceable habitat ▲",IF(AND(AW152="No",G152="Yes"),"Cannot be Irreplaceable ▲",VLOOKUP(AV152,'G-1 All Habitats'!$B$2:$M$135,10,FALSE))))</f>
        <v/>
      </c>
      <c r="J152" s="377" t="str">
        <f>IFERROR(VLOOKUP(I152,'G-1 All Habitats'!$V$3:$W$7,2,FALSE),"")</f>
        <v/>
      </c>
      <c r="K152" s="101"/>
      <c r="L152" s="276" t="str">
        <f>IFERROR(INDEX('G-8 Condition Look up'!$A$3:$H$135,MATCH(AV152,'G-8 Condition Look up'!$A$3:$A$135,0),MATCH(K152,'G-8 Condition Look up'!$A$3:$H$3,0)),"")</f>
        <v/>
      </c>
      <c r="M152" s="105"/>
      <c r="N152" s="295" t="str">
        <f>IF(M152="","",IF(VLOOKUP(M152,'G-3 Multipliers'!$L$3:$N$6,2,FALSE)=0,"Spatial Data Missing ⚠",VLOOKUP(M152,'G-3 Multipliers'!$L$3:$N$6,2,FALSE)))</f>
        <v/>
      </c>
      <c r="O152" s="353" t="str">
        <f>IF(M152="","",IF(VLOOKUP(M152,'G-3 Multipliers'!$L$3:$N$6,3,FALSE)=0,"Spatial Data Missing ⚠",VLOOKUP(M152,'G-3 Multipliers'!$L$3:$N$6,3,FALSE)))</f>
        <v/>
      </c>
      <c r="P152" s="336" t="str">
        <f>(IF(G152="Yes","Bespoke compensation likely to be required",(IFERROR(VLOOKUP(AV152,'G-1 All Habitats'!$B$2:$M$135,12,FALSE),""))))</f>
        <v/>
      </c>
      <c r="Q152" s="511" t="str">
        <f>IFERROR(IF(P152="","",IF(AND(E152="Individual trees",W152&gt;0,G152="Yes"),"Error - you cannot enhance irreplaceable individual trees ▲",IF(P152='G-1 All Habitats'!$X$9,T152*S152,IF(AND(P152='G-1 All Habitats'!$X$9,W152&gt;0),X152+(Y152*S152),IF(AND(P152='G-1 All Habitats'!$X$9,V152&gt;0),X152+(Y152*S152),IF(AND(P152='G-1 All Habitats'!$X$9,AG152&gt;0),"Any Loss Unacceptable  ⚠",IF(AND(P152='G-1 All Habitats'!$X$9,Z152&gt;0),"Any Loss Unacceptable ⚠",H152*J152*L152*O152*S152))))))),"Check Data ⚠")</f>
        <v/>
      </c>
      <c r="R152" s="393"/>
      <c r="S152" s="510" t="str">
        <f>IF(R152="","",IF(VLOOKUP(R152,'G-3 Multipliers'!$S$3:$T$10,2,FALSE)=0,"Spatial Data Missing ⚠",VLOOKUP(R152,'G-3 Multipliers'!$S$3:$T$10,2,FALSE)))</f>
        <v/>
      </c>
      <c r="T152" s="289" t="str">
        <f>IFERROR(IF(AND(F152&lt;&gt;"",G152=""),"Confirm irreplaceable habitat status ▲",(IF(AND(R152&lt;&gt;"",AF152=""),"Off-site reference required ▲",(IF(AND(E152="Individual trees",W152&gt;0,G152="Yes"),"Error - you cannot enhance irreplaceable individual trees ▲",(IF(AND(X152="Irreplaceable habitat - no units generated ⚠",(W152+V152)&lt;H152,OR(AB152="No",AB152="")),"Any Loss Unacceptable ⚠",(IF(X152="Irreplaceable habitat - no units generated ⚠",W152*J152*L152*O152,IF(AND(P152='G-1 All Habitats'!$X$9,AH152&gt;0,V152&lt;=0,W152&lt;=0,OR(AB152="No",AB152="")),"Any Loss Unacceptable ⚠",IF(AND(P152='G-1 All Habitats'!$X$9,AH152&gt;0,V152&lt;=0,W152&lt;=0),0,(IF(AND(P152='G-1 All Habitats'!$X$9,(W152+V152)&lt;H152,OR(AB152="No",AB152="")),"Any Loss Unacceptable ⚠",(IF(P152="","",IF(AND(P152='G-1 All Habitats'!$X$9,W152&gt;0),X152+Y152,IF(AND(P152='G-1 All Habitats'!$X$9,V152&gt;0),X152+Y152,IF(R152="","",H152*J152*L152*O152)))))))))))))))))),"Check Data ▲")</f>
        <v/>
      </c>
      <c r="U152" s="38"/>
      <c r="V152" s="52"/>
      <c r="W152" s="53"/>
      <c r="X152" s="287" t="str">
        <f t="shared" si="20"/>
        <v/>
      </c>
      <c r="Y152" s="287" t="str">
        <f t="shared" si="21"/>
        <v/>
      </c>
      <c r="Z152" s="287" t="str">
        <f t="shared" si="22"/>
        <v/>
      </c>
      <c r="AA152" s="317" t="str">
        <f>IFERROR(IF(AND(E152="Individual trees",G152="Yes",W152&gt;0),"Error - you cannot enhance an irreplaceable tree ▲",(IF(H152="","",IF(H152-V152-W152=0&lt;0,"Error in Areas ▲",IF(V152+W152&gt;H152,"Error in Areas ▲",IF(AND(P152='G-1 All Habitats'!$X$9,AB152="Yes"),"Alternative Compensation ✓",IF(AND(P152='G-1 All Habitats'!$X$3,AB152="Yes"),"Alternative Compensation ✓",IF(AND(AB152="Pending",P152='G-1 All Habitats'!$X$3),"Bespoke compensation must be agreed ▲",IF(AND(AB152="Pending",P152='G-1 All Habitats'!$X$9),"Bespoke compensation must be agreed  ▲",IF(Z152=0,0,IF(P152='G-1 All Habitats'!$X$9,"Any Loss Unacceptable ▲",T152-X152-Y152))))))))))),"Check Data ⚠")</f>
        <v/>
      </c>
      <c r="AB152" s="587"/>
      <c r="AC152" s="105"/>
      <c r="AD152" s="138"/>
      <c r="AE152" s="104"/>
      <c r="AF152" s="611"/>
      <c r="AG152" s="523" t="str">
        <f>IF(OR(P152="",AB152="Yes"),"",IF(P152='G-1 All Habitats'!$X$9,H152-V152-W152,"None"))</f>
        <v/>
      </c>
      <c r="AH152" s="523" t="str">
        <f>IF(P152="","",IF(P152='G-1 All Habitats'!$X$9,AG152*J152*L152*O152,"None"))</f>
        <v/>
      </c>
      <c r="AJ152" s="107" t="str">
        <f t="shared" si="23"/>
        <v/>
      </c>
      <c r="AK152" s="107" t="str">
        <f t="shared" si="18"/>
        <v/>
      </c>
      <c r="AL152" s="107" t="str">
        <f>IF(I152="","",IF(#REF!&gt;0,TRUE,FALSE))</f>
        <v/>
      </c>
      <c r="AM152" s="107">
        <v>142</v>
      </c>
      <c r="AN152" s="107"/>
      <c r="AO152" s="107" t="str">
        <f t="array" ref="AO152">IFERROR(INDEX($AM$11:$AM$259,MATCH(0,IF(TRUE=$AJ$11:$AJ$259,COUNTIF($AO$10:$AO151,$AM$11:$AM$259),""),0)),"")</f>
        <v/>
      </c>
      <c r="AP152" s="107" t="str">
        <f t="array" ref="AP152">IFERROR(INDEX($AM$11:$AM$259,MATCH(0,IF(TRUE=$AK$11:$AK$259,COUNTIF($AP$10:$AP151,$AM$11:$AM$259),""),0)),"")</f>
        <v/>
      </c>
      <c r="AQ152" s="107" t="str">
        <f t="array" ref="AQ152">IFERROR(INDEX($AM$11:$AM$259,MATCH(0,IF(TRUE=$AL$11:$AL$259,COUNTIF($AQ$10:$AQ151,$AM$11:$AM$259),""),0)),"")</f>
        <v/>
      </c>
      <c r="AS152" s="885" t="str">
        <f>IF(AND(OR(AB152="Yes",AB152="Pending"),P152='G-1 All Habitats'!$X$3),T152-X152-Y152,"0")</f>
        <v>0</v>
      </c>
      <c r="AT152" s="30" t="str">
        <f t="shared" si="19"/>
        <v/>
      </c>
      <c r="AU152" s="30">
        <f t="shared" si="24"/>
        <v>0</v>
      </c>
      <c r="AV152" s="230" t="str">
        <f>IFERROR(INDEX('G-1 All Habitats'!$B$3:$B$135,MATCH(F152,'G-1 All Habitats'!$A$3:$A$135,0)),"")</f>
        <v/>
      </c>
      <c r="AW152" s="30" t="str">
        <f>IF(AV152="","",VLOOKUP(AV152,'G-1 All Habitats'!$B$1:$T$135,19,FALSE))</f>
        <v/>
      </c>
      <c r="AY152" s="287" t="str">
        <f t="shared" si="25"/>
        <v/>
      </c>
    </row>
    <row r="153" spans="1:51" ht="14">
      <c r="A153" s="30" t="str">
        <f>IFERROR(INDEX('G-1 All Habitats'!$AG$3:$AG$17,MATCH(E153,'G-1 All Habitats'!$AF$3:$AF$17,0)),"")</f>
        <v/>
      </c>
      <c r="B153" s="30" t="str">
        <f>IFERROR(INDEX('G-8 Condition Look up'!$I$4:$I$135,MATCH(AV153,'G-8 Condition Look up'!$A$4:$A$135,0)),"")</f>
        <v/>
      </c>
      <c r="D153" s="97">
        <v>143</v>
      </c>
      <c r="E153" s="262"/>
      <c r="F153" s="263"/>
      <c r="G153" s="133"/>
      <c r="H153" s="115"/>
      <c r="I153" s="509" t="str">
        <f>IF(AV153="","",IF(AND(AW153="Yes",G153="No"),"Irreplaceable habitat ▲",IF(AND(AW153="No",G153="Yes"),"Cannot be Irreplaceable ▲",VLOOKUP(AV153,'G-1 All Habitats'!$B$2:$M$135,10,FALSE))))</f>
        <v/>
      </c>
      <c r="J153" s="377" t="str">
        <f>IFERROR(VLOOKUP(I153,'G-1 All Habitats'!$V$3:$W$7,2,FALSE),"")</f>
        <v/>
      </c>
      <c r="K153" s="101"/>
      <c r="L153" s="276" t="str">
        <f>IFERROR(INDEX('G-8 Condition Look up'!$A$3:$H$135,MATCH(AV153,'G-8 Condition Look up'!$A$3:$A$135,0),MATCH(K153,'G-8 Condition Look up'!$A$3:$H$3,0)),"")</f>
        <v/>
      </c>
      <c r="M153" s="105"/>
      <c r="N153" s="295" t="str">
        <f>IF(M153="","",IF(VLOOKUP(M153,'G-3 Multipliers'!$L$3:$N$6,2,FALSE)=0,"Spatial Data Missing ⚠",VLOOKUP(M153,'G-3 Multipliers'!$L$3:$N$6,2,FALSE)))</f>
        <v/>
      </c>
      <c r="O153" s="353" t="str">
        <f>IF(M153="","",IF(VLOOKUP(M153,'G-3 Multipliers'!$L$3:$N$6,3,FALSE)=0,"Spatial Data Missing ⚠",VLOOKUP(M153,'G-3 Multipliers'!$L$3:$N$6,3,FALSE)))</f>
        <v/>
      </c>
      <c r="P153" s="336" t="str">
        <f>(IF(G153="Yes","Bespoke compensation likely to be required",(IFERROR(VLOOKUP(AV153,'G-1 All Habitats'!$B$2:$M$135,12,FALSE),""))))</f>
        <v/>
      </c>
      <c r="Q153" s="511" t="str">
        <f>IFERROR(IF(P153="","",IF(AND(E153="Individual trees",W153&gt;0,G153="Yes"),"Error - you cannot enhance irreplaceable individual trees ▲",IF(P153='G-1 All Habitats'!$X$9,T153*S153,IF(AND(P153='G-1 All Habitats'!$X$9,W153&gt;0),X153+(Y153*S153),IF(AND(P153='G-1 All Habitats'!$X$9,V153&gt;0),X153+(Y153*S153),IF(AND(P153='G-1 All Habitats'!$X$9,AG153&gt;0),"Any Loss Unacceptable  ⚠",IF(AND(P153='G-1 All Habitats'!$X$9,Z153&gt;0),"Any Loss Unacceptable ⚠",H153*J153*L153*O153*S153))))))),"Check Data ⚠")</f>
        <v/>
      </c>
      <c r="R153" s="393"/>
      <c r="S153" s="510" t="str">
        <f>IF(R153="","",IF(VLOOKUP(R153,'G-3 Multipliers'!$S$3:$T$10,2,FALSE)=0,"Spatial Data Missing ⚠",VLOOKUP(R153,'G-3 Multipliers'!$S$3:$T$10,2,FALSE)))</f>
        <v/>
      </c>
      <c r="T153" s="289" t="str">
        <f>IFERROR(IF(AND(F153&lt;&gt;"",G153=""),"Confirm irreplaceable habitat status ▲",(IF(AND(R153&lt;&gt;"",AF153=""),"Off-site reference required ▲",(IF(AND(E153="Individual trees",W153&gt;0,G153="Yes"),"Error - you cannot enhance irreplaceable individual trees ▲",(IF(AND(X153="Irreplaceable habitat - no units generated ⚠",(W153+V153)&lt;H153,OR(AB153="No",AB153="")),"Any Loss Unacceptable ⚠",(IF(X153="Irreplaceable habitat - no units generated ⚠",W153*J153*L153*O153,IF(AND(P153='G-1 All Habitats'!$X$9,AH153&gt;0,V153&lt;=0,W153&lt;=0,OR(AB153="No",AB153="")),"Any Loss Unacceptable ⚠",IF(AND(P153='G-1 All Habitats'!$X$9,AH153&gt;0,V153&lt;=0,W153&lt;=0),0,(IF(AND(P153='G-1 All Habitats'!$X$9,(W153+V153)&lt;H153,OR(AB153="No",AB153="")),"Any Loss Unacceptable ⚠",(IF(P153="","",IF(AND(P153='G-1 All Habitats'!$X$9,W153&gt;0),X153+Y153,IF(AND(P153='G-1 All Habitats'!$X$9,V153&gt;0),X153+Y153,IF(R153="","",H153*J153*L153*O153)))))))))))))))))),"Check Data ▲")</f>
        <v/>
      </c>
      <c r="U153" s="38"/>
      <c r="V153" s="52"/>
      <c r="W153" s="53"/>
      <c r="X153" s="287" t="str">
        <f t="shared" si="20"/>
        <v/>
      </c>
      <c r="Y153" s="287" t="str">
        <f t="shared" si="21"/>
        <v/>
      </c>
      <c r="Z153" s="287" t="str">
        <f t="shared" si="22"/>
        <v/>
      </c>
      <c r="AA153" s="317" t="str">
        <f>IFERROR(IF(AND(E153="Individual trees",G153="Yes",W153&gt;0),"Error - you cannot enhance an irreplaceable tree ▲",(IF(H153="","",IF(H153-V153-W153=0&lt;0,"Error in Areas ▲",IF(V153+W153&gt;H153,"Error in Areas ▲",IF(AND(P153='G-1 All Habitats'!$X$9,AB153="Yes"),"Alternative Compensation ✓",IF(AND(P153='G-1 All Habitats'!$X$3,AB153="Yes"),"Alternative Compensation ✓",IF(AND(AB153="Pending",P153='G-1 All Habitats'!$X$3),"Bespoke compensation must be agreed ▲",IF(AND(AB153="Pending",P153='G-1 All Habitats'!$X$9),"Bespoke compensation must be agreed  ▲",IF(Z153=0,0,IF(P153='G-1 All Habitats'!$X$9,"Any Loss Unacceptable ▲",T153-X153-Y153))))))))))),"Check Data ⚠")</f>
        <v/>
      </c>
      <c r="AB153" s="587"/>
      <c r="AC153" s="105"/>
      <c r="AD153" s="138"/>
      <c r="AE153" s="104"/>
      <c r="AF153" s="611"/>
      <c r="AG153" s="523" t="str">
        <f>IF(OR(P153="",AB153="Yes"),"",IF(P153='G-1 All Habitats'!$X$9,H153-V153-W153,"None"))</f>
        <v/>
      </c>
      <c r="AH153" s="523" t="str">
        <f>IF(P153="","",IF(P153='G-1 All Habitats'!$X$9,AG153*J153*L153*O153,"None"))</f>
        <v/>
      </c>
      <c r="AJ153" s="107" t="str">
        <f t="shared" si="23"/>
        <v/>
      </c>
      <c r="AK153" s="107" t="str">
        <f t="shared" si="18"/>
        <v/>
      </c>
      <c r="AL153" s="107" t="str">
        <f>IF(I153="","",IF(#REF!&gt;0,TRUE,FALSE))</f>
        <v/>
      </c>
      <c r="AM153" s="107">
        <v>143</v>
      </c>
      <c r="AN153" s="107"/>
      <c r="AO153" s="107" t="str">
        <f t="array" ref="AO153">IFERROR(INDEX($AM$11:$AM$259,MATCH(0,IF(TRUE=$AJ$11:$AJ$259,COUNTIF($AO$10:$AO152,$AM$11:$AM$259),""),0)),"")</f>
        <v/>
      </c>
      <c r="AP153" s="107" t="str">
        <f t="array" ref="AP153">IFERROR(INDEX($AM$11:$AM$259,MATCH(0,IF(TRUE=$AK$11:$AK$259,COUNTIF($AP$10:$AP152,$AM$11:$AM$259),""),0)),"")</f>
        <v/>
      </c>
      <c r="AQ153" s="107" t="str">
        <f t="array" ref="AQ153">IFERROR(INDEX($AM$11:$AM$259,MATCH(0,IF(TRUE=$AL$11:$AL$259,COUNTIF($AQ$10:$AQ152,$AM$11:$AM$259),""),0)),"")</f>
        <v/>
      </c>
      <c r="AS153" s="885" t="str">
        <f>IF(AND(OR(AB153="Yes",AB153="Pending"),P153='G-1 All Habitats'!$X$3),T153-X153-Y153,"0")</f>
        <v>0</v>
      </c>
      <c r="AT153" s="30" t="str">
        <f t="shared" si="19"/>
        <v/>
      </c>
      <c r="AU153" s="30">
        <f t="shared" si="24"/>
        <v>0</v>
      </c>
      <c r="AV153" s="230" t="str">
        <f>IFERROR(INDEX('G-1 All Habitats'!$B$3:$B$135,MATCH(F153,'G-1 All Habitats'!$A$3:$A$135,0)),"")</f>
        <v/>
      </c>
      <c r="AW153" s="30" t="str">
        <f>IF(AV153="","",VLOOKUP(AV153,'G-1 All Habitats'!$B$1:$T$135,19,FALSE))</f>
        <v/>
      </c>
      <c r="AY153" s="287" t="str">
        <f t="shared" si="25"/>
        <v/>
      </c>
    </row>
    <row r="154" spans="1:51" ht="14">
      <c r="A154" s="30" t="str">
        <f>IFERROR(INDEX('G-1 All Habitats'!$AG$3:$AG$17,MATCH(E154,'G-1 All Habitats'!$AF$3:$AF$17,0)),"")</f>
        <v/>
      </c>
      <c r="B154" s="30" t="str">
        <f>IFERROR(INDEX('G-8 Condition Look up'!$I$4:$I$135,MATCH(AV154,'G-8 Condition Look up'!$A$4:$A$135,0)),"")</f>
        <v/>
      </c>
      <c r="D154" s="97">
        <v>144</v>
      </c>
      <c r="E154" s="262"/>
      <c r="F154" s="263"/>
      <c r="G154" s="133"/>
      <c r="H154" s="115"/>
      <c r="I154" s="509" t="str">
        <f>IF(AV154="","",IF(AND(AW154="Yes",G154="No"),"Irreplaceable habitat ▲",IF(AND(AW154="No",G154="Yes"),"Cannot be Irreplaceable ▲",VLOOKUP(AV154,'G-1 All Habitats'!$B$2:$M$135,10,FALSE))))</f>
        <v/>
      </c>
      <c r="J154" s="377" t="str">
        <f>IFERROR(VLOOKUP(I154,'G-1 All Habitats'!$V$3:$W$7,2,FALSE),"")</f>
        <v/>
      </c>
      <c r="K154" s="101"/>
      <c r="L154" s="276" t="str">
        <f>IFERROR(INDEX('G-8 Condition Look up'!$A$3:$H$135,MATCH(AV154,'G-8 Condition Look up'!$A$3:$A$135,0),MATCH(K154,'G-8 Condition Look up'!$A$3:$H$3,0)),"")</f>
        <v/>
      </c>
      <c r="M154" s="105"/>
      <c r="N154" s="295" t="str">
        <f>IF(M154="","",IF(VLOOKUP(M154,'G-3 Multipliers'!$L$3:$N$6,2,FALSE)=0,"Spatial Data Missing ⚠",VLOOKUP(M154,'G-3 Multipliers'!$L$3:$N$6,2,FALSE)))</f>
        <v/>
      </c>
      <c r="O154" s="353" t="str">
        <f>IF(M154="","",IF(VLOOKUP(M154,'G-3 Multipliers'!$L$3:$N$6,3,FALSE)=0,"Spatial Data Missing ⚠",VLOOKUP(M154,'G-3 Multipliers'!$L$3:$N$6,3,FALSE)))</f>
        <v/>
      </c>
      <c r="P154" s="336" t="str">
        <f>(IF(G154="Yes","Bespoke compensation likely to be required",(IFERROR(VLOOKUP(AV154,'G-1 All Habitats'!$B$2:$M$135,12,FALSE),""))))</f>
        <v/>
      </c>
      <c r="Q154" s="511" t="str">
        <f>IFERROR(IF(P154="","",IF(AND(E154="Individual trees",W154&gt;0,G154="Yes"),"Error - you cannot enhance irreplaceable individual trees ▲",IF(P154='G-1 All Habitats'!$X$9,T154*S154,IF(AND(P154='G-1 All Habitats'!$X$9,W154&gt;0),X154+(Y154*S154),IF(AND(P154='G-1 All Habitats'!$X$9,V154&gt;0),X154+(Y154*S154),IF(AND(P154='G-1 All Habitats'!$X$9,AG154&gt;0),"Any Loss Unacceptable  ⚠",IF(AND(P154='G-1 All Habitats'!$X$9,Z154&gt;0),"Any Loss Unacceptable ⚠",H154*J154*L154*O154*S154))))))),"Check Data ⚠")</f>
        <v/>
      </c>
      <c r="R154" s="393"/>
      <c r="S154" s="510" t="str">
        <f>IF(R154="","",IF(VLOOKUP(R154,'G-3 Multipliers'!$S$3:$T$10,2,FALSE)=0,"Spatial Data Missing ⚠",VLOOKUP(R154,'G-3 Multipliers'!$S$3:$T$10,2,FALSE)))</f>
        <v/>
      </c>
      <c r="T154" s="289" t="str">
        <f>IFERROR(IF(AND(F154&lt;&gt;"",G154=""),"Confirm irreplaceable habitat status ▲",(IF(AND(R154&lt;&gt;"",AF154=""),"Off-site reference required ▲",(IF(AND(E154="Individual trees",W154&gt;0,G154="Yes"),"Error - you cannot enhance irreplaceable individual trees ▲",(IF(AND(X154="Irreplaceable habitat - no units generated ⚠",(W154+V154)&lt;H154,OR(AB154="No",AB154="")),"Any Loss Unacceptable ⚠",(IF(X154="Irreplaceable habitat - no units generated ⚠",W154*J154*L154*O154,IF(AND(P154='G-1 All Habitats'!$X$9,AH154&gt;0,V154&lt;=0,W154&lt;=0,OR(AB154="No",AB154="")),"Any Loss Unacceptable ⚠",IF(AND(P154='G-1 All Habitats'!$X$9,AH154&gt;0,V154&lt;=0,W154&lt;=0),0,(IF(AND(P154='G-1 All Habitats'!$X$9,(W154+V154)&lt;H154,OR(AB154="No",AB154="")),"Any Loss Unacceptable ⚠",(IF(P154="","",IF(AND(P154='G-1 All Habitats'!$X$9,W154&gt;0),X154+Y154,IF(AND(P154='G-1 All Habitats'!$X$9,V154&gt;0),X154+Y154,IF(R154="","",H154*J154*L154*O154)))))))))))))))))),"Check Data ▲")</f>
        <v/>
      </c>
      <c r="U154" s="38"/>
      <c r="V154" s="52"/>
      <c r="W154" s="53"/>
      <c r="X154" s="287" t="str">
        <f t="shared" si="20"/>
        <v/>
      </c>
      <c r="Y154" s="287" t="str">
        <f t="shared" si="21"/>
        <v/>
      </c>
      <c r="Z154" s="287" t="str">
        <f t="shared" si="22"/>
        <v/>
      </c>
      <c r="AA154" s="317" t="str">
        <f>IFERROR(IF(AND(E154="Individual trees",G154="Yes",W154&gt;0),"Error - you cannot enhance an irreplaceable tree ▲",(IF(H154="","",IF(H154-V154-W154=0&lt;0,"Error in Areas ▲",IF(V154+W154&gt;H154,"Error in Areas ▲",IF(AND(P154='G-1 All Habitats'!$X$9,AB154="Yes"),"Alternative Compensation ✓",IF(AND(P154='G-1 All Habitats'!$X$3,AB154="Yes"),"Alternative Compensation ✓",IF(AND(AB154="Pending",P154='G-1 All Habitats'!$X$3),"Bespoke compensation must be agreed ▲",IF(AND(AB154="Pending",P154='G-1 All Habitats'!$X$9),"Bespoke compensation must be agreed  ▲",IF(Z154=0,0,IF(P154='G-1 All Habitats'!$X$9,"Any Loss Unacceptable ▲",T154-X154-Y154))))))))))),"Check Data ⚠")</f>
        <v/>
      </c>
      <c r="AB154" s="587"/>
      <c r="AC154" s="105"/>
      <c r="AD154" s="138"/>
      <c r="AE154" s="104"/>
      <c r="AF154" s="611"/>
      <c r="AG154" s="523" t="str">
        <f>IF(OR(P154="",AB154="Yes"),"",IF(P154='G-1 All Habitats'!$X$9,H154-V154-W154,"None"))</f>
        <v/>
      </c>
      <c r="AH154" s="523" t="str">
        <f>IF(P154="","",IF(P154='G-1 All Habitats'!$X$9,AG154*J154*L154*O154,"None"))</f>
        <v/>
      </c>
      <c r="AJ154" s="107" t="str">
        <f t="shared" si="23"/>
        <v/>
      </c>
      <c r="AK154" s="107" t="str">
        <f t="shared" si="18"/>
        <v/>
      </c>
      <c r="AL154" s="107" t="str">
        <f>IF(I154="","",IF(#REF!&gt;0,TRUE,FALSE))</f>
        <v/>
      </c>
      <c r="AM154" s="107">
        <v>144</v>
      </c>
      <c r="AN154" s="107"/>
      <c r="AO154" s="107" t="str">
        <f t="array" ref="AO154">IFERROR(INDEX($AM$11:$AM$259,MATCH(0,IF(TRUE=$AJ$11:$AJ$259,COUNTIF($AO$10:$AO153,$AM$11:$AM$259),""),0)),"")</f>
        <v/>
      </c>
      <c r="AP154" s="107" t="str">
        <f t="array" ref="AP154">IFERROR(INDEX($AM$11:$AM$259,MATCH(0,IF(TRUE=$AK$11:$AK$259,COUNTIF($AP$10:$AP153,$AM$11:$AM$259),""),0)),"")</f>
        <v/>
      </c>
      <c r="AQ154" s="107" t="str">
        <f t="array" ref="AQ154">IFERROR(INDEX($AM$11:$AM$259,MATCH(0,IF(TRUE=$AL$11:$AL$259,COUNTIF($AQ$10:$AQ153,$AM$11:$AM$259),""),0)),"")</f>
        <v/>
      </c>
      <c r="AS154" s="885" t="str">
        <f>IF(AND(OR(AB154="Yes",AB154="Pending"),P154='G-1 All Habitats'!$X$3),T154-X154-Y154,"0")</f>
        <v>0</v>
      </c>
      <c r="AT154" s="30" t="str">
        <f t="shared" si="19"/>
        <v/>
      </c>
      <c r="AU154" s="30">
        <f t="shared" si="24"/>
        <v>0</v>
      </c>
      <c r="AV154" s="230" t="str">
        <f>IFERROR(INDEX('G-1 All Habitats'!$B$3:$B$135,MATCH(F154,'G-1 All Habitats'!$A$3:$A$135,0)),"")</f>
        <v/>
      </c>
      <c r="AW154" s="30" t="str">
        <f>IF(AV154="","",VLOOKUP(AV154,'G-1 All Habitats'!$B$1:$T$135,19,FALSE))</f>
        <v/>
      </c>
      <c r="AY154" s="287" t="str">
        <f t="shared" si="25"/>
        <v/>
      </c>
    </row>
    <row r="155" spans="1:51" ht="14">
      <c r="A155" s="30" t="str">
        <f>IFERROR(INDEX('G-1 All Habitats'!$AG$3:$AG$17,MATCH(E155,'G-1 All Habitats'!$AF$3:$AF$17,0)),"")</f>
        <v/>
      </c>
      <c r="B155" s="30" t="str">
        <f>IFERROR(INDEX('G-8 Condition Look up'!$I$4:$I$135,MATCH(AV155,'G-8 Condition Look up'!$A$4:$A$135,0)),"")</f>
        <v/>
      </c>
      <c r="D155" s="97">
        <v>145</v>
      </c>
      <c r="E155" s="262"/>
      <c r="F155" s="263"/>
      <c r="G155" s="133"/>
      <c r="H155" s="115"/>
      <c r="I155" s="509" t="str">
        <f>IF(AV155="","",IF(AND(AW155="Yes",G155="No"),"Irreplaceable habitat ▲",IF(AND(AW155="No",G155="Yes"),"Cannot be Irreplaceable ▲",VLOOKUP(AV155,'G-1 All Habitats'!$B$2:$M$135,10,FALSE))))</f>
        <v/>
      </c>
      <c r="J155" s="377" t="str">
        <f>IFERROR(VLOOKUP(I155,'G-1 All Habitats'!$V$3:$W$7,2,FALSE),"")</f>
        <v/>
      </c>
      <c r="K155" s="101"/>
      <c r="L155" s="276" t="str">
        <f>IFERROR(INDEX('G-8 Condition Look up'!$A$3:$H$135,MATCH(AV155,'G-8 Condition Look up'!$A$3:$A$135,0),MATCH(K155,'G-8 Condition Look up'!$A$3:$H$3,0)),"")</f>
        <v/>
      </c>
      <c r="M155" s="105"/>
      <c r="N155" s="295" t="str">
        <f>IF(M155="","",IF(VLOOKUP(M155,'G-3 Multipliers'!$L$3:$N$6,2,FALSE)=0,"Spatial Data Missing ⚠",VLOOKUP(M155,'G-3 Multipliers'!$L$3:$N$6,2,FALSE)))</f>
        <v/>
      </c>
      <c r="O155" s="353" t="str">
        <f>IF(M155="","",IF(VLOOKUP(M155,'G-3 Multipliers'!$L$3:$N$6,3,FALSE)=0,"Spatial Data Missing ⚠",VLOOKUP(M155,'G-3 Multipliers'!$L$3:$N$6,3,FALSE)))</f>
        <v/>
      </c>
      <c r="P155" s="336" t="str">
        <f>(IF(G155="Yes","Bespoke compensation likely to be required",(IFERROR(VLOOKUP(AV155,'G-1 All Habitats'!$B$2:$M$135,12,FALSE),""))))</f>
        <v/>
      </c>
      <c r="Q155" s="511" t="str">
        <f>IFERROR(IF(P155="","",IF(AND(E155="Individual trees",W155&gt;0,G155="Yes"),"Error - you cannot enhance irreplaceable individual trees ▲",IF(P155='G-1 All Habitats'!$X$9,T155*S155,IF(AND(P155='G-1 All Habitats'!$X$9,W155&gt;0),X155+(Y155*S155),IF(AND(P155='G-1 All Habitats'!$X$9,V155&gt;0),X155+(Y155*S155),IF(AND(P155='G-1 All Habitats'!$X$9,AG155&gt;0),"Any Loss Unacceptable  ⚠",IF(AND(P155='G-1 All Habitats'!$X$9,Z155&gt;0),"Any Loss Unacceptable ⚠",H155*J155*L155*O155*S155))))))),"Check Data ⚠")</f>
        <v/>
      </c>
      <c r="R155" s="393"/>
      <c r="S155" s="510" t="str">
        <f>IF(R155="","",IF(VLOOKUP(R155,'G-3 Multipliers'!$S$3:$T$10,2,FALSE)=0,"Spatial Data Missing ⚠",VLOOKUP(R155,'G-3 Multipliers'!$S$3:$T$10,2,FALSE)))</f>
        <v/>
      </c>
      <c r="T155" s="289" t="str">
        <f>IFERROR(IF(AND(F155&lt;&gt;"",G155=""),"Confirm irreplaceable habitat status ▲",(IF(AND(R155&lt;&gt;"",AF155=""),"Off-site reference required ▲",(IF(AND(E155="Individual trees",W155&gt;0,G155="Yes"),"Error - you cannot enhance irreplaceable individual trees ▲",(IF(AND(X155="Irreplaceable habitat - no units generated ⚠",(W155+V155)&lt;H155,OR(AB155="No",AB155="")),"Any Loss Unacceptable ⚠",(IF(X155="Irreplaceable habitat - no units generated ⚠",W155*J155*L155*O155,IF(AND(P155='G-1 All Habitats'!$X$9,AH155&gt;0,V155&lt;=0,W155&lt;=0,OR(AB155="No",AB155="")),"Any Loss Unacceptable ⚠",IF(AND(P155='G-1 All Habitats'!$X$9,AH155&gt;0,V155&lt;=0,W155&lt;=0),0,(IF(AND(P155='G-1 All Habitats'!$X$9,(W155+V155)&lt;H155,OR(AB155="No",AB155="")),"Any Loss Unacceptable ⚠",(IF(P155="","",IF(AND(P155='G-1 All Habitats'!$X$9,W155&gt;0),X155+Y155,IF(AND(P155='G-1 All Habitats'!$X$9,V155&gt;0),X155+Y155,IF(R155="","",H155*J155*L155*O155)))))))))))))))))),"Check Data ▲")</f>
        <v/>
      </c>
      <c r="U155" s="38"/>
      <c r="V155" s="52"/>
      <c r="W155" s="53"/>
      <c r="X155" s="287" t="str">
        <f t="shared" si="20"/>
        <v/>
      </c>
      <c r="Y155" s="287" t="str">
        <f t="shared" si="21"/>
        <v/>
      </c>
      <c r="Z155" s="287" t="str">
        <f t="shared" si="22"/>
        <v/>
      </c>
      <c r="AA155" s="317" t="str">
        <f>IFERROR(IF(AND(E155="Individual trees",G155="Yes",W155&gt;0),"Error - you cannot enhance an irreplaceable tree ▲",(IF(H155="","",IF(H155-V155-W155=0&lt;0,"Error in Areas ▲",IF(V155+W155&gt;H155,"Error in Areas ▲",IF(AND(P155='G-1 All Habitats'!$X$9,AB155="Yes"),"Alternative Compensation ✓",IF(AND(P155='G-1 All Habitats'!$X$3,AB155="Yes"),"Alternative Compensation ✓",IF(AND(AB155="Pending",P155='G-1 All Habitats'!$X$3),"Bespoke compensation must be agreed ▲",IF(AND(AB155="Pending",P155='G-1 All Habitats'!$X$9),"Bespoke compensation must be agreed  ▲",IF(Z155=0,0,IF(P155='G-1 All Habitats'!$X$9,"Any Loss Unacceptable ▲",T155-X155-Y155))))))))))),"Check Data ⚠")</f>
        <v/>
      </c>
      <c r="AB155" s="587"/>
      <c r="AC155" s="105"/>
      <c r="AD155" s="138"/>
      <c r="AE155" s="104"/>
      <c r="AF155" s="611"/>
      <c r="AG155" s="523" t="str">
        <f>IF(OR(P155="",AB155="Yes"),"",IF(P155='G-1 All Habitats'!$X$9,H155-V155-W155,"None"))</f>
        <v/>
      </c>
      <c r="AH155" s="523" t="str">
        <f>IF(P155="","",IF(P155='G-1 All Habitats'!$X$9,AG155*J155*L155*O155,"None"))</f>
        <v/>
      </c>
      <c r="AJ155" s="107" t="str">
        <f t="shared" si="23"/>
        <v/>
      </c>
      <c r="AK155" s="107" t="str">
        <f t="shared" si="18"/>
        <v/>
      </c>
      <c r="AL155" s="107" t="str">
        <f>IF(I155="","",IF(#REF!&gt;0,TRUE,FALSE))</f>
        <v/>
      </c>
      <c r="AM155" s="107">
        <v>145</v>
      </c>
      <c r="AN155" s="107"/>
      <c r="AO155" s="107" t="str">
        <f t="array" ref="AO155">IFERROR(INDEX($AM$11:$AM$259,MATCH(0,IF(TRUE=$AJ$11:$AJ$259,COUNTIF($AO$10:$AO154,$AM$11:$AM$259),""),0)),"")</f>
        <v/>
      </c>
      <c r="AP155" s="107" t="str">
        <f t="array" ref="AP155">IFERROR(INDEX($AM$11:$AM$259,MATCH(0,IF(TRUE=$AK$11:$AK$259,COUNTIF($AP$10:$AP154,$AM$11:$AM$259),""),0)),"")</f>
        <v/>
      </c>
      <c r="AQ155" s="107" t="str">
        <f t="array" ref="AQ155">IFERROR(INDEX($AM$11:$AM$259,MATCH(0,IF(TRUE=$AL$11:$AL$259,COUNTIF($AQ$10:$AQ154,$AM$11:$AM$259),""),0)),"")</f>
        <v/>
      </c>
      <c r="AS155" s="885" t="str">
        <f>IF(AND(OR(AB155="Yes",AB155="Pending"),P155='G-1 All Habitats'!$X$3),T155-X155-Y155,"0")</f>
        <v>0</v>
      </c>
      <c r="AT155" s="30" t="str">
        <f t="shared" si="19"/>
        <v/>
      </c>
      <c r="AU155" s="30">
        <f t="shared" si="24"/>
        <v>0</v>
      </c>
      <c r="AV155" s="230" t="str">
        <f>IFERROR(INDEX('G-1 All Habitats'!$B$3:$B$135,MATCH(F155,'G-1 All Habitats'!$A$3:$A$135,0)),"")</f>
        <v/>
      </c>
      <c r="AW155" s="30" t="str">
        <f>IF(AV155="","",VLOOKUP(AV155,'G-1 All Habitats'!$B$1:$T$135,19,FALSE))</f>
        <v/>
      </c>
      <c r="AY155" s="287" t="str">
        <f t="shared" si="25"/>
        <v/>
      </c>
    </row>
    <row r="156" spans="1:51" ht="14">
      <c r="A156" s="30" t="str">
        <f>IFERROR(INDEX('G-1 All Habitats'!$AG$3:$AG$17,MATCH(E156,'G-1 All Habitats'!$AF$3:$AF$17,0)),"")</f>
        <v/>
      </c>
      <c r="B156" s="30" t="str">
        <f>IFERROR(INDEX('G-8 Condition Look up'!$I$4:$I$135,MATCH(AV156,'G-8 Condition Look up'!$A$4:$A$135,0)),"")</f>
        <v/>
      </c>
      <c r="D156" s="97">
        <v>146</v>
      </c>
      <c r="E156" s="262"/>
      <c r="F156" s="263"/>
      <c r="G156" s="133"/>
      <c r="H156" s="115"/>
      <c r="I156" s="509" t="str">
        <f>IF(AV156="","",IF(AND(AW156="Yes",G156="No"),"Irreplaceable habitat ▲",IF(AND(AW156="No",G156="Yes"),"Cannot be Irreplaceable ▲",VLOOKUP(AV156,'G-1 All Habitats'!$B$2:$M$135,10,FALSE))))</f>
        <v/>
      </c>
      <c r="J156" s="377" t="str">
        <f>IFERROR(VLOOKUP(I156,'G-1 All Habitats'!$V$3:$W$7,2,FALSE),"")</f>
        <v/>
      </c>
      <c r="K156" s="101"/>
      <c r="L156" s="276" t="str">
        <f>IFERROR(INDEX('G-8 Condition Look up'!$A$3:$H$135,MATCH(AV156,'G-8 Condition Look up'!$A$3:$A$135,0),MATCH(K156,'G-8 Condition Look up'!$A$3:$H$3,0)),"")</f>
        <v/>
      </c>
      <c r="M156" s="105"/>
      <c r="N156" s="295" t="str">
        <f>IF(M156="","",IF(VLOOKUP(M156,'G-3 Multipliers'!$L$3:$N$6,2,FALSE)=0,"Spatial Data Missing ⚠",VLOOKUP(M156,'G-3 Multipliers'!$L$3:$N$6,2,FALSE)))</f>
        <v/>
      </c>
      <c r="O156" s="353" t="str">
        <f>IF(M156="","",IF(VLOOKUP(M156,'G-3 Multipliers'!$L$3:$N$6,3,FALSE)=0,"Spatial Data Missing ⚠",VLOOKUP(M156,'G-3 Multipliers'!$L$3:$N$6,3,FALSE)))</f>
        <v/>
      </c>
      <c r="P156" s="336" t="str">
        <f>(IF(G156="Yes","Bespoke compensation likely to be required",(IFERROR(VLOOKUP(AV156,'G-1 All Habitats'!$B$2:$M$135,12,FALSE),""))))</f>
        <v/>
      </c>
      <c r="Q156" s="511" t="str">
        <f>IFERROR(IF(P156="","",IF(AND(E156="Individual trees",W156&gt;0,G156="Yes"),"Error - you cannot enhance irreplaceable individual trees ▲",IF(P156='G-1 All Habitats'!$X$9,T156*S156,IF(AND(P156='G-1 All Habitats'!$X$9,W156&gt;0),X156+(Y156*S156),IF(AND(P156='G-1 All Habitats'!$X$9,V156&gt;0),X156+(Y156*S156),IF(AND(P156='G-1 All Habitats'!$X$9,AG156&gt;0),"Any Loss Unacceptable  ⚠",IF(AND(P156='G-1 All Habitats'!$X$9,Z156&gt;0),"Any Loss Unacceptable ⚠",H156*J156*L156*O156*S156))))))),"Check Data ⚠")</f>
        <v/>
      </c>
      <c r="R156" s="393"/>
      <c r="S156" s="510" t="str">
        <f>IF(R156="","",IF(VLOOKUP(R156,'G-3 Multipliers'!$S$3:$T$10,2,FALSE)=0,"Spatial Data Missing ⚠",VLOOKUP(R156,'G-3 Multipliers'!$S$3:$T$10,2,FALSE)))</f>
        <v/>
      </c>
      <c r="T156" s="289" t="str">
        <f>IFERROR(IF(AND(F156&lt;&gt;"",G156=""),"Confirm irreplaceable habitat status ▲",(IF(AND(R156&lt;&gt;"",AF156=""),"Off-site reference required ▲",(IF(AND(E156="Individual trees",W156&gt;0,G156="Yes"),"Error - you cannot enhance irreplaceable individual trees ▲",(IF(AND(X156="Irreplaceable habitat - no units generated ⚠",(W156+V156)&lt;H156,OR(AB156="No",AB156="")),"Any Loss Unacceptable ⚠",(IF(X156="Irreplaceable habitat - no units generated ⚠",W156*J156*L156*O156,IF(AND(P156='G-1 All Habitats'!$X$9,AH156&gt;0,V156&lt;=0,W156&lt;=0,OR(AB156="No",AB156="")),"Any Loss Unacceptable ⚠",IF(AND(P156='G-1 All Habitats'!$X$9,AH156&gt;0,V156&lt;=0,W156&lt;=0),0,(IF(AND(P156='G-1 All Habitats'!$X$9,(W156+V156)&lt;H156,OR(AB156="No",AB156="")),"Any Loss Unacceptable ⚠",(IF(P156="","",IF(AND(P156='G-1 All Habitats'!$X$9,W156&gt;0),X156+Y156,IF(AND(P156='G-1 All Habitats'!$X$9,V156&gt;0),X156+Y156,IF(R156="","",H156*J156*L156*O156)))))))))))))))))),"Check Data ▲")</f>
        <v/>
      </c>
      <c r="U156" s="38"/>
      <c r="V156" s="52"/>
      <c r="W156" s="53"/>
      <c r="X156" s="287" t="str">
        <f t="shared" si="20"/>
        <v/>
      </c>
      <c r="Y156" s="287" t="str">
        <f t="shared" si="21"/>
        <v/>
      </c>
      <c r="Z156" s="287" t="str">
        <f t="shared" si="22"/>
        <v/>
      </c>
      <c r="AA156" s="317" t="str">
        <f>IFERROR(IF(AND(E156="Individual trees",G156="Yes",W156&gt;0),"Error - you cannot enhance an irreplaceable tree ▲",(IF(H156="","",IF(H156-V156-W156=0&lt;0,"Error in Areas ▲",IF(V156+W156&gt;H156,"Error in Areas ▲",IF(AND(P156='G-1 All Habitats'!$X$9,AB156="Yes"),"Alternative Compensation ✓",IF(AND(P156='G-1 All Habitats'!$X$3,AB156="Yes"),"Alternative Compensation ✓",IF(AND(AB156="Pending",P156='G-1 All Habitats'!$X$3),"Bespoke compensation must be agreed ▲",IF(AND(AB156="Pending",P156='G-1 All Habitats'!$X$9),"Bespoke compensation must be agreed  ▲",IF(Z156=0,0,IF(P156='G-1 All Habitats'!$X$9,"Any Loss Unacceptable ▲",T156-X156-Y156))))))))))),"Check Data ⚠")</f>
        <v/>
      </c>
      <c r="AB156" s="587"/>
      <c r="AC156" s="105"/>
      <c r="AD156" s="138"/>
      <c r="AE156" s="104"/>
      <c r="AF156" s="611"/>
      <c r="AG156" s="523" t="str">
        <f>IF(OR(P156="",AB156="Yes"),"",IF(P156='G-1 All Habitats'!$X$9,H156-V156-W156,"None"))</f>
        <v/>
      </c>
      <c r="AH156" s="523" t="str">
        <f>IF(P156="","",IF(P156='G-1 All Habitats'!$X$9,AG156*J156*L156*O156,"None"))</f>
        <v/>
      </c>
      <c r="AJ156" s="107" t="str">
        <f t="shared" si="23"/>
        <v/>
      </c>
      <c r="AK156" s="107" t="str">
        <f t="shared" si="18"/>
        <v/>
      </c>
      <c r="AL156" s="107" t="str">
        <f>IF(I156="","",IF(#REF!&gt;0,TRUE,FALSE))</f>
        <v/>
      </c>
      <c r="AM156" s="107">
        <v>146</v>
      </c>
      <c r="AN156" s="107"/>
      <c r="AO156" s="107" t="str">
        <f t="array" ref="AO156">IFERROR(INDEX($AM$11:$AM$259,MATCH(0,IF(TRUE=$AJ$11:$AJ$259,COUNTIF($AO$10:$AO155,$AM$11:$AM$259),""),0)),"")</f>
        <v/>
      </c>
      <c r="AP156" s="107" t="str">
        <f t="array" ref="AP156">IFERROR(INDEX($AM$11:$AM$259,MATCH(0,IF(TRUE=$AK$11:$AK$259,COUNTIF($AP$10:$AP155,$AM$11:$AM$259),""),0)),"")</f>
        <v/>
      </c>
      <c r="AQ156" s="107" t="str">
        <f t="array" ref="AQ156">IFERROR(INDEX($AM$11:$AM$259,MATCH(0,IF(TRUE=$AL$11:$AL$259,COUNTIF($AQ$10:$AQ155,$AM$11:$AM$259),""),0)),"")</f>
        <v/>
      </c>
      <c r="AS156" s="885" t="str">
        <f>IF(AND(OR(AB156="Yes",AB156="Pending"),P156='G-1 All Habitats'!$X$3),T156-X156-Y156,"0")</f>
        <v>0</v>
      </c>
      <c r="AT156" s="30" t="str">
        <f t="shared" si="19"/>
        <v/>
      </c>
      <c r="AU156" s="30">
        <f t="shared" si="24"/>
        <v>0</v>
      </c>
      <c r="AV156" s="230" t="str">
        <f>IFERROR(INDEX('G-1 All Habitats'!$B$3:$B$135,MATCH(F156,'G-1 All Habitats'!$A$3:$A$135,0)),"")</f>
        <v/>
      </c>
      <c r="AW156" s="30" t="str">
        <f>IF(AV156="","",VLOOKUP(AV156,'G-1 All Habitats'!$B$1:$T$135,19,FALSE))</f>
        <v/>
      </c>
      <c r="AY156" s="287" t="str">
        <f t="shared" si="25"/>
        <v/>
      </c>
    </row>
    <row r="157" spans="1:51" ht="14">
      <c r="A157" s="30" t="str">
        <f>IFERROR(INDEX('G-1 All Habitats'!$AG$3:$AG$17,MATCH(E157,'G-1 All Habitats'!$AF$3:$AF$17,0)),"")</f>
        <v/>
      </c>
      <c r="B157" s="30" t="str">
        <f>IFERROR(INDEX('G-8 Condition Look up'!$I$4:$I$135,MATCH(AV157,'G-8 Condition Look up'!$A$4:$A$135,0)),"")</f>
        <v/>
      </c>
      <c r="D157" s="97">
        <v>147</v>
      </c>
      <c r="E157" s="262"/>
      <c r="F157" s="263"/>
      <c r="G157" s="133"/>
      <c r="H157" s="115"/>
      <c r="I157" s="509" t="str">
        <f>IF(AV157="","",IF(AND(AW157="Yes",G157="No"),"Irreplaceable habitat ▲",IF(AND(AW157="No",G157="Yes"),"Cannot be Irreplaceable ▲",VLOOKUP(AV157,'G-1 All Habitats'!$B$2:$M$135,10,FALSE))))</f>
        <v/>
      </c>
      <c r="J157" s="377" t="str">
        <f>IFERROR(VLOOKUP(I157,'G-1 All Habitats'!$V$3:$W$7,2,FALSE),"")</f>
        <v/>
      </c>
      <c r="K157" s="101"/>
      <c r="L157" s="276" t="str">
        <f>IFERROR(INDEX('G-8 Condition Look up'!$A$3:$H$135,MATCH(AV157,'G-8 Condition Look up'!$A$3:$A$135,0),MATCH(K157,'G-8 Condition Look up'!$A$3:$H$3,0)),"")</f>
        <v/>
      </c>
      <c r="M157" s="105"/>
      <c r="N157" s="295" t="str">
        <f>IF(M157="","",IF(VLOOKUP(M157,'G-3 Multipliers'!$L$3:$N$6,2,FALSE)=0,"Spatial Data Missing ⚠",VLOOKUP(M157,'G-3 Multipliers'!$L$3:$N$6,2,FALSE)))</f>
        <v/>
      </c>
      <c r="O157" s="353" t="str">
        <f>IF(M157="","",IF(VLOOKUP(M157,'G-3 Multipliers'!$L$3:$N$6,3,FALSE)=0,"Spatial Data Missing ⚠",VLOOKUP(M157,'G-3 Multipliers'!$L$3:$N$6,3,FALSE)))</f>
        <v/>
      </c>
      <c r="P157" s="336" t="str">
        <f>(IF(G157="Yes","Bespoke compensation likely to be required",(IFERROR(VLOOKUP(AV157,'G-1 All Habitats'!$B$2:$M$135,12,FALSE),""))))</f>
        <v/>
      </c>
      <c r="Q157" s="511" t="str">
        <f>IFERROR(IF(P157="","",IF(AND(E157="Individual trees",W157&gt;0,G157="Yes"),"Error - you cannot enhance irreplaceable individual trees ▲",IF(P157='G-1 All Habitats'!$X$9,T157*S157,IF(AND(P157='G-1 All Habitats'!$X$9,W157&gt;0),X157+(Y157*S157),IF(AND(P157='G-1 All Habitats'!$X$9,V157&gt;0),X157+(Y157*S157),IF(AND(P157='G-1 All Habitats'!$X$9,AG157&gt;0),"Any Loss Unacceptable  ⚠",IF(AND(P157='G-1 All Habitats'!$X$9,Z157&gt;0),"Any Loss Unacceptable ⚠",H157*J157*L157*O157*S157))))))),"Check Data ⚠")</f>
        <v/>
      </c>
      <c r="R157" s="393"/>
      <c r="S157" s="510" t="str">
        <f>IF(R157="","",IF(VLOOKUP(R157,'G-3 Multipliers'!$S$3:$T$10,2,FALSE)=0,"Spatial Data Missing ⚠",VLOOKUP(R157,'G-3 Multipliers'!$S$3:$T$10,2,FALSE)))</f>
        <v/>
      </c>
      <c r="T157" s="289" t="str">
        <f>IFERROR(IF(AND(F157&lt;&gt;"",G157=""),"Confirm irreplaceable habitat status ▲",(IF(AND(R157&lt;&gt;"",AF157=""),"Off-site reference required ▲",(IF(AND(E157="Individual trees",W157&gt;0,G157="Yes"),"Error - you cannot enhance irreplaceable individual trees ▲",(IF(AND(X157="Irreplaceable habitat - no units generated ⚠",(W157+V157)&lt;H157,OR(AB157="No",AB157="")),"Any Loss Unacceptable ⚠",(IF(X157="Irreplaceable habitat - no units generated ⚠",W157*J157*L157*O157,IF(AND(P157='G-1 All Habitats'!$X$9,AH157&gt;0,V157&lt;=0,W157&lt;=0,OR(AB157="No",AB157="")),"Any Loss Unacceptable ⚠",IF(AND(P157='G-1 All Habitats'!$X$9,AH157&gt;0,V157&lt;=0,W157&lt;=0),0,(IF(AND(P157='G-1 All Habitats'!$X$9,(W157+V157)&lt;H157,OR(AB157="No",AB157="")),"Any Loss Unacceptable ⚠",(IF(P157="","",IF(AND(P157='G-1 All Habitats'!$X$9,W157&gt;0),X157+Y157,IF(AND(P157='G-1 All Habitats'!$X$9,V157&gt;0),X157+Y157,IF(R157="","",H157*J157*L157*O157)))))))))))))))))),"Check Data ▲")</f>
        <v/>
      </c>
      <c r="U157" s="38"/>
      <c r="V157" s="52"/>
      <c r="W157" s="53"/>
      <c r="X157" s="287" t="str">
        <f t="shared" si="20"/>
        <v/>
      </c>
      <c r="Y157" s="287" t="str">
        <f t="shared" si="21"/>
        <v/>
      </c>
      <c r="Z157" s="287" t="str">
        <f t="shared" si="22"/>
        <v/>
      </c>
      <c r="AA157" s="317" t="str">
        <f>IFERROR(IF(AND(E157="Individual trees",G157="Yes",W157&gt;0),"Error - you cannot enhance an irreplaceable tree ▲",(IF(H157="","",IF(H157-V157-W157=0&lt;0,"Error in Areas ▲",IF(V157+W157&gt;H157,"Error in Areas ▲",IF(AND(P157='G-1 All Habitats'!$X$9,AB157="Yes"),"Alternative Compensation ✓",IF(AND(P157='G-1 All Habitats'!$X$3,AB157="Yes"),"Alternative Compensation ✓",IF(AND(AB157="Pending",P157='G-1 All Habitats'!$X$3),"Bespoke compensation must be agreed ▲",IF(AND(AB157="Pending",P157='G-1 All Habitats'!$X$9),"Bespoke compensation must be agreed  ▲",IF(Z157=0,0,IF(P157='G-1 All Habitats'!$X$9,"Any Loss Unacceptable ▲",T157-X157-Y157))))))))))),"Check Data ⚠")</f>
        <v/>
      </c>
      <c r="AB157" s="587"/>
      <c r="AC157" s="105"/>
      <c r="AD157" s="138"/>
      <c r="AE157" s="104"/>
      <c r="AF157" s="611"/>
      <c r="AG157" s="523" t="str">
        <f>IF(OR(P157="",AB157="Yes"),"",IF(P157='G-1 All Habitats'!$X$9,H157-V157-W157,"None"))</f>
        <v/>
      </c>
      <c r="AH157" s="523" t="str">
        <f>IF(P157="","",IF(P157='G-1 All Habitats'!$X$9,AG157*J157*L157*O157,"None"))</f>
        <v/>
      </c>
      <c r="AJ157" s="107" t="str">
        <f t="shared" si="23"/>
        <v/>
      </c>
      <c r="AK157" s="107" t="str">
        <f t="shared" si="18"/>
        <v/>
      </c>
      <c r="AL157" s="107" t="str">
        <f>IF(I157="","",IF(#REF!&gt;0,TRUE,FALSE))</f>
        <v/>
      </c>
      <c r="AM157" s="107">
        <v>147</v>
      </c>
      <c r="AN157" s="107"/>
      <c r="AO157" s="107" t="str">
        <f t="array" ref="AO157">IFERROR(INDEX($AM$11:$AM$259,MATCH(0,IF(TRUE=$AJ$11:$AJ$259,COUNTIF($AO$10:$AO156,$AM$11:$AM$259),""),0)),"")</f>
        <v/>
      </c>
      <c r="AP157" s="107" t="str">
        <f t="array" ref="AP157">IFERROR(INDEX($AM$11:$AM$259,MATCH(0,IF(TRUE=$AK$11:$AK$259,COUNTIF($AP$10:$AP156,$AM$11:$AM$259),""),0)),"")</f>
        <v/>
      </c>
      <c r="AQ157" s="107" t="str">
        <f t="array" ref="AQ157">IFERROR(INDEX($AM$11:$AM$259,MATCH(0,IF(TRUE=$AL$11:$AL$259,COUNTIF($AQ$10:$AQ156,$AM$11:$AM$259),""),0)),"")</f>
        <v/>
      </c>
      <c r="AS157" s="885" t="str">
        <f>IF(AND(OR(AB157="Yes",AB157="Pending"),P157='G-1 All Habitats'!$X$3),T157-X157-Y157,"0")</f>
        <v>0</v>
      </c>
      <c r="AT157" s="30" t="str">
        <f t="shared" si="19"/>
        <v/>
      </c>
      <c r="AU157" s="30">
        <f t="shared" si="24"/>
        <v>0</v>
      </c>
      <c r="AV157" s="230" t="str">
        <f>IFERROR(INDEX('G-1 All Habitats'!$B$3:$B$135,MATCH(F157,'G-1 All Habitats'!$A$3:$A$135,0)),"")</f>
        <v/>
      </c>
      <c r="AW157" s="30" t="str">
        <f>IF(AV157="","",VLOOKUP(AV157,'G-1 All Habitats'!$B$1:$T$135,19,FALSE))</f>
        <v/>
      </c>
      <c r="AY157" s="287" t="str">
        <f t="shared" si="25"/>
        <v/>
      </c>
    </row>
    <row r="158" spans="1:51" ht="14">
      <c r="A158" s="30" t="str">
        <f>IFERROR(INDEX('G-1 All Habitats'!$AG$3:$AG$17,MATCH(E158,'G-1 All Habitats'!$AF$3:$AF$17,0)),"")</f>
        <v/>
      </c>
      <c r="B158" s="30" t="str">
        <f>IFERROR(INDEX('G-8 Condition Look up'!$I$4:$I$135,MATCH(AV158,'G-8 Condition Look up'!$A$4:$A$135,0)),"")</f>
        <v/>
      </c>
      <c r="D158" s="97">
        <v>148</v>
      </c>
      <c r="E158" s="262"/>
      <c r="F158" s="263"/>
      <c r="G158" s="133"/>
      <c r="H158" s="115"/>
      <c r="I158" s="509" t="str">
        <f>IF(AV158="","",IF(AND(AW158="Yes",G158="No"),"Irreplaceable habitat ▲",IF(AND(AW158="No",G158="Yes"),"Cannot be Irreplaceable ▲",VLOOKUP(AV158,'G-1 All Habitats'!$B$2:$M$135,10,FALSE))))</f>
        <v/>
      </c>
      <c r="J158" s="377" t="str">
        <f>IFERROR(VLOOKUP(I158,'G-1 All Habitats'!$V$3:$W$7,2,FALSE),"")</f>
        <v/>
      </c>
      <c r="K158" s="101"/>
      <c r="L158" s="276" t="str">
        <f>IFERROR(INDEX('G-8 Condition Look up'!$A$3:$H$135,MATCH(AV158,'G-8 Condition Look up'!$A$3:$A$135,0),MATCH(K158,'G-8 Condition Look up'!$A$3:$H$3,0)),"")</f>
        <v/>
      </c>
      <c r="M158" s="105"/>
      <c r="N158" s="295" t="str">
        <f>IF(M158="","",IF(VLOOKUP(M158,'G-3 Multipliers'!$L$3:$N$6,2,FALSE)=0,"Spatial Data Missing ⚠",VLOOKUP(M158,'G-3 Multipliers'!$L$3:$N$6,2,FALSE)))</f>
        <v/>
      </c>
      <c r="O158" s="353" t="str">
        <f>IF(M158="","",IF(VLOOKUP(M158,'G-3 Multipliers'!$L$3:$N$6,3,FALSE)=0,"Spatial Data Missing ⚠",VLOOKUP(M158,'G-3 Multipliers'!$L$3:$N$6,3,FALSE)))</f>
        <v/>
      </c>
      <c r="P158" s="336" t="str">
        <f>(IF(G158="Yes","Bespoke compensation likely to be required",(IFERROR(VLOOKUP(AV158,'G-1 All Habitats'!$B$2:$M$135,12,FALSE),""))))</f>
        <v/>
      </c>
      <c r="Q158" s="511" t="str">
        <f>IFERROR(IF(P158="","",IF(AND(E158="Individual trees",W158&gt;0,G158="Yes"),"Error - you cannot enhance irreplaceable individual trees ▲",IF(P158='G-1 All Habitats'!$X$9,T158*S158,IF(AND(P158='G-1 All Habitats'!$X$9,W158&gt;0),X158+(Y158*S158),IF(AND(P158='G-1 All Habitats'!$X$9,V158&gt;0),X158+(Y158*S158),IF(AND(P158='G-1 All Habitats'!$X$9,AG158&gt;0),"Any Loss Unacceptable  ⚠",IF(AND(P158='G-1 All Habitats'!$X$9,Z158&gt;0),"Any Loss Unacceptable ⚠",H158*J158*L158*O158*S158))))))),"Check Data ⚠")</f>
        <v/>
      </c>
      <c r="R158" s="393"/>
      <c r="S158" s="510" t="str">
        <f>IF(R158="","",IF(VLOOKUP(R158,'G-3 Multipliers'!$S$3:$T$10,2,FALSE)=0,"Spatial Data Missing ⚠",VLOOKUP(R158,'G-3 Multipliers'!$S$3:$T$10,2,FALSE)))</f>
        <v/>
      </c>
      <c r="T158" s="289" t="str">
        <f>IFERROR(IF(AND(F158&lt;&gt;"",G158=""),"Confirm irreplaceable habitat status ▲",(IF(AND(R158&lt;&gt;"",AF158=""),"Off-site reference required ▲",(IF(AND(E158="Individual trees",W158&gt;0,G158="Yes"),"Error - you cannot enhance irreplaceable individual trees ▲",(IF(AND(X158="Irreplaceable habitat - no units generated ⚠",(W158+V158)&lt;H158,OR(AB158="No",AB158="")),"Any Loss Unacceptable ⚠",(IF(X158="Irreplaceable habitat - no units generated ⚠",W158*J158*L158*O158,IF(AND(P158='G-1 All Habitats'!$X$9,AH158&gt;0,V158&lt;=0,W158&lt;=0,OR(AB158="No",AB158="")),"Any Loss Unacceptable ⚠",IF(AND(P158='G-1 All Habitats'!$X$9,AH158&gt;0,V158&lt;=0,W158&lt;=0),0,(IF(AND(P158='G-1 All Habitats'!$X$9,(W158+V158)&lt;H158,OR(AB158="No",AB158="")),"Any Loss Unacceptable ⚠",(IF(P158="","",IF(AND(P158='G-1 All Habitats'!$X$9,W158&gt;0),X158+Y158,IF(AND(P158='G-1 All Habitats'!$X$9,V158&gt;0),X158+Y158,IF(R158="","",H158*J158*L158*O158)))))))))))))))))),"Check Data ▲")</f>
        <v/>
      </c>
      <c r="U158" s="38"/>
      <c r="V158" s="52"/>
      <c r="W158" s="53"/>
      <c r="X158" s="287" t="str">
        <f t="shared" si="20"/>
        <v/>
      </c>
      <c r="Y158" s="287" t="str">
        <f t="shared" si="21"/>
        <v/>
      </c>
      <c r="Z158" s="287" t="str">
        <f t="shared" si="22"/>
        <v/>
      </c>
      <c r="AA158" s="317" t="str">
        <f>IFERROR(IF(AND(E158="Individual trees",G158="Yes",W158&gt;0),"Error - you cannot enhance an irreplaceable tree ▲",(IF(H158="","",IF(H158-V158-W158=0&lt;0,"Error in Areas ▲",IF(V158+W158&gt;H158,"Error in Areas ▲",IF(AND(P158='G-1 All Habitats'!$X$9,AB158="Yes"),"Alternative Compensation ✓",IF(AND(P158='G-1 All Habitats'!$X$3,AB158="Yes"),"Alternative Compensation ✓",IF(AND(AB158="Pending",P158='G-1 All Habitats'!$X$3),"Bespoke compensation must be agreed ▲",IF(AND(AB158="Pending",P158='G-1 All Habitats'!$X$9),"Bespoke compensation must be agreed  ▲",IF(Z158=0,0,IF(P158='G-1 All Habitats'!$X$9,"Any Loss Unacceptable ▲",T158-X158-Y158))))))))))),"Check Data ⚠")</f>
        <v/>
      </c>
      <c r="AB158" s="587"/>
      <c r="AC158" s="105"/>
      <c r="AD158" s="138"/>
      <c r="AE158" s="104"/>
      <c r="AF158" s="611"/>
      <c r="AG158" s="523" t="str">
        <f>IF(OR(P158="",AB158="Yes"),"",IF(P158='G-1 All Habitats'!$X$9,H158-V158-W158,"None"))</f>
        <v/>
      </c>
      <c r="AH158" s="523" t="str">
        <f>IF(P158="","",IF(P158='G-1 All Habitats'!$X$9,AG158*J158*L158*O158,"None"))</f>
        <v/>
      </c>
      <c r="AJ158" s="107" t="str">
        <f t="shared" si="23"/>
        <v/>
      </c>
      <c r="AK158" s="107" t="str">
        <f t="shared" si="18"/>
        <v/>
      </c>
      <c r="AL158" s="107" t="str">
        <f>IF(I158="","",IF(#REF!&gt;0,TRUE,FALSE))</f>
        <v/>
      </c>
      <c r="AM158" s="107">
        <v>148</v>
      </c>
      <c r="AN158" s="107"/>
      <c r="AO158" s="107" t="str">
        <f t="array" ref="AO158">IFERROR(INDEX($AM$11:$AM$259,MATCH(0,IF(TRUE=$AJ$11:$AJ$259,COUNTIF($AO$10:$AO157,$AM$11:$AM$259),""),0)),"")</f>
        <v/>
      </c>
      <c r="AP158" s="107" t="str">
        <f t="array" ref="AP158">IFERROR(INDEX($AM$11:$AM$259,MATCH(0,IF(TRUE=$AK$11:$AK$259,COUNTIF($AP$10:$AP157,$AM$11:$AM$259),""),0)),"")</f>
        <v/>
      </c>
      <c r="AQ158" s="107" t="str">
        <f t="array" ref="AQ158">IFERROR(INDEX($AM$11:$AM$259,MATCH(0,IF(TRUE=$AL$11:$AL$259,COUNTIF($AQ$10:$AQ157,$AM$11:$AM$259),""),0)),"")</f>
        <v/>
      </c>
      <c r="AS158" s="885" t="str">
        <f>IF(AND(OR(AB158="Yes",AB158="Pending"),P158='G-1 All Habitats'!$X$3),T158-X158-Y158,"0")</f>
        <v>0</v>
      </c>
      <c r="AT158" s="30" t="str">
        <f t="shared" si="19"/>
        <v/>
      </c>
      <c r="AU158" s="30">
        <f t="shared" si="24"/>
        <v>0</v>
      </c>
      <c r="AV158" s="230" t="str">
        <f>IFERROR(INDEX('G-1 All Habitats'!$B$3:$B$135,MATCH(F158,'G-1 All Habitats'!$A$3:$A$135,0)),"")</f>
        <v/>
      </c>
      <c r="AW158" s="30" t="str">
        <f>IF(AV158="","",VLOOKUP(AV158,'G-1 All Habitats'!$B$1:$T$135,19,FALSE))</f>
        <v/>
      </c>
      <c r="AY158" s="287" t="str">
        <f t="shared" si="25"/>
        <v/>
      </c>
    </row>
    <row r="159" spans="1:51" ht="14">
      <c r="A159" s="30" t="str">
        <f>IFERROR(INDEX('G-1 All Habitats'!$AG$3:$AG$17,MATCH(E159,'G-1 All Habitats'!$AF$3:$AF$17,0)),"")</f>
        <v/>
      </c>
      <c r="B159" s="30" t="str">
        <f>IFERROR(INDEX('G-8 Condition Look up'!$I$4:$I$135,MATCH(AV159,'G-8 Condition Look up'!$A$4:$A$135,0)),"")</f>
        <v/>
      </c>
      <c r="D159" s="97">
        <v>149</v>
      </c>
      <c r="E159" s="262"/>
      <c r="F159" s="263"/>
      <c r="G159" s="133"/>
      <c r="H159" s="115"/>
      <c r="I159" s="509" t="str">
        <f>IF(AV159="","",IF(AND(AW159="Yes",G159="No"),"Irreplaceable habitat ▲",IF(AND(AW159="No",G159="Yes"),"Cannot be Irreplaceable ▲",VLOOKUP(AV159,'G-1 All Habitats'!$B$2:$M$135,10,FALSE))))</f>
        <v/>
      </c>
      <c r="J159" s="377" t="str">
        <f>IFERROR(VLOOKUP(I159,'G-1 All Habitats'!$V$3:$W$7,2,FALSE),"")</f>
        <v/>
      </c>
      <c r="K159" s="101"/>
      <c r="L159" s="276" t="str">
        <f>IFERROR(INDEX('G-8 Condition Look up'!$A$3:$H$135,MATCH(AV159,'G-8 Condition Look up'!$A$3:$A$135,0),MATCH(K159,'G-8 Condition Look up'!$A$3:$H$3,0)),"")</f>
        <v/>
      </c>
      <c r="M159" s="105"/>
      <c r="N159" s="295" t="str">
        <f>IF(M159="","",IF(VLOOKUP(M159,'G-3 Multipliers'!$L$3:$N$6,2,FALSE)=0,"Spatial Data Missing ⚠",VLOOKUP(M159,'G-3 Multipliers'!$L$3:$N$6,2,FALSE)))</f>
        <v/>
      </c>
      <c r="O159" s="353" t="str">
        <f>IF(M159="","",IF(VLOOKUP(M159,'G-3 Multipliers'!$L$3:$N$6,3,FALSE)=0,"Spatial Data Missing ⚠",VLOOKUP(M159,'G-3 Multipliers'!$L$3:$N$6,3,FALSE)))</f>
        <v/>
      </c>
      <c r="P159" s="336" t="str">
        <f>(IF(G159="Yes","Bespoke compensation likely to be required",(IFERROR(VLOOKUP(AV159,'G-1 All Habitats'!$B$2:$M$135,12,FALSE),""))))</f>
        <v/>
      </c>
      <c r="Q159" s="511" t="str">
        <f>IFERROR(IF(P159="","",IF(AND(E159="Individual trees",W159&gt;0,G159="Yes"),"Error - you cannot enhance irreplaceable individual trees ▲",IF(P159='G-1 All Habitats'!$X$9,T159*S159,IF(AND(P159='G-1 All Habitats'!$X$9,W159&gt;0),X159+(Y159*S159),IF(AND(P159='G-1 All Habitats'!$X$9,V159&gt;0),X159+(Y159*S159),IF(AND(P159='G-1 All Habitats'!$X$9,AG159&gt;0),"Any Loss Unacceptable  ⚠",IF(AND(P159='G-1 All Habitats'!$X$9,Z159&gt;0),"Any Loss Unacceptable ⚠",H159*J159*L159*O159*S159))))))),"Check Data ⚠")</f>
        <v/>
      </c>
      <c r="R159" s="393"/>
      <c r="S159" s="510" t="str">
        <f>IF(R159="","",IF(VLOOKUP(R159,'G-3 Multipliers'!$S$3:$T$10,2,FALSE)=0,"Spatial Data Missing ⚠",VLOOKUP(R159,'G-3 Multipliers'!$S$3:$T$10,2,FALSE)))</f>
        <v/>
      </c>
      <c r="T159" s="289" t="str">
        <f>IFERROR(IF(AND(F159&lt;&gt;"",G159=""),"Confirm irreplaceable habitat status ▲",(IF(AND(R159&lt;&gt;"",AF159=""),"Off-site reference required ▲",(IF(AND(E159="Individual trees",W159&gt;0,G159="Yes"),"Error - you cannot enhance irreplaceable individual trees ▲",(IF(AND(X159="Irreplaceable habitat - no units generated ⚠",(W159+V159)&lt;H159,OR(AB159="No",AB159="")),"Any Loss Unacceptable ⚠",(IF(X159="Irreplaceable habitat - no units generated ⚠",W159*J159*L159*O159,IF(AND(P159='G-1 All Habitats'!$X$9,AH159&gt;0,V159&lt;=0,W159&lt;=0,OR(AB159="No",AB159="")),"Any Loss Unacceptable ⚠",IF(AND(P159='G-1 All Habitats'!$X$9,AH159&gt;0,V159&lt;=0,W159&lt;=0),0,(IF(AND(P159='G-1 All Habitats'!$X$9,(W159+V159)&lt;H159,OR(AB159="No",AB159="")),"Any Loss Unacceptable ⚠",(IF(P159="","",IF(AND(P159='G-1 All Habitats'!$X$9,W159&gt;0),X159+Y159,IF(AND(P159='G-1 All Habitats'!$X$9,V159&gt;0),X159+Y159,IF(R159="","",H159*J159*L159*O159)))))))))))))))))),"Check Data ▲")</f>
        <v/>
      </c>
      <c r="U159" s="38"/>
      <c r="V159" s="52"/>
      <c r="W159" s="53"/>
      <c r="X159" s="287" t="str">
        <f t="shared" si="20"/>
        <v/>
      </c>
      <c r="Y159" s="287" t="str">
        <f t="shared" si="21"/>
        <v/>
      </c>
      <c r="Z159" s="287" t="str">
        <f t="shared" si="22"/>
        <v/>
      </c>
      <c r="AA159" s="317" t="str">
        <f>IFERROR(IF(AND(E159="Individual trees",G159="Yes",W159&gt;0),"Error - you cannot enhance an irreplaceable tree ▲",(IF(H159="","",IF(H159-V159-W159=0&lt;0,"Error in Areas ▲",IF(V159+W159&gt;H159,"Error in Areas ▲",IF(AND(P159='G-1 All Habitats'!$X$9,AB159="Yes"),"Alternative Compensation ✓",IF(AND(P159='G-1 All Habitats'!$X$3,AB159="Yes"),"Alternative Compensation ✓",IF(AND(AB159="Pending",P159='G-1 All Habitats'!$X$3),"Bespoke compensation must be agreed ▲",IF(AND(AB159="Pending",P159='G-1 All Habitats'!$X$9),"Bespoke compensation must be agreed  ▲",IF(Z159=0,0,IF(P159='G-1 All Habitats'!$X$9,"Any Loss Unacceptable ▲",T159-X159-Y159))))))))))),"Check Data ⚠")</f>
        <v/>
      </c>
      <c r="AB159" s="587"/>
      <c r="AC159" s="105"/>
      <c r="AD159" s="138"/>
      <c r="AE159" s="104"/>
      <c r="AF159" s="611"/>
      <c r="AG159" s="523" t="str">
        <f>IF(OR(P159="",AB159="Yes"),"",IF(P159='G-1 All Habitats'!$X$9,H159-V159-W159,"None"))</f>
        <v/>
      </c>
      <c r="AH159" s="523" t="str">
        <f>IF(P159="","",IF(P159='G-1 All Habitats'!$X$9,AG159*J159*L159*O159,"None"))</f>
        <v/>
      </c>
      <c r="AJ159" s="107" t="str">
        <f t="shared" si="23"/>
        <v/>
      </c>
      <c r="AK159" s="107" t="str">
        <f t="shared" si="18"/>
        <v/>
      </c>
      <c r="AL159" s="107" t="str">
        <f>IF(I159="","",IF(#REF!&gt;0,TRUE,FALSE))</f>
        <v/>
      </c>
      <c r="AM159" s="107">
        <v>149</v>
      </c>
      <c r="AN159" s="107"/>
      <c r="AO159" s="107" t="str">
        <f t="array" ref="AO159">IFERROR(INDEX($AM$11:$AM$259,MATCH(0,IF(TRUE=$AJ$11:$AJ$259,COUNTIF($AO$10:$AO158,$AM$11:$AM$259),""),0)),"")</f>
        <v/>
      </c>
      <c r="AP159" s="107" t="str">
        <f t="array" ref="AP159">IFERROR(INDEX($AM$11:$AM$259,MATCH(0,IF(TRUE=$AK$11:$AK$259,COUNTIF($AP$10:$AP158,$AM$11:$AM$259),""),0)),"")</f>
        <v/>
      </c>
      <c r="AQ159" s="107" t="str">
        <f t="array" ref="AQ159">IFERROR(INDEX($AM$11:$AM$259,MATCH(0,IF(TRUE=$AL$11:$AL$259,COUNTIF($AQ$10:$AQ158,$AM$11:$AM$259),""),0)),"")</f>
        <v/>
      </c>
      <c r="AS159" s="885" t="str">
        <f>IF(AND(OR(AB159="Yes",AB159="Pending"),P159='G-1 All Habitats'!$X$3),T159-X159-Y159,"0")</f>
        <v>0</v>
      </c>
      <c r="AT159" s="30" t="str">
        <f t="shared" si="19"/>
        <v/>
      </c>
      <c r="AU159" s="30">
        <f t="shared" si="24"/>
        <v>0</v>
      </c>
      <c r="AV159" s="230" t="str">
        <f>IFERROR(INDEX('G-1 All Habitats'!$B$3:$B$135,MATCH(F159,'G-1 All Habitats'!$A$3:$A$135,0)),"")</f>
        <v/>
      </c>
      <c r="AW159" s="30" t="str">
        <f>IF(AV159="","",VLOOKUP(AV159,'G-1 All Habitats'!$B$1:$T$135,19,FALSE))</f>
        <v/>
      </c>
      <c r="AY159" s="287" t="str">
        <f t="shared" si="25"/>
        <v/>
      </c>
    </row>
    <row r="160" spans="1:51" ht="14">
      <c r="A160" s="30" t="str">
        <f>IFERROR(INDEX('G-1 All Habitats'!$AG$3:$AG$17,MATCH(E160,'G-1 All Habitats'!$AF$3:$AF$17,0)),"")</f>
        <v/>
      </c>
      <c r="B160" s="30" t="str">
        <f>IFERROR(INDEX('G-8 Condition Look up'!$I$4:$I$135,MATCH(AV160,'G-8 Condition Look up'!$A$4:$A$135,0)),"")</f>
        <v/>
      </c>
      <c r="D160" s="97">
        <v>150</v>
      </c>
      <c r="E160" s="262"/>
      <c r="F160" s="263"/>
      <c r="G160" s="133"/>
      <c r="H160" s="115"/>
      <c r="I160" s="509" t="str">
        <f>IF(AV160="","",IF(AND(AW160="Yes",G160="No"),"Irreplaceable habitat ▲",IF(AND(AW160="No",G160="Yes"),"Cannot be Irreplaceable ▲",VLOOKUP(AV160,'G-1 All Habitats'!$B$2:$M$135,10,FALSE))))</f>
        <v/>
      </c>
      <c r="J160" s="377" t="str">
        <f>IFERROR(VLOOKUP(I160,'G-1 All Habitats'!$V$3:$W$7,2,FALSE),"")</f>
        <v/>
      </c>
      <c r="K160" s="101"/>
      <c r="L160" s="276" t="str">
        <f>IFERROR(INDEX('G-8 Condition Look up'!$A$3:$H$135,MATCH(AV160,'G-8 Condition Look up'!$A$3:$A$135,0),MATCH(K160,'G-8 Condition Look up'!$A$3:$H$3,0)),"")</f>
        <v/>
      </c>
      <c r="M160" s="105"/>
      <c r="N160" s="295" t="str">
        <f>IF(M160="","",IF(VLOOKUP(M160,'G-3 Multipliers'!$L$3:$N$6,2,FALSE)=0,"Spatial Data Missing ⚠",VLOOKUP(M160,'G-3 Multipliers'!$L$3:$N$6,2,FALSE)))</f>
        <v/>
      </c>
      <c r="O160" s="353" t="str">
        <f>IF(M160="","",IF(VLOOKUP(M160,'G-3 Multipliers'!$L$3:$N$6,3,FALSE)=0,"Spatial Data Missing ⚠",VLOOKUP(M160,'G-3 Multipliers'!$L$3:$N$6,3,FALSE)))</f>
        <v/>
      </c>
      <c r="P160" s="336" t="str">
        <f>(IF(G160="Yes","Bespoke compensation likely to be required",(IFERROR(VLOOKUP(AV160,'G-1 All Habitats'!$B$2:$M$135,12,FALSE),""))))</f>
        <v/>
      </c>
      <c r="Q160" s="511" t="str">
        <f>IFERROR(IF(P160="","",IF(AND(E160="Individual trees",W160&gt;0,G160="Yes"),"Error - you cannot enhance irreplaceable individual trees ▲",IF(P160='G-1 All Habitats'!$X$9,T160*S160,IF(AND(P160='G-1 All Habitats'!$X$9,W160&gt;0),X160+(Y160*S160),IF(AND(P160='G-1 All Habitats'!$X$9,V160&gt;0),X160+(Y160*S160),IF(AND(P160='G-1 All Habitats'!$X$9,AG160&gt;0),"Any Loss Unacceptable  ⚠",IF(AND(P160='G-1 All Habitats'!$X$9,Z160&gt;0),"Any Loss Unacceptable ⚠",H160*J160*L160*O160*S160))))))),"Check Data ⚠")</f>
        <v/>
      </c>
      <c r="R160" s="393"/>
      <c r="S160" s="510" t="str">
        <f>IF(R160="","",IF(VLOOKUP(R160,'G-3 Multipliers'!$S$3:$T$10,2,FALSE)=0,"Spatial Data Missing ⚠",VLOOKUP(R160,'G-3 Multipliers'!$S$3:$T$10,2,FALSE)))</f>
        <v/>
      </c>
      <c r="T160" s="289" t="str">
        <f>IFERROR(IF(AND(F160&lt;&gt;"",G160=""),"Confirm irreplaceable habitat status ▲",(IF(AND(R160&lt;&gt;"",AF160=""),"Off-site reference required ▲",(IF(AND(E160="Individual trees",W160&gt;0,G160="Yes"),"Error - you cannot enhance irreplaceable individual trees ▲",(IF(AND(X160="Irreplaceable habitat - no units generated ⚠",(W160+V160)&lt;H160,OR(AB160="No",AB160="")),"Any Loss Unacceptable ⚠",(IF(X160="Irreplaceable habitat - no units generated ⚠",W160*J160*L160*O160,IF(AND(P160='G-1 All Habitats'!$X$9,AH160&gt;0,V160&lt;=0,W160&lt;=0,OR(AB160="No",AB160="")),"Any Loss Unacceptable ⚠",IF(AND(P160='G-1 All Habitats'!$X$9,AH160&gt;0,V160&lt;=0,W160&lt;=0),0,(IF(AND(P160='G-1 All Habitats'!$X$9,(W160+V160)&lt;H160,OR(AB160="No",AB160="")),"Any Loss Unacceptable ⚠",(IF(P160="","",IF(AND(P160='G-1 All Habitats'!$X$9,W160&gt;0),X160+Y160,IF(AND(P160='G-1 All Habitats'!$X$9,V160&gt;0),X160+Y160,IF(R160="","",H160*J160*L160*O160)))))))))))))))))),"Check Data ▲")</f>
        <v/>
      </c>
      <c r="U160" s="38"/>
      <c r="V160" s="52"/>
      <c r="W160" s="53"/>
      <c r="X160" s="287" t="str">
        <f t="shared" si="20"/>
        <v/>
      </c>
      <c r="Y160" s="287" t="str">
        <f t="shared" si="21"/>
        <v/>
      </c>
      <c r="Z160" s="287" t="str">
        <f t="shared" si="22"/>
        <v/>
      </c>
      <c r="AA160" s="317" t="str">
        <f>IFERROR(IF(AND(E160="Individual trees",G160="Yes",W160&gt;0),"Error - you cannot enhance an irreplaceable tree ▲",(IF(H160="","",IF(H160-V160-W160=0&lt;0,"Error in Areas ▲",IF(V160+W160&gt;H160,"Error in Areas ▲",IF(AND(P160='G-1 All Habitats'!$X$9,AB160="Yes"),"Alternative Compensation ✓",IF(AND(P160='G-1 All Habitats'!$X$3,AB160="Yes"),"Alternative Compensation ✓",IF(AND(AB160="Pending",P160='G-1 All Habitats'!$X$3),"Bespoke compensation must be agreed ▲",IF(AND(AB160="Pending",P160='G-1 All Habitats'!$X$9),"Bespoke compensation must be agreed  ▲",IF(Z160=0,0,IF(P160='G-1 All Habitats'!$X$9,"Any Loss Unacceptable ▲",T160-X160-Y160))))))))))),"Check Data ⚠")</f>
        <v/>
      </c>
      <c r="AB160" s="587"/>
      <c r="AC160" s="105"/>
      <c r="AD160" s="138"/>
      <c r="AE160" s="104"/>
      <c r="AF160" s="611"/>
      <c r="AG160" s="523" t="str">
        <f>IF(OR(P160="",AB160="Yes"),"",IF(P160='G-1 All Habitats'!$X$9,H160-V160-W160,"None"))</f>
        <v/>
      </c>
      <c r="AH160" s="523" t="str">
        <f>IF(P160="","",IF(P160='G-1 All Habitats'!$X$9,AG160*J160*L160*O160,"None"))</f>
        <v/>
      </c>
      <c r="AJ160" s="107" t="str">
        <f t="shared" si="23"/>
        <v/>
      </c>
      <c r="AK160" s="107" t="str">
        <f t="shared" si="18"/>
        <v/>
      </c>
      <c r="AL160" s="107" t="str">
        <f>IF(I160="","",IF(#REF!&gt;0,TRUE,FALSE))</f>
        <v/>
      </c>
      <c r="AM160" s="107">
        <v>150</v>
      </c>
      <c r="AN160" s="107"/>
      <c r="AO160" s="107" t="str">
        <f t="array" ref="AO160">IFERROR(INDEX($AM$11:$AM$259,MATCH(0,IF(TRUE=$AJ$11:$AJ$259,COUNTIF($AO$10:$AO159,$AM$11:$AM$259),""),0)),"")</f>
        <v/>
      </c>
      <c r="AP160" s="107" t="str">
        <f t="array" ref="AP160">IFERROR(INDEX($AM$11:$AM$259,MATCH(0,IF(TRUE=$AK$11:$AK$259,COUNTIF($AP$10:$AP159,$AM$11:$AM$259),""),0)),"")</f>
        <v/>
      </c>
      <c r="AQ160" s="107" t="str">
        <f t="array" ref="AQ160">IFERROR(INDEX($AM$11:$AM$259,MATCH(0,IF(TRUE=$AL$11:$AL$259,COUNTIF($AQ$10:$AQ159,$AM$11:$AM$259),""),0)),"")</f>
        <v/>
      </c>
      <c r="AS160" s="885" t="str">
        <f>IF(AND(OR(AB160="Yes",AB160="Pending"),P160='G-1 All Habitats'!$X$3),T160-X160-Y160,"0")</f>
        <v>0</v>
      </c>
      <c r="AT160" s="30" t="str">
        <f t="shared" si="19"/>
        <v/>
      </c>
      <c r="AU160" s="30">
        <f t="shared" si="24"/>
        <v>0</v>
      </c>
      <c r="AV160" s="230" t="str">
        <f>IFERROR(INDEX('G-1 All Habitats'!$B$3:$B$135,MATCH(F160,'G-1 All Habitats'!$A$3:$A$135,0)),"")</f>
        <v/>
      </c>
      <c r="AW160" s="30" t="str">
        <f>IF(AV160="","",VLOOKUP(AV160,'G-1 All Habitats'!$B$1:$T$135,19,FALSE))</f>
        <v/>
      </c>
      <c r="AY160" s="287" t="str">
        <f t="shared" si="25"/>
        <v/>
      </c>
    </row>
    <row r="161" spans="1:51" ht="14">
      <c r="A161" s="30" t="str">
        <f>IFERROR(INDEX('G-1 All Habitats'!$AG$3:$AG$17,MATCH(E161,'G-1 All Habitats'!$AF$3:$AF$17,0)),"")</f>
        <v/>
      </c>
      <c r="B161" s="30" t="str">
        <f>IFERROR(INDEX('G-8 Condition Look up'!$I$4:$I$135,MATCH(AV161,'G-8 Condition Look up'!$A$4:$A$135,0)),"")</f>
        <v/>
      </c>
      <c r="D161" s="97">
        <v>151</v>
      </c>
      <c r="E161" s="262"/>
      <c r="F161" s="263"/>
      <c r="G161" s="133"/>
      <c r="H161" s="115"/>
      <c r="I161" s="509" t="str">
        <f>IF(AV161="","",IF(AND(AW161="Yes",G161="No"),"Irreplaceable habitat ▲",IF(AND(AW161="No",G161="Yes"),"Cannot be Irreplaceable ▲",VLOOKUP(AV161,'G-1 All Habitats'!$B$2:$M$135,10,FALSE))))</f>
        <v/>
      </c>
      <c r="J161" s="377" t="str">
        <f>IFERROR(VLOOKUP(I161,'G-1 All Habitats'!$V$3:$W$7,2,FALSE),"")</f>
        <v/>
      </c>
      <c r="K161" s="101"/>
      <c r="L161" s="276" t="str">
        <f>IFERROR(INDEX('G-8 Condition Look up'!$A$3:$H$135,MATCH(AV161,'G-8 Condition Look up'!$A$3:$A$135,0),MATCH(K161,'G-8 Condition Look up'!$A$3:$H$3,0)),"")</f>
        <v/>
      </c>
      <c r="M161" s="105"/>
      <c r="N161" s="295" t="str">
        <f>IF(M161="","",IF(VLOOKUP(M161,'G-3 Multipliers'!$L$3:$N$6,2,FALSE)=0,"Spatial Data Missing ⚠",VLOOKUP(M161,'G-3 Multipliers'!$L$3:$N$6,2,FALSE)))</f>
        <v/>
      </c>
      <c r="O161" s="353" t="str">
        <f>IF(M161="","",IF(VLOOKUP(M161,'G-3 Multipliers'!$L$3:$N$6,3,FALSE)=0,"Spatial Data Missing ⚠",VLOOKUP(M161,'G-3 Multipliers'!$L$3:$N$6,3,FALSE)))</f>
        <v/>
      </c>
      <c r="P161" s="336" t="str">
        <f>(IF(G161="Yes","Bespoke compensation likely to be required",(IFERROR(VLOOKUP(AV161,'G-1 All Habitats'!$B$2:$M$135,12,FALSE),""))))</f>
        <v/>
      </c>
      <c r="Q161" s="511" t="str">
        <f>IFERROR(IF(P161="","",IF(AND(E161="Individual trees",W161&gt;0,G161="Yes"),"Error - you cannot enhance irreplaceable individual trees ▲",IF(P161='G-1 All Habitats'!$X$9,T161*S161,IF(AND(P161='G-1 All Habitats'!$X$9,W161&gt;0),X161+(Y161*S161),IF(AND(P161='G-1 All Habitats'!$X$9,V161&gt;0),X161+(Y161*S161),IF(AND(P161='G-1 All Habitats'!$X$9,AG161&gt;0),"Any Loss Unacceptable  ⚠",IF(AND(P161='G-1 All Habitats'!$X$9,Z161&gt;0),"Any Loss Unacceptable ⚠",H161*J161*L161*O161*S161))))))),"Check Data ⚠")</f>
        <v/>
      </c>
      <c r="R161" s="393"/>
      <c r="S161" s="510" t="str">
        <f>IF(R161="","",IF(VLOOKUP(R161,'G-3 Multipliers'!$S$3:$T$10,2,FALSE)=0,"Spatial Data Missing ⚠",VLOOKUP(R161,'G-3 Multipliers'!$S$3:$T$10,2,FALSE)))</f>
        <v/>
      </c>
      <c r="T161" s="289" t="str">
        <f>IFERROR(IF(AND(F161&lt;&gt;"",G161=""),"Confirm irreplaceable habitat status ▲",(IF(AND(R161&lt;&gt;"",AF161=""),"Off-site reference required ▲",(IF(AND(E161="Individual trees",W161&gt;0,G161="Yes"),"Error - you cannot enhance irreplaceable individual trees ▲",(IF(AND(X161="Irreplaceable habitat - no units generated ⚠",(W161+V161)&lt;H161,OR(AB161="No",AB161="")),"Any Loss Unacceptable ⚠",(IF(X161="Irreplaceable habitat - no units generated ⚠",W161*J161*L161*O161,IF(AND(P161='G-1 All Habitats'!$X$9,AH161&gt;0,V161&lt;=0,W161&lt;=0,OR(AB161="No",AB161="")),"Any Loss Unacceptable ⚠",IF(AND(P161='G-1 All Habitats'!$X$9,AH161&gt;0,V161&lt;=0,W161&lt;=0),0,(IF(AND(P161='G-1 All Habitats'!$X$9,(W161+V161)&lt;H161,OR(AB161="No",AB161="")),"Any Loss Unacceptable ⚠",(IF(P161="","",IF(AND(P161='G-1 All Habitats'!$X$9,W161&gt;0),X161+Y161,IF(AND(P161='G-1 All Habitats'!$X$9,V161&gt;0),X161+Y161,IF(R161="","",H161*J161*L161*O161)))))))))))))))))),"Check Data ▲")</f>
        <v/>
      </c>
      <c r="U161" s="38"/>
      <c r="V161" s="52"/>
      <c r="W161" s="53"/>
      <c r="X161" s="287" t="str">
        <f t="shared" si="20"/>
        <v/>
      </c>
      <c r="Y161" s="287" t="str">
        <f t="shared" si="21"/>
        <v/>
      </c>
      <c r="Z161" s="287" t="str">
        <f t="shared" si="22"/>
        <v/>
      </c>
      <c r="AA161" s="317" t="str">
        <f>IFERROR(IF(AND(E161="Individual trees",G161="Yes",W161&gt;0),"Error - you cannot enhance an irreplaceable tree ▲",(IF(H161="","",IF(H161-V161-W161=0&lt;0,"Error in Areas ▲",IF(V161+W161&gt;H161,"Error in Areas ▲",IF(AND(P161='G-1 All Habitats'!$X$9,AB161="Yes"),"Alternative Compensation ✓",IF(AND(P161='G-1 All Habitats'!$X$3,AB161="Yes"),"Alternative Compensation ✓",IF(AND(AB161="Pending",P161='G-1 All Habitats'!$X$3),"Bespoke compensation must be agreed ▲",IF(AND(AB161="Pending",P161='G-1 All Habitats'!$X$9),"Bespoke compensation must be agreed  ▲",IF(Z161=0,0,IF(P161='G-1 All Habitats'!$X$9,"Any Loss Unacceptable ▲",T161-X161-Y161))))))))))),"Check Data ⚠")</f>
        <v/>
      </c>
      <c r="AB161" s="587"/>
      <c r="AC161" s="105"/>
      <c r="AD161" s="138"/>
      <c r="AE161" s="104"/>
      <c r="AF161" s="611"/>
      <c r="AG161" s="523" t="str">
        <f>IF(OR(P161="",AB161="Yes"),"",IF(P161='G-1 All Habitats'!$X$9,H161-V161-W161,"None"))</f>
        <v/>
      </c>
      <c r="AH161" s="523" t="str">
        <f>IF(P161="","",IF(P161='G-1 All Habitats'!$X$9,AG161*J161*L161*O161,"None"))</f>
        <v/>
      </c>
      <c r="AJ161" s="107" t="str">
        <f t="shared" si="23"/>
        <v/>
      </c>
      <c r="AK161" s="107" t="str">
        <f t="shared" si="18"/>
        <v/>
      </c>
      <c r="AL161" s="107" t="str">
        <f>IF(I161="","",IF(#REF!&gt;0,TRUE,FALSE))</f>
        <v/>
      </c>
      <c r="AM161" s="107">
        <v>151</v>
      </c>
      <c r="AN161" s="107"/>
      <c r="AO161" s="107" t="str">
        <f t="array" ref="AO161">IFERROR(INDEX($AM$11:$AM$259,MATCH(0,IF(TRUE=$AJ$11:$AJ$259,COUNTIF($AO$10:$AO160,$AM$11:$AM$259),""),0)),"")</f>
        <v/>
      </c>
      <c r="AP161" s="107" t="str">
        <f t="array" ref="AP161">IFERROR(INDEX($AM$11:$AM$259,MATCH(0,IF(TRUE=$AK$11:$AK$259,COUNTIF($AP$10:$AP160,$AM$11:$AM$259),""),0)),"")</f>
        <v/>
      </c>
      <c r="AQ161" s="107" t="str">
        <f t="array" ref="AQ161">IFERROR(INDEX($AM$11:$AM$259,MATCH(0,IF(TRUE=$AL$11:$AL$259,COUNTIF($AQ$10:$AQ160,$AM$11:$AM$259),""),0)),"")</f>
        <v/>
      </c>
      <c r="AS161" s="885" t="str">
        <f>IF(AND(OR(AB161="Yes",AB161="Pending"),P161='G-1 All Habitats'!$X$3),T161-X161-Y161,"0")</f>
        <v>0</v>
      </c>
      <c r="AT161" s="30" t="str">
        <f t="shared" si="19"/>
        <v/>
      </c>
      <c r="AU161" s="30">
        <f t="shared" si="24"/>
        <v>0</v>
      </c>
      <c r="AV161" s="230" t="str">
        <f>IFERROR(INDEX('G-1 All Habitats'!$B$3:$B$135,MATCH(F161,'G-1 All Habitats'!$A$3:$A$135,0)),"")</f>
        <v/>
      </c>
      <c r="AW161" s="30" t="str">
        <f>IF(AV161="","",VLOOKUP(AV161,'G-1 All Habitats'!$B$1:$T$135,19,FALSE))</f>
        <v/>
      </c>
      <c r="AY161" s="287" t="str">
        <f t="shared" si="25"/>
        <v/>
      </c>
    </row>
    <row r="162" spans="1:51" ht="14">
      <c r="A162" s="30" t="str">
        <f>IFERROR(INDEX('G-1 All Habitats'!$AG$3:$AG$17,MATCH(E162,'G-1 All Habitats'!$AF$3:$AF$17,0)),"")</f>
        <v/>
      </c>
      <c r="B162" s="30" t="str">
        <f>IFERROR(INDEX('G-8 Condition Look up'!$I$4:$I$135,MATCH(AV162,'G-8 Condition Look up'!$A$4:$A$135,0)),"")</f>
        <v/>
      </c>
      <c r="D162" s="97">
        <v>152</v>
      </c>
      <c r="E162" s="262"/>
      <c r="F162" s="263"/>
      <c r="G162" s="133"/>
      <c r="H162" s="115"/>
      <c r="I162" s="509" t="str">
        <f>IF(AV162="","",IF(AND(AW162="Yes",G162="No"),"Irreplaceable habitat ▲",IF(AND(AW162="No",G162="Yes"),"Cannot be Irreplaceable ▲",VLOOKUP(AV162,'G-1 All Habitats'!$B$2:$M$135,10,FALSE))))</f>
        <v/>
      </c>
      <c r="J162" s="377" t="str">
        <f>IFERROR(VLOOKUP(I162,'G-1 All Habitats'!$V$3:$W$7,2,FALSE),"")</f>
        <v/>
      </c>
      <c r="K162" s="101"/>
      <c r="L162" s="276" t="str">
        <f>IFERROR(INDEX('G-8 Condition Look up'!$A$3:$H$135,MATCH(AV162,'G-8 Condition Look up'!$A$3:$A$135,0),MATCH(K162,'G-8 Condition Look up'!$A$3:$H$3,0)),"")</f>
        <v/>
      </c>
      <c r="M162" s="105"/>
      <c r="N162" s="295" t="str">
        <f>IF(M162="","",IF(VLOOKUP(M162,'G-3 Multipliers'!$L$3:$N$6,2,FALSE)=0,"Spatial Data Missing ⚠",VLOOKUP(M162,'G-3 Multipliers'!$L$3:$N$6,2,FALSE)))</f>
        <v/>
      </c>
      <c r="O162" s="353" t="str">
        <f>IF(M162="","",IF(VLOOKUP(M162,'G-3 Multipliers'!$L$3:$N$6,3,FALSE)=0,"Spatial Data Missing ⚠",VLOOKUP(M162,'G-3 Multipliers'!$L$3:$N$6,3,FALSE)))</f>
        <v/>
      </c>
      <c r="P162" s="336" t="str">
        <f>(IF(G162="Yes","Bespoke compensation likely to be required",(IFERROR(VLOOKUP(AV162,'G-1 All Habitats'!$B$2:$M$135,12,FALSE),""))))</f>
        <v/>
      </c>
      <c r="Q162" s="511" t="str">
        <f>IFERROR(IF(P162="","",IF(AND(E162="Individual trees",W162&gt;0,G162="Yes"),"Error - you cannot enhance irreplaceable individual trees ▲",IF(P162='G-1 All Habitats'!$X$9,T162*S162,IF(AND(P162='G-1 All Habitats'!$X$9,W162&gt;0),X162+(Y162*S162),IF(AND(P162='G-1 All Habitats'!$X$9,V162&gt;0),X162+(Y162*S162),IF(AND(P162='G-1 All Habitats'!$X$9,AG162&gt;0),"Any Loss Unacceptable  ⚠",IF(AND(P162='G-1 All Habitats'!$X$9,Z162&gt;0),"Any Loss Unacceptable ⚠",H162*J162*L162*O162*S162))))))),"Check Data ⚠")</f>
        <v/>
      </c>
      <c r="R162" s="393"/>
      <c r="S162" s="510" t="str">
        <f>IF(R162="","",IF(VLOOKUP(R162,'G-3 Multipliers'!$S$3:$T$10,2,FALSE)=0,"Spatial Data Missing ⚠",VLOOKUP(R162,'G-3 Multipliers'!$S$3:$T$10,2,FALSE)))</f>
        <v/>
      </c>
      <c r="T162" s="289" t="str">
        <f>IFERROR(IF(AND(F162&lt;&gt;"",G162=""),"Confirm irreplaceable habitat status ▲",(IF(AND(R162&lt;&gt;"",AF162=""),"Off-site reference required ▲",(IF(AND(E162="Individual trees",W162&gt;0,G162="Yes"),"Error - you cannot enhance irreplaceable individual trees ▲",(IF(AND(X162="Irreplaceable habitat - no units generated ⚠",(W162+V162)&lt;H162,OR(AB162="No",AB162="")),"Any Loss Unacceptable ⚠",(IF(X162="Irreplaceable habitat - no units generated ⚠",W162*J162*L162*O162,IF(AND(P162='G-1 All Habitats'!$X$9,AH162&gt;0,V162&lt;=0,W162&lt;=0,OR(AB162="No",AB162="")),"Any Loss Unacceptable ⚠",IF(AND(P162='G-1 All Habitats'!$X$9,AH162&gt;0,V162&lt;=0,W162&lt;=0),0,(IF(AND(P162='G-1 All Habitats'!$X$9,(W162+V162)&lt;H162,OR(AB162="No",AB162="")),"Any Loss Unacceptable ⚠",(IF(P162="","",IF(AND(P162='G-1 All Habitats'!$X$9,W162&gt;0),X162+Y162,IF(AND(P162='G-1 All Habitats'!$X$9,V162&gt;0),X162+Y162,IF(R162="","",H162*J162*L162*O162)))))))))))))))))),"Check Data ▲")</f>
        <v/>
      </c>
      <c r="U162" s="38"/>
      <c r="V162" s="52"/>
      <c r="W162" s="53"/>
      <c r="X162" s="287" t="str">
        <f t="shared" si="20"/>
        <v/>
      </c>
      <c r="Y162" s="287" t="str">
        <f t="shared" si="21"/>
        <v/>
      </c>
      <c r="Z162" s="287" t="str">
        <f t="shared" si="22"/>
        <v/>
      </c>
      <c r="AA162" s="317" t="str">
        <f>IFERROR(IF(AND(E162="Individual trees",G162="Yes",W162&gt;0),"Error - you cannot enhance an irreplaceable tree ▲",(IF(H162="","",IF(H162-V162-W162=0&lt;0,"Error in Areas ▲",IF(V162+W162&gt;H162,"Error in Areas ▲",IF(AND(P162='G-1 All Habitats'!$X$9,AB162="Yes"),"Alternative Compensation ✓",IF(AND(P162='G-1 All Habitats'!$X$3,AB162="Yes"),"Alternative Compensation ✓",IF(AND(AB162="Pending",P162='G-1 All Habitats'!$X$3),"Bespoke compensation must be agreed ▲",IF(AND(AB162="Pending",P162='G-1 All Habitats'!$X$9),"Bespoke compensation must be agreed  ▲",IF(Z162=0,0,IF(P162='G-1 All Habitats'!$X$9,"Any Loss Unacceptable ▲",T162-X162-Y162))))))))))),"Check Data ⚠")</f>
        <v/>
      </c>
      <c r="AB162" s="587"/>
      <c r="AC162" s="105"/>
      <c r="AD162" s="138"/>
      <c r="AE162" s="104"/>
      <c r="AF162" s="611"/>
      <c r="AG162" s="523" t="str">
        <f>IF(OR(P162="",AB162="Yes"),"",IF(P162='G-1 All Habitats'!$X$9,H162-V162-W162,"None"))</f>
        <v/>
      </c>
      <c r="AH162" s="523" t="str">
        <f>IF(P162="","",IF(P162='G-1 All Habitats'!$X$9,AG162*J162*L162*O162,"None"))</f>
        <v/>
      </c>
      <c r="AJ162" s="107" t="str">
        <f t="shared" si="23"/>
        <v/>
      </c>
      <c r="AK162" s="107" t="str">
        <f t="shared" si="18"/>
        <v/>
      </c>
      <c r="AL162" s="107" t="str">
        <f>IF(I162="","",IF(#REF!&gt;0,TRUE,FALSE))</f>
        <v/>
      </c>
      <c r="AM162" s="107">
        <v>152</v>
      </c>
      <c r="AN162" s="107"/>
      <c r="AO162" s="107" t="str">
        <f t="array" ref="AO162">IFERROR(INDEX($AM$11:$AM$259,MATCH(0,IF(TRUE=$AJ$11:$AJ$259,COUNTIF($AO$10:$AO161,$AM$11:$AM$259),""),0)),"")</f>
        <v/>
      </c>
      <c r="AP162" s="107" t="str">
        <f t="array" ref="AP162">IFERROR(INDEX($AM$11:$AM$259,MATCH(0,IF(TRUE=$AK$11:$AK$259,COUNTIF($AP$10:$AP161,$AM$11:$AM$259),""),0)),"")</f>
        <v/>
      </c>
      <c r="AQ162" s="107" t="str">
        <f t="array" ref="AQ162">IFERROR(INDEX($AM$11:$AM$259,MATCH(0,IF(TRUE=$AL$11:$AL$259,COUNTIF($AQ$10:$AQ161,$AM$11:$AM$259),""),0)),"")</f>
        <v/>
      </c>
      <c r="AS162" s="885" t="str">
        <f>IF(AND(OR(AB162="Yes",AB162="Pending"),P162='G-1 All Habitats'!$X$3),T162-X162-Y162,"0")</f>
        <v>0</v>
      </c>
      <c r="AT162" s="30" t="str">
        <f t="shared" si="19"/>
        <v/>
      </c>
      <c r="AU162" s="30">
        <f t="shared" si="24"/>
        <v>0</v>
      </c>
      <c r="AV162" s="230" t="str">
        <f>IFERROR(INDEX('G-1 All Habitats'!$B$3:$B$135,MATCH(F162,'G-1 All Habitats'!$A$3:$A$135,0)),"")</f>
        <v/>
      </c>
      <c r="AW162" s="30" t="str">
        <f>IF(AV162="","",VLOOKUP(AV162,'G-1 All Habitats'!$B$1:$T$135,19,FALSE))</f>
        <v/>
      </c>
      <c r="AY162" s="287" t="str">
        <f t="shared" si="25"/>
        <v/>
      </c>
    </row>
    <row r="163" spans="1:51" ht="14">
      <c r="A163" s="30" t="str">
        <f>IFERROR(INDEX('G-1 All Habitats'!$AG$3:$AG$17,MATCH(E163,'G-1 All Habitats'!$AF$3:$AF$17,0)),"")</f>
        <v/>
      </c>
      <c r="B163" s="30" t="str">
        <f>IFERROR(INDEX('G-8 Condition Look up'!$I$4:$I$135,MATCH(AV163,'G-8 Condition Look up'!$A$4:$A$135,0)),"")</f>
        <v/>
      </c>
      <c r="D163" s="97">
        <v>153</v>
      </c>
      <c r="E163" s="262"/>
      <c r="F163" s="263"/>
      <c r="G163" s="133"/>
      <c r="H163" s="115"/>
      <c r="I163" s="509" t="str">
        <f>IF(AV163="","",IF(AND(AW163="Yes",G163="No"),"Irreplaceable habitat ▲",IF(AND(AW163="No",G163="Yes"),"Cannot be Irreplaceable ▲",VLOOKUP(AV163,'G-1 All Habitats'!$B$2:$M$135,10,FALSE))))</f>
        <v/>
      </c>
      <c r="J163" s="377" t="str">
        <f>IFERROR(VLOOKUP(I163,'G-1 All Habitats'!$V$3:$W$7,2,FALSE),"")</f>
        <v/>
      </c>
      <c r="K163" s="101"/>
      <c r="L163" s="276" t="str">
        <f>IFERROR(INDEX('G-8 Condition Look up'!$A$3:$H$135,MATCH(AV163,'G-8 Condition Look up'!$A$3:$A$135,0),MATCH(K163,'G-8 Condition Look up'!$A$3:$H$3,0)),"")</f>
        <v/>
      </c>
      <c r="M163" s="105"/>
      <c r="N163" s="295" t="str">
        <f>IF(M163="","",IF(VLOOKUP(M163,'G-3 Multipliers'!$L$3:$N$6,2,FALSE)=0,"Spatial Data Missing ⚠",VLOOKUP(M163,'G-3 Multipliers'!$L$3:$N$6,2,FALSE)))</f>
        <v/>
      </c>
      <c r="O163" s="353" t="str">
        <f>IF(M163="","",IF(VLOOKUP(M163,'G-3 Multipliers'!$L$3:$N$6,3,FALSE)=0,"Spatial Data Missing ⚠",VLOOKUP(M163,'G-3 Multipliers'!$L$3:$N$6,3,FALSE)))</f>
        <v/>
      </c>
      <c r="P163" s="336" t="str">
        <f>(IF(G163="Yes","Bespoke compensation likely to be required",(IFERROR(VLOOKUP(AV163,'G-1 All Habitats'!$B$2:$M$135,12,FALSE),""))))</f>
        <v/>
      </c>
      <c r="Q163" s="511" t="str">
        <f>IFERROR(IF(P163="","",IF(AND(E163="Individual trees",W163&gt;0,G163="Yes"),"Error - you cannot enhance irreplaceable individual trees ▲",IF(P163='G-1 All Habitats'!$X$9,T163*S163,IF(AND(P163='G-1 All Habitats'!$X$9,W163&gt;0),X163+(Y163*S163),IF(AND(P163='G-1 All Habitats'!$X$9,V163&gt;0),X163+(Y163*S163),IF(AND(P163='G-1 All Habitats'!$X$9,AG163&gt;0),"Any Loss Unacceptable  ⚠",IF(AND(P163='G-1 All Habitats'!$X$9,Z163&gt;0),"Any Loss Unacceptable ⚠",H163*J163*L163*O163*S163))))))),"Check Data ⚠")</f>
        <v/>
      </c>
      <c r="R163" s="393"/>
      <c r="S163" s="510" t="str">
        <f>IF(R163="","",IF(VLOOKUP(R163,'G-3 Multipliers'!$S$3:$T$10,2,FALSE)=0,"Spatial Data Missing ⚠",VLOOKUP(R163,'G-3 Multipliers'!$S$3:$T$10,2,FALSE)))</f>
        <v/>
      </c>
      <c r="T163" s="289" t="str">
        <f>IFERROR(IF(AND(F163&lt;&gt;"",G163=""),"Confirm irreplaceable habitat status ▲",(IF(AND(R163&lt;&gt;"",AF163=""),"Off-site reference required ▲",(IF(AND(E163="Individual trees",W163&gt;0,G163="Yes"),"Error - you cannot enhance irreplaceable individual trees ▲",(IF(AND(X163="Irreplaceable habitat - no units generated ⚠",(W163+V163)&lt;H163,OR(AB163="No",AB163="")),"Any Loss Unacceptable ⚠",(IF(X163="Irreplaceable habitat - no units generated ⚠",W163*J163*L163*O163,IF(AND(P163='G-1 All Habitats'!$X$9,AH163&gt;0,V163&lt;=0,W163&lt;=0,OR(AB163="No",AB163="")),"Any Loss Unacceptable ⚠",IF(AND(P163='G-1 All Habitats'!$X$9,AH163&gt;0,V163&lt;=0,W163&lt;=0),0,(IF(AND(P163='G-1 All Habitats'!$X$9,(W163+V163)&lt;H163,OR(AB163="No",AB163="")),"Any Loss Unacceptable ⚠",(IF(P163="","",IF(AND(P163='G-1 All Habitats'!$X$9,W163&gt;0),X163+Y163,IF(AND(P163='G-1 All Habitats'!$X$9,V163&gt;0),X163+Y163,IF(R163="","",H163*J163*L163*O163)))))))))))))))))),"Check Data ▲")</f>
        <v/>
      </c>
      <c r="U163" s="38"/>
      <c r="V163" s="52"/>
      <c r="W163" s="53"/>
      <c r="X163" s="287" t="str">
        <f t="shared" si="20"/>
        <v/>
      </c>
      <c r="Y163" s="287" t="str">
        <f t="shared" si="21"/>
        <v/>
      </c>
      <c r="Z163" s="287" t="str">
        <f t="shared" si="22"/>
        <v/>
      </c>
      <c r="AA163" s="317" t="str">
        <f>IFERROR(IF(AND(E163="Individual trees",G163="Yes",W163&gt;0),"Error - you cannot enhance an irreplaceable tree ▲",(IF(H163="","",IF(H163-V163-W163=0&lt;0,"Error in Areas ▲",IF(V163+W163&gt;H163,"Error in Areas ▲",IF(AND(P163='G-1 All Habitats'!$X$9,AB163="Yes"),"Alternative Compensation ✓",IF(AND(P163='G-1 All Habitats'!$X$3,AB163="Yes"),"Alternative Compensation ✓",IF(AND(AB163="Pending",P163='G-1 All Habitats'!$X$3),"Bespoke compensation must be agreed ▲",IF(AND(AB163="Pending",P163='G-1 All Habitats'!$X$9),"Bespoke compensation must be agreed  ▲",IF(Z163=0,0,IF(P163='G-1 All Habitats'!$X$9,"Any Loss Unacceptable ▲",T163-X163-Y163))))))))))),"Check Data ⚠")</f>
        <v/>
      </c>
      <c r="AB163" s="587"/>
      <c r="AC163" s="105"/>
      <c r="AD163" s="138"/>
      <c r="AE163" s="104"/>
      <c r="AF163" s="611"/>
      <c r="AG163" s="523" t="str">
        <f>IF(OR(P163="",AB163="Yes"),"",IF(P163='G-1 All Habitats'!$X$9,H163-V163-W163,"None"))</f>
        <v/>
      </c>
      <c r="AH163" s="523" t="str">
        <f>IF(P163="","",IF(P163='G-1 All Habitats'!$X$9,AG163*J163*L163*O163,"None"))</f>
        <v/>
      </c>
      <c r="AJ163" s="107" t="str">
        <f t="shared" si="23"/>
        <v/>
      </c>
      <c r="AK163" s="107" t="str">
        <f t="shared" si="18"/>
        <v/>
      </c>
      <c r="AL163" s="107" t="str">
        <f>IF(I163="","",IF(#REF!&gt;0,TRUE,FALSE))</f>
        <v/>
      </c>
      <c r="AM163" s="107">
        <v>153</v>
      </c>
      <c r="AN163" s="107"/>
      <c r="AO163" s="107" t="str">
        <f t="array" ref="AO163">IFERROR(INDEX($AM$11:$AM$259,MATCH(0,IF(TRUE=$AJ$11:$AJ$259,COUNTIF($AO$10:$AO162,$AM$11:$AM$259),""),0)),"")</f>
        <v/>
      </c>
      <c r="AP163" s="107" t="str">
        <f t="array" ref="AP163">IFERROR(INDEX($AM$11:$AM$259,MATCH(0,IF(TRUE=$AK$11:$AK$259,COUNTIF($AP$10:$AP162,$AM$11:$AM$259),""),0)),"")</f>
        <v/>
      </c>
      <c r="AQ163" s="107" t="str">
        <f t="array" ref="AQ163">IFERROR(INDEX($AM$11:$AM$259,MATCH(0,IF(TRUE=$AL$11:$AL$259,COUNTIF($AQ$10:$AQ162,$AM$11:$AM$259),""),0)),"")</f>
        <v/>
      </c>
      <c r="AS163" s="885" t="str">
        <f>IF(AND(OR(AB163="Yes",AB163="Pending"),P163='G-1 All Habitats'!$X$3),T163-X163-Y163,"0")</f>
        <v>0</v>
      </c>
      <c r="AT163" s="30" t="str">
        <f t="shared" si="19"/>
        <v/>
      </c>
      <c r="AU163" s="30">
        <f t="shared" si="24"/>
        <v>0</v>
      </c>
      <c r="AV163" s="230" t="str">
        <f>IFERROR(INDEX('G-1 All Habitats'!$B$3:$B$135,MATCH(F163,'G-1 All Habitats'!$A$3:$A$135,0)),"")</f>
        <v/>
      </c>
      <c r="AW163" s="30" t="str">
        <f>IF(AV163="","",VLOOKUP(AV163,'G-1 All Habitats'!$B$1:$T$135,19,FALSE))</f>
        <v/>
      </c>
      <c r="AY163" s="287" t="str">
        <f t="shared" si="25"/>
        <v/>
      </c>
    </row>
    <row r="164" spans="1:51" ht="14">
      <c r="A164" s="30" t="str">
        <f>IFERROR(INDEX('G-1 All Habitats'!$AG$3:$AG$17,MATCH(E164,'G-1 All Habitats'!$AF$3:$AF$17,0)),"")</f>
        <v/>
      </c>
      <c r="B164" s="30" t="str">
        <f>IFERROR(INDEX('G-8 Condition Look up'!$I$4:$I$135,MATCH(AV164,'G-8 Condition Look up'!$A$4:$A$135,0)),"")</f>
        <v/>
      </c>
      <c r="D164" s="97">
        <v>154</v>
      </c>
      <c r="E164" s="262"/>
      <c r="F164" s="263"/>
      <c r="G164" s="133"/>
      <c r="H164" s="115"/>
      <c r="I164" s="509" t="str">
        <f>IF(AV164="","",IF(AND(AW164="Yes",G164="No"),"Irreplaceable habitat ▲",IF(AND(AW164="No",G164="Yes"),"Cannot be Irreplaceable ▲",VLOOKUP(AV164,'G-1 All Habitats'!$B$2:$M$135,10,FALSE))))</f>
        <v/>
      </c>
      <c r="J164" s="377" t="str">
        <f>IFERROR(VLOOKUP(I164,'G-1 All Habitats'!$V$3:$W$7,2,FALSE),"")</f>
        <v/>
      </c>
      <c r="K164" s="101"/>
      <c r="L164" s="276" t="str">
        <f>IFERROR(INDEX('G-8 Condition Look up'!$A$3:$H$135,MATCH(AV164,'G-8 Condition Look up'!$A$3:$A$135,0),MATCH(K164,'G-8 Condition Look up'!$A$3:$H$3,0)),"")</f>
        <v/>
      </c>
      <c r="M164" s="105"/>
      <c r="N164" s="295" t="str">
        <f>IF(M164="","",IF(VLOOKUP(M164,'G-3 Multipliers'!$L$3:$N$6,2,FALSE)=0,"Spatial Data Missing ⚠",VLOOKUP(M164,'G-3 Multipliers'!$L$3:$N$6,2,FALSE)))</f>
        <v/>
      </c>
      <c r="O164" s="353" t="str">
        <f>IF(M164="","",IF(VLOOKUP(M164,'G-3 Multipliers'!$L$3:$N$6,3,FALSE)=0,"Spatial Data Missing ⚠",VLOOKUP(M164,'G-3 Multipliers'!$L$3:$N$6,3,FALSE)))</f>
        <v/>
      </c>
      <c r="P164" s="336" t="str">
        <f>(IF(G164="Yes","Bespoke compensation likely to be required",(IFERROR(VLOOKUP(AV164,'G-1 All Habitats'!$B$2:$M$135,12,FALSE),""))))</f>
        <v/>
      </c>
      <c r="Q164" s="511" t="str">
        <f>IFERROR(IF(P164="","",IF(AND(E164="Individual trees",W164&gt;0,G164="Yes"),"Error - you cannot enhance irreplaceable individual trees ▲",IF(P164='G-1 All Habitats'!$X$9,T164*S164,IF(AND(P164='G-1 All Habitats'!$X$9,W164&gt;0),X164+(Y164*S164),IF(AND(P164='G-1 All Habitats'!$X$9,V164&gt;0),X164+(Y164*S164),IF(AND(P164='G-1 All Habitats'!$X$9,AG164&gt;0),"Any Loss Unacceptable  ⚠",IF(AND(P164='G-1 All Habitats'!$X$9,Z164&gt;0),"Any Loss Unacceptable ⚠",H164*J164*L164*O164*S164))))))),"Check Data ⚠")</f>
        <v/>
      </c>
      <c r="R164" s="393"/>
      <c r="S164" s="510" t="str">
        <f>IF(R164="","",IF(VLOOKUP(R164,'G-3 Multipliers'!$S$3:$T$10,2,FALSE)=0,"Spatial Data Missing ⚠",VLOOKUP(R164,'G-3 Multipliers'!$S$3:$T$10,2,FALSE)))</f>
        <v/>
      </c>
      <c r="T164" s="289" t="str">
        <f>IFERROR(IF(AND(F164&lt;&gt;"",G164=""),"Confirm irreplaceable habitat status ▲",(IF(AND(R164&lt;&gt;"",AF164=""),"Off-site reference required ▲",(IF(AND(E164="Individual trees",W164&gt;0,G164="Yes"),"Error - you cannot enhance irreplaceable individual trees ▲",(IF(AND(X164="Irreplaceable habitat - no units generated ⚠",(W164+V164)&lt;H164,OR(AB164="No",AB164="")),"Any Loss Unacceptable ⚠",(IF(X164="Irreplaceable habitat - no units generated ⚠",W164*J164*L164*O164,IF(AND(P164='G-1 All Habitats'!$X$9,AH164&gt;0,V164&lt;=0,W164&lt;=0,OR(AB164="No",AB164="")),"Any Loss Unacceptable ⚠",IF(AND(P164='G-1 All Habitats'!$X$9,AH164&gt;0,V164&lt;=0,W164&lt;=0),0,(IF(AND(P164='G-1 All Habitats'!$X$9,(W164+V164)&lt;H164,OR(AB164="No",AB164="")),"Any Loss Unacceptable ⚠",(IF(P164="","",IF(AND(P164='G-1 All Habitats'!$X$9,W164&gt;0),X164+Y164,IF(AND(P164='G-1 All Habitats'!$X$9,V164&gt;0),X164+Y164,IF(R164="","",H164*J164*L164*O164)))))))))))))))))),"Check Data ▲")</f>
        <v/>
      </c>
      <c r="U164" s="38"/>
      <c r="V164" s="52"/>
      <c r="W164" s="53"/>
      <c r="X164" s="287" t="str">
        <f t="shared" si="20"/>
        <v/>
      </c>
      <c r="Y164" s="287" t="str">
        <f t="shared" si="21"/>
        <v/>
      </c>
      <c r="Z164" s="287" t="str">
        <f t="shared" si="22"/>
        <v/>
      </c>
      <c r="AA164" s="317" t="str">
        <f>IFERROR(IF(AND(E164="Individual trees",G164="Yes",W164&gt;0),"Error - you cannot enhance an irreplaceable tree ▲",(IF(H164="","",IF(H164-V164-W164=0&lt;0,"Error in Areas ▲",IF(V164+W164&gt;H164,"Error in Areas ▲",IF(AND(P164='G-1 All Habitats'!$X$9,AB164="Yes"),"Alternative Compensation ✓",IF(AND(P164='G-1 All Habitats'!$X$3,AB164="Yes"),"Alternative Compensation ✓",IF(AND(AB164="Pending",P164='G-1 All Habitats'!$X$3),"Bespoke compensation must be agreed ▲",IF(AND(AB164="Pending",P164='G-1 All Habitats'!$X$9),"Bespoke compensation must be agreed  ▲",IF(Z164=0,0,IF(P164='G-1 All Habitats'!$X$9,"Any Loss Unacceptable ▲",T164-X164-Y164))))))))))),"Check Data ⚠")</f>
        <v/>
      </c>
      <c r="AB164" s="587"/>
      <c r="AC164" s="105"/>
      <c r="AD164" s="138"/>
      <c r="AE164" s="104"/>
      <c r="AF164" s="611"/>
      <c r="AG164" s="523" t="str">
        <f>IF(OR(P164="",AB164="Yes"),"",IF(P164='G-1 All Habitats'!$X$9,H164-V164-W164,"None"))</f>
        <v/>
      </c>
      <c r="AH164" s="523" t="str">
        <f>IF(P164="","",IF(P164='G-1 All Habitats'!$X$9,AG164*J164*L164*O164,"None"))</f>
        <v/>
      </c>
      <c r="AJ164" s="107" t="str">
        <f t="shared" si="23"/>
        <v/>
      </c>
      <c r="AK164" s="107" t="str">
        <f t="shared" si="18"/>
        <v/>
      </c>
      <c r="AL164" s="107" t="str">
        <f>IF(I164="","",IF(#REF!&gt;0,TRUE,FALSE))</f>
        <v/>
      </c>
      <c r="AM164" s="107">
        <v>154</v>
      </c>
      <c r="AN164" s="107"/>
      <c r="AO164" s="107" t="str">
        <f t="array" ref="AO164">IFERROR(INDEX($AM$11:$AM$259,MATCH(0,IF(TRUE=$AJ$11:$AJ$259,COUNTIF($AO$10:$AO163,$AM$11:$AM$259),""),0)),"")</f>
        <v/>
      </c>
      <c r="AP164" s="107" t="str">
        <f t="array" ref="AP164">IFERROR(INDEX($AM$11:$AM$259,MATCH(0,IF(TRUE=$AK$11:$AK$259,COUNTIF($AP$10:$AP163,$AM$11:$AM$259),""),0)),"")</f>
        <v/>
      </c>
      <c r="AQ164" s="107" t="str">
        <f t="array" ref="AQ164">IFERROR(INDEX($AM$11:$AM$259,MATCH(0,IF(TRUE=$AL$11:$AL$259,COUNTIF($AQ$10:$AQ163,$AM$11:$AM$259),""),0)),"")</f>
        <v/>
      </c>
      <c r="AS164" s="885" t="str">
        <f>IF(AND(OR(AB164="Yes",AB164="Pending"),P164='G-1 All Habitats'!$X$3),T164-X164-Y164,"0")</f>
        <v>0</v>
      </c>
      <c r="AT164" s="30" t="str">
        <f t="shared" si="19"/>
        <v/>
      </c>
      <c r="AU164" s="30">
        <f t="shared" si="24"/>
        <v>0</v>
      </c>
      <c r="AV164" s="230" t="str">
        <f>IFERROR(INDEX('G-1 All Habitats'!$B$3:$B$135,MATCH(F164,'G-1 All Habitats'!$A$3:$A$135,0)),"")</f>
        <v/>
      </c>
      <c r="AW164" s="30" t="str">
        <f>IF(AV164="","",VLOOKUP(AV164,'G-1 All Habitats'!$B$1:$T$135,19,FALSE))</f>
        <v/>
      </c>
      <c r="AY164" s="287" t="str">
        <f t="shared" si="25"/>
        <v/>
      </c>
    </row>
    <row r="165" spans="1:51" ht="14">
      <c r="A165" s="30" t="str">
        <f>IFERROR(INDEX('G-1 All Habitats'!$AG$3:$AG$17,MATCH(E165,'G-1 All Habitats'!$AF$3:$AF$17,0)),"")</f>
        <v/>
      </c>
      <c r="B165" s="30" t="str">
        <f>IFERROR(INDEX('G-8 Condition Look up'!$I$4:$I$135,MATCH(AV165,'G-8 Condition Look up'!$A$4:$A$135,0)),"")</f>
        <v/>
      </c>
      <c r="D165" s="97">
        <v>155</v>
      </c>
      <c r="E165" s="262"/>
      <c r="F165" s="263"/>
      <c r="G165" s="133"/>
      <c r="H165" s="115"/>
      <c r="I165" s="509" t="str">
        <f>IF(AV165="","",IF(AND(AW165="Yes",G165="No"),"Irreplaceable habitat ▲",IF(AND(AW165="No",G165="Yes"),"Cannot be Irreplaceable ▲",VLOOKUP(AV165,'G-1 All Habitats'!$B$2:$M$135,10,FALSE))))</f>
        <v/>
      </c>
      <c r="J165" s="377" t="str">
        <f>IFERROR(VLOOKUP(I165,'G-1 All Habitats'!$V$3:$W$7,2,FALSE),"")</f>
        <v/>
      </c>
      <c r="K165" s="101"/>
      <c r="L165" s="276" t="str">
        <f>IFERROR(INDEX('G-8 Condition Look up'!$A$3:$H$135,MATCH(AV165,'G-8 Condition Look up'!$A$3:$A$135,0),MATCH(K165,'G-8 Condition Look up'!$A$3:$H$3,0)),"")</f>
        <v/>
      </c>
      <c r="M165" s="105"/>
      <c r="N165" s="295" t="str">
        <f>IF(M165="","",IF(VLOOKUP(M165,'G-3 Multipliers'!$L$3:$N$6,2,FALSE)=0,"Spatial Data Missing ⚠",VLOOKUP(M165,'G-3 Multipliers'!$L$3:$N$6,2,FALSE)))</f>
        <v/>
      </c>
      <c r="O165" s="353" t="str">
        <f>IF(M165="","",IF(VLOOKUP(M165,'G-3 Multipliers'!$L$3:$N$6,3,FALSE)=0,"Spatial Data Missing ⚠",VLOOKUP(M165,'G-3 Multipliers'!$L$3:$N$6,3,FALSE)))</f>
        <v/>
      </c>
      <c r="P165" s="336" t="str">
        <f>(IF(G165="Yes","Bespoke compensation likely to be required",(IFERROR(VLOOKUP(AV165,'G-1 All Habitats'!$B$2:$M$135,12,FALSE),""))))</f>
        <v/>
      </c>
      <c r="Q165" s="511" t="str">
        <f>IFERROR(IF(P165="","",IF(AND(E165="Individual trees",W165&gt;0,G165="Yes"),"Error - you cannot enhance irreplaceable individual trees ▲",IF(P165='G-1 All Habitats'!$X$9,T165*S165,IF(AND(P165='G-1 All Habitats'!$X$9,W165&gt;0),X165+(Y165*S165),IF(AND(P165='G-1 All Habitats'!$X$9,V165&gt;0),X165+(Y165*S165),IF(AND(P165='G-1 All Habitats'!$X$9,AG165&gt;0),"Any Loss Unacceptable  ⚠",IF(AND(P165='G-1 All Habitats'!$X$9,Z165&gt;0),"Any Loss Unacceptable ⚠",H165*J165*L165*O165*S165))))))),"Check Data ⚠")</f>
        <v/>
      </c>
      <c r="R165" s="393"/>
      <c r="S165" s="510" t="str">
        <f>IF(R165="","",IF(VLOOKUP(R165,'G-3 Multipliers'!$S$3:$T$10,2,FALSE)=0,"Spatial Data Missing ⚠",VLOOKUP(R165,'G-3 Multipliers'!$S$3:$T$10,2,FALSE)))</f>
        <v/>
      </c>
      <c r="T165" s="289" t="str">
        <f>IFERROR(IF(AND(F165&lt;&gt;"",G165=""),"Confirm irreplaceable habitat status ▲",(IF(AND(R165&lt;&gt;"",AF165=""),"Off-site reference required ▲",(IF(AND(E165="Individual trees",W165&gt;0,G165="Yes"),"Error - you cannot enhance irreplaceable individual trees ▲",(IF(AND(X165="Irreplaceable habitat - no units generated ⚠",(W165+V165)&lt;H165,OR(AB165="No",AB165="")),"Any Loss Unacceptable ⚠",(IF(X165="Irreplaceable habitat - no units generated ⚠",W165*J165*L165*O165,IF(AND(P165='G-1 All Habitats'!$X$9,AH165&gt;0,V165&lt;=0,W165&lt;=0,OR(AB165="No",AB165="")),"Any Loss Unacceptable ⚠",IF(AND(P165='G-1 All Habitats'!$X$9,AH165&gt;0,V165&lt;=0,W165&lt;=0),0,(IF(AND(P165='G-1 All Habitats'!$X$9,(W165+V165)&lt;H165,OR(AB165="No",AB165="")),"Any Loss Unacceptable ⚠",(IF(P165="","",IF(AND(P165='G-1 All Habitats'!$X$9,W165&gt;0),X165+Y165,IF(AND(P165='G-1 All Habitats'!$X$9,V165&gt;0),X165+Y165,IF(R165="","",H165*J165*L165*O165)))))))))))))))))),"Check Data ▲")</f>
        <v/>
      </c>
      <c r="U165" s="38"/>
      <c r="V165" s="52"/>
      <c r="W165" s="53"/>
      <c r="X165" s="287" t="str">
        <f t="shared" si="20"/>
        <v/>
      </c>
      <c r="Y165" s="287" t="str">
        <f t="shared" si="21"/>
        <v/>
      </c>
      <c r="Z165" s="287" t="str">
        <f t="shared" si="22"/>
        <v/>
      </c>
      <c r="AA165" s="317" t="str">
        <f>IFERROR(IF(AND(E165="Individual trees",G165="Yes",W165&gt;0),"Error - you cannot enhance an irreplaceable tree ▲",(IF(H165="","",IF(H165-V165-W165=0&lt;0,"Error in Areas ▲",IF(V165+W165&gt;H165,"Error in Areas ▲",IF(AND(P165='G-1 All Habitats'!$X$9,AB165="Yes"),"Alternative Compensation ✓",IF(AND(P165='G-1 All Habitats'!$X$3,AB165="Yes"),"Alternative Compensation ✓",IF(AND(AB165="Pending",P165='G-1 All Habitats'!$X$3),"Bespoke compensation must be agreed ▲",IF(AND(AB165="Pending",P165='G-1 All Habitats'!$X$9),"Bespoke compensation must be agreed  ▲",IF(Z165=0,0,IF(P165='G-1 All Habitats'!$X$9,"Any Loss Unacceptable ▲",T165-X165-Y165))))))))))),"Check Data ⚠")</f>
        <v/>
      </c>
      <c r="AB165" s="587"/>
      <c r="AC165" s="105"/>
      <c r="AD165" s="138"/>
      <c r="AE165" s="104"/>
      <c r="AF165" s="611"/>
      <c r="AG165" s="523" t="str">
        <f>IF(OR(P165="",AB165="Yes"),"",IF(P165='G-1 All Habitats'!$X$9,H165-V165-W165,"None"))</f>
        <v/>
      </c>
      <c r="AH165" s="523" t="str">
        <f>IF(P165="","",IF(P165='G-1 All Habitats'!$X$9,AG165*J165*L165*O165,"None"))</f>
        <v/>
      </c>
      <c r="AJ165" s="107" t="str">
        <f t="shared" si="23"/>
        <v/>
      </c>
      <c r="AK165" s="107" t="str">
        <f t="shared" si="18"/>
        <v/>
      </c>
      <c r="AL165" s="107" t="str">
        <f>IF(I165="","",IF(#REF!&gt;0,TRUE,FALSE))</f>
        <v/>
      </c>
      <c r="AM165" s="107">
        <v>155</v>
      </c>
      <c r="AN165" s="107"/>
      <c r="AO165" s="107" t="str">
        <f t="array" ref="AO165">IFERROR(INDEX($AM$11:$AM$259,MATCH(0,IF(TRUE=$AJ$11:$AJ$259,COUNTIF($AO$10:$AO164,$AM$11:$AM$259),""),0)),"")</f>
        <v/>
      </c>
      <c r="AP165" s="107" t="str">
        <f t="array" ref="AP165">IFERROR(INDEX($AM$11:$AM$259,MATCH(0,IF(TRUE=$AK$11:$AK$259,COUNTIF($AP$10:$AP164,$AM$11:$AM$259),""),0)),"")</f>
        <v/>
      </c>
      <c r="AQ165" s="107" t="str">
        <f t="array" ref="AQ165">IFERROR(INDEX($AM$11:$AM$259,MATCH(0,IF(TRUE=$AL$11:$AL$259,COUNTIF($AQ$10:$AQ164,$AM$11:$AM$259),""),0)),"")</f>
        <v/>
      </c>
      <c r="AS165" s="885" t="str">
        <f>IF(AND(OR(AB165="Yes",AB165="Pending"),P165='G-1 All Habitats'!$X$3),T165-X165-Y165,"0")</f>
        <v>0</v>
      </c>
      <c r="AT165" s="30" t="str">
        <f t="shared" si="19"/>
        <v/>
      </c>
      <c r="AU165" s="30">
        <f t="shared" si="24"/>
        <v>0</v>
      </c>
      <c r="AV165" s="230" t="str">
        <f>IFERROR(INDEX('G-1 All Habitats'!$B$3:$B$135,MATCH(F165,'G-1 All Habitats'!$A$3:$A$135,0)),"")</f>
        <v/>
      </c>
      <c r="AW165" s="30" t="str">
        <f>IF(AV165="","",VLOOKUP(AV165,'G-1 All Habitats'!$B$1:$T$135,19,FALSE))</f>
        <v/>
      </c>
      <c r="AY165" s="287" t="str">
        <f t="shared" si="25"/>
        <v/>
      </c>
    </row>
    <row r="166" spans="1:51" ht="14">
      <c r="A166" s="30" t="str">
        <f>IFERROR(INDEX('G-1 All Habitats'!$AG$3:$AG$17,MATCH(E166,'G-1 All Habitats'!$AF$3:$AF$17,0)),"")</f>
        <v/>
      </c>
      <c r="B166" s="30" t="str">
        <f>IFERROR(INDEX('G-8 Condition Look up'!$I$4:$I$135,MATCH(AV166,'G-8 Condition Look up'!$A$4:$A$135,0)),"")</f>
        <v/>
      </c>
      <c r="D166" s="97">
        <v>156</v>
      </c>
      <c r="E166" s="262"/>
      <c r="F166" s="263"/>
      <c r="G166" s="133"/>
      <c r="H166" s="115"/>
      <c r="I166" s="509" t="str">
        <f>IF(AV166="","",IF(AND(AW166="Yes",G166="No"),"Irreplaceable habitat ▲",IF(AND(AW166="No",G166="Yes"),"Cannot be Irreplaceable ▲",VLOOKUP(AV166,'G-1 All Habitats'!$B$2:$M$135,10,FALSE))))</f>
        <v/>
      </c>
      <c r="J166" s="377" t="str">
        <f>IFERROR(VLOOKUP(I166,'G-1 All Habitats'!$V$3:$W$7,2,FALSE),"")</f>
        <v/>
      </c>
      <c r="K166" s="101"/>
      <c r="L166" s="276" t="str">
        <f>IFERROR(INDEX('G-8 Condition Look up'!$A$3:$H$135,MATCH(AV166,'G-8 Condition Look up'!$A$3:$A$135,0),MATCH(K166,'G-8 Condition Look up'!$A$3:$H$3,0)),"")</f>
        <v/>
      </c>
      <c r="M166" s="105"/>
      <c r="N166" s="295" t="str">
        <f>IF(M166="","",IF(VLOOKUP(M166,'G-3 Multipliers'!$L$3:$N$6,2,FALSE)=0,"Spatial Data Missing ⚠",VLOOKUP(M166,'G-3 Multipliers'!$L$3:$N$6,2,FALSE)))</f>
        <v/>
      </c>
      <c r="O166" s="353" t="str">
        <f>IF(M166="","",IF(VLOOKUP(M166,'G-3 Multipliers'!$L$3:$N$6,3,FALSE)=0,"Spatial Data Missing ⚠",VLOOKUP(M166,'G-3 Multipliers'!$L$3:$N$6,3,FALSE)))</f>
        <v/>
      </c>
      <c r="P166" s="336" t="str">
        <f>(IF(G166="Yes","Bespoke compensation likely to be required",(IFERROR(VLOOKUP(AV166,'G-1 All Habitats'!$B$2:$M$135,12,FALSE),""))))</f>
        <v/>
      </c>
      <c r="Q166" s="511" t="str">
        <f>IFERROR(IF(P166="","",IF(AND(E166="Individual trees",W166&gt;0,G166="Yes"),"Error - you cannot enhance irreplaceable individual trees ▲",IF(P166='G-1 All Habitats'!$X$9,T166*S166,IF(AND(P166='G-1 All Habitats'!$X$9,W166&gt;0),X166+(Y166*S166),IF(AND(P166='G-1 All Habitats'!$X$9,V166&gt;0),X166+(Y166*S166),IF(AND(P166='G-1 All Habitats'!$X$9,AG166&gt;0),"Any Loss Unacceptable  ⚠",IF(AND(P166='G-1 All Habitats'!$X$9,Z166&gt;0),"Any Loss Unacceptable ⚠",H166*J166*L166*O166*S166))))))),"Check Data ⚠")</f>
        <v/>
      </c>
      <c r="R166" s="393"/>
      <c r="S166" s="510" t="str">
        <f>IF(R166="","",IF(VLOOKUP(R166,'G-3 Multipliers'!$S$3:$T$10,2,FALSE)=0,"Spatial Data Missing ⚠",VLOOKUP(R166,'G-3 Multipliers'!$S$3:$T$10,2,FALSE)))</f>
        <v/>
      </c>
      <c r="T166" s="289" t="str">
        <f>IFERROR(IF(AND(F166&lt;&gt;"",G166=""),"Confirm irreplaceable habitat status ▲",(IF(AND(R166&lt;&gt;"",AF166=""),"Off-site reference required ▲",(IF(AND(E166="Individual trees",W166&gt;0,G166="Yes"),"Error - you cannot enhance irreplaceable individual trees ▲",(IF(AND(X166="Irreplaceable habitat - no units generated ⚠",(W166+V166)&lt;H166,OR(AB166="No",AB166="")),"Any Loss Unacceptable ⚠",(IF(X166="Irreplaceable habitat - no units generated ⚠",W166*J166*L166*O166,IF(AND(P166='G-1 All Habitats'!$X$9,AH166&gt;0,V166&lt;=0,W166&lt;=0,OR(AB166="No",AB166="")),"Any Loss Unacceptable ⚠",IF(AND(P166='G-1 All Habitats'!$X$9,AH166&gt;0,V166&lt;=0,W166&lt;=0),0,(IF(AND(P166='G-1 All Habitats'!$X$9,(W166+V166)&lt;H166,OR(AB166="No",AB166="")),"Any Loss Unacceptable ⚠",(IF(P166="","",IF(AND(P166='G-1 All Habitats'!$X$9,W166&gt;0),X166+Y166,IF(AND(P166='G-1 All Habitats'!$X$9,V166&gt;0),X166+Y166,IF(R166="","",H166*J166*L166*O166)))))))))))))))))),"Check Data ▲")</f>
        <v/>
      </c>
      <c r="U166" s="38"/>
      <c r="V166" s="52"/>
      <c r="W166" s="53"/>
      <c r="X166" s="287" t="str">
        <f t="shared" si="20"/>
        <v/>
      </c>
      <c r="Y166" s="287" t="str">
        <f t="shared" si="21"/>
        <v/>
      </c>
      <c r="Z166" s="287" t="str">
        <f t="shared" si="22"/>
        <v/>
      </c>
      <c r="AA166" s="317" t="str">
        <f>IFERROR(IF(AND(E166="Individual trees",G166="Yes",W166&gt;0),"Error - you cannot enhance an irreplaceable tree ▲",(IF(H166="","",IF(H166-V166-W166=0&lt;0,"Error in Areas ▲",IF(V166+W166&gt;H166,"Error in Areas ▲",IF(AND(P166='G-1 All Habitats'!$X$9,AB166="Yes"),"Alternative Compensation ✓",IF(AND(P166='G-1 All Habitats'!$X$3,AB166="Yes"),"Alternative Compensation ✓",IF(AND(AB166="Pending",P166='G-1 All Habitats'!$X$3),"Bespoke compensation must be agreed ▲",IF(AND(AB166="Pending",P166='G-1 All Habitats'!$X$9),"Bespoke compensation must be agreed  ▲",IF(Z166=0,0,IF(P166='G-1 All Habitats'!$X$9,"Any Loss Unacceptable ▲",T166-X166-Y166))))))))))),"Check Data ⚠")</f>
        <v/>
      </c>
      <c r="AB166" s="587"/>
      <c r="AC166" s="105"/>
      <c r="AD166" s="138"/>
      <c r="AE166" s="104"/>
      <c r="AF166" s="611"/>
      <c r="AG166" s="523" t="str">
        <f>IF(OR(P166="",AB166="Yes"),"",IF(P166='G-1 All Habitats'!$X$9,H166-V166-W166,"None"))</f>
        <v/>
      </c>
      <c r="AH166" s="523" t="str">
        <f>IF(P166="","",IF(P166='G-1 All Habitats'!$X$9,AG166*J166*L166*O166,"None"))</f>
        <v/>
      </c>
      <c r="AJ166" s="107" t="str">
        <f t="shared" si="23"/>
        <v/>
      </c>
      <c r="AK166" s="107" t="str">
        <f t="shared" si="18"/>
        <v/>
      </c>
      <c r="AL166" s="107" t="str">
        <f>IF(I166="","",IF(#REF!&gt;0,TRUE,FALSE))</f>
        <v/>
      </c>
      <c r="AM166" s="107">
        <v>156</v>
      </c>
      <c r="AN166" s="107"/>
      <c r="AO166" s="107" t="str">
        <f t="array" ref="AO166">IFERROR(INDEX($AM$11:$AM$259,MATCH(0,IF(TRUE=$AJ$11:$AJ$259,COUNTIF($AO$10:$AO165,$AM$11:$AM$259),""),0)),"")</f>
        <v/>
      </c>
      <c r="AP166" s="107" t="str">
        <f t="array" ref="AP166">IFERROR(INDEX($AM$11:$AM$259,MATCH(0,IF(TRUE=$AK$11:$AK$259,COUNTIF($AP$10:$AP165,$AM$11:$AM$259),""),0)),"")</f>
        <v/>
      </c>
      <c r="AQ166" s="107" t="str">
        <f t="array" ref="AQ166">IFERROR(INDEX($AM$11:$AM$259,MATCH(0,IF(TRUE=$AL$11:$AL$259,COUNTIF($AQ$10:$AQ165,$AM$11:$AM$259),""),0)),"")</f>
        <v/>
      </c>
      <c r="AS166" s="885" t="str">
        <f>IF(AND(OR(AB166="Yes",AB166="Pending"),P166='G-1 All Habitats'!$X$3),T166-X166-Y166,"0")</f>
        <v>0</v>
      </c>
      <c r="AT166" s="30" t="str">
        <f t="shared" si="19"/>
        <v/>
      </c>
      <c r="AU166" s="30">
        <f t="shared" si="24"/>
        <v>0</v>
      </c>
      <c r="AV166" s="230" t="str">
        <f>IFERROR(INDEX('G-1 All Habitats'!$B$3:$B$135,MATCH(F166,'G-1 All Habitats'!$A$3:$A$135,0)),"")</f>
        <v/>
      </c>
      <c r="AW166" s="30" t="str">
        <f>IF(AV166="","",VLOOKUP(AV166,'G-1 All Habitats'!$B$1:$T$135,19,FALSE))</f>
        <v/>
      </c>
      <c r="AY166" s="287" t="str">
        <f t="shared" si="25"/>
        <v/>
      </c>
    </row>
    <row r="167" spans="1:51" ht="14">
      <c r="A167" s="30" t="str">
        <f>IFERROR(INDEX('G-1 All Habitats'!$AG$3:$AG$17,MATCH(E167,'G-1 All Habitats'!$AF$3:$AF$17,0)),"")</f>
        <v/>
      </c>
      <c r="B167" s="30" t="str">
        <f>IFERROR(INDEX('G-8 Condition Look up'!$I$4:$I$135,MATCH(AV167,'G-8 Condition Look up'!$A$4:$A$135,0)),"")</f>
        <v/>
      </c>
      <c r="D167" s="97">
        <v>157</v>
      </c>
      <c r="E167" s="262"/>
      <c r="F167" s="263"/>
      <c r="G167" s="133"/>
      <c r="H167" s="115"/>
      <c r="I167" s="509" t="str">
        <f>IF(AV167="","",IF(AND(AW167="Yes",G167="No"),"Irreplaceable habitat ▲",IF(AND(AW167="No",G167="Yes"),"Cannot be Irreplaceable ▲",VLOOKUP(AV167,'G-1 All Habitats'!$B$2:$M$135,10,FALSE))))</f>
        <v/>
      </c>
      <c r="J167" s="377" t="str">
        <f>IFERROR(VLOOKUP(I167,'G-1 All Habitats'!$V$3:$W$7,2,FALSE),"")</f>
        <v/>
      </c>
      <c r="K167" s="101"/>
      <c r="L167" s="276" t="str">
        <f>IFERROR(INDEX('G-8 Condition Look up'!$A$3:$H$135,MATCH(AV167,'G-8 Condition Look up'!$A$3:$A$135,0),MATCH(K167,'G-8 Condition Look up'!$A$3:$H$3,0)),"")</f>
        <v/>
      </c>
      <c r="M167" s="105"/>
      <c r="N167" s="295" t="str">
        <f>IF(M167="","",IF(VLOOKUP(M167,'G-3 Multipliers'!$L$3:$N$6,2,FALSE)=0,"Spatial Data Missing ⚠",VLOOKUP(M167,'G-3 Multipliers'!$L$3:$N$6,2,FALSE)))</f>
        <v/>
      </c>
      <c r="O167" s="353" t="str">
        <f>IF(M167="","",IF(VLOOKUP(M167,'G-3 Multipliers'!$L$3:$N$6,3,FALSE)=0,"Spatial Data Missing ⚠",VLOOKUP(M167,'G-3 Multipliers'!$L$3:$N$6,3,FALSE)))</f>
        <v/>
      </c>
      <c r="P167" s="336" t="str">
        <f>(IF(G167="Yes","Bespoke compensation likely to be required",(IFERROR(VLOOKUP(AV167,'G-1 All Habitats'!$B$2:$M$135,12,FALSE),""))))</f>
        <v/>
      </c>
      <c r="Q167" s="511" t="str">
        <f>IFERROR(IF(P167="","",IF(AND(E167="Individual trees",W167&gt;0,G167="Yes"),"Error - you cannot enhance irreplaceable individual trees ▲",IF(P167='G-1 All Habitats'!$X$9,T167*S167,IF(AND(P167='G-1 All Habitats'!$X$9,W167&gt;0),X167+(Y167*S167),IF(AND(P167='G-1 All Habitats'!$X$9,V167&gt;0),X167+(Y167*S167),IF(AND(P167='G-1 All Habitats'!$X$9,AG167&gt;0),"Any Loss Unacceptable  ⚠",IF(AND(P167='G-1 All Habitats'!$X$9,Z167&gt;0),"Any Loss Unacceptable ⚠",H167*J167*L167*O167*S167))))))),"Check Data ⚠")</f>
        <v/>
      </c>
      <c r="R167" s="393"/>
      <c r="S167" s="510" t="str">
        <f>IF(R167="","",IF(VLOOKUP(R167,'G-3 Multipliers'!$S$3:$T$10,2,FALSE)=0,"Spatial Data Missing ⚠",VLOOKUP(R167,'G-3 Multipliers'!$S$3:$T$10,2,FALSE)))</f>
        <v/>
      </c>
      <c r="T167" s="289" t="str">
        <f>IFERROR(IF(AND(F167&lt;&gt;"",G167=""),"Confirm irreplaceable habitat status ▲",(IF(AND(R167&lt;&gt;"",AF167=""),"Off-site reference required ▲",(IF(AND(E167="Individual trees",W167&gt;0,G167="Yes"),"Error - you cannot enhance irreplaceable individual trees ▲",(IF(AND(X167="Irreplaceable habitat - no units generated ⚠",(W167+V167)&lt;H167,OR(AB167="No",AB167="")),"Any Loss Unacceptable ⚠",(IF(X167="Irreplaceable habitat - no units generated ⚠",W167*J167*L167*O167,IF(AND(P167='G-1 All Habitats'!$X$9,AH167&gt;0,V167&lt;=0,W167&lt;=0,OR(AB167="No",AB167="")),"Any Loss Unacceptable ⚠",IF(AND(P167='G-1 All Habitats'!$X$9,AH167&gt;0,V167&lt;=0,W167&lt;=0),0,(IF(AND(P167='G-1 All Habitats'!$X$9,(W167+V167)&lt;H167,OR(AB167="No",AB167="")),"Any Loss Unacceptable ⚠",(IF(P167="","",IF(AND(P167='G-1 All Habitats'!$X$9,W167&gt;0),X167+Y167,IF(AND(P167='G-1 All Habitats'!$X$9,V167&gt;0),X167+Y167,IF(R167="","",H167*J167*L167*O167)))))))))))))))))),"Check Data ▲")</f>
        <v/>
      </c>
      <c r="U167" s="38"/>
      <c r="V167" s="52"/>
      <c r="W167" s="53"/>
      <c r="X167" s="287" t="str">
        <f t="shared" si="20"/>
        <v/>
      </c>
      <c r="Y167" s="287" t="str">
        <f t="shared" si="21"/>
        <v/>
      </c>
      <c r="Z167" s="287" t="str">
        <f t="shared" si="22"/>
        <v/>
      </c>
      <c r="AA167" s="317" t="str">
        <f>IFERROR(IF(AND(E167="Individual trees",G167="Yes",W167&gt;0),"Error - you cannot enhance an irreplaceable tree ▲",(IF(H167="","",IF(H167-V167-W167=0&lt;0,"Error in Areas ▲",IF(V167+W167&gt;H167,"Error in Areas ▲",IF(AND(P167='G-1 All Habitats'!$X$9,AB167="Yes"),"Alternative Compensation ✓",IF(AND(P167='G-1 All Habitats'!$X$3,AB167="Yes"),"Alternative Compensation ✓",IF(AND(AB167="Pending",P167='G-1 All Habitats'!$X$3),"Bespoke compensation must be agreed ▲",IF(AND(AB167="Pending",P167='G-1 All Habitats'!$X$9),"Bespoke compensation must be agreed  ▲",IF(Z167=0,0,IF(P167='G-1 All Habitats'!$X$9,"Any Loss Unacceptable ▲",T167-X167-Y167))))))))))),"Check Data ⚠")</f>
        <v/>
      </c>
      <c r="AB167" s="587"/>
      <c r="AC167" s="105"/>
      <c r="AD167" s="138"/>
      <c r="AE167" s="104"/>
      <c r="AF167" s="611"/>
      <c r="AG167" s="523" t="str">
        <f>IF(OR(P167="",AB167="Yes"),"",IF(P167='G-1 All Habitats'!$X$9,H167-V167-W167,"None"))</f>
        <v/>
      </c>
      <c r="AH167" s="523" t="str">
        <f>IF(P167="","",IF(P167='G-1 All Habitats'!$X$9,AG167*J167*L167*O167,"None"))</f>
        <v/>
      </c>
      <c r="AJ167" s="107" t="str">
        <f t="shared" si="23"/>
        <v/>
      </c>
      <c r="AK167" s="107" t="str">
        <f t="shared" si="18"/>
        <v/>
      </c>
      <c r="AL167" s="107" t="str">
        <f>IF(I167="","",IF(#REF!&gt;0,TRUE,FALSE))</f>
        <v/>
      </c>
      <c r="AM167" s="107">
        <v>157</v>
      </c>
      <c r="AN167" s="107"/>
      <c r="AO167" s="107" t="str">
        <f t="array" ref="AO167">IFERROR(INDEX($AM$11:$AM$259,MATCH(0,IF(TRUE=$AJ$11:$AJ$259,COUNTIF($AO$10:$AO166,$AM$11:$AM$259),""),0)),"")</f>
        <v/>
      </c>
      <c r="AP167" s="107" t="str">
        <f t="array" ref="AP167">IFERROR(INDEX($AM$11:$AM$259,MATCH(0,IF(TRUE=$AK$11:$AK$259,COUNTIF($AP$10:$AP166,$AM$11:$AM$259),""),0)),"")</f>
        <v/>
      </c>
      <c r="AQ167" s="107" t="str">
        <f t="array" ref="AQ167">IFERROR(INDEX($AM$11:$AM$259,MATCH(0,IF(TRUE=$AL$11:$AL$259,COUNTIF($AQ$10:$AQ166,$AM$11:$AM$259),""),0)),"")</f>
        <v/>
      </c>
      <c r="AS167" s="885" t="str">
        <f>IF(AND(OR(AB167="Yes",AB167="Pending"),P167='G-1 All Habitats'!$X$3),T167-X167-Y167,"0")</f>
        <v>0</v>
      </c>
      <c r="AT167" s="30" t="str">
        <f t="shared" si="19"/>
        <v/>
      </c>
      <c r="AU167" s="30">
        <f t="shared" si="24"/>
        <v>0</v>
      </c>
      <c r="AV167" s="230" t="str">
        <f>IFERROR(INDEX('G-1 All Habitats'!$B$3:$B$135,MATCH(F167,'G-1 All Habitats'!$A$3:$A$135,0)),"")</f>
        <v/>
      </c>
      <c r="AW167" s="30" t="str">
        <f>IF(AV167="","",VLOOKUP(AV167,'G-1 All Habitats'!$B$1:$T$135,19,FALSE))</f>
        <v/>
      </c>
      <c r="AY167" s="287" t="str">
        <f t="shared" si="25"/>
        <v/>
      </c>
    </row>
    <row r="168" spans="1:51" ht="14">
      <c r="A168" s="30" t="str">
        <f>IFERROR(INDEX('G-1 All Habitats'!$AG$3:$AG$17,MATCH(E168,'G-1 All Habitats'!$AF$3:$AF$17,0)),"")</f>
        <v/>
      </c>
      <c r="B168" s="30" t="str">
        <f>IFERROR(INDEX('G-8 Condition Look up'!$I$4:$I$135,MATCH(AV168,'G-8 Condition Look up'!$A$4:$A$135,0)),"")</f>
        <v/>
      </c>
      <c r="D168" s="97">
        <v>158</v>
      </c>
      <c r="E168" s="262"/>
      <c r="F168" s="263"/>
      <c r="G168" s="133"/>
      <c r="H168" s="115"/>
      <c r="I168" s="509" t="str">
        <f>IF(AV168="","",IF(AND(AW168="Yes",G168="No"),"Irreplaceable habitat ▲",IF(AND(AW168="No",G168="Yes"),"Cannot be Irreplaceable ▲",VLOOKUP(AV168,'G-1 All Habitats'!$B$2:$M$135,10,FALSE))))</f>
        <v/>
      </c>
      <c r="J168" s="377" t="str">
        <f>IFERROR(VLOOKUP(I168,'G-1 All Habitats'!$V$3:$W$7,2,FALSE),"")</f>
        <v/>
      </c>
      <c r="K168" s="101"/>
      <c r="L168" s="276" t="str">
        <f>IFERROR(INDEX('G-8 Condition Look up'!$A$3:$H$135,MATCH(AV168,'G-8 Condition Look up'!$A$3:$A$135,0),MATCH(K168,'G-8 Condition Look up'!$A$3:$H$3,0)),"")</f>
        <v/>
      </c>
      <c r="M168" s="105"/>
      <c r="N168" s="295" t="str">
        <f>IF(M168="","",IF(VLOOKUP(M168,'G-3 Multipliers'!$L$3:$N$6,2,FALSE)=0,"Spatial Data Missing ⚠",VLOOKUP(M168,'G-3 Multipliers'!$L$3:$N$6,2,FALSE)))</f>
        <v/>
      </c>
      <c r="O168" s="353" t="str">
        <f>IF(M168="","",IF(VLOOKUP(M168,'G-3 Multipliers'!$L$3:$N$6,3,FALSE)=0,"Spatial Data Missing ⚠",VLOOKUP(M168,'G-3 Multipliers'!$L$3:$N$6,3,FALSE)))</f>
        <v/>
      </c>
      <c r="P168" s="336" t="str">
        <f>(IF(G168="Yes","Bespoke compensation likely to be required",(IFERROR(VLOOKUP(AV168,'G-1 All Habitats'!$B$2:$M$135,12,FALSE),""))))</f>
        <v/>
      </c>
      <c r="Q168" s="511" t="str">
        <f>IFERROR(IF(P168="","",IF(AND(E168="Individual trees",W168&gt;0,G168="Yes"),"Error - you cannot enhance irreplaceable individual trees ▲",IF(P168='G-1 All Habitats'!$X$9,T168*S168,IF(AND(P168='G-1 All Habitats'!$X$9,W168&gt;0),X168+(Y168*S168),IF(AND(P168='G-1 All Habitats'!$X$9,V168&gt;0),X168+(Y168*S168),IF(AND(P168='G-1 All Habitats'!$X$9,AG168&gt;0),"Any Loss Unacceptable  ⚠",IF(AND(P168='G-1 All Habitats'!$X$9,Z168&gt;0),"Any Loss Unacceptable ⚠",H168*J168*L168*O168*S168))))))),"Check Data ⚠")</f>
        <v/>
      </c>
      <c r="R168" s="393"/>
      <c r="S168" s="510" t="str">
        <f>IF(R168="","",IF(VLOOKUP(R168,'G-3 Multipliers'!$S$3:$T$10,2,FALSE)=0,"Spatial Data Missing ⚠",VLOOKUP(R168,'G-3 Multipliers'!$S$3:$T$10,2,FALSE)))</f>
        <v/>
      </c>
      <c r="T168" s="289" t="str">
        <f>IFERROR(IF(AND(F168&lt;&gt;"",G168=""),"Confirm irreplaceable habitat status ▲",(IF(AND(R168&lt;&gt;"",AF168=""),"Off-site reference required ▲",(IF(AND(E168="Individual trees",W168&gt;0,G168="Yes"),"Error - you cannot enhance irreplaceable individual trees ▲",(IF(AND(X168="Irreplaceable habitat - no units generated ⚠",(W168+V168)&lt;H168,OR(AB168="No",AB168="")),"Any Loss Unacceptable ⚠",(IF(X168="Irreplaceable habitat - no units generated ⚠",W168*J168*L168*O168,IF(AND(P168='G-1 All Habitats'!$X$9,AH168&gt;0,V168&lt;=0,W168&lt;=0,OR(AB168="No",AB168="")),"Any Loss Unacceptable ⚠",IF(AND(P168='G-1 All Habitats'!$X$9,AH168&gt;0,V168&lt;=0,W168&lt;=0),0,(IF(AND(P168='G-1 All Habitats'!$X$9,(W168+V168)&lt;H168,OR(AB168="No",AB168="")),"Any Loss Unacceptable ⚠",(IF(P168="","",IF(AND(P168='G-1 All Habitats'!$X$9,W168&gt;0),X168+Y168,IF(AND(P168='G-1 All Habitats'!$X$9,V168&gt;0),X168+Y168,IF(R168="","",H168*J168*L168*O168)))))))))))))))))),"Check Data ▲")</f>
        <v/>
      </c>
      <c r="U168" s="38"/>
      <c r="V168" s="52"/>
      <c r="W168" s="53"/>
      <c r="X168" s="287" t="str">
        <f t="shared" si="20"/>
        <v/>
      </c>
      <c r="Y168" s="287" t="str">
        <f t="shared" si="21"/>
        <v/>
      </c>
      <c r="Z168" s="287" t="str">
        <f t="shared" si="22"/>
        <v/>
      </c>
      <c r="AA168" s="317" t="str">
        <f>IFERROR(IF(AND(E168="Individual trees",G168="Yes",W168&gt;0),"Error - you cannot enhance an irreplaceable tree ▲",(IF(H168="","",IF(H168-V168-W168=0&lt;0,"Error in Areas ▲",IF(V168+W168&gt;H168,"Error in Areas ▲",IF(AND(P168='G-1 All Habitats'!$X$9,AB168="Yes"),"Alternative Compensation ✓",IF(AND(P168='G-1 All Habitats'!$X$3,AB168="Yes"),"Alternative Compensation ✓",IF(AND(AB168="Pending",P168='G-1 All Habitats'!$X$3),"Bespoke compensation must be agreed ▲",IF(AND(AB168="Pending",P168='G-1 All Habitats'!$X$9),"Bespoke compensation must be agreed  ▲",IF(Z168=0,0,IF(P168='G-1 All Habitats'!$X$9,"Any Loss Unacceptable ▲",T168-X168-Y168))))))))))),"Check Data ⚠")</f>
        <v/>
      </c>
      <c r="AB168" s="587"/>
      <c r="AC168" s="105"/>
      <c r="AD168" s="138"/>
      <c r="AE168" s="104"/>
      <c r="AF168" s="611"/>
      <c r="AG168" s="523" t="str">
        <f>IF(OR(P168="",AB168="Yes"),"",IF(P168='G-1 All Habitats'!$X$9,H168-V168-W168,"None"))</f>
        <v/>
      </c>
      <c r="AH168" s="523" t="str">
        <f>IF(P168="","",IF(P168='G-1 All Habitats'!$X$9,AG168*J168*L168*O168,"None"))</f>
        <v/>
      </c>
      <c r="AJ168" s="107" t="str">
        <f t="shared" si="23"/>
        <v/>
      </c>
      <c r="AK168" s="107" t="str">
        <f t="shared" si="18"/>
        <v/>
      </c>
      <c r="AL168" s="107" t="str">
        <f>IF(I168="","",IF(#REF!&gt;0,TRUE,FALSE))</f>
        <v/>
      </c>
      <c r="AM168" s="107">
        <v>158</v>
      </c>
      <c r="AN168" s="107"/>
      <c r="AO168" s="107" t="str">
        <f t="array" ref="AO168">IFERROR(INDEX($AM$11:$AM$259,MATCH(0,IF(TRUE=$AJ$11:$AJ$259,COUNTIF($AO$10:$AO167,$AM$11:$AM$259),""),0)),"")</f>
        <v/>
      </c>
      <c r="AP168" s="107" t="str">
        <f t="array" ref="AP168">IFERROR(INDEX($AM$11:$AM$259,MATCH(0,IF(TRUE=$AK$11:$AK$259,COUNTIF($AP$10:$AP167,$AM$11:$AM$259),""),0)),"")</f>
        <v/>
      </c>
      <c r="AQ168" s="107" t="str">
        <f t="array" ref="AQ168">IFERROR(INDEX($AM$11:$AM$259,MATCH(0,IF(TRUE=$AL$11:$AL$259,COUNTIF($AQ$10:$AQ167,$AM$11:$AM$259),""),0)),"")</f>
        <v/>
      </c>
      <c r="AS168" s="885" t="str">
        <f>IF(AND(OR(AB168="Yes",AB168="Pending"),P168='G-1 All Habitats'!$X$3),T168-X168-Y168,"0")</f>
        <v>0</v>
      </c>
      <c r="AT168" s="30" t="str">
        <f t="shared" si="19"/>
        <v/>
      </c>
      <c r="AU168" s="30">
        <f t="shared" si="24"/>
        <v>0</v>
      </c>
      <c r="AV168" s="230" t="str">
        <f>IFERROR(INDEX('G-1 All Habitats'!$B$3:$B$135,MATCH(F168,'G-1 All Habitats'!$A$3:$A$135,0)),"")</f>
        <v/>
      </c>
      <c r="AW168" s="30" t="str">
        <f>IF(AV168="","",VLOOKUP(AV168,'G-1 All Habitats'!$B$1:$T$135,19,FALSE))</f>
        <v/>
      </c>
      <c r="AY168" s="287" t="str">
        <f t="shared" si="25"/>
        <v/>
      </c>
    </row>
    <row r="169" spans="1:51" ht="14">
      <c r="A169" s="30" t="str">
        <f>IFERROR(INDEX('G-1 All Habitats'!$AG$3:$AG$17,MATCH(E169,'G-1 All Habitats'!$AF$3:$AF$17,0)),"")</f>
        <v/>
      </c>
      <c r="B169" s="30" t="str">
        <f>IFERROR(INDEX('G-8 Condition Look up'!$I$4:$I$135,MATCH(AV169,'G-8 Condition Look up'!$A$4:$A$135,0)),"")</f>
        <v/>
      </c>
      <c r="D169" s="97">
        <v>159</v>
      </c>
      <c r="E169" s="262"/>
      <c r="F169" s="263"/>
      <c r="G169" s="133"/>
      <c r="H169" s="115"/>
      <c r="I169" s="509" t="str">
        <f>IF(AV169="","",IF(AND(AW169="Yes",G169="No"),"Irreplaceable habitat ▲",IF(AND(AW169="No",G169="Yes"),"Cannot be Irreplaceable ▲",VLOOKUP(AV169,'G-1 All Habitats'!$B$2:$M$135,10,FALSE))))</f>
        <v/>
      </c>
      <c r="J169" s="377" t="str">
        <f>IFERROR(VLOOKUP(I169,'G-1 All Habitats'!$V$3:$W$7,2,FALSE),"")</f>
        <v/>
      </c>
      <c r="K169" s="101"/>
      <c r="L169" s="276" t="str">
        <f>IFERROR(INDEX('G-8 Condition Look up'!$A$3:$H$135,MATCH(AV169,'G-8 Condition Look up'!$A$3:$A$135,0),MATCH(K169,'G-8 Condition Look up'!$A$3:$H$3,0)),"")</f>
        <v/>
      </c>
      <c r="M169" s="105"/>
      <c r="N169" s="295" t="str">
        <f>IF(M169="","",IF(VLOOKUP(M169,'G-3 Multipliers'!$L$3:$N$6,2,FALSE)=0,"Spatial Data Missing ⚠",VLOOKUP(M169,'G-3 Multipliers'!$L$3:$N$6,2,FALSE)))</f>
        <v/>
      </c>
      <c r="O169" s="353" t="str">
        <f>IF(M169="","",IF(VLOOKUP(M169,'G-3 Multipliers'!$L$3:$N$6,3,FALSE)=0,"Spatial Data Missing ⚠",VLOOKUP(M169,'G-3 Multipliers'!$L$3:$N$6,3,FALSE)))</f>
        <v/>
      </c>
      <c r="P169" s="336" t="str">
        <f>(IF(G169="Yes","Bespoke compensation likely to be required",(IFERROR(VLOOKUP(AV169,'G-1 All Habitats'!$B$2:$M$135,12,FALSE),""))))</f>
        <v/>
      </c>
      <c r="Q169" s="511" t="str">
        <f>IFERROR(IF(P169="","",IF(AND(E169="Individual trees",W169&gt;0,G169="Yes"),"Error - you cannot enhance irreplaceable individual trees ▲",IF(P169='G-1 All Habitats'!$X$9,T169*S169,IF(AND(P169='G-1 All Habitats'!$X$9,W169&gt;0),X169+(Y169*S169),IF(AND(P169='G-1 All Habitats'!$X$9,V169&gt;0),X169+(Y169*S169),IF(AND(P169='G-1 All Habitats'!$X$9,AG169&gt;0),"Any Loss Unacceptable  ⚠",IF(AND(P169='G-1 All Habitats'!$X$9,Z169&gt;0),"Any Loss Unacceptable ⚠",H169*J169*L169*O169*S169))))))),"Check Data ⚠")</f>
        <v/>
      </c>
      <c r="R169" s="393"/>
      <c r="S169" s="510" t="str">
        <f>IF(R169="","",IF(VLOOKUP(R169,'G-3 Multipliers'!$S$3:$T$10,2,FALSE)=0,"Spatial Data Missing ⚠",VLOOKUP(R169,'G-3 Multipliers'!$S$3:$T$10,2,FALSE)))</f>
        <v/>
      </c>
      <c r="T169" s="289" t="str">
        <f>IFERROR(IF(AND(F169&lt;&gt;"",G169=""),"Confirm irreplaceable habitat status ▲",(IF(AND(R169&lt;&gt;"",AF169=""),"Off-site reference required ▲",(IF(AND(E169="Individual trees",W169&gt;0,G169="Yes"),"Error - you cannot enhance irreplaceable individual trees ▲",(IF(AND(X169="Irreplaceable habitat - no units generated ⚠",(W169+V169)&lt;H169,OR(AB169="No",AB169="")),"Any Loss Unacceptable ⚠",(IF(X169="Irreplaceable habitat - no units generated ⚠",W169*J169*L169*O169,IF(AND(P169='G-1 All Habitats'!$X$9,AH169&gt;0,V169&lt;=0,W169&lt;=0,OR(AB169="No",AB169="")),"Any Loss Unacceptable ⚠",IF(AND(P169='G-1 All Habitats'!$X$9,AH169&gt;0,V169&lt;=0,W169&lt;=0),0,(IF(AND(P169='G-1 All Habitats'!$X$9,(W169+V169)&lt;H169,OR(AB169="No",AB169="")),"Any Loss Unacceptable ⚠",(IF(P169="","",IF(AND(P169='G-1 All Habitats'!$X$9,W169&gt;0),X169+Y169,IF(AND(P169='G-1 All Habitats'!$X$9,V169&gt;0),X169+Y169,IF(R169="","",H169*J169*L169*O169)))))))))))))))))),"Check Data ▲")</f>
        <v/>
      </c>
      <c r="U169" s="38"/>
      <c r="V169" s="52"/>
      <c r="W169" s="53"/>
      <c r="X169" s="287" t="str">
        <f t="shared" si="20"/>
        <v/>
      </c>
      <c r="Y169" s="287" t="str">
        <f t="shared" si="21"/>
        <v/>
      </c>
      <c r="Z169" s="287" t="str">
        <f t="shared" si="22"/>
        <v/>
      </c>
      <c r="AA169" s="317" t="str">
        <f>IFERROR(IF(AND(E169="Individual trees",G169="Yes",W169&gt;0),"Error - you cannot enhance an irreplaceable tree ▲",(IF(H169="","",IF(H169-V169-W169=0&lt;0,"Error in Areas ▲",IF(V169+W169&gt;H169,"Error in Areas ▲",IF(AND(P169='G-1 All Habitats'!$X$9,AB169="Yes"),"Alternative Compensation ✓",IF(AND(P169='G-1 All Habitats'!$X$3,AB169="Yes"),"Alternative Compensation ✓",IF(AND(AB169="Pending",P169='G-1 All Habitats'!$X$3),"Bespoke compensation must be agreed ▲",IF(AND(AB169="Pending",P169='G-1 All Habitats'!$X$9),"Bespoke compensation must be agreed  ▲",IF(Z169=0,0,IF(P169='G-1 All Habitats'!$X$9,"Any Loss Unacceptable ▲",T169-X169-Y169))))))))))),"Check Data ⚠")</f>
        <v/>
      </c>
      <c r="AB169" s="587"/>
      <c r="AC169" s="105"/>
      <c r="AD169" s="138"/>
      <c r="AE169" s="104"/>
      <c r="AF169" s="611"/>
      <c r="AG169" s="523" t="str">
        <f>IF(OR(P169="",AB169="Yes"),"",IF(P169='G-1 All Habitats'!$X$9,H169-V169-W169,"None"))</f>
        <v/>
      </c>
      <c r="AH169" s="523" t="str">
        <f>IF(P169="","",IF(P169='G-1 All Habitats'!$X$9,AG169*J169*L169*O169,"None"))</f>
        <v/>
      </c>
      <c r="AJ169" s="107" t="str">
        <f t="shared" si="23"/>
        <v/>
      </c>
      <c r="AK169" s="107" t="str">
        <f t="shared" si="18"/>
        <v/>
      </c>
      <c r="AL169" s="107" t="str">
        <f>IF(I169="","",IF(#REF!&gt;0,TRUE,FALSE))</f>
        <v/>
      </c>
      <c r="AM169" s="107">
        <v>159</v>
      </c>
      <c r="AN169" s="107"/>
      <c r="AO169" s="107" t="str">
        <f t="array" ref="AO169">IFERROR(INDEX($AM$11:$AM$259,MATCH(0,IF(TRUE=$AJ$11:$AJ$259,COUNTIF($AO$10:$AO168,$AM$11:$AM$259),""),0)),"")</f>
        <v/>
      </c>
      <c r="AP169" s="107" t="str">
        <f t="array" ref="AP169">IFERROR(INDEX($AM$11:$AM$259,MATCH(0,IF(TRUE=$AK$11:$AK$259,COUNTIF($AP$10:$AP168,$AM$11:$AM$259),""),0)),"")</f>
        <v/>
      </c>
      <c r="AQ169" s="107" t="str">
        <f t="array" ref="AQ169">IFERROR(INDEX($AM$11:$AM$259,MATCH(0,IF(TRUE=$AL$11:$AL$259,COUNTIF($AQ$10:$AQ168,$AM$11:$AM$259),""),0)),"")</f>
        <v/>
      </c>
      <c r="AS169" s="885" t="str">
        <f>IF(AND(OR(AB169="Yes",AB169="Pending"),P169='G-1 All Habitats'!$X$3),T169-X169-Y169,"0")</f>
        <v>0</v>
      </c>
      <c r="AT169" s="30" t="str">
        <f t="shared" si="19"/>
        <v/>
      </c>
      <c r="AU169" s="30">
        <f t="shared" si="24"/>
        <v>0</v>
      </c>
      <c r="AV169" s="230" t="str">
        <f>IFERROR(INDEX('G-1 All Habitats'!$B$3:$B$135,MATCH(F169,'G-1 All Habitats'!$A$3:$A$135,0)),"")</f>
        <v/>
      </c>
      <c r="AW169" s="30" t="str">
        <f>IF(AV169="","",VLOOKUP(AV169,'G-1 All Habitats'!$B$1:$T$135,19,FALSE))</f>
        <v/>
      </c>
      <c r="AY169" s="287" t="str">
        <f t="shared" si="25"/>
        <v/>
      </c>
    </row>
    <row r="170" spans="1:51" ht="14">
      <c r="A170" s="30" t="str">
        <f>IFERROR(INDEX('G-1 All Habitats'!$AG$3:$AG$17,MATCH(E170,'G-1 All Habitats'!$AF$3:$AF$17,0)),"")</f>
        <v/>
      </c>
      <c r="B170" s="30" t="str">
        <f>IFERROR(INDEX('G-8 Condition Look up'!$I$4:$I$135,MATCH(AV170,'G-8 Condition Look up'!$A$4:$A$135,0)),"")</f>
        <v/>
      </c>
      <c r="D170" s="97">
        <v>160</v>
      </c>
      <c r="E170" s="262"/>
      <c r="F170" s="263"/>
      <c r="G170" s="133"/>
      <c r="H170" s="115"/>
      <c r="I170" s="509" t="str">
        <f>IF(AV170="","",IF(AND(AW170="Yes",G170="No"),"Irreplaceable habitat ▲",IF(AND(AW170="No",G170="Yes"),"Cannot be Irreplaceable ▲",VLOOKUP(AV170,'G-1 All Habitats'!$B$2:$M$135,10,FALSE))))</f>
        <v/>
      </c>
      <c r="J170" s="377" t="str">
        <f>IFERROR(VLOOKUP(I170,'G-1 All Habitats'!$V$3:$W$7,2,FALSE),"")</f>
        <v/>
      </c>
      <c r="K170" s="101"/>
      <c r="L170" s="276" t="str">
        <f>IFERROR(INDEX('G-8 Condition Look up'!$A$3:$H$135,MATCH(AV170,'G-8 Condition Look up'!$A$3:$A$135,0),MATCH(K170,'G-8 Condition Look up'!$A$3:$H$3,0)),"")</f>
        <v/>
      </c>
      <c r="M170" s="105"/>
      <c r="N170" s="295" t="str">
        <f>IF(M170="","",IF(VLOOKUP(M170,'G-3 Multipliers'!$L$3:$N$6,2,FALSE)=0,"Spatial Data Missing ⚠",VLOOKUP(M170,'G-3 Multipliers'!$L$3:$N$6,2,FALSE)))</f>
        <v/>
      </c>
      <c r="O170" s="353" t="str">
        <f>IF(M170="","",IF(VLOOKUP(M170,'G-3 Multipliers'!$L$3:$N$6,3,FALSE)=0,"Spatial Data Missing ⚠",VLOOKUP(M170,'G-3 Multipliers'!$L$3:$N$6,3,FALSE)))</f>
        <v/>
      </c>
      <c r="P170" s="336" t="str">
        <f>(IF(G170="Yes","Bespoke compensation likely to be required",(IFERROR(VLOOKUP(AV170,'G-1 All Habitats'!$B$2:$M$135,12,FALSE),""))))</f>
        <v/>
      </c>
      <c r="Q170" s="511" t="str">
        <f>IFERROR(IF(P170="","",IF(AND(E170="Individual trees",W170&gt;0,G170="Yes"),"Error - you cannot enhance irreplaceable individual trees ▲",IF(P170='G-1 All Habitats'!$X$9,T170*S170,IF(AND(P170='G-1 All Habitats'!$X$9,W170&gt;0),X170+(Y170*S170),IF(AND(P170='G-1 All Habitats'!$X$9,V170&gt;0),X170+(Y170*S170),IF(AND(P170='G-1 All Habitats'!$X$9,AG170&gt;0),"Any Loss Unacceptable  ⚠",IF(AND(P170='G-1 All Habitats'!$X$9,Z170&gt;0),"Any Loss Unacceptable ⚠",H170*J170*L170*O170*S170))))))),"Check Data ⚠")</f>
        <v/>
      </c>
      <c r="R170" s="393"/>
      <c r="S170" s="510" t="str">
        <f>IF(R170="","",IF(VLOOKUP(R170,'G-3 Multipliers'!$S$3:$T$10,2,FALSE)=0,"Spatial Data Missing ⚠",VLOOKUP(R170,'G-3 Multipliers'!$S$3:$T$10,2,FALSE)))</f>
        <v/>
      </c>
      <c r="T170" s="289" t="str">
        <f>IFERROR(IF(AND(F170&lt;&gt;"",G170=""),"Confirm irreplaceable habitat status ▲",(IF(AND(R170&lt;&gt;"",AF170=""),"Off-site reference required ▲",(IF(AND(E170="Individual trees",W170&gt;0,G170="Yes"),"Error - you cannot enhance irreplaceable individual trees ▲",(IF(AND(X170="Irreplaceable habitat - no units generated ⚠",(W170+V170)&lt;H170,OR(AB170="No",AB170="")),"Any Loss Unacceptable ⚠",(IF(X170="Irreplaceable habitat - no units generated ⚠",W170*J170*L170*O170,IF(AND(P170='G-1 All Habitats'!$X$9,AH170&gt;0,V170&lt;=0,W170&lt;=0,OR(AB170="No",AB170="")),"Any Loss Unacceptable ⚠",IF(AND(P170='G-1 All Habitats'!$X$9,AH170&gt;0,V170&lt;=0,W170&lt;=0),0,(IF(AND(P170='G-1 All Habitats'!$X$9,(W170+V170)&lt;H170,OR(AB170="No",AB170="")),"Any Loss Unacceptable ⚠",(IF(P170="","",IF(AND(P170='G-1 All Habitats'!$X$9,W170&gt;0),X170+Y170,IF(AND(P170='G-1 All Habitats'!$X$9,V170&gt;0),X170+Y170,IF(R170="","",H170*J170*L170*O170)))))))))))))))))),"Check Data ▲")</f>
        <v/>
      </c>
      <c r="U170" s="38"/>
      <c r="V170" s="52"/>
      <c r="W170" s="53"/>
      <c r="X170" s="287" t="str">
        <f t="shared" si="20"/>
        <v/>
      </c>
      <c r="Y170" s="287" t="str">
        <f t="shared" si="21"/>
        <v/>
      </c>
      <c r="Z170" s="287" t="str">
        <f t="shared" si="22"/>
        <v/>
      </c>
      <c r="AA170" s="317" t="str">
        <f>IFERROR(IF(AND(E170="Individual trees",G170="Yes",W170&gt;0),"Error - you cannot enhance an irreplaceable tree ▲",(IF(H170="","",IF(H170-V170-W170=0&lt;0,"Error in Areas ▲",IF(V170+W170&gt;H170,"Error in Areas ▲",IF(AND(P170='G-1 All Habitats'!$X$9,AB170="Yes"),"Alternative Compensation ✓",IF(AND(P170='G-1 All Habitats'!$X$3,AB170="Yes"),"Alternative Compensation ✓",IF(AND(AB170="Pending",P170='G-1 All Habitats'!$X$3),"Bespoke compensation must be agreed ▲",IF(AND(AB170="Pending",P170='G-1 All Habitats'!$X$9),"Bespoke compensation must be agreed  ▲",IF(Z170=0,0,IF(P170='G-1 All Habitats'!$X$9,"Any Loss Unacceptable ▲",T170-X170-Y170))))))))))),"Check Data ⚠")</f>
        <v/>
      </c>
      <c r="AB170" s="587"/>
      <c r="AC170" s="105"/>
      <c r="AD170" s="138"/>
      <c r="AE170" s="104"/>
      <c r="AF170" s="611"/>
      <c r="AG170" s="523" t="str">
        <f>IF(OR(P170="",AB170="Yes"),"",IF(P170='G-1 All Habitats'!$X$9,H170-V170-W170,"None"))</f>
        <v/>
      </c>
      <c r="AH170" s="523" t="str">
        <f>IF(P170="","",IF(P170='G-1 All Habitats'!$X$9,AG170*J170*L170*O170,"None"))</f>
        <v/>
      </c>
      <c r="AJ170" s="107" t="str">
        <f t="shared" si="23"/>
        <v/>
      </c>
      <c r="AK170" s="107" t="str">
        <f t="shared" si="18"/>
        <v/>
      </c>
      <c r="AL170" s="107" t="str">
        <f>IF(I170="","",IF(#REF!&gt;0,TRUE,FALSE))</f>
        <v/>
      </c>
      <c r="AM170" s="107">
        <v>160</v>
      </c>
      <c r="AN170" s="107"/>
      <c r="AO170" s="107" t="str">
        <f t="array" ref="AO170">IFERROR(INDEX($AM$11:$AM$259,MATCH(0,IF(TRUE=$AJ$11:$AJ$259,COUNTIF($AO$10:$AO169,$AM$11:$AM$259),""),0)),"")</f>
        <v/>
      </c>
      <c r="AP170" s="107" t="str">
        <f t="array" ref="AP170">IFERROR(INDEX($AM$11:$AM$259,MATCH(0,IF(TRUE=$AK$11:$AK$259,COUNTIF($AP$10:$AP169,$AM$11:$AM$259),""),0)),"")</f>
        <v/>
      </c>
      <c r="AQ170" s="107" t="str">
        <f t="array" ref="AQ170">IFERROR(INDEX($AM$11:$AM$259,MATCH(0,IF(TRUE=$AL$11:$AL$259,COUNTIF($AQ$10:$AQ169,$AM$11:$AM$259),""),0)),"")</f>
        <v/>
      </c>
      <c r="AS170" s="885" t="str">
        <f>IF(AND(OR(AB170="Yes",AB170="Pending"),P170='G-1 All Habitats'!$X$3),T170-X170-Y170,"0")</f>
        <v>0</v>
      </c>
      <c r="AT170" s="30" t="str">
        <f t="shared" si="19"/>
        <v/>
      </c>
      <c r="AU170" s="30">
        <f t="shared" si="24"/>
        <v>0</v>
      </c>
      <c r="AV170" s="230" t="str">
        <f>IFERROR(INDEX('G-1 All Habitats'!$B$3:$B$135,MATCH(F170,'G-1 All Habitats'!$A$3:$A$135,0)),"")</f>
        <v/>
      </c>
      <c r="AW170" s="30" t="str">
        <f>IF(AV170="","",VLOOKUP(AV170,'G-1 All Habitats'!$B$1:$T$135,19,FALSE))</f>
        <v/>
      </c>
      <c r="AY170" s="287" t="str">
        <f t="shared" si="25"/>
        <v/>
      </c>
    </row>
    <row r="171" spans="1:51" ht="14">
      <c r="A171" s="30" t="str">
        <f>IFERROR(INDEX('G-1 All Habitats'!$AG$3:$AG$17,MATCH(E171,'G-1 All Habitats'!$AF$3:$AF$17,0)),"")</f>
        <v/>
      </c>
      <c r="B171" s="30" t="str">
        <f>IFERROR(INDEX('G-8 Condition Look up'!$I$4:$I$135,MATCH(AV171,'G-8 Condition Look up'!$A$4:$A$135,0)),"")</f>
        <v/>
      </c>
      <c r="D171" s="97">
        <v>161</v>
      </c>
      <c r="E171" s="262"/>
      <c r="F171" s="263"/>
      <c r="G171" s="133"/>
      <c r="H171" s="115"/>
      <c r="I171" s="509" t="str">
        <f>IF(AV171="","",IF(AND(AW171="Yes",G171="No"),"Irreplaceable habitat ▲",IF(AND(AW171="No",G171="Yes"),"Cannot be Irreplaceable ▲",VLOOKUP(AV171,'G-1 All Habitats'!$B$2:$M$135,10,FALSE))))</f>
        <v/>
      </c>
      <c r="J171" s="377" t="str">
        <f>IFERROR(VLOOKUP(I171,'G-1 All Habitats'!$V$3:$W$7,2,FALSE),"")</f>
        <v/>
      </c>
      <c r="K171" s="101"/>
      <c r="L171" s="276" t="str">
        <f>IFERROR(INDEX('G-8 Condition Look up'!$A$3:$H$135,MATCH(AV171,'G-8 Condition Look up'!$A$3:$A$135,0),MATCH(K171,'G-8 Condition Look up'!$A$3:$H$3,0)),"")</f>
        <v/>
      </c>
      <c r="M171" s="105"/>
      <c r="N171" s="295" t="str">
        <f>IF(M171="","",IF(VLOOKUP(M171,'G-3 Multipliers'!$L$3:$N$6,2,FALSE)=0,"Spatial Data Missing ⚠",VLOOKUP(M171,'G-3 Multipliers'!$L$3:$N$6,2,FALSE)))</f>
        <v/>
      </c>
      <c r="O171" s="353" t="str">
        <f>IF(M171="","",IF(VLOOKUP(M171,'G-3 Multipliers'!$L$3:$N$6,3,FALSE)=0,"Spatial Data Missing ⚠",VLOOKUP(M171,'G-3 Multipliers'!$L$3:$N$6,3,FALSE)))</f>
        <v/>
      </c>
      <c r="P171" s="336" t="str">
        <f>(IF(G171="Yes","Bespoke compensation likely to be required",(IFERROR(VLOOKUP(AV171,'G-1 All Habitats'!$B$2:$M$135,12,FALSE),""))))</f>
        <v/>
      </c>
      <c r="Q171" s="511" t="str">
        <f>IFERROR(IF(P171="","",IF(AND(E171="Individual trees",W171&gt;0,G171="Yes"),"Error - you cannot enhance irreplaceable individual trees ▲",IF(P171='G-1 All Habitats'!$X$9,T171*S171,IF(AND(P171='G-1 All Habitats'!$X$9,W171&gt;0),X171+(Y171*S171),IF(AND(P171='G-1 All Habitats'!$X$9,V171&gt;0),X171+(Y171*S171),IF(AND(P171='G-1 All Habitats'!$X$9,AG171&gt;0),"Any Loss Unacceptable  ⚠",IF(AND(P171='G-1 All Habitats'!$X$9,Z171&gt;0),"Any Loss Unacceptable ⚠",H171*J171*L171*O171*S171))))))),"Check Data ⚠")</f>
        <v/>
      </c>
      <c r="R171" s="393"/>
      <c r="S171" s="510" t="str">
        <f>IF(R171="","",IF(VLOOKUP(R171,'G-3 Multipliers'!$S$3:$T$10,2,FALSE)=0,"Spatial Data Missing ⚠",VLOOKUP(R171,'G-3 Multipliers'!$S$3:$T$10,2,FALSE)))</f>
        <v/>
      </c>
      <c r="T171" s="289" t="str">
        <f>IFERROR(IF(AND(F171&lt;&gt;"",G171=""),"Confirm irreplaceable habitat status ▲",(IF(AND(R171&lt;&gt;"",AF171=""),"Off-site reference required ▲",(IF(AND(E171="Individual trees",W171&gt;0,G171="Yes"),"Error - you cannot enhance irreplaceable individual trees ▲",(IF(AND(X171="Irreplaceable habitat - no units generated ⚠",(W171+V171)&lt;H171,OR(AB171="No",AB171="")),"Any Loss Unacceptable ⚠",(IF(X171="Irreplaceable habitat - no units generated ⚠",W171*J171*L171*O171,IF(AND(P171='G-1 All Habitats'!$X$9,AH171&gt;0,V171&lt;=0,W171&lt;=0,OR(AB171="No",AB171="")),"Any Loss Unacceptable ⚠",IF(AND(P171='G-1 All Habitats'!$X$9,AH171&gt;0,V171&lt;=0,W171&lt;=0),0,(IF(AND(P171='G-1 All Habitats'!$X$9,(W171+V171)&lt;H171,OR(AB171="No",AB171="")),"Any Loss Unacceptable ⚠",(IF(P171="","",IF(AND(P171='G-1 All Habitats'!$X$9,W171&gt;0),X171+Y171,IF(AND(P171='G-1 All Habitats'!$X$9,V171&gt;0),X171+Y171,IF(R171="","",H171*J171*L171*O171)))))))))))))))))),"Check Data ▲")</f>
        <v/>
      </c>
      <c r="U171" s="38"/>
      <c r="V171" s="52"/>
      <c r="W171" s="53"/>
      <c r="X171" s="287" t="str">
        <f t="shared" si="20"/>
        <v/>
      </c>
      <c r="Y171" s="287" t="str">
        <f t="shared" si="21"/>
        <v/>
      </c>
      <c r="Z171" s="287" t="str">
        <f t="shared" si="22"/>
        <v/>
      </c>
      <c r="AA171" s="317" t="str">
        <f>IFERROR(IF(AND(E171="Individual trees",G171="Yes",W171&gt;0),"Error - you cannot enhance an irreplaceable tree ▲",(IF(H171="","",IF(H171-V171-W171=0&lt;0,"Error in Areas ▲",IF(V171+W171&gt;H171,"Error in Areas ▲",IF(AND(P171='G-1 All Habitats'!$X$9,AB171="Yes"),"Alternative Compensation ✓",IF(AND(P171='G-1 All Habitats'!$X$3,AB171="Yes"),"Alternative Compensation ✓",IF(AND(AB171="Pending",P171='G-1 All Habitats'!$X$3),"Bespoke compensation must be agreed ▲",IF(AND(AB171="Pending",P171='G-1 All Habitats'!$X$9),"Bespoke compensation must be agreed  ▲",IF(Z171=0,0,IF(P171='G-1 All Habitats'!$X$9,"Any Loss Unacceptable ▲",T171-X171-Y171))))))))))),"Check Data ⚠")</f>
        <v/>
      </c>
      <c r="AB171" s="587"/>
      <c r="AC171" s="105"/>
      <c r="AD171" s="138"/>
      <c r="AE171" s="104"/>
      <c r="AF171" s="611"/>
      <c r="AG171" s="523" t="str">
        <f>IF(OR(P171="",AB171="Yes"),"",IF(P171='G-1 All Habitats'!$X$9,H171-V171-W171,"None"))</f>
        <v/>
      </c>
      <c r="AH171" s="523" t="str">
        <f>IF(P171="","",IF(P171='G-1 All Habitats'!$X$9,AG171*J171*L171*O171,"None"))</f>
        <v/>
      </c>
      <c r="AJ171" s="107" t="str">
        <f t="shared" si="23"/>
        <v/>
      </c>
      <c r="AK171" s="107" t="str">
        <f t="shared" si="26" ref="AK171:AK202">IF(H171="","",IF(W171&gt;0,TRUE,FALSE))</f>
        <v/>
      </c>
      <c r="AL171" s="107" t="str">
        <f>IF(I171="","",IF(#REF!&gt;0,TRUE,FALSE))</f>
        <v/>
      </c>
      <c r="AM171" s="107">
        <v>161</v>
      </c>
      <c r="AN171" s="107"/>
      <c r="AO171" s="107" t="str">
        <f t="array" ref="AO171">IFERROR(INDEX($AM$11:$AM$259,MATCH(0,IF(TRUE=$AJ$11:$AJ$259,COUNTIF($AO$10:$AO170,$AM$11:$AM$259),""),0)),"")</f>
        <v/>
      </c>
      <c r="AP171" s="107" t="str">
        <f t="array" ref="AP171">IFERROR(INDEX($AM$11:$AM$259,MATCH(0,IF(TRUE=$AK$11:$AK$259,COUNTIF($AP$10:$AP170,$AM$11:$AM$259),""),0)),"")</f>
        <v/>
      </c>
      <c r="AQ171" s="107" t="str">
        <f t="array" ref="AQ171">IFERROR(INDEX($AM$11:$AM$259,MATCH(0,IF(TRUE=$AL$11:$AL$259,COUNTIF($AQ$10:$AQ170,$AM$11:$AM$259),""),0)),"")</f>
        <v/>
      </c>
      <c r="AS171" s="885" t="str">
        <f>IF(AND(OR(AB171="Yes",AB171="Pending"),P171='G-1 All Habitats'!$X$3),T171-X171-Y171,"0")</f>
        <v>0</v>
      </c>
      <c r="AT171" s="30" t="str">
        <f t="shared" si="19"/>
        <v/>
      </c>
      <c r="AU171" s="30">
        <f t="shared" si="24"/>
        <v>0</v>
      </c>
      <c r="AV171" s="230" t="str">
        <f>IFERROR(INDEX('G-1 All Habitats'!$B$3:$B$135,MATCH(F171,'G-1 All Habitats'!$A$3:$A$135,0)),"")</f>
        <v/>
      </c>
      <c r="AW171" s="30" t="str">
        <f>IF(AV171="","",VLOOKUP(AV171,'G-1 All Habitats'!$B$1:$T$135,19,FALSE))</f>
        <v/>
      </c>
      <c r="AY171" s="287" t="str">
        <f t="shared" si="25"/>
        <v/>
      </c>
    </row>
    <row r="172" spans="1:51" ht="14">
      <c r="A172" s="30" t="str">
        <f>IFERROR(INDEX('G-1 All Habitats'!$AG$3:$AG$17,MATCH(E172,'G-1 All Habitats'!$AF$3:$AF$17,0)),"")</f>
        <v/>
      </c>
      <c r="B172" s="30" t="str">
        <f>IFERROR(INDEX('G-8 Condition Look up'!$I$4:$I$135,MATCH(AV172,'G-8 Condition Look up'!$A$4:$A$135,0)),"")</f>
        <v/>
      </c>
      <c r="D172" s="97">
        <v>162</v>
      </c>
      <c r="E172" s="262"/>
      <c r="F172" s="263"/>
      <c r="G172" s="133"/>
      <c r="H172" s="115"/>
      <c r="I172" s="509" t="str">
        <f>IF(AV172="","",IF(AND(AW172="Yes",G172="No"),"Irreplaceable habitat ▲",IF(AND(AW172="No",G172="Yes"),"Cannot be Irreplaceable ▲",VLOOKUP(AV172,'G-1 All Habitats'!$B$2:$M$135,10,FALSE))))</f>
        <v/>
      </c>
      <c r="J172" s="377" t="str">
        <f>IFERROR(VLOOKUP(I172,'G-1 All Habitats'!$V$3:$W$7,2,FALSE),"")</f>
        <v/>
      </c>
      <c r="K172" s="101"/>
      <c r="L172" s="276" t="str">
        <f>IFERROR(INDEX('G-8 Condition Look up'!$A$3:$H$135,MATCH(AV172,'G-8 Condition Look up'!$A$3:$A$135,0),MATCH(K172,'G-8 Condition Look up'!$A$3:$H$3,0)),"")</f>
        <v/>
      </c>
      <c r="M172" s="105"/>
      <c r="N172" s="295" t="str">
        <f>IF(M172="","",IF(VLOOKUP(M172,'G-3 Multipliers'!$L$3:$N$6,2,FALSE)=0,"Spatial Data Missing ⚠",VLOOKUP(M172,'G-3 Multipliers'!$L$3:$N$6,2,FALSE)))</f>
        <v/>
      </c>
      <c r="O172" s="353" t="str">
        <f>IF(M172="","",IF(VLOOKUP(M172,'G-3 Multipliers'!$L$3:$N$6,3,FALSE)=0,"Spatial Data Missing ⚠",VLOOKUP(M172,'G-3 Multipliers'!$L$3:$N$6,3,FALSE)))</f>
        <v/>
      </c>
      <c r="P172" s="336" t="str">
        <f>(IF(G172="Yes","Bespoke compensation likely to be required",(IFERROR(VLOOKUP(AV172,'G-1 All Habitats'!$B$2:$M$135,12,FALSE),""))))</f>
        <v/>
      </c>
      <c r="Q172" s="511" t="str">
        <f>IFERROR(IF(P172="","",IF(AND(E172="Individual trees",W172&gt;0,G172="Yes"),"Error - you cannot enhance irreplaceable individual trees ▲",IF(P172='G-1 All Habitats'!$X$9,T172*S172,IF(AND(P172='G-1 All Habitats'!$X$9,W172&gt;0),X172+(Y172*S172),IF(AND(P172='G-1 All Habitats'!$X$9,V172&gt;0),X172+(Y172*S172),IF(AND(P172='G-1 All Habitats'!$X$9,AG172&gt;0),"Any Loss Unacceptable  ⚠",IF(AND(P172='G-1 All Habitats'!$X$9,Z172&gt;0),"Any Loss Unacceptable ⚠",H172*J172*L172*O172*S172))))))),"Check Data ⚠")</f>
        <v/>
      </c>
      <c r="R172" s="393"/>
      <c r="S172" s="510" t="str">
        <f>IF(R172="","",IF(VLOOKUP(R172,'G-3 Multipliers'!$S$3:$T$10,2,FALSE)=0,"Spatial Data Missing ⚠",VLOOKUP(R172,'G-3 Multipliers'!$S$3:$T$10,2,FALSE)))</f>
        <v/>
      </c>
      <c r="T172" s="289" t="str">
        <f>IFERROR(IF(AND(F172&lt;&gt;"",G172=""),"Confirm irreplaceable habitat status ▲",(IF(AND(R172&lt;&gt;"",AF172=""),"Off-site reference required ▲",(IF(AND(E172="Individual trees",W172&gt;0,G172="Yes"),"Error - you cannot enhance irreplaceable individual trees ▲",(IF(AND(X172="Irreplaceable habitat - no units generated ⚠",(W172+V172)&lt;H172,OR(AB172="No",AB172="")),"Any Loss Unacceptable ⚠",(IF(X172="Irreplaceable habitat - no units generated ⚠",W172*J172*L172*O172,IF(AND(P172='G-1 All Habitats'!$X$9,AH172&gt;0,V172&lt;=0,W172&lt;=0,OR(AB172="No",AB172="")),"Any Loss Unacceptable ⚠",IF(AND(P172='G-1 All Habitats'!$X$9,AH172&gt;0,V172&lt;=0,W172&lt;=0),0,(IF(AND(P172='G-1 All Habitats'!$X$9,(W172+V172)&lt;H172,OR(AB172="No",AB172="")),"Any Loss Unacceptable ⚠",(IF(P172="","",IF(AND(P172='G-1 All Habitats'!$X$9,W172&gt;0),X172+Y172,IF(AND(P172='G-1 All Habitats'!$X$9,V172&gt;0),X172+Y172,IF(R172="","",H172*J172*L172*O172)))))))))))))))))),"Check Data ▲")</f>
        <v/>
      </c>
      <c r="U172" s="38"/>
      <c r="V172" s="52"/>
      <c r="W172" s="53"/>
      <c r="X172" s="287" t="str">
        <f t="shared" si="20"/>
        <v/>
      </c>
      <c r="Y172" s="287" t="str">
        <f t="shared" si="21"/>
        <v/>
      </c>
      <c r="Z172" s="287" t="str">
        <f t="shared" si="22"/>
        <v/>
      </c>
      <c r="AA172" s="317" t="str">
        <f>IFERROR(IF(AND(E172="Individual trees",G172="Yes",W172&gt;0),"Error - you cannot enhance an irreplaceable tree ▲",(IF(H172="","",IF(H172-V172-W172=0&lt;0,"Error in Areas ▲",IF(V172+W172&gt;H172,"Error in Areas ▲",IF(AND(P172='G-1 All Habitats'!$X$9,AB172="Yes"),"Alternative Compensation ✓",IF(AND(P172='G-1 All Habitats'!$X$3,AB172="Yes"),"Alternative Compensation ✓",IF(AND(AB172="Pending",P172='G-1 All Habitats'!$X$3),"Bespoke compensation must be agreed ▲",IF(AND(AB172="Pending",P172='G-1 All Habitats'!$X$9),"Bespoke compensation must be agreed  ▲",IF(Z172=0,0,IF(P172='G-1 All Habitats'!$X$9,"Any Loss Unacceptable ▲",T172-X172-Y172))))))))))),"Check Data ⚠")</f>
        <v/>
      </c>
      <c r="AB172" s="587"/>
      <c r="AC172" s="105"/>
      <c r="AD172" s="138"/>
      <c r="AE172" s="104"/>
      <c r="AF172" s="611"/>
      <c r="AG172" s="523" t="str">
        <f>IF(OR(P172="",AB172="Yes"),"",IF(P172='G-1 All Habitats'!$X$9,H172-V172-W172,"None"))</f>
        <v/>
      </c>
      <c r="AH172" s="523" t="str">
        <f>IF(P172="","",IF(P172='G-1 All Habitats'!$X$9,AG172*J172*L172*O172,"None"))</f>
        <v/>
      </c>
      <c r="AJ172" s="107" t="str">
        <f t="shared" si="23"/>
        <v/>
      </c>
      <c r="AK172" s="107" t="str">
        <f t="shared" si="26"/>
        <v/>
      </c>
      <c r="AL172" s="107" t="str">
        <f>IF(I172="","",IF(#REF!&gt;0,TRUE,FALSE))</f>
        <v/>
      </c>
      <c r="AM172" s="107">
        <v>162</v>
      </c>
      <c r="AN172" s="107"/>
      <c r="AO172" s="107" t="str">
        <f t="array" ref="AO172">IFERROR(INDEX($AM$11:$AM$259,MATCH(0,IF(TRUE=$AJ$11:$AJ$259,COUNTIF($AO$10:$AO171,$AM$11:$AM$259),""),0)),"")</f>
        <v/>
      </c>
      <c r="AP172" s="107" t="str">
        <f t="array" ref="AP172">IFERROR(INDEX($AM$11:$AM$259,MATCH(0,IF(TRUE=$AK$11:$AK$259,COUNTIF($AP$10:$AP171,$AM$11:$AM$259),""),0)),"")</f>
        <v/>
      </c>
      <c r="AQ172" s="107" t="str">
        <f t="array" ref="AQ172">IFERROR(INDEX($AM$11:$AM$259,MATCH(0,IF(TRUE=$AL$11:$AL$259,COUNTIF($AQ$10:$AQ171,$AM$11:$AM$259),""),0)),"")</f>
        <v/>
      </c>
      <c r="AS172" s="885" t="str">
        <f>IF(AND(OR(AB172="Yes",AB172="Pending"),P172='G-1 All Habitats'!$X$3),T172-X172-Y172,"0")</f>
        <v>0</v>
      </c>
      <c r="AT172" s="30" t="str">
        <f t="shared" si="19"/>
        <v/>
      </c>
      <c r="AU172" s="30">
        <f t="shared" si="24"/>
        <v>0</v>
      </c>
      <c r="AV172" s="230" t="str">
        <f>IFERROR(INDEX('G-1 All Habitats'!$B$3:$B$135,MATCH(F172,'G-1 All Habitats'!$A$3:$A$135,0)),"")</f>
        <v/>
      </c>
      <c r="AW172" s="30" t="str">
        <f>IF(AV172="","",VLOOKUP(AV172,'G-1 All Habitats'!$B$1:$T$135,19,FALSE))</f>
        <v/>
      </c>
      <c r="AY172" s="287" t="str">
        <f t="shared" si="25"/>
        <v/>
      </c>
    </row>
    <row r="173" spans="1:51" ht="14">
      <c r="A173" s="30" t="str">
        <f>IFERROR(INDEX('G-1 All Habitats'!$AG$3:$AG$17,MATCH(E173,'G-1 All Habitats'!$AF$3:$AF$17,0)),"")</f>
        <v/>
      </c>
      <c r="B173" s="30" t="str">
        <f>IFERROR(INDEX('G-8 Condition Look up'!$I$4:$I$135,MATCH(AV173,'G-8 Condition Look up'!$A$4:$A$135,0)),"")</f>
        <v/>
      </c>
      <c r="D173" s="97">
        <v>163</v>
      </c>
      <c r="E173" s="262"/>
      <c r="F173" s="263"/>
      <c r="G173" s="133"/>
      <c r="H173" s="115"/>
      <c r="I173" s="509" t="str">
        <f>IF(AV173="","",IF(AND(AW173="Yes",G173="No"),"Irreplaceable habitat ▲",IF(AND(AW173="No",G173="Yes"),"Cannot be Irreplaceable ▲",VLOOKUP(AV173,'G-1 All Habitats'!$B$2:$M$135,10,FALSE))))</f>
        <v/>
      </c>
      <c r="J173" s="377" t="str">
        <f>IFERROR(VLOOKUP(I173,'G-1 All Habitats'!$V$3:$W$7,2,FALSE),"")</f>
        <v/>
      </c>
      <c r="K173" s="101"/>
      <c r="L173" s="276" t="str">
        <f>IFERROR(INDEX('G-8 Condition Look up'!$A$3:$H$135,MATCH(AV173,'G-8 Condition Look up'!$A$3:$A$135,0),MATCH(K173,'G-8 Condition Look up'!$A$3:$H$3,0)),"")</f>
        <v/>
      </c>
      <c r="M173" s="105"/>
      <c r="N173" s="295" t="str">
        <f>IF(M173="","",IF(VLOOKUP(M173,'G-3 Multipliers'!$L$3:$N$6,2,FALSE)=0,"Spatial Data Missing ⚠",VLOOKUP(M173,'G-3 Multipliers'!$L$3:$N$6,2,FALSE)))</f>
        <v/>
      </c>
      <c r="O173" s="353" t="str">
        <f>IF(M173="","",IF(VLOOKUP(M173,'G-3 Multipliers'!$L$3:$N$6,3,FALSE)=0,"Spatial Data Missing ⚠",VLOOKUP(M173,'G-3 Multipliers'!$L$3:$N$6,3,FALSE)))</f>
        <v/>
      </c>
      <c r="P173" s="336" t="str">
        <f>(IF(G173="Yes","Bespoke compensation likely to be required",(IFERROR(VLOOKUP(AV173,'G-1 All Habitats'!$B$2:$M$135,12,FALSE),""))))</f>
        <v/>
      </c>
      <c r="Q173" s="511" t="str">
        <f>IFERROR(IF(P173="","",IF(AND(E173="Individual trees",W173&gt;0,G173="Yes"),"Error - you cannot enhance irreplaceable individual trees ▲",IF(P173='G-1 All Habitats'!$X$9,T173*S173,IF(AND(P173='G-1 All Habitats'!$X$9,W173&gt;0),X173+(Y173*S173),IF(AND(P173='G-1 All Habitats'!$X$9,V173&gt;0),X173+(Y173*S173),IF(AND(P173='G-1 All Habitats'!$X$9,AG173&gt;0),"Any Loss Unacceptable  ⚠",IF(AND(P173='G-1 All Habitats'!$X$9,Z173&gt;0),"Any Loss Unacceptable ⚠",H173*J173*L173*O173*S173))))))),"Check Data ⚠")</f>
        <v/>
      </c>
      <c r="R173" s="393"/>
      <c r="S173" s="510" t="str">
        <f>IF(R173="","",IF(VLOOKUP(R173,'G-3 Multipliers'!$S$3:$T$10,2,FALSE)=0,"Spatial Data Missing ⚠",VLOOKUP(R173,'G-3 Multipliers'!$S$3:$T$10,2,FALSE)))</f>
        <v/>
      </c>
      <c r="T173" s="289" t="str">
        <f>IFERROR(IF(AND(F173&lt;&gt;"",G173=""),"Confirm irreplaceable habitat status ▲",(IF(AND(R173&lt;&gt;"",AF173=""),"Off-site reference required ▲",(IF(AND(E173="Individual trees",W173&gt;0,G173="Yes"),"Error - you cannot enhance irreplaceable individual trees ▲",(IF(AND(X173="Irreplaceable habitat - no units generated ⚠",(W173+V173)&lt;H173,OR(AB173="No",AB173="")),"Any Loss Unacceptable ⚠",(IF(X173="Irreplaceable habitat - no units generated ⚠",W173*J173*L173*O173,IF(AND(P173='G-1 All Habitats'!$X$9,AH173&gt;0,V173&lt;=0,W173&lt;=0,OR(AB173="No",AB173="")),"Any Loss Unacceptable ⚠",IF(AND(P173='G-1 All Habitats'!$X$9,AH173&gt;0,V173&lt;=0,W173&lt;=0),0,(IF(AND(P173='G-1 All Habitats'!$X$9,(W173+V173)&lt;H173,OR(AB173="No",AB173="")),"Any Loss Unacceptable ⚠",(IF(P173="","",IF(AND(P173='G-1 All Habitats'!$X$9,W173&gt;0),X173+Y173,IF(AND(P173='G-1 All Habitats'!$X$9,V173&gt;0),X173+Y173,IF(R173="","",H173*J173*L173*O173)))))))))))))))))),"Check Data ▲")</f>
        <v/>
      </c>
      <c r="U173" s="38"/>
      <c r="V173" s="52"/>
      <c r="W173" s="53"/>
      <c r="X173" s="287" t="str">
        <f t="shared" si="20"/>
        <v/>
      </c>
      <c r="Y173" s="287" t="str">
        <f t="shared" si="21"/>
        <v/>
      </c>
      <c r="Z173" s="287" t="str">
        <f t="shared" si="22"/>
        <v/>
      </c>
      <c r="AA173" s="317" t="str">
        <f>IFERROR(IF(AND(E173="Individual trees",G173="Yes",W173&gt;0),"Error - you cannot enhance an irreplaceable tree ▲",(IF(H173="","",IF(H173-V173-W173=0&lt;0,"Error in Areas ▲",IF(V173+W173&gt;H173,"Error in Areas ▲",IF(AND(P173='G-1 All Habitats'!$X$9,AB173="Yes"),"Alternative Compensation ✓",IF(AND(P173='G-1 All Habitats'!$X$3,AB173="Yes"),"Alternative Compensation ✓",IF(AND(AB173="Pending",P173='G-1 All Habitats'!$X$3),"Bespoke compensation must be agreed ▲",IF(AND(AB173="Pending",P173='G-1 All Habitats'!$X$9),"Bespoke compensation must be agreed  ▲",IF(Z173=0,0,IF(P173='G-1 All Habitats'!$X$9,"Any Loss Unacceptable ▲",T173-X173-Y173))))))))))),"Check Data ⚠")</f>
        <v/>
      </c>
      <c r="AB173" s="587"/>
      <c r="AC173" s="105"/>
      <c r="AD173" s="138"/>
      <c r="AE173" s="104"/>
      <c r="AF173" s="611"/>
      <c r="AG173" s="523" t="str">
        <f>IF(OR(P173="",AB173="Yes"),"",IF(P173='G-1 All Habitats'!$X$9,H173-V173-W173,"None"))</f>
        <v/>
      </c>
      <c r="AH173" s="523" t="str">
        <f>IF(P173="","",IF(P173='G-1 All Habitats'!$X$9,AG173*J173*L173*O173,"None"))</f>
        <v/>
      </c>
      <c r="AJ173" s="107" t="str">
        <f t="shared" si="23"/>
        <v/>
      </c>
      <c r="AK173" s="107" t="str">
        <f t="shared" si="26"/>
        <v/>
      </c>
      <c r="AL173" s="107" t="str">
        <f>IF(I173="","",IF(#REF!&gt;0,TRUE,FALSE))</f>
        <v/>
      </c>
      <c r="AM173" s="107">
        <v>163</v>
      </c>
      <c r="AN173" s="107"/>
      <c r="AO173" s="107" t="str">
        <f t="array" ref="AO173">IFERROR(INDEX($AM$11:$AM$259,MATCH(0,IF(TRUE=$AJ$11:$AJ$259,COUNTIF($AO$10:$AO172,$AM$11:$AM$259),""),0)),"")</f>
        <v/>
      </c>
      <c r="AP173" s="107" t="str">
        <f t="array" ref="AP173">IFERROR(INDEX($AM$11:$AM$259,MATCH(0,IF(TRUE=$AK$11:$AK$259,COUNTIF($AP$10:$AP172,$AM$11:$AM$259),""),0)),"")</f>
        <v/>
      </c>
      <c r="AQ173" s="107" t="str">
        <f t="array" ref="AQ173">IFERROR(INDEX($AM$11:$AM$259,MATCH(0,IF(TRUE=$AL$11:$AL$259,COUNTIF($AQ$10:$AQ172,$AM$11:$AM$259),""),0)),"")</f>
        <v/>
      </c>
      <c r="AS173" s="885" t="str">
        <f>IF(AND(OR(AB173="Yes",AB173="Pending"),P173='G-1 All Habitats'!$X$3),T173-X173-Y173,"0")</f>
        <v>0</v>
      </c>
      <c r="AT173" s="30" t="str">
        <f t="shared" si="19"/>
        <v/>
      </c>
      <c r="AU173" s="30">
        <f t="shared" si="24"/>
        <v>0</v>
      </c>
      <c r="AV173" s="230" t="str">
        <f>IFERROR(INDEX('G-1 All Habitats'!$B$3:$B$135,MATCH(F173,'G-1 All Habitats'!$A$3:$A$135,0)),"")</f>
        <v/>
      </c>
      <c r="AW173" s="30" t="str">
        <f>IF(AV173="","",VLOOKUP(AV173,'G-1 All Habitats'!$B$1:$T$135,19,FALSE))</f>
        <v/>
      </c>
      <c r="AY173" s="287" t="str">
        <f t="shared" si="25"/>
        <v/>
      </c>
    </row>
    <row r="174" spans="1:51" ht="14">
      <c r="A174" s="30" t="str">
        <f>IFERROR(INDEX('G-1 All Habitats'!$AG$3:$AG$17,MATCH(E174,'G-1 All Habitats'!$AF$3:$AF$17,0)),"")</f>
        <v/>
      </c>
      <c r="B174" s="30" t="str">
        <f>IFERROR(INDEX('G-8 Condition Look up'!$I$4:$I$135,MATCH(AV174,'G-8 Condition Look up'!$A$4:$A$135,0)),"")</f>
        <v/>
      </c>
      <c r="D174" s="97">
        <v>164</v>
      </c>
      <c r="E174" s="262"/>
      <c r="F174" s="263"/>
      <c r="G174" s="133"/>
      <c r="H174" s="115"/>
      <c r="I174" s="509" t="str">
        <f>IF(AV174="","",IF(AND(AW174="Yes",G174="No"),"Irreplaceable habitat ▲",IF(AND(AW174="No",G174="Yes"),"Cannot be Irreplaceable ▲",VLOOKUP(AV174,'G-1 All Habitats'!$B$2:$M$135,10,FALSE))))</f>
        <v/>
      </c>
      <c r="J174" s="377" t="str">
        <f>IFERROR(VLOOKUP(I174,'G-1 All Habitats'!$V$3:$W$7,2,FALSE),"")</f>
        <v/>
      </c>
      <c r="K174" s="101"/>
      <c r="L174" s="276" t="str">
        <f>IFERROR(INDEX('G-8 Condition Look up'!$A$3:$H$135,MATCH(AV174,'G-8 Condition Look up'!$A$3:$A$135,0),MATCH(K174,'G-8 Condition Look up'!$A$3:$H$3,0)),"")</f>
        <v/>
      </c>
      <c r="M174" s="105"/>
      <c r="N174" s="295" t="str">
        <f>IF(M174="","",IF(VLOOKUP(M174,'G-3 Multipliers'!$L$3:$N$6,2,FALSE)=0,"Spatial Data Missing ⚠",VLOOKUP(M174,'G-3 Multipliers'!$L$3:$N$6,2,FALSE)))</f>
        <v/>
      </c>
      <c r="O174" s="353" t="str">
        <f>IF(M174="","",IF(VLOOKUP(M174,'G-3 Multipliers'!$L$3:$N$6,3,FALSE)=0,"Spatial Data Missing ⚠",VLOOKUP(M174,'G-3 Multipliers'!$L$3:$N$6,3,FALSE)))</f>
        <v/>
      </c>
      <c r="P174" s="336" t="str">
        <f>(IF(G174="Yes","Bespoke compensation likely to be required",(IFERROR(VLOOKUP(AV174,'G-1 All Habitats'!$B$2:$M$135,12,FALSE),""))))</f>
        <v/>
      </c>
      <c r="Q174" s="511" t="str">
        <f>IFERROR(IF(P174="","",IF(AND(E174="Individual trees",W174&gt;0,G174="Yes"),"Error - you cannot enhance irreplaceable individual trees ▲",IF(P174='G-1 All Habitats'!$X$9,T174*S174,IF(AND(P174='G-1 All Habitats'!$X$9,W174&gt;0),X174+(Y174*S174),IF(AND(P174='G-1 All Habitats'!$X$9,V174&gt;0),X174+(Y174*S174),IF(AND(P174='G-1 All Habitats'!$X$9,AG174&gt;0),"Any Loss Unacceptable  ⚠",IF(AND(P174='G-1 All Habitats'!$X$9,Z174&gt;0),"Any Loss Unacceptable ⚠",H174*J174*L174*O174*S174))))))),"Check Data ⚠")</f>
        <v/>
      </c>
      <c r="R174" s="393"/>
      <c r="S174" s="510" t="str">
        <f>IF(R174="","",IF(VLOOKUP(R174,'G-3 Multipliers'!$S$3:$T$10,2,FALSE)=0,"Spatial Data Missing ⚠",VLOOKUP(R174,'G-3 Multipliers'!$S$3:$T$10,2,FALSE)))</f>
        <v/>
      </c>
      <c r="T174" s="289" t="str">
        <f>IFERROR(IF(AND(F174&lt;&gt;"",G174=""),"Confirm irreplaceable habitat status ▲",(IF(AND(R174&lt;&gt;"",AF174=""),"Off-site reference required ▲",(IF(AND(E174="Individual trees",W174&gt;0,G174="Yes"),"Error - you cannot enhance irreplaceable individual trees ▲",(IF(AND(X174="Irreplaceable habitat - no units generated ⚠",(W174+V174)&lt;H174,OR(AB174="No",AB174="")),"Any Loss Unacceptable ⚠",(IF(X174="Irreplaceable habitat - no units generated ⚠",W174*J174*L174*O174,IF(AND(P174='G-1 All Habitats'!$X$9,AH174&gt;0,V174&lt;=0,W174&lt;=0,OR(AB174="No",AB174="")),"Any Loss Unacceptable ⚠",IF(AND(P174='G-1 All Habitats'!$X$9,AH174&gt;0,V174&lt;=0,W174&lt;=0),0,(IF(AND(P174='G-1 All Habitats'!$X$9,(W174+V174)&lt;H174,OR(AB174="No",AB174="")),"Any Loss Unacceptable ⚠",(IF(P174="","",IF(AND(P174='G-1 All Habitats'!$X$9,W174&gt;0),X174+Y174,IF(AND(P174='G-1 All Habitats'!$X$9,V174&gt;0),X174+Y174,IF(R174="","",H174*J174*L174*O174)))))))))))))))))),"Check Data ▲")</f>
        <v/>
      </c>
      <c r="U174" s="38"/>
      <c r="V174" s="52"/>
      <c r="W174" s="53"/>
      <c r="X174" s="287" t="str">
        <f t="shared" si="20"/>
        <v/>
      </c>
      <c r="Y174" s="287" t="str">
        <f t="shared" si="21"/>
        <v/>
      </c>
      <c r="Z174" s="287" t="str">
        <f t="shared" si="22"/>
        <v/>
      </c>
      <c r="AA174" s="317" t="str">
        <f>IFERROR(IF(AND(E174="Individual trees",G174="Yes",W174&gt;0),"Error - you cannot enhance an irreplaceable tree ▲",(IF(H174="","",IF(H174-V174-W174=0&lt;0,"Error in Areas ▲",IF(V174+W174&gt;H174,"Error in Areas ▲",IF(AND(P174='G-1 All Habitats'!$X$9,AB174="Yes"),"Alternative Compensation ✓",IF(AND(P174='G-1 All Habitats'!$X$3,AB174="Yes"),"Alternative Compensation ✓",IF(AND(AB174="Pending",P174='G-1 All Habitats'!$X$3),"Bespoke compensation must be agreed ▲",IF(AND(AB174="Pending",P174='G-1 All Habitats'!$X$9),"Bespoke compensation must be agreed  ▲",IF(Z174=0,0,IF(P174='G-1 All Habitats'!$X$9,"Any Loss Unacceptable ▲",T174-X174-Y174))))))))))),"Check Data ⚠")</f>
        <v/>
      </c>
      <c r="AB174" s="587"/>
      <c r="AC174" s="105"/>
      <c r="AD174" s="138"/>
      <c r="AE174" s="104"/>
      <c r="AF174" s="611"/>
      <c r="AG174" s="523" t="str">
        <f>IF(OR(P174="",AB174="Yes"),"",IF(P174='G-1 All Habitats'!$X$9,H174-V174-W174,"None"))</f>
        <v/>
      </c>
      <c r="AH174" s="523" t="str">
        <f>IF(P174="","",IF(P174='G-1 All Habitats'!$X$9,AG174*J174*L174*O174,"None"))</f>
        <v/>
      </c>
      <c r="AJ174" s="107" t="str">
        <f t="shared" si="23"/>
        <v/>
      </c>
      <c r="AK174" s="107" t="str">
        <f t="shared" si="26"/>
        <v/>
      </c>
      <c r="AL174" s="107" t="str">
        <f>IF(I174="","",IF(#REF!&gt;0,TRUE,FALSE))</f>
        <v/>
      </c>
      <c r="AM174" s="107">
        <v>164</v>
      </c>
      <c r="AN174" s="107"/>
      <c r="AO174" s="107" t="str">
        <f t="array" ref="AO174">IFERROR(INDEX($AM$11:$AM$259,MATCH(0,IF(TRUE=$AJ$11:$AJ$259,COUNTIF($AO$10:$AO173,$AM$11:$AM$259),""),0)),"")</f>
        <v/>
      </c>
      <c r="AP174" s="107" t="str">
        <f t="array" ref="AP174">IFERROR(INDEX($AM$11:$AM$259,MATCH(0,IF(TRUE=$AK$11:$AK$259,COUNTIF($AP$10:$AP173,$AM$11:$AM$259),""),0)),"")</f>
        <v/>
      </c>
      <c r="AQ174" s="107" t="str">
        <f t="array" ref="AQ174">IFERROR(INDEX($AM$11:$AM$259,MATCH(0,IF(TRUE=$AL$11:$AL$259,COUNTIF($AQ$10:$AQ173,$AM$11:$AM$259),""),0)),"")</f>
        <v/>
      </c>
      <c r="AS174" s="885" t="str">
        <f>IF(AND(OR(AB174="Yes",AB174="Pending"),P174='G-1 All Habitats'!$X$3),T174-X174-Y174,"0")</f>
        <v>0</v>
      </c>
      <c r="AT174" s="30" t="str">
        <f t="shared" si="19"/>
        <v/>
      </c>
      <c r="AU174" s="30">
        <f t="shared" si="24"/>
        <v>0</v>
      </c>
      <c r="AV174" s="230" t="str">
        <f>IFERROR(INDEX('G-1 All Habitats'!$B$3:$B$135,MATCH(F174,'G-1 All Habitats'!$A$3:$A$135,0)),"")</f>
        <v/>
      </c>
      <c r="AW174" s="30" t="str">
        <f>IF(AV174="","",VLOOKUP(AV174,'G-1 All Habitats'!$B$1:$T$135,19,FALSE))</f>
        <v/>
      </c>
      <c r="AY174" s="287" t="str">
        <f t="shared" si="25"/>
        <v/>
      </c>
    </row>
    <row r="175" spans="1:51" ht="14">
      <c r="A175" s="30" t="str">
        <f>IFERROR(INDEX('G-1 All Habitats'!$AG$3:$AG$17,MATCH(E175,'G-1 All Habitats'!$AF$3:$AF$17,0)),"")</f>
        <v/>
      </c>
      <c r="B175" s="30" t="str">
        <f>IFERROR(INDEX('G-8 Condition Look up'!$I$4:$I$135,MATCH(AV175,'G-8 Condition Look up'!$A$4:$A$135,0)),"")</f>
        <v/>
      </c>
      <c r="D175" s="97">
        <v>165</v>
      </c>
      <c r="E175" s="262"/>
      <c r="F175" s="263"/>
      <c r="G175" s="133"/>
      <c r="H175" s="115"/>
      <c r="I175" s="509" t="str">
        <f>IF(AV175="","",IF(AND(AW175="Yes",G175="No"),"Irreplaceable habitat ▲",IF(AND(AW175="No",G175="Yes"),"Cannot be Irreplaceable ▲",VLOOKUP(AV175,'G-1 All Habitats'!$B$2:$M$135,10,FALSE))))</f>
        <v/>
      </c>
      <c r="J175" s="377" t="str">
        <f>IFERROR(VLOOKUP(I175,'G-1 All Habitats'!$V$3:$W$7,2,FALSE),"")</f>
        <v/>
      </c>
      <c r="K175" s="101"/>
      <c r="L175" s="276" t="str">
        <f>IFERROR(INDEX('G-8 Condition Look up'!$A$3:$H$135,MATCH(AV175,'G-8 Condition Look up'!$A$3:$A$135,0),MATCH(K175,'G-8 Condition Look up'!$A$3:$H$3,0)),"")</f>
        <v/>
      </c>
      <c r="M175" s="105"/>
      <c r="N175" s="295" t="str">
        <f>IF(M175="","",IF(VLOOKUP(M175,'G-3 Multipliers'!$L$3:$N$6,2,FALSE)=0,"Spatial Data Missing ⚠",VLOOKUP(M175,'G-3 Multipliers'!$L$3:$N$6,2,FALSE)))</f>
        <v/>
      </c>
      <c r="O175" s="353" t="str">
        <f>IF(M175="","",IF(VLOOKUP(M175,'G-3 Multipliers'!$L$3:$N$6,3,FALSE)=0,"Spatial Data Missing ⚠",VLOOKUP(M175,'G-3 Multipliers'!$L$3:$N$6,3,FALSE)))</f>
        <v/>
      </c>
      <c r="P175" s="336" t="str">
        <f>(IF(G175="Yes","Bespoke compensation likely to be required",(IFERROR(VLOOKUP(AV175,'G-1 All Habitats'!$B$2:$M$135,12,FALSE),""))))</f>
        <v/>
      </c>
      <c r="Q175" s="511" t="str">
        <f>IFERROR(IF(P175="","",IF(AND(E175="Individual trees",W175&gt;0,G175="Yes"),"Error - you cannot enhance irreplaceable individual trees ▲",IF(P175='G-1 All Habitats'!$X$9,T175*S175,IF(AND(P175='G-1 All Habitats'!$X$9,W175&gt;0),X175+(Y175*S175),IF(AND(P175='G-1 All Habitats'!$X$9,V175&gt;0),X175+(Y175*S175),IF(AND(P175='G-1 All Habitats'!$X$9,AG175&gt;0),"Any Loss Unacceptable  ⚠",IF(AND(P175='G-1 All Habitats'!$X$9,Z175&gt;0),"Any Loss Unacceptable ⚠",H175*J175*L175*O175*S175))))))),"Check Data ⚠")</f>
        <v/>
      </c>
      <c r="R175" s="393"/>
      <c r="S175" s="510" t="str">
        <f>IF(R175="","",IF(VLOOKUP(R175,'G-3 Multipliers'!$S$3:$T$10,2,FALSE)=0,"Spatial Data Missing ⚠",VLOOKUP(R175,'G-3 Multipliers'!$S$3:$T$10,2,FALSE)))</f>
        <v/>
      </c>
      <c r="T175" s="289" t="str">
        <f>IFERROR(IF(AND(F175&lt;&gt;"",G175=""),"Confirm irreplaceable habitat status ▲",(IF(AND(R175&lt;&gt;"",AF175=""),"Off-site reference required ▲",(IF(AND(E175="Individual trees",W175&gt;0,G175="Yes"),"Error - you cannot enhance irreplaceable individual trees ▲",(IF(AND(X175="Irreplaceable habitat - no units generated ⚠",(W175+V175)&lt;H175,OR(AB175="No",AB175="")),"Any Loss Unacceptable ⚠",(IF(X175="Irreplaceable habitat - no units generated ⚠",W175*J175*L175*O175,IF(AND(P175='G-1 All Habitats'!$X$9,AH175&gt;0,V175&lt;=0,W175&lt;=0,OR(AB175="No",AB175="")),"Any Loss Unacceptable ⚠",IF(AND(P175='G-1 All Habitats'!$X$9,AH175&gt;0,V175&lt;=0,W175&lt;=0),0,(IF(AND(P175='G-1 All Habitats'!$X$9,(W175+V175)&lt;H175,OR(AB175="No",AB175="")),"Any Loss Unacceptable ⚠",(IF(P175="","",IF(AND(P175='G-1 All Habitats'!$X$9,W175&gt;0),X175+Y175,IF(AND(P175='G-1 All Habitats'!$X$9,V175&gt;0),X175+Y175,IF(R175="","",H175*J175*L175*O175)))))))))))))))))),"Check Data ▲")</f>
        <v/>
      </c>
      <c r="U175" s="38"/>
      <c r="V175" s="52"/>
      <c r="W175" s="53"/>
      <c r="X175" s="287" t="str">
        <f t="shared" si="20"/>
        <v/>
      </c>
      <c r="Y175" s="287" t="str">
        <f t="shared" si="21"/>
        <v/>
      </c>
      <c r="Z175" s="287" t="str">
        <f t="shared" si="22"/>
        <v/>
      </c>
      <c r="AA175" s="317" t="str">
        <f>IFERROR(IF(AND(E175="Individual trees",G175="Yes",W175&gt;0),"Error - you cannot enhance an irreplaceable tree ▲",(IF(H175="","",IF(H175-V175-W175=0&lt;0,"Error in Areas ▲",IF(V175+W175&gt;H175,"Error in Areas ▲",IF(AND(P175='G-1 All Habitats'!$X$9,AB175="Yes"),"Alternative Compensation ✓",IF(AND(P175='G-1 All Habitats'!$X$3,AB175="Yes"),"Alternative Compensation ✓",IF(AND(AB175="Pending",P175='G-1 All Habitats'!$X$3),"Bespoke compensation must be agreed ▲",IF(AND(AB175="Pending",P175='G-1 All Habitats'!$X$9),"Bespoke compensation must be agreed  ▲",IF(Z175=0,0,IF(P175='G-1 All Habitats'!$X$9,"Any Loss Unacceptable ▲",T175-X175-Y175))))))))))),"Check Data ⚠")</f>
        <v/>
      </c>
      <c r="AB175" s="587"/>
      <c r="AC175" s="105"/>
      <c r="AD175" s="138"/>
      <c r="AE175" s="104"/>
      <c r="AF175" s="611"/>
      <c r="AG175" s="523" t="str">
        <f>IF(OR(P175="",AB175="Yes"),"",IF(P175='G-1 All Habitats'!$X$9,H175-V175-W175,"None"))</f>
        <v/>
      </c>
      <c r="AH175" s="523" t="str">
        <f>IF(P175="","",IF(P175='G-1 All Habitats'!$X$9,AG175*J175*L175*O175,"None"))</f>
        <v/>
      </c>
      <c r="AJ175" s="107" t="str">
        <f t="shared" si="23"/>
        <v/>
      </c>
      <c r="AK175" s="107" t="str">
        <f t="shared" si="26"/>
        <v/>
      </c>
      <c r="AL175" s="107" t="str">
        <f>IF(I175="","",IF(#REF!&gt;0,TRUE,FALSE))</f>
        <v/>
      </c>
      <c r="AM175" s="107">
        <v>165</v>
      </c>
      <c r="AN175" s="107"/>
      <c r="AO175" s="107" t="str">
        <f t="array" ref="AO175">IFERROR(INDEX($AM$11:$AM$259,MATCH(0,IF(TRUE=$AJ$11:$AJ$259,COUNTIF($AO$10:$AO174,$AM$11:$AM$259),""),0)),"")</f>
        <v/>
      </c>
      <c r="AP175" s="107" t="str">
        <f t="array" ref="AP175">IFERROR(INDEX($AM$11:$AM$259,MATCH(0,IF(TRUE=$AK$11:$AK$259,COUNTIF($AP$10:$AP174,$AM$11:$AM$259),""),0)),"")</f>
        <v/>
      </c>
      <c r="AQ175" s="107" t="str">
        <f t="array" ref="AQ175">IFERROR(INDEX($AM$11:$AM$259,MATCH(0,IF(TRUE=$AL$11:$AL$259,COUNTIF($AQ$10:$AQ174,$AM$11:$AM$259),""),0)),"")</f>
        <v/>
      </c>
      <c r="AS175" s="885" t="str">
        <f>IF(AND(OR(AB175="Yes",AB175="Pending"),P175='G-1 All Habitats'!$X$3),T175-X175-Y175,"0")</f>
        <v>0</v>
      </c>
      <c r="AT175" s="30" t="str">
        <f t="shared" si="19"/>
        <v/>
      </c>
      <c r="AU175" s="30">
        <f t="shared" si="24"/>
        <v>0</v>
      </c>
      <c r="AV175" s="230" t="str">
        <f>IFERROR(INDEX('G-1 All Habitats'!$B$3:$B$135,MATCH(F175,'G-1 All Habitats'!$A$3:$A$135,0)),"")</f>
        <v/>
      </c>
      <c r="AW175" s="30" t="str">
        <f>IF(AV175="","",VLOOKUP(AV175,'G-1 All Habitats'!$B$1:$T$135,19,FALSE))</f>
        <v/>
      </c>
      <c r="AY175" s="287" t="str">
        <f t="shared" si="25"/>
        <v/>
      </c>
    </row>
    <row r="176" spans="1:51" ht="14">
      <c r="A176" s="30" t="str">
        <f>IFERROR(INDEX('G-1 All Habitats'!$AG$3:$AG$17,MATCH(E176,'G-1 All Habitats'!$AF$3:$AF$17,0)),"")</f>
        <v/>
      </c>
      <c r="B176" s="30" t="str">
        <f>IFERROR(INDEX('G-8 Condition Look up'!$I$4:$I$135,MATCH(AV176,'G-8 Condition Look up'!$A$4:$A$135,0)),"")</f>
        <v/>
      </c>
      <c r="D176" s="97">
        <v>166</v>
      </c>
      <c r="E176" s="262"/>
      <c r="F176" s="263"/>
      <c r="G176" s="133"/>
      <c r="H176" s="115"/>
      <c r="I176" s="509" t="str">
        <f>IF(AV176="","",IF(AND(AW176="Yes",G176="No"),"Irreplaceable habitat ▲",IF(AND(AW176="No",G176="Yes"),"Cannot be Irreplaceable ▲",VLOOKUP(AV176,'G-1 All Habitats'!$B$2:$M$135,10,FALSE))))</f>
        <v/>
      </c>
      <c r="J176" s="377" t="str">
        <f>IFERROR(VLOOKUP(I176,'G-1 All Habitats'!$V$3:$W$7,2,FALSE),"")</f>
        <v/>
      </c>
      <c r="K176" s="101"/>
      <c r="L176" s="276" t="str">
        <f>IFERROR(INDEX('G-8 Condition Look up'!$A$3:$H$135,MATCH(AV176,'G-8 Condition Look up'!$A$3:$A$135,0),MATCH(K176,'G-8 Condition Look up'!$A$3:$H$3,0)),"")</f>
        <v/>
      </c>
      <c r="M176" s="105"/>
      <c r="N176" s="295" t="str">
        <f>IF(M176="","",IF(VLOOKUP(M176,'G-3 Multipliers'!$L$3:$N$6,2,FALSE)=0,"Spatial Data Missing ⚠",VLOOKUP(M176,'G-3 Multipliers'!$L$3:$N$6,2,FALSE)))</f>
        <v/>
      </c>
      <c r="O176" s="353" t="str">
        <f>IF(M176="","",IF(VLOOKUP(M176,'G-3 Multipliers'!$L$3:$N$6,3,FALSE)=0,"Spatial Data Missing ⚠",VLOOKUP(M176,'G-3 Multipliers'!$L$3:$N$6,3,FALSE)))</f>
        <v/>
      </c>
      <c r="P176" s="336" t="str">
        <f>(IF(G176="Yes","Bespoke compensation likely to be required",(IFERROR(VLOOKUP(AV176,'G-1 All Habitats'!$B$2:$M$135,12,FALSE),""))))</f>
        <v/>
      </c>
      <c r="Q176" s="511" t="str">
        <f>IFERROR(IF(P176="","",IF(AND(E176="Individual trees",W176&gt;0,G176="Yes"),"Error - you cannot enhance irreplaceable individual trees ▲",IF(P176='G-1 All Habitats'!$X$9,T176*S176,IF(AND(P176='G-1 All Habitats'!$X$9,W176&gt;0),X176+(Y176*S176),IF(AND(P176='G-1 All Habitats'!$X$9,V176&gt;0),X176+(Y176*S176),IF(AND(P176='G-1 All Habitats'!$X$9,AG176&gt;0),"Any Loss Unacceptable  ⚠",IF(AND(P176='G-1 All Habitats'!$X$9,Z176&gt;0),"Any Loss Unacceptable ⚠",H176*J176*L176*O176*S176))))))),"Check Data ⚠")</f>
        <v/>
      </c>
      <c r="R176" s="393"/>
      <c r="S176" s="510" t="str">
        <f>IF(R176="","",IF(VLOOKUP(R176,'G-3 Multipliers'!$S$3:$T$10,2,FALSE)=0,"Spatial Data Missing ⚠",VLOOKUP(R176,'G-3 Multipliers'!$S$3:$T$10,2,FALSE)))</f>
        <v/>
      </c>
      <c r="T176" s="289" t="str">
        <f>IFERROR(IF(AND(F176&lt;&gt;"",G176=""),"Confirm irreplaceable habitat status ▲",(IF(AND(R176&lt;&gt;"",AF176=""),"Off-site reference required ▲",(IF(AND(E176="Individual trees",W176&gt;0,G176="Yes"),"Error - you cannot enhance irreplaceable individual trees ▲",(IF(AND(X176="Irreplaceable habitat - no units generated ⚠",(W176+V176)&lt;H176,OR(AB176="No",AB176="")),"Any Loss Unacceptable ⚠",(IF(X176="Irreplaceable habitat - no units generated ⚠",W176*J176*L176*O176,IF(AND(P176='G-1 All Habitats'!$X$9,AH176&gt;0,V176&lt;=0,W176&lt;=0,OR(AB176="No",AB176="")),"Any Loss Unacceptable ⚠",IF(AND(P176='G-1 All Habitats'!$X$9,AH176&gt;0,V176&lt;=0,W176&lt;=0),0,(IF(AND(P176='G-1 All Habitats'!$X$9,(W176+V176)&lt;H176,OR(AB176="No",AB176="")),"Any Loss Unacceptable ⚠",(IF(P176="","",IF(AND(P176='G-1 All Habitats'!$X$9,W176&gt;0),X176+Y176,IF(AND(P176='G-1 All Habitats'!$X$9,V176&gt;0),X176+Y176,IF(R176="","",H176*J176*L176*O176)))))))))))))))))),"Check Data ▲")</f>
        <v/>
      </c>
      <c r="U176" s="38"/>
      <c r="V176" s="52"/>
      <c r="W176" s="53"/>
      <c r="X176" s="287" t="str">
        <f t="shared" si="20"/>
        <v/>
      </c>
      <c r="Y176" s="287" t="str">
        <f t="shared" si="21"/>
        <v/>
      </c>
      <c r="Z176" s="287" t="str">
        <f t="shared" si="22"/>
        <v/>
      </c>
      <c r="AA176" s="317" t="str">
        <f>IFERROR(IF(AND(E176="Individual trees",G176="Yes",W176&gt;0),"Error - you cannot enhance an irreplaceable tree ▲",(IF(H176="","",IF(H176-V176-W176=0&lt;0,"Error in Areas ▲",IF(V176+W176&gt;H176,"Error in Areas ▲",IF(AND(P176='G-1 All Habitats'!$X$9,AB176="Yes"),"Alternative Compensation ✓",IF(AND(P176='G-1 All Habitats'!$X$3,AB176="Yes"),"Alternative Compensation ✓",IF(AND(AB176="Pending",P176='G-1 All Habitats'!$X$3),"Bespoke compensation must be agreed ▲",IF(AND(AB176="Pending",P176='G-1 All Habitats'!$X$9),"Bespoke compensation must be agreed  ▲",IF(Z176=0,0,IF(P176='G-1 All Habitats'!$X$9,"Any Loss Unacceptable ▲",T176-X176-Y176))))))))))),"Check Data ⚠")</f>
        <v/>
      </c>
      <c r="AB176" s="587"/>
      <c r="AC176" s="105"/>
      <c r="AD176" s="138"/>
      <c r="AE176" s="104"/>
      <c r="AF176" s="611"/>
      <c r="AG176" s="523" t="str">
        <f>IF(OR(P176="",AB176="Yes"),"",IF(P176='G-1 All Habitats'!$X$9,H176-V176-W176,"None"))</f>
        <v/>
      </c>
      <c r="AH176" s="523" t="str">
        <f>IF(P176="","",IF(P176='G-1 All Habitats'!$X$9,AG176*J176*L176*O176,"None"))</f>
        <v/>
      </c>
      <c r="AJ176" s="107" t="str">
        <f t="shared" si="23"/>
        <v/>
      </c>
      <c r="AK176" s="107" t="str">
        <f t="shared" si="26"/>
        <v/>
      </c>
      <c r="AL176" s="107" t="str">
        <f>IF(I176="","",IF(#REF!&gt;0,TRUE,FALSE))</f>
        <v/>
      </c>
      <c r="AM176" s="107">
        <v>166</v>
      </c>
      <c r="AN176" s="107"/>
      <c r="AO176" s="107" t="str">
        <f t="array" ref="AO176">IFERROR(INDEX($AM$11:$AM$259,MATCH(0,IF(TRUE=$AJ$11:$AJ$259,COUNTIF($AO$10:$AO175,$AM$11:$AM$259),""),0)),"")</f>
        <v/>
      </c>
      <c r="AP176" s="107" t="str">
        <f t="array" ref="AP176">IFERROR(INDEX($AM$11:$AM$259,MATCH(0,IF(TRUE=$AK$11:$AK$259,COUNTIF($AP$10:$AP175,$AM$11:$AM$259),""),0)),"")</f>
        <v/>
      </c>
      <c r="AQ176" s="107" t="str">
        <f t="array" ref="AQ176">IFERROR(INDEX($AM$11:$AM$259,MATCH(0,IF(TRUE=$AL$11:$AL$259,COUNTIF($AQ$10:$AQ175,$AM$11:$AM$259),""),0)),"")</f>
        <v/>
      </c>
      <c r="AS176" s="885" t="str">
        <f>IF(AND(OR(AB176="Yes",AB176="Pending"),P176='G-1 All Habitats'!$X$3),T176-X176-Y176,"0")</f>
        <v>0</v>
      </c>
      <c r="AT176" s="30" t="str">
        <f t="shared" si="19"/>
        <v/>
      </c>
      <c r="AU176" s="30">
        <f t="shared" si="24"/>
        <v>0</v>
      </c>
      <c r="AV176" s="230" t="str">
        <f>IFERROR(INDEX('G-1 All Habitats'!$B$3:$B$135,MATCH(F176,'G-1 All Habitats'!$A$3:$A$135,0)),"")</f>
        <v/>
      </c>
      <c r="AW176" s="30" t="str">
        <f>IF(AV176="","",VLOOKUP(AV176,'G-1 All Habitats'!$B$1:$T$135,19,FALSE))</f>
        <v/>
      </c>
      <c r="AY176" s="287" t="str">
        <f t="shared" si="25"/>
        <v/>
      </c>
    </row>
    <row r="177" spans="1:51" ht="14">
      <c r="A177" s="30" t="str">
        <f>IFERROR(INDEX('G-1 All Habitats'!$AG$3:$AG$17,MATCH(E177,'G-1 All Habitats'!$AF$3:$AF$17,0)),"")</f>
        <v/>
      </c>
      <c r="B177" s="30" t="str">
        <f>IFERROR(INDEX('G-8 Condition Look up'!$I$4:$I$135,MATCH(AV177,'G-8 Condition Look up'!$A$4:$A$135,0)),"")</f>
        <v/>
      </c>
      <c r="D177" s="97">
        <v>167</v>
      </c>
      <c r="E177" s="262"/>
      <c r="F177" s="263"/>
      <c r="G177" s="133"/>
      <c r="H177" s="115"/>
      <c r="I177" s="509" t="str">
        <f>IF(AV177="","",IF(AND(AW177="Yes",G177="No"),"Irreplaceable habitat ▲",IF(AND(AW177="No",G177="Yes"),"Cannot be Irreplaceable ▲",VLOOKUP(AV177,'G-1 All Habitats'!$B$2:$M$135,10,FALSE))))</f>
        <v/>
      </c>
      <c r="J177" s="377" t="str">
        <f>IFERROR(VLOOKUP(I177,'G-1 All Habitats'!$V$3:$W$7,2,FALSE),"")</f>
        <v/>
      </c>
      <c r="K177" s="101"/>
      <c r="L177" s="276" t="str">
        <f>IFERROR(INDEX('G-8 Condition Look up'!$A$3:$H$135,MATCH(AV177,'G-8 Condition Look up'!$A$3:$A$135,0),MATCH(K177,'G-8 Condition Look up'!$A$3:$H$3,0)),"")</f>
        <v/>
      </c>
      <c r="M177" s="105"/>
      <c r="N177" s="295" t="str">
        <f>IF(M177="","",IF(VLOOKUP(M177,'G-3 Multipliers'!$L$3:$N$6,2,FALSE)=0,"Spatial Data Missing ⚠",VLOOKUP(M177,'G-3 Multipliers'!$L$3:$N$6,2,FALSE)))</f>
        <v/>
      </c>
      <c r="O177" s="353" t="str">
        <f>IF(M177="","",IF(VLOOKUP(M177,'G-3 Multipliers'!$L$3:$N$6,3,FALSE)=0,"Spatial Data Missing ⚠",VLOOKUP(M177,'G-3 Multipliers'!$L$3:$N$6,3,FALSE)))</f>
        <v/>
      </c>
      <c r="P177" s="336" t="str">
        <f>(IF(G177="Yes","Bespoke compensation likely to be required",(IFERROR(VLOOKUP(AV177,'G-1 All Habitats'!$B$2:$M$135,12,FALSE),""))))</f>
        <v/>
      </c>
      <c r="Q177" s="511" t="str">
        <f>IFERROR(IF(P177="","",IF(AND(E177="Individual trees",W177&gt;0,G177="Yes"),"Error - you cannot enhance irreplaceable individual trees ▲",IF(P177='G-1 All Habitats'!$X$9,T177*S177,IF(AND(P177='G-1 All Habitats'!$X$9,W177&gt;0),X177+(Y177*S177),IF(AND(P177='G-1 All Habitats'!$X$9,V177&gt;0),X177+(Y177*S177),IF(AND(P177='G-1 All Habitats'!$X$9,AG177&gt;0),"Any Loss Unacceptable  ⚠",IF(AND(P177='G-1 All Habitats'!$X$9,Z177&gt;0),"Any Loss Unacceptable ⚠",H177*J177*L177*O177*S177))))))),"Check Data ⚠")</f>
        <v/>
      </c>
      <c r="R177" s="393"/>
      <c r="S177" s="510" t="str">
        <f>IF(R177="","",IF(VLOOKUP(R177,'G-3 Multipliers'!$S$3:$T$10,2,FALSE)=0,"Spatial Data Missing ⚠",VLOOKUP(R177,'G-3 Multipliers'!$S$3:$T$10,2,FALSE)))</f>
        <v/>
      </c>
      <c r="T177" s="289" t="str">
        <f>IFERROR(IF(AND(F177&lt;&gt;"",G177=""),"Confirm irreplaceable habitat status ▲",(IF(AND(R177&lt;&gt;"",AF177=""),"Off-site reference required ▲",(IF(AND(E177="Individual trees",W177&gt;0,G177="Yes"),"Error - you cannot enhance irreplaceable individual trees ▲",(IF(AND(X177="Irreplaceable habitat - no units generated ⚠",(W177+V177)&lt;H177,OR(AB177="No",AB177="")),"Any Loss Unacceptable ⚠",(IF(X177="Irreplaceable habitat - no units generated ⚠",W177*J177*L177*O177,IF(AND(P177='G-1 All Habitats'!$X$9,AH177&gt;0,V177&lt;=0,W177&lt;=0,OR(AB177="No",AB177="")),"Any Loss Unacceptable ⚠",IF(AND(P177='G-1 All Habitats'!$X$9,AH177&gt;0,V177&lt;=0,W177&lt;=0),0,(IF(AND(P177='G-1 All Habitats'!$X$9,(W177+V177)&lt;H177,OR(AB177="No",AB177="")),"Any Loss Unacceptable ⚠",(IF(P177="","",IF(AND(P177='G-1 All Habitats'!$X$9,W177&gt;0),X177+Y177,IF(AND(P177='G-1 All Habitats'!$X$9,V177&gt;0),X177+Y177,IF(R177="","",H177*J177*L177*O177)))))))))))))))))),"Check Data ▲")</f>
        <v/>
      </c>
      <c r="U177" s="38"/>
      <c r="V177" s="52"/>
      <c r="W177" s="53"/>
      <c r="X177" s="287" t="str">
        <f t="shared" si="20"/>
        <v/>
      </c>
      <c r="Y177" s="287" t="str">
        <f t="shared" si="21"/>
        <v/>
      </c>
      <c r="Z177" s="287" t="str">
        <f t="shared" si="22"/>
        <v/>
      </c>
      <c r="AA177" s="317" t="str">
        <f>IFERROR(IF(AND(E177="Individual trees",G177="Yes",W177&gt;0),"Error - you cannot enhance an irreplaceable tree ▲",(IF(H177="","",IF(H177-V177-W177=0&lt;0,"Error in Areas ▲",IF(V177+W177&gt;H177,"Error in Areas ▲",IF(AND(P177='G-1 All Habitats'!$X$9,AB177="Yes"),"Alternative Compensation ✓",IF(AND(P177='G-1 All Habitats'!$X$3,AB177="Yes"),"Alternative Compensation ✓",IF(AND(AB177="Pending",P177='G-1 All Habitats'!$X$3),"Bespoke compensation must be agreed ▲",IF(AND(AB177="Pending",P177='G-1 All Habitats'!$X$9),"Bespoke compensation must be agreed  ▲",IF(Z177=0,0,IF(P177='G-1 All Habitats'!$X$9,"Any Loss Unacceptable ▲",T177-X177-Y177))))))))))),"Check Data ⚠")</f>
        <v/>
      </c>
      <c r="AB177" s="587"/>
      <c r="AC177" s="105"/>
      <c r="AD177" s="138"/>
      <c r="AE177" s="104"/>
      <c r="AF177" s="611"/>
      <c r="AG177" s="523" t="str">
        <f>IF(OR(P177="",AB177="Yes"),"",IF(P177='G-1 All Habitats'!$X$9,H177-V177-W177,"None"))</f>
        <v/>
      </c>
      <c r="AH177" s="523" t="str">
        <f>IF(P177="","",IF(P177='G-1 All Habitats'!$X$9,AG177*J177*L177*O177,"None"))</f>
        <v/>
      </c>
      <c r="AJ177" s="107" t="str">
        <f t="shared" si="23"/>
        <v/>
      </c>
      <c r="AK177" s="107" t="str">
        <f t="shared" si="26"/>
        <v/>
      </c>
      <c r="AL177" s="107" t="str">
        <f>IF(I177="","",IF(#REF!&gt;0,TRUE,FALSE))</f>
        <v/>
      </c>
      <c r="AM177" s="107">
        <v>167</v>
      </c>
      <c r="AN177" s="107"/>
      <c r="AO177" s="107" t="str">
        <f t="array" ref="AO177">IFERROR(INDEX($AM$11:$AM$259,MATCH(0,IF(TRUE=$AJ$11:$AJ$259,COUNTIF($AO$10:$AO176,$AM$11:$AM$259),""),0)),"")</f>
        <v/>
      </c>
      <c r="AP177" s="107" t="str">
        <f t="array" ref="AP177">IFERROR(INDEX($AM$11:$AM$259,MATCH(0,IF(TRUE=$AK$11:$AK$259,COUNTIF($AP$10:$AP176,$AM$11:$AM$259),""),0)),"")</f>
        <v/>
      </c>
      <c r="AQ177" s="107" t="str">
        <f t="array" ref="AQ177">IFERROR(INDEX($AM$11:$AM$259,MATCH(0,IF(TRUE=$AL$11:$AL$259,COUNTIF($AQ$10:$AQ176,$AM$11:$AM$259),""),0)),"")</f>
        <v/>
      </c>
      <c r="AS177" s="885" t="str">
        <f>IF(AND(OR(AB177="Yes",AB177="Pending"),P177='G-1 All Habitats'!$X$3),T177-X177-Y177,"0")</f>
        <v>0</v>
      </c>
      <c r="AT177" s="30" t="str">
        <f t="shared" si="19"/>
        <v/>
      </c>
      <c r="AU177" s="30">
        <f t="shared" si="24"/>
        <v>0</v>
      </c>
      <c r="AV177" s="230" t="str">
        <f>IFERROR(INDEX('G-1 All Habitats'!$B$3:$B$135,MATCH(F177,'G-1 All Habitats'!$A$3:$A$135,0)),"")</f>
        <v/>
      </c>
      <c r="AW177" s="30" t="str">
        <f>IF(AV177="","",VLOOKUP(AV177,'G-1 All Habitats'!$B$1:$T$135,19,FALSE))</f>
        <v/>
      </c>
      <c r="AY177" s="287" t="str">
        <f t="shared" si="25"/>
        <v/>
      </c>
    </row>
    <row r="178" spans="1:51" ht="14">
      <c r="A178" s="30" t="str">
        <f>IFERROR(INDEX('G-1 All Habitats'!$AG$3:$AG$17,MATCH(E178,'G-1 All Habitats'!$AF$3:$AF$17,0)),"")</f>
        <v/>
      </c>
      <c r="B178" s="30" t="str">
        <f>IFERROR(INDEX('G-8 Condition Look up'!$I$4:$I$135,MATCH(AV178,'G-8 Condition Look up'!$A$4:$A$135,0)),"")</f>
        <v/>
      </c>
      <c r="D178" s="97">
        <v>168</v>
      </c>
      <c r="E178" s="262"/>
      <c r="F178" s="263"/>
      <c r="G178" s="133"/>
      <c r="H178" s="115"/>
      <c r="I178" s="509" t="str">
        <f>IF(AV178="","",IF(AND(AW178="Yes",G178="No"),"Irreplaceable habitat ▲",IF(AND(AW178="No",G178="Yes"),"Cannot be Irreplaceable ▲",VLOOKUP(AV178,'G-1 All Habitats'!$B$2:$M$135,10,FALSE))))</f>
        <v/>
      </c>
      <c r="J178" s="377" t="str">
        <f>IFERROR(VLOOKUP(I178,'G-1 All Habitats'!$V$3:$W$7,2,FALSE),"")</f>
        <v/>
      </c>
      <c r="K178" s="101"/>
      <c r="L178" s="276" t="str">
        <f>IFERROR(INDEX('G-8 Condition Look up'!$A$3:$H$135,MATCH(AV178,'G-8 Condition Look up'!$A$3:$A$135,0),MATCH(K178,'G-8 Condition Look up'!$A$3:$H$3,0)),"")</f>
        <v/>
      </c>
      <c r="M178" s="105"/>
      <c r="N178" s="295" t="str">
        <f>IF(M178="","",IF(VLOOKUP(M178,'G-3 Multipliers'!$L$3:$N$6,2,FALSE)=0,"Spatial Data Missing ⚠",VLOOKUP(M178,'G-3 Multipliers'!$L$3:$N$6,2,FALSE)))</f>
        <v/>
      </c>
      <c r="O178" s="353" t="str">
        <f>IF(M178="","",IF(VLOOKUP(M178,'G-3 Multipliers'!$L$3:$N$6,3,FALSE)=0,"Spatial Data Missing ⚠",VLOOKUP(M178,'G-3 Multipliers'!$L$3:$N$6,3,FALSE)))</f>
        <v/>
      </c>
      <c r="P178" s="336" t="str">
        <f>(IF(G178="Yes","Bespoke compensation likely to be required",(IFERROR(VLOOKUP(AV178,'G-1 All Habitats'!$B$2:$M$135,12,FALSE),""))))</f>
        <v/>
      </c>
      <c r="Q178" s="511" t="str">
        <f>IFERROR(IF(P178="","",IF(AND(E178="Individual trees",W178&gt;0,G178="Yes"),"Error - you cannot enhance irreplaceable individual trees ▲",IF(P178='G-1 All Habitats'!$X$9,T178*S178,IF(AND(P178='G-1 All Habitats'!$X$9,W178&gt;0),X178+(Y178*S178),IF(AND(P178='G-1 All Habitats'!$X$9,V178&gt;0),X178+(Y178*S178),IF(AND(P178='G-1 All Habitats'!$X$9,AG178&gt;0),"Any Loss Unacceptable  ⚠",IF(AND(P178='G-1 All Habitats'!$X$9,Z178&gt;0),"Any Loss Unacceptable ⚠",H178*J178*L178*O178*S178))))))),"Check Data ⚠")</f>
        <v/>
      </c>
      <c r="R178" s="393"/>
      <c r="S178" s="510" t="str">
        <f>IF(R178="","",IF(VLOOKUP(R178,'G-3 Multipliers'!$S$3:$T$10,2,FALSE)=0,"Spatial Data Missing ⚠",VLOOKUP(R178,'G-3 Multipliers'!$S$3:$T$10,2,FALSE)))</f>
        <v/>
      </c>
      <c r="T178" s="289" t="str">
        <f>IFERROR(IF(AND(F178&lt;&gt;"",G178=""),"Confirm irreplaceable habitat status ▲",(IF(AND(R178&lt;&gt;"",AF178=""),"Off-site reference required ▲",(IF(AND(E178="Individual trees",W178&gt;0,G178="Yes"),"Error - you cannot enhance irreplaceable individual trees ▲",(IF(AND(X178="Irreplaceable habitat - no units generated ⚠",(W178+V178)&lt;H178,OR(AB178="No",AB178="")),"Any Loss Unacceptable ⚠",(IF(X178="Irreplaceable habitat - no units generated ⚠",W178*J178*L178*O178,IF(AND(P178='G-1 All Habitats'!$X$9,AH178&gt;0,V178&lt;=0,W178&lt;=0,OR(AB178="No",AB178="")),"Any Loss Unacceptable ⚠",IF(AND(P178='G-1 All Habitats'!$X$9,AH178&gt;0,V178&lt;=0,W178&lt;=0),0,(IF(AND(P178='G-1 All Habitats'!$X$9,(W178+V178)&lt;H178,OR(AB178="No",AB178="")),"Any Loss Unacceptable ⚠",(IF(P178="","",IF(AND(P178='G-1 All Habitats'!$X$9,W178&gt;0),X178+Y178,IF(AND(P178='G-1 All Habitats'!$X$9,V178&gt;0),X178+Y178,IF(R178="","",H178*J178*L178*O178)))))))))))))))))),"Check Data ▲")</f>
        <v/>
      </c>
      <c r="U178" s="38"/>
      <c r="V178" s="52"/>
      <c r="W178" s="53"/>
      <c r="X178" s="287" t="str">
        <f t="shared" si="20"/>
        <v/>
      </c>
      <c r="Y178" s="287" t="str">
        <f t="shared" si="21"/>
        <v/>
      </c>
      <c r="Z178" s="287" t="str">
        <f t="shared" si="22"/>
        <v/>
      </c>
      <c r="AA178" s="317" t="str">
        <f>IFERROR(IF(AND(E178="Individual trees",G178="Yes",W178&gt;0),"Error - you cannot enhance an irreplaceable tree ▲",(IF(H178="","",IF(H178-V178-W178=0&lt;0,"Error in Areas ▲",IF(V178+W178&gt;H178,"Error in Areas ▲",IF(AND(P178='G-1 All Habitats'!$X$9,AB178="Yes"),"Alternative Compensation ✓",IF(AND(P178='G-1 All Habitats'!$X$3,AB178="Yes"),"Alternative Compensation ✓",IF(AND(AB178="Pending",P178='G-1 All Habitats'!$X$3),"Bespoke compensation must be agreed ▲",IF(AND(AB178="Pending",P178='G-1 All Habitats'!$X$9),"Bespoke compensation must be agreed  ▲",IF(Z178=0,0,IF(P178='G-1 All Habitats'!$X$9,"Any Loss Unacceptable ▲",T178-X178-Y178))))))))))),"Check Data ⚠")</f>
        <v/>
      </c>
      <c r="AB178" s="587"/>
      <c r="AC178" s="105"/>
      <c r="AD178" s="138"/>
      <c r="AE178" s="104"/>
      <c r="AF178" s="611"/>
      <c r="AG178" s="523" t="str">
        <f>IF(OR(P178="",AB178="Yes"),"",IF(P178='G-1 All Habitats'!$X$9,H178-V178-W178,"None"))</f>
        <v/>
      </c>
      <c r="AH178" s="523" t="str">
        <f>IF(P178="","",IF(P178='G-1 All Habitats'!$X$9,AG178*J178*L178*O178,"None"))</f>
        <v/>
      </c>
      <c r="AJ178" s="107" t="str">
        <f t="shared" si="23"/>
        <v/>
      </c>
      <c r="AK178" s="107" t="str">
        <f t="shared" si="26"/>
        <v/>
      </c>
      <c r="AL178" s="107" t="str">
        <f>IF(I178="","",IF(#REF!&gt;0,TRUE,FALSE))</f>
        <v/>
      </c>
      <c r="AM178" s="107">
        <v>168</v>
      </c>
      <c r="AN178" s="107"/>
      <c r="AO178" s="107" t="str">
        <f t="array" ref="AO178">IFERROR(INDEX($AM$11:$AM$259,MATCH(0,IF(TRUE=$AJ$11:$AJ$259,COUNTIF($AO$10:$AO177,$AM$11:$AM$259),""),0)),"")</f>
        <v/>
      </c>
      <c r="AP178" s="107" t="str">
        <f t="array" ref="AP178">IFERROR(INDEX($AM$11:$AM$259,MATCH(0,IF(TRUE=$AK$11:$AK$259,COUNTIF($AP$10:$AP177,$AM$11:$AM$259),""),0)),"")</f>
        <v/>
      </c>
      <c r="AQ178" s="107" t="str">
        <f t="array" ref="AQ178">IFERROR(INDEX($AM$11:$AM$259,MATCH(0,IF(TRUE=$AL$11:$AL$259,COUNTIF($AQ$10:$AQ177,$AM$11:$AM$259),""),0)),"")</f>
        <v/>
      </c>
      <c r="AS178" s="885" t="str">
        <f>IF(AND(OR(AB178="Yes",AB178="Pending"),P178='G-1 All Habitats'!$X$3),T178-X178-Y178,"0")</f>
        <v>0</v>
      </c>
      <c r="AT178" s="30" t="str">
        <f t="shared" si="19"/>
        <v/>
      </c>
      <c r="AU178" s="30">
        <f t="shared" si="24"/>
        <v>0</v>
      </c>
      <c r="AV178" s="230" t="str">
        <f>IFERROR(INDEX('G-1 All Habitats'!$B$3:$B$135,MATCH(F178,'G-1 All Habitats'!$A$3:$A$135,0)),"")</f>
        <v/>
      </c>
      <c r="AW178" s="30" t="str">
        <f>IF(AV178="","",VLOOKUP(AV178,'G-1 All Habitats'!$B$1:$T$135,19,FALSE))</f>
        <v/>
      </c>
      <c r="AY178" s="287" t="str">
        <f t="shared" si="25"/>
        <v/>
      </c>
    </row>
    <row r="179" spans="1:51" ht="14">
      <c r="A179" s="30" t="str">
        <f>IFERROR(INDEX('G-1 All Habitats'!$AG$3:$AG$17,MATCH(E179,'G-1 All Habitats'!$AF$3:$AF$17,0)),"")</f>
        <v/>
      </c>
      <c r="B179" s="30" t="str">
        <f>IFERROR(INDEX('G-8 Condition Look up'!$I$4:$I$135,MATCH(AV179,'G-8 Condition Look up'!$A$4:$A$135,0)),"")</f>
        <v/>
      </c>
      <c r="D179" s="97">
        <v>169</v>
      </c>
      <c r="E179" s="262"/>
      <c r="F179" s="263"/>
      <c r="G179" s="133"/>
      <c r="H179" s="115"/>
      <c r="I179" s="509" t="str">
        <f>IF(AV179="","",IF(AND(AW179="Yes",G179="No"),"Irreplaceable habitat ▲",IF(AND(AW179="No",G179="Yes"),"Cannot be Irreplaceable ▲",VLOOKUP(AV179,'G-1 All Habitats'!$B$2:$M$135,10,FALSE))))</f>
        <v/>
      </c>
      <c r="J179" s="377" t="str">
        <f>IFERROR(VLOOKUP(I179,'G-1 All Habitats'!$V$3:$W$7,2,FALSE),"")</f>
        <v/>
      </c>
      <c r="K179" s="101"/>
      <c r="L179" s="276" t="str">
        <f>IFERROR(INDEX('G-8 Condition Look up'!$A$3:$H$135,MATCH(AV179,'G-8 Condition Look up'!$A$3:$A$135,0),MATCH(K179,'G-8 Condition Look up'!$A$3:$H$3,0)),"")</f>
        <v/>
      </c>
      <c r="M179" s="105"/>
      <c r="N179" s="295" t="str">
        <f>IF(M179="","",IF(VLOOKUP(M179,'G-3 Multipliers'!$L$3:$N$6,2,FALSE)=0,"Spatial Data Missing ⚠",VLOOKUP(M179,'G-3 Multipliers'!$L$3:$N$6,2,FALSE)))</f>
        <v/>
      </c>
      <c r="O179" s="353" t="str">
        <f>IF(M179="","",IF(VLOOKUP(M179,'G-3 Multipliers'!$L$3:$N$6,3,FALSE)=0,"Spatial Data Missing ⚠",VLOOKUP(M179,'G-3 Multipliers'!$L$3:$N$6,3,FALSE)))</f>
        <v/>
      </c>
      <c r="P179" s="336" t="str">
        <f>(IF(G179="Yes","Bespoke compensation likely to be required",(IFERROR(VLOOKUP(AV179,'G-1 All Habitats'!$B$2:$M$135,12,FALSE),""))))</f>
        <v/>
      </c>
      <c r="Q179" s="511" t="str">
        <f>IFERROR(IF(P179="","",IF(AND(E179="Individual trees",W179&gt;0,G179="Yes"),"Error - you cannot enhance irreplaceable individual trees ▲",IF(P179='G-1 All Habitats'!$X$9,T179*S179,IF(AND(P179='G-1 All Habitats'!$X$9,W179&gt;0),X179+(Y179*S179),IF(AND(P179='G-1 All Habitats'!$X$9,V179&gt;0),X179+(Y179*S179),IF(AND(P179='G-1 All Habitats'!$X$9,AG179&gt;0),"Any Loss Unacceptable  ⚠",IF(AND(P179='G-1 All Habitats'!$X$9,Z179&gt;0),"Any Loss Unacceptable ⚠",H179*J179*L179*O179*S179))))))),"Check Data ⚠")</f>
        <v/>
      </c>
      <c r="R179" s="393"/>
      <c r="S179" s="510" t="str">
        <f>IF(R179="","",IF(VLOOKUP(R179,'G-3 Multipliers'!$S$3:$T$10,2,FALSE)=0,"Spatial Data Missing ⚠",VLOOKUP(R179,'G-3 Multipliers'!$S$3:$T$10,2,FALSE)))</f>
        <v/>
      </c>
      <c r="T179" s="289" t="str">
        <f>IFERROR(IF(AND(F179&lt;&gt;"",G179=""),"Confirm irreplaceable habitat status ▲",(IF(AND(R179&lt;&gt;"",AF179=""),"Off-site reference required ▲",(IF(AND(E179="Individual trees",W179&gt;0,G179="Yes"),"Error - you cannot enhance irreplaceable individual trees ▲",(IF(AND(X179="Irreplaceable habitat - no units generated ⚠",(W179+V179)&lt;H179,OR(AB179="No",AB179="")),"Any Loss Unacceptable ⚠",(IF(X179="Irreplaceable habitat - no units generated ⚠",W179*J179*L179*O179,IF(AND(P179='G-1 All Habitats'!$X$9,AH179&gt;0,V179&lt;=0,W179&lt;=0,OR(AB179="No",AB179="")),"Any Loss Unacceptable ⚠",IF(AND(P179='G-1 All Habitats'!$X$9,AH179&gt;0,V179&lt;=0,W179&lt;=0),0,(IF(AND(P179='G-1 All Habitats'!$X$9,(W179+V179)&lt;H179,OR(AB179="No",AB179="")),"Any Loss Unacceptable ⚠",(IF(P179="","",IF(AND(P179='G-1 All Habitats'!$X$9,W179&gt;0),X179+Y179,IF(AND(P179='G-1 All Habitats'!$X$9,V179&gt;0),X179+Y179,IF(R179="","",H179*J179*L179*O179)))))))))))))))))),"Check Data ▲")</f>
        <v/>
      </c>
      <c r="U179" s="38"/>
      <c r="V179" s="52"/>
      <c r="W179" s="53"/>
      <c r="X179" s="287" t="str">
        <f t="shared" si="20"/>
        <v/>
      </c>
      <c r="Y179" s="287" t="str">
        <f t="shared" si="21"/>
        <v/>
      </c>
      <c r="Z179" s="287" t="str">
        <f t="shared" si="22"/>
        <v/>
      </c>
      <c r="AA179" s="317" t="str">
        <f>IFERROR(IF(AND(E179="Individual trees",G179="Yes",W179&gt;0),"Error - you cannot enhance an irreplaceable tree ▲",(IF(H179="","",IF(H179-V179-W179=0&lt;0,"Error in Areas ▲",IF(V179+W179&gt;H179,"Error in Areas ▲",IF(AND(P179='G-1 All Habitats'!$X$9,AB179="Yes"),"Alternative Compensation ✓",IF(AND(P179='G-1 All Habitats'!$X$3,AB179="Yes"),"Alternative Compensation ✓",IF(AND(AB179="Pending",P179='G-1 All Habitats'!$X$3),"Bespoke compensation must be agreed ▲",IF(AND(AB179="Pending",P179='G-1 All Habitats'!$X$9),"Bespoke compensation must be agreed  ▲",IF(Z179=0,0,IF(P179='G-1 All Habitats'!$X$9,"Any Loss Unacceptable ▲",T179-X179-Y179))))))))))),"Check Data ⚠")</f>
        <v/>
      </c>
      <c r="AB179" s="587"/>
      <c r="AC179" s="105"/>
      <c r="AD179" s="138"/>
      <c r="AE179" s="104"/>
      <c r="AF179" s="611"/>
      <c r="AG179" s="523" t="str">
        <f>IF(OR(P179="",AB179="Yes"),"",IF(P179='G-1 All Habitats'!$X$9,H179-V179-W179,"None"))</f>
        <v/>
      </c>
      <c r="AH179" s="523" t="str">
        <f>IF(P179="","",IF(P179='G-1 All Habitats'!$X$9,AG179*J179*L179*O179,"None"))</f>
        <v/>
      </c>
      <c r="AJ179" s="107" t="str">
        <f t="shared" si="23"/>
        <v/>
      </c>
      <c r="AK179" s="107" t="str">
        <f t="shared" si="26"/>
        <v/>
      </c>
      <c r="AL179" s="107" t="str">
        <f>IF(I179="","",IF(#REF!&gt;0,TRUE,FALSE))</f>
        <v/>
      </c>
      <c r="AM179" s="107">
        <v>169</v>
      </c>
      <c r="AN179" s="107"/>
      <c r="AO179" s="107" t="str">
        <f t="array" ref="AO179">IFERROR(INDEX($AM$11:$AM$259,MATCH(0,IF(TRUE=$AJ$11:$AJ$259,COUNTIF($AO$10:$AO178,$AM$11:$AM$259),""),0)),"")</f>
        <v/>
      </c>
      <c r="AP179" s="107" t="str">
        <f t="array" ref="AP179">IFERROR(INDEX($AM$11:$AM$259,MATCH(0,IF(TRUE=$AK$11:$AK$259,COUNTIF($AP$10:$AP178,$AM$11:$AM$259),""),0)),"")</f>
        <v/>
      </c>
      <c r="AQ179" s="107" t="str">
        <f t="array" ref="AQ179">IFERROR(INDEX($AM$11:$AM$259,MATCH(0,IF(TRUE=$AL$11:$AL$259,COUNTIF($AQ$10:$AQ178,$AM$11:$AM$259),""),0)),"")</f>
        <v/>
      </c>
      <c r="AS179" s="885" t="str">
        <f>IF(AND(OR(AB179="Yes",AB179="Pending"),P179='G-1 All Habitats'!$X$3),T179-X179-Y179,"0")</f>
        <v>0</v>
      </c>
      <c r="AT179" s="30" t="str">
        <f t="shared" si="19"/>
        <v/>
      </c>
      <c r="AU179" s="30">
        <f t="shared" si="24"/>
        <v>0</v>
      </c>
      <c r="AV179" s="230" t="str">
        <f>IFERROR(INDEX('G-1 All Habitats'!$B$3:$B$135,MATCH(F179,'G-1 All Habitats'!$A$3:$A$135,0)),"")</f>
        <v/>
      </c>
      <c r="AW179" s="30" t="str">
        <f>IF(AV179="","",VLOOKUP(AV179,'G-1 All Habitats'!$B$1:$T$135,19,FALSE))</f>
        <v/>
      </c>
      <c r="AY179" s="287" t="str">
        <f t="shared" si="25"/>
        <v/>
      </c>
    </row>
    <row r="180" spans="1:51" ht="14">
      <c r="A180" s="30" t="str">
        <f>IFERROR(INDEX('G-1 All Habitats'!$AG$3:$AG$17,MATCH(E180,'G-1 All Habitats'!$AF$3:$AF$17,0)),"")</f>
        <v/>
      </c>
      <c r="B180" s="30" t="str">
        <f>IFERROR(INDEX('G-8 Condition Look up'!$I$4:$I$135,MATCH(AV180,'G-8 Condition Look up'!$A$4:$A$135,0)),"")</f>
        <v/>
      </c>
      <c r="D180" s="97">
        <v>170</v>
      </c>
      <c r="E180" s="262"/>
      <c r="F180" s="263"/>
      <c r="G180" s="133"/>
      <c r="H180" s="115"/>
      <c r="I180" s="509" t="str">
        <f>IF(AV180="","",IF(AND(AW180="Yes",G180="No"),"Irreplaceable habitat ▲",IF(AND(AW180="No",G180="Yes"),"Cannot be Irreplaceable ▲",VLOOKUP(AV180,'G-1 All Habitats'!$B$2:$M$135,10,FALSE))))</f>
        <v/>
      </c>
      <c r="J180" s="377" t="str">
        <f>IFERROR(VLOOKUP(I180,'G-1 All Habitats'!$V$3:$W$7,2,FALSE),"")</f>
        <v/>
      </c>
      <c r="K180" s="101"/>
      <c r="L180" s="276" t="str">
        <f>IFERROR(INDEX('G-8 Condition Look up'!$A$3:$H$135,MATCH(AV180,'G-8 Condition Look up'!$A$3:$A$135,0),MATCH(K180,'G-8 Condition Look up'!$A$3:$H$3,0)),"")</f>
        <v/>
      </c>
      <c r="M180" s="105"/>
      <c r="N180" s="295" t="str">
        <f>IF(M180="","",IF(VLOOKUP(M180,'G-3 Multipliers'!$L$3:$N$6,2,FALSE)=0,"Spatial Data Missing ⚠",VLOOKUP(M180,'G-3 Multipliers'!$L$3:$N$6,2,FALSE)))</f>
        <v/>
      </c>
      <c r="O180" s="353" t="str">
        <f>IF(M180="","",IF(VLOOKUP(M180,'G-3 Multipliers'!$L$3:$N$6,3,FALSE)=0,"Spatial Data Missing ⚠",VLOOKUP(M180,'G-3 Multipliers'!$L$3:$N$6,3,FALSE)))</f>
        <v/>
      </c>
      <c r="P180" s="336" t="str">
        <f>(IF(G180="Yes","Bespoke compensation likely to be required",(IFERROR(VLOOKUP(AV180,'G-1 All Habitats'!$B$2:$M$135,12,FALSE),""))))</f>
        <v/>
      </c>
      <c r="Q180" s="511" t="str">
        <f>IFERROR(IF(P180="","",IF(AND(E180="Individual trees",W180&gt;0,G180="Yes"),"Error - you cannot enhance irreplaceable individual trees ▲",IF(P180='G-1 All Habitats'!$X$9,T180*S180,IF(AND(P180='G-1 All Habitats'!$X$9,W180&gt;0),X180+(Y180*S180),IF(AND(P180='G-1 All Habitats'!$X$9,V180&gt;0),X180+(Y180*S180),IF(AND(P180='G-1 All Habitats'!$X$9,AG180&gt;0),"Any Loss Unacceptable  ⚠",IF(AND(P180='G-1 All Habitats'!$X$9,Z180&gt;0),"Any Loss Unacceptable ⚠",H180*J180*L180*O180*S180))))))),"Check Data ⚠")</f>
        <v/>
      </c>
      <c r="R180" s="393"/>
      <c r="S180" s="510" t="str">
        <f>IF(R180="","",IF(VLOOKUP(R180,'G-3 Multipliers'!$S$3:$T$10,2,FALSE)=0,"Spatial Data Missing ⚠",VLOOKUP(R180,'G-3 Multipliers'!$S$3:$T$10,2,FALSE)))</f>
        <v/>
      </c>
      <c r="T180" s="289" t="str">
        <f>IFERROR(IF(AND(F180&lt;&gt;"",G180=""),"Confirm irreplaceable habitat status ▲",(IF(AND(R180&lt;&gt;"",AF180=""),"Off-site reference required ▲",(IF(AND(E180="Individual trees",W180&gt;0,G180="Yes"),"Error - you cannot enhance irreplaceable individual trees ▲",(IF(AND(X180="Irreplaceable habitat - no units generated ⚠",(W180+V180)&lt;H180,OR(AB180="No",AB180="")),"Any Loss Unacceptable ⚠",(IF(X180="Irreplaceable habitat - no units generated ⚠",W180*J180*L180*O180,IF(AND(P180='G-1 All Habitats'!$X$9,AH180&gt;0,V180&lt;=0,W180&lt;=0,OR(AB180="No",AB180="")),"Any Loss Unacceptable ⚠",IF(AND(P180='G-1 All Habitats'!$X$9,AH180&gt;0,V180&lt;=0,W180&lt;=0),0,(IF(AND(P180='G-1 All Habitats'!$X$9,(W180+V180)&lt;H180,OR(AB180="No",AB180="")),"Any Loss Unacceptable ⚠",(IF(P180="","",IF(AND(P180='G-1 All Habitats'!$X$9,W180&gt;0),X180+Y180,IF(AND(P180='G-1 All Habitats'!$X$9,V180&gt;0),X180+Y180,IF(R180="","",H180*J180*L180*O180)))))))))))))))))),"Check Data ▲")</f>
        <v/>
      </c>
      <c r="U180" s="38"/>
      <c r="V180" s="52"/>
      <c r="W180" s="53"/>
      <c r="X180" s="287" t="str">
        <f t="shared" si="20"/>
        <v/>
      </c>
      <c r="Y180" s="287" t="str">
        <f t="shared" si="21"/>
        <v/>
      </c>
      <c r="Z180" s="287" t="str">
        <f t="shared" si="22"/>
        <v/>
      </c>
      <c r="AA180" s="317" t="str">
        <f>IFERROR(IF(AND(E180="Individual trees",G180="Yes",W180&gt;0),"Error - you cannot enhance an irreplaceable tree ▲",(IF(H180="","",IF(H180-V180-W180=0&lt;0,"Error in Areas ▲",IF(V180+W180&gt;H180,"Error in Areas ▲",IF(AND(P180='G-1 All Habitats'!$X$9,AB180="Yes"),"Alternative Compensation ✓",IF(AND(P180='G-1 All Habitats'!$X$3,AB180="Yes"),"Alternative Compensation ✓",IF(AND(AB180="Pending",P180='G-1 All Habitats'!$X$3),"Bespoke compensation must be agreed ▲",IF(AND(AB180="Pending",P180='G-1 All Habitats'!$X$9),"Bespoke compensation must be agreed  ▲",IF(Z180=0,0,IF(P180='G-1 All Habitats'!$X$9,"Any Loss Unacceptable ▲",T180-X180-Y180))))))))))),"Check Data ⚠")</f>
        <v/>
      </c>
      <c r="AB180" s="587"/>
      <c r="AC180" s="105"/>
      <c r="AD180" s="138"/>
      <c r="AE180" s="104"/>
      <c r="AF180" s="611"/>
      <c r="AG180" s="523" t="str">
        <f>IF(OR(P180="",AB180="Yes"),"",IF(P180='G-1 All Habitats'!$X$9,H180-V180-W180,"None"))</f>
        <v/>
      </c>
      <c r="AH180" s="523" t="str">
        <f>IF(P180="","",IF(P180='G-1 All Habitats'!$X$9,AG180*J180*L180*O180,"None"))</f>
        <v/>
      </c>
      <c r="AJ180" s="107" t="str">
        <f t="shared" si="23"/>
        <v/>
      </c>
      <c r="AK180" s="107" t="str">
        <f t="shared" si="26"/>
        <v/>
      </c>
      <c r="AL180" s="107" t="str">
        <f>IF(I180="","",IF(#REF!&gt;0,TRUE,FALSE))</f>
        <v/>
      </c>
      <c r="AM180" s="107">
        <v>170</v>
      </c>
      <c r="AN180" s="107"/>
      <c r="AO180" s="107" t="str">
        <f t="array" ref="AO180">IFERROR(INDEX($AM$11:$AM$259,MATCH(0,IF(TRUE=$AJ$11:$AJ$259,COUNTIF($AO$10:$AO179,$AM$11:$AM$259),""),0)),"")</f>
        <v/>
      </c>
      <c r="AP180" s="107" t="str">
        <f t="array" ref="AP180">IFERROR(INDEX($AM$11:$AM$259,MATCH(0,IF(TRUE=$AK$11:$AK$259,COUNTIF($AP$10:$AP179,$AM$11:$AM$259),""),0)),"")</f>
        <v/>
      </c>
      <c r="AQ180" s="107" t="str">
        <f t="array" ref="AQ180">IFERROR(INDEX($AM$11:$AM$259,MATCH(0,IF(TRUE=$AL$11:$AL$259,COUNTIF($AQ$10:$AQ179,$AM$11:$AM$259),""),0)),"")</f>
        <v/>
      </c>
      <c r="AS180" s="885" t="str">
        <f>IF(AND(OR(AB180="Yes",AB180="Pending"),P180='G-1 All Habitats'!$X$3),T180-X180-Y180,"0")</f>
        <v>0</v>
      </c>
      <c r="AT180" s="30" t="str">
        <f t="shared" si="19"/>
        <v/>
      </c>
      <c r="AU180" s="30">
        <f t="shared" si="24"/>
        <v>0</v>
      </c>
      <c r="AV180" s="230" t="str">
        <f>IFERROR(INDEX('G-1 All Habitats'!$B$3:$B$135,MATCH(F180,'G-1 All Habitats'!$A$3:$A$135,0)),"")</f>
        <v/>
      </c>
      <c r="AW180" s="30" t="str">
        <f>IF(AV180="","",VLOOKUP(AV180,'G-1 All Habitats'!$B$1:$T$135,19,FALSE))</f>
        <v/>
      </c>
      <c r="AY180" s="287" t="str">
        <f t="shared" si="25"/>
        <v/>
      </c>
    </row>
    <row r="181" spans="1:51" ht="14">
      <c r="A181" s="30" t="str">
        <f>IFERROR(INDEX('G-1 All Habitats'!$AG$3:$AG$17,MATCH(E181,'G-1 All Habitats'!$AF$3:$AF$17,0)),"")</f>
        <v/>
      </c>
      <c r="B181" s="30" t="str">
        <f>IFERROR(INDEX('G-8 Condition Look up'!$I$4:$I$135,MATCH(AV181,'G-8 Condition Look up'!$A$4:$A$135,0)),"")</f>
        <v/>
      </c>
      <c r="D181" s="97">
        <v>171</v>
      </c>
      <c r="E181" s="262"/>
      <c r="F181" s="263"/>
      <c r="G181" s="133"/>
      <c r="H181" s="115"/>
      <c r="I181" s="509" t="str">
        <f>IF(AV181="","",IF(AND(AW181="Yes",G181="No"),"Irreplaceable habitat ▲",IF(AND(AW181="No",G181="Yes"),"Cannot be Irreplaceable ▲",VLOOKUP(AV181,'G-1 All Habitats'!$B$2:$M$135,10,FALSE))))</f>
        <v/>
      </c>
      <c r="J181" s="377" t="str">
        <f>IFERROR(VLOOKUP(I181,'G-1 All Habitats'!$V$3:$W$7,2,FALSE),"")</f>
        <v/>
      </c>
      <c r="K181" s="101"/>
      <c r="L181" s="276" t="str">
        <f>IFERROR(INDEX('G-8 Condition Look up'!$A$3:$H$135,MATCH(AV181,'G-8 Condition Look up'!$A$3:$A$135,0),MATCH(K181,'G-8 Condition Look up'!$A$3:$H$3,0)),"")</f>
        <v/>
      </c>
      <c r="M181" s="105"/>
      <c r="N181" s="295" t="str">
        <f>IF(M181="","",IF(VLOOKUP(M181,'G-3 Multipliers'!$L$3:$N$6,2,FALSE)=0,"Spatial Data Missing ⚠",VLOOKUP(M181,'G-3 Multipliers'!$L$3:$N$6,2,FALSE)))</f>
        <v/>
      </c>
      <c r="O181" s="353" t="str">
        <f>IF(M181="","",IF(VLOOKUP(M181,'G-3 Multipliers'!$L$3:$N$6,3,FALSE)=0,"Spatial Data Missing ⚠",VLOOKUP(M181,'G-3 Multipliers'!$L$3:$N$6,3,FALSE)))</f>
        <v/>
      </c>
      <c r="P181" s="336" t="str">
        <f>(IF(G181="Yes","Bespoke compensation likely to be required",(IFERROR(VLOOKUP(AV181,'G-1 All Habitats'!$B$2:$M$135,12,FALSE),""))))</f>
        <v/>
      </c>
      <c r="Q181" s="511" t="str">
        <f>IFERROR(IF(P181="","",IF(AND(E181="Individual trees",W181&gt;0,G181="Yes"),"Error - you cannot enhance irreplaceable individual trees ▲",IF(P181='G-1 All Habitats'!$X$9,T181*S181,IF(AND(P181='G-1 All Habitats'!$X$9,W181&gt;0),X181+(Y181*S181),IF(AND(P181='G-1 All Habitats'!$X$9,V181&gt;0),X181+(Y181*S181),IF(AND(P181='G-1 All Habitats'!$X$9,AG181&gt;0),"Any Loss Unacceptable  ⚠",IF(AND(P181='G-1 All Habitats'!$X$9,Z181&gt;0),"Any Loss Unacceptable ⚠",H181*J181*L181*O181*S181))))))),"Check Data ⚠")</f>
        <v/>
      </c>
      <c r="R181" s="393"/>
      <c r="S181" s="510" t="str">
        <f>IF(R181="","",IF(VLOOKUP(R181,'G-3 Multipliers'!$S$3:$T$10,2,FALSE)=0,"Spatial Data Missing ⚠",VLOOKUP(R181,'G-3 Multipliers'!$S$3:$T$10,2,FALSE)))</f>
        <v/>
      </c>
      <c r="T181" s="289" t="str">
        <f>IFERROR(IF(AND(F181&lt;&gt;"",G181=""),"Confirm irreplaceable habitat status ▲",(IF(AND(R181&lt;&gt;"",AF181=""),"Off-site reference required ▲",(IF(AND(E181="Individual trees",W181&gt;0,G181="Yes"),"Error - you cannot enhance irreplaceable individual trees ▲",(IF(AND(X181="Irreplaceable habitat - no units generated ⚠",(W181+V181)&lt;H181,OR(AB181="No",AB181="")),"Any Loss Unacceptable ⚠",(IF(X181="Irreplaceable habitat - no units generated ⚠",W181*J181*L181*O181,IF(AND(P181='G-1 All Habitats'!$X$9,AH181&gt;0,V181&lt;=0,W181&lt;=0,OR(AB181="No",AB181="")),"Any Loss Unacceptable ⚠",IF(AND(P181='G-1 All Habitats'!$X$9,AH181&gt;0,V181&lt;=0,W181&lt;=0),0,(IF(AND(P181='G-1 All Habitats'!$X$9,(W181+V181)&lt;H181,OR(AB181="No",AB181="")),"Any Loss Unacceptable ⚠",(IF(P181="","",IF(AND(P181='G-1 All Habitats'!$X$9,W181&gt;0),X181+Y181,IF(AND(P181='G-1 All Habitats'!$X$9,V181&gt;0),X181+Y181,IF(R181="","",H181*J181*L181*O181)))))))))))))))))),"Check Data ▲")</f>
        <v/>
      </c>
      <c r="U181" s="38"/>
      <c r="V181" s="52"/>
      <c r="W181" s="53"/>
      <c r="X181" s="287" t="str">
        <f t="shared" si="20"/>
        <v/>
      </c>
      <c r="Y181" s="287" t="str">
        <f t="shared" si="21"/>
        <v/>
      </c>
      <c r="Z181" s="287" t="str">
        <f t="shared" si="22"/>
        <v/>
      </c>
      <c r="AA181" s="317" t="str">
        <f>IFERROR(IF(AND(E181="Individual trees",G181="Yes",W181&gt;0),"Error - you cannot enhance an irreplaceable tree ▲",(IF(H181="","",IF(H181-V181-W181=0&lt;0,"Error in Areas ▲",IF(V181+W181&gt;H181,"Error in Areas ▲",IF(AND(P181='G-1 All Habitats'!$X$9,AB181="Yes"),"Alternative Compensation ✓",IF(AND(P181='G-1 All Habitats'!$X$3,AB181="Yes"),"Alternative Compensation ✓",IF(AND(AB181="Pending",P181='G-1 All Habitats'!$X$3),"Bespoke compensation must be agreed ▲",IF(AND(AB181="Pending",P181='G-1 All Habitats'!$X$9),"Bespoke compensation must be agreed  ▲",IF(Z181=0,0,IF(P181='G-1 All Habitats'!$X$9,"Any Loss Unacceptable ▲",T181-X181-Y181))))))))))),"Check Data ⚠")</f>
        <v/>
      </c>
      <c r="AB181" s="587"/>
      <c r="AC181" s="105"/>
      <c r="AD181" s="138"/>
      <c r="AE181" s="104"/>
      <c r="AF181" s="611"/>
      <c r="AG181" s="523" t="str">
        <f>IF(OR(P181="",AB181="Yes"),"",IF(P181='G-1 All Habitats'!$X$9,H181-V181-W181,"None"))</f>
        <v/>
      </c>
      <c r="AH181" s="523" t="str">
        <f>IF(P181="","",IF(P181='G-1 All Habitats'!$X$9,AG181*J181*L181*O181,"None"))</f>
        <v/>
      </c>
      <c r="AJ181" s="107" t="str">
        <f t="shared" si="23"/>
        <v/>
      </c>
      <c r="AK181" s="107" t="str">
        <f t="shared" si="26"/>
        <v/>
      </c>
      <c r="AL181" s="107" t="str">
        <f>IF(I181="","",IF(#REF!&gt;0,TRUE,FALSE))</f>
        <v/>
      </c>
      <c r="AM181" s="107">
        <v>171</v>
      </c>
      <c r="AN181" s="107"/>
      <c r="AO181" s="107" t="str">
        <f t="array" ref="AO181">IFERROR(INDEX($AM$11:$AM$259,MATCH(0,IF(TRUE=$AJ$11:$AJ$259,COUNTIF($AO$10:$AO180,$AM$11:$AM$259),""),0)),"")</f>
        <v/>
      </c>
      <c r="AP181" s="107" t="str">
        <f t="array" ref="AP181">IFERROR(INDEX($AM$11:$AM$259,MATCH(0,IF(TRUE=$AK$11:$AK$259,COUNTIF($AP$10:$AP180,$AM$11:$AM$259),""),0)),"")</f>
        <v/>
      </c>
      <c r="AQ181" s="107" t="str">
        <f t="array" ref="AQ181">IFERROR(INDEX($AM$11:$AM$259,MATCH(0,IF(TRUE=$AL$11:$AL$259,COUNTIF($AQ$10:$AQ180,$AM$11:$AM$259),""),0)),"")</f>
        <v/>
      </c>
      <c r="AS181" s="885" t="str">
        <f>IF(AND(OR(AB181="Yes",AB181="Pending"),P181='G-1 All Habitats'!$X$3),T181-X181-Y181,"0")</f>
        <v>0</v>
      </c>
      <c r="AT181" s="30" t="str">
        <f t="shared" si="19"/>
        <v/>
      </c>
      <c r="AU181" s="30">
        <f t="shared" si="24"/>
        <v>0</v>
      </c>
      <c r="AV181" s="230" t="str">
        <f>IFERROR(INDEX('G-1 All Habitats'!$B$3:$B$135,MATCH(F181,'G-1 All Habitats'!$A$3:$A$135,0)),"")</f>
        <v/>
      </c>
      <c r="AW181" s="30" t="str">
        <f>IF(AV181="","",VLOOKUP(AV181,'G-1 All Habitats'!$B$1:$T$135,19,FALSE))</f>
        <v/>
      </c>
      <c r="AY181" s="287" t="str">
        <f t="shared" si="25"/>
        <v/>
      </c>
    </row>
    <row r="182" spans="1:51" ht="14">
      <c r="A182" s="30" t="str">
        <f>IFERROR(INDEX('G-1 All Habitats'!$AG$3:$AG$17,MATCH(E182,'G-1 All Habitats'!$AF$3:$AF$17,0)),"")</f>
        <v/>
      </c>
      <c r="B182" s="30" t="str">
        <f>IFERROR(INDEX('G-8 Condition Look up'!$I$4:$I$135,MATCH(AV182,'G-8 Condition Look up'!$A$4:$A$135,0)),"")</f>
        <v/>
      </c>
      <c r="D182" s="97">
        <v>172</v>
      </c>
      <c r="E182" s="262"/>
      <c r="F182" s="263"/>
      <c r="G182" s="133"/>
      <c r="H182" s="115"/>
      <c r="I182" s="509" t="str">
        <f>IF(AV182="","",IF(AND(AW182="Yes",G182="No"),"Irreplaceable habitat ▲",IF(AND(AW182="No",G182="Yes"),"Cannot be Irreplaceable ▲",VLOOKUP(AV182,'G-1 All Habitats'!$B$2:$M$135,10,FALSE))))</f>
        <v/>
      </c>
      <c r="J182" s="377" t="str">
        <f>IFERROR(VLOOKUP(I182,'G-1 All Habitats'!$V$3:$W$7,2,FALSE),"")</f>
        <v/>
      </c>
      <c r="K182" s="101"/>
      <c r="L182" s="276" t="str">
        <f>IFERROR(INDEX('G-8 Condition Look up'!$A$3:$H$135,MATCH(AV182,'G-8 Condition Look up'!$A$3:$A$135,0),MATCH(K182,'G-8 Condition Look up'!$A$3:$H$3,0)),"")</f>
        <v/>
      </c>
      <c r="M182" s="105"/>
      <c r="N182" s="295" t="str">
        <f>IF(M182="","",IF(VLOOKUP(M182,'G-3 Multipliers'!$L$3:$N$6,2,FALSE)=0,"Spatial Data Missing ⚠",VLOOKUP(M182,'G-3 Multipliers'!$L$3:$N$6,2,FALSE)))</f>
        <v/>
      </c>
      <c r="O182" s="353" t="str">
        <f>IF(M182="","",IF(VLOOKUP(M182,'G-3 Multipliers'!$L$3:$N$6,3,FALSE)=0,"Spatial Data Missing ⚠",VLOOKUP(M182,'G-3 Multipliers'!$L$3:$N$6,3,FALSE)))</f>
        <v/>
      </c>
      <c r="P182" s="336" t="str">
        <f>(IF(G182="Yes","Bespoke compensation likely to be required",(IFERROR(VLOOKUP(AV182,'G-1 All Habitats'!$B$2:$M$135,12,FALSE),""))))</f>
        <v/>
      </c>
      <c r="Q182" s="511" t="str">
        <f>IFERROR(IF(P182="","",IF(AND(E182="Individual trees",W182&gt;0,G182="Yes"),"Error - you cannot enhance irreplaceable individual trees ▲",IF(P182='G-1 All Habitats'!$X$9,T182*S182,IF(AND(P182='G-1 All Habitats'!$X$9,W182&gt;0),X182+(Y182*S182),IF(AND(P182='G-1 All Habitats'!$X$9,V182&gt;0),X182+(Y182*S182),IF(AND(P182='G-1 All Habitats'!$X$9,AG182&gt;0),"Any Loss Unacceptable  ⚠",IF(AND(P182='G-1 All Habitats'!$X$9,Z182&gt;0),"Any Loss Unacceptable ⚠",H182*J182*L182*O182*S182))))))),"Check Data ⚠")</f>
        <v/>
      </c>
      <c r="R182" s="393"/>
      <c r="S182" s="510" t="str">
        <f>IF(R182="","",IF(VLOOKUP(R182,'G-3 Multipliers'!$S$3:$T$10,2,FALSE)=0,"Spatial Data Missing ⚠",VLOOKUP(R182,'G-3 Multipliers'!$S$3:$T$10,2,FALSE)))</f>
        <v/>
      </c>
      <c r="T182" s="289" t="str">
        <f>IFERROR(IF(AND(F182&lt;&gt;"",G182=""),"Confirm irreplaceable habitat status ▲",(IF(AND(R182&lt;&gt;"",AF182=""),"Off-site reference required ▲",(IF(AND(E182="Individual trees",W182&gt;0,G182="Yes"),"Error - you cannot enhance irreplaceable individual trees ▲",(IF(AND(X182="Irreplaceable habitat - no units generated ⚠",(W182+V182)&lt;H182,OR(AB182="No",AB182="")),"Any Loss Unacceptable ⚠",(IF(X182="Irreplaceable habitat - no units generated ⚠",W182*J182*L182*O182,IF(AND(P182='G-1 All Habitats'!$X$9,AH182&gt;0,V182&lt;=0,W182&lt;=0,OR(AB182="No",AB182="")),"Any Loss Unacceptable ⚠",IF(AND(P182='G-1 All Habitats'!$X$9,AH182&gt;0,V182&lt;=0,W182&lt;=0),0,(IF(AND(P182='G-1 All Habitats'!$X$9,(W182+V182)&lt;H182,OR(AB182="No",AB182="")),"Any Loss Unacceptable ⚠",(IF(P182="","",IF(AND(P182='G-1 All Habitats'!$X$9,W182&gt;0),X182+Y182,IF(AND(P182='G-1 All Habitats'!$X$9,V182&gt;0),X182+Y182,IF(R182="","",H182*J182*L182*O182)))))))))))))))))),"Check Data ▲")</f>
        <v/>
      </c>
      <c r="U182" s="38"/>
      <c r="V182" s="52"/>
      <c r="W182" s="53"/>
      <c r="X182" s="287" t="str">
        <f t="shared" si="20"/>
        <v/>
      </c>
      <c r="Y182" s="287" t="str">
        <f t="shared" si="21"/>
        <v/>
      </c>
      <c r="Z182" s="287" t="str">
        <f t="shared" si="22"/>
        <v/>
      </c>
      <c r="AA182" s="317" t="str">
        <f>IFERROR(IF(AND(E182="Individual trees",G182="Yes",W182&gt;0),"Error - you cannot enhance an irreplaceable tree ▲",(IF(H182="","",IF(H182-V182-W182=0&lt;0,"Error in Areas ▲",IF(V182+W182&gt;H182,"Error in Areas ▲",IF(AND(P182='G-1 All Habitats'!$X$9,AB182="Yes"),"Alternative Compensation ✓",IF(AND(P182='G-1 All Habitats'!$X$3,AB182="Yes"),"Alternative Compensation ✓",IF(AND(AB182="Pending",P182='G-1 All Habitats'!$X$3),"Bespoke compensation must be agreed ▲",IF(AND(AB182="Pending",P182='G-1 All Habitats'!$X$9),"Bespoke compensation must be agreed  ▲",IF(Z182=0,0,IF(P182='G-1 All Habitats'!$X$9,"Any Loss Unacceptable ▲",T182-X182-Y182))))))))))),"Check Data ⚠")</f>
        <v/>
      </c>
      <c r="AB182" s="587"/>
      <c r="AC182" s="105"/>
      <c r="AD182" s="138"/>
      <c r="AE182" s="104"/>
      <c r="AF182" s="611"/>
      <c r="AG182" s="523" t="str">
        <f>IF(OR(P182="",AB182="Yes"),"",IF(P182='G-1 All Habitats'!$X$9,H182-V182-W182,"None"))</f>
        <v/>
      </c>
      <c r="AH182" s="523" t="str">
        <f>IF(P182="","",IF(P182='G-1 All Habitats'!$X$9,AG182*J182*L182*O182,"None"))</f>
        <v/>
      </c>
      <c r="AJ182" s="107" t="str">
        <f t="shared" si="23"/>
        <v/>
      </c>
      <c r="AK182" s="107" t="str">
        <f t="shared" si="26"/>
        <v/>
      </c>
      <c r="AL182" s="107" t="str">
        <f>IF(I182="","",IF(#REF!&gt;0,TRUE,FALSE))</f>
        <v/>
      </c>
      <c r="AM182" s="107">
        <v>172</v>
      </c>
      <c r="AN182" s="107"/>
      <c r="AO182" s="107" t="str">
        <f t="array" ref="AO182">IFERROR(INDEX($AM$11:$AM$259,MATCH(0,IF(TRUE=$AJ$11:$AJ$259,COUNTIF($AO$10:$AO181,$AM$11:$AM$259),""),0)),"")</f>
        <v/>
      </c>
      <c r="AP182" s="107" t="str">
        <f t="array" ref="AP182">IFERROR(INDEX($AM$11:$AM$259,MATCH(0,IF(TRUE=$AK$11:$AK$259,COUNTIF($AP$10:$AP181,$AM$11:$AM$259),""),0)),"")</f>
        <v/>
      </c>
      <c r="AQ182" s="107" t="str">
        <f t="array" ref="AQ182">IFERROR(INDEX($AM$11:$AM$259,MATCH(0,IF(TRUE=$AL$11:$AL$259,COUNTIF($AQ$10:$AQ181,$AM$11:$AM$259),""),0)),"")</f>
        <v/>
      </c>
      <c r="AS182" s="885" t="str">
        <f>IF(AND(OR(AB182="Yes",AB182="Pending"),P182='G-1 All Habitats'!$X$3),T182-X182-Y182,"0")</f>
        <v>0</v>
      </c>
      <c r="AT182" s="30" t="str">
        <f t="shared" si="19"/>
        <v/>
      </c>
      <c r="AU182" s="30">
        <f t="shared" si="24"/>
        <v>0</v>
      </c>
      <c r="AV182" s="230" t="str">
        <f>IFERROR(INDEX('G-1 All Habitats'!$B$3:$B$135,MATCH(F182,'G-1 All Habitats'!$A$3:$A$135,0)),"")</f>
        <v/>
      </c>
      <c r="AW182" s="30" t="str">
        <f>IF(AV182="","",VLOOKUP(AV182,'G-1 All Habitats'!$B$1:$T$135,19,FALSE))</f>
        <v/>
      </c>
      <c r="AY182" s="287" t="str">
        <f t="shared" si="25"/>
        <v/>
      </c>
    </row>
    <row r="183" spans="1:51" ht="14">
      <c r="A183" s="30" t="str">
        <f>IFERROR(INDEX('G-1 All Habitats'!$AG$3:$AG$17,MATCH(E183,'G-1 All Habitats'!$AF$3:$AF$17,0)),"")</f>
        <v/>
      </c>
      <c r="B183" s="30" t="str">
        <f>IFERROR(INDEX('G-8 Condition Look up'!$I$4:$I$135,MATCH(AV183,'G-8 Condition Look up'!$A$4:$A$135,0)),"")</f>
        <v/>
      </c>
      <c r="D183" s="97">
        <v>173</v>
      </c>
      <c r="E183" s="262"/>
      <c r="F183" s="263"/>
      <c r="G183" s="133"/>
      <c r="H183" s="115"/>
      <c r="I183" s="509" t="str">
        <f>IF(AV183="","",IF(AND(AW183="Yes",G183="No"),"Irreplaceable habitat ▲",IF(AND(AW183="No",G183="Yes"),"Cannot be Irreplaceable ▲",VLOOKUP(AV183,'G-1 All Habitats'!$B$2:$M$135,10,FALSE))))</f>
        <v/>
      </c>
      <c r="J183" s="377" t="str">
        <f>IFERROR(VLOOKUP(I183,'G-1 All Habitats'!$V$3:$W$7,2,FALSE),"")</f>
        <v/>
      </c>
      <c r="K183" s="101"/>
      <c r="L183" s="276" t="str">
        <f>IFERROR(INDEX('G-8 Condition Look up'!$A$3:$H$135,MATCH(AV183,'G-8 Condition Look up'!$A$3:$A$135,0),MATCH(K183,'G-8 Condition Look up'!$A$3:$H$3,0)),"")</f>
        <v/>
      </c>
      <c r="M183" s="105"/>
      <c r="N183" s="295" t="str">
        <f>IF(M183="","",IF(VLOOKUP(M183,'G-3 Multipliers'!$L$3:$N$6,2,FALSE)=0,"Spatial Data Missing ⚠",VLOOKUP(M183,'G-3 Multipliers'!$L$3:$N$6,2,FALSE)))</f>
        <v/>
      </c>
      <c r="O183" s="353" t="str">
        <f>IF(M183="","",IF(VLOOKUP(M183,'G-3 Multipliers'!$L$3:$N$6,3,FALSE)=0,"Spatial Data Missing ⚠",VLOOKUP(M183,'G-3 Multipliers'!$L$3:$N$6,3,FALSE)))</f>
        <v/>
      </c>
      <c r="P183" s="336" t="str">
        <f>(IF(G183="Yes","Bespoke compensation likely to be required",(IFERROR(VLOOKUP(AV183,'G-1 All Habitats'!$B$2:$M$135,12,FALSE),""))))</f>
        <v/>
      </c>
      <c r="Q183" s="511" t="str">
        <f>IFERROR(IF(P183="","",IF(AND(E183="Individual trees",W183&gt;0,G183="Yes"),"Error - you cannot enhance irreplaceable individual trees ▲",IF(P183='G-1 All Habitats'!$X$9,T183*S183,IF(AND(P183='G-1 All Habitats'!$X$9,W183&gt;0),X183+(Y183*S183),IF(AND(P183='G-1 All Habitats'!$X$9,V183&gt;0),X183+(Y183*S183),IF(AND(P183='G-1 All Habitats'!$X$9,AG183&gt;0),"Any Loss Unacceptable  ⚠",IF(AND(P183='G-1 All Habitats'!$X$9,Z183&gt;0),"Any Loss Unacceptable ⚠",H183*J183*L183*O183*S183))))))),"Check Data ⚠")</f>
        <v/>
      </c>
      <c r="R183" s="393"/>
      <c r="S183" s="510" t="str">
        <f>IF(R183="","",IF(VLOOKUP(R183,'G-3 Multipliers'!$S$3:$T$10,2,FALSE)=0,"Spatial Data Missing ⚠",VLOOKUP(R183,'G-3 Multipliers'!$S$3:$T$10,2,FALSE)))</f>
        <v/>
      </c>
      <c r="T183" s="289" t="str">
        <f>IFERROR(IF(AND(F183&lt;&gt;"",G183=""),"Confirm irreplaceable habitat status ▲",(IF(AND(R183&lt;&gt;"",AF183=""),"Off-site reference required ▲",(IF(AND(E183="Individual trees",W183&gt;0,G183="Yes"),"Error - you cannot enhance irreplaceable individual trees ▲",(IF(AND(X183="Irreplaceable habitat - no units generated ⚠",(W183+V183)&lt;H183,OR(AB183="No",AB183="")),"Any Loss Unacceptable ⚠",(IF(X183="Irreplaceable habitat - no units generated ⚠",W183*J183*L183*O183,IF(AND(P183='G-1 All Habitats'!$X$9,AH183&gt;0,V183&lt;=0,W183&lt;=0,OR(AB183="No",AB183="")),"Any Loss Unacceptable ⚠",IF(AND(P183='G-1 All Habitats'!$X$9,AH183&gt;0,V183&lt;=0,W183&lt;=0),0,(IF(AND(P183='G-1 All Habitats'!$X$9,(W183+V183)&lt;H183,OR(AB183="No",AB183="")),"Any Loss Unacceptable ⚠",(IF(P183="","",IF(AND(P183='G-1 All Habitats'!$X$9,W183&gt;0),X183+Y183,IF(AND(P183='G-1 All Habitats'!$X$9,V183&gt;0),X183+Y183,IF(R183="","",H183*J183*L183*O183)))))))))))))))))),"Check Data ▲")</f>
        <v/>
      </c>
      <c r="U183" s="38"/>
      <c r="V183" s="52"/>
      <c r="W183" s="53"/>
      <c r="X183" s="287" t="str">
        <f t="shared" si="20"/>
        <v/>
      </c>
      <c r="Y183" s="287" t="str">
        <f t="shared" si="21"/>
        <v/>
      </c>
      <c r="Z183" s="287" t="str">
        <f t="shared" si="22"/>
        <v/>
      </c>
      <c r="AA183" s="317" t="str">
        <f>IFERROR(IF(AND(E183="Individual trees",G183="Yes",W183&gt;0),"Error - you cannot enhance an irreplaceable tree ▲",(IF(H183="","",IF(H183-V183-W183=0&lt;0,"Error in Areas ▲",IF(V183+W183&gt;H183,"Error in Areas ▲",IF(AND(P183='G-1 All Habitats'!$X$9,AB183="Yes"),"Alternative Compensation ✓",IF(AND(P183='G-1 All Habitats'!$X$3,AB183="Yes"),"Alternative Compensation ✓",IF(AND(AB183="Pending",P183='G-1 All Habitats'!$X$3),"Bespoke compensation must be agreed ▲",IF(AND(AB183="Pending",P183='G-1 All Habitats'!$X$9),"Bespoke compensation must be agreed  ▲",IF(Z183=0,0,IF(P183='G-1 All Habitats'!$X$9,"Any Loss Unacceptable ▲",T183-X183-Y183))))))))))),"Check Data ⚠")</f>
        <v/>
      </c>
      <c r="AB183" s="587"/>
      <c r="AC183" s="105"/>
      <c r="AD183" s="138"/>
      <c r="AE183" s="104"/>
      <c r="AF183" s="611"/>
      <c r="AG183" s="523" t="str">
        <f>IF(OR(P183="",AB183="Yes"),"",IF(P183='G-1 All Habitats'!$X$9,H183-V183-W183,"None"))</f>
        <v/>
      </c>
      <c r="AH183" s="523" t="str">
        <f>IF(P183="","",IF(P183='G-1 All Habitats'!$X$9,AG183*J183*L183*O183,"None"))</f>
        <v/>
      </c>
      <c r="AJ183" s="107" t="str">
        <f t="shared" si="23"/>
        <v/>
      </c>
      <c r="AK183" s="107" t="str">
        <f t="shared" si="26"/>
        <v/>
      </c>
      <c r="AL183" s="107" t="str">
        <f>IF(I183="","",IF(#REF!&gt;0,TRUE,FALSE))</f>
        <v/>
      </c>
      <c r="AM183" s="107">
        <v>173</v>
      </c>
      <c r="AN183" s="107"/>
      <c r="AO183" s="107" t="str">
        <f t="array" ref="AO183">IFERROR(INDEX($AM$11:$AM$259,MATCH(0,IF(TRUE=$AJ$11:$AJ$259,COUNTIF($AO$10:$AO182,$AM$11:$AM$259),""),0)),"")</f>
        <v/>
      </c>
      <c r="AP183" s="107" t="str">
        <f t="array" ref="AP183">IFERROR(INDEX($AM$11:$AM$259,MATCH(0,IF(TRUE=$AK$11:$AK$259,COUNTIF($AP$10:$AP182,$AM$11:$AM$259),""),0)),"")</f>
        <v/>
      </c>
      <c r="AQ183" s="107" t="str">
        <f t="array" ref="AQ183">IFERROR(INDEX($AM$11:$AM$259,MATCH(0,IF(TRUE=$AL$11:$AL$259,COUNTIF($AQ$10:$AQ182,$AM$11:$AM$259),""),0)),"")</f>
        <v/>
      </c>
      <c r="AS183" s="885" t="str">
        <f>IF(AND(OR(AB183="Yes",AB183="Pending"),P183='G-1 All Habitats'!$X$3),T183-X183-Y183,"0")</f>
        <v>0</v>
      </c>
      <c r="AT183" s="30" t="str">
        <f t="shared" si="19"/>
        <v/>
      </c>
      <c r="AU183" s="30">
        <f t="shared" si="24"/>
        <v>0</v>
      </c>
      <c r="AV183" s="230" t="str">
        <f>IFERROR(INDEX('G-1 All Habitats'!$B$3:$B$135,MATCH(F183,'G-1 All Habitats'!$A$3:$A$135,0)),"")</f>
        <v/>
      </c>
      <c r="AW183" s="30" t="str">
        <f>IF(AV183="","",VLOOKUP(AV183,'G-1 All Habitats'!$B$1:$T$135,19,FALSE))</f>
        <v/>
      </c>
      <c r="AY183" s="287" t="str">
        <f t="shared" si="25"/>
        <v/>
      </c>
    </row>
    <row r="184" spans="1:51" ht="14">
      <c r="A184" s="30" t="str">
        <f>IFERROR(INDEX('G-1 All Habitats'!$AG$3:$AG$17,MATCH(E184,'G-1 All Habitats'!$AF$3:$AF$17,0)),"")</f>
        <v/>
      </c>
      <c r="B184" s="30" t="str">
        <f>IFERROR(INDEX('G-8 Condition Look up'!$I$4:$I$135,MATCH(AV184,'G-8 Condition Look up'!$A$4:$A$135,0)),"")</f>
        <v/>
      </c>
      <c r="D184" s="97">
        <v>174</v>
      </c>
      <c r="E184" s="262"/>
      <c r="F184" s="263"/>
      <c r="G184" s="133"/>
      <c r="H184" s="115"/>
      <c r="I184" s="509" t="str">
        <f>IF(AV184="","",IF(AND(AW184="Yes",G184="No"),"Irreplaceable habitat ▲",IF(AND(AW184="No",G184="Yes"),"Cannot be Irreplaceable ▲",VLOOKUP(AV184,'G-1 All Habitats'!$B$2:$M$135,10,FALSE))))</f>
        <v/>
      </c>
      <c r="J184" s="377" t="str">
        <f>IFERROR(VLOOKUP(I184,'G-1 All Habitats'!$V$3:$W$7,2,FALSE),"")</f>
        <v/>
      </c>
      <c r="K184" s="101"/>
      <c r="L184" s="276" t="str">
        <f>IFERROR(INDEX('G-8 Condition Look up'!$A$3:$H$135,MATCH(AV184,'G-8 Condition Look up'!$A$3:$A$135,0),MATCH(K184,'G-8 Condition Look up'!$A$3:$H$3,0)),"")</f>
        <v/>
      </c>
      <c r="M184" s="105"/>
      <c r="N184" s="295" t="str">
        <f>IF(M184="","",IF(VLOOKUP(M184,'G-3 Multipliers'!$L$3:$N$6,2,FALSE)=0,"Spatial Data Missing ⚠",VLOOKUP(M184,'G-3 Multipliers'!$L$3:$N$6,2,FALSE)))</f>
        <v/>
      </c>
      <c r="O184" s="353" t="str">
        <f>IF(M184="","",IF(VLOOKUP(M184,'G-3 Multipliers'!$L$3:$N$6,3,FALSE)=0,"Spatial Data Missing ⚠",VLOOKUP(M184,'G-3 Multipliers'!$L$3:$N$6,3,FALSE)))</f>
        <v/>
      </c>
      <c r="P184" s="336" t="str">
        <f>(IF(G184="Yes","Bespoke compensation likely to be required",(IFERROR(VLOOKUP(AV184,'G-1 All Habitats'!$B$2:$M$135,12,FALSE),""))))</f>
        <v/>
      </c>
      <c r="Q184" s="511" t="str">
        <f>IFERROR(IF(P184="","",IF(AND(E184="Individual trees",W184&gt;0,G184="Yes"),"Error - you cannot enhance irreplaceable individual trees ▲",IF(P184='G-1 All Habitats'!$X$9,T184*S184,IF(AND(P184='G-1 All Habitats'!$X$9,W184&gt;0),X184+(Y184*S184),IF(AND(P184='G-1 All Habitats'!$X$9,V184&gt;0),X184+(Y184*S184),IF(AND(P184='G-1 All Habitats'!$X$9,AG184&gt;0),"Any Loss Unacceptable  ⚠",IF(AND(P184='G-1 All Habitats'!$X$9,Z184&gt;0),"Any Loss Unacceptable ⚠",H184*J184*L184*O184*S184))))))),"Check Data ⚠")</f>
        <v/>
      </c>
      <c r="R184" s="393"/>
      <c r="S184" s="510" t="str">
        <f>IF(R184="","",IF(VLOOKUP(R184,'G-3 Multipliers'!$S$3:$T$10,2,FALSE)=0,"Spatial Data Missing ⚠",VLOOKUP(R184,'G-3 Multipliers'!$S$3:$T$10,2,FALSE)))</f>
        <v/>
      </c>
      <c r="T184" s="289" t="str">
        <f>IFERROR(IF(AND(F184&lt;&gt;"",G184=""),"Confirm irreplaceable habitat status ▲",(IF(AND(R184&lt;&gt;"",AF184=""),"Off-site reference required ▲",(IF(AND(E184="Individual trees",W184&gt;0,G184="Yes"),"Error - you cannot enhance irreplaceable individual trees ▲",(IF(AND(X184="Irreplaceable habitat - no units generated ⚠",(W184+V184)&lt;H184,OR(AB184="No",AB184="")),"Any Loss Unacceptable ⚠",(IF(X184="Irreplaceable habitat - no units generated ⚠",W184*J184*L184*O184,IF(AND(P184='G-1 All Habitats'!$X$9,AH184&gt;0,V184&lt;=0,W184&lt;=0,OR(AB184="No",AB184="")),"Any Loss Unacceptable ⚠",IF(AND(P184='G-1 All Habitats'!$X$9,AH184&gt;0,V184&lt;=0,W184&lt;=0),0,(IF(AND(P184='G-1 All Habitats'!$X$9,(W184+V184)&lt;H184,OR(AB184="No",AB184="")),"Any Loss Unacceptable ⚠",(IF(P184="","",IF(AND(P184='G-1 All Habitats'!$X$9,W184&gt;0),X184+Y184,IF(AND(P184='G-1 All Habitats'!$X$9,V184&gt;0),X184+Y184,IF(R184="","",H184*J184*L184*O184)))))))))))))))))),"Check Data ▲")</f>
        <v/>
      </c>
      <c r="U184" s="38"/>
      <c r="V184" s="52"/>
      <c r="W184" s="53"/>
      <c r="X184" s="287" t="str">
        <f t="shared" si="20"/>
        <v/>
      </c>
      <c r="Y184" s="287" t="str">
        <f t="shared" si="21"/>
        <v/>
      </c>
      <c r="Z184" s="287" t="str">
        <f t="shared" si="22"/>
        <v/>
      </c>
      <c r="AA184" s="317" t="str">
        <f>IFERROR(IF(AND(E184="Individual trees",G184="Yes",W184&gt;0),"Error - you cannot enhance an irreplaceable tree ▲",(IF(H184="","",IF(H184-V184-W184=0&lt;0,"Error in Areas ▲",IF(V184+W184&gt;H184,"Error in Areas ▲",IF(AND(P184='G-1 All Habitats'!$X$9,AB184="Yes"),"Alternative Compensation ✓",IF(AND(P184='G-1 All Habitats'!$X$3,AB184="Yes"),"Alternative Compensation ✓",IF(AND(AB184="Pending",P184='G-1 All Habitats'!$X$3),"Bespoke compensation must be agreed ▲",IF(AND(AB184="Pending",P184='G-1 All Habitats'!$X$9),"Bespoke compensation must be agreed  ▲",IF(Z184=0,0,IF(P184='G-1 All Habitats'!$X$9,"Any Loss Unacceptable ▲",T184-X184-Y184))))))))))),"Check Data ⚠")</f>
        <v/>
      </c>
      <c r="AB184" s="587"/>
      <c r="AC184" s="105"/>
      <c r="AD184" s="138"/>
      <c r="AE184" s="104"/>
      <c r="AF184" s="611"/>
      <c r="AG184" s="523" t="str">
        <f>IF(OR(P184="",AB184="Yes"),"",IF(P184='G-1 All Habitats'!$X$9,H184-V184-W184,"None"))</f>
        <v/>
      </c>
      <c r="AH184" s="523" t="str">
        <f>IF(P184="","",IF(P184='G-1 All Habitats'!$X$9,AG184*J184*L184*O184,"None"))</f>
        <v/>
      </c>
      <c r="AJ184" s="107" t="str">
        <f t="shared" si="23"/>
        <v/>
      </c>
      <c r="AK184" s="107" t="str">
        <f t="shared" si="26"/>
        <v/>
      </c>
      <c r="AL184" s="107" t="str">
        <f>IF(I184="","",IF(#REF!&gt;0,TRUE,FALSE))</f>
        <v/>
      </c>
      <c r="AM184" s="107">
        <v>174</v>
      </c>
      <c r="AN184" s="107"/>
      <c r="AO184" s="107" t="str">
        <f t="array" ref="AO184">IFERROR(INDEX($AM$11:$AM$259,MATCH(0,IF(TRUE=$AJ$11:$AJ$259,COUNTIF($AO$10:$AO183,$AM$11:$AM$259),""),0)),"")</f>
        <v/>
      </c>
      <c r="AP184" s="107" t="str">
        <f t="array" ref="AP184">IFERROR(INDEX($AM$11:$AM$259,MATCH(0,IF(TRUE=$AK$11:$AK$259,COUNTIF($AP$10:$AP183,$AM$11:$AM$259),""),0)),"")</f>
        <v/>
      </c>
      <c r="AQ184" s="107" t="str">
        <f t="array" ref="AQ184">IFERROR(INDEX($AM$11:$AM$259,MATCH(0,IF(TRUE=$AL$11:$AL$259,COUNTIF($AQ$10:$AQ183,$AM$11:$AM$259),""),0)),"")</f>
        <v/>
      </c>
      <c r="AS184" s="885" t="str">
        <f>IF(AND(OR(AB184="Yes",AB184="Pending"),P184='G-1 All Habitats'!$X$3),T184-X184-Y184,"0")</f>
        <v>0</v>
      </c>
      <c r="AT184" s="30" t="str">
        <f t="shared" si="19"/>
        <v/>
      </c>
      <c r="AU184" s="30">
        <f t="shared" si="24"/>
        <v>0</v>
      </c>
      <c r="AV184" s="230" t="str">
        <f>IFERROR(INDEX('G-1 All Habitats'!$B$3:$B$135,MATCH(F184,'G-1 All Habitats'!$A$3:$A$135,0)),"")</f>
        <v/>
      </c>
      <c r="AW184" s="30" t="str">
        <f>IF(AV184="","",VLOOKUP(AV184,'G-1 All Habitats'!$B$1:$T$135,19,FALSE))</f>
        <v/>
      </c>
      <c r="AY184" s="287" t="str">
        <f t="shared" si="25"/>
        <v/>
      </c>
    </row>
    <row r="185" spans="1:51" ht="14">
      <c r="A185" s="30" t="str">
        <f>IFERROR(INDEX('G-1 All Habitats'!$AG$3:$AG$17,MATCH(E185,'G-1 All Habitats'!$AF$3:$AF$17,0)),"")</f>
        <v/>
      </c>
      <c r="B185" s="30" t="str">
        <f>IFERROR(INDEX('G-8 Condition Look up'!$I$4:$I$135,MATCH(AV185,'G-8 Condition Look up'!$A$4:$A$135,0)),"")</f>
        <v/>
      </c>
      <c r="D185" s="97">
        <v>175</v>
      </c>
      <c r="E185" s="262"/>
      <c r="F185" s="263"/>
      <c r="G185" s="133"/>
      <c r="H185" s="115"/>
      <c r="I185" s="509" t="str">
        <f>IF(AV185="","",IF(AND(AW185="Yes",G185="No"),"Irreplaceable habitat ▲",IF(AND(AW185="No",G185="Yes"),"Cannot be Irreplaceable ▲",VLOOKUP(AV185,'G-1 All Habitats'!$B$2:$M$135,10,FALSE))))</f>
        <v/>
      </c>
      <c r="J185" s="377" t="str">
        <f>IFERROR(VLOOKUP(I185,'G-1 All Habitats'!$V$3:$W$7,2,FALSE),"")</f>
        <v/>
      </c>
      <c r="K185" s="101"/>
      <c r="L185" s="276" t="str">
        <f>IFERROR(INDEX('G-8 Condition Look up'!$A$3:$H$135,MATCH(AV185,'G-8 Condition Look up'!$A$3:$A$135,0),MATCH(K185,'G-8 Condition Look up'!$A$3:$H$3,0)),"")</f>
        <v/>
      </c>
      <c r="M185" s="105"/>
      <c r="N185" s="295" t="str">
        <f>IF(M185="","",IF(VLOOKUP(M185,'G-3 Multipliers'!$L$3:$N$6,2,FALSE)=0,"Spatial Data Missing ⚠",VLOOKUP(M185,'G-3 Multipliers'!$L$3:$N$6,2,FALSE)))</f>
        <v/>
      </c>
      <c r="O185" s="353" t="str">
        <f>IF(M185="","",IF(VLOOKUP(M185,'G-3 Multipliers'!$L$3:$N$6,3,FALSE)=0,"Spatial Data Missing ⚠",VLOOKUP(M185,'G-3 Multipliers'!$L$3:$N$6,3,FALSE)))</f>
        <v/>
      </c>
      <c r="P185" s="336" t="str">
        <f>(IF(G185="Yes","Bespoke compensation likely to be required",(IFERROR(VLOOKUP(AV185,'G-1 All Habitats'!$B$2:$M$135,12,FALSE),""))))</f>
        <v/>
      </c>
      <c r="Q185" s="511" t="str">
        <f>IFERROR(IF(P185="","",IF(AND(E185="Individual trees",W185&gt;0,G185="Yes"),"Error - you cannot enhance irreplaceable individual trees ▲",IF(P185='G-1 All Habitats'!$X$9,T185*S185,IF(AND(P185='G-1 All Habitats'!$X$9,W185&gt;0),X185+(Y185*S185),IF(AND(P185='G-1 All Habitats'!$X$9,V185&gt;0),X185+(Y185*S185),IF(AND(P185='G-1 All Habitats'!$X$9,AG185&gt;0),"Any Loss Unacceptable  ⚠",IF(AND(P185='G-1 All Habitats'!$X$9,Z185&gt;0),"Any Loss Unacceptable ⚠",H185*J185*L185*O185*S185))))))),"Check Data ⚠")</f>
        <v/>
      </c>
      <c r="R185" s="393"/>
      <c r="S185" s="510" t="str">
        <f>IF(R185="","",IF(VLOOKUP(R185,'G-3 Multipliers'!$S$3:$T$10,2,FALSE)=0,"Spatial Data Missing ⚠",VLOOKUP(R185,'G-3 Multipliers'!$S$3:$T$10,2,FALSE)))</f>
        <v/>
      </c>
      <c r="T185" s="289" t="str">
        <f>IFERROR(IF(AND(F185&lt;&gt;"",G185=""),"Confirm irreplaceable habitat status ▲",(IF(AND(R185&lt;&gt;"",AF185=""),"Off-site reference required ▲",(IF(AND(E185="Individual trees",W185&gt;0,G185="Yes"),"Error - you cannot enhance irreplaceable individual trees ▲",(IF(AND(X185="Irreplaceable habitat - no units generated ⚠",(W185+V185)&lt;H185,OR(AB185="No",AB185="")),"Any Loss Unacceptable ⚠",(IF(X185="Irreplaceable habitat - no units generated ⚠",W185*J185*L185*O185,IF(AND(P185='G-1 All Habitats'!$X$9,AH185&gt;0,V185&lt;=0,W185&lt;=0,OR(AB185="No",AB185="")),"Any Loss Unacceptable ⚠",IF(AND(P185='G-1 All Habitats'!$X$9,AH185&gt;0,V185&lt;=0,W185&lt;=0),0,(IF(AND(P185='G-1 All Habitats'!$X$9,(W185+V185)&lt;H185,OR(AB185="No",AB185="")),"Any Loss Unacceptable ⚠",(IF(P185="","",IF(AND(P185='G-1 All Habitats'!$X$9,W185&gt;0),X185+Y185,IF(AND(P185='G-1 All Habitats'!$X$9,V185&gt;0),X185+Y185,IF(R185="","",H185*J185*L185*O185)))))))))))))))))),"Check Data ▲")</f>
        <v/>
      </c>
      <c r="U185" s="38"/>
      <c r="V185" s="52"/>
      <c r="W185" s="53"/>
      <c r="X185" s="287" t="str">
        <f t="shared" si="20"/>
        <v/>
      </c>
      <c r="Y185" s="287" t="str">
        <f t="shared" si="21"/>
        <v/>
      </c>
      <c r="Z185" s="287" t="str">
        <f t="shared" si="22"/>
        <v/>
      </c>
      <c r="AA185" s="317" t="str">
        <f>IFERROR(IF(AND(E185="Individual trees",G185="Yes",W185&gt;0),"Error - you cannot enhance an irreplaceable tree ▲",(IF(H185="","",IF(H185-V185-W185=0&lt;0,"Error in Areas ▲",IF(V185+W185&gt;H185,"Error in Areas ▲",IF(AND(P185='G-1 All Habitats'!$X$9,AB185="Yes"),"Alternative Compensation ✓",IF(AND(P185='G-1 All Habitats'!$X$3,AB185="Yes"),"Alternative Compensation ✓",IF(AND(AB185="Pending",P185='G-1 All Habitats'!$X$3),"Bespoke compensation must be agreed ▲",IF(AND(AB185="Pending",P185='G-1 All Habitats'!$X$9),"Bespoke compensation must be agreed  ▲",IF(Z185=0,0,IF(P185='G-1 All Habitats'!$X$9,"Any Loss Unacceptable ▲",T185-X185-Y185))))))))))),"Check Data ⚠")</f>
        <v/>
      </c>
      <c r="AB185" s="587"/>
      <c r="AC185" s="105"/>
      <c r="AD185" s="138"/>
      <c r="AE185" s="104"/>
      <c r="AF185" s="611"/>
      <c r="AG185" s="523" t="str">
        <f>IF(OR(P185="",AB185="Yes"),"",IF(P185='G-1 All Habitats'!$X$9,H185-V185-W185,"None"))</f>
        <v/>
      </c>
      <c r="AH185" s="523" t="str">
        <f>IF(P185="","",IF(P185='G-1 All Habitats'!$X$9,AG185*J185*L185*O185,"None"))</f>
        <v/>
      </c>
      <c r="AJ185" s="107" t="str">
        <f t="shared" si="23"/>
        <v/>
      </c>
      <c r="AK185" s="107" t="str">
        <f t="shared" si="26"/>
        <v/>
      </c>
      <c r="AL185" s="107" t="str">
        <f>IF(I185="","",IF(#REF!&gt;0,TRUE,FALSE))</f>
        <v/>
      </c>
      <c r="AM185" s="107">
        <v>175</v>
      </c>
      <c r="AN185" s="107"/>
      <c r="AO185" s="107" t="str">
        <f t="array" ref="AO185">IFERROR(INDEX($AM$11:$AM$259,MATCH(0,IF(TRUE=$AJ$11:$AJ$259,COUNTIF($AO$10:$AO184,$AM$11:$AM$259),""),0)),"")</f>
        <v/>
      </c>
      <c r="AP185" s="107" t="str">
        <f t="array" ref="AP185">IFERROR(INDEX($AM$11:$AM$259,MATCH(0,IF(TRUE=$AK$11:$AK$259,COUNTIF($AP$10:$AP184,$AM$11:$AM$259),""),0)),"")</f>
        <v/>
      </c>
      <c r="AQ185" s="107" t="str">
        <f t="array" ref="AQ185">IFERROR(INDEX($AM$11:$AM$259,MATCH(0,IF(TRUE=$AL$11:$AL$259,COUNTIF($AQ$10:$AQ184,$AM$11:$AM$259),""),0)),"")</f>
        <v/>
      </c>
      <c r="AS185" s="885" t="str">
        <f>IF(AND(OR(AB185="Yes",AB185="Pending"),P185='G-1 All Habitats'!$X$3),T185-X185-Y185,"0")</f>
        <v>0</v>
      </c>
      <c r="AT185" s="30" t="str">
        <f t="shared" si="19"/>
        <v/>
      </c>
      <c r="AU185" s="30">
        <f t="shared" si="24"/>
        <v>0</v>
      </c>
      <c r="AV185" s="230" t="str">
        <f>IFERROR(INDEX('G-1 All Habitats'!$B$3:$B$135,MATCH(F185,'G-1 All Habitats'!$A$3:$A$135,0)),"")</f>
        <v/>
      </c>
      <c r="AW185" s="30" t="str">
        <f>IF(AV185="","",VLOOKUP(AV185,'G-1 All Habitats'!$B$1:$T$135,19,FALSE))</f>
        <v/>
      </c>
      <c r="AY185" s="287" t="str">
        <f t="shared" si="25"/>
        <v/>
      </c>
    </row>
    <row r="186" spans="1:51" ht="14">
      <c r="A186" s="30" t="str">
        <f>IFERROR(INDEX('G-1 All Habitats'!$AG$3:$AG$17,MATCH(E186,'G-1 All Habitats'!$AF$3:$AF$17,0)),"")</f>
        <v/>
      </c>
      <c r="B186" s="30" t="str">
        <f>IFERROR(INDEX('G-8 Condition Look up'!$I$4:$I$135,MATCH(AV186,'G-8 Condition Look up'!$A$4:$A$135,0)),"")</f>
        <v/>
      </c>
      <c r="D186" s="97">
        <v>176</v>
      </c>
      <c r="E186" s="262"/>
      <c r="F186" s="263"/>
      <c r="G186" s="133"/>
      <c r="H186" s="115"/>
      <c r="I186" s="509" t="str">
        <f>IF(AV186="","",IF(AND(AW186="Yes",G186="No"),"Irreplaceable habitat ▲",IF(AND(AW186="No",G186="Yes"),"Cannot be Irreplaceable ▲",VLOOKUP(AV186,'G-1 All Habitats'!$B$2:$M$135,10,FALSE))))</f>
        <v/>
      </c>
      <c r="J186" s="377" t="str">
        <f>IFERROR(VLOOKUP(I186,'G-1 All Habitats'!$V$3:$W$7,2,FALSE),"")</f>
        <v/>
      </c>
      <c r="K186" s="101"/>
      <c r="L186" s="276" t="str">
        <f>IFERROR(INDEX('G-8 Condition Look up'!$A$3:$H$135,MATCH(AV186,'G-8 Condition Look up'!$A$3:$A$135,0),MATCH(K186,'G-8 Condition Look up'!$A$3:$H$3,0)),"")</f>
        <v/>
      </c>
      <c r="M186" s="105"/>
      <c r="N186" s="295" t="str">
        <f>IF(M186="","",IF(VLOOKUP(M186,'G-3 Multipliers'!$L$3:$N$6,2,FALSE)=0,"Spatial Data Missing ⚠",VLOOKUP(M186,'G-3 Multipliers'!$L$3:$N$6,2,FALSE)))</f>
        <v/>
      </c>
      <c r="O186" s="353" t="str">
        <f>IF(M186="","",IF(VLOOKUP(M186,'G-3 Multipliers'!$L$3:$N$6,3,FALSE)=0,"Spatial Data Missing ⚠",VLOOKUP(M186,'G-3 Multipliers'!$L$3:$N$6,3,FALSE)))</f>
        <v/>
      </c>
      <c r="P186" s="336" t="str">
        <f>(IF(G186="Yes","Bespoke compensation likely to be required",(IFERROR(VLOOKUP(AV186,'G-1 All Habitats'!$B$2:$M$135,12,FALSE),""))))</f>
        <v/>
      </c>
      <c r="Q186" s="511" t="str">
        <f>IFERROR(IF(P186="","",IF(AND(E186="Individual trees",W186&gt;0,G186="Yes"),"Error - you cannot enhance irreplaceable individual trees ▲",IF(P186='G-1 All Habitats'!$X$9,T186*S186,IF(AND(P186='G-1 All Habitats'!$X$9,W186&gt;0),X186+(Y186*S186),IF(AND(P186='G-1 All Habitats'!$X$9,V186&gt;0),X186+(Y186*S186),IF(AND(P186='G-1 All Habitats'!$X$9,AG186&gt;0),"Any Loss Unacceptable  ⚠",IF(AND(P186='G-1 All Habitats'!$X$9,Z186&gt;0),"Any Loss Unacceptable ⚠",H186*J186*L186*O186*S186))))))),"Check Data ⚠")</f>
        <v/>
      </c>
      <c r="R186" s="393"/>
      <c r="S186" s="510" t="str">
        <f>IF(R186="","",IF(VLOOKUP(R186,'G-3 Multipliers'!$S$3:$T$10,2,FALSE)=0,"Spatial Data Missing ⚠",VLOOKUP(R186,'G-3 Multipliers'!$S$3:$T$10,2,FALSE)))</f>
        <v/>
      </c>
      <c r="T186" s="289" t="str">
        <f>IFERROR(IF(AND(F186&lt;&gt;"",G186=""),"Confirm irreplaceable habitat status ▲",(IF(AND(R186&lt;&gt;"",AF186=""),"Off-site reference required ▲",(IF(AND(E186="Individual trees",W186&gt;0,G186="Yes"),"Error - you cannot enhance irreplaceable individual trees ▲",(IF(AND(X186="Irreplaceable habitat - no units generated ⚠",(W186+V186)&lt;H186,OR(AB186="No",AB186="")),"Any Loss Unacceptable ⚠",(IF(X186="Irreplaceable habitat - no units generated ⚠",W186*J186*L186*O186,IF(AND(P186='G-1 All Habitats'!$X$9,AH186&gt;0,V186&lt;=0,W186&lt;=0,OR(AB186="No",AB186="")),"Any Loss Unacceptable ⚠",IF(AND(P186='G-1 All Habitats'!$X$9,AH186&gt;0,V186&lt;=0,W186&lt;=0),0,(IF(AND(P186='G-1 All Habitats'!$X$9,(W186+V186)&lt;H186,OR(AB186="No",AB186="")),"Any Loss Unacceptable ⚠",(IF(P186="","",IF(AND(P186='G-1 All Habitats'!$X$9,W186&gt;0),X186+Y186,IF(AND(P186='G-1 All Habitats'!$X$9,V186&gt;0),X186+Y186,IF(R186="","",H186*J186*L186*O186)))))))))))))))))),"Check Data ▲")</f>
        <v/>
      </c>
      <c r="U186" s="38"/>
      <c r="V186" s="52"/>
      <c r="W186" s="53"/>
      <c r="X186" s="287" t="str">
        <f t="shared" si="20"/>
        <v/>
      </c>
      <c r="Y186" s="287" t="str">
        <f t="shared" si="21"/>
        <v/>
      </c>
      <c r="Z186" s="287" t="str">
        <f t="shared" si="22"/>
        <v/>
      </c>
      <c r="AA186" s="317" t="str">
        <f>IFERROR(IF(AND(E186="Individual trees",G186="Yes",W186&gt;0),"Error - you cannot enhance an irreplaceable tree ▲",(IF(H186="","",IF(H186-V186-W186=0&lt;0,"Error in Areas ▲",IF(V186+W186&gt;H186,"Error in Areas ▲",IF(AND(P186='G-1 All Habitats'!$X$9,AB186="Yes"),"Alternative Compensation ✓",IF(AND(P186='G-1 All Habitats'!$X$3,AB186="Yes"),"Alternative Compensation ✓",IF(AND(AB186="Pending",P186='G-1 All Habitats'!$X$3),"Bespoke compensation must be agreed ▲",IF(AND(AB186="Pending",P186='G-1 All Habitats'!$X$9),"Bespoke compensation must be agreed  ▲",IF(Z186=0,0,IF(P186='G-1 All Habitats'!$X$9,"Any Loss Unacceptable ▲",T186-X186-Y186))))))))))),"Check Data ⚠")</f>
        <v/>
      </c>
      <c r="AB186" s="587"/>
      <c r="AC186" s="105"/>
      <c r="AD186" s="138"/>
      <c r="AE186" s="104"/>
      <c r="AF186" s="611"/>
      <c r="AG186" s="523" t="str">
        <f>IF(OR(P186="",AB186="Yes"),"",IF(P186='G-1 All Habitats'!$X$9,H186-V186-W186,"None"))</f>
        <v/>
      </c>
      <c r="AH186" s="523" t="str">
        <f>IF(P186="","",IF(P186='G-1 All Habitats'!$X$9,AG186*J186*L186*O186,"None"))</f>
        <v/>
      </c>
      <c r="AJ186" s="107" t="str">
        <f t="shared" si="23"/>
        <v/>
      </c>
      <c r="AK186" s="107" t="str">
        <f t="shared" si="26"/>
        <v/>
      </c>
      <c r="AL186" s="107" t="str">
        <f>IF(I186="","",IF(#REF!&gt;0,TRUE,FALSE))</f>
        <v/>
      </c>
      <c r="AM186" s="107">
        <v>176</v>
      </c>
      <c r="AN186" s="107"/>
      <c r="AO186" s="107" t="str">
        <f t="array" ref="AO186">IFERROR(INDEX($AM$11:$AM$259,MATCH(0,IF(TRUE=$AJ$11:$AJ$259,COUNTIF($AO$10:$AO185,$AM$11:$AM$259),""),0)),"")</f>
        <v/>
      </c>
      <c r="AP186" s="107" t="str">
        <f t="array" ref="AP186">IFERROR(INDEX($AM$11:$AM$259,MATCH(0,IF(TRUE=$AK$11:$AK$259,COUNTIF($AP$10:$AP185,$AM$11:$AM$259),""),0)),"")</f>
        <v/>
      </c>
      <c r="AQ186" s="107" t="str">
        <f t="array" ref="AQ186">IFERROR(INDEX($AM$11:$AM$259,MATCH(0,IF(TRUE=$AL$11:$AL$259,COUNTIF($AQ$10:$AQ185,$AM$11:$AM$259),""),0)),"")</f>
        <v/>
      </c>
      <c r="AS186" s="885" t="str">
        <f>IF(AND(OR(AB186="Yes",AB186="Pending"),P186='G-1 All Habitats'!$X$3),T186-X186-Y186,"0")</f>
        <v>0</v>
      </c>
      <c r="AT186" s="30" t="str">
        <f t="shared" si="19"/>
        <v/>
      </c>
      <c r="AU186" s="30">
        <f t="shared" si="24"/>
        <v>0</v>
      </c>
      <c r="AV186" s="230" t="str">
        <f>IFERROR(INDEX('G-1 All Habitats'!$B$3:$B$135,MATCH(F186,'G-1 All Habitats'!$A$3:$A$135,0)),"")</f>
        <v/>
      </c>
      <c r="AW186" s="30" t="str">
        <f>IF(AV186="","",VLOOKUP(AV186,'G-1 All Habitats'!$B$1:$T$135,19,FALSE))</f>
        <v/>
      </c>
      <c r="AY186" s="287" t="str">
        <f t="shared" si="25"/>
        <v/>
      </c>
    </row>
    <row r="187" spans="1:51" ht="14">
      <c r="A187" s="30" t="str">
        <f>IFERROR(INDEX('G-1 All Habitats'!$AG$3:$AG$17,MATCH(E187,'G-1 All Habitats'!$AF$3:$AF$17,0)),"")</f>
        <v/>
      </c>
      <c r="B187" s="30" t="str">
        <f>IFERROR(INDEX('G-8 Condition Look up'!$I$4:$I$135,MATCH(AV187,'G-8 Condition Look up'!$A$4:$A$135,0)),"")</f>
        <v/>
      </c>
      <c r="D187" s="97">
        <v>177</v>
      </c>
      <c r="E187" s="262"/>
      <c r="F187" s="263"/>
      <c r="G187" s="133"/>
      <c r="H187" s="115"/>
      <c r="I187" s="509" t="str">
        <f>IF(AV187="","",IF(AND(AW187="Yes",G187="No"),"Irreplaceable habitat ▲",IF(AND(AW187="No",G187="Yes"),"Cannot be Irreplaceable ▲",VLOOKUP(AV187,'G-1 All Habitats'!$B$2:$M$135,10,FALSE))))</f>
        <v/>
      </c>
      <c r="J187" s="377" t="str">
        <f>IFERROR(VLOOKUP(I187,'G-1 All Habitats'!$V$3:$W$7,2,FALSE),"")</f>
        <v/>
      </c>
      <c r="K187" s="101"/>
      <c r="L187" s="276" t="str">
        <f>IFERROR(INDEX('G-8 Condition Look up'!$A$3:$H$135,MATCH(AV187,'G-8 Condition Look up'!$A$3:$A$135,0),MATCH(K187,'G-8 Condition Look up'!$A$3:$H$3,0)),"")</f>
        <v/>
      </c>
      <c r="M187" s="105"/>
      <c r="N187" s="295" t="str">
        <f>IF(M187="","",IF(VLOOKUP(M187,'G-3 Multipliers'!$L$3:$N$6,2,FALSE)=0,"Spatial Data Missing ⚠",VLOOKUP(M187,'G-3 Multipliers'!$L$3:$N$6,2,FALSE)))</f>
        <v/>
      </c>
      <c r="O187" s="353" t="str">
        <f>IF(M187="","",IF(VLOOKUP(M187,'G-3 Multipliers'!$L$3:$N$6,3,FALSE)=0,"Spatial Data Missing ⚠",VLOOKUP(M187,'G-3 Multipliers'!$L$3:$N$6,3,FALSE)))</f>
        <v/>
      </c>
      <c r="P187" s="336" t="str">
        <f>(IF(G187="Yes","Bespoke compensation likely to be required",(IFERROR(VLOOKUP(AV187,'G-1 All Habitats'!$B$2:$M$135,12,FALSE),""))))</f>
        <v/>
      </c>
      <c r="Q187" s="511" t="str">
        <f>IFERROR(IF(P187="","",IF(AND(E187="Individual trees",W187&gt;0,G187="Yes"),"Error - you cannot enhance irreplaceable individual trees ▲",IF(P187='G-1 All Habitats'!$X$9,T187*S187,IF(AND(P187='G-1 All Habitats'!$X$9,W187&gt;0),X187+(Y187*S187),IF(AND(P187='G-1 All Habitats'!$X$9,V187&gt;0),X187+(Y187*S187),IF(AND(P187='G-1 All Habitats'!$X$9,AG187&gt;0),"Any Loss Unacceptable  ⚠",IF(AND(P187='G-1 All Habitats'!$X$9,Z187&gt;0),"Any Loss Unacceptable ⚠",H187*J187*L187*O187*S187))))))),"Check Data ⚠")</f>
        <v/>
      </c>
      <c r="R187" s="393"/>
      <c r="S187" s="510" t="str">
        <f>IF(R187="","",IF(VLOOKUP(R187,'G-3 Multipliers'!$S$3:$T$10,2,FALSE)=0,"Spatial Data Missing ⚠",VLOOKUP(R187,'G-3 Multipliers'!$S$3:$T$10,2,FALSE)))</f>
        <v/>
      </c>
      <c r="T187" s="289" t="str">
        <f>IFERROR(IF(AND(F187&lt;&gt;"",G187=""),"Confirm irreplaceable habitat status ▲",(IF(AND(R187&lt;&gt;"",AF187=""),"Off-site reference required ▲",(IF(AND(E187="Individual trees",W187&gt;0,G187="Yes"),"Error - you cannot enhance irreplaceable individual trees ▲",(IF(AND(X187="Irreplaceable habitat - no units generated ⚠",(W187+V187)&lt;H187,OR(AB187="No",AB187="")),"Any Loss Unacceptable ⚠",(IF(X187="Irreplaceable habitat - no units generated ⚠",W187*J187*L187*O187,IF(AND(P187='G-1 All Habitats'!$X$9,AH187&gt;0,V187&lt;=0,W187&lt;=0,OR(AB187="No",AB187="")),"Any Loss Unacceptable ⚠",IF(AND(P187='G-1 All Habitats'!$X$9,AH187&gt;0,V187&lt;=0,W187&lt;=0),0,(IF(AND(P187='G-1 All Habitats'!$X$9,(W187+V187)&lt;H187,OR(AB187="No",AB187="")),"Any Loss Unacceptable ⚠",(IF(P187="","",IF(AND(P187='G-1 All Habitats'!$X$9,W187&gt;0),X187+Y187,IF(AND(P187='G-1 All Habitats'!$X$9,V187&gt;0),X187+Y187,IF(R187="","",H187*J187*L187*O187)))))))))))))))))),"Check Data ▲")</f>
        <v/>
      </c>
      <c r="U187" s="38"/>
      <c r="V187" s="52"/>
      <c r="W187" s="53"/>
      <c r="X187" s="287" t="str">
        <f t="shared" si="20"/>
        <v/>
      </c>
      <c r="Y187" s="287" t="str">
        <f t="shared" si="21"/>
        <v/>
      </c>
      <c r="Z187" s="287" t="str">
        <f t="shared" si="22"/>
        <v/>
      </c>
      <c r="AA187" s="317" t="str">
        <f>IFERROR(IF(AND(E187="Individual trees",G187="Yes",W187&gt;0),"Error - you cannot enhance an irreplaceable tree ▲",(IF(H187="","",IF(H187-V187-W187=0&lt;0,"Error in Areas ▲",IF(V187+W187&gt;H187,"Error in Areas ▲",IF(AND(P187='G-1 All Habitats'!$X$9,AB187="Yes"),"Alternative Compensation ✓",IF(AND(P187='G-1 All Habitats'!$X$3,AB187="Yes"),"Alternative Compensation ✓",IF(AND(AB187="Pending",P187='G-1 All Habitats'!$X$3),"Bespoke compensation must be agreed ▲",IF(AND(AB187="Pending",P187='G-1 All Habitats'!$X$9),"Bespoke compensation must be agreed  ▲",IF(Z187=0,0,IF(P187='G-1 All Habitats'!$X$9,"Any Loss Unacceptable ▲",T187-X187-Y187))))))))))),"Check Data ⚠")</f>
        <v/>
      </c>
      <c r="AB187" s="587"/>
      <c r="AC187" s="105"/>
      <c r="AD187" s="138"/>
      <c r="AE187" s="104"/>
      <c r="AF187" s="611"/>
      <c r="AG187" s="523" t="str">
        <f>IF(OR(P187="",AB187="Yes"),"",IF(P187='G-1 All Habitats'!$X$9,H187-V187-W187,"None"))</f>
        <v/>
      </c>
      <c r="AH187" s="523" t="str">
        <f>IF(P187="","",IF(P187='G-1 All Habitats'!$X$9,AG187*J187*L187*O187,"None"))</f>
        <v/>
      </c>
      <c r="AJ187" s="107" t="str">
        <f t="shared" si="23"/>
        <v/>
      </c>
      <c r="AK187" s="107" t="str">
        <f t="shared" si="26"/>
        <v/>
      </c>
      <c r="AL187" s="107" t="str">
        <f>IF(I187="","",IF(#REF!&gt;0,TRUE,FALSE))</f>
        <v/>
      </c>
      <c r="AM187" s="107">
        <v>177</v>
      </c>
      <c r="AN187" s="107"/>
      <c r="AO187" s="107" t="str">
        <f t="array" ref="AO187">IFERROR(INDEX($AM$11:$AM$259,MATCH(0,IF(TRUE=$AJ$11:$AJ$259,COUNTIF($AO$10:$AO186,$AM$11:$AM$259),""),0)),"")</f>
        <v/>
      </c>
      <c r="AP187" s="107" t="str">
        <f t="array" ref="AP187">IFERROR(INDEX($AM$11:$AM$259,MATCH(0,IF(TRUE=$AK$11:$AK$259,COUNTIF($AP$10:$AP186,$AM$11:$AM$259),""),0)),"")</f>
        <v/>
      </c>
      <c r="AQ187" s="107" t="str">
        <f t="array" ref="AQ187">IFERROR(INDEX($AM$11:$AM$259,MATCH(0,IF(TRUE=$AL$11:$AL$259,COUNTIF($AQ$10:$AQ186,$AM$11:$AM$259),""),0)),"")</f>
        <v/>
      </c>
      <c r="AS187" s="885" t="str">
        <f>IF(AND(OR(AB187="Yes",AB187="Pending"),P187='G-1 All Habitats'!$X$3),T187-X187-Y187,"0")</f>
        <v>0</v>
      </c>
      <c r="AT187" s="30" t="str">
        <f t="shared" si="19"/>
        <v/>
      </c>
      <c r="AU187" s="30">
        <f t="shared" si="24"/>
        <v>0</v>
      </c>
      <c r="AV187" s="230" t="str">
        <f>IFERROR(INDEX('G-1 All Habitats'!$B$3:$B$135,MATCH(F187,'G-1 All Habitats'!$A$3:$A$135,0)),"")</f>
        <v/>
      </c>
      <c r="AW187" s="30" t="str">
        <f>IF(AV187="","",VLOOKUP(AV187,'G-1 All Habitats'!$B$1:$T$135,19,FALSE))</f>
        <v/>
      </c>
      <c r="AY187" s="287" t="str">
        <f t="shared" si="25"/>
        <v/>
      </c>
    </row>
    <row r="188" spans="1:51" ht="14">
      <c r="A188" s="30" t="str">
        <f>IFERROR(INDEX('G-1 All Habitats'!$AG$3:$AG$17,MATCH(E188,'G-1 All Habitats'!$AF$3:$AF$17,0)),"")</f>
        <v/>
      </c>
      <c r="B188" s="30" t="str">
        <f>IFERROR(INDEX('G-8 Condition Look up'!$I$4:$I$135,MATCH(AV188,'G-8 Condition Look up'!$A$4:$A$135,0)),"")</f>
        <v/>
      </c>
      <c r="D188" s="97">
        <v>178</v>
      </c>
      <c r="E188" s="262"/>
      <c r="F188" s="263"/>
      <c r="G188" s="133"/>
      <c r="H188" s="115"/>
      <c r="I188" s="509" t="str">
        <f>IF(AV188="","",IF(AND(AW188="Yes",G188="No"),"Irreplaceable habitat ▲",IF(AND(AW188="No",G188="Yes"),"Cannot be Irreplaceable ▲",VLOOKUP(AV188,'G-1 All Habitats'!$B$2:$M$135,10,FALSE))))</f>
        <v/>
      </c>
      <c r="J188" s="377" t="str">
        <f>IFERROR(VLOOKUP(I188,'G-1 All Habitats'!$V$3:$W$7,2,FALSE),"")</f>
        <v/>
      </c>
      <c r="K188" s="101"/>
      <c r="L188" s="276" t="str">
        <f>IFERROR(INDEX('G-8 Condition Look up'!$A$3:$H$135,MATCH(AV188,'G-8 Condition Look up'!$A$3:$A$135,0),MATCH(K188,'G-8 Condition Look up'!$A$3:$H$3,0)),"")</f>
        <v/>
      </c>
      <c r="M188" s="105"/>
      <c r="N188" s="295" t="str">
        <f>IF(M188="","",IF(VLOOKUP(M188,'G-3 Multipliers'!$L$3:$N$6,2,FALSE)=0,"Spatial Data Missing ⚠",VLOOKUP(M188,'G-3 Multipliers'!$L$3:$N$6,2,FALSE)))</f>
        <v/>
      </c>
      <c r="O188" s="353" t="str">
        <f>IF(M188="","",IF(VLOOKUP(M188,'G-3 Multipliers'!$L$3:$N$6,3,FALSE)=0,"Spatial Data Missing ⚠",VLOOKUP(M188,'G-3 Multipliers'!$L$3:$N$6,3,FALSE)))</f>
        <v/>
      </c>
      <c r="P188" s="336" t="str">
        <f>(IF(G188="Yes","Bespoke compensation likely to be required",(IFERROR(VLOOKUP(AV188,'G-1 All Habitats'!$B$2:$M$135,12,FALSE),""))))</f>
        <v/>
      </c>
      <c r="Q188" s="511" t="str">
        <f>IFERROR(IF(P188="","",IF(AND(E188="Individual trees",W188&gt;0,G188="Yes"),"Error - you cannot enhance irreplaceable individual trees ▲",IF(P188='G-1 All Habitats'!$X$9,T188*S188,IF(AND(P188='G-1 All Habitats'!$X$9,W188&gt;0),X188+(Y188*S188),IF(AND(P188='G-1 All Habitats'!$X$9,V188&gt;0),X188+(Y188*S188),IF(AND(P188='G-1 All Habitats'!$X$9,AG188&gt;0),"Any Loss Unacceptable  ⚠",IF(AND(P188='G-1 All Habitats'!$X$9,Z188&gt;0),"Any Loss Unacceptable ⚠",H188*J188*L188*O188*S188))))))),"Check Data ⚠")</f>
        <v/>
      </c>
      <c r="R188" s="393"/>
      <c r="S188" s="510" t="str">
        <f>IF(R188="","",IF(VLOOKUP(R188,'G-3 Multipliers'!$S$3:$T$10,2,FALSE)=0,"Spatial Data Missing ⚠",VLOOKUP(R188,'G-3 Multipliers'!$S$3:$T$10,2,FALSE)))</f>
        <v/>
      </c>
      <c r="T188" s="289" t="str">
        <f>IFERROR(IF(AND(F188&lt;&gt;"",G188=""),"Confirm irreplaceable habitat status ▲",(IF(AND(R188&lt;&gt;"",AF188=""),"Off-site reference required ▲",(IF(AND(E188="Individual trees",W188&gt;0,G188="Yes"),"Error - you cannot enhance irreplaceable individual trees ▲",(IF(AND(X188="Irreplaceable habitat - no units generated ⚠",(W188+V188)&lt;H188,OR(AB188="No",AB188="")),"Any Loss Unacceptable ⚠",(IF(X188="Irreplaceable habitat - no units generated ⚠",W188*J188*L188*O188,IF(AND(P188='G-1 All Habitats'!$X$9,AH188&gt;0,V188&lt;=0,W188&lt;=0,OR(AB188="No",AB188="")),"Any Loss Unacceptable ⚠",IF(AND(P188='G-1 All Habitats'!$X$9,AH188&gt;0,V188&lt;=0,W188&lt;=0),0,(IF(AND(P188='G-1 All Habitats'!$X$9,(W188+V188)&lt;H188,OR(AB188="No",AB188="")),"Any Loss Unacceptable ⚠",(IF(P188="","",IF(AND(P188='G-1 All Habitats'!$X$9,W188&gt;0),X188+Y188,IF(AND(P188='G-1 All Habitats'!$X$9,V188&gt;0),X188+Y188,IF(R188="","",H188*J188*L188*O188)))))))))))))))))),"Check Data ▲")</f>
        <v/>
      </c>
      <c r="U188" s="38"/>
      <c r="V188" s="52"/>
      <c r="W188" s="53"/>
      <c r="X188" s="287" t="str">
        <f t="shared" si="20"/>
        <v/>
      </c>
      <c r="Y188" s="287" t="str">
        <f t="shared" si="21"/>
        <v/>
      </c>
      <c r="Z188" s="287" t="str">
        <f t="shared" si="22"/>
        <v/>
      </c>
      <c r="AA188" s="317" t="str">
        <f>IFERROR(IF(AND(E188="Individual trees",G188="Yes",W188&gt;0),"Error - you cannot enhance an irreplaceable tree ▲",(IF(H188="","",IF(H188-V188-W188=0&lt;0,"Error in Areas ▲",IF(V188+W188&gt;H188,"Error in Areas ▲",IF(AND(P188='G-1 All Habitats'!$X$9,AB188="Yes"),"Alternative Compensation ✓",IF(AND(P188='G-1 All Habitats'!$X$3,AB188="Yes"),"Alternative Compensation ✓",IF(AND(AB188="Pending",P188='G-1 All Habitats'!$X$3),"Bespoke compensation must be agreed ▲",IF(AND(AB188="Pending",P188='G-1 All Habitats'!$X$9),"Bespoke compensation must be agreed  ▲",IF(Z188=0,0,IF(P188='G-1 All Habitats'!$X$9,"Any Loss Unacceptable ▲",T188-X188-Y188))))))))))),"Check Data ⚠")</f>
        <v/>
      </c>
      <c r="AB188" s="587"/>
      <c r="AC188" s="105"/>
      <c r="AD188" s="138"/>
      <c r="AE188" s="104"/>
      <c r="AF188" s="611"/>
      <c r="AG188" s="523" t="str">
        <f>IF(OR(P188="",AB188="Yes"),"",IF(P188='G-1 All Habitats'!$X$9,H188-V188-W188,"None"))</f>
        <v/>
      </c>
      <c r="AH188" s="523" t="str">
        <f>IF(P188="","",IF(P188='G-1 All Habitats'!$X$9,AG188*J188*L188*O188,"None"))</f>
        <v/>
      </c>
      <c r="AJ188" s="107" t="str">
        <f t="shared" si="23"/>
        <v/>
      </c>
      <c r="AK188" s="107" t="str">
        <f t="shared" si="26"/>
        <v/>
      </c>
      <c r="AL188" s="107" t="str">
        <f>IF(I188="","",IF(#REF!&gt;0,TRUE,FALSE))</f>
        <v/>
      </c>
      <c r="AM188" s="107">
        <v>178</v>
      </c>
      <c r="AN188" s="107"/>
      <c r="AO188" s="107" t="str">
        <f t="array" ref="AO188">IFERROR(INDEX($AM$11:$AM$259,MATCH(0,IF(TRUE=$AJ$11:$AJ$259,COUNTIF($AO$10:$AO187,$AM$11:$AM$259),""),0)),"")</f>
        <v/>
      </c>
      <c r="AP188" s="107" t="str">
        <f t="array" ref="AP188">IFERROR(INDEX($AM$11:$AM$259,MATCH(0,IF(TRUE=$AK$11:$AK$259,COUNTIF($AP$10:$AP187,$AM$11:$AM$259),""),0)),"")</f>
        <v/>
      </c>
      <c r="AQ188" s="107" t="str">
        <f t="array" ref="AQ188">IFERROR(INDEX($AM$11:$AM$259,MATCH(0,IF(TRUE=$AL$11:$AL$259,COUNTIF($AQ$10:$AQ187,$AM$11:$AM$259),""),0)),"")</f>
        <v/>
      </c>
      <c r="AS188" s="885" t="str">
        <f>IF(AND(OR(AB188="Yes",AB188="Pending"),P188='G-1 All Habitats'!$X$3),T188-X188-Y188,"0")</f>
        <v>0</v>
      </c>
      <c r="AT188" s="30" t="str">
        <f t="shared" si="19"/>
        <v/>
      </c>
      <c r="AU188" s="30">
        <f t="shared" si="24"/>
        <v>0</v>
      </c>
      <c r="AV188" s="230" t="str">
        <f>IFERROR(INDEX('G-1 All Habitats'!$B$3:$B$135,MATCH(F188,'G-1 All Habitats'!$A$3:$A$135,0)),"")</f>
        <v/>
      </c>
      <c r="AW188" s="30" t="str">
        <f>IF(AV188="","",VLOOKUP(AV188,'G-1 All Habitats'!$B$1:$T$135,19,FALSE))</f>
        <v/>
      </c>
      <c r="AY188" s="287" t="str">
        <f t="shared" si="25"/>
        <v/>
      </c>
    </row>
    <row r="189" spans="1:51" ht="14">
      <c r="A189" s="30" t="str">
        <f>IFERROR(INDEX('G-1 All Habitats'!$AG$3:$AG$17,MATCH(E189,'G-1 All Habitats'!$AF$3:$AF$17,0)),"")</f>
        <v/>
      </c>
      <c r="B189" s="30" t="str">
        <f>IFERROR(INDEX('G-8 Condition Look up'!$I$4:$I$135,MATCH(AV189,'G-8 Condition Look up'!$A$4:$A$135,0)),"")</f>
        <v/>
      </c>
      <c r="D189" s="97">
        <v>179</v>
      </c>
      <c r="E189" s="262"/>
      <c r="F189" s="263"/>
      <c r="G189" s="133"/>
      <c r="H189" s="115"/>
      <c r="I189" s="509" t="str">
        <f>IF(AV189="","",IF(AND(AW189="Yes",G189="No"),"Irreplaceable habitat ▲",IF(AND(AW189="No",G189="Yes"),"Cannot be Irreplaceable ▲",VLOOKUP(AV189,'G-1 All Habitats'!$B$2:$M$135,10,FALSE))))</f>
        <v/>
      </c>
      <c r="J189" s="377" t="str">
        <f>IFERROR(VLOOKUP(I189,'G-1 All Habitats'!$V$3:$W$7,2,FALSE),"")</f>
        <v/>
      </c>
      <c r="K189" s="101"/>
      <c r="L189" s="276" t="str">
        <f>IFERROR(INDEX('G-8 Condition Look up'!$A$3:$H$135,MATCH(AV189,'G-8 Condition Look up'!$A$3:$A$135,0),MATCH(K189,'G-8 Condition Look up'!$A$3:$H$3,0)),"")</f>
        <v/>
      </c>
      <c r="M189" s="105"/>
      <c r="N189" s="295" t="str">
        <f>IF(M189="","",IF(VLOOKUP(M189,'G-3 Multipliers'!$L$3:$N$6,2,FALSE)=0,"Spatial Data Missing ⚠",VLOOKUP(M189,'G-3 Multipliers'!$L$3:$N$6,2,FALSE)))</f>
        <v/>
      </c>
      <c r="O189" s="353" t="str">
        <f>IF(M189="","",IF(VLOOKUP(M189,'G-3 Multipliers'!$L$3:$N$6,3,FALSE)=0,"Spatial Data Missing ⚠",VLOOKUP(M189,'G-3 Multipliers'!$L$3:$N$6,3,FALSE)))</f>
        <v/>
      </c>
      <c r="P189" s="336" t="str">
        <f>(IF(G189="Yes","Bespoke compensation likely to be required",(IFERROR(VLOOKUP(AV189,'G-1 All Habitats'!$B$2:$M$135,12,FALSE),""))))</f>
        <v/>
      </c>
      <c r="Q189" s="511" t="str">
        <f>IFERROR(IF(P189="","",IF(AND(E189="Individual trees",W189&gt;0,G189="Yes"),"Error - you cannot enhance irreplaceable individual trees ▲",IF(P189='G-1 All Habitats'!$X$9,T189*S189,IF(AND(P189='G-1 All Habitats'!$X$9,W189&gt;0),X189+(Y189*S189),IF(AND(P189='G-1 All Habitats'!$X$9,V189&gt;0),X189+(Y189*S189),IF(AND(P189='G-1 All Habitats'!$X$9,AG189&gt;0),"Any Loss Unacceptable  ⚠",IF(AND(P189='G-1 All Habitats'!$X$9,Z189&gt;0),"Any Loss Unacceptable ⚠",H189*J189*L189*O189*S189))))))),"Check Data ⚠")</f>
        <v/>
      </c>
      <c r="R189" s="393"/>
      <c r="S189" s="510" t="str">
        <f>IF(R189="","",IF(VLOOKUP(R189,'G-3 Multipliers'!$S$3:$T$10,2,FALSE)=0,"Spatial Data Missing ⚠",VLOOKUP(R189,'G-3 Multipliers'!$S$3:$T$10,2,FALSE)))</f>
        <v/>
      </c>
      <c r="T189" s="289" t="str">
        <f>IFERROR(IF(AND(F189&lt;&gt;"",G189=""),"Confirm irreplaceable habitat status ▲",(IF(AND(R189&lt;&gt;"",AF189=""),"Off-site reference required ▲",(IF(AND(E189="Individual trees",W189&gt;0,G189="Yes"),"Error - you cannot enhance irreplaceable individual trees ▲",(IF(AND(X189="Irreplaceable habitat - no units generated ⚠",(W189+V189)&lt;H189,OR(AB189="No",AB189="")),"Any Loss Unacceptable ⚠",(IF(X189="Irreplaceable habitat - no units generated ⚠",W189*J189*L189*O189,IF(AND(P189='G-1 All Habitats'!$X$9,AH189&gt;0,V189&lt;=0,W189&lt;=0,OR(AB189="No",AB189="")),"Any Loss Unacceptable ⚠",IF(AND(P189='G-1 All Habitats'!$X$9,AH189&gt;0,V189&lt;=0,W189&lt;=0),0,(IF(AND(P189='G-1 All Habitats'!$X$9,(W189+V189)&lt;H189,OR(AB189="No",AB189="")),"Any Loss Unacceptable ⚠",(IF(P189="","",IF(AND(P189='G-1 All Habitats'!$X$9,W189&gt;0),X189+Y189,IF(AND(P189='G-1 All Habitats'!$X$9,V189&gt;0),X189+Y189,IF(R189="","",H189*J189*L189*O189)))))))))))))))))),"Check Data ▲")</f>
        <v/>
      </c>
      <c r="U189" s="38"/>
      <c r="V189" s="52"/>
      <c r="W189" s="53"/>
      <c r="X189" s="287" t="str">
        <f t="shared" si="20"/>
        <v/>
      </c>
      <c r="Y189" s="287" t="str">
        <f t="shared" si="21"/>
        <v/>
      </c>
      <c r="Z189" s="287" t="str">
        <f t="shared" si="22"/>
        <v/>
      </c>
      <c r="AA189" s="317" t="str">
        <f>IFERROR(IF(AND(E189="Individual trees",G189="Yes",W189&gt;0),"Error - you cannot enhance an irreplaceable tree ▲",(IF(H189="","",IF(H189-V189-W189=0&lt;0,"Error in Areas ▲",IF(V189+W189&gt;H189,"Error in Areas ▲",IF(AND(P189='G-1 All Habitats'!$X$9,AB189="Yes"),"Alternative Compensation ✓",IF(AND(P189='G-1 All Habitats'!$X$3,AB189="Yes"),"Alternative Compensation ✓",IF(AND(AB189="Pending",P189='G-1 All Habitats'!$X$3),"Bespoke compensation must be agreed ▲",IF(AND(AB189="Pending",P189='G-1 All Habitats'!$X$9),"Bespoke compensation must be agreed  ▲",IF(Z189=0,0,IF(P189='G-1 All Habitats'!$X$9,"Any Loss Unacceptable ▲",T189-X189-Y189))))))))))),"Check Data ⚠")</f>
        <v/>
      </c>
      <c r="AB189" s="587"/>
      <c r="AC189" s="105"/>
      <c r="AD189" s="138"/>
      <c r="AE189" s="104"/>
      <c r="AF189" s="611"/>
      <c r="AG189" s="523" t="str">
        <f>IF(OR(P189="",AB189="Yes"),"",IF(P189='G-1 All Habitats'!$X$9,H189-V189-W189,"None"))</f>
        <v/>
      </c>
      <c r="AH189" s="523" t="str">
        <f>IF(P189="","",IF(P189='G-1 All Habitats'!$X$9,AG189*J189*L189*O189,"None"))</f>
        <v/>
      </c>
      <c r="AJ189" s="107" t="str">
        <f t="shared" si="23"/>
        <v/>
      </c>
      <c r="AK189" s="107" t="str">
        <f t="shared" si="26"/>
        <v/>
      </c>
      <c r="AL189" s="107" t="str">
        <f>IF(I189="","",IF(#REF!&gt;0,TRUE,FALSE))</f>
        <v/>
      </c>
      <c r="AM189" s="107">
        <v>179</v>
      </c>
      <c r="AN189" s="107"/>
      <c r="AO189" s="107" t="str">
        <f t="array" ref="AO189">IFERROR(INDEX($AM$11:$AM$259,MATCH(0,IF(TRUE=$AJ$11:$AJ$259,COUNTIF($AO$10:$AO188,$AM$11:$AM$259),""),0)),"")</f>
        <v/>
      </c>
      <c r="AP189" s="107" t="str">
        <f t="array" ref="AP189">IFERROR(INDEX($AM$11:$AM$259,MATCH(0,IF(TRUE=$AK$11:$AK$259,COUNTIF($AP$10:$AP188,$AM$11:$AM$259),""),0)),"")</f>
        <v/>
      </c>
      <c r="AQ189" s="107" t="str">
        <f t="array" ref="AQ189">IFERROR(INDEX($AM$11:$AM$259,MATCH(0,IF(TRUE=$AL$11:$AL$259,COUNTIF($AQ$10:$AQ188,$AM$11:$AM$259),""),0)),"")</f>
        <v/>
      </c>
      <c r="AS189" s="885" t="str">
        <f>IF(AND(OR(AB189="Yes",AB189="Pending"),P189='G-1 All Habitats'!$X$3),T189-X189-Y189,"0")</f>
        <v>0</v>
      </c>
      <c r="AT189" s="30" t="str">
        <f t="shared" si="19"/>
        <v/>
      </c>
      <c r="AU189" s="30">
        <f t="shared" si="24"/>
        <v>0</v>
      </c>
      <c r="AV189" s="230" t="str">
        <f>IFERROR(INDEX('G-1 All Habitats'!$B$3:$B$135,MATCH(F189,'G-1 All Habitats'!$A$3:$A$135,0)),"")</f>
        <v/>
      </c>
      <c r="AW189" s="30" t="str">
        <f>IF(AV189="","",VLOOKUP(AV189,'G-1 All Habitats'!$B$1:$T$135,19,FALSE))</f>
        <v/>
      </c>
      <c r="AY189" s="287" t="str">
        <f t="shared" si="25"/>
        <v/>
      </c>
    </row>
    <row r="190" spans="1:51" ht="14">
      <c r="A190" s="30" t="str">
        <f>IFERROR(INDEX('G-1 All Habitats'!$AG$3:$AG$17,MATCH(E190,'G-1 All Habitats'!$AF$3:$AF$17,0)),"")</f>
        <v/>
      </c>
      <c r="B190" s="30" t="str">
        <f>IFERROR(INDEX('G-8 Condition Look up'!$I$4:$I$135,MATCH(AV190,'G-8 Condition Look up'!$A$4:$A$135,0)),"")</f>
        <v/>
      </c>
      <c r="D190" s="97">
        <v>180</v>
      </c>
      <c r="E190" s="262"/>
      <c r="F190" s="263"/>
      <c r="G190" s="133"/>
      <c r="H190" s="115"/>
      <c r="I190" s="509" t="str">
        <f>IF(AV190="","",IF(AND(AW190="Yes",G190="No"),"Irreplaceable habitat ▲",IF(AND(AW190="No",G190="Yes"),"Cannot be Irreplaceable ▲",VLOOKUP(AV190,'G-1 All Habitats'!$B$2:$M$135,10,FALSE))))</f>
        <v/>
      </c>
      <c r="J190" s="377" t="str">
        <f>IFERROR(VLOOKUP(I190,'G-1 All Habitats'!$V$3:$W$7,2,FALSE),"")</f>
        <v/>
      </c>
      <c r="K190" s="101"/>
      <c r="L190" s="276" t="str">
        <f>IFERROR(INDEX('G-8 Condition Look up'!$A$3:$H$135,MATCH(AV190,'G-8 Condition Look up'!$A$3:$A$135,0),MATCH(K190,'G-8 Condition Look up'!$A$3:$H$3,0)),"")</f>
        <v/>
      </c>
      <c r="M190" s="105"/>
      <c r="N190" s="295" t="str">
        <f>IF(M190="","",IF(VLOOKUP(M190,'G-3 Multipliers'!$L$3:$N$6,2,FALSE)=0,"Spatial Data Missing ⚠",VLOOKUP(M190,'G-3 Multipliers'!$L$3:$N$6,2,FALSE)))</f>
        <v/>
      </c>
      <c r="O190" s="353" t="str">
        <f>IF(M190="","",IF(VLOOKUP(M190,'G-3 Multipliers'!$L$3:$N$6,3,FALSE)=0,"Spatial Data Missing ⚠",VLOOKUP(M190,'G-3 Multipliers'!$L$3:$N$6,3,FALSE)))</f>
        <v/>
      </c>
      <c r="P190" s="336" t="str">
        <f>(IF(G190="Yes","Bespoke compensation likely to be required",(IFERROR(VLOOKUP(AV190,'G-1 All Habitats'!$B$2:$M$135,12,FALSE),""))))</f>
        <v/>
      </c>
      <c r="Q190" s="511" t="str">
        <f>IFERROR(IF(P190="","",IF(AND(E190="Individual trees",W190&gt;0,G190="Yes"),"Error - you cannot enhance irreplaceable individual trees ▲",IF(P190='G-1 All Habitats'!$X$9,T190*S190,IF(AND(P190='G-1 All Habitats'!$X$9,W190&gt;0),X190+(Y190*S190),IF(AND(P190='G-1 All Habitats'!$X$9,V190&gt;0),X190+(Y190*S190),IF(AND(P190='G-1 All Habitats'!$X$9,AG190&gt;0),"Any Loss Unacceptable  ⚠",IF(AND(P190='G-1 All Habitats'!$X$9,Z190&gt;0),"Any Loss Unacceptable ⚠",H190*J190*L190*O190*S190))))))),"Check Data ⚠")</f>
        <v/>
      </c>
      <c r="R190" s="393"/>
      <c r="S190" s="510" t="str">
        <f>IF(R190="","",IF(VLOOKUP(R190,'G-3 Multipliers'!$S$3:$T$10,2,FALSE)=0,"Spatial Data Missing ⚠",VLOOKUP(R190,'G-3 Multipliers'!$S$3:$T$10,2,FALSE)))</f>
        <v/>
      </c>
      <c r="T190" s="289" t="str">
        <f>IFERROR(IF(AND(F190&lt;&gt;"",G190=""),"Confirm irreplaceable habitat status ▲",(IF(AND(R190&lt;&gt;"",AF190=""),"Off-site reference required ▲",(IF(AND(E190="Individual trees",W190&gt;0,G190="Yes"),"Error - you cannot enhance irreplaceable individual trees ▲",(IF(AND(X190="Irreplaceable habitat - no units generated ⚠",(W190+V190)&lt;H190,OR(AB190="No",AB190="")),"Any Loss Unacceptable ⚠",(IF(X190="Irreplaceable habitat - no units generated ⚠",W190*J190*L190*O190,IF(AND(P190='G-1 All Habitats'!$X$9,AH190&gt;0,V190&lt;=0,W190&lt;=0,OR(AB190="No",AB190="")),"Any Loss Unacceptable ⚠",IF(AND(P190='G-1 All Habitats'!$X$9,AH190&gt;0,V190&lt;=0,W190&lt;=0),0,(IF(AND(P190='G-1 All Habitats'!$X$9,(W190+V190)&lt;H190,OR(AB190="No",AB190="")),"Any Loss Unacceptable ⚠",(IF(P190="","",IF(AND(P190='G-1 All Habitats'!$X$9,W190&gt;0),X190+Y190,IF(AND(P190='G-1 All Habitats'!$X$9,V190&gt;0),X190+Y190,IF(R190="","",H190*J190*L190*O190)))))))))))))))))),"Check Data ▲")</f>
        <v/>
      </c>
      <c r="U190" s="38"/>
      <c r="V190" s="52"/>
      <c r="W190" s="53"/>
      <c r="X190" s="287" t="str">
        <f t="shared" si="20"/>
        <v/>
      </c>
      <c r="Y190" s="287" t="str">
        <f t="shared" si="21"/>
        <v/>
      </c>
      <c r="Z190" s="287" t="str">
        <f t="shared" si="22"/>
        <v/>
      </c>
      <c r="AA190" s="317" t="str">
        <f>IFERROR(IF(AND(E190="Individual trees",G190="Yes",W190&gt;0),"Error - you cannot enhance an irreplaceable tree ▲",(IF(H190="","",IF(H190-V190-W190=0&lt;0,"Error in Areas ▲",IF(V190+W190&gt;H190,"Error in Areas ▲",IF(AND(P190='G-1 All Habitats'!$X$9,AB190="Yes"),"Alternative Compensation ✓",IF(AND(P190='G-1 All Habitats'!$X$3,AB190="Yes"),"Alternative Compensation ✓",IF(AND(AB190="Pending",P190='G-1 All Habitats'!$X$3),"Bespoke compensation must be agreed ▲",IF(AND(AB190="Pending",P190='G-1 All Habitats'!$X$9),"Bespoke compensation must be agreed  ▲",IF(Z190=0,0,IF(P190='G-1 All Habitats'!$X$9,"Any Loss Unacceptable ▲",T190-X190-Y190))))))))))),"Check Data ⚠")</f>
        <v/>
      </c>
      <c r="AB190" s="587"/>
      <c r="AC190" s="105"/>
      <c r="AD190" s="138"/>
      <c r="AE190" s="104"/>
      <c r="AF190" s="611"/>
      <c r="AG190" s="523" t="str">
        <f>IF(OR(P190="",AB190="Yes"),"",IF(P190='G-1 All Habitats'!$X$9,H190-V190-W190,"None"))</f>
        <v/>
      </c>
      <c r="AH190" s="523" t="str">
        <f>IF(P190="","",IF(P190='G-1 All Habitats'!$X$9,AG190*J190*L190*O190,"None"))</f>
        <v/>
      </c>
      <c r="AJ190" s="107" t="str">
        <f t="shared" si="23"/>
        <v/>
      </c>
      <c r="AK190" s="107" t="str">
        <f t="shared" si="26"/>
        <v/>
      </c>
      <c r="AL190" s="107" t="str">
        <f>IF(I190="","",IF(#REF!&gt;0,TRUE,FALSE))</f>
        <v/>
      </c>
      <c r="AM190" s="107">
        <v>180</v>
      </c>
      <c r="AN190" s="107"/>
      <c r="AO190" s="107" t="str">
        <f t="array" ref="AO190">IFERROR(INDEX($AM$11:$AM$259,MATCH(0,IF(TRUE=$AJ$11:$AJ$259,COUNTIF($AO$10:$AO189,$AM$11:$AM$259),""),0)),"")</f>
        <v/>
      </c>
      <c r="AP190" s="107" t="str">
        <f t="array" ref="AP190">IFERROR(INDEX($AM$11:$AM$259,MATCH(0,IF(TRUE=$AK$11:$AK$259,COUNTIF($AP$10:$AP189,$AM$11:$AM$259),""),0)),"")</f>
        <v/>
      </c>
      <c r="AQ190" s="107" t="str">
        <f t="array" ref="AQ190">IFERROR(INDEX($AM$11:$AM$259,MATCH(0,IF(TRUE=$AL$11:$AL$259,COUNTIF($AQ$10:$AQ189,$AM$11:$AM$259),""),0)),"")</f>
        <v/>
      </c>
      <c r="AS190" s="885" t="str">
        <f>IF(AND(OR(AB190="Yes",AB190="Pending"),P190='G-1 All Habitats'!$X$3),T190-X190-Y190,"0")</f>
        <v>0</v>
      </c>
      <c r="AT190" s="30" t="str">
        <f t="shared" si="19"/>
        <v/>
      </c>
      <c r="AU190" s="30">
        <f t="shared" si="24"/>
        <v>0</v>
      </c>
      <c r="AV190" s="230" t="str">
        <f>IFERROR(INDEX('G-1 All Habitats'!$B$3:$B$135,MATCH(F190,'G-1 All Habitats'!$A$3:$A$135,0)),"")</f>
        <v/>
      </c>
      <c r="AW190" s="30" t="str">
        <f>IF(AV190="","",VLOOKUP(AV190,'G-1 All Habitats'!$B$1:$T$135,19,FALSE))</f>
        <v/>
      </c>
      <c r="AY190" s="287" t="str">
        <f t="shared" si="25"/>
        <v/>
      </c>
    </row>
    <row r="191" spans="1:51" ht="14">
      <c r="A191" s="30" t="str">
        <f>IFERROR(INDEX('G-1 All Habitats'!$AG$3:$AG$17,MATCH(E191,'G-1 All Habitats'!$AF$3:$AF$17,0)),"")</f>
        <v/>
      </c>
      <c r="B191" s="30" t="str">
        <f>IFERROR(INDEX('G-8 Condition Look up'!$I$4:$I$135,MATCH(AV191,'G-8 Condition Look up'!$A$4:$A$135,0)),"")</f>
        <v/>
      </c>
      <c r="D191" s="97">
        <v>181</v>
      </c>
      <c r="E191" s="262"/>
      <c r="F191" s="263"/>
      <c r="G191" s="133"/>
      <c r="H191" s="115"/>
      <c r="I191" s="509" t="str">
        <f>IF(AV191="","",IF(AND(AW191="Yes",G191="No"),"Irreplaceable habitat ▲",IF(AND(AW191="No",G191="Yes"),"Cannot be Irreplaceable ▲",VLOOKUP(AV191,'G-1 All Habitats'!$B$2:$M$135,10,FALSE))))</f>
        <v/>
      </c>
      <c r="J191" s="377" t="str">
        <f>IFERROR(VLOOKUP(I191,'G-1 All Habitats'!$V$3:$W$7,2,FALSE),"")</f>
        <v/>
      </c>
      <c r="K191" s="101"/>
      <c r="L191" s="276" t="str">
        <f>IFERROR(INDEX('G-8 Condition Look up'!$A$3:$H$135,MATCH(AV191,'G-8 Condition Look up'!$A$3:$A$135,0),MATCH(K191,'G-8 Condition Look up'!$A$3:$H$3,0)),"")</f>
        <v/>
      </c>
      <c r="M191" s="105"/>
      <c r="N191" s="295" t="str">
        <f>IF(M191="","",IF(VLOOKUP(M191,'G-3 Multipliers'!$L$3:$N$6,2,FALSE)=0,"Spatial Data Missing ⚠",VLOOKUP(M191,'G-3 Multipliers'!$L$3:$N$6,2,FALSE)))</f>
        <v/>
      </c>
      <c r="O191" s="353" t="str">
        <f>IF(M191="","",IF(VLOOKUP(M191,'G-3 Multipliers'!$L$3:$N$6,3,FALSE)=0,"Spatial Data Missing ⚠",VLOOKUP(M191,'G-3 Multipliers'!$L$3:$N$6,3,FALSE)))</f>
        <v/>
      </c>
      <c r="P191" s="336" t="str">
        <f>(IF(G191="Yes","Bespoke compensation likely to be required",(IFERROR(VLOOKUP(AV191,'G-1 All Habitats'!$B$2:$M$135,12,FALSE),""))))</f>
        <v/>
      </c>
      <c r="Q191" s="511" t="str">
        <f>IFERROR(IF(P191="","",IF(AND(E191="Individual trees",W191&gt;0,G191="Yes"),"Error - you cannot enhance irreplaceable individual trees ▲",IF(P191='G-1 All Habitats'!$X$9,T191*S191,IF(AND(P191='G-1 All Habitats'!$X$9,W191&gt;0),X191+(Y191*S191),IF(AND(P191='G-1 All Habitats'!$X$9,V191&gt;0),X191+(Y191*S191),IF(AND(P191='G-1 All Habitats'!$X$9,AG191&gt;0),"Any Loss Unacceptable  ⚠",IF(AND(P191='G-1 All Habitats'!$X$9,Z191&gt;0),"Any Loss Unacceptable ⚠",H191*J191*L191*O191*S191))))))),"Check Data ⚠")</f>
        <v/>
      </c>
      <c r="R191" s="393"/>
      <c r="S191" s="510" t="str">
        <f>IF(R191="","",IF(VLOOKUP(R191,'G-3 Multipliers'!$S$3:$T$10,2,FALSE)=0,"Spatial Data Missing ⚠",VLOOKUP(R191,'G-3 Multipliers'!$S$3:$T$10,2,FALSE)))</f>
        <v/>
      </c>
      <c r="T191" s="289" t="str">
        <f>IFERROR(IF(AND(F191&lt;&gt;"",G191=""),"Confirm irreplaceable habitat status ▲",(IF(AND(R191&lt;&gt;"",AF191=""),"Off-site reference required ▲",(IF(AND(E191="Individual trees",W191&gt;0,G191="Yes"),"Error - you cannot enhance irreplaceable individual trees ▲",(IF(AND(X191="Irreplaceable habitat - no units generated ⚠",(W191+V191)&lt;H191,OR(AB191="No",AB191="")),"Any Loss Unacceptable ⚠",(IF(X191="Irreplaceable habitat - no units generated ⚠",W191*J191*L191*O191,IF(AND(P191='G-1 All Habitats'!$X$9,AH191&gt;0,V191&lt;=0,W191&lt;=0,OR(AB191="No",AB191="")),"Any Loss Unacceptable ⚠",IF(AND(P191='G-1 All Habitats'!$X$9,AH191&gt;0,V191&lt;=0,W191&lt;=0),0,(IF(AND(P191='G-1 All Habitats'!$X$9,(W191+V191)&lt;H191,OR(AB191="No",AB191="")),"Any Loss Unacceptable ⚠",(IF(P191="","",IF(AND(P191='G-1 All Habitats'!$X$9,W191&gt;0),X191+Y191,IF(AND(P191='G-1 All Habitats'!$X$9,V191&gt;0),X191+Y191,IF(R191="","",H191*J191*L191*O191)))))))))))))))))),"Check Data ▲")</f>
        <v/>
      </c>
      <c r="U191" s="38"/>
      <c r="V191" s="52"/>
      <c r="W191" s="53"/>
      <c r="X191" s="287" t="str">
        <f t="shared" si="20"/>
        <v/>
      </c>
      <c r="Y191" s="287" t="str">
        <f t="shared" si="21"/>
        <v/>
      </c>
      <c r="Z191" s="287" t="str">
        <f t="shared" si="22"/>
        <v/>
      </c>
      <c r="AA191" s="317" t="str">
        <f>IFERROR(IF(AND(E191="Individual trees",G191="Yes",W191&gt;0),"Error - you cannot enhance an irreplaceable tree ▲",(IF(H191="","",IF(H191-V191-W191=0&lt;0,"Error in Areas ▲",IF(V191+W191&gt;H191,"Error in Areas ▲",IF(AND(P191='G-1 All Habitats'!$X$9,AB191="Yes"),"Alternative Compensation ✓",IF(AND(P191='G-1 All Habitats'!$X$3,AB191="Yes"),"Alternative Compensation ✓",IF(AND(AB191="Pending",P191='G-1 All Habitats'!$X$3),"Bespoke compensation must be agreed ▲",IF(AND(AB191="Pending",P191='G-1 All Habitats'!$X$9),"Bespoke compensation must be agreed  ▲",IF(Z191=0,0,IF(P191='G-1 All Habitats'!$X$9,"Any Loss Unacceptable ▲",T191-X191-Y191))))))))))),"Check Data ⚠")</f>
        <v/>
      </c>
      <c r="AB191" s="587"/>
      <c r="AC191" s="105"/>
      <c r="AD191" s="138"/>
      <c r="AE191" s="104"/>
      <c r="AF191" s="611"/>
      <c r="AG191" s="523" t="str">
        <f>IF(OR(P191="",AB191="Yes"),"",IF(P191='G-1 All Habitats'!$X$9,H191-V191-W191,"None"))</f>
        <v/>
      </c>
      <c r="AH191" s="523" t="str">
        <f>IF(P191="","",IF(P191='G-1 All Habitats'!$X$9,AG191*J191*L191*O191,"None"))</f>
        <v/>
      </c>
      <c r="AJ191" s="107" t="str">
        <f t="shared" si="23"/>
        <v/>
      </c>
      <c r="AK191" s="107" t="str">
        <f t="shared" si="26"/>
        <v/>
      </c>
      <c r="AL191" s="107" t="str">
        <f>IF(I191="","",IF(#REF!&gt;0,TRUE,FALSE))</f>
        <v/>
      </c>
      <c r="AM191" s="107">
        <v>181</v>
      </c>
      <c r="AN191" s="107"/>
      <c r="AO191" s="107" t="str">
        <f t="array" ref="AO191">IFERROR(INDEX($AM$11:$AM$259,MATCH(0,IF(TRUE=$AJ$11:$AJ$259,COUNTIF($AO$10:$AO190,$AM$11:$AM$259),""),0)),"")</f>
        <v/>
      </c>
      <c r="AP191" s="107" t="str">
        <f t="array" ref="AP191">IFERROR(INDEX($AM$11:$AM$259,MATCH(0,IF(TRUE=$AK$11:$AK$259,COUNTIF($AP$10:$AP190,$AM$11:$AM$259),""),0)),"")</f>
        <v/>
      </c>
      <c r="AQ191" s="107" t="str">
        <f t="array" ref="AQ191">IFERROR(INDEX($AM$11:$AM$259,MATCH(0,IF(TRUE=$AL$11:$AL$259,COUNTIF($AQ$10:$AQ190,$AM$11:$AM$259),""),0)),"")</f>
        <v/>
      </c>
      <c r="AS191" s="885" t="str">
        <f>IF(AND(OR(AB191="Yes",AB191="Pending"),P191='G-1 All Habitats'!$X$3),T191-X191-Y191,"0")</f>
        <v>0</v>
      </c>
      <c r="AT191" s="30" t="str">
        <f t="shared" si="19"/>
        <v/>
      </c>
      <c r="AU191" s="30">
        <f t="shared" si="24"/>
        <v>0</v>
      </c>
      <c r="AV191" s="230" t="str">
        <f>IFERROR(INDEX('G-1 All Habitats'!$B$3:$B$135,MATCH(F191,'G-1 All Habitats'!$A$3:$A$135,0)),"")</f>
        <v/>
      </c>
      <c r="AW191" s="30" t="str">
        <f>IF(AV191="","",VLOOKUP(AV191,'G-1 All Habitats'!$B$1:$T$135,19,FALSE))</f>
        <v/>
      </c>
      <c r="AY191" s="287" t="str">
        <f t="shared" si="25"/>
        <v/>
      </c>
    </row>
    <row r="192" spans="1:51" ht="14">
      <c r="A192" s="30" t="str">
        <f>IFERROR(INDEX('G-1 All Habitats'!$AG$3:$AG$17,MATCH(E192,'G-1 All Habitats'!$AF$3:$AF$17,0)),"")</f>
        <v/>
      </c>
      <c r="B192" s="30" t="str">
        <f>IFERROR(INDEX('G-8 Condition Look up'!$I$4:$I$135,MATCH(AV192,'G-8 Condition Look up'!$A$4:$A$135,0)),"")</f>
        <v/>
      </c>
      <c r="D192" s="97">
        <v>182</v>
      </c>
      <c r="E192" s="262"/>
      <c r="F192" s="263"/>
      <c r="G192" s="133"/>
      <c r="H192" s="115"/>
      <c r="I192" s="509" t="str">
        <f>IF(AV192="","",IF(AND(AW192="Yes",G192="No"),"Irreplaceable habitat ▲",IF(AND(AW192="No",G192="Yes"),"Cannot be Irreplaceable ▲",VLOOKUP(AV192,'G-1 All Habitats'!$B$2:$M$135,10,FALSE))))</f>
        <v/>
      </c>
      <c r="J192" s="377" t="str">
        <f>IFERROR(VLOOKUP(I192,'G-1 All Habitats'!$V$3:$W$7,2,FALSE),"")</f>
        <v/>
      </c>
      <c r="K192" s="101"/>
      <c r="L192" s="276" t="str">
        <f>IFERROR(INDEX('G-8 Condition Look up'!$A$3:$H$135,MATCH(AV192,'G-8 Condition Look up'!$A$3:$A$135,0),MATCH(K192,'G-8 Condition Look up'!$A$3:$H$3,0)),"")</f>
        <v/>
      </c>
      <c r="M192" s="105"/>
      <c r="N192" s="295" t="str">
        <f>IF(M192="","",IF(VLOOKUP(M192,'G-3 Multipliers'!$L$3:$N$6,2,FALSE)=0,"Spatial Data Missing ⚠",VLOOKUP(M192,'G-3 Multipliers'!$L$3:$N$6,2,FALSE)))</f>
        <v/>
      </c>
      <c r="O192" s="353" t="str">
        <f>IF(M192="","",IF(VLOOKUP(M192,'G-3 Multipliers'!$L$3:$N$6,3,FALSE)=0,"Spatial Data Missing ⚠",VLOOKUP(M192,'G-3 Multipliers'!$L$3:$N$6,3,FALSE)))</f>
        <v/>
      </c>
      <c r="P192" s="336" t="str">
        <f>(IF(G192="Yes","Bespoke compensation likely to be required",(IFERROR(VLOOKUP(AV192,'G-1 All Habitats'!$B$2:$M$135,12,FALSE),""))))</f>
        <v/>
      </c>
      <c r="Q192" s="511" t="str">
        <f>IFERROR(IF(P192="","",IF(AND(E192="Individual trees",W192&gt;0,G192="Yes"),"Error - you cannot enhance irreplaceable individual trees ▲",IF(P192='G-1 All Habitats'!$X$9,T192*S192,IF(AND(P192='G-1 All Habitats'!$X$9,W192&gt;0),X192+(Y192*S192),IF(AND(P192='G-1 All Habitats'!$X$9,V192&gt;0),X192+(Y192*S192),IF(AND(P192='G-1 All Habitats'!$X$9,AG192&gt;0),"Any Loss Unacceptable  ⚠",IF(AND(P192='G-1 All Habitats'!$X$9,Z192&gt;0),"Any Loss Unacceptable ⚠",H192*J192*L192*O192*S192))))))),"Check Data ⚠")</f>
        <v/>
      </c>
      <c r="R192" s="393"/>
      <c r="S192" s="510" t="str">
        <f>IF(R192="","",IF(VLOOKUP(R192,'G-3 Multipliers'!$S$3:$T$10,2,FALSE)=0,"Spatial Data Missing ⚠",VLOOKUP(R192,'G-3 Multipliers'!$S$3:$T$10,2,FALSE)))</f>
        <v/>
      </c>
      <c r="T192" s="289" t="str">
        <f>IFERROR(IF(AND(F192&lt;&gt;"",G192=""),"Confirm irreplaceable habitat status ▲",(IF(AND(R192&lt;&gt;"",AF192=""),"Off-site reference required ▲",(IF(AND(E192="Individual trees",W192&gt;0,G192="Yes"),"Error - you cannot enhance irreplaceable individual trees ▲",(IF(AND(X192="Irreplaceable habitat - no units generated ⚠",(W192+V192)&lt;H192,OR(AB192="No",AB192="")),"Any Loss Unacceptable ⚠",(IF(X192="Irreplaceable habitat - no units generated ⚠",W192*J192*L192*O192,IF(AND(P192='G-1 All Habitats'!$X$9,AH192&gt;0,V192&lt;=0,W192&lt;=0,OR(AB192="No",AB192="")),"Any Loss Unacceptable ⚠",IF(AND(P192='G-1 All Habitats'!$X$9,AH192&gt;0,V192&lt;=0,W192&lt;=0),0,(IF(AND(P192='G-1 All Habitats'!$X$9,(W192+V192)&lt;H192,OR(AB192="No",AB192="")),"Any Loss Unacceptable ⚠",(IF(P192="","",IF(AND(P192='G-1 All Habitats'!$X$9,W192&gt;0),X192+Y192,IF(AND(P192='G-1 All Habitats'!$X$9,V192&gt;0),X192+Y192,IF(R192="","",H192*J192*L192*O192)))))))))))))))))),"Check Data ▲")</f>
        <v/>
      </c>
      <c r="U192" s="38"/>
      <c r="V192" s="52"/>
      <c r="W192" s="53"/>
      <c r="X192" s="287" t="str">
        <f t="shared" si="20"/>
        <v/>
      </c>
      <c r="Y192" s="287" t="str">
        <f t="shared" si="21"/>
        <v/>
      </c>
      <c r="Z192" s="287" t="str">
        <f t="shared" si="22"/>
        <v/>
      </c>
      <c r="AA192" s="317" t="str">
        <f>IFERROR(IF(AND(E192="Individual trees",G192="Yes",W192&gt;0),"Error - you cannot enhance an irreplaceable tree ▲",(IF(H192="","",IF(H192-V192-W192=0&lt;0,"Error in Areas ▲",IF(V192+W192&gt;H192,"Error in Areas ▲",IF(AND(P192='G-1 All Habitats'!$X$9,AB192="Yes"),"Alternative Compensation ✓",IF(AND(P192='G-1 All Habitats'!$X$3,AB192="Yes"),"Alternative Compensation ✓",IF(AND(AB192="Pending",P192='G-1 All Habitats'!$X$3),"Bespoke compensation must be agreed ▲",IF(AND(AB192="Pending",P192='G-1 All Habitats'!$X$9),"Bespoke compensation must be agreed  ▲",IF(Z192=0,0,IF(P192='G-1 All Habitats'!$X$9,"Any Loss Unacceptable ▲",T192-X192-Y192))))))))))),"Check Data ⚠")</f>
        <v/>
      </c>
      <c r="AB192" s="587"/>
      <c r="AC192" s="105"/>
      <c r="AD192" s="138"/>
      <c r="AE192" s="104"/>
      <c r="AF192" s="611"/>
      <c r="AG192" s="523" t="str">
        <f>IF(OR(P192="",AB192="Yes"),"",IF(P192='G-1 All Habitats'!$X$9,H192-V192-W192,"None"))</f>
        <v/>
      </c>
      <c r="AH192" s="523" t="str">
        <f>IF(P192="","",IF(P192='G-1 All Habitats'!$X$9,AG192*J192*L192*O192,"None"))</f>
        <v/>
      </c>
      <c r="AJ192" s="107" t="str">
        <f t="shared" si="23"/>
        <v/>
      </c>
      <c r="AK192" s="107" t="str">
        <f t="shared" si="26"/>
        <v/>
      </c>
      <c r="AL192" s="107" t="str">
        <f>IF(I192="","",IF(#REF!&gt;0,TRUE,FALSE))</f>
        <v/>
      </c>
      <c r="AM192" s="107">
        <v>182</v>
      </c>
      <c r="AN192" s="107"/>
      <c r="AO192" s="107" t="str">
        <f t="array" ref="AO192">IFERROR(INDEX($AM$11:$AM$259,MATCH(0,IF(TRUE=$AJ$11:$AJ$259,COUNTIF($AO$10:$AO191,$AM$11:$AM$259),""),0)),"")</f>
        <v/>
      </c>
      <c r="AP192" s="107" t="str">
        <f t="array" ref="AP192">IFERROR(INDEX($AM$11:$AM$259,MATCH(0,IF(TRUE=$AK$11:$AK$259,COUNTIF($AP$10:$AP191,$AM$11:$AM$259),""),0)),"")</f>
        <v/>
      </c>
      <c r="AQ192" s="107" t="str">
        <f t="array" ref="AQ192">IFERROR(INDEX($AM$11:$AM$259,MATCH(0,IF(TRUE=$AL$11:$AL$259,COUNTIF($AQ$10:$AQ191,$AM$11:$AM$259),""),0)),"")</f>
        <v/>
      </c>
      <c r="AS192" s="885" t="str">
        <f>IF(AND(OR(AB192="Yes",AB192="Pending"),P192='G-1 All Habitats'!$X$3),T192-X192-Y192,"0")</f>
        <v>0</v>
      </c>
      <c r="AT192" s="30" t="str">
        <f t="shared" si="19"/>
        <v/>
      </c>
      <c r="AU192" s="30">
        <f t="shared" si="24"/>
        <v>0</v>
      </c>
      <c r="AV192" s="230" t="str">
        <f>IFERROR(INDEX('G-1 All Habitats'!$B$3:$B$135,MATCH(F192,'G-1 All Habitats'!$A$3:$A$135,0)),"")</f>
        <v/>
      </c>
      <c r="AW192" s="30" t="str">
        <f>IF(AV192="","",VLOOKUP(AV192,'G-1 All Habitats'!$B$1:$T$135,19,FALSE))</f>
        <v/>
      </c>
      <c r="AY192" s="287" t="str">
        <f t="shared" si="25"/>
        <v/>
      </c>
    </row>
    <row r="193" spans="1:51" ht="14">
      <c r="A193" s="30" t="str">
        <f>IFERROR(INDEX('G-1 All Habitats'!$AG$3:$AG$17,MATCH(E193,'G-1 All Habitats'!$AF$3:$AF$17,0)),"")</f>
        <v/>
      </c>
      <c r="B193" s="30" t="str">
        <f>IFERROR(INDEX('G-8 Condition Look up'!$I$4:$I$135,MATCH(AV193,'G-8 Condition Look up'!$A$4:$A$135,0)),"")</f>
        <v/>
      </c>
      <c r="D193" s="97">
        <v>183</v>
      </c>
      <c r="E193" s="262"/>
      <c r="F193" s="263"/>
      <c r="G193" s="133"/>
      <c r="H193" s="115"/>
      <c r="I193" s="509" t="str">
        <f>IF(AV193="","",IF(AND(AW193="Yes",G193="No"),"Irreplaceable habitat ▲",IF(AND(AW193="No",G193="Yes"),"Cannot be Irreplaceable ▲",VLOOKUP(AV193,'G-1 All Habitats'!$B$2:$M$135,10,FALSE))))</f>
        <v/>
      </c>
      <c r="J193" s="377" t="str">
        <f>IFERROR(VLOOKUP(I193,'G-1 All Habitats'!$V$3:$W$7,2,FALSE),"")</f>
        <v/>
      </c>
      <c r="K193" s="101"/>
      <c r="L193" s="276" t="str">
        <f>IFERROR(INDEX('G-8 Condition Look up'!$A$3:$H$135,MATCH(AV193,'G-8 Condition Look up'!$A$3:$A$135,0),MATCH(K193,'G-8 Condition Look up'!$A$3:$H$3,0)),"")</f>
        <v/>
      </c>
      <c r="M193" s="105"/>
      <c r="N193" s="295" t="str">
        <f>IF(M193="","",IF(VLOOKUP(M193,'G-3 Multipliers'!$L$3:$N$6,2,FALSE)=0,"Spatial Data Missing ⚠",VLOOKUP(M193,'G-3 Multipliers'!$L$3:$N$6,2,FALSE)))</f>
        <v/>
      </c>
      <c r="O193" s="353" t="str">
        <f>IF(M193="","",IF(VLOOKUP(M193,'G-3 Multipliers'!$L$3:$N$6,3,FALSE)=0,"Spatial Data Missing ⚠",VLOOKUP(M193,'G-3 Multipliers'!$L$3:$N$6,3,FALSE)))</f>
        <v/>
      </c>
      <c r="P193" s="336" t="str">
        <f>(IF(G193="Yes","Bespoke compensation likely to be required",(IFERROR(VLOOKUP(AV193,'G-1 All Habitats'!$B$2:$M$135,12,FALSE),""))))</f>
        <v/>
      </c>
      <c r="Q193" s="511" t="str">
        <f>IFERROR(IF(P193="","",IF(AND(E193="Individual trees",W193&gt;0,G193="Yes"),"Error - you cannot enhance irreplaceable individual trees ▲",IF(P193='G-1 All Habitats'!$X$9,T193*S193,IF(AND(P193='G-1 All Habitats'!$X$9,W193&gt;0),X193+(Y193*S193),IF(AND(P193='G-1 All Habitats'!$X$9,V193&gt;0),X193+(Y193*S193),IF(AND(P193='G-1 All Habitats'!$X$9,AG193&gt;0),"Any Loss Unacceptable  ⚠",IF(AND(P193='G-1 All Habitats'!$X$9,Z193&gt;0),"Any Loss Unacceptable ⚠",H193*J193*L193*O193*S193))))))),"Check Data ⚠")</f>
        <v/>
      </c>
      <c r="R193" s="393"/>
      <c r="S193" s="510" t="str">
        <f>IF(R193="","",IF(VLOOKUP(R193,'G-3 Multipliers'!$S$3:$T$10,2,FALSE)=0,"Spatial Data Missing ⚠",VLOOKUP(R193,'G-3 Multipliers'!$S$3:$T$10,2,FALSE)))</f>
        <v/>
      </c>
      <c r="T193" s="289" t="str">
        <f>IFERROR(IF(AND(F193&lt;&gt;"",G193=""),"Confirm irreplaceable habitat status ▲",(IF(AND(R193&lt;&gt;"",AF193=""),"Off-site reference required ▲",(IF(AND(E193="Individual trees",W193&gt;0,G193="Yes"),"Error - you cannot enhance irreplaceable individual trees ▲",(IF(AND(X193="Irreplaceable habitat - no units generated ⚠",(W193+V193)&lt;H193,OR(AB193="No",AB193="")),"Any Loss Unacceptable ⚠",(IF(X193="Irreplaceable habitat - no units generated ⚠",W193*J193*L193*O193,IF(AND(P193='G-1 All Habitats'!$X$9,AH193&gt;0,V193&lt;=0,W193&lt;=0,OR(AB193="No",AB193="")),"Any Loss Unacceptable ⚠",IF(AND(P193='G-1 All Habitats'!$X$9,AH193&gt;0,V193&lt;=0,W193&lt;=0),0,(IF(AND(P193='G-1 All Habitats'!$X$9,(W193+V193)&lt;H193,OR(AB193="No",AB193="")),"Any Loss Unacceptable ⚠",(IF(P193="","",IF(AND(P193='G-1 All Habitats'!$X$9,W193&gt;0),X193+Y193,IF(AND(P193='G-1 All Habitats'!$X$9,V193&gt;0),X193+Y193,IF(R193="","",H193*J193*L193*O193)))))))))))))))))),"Check Data ▲")</f>
        <v/>
      </c>
      <c r="U193" s="38"/>
      <c r="V193" s="52"/>
      <c r="W193" s="53"/>
      <c r="X193" s="287" t="str">
        <f t="shared" si="20"/>
        <v/>
      </c>
      <c r="Y193" s="287" t="str">
        <f t="shared" si="21"/>
        <v/>
      </c>
      <c r="Z193" s="287" t="str">
        <f t="shared" si="22"/>
        <v/>
      </c>
      <c r="AA193" s="317" t="str">
        <f>IFERROR(IF(AND(E193="Individual trees",G193="Yes",W193&gt;0),"Error - you cannot enhance an irreplaceable tree ▲",(IF(H193="","",IF(H193-V193-W193=0&lt;0,"Error in Areas ▲",IF(V193+W193&gt;H193,"Error in Areas ▲",IF(AND(P193='G-1 All Habitats'!$X$9,AB193="Yes"),"Alternative Compensation ✓",IF(AND(P193='G-1 All Habitats'!$X$3,AB193="Yes"),"Alternative Compensation ✓",IF(AND(AB193="Pending",P193='G-1 All Habitats'!$X$3),"Bespoke compensation must be agreed ▲",IF(AND(AB193="Pending",P193='G-1 All Habitats'!$X$9),"Bespoke compensation must be agreed  ▲",IF(Z193=0,0,IF(P193='G-1 All Habitats'!$X$9,"Any Loss Unacceptable ▲",T193-X193-Y193))))))))))),"Check Data ⚠")</f>
        <v/>
      </c>
      <c r="AB193" s="587"/>
      <c r="AC193" s="105"/>
      <c r="AD193" s="138"/>
      <c r="AE193" s="104"/>
      <c r="AF193" s="611"/>
      <c r="AG193" s="523" t="str">
        <f>IF(OR(P193="",AB193="Yes"),"",IF(P193='G-1 All Habitats'!$X$9,H193-V193-W193,"None"))</f>
        <v/>
      </c>
      <c r="AH193" s="523" t="str">
        <f>IF(P193="","",IF(P193='G-1 All Habitats'!$X$9,AG193*J193*L193*O193,"None"))</f>
        <v/>
      </c>
      <c r="AJ193" s="107" t="str">
        <f t="shared" si="23"/>
        <v/>
      </c>
      <c r="AK193" s="107" t="str">
        <f t="shared" si="26"/>
        <v/>
      </c>
      <c r="AL193" s="107" t="str">
        <f>IF(I193="","",IF(#REF!&gt;0,TRUE,FALSE))</f>
        <v/>
      </c>
      <c r="AM193" s="107">
        <v>183</v>
      </c>
      <c r="AN193" s="107"/>
      <c r="AO193" s="107" t="str">
        <f t="array" ref="AO193">IFERROR(INDEX($AM$11:$AM$259,MATCH(0,IF(TRUE=$AJ$11:$AJ$259,COUNTIF($AO$10:$AO192,$AM$11:$AM$259),""),0)),"")</f>
        <v/>
      </c>
      <c r="AP193" s="107" t="str">
        <f t="array" ref="AP193">IFERROR(INDEX($AM$11:$AM$259,MATCH(0,IF(TRUE=$AK$11:$AK$259,COUNTIF($AP$10:$AP192,$AM$11:$AM$259),""),0)),"")</f>
        <v/>
      </c>
      <c r="AQ193" s="107" t="str">
        <f t="array" ref="AQ193">IFERROR(INDEX($AM$11:$AM$259,MATCH(0,IF(TRUE=$AL$11:$AL$259,COUNTIF($AQ$10:$AQ192,$AM$11:$AM$259),""),0)),"")</f>
        <v/>
      </c>
      <c r="AS193" s="885" t="str">
        <f>IF(AND(OR(AB193="Yes",AB193="Pending"),P193='G-1 All Habitats'!$X$3),T193-X193-Y193,"0")</f>
        <v>0</v>
      </c>
      <c r="AT193" s="30" t="str">
        <f t="shared" si="19"/>
        <v/>
      </c>
      <c r="AU193" s="30">
        <f t="shared" si="24"/>
        <v>0</v>
      </c>
      <c r="AV193" s="230" t="str">
        <f>IFERROR(INDEX('G-1 All Habitats'!$B$3:$B$135,MATCH(F193,'G-1 All Habitats'!$A$3:$A$135,0)),"")</f>
        <v/>
      </c>
      <c r="AW193" s="30" t="str">
        <f>IF(AV193="","",VLOOKUP(AV193,'G-1 All Habitats'!$B$1:$T$135,19,FALSE))</f>
        <v/>
      </c>
      <c r="AY193" s="287" t="str">
        <f t="shared" si="25"/>
        <v/>
      </c>
    </row>
    <row r="194" spans="1:51" ht="14">
      <c r="A194" s="30" t="str">
        <f>IFERROR(INDEX('G-1 All Habitats'!$AG$3:$AG$17,MATCH(E194,'G-1 All Habitats'!$AF$3:$AF$17,0)),"")</f>
        <v/>
      </c>
      <c r="B194" s="30" t="str">
        <f>IFERROR(INDEX('G-8 Condition Look up'!$I$4:$I$135,MATCH(AV194,'G-8 Condition Look up'!$A$4:$A$135,0)),"")</f>
        <v/>
      </c>
      <c r="D194" s="97">
        <v>184</v>
      </c>
      <c r="E194" s="262"/>
      <c r="F194" s="263"/>
      <c r="G194" s="133"/>
      <c r="H194" s="115"/>
      <c r="I194" s="509" t="str">
        <f>IF(AV194="","",IF(AND(AW194="Yes",G194="No"),"Irreplaceable habitat ▲",IF(AND(AW194="No",G194="Yes"),"Cannot be Irreplaceable ▲",VLOOKUP(AV194,'G-1 All Habitats'!$B$2:$M$135,10,FALSE))))</f>
        <v/>
      </c>
      <c r="J194" s="377" t="str">
        <f>IFERROR(VLOOKUP(I194,'G-1 All Habitats'!$V$3:$W$7,2,FALSE),"")</f>
        <v/>
      </c>
      <c r="K194" s="101"/>
      <c r="L194" s="276" t="str">
        <f>IFERROR(INDEX('G-8 Condition Look up'!$A$3:$H$135,MATCH(AV194,'G-8 Condition Look up'!$A$3:$A$135,0),MATCH(K194,'G-8 Condition Look up'!$A$3:$H$3,0)),"")</f>
        <v/>
      </c>
      <c r="M194" s="105"/>
      <c r="N194" s="295" t="str">
        <f>IF(M194="","",IF(VLOOKUP(M194,'G-3 Multipliers'!$L$3:$N$6,2,FALSE)=0,"Spatial Data Missing ⚠",VLOOKUP(M194,'G-3 Multipliers'!$L$3:$N$6,2,FALSE)))</f>
        <v/>
      </c>
      <c r="O194" s="353" t="str">
        <f>IF(M194="","",IF(VLOOKUP(M194,'G-3 Multipliers'!$L$3:$N$6,3,FALSE)=0,"Spatial Data Missing ⚠",VLOOKUP(M194,'G-3 Multipliers'!$L$3:$N$6,3,FALSE)))</f>
        <v/>
      </c>
      <c r="P194" s="336" t="str">
        <f>(IF(G194="Yes","Bespoke compensation likely to be required",(IFERROR(VLOOKUP(AV194,'G-1 All Habitats'!$B$2:$M$135,12,FALSE),""))))</f>
        <v/>
      </c>
      <c r="Q194" s="511" t="str">
        <f>IFERROR(IF(P194="","",IF(AND(E194="Individual trees",W194&gt;0,G194="Yes"),"Error - you cannot enhance irreplaceable individual trees ▲",IF(P194='G-1 All Habitats'!$X$9,T194*S194,IF(AND(P194='G-1 All Habitats'!$X$9,W194&gt;0),X194+(Y194*S194),IF(AND(P194='G-1 All Habitats'!$X$9,V194&gt;0),X194+(Y194*S194),IF(AND(P194='G-1 All Habitats'!$X$9,AG194&gt;0),"Any Loss Unacceptable  ⚠",IF(AND(P194='G-1 All Habitats'!$X$9,Z194&gt;0),"Any Loss Unacceptable ⚠",H194*J194*L194*O194*S194))))))),"Check Data ⚠")</f>
        <v/>
      </c>
      <c r="R194" s="393"/>
      <c r="S194" s="510" t="str">
        <f>IF(R194="","",IF(VLOOKUP(R194,'G-3 Multipliers'!$S$3:$T$10,2,FALSE)=0,"Spatial Data Missing ⚠",VLOOKUP(R194,'G-3 Multipliers'!$S$3:$T$10,2,FALSE)))</f>
        <v/>
      </c>
      <c r="T194" s="289" t="str">
        <f>IFERROR(IF(AND(F194&lt;&gt;"",G194=""),"Confirm irreplaceable habitat status ▲",(IF(AND(R194&lt;&gt;"",AF194=""),"Off-site reference required ▲",(IF(AND(E194="Individual trees",W194&gt;0,G194="Yes"),"Error - you cannot enhance irreplaceable individual trees ▲",(IF(AND(X194="Irreplaceable habitat - no units generated ⚠",(W194+V194)&lt;H194,OR(AB194="No",AB194="")),"Any Loss Unacceptable ⚠",(IF(X194="Irreplaceable habitat - no units generated ⚠",W194*J194*L194*O194,IF(AND(P194='G-1 All Habitats'!$X$9,AH194&gt;0,V194&lt;=0,W194&lt;=0,OR(AB194="No",AB194="")),"Any Loss Unacceptable ⚠",IF(AND(P194='G-1 All Habitats'!$X$9,AH194&gt;0,V194&lt;=0,W194&lt;=0),0,(IF(AND(P194='G-1 All Habitats'!$X$9,(W194+V194)&lt;H194,OR(AB194="No",AB194="")),"Any Loss Unacceptable ⚠",(IF(P194="","",IF(AND(P194='G-1 All Habitats'!$X$9,W194&gt;0),X194+Y194,IF(AND(P194='G-1 All Habitats'!$X$9,V194&gt;0),X194+Y194,IF(R194="","",H194*J194*L194*O194)))))))))))))))))),"Check Data ▲")</f>
        <v/>
      </c>
      <c r="U194" s="38"/>
      <c r="V194" s="52"/>
      <c r="W194" s="53"/>
      <c r="X194" s="287" t="str">
        <f t="shared" si="20"/>
        <v/>
      </c>
      <c r="Y194" s="287" t="str">
        <f t="shared" si="21"/>
        <v/>
      </c>
      <c r="Z194" s="287" t="str">
        <f t="shared" si="22"/>
        <v/>
      </c>
      <c r="AA194" s="317" t="str">
        <f>IFERROR(IF(AND(E194="Individual trees",G194="Yes",W194&gt;0),"Error - you cannot enhance an irreplaceable tree ▲",(IF(H194="","",IF(H194-V194-W194=0&lt;0,"Error in Areas ▲",IF(V194+W194&gt;H194,"Error in Areas ▲",IF(AND(P194='G-1 All Habitats'!$X$9,AB194="Yes"),"Alternative Compensation ✓",IF(AND(P194='G-1 All Habitats'!$X$3,AB194="Yes"),"Alternative Compensation ✓",IF(AND(AB194="Pending",P194='G-1 All Habitats'!$X$3),"Bespoke compensation must be agreed ▲",IF(AND(AB194="Pending",P194='G-1 All Habitats'!$X$9),"Bespoke compensation must be agreed  ▲",IF(Z194=0,0,IF(P194='G-1 All Habitats'!$X$9,"Any Loss Unacceptable ▲",T194-X194-Y194))))))))))),"Check Data ⚠")</f>
        <v/>
      </c>
      <c r="AB194" s="587"/>
      <c r="AC194" s="105"/>
      <c r="AD194" s="138"/>
      <c r="AE194" s="104"/>
      <c r="AF194" s="611"/>
      <c r="AG194" s="523" t="str">
        <f>IF(OR(P194="",AB194="Yes"),"",IF(P194='G-1 All Habitats'!$X$9,H194-V194-W194,"None"))</f>
        <v/>
      </c>
      <c r="AH194" s="523" t="str">
        <f>IF(P194="","",IF(P194='G-1 All Habitats'!$X$9,AG194*J194*L194*O194,"None"))</f>
        <v/>
      </c>
      <c r="AJ194" s="107" t="str">
        <f t="shared" si="23"/>
        <v/>
      </c>
      <c r="AK194" s="107" t="str">
        <f t="shared" si="26"/>
        <v/>
      </c>
      <c r="AL194" s="107" t="str">
        <f>IF(I194="","",IF(#REF!&gt;0,TRUE,FALSE))</f>
        <v/>
      </c>
      <c r="AM194" s="107">
        <v>184</v>
      </c>
      <c r="AN194" s="107"/>
      <c r="AO194" s="107" t="str">
        <f t="array" ref="AO194">IFERROR(INDEX($AM$11:$AM$259,MATCH(0,IF(TRUE=$AJ$11:$AJ$259,COUNTIF($AO$10:$AO193,$AM$11:$AM$259),""),0)),"")</f>
        <v/>
      </c>
      <c r="AP194" s="107" t="str">
        <f t="array" ref="AP194">IFERROR(INDEX($AM$11:$AM$259,MATCH(0,IF(TRUE=$AK$11:$AK$259,COUNTIF($AP$10:$AP193,$AM$11:$AM$259),""),0)),"")</f>
        <v/>
      </c>
      <c r="AQ194" s="107" t="str">
        <f t="array" ref="AQ194">IFERROR(INDEX($AM$11:$AM$259,MATCH(0,IF(TRUE=$AL$11:$AL$259,COUNTIF($AQ$10:$AQ193,$AM$11:$AM$259),""),0)),"")</f>
        <v/>
      </c>
      <c r="AS194" s="885" t="str">
        <f>IF(AND(OR(AB194="Yes",AB194="Pending"),P194='G-1 All Habitats'!$X$3),T194-X194-Y194,"0")</f>
        <v>0</v>
      </c>
      <c r="AT194" s="30" t="str">
        <f t="shared" si="19"/>
        <v/>
      </c>
      <c r="AU194" s="30">
        <f t="shared" si="24"/>
        <v>0</v>
      </c>
      <c r="AV194" s="230" t="str">
        <f>IFERROR(INDEX('G-1 All Habitats'!$B$3:$B$135,MATCH(F194,'G-1 All Habitats'!$A$3:$A$135,0)),"")</f>
        <v/>
      </c>
      <c r="AW194" s="30" t="str">
        <f>IF(AV194="","",VLOOKUP(AV194,'G-1 All Habitats'!$B$1:$T$135,19,FALSE))</f>
        <v/>
      </c>
      <c r="AY194" s="287" t="str">
        <f t="shared" si="25"/>
        <v/>
      </c>
    </row>
    <row r="195" spans="1:51" ht="14">
      <c r="A195" s="30" t="str">
        <f>IFERROR(INDEX('G-1 All Habitats'!$AG$3:$AG$17,MATCH(E195,'G-1 All Habitats'!$AF$3:$AF$17,0)),"")</f>
        <v/>
      </c>
      <c r="B195" s="30" t="str">
        <f>IFERROR(INDEX('G-8 Condition Look up'!$I$4:$I$135,MATCH(AV195,'G-8 Condition Look up'!$A$4:$A$135,0)),"")</f>
        <v/>
      </c>
      <c r="D195" s="97">
        <v>185</v>
      </c>
      <c r="E195" s="262"/>
      <c r="F195" s="263"/>
      <c r="G195" s="133"/>
      <c r="H195" s="115"/>
      <c r="I195" s="509" t="str">
        <f>IF(AV195="","",IF(AND(AW195="Yes",G195="No"),"Irreplaceable habitat ▲",IF(AND(AW195="No",G195="Yes"),"Cannot be Irreplaceable ▲",VLOOKUP(AV195,'G-1 All Habitats'!$B$2:$M$135,10,FALSE))))</f>
        <v/>
      </c>
      <c r="J195" s="377" t="str">
        <f>IFERROR(VLOOKUP(I195,'G-1 All Habitats'!$V$3:$W$7,2,FALSE),"")</f>
        <v/>
      </c>
      <c r="K195" s="101"/>
      <c r="L195" s="276" t="str">
        <f>IFERROR(INDEX('G-8 Condition Look up'!$A$3:$H$135,MATCH(AV195,'G-8 Condition Look up'!$A$3:$A$135,0),MATCH(K195,'G-8 Condition Look up'!$A$3:$H$3,0)),"")</f>
        <v/>
      </c>
      <c r="M195" s="105"/>
      <c r="N195" s="295" t="str">
        <f>IF(M195="","",IF(VLOOKUP(M195,'G-3 Multipliers'!$L$3:$N$6,2,FALSE)=0,"Spatial Data Missing ⚠",VLOOKUP(M195,'G-3 Multipliers'!$L$3:$N$6,2,FALSE)))</f>
        <v/>
      </c>
      <c r="O195" s="353" t="str">
        <f>IF(M195="","",IF(VLOOKUP(M195,'G-3 Multipliers'!$L$3:$N$6,3,FALSE)=0,"Spatial Data Missing ⚠",VLOOKUP(M195,'G-3 Multipliers'!$L$3:$N$6,3,FALSE)))</f>
        <v/>
      </c>
      <c r="P195" s="336" t="str">
        <f>(IF(G195="Yes","Bespoke compensation likely to be required",(IFERROR(VLOOKUP(AV195,'G-1 All Habitats'!$B$2:$M$135,12,FALSE),""))))</f>
        <v/>
      </c>
      <c r="Q195" s="511" t="str">
        <f>IFERROR(IF(P195="","",IF(AND(E195="Individual trees",W195&gt;0,G195="Yes"),"Error - you cannot enhance irreplaceable individual trees ▲",IF(P195='G-1 All Habitats'!$X$9,T195*S195,IF(AND(P195='G-1 All Habitats'!$X$9,W195&gt;0),X195+(Y195*S195),IF(AND(P195='G-1 All Habitats'!$X$9,V195&gt;0),X195+(Y195*S195),IF(AND(P195='G-1 All Habitats'!$X$9,AG195&gt;0),"Any Loss Unacceptable  ⚠",IF(AND(P195='G-1 All Habitats'!$X$9,Z195&gt;0),"Any Loss Unacceptable ⚠",H195*J195*L195*O195*S195))))))),"Check Data ⚠")</f>
        <v/>
      </c>
      <c r="R195" s="393"/>
      <c r="S195" s="510" t="str">
        <f>IF(R195="","",IF(VLOOKUP(R195,'G-3 Multipliers'!$S$3:$T$10,2,FALSE)=0,"Spatial Data Missing ⚠",VLOOKUP(R195,'G-3 Multipliers'!$S$3:$T$10,2,FALSE)))</f>
        <v/>
      </c>
      <c r="T195" s="289" t="str">
        <f>IFERROR(IF(AND(F195&lt;&gt;"",G195=""),"Confirm irreplaceable habitat status ▲",(IF(AND(R195&lt;&gt;"",AF195=""),"Off-site reference required ▲",(IF(AND(E195="Individual trees",W195&gt;0,G195="Yes"),"Error - you cannot enhance irreplaceable individual trees ▲",(IF(AND(X195="Irreplaceable habitat - no units generated ⚠",(W195+V195)&lt;H195,OR(AB195="No",AB195="")),"Any Loss Unacceptable ⚠",(IF(X195="Irreplaceable habitat - no units generated ⚠",W195*J195*L195*O195,IF(AND(P195='G-1 All Habitats'!$X$9,AH195&gt;0,V195&lt;=0,W195&lt;=0,OR(AB195="No",AB195="")),"Any Loss Unacceptable ⚠",IF(AND(P195='G-1 All Habitats'!$X$9,AH195&gt;0,V195&lt;=0,W195&lt;=0),0,(IF(AND(P195='G-1 All Habitats'!$X$9,(W195+V195)&lt;H195,OR(AB195="No",AB195="")),"Any Loss Unacceptable ⚠",(IF(P195="","",IF(AND(P195='G-1 All Habitats'!$X$9,W195&gt;0),X195+Y195,IF(AND(P195='G-1 All Habitats'!$X$9,V195&gt;0),X195+Y195,IF(R195="","",H195*J195*L195*O195)))))))))))))))))),"Check Data ▲")</f>
        <v/>
      </c>
      <c r="U195" s="38"/>
      <c r="V195" s="52"/>
      <c r="W195" s="53"/>
      <c r="X195" s="287" t="str">
        <f t="shared" si="20"/>
        <v/>
      </c>
      <c r="Y195" s="287" t="str">
        <f t="shared" si="21"/>
        <v/>
      </c>
      <c r="Z195" s="287" t="str">
        <f t="shared" si="22"/>
        <v/>
      </c>
      <c r="AA195" s="317" t="str">
        <f>IFERROR(IF(AND(E195="Individual trees",G195="Yes",W195&gt;0),"Error - you cannot enhance an irreplaceable tree ▲",(IF(H195="","",IF(H195-V195-W195=0&lt;0,"Error in Areas ▲",IF(V195+W195&gt;H195,"Error in Areas ▲",IF(AND(P195='G-1 All Habitats'!$X$9,AB195="Yes"),"Alternative Compensation ✓",IF(AND(P195='G-1 All Habitats'!$X$3,AB195="Yes"),"Alternative Compensation ✓",IF(AND(AB195="Pending",P195='G-1 All Habitats'!$X$3),"Bespoke compensation must be agreed ▲",IF(AND(AB195="Pending",P195='G-1 All Habitats'!$X$9),"Bespoke compensation must be agreed  ▲",IF(Z195=0,0,IF(P195='G-1 All Habitats'!$X$9,"Any Loss Unacceptable ▲",T195-X195-Y195))))))))))),"Check Data ⚠")</f>
        <v/>
      </c>
      <c r="AB195" s="587"/>
      <c r="AC195" s="105"/>
      <c r="AD195" s="138"/>
      <c r="AE195" s="104"/>
      <c r="AF195" s="611"/>
      <c r="AG195" s="523" t="str">
        <f>IF(OR(P195="",AB195="Yes"),"",IF(P195='G-1 All Habitats'!$X$9,H195-V195-W195,"None"))</f>
        <v/>
      </c>
      <c r="AH195" s="523" t="str">
        <f>IF(P195="","",IF(P195='G-1 All Habitats'!$X$9,AG195*J195*L195*O195,"None"))</f>
        <v/>
      </c>
      <c r="AJ195" s="107" t="str">
        <f t="shared" si="23"/>
        <v/>
      </c>
      <c r="AK195" s="107" t="str">
        <f t="shared" si="26"/>
        <v/>
      </c>
      <c r="AL195" s="107" t="str">
        <f>IF(I195="","",IF(#REF!&gt;0,TRUE,FALSE))</f>
        <v/>
      </c>
      <c r="AM195" s="107">
        <v>185</v>
      </c>
      <c r="AN195" s="107"/>
      <c r="AO195" s="107" t="str">
        <f t="array" ref="AO195">IFERROR(INDEX($AM$11:$AM$259,MATCH(0,IF(TRUE=$AJ$11:$AJ$259,COUNTIF($AO$10:$AO194,$AM$11:$AM$259),""),0)),"")</f>
        <v/>
      </c>
      <c r="AP195" s="107" t="str">
        <f t="array" ref="AP195">IFERROR(INDEX($AM$11:$AM$259,MATCH(0,IF(TRUE=$AK$11:$AK$259,COUNTIF($AP$10:$AP194,$AM$11:$AM$259),""),0)),"")</f>
        <v/>
      </c>
      <c r="AQ195" s="107" t="str">
        <f t="array" ref="AQ195">IFERROR(INDEX($AM$11:$AM$259,MATCH(0,IF(TRUE=$AL$11:$AL$259,COUNTIF($AQ$10:$AQ194,$AM$11:$AM$259),""),0)),"")</f>
        <v/>
      </c>
      <c r="AS195" s="885" t="str">
        <f>IF(AND(OR(AB195="Yes",AB195="Pending"),P195='G-1 All Habitats'!$X$3),T195-X195-Y195,"0")</f>
        <v>0</v>
      </c>
      <c r="AT195" s="30" t="str">
        <f t="shared" si="19"/>
        <v/>
      </c>
      <c r="AU195" s="30">
        <f t="shared" si="24"/>
        <v>0</v>
      </c>
      <c r="AV195" s="230" t="str">
        <f>IFERROR(INDEX('G-1 All Habitats'!$B$3:$B$135,MATCH(F195,'G-1 All Habitats'!$A$3:$A$135,0)),"")</f>
        <v/>
      </c>
      <c r="AW195" s="30" t="str">
        <f>IF(AV195="","",VLOOKUP(AV195,'G-1 All Habitats'!$B$1:$T$135,19,FALSE))</f>
        <v/>
      </c>
      <c r="AY195" s="287" t="str">
        <f t="shared" si="25"/>
        <v/>
      </c>
    </row>
    <row r="196" spans="1:51" ht="14">
      <c r="A196" s="30" t="str">
        <f>IFERROR(INDEX('G-1 All Habitats'!$AG$3:$AG$17,MATCH(E196,'G-1 All Habitats'!$AF$3:$AF$17,0)),"")</f>
        <v/>
      </c>
      <c r="B196" s="30" t="str">
        <f>IFERROR(INDEX('G-8 Condition Look up'!$I$4:$I$135,MATCH(AV196,'G-8 Condition Look up'!$A$4:$A$135,0)),"")</f>
        <v/>
      </c>
      <c r="D196" s="97">
        <v>186</v>
      </c>
      <c r="E196" s="262"/>
      <c r="F196" s="263"/>
      <c r="G196" s="133"/>
      <c r="H196" s="115"/>
      <c r="I196" s="509" t="str">
        <f>IF(AV196="","",IF(AND(AW196="Yes",G196="No"),"Irreplaceable habitat ▲",IF(AND(AW196="No",G196="Yes"),"Cannot be Irreplaceable ▲",VLOOKUP(AV196,'G-1 All Habitats'!$B$2:$M$135,10,FALSE))))</f>
        <v/>
      </c>
      <c r="J196" s="377" t="str">
        <f>IFERROR(VLOOKUP(I196,'G-1 All Habitats'!$V$3:$W$7,2,FALSE),"")</f>
        <v/>
      </c>
      <c r="K196" s="101"/>
      <c r="L196" s="276" t="str">
        <f>IFERROR(INDEX('G-8 Condition Look up'!$A$3:$H$135,MATCH(AV196,'G-8 Condition Look up'!$A$3:$A$135,0),MATCH(K196,'G-8 Condition Look up'!$A$3:$H$3,0)),"")</f>
        <v/>
      </c>
      <c r="M196" s="105"/>
      <c r="N196" s="295" t="str">
        <f>IF(M196="","",IF(VLOOKUP(M196,'G-3 Multipliers'!$L$3:$N$6,2,FALSE)=0,"Spatial Data Missing ⚠",VLOOKUP(M196,'G-3 Multipliers'!$L$3:$N$6,2,FALSE)))</f>
        <v/>
      </c>
      <c r="O196" s="353" t="str">
        <f>IF(M196="","",IF(VLOOKUP(M196,'G-3 Multipliers'!$L$3:$N$6,3,FALSE)=0,"Spatial Data Missing ⚠",VLOOKUP(M196,'G-3 Multipliers'!$L$3:$N$6,3,FALSE)))</f>
        <v/>
      </c>
      <c r="P196" s="336" t="str">
        <f>(IF(G196="Yes","Bespoke compensation likely to be required",(IFERROR(VLOOKUP(AV196,'G-1 All Habitats'!$B$2:$M$135,12,FALSE),""))))</f>
        <v/>
      </c>
      <c r="Q196" s="511" t="str">
        <f>IFERROR(IF(P196="","",IF(AND(E196="Individual trees",W196&gt;0,G196="Yes"),"Error - you cannot enhance irreplaceable individual trees ▲",IF(P196='G-1 All Habitats'!$X$9,T196*S196,IF(AND(P196='G-1 All Habitats'!$X$9,W196&gt;0),X196+(Y196*S196),IF(AND(P196='G-1 All Habitats'!$X$9,V196&gt;0),X196+(Y196*S196),IF(AND(P196='G-1 All Habitats'!$X$9,AG196&gt;0),"Any Loss Unacceptable  ⚠",IF(AND(P196='G-1 All Habitats'!$X$9,Z196&gt;0),"Any Loss Unacceptable ⚠",H196*J196*L196*O196*S196))))))),"Check Data ⚠")</f>
        <v/>
      </c>
      <c r="R196" s="393"/>
      <c r="S196" s="510" t="str">
        <f>IF(R196="","",IF(VLOOKUP(R196,'G-3 Multipliers'!$S$3:$T$10,2,FALSE)=0,"Spatial Data Missing ⚠",VLOOKUP(R196,'G-3 Multipliers'!$S$3:$T$10,2,FALSE)))</f>
        <v/>
      </c>
      <c r="T196" s="289" t="str">
        <f>IFERROR(IF(AND(F196&lt;&gt;"",G196=""),"Confirm irreplaceable habitat status ▲",(IF(AND(R196&lt;&gt;"",AF196=""),"Off-site reference required ▲",(IF(AND(E196="Individual trees",W196&gt;0,G196="Yes"),"Error - you cannot enhance irreplaceable individual trees ▲",(IF(AND(X196="Irreplaceable habitat - no units generated ⚠",(W196+V196)&lt;H196,OR(AB196="No",AB196="")),"Any Loss Unacceptable ⚠",(IF(X196="Irreplaceable habitat - no units generated ⚠",W196*J196*L196*O196,IF(AND(P196='G-1 All Habitats'!$X$9,AH196&gt;0,V196&lt;=0,W196&lt;=0,OR(AB196="No",AB196="")),"Any Loss Unacceptable ⚠",IF(AND(P196='G-1 All Habitats'!$X$9,AH196&gt;0,V196&lt;=0,W196&lt;=0),0,(IF(AND(P196='G-1 All Habitats'!$X$9,(W196+V196)&lt;H196,OR(AB196="No",AB196="")),"Any Loss Unacceptable ⚠",(IF(P196="","",IF(AND(P196='G-1 All Habitats'!$X$9,W196&gt;0),X196+Y196,IF(AND(P196='G-1 All Habitats'!$X$9,V196&gt;0),X196+Y196,IF(R196="","",H196*J196*L196*O196)))))))))))))))))),"Check Data ▲")</f>
        <v/>
      </c>
      <c r="U196" s="38"/>
      <c r="V196" s="52"/>
      <c r="W196" s="53"/>
      <c r="X196" s="287" t="str">
        <f t="shared" si="20"/>
        <v/>
      </c>
      <c r="Y196" s="287" t="str">
        <f t="shared" si="21"/>
        <v/>
      </c>
      <c r="Z196" s="287" t="str">
        <f t="shared" si="22"/>
        <v/>
      </c>
      <c r="AA196" s="317" t="str">
        <f>IFERROR(IF(AND(E196="Individual trees",G196="Yes",W196&gt;0),"Error - you cannot enhance an irreplaceable tree ▲",(IF(H196="","",IF(H196-V196-W196=0&lt;0,"Error in Areas ▲",IF(V196+W196&gt;H196,"Error in Areas ▲",IF(AND(P196='G-1 All Habitats'!$X$9,AB196="Yes"),"Alternative Compensation ✓",IF(AND(P196='G-1 All Habitats'!$X$3,AB196="Yes"),"Alternative Compensation ✓",IF(AND(AB196="Pending",P196='G-1 All Habitats'!$X$3),"Bespoke compensation must be agreed ▲",IF(AND(AB196="Pending",P196='G-1 All Habitats'!$X$9),"Bespoke compensation must be agreed  ▲",IF(Z196=0,0,IF(P196='G-1 All Habitats'!$X$9,"Any Loss Unacceptable ▲",T196-X196-Y196))))))))))),"Check Data ⚠")</f>
        <v/>
      </c>
      <c r="AB196" s="587"/>
      <c r="AC196" s="105"/>
      <c r="AD196" s="138"/>
      <c r="AE196" s="104"/>
      <c r="AF196" s="611"/>
      <c r="AG196" s="523" t="str">
        <f>IF(OR(P196="",AB196="Yes"),"",IF(P196='G-1 All Habitats'!$X$9,H196-V196-W196,"None"))</f>
        <v/>
      </c>
      <c r="AH196" s="523" t="str">
        <f>IF(P196="","",IF(P196='G-1 All Habitats'!$X$9,AG196*J196*L196*O196,"None"))</f>
        <v/>
      </c>
      <c r="AJ196" s="107" t="str">
        <f t="shared" si="23"/>
        <v/>
      </c>
      <c r="AK196" s="107" t="str">
        <f t="shared" si="26"/>
        <v/>
      </c>
      <c r="AL196" s="107" t="str">
        <f>IF(I196="","",IF(#REF!&gt;0,TRUE,FALSE))</f>
        <v/>
      </c>
      <c r="AM196" s="107">
        <v>186</v>
      </c>
      <c r="AN196" s="107"/>
      <c r="AO196" s="107" t="str">
        <f t="array" ref="AO196">IFERROR(INDEX($AM$11:$AM$259,MATCH(0,IF(TRUE=$AJ$11:$AJ$259,COUNTIF($AO$10:$AO195,$AM$11:$AM$259),""),0)),"")</f>
        <v/>
      </c>
      <c r="AP196" s="107" t="str">
        <f t="array" ref="AP196">IFERROR(INDEX($AM$11:$AM$259,MATCH(0,IF(TRUE=$AK$11:$AK$259,COUNTIF($AP$10:$AP195,$AM$11:$AM$259),""),0)),"")</f>
        <v/>
      </c>
      <c r="AQ196" s="107" t="str">
        <f t="array" ref="AQ196">IFERROR(INDEX($AM$11:$AM$259,MATCH(0,IF(TRUE=$AL$11:$AL$259,COUNTIF($AQ$10:$AQ195,$AM$11:$AM$259),""),0)),"")</f>
        <v/>
      </c>
      <c r="AS196" s="885" t="str">
        <f>IF(AND(OR(AB196="Yes",AB196="Pending"),P196='G-1 All Habitats'!$X$3),T196-X196-Y196,"0")</f>
        <v>0</v>
      </c>
      <c r="AT196" s="30" t="str">
        <f t="shared" si="19"/>
        <v/>
      </c>
      <c r="AU196" s="30">
        <f t="shared" si="24"/>
        <v>0</v>
      </c>
      <c r="AV196" s="230" t="str">
        <f>IFERROR(INDEX('G-1 All Habitats'!$B$3:$B$135,MATCH(F196,'G-1 All Habitats'!$A$3:$A$135,0)),"")</f>
        <v/>
      </c>
      <c r="AW196" s="30" t="str">
        <f>IF(AV196="","",VLOOKUP(AV196,'G-1 All Habitats'!$B$1:$T$135,19,FALSE))</f>
        <v/>
      </c>
      <c r="AY196" s="287" t="str">
        <f t="shared" si="25"/>
        <v/>
      </c>
    </row>
    <row r="197" spans="1:51" ht="14">
      <c r="A197" s="30" t="str">
        <f>IFERROR(INDEX('G-1 All Habitats'!$AG$3:$AG$17,MATCH(E197,'G-1 All Habitats'!$AF$3:$AF$17,0)),"")</f>
        <v/>
      </c>
      <c r="B197" s="30" t="str">
        <f>IFERROR(INDEX('G-8 Condition Look up'!$I$4:$I$135,MATCH(AV197,'G-8 Condition Look up'!$A$4:$A$135,0)),"")</f>
        <v/>
      </c>
      <c r="D197" s="97">
        <v>187</v>
      </c>
      <c r="E197" s="262"/>
      <c r="F197" s="263"/>
      <c r="G197" s="133"/>
      <c r="H197" s="115"/>
      <c r="I197" s="509" t="str">
        <f>IF(AV197="","",IF(AND(AW197="Yes",G197="No"),"Irreplaceable habitat ▲",IF(AND(AW197="No",G197="Yes"),"Cannot be Irreplaceable ▲",VLOOKUP(AV197,'G-1 All Habitats'!$B$2:$M$135,10,FALSE))))</f>
        <v/>
      </c>
      <c r="J197" s="377" t="str">
        <f>IFERROR(VLOOKUP(I197,'G-1 All Habitats'!$V$3:$W$7,2,FALSE),"")</f>
        <v/>
      </c>
      <c r="K197" s="101"/>
      <c r="L197" s="276" t="str">
        <f>IFERROR(INDEX('G-8 Condition Look up'!$A$3:$H$135,MATCH(AV197,'G-8 Condition Look up'!$A$3:$A$135,0),MATCH(K197,'G-8 Condition Look up'!$A$3:$H$3,0)),"")</f>
        <v/>
      </c>
      <c r="M197" s="105"/>
      <c r="N197" s="295" t="str">
        <f>IF(M197="","",IF(VLOOKUP(M197,'G-3 Multipliers'!$L$3:$N$6,2,FALSE)=0,"Spatial Data Missing ⚠",VLOOKUP(M197,'G-3 Multipliers'!$L$3:$N$6,2,FALSE)))</f>
        <v/>
      </c>
      <c r="O197" s="353" t="str">
        <f>IF(M197="","",IF(VLOOKUP(M197,'G-3 Multipliers'!$L$3:$N$6,3,FALSE)=0,"Spatial Data Missing ⚠",VLOOKUP(M197,'G-3 Multipliers'!$L$3:$N$6,3,FALSE)))</f>
        <v/>
      </c>
      <c r="P197" s="336" t="str">
        <f>(IF(G197="Yes","Bespoke compensation likely to be required",(IFERROR(VLOOKUP(AV197,'G-1 All Habitats'!$B$2:$M$135,12,FALSE),""))))</f>
        <v/>
      </c>
      <c r="Q197" s="511" t="str">
        <f>IFERROR(IF(P197="","",IF(AND(E197="Individual trees",W197&gt;0,G197="Yes"),"Error - you cannot enhance irreplaceable individual trees ▲",IF(P197='G-1 All Habitats'!$X$9,T197*S197,IF(AND(P197='G-1 All Habitats'!$X$9,W197&gt;0),X197+(Y197*S197),IF(AND(P197='G-1 All Habitats'!$X$9,V197&gt;0),X197+(Y197*S197),IF(AND(P197='G-1 All Habitats'!$X$9,AG197&gt;0),"Any Loss Unacceptable  ⚠",IF(AND(P197='G-1 All Habitats'!$X$9,Z197&gt;0),"Any Loss Unacceptable ⚠",H197*J197*L197*O197*S197))))))),"Check Data ⚠")</f>
        <v/>
      </c>
      <c r="R197" s="393"/>
      <c r="S197" s="510" t="str">
        <f>IF(R197="","",IF(VLOOKUP(R197,'G-3 Multipliers'!$S$3:$T$10,2,FALSE)=0,"Spatial Data Missing ⚠",VLOOKUP(R197,'G-3 Multipliers'!$S$3:$T$10,2,FALSE)))</f>
        <v/>
      </c>
      <c r="T197" s="289" t="str">
        <f>IFERROR(IF(AND(F197&lt;&gt;"",G197=""),"Confirm irreplaceable habitat status ▲",(IF(AND(R197&lt;&gt;"",AF197=""),"Off-site reference required ▲",(IF(AND(E197="Individual trees",W197&gt;0,G197="Yes"),"Error - you cannot enhance irreplaceable individual trees ▲",(IF(AND(X197="Irreplaceable habitat - no units generated ⚠",(W197+V197)&lt;H197,OR(AB197="No",AB197="")),"Any Loss Unacceptable ⚠",(IF(X197="Irreplaceable habitat - no units generated ⚠",W197*J197*L197*O197,IF(AND(P197='G-1 All Habitats'!$X$9,AH197&gt;0,V197&lt;=0,W197&lt;=0,OR(AB197="No",AB197="")),"Any Loss Unacceptable ⚠",IF(AND(P197='G-1 All Habitats'!$X$9,AH197&gt;0,V197&lt;=0,W197&lt;=0),0,(IF(AND(P197='G-1 All Habitats'!$X$9,(W197+V197)&lt;H197,OR(AB197="No",AB197="")),"Any Loss Unacceptable ⚠",(IF(P197="","",IF(AND(P197='G-1 All Habitats'!$X$9,W197&gt;0),X197+Y197,IF(AND(P197='G-1 All Habitats'!$X$9,V197&gt;0),X197+Y197,IF(R197="","",H197*J197*L197*O197)))))))))))))))))),"Check Data ▲")</f>
        <v/>
      </c>
      <c r="U197" s="38"/>
      <c r="V197" s="52"/>
      <c r="W197" s="53"/>
      <c r="X197" s="287" t="str">
        <f t="shared" si="20"/>
        <v/>
      </c>
      <c r="Y197" s="287" t="str">
        <f t="shared" si="21"/>
        <v/>
      </c>
      <c r="Z197" s="287" t="str">
        <f t="shared" si="22"/>
        <v/>
      </c>
      <c r="AA197" s="317" t="str">
        <f>IFERROR(IF(AND(E197="Individual trees",G197="Yes",W197&gt;0),"Error - you cannot enhance an irreplaceable tree ▲",(IF(H197="","",IF(H197-V197-W197=0&lt;0,"Error in Areas ▲",IF(V197+W197&gt;H197,"Error in Areas ▲",IF(AND(P197='G-1 All Habitats'!$X$9,AB197="Yes"),"Alternative Compensation ✓",IF(AND(P197='G-1 All Habitats'!$X$3,AB197="Yes"),"Alternative Compensation ✓",IF(AND(AB197="Pending",P197='G-1 All Habitats'!$X$3),"Bespoke compensation must be agreed ▲",IF(AND(AB197="Pending",P197='G-1 All Habitats'!$X$9),"Bespoke compensation must be agreed  ▲",IF(Z197=0,0,IF(P197='G-1 All Habitats'!$X$9,"Any Loss Unacceptable ▲",T197-X197-Y197))))))))))),"Check Data ⚠")</f>
        <v/>
      </c>
      <c r="AB197" s="587"/>
      <c r="AC197" s="105"/>
      <c r="AD197" s="138"/>
      <c r="AE197" s="104"/>
      <c r="AF197" s="611"/>
      <c r="AG197" s="523" t="str">
        <f>IF(OR(P197="",AB197="Yes"),"",IF(P197='G-1 All Habitats'!$X$9,H197-V197-W197,"None"))</f>
        <v/>
      </c>
      <c r="AH197" s="523" t="str">
        <f>IF(P197="","",IF(P197='G-1 All Habitats'!$X$9,AG197*J197*L197*O197,"None"))</f>
        <v/>
      </c>
      <c r="AJ197" s="107" t="str">
        <f t="shared" si="23"/>
        <v/>
      </c>
      <c r="AK197" s="107" t="str">
        <f t="shared" si="26"/>
        <v/>
      </c>
      <c r="AL197" s="107" t="str">
        <f>IF(I197="","",IF(#REF!&gt;0,TRUE,FALSE))</f>
        <v/>
      </c>
      <c r="AM197" s="107">
        <v>187</v>
      </c>
      <c r="AN197" s="107"/>
      <c r="AO197" s="107" t="str">
        <f t="array" ref="AO197">IFERROR(INDEX($AM$11:$AM$259,MATCH(0,IF(TRUE=$AJ$11:$AJ$259,COUNTIF($AO$10:$AO196,$AM$11:$AM$259),""),0)),"")</f>
        <v/>
      </c>
      <c r="AP197" s="107" t="str">
        <f t="array" ref="AP197">IFERROR(INDEX($AM$11:$AM$259,MATCH(0,IF(TRUE=$AK$11:$AK$259,COUNTIF($AP$10:$AP196,$AM$11:$AM$259),""),0)),"")</f>
        <v/>
      </c>
      <c r="AQ197" s="107" t="str">
        <f t="array" ref="AQ197">IFERROR(INDEX($AM$11:$AM$259,MATCH(0,IF(TRUE=$AL$11:$AL$259,COUNTIF($AQ$10:$AQ196,$AM$11:$AM$259),""),0)),"")</f>
        <v/>
      </c>
      <c r="AS197" s="885" t="str">
        <f>IF(AND(OR(AB197="Yes",AB197="Pending"),P197='G-1 All Habitats'!$X$3),T197-X197-Y197,"0")</f>
        <v>0</v>
      </c>
      <c r="AT197" s="30" t="str">
        <f t="shared" si="19"/>
        <v/>
      </c>
      <c r="AU197" s="30">
        <f t="shared" si="24"/>
        <v>0</v>
      </c>
      <c r="AV197" s="230" t="str">
        <f>IFERROR(INDEX('G-1 All Habitats'!$B$3:$B$135,MATCH(F197,'G-1 All Habitats'!$A$3:$A$135,0)),"")</f>
        <v/>
      </c>
      <c r="AW197" s="30" t="str">
        <f>IF(AV197="","",VLOOKUP(AV197,'G-1 All Habitats'!$B$1:$T$135,19,FALSE))</f>
        <v/>
      </c>
      <c r="AY197" s="287" t="str">
        <f t="shared" si="25"/>
        <v/>
      </c>
    </row>
    <row r="198" spans="1:51" ht="14">
      <c r="A198" s="30" t="str">
        <f>IFERROR(INDEX('G-1 All Habitats'!$AG$3:$AG$17,MATCH(E198,'G-1 All Habitats'!$AF$3:$AF$17,0)),"")</f>
        <v/>
      </c>
      <c r="B198" s="30" t="str">
        <f>IFERROR(INDEX('G-8 Condition Look up'!$I$4:$I$135,MATCH(AV198,'G-8 Condition Look up'!$A$4:$A$135,0)),"")</f>
        <v/>
      </c>
      <c r="D198" s="97">
        <v>188</v>
      </c>
      <c r="E198" s="262"/>
      <c r="F198" s="263"/>
      <c r="G198" s="133"/>
      <c r="H198" s="115"/>
      <c r="I198" s="509" t="str">
        <f>IF(AV198="","",IF(AND(AW198="Yes",G198="No"),"Irreplaceable habitat ▲",IF(AND(AW198="No",G198="Yes"),"Cannot be Irreplaceable ▲",VLOOKUP(AV198,'G-1 All Habitats'!$B$2:$M$135,10,FALSE))))</f>
        <v/>
      </c>
      <c r="J198" s="377" t="str">
        <f>IFERROR(VLOOKUP(I198,'G-1 All Habitats'!$V$3:$W$7,2,FALSE),"")</f>
        <v/>
      </c>
      <c r="K198" s="101"/>
      <c r="L198" s="276" t="str">
        <f>IFERROR(INDEX('G-8 Condition Look up'!$A$3:$H$135,MATCH(AV198,'G-8 Condition Look up'!$A$3:$A$135,0),MATCH(K198,'G-8 Condition Look up'!$A$3:$H$3,0)),"")</f>
        <v/>
      </c>
      <c r="M198" s="105"/>
      <c r="N198" s="295" t="str">
        <f>IF(M198="","",IF(VLOOKUP(M198,'G-3 Multipliers'!$L$3:$N$6,2,FALSE)=0,"Spatial Data Missing ⚠",VLOOKUP(M198,'G-3 Multipliers'!$L$3:$N$6,2,FALSE)))</f>
        <v/>
      </c>
      <c r="O198" s="353" t="str">
        <f>IF(M198="","",IF(VLOOKUP(M198,'G-3 Multipliers'!$L$3:$N$6,3,FALSE)=0,"Spatial Data Missing ⚠",VLOOKUP(M198,'G-3 Multipliers'!$L$3:$N$6,3,FALSE)))</f>
        <v/>
      </c>
      <c r="P198" s="336" t="str">
        <f>(IF(G198="Yes","Bespoke compensation likely to be required",(IFERROR(VLOOKUP(AV198,'G-1 All Habitats'!$B$2:$M$135,12,FALSE),""))))</f>
        <v/>
      </c>
      <c r="Q198" s="511" t="str">
        <f>IFERROR(IF(P198="","",IF(AND(E198="Individual trees",W198&gt;0,G198="Yes"),"Error - you cannot enhance irreplaceable individual trees ▲",IF(P198='G-1 All Habitats'!$X$9,T198*S198,IF(AND(P198='G-1 All Habitats'!$X$9,W198&gt;0),X198+(Y198*S198),IF(AND(P198='G-1 All Habitats'!$X$9,V198&gt;0),X198+(Y198*S198),IF(AND(P198='G-1 All Habitats'!$X$9,AG198&gt;0),"Any Loss Unacceptable  ⚠",IF(AND(P198='G-1 All Habitats'!$X$9,Z198&gt;0),"Any Loss Unacceptable ⚠",H198*J198*L198*O198*S198))))))),"Check Data ⚠")</f>
        <v/>
      </c>
      <c r="R198" s="393"/>
      <c r="S198" s="510" t="str">
        <f>IF(R198="","",IF(VLOOKUP(R198,'G-3 Multipliers'!$S$3:$T$10,2,FALSE)=0,"Spatial Data Missing ⚠",VLOOKUP(R198,'G-3 Multipliers'!$S$3:$T$10,2,FALSE)))</f>
        <v/>
      </c>
      <c r="T198" s="289" t="str">
        <f>IFERROR(IF(AND(F198&lt;&gt;"",G198=""),"Confirm irreplaceable habitat status ▲",(IF(AND(R198&lt;&gt;"",AF198=""),"Off-site reference required ▲",(IF(AND(E198="Individual trees",W198&gt;0,G198="Yes"),"Error - you cannot enhance irreplaceable individual trees ▲",(IF(AND(X198="Irreplaceable habitat - no units generated ⚠",(W198+V198)&lt;H198,OR(AB198="No",AB198="")),"Any Loss Unacceptable ⚠",(IF(X198="Irreplaceable habitat - no units generated ⚠",W198*J198*L198*O198,IF(AND(P198='G-1 All Habitats'!$X$9,AH198&gt;0,V198&lt;=0,W198&lt;=0,OR(AB198="No",AB198="")),"Any Loss Unacceptable ⚠",IF(AND(P198='G-1 All Habitats'!$X$9,AH198&gt;0,V198&lt;=0,W198&lt;=0),0,(IF(AND(P198='G-1 All Habitats'!$X$9,(W198+V198)&lt;H198,OR(AB198="No",AB198="")),"Any Loss Unacceptable ⚠",(IF(P198="","",IF(AND(P198='G-1 All Habitats'!$X$9,W198&gt;0),X198+Y198,IF(AND(P198='G-1 All Habitats'!$X$9,V198&gt;0),X198+Y198,IF(R198="","",H198*J198*L198*O198)))))))))))))))))),"Check Data ▲")</f>
        <v/>
      </c>
      <c r="U198" s="38"/>
      <c r="V198" s="52"/>
      <c r="W198" s="53"/>
      <c r="X198" s="287" t="str">
        <f t="shared" si="20"/>
        <v/>
      </c>
      <c r="Y198" s="287" t="str">
        <f t="shared" si="21"/>
        <v/>
      </c>
      <c r="Z198" s="287" t="str">
        <f t="shared" si="22"/>
        <v/>
      </c>
      <c r="AA198" s="317" t="str">
        <f>IFERROR(IF(AND(E198="Individual trees",G198="Yes",W198&gt;0),"Error - you cannot enhance an irreplaceable tree ▲",(IF(H198="","",IF(H198-V198-W198=0&lt;0,"Error in Areas ▲",IF(V198+W198&gt;H198,"Error in Areas ▲",IF(AND(P198='G-1 All Habitats'!$X$9,AB198="Yes"),"Alternative Compensation ✓",IF(AND(P198='G-1 All Habitats'!$X$3,AB198="Yes"),"Alternative Compensation ✓",IF(AND(AB198="Pending",P198='G-1 All Habitats'!$X$3),"Bespoke compensation must be agreed ▲",IF(AND(AB198="Pending",P198='G-1 All Habitats'!$X$9),"Bespoke compensation must be agreed  ▲",IF(Z198=0,0,IF(P198='G-1 All Habitats'!$X$9,"Any Loss Unacceptable ▲",T198-X198-Y198))))))))))),"Check Data ⚠")</f>
        <v/>
      </c>
      <c r="AB198" s="587"/>
      <c r="AC198" s="105"/>
      <c r="AD198" s="138"/>
      <c r="AE198" s="104"/>
      <c r="AF198" s="611"/>
      <c r="AG198" s="523" t="str">
        <f>IF(OR(P198="",AB198="Yes"),"",IF(P198='G-1 All Habitats'!$X$9,H198-V198-W198,"None"))</f>
        <v/>
      </c>
      <c r="AH198" s="523" t="str">
        <f>IF(P198="","",IF(P198='G-1 All Habitats'!$X$9,AG198*J198*L198*O198,"None"))</f>
        <v/>
      </c>
      <c r="AJ198" s="107" t="str">
        <f t="shared" si="23"/>
        <v/>
      </c>
      <c r="AK198" s="107" t="str">
        <f t="shared" si="26"/>
        <v/>
      </c>
      <c r="AL198" s="107" t="str">
        <f>IF(I198="","",IF(#REF!&gt;0,TRUE,FALSE))</f>
        <v/>
      </c>
      <c r="AM198" s="107">
        <v>188</v>
      </c>
      <c r="AN198" s="107"/>
      <c r="AO198" s="107" t="str">
        <f t="array" ref="AO198">IFERROR(INDEX($AM$11:$AM$259,MATCH(0,IF(TRUE=$AJ$11:$AJ$259,COUNTIF($AO$10:$AO197,$AM$11:$AM$259),""),0)),"")</f>
        <v/>
      </c>
      <c r="AP198" s="107" t="str">
        <f t="array" ref="AP198">IFERROR(INDEX($AM$11:$AM$259,MATCH(0,IF(TRUE=$AK$11:$AK$259,COUNTIF($AP$10:$AP197,$AM$11:$AM$259),""),0)),"")</f>
        <v/>
      </c>
      <c r="AQ198" s="107" t="str">
        <f t="array" ref="AQ198">IFERROR(INDEX($AM$11:$AM$259,MATCH(0,IF(TRUE=$AL$11:$AL$259,COUNTIF($AQ$10:$AQ197,$AM$11:$AM$259),""),0)),"")</f>
        <v/>
      </c>
      <c r="AS198" s="885" t="str">
        <f>IF(AND(OR(AB198="Yes",AB198="Pending"),P198='G-1 All Habitats'!$X$3),T198-X198-Y198,"0")</f>
        <v>0</v>
      </c>
      <c r="AT198" s="30" t="str">
        <f t="shared" si="19"/>
        <v/>
      </c>
      <c r="AU198" s="30">
        <f t="shared" si="24"/>
        <v>0</v>
      </c>
      <c r="AV198" s="230" t="str">
        <f>IFERROR(INDEX('G-1 All Habitats'!$B$3:$B$135,MATCH(F198,'G-1 All Habitats'!$A$3:$A$135,0)),"")</f>
        <v/>
      </c>
      <c r="AW198" s="30" t="str">
        <f>IF(AV198="","",VLOOKUP(AV198,'G-1 All Habitats'!$B$1:$T$135,19,FALSE))</f>
        <v/>
      </c>
      <c r="AY198" s="287" t="str">
        <f t="shared" si="25"/>
        <v/>
      </c>
    </row>
    <row r="199" spans="1:51" ht="14">
      <c r="A199" s="30" t="str">
        <f>IFERROR(INDEX('G-1 All Habitats'!$AG$3:$AG$17,MATCH(E199,'G-1 All Habitats'!$AF$3:$AF$17,0)),"")</f>
        <v/>
      </c>
      <c r="B199" s="30" t="str">
        <f>IFERROR(INDEX('G-8 Condition Look up'!$I$4:$I$135,MATCH(AV199,'G-8 Condition Look up'!$A$4:$A$135,0)),"")</f>
        <v/>
      </c>
      <c r="D199" s="97">
        <v>189</v>
      </c>
      <c r="E199" s="262"/>
      <c r="F199" s="263"/>
      <c r="G199" s="133"/>
      <c r="H199" s="115"/>
      <c r="I199" s="509" t="str">
        <f>IF(AV199="","",IF(AND(AW199="Yes",G199="No"),"Irreplaceable habitat ▲",IF(AND(AW199="No",G199="Yes"),"Cannot be Irreplaceable ▲",VLOOKUP(AV199,'G-1 All Habitats'!$B$2:$M$135,10,FALSE))))</f>
        <v/>
      </c>
      <c r="J199" s="377" t="str">
        <f>IFERROR(VLOOKUP(I199,'G-1 All Habitats'!$V$3:$W$7,2,FALSE),"")</f>
        <v/>
      </c>
      <c r="K199" s="101"/>
      <c r="L199" s="276" t="str">
        <f>IFERROR(INDEX('G-8 Condition Look up'!$A$3:$H$135,MATCH(AV199,'G-8 Condition Look up'!$A$3:$A$135,0),MATCH(K199,'G-8 Condition Look up'!$A$3:$H$3,0)),"")</f>
        <v/>
      </c>
      <c r="M199" s="105"/>
      <c r="N199" s="295" t="str">
        <f>IF(M199="","",IF(VLOOKUP(M199,'G-3 Multipliers'!$L$3:$N$6,2,FALSE)=0,"Spatial Data Missing ⚠",VLOOKUP(M199,'G-3 Multipliers'!$L$3:$N$6,2,FALSE)))</f>
        <v/>
      </c>
      <c r="O199" s="353" t="str">
        <f>IF(M199="","",IF(VLOOKUP(M199,'G-3 Multipliers'!$L$3:$N$6,3,FALSE)=0,"Spatial Data Missing ⚠",VLOOKUP(M199,'G-3 Multipliers'!$L$3:$N$6,3,FALSE)))</f>
        <v/>
      </c>
      <c r="P199" s="336" t="str">
        <f>(IF(G199="Yes","Bespoke compensation likely to be required",(IFERROR(VLOOKUP(AV199,'G-1 All Habitats'!$B$2:$M$135,12,FALSE),""))))</f>
        <v/>
      </c>
      <c r="Q199" s="511" t="str">
        <f>IFERROR(IF(P199="","",IF(AND(E199="Individual trees",W199&gt;0,G199="Yes"),"Error - you cannot enhance irreplaceable individual trees ▲",IF(P199='G-1 All Habitats'!$X$9,T199*S199,IF(AND(P199='G-1 All Habitats'!$X$9,W199&gt;0),X199+(Y199*S199),IF(AND(P199='G-1 All Habitats'!$X$9,V199&gt;0),X199+(Y199*S199),IF(AND(P199='G-1 All Habitats'!$X$9,AG199&gt;0),"Any Loss Unacceptable  ⚠",IF(AND(P199='G-1 All Habitats'!$X$9,Z199&gt;0),"Any Loss Unacceptable ⚠",H199*J199*L199*O199*S199))))))),"Check Data ⚠")</f>
        <v/>
      </c>
      <c r="R199" s="393"/>
      <c r="S199" s="510" t="str">
        <f>IF(R199="","",IF(VLOOKUP(R199,'G-3 Multipliers'!$S$3:$T$10,2,FALSE)=0,"Spatial Data Missing ⚠",VLOOKUP(R199,'G-3 Multipliers'!$S$3:$T$10,2,FALSE)))</f>
        <v/>
      </c>
      <c r="T199" s="289" t="str">
        <f>IFERROR(IF(AND(F199&lt;&gt;"",G199=""),"Confirm irreplaceable habitat status ▲",(IF(AND(R199&lt;&gt;"",AF199=""),"Off-site reference required ▲",(IF(AND(E199="Individual trees",W199&gt;0,G199="Yes"),"Error - you cannot enhance irreplaceable individual trees ▲",(IF(AND(X199="Irreplaceable habitat - no units generated ⚠",(W199+V199)&lt;H199,OR(AB199="No",AB199="")),"Any Loss Unacceptable ⚠",(IF(X199="Irreplaceable habitat - no units generated ⚠",W199*J199*L199*O199,IF(AND(P199='G-1 All Habitats'!$X$9,AH199&gt;0,V199&lt;=0,W199&lt;=0,OR(AB199="No",AB199="")),"Any Loss Unacceptable ⚠",IF(AND(P199='G-1 All Habitats'!$X$9,AH199&gt;0,V199&lt;=0,W199&lt;=0),0,(IF(AND(P199='G-1 All Habitats'!$X$9,(W199+V199)&lt;H199,OR(AB199="No",AB199="")),"Any Loss Unacceptable ⚠",(IF(P199="","",IF(AND(P199='G-1 All Habitats'!$X$9,W199&gt;0),X199+Y199,IF(AND(P199='G-1 All Habitats'!$X$9,V199&gt;0),X199+Y199,IF(R199="","",H199*J199*L199*O199)))))))))))))))))),"Check Data ▲")</f>
        <v/>
      </c>
      <c r="U199" s="38"/>
      <c r="V199" s="52"/>
      <c r="W199" s="53"/>
      <c r="X199" s="287" t="str">
        <f t="shared" si="20"/>
        <v/>
      </c>
      <c r="Y199" s="287" t="str">
        <f t="shared" si="21"/>
        <v/>
      </c>
      <c r="Z199" s="287" t="str">
        <f t="shared" si="22"/>
        <v/>
      </c>
      <c r="AA199" s="317" t="str">
        <f>IFERROR(IF(AND(E199="Individual trees",G199="Yes",W199&gt;0),"Error - you cannot enhance an irreplaceable tree ▲",(IF(H199="","",IF(H199-V199-W199=0&lt;0,"Error in Areas ▲",IF(V199+W199&gt;H199,"Error in Areas ▲",IF(AND(P199='G-1 All Habitats'!$X$9,AB199="Yes"),"Alternative Compensation ✓",IF(AND(P199='G-1 All Habitats'!$X$3,AB199="Yes"),"Alternative Compensation ✓",IF(AND(AB199="Pending",P199='G-1 All Habitats'!$X$3),"Bespoke compensation must be agreed ▲",IF(AND(AB199="Pending",P199='G-1 All Habitats'!$X$9),"Bespoke compensation must be agreed  ▲",IF(Z199=0,0,IF(P199='G-1 All Habitats'!$X$9,"Any Loss Unacceptable ▲",T199-X199-Y199))))))))))),"Check Data ⚠")</f>
        <v/>
      </c>
      <c r="AB199" s="587"/>
      <c r="AC199" s="105"/>
      <c r="AD199" s="138"/>
      <c r="AE199" s="104"/>
      <c r="AF199" s="611"/>
      <c r="AG199" s="523" t="str">
        <f>IF(OR(P199="",AB199="Yes"),"",IF(P199='G-1 All Habitats'!$X$9,H199-V199-W199,"None"))</f>
        <v/>
      </c>
      <c r="AH199" s="523" t="str">
        <f>IF(P199="","",IF(P199='G-1 All Habitats'!$X$9,AG199*J199*L199*O199,"None"))</f>
        <v/>
      </c>
      <c r="AJ199" s="107" t="str">
        <f t="shared" si="23"/>
        <v/>
      </c>
      <c r="AK199" s="107" t="str">
        <f t="shared" si="26"/>
        <v/>
      </c>
      <c r="AL199" s="107" t="str">
        <f>IF(I199="","",IF(#REF!&gt;0,TRUE,FALSE))</f>
        <v/>
      </c>
      <c r="AM199" s="107">
        <v>189</v>
      </c>
      <c r="AN199" s="107"/>
      <c r="AO199" s="107" t="str">
        <f t="array" ref="AO199">IFERROR(INDEX($AM$11:$AM$259,MATCH(0,IF(TRUE=$AJ$11:$AJ$259,COUNTIF($AO$10:$AO198,$AM$11:$AM$259),""),0)),"")</f>
        <v/>
      </c>
      <c r="AP199" s="107" t="str">
        <f t="array" ref="AP199">IFERROR(INDEX($AM$11:$AM$259,MATCH(0,IF(TRUE=$AK$11:$AK$259,COUNTIF($AP$10:$AP198,$AM$11:$AM$259),""),0)),"")</f>
        <v/>
      </c>
      <c r="AQ199" s="107" t="str">
        <f t="array" ref="AQ199">IFERROR(INDEX($AM$11:$AM$259,MATCH(0,IF(TRUE=$AL$11:$AL$259,COUNTIF($AQ$10:$AQ198,$AM$11:$AM$259),""),0)),"")</f>
        <v/>
      </c>
      <c r="AS199" s="885" t="str">
        <f>IF(AND(OR(AB199="Yes",AB199="Pending"),P199='G-1 All Habitats'!$X$3),T199-X199-Y199,"0")</f>
        <v>0</v>
      </c>
      <c r="AT199" s="30" t="str">
        <f t="shared" si="19"/>
        <v/>
      </c>
      <c r="AU199" s="30">
        <f t="shared" si="24"/>
        <v>0</v>
      </c>
      <c r="AV199" s="230" t="str">
        <f>IFERROR(INDEX('G-1 All Habitats'!$B$3:$B$135,MATCH(F199,'G-1 All Habitats'!$A$3:$A$135,0)),"")</f>
        <v/>
      </c>
      <c r="AW199" s="30" t="str">
        <f>IF(AV199="","",VLOOKUP(AV199,'G-1 All Habitats'!$B$1:$T$135,19,FALSE))</f>
        <v/>
      </c>
      <c r="AY199" s="287" t="str">
        <f t="shared" si="25"/>
        <v/>
      </c>
    </row>
    <row r="200" spans="1:51" ht="14">
      <c r="A200" s="30" t="str">
        <f>IFERROR(INDEX('G-1 All Habitats'!$AG$3:$AG$17,MATCH(E200,'G-1 All Habitats'!$AF$3:$AF$17,0)),"")</f>
        <v/>
      </c>
      <c r="B200" s="30" t="str">
        <f>IFERROR(INDEX('G-8 Condition Look up'!$I$4:$I$135,MATCH(AV200,'G-8 Condition Look up'!$A$4:$A$135,0)),"")</f>
        <v/>
      </c>
      <c r="D200" s="97">
        <v>190</v>
      </c>
      <c r="E200" s="262"/>
      <c r="F200" s="263"/>
      <c r="G200" s="133"/>
      <c r="H200" s="115"/>
      <c r="I200" s="509" t="str">
        <f>IF(AV200="","",IF(AND(AW200="Yes",G200="No"),"Irreplaceable habitat ▲",IF(AND(AW200="No",G200="Yes"),"Cannot be Irreplaceable ▲",VLOOKUP(AV200,'G-1 All Habitats'!$B$2:$M$135,10,FALSE))))</f>
        <v/>
      </c>
      <c r="J200" s="377" t="str">
        <f>IFERROR(VLOOKUP(I200,'G-1 All Habitats'!$V$3:$W$7,2,FALSE),"")</f>
        <v/>
      </c>
      <c r="K200" s="101"/>
      <c r="L200" s="276" t="str">
        <f>IFERROR(INDEX('G-8 Condition Look up'!$A$3:$H$135,MATCH(AV200,'G-8 Condition Look up'!$A$3:$A$135,0),MATCH(K200,'G-8 Condition Look up'!$A$3:$H$3,0)),"")</f>
        <v/>
      </c>
      <c r="M200" s="105"/>
      <c r="N200" s="295" t="str">
        <f>IF(M200="","",IF(VLOOKUP(M200,'G-3 Multipliers'!$L$3:$N$6,2,FALSE)=0,"Spatial Data Missing ⚠",VLOOKUP(M200,'G-3 Multipliers'!$L$3:$N$6,2,FALSE)))</f>
        <v/>
      </c>
      <c r="O200" s="353" t="str">
        <f>IF(M200="","",IF(VLOOKUP(M200,'G-3 Multipliers'!$L$3:$N$6,3,FALSE)=0,"Spatial Data Missing ⚠",VLOOKUP(M200,'G-3 Multipliers'!$L$3:$N$6,3,FALSE)))</f>
        <v/>
      </c>
      <c r="P200" s="336" t="str">
        <f>(IF(G200="Yes","Bespoke compensation likely to be required",(IFERROR(VLOOKUP(AV200,'G-1 All Habitats'!$B$2:$M$135,12,FALSE),""))))</f>
        <v/>
      </c>
      <c r="Q200" s="511" t="str">
        <f>IFERROR(IF(P200="","",IF(AND(E200="Individual trees",W200&gt;0,G200="Yes"),"Error - you cannot enhance irreplaceable individual trees ▲",IF(P200='G-1 All Habitats'!$X$9,T200*S200,IF(AND(P200='G-1 All Habitats'!$X$9,W200&gt;0),X200+(Y200*S200),IF(AND(P200='G-1 All Habitats'!$X$9,V200&gt;0),X200+(Y200*S200),IF(AND(P200='G-1 All Habitats'!$X$9,AG200&gt;0),"Any Loss Unacceptable  ⚠",IF(AND(P200='G-1 All Habitats'!$X$9,Z200&gt;0),"Any Loss Unacceptable ⚠",H200*J200*L200*O200*S200))))))),"Check Data ⚠")</f>
        <v/>
      </c>
      <c r="R200" s="393"/>
      <c r="S200" s="510" t="str">
        <f>IF(R200="","",IF(VLOOKUP(R200,'G-3 Multipliers'!$S$3:$T$10,2,FALSE)=0,"Spatial Data Missing ⚠",VLOOKUP(R200,'G-3 Multipliers'!$S$3:$T$10,2,FALSE)))</f>
        <v/>
      </c>
      <c r="T200" s="289" t="str">
        <f>IFERROR(IF(AND(F200&lt;&gt;"",G200=""),"Confirm irreplaceable habitat status ▲",(IF(AND(R200&lt;&gt;"",AF200=""),"Off-site reference required ▲",(IF(AND(E200="Individual trees",W200&gt;0,G200="Yes"),"Error - you cannot enhance irreplaceable individual trees ▲",(IF(AND(X200="Irreplaceable habitat - no units generated ⚠",(W200+V200)&lt;H200,OR(AB200="No",AB200="")),"Any Loss Unacceptable ⚠",(IF(X200="Irreplaceable habitat - no units generated ⚠",W200*J200*L200*O200,IF(AND(P200='G-1 All Habitats'!$X$9,AH200&gt;0,V200&lt;=0,W200&lt;=0,OR(AB200="No",AB200="")),"Any Loss Unacceptable ⚠",IF(AND(P200='G-1 All Habitats'!$X$9,AH200&gt;0,V200&lt;=0,W200&lt;=0),0,(IF(AND(P200='G-1 All Habitats'!$X$9,(W200+V200)&lt;H200,OR(AB200="No",AB200="")),"Any Loss Unacceptable ⚠",(IF(P200="","",IF(AND(P200='G-1 All Habitats'!$X$9,W200&gt;0),X200+Y200,IF(AND(P200='G-1 All Habitats'!$X$9,V200&gt;0),X200+Y200,IF(R200="","",H200*J200*L200*O200)))))))))))))))))),"Check Data ▲")</f>
        <v/>
      </c>
      <c r="U200" s="38"/>
      <c r="V200" s="52"/>
      <c r="W200" s="53"/>
      <c r="X200" s="287" t="str">
        <f t="shared" si="20"/>
        <v/>
      </c>
      <c r="Y200" s="287" t="str">
        <f t="shared" si="21"/>
        <v/>
      </c>
      <c r="Z200" s="287" t="str">
        <f t="shared" si="22"/>
        <v/>
      </c>
      <c r="AA200" s="317" t="str">
        <f>IFERROR(IF(AND(E200="Individual trees",G200="Yes",W200&gt;0),"Error - you cannot enhance an irreplaceable tree ▲",(IF(H200="","",IF(H200-V200-W200=0&lt;0,"Error in Areas ▲",IF(V200+W200&gt;H200,"Error in Areas ▲",IF(AND(P200='G-1 All Habitats'!$X$9,AB200="Yes"),"Alternative Compensation ✓",IF(AND(P200='G-1 All Habitats'!$X$3,AB200="Yes"),"Alternative Compensation ✓",IF(AND(AB200="Pending",P200='G-1 All Habitats'!$X$3),"Bespoke compensation must be agreed ▲",IF(AND(AB200="Pending",P200='G-1 All Habitats'!$X$9),"Bespoke compensation must be agreed  ▲",IF(Z200=0,0,IF(P200='G-1 All Habitats'!$X$9,"Any Loss Unacceptable ▲",T200-X200-Y200))))))))))),"Check Data ⚠")</f>
        <v/>
      </c>
      <c r="AB200" s="587"/>
      <c r="AC200" s="105"/>
      <c r="AD200" s="138"/>
      <c r="AE200" s="104"/>
      <c r="AF200" s="611"/>
      <c r="AG200" s="523" t="str">
        <f>IF(OR(P200="",AB200="Yes"),"",IF(P200='G-1 All Habitats'!$X$9,H200-V200-W200,"None"))</f>
        <v/>
      </c>
      <c r="AH200" s="523" t="str">
        <f>IF(P200="","",IF(P200='G-1 All Habitats'!$X$9,AG200*J200*L200*O200,"None"))</f>
        <v/>
      </c>
      <c r="AJ200" s="107" t="str">
        <f t="shared" si="23"/>
        <v/>
      </c>
      <c r="AK200" s="107" t="str">
        <f t="shared" si="26"/>
        <v/>
      </c>
      <c r="AL200" s="107" t="str">
        <f>IF(I200="","",IF(#REF!&gt;0,TRUE,FALSE))</f>
        <v/>
      </c>
      <c r="AM200" s="107">
        <v>190</v>
      </c>
      <c r="AN200" s="107"/>
      <c r="AO200" s="107" t="str">
        <f t="array" ref="AO200">IFERROR(INDEX($AM$11:$AM$259,MATCH(0,IF(TRUE=$AJ$11:$AJ$259,COUNTIF($AO$10:$AO199,$AM$11:$AM$259),""),0)),"")</f>
        <v/>
      </c>
      <c r="AP200" s="107" t="str">
        <f t="array" ref="AP200">IFERROR(INDEX($AM$11:$AM$259,MATCH(0,IF(TRUE=$AK$11:$AK$259,COUNTIF($AP$10:$AP199,$AM$11:$AM$259),""),0)),"")</f>
        <v/>
      </c>
      <c r="AQ200" s="107" t="str">
        <f t="array" ref="AQ200">IFERROR(INDEX($AM$11:$AM$259,MATCH(0,IF(TRUE=$AL$11:$AL$259,COUNTIF($AQ$10:$AQ199,$AM$11:$AM$259),""),0)),"")</f>
        <v/>
      </c>
      <c r="AS200" s="885" t="str">
        <f>IF(AND(OR(AB200="Yes",AB200="Pending"),P200='G-1 All Habitats'!$X$3),T200-X200-Y200,"0")</f>
        <v>0</v>
      </c>
      <c r="AT200" s="30" t="str">
        <f t="shared" si="19"/>
        <v/>
      </c>
      <c r="AU200" s="30">
        <f t="shared" si="24"/>
        <v>0</v>
      </c>
      <c r="AV200" s="230" t="str">
        <f>IFERROR(INDEX('G-1 All Habitats'!$B$3:$B$135,MATCH(F200,'G-1 All Habitats'!$A$3:$A$135,0)),"")</f>
        <v/>
      </c>
      <c r="AW200" s="30" t="str">
        <f>IF(AV200="","",VLOOKUP(AV200,'G-1 All Habitats'!$B$1:$T$135,19,FALSE))</f>
        <v/>
      </c>
      <c r="AY200" s="287" t="str">
        <f t="shared" si="25"/>
        <v/>
      </c>
    </row>
    <row r="201" spans="1:51" ht="14">
      <c r="A201" s="30" t="str">
        <f>IFERROR(INDEX('G-1 All Habitats'!$AG$3:$AG$17,MATCH(E201,'G-1 All Habitats'!$AF$3:$AF$17,0)),"")</f>
        <v/>
      </c>
      <c r="B201" s="30" t="str">
        <f>IFERROR(INDEX('G-8 Condition Look up'!$I$4:$I$135,MATCH(AV201,'G-8 Condition Look up'!$A$4:$A$135,0)),"")</f>
        <v/>
      </c>
      <c r="D201" s="97">
        <v>191</v>
      </c>
      <c r="E201" s="262"/>
      <c r="F201" s="263"/>
      <c r="G201" s="133"/>
      <c r="H201" s="115"/>
      <c r="I201" s="509" t="str">
        <f>IF(AV201="","",IF(AND(AW201="Yes",G201="No"),"Irreplaceable habitat ▲",IF(AND(AW201="No",G201="Yes"),"Cannot be Irreplaceable ▲",VLOOKUP(AV201,'G-1 All Habitats'!$B$2:$M$135,10,FALSE))))</f>
        <v/>
      </c>
      <c r="J201" s="377" t="str">
        <f>IFERROR(VLOOKUP(I201,'G-1 All Habitats'!$V$3:$W$7,2,FALSE),"")</f>
        <v/>
      </c>
      <c r="K201" s="101"/>
      <c r="L201" s="276" t="str">
        <f>IFERROR(INDEX('G-8 Condition Look up'!$A$3:$H$135,MATCH(AV201,'G-8 Condition Look up'!$A$3:$A$135,0),MATCH(K201,'G-8 Condition Look up'!$A$3:$H$3,0)),"")</f>
        <v/>
      </c>
      <c r="M201" s="105"/>
      <c r="N201" s="295" t="str">
        <f>IF(M201="","",IF(VLOOKUP(M201,'G-3 Multipliers'!$L$3:$N$6,2,FALSE)=0,"Spatial Data Missing ⚠",VLOOKUP(M201,'G-3 Multipliers'!$L$3:$N$6,2,FALSE)))</f>
        <v/>
      </c>
      <c r="O201" s="353" t="str">
        <f>IF(M201="","",IF(VLOOKUP(M201,'G-3 Multipliers'!$L$3:$N$6,3,FALSE)=0,"Spatial Data Missing ⚠",VLOOKUP(M201,'G-3 Multipliers'!$L$3:$N$6,3,FALSE)))</f>
        <v/>
      </c>
      <c r="P201" s="336" t="str">
        <f>(IF(G201="Yes","Bespoke compensation likely to be required",(IFERROR(VLOOKUP(AV201,'G-1 All Habitats'!$B$2:$M$135,12,FALSE),""))))</f>
        <v/>
      </c>
      <c r="Q201" s="511" t="str">
        <f>IFERROR(IF(P201="","",IF(AND(E201="Individual trees",W201&gt;0,G201="Yes"),"Error - you cannot enhance irreplaceable individual trees ▲",IF(P201='G-1 All Habitats'!$X$9,T201*S201,IF(AND(P201='G-1 All Habitats'!$X$9,W201&gt;0),X201+(Y201*S201),IF(AND(P201='G-1 All Habitats'!$X$9,V201&gt;0),X201+(Y201*S201),IF(AND(P201='G-1 All Habitats'!$X$9,AG201&gt;0),"Any Loss Unacceptable  ⚠",IF(AND(P201='G-1 All Habitats'!$X$9,Z201&gt;0),"Any Loss Unacceptable ⚠",H201*J201*L201*O201*S201))))))),"Check Data ⚠")</f>
        <v/>
      </c>
      <c r="R201" s="393"/>
      <c r="S201" s="510" t="str">
        <f>IF(R201="","",IF(VLOOKUP(R201,'G-3 Multipliers'!$S$3:$T$10,2,FALSE)=0,"Spatial Data Missing ⚠",VLOOKUP(R201,'G-3 Multipliers'!$S$3:$T$10,2,FALSE)))</f>
        <v/>
      </c>
      <c r="T201" s="289" t="str">
        <f>IFERROR(IF(AND(F201&lt;&gt;"",G201=""),"Confirm irreplaceable habitat status ▲",(IF(AND(R201&lt;&gt;"",AF201=""),"Off-site reference required ▲",(IF(AND(E201="Individual trees",W201&gt;0,G201="Yes"),"Error - you cannot enhance irreplaceable individual trees ▲",(IF(AND(X201="Irreplaceable habitat - no units generated ⚠",(W201+V201)&lt;H201,OR(AB201="No",AB201="")),"Any Loss Unacceptable ⚠",(IF(X201="Irreplaceable habitat - no units generated ⚠",W201*J201*L201*O201,IF(AND(P201='G-1 All Habitats'!$X$9,AH201&gt;0,V201&lt;=0,W201&lt;=0,OR(AB201="No",AB201="")),"Any Loss Unacceptable ⚠",IF(AND(P201='G-1 All Habitats'!$X$9,AH201&gt;0,V201&lt;=0,W201&lt;=0),0,(IF(AND(P201='G-1 All Habitats'!$X$9,(W201+V201)&lt;H201,OR(AB201="No",AB201="")),"Any Loss Unacceptable ⚠",(IF(P201="","",IF(AND(P201='G-1 All Habitats'!$X$9,W201&gt;0),X201+Y201,IF(AND(P201='G-1 All Habitats'!$X$9,V201&gt;0),X201+Y201,IF(R201="","",H201*J201*L201*O201)))))))))))))))))),"Check Data ▲")</f>
        <v/>
      </c>
      <c r="U201" s="38"/>
      <c r="V201" s="52"/>
      <c r="W201" s="53"/>
      <c r="X201" s="287" t="str">
        <f t="shared" si="20"/>
        <v/>
      </c>
      <c r="Y201" s="287" t="str">
        <f t="shared" si="21"/>
        <v/>
      </c>
      <c r="Z201" s="287" t="str">
        <f t="shared" si="22"/>
        <v/>
      </c>
      <c r="AA201" s="317" t="str">
        <f>IFERROR(IF(AND(E201="Individual trees",G201="Yes",W201&gt;0),"Error - you cannot enhance an irreplaceable tree ▲",(IF(H201="","",IF(H201-V201-W201=0&lt;0,"Error in Areas ▲",IF(V201+W201&gt;H201,"Error in Areas ▲",IF(AND(P201='G-1 All Habitats'!$X$9,AB201="Yes"),"Alternative Compensation ✓",IF(AND(P201='G-1 All Habitats'!$X$3,AB201="Yes"),"Alternative Compensation ✓",IF(AND(AB201="Pending",P201='G-1 All Habitats'!$X$3),"Bespoke compensation must be agreed ▲",IF(AND(AB201="Pending",P201='G-1 All Habitats'!$X$9),"Bespoke compensation must be agreed  ▲",IF(Z201=0,0,IF(P201='G-1 All Habitats'!$X$9,"Any Loss Unacceptable ▲",T201-X201-Y201))))))))))),"Check Data ⚠")</f>
        <v/>
      </c>
      <c r="AB201" s="587"/>
      <c r="AC201" s="105"/>
      <c r="AD201" s="138"/>
      <c r="AE201" s="104"/>
      <c r="AF201" s="611"/>
      <c r="AG201" s="523" t="str">
        <f>IF(OR(P201="",AB201="Yes"),"",IF(P201='G-1 All Habitats'!$X$9,H201-V201-W201,"None"))</f>
        <v/>
      </c>
      <c r="AH201" s="523" t="str">
        <f>IF(P201="","",IF(P201='G-1 All Habitats'!$X$9,AG201*J201*L201*O201,"None"))</f>
        <v/>
      </c>
      <c r="AJ201" s="107" t="str">
        <f t="shared" si="23"/>
        <v/>
      </c>
      <c r="AK201" s="107" t="str">
        <f t="shared" si="26"/>
        <v/>
      </c>
      <c r="AL201" s="107" t="str">
        <f>IF(I201="","",IF(#REF!&gt;0,TRUE,FALSE))</f>
        <v/>
      </c>
      <c r="AM201" s="107">
        <v>191</v>
      </c>
      <c r="AN201" s="107"/>
      <c r="AO201" s="107" t="str">
        <f t="array" ref="AO201">IFERROR(INDEX($AM$11:$AM$259,MATCH(0,IF(TRUE=$AJ$11:$AJ$259,COUNTIF($AO$10:$AO200,$AM$11:$AM$259),""),0)),"")</f>
        <v/>
      </c>
      <c r="AP201" s="107" t="str">
        <f t="array" ref="AP201">IFERROR(INDEX($AM$11:$AM$259,MATCH(0,IF(TRUE=$AK$11:$AK$259,COUNTIF($AP$10:$AP200,$AM$11:$AM$259),""),0)),"")</f>
        <v/>
      </c>
      <c r="AQ201" s="107" t="str">
        <f t="array" ref="AQ201">IFERROR(INDEX($AM$11:$AM$259,MATCH(0,IF(TRUE=$AL$11:$AL$259,COUNTIF($AQ$10:$AQ200,$AM$11:$AM$259),""),0)),"")</f>
        <v/>
      </c>
      <c r="AS201" s="885" t="str">
        <f>IF(AND(OR(AB201="Yes",AB201="Pending"),P201='G-1 All Habitats'!$X$3),T201-X201-Y201,"0")</f>
        <v>0</v>
      </c>
      <c r="AT201" s="30" t="str">
        <f t="shared" si="19"/>
        <v/>
      </c>
      <c r="AU201" s="30">
        <f t="shared" si="24"/>
        <v>0</v>
      </c>
      <c r="AV201" s="230" t="str">
        <f>IFERROR(INDEX('G-1 All Habitats'!$B$3:$B$135,MATCH(F201,'G-1 All Habitats'!$A$3:$A$135,0)),"")</f>
        <v/>
      </c>
      <c r="AW201" s="30" t="str">
        <f>IF(AV201="","",VLOOKUP(AV201,'G-1 All Habitats'!$B$1:$T$135,19,FALSE))</f>
        <v/>
      </c>
      <c r="AY201" s="287" t="str">
        <f t="shared" si="25"/>
        <v/>
      </c>
    </row>
    <row r="202" spans="1:51" ht="14">
      <c r="A202" s="30" t="str">
        <f>IFERROR(INDEX('G-1 All Habitats'!$AG$3:$AG$17,MATCH(E202,'G-1 All Habitats'!$AF$3:$AF$17,0)),"")</f>
        <v/>
      </c>
      <c r="B202" s="30" t="str">
        <f>IFERROR(INDEX('G-8 Condition Look up'!$I$4:$I$135,MATCH(AV202,'G-8 Condition Look up'!$A$4:$A$135,0)),"")</f>
        <v/>
      </c>
      <c r="D202" s="97">
        <v>192</v>
      </c>
      <c r="E202" s="262"/>
      <c r="F202" s="263"/>
      <c r="G202" s="133"/>
      <c r="H202" s="115"/>
      <c r="I202" s="509" t="str">
        <f>IF(AV202="","",IF(AND(AW202="Yes",G202="No"),"Irreplaceable habitat ▲",IF(AND(AW202="No",G202="Yes"),"Cannot be Irreplaceable ▲",VLOOKUP(AV202,'G-1 All Habitats'!$B$2:$M$135,10,FALSE))))</f>
        <v/>
      </c>
      <c r="J202" s="377" t="str">
        <f>IFERROR(VLOOKUP(I202,'G-1 All Habitats'!$V$3:$W$7,2,FALSE),"")</f>
        <v/>
      </c>
      <c r="K202" s="101"/>
      <c r="L202" s="276" t="str">
        <f>IFERROR(INDEX('G-8 Condition Look up'!$A$3:$H$135,MATCH(AV202,'G-8 Condition Look up'!$A$3:$A$135,0),MATCH(K202,'G-8 Condition Look up'!$A$3:$H$3,0)),"")</f>
        <v/>
      </c>
      <c r="M202" s="105"/>
      <c r="N202" s="295" t="str">
        <f>IF(M202="","",IF(VLOOKUP(M202,'G-3 Multipliers'!$L$3:$N$6,2,FALSE)=0,"Spatial Data Missing ⚠",VLOOKUP(M202,'G-3 Multipliers'!$L$3:$N$6,2,FALSE)))</f>
        <v/>
      </c>
      <c r="O202" s="353" t="str">
        <f>IF(M202="","",IF(VLOOKUP(M202,'G-3 Multipliers'!$L$3:$N$6,3,FALSE)=0,"Spatial Data Missing ⚠",VLOOKUP(M202,'G-3 Multipliers'!$L$3:$N$6,3,FALSE)))</f>
        <v/>
      </c>
      <c r="P202" s="336" t="str">
        <f>(IF(G202="Yes","Bespoke compensation likely to be required",(IFERROR(VLOOKUP(AV202,'G-1 All Habitats'!$B$2:$M$135,12,FALSE),""))))</f>
        <v/>
      </c>
      <c r="Q202" s="511" t="str">
        <f>IFERROR(IF(P202="","",IF(AND(E202="Individual trees",W202&gt;0,G202="Yes"),"Error - you cannot enhance irreplaceable individual trees ▲",IF(P202='G-1 All Habitats'!$X$9,T202*S202,IF(AND(P202='G-1 All Habitats'!$X$9,W202&gt;0),X202+(Y202*S202),IF(AND(P202='G-1 All Habitats'!$X$9,V202&gt;0),X202+(Y202*S202),IF(AND(P202='G-1 All Habitats'!$X$9,AG202&gt;0),"Any Loss Unacceptable  ⚠",IF(AND(P202='G-1 All Habitats'!$X$9,Z202&gt;0),"Any Loss Unacceptable ⚠",H202*J202*L202*O202*S202))))))),"Check Data ⚠")</f>
        <v/>
      </c>
      <c r="R202" s="393"/>
      <c r="S202" s="510" t="str">
        <f>IF(R202="","",IF(VLOOKUP(R202,'G-3 Multipliers'!$S$3:$T$10,2,FALSE)=0,"Spatial Data Missing ⚠",VLOOKUP(R202,'G-3 Multipliers'!$S$3:$T$10,2,FALSE)))</f>
        <v/>
      </c>
      <c r="T202" s="289" t="str">
        <f>IFERROR(IF(AND(F202&lt;&gt;"",G202=""),"Confirm irreplaceable habitat status ▲",(IF(AND(R202&lt;&gt;"",AF202=""),"Off-site reference required ▲",(IF(AND(E202="Individual trees",W202&gt;0,G202="Yes"),"Error - you cannot enhance irreplaceable individual trees ▲",(IF(AND(X202="Irreplaceable habitat - no units generated ⚠",(W202+V202)&lt;H202,OR(AB202="No",AB202="")),"Any Loss Unacceptable ⚠",(IF(X202="Irreplaceable habitat - no units generated ⚠",W202*J202*L202*O202,IF(AND(P202='G-1 All Habitats'!$X$9,AH202&gt;0,V202&lt;=0,W202&lt;=0,OR(AB202="No",AB202="")),"Any Loss Unacceptable ⚠",IF(AND(P202='G-1 All Habitats'!$X$9,AH202&gt;0,V202&lt;=0,W202&lt;=0),0,(IF(AND(P202='G-1 All Habitats'!$X$9,(W202+V202)&lt;H202,OR(AB202="No",AB202="")),"Any Loss Unacceptable ⚠",(IF(P202="","",IF(AND(P202='G-1 All Habitats'!$X$9,W202&gt;0),X202+Y202,IF(AND(P202='G-1 All Habitats'!$X$9,V202&gt;0),X202+Y202,IF(R202="","",H202*J202*L202*O202)))))))))))))))))),"Check Data ▲")</f>
        <v/>
      </c>
      <c r="U202" s="38"/>
      <c r="V202" s="52"/>
      <c r="W202" s="53"/>
      <c r="X202" s="287" t="str">
        <f t="shared" si="20"/>
        <v/>
      </c>
      <c r="Y202" s="287" t="str">
        <f t="shared" si="21"/>
        <v/>
      </c>
      <c r="Z202" s="287" t="str">
        <f t="shared" si="22"/>
        <v/>
      </c>
      <c r="AA202" s="317" t="str">
        <f>IFERROR(IF(AND(E202="Individual trees",G202="Yes",W202&gt;0),"Error - you cannot enhance an irreplaceable tree ▲",(IF(H202="","",IF(H202-V202-W202=0&lt;0,"Error in Areas ▲",IF(V202+W202&gt;H202,"Error in Areas ▲",IF(AND(P202='G-1 All Habitats'!$X$9,AB202="Yes"),"Alternative Compensation ✓",IF(AND(P202='G-1 All Habitats'!$X$3,AB202="Yes"),"Alternative Compensation ✓",IF(AND(AB202="Pending",P202='G-1 All Habitats'!$X$3),"Bespoke compensation must be agreed ▲",IF(AND(AB202="Pending",P202='G-1 All Habitats'!$X$9),"Bespoke compensation must be agreed  ▲",IF(Z202=0,0,IF(P202='G-1 All Habitats'!$X$9,"Any Loss Unacceptable ▲",T202-X202-Y202))))))))))),"Check Data ⚠")</f>
        <v/>
      </c>
      <c r="AB202" s="587"/>
      <c r="AC202" s="105"/>
      <c r="AD202" s="138"/>
      <c r="AE202" s="104"/>
      <c r="AF202" s="611"/>
      <c r="AG202" s="523" t="str">
        <f>IF(OR(P202="",AB202="Yes"),"",IF(P202='G-1 All Habitats'!$X$9,H202-V202-W202,"None"))</f>
        <v/>
      </c>
      <c r="AH202" s="523" t="str">
        <f>IF(P202="","",IF(P202='G-1 All Habitats'!$X$9,AG202*J202*L202*O202,"None"))</f>
        <v/>
      </c>
      <c r="AJ202" s="107" t="str">
        <f t="shared" si="23"/>
        <v/>
      </c>
      <c r="AK202" s="107" t="str">
        <f t="shared" si="26"/>
        <v/>
      </c>
      <c r="AL202" s="107" t="str">
        <f>IF(I202="","",IF(#REF!&gt;0,TRUE,FALSE))</f>
        <v/>
      </c>
      <c r="AM202" s="107">
        <v>192</v>
      </c>
      <c r="AN202" s="107"/>
      <c r="AO202" s="107" t="str">
        <f t="array" ref="AO202">IFERROR(INDEX($AM$11:$AM$259,MATCH(0,IF(TRUE=$AJ$11:$AJ$259,COUNTIF($AO$10:$AO201,$AM$11:$AM$259),""),0)),"")</f>
        <v/>
      </c>
      <c r="AP202" s="107" t="str">
        <f t="array" ref="AP202">IFERROR(INDEX($AM$11:$AM$259,MATCH(0,IF(TRUE=$AK$11:$AK$259,COUNTIF($AP$10:$AP201,$AM$11:$AM$259),""),0)),"")</f>
        <v/>
      </c>
      <c r="AQ202" s="107" t="str">
        <f t="array" ref="AQ202">IFERROR(INDEX($AM$11:$AM$259,MATCH(0,IF(TRUE=$AL$11:$AL$259,COUNTIF($AQ$10:$AQ201,$AM$11:$AM$259),""),0)),"")</f>
        <v/>
      </c>
      <c r="AS202" s="885" t="str">
        <f>IF(AND(OR(AB202="Yes",AB202="Pending"),P202='G-1 All Habitats'!$X$3),T202-X202-Y202,"0")</f>
        <v>0</v>
      </c>
      <c r="AT202" s="30" t="str">
        <f t="shared" si="19"/>
        <v/>
      </c>
      <c r="AU202" s="30">
        <f t="shared" si="24"/>
        <v>0</v>
      </c>
      <c r="AV202" s="230" t="str">
        <f>IFERROR(INDEX('G-1 All Habitats'!$B$3:$B$135,MATCH(F202,'G-1 All Habitats'!$A$3:$A$135,0)),"")</f>
        <v/>
      </c>
      <c r="AW202" s="30" t="str">
        <f>IF(AV202="","",VLOOKUP(AV202,'G-1 All Habitats'!$B$1:$T$135,19,FALSE))</f>
        <v/>
      </c>
      <c r="AY202" s="287" t="str">
        <f t="shared" si="25"/>
        <v/>
      </c>
    </row>
    <row r="203" spans="1:51" ht="14">
      <c r="A203" s="30" t="str">
        <f>IFERROR(INDEX('G-1 All Habitats'!$AG$3:$AG$17,MATCH(E203,'G-1 All Habitats'!$AF$3:$AF$17,0)),"")</f>
        <v/>
      </c>
      <c r="B203" s="30" t="str">
        <f>IFERROR(INDEX('G-8 Condition Look up'!$I$4:$I$135,MATCH(AV203,'G-8 Condition Look up'!$A$4:$A$135,0)),"")</f>
        <v/>
      </c>
      <c r="D203" s="97">
        <v>193</v>
      </c>
      <c r="E203" s="262"/>
      <c r="F203" s="263"/>
      <c r="G203" s="133"/>
      <c r="H203" s="115"/>
      <c r="I203" s="509" t="str">
        <f>IF(AV203="","",IF(AND(AW203="Yes",G203="No"),"Irreplaceable habitat ▲",IF(AND(AW203="No",G203="Yes"),"Cannot be Irreplaceable ▲",VLOOKUP(AV203,'G-1 All Habitats'!$B$2:$M$135,10,FALSE))))</f>
        <v/>
      </c>
      <c r="J203" s="377" t="str">
        <f>IFERROR(VLOOKUP(I203,'G-1 All Habitats'!$V$3:$W$7,2,FALSE),"")</f>
        <v/>
      </c>
      <c r="K203" s="101"/>
      <c r="L203" s="276" t="str">
        <f>IFERROR(INDEX('G-8 Condition Look up'!$A$3:$H$135,MATCH(AV203,'G-8 Condition Look up'!$A$3:$A$135,0),MATCH(K203,'G-8 Condition Look up'!$A$3:$H$3,0)),"")</f>
        <v/>
      </c>
      <c r="M203" s="105"/>
      <c r="N203" s="295" t="str">
        <f>IF(M203="","",IF(VLOOKUP(M203,'G-3 Multipliers'!$L$3:$N$6,2,FALSE)=0,"Spatial Data Missing ⚠",VLOOKUP(M203,'G-3 Multipliers'!$L$3:$N$6,2,FALSE)))</f>
        <v/>
      </c>
      <c r="O203" s="353" t="str">
        <f>IF(M203="","",IF(VLOOKUP(M203,'G-3 Multipliers'!$L$3:$N$6,3,FALSE)=0,"Spatial Data Missing ⚠",VLOOKUP(M203,'G-3 Multipliers'!$L$3:$N$6,3,FALSE)))</f>
        <v/>
      </c>
      <c r="P203" s="336" t="str">
        <f>(IF(G203="Yes","Bespoke compensation likely to be required",(IFERROR(VLOOKUP(AV203,'G-1 All Habitats'!$B$2:$M$135,12,FALSE),""))))</f>
        <v/>
      </c>
      <c r="Q203" s="511" t="str">
        <f>IFERROR(IF(P203="","",IF(AND(E203="Individual trees",W203&gt;0,G203="Yes"),"Error - you cannot enhance irreplaceable individual trees ▲",IF(P203='G-1 All Habitats'!$X$9,T203*S203,IF(AND(P203='G-1 All Habitats'!$X$9,W203&gt;0),X203+(Y203*S203),IF(AND(P203='G-1 All Habitats'!$X$9,V203&gt;0),X203+(Y203*S203),IF(AND(P203='G-1 All Habitats'!$X$9,AG203&gt;0),"Any Loss Unacceptable  ⚠",IF(AND(P203='G-1 All Habitats'!$X$9,Z203&gt;0),"Any Loss Unacceptable ⚠",H203*J203*L203*O203*S203))))))),"Check Data ⚠")</f>
        <v/>
      </c>
      <c r="R203" s="393"/>
      <c r="S203" s="510" t="str">
        <f>IF(R203="","",IF(VLOOKUP(R203,'G-3 Multipliers'!$S$3:$T$10,2,FALSE)=0,"Spatial Data Missing ⚠",VLOOKUP(R203,'G-3 Multipliers'!$S$3:$T$10,2,FALSE)))</f>
        <v/>
      </c>
      <c r="T203" s="289" t="str">
        <f>IFERROR(IF(AND(F203&lt;&gt;"",G203=""),"Confirm irreplaceable habitat status ▲",(IF(AND(R203&lt;&gt;"",AF203=""),"Off-site reference required ▲",(IF(AND(E203="Individual trees",W203&gt;0,G203="Yes"),"Error - you cannot enhance irreplaceable individual trees ▲",(IF(AND(X203="Irreplaceable habitat - no units generated ⚠",(W203+V203)&lt;H203,OR(AB203="No",AB203="")),"Any Loss Unacceptable ⚠",(IF(X203="Irreplaceable habitat - no units generated ⚠",W203*J203*L203*O203,IF(AND(P203='G-1 All Habitats'!$X$9,AH203&gt;0,V203&lt;=0,W203&lt;=0,OR(AB203="No",AB203="")),"Any Loss Unacceptable ⚠",IF(AND(P203='G-1 All Habitats'!$X$9,AH203&gt;0,V203&lt;=0,W203&lt;=0),0,(IF(AND(P203='G-1 All Habitats'!$X$9,(W203+V203)&lt;H203,OR(AB203="No",AB203="")),"Any Loss Unacceptable ⚠",(IF(P203="","",IF(AND(P203='G-1 All Habitats'!$X$9,W203&gt;0),X203+Y203,IF(AND(P203='G-1 All Habitats'!$X$9,V203&gt;0),X203+Y203,IF(R203="","",H203*J203*L203*O203)))))))))))))))))),"Check Data ▲")</f>
        <v/>
      </c>
      <c r="U203" s="38"/>
      <c r="V203" s="52"/>
      <c r="W203" s="53"/>
      <c r="X203" s="287" t="str">
        <f t="shared" si="20"/>
        <v/>
      </c>
      <c r="Y203" s="287" t="str">
        <f t="shared" si="21"/>
        <v/>
      </c>
      <c r="Z203" s="287" t="str">
        <f t="shared" si="22"/>
        <v/>
      </c>
      <c r="AA203" s="317" t="str">
        <f>IFERROR(IF(AND(E203="Individual trees",G203="Yes",W203&gt;0),"Error - you cannot enhance an irreplaceable tree ▲",(IF(H203="","",IF(H203-V203-W203=0&lt;0,"Error in Areas ▲",IF(V203+W203&gt;H203,"Error in Areas ▲",IF(AND(P203='G-1 All Habitats'!$X$9,AB203="Yes"),"Alternative Compensation ✓",IF(AND(P203='G-1 All Habitats'!$X$3,AB203="Yes"),"Alternative Compensation ✓",IF(AND(AB203="Pending",P203='G-1 All Habitats'!$X$3),"Bespoke compensation must be agreed ▲",IF(AND(AB203="Pending",P203='G-1 All Habitats'!$X$9),"Bespoke compensation must be agreed  ▲",IF(Z203=0,0,IF(P203='G-1 All Habitats'!$X$9,"Any Loss Unacceptable ▲",T203-X203-Y203))))))))))),"Check Data ⚠")</f>
        <v/>
      </c>
      <c r="AB203" s="587"/>
      <c r="AC203" s="105"/>
      <c r="AD203" s="138"/>
      <c r="AE203" s="104"/>
      <c r="AF203" s="611"/>
      <c r="AG203" s="523" t="str">
        <f>IF(OR(P203="",AB203="Yes"),"",IF(P203='G-1 All Habitats'!$X$9,H203-V203-W203,"None"))</f>
        <v/>
      </c>
      <c r="AH203" s="523" t="str">
        <f>IF(P203="","",IF(P203='G-1 All Habitats'!$X$9,AG203*J203*L203*O203,"None"))</f>
        <v/>
      </c>
      <c r="AJ203" s="107" t="str">
        <f t="shared" si="23"/>
        <v/>
      </c>
      <c r="AK203" s="107" t="str">
        <f t="shared" si="27" ref="AK203:AK258">IF(H203="","",IF(W203&gt;0,TRUE,FALSE))</f>
        <v/>
      </c>
      <c r="AL203" s="107" t="str">
        <f>IF(I203="","",IF(#REF!&gt;0,TRUE,FALSE))</f>
        <v/>
      </c>
      <c r="AM203" s="107">
        <v>193</v>
      </c>
      <c r="AN203" s="107"/>
      <c r="AO203" s="107" t="str">
        <f t="array" ref="AO203">IFERROR(INDEX($AM$11:$AM$259,MATCH(0,IF(TRUE=$AJ$11:$AJ$259,COUNTIF($AO$10:$AO202,$AM$11:$AM$259),""),0)),"")</f>
        <v/>
      </c>
      <c r="AP203" s="107" t="str">
        <f t="array" ref="AP203">IFERROR(INDEX($AM$11:$AM$259,MATCH(0,IF(TRUE=$AK$11:$AK$259,COUNTIF($AP$10:$AP202,$AM$11:$AM$259),""),0)),"")</f>
        <v/>
      </c>
      <c r="AQ203" s="107" t="str">
        <f t="array" ref="AQ203">IFERROR(INDEX($AM$11:$AM$259,MATCH(0,IF(TRUE=$AL$11:$AL$259,COUNTIF($AQ$10:$AQ202,$AM$11:$AM$259),""),0)),"")</f>
        <v/>
      </c>
      <c r="AS203" s="885" t="str">
        <f>IF(AND(OR(AB203="Yes",AB203="Pending"),P203='G-1 All Habitats'!$X$3),T203-X203-Y203,"0")</f>
        <v>0</v>
      </c>
      <c r="AT203" s="30" t="str">
        <f t="shared" si="28" ref="AT203:AT258">IF(AB203="Yes","Yes ✓",IF(AB203="","","No ▲"))</f>
        <v/>
      </c>
      <c r="AU203" s="30">
        <f t="shared" si="24"/>
        <v>0</v>
      </c>
      <c r="AV203" s="230" t="str">
        <f>IFERROR(INDEX('G-1 All Habitats'!$B$3:$B$135,MATCH(F203,'G-1 All Habitats'!$A$3:$A$135,0)),"")</f>
        <v/>
      </c>
      <c r="AW203" s="30" t="str">
        <f>IF(AV203="","",VLOOKUP(AV203,'G-1 All Habitats'!$B$1:$T$135,19,FALSE))</f>
        <v/>
      </c>
      <c r="AY203" s="287" t="str">
        <f t="shared" si="25"/>
        <v/>
      </c>
    </row>
    <row r="204" spans="1:51" ht="14">
      <c r="A204" s="30" t="str">
        <f>IFERROR(INDEX('G-1 All Habitats'!$AG$3:$AG$17,MATCH(E204,'G-1 All Habitats'!$AF$3:$AF$17,0)),"")</f>
        <v/>
      </c>
      <c r="B204" s="30" t="str">
        <f>IFERROR(INDEX('G-8 Condition Look up'!$I$4:$I$135,MATCH(AV204,'G-8 Condition Look up'!$A$4:$A$135,0)),"")</f>
        <v/>
      </c>
      <c r="D204" s="97">
        <v>194</v>
      </c>
      <c r="E204" s="262"/>
      <c r="F204" s="263"/>
      <c r="G204" s="133"/>
      <c r="H204" s="115"/>
      <c r="I204" s="509" t="str">
        <f>IF(AV204="","",IF(AND(AW204="Yes",G204="No"),"Irreplaceable habitat ▲",IF(AND(AW204="No",G204="Yes"),"Cannot be Irreplaceable ▲",VLOOKUP(AV204,'G-1 All Habitats'!$B$2:$M$135,10,FALSE))))</f>
        <v/>
      </c>
      <c r="J204" s="377" t="str">
        <f>IFERROR(VLOOKUP(I204,'G-1 All Habitats'!$V$3:$W$7,2,FALSE),"")</f>
        <v/>
      </c>
      <c r="K204" s="101"/>
      <c r="L204" s="276" t="str">
        <f>IFERROR(INDEX('G-8 Condition Look up'!$A$3:$H$135,MATCH(AV204,'G-8 Condition Look up'!$A$3:$A$135,0),MATCH(K204,'G-8 Condition Look up'!$A$3:$H$3,0)),"")</f>
        <v/>
      </c>
      <c r="M204" s="105"/>
      <c r="N204" s="295" t="str">
        <f>IF(M204="","",IF(VLOOKUP(M204,'G-3 Multipliers'!$L$3:$N$6,2,FALSE)=0,"Spatial Data Missing ⚠",VLOOKUP(M204,'G-3 Multipliers'!$L$3:$N$6,2,FALSE)))</f>
        <v/>
      </c>
      <c r="O204" s="353" t="str">
        <f>IF(M204="","",IF(VLOOKUP(M204,'G-3 Multipliers'!$L$3:$N$6,3,FALSE)=0,"Spatial Data Missing ⚠",VLOOKUP(M204,'G-3 Multipliers'!$L$3:$N$6,3,FALSE)))</f>
        <v/>
      </c>
      <c r="P204" s="336" t="str">
        <f>(IF(G204="Yes","Bespoke compensation likely to be required",(IFERROR(VLOOKUP(AV204,'G-1 All Habitats'!$B$2:$M$135,12,FALSE),""))))</f>
        <v/>
      </c>
      <c r="Q204" s="511" t="str">
        <f>IFERROR(IF(P204="","",IF(AND(E204="Individual trees",W204&gt;0,G204="Yes"),"Error - you cannot enhance irreplaceable individual trees ▲",IF(P204='G-1 All Habitats'!$X$9,T204*S204,IF(AND(P204='G-1 All Habitats'!$X$9,W204&gt;0),X204+(Y204*S204),IF(AND(P204='G-1 All Habitats'!$X$9,V204&gt;0),X204+(Y204*S204),IF(AND(P204='G-1 All Habitats'!$X$9,AG204&gt;0),"Any Loss Unacceptable  ⚠",IF(AND(P204='G-1 All Habitats'!$X$9,Z204&gt;0),"Any Loss Unacceptable ⚠",H204*J204*L204*O204*S204))))))),"Check Data ⚠")</f>
        <v/>
      </c>
      <c r="R204" s="393"/>
      <c r="S204" s="510" t="str">
        <f>IF(R204="","",IF(VLOOKUP(R204,'G-3 Multipliers'!$S$3:$T$10,2,FALSE)=0,"Spatial Data Missing ⚠",VLOOKUP(R204,'G-3 Multipliers'!$S$3:$T$10,2,FALSE)))</f>
        <v/>
      </c>
      <c r="T204" s="289" t="str">
        <f>IFERROR(IF(AND(F204&lt;&gt;"",G204=""),"Confirm irreplaceable habitat status ▲",(IF(AND(R204&lt;&gt;"",AF204=""),"Off-site reference required ▲",(IF(AND(E204="Individual trees",W204&gt;0,G204="Yes"),"Error - you cannot enhance irreplaceable individual trees ▲",(IF(AND(X204="Irreplaceable habitat - no units generated ⚠",(W204+V204)&lt;H204,OR(AB204="No",AB204="")),"Any Loss Unacceptable ⚠",(IF(X204="Irreplaceable habitat - no units generated ⚠",W204*J204*L204*O204,IF(AND(P204='G-1 All Habitats'!$X$9,AH204&gt;0,V204&lt;=0,W204&lt;=0,OR(AB204="No",AB204="")),"Any Loss Unacceptable ⚠",IF(AND(P204='G-1 All Habitats'!$X$9,AH204&gt;0,V204&lt;=0,W204&lt;=0),0,(IF(AND(P204='G-1 All Habitats'!$X$9,(W204+V204)&lt;H204,OR(AB204="No",AB204="")),"Any Loss Unacceptable ⚠",(IF(P204="","",IF(AND(P204='G-1 All Habitats'!$X$9,W204&gt;0),X204+Y204,IF(AND(P204='G-1 All Habitats'!$X$9,V204&gt;0),X204+Y204,IF(R204="","",H204*J204*L204*O204)))))))))))))))))),"Check Data ▲")</f>
        <v/>
      </c>
      <c r="U204" s="38"/>
      <c r="V204" s="52"/>
      <c r="W204" s="53"/>
      <c r="X204" s="287" t="str">
        <f t="shared" si="29" ref="X204:X258">IFERROR(IF(G204="Yes","Irreplaceable habitat - no units generated ⚠",(V204*J204*L204*O204)),"")</f>
        <v/>
      </c>
      <c r="Y204" s="287" t="str">
        <f t="shared" si="30" ref="Y204:Y258">IFERROR(IF(AND(E204="Individual trees",W204&gt;0,G204="Yes"),"Error - ▲",(W204*J204*L204*O204)),"")</f>
        <v/>
      </c>
      <c r="Z204" s="287" t="str">
        <f t="shared" si="31" ref="Z204:Z258">IF(E204="","",IF(H204&lt;V204+W204,"Error in Areas ▲",H204-V204-W204))</f>
        <v/>
      </c>
      <c r="AA204" s="317" t="str">
        <f>IFERROR(IF(AND(E204="Individual trees",G204="Yes",W204&gt;0),"Error - you cannot enhance an irreplaceable tree ▲",(IF(H204="","",IF(H204-V204-W204=0&lt;0,"Error in Areas ▲",IF(V204+W204&gt;H204,"Error in Areas ▲",IF(AND(P204='G-1 All Habitats'!$X$9,AB204="Yes"),"Alternative Compensation ✓",IF(AND(P204='G-1 All Habitats'!$X$3,AB204="Yes"),"Alternative Compensation ✓",IF(AND(AB204="Pending",P204='G-1 All Habitats'!$X$3),"Bespoke compensation must be agreed ▲",IF(AND(AB204="Pending",P204='G-1 All Habitats'!$X$9),"Bespoke compensation must be agreed  ▲",IF(Z204=0,0,IF(P204='G-1 All Habitats'!$X$9,"Any Loss Unacceptable ▲",T204-X204-Y204))))))))))),"Check Data ⚠")</f>
        <v/>
      </c>
      <c r="AB204" s="587"/>
      <c r="AC204" s="105"/>
      <c r="AD204" s="138"/>
      <c r="AE204" s="104"/>
      <c r="AF204" s="611"/>
      <c r="AG204" s="523" t="str">
        <f>IF(OR(P204="",AB204="Yes"),"",IF(P204='G-1 All Habitats'!$X$9,H204-V204-W204,"None"))</f>
        <v/>
      </c>
      <c r="AH204" s="523" t="str">
        <f>IF(P204="","",IF(P204='G-1 All Habitats'!$X$9,AG204*J204*L204*O204,"None"))</f>
        <v/>
      </c>
      <c r="AJ204" s="107" t="str">
        <f t="shared" si="32" ref="AJ204:AJ258">IF(AV204="","",IF(V204&gt;0,TRUE,FALSE))</f>
        <v/>
      </c>
      <c r="AK204" s="107" t="str">
        <f t="shared" si="27"/>
        <v/>
      </c>
      <c r="AL204" s="107" t="str">
        <f>IF(I204="","",IF(#REF!&gt;0,TRUE,FALSE))</f>
        <v/>
      </c>
      <c r="AM204" s="107">
        <v>194</v>
      </c>
      <c r="AN204" s="107"/>
      <c r="AO204" s="107" t="str">
        <f t="array" ref="AO204">IFERROR(INDEX($AM$11:$AM$259,MATCH(0,IF(TRUE=$AJ$11:$AJ$259,COUNTIF($AO$10:$AO203,$AM$11:$AM$259),""),0)),"")</f>
        <v/>
      </c>
      <c r="AP204" s="107" t="str">
        <f t="array" ref="AP204">IFERROR(INDEX($AM$11:$AM$259,MATCH(0,IF(TRUE=$AK$11:$AK$259,COUNTIF($AP$10:$AP203,$AM$11:$AM$259),""),0)),"")</f>
        <v/>
      </c>
      <c r="AQ204" s="107" t="str">
        <f t="array" ref="AQ204">IFERROR(INDEX($AM$11:$AM$259,MATCH(0,IF(TRUE=$AL$11:$AL$259,COUNTIF($AQ$10:$AQ203,$AM$11:$AM$259),""),0)),"")</f>
        <v/>
      </c>
      <c r="AS204" s="885" t="str">
        <f>IF(AND(OR(AB204="Yes",AB204="Pending"),P204='G-1 All Habitats'!$X$3),T204-X204-Y204,"0")</f>
        <v>0</v>
      </c>
      <c r="AT204" s="30" t="str">
        <f t="shared" si="28"/>
        <v/>
      </c>
      <c r="AU204" s="30">
        <f t="shared" si="33" ref="AU204:AU258">IF(AA204="Any Loss Unacceptable ▲",1,0)</f>
        <v>0</v>
      </c>
      <c r="AV204" s="230" t="str">
        <f>IFERROR(INDEX('G-1 All Habitats'!$B$3:$B$135,MATCH(F204,'G-1 All Habitats'!$A$3:$A$135,0)),"")</f>
        <v/>
      </c>
      <c r="AW204" s="30" t="str">
        <f>IF(AV204="","",VLOOKUP(AV204,'G-1 All Habitats'!$B$1:$T$135,19,FALSE))</f>
        <v/>
      </c>
      <c r="AY204" s="287" t="str">
        <f t="shared" si="34" ref="AY204:AY258">IFERROR(IF(X204="Irreplaceable habitat - no units generated ⚠","0",(V204*J204*L204*O204*S204)+(AS204*S204)),"")</f>
        <v/>
      </c>
    </row>
    <row r="205" spans="1:51" ht="14">
      <c r="A205" s="30" t="str">
        <f>IFERROR(INDEX('G-1 All Habitats'!$AG$3:$AG$17,MATCH(E205,'G-1 All Habitats'!$AF$3:$AF$17,0)),"")</f>
        <v/>
      </c>
      <c r="B205" s="30" t="str">
        <f>IFERROR(INDEX('G-8 Condition Look up'!$I$4:$I$135,MATCH(AV205,'G-8 Condition Look up'!$A$4:$A$135,0)),"")</f>
        <v/>
      </c>
      <c r="D205" s="97">
        <v>195</v>
      </c>
      <c r="E205" s="262"/>
      <c r="F205" s="263"/>
      <c r="G205" s="133"/>
      <c r="H205" s="115"/>
      <c r="I205" s="509" t="str">
        <f>IF(AV205="","",IF(AND(AW205="Yes",G205="No"),"Irreplaceable habitat ▲",IF(AND(AW205="No",G205="Yes"),"Cannot be Irreplaceable ▲",VLOOKUP(AV205,'G-1 All Habitats'!$B$2:$M$135,10,FALSE))))</f>
        <v/>
      </c>
      <c r="J205" s="377" t="str">
        <f>IFERROR(VLOOKUP(I205,'G-1 All Habitats'!$V$3:$W$7,2,FALSE),"")</f>
        <v/>
      </c>
      <c r="K205" s="101"/>
      <c r="L205" s="276" t="str">
        <f>IFERROR(INDEX('G-8 Condition Look up'!$A$3:$H$135,MATCH(AV205,'G-8 Condition Look up'!$A$3:$A$135,0),MATCH(K205,'G-8 Condition Look up'!$A$3:$H$3,0)),"")</f>
        <v/>
      </c>
      <c r="M205" s="105"/>
      <c r="N205" s="295" t="str">
        <f>IF(M205="","",IF(VLOOKUP(M205,'G-3 Multipliers'!$L$3:$N$6,2,FALSE)=0,"Spatial Data Missing ⚠",VLOOKUP(M205,'G-3 Multipliers'!$L$3:$N$6,2,FALSE)))</f>
        <v/>
      </c>
      <c r="O205" s="353" t="str">
        <f>IF(M205="","",IF(VLOOKUP(M205,'G-3 Multipliers'!$L$3:$N$6,3,FALSE)=0,"Spatial Data Missing ⚠",VLOOKUP(M205,'G-3 Multipliers'!$L$3:$N$6,3,FALSE)))</f>
        <v/>
      </c>
      <c r="P205" s="336" t="str">
        <f>(IF(G205="Yes","Bespoke compensation likely to be required",(IFERROR(VLOOKUP(AV205,'G-1 All Habitats'!$B$2:$M$135,12,FALSE),""))))</f>
        <v/>
      </c>
      <c r="Q205" s="511" t="str">
        <f>IFERROR(IF(P205="","",IF(AND(E205="Individual trees",W205&gt;0,G205="Yes"),"Error - you cannot enhance irreplaceable individual trees ▲",IF(P205='G-1 All Habitats'!$X$9,T205*S205,IF(AND(P205='G-1 All Habitats'!$X$9,W205&gt;0),X205+(Y205*S205),IF(AND(P205='G-1 All Habitats'!$X$9,V205&gt;0),X205+(Y205*S205),IF(AND(P205='G-1 All Habitats'!$X$9,AG205&gt;0),"Any Loss Unacceptable  ⚠",IF(AND(P205='G-1 All Habitats'!$X$9,Z205&gt;0),"Any Loss Unacceptable ⚠",H205*J205*L205*O205*S205))))))),"Check Data ⚠")</f>
        <v/>
      </c>
      <c r="R205" s="393"/>
      <c r="S205" s="510" t="str">
        <f>IF(R205="","",IF(VLOOKUP(R205,'G-3 Multipliers'!$S$3:$T$10,2,FALSE)=0,"Spatial Data Missing ⚠",VLOOKUP(R205,'G-3 Multipliers'!$S$3:$T$10,2,FALSE)))</f>
        <v/>
      </c>
      <c r="T205" s="289" t="str">
        <f>IFERROR(IF(AND(F205&lt;&gt;"",G205=""),"Confirm irreplaceable habitat status ▲",(IF(AND(R205&lt;&gt;"",AF205=""),"Off-site reference required ▲",(IF(AND(E205="Individual trees",W205&gt;0,G205="Yes"),"Error - you cannot enhance irreplaceable individual trees ▲",(IF(AND(X205="Irreplaceable habitat - no units generated ⚠",(W205+V205)&lt;H205,OR(AB205="No",AB205="")),"Any Loss Unacceptable ⚠",(IF(X205="Irreplaceable habitat - no units generated ⚠",W205*J205*L205*O205,IF(AND(P205='G-1 All Habitats'!$X$9,AH205&gt;0,V205&lt;=0,W205&lt;=0,OR(AB205="No",AB205="")),"Any Loss Unacceptable ⚠",IF(AND(P205='G-1 All Habitats'!$X$9,AH205&gt;0,V205&lt;=0,W205&lt;=0),0,(IF(AND(P205='G-1 All Habitats'!$X$9,(W205+V205)&lt;H205,OR(AB205="No",AB205="")),"Any Loss Unacceptable ⚠",(IF(P205="","",IF(AND(P205='G-1 All Habitats'!$X$9,W205&gt;0),X205+Y205,IF(AND(P205='G-1 All Habitats'!$X$9,V205&gt;0),X205+Y205,IF(R205="","",H205*J205*L205*O205)))))))))))))))))),"Check Data ▲")</f>
        <v/>
      </c>
      <c r="U205" s="38"/>
      <c r="V205" s="52"/>
      <c r="W205" s="53"/>
      <c r="X205" s="287" t="str">
        <f t="shared" si="29"/>
        <v/>
      </c>
      <c r="Y205" s="287" t="str">
        <f t="shared" si="30"/>
        <v/>
      </c>
      <c r="Z205" s="287" t="str">
        <f t="shared" si="31"/>
        <v/>
      </c>
      <c r="AA205" s="317" t="str">
        <f>IFERROR(IF(AND(E205="Individual trees",G205="Yes",W205&gt;0),"Error - you cannot enhance an irreplaceable tree ▲",(IF(H205="","",IF(H205-V205-W205=0&lt;0,"Error in Areas ▲",IF(V205+W205&gt;H205,"Error in Areas ▲",IF(AND(P205='G-1 All Habitats'!$X$9,AB205="Yes"),"Alternative Compensation ✓",IF(AND(P205='G-1 All Habitats'!$X$3,AB205="Yes"),"Alternative Compensation ✓",IF(AND(AB205="Pending",P205='G-1 All Habitats'!$X$3),"Bespoke compensation must be agreed ▲",IF(AND(AB205="Pending",P205='G-1 All Habitats'!$X$9),"Bespoke compensation must be agreed  ▲",IF(Z205=0,0,IF(P205='G-1 All Habitats'!$X$9,"Any Loss Unacceptable ▲",T205-X205-Y205))))))))))),"Check Data ⚠")</f>
        <v/>
      </c>
      <c r="AB205" s="587"/>
      <c r="AC205" s="105"/>
      <c r="AD205" s="138"/>
      <c r="AE205" s="104"/>
      <c r="AF205" s="611"/>
      <c r="AG205" s="523" t="str">
        <f>IF(OR(P205="",AB205="Yes"),"",IF(P205='G-1 All Habitats'!$X$9,H205-V205-W205,"None"))</f>
        <v/>
      </c>
      <c r="AH205" s="523" t="str">
        <f>IF(P205="","",IF(P205='G-1 All Habitats'!$X$9,AG205*J205*L205*O205,"None"))</f>
        <v/>
      </c>
      <c r="AJ205" s="107" t="str">
        <f t="shared" si="32"/>
        <v/>
      </c>
      <c r="AK205" s="107" t="str">
        <f t="shared" si="27"/>
        <v/>
      </c>
      <c r="AL205" s="107" t="str">
        <f>IF(I205="","",IF(#REF!&gt;0,TRUE,FALSE))</f>
        <v/>
      </c>
      <c r="AM205" s="107">
        <v>195</v>
      </c>
      <c r="AN205" s="107"/>
      <c r="AO205" s="107" t="str">
        <f t="array" ref="AO205">IFERROR(INDEX($AM$11:$AM$259,MATCH(0,IF(TRUE=$AJ$11:$AJ$259,COUNTIF($AO$10:$AO204,$AM$11:$AM$259),""),0)),"")</f>
        <v/>
      </c>
      <c r="AP205" s="107" t="str">
        <f t="array" ref="AP205">IFERROR(INDEX($AM$11:$AM$259,MATCH(0,IF(TRUE=$AK$11:$AK$259,COUNTIF($AP$10:$AP204,$AM$11:$AM$259),""),0)),"")</f>
        <v/>
      </c>
      <c r="AQ205" s="107" t="str">
        <f t="array" ref="AQ205">IFERROR(INDEX($AM$11:$AM$259,MATCH(0,IF(TRUE=$AL$11:$AL$259,COUNTIF($AQ$10:$AQ204,$AM$11:$AM$259),""),0)),"")</f>
        <v/>
      </c>
      <c r="AS205" s="885" t="str">
        <f>IF(AND(OR(AB205="Yes",AB205="Pending"),P205='G-1 All Habitats'!$X$3),T205-X205-Y205,"0")</f>
        <v>0</v>
      </c>
      <c r="AT205" s="30" t="str">
        <f t="shared" si="28"/>
        <v/>
      </c>
      <c r="AU205" s="30">
        <f t="shared" si="33"/>
        <v>0</v>
      </c>
      <c r="AV205" s="230" t="str">
        <f>IFERROR(INDEX('G-1 All Habitats'!$B$3:$B$135,MATCH(F205,'G-1 All Habitats'!$A$3:$A$135,0)),"")</f>
        <v/>
      </c>
      <c r="AW205" s="30" t="str">
        <f>IF(AV205="","",VLOOKUP(AV205,'G-1 All Habitats'!$B$1:$T$135,19,FALSE))</f>
        <v/>
      </c>
      <c r="AY205" s="287" t="str">
        <f t="shared" si="34"/>
        <v/>
      </c>
    </row>
    <row r="206" spans="1:51" ht="14">
      <c r="A206" s="30" t="str">
        <f>IFERROR(INDEX('G-1 All Habitats'!$AG$3:$AG$17,MATCH(E206,'G-1 All Habitats'!$AF$3:$AF$17,0)),"")</f>
        <v/>
      </c>
      <c r="B206" s="30" t="str">
        <f>IFERROR(INDEX('G-8 Condition Look up'!$I$4:$I$135,MATCH(AV206,'G-8 Condition Look up'!$A$4:$A$135,0)),"")</f>
        <v/>
      </c>
      <c r="D206" s="97">
        <v>196</v>
      </c>
      <c r="E206" s="262"/>
      <c r="F206" s="263"/>
      <c r="G206" s="133"/>
      <c r="H206" s="115"/>
      <c r="I206" s="509" t="str">
        <f>IF(AV206="","",IF(AND(AW206="Yes",G206="No"),"Irreplaceable habitat ▲",IF(AND(AW206="No",G206="Yes"),"Cannot be Irreplaceable ▲",VLOOKUP(AV206,'G-1 All Habitats'!$B$2:$M$135,10,FALSE))))</f>
        <v/>
      </c>
      <c r="J206" s="377" t="str">
        <f>IFERROR(VLOOKUP(I206,'G-1 All Habitats'!$V$3:$W$7,2,FALSE),"")</f>
        <v/>
      </c>
      <c r="K206" s="101"/>
      <c r="L206" s="276" t="str">
        <f>IFERROR(INDEX('G-8 Condition Look up'!$A$3:$H$135,MATCH(AV206,'G-8 Condition Look up'!$A$3:$A$135,0),MATCH(K206,'G-8 Condition Look up'!$A$3:$H$3,0)),"")</f>
        <v/>
      </c>
      <c r="M206" s="105"/>
      <c r="N206" s="295" t="str">
        <f>IF(M206="","",IF(VLOOKUP(M206,'G-3 Multipliers'!$L$3:$N$6,2,FALSE)=0,"Spatial Data Missing ⚠",VLOOKUP(M206,'G-3 Multipliers'!$L$3:$N$6,2,FALSE)))</f>
        <v/>
      </c>
      <c r="O206" s="353" t="str">
        <f>IF(M206="","",IF(VLOOKUP(M206,'G-3 Multipliers'!$L$3:$N$6,3,FALSE)=0,"Spatial Data Missing ⚠",VLOOKUP(M206,'G-3 Multipliers'!$L$3:$N$6,3,FALSE)))</f>
        <v/>
      </c>
      <c r="P206" s="336" t="str">
        <f>(IF(G206="Yes","Bespoke compensation likely to be required",(IFERROR(VLOOKUP(AV206,'G-1 All Habitats'!$B$2:$M$135,12,FALSE),""))))</f>
        <v/>
      </c>
      <c r="Q206" s="511" t="str">
        <f>IFERROR(IF(P206="","",IF(AND(E206="Individual trees",W206&gt;0,G206="Yes"),"Error - you cannot enhance irreplaceable individual trees ▲",IF(P206='G-1 All Habitats'!$X$9,T206*S206,IF(AND(P206='G-1 All Habitats'!$X$9,W206&gt;0),X206+(Y206*S206),IF(AND(P206='G-1 All Habitats'!$X$9,V206&gt;0),X206+(Y206*S206),IF(AND(P206='G-1 All Habitats'!$X$9,AG206&gt;0),"Any Loss Unacceptable  ⚠",IF(AND(P206='G-1 All Habitats'!$X$9,Z206&gt;0),"Any Loss Unacceptable ⚠",H206*J206*L206*O206*S206))))))),"Check Data ⚠")</f>
        <v/>
      </c>
      <c r="R206" s="393"/>
      <c r="S206" s="510" t="str">
        <f>IF(R206="","",IF(VLOOKUP(R206,'G-3 Multipliers'!$S$3:$T$10,2,FALSE)=0,"Spatial Data Missing ⚠",VLOOKUP(R206,'G-3 Multipliers'!$S$3:$T$10,2,FALSE)))</f>
        <v/>
      </c>
      <c r="T206" s="289" t="str">
        <f>IFERROR(IF(AND(F206&lt;&gt;"",G206=""),"Confirm irreplaceable habitat status ▲",(IF(AND(R206&lt;&gt;"",AF206=""),"Off-site reference required ▲",(IF(AND(E206="Individual trees",W206&gt;0,G206="Yes"),"Error - you cannot enhance irreplaceable individual trees ▲",(IF(AND(X206="Irreplaceable habitat - no units generated ⚠",(W206+V206)&lt;H206,OR(AB206="No",AB206="")),"Any Loss Unacceptable ⚠",(IF(X206="Irreplaceable habitat - no units generated ⚠",W206*J206*L206*O206,IF(AND(P206='G-1 All Habitats'!$X$9,AH206&gt;0,V206&lt;=0,W206&lt;=0,OR(AB206="No",AB206="")),"Any Loss Unacceptable ⚠",IF(AND(P206='G-1 All Habitats'!$X$9,AH206&gt;0,V206&lt;=0,W206&lt;=0),0,(IF(AND(P206='G-1 All Habitats'!$X$9,(W206+V206)&lt;H206,OR(AB206="No",AB206="")),"Any Loss Unacceptable ⚠",(IF(P206="","",IF(AND(P206='G-1 All Habitats'!$X$9,W206&gt;0),X206+Y206,IF(AND(P206='G-1 All Habitats'!$X$9,V206&gt;0),X206+Y206,IF(R206="","",H206*J206*L206*O206)))))))))))))))))),"Check Data ▲")</f>
        <v/>
      </c>
      <c r="U206" s="38"/>
      <c r="V206" s="52"/>
      <c r="W206" s="53"/>
      <c r="X206" s="287" t="str">
        <f t="shared" si="29"/>
        <v/>
      </c>
      <c r="Y206" s="287" t="str">
        <f t="shared" si="30"/>
        <v/>
      </c>
      <c r="Z206" s="287" t="str">
        <f t="shared" si="31"/>
        <v/>
      </c>
      <c r="AA206" s="317" t="str">
        <f>IFERROR(IF(AND(E206="Individual trees",G206="Yes",W206&gt;0),"Error - you cannot enhance an irreplaceable tree ▲",(IF(H206="","",IF(H206-V206-W206=0&lt;0,"Error in Areas ▲",IF(V206+W206&gt;H206,"Error in Areas ▲",IF(AND(P206='G-1 All Habitats'!$X$9,AB206="Yes"),"Alternative Compensation ✓",IF(AND(P206='G-1 All Habitats'!$X$3,AB206="Yes"),"Alternative Compensation ✓",IF(AND(AB206="Pending",P206='G-1 All Habitats'!$X$3),"Bespoke compensation must be agreed ▲",IF(AND(AB206="Pending",P206='G-1 All Habitats'!$X$9),"Bespoke compensation must be agreed  ▲",IF(Z206=0,0,IF(P206='G-1 All Habitats'!$X$9,"Any Loss Unacceptable ▲",T206-X206-Y206))))))))))),"Check Data ⚠")</f>
        <v/>
      </c>
      <c r="AB206" s="587"/>
      <c r="AC206" s="105"/>
      <c r="AD206" s="138"/>
      <c r="AE206" s="104"/>
      <c r="AF206" s="611"/>
      <c r="AG206" s="523" t="str">
        <f>IF(OR(P206="",AB206="Yes"),"",IF(P206='G-1 All Habitats'!$X$9,H206-V206-W206,"None"))</f>
        <v/>
      </c>
      <c r="AH206" s="523" t="str">
        <f>IF(P206="","",IF(P206='G-1 All Habitats'!$X$9,AG206*J206*L206*O206,"None"))</f>
        <v/>
      </c>
      <c r="AJ206" s="107" t="str">
        <f t="shared" si="32"/>
        <v/>
      </c>
      <c r="AK206" s="107" t="str">
        <f t="shared" si="27"/>
        <v/>
      </c>
      <c r="AL206" s="107" t="str">
        <f>IF(I206="","",IF(#REF!&gt;0,TRUE,FALSE))</f>
        <v/>
      </c>
      <c r="AM206" s="107">
        <v>196</v>
      </c>
      <c r="AN206" s="107"/>
      <c r="AO206" s="107" t="str">
        <f t="array" ref="AO206">IFERROR(INDEX($AM$11:$AM$259,MATCH(0,IF(TRUE=$AJ$11:$AJ$259,COUNTIF($AO$10:$AO205,$AM$11:$AM$259),""),0)),"")</f>
        <v/>
      </c>
      <c r="AP206" s="107" t="str">
        <f t="array" ref="AP206">IFERROR(INDEX($AM$11:$AM$259,MATCH(0,IF(TRUE=$AK$11:$AK$259,COUNTIF($AP$10:$AP205,$AM$11:$AM$259),""),0)),"")</f>
        <v/>
      </c>
      <c r="AQ206" s="107" t="str">
        <f t="array" ref="AQ206">IFERROR(INDEX($AM$11:$AM$259,MATCH(0,IF(TRUE=$AL$11:$AL$259,COUNTIF($AQ$10:$AQ205,$AM$11:$AM$259),""),0)),"")</f>
        <v/>
      </c>
      <c r="AS206" s="885" t="str">
        <f>IF(AND(OR(AB206="Yes",AB206="Pending"),P206='G-1 All Habitats'!$X$3),T206-X206-Y206,"0")</f>
        <v>0</v>
      </c>
      <c r="AT206" s="30" t="str">
        <f t="shared" si="28"/>
        <v/>
      </c>
      <c r="AU206" s="30">
        <f t="shared" si="33"/>
        <v>0</v>
      </c>
      <c r="AV206" s="230" t="str">
        <f>IFERROR(INDEX('G-1 All Habitats'!$B$3:$B$135,MATCH(F206,'G-1 All Habitats'!$A$3:$A$135,0)),"")</f>
        <v/>
      </c>
      <c r="AW206" s="30" t="str">
        <f>IF(AV206="","",VLOOKUP(AV206,'G-1 All Habitats'!$B$1:$T$135,19,FALSE))</f>
        <v/>
      </c>
      <c r="AY206" s="287" t="str">
        <f t="shared" si="34"/>
        <v/>
      </c>
    </row>
    <row r="207" spans="1:51" ht="14">
      <c r="A207" s="30" t="str">
        <f>IFERROR(INDEX('G-1 All Habitats'!$AG$3:$AG$17,MATCH(E207,'G-1 All Habitats'!$AF$3:$AF$17,0)),"")</f>
        <v/>
      </c>
      <c r="B207" s="30" t="str">
        <f>IFERROR(INDEX('G-8 Condition Look up'!$I$4:$I$135,MATCH(AV207,'G-8 Condition Look up'!$A$4:$A$135,0)),"")</f>
        <v/>
      </c>
      <c r="D207" s="97">
        <v>197</v>
      </c>
      <c r="E207" s="262"/>
      <c r="F207" s="263"/>
      <c r="G207" s="133"/>
      <c r="H207" s="115"/>
      <c r="I207" s="509" t="str">
        <f>IF(AV207="","",IF(AND(AW207="Yes",G207="No"),"Irreplaceable habitat ▲",IF(AND(AW207="No",G207="Yes"),"Cannot be Irreplaceable ▲",VLOOKUP(AV207,'G-1 All Habitats'!$B$2:$M$135,10,FALSE))))</f>
        <v/>
      </c>
      <c r="J207" s="377" t="str">
        <f>IFERROR(VLOOKUP(I207,'G-1 All Habitats'!$V$3:$W$7,2,FALSE),"")</f>
        <v/>
      </c>
      <c r="K207" s="101"/>
      <c r="L207" s="276" t="str">
        <f>IFERROR(INDEX('G-8 Condition Look up'!$A$3:$H$135,MATCH(AV207,'G-8 Condition Look up'!$A$3:$A$135,0),MATCH(K207,'G-8 Condition Look up'!$A$3:$H$3,0)),"")</f>
        <v/>
      </c>
      <c r="M207" s="105"/>
      <c r="N207" s="295" t="str">
        <f>IF(M207="","",IF(VLOOKUP(M207,'G-3 Multipliers'!$L$3:$N$6,2,FALSE)=0,"Spatial Data Missing ⚠",VLOOKUP(M207,'G-3 Multipliers'!$L$3:$N$6,2,FALSE)))</f>
        <v/>
      </c>
      <c r="O207" s="353" t="str">
        <f>IF(M207="","",IF(VLOOKUP(M207,'G-3 Multipliers'!$L$3:$N$6,3,FALSE)=0,"Spatial Data Missing ⚠",VLOOKUP(M207,'G-3 Multipliers'!$L$3:$N$6,3,FALSE)))</f>
        <v/>
      </c>
      <c r="P207" s="336" t="str">
        <f>(IF(G207="Yes","Bespoke compensation likely to be required",(IFERROR(VLOOKUP(AV207,'G-1 All Habitats'!$B$2:$M$135,12,FALSE),""))))</f>
        <v/>
      </c>
      <c r="Q207" s="511" t="str">
        <f>IFERROR(IF(P207="","",IF(AND(E207="Individual trees",W207&gt;0,G207="Yes"),"Error - you cannot enhance irreplaceable individual trees ▲",IF(P207='G-1 All Habitats'!$X$9,T207*S207,IF(AND(P207='G-1 All Habitats'!$X$9,W207&gt;0),X207+(Y207*S207),IF(AND(P207='G-1 All Habitats'!$X$9,V207&gt;0),X207+(Y207*S207),IF(AND(P207='G-1 All Habitats'!$X$9,AG207&gt;0),"Any Loss Unacceptable  ⚠",IF(AND(P207='G-1 All Habitats'!$X$9,Z207&gt;0),"Any Loss Unacceptable ⚠",H207*J207*L207*O207*S207))))))),"Check Data ⚠")</f>
        <v/>
      </c>
      <c r="R207" s="393"/>
      <c r="S207" s="510" t="str">
        <f>IF(R207="","",IF(VLOOKUP(R207,'G-3 Multipliers'!$S$3:$T$10,2,FALSE)=0,"Spatial Data Missing ⚠",VLOOKUP(R207,'G-3 Multipliers'!$S$3:$T$10,2,FALSE)))</f>
        <v/>
      </c>
      <c r="T207" s="289" t="str">
        <f>IFERROR(IF(AND(F207&lt;&gt;"",G207=""),"Confirm irreplaceable habitat status ▲",(IF(AND(R207&lt;&gt;"",AF207=""),"Off-site reference required ▲",(IF(AND(E207="Individual trees",W207&gt;0,G207="Yes"),"Error - you cannot enhance irreplaceable individual trees ▲",(IF(AND(X207="Irreplaceable habitat - no units generated ⚠",(W207+V207)&lt;H207,OR(AB207="No",AB207="")),"Any Loss Unacceptable ⚠",(IF(X207="Irreplaceable habitat - no units generated ⚠",W207*J207*L207*O207,IF(AND(P207='G-1 All Habitats'!$X$9,AH207&gt;0,V207&lt;=0,W207&lt;=0,OR(AB207="No",AB207="")),"Any Loss Unacceptable ⚠",IF(AND(P207='G-1 All Habitats'!$X$9,AH207&gt;0,V207&lt;=0,W207&lt;=0),0,(IF(AND(P207='G-1 All Habitats'!$X$9,(W207+V207)&lt;H207,OR(AB207="No",AB207="")),"Any Loss Unacceptable ⚠",(IF(P207="","",IF(AND(P207='G-1 All Habitats'!$X$9,W207&gt;0),X207+Y207,IF(AND(P207='G-1 All Habitats'!$X$9,V207&gt;0),X207+Y207,IF(R207="","",H207*J207*L207*O207)))))))))))))))))),"Check Data ▲")</f>
        <v/>
      </c>
      <c r="U207" s="38"/>
      <c r="V207" s="52"/>
      <c r="W207" s="53"/>
      <c r="X207" s="287" t="str">
        <f t="shared" si="29"/>
        <v/>
      </c>
      <c r="Y207" s="287" t="str">
        <f t="shared" si="30"/>
        <v/>
      </c>
      <c r="Z207" s="287" t="str">
        <f t="shared" si="31"/>
        <v/>
      </c>
      <c r="AA207" s="317" t="str">
        <f>IFERROR(IF(AND(E207="Individual trees",G207="Yes",W207&gt;0),"Error - you cannot enhance an irreplaceable tree ▲",(IF(H207="","",IF(H207-V207-W207=0&lt;0,"Error in Areas ▲",IF(V207+W207&gt;H207,"Error in Areas ▲",IF(AND(P207='G-1 All Habitats'!$X$9,AB207="Yes"),"Alternative Compensation ✓",IF(AND(P207='G-1 All Habitats'!$X$3,AB207="Yes"),"Alternative Compensation ✓",IF(AND(AB207="Pending",P207='G-1 All Habitats'!$X$3),"Bespoke compensation must be agreed ▲",IF(AND(AB207="Pending",P207='G-1 All Habitats'!$X$9),"Bespoke compensation must be agreed  ▲",IF(Z207=0,0,IF(P207='G-1 All Habitats'!$X$9,"Any Loss Unacceptable ▲",T207-X207-Y207))))))))))),"Check Data ⚠")</f>
        <v/>
      </c>
      <c r="AB207" s="587"/>
      <c r="AC207" s="105"/>
      <c r="AD207" s="138"/>
      <c r="AE207" s="104"/>
      <c r="AF207" s="611"/>
      <c r="AG207" s="523" t="str">
        <f>IF(OR(P207="",AB207="Yes"),"",IF(P207='G-1 All Habitats'!$X$9,H207-V207-W207,"None"))</f>
        <v/>
      </c>
      <c r="AH207" s="523" t="str">
        <f>IF(P207="","",IF(P207='G-1 All Habitats'!$X$9,AG207*J207*L207*O207,"None"))</f>
        <v/>
      </c>
      <c r="AJ207" s="107" t="str">
        <f t="shared" si="32"/>
        <v/>
      </c>
      <c r="AK207" s="107" t="str">
        <f t="shared" si="27"/>
        <v/>
      </c>
      <c r="AL207" s="107" t="str">
        <f>IF(I207="","",IF(#REF!&gt;0,TRUE,FALSE))</f>
        <v/>
      </c>
      <c r="AM207" s="107">
        <v>197</v>
      </c>
      <c r="AN207" s="107"/>
      <c r="AO207" s="107" t="str">
        <f t="array" ref="AO207">IFERROR(INDEX($AM$11:$AM$259,MATCH(0,IF(TRUE=$AJ$11:$AJ$259,COUNTIF($AO$10:$AO206,$AM$11:$AM$259),""),0)),"")</f>
        <v/>
      </c>
      <c r="AP207" s="107" t="str">
        <f t="array" ref="AP207">IFERROR(INDEX($AM$11:$AM$259,MATCH(0,IF(TRUE=$AK$11:$AK$259,COUNTIF($AP$10:$AP206,$AM$11:$AM$259),""),0)),"")</f>
        <v/>
      </c>
      <c r="AQ207" s="107" t="str">
        <f t="array" ref="AQ207">IFERROR(INDEX($AM$11:$AM$259,MATCH(0,IF(TRUE=$AL$11:$AL$259,COUNTIF($AQ$10:$AQ206,$AM$11:$AM$259),""),0)),"")</f>
        <v/>
      </c>
      <c r="AS207" s="885" t="str">
        <f>IF(AND(OR(AB207="Yes",AB207="Pending"),P207='G-1 All Habitats'!$X$3),T207-X207-Y207,"0")</f>
        <v>0</v>
      </c>
      <c r="AT207" s="30" t="str">
        <f t="shared" si="28"/>
        <v/>
      </c>
      <c r="AU207" s="30">
        <f t="shared" si="33"/>
        <v>0</v>
      </c>
      <c r="AV207" s="230" t="str">
        <f>IFERROR(INDEX('G-1 All Habitats'!$B$3:$B$135,MATCH(F207,'G-1 All Habitats'!$A$3:$A$135,0)),"")</f>
        <v/>
      </c>
      <c r="AW207" s="30" t="str">
        <f>IF(AV207="","",VLOOKUP(AV207,'G-1 All Habitats'!$B$1:$T$135,19,FALSE))</f>
        <v/>
      </c>
      <c r="AY207" s="287" t="str">
        <f t="shared" si="34"/>
        <v/>
      </c>
    </row>
    <row r="208" spans="1:51" ht="14">
      <c r="A208" s="30" t="str">
        <f>IFERROR(INDEX('G-1 All Habitats'!$AG$3:$AG$17,MATCH(E208,'G-1 All Habitats'!$AF$3:$AF$17,0)),"")</f>
        <v/>
      </c>
      <c r="B208" s="30" t="str">
        <f>IFERROR(INDEX('G-8 Condition Look up'!$I$4:$I$135,MATCH(AV208,'G-8 Condition Look up'!$A$4:$A$135,0)),"")</f>
        <v/>
      </c>
      <c r="D208" s="97">
        <v>198</v>
      </c>
      <c r="E208" s="262"/>
      <c r="F208" s="263"/>
      <c r="G208" s="133"/>
      <c r="H208" s="115"/>
      <c r="I208" s="509" t="str">
        <f>IF(AV208="","",IF(AND(AW208="Yes",G208="No"),"Irreplaceable habitat ▲",IF(AND(AW208="No",G208="Yes"),"Cannot be Irreplaceable ▲",VLOOKUP(AV208,'G-1 All Habitats'!$B$2:$M$135,10,FALSE))))</f>
        <v/>
      </c>
      <c r="J208" s="377" t="str">
        <f>IFERROR(VLOOKUP(I208,'G-1 All Habitats'!$V$3:$W$7,2,FALSE),"")</f>
        <v/>
      </c>
      <c r="K208" s="101"/>
      <c r="L208" s="276" t="str">
        <f>IFERROR(INDEX('G-8 Condition Look up'!$A$3:$H$135,MATCH(AV208,'G-8 Condition Look up'!$A$3:$A$135,0),MATCH(K208,'G-8 Condition Look up'!$A$3:$H$3,0)),"")</f>
        <v/>
      </c>
      <c r="M208" s="105"/>
      <c r="N208" s="295" t="str">
        <f>IF(M208="","",IF(VLOOKUP(M208,'G-3 Multipliers'!$L$3:$N$6,2,FALSE)=0,"Spatial Data Missing ⚠",VLOOKUP(M208,'G-3 Multipliers'!$L$3:$N$6,2,FALSE)))</f>
        <v/>
      </c>
      <c r="O208" s="353" t="str">
        <f>IF(M208="","",IF(VLOOKUP(M208,'G-3 Multipliers'!$L$3:$N$6,3,FALSE)=0,"Spatial Data Missing ⚠",VLOOKUP(M208,'G-3 Multipliers'!$L$3:$N$6,3,FALSE)))</f>
        <v/>
      </c>
      <c r="P208" s="336" t="str">
        <f>(IF(G208="Yes","Bespoke compensation likely to be required",(IFERROR(VLOOKUP(AV208,'G-1 All Habitats'!$B$2:$M$135,12,FALSE),""))))</f>
        <v/>
      </c>
      <c r="Q208" s="511" t="str">
        <f>IFERROR(IF(P208="","",IF(AND(E208="Individual trees",W208&gt;0,G208="Yes"),"Error - you cannot enhance irreplaceable individual trees ▲",IF(P208='G-1 All Habitats'!$X$9,T208*S208,IF(AND(P208='G-1 All Habitats'!$X$9,W208&gt;0),X208+(Y208*S208),IF(AND(P208='G-1 All Habitats'!$X$9,V208&gt;0),X208+(Y208*S208),IF(AND(P208='G-1 All Habitats'!$X$9,AG208&gt;0),"Any Loss Unacceptable  ⚠",IF(AND(P208='G-1 All Habitats'!$X$9,Z208&gt;0),"Any Loss Unacceptable ⚠",H208*J208*L208*O208*S208))))))),"Check Data ⚠")</f>
        <v/>
      </c>
      <c r="R208" s="393"/>
      <c r="S208" s="510" t="str">
        <f>IF(R208="","",IF(VLOOKUP(R208,'G-3 Multipliers'!$S$3:$T$10,2,FALSE)=0,"Spatial Data Missing ⚠",VLOOKUP(R208,'G-3 Multipliers'!$S$3:$T$10,2,FALSE)))</f>
        <v/>
      </c>
      <c r="T208" s="289" t="str">
        <f>IFERROR(IF(AND(F208&lt;&gt;"",G208=""),"Confirm irreplaceable habitat status ▲",(IF(AND(R208&lt;&gt;"",AF208=""),"Off-site reference required ▲",(IF(AND(E208="Individual trees",W208&gt;0,G208="Yes"),"Error - you cannot enhance irreplaceable individual trees ▲",(IF(AND(X208="Irreplaceable habitat - no units generated ⚠",(W208+V208)&lt;H208,OR(AB208="No",AB208="")),"Any Loss Unacceptable ⚠",(IF(X208="Irreplaceable habitat - no units generated ⚠",W208*J208*L208*O208,IF(AND(P208='G-1 All Habitats'!$X$9,AH208&gt;0,V208&lt;=0,W208&lt;=0,OR(AB208="No",AB208="")),"Any Loss Unacceptable ⚠",IF(AND(P208='G-1 All Habitats'!$X$9,AH208&gt;0,V208&lt;=0,W208&lt;=0),0,(IF(AND(P208='G-1 All Habitats'!$X$9,(W208+V208)&lt;H208,OR(AB208="No",AB208="")),"Any Loss Unacceptable ⚠",(IF(P208="","",IF(AND(P208='G-1 All Habitats'!$X$9,W208&gt;0),X208+Y208,IF(AND(P208='G-1 All Habitats'!$X$9,V208&gt;0),X208+Y208,IF(R208="","",H208*J208*L208*O208)))))))))))))))))),"Check Data ▲")</f>
        <v/>
      </c>
      <c r="U208" s="38"/>
      <c r="V208" s="52"/>
      <c r="W208" s="53"/>
      <c r="X208" s="287" t="str">
        <f t="shared" si="29"/>
        <v/>
      </c>
      <c r="Y208" s="287" t="str">
        <f t="shared" si="30"/>
        <v/>
      </c>
      <c r="Z208" s="287" t="str">
        <f t="shared" si="31"/>
        <v/>
      </c>
      <c r="AA208" s="317" t="str">
        <f>IFERROR(IF(AND(E208="Individual trees",G208="Yes",W208&gt;0),"Error - you cannot enhance an irreplaceable tree ▲",(IF(H208="","",IF(H208-V208-W208=0&lt;0,"Error in Areas ▲",IF(V208+W208&gt;H208,"Error in Areas ▲",IF(AND(P208='G-1 All Habitats'!$X$9,AB208="Yes"),"Alternative Compensation ✓",IF(AND(P208='G-1 All Habitats'!$X$3,AB208="Yes"),"Alternative Compensation ✓",IF(AND(AB208="Pending",P208='G-1 All Habitats'!$X$3),"Bespoke compensation must be agreed ▲",IF(AND(AB208="Pending",P208='G-1 All Habitats'!$X$9),"Bespoke compensation must be agreed  ▲",IF(Z208=0,0,IF(P208='G-1 All Habitats'!$X$9,"Any Loss Unacceptable ▲",T208-X208-Y208))))))))))),"Check Data ⚠")</f>
        <v/>
      </c>
      <c r="AB208" s="587"/>
      <c r="AC208" s="105"/>
      <c r="AD208" s="138"/>
      <c r="AE208" s="104"/>
      <c r="AF208" s="611"/>
      <c r="AG208" s="523" t="str">
        <f>IF(OR(P208="",AB208="Yes"),"",IF(P208='G-1 All Habitats'!$X$9,H208-V208-W208,"None"))</f>
        <v/>
      </c>
      <c r="AH208" s="523" t="str">
        <f>IF(P208="","",IF(P208='G-1 All Habitats'!$X$9,AG208*J208*L208*O208,"None"))</f>
        <v/>
      </c>
      <c r="AJ208" s="107" t="str">
        <f t="shared" si="32"/>
        <v/>
      </c>
      <c r="AK208" s="107" t="str">
        <f t="shared" si="27"/>
        <v/>
      </c>
      <c r="AL208" s="107" t="str">
        <f>IF(I208="","",IF(#REF!&gt;0,TRUE,FALSE))</f>
        <v/>
      </c>
      <c r="AM208" s="107">
        <v>198</v>
      </c>
      <c r="AN208" s="107"/>
      <c r="AO208" s="107" t="str">
        <f t="array" ref="AO208">IFERROR(INDEX($AM$11:$AM$259,MATCH(0,IF(TRUE=$AJ$11:$AJ$259,COUNTIF($AO$10:$AO207,$AM$11:$AM$259),""),0)),"")</f>
        <v/>
      </c>
      <c r="AP208" s="107" t="str">
        <f t="array" ref="AP208">IFERROR(INDEX($AM$11:$AM$259,MATCH(0,IF(TRUE=$AK$11:$AK$259,COUNTIF($AP$10:$AP207,$AM$11:$AM$259),""),0)),"")</f>
        <v/>
      </c>
      <c r="AQ208" s="107" t="str">
        <f t="array" ref="AQ208">IFERROR(INDEX($AM$11:$AM$259,MATCH(0,IF(TRUE=$AL$11:$AL$259,COUNTIF($AQ$10:$AQ207,$AM$11:$AM$259),""),0)),"")</f>
        <v/>
      </c>
      <c r="AS208" s="885" t="str">
        <f>IF(AND(OR(AB208="Yes",AB208="Pending"),P208='G-1 All Habitats'!$X$3),T208-X208-Y208,"0")</f>
        <v>0</v>
      </c>
      <c r="AT208" s="30" t="str">
        <f t="shared" si="28"/>
        <v/>
      </c>
      <c r="AU208" s="30">
        <f t="shared" si="33"/>
        <v>0</v>
      </c>
      <c r="AV208" s="230" t="str">
        <f>IFERROR(INDEX('G-1 All Habitats'!$B$3:$B$135,MATCH(F208,'G-1 All Habitats'!$A$3:$A$135,0)),"")</f>
        <v/>
      </c>
      <c r="AW208" s="30" t="str">
        <f>IF(AV208="","",VLOOKUP(AV208,'G-1 All Habitats'!$B$1:$T$135,19,FALSE))</f>
        <v/>
      </c>
      <c r="AY208" s="287" t="str">
        <f t="shared" si="34"/>
        <v/>
      </c>
    </row>
    <row r="209" spans="1:51" ht="14">
      <c r="A209" s="30" t="str">
        <f>IFERROR(INDEX('G-1 All Habitats'!$AG$3:$AG$17,MATCH(E209,'G-1 All Habitats'!$AF$3:$AF$17,0)),"")</f>
        <v/>
      </c>
      <c r="B209" s="30" t="str">
        <f>IFERROR(INDEX('G-8 Condition Look up'!$I$4:$I$135,MATCH(AV209,'G-8 Condition Look up'!$A$4:$A$135,0)),"")</f>
        <v/>
      </c>
      <c r="D209" s="97">
        <v>199</v>
      </c>
      <c r="E209" s="262"/>
      <c r="F209" s="263"/>
      <c r="G209" s="133"/>
      <c r="H209" s="115"/>
      <c r="I209" s="509" t="str">
        <f>IF(AV209="","",IF(AND(AW209="Yes",G209="No"),"Irreplaceable habitat ▲",IF(AND(AW209="No",G209="Yes"),"Cannot be Irreplaceable ▲",VLOOKUP(AV209,'G-1 All Habitats'!$B$2:$M$135,10,FALSE))))</f>
        <v/>
      </c>
      <c r="J209" s="377" t="str">
        <f>IFERROR(VLOOKUP(I209,'G-1 All Habitats'!$V$3:$W$7,2,FALSE),"")</f>
        <v/>
      </c>
      <c r="K209" s="101"/>
      <c r="L209" s="276" t="str">
        <f>IFERROR(INDEX('G-8 Condition Look up'!$A$3:$H$135,MATCH(AV209,'G-8 Condition Look up'!$A$3:$A$135,0),MATCH(K209,'G-8 Condition Look up'!$A$3:$H$3,0)),"")</f>
        <v/>
      </c>
      <c r="M209" s="105"/>
      <c r="N209" s="295" t="str">
        <f>IF(M209="","",IF(VLOOKUP(M209,'G-3 Multipliers'!$L$3:$N$6,2,FALSE)=0,"Spatial Data Missing ⚠",VLOOKUP(M209,'G-3 Multipliers'!$L$3:$N$6,2,FALSE)))</f>
        <v/>
      </c>
      <c r="O209" s="353" t="str">
        <f>IF(M209="","",IF(VLOOKUP(M209,'G-3 Multipliers'!$L$3:$N$6,3,FALSE)=0,"Spatial Data Missing ⚠",VLOOKUP(M209,'G-3 Multipliers'!$L$3:$N$6,3,FALSE)))</f>
        <v/>
      </c>
      <c r="P209" s="336" t="str">
        <f>(IF(G209="Yes","Bespoke compensation likely to be required",(IFERROR(VLOOKUP(AV209,'G-1 All Habitats'!$B$2:$M$135,12,FALSE),""))))</f>
        <v/>
      </c>
      <c r="Q209" s="511" t="str">
        <f>IFERROR(IF(P209="","",IF(AND(E209="Individual trees",W209&gt;0,G209="Yes"),"Error - you cannot enhance irreplaceable individual trees ▲",IF(P209='G-1 All Habitats'!$X$9,T209*S209,IF(AND(P209='G-1 All Habitats'!$X$9,W209&gt;0),X209+(Y209*S209),IF(AND(P209='G-1 All Habitats'!$X$9,V209&gt;0),X209+(Y209*S209),IF(AND(P209='G-1 All Habitats'!$X$9,AG209&gt;0),"Any Loss Unacceptable  ⚠",IF(AND(P209='G-1 All Habitats'!$X$9,Z209&gt;0),"Any Loss Unacceptable ⚠",H209*J209*L209*O209*S209))))))),"Check Data ⚠")</f>
        <v/>
      </c>
      <c r="R209" s="393"/>
      <c r="S209" s="510" t="str">
        <f>IF(R209="","",IF(VLOOKUP(R209,'G-3 Multipliers'!$S$3:$T$10,2,FALSE)=0,"Spatial Data Missing ⚠",VLOOKUP(R209,'G-3 Multipliers'!$S$3:$T$10,2,FALSE)))</f>
        <v/>
      </c>
      <c r="T209" s="289" t="str">
        <f>IFERROR(IF(AND(F209&lt;&gt;"",G209=""),"Confirm irreplaceable habitat status ▲",(IF(AND(R209&lt;&gt;"",AF209=""),"Off-site reference required ▲",(IF(AND(E209="Individual trees",W209&gt;0,G209="Yes"),"Error - you cannot enhance irreplaceable individual trees ▲",(IF(AND(X209="Irreplaceable habitat - no units generated ⚠",(W209+V209)&lt;H209,OR(AB209="No",AB209="")),"Any Loss Unacceptable ⚠",(IF(X209="Irreplaceable habitat - no units generated ⚠",W209*J209*L209*O209,IF(AND(P209='G-1 All Habitats'!$X$9,AH209&gt;0,V209&lt;=0,W209&lt;=0,OR(AB209="No",AB209="")),"Any Loss Unacceptable ⚠",IF(AND(P209='G-1 All Habitats'!$X$9,AH209&gt;0,V209&lt;=0,W209&lt;=0),0,(IF(AND(P209='G-1 All Habitats'!$X$9,(W209+V209)&lt;H209,OR(AB209="No",AB209="")),"Any Loss Unacceptable ⚠",(IF(P209="","",IF(AND(P209='G-1 All Habitats'!$X$9,W209&gt;0),X209+Y209,IF(AND(P209='G-1 All Habitats'!$X$9,V209&gt;0),X209+Y209,IF(R209="","",H209*J209*L209*O209)))))))))))))))))),"Check Data ▲")</f>
        <v/>
      </c>
      <c r="U209" s="38"/>
      <c r="V209" s="52"/>
      <c r="W209" s="53"/>
      <c r="X209" s="287" t="str">
        <f t="shared" si="29"/>
        <v/>
      </c>
      <c r="Y209" s="287" t="str">
        <f t="shared" si="30"/>
        <v/>
      </c>
      <c r="Z209" s="287" t="str">
        <f t="shared" si="31"/>
        <v/>
      </c>
      <c r="AA209" s="317" t="str">
        <f>IFERROR(IF(AND(E209="Individual trees",G209="Yes",W209&gt;0),"Error - you cannot enhance an irreplaceable tree ▲",(IF(H209="","",IF(H209-V209-W209=0&lt;0,"Error in Areas ▲",IF(V209+W209&gt;H209,"Error in Areas ▲",IF(AND(P209='G-1 All Habitats'!$X$9,AB209="Yes"),"Alternative Compensation ✓",IF(AND(P209='G-1 All Habitats'!$X$3,AB209="Yes"),"Alternative Compensation ✓",IF(AND(AB209="Pending",P209='G-1 All Habitats'!$X$3),"Bespoke compensation must be agreed ▲",IF(AND(AB209="Pending",P209='G-1 All Habitats'!$X$9),"Bespoke compensation must be agreed  ▲",IF(Z209=0,0,IF(P209='G-1 All Habitats'!$X$9,"Any Loss Unacceptable ▲",T209-X209-Y209))))))))))),"Check Data ⚠")</f>
        <v/>
      </c>
      <c r="AB209" s="587"/>
      <c r="AC209" s="105"/>
      <c r="AD209" s="138"/>
      <c r="AE209" s="104"/>
      <c r="AF209" s="611"/>
      <c r="AG209" s="523" t="str">
        <f>IF(OR(P209="",AB209="Yes"),"",IF(P209='G-1 All Habitats'!$X$9,H209-V209-W209,"None"))</f>
        <v/>
      </c>
      <c r="AH209" s="523" t="str">
        <f>IF(P209="","",IF(P209='G-1 All Habitats'!$X$9,AG209*J209*L209*O209,"None"))</f>
        <v/>
      </c>
      <c r="AJ209" s="107" t="str">
        <f t="shared" si="32"/>
        <v/>
      </c>
      <c r="AK209" s="107" t="str">
        <f t="shared" si="27"/>
        <v/>
      </c>
      <c r="AL209" s="107" t="str">
        <f>IF(I209="","",IF(#REF!&gt;0,TRUE,FALSE))</f>
        <v/>
      </c>
      <c r="AM209" s="107">
        <v>199</v>
      </c>
      <c r="AN209" s="107"/>
      <c r="AO209" s="107" t="str">
        <f t="array" ref="AO209">IFERROR(INDEX($AM$11:$AM$259,MATCH(0,IF(TRUE=$AJ$11:$AJ$259,COUNTIF($AO$10:$AO208,$AM$11:$AM$259),""),0)),"")</f>
        <v/>
      </c>
      <c r="AP209" s="107" t="str">
        <f t="array" ref="AP209">IFERROR(INDEX($AM$11:$AM$259,MATCH(0,IF(TRUE=$AK$11:$AK$259,COUNTIF($AP$10:$AP208,$AM$11:$AM$259),""),0)),"")</f>
        <v/>
      </c>
      <c r="AQ209" s="107" t="str">
        <f t="array" ref="AQ209">IFERROR(INDEX($AM$11:$AM$259,MATCH(0,IF(TRUE=$AL$11:$AL$259,COUNTIF($AQ$10:$AQ208,$AM$11:$AM$259),""),0)),"")</f>
        <v/>
      </c>
      <c r="AS209" s="885" t="str">
        <f>IF(AND(OR(AB209="Yes",AB209="Pending"),P209='G-1 All Habitats'!$X$3),T209-X209-Y209,"0")</f>
        <v>0</v>
      </c>
      <c r="AT209" s="30" t="str">
        <f t="shared" si="28"/>
        <v/>
      </c>
      <c r="AU209" s="30">
        <f t="shared" si="33"/>
        <v>0</v>
      </c>
      <c r="AV209" s="230" t="str">
        <f>IFERROR(INDEX('G-1 All Habitats'!$B$3:$B$135,MATCH(F209,'G-1 All Habitats'!$A$3:$A$135,0)),"")</f>
        <v/>
      </c>
      <c r="AW209" s="30" t="str">
        <f>IF(AV209="","",VLOOKUP(AV209,'G-1 All Habitats'!$B$1:$T$135,19,FALSE))</f>
        <v/>
      </c>
      <c r="AY209" s="287" t="str">
        <f t="shared" si="34"/>
        <v/>
      </c>
    </row>
    <row r="210" spans="1:51" ht="14">
      <c r="A210" s="30" t="str">
        <f>IFERROR(INDEX('G-1 All Habitats'!$AG$3:$AG$17,MATCH(E210,'G-1 All Habitats'!$AF$3:$AF$17,0)),"")</f>
        <v/>
      </c>
      <c r="B210" s="30" t="str">
        <f>IFERROR(INDEX('G-8 Condition Look up'!$I$4:$I$135,MATCH(AV210,'G-8 Condition Look up'!$A$4:$A$135,0)),"")</f>
        <v/>
      </c>
      <c r="D210" s="97">
        <v>200</v>
      </c>
      <c r="E210" s="262"/>
      <c r="F210" s="263"/>
      <c r="G210" s="133"/>
      <c r="H210" s="115"/>
      <c r="I210" s="509" t="str">
        <f>IF(AV210="","",IF(AND(AW210="Yes",G210="No"),"Irreplaceable habitat ▲",IF(AND(AW210="No",G210="Yes"),"Cannot be Irreplaceable ▲",VLOOKUP(AV210,'G-1 All Habitats'!$B$2:$M$135,10,FALSE))))</f>
        <v/>
      </c>
      <c r="J210" s="377" t="str">
        <f>IFERROR(VLOOKUP(I210,'G-1 All Habitats'!$V$3:$W$7,2,FALSE),"")</f>
        <v/>
      </c>
      <c r="K210" s="101"/>
      <c r="L210" s="276" t="str">
        <f>IFERROR(INDEX('G-8 Condition Look up'!$A$3:$H$135,MATCH(AV210,'G-8 Condition Look up'!$A$3:$A$135,0),MATCH(K210,'G-8 Condition Look up'!$A$3:$H$3,0)),"")</f>
        <v/>
      </c>
      <c r="M210" s="105"/>
      <c r="N210" s="295" t="str">
        <f>IF(M210="","",IF(VLOOKUP(M210,'G-3 Multipliers'!$L$3:$N$6,2,FALSE)=0,"Spatial Data Missing ⚠",VLOOKUP(M210,'G-3 Multipliers'!$L$3:$N$6,2,FALSE)))</f>
        <v/>
      </c>
      <c r="O210" s="353" t="str">
        <f>IF(M210="","",IF(VLOOKUP(M210,'G-3 Multipliers'!$L$3:$N$6,3,FALSE)=0,"Spatial Data Missing ⚠",VLOOKUP(M210,'G-3 Multipliers'!$L$3:$N$6,3,FALSE)))</f>
        <v/>
      </c>
      <c r="P210" s="336" t="str">
        <f>(IF(G210="Yes","Bespoke compensation likely to be required",(IFERROR(VLOOKUP(AV210,'G-1 All Habitats'!$B$2:$M$135,12,FALSE),""))))</f>
        <v/>
      </c>
      <c r="Q210" s="511" t="str">
        <f>IFERROR(IF(P210="","",IF(AND(E210="Individual trees",W210&gt;0,G210="Yes"),"Error - you cannot enhance irreplaceable individual trees ▲",IF(P210='G-1 All Habitats'!$X$9,T210*S210,IF(AND(P210='G-1 All Habitats'!$X$9,W210&gt;0),X210+(Y210*S210),IF(AND(P210='G-1 All Habitats'!$X$9,V210&gt;0),X210+(Y210*S210),IF(AND(P210='G-1 All Habitats'!$X$9,AG210&gt;0),"Any Loss Unacceptable  ⚠",IF(AND(P210='G-1 All Habitats'!$X$9,Z210&gt;0),"Any Loss Unacceptable ⚠",H210*J210*L210*O210*S210))))))),"Check Data ⚠")</f>
        <v/>
      </c>
      <c r="R210" s="393"/>
      <c r="S210" s="510" t="str">
        <f>IF(R210="","",IF(VLOOKUP(R210,'G-3 Multipliers'!$S$3:$T$10,2,FALSE)=0,"Spatial Data Missing ⚠",VLOOKUP(R210,'G-3 Multipliers'!$S$3:$T$10,2,FALSE)))</f>
        <v/>
      </c>
      <c r="T210" s="289" t="str">
        <f>IFERROR(IF(AND(F210&lt;&gt;"",G210=""),"Confirm irreplaceable habitat status ▲",(IF(AND(R210&lt;&gt;"",AF210=""),"Off-site reference required ▲",(IF(AND(E210="Individual trees",W210&gt;0,G210="Yes"),"Error - you cannot enhance irreplaceable individual trees ▲",(IF(AND(X210="Irreplaceable habitat - no units generated ⚠",(W210+V210)&lt;H210,OR(AB210="No",AB210="")),"Any Loss Unacceptable ⚠",(IF(X210="Irreplaceable habitat - no units generated ⚠",W210*J210*L210*O210,IF(AND(P210='G-1 All Habitats'!$X$9,AH210&gt;0,V210&lt;=0,W210&lt;=0,OR(AB210="No",AB210="")),"Any Loss Unacceptable ⚠",IF(AND(P210='G-1 All Habitats'!$X$9,AH210&gt;0,V210&lt;=0,W210&lt;=0),0,(IF(AND(P210='G-1 All Habitats'!$X$9,(W210+V210)&lt;H210,OR(AB210="No",AB210="")),"Any Loss Unacceptable ⚠",(IF(P210="","",IF(AND(P210='G-1 All Habitats'!$X$9,W210&gt;0),X210+Y210,IF(AND(P210='G-1 All Habitats'!$X$9,V210&gt;0),X210+Y210,IF(R210="","",H210*J210*L210*O210)))))))))))))))))),"Check Data ▲")</f>
        <v/>
      </c>
      <c r="U210" s="38"/>
      <c r="V210" s="52"/>
      <c r="W210" s="53"/>
      <c r="X210" s="287" t="str">
        <f t="shared" si="29"/>
        <v/>
      </c>
      <c r="Y210" s="287" t="str">
        <f t="shared" si="30"/>
        <v/>
      </c>
      <c r="Z210" s="287" t="str">
        <f t="shared" si="31"/>
        <v/>
      </c>
      <c r="AA210" s="317" t="str">
        <f>IFERROR(IF(AND(E210="Individual trees",G210="Yes",W210&gt;0),"Error - you cannot enhance an irreplaceable tree ▲",(IF(H210="","",IF(H210-V210-W210=0&lt;0,"Error in Areas ▲",IF(V210+W210&gt;H210,"Error in Areas ▲",IF(AND(P210='G-1 All Habitats'!$X$9,AB210="Yes"),"Alternative Compensation ✓",IF(AND(P210='G-1 All Habitats'!$X$3,AB210="Yes"),"Alternative Compensation ✓",IF(AND(AB210="Pending",P210='G-1 All Habitats'!$X$3),"Bespoke compensation must be agreed ▲",IF(AND(AB210="Pending",P210='G-1 All Habitats'!$X$9),"Bespoke compensation must be agreed  ▲",IF(Z210=0,0,IF(P210='G-1 All Habitats'!$X$9,"Any Loss Unacceptable ▲",T210-X210-Y210))))))))))),"Check Data ⚠")</f>
        <v/>
      </c>
      <c r="AB210" s="587"/>
      <c r="AC210" s="105"/>
      <c r="AD210" s="138"/>
      <c r="AE210" s="104"/>
      <c r="AF210" s="611"/>
      <c r="AG210" s="523" t="str">
        <f>IF(OR(P210="",AB210="Yes"),"",IF(P210='G-1 All Habitats'!$X$9,H210-V210-W210,"None"))</f>
        <v/>
      </c>
      <c r="AH210" s="523" t="str">
        <f>IF(P210="","",IF(P210='G-1 All Habitats'!$X$9,AG210*J210*L210*O210,"None"))</f>
        <v/>
      </c>
      <c r="AJ210" s="107" t="str">
        <f t="shared" si="32"/>
        <v/>
      </c>
      <c r="AK210" s="107" t="str">
        <f t="shared" si="27"/>
        <v/>
      </c>
      <c r="AL210" s="107" t="str">
        <f>IF(I210="","",IF(#REF!&gt;0,TRUE,FALSE))</f>
        <v/>
      </c>
      <c r="AM210" s="107">
        <v>200</v>
      </c>
      <c r="AN210" s="107"/>
      <c r="AO210" s="107" t="str">
        <f t="array" ref="AO210">IFERROR(INDEX($AM$11:$AM$259,MATCH(0,IF(TRUE=$AJ$11:$AJ$259,COUNTIF($AO$10:$AO209,$AM$11:$AM$259),""),0)),"")</f>
        <v/>
      </c>
      <c r="AP210" s="107" t="str">
        <f t="array" ref="AP210">IFERROR(INDEX($AM$11:$AM$259,MATCH(0,IF(TRUE=$AK$11:$AK$259,COUNTIF($AP$10:$AP209,$AM$11:$AM$259),""),0)),"")</f>
        <v/>
      </c>
      <c r="AQ210" s="107" t="str">
        <f t="array" ref="AQ210">IFERROR(INDEX($AM$11:$AM$259,MATCH(0,IF(TRUE=$AL$11:$AL$259,COUNTIF($AQ$10:$AQ209,$AM$11:$AM$259),""),0)),"")</f>
        <v/>
      </c>
      <c r="AS210" s="885" t="str">
        <f>IF(AND(OR(AB210="Yes",AB210="Pending"),P210='G-1 All Habitats'!$X$3),T210-X210-Y210,"0")</f>
        <v>0</v>
      </c>
      <c r="AT210" s="30" t="str">
        <f t="shared" si="28"/>
        <v/>
      </c>
      <c r="AU210" s="30">
        <f t="shared" si="33"/>
        <v>0</v>
      </c>
      <c r="AV210" s="230" t="str">
        <f>IFERROR(INDEX('G-1 All Habitats'!$B$3:$B$135,MATCH(F210,'G-1 All Habitats'!$A$3:$A$135,0)),"")</f>
        <v/>
      </c>
      <c r="AW210" s="30" t="str">
        <f>IF(AV210="","",VLOOKUP(AV210,'G-1 All Habitats'!$B$1:$T$135,19,FALSE))</f>
        <v/>
      </c>
      <c r="AY210" s="287" t="str">
        <f t="shared" si="34"/>
        <v/>
      </c>
    </row>
    <row r="211" spans="1:51" ht="14">
      <c r="A211" s="30" t="str">
        <f>IFERROR(INDEX('G-1 All Habitats'!$AG$3:$AG$17,MATCH(E211,'G-1 All Habitats'!$AF$3:$AF$17,0)),"")</f>
        <v/>
      </c>
      <c r="B211" s="30" t="str">
        <f>IFERROR(INDEX('G-8 Condition Look up'!$I$4:$I$135,MATCH(AV211,'G-8 Condition Look up'!$A$4:$A$135,0)),"")</f>
        <v/>
      </c>
      <c r="D211" s="97">
        <v>201</v>
      </c>
      <c r="E211" s="262"/>
      <c r="F211" s="263"/>
      <c r="G211" s="133"/>
      <c r="H211" s="115"/>
      <c r="I211" s="509" t="str">
        <f>IF(AV211="","",IF(AND(AW211="Yes",G211="No"),"Irreplaceable habitat ▲",IF(AND(AW211="No",G211="Yes"),"Cannot be Irreplaceable ▲",VLOOKUP(AV211,'G-1 All Habitats'!$B$2:$M$135,10,FALSE))))</f>
        <v/>
      </c>
      <c r="J211" s="377" t="str">
        <f>IFERROR(VLOOKUP(I211,'G-1 All Habitats'!$V$3:$W$7,2,FALSE),"")</f>
        <v/>
      </c>
      <c r="K211" s="101"/>
      <c r="L211" s="276" t="str">
        <f>IFERROR(INDEX('G-8 Condition Look up'!$A$3:$H$135,MATCH(AV211,'G-8 Condition Look up'!$A$3:$A$135,0),MATCH(K211,'G-8 Condition Look up'!$A$3:$H$3,0)),"")</f>
        <v/>
      </c>
      <c r="M211" s="105"/>
      <c r="N211" s="295" t="str">
        <f>IF(M211="","",IF(VLOOKUP(M211,'G-3 Multipliers'!$L$3:$N$6,2,FALSE)=0,"Spatial Data Missing ⚠",VLOOKUP(M211,'G-3 Multipliers'!$L$3:$N$6,2,FALSE)))</f>
        <v/>
      </c>
      <c r="O211" s="353" t="str">
        <f>IF(M211="","",IF(VLOOKUP(M211,'G-3 Multipliers'!$L$3:$N$6,3,FALSE)=0,"Spatial Data Missing ⚠",VLOOKUP(M211,'G-3 Multipliers'!$L$3:$N$6,3,FALSE)))</f>
        <v/>
      </c>
      <c r="P211" s="336" t="str">
        <f>(IF(G211="Yes","Bespoke compensation likely to be required",(IFERROR(VLOOKUP(AV211,'G-1 All Habitats'!$B$2:$M$135,12,FALSE),""))))</f>
        <v/>
      </c>
      <c r="Q211" s="511" t="str">
        <f>IFERROR(IF(P211="","",IF(AND(E211="Individual trees",W211&gt;0,G211="Yes"),"Error - you cannot enhance irreplaceable individual trees ▲",IF(P211='G-1 All Habitats'!$X$9,T211*S211,IF(AND(P211='G-1 All Habitats'!$X$9,W211&gt;0),X211+(Y211*S211),IF(AND(P211='G-1 All Habitats'!$X$9,V211&gt;0),X211+(Y211*S211),IF(AND(P211='G-1 All Habitats'!$X$9,AG211&gt;0),"Any Loss Unacceptable  ⚠",IF(AND(P211='G-1 All Habitats'!$X$9,Z211&gt;0),"Any Loss Unacceptable ⚠",H211*J211*L211*O211*S211))))))),"Check Data ⚠")</f>
        <v/>
      </c>
      <c r="R211" s="393"/>
      <c r="S211" s="510" t="str">
        <f>IF(R211="","",IF(VLOOKUP(R211,'G-3 Multipliers'!$S$3:$T$10,2,FALSE)=0,"Spatial Data Missing ⚠",VLOOKUP(R211,'G-3 Multipliers'!$S$3:$T$10,2,FALSE)))</f>
        <v/>
      </c>
      <c r="T211" s="289" t="str">
        <f>IFERROR(IF(AND(F211&lt;&gt;"",G211=""),"Confirm irreplaceable habitat status ▲",(IF(AND(R211&lt;&gt;"",AF211=""),"Off-site reference required ▲",(IF(AND(E211="Individual trees",W211&gt;0,G211="Yes"),"Error - you cannot enhance irreplaceable individual trees ▲",(IF(AND(X211="Irreplaceable habitat - no units generated ⚠",(W211+V211)&lt;H211,OR(AB211="No",AB211="")),"Any Loss Unacceptable ⚠",(IF(X211="Irreplaceable habitat - no units generated ⚠",W211*J211*L211*O211,IF(AND(P211='G-1 All Habitats'!$X$9,AH211&gt;0,V211&lt;=0,W211&lt;=0,OR(AB211="No",AB211="")),"Any Loss Unacceptable ⚠",IF(AND(P211='G-1 All Habitats'!$X$9,AH211&gt;0,V211&lt;=0,W211&lt;=0),0,(IF(AND(P211='G-1 All Habitats'!$X$9,(W211+V211)&lt;H211,OR(AB211="No",AB211="")),"Any Loss Unacceptable ⚠",(IF(P211="","",IF(AND(P211='G-1 All Habitats'!$X$9,W211&gt;0),X211+Y211,IF(AND(P211='G-1 All Habitats'!$X$9,V211&gt;0),X211+Y211,IF(R211="","",H211*J211*L211*O211)))))))))))))))))),"Check Data ▲")</f>
        <v/>
      </c>
      <c r="U211" s="38"/>
      <c r="V211" s="52"/>
      <c r="W211" s="53"/>
      <c r="X211" s="287" t="str">
        <f t="shared" si="29"/>
        <v/>
      </c>
      <c r="Y211" s="287" t="str">
        <f t="shared" si="30"/>
        <v/>
      </c>
      <c r="Z211" s="287" t="str">
        <f t="shared" si="31"/>
        <v/>
      </c>
      <c r="AA211" s="317" t="str">
        <f>IFERROR(IF(AND(E211="Individual trees",G211="Yes",W211&gt;0),"Error - you cannot enhance an irreplaceable tree ▲",(IF(H211="","",IF(H211-V211-W211=0&lt;0,"Error in Areas ▲",IF(V211+W211&gt;H211,"Error in Areas ▲",IF(AND(P211='G-1 All Habitats'!$X$9,AB211="Yes"),"Alternative Compensation ✓",IF(AND(P211='G-1 All Habitats'!$X$3,AB211="Yes"),"Alternative Compensation ✓",IF(AND(AB211="Pending",P211='G-1 All Habitats'!$X$3),"Bespoke compensation must be agreed ▲",IF(AND(AB211="Pending",P211='G-1 All Habitats'!$X$9),"Bespoke compensation must be agreed  ▲",IF(Z211=0,0,IF(P211='G-1 All Habitats'!$X$9,"Any Loss Unacceptable ▲",T211-X211-Y211))))))))))),"Check Data ⚠")</f>
        <v/>
      </c>
      <c r="AB211" s="587"/>
      <c r="AC211" s="105"/>
      <c r="AD211" s="138"/>
      <c r="AE211" s="104"/>
      <c r="AF211" s="611"/>
      <c r="AG211" s="523" t="str">
        <f>IF(OR(P211="",AB211="Yes"),"",IF(P211='G-1 All Habitats'!$X$9,H211-V211-W211,"None"))</f>
        <v/>
      </c>
      <c r="AH211" s="523" t="str">
        <f>IF(P211="","",IF(P211='G-1 All Habitats'!$X$9,AG211*J211*L211*O211,"None"))</f>
        <v/>
      </c>
      <c r="AJ211" s="107" t="str">
        <f t="shared" si="32"/>
        <v/>
      </c>
      <c r="AK211" s="107" t="str">
        <f t="shared" si="27"/>
        <v/>
      </c>
      <c r="AL211" s="107" t="str">
        <f>IF(I211="","",IF(#REF!&gt;0,TRUE,FALSE))</f>
        <v/>
      </c>
      <c r="AM211" s="107">
        <v>201</v>
      </c>
      <c r="AN211" s="107"/>
      <c r="AO211" s="107" t="str">
        <f t="array" ref="AO211">IFERROR(INDEX($AM$11:$AM$259,MATCH(0,IF(TRUE=$AJ$11:$AJ$259,COUNTIF($AO$10:$AO210,$AM$11:$AM$259),""),0)),"")</f>
        <v/>
      </c>
      <c r="AP211" s="107" t="str">
        <f t="array" ref="AP211">IFERROR(INDEX($AM$11:$AM$259,MATCH(0,IF(TRUE=$AK$11:$AK$259,COUNTIF($AP$10:$AP210,$AM$11:$AM$259),""),0)),"")</f>
        <v/>
      </c>
      <c r="AQ211" s="107" t="str">
        <f t="array" ref="AQ211">IFERROR(INDEX($AM$11:$AM$259,MATCH(0,IF(TRUE=$AL$11:$AL$259,COUNTIF($AQ$10:$AQ210,$AM$11:$AM$259),""),0)),"")</f>
        <v/>
      </c>
      <c r="AS211" s="885" t="str">
        <f>IF(AND(OR(AB211="Yes",AB211="Pending"),P211='G-1 All Habitats'!$X$3),T211-X211-Y211,"0")</f>
        <v>0</v>
      </c>
      <c r="AT211" s="30" t="str">
        <f t="shared" si="28"/>
        <v/>
      </c>
      <c r="AU211" s="30">
        <f t="shared" si="33"/>
        <v>0</v>
      </c>
      <c r="AV211" s="230" t="str">
        <f>IFERROR(INDEX('G-1 All Habitats'!$B$3:$B$135,MATCH(F211,'G-1 All Habitats'!$A$3:$A$135,0)),"")</f>
        <v/>
      </c>
      <c r="AW211" s="30" t="str">
        <f>IF(AV211="","",VLOOKUP(AV211,'G-1 All Habitats'!$B$1:$T$135,19,FALSE))</f>
        <v/>
      </c>
      <c r="AY211" s="287" t="str">
        <f t="shared" si="34"/>
        <v/>
      </c>
    </row>
    <row r="212" spans="1:51" ht="14">
      <c r="A212" s="30" t="str">
        <f>IFERROR(INDEX('G-1 All Habitats'!$AG$3:$AG$17,MATCH(E212,'G-1 All Habitats'!$AF$3:$AF$17,0)),"")</f>
        <v/>
      </c>
      <c r="B212" s="30" t="str">
        <f>IFERROR(INDEX('G-8 Condition Look up'!$I$4:$I$135,MATCH(AV212,'G-8 Condition Look up'!$A$4:$A$135,0)),"")</f>
        <v/>
      </c>
      <c r="D212" s="97">
        <v>202</v>
      </c>
      <c r="E212" s="262"/>
      <c r="F212" s="263"/>
      <c r="G212" s="133"/>
      <c r="H212" s="115"/>
      <c r="I212" s="509" t="str">
        <f>IF(AV212="","",IF(AND(AW212="Yes",G212="No"),"Irreplaceable habitat ▲",IF(AND(AW212="No",G212="Yes"),"Cannot be Irreplaceable ▲",VLOOKUP(AV212,'G-1 All Habitats'!$B$2:$M$135,10,FALSE))))</f>
        <v/>
      </c>
      <c r="J212" s="377" t="str">
        <f>IFERROR(VLOOKUP(I212,'G-1 All Habitats'!$V$3:$W$7,2,FALSE),"")</f>
        <v/>
      </c>
      <c r="K212" s="101"/>
      <c r="L212" s="276" t="str">
        <f>IFERROR(INDEX('G-8 Condition Look up'!$A$3:$H$135,MATCH(AV212,'G-8 Condition Look up'!$A$3:$A$135,0),MATCH(K212,'G-8 Condition Look up'!$A$3:$H$3,0)),"")</f>
        <v/>
      </c>
      <c r="M212" s="105"/>
      <c r="N212" s="295" t="str">
        <f>IF(M212="","",IF(VLOOKUP(M212,'G-3 Multipliers'!$L$3:$N$6,2,FALSE)=0,"Spatial Data Missing ⚠",VLOOKUP(M212,'G-3 Multipliers'!$L$3:$N$6,2,FALSE)))</f>
        <v/>
      </c>
      <c r="O212" s="353" t="str">
        <f>IF(M212="","",IF(VLOOKUP(M212,'G-3 Multipliers'!$L$3:$N$6,3,FALSE)=0,"Spatial Data Missing ⚠",VLOOKUP(M212,'G-3 Multipliers'!$L$3:$N$6,3,FALSE)))</f>
        <v/>
      </c>
      <c r="P212" s="336" t="str">
        <f>(IF(G212="Yes","Bespoke compensation likely to be required",(IFERROR(VLOOKUP(AV212,'G-1 All Habitats'!$B$2:$M$135,12,FALSE),""))))</f>
        <v/>
      </c>
      <c r="Q212" s="511" t="str">
        <f>IFERROR(IF(P212="","",IF(AND(E212="Individual trees",W212&gt;0,G212="Yes"),"Error - you cannot enhance irreplaceable individual trees ▲",IF(P212='G-1 All Habitats'!$X$9,T212*S212,IF(AND(P212='G-1 All Habitats'!$X$9,W212&gt;0),X212+(Y212*S212),IF(AND(P212='G-1 All Habitats'!$X$9,V212&gt;0),X212+(Y212*S212),IF(AND(P212='G-1 All Habitats'!$X$9,AG212&gt;0),"Any Loss Unacceptable  ⚠",IF(AND(P212='G-1 All Habitats'!$X$9,Z212&gt;0),"Any Loss Unacceptable ⚠",H212*J212*L212*O212*S212))))))),"Check Data ⚠")</f>
        <v/>
      </c>
      <c r="R212" s="393"/>
      <c r="S212" s="510" t="str">
        <f>IF(R212="","",IF(VLOOKUP(R212,'G-3 Multipliers'!$S$3:$T$10,2,FALSE)=0,"Spatial Data Missing ⚠",VLOOKUP(R212,'G-3 Multipliers'!$S$3:$T$10,2,FALSE)))</f>
        <v/>
      </c>
      <c r="T212" s="289" t="str">
        <f>IFERROR(IF(AND(F212&lt;&gt;"",G212=""),"Confirm irreplaceable habitat status ▲",(IF(AND(R212&lt;&gt;"",AF212=""),"Off-site reference required ▲",(IF(AND(E212="Individual trees",W212&gt;0,G212="Yes"),"Error - you cannot enhance irreplaceable individual trees ▲",(IF(AND(X212="Irreplaceable habitat - no units generated ⚠",(W212+V212)&lt;H212,OR(AB212="No",AB212="")),"Any Loss Unacceptable ⚠",(IF(X212="Irreplaceable habitat - no units generated ⚠",W212*J212*L212*O212,IF(AND(P212='G-1 All Habitats'!$X$9,AH212&gt;0,V212&lt;=0,W212&lt;=0,OR(AB212="No",AB212="")),"Any Loss Unacceptable ⚠",IF(AND(P212='G-1 All Habitats'!$X$9,AH212&gt;0,V212&lt;=0,W212&lt;=0),0,(IF(AND(P212='G-1 All Habitats'!$X$9,(W212+V212)&lt;H212,OR(AB212="No",AB212="")),"Any Loss Unacceptable ⚠",(IF(P212="","",IF(AND(P212='G-1 All Habitats'!$X$9,W212&gt;0),X212+Y212,IF(AND(P212='G-1 All Habitats'!$X$9,V212&gt;0),X212+Y212,IF(R212="","",H212*J212*L212*O212)))))))))))))))))),"Check Data ▲")</f>
        <v/>
      </c>
      <c r="U212" s="38"/>
      <c r="V212" s="52"/>
      <c r="W212" s="53"/>
      <c r="X212" s="287" t="str">
        <f t="shared" si="29"/>
        <v/>
      </c>
      <c r="Y212" s="287" t="str">
        <f t="shared" si="30"/>
        <v/>
      </c>
      <c r="Z212" s="287" t="str">
        <f t="shared" si="31"/>
        <v/>
      </c>
      <c r="AA212" s="317" t="str">
        <f>IFERROR(IF(AND(E212="Individual trees",G212="Yes",W212&gt;0),"Error - you cannot enhance an irreplaceable tree ▲",(IF(H212="","",IF(H212-V212-W212=0&lt;0,"Error in Areas ▲",IF(V212+W212&gt;H212,"Error in Areas ▲",IF(AND(P212='G-1 All Habitats'!$X$9,AB212="Yes"),"Alternative Compensation ✓",IF(AND(P212='G-1 All Habitats'!$X$3,AB212="Yes"),"Alternative Compensation ✓",IF(AND(AB212="Pending",P212='G-1 All Habitats'!$X$3),"Bespoke compensation must be agreed ▲",IF(AND(AB212="Pending",P212='G-1 All Habitats'!$X$9),"Bespoke compensation must be agreed  ▲",IF(Z212=0,0,IF(P212='G-1 All Habitats'!$X$9,"Any Loss Unacceptable ▲",T212-X212-Y212))))))))))),"Check Data ⚠")</f>
        <v/>
      </c>
      <c r="AB212" s="587"/>
      <c r="AC212" s="105"/>
      <c r="AD212" s="138"/>
      <c r="AE212" s="104"/>
      <c r="AF212" s="611"/>
      <c r="AG212" s="523" t="str">
        <f>IF(OR(P212="",AB212="Yes"),"",IF(P212='G-1 All Habitats'!$X$9,H212-V212-W212,"None"))</f>
        <v/>
      </c>
      <c r="AH212" s="523" t="str">
        <f>IF(P212="","",IF(P212='G-1 All Habitats'!$X$9,AG212*J212*L212*O212,"None"))</f>
        <v/>
      </c>
      <c r="AJ212" s="107" t="str">
        <f t="shared" si="32"/>
        <v/>
      </c>
      <c r="AK212" s="107" t="str">
        <f t="shared" si="27"/>
        <v/>
      </c>
      <c r="AL212" s="107" t="str">
        <f>IF(I212="","",IF(#REF!&gt;0,TRUE,FALSE))</f>
        <v/>
      </c>
      <c r="AM212" s="107">
        <v>202</v>
      </c>
      <c r="AN212" s="107"/>
      <c r="AO212" s="107" t="str">
        <f t="array" ref="AO212">IFERROR(INDEX($AM$11:$AM$259,MATCH(0,IF(TRUE=$AJ$11:$AJ$259,COUNTIF($AO$10:$AO211,$AM$11:$AM$259),""),0)),"")</f>
        <v/>
      </c>
      <c r="AP212" s="107" t="str">
        <f t="array" ref="AP212">IFERROR(INDEX($AM$11:$AM$259,MATCH(0,IF(TRUE=$AK$11:$AK$259,COUNTIF($AP$10:$AP211,$AM$11:$AM$259),""),0)),"")</f>
        <v/>
      </c>
      <c r="AQ212" s="107" t="str">
        <f t="array" ref="AQ212">IFERROR(INDEX($AM$11:$AM$259,MATCH(0,IF(TRUE=$AL$11:$AL$259,COUNTIF($AQ$10:$AQ211,$AM$11:$AM$259),""),0)),"")</f>
        <v/>
      </c>
      <c r="AS212" s="885" t="str">
        <f>IF(AND(OR(AB212="Yes",AB212="Pending"),P212='G-1 All Habitats'!$X$3),T212-X212-Y212,"0")</f>
        <v>0</v>
      </c>
      <c r="AT212" s="30" t="str">
        <f t="shared" si="28"/>
        <v/>
      </c>
      <c r="AU212" s="30">
        <f t="shared" si="33"/>
        <v>0</v>
      </c>
      <c r="AV212" s="230" t="str">
        <f>IFERROR(INDEX('G-1 All Habitats'!$B$3:$B$135,MATCH(F212,'G-1 All Habitats'!$A$3:$A$135,0)),"")</f>
        <v/>
      </c>
      <c r="AW212" s="30" t="str">
        <f>IF(AV212="","",VLOOKUP(AV212,'G-1 All Habitats'!$B$1:$T$135,19,FALSE))</f>
        <v/>
      </c>
      <c r="AY212" s="287" t="str">
        <f t="shared" si="34"/>
        <v/>
      </c>
    </row>
    <row r="213" spans="1:51" ht="14">
      <c r="A213" s="30" t="str">
        <f>IFERROR(INDEX('G-1 All Habitats'!$AG$3:$AG$17,MATCH(E213,'G-1 All Habitats'!$AF$3:$AF$17,0)),"")</f>
        <v/>
      </c>
      <c r="B213" s="30" t="str">
        <f>IFERROR(INDEX('G-8 Condition Look up'!$I$4:$I$135,MATCH(AV213,'G-8 Condition Look up'!$A$4:$A$135,0)),"")</f>
        <v/>
      </c>
      <c r="D213" s="97">
        <v>203</v>
      </c>
      <c r="E213" s="262"/>
      <c r="F213" s="263"/>
      <c r="G213" s="133"/>
      <c r="H213" s="115"/>
      <c r="I213" s="509" t="str">
        <f>IF(AV213="","",IF(AND(AW213="Yes",G213="No"),"Irreplaceable habitat ▲",IF(AND(AW213="No",G213="Yes"),"Cannot be Irreplaceable ▲",VLOOKUP(AV213,'G-1 All Habitats'!$B$2:$M$135,10,FALSE))))</f>
        <v/>
      </c>
      <c r="J213" s="377" t="str">
        <f>IFERROR(VLOOKUP(I213,'G-1 All Habitats'!$V$3:$W$7,2,FALSE),"")</f>
        <v/>
      </c>
      <c r="K213" s="101"/>
      <c r="L213" s="276" t="str">
        <f>IFERROR(INDEX('G-8 Condition Look up'!$A$3:$H$135,MATCH(AV213,'G-8 Condition Look up'!$A$3:$A$135,0),MATCH(K213,'G-8 Condition Look up'!$A$3:$H$3,0)),"")</f>
        <v/>
      </c>
      <c r="M213" s="105"/>
      <c r="N213" s="295" t="str">
        <f>IF(M213="","",IF(VLOOKUP(M213,'G-3 Multipliers'!$L$3:$N$6,2,FALSE)=0,"Spatial Data Missing ⚠",VLOOKUP(M213,'G-3 Multipliers'!$L$3:$N$6,2,FALSE)))</f>
        <v/>
      </c>
      <c r="O213" s="353" t="str">
        <f>IF(M213="","",IF(VLOOKUP(M213,'G-3 Multipliers'!$L$3:$N$6,3,FALSE)=0,"Spatial Data Missing ⚠",VLOOKUP(M213,'G-3 Multipliers'!$L$3:$N$6,3,FALSE)))</f>
        <v/>
      </c>
      <c r="P213" s="336" t="str">
        <f>(IF(G213="Yes","Bespoke compensation likely to be required",(IFERROR(VLOOKUP(AV213,'G-1 All Habitats'!$B$2:$M$135,12,FALSE),""))))</f>
        <v/>
      </c>
      <c r="Q213" s="511" t="str">
        <f>IFERROR(IF(P213="","",IF(AND(E213="Individual trees",W213&gt;0,G213="Yes"),"Error - you cannot enhance irreplaceable individual trees ▲",IF(P213='G-1 All Habitats'!$X$9,T213*S213,IF(AND(P213='G-1 All Habitats'!$X$9,W213&gt;0),X213+(Y213*S213),IF(AND(P213='G-1 All Habitats'!$X$9,V213&gt;0),X213+(Y213*S213),IF(AND(P213='G-1 All Habitats'!$X$9,AG213&gt;0),"Any Loss Unacceptable  ⚠",IF(AND(P213='G-1 All Habitats'!$X$9,Z213&gt;0),"Any Loss Unacceptable ⚠",H213*J213*L213*O213*S213))))))),"Check Data ⚠")</f>
        <v/>
      </c>
      <c r="R213" s="393"/>
      <c r="S213" s="510" t="str">
        <f>IF(R213="","",IF(VLOOKUP(R213,'G-3 Multipliers'!$S$3:$T$10,2,FALSE)=0,"Spatial Data Missing ⚠",VLOOKUP(R213,'G-3 Multipliers'!$S$3:$T$10,2,FALSE)))</f>
        <v/>
      </c>
      <c r="T213" s="289" t="str">
        <f>IFERROR(IF(AND(F213&lt;&gt;"",G213=""),"Confirm irreplaceable habitat status ▲",(IF(AND(R213&lt;&gt;"",AF213=""),"Off-site reference required ▲",(IF(AND(E213="Individual trees",W213&gt;0,G213="Yes"),"Error - you cannot enhance irreplaceable individual trees ▲",(IF(AND(X213="Irreplaceable habitat - no units generated ⚠",(W213+V213)&lt;H213,OR(AB213="No",AB213="")),"Any Loss Unacceptable ⚠",(IF(X213="Irreplaceable habitat - no units generated ⚠",W213*J213*L213*O213,IF(AND(P213='G-1 All Habitats'!$X$9,AH213&gt;0,V213&lt;=0,W213&lt;=0,OR(AB213="No",AB213="")),"Any Loss Unacceptable ⚠",IF(AND(P213='G-1 All Habitats'!$X$9,AH213&gt;0,V213&lt;=0,W213&lt;=0),0,(IF(AND(P213='G-1 All Habitats'!$X$9,(W213+V213)&lt;H213,OR(AB213="No",AB213="")),"Any Loss Unacceptable ⚠",(IF(P213="","",IF(AND(P213='G-1 All Habitats'!$X$9,W213&gt;0),X213+Y213,IF(AND(P213='G-1 All Habitats'!$X$9,V213&gt;0),X213+Y213,IF(R213="","",H213*J213*L213*O213)))))))))))))))))),"Check Data ▲")</f>
        <v/>
      </c>
      <c r="U213" s="38"/>
      <c r="V213" s="52"/>
      <c r="W213" s="53"/>
      <c r="X213" s="287" t="str">
        <f t="shared" si="29"/>
        <v/>
      </c>
      <c r="Y213" s="287" t="str">
        <f t="shared" si="30"/>
        <v/>
      </c>
      <c r="Z213" s="287" t="str">
        <f t="shared" si="31"/>
        <v/>
      </c>
      <c r="AA213" s="317" t="str">
        <f>IFERROR(IF(AND(E213="Individual trees",G213="Yes",W213&gt;0),"Error - you cannot enhance an irreplaceable tree ▲",(IF(H213="","",IF(H213-V213-W213=0&lt;0,"Error in Areas ▲",IF(V213+W213&gt;H213,"Error in Areas ▲",IF(AND(P213='G-1 All Habitats'!$X$9,AB213="Yes"),"Alternative Compensation ✓",IF(AND(P213='G-1 All Habitats'!$X$3,AB213="Yes"),"Alternative Compensation ✓",IF(AND(AB213="Pending",P213='G-1 All Habitats'!$X$3),"Bespoke compensation must be agreed ▲",IF(AND(AB213="Pending",P213='G-1 All Habitats'!$X$9),"Bespoke compensation must be agreed  ▲",IF(Z213=0,0,IF(P213='G-1 All Habitats'!$X$9,"Any Loss Unacceptable ▲",T213-X213-Y213))))))))))),"Check Data ⚠")</f>
        <v/>
      </c>
      <c r="AB213" s="587"/>
      <c r="AC213" s="105"/>
      <c r="AD213" s="138"/>
      <c r="AE213" s="104"/>
      <c r="AF213" s="611"/>
      <c r="AG213" s="523" t="str">
        <f>IF(OR(P213="",AB213="Yes"),"",IF(P213='G-1 All Habitats'!$X$9,H213-V213-W213,"None"))</f>
        <v/>
      </c>
      <c r="AH213" s="523" t="str">
        <f>IF(P213="","",IF(P213='G-1 All Habitats'!$X$9,AG213*J213*L213*O213,"None"))</f>
        <v/>
      </c>
      <c r="AJ213" s="107" t="str">
        <f t="shared" si="32"/>
        <v/>
      </c>
      <c r="AK213" s="107" t="str">
        <f t="shared" si="27"/>
        <v/>
      </c>
      <c r="AL213" s="107" t="str">
        <f>IF(I213="","",IF(#REF!&gt;0,TRUE,FALSE))</f>
        <v/>
      </c>
      <c r="AM213" s="107">
        <v>203</v>
      </c>
      <c r="AN213" s="107"/>
      <c r="AO213" s="107" t="str">
        <f t="array" ref="AO213">IFERROR(INDEX($AM$11:$AM$259,MATCH(0,IF(TRUE=$AJ$11:$AJ$259,COUNTIF($AO$10:$AO212,$AM$11:$AM$259),""),0)),"")</f>
        <v/>
      </c>
      <c r="AP213" s="107" t="str">
        <f t="array" ref="AP213">IFERROR(INDEX($AM$11:$AM$259,MATCH(0,IF(TRUE=$AK$11:$AK$259,COUNTIF($AP$10:$AP212,$AM$11:$AM$259),""),0)),"")</f>
        <v/>
      </c>
      <c r="AQ213" s="107" t="str">
        <f t="array" ref="AQ213">IFERROR(INDEX($AM$11:$AM$259,MATCH(0,IF(TRUE=$AL$11:$AL$259,COUNTIF($AQ$10:$AQ212,$AM$11:$AM$259),""),0)),"")</f>
        <v/>
      </c>
      <c r="AS213" s="885" t="str">
        <f>IF(AND(OR(AB213="Yes",AB213="Pending"),P213='G-1 All Habitats'!$X$3),T213-X213-Y213,"0")</f>
        <v>0</v>
      </c>
      <c r="AT213" s="30" t="str">
        <f t="shared" si="28"/>
        <v/>
      </c>
      <c r="AU213" s="30">
        <f t="shared" si="33"/>
        <v>0</v>
      </c>
      <c r="AV213" s="230" t="str">
        <f>IFERROR(INDEX('G-1 All Habitats'!$B$3:$B$135,MATCH(F213,'G-1 All Habitats'!$A$3:$A$135,0)),"")</f>
        <v/>
      </c>
      <c r="AW213" s="30" t="str">
        <f>IF(AV213="","",VLOOKUP(AV213,'G-1 All Habitats'!$B$1:$T$135,19,FALSE))</f>
        <v/>
      </c>
      <c r="AY213" s="287" t="str">
        <f t="shared" si="34"/>
        <v/>
      </c>
    </row>
    <row r="214" spans="1:51" ht="14">
      <c r="A214" s="30" t="str">
        <f>IFERROR(INDEX('G-1 All Habitats'!$AG$3:$AG$17,MATCH(E214,'G-1 All Habitats'!$AF$3:$AF$17,0)),"")</f>
        <v/>
      </c>
      <c r="B214" s="30" t="str">
        <f>IFERROR(INDEX('G-8 Condition Look up'!$I$4:$I$135,MATCH(AV214,'G-8 Condition Look up'!$A$4:$A$135,0)),"")</f>
        <v/>
      </c>
      <c r="D214" s="97">
        <v>204</v>
      </c>
      <c r="E214" s="262"/>
      <c r="F214" s="263"/>
      <c r="G214" s="133"/>
      <c r="H214" s="115"/>
      <c r="I214" s="509" t="str">
        <f>IF(AV214="","",IF(AND(AW214="Yes",G214="No"),"Irreplaceable habitat ▲",IF(AND(AW214="No",G214="Yes"),"Cannot be Irreplaceable ▲",VLOOKUP(AV214,'G-1 All Habitats'!$B$2:$M$135,10,FALSE))))</f>
        <v/>
      </c>
      <c r="J214" s="377" t="str">
        <f>IFERROR(VLOOKUP(I214,'G-1 All Habitats'!$V$3:$W$7,2,FALSE),"")</f>
        <v/>
      </c>
      <c r="K214" s="101"/>
      <c r="L214" s="276" t="str">
        <f>IFERROR(INDEX('G-8 Condition Look up'!$A$3:$H$135,MATCH(AV214,'G-8 Condition Look up'!$A$3:$A$135,0),MATCH(K214,'G-8 Condition Look up'!$A$3:$H$3,0)),"")</f>
        <v/>
      </c>
      <c r="M214" s="105"/>
      <c r="N214" s="295" t="str">
        <f>IF(M214="","",IF(VLOOKUP(M214,'G-3 Multipliers'!$L$3:$N$6,2,FALSE)=0,"Spatial Data Missing ⚠",VLOOKUP(M214,'G-3 Multipliers'!$L$3:$N$6,2,FALSE)))</f>
        <v/>
      </c>
      <c r="O214" s="353" t="str">
        <f>IF(M214="","",IF(VLOOKUP(M214,'G-3 Multipliers'!$L$3:$N$6,3,FALSE)=0,"Spatial Data Missing ⚠",VLOOKUP(M214,'G-3 Multipliers'!$L$3:$N$6,3,FALSE)))</f>
        <v/>
      </c>
      <c r="P214" s="336" t="str">
        <f>(IF(G214="Yes","Bespoke compensation likely to be required",(IFERROR(VLOOKUP(AV214,'G-1 All Habitats'!$B$2:$M$135,12,FALSE),""))))</f>
        <v/>
      </c>
      <c r="Q214" s="511" t="str">
        <f>IFERROR(IF(P214="","",IF(AND(E214="Individual trees",W214&gt;0,G214="Yes"),"Error - you cannot enhance irreplaceable individual trees ▲",IF(P214='G-1 All Habitats'!$X$9,T214*S214,IF(AND(P214='G-1 All Habitats'!$X$9,W214&gt;0),X214+(Y214*S214),IF(AND(P214='G-1 All Habitats'!$X$9,V214&gt;0),X214+(Y214*S214),IF(AND(P214='G-1 All Habitats'!$X$9,AG214&gt;0),"Any Loss Unacceptable  ⚠",IF(AND(P214='G-1 All Habitats'!$X$9,Z214&gt;0),"Any Loss Unacceptable ⚠",H214*J214*L214*O214*S214))))))),"Check Data ⚠")</f>
        <v/>
      </c>
      <c r="R214" s="393"/>
      <c r="S214" s="510" t="str">
        <f>IF(R214="","",IF(VLOOKUP(R214,'G-3 Multipliers'!$S$3:$T$10,2,FALSE)=0,"Spatial Data Missing ⚠",VLOOKUP(R214,'G-3 Multipliers'!$S$3:$T$10,2,FALSE)))</f>
        <v/>
      </c>
      <c r="T214" s="289" t="str">
        <f>IFERROR(IF(AND(F214&lt;&gt;"",G214=""),"Confirm irreplaceable habitat status ▲",(IF(AND(R214&lt;&gt;"",AF214=""),"Off-site reference required ▲",(IF(AND(E214="Individual trees",W214&gt;0,G214="Yes"),"Error - you cannot enhance irreplaceable individual trees ▲",(IF(AND(X214="Irreplaceable habitat - no units generated ⚠",(W214+V214)&lt;H214,OR(AB214="No",AB214="")),"Any Loss Unacceptable ⚠",(IF(X214="Irreplaceable habitat - no units generated ⚠",W214*J214*L214*O214,IF(AND(P214='G-1 All Habitats'!$X$9,AH214&gt;0,V214&lt;=0,W214&lt;=0,OR(AB214="No",AB214="")),"Any Loss Unacceptable ⚠",IF(AND(P214='G-1 All Habitats'!$X$9,AH214&gt;0,V214&lt;=0,W214&lt;=0),0,(IF(AND(P214='G-1 All Habitats'!$X$9,(W214+V214)&lt;H214,OR(AB214="No",AB214="")),"Any Loss Unacceptable ⚠",(IF(P214="","",IF(AND(P214='G-1 All Habitats'!$X$9,W214&gt;0),X214+Y214,IF(AND(P214='G-1 All Habitats'!$X$9,V214&gt;0),X214+Y214,IF(R214="","",H214*J214*L214*O214)))))))))))))))))),"Check Data ▲")</f>
        <v/>
      </c>
      <c r="U214" s="38"/>
      <c r="V214" s="52"/>
      <c r="W214" s="53"/>
      <c r="X214" s="287" t="str">
        <f t="shared" si="29"/>
        <v/>
      </c>
      <c r="Y214" s="287" t="str">
        <f t="shared" si="30"/>
        <v/>
      </c>
      <c r="Z214" s="287" t="str">
        <f t="shared" si="31"/>
        <v/>
      </c>
      <c r="AA214" s="317" t="str">
        <f>IFERROR(IF(AND(E214="Individual trees",G214="Yes",W214&gt;0),"Error - you cannot enhance an irreplaceable tree ▲",(IF(H214="","",IF(H214-V214-W214=0&lt;0,"Error in Areas ▲",IF(V214+W214&gt;H214,"Error in Areas ▲",IF(AND(P214='G-1 All Habitats'!$X$9,AB214="Yes"),"Alternative Compensation ✓",IF(AND(P214='G-1 All Habitats'!$X$3,AB214="Yes"),"Alternative Compensation ✓",IF(AND(AB214="Pending",P214='G-1 All Habitats'!$X$3),"Bespoke compensation must be agreed ▲",IF(AND(AB214="Pending",P214='G-1 All Habitats'!$X$9),"Bespoke compensation must be agreed  ▲",IF(Z214=0,0,IF(P214='G-1 All Habitats'!$X$9,"Any Loss Unacceptable ▲",T214-X214-Y214))))))))))),"Check Data ⚠")</f>
        <v/>
      </c>
      <c r="AB214" s="587"/>
      <c r="AC214" s="105"/>
      <c r="AD214" s="138"/>
      <c r="AE214" s="104"/>
      <c r="AF214" s="611"/>
      <c r="AG214" s="523" t="str">
        <f>IF(OR(P214="",AB214="Yes"),"",IF(P214='G-1 All Habitats'!$X$9,H214-V214-W214,"None"))</f>
        <v/>
      </c>
      <c r="AH214" s="523" t="str">
        <f>IF(P214="","",IF(P214='G-1 All Habitats'!$X$9,AG214*J214*L214*O214,"None"))</f>
        <v/>
      </c>
      <c r="AJ214" s="107" t="str">
        <f t="shared" si="32"/>
        <v/>
      </c>
      <c r="AK214" s="107" t="str">
        <f t="shared" si="27"/>
        <v/>
      </c>
      <c r="AL214" s="107" t="str">
        <f>IF(I214="","",IF(#REF!&gt;0,TRUE,FALSE))</f>
        <v/>
      </c>
      <c r="AM214" s="107">
        <v>204</v>
      </c>
      <c r="AN214" s="107"/>
      <c r="AO214" s="107" t="str">
        <f t="array" ref="AO214">IFERROR(INDEX($AM$11:$AM$259,MATCH(0,IF(TRUE=$AJ$11:$AJ$259,COUNTIF($AO$10:$AO213,$AM$11:$AM$259),""),0)),"")</f>
        <v/>
      </c>
      <c r="AP214" s="107" t="str">
        <f t="array" ref="AP214">IFERROR(INDEX($AM$11:$AM$259,MATCH(0,IF(TRUE=$AK$11:$AK$259,COUNTIF($AP$10:$AP213,$AM$11:$AM$259),""),0)),"")</f>
        <v/>
      </c>
      <c r="AQ214" s="107" t="str">
        <f t="array" ref="AQ214">IFERROR(INDEX($AM$11:$AM$259,MATCH(0,IF(TRUE=$AL$11:$AL$259,COUNTIF($AQ$10:$AQ213,$AM$11:$AM$259),""),0)),"")</f>
        <v/>
      </c>
      <c r="AS214" s="885" t="str">
        <f>IF(AND(OR(AB214="Yes",AB214="Pending"),P214='G-1 All Habitats'!$X$3),T214-X214-Y214,"0")</f>
        <v>0</v>
      </c>
      <c r="AT214" s="30" t="str">
        <f t="shared" si="28"/>
        <v/>
      </c>
      <c r="AU214" s="30">
        <f t="shared" si="33"/>
        <v>0</v>
      </c>
      <c r="AV214" s="230" t="str">
        <f>IFERROR(INDEX('G-1 All Habitats'!$B$3:$B$135,MATCH(F214,'G-1 All Habitats'!$A$3:$A$135,0)),"")</f>
        <v/>
      </c>
      <c r="AW214" s="30" t="str">
        <f>IF(AV214="","",VLOOKUP(AV214,'G-1 All Habitats'!$B$1:$T$135,19,FALSE))</f>
        <v/>
      </c>
      <c r="AY214" s="287" t="str">
        <f t="shared" si="34"/>
        <v/>
      </c>
    </row>
    <row r="215" spans="1:51" ht="14">
      <c r="A215" s="30" t="str">
        <f>IFERROR(INDEX('G-1 All Habitats'!$AG$3:$AG$17,MATCH(E215,'G-1 All Habitats'!$AF$3:$AF$17,0)),"")</f>
        <v/>
      </c>
      <c r="B215" s="30" t="str">
        <f>IFERROR(INDEX('G-8 Condition Look up'!$I$4:$I$135,MATCH(AV215,'G-8 Condition Look up'!$A$4:$A$135,0)),"")</f>
        <v/>
      </c>
      <c r="D215" s="97">
        <v>205</v>
      </c>
      <c r="E215" s="262"/>
      <c r="F215" s="263"/>
      <c r="G215" s="133"/>
      <c r="H215" s="115"/>
      <c r="I215" s="509" t="str">
        <f>IF(AV215="","",IF(AND(AW215="Yes",G215="No"),"Irreplaceable habitat ▲",IF(AND(AW215="No",G215="Yes"),"Cannot be Irreplaceable ▲",VLOOKUP(AV215,'G-1 All Habitats'!$B$2:$M$135,10,FALSE))))</f>
        <v/>
      </c>
      <c r="J215" s="377" t="str">
        <f>IFERROR(VLOOKUP(I215,'G-1 All Habitats'!$V$3:$W$7,2,FALSE),"")</f>
        <v/>
      </c>
      <c r="K215" s="101"/>
      <c r="L215" s="276" t="str">
        <f>IFERROR(INDEX('G-8 Condition Look up'!$A$3:$H$135,MATCH(AV215,'G-8 Condition Look up'!$A$3:$A$135,0),MATCH(K215,'G-8 Condition Look up'!$A$3:$H$3,0)),"")</f>
        <v/>
      </c>
      <c r="M215" s="105"/>
      <c r="N215" s="295" t="str">
        <f>IF(M215="","",IF(VLOOKUP(M215,'G-3 Multipliers'!$L$3:$N$6,2,FALSE)=0,"Spatial Data Missing ⚠",VLOOKUP(M215,'G-3 Multipliers'!$L$3:$N$6,2,FALSE)))</f>
        <v/>
      </c>
      <c r="O215" s="353" t="str">
        <f>IF(M215="","",IF(VLOOKUP(M215,'G-3 Multipliers'!$L$3:$N$6,3,FALSE)=0,"Spatial Data Missing ⚠",VLOOKUP(M215,'G-3 Multipliers'!$L$3:$N$6,3,FALSE)))</f>
        <v/>
      </c>
      <c r="P215" s="336" t="str">
        <f>(IF(G215="Yes","Bespoke compensation likely to be required",(IFERROR(VLOOKUP(AV215,'G-1 All Habitats'!$B$2:$M$135,12,FALSE),""))))</f>
        <v/>
      </c>
      <c r="Q215" s="511" t="str">
        <f>IFERROR(IF(P215="","",IF(AND(E215="Individual trees",W215&gt;0,G215="Yes"),"Error - you cannot enhance irreplaceable individual trees ▲",IF(P215='G-1 All Habitats'!$X$9,T215*S215,IF(AND(P215='G-1 All Habitats'!$X$9,W215&gt;0),X215+(Y215*S215),IF(AND(P215='G-1 All Habitats'!$X$9,V215&gt;0),X215+(Y215*S215),IF(AND(P215='G-1 All Habitats'!$X$9,AG215&gt;0),"Any Loss Unacceptable  ⚠",IF(AND(P215='G-1 All Habitats'!$X$9,Z215&gt;0),"Any Loss Unacceptable ⚠",H215*J215*L215*O215*S215))))))),"Check Data ⚠")</f>
        <v/>
      </c>
      <c r="R215" s="393"/>
      <c r="S215" s="510" t="str">
        <f>IF(R215="","",IF(VLOOKUP(R215,'G-3 Multipliers'!$S$3:$T$10,2,FALSE)=0,"Spatial Data Missing ⚠",VLOOKUP(R215,'G-3 Multipliers'!$S$3:$T$10,2,FALSE)))</f>
        <v/>
      </c>
      <c r="T215" s="289" t="str">
        <f>IFERROR(IF(AND(F215&lt;&gt;"",G215=""),"Confirm irreplaceable habitat status ▲",(IF(AND(R215&lt;&gt;"",AF215=""),"Off-site reference required ▲",(IF(AND(E215="Individual trees",W215&gt;0,G215="Yes"),"Error - you cannot enhance irreplaceable individual trees ▲",(IF(AND(X215="Irreplaceable habitat - no units generated ⚠",(W215+V215)&lt;H215,OR(AB215="No",AB215="")),"Any Loss Unacceptable ⚠",(IF(X215="Irreplaceable habitat - no units generated ⚠",W215*J215*L215*O215,IF(AND(P215='G-1 All Habitats'!$X$9,AH215&gt;0,V215&lt;=0,W215&lt;=0,OR(AB215="No",AB215="")),"Any Loss Unacceptable ⚠",IF(AND(P215='G-1 All Habitats'!$X$9,AH215&gt;0,V215&lt;=0,W215&lt;=0),0,(IF(AND(P215='G-1 All Habitats'!$X$9,(W215+V215)&lt;H215,OR(AB215="No",AB215="")),"Any Loss Unacceptable ⚠",(IF(P215="","",IF(AND(P215='G-1 All Habitats'!$X$9,W215&gt;0),X215+Y215,IF(AND(P215='G-1 All Habitats'!$X$9,V215&gt;0),X215+Y215,IF(R215="","",H215*J215*L215*O215)))))))))))))))))),"Check Data ▲")</f>
        <v/>
      </c>
      <c r="U215" s="38"/>
      <c r="V215" s="52"/>
      <c r="W215" s="53"/>
      <c r="X215" s="287" t="str">
        <f t="shared" si="29"/>
        <v/>
      </c>
      <c r="Y215" s="287" t="str">
        <f t="shared" si="30"/>
        <v/>
      </c>
      <c r="Z215" s="287" t="str">
        <f t="shared" si="31"/>
        <v/>
      </c>
      <c r="AA215" s="317" t="str">
        <f>IFERROR(IF(AND(E215="Individual trees",G215="Yes",W215&gt;0),"Error - you cannot enhance an irreplaceable tree ▲",(IF(H215="","",IF(H215-V215-W215=0&lt;0,"Error in Areas ▲",IF(V215+W215&gt;H215,"Error in Areas ▲",IF(AND(P215='G-1 All Habitats'!$X$9,AB215="Yes"),"Alternative Compensation ✓",IF(AND(P215='G-1 All Habitats'!$X$3,AB215="Yes"),"Alternative Compensation ✓",IF(AND(AB215="Pending",P215='G-1 All Habitats'!$X$3),"Bespoke compensation must be agreed ▲",IF(AND(AB215="Pending",P215='G-1 All Habitats'!$X$9),"Bespoke compensation must be agreed  ▲",IF(Z215=0,0,IF(P215='G-1 All Habitats'!$X$9,"Any Loss Unacceptable ▲",T215-X215-Y215))))))))))),"Check Data ⚠")</f>
        <v/>
      </c>
      <c r="AB215" s="587"/>
      <c r="AC215" s="105"/>
      <c r="AD215" s="138"/>
      <c r="AE215" s="104"/>
      <c r="AF215" s="611"/>
      <c r="AG215" s="523" t="str">
        <f>IF(OR(P215="",AB215="Yes"),"",IF(P215='G-1 All Habitats'!$X$9,H215-V215-W215,"None"))</f>
        <v/>
      </c>
      <c r="AH215" s="523" t="str">
        <f>IF(P215="","",IF(P215='G-1 All Habitats'!$X$9,AG215*J215*L215*O215,"None"))</f>
        <v/>
      </c>
      <c r="AJ215" s="107" t="str">
        <f t="shared" si="32"/>
        <v/>
      </c>
      <c r="AK215" s="107" t="str">
        <f t="shared" si="27"/>
        <v/>
      </c>
      <c r="AL215" s="107" t="str">
        <f>IF(I215="","",IF(#REF!&gt;0,TRUE,FALSE))</f>
        <v/>
      </c>
      <c r="AM215" s="107">
        <v>205</v>
      </c>
      <c r="AN215" s="107"/>
      <c r="AO215" s="107" t="str">
        <f t="array" ref="AO215">IFERROR(INDEX($AM$11:$AM$259,MATCH(0,IF(TRUE=$AJ$11:$AJ$259,COUNTIF($AO$10:$AO214,$AM$11:$AM$259),""),0)),"")</f>
        <v/>
      </c>
      <c r="AP215" s="107" t="str">
        <f t="array" ref="AP215">IFERROR(INDEX($AM$11:$AM$259,MATCH(0,IF(TRUE=$AK$11:$AK$259,COUNTIF($AP$10:$AP214,$AM$11:$AM$259),""),0)),"")</f>
        <v/>
      </c>
      <c r="AQ215" s="107" t="str">
        <f t="array" ref="AQ215">IFERROR(INDEX($AM$11:$AM$259,MATCH(0,IF(TRUE=$AL$11:$AL$259,COUNTIF($AQ$10:$AQ214,$AM$11:$AM$259),""),0)),"")</f>
        <v/>
      </c>
      <c r="AS215" s="885" t="str">
        <f>IF(AND(OR(AB215="Yes",AB215="Pending"),P215='G-1 All Habitats'!$X$3),T215-X215-Y215,"0")</f>
        <v>0</v>
      </c>
      <c r="AT215" s="30" t="str">
        <f t="shared" si="28"/>
        <v/>
      </c>
      <c r="AU215" s="30">
        <f t="shared" si="33"/>
        <v>0</v>
      </c>
      <c r="AV215" s="230" t="str">
        <f>IFERROR(INDEX('G-1 All Habitats'!$B$3:$B$135,MATCH(F215,'G-1 All Habitats'!$A$3:$A$135,0)),"")</f>
        <v/>
      </c>
      <c r="AW215" s="30" t="str">
        <f>IF(AV215="","",VLOOKUP(AV215,'G-1 All Habitats'!$B$1:$T$135,19,FALSE))</f>
        <v/>
      </c>
      <c r="AY215" s="287" t="str">
        <f t="shared" si="34"/>
        <v/>
      </c>
    </row>
    <row r="216" spans="1:51" ht="14">
      <c r="A216" s="30" t="str">
        <f>IFERROR(INDEX('G-1 All Habitats'!$AG$3:$AG$17,MATCH(E216,'G-1 All Habitats'!$AF$3:$AF$17,0)),"")</f>
        <v/>
      </c>
      <c r="B216" s="30" t="str">
        <f>IFERROR(INDEX('G-8 Condition Look up'!$I$4:$I$135,MATCH(AV216,'G-8 Condition Look up'!$A$4:$A$135,0)),"")</f>
        <v/>
      </c>
      <c r="D216" s="97">
        <v>206</v>
      </c>
      <c r="E216" s="262"/>
      <c r="F216" s="263"/>
      <c r="G216" s="133"/>
      <c r="H216" s="115"/>
      <c r="I216" s="509" t="str">
        <f>IF(AV216="","",IF(AND(AW216="Yes",G216="No"),"Irreplaceable habitat ▲",IF(AND(AW216="No",G216="Yes"),"Cannot be Irreplaceable ▲",VLOOKUP(AV216,'G-1 All Habitats'!$B$2:$M$135,10,FALSE))))</f>
        <v/>
      </c>
      <c r="J216" s="377" t="str">
        <f>IFERROR(VLOOKUP(I216,'G-1 All Habitats'!$V$3:$W$7,2,FALSE),"")</f>
        <v/>
      </c>
      <c r="K216" s="101"/>
      <c r="L216" s="276" t="str">
        <f>IFERROR(INDEX('G-8 Condition Look up'!$A$3:$H$135,MATCH(AV216,'G-8 Condition Look up'!$A$3:$A$135,0),MATCH(K216,'G-8 Condition Look up'!$A$3:$H$3,0)),"")</f>
        <v/>
      </c>
      <c r="M216" s="105"/>
      <c r="N216" s="295" t="str">
        <f>IF(M216="","",IF(VLOOKUP(M216,'G-3 Multipliers'!$L$3:$N$6,2,FALSE)=0,"Spatial Data Missing ⚠",VLOOKUP(M216,'G-3 Multipliers'!$L$3:$N$6,2,FALSE)))</f>
        <v/>
      </c>
      <c r="O216" s="353" t="str">
        <f>IF(M216="","",IF(VLOOKUP(M216,'G-3 Multipliers'!$L$3:$N$6,3,FALSE)=0,"Spatial Data Missing ⚠",VLOOKUP(M216,'G-3 Multipliers'!$L$3:$N$6,3,FALSE)))</f>
        <v/>
      </c>
      <c r="P216" s="336" t="str">
        <f>(IF(G216="Yes","Bespoke compensation likely to be required",(IFERROR(VLOOKUP(AV216,'G-1 All Habitats'!$B$2:$M$135,12,FALSE),""))))</f>
        <v/>
      </c>
      <c r="Q216" s="511" t="str">
        <f>IFERROR(IF(P216="","",IF(AND(E216="Individual trees",W216&gt;0,G216="Yes"),"Error - you cannot enhance irreplaceable individual trees ▲",IF(P216='G-1 All Habitats'!$X$9,T216*S216,IF(AND(P216='G-1 All Habitats'!$X$9,W216&gt;0),X216+(Y216*S216),IF(AND(P216='G-1 All Habitats'!$X$9,V216&gt;0),X216+(Y216*S216),IF(AND(P216='G-1 All Habitats'!$X$9,AG216&gt;0),"Any Loss Unacceptable  ⚠",IF(AND(P216='G-1 All Habitats'!$X$9,Z216&gt;0),"Any Loss Unacceptable ⚠",H216*J216*L216*O216*S216))))))),"Check Data ⚠")</f>
        <v/>
      </c>
      <c r="R216" s="393"/>
      <c r="S216" s="510" t="str">
        <f>IF(R216="","",IF(VLOOKUP(R216,'G-3 Multipliers'!$S$3:$T$10,2,FALSE)=0,"Spatial Data Missing ⚠",VLOOKUP(R216,'G-3 Multipliers'!$S$3:$T$10,2,FALSE)))</f>
        <v/>
      </c>
      <c r="T216" s="289" t="str">
        <f>IFERROR(IF(AND(F216&lt;&gt;"",G216=""),"Confirm irreplaceable habitat status ▲",(IF(AND(R216&lt;&gt;"",AF216=""),"Off-site reference required ▲",(IF(AND(E216="Individual trees",W216&gt;0,G216="Yes"),"Error - you cannot enhance irreplaceable individual trees ▲",(IF(AND(X216="Irreplaceable habitat - no units generated ⚠",(W216+V216)&lt;H216,OR(AB216="No",AB216="")),"Any Loss Unacceptable ⚠",(IF(X216="Irreplaceable habitat - no units generated ⚠",W216*J216*L216*O216,IF(AND(P216='G-1 All Habitats'!$X$9,AH216&gt;0,V216&lt;=0,W216&lt;=0,OR(AB216="No",AB216="")),"Any Loss Unacceptable ⚠",IF(AND(P216='G-1 All Habitats'!$X$9,AH216&gt;0,V216&lt;=0,W216&lt;=0),0,(IF(AND(P216='G-1 All Habitats'!$X$9,(W216+V216)&lt;H216,OR(AB216="No",AB216="")),"Any Loss Unacceptable ⚠",(IF(P216="","",IF(AND(P216='G-1 All Habitats'!$X$9,W216&gt;0),X216+Y216,IF(AND(P216='G-1 All Habitats'!$X$9,V216&gt;0),X216+Y216,IF(R216="","",H216*J216*L216*O216)))))))))))))))))),"Check Data ▲")</f>
        <v/>
      </c>
      <c r="U216" s="38"/>
      <c r="V216" s="52"/>
      <c r="W216" s="53"/>
      <c r="X216" s="287" t="str">
        <f t="shared" si="29"/>
        <v/>
      </c>
      <c r="Y216" s="287" t="str">
        <f t="shared" si="30"/>
        <v/>
      </c>
      <c r="Z216" s="287" t="str">
        <f t="shared" si="31"/>
        <v/>
      </c>
      <c r="AA216" s="317" t="str">
        <f>IFERROR(IF(AND(E216="Individual trees",G216="Yes",W216&gt;0),"Error - you cannot enhance an irreplaceable tree ▲",(IF(H216="","",IF(H216-V216-W216=0&lt;0,"Error in Areas ▲",IF(V216+W216&gt;H216,"Error in Areas ▲",IF(AND(P216='G-1 All Habitats'!$X$9,AB216="Yes"),"Alternative Compensation ✓",IF(AND(P216='G-1 All Habitats'!$X$3,AB216="Yes"),"Alternative Compensation ✓",IF(AND(AB216="Pending",P216='G-1 All Habitats'!$X$3),"Bespoke compensation must be agreed ▲",IF(AND(AB216="Pending",P216='G-1 All Habitats'!$X$9),"Bespoke compensation must be agreed  ▲",IF(Z216=0,0,IF(P216='G-1 All Habitats'!$X$9,"Any Loss Unacceptable ▲",T216-X216-Y216))))))))))),"Check Data ⚠")</f>
        <v/>
      </c>
      <c r="AB216" s="587"/>
      <c r="AC216" s="105"/>
      <c r="AD216" s="138"/>
      <c r="AE216" s="104"/>
      <c r="AF216" s="611"/>
      <c r="AG216" s="523" t="str">
        <f>IF(OR(P216="",AB216="Yes"),"",IF(P216='G-1 All Habitats'!$X$9,H216-V216-W216,"None"))</f>
        <v/>
      </c>
      <c r="AH216" s="523" t="str">
        <f>IF(P216="","",IF(P216='G-1 All Habitats'!$X$9,AG216*J216*L216*O216,"None"))</f>
        <v/>
      </c>
      <c r="AJ216" s="107" t="str">
        <f t="shared" si="32"/>
        <v/>
      </c>
      <c r="AK216" s="107" t="str">
        <f t="shared" si="27"/>
        <v/>
      </c>
      <c r="AL216" s="107" t="str">
        <f>IF(I216="","",IF(#REF!&gt;0,TRUE,FALSE))</f>
        <v/>
      </c>
      <c r="AM216" s="107">
        <v>206</v>
      </c>
      <c r="AN216" s="107"/>
      <c r="AO216" s="107" t="str">
        <f t="array" ref="AO216">IFERROR(INDEX($AM$11:$AM$259,MATCH(0,IF(TRUE=$AJ$11:$AJ$259,COUNTIF($AO$10:$AO215,$AM$11:$AM$259),""),0)),"")</f>
        <v/>
      </c>
      <c r="AP216" s="107" t="str">
        <f t="array" ref="AP216">IFERROR(INDEX($AM$11:$AM$259,MATCH(0,IF(TRUE=$AK$11:$AK$259,COUNTIF($AP$10:$AP215,$AM$11:$AM$259),""),0)),"")</f>
        <v/>
      </c>
      <c r="AQ216" s="107" t="str">
        <f t="array" ref="AQ216">IFERROR(INDEX($AM$11:$AM$259,MATCH(0,IF(TRUE=$AL$11:$AL$259,COUNTIF($AQ$10:$AQ215,$AM$11:$AM$259),""),0)),"")</f>
        <v/>
      </c>
      <c r="AS216" s="885" t="str">
        <f>IF(AND(OR(AB216="Yes",AB216="Pending"),P216='G-1 All Habitats'!$X$3),T216-X216-Y216,"0")</f>
        <v>0</v>
      </c>
      <c r="AT216" s="30" t="str">
        <f t="shared" si="28"/>
        <v/>
      </c>
      <c r="AU216" s="30">
        <f t="shared" si="33"/>
        <v>0</v>
      </c>
      <c r="AV216" s="230" t="str">
        <f>IFERROR(INDEX('G-1 All Habitats'!$B$3:$B$135,MATCH(F216,'G-1 All Habitats'!$A$3:$A$135,0)),"")</f>
        <v/>
      </c>
      <c r="AW216" s="30" t="str">
        <f>IF(AV216="","",VLOOKUP(AV216,'G-1 All Habitats'!$B$1:$T$135,19,FALSE))</f>
        <v/>
      </c>
      <c r="AY216" s="287" t="str">
        <f t="shared" si="34"/>
        <v/>
      </c>
    </row>
    <row r="217" spans="1:51" ht="14">
      <c r="A217" s="30" t="str">
        <f>IFERROR(INDEX('G-1 All Habitats'!$AG$3:$AG$17,MATCH(E217,'G-1 All Habitats'!$AF$3:$AF$17,0)),"")</f>
        <v/>
      </c>
      <c r="B217" s="30" t="str">
        <f>IFERROR(INDEX('G-8 Condition Look up'!$I$4:$I$135,MATCH(AV217,'G-8 Condition Look up'!$A$4:$A$135,0)),"")</f>
        <v/>
      </c>
      <c r="D217" s="97">
        <v>207</v>
      </c>
      <c r="E217" s="262"/>
      <c r="F217" s="263"/>
      <c r="G217" s="133"/>
      <c r="H217" s="115"/>
      <c r="I217" s="509" t="str">
        <f>IF(AV217="","",IF(AND(AW217="Yes",G217="No"),"Irreplaceable habitat ▲",IF(AND(AW217="No",G217="Yes"),"Cannot be Irreplaceable ▲",VLOOKUP(AV217,'G-1 All Habitats'!$B$2:$M$135,10,FALSE))))</f>
        <v/>
      </c>
      <c r="J217" s="377" t="str">
        <f>IFERROR(VLOOKUP(I217,'G-1 All Habitats'!$V$3:$W$7,2,FALSE),"")</f>
        <v/>
      </c>
      <c r="K217" s="101"/>
      <c r="L217" s="276" t="str">
        <f>IFERROR(INDEX('G-8 Condition Look up'!$A$3:$H$135,MATCH(AV217,'G-8 Condition Look up'!$A$3:$A$135,0),MATCH(K217,'G-8 Condition Look up'!$A$3:$H$3,0)),"")</f>
        <v/>
      </c>
      <c r="M217" s="105"/>
      <c r="N217" s="295" t="str">
        <f>IF(M217="","",IF(VLOOKUP(M217,'G-3 Multipliers'!$L$3:$N$6,2,FALSE)=0,"Spatial Data Missing ⚠",VLOOKUP(M217,'G-3 Multipliers'!$L$3:$N$6,2,FALSE)))</f>
        <v/>
      </c>
      <c r="O217" s="353" t="str">
        <f>IF(M217="","",IF(VLOOKUP(M217,'G-3 Multipliers'!$L$3:$N$6,3,FALSE)=0,"Spatial Data Missing ⚠",VLOOKUP(M217,'G-3 Multipliers'!$L$3:$N$6,3,FALSE)))</f>
        <v/>
      </c>
      <c r="P217" s="336" t="str">
        <f>(IF(G217="Yes","Bespoke compensation likely to be required",(IFERROR(VLOOKUP(AV217,'G-1 All Habitats'!$B$2:$M$135,12,FALSE),""))))</f>
        <v/>
      </c>
      <c r="Q217" s="511" t="str">
        <f>IFERROR(IF(P217="","",IF(AND(E217="Individual trees",W217&gt;0,G217="Yes"),"Error - you cannot enhance irreplaceable individual trees ▲",IF(P217='G-1 All Habitats'!$X$9,T217*S217,IF(AND(P217='G-1 All Habitats'!$X$9,W217&gt;0),X217+(Y217*S217),IF(AND(P217='G-1 All Habitats'!$X$9,V217&gt;0),X217+(Y217*S217),IF(AND(P217='G-1 All Habitats'!$X$9,AG217&gt;0),"Any Loss Unacceptable  ⚠",IF(AND(P217='G-1 All Habitats'!$X$9,Z217&gt;0),"Any Loss Unacceptable ⚠",H217*J217*L217*O217*S217))))))),"Check Data ⚠")</f>
        <v/>
      </c>
      <c r="R217" s="393"/>
      <c r="S217" s="510" t="str">
        <f>IF(R217="","",IF(VLOOKUP(R217,'G-3 Multipliers'!$S$3:$T$10,2,FALSE)=0,"Spatial Data Missing ⚠",VLOOKUP(R217,'G-3 Multipliers'!$S$3:$T$10,2,FALSE)))</f>
        <v/>
      </c>
      <c r="T217" s="289" t="str">
        <f>IFERROR(IF(AND(F217&lt;&gt;"",G217=""),"Confirm irreplaceable habitat status ▲",(IF(AND(R217&lt;&gt;"",AF217=""),"Off-site reference required ▲",(IF(AND(E217="Individual trees",W217&gt;0,G217="Yes"),"Error - you cannot enhance irreplaceable individual trees ▲",(IF(AND(X217="Irreplaceable habitat - no units generated ⚠",(W217+V217)&lt;H217,OR(AB217="No",AB217="")),"Any Loss Unacceptable ⚠",(IF(X217="Irreplaceable habitat - no units generated ⚠",W217*J217*L217*O217,IF(AND(P217='G-1 All Habitats'!$X$9,AH217&gt;0,V217&lt;=0,W217&lt;=0,OR(AB217="No",AB217="")),"Any Loss Unacceptable ⚠",IF(AND(P217='G-1 All Habitats'!$X$9,AH217&gt;0,V217&lt;=0,W217&lt;=0),0,(IF(AND(P217='G-1 All Habitats'!$X$9,(W217+V217)&lt;H217,OR(AB217="No",AB217="")),"Any Loss Unacceptable ⚠",(IF(P217="","",IF(AND(P217='G-1 All Habitats'!$X$9,W217&gt;0),X217+Y217,IF(AND(P217='G-1 All Habitats'!$X$9,V217&gt;0),X217+Y217,IF(R217="","",H217*J217*L217*O217)))))))))))))))))),"Check Data ▲")</f>
        <v/>
      </c>
      <c r="U217" s="38"/>
      <c r="V217" s="52"/>
      <c r="W217" s="53"/>
      <c r="X217" s="287" t="str">
        <f t="shared" si="29"/>
        <v/>
      </c>
      <c r="Y217" s="287" t="str">
        <f t="shared" si="30"/>
        <v/>
      </c>
      <c r="Z217" s="287" t="str">
        <f t="shared" si="31"/>
        <v/>
      </c>
      <c r="AA217" s="317" t="str">
        <f>IFERROR(IF(AND(E217="Individual trees",G217="Yes",W217&gt;0),"Error - you cannot enhance an irreplaceable tree ▲",(IF(H217="","",IF(H217-V217-W217=0&lt;0,"Error in Areas ▲",IF(V217+W217&gt;H217,"Error in Areas ▲",IF(AND(P217='G-1 All Habitats'!$X$9,AB217="Yes"),"Alternative Compensation ✓",IF(AND(P217='G-1 All Habitats'!$X$3,AB217="Yes"),"Alternative Compensation ✓",IF(AND(AB217="Pending",P217='G-1 All Habitats'!$X$3),"Bespoke compensation must be agreed ▲",IF(AND(AB217="Pending",P217='G-1 All Habitats'!$X$9),"Bespoke compensation must be agreed  ▲",IF(Z217=0,0,IF(P217='G-1 All Habitats'!$X$9,"Any Loss Unacceptable ▲",T217-X217-Y217))))))))))),"Check Data ⚠")</f>
        <v/>
      </c>
      <c r="AB217" s="587"/>
      <c r="AC217" s="105"/>
      <c r="AD217" s="138"/>
      <c r="AE217" s="104"/>
      <c r="AF217" s="611"/>
      <c r="AG217" s="523" t="str">
        <f>IF(OR(P217="",AB217="Yes"),"",IF(P217='G-1 All Habitats'!$X$9,H217-V217-W217,"None"))</f>
        <v/>
      </c>
      <c r="AH217" s="523" t="str">
        <f>IF(P217="","",IF(P217='G-1 All Habitats'!$X$9,AG217*J217*L217*O217,"None"))</f>
        <v/>
      </c>
      <c r="AJ217" s="107" t="str">
        <f t="shared" si="32"/>
        <v/>
      </c>
      <c r="AK217" s="107" t="str">
        <f t="shared" si="27"/>
        <v/>
      </c>
      <c r="AL217" s="107" t="str">
        <f>IF(I217="","",IF(#REF!&gt;0,TRUE,FALSE))</f>
        <v/>
      </c>
      <c r="AM217" s="107">
        <v>207</v>
      </c>
      <c r="AN217" s="107"/>
      <c r="AO217" s="107" t="str">
        <f t="array" ref="AO217">IFERROR(INDEX($AM$11:$AM$259,MATCH(0,IF(TRUE=$AJ$11:$AJ$259,COUNTIF($AO$10:$AO216,$AM$11:$AM$259),""),0)),"")</f>
        <v/>
      </c>
      <c r="AP217" s="107" t="str">
        <f t="array" ref="AP217">IFERROR(INDEX($AM$11:$AM$259,MATCH(0,IF(TRUE=$AK$11:$AK$259,COUNTIF($AP$10:$AP216,$AM$11:$AM$259),""),0)),"")</f>
        <v/>
      </c>
      <c r="AQ217" s="107" t="str">
        <f t="array" ref="AQ217">IFERROR(INDEX($AM$11:$AM$259,MATCH(0,IF(TRUE=$AL$11:$AL$259,COUNTIF($AQ$10:$AQ216,$AM$11:$AM$259),""),0)),"")</f>
        <v/>
      </c>
      <c r="AS217" s="885" t="str">
        <f>IF(AND(OR(AB217="Yes",AB217="Pending"),P217='G-1 All Habitats'!$X$3),T217-X217-Y217,"0")</f>
        <v>0</v>
      </c>
      <c r="AT217" s="30" t="str">
        <f t="shared" si="28"/>
        <v/>
      </c>
      <c r="AU217" s="30">
        <f t="shared" si="33"/>
        <v>0</v>
      </c>
      <c r="AV217" s="230" t="str">
        <f>IFERROR(INDEX('G-1 All Habitats'!$B$3:$B$135,MATCH(F217,'G-1 All Habitats'!$A$3:$A$135,0)),"")</f>
        <v/>
      </c>
      <c r="AW217" s="30" t="str">
        <f>IF(AV217="","",VLOOKUP(AV217,'G-1 All Habitats'!$B$1:$T$135,19,FALSE))</f>
        <v/>
      </c>
      <c r="AY217" s="287" t="str">
        <f t="shared" si="34"/>
        <v/>
      </c>
    </row>
    <row r="218" spans="1:51" ht="14">
      <c r="A218" s="30" t="str">
        <f>IFERROR(INDEX('G-1 All Habitats'!$AG$3:$AG$17,MATCH(E218,'G-1 All Habitats'!$AF$3:$AF$17,0)),"")</f>
        <v/>
      </c>
      <c r="B218" s="30" t="str">
        <f>IFERROR(INDEX('G-8 Condition Look up'!$I$4:$I$135,MATCH(AV218,'G-8 Condition Look up'!$A$4:$A$135,0)),"")</f>
        <v/>
      </c>
      <c r="D218" s="97">
        <v>208</v>
      </c>
      <c r="E218" s="262"/>
      <c r="F218" s="263"/>
      <c r="G218" s="133"/>
      <c r="H218" s="115"/>
      <c r="I218" s="509" t="str">
        <f>IF(AV218="","",IF(AND(AW218="Yes",G218="No"),"Irreplaceable habitat ▲",IF(AND(AW218="No",G218="Yes"),"Cannot be Irreplaceable ▲",VLOOKUP(AV218,'G-1 All Habitats'!$B$2:$M$135,10,FALSE))))</f>
        <v/>
      </c>
      <c r="J218" s="377" t="str">
        <f>IFERROR(VLOOKUP(I218,'G-1 All Habitats'!$V$3:$W$7,2,FALSE),"")</f>
        <v/>
      </c>
      <c r="K218" s="101"/>
      <c r="L218" s="276" t="str">
        <f>IFERROR(INDEX('G-8 Condition Look up'!$A$3:$H$135,MATCH(AV218,'G-8 Condition Look up'!$A$3:$A$135,0),MATCH(K218,'G-8 Condition Look up'!$A$3:$H$3,0)),"")</f>
        <v/>
      </c>
      <c r="M218" s="105"/>
      <c r="N218" s="295" t="str">
        <f>IF(M218="","",IF(VLOOKUP(M218,'G-3 Multipliers'!$L$3:$N$6,2,FALSE)=0,"Spatial Data Missing ⚠",VLOOKUP(M218,'G-3 Multipliers'!$L$3:$N$6,2,FALSE)))</f>
        <v/>
      </c>
      <c r="O218" s="353" t="str">
        <f>IF(M218="","",IF(VLOOKUP(M218,'G-3 Multipliers'!$L$3:$N$6,3,FALSE)=0,"Spatial Data Missing ⚠",VLOOKUP(M218,'G-3 Multipliers'!$L$3:$N$6,3,FALSE)))</f>
        <v/>
      </c>
      <c r="P218" s="336" t="str">
        <f>(IF(G218="Yes","Bespoke compensation likely to be required",(IFERROR(VLOOKUP(AV218,'G-1 All Habitats'!$B$2:$M$135,12,FALSE),""))))</f>
        <v/>
      </c>
      <c r="Q218" s="511" t="str">
        <f>IFERROR(IF(P218="","",IF(AND(E218="Individual trees",W218&gt;0,G218="Yes"),"Error - you cannot enhance irreplaceable individual trees ▲",IF(P218='G-1 All Habitats'!$X$9,T218*S218,IF(AND(P218='G-1 All Habitats'!$X$9,W218&gt;0),X218+(Y218*S218),IF(AND(P218='G-1 All Habitats'!$X$9,V218&gt;0),X218+(Y218*S218),IF(AND(P218='G-1 All Habitats'!$X$9,AG218&gt;0),"Any Loss Unacceptable  ⚠",IF(AND(P218='G-1 All Habitats'!$X$9,Z218&gt;0),"Any Loss Unacceptable ⚠",H218*J218*L218*O218*S218))))))),"Check Data ⚠")</f>
        <v/>
      </c>
      <c r="R218" s="393"/>
      <c r="S218" s="510" t="str">
        <f>IF(R218="","",IF(VLOOKUP(R218,'G-3 Multipliers'!$S$3:$T$10,2,FALSE)=0,"Spatial Data Missing ⚠",VLOOKUP(R218,'G-3 Multipliers'!$S$3:$T$10,2,FALSE)))</f>
        <v/>
      </c>
      <c r="T218" s="289" t="str">
        <f>IFERROR(IF(AND(F218&lt;&gt;"",G218=""),"Confirm irreplaceable habitat status ▲",(IF(AND(R218&lt;&gt;"",AF218=""),"Off-site reference required ▲",(IF(AND(E218="Individual trees",W218&gt;0,G218="Yes"),"Error - you cannot enhance irreplaceable individual trees ▲",(IF(AND(X218="Irreplaceable habitat - no units generated ⚠",(W218+V218)&lt;H218,OR(AB218="No",AB218="")),"Any Loss Unacceptable ⚠",(IF(X218="Irreplaceable habitat - no units generated ⚠",W218*J218*L218*O218,IF(AND(P218='G-1 All Habitats'!$X$9,AH218&gt;0,V218&lt;=0,W218&lt;=0,OR(AB218="No",AB218="")),"Any Loss Unacceptable ⚠",IF(AND(P218='G-1 All Habitats'!$X$9,AH218&gt;0,V218&lt;=0,W218&lt;=0),0,(IF(AND(P218='G-1 All Habitats'!$X$9,(W218+V218)&lt;H218,OR(AB218="No",AB218="")),"Any Loss Unacceptable ⚠",(IF(P218="","",IF(AND(P218='G-1 All Habitats'!$X$9,W218&gt;0),X218+Y218,IF(AND(P218='G-1 All Habitats'!$X$9,V218&gt;0),X218+Y218,IF(R218="","",H218*J218*L218*O218)))))))))))))))))),"Check Data ▲")</f>
        <v/>
      </c>
      <c r="U218" s="38"/>
      <c r="V218" s="52"/>
      <c r="W218" s="53"/>
      <c r="X218" s="287" t="str">
        <f t="shared" si="29"/>
        <v/>
      </c>
      <c r="Y218" s="287" t="str">
        <f t="shared" si="30"/>
        <v/>
      </c>
      <c r="Z218" s="287" t="str">
        <f t="shared" si="31"/>
        <v/>
      </c>
      <c r="AA218" s="317" t="str">
        <f>IFERROR(IF(AND(E218="Individual trees",G218="Yes",W218&gt;0),"Error - you cannot enhance an irreplaceable tree ▲",(IF(H218="","",IF(H218-V218-W218=0&lt;0,"Error in Areas ▲",IF(V218+W218&gt;H218,"Error in Areas ▲",IF(AND(P218='G-1 All Habitats'!$X$9,AB218="Yes"),"Alternative Compensation ✓",IF(AND(P218='G-1 All Habitats'!$X$3,AB218="Yes"),"Alternative Compensation ✓",IF(AND(AB218="Pending",P218='G-1 All Habitats'!$X$3),"Bespoke compensation must be agreed ▲",IF(AND(AB218="Pending",P218='G-1 All Habitats'!$X$9),"Bespoke compensation must be agreed  ▲",IF(Z218=0,0,IF(P218='G-1 All Habitats'!$X$9,"Any Loss Unacceptable ▲",T218-X218-Y218))))))))))),"Check Data ⚠")</f>
        <v/>
      </c>
      <c r="AB218" s="587"/>
      <c r="AC218" s="105"/>
      <c r="AD218" s="138"/>
      <c r="AE218" s="104"/>
      <c r="AF218" s="611"/>
      <c r="AG218" s="523" t="str">
        <f>IF(OR(P218="",AB218="Yes"),"",IF(P218='G-1 All Habitats'!$X$9,H218-V218-W218,"None"))</f>
        <v/>
      </c>
      <c r="AH218" s="523" t="str">
        <f>IF(P218="","",IF(P218='G-1 All Habitats'!$X$9,AG218*J218*L218*O218,"None"))</f>
        <v/>
      </c>
      <c r="AJ218" s="107" t="str">
        <f t="shared" si="32"/>
        <v/>
      </c>
      <c r="AK218" s="107" t="str">
        <f t="shared" si="27"/>
        <v/>
      </c>
      <c r="AL218" s="107" t="str">
        <f>IF(I218="","",IF(#REF!&gt;0,TRUE,FALSE))</f>
        <v/>
      </c>
      <c r="AM218" s="107">
        <v>208</v>
      </c>
      <c r="AN218" s="107"/>
      <c r="AO218" s="107" t="str">
        <f t="array" ref="AO218">IFERROR(INDEX($AM$11:$AM$259,MATCH(0,IF(TRUE=$AJ$11:$AJ$259,COUNTIF($AO$10:$AO217,$AM$11:$AM$259),""),0)),"")</f>
        <v/>
      </c>
      <c r="AP218" s="107" t="str">
        <f t="array" ref="AP218">IFERROR(INDEX($AM$11:$AM$259,MATCH(0,IF(TRUE=$AK$11:$AK$259,COUNTIF($AP$10:$AP217,$AM$11:$AM$259),""),0)),"")</f>
        <v/>
      </c>
      <c r="AQ218" s="107" t="str">
        <f t="array" ref="AQ218">IFERROR(INDEX($AM$11:$AM$259,MATCH(0,IF(TRUE=$AL$11:$AL$259,COUNTIF($AQ$10:$AQ217,$AM$11:$AM$259),""),0)),"")</f>
        <v/>
      </c>
      <c r="AS218" s="885" t="str">
        <f>IF(AND(OR(AB218="Yes",AB218="Pending"),P218='G-1 All Habitats'!$X$3),T218-X218-Y218,"0")</f>
        <v>0</v>
      </c>
      <c r="AT218" s="30" t="str">
        <f t="shared" si="28"/>
        <v/>
      </c>
      <c r="AU218" s="30">
        <f t="shared" si="33"/>
        <v>0</v>
      </c>
      <c r="AV218" s="230" t="str">
        <f>IFERROR(INDEX('G-1 All Habitats'!$B$3:$B$135,MATCH(F218,'G-1 All Habitats'!$A$3:$A$135,0)),"")</f>
        <v/>
      </c>
      <c r="AW218" s="30" t="str">
        <f>IF(AV218="","",VLOOKUP(AV218,'G-1 All Habitats'!$B$1:$T$135,19,FALSE))</f>
        <v/>
      </c>
      <c r="AY218" s="287" t="str">
        <f t="shared" si="34"/>
        <v/>
      </c>
    </row>
    <row r="219" spans="1:51" ht="14">
      <c r="A219" s="30" t="str">
        <f>IFERROR(INDEX('G-1 All Habitats'!$AG$3:$AG$17,MATCH(E219,'G-1 All Habitats'!$AF$3:$AF$17,0)),"")</f>
        <v/>
      </c>
      <c r="B219" s="30" t="str">
        <f>IFERROR(INDEX('G-8 Condition Look up'!$I$4:$I$135,MATCH(AV219,'G-8 Condition Look up'!$A$4:$A$135,0)),"")</f>
        <v/>
      </c>
      <c r="D219" s="97">
        <v>209</v>
      </c>
      <c r="E219" s="262"/>
      <c r="F219" s="263"/>
      <c r="G219" s="133"/>
      <c r="H219" s="115"/>
      <c r="I219" s="509" t="str">
        <f>IF(AV219="","",IF(AND(AW219="Yes",G219="No"),"Irreplaceable habitat ▲",IF(AND(AW219="No",G219="Yes"),"Cannot be Irreplaceable ▲",VLOOKUP(AV219,'G-1 All Habitats'!$B$2:$M$135,10,FALSE))))</f>
        <v/>
      </c>
      <c r="J219" s="377" t="str">
        <f>IFERROR(VLOOKUP(I219,'G-1 All Habitats'!$V$3:$W$7,2,FALSE),"")</f>
        <v/>
      </c>
      <c r="K219" s="101"/>
      <c r="L219" s="276" t="str">
        <f>IFERROR(INDEX('G-8 Condition Look up'!$A$3:$H$135,MATCH(AV219,'G-8 Condition Look up'!$A$3:$A$135,0),MATCH(K219,'G-8 Condition Look up'!$A$3:$H$3,0)),"")</f>
        <v/>
      </c>
      <c r="M219" s="105"/>
      <c r="N219" s="295" t="str">
        <f>IF(M219="","",IF(VLOOKUP(M219,'G-3 Multipliers'!$L$3:$N$6,2,FALSE)=0,"Spatial Data Missing ⚠",VLOOKUP(M219,'G-3 Multipliers'!$L$3:$N$6,2,FALSE)))</f>
        <v/>
      </c>
      <c r="O219" s="353" t="str">
        <f>IF(M219="","",IF(VLOOKUP(M219,'G-3 Multipliers'!$L$3:$N$6,3,FALSE)=0,"Spatial Data Missing ⚠",VLOOKUP(M219,'G-3 Multipliers'!$L$3:$N$6,3,FALSE)))</f>
        <v/>
      </c>
      <c r="P219" s="336" t="str">
        <f>(IF(G219="Yes","Bespoke compensation likely to be required",(IFERROR(VLOOKUP(AV219,'G-1 All Habitats'!$B$2:$M$135,12,FALSE),""))))</f>
        <v/>
      </c>
      <c r="Q219" s="511" t="str">
        <f>IFERROR(IF(P219="","",IF(AND(E219="Individual trees",W219&gt;0,G219="Yes"),"Error - you cannot enhance irreplaceable individual trees ▲",IF(P219='G-1 All Habitats'!$X$9,T219*S219,IF(AND(P219='G-1 All Habitats'!$X$9,W219&gt;0),X219+(Y219*S219),IF(AND(P219='G-1 All Habitats'!$X$9,V219&gt;0),X219+(Y219*S219),IF(AND(P219='G-1 All Habitats'!$X$9,AG219&gt;0),"Any Loss Unacceptable  ⚠",IF(AND(P219='G-1 All Habitats'!$X$9,Z219&gt;0),"Any Loss Unacceptable ⚠",H219*J219*L219*O219*S219))))))),"Check Data ⚠")</f>
        <v/>
      </c>
      <c r="R219" s="393"/>
      <c r="S219" s="510" t="str">
        <f>IF(R219="","",IF(VLOOKUP(R219,'G-3 Multipliers'!$S$3:$T$10,2,FALSE)=0,"Spatial Data Missing ⚠",VLOOKUP(R219,'G-3 Multipliers'!$S$3:$T$10,2,FALSE)))</f>
        <v/>
      </c>
      <c r="T219" s="289" t="str">
        <f>IFERROR(IF(AND(F219&lt;&gt;"",G219=""),"Confirm irreplaceable habitat status ▲",(IF(AND(R219&lt;&gt;"",AF219=""),"Off-site reference required ▲",(IF(AND(E219="Individual trees",W219&gt;0,G219="Yes"),"Error - you cannot enhance irreplaceable individual trees ▲",(IF(AND(X219="Irreplaceable habitat - no units generated ⚠",(W219+V219)&lt;H219,OR(AB219="No",AB219="")),"Any Loss Unacceptable ⚠",(IF(X219="Irreplaceable habitat - no units generated ⚠",W219*J219*L219*O219,IF(AND(P219='G-1 All Habitats'!$X$9,AH219&gt;0,V219&lt;=0,W219&lt;=0,OR(AB219="No",AB219="")),"Any Loss Unacceptable ⚠",IF(AND(P219='G-1 All Habitats'!$X$9,AH219&gt;0,V219&lt;=0,W219&lt;=0),0,(IF(AND(P219='G-1 All Habitats'!$X$9,(W219+V219)&lt;H219,OR(AB219="No",AB219="")),"Any Loss Unacceptable ⚠",(IF(P219="","",IF(AND(P219='G-1 All Habitats'!$X$9,W219&gt;0),X219+Y219,IF(AND(P219='G-1 All Habitats'!$X$9,V219&gt;0),X219+Y219,IF(R219="","",H219*J219*L219*O219)))))))))))))))))),"Check Data ▲")</f>
        <v/>
      </c>
      <c r="U219" s="38"/>
      <c r="V219" s="52"/>
      <c r="W219" s="53"/>
      <c r="X219" s="287" t="str">
        <f t="shared" si="29"/>
        <v/>
      </c>
      <c r="Y219" s="287" t="str">
        <f t="shared" si="30"/>
        <v/>
      </c>
      <c r="Z219" s="287" t="str">
        <f t="shared" si="31"/>
        <v/>
      </c>
      <c r="AA219" s="317" t="str">
        <f>IFERROR(IF(AND(E219="Individual trees",G219="Yes",W219&gt;0),"Error - you cannot enhance an irreplaceable tree ▲",(IF(H219="","",IF(H219-V219-W219=0&lt;0,"Error in Areas ▲",IF(V219+W219&gt;H219,"Error in Areas ▲",IF(AND(P219='G-1 All Habitats'!$X$9,AB219="Yes"),"Alternative Compensation ✓",IF(AND(P219='G-1 All Habitats'!$X$3,AB219="Yes"),"Alternative Compensation ✓",IF(AND(AB219="Pending",P219='G-1 All Habitats'!$X$3),"Bespoke compensation must be agreed ▲",IF(AND(AB219="Pending",P219='G-1 All Habitats'!$X$9),"Bespoke compensation must be agreed  ▲",IF(Z219=0,0,IF(P219='G-1 All Habitats'!$X$9,"Any Loss Unacceptable ▲",T219-X219-Y219))))))))))),"Check Data ⚠")</f>
        <v/>
      </c>
      <c r="AB219" s="587"/>
      <c r="AC219" s="105"/>
      <c r="AD219" s="138"/>
      <c r="AE219" s="104"/>
      <c r="AF219" s="611"/>
      <c r="AG219" s="523" t="str">
        <f>IF(OR(P219="",AB219="Yes"),"",IF(P219='G-1 All Habitats'!$X$9,H219-V219-W219,"None"))</f>
        <v/>
      </c>
      <c r="AH219" s="523" t="str">
        <f>IF(P219="","",IF(P219='G-1 All Habitats'!$X$9,AG219*J219*L219*O219,"None"))</f>
        <v/>
      </c>
      <c r="AJ219" s="107" t="str">
        <f t="shared" si="32"/>
        <v/>
      </c>
      <c r="AK219" s="107" t="str">
        <f t="shared" si="27"/>
        <v/>
      </c>
      <c r="AL219" s="107" t="str">
        <f>IF(I219="","",IF(#REF!&gt;0,TRUE,FALSE))</f>
        <v/>
      </c>
      <c r="AM219" s="107">
        <v>209</v>
      </c>
      <c r="AN219" s="107"/>
      <c r="AO219" s="107" t="str">
        <f t="array" ref="AO219">IFERROR(INDEX($AM$11:$AM$259,MATCH(0,IF(TRUE=$AJ$11:$AJ$259,COUNTIF($AO$10:$AO218,$AM$11:$AM$259),""),0)),"")</f>
        <v/>
      </c>
      <c r="AP219" s="107" t="str">
        <f t="array" ref="AP219">IFERROR(INDEX($AM$11:$AM$259,MATCH(0,IF(TRUE=$AK$11:$AK$259,COUNTIF($AP$10:$AP218,$AM$11:$AM$259),""),0)),"")</f>
        <v/>
      </c>
      <c r="AQ219" s="107" t="str">
        <f t="array" ref="AQ219">IFERROR(INDEX($AM$11:$AM$259,MATCH(0,IF(TRUE=$AL$11:$AL$259,COUNTIF($AQ$10:$AQ218,$AM$11:$AM$259),""),0)),"")</f>
        <v/>
      </c>
      <c r="AS219" s="885" t="str">
        <f>IF(AND(OR(AB219="Yes",AB219="Pending"),P219='G-1 All Habitats'!$X$3),T219-X219-Y219,"0")</f>
        <v>0</v>
      </c>
      <c r="AT219" s="30" t="str">
        <f t="shared" si="28"/>
        <v/>
      </c>
      <c r="AU219" s="30">
        <f t="shared" si="33"/>
        <v>0</v>
      </c>
      <c r="AV219" s="230" t="str">
        <f>IFERROR(INDEX('G-1 All Habitats'!$B$3:$B$135,MATCH(F219,'G-1 All Habitats'!$A$3:$A$135,0)),"")</f>
        <v/>
      </c>
      <c r="AW219" s="30" t="str">
        <f>IF(AV219="","",VLOOKUP(AV219,'G-1 All Habitats'!$B$1:$T$135,19,FALSE))</f>
        <v/>
      </c>
      <c r="AY219" s="287" t="str">
        <f t="shared" si="34"/>
        <v/>
      </c>
    </row>
    <row r="220" spans="1:51" ht="14">
      <c r="A220" s="30" t="str">
        <f>IFERROR(INDEX('G-1 All Habitats'!$AG$3:$AG$17,MATCH(E220,'G-1 All Habitats'!$AF$3:$AF$17,0)),"")</f>
        <v/>
      </c>
      <c r="B220" s="30" t="str">
        <f>IFERROR(INDEX('G-8 Condition Look up'!$I$4:$I$135,MATCH(AV220,'G-8 Condition Look up'!$A$4:$A$135,0)),"")</f>
        <v/>
      </c>
      <c r="D220" s="97">
        <v>210</v>
      </c>
      <c r="E220" s="262"/>
      <c r="F220" s="263"/>
      <c r="G220" s="133"/>
      <c r="H220" s="115"/>
      <c r="I220" s="509" t="str">
        <f>IF(AV220="","",IF(AND(AW220="Yes",G220="No"),"Irreplaceable habitat ▲",IF(AND(AW220="No",G220="Yes"),"Cannot be Irreplaceable ▲",VLOOKUP(AV220,'G-1 All Habitats'!$B$2:$M$135,10,FALSE))))</f>
        <v/>
      </c>
      <c r="J220" s="377" t="str">
        <f>IFERROR(VLOOKUP(I220,'G-1 All Habitats'!$V$3:$W$7,2,FALSE),"")</f>
        <v/>
      </c>
      <c r="K220" s="101"/>
      <c r="L220" s="276" t="str">
        <f>IFERROR(INDEX('G-8 Condition Look up'!$A$3:$H$135,MATCH(AV220,'G-8 Condition Look up'!$A$3:$A$135,0),MATCH(K220,'G-8 Condition Look up'!$A$3:$H$3,0)),"")</f>
        <v/>
      </c>
      <c r="M220" s="105"/>
      <c r="N220" s="295" t="str">
        <f>IF(M220="","",IF(VLOOKUP(M220,'G-3 Multipliers'!$L$3:$N$6,2,FALSE)=0,"Spatial Data Missing ⚠",VLOOKUP(M220,'G-3 Multipliers'!$L$3:$N$6,2,FALSE)))</f>
        <v/>
      </c>
      <c r="O220" s="353" t="str">
        <f>IF(M220="","",IF(VLOOKUP(M220,'G-3 Multipliers'!$L$3:$N$6,3,FALSE)=0,"Spatial Data Missing ⚠",VLOOKUP(M220,'G-3 Multipliers'!$L$3:$N$6,3,FALSE)))</f>
        <v/>
      </c>
      <c r="P220" s="336" t="str">
        <f>(IF(G220="Yes","Bespoke compensation likely to be required",(IFERROR(VLOOKUP(AV220,'G-1 All Habitats'!$B$2:$M$135,12,FALSE),""))))</f>
        <v/>
      </c>
      <c r="Q220" s="511" t="str">
        <f>IFERROR(IF(P220="","",IF(AND(E220="Individual trees",W220&gt;0,G220="Yes"),"Error - you cannot enhance irreplaceable individual trees ▲",IF(P220='G-1 All Habitats'!$X$9,T220*S220,IF(AND(P220='G-1 All Habitats'!$X$9,W220&gt;0),X220+(Y220*S220),IF(AND(P220='G-1 All Habitats'!$X$9,V220&gt;0),X220+(Y220*S220),IF(AND(P220='G-1 All Habitats'!$X$9,AG220&gt;0),"Any Loss Unacceptable  ⚠",IF(AND(P220='G-1 All Habitats'!$X$9,Z220&gt;0),"Any Loss Unacceptable ⚠",H220*J220*L220*O220*S220))))))),"Check Data ⚠")</f>
        <v/>
      </c>
      <c r="R220" s="393"/>
      <c r="S220" s="510" t="str">
        <f>IF(R220="","",IF(VLOOKUP(R220,'G-3 Multipliers'!$S$3:$T$10,2,FALSE)=0,"Spatial Data Missing ⚠",VLOOKUP(R220,'G-3 Multipliers'!$S$3:$T$10,2,FALSE)))</f>
        <v/>
      </c>
      <c r="T220" s="289" t="str">
        <f>IFERROR(IF(AND(F220&lt;&gt;"",G220=""),"Confirm irreplaceable habitat status ▲",(IF(AND(R220&lt;&gt;"",AF220=""),"Off-site reference required ▲",(IF(AND(E220="Individual trees",W220&gt;0,G220="Yes"),"Error - you cannot enhance irreplaceable individual trees ▲",(IF(AND(X220="Irreplaceable habitat - no units generated ⚠",(W220+V220)&lt;H220,OR(AB220="No",AB220="")),"Any Loss Unacceptable ⚠",(IF(X220="Irreplaceable habitat - no units generated ⚠",W220*J220*L220*O220,IF(AND(P220='G-1 All Habitats'!$X$9,AH220&gt;0,V220&lt;=0,W220&lt;=0,OR(AB220="No",AB220="")),"Any Loss Unacceptable ⚠",IF(AND(P220='G-1 All Habitats'!$X$9,AH220&gt;0,V220&lt;=0,W220&lt;=0),0,(IF(AND(P220='G-1 All Habitats'!$X$9,(W220+V220)&lt;H220,OR(AB220="No",AB220="")),"Any Loss Unacceptable ⚠",(IF(P220="","",IF(AND(P220='G-1 All Habitats'!$X$9,W220&gt;0),X220+Y220,IF(AND(P220='G-1 All Habitats'!$X$9,V220&gt;0),X220+Y220,IF(R220="","",H220*J220*L220*O220)))))))))))))))))),"Check Data ▲")</f>
        <v/>
      </c>
      <c r="U220" s="38"/>
      <c r="V220" s="52"/>
      <c r="W220" s="53"/>
      <c r="X220" s="287" t="str">
        <f t="shared" si="29"/>
        <v/>
      </c>
      <c r="Y220" s="287" t="str">
        <f t="shared" si="30"/>
        <v/>
      </c>
      <c r="Z220" s="287" t="str">
        <f t="shared" si="31"/>
        <v/>
      </c>
      <c r="AA220" s="317" t="str">
        <f>IFERROR(IF(AND(E220="Individual trees",G220="Yes",W220&gt;0),"Error - you cannot enhance an irreplaceable tree ▲",(IF(H220="","",IF(H220-V220-W220=0&lt;0,"Error in Areas ▲",IF(V220+W220&gt;H220,"Error in Areas ▲",IF(AND(P220='G-1 All Habitats'!$X$9,AB220="Yes"),"Alternative Compensation ✓",IF(AND(P220='G-1 All Habitats'!$X$3,AB220="Yes"),"Alternative Compensation ✓",IF(AND(AB220="Pending",P220='G-1 All Habitats'!$X$3),"Bespoke compensation must be agreed ▲",IF(AND(AB220="Pending",P220='G-1 All Habitats'!$X$9),"Bespoke compensation must be agreed  ▲",IF(Z220=0,0,IF(P220='G-1 All Habitats'!$X$9,"Any Loss Unacceptable ▲",T220-X220-Y220))))))))))),"Check Data ⚠")</f>
        <v/>
      </c>
      <c r="AB220" s="587"/>
      <c r="AC220" s="105"/>
      <c r="AD220" s="138"/>
      <c r="AE220" s="104"/>
      <c r="AF220" s="611"/>
      <c r="AG220" s="523" t="str">
        <f>IF(OR(P220="",AB220="Yes"),"",IF(P220='G-1 All Habitats'!$X$9,H220-V220-W220,"None"))</f>
        <v/>
      </c>
      <c r="AH220" s="523" t="str">
        <f>IF(P220="","",IF(P220='G-1 All Habitats'!$X$9,AG220*J220*L220*O220,"None"))</f>
        <v/>
      </c>
      <c r="AJ220" s="107" t="str">
        <f t="shared" si="32"/>
        <v/>
      </c>
      <c r="AK220" s="107" t="str">
        <f t="shared" si="27"/>
        <v/>
      </c>
      <c r="AL220" s="107" t="str">
        <f>IF(I220="","",IF(#REF!&gt;0,TRUE,FALSE))</f>
        <v/>
      </c>
      <c r="AM220" s="107">
        <v>210</v>
      </c>
      <c r="AN220" s="107"/>
      <c r="AO220" s="107" t="str">
        <f t="array" ref="AO220">IFERROR(INDEX($AM$11:$AM$259,MATCH(0,IF(TRUE=$AJ$11:$AJ$259,COUNTIF($AO$10:$AO219,$AM$11:$AM$259),""),0)),"")</f>
        <v/>
      </c>
      <c r="AP220" s="107" t="str">
        <f t="array" ref="AP220">IFERROR(INDEX($AM$11:$AM$259,MATCH(0,IF(TRUE=$AK$11:$AK$259,COUNTIF($AP$10:$AP219,$AM$11:$AM$259),""),0)),"")</f>
        <v/>
      </c>
      <c r="AQ220" s="107" t="str">
        <f t="array" ref="AQ220">IFERROR(INDEX($AM$11:$AM$259,MATCH(0,IF(TRUE=$AL$11:$AL$259,COUNTIF($AQ$10:$AQ219,$AM$11:$AM$259),""),0)),"")</f>
        <v/>
      </c>
      <c r="AS220" s="885" t="str">
        <f>IF(AND(OR(AB220="Yes",AB220="Pending"),P220='G-1 All Habitats'!$X$3),T220-X220-Y220,"0")</f>
        <v>0</v>
      </c>
      <c r="AT220" s="30" t="str">
        <f t="shared" si="28"/>
        <v/>
      </c>
      <c r="AU220" s="30">
        <f t="shared" si="33"/>
        <v>0</v>
      </c>
      <c r="AV220" s="230" t="str">
        <f>IFERROR(INDEX('G-1 All Habitats'!$B$3:$B$135,MATCH(F220,'G-1 All Habitats'!$A$3:$A$135,0)),"")</f>
        <v/>
      </c>
      <c r="AW220" s="30" t="str">
        <f>IF(AV220="","",VLOOKUP(AV220,'G-1 All Habitats'!$B$1:$T$135,19,FALSE))</f>
        <v/>
      </c>
      <c r="AY220" s="287" t="str">
        <f t="shared" si="34"/>
        <v/>
      </c>
    </row>
    <row r="221" spans="1:51" ht="14">
      <c r="A221" s="30" t="str">
        <f>IFERROR(INDEX('G-1 All Habitats'!$AG$3:$AG$17,MATCH(E221,'G-1 All Habitats'!$AF$3:$AF$17,0)),"")</f>
        <v/>
      </c>
      <c r="B221" s="30" t="str">
        <f>IFERROR(INDEX('G-8 Condition Look up'!$I$4:$I$135,MATCH(AV221,'G-8 Condition Look up'!$A$4:$A$135,0)),"")</f>
        <v/>
      </c>
      <c r="D221" s="97">
        <v>211</v>
      </c>
      <c r="E221" s="262"/>
      <c r="F221" s="263"/>
      <c r="G221" s="133"/>
      <c r="H221" s="115"/>
      <c r="I221" s="509" t="str">
        <f>IF(AV221="","",IF(AND(AW221="Yes",G221="No"),"Irreplaceable habitat ▲",IF(AND(AW221="No",G221="Yes"),"Cannot be Irreplaceable ▲",VLOOKUP(AV221,'G-1 All Habitats'!$B$2:$M$135,10,FALSE))))</f>
        <v/>
      </c>
      <c r="J221" s="377" t="str">
        <f>IFERROR(VLOOKUP(I221,'G-1 All Habitats'!$V$3:$W$7,2,FALSE),"")</f>
        <v/>
      </c>
      <c r="K221" s="101"/>
      <c r="L221" s="276" t="str">
        <f>IFERROR(INDEX('G-8 Condition Look up'!$A$3:$H$135,MATCH(AV221,'G-8 Condition Look up'!$A$3:$A$135,0),MATCH(K221,'G-8 Condition Look up'!$A$3:$H$3,0)),"")</f>
        <v/>
      </c>
      <c r="M221" s="105"/>
      <c r="N221" s="295" t="str">
        <f>IF(M221="","",IF(VLOOKUP(M221,'G-3 Multipliers'!$L$3:$N$6,2,FALSE)=0,"Spatial Data Missing ⚠",VLOOKUP(M221,'G-3 Multipliers'!$L$3:$N$6,2,FALSE)))</f>
        <v/>
      </c>
      <c r="O221" s="353" t="str">
        <f>IF(M221="","",IF(VLOOKUP(M221,'G-3 Multipliers'!$L$3:$N$6,3,FALSE)=0,"Spatial Data Missing ⚠",VLOOKUP(M221,'G-3 Multipliers'!$L$3:$N$6,3,FALSE)))</f>
        <v/>
      </c>
      <c r="P221" s="336" t="str">
        <f>(IF(G221="Yes","Bespoke compensation likely to be required",(IFERROR(VLOOKUP(AV221,'G-1 All Habitats'!$B$2:$M$135,12,FALSE),""))))</f>
        <v/>
      </c>
      <c r="Q221" s="511" t="str">
        <f>IFERROR(IF(P221="","",IF(AND(E221="Individual trees",W221&gt;0,G221="Yes"),"Error - you cannot enhance irreplaceable individual trees ▲",IF(P221='G-1 All Habitats'!$X$9,T221*S221,IF(AND(P221='G-1 All Habitats'!$X$9,W221&gt;0),X221+(Y221*S221),IF(AND(P221='G-1 All Habitats'!$X$9,V221&gt;0),X221+(Y221*S221),IF(AND(P221='G-1 All Habitats'!$X$9,AG221&gt;0),"Any Loss Unacceptable  ⚠",IF(AND(P221='G-1 All Habitats'!$X$9,Z221&gt;0),"Any Loss Unacceptable ⚠",H221*J221*L221*O221*S221))))))),"Check Data ⚠")</f>
        <v/>
      </c>
      <c r="R221" s="393"/>
      <c r="S221" s="510" t="str">
        <f>IF(R221="","",IF(VLOOKUP(R221,'G-3 Multipliers'!$S$3:$T$10,2,FALSE)=0,"Spatial Data Missing ⚠",VLOOKUP(R221,'G-3 Multipliers'!$S$3:$T$10,2,FALSE)))</f>
        <v/>
      </c>
      <c r="T221" s="289" t="str">
        <f>IFERROR(IF(AND(F221&lt;&gt;"",G221=""),"Confirm irreplaceable habitat status ▲",(IF(AND(R221&lt;&gt;"",AF221=""),"Off-site reference required ▲",(IF(AND(E221="Individual trees",W221&gt;0,G221="Yes"),"Error - you cannot enhance irreplaceable individual trees ▲",(IF(AND(X221="Irreplaceable habitat - no units generated ⚠",(W221+V221)&lt;H221,OR(AB221="No",AB221="")),"Any Loss Unacceptable ⚠",(IF(X221="Irreplaceable habitat - no units generated ⚠",W221*J221*L221*O221,IF(AND(P221='G-1 All Habitats'!$X$9,AH221&gt;0,V221&lt;=0,W221&lt;=0,OR(AB221="No",AB221="")),"Any Loss Unacceptable ⚠",IF(AND(P221='G-1 All Habitats'!$X$9,AH221&gt;0,V221&lt;=0,W221&lt;=0),0,(IF(AND(P221='G-1 All Habitats'!$X$9,(W221+V221)&lt;H221,OR(AB221="No",AB221="")),"Any Loss Unacceptable ⚠",(IF(P221="","",IF(AND(P221='G-1 All Habitats'!$X$9,W221&gt;0),X221+Y221,IF(AND(P221='G-1 All Habitats'!$X$9,V221&gt;0),X221+Y221,IF(R221="","",H221*J221*L221*O221)))))))))))))))))),"Check Data ▲")</f>
        <v/>
      </c>
      <c r="U221" s="38"/>
      <c r="V221" s="52"/>
      <c r="W221" s="53"/>
      <c r="X221" s="287" t="str">
        <f t="shared" si="29"/>
        <v/>
      </c>
      <c r="Y221" s="287" t="str">
        <f t="shared" si="30"/>
        <v/>
      </c>
      <c r="Z221" s="287" t="str">
        <f t="shared" si="31"/>
        <v/>
      </c>
      <c r="AA221" s="317" t="str">
        <f>IFERROR(IF(AND(E221="Individual trees",G221="Yes",W221&gt;0),"Error - you cannot enhance an irreplaceable tree ▲",(IF(H221="","",IF(H221-V221-W221=0&lt;0,"Error in Areas ▲",IF(V221+W221&gt;H221,"Error in Areas ▲",IF(AND(P221='G-1 All Habitats'!$X$9,AB221="Yes"),"Alternative Compensation ✓",IF(AND(P221='G-1 All Habitats'!$X$3,AB221="Yes"),"Alternative Compensation ✓",IF(AND(AB221="Pending",P221='G-1 All Habitats'!$X$3),"Bespoke compensation must be agreed ▲",IF(AND(AB221="Pending",P221='G-1 All Habitats'!$X$9),"Bespoke compensation must be agreed  ▲",IF(Z221=0,0,IF(P221='G-1 All Habitats'!$X$9,"Any Loss Unacceptable ▲",T221-X221-Y221))))))))))),"Check Data ⚠")</f>
        <v/>
      </c>
      <c r="AB221" s="587"/>
      <c r="AC221" s="105"/>
      <c r="AD221" s="138"/>
      <c r="AE221" s="104"/>
      <c r="AF221" s="611"/>
      <c r="AG221" s="523" t="str">
        <f>IF(OR(P221="",AB221="Yes"),"",IF(P221='G-1 All Habitats'!$X$9,H221-V221-W221,"None"))</f>
        <v/>
      </c>
      <c r="AH221" s="523" t="str">
        <f>IF(P221="","",IF(P221='G-1 All Habitats'!$X$9,AG221*J221*L221*O221,"None"))</f>
        <v/>
      </c>
      <c r="AJ221" s="107" t="str">
        <f t="shared" si="32"/>
        <v/>
      </c>
      <c r="AK221" s="107" t="str">
        <f t="shared" si="27"/>
        <v/>
      </c>
      <c r="AL221" s="107" t="str">
        <f>IF(I221="","",IF(#REF!&gt;0,TRUE,FALSE))</f>
        <v/>
      </c>
      <c r="AM221" s="107">
        <v>211</v>
      </c>
      <c r="AN221" s="107"/>
      <c r="AO221" s="107" t="str">
        <f t="array" ref="AO221">IFERROR(INDEX($AM$11:$AM$259,MATCH(0,IF(TRUE=$AJ$11:$AJ$259,COUNTIF($AO$10:$AO220,$AM$11:$AM$259),""),0)),"")</f>
        <v/>
      </c>
      <c r="AP221" s="107" t="str">
        <f t="array" ref="AP221">IFERROR(INDEX($AM$11:$AM$259,MATCH(0,IF(TRUE=$AK$11:$AK$259,COUNTIF($AP$10:$AP220,$AM$11:$AM$259),""),0)),"")</f>
        <v/>
      </c>
      <c r="AQ221" s="107" t="str">
        <f t="array" ref="AQ221">IFERROR(INDEX($AM$11:$AM$259,MATCH(0,IF(TRUE=$AL$11:$AL$259,COUNTIF($AQ$10:$AQ220,$AM$11:$AM$259),""),0)),"")</f>
        <v/>
      </c>
      <c r="AS221" s="885" t="str">
        <f>IF(AND(OR(AB221="Yes",AB221="Pending"),P221='G-1 All Habitats'!$X$3),T221-X221-Y221,"0")</f>
        <v>0</v>
      </c>
      <c r="AT221" s="30" t="str">
        <f t="shared" si="28"/>
        <v/>
      </c>
      <c r="AU221" s="30">
        <f t="shared" si="33"/>
        <v>0</v>
      </c>
      <c r="AV221" s="230" t="str">
        <f>IFERROR(INDEX('G-1 All Habitats'!$B$3:$B$135,MATCH(F221,'G-1 All Habitats'!$A$3:$A$135,0)),"")</f>
        <v/>
      </c>
      <c r="AW221" s="30" t="str">
        <f>IF(AV221="","",VLOOKUP(AV221,'G-1 All Habitats'!$B$1:$T$135,19,FALSE))</f>
        <v/>
      </c>
      <c r="AY221" s="287" t="str">
        <f t="shared" si="34"/>
        <v/>
      </c>
    </row>
    <row r="222" spans="1:51" ht="14">
      <c r="A222" s="30" t="str">
        <f>IFERROR(INDEX('G-1 All Habitats'!$AG$3:$AG$17,MATCH(E222,'G-1 All Habitats'!$AF$3:$AF$17,0)),"")</f>
        <v/>
      </c>
      <c r="B222" s="30" t="str">
        <f>IFERROR(INDEX('G-8 Condition Look up'!$I$4:$I$135,MATCH(AV222,'G-8 Condition Look up'!$A$4:$A$135,0)),"")</f>
        <v/>
      </c>
      <c r="D222" s="97">
        <v>212</v>
      </c>
      <c r="E222" s="262"/>
      <c r="F222" s="263"/>
      <c r="G222" s="133"/>
      <c r="H222" s="115"/>
      <c r="I222" s="509" t="str">
        <f>IF(AV222="","",IF(AND(AW222="Yes",G222="No"),"Irreplaceable habitat ▲",IF(AND(AW222="No",G222="Yes"),"Cannot be Irreplaceable ▲",VLOOKUP(AV222,'G-1 All Habitats'!$B$2:$M$135,10,FALSE))))</f>
        <v/>
      </c>
      <c r="J222" s="377" t="str">
        <f>IFERROR(VLOOKUP(I222,'G-1 All Habitats'!$V$3:$W$7,2,FALSE),"")</f>
        <v/>
      </c>
      <c r="K222" s="101"/>
      <c r="L222" s="276" t="str">
        <f>IFERROR(INDEX('G-8 Condition Look up'!$A$3:$H$135,MATCH(AV222,'G-8 Condition Look up'!$A$3:$A$135,0),MATCH(K222,'G-8 Condition Look up'!$A$3:$H$3,0)),"")</f>
        <v/>
      </c>
      <c r="M222" s="105"/>
      <c r="N222" s="295" t="str">
        <f>IF(M222="","",IF(VLOOKUP(M222,'G-3 Multipliers'!$L$3:$N$6,2,FALSE)=0,"Spatial Data Missing ⚠",VLOOKUP(M222,'G-3 Multipliers'!$L$3:$N$6,2,FALSE)))</f>
        <v/>
      </c>
      <c r="O222" s="353" t="str">
        <f>IF(M222="","",IF(VLOOKUP(M222,'G-3 Multipliers'!$L$3:$N$6,3,FALSE)=0,"Spatial Data Missing ⚠",VLOOKUP(M222,'G-3 Multipliers'!$L$3:$N$6,3,FALSE)))</f>
        <v/>
      </c>
      <c r="P222" s="336" t="str">
        <f>(IF(G222="Yes","Bespoke compensation likely to be required",(IFERROR(VLOOKUP(AV222,'G-1 All Habitats'!$B$2:$M$135,12,FALSE),""))))</f>
        <v/>
      </c>
      <c r="Q222" s="511" t="str">
        <f>IFERROR(IF(P222="","",IF(AND(E222="Individual trees",W222&gt;0,G222="Yes"),"Error - you cannot enhance irreplaceable individual trees ▲",IF(P222='G-1 All Habitats'!$X$9,T222*S222,IF(AND(P222='G-1 All Habitats'!$X$9,W222&gt;0),X222+(Y222*S222),IF(AND(P222='G-1 All Habitats'!$X$9,V222&gt;0),X222+(Y222*S222),IF(AND(P222='G-1 All Habitats'!$X$9,AG222&gt;0),"Any Loss Unacceptable  ⚠",IF(AND(P222='G-1 All Habitats'!$X$9,Z222&gt;0),"Any Loss Unacceptable ⚠",H222*J222*L222*O222*S222))))))),"Check Data ⚠")</f>
        <v/>
      </c>
      <c r="R222" s="393"/>
      <c r="S222" s="510" t="str">
        <f>IF(R222="","",IF(VLOOKUP(R222,'G-3 Multipliers'!$S$3:$T$10,2,FALSE)=0,"Spatial Data Missing ⚠",VLOOKUP(R222,'G-3 Multipliers'!$S$3:$T$10,2,FALSE)))</f>
        <v/>
      </c>
      <c r="T222" s="289" t="str">
        <f>IFERROR(IF(AND(F222&lt;&gt;"",G222=""),"Confirm irreplaceable habitat status ▲",(IF(AND(R222&lt;&gt;"",AF222=""),"Off-site reference required ▲",(IF(AND(E222="Individual trees",W222&gt;0,G222="Yes"),"Error - you cannot enhance irreplaceable individual trees ▲",(IF(AND(X222="Irreplaceable habitat - no units generated ⚠",(W222+V222)&lt;H222,OR(AB222="No",AB222="")),"Any Loss Unacceptable ⚠",(IF(X222="Irreplaceable habitat - no units generated ⚠",W222*J222*L222*O222,IF(AND(P222='G-1 All Habitats'!$X$9,AH222&gt;0,V222&lt;=0,W222&lt;=0,OR(AB222="No",AB222="")),"Any Loss Unacceptable ⚠",IF(AND(P222='G-1 All Habitats'!$X$9,AH222&gt;0,V222&lt;=0,W222&lt;=0),0,(IF(AND(P222='G-1 All Habitats'!$X$9,(W222+V222)&lt;H222,OR(AB222="No",AB222="")),"Any Loss Unacceptable ⚠",(IF(P222="","",IF(AND(P222='G-1 All Habitats'!$X$9,W222&gt;0),X222+Y222,IF(AND(P222='G-1 All Habitats'!$X$9,V222&gt;0),X222+Y222,IF(R222="","",H222*J222*L222*O222)))))))))))))))))),"Check Data ▲")</f>
        <v/>
      </c>
      <c r="U222" s="38"/>
      <c r="V222" s="52"/>
      <c r="W222" s="53"/>
      <c r="X222" s="287" t="str">
        <f t="shared" si="29"/>
        <v/>
      </c>
      <c r="Y222" s="287" t="str">
        <f t="shared" si="30"/>
        <v/>
      </c>
      <c r="Z222" s="287" t="str">
        <f t="shared" si="31"/>
        <v/>
      </c>
      <c r="AA222" s="317" t="str">
        <f>IFERROR(IF(AND(E222="Individual trees",G222="Yes",W222&gt;0),"Error - you cannot enhance an irreplaceable tree ▲",(IF(H222="","",IF(H222-V222-W222=0&lt;0,"Error in Areas ▲",IF(V222+W222&gt;H222,"Error in Areas ▲",IF(AND(P222='G-1 All Habitats'!$X$9,AB222="Yes"),"Alternative Compensation ✓",IF(AND(P222='G-1 All Habitats'!$X$3,AB222="Yes"),"Alternative Compensation ✓",IF(AND(AB222="Pending",P222='G-1 All Habitats'!$X$3),"Bespoke compensation must be agreed ▲",IF(AND(AB222="Pending",P222='G-1 All Habitats'!$X$9),"Bespoke compensation must be agreed  ▲",IF(Z222=0,0,IF(P222='G-1 All Habitats'!$X$9,"Any Loss Unacceptable ▲",T222-X222-Y222))))))))))),"Check Data ⚠")</f>
        <v/>
      </c>
      <c r="AB222" s="587"/>
      <c r="AC222" s="105"/>
      <c r="AD222" s="138"/>
      <c r="AE222" s="104"/>
      <c r="AF222" s="611"/>
      <c r="AG222" s="523" t="str">
        <f>IF(OR(P222="",AB222="Yes"),"",IF(P222='G-1 All Habitats'!$X$9,H222-V222-W222,"None"))</f>
        <v/>
      </c>
      <c r="AH222" s="523" t="str">
        <f>IF(P222="","",IF(P222='G-1 All Habitats'!$X$9,AG222*J222*L222*O222,"None"))</f>
        <v/>
      </c>
      <c r="AJ222" s="107" t="str">
        <f t="shared" si="32"/>
        <v/>
      </c>
      <c r="AK222" s="107" t="str">
        <f t="shared" si="27"/>
        <v/>
      </c>
      <c r="AL222" s="107" t="str">
        <f>IF(I222="","",IF(#REF!&gt;0,TRUE,FALSE))</f>
        <v/>
      </c>
      <c r="AM222" s="107">
        <v>212</v>
      </c>
      <c r="AN222" s="107"/>
      <c r="AO222" s="107" t="str">
        <f t="array" ref="AO222">IFERROR(INDEX($AM$11:$AM$259,MATCH(0,IF(TRUE=$AJ$11:$AJ$259,COUNTIF($AO$10:$AO221,$AM$11:$AM$259),""),0)),"")</f>
        <v/>
      </c>
      <c r="AP222" s="107" t="str">
        <f t="array" ref="AP222">IFERROR(INDEX($AM$11:$AM$259,MATCH(0,IF(TRUE=$AK$11:$AK$259,COUNTIF($AP$10:$AP221,$AM$11:$AM$259),""),0)),"")</f>
        <v/>
      </c>
      <c r="AQ222" s="107" t="str">
        <f t="array" ref="AQ222">IFERROR(INDEX($AM$11:$AM$259,MATCH(0,IF(TRUE=$AL$11:$AL$259,COUNTIF($AQ$10:$AQ221,$AM$11:$AM$259),""),0)),"")</f>
        <v/>
      </c>
      <c r="AS222" s="885" t="str">
        <f>IF(AND(OR(AB222="Yes",AB222="Pending"),P222='G-1 All Habitats'!$X$3),T222-X222-Y222,"0")</f>
        <v>0</v>
      </c>
      <c r="AT222" s="30" t="str">
        <f t="shared" si="28"/>
        <v/>
      </c>
      <c r="AU222" s="30">
        <f t="shared" si="33"/>
        <v>0</v>
      </c>
      <c r="AV222" s="230" t="str">
        <f>IFERROR(INDEX('G-1 All Habitats'!$B$3:$B$135,MATCH(F222,'G-1 All Habitats'!$A$3:$A$135,0)),"")</f>
        <v/>
      </c>
      <c r="AW222" s="30" t="str">
        <f>IF(AV222="","",VLOOKUP(AV222,'G-1 All Habitats'!$B$1:$T$135,19,FALSE))</f>
        <v/>
      </c>
      <c r="AY222" s="287" t="str">
        <f t="shared" si="34"/>
        <v/>
      </c>
    </row>
    <row r="223" spans="1:51" ht="14">
      <c r="A223" s="30" t="str">
        <f>IFERROR(INDEX('G-1 All Habitats'!$AG$3:$AG$17,MATCH(E223,'G-1 All Habitats'!$AF$3:$AF$17,0)),"")</f>
        <v/>
      </c>
      <c r="B223" s="30" t="str">
        <f>IFERROR(INDEX('G-8 Condition Look up'!$I$4:$I$135,MATCH(AV223,'G-8 Condition Look up'!$A$4:$A$135,0)),"")</f>
        <v/>
      </c>
      <c r="D223" s="97">
        <v>213</v>
      </c>
      <c r="E223" s="262"/>
      <c r="F223" s="263"/>
      <c r="G223" s="133"/>
      <c r="H223" s="115"/>
      <c r="I223" s="509" t="str">
        <f>IF(AV223="","",IF(AND(AW223="Yes",G223="No"),"Irreplaceable habitat ▲",IF(AND(AW223="No",G223="Yes"),"Cannot be Irreplaceable ▲",VLOOKUP(AV223,'G-1 All Habitats'!$B$2:$M$135,10,FALSE))))</f>
        <v/>
      </c>
      <c r="J223" s="377" t="str">
        <f>IFERROR(VLOOKUP(I223,'G-1 All Habitats'!$V$3:$W$7,2,FALSE),"")</f>
        <v/>
      </c>
      <c r="K223" s="101"/>
      <c r="L223" s="276" t="str">
        <f>IFERROR(INDEX('G-8 Condition Look up'!$A$3:$H$135,MATCH(AV223,'G-8 Condition Look up'!$A$3:$A$135,0),MATCH(K223,'G-8 Condition Look up'!$A$3:$H$3,0)),"")</f>
        <v/>
      </c>
      <c r="M223" s="105"/>
      <c r="N223" s="295" t="str">
        <f>IF(M223="","",IF(VLOOKUP(M223,'G-3 Multipliers'!$L$3:$N$6,2,FALSE)=0,"Spatial Data Missing ⚠",VLOOKUP(M223,'G-3 Multipliers'!$L$3:$N$6,2,FALSE)))</f>
        <v/>
      </c>
      <c r="O223" s="353" t="str">
        <f>IF(M223="","",IF(VLOOKUP(M223,'G-3 Multipliers'!$L$3:$N$6,3,FALSE)=0,"Spatial Data Missing ⚠",VLOOKUP(M223,'G-3 Multipliers'!$L$3:$N$6,3,FALSE)))</f>
        <v/>
      </c>
      <c r="P223" s="336" t="str">
        <f>(IF(G223="Yes","Bespoke compensation likely to be required",(IFERROR(VLOOKUP(AV223,'G-1 All Habitats'!$B$2:$M$135,12,FALSE),""))))</f>
        <v/>
      </c>
      <c r="Q223" s="511" t="str">
        <f>IFERROR(IF(P223="","",IF(AND(E223="Individual trees",W223&gt;0,G223="Yes"),"Error - you cannot enhance irreplaceable individual trees ▲",IF(P223='G-1 All Habitats'!$X$9,T223*S223,IF(AND(P223='G-1 All Habitats'!$X$9,W223&gt;0),X223+(Y223*S223),IF(AND(P223='G-1 All Habitats'!$X$9,V223&gt;0),X223+(Y223*S223),IF(AND(P223='G-1 All Habitats'!$X$9,AG223&gt;0),"Any Loss Unacceptable  ⚠",IF(AND(P223='G-1 All Habitats'!$X$9,Z223&gt;0),"Any Loss Unacceptable ⚠",H223*J223*L223*O223*S223))))))),"Check Data ⚠")</f>
        <v/>
      </c>
      <c r="R223" s="393"/>
      <c r="S223" s="510" t="str">
        <f>IF(R223="","",IF(VLOOKUP(R223,'G-3 Multipliers'!$S$3:$T$10,2,FALSE)=0,"Spatial Data Missing ⚠",VLOOKUP(R223,'G-3 Multipliers'!$S$3:$T$10,2,FALSE)))</f>
        <v/>
      </c>
      <c r="T223" s="289" t="str">
        <f>IFERROR(IF(AND(F223&lt;&gt;"",G223=""),"Confirm irreplaceable habitat status ▲",(IF(AND(R223&lt;&gt;"",AF223=""),"Off-site reference required ▲",(IF(AND(E223="Individual trees",W223&gt;0,G223="Yes"),"Error - you cannot enhance irreplaceable individual trees ▲",(IF(AND(X223="Irreplaceable habitat - no units generated ⚠",(W223+V223)&lt;H223,OR(AB223="No",AB223="")),"Any Loss Unacceptable ⚠",(IF(X223="Irreplaceable habitat - no units generated ⚠",W223*J223*L223*O223,IF(AND(P223='G-1 All Habitats'!$X$9,AH223&gt;0,V223&lt;=0,W223&lt;=0,OR(AB223="No",AB223="")),"Any Loss Unacceptable ⚠",IF(AND(P223='G-1 All Habitats'!$X$9,AH223&gt;0,V223&lt;=0,W223&lt;=0),0,(IF(AND(P223='G-1 All Habitats'!$X$9,(W223+V223)&lt;H223,OR(AB223="No",AB223="")),"Any Loss Unacceptable ⚠",(IF(P223="","",IF(AND(P223='G-1 All Habitats'!$X$9,W223&gt;0),X223+Y223,IF(AND(P223='G-1 All Habitats'!$X$9,V223&gt;0),X223+Y223,IF(R223="","",H223*J223*L223*O223)))))))))))))))))),"Check Data ▲")</f>
        <v/>
      </c>
      <c r="U223" s="38"/>
      <c r="V223" s="52"/>
      <c r="W223" s="53"/>
      <c r="X223" s="287" t="str">
        <f t="shared" si="29"/>
        <v/>
      </c>
      <c r="Y223" s="287" t="str">
        <f t="shared" si="30"/>
        <v/>
      </c>
      <c r="Z223" s="287" t="str">
        <f t="shared" si="31"/>
        <v/>
      </c>
      <c r="AA223" s="317" t="str">
        <f>IFERROR(IF(AND(E223="Individual trees",G223="Yes",W223&gt;0),"Error - you cannot enhance an irreplaceable tree ▲",(IF(H223="","",IF(H223-V223-W223=0&lt;0,"Error in Areas ▲",IF(V223+W223&gt;H223,"Error in Areas ▲",IF(AND(P223='G-1 All Habitats'!$X$9,AB223="Yes"),"Alternative Compensation ✓",IF(AND(P223='G-1 All Habitats'!$X$3,AB223="Yes"),"Alternative Compensation ✓",IF(AND(AB223="Pending",P223='G-1 All Habitats'!$X$3),"Bespoke compensation must be agreed ▲",IF(AND(AB223="Pending",P223='G-1 All Habitats'!$X$9),"Bespoke compensation must be agreed  ▲",IF(Z223=0,0,IF(P223='G-1 All Habitats'!$X$9,"Any Loss Unacceptable ▲",T223-X223-Y223))))))))))),"Check Data ⚠")</f>
        <v/>
      </c>
      <c r="AB223" s="587"/>
      <c r="AC223" s="105"/>
      <c r="AD223" s="138"/>
      <c r="AE223" s="104"/>
      <c r="AF223" s="611"/>
      <c r="AG223" s="523" t="str">
        <f>IF(OR(P223="",AB223="Yes"),"",IF(P223='G-1 All Habitats'!$X$9,H223-V223-W223,"None"))</f>
        <v/>
      </c>
      <c r="AH223" s="523" t="str">
        <f>IF(P223="","",IF(P223='G-1 All Habitats'!$X$9,AG223*J223*L223*O223,"None"))</f>
        <v/>
      </c>
      <c r="AJ223" s="107" t="str">
        <f t="shared" si="32"/>
        <v/>
      </c>
      <c r="AK223" s="107" t="str">
        <f t="shared" si="27"/>
        <v/>
      </c>
      <c r="AL223" s="107" t="str">
        <f>IF(I223="","",IF(#REF!&gt;0,TRUE,FALSE))</f>
        <v/>
      </c>
      <c r="AM223" s="107">
        <v>213</v>
      </c>
      <c r="AN223" s="107"/>
      <c r="AO223" s="107" t="str">
        <f t="array" ref="AO223">IFERROR(INDEX($AM$11:$AM$259,MATCH(0,IF(TRUE=$AJ$11:$AJ$259,COUNTIF($AO$10:$AO222,$AM$11:$AM$259),""),0)),"")</f>
        <v/>
      </c>
      <c r="AP223" s="107" t="str">
        <f t="array" ref="AP223">IFERROR(INDEX($AM$11:$AM$259,MATCH(0,IF(TRUE=$AK$11:$AK$259,COUNTIF($AP$10:$AP222,$AM$11:$AM$259),""),0)),"")</f>
        <v/>
      </c>
      <c r="AQ223" s="107" t="str">
        <f t="array" ref="AQ223">IFERROR(INDEX($AM$11:$AM$259,MATCH(0,IF(TRUE=$AL$11:$AL$259,COUNTIF($AQ$10:$AQ222,$AM$11:$AM$259),""),0)),"")</f>
        <v/>
      </c>
      <c r="AS223" s="885" t="str">
        <f>IF(AND(OR(AB223="Yes",AB223="Pending"),P223='G-1 All Habitats'!$X$3),T223-X223-Y223,"0")</f>
        <v>0</v>
      </c>
      <c r="AT223" s="30" t="str">
        <f t="shared" si="28"/>
        <v/>
      </c>
      <c r="AU223" s="30">
        <f t="shared" si="33"/>
        <v>0</v>
      </c>
      <c r="AV223" s="230" t="str">
        <f>IFERROR(INDEX('G-1 All Habitats'!$B$3:$B$135,MATCH(F223,'G-1 All Habitats'!$A$3:$A$135,0)),"")</f>
        <v/>
      </c>
      <c r="AW223" s="30" t="str">
        <f>IF(AV223="","",VLOOKUP(AV223,'G-1 All Habitats'!$B$1:$T$135,19,FALSE))</f>
        <v/>
      </c>
      <c r="AY223" s="287" t="str">
        <f t="shared" si="34"/>
        <v/>
      </c>
    </row>
    <row r="224" spans="1:51" ht="14">
      <c r="A224" s="30" t="str">
        <f>IFERROR(INDEX('G-1 All Habitats'!$AG$3:$AG$17,MATCH(E224,'G-1 All Habitats'!$AF$3:$AF$17,0)),"")</f>
        <v/>
      </c>
      <c r="B224" s="30" t="str">
        <f>IFERROR(INDEX('G-8 Condition Look up'!$I$4:$I$135,MATCH(AV224,'G-8 Condition Look up'!$A$4:$A$135,0)),"")</f>
        <v/>
      </c>
      <c r="D224" s="97">
        <v>214</v>
      </c>
      <c r="E224" s="262"/>
      <c r="F224" s="263"/>
      <c r="G224" s="133"/>
      <c r="H224" s="115"/>
      <c r="I224" s="509" t="str">
        <f>IF(AV224="","",IF(AND(AW224="Yes",G224="No"),"Irreplaceable habitat ▲",IF(AND(AW224="No",G224="Yes"),"Cannot be Irreplaceable ▲",VLOOKUP(AV224,'G-1 All Habitats'!$B$2:$M$135,10,FALSE))))</f>
        <v/>
      </c>
      <c r="J224" s="377" t="str">
        <f>IFERROR(VLOOKUP(I224,'G-1 All Habitats'!$V$3:$W$7,2,FALSE),"")</f>
        <v/>
      </c>
      <c r="K224" s="101"/>
      <c r="L224" s="276" t="str">
        <f>IFERROR(INDEX('G-8 Condition Look up'!$A$3:$H$135,MATCH(AV224,'G-8 Condition Look up'!$A$3:$A$135,0),MATCH(K224,'G-8 Condition Look up'!$A$3:$H$3,0)),"")</f>
        <v/>
      </c>
      <c r="M224" s="105"/>
      <c r="N224" s="295" t="str">
        <f>IF(M224="","",IF(VLOOKUP(M224,'G-3 Multipliers'!$L$3:$N$6,2,FALSE)=0,"Spatial Data Missing ⚠",VLOOKUP(M224,'G-3 Multipliers'!$L$3:$N$6,2,FALSE)))</f>
        <v/>
      </c>
      <c r="O224" s="353" t="str">
        <f>IF(M224="","",IF(VLOOKUP(M224,'G-3 Multipliers'!$L$3:$N$6,3,FALSE)=0,"Spatial Data Missing ⚠",VLOOKUP(M224,'G-3 Multipliers'!$L$3:$N$6,3,FALSE)))</f>
        <v/>
      </c>
      <c r="P224" s="336" t="str">
        <f>(IF(G224="Yes","Bespoke compensation likely to be required",(IFERROR(VLOOKUP(AV224,'G-1 All Habitats'!$B$2:$M$135,12,FALSE),""))))</f>
        <v/>
      </c>
      <c r="Q224" s="511" t="str">
        <f>IFERROR(IF(P224="","",IF(AND(E224="Individual trees",W224&gt;0,G224="Yes"),"Error - you cannot enhance irreplaceable individual trees ▲",IF(P224='G-1 All Habitats'!$X$9,T224*S224,IF(AND(P224='G-1 All Habitats'!$X$9,W224&gt;0),X224+(Y224*S224),IF(AND(P224='G-1 All Habitats'!$X$9,V224&gt;0),X224+(Y224*S224),IF(AND(P224='G-1 All Habitats'!$X$9,AG224&gt;0),"Any Loss Unacceptable  ⚠",IF(AND(P224='G-1 All Habitats'!$X$9,Z224&gt;0),"Any Loss Unacceptable ⚠",H224*J224*L224*O224*S224))))))),"Check Data ⚠")</f>
        <v/>
      </c>
      <c r="R224" s="393"/>
      <c r="S224" s="510" t="str">
        <f>IF(R224="","",IF(VLOOKUP(R224,'G-3 Multipliers'!$S$3:$T$10,2,FALSE)=0,"Spatial Data Missing ⚠",VLOOKUP(R224,'G-3 Multipliers'!$S$3:$T$10,2,FALSE)))</f>
        <v/>
      </c>
      <c r="T224" s="289" t="str">
        <f>IFERROR(IF(AND(F224&lt;&gt;"",G224=""),"Confirm irreplaceable habitat status ▲",(IF(AND(R224&lt;&gt;"",AF224=""),"Off-site reference required ▲",(IF(AND(E224="Individual trees",W224&gt;0,G224="Yes"),"Error - you cannot enhance irreplaceable individual trees ▲",(IF(AND(X224="Irreplaceable habitat - no units generated ⚠",(W224+V224)&lt;H224,OR(AB224="No",AB224="")),"Any Loss Unacceptable ⚠",(IF(X224="Irreplaceable habitat - no units generated ⚠",W224*J224*L224*O224,IF(AND(P224='G-1 All Habitats'!$X$9,AH224&gt;0,V224&lt;=0,W224&lt;=0,OR(AB224="No",AB224="")),"Any Loss Unacceptable ⚠",IF(AND(P224='G-1 All Habitats'!$X$9,AH224&gt;0,V224&lt;=0,W224&lt;=0),0,(IF(AND(P224='G-1 All Habitats'!$X$9,(W224+V224)&lt;H224,OR(AB224="No",AB224="")),"Any Loss Unacceptable ⚠",(IF(P224="","",IF(AND(P224='G-1 All Habitats'!$X$9,W224&gt;0),X224+Y224,IF(AND(P224='G-1 All Habitats'!$X$9,V224&gt;0),X224+Y224,IF(R224="","",H224*J224*L224*O224)))))))))))))))))),"Check Data ▲")</f>
        <v/>
      </c>
      <c r="U224" s="38"/>
      <c r="V224" s="52"/>
      <c r="W224" s="53"/>
      <c r="X224" s="287" t="str">
        <f t="shared" si="29"/>
        <v/>
      </c>
      <c r="Y224" s="287" t="str">
        <f t="shared" si="30"/>
        <v/>
      </c>
      <c r="Z224" s="287" t="str">
        <f t="shared" si="31"/>
        <v/>
      </c>
      <c r="AA224" s="317" t="str">
        <f>IFERROR(IF(AND(E224="Individual trees",G224="Yes",W224&gt;0),"Error - you cannot enhance an irreplaceable tree ▲",(IF(H224="","",IF(H224-V224-W224=0&lt;0,"Error in Areas ▲",IF(V224+W224&gt;H224,"Error in Areas ▲",IF(AND(P224='G-1 All Habitats'!$X$9,AB224="Yes"),"Alternative Compensation ✓",IF(AND(P224='G-1 All Habitats'!$X$3,AB224="Yes"),"Alternative Compensation ✓",IF(AND(AB224="Pending",P224='G-1 All Habitats'!$X$3),"Bespoke compensation must be agreed ▲",IF(AND(AB224="Pending",P224='G-1 All Habitats'!$X$9),"Bespoke compensation must be agreed  ▲",IF(Z224=0,0,IF(P224='G-1 All Habitats'!$X$9,"Any Loss Unacceptable ▲",T224-X224-Y224))))))))))),"Check Data ⚠")</f>
        <v/>
      </c>
      <c r="AB224" s="587"/>
      <c r="AC224" s="105"/>
      <c r="AD224" s="138"/>
      <c r="AE224" s="104"/>
      <c r="AF224" s="611"/>
      <c r="AG224" s="523" t="str">
        <f>IF(OR(P224="",AB224="Yes"),"",IF(P224='G-1 All Habitats'!$X$9,H224-V224-W224,"None"))</f>
        <v/>
      </c>
      <c r="AH224" s="523" t="str">
        <f>IF(P224="","",IF(P224='G-1 All Habitats'!$X$9,AG224*J224*L224*O224,"None"))</f>
        <v/>
      </c>
      <c r="AJ224" s="107" t="str">
        <f t="shared" si="32"/>
        <v/>
      </c>
      <c r="AK224" s="107" t="str">
        <f t="shared" si="27"/>
        <v/>
      </c>
      <c r="AL224" s="107" t="str">
        <f>IF(I224="","",IF(#REF!&gt;0,TRUE,FALSE))</f>
        <v/>
      </c>
      <c r="AM224" s="107">
        <v>214</v>
      </c>
      <c r="AN224" s="107"/>
      <c r="AO224" s="107" t="str">
        <f t="array" ref="AO224">IFERROR(INDEX($AM$11:$AM$259,MATCH(0,IF(TRUE=$AJ$11:$AJ$259,COUNTIF($AO$10:$AO223,$AM$11:$AM$259),""),0)),"")</f>
        <v/>
      </c>
      <c r="AP224" s="107" t="str">
        <f t="array" ref="AP224">IFERROR(INDEX($AM$11:$AM$259,MATCH(0,IF(TRUE=$AK$11:$AK$259,COUNTIF($AP$10:$AP223,$AM$11:$AM$259),""),0)),"")</f>
        <v/>
      </c>
      <c r="AQ224" s="107" t="str">
        <f t="array" ref="AQ224">IFERROR(INDEX($AM$11:$AM$259,MATCH(0,IF(TRUE=$AL$11:$AL$259,COUNTIF($AQ$10:$AQ223,$AM$11:$AM$259),""),0)),"")</f>
        <v/>
      </c>
      <c r="AS224" s="885" t="str">
        <f>IF(AND(OR(AB224="Yes",AB224="Pending"),P224='G-1 All Habitats'!$X$3),T224-X224-Y224,"0")</f>
        <v>0</v>
      </c>
      <c r="AT224" s="30" t="str">
        <f t="shared" si="28"/>
        <v/>
      </c>
      <c r="AU224" s="30">
        <f t="shared" si="33"/>
        <v>0</v>
      </c>
      <c r="AV224" s="230" t="str">
        <f>IFERROR(INDEX('G-1 All Habitats'!$B$3:$B$135,MATCH(F224,'G-1 All Habitats'!$A$3:$A$135,0)),"")</f>
        <v/>
      </c>
      <c r="AW224" s="30" t="str">
        <f>IF(AV224="","",VLOOKUP(AV224,'G-1 All Habitats'!$B$1:$T$135,19,FALSE))</f>
        <v/>
      </c>
      <c r="AY224" s="287" t="str">
        <f t="shared" si="34"/>
        <v/>
      </c>
    </row>
    <row r="225" spans="1:51" ht="14">
      <c r="A225" s="30" t="str">
        <f>IFERROR(INDEX('G-1 All Habitats'!$AG$3:$AG$17,MATCH(E225,'G-1 All Habitats'!$AF$3:$AF$17,0)),"")</f>
        <v/>
      </c>
      <c r="B225" s="30" t="str">
        <f>IFERROR(INDEX('G-8 Condition Look up'!$I$4:$I$135,MATCH(AV225,'G-8 Condition Look up'!$A$4:$A$135,0)),"")</f>
        <v/>
      </c>
      <c r="D225" s="97">
        <v>215</v>
      </c>
      <c r="E225" s="262"/>
      <c r="F225" s="263"/>
      <c r="G225" s="133"/>
      <c r="H225" s="115"/>
      <c r="I225" s="509" t="str">
        <f>IF(AV225="","",IF(AND(AW225="Yes",G225="No"),"Irreplaceable habitat ▲",IF(AND(AW225="No",G225="Yes"),"Cannot be Irreplaceable ▲",VLOOKUP(AV225,'G-1 All Habitats'!$B$2:$M$135,10,FALSE))))</f>
        <v/>
      </c>
      <c r="J225" s="377" t="str">
        <f>IFERROR(VLOOKUP(I225,'G-1 All Habitats'!$V$3:$W$7,2,FALSE),"")</f>
        <v/>
      </c>
      <c r="K225" s="101"/>
      <c r="L225" s="276" t="str">
        <f>IFERROR(INDEX('G-8 Condition Look up'!$A$3:$H$135,MATCH(AV225,'G-8 Condition Look up'!$A$3:$A$135,0),MATCH(K225,'G-8 Condition Look up'!$A$3:$H$3,0)),"")</f>
        <v/>
      </c>
      <c r="M225" s="105"/>
      <c r="N225" s="295" t="str">
        <f>IF(M225="","",IF(VLOOKUP(M225,'G-3 Multipliers'!$L$3:$N$6,2,FALSE)=0,"Spatial Data Missing ⚠",VLOOKUP(M225,'G-3 Multipliers'!$L$3:$N$6,2,FALSE)))</f>
        <v/>
      </c>
      <c r="O225" s="353" t="str">
        <f>IF(M225="","",IF(VLOOKUP(M225,'G-3 Multipliers'!$L$3:$N$6,3,FALSE)=0,"Spatial Data Missing ⚠",VLOOKUP(M225,'G-3 Multipliers'!$L$3:$N$6,3,FALSE)))</f>
        <v/>
      </c>
      <c r="P225" s="336" t="str">
        <f>(IF(G225="Yes","Bespoke compensation likely to be required",(IFERROR(VLOOKUP(AV225,'G-1 All Habitats'!$B$2:$M$135,12,FALSE),""))))</f>
        <v/>
      </c>
      <c r="Q225" s="511" t="str">
        <f>IFERROR(IF(P225="","",IF(AND(E225="Individual trees",W225&gt;0,G225="Yes"),"Error - you cannot enhance irreplaceable individual trees ▲",IF(P225='G-1 All Habitats'!$X$9,T225*S225,IF(AND(P225='G-1 All Habitats'!$X$9,W225&gt;0),X225+(Y225*S225),IF(AND(P225='G-1 All Habitats'!$X$9,V225&gt;0),X225+(Y225*S225),IF(AND(P225='G-1 All Habitats'!$X$9,AG225&gt;0),"Any Loss Unacceptable  ⚠",IF(AND(P225='G-1 All Habitats'!$X$9,Z225&gt;0),"Any Loss Unacceptable ⚠",H225*J225*L225*O225*S225))))))),"Check Data ⚠")</f>
        <v/>
      </c>
      <c r="R225" s="393"/>
      <c r="S225" s="510" t="str">
        <f>IF(R225="","",IF(VLOOKUP(R225,'G-3 Multipliers'!$S$3:$T$10,2,FALSE)=0,"Spatial Data Missing ⚠",VLOOKUP(R225,'G-3 Multipliers'!$S$3:$T$10,2,FALSE)))</f>
        <v/>
      </c>
      <c r="T225" s="289" t="str">
        <f>IFERROR(IF(AND(F225&lt;&gt;"",G225=""),"Confirm irreplaceable habitat status ▲",(IF(AND(R225&lt;&gt;"",AF225=""),"Off-site reference required ▲",(IF(AND(E225="Individual trees",W225&gt;0,G225="Yes"),"Error - you cannot enhance irreplaceable individual trees ▲",(IF(AND(X225="Irreplaceable habitat - no units generated ⚠",(W225+V225)&lt;H225,OR(AB225="No",AB225="")),"Any Loss Unacceptable ⚠",(IF(X225="Irreplaceable habitat - no units generated ⚠",W225*J225*L225*O225,IF(AND(P225='G-1 All Habitats'!$X$9,AH225&gt;0,V225&lt;=0,W225&lt;=0,OR(AB225="No",AB225="")),"Any Loss Unacceptable ⚠",IF(AND(P225='G-1 All Habitats'!$X$9,AH225&gt;0,V225&lt;=0,W225&lt;=0),0,(IF(AND(P225='G-1 All Habitats'!$X$9,(W225+V225)&lt;H225,OR(AB225="No",AB225="")),"Any Loss Unacceptable ⚠",(IF(P225="","",IF(AND(P225='G-1 All Habitats'!$X$9,W225&gt;0),X225+Y225,IF(AND(P225='G-1 All Habitats'!$X$9,V225&gt;0),X225+Y225,IF(R225="","",H225*J225*L225*O225)))))))))))))))))),"Check Data ▲")</f>
        <v/>
      </c>
      <c r="U225" s="38"/>
      <c r="V225" s="52"/>
      <c r="W225" s="53"/>
      <c r="X225" s="287" t="str">
        <f t="shared" si="29"/>
        <v/>
      </c>
      <c r="Y225" s="287" t="str">
        <f t="shared" si="30"/>
        <v/>
      </c>
      <c r="Z225" s="287" t="str">
        <f t="shared" si="31"/>
        <v/>
      </c>
      <c r="AA225" s="317" t="str">
        <f>IFERROR(IF(AND(E225="Individual trees",G225="Yes",W225&gt;0),"Error - you cannot enhance an irreplaceable tree ▲",(IF(H225="","",IF(H225-V225-W225=0&lt;0,"Error in Areas ▲",IF(V225+W225&gt;H225,"Error in Areas ▲",IF(AND(P225='G-1 All Habitats'!$X$9,AB225="Yes"),"Alternative Compensation ✓",IF(AND(P225='G-1 All Habitats'!$X$3,AB225="Yes"),"Alternative Compensation ✓",IF(AND(AB225="Pending",P225='G-1 All Habitats'!$X$3),"Bespoke compensation must be agreed ▲",IF(AND(AB225="Pending",P225='G-1 All Habitats'!$X$9),"Bespoke compensation must be agreed  ▲",IF(Z225=0,0,IF(P225='G-1 All Habitats'!$X$9,"Any Loss Unacceptable ▲",T225-X225-Y225))))))))))),"Check Data ⚠")</f>
        <v/>
      </c>
      <c r="AB225" s="587"/>
      <c r="AC225" s="105"/>
      <c r="AD225" s="138"/>
      <c r="AE225" s="104"/>
      <c r="AF225" s="611"/>
      <c r="AG225" s="523" t="str">
        <f>IF(OR(P225="",AB225="Yes"),"",IF(P225='G-1 All Habitats'!$X$9,H225-V225-W225,"None"))</f>
        <v/>
      </c>
      <c r="AH225" s="523" t="str">
        <f>IF(P225="","",IF(P225='G-1 All Habitats'!$X$9,AG225*J225*L225*O225,"None"))</f>
        <v/>
      </c>
      <c r="AJ225" s="107" t="str">
        <f t="shared" si="32"/>
        <v/>
      </c>
      <c r="AK225" s="107" t="str">
        <f t="shared" si="27"/>
        <v/>
      </c>
      <c r="AL225" s="107" t="str">
        <f>IF(I225="","",IF(#REF!&gt;0,TRUE,FALSE))</f>
        <v/>
      </c>
      <c r="AM225" s="107">
        <v>215</v>
      </c>
      <c r="AN225" s="107"/>
      <c r="AO225" s="107" t="str">
        <f t="array" ref="AO225">IFERROR(INDEX($AM$11:$AM$259,MATCH(0,IF(TRUE=$AJ$11:$AJ$259,COUNTIF($AO$10:$AO224,$AM$11:$AM$259),""),0)),"")</f>
        <v/>
      </c>
      <c r="AP225" s="107" t="str">
        <f t="array" ref="AP225">IFERROR(INDEX($AM$11:$AM$259,MATCH(0,IF(TRUE=$AK$11:$AK$259,COUNTIF($AP$10:$AP224,$AM$11:$AM$259),""),0)),"")</f>
        <v/>
      </c>
      <c r="AQ225" s="107" t="str">
        <f t="array" ref="AQ225">IFERROR(INDEX($AM$11:$AM$259,MATCH(0,IF(TRUE=$AL$11:$AL$259,COUNTIF($AQ$10:$AQ224,$AM$11:$AM$259),""),0)),"")</f>
        <v/>
      </c>
      <c r="AS225" s="885" t="str">
        <f>IF(AND(OR(AB225="Yes",AB225="Pending"),P225='G-1 All Habitats'!$X$3),T225-X225-Y225,"0")</f>
        <v>0</v>
      </c>
      <c r="AT225" s="30" t="str">
        <f t="shared" si="28"/>
        <v/>
      </c>
      <c r="AU225" s="30">
        <f t="shared" si="33"/>
        <v>0</v>
      </c>
      <c r="AV225" s="230" t="str">
        <f>IFERROR(INDEX('G-1 All Habitats'!$B$3:$B$135,MATCH(F225,'G-1 All Habitats'!$A$3:$A$135,0)),"")</f>
        <v/>
      </c>
      <c r="AW225" s="30" t="str">
        <f>IF(AV225="","",VLOOKUP(AV225,'G-1 All Habitats'!$B$1:$T$135,19,FALSE))</f>
        <v/>
      </c>
      <c r="AY225" s="287" t="str">
        <f t="shared" si="34"/>
        <v/>
      </c>
    </row>
    <row r="226" spans="1:51" ht="14">
      <c r="A226" s="30" t="str">
        <f>IFERROR(INDEX('G-1 All Habitats'!$AG$3:$AG$17,MATCH(E226,'G-1 All Habitats'!$AF$3:$AF$17,0)),"")</f>
        <v/>
      </c>
      <c r="B226" s="30" t="str">
        <f>IFERROR(INDEX('G-8 Condition Look up'!$I$4:$I$135,MATCH(AV226,'G-8 Condition Look up'!$A$4:$A$135,0)),"")</f>
        <v/>
      </c>
      <c r="D226" s="97">
        <v>216</v>
      </c>
      <c r="E226" s="262"/>
      <c r="F226" s="263"/>
      <c r="G226" s="133"/>
      <c r="H226" s="115"/>
      <c r="I226" s="509" t="str">
        <f>IF(AV226="","",IF(AND(AW226="Yes",G226="No"),"Irreplaceable habitat ▲",IF(AND(AW226="No",G226="Yes"),"Cannot be Irreplaceable ▲",VLOOKUP(AV226,'G-1 All Habitats'!$B$2:$M$135,10,FALSE))))</f>
        <v/>
      </c>
      <c r="J226" s="377" t="str">
        <f>IFERROR(VLOOKUP(I226,'G-1 All Habitats'!$V$3:$W$7,2,FALSE),"")</f>
        <v/>
      </c>
      <c r="K226" s="101"/>
      <c r="L226" s="276" t="str">
        <f>IFERROR(INDEX('G-8 Condition Look up'!$A$3:$H$135,MATCH(AV226,'G-8 Condition Look up'!$A$3:$A$135,0),MATCH(K226,'G-8 Condition Look up'!$A$3:$H$3,0)),"")</f>
        <v/>
      </c>
      <c r="M226" s="105"/>
      <c r="N226" s="295" t="str">
        <f>IF(M226="","",IF(VLOOKUP(M226,'G-3 Multipliers'!$L$3:$N$6,2,FALSE)=0,"Spatial Data Missing ⚠",VLOOKUP(M226,'G-3 Multipliers'!$L$3:$N$6,2,FALSE)))</f>
        <v/>
      </c>
      <c r="O226" s="353" t="str">
        <f>IF(M226="","",IF(VLOOKUP(M226,'G-3 Multipliers'!$L$3:$N$6,3,FALSE)=0,"Spatial Data Missing ⚠",VLOOKUP(M226,'G-3 Multipliers'!$L$3:$N$6,3,FALSE)))</f>
        <v/>
      </c>
      <c r="P226" s="336" t="str">
        <f>(IF(G226="Yes","Bespoke compensation likely to be required",(IFERROR(VLOOKUP(AV226,'G-1 All Habitats'!$B$2:$M$135,12,FALSE),""))))</f>
        <v/>
      </c>
      <c r="Q226" s="511" t="str">
        <f>IFERROR(IF(P226="","",IF(AND(E226="Individual trees",W226&gt;0,G226="Yes"),"Error - you cannot enhance irreplaceable individual trees ▲",IF(P226='G-1 All Habitats'!$X$9,T226*S226,IF(AND(P226='G-1 All Habitats'!$X$9,W226&gt;0),X226+(Y226*S226),IF(AND(P226='G-1 All Habitats'!$X$9,V226&gt;0),X226+(Y226*S226),IF(AND(P226='G-1 All Habitats'!$X$9,AG226&gt;0),"Any Loss Unacceptable  ⚠",IF(AND(P226='G-1 All Habitats'!$X$9,Z226&gt;0),"Any Loss Unacceptable ⚠",H226*J226*L226*O226*S226))))))),"Check Data ⚠")</f>
        <v/>
      </c>
      <c r="R226" s="393"/>
      <c r="S226" s="510" t="str">
        <f>IF(R226="","",IF(VLOOKUP(R226,'G-3 Multipliers'!$S$3:$T$10,2,FALSE)=0,"Spatial Data Missing ⚠",VLOOKUP(R226,'G-3 Multipliers'!$S$3:$T$10,2,FALSE)))</f>
        <v/>
      </c>
      <c r="T226" s="289" t="str">
        <f>IFERROR(IF(AND(F226&lt;&gt;"",G226=""),"Confirm irreplaceable habitat status ▲",(IF(AND(R226&lt;&gt;"",AF226=""),"Off-site reference required ▲",(IF(AND(E226="Individual trees",W226&gt;0,G226="Yes"),"Error - you cannot enhance irreplaceable individual trees ▲",(IF(AND(X226="Irreplaceable habitat - no units generated ⚠",(W226+V226)&lt;H226,OR(AB226="No",AB226="")),"Any Loss Unacceptable ⚠",(IF(X226="Irreplaceable habitat - no units generated ⚠",W226*J226*L226*O226,IF(AND(P226='G-1 All Habitats'!$X$9,AH226&gt;0,V226&lt;=0,W226&lt;=0,OR(AB226="No",AB226="")),"Any Loss Unacceptable ⚠",IF(AND(P226='G-1 All Habitats'!$X$9,AH226&gt;0,V226&lt;=0,W226&lt;=0),0,(IF(AND(P226='G-1 All Habitats'!$X$9,(W226+V226)&lt;H226,OR(AB226="No",AB226="")),"Any Loss Unacceptable ⚠",(IF(P226="","",IF(AND(P226='G-1 All Habitats'!$X$9,W226&gt;0),X226+Y226,IF(AND(P226='G-1 All Habitats'!$X$9,V226&gt;0),X226+Y226,IF(R226="","",H226*J226*L226*O226)))))))))))))))))),"Check Data ▲")</f>
        <v/>
      </c>
      <c r="U226" s="38"/>
      <c r="V226" s="52"/>
      <c r="W226" s="53"/>
      <c r="X226" s="287" t="str">
        <f t="shared" si="29"/>
        <v/>
      </c>
      <c r="Y226" s="287" t="str">
        <f t="shared" si="30"/>
        <v/>
      </c>
      <c r="Z226" s="287" t="str">
        <f t="shared" si="31"/>
        <v/>
      </c>
      <c r="AA226" s="317" t="str">
        <f>IFERROR(IF(AND(E226="Individual trees",G226="Yes",W226&gt;0),"Error - you cannot enhance an irreplaceable tree ▲",(IF(H226="","",IF(H226-V226-W226=0&lt;0,"Error in Areas ▲",IF(V226+W226&gt;H226,"Error in Areas ▲",IF(AND(P226='G-1 All Habitats'!$X$9,AB226="Yes"),"Alternative Compensation ✓",IF(AND(P226='G-1 All Habitats'!$X$3,AB226="Yes"),"Alternative Compensation ✓",IF(AND(AB226="Pending",P226='G-1 All Habitats'!$X$3),"Bespoke compensation must be agreed ▲",IF(AND(AB226="Pending",P226='G-1 All Habitats'!$X$9),"Bespoke compensation must be agreed  ▲",IF(Z226=0,0,IF(P226='G-1 All Habitats'!$X$9,"Any Loss Unacceptable ▲",T226-X226-Y226))))))))))),"Check Data ⚠")</f>
        <v/>
      </c>
      <c r="AB226" s="587"/>
      <c r="AC226" s="105"/>
      <c r="AD226" s="138"/>
      <c r="AE226" s="104"/>
      <c r="AF226" s="611"/>
      <c r="AG226" s="523" t="str">
        <f>IF(OR(P226="",AB226="Yes"),"",IF(P226='G-1 All Habitats'!$X$9,H226-V226-W226,"None"))</f>
        <v/>
      </c>
      <c r="AH226" s="523" t="str">
        <f>IF(P226="","",IF(P226='G-1 All Habitats'!$X$9,AG226*J226*L226*O226,"None"))</f>
        <v/>
      </c>
      <c r="AJ226" s="107" t="str">
        <f t="shared" si="32"/>
        <v/>
      </c>
      <c r="AK226" s="107" t="str">
        <f t="shared" si="27"/>
        <v/>
      </c>
      <c r="AL226" s="107" t="str">
        <f>IF(I226="","",IF(#REF!&gt;0,TRUE,FALSE))</f>
        <v/>
      </c>
      <c r="AM226" s="107">
        <v>216</v>
      </c>
      <c r="AN226" s="107"/>
      <c r="AO226" s="107" t="str">
        <f t="array" ref="AO226">IFERROR(INDEX($AM$11:$AM$259,MATCH(0,IF(TRUE=$AJ$11:$AJ$259,COUNTIF($AO$10:$AO225,$AM$11:$AM$259),""),0)),"")</f>
        <v/>
      </c>
      <c r="AP226" s="107" t="str">
        <f t="array" ref="AP226">IFERROR(INDEX($AM$11:$AM$259,MATCH(0,IF(TRUE=$AK$11:$AK$259,COUNTIF($AP$10:$AP225,$AM$11:$AM$259),""),0)),"")</f>
        <v/>
      </c>
      <c r="AQ226" s="107" t="str">
        <f t="array" ref="AQ226">IFERROR(INDEX($AM$11:$AM$259,MATCH(0,IF(TRUE=$AL$11:$AL$259,COUNTIF($AQ$10:$AQ225,$AM$11:$AM$259),""),0)),"")</f>
        <v/>
      </c>
      <c r="AS226" s="885" t="str">
        <f>IF(AND(OR(AB226="Yes",AB226="Pending"),P226='G-1 All Habitats'!$X$3),T226-X226-Y226,"0")</f>
        <v>0</v>
      </c>
      <c r="AT226" s="30" t="str">
        <f t="shared" si="28"/>
        <v/>
      </c>
      <c r="AU226" s="30">
        <f t="shared" si="33"/>
        <v>0</v>
      </c>
      <c r="AV226" s="230" t="str">
        <f>IFERROR(INDEX('G-1 All Habitats'!$B$3:$B$135,MATCH(F226,'G-1 All Habitats'!$A$3:$A$135,0)),"")</f>
        <v/>
      </c>
      <c r="AW226" s="30" t="str">
        <f>IF(AV226="","",VLOOKUP(AV226,'G-1 All Habitats'!$B$1:$T$135,19,FALSE))</f>
        <v/>
      </c>
      <c r="AY226" s="287" t="str">
        <f t="shared" si="34"/>
        <v/>
      </c>
    </row>
    <row r="227" spans="1:51" ht="14">
      <c r="A227" s="30" t="str">
        <f>IFERROR(INDEX('G-1 All Habitats'!$AG$3:$AG$17,MATCH(E227,'G-1 All Habitats'!$AF$3:$AF$17,0)),"")</f>
        <v/>
      </c>
      <c r="B227" s="30" t="str">
        <f>IFERROR(INDEX('G-8 Condition Look up'!$I$4:$I$135,MATCH(AV227,'G-8 Condition Look up'!$A$4:$A$135,0)),"")</f>
        <v/>
      </c>
      <c r="D227" s="97">
        <v>217</v>
      </c>
      <c r="E227" s="262"/>
      <c r="F227" s="263"/>
      <c r="G227" s="133"/>
      <c r="H227" s="115"/>
      <c r="I227" s="509" t="str">
        <f>IF(AV227="","",IF(AND(AW227="Yes",G227="No"),"Irreplaceable habitat ▲",IF(AND(AW227="No",G227="Yes"),"Cannot be Irreplaceable ▲",VLOOKUP(AV227,'G-1 All Habitats'!$B$2:$M$135,10,FALSE))))</f>
        <v/>
      </c>
      <c r="J227" s="377" t="str">
        <f>IFERROR(VLOOKUP(I227,'G-1 All Habitats'!$V$3:$W$7,2,FALSE),"")</f>
        <v/>
      </c>
      <c r="K227" s="101"/>
      <c r="L227" s="276" t="str">
        <f>IFERROR(INDEX('G-8 Condition Look up'!$A$3:$H$135,MATCH(AV227,'G-8 Condition Look up'!$A$3:$A$135,0),MATCH(K227,'G-8 Condition Look up'!$A$3:$H$3,0)),"")</f>
        <v/>
      </c>
      <c r="M227" s="105"/>
      <c r="N227" s="295" t="str">
        <f>IF(M227="","",IF(VLOOKUP(M227,'G-3 Multipliers'!$L$3:$N$6,2,FALSE)=0,"Spatial Data Missing ⚠",VLOOKUP(M227,'G-3 Multipliers'!$L$3:$N$6,2,FALSE)))</f>
        <v/>
      </c>
      <c r="O227" s="353" t="str">
        <f>IF(M227="","",IF(VLOOKUP(M227,'G-3 Multipliers'!$L$3:$N$6,3,FALSE)=0,"Spatial Data Missing ⚠",VLOOKUP(M227,'G-3 Multipliers'!$L$3:$N$6,3,FALSE)))</f>
        <v/>
      </c>
      <c r="P227" s="336" t="str">
        <f>(IF(G227="Yes","Bespoke compensation likely to be required",(IFERROR(VLOOKUP(AV227,'G-1 All Habitats'!$B$2:$M$135,12,FALSE),""))))</f>
        <v/>
      </c>
      <c r="Q227" s="511" t="str">
        <f>IFERROR(IF(P227="","",IF(AND(E227="Individual trees",W227&gt;0,G227="Yes"),"Error - you cannot enhance irreplaceable individual trees ▲",IF(P227='G-1 All Habitats'!$X$9,T227*S227,IF(AND(P227='G-1 All Habitats'!$X$9,W227&gt;0),X227+(Y227*S227),IF(AND(P227='G-1 All Habitats'!$X$9,V227&gt;0),X227+(Y227*S227),IF(AND(P227='G-1 All Habitats'!$X$9,AG227&gt;0),"Any Loss Unacceptable  ⚠",IF(AND(P227='G-1 All Habitats'!$X$9,Z227&gt;0),"Any Loss Unacceptable ⚠",H227*J227*L227*O227*S227))))))),"Check Data ⚠")</f>
        <v/>
      </c>
      <c r="R227" s="393"/>
      <c r="S227" s="510" t="str">
        <f>IF(R227="","",IF(VLOOKUP(R227,'G-3 Multipliers'!$S$3:$T$10,2,FALSE)=0,"Spatial Data Missing ⚠",VLOOKUP(R227,'G-3 Multipliers'!$S$3:$T$10,2,FALSE)))</f>
        <v/>
      </c>
      <c r="T227" s="289" t="str">
        <f>IFERROR(IF(AND(F227&lt;&gt;"",G227=""),"Confirm irreplaceable habitat status ▲",(IF(AND(R227&lt;&gt;"",AF227=""),"Off-site reference required ▲",(IF(AND(E227="Individual trees",W227&gt;0,G227="Yes"),"Error - you cannot enhance irreplaceable individual trees ▲",(IF(AND(X227="Irreplaceable habitat - no units generated ⚠",(W227+V227)&lt;H227,OR(AB227="No",AB227="")),"Any Loss Unacceptable ⚠",(IF(X227="Irreplaceable habitat - no units generated ⚠",W227*J227*L227*O227,IF(AND(P227='G-1 All Habitats'!$X$9,AH227&gt;0,V227&lt;=0,W227&lt;=0,OR(AB227="No",AB227="")),"Any Loss Unacceptable ⚠",IF(AND(P227='G-1 All Habitats'!$X$9,AH227&gt;0,V227&lt;=0,W227&lt;=0),0,(IF(AND(P227='G-1 All Habitats'!$X$9,(W227+V227)&lt;H227,OR(AB227="No",AB227="")),"Any Loss Unacceptable ⚠",(IF(P227="","",IF(AND(P227='G-1 All Habitats'!$X$9,W227&gt;0),X227+Y227,IF(AND(P227='G-1 All Habitats'!$X$9,V227&gt;0),X227+Y227,IF(R227="","",H227*J227*L227*O227)))))))))))))))))),"Check Data ▲")</f>
        <v/>
      </c>
      <c r="U227" s="38"/>
      <c r="V227" s="52"/>
      <c r="W227" s="53"/>
      <c r="X227" s="287" t="str">
        <f t="shared" si="29"/>
        <v/>
      </c>
      <c r="Y227" s="287" t="str">
        <f t="shared" si="30"/>
        <v/>
      </c>
      <c r="Z227" s="287" t="str">
        <f t="shared" si="31"/>
        <v/>
      </c>
      <c r="AA227" s="317" t="str">
        <f>IFERROR(IF(AND(E227="Individual trees",G227="Yes",W227&gt;0),"Error - you cannot enhance an irreplaceable tree ▲",(IF(H227="","",IF(H227-V227-W227=0&lt;0,"Error in Areas ▲",IF(V227+W227&gt;H227,"Error in Areas ▲",IF(AND(P227='G-1 All Habitats'!$X$9,AB227="Yes"),"Alternative Compensation ✓",IF(AND(P227='G-1 All Habitats'!$X$3,AB227="Yes"),"Alternative Compensation ✓",IF(AND(AB227="Pending",P227='G-1 All Habitats'!$X$3),"Bespoke compensation must be agreed ▲",IF(AND(AB227="Pending",P227='G-1 All Habitats'!$X$9),"Bespoke compensation must be agreed  ▲",IF(Z227=0,0,IF(P227='G-1 All Habitats'!$X$9,"Any Loss Unacceptable ▲",T227-X227-Y227))))))))))),"Check Data ⚠")</f>
        <v/>
      </c>
      <c r="AB227" s="587"/>
      <c r="AC227" s="105"/>
      <c r="AD227" s="138"/>
      <c r="AE227" s="104"/>
      <c r="AF227" s="611"/>
      <c r="AG227" s="523" t="str">
        <f>IF(OR(P227="",AB227="Yes"),"",IF(P227='G-1 All Habitats'!$X$9,H227-V227-W227,"None"))</f>
        <v/>
      </c>
      <c r="AH227" s="523" t="str">
        <f>IF(P227="","",IF(P227='G-1 All Habitats'!$X$9,AG227*J227*L227*O227,"None"))</f>
        <v/>
      </c>
      <c r="AJ227" s="107" t="str">
        <f t="shared" si="32"/>
        <v/>
      </c>
      <c r="AK227" s="107" t="str">
        <f t="shared" si="27"/>
        <v/>
      </c>
      <c r="AL227" s="107" t="str">
        <f>IF(I227="","",IF(#REF!&gt;0,TRUE,FALSE))</f>
        <v/>
      </c>
      <c r="AM227" s="107">
        <v>217</v>
      </c>
      <c r="AN227" s="107"/>
      <c r="AO227" s="107" t="str">
        <f t="array" ref="AO227">IFERROR(INDEX($AM$11:$AM$259,MATCH(0,IF(TRUE=$AJ$11:$AJ$259,COUNTIF($AO$10:$AO226,$AM$11:$AM$259),""),0)),"")</f>
        <v/>
      </c>
      <c r="AP227" s="107" t="str">
        <f t="array" ref="AP227">IFERROR(INDEX($AM$11:$AM$259,MATCH(0,IF(TRUE=$AK$11:$AK$259,COUNTIF($AP$10:$AP226,$AM$11:$AM$259),""),0)),"")</f>
        <v/>
      </c>
      <c r="AQ227" s="107" t="str">
        <f t="array" ref="AQ227">IFERROR(INDEX($AM$11:$AM$259,MATCH(0,IF(TRUE=$AL$11:$AL$259,COUNTIF($AQ$10:$AQ226,$AM$11:$AM$259),""),0)),"")</f>
        <v/>
      </c>
      <c r="AS227" s="885" t="str">
        <f>IF(AND(OR(AB227="Yes",AB227="Pending"),P227='G-1 All Habitats'!$X$3),T227-X227-Y227,"0")</f>
        <v>0</v>
      </c>
      <c r="AT227" s="30" t="str">
        <f t="shared" si="28"/>
        <v/>
      </c>
      <c r="AU227" s="30">
        <f t="shared" si="33"/>
        <v>0</v>
      </c>
      <c r="AV227" s="230" t="str">
        <f>IFERROR(INDEX('G-1 All Habitats'!$B$3:$B$135,MATCH(F227,'G-1 All Habitats'!$A$3:$A$135,0)),"")</f>
        <v/>
      </c>
      <c r="AW227" s="30" t="str">
        <f>IF(AV227="","",VLOOKUP(AV227,'G-1 All Habitats'!$B$1:$T$135,19,FALSE))</f>
        <v/>
      </c>
      <c r="AY227" s="287" t="str">
        <f t="shared" si="34"/>
        <v/>
      </c>
    </row>
    <row r="228" spans="1:51" ht="14">
      <c r="A228" s="30" t="str">
        <f>IFERROR(INDEX('G-1 All Habitats'!$AG$3:$AG$17,MATCH(E228,'G-1 All Habitats'!$AF$3:$AF$17,0)),"")</f>
        <v/>
      </c>
      <c r="B228" s="30" t="str">
        <f>IFERROR(INDEX('G-8 Condition Look up'!$I$4:$I$135,MATCH(AV228,'G-8 Condition Look up'!$A$4:$A$135,0)),"")</f>
        <v/>
      </c>
      <c r="D228" s="97">
        <v>218</v>
      </c>
      <c r="E228" s="262"/>
      <c r="F228" s="263"/>
      <c r="G228" s="133"/>
      <c r="H228" s="115"/>
      <c r="I228" s="509" t="str">
        <f>IF(AV228="","",IF(AND(AW228="Yes",G228="No"),"Irreplaceable habitat ▲",IF(AND(AW228="No",G228="Yes"),"Cannot be Irreplaceable ▲",VLOOKUP(AV228,'G-1 All Habitats'!$B$2:$M$135,10,FALSE))))</f>
        <v/>
      </c>
      <c r="J228" s="377" t="str">
        <f>IFERROR(VLOOKUP(I228,'G-1 All Habitats'!$V$3:$W$7,2,FALSE),"")</f>
        <v/>
      </c>
      <c r="K228" s="101"/>
      <c r="L228" s="276" t="str">
        <f>IFERROR(INDEX('G-8 Condition Look up'!$A$3:$H$135,MATCH(AV228,'G-8 Condition Look up'!$A$3:$A$135,0),MATCH(K228,'G-8 Condition Look up'!$A$3:$H$3,0)),"")</f>
        <v/>
      </c>
      <c r="M228" s="105"/>
      <c r="N228" s="295" t="str">
        <f>IF(M228="","",IF(VLOOKUP(M228,'G-3 Multipliers'!$L$3:$N$6,2,FALSE)=0,"Spatial Data Missing ⚠",VLOOKUP(M228,'G-3 Multipliers'!$L$3:$N$6,2,FALSE)))</f>
        <v/>
      </c>
      <c r="O228" s="353" t="str">
        <f>IF(M228="","",IF(VLOOKUP(M228,'G-3 Multipliers'!$L$3:$N$6,3,FALSE)=0,"Spatial Data Missing ⚠",VLOOKUP(M228,'G-3 Multipliers'!$L$3:$N$6,3,FALSE)))</f>
        <v/>
      </c>
      <c r="P228" s="336" t="str">
        <f>(IF(G228="Yes","Bespoke compensation likely to be required",(IFERROR(VLOOKUP(AV228,'G-1 All Habitats'!$B$2:$M$135,12,FALSE),""))))</f>
        <v/>
      </c>
      <c r="Q228" s="511" t="str">
        <f>IFERROR(IF(P228="","",IF(AND(E228="Individual trees",W228&gt;0,G228="Yes"),"Error - you cannot enhance irreplaceable individual trees ▲",IF(P228='G-1 All Habitats'!$X$9,T228*S228,IF(AND(P228='G-1 All Habitats'!$X$9,W228&gt;0),X228+(Y228*S228),IF(AND(P228='G-1 All Habitats'!$X$9,V228&gt;0),X228+(Y228*S228),IF(AND(P228='G-1 All Habitats'!$X$9,AG228&gt;0),"Any Loss Unacceptable  ⚠",IF(AND(P228='G-1 All Habitats'!$X$9,Z228&gt;0),"Any Loss Unacceptable ⚠",H228*J228*L228*O228*S228))))))),"Check Data ⚠")</f>
        <v/>
      </c>
      <c r="R228" s="393"/>
      <c r="S228" s="510" t="str">
        <f>IF(R228="","",IF(VLOOKUP(R228,'G-3 Multipliers'!$S$3:$T$10,2,FALSE)=0,"Spatial Data Missing ⚠",VLOOKUP(R228,'G-3 Multipliers'!$S$3:$T$10,2,FALSE)))</f>
        <v/>
      </c>
      <c r="T228" s="289" t="str">
        <f>IFERROR(IF(AND(F228&lt;&gt;"",G228=""),"Confirm irreplaceable habitat status ▲",(IF(AND(R228&lt;&gt;"",AF228=""),"Off-site reference required ▲",(IF(AND(E228="Individual trees",W228&gt;0,G228="Yes"),"Error - you cannot enhance irreplaceable individual trees ▲",(IF(AND(X228="Irreplaceable habitat - no units generated ⚠",(W228+V228)&lt;H228,OR(AB228="No",AB228="")),"Any Loss Unacceptable ⚠",(IF(X228="Irreplaceable habitat - no units generated ⚠",W228*J228*L228*O228,IF(AND(P228='G-1 All Habitats'!$X$9,AH228&gt;0,V228&lt;=0,W228&lt;=0,OR(AB228="No",AB228="")),"Any Loss Unacceptable ⚠",IF(AND(P228='G-1 All Habitats'!$X$9,AH228&gt;0,V228&lt;=0,W228&lt;=0),0,(IF(AND(P228='G-1 All Habitats'!$X$9,(W228+V228)&lt;H228,OR(AB228="No",AB228="")),"Any Loss Unacceptable ⚠",(IF(P228="","",IF(AND(P228='G-1 All Habitats'!$X$9,W228&gt;0),X228+Y228,IF(AND(P228='G-1 All Habitats'!$X$9,V228&gt;0),X228+Y228,IF(R228="","",H228*J228*L228*O228)))))))))))))))))),"Check Data ▲")</f>
        <v/>
      </c>
      <c r="U228" s="38"/>
      <c r="V228" s="52"/>
      <c r="W228" s="53"/>
      <c r="X228" s="287" t="str">
        <f t="shared" si="29"/>
        <v/>
      </c>
      <c r="Y228" s="287" t="str">
        <f t="shared" si="30"/>
        <v/>
      </c>
      <c r="Z228" s="287" t="str">
        <f t="shared" si="31"/>
        <v/>
      </c>
      <c r="AA228" s="317" t="str">
        <f>IFERROR(IF(AND(E228="Individual trees",G228="Yes",W228&gt;0),"Error - you cannot enhance an irreplaceable tree ▲",(IF(H228="","",IF(H228-V228-W228=0&lt;0,"Error in Areas ▲",IF(V228+W228&gt;H228,"Error in Areas ▲",IF(AND(P228='G-1 All Habitats'!$X$9,AB228="Yes"),"Alternative Compensation ✓",IF(AND(P228='G-1 All Habitats'!$X$3,AB228="Yes"),"Alternative Compensation ✓",IF(AND(AB228="Pending",P228='G-1 All Habitats'!$X$3),"Bespoke compensation must be agreed ▲",IF(AND(AB228="Pending",P228='G-1 All Habitats'!$X$9),"Bespoke compensation must be agreed  ▲",IF(Z228=0,0,IF(P228='G-1 All Habitats'!$X$9,"Any Loss Unacceptable ▲",T228-X228-Y228))))))))))),"Check Data ⚠")</f>
        <v/>
      </c>
      <c r="AB228" s="587"/>
      <c r="AC228" s="105"/>
      <c r="AD228" s="138"/>
      <c r="AE228" s="104"/>
      <c r="AF228" s="611"/>
      <c r="AG228" s="523" t="str">
        <f>IF(OR(P228="",AB228="Yes"),"",IF(P228='G-1 All Habitats'!$X$9,H228-V228-W228,"None"))</f>
        <v/>
      </c>
      <c r="AH228" s="523" t="str">
        <f>IF(P228="","",IF(P228='G-1 All Habitats'!$X$9,AG228*J228*L228*O228,"None"))</f>
        <v/>
      </c>
      <c r="AJ228" s="107" t="str">
        <f t="shared" si="32"/>
        <v/>
      </c>
      <c r="AK228" s="107" t="str">
        <f t="shared" si="27"/>
        <v/>
      </c>
      <c r="AL228" s="107" t="str">
        <f>IF(I228="","",IF(#REF!&gt;0,TRUE,FALSE))</f>
        <v/>
      </c>
      <c r="AM228" s="107">
        <v>218</v>
      </c>
      <c r="AN228" s="107"/>
      <c r="AO228" s="107" t="str">
        <f t="array" ref="AO228">IFERROR(INDEX($AM$11:$AM$259,MATCH(0,IF(TRUE=$AJ$11:$AJ$259,COUNTIF($AO$10:$AO227,$AM$11:$AM$259),""),0)),"")</f>
        <v/>
      </c>
      <c r="AP228" s="107" t="str">
        <f t="array" ref="AP228">IFERROR(INDEX($AM$11:$AM$259,MATCH(0,IF(TRUE=$AK$11:$AK$259,COUNTIF($AP$10:$AP227,$AM$11:$AM$259),""),0)),"")</f>
        <v/>
      </c>
      <c r="AQ228" s="107" t="str">
        <f t="array" ref="AQ228">IFERROR(INDEX($AM$11:$AM$259,MATCH(0,IF(TRUE=$AL$11:$AL$259,COUNTIF($AQ$10:$AQ227,$AM$11:$AM$259),""),0)),"")</f>
        <v/>
      </c>
      <c r="AS228" s="885" t="str">
        <f>IF(AND(OR(AB228="Yes",AB228="Pending"),P228='G-1 All Habitats'!$X$3),T228-X228-Y228,"0")</f>
        <v>0</v>
      </c>
      <c r="AT228" s="30" t="str">
        <f t="shared" si="28"/>
        <v/>
      </c>
      <c r="AU228" s="30">
        <f t="shared" si="33"/>
        <v>0</v>
      </c>
      <c r="AV228" s="230" t="str">
        <f>IFERROR(INDEX('G-1 All Habitats'!$B$3:$B$135,MATCH(F228,'G-1 All Habitats'!$A$3:$A$135,0)),"")</f>
        <v/>
      </c>
      <c r="AW228" s="30" t="str">
        <f>IF(AV228="","",VLOOKUP(AV228,'G-1 All Habitats'!$B$1:$T$135,19,FALSE))</f>
        <v/>
      </c>
      <c r="AY228" s="287" t="str">
        <f t="shared" si="34"/>
        <v/>
      </c>
    </row>
    <row r="229" spans="1:51" ht="14">
      <c r="A229" s="30" t="str">
        <f>IFERROR(INDEX('G-1 All Habitats'!$AG$3:$AG$17,MATCH(E229,'G-1 All Habitats'!$AF$3:$AF$17,0)),"")</f>
        <v/>
      </c>
      <c r="B229" s="30" t="str">
        <f>IFERROR(INDEX('G-8 Condition Look up'!$I$4:$I$135,MATCH(AV229,'G-8 Condition Look up'!$A$4:$A$135,0)),"")</f>
        <v/>
      </c>
      <c r="D229" s="97">
        <v>219</v>
      </c>
      <c r="E229" s="262"/>
      <c r="F229" s="263"/>
      <c r="G229" s="133"/>
      <c r="H229" s="115"/>
      <c r="I229" s="509" t="str">
        <f>IF(AV229="","",IF(AND(AW229="Yes",G229="No"),"Irreplaceable habitat ▲",IF(AND(AW229="No",G229="Yes"),"Cannot be Irreplaceable ▲",VLOOKUP(AV229,'G-1 All Habitats'!$B$2:$M$135,10,FALSE))))</f>
        <v/>
      </c>
      <c r="J229" s="377" t="str">
        <f>IFERROR(VLOOKUP(I229,'G-1 All Habitats'!$V$3:$W$7,2,FALSE),"")</f>
        <v/>
      </c>
      <c r="K229" s="101"/>
      <c r="L229" s="276" t="str">
        <f>IFERROR(INDEX('G-8 Condition Look up'!$A$3:$H$135,MATCH(AV229,'G-8 Condition Look up'!$A$3:$A$135,0),MATCH(K229,'G-8 Condition Look up'!$A$3:$H$3,0)),"")</f>
        <v/>
      </c>
      <c r="M229" s="105"/>
      <c r="N229" s="295" t="str">
        <f>IF(M229="","",IF(VLOOKUP(M229,'G-3 Multipliers'!$L$3:$N$6,2,FALSE)=0,"Spatial Data Missing ⚠",VLOOKUP(M229,'G-3 Multipliers'!$L$3:$N$6,2,FALSE)))</f>
        <v/>
      </c>
      <c r="O229" s="353" t="str">
        <f>IF(M229="","",IF(VLOOKUP(M229,'G-3 Multipliers'!$L$3:$N$6,3,FALSE)=0,"Spatial Data Missing ⚠",VLOOKUP(M229,'G-3 Multipliers'!$L$3:$N$6,3,FALSE)))</f>
        <v/>
      </c>
      <c r="P229" s="336" t="str">
        <f>(IF(G229="Yes","Bespoke compensation likely to be required",(IFERROR(VLOOKUP(AV229,'G-1 All Habitats'!$B$2:$M$135,12,FALSE),""))))</f>
        <v/>
      </c>
      <c r="Q229" s="511" t="str">
        <f>IFERROR(IF(P229="","",IF(AND(E229="Individual trees",W229&gt;0,G229="Yes"),"Error - you cannot enhance irreplaceable individual trees ▲",IF(P229='G-1 All Habitats'!$X$9,T229*S229,IF(AND(P229='G-1 All Habitats'!$X$9,W229&gt;0),X229+(Y229*S229),IF(AND(P229='G-1 All Habitats'!$X$9,V229&gt;0),X229+(Y229*S229),IF(AND(P229='G-1 All Habitats'!$X$9,AG229&gt;0),"Any Loss Unacceptable  ⚠",IF(AND(P229='G-1 All Habitats'!$X$9,Z229&gt;0),"Any Loss Unacceptable ⚠",H229*J229*L229*O229*S229))))))),"Check Data ⚠")</f>
        <v/>
      </c>
      <c r="R229" s="393"/>
      <c r="S229" s="510" t="str">
        <f>IF(R229="","",IF(VLOOKUP(R229,'G-3 Multipliers'!$S$3:$T$10,2,FALSE)=0,"Spatial Data Missing ⚠",VLOOKUP(R229,'G-3 Multipliers'!$S$3:$T$10,2,FALSE)))</f>
        <v/>
      </c>
      <c r="T229" s="289" t="str">
        <f>IFERROR(IF(AND(F229&lt;&gt;"",G229=""),"Confirm irreplaceable habitat status ▲",(IF(AND(R229&lt;&gt;"",AF229=""),"Off-site reference required ▲",(IF(AND(E229="Individual trees",W229&gt;0,G229="Yes"),"Error - you cannot enhance irreplaceable individual trees ▲",(IF(AND(X229="Irreplaceable habitat - no units generated ⚠",(W229+V229)&lt;H229,OR(AB229="No",AB229="")),"Any Loss Unacceptable ⚠",(IF(X229="Irreplaceable habitat - no units generated ⚠",W229*J229*L229*O229,IF(AND(P229='G-1 All Habitats'!$X$9,AH229&gt;0,V229&lt;=0,W229&lt;=0,OR(AB229="No",AB229="")),"Any Loss Unacceptable ⚠",IF(AND(P229='G-1 All Habitats'!$X$9,AH229&gt;0,V229&lt;=0,W229&lt;=0),0,(IF(AND(P229='G-1 All Habitats'!$X$9,(W229+V229)&lt;H229,OR(AB229="No",AB229="")),"Any Loss Unacceptable ⚠",(IF(P229="","",IF(AND(P229='G-1 All Habitats'!$X$9,W229&gt;0),X229+Y229,IF(AND(P229='G-1 All Habitats'!$X$9,V229&gt;0),X229+Y229,IF(R229="","",H229*J229*L229*O229)))))))))))))))))),"Check Data ▲")</f>
        <v/>
      </c>
      <c r="U229" s="38"/>
      <c r="V229" s="52"/>
      <c r="W229" s="53"/>
      <c r="X229" s="287" t="str">
        <f t="shared" si="29"/>
        <v/>
      </c>
      <c r="Y229" s="287" t="str">
        <f t="shared" si="30"/>
        <v/>
      </c>
      <c r="Z229" s="287" t="str">
        <f t="shared" si="31"/>
        <v/>
      </c>
      <c r="AA229" s="317" t="str">
        <f>IFERROR(IF(AND(E229="Individual trees",G229="Yes",W229&gt;0),"Error - you cannot enhance an irreplaceable tree ▲",(IF(H229="","",IF(H229-V229-W229=0&lt;0,"Error in Areas ▲",IF(V229+W229&gt;H229,"Error in Areas ▲",IF(AND(P229='G-1 All Habitats'!$X$9,AB229="Yes"),"Alternative Compensation ✓",IF(AND(P229='G-1 All Habitats'!$X$3,AB229="Yes"),"Alternative Compensation ✓",IF(AND(AB229="Pending",P229='G-1 All Habitats'!$X$3),"Bespoke compensation must be agreed ▲",IF(AND(AB229="Pending",P229='G-1 All Habitats'!$X$9),"Bespoke compensation must be agreed  ▲",IF(Z229=0,0,IF(P229='G-1 All Habitats'!$X$9,"Any Loss Unacceptable ▲",T229-X229-Y229))))))))))),"Check Data ⚠")</f>
        <v/>
      </c>
      <c r="AB229" s="587"/>
      <c r="AC229" s="105"/>
      <c r="AD229" s="138"/>
      <c r="AE229" s="104"/>
      <c r="AF229" s="611"/>
      <c r="AG229" s="523" t="str">
        <f>IF(OR(P229="",AB229="Yes"),"",IF(P229='G-1 All Habitats'!$X$9,H229-V229-W229,"None"))</f>
        <v/>
      </c>
      <c r="AH229" s="523" t="str">
        <f>IF(P229="","",IF(P229='G-1 All Habitats'!$X$9,AG229*J229*L229*O229,"None"))</f>
        <v/>
      </c>
      <c r="AJ229" s="107" t="str">
        <f t="shared" si="32"/>
        <v/>
      </c>
      <c r="AK229" s="107" t="str">
        <f t="shared" si="27"/>
        <v/>
      </c>
      <c r="AL229" s="107" t="str">
        <f>IF(I229="","",IF(#REF!&gt;0,TRUE,FALSE))</f>
        <v/>
      </c>
      <c r="AM229" s="107">
        <v>219</v>
      </c>
      <c r="AN229" s="107"/>
      <c r="AO229" s="107" t="str">
        <f t="array" ref="AO229">IFERROR(INDEX($AM$11:$AM$259,MATCH(0,IF(TRUE=$AJ$11:$AJ$259,COUNTIF($AO$10:$AO228,$AM$11:$AM$259),""),0)),"")</f>
        <v/>
      </c>
      <c r="AP229" s="107" t="str">
        <f t="array" ref="AP229">IFERROR(INDEX($AM$11:$AM$259,MATCH(0,IF(TRUE=$AK$11:$AK$259,COUNTIF($AP$10:$AP228,$AM$11:$AM$259),""),0)),"")</f>
        <v/>
      </c>
      <c r="AQ229" s="107" t="str">
        <f t="array" ref="AQ229">IFERROR(INDEX($AM$11:$AM$259,MATCH(0,IF(TRUE=$AL$11:$AL$259,COUNTIF($AQ$10:$AQ228,$AM$11:$AM$259),""),0)),"")</f>
        <v/>
      </c>
      <c r="AS229" s="885" t="str">
        <f>IF(AND(OR(AB229="Yes",AB229="Pending"),P229='G-1 All Habitats'!$X$3),T229-X229-Y229,"0")</f>
        <v>0</v>
      </c>
      <c r="AT229" s="30" t="str">
        <f t="shared" si="28"/>
        <v/>
      </c>
      <c r="AU229" s="30">
        <f t="shared" si="33"/>
        <v>0</v>
      </c>
      <c r="AV229" s="230" t="str">
        <f>IFERROR(INDEX('G-1 All Habitats'!$B$3:$B$135,MATCH(F229,'G-1 All Habitats'!$A$3:$A$135,0)),"")</f>
        <v/>
      </c>
      <c r="AW229" s="30" t="str">
        <f>IF(AV229="","",VLOOKUP(AV229,'G-1 All Habitats'!$B$1:$T$135,19,FALSE))</f>
        <v/>
      </c>
      <c r="AY229" s="287" t="str">
        <f t="shared" si="34"/>
        <v/>
      </c>
    </row>
    <row r="230" spans="1:51" ht="14">
      <c r="A230" s="30" t="str">
        <f>IFERROR(INDEX('G-1 All Habitats'!$AG$3:$AG$17,MATCH(E230,'G-1 All Habitats'!$AF$3:$AF$17,0)),"")</f>
        <v/>
      </c>
      <c r="B230" s="30" t="str">
        <f>IFERROR(INDEX('G-8 Condition Look up'!$I$4:$I$135,MATCH(AV230,'G-8 Condition Look up'!$A$4:$A$135,0)),"")</f>
        <v/>
      </c>
      <c r="D230" s="97">
        <v>220</v>
      </c>
      <c r="E230" s="262"/>
      <c r="F230" s="263"/>
      <c r="G230" s="133"/>
      <c r="H230" s="115"/>
      <c r="I230" s="509" t="str">
        <f>IF(AV230="","",IF(AND(AW230="Yes",G230="No"),"Irreplaceable habitat ▲",IF(AND(AW230="No",G230="Yes"),"Cannot be Irreplaceable ▲",VLOOKUP(AV230,'G-1 All Habitats'!$B$2:$M$135,10,FALSE))))</f>
        <v/>
      </c>
      <c r="J230" s="377" t="str">
        <f>IFERROR(VLOOKUP(I230,'G-1 All Habitats'!$V$3:$W$7,2,FALSE),"")</f>
        <v/>
      </c>
      <c r="K230" s="101"/>
      <c r="L230" s="276" t="str">
        <f>IFERROR(INDEX('G-8 Condition Look up'!$A$3:$H$135,MATCH(AV230,'G-8 Condition Look up'!$A$3:$A$135,0),MATCH(K230,'G-8 Condition Look up'!$A$3:$H$3,0)),"")</f>
        <v/>
      </c>
      <c r="M230" s="105"/>
      <c r="N230" s="295" t="str">
        <f>IF(M230="","",IF(VLOOKUP(M230,'G-3 Multipliers'!$L$3:$N$6,2,FALSE)=0,"Spatial Data Missing ⚠",VLOOKUP(M230,'G-3 Multipliers'!$L$3:$N$6,2,FALSE)))</f>
        <v/>
      </c>
      <c r="O230" s="353" t="str">
        <f>IF(M230="","",IF(VLOOKUP(M230,'G-3 Multipliers'!$L$3:$N$6,3,FALSE)=0,"Spatial Data Missing ⚠",VLOOKUP(M230,'G-3 Multipliers'!$L$3:$N$6,3,FALSE)))</f>
        <v/>
      </c>
      <c r="P230" s="336" t="str">
        <f>(IF(G230="Yes","Bespoke compensation likely to be required",(IFERROR(VLOOKUP(AV230,'G-1 All Habitats'!$B$2:$M$135,12,FALSE),""))))</f>
        <v/>
      </c>
      <c r="Q230" s="511" t="str">
        <f>IFERROR(IF(P230="","",IF(AND(E230="Individual trees",W230&gt;0,G230="Yes"),"Error - you cannot enhance irreplaceable individual trees ▲",IF(P230='G-1 All Habitats'!$X$9,T230*S230,IF(AND(P230='G-1 All Habitats'!$X$9,W230&gt;0),X230+(Y230*S230),IF(AND(P230='G-1 All Habitats'!$X$9,V230&gt;0),X230+(Y230*S230),IF(AND(P230='G-1 All Habitats'!$X$9,AG230&gt;0),"Any Loss Unacceptable  ⚠",IF(AND(P230='G-1 All Habitats'!$X$9,Z230&gt;0),"Any Loss Unacceptable ⚠",H230*J230*L230*O230*S230))))))),"Check Data ⚠")</f>
        <v/>
      </c>
      <c r="R230" s="393"/>
      <c r="S230" s="510" t="str">
        <f>IF(R230="","",IF(VLOOKUP(R230,'G-3 Multipliers'!$S$3:$T$10,2,FALSE)=0,"Spatial Data Missing ⚠",VLOOKUP(R230,'G-3 Multipliers'!$S$3:$T$10,2,FALSE)))</f>
        <v/>
      </c>
      <c r="T230" s="289" t="str">
        <f>IFERROR(IF(AND(F230&lt;&gt;"",G230=""),"Confirm irreplaceable habitat status ▲",(IF(AND(R230&lt;&gt;"",AF230=""),"Off-site reference required ▲",(IF(AND(E230="Individual trees",W230&gt;0,G230="Yes"),"Error - you cannot enhance irreplaceable individual trees ▲",(IF(AND(X230="Irreplaceable habitat - no units generated ⚠",(W230+V230)&lt;H230,OR(AB230="No",AB230="")),"Any Loss Unacceptable ⚠",(IF(X230="Irreplaceable habitat - no units generated ⚠",W230*J230*L230*O230,IF(AND(P230='G-1 All Habitats'!$X$9,AH230&gt;0,V230&lt;=0,W230&lt;=0,OR(AB230="No",AB230="")),"Any Loss Unacceptable ⚠",IF(AND(P230='G-1 All Habitats'!$X$9,AH230&gt;0,V230&lt;=0,W230&lt;=0),0,(IF(AND(P230='G-1 All Habitats'!$X$9,(W230+V230)&lt;H230,OR(AB230="No",AB230="")),"Any Loss Unacceptable ⚠",(IF(P230="","",IF(AND(P230='G-1 All Habitats'!$X$9,W230&gt;0),X230+Y230,IF(AND(P230='G-1 All Habitats'!$X$9,V230&gt;0),X230+Y230,IF(R230="","",H230*J230*L230*O230)))))))))))))))))),"Check Data ▲")</f>
        <v/>
      </c>
      <c r="U230" s="38"/>
      <c r="V230" s="52"/>
      <c r="W230" s="53"/>
      <c r="X230" s="287" t="str">
        <f t="shared" si="29"/>
        <v/>
      </c>
      <c r="Y230" s="287" t="str">
        <f t="shared" si="30"/>
        <v/>
      </c>
      <c r="Z230" s="287" t="str">
        <f t="shared" si="31"/>
        <v/>
      </c>
      <c r="AA230" s="317" t="str">
        <f>IFERROR(IF(AND(E230="Individual trees",G230="Yes",W230&gt;0),"Error - you cannot enhance an irreplaceable tree ▲",(IF(H230="","",IF(H230-V230-W230=0&lt;0,"Error in Areas ▲",IF(V230+W230&gt;H230,"Error in Areas ▲",IF(AND(P230='G-1 All Habitats'!$X$9,AB230="Yes"),"Alternative Compensation ✓",IF(AND(P230='G-1 All Habitats'!$X$3,AB230="Yes"),"Alternative Compensation ✓",IF(AND(AB230="Pending",P230='G-1 All Habitats'!$X$3),"Bespoke compensation must be agreed ▲",IF(AND(AB230="Pending",P230='G-1 All Habitats'!$X$9),"Bespoke compensation must be agreed  ▲",IF(Z230=0,0,IF(P230='G-1 All Habitats'!$X$9,"Any Loss Unacceptable ▲",T230-X230-Y230))))))))))),"Check Data ⚠")</f>
        <v/>
      </c>
      <c r="AB230" s="587"/>
      <c r="AC230" s="105"/>
      <c r="AD230" s="138"/>
      <c r="AE230" s="104"/>
      <c r="AF230" s="611"/>
      <c r="AG230" s="523" t="str">
        <f>IF(OR(P230="",AB230="Yes"),"",IF(P230='G-1 All Habitats'!$X$9,H230-V230-W230,"None"))</f>
        <v/>
      </c>
      <c r="AH230" s="523" t="str">
        <f>IF(P230="","",IF(P230='G-1 All Habitats'!$X$9,AG230*J230*L230*O230,"None"))</f>
        <v/>
      </c>
      <c r="AJ230" s="107" t="str">
        <f t="shared" si="32"/>
        <v/>
      </c>
      <c r="AK230" s="107" t="str">
        <f t="shared" si="27"/>
        <v/>
      </c>
      <c r="AL230" s="107" t="str">
        <f>IF(I230="","",IF(#REF!&gt;0,TRUE,FALSE))</f>
        <v/>
      </c>
      <c r="AM230" s="107">
        <v>220</v>
      </c>
      <c r="AN230" s="107"/>
      <c r="AO230" s="107" t="str">
        <f t="array" ref="AO230">IFERROR(INDEX($AM$11:$AM$259,MATCH(0,IF(TRUE=$AJ$11:$AJ$259,COUNTIF($AO$10:$AO229,$AM$11:$AM$259),""),0)),"")</f>
        <v/>
      </c>
      <c r="AP230" s="107" t="str">
        <f t="array" ref="AP230">IFERROR(INDEX($AM$11:$AM$259,MATCH(0,IF(TRUE=$AK$11:$AK$259,COUNTIF($AP$10:$AP229,$AM$11:$AM$259),""),0)),"")</f>
        <v/>
      </c>
      <c r="AQ230" s="107" t="str">
        <f t="array" ref="AQ230">IFERROR(INDEX($AM$11:$AM$259,MATCH(0,IF(TRUE=$AL$11:$AL$259,COUNTIF($AQ$10:$AQ229,$AM$11:$AM$259),""),0)),"")</f>
        <v/>
      </c>
      <c r="AS230" s="885" t="str">
        <f>IF(AND(OR(AB230="Yes",AB230="Pending"),P230='G-1 All Habitats'!$X$3),T230-X230-Y230,"0")</f>
        <v>0</v>
      </c>
      <c r="AT230" s="30" t="str">
        <f t="shared" si="28"/>
        <v/>
      </c>
      <c r="AU230" s="30">
        <f t="shared" si="33"/>
        <v>0</v>
      </c>
      <c r="AV230" s="230" t="str">
        <f>IFERROR(INDEX('G-1 All Habitats'!$B$3:$B$135,MATCH(F230,'G-1 All Habitats'!$A$3:$A$135,0)),"")</f>
        <v/>
      </c>
      <c r="AW230" s="30" t="str">
        <f>IF(AV230="","",VLOOKUP(AV230,'G-1 All Habitats'!$B$1:$T$135,19,FALSE))</f>
        <v/>
      </c>
      <c r="AY230" s="287" t="str">
        <f t="shared" si="34"/>
        <v/>
      </c>
    </row>
    <row r="231" spans="1:51" ht="14">
      <c r="A231" s="30" t="str">
        <f>IFERROR(INDEX('G-1 All Habitats'!$AG$3:$AG$17,MATCH(E231,'G-1 All Habitats'!$AF$3:$AF$17,0)),"")</f>
        <v/>
      </c>
      <c r="B231" s="30" t="str">
        <f>IFERROR(INDEX('G-8 Condition Look up'!$I$4:$I$135,MATCH(AV231,'G-8 Condition Look up'!$A$4:$A$135,0)),"")</f>
        <v/>
      </c>
      <c r="D231" s="97">
        <v>221</v>
      </c>
      <c r="E231" s="262"/>
      <c r="F231" s="263"/>
      <c r="G231" s="133"/>
      <c r="H231" s="115"/>
      <c r="I231" s="509" t="str">
        <f>IF(AV231="","",IF(AND(AW231="Yes",G231="No"),"Irreplaceable habitat ▲",IF(AND(AW231="No",G231="Yes"),"Cannot be Irreplaceable ▲",VLOOKUP(AV231,'G-1 All Habitats'!$B$2:$M$135,10,FALSE))))</f>
        <v/>
      </c>
      <c r="J231" s="377" t="str">
        <f>IFERROR(VLOOKUP(I231,'G-1 All Habitats'!$V$3:$W$7,2,FALSE),"")</f>
        <v/>
      </c>
      <c r="K231" s="101"/>
      <c r="L231" s="276" t="str">
        <f>IFERROR(INDEX('G-8 Condition Look up'!$A$3:$H$135,MATCH(AV231,'G-8 Condition Look up'!$A$3:$A$135,0),MATCH(K231,'G-8 Condition Look up'!$A$3:$H$3,0)),"")</f>
        <v/>
      </c>
      <c r="M231" s="105"/>
      <c r="N231" s="295" t="str">
        <f>IF(M231="","",IF(VLOOKUP(M231,'G-3 Multipliers'!$L$3:$N$6,2,FALSE)=0,"Spatial Data Missing ⚠",VLOOKUP(M231,'G-3 Multipliers'!$L$3:$N$6,2,FALSE)))</f>
        <v/>
      </c>
      <c r="O231" s="353" t="str">
        <f>IF(M231="","",IF(VLOOKUP(M231,'G-3 Multipliers'!$L$3:$N$6,3,FALSE)=0,"Spatial Data Missing ⚠",VLOOKUP(M231,'G-3 Multipliers'!$L$3:$N$6,3,FALSE)))</f>
        <v/>
      </c>
      <c r="P231" s="336" t="str">
        <f>(IF(G231="Yes","Bespoke compensation likely to be required",(IFERROR(VLOOKUP(AV231,'G-1 All Habitats'!$B$2:$M$135,12,FALSE),""))))</f>
        <v/>
      </c>
      <c r="Q231" s="511" t="str">
        <f>IFERROR(IF(P231="","",IF(AND(E231="Individual trees",W231&gt;0,G231="Yes"),"Error - you cannot enhance irreplaceable individual trees ▲",IF(P231='G-1 All Habitats'!$X$9,T231*S231,IF(AND(P231='G-1 All Habitats'!$X$9,W231&gt;0),X231+(Y231*S231),IF(AND(P231='G-1 All Habitats'!$X$9,V231&gt;0),X231+(Y231*S231),IF(AND(P231='G-1 All Habitats'!$X$9,AG231&gt;0),"Any Loss Unacceptable  ⚠",IF(AND(P231='G-1 All Habitats'!$X$9,Z231&gt;0),"Any Loss Unacceptable ⚠",H231*J231*L231*O231*S231))))))),"Check Data ⚠")</f>
        <v/>
      </c>
      <c r="R231" s="393"/>
      <c r="S231" s="510" t="str">
        <f>IF(R231="","",IF(VLOOKUP(R231,'G-3 Multipliers'!$S$3:$T$10,2,FALSE)=0,"Spatial Data Missing ⚠",VLOOKUP(R231,'G-3 Multipliers'!$S$3:$T$10,2,FALSE)))</f>
        <v/>
      </c>
      <c r="T231" s="289" t="str">
        <f>IFERROR(IF(AND(F231&lt;&gt;"",G231=""),"Confirm irreplaceable habitat status ▲",(IF(AND(R231&lt;&gt;"",AF231=""),"Off-site reference required ▲",(IF(AND(E231="Individual trees",W231&gt;0,G231="Yes"),"Error - you cannot enhance irreplaceable individual trees ▲",(IF(AND(X231="Irreplaceable habitat - no units generated ⚠",(W231+V231)&lt;H231,OR(AB231="No",AB231="")),"Any Loss Unacceptable ⚠",(IF(X231="Irreplaceable habitat - no units generated ⚠",W231*J231*L231*O231,IF(AND(P231='G-1 All Habitats'!$X$9,AH231&gt;0,V231&lt;=0,W231&lt;=0,OR(AB231="No",AB231="")),"Any Loss Unacceptable ⚠",IF(AND(P231='G-1 All Habitats'!$X$9,AH231&gt;0,V231&lt;=0,W231&lt;=0),0,(IF(AND(P231='G-1 All Habitats'!$X$9,(W231+V231)&lt;H231,OR(AB231="No",AB231="")),"Any Loss Unacceptable ⚠",(IF(P231="","",IF(AND(P231='G-1 All Habitats'!$X$9,W231&gt;0),X231+Y231,IF(AND(P231='G-1 All Habitats'!$X$9,V231&gt;0),X231+Y231,IF(R231="","",H231*J231*L231*O231)))))))))))))))))),"Check Data ▲")</f>
        <v/>
      </c>
      <c r="U231" s="38"/>
      <c r="V231" s="52"/>
      <c r="W231" s="53"/>
      <c r="X231" s="287" t="str">
        <f t="shared" si="29"/>
        <v/>
      </c>
      <c r="Y231" s="287" t="str">
        <f t="shared" si="30"/>
        <v/>
      </c>
      <c r="Z231" s="287" t="str">
        <f t="shared" si="31"/>
        <v/>
      </c>
      <c r="AA231" s="317" t="str">
        <f>IFERROR(IF(AND(E231="Individual trees",G231="Yes",W231&gt;0),"Error - you cannot enhance an irreplaceable tree ▲",(IF(H231="","",IF(H231-V231-W231=0&lt;0,"Error in Areas ▲",IF(V231+W231&gt;H231,"Error in Areas ▲",IF(AND(P231='G-1 All Habitats'!$X$9,AB231="Yes"),"Alternative Compensation ✓",IF(AND(P231='G-1 All Habitats'!$X$3,AB231="Yes"),"Alternative Compensation ✓",IF(AND(AB231="Pending",P231='G-1 All Habitats'!$X$3),"Bespoke compensation must be agreed ▲",IF(AND(AB231="Pending",P231='G-1 All Habitats'!$X$9),"Bespoke compensation must be agreed  ▲",IF(Z231=0,0,IF(P231='G-1 All Habitats'!$X$9,"Any Loss Unacceptable ▲",T231-X231-Y231))))))))))),"Check Data ⚠")</f>
        <v/>
      </c>
      <c r="AB231" s="587"/>
      <c r="AC231" s="105"/>
      <c r="AD231" s="138"/>
      <c r="AE231" s="104"/>
      <c r="AF231" s="611"/>
      <c r="AG231" s="523" t="str">
        <f>IF(OR(P231="",AB231="Yes"),"",IF(P231='G-1 All Habitats'!$X$9,H231-V231-W231,"None"))</f>
        <v/>
      </c>
      <c r="AH231" s="523" t="str">
        <f>IF(P231="","",IF(P231='G-1 All Habitats'!$X$9,AG231*J231*L231*O231,"None"))</f>
        <v/>
      </c>
      <c r="AJ231" s="107" t="str">
        <f t="shared" si="32"/>
        <v/>
      </c>
      <c r="AK231" s="107" t="str">
        <f t="shared" si="27"/>
        <v/>
      </c>
      <c r="AL231" s="107" t="str">
        <f>IF(I231="","",IF(#REF!&gt;0,TRUE,FALSE))</f>
        <v/>
      </c>
      <c r="AM231" s="107">
        <v>221</v>
      </c>
      <c r="AN231" s="107"/>
      <c r="AO231" s="107" t="str">
        <f t="array" ref="AO231">IFERROR(INDEX($AM$11:$AM$259,MATCH(0,IF(TRUE=$AJ$11:$AJ$259,COUNTIF($AO$10:$AO230,$AM$11:$AM$259),""),0)),"")</f>
        <v/>
      </c>
      <c r="AP231" s="107" t="str">
        <f t="array" ref="AP231">IFERROR(INDEX($AM$11:$AM$259,MATCH(0,IF(TRUE=$AK$11:$AK$259,COUNTIF($AP$10:$AP230,$AM$11:$AM$259),""),0)),"")</f>
        <v/>
      </c>
      <c r="AQ231" s="107" t="str">
        <f t="array" ref="AQ231">IFERROR(INDEX($AM$11:$AM$259,MATCH(0,IF(TRUE=$AL$11:$AL$259,COUNTIF($AQ$10:$AQ230,$AM$11:$AM$259),""),0)),"")</f>
        <v/>
      </c>
      <c r="AS231" s="885" t="str">
        <f>IF(AND(OR(AB231="Yes",AB231="Pending"),P231='G-1 All Habitats'!$X$3),T231-X231-Y231,"0")</f>
        <v>0</v>
      </c>
      <c r="AT231" s="30" t="str">
        <f t="shared" si="28"/>
        <v/>
      </c>
      <c r="AU231" s="30">
        <f t="shared" si="33"/>
        <v>0</v>
      </c>
      <c r="AV231" s="230" t="str">
        <f>IFERROR(INDEX('G-1 All Habitats'!$B$3:$B$135,MATCH(F231,'G-1 All Habitats'!$A$3:$A$135,0)),"")</f>
        <v/>
      </c>
      <c r="AW231" s="30" t="str">
        <f>IF(AV231="","",VLOOKUP(AV231,'G-1 All Habitats'!$B$1:$T$135,19,FALSE))</f>
        <v/>
      </c>
      <c r="AY231" s="287" t="str">
        <f t="shared" si="34"/>
        <v/>
      </c>
    </row>
    <row r="232" spans="1:51" ht="14">
      <c r="A232" s="30" t="str">
        <f>IFERROR(INDEX('G-1 All Habitats'!$AG$3:$AG$17,MATCH(E232,'G-1 All Habitats'!$AF$3:$AF$17,0)),"")</f>
        <v/>
      </c>
      <c r="B232" s="30" t="str">
        <f>IFERROR(INDEX('G-8 Condition Look up'!$I$4:$I$135,MATCH(AV232,'G-8 Condition Look up'!$A$4:$A$135,0)),"")</f>
        <v/>
      </c>
      <c r="D232" s="97">
        <v>222</v>
      </c>
      <c r="E232" s="262"/>
      <c r="F232" s="263"/>
      <c r="G232" s="133"/>
      <c r="H232" s="115"/>
      <c r="I232" s="509" t="str">
        <f>IF(AV232="","",IF(AND(AW232="Yes",G232="No"),"Irreplaceable habitat ▲",IF(AND(AW232="No",G232="Yes"),"Cannot be Irreplaceable ▲",VLOOKUP(AV232,'G-1 All Habitats'!$B$2:$M$135,10,FALSE))))</f>
        <v/>
      </c>
      <c r="J232" s="377" t="str">
        <f>IFERROR(VLOOKUP(I232,'G-1 All Habitats'!$V$3:$W$7,2,FALSE),"")</f>
        <v/>
      </c>
      <c r="K232" s="101"/>
      <c r="L232" s="276" t="str">
        <f>IFERROR(INDEX('G-8 Condition Look up'!$A$3:$H$135,MATCH(AV232,'G-8 Condition Look up'!$A$3:$A$135,0),MATCH(K232,'G-8 Condition Look up'!$A$3:$H$3,0)),"")</f>
        <v/>
      </c>
      <c r="M232" s="105"/>
      <c r="N232" s="295" t="str">
        <f>IF(M232="","",IF(VLOOKUP(M232,'G-3 Multipliers'!$L$3:$N$6,2,FALSE)=0,"Spatial Data Missing ⚠",VLOOKUP(M232,'G-3 Multipliers'!$L$3:$N$6,2,FALSE)))</f>
        <v/>
      </c>
      <c r="O232" s="353" t="str">
        <f>IF(M232="","",IF(VLOOKUP(M232,'G-3 Multipliers'!$L$3:$N$6,3,FALSE)=0,"Spatial Data Missing ⚠",VLOOKUP(M232,'G-3 Multipliers'!$L$3:$N$6,3,FALSE)))</f>
        <v/>
      </c>
      <c r="P232" s="336" t="str">
        <f>(IF(G232="Yes","Bespoke compensation likely to be required",(IFERROR(VLOOKUP(AV232,'G-1 All Habitats'!$B$2:$M$135,12,FALSE),""))))</f>
        <v/>
      </c>
      <c r="Q232" s="511" t="str">
        <f>IFERROR(IF(P232="","",IF(AND(E232="Individual trees",W232&gt;0,G232="Yes"),"Error - you cannot enhance irreplaceable individual trees ▲",IF(P232='G-1 All Habitats'!$X$9,T232*S232,IF(AND(P232='G-1 All Habitats'!$X$9,W232&gt;0),X232+(Y232*S232),IF(AND(P232='G-1 All Habitats'!$X$9,V232&gt;0),X232+(Y232*S232),IF(AND(P232='G-1 All Habitats'!$X$9,AG232&gt;0),"Any Loss Unacceptable  ⚠",IF(AND(P232='G-1 All Habitats'!$X$9,Z232&gt;0),"Any Loss Unacceptable ⚠",H232*J232*L232*O232*S232))))))),"Check Data ⚠")</f>
        <v/>
      </c>
      <c r="R232" s="393"/>
      <c r="S232" s="510" t="str">
        <f>IF(R232="","",IF(VLOOKUP(R232,'G-3 Multipliers'!$S$3:$T$10,2,FALSE)=0,"Spatial Data Missing ⚠",VLOOKUP(R232,'G-3 Multipliers'!$S$3:$T$10,2,FALSE)))</f>
        <v/>
      </c>
      <c r="T232" s="289" t="str">
        <f>IFERROR(IF(AND(F232&lt;&gt;"",G232=""),"Confirm irreplaceable habitat status ▲",(IF(AND(R232&lt;&gt;"",AF232=""),"Off-site reference required ▲",(IF(AND(E232="Individual trees",W232&gt;0,G232="Yes"),"Error - you cannot enhance irreplaceable individual trees ▲",(IF(AND(X232="Irreplaceable habitat - no units generated ⚠",(W232+V232)&lt;H232,OR(AB232="No",AB232="")),"Any Loss Unacceptable ⚠",(IF(X232="Irreplaceable habitat - no units generated ⚠",W232*J232*L232*O232,IF(AND(P232='G-1 All Habitats'!$X$9,AH232&gt;0,V232&lt;=0,W232&lt;=0,OR(AB232="No",AB232="")),"Any Loss Unacceptable ⚠",IF(AND(P232='G-1 All Habitats'!$X$9,AH232&gt;0,V232&lt;=0,W232&lt;=0),0,(IF(AND(P232='G-1 All Habitats'!$X$9,(W232+V232)&lt;H232,OR(AB232="No",AB232="")),"Any Loss Unacceptable ⚠",(IF(P232="","",IF(AND(P232='G-1 All Habitats'!$X$9,W232&gt;0),X232+Y232,IF(AND(P232='G-1 All Habitats'!$X$9,V232&gt;0),X232+Y232,IF(R232="","",H232*J232*L232*O232)))))))))))))))))),"Check Data ▲")</f>
        <v/>
      </c>
      <c r="U232" s="38"/>
      <c r="V232" s="52"/>
      <c r="W232" s="53"/>
      <c r="X232" s="287" t="str">
        <f t="shared" si="29"/>
        <v/>
      </c>
      <c r="Y232" s="287" t="str">
        <f t="shared" si="30"/>
        <v/>
      </c>
      <c r="Z232" s="287" t="str">
        <f t="shared" si="31"/>
        <v/>
      </c>
      <c r="AA232" s="317" t="str">
        <f>IFERROR(IF(AND(E232="Individual trees",G232="Yes",W232&gt;0),"Error - you cannot enhance an irreplaceable tree ▲",(IF(H232="","",IF(H232-V232-W232=0&lt;0,"Error in Areas ▲",IF(V232+W232&gt;H232,"Error in Areas ▲",IF(AND(P232='G-1 All Habitats'!$X$9,AB232="Yes"),"Alternative Compensation ✓",IF(AND(P232='G-1 All Habitats'!$X$3,AB232="Yes"),"Alternative Compensation ✓",IF(AND(AB232="Pending",P232='G-1 All Habitats'!$X$3),"Bespoke compensation must be agreed ▲",IF(AND(AB232="Pending",P232='G-1 All Habitats'!$X$9),"Bespoke compensation must be agreed  ▲",IF(Z232=0,0,IF(P232='G-1 All Habitats'!$X$9,"Any Loss Unacceptable ▲",T232-X232-Y232))))))))))),"Check Data ⚠")</f>
        <v/>
      </c>
      <c r="AB232" s="587"/>
      <c r="AC232" s="105"/>
      <c r="AD232" s="138"/>
      <c r="AE232" s="104"/>
      <c r="AF232" s="611"/>
      <c r="AG232" s="523" t="str">
        <f>IF(OR(P232="",AB232="Yes"),"",IF(P232='G-1 All Habitats'!$X$9,H232-V232-W232,"None"))</f>
        <v/>
      </c>
      <c r="AH232" s="523" t="str">
        <f>IF(P232="","",IF(P232='G-1 All Habitats'!$X$9,AG232*J232*L232*O232,"None"))</f>
        <v/>
      </c>
      <c r="AJ232" s="107" t="str">
        <f t="shared" si="32"/>
        <v/>
      </c>
      <c r="AK232" s="107" t="str">
        <f t="shared" si="27"/>
        <v/>
      </c>
      <c r="AL232" s="107" t="str">
        <f>IF(I232="","",IF(#REF!&gt;0,TRUE,FALSE))</f>
        <v/>
      </c>
      <c r="AM232" s="107">
        <v>222</v>
      </c>
      <c r="AN232" s="107"/>
      <c r="AO232" s="107" t="str">
        <f t="array" ref="AO232">IFERROR(INDEX($AM$11:$AM$259,MATCH(0,IF(TRUE=$AJ$11:$AJ$259,COUNTIF($AO$10:$AO231,$AM$11:$AM$259),""),0)),"")</f>
        <v/>
      </c>
      <c r="AP232" s="107" t="str">
        <f t="array" ref="AP232">IFERROR(INDEX($AM$11:$AM$259,MATCH(0,IF(TRUE=$AK$11:$AK$259,COUNTIF($AP$10:$AP231,$AM$11:$AM$259),""),0)),"")</f>
        <v/>
      </c>
      <c r="AQ232" s="107" t="str">
        <f t="array" ref="AQ232">IFERROR(INDEX($AM$11:$AM$259,MATCH(0,IF(TRUE=$AL$11:$AL$259,COUNTIF($AQ$10:$AQ231,$AM$11:$AM$259),""),0)),"")</f>
        <v/>
      </c>
      <c r="AS232" s="885" t="str">
        <f>IF(AND(OR(AB232="Yes",AB232="Pending"),P232='G-1 All Habitats'!$X$3),T232-X232-Y232,"0")</f>
        <v>0</v>
      </c>
      <c r="AT232" s="30" t="str">
        <f t="shared" si="28"/>
        <v/>
      </c>
      <c r="AU232" s="30">
        <f t="shared" si="33"/>
        <v>0</v>
      </c>
      <c r="AV232" s="230" t="str">
        <f>IFERROR(INDEX('G-1 All Habitats'!$B$3:$B$135,MATCH(F232,'G-1 All Habitats'!$A$3:$A$135,0)),"")</f>
        <v/>
      </c>
      <c r="AW232" s="30" t="str">
        <f>IF(AV232="","",VLOOKUP(AV232,'G-1 All Habitats'!$B$1:$T$135,19,FALSE))</f>
        <v/>
      </c>
      <c r="AY232" s="287" t="str">
        <f t="shared" si="34"/>
        <v/>
      </c>
    </row>
    <row r="233" spans="1:51" ht="14">
      <c r="A233" s="30" t="str">
        <f>IFERROR(INDEX('G-1 All Habitats'!$AG$3:$AG$17,MATCH(E233,'G-1 All Habitats'!$AF$3:$AF$17,0)),"")</f>
        <v/>
      </c>
      <c r="B233" s="30" t="str">
        <f>IFERROR(INDEX('G-8 Condition Look up'!$I$4:$I$135,MATCH(AV233,'G-8 Condition Look up'!$A$4:$A$135,0)),"")</f>
        <v/>
      </c>
      <c r="D233" s="97">
        <v>223</v>
      </c>
      <c r="E233" s="262"/>
      <c r="F233" s="263"/>
      <c r="G233" s="133"/>
      <c r="H233" s="115"/>
      <c r="I233" s="509" t="str">
        <f>IF(AV233="","",IF(AND(AW233="Yes",G233="No"),"Irreplaceable habitat ▲",IF(AND(AW233="No",G233="Yes"),"Cannot be Irreplaceable ▲",VLOOKUP(AV233,'G-1 All Habitats'!$B$2:$M$135,10,FALSE))))</f>
        <v/>
      </c>
      <c r="J233" s="377" t="str">
        <f>IFERROR(VLOOKUP(I233,'G-1 All Habitats'!$V$3:$W$7,2,FALSE),"")</f>
        <v/>
      </c>
      <c r="K233" s="101"/>
      <c r="L233" s="276" t="str">
        <f>IFERROR(INDEX('G-8 Condition Look up'!$A$3:$H$135,MATCH(AV233,'G-8 Condition Look up'!$A$3:$A$135,0),MATCH(K233,'G-8 Condition Look up'!$A$3:$H$3,0)),"")</f>
        <v/>
      </c>
      <c r="M233" s="105"/>
      <c r="N233" s="295" t="str">
        <f>IF(M233="","",IF(VLOOKUP(M233,'G-3 Multipliers'!$L$3:$N$6,2,FALSE)=0,"Spatial Data Missing ⚠",VLOOKUP(M233,'G-3 Multipliers'!$L$3:$N$6,2,FALSE)))</f>
        <v/>
      </c>
      <c r="O233" s="353" t="str">
        <f>IF(M233="","",IF(VLOOKUP(M233,'G-3 Multipliers'!$L$3:$N$6,3,FALSE)=0,"Spatial Data Missing ⚠",VLOOKUP(M233,'G-3 Multipliers'!$L$3:$N$6,3,FALSE)))</f>
        <v/>
      </c>
      <c r="P233" s="336" t="str">
        <f>(IF(G233="Yes","Bespoke compensation likely to be required",(IFERROR(VLOOKUP(AV233,'G-1 All Habitats'!$B$2:$M$135,12,FALSE),""))))</f>
        <v/>
      </c>
      <c r="Q233" s="511" t="str">
        <f>IFERROR(IF(P233="","",IF(AND(E233="Individual trees",W233&gt;0,G233="Yes"),"Error - you cannot enhance irreplaceable individual trees ▲",IF(P233='G-1 All Habitats'!$X$9,T233*S233,IF(AND(P233='G-1 All Habitats'!$X$9,W233&gt;0),X233+(Y233*S233),IF(AND(P233='G-1 All Habitats'!$X$9,V233&gt;0),X233+(Y233*S233),IF(AND(P233='G-1 All Habitats'!$X$9,AG233&gt;0),"Any Loss Unacceptable  ⚠",IF(AND(P233='G-1 All Habitats'!$X$9,Z233&gt;0),"Any Loss Unacceptable ⚠",H233*J233*L233*O233*S233))))))),"Check Data ⚠")</f>
        <v/>
      </c>
      <c r="R233" s="393"/>
      <c r="S233" s="510" t="str">
        <f>IF(R233="","",IF(VLOOKUP(R233,'G-3 Multipliers'!$S$3:$T$10,2,FALSE)=0,"Spatial Data Missing ⚠",VLOOKUP(R233,'G-3 Multipliers'!$S$3:$T$10,2,FALSE)))</f>
        <v/>
      </c>
      <c r="T233" s="289" t="str">
        <f>IFERROR(IF(AND(F233&lt;&gt;"",G233=""),"Confirm irreplaceable habitat status ▲",(IF(AND(R233&lt;&gt;"",AF233=""),"Off-site reference required ▲",(IF(AND(E233="Individual trees",W233&gt;0,G233="Yes"),"Error - you cannot enhance irreplaceable individual trees ▲",(IF(AND(X233="Irreplaceable habitat - no units generated ⚠",(W233+V233)&lt;H233,OR(AB233="No",AB233="")),"Any Loss Unacceptable ⚠",(IF(X233="Irreplaceable habitat - no units generated ⚠",W233*J233*L233*O233,IF(AND(P233='G-1 All Habitats'!$X$9,AH233&gt;0,V233&lt;=0,W233&lt;=0,OR(AB233="No",AB233="")),"Any Loss Unacceptable ⚠",IF(AND(P233='G-1 All Habitats'!$X$9,AH233&gt;0,V233&lt;=0,W233&lt;=0),0,(IF(AND(P233='G-1 All Habitats'!$X$9,(W233+V233)&lt;H233,OR(AB233="No",AB233="")),"Any Loss Unacceptable ⚠",(IF(P233="","",IF(AND(P233='G-1 All Habitats'!$X$9,W233&gt;0),X233+Y233,IF(AND(P233='G-1 All Habitats'!$X$9,V233&gt;0),X233+Y233,IF(R233="","",H233*J233*L233*O233)))))))))))))))))),"Check Data ▲")</f>
        <v/>
      </c>
      <c r="U233" s="38"/>
      <c r="V233" s="52"/>
      <c r="W233" s="53"/>
      <c r="X233" s="287" t="str">
        <f t="shared" si="29"/>
        <v/>
      </c>
      <c r="Y233" s="287" t="str">
        <f t="shared" si="30"/>
        <v/>
      </c>
      <c r="Z233" s="287" t="str">
        <f t="shared" si="31"/>
        <v/>
      </c>
      <c r="AA233" s="317" t="str">
        <f>IFERROR(IF(AND(E233="Individual trees",G233="Yes",W233&gt;0),"Error - you cannot enhance an irreplaceable tree ▲",(IF(H233="","",IF(H233-V233-W233=0&lt;0,"Error in Areas ▲",IF(V233+W233&gt;H233,"Error in Areas ▲",IF(AND(P233='G-1 All Habitats'!$X$9,AB233="Yes"),"Alternative Compensation ✓",IF(AND(P233='G-1 All Habitats'!$X$3,AB233="Yes"),"Alternative Compensation ✓",IF(AND(AB233="Pending",P233='G-1 All Habitats'!$X$3),"Bespoke compensation must be agreed ▲",IF(AND(AB233="Pending",P233='G-1 All Habitats'!$X$9),"Bespoke compensation must be agreed  ▲",IF(Z233=0,0,IF(P233='G-1 All Habitats'!$X$9,"Any Loss Unacceptable ▲",T233-X233-Y233))))))))))),"Check Data ⚠")</f>
        <v/>
      </c>
      <c r="AB233" s="587"/>
      <c r="AC233" s="105"/>
      <c r="AD233" s="138"/>
      <c r="AE233" s="104"/>
      <c r="AF233" s="611"/>
      <c r="AG233" s="523" t="str">
        <f>IF(OR(P233="",AB233="Yes"),"",IF(P233='G-1 All Habitats'!$X$9,H233-V233-W233,"None"))</f>
        <v/>
      </c>
      <c r="AH233" s="523" t="str">
        <f>IF(P233="","",IF(P233='G-1 All Habitats'!$X$9,AG233*J233*L233*O233,"None"))</f>
        <v/>
      </c>
      <c r="AJ233" s="107" t="str">
        <f t="shared" si="32"/>
        <v/>
      </c>
      <c r="AK233" s="107" t="str">
        <f t="shared" si="27"/>
        <v/>
      </c>
      <c r="AL233" s="107" t="str">
        <f>IF(I233="","",IF(#REF!&gt;0,TRUE,FALSE))</f>
        <v/>
      </c>
      <c r="AM233" s="107">
        <v>223</v>
      </c>
      <c r="AN233" s="107"/>
      <c r="AO233" s="107" t="str">
        <f t="array" ref="AO233">IFERROR(INDEX($AM$11:$AM$259,MATCH(0,IF(TRUE=$AJ$11:$AJ$259,COUNTIF($AO$10:$AO232,$AM$11:$AM$259),""),0)),"")</f>
        <v/>
      </c>
      <c r="AP233" s="107" t="str">
        <f t="array" ref="AP233">IFERROR(INDEX($AM$11:$AM$259,MATCH(0,IF(TRUE=$AK$11:$AK$259,COUNTIF($AP$10:$AP232,$AM$11:$AM$259),""),0)),"")</f>
        <v/>
      </c>
      <c r="AQ233" s="107" t="str">
        <f t="array" ref="AQ233">IFERROR(INDEX($AM$11:$AM$259,MATCH(0,IF(TRUE=$AL$11:$AL$259,COUNTIF($AQ$10:$AQ232,$AM$11:$AM$259),""),0)),"")</f>
        <v/>
      </c>
      <c r="AS233" s="885" t="str">
        <f>IF(AND(OR(AB233="Yes",AB233="Pending"),P233='G-1 All Habitats'!$X$3),T233-X233-Y233,"0")</f>
        <v>0</v>
      </c>
      <c r="AT233" s="30" t="str">
        <f t="shared" si="28"/>
        <v/>
      </c>
      <c r="AU233" s="30">
        <f t="shared" si="33"/>
        <v>0</v>
      </c>
      <c r="AV233" s="230" t="str">
        <f>IFERROR(INDEX('G-1 All Habitats'!$B$3:$B$135,MATCH(F233,'G-1 All Habitats'!$A$3:$A$135,0)),"")</f>
        <v/>
      </c>
      <c r="AW233" s="30" t="str">
        <f>IF(AV233="","",VLOOKUP(AV233,'G-1 All Habitats'!$B$1:$T$135,19,FALSE))</f>
        <v/>
      </c>
      <c r="AY233" s="287" t="str">
        <f t="shared" si="34"/>
        <v/>
      </c>
    </row>
    <row r="234" spans="1:51" ht="14">
      <c r="A234" s="30" t="str">
        <f>IFERROR(INDEX('G-1 All Habitats'!$AG$3:$AG$17,MATCH(E234,'G-1 All Habitats'!$AF$3:$AF$17,0)),"")</f>
        <v/>
      </c>
      <c r="B234" s="30" t="str">
        <f>IFERROR(INDEX('G-8 Condition Look up'!$I$4:$I$135,MATCH(AV234,'G-8 Condition Look up'!$A$4:$A$135,0)),"")</f>
        <v/>
      </c>
      <c r="D234" s="97">
        <v>224</v>
      </c>
      <c r="E234" s="262"/>
      <c r="F234" s="263"/>
      <c r="G234" s="133"/>
      <c r="H234" s="115"/>
      <c r="I234" s="509" t="str">
        <f>IF(AV234="","",IF(AND(AW234="Yes",G234="No"),"Irreplaceable habitat ▲",IF(AND(AW234="No",G234="Yes"),"Cannot be Irreplaceable ▲",VLOOKUP(AV234,'G-1 All Habitats'!$B$2:$M$135,10,FALSE))))</f>
        <v/>
      </c>
      <c r="J234" s="377" t="str">
        <f>IFERROR(VLOOKUP(I234,'G-1 All Habitats'!$V$3:$W$7,2,FALSE),"")</f>
        <v/>
      </c>
      <c r="K234" s="101"/>
      <c r="L234" s="276" t="str">
        <f>IFERROR(INDEX('G-8 Condition Look up'!$A$3:$H$135,MATCH(AV234,'G-8 Condition Look up'!$A$3:$A$135,0),MATCH(K234,'G-8 Condition Look up'!$A$3:$H$3,0)),"")</f>
        <v/>
      </c>
      <c r="M234" s="105"/>
      <c r="N234" s="295" t="str">
        <f>IF(M234="","",IF(VLOOKUP(M234,'G-3 Multipliers'!$L$3:$N$6,2,FALSE)=0,"Spatial Data Missing ⚠",VLOOKUP(M234,'G-3 Multipliers'!$L$3:$N$6,2,FALSE)))</f>
        <v/>
      </c>
      <c r="O234" s="353" t="str">
        <f>IF(M234="","",IF(VLOOKUP(M234,'G-3 Multipliers'!$L$3:$N$6,3,FALSE)=0,"Spatial Data Missing ⚠",VLOOKUP(M234,'G-3 Multipliers'!$L$3:$N$6,3,FALSE)))</f>
        <v/>
      </c>
      <c r="P234" s="336" t="str">
        <f>(IF(G234="Yes","Bespoke compensation likely to be required",(IFERROR(VLOOKUP(AV234,'G-1 All Habitats'!$B$2:$M$135,12,FALSE),""))))</f>
        <v/>
      </c>
      <c r="Q234" s="511" t="str">
        <f>IFERROR(IF(P234="","",IF(AND(E234="Individual trees",W234&gt;0,G234="Yes"),"Error - you cannot enhance irreplaceable individual trees ▲",IF(P234='G-1 All Habitats'!$X$9,T234*S234,IF(AND(P234='G-1 All Habitats'!$X$9,W234&gt;0),X234+(Y234*S234),IF(AND(P234='G-1 All Habitats'!$X$9,V234&gt;0),X234+(Y234*S234),IF(AND(P234='G-1 All Habitats'!$X$9,AG234&gt;0),"Any Loss Unacceptable  ⚠",IF(AND(P234='G-1 All Habitats'!$X$9,Z234&gt;0),"Any Loss Unacceptable ⚠",H234*J234*L234*O234*S234))))))),"Check Data ⚠")</f>
        <v/>
      </c>
      <c r="R234" s="393"/>
      <c r="S234" s="510" t="str">
        <f>IF(R234="","",IF(VLOOKUP(R234,'G-3 Multipliers'!$S$3:$T$10,2,FALSE)=0,"Spatial Data Missing ⚠",VLOOKUP(R234,'G-3 Multipliers'!$S$3:$T$10,2,FALSE)))</f>
        <v/>
      </c>
      <c r="T234" s="289" t="str">
        <f>IFERROR(IF(AND(F234&lt;&gt;"",G234=""),"Confirm irreplaceable habitat status ▲",(IF(AND(R234&lt;&gt;"",AF234=""),"Off-site reference required ▲",(IF(AND(E234="Individual trees",W234&gt;0,G234="Yes"),"Error - you cannot enhance irreplaceable individual trees ▲",(IF(AND(X234="Irreplaceable habitat - no units generated ⚠",(W234+V234)&lt;H234,OR(AB234="No",AB234="")),"Any Loss Unacceptable ⚠",(IF(X234="Irreplaceable habitat - no units generated ⚠",W234*J234*L234*O234,IF(AND(P234='G-1 All Habitats'!$X$9,AH234&gt;0,V234&lt;=0,W234&lt;=0,OR(AB234="No",AB234="")),"Any Loss Unacceptable ⚠",IF(AND(P234='G-1 All Habitats'!$X$9,AH234&gt;0,V234&lt;=0,W234&lt;=0),0,(IF(AND(P234='G-1 All Habitats'!$X$9,(W234+V234)&lt;H234,OR(AB234="No",AB234="")),"Any Loss Unacceptable ⚠",(IF(P234="","",IF(AND(P234='G-1 All Habitats'!$X$9,W234&gt;0),X234+Y234,IF(AND(P234='G-1 All Habitats'!$X$9,V234&gt;0),X234+Y234,IF(R234="","",H234*J234*L234*O234)))))))))))))))))),"Check Data ▲")</f>
        <v/>
      </c>
      <c r="U234" s="38"/>
      <c r="V234" s="52"/>
      <c r="W234" s="53"/>
      <c r="X234" s="287" t="str">
        <f t="shared" si="29"/>
        <v/>
      </c>
      <c r="Y234" s="287" t="str">
        <f t="shared" si="30"/>
        <v/>
      </c>
      <c r="Z234" s="287" t="str">
        <f t="shared" si="31"/>
        <v/>
      </c>
      <c r="AA234" s="317" t="str">
        <f>IFERROR(IF(AND(E234="Individual trees",G234="Yes",W234&gt;0),"Error - you cannot enhance an irreplaceable tree ▲",(IF(H234="","",IF(H234-V234-W234=0&lt;0,"Error in Areas ▲",IF(V234+W234&gt;H234,"Error in Areas ▲",IF(AND(P234='G-1 All Habitats'!$X$9,AB234="Yes"),"Alternative Compensation ✓",IF(AND(P234='G-1 All Habitats'!$X$3,AB234="Yes"),"Alternative Compensation ✓",IF(AND(AB234="Pending",P234='G-1 All Habitats'!$X$3),"Bespoke compensation must be agreed ▲",IF(AND(AB234="Pending",P234='G-1 All Habitats'!$X$9),"Bespoke compensation must be agreed  ▲",IF(Z234=0,0,IF(P234='G-1 All Habitats'!$X$9,"Any Loss Unacceptable ▲",T234-X234-Y234))))))))))),"Check Data ⚠")</f>
        <v/>
      </c>
      <c r="AB234" s="587"/>
      <c r="AC234" s="105"/>
      <c r="AD234" s="138"/>
      <c r="AE234" s="104"/>
      <c r="AF234" s="611"/>
      <c r="AG234" s="523" t="str">
        <f>IF(OR(P234="",AB234="Yes"),"",IF(P234='G-1 All Habitats'!$X$9,H234-V234-W234,"None"))</f>
        <v/>
      </c>
      <c r="AH234" s="523" t="str">
        <f>IF(P234="","",IF(P234='G-1 All Habitats'!$X$9,AG234*J234*L234*O234,"None"))</f>
        <v/>
      </c>
      <c r="AJ234" s="107" t="str">
        <f t="shared" si="32"/>
        <v/>
      </c>
      <c r="AK234" s="107" t="str">
        <f t="shared" si="27"/>
        <v/>
      </c>
      <c r="AL234" s="107" t="str">
        <f>IF(I234="","",IF(#REF!&gt;0,TRUE,FALSE))</f>
        <v/>
      </c>
      <c r="AM234" s="107">
        <v>224</v>
      </c>
      <c r="AN234" s="107"/>
      <c r="AO234" s="107" t="str">
        <f t="array" ref="AO234">IFERROR(INDEX($AM$11:$AM$259,MATCH(0,IF(TRUE=$AJ$11:$AJ$259,COUNTIF($AO$10:$AO233,$AM$11:$AM$259),""),0)),"")</f>
        <v/>
      </c>
      <c r="AP234" s="107" t="str">
        <f t="array" ref="AP234">IFERROR(INDEX($AM$11:$AM$259,MATCH(0,IF(TRUE=$AK$11:$AK$259,COUNTIF($AP$10:$AP233,$AM$11:$AM$259),""),0)),"")</f>
        <v/>
      </c>
      <c r="AQ234" s="107" t="str">
        <f t="array" ref="AQ234">IFERROR(INDEX($AM$11:$AM$259,MATCH(0,IF(TRUE=$AL$11:$AL$259,COUNTIF($AQ$10:$AQ233,$AM$11:$AM$259),""),0)),"")</f>
        <v/>
      </c>
      <c r="AS234" s="885" t="str">
        <f>IF(AND(OR(AB234="Yes",AB234="Pending"),P234='G-1 All Habitats'!$X$3),T234-X234-Y234,"0")</f>
        <v>0</v>
      </c>
      <c r="AT234" s="30" t="str">
        <f t="shared" si="28"/>
        <v/>
      </c>
      <c r="AU234" s="30">
        <f t="shared" si="33"/>
        <v>0</v>
      </c>
      <c r="AV234" s="230" t="str">
        <f>IFERROR(INDEX('G-1 All Habitats'!$B$3:$B$135,MATCH(F234,'G-1 All Habitats'!$A$3:$A$135,0)),"")</f>
        <v/>
      </c>
      <c r="AW234" s="30" t="str">
        <f>IF(AV234="","",VLOOKUP(AV234,'G-1 All Habitats'!$B$1:$T$135,19,FALSE))</f>
        <v/>
      </c>
      <c r="AY234" s="287" t="str">
        <f t="shared" si="34"/>
        <v/>
      </c>
    </row>
    <row r="235" spans="1:51" ht="14">
      <c r="A235" s="30" t="str">
        <f>IFERROR(INDEX('G-1 All Habitats'!$AG$3:$AG$17,MATCH(E235,'G-1 All Habitats'!$AF$3:$AF$17,0)),"")</f>
        <v/>
      </c>
      <c r="B235" s="30" t="str">
        <f>IFERROR(INDEX('G-8 Condition Look up'!$I$4:$I$135,MATCH(AV235,'G-8 Condition Look up'!$A$4:$A$135,0)),"")</f>
        <v/>
      </c>
      <c r="D235" s="97">
        <v>225</v>
      </c>
      <c r="E235" s="262"/>
      <c r="F235" s="263"/>
      <c r="G235" s="133"/>
      <c r="H235" s="115"/>
      <c r="I235" s="509" t="str">
        <f>IF(AV235="","",IF(AND(AW235="Yes",G235="No"),"Irreplaceable habitat ▲",IF(AND(AW235="No",G235="Yes"),"Cannot be Irreplaceable ▲",VLOOKUP(AV235,'G-1 All Habitats'!$B$2:$M$135,10,FALSE))))</f>
        <v/>
      </c>
      <c r="J235" s="377" t="str">
        <f>IFERROR(VLOOKUP(I235,'G-1 All Habitats'!$V$3:$W$7,2,FALSE),"")</f>
        <v/>
      </c>
      <c r="K235" s="101"/>
      <c r="L235" s="276" t="str">
        <f>IFERROR(INDEX('G-8 Condition Look up'!$A$3:$H$135,MATCH(AV235,'G-8 Condition Look up'!$A$3:$A$135,0),MATCH(K235,'G-8 Condition Look up'!$A$3:$H$3,0)),"")</f>
        <v/>
      </c>
      <c r="M235" s="105"/>
      <c r="N235" s="295" t="str">
        <f>IF(M235="","",IF(VLOOKUP(M235,'G-3 Multipliers'!$L$3:$N$6,2,FALSE)=0,"Spatial Data Missing ⚠",VLOOKUP(M235,'G-3 Multipliers'!$L$3:$N$6,2,FALSE)))</f>
        <v/>
      </c>
      <c r="O235" s="353" t="str">
        <f>IF(M235="","",IF(VLOOKUP(M235,'G-3 Multipliers'!$L$3:$N$6,3,FALSE)=0,"Spatial Data Missing ⚠",VLOOKUP(M235,'G-3 Multipliers'!$L$3:$N$6,3,FALSE)))</f>
        <v/>
      </c>
      <c r="P235" s="336" t="str">
        <f>(IF(G235="Yes","Bespoke compensation likely to be required",(IFERROR(VLOOKUP(AV235,'G-1 All Habitats'!$B$2:$M$135,12,FALSE),""))))</f>
        <v/>
      </c>
      <c r="Q235" s="511" t="str">
        <f>IFERROR(IF(P235="","",IF(AND(E235="Individual trees",W235&gt;0,G235="Yes"),"Error - you cannot enhance irreplaceable individual trees ▲",IF(P235='G-1 All Habitats'!$X$9,T235*S235,IF(AND(P235='G-1 All Habitats'!$X$9,W235&gt;0),X235+(Y235*S235),IF(AND(P235='G-1 All Habitats'!$X$9,V235&gt;0),X235+(Y235*S235),IF(AND(P235='G-1 All Habitats'!$X$9,AG235&gt;0),"Any Loss Unacceptable  ⚠",IF(AND(P235='G-1 All Habitats'!$X$9,Z235&gt;0),"Any Loss Unacceptable ⚠",H235*J235*L235*O235*S235))))))),"Check Data ⚠")</f>
        <v/>
      </c>
      <c r="R235" s="393"/>
      <c r="S235" s="510" t="str">
        <f>IF(R235="","",IF(VLOOKUP(R235,'G-3 Multipliers'!$S$3:$T$10,2,FALSE)=0,"Spatial Data Missing ⚠",VLOOKUP(R235,'G-3 Multipliers'!$S$3:$T$10,2,FALSE)))</f>
        <v/>
      </c>
      <c r="T235" s="289" t="str">
        <f>IFERROR(IF(AND(F235&lt;&gt;"",G235=""),"Confirm irreplaceable habitat status ▲",(IF(AND(R235&lt;&gt;"",AF235=""),"Off-site reference required ▲",(IF(AND(E235="Individual trees",W235&gt;0,G235="Yes"),"Error - you cannot enhance irreplaceable individual trees ▲",(IF(AND(X235="Irreplaceable habitat - no units generated ⚠",(W235+V235)&lt;H235,OR(AB235="No",AB235="")),"Any Loss Unacceptable ⚠",(IF(X235="Irreplaceable habitat - no units generated ⚠",W235*J235*L235*O235,IF(AND(P235='G-1 All Habitats'!$X$9,AH235&gt;0,V235&lt;=0,W235&lt;=0,OR(AB235="No",AB235="")),"Any Loss Unacceptable ⚠",IF(AND(P235='G-1 All Habitats'!$X$9,AH235&gt;0,V235&lt;=0,W235&lt;=0),0,(IF(AND(P235='G-1 All Habitats'!$X$9,(W235+V235)&lt;H235,OR(AB235="No",AB235="")),"Any Loss Unacceptable ⚠",(IF(P235="","",IF(AND(P235='G-1 All Habitats'!$X$9,W235&gt;0),X235+Y235,IF(AND(P235='G-1 All Habitats'!$X$9,V235&gt;0),X235+Y235,IF(R235="","",H235*J235*L235*O235)))))))))))))))))),"Check Data ▲")</f>
        <v/>
      </c>
      <c r="U235" s="38"/>
      <c r="V235" s="52"/>
      <c r="W235" s="53"/>
      <c r="X235" s="287" t="str">
        <f t="shared" si="29"/>
        <v/>
      </c>
      <c r="Y235" s="287" t="str">
        <f t="shared" si="30"/>
        <v/>
      </c>
      <c r="Z235" s="287" t="str">
        <f t="shared" si="31"/>
        <v/>
      </c>
      <c r="AA235" s="317" t="str">
        <f>IFERROR(IF(AND(E235="Individual trees",G235="Yes",W235&gt;0),"Error - you cannot enhance an irreplaceable tree ▲",(IF(H235="","",IF(H235-V235-W235=0&lt;0,"Error in Areas ▲",IF(V235+W235&gt;H235,"Error in Areas ▲",IF(AND(P235='G-1 All Habitats'!$X$9,AB235="Yes"),"Alternative Compensation ✓",IF(AND(P235='G-1 All Habitats'!$X$3,AB235="Yes"),"Alternative Compensation ✓",IF(AND(AB235="Pending",P235='G-1 All Habitats'!$X$3),"Bespoke compensation must be agreed ▲",IF(AND(AB235="Pending",P235='G-1 All Habitats'!$X$9),"Bespoke compensation must be agreed  ▲",IF(Z235=0,0,IF(P235='G-1 All Habitats'!$X$9,"Any Loss Unacceptable ▲",T235-X235-Y235))))))))))),"Check Data ⚠")</f>
        <v/>
      </c>
      <c r="AB235" s="587"/>
      <c r="AC235" s="105"/>
      <c r="AD235" s="138"/>
      <c r="AE235" s="104"/>
      <c r="AF235" s="611"/>
      <c r="AG235" s="523" t="str">
        <f>IF(OR(P235="",AB235="Yes"),"",IF(P235='G-1 All Habitats'!$X$9,H235-V235-W235,"None"))</f>
        <v/>
      </c>
      <c r="AH235" s="523" t="str">
        <f>IF(P235="","",IF(P235='G-1 All Habitats'!$X$9,AG235*J235*L235*O235,"None"))</f>
        <v/>
      </c>
      <c r="AJ235" s="107" t="str">
        <f t="shared" si="32"/>
        <v/>
      </c>
      <c r="AK235" s="107" t="str">
        <f t="shared" si="27"/>
        <v/>
      </c>
      <c r="AL235" s="107" t="str">
        <f>IF(I235="","",IF(#REF!&gt;0,TRUE,FALSE))</f>
        <v/>
      </c>
      <c r="AM235" s="107">
        <v>225</v>
      </c>
      <c r="AN235" s="107"/>
      <c r="AO235" s="107" t="str">
        <f t="array" ref="AO235">IFERROR(INDEX($AM$11:$AM$259,MATCH(0,IF(TRUE=$AJ$11:$AJ$259,COUNTIF($AO$10:$AO234,$AM$11:$AM$259),""),0)),"")</f>
        <v/>
      </c>
      <c r="AP235" s="107" t="str">
        <f t="array" ref="AP235">IFERROR(INDEX($AM$11:$AM$259,MATCH(0,IF(TRUE=$AK$11:$AK$259,COUNTIF($AP$10:$AP234,$AM$11:$AM$259),""),0)),"")</f>
        <v/>
      </c>
      <c r="AQ235" s="107" t="str">
        <f t="array" ref="AQ235">IFERROR(INDEX($AM$11:$AM$259,MATCH(0,IF(TRUE=$AL$11:$AL$259,COUNTIF($AQ$10:$AQ234,$AM$11:$AM$259),""),0)),"")</f>
        <v/>
      </c>
      <c r="AS235" s="885" t="str">
        <f>IF(AND(OR(AB235="Yes",AB235="Pending"),P235='G-1 All Habitats'!$X$3),T235-X235-Y235,"0")</f>
        <v>0</v>
      </c>
      <c r="AT235" s="30" t="str">
        <f t="shared" si="28"/>
        <v/>
      </c>
      <c r="AU235" s="30">
        <f t="shared" si="33"/>
        <v>0</v>
      </c>
      <c r="AV235" s="230" t="str">
        <f>IFERROR(INDEX('G-1 All Habitats'!$B$3:$B$135,MATCH(F235,'G-1 All Habitats'!$A$3:$A$135,0)),"")</f>
        <v/>
      </c>
      <c r="AW235" s="30" t="str">
        <f>IF(AV235="","",VLOOKUP(AV235,'G-1 All Habitats'!$B$1:$T$135,19,FALSE))</f>
        <v/>
      </c>
      <c r="AY235" s="287" t="str">
        <f t="shared" si="34"/>
        <v/>
      </c>
    </row>
    <row r="236" spans="1:51" ht="14">
      <c r="A236" s="30" t="str">
        <f>IFERROR(INDEX('G-1 All Habitats'!$AG$3:$AG$17,MATCH(E236,'G-1 All Habitats'!$AF$3:$AF$17,0)),"")</f>
        <v/>
      </c>
      <c r="B236" s="30" t="str">
        <f>IFERROR(INDEX('G-8 Condition Look up'!$I$4:$I$135,MATCH(AV236,'G-8 Condition Look up'!$A$4:$A$135,0)),"")</f>
        <v/>
      </c>
      <c r="D236" s="97">
        <v>226</v>
      </c>
      <c r="E236" s="262"/>
      <c r="F236" s="263"/>
      <c r="G236" s="133"/>
      <c r="H236" s="115"/>
      <c r="I236" s="509" t="str">
        <f>IF(AV236="","",IF(AND(AW236="Yes",G236="No"),"Irreplaceable habitat ▲",IF(AND(AW236="No",G236="Yes"),"Cannot be Irreplaceable ▲",VLOOKUP(AV236,'G-1 All Habitats'!$B$2:$M$135,10,FALSE))))</f>
        <v/>
      </c>
      <c r="J236" s="377" t="str">
        <f>IFERROR(VLOOKUP(I236,'G-1 All Habitats'!$V$3:$W$7,2,FALSE),"")</f>
        <v/>
      </c>
      <c r="K236" s="101"/>
      <c r="L236" s="276" t="str">
        <f>IFERROR(INDEX('G-8 Condition Look up'!$A$3:$H$135,MATCH(AV236,'G-8 Condition Look up'!$A$3:$A$135,0),MATCH(K236,'G-8 Condition Look up'!$A$3:$H$3,0)),"")</f>
        <v/>
      </c>
      <c r="M236" s="105"/>
      <c r="N236" s="295" t="str">
        <f>IF(M236="","",IF(VLOOKUP(M236,'G-3 Multipliers'!$L$3:$N$6,2,FALSE)=0,"Spatial Data Missing ⚠",VLOOKUP(M236,'G-3 Multipliers'!$L$3:$N$6,2,FALSE)))</f>
        <v/>
      </c>
      <c r="O236" s="353" t="str">
        <f>IF(M236="","",IF(VLOOKUP(M236,'G-3 Multipliers'!$L$3:$N$6,3,FALSE)=0,"Spatial Data Missing ⚠",VLOOKUP(M236,'G-3 Multipliers'!$L$3:$N$6,3,FALSE)))</f>
        <v/>
      </c>
      <c r="P236" s="336" t="str">
        <f>(IF(G236="Yes","Bespoke compensation likely to be required",(IFERROR(VLOOKUP(AV236,'G-1 All Habitats'!$B$2:$M$135,12,FALSE),""))))</f>
        <v/>
      </c>
      <c r="Q236" s="511" t="str">
        <f>IFERROR(IF(P236="","",IF(AND(E236="Individual trees",W236&gt;0,G236="Yes"),"Error - you cannot enhance irreplaceable individual trees ▲",IF(P236='G-1 All Habitats'!$X$9,T236*S236,IF(AND(P236='G-1 All Habitats'!$X$9,W236&gt;0),X236+(Y236*S236),IF(AND(P236='G-1 All Habitats'!$X$9,V236&gt;0),X236+(Y236*S236),IF(AND(P236='G-1 All Habitats'!$X$9,AG236&gt;0),"Any Loss Unacceptable  ⚠",IF(AND(P236='G-1 All Habitats'!$X$9,Z236&gt;0),"Any Loss Unacceptable ⚠",H236*J236*L236*O236*S236))))))),"Check Data ⚠")</f>
        <v/>
      </c>
      <c r="R236" s="393"/>
      <c r="S236" s="510" t="str">
        <f>IF(R236="","",IF(VLOOKUP(R236,'G-3 Multipliers'!$S$3:$T$10,2,FALSE)=0,"Spatial Data Missing ⚠",VLOOKUP(R236,'G-3 Multipliers'!$S$3:$T$10,2,FALSE)))</f>
        <v/>
      </c>
      <c r="T236" s="289" t="str">
        <f>IFERROR(IF(AND(F236&lt;&gt;"",G236=""),"Confirm irreplaceable habitat status ▲",(IF(AND(R236&lt;&gt;"",AF236=""),"Off-site reference required ▲",(IF(AND(E236="Individual trees",W236&gt;0,G236="Yes"),"Error - you cannot enhance irreplaceable individual trees ▲",(IF(AND(X236="Irreplaceable habitat - no units generated ⚠",(W236+V236)&lt;H236,OR(AB236="No",AB236="")),"Any Loss Unacceptable ⚠",(IF(X236="Irreplaceable habitat - no units generated ⚠",W236*J236*L236*O236,IF(AND(P236='G-1 All Habitats'!$X$9,AH236&gt;0,V236&lt;=0,W236&lt;=0,OR(AB236="No",AB236="")),"Any Loss Unacceptable ⚠",IF(AND(P236='G-1 All Habitats'!$X$9,AH236&gt;0,V236&lt;=0,W236&lt;=0),0,(IF(AND(P236='G-1 All Habitats'!$X$9,(W236+V236)&lt;H236,OR(AB236="No",AB236="")),"Any Loss Unacceptable ⚠",(IF(P236="","",IF(AND(P236='G-1 All Habitats'!$X$9,W236&gt;0),X236+Y236,IF(AND(P236='G-1 All Habitats'!$X$9,V236&gt;0),X236+Y236,IF(R236="","",H236*J236*L236*O236)))))))))))))))))),"Check Data ▲")</f>
        <v/>
      </c>
      <c r="U236" s="38"/>
      <c r="V236" s="52"/>
      <c r="W236" s="53"/>
      <c r="X236" s="287" t="str">
        <f t="shared" si="29"/>
        <v/>
      </c>
      <c r="Y236" s="287" t="str">
        <f t="shared" si="30"/>
        <v/>
      </c>
      <c r="Z236" s="287" t="str">
        <f t="shared" si="31"/>
        <v/>
      </c>
      <c r="AA236" s="317" t="str">
        <f>IFERROR(IF(AND(E236="Individual trees",G236="Yes",W236&gt;0),"Error - you cannot enhance an irreplaceable tree ▲",(IF(H236="","",IF(H236-V236-W236=0&lt;0,"Error in Areas ▲",IF(V236+W236&gt;H236,"Error in Areas ▲",IF(AND(P236='G-1 All Habitats'!$X$9,AB236="Yes"),"Alternative Compensation ✓",IF(AND(P236='G-1 All Habitats'!$X$3,AB236="Yes"),"Alternative Compensation ✓",IF(AND(AB236="Pending",P236='G-1 All Habitats'!$X$3),"Bespoke compensation must be agreed ▲",IF(AND(AB236="Pending",P236='G-1 All Habitats'!$X$9),"Bespoke compensation must be agreed  ▲",IF(Z236=0,0,IF(P236='G-1 All Habitats'!$X$9,"Any Loss Unacceptable ▲",T236-X236-Y236))))))))))),"Check Data ⚠")</f>
        <v/>
      </c>
      <c r="AB236" s="587"/>
      <c r="AC236" s="105"/>
      <c r="AD236" s="138"/>
      <c r="AE236" s="104"/>
      <c r="AF236" s="611"/>
      <c r="AG236" s="523" t="str">
        <f>IF(OR(P236="",AB236="Yes"),"",IF(P236='G-1 All Habitats'!$X$9,H236-V236-W236,"None"))</f>
        <v/>
      </c>
      <c r="AH236" s="523" t="str">
        <f>IF(P236="","",IF(P236='G-1 All Habitats'!$X$9,AG236*J236*L236*O236,"None"))</f>
        <v/>
      </c>
      <c r="AJ236" s="107" t="str">
        <f t="shared" si="32"/>
        <v/>
      </c>
      <c r="AK236" s="107" t="str">
        <f t="shared" si="27"/>
        <v/>
      </c>
      <c r="AL236" s="107" t="str">
        <f>IF(I236="","",IF(#REF!&gt;0,TRUE,FALSE))</f>
        <v/>
      </c>
      <c r="AM236" s="107">
        <v>226</v>
      </c>
      <c r="AN236" s="107"/>
      <c r="AO236" s="107" t="str">
        <f t="array" ref="AO236">IFERROR(INDEX($AM$11:$AM$259,MATCH(0,IF(TRUE=$AJ$11:$AJ$259,COUNTIF($AO$10:$AO235,$AM$11:$AM$259),""),0)),"")</f>
        <v/>
      </c>
      <c r="AP236" s="107" t="str">
        <f t="array" ref="AP236">IFERROR(INDEX($AM$11:$AM$259,MATCH(0,IF(TRUE=$AK$11:$AK$259,COUNTIF($AP$10:$AP235,$AM$11:$AM$259),""),0)),"")</f>
        <v/>
      </c>
      <c r="AQ236" s="107" t="str">
        <f t="array" ref="AQ236">IFERROR(INDEX($AM$11:$AM$259,MATCH(0,IF(TRUE=$AL$11:$AL$259,COUNTIF($AQ$10:$AQ235,$AM$11:$AM$259),""),0)),"")</f>
        <v/>
      </c>
      <c r="AS236" s="885" t="str">
        <f>IF(AND(OR(AB236="Yes",AB236="Pending"),P236='G-1 All Habitats'!$X$3),T236-X236-Y236,"0")</f>
        <v>0</v>
      </c>
      <c r="AT236" s="30" t="str">
        <f t="shared" si="28"/>
        <v/>
      </c>
      <c r="AU236" s="30">
        <f t="shared" si="33"/>
        <v>0</v>
      </c>
      <c r="AV236" s="230" t="str">
        <f>IFERROR(INDEX('G-1 All Habitats'!$B$3:$B$135,MATCH(F236,'G-1 All Habitats'!$A$3:$A$135,0)),"")</f>
        <v/>
      </c>
      <c r="AW236" s="30" t="str">
        <f>IF(AV236="","",VLOOKUP(AV236,'G-1 All Habitats'!$B$1:$T$135,19,FALSE))</f>
        <v/>
      </c>
      <c r="AY236" s="287" t="str">
        <f t="shared" si="34"/>
        <v/>
      </c>
    </row>
    <row r="237" spans="1:51" ht="14">
      <c r="A237" s="30" t="str">
        <f>IFERROR(INDEX('G-1 All Habitats'!$AG$3:$AG$17,MATCH(E237,'G-1 All Habitats'!$AF$3:$AF$17,0)),"")</f>
        <v/>
      </c>
      <c r="B237" s="30" t="str">
        <f>IFERROR(INDEX('G-8 Condition Look up'!$I$4:$I$135,MATCH(AV237,'G-8 Condition Look up'!$A$4:$A$135,0)),"")</f>
        <v/>
      </c>
      <c r="D237" s="97">
        <v>227</v>
      </c>
      <c r="E237" s="262"/>
      <c r="F237" s="263"/>
      <c r="G237" s="133"/>
      <c r="H237" s="115"/>
      <c r="I237" s="509" t="str">
        <f>IF(AV237="","",IF(AND(AW237="Yes",G237="No"),"Irreplaceable habitat ▲",IF(AND(AW237="No",G237="Yes"),"Cannot be Irreplaceable ▲",VLOOKUP(AV237,'G-1 All Habitats'!$B$2:$M$135,10,FALSE))))</f>
        <v/>
      </c>
      <c r="J237" s="377" t="str">
        <f>IFERROR(VLOOKUP(I237,'G-1 All Habitats'!$V$3:$W$7,2,FALSE),"")</f>
        <v/>
      </c>
      <c r="K237" s="101"/>
      <c r="L237" s="276" t="str">
        <f>IFERROR(INDEX('G-8 Condition Look up'!$A$3:$H$135,MATCH(AV237,'G-8 Condition Look up'!$A$3:$A$135,0),MATCH(K237,'G-8 Condition Look up'!$A$3:$H$3,0)),"")</f>
        <v/>
      </c>
      <c r="M237" s="105"/>
      <c r="N237" s="295" t="str">
        <f>IF(M237="","",IF(VLOOKUP(M237,'G-3 Multipliers'!$L$3:$N$6,2,FALSE)=0,"Spatial Data Missing ⚠",VLOOKUP(M237,'G-3 Multipliers'!$L$3:$N$6,2,FALSE)))</f>
        <v/>
      </c>
      <c r="O237" s="353" t="str">
        <f>IF(M237="","",IF(VLOOKUP(M237,'G-3 Multipliers'!$L$3:$N$6,3,FALSE)=0,"Spatial Data Missing ⚠",VLOOKUP(M237,'G-3 Multipliers'!$L$3:$N$6,3,FALSE)))</f>
        <v/>
      </c>
      <c r="P237" s="336" t="str">
        <f>(IF(G237="Yes","Bespoke compensation likely to be required",(IFERROR(VLOOKUP(AV237,'G-1 All Habitats'!$B$2:$M$135,12,FALSE),""))))</f>
        <v/>
      </c>
      <c r="Q237" s="511" t="str">
        <f>IFERROR(IF(P237="","",IF(AND(E237="Individual trees",W237&gt;0,G237="Yes"),"Error - you cannot enhance irreplaceable individual trees ▲",IF(P237='G-1 All Habitats'!$X$9,T237*S237,IF(AND(P237='G-1 All Habitats'!$X$9,W237&gt;0),X237+(Y237*S237),IF(AND(P237='G-1 All Habitats'!$X$9,V237&gt;0),X237+(Y237*S237),IF(AND(P237='G-1 All Habitats'!$X$9,AG237&gt;0),"Any Loss Unacceptable  ⚠",IF(AND(P237='G-1 All Habitats'!$X$9,Z237&gt;0),"Any Loss Unacceptable ⚠",H237*J237*L237*O237*S237))))))),"Check Data ⚠")</f>
        <v/>
      </c>
      <c r="R237" s="393"/>
      <c r="S237" s="510" t="str">
        <f>IF(R237="","",IF(VLOOKUP(R237,'G-3 Multipliers'!$S$3:$T$10,2,FALSE)=0,"Spatial Data Missing ⚠",VLOOKUP(R237,'G-3 Multipliers'!$S$3:$T$10,2,FALSE)))</f>
        <v/>
      </c>
      <c r="T237" s="289" t="str">
        <f>IFERROR(IF(AND(F237&lt;&gt;"",G237=""),"Confirm irreplaceable habitat status ▲",(IF(AND(R237&lt;&gt;"",AF237=""),"Off-site reference required ▲",(IF(AND(E237="Individual trees",W237&gt;0,G237="Yes"),"Error - you cannot enhance irreplaceable individual trees ▲",(IF(AND(X237="Irreplaceable habitat - no units generated ⚠",(W237+V237)&lt;H237,OR(AB237="No",AB237="")),"Any Loss Unacceptable ⚠",(IF(X237="Irreplaceable habitat - no units generated ⚠",W237*J237*L237*O237,IF(AND(P237='G-1 All Habitats'!$X$9,AH237&gt;0,V237&lt;=0,W237&lt;=0,OR(AB237="No",AB237="")),"Any Loss Unacceptable ⚠",IF(AND(P237='G-1 All Habitats'!$X$9,AH237&gt;0,V237&lt;=0,W237&lt;=0),0,(IF(AND(P237='G-1 All Habitats'!$X$9,(W237+V237)&lt;H237,OR(AB237="No",AB237="")),"Any Loss Unacceptable ⚠",(IF(P237="","",IF(AND(P237='G-1 All Habitats'!$X$9,W237&gt;0),X237+Y237,IF(AND(P237='G-1 All Habitats'!$X$9,V237&gt;0),X237+Y237,IF(R237="","",H237*J237*L237*O237)))))))))))))))))),"Check Data ▲")</f>
        <v/>
      </c>
      <c r="U237" s="38"/>
      <c r="V237" s="52"/>
      <c r="W237" s="53"/>
      <c r="X237" s="287" t="str">
        <f t="shared" si="29"/>
        <v/>
      </c>
      <c r="Y237" s="287" t="str">
        <f t="shared" si="30"/>
        <v/>
      </c>
      <c r="Z237" s="287" t="str">
        <f t="shared" si="31"/>
        <v/>
      </c>
      <c r="AA237" s="317" t="str">
        <f>IFERROR(IF(AND(E237="Individual trees",G237="Yes",W237&gt;0),"Error - you cannot enhance an irreplaceable tree ▲",(IF(H237="","",IF(H237-V237-W237=0&lt;0,"Error in Areas ▲",IF(V237+W237&gt;H237,"Error in Areas ▲",IF(AND(P237='G-1 All Habitats'!$X$9,AB237="Yes"),"Alternative Compensation ✓",IF(AND(P237='G-1 All Habitats'!$X$3,AB237="Yes"),"Alternative Compensation ✓",IF(AND(AB237="Pending",P237='G-1 All Habitats'!$X$3),"Bespoke compensation must be agreed ▲",IF(AND(AB237="Pending",P237='G-1 All Habitats'!$X$9),"Bespoke compensation must be agreed  ▲",IF(Z237=0,0,IF(P237='G-1 All Habitats'!$X$9,"Any Loss Unacceptable ▲",T237-X237-Y237))))))))))),"Check Data ⚠")</f>
        <v/>
      </c>
      <c r="AB237" s="587"/>
      <c r="AC237" s="105"/>
      <c r="AD237" s="138"/>
      <c r="AE237" s="104"/>
      <c r="AF237" s="611"/>
      <c r="AG237" s="523" t="str">
        <f>IF(OR(P237="",AB237="Yes"),"",IF(P237='G-1 All Habitats'!$X$9,H237-V237-W237,"None"))</f>
        <v/>
      </c>
      <c r="AH237" s="523" t="str">
        <f>IF(P237="","",IF(P237='G-1 All Habitats'!$X$9,AG237*J237*L237*O237,"None"))</f>
        <v/>
      </c>
      <c r="AJ237" s="107" t="str">
        <f t="shared" si="32"/>
        <v/>
      </c>
      <c r="AK237" s="107" t="str">
        <f t="shared" si="27"/>
        <v/>
      </c>
      <c r="AL237" s="107" t="str">
        <f>IF(I237="","",IF(#REF!&gt;0,TRUE,FALSE))</f>
        <v/>
      </c>
      <c r="AM237" s="107">
        <v>227</v>
      </c>
      <c r="AN237" s="107"/>
      <c r="AO237" s="107" t="str">
        <f t="array" ref="AO237">IFERROR(INDEX($AM$11:$AM$259,MATCH(0,IF(TRUE=$AJ$11:$AJ$259,COUNTIF($AO$10:$AO236,$AM$11:$AM$259),""),0)),"")</f>
        <v/>
      </c>
      <c r="AP237" s="107" t="str">
        <f t="array" ref="AP237">IFERROR(INDEX($AM$11:$AM$259,MATCH(0,IF(TRUE=$AK$11:$AK$259,COUNTIF($AP$10:$AP236,$AM$11:$AM$259),""),0)),"")</f>
        <v/>
      </c>
      <c r="AQ237" s="107" t="str">
        <f t="array" ref="AQ237">IFERROR(INDEX($AM$11:$AM$259,MATCH(0,IF(TRUE=$AL$11:$AL$259,COUNTIF($AQ$10:$AQ236,$AM$11:$AM$259),""),0)),"")</f>
        <v/>
      </c>
      <c r="AS237" s="885" t="str">
        <f>IF(AND(OR(AB237="Yes",AB237="Pending"),P237='G-1 All Habitats'!$X$3),T237-X237-Y237,"0")</f>
        <v>0</v>
      </c>
      <c r="AT237" s="30" t="str">
        <f t="shared" si="28"/>
        <v/>
      </c>
      <c r="AU237" s="30">
        <f t="shared" si="33"/>
        <v>0</v>
      </c>
      <c r="AV237" s="230" t="str">
        <f>IFERROR(INDEX('G-1 All Habitats'!$B$3:$B$135,MATCH(F237,'G-1 All Habitats'!$A$3:$A$135,0)),"")</f>
        <v/>
      </c>
      <c r="AW237" s="30" t="str">
        <f>IF(AV237="","",VLOOKUP(AV237,'G-1 All Habitats'!$B$1:$T$135,19,FALSE))</f>
        <v/>
      </c>
      <c r="AY237" s="287" t="str">
        <f t="shared" si="34"/>
        <v/>
      </c>
    </row>
    <row r="238" spans="1:51" ht="14">
      <c r="A238" s="30" t="str">
        <f>IFERROR(INDEX('G-1 All Habitats'!$AG$3:$AG$17,MATCH(E238,'G-1 All Habitats'!$AF$3:$AF$17,0)),"")</f>
        <v/>
      </c>
      <c r="B238" s="30" t="str">
        <f>IFERROR(INDEX('G-8 Condition Look up'!$I$4:$I$135,MATCH(AV238,'G-8 Condition Look up'!$A$4:$A$135,0)),"")</f>
        <v/>
      </c>
      <c r="D238" s="97">
        <v>228</v>
      </c>
      <c r="E238" s="262"/>
      <c r="F238" s="263"/>
      <c r="G238" s="133"/>
      <c r="H238" s="115"/>
      <c r="I238" s="509" t="str">
        <f>IF(AV238="","",IF(AND(AW238="Yes",G238="No"),"Irreplaceable habitat ▲",IF(AND(AW238="No",G238="Yes"),"Cannot be Irreplaceable ▲",VLOOKUP(AV238,'G-1 All Habitats'!$B$2:$M$135,10,FALSE))))</f>
        <v/>
      </c>
      <c r="J238" s="377" t="str">
        <f>IFERROR(VLOOKUP(I238,'G-1 All Habitats'!$V$3:$W$7,2,FALSE),"")</f>
        <v/>
      </c>
      <c r="K238" s="101"/>
      <c r="L238" s="276" t="str">
        <f>IFERROR(INDEX('G-8 Condition Look up'!$A$3:$H$135,MATCH(AV238,'G-8 Condition Look up'!$A$3:$A$135,0),MATCH(K238,'G-8 Condition Look up'!$A$3:$H$3,0)),"")</f>
        <v/>
      </c>
      <c r="M238" s="105"/>
      <c r="N238" s="295" t="str">
        <f>IF(M238="","",IF(VLOOKUP(M238,'G-3 Multipliers'!$L$3:$N$6,2,FALSE)=0,"Spatial Data Missing ⚠",VLOOKUP(M238,'G-3 Multipliers'!$L$3:$N$6,2,FALSE)))</f>
        <v/>
      </c>
      <c r="O238" s="353" t="str">
        <f>IF(M238="","",IF(VLOOKUP(M238,'G-3 Multipliers'!$L$3:$N$6,3,FALSE)=0,"Spatial Data Missing ⚠",VLOOKUP(M238,'G-3 Multipliers'!$L$3:$N$6,3,FALSE)))</f>
        <v/>
      </c>
      <c r="P238" s="336" t="str">
        <f>(IF(G238="Yes","Bespoke compensation likely to be required",(IFERROR(VLOOKUP(AV238,'G-1 All Habitats'!$B$2:$M$135,12,FALSE),""))))</f>
        <v/>
      </c>
      <c r="Q238" s="511" t="str">
        <f>IFERROR(IF(P238="","",IF(AND(E238="Individual trees",W238&gt;0,G238="Yes"),"Error - you cannot enhance irreplaceable individual trees ▲",IF(P238='G-1 All Habitats'!$X$9,T238*S238,IF(AND(P238='G-1 All Habitats'!$X$9,W238&gt;0),X238+(Y238*S238),IF(AND(P238='G-1 All Habitats'!$X$9,V238&gt;0),X238+(Y238*S238),IF(AND(P238='G-1 All Habitats'!$X$9,AG238&gt;0),"Any Loss Unacceptable  ⚠",IF(AND(P238='G-1 All Habitats'!$X$9,Z238&gt;0),"Any Loss Unacceptable ⚠",H238*J238*L238*O238*S238))))))),"Check Data ⚠")</f>
        <v/>
      </c>
      <c r="R238" s="393"/>
      <c r="S238" s="510" t="str">
        <f>IF(R238="","",IF(VLOOKUP(R238,'G-3 Multipliers'!$S$3:$T$10,2,FALSE)=0,"Spatial Data Missing ⚠",VLOOKUP(R238,'G-3 Multipliers'!$S$3:$T$10,2,FALSE)))</f>
        <v/>
      </c>
      <c r="T238" s="289" t="str">
        <f>IFERROR(IF(AND(F238&lt;&gt;"",G238=""),"Confirm irreplaceable habitat status ▲",(IF(AND(R238&lt;&gt;"",AF238=""),"Off-site reference required ▲",(IF(AND(E238="Individual trees",W238&gt;0,G238="Yes"),"Error - you cannot enhance irreplaceable individual trees ▲",(IF(AND(X238="Irreplaceable habitat - no units generated ⚠",(W238+V238)&lt;H238,OR(AB238="No",AB238="")),"Any Loss Unacceptable ⚠",(IF(X238="Irreplaceable habitat - no units generated ⚠",W238*J238*L238*O238,IF(AND(P238='G-1 All Habitats'!$X$9,AH238&gt;0,V238&lt;=0,W238&lt;=0,OR(AB238="No",AB238="")),"Any Loss Unacceptable ⚠",IF(AND(P238='G-1 All Habitats'!$X$9,AH238&gt;0,V238&lt;=0,W238&lt;=0),0,(IF(AND(P238='G-1 All Habitats'!$X$9,(W238+V238)&lt;H238,OR(AB238="No",AB238="")),"Any Loss Unacceptable ⚠",(IF(P238="","",IF(AND(P238='G-1 All Habitats'!$X$9,W238&gt;0),X238+Y238,IF(AND(P238='G-1 All Habitats'!$X$9,V238&gt;0),X238+Y238,IF(R238="","",H238*J238*L238*O238)))))))))))))))))),"Check Data ▲")</f>
        <v/>
      </c>
      <c r="U238" s="38"/>
      <c r="V238" s="52"/>
      <c r="W238" s="53"/>
      <c r="X238" s="287" t="str">
        <f t="shared" si="29"/>
        <v/>
      </c>
      <c r="Y238" s="287" t="str">
        <f t="shared" si="30"/>
        <v/>
      </c>
      <c r="Z238" s="287" t="str">
        <f t="shared" si="31"/>
        <v/>
      </c>
      <c r="AA238" s="317" t="str">
        <f>IFERROR(IF(AND(E238="Individual trees",G238="Yes",W238&gt;0),"Error - you cannot enhance an irreplaceable tree ▲",(IF(H238="","",IF(H238-V238-W238=0&lt;0,"Error in Areas ▲",IF(V238+W238&gt;H238,"Error in Areas ▲",IF(AND(P238='G-1 All Habitats'!$X$9,AB238="Yes"),"Alternative Compensation ✓",IF(AND(P238='G-1 All Habitats'!$X$3,AB238="Yes"),"Alternative Compensation ✓",IF(AND(AB238="Pending",P238='G-1 All Habitats'!$X$3),"Bespoke compensation must be agreed ▲",IF(AND(AB238="Pending",P238='G-1 All Habitats'!$X$9),"Bespoke compensation must be agreed  ▲",IF(Z238=0,0,IF(P238='G-1 All Habitats'!$X$9,"Any Loss Unacceptable ▲",T238-X238-Y238))))))))))),"Check Data ⚠")</f>
        <v/>
      </c>
      <c r="AB238" s="587"/>
      <c r="AC238" s="105"/>
      <c r="AD238" s="138"/>
      <c r="AE238" s="104"/>
      <c r="AF238" s="611"/>
      <c r="AG238" s="523" t="str">
        <f>IF(OR(P238="",AB238="Yes"),"",IF(P238='G-1 All Habitats'!$X$9,H238-V238-W238,"None"))</f>
        <v/>
      </c>
      <c r="AH238" s="523" t="str">
        <f>IF(P238="","",IF(P238='G-1 All Habitats'!$X$9,AG238*J238*L238*O238,"None"))</f>
        <v/>
      </c>
      <c r="AJ238" s="107" t="str">
        <f t="shared" si="32"/>
        <v/>
      </c>
      <c r="AK238" s="107" t="str">
        <f t="shared" si="27"/>
        <v/>
      </c>
      <c r="AL238" s="107" t="str">
        <f>IF(I238="","",IF(#REF!&gt;0,TRUE,FALSE))</f>
        <v/>
      </c>
      <c r="AM238" s="107">
        <v>228</v>
      </c>
      <c r="AN238" s="107"/>
      <c r="AO238" s="107" t="str">
        <f t="array" ref="AO238">IFERROR(INDEX($AM$11:$AM$259,MATCH(0,IF(TRUE=$AJ$11:$AJ$259,COUNTIF($AO$10:$AO237,$AM$11:$AM$259),""),0)),"")</f>
        <v/>
      </c>
      <c r="AP238" s="107" t="str">
        <f t="array" ref="AP238">IFERROR(INDEX($AM$11:$AM$259,MATCH(0,IF(TRUE=$AK$11:$AK$259,COUNTIF($AP$10:$AP237,$AM$11:$AM$259),""),0)),"")</f>
        <v/>
      </c>
      <c r="AQ238" s="107" t="str">
        <f t="array" ref="AQ238">IFERROR(INDEX($AM$11:$AM$259,MATCH(0,IF(TRUE=$AL$11:$AL$259,COUNTIF($AQ$10:$AQ237,$AM$11:$AM$259),""),0)),"")</f>
        <v/>
      </c>
      <c r="AS238" s="885" t="str">
        <f>IF(AND(OR(AB238="Yes",AB238="Pending"),P238='G-1 All Habitats'!$X$3),T238-X238-Y238,"0")</f>
        <v>0</v>
      </c>
      <c r="AT238" s="30" t="str">
        <f t="shared" si="28"/>
        <v/>
      </c>
      <c r="AU238" s="30">
        <f t="shared" si="33"/>
        <v>0</v>
      </c>
      <c r="AV238" s="230" t="str">
        <f>IFERROR(INDEX('G-1 All Habitats'!$B$3:$B$135,MATCH(F238,'G-1 All Habitats'!$A$3:$A$135,0)),"")</f>
        <v/>
      </c>
      <c r="AW238" s="30" t="str">
        <f>IF(AV238="","",VLOOKUP(AV238,'G-1 All Habitats'!$B$1:$T$135,19,FALSE))</f>
        <v/>
      </c>
      <c r="AY238" s="287" t="str">
        <f t="shared" si="34"/>
        <v/>
      </c>
    </row>
    <row r="239" spans="1:51" ht="14">
      <c r="A239" s="30" t="str">
        <f>IFERROR(INDEX('G-1 All Habitats'!$AG$3:$AG$17,MATCH(E239,'G-1 All Habitats'!$AF$3:$AF$17,0)),"")</f>
        <v/>
      </c>
      <c r="B239" s="30" t="str">
        <f>IFERROR(INDEX('G-8 Condition Look up'!$I$4:$I$135,MATCH(AV239,'G-8 Condition Look up'!$A$4:$A$135,0)),"")</f>
        <v/>
      </c>
      <c r="D239" s="97">
        <v>229</v>
      </c>
      <c r="E239" s="262"/>
      <c r="F239" s="263"/>
      <c r="G239" s="133"/>
      <c r="H239" s="115"/>
      <c r="I239" s="509" t="str">
        <f>IF(AV239="","",IF(AND(AW239="Yes",G239="No"),"Irreplaceable habitat ▲",IF(AND(AW239="No",G239="Yes"),"Cannot be Irreplaceable ▲",VLOOKUP(AV239,'G-1 All Habitats'!$B$2:$M$135,10,FALSE))))</f>
        <v/>
      </c>
      <c r="J239" s="377" t="str">
        <f>IFERROR(VLOOKUP(I239,'G-1 All Habitats'!$V$3:$W$7,2,FALSE),"")</f>
        <v/>
      </c>
      <c r="K239" s="101"/>
      <c r="L239" s="276" t="str">
        <f>IFERROR(INDEX('G-8 Condition Look up'!$A$3:$H$135,MATCH(AV239,'G-8 Condition Look up'!$A$3:$A$135,0),MATCH(K239,'G-8 Condition Look up'!$A$3:$H$3,0)),"")</f>
        <v/>
      </c>
      <c r="M239" s="105"/>
      <c r="N239" s="295" t="str">
        <f>IF(M239="","",IF(VLOOKUP(M239,'G-3 Multipliers'!$L$3:$N$6,2,FALSE)=0,"Spatial Data Missing ⚠",VLOOKUP(M239,'G-3 Multipliers'!$L$3:$N$6,2,FALSE)))</f>
        <v/>
      </c>
      <c r="O239" s="353" t="str">
        <f>IF(M239="","",IF(VLOOKUP(M239,'G-3 Multipliers'!$L$3:$N$6,3,FALSE)=0,"Spatial Data Missing ⚠",VLOOKUP(M239,'G-3 Multipliers'!$L$3:$N$6,3,FALSE)))</f>
        <v/>
      </c>
      <c r="P239" s="336" t="str">
        <f>(IF(G239="Yes","Bespoke compensation likely to be required",(IFERROR(VLOOKUP(AV239,'G-1 All Habitats'!$B$2:$M$135,12,FALSE),""))))</f>
        <v/>
      </c>
      <c r="Q239" s="511" t="str">
        <f>IFERROR(IF(P239="","",IF(AND(E239="Individual trees",W239&gt;0,G239="Yes"),"Error - you cannot enhance irreplaceable individual trees ▲",IF(P239='G-1 All Habitats'!$X$9,T239*S239,IF(AND(P239='G-1 All Habitats'!$X$9,W239&gt;0),X239+(Y239*S239),IF(AND(P239='G-1 All Habitats'!$X$9,V239&gt;0),X239+(Y239*S239),IF(AND(P239='G-1 All Habitats'!$X$9,AG239&gt;0),"Any Loss Unacceptable  ⚠",IF(AND(P239='G-1 All Habitats'!$X$9,Z239&gt;0),"Any Loss Unacceptable ⚠",H239*J239*L239*O239*S239))))))),"Check Data ⚠")</f>
        <v/>
      </c>
      <c r="R239" s="393"/>
      <c r="S239" s="510" t="str">
        <f>IF(R239="","",IF(VLOOKUP(R239,'G-3 Multipliers'!$S$3:$T$10,2,FALSE)=0,"Spatial Data Missing ⚠",VLOOKUP(R239,'G-3 Multipliers'!$S$3:$T$10,2,FALSE)))</f>
        <v/>
      </c>
      <c r="T239" s="289" t="str">
        <f>IFERROR(IF(AND(F239&lt;&gt;"",G239=""),"Confirm irreplaceable habitat status ▲",(IF(AND(R239&lt;&gt;"",AF239=""),"Off-site reference required ▲",(IF(AND(E239="Individual trees",W239&gt;0,G239="Yes"),"Error - you cannot enhance irreplaceable individual trees ▲",(IF(AND(X239="Irreplaceable habitat - no units generated ⚠",(W239+V239)&lt;H239,OR(AB239="No",AB239="")),"Any Loss Unacceptable ⚠",(IF(X239="Irreplaceable habitat - no units generated ⚠",W239*J239*L239*O239,IF(AND(P239='G-1 All Habitats'!$X$9,AH239&gt;0,V239&lt;=0,W239&lt;=0,OR(AB239="No",AB239="")),"Any Loss Unacceptable ⚠",IF(AND(P239='G-1 All Habitats'!$X$9,AH239&gt;0,V239&lt;=0,W239&lt;=0),0,(IF(AND(P239='G-1 All Habitats'!$X$9,(W239+V239)&lt;H239,OR(AB239="No",AB239="")),"Any Loss Unacceptable ⚠",(IF(P239="","",IF(AND(P239='G-1 All Habitats'!$X$9,W239&gt;0),X239+Y239,IF(AND(P239='G-1 All Habitats'!$X$9,V239&gt;0),X239+Y239,IF(R239="","",H239*J239*L239*O239)))))))))))))))))),"Check Data ▲")</f>
        <v/>
      </c>
      <c r="U239" s="38"/>
      <c r="V239" s="52"/>
      <c r="W239" s="53"/>
      <c r="X239" s="287" t="str">
        <f t="shared" si="29"/>
        <v/>
      </c>
      <c r="Y239" s="287" t="str">
        <f t="shared" si="30"/>
        <v/>
      </c>
      <c r="Z239" s="287" t="str">
        <f t="shared" si="31"/>
        <v/>
      </c>
      <c r="AA239" s="317" t="str">
        <f>IFERROR(IF(AND(E239="Individual trees",G239="Yes",W239&gt;0),"Error - you cannot enhance an irreplaceable tree ▲",(IF(H239="","",IF(H239-V239-W239=0&lt;0,"Error in Areas ▲",IF(V239+W239&gt;H239,"Error in Areas ▲",IF(AND(P239='G-1 All Habitats'!$X$9,AB239="Yes"),"Alternative Compensation ✓",IF(AND(P239='G-1 All Habitats'!$X$3,AB239="Yes"),"Alternative Compensation ✓",IF(AND(AB239="Pending",P239='G-1 All Habitats'!$X$3),"Bespoke compensation must be agreed ▲",IF(AND(AB239="Pending",P239='G-1 All Habitats'!$X$9),"Bespoke compensation must be agreed  ▲",IF(Z239=0,0,IF(P239='G-1 All Habitats'!$X$9,"Any Loss Unacceptable ▲",T239-X239-Y239))))))))))),"Check Data ⚠")</f>
        <v/>
      </c>
      <c r="AB239" s="587"/>
      <c r="AC239" s="105"/>
      <c r="AD239" s="138"/>
      <c r="AE239" s="104"/>
      <c r="AF239" s="611"/>
      <c r="AG239" s="523" t="str">
        <f>IF(OR(P239="",AB239="Yes"),"",IF(P239='G-1 All Habitats'!$X$9,H239-V239-W239,"None"))</f>
        <v/>
      </c>
      <c r="AH239" s="523" t="str">
        <f>IF(P239="","",IF(P239='G-1 All Habitats'!$X$9,AG239*J239*L239*O239,"None"))</f>
        <v/>
      </c>
      <c r="AJ239" s="107" t="str">
        <f t="shared" si="32"/>
        <v/>
      </c>
      <c r="AK239" s="107" t="str">
        <f t="shared" si="27"/>
        <v/>
      </c>
      <c r="AL239" s="107" t="str">
        <f>IF(I239="","",IF(#REF!&gt;0,TRUE,FALSE))</f>
        <v/>
      </c>
      <c r="AM239" s="107">
        <v>229</v>
      </c>
      <c r="AN239" s="107"/>
      <c r="AO239" s="107" t="str">
        <f t="array" ref="AO239">IFERROR(INDEX($AM$11:$AM$259,MATCH(0,IF(TRUE=$AJ$11:$AJ$259,COUNTIF($AO$10:$AO238,$AM$11:$AM$259),""),0)),"")</f>
        <v/>
      </c>
      <c r="AP239" s="107" t="str">
        <f t="array" ref="AP239">IFERROR(INDEX($AM$11:$AM$259,MATCH(0,IF(TRUE=$AK$11:$AK$259,COUNTIF($AP$10:$AP238,$AM$11:$AM$259),""),0)),"")</f>
        <v/>
      </c>
      <c r="AQ239" s="107" t="str">
        <f t="array" ref="AQ239">IFERROR(INDEX($AM$11:$AM$259,MATCH(0,IF(TRUE=$AL$11:$AL$259,COUNTIF($AQ$10:$AQ238,$AM$11:$AM$259),""),0)),"")</f>
        <v/>
      </c>
      <c r="AS239" s="885" t="str">
        <f>IF(AND(OR(AB239="Yes",AB239="Pending"),P239='G-1 All Habitats'!$X$3),T239-X239-Y239,"0")</f>
        <v>0</v>
      </c>
      <c r="AT239" s="30" t="str">
        <f t="shared" si="28"/>
        <v/>
      </c>
      <c r="AU239" s="30">
        <f t="shared" si="33"/>
        <v>0</v>
      </c>
      <c r="AV239" s="230" t="str">
        <f>IFERROR(INDEX('G-1 All Habitats'!$B$3:$B$135,MATCH(F239,'G-1 All Habitats'!$A$3:$A$135,0)),"")</f>
        <v/>
      </c>
      <c r="AW239" s="30" t="str">
        <f>IF(AV239="","",VLOOKUP(AV239,'G-1 All Habitats'!$B$1:$T$135,19,FALSE))</f>
        <v/>
      </c>
      <c r="AY239" s="287" t="str">
        <f t="shared" si="34"/>
        <v/>
      </c>
    </row>
    <row r="240" spans="1:51" ht="14">
      <c r="A240" s="30" t="str">
        <f>IFERROR(INDEX('G-1 All Habitats'!$AG$3:$AG$17,MATCH(E240,'G-1 All Habitats'!$AF$3:$AF$17,0)),"")</f>
        <v/>
      </c>
      <c r="B240" s="30" t="str">
        <f>IFERROR(INDEX('G-8 Condition Look up'!$I$4:$I$135,MATCH(AV240,'G-8 Condition Look up'!$A$4:$A$135,0)),"")</f>
        <v/>
      </c>
      <c r="D240" s="97">
        <v>230</v>
      </c>
      <c r="E240" s="262"/>
      <c r="F240" s="263"/>
      <c r="G240" s="133"/>
      <c r="H240" s="115"/>
      <c r="I240" s="509" t="str">
        <f>IF(AV240="","",IF(AND(AW240="Yes",G240="No"),"Irreplaceable habitat ▲",IF(AND(AW240="No",G240="Yes"),"Cannot be Irreplaceable ▲",VLOOKUP(AV240,'G-1 All Habitats'!$B$2:$M$135,10,FALSE))))</f>
        <v/>
      </c>
      <c r="J240" s="377" t="str">
        <f>IFERROR(VLOOKUP(I240,'G-1 All Habitats'!$V$3:$W$7,2,FALSE),"")</f>
        <v/>
      </c>
      <c r="K240" s="101"/>
      <c r="L240" s="276" t="str">
        <f>IFERROR(INDEX('G-8 Condition Look up'!$A$3:$H$135,MATCH(AV240,'G-8 Condition Look up'!$A$3:$A$135,0),MATCH(K240,'G-8 Condition Look up'!$A$3:$H$3,0)),"")</f>
        <v/>
      </c>
      <c r="M240" s="105"/>
      <c r="N240" s="295" t="str">
        <f>IF(M240="","",IF(VLOOKUP(M240,'G-3 Multipliers'!$L$3:$N$6,2,FALSE)=0,"Spatial Data Missing ⚠",VLOOKUP(M240,'G-3 Multipliers'!$L$3:$N$6,2,FALSE)))</f>
        <v/>
      </c>
      <c r="O240" s="353" t="str">
        <f>IF(M240="","",IF(VLOOKUP(M240,'G-3 Multipliers'!$L$3:$N$6,3,FALSE)=0,"Spatial Data Missing ⚠",VLOOKUP(M240,'G-3 Multipliers'!$L$3:$N$6,3,FALSE)))</f>
        <v/>
      </c>
      <c r="P240" s="336" t="str">
        <f>(IF(G240="Yes","Bespoke compensation likely to be required",(IFERROR(VLOOKUP(AV240,'G-1 All Habitats'!$B$2:$M$135,12,FALSE),""))))</f>
        <v/>
      </c>
      <c r="Q240" s="511" t="str">
        <f>IFERROR(IF(P240="","",IF(AND(E240="Individual trees",W240&gt;0,G240="Yes"),"Error - you cannot enhance irreplaceable individual trees ▲",IF(P240='G-1 All Habitats'!$X$9,T240*S240,IF(AND(P240='G-1 All Habitats'!$X$9,W240&gt;0),X240+(Y240*S240),IF(AND(P240='G-1 All Habitats'!$X$9,V240&gt;0),X240+(Y240*S240),IF(AND(P240='G-1 All Habitats'!$X$9,AG240&gt;0),"Any Loss Unacceptable  ⚠",IF(AND(P240='G-1 All Habitats'!$X$9,Z240&gt;0),"Any Loss Unacceptable ⚠",H240*J240*L240*O240*S240))))))),"Check Data ⚠")</f>
        <v/>
      </c>
      <c r="R240" s="393"/>
      <c r="S240" s="510" t="str">
        <f>IF(R240="","",IF(VLOOKUP(R240,'G-3 Multipliers'!$S$3:$T$10,2,FALSE)=0,"Spatial Data Missing ⚠",VLOOKUP(R240,'G-3 Multipliers'!$S$3:$T$10,2,FALSE)))</f>
        <v/>
      </c>
      <c r="T240" s="289" t="str">
        <f>IFERROR(IF(AND(F240&lt;&gt;"",G240=""),"Confirm irreplaceable habitat status ▲",(IF(AND(R240&lt;&gt;"",AF240=""),"Off-site reference required ▲",(IF(AND(E240="Individual trees",W240&gt;0,G240="Yes"),"Error - you cannot enhance irreplaceable individual trees ▲",(IF(AND(X240="Irreplaceable habitat - no units generated ⚠",(W240+V240)&lt;H240,OR(AB240="No",AB240="")),"Any Loss Unacceptable ⚠",(IF(X240="Irreplaceable habitat - no units generated ⚠",W240*J240*L240*O240,IF(AND(P240='G-1 All Habitats'!$X$9,AH240&gt;0,V240&lt;=0,W240&lt;=0,OR(AB240="No",AB240="")),"Any Loss Unacceptable ⚠",IF(AND(P240='G-1 All Habitats'!$X$9,AH240&gt;0,V240&lt;=0,W240&lt;=0),0,(IF(AND(P240='G-1 All Habitats'!$X$9,(W240+V240)&lt;H240,OR(AB240="No",AB240="")),"Any Loss Unacceptable ⚠",(IF(P240="","",IF(AND(P240='G-1 All Habitats'!$X$9,W240&gt;0),X240+Y240,IF(AND(P240='G-1 All Habitats'!$X$9,V240&gt;0),X240+Y240,IF(R240="","",H240*J240*L240*O240)))))))))))))))))),"Check Data ▲")</f>
        <v/>
      </c>
      <c r="U240" s="38"/>
      <c r="V240" s="52"/>
      <c r="W240" s="53"/>
      <c r="X240" s="287" t="str">
        <f t="shared" si="29"/>
        <v/>
      </c>
      <c r="Y240" s="287" t="str">
        <f t="shared" si="30"/>
        <v/>
      </c>
      <c r="Z240" s="287" t="str">
        <f t="shared" si="31"/>
        <v/>
      </c>
      <c r="AA240" s="317" t="str">
        <f>IFERROR(IF(AND(E240="Individual trees",G240="Yes",W240&gt;0),"Error - you cannot enhance an irreplaceable tree ▲",(IF(H240="","",IF(H240-V240-W240=0&lt;0,"Error in Areas ▲",IF(V240+W240&gt;H240,"Error in Areas ▲",IF(AND(P240='G-1 All Habitats'!$X$9,AB240="Yes"),"Alternative Compensation ✓",IF(AND(P240='G-1 All Habitats'!$X$3,AB240="Yes"),"Alternative Compensation ✓",IF(AND(AB240="Pending",P240='G-1 All Habitats'!$X$3),"Bespoke compensation must be agreed ▲",IF(AND(AB240="Pending",P240='G-1 All Habitats'!$X$9),"Bespoke compensation must be agreed  ▲",IF(Z240=0,0,IF(P240='G-1 All Habitats'!$X$9,"Any Loss Unacceptable ▲",T240-X240-Y240))))))))))),"Check Data ⚠")</f>
        <v/>
      </c>
      <c r="AB240" s="587"/>
      <c r="AC240" s="105"/>
      <c r="AD240" s="138"/>
      <c r="AE240" s="104"/>
      <c r="AF240" s="611"/>
      <c r="AG240" s="523" t="str">
        <f>IF(OR(P240="",AB240="Yes"),"",IF(P240='G-1 All Habitats'!$X$9,H240-V240-W240,"None"))</f>
        <v/>
      </c>
      <c r="AH240" s="523" t="str">
        <f>IF(P240="","",IF(P240='G-1 All Habitats'!$X$9,AG240*J240*L240*O240,"None"))</f>
        <v/>
      </c>
      <c r="AJ240" s="107" t="str">
        <f t="shared" si="32"/>
        <v/>
      </c>
      <c r="AK240" s="107" t="str">
        <f t="shared" si="27"/>
        <v/>
      </c>
      <c r="AL240" s="107" t="str">
        <f>IF(I240="","",IF(#REF!&gt;0,TRUE,FALSE))</f>
        <v/>
      </c>
      <c r="AM240" s="107">
        <v>230</v>
      </c>
      <c r="AN240" s="107"/>
      <c r="AO240" s="107" t="str">
        <f t="array" ref="AO240">IFERROR(INDEX($AM$11:$AM$259,MATCH(0,IF(TRUE=$AJ$11:$AJ$259,COUNTIF($AO$10:$AO239,$AM$11:$AM$259),""),0)),"")</f>
        <v/>
      </c>
      <c r="AP240" s="107" t="str">
        <f t="array" ref="AP240">IFERROR(INDEX($AM$11:$AM$259,MATCH(0,IF(TRUE=$AK$11:$AK$259,COUNTIF($AP$10:$AP239,$AM$11:$AM$259),""),0)),"")</f>
        <v/>
      </c>
      <c r="AQ240" s="107" t="str">
        <f t="array" ref="AQ240">IFERROR(INDEX($AM$11:$AM$259,MATCH(0,IF(TRUE=$AL$11:$AL$259,COUNTIF($AQ$10:$AQ239,$AM$11:$AM$259),""),0)),"")</f>
        <v/>
      </c>
      <c r="AS240" s="885" t="str">
        <f>IF(AND(OR(AB240="Yes",AB240="Pending"),P240='G-1 All Habitats'!$X$3),T240-X240-Y240,"0")</f>
        <v>0</v>
      </c>
      <c r="AT240" s="30" t="str">
        <f t="shared" si="28"/>
        <v/>
      </c>
      <c r="AU240" s="30">
        <f t="shared" si="33"/>
        <v>0</v>
      </c>
      <c r="AV240" s="230" t="str">
        <f>IFERROR(INDEX('G-1 All Habitats'!$B$3:$B$135,MATCH(F240,'G-1 All Habitats'!$A$3:$A$135,0)),"")</f>
        <v/>
      </c>
      <c r="AW240" s="30" t="str">
        <f>IF(AV240="","",VLOOKUP(AV240,'G-1 All Habitats'!$B$1:$T$135,19,FALSE))</f>
        <v/>
      </c>
      <c r="AY240" s="287" t="str">
        <f t="shared" si="34"/>
        <v/>
      </c>
    </row>
    <row r="241" spans="1:51" ht="14">
      <c r="A241" s="30" t="str">
        <f>IFERROR(INDEX('G-1 All Habitats'!$AG$3:$AG$17,MATCH(E241,'G-1 All Habitats'!$AF$3:$AF$17,0)),"")</f>
        <v/>
      </c>
      <c r="B241" s="30" t="str">
        <f>IFERROR(INDEX('G-8 Condition Look up'!$I$4:$I$135,MATCH(AV241,'G-8 Condition Look up'!$A$4:$A$135,0)),"")</f>
        <v/>
      </c>
      <c r="D241" s="97">
        <v>231</v>
      </c>
      <c r="E241" s="262"/>
      <c r="F241" s="263"/>
      <c r="G241" s="133"/>
      <c r="H241" s="115"/>
      <c r="I241" s="509" t="str">
        <f>IF(AV241="","",IF(AND(AW241="Yes",G241="No"),"Irreplaceable habitat ▲",IF(AND(AW241="No",G241="Yes"),"Cannot be Irreplaceable ▲",VLOOKUP(AV241,'G-1 All Habitats'!$B$2:$M$135,10,FALSE))))</f>
        <v/>
      </c>
      <c r="J241" s="377" t="str">
        <f>IFERROR(VLOOKUP(I241,'G-1 All Habitats'!$V$3:$W$7,2,FALSE),"")</f>
        <v/>
      </c>
      <c r="K241" s="101"/>
      <c r="L241" s="276" t="str">
        <f>IFERROR(INDEX('G-8 Condition Look up'!$A$3:$H$135,MATCH(AV241,'G-8 Condition Look up'!$A$3:$A$135,0),MATCH(K241,'G-8 Condition Look up'!$A$3:$H$3,0)),"")</f>
        <v/>
      </c>
      <c r="M241" s="105"/>
      <c r="N241" s="295" t="str">
        <f>IF(M241="","",IF(VLOOKUP(M241,'G-3 Multipliers'!$L$3:$N$6,2,FALSE)=0,"Spatial Data Missing ⚠",VLOOKUP(M241,'G-3 Multipliers'!$L$3:$N$6,2,FALSE)))</f>
        <v/>
      </c>
      <c r="O241" s="353" t="str">
        <f>IF(M241="","",IF(VLOOKUP(M241,'G-3 Multipliers'!$L$3:$N$6,3,FALSE)=0,"Spatial Data Missing ⚠",VLOOKUP(M241,'G-3 Multipliers'!$L$3:$N$6,3,FALSE)))</f>
        <v/>
      </c>
      <c r="P241" s="336" t="str">
        <f>(IF(G241="Yes","Bespoke compensation likely to be required",(IFERROR(VLOOKUP(AV241,'G-1 All Habitats'!$B$2:$M$135,12,FALSE),""))))</f>
        <v/>
      </c>
      <c r="Q241" s="511" t="str">
        <f>IFERROR(IF(P241="","",IF(AND(E241="Individual trees",W241&gt;0,G241="Yes"),"Error - you cannot enhance irreplaceable individual trees ▲",IF(P241='G-1 All Habitats'!$X$9,T241*S241,IF(AND(P241='G-1 All Habitats'!$X$9,W241&gt;0),X241+(Y241*S241),IF(AND(P241='G-1 All Habitats'!$X$9,V241&gt;0),X241+(Y241*S241),IF(AND(P241='G-1 All Habitats'!$X$9,AG241&gt;0),"Any Loss Unacceptable  ⚠",IF(AND(P241='G-1 All Habitats'!$X$9,Z241&gt;0),"Any Loss Unacceptable ⚠",H241*J241*L241*O241*S241))))))),"Check Data ⚠")</f>
        <v/>
      </c>
      <c r="R241" s="393"/>
      <c r="S241" s="510" t="str">
        <f>IF(R241="","",IF(VLOOKUP(R241,'G-3 Multipliers'!$S$3:$T$10,2,FALSE)=0,"Spatial Data Missing ⚠",VLOOKUP(R241,'G-3 Multipliers'!$S$3:$T$10,2,FALSE)))</f>
        <v/>
      </c>
      <c r="T241" s="289" t="str">
        <f>IFERROR(IF(AND(F241&lt;&gt;"",G241=""),"Confirm irreplaceable habitat status ▲",(IF(AND(R241&lt;&gt;"",AF241=""),"Off-site reference required ▲",(IF(AND(E241="Individual trees",W241&gt;0,G241="Yes"),"Error - you cannot enhance irreplaceable individual trees ▲",(IF(AND(X241="Irreplaceable habitat - no units generated ⚠",(W241+V241)&lt;H241,OR(AB241="No",AB241="")),"Any Loss Unacceptable ⚠",(IF(X241="Irreplaceable habitat - no units generated ⚠",W241*J241*L241*O241,IF(AND(P241='G-1 All Habitats'!$X$9,AH241&gt;0,V241&lt;=0,W241&lt;=0,OR(AB241="No",AB241="")),"Any Loss Unacceptable ⚠",IF(AND(P241='G-1 All Habitats'!$X$9,AH241&gt;0,V241&lt;=0,W241&lt;=0),0,(IF(AND(P241='G-1 All Habitats'!$X$9,(W241+V241)&lt;H241,OR(AB241="No",AB241="")),"Any Loss Unacceptable ⚠",(IF(P241="","",IF(AND(P241='G-1 All Habitats'!$X$9,W241&gt;0),X241+Y241,IF(AND(P241='G-1 All Habitats'!$X$9,V241&gt;0),X241+Y241,IF(R241="","",H241*J241*L241*O241)))))))))))))))))),"Check Data ▲")</f>
        <v/>
      </c>
      <c r="U241" s="38"/>
      <c r="V241" s="52"/>
      <c r="W241" s="53"/>
      <c r="X241" s="287" t="str">
        <f t="shared" si="29"/>
        <v/>
      </c>
      <c r="Y241" s="287" t="str">
        <f t="shared" si="30"/>
        <v/>
      </c>
      <c r="Z241" s="287" t="str">
        <f t="shared" si="31"/>
        <v/>
      </c>
      <c r="AA241" s="317" t="str">
        <f>IFERROR(IF(AND(E241="Individual trees",G241="Yes",W241&gt;0),"Error - you cannot enhance an irreplaceable tree ▲",(IF(H241="","",IF(H241-V241-W241=0&lt;0,"Error in Areas ▲",IF(V241+W241&gt;H241,"Error in Areas ▲",IF(AND(P241='G-1 All Habitats'!$X$9,AB241="Yes"),"Alternative Compensation ✓",IF(AND(P241='G-1 All Habitats'!$X$3,AB241="Yes"),"Alternative Compensation ✓",IF(AND(AB241="Pending",P241='G-1 All Habitats'!$X$3),"Bespoke compensation must be agreed ▲",IF(AND(AB241="Pending",P241='G-1 All Habitats'!$X$9),"Bespoke compensation must be agreed  ▲",IF(Z241=0,0,IF(P241='G-1 All Habitats'!$X$9,"Any Loss Unacceptable ▲",T241-X241-Y241))))))))))),"Check Data ⚠")</f>
        <v/>
      </c>
      <c r="AB241" s="587"/>
      <c r="AC241" s="105"/>
      <c r="AD241" s="138"/>
      <c r="AE241" s="104"/>
      <c r="AF241" s="611"/>
      <c r="AG241" s="523" t="str">
        <f>IF(OR(P241="",AB241="Yes"),"",IF(P241='G-1 All Habitats'!$X$9,H241-V241-W241,"None"))</f>
        <v/>
      </c>
      <c r="AH241" s="523" t="str">
        <f>IF(P241="","",IF(P241='G-1 All Habitats'!$X$9,AG241*J241*L241*O241,"None"))</f>
        <v/>
      </c>
      <c r="AJ241" s="107" t="str">
        <f t="shared" si="32"/>
        <v/>
      </c>
      <c r="AK241" s="107" t="str">
        <f t="shared" si="27"/>
        <v/>
      </c>
      <c r="AL241" s="107" t="str">
        <f>IF(I241="","",IF(#REF!&gt;0,TRUE,FALSE))</f>
        <v/>
      </c>
      <c r="AM241" s="107">
        <v>231</v>
      </c>
      <c r="AN241" s="107"/>
      <c r="AO241" s="107" t="str">
        <f t="array" ref="AO241">IFERROR(INDEX($AM$11:$AM$259,MATCH(0,IF(TRUE=$AJ$11:$AJ$259,COUNTIF($AO$10:$AO240,$AM$11:$AM$259),""),0)),"")</f>
        <v/>
      </c>
      <c r="AP241" s="107" t="str">
        <f t="array" ref="AP241">IFERROR(INDEX($AM$11:$AM$259,MATCH(0,IF(TRUE=$AK$11:$AK$259,COUNTIF($AP$10:$AP240,$AM$11:$AM$259),""),0)),"")</f>
        <v/>
      </c>
      <c r="AQ241" s="107" t="str">
        <f t="array" ref="AQ241">IFERROR(INDEX($AM$11:$AM$259,MATCH(0,IF(TRUE=$AL$11:$AL$259,COUNTIF($AQ$10:$AQ240,$AM$11:$AM$259),""),0)),"")</f>
        <v/>
      </c>
      <c r="AS241" s="885" t="str">
        <f>IF(AND(OR(AB241="Yes",AB241="Pending"),P241='G-1 All Habitats'!$X$3),T241-X241-Y241,"0")</f>
        <v>0</v>
      </c>
      <c r="AT241" s="30" t="str">
        <f t="shared" si="28"/>
        <v/>
      </c>
      <c r="AU241" s="30">
        <f t="shared" si="33"/>
        <v>0</v>
      </c>
      <c r="AV241" s="230" t="str">
        <f>IFERROR(INDEX('G-1 All Habitats'!$B$3:$B$135,MATCH(F241,'G-1 All Habitats'!$A$3:$A$135,0)),"")</f>
        <v/>
      </c>
      <c r="AW241" s="30" t="str">
        <f>IF(AV241="","",VLOOKUP(AV241,'G-1 All Habitats'!$B$1:$T$135,19,FALSE))</f>
        <v/>
      </c>
      <c r="AY241" s="287" t="str">
        <f t="shared" si="34"/>
        <v/>
      </c>
    </row>
    <row r="242" spans="1:51" ht="14">
      <c r="A242" s="30" t="str">
        <f>IFERROR(INDEX('G-1 All Habitats'!$AG$3:$AG$17,MATCH(E242,'G-1 All Habitats'!$AF$3:$AF$17,0)),"")</f>
        <v/>
      </c>
      <c r="B242" s="30" t="str">
        <f>IFERROR(INDEX('G-8 Condition Look up'!$I$4:$I$135,MATCH(AV242,'G-8 Condition Look up'!$A$4:$A$135,0)),"")</f>
        <v/>
      </c>
      <c r="D242" s="97">
        <v>232</v>
      </c>
      <c r="E242" s="262"/>
      <c r="F242" s="263"/>
      <c r="G242" s="133"/>
      <c r="H242" s="115"/>
      <c r="I242" s="509" t="str">
        <f>IF(AV242="","",IF(AND(AW242="Yes",G242="No"),"Irreplaceable habitat ▲",IF(AND(AW242="No",G242="Yes"),"Cannot be Irreplaceable ▲",VLOOKUP(AV242,'G-1 All Habitats'!$B$2:$M$135,10,FALSE))))</f>
        <v/>
      </c>
      <c r="J242" s="377" t="str">
        <f>IFERROR(VLOOKUP(I242,'G-1 All Habitats'!$V$3:$W$7,2,FALSE),"")</f>
        <v/>
      </c>
      <c r="K242" s="101"/>
      <c r="L242" s="276" t="str">
        <f>IFERROR(INDEX('G-8 Condition Look up'!$A$3:$H$135,MATCH(AV242,'G-8 Condition Look up'!$A$3:$A$135,0),MATCH(K242,'G-8 Condition Look up'!$A$3:$H$3,0)),"")</f>
        <v/>
      </c>
      <c r="M242" s="105"/>
      <c r="N242" s="295" t="str">
        <f>IF(M242="","",IF(VLOOKUP(M242,'G-3 Multipliers'!$L$3:$N$6,2,FALSE)=0,"Spatial Data Missing ⚠",VLOOKUP(M242,'G-3 Multipliers'!$L$3:$N$6,2,FALSE)))</f>
        <v/>
      </c>
      <c r="O242" s="353" t="str">
        <f>IF(M242="","",IF(VLOOKUP(M242,'G-3 Multipliers'!$L$3:$N$6,3,FALSE)=0,"Spatial Data Missing ⚠",VLOOKUP(M242,'G-3 Multipliers'!$L$3:$N$6,3,FALSE)))</f>
        <v/>
      </c>
      <c r="P242" s="336" t="str">
        <f>(IF(G242="Yes","Bespoke compensation likely to be required",(IFERROR(VLOOKUP(AV242,'G-1 All Habitats'!$B$2:$M$135,12,FALSE),""))))</f>
        <v/>
      </c>
      <c r="Q242" s="511" t="str">
        <f>IFERROR(IF(P242="","",IF(AND(E242="Individual trees",W242&gt;0,G242="Yes"),"Error - you cannot enhance irreplaceable individual trees ▲",IF(P242='G-1 All Habitats'!$X$9,T242*S242,IF(AND(P242='G-1 All Habitats'!$X$9,W242&gt;0),X242+(Y242*S242),IF(AND(P242='G-1 All Habitats'!$X$9,V242&gt;0),X242+(Y242*S242),IF(AND(P242='G-1 All Habitats'!$X$9,AG242&gt;0),"Any Loss Unacceptable  ⚠",IF(AND(P242='G-1 All Habitats'!$X$9,Z242&gt;0),"Any Loss Unacceptable ⚠",H242*J242*L242*O242*S242))))))),"Check Data ⚠")</f>
        <v/>
      </c>
      <c r="R242" s="393"/>
      <c r="S242" s="510" t="str">
        <f>IF(R242="","",IF(VLOOKUP(R242,'G-3 Multipliers'!$S$3:$T$10,2,FALSE)=0,"Spatial Data Missing ⚠",VLOOKUP(R242,'G-3 Multipliers'!$S$3:$T$10,2,FALSE)))</f>
        <v/>
      </c>
      <c r="T242" s="289" t="str">
        <f>IFERROR(IF(AND(F242&lt;&gt;"",G242=""),"Confirm irreplaceable habitat status ▲",(IF(AND(R242&lt;&gt;"",AF242=""),"Off-site reference required ▲",(IF(AND(E242="Individual trees",W242&gt;0,G242="Yes"),"Error - you cannot enhance irreplaceable individual trees ▲",(IF(AND(X242="Irreplaceable habitat - no units generated ⚠",(W242+V242)&lt;H242,OR(AB242="No",AB242="")),"Any Loss Unacceptable ⚠",(IF(X242="Irreplaceable habitat - no units generated ⚠",W242*J242*L242*O242,IF(AND(P242='G-1 All Habitats'!$X$9,AH242&gt;0,V242&lt;=0,W242&lt;=0,OR(AB242="No",AB242="")),"Any Loss Unacceptable ⚠",IF(AND(P242='G-1 All Habitats'!$X$9,AH242&gt;0,V242&lt;=0,W242&lt;=0),0,(IF(AND(P242='G-1 All Habitats'!$X$9,(W242+V242)&lt;H242,OR(AB242="No",AB242="")),"Any Loss Unacceptable ⚠",(IF(P242="","",IF(AND(P242='G-1 All Habitats'!$X$9,W242&gt;0),X242+Y242,IF(AND(P242='G-1 All Habitats'!$X$9,V242&gt;0),X242+Y242,IF(R242="","",H242*J242*L242*O242)))))))))))))))))),"Check Data ▲")</f>
        <v/>
      </c>
      <c r="U242" s="38"/>
      <c r="V242" s="52"/>
      <c r="W242" s="53"/>
      <c r="X242" s="287" t="str">
        <f t="shared" si="29"/>
        <v/>
      </c>
      <c r="Y242" s="287" t="str">
        <f t="shared" si="30"/>
        <v/>
      </c>
      <c r="Z242" s="287" t="str">
        <f t="shared" si="31"/>
        <v/>
      </c>
      <c r="AA242" s="317" t="str">
        <f>IFERROR(IF(AND(E242="Individual trees",G242="Yes",W242&gt;0),"Error - you cannot enhance an irreplaceable tree ▲",(IF(H242="","",IF(H242-V242-W242=0&lt;0,"Error in Areas ▲",IF(V242+W242&gt;H242,"Error in Areas ▲",IF(AND(P242='G-1 All Habitats'!$X$9,AB242="Yes"),"Alternative Compensation ✓",IF(AND(P242='G-1 All Habitats'!$X$3,AB242="Yes"),"Alternative Compensation ✓",IF(AND(AB242="Pending",P242='G-1 All Habitats'!$X$3),"Bespoke compensation must be agreed ▲",IF(AND(AB242="Pending",P242='G-1 All Habitats'!$X$9),"Bespoke compensation must be agreed  ▲",IF(Z242=0,0,IF(P242='G-1 All Habitats'!$X$9,"Any Loss Unacceptable ▲",T242-X242-Y242))))))))))),"Check Data ⚠")</f>
        <v/>
      </c>
      <c r="AB242" s="587"/>
      <c r="AC242" s="105"/>
      <c r="AD242" s="138"/>
      <c r="AE242" s="104"/>
      <c r="AF242" s="611"/>
      <c r="AG242" s="523" t="str">
        <f>IF(OR(P242="",AB242="Yes"),"",IF(P242='G-1 All Habitats'!$X$9,H242-V242-W242,"None"))</f>
        <v/>
      </c>
      <c r="AH242" s="523" t="str">
        <f>IF(P242="","",IF(P242='G-1 All Habitats'!$X$9,AG242*J242*L242*O242,"None"))</f>
        <v/>
      </c>
      <c r="AJ242" s="107" t="str">
        <f t="shared" si="32"/>
        <v/>
      </c>
      <c r="AK242" s="107" t="str">
        <f t="shared" si="27"/>
        <v/>
      </c>
      <c r="AL242" s="107" t="str">
        <f>IF(I242="","",IF(#REF!&gt;0,TRUE,FALSE))</f>
        <v/>
      </c>
      <c r="AM242" s="107">
        <v>232</v>
      </c>
      <c r="AN242" s="107"/>
      <c r="AO242" s="107" t="str">
        <f t="array" ref="AO242">IFERROR(INDEX($AM$11:$AM$259,MATCH(0,IF(TRUE=$AJ$11:$AJ$259,COUNTIF($AO$10:$AO241,$AM$11:$AM$259),""),0)),"")</f>
        <v/>
      </c>
      <c r="AP242" s="107" t="str">
        <f t="array" ref="AP242">IFERROR(INDEX($AM$11:$AM$259,MATCH(0,IF(TRUE=$AK$11:$AK$259,COUNTIF($AP$10:$AP241,$AM$11:$AM$259),""),0)),"")</f>
        <v/>
      </c>
      <c r="AQ242" s="107" t="str">
        <f t="array" ref="AQ242">IFERROR(INDEX($AM$11:$AM$259,MATCH(0,IF(TRUE=$AL$11:$AL$259,COUNTIF($AQ$10:$AQ241,$AM$11:$AM$259),""),0)),"")</f>
        <v/>
      </c>
      <c r="AS242" s="885" t="str">
        <f>IF(AND(OR(AB242="Yes",AB242="Pending"),P242='G-1 All Habitats'!$X$3),T242-X242-Y242,"0")</f>
        <v>0</v>
      </c>
      <c r="AT242" s="30" t="str">
        <f t="shared" si="28"/>
        <v/>
      </c>
      <c r="AU242" s="30">
        <f t="shared" si="33"/>
        <v>0</v>
      </c>
      <c r="AV242" s="230" t="str">
        <f>IFERROR(INDEX('G-1 All Habitats'!$B$3:$B$135,MATCH(F242,'G-1 All Habitats'!$A$3:$A$135,0)),"")</f>
        <v/>
      </c>
      <c r="AW242" s="30" t="str">
        <f>IF(AV242="","",VLOOKUP(AV242,'G-1 All Habitats'!$B$1:$T$135,19,FALSE))</f>
        <v/>
      </c>
      <c r="AY242" s="287" t="str">
        <f t="shared" si="34"/>
        <v/>
      </c>
    </row>
    <row r="243" spans="1:51" ht="14">
      <c r="A243" s="30" t="str">
        <f>IFERROR(INDEX('G-1 All Habitats'!$AG$3:$AG$17,MATCH(E243,'G-1 All Habitats'!$AF$3:$AF$17,0)),"")</f>
        <v/>
      </c>
      <c r="B243" s="30" t="str">
        <f>IFERROR(INDEX('G-8 Condition Look up'!$I$4:$I$135,MATCH(AV243,'G-8 Condition Look up'!$A$4:$A$135,0)),"")</f>
        <v/>
      </c>
      <c r="D243" s="97">
        <v>233</v>
      </c>
      <c r="E243" s="262"/>
      <c r="F243" s="263"/>
      <c r="G243" s="133"/>
      <c r="H243" s="115"/>
      <c r="I243" s="509" t="str">
        <f>IF(AV243="","",IF(AND(AW243="Yes",G243="No"),"Irreplaceable habitat ▲",IF(AND(AW243="No",G243="Yes"),"Cannot be Irreplaceable ▲",VLOOKUP(AV243,'G-1 All Habitats'!$B$2:$M$135,10,FALSE))))</f>
        <v/>
      </c>
      <c r="J243" s="377" t="str">
        <f>IFERROR(VLOOKUP(I243,'G-1 All Habitats'!$V$3:$W$7,2,FALSE),"")</f>
        <v/>
      </c>
      <c r="K243" s="101"/>
      <c r="L243" s="276" t="str">
        <f>IFERROR(INDEX('G-8 Condition Look up'!$A$3:$H$135,MATCH(AV243,'G-8 Condition Look up'!$A$3:$A$135,0),MATCH(K243,'G-8 Condition Look up'!$A$3:$H$3,0)),"")</f>
        <v/>
      </c>
      <c r="M243" s="105"/>
      <c r="N243" s="295" t="str">
        <f>IF(M243="","",IF(VLOOKUP(M243,'G-3 Multipliers'!$L$3:$N$6,2,FALSE)=0,"Spatial Data Missing ⚠",VLOOKUP(M243,'G-3 Multipliers'!$L$3:$N$6,2,FALSE)))</f>
        <v/>
      </c>
      <c r="O243" s="353" t="str">
        <f>IF(M243="","",IF(VLOOKUP(M243,'G-3 Multipliers'!$L$3:$N$6,3,FALSE)=0,"Spatial Data Missing ⚠",VLOOKUP(M243,'G-3 Multipliers'!$L$3:$N$6,3,FALSE)))</f>
        <v/>
      </c>
      <c r="P243" s="336" t="str">
        <f>(IF(G243="Yes","Bespoke compensation likely to be required",(IFERROR(VLOOKUP(AV243,'G-1 All Habitats'!$B$2:$M$135,12,FALSE),""))))</f>
        <v/>
      </c>
      <c r="Q243" s="511" t="str">
        <f>IFERROR(IF(P243="","",IF(AND(E243="Individual trees",W243&gt;0,G243="Yes"),"Error - you cannot enhance irreplaceable individual trees ▲",IF(P243='G-1 All Habitats'!$X$9,T243*S243,IF(AND(P243='G-1 All Habitats'!$X$9,W243&gt;0),X243+(Y243*S243),IF(AND(P243='G-1 All Habitats'!$X$9,V243&gt;0),X243+(Y243*S243),IF(AND(P243='G-1 All Habitats'!$X$9,AG243&gt;0),"Any Loss Unacceptable  ⚠",IF(AND(P243='G-1 All Habitats'!$X$9,Z243&gt;0),"Any Loss Unacceptable ⚠",H243*J243*L243*O243*S243))))))),"Check Data ⚠")</f>
        <v/>
      </c>
      <c r="R243" s="393"/>
      <c r="S243" s="510" t="str">
        <f>IF(R243="","",IF(VLOOKUP(R243,'G-3 Multipliers'!$S$3:$T$10,2,FALSE)=0,"Spatial Data Missing ⚠",VLOOKUP(R243,'G-3 Multipliers'!$S$3:$T$10,2,FALSE)))</f>
        <v/>
      </c>
      <c r="T243" s="289" t="str">
        <f>IFERROR(IF(AND(F243&lt;&gt;"",G243=""),"Confirm irreplaceable habitat status ▲",(IF(AND(R243&lt;&gt;"",AF243=""),"Off-site reference required ▲",(IF(AND(E243="Individual trees",W243&gt;0,G243="Yes"),"Error - you cannot enhance irreplaceable individual trees ▲",(IF(AND(X243="Irreplaceable habitat - no units generated ⚠",(W243+V243)&lt;H243,OR(AB243="No",AB243="")),"Any Loss Unacceptable ⚠",(IF(X243="Irreplaceable habitat - no units generated ⚠",W243*J243*L243*O243,IF(AND(P243='G-1 All Habitats'!$X$9,AH243&gt;0,V243&lt;=0,W243&lt;=0,OR(AB243="No",AB243="")),"Any Loss Unacceptable ⚠",IF(AND(P243='G-1 All Habitats'!$X$9,AH243&gt;0,V243&lt;=0,W243&lt;=0),0,(IF(AND(P243='G-1 All Habitats'!$X$9,(W243+V243)&lt;H243,OR(AB243="No",AB243="")),"Any Loss Unacceptable ⚠",(IF(P243="","",IF(AND(P243='G-1 All Habitats'!$X$9,W243&gt;0),X243+Y243,IF(AND(P243='G-1 All Habitats'!$X$9,V243&gt;0),X243+Y243,IF(R243="","",H243*J243*L243*O243)))))))))))))))))),"Check Data ▲")</f>
        <v/>
      </c>
      <c r="U243" s="38"/>
      <c r="V243" s="52"/>
      <c r="W243" s="53"/>
      <c r="X243" s="287" t="str">
        <f t="shared" si="29"/>
        <v/>
      </c>
      <c r="Y243" s="287" t="str">
        <f t="shared" si="30"/>
        <v/>
      </c>
      <c r="Z243" s="287" t="str">
        <f t="shared" si="31"/>
        <v/>
      </c>
      <c r="AA243" s="317" t="str">
        <f>IFERROR(IF(AND(E243="Individual trees",G243="Yes",W243&gt;0),"Error - you cannot enhance an irreplaceable tree ▲",(IF(H243="","",IF(H243-V243-W243=0&lt;0,"Error in Areas ▲",IF(V243+W243&gt;H243,"Error in Areas ▲",IF(AND(P243='G-1 All Habitats'!$X$9,AB243="Yes"),"Alternative Compensation ✓",IF(AND(P243='G-1 All Habitats'!$X$3,AB243="Yes"),"Alternative Compensation ✓",IF(AND(AB243="Pending",P243='G-1 All Habitats'!$X$3),"Bespoke compensation must be agreed ▲",IF(AND(AB243="Pending",P243='G-1 All Habitats'!$X$9),"Bespoke compensation must be agreed  ▲",IF(Z243=0,0,IF(P243='G-1 All Habitats'!$X$9,"Any Loss Unacceptable ▲",T243-X243-Y243))))))))))),"Check Data ⚠")</f>
        <v/>
      </c>
      <c r="AB243" s="587"/>
      <c r="AC243" s="105"/>
      <c r="AD243" s="138"/>
      <c r="AE243" s="104"/>
      <c r="AF243" s="611"/>
      <c r="AG243" s="523" t="str">
        <f>IF(OR(P243="",AB243="Yes"),"",IF(P243='G-1 All Habitats'!$X$9,H243-V243-W243,"None"))</f>
        <v/>
      </c>
      <c r="AH243" s="523" t="str">
        <f>IF(P243="","",IF(P243='G-1 All Habitats'!$X$9,AG243*J243*L243*O243,"None"))</f>
        <v/>
      </c>
      <c r="AJ243" s="107" t="str">
        <f t="shared" si="32"/>
        <v/>
      </c>
      <c r="AK243" s="107" t="str">
        <f t="shared" si="27"/>
        <v/>
      </c>
      <c r="AL243" s="107" t="str">
        <f>IF(I243="","",IF(#REF!&gt;0,TRUE,FALSE))</f>
        <v/>
      </c>
      <c r="AM243" s="107">
        <v>233</v>
      </c>
      <c r="AN243" s="107"/>
      <c r="AO243" s="107" t="str">
        <f t="array" ref="AO243">IFERROR(INDEX($AM$11:$AM$259,MATCH(0,IF(TRUE=$AJ$11:$AJ$259,COUNTIF($AO$10:$AO242,$AM$11:$AM$259),""),0)),"")</f>
        <v/>
      </c>
      <c r="AP243" s="107" t="str">
        <f t="array" ref="AP243">IFERROR(INDEX($AM$11:$AM$259,MATCH(0,IF(TRUE=$AK$11:$AK$259,COUNTIF($AP$10:$AP242,$AM$11:$AM$259),""),0)),"")</f>
        <v/>
      </c>
      <c r="AQ243" s="107" t="str">
        <f t="array" ref="AQ243">IFERROR(INDEX($AM$11:$AM$259,MATCH(0,IF(TRUE=$AL$11:$AL$259,COUNTIF($AQ$10:$AQ242,$AM$11:$AM$259),""),0)),"")</f>
        <v/>
      </c>
      <c r="AS243" s="885" t="str">
        <f>IF(AND(OR(AB243="Yes",AB243="Pending"),P243='G-1 All Habitats'!$X$3),T243-X243-Y243,"0")</f>
        <v>0</v>
      </c>
      <c r="AT243" s="30" t="str">
        <f t="shared" si="28"/>
        <v/>
      </c>
      <c r="AU243" s="30">
        <f t="shared" si="33"/>
        <v>0</v>
      </c>
      <c r="AV243" s="230" t="str">
        <f>IFERROR(INDEX('G-1 All Habitats'!$B$3:$B$135,MATCH(F243,'G-1 All Habitats'!$A$3:$A$135,0)),"")</f>
        <v/>
      </c>
      <c r="AW243" s="30" t="str">
        <f>IF(AV243="","",VLOOKUP(AV243,'G-1 All Habitats'!$B$1:$T$135,19,FALSE))</f>
        <v/>
      </c>
      <c r="AY243" s="287" t="str">
        <f t="shared" si="34"/>
        <v/>
      </c>
    </row>
    <row r="244" spans="1:51" ht="14">
      <c r="A244" s="30" t="str">
        <f>IFERROR(INDEX('G-1 All Habitats'!$AG$3:$AG$17,MATCH(E244,'G-1 All Habitats'!$AF$3:$AF$17,0)),"")</f>
        <v/>
      </c>
      <c r="B244" s="30" t="str">
        <f>IFERROR(INDEX('G-8 Condition Look up'!$I$4:$I$135,MATCH(AV244,'G-8 Condition Look up'!$A$4:$A$135,0)),"")</f>
        <v/>
      </c>
      <c r="D244" s="97">
        <v>234</v>
      </c>
      <c r="E244" s="262"/>
      <c r="F244" s="263"/>
      <c r="G244" s="133"/>
      <c r="H244" s="115"/>
      <c r="I244" s="509" t="str">
        <f>IF(AV244="","",IF(AND(AW244="Yes",G244="No"),"Irreplaceable habitat ▲",IF(AND(AW244="No",G244="Yes"),"Cannot be Irreplaceable ▲",VLOOKUP(AV244,'G-1 All Habitats'!$B$2:$M$135,10,FALSE))))</f>
        <v/>
      </c>
      <c r="J244" s="377" t="str">
        <f>IFERROR(VLOOKUP(I244,'G-1 All Habitats'!$V$3:$W$7,2,FALSE),"")</f>
        <v/>
      </c>
      <c r="K244" s="101"/>
      <c r="L244" s="276" t="str">
        <f>IFERROR(INDEX('G-8 Condition Look up'!$A$3:$H$135,MATCH(AV244,'G-8 Condition Look up'!$A$3:$A$135,0),MATCH(K244,'G-8 Condition Look up'!$A$3:$H$3,0)),"")</f>
        <v/>
      </c>
      <c r="M244" s="105"/>
      <c r="N244" s="295" t="str">
        <f>IF(M244="","",IF(VLOOKUP(M244,'G-3 Multipliers'!$L$3:$N$6,2,FALSE)=0,"Spatial Data Missing ⚠",VLOOKUP(M244,'G-3 Multipliers'!$L$3:$N$6,2,FALSE)))</f>
        <v/>
      </c>
      <c r="O244" s="353" t="str">
        <f>IF(M244="","",IF(VLOOKUP(M244,'G-3 Multipliers'!$L$3:$N$6,3,FALSE)=0,"Spatial Data Missing ⚠",VLOOKUP(M244,'G-3 Multipliers'!$L$3:$N$6,3,FALSE)))</f>
        <v/>
      </c>
      <c r="P244" s="336" t="str">
        <f>(IF(G244="Yes","Bespoke compensation likely to be required",(IFERROR(VLOOKUP(AV244,'G-1 All Habitats'!$B$2:$M$135,12,FALSE),""))))</f>
        <v/>
      </c>
      <c r="Q244" s="511" t="str">
        <f>IFERROR(IF(P244="","",IF(AND(E244="Individual trees",W244&gt;0,G244="Yes"),"Error - you cannot enhance irreplaceable individual trees ▲",IF(P244='G-1 All Habitats'!$X$9,T244*S244,IF(AND(P244='G-1 All Habitats'!$X$9,W244&gt;0),X244+(Y244*S244),IF(AND(P244='G-1 All Habitats'!$X$9,V244&gt;0),X244+(Y244*S244),IF(AND(P244='G-1 All Habitats'!$X$9,AG244&gt;0),"Any Loss Unacceptable  ⚠",IF(AND(P244='G-1 All Habitats'!$X$9,Z244&gt;0),"Any Loss Unacceptable ⚠",H244*J244*L244*O244*S244))))))),"Check Data ⚠")</f>
        <v/>
      </c>
      <c r="R244" s="393"/>
      <c r="S244" s="510" t="str">
        <f>IF(R244="","",IF(VLOOKUP(R244,'G-3 Multipliers'!$S$3:$T$10,2,FALSE)=0,"Spatial Data Missing ⚠",VLOOKUP(R244,'G-3 Multipliers'!$S$3:$T$10,2,FALSE)))</f>
        <v/>
      </c>
      <c r="T244" s="289" t="str">
        <f>IFERROR(IF(AND(F244&lt;&gt;"",G244=""),"Confirm irreplaceable habitat status ▲",(IF(AND(R244&lt;&gt;"",AF244=""),"Off-site reference required ▲",(IF(AND(E244="Individual trees",W244&gt;0,G244="Yes"),"Error - you cannot enhance irreplaceable individual trees ▲",(IF(AND(X244="Irreplaceable habitat - no units generated ⚠",(W244+V244)&lt;H244,OR(AB244="No",AB244="")),"Any Loss Unacceptable ⚠",(IF(X244="Irreplaceable habitat - no units generated ⚠",W244*J244*L244*O244,IF(AND(P244='G-1 All Habitats'!$X$9,AH244&gt;0,V244&lt;=0,W244&lt;=0,OR(AB244="No",AB244="")),"Any Loss Unacceptable ⚠",IF(AND(P244='G-1 All Habitats'!$X$9,AH244&gt;0,V244&lt;=0,W244&lt;=0),0,(IF(AND(P244='G-1 All Habitats'!$X$9,(W244+V244)&lt;H244,OR(AB244="No",AB244="")),"Any Loss Unacceptable ⚠",(IF(P244="","",IF(AND(P244='G-1 All Habitats'!$X$9,W244&gt;0),X244+Y244,IF(AND(P244='G-1 All Habitats'!$X$9,V244&gt;0),X244+Y244,IF(R244="","",H244*J244*L244*O244)))))))))))))))))),"Check Data ▲")</f>
        <v/>
      </c>
      <c r="U244" s="38"/>
      <c r="V244" s="52"/>
      <c r="W244" s="53"/>
      <c r="X244" s="287" t="str">
        <f t="shared" si="29"/>
        <v/>
      </c>
      <c r="Y244" s="287" t="str">
        <f t="shared" si="30"/>
        <v/>
      </c>
      <c r="Z244" s="287" t="str">
        <f t="shared" si="31"/>
        <v/>
      </c>
      <c r="AA244" s="317" t="str">
        <f>IFERROR(IF(AND(E244="Individual trees",G244="Yes",W244&gt;0),"Error - you cannot enhance an irreplaceable tree ▲",(IF(H244="","",IF(H244-V244-W244=0&lt;0,"Error in Areas ▲",IF(V244+W244&gt;H244,"Error in Areas ▲",IF(AND(P244='G-1 All Habitats'!$X$9,AB244="Yes"),"Alternative Compensation ✓",IF(AND(P244='G-1 All Habitats'!$X$3,AB244="Yes"),"Alternative Compensation ✓",IF(AND(AB244="Pending",P244='G-1 All Habitats'!$X$3),"Bespoke compensation must be agreed ▲",IF(AND(AB244="Pending",P244='G-1 All Habitats'!$X$9),"Bespoke compensation must be agreed  ▲",IF(Z244=0,0,IF(P244='G-1 All Habitats'!$X$9,"Any Loss Unacceptable ▲",T244-X244-Y244))))))))))),"Check Data ⚠")</f>
        <v/>
      </c>
      <c r="AB244" s="587"/>
      <c r="AC244" s="105"/>
      <c r="AD244" s="138"/>
      <c r="AE244" s="104"/>
      <c r="AF244" s="611"/>
      <c r="AG244" s="523" t="str">
        <f>IF(OR(P244="",AB244="Yes"),"",IF(P244='G-1 All Habitats'!$X$9,H244-V244-W244,"None"))</f>
        <v/>
      </c>
      <c r="AH244" s="523" t="str">
        <f>IF(P244="","",IF(P244='G-1 All Habitats'!$X$9,AG244*J244*L244*O244,"None"))</f>
        <v/>
      </c>
      <c r="AJ244" s="107" t="str">
        <f t="shared" si="32"/>
        <v/>
      </c>
      <c r="AK244" s="107" t="str">
        <f t="shared" si="27"/>
        <v/>
      </c>
      <c r="AL244" s="107" t="str">
        <f>IF(I244="","",IF(#REF!&gt;0,TRUE,FALSE))</f>
        <v/>
      </c>
      <c r="AM244" s="107">
        <v>234</v>
      </c>
      <c r="AN244" s="107"/>
      <c r="AO244" s="107" t="str">
        <f t="array" ref="AO244">IFERROR(INDEX($AM$11:$AM$259,MATCH(0,IF(TRUE=$AJ$11:$AJ$259,COUNTIF($AO$10:$AO243,$AM$11:$AM$259),""),0)),"")</f>
        <v/>
      </c>
      <c r="AP244" s="107" t="str">
        <f t="array" ref="AP244">IFERROR(INDEX($AM$11:$AM$259,MATCH(0,IF(TRUE=$AK$11:$AK$259,COUNTIF($AP$10:$AP243,$AM$11:$AM$259),""),0)),"")</f>
        <v/>
      </c>
      <c r="AQ244" s="107" t="str">
        <f t="array" ref="AQ244">IFERROR(INDEX($AM$11:$AM$259,MATCH(0,IF(TRUE=$AL$11:$AL$259,COUNTIF($AQ$10:$AQ243,$AM$11:$AM$259),""),0)),"")</f>
        <v/>
      </c>
      <c r="AS244" s="885" t="str">
        <f>IF(AND(OR(AB244="Yes",AB244="Pending"),P244='G-1 All Habitats'!$X$3),T244-X244-Y244,"0")</f>
        <v>0</v>
      </c>
      <c r="AT244" s="30" t="str">
        <f t="shared" si="28"/>
        <v/>
      </c>
      <c r="AU244" s="30">
        <f t="shared" si="33"/>
        <v>0</v>
      </c>
      <c r="AV244" s="230" t="str">
        <f>IFERROR(INDEX('G-1 All Habitats'!$B$3:$B$135,MATCH(F244,'G-1 All Habitats'!$A$3:$A$135,0)),"")</f>
        <v/>
      </c>
      <c r="AW244" s="30" t="str">
        <f>IF(AV244="","",VLOOKUP(AV244,'G-1 All Habitats'!$B$1:$T$135,19,FALSE))</f>
        <v/>
      </c>
      <c r="AY244" s="287" t="str">
        <f t="shared" si="34"/>
        <v/>
      </c>
    </row>
    <row r="245" spans="1:51" ht="14">
      <c r="A245" s="30" t="str">
        <f>IFERROR(INDEX('G-1 All Habitats'!$AG$3:$AG$17,MATCH(E245,'G-1 All Habitats'!$AF$3:$AF$17,0)),"")</f>
        <v/>
      </c>
      <c r="B245" s="30" t="str">
        <f>IFERROR(INDEX('G-8 Condition Look up'!$I$4:$I$135,MATCH(AV245,'G-8 Condition Look up'!$A$4:$A$135,0)),"")</f>
        <v/>
      </c>
      <c r="D245" s="97">
        <v>235</v>
      </c>
      <c r="E245" s="262"/>
      <c r="F245" s="263"/>
      <c r="G245" s="133"/>
      <c r="H245" s="115"/>
      <c r="I245" s="509" t="str">
        <f>IF(AV245="","",IF(AND(AW245="Yes",G245="No"),"Irreplaceable habitat ▲",IF(AND(AW245="No",G245="Yes"),"Cannot be Irreplaceable ▲",VLOOKUP(AV245,'G-1 All Habitats'!$B$2:$M$135,10,FALSE))))</f>
        <v/>
      </c>
      <c r="J245" s="377" t="str">
        <f>IFERROR(VLOOKUP(I245,'G-1 All Habitats'!$V$3:$W$7,2,FALSE),"")</f>
        <v/>
      </c>
      <c r="K245" s="101"/>
      <c r="L245" s="276" t="str">
        <f>IFERROR(INDEX('G-8 Condition Look up'!$A$3:$H$135,MATCH(AV245,'G-8 Condition Look up'!$A$3:$A$135,0),MATCH(K245,'G-8 Condition Look up'!$A$3:$H$3,0)),"")</f>
        <v/>
      </c>
      <c r="M245" s="105"/>
      <c r="N245" s="295" t="str">
        <f>IF(M245="","",IF(VLOOKUP(M245,'G-3 Multipliers'!$L$3:$N$6,2,FALSE)=0,"Spatial Data Missing ⚠",VLOOKUP(M245,'G-3 Multipliers'!$L$3:$N$6,2,FALSE)))</f>
        <v/>
      </c>
      <c r="O245" s="353" t="str">
        <f>IF(M245="","",IF(VLOOKUP(M245,'G-3 Multipliers'!$L$3:$N$6,3,FALSE)=0,"Spatial Data Missing ⚠",VLOOKUP(M245,'G-3 Multipliers'!$L$3:$N$6,3,FALSE)))</f>
        <v/>
      </c>
      <c r="P245" s="336" t="str">
        <f>(IF(G245="Yes","Bespoke compensation likely to be required",(IFERROR(VLOOKUP(AV245,'G-1 All Habitats'!$B$2:$M$135,12,FALSE),""))))</f>
        <v/>
      </c>
      <c r="Q245" s="511" t="str">
        <f>IFERROR(IF(P245="","",IF(AND(E245="Individual trees",W245&gt;0,G245="Yes"),"Error - you cannot enhance irreplaceable individual trees ▲",IF(P245='G-1 All Habitats'!$X$9,T245*S245,IF(AND(P245='G-1 All Habitats'!$X$9,W245&gt;0),X245+(Y245*S245),IF(AND(P245='G-1 All Habitats'!$X$9,V245&gt;0),X245+(Y245*S245),IF(AND(P245='G-1 All Habitats'!$X$9,AG245&gt;0),"Any Loss Unacceptable  ⚠",IF(AND(P245='G-1 All Habitats'!$X$9,Z245&gt;0),"Any Loss Unacceptable ⚠",H245*J245*L245*O245*S245))))))),"Check Data ⚠")</f>
        <v/>
      </c>
      <c r="R245" s="393"/>
      <c r="S245" s="510" t="str">
        <f>IF(R245="","",IF(VLOOKUP(R245,'G-3 Multipliers'!$S$3:$T$10,2,FALSE)=0,"Spatial Data Missing ⚠",VLOOKUP(R245,'G-3 Multipliers'!$S$3:$T$10,2,FALSE)))</f>
        <v/>
      </c>
      <c r="T245" s="289" t="str">
        <f>IFERROR(IF(AND(F245&lt;&gt;"",G245=""),"Confirm irreplaceable habitat status ▲",(IF(AND(R245&lt;&gt;"",AF245=""),"Off-site reference required ▲",(IF(AND(E245="Individual trees",W245&gt;0,G245="Yes"),"Error - you cannot enhance irreplaceable individual trees ▲",(IF(AND(X245="Irreplaceable habitat - no units generated ⚠",(W245+V245)&lt;H245,OR(AB245="No",AB245="")),"Any Loss Unacceptable ⚠",(IF(X245="Irreplaceable habitat - no units generated ⚠",W245*J245*L245*O245,IF(AND(P245='G-1 All Habitats'!$X$9,AH245&gt;0,V245&lt;=0,W245&lt;=0,OR(AB245="No",AB245="")),"Any Loss Unacceptable ⚠",IF(AND(P245='G-1 All Habitats'!$X$9,AH245&gt;0,V245&lt;=0,W245&lt;=0),0,(IF(AND(P245='G-1 All Habitats'!$X$9,(W245+V245)&lt;H245,OR(AB245="No",AB245="")),"Any Loss Unacceptable ⚠",(IF(P245="","",IF(AND(P245='G-1 All Habitats'!$X$9,W245&gt;0),X245+Y245,IF(AND(P245='G-1 All Habitats'!$X$9,V245&gt;0),X245+Y245,IF(R245="","",H245*J245*L245*O245)))))))))))))))))),"Check Data ▲")</f>
        <v/>
      </c>
      <c r="U245" s="38"/>
      <c r="V245" s="52"/>
      <c r="W245" s="53"/>
      <c r="X245" s="287" t="str">
        <f t="shared" si="29"/>
        <v/>
      </c>
      <c r="Y245" s="287" t="str">
        <f t="shared" si="30"/>
        <v/>
      </c>
      <c r="Z245" s="287" t="str">
        <f t="shared" si="31"/>
        <v/>
      </c>
      <c r="AA245" s="317" t="str">
        <f>IFERROR(IF(AND(E245="Individual trees",G245="Yes",W245&gt;0),"Error - you cannot enhance an irreplaceable tree ▲",(IF(H245="","",IF(H245-V245-W245=0&lt;0,"Error in Areas ▲",IF(V245+W245&gt;H245,"Error in Areas ▲",IF(AND(P245='G-1 All Habitats'!$X$9,AB245="Yes"),"Alternative Compensation ✓",IF(AND(P245='G-1 All Habitats'!$X$3,AB245="Yes"),"Alternative Compensation ✓",IF(AND(AB245="Pending",P245='G-1 All Habitats'!$X$3),"Bespoke compensation must be agreed ▲",IF(AND(AB245="Pending",P245='G-1 All Habitats'!$X$9),"Bespoke compensation must be agreed  ▲",IF(Z245=0,0,IF(P245='G-1 All Habitats'!$X$9,"Any Loss Unacceptable ▲",T245-X245-Y245))))))))))),"Check Data ⚠")</f>
        <v/>
      </c>
      <c r="AB245" s="587"/>
      <c r="AC245" s="105"/>
      <c r="AD245" s="138"/>
      <c r="AE245" s="104"/>
      <c r="AF245" s="611"/>
      <c r="AG245" s="523" t="str">
        <f>IF(OR(P245="",AB245="Yes"),"",IF(P245='G-1 All Habitats'!$X$9,H245-V245-W245,"None"))</f>
        <v/>
      </c>
      <c r="AH245" s="523" t="str">
        <f>IF(P245="","",IF(P245='G-1 All Habitats'!$X$9,AG245*J245*L245*O245,"None"))</f>
        <v/>
      </c>
      <c r="AJ245" s="107" t="str">
        <f t="shared" si="32"/>
        <v/>
      </c>
      <c r="AK245" s="107" t="str">
        <f t="shared" si="27"/>
        <v/>
      </c>
      <c r="AL245" s="107" t="str">
        <f>IF(I245="","",IF(#REF!&gt;0,TRUE,FALSE))</f>
        <v/>
      </c>
      <c r="AM245" s="107">
        <v>235</v>
      </c>
      <c r="AN245" s="107"/>
      <c r="AO245" s="107" t="str">
        <f t="array" ref="AO245">IFERROR(INDEX($AM$11:$AM$259,MATCH(0,IF(TRUE=$AJ$11:$AJ$259,COUNTIF($AO$10:$AO244,$AM$11:$AM$259),""),0)),"")</f>
        <v/>
      </c>
      <c r="AP245" s="107" t="str">
        <f t="array" ref="AP245">IFERROR(INDEX($AM$11:$AM$259,MATCH(0,IF(TRUE=$AK$11:$AK$259,COUNTIF($AP$10:$AP244,$AM$11:$AM$259),""),0)),"")</f>
        <v/>
      </c>
      <c r="AQ245" s="107" t="str">
        <f t="array" ref="AQ245">IFERROR(INDEX($AM$11:$AM$259,MATCH(0,IF(TRUE=$AL$11:$AL$259,COUNTIF($AQ$10:$AQ244,$AM$11:$AM$259),""),0)),"")</f>
        <v/>
      </c>
      <c r="AS245" s="885" t="str">
        <f>IF(AND(OR(AB245="Yes",AB245="Pending"),P245='G-1 All Habitats'!$X$3),T245-X245-Y245,"0")</f>
        <v>0</v>
      </c>
      <c r="AT245" s="30" t="str">
        <f t="shared" si="28"/>
        <v/>
      </c>
      <c r="AU245" s="30">
        <f t="shared" si="33"/>
        <v>0</v>
      </c>
      <c r="AV245" s="230" t="str">
        <f>IFERROR(INDEX('G-1 All Habitats'!$B$3:$B$135,MATCH(F245,'G-1 All Habitats'!$A$3:$A$135,0)),"")</f>
        <v/>
      </c>
      <c r="AW245" s="30" t="str">
        <f>IF(AV245="","",VLOOKUP(AV245,'G-1 All Habitats'!$B$1:$T$135,19,FALSE))</f>
        <v/>
      </c>
      <c r="AY245" s="287" t="str">
        <f t="shared" si="34"/>
        <v/>
      </c>
    </row>
    <row r="246" spans="1:51" ht="14">
      <c r="A246" s="30" t="str">
        <f>IFERROR(INDEX('G-1 All Habitats'!$AG$3:$AG$17,MATCH(E246,'G-1 All Habitats'!$AF$3:$AF$17,0)),"")</f>
        <v/>
      </c>
      <c r="B246" s="30" t="str">
        <f>IFERROR(INDEX('G-8 Condition Look up'!$I$4:$I$135,MATCH(AV246,'G-8 Condition Look up'!$A$4:$A$135,0)),"")</f>
        <v/>
      </c>
      <c r="D246" s="97">
        <v>236</v>
      </c>
      <c r="E246" s="262"/>
      <c r="F246" s="263"/>
      <c r="G246" s="133"/>
      <c r="H246" s="115"/>
      <c r="I246" s="509" t="str">
        <f>IF(AV246="","",IF(AND(AW246="Yes",G246="No"),"Irreplaceable habitat ▲",IF(AND(AW246="No",G246="Yes"),"Cannot be Irreplaceable ▲",VLOOKUP(AV246,'G-1 All Habitats'!$B$2:$M$135,10,FALSE))))</f>
        <v/>
      </c>
      <c r="J246" s="377" t="str">
        <f>IFERROR(VLOOKUP(I246,'G-1 All Habitats'!$V$3:$W$7,2,FALSE),"")</f>
        <v/>
      </c>
      <c r="K246" s="101"/>
      <c r="L246" s="276" t="str">
        <f>IFERROR(INDEX('G-8 Condition Look up'!$A$3:$H$135,MATCH(AV246,'G-8 Condition Look up'!$A$3:$A$135,0),MATCH(K246,'G-8 Condition Look up'!$A$3:$H$3,0)),"")</f>
        <v/>
      </c>
      <c r="M246" s="105"/>
      <c r="N246" s="295" t="str">
        <f>IF(M246="","",IF(VLOOKUP(M246,'G-3 Multipliers'!$L$3:$N$6,2,FALSE)=0,"Spatial Data Missing ⚠",VLOOKUP(M246,'G-3 Multipliers'!$L$3:$N$6,2,FALSE)))</f>
        <v/>
      </c>
      <c r="O246" s="353" t="str">
        <f>IF(M246="","",IF(VLOOKUP(M246,'G-3 Multipliers'!$L$3:$N$6,3,FALSE)=0,"Spatial Data Missing ⚠",VLOOKUP(M246,'G-3 Multipliers'!$L$3:$N$6,3,FALSE)))</f>
        <v/>
      </c>
      <c r="P246" s="336" t="str">
        <f>(IF(G246="Yes","Bespoke compensation likely to be required",(IFERROR(VLOOKUP(AV246,'G-1 All Habitats'!$B$2:$M$135,12,FALSE),""))))</f>
        <v/>
      </c>
      <c r="Q246" s="511" t="str">
        <f>IFERROR(IF(P246="","",IF(AND(E246="Individual trees",W246&gt;0,G246="Yes"),"Error - you cannot enhance irreplaceable individual trees ▲",IF(P246='G-1 All Habitats'!$X$9,T246*S246,IF(AND(P246='G-1 All Habitats'!$X$9,W246&gt;0),X246+(Y246*S246),IF(AND(P246='G-1 All Habitats'!$X$9,V246&gt;0),X246+(Y246*S246),IF(AND(P246='G-1 All Habitats'!$X$9,AG246&gt;0),"Any Loss Unacceptable  ⚠",IF(AND(P246='G-1 All Habitats'!$X$9,Z246&gt;0),"Any Loss Unacceptable ⚠",H246*J246*L246*O246*S246))))))),"Check Data ⚠")</f>
        <v/>
      </c>
      <c r="R246" s="393"/>
      <c r="S246" s="510" t="str">
        <f>IF(R246="","",IF(VLOOKUP(R246,'G-3 Multipliers'!$S$3:$T$10,2,FALSE)=0,"Spatial Data Missing ⚠",VLOOKUP(R246,'G-3 Multipliers'!$S$3:$T$10,2,FALSE)))</f>
        <v/>
      </c>
      <c r="T246" s="289" t="str">
        <f>IFERROR(IF(AND(F246&lt;&gt;"",G246=""),"Confirm irreplaceable habitat status ▲",(IF(AND(R246&lt;&gt;"",AF246=""),"Off-site reference required ▲",(IF(AND(E246="Individual trees",W246&gt;0,G246="Yes"),"Error - you cannot enhance irreplaceable individual trees ▲",(IF(AND(X246="Irreplaceable habitat - no units generated ⚠",(W246+V246)&lt;H246,OR(AB246="No",AB246="")),"Any Loss Unacceptable ⚠",(IF(X246="Irreplaceable habitat - no units generated ⚠",W246*J246*L246*O246,IF(AND(P246='G-1 All Habitats'!$X$9,AH246&gt;0,V246&lt;=0,W246&lt;=0,OR(AB246="No",AB246="")),"Any Loss Unacceptable ⚠",IF(AND(P246='G-1 All Habitats'!$X$9,AH246&gt;0,V246&lt;=0,W246&lt;=0),0,(IF(AND(P246='G-1 All Habitats'!$X$9,(W246+V246)&lt;H246,OR(AB246="No",AB246="")),"Any Loss Unacceptable ⚠",(IF(P246="","",IF(AND(P246='G-1 All Habitats'!$X$9,W246&gt;0),X246+Y246,IF(AND(P246='G-1 All Habitats'!$X$9,V246&gt;0),X246+Y246,IF(R246="","",H246*J246*L246*O246)))))))))))))))))),"Check Data ▲")</f>
        <v/>
      </c>
      <c r="U246" s="38"/>
      <c r="V246" s="52"/>
      <c r="W246" s="53"/>
      <c r="X246" s="287" t="str">
        <f t="shared" si="29"/>
        <v/>
      </c>
      <c r="Y246" s="287" t="str">
        <f t="shared" si="30"/>
        <v/>
      </c>
      <c r="Z246" s="287" t="str">
        <f t="shared" si="31"/>
        <v/>
      </c>
      <c r="AA246" s="317" t="str">
        <f>IFERROR(IF(AND(E246="Individual trees",G246="Yes",W246&gt;0),"Error - you cannot enhance an irreplaceable tree ▲",(IF(H246="","",IF(H246-V246-W246=0&lt;0,"Error in Areas ▲",IF(V246+W246&gt;H246,"Error in Areas ▲",IF(AND(P246='G-1 All Habitats'!$X$9,AB246="Yes"),"Alternative Compensation ✓",IF(AND(P246='G-1 All Habitats'!$X$3,AB246="Yes"),"Alternative Compensation ✓",IF(AND(AB246="Pending",P246='G-1 All Habitats'!$X$3),"Bespoke compensation must be agreed ▲",IF(AND(AB246="Pending",P246='G-1 All Habitats'!$X$9),"Bespoke compensation must be agreed  ▲",IF(Z246=0,0,IF(P246='G-1 All Habitats'!$X$9,"Any Loss Unacceptable ▲",T246-X246-Y246))))))))))),"Check Data ⚠")</f>
        <v/>
      </c>
      <c r="AB246" s="587"/>
      <c r="AC246" s="105"/>
      <c r="AD246" s="138"/>
      <c r="AE246" s="104"/>
      <c r="AF246" s="611"/>
      <c r="AG246" s="523" t="str">
        <f>IF(OR(P246="",AB246="Yes"),"",IF(P246='G-1 All Habitats'!$X$9,H246-V246-W246,"None"))</f>
        <v/>
      </c>
      <c r="AH246" s="523" t="str">
        <f>IF(P246="","",IF(P246='G-1 All Habitats'!$X$9,AG246*J246*L246*O246,"None"))</f>
        <v/>
      </c>
      <c r="AJ246" s="107" t="str">
        <f t="shared" si="32"/>
        <v/>
      </c>
      <c r="AK246" s="107" t="str">
        <f t="shared" si="27"/>
        <v/>
      </c>
      <c r="AL246" s="107" t="str">
        <f>IF(I246="","",IF(#REF!&gt;0,TRUE,FALSE))</f>
        <v/>
      </c>
      <c r="AM246" s="107">
        <v>236</v>
      </c>
      <c r="AN246" s="107"/>
      <c r="AO246" s="107" t="str">
        <f t="array" ref="AO246">IFERROR(INDEX($AM$11:$AM$259,MATCH(0,IF(TRUE=$AJ$11:$AJ$259,COUNTIF($AO$10:$AO245,$AM$11:$AM$259),""),0)),"")</f>
        <v/>
      </c>
      <c r="AP246" s="107" t="str">
        <f t="array" ref="AP246">IFERROR(INDEX($AM$11:$AM$259,MATCH(0,IF(TRUE=$AK$11:$AK$259,COUNTIF($AP$10:$AP245,$AM$11:$AM$259),""),0)),"")</f>
        <v/>
      </c>
      <c r="AQ246" s="107" t="str">
        <f t="array" ref="AQ246">IFERROR(INDEX($AM$11:$AM$259,MATCH(0,IF(TRUE=$AL$11:$AL$259,COUNTIF($AQ$10:$AQ245,$AM$11:$AM$259),""),0)),"")</f>
        <v/>
      </c>
      <c r="AS246" s="885" t="str">
        <f>IF(AND(OR(AB246="Yes",AB246="Pending"),P246='G-1 All Habitats'!$X$3),T246-X246-Y246,"0")</f>
        <v>0</v>
      </c>
      <c r="AT246" s="30" t="str">
        <f t="shared" si="28"/>
        <v/>
      </c>
      <c r="AU246" s="30">
        <f t="shared" si="33"/>
        <v>0</v>
      </c>
      <c r="AV246" s="230" t="str">
        <f>IFERROR(INDEX('G-1 All Habitats'!$B$3:$B$135,MATCH(F246,'G-1 All Habitats'!$A$3:$A$135,0)),"")</f>
        <v/>
      </c>
      <c r="AW246" s="30" t="str">
        <f>IF(AV246="","",VLOOKUP(AV246,'G-1 All Habitats'!$B$1:$T$135,19,FALSE))</f>
        <v/>
      </c>
      <c r="AY246" s="287" t="str">
        <f t="shared" si="34"/>
        <v/>
      </c>
    </row>
    <row r="247" spans="1:51" ht="14">
      <c r="A247" s="30" t="str">
        <f>IFERROR(INDEX('G-1 All Habitats'!$AG$3:$AG$17,MATCH(E247,'G-1 All Habitats'!$AF$3:$AF$17,0)),"")</f>
        <v/>
      </c>
      <c r="B247" s="30" t="str">
        <f>IFERROR(INDEX('G-8 Condition Look up'!$I$4:$I$135,MATCH(AV247,'G-8 Condition Look up'!$A$4:$A$135,0)),"")</f>
        <v/>
      </c>
      <c r="D247" s="97">
        <v>237</v>
      </c>
      <c r="E247" s="262"/>
      <c r="F247" s="263"/>
      <c r="G247" s="133"/>
      <c r="H247" s="115"/>
      <c r="I247" s="509" t="str">
        <f>IF(AV247="","",IF(AND(AW247="Yes",G247="No"),"Irreplaceable habitat ▲",IF(AND(AW247="No",G247="Yes"),"Cannot be Irreplaceable ▲",VLOOKUP(AV247,'G-1 All Habitats'!$B$2:$M$135,10,FALSE))))</f>
        <v/>
      </c>
      <c r="J247" s="377" t="str">
        <f>IFERROR(VLOOKUP(I247,'G-1 All Habitats'!$V$3:$W$7,2,FALSE),"")</f>
        <v/>
      </c>
      <c r="K247" s="101"/>
      <c r="L247" s="276" t="str">
        <f>IFERROR(INDEX('G-8 Condition Look up'!$A$3:$H$135,MATCH(AV247,'G-8 Condition Look up'!$A$3:$A$135,0),MATCH(K247,'G-8 Condition Look up'!$A$3:$H$3,0)),"")</f>
        <v/>
      </c>
      <c r="M247" s="105"/>
      <c r="N247" s="295" t="str">
        <f>IF(M247="","",IF(VLOOKUP(M247,'G-3 Multipliers'!$L$3:$N$6,2,FALSE)=0,"Spatial Data Missing ⚠",VLOOKUP(M247,'G-3 Multipliers'!$L$3:$N$6,2,FALSE)))</f>
        <v/>
      </c>
      <c r="O247" s="353" t="str">
        <f>IF(M247="","",IF(VLOOKUP(M247,'G-3 Multipliers'!$L$3:$N$6,3,FALSE)=0,"Spatial Data Missing ⚠",VLOOKUP(M247,'G-3 Multipliers'!$L$3:$N$6,3,FALSE)))</f>
        <v/>
      </c>
      <c r="P247" s="336" t="str">
        <f>(IF(G247="Yes","Bespoke compensation likely to be required",(IFERROR(VLOOKUP(AV247,'G-1 All Habitats'!$B$2:$M$135,12,FALSE),""))))</f>
        <v/>
      </c>
      <c r="Q247" s="511" t="str">
        <f>IFERROR(IF(P247="","",IF(AND(E247="Individual trees",W247&gt;0,G247="Yes"),"Error - you cannot enhance irreplaceable individual trees ▲",IF(P247='G-1 All Habitats'!$X$9,T247*S247,IF(AND(P247='G-1 All Habitats'!$X$9,W247&gt;0),X247+(Y247*S247),IF(AND(P247='G-1 All Habitats'!$X$9,V247&gt;0),X247+(Y247*S247),IF(AND(P247='G-1 All Habitats'!$X$9,AG247&gt;0),"Any Loss Unacceptable  ⚠",IF(AND(P247='G-1 All Habitats'!$X$9,Z247&gt;0),"Any Loss Unacceptable ⚠",H247*J247*L247*O247*S247))))))),"Check Data ⚠")</f>
        <v/>
      </c>
      <c r="R247" s="393"/>
      <c r="S247" s="510" t="str">
        <f>IF(R247="","",IF(VLOOKUP(R247,'G-3 Multipliers'!$S$3:$T$10,2,FALSE)=0,"Spatial Data Missing ⚠",VLOOKUP(R247,'G-3 Multipliers'!$S$3:$T$10,2,FALSE)))</f>
        <v/>
      </c>
      <c r="T247" s="289" t="str">
        <f>IFERROR(IF(AND(F247&lt;&gt;"",G247=""),"Confirm irreplaceable habitat status ▲",(IF(AND(R247&lt;&gt;"",AF247=""),"Off-site reference required ▲",(IF(AND(E247="Individual trees",W247&gt;0,G247="Yes"),"Error - you cannot enhance irreplaceable individual trees ▲",(IF(AND(X247="Irreplaceable habitat - no units generated ⚠",(W247+V247)&lt;H247,OR(AB247="No",AB247="")),"Any Loss Unacceptable ⚠",(IF(X247="Irreplaceable habitat - no units generated ⚠",W247*J247*L247*O247,IF(AND(P247='G-1 All Habitats'!$X$9,AH247&gt;0,V247&lt;=0,W247&lt;=0,OR(AB247="No",AB247="")),"Any Loss Unacceptable ⚠",IF(AND(P247='G-1 All Habitats'!$X$9,AH247&gt;0,V247&lt;=0,W247&lt;=0),0,(IF(AND(P247='G-1 All Habitats'!$X$9,(W247+V247)&lt;H247,OR(AB247="No",AB247="")),"Any Loss Unacceptable ⚠",(IF(P247="","",IF(AND(P247='G-1 All Habitats'!$X$9,W247&gt;0),X247+Y247,IF(AND(P247='G-1 All Habitats'!$X$9,V247&gt;0),X247+Y247,IF(R247="","",H247*J247*L247*O247)))))))))))))))))),"Check Data ▲")</f>
        <v/>
      </c>
      <c r="U247" s="38"/>
      <c r="V247" s="52"/>
      <c r="W247" s="53"/>
      <c r="X247" s="287" t="str">
        <f t="shared" si="29"/>
        <v/>
      </c>
      <c r="Y247" s="287" t="str">
        <f t="shared" si="30"/>
        <v/>
      </c>
      <c r="Z247" s="287" t="str">
        <f t="shared" si="31"/>
        <v/>
      </c>
      <c r="AA247" s="317" t="str">
        <f>IFERROR(IF(AND(E247="Individual trees",G247="Yes",W247&gt;0),"Error - you cannot enhance an irreplaceable tree ▲",(IF(H247="","",IF(H247-V247-W247=0&lt;0,"Error in Areas ▲",IF(V247+W247&gt;H247,"Error in Areas ▲",IF(AND(P247='G-1 All Habitats'!$X$9,AB247="Yes"),"Alternative Compensation ✓",IF(AND(P247='G-1 All Habitats'!$X$3,AB247="Yes"),"Alternative Compensation ✓",IF(AND(AB247="Pending",P247='G-1 All Habitats'!$X$3),"Bespoke compensation must be agreed ▲",IF(AND(AB247="Pending",P247='G-1 All Habitats'!$X$9),"Bespoke compensation must be agreed  ▲",IF(Z247=0,0,IF(P247='G-1 All Habitats'!$X$9,"Any Loss Unacceptable ▲",T247-X247-Y247))))))))))),"Check Data ⚠")</f>
        <v/>
      </c>
      <c r="AB247" s="587"/>
      <c r="AC247" s="105"/>
      <c r="AD247" s="138"/>
      <c r="AE247" s="104"/>
      <c r="AF247" s="611"/>
      <c r="AG247" s="523" t="str">
        <f>IF(OR(P247="",AB247="Yes"),"",IF(P247='G-1 All Habitats'!$X$9,H247-V247-W247,"None"))</f>
        <v/>
      </c>
      <c r="AH247" s="523" t="str">
        <f>IF(P247="","",IF(P247='G-1 All Habitats'!$X$9,AG247*J247*L247*O247,"None"))</f>
        <v/>
      </c>
      <c r="AJ247" s="107" t="str">
        <f t="shared" si="32"/>
        <v/>
      </c>
      <c r="AK247" s="107" t="str">
        <f t="shared" si="27"/>
        <v/>
      </c>
      <c r="AL247" s="107" t="str">
        <f>IF(I247="","",IF(#REF!&gt;0,TRUE,FALSE))</f>
        <v/>
      </c>
      <c r="AM247" s="107">
        <v>237</v>
      </c>
      <c r="AN247" s="107"/>
      <c r="AO247" s="107" t="str">
        <f t="array" ref="AO247">IFERROR(INDEX($AM$11:$AM$259,MATCH(0,IF(TRUE=$AJ$11:$AJ$259,COUNTIF($AO$10:$AO246,$AM$11:$AM$259),""),0)),"")</f>
        <v/>
      </c>
      <c r="AP247" s="107" t="str">
        <f t="array" ref="AP247">IFERROR(INDEX($AM$11:$AM$259,MATCH(0,IF(TRUE=$AK$11:$AK$259,COUNTIF($AP$10:$AP246,$AM$11:$AM$259),""),0)),"")</f>
        <v/>
      </c>
      <c r="AQ247" s="107" t="str">
        <f t="array" ref="AQ247">IFERROR(INDEX($AM$11:$AM$259,MATCH(0,IF(TRUE=$AL$11:$AL$259,COUNTIF($AQ$10:$AQ246,$AM$11:$AM$259),""),0)),"")</f>
        <v/>
      </c>
      <c r="AS247" s="885" t="str">
        <f>IF(AND(OR(AB247="Yes",AB247="Pending"),P247='G-1 All Habitats'!$X$3),T247-X247-Y247,"0")</f>
        <v>0</v>
      </c>
      <c r="AT247" s="30" t="str">
        <f t="shared" si="28"/>
        <v/>
      </c>
      <c r="AU247" s="30">
        <f t="shared" si="33"/>
        <v>0</v>
      </c>
      <c r="AV247" s="230" t="str">
        <f>IFERROR(INDEX('G-1 All Habitats'!$B$3:$B$135,MATCH(F247,'G-1 All Habitats'!$A$3:$A$135,0)),"")</f>
        <v/>
      </c>
      <c r="AW247" s="30" t="str">
        <f>IF(AV247="","",VLOOKUP(AV247,'G-1 All Habitats'!$B$1:$T$135,19,FALSE))</f>
        <v/>
      </c>
      <c r="AY247" s="287" t="str">
        <f t="shared" si="34"/>
        <v/>
      </c>
    </row>
    <row r="248" spans="1:51" ht="14">
      <c r="A248" s="30" t="str">
        <f>IFERROR(INDEX('G-1 All Habitats'!$AG$3:$AG$17,MATCH(E248,'G-1 All Habitats'!$AF$3:$AF$17,0)),"")</f>
        <v/>
      </c>
      <c r="B248" s="30" t="str">
        <f>IFERROR(INDEX('G-8 Condition Look up'!$I$4:$I$135,MATCH(AV248,'G-8 Condition Look up'!$A$4:$A$135,0)),"")</f>
        <v/>
      </c>
      <c r="D248" s="97">
        <v>238</v>
      </c>
      <c r="E248" s="262"/>
      <c r="F248" s="263"/>
      <c r="G248" s="133"/>
      <c r="H248" s="115"/>
      <c r="I248" s="509" t="str">
        <f>IF(AV248="","",IF(AND(AW248="Yes",G248="No"),"Irreplaceable habitat ▲",IF(AND(AW248="No",G248="Yes"),"Cannot be Irreplaceable ▲",VLOOKUP(AV248,'G-1 All Habitats'!$B$2:$M$135,10,FALSE))))</f>
        <v/>
      </c>
      <c r="J248" s="377" t="str">
        <f>IFERROR(VLOOKUP(I248,'G-1 All Habitats'!$V$3:$W$7,2,FALSE),"")</f>
        <v/>
      </c>
      <c r="K248" s="101"/>
      <c r="L248" s="276" t="str">
        <f>IFERROR(INDEX('G-8 Condition Look up'!$A$3:$H$135,MATCH(AV248,'G-8 Condition Look up'!$A$3:$A$135,0),MATCH(K248,'G-8 Condition Look up'!$A$3:$H$3,0)),"")</f>
        <v/>
      </c>
      <c r="M248" s="105"/>
      <c r="N248" s="295" t="str">
        <f>IF(M248="","",IF(VLOOKUP(M248,'G-3 Multipliers'!$L$3:$N$6,2,FALSE)=0,"Spatial Data Missing ⚠",VLOOKUP(M248,'G-3 Multipliers'!$L$3:$N$6,2,FALSE)))</f>
        <v/>
      </c>
      <c r="O248" s="353" t="str">
        <f>IF(M248="","",IF(VLOOKUP(M248,'G-3 Multipliers'!$L$3:$N$6,3,FALSE)=0,"Spatial Data Missing ⚠",VLOOKUP(M248,'G-3 Multipliers'!$L$3:$N$6,3,FALSE)))</f>
        <v/>
      </c>
      <c r="P248" s="336" t="str">
        <f>(IF(G248="Yes","Bespoke compensation likely to be required",(IFERROR(VLOOKUP(AV248,'G-1 All Habitats'!$B$2:$M$135,12,FALSE),""))))</f>
        <v/>
      </c>
      <c r="Q248" s="511" t="str">
        <f>IFERROR(IF(P248="","",IF(AND(E248="Individual trees",W248&gt;0,G248="Yes"),"Error - you cannot enhance irreplaceable individual trees ▲",IF(P248='G-1 All Habitats'!$X$9,T248*S248,IF(AND(P248='G-1 All Habitats'!$X$9,W248&gt;0),X248+(Y248*S248),IF(AND(P248='G-1 All Habitats'!$X$9,V248&gt;0),X248+(Y248*S248),IF(AND(P248='G-1 All Habitats'!$X$9,AG248&gt;0),"Any Loss Unacceptable  ⚠",IF(AND(P248='G-1 All Habitats'!$X$9,Z248&gt;0),"Any Loss Unacceptable ⚠",H248*J248*L248*O248*S248))))))),"Check Data ⚠")</f>
        <v/>
      </c>
      <c r="R248" s="393"/>
      <c r="S248" s="510" t="str">
        <f>IF(R248="","",IF(VLOOKUP(R248,'G-3 Multipliers'!$S$3:$T$10,2,FALSE)=0,"Spatial Data Missing ⚠",VLOOKUP(R248,'G-3 Multipliers'!$S$3:$T$10,2,FALSE)))</f>
        <v/>
      </c>
      <c r="T248" s="289" t="str">
        <f>IFERROR(IF(AND(F248&lt;&gt;"",G248=""),"Confirm irreplaceable habitat status ▲",(IF(AND(R248&lt;&gt;"",AF248=""),"Off-site reference required ▲",(IF(AND(E248="Individual trees",W248&gt;0,G248="Yes"),"Error - you cannot enhance irreplaceable individual trees ▲",(IF(AND(X248="Irreplaceable habitat - no units generated ⚠",(W248+V248)&lt;H248,OR(AB248="No",AB248="")),"Any Loss Unacceptable ⚠",(IF(X248="Irreplaceable habitat - no units generated ⚠",W248*J248*L248*O248,IF(AND(P248='G-1 All Habitats'!$X$9,AH248&gt;0,V248&lt;=0,W248&lt;=0,OR(AB248="No",AB248="")),"Any Loss Unacceptable ⚠",IF(AND(P248='G-1 All Habitats'!$X$9,AH248&gt;0,V248&lt;=0,W248&lt;=0),0,(IF(AND(P248='G-1 All Habitats'!$X$9,(W248+V248)&lt;H248,OR(AB248="No",AB248="")),"Any Loss Unacceptable ⚠",(IF(P248="","",IF(AND(P248='G-1 All Habitats'!$X$9,W248&gt;0),X248+Y248,IF(AND(P248='G-1 All Habitats'!$X$9,V248&gt;0),X248+Y248,IF(R248="","",H248*J248*L248*O248)))))))))))))))))),"Check Data ▲")</f>
        <v/>
      </c>
      <c r="U248" s="38"/>
      <c r="V248" s="52"/>
      <c r="W248" s="53"/>
      <c r="X248" s="287" t="str">
        <f t="shared" si="29"/>
        <v/>
      </c>
      <c r="Y248" s="287" t="str">
        <f t="shared" si="30"/>
        <v/>
      </c>
      <c r="Z248" s="287" t="str">
        <f t="shared" si="31"/>
        <v/>
      </c>
      <c r="AA248" s="317" t="str">
        <f>IFERROR(IF(AND(E248="Individual trees",G248="Yes",W248&gt;0),"Error - you cannot enhance an irreplaceable tree ▲",(IF(H248="","",IF(H248-V248-W248=0&lt;0,"Error in Areas ▲",IF(V248+W248&gt;H248,"Error in Areas ▲",IF(AND(P248='G-1 All Habitats'!$X$9,AB248="Yes"),"Alternative Compensation ✓",IF(AND(P248='G-1 All Habitats'!$X$3,AB248="Yes"),"Alternative Compensation ✓",IF(AND(AB248="Pending",P248='G-1 All Habitats'!$X$3),"Bespoke compensation must be agreed ▲",IF(AND(AB248="Pending",P248='G-1 All Habitats'!$X$9),"Bespoke compensation must be agreed  ▲",IF(Z248=0,0,IF(P248='G-1 All Habitats'!$X$9,"Any Loss Unacceptable ▲",T248-X248-Y248))))))))))),"Check Data ⚠")</f>
        <v/>
      </c>
      <c r="AB248" s="587"/>
      <c r="AC248" s="105"/>
      <c r="AD248" s="138"/>
      <c r="AE248" s="104"/>
      <c r="AF248" s="611"/>
      <c r="AG248" s="523" t="str">
        <f>IF(OR(P248="",AB248="Yes"),"",IF(P248='G-1 All Habitats'!$X$9,H248-V248-W248,"None"))</f>
        <v/>
      </c>
      <c r="AH248" s="523" t="str">
        <f>IF(P248="","",IF(P248='G-1 All Habitats'!$X$9,AG248*J248*L248*O248,"None"))</f>
        <v/>
      </c>
      <c r="AJ248" s="107" t="str">
        <f t="shared" si="32"/>
        <v/>
      </c>
      <c r="AK248" s="107" t="str">
        <f t="shared" si="27"/>
        <v/>
      </c>
      <c r="AL248" s="107" t="str">
        <f>IF(I248="","",IF(#REF!&gt;0,TRUE,FALSE))</f>
        <v/>
      </c>
      <c r="AM248" s="107">
        <v>238</v>
      </c>
      <c r="AN248" s="107"/>
      <c r="AO248" s="107" t="str">
        <f t="array" ref="AO248">IFERROR(INDEX($AM$11:$AM$259,MATCH(0,IF(TRUE=$AJ$11:$AJ$259,COUNTIF($AO$10:$AO247,$AM$11:$AM$259),""),0)),"")</f>
        <v/>
      </c>
      <c r="AP248" s="107" t="str">
        <f t="array" ref="AP248">IFERROR(INDEX($AM$11:$AM$259,MATCH(0,IF(TRUE=$AK$11:$AK$259,COUNTIF($AP$10:$AP247,$AM$11:$AM$259),""),0)),"")</f>
        <v/>
      </c>
      <c r="AQ248" s="107" t="str">
        <f t="array" ref="AQ248">IFERROR(INDEX($AM$11:$AM$259,MATCH(0,IF(TRUE=$AL$11:$AL$259,COUNTIF($AQ$10:$AQ247,$AM$11:$AM$259),""),0)),"")</f>
        <v/>
      </c>
      <c r="AS248" s="885" t="str">
        <f>IF(AND(OR(AB248="Yes",AB248="Pending"),P248='G-1 All Habitats'!$X$3),T248-X248-Y248,"0")</f>
        <v>0</v>
      </c>
      <c r="AT248" s="30" t="str">
        <f t="shared" si="28"/>
        <v/>
      </c>
      <c r="AU248" s="30">
        <f t="shared" si="33"/>
        <v>0</v>
      </c>
      <c r="AV248" s="230" t="str">
        <f>IFERROR(INDEX('G-1 All Habitats'!$B$3:$B$135,MATCH(F248,'G-1 All Habitats'!$A$3:$A$135,0)),"")</f>
        <v/>
      </c>
      <c r="AW248" s="30" t="str">
        <f>IF(AV248="","",VLOOKUP(AV248,'G-1 All Habitats'!$B$1:$T$135,19,FALSE))</f>
        <v/>
      </c>
      <c r="AY248" s="287" t="str">
        <f t="shared" si="34"/>
        <v/>
      </c>
    </row>
    <row r="249" spans="1:51" ht="14">
      <c r="A249" s="30" t="str">
        <f>IFERROR(INDEX('G-1 All Habitats'!$AG$3:$AG$17,MATCH(E249,'G-1 All Habitats'!$AF$3:$AF$17,0)),"")</f>
        <v/>
      </c>
      <c r="B249" s="30" t="str">
        <f>IFERROR(INDEX('G-8 Condition Look up'!$I$4:$I$135,MATCH(AV249,'G-8 Condition Look up'!$A$4:$A$135,0)),"")</f>
        <v/>
      </c>
      <c r="D249" s="97">
        <v>239</v>
      </c>
      <c r="E249" s="262"/>
      <c r="F249" s="263"/>
      <c r="G249" s="133"/>
      <c r="H249" s="115"/>
      <c r="I249" s="509" t="str">
        <f>IF(AV249="","",IF(AND(AW249="Yes",G249="No"),"Irreplaceable habitat ▲",IF(AND(AW249="No",G249="Yes"),"Cannot be Irreplaceable ▲",VLOOKUP(AV249,'G-1 All Habitats'!$B$2:$M$135,10,FALSE))))</f>
        <v/>
      </c>
      <c r="J249" s="377" t="str">
        <f>IFERROR(VLOOKUP(I249,'G-1 All Habitats'!$V$3:$W$7,2,FALSE),"")</f>
        <v/>
      </c>
      <c r="K249" s="101"/>
      <c r="L249" s="276" t="str">
        <f>IFERROR(INDEX('G-8 Condition Look up'!$A$3:$H$135,MATCH(AV249,'G-8 Condition Look up'!$A$3:$A$135,0),MATCH(K249,'G-8 Condition Look up'!$A$3:$H$3,0)),"")</f>
        <v/>
      </c>
      <c r="M249" s="105"/>
      <c r="N249" s="295" t="str">
        <f>IF(M249="","",IF(VLOOKUP(M249,'G-3 Multipliers'!$L$3:$N$6,2,FALSE)=0,"Spatial Data Missing ⚠",VLOOKUP(M249,'G-3 Multipliers'!$L$3:$N$6,2,FALSE)))</f>
        <v/>
      </c>
      <c r="O249" s="353" t="str">
        <f>IF(M249="","",IF(VLOOKUP(M249,'G-3 Multipliers'!$L$3:$N$6,3,FALSE)=0,"Spatial Data Missing ⚠",VLOOKUP(M249,'G-3 Multipliers'!$L$3:$N$6,3,FALSE)))</f>
        <v/>
      </c>
      <c r="P249" s="336" t="str">
        <f>(IF(G249="Yes","Bespoke compensation likely to be required",(IFERROR(VLOOKUP(AV249,'G-1 All Habitats'!$B$2:$M$135,12,FALSE),""))))</f>
        <v/>
      </c>
      <c r="Q249" s="511" t="str">
        <f>IFERROR(IF(P249="","",IF(AND(E249="Individual trees",W249&gt;0,G249="Yes"),"Error - you cannot enhance irreplaceable individual trees ▲",IF(P249='G-1 All Habitats'!$X$9,T249*S249,IF(AND(P249='G-1 All Habitats'!$X$9,W249&gt;0),X249+(Y249*S249),IF(AND(P249='G-1 All Habitats'!$X$9,V249&gt;0),X249+(Y249*S249),IF(AND(P249='G-1 All Habitats'!$X$9,AG249&gt;0),"Any Loss Unacceptable  ⚠",IF(AND(P249='G-1 All Habitats'!$X$9,Z249&gt;0),"Any Loss Unacceptable ⚠",H249*J249*L249*O249*S249))))))),"Check Data ⚠")</f>
        <v/>
      </c>
      <c r="R249" s="393"/>
      <c r="S249" s="510" t="str">
        <f>IF(R249="","",IF(VLOOKUP(R249,'G-3 Multipliers'!$S$3:$T$10,2,FALSE)=0,"Spatial Data Missing ⚠",VLOOKUP(R249,'G-3 Multipliers'!$S$3:$T$10,2,FALSE)))</f>
        <v/>
      </c>
      <c r="T249" s="289" t="str">
        <f>IFERROR(IF(AND(F249&lt;&gt;"",G249=""),"Confirm irreplaceable habitat status ▲",(IF(AND(R249&lt;&gt;"",AF249=""),"Off-site reference required ▲",(IF(AND(E249="Individual trees",W249&gt;0,G249="Yes"),"Error - you cannot enhance irreplaceable individual trees ▲",(IF(AND(X249="Irreplaceable habitat - no units generated ⚠",(W249+V249)&lt;H249,OR(AB249="No",AB249="")),"Any Loss Unacceptable ⚠",(IF(X249="Irreplaceable habitat - no units generated ⚠",W249*J249*L249*O249,IF(AND(P249='G-1 All Habitats'!$X$9,AH249&gt;0,V249&lt;=0,W249&lt;=0,OR(AB249="No",AB249="")),"Any Loss Unacceptable ⚠",IF(AND(P249='G-1 All Habitats'!$X$9,AH249&gt;0,V249&lt;=0,W249&lt;=0),0,(IF(AND(P249='G-1 All Habitats'!$X$9,(W249+V249)&lt;H249,OR(AB249="No",AB249="")),"Any Loss Unacceptable ⚠",(IF(P249="","",IF(AND(P249='G-1 All Habitats'!$X$9,W249&gt;0),X249+Y249,IF(AND(P249='G-1 All Habitats'!$X$9,V249&gt;0),X249+Y249,IF(R249="","",H249*J249*L249*O249)))))))))))))))))),"Check Data ▲")</f>
        <v/>
      </c>
      <c r="U249" s="38"/>
      <c r="V249" s="52"/>
      <c r="W249" s="53"/>
      <c r="X249" s="287" t="str">
        <f t="shared" si="29"/>
        <v/>
      </c>
      <c r="Y249" s="287" t="str">
        <f t="shared" si="30"/>
        <v/>
      </c>
      <c r="Z249" s="287" t="str">
        <f t="shared" si="31"/>
        <v/>
      </c>
      <c r="AA249" s="317" t="str">
        <f>IFERROR(IF(AND(E249="Individual trees",G249="Yes",W249&gt;0),"Error - you cannot enhance an irreplaceable tree ▲",(IF(H249="","",IF(H249-V249-W249=0&lt;0,"Error in Areas ▲",IF(V249+W249&gt;H249,"Error in Areas ▲",IF(AND(P249='G-1 All Habitats'!$X$9,AB249="Yes"),"Alternative Compensation ✓",IF(AND(P249='G-1 All Habitats'!$X$3,AB249="Yes"),"Alternative Compensation ✓",IF(AND(AB249="Pending",P249='G-1 All Habitats'!$X$3),"Bespoke compensation must be agreed ▲",IF(AND(AB249="Pending",P249='G-1 All Habitats'!$X$9),"Bespoke compensation must be agreed  ▲",IF(Z249=0,0,IF(P249='G-1 All Habitats'!$X$9,"Any Loss Unacceptable ▲",T249-X249-Y249))))))))))),"Check Data ⚠")</f>
        <v/>
      </c>
      <c r="AB249" s="587"/>
      <c r="AC249" s="105"/>
      <c r="AD249" s="138"/>
      <c r="AE249" s="104"/>
      <c r="AF249" s="611"/>
      <c r="AG249" s="523" t="str">
        <f>IF(OR(P249="",AB249="Yes"),"",IF(P249='G-1 All Habitats'!$X$9,H249-V249-W249,"None"))</f>
        <v/>
      </c>
      <c r="AH249" s="523" t="str">
        <f>IF(P249="","",IF(P249='G-1 All Habitats'!$X$9,AG249*J249*L249*O249,"None"))</f>
        <v/>
      </c>
      <c r="AJ249" s="107" t="str">
        <f t="shared" si="32"/>
        <v/>
      </c>
      <c r="AK249" s="107" t="str">
        <f t="shared" si="27"/>
        <v/>
      </c>
      <c r="AL249" s="107" t="str">
        <f>IF(I249="","",IF(#REF!&gt;0,TRUE,FALSE))</f>
        <v/>
      </c>
      <c r="AM249" s="107">
        <v>239</v>
      </c>
      <c r="AN249" s="107"/>
      <c r="AO249" s="107" t="str">
        <f t="array" ref="AO249">IFERROR(INDEX($AM$11:$AM$259,MATCH(0,IF(TRUE=$AJ$11:$AJ$259,COUNTIF($AO$10:$AO248,$AM$11:$AM$259),""),0)),"")</f>
        <v/>
      </c>
      <c r="AP249" s="107" t="str">
        <f t="array" ref="AP249">IFERROR(INDEX($AM$11:$AM$259,MATCH(0,IF(TRUE=$AK$11:$AK$259,COUNTIF($AP$10:$AP248,$AM$11:$AM$259),""),0)),"")</f>
        <v/>
      </c>
      <c r="AQ249" s="107" t="str">
        <f t="array" ref="AQ249">IFERROR(INDEX($AM$11:$AM$259,MATCH(0,IF(TRUE=$AL$11:$AL$259,COUNTIF($AQ$10:$AQ248,$AM$11:$AM$259),""),0)),"")</f>
        <v/>
      </c>
      <c r="AS249" s="885" t="str">
        <f>IF(AND(OR(AB249="Yes",AB249="Pending"),P249='G-1 All Habitats'!$X$3),T249-X249-Y249,"0")</f>
        <v>0</v>
      </c>
      <c r="AT249" s="30" t="str">
        <f t="shared" si="28"/>
        <v/>
      </c>
      <c r="AU249" s="30">
        <f t="shared" si="33"/>
        <v>0</v>
      </c>
      <c r="AV249" s="230" t="str">
        <f>IFERROR(INDEX('G-1 All Habitats'!$B$3:$B$135,MATCH(F249,'G-1 All Habitats'!$A$3:$A$135,0)),"")</f>
        <v/>
      </c>
      <c r="AW249" s="30" t="str">
        <f>IF(AV249="","",VLOOKUP(AV249,'G-1 All Habitats'!$B$1:$T$135,19,FALSE))</f>
        <v/>
      </c>
      <c r="AY249" s="287" t="str">
        <f t="shared" si="34"/>
        <v/>
      </c>
    </row>
    <row r="250" spans="1:51" ht="14">
      <c r="A250" s="30" t="str">
        <f>IFERROR(INDEX('G-1 All Habitats'!$AG$3:$AG$17,MATCH(E250,'G-1 All Habitats'!$AF$3:$AF$17,0)),"")</f>
        <v/>
      </c>
      <c r="B250" s="30" t="str">
        <f>IFERROR(INDEX('G-8 Condition Look up'!$I$4:$I$135,MATCH(AV250,'G-8 Condition Look up'!$A$4:$A$135,0)),"")</f>
        <v/>
      </c>
      <c r="D250" s="97">
        <v>240</v>
      </c>
      <c r="E250" s="262"/>
      <c r="F250" s="263"/>
      <c r="G250" s="133"/>
      <c r="H250" s="115"/>
      <c r="I250" s="509" t="str">
        <f>IF(AV250="","",IF(AND(AW250="Yes",G250="No"),"Irreplaceable habitat ▲",IF(AND(AW250="No",G250="Yes"),"Cannot be Irreplaceable ▲",VLOOKUP(AV250,'G-1 All Habitats'!$B$2:$M$135,10,FALSE))))</f>
        <v/>
      </c>
      <c r="J250" s="377" t="str">
        <f>IFERROR(VLOOKUP(I250,'G-1 All Habitats'!$V$3:$W$7,2,FALSE),"")</f>
        <v/>
      </c>
      <c r="K250" s="101"/>
      <c r="L250" s="276" t="str">
        <f>IFERROR(INDEX('G-8 Condition Look up'!$A$3:$H$135,MATCH(AV250,'G-8 Condition Look up'!$A$3:$A$135,0),MATCH(K250,'G-8 Condition Look up'!$A$3:$H$3,0)),"")</f>
        <v/>
      </c>
      <c r="M250" s="105"/>
      <c r="N250" s="295" t="str">
        <f>IF(M250="","",IF(VLOOKUP(M250,'G-3 Multipliers'!$L$3:$N$6,2,FALSE)=0,"Spatial Data Missing ⚠",VLOOKUP(M250,'G-3 Multipliers'!$L$3:$N$6,2,FALSE)))</f>
        <v/>
      </c>
      <c r="O250" s="353" t="str">
        <f>IF(M250="","",IF(VLOOKUP(M250,'G-3 Multipliers'!$L$3:$N$6,3,FALSE)=0,"Spatial Data Missing ⚠",VLOOKUP(M250,'G-3 Multipliers'!$L$3:$N$6,3,FALSE)))</f>
        <v/>
      </c>
      <c r="P250" s="336" t="str">
        <f>(IF(G250="Yes","Bespoke compensation likely to be required",(IFERROR(VLOOKUP(AV250,'G-1 All Habitats'!$B$2:$M$135,12,FALSE),""))))</f>
        <v/>
      </c>
      <c r="Q250" s="511" t="str">
        <f>IFERROR(IF(P250="","",IF(AND(E250="Individual trees",W250&gt;0,G250="Yes"),"Error - you cannot enhance irreplaceable individual trees ▲",IF(P250='G-1 All Habitats'!$X$9,T250*S250,IF(AND(P250='G-1 All Habitats'!$X$9,W250&gt;0),X250+(Y250*S250),IF(AND(P250='G-1 All Habitats'!$X$9,V250&gt;0),X250+(Y250*S250),IF(AND(P250='G-1 All Habitats'!$X$9,AG250&gt;0),"Any Loss Unacceptable  ⚠",IF(AND(P250='G-1 All Habitats'!$X$9,Z250&gt;0),"Any Loss Unacceptable ⚠",H250*J250*L250*O250*S250))))))),"Check Data ⚠")</f>
        <v/>
      </c>
      <c r="R250" s="393"/>
      <c r="S250" s="510" t="str">
        <f>IF(R250="","",IF(VLOOKUP(R250,'G-3 Multipliers'!$S$3:$T$10,2,FALSE)=0,"Spatial Data Missing ⚠",VLOOKUP(R250,'G-3 Multipliers'!$S$3:$T$10,2,FALSE)))</f>
        <v/>
      </c>
      <c r="T250" s="289" t="str">
        <f>IFERROR(IF(AND(F250&lt;&gt;"",G250=""),"Confirm irreplaceable habitat status ▲",(IF(AND(R250&lt;&gt;"",AF250=""),"Off-site reference required ▲",(IF(AND(E250="Individual trees",W250&gt;0,G250="Yes"),"Error - you cannot enhance irreplaceable individual trees ▲",(IF(AND(X250="Irreplaceable habitat - no units generated ⚠",(W250+V250)&lt;H250,OR(AB250="No",AB250="")),"Any Loss Unacceptable ⚠",(IF(X250="Irreplaceable habitat - no units generated ⚠",W250*J250*L250*O250,IF(AND(P250='G-1 All Habitats'!$X$9,AH250&gt;0,V250&lt;=0,W250&lt;=0,OR(AB250="No",AB250="")),"Any Loss Unacceptable ⚠",IF(AND(P250='G-1 All Habitats'!$X$9,AH250&gt;0,V250&lt;=0,W250&lt;=0),0,(IF(AND(P250='G-1 All Habitats'!$X$9,(W250+V250)&lt;H250,OR(AB250="No",AB250="")),"Any Loss Unacceptable ⚠",(IF(P250="","",IF(AND(P250='G-1 All Habitats'!$X$9,W250&gt;0),X250+Y250,IF(AND(P250='G-1 All Habitats'!$X$9,V250&gt;0),X250+Y250,IF(R250="","",H250*J250*L250*O250)))))))))))))))))),"Check Data ▲")</f>
        <v/>
      </c>
      <c r="U250" s="38"/>
      <c r="V250" s="52"/>
      <c r="W250" s="53"/>
      <c r="X250" s="287" t="str">
        <f t="shared" si="29"/>
        <v/>
      </c>
      <c r="Y250" s="287" t="str">
        <f t="shared" si="30"/>
        <v/>
      </c>
      <c r="Z250" s="287" t="str">
        <f t="shared" si="31"/>
        <v/>
      </c>
      <c r="AA250" s="317" t="str">
        <f>IFERROR(IF(AND(E250="Individual trees",G250="Yes",W250&gt;0),"Error - you cannot enhance an irreplaceable tree ▲",(IF(H250="","",IF(H250-V250-W250=0&lt;0,"Error in Areas ▲",IF(V250+W250&gt;H250,"Error in Areas ▲",IF(AND(P250='G-1 All Habitats'!$X$9,AB250="Yes"),"Alternative Compensation ✓",IF(AND(P250='G-1 All Habitats'!$X$3,AB250="Yes"),"Alternative Compensation ✓",IF(AND(AB250="Pending",P250='G-1 All Habitats'!$X$3),"Bespoke compensation must be agreed ▲",IF(AND(AB250="Pending",P250='G-1 All Habitats'!$X$9),"Bespoke compensation must be agreed  ▲",IF(Z250=0,0,IF(P250='G-1 All Habitats'!$X$9,"Any Loss Unacceptable ▲",T250-X250-Y250))))))))))),"Check Data ⚠")</f>
        <v/>
      </c>
      <c r="AB250" s="587"/>
      <c r="AC250" s="105"/>
      <c r="AD250" s="138"/>
      <c r="AE250" s="104"/>
      <c r="AF250" s="611"/>
      <c r="AG250" s="523" t="str">
        <f>IF(OR(P250="",AB250="Yes"),"",IF(P250='G-1 All Habitats'!$X$9,H250-V250-W250,"None"))</f>
        <v/>
      </c>
      <c r="AH250" s="523" t="str">
        <f>IF(P250="","",IF(P250='G-1 All Habitats'!$X$9,AG250*J250*L250*O250,"None"))</f>
        <v/>
      </c>
      <c r="AJ250" s="107" t="str">
        <f t="shared" si="32"/>
        <v/>
      </c>
      <c r="AK250" s="107" t="str">
        <f t="shared" si="27"/>
        <v/>
      </c>
      <c r="AL250" s="107" t="str">
        <f>IF(I250="","",IF(#REF!&gt;0,TRUE,FALSE))</f>
        <v/>
      </c>
      <c r="AM250" s="107">
        <v>240</v>
      </c>
      <c r="AN250" s="107"/>
      <c r="AO250" s="107" t="str">
        <f t="array" ref="AO250">IFERROR(INDEX($AM$11:$AM$259,MATCH(0,IF(TRUE=$AJ$11:$AJ$259,COUNTIF($AO$10:$AO249,$AM$11:$AM$259),""),0)),"")</f>
        <v/>
      </c>
      <c r="AP250" s="107" t="str">
        <f t="array" ref="AP250">IFERROR(INDEX($AM$11:$AM$259,MATCH(0,IF(TRUE=$AK$11:$AK$259,COUNTIF($AP$10:$AP249,$AM$11:$AM$259),""),0)),"")</f>
        <v/>
      </c>
      <c r="AQ250" s="107" t="str">
        <f t="array" ref="AQ250">IFERROR(INDEX($AM$11:$AM$259,MATCH(0,IF(TRUE=$AL$11:$AL$259,COUNTIF($AQ$10:$AQ249,$AM$11:$AM$259),""),0)),"")</f>
        <v/>
      </c>
      <c r="AS250" s="885" t="str">
        <f>IF(AND(OR(AB250="Yes",AB250="Pending"),P250='G-1 All Habitats'!$X$3),T250-X250-Y250,"0")</f>
        <v>0</v>
      </c>
      <c r="AT250" s="30" t="str">
        <f t="shared" si="28"/>
        <v/>
      </c>
      <c r="AU250" s="30">
        <f t="shared" si="33"/>
        <v>0</v>
      </c>
      <c r="AV250" s="230" t="str">
        <f>IFERROR(INDEX('G-1 All Habitats'!$B$3:$B$135,MATCH(F250,'G-1 All Habitats'!$A$3:$A$135,0)),"")</f>
        <v/>
      </c>
      <c r="AW250" s="30" t="str">
        <f>IF(AV250="","",VLOOKUP(AV250,'G-1 All Habitats'!$B$1:$T$135,19,FALSE))</f>
        <v/>
      </c>
      <c r="AY250" s="287" t="str">
        <f t="shared" si="34"/>
        <v/>
      </c>
    </row>
    <row r="251" spans="1:51" ht="14">
      <c r="A251" s="30" t="str">
        <f>IFERROR(INDEX('G-1 All Habitats'!$AG$3:$AG$17,MATCH(E251,'G-1 All Habitats'!$AF$3:$AF$17,0)),"")</f>
        <v/>
      </c>
      <c r="B251" s="30" t="str">
        <f>IFERROR(INDEX('G-8 Condition Look up'!$I$4:$I$135,MATCH(AV251,'G-8 Condition Look up'!$A$4:$A$135,0)),"")</f>
        <v/>
      </c>
      <c r="D251" s="97">
        <v>241</v>
      </c>
      <c r="E251" s="262"/>
      <c r="F251" s="263"/>
      <c r="G251" s="133"/>
      <c r="H251" s="115"/>
      <c r="I251" s="509" t="str">
        <f>IF(AV251="","",IF(AND(AW251="Yes",G251="No"),"Irreplaceable habitat ▲",IF(AND(AW251="No",G251="Yes"),"Cannot be Irreplaceable ▲",VLOOKUP(AV251,'G-1 All Habitats'!$B$2:$M$135,10,FALSE))))</f>
        <v/>
      </c>
      <c r="J251" s="377" t="str">
        <f>IFERROR(VLOOKUP(I251,'G-1 All Habitats'!$V$3:$W$7,2,FALSE),"")</f>
        <v/>
      </c>
      <c r="K251" s="101"/>
      <c r="L251" s="276" t="str">
        <f>IFERROR(INDEX('G-8 Condition Look up'!$A$3:$H$135,MATCH(AV251,'G-8 Condition Look up'!$A$3:$A$135,0),MATCH(K251,'G-8 Condition Look up'!$A$3:$H$3,0)),"")</f>
        <v/>
      </c>
      <c r="M251" s="105"/>
      <c r="N251" s="295" t="str">
        <f>IF(M251="","",IF(VLOOKUP(M251,'G-3 Multipliers'!$L$3:$N$6,2,FALSE)=0,"Spatial Data Missing ⚠",VLOOKUP(M251,'G-3 Multipliers'!$L$3:$N$6,2,FALSE)))</f>
        <v/>
      </c>
      <c r="O251" s="353" t="str">
        <f>IF(M251="","",IF(VLOOKUP(M251,'G-3 Multipliers'!$L$3:$N$6,3,FALSE)=0,"Spatial Data Missing ⚠",VLOOKUP(M251,'G-3 Multipliers'!$L$3:$N$6,3,FALSE)))</f>
        <v/>
      </c>
      <c r="P251" s="336" t="str">
        <f>(IF(G251="Yes","Bespoke compensation likely to be required",(IFERROR(VLOOKUP(AV251,'G-1 All Habitats'!$B$2:$M$135,12,FALSE),""))))</f>
        <v/>
      </c>
      <c r="Q251" s="511" t="str">
        <f>IFERROR(IF(P251="","",IF(AND(E251="Individual trees",W251&gt;0,G251="Yes"),"Error - you cannot enhance irreplaceable individual trees ▲",IF(P251='G-1 All Habitats'!$X$9,T251*S251,IF(AND(P251='G-1 All Habitats'!$X$9,W251&gt;0),X251+(Y251*S251),IF(AND(P251='G-1 All Habitats'!$X$9,V251&gt;0),X251+(Y251*S251),IF(AND(P251='G-1 All Habitats'!$X$9,AG251&gt;0),"Any Loss Unacceptable  ⚠",IF(AND(P251='G-1 All Habitats'!$X$9,Z251&gt;0),"Any Loss Unacceptable ⚠",H251*J251*L251*O251*S251))))))),"Check Data ⚠")</f>
        <v/>
      </c>
      <c r="R251" s="393"/>
      <c r="S251" s="510" t="str">
        <f>IF(R251="","",IF(VLOOKUP(R251,'G-3 Multipliers'!$S$3:$T$10,2,FALSE)=0,"Spatial Data Missing ⚠",VLOOKUP(R251,'G-3 Multipliers'!$S$3:$T$10,2,FALSE)))</f>
        <v/>
      </c>
      <c r="T251" s="289" t="str">
        <f>IFERROR(IF(AND(F251&lt;&gt;"",G251=""),"Confirm irreplaceable habitat status ▲",(IF(AND(R251&lt;&gt;"",AF251=""),"Off-site reference required ▲",(IF(AND(E251="Individual trees",W251&gt;0,G251="Yes"),"Error - you cannot enhance irreplaceable individual trees ▲",(IF(AND(X251="Irreplaceable habitat - no units generated ⚠",(W251+V251)&lt;H251,OR(AB251="No",AB251="")),"Any Loss Unacceptable ⚠",(IF(X251="Irreplaceable habitat - no units generated ⚠",W251*J251*L251*O251,IF(AND(P251='G-1 All Habitats'!$X$9,AH251&gt;0,V251&lt;=0,W251&lt;=0,OR(AB251="No",AB251="")),"Any Loss Unacceptable ⚠",IF(AND(P251='G-1 All Habitats'!$X$9,AH251&gt;0,V251&lt;=0,W251&lt;=0),0,(IF(AND(P251='G-1 All Habitats'!$X$9,(W251+V251)&lt;H251,OR(AB251="No",AB251="")),"Any Loss Unacceptable ⚠",(IF(P251="","",IF(AND(P251='G-1 All Habitats'!$X$9,W251&gt;0),X251+Y251,IF(AND(P251='G-1 All Habitats'!$X$9,V251&gt;0),X251+Y251,IF(R251="","",H251*J251*L251*O251)))))))))))))))))),"Check Data ▲")</f>
        <v/>
      </c>
      <c r="U251" s="38"/>
      <c r="V251" s="52"/>
      <c r="W251" s="53"/>
      <c r="X251" s="287" t="str">
        <f t="shared" si="29"/>
        <v/>
      </c>
      <c r="Y251" s="287" t="str">
        <f t="shared" si="30"/>
        <v/>
      </c>
      <c r="Z251" s="287" t="str">
        <f t="shared" si="31"/>
        <v/>
      </c>
      <c r="AA251" s="317" t="str">
        <f>IFERROR(IF(AND(E251="Individual trees",G251="Yes",W251&gt;0),"Error - you cannot enhance an irreplaceable tree ▲",(IF(H251="","",IF(H251-V251-W251=0&lt;0,"Error in Areas ▲",IF(V251+W251&gt;H251,"Error in Areas ▲",IF(AND(P251='G-1 All Habitats'!$X$9,AB251="Yes"),"Alternative Compensation ✓",IF(AND(P251='G-1 All Habitats'!$X$3,AB251="Yes"),"Alternative Compensation ✓",IF(AND(AB251="Pending",P251='G-1 All Habitats'!$X$3),"Bespoke compensation must be agreed ▲",IF(AND(AB251="Pending",P251='G-1 All Habitats'!$X$9),"Bespoke compensation must be agreed  ▲",IF(Z251=0,0,IF(P251='G-1 All Habitats'!$X$9,"Any Loss Unacceptable ▲",T251-X251-Y251))))))))))),"Check Data ⚠")</f>
        <v/>
      </c>
      <c r="AB251" s="587"/>
      <c r="AC251" s="105"/>
      <c r="AD251" s="138"/>
      <c r="AE251" s="104"/>
      <c r="AF251" s="611"/>
      <c r="AG251" s="523" t="str">
        <f>IF(OR(P251="",AB251="Yes"),"",IF(P251='G-1 All Habitats'!$X$9,H251-V251-W251,"None"))</f>
        <v/>
      </c>
      <c r="AH251" s="523" t="str">
        <f>IF(P251="","",IF(P251='G-1 All Habitats'!$X$9,AG251*J251*L251*O251,"None"))</f>
        <v/>
      </c>
      <c r="AJ251" s="107" t="str">
        <f t="shared" si="32"/>
        <v/>
      </c>
      <c r="AK251" s="107" t="str">
        <f t="shared" si="27"/>
        <v/>
      </c>
      <c r="AL251" s="107" t="str">
        <f>IF(I251="","",IF(#REF!&gt;0,TRUE,FALSE))</f>
        <v/>
      </c>
      <c r="AM251" s="107">
        <v>241</v>
      </c>
      <c r="AN251" s="107"/>
      <c r="AO251" s="107" t="str">
        <f t="array" ref="AO251">IFERROR(INDEX($AM$11:$AM$259,MATCH(0,IF(TRUE=$AJ$11:$AJ$259,COUNTIF($AO$10:$AO250,$AM$11:$AM$259),""),0)),"")</f>
        <v/>
      </c>
      <c r="AP251" s="107" t="str">
        <f t="array" ref="AP251">IFERROR(INDEX($AM$11:$AM$259,MATCH(0,IF(TRUE=$AK$11:$AK$259,COUNTIF($AP$10:$AP250,$AM$11:$AM$259),""),0)),"")</f>
        <v/>
      </c>
      <c r="AQ251" s="107" t="str">
        <f t="array" ref="AQ251">IFERROR(INDEX($AM$11:$AM$259,MATCH(0,IF(TRUE=$AL$11:$AL$259,COUNTIF($AQ$10:$AQ250,$AM$11:$AM$259),""),0)),"")</f>
        <v/>
      </c>
      <c r="AS251" s="885" t="str">
        <f>IF(AND(OR(AB251="Yes",AB251="Pending"),P251='G-1 All Habitats'!$X$3),T251-X251-Y251,"0")</f>
        <v>0</v>
      </c>
      <c r="AT251" s="30" t="str">
        <f t="shared" si="28"/>
        <v/>
      </c>
      <c r="AU251" s="30">
        <f t="shared" si="33"/>
        <v>0</v>
      </c>
      <c r="AV251" s="230" t="str">
        <f>IFERROR(INDEX('G-1 All Habitats'!$B$3:$B$135,MATCH(F251,'G-1 All Habitats'!$A$3:$A$135,0)),"")</f>
        <v/>
      </c>
      <c r="AW251" s="30" t="str">
        <f>IF(AV251="","",VLOOKUP(AV251,'G-1 All Habitats'!$B$1:$T$135,19,FALSE))</f>
        <v/>
      </c>
      <c r="AY251" s="287" t="str">
        <f t="shared" si="34"/>
        <v/>
      </c>
    </row>
    <row r="252" spans="1:51" ht="14">
      <c r="A252" s="30" t="str">
        <f>IFERROR(INDEX('G-1 All Habitats'!$AG$3:$AG$17,MATCH(E252,'G-1 All Habitats'!$AF$3:$AF$17,0)),"")</f>
        <v/>
      </c>
      <c r="B252" s="30" t="str">
        <f>IFERROR(INDEX('G-8 Condition Look up'!$I$4:$I$135,MATCH(AV252,'G-8 Condition Look up'!$A$4:$A$135,0)),"")</f>
        <v/>
      </c>
      <c r="D252" s="97">
        <v>242</v>
      </c>
      <c r="E252" s="262"/>
      <c r="F252" s="263"/>
      <c r="G252" s="133"/>
      <c r="H252" s="115"/>
      <c r="I252" s="509" t="str">
        <f>IF(AV252="","",IF(AND(AW252="Yes",G252="No"),"Irreplaceable habitat ▲",IF(AND(AW252="No",G252="Yes"),"Cannot be Irreplaceable ▲",VLOOKUP(AV252,'G-1 All Habitats'!$B$2:$M$135,10,FALSE))))</f>
        <v/>
      </c>
      <c r="J252" s="377" t="str">
        <f>IFERROR(VLOOKUP(I252,'G-1 All Habitats'!$V$3:$W$7,2,FALSE),"")</f>
        <v/>
      </c>
      <c r="K252" s="101"/>
      <c r="L252" s="276" t="str">
        <f>IFERROR(INDEX('G-8 Condition Look up'!$A$3:$H$135,MATCH(AV252,'G-8 Condition Look up'!$A$3:$A$135,0),MATCH(K252,'G-8 Condition Look up'!$A$3:$H$3,0)),"")</f>
        <v/>
      </c>
      <c r="M252" s="105"/>
      <c r="N252" s="295" t="str">
        <f>IF(M252="","",IF(VLOOKUP(M252,'G-3 Multipliers'!$L$3:$N$6,2,FALSE)=0,"Spatial Data Missing ⚠",VLOOKUP(M252,'G-3 Multipliers'!$L$3:$N$6,2,FALSE)))</f>
        <v/>
      </c>
      <c r="O252" s="353" t="str">
        <f>IF(M252="","",IF(VLOOKUP(M252,'G-3 Multipliers'!$L$3:$N$6,3,FALSE)=0,"Spatial Data Missing ⚠",VLOOKUP(M252,'G-3 Multipliers'!$L$3:$N$6,3,FALSE)))</f>
        <v/>
      </c>
      <c r="P252" s="336" t="str">
        <f>(IF(G252="Yes","Bespoke compensation likely to be required",(IFERROR(VLOOKUP(AV252,'G-1 All Habitats'!$B$2:$M$135,12,FALSE),""))))</f>
        <v/>
      </c>
      <c r="Q252" s="511" t="str">
        <f>IFERROR(IF(P252="","",IF(AND(E252="Individual trees",W252&gt;0,G252="Yes"),"Error - you cannot enhance irreplaceable individual trees ▲",IF(P252='G-1 All Habitats'!$X$9,T252*S252,IF(AND(P252='G-1 All Habitats'!$X$9,W252&gt;0),X252+(Y252*S252),IF(AND(P252='G-1 All Habitats'!$X$9,V252&gt;0),X252+(Y252*S252),IF(AND(P252='G-1 All Habitats'!$X$9,AG252&gt;0),"Any Loss Unacceptable  ⚠",IF(AND(P252='G-1 All Habitats'!$X$9,Z252&gt;0),"Any Loss Unacceptable ⚠",H252*J252*L252*O252*S252))))))),"Check Data ⚠")</f>
        <v/>
      </c>
      <c r="R252" s="393"/>
      <c r="S252" s="510" t="str">
        <f>IF(R252="","",IF(VLOOKUP(R252,'G-3 Multipliers'!$S$3:$T$10,2,FALSE)=0,"Spatial Data Missing ⚠",VLOOKUP(R252,'G-3 Multipliers'!$S$3:$T$10,2,FALSE)))</f>
        <v/>
      </c>
      <c r="T252" s="289" t="str">
        <f>IFERROR(IF(AND(F252&lt;&gt;"",G252=""),"Confirm irreplaceable habitat status ▲",(IF(AND(R252&lt;&gt;"",AF252=""),"Off-site reference required ▲",(IF(AND(E252="Individual trees",W252&gt;0,G252="Yes"),"Error - you cannot enhance irreplaceable individual trees ▲",(IF(AND(X252="Irreplaceable habitat - no units generated ⚠",(W252+V252)&lt;H252,OR(AB252="No",AB252="")),"Any Loss Unacceptable ⚠",(IF(X252="Irreplaceable habitat - no units generated ⚠",W252*J252*L252*O252,IF(AND(P252='G-1 All Habitats'!$X$9,AH252&gt;0,V252&lt;=0,W252&lt;=0,OR(AB252="No",AB252="")),"Any Loss Unacceptable ⚠",IF(AND(P252='G-1 All Habitats'!$X$9,AH252&gt;0,V252&lt;=0,W252&lt;=0),0,(IF(AND(P252='G-1 All Habitats'!$X$9,(W252+V252)&lt;H252,OR(AB252="No",AB252="")),"Any Loss Unacceptable ⚠",(IF(P252="","",IF(AND(P252='G-1 All Habitats'!$X$9,W252&gt;0),X252+Y252,IF(AND(P252='G-1 All Habitats'!$X$9,V252&gt;0),X252+Y252,IF(R252="","",H252*J252*L252*O252)))))))))))))))))),"Check Data ▲")</f>
        <v/>
      </c>
      <c r="U252" s="38"/>
      <c r="V252" s="52"/>
      <c r="W252" s="53"/>
      <c r="X252" s="287" t="str">
        <f t="shared" si="29"/>
        <v/>
      </c>
      <c r="Y252" s="287" t="str">
        <f t="shared" si="30"/>
        <v/>
      </c>
      <c r="Z252" s="287" t="str">
        <f t="shared" si="31"/>
        <v/>
      </c>
      <c r="AA252" s="317" t="str">
        <f>IFERROR(IF(AND(E252="Individual trees",G252="Yes",W252&gt;0),"Error - you cannot enhance an irreplaceable tree ▲",(IF(H252="","",IF(H252-V252-W252=0&lt;0,"Error in Areas ▲",IF(V252+W252&gt;H252,"Error in Areas ▲",IF(AND(P252='G-1 All Habitats'!$X$9,AB252="Yes"),"Alternative Compensation ✓",IF(AND(P252='G-1 All Habitats'!$X$3,AB252="Yes"),"Alternative Compensation ✓",IF(AND(AB252="Pending",P252='G-1 All Habitats'!$X$3),"Bespoke compensation must be agreed ▲",IF(AND(AB252="Pending",P252='G-1 All Habitats'!$X$9),"Bespoke compensation must be agreed  ▲",IF(Z252=0,0,IF(P252='G-1 All Habitats'!$X$9,"Any Loss Unacceptable ▲",T252-X252-Y252))))))))))),"Check Data ⚠")</f>
        <v/>
      </c>
      <c r="AB252" s="587"/>
      <c r="AC252" s="105"/>
      <c r="AD252" s="138"/>
      <c r="AE252" s="104"/>
      <c r="AF252" s="611"/>
      <c r="AG252" s="523" t="str">
        <f>IF(OR(P252="",AB252="Yes"),"",IF(P252='G-1 All Habitats'!$X$9,H252-V252-W252,"None"))</f>
        <v/>
      </c>
      <c r="AH252" s="523" t="str">
        <f>IF(P252="","",IF(P252='G-1 All Habitats'!$X$9,AG252*J252*L252*O252,"None"))</f>
        <v/>
      </c>
      <c r="AJ252" s="107" t="str">
        <f t="shared" si="32"/>
        <v/>
      </c>
      <c r="AK252" s="107" t="str">
        <f t="shared" si="27"/>
        <v/>
      </c>
      <c r="AL252" s="107" t="str">
        <f>IF(I252="","",IF(#REF!&gt;0,TRUE,FALSE))</f>
        <v/>
      </c>
      <c r="AM252" s="107">
        <v>242</v>
      </c>
      <c r="AN252" s="107"/>
      <c r="AO252" s="107" t="str">
        <f t="array" ref="AO252">IFERROR(INDEX($AM$11:$AM$259,MATCH(0,IF(TRUE=$AJ$11:$AJ$259,COUNTIF($AO$10:$AO251,$AM$11:$AM$259),""),0)),"")</f>
        <v/>
      </c>
      <c r="AP252" s="107" t="str">
        <f t="array" ref="AP252">IFERROR(INDEX($AM$11:$AM$259,MATCH(0,IF(TRUE=$AK$11:$AK$259,COUNTIF($AP$10:$AP251,$AM$11:$AM$259),""),0)),"")</f>
        <v/>
      </c>
      <c r="AQ252" s="107" t="str">
        <f t="array" ref="AQ252">IFERROR(INDEX($AM$11:$AM$259,MATCH(0,IF(TRUE=$AL$11:$AL$259,COUNTIF($AQ$10:$AQ251,$AM$11:$AM$259),""),0)),"")</f>
        <v/>
      </c>
      <c r="AS252" s="885" t="str">
        <f>IF(AND(OR(AB252="Yes",AB252="Pending"),P252='G-1 All Habitats'!$X$3),T252-X252-Y252,"0")</f>
        <v>0</v>
      </c>
      <c r="AT252" s="30" t="str">
        <f t="shared" si="28"/>
        <v/>
      </c>
      <c r="AU252" s="30">
        <f t="shared" si="33"/>
        <v>0</v>
      </c>
      <c r="AV252" s="230" t="str">
        <f>IFERROR(INDEX('G-1 All Habitats'!$B$3:$B$135,MATCH(F252,'G-1 All Habitats'!$A$3:$A$135,0)),"")</f>
        <v/>
      </c>
      <c r="AW252" s="30" t="str">
        <f>IF(AV252="","",VLOOKUP(AV252,'G-1 All Habitats'!$B$1:$T$135,19,FALSE))</f>
        <v/>
      </c>
      <c r="AY252" s="287" t="str">
        <f t="shared" si="34"/>
        <v/>
      </c>
    </row>
    <row r="253" spans="1:51" ht="14">
      <c r="A253" s="30" t="str">
        <f>IFERROR(INDEX('G-1 All Habitats'!$AG$3:$AG$17,MATCH(E253,'G-1 All Habitats'!$AF$3:$AF$17,0)),"")</f>
        <v/>
      </c>
      <c r="B253" s="30" t="str">
        <f>IFERROR(INDEX('G-8 Condition Look up'!$I$4:$I$135,MATCH(AV253,'G-8 Condition Look up'!$A$4:$A$135,0)),"")</f>
        <v/>
      </c>
      <c r="D253" s="97">
        <v>243</v>
      </c>
      <c r="E253" s="262"/>
      <c r="F253" s="263"/>
      <c r="G253" s="133"/>
      <c r="H253" s="115"/>
      <c r="I253" s="509" t="str">
        <f>IF(AV253="","",IF(AND(AW253="Yes",G253="No"),"Irreplaceable habitat ▲",IF(AND(AW253="No",G253="Yes"),"Cannot be Irreplaceable ▲",VLOOKUP(AV253,'G-1 All Habitats'!$B$2:$M$135,10,FALSE))))</f>
        <v/>
      </c>
      <c r="J253" s="377" t="str">
        <f>IFERROR(VLOOKUP(I253,'G-1 All Habitats'!$V$3:$W$7,2,FALSE),"")</f>
        <v/>
      </c>
      <c r="K253" s="101"/>
      <c r="L253" s="276" t="str">
        <f>IFERROR(INDEX('G-8 Condition Look up'!$A$3:$H$135,MATCH(AV253,'G-8 Condition Look up'!$A$3:$A$135,0),MATCH(K253,'G-8 Condition Look up'!$A$3:$H$3,0)),"")</f>
        <v/>
      </c>
      <c r="M253" s="105"/>
      <c r="N253" s="295" t="str">
        <f>IF(M253="","",IF(VLOOKUP(M253,'G-3 Multipliers'!$L$3:$N$6,2,FALSE)=0,"Spatial Data Missing ⚠",VLOOKUP(M253,'G-3 Multipliers'!$L$3:$N$6,2,FALSE)))</f>
        <v/>
      </c>
      <c r="O253" s="353" t="str">
        <f>IF(M253="","",IF(VLOOKUP(M253,'G-3 Multipliers'!$L$3:$N$6,3,FALSE)=0,"Spatial Data Missing ⚠",VLOOKUP(M253,'G-3 Multipliers'!$L$3:$N$6,3,FALSE)))</f>
        <v/>
      </c>
      <c r="P253" s="336" t="str">
        <f>(IF(G253="Yes","Bespoke compensation likely to be required",(IFERROR(VLOOKUP(AV253,'G-1 All Habitats'!$B$2:$M$135,12,FALSE),""))))</f>
        <v/>
      </c>
      <c r="Q253" s="511" t="str">
        <f>IFERROR(IF(P253="","",IF(AND(E253="Individual trees",W253&gt;0,G253="Yes"),"Error - you cannot enhance irreplaceable individual trees ▲",IF(P253='G-1 All Habitats'!$X$9,T253*S253,IF(AND(P253='G-1 All Habitats'!$X$9,W253&gt;0),X253+(Y253*S253),IF(AND(P253='G-1 All Habitats'!$X$9,V253&gt;0),X253+(Y253*S253),IF(AND(P253='G-1 All Habitats'!$X$9,AG253&gt;0),"Any Loss Unacceptable  ⚠",IF(AND(P253='G-1 All Habitats'!$X$9,Z253&gt;0),"Any Loss Unacceptable ⚠",H253*J253*L253*O253*S253))))))),"Check Data ⚠")</f>
        <v/>
      </c>
      <c r="R253" s="393"/>
      <c r="S253" s="510" t="str">
        <f>IF(R253="","",IF(VLOOKUP(R253,'G-3 Multipliers'!$S$3:$T$10,2,FALSE)=0,"Spatial Data Missing ⚠",VLOOKUP(R253,'G-3 Multipliers'!$S$3:$T$10,2,FALSE)))</f>
        <v/>
      </c>
      <c r="T253" s="289" t="str">
        <f>IFERROR(IF(AND(F253&lt;&gt;"",G253=""),"Confirm irreplaceable habitat status ▲",(IF(AND(R253&lt;&gt;"",AF253=""),"Off-site reference required ▲",(IF(AND(E253="Individual trees",W253&gt;0,G253="Yes"),"Error - you cannot enhance irreplaceable individual trees ▲",(IF(AND(X253="Irreplaceable habitat - no units generated ⚠",(W253+V253)&lt;H253,OR(AB253="No",AB253="")),"Any Loss Unacceptable ⚠",(IF(X253="Irreplaceable habitat - no units generated ⚠",W253*J253*L253*O253,IF(AND(P253='G-1 All Habitats'!$X$9,AH253&gt;0,V253&lt;=0,W253&lt;=0,OR(AB253="No",AB253="")),"Any Loss Unacceptable ⚠",IF(AND(P253='G-1 All Habitats'!$X$9,AH253&gt;0,V253&lt;=0,W253&lt;=0),0,(IF(AND(P253='G-1 All Habitats'!$X$9,(W253+V253)&lt;H253,OR(AB253="No",AB253="")),"Any Loss Unacceptable ⚠",(IF(P253="","",IF(AND(P253='G-1 All Habitats'!$X$9,W253&gt;0),X253+Y253,IF(AND(P253='G-1 All Habitats'!$X$9,V253&gt;0),X253+Y253,IF(R253="","",H253*J253*L253*O253)))))))))))))))))),"Check Data ▲")</f>
        <v/>
      </c>
      <c r="U253" s="38"/>
      <c r="V253" s="52"/>
      <c r="W253" s="53"/>
      <c r="X253" s="287" t="str">
        <f t="shared" si="29"/>
        <v/>
      </c>
      <c r="Y253" s="287" t="str">
        <f t="shared" si="30"/>
        <v/>
      </c>
      <c r="Z253" s="287" t="str">
        <f t="shared" si="31"/>
        <v/>
      </c>
      <c r="AA253" s="317" t="str">
        <f>IFERROR(IF(AND(E253="Individual trees",G253="Yes",W253&gt;0),"Error - you cannot enhance an irreplaceable tree ▲",(IF(H253="","",IF(H253-V253-W253=0&lt;0,"Error in Areas ▲",IF(V253+W253&gt;H253,"Error in Areas ▲",IF(AND(P253='G-1 All Habitats'!$X$9,AB253="Yes"),"Alternative Compensation ✓",IF(AND(P253='G-1 All Habitats'!$X$3,AB253="Yes"),"Alternative Compensation ✓",IF(AND(AB253="Pending",P253='G-1 All Habitats'!$X$3),"Bespoke compensation must be agreed ▲",IF(AND(AB253="Pending",P253='G-1 All Habitats'!$X$9),"Bespoke compensation must be agreed  ▲",IF(Z253=0,0,IF(P253='G-1 All Habitats'!$X$9,"Any Loss Unacceptable ▲",T253-X253-Y253))))))))))),"Check Data ⚠")</f>
        <v/>
      </c>
      <c r="AB253" s="587"/>
      <c r="AC253" s="105"/>
      <c r="AD253" s="138"/>
      <c r="AE253" s="104"/>
      <c r="AF253" s="611"/>
      <c r="AG253" s="523" t="str">
        <f>IF(OR(P253="",AB253="Yes"),"",IF(P253='G-1 All Habitats'!$X$9,H253-V253-W253,"None"))</f>
        <v/>
      </c>
      <c r="AH253" s="523" t="str">
        <f>IF(P253="","",IF(P253='G-1 All Habitats'!$X$9,AG253*J253*L253*O253,"None"))</f>
        <v/>
      </c>
      <c r="AJ253" s="107" t="str">
        <f t="shared" si="32"/>
        <v/>
      </c>
      <c r="AK253" s="107" t="str">
        <f t="shared" si="27"/>
        <v/>
      </c>
      <c r="AL253" s="107" t="str">
        <f>IF(I253="","",IF(#REF!&gt;0,TRUE,FALSE))</f>
        <v/>
      </c>
      <c r="AM253" s="107">
        <v>243</v>
      </c>
      <c r="AN253" s="107"/>
      <c r="AO253" s="107" t="str">
        <f t="array" ref="AO253">IFERROR(INDEX($AM$11:$AM$259,MATCH(0,IF(TRUE=$AJ$11:$AJ$259,COUNTIF($AO$10:$AO252,$AM$11:$AM$259),""),0)),"")</f>
        <v/>
      </c>
      <c r="AP253" s="107" t="str">
        <f t="array" ref="AP253">IFERROR(INDEX($AM$11:$AM$259,MATCH(0,IF(TRUE=$AK$11:$AK$259,COUNTIF($AP$10:$AP252,$AM$11:$AM$259),""),0)),"")</f>
        <v/>
      </c>
      <c r="AQ253" s="107" t="str">
        <f t="array" ref="AQ253">IFERROR(INDEX($AM$11:$AM$259,MATCH(0,IF(TRUE=$AL$11:$AL$259,COUNTIF($AQ$10:$AQ252,$AM$11:$AM$259),""),0)),"")</f>
        <v/>
      </c>
      <c r="AS253" s="885" t="str">
        <f>IF(AND(OR(AB253="Yes",AB253="Pending"),P253='G-1 All Habitats'!$X$3),T253-X253-Y253,"0")</f>
        <v>0</v>
      </c>
      <c r="AT253" s="30" t="str">
        <f t="shared" si="28"/>
        <v/>
      </c>
      <c r="AU253" s="30">
        <f t="shared" si="33"/>
        <v>0</v>
      </c>
      <c r="AV253" s="230" t="str">
        <f>IFERROR(INDEX('G-1 All Habitats'!$B$3:$B$135,MATCH(F253,'G-1 All Habitats'!$A$3:$A$135,0)),"")</f>
        <v/>
      </c>
      <c r="AW253" s="30" t="str">
        <f>IF(AV253="","",VLOOKUP(AV253,'G-1 All Habitats'!$B$1:$T$135,19,FALSE))</f>
        <v/>
      </c>
      <c r="AY253" s="287" t="str">
        <f t="shared" si="34"/>
        <v/>
      </c>
    </row>
    <row r="254" spans="1:51" ht="14">
      <c r="A254" s="30" t="str">
        <f>IFERROR(INDEX('G-1 All Habitats'!$AG$3:$AG$17,MATCH(E254,'G-1 All Habitats'!$AF$3:$AF$17,0)),"")</f>
        <v/>
      </c>
      <c r="B254" s="30" t="str">
        <f>IFERROR(INDEX('G-8 Condition Look up'!$I$4:$I$135,MATCH(AV254,'G-8 Condition Look up'!$A$4:$A$135,0)),"")</f>
        <v/>
      </c>
      <c r="D254" s="97">
        <v>244</v>
      </c>
      <c r="E254" s="262"/>
      <c r="F254" s="263"/>
      <c r="G254" s="133"/>
      <c r="H254" s="115"/>
      <c r="I254" s="509" t="str">
        <f>IF(AV254="","",IF(AND(AW254="Yes",G254="No"),"Irreplaceable habitat ▲",IF(AND(AW254="No",G254="Yes"),"Cannot be Irreplaceable ▲",VLOOKUP(AV254,'G-1 All Habitats'!$B$2:$M$135,10,FALSE))))</f>
        <v/>
      </c>
      <c r="J254" s="377" t="str">
        <f>IFERROR(VLOOKUP(I254,'G-1 All Habitats'!$V$3:$W$7,2,FALSE),"")</f>
        <v/>
      </c>
      <c r="K254" s="101"/>
      <c r="L254" s="276" t="str">
        <f>IFERROR(INDEX('G-8 Condition Look up'!$A$3:$H$135,MATCH(AV254,'G-8 Condition Look up'!$A$3:$A$135,0),MATCH(K254,'G-8 Condition Look up'!$A$3:$H$3,0)),"")</f>
        <v/>
      </c>
      <c r="M254" s="105"/>
      <c r="N254" s="295" t="str">
        <f>IF(M254="","",IF(VLOOKUP(M254,'G-3 Multipliers'!$L$3:$N$6,2,FALSE)=0,"Spatial Data Missing ⚠",VLOOKUP(M254,'G-3 Multipliers'!$L$3:$N$6,2,FALSE)))</f>
        <v/>
      </c>
      <c r="O254" s="353" t="str">
        <f>IF(M254="","",IF(VLOOKUP(M254,'G-3 Multipliers'!$L$3:$N$6,3,FALSE)=0,"Spatial Data Missing ⚠",VLOOKUP(M254,'G-3 Multipliers'!$L$3:$N$6,3,FALSE)))</f>
        <v/>
      </c>
      <c r="P254" s="336" t="str">
        <f>(IF(G254="Yes","Bespoke compensation likely to be required",(IFERROR(VLOOKUP(AV254,'G-1 All Habitats'!$B$2:$M$135,12,FALSE),""))))</f>
        <v/>
      </c>
      <c r="Q254" s="511" t="str">
        <f>IFERROR(IF(P254="","",IF(AND(E254="Individual trees",W254&gt;0,G254="Yes"),"Error - you cannot enhance irreplaceable individual trees ▲",IF(P254='G-1 All Habitats'!$X$9,T254*S254,IF(AND(P254='G-1 All Habitats'!$X$9,W254&gt;0),X254+(Y254*S254),IF(AND(P254='G-1 All Habitats'!$X$9,V254&gt;0),X254+(Y254*S254),IF(AND(P254='G-1 All Habitats'!$X$9,AG254&gt;0),"Any Loss Unacceptable  ⚠",IF(AND(P254='G-1 All Habitats'!$X$9,Z254&gt;0),"Any Loss Unacceptable ⚠",H254*J254*L254*O254*S254))))))),"Check Data ⚠")</f>
        <v/>
      </c>
      <c r="R254" s="393"/>
      <c r="S254" s="510" t="str">
        <f>IF(R254="","",IF(VLOOKUP(R254,'G-3 Multipliers'!$S$3:$T$10,2,FALSE)=0,"Spatial Data Missing ⚠",VLOOKUP(R254,'G-3 Multipliers'!$S$3:$T$10,2,FALSE)))</f>
        <v/>
      </c>
      <c r="T254" s="289" t="str">
        <f>IFERROR(IF(AND(F254&lt;&gt;"",G254=""),"Confirm irreplaceable habitat status ▲",(IF(AND(R254&lt;&gt;"",AF254=""),"Off-site reference required ▲",(IF(AND(E254="Individual trees",W254&gt;0,G254="Yes"),"Error - you cannot enhance irreplaceable individual trees ▲",(IF(AND(X254="Irreplaceable habitat - no units generated ⚠",(W254+V254)&lt;H254,OR(AB254="No",AB254="")),"Any Loss Unacceptable ⚠",(IF(X254="Irreplaceable habitat - no units generated ⚠",W254*J254*L254*O254,IF(AND(P254='G-1 All Habitats'!$X$9,AH254&gt;0,V254&lt;=0,W254&lt;=0,OR(AB254="No",AB254="")),"Any Loss Unacceptable ⚠",IF(AND(P254='G-1 All Habitats'!$X$9,AH254&gt;0,V254&lt;=0,W254&lt;=0),0,(IF(AND(P254='G-1 All Habitats'!$X$9,(W254+V254)&lt;H254,OR(AB254="No",AB254="")),"Any Loss Unacceptable ⚠",(IF(P254="","",IF(AND(P254='G-1 All Habitats'!$X$9,W254&gt;0),X254+Y254,IF(AND(P254='G-1 All Habitats'!$X$9,V254&gt;0),X254+Y254,IF(R254="","",H254*J254*L254*O254)))))))))))))))))),"Check Data ▲")</f>
        <v/>
      </c>
      <c r="U254" s="38"/>
      <c r="V254" s="52"/>
      <c r="W254" s="53"/>
      <c r="X254" s="287" t="str">
        <f t="shared" si="29"/>
        <v/>
      </c>
      <c r="Y254" s="287" t="str">
        <f t="shared" si="30"/>
        <v/>
      </c>
      <c r="Z254" s="287" t="str">
        <f t="shared" si="31"/>
        <v/>
      </c>
      <c r="AA254" s="317" t="str">
        <f>IFERROR(IF(AND(E254="Individual trees",G254="Yes",W254&gt;0),"Error - you cannot enhance an irreplaceable tree ▲",(IF(H254="","",IF(H254-V254-W254=0&lt;0,"Error in Areas ▲",IF(V254+W254&gt;H254,"Error in Areas ▲",IF(AND(P254='G-1 All Habitats'!$X$9,AB254="Yes"),"Alternative Compensation ✓",IF(AND(P254='G-1 All Habitats'!$X$3,AB254="Yes"),"Alternative Compensation ✓",IF(AND(AB254="Pending",P254='G-1 All Habitats'!$X$3),"Bespoke compensation must be agreed ▲",IF(AND(AB254="Pending",P254='G-1 All Habitats'!$X$9),"Bespoke compensation must be agreed  ▲",IF(Z254=0,0,IF(P254='G-1 All Habitats'!$X$9,"Any Loss Unacceptable ▲",T254-X254-Y254))))))))))),"Check Data ⚠")</f>
        <v/>
      </c>
      <c r="AB254" s="587"/>
      <c r="AC254" s="105"/>
      <c r="AD254" s="138"/>
      <c r="AE254" s="104"/>
      <c r="AF254" s="611"/>
      <c r="AG254" s="523" t="str">
        <f>IF(OR(P254="",AB254="Yes"),"",IF(P254='G-1 All Habitats'!$X$9,H254-V254-W254,"None"))</f>
        <v/>
      </c>
      <c r="AH254" s="523" t="str">
        <f>IF(P254="","",IF(P254='G-1 All Habitats'!$X$9,AG254*J254*L254*O254,"None"))</f>
        <v/>
      </c>
      <c r="AJ254" s="107" t="str">
        <f t="shared" si="32"/>
        <v/>
      </c>
      <c r="AK254" s="107" t="str">
        <f t="shared" si="27"/>
        <v/>
      </c>
      <c r="AL254" s="107" t="str">
        <f>IF(I254="","",IF(#REF!&gt;0,TRUE,FALSE))</f>
        <v/>
      </c>
      <c r="AM254" s="107">
        <v>244</v>
      </c>
      <c r="AN254" s="107"/>
      <c r="AO254" s="107" t="str">
        <f t="array" ref="AO254">IFERROR(INDEX($AM$11:$AM$259,MATCH(0,IF(TRUE=$AJ$11:$AJ$259,COUNTIF($AO$10:$AO253,$AM$11:$AM$259),""),0)),"")</f>
        <v/>
      </c>
      <c r="AP254" s="107" t="str">
        <f t="array" ref="AP254">IFERROR(INDEX($AM$11:$AM$259,MATCH(0,IF(TRUE=$AK$11:$AK$259,COUNTIF($AP$10:$AP253,$AM$11:$AM$259),""),0)),"")</f>
        <v/>
      </c>
      <c r="AQ254" s="107" t="str">
        <f t="array" ref="AQ254">IFERROR(INDEX($AM$11:$AM$259,MATCH(0,IF(TRUE=$AL$11:$AL$259,COUNTIF($AQ$10:$AQ253,$AM$11:$AM$259),""),0)),"")</f>
        <v/>
      </c>
      <c r="AS254" s="885" t="str">
        <f>IF(AND(OR(AB254="Yes",AB254="Pending"),P254='G-1 All Habitats'!$X$3),T254-X254-Y254,"0")</f>
        <v>0</v>
      </c>
      <c r="AT254" s="30" t="str">
        <f t="shared" si="28"/>
        <v/>
      </c>
      <c r="AU254" s="30">
        <f t="shared" si="33"/>
        <v>0</v>
      </c>
      <c r="AV254" s="230" t="str">
        <f>IFERROR(INDEX('G-1 All Habitats'!$B$3:$B$135,MATCH(F254,'G-1 All Habitats'!$A$3:$A$135,0)),"")</f>
        <v/>
      </c>
      <c r="AW254" s="30" t="str">
        <f>IF(AV254="","",VLOOKUP(AV254,'G-1 All Habitats'!$B$1:$T$135,19,FALSE))</f>
        <v/>
      </c>
      <c r="AY254" s="287" t="str">
        <f t="shared" si="34"/>
        <v/>
      </c>
    </row>
    <row r="255" spans="1:51" ht="14">
      <c r="A255" s="30" t="str">
        <f>IFERROR(INDEX('G-1 All Habitats'!$AG$3:$AG$17,MATCH(E255,'G-1 All Habitats'!$AF$3:$AF$17,0)),"")</f>
        <v/>
      </c>
      <c r="B255" s="30" t="str">
        <f>IFERROR(INDEX('G-8 Condition Look up'!$I$4:$I$135,MATCH(AV255,'G-8 Condition Look up'!$A$4:$A$135,0)),"")</f>
        <v/>
      </c>
      <c r="D255" s="97">
        <v>245</v>
      </c>
      <c r="E255" s="262"/>
      <c r="F255" s="263"/>
      <c r="G255" s="133"/>
      <c r="H255" s="115"/>
      <c r="I255" s="509" t="str">
        <f>IF(AV255="","",IF(AND(AW255="Yes",G255="No"),"Irreplaceable habitat ▲",IF(AND(AW255="No",G255="Yes"),"Cannot be Irreplaceable ▲",VLOOKUP(AV255,'G-1 All Habitats'!$B$2:$M$135,10,FALSE))))</f>
        <v/>
      </c>
      <c r="J255" s="377" t="str">
        <f>IFERROR(VLOOKUP(I255,'G-1 All Habitats'!$V$3:$W$7,2,FALSE),"")</f>
        <v/>
      </c>
      <c r="K255" s="101"/>
      <c r="L255" s="276" t="str">
        <f>IFERROR(INDEX('G-8 Condition Look up'!$A$3:$H$135,MATCH(AV255,'G-8 Condition Look up'!$A$3:$A$135,0),MATCH(K255,'G-8 Condition Look up'!$A$3:$H$3,0)),"")</f>
        <v/>
      </c>
      <c r="M255" s="105"/>
      <c r="N255" s="295" t="str">
        <f>IF(M255="","",IF(VLOOKUP(M255,'G-3 Multipliers'!$L$3:$N$6,2,FALSE)=0,"Spatial Data Missing ⚠",VLOOKUP(M255,'G-3 Multipliers'!$L$3:$N$6,2,FALSE)))</f>
        <v/>
      </c>
      <c r="O255" s="353" t="str">
        <f>IF(M255="","",IF(VLOOKUP(M255,'G-3 Multipliers'!$L$3:$N$6,3,FALSE)=0,"Spatial Data Missing ⚠",VLOOKUP(M255,'G-3 Multipliers'!$L$3:$N$6,3,FALSE)))</f>
        <v/>
      </c>
      <c r="P255" s="336" t="str">
        <f>(IF(G255="Yes","Bespoke compensation likely to be required",(IFERROR(VLOOKUP(AV255,'G-1 All Habitats'!$B$2:$M$135,12,FALSE),""))))</f>
        <v/>
      </c>
      <c r="Q255" s="511" t="str">
        <f>IFERROR(IF(P255="","",IF(AND(E255="Individual trees",W255&gt;0,G255="Yes"),"Error - you cannot enhance irreplaceable individual trees ▲",IF(P255='G-1 All Habitats'!$X$9,T255*S255,IF(AND(P255='G-1 All Habitats'!$X$9,W255&gt;0),X255+(Y255*S255),IF(AND(P255='G-1 All Habitats'!$X$9,V255&gt;0),X255+(Y255*S255),IF(AND(P255='G-1 All Habitats'!$X$9,AG255&gt;0),"Any Loss Unacceptable  ⚠",IF(AND(P255='G-1 All Habitats'!$X$9,Z255&gt;0),"Any Loss Unacceptable ⚠",H255*J255*L255*O255*S255))))))),"Check Data ⚠")</f>
        <v/>
      </c>
      <c r="R255" s="393"/>
      <c r="S255" s="510" t="str">
        <f>IF(R255="","",IF(VLOOKUP(R255,'G-3 Multipliers'!$S$3:$T$10,2,FALSE)=0,"Spatial Data Missing ⚠",VLOOKUP(R255,'G-3 Multipliers'!$S$3:$T$10,2,FALSE)))</f>
        <v/>
      </c>
      <c r="T255" s="289" t="str">
        <f>IFERROR(IF(AND(F255&lt;&gt;"",G255=""),"Confirm irreplaceable habitat status ▲",(IF(AND(R255&lt;&gt;"",AF255=""),"Off-site reference required ▲",(IF(AND(E255="Individual trees",W255&gt;0,G255="Yes"),"Error - you cannot enhance irreplaceable individual trees ▲",(IF(AND(X255="Irreplaceable habitat - no units generated ⚠",(W255+V255)&lt;H255,OR(AB255="No",AB255="")),"Any Loss Unacceptable ⚠",(IF(X255="Irreplaceable habitat - no units generated ⚠",W255*J255*L255*O255,IF(AND(P255='G-1 All Habitats'!$X$9,AH255&gt;0,V255&lt;=0,W255&lt;=0,OR(AB255="No",AB255="")),"Any Loss Unacceptable ⚠",IF(AND(P255='G-1 All Habitats'!$X$9,AH255&gt;0,V255&lt;=0,W255&lt;=0),0,(IF(AND(P255='G-1 All Habitats'!$X$9,(W255+V255)&lt;H255,OR(AB255="No",AB255="")),"Any Loss Unacceptable ⚠",(IF(P255="","",IF(AND(P255='G-1 All Habitats'!$X$9,W255&gt;0),X255+Y255,IF(AND(P255='G-1 All Habitats'!$X$9,V255&gt;0),X255+Y255,IF(R255="","",H255*J255*L255*O255)))))))))))))))))),"Check Data ▲")</f>
        <v/>
      </c>
      <c r="U255" s="38"/>
      <c r="V255" s="52"/>
      <c r="W255" s="53"/>
      <c r="X255" s="287" t="str">
        <f t="shared" si="29"/>
        <v/>
      </c>
      <c r="Y255" s="287" t="str">
        <f t="shared" si="30"/>
        <v/>
      </c>
      <c r="Z255" s="287" t="str">
        <f t="shared" si="31"/>
        <v/>
      </c>
      <c r="AA255" s="317" t="str">
        <f>IFERROR(IF(AND(E255="Individual trees",G255="Yes",W255&gt;0),"Error - you cannot enhance an irreplaceable tree ▲",(IF(H255="","",IF(H255-V255-W255=0&lt;0,"Error in Areas ▲",IF(V255+W255&gt;H255,"Error in Areas ▲",IF(AND(P255='G-1 All Habitats'!$X$9,AB255="Yes"),"Alternative Compensation ✓",IF(AND(P255='G-1 All Habitats'!$X$3,AB255="Yes"),"Alternative Compensation ✓",IF(AND(AB255="Pending",P255='G-1 All Habitats'!$X$3),"Bespoke compensation must be agreed ▲",IF(AND(AB255="Pending",P255='G-1 All Habitats'!$X$9),"Bespoke compensation must be agreed  ▲",IF(Z255=0,0,IF(P255='G-1 All Habitats'!$X$9,"Any Loss Unacceptable ▲",T255-X255-Y255))))))))))),"Check Data ⚠")</f>
        <v/>
      </c>
      <c r="AB255" s="587"/>
      <c r="AC255" s="105"/>
      <c r="AD255" s="138"/>
      <c r="AE255" s="104"/>
      <c r="AF255" s="611"/>
      <c r="AG255" s="523" t="str">
        <f>IF(OR(P255="",AB255="Yes"),"",IF(P255='G-1 All Habitats'!$X$9,H255-V255-W255,"None"))</f>
        <v/>
      </c>
      <c r="AH255" s="523" t="str">
        <f>IF(P255="","",IF(P255='G-1 All Habitats'!$X$9,AG255*J255*L255*O255,"None"))</f>
        <v/>
      </c>
      <c r="AJ255" s="107" t="str">
        <f t="shared" si="32"/>
        <v/>
      </c>
      <c r="AK255" s="107" t="str">
        <f t="shared" si="27"/>
        <v/>
      </c>
      <c r="AL255" s="107" t="str">
        <f>IF(I255="","",IF(#REF!&gt;0,TRUE,FALSE))</f>
        <v/>
      </c>
      <c r="AM255" s="107">
        <v>245</v>
      </c>
      <c r="AN255" s="107"/>
      <c r="AO255" s="107" t="str">
        <f t="array" ref="AO255">IFERROR(INDEX($AM$11:$AM$259,MATCH(0,IF(TRUE=$AJ$11:$AJ$259,COUNTIF($AO$10:$AO254,$AM$11:$AM$259),""),0)),"")</f>
        <v/>
      </c>
      <c r="AP255" s="107" t="str">
        <f t="array" ref="AP255">IFERROR(INDEX($AM$11:$AM$259,MATCH(0,IF(TRUE=$AK$11:$AK$259,COUNTIF($AP$10:$AP254,$AM$11:$AM$259),""),0)),"")</f>
        <v/>
      </c>
      <c r="AQ255" s="107" t="str">
        <f t="array" ref="AQ255">IFERROR(INDEX($AM$11:$AM$259,MATCH(0,IF(TRUE=$AL$11:$AL$259,COUNTIF($AQ$10:$AQ254,$AM$11:$AM$259),""),0)),"")</f>
        <v/>
      </c>
      <c r="AS255" s="885" t="str">
        <f>IF(AND(OR(AB255="Yes",AB255="Pending"),P255='G-1 All Habitats'!$X$3),T255-X255-Y255,"0")</f>
        <v>0</v>
      </c>
      <c r="AT255" s="30" t="str">
        <f t="shared" si="28"/>
        <v/>
      </c>
      <c r="AU255" s="30">
        <f t="shared" si="33"/>
        <v>0</v>
      </c>
      <c r="AV255" s="230" t="str">
        <f>IFERROR(INDEX('G-1 All Habitats'!$B$3:$B$135,MATCH(F255,'G-1 All Habitats'!$A$3:$A$135,0)),"")</f>
        <v/>
      </c>
      <c r="AW255" s="30" t="str">
        <f>IF(AV255="","",VLOOKUP(AV255,'G-1 All Habitats'!$B$1:$T$135,19,FALSE))</f>
        <v/>
      </c>
      <c r="AY255" s="287" t="str">
        <f t="shared" si="34"/>
        <v/>
      </c>
    </row>
    <row r="256" spans="1:51" ht="14">
      <c r="A256" s="30" t="str">
        <f>IFERROR(INDEX('G-1 All Habitats'!$AG$3:$AG$17,MATCH(E256,'G-1 All Habitats'!$AF$3:$AF$17,0)),"")</f>
        <v/>
      </c>
      <c r="B256" s="30" t="str">
        <f>IFERROR(INDEX('G-8 Condition Look up'!$I$4:$I$135,MATCH(AV256,'G-8 Condition Look up'!$A$4:$A$135,0)),"")</f>
        <v/>
      </c>
      <c r="D256" s="97">
        <v>246</v>
      </c>
      <c r="E256" s="262"/>
      <c r="F256" s="263"/>
      <c r="G256" s="133"/>
      <c r="H256" s="115"/>
      <c r="I256" s="509" t="str">
        <f>IF(AV256="","",IF(AND(AW256="Yes",G256="No"),"Irreplaceable habitat ▲",IF(AND(AW256="No",G256="Yes"),"Cannot be Irreplaceable ▲",VLOOKUP(AV256,'G-1 All Habitats'!$B$2:$M$135,10,FALSE))))</f>
        <v/>
      </c>
      <c r="J256" s="377" t="str">
        <f>IFERROR(VLOOKUP(I256,'G-1 All Habitats'!$V$3:$W$7,2,FALSE),"")</f>
        <v/>
      </c>
      <c r="K256" s="101"/>
      <c r="L256" s="276" t="str">
        <f>IFERROR(INDEX('G-8 Condition Look up'!$A$3:$H$135,MATCH(AV256,'G-8 Condition Look up'!$A$3:$A$135,0),MATCH(K256,'G-8 Condition Look up'!$A$3:$H$3,0)),"")</f>
        <v/>
      </c>
      <c r="M256" s="105"/>
      <c r="N256" s="295" t="str">
        <f>IF(M256="","",IF(VLOOKUP(M256,'G-3 Multipliers'!$L$3:$N$6,2,FALSE)=0,"Spatial Data Missing ⚠",VLOOKUP(M256,'G-3 Multipliers'!$L$3:$N$6,2,FALSE)))</f>
        <v/>
      </c>
      <c r="O256" s="353" t="str">
        <f>IF(M256="","",IF(VLOOKUP(M256,'G-3 Multipliers'!$L$3:$N$6,3,FALSE)=0,"Spatial Data Missing ⚠",VLOOKUP(M256,'G-3 Multipliers'!$L$3:$N$6,3,FALSE)))</f>
        <v/>
      </c>
      <c r="P256" s="336" t="str">
        <f>(IF(G256="Yes","Bespoke compensation likely to be required",(IFERROR(VLOOKUP(AV256,'G-1 All Habitats'!$B$2:$M$135,12,FALSE),""))))</f>
        <v/>
      </c>
      <c r="Q256" s="511" t="str">
        <f>IFERROR(IF(P256="","",IF(AND(E256="Individual trees",W256&gt;0,G256="Yes"),"Error - you cannot enhance irreplaceable individual trees ▲",IF(P256='G-1 All Habitats'!$X$9,T256*S256,IF(AND(P256='G-1 All Habitats'!$X$9,W256&gt;0),X256+(Y256*S256),IF(AND(P256='G-1 All Habitats'!$X$9,V256&gt;0),X256+(Y256*S256),IF(AND(P256='G-1 All Habitats'!$X$9,AG256&gt;0),"Any Loss Unacceptable  ⚠",IF(AND(P256='G-1 All Habitats'!$X$9,Z256&gt;0),"Any Loss Unacceptable ⚠",H256*J256*L256*O256*S256))))))),"Check Data ⚠")</f>
        <v/>
      </c>
      <c r="R256" s="393"/>
      <c r="S256" s="510" t="str">
        <f>IF(R256="","",IF(VLOOKUP(R256,'G-3 Multipliers'!$S$3:$T$10,2,FALSE)=0,"Spatial Data Missing ⚠",VLOOKUP(R256,'G-3 Multipliers'!$S$3:$T$10,2,FALSE)))</f>
        <v/>
      </c>
      <c r="T256" s="289" t="str">
        <f>IFERROR(IF(AND(F256&lt;&gt;"",G256=""),"Confirm irreplaceable habitat status ▲",(IF(AND(R256&lt;&gt;"",AF256=""),"Off-site reference required ▲",(IF(AND(E256="Individual trees",W256&gt;0,G256="Yes"),"Error - you cannot enhance irreplaceable individual trees ▲",(IF(AND(X256="Irreplaceable habitat - no units generated ⚠",(W256+V256)&lt;H256,OR(AB256="No",AB256="")),"Any Loss Unacceptable ⚠",(IF(X256="Irreplaceable habitat - no units generated ⚠",W256*J256*L256*O256,IF(AND(P256='G-1 All Habitats'!$X$9,AH256&gt;0,V256&lt;=0,W256&lt;=0,OR(AB256="No",AB256="")),"Any Loss Unacceptable ⚠",IF(AND(P256='G-1 All Habitats'!$X$9,AH256&gt;0,V256&lt;=0,W256&lt;=0),0,(IF(AND(P256='G-1 All Habitats'!$X$9,(W256+V256)&lt;H256,OR(AB256="No",AB256="")),"Any Loss Unacceptable ⚠",(IF(P256="","",IF(AND(P256='G-1 All Habitats'!$X$9,W256&gt;0),X256+Y256,IF(AND(P256='G-1 All Habitats'!$X$9,V256&gt;0),X256+Y256,IF(R256="","",H256*J256*L256*O256)))))))))))))))))),"Check Data ▲")</f>
        <v/>
      </c>
      <c r="U256" s="38"/>
      <c r="V256" s="52"/>
      <c r="W256" s="53"/>
      <c r="X256" s="287" t="str">
        <f t="shared" si="29"/>
        <v/>
      </c>
      <c r="Y256" s="287" t="str">
        <f t="shared" si="30"/>
        <v/>
      </c>
      <c r="Z256" s="287" t="str">
        <f t="shared" si="31"/>
        <v/>
      </c>
      <c r="AA256" s="317" t="str">
        <f>IFERROR(IF(AND(E256="Individual trees",G256="Yes",W256&gt;0),"Error - you cannot enhance an irreplaceable tree ▲",(IF(H256="","",IF(H256-V256-W256=0&lt;0,"Error in Areas ▲",IF(V256+W256&gt;H256,"Error in Areas ▲",IF(AND(P256='G-1 All Habitats'!$X$9,AB256="Yes"),"Alternative Compensation ✓",IF(AND(P256='G-1 All Habitats'!$X$3,AB256="Yes"),"Alternative Compensation ✓",IF(AND(AB256="Pending",P256='G-1 All Habitats'!$X$3),"Bespoke compensation must be agreed ▲",IF(AND(AB256="Pending",P256='G-1 All Habitats'!$X$9),"Bespoke compensation must be agreed  ▲",IF(Z256=0,0,IF(P256='G-1 All Habitats'!$X$9,"Any Loss Unacceptable ▲",T256-X256-Y256))))))))))),"Check Data ⚠")</f>
        <v/>
      </c>
      <c r="AB256" s="587"/>
      <c r="AC256" s="105"/>
      <c r="AD256" s="138"/>
      <c r="AE256" s="104"/>
      <c r="AF256" s="611"/>
      <c r="AG256" s="523" t="str">
        <f>IF(OR(P256="",AB256="Yes"),"",IF(P256='G-1 All Habitats'!$X$9,H256-V256-W256,"None"))</f>
        <v/>
      </c>
      <c r="AH256" s="523" t="str">
        <f>IF(P256="","",IF(P256='G-1 All Habitats'!$X$9,AG256*J256*L256*O256,"None"))</f>
        <v/>
      </c>
      <c r="AJ256" s="107" t="str">
        <f t="shared" si="32"/>
        <v/>
      </c>
      <c r="AK256" s="107" t="str">
        <f t="shared" si="27"/>
        <v/>
      </c>
      <c r="AL256" s="107" t="str">
        <f>IF(I256="","",IF(#REF!&gt;0,TRUE,FALSE))</f>
        <v/>
      </c>
      <c r="AM256" s="107">
        <v>246</v>
      </c>
      <c r="AN256" s="107"/>
      <c r="AO256" s="107" t="str">
        <f t="array" ref="AO256">IFERROR(INDEX($AM$11:$AM$259,MATCH(0,IF(TRUE=$AJ$11:$AJ$259,COUNTIF($AO$10:$AO255,$AM$11:$AM$259),""),0)),"")</f>
        <v/>
      </c>
      <c r="AP256" s="107" t="str">
        <f t="array" ref="AP256">IFERROR(INDEX($AM$11:$AM$259,MATCH(0,IF(TRUE=$AK$11:$AK$259,COUNTIF($AP$10:$AP255,$AM$11:$AM$259),""),0)),"")</f>
        <v/>
      </c>
      <c r="AQ256" s="107" t="str">
        <f t="array" ref="AQ256">IFERROR(INDEX($AM$11:$AM$259,MATCH(0,IF(TRUE=$AL$11:$AL$259,COUNTIF($AQ$10:$AQ255,$AM$11:$AM$259),""),0)),"")</f>
        <v/>
      </c>
      <c r="AS256" s="885" t="str">
        <f>IF(AND(OR(AB256="Yes",AB256="Pending"),P256='G-1 All Habitats'!$X$3),T256-X256-Y256,"0")</f>
        <v>0</v>
      </c>
      <c r="AT256" s="30" t="str">
        <f t="shared" si="28"/>
        <v/>
      </c>
      <c r="AU256" s="30">
        <f t="shared" si="33"/>
        <v>0</v>
      </c>
      <c r="AV256" s="230" t="str">
        <f>IFERROR(INDEX('G-1 All Habitats'!$B$3:$B$135,MATCH(F256,'G-1 All Habitats'!$A$3:$A$135,0)),"")</f>
        <v/>
      </c>
      <c r="AW256" s="30" t="str">
        <f>IF(AV256="","",VLOOKUP(AV256,'G-1 All Habitats'!$B$1:$T$135,19,FALSE))</f>
        <v/>
      </c>
      <c r="AY256" s="287" t="str">
        <f t="shared" si="34"/>
        <v/>
      </c>
    </row>
    <row r="257" spans="1:51" ht="14">
      <c r="A257" s="30" t="str">
        <f>IFERROR(INDEX('G-1 All Habitats'!$AG$3:$AG$17,MATCH(E257,'G-1 All Habitats'!$AF$3:$AF$17,0)),"")</f>
        <v/>
      </c>
      <c r="B257" s="30" t="str">
        <f>IFERROR(INDEX('G-8 Condition Look up'!$I$4:$I$135,MATCH(AV257,'G-8 Condition Look up'!$A$4:$A$135,0)),"")</f>
        <v/>
      </c>
      <c r="D257" s="97">
        <v>247</v>
      </c>
      <c r="E257" s="262"/>
      <c r="F257" s="263"/>
      <c r="G257" s="133"/>
      <c r="H257" s="115"/>
      <c r="I257" s="509" t="str">
        <f>IF(AV257="","",IF(AND(AW257="Yes",G257="No"),"Irreplaceable habitat ▲",IF(AND(AW257="No",G257="Yes"),"Cannot be Irreplaceable ▲",VLOOKUP(AV257,'G-1 All Habitats'!$B$2:$M$135,10,FALSE))))</f>
        <v/>
      </c>
      <c r="J257" s="377" t="str">
        <f>IFERROR(VLOOKUP(I257,'G-1 All Habitats'!$V$3:$W$7,2,FALSE),"")</f>
        <v/>
      </c>
      <c r="K257" s="101"/>
      <c r="L257" s="276" t="str">
        <f>IFERROR(INDEX('G-8 Condition Look up'!$A$3:$H$135,MATCH(AV257,'G-8 Condition Look up'!$A$3:$A$135,0),MATCH(K257,'G-8 Condition Look up'!$A$3:$H$3,0)),"")</f>
        <v/>
      </c>
      <c r="M257" s="105"/>
      <c r="N257" s="295" t="str">
        <f>IF(M257="","",IF(VLOOKUP(M257,'G-3 Multipliers'!$L$3:$N$6,2,FALSE)=0,"Spatial Data Missing ⚠",VLOOKUP(M257,'G-3 Multipliers'!$L$3:$N$6,2,FALSE)))</f>
        <v/>
      </c>
      <c r="O257" s="353" t="str">
        <f>IF(M257="","",IF(VLOOKUP(M257,'G-3 Multipliers'!$L$3:$N$6,3,FALSE)=0,"Spatial Data Missing ⚠",VLOOKUP(M257,'G-3 Multipliers'!$L$3:$N$6,3,FALSE)))</f>
        <v/>
      </c>
      <c r="P257" s="336" t="str">
        <f>(IF(G257="Yes","Bespoke compensation likely to be required",(IFERROR(VLOOKUP(AV257,'G-1 All Habitats'!$B$2:$M$135,12,FALSE),""))))</f>
        <v/>
      </c>
      <c r="Q257" s="511" t="str">
        <f>IFERROR(IF(P257="","",IF(AND(E257="Individual trees",W257&gt;0,G257="Yes"),"Error - you cannot enhance irreplaceable individual trees ▲",IF(P257='G-1 All Habitats'!$X$9,T257*S257,IF(AND(P257='G-1 All Habitats'!$X$9,W257&gt;0),X257+(Y257*S257),IF(AND(P257='G-1 All Habitats'!$X$9,V257&gt;0),X257+(Y257*S257),IF(AND(P257='G-1 All Habitats'!$X$9,AG257&gt;0),"Any Loss Unacceptable  ⚠",IF(AND(P257='G-1 All Habitats'!$X$9,Z257&gt;0),"Any Loss Unacceptable ⚠",H257*J257*L257*O257*S257))))))),"Check Data ⚠")</f>
        <v/>
      </c>
      <c r="R257" s="393"/>
      <c r="S257" s="510" t="str">
        <f>IF(R257="","",IF(VLOOKUP(R257,'G-3 Multipliers'!$S$3:$T$10,2,FALSE)=0,"Spatial Data Missing ⚠",VLOOKUP(R257,'G-3 Multipliers'!$S$3:$T$10,2,FALSE)))</f>
        <v/>
      </c>
      <c r="T257" s="289" t="str">
        <f>IFERROR(IF(AND(F257&lt;&gt;"",G257=""),"Confirm irreplaceable habitat status ▲",(IF(AND(R257&lt;&gt;"",AF257=""),"Off-site reference required ▲",(IF(AND(E257="Individual trees",W257&gt;0,G257="Yes"),"Error - you cannot enhance irreplaceable individual trees ▲",(IF(AND(X257="Irreplaceable habitat - no units generated ⚠",(W257+V257)&lt;H257,OR(AB257="No",AB257="")),"Any Loss Unacceptable ⚠",(IF(X257="Irreplaceable habitat - no units generated ⚠",W257*J257*L257*O257,IF(AND(P257='G-1 All Habitats'!$X$9,AH257&gt;0,V257&lt;=0,W257&lt;=0,OR(AB257="No",AB257="")),"Any Loss Unacceptable ⚠",IF(AND(P257='G-1 All Habitats'!$X$9,AH257&gt;0,V257&lt;=0,W257&lt;=0),0,(IF(AND(P257='G-1 All Habitats'!$X$9,(W257+V257)&lt;H257,OR(AB257="No",AB257="")),"Any Loss Unacceptable ⚠",(IF(P257="","",IF(AND(P257='G-1 All Habitats'!$X$9,W257&gt;0),X257+Y257,IF(AND(P257='G-1 All Habitats'!$X$9,V257&gt;0),X257+Y257,IF(R257="","",H257*J257*L257*O257)))))))))))))))))),"Check Data ▲")</f>
        <v/>
      </c>
      <c r="U257" s="38"/>
      <c r="V257" s="52"/>
      <c r="W257" s="53"/>
      <c r="X257" s="287" t="str">
        <f t="shared" si="29"/>
        <v/>
      </c>
      <c r="Y257" s="287" t="str">
        <f t="shared" si="30"/>
        <v/>
      </c>
      <c r="Z257" s="287" t="str">
        <f t="shared" si="31"/>
        <v/>
      </c>
      <c r="AA257" s="317" t="str">
        <f>IFERROR(IF(AND(E257="Individual trees",G257="Yes",W257&gt;0),"Error - you cannot enhance an irreplaceable tree ▲",(IF(H257="","",IF(H257-V257-W257=0&lt;0,"Error in Areas ▲",IF(V257+W257&gt;H257,"Error in Areas ▲",IF(AND(P257='G-1 All Habitats'!$X$9,AB257="Yes"),"Alternative Compensation ✓",IF(AND(P257='G-1 All Habitats'!$X$3,AB257="Yes"),"Alternative Compensation ✓",IF(AND(AB257="Pending",P257='G-1 All Habitats'!$X$3),"Bespoke compensation must be agreed ▲",IF(AND(AB257="Pending",P257='G-1 All Habitats'!$X$9),"Bespoke compensation must be agreed  ▲",IF(Z257=0,0,IF(P257='G-1 All Habitats'!$X$9,"Any Loss Unacceptable ▲",T257-X257-Y257))))))))))),"Check Data ⚠")</f>
        <v/>
      </c>
      <c r="AB257" s="587"/>
      <c r="AC257" s="105"/>
      <c r="AD257" s="138"/>
      <c r="AE257" s="104"/>
      <c r="AF257" s="611"/>
      <c r="AG257" s="523" t="str">
        <f>IF(OR(P257="",AB257="Yes"),"",IF(P257='G-1 All Habitats'!$X$9,H257-V257-W257,"None"))</f>
        <v/>
      </c>
      <c r="AH257" s="523" t="str">
        <f>IF(P257="","",IF(P257='G-1 All Habitats'!$X$9,AG257*J257*L257*O257,"None"))</f>
        <v/>
      </c>
      <c r="AJ257" s="107" t="str">
        <f t="shared" si="32"/>
        <v/>
      </c>
      <c r="AK257" s="107" t="str">
        <f t="shared" si="27"/>
        <v/>
      </c>
      <c r="AL257" s="107" t="str">
        <f>IF(I257="","",IF(#REF!&gt;0,TRUE,FALSE))</f>
        <v/>
      </c>
      <c r="AM257" s="107">
        <v>247</v>
      </c>
      <c r="AN257" s="107"/>
      <c r="AO257" s="107" t="str">
        <f t="array" ref="AO257">IFERROR(INDEX($AM$11:$AM$259,MATCH(0,IF(TRUE=$AJ$11:$AJ$259,COUNTIF($AO$10:$AO256,$AM$11:$AM$259),""),0)),"")</f>
        <v/>
      </c>
      <c r="AP257" s="107" t="str">
        <f t="array" ref="AP257">IFERROR(INDEX($AM$11:$AM$259,MATCH(0,IF(TRUE=$AK$11:$AK$259,COUNTIF($AP$10:$AP256,$AM$11:$AM$259),""),0)),"")</f>
        <v/>
      </c>
      <c r="AQ257" s="107" t="str">
        <f t="array" ref="AQ257">IFERROR(INDEX($AM$11:$AM$259,MATCH(0,IF(TRUE=$AL$11:$AL$259,COUNTIF($AQ$10:$AQ256,$AM$11:$AM$259),""),0)),"")</f>
        <v/>
      </c>
      <c r="AS257" s="885" t="str">
        <f>IF(AND(OR(AB257="Yes",AB257="Pending"),P257='G-1 All Habitats'!$X$3),T257-X257-Y257,"0")</f>
        <v>0</v>
      </c>
      <c r="AT257" s="30" t="str">
        <f t="shared" si="28"/>
        <v/>
      </c>
      <c r="AU257" s="30">
        <f t="shared" si="33"/>
        <v>0</v>
      </c>
      <c r="AV257" s="230" t="str">
        <f>IFERROR(INDEX('G-1 All Habitats'!$B$3:$B$135,MATCH(F257,'G-1 All Habitats'!$A$3:$A$135,0)),"")</f>
        <v/>
      </c>
      <c r="AW257" s="30" t="str">
        <f>IF(AV257="","",VLOOKUP(AV257,'G-1 All Habitats'!$B$1:$T$135,19,FALSE))</f>
        <v/>
      </c>
      <c r="AY257" s="287" t="str">
        <f t="shared" si="34"/>
        <v/>
      </c>
    </row>
    <row r="258" spans="1:51" ht="14.5" thickBot="1">
      <c r="A258" s="30" t="str">
        <f>IFERROR(INDEX('G-1 All Habitats'!$AG$3:$AG$17,MATCH(E258,'G-1 All Habitats'!$AF$3:$AF$17,0)),"")</f>
        <v/>
      </c>
      <c r="B258" s="30" t="str">
        <f>IFERROR(INDEX('G-8 Condition Look up'!$I$4:$I$135,MATCH(AV258,'G-8 Condition Look up'!$A$4:$A$135,0)),"")</f>
        <v/>
      </c>
      <c r="D258" s="109">
        <v>248</v>
      </c>
      <c r="E258" s="578"/>
      <c r="F258" s="264"/>
      <c r="G258" s="697"/>
      <c r="H258" s="110"/>
      <c r="I258" s="580" t="str">
        <f>IF(AV258="","",IF(AND(AW258="Yes",G258="No"),"Irreplaceable habitat ▲",IF(AND(AW258="No",G258="Yes"),"Cannot be Irreplaceable ▲",VLOOKUP(AV258,'G-1 All Habitats'!$B$2:$M$135,10,FALSE))))</f>
        <v/>
      </c>
      <c r="J258" s="345" t="str">
        <f>IFERROR(VLOOKUP(I258,'G-1 All Habitats'!$V$3:$W$7,2,FALSE),"")</f>
        <v/>
      </c>
      <c r="K258" s="111"/>
      <c r="L258" s="550" t="str">
        <f>IFERROR(INDEX('G-8 Condition Look up'!$A$3:$H$135,MATCH(AV258,'G-8 Condition Look up'!$A$3:$A$135,0),MATCH(K258,'G-8 Condition Look up'!$A$3:$H$3,0)),"")</f>
        <v/>
      </c>
      <c r="M258" s="111"/>
      <c r="N258" s="284" t="str">
        <f>IF(M258="","",IF(VLOOKUP(M258,'G-3 Multipliers'!$L$3:$N$6,2,FALSE)=0,"Spatial Data Missing ⚠",VLOOKUP(M258,'G-3 Multipliers'!$L$3:$N$6,2,FALSE)))</f>
        <v/>
      </c>
      <c r="O258" s="345" t="str">
        <f>IF(M258="","",IF(VLOOKUP(M258,'G-3 Multipliers'!$L$3:$N$6,3,FALSE)=0,"Spatial Data Missing ⚠",VLOOKUP(M258,'G-3 Multipliers'!$L$3:$N$6,3,FALSE)))</f>
        <v/>
      </c>
      <c r="P258" s="430" t="str">
        <f>(IF(G258="Yes","Bespoke compensation likely to be required",(IFERROR(VLOOKUP(AV258,'G-1 All Habitats'!$B$2:$M$135,12,FALSE),""))))</f>
        <v/>
      </c>
      <c r="Q258" s="581" t="str">
        <f>IFERROR(IF(P258="","",IF(AND(E258="Individual trees",W258&gt;0,G258="Yes"),"Error - you cannot enhance irreplaceable individual trees ▲",IF(P258='G-1 All Habitats'!$X$9,T258*S258,IF(AND(P258='G-1 All Habitats'!$X$9,W258&gt;0),X258+(Y258*S258),IF(AND(P258='G-1 All Habitats'!$X$9,V258&gt;0),X258+(Y258*S258),IF(AND(P258='G-1 All Habitats'!$X$9,AG258&gt;0),"Any Loss Unacceptable  ⚠",IF(AND(P258='G-1 All Habitats'!$X$9,Z258&gt;0),"Any Loss Unacceptable ⚠",H258*J258*L258*O258*S258))))))),"Check Data ⚠")</f>
        <v/>
      </c>
      <c r="R258" s="429"/>
      <c r="S258" s="582" t="str">
        <f>IF(R258="","",IF(VLOOKUP(R258,'G-3 Multipliers'!$S$3:$T$10,2,FALSE)=0,"Spatial Data Missing ⚠",VLOOKUP(R258,'G-3 Multipliers'!$S$3:$T$10,2,FALSE)))</f>
        <v/>
      </c>
      <c r="T258" s="267" t="str">
        <f>IFERROR(IF(AND(F258&lt;&gt;"",G258=""),"Confirm irreplaceable habitat status ▲",(IF(AND(R258&lt;&gt;"",AF258=""),"Off-site reference required ▲",(IF(AND(E258="Individual trees",W258&gt;0,G258="Yes"),"Error - you cannot enhance irreplaceable individual trees ▲",(IF(AND(X258="Irreplaceable habitat - no units generated ⚠",(W258+V258)&lt;H258,OR(AB258="No",AB258="")),"Any Loss Unacceptable ⚠",(IF(X258="Irreplaceable habitat - no units generated ⚠",W258*J258*L258*O258,IF(AND(P258='G-1 All Habitats'!$X$9,AH258&gt;0,V258&lt;=0,W258&lt;=0,OR(AB258="No",AB258="")),"Any Loss Unacceptable ⚠",IF(AND(P258='G-1 All Habitats'!$X$9,AH258&gt;0,V258&lt;=0,W258&lt;=0),0,(IF(AND(P258='G-1 All Habitats'!$X$9,(W258+V258)&lt;H258,OR(AB258="No",AB258="")),"Any Loss Unacceptable ⚠",(IF(P258="","",IF(AND(P258='G-1 All Habitats'!$X$9,W258&gt;0),X258+Y258,IF(AND(P258='G-1 All Habitats'!$X$9,V258&gt;0),X258+Y258,IF(R258="","",H258*J258*L258*O258)))))))))))))))))),"Check Data ▲")</f>
        <v/>
      </c>
      <c r="U258" s="38"/>
      <c r="V258" s="228"/>
      <c r="W258" s="229"/>
      <c r="X258" s="287" t="str">
        <f t="shared" si="29"/>
        <v/>
      </c>
      <c r="Y258" s="363" t="str">
        <f t="shared" si="30"/>
        <v/>
      </c>
      <c r="Z258" s="287" t="str">
        <f t="shared" si="31"/>
        <v/>
      </c>
      <c r="AA258" s="317" t="str">
        <f>IFERROR(IF(AND(E258="Individual trees",G258="Yes",W258&gt;0),"Error - you cannot enhance an irreplaceable tree ▲",(IF(H258="","",IF(H258-V258-W258=0&lt;0,"Error in Areas ▲",IF(V258+W258&gt;H258,"Error in Areas ▲",IF(AND(P258='G-1 All Habitats'!$X$9,AB258="Yes"),"Alternative Compensation ✓",IF(AND(P258='G-1 All Habitats'!$X$3,AB258="Yes"),"Alternative Compensation ✓",IF(AND(AB258="Pending",P258='G-1 All Habitats'!$X$3),"Bespoke compensation must be agreed ▲",IF(AND(AB258="Pending",P258='G-1 All Habitats'!$X$9),"Bespoke compensation must be agreed  ▲",IF(Z258=0,0,IF(P258='G-1 All Habitats'!$X$9,"Any Loss Unacceptable ▲",T258-X258-Y258))))))))))),"Check Data ⚠")</f>
        <v/>
      </c>
      <c r="AB258" s="588"/>
      <c r="AC258" s="111"/>
      <c r="AD258" s="141"/>
      <c r="AE258" s="110"/>
      <c r="AF258" s="932"/>
      <c r="AG258" s="523" t="str">
        <f>IF(OR(P258="",AB258="Yes"),"",IF(P258='G-1 All Habitats'!$X$9,H258-V258-W258,"None"))</f>
        <v/>
      </c>
      <c r="AH258" s="523" t="str">
        <f>IF(P258="","",IF(P258='G-1 All Habitats'!$X$9,AG258*J258*L258*O258,"None"))</f>
        <v/>
      </c>
      <c r="AJ258" s="107" t="str">
        <f t="shared" si="32"/>
        <v/>
      </c>
      <c r="AK258" s="107" t="str">
        <f t="shared" si="27"/>
        <v/>
      </c>
      <c r="AL258" s="107" t="str">
        <f>IF(I258="","",IF(#REF!&gt;0,TRUE,FALSE))</f>
        <v/>
      </c>
      <c r="AM258" s="107">
        <v>248</v>
      </c>
      <c r="AN258" s="107"/>
      <c r="AO258" s="107" t="str">
        <f t="array" ref="AO258">IFERROR(INDEX($AM$11:$AM$259,MATCH(0,IF(TRUE=$AJ$11:$AJ$259,COUNTIF($AO$10:$AO257,$AM$11:$AM$259),""),0)),"")</f>
        <v/>
      </c>
      <c r="AP258" s="107" t="str">
        <f t="array" ref="AP258">IFERROR(INDEX($AM$11:$AM$259,MATCH(0,IF(TRUE=$AK$11:$AK$259,COUNTIF($AP$10:$AP257,$AM$11:$AM$259),""),0)),"")</f>
        <v/>
      </c>
      <c r="AQ258" s="107" t="str">
        <f t="array" ref="AQ258">IFERROR(INDEX($AM$11:$AM$259,MATCH(0,IF(TRUE=$AL$11:$AL$259,COUNTIF($AQ$10:$AQ257,$AM$11:$AM$259),""),0)),"")</f>
        <v/>
      </c>
      <c r="AS258" s="885" t="str">
        <f>IF(AND(OR(AB258="Yes",AB258="Pending"),P258='G-1 All Habitats'!$X$3),T258-X258-Y258,"0")</f>
        <v>0</v>
      </c>
      <c r="AT258" s="30" t="str">
        <f t="shared" si="28"/>
        <v/>
      </c>
      <c r="AU258" s="30">
        <f t="shared" si="33"/>
        <v>0</v>
      </c>
      <c r="AV258" s="579" t="str">
        <f>IFERROR(INDEX('G-1 All Habitats'!$B$3:$B$135,MATCH(F258,'G-1 All Habitats'!$A$3:$A$135,0)),"")</f>
        <v/>
      </c>
      <c r="AW258" s="30" t="str">
        <f>IF(AV258="","",VLOOKUP(AV258,'G-1 All Habitats'!$B$1:$T$135,19,FALSE))</f>
        <v/>
      </c>
      <c r="AY258" s="287" t="str">
        <f t="shared" si="34"/>
        <v/>
      </c>
    </row>
    <row r="259" spans="6:51" ht="14.5" thickBot="1">
      <c r="F259" s="1669" t="s">
        <v>406</v>
      </c>
      <c r="G259" s="1670"/>
      <c r="H259" s="326">
        <f>SUM(H11:H258)</f>
        <v>0</v>
      </c>
      <c r="N259" s="32"/>
      <c r="P259" s="60"/>
      <c r="Q259" s="503">
        <f>SUM(Q11:Q258)</f>
        <v>0</v>
      </c>
      <c r="S259" s="417"/>
      <c r="T259" s="326">
        <f>SUM(T11:T258)</f>
        <v>0</v>
      </c>
      <c r="U259" s="59"/>
      <c r="V259" s="516">
        <f>SUM(V11:V258)</f>
        <v>0</v>
      </c>
      <c r="W259" s="517">
        <f>SUM(W11:W258)</f>
        <v>0</v>
      </c>
      <c r="X259" s="517" cm="1">
        <f t="array" ref="X259">IF(OR(Z11:Z258="Error in Areas ▲"),"Error ▲",SUM(X11:X258))</f>
        <v>0</v>
      </c>
      <c r="Y259" s="517" cm="1">
        <f t="array" ref="Y259">IF(OR(Z11:Z258="Error in Areas ▲"),"Error ▲",SUM(Y11:Y258))</f>
        <v>0</v>
      </c>
      <c r="Z259" s="517">
        <f>SUM(Z11:Z258)</f>
        <v>0</v>
      </c>
      <c r="AA259" s="294">
        <f>SUM(AA11:AA258)</f>
        <v>0</v>
      </c>
      <c r="AB259" s="161"/>
      <c r="AG259" s="705">
        <f>SUM(AG11:AG258)</f>
        <v>0</v>
      </c>
      <c r="AS259" s="885">
        <f>SUM(AS11:AS258)</f>
        <v>0</v>
      </c>
      <c r="AU259" s="88">
        <f>SUM(AU11:AU258)</f>
        <v>0</v>
      </c>
      <c r="AY259" s="517" cm="1">
        <f t="array" ref="AY259">IF(OR(Z11:Z258="Error in Areas ▲"),"Error ▲",SUM(AY11:AY258))</f>
        <v>0</v>
      </c>
    </row>
    <row r="260" spans="21:51" ht="14.5" thickBot="1">
      <c r="U260" s="113"/>
      <c r="V260" s="113"/>
      <c r="W260" s="113"/>
      <c r="X260" s="113"/>
      <c r="Y260" s="113"/>
      <c r="Z260" s="113"/>
      <c r="AA260" s="113"/>
      <c r="AY260" s="113"/>
    </row>
    <row r="261" spans="4:26 51:51" ht="47.9" customHeight="1" thickBot="1">
      <c r="D261" s="89"/>
      <c r="E261" s="89"/>
      <c r="F261" s="1669" t="s">
        <v>365</v>
      </c>
      <c r="G261" s="1670"/>
      <c r="H261" s="333">
        <f>SUMIFS($H$11:$H$258,$AV$11:$AV$258,"&lt;&gt;"&amp;'G-1 All Habitats'!B80,$AV$11:$AV$258,"&lt;&gt;"&amp;'G-1 All Habitats'!B81,$AV$11:$AV$258,"&lt;&gt;"&amp;'G-1 All Habitats'!B67,$AV$11:$AV$258,"&lt;&gt;"&amp;'G-1 All Habitats'!B68,$AV$11:$AV$258,"&lt;&gt;"&amp;'G-1 All Habitats'!B134,$AV$11:$AV$258,"&lt;&gt;"&amp;'G-1 All Habitats'!B132,$AV$11:$AV$258,"&lt;&gt;"&amp;'G-1 All Habitats'!B133)</f>
        <v>0</v>
      </c>
      <c r="V261" s="1615" t="s">
        <v>366</v>
      </c>
      <c r="W261" s="1616"/>
      <c r="X261" s="1616"/>
      <c r="Y261" s="1617"/>
      <c r="Z261" s="279">
        <f>SUMIFS($Z$11:$Z$258,$AV$11:$AV$258,"&lt;&gt;"&amp;'G-1 All Habitats'!B67,$AV$11:$AV$258,"&lt;&gt;"&amp;'G-1 All Habitats'!B68,$AV$11:$AV$258,"&lt;&gt;"&amp;'G-1 All Habitats'!B80,$AV$11:$AV$258,"&lt;&gt;"&amp;'G-1 All Habitats'!B81,$AV$11:$AV$258,"&lt;&gt;"&amp;'G-1 All Habitats'!B134,$AV$11:$AV$258,"&lt;&gt;"&amp;'G-1 All Habitats'!B132,$AV$11:$AV$258,"&lt;&gt;"&amp;'G-1 All Habitats'!B133)</f>
        <v>0</v>
      </c>
      <c r="AY261" s="30"/>
    </row>
    <row r="262" spans="4:6" ht="14.5" thickBot="1">
      <c r="D262" s="89"/>
      <c r="E262" s="89"/>
      <c r="F262" s="89"/>
    </row>
    <row r="263" spans="4:11" ht="14">
      <c r="D263" s="89"/>
      <c r="E263" s="89"/>
      <c r="F263" s="1671" t="s">
        <v>367</v>
      </c>
      <c r="G263" s="1672"/>
      <c r="H263" s="515" t="s">
        <v>368</v>
      </c>
      <c r="I263" s="1016" t="s">
        <v>369</v>
      </c>
      <c r="J263" s="1610" t="s">
        <v>370</v>
      </c>
      <c r="K263" s="1611"/>
    </row>
    <row r="264" spans="4:11" ht="14.5" thickBot="1">
      <c r="D264" s="89"/>
      <c r="E264" s="89"/>
      <c r="F264" s="1673"/>
      <c r="G264" s="1674"/>
      <c r="H264" s="520"/>
      <c r="I264" s="410" t="str">
        <f>IF(H263="Hectares",H264,IF(H263="M²",H264/10000,""))</f>
        <v/>
      </c>
      <c r="J264" s="1612" t="str">
        <f>IF(H263="M²",H264,IF(H263="Hectares",H264*10000,""))</f>
        <v/>
      </c>
      <c r="K264" s="1613"/>
    </row>
    <row r="265" spans="4:6" ht="14">
      <c r="D265" s="89"/>
      <c r="E265" s="89"/>
      <c r="F265" s="89"/>
    </row>
    <row r="266" spans="4:6" ht="14">
      <c r="D266" s="89"/>
      <c r="E266" s="89"/>
      <c r="F266" s="89"/>
    </row>
    <row r="267" spans="4:6" ht="14">
      <c r="D267" s="89"/>
      <c r="E267" s="89"/>
      <c r="F267" s="89"/>
    </row>
    <row r="268" spans="4:6" ht="14">
      <c r="D268" s="89"/>
      <c r="E268" s="89"/>
      <c r="F268" s="89"/>
    </row>
    <row r="269" spans="4:6" ht="14">
      <c r="D269" s="89"/>
      <c r="E269" s="89"/>
      <c r="F269" s="89"/>
    </row>
    <row r="270" spans="4:6" ht="14">
      <c r="D270" s="89"/>
      <c r="E270" s="89"/>
      <c r="F270" s="89"/>
    </row>
    <row r="271" spans="4:6" ht="14">
      <c r="D271" s="89"/>
      <c r="E271" s="89"/>
      <c r="F271" s="89"/>
    </row>
  </sheetData>
  <sheetProtection algorithmName="SHA-512" hashValue="5PJ6p3W+/LrNrM+qJSdLBDXg/3GdQy70ocP+j0pDI3S+8XtnsDMgGXJqLvgPT+0KFvqZ8sbAOMs3cy1cXt9LXQ==" saltValue="65PIxD+AeRy14VUy5p0y9w==" spinCount="100000" sheet="1" objects="1" scenarios="1"/>
  <customSheetViews>
    <customSheetView guid="{8bda793c-c9c5-4fc6-a0a5-f1109f6d4f22}" topLeftCell="C1">
      <pane ySplit="10" topLeftCell="A11" activePane="bottomLeft" state="frozen"/>
      <selection pane="bottomLeft" activeCell="A1" sqref="A1"/>
      <pageMargins left="0.75" right="0.75" top="1" bottom="1" header="0.5" footer="0.5"/>
    </customSheetView>
  </customSheetViews>
  <mergeCells count="24">
    <mergeCell ref="AT10:AU10"/>
    <mergeCell ref="I6:M8"/>
    <mergeCell ref="J263:K263"/>
    <mergeCell ref="J264:K264"/>
    <mergeCell ref="I9:J9"/>
    <mergeCell ref="K9:L9"/>
    <mergeCell ref="R9:S9"/>
    <mergeCell ref="V261:Y261"/>
    <mergeCell ref="P9:P10"/>
    <mergeCell ref="AB9:AB10"/>
    <mergeCell ref="M9:O9"/>
    <mergeCell ref="V9:AA9"/>
    <mergeCell ref="AC9:AF9"/>
    <mergeCell ref="F261:G261"/>
    <mergeCell ref="F263:G264"/>
    <mergeCell ref="D3:F4"/>
    <mergeCell ref="O2:Y5"/>
    <mergeCell ref="D2:F2"/>
    <mergeCell ref="I2:M2"/>
    <mergeCell ref="I3:L3"/>
    <mergeCell ref="I4:L4"/>
    <mergeCell ref="I5:L5"/>
    <mergeCell ref="E9:H9"/>
    <mergeCell ref="F259:G259"/>
  </mergeCells>
  <conditionalFormatting sqref="L11:L258">
    <cfRule type="containsText" priority="140" dxfId="1283" operator="containsText" text="Not Possible">
      <formula>NOT(ISERROR(SEARCH("Not Possible",L11)))</formula>
    </cfRule>
  </conditionalFormatting>
  <conditionalFormatting sqref="N11:O258">
    <cfRule type="containsText" priority="92" dxfId="1281" operator="containsText" text="Spatial">
      <formula>NOT(ISERROR(SEARCH("Spatial",N11)))</formula>
    </cfRule>
  </conditionalFormatting>
  <conditionalFormatting sqref="Z11:Z258">
    <cfRule type="cellIs" priority="79" dxfId="1283" operator="equal">
      <formula>"Error in Areas ▲"</formula>
    </cfRule>
    <cfRule type="cellIs" priority="87" dxfId="1267" operator="equal">
      <formula>"Unacceptable Loss ⚠"</formula>
    </cfRule>
  </conditionalFormatting>
  <conditionalFormatting sqref="Q11:Q258">
    <cfRule type="cellIs" priority="84" dxfId="1281" operator="equal">
      <formula>"Any loss Unacceptable ⚠"</formula>
    </cfRule>
  </conditionalFormatting>
  <conditionalFormatting sqref="Q11:Q258">
    <cfRule type="expression" priority="86" dxfId="1279">
      <formula>"p18=""Avoid"""</formula>
    </cfRule>
  </conditionalFormatting>
  <conditionalFormatting sqref="Q11:Q258">
    <cfRule type="cellIs" priority="85" dxfId="1281" operator="equal">
      <formula>"Any loss Unacceptable ⚠"</formula>
    </cfRule>
  </conditionalFormatting>
  <conditionalFormatting sqref="Q11:Q258">
    <cfRule type="cellIs" priority="81" dxfId="1281" operator="equal">
      <formula>"Any loss Unacceptable ⚠"</formula>
    </cfRule>
  </conditionalFormatting>
  <conditionalFormatting sqref="Q11:Q258">
    <cfRule type="expression" priority="83" dxfId="1279">
      <formula>"p18=""Avoid"""</formula>
    </cfRule>
  </conditionalFormatting>
  <conditionalFormatting sqref="Q11:Q258">
    <cfRule type="cellIs" priority="82" dxfId="1281" operator="equal">
      <formula>"Any loss Unacceptable ⚠"</formula>
    </cfRule>
  </conditionalFormatting>
  <conditionalFormatting sqref="Q11:Q258">
    <cfRule type="cellIs" priority="80" dxfId="853" operator="equal">
      <formula>"Check Data ⚠"</formula>
    </cfRule>
  </conditionalFormatting>
  <conditionalFormatting sqref="AB11:AB258">
    <cfRule type="containsText" priority="5" dxfId="1281" operator="containsText" text="Pending">
      <formula>NOT(ISERROR(SEARCH("Pending",AB11)))</formula>
    </cfRule>
    <cfRule type="cellIs" priority="88" dxfId="1283" operator="equal">
      <formula>"No"</formula>
    </cfRule>
    <cfRule type="cellIs" priority="89" dxfId="1253" operator="equal">
      <formula>"Yes"</formula>
    </cfRule>
  </conditionalFormatting>
  <conditionalFormatting sqref="AA11:AA258">
    <cfRule type="cellIs" priority="76" dxfId="1253" operator="equal">
      <formula>"Alternative Compensation ✓"</formula>
    </cfRule>
    <cfRule type="cellIs" priority="77" dxfId="970" operator="equal">
      <formula>"Error in Areas ▲"</formula>
    </cfRule>
  </conditionalFormatting>
  <conditionalFormatting sqref="AA11:AA258">
    <cfRule type="containsText" priority="78" dxfId="970" operator="containsText" text="Unacceptable">
      <formula>NOT(ISERROR(SEARCH("Unacceptable",AA11)))</formula>
    </cfRule>
  </conditionalFormatting>
  <conditionalFormatting sqref="H259">
    <cfRule type="cellIs" priority="61" dxfId="970" operator="equal">
      <formula>"Error ▲"</formula>
    </cfRule>
  </conditionalFormatting>
  <conditionalFormatting sqref="Q259 S259">
    <cfRule type="cellIs" priority="60" dxfId="970" operator="equal">
      <formula>"Error ▲"</formula>
    </cfRule>
  </conditionalFormatting>
  <conditionalFormatting sqref="V259:AA259">
    <cfRule type="cellIs" priority="59" dxfId="970" operator="equal">
      <formula>"Error ▲"</formula>
    </cfRule>
  </conditionalFormatting>
  <conditionalFormatting sqref="M5">
    <cfRule type="containsText" priority="57" dxfId="970" operator="containsText" text="No">
      <formula>NOT(ISERROR(SEARCH("No",M5)))</formula>
    </cfRule>
    <cfRule type="containsText" priority="58" dxfId="1253" operator="containsText" text="Yes">
      <formula>NOT(ISERROR(SEARCH("Yes",M5)))</formula>
    </cfRule>
  </conditionalFormatting>
  <conditionalFormatting sqref="M4">
    <cfRule type="containsText" priority="8" dxfId="1283" operator="containsText" text="Error">
      <formula>NOT(ISERROR(SEARCH("Error",M4)))</formula>
    </cfRule>
    <cfRule type="containsText" priority="20" dxfId="1267" operator="containsText" text="Check">
      <formula>NOT(ISERROR(SEARCH("Check",M4)))</formula>
    </cfRule>
    <cfRule type="cellIs" priority="21" dxfId="881" operator="equal">
      <formula>0</formula>
    </cfRule>
    <cfRule type="cellIs" priority="443" dxfId="1283" operator="lessThan">
      <formula>0</formula>
    </cfRule>
  </conditionalFormatting>
  <conditionalFormatting sqref="M3">
    <cfRule type="containsText" priority="53" dxfId="1273" operator="containsText" text="Error">
      <formula>NOT(ISERROR(SEARCH("Error",M3)))</formula>
    </cfRule>
    <cfRule type="containsText" priority="54" dxfId="1281" operator="containsText" text="Check">
      <formula>NOT(ISERROR(SEARCH("Check",M3)))</formula>
    </cfRule>
  </conditionalFormatting>
  <conditionalFormatting sqref="O2:Y5">
    <cfRule type="containsText" priority="52" dxfId="1281" operator="containsText" text="Check">
      <formula>NOT(ISERROR(SEARCH("Check",O2)))</formula>
    </cfRule>
  </conditionalFormatting>
  <conditionalFormatting sqref="R11:R258">
    <cfRule type="containsText" priority="50" dxfId="1283" operator="containsText" text="Existing Value Not Required">
      <formula>NOT(ISERROR(SEARCH("Existing Value Not Required",R11)))</formula>
    </cfRule>
    <cfRule type="containsText" priority="51" dxfId="1283" operator="containsText" text="Existing Value Required">
      <formula>NOT(ISERROR(SEARCH("Existing Value Required",R11)))</formula>
    </cfRule>
  </conditionalFormatting>
  <conditionalFormatting sqref="R11:S11 R12:R258 S12:S256">
    <cfRule type="containsText" priority="46" dxfId="1267" operator="containsText" text="Check">
      <formula>NOT(ISERROR(SEARCH("Check",R11)))</formula>
    </cfRule>
    <cfRule type="containsText" priority="47" dxfId="1283" operator="containsText" text="Error">
      <formula>NOT(ISERROR(SEARCH("Error",R11)))</formula>
    </cfRule>
  </conditionalFormatting>
  <conditionalFormatting sqref="S11:S256">
    <cfRule type="containsText" priority="45" dxfId="1281" operator="containsText" text="Spatial">
      <formula>NOT(ISERROR(SEARCH("Spatial",S11)))</formula>
    </cfRule>
  </conditionalFormatting>
  <conditionalFormatting sqref="T11:T258">
    <cfRule type="containsText" priority="9" dxfId="1273" operator="containsText" text="Error">
      <formula>NOT(ISERROR(SEARCH("Error",T11)))</formula>
    </cfRule>
    <cfRule type="cellIs" priority="42" dxfId="1267" operator="equal">
      <formula>"Any loss Unacceptable ⚠"</formula>
    </cfRule>
  </conditionalFormatting>
  <conditionalFormatting sqref="T11:T258">
    <cfRule type="expression" priority="44" dxfId="1283">
      <formula>"p18=""Avoid"""</formula>
    </cfRule>
  </conditionalFormatting>
  <conditionalFormatting sqref="T11:T258">
    <cfRule type="cellIs" priority="43" dxfId="1267" operator="equal">
      <formula>"Any loss Unacceptable ⚠"</formula>
    </cfRule>
  </conditionalFormatting>
  <conditionalFormatting sqref="T11:T258">
    <cfRule type="cellIs" priority="39" dxfId="1267" operator="equal">
      <formula>"Any loss Unacceptable ⚠"</formula>
    </cfRule>
  </conditionalFormatting>
  <conditionalFormatting sqref="T11:T258">
    <cfRule type="expression" priority="41" dxfId="1283">
      <formula>"p18=""Avoid"""</formula>
    </cfRule>
  </conditionalFormatting>
  <conditionalFormatting sqref="T11:T258">
    <cfRule type="cellIs" priority="40" dxfId="1267" operator="equal">
      <formula>"Any loss Unacceptable ⚠"</formula>
    </cfRule>
  </conditionalFormatting>
  <conditionalFormatting sqref="T11:T258">
    <cfRule type="cellIs" priority="38" dxfId="1188" operator="equal">
      <formula>"Check Data ▲"</formula>
    </cfRule>
  </conditionalFormatting>
  <conditionalFormatting sqref="T259">
    <cfRule type="cellIs" priority="37" dxfId="970" operator="equal">
      <formula>"Error ▲"</formula>
    </cfRule>
  </conditionalFormatting>
  <conditionalFormatting sqref="S257">
    <cfRule type="containsText" priority="27" dxfId="1281" operator="containsText" text="Check">
      <formula>NOT(ISERROR(SEARCH("Check",S257)))</formula>
    </cfRule>
    <cfRule type="containsText" priority="28" dxfId="1279" operator="containsText" text="Error">
      <formula>NOT(ISERROR(SEARCH("Error",S257)))</formula>
    </cfRule>
  </conditionalFormatting>
  <conditionalFormatting sqref="S257">
    <cfRule type="containsText" priority="26" dxfId="1281" operator="containsText" text="Spatial">
      <formula>NOT(ISERROR(SEARCH("Spatial",S257)))</formula>
    </cfRule>
  </conditionalFormatting>
  <conditionalFormatting sqref="S258">
    <cfRule type="containsText" priority="24" dxfId="1281" operator="containsText" text="Check">
      <formula>NOT(ISERROR(SEARCH("Check",S258)))</formula>
    </cfRule>
    <cfRule type="containsText" priority="25" dxfId="1279" operator="containsText" text="Error">
      <formula>NOT(ISERROR(SEARCH("Error",S258)))</formula>
    </cfRule>
  </conditionalFormatting>
  <conditionalFormatting sqref="S258">
    <cfRule type="containsText" priority="23" dxfId="1281" operator="containsText" text="Spatial">
      <formula>NOT(ISERROR(SEARCH("Spatial",S258)))</formula>
    </cfRule>
  </conditionalFormatting>
  <conditionalFormatting sqref="I6:M8">
    <cfRule type="containsText" priority="22" dxfId="1281" operator="containsText" text="⚠">
      <formula>NOT(ISERROR(SEARCH("⚠",I6)))</formula>
    </cfRule>
  </conditionalFormatting>
  <conditionalFormatting sqref="AA11:AA258">
    <cfRule type="containsText" priority="17" dxfId="1281" operator="containsText" text="⚠">
      <formula>NOT(ISERROR(SEARCH("⚠",AA11)))</formula>
    </cfRule>
  </conditionalFormatting>
  <conditionalFormatting sqref="AY259">
    <cfRule type="cellIs" priority="16" dxfId="970" operator="equal">
      <formula>"Error ▲"</formula>
    </cfRule>
  </conditionalFormatting>
  <conditionalFormatting sqref="AY2:AY5">
    <cfRule type="containsText" priority="15" dxfId="1281" operator="containsText" text="Check">
      <formula>NOT(ISERROR(SEARCH("Check",AY2)))</formula>
    </cfRule>
  </conditionalFormatting>
  <conditionalFormatting sqref="M3:M5">
    <cfRule type="containsText" priority="19" dxfId="932" operator="containsText" text="N/A">
      <formula>NOT(ISERROR(SEARCH("N/A",M3)))</formula>
    </cfRule>
  </conditionalFormatting>
  <conditionalFormatting sqref="G11:G258">
    <cfRule type="containsText" priority="13" dxfId="1281" operator="containsText" text="Yes">
      <formula>NOT(ISERROR(SEARCH("Yes",G11)))</formula>
    </cfRule>
  </conditionalFormatting>
  <conditionalFormatting sqref="AA1:AA1048576">
    <cfRule type="containsText" priority="11" dxfId="1273" operator="containsText" text="▲">
      <formula>NOT(ISERROR(SEARCH("▲",AA1)))</formula>
    </cfRule>
  </conditionalFormatting>
  <conditionalFormatting sqref="X1:X1048576">
    <cfRule type="containsText" priority="10" dxfId="1281" operator="containsText" text="⚠">
      <formula>NOT(ISERROR(SEARCH("⚠",X1)))</formula>
    </cfRule>
  </conditionalFormatting>
  <conditionalFormatting sqref="Y11">
    <cfRule type="containsText" priority="7" dxfId="1273" operator="containsText" text="Error">
      <formula>NOT(ISERROR(SEARCH("Error",Y11)))</formula>
    </cfRule>
  </conditionalFormatting>
  <conditionalFormatting sqref="I11:I258">
    <cfRule type="containsText" priority="6" dxfId="1273" operator="containsText" text="▲">
      <formula>NOT(ISERROR(SEARCH("▲",I11)))</formula>
    </cfRule>
  </conditionalFormatting>
  <conditionalFormatting sqref="P1:P1048576">
    <cfRule type="containsText" priority="4" dxfId="1281" operator="containsText" text="⚠">
      <formula>NOT(ISERROR(SEARCH("⚠",P1)))</formula>
    </cfRule>
  </conditionalFormatting>
  <conditionalFormatting sqref="T1:T1048576">
    <cfRule type="containsText" priority="3" dxfId="1273" operator="containsText" text="▲">
      <formula>NOT(ISERROR(SEARCH("▲",T1)))</formula>
    </cfRule>
  </conditionalFormatting>
  <conditionalFormatting sqref="AF11:AF258">
    <cfRule type="expression" priority="1" dxfId="1275">
      <formula>$T11="Off-site reference required ▲"</formula>
    </cfRule>
  </conditionalFormatting>
  <conditionalFormatting sqref="M4">
    <cfRule type="expression" priority="14" dxfId="1289">
      <formula>'Headline Results'!$H$8:$I$8=0</formula>
    </cfRule>
  </conditionalFormatting>
  <conditionalFormatting sqref="P11:P258">
    <cfRule type="cellIs" priority="142" dxfId="1290" operator="equal">
      <formula>'G-1 All Habitats'!$X$6</formula>
    </cfRule>
    <cfRule type="cellIs" priority="189" dxfId="1291" operator="equal">
      <formula>'G-1 All Habitats'!$X$5</formula>
    </cfRule>
    <cfRule type="cellIs" priority="190" dxfId="1292" operator="equal">
      <formula>'G-1 All Habitats'!$X$4</formula>
    </cfRule>
    <cfRule type="cellIs" priority="191" dxfId="1295" operator="equal">
      <formula>'G-1 All Habitats'!$X$9</formula>
    </cfRule>
  </conditionalFormatting>
  <conditionalFormatting sqref="M4">
    <cfRule type="cellIs" priority="18" dxfId="1294" operator="lessThan">
      <formula>Start!$F$22</formula>
    </cfRule>
    <cfRule type="cellIs" priority="444" dxfId="1284" operator="greaterThanOrEqual">
      <formula>Start!$F$22</formula>
    </cfRule>
  </conditionalFormatting>
  <dataValidations count="9">
    <dataValidation allowBlank="1" showErrorMessage="1" errorTitle="Invalid Habitat" error="Select from List" sqref="AV11:AV258"/>
    <dataValidation type="list" allowBlank="1" showInputMessage="1" showErrorMessage="1" sqref="F11:F258">
      <formula1>INDIRECT(A11)</formula1>
    </dataValidation>
    <dataValidation type="list" allowBlank="1" showInputMessage="1" showErrorMessage="1" sqref="K11:K258">
      <formula1>INDIRECT(B11)</formula1>
    </dataValidation>
    <dataValidation type="list" allowBlank="1" showInputMessage="1" showErrorMessage="1" sqref="H263">
      <formula1>"Hectares, M²"</formula1>
    </dataValidation>
    <dataValidation type="list" allowBlank="1" showErrorMessage="1" errorTitle="Invalid Habitat" error="Select from List" sqref="G11:G258">
      <formula1>IF(AW11="Yes",$AX$11,IF(AW11="No",$AX$12,$AX$11:$AX$12))</formula1>
    </dataValidation>
    <dataValidation type="list" allowBlank="1" showInputMessage="1" showErrorMessage="1" sqref="M11:M258">
      <formula1>'G-3 Multipliers'!$L$4:$L$6</formula1>
    </dataValidation>
    <dataValidation type="list" allowBlank="1" showInputMessage="1" showErrorMessage="1" sqref="E11:E258">
      <formula1>'G-1 All Habitats'!$AF$3:$AF$17</formula1>
    </dataValidation>
    <dataValidation type="list" allowBlank="1" showInputMessage="1" showErrorMessage="1" sqref="R11:R258">
      <formula1>'G-3 Multipliers'!$S$4:$S$10</formula1>
    </dataValidation>
    <dataValidation type="list" allowBlank="1" showInputMessage="1" showErrorMessage="1" sqref="AB11:AB258">
      <formula1>'G-1 All Habitats'!$AD$3:$AD$5</formula1>
    </dataValidation>
  </dataValidations>
  <pageMargins left="0.7" right="0.7" top="0.75" bottom="0.75" header="0.3" footer="0.3"/>
  <pageSetup horizontalDpi="90" verticalDpi="90" orientation="portrait" paperSize="9"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2:AJ265"/>
  <sheetViews>
    <sheetView zoomScale="80" zoomScaleNormal="80" workbookViewId="0" topLeftCell="B1">
      <pane ySplit="10" topLeftCell="A11" activePane="bottomLeft" state="frozen"/>
      <selection pane="topLeft" activeCell="E1" sqref="E1"/>
      <selection pane="bottomLeft" activeCell="A1" sqref="A1"/>
    </sheetView>
  </sheetViews>
  <sheetFormatPr defaultColWidth="11.0042857142857" defaultRowHeight="32.15" customHeight="1" zeroHeight="1"/>
  <cols>
    <col min="1" max="1" width="8.57142857142857" style="30" hidden="1" customWidth="1"/>
    <col min="2" max="2" width="10.4285714285714" style="30" customWidth="1"/>
    <col min="3" max="3" width="19.5714285714286" style="30" hidden="1" customWidth="1"/>
    <col min="4" max="4" width="22.5714285714286" style="30" bestFit="1" customWidth="1"/>
    <col min="5" max="5" width="71" style="30" customWidth="1"/>
    <col min="6" max="6" width="12.4285714285714" style="30" hidden="1" customWidth="1"/>
    <col min="7" max="7" width="18.5714285714286" style="30" customWidth="1"/>
    <col min="8" max="8" width="18" style="30" customWidth="1"/>
    <col min="9" max="9" width="13.4285714285714" style="30" customWidth="1"/>
    <col min="10" max="11" width="12.5714285714286" style="30" customWidth="1"/>
    <col min="12" max="12" width="40.5714285714286" style="30" customWidth="1"/>
    <col min="13" max="13" width="19.5714285714286" style="30" customWidth="1"/>
    <col min="14" max="14" width="14.4285714285714" style="30" customWidth="1"/>
    <col min="15" max="15" width="19.5714285714286" style="30" customWidth="1"/>
    <col min="16" max="17" width="17.5714285714286" style="30" customWidth="1"/>
    <col min="18" max="18" width="31.4285714285714" style="30" customWidth="1"/>
    <col min="19" max="19" width="21.4285714285714" style="30" customWidth="1"/>
    <col min="20" max="20" width="15.4285714285714" style="30" customWidth="1"/>
    <col min="21" max="21" width="13.5714285714286" style="30" customWidth="1"/>
    <col min="22" max="22" width="35.4285714285714" style="30" customWidth="1"/>
    <col min="23" max="23" width="13.5714285714286" style="30" customWidth="1"/>
    <col min="24" max="24" width="14.4285714285714" style="30" customWidth="1"/>
    <col min="25" max="25" width="91.4285714285714" style="30" customWidth="1"/>
    <col min="26" max="26" width="11.4285714285714" style="30" hidden="1" customWidth="1"/>
    <col min="27" max="27" width="16.5714285714286" style="30" hidden="1" customWidth="1"/>
    <col min="28" max="28" width="12.5714285714286" style="30" customWidth="1"/>
    <col min="29" max="30" width="34.5714285714286" style="30" customWidth="1"/>
    <col min="31" max="32" width="14.4285714285714" style="30" customWidth="1"/>
    <col min="33" max="33" width="12.5714285714286" style="30" customWidth="1"/>
    <col min="34" max="34" width="14.5714285714286" style="30" customWidth="1"/>
    <col min="35" max="35" width="11" style="30" hidden="1" customWidth="1"/>
    <col min="36" max="36" width="11" style="35" hidden="1" customWidth="1"/>
    <col min="37" max="16380" width="11" style="30" hidden="1" customWidth="1"/>
    <col min="16381" max="16383" width="11" style="30" customWidth="1"/>
    <col min="16384" max="16384" width="11" style="30"/>
  </cols>
  <sheetData>
    <row r="1" ht="14.5" thickBot="1"/>
    <row r="2" spans="4:25" ht="26.15" customHeight="1" thickBot="1">
      <c r="D2" s="1682" t="str">
        <f>CONCATENATE("Project Name:"," ",Start!F12,"     ","Map Reference:"," ",Start!K66)</f>
        <v xml:space="preserve">Project Name: Land east of Calne Road, Lyneham     Map Reference: </v>
      </c>
      <c r="E2" s="1683"/>
      <c r="G2" s="636">
        <v>0.01</v>
      </c>
      <c r="H2" s="1716" t="s">
        <v>305</v>
      </c>
      <c r="I2" s="1717"/>
      <c r="J2" s="1717"/>
      <c r="K2" s="1717"/>
      <c r="L2" s="1718"/>
      <c r="O2" s="1715" t="str">
        <f>IF(OR(COUNTIF($O$11:O256,"*30+*")&gt;0,COUNTIF($S$11:S256,"*30+*")&gt;0),"Note; Habitat selected has a time to target condition greater than 30 years. Non standard agreement may be required. ⚠","")</f>
        <v/>
      </c>
      <c r="P2" s="1715"/>
      <c r="Q2" s="1715"/>
      <c r="R2" s="1715"/>
      <c r="S2" s="1715"/>
      <c r="T2" s="1715"/>
      <c r="U2" s="1681" t="str" cm="1">
        <f t="array" ref="U2">IF(OR(J11:J256="Fairly Good",J11:J256="Fairly Poor"),"A 'Fairly' Category has been used - check evidence to ensure this is appropriate ⚠","")</f>
        <v/>
      </c>
      <c r="V2" s="1681"/>
      <c r="W2" s="1681"/>
      <c r="X2" s="1681"/>
      <c r="Y2" s="1681"/>
    </row>
    <row r="3" spans="4:25" ht="19.5" customHeight="1">
      <c r="D3" s="1198" t="str">
        <f ca="1">MID(CELL("filename",C1),FIND("]",CELL("filename",C1))+1,256)</f>
        <v>D-2 Off-Site Habitat Creation</v>
      </c>
      <c r="E3" s="1199"/>
      <c r="G3" s="157"/>
      <c r="H3" s="1610" t="s">
        <v>306</v>
      </c>
      <c r="I3" s="1653"/>
      <c r="J3" s="1653"/>
      <c r="K3" s="1685"/>
      <c r="L3" s="390">
        <f>'Headline Results'!H47</f>
        <v>6.227824005922471</v>
      </c>
      <c r="M3" s="35"/>
      <c r="N3" s="35"/>
      <c r="O3" s="1715"/>
      <c r="P3" s="1715"/>
      <c r="Q3" s="1715"/>
      <c r="R3" s="1715"/>
      <c r="S3" s="1715"/>
      <c r="T3" s="1715"/>
      <c r="U3" s="1681"/>
      <c r="V3" s="1681"/>
      <c r="W3" s="1681"/>
      <c r="X3" s="1681"/>
      <c r="Y3" s="1681"/>
    </row>
    <row r="4" spans="4:25" ht="19.5" customHeight="1" thickBot="1">
      <c r="D4" s="1201"/>
      <c r="E4" s="1202"/>
      <c r="G4" s="157"/>
      <c r="H4" s="1686" t="s">
        <v>308</v>
      </c>
      <c r="I4" s="1687"/>
      <c r="J4" s="1687"/>
      <c r="K4" s="1688"/>
      <c r="L4" s="391">
        <f>'Headline Results'!H51</f>
        <v>0.3109272967693436</v>
      </c>
      <c r="M4" s="41"/>
      <c r="N4" s="35"/>
      <c r="O4" s="240"/>
      <c r="P4" s="240"/>
      <c r="Q4" s="240"/>
      <c r="R4" s="240"/>
      <c r="S4" s="240"/>
      <c r="U4" s="1681"/>
      <c r="V4" s="1681"/>
      <c r="W4" s="1681"/>
      <c r="X4" s="1681"/>
      <c r="Y4" s="1681"/>
    </row>
    <row r="5" spans="8:25" ht="24.65" customHeight="1">
      <c r="H5" s="1686" t="s">
        <v>310</v>
      </c>
      <c r="I5" s="1687"/>
      <c r="J5" s="1687"/>
      <c r="K5" s="1688"/>
      <c r="L5" s="392" t="str" cm="1">
        <f t="array" ref="L5">IF(OR('Trading Summary Area Habitats'!G5:G8="No ▲"),"No - check trading summaries ▲","Yes ✓")</f>
        <v>Yes ✓</v>
      </c>
      <c r="M5" s="159"/>
      <c r="N5" s="153"/>
      <c r="O5" s="1654"/>
      <c r="P5" s="1654"/>
      <c r="Q5" s="1654"/>
      <c r="R5" s="1654"/>
      <c r="S5" s="1654"/>
      <c r="T5" s="1654"/>
      <c r="U5" s="1681"/>
      <c r="V5" s="1681"/>
      <c r="W5" s="1681"/>
      <c r="X5" s="1681"/>
      <c r="Y5" s="1681"/>
    </row>
    <row r="6" spans="8:24" ht="44.15" customHeight="1" thickBot="1">
      <c r="H6" s="1720" t="s">
        <v>416</v>
      </c>
      <c r="I6" s="1721"/>
      <c r="J6" s="1721"/>
      <c r="K6" s="1722"/>
      <c r="L6" s="47" t="str">
        <f>IF(ABS('D-1 Off-Site Habitat Baseline'!Z261-G259)&lt;=G2,"Area Acceptable ✓","Error - Area created does not equal area lost ▲")</f>
        <v>Area Acceptable ✓</v>
      </c>
      <c r="M6" s="388"/>
      <c r="N6" s="388"/>
      <c r="O6" s="1654"/>
      <c r="P6" s="1654"/>
      <c r="Q6" s="1654"/>
      <c r="R6" s="1654"/>
      <c r="S6" s="1654"/>
      <c r="T6" s="1654"/>
      <c r="U6" s="1724" t="str" cm="1">
        <f t="array" ref="U6">IF(OR(E11:E258="watercourse footprint"),"Please ensure the watercourse details for any watercourse footprints recorded are included in the watercourse tabs ⚠","")</f>
        <v/>
      </c>
      <c r="V6" s="1724"/>
      <c r="W6" s="1724"/>
      <c r="X6" s="1724"/>
    </row>
    <row r="7" ht="14.5" thickBot="1"/>
    <row r="8" spans="4:36" ht="26.9" customHeight="1" thickBot="1">
      <c r="D8" s="1709" t="s">
        <v>371</v>
      </c>
      <c r="E8" s="1710"/>
      <c r="F8" s="1710"/>
      <c r="G8" s="1710"/>
      <c r="H8" s="1710"/>
      <c r="I8" s="1710"/>
      <c r="J8" s="1710"/>
      <c r="K8" s="1710"/>
      <c r="L8" s="1710"/>
      <c r="M8" s="1710"/>
      <c r="N8" s="1710"/>
      <c r="O8" s="1710"/>
      <c r="P8" s="1710"/>
      <c r="Q8" s="1710"/>
      <c r="R8" s="1710"/>
      <c r="S8" s="1710"/>
      <c r="T8" s="1710"/>
      <c r="U8" s="1710"/>
      <c r="V8" s="1710"/>
      <c r="W8" s="1710"/>
      <c r="X8" s="1711"/>
      <c r="AJ8" s="1704" t="s">
        <v>417</v>
      </c>
    </row>
    <row r="9" spans="2:36" s="33" customFormat="1" ht="27.65" customHeight="1" thickBot="1">
      <c r="B9" s="30"/>
      <c r="C9" s="30"/>
      <c r="D9" s="1419" t="s">
        <v>324</v>
      </c>
      <c r="E9" s="1458" t="s">
        <v>392</v>
      </c>
      <c r="F9" s="1458" t="s">
        <v>392</v>
      </c>
      <c r="G9" s="1706" t="s">
        <v>327</v>
      </c>
      <c r="H9" s="1419" t="s">
        <v>312</v>
      </c>
      <c r="I9" s="1459" t="s">
        <v>328</v>
      </c>
      <c r="J9" s="1713" t="s">
        <v>313</v>
      </c>
      <c r="K9" s="1459" t="s">
        <v>328</v>
      </c>
      <c r="L9" s="1723" t="s">
        <v>314</v>
      </c>
      <c r="M9" s="1723"/>
      <c r="N9" s="1723"/>
      <c r="O9" s="1723" t="s">
        <v>376</v>
      </c>
      <c r="P9" s="1723"/>
      <c r="Q9" s="1723"/>
      <c r="R9" s="1723"/>
      <c r="S9" s="1723"/>
      <c r="T9" s="1723"/>
      <c r="U9" s="1723" t="s">
        <v>377</v>
      </c>
      <c r="V9" s="1723"/>
      <c r="W9" s="1723"/>
      <c r="X9" s="1723"/>
      <c r="Y9" s="1699" t="s">
        <v>408</v>
      </c>
      <c r="Z9" s="1719"/>
      <c r="AA9" s="1719" t="s">
        <v>418</v>
      </c>
      <c r="AB9" s="1698" t="s">
        <v>378</v>
      </c>
      <c r="AC9" s="1725" t="s">
        <v>318</v>
      </c>
      <c r="AD9" s="1436"/>
      <c r="AE9" s="1436"/>
      <c r="AF9" s="1436"/>
      <c r="AG9" s="1429"/>
      <c r="AJ9" s="1704"/>
    </row>
    <row r="10" spans="1:36" ht="57" customHeight="1" thickBot="1">
      <c r="A10" s="88" t="s">
        <v>322</v>
      </c>
      <c r="B10" s="44" t="s">
        <v>323</v>
      </c>
      <c r="C10" s="30" t="s">
        <v>419</v>
      </c>
      <c r="D10" s="1705"/>
      <c r="E10" s="1708"/>
      <c r="F10" s="1708"/>
      <c r="G10" s="1707"/>
      <c r="H10" s="1705"/>
      <c r="I10" s="1712"/>
      <c r="J10" s="1714"/>
      <c r="K10" s="1712"/>
      <c r="L10" s="489" t="s">
        <v>314</v>
      </c>
      <c r="M10" s="590" t="s">
        <v>314</v>
      </c>
      <c r="N10" s="488" t="s">
        <v>329</v>
      </c>
      <c r="O10" s="489" t="s">
        <v>395</v>
      </c>
      <c r="P10" s="590" t="s">
        <v>420</v>
      </c>
      <c r="Q10" s="590" t="s">
        <v>421</v>
      </c>
      <c r="R10" s="590" t="s">
        <v>398</v>
      </c>
      <c r="S10" s="590" t="s">
        <v>399</v>
      </c>
      <c r="T10" s="488" t="s">
        <v>400</v>
      </c>
      <c r="U10" s="489" t="s">
        <v>422</v>
      </c>
      <c r="V10" s="590" t="s">
        <v>402</v>
      </c>
      <c r="W10" s="590" t="s">
        <v>423</v>
      </c>
      <c r="X10" s="488" t="s">
        <v>404</v>
      </c>
      <c r="Y10" s="602" t="s">
        <v>411</v>
      </c>
      <c r="Z10" s="574" t="s">
        <v>408</v>
      </c>
      <c r="AA10" s="1699"/>
      <c r="AB10" s="1692"/>
      <c r="AC10" s="907" t="s">
        <v>302</v>
      </c>
      <c r="AD10" s="906" t="s">
        <v>279</v>
      </c>
      <c r="AE10" s="720" t="s">
        <v>412</v>
      </c>
      <c r="AF10" s="524" t="s">
        <v>413</v>
      </c>
      <c r="AG10" s="721" t="s">
        <v>424</v>
      </c>
      <c r="AJ10" s="35" t="s">
        <v>345</v>
      </c>
    </row>
    <row r="11" spans="1:36" ht="14">
      <c r="A11" s="30" t="str">
        <f>IFERROR(INDEX('G-8 Condition Look up'!$I$4:$I$135,MATCH(F11,'G-8 Condition Look up'!$A$4:$A$135,0)),"")</f>
        <v/>
      </c>
      <c r="B11" s="541">
        <v>1</v>
      </c>
      <c r="C11" s="66" t="str">
        <f>IFERROR(INDEX('G-1 All Habitats'!$AG$25:$AG$41,MATCH(D11,'G-1 All Habitats'!AF$25:AF$41,0)),"")</f>
        <v/>
      </c>
      <c r="D11" s="591"/>
      <c r="E11" s="592"/>
      <c r="F11" s="593" t="str">
        <f>IFERROR(INDEX('G-1 All Habitats'!$B$3:$B$136,MATCH(E11,'G-1 All Habitats'!$A$3:$A$136,0)),"")</f>
        <v/>
      </c>
      <c r="G11" s="594"/>
      <c r="H11" s="346" t="str">
        <f>IF(F11="","",VLOOKUP(F11,'G-1 All Habitats'!$B$2:$M$135,10,FALSE))</f>
        <v/>
      </c>
      <c r="I11" s="544" t="str">
        <f>IFERROR(VLOOKUP(H11,'G-1 All Habitats'!$V$3:$W$7,2,FALSE),"")</f>
        <v/>
      </c>
      <c r="J11" s="595"/>
      <c r="K11" s="544" t="str">
        <f>IFERROR(INDEX('G-8 Condition Look up'!$A$3:$H$135,MATCH(F11,'G-8 Condition Look up'!$A$3:$A$135,0),MATCH(J11,'G-8 Condition Look up'!$A$3:$H$3,0)),"")</f>
        <v/>
      </c>
      <c r="L11" s="591"/>
      <c r="M11" s="596" t="str">
        <f>IF(L11="","",IF(VLOOKUP(L11,'G-3 Multipliers'!$L$3:$N$6,2,FALSE)=0,"Spatial Data Missing ⚠",VLOOKUP(L11,'G-3 Multipliers'!$L$3:$N$6,2,FALSE)))</f>
        <v/>
      </c>
      <c r="N11" s="544" t="str">
        <f>IF(L11="","",IF(VLOOKUP(L11,'G-3 Multipliers'!$L$3:$N$6,3,FALSE)=0,"Spatial Data Missing ⚠",VLOOKUP(L11,'G-3 Multipliers'!$L$3:$N$6,3,FALSE)))</f>
        <v/>
      </c>
      <c r="O11" s="346" t="str">
        <f>IFERROR(INDEX(TemporalData,MATCH(F11,TemporalHabitats,0),MATCH(J11,TemporalConditions,0)),"")</f>
        <v/>
      </c>
      <c r="P11" s="592"/>
      <c r="Q11" s="592"/>
      <c r="R11" s="280" t="str">
        <f>IF(E11="","",IF(AND(P11&gt;0,Q11&gt;0),"Error -both advance and delayed habitat creation ▲",IF(I11=0,"Standard time to target condition applied",IF(O11&lt;=P11,"Check details - Is there evidence that habitat has reached target condition? ⚠",IF(O11="","",IF(AND(P11&gt;=$AJ11,P11&gt;0),"Check details - Is there evidence habitat creation started and the threshold for Poor condition reached? ⚠",IF(AND(O11&gt;P11,P11&gt;0),"Check details - Is there evidence habitat creation in place? ⚠",IF(Q11&gt;0,"Check details- Delay in starting habitat in required condition? ⚠",IF(P11&gt;0,"Check details - Is there evidence habitat creation started/in place? ⚠","Standard time to target condition applied")))))))))</f>
        <v/>
      </c>
      <c r="S11" s="349" t="str">
        <f>IF(R11="Error -both advance and delayed habitat creation ▲","Check Data ⚠",IF(O11="Not Possible ▲","Check Data ⚠",IF(O11="","",IF(AND(O11="30+",P11=0),"30+",IF(AND(O11="30+",P11="30+"),0,IF(AND(O11="30+",P11&lt;32),30-P11,IF(O11="30+",30-P11,IF(P11&gt;O11,0,IF(Q11="30+","30+",IF(O11+Q11&gt;30,"30+",IF(O11+Q11&gt;30,"30+",IF(O11-P11&gt;30,"30+",IF(O11+Q11-P11&gt;0,O11+Q11-P11,IF(O11-P11&gt;0,O11-P11,O11+Q11-P11))))))))))))))</f>
        <v/>
      </c>
      <c r="T11" s="567" t="str">
        <f>IFERROR(IF(S11="Check Data ⚠","Check Data ⚠",VLOOKUP(S11,'G-4 Temporal multipliers'!$A$4:$C$37,3,FALSE)),"")</f>
        <v/>
      </c>
      <c r="U11" s="568" t="str">
        <f>IF(F11="","",VLOOKUP(F11,'G-3 Multipliers'!$A$2:$E$134,2,FALSE))</f>
        <v/>
      </c>
      <c r="V11" s="280" t="str">
        <f>IF(F11="","",IF($R11="Check details - Is there evidence that habitat has reached target condition? ⚠","Low Difficulty - only applicable if all habitat created before losses ⚠",IF(AND($R11="Check details - Is there evidence habitat creation started and the threshold for Poor condition reached? ⚠",$E11&lt;&gt;"Traditional orchards",$E11&lt;&gt;"Ornamental lake or pond",$E11&lt;&gt;"Ponds (non-priority habitat)",$E11&lt;&gt;"Ruderal/Ephemeral",$E11&lt;&gt;"Tall forbs",$E11&lt;&gt;"Developed land; sealed surface"),"Enhancement difficulty applied","Standard difficulty applied")))</f>
        <v/>
      </c>
      <c r="W11" s="280" t="str">
        <f>IF(E11="","",IF(AND(V11="Standard difficulty applied",O11&gt;P11),U11,IF(AND(V11="Low Difficulty - only applicable if all habitat created before losses ⚠",P11&gt;=O11),"Low",VLOOKUP(F11,'G-3 Multipliers'!$A$2:$E$134,4,FALSE))))</f>
        <v/>
      </c>
      <c r="X11" s="544" t="str">
        <f>IFERROR(IF(E11="","",VLOOKUP(W11,'G-3 Multipliers'!$P$2:$Q$6,2,FALSE)),"")</f>
        <v/>
      </c>
      <c r="Y11" s="428"/>
      <c r="Z11" s="350" t="str">
        <f>IF(Y11="","",IF(VLOOKUP(Y11,'G-3 Multipliers'!$S$3:$T$10,2,FALSE)=0,"Spatial Data Missing ⚠",VLOOKUP(Y11,'G-3 Multipliers'!$S$3:$T$10,2,FALSE)))</f>
        <v/>
      </c>
      <c r="AA11" s="925" t="str">
        <f t="shared" si="0" ref="AA11:AA74">IFERROR(G11*I11*K11*N11*T11*X11*Z11,"")</f>
        <v/>
      </c>
      <c r="AB11" s="548" t="str">
        <f>IFERROR(IF(AND(Y11&lt;&gt;"",AF11=""),"Off-site reference required ▲",(IF(Y11="","",G11*I11*K11*N11*T11*X11))),"")</f>
        <v/>
      </c>
      <c r="AC11" s="591"/>
      <c r="AD11" s="592"/>
      <c r="AE11" s="594"/>
      <c r="AF11" s="592"/>
      <c r="AG11" s="933"/>
      <c r="AJ11" s="40" t="str">
        <f t="shared" si="1" ref="AJ11:AJ74">IFERROR(INDEX(TemporalData,MATCH(F11,TemporalHabitats,0),MATCH($AJ$10,TemporalConditions,0)),"")</f>
        <v/>
      </c>
    </row>
    <row r="12" spans="1:36" ht="14">
      <c r="A12" s="30" t="str">
        <f>IFERROR(INDEX('G-8 Condition Look up'!$I$4:$I$135,MATCH(F12,'G-8 Condition Look up'!$A$4:$A$135,0)),"")</f>
        <v/>
      </c>
      <c r="B12" s="225">
        <v>2</v>
      </c>
      <c r="C12" s="66" t="str">
        <f>IFERROR(INDEX('G-1 All Habitats'!$AG$25:$AG$41,MATCH(D12,'G-1 All Habitats'!AF$25:AF$41,0)),"")</f>
        <v/>
      </c>
      <c r="D12" s="105"/>
      <c r="E12" s="138"/>
      <c r="F12" s="158" t="str">
        <f>IFERROR(INDEX('G-1 All Habitats'!$B$3:$B$136,MATCH(E12,'G-1 All Habitats'!$A$3:$A$136,0)),"")</f>
        <v/>
      </c>
      <c r="G12" s="233"/>
      <c r="H12" s="311" t="str">
        <f>IF(F12="","",VLOOKUP(F12,'G-1 All Habitats'!$B$2:$M$135,10,FALSE))</f>
        <v/>
      </c>
      <c r="I12" s="299" t="str">
        <f>IFERROR(VLOOKUP(H12,'G-1 All Habitats'!$V$3:$W$7,2,FALSE),"")</f>
        <v/>
      </c>
      <c r="J12" s="136"/>
      <c r="K12" s="299" t="str">
        <f>IFERROR(INDEX('G-8 Condition Look up'!$A$3:$H$135,MATCH(F12,'G-8 Condition Look up'!$A$3:$A$135,0),MATCH(J12,'G-8 Condition Look up'!$A$3:$H$3,0)),"")</f>
        <v/>
      </c>
      <c r="L12" s="101"/>
      <c r="M12" s="314" t="str">
        <f>IF(L12="","",IF(VLOOKUP(L12,'G-3 Multipliers'!$L$3:$N$6,2,FALSE)=0,"Spatial Data Missing ⚠",VLOOKUP(L12,'G-3 Multipliers'!$L$3:$N$6,2,FALSE)))</f>
        <v/>
      </c>
      <c r="N12" s="276" t="str">
        <f>IF(L12="","",IF(VLOOKUP(L12,'G-3 Multipliers'!$L$3:$N$6,3,FALSE)=0,"Spatial Data Missing ⚠",VLOOKUP(L12,'G-3 Multipliers'!$L$3:$N$6,3,FALSE)))</f>
        <v/>
      </c>
      <c r="O12" s="275" t="str">
        <f t="shared" si="2" ref="O12:O74">IFERROR(INDEX(TemporalData,MATCH(F12,TemporalHabitats,0),MATCH(J12,TemporalConditions,0)),"")</f>
        <v/>
      </c>
      <c r="P12" s="133"/>
      <c r="Q12" s="133"/>
      <c r="R12" s="295" t="str">
        <f t="shared" si="3" ref="R12:R75">IF(E12="","",IF(AND(P12&gt;0,Q12&gt;0),"Error -both advance and delayed habitat creation ▲",IF(I12=0,"Standard time to target condition applied",IF(O12&lt;=P12,"Check details - Is there evidence that habitat has reached target condition? ⚠",IF(O12="","",IF(AND(P12&gt;=$AJ12,P12&gt;0),"Check details - Is there evidence habitat creation started and the threshold for Poor condition reached? ⚠",IF(AND(O12&gt;P12,P12&gt;0),"Check details - Is there evidence habitat creation in place? ⚠",IF(Q12&gt;0,"Check details- Delay in starting habitat in required condition? ⚠",IF(P12&gt;0,"Check details - Is there evidence habitat creation started/in place? ⚠","Standard time to target condition applied")))))))))</f>
        <v/>
      </c>
      <c r="S12" s="316" t="str">
        <f t="shared" si="4" ref="S12:S75">IF(R12="Error -both advance and delayed habitat creation ▲","Check Data ⚠",IF(O12="Not Possible ▲","Check Data ⚠",IF(O12="","",IF(AND(O12="30+",P12=0),"30+",IF(AND(O12="30+",P12="30+"),0,IF(AND(O12="30+",P12&lt;32),30-P12,IF(O12="30+",30-P12,IF(P12&gt;O12,0,IF(Q12="30+","30+",IF(O12+Q12&gt;30,"30+",IF(O12+Q12&gt;30,"30+",IF(O12-P12&gt;30,"30+",IF(O12+Q12-P12&gt;0,O12+Q12-P12,IF(O12-P12&gt;0,O12-P12,O12+Q12-P12))))))))))))))</f>
        <v/>
      </c>
      <c r="T12" s="300" t="str">
        <f>IFERROR(IF(S12="Check Data ⚠","Check Data ⚠",VLOOKUP(S12,'G-4 Temporal multipliers'!$A$4:$C$37,3,FALSE)),"")</f>
        <v/>
      </c>
      <c r="U12" s="298" t="str">
        <f>IF(F12="","",VLOOKUP(F12,'G-3 Multipliers'!$A$2:$E$134,2,FALSE))</f>
        <v/>
      </c>
      <c r="V12" s="295" t="str">
        <f t="shared" si="5" ref="V12:V75">IF(F12="","",IF($R12="Check details - Is there evidence that habitat has reached target condition? ⚠","Low Difficulty - only applicable if all habitat created before losses ⚠",IF(AND($R12="Check details - Is there evidence habitat creation started and the threshold for Poor condition reached? ⚠",$E12&lt;&gt;"Traditional orchards",$E12&lt;&gt;"Ornamental lake or pond",$E12&lt;&gt;"Ponds (non-priority habitat)",$E12&lt;&gt;"Ruderal/Ephemeral",$E12&lt;&gt;"Tall forbs",$E12&lt;&gt;"Developed land; sealed surface"),"Enhancement difficulty applied","Standard difficulty applied")))</f>
        <v/>
      </c>
      <c r="W12" s="295" t="str">
        <f>IF(E12="","",IF(AND(V12="Standard difficulty applied",O12&gt;P12),U12,IF(AND(V12="Low Difficulty - only applicable if all habitat created before losses ⚠",P12&gt;=O12),"Low",VLOOKUP(F12,'G-3 Multipliers'!$A$2:$E$134,4,FALSE))))</f>
        <v/>
      </c>
      <c r="X12" s="299" t="str">
        <f>IFERROR(IF(E12="","",VLOOKUP(W12,'G-3 Multipliers'!$P$2:$Q$6,2,FALSE)),"")</f>
        <v/>
      </c>
      <c r="Y12" s="393"/>
      <c r="Z12" s="510" t="str">
        <f>IF(Y12="","",IF(VLOOKUP(Y12,'G-3 Multipliers'!$S$3:$T$10,2,FALSE)=0,"Spatial Data Missing ⚠",VLOOKUP(Y12,'G-3 Multipliers'!$S$3:$T$10,2,FALSE)))</f>
        <v/>
      </c>
      <c r="AA12" s="926" t="str">
        <f t="shared" si="0"/>
        <v/>
      </c>
      <c r="AB12" s="928" t="str">
        <f t="shared" si="6" ref="AB12:AB75">IFERROR(IF(AND(Y12&lt;&gt;"",AF12=""),"Off-site reference required ▲",(IF(Y12="","",G12*I12*K12*N12*T12*X12))),"")</f>
        <v/>
      </c>
      <c r="AC12" s="105"/>
      <c r="AD12" s="138"/>
      <c r="AE12" s="233"/>
      <c r="AF12" s="138"/>
      <c r="AG12" s="934"/>
      <c r="AJ12" s="40" t="str">
        <f t="shared" si="1"/>
        <v/>
      </c>
    </row>
    <row r="13" spans="1:36" ht="14">
      <c r="A13" s="30" t="str">
        <f>IFERROR(INDEX('G-8 Condition Look up'!$I$4:$I$135,MATCH(F13,'G-8 Condition Look up'!$A$4:$A$135,0)),"")</f>
        <v/>
      </c>
      <c r="B13" s="225">
        <v>3</v>
      </c>
      <c r="C13" s="66" t="str">
        <f>IFERROR(INDEX('G-1 All Habitats'!$AG$25:$AG$41,MATCH(D13,'G-1 All Habitats'!AF$25:AF$41,0)),"")</f>
        <v/>
      </c>
      <c r="D13" s="105"/>
      <c r="E13" s="138"/>
      <c r="F13" s="158" t="str">
        <f>IFERROR(INDEX('G-1 All Habitats'!$B$3:$B$136,MATCH(E13,'G-1 All Habitats'!$A$3:$A$136,0)),"")</f>
        <v/>
      </c>
      <c r="G13" s="233"/>
      <c r="H13" s="311" t="str">
        <f>IF(F13="","",VLOOKUP(F13,'G-1 All Habitats'!$B$2:$M$135,10,FALSE))</f>
        <v/>
      </c>
      <c r="I13" s="299" t="str">
        <f>IFERROR(VLOOKUP(H13,'G-1 All Habitats'!$V$3:$W$7,2,FALSE),"")</f>
        <v/>
      </c>
      <c r="J13" s="136"/>
      <c r="K13" s="299" t="str">
        <f>IFERROR(INDEX('G-8 Condition Look up'!$A$3:$H$135,MATCH(F13,'G-8 Condition Look up'!$A$3:$A$135,0),MATCH(J13,'G-8 Condition Look up'!$A$3:$H$3,0)),"")</f>
        <v/>
      </c>
      <c r="L13" s="101"/>
      <c r="M13" s="314" t="str">
        <f>IF(L13="","",IF(VLOOKUP(L13,'G-3 Multipliers'!$L$3:$N$6,2,FALSE)=0,"Spatial Data Missing ⚠",VLOOKUP(L13,'G-3 Multipliers'!$L$3:$N$6,2,FALSE)))</f>
        <v/>
      </c>
      <c r="N13" s="276" t="str">
        <f>IF(L13="","",IF(VLOOKUP(L13,'G-3 Multipliers'!$L$3:$N$6,3,FALSE)=0,"Spatial Data Missing ⚠",VLOOKUP(L13,'G-3 Multipliers'!$L$3:$N$6,3,FALSE)))</f>
        <v/>
      </c>
      <c r="O13" s="275" t="str">
        <f t="shared" si="2"/>
        <v/>
      </c>
      <c r="P13" s="133"/>
      <c r="Q13" s="133"/>
      <c r="R13" s="295" t="str">
        <f t="shared" si="3"/>
        <v/>
      </c>
      <c r="S13" s="316" t="str">
        <f t="shared" si="4"/>
        <v/>
      </c>
      <c r="T13" s="300" t="str">
        <f>IFERROR(IF(S13="Check Data ⚠","Check Data ⚠",VLOOKUP(S13,'G-4 Temporal multipliers'!$A$4:$C$37,3,FALSE)),"")</f>
        <v/>
      </c>
      <c r="U13" s="298" t="str">
        <f>IF(F13="","",VLOOKUP(F13,'G-3 Multipliers'!$A$2:$E$134,2,FALSE))</f>
        <v/>
      </c>
      <c r="V13" s="295" t="str">
        <f t="shared" si="5"/>
        <v/>
      </c>
      <c r="W13" s="295" t="str">
        <f>IF(E13="","",IF(AND(V13="Standard difficulty applied",O13&gt;P13),U13,IF(AND(V13="Low Difficulty - only applicable if all habitat created before losses ⚠",P13&gt;=O13),"Low",VLOOKUP(F13,'G-3 Multipliers'!$A$2:$E$134,4,FALSE))))</f>
        <v/>
      </c>
      <c r="X13" s="299" t="str">
        <f>IFERROR(IF(E13="","",VLOOKUP(W13,'G-3 Multipliers'!$P$2:$Q$6,2,FALSE)),"")</f>
        <v/>
      </c>
      <c r="Y13" s="393"/>
      <c r="Z13" s="510" t="str">
        <f>IF(Y13="","",IF(VLOOKUP(Y13,'G-3 Multipliers'!$S$3:$T$10,2,FALSE)=0,"Spatial Data Missing ⚠",VLOOKUP(Y13,'G-3 Multipliers'!$S$3:$T$10,2,FALSE)))</f>
        <v/>
      </c>
      <c r="AA13" s="926" t="str">
        <f t="shared" si="0"/>
        <v/>
      </c>
      <c r="AB13" s="928" t="str">
        <f t="shared" si="6"/>
        <v/>
      </c>
      <c r="AC13" s="105"/>
      <c r="AD13" s="138"/>
      <c r="AE13" s="233"/>
      <c r="AF13" s="138"/>
      <c r="AG13" s="934"/>
      <c r="AJ13" s="40" t="str">
        <f t="shared" si="1"/>
        <v/>
      </c>
    </row>
    <row r="14" spans="1:36" ht="14">
      <c r="A14" s="30" t="str">
        <f>IFERROR(INDEX('G-8 Condition Look up'!$I$4:$I$135,MATCH(F14,'G-8 Condition Look up'!$A$4:$A$135,0)),"")</f>
        <v/>
      </c>
      <c r="B14" s="225">
        <v>4</v>
      </c>
      <c r="C14" s="66" t="str">
        <f>IFERROR(INDEX('G-1 All Habitats'!$AG$25:$AG$41,MATCH(D14,'G-1 All Habitats'!AF$25:AF$41,0)),"")</f>
        <v/>
      </c>
      <c r="D14" s="105"/>
      <c r="E14" s="138"/>
      <c r="F14" s="158" t="str">
        <f>IFERROR(INDEX('G-1 All Habitats'!$B$3:$B$136,MATCH(E14,'G-1 All Habitats'!$A$3:$A$136,0)),"")</f>
        <v/>
      </c>
      <c r="G14" s="233"/>
      <c r="H14" s="311" t="str">
        <f>IF(F14="","",VLOOKUP(F14,'G-1 All Habitats'!$B$2:$M$135,10,FALSE))</f>
        <v/>
      </c>
      <c r="I14" s="299" t="str">
        <f>IFERROR(VLOOKUP(H14,'G-1 All Habitats'!$V$3:$W$7,2,FALSE),"")</f>
        <v/>
      </c>
      <c r="J14" s="136"/>
      <c r="K14" s="299" t="str">
        <f>IFERROR(INDEX('G-8 Condition Look up'!$A$3:$H$135,MATCH(F14,'G-8 Condition Look up'!$A$3:$A$135,0),MATCH(J14,'G-8 Condition Look up'!$A$3:$H$3,0)),"")</f>
        <v/>
      </c>
      <c r="L14" s="101"/>
      <c r="M14" s="314" t="str">
        <f>IF(L14="","",IF(VLOOKUP(L14,'G-3 Multipliers'!$L$3:$N$6,2,FALSE)=0,"Spatial Data Missing ⚠",VLOOKUP(L14,'G-3 Multipliers'!$L$3:$N$6,2,FALSE)))</f>
        <v/>
      </c>
      <c r="N14" s="276" t="str">
        <f>IF(L14="","",IF(VLOOKUP(L14,'G-3 Multipliers'!$L$3:$N$6,3,FALSE)=0,"Spatial Data Missing ⚠",VLOOKUP(L14,'G-3 Multipliers'!$L$3:$N$6,3,FALSE)))</f>
        <v/>
      </c>
      <c r="O14" s="275" t="str">
        <f t="shared" si="2"/>
        <v/>
      </c>
      <c r="P14" s="133"/>
      <c r="Q14" s="133"/>
      <c r="R14" s="295" t="str">
        <f t="shared" si="3"/>
        <v/>
      </c>
      <c r="S14" s="316" t="str">
        <f t="shared" si="4"/>
        <v/>
      </c>
      <c r="T14" s="300" t="str">
        <f>IFERROR(IF(S14="Check Data ⚠","Check Data ⚠",VLOOKUP(S14,'G-4 Temporal multipliers'!$A$4:$C$37,3,FALSE)),"")</f>
        <v/>
      </c>
      <c r="U14" s="298" t="str">
        <f>IF(F14="","",VLOOKUP(F14,'G-3 Multipliers'!$A$2:$E$134,2,FALSE))</f>
        <v/>
      </c>
      <c r="V14" s="295" t="str">
        <f t="shared" si="5"/>
        <v/>
      </c>
      <c r="W14" s="295" t="str">
        <f>IF(E14="","",IF(AND(V14="Standard difficulty applied",O14&gt;P14),U14,IF(AND(V14="Low Difficulty - only applicable if all habitat created before losses ⚠",P14&gt;=O14),"Low",VLOOKUP(F14,'G-3 Multipliers'!$A$2:$E$134,4,FALSE))))</f>
        <v/>
      </c>
      <c r="X14" s="299" t="str">
        <f>IFERROR(IF(E14="","",VLOOKUP(W14,'G-3 Multipliers'!$P$2:$Q$6,2,FALSE)),"")</f>
        <v/>
      </c>
      <c r="Y14" s="393"/>
      <c r="Z14" s="510" t="str">
        <f>IF(Y14="","",IF(VLOOKUP(Y14,'G-3 Multipliers'!$S$3:$T$10,2,FALSE)=0,"Spatial Data Missing ⚠",VLOOKUP(Y14,'G-3 Multipliers'!$S$3:$T$10,2,FALSE)))</f>
        <v/>
      </c>
      <c r="AA14" s="926" t="str">
        <f t="shared" si="0"/>
        <v/>
      </c>
      <c r="AB14" s="928" t="str">
        <f t="shared" si="6"/>
        <v/>
      </c>
      <c r="AC14" s="105"/>
      <c r="AD14" s="138"/>
      <c r="AE14" s="233"/>
      <c r="AF14" s="138"/>
      <c r="AG14" s="934"/>
      <c r="AJ14" s="40" t="str">
        <f t="shared" si="1"/>
        <v/>
      </c>
    </row>
    <row r="15" spans="1:36" ht="14">
      <c r="A15" s="30" t="str">
        <f>IFERROR(INDEX('G-8 Condition Look up'!$I$4:$I$135,MATCH(F15,'G-8 Condition Look up'!$A$4:$A$135,0)),"")</f>
        <v/>
      </c>
      <c r="B15" s="225">
        <v>5</v>
      </c>
      <c r="C15" s="66" t="str">
        <f>IFERROR(INDEX('G-1 All Habitats'!$AG$25:$AG$41,MATCH(D15,'G-1 All Habitats'!AF$25:AF$41,0)),"")</f>
        <v/>
      </c>
      <c r="D15" s="105"/>
      <c r="E15" s="138"/>
      <c r="F15" s="158" t="str">
        <f>IFERROR(INDEX('G-1 All Habitats'!$B$3:$B$136,MATCH(E15,'G-1 All Habitats'!$A$3:$A$136,0)),"")</f>
        <v/>
      </c>
      <c r="G15" s="233"/>
      <c r="H15" s="311" t="str">
        <f>IF(F15="","",VLOOKUP(F15,'G-1 All Habitats'!$B$2:$M$135,10,FALSE))</f>
        <v/>
      </c>
      <c r="I15" s="299" t="str">
        <f>IFERROR(VLOOKUP(H15,'G-1 All Habitats'!$V$3:$W$7,2,FALSE),"")</f>
        <v/>
      </c>
      <c r="J15" s="136"/>
      <c r="K15" s="299" t="str">
        <f>IFERROR(INDEX('G-8 Condition Look up'!$A$3:$H$135,MATCH(F15,'G-8 Condition Look up'!$A$3:$A$135,0),MATCH(J15,'G-8 Condition Look up'!$A$3:$H$3,0)),"")</f>
        <v/>
      </c>
      <c r="L15" s="101"/>
      <c r="M15" s="314" t="str">
        <f>IF(L15="","",IF(VLOOKUP(L15,'G-3 Multipliers'!$L$3:$N$6,2,FALSE)=0,"Spatial Data Missing ⚠",VLOOKUP(L15,'G-3 Multipliers'!$L$3:$N$6,2,FALSE)))</f>
        <v/>
      </c>
      <c r="N15" s="276" t="str">
        <f>IF(L15="","",IF(VLOOKUP(L15,'G-3 Multipliers'!$L$3:$N$6,3,FALSE)=0,"Spatial Data Missing ⚠",VLOOKUP(L15,'G-3 Multipliers'!$L$3:$N$6,3,FALSE)))</f>
        <v/>
      </c>
      <c r="O15" s="275" t="str">
        <f t="shared" si="2"/>
        <v/>
      </c>
      <c r="P15" s="133"/>
      <c r="Q15" s="133"/>
      <c r="R15" s="295" t="str">
        <f t="shared" si="3"/>
        <v/>
      </c>
      <c r="S15" s="316" t="str">
        <f t="shared" si="4"/>
        <v/>
      </c>
      <c r="T15" s="300" t="str">
        <f>IFERROR(IF(S15="Check Data ⚠","Check Data ⚠",VLOOKUP(S15,'G-4 Temporal multipliers'!$A$4:$C$37,3,FALSE)),"")</f>
        <v/>
      </c>
      <c r="U15" s="298" t="str">
        <f>IF(F15="","",VLOOKUP(F15,'G-3 Multipliers'!$A$2:$E$134,2,FALSE))</f>
        <v/>
      </c>
      <c r="V15" s="295" t="str">
        <f t="shared" si="5"/>
        <v/>
      </c>
      <c r="W15" s="295" t="str">
        <f>IF(E15="","",IF(AND(V15="Standard difficulty applied",O15&gt;P15),U15,IF(AND(V15="Low Difficulty - only applicable if all habitat created before losses ⚠",P15&gt;=O15),"Low",VLOOKUP(F15,'G-3 Multipliers'!$A$2:$E$134,4,FALSE))))</f>
        <v/>
      </c>
      <c r="X15" s="299" t="str">
        <f>IFERROR(IF(E15="","",VLOOKUP(W15,'G-3 Multipliers'!$P$2:$Q$6,2,FALSE)),"")</f>
        <v/>
      </c>
      <c r="Y15" s="393"/>
      <c r="Z15" s="510" t="str">
        <f>IF(Y15="","",IF(VLOOKUP(Y15,'G-3 Multipliers'!$S$3:$T$10,2,FALSE)=0,"Spatial Data Missing ⚠",VLOOKUP(Y15,'G-3 Multipliers'!$S$3:$T$10,2,FALSE)))</f>
        <v/>
      </c>
      <c r="AA15" s="926" t="str">
        <f t="shared" si="0"/>
        <v/>
      </c>
      <c r="AB15" s="928" t="str">
        <f t="shared" si="6"/>
        <v/>
      </c>
      <c r="AC15" s="105"/>
      <c r="AD15" s="138"/>
      <c r="AE15" s="233"/>
      <c r="AF15" s="138"/>
      <c r="AG15" s="934"/>
      <c r="AJ15" s="40" t="str">
        <f t="shared" si="1"/>
        <v/>
      </c>
    </row>
    <row r="16" spans="1:36" ht="14">
      <c r="A16" s="30" t="str">
        <f>IFERROR(INDEX('G-8 Condition Look up'!$I$4:$I$135,MATCH(F16,'G-8 Condition Look up'!$A$4:$A$135,0)),"")</f>
        <v/>
      </c>
      <c r="B16" s="225">
        <v>6</v>
      </c>
      <c r="C16" s="66" t="str">
        <f>IFERROR(INDEX('G-1 All Habitats'!$AG$25:$AG$41,MATCH(D16,'G-1 All Habitats'!AF$25:AF$41,0)),"")</f>
        <v/>
      </c>
      <c r="D16" s="105"/>
      <c r="E16" s="138"/>
      <c r="F16" s="158" t="str">
        <f>IFERROR(INDEX('G-1 All Habitats'!$B$3:$B$136,MATCH(E16,'G-1 All Habitats'!$A$3:$A$136,0)),"")</f>
        <v/>
      </c>
      <c r="G16" s="233"/>
      <c r="H16" s="311" t="str">
        <f>IF(F16="","",VLOOKUP(F16,'G-1 All Habitats'!$B$2:$M$135,10,FALSE))</f>
        <v/>
      </c>
      <c r="I16" s="299" t="str">
        <f>IFERROR(VLOOKUP(H16,'G-1 All Habitats'!$V$3:$W$7,2,FALSE),"")</f>
        <v/>
      </c>
      <c r="J16" s="136"/>
      <c r="K16" s="299" t="str">
        <f>IFERROR(INDEX('G-8 Condition Look up'!$A$3:$H$135,MATCH(F16,'G-8 Condition Look up'!$A$3:$A$135,0),MATCH(J16,'G-8 Condition Look up'!$A$3:$H$3,0)),"")</f>
        <v/>
      </c>
      <c r="L16" s="101"/>
      <c r="M16" s="314" t="str">
        <f>IF(L16="","",IF(VLOOKUP(L16,'G-3 Multipliers'!$L$3:$N$6,2,FALSE)=0,"Spatial Data Missing ⚠",VLOOKUP(L16,'G-3 Multipliers'!$L$3:$N$6,2,FALSE)))</f>
        <v/>
      </c>
      <c r="N16" s="276" t="str">
        <f>IF(L16="","",IF(VLOOKUP(L16,'G-3 Multipliers'!$L$3:$N$6,3,FALSE)=0,"Spatial Data Missing ⚠",VLOOKUP(L16,'G-3 Multipliers'!$L$3:$N$6,3,FALSE)))</f>
        <v/>
      </c>
      <c r="O16" s="275" t="str">
        <f t="shared" si="2"/>
        <v/>
      </c>
      <c r="P16" s="133"/>
      <c r="Q16" s="133"/>
      <c r="R16" s="295" t="str">
        <f t="shared" si="3"/>
        <v/>
      </c>
      <c r="S16" s="316" t="str">
        <f t="shared" si="4"/>
        <v/>
      </c>
      <c r="T16" s="300" t="str">
        <f>IFERROR(IF(S16="Check Data ⚠","Check Data ⚠",VLOOKUP(S16,'G-4 Temporal multipliers'!$A$4:$C$37,3,FALSE)),"")</f>
        <v/>
      </c>
      <c r="U16" s="298" t="str">
        <f>IF(F16="","",VLOOKUP(F16,'G-3 Multipliers'!$A$2:$E$134,2,FALSE))</f>
        <v/>
      </c>
      <c r="V16" s="295" t="str">
        <f t="shared" si="5"/>
        <v/>
      </c>
      <c r="W16" s="295" t="str">
        <f>IF(E16="","",IF(AND(V16="Standard difficulty applied",O16&gt;P16),U16,IF(AND(V16="Low Difficulty - only applicable if all habitat created before losses ⚠",P16&gt;=O16),"Low",VLOOKUP(F16,'G-3 Multipliers'!$A$2:$E$134,4,FALSE))))</f>
        <v/>
      </c>
      <c r="X16" s="299" t="str">
        <f>IFERROR(IF(E16="","",VLOOKUP(W16,'G-3 Multipliers'!$P$2:$Q$6,2,FALSE)),"")</f>
        <v/>
      </c>
      <c r="Y16" s="393"/>
      <c r="Z16" s="510" t="str">
        <f>IF(Y16="","",IF(VLOOKUP(Y16,'G-3 Multipliers'!$S$3:$T$10,2,FALSE)=0,"Spatial Data Missing ⚠",VLOOKUP(Y16,'G-3 Multipliers'!$S$3:$T$10,2,FALSE)))</f>
        <v/>
      </c>
      <c r="AA16" s="926" t="str">
        <f t="shared" si="0"/>
        <v/>
      </c>
      <c r="AB16" s="928" t="str">
        <f t="shared" si="6"/>
        <v/>
      </c>
      <c r="AC16" s="105"/>
      <c r="AD16" s="138"/>
      <c r="AE16" s="233"/>
      <c r="AF16" s="138"/>
      <c r="AG16" s="934"/>
      <c r="AJ16" s="40" t="str">
        <f t="shared" si="1"/>
        <v/>
      </c>
    </row>
    <row r="17" spans="1:36" ht="14">
      <c r="A17" s="30" t="str">
        <f>IFERROR(INDEX('G-8 Condition Look up'!$I$4:$I$135,MATCH(F17,'G-8 Condition Look up'!$A$4:$A$135,0)),"")</f>
        <v/>
      </c>
      <c r="B17" s="225">
        <v>7</v>
      </c>
      <c r="C17" s="66" t="str">
        <f>IFERROR(INDEX('G-1 All Habitats'!$AG$25:$AG$41,MATCH(D17,'G-1 All Habitats'!AF$25:AF$41,0)),"")</f>
        <v/>
      </c>
      <c r="D17" s="105"/>
      <c r="E17" s="138"/>
      <c r="F17" s="158" t="str">
        <f>IFERROR(INDEX('G-1 All Habitats'!$B$3:$B$136,MATCH(E17,'G-1 All Habitats'!$A$3:$A$136,0)),"")</f>
        <v/>
      </c>
      <c r="G17" s="233"/>
      <c r="H17" s="311" t="str">
        <f>IF(F17="","",VLOOKUP(F17,'G-1 All Habitats'!$B$2:$M$135,10,FALSE))</f>
        <v/>
      </c>
      <c r="I17" s="299" t="str">
        <f>IFERROR(VLOOKUP(H17,'G-1 All Habitats'!$V$3:$W$7,2,FALSE),"")</f>
        <v/>
      </c>
      <c r="J17" s="136"/>
      <c r="K17" s="299" t="str">
        <f>IFERROR(INDEX('G-8 Condition Look up'!$A$3:$H$135,MATCH(F17,'G-8 Condition Look up'!$A$3:$A$135,0),MATCH(J17,'G-8 Condition Look up'!$A$3:$H$3,0)),"")</f>
        <v/>
      </c>
      <c r="L17" s="101"/>
      <c r="M17" s="314" t="str">
        <f>IF(L17="","",IF(VLOOKUP(L17,'G-3 Multipliers'!$L$3:$N$6,2,FALSE)=0,"Spatial Data Missing ⚠",VLOOKUP(L17,'G-3 Multipliers'!$L$3:$N$6,2,FALSE)))</f>
        <v/>
      </c>
      <c r="N17" s="276" t="str">
        <f>IF(L17="","",IF(VLOOKUP(L17,'G-3 Multipliers'!$L$3:$N$6,3,FALSE)=0,"Spatial Data Missing ⚠",VLOOKUP(L17,'G-3 Multipliers'!$L$3:$N$6,3,FALSE)))</f>
        <v/>
      </c>
      <c r="O17" s="275" t="str">
        <f t="shared" si="2"/>
        <v/>
      </c>
      <c r="P17" s="133"/>
      <c r="Q17" s="133"/>
      <c r="R17" s="295" t="str">
        <f t="shared" si="3"/>
        <v/>
      </c>
      <c r="S17" s="316" t="str">
        <f t="shared" si="4"/>
        <v/>
      </c>
      <c r="T17" s="300" t="str">
        <f>IFERROR(IF(S17="Check Data ⚠","Check Data ⚠",VLOOKUP(S17,'G-4 Temporal multipliers'!$A$4:$C$37,3,FALSE)),"")</f>
        <v/>
      </c>
      <c r="U17" s="298" t="str">
        <f>IF(F17="","",VLOOKUP(F17,'G-3 Multipliers'!$A$2:$E$134,2,FALSE))</f>
        <v/>
      </c>
      <c r="V17" s="295" t="str">
        <f t="shared" si="5"/>
        <v/>
      </c>
      <c r="W17" s="295" t="str">
        <f>IF(E17="","",IF(AND(V17="Standard difficulty applied",O17&gt;P17),U17,IF(AND(V17="Low Difficulty - only applicable if all habitat created before losses ⚠",P17&gt;=O17),"Low",VLOOKUP(F17,'G-3 Multipliers'!$A$2:$E$134,4,FALSE))))</f>
        <v/>
      </c>
      <c r="X17" s="299" t="str">
        <f>IFERROR(IF(E17="","",VLOOKUP(W17,'G-3 Multipliers'!$P$2:$Q$6,2,FALSE)),"")</f>
        <v/>
      </c>
      <c r="Y17" s="393"/>
      <c r="Z17" s="510" t="str">
        <f>IF(Y17="","",IF(VLOOKUP(Y17,'G-3 Multipliers'!$S$3:$T$10,2,FALSE)=0,"Spatial Data Missing ⚠",VLOOKUP(Y17,'G-3 Multipliers'!$S$3:$T$10,2,FALSE)))</f>
        <v/>
      </c>
      <c r="AA17" s="926" t="str">
        <f t="shared" si="0"/>
        <v/>
      </c>
      <c r="AB17" s="928" t="str">
        <f t="shared" si="6"/>
        <v/>
      </c>
      <c r="AC17" s="105"/>
      <c r="AD17" s="138"/>
      <c r="AE17" s="233"/>
      <c r="AF17" s="138"/>
      <c r="AG17" s="934"/>
      <c r="AJ17" s="40" t="str">
        <f t="shared" si="1"/>
        <v/>
      </c>
    </row>
    <row r="18" spans="1:36" ht="14">
      <c r="A18" s="30" t="str">
        <f>IFERROR(INDEX('G-8 Condition Look up'!$I$4:$I$135,MATCH(F18,'G-8 Condition Look up'!$A$4:$A$135,0)),"")</f>
        <v/>
      </c>
      <c r="B18" s="225">
        <v>8</v>
      </c>
      <c r="C18" s="66" t="str">
        <f>IFERROR(INDEX('G-1 All Habitats'!$AG$25:$AG$41,MATCH(D18,'G-1 All Habitats'!AF$25:AF$41,0)),"")</f>
        <v/>
      </c>
      <c r="D18" s="105"/>
      <c r="E18" s="138"/>
      <c r="F18" s="158" t="str">
        <f>IFERROR(INDEX('G-1 All Habitats'!$B$3:$B$136,MATCH(E18,'G-1 All Habitats'!$A$3:$A$136,0)),"")</f>
        <v/>
      </c>
      <c r="G18" s="233"/>
      <c r="H18" s="311" t="str">
        <f>IF(F18="","",VLOOKUP(F18,'G-1 All Habitats'!$B$2:$M$135,10,FALSE))</f>
        <v/>
      </c>
      <c r="I18" s="299" t="str">
        <f>IFERROR(VLOOKUP(H18,'G-1 All Habitats'!$V$3:$W$7,2,FALSE),"")</f>
        <v/>
      </c>
      <c r="J18" s="136"/>
      <c r="K18" s="299" t="str">
        <f>IFERROR(INDEX('G-8 Condition Look up'!$A$3:$H$135,MATCH(F18,'G-8 Condition Look up'!$A$3:$A$135,0),MATCH(J18,'G-8 Condition Look up'!$A$3:$H$3,0)),"")</f>
        <v/>
      </c>
      <c r="L18" s="101"/>
      <c r="M18" s="314" t="str">
        <f>IF(L18="","",IF(VLOOKUP(L18,'G-3 Multipliers'!$L$3:$N$6,2,FALSE)=0,"Spatial Data Missing ⚠",VLOOKUP(L18,'G-3 Multipliers'!$L$3:$N$6,2,FALSE)))</f>
        <v/>
      </c>
      <c r="N18" s="276" t="str">
        <f>IF(L18="","",IF(VLOOKUP(L18,'G-3 Multipliers'!$L$3:$N$6,3,FALSE)=0,"Spatial Data Missing ⚠",VLOOKUP(L18,'G-3 Multipliers'!$L$3:$N$6,3,FALSE)))</f>
        <v/>
      </c>
      <c r="O18" s="275" t="str">
        <f t="shared" si="2"/>
        <v/>
      </c>
      <c r="P18" s="133"/>
      <c r="Q18" s="133"/>
      <c r="R18" s="295" t="str">
        <f t="shared" si="3"/>
        <v/>
      </c>
      <c r="S18" s="316" t="str">
        <f t="shared" si="4"/>
        <v/>
      </c>
      <c r="T18" s="300" t="str">
        <f>IFERROR(IF(S18="Check Data ⚠","Check Data ⚠",VLOOKUP(S18,'G-4 Temporal multipliers'!$A$4:$C$37,3,FALSE)),"")</f>
        <v/>
      </c>
      <c r="U18" s="298" t="str">
        <f>IF(F18="","",VLOOKUP(F18,'G-3 Multipliers'!$A$2:$E$134,2,FALSE))</f>
        <v/>
      </c>
      <c r="V18" s="295" t="str">
        <f t="shared" si="5"/>
        <v/>
      </c>
      <c r="W18" s="295" t="str">
        <f>IF(E18="","",IF(AND(V18="Standard difficulty applied",O18&gt;P18),U18,IF(AND(V18="Low Difficulty - only applicable if all habitat created before losses ⚠",P18&gt;=O18),"Low",VLOOKUP(F18,'G-3 Multipliers'!$A$2:$E$134,4,FALSE))))</f>
        <v/>
      </c>
      <c r="X18" s="299" t="str">
        <f>IFERROR(IF(E18="","",VLOOKUP(W18,'G-3 Multipliers'!$P$2:$Q$6,2,FALSE)),"")</f>
        <v/>
      </c>
      <c r="Y18" s="393"/>
      <c r="Z18" s="510" t="str">
        <f>IF(Y18="","",IF(VLOOKUP(Y18,'G-3 Multipliers'!$S$3:$T$10,2,FALSE)=0,"Spatial Data Missing ⚠",VLOOKUP(Y18,'G-3 Multipliers'!$S$3:$T$10,2,FALSE)))</f>
        <v/>
      </c>
      <c r="AA18" s="926" t="str">
        <f t="shared" si="0"/>
        <v/>
      </c>
      <c r="AB18" s="928" t="str">
        <f t="shared" si="6"/>
        <v/>
      </c>
      <c r="AC18" s="105"/>
      <c r="AD18" s="138"/>
      <c r="AE18" s="233"/>
      <c r="AF18" s="138"/>
      <c r="AG18" s="934"/>
      <c r="AJ18" s="40" t="str">
        <f t="shared" si="1"/>
        <v/>
      </c>
    </row>
    <row r="19" spans="1:36" ht="14">
      <c r="A19" s="30" t="str">
        <f>IFERROR(INDEX('G-8 Condition Look up'!$I$4:$I$135,MATCH(F19,'G-8 Condition Look up'!$A$4:$A$135,0)),"")</f>
        <v/>
      </c>
      <c r="B19" s="225">
        <v>9</v>
      </c>
      <c r="C19" s="66" t="str">
        <f>IFERROR(INDEX('G-1 All Habitats'!$AG$25:$AG$41,MATCH(D19,'G-1 All Habitats'!AF$25:AF$41,0)),"")</f>
        <v/>
      </c>
      <c r="D19" s="105"/>
      <c r="E19" s="138"/>
      <c r="F19" s="158" t="str">
        <f>IFERROR(INDEX('G-1 All Habitats'!$B$3:$B$136,MATCH(E19,'G-1 All Habitats'!$A$3:$A$136,0)),"")</f>
        <v/>
      </c>
      <c r="G19" s="233"/>
      <c r="H19" s="311" t="str">
        <f>IF(F19="","",VLOOKUP(F19,'G-1 All Habitats'!$B$2:$M$135,10,FALSE))</f>
        <v/>
      </c>
      <c r="I19" s="299" t="str">
        <f>IFERROR(VLOOKUP(H19,'G-1 All Habitats'!$V$3:$W$7,2,FALSE),"")</f>
        <v/>
      </c>
      <c r="J19" s="136"/>
      <c r="K19" s="299" t="str">
        <f>IFERROR(INDEX('G-8 Condition Look up'!$A$3:$H$135,MATCH(F19,'G-8 Condition Look up'!$A$3:$A$135,0),MATCH(J19,'G-8 Condition Look up'!$A$3:$H$3,0)),"")</f>
        <v/>
      </c>
      <c r="L19" s="101"/>
      <c r="M19" s="314" t="str">
        <f>IF(L19="","",IF(VLOOKUP(L19,'G-3 Multipliers'!$L$3:$N$6,2,FALSE)=0,"Spatial Data Missing ⚠",VLOOKUP(L19,'G-3 Multipliers'!$L$3:$N$6,2,FALSE)))</f>
        <v/>
      </c>
      <c r="N19" s="276" t="str">
        <f>IF(L19="","",IF(VLOOKUP(L19,'G-3 Multipliers'!$L$3:$N$6,3,FALSE)=0,"Spatial Data Missing ⚠",VLOOKUP(L19,'G-3 Multipliers'!$L$3:$N$6,3,FALSE)))</f>
        <v/>
      </c>
      <c r="O19" s="275" t="str">
        <f t="shared" si="2"/>
        <v/>
      </c>
      <c r="P19" s="133"/>
      <c r="Q19" s="133"/>
      <c r="R19" s="295" t="str">
        <f t="shared" si="3"/>
        <v/>
      </c>
      <c r="S19" s="316" t="str">
        <f t="shared" si="4"/>
        <v/>
      </c>
      <c r="T19" s="300" t="str">
        <f>IFERROR(IF(S19="Check Data ⚠","Check Data ⚠",VLOOKUP(S19,'G-4 Temporal multipliers'!$A$4:$C$37,3,FALSE)),"")</f>
        <v/>
      </c>
      <c r="U19" s="298" t="str">
        <f>IF(F19="","",VLOOKUP(F19,'G-3 Multipliers'!$A$2:$E$134,2,FALSE))</f>
        <v/>
      </c>
      <c r="V19" s="295" t="str">
        <f t="shared" si="5"/>
        <v/>
      </c>
      <c r="W19" s="295" t="str">
        <f>IF(E19="","",IF(AND(V19="Standard difficulty applied",O19&gt;P19),U19,IF(AND(V19="Low Difficulty - only applicable if all habitat created before losses ⚠",P19&gt;=O19),"Low",VLOOKUP(F19,'G-3 Multipliers'!$A$2:$E$134,4,FALSE))))</f>
        <v/>
      </c>
      <c r="X19" s="299" t="str">
        <f>IFERROR(IF(E19="","",VLOOKUP(W19,'G-3 Multipliers'!$P$2:$Q$6,2,FALSE)),"")</f>
        <v/>
      </c>
      <c r="Y19" s="393"/>
      <c r="Z19" s="510" t="str">
        <f>IF(Y19="","",IF(VLOOKUP(Y19,'G-3 Multipliers'!$S$3:$T$10,2,FALSE)=0,"Spatial Data Missing ⚠",VLOOKUP(Y19,'G-3 Multipliers'!$S$3:$T$10,2,FALSE)))</f>
        <v/>
      </c>
      <c r="AA19" s="926" t="str">
        <f t="shared" si="0"/>
        <v/>
      </c>
      <c r="AB19" s="928" t="str">
        <f t="shared" si="6"/>
        <v/>
      </c>
      <c r="AC19" s="105"/>
      <c r="AD19" s="138"/>
      <c r="AE19" s="233"/>
      <c r="AF19" s="138"/>
      <c r="AG19" s="934"/>
      <c r="AJ19" s="40" t="str">
        <f t="shared" si="1"/>
        <v/>
      </c>
    </row>
    <row r="20" spans="1:36" ht="14">
      <c r="A20" s="30" t="str">
        <f>IFERROR(INDEX('G-8 Condition Look up'!$I$4:$I$135,MATCH(F20,'G-8 Condition Look up'!$A$4:$A$135,0)),"")</f>
        <v/>
      </c>
      <c r="B20" s="225">
        <v>10</v>
      </c>
      <c r="C20" s="66" t="str">
        <f>IFERROR(INDEX('G-1 All Habitats'!$AG$25:$AG$41,MATCH(D20,'G-1 All Habitats'!AF$25:AF$41,0)),"")</f>
        <v/>
      </c>
      <c r="D20" s="105"/>
      <c r="E20" s="138"/>
      <c r="F20" s="158" t="str">
        <f>IFERROR(INDEX('G-1 All Habitats'!$B$3:$B$136,MATCH(E20,'G-1 All Habitats'!$A$3:$A$136,0)),"")</f>
        <v/>
      </c>
      <c r="G20" s="233"/>
      <c r="H20" s="311" t="str">
        <f>IF(F20="","",VLOOKUP(F20,'G-1 All Habitats'!$B$2:$M$135,10,FALSE))</f>
        <v/>
      </c>
      <c r="I20" s="299" t="str">
        <f>IFERROR(VLOOKUP(H20,'G-1 All Habitats'!$V$3:$W$7,2,FALSE),"")</f>
        <v/>
      </c>
      <c r="J20" s="136"/>
      <c r="K20" s="299" t="str">
        <f>IFERROR(INDEX('G-8 Condition Look up'!$A$3:$H$135,MATCH(F20,'G-8 Condition Look up'!$A$3:$A$135,0),MATCH(J20,'G-8 Condition Look up'!$A$3:$H$3,0)),"")</f>
        <v/>
      </c>
      <c r="L20" s="101"/>
      <c r="M20" s="314" t="str">
        <f>IF(L20="","",IF(VLOOKUP(L20,'G-3 Multipliers'!$L$3:$N$6,2,FALSE)=0,"Spatial Data Missing ⚠",VLOOKUP(L20,'G-3 Multipliers'!$L$3:$N$6,2,FALSE)))</f>
        <v/>
      </c>
      <c r="N20" s="276" t="str">
        <f>IF(L20="","",IF(VLOOKUP(L20,'G-3 Multipliers'!$L$3:$N$6,3,FALSE)=0,"Spatial Data Missing ⚠",VLOOKUP(L20,'G-3 Multipliers'!$L$3:$N$6,3,FALSE)))</f>
        <v/>
      </c>
      <c r="O20" s="275" t="str">
        <f t="shared" si="2"/>
        <v/>
      </c>
      <c r="P20" s="133"/>
      <c r="Q20" s="133"/>
      <c r="R20" s="295" t="str">
        <f t="shared" si="3"/>
        <v/>
      </c>
      <c r="S20" s="316" t="str">
        <f t="shared" si="4"/>
        <v/>
      </c>
      <c r="T20" s="300" t="str">
        <f>IFERROR(IF(S20="Check Data ⚠","Check Data ⚠",VLOOKUP(S20,'G-4 Temporal multipliers'!$A$4:$C$37,3,FALSE)),"")</f>
        <v/>
      </c>
      <c r="U20" s="298" t="str">
        <f>IF(F20="","",VLOOKUP(F20,'G-3 Multipliers'!$A$2:$E$134,2,FALSE))</f>
        <v/>
      </c>
      <c r="V20" s="295" t="str">
        <f t="shared" si="5"/>
        <v/>
      </c>
      <c r="W20" s="295" t="str">
        <f>IF(E20="","",IF(AND(V20="Standard difficulty applied",O20&gt;P20),U20,IF(AND(V20="Low Difficulty - only applicable if all habitat created before losses ⚠",P20&gt;=O20),"Low",VLOOKUP(F20,'G-3 Multipliers'!$A$2:$E$134,4,FALSE))))</f>
        <v/>
      </c>
      <c r="X20" s="299" t="str">
        <f>IFERROR(IF(E20="","",VLOOKUP(W20,'G-3 Multipliers'!$P$2:$Q$6,2,FALSE)),"")</f>
        <v/>
      </c>
      <c r="Y20" s="393"/>
      <c r="Z20" s="510" t="str">
        <f>IF(Y20="","",IF(VLOOKUP(Y20,'G-3 Multipliers'!$S$3:$T$10,2,FALSE)=0,"Spatial Data Missing ⚠",VLOOKUP(Y20,'G-3 Multipliers'!$S$3:$T$10,2,FALSE)))</f>
        <v/>
      </c>
      <c r="AA20" s="926" t="str">
        <f t="shared" si="0"/>
        <v/>
      </c>
      <c r="AB20" s="928" t="str">
        <f t="shared" si="6"/>
        <v/>
      </c>
      <c r="AC20" s="105"/>
      <c r="AD20" s="138"/>
      <c r="AE20" s="233"/>
      <c r="AF20" s="138"/>
      <c r="AG20" s="934"/>
      <c r="AJ20" s="40" t="str">
        <f t="shared" si="1"/>
        <v/>
      </c>
    </row>
    <row r="21" spans="1:36" ht="14">
      <c r="A21" s="30" t="str">
        <f>IFERROR(INDEX('G-8 Condition Look up'!$I$4:$I$135,MATCH(F21,'G-8 Condition Look up'!$A$4:$A$135,0)),"")</f>
        <v/>
      </c>
      <c r="B21" s="225">
        <v>11</v>
      </c>
      <c r="C21" s="66" t="str">
        <f>IFERROR(INDEX('G-1 All Habitats'!$AG$25:$AG$41,MATCH(D21,'G-1 All Habitats'!AF$25:AF$41,0)),"")</f>
        <v/>
      </c>
      <c r="D21" s="105"/>
      <c r="E21" s="138"/>
      <c r="F21" s="158" t="str">
        <f>IFERROR(INDEX('G-1 All Habitats'!$B$3:$B$136,MATCH(E21,'G-1 All Habitats'!$A$3:$A$136,0)),"")</f>
        <v/>
      </c>
      <c r="G21" s="233"/>
      <c r="H21" s="311" t="str">
        <f>IF(F21="","",VLOOKUP(F21,'G-1 All Habitats'!$B$2:$M$135,10,FALSE))</f>
        <v/>
      </c>
      <c r="I21" s="299" t="str">
        <f>IFERROR(VLOOKUP(H21,'G-1 All Habitats'!$V$3:$W$7,2,FALSE),"")</f>
        <v/>
      </c>
      <c r="J21" s="136"/>
      <c r="K21" s="299" t="str">
        <f>IFERROR(INDEX('G-8 Condition Look up'!$A$3:$H$135,MATCH(F21,'G-8 Condition Look up'!$A$3:$A$135,0),MATCH(J21,'G-8 Condition Look up'!$A$3:$H$3,0)),"")</f>
        <v/>
      </c>
      <c r="L21" s="101"/>
      <c r="M21" s="314" t="str">
        <f>IF(L21="","",IF(VLOOKUP(L21,'G-3 Multipliers'!$L$3:$N$6,2,FALSE)=0,"Spatial Data Missing ⚠",VLOOKUP(L21,'G-3 Multipliers'!$L$3:$N$6,2,FALSE)))</f>
        <v/>
      </c>
      <c r="N21" s="276" t="str">
        <f>IF(L21="","",IF(VLOOKUP(L21,'G-3 Multipliers'!$L$3:$N$6,3,FALSE)=0,"Spatial Data Missing ⚠",VLOOKUP(L21,'G-3 Multipliers'!$L$3:$N$6,3,FALSE)))</f>
        <v/>
      </c>
      <c r="O21" s="275" t="str">
        <f t="shared" si="2"/>
        <v/>
      </c>
      <c r="P21" s="133"/>
      <c r="Q21" s="133"/>
      <c r="R21" s="295" t="str">
        <f t="shared" si="3"/>
        <v/>
      </c>
      <c r="S21" s="316" t="str">
        <f t="shared" si="4"/>
        <v/>
      </c>
      <c r="T21" s="300" t="str">
        <f>IFERROR(IF(S21="Check Data ⚠","Check Data ⚠",VLOOKUP(S21,'G-4 Temporal multipliers'!$A$4:$C$37,3,FALSE)),"")</f>
        <v/>
      </c>
      <c r="U21" s="298" t="str">
        <f>IF(F21="","",VLOOKUP(F21,'G-3 Multipliers'!$A$2:$E$134,2,FALSE))</f>
        <v/>
      </c>
      <c r="V21" s="295" t="str">
        <f t="shared" si="5"/>
        <v/>
      </c>
      <c r="W21" s="295" t="str">
        <f>IF(E21="","",IF(AND(V21="Standard difficulty applied",O21&gt;P21),U21,IF(AND(V21="Low Difficulty - only applicable if all habitat created before losses ⚠",P21&gt;=O21),"Low",VLOOKUP(F21,'G-3 Multipliers'!$A$2:$E$134,4,FALSE))))</f>
        <v/>
      </c>
      <c r="X21" s="299" t="str">
        <f>IFERROR(IF(E21="","",VLOOKUP(W21,'G-3 Multipliers'!$P$2:$Q$6,2,FALSE)),"")</f>
        <v/>
      </c>
      <c r="Y21" s="393"/>
      <c r="Z21" s="510" t="str">
        <f>IF(Y21="","",IF(VLOOKUP(Y21,'G-3 Multipliers'!$S$3:$T$10,2,FALSE)=0,"Spatial Data Missing ⚠",VLOOKUP(Y21,'G-3 Multipliers'!$S$3:$T$10,2,FALSE)))</f>
        <v/>
      </c>
      <c r="AA21" s="926" t="str">
        <f t="shared" si="0"/>
        <v/>
      </c>
      <c r="AB21" s="928" t="str">
        <f t="shared" si="6"/>
        <v/>
      </c>
      <c r="AC21" s="105"/>
      <c r="AD21" s="138"/>
      <c r="AE21" s="233"/>
      <c r="AF21" s="138"/>
      <c r="AG21" s="934"/>
      <c r="AJ21" s="40" t="str">
        <f t="shared" si="1"/>
        <v/>
      </c>
    </row>
    <row r="22" spans="1:36" ht="14">
      <c r="A22" s="30" t="str">
        <f>IFERROR(INDEX('G-8 Condition Look up'!$I$4:$I$135,MATCH(F22,'G-8 Condition Look up'!$A$4:$A$135,0)),"")</f>
        <v/>
      </c>
      <c r="B22" s="225">
        <v>12</v>
      </c>
      <c r="C22" s="66" t="str">
        <f>IFERROR(INDEX('G-1 All Habitats'!$AG$25:$AG$41,MATCH(D22,'G-1 All Habitats'!AF$25:AF$41,0)),"")</f>
        <v/>
      </c>
      <c r="D22" s="105"/>
      <c r="E22" s="138"/>
      <c r="F22" s="158" t="str">
        <f>IFERROR(INDEX('G-1 All Habitats'!$B$3:$B$136,MATCH(E22,'G-1 All Habitats'!$A$3:$A$136,0)),"")</f>
        <v/>
      </c>
      <c r="G22" s="233"/>
      <c r="H22" s="311" t="str">
        <f>IF(F22="","",VLOOKUP(F22,'G-1 All Habitats'!$B$2:$M$135,10,FALSE))</f>
        <v/>
      </c>
      <c r="I22" s="299" t="str">
        <f>IFERROR(VLOOKUP(H22,'G-1 All Habitats'!$V$3:$W$7,2,FALSE),"")</f>
        <v/>
      </c>
      <c r="J22" s="136"/>
      <c r="K22" s="299" t="str">
        <f>IFERROR(INDEX('G-8 Condition Look up'!$A$3:$H$135,MATCH(F22,'G-8 Condition Look up'!$A$3:$A$135,0),MATCH(J22,'G-8 Condition Look up'!$A$3:$H$3,0)),"")</f>
        <v/>
      </c>
      <c r="L22" s="101"/>
      <c r="M22" s="314" t="str">
        <f>IF(L22="","",IF(VLOOKUP(L22,'G-3 Multipliers'!$L$3:$N$6,2,FALSE)=0,"Spatial Data Missing ⚠",VLOOKUP(L22,'G-3 Multipliers'!$L$3:$N$6,2,FALSE)))</f>
        <v/>
      </c>
      <c r="N22" s="276" t="str">
        <f>IF(L22="","",IF(VLOOKUP(L22,'G-3 Multipliers'!$L$3:$N$6,3,FALSE)=0,"Spatial Data Missing ⚠",VLOOKUP(L22,'G-3 Multipliers'!$L$3:$N$6,3,FALSE)))</f>
        <v/>
      </c>
      <c r="O22" s="275" t="str">
        <f t="shared" si="2"/>
        <v/>
      </c>
      <c r="P22" s="133"/>
      <c r="Q22" s="133"/>
      <c r="R22" s="295" t="str">
        <f t="shared" si="3"/>
        <v/>
      </c>
      <c r="S22" s="316" t="str">
        <f t="shared" si="4"/>
        <v/>
      </c>
      <c r="T22" s="300" t="str">
        <f>IFERROR(IF(S22="Check Data ⚠","Check Data ⚠",VLOOKUP(S22,'G-4 Temporal multipliers'!$A$4:$C$37,3,FALSE)),"")</f>
        <v/>
      </c>
      <c r="U22" s="298" t="str">
        <f>IF(F22="","",VLOOKUP(F22,'G-3 Multipliers'!$A$2:$E$134,2,FALSE))</f>
        <v/>
      </c>
      <c r="V22" s="295" t="str">
        <f t="shared" si="5"/>
        <v/>
      </c>
      <c r="W22" s="295" t="str">
        <f>IF(E22="","",IF(AND(V22="Standard difficulty applied",O22&gt;P22),U22,IF(AND(V22="Low Difficulty - only applicable if all habitat created before losses ⚠",P22&gt;=O22),"Low",VLOOKUP(F22,'G-3 Multipliers'!$A$2:$E$134,4,FALSE))))</f>
        <v/>
      </c>
      <c r="X22" s="299" t="str">
        <f>IFERROR(IF(E22="","",VLOOKUP(W22,'G-3 Multipliers'!$P$2:$Q$6,2,FALSE)),"")</f>
        <v/>
      </c>
      <c r="Y22" s="393"/>
      <c r="Z22" s="510" t="str">
        <f>IF(Y22="","",IF(VLOOKUP(Y22,'G-3 Multipliers'!$S$3:$T$10,2,FALSE)=0,"Spatial Data Missing ⚠",VLOOKUP(Y22,'G-3 Multipliers'!$S$3:$T$10,2,FALSE)))</f>
        <v/>
      </c>
      <c r="AA22" s="926" t="str">
        <f t="shared" si="0"/>
        <v/>
      </c>
      <c r="AB22" s="928" t="str">
        <f t="shared" si="6"/>
        <v/>
      </c>
      <c r="AC22" s="105"/>
      <c r="AD22" s="138"/>
      <c r="AE22" s="233"/>
      <c r="AF22" s="138"/>
      <c r="AG22" s="934"/>
      <c r="AJ22" s="40" t="str">
        <f t="shared" si="1"/>
        <v/>
      </c>
    </row>
    <row r="23" spans="1:36" ht="14">
      <c r="A23" s="30" t="str">
        <f>IFERROR(INDEX('G-8 Condition Look up'!$I$4:$I$135,MATCH(F23,'G-8 Condition Look up'!$A$4:$A$135,0)),"")</f>
        <v/>
      </c>
      <c r="B23" s="225">
        <v>13</v>
      </c>
      <c r="C23" s="66" t="str">
        <f>IFERROR(INDEX('G-1 All Habitats'!$AG$25:$AG$41,MATCH(D23,'G-1 All Habitats'!AF$25:AF$41,0)),"")</f>
        <v/>
      </c>
      <c r="D23" s="105"/>
      <c r="E23" s="138"/>
      <c r="F23" s="158" t="str">
        <f>IFERROR(INDEX('G-1 All Habitats'!$B$3:$B$136,MATCH(E23,'G-1 All Habitats'!$A$3:$A$136,0)),"")</f>
        <v/>
      </c>
      <c r="G23" s="233"/>
      <c r="H23" s="311" t="str">
        <f>IF(F23="","",VLOOKUP(F23,'G-1 All Habitats'!$B$2:$M$135,10,FALSE))</f>
        <v/>
      </c>
      <c r="I23" s="299" t="str">
        <f>IFERROR(VLOOKUP(H23,'G-1 All Habitats'!$V$3:$W$7,2,FALSE),"")</f>
        <v/>
      </c>
      <c r="J23" s="136"/>
      <c r="K23" s="299" t="str">
        <f>IFERROR(INDEX('G-8 Condition Look up'!$A$3:$H$135,MATCH(F23,'G-8 Condition Look up'!$A$3:$A$135,0),MATCH(J23,'G-8 Condition Look up'!$A$3:$H$3,0)),"")</f>
        <v/>
      </c>
      <c r="L23" s="101"/>
      <c r="M23" s="314" t="str">
        <f>IF(L23="","",IF(VLOOKUP(L23,'G-3 Multipliers'!$L$3:$N$6,2,FALSE)=0,"Spatial Data Missing ⚠",VLOOKUP(L23,'G-3 Multipliers'!$L$3:$N$6,2,FALSE)))</f>
        <v/>
      </c>
      <c r="N23" s="276" t="str">
        <f>IF(L23="","",IF(VLOOKUP(L23,'G-3 Multipliers'!$L$3:$N$6,3,FALSE)=0,"Spatial Data Missing ⚠",VLOOKUP(L23,'G-3 Multipliers'!$L$3:$N$6,3,FALSE)))</f>
        <v/>
      </c>
      <c r="O23" s="275" t="str">
        <f t="shared" si="2"/>
        <v/>
      </c>
      <c r="P23" s="133"/>
      <c r="Q23" s="133"/>
      <c r="R23" s="295" t="str">
        <f t="shared" si="3"/>
        <v/>
      </c>
      <c r="S23" s="316" t="str">
        <f t="shared" si="4"/>
        <v/>
      </c>
      <c r="T23" s="300" t="str">
        <f>IFERROR(IF(S23="Check Data ⚠","Check Data ⚠",VLOOKUP(S23,'G-4 Temporal multipliers'!$A$4:$C$37,3,FALSE)),"")</f>
        <v/>
      </c>
      <c r="U23" s="298" t="str">
        <f>IF(F23="","",VLOOKUP(F23,'G-3 Multipliers'!$A$2:$E$134,2,FALSE))</f>
        <v/>
      </c>
      <c r="V23" s="295" t="str">
        <f t="shared" si="5"/>
        <v/>
      </c>
      <c r="W23" s="295" t="str">
        <f>IF(E23="","",IF(AND(V23="Standard difficulty applied",O23&gt;P23),U23,IF(AND(V23="Low Difficulty - only applicable if all habitat created before losses ⚠",P23&gt;=O23),"Low",VLOOKUP(F23,'G-3 Multipliers'!$A$2:$E$134,4,FALSE))))</f>
        <v/>
      </c>
      <c r="X23" s="299" t="str">
        <f>IFERROR(IF(E23="","",VLOOKUP(W23,'G-3 Multipliers'!$P$2:$Q$6,2,FALSE)),"")</f>
        <v/>
      </c>
      <c r="Y23" s="393"/>
      <c r="Z23" s="510" t="str">
        <f>IF(Y23="","",IF(VLOOKUP(Y23,'G-3 Multipliers'!$S$3:$T$10,2,FALSE)=0,"Spatial Data Missing ⚠",VLOOKUP(Y23,'G-3 Multipliers'!$S$3:$T$10,2,FALSE)))</f>
        <v/>
      </c>
      <c r="AA23" s="926" t="str">
        <f t="shared" si="0"/>
        <v/>
      </c>
      <c r="AB23" s="928" t="str">
        <f t="shared" si="6"/>
        <v/>
      </c>
      <c r="AC23" s="105"/>
      <c r="AD23" s="138"/>
      <c r="AE23" s="233"/>
      <c r="AF23" s="138"/>
      <c r="AG23" s="934"/>
      <c r="AJ23" s="40" t="str">
        <f t="shared" si="1"/>
        <v/>
      </c>
    </row>
    <row r="24" spans="1:36" ht="14">
      <c r="A24" s="30" t="str">
        <f>IFERROR(INDEX('G-8 Condition Look up'!$I$4:$I$135,MATCH(F24,'G-8 Condition Look up'!$A$4:$A$135,0)),"")</f>
        <v/>
      </c>
      <c r="B24" s="225">
        <v>14</v>
      </c>
      <c r="C24" s="66" t="str">
        <f>IFERROR(INDEX('G-1 All Habitats'!$AG$25:$AG$41,MATCH(D24,'G-1 All Habitats'!AF$25:AF$41,0)),"")</f>
        <v/>
      </c>
      <c r="D24" s="105"/>
      <c r="E24" s="138"/>
      <c r="F24" s="158" t="str">
        <f>IFERROR(INDEX('G-1 All Habitats'!$B$3:$B$136,MATCH(E24,'G-1 All Habitats'!$A$3:$A$136,0)),"")</f>
        <v/>
      </c>
      <c r="G24" s="233"/>
      <c r="H24" s="311" t="str">
        <f>IF(F24="","",VLOOKUP(F24,'G-1 All Habitats'!$B$2:$M$135,10,FALSE))</f>
        <v/>
      </c>
      <c r="I24" s="299" t="str">
        <f>IFERROR(VLOOKUP(H24,'G-1 All Habitats'!$V$3:$W$7,2,FALSE),"")</f>
        <v/>
      </c>
      <c r="J24" s="136"/>
      <c r="K24" s="299" t="str">
        <f>IFERROR(INDEX('G-8 Condition Look up'!$A$3:$H$135,MATCH(F24,'G-8 Condition Look up'!$A$3:$A$135,0),MATCH(J24,'G-8 Condition Look up'!$A$3:$H$3,0)),"")</f>
        <v/>
      </c>
      <c r="L24" s="101"/>
      <c r="M24" s="314" t="str">
        <f>IF(L24="","",IF(VLOOKUP(L24,'G-3 Multipliers'!$L$3:$N$6,2,FALSE)=0,"Spatial Data Missing ⚠",VLOOKUP(L24,'G-3 Multipliers'!$L$3:$N$6,2,FALSE)))</f>
        <v/>
      </c>
      <c r="N24" s="276" t="str">
        <f>IF(L24="","",IF(VLOOKUP(L24,'G-3 Multipliers'!$L$3:$N$6,3,FALSE)=0,"Spatial Data Missing ⚠",VLOOKUP(L24,'G-3 Multipliers'!$L$3:$N$6,3,FALSE)))</f>
        <v/>
      </c>
      <c r="O24" s="275" t="str">
        <f t="shared" si="2"/>
        <v/>
      </c>
      <c r="P24" s="133"/>
      <c r="Q24" s="133"/>
      <c r="R24" s="295" t="str">
        <f t="shared" si="3"/>
        <v/>
      </c>
      <c r="S24" s="316" t="str">
        <f t="shared" si="4"/>
        <v/>
      </c>
      <c r="T24" s="300" t="str">
        <f>IFERROR(IF(S24="Check Data ⚠","Check Data ⚠",VLOOKUP(S24,'G-4 Temporal multipliers'!$A$4:$C$37,3,FALSE)),"")</f>
        <v/>
      </c>
      <c r="U24" s="298" t="str">
        <f>IF(F24="","",VLOOKUP(F24,'G-3 Multipliers'!$A$2:$E$134,2,FALSE))</f>
        <v/>
      </c>
      <c r="V24" s="295" t="str">
        <f t="shared" si="5"/>
        <v/>
      </c>
      <c r="W24" s="295" t="str">
        <f>IF(E24="","",IF(AND(V24="Standard difficulty applied",O24&gt;P24),U24,IF(AND(V24="Low Difficulty - only applicable if all habitat created before losses ⚠",P24&gt;=O24),"Low",VLOOKUP(F24,'G-3 Multipliers'!$A$2:$E$134,4,FALSE))))</f>
        <v/>
      </c>
      <c r="X24" s="299" t="str">
        <f>IFERROR(IF(E24="","",VLOOKUP(W24,'G-3 Multipliers'!$P$2:$Q$6,2,FALSE)),"")</f>
        <v/>
      </c>
      <c r="Y24" s="393"/>
      <c r="Z24" s="510" t="str">
        <f>IF(Y24="","",IF(VLOOKUP(Y24,'G-3 Multipliers'!$S$3:$T$10,2,FALSE)=0,"Spatial Data Missing ⚠",VLOOKUP(Y24,'G-3 Multipliers'!$S$3:$T$10,2,FALSE)))</f>
        <v/>
      </c>
      <c r="AA24" s="926" t="str">
        <f t="shared" si="0"/>
        <v/>
      </c>
      <c r="AB24" s="928" t="str">
        <f t="shared" si="6"/>
        <v/>
      </c>
      <c r="AC24" s="105"/>
      <c r="AD24" s="138"/>
      <c r="AE24" s="233"/>
      <c r="AF24" s="138"/>
      <c r="AG24" s="934"/>
      <c r="AJ24" s="40" t="str">
        <f t="shared" si="1"/>
        <v/>
      </c>
    </row>
    <row r="25" spans="1:36" ht="14">
      <c r="A25" s="30" t="str">
        <f>IFERROR(INDEX('G-8 Condition Look up'!$I$4:$I$135,MATCH(F25,'G-8 Condition Look up'!$A$4:$A$135,0)),"")</f>
        <v/>
      </c>
      <c r="B25" s="225">
        <v>15</v>
      </c>
      <c r="C25" s="66" t="str">
        <f>IFERROR(INDEX('G-1 All Habitats'!$AG$25:$AG$41,MATCH(D25,'G-1 All Habitats'!AF$25:AF$41,0)),"")</f>
        <v/>
      </c>
      <c r="D25" s="105"/>
      <c r="E25" s="138"/>
      <c r="F25" s="158" t="str">
        <f>IFERROR(INDEX('G-1 All Habitats'!$B$3:$B$136,MATCH(E25,'G-1 All Habitats'!$A$3:$A$136,0)),"")</f>
        <v/>
      </c>
      <c r="G25" s="233"/>
      <c r="H25" s="311" t="str">
        <f>IF(F25="","",VLOOKUP(F25,'G-1 All Habitats'!$B$2:$M$135,10,FALSE))</f>
        <v/>
      </c>
      <c r="I25" s="299" t="str">
        <f>IFERROR(VLOOKUP(H25,'G-1 All Habitats'!$V$3:$W$7,2,FALSE),"")</f>
        <v/>
      </c>
      <c r="J25" s="136"/>
      <c r="K25" s="299" t="str">
        <f>IFERROR(INDEX('G-8 Condition Look up'!$A$3:$H$135,MATCH(F25,'G-8 Condition Look up'!$A$3:$A$135,0),MATCH(J25,'G-8 Condition Look up'!$A$3:$H$3,0)),"")</f>
        <v/>
      </c>
      <c r="L25" s="101"/>
      <c r="M25" s="314" t="str">
        <f>IF(L25="","",IF(VLOOKUP(L25,'G-3 Multipliers'!$L$3:$N$6,2,FALSE)=0,"Spatial Data Missing ⚠",VLOOKUP(L25,'G-3 Multipliers'!$L$3:$N$6,2,FALSE)))</f>
        <v/>
      </c>
      <c r="N25" s="276" t="str">
        <f>IF(L25="","",IF(VLOOKUP(L25,'G-3 Multipliers'!$L$3:$N$6,3,FALSE)=0,"Spatial Data Missing ⚠",VLOOKUP(L25,'G-3 Multipliers'!$L$3:$N$6,3,FALSE)))</f>
        <v/>
      </c>
      <c r="O25" s="275" t="str">
        <f t="shared" si="2"/>
        <v/>
      </c>
      <c r="P25" s="133"/>
      <c r="Q25" s="133"/>
      <c r="R25" s="295" t="str">
        <f t="shared" si="3"/>
        <v/>
      </c>
      <c r="S25" s="316" t="str">
        <f t="shared" si="4"/>
        <v/>
      </c>
      <c r="T25" s="300" t="str">
        <f>IFERROR(IF(S25="Check Data ⚠","Check Data ⚠",VLOOKUP(S25,'G-4 Temporal multipliers'!$A$4:$C$37,3,FALSE)),"")</f>
        <v/>
      </c>
      <c r="U25" s="298" t="str">
        <f>IF(F25="","",VLOOKUP(F25,'G-3 Multipliers'!$A$2:$E$134,2,FALSE))</f>
        <v/>
      </c>
      <c r="V25" s="295" t="str">
        <f t="shared" si="5"/>
        <v/>
      </c>
      <c r="W25" s="295" t="str">
        <f>IF(E25="","",IF(AND(V25="Standard difficulty applied",O25&gt;P25),U25,IF(AND(V25="Low Difficulty - only applicable if all habitat created before losses ⚠",P25&gt;=O25),"Low",VLOOKUP(F25,'G-3 Multipliers'!$A$2:$E$134,4,FALSE))))</f>
        <v/>
      </c>
      <c r="X25" s="299" t="str">
        <f>IFERROR(IF(E25="","",VLOOKUP(W25,'G-3 Multipliers'!$P$2:$Q$6,2,FALSE)),"")</f>
        <v/>
      </c>
      <c r="Y25" s="393"/>
      <c r="Z25" s="510" t="str">
        <f>IF(Y25="","",IF(VLOOKUP(Y25,'G-3 Multipliers'!$S$3:$T$10,2,FALSE)=0,"Spatial Data Missing ⚠",VLOOKUP(Y25,'G-3 Multipliers'!$S$3:$T$10,2,FALSE)))</f>
        <v/>
      </c>
      <c r="AA25" s="926" t="str">
        <f t="shared" si="0"/>
        <v/>
      </c>
      <c r="AB25" s="928" t="str">
        <f t="shared" si="6"/>
        <v/>
      </c>
      <c r="AC25" s="105"/>
      <c r="AD25" s="138"/>
      <c r="AE25" s="233"/>
      <c r="AF25" s="138"/>
      <c r="AG25" s="934"/>
      <c r="AJ25" s="40" t="str">
        <f t="shared" si="1"/>
        <v/>
      </c>
    </row>
    <row r="26" spans="1:36" ht="14">
      <c r="A26" s="30" t="str">
        <f>IFERROR(INDEX('G-8 Condition Look up'!$I$4:$I$135,MATCH(F26,'G-8 Condition Look up'!$A$4:$A$135,0)),"")</f>
        <v/>
      </c>
      <c r="B26" s="225">
        <v>16</v>
      </c>
      <c r="C26" s="66" t="str">
        <f>IFERROR(INDEX('G-1 All Habitats'!$AG$25:$AG$41,MATCH(D26,'G-1 All Habitats'!AF$25:AF$41,0)),"")</f>
        <v/>
      </c>
      <c r="D26" s="105"/>
      <c r="E26" s="138"/>
      <c r="F26" s="158" t="str">
        <f>IFERROR(INDEX('G-1 All Habitats'!$B$3:$B$136,MATCH(E26,'G-1 All Habitats'!$A$3:$A$136,0)),"")</f>
        <v/>
      </c>
      <c r="G26" s="233"/>
      <c r="H26" s="311" t="str">
        <f>IF(F26="","",VLOOKUP(F26,'G-1 All Habitats'!$B$2:$M$135,10,FALSE))</f>
        <v/>
      </c>
      <c r="I26" s="299" t="str">
        <f>IFERROR(VLOOKUP(H26,'G-1 All Habitats'!$V$3:$W$7,2,FALSE),"")</f>
        <v/>
      </c>
      <c r="J26" s="136"/>
      <c r="K26" s="299" t="str">
        <f>IFERROR(INDEX('G-8 Condition Look up'!$A$3:$H$135,MATCH(F26,'G-8 Condition Look up'!$A$3:$A$135,0),MATCH(J26,'G-8 Condition Look up'!$A$3:$H$3,0)),"")</f>
        <v/>
      </c>
      <c r="L26" s="101"/>
      <c r="M26" s="314" t="str">
        <f>IF(L26="","",IF(VLOOKUP(L26,'G-3 Multipliers'!$L$3:$N$6,2,FALSE)=0,"Spatial Data Missing ⚠",VLOOKUP(L26,'G-3 Multipliers'!$L$3:$N$6,2,FALSE)))</f>
        <v/>
      </c>
      <c r="N26" s="276" t="str">
        <f>IF(L26="","",IF(VLOOKUP(L26,'G-3 Multipliers'!$L$3:$N$6,3,FALSE)=0,"Spatial Data Missing ⚠",VLOOKUP(L26,'G-3 Multipliers'!$L$3:$N$6,3,FALSE)))</f>
        <v/>
      </c>
      <c r="O26" s="275" t="str">
        <f t="shared" si="2"/>
        <v/>
      </c>
      <c r="P26" s="133"/>
      <c r="Q26" s="133"/>
      <c r="R26" s="295" t="str">
        <f t="shared" si="3"/>
        <v/>
      </c>
      <c r="S26" s="316" t="str">
        <f t="shared" si="4"/>
        <v/>
      </c>
      <c r="T26" s="300" t="str">
        <f>IFERROR(IF(S26="Check Data ⚠","Check Data ⚠",VLOOKUP(S26,'G-4 Temporal multipliers'!$A$4:$C$37,3,FALSE)),"")</f>
        <v/>
      </c>
      <c r="U26" s="298" t="str">
        <f>IF(F26="","",VLOOKUP(F26,'G-3 Multipliers'!$A$2:$E$134,2,FALSE))</f>
        <v/>
      </c>
      <c r="V26" s="295" t="str">
        <f t="shared" si="5"/>
        <v/>
      </c>
      <c r="W26" s="295" t="str">
        <f>IF(E26="","",IF(AND(V26="Standard difficulty applied",O26&gt;P26),U26,IF(AND(V26="Low Difficulty - only applicable if all habitat created before losses ⚠",P26&gt;=O26),"Low",VLOOKUP(F26,'G-3 Multipliers'!$A$2:$E$134,4,FALSE))))</f>
        <v/>
      </c>
      <c r="X26" s="299" t="str">
        <f>IFERROR(IF(E26="","",VLOOKUP(W26,'G-3 Multipliers'!$P$2:$Q$6,2,FALSE)),"")</f>
        <v/>
      </c>
      <c r="Y26" s="393"/>
      <c r="Z26" s="510" t="str">
        <f>IF(Y26="","",IF(VLOOKUP(Y26,'G-3 Multipliers'!$S$3:$T$10,2,FALSE)=0,"Spatial Data Missing ⚠",VLOOKUP(Y26,'G-3 Multipliers'!$S$3:$T$10,2,FALSE)))</f>
        <v/>
      </c>
      <c r="AA26" s="926" t="str">
        <f t="shared" si="0"/>
        <v/>
      </c>
      <c r="AB26" s="928" t="str">
        <f t="shared" si="6"/>
        <v/>
      </c>
      <c r="AC26" s="105"/>
      <c r="AD26" s="138"/>
      <c r="AE26" s="233"/>
      <c r="AF26" s="138"/>
      <c r="AG26" s="934"/>
      <c r="AJ26" s="40" t="str">
        <f t="shared" si="1"/>
        <v/>
      </c>
    </row>
    <row r="27" spans="1:36" ht="14">
      <c r="A27" s="30" t="str">
        <f>IFERROR(INDEX('G-8 Condition Look up'!$I$4:$I$135,MATCH(F27,'G-8 Condition Look up'!$A$4:$A$135,0)),"")</f>
        <v/>
      </c>
      <c r="B27" s="225">
        <v>17</v>
      </c>
      <c r="C27" s="66" t="str">
        <f>IFERROR(INDEX('G-1 All Habitats'!$AG$25:$AG$41,MATCH(D27,'G-1 All Habitats'!AF$25:AF$41,0)),"")</f>
        <v/>
      </c>
      <c r="D27" s="105"/>
      <c r="E27" s="138"/>
      <c r="F27" s="158" t="str">
        <f>IFERROR(INDEX('G-1 All Habitats'!$B$3:$B$136,MATCH(E27,'G-1 All Habitats'!$A$3:$A$136,0)),"")</f>
        <v/>
      </c>
      <c r="G27" s="233"/>
      <c r="H27" s="311" t="str">
        <f>IF(F27="","",VLOOKUP(F27,'G-1 All Habitats'!$B$2:$M$135,10,FALSE))</f>
        <v/>
      </c>
      <c r="I27" s="299" t="str">
        <f>IFERROR(VLOOKUP(H27,'G-1 All Habitats'!$V$3:$W$7,2,FALSE),"")</f>
        <v/>
      </c>
      <c r="J27" s="136"/>
      <c r="K27" s="299" t="str">
        <f>IFERROR(INDEX('G-8 Condition Look up'!$A$3:$H$135,MATCH(F27,'G-8 Condition Look up'!$A$3:$A$135,0),MATCH(J27,'G-8 Condition Look up'!$A$3:$H$3,0)),"")</f>
        <v/>
      </c>
      <c r="L27" s="101"/>
      <c r="M27" s="314" t="str">
        <f>IF(L27="","",IF(VLOOKUP(L27,'G-3 Multipliers'!$L$3:$N$6,2,FALSE)=0,"Spatial Data Missing ⚠",VLOOKUP(L27,'G-3 Multipliers'!$L$3:$N$6,2,FALSE)))</f>
        <v/>
      </c>
      <c r="N27" s="276" t="str">
        <f>IF(L27="","",IF(VLOOKUP(L27,'G-3 Multipliers'!$L$3:$N$6,3,FALSE)=0,"Spatial Data Missing ⚠",VLOOKUP(L27,'G-3 Multipliers'!$L$3:$N$6,3,FALSE)))</f>
        <v/>
      </c>
      <c r="O27" s="275" t="str">
        <f t="shared" si="2"/>
        <v/>
      </c>
      <c r="P27" s="133"/>
      <c r="Q27" s="133"/>
      <c r="R27" s="295" t="str">
        <f t="shared" si="3"/>
        <v/>
      </c>
      <c r="S27" s="316" t="str">
        <f t="shared" si="4"/>
        <v/>
      </c>
      <c r="T27" s="300" t="str">
        <f>IFERROR(IF(S27="Check Data ⚠","Check Data ⚠",VLOOKUP(S27,'G-4 Temporal multipliers'!$A$4:$C$37,3,FALSE)),"")</f>
        <v/>
      </c>
      <c r="U27" s="298" t="str">
        <f>IF(F27="","",VLOOKUP(F27,'G-3 Multipliers'!$A$2:$E$134,2,FALSE))</f>
        <v/>
      </c>
      <c r="V27" s="295" t="str">
        <f t="shared" si="5"/>
        <v/>
      </c>
      <c r="W27" s="295" t="str">
        <f>IF(E27="","",IF(AND(V27="Standard difficulty applied",O27&gt;P27),U27,IF(AND(V27="Low Difficulty - only applicable if all habitat created before losses ⚠",P27&gt;=O27),"Low",VLOOKUP(F27,'G-3 Multipliers'!$A$2:$E$134,4,FALSE))))</f>
        <v/>
      </c>
      <c r="X27" s="299" t="str">
        <f>IFERROR(IF(E27="","",VLOOKUP(W27,'G-3 Multipliers'!$P$2:$Q$6,2,FALSE)),"")</f>
        <v/>
      </c>
      <c r="Y27" s="393"/>
      <c r="Z27" s="510" t="str">
        <f>IF(Y27="","",IF(VLOOKUP(Y27,'G-3 Multipliers'!$S$3:$T$10,2,FALSE)=0,"Spatial Data Missing ⚠",VLOOKUP(Y27,'G-3 Multipliers'!$S$3:$T$10,2,FALSE)))</f>
        <v/>
      </c>
      <c r="AA27" s="926" t="str">
        <f t="shared" si="0"/>
        <v/>
      </c>
      <c r="AB27" s="928" t="str">
        <f t="shared" si="6"/>
        <v/>
      </c>
      <c r="AC27" s="105"/>
      <c r="AD27" s="138"/>
      <c r="AE27" s="233"/>
      <c r="AF27" s="138"/>
      <c r="AG27" s="934"/>
      <c r="AJ27" s="40" t="str">
        <f t="shared" si="1"/>
        <v/>
      </c>
    </row>
    <row r="28" spans="1:36" ht="14">
      <c r="A28" s="30" t="str">
        <f>IFERROR(INDEX('G-8 Condition Look up'!$I$4:$I$135,MATCH(F28,'G-8 Condition Look up'!$A$4:$A$135,0)),"")</f>
        <v/>
      </c>
      <c r="B28" s="225">
        <v>18</v>
      </c>
      <c r="C28" s="66" t="str">
        <f>IFERROR(INDEX('G-1 All Habitats'!$AG$25:$AG$41,MATCH(D28,'G-1 All Habitats'!AF$25:AF$41,0)),"")</f>
        <v/>
      </c>
      <c r="D28" s="105"/>
      <c r="E28" s="138"/>
      <c r="F28" s="158" t="str">
        <f>IFERROR(INDEX('G-1 All Habitats'!$B$3:$B$136,MATCH(E28,'G-1 All Habitats'!$A$3:$A$136,0)),"")</f>
        <v/>
      </c>
      <c r="G28" s="233"/>
      <c r="H28" s="311" t="str">
        <f>IF(F28="","",VLOOKUP(F28,'G-1 All Habitats'!$B$2:$M$135,10,FALSE))</f>
        <v/>
      </c>
      <c r="I28" s="299" t="str">
        <f>IFERROR(VLOOKUP(H28,'G-1 All Habitats'!$V$3:$W$7,2,FALSE),"")</f>
        <v/>
      </c>
      <c r="J28" s="136"/>
      <c r="K28" s="299" t="str">
        <f>IFERROR(INDEX('G-8 Condition Look up'!$A$3:$H$135,MATCH(F28,'G-8 Condition Look up'!$A$3:$A$135,0),MATCH(J28,'G-8 Condition Look up'!$A$3:$H$3,0)),"")</f>
        <v/>
      </c>
      <c r="L28" s="101"/>
      <c r="M28" s="314" t="str">
        <f>IF(L28="","",IF(VLOOKUP(L28,'G-3 Multipliers'!$L$3:$N$6,2,FALSE)=0,"Spatial Data Missing ⚠",VLOOKUP(L28,'G-3 Multipliers'!$L$3:$N$6,2,FALSE)))</f>
        <v/>
      </c>
      <c r="N28" s="276" t="str">
        <f>IF(L28="","",IF(VLOOKUP(L28,'G-3 Multipliers'!$L$3:$N$6,3,FALSE)=0,"Spatial Data Missing ⚠",VLOOKUP(L28,'G-3 Multipliers'!$L$3:$N$6,3,FALSE)))</f>
        <v/>
      </c>
      <c r="O28" s="275" t="str">
        <f t="shared" si="2"/>
        <v/>
      </c>
      <c r="P28" s="133"/>
      <c r="Q28" s="133"/>
      <c r="R28" s="295" t="str">
        <f t="shared" si="3"/>
        <v/>
      </c>
      <c r="S28" s="316" t="str">
        <f t="shared" si="4"/>
        <v/>
      </c>
      <c r="T28" s="300" t="str">
        <f>IFERROR(IF(S28="Check Data ⚠","Check Data ⚠",VLOOKUP(S28,'G-4 Temporal multipliers'!$A$4:$C$37,3,FALSE)),"")</f>
        <v/>
      </c>
      <c r="U28" s="298" t="str">
        <f>IF(F28="","",VLOOKUP(F28,'G-3 Multipliers'!$A$2:$E$134,2,FALSE))</f>
        <v/>
      </c>
      <c r="V28" s="295" t="str">
        <f t="shared" si="5"/>
        <v/>
      </c>
      <c r="W28" s="295" t="str">
        <f>IF(E28="","",IF(AND(V28="Standard difficulty applied",O28&gt;P28),U28,IF(AND(V28="Low Difficulty - only applicable if all habitat created before losses ⚠",P28&gt;=O28),"Low",VLOOKUP(F28,'G-3 Multipliers'!$A$2:$E$134,4,FALSE))))</f>
        <v/>
      </c>
      <c r="X28" s="299" t="str">
        <f>IFERROR(IF(E28="","",VLOOKUP(W28,'G-3 Multipliers'!$P$2:$Q$6,2,FALSE)),"")</f>
        <v/>
      </c>
      <c r="Y28" s="393"/>
      <c r="Z28" s="510" t="str">
        <f>IF(Y28="","",IF(VLOOKUP(Y28,'G-3 Multipliers'!$S$3:$T$10,2,FALSE)=0,"Spatial Data Missing ⚠",VLOOKUP(Y28,'G-3 Multipliers'!$S$3:$T$10,2,FALSE)))</f>
        <v/>
      </c>
      <c r="AA28" s="926" t="str">
        <f t="shared" si="0"/>
        <v/>
      </c>
      <c r="AB28" s="928" t="str">
        <f t="shared" si="6"/>
        <v/>
      </c>
      <c r="AC28" s="105"/>
      <c r="AD28" s="138"/>
      <c r="AE28" s="233"/>
      <c r="AF28" s="138"/>
      <c r="AG28" s="934"/>
      <c r="AJ28" s="40" t="str">
        <f t="shared" si="1"/>
        <v/>
      </c>
    </row>
    <row r="29" spans="1:36" ht="14">
      <c r="A29" s="30" t="str">
        <f>IFERROR(INDEX('G-8 Condition Look up'!$I$4:$I$135,MATCH(F29,'G-8 Condition Look up'!$A$4:$A$135,0)),"")</f>
        <v/>
      </c>
      <c r="B29" s="225">
        <v>19</v>
      </c>
      <c r="C29" s="66" t="str">
        <f>IFERROR(INDEX('G-1 All Habitats'!$AG$25:$AG$41,MATCH(D29,'G-1 All Habitats'!AF$25:AF$41,0)),"")</f>
        <v/>
      </c>
      <c r="D29" s="105"/>
      <c r="E29" s="138"/>
      <c r="F29" s="158" t="str">
        <f>IFERROR(INDEX('G-1 All Habitats'!$B$3:$B$136,MATCH(E29,'G-1 All Habitats'!$A$3:$A$136,0)),"")</f>
        <v/>
      </c>
      <c r="G29" s="233"/>
      <c r="H29" s="311" t="str">
        <f>IF(F29="","",VLOOKUP(F29,'G-1 All Habitats'!$B$2:$M$135,10,FALSE))</f>
        <v/>
      </c>
      <c r="I29" s="299" t="str">
        <f>IFERROR(VLOOKUP(H29,'G-1 All Habitats'!$V$3:$W$7,2,FALSE),"")</f>
        <v/>
      </c>
      <c r="J29" s="136"/>
      <c r="K29" s="299" t="str">
        <f>IFERROR(INDEX('G-8 Condition Look up'!$A$3:$H$135,MATCH(F29,'G-8 Condition Look up'!$A$3:$A$135,0),MATCH(J29,'G-8 Condition Look up'!$A$3:$H$3,0)),"")</f>
        <v/>
      </c>
      <c r="L29" s="101"/>
      <c r="M29" s="314" t="str">
        <f>IF(L29="","",IF(VLOOKUP(L29,'G-3 Multipliers'!$L$3:$N$6,2,FALSE)=0,"Spatial Data Missing ⚠",VLOOKUP(L29,'G-3 Multipliers'!$L$3:$N$6,2,FALSE)))</f>
        <v/>
      </c>
      <c r="N29" s="276" t="str">
        <f>IF(L29="","",IF(VLOOKUP(L29,'G-3 Multipliers'!$L$3:$N$6,3,FALSE)=0,"Spatial Data Missing ⚠",VLOOKUP(L29,'G-3 Multipliers'!$L$3:$N$6,3,FALSE)))</f>
        <v/>
      </c>
      <c r="O29" s="275" t="str">
        <f t="shared" si="2"/>
        <v/>
      </c>
      <c r="P29" s="133"/>
      <c r="Q29" s="133"/>
      <c r="R29" s="295" t="str">
        <f t="shared" si="3"/>
        <v/>
      </c>
      <c r="S29" s="316" t="str">
        <f t="shared" si="4"/>
        <v/>
      </c>
      <c r="T29" s="300" t="str">
        <f>IFERROR(IF(S29="Check Data ⚠","Check Data ⚠",VLOOKUP(S29,'G-4 Temporal multipliers'!$A$4:$C$37,3,FALSE)),"")</f>
        <v/>
      </c>
      <c r="U29" s="298" t="str">
        <f>IF(F29="","",VLOOKUP(F29,'G-3 Multipliers'!$A$2:$E$134,2,FALSE))</f>
        <v/>
      </c>
      <c r="V29" s="295" t="str">
        <f t="shared" si="5"/>
        <v/>
      </c>
      <c r="W29" s="295" t="str">
        <f>IF(E29="","",IF(AND(V29="Standard difficulty applied",O29&gt;P29),U29,IF(AND(V29="Low Difficulty - only applicable if all habitat created before losses ⚠",P29&gt;=O29),"Low",VLOOKUP(F29,'G-3 Multipliers'!$A$2:$E$134,4,FALSE))))</f>
        <v/>
      </c>
      <c r="X29" s="299" t="str">
        <f>IFERROR(IF(E29="","",VLOOKUP(W29,'G-3 Multipliers'!$P$2:$Q$6,2,FALSE)),"")</f>
        <v/>
      </c>
      <c r="Y29" s="393"/>
      <c r="Z29" s="510" t="str">
        <f>IF(Y29="","",IF(VLOOKUP(Y29,'G-3 Multipliers'!$S$3:$T$10,2,FALSE)=0,"Spatial Data Missing ⚠",VLOOKUP(Y29,'G-3 Multipliers'!$S$3:$T$10,2,FALSE)))</f>
        <v/>
      </c>
      <c r="AA29" s="926" t="str">
        <f t="shared" si="0"/>
        <v/>
      </c>
      <c r="AB29" s="928" t="str">
        <f t="shared" si="6"/>
        <v/>
      </c>
      <c r="AC29" s="105"/>
      <c r="AD29" s="138"/>
      <c r="AE29" s="233"/>
      <c r="AF29" s="138"/>
      <c r="AG29" s="934"/>
      <c r="AJ29" s="40" t="str">
        <f t="shared" si="1"/>
        <v/>
      </c>
    </row>
    <row r="30" spans="1:36" ht="14">
      <c r="A30" s="30" t="str">
        <f>IFERROR(INDEX('G-8 Condition Look up'!$I$4:$I$135,MATCH(F30,'G-8 Condition Look up'!$A$4:$A$135,0)),"")</f>
        <v/>
      </c>
      <c r="B30" s="225">
        <v>20</v>
      </c>
      <c r="C30" s="66" t="str">
        <f>IFERROR(INDEX('G-1 All Habitats'!$AG$25:$AG$41,MATCH(D30,'G-1 All Habitats'!AF$25:AF$41,0)),"")</f>
        <v/>
      </c>
      <c r="D30" s="105"/>
      <c r="E30" s="138"/>
      <c r="F30" s="158" t="str">
        <f>IFERROR(INDEX('G-1 All Habitats'!$B$3:$B$136,MATCH(E30,'G-1 All Habitats'!$A$3:$A$136,0)),"")</f>
        <v/>
      </c>
      <c r="G30" s="233"/>
      <c r="H30" s="311" t="str">
        <f>IF(F30="","",VLOOKUP(F30,'G-1 All Habitats'!$B$2:$M$135,10,FALSE))</f>
        <v/>
      </c>
      <c r="I30" s="299" t="str">
        <f>IFERROR(VLOOKUP(H30,'G-1 All Habitats'!$V$3:$W$7,2,FALSE),"")</f>
        <v/>
      </c>
      <c r="J30" s="136"/>
      <c r="K30" s="299" t="str">
        <f>IFERROR(INDEX('G-8 Condition Look up'!$A$3:$H$135,MATCH(F30,'G-8 Condition Look up'!$A$3:$A$135,0),MATCH(J30,'G-8 Condition Look up'!$A$3:$H$3,0)),"")</f>
        <v/>
      </c>
      <c r="L30" s="101"/>
      <c r="M30" s="314" t="str">
        <f>IF(L30="","",IF(VLOOKUP(L30,'G-3 Multipliers'!$L$3:$N$6,2,FALSE)=0,"Spatial Data Missing ⚠",VLOOKUP(L30,'G-3 Multipliers'!$L$3:$N$6,2,FALSE)))</f>
        <v/>
      </c>
      <c r="N30" s="276" t="str">
        <f>IF(L30="","",IF(VLOOKUP(L30,'G-3 Multipliers'!$L$3:$N$6,3,FALSE)=0,"Spatial Data Missing ⚠",VLOOKUP(L30,'G-3 Multipliers'!$L$3:$N$6,3,FALSE)))</f>
        <v/>
      </c>
      <c r="O30" s="275" t="str">
        <f t="shared" si="2"/>
        <v/>
      </c>
      <c r="P30" s="133"/>
      <c r="Q30" s="133"/>
      <c r="R30" s="295" t="str">
        <f t="shared" si="3"/>
        <v/>
      </c>
      <c r="S30" s="316" t="str">
        <f t="shared" si="4"/>
        <v/>
      </c>
      <c r="T30" s="300" t="str">
        <f>IFERROR(IF(S30="Check Data ⚠","Check Data ⚠",VLOOKUP(S30,'G-4 Temporal multipliers'!$A$4:$C$37,3,FALSE)),"")</f>
        <v/>
      </c>
      <c r="U30" s="298" t="str">
        <f>IF(F30="","",VLOOKUP(F30,'G-3 Multipliers'!$A$2:$E$134,2,FALSE))</f>
        <v/>
      </c>
      <c r="V30" s="295" t="str">
        <f t="shared" si="5"/>
        <v/>
      </c>
      <c r="W30" s="295" t="str">
        <f>IF(E30="","",IF(AND(V30="Standard difficulty applied",O30&gt;P30),U30,IF(AND(V30="Low Difficulty - only applicable if all habitat created before losses ⚠",P30&gt;=O30),"Low",VLOOKUP(F30,'G-3 Multipliers'!$A$2:$E$134,4,FALSE))))</f>
        <v/>
      </c>
      <c r="X30" s="299" t="str">
        <f>IFERROR(IF(E30="","",VLOOKUP(W30,'G-3 Multipliers'!$P$2:$Q$6,2,FALSE)),"")</f>
        <v/>
      </c>
      <c r="Y30" s="393"/>
      <c r="Z30" s="510" t="str">
        <f>IF(Y30="","",IF(VLOOKUP(Y30,'G-3 Multipliers'!$S$3:$T$10,2,FALSE)=0,"Spatial Data Missing ⚠",VLOOKUP(Y30,'G-3 Multipliers'!$S$3:$T$10,2,FALSE)))</f>
        <v/>
      </c>
      <c r="AA30" s="926" t="str">
        <f t="shared" si="0"/>
        <v/>
      </c>
      <c r="AB30" s="928" t="str">
        <f t="shared" si="6"/>
        <v/>
      </c>
      <c r="AC30" s="105"/>
      <c r="AD30" s="138"/>
      <c r="AE30" s="233"/>
      <c r="AF30" s="138"/>
      <c r="AG30" s="934"/>
      <c r="AJ30" s="40" t="str">
        <f t="shared" si="1"/>
        <v/>
      </c>
    </row>
    <row r="31" spans="1:36" ht="14">
      <c r="A31" s="30" t="str">
        <f>IFERROR(INDEX('G-8 Condition Look up'!$I$4:$I$135,MATCH(F31,'G-8 Condition Look up'!$A$4:$A$135,0)),"")</f>
        <v/>
      </c>
      <c r="B31" s="225">
        <v>21</v>
      </c>
      <c r="C31" s="66" t="str">
        <f>IFERROR(INDEX('G-1 All Habitats'!$AG$25:$AG$41,MATCH(D31,'G-1 All Habitats'!AF$25:AF$41,0)),"")</f>
        <v/>
      </c>
      <c r="D31" s="105"/>
      <c r="E31" s="138"/>
      <c r="F31" s="158" t="str">
        <f>IFERROR(INDEX('G-1 All Habitats'!$B$3:$B$136,MATCH(E31,'G-1 All Habitats'!$A$3:$A$136,0)),"")</f>
        <v/>
      </c>
      <c r="G31" s="233"/>
      <c r="H31" s="311" t="str">
        <f>IF(F31="","",VLOOKUP(F31,'G-1 All Habitats'!$B$2:$M$135,10,FALSE))</f>
        <v/>
      </c>
      <c r="I31" s="299" t="str">
        <f>IFERROR(VLOOKUP(H31,'G-1 All Habitats'!$V$3:$W$7,2,FALSE),"")</f>
        <v/>
      </c>
      <c r="J31" s="136"/>
      <c r="K31" s="299" t="str">
        <f>IFERROR(INDEX('G-8 Condition Look up'!$A$3:$H$135,MATCH(F31,'G-8 Condition Look up'!$A$3:$A$135,0),MATCH(J31,'G-8 Condition Look up'!$A$3:$H$3,0)),"")</f>
        <v/>
      </c>
      <c r="L31" s="101"/>
      <c r="M31" s="314" t="str">
        <f>IF(L31="","",IF(VLOOKUP(L31,'G-3 Multipliers'!$L$3:$N$6,2,FALSE)=0,"Spatial Data Missing ⚠",VLOOKUP(L31,'G-3 Multipliers'!$L$3:$N$6,2,FALSE)))</f>
        <v/>
      </c>
      <c r="N31" s="276" t="str">
        <f>IF(L31="","",IF(VLOOKUP(L31,'G-3 Multipliers'!$L$3:$N$6,3,FALSE)=0,"Spatial Data Missing ⚠",VLOOKUP(L31,'G-3 Multipliers'!$L$3:$N$6,3,FALSE)))</f>
        <v/>
      </c>
      <c r="O31" s="275" t="str">
        <f t="shared" si="2"/>
        <v/>
      </c>
      <c r="P31" s="133"/>
      <c r="Q31" s="133"/>
      <c r="R31" s="295" t="str">
        <f t="shared" si="3"/>
        <v/>
      </c>
      <c r="S31" s="316" t="str">
        <f t="shared" si="4"/>
        <v/>
      </c>
      <c r="T31" s="300" t="str">
        <f>IFERROR(IF(S31="Check Data ⚠","Check Data ⚠",VLOOKUP(S31,'G-4 Temporal multipliers'!$A$4:$C$37,3,FALSE)),"")</f>
        <v/>
      </c>
      <c r="U31" s="298" t="str">
        <f>IF(F31="","",VLOOKUP(F31,'G-3 Multipliers'!$A$2:$E$134,2,FALSE))</f>
        <v/>
      </c>
      <c r="V31" s="295" t="str">
        <f t="shared" si="5"/>
        <v/>
      </c>
      <c r="W31" s="295" t="str">
        <f>IF(E31="","",IF(AND(V31="Standard difficulty applied",O31&gt;P31),U31,IF(AND(V31="Low Difficulty - only applicable if all habitat created before losses ⚠",P31&gt;=O31),"Low",VLOOKUP(F31,'G-3 Multipliers'!$A$2:$E$134,4,FALSE))))</f>
        <v/>
      </c>
      <c r="X31" s="299" t="str">
        <f>IFERROR(IF(E31="","",VLOOKUP(W31,'G-3 Multipliers'!$P$2:$Q$6,2,FALSE)),"")</f>
        <v/>
      </c>
      <c r="Y31" s="393"/>
      <c r="Z31" s="510" t="str">
        <f>IF(Y31="","",IF(VLOOKUP(Y31,'G-3 Multipliers'!$S$3:$T$10,2,FALSE)=0,"Spatial Data Missing ⚠",VLOOKUP(Y31,'G-3 Multipliers'!$S$3:$T$10,2,FALSE)))</f>
        <v/>
      </c>
      <c r="AA31" s="926" t="str">
        <f t="shared" si="0"/>
        <v/>
      </c>
      <c r="AB31" s="928" t="str">
        <f t="shared" si="6"/>
        <v/>
      </c>
      <c r="AC31" s="105"/>
      <c r="AD31" s="138"/>
      <c r="AE31" s="233"/>
      <c r="AF31" s="138"/>
      <c r="AG31" s="934"/>
      <c r="AJ31" s="40" t="str">
        <f t="shared" si="1"/>
        <v/>
      </c>
    </row>
    <row r="32" spans="1:36" ht="14">
      <c r="A32" s="30" t="str">
        <f>IFERROR(INDEX('G-8 Condition Look up'!$I$4:$I$135,MATCH(F32,'G-8 Condition Look up'!$A$4:$A$135,0)),"")</f>
        <v/>
      </c>
      <c r="B32" s="225">
        <v>22</v>
      </c>
      <c r="C32" s="66" t="str">
        <f>IFERROR(INDEX('G-1 All Habitats'!$AG$25:$AG$41,MATCH(D32,'G-1 All Habitats'!AF$25:AF$41,0)),"")</f>
        <v/>
      </c>
      <c r="D32" s="105"/>
      <c r="E32" s="138"/>
      <c r="F32" s="158" t="str">
        <f>IFERROR(INDEX('G-1 All Habitats'!$B$3:$B$136,MATCH(E32,'G-1 All Habitats'!$A$3:$A$136,0)),"")</f>
        <v/>
      </c>
      <c r="G32" s="233"/>
      <c r="H32" s="311" t="str">
        <f>IF(F32="","",VLOOKUP(F32,'G-1 All Habitats'!$B$2:$M$135,10,FALSE))</f>
        <v/>
      </c>
      <c r="I32" s="299" t="str">
        <f>IFERROR(VLOOKUP(H32,'G-1 All Habitats'!$V$3:$W$7,2,FALSE),"")</f>
        <v/>
      </c>
      <c r="J32" s="136"/>
      <c r="K32" s="299" t="str">
        <f>IFERROR(INDEX('G-8 Condition Look up'!$A$3:$H$135,MATCH(F32,'G-8 Condition Look up'!$A$3:$A$135,0),MATCH(J32,'G-8 Condition Look up'!$A$3:$H$3,0)),"")</f>
        <v/>
      </c>
      <c r="L32" s="101"/>
      <c r="M32" s="314" t="str">
        <f>IF(L32="","",IF(VLOOKUP(L32,'G-3 Multipliers'!$L$3:$N$6,2,FALSE)=0,"Spatial Data Missing ⚠",VLOOKUP(L32,'G-3 Multipliers'!$L$3:$N$6,2,FALSE)))</f>
        <v/>
      </c>
      <c r="N32" s="276" t="str">
        <f>IF(L32="","",IF(VLOOKUP(L32,'G-3 Multipliers'!$L$3:$N$6,3,FALSE)=0,"Spatial Data Missing ⚠",VLOOKUP(L32,'G-3 Multipliers'!$L$3:$N$6,3,FALSE)))</f>
        <v/>
      </c>
      <c r="O32" s="275" t="str">
        <f t="shared" si="2"/>
        <v/>
      </c>
      <c r="P32" s="133"/>
      <c r="Q32" s="133"/>
      <c r="R32" s="295" t="str">
        <f t="shared" si="3"/>
        <v/>
      </c>
      <c r="S32" s="316" t="str">
        <f t="shared" si="4"/>
        <v/>
      </c>
      <c r="T32" s="300" t="str">
        <f>IFERROR(IF(S32="Check Data ⚠","Check Data ⚠",VLOOKUP(S32,'G-4 Temporal multipliers'!$A$4:$C$37,3,FALSE)),"")</f>
        <v/>
      </c>
      <c r="U32" s="298" t="str">
        <f>IF(F32="","",VLOOKUP(F32,'G-3 Multipliers'!$A$2:$E$134,2,FALSE))</f>
        <v/>
      </c>
      <c r="V32" s="295" t="str">
        <f t="shared" si="5"/>
        <v/>
      </c>
      <c r="W32" s="295" t="str">
        <f>IF(E32="","",IF(AND(V32="Standard difficulty applied",O32&gt;P32),U32,IF(AND(V32="Low Difficulty - only applicable if all habitat created before losses ⚠",P32&gt;=O32),"Low",VLOOKUP(F32,'G-3 Multipliers'!$A$2:$E$134,4,FALSE))))</f>
        <v/>
      </c>
      <c r="X32" s="299" t="str">
        <f>IFERROR(IF(E32="","",VLOOKUP(W32,'G-3 Multipliers'!$P$2:$Q$6,2,FALSE)),"")</f>
        <v/>
      </c>
      <c r="Y32" s="393"/>
      <c r="Z32" s="510" t="str">
        <f>IF(Y32="","",IF(VLOOKUP(Y32,'G-3 Multipliers'!$S$3:$T$10,2,FALSE)=0,"Spatial Data Missing ⚠",VLOOKUP(Y32,'G-3 Multipliers'!$S$3:$T$10,2,FALSE)))</f>
        <v/>
      </c>
      <c r="AA32" s="926" t="str">
        <f t="shared" si="0"/>
        <v/>
      </c>
      <c r="AB32" s="928" t="str">
        <f t="shared" si="6"/>
        <v/>
      </c>
      <c r="AC32" s="105"/>
      <c r="AD32" s="138"/>
      <c r="AE32" s="233"/>
      <c r="AF32" s="138"/>
      <c r="AG32" s="934"/>
      <c r="AJ32" s="40" t="str">
        <f t="shared" si="1"/>
        <v/>
      </c>
    </row>
    <row r="33" spans="1:36" ht="14">
      <c r="A33" s="30" t="str">
        <f>IFERROR(INDEX('G-8 Condition Look up'!$I$4:$I$135,MATCH(F33,'G-8 Condition Look up'!$A$4:$A$135,0)),"")</f>
        <v/>
      </c>
      <c r="B33" s="225">
        <v>23</v>
      </c>
      <c r="C33" s="66" t="str">
        <f>IFERROR(INDEX('G-1 All Habitats'!$AG$25:$AG$41,MATCH(D33,'G-1 All Habitats'!AF$25:AF$41,0)),"")</f>
        <v/>
      </c>
      <c r="D33" s="105"/>
      <c r="E33" s="138"/>
      <c r="F33" s="158" t="str">
        <f>IFERROR(INDEX('G-1 All Habitats'!$B$3:$B$136,MATCH(E33,'G-1 All Habitats'!$A$3:$A$136,0)),"")</f>
        <v/>
      </c>
      <c r="G33" s="233"/>
      <c r="H33" s="311" t="str">
        <f>IF(F33="","",VLOOKUP(F33,'G-1 All Habitats'!$B$2:$M$135,10,FALSE))</f>
        <v/>
      </c>
      <c r="I33" s="299" t="str">
        <f>IFERROR(VLOOKUP(H33,'G-1 All Habitats'!$V$3:$W$7,2,FALSE),"")</f>
        <v/>
      </c>
      <c r="J33" s="136"/>
      <c r="K33" s="299" t="str">
        <f>IFERROR(INDEX('G-8 Condition Look up'!$A$3:$H$135,MATCH(F33,'G-8 Condition Look up'!$A$3:$A$135,0),MATCH(J33,'G-8 Condition Look up'!$A$3:$H$3,0)),"")</f>
        <v/>
      </c>
      <c r="L33" s="101"/>
      <c r="M33" s="314" t="str">
        <f>IF(L33="","",IF(VLOOKUP(L33,'G-3 Multipliers'!$L$3:$N$6,2,FALSE)=0,"Spatial Data Missing ⚠",VLOOKUP(L33,'G-3 Multipliers'!$L$3:$N$6,2,FALSE)))</f>
        <v/>
      </c>
      <c r="N33" s="276" t="str">
        <f>IF(L33="","",IF(VLOOKUP(L33,'G-3 Multipliers'!$L$3:$N$6,3,FALSE)=0,"Spatial Data Missing ⚠",VLOOKUP(L33,'G-3 Multipliers'!$L$3:$N$6,3,FALSE)))</f>
        <v/>
      </c>
      <c r="O33" s="275" t="str">
        <f t="shared" si="2"/>
        <v/>
      </c>
      <c r="P33" s="133"/>
      <c r="Q33" s="133"/>
      <c r="R33" s="295" t="str">
        <f t="shared" si="3"/>
        <v/>
      </c>
      <c r="S33" s="316" t="str">
        <f t="shared" si="4"/>
        <v/>
      </c>
      <c r="T33" s="300" t="str">
        <f>IFERROR(IF(S33="Check Data ⚠","Check Data ⚠",VLOOKUP(S33,'G-4 Temporal multipliers'!$A$4:$C$37,3,FALSE)),"")</f>
        <v/>
      </c>
      <c r="U33" s="298" t="str">
        <f>IF(F33="","",VLOOKUP(F33,'G-3 Multipliers'!$A$2:$E$134,2,FALSE))</f>
        <v/>
      </c>
      <c r="V33" s="295" t="str">
        <f t="shared" si="5"/>
        <v/>
      </c>
      <c r="W33" s="295" t="str">
        <f>IF(E33="","",IF(AND(V33="Standard difficulty applied",O33&gt;P33),U33,IF(AND(V33="Low Difficulty - only applicable if all habitat created before losses ⚠",P33&gt;=O33),"Low",VLOOKUP(F33,'G-3 Multipliers'!$A$2:$E$134,4,FALSE))))</f>
        <v/>
      </c>
      <c r="X33" s="299" t="str">
        <f>IFERROR(IF(E33="","",VLOOKUP(W33,'G-3 Multipliers'!$P$2:$Q$6,2,FALSE)),"")</f>
        <v/>
      </c>
      <c r="Y33" s="393"/>
      <c r="Z33" s="510" t="str">
        <f>IF(Y33="","",IF(VLOOKUP(Y33,'G-3 Multipliers'!$S$3:$T$10,2,FALSE)=0,"Spatial Data Missing ⚠",VLOOKUP(Y33,'G-3 Multipliers'!$S$3:$T$10,2,FALSE)))</f>
        <v/>
      </c>
      <c r="AA33" s="926" t="str">
        <f t="shared" si="0"/>
        <v/>
      </c>
      <c r="AB33" s="928" t="str">
        <f t="shared" si="6"/>
        <v/>
      </c>
      <c r="AC33" s="105"/>
      <c r="AD33" s="138"/>
      <c r="AE33" s="233"/>
      <c r="AF33" s="138"/>
      <c r="AG33" s="934"/>
      <c r="AJ33" s="40" t="str">
        <f t="shared" si="1"/>
        <v/>
      </c>
    </row>
    <row r="34" spans="1:36" ht="14">
      <c r="A34" s="30" t="str">
        <f>IFERROR(INDEX('G-8 Condition Look up'!$I$4:$I$135,MATCH(F34,'G-8 Condition Look up'!$A$4:$A$135,0)),"")</f>
        <v/>
      </c>
      <c r="B34" s="225">
        <v>24</v>
      </c>
      <c r="C34" s="66" t="str">
        <f>IFERROR(INDEX('G-1 All Habitats'!$AG$25:$AG$41,MATCH(D34,'G-1 All Habitats'!AF$25:AF$41,0)),"")</f>
        <v/>
      </c>
      <c r="D34" s="105"/>
      <c r="E34" s="138"/>
      <c r="F34" s="158" t="str">
        <f>IFERROR(INDEX('G-1 All Habitats'!$B$3:$B$136,MATCH(E34,'G-1 All Habitats'!$A$3:$A$136,0)),"")</f>
        <v/>
      </c>
      <c r="G34" s="233"/>
      <c r="H34" s="311" t="str">
        <f>IF(F34="","",VLOOKUP(F34,'G-1 All Habitats'!$B$2:$M$135,10,FALSE))</f>
        <v/>
      </c>
      <c r="I34" s="299" t="str">
        <f>IFERROR(VLOOKUP(H34,'G-1 All Habitats'!$V$3:$W$7,2,FALSE),"")</f>
        <v/>
      </c>
      <c r="J34" s="136"/>
      <c r="K34" s="299" t="str">
        <f>IFERROR(INDEX('G-8 Condition Look up'!$A$3:$H$135,MATCH(F34,'G-8 Condition Look up'!$A$3:$A$135,0),MATCH(J34,'G-8 Condition Look up'!$A$3:$H$3,0)),"")</f>
        <v/>
      </c>
      <c r="L34" s="101"/>
      <c r="M34" s="314" t="str">
        <f>IF(L34="","",IF(VLOOKUP(L34,'G-3 Multipliers'!$L$3:$N$6,2,FALSE)=0,"Spatial Data Missing ⚠",VLOOKUP(L34,'G-3 Multipliers'!$L$3:$N$6,2,FALSE)))</f>
        <v/>
      </c>
      <c r="N34" s="276" t="str">
        <f>IF(L34="","",IF(VLOOKUP(L34,'G-3 Multipliers'!$L$3:$N$6,3,FALSE)=0,"Spatial Data Missing ⚠",VLOOKUP(L34,'G-3 Multipliers'!$L$3:$N$6,3,FALSE)))</f>
        <v/>
      </c>
      <c r="O34" s="275" t="str">
        <f t="shared" si="2"/>
        <v/>
      </c>
      <c r="P34" s="133"/>
      <c r="Q34" s="133"/>
      <c r="R34" s="295" t="str">
        <f t="shared" si="3"/>
        <v/>
      </c>
      <c r="S34" s="316" t="str">
        <f t="shared" si="4"/>
        <v/>
      </c>
      <c r="T34" s="300" t="str">
        <f>IFERROR(IF(S34="Check Data ⚠","Check Data ⚠",VLOOKUP(S34,'G-4 Temporal multipliers'!$A$4:$C$37,3,FALSE)),"")</f>
        <v/>
      </c>
      <c r="U34" s="298" t="str">
        <f>IF(F34="","",VLOOKUP(F34,'G-3 Multipliers'!$A$2:$E$134,2,FALSE))</f>
        <v/>
      </c>
      <c r="V34" s="295" t="str">
        <f t="shared" si="5"/>
        <v/>
      </c>
      <c r="W34" s="295" t="str">
        <f>IF(E34="","",IF(AND(V34="Standard difficulty applied",O34&gt;P34),U34,IF(AND(V34="Low Difficulty - only applicable if all habitat created before losses ⚠",P34&gt;=O34),"Low",VLOOKUP(F34,'G-3 Multipliers'!$A$2:$E$134,4,FALSE))))</f>
        <v/>
      </c>
      <c r="X34" s="299" t="str">
        <f>IFERROR(IF(E34="","",VLOOKUP(W34,'G-3 Multipliers'!$P$2:$Q$6,2,FALSE)),"")</f>
        <v/>
      </c>
      <c r="Y34" s="393"/>
      <c r="Z34" s="510" t="str">
        <f>IF(Y34="","",IF(VLOOKUP(Y34,'G-3 Multipliers'!$S$3:$T$10,2,FALSE)=0,"Spatial Data Missing ⚠",VLOOKUP(Y34,'G-3 Multipliers'!$S$3:$T$10,2,FALSE)))</f>
        <v/>
      </c>
      <c r="AA34" s="926" t="str">
        <f t="shared" si="0"/>
        <v/>
      </c>
      <c r="AB34" s="928" t="str">
        <f t="shared" si="6"/>
        <v/>
      </c>
      <c r="AC34" s="105"/>
      <c r="AD34" s="138"/>
      <c r="AE34" s="233"/>
      <c r="AF34" s="138"/>
      <c r="AG34" s="934"/>
      <c r="AJ34" s="40" t="str">
        <f t="shared" si="1"/>
        <v/>
      </c>
    </row>
    <row r="35" spans="1:36" ht="14">
      <c r="A35" s="30" t="str">
        <f>IFERROR(INDEX('G-8 Condition Look up'!$I$4:$I$135,MATCH(F35,'G-8 Condition Look up'!$A$4:$A$135,0)),"")</f>
        <v/>
      </c>
      <c r="B35" s="225">
        <v>25</v>
      </c>
      <c r="C35" s="66" t="str">
        <f>IFERROR(INDEX('G-1 All Habitats'!$AG$25:$AG$41,MATCH(D35,'G-1 All Habitats'!AF$25:AF$41,0)),"")</f>
        <v/>
      </c>
      <c r="D35" s="105"/>
      <c r="E35" s="138"/>
      <c r="F35" s="158" t="str">
        <f>IFERROR(INDEX('G-1 All Habitats'!$B$3:$B$136,MATCH(E35,'G-1 All Habitats'!$A$3:$A$136,0)),"")</f>
        <v/>
      </c>
      <c r="G35" s="233"/>
      <c r="H35" s="311" t="str">
        <f>IF(F35="","",VLOOKUP(F35,'G-1 All Habitats'!$B$2:$M$135,10,FALSE))</f>
        <v/>
      </c>
      <c r="I35" s="299" t="str">
        <f>IFERROR(VLOOKUP(H35,'G-1 All Habitats'!$V$3:$W$7,2,FALSE),"")</f>
        <v/>
      </c>
      <c r="J35" s="136"/>
      <c r="K35" s="299" t="str">
        <f>IFERROR(INDEX('G-8 Condition Look up'!$A$3:$H$135,MATCH(F35,'G-8 Condition Look up'!$A$3:$A$135,0),MATCH(J35,'G-8 Condition Look up'!$A$3:$H$3,0)),"")</f>
        <v/>
      </c>
      <c r="L35" s="101"/>
      <c r="M35" s="314" t="str">
        <f>IF(L35="","",IF(VLOOKUP(L35,'G-3 Multipliers'!$L$3:$N$6,2,FALSE)=0,"Spatial Data Missing ⚠",VLOOKUP(L35,'G-3 Multipliers'!$L$3:$N$6,2,FALSE)))</f>
        <v/>
      </c>
      <c r="N35" s="276" t="str">
        <f>IF(L35="","",IF(VLOOKUP(L35,'G-3 Multipliers'!$L$3:$N$6,3,FALSE)=0,"Spatial Data Missing ⚠",VLOOKUP(L35,'G-3 Multipliers'!$L$3:$N$6,3,FALSE)))</f>
        <v/>
      </c>
      <c r="O35" s="275" t="str">
        <f t="shared" si="2"/>
        <v/>
      </c>
      <c r="P35" s="133"/>
      <c r="Q35" s="133"/>
      <c r="R35" s="295" t="str">
        <f t="shared" si="3"/>
        <v/>
      </c>
      <c r="S35" s="316" t="str">
        <f t="shared" si="4"/>
        <v/>
      </c>
      <c r="T35" s="300" t="str">
        <f>IFERROR(IF(S35="Check Data ⚠","Check Data ⚠",VLOOKUP(S35,'G-4 Temporal multipliers'!$A$4:$C$37,3,FALSE)),"")</f>
        <v/>
      </c>
      <c r="U35" s="298" t="str">
        <f>IF(F35="","",VLOOKUP(F35,'G-3 Multipliers'!$A$2:$E$134,2,FALSE))</f>
        <v/>
      </c>
      <c r="V35" s="295" t="str">
        <f t="shared" si="5"/>
        <v/>
      </c>
      <c r="W35" s="295" t="str">
        <f>IF(E35="","",IF(AND(V35="Standard difficulty applied",O35&gt;P35),U35,IF(AND(V35="Low Difficulty - only applicable if all habitat created before losses ⚠",P35&gt;=O35),"Low",VLOOKUP(F35,'G-3 Multipliers'!$A$2:$E$134,4,FALSE))))</f>
        <v/>
      </c>
      <c r="X35" s="299" t="str">
        <f>IFERROR(IF(E35="","",VLOOKUP(W35,'G-3 Multipliers'!$P$2:$Q$6,2,FALSE)),"")</f>
        <v/>
      </c>
      <c r="Y35" s="393"/>
      <c r="Z35" s="510" t="str">
        <f>IF(Y35="","",IF(VLOOKUP(Y35,'G-3 Multipliers'!$S$3:$T$10,2,FALSE)=0,"Spatial Data Missing ⚠",VLOOKUP(Y35,'G-3 Multipliers'!$S$3:$T$10,2,FALSE)))</f>
        <v/>
      </c>
      <c r="AA35" s="926" t="str">
        <f t="shared" si="0"/>
        <v/>
      </c>
      <c r="AB35" s="928" t="str">
        <f t="shared" si="6"/>
        <v/>
      </c>
      <c r="AC35" s="105"/>
      <c r="AD35" s="138"/>
      <c r="AE35" s="233"/>
      <c r="AF35" s="138"/>
      <c r="AG35" s="934"/>
      <c r="AJ35" s="40" t="str">
        <f t="shared" si="1"/>
        <v/>
      </c>
    </row>
    <row r="36" spans="1:36" ht="14">
      <c r="A36" s="30" t="str">
        <f>IFERROR(INDEX('G-8 Condition Look up'!$I$4:$I$135,MATCH(F36,'G-8 Condition Look up'!$A$4:$A$135,0)),"")</f>
        <v/>
      </c>
      <c r="B36" s="225">
        <v>26</v>
      </c>
      <c r="C36" s="66" t="str">
        <f>IFERROR(INDEX('G-1 All Habitats'!$AG$25:$AG$41,MATCH(D36,'G-1 All Habitats'!AF$25:AF$41,0)),"")</f>
        <v/>
      </c>
      <c r="D36" s="105"/>
      <c r="E36" s="138"/>
      <c r="F36" s="158" t="str">
        <f>IFERROR(INDEX('G-1 All Habitats'!$B$3:$B$136,MATCH(E36,'G-1 All Habitats'!$A$3:$A$136,0)),"")</f>
        <v/>
      </c>
      <c r="G36" s="233"/>
      <c r="H36" s="311" t="str">
        <f>IF(F36="","",VLOOKUP(F36,'G-1 All Habitats'!$B$2:$M$135,10,FALSE))</f>
        <v/>
      </c>
      <c r="I36" s="299" t="str">
        <f>IFERROR(VLOOKUP(H36,'G-1 All Habitats'!$V$3:$W$7,2,FALSE),"")</f>
        <v/>
      </c>
      <c r="J36" s="136"/>
      <c r="K36" s="299" t="str">
        <f>IFERROR(INDEX('G-8 Condition Look up'!$A$3:$H$135,MATCH(F36,'G-8 Condition Look up'!$A$3:$A$135,0),MATCH(J36,'G-8 Condition Look up'!$A$3:$H$3,0)),"")</f>
        <v/>
      </c>
      <c r="L36" s="101"/>
      <c r="M36" s="314" t="str">
        <f>IF(L36="","",IF(VLOOKUP(L36,'G-3 Multipliers'!$L$3:$N$6,2,FALSE)=0,"Spatial Data Missing ⚠",VLOOKUP(L36,'G-3 Multipliers'!$L$3:$N$6,2,FALSE)))</f>
        <v/>
      </c>
      <c r="N36" s="276" t="str">
        <f>IF(L36="","",IF(VLOOKUP(L36,'G-3 Multipliers'!$L$3:$N$6,3,FALSE)=0,"Spatial Data Missing ⚠",VLOOKUP(L36,'G-3 Multipliers'!$L$3:$N$6,3,FALSE)))</f>
        <v/>
      </c>
      <c r="O36" s="275" t="str">
        <f t="shared" si="2"/>
        <v/>
      </c>
      <c r="P36" s="133"/>
      <c r="Q36" s="133"/>
      <c r="R36" s="295" t="str">
        <f t="shared" si="3"/>
        <v/>
      </c>
      <c r="S36" s="316" t="str">
        <f t="shared" si="4"/>
        <v/>
      </c>
      <c r="T36" s="300" t="str">
        <f>IFERROR(IF(S36="Check Data ⚠","Check Data ⚠",VLOOKUP(S36,'G-4 Temporal multipliers'!$A$4:$C$37,3,FALSE)),"")</f>
        <v/>
      </c>
      <c r="U36" s="298" t="str">
        <f>IF(F36="","",VLOOKUP(F36,'G-3 Multipliers'!$A$2:$E$134,2,FALSE))</f>
        <v/>
      </c>
      <c r="V36" s="295" t="str">
        <f t="shared" si="5"/>
        <v/>
      </c>
      <c r="W36" s="295" t="str">
        <f>IF(E36="","",IF(AND(V36="Standard difficulty applied",O36&gt;P36),U36,IF(AND(V36="Low Difficulty - only applicable if all habitat created before losses ⚠",P36&gt;=O36),"Low",VLOOKUP(F36,'G-3 Multipliers'!$A$2:$E$134,4,FALSE))))</f>
        <v/>
      </c>
      <c r="X36" s="299" t="str">
        <f>IFERROR(IF(E36="","",VLOOKUP(W36,'G-3 Multipliers'!$P$2:$Q$6,2,FALSE)),"")</f>
        <v/>
      </c>
      <c r="Y36" s="393"/>
      <c r="Z36" s="510" t="str">
        <f>IF(Y36="","",IF(VLOOKUP(Y36,'G-3 Multipliers'!$S$3:$T$10,2,FALSE)=0,"Spatial Data Missing ⚠",VLOOKUP(Y36,'G-3 Multipliers'!$S$3:$T$10,2,FALSE)))</f>
        <v/>
      </c>
      <c r="AA36" s="926" t="str">
        <f t="shared" si="0"/>
        <v/>
      </c>
      <c r="AB36" s="928" t="str">
        <f t="shared" si="6"/>
        <v/>
      </c>
      <c r="AC36" s="105"/>
      <c r="AD36" s="138"/>
      <c r="AE36" s="233"/>
      <c r="AF36" s="138"/>
      <c r="AG36" s="934"/>
      <c r="AJ36" s="40" t="str">
        <f t="shared" si="1"/>
        <v/>
      </c>
    </row>
    <row r="37" spans="1:36" ht="14">
      <c r="A37" s="30" t="str">
        <f>IFERROR(INDEX('G-8 Condition Look up'!$I$4:$I$135,MATCH(F37,'G-8 Condition Look up'!$A$4:$A$135,0)),"")</f>
        <v/>
      </c>
      <c r="B37" s="225">
        <v>27</v>
      </c>
      <c r="C37" s="66" t="str">
        <f>IFERROR(INDEX('G-1 All Habitats'!$AG$25:$AG$41,MATCH(D37,'G-1 All Habitats'!AF$25:AF$41,0)),"")</f>
        <v/>
      </c>
      <c r="D37" s="105"/>
      <c r="E37" s="138"/>
      <c r="F37" s="158" t="str">
        <f>IFERROR(INDEX('G-1 All Habitats'!$B$3:$B$136,MATCH(E37,'G-1 All Habitats'!$A$3:$A$136,0)),"")</f>
        <v/>
      </c>
      <c r="G37" s="233"/>
      <c r="H37" s="311" t="str">
        <f>IF(F37="","",VLOOKUP(F37,'G-1 All Habitats'!$B$2:$M$135,10,FALSE))</f>
        <v/>
      </c>
      <c r="I37" s="299" t="str">
        <f>IFERROR(VLOOKUP(H37,'G-1 All Habitats'!$V$3:$W$7,2,FALSE),"")</f>
        <v/>
      </c>
      <c r="J37" s="136"/>
      <c r="K37" s="299" t="str">
        <f>IFERROR(INDEX('G-8 Condition Look up'!$A$3:$H$135,MATCH(F37,'G-8 Condition Look up'!$A$3:$A$135,0),MATCH(J37,'G-8 Condition Look up'!$A$3:$H$3,0)),"")</f>
        <v/>
      </c>
      <c r="L37" s="101"/>
      <c r="M37" s="314" t="str">
        <f>IF(L37="","",IF(VLOOKUP(L37,'G-3 Multipliers'!$L$3:$N$6,2,FALSE)=0,"Spatial Data Missing ⚠",VLOOKUP(L37,'G-3 Multipliers'!$L$3:$N$6,2,FALSE)))</f>
        <v/>
      </c>
      <c r="N37" s="276" t="str">
        <f>IF(L37="","",IF(VLOOKUP(L37,'G-3 Multipliers'!$L$3:$N$6,3,FALSE)=0,"Spatial Data Missing ⚠",VLOOKUP(L37,'G-3 Multipliers'!$L$3:$N$6,3,FALSE)))</f>
        <v/>
      </c>
      <c r="O37" s="275" t="str">
        <f t="shared" si="2"/>
        <v/>
      </c>
      <c r="P37" s="133"/>
      <c r="Q37" s="133"/>
      <c r="R37" s="295" t="str">
        <f t="shared" si="3"/>
        <v/>
      </c>
      <c r="S37" s="316" t="str">
        <f t="shared" si="4"/>
        <v/>
      </c>
      <c r="T37" s="300" t="str">
        <f>IFERROR(IF(S37="Check Data ⚠","Check Data ⚠",VLOOKUP(S37,'G-4 Temporal multipliers'!$A$4:$C$37,3,FALSE)),"")</f>
        <v/>
      </c>
      <c r="U37" s="298" t="str">
        <f>IF(F37="","",VLOOKUP(F37,'G-3 Multipliers'!$A$2:$E$134,2,FALSE))</f>
        <v/>
      </c>
      <c r="V37" s="295" t="str">
        <f t="shared" si="5"/>
        <v/>
      </c>
      <c r="W37" s="295" t="str">
        <f>IF(E37="","",IF(AND(V37="Standard difficulty applied",O37&gt;P37),U37,IF(AND(V37="Low Difficulty - only applicable if all habitat created before losses ⚠",P37&gt;=O37),"Low",VLOOKUP(F37,'G-3 Multipliers'!$A$2:$E$134,4,FALSE))))</f>
        <v/>
      </c>
      <c r="X37" s="299" t="str">
        <f>IFERROR(IF(E37="","",VLOOKUP(W37,'G-3 Multipliers'!$P$2:$Q$6,2,FALSE)),"")</f>
        <v/>
      </c>
      <c r="Y37" s="393"/>
      <c r="Z37" s="510" t="str">
        <f>IF(Y37="","",IF(VLOOKUP(Y37,'G-3 Multipliers'!$S$3:$T$10,2,FALSE)=0,"Spatial Data Missing ⚠",VLOOKUP(Y37,'G-3 Multipliers'!$S$3:$T$10,2,FALSE)))</f>
        <v/>
      </c>
      <c r="AA37" s="926" t="str">
        <f t="shared" si="0"/>
        <v/>
      </c>
      <c r="AB37" s="928" t="str">
        <f t="shared" si="6"/>
        <v/>
      </c>
      <c r="AC37" s="105"/>
      <c r="AD37" s="138"/>
      <c r="AE37" s="233"/>
      <c r="AF37" s="138"/>
      <c r="AG37" s="934"/>
      <c r="AJ37" s="40" t="str">
        <f t="shared" si="1"/>
        <v/>
      </c>
    </row>
    <row r="38" spans="1:36" ht="14">
      <c r="A38" s="30" t="str">
        <f>IFERROR(INDEX('G-8 Condition Look up'!$I$4:$I$135,MATCH(F38,'G-8 Condition Look up'!$A$4:$A$135,0)),"")</f>
        <v/>
      </c>
      <c r="B38" s="225">
        <v>28</v>
      </c>
      <c r="C38" s="66" t="str">
        <f>IFERROR(INDEX('G-1 All Habitats'!$AG$25:$AG$41,MATCH(D38,'G-1 All Habitats'!AF$25:AF$41,0)),"")</f>
        <v/>
      </c>
      <c r="D38" s="105"/>
      <c r="E38" s="138"/>
      <c r="F38" s="158" t="str">
        <f>IFERROR(INDEX('G-1 All Habitats'!$B$3:$B$136,MATCH(E38,'G-1 All Habitats'!$A$3:$A$136,0)),"")</f>
        <v/>
      </c>
      <c r="G38" s="233"/>
      <c r="H38" s="311" t="str">
        <f>IF(F38="","",VLOOKUP(F38,'G-1 All Habitats'!$B$2:$M$135,10,FALSE))</f>
        <v/>
      </c>
      <c r="I38" s="299" t="str">
        <f>IFERROR(VLOOKUP(H38,'G-1 All Habitats'!$V$3:$W$7,2,FALSE),"")</f>
        <v/>
      </c>
      <c r="J38" s="136"/>
      <c r="K38" s="299" t="str">
        <f>IFERROR(INDEX('G-8 Condition Look up'!$A$3:$H$135,MATCH(F38,'G-8 Condition Look up'!$A$3:$A$135,0),MATCH(J38,'G-8 Condition Look up'!$A$3:$H$3,0)),"")</f>
        <v/>
      </c>
      <c r="L38" s="101"/>
      <c r="M38" s="314" t="str">
        <f>IF(L38="","",IF(VLOOKUP(L38,'G-3 Multipliers'!$L$3:$N$6,2,FALSE)=0,"Spatial Data Missing ⚠",VLOOKUP(L38,'G-3 Multipliers'!$L$3:$N$6,2,FALSE)))</f>
        <v/>
      </c>
      <c r="N38" s="276" t="str">
        <f>IF(L38="","",IF(VLOOKUP(L38,'G-3 Multipliers'!$L$3:$N$6,3,FALSE)=0,"Spatial Data Missing ⚠",VLOOKUP(L38,'G-3 Multipliers'!$L$3:$N$6,3,FALSE)))</f>
        <v/>
      </c>
      <c r="O38" s="275" t="str">
        <f t="shared" si="2"/>
        <v/>
      </c>
      <c r="P38" s="133"/>
      <c r="Q38" s="133"/>
      <c r="R38" s="295" t="str">
        <f t="shared" si="3"/>
        <v/>
      </c>
      <c r="S38" s="316" t="str">
        <f t="shared" si="4"/>
        <v/>
      </c>
      <c r="T38" s="300" t="str">
        <f>IFERROR(IF(S38="Check Data ⚠","Check Data ⚠",VLOOKUP(S38,'G-4 Temporal multipliers'!$A$4:$C$37,3,FALSE)),"")</f>
        <v/>
      </c>
      <c r="U38" s="298" t="str">
        <f>IF(F38="","",VLOOKUP(F38,'G-3 Multipliers'!$A$2:$E$134,2,FALSE))</f>
        <v/>
      </c>
      <c r="V38" s="295" t="str">
        <f t="shared" si="5"/>
        <v/>
      </c>
      <c r="W38" s="295" t="str">
        <f>IF(E38="","",IF(AND(V38="Standard difficulty applied",O38&gt;P38),U38,IF(AND(V38="Low Difficulty - only applicable if all habitat created before losses ⚠",P38&gt;=O38),"Low",VLOOKUP(F38,'G-3 Multipliers'!$A$2:$E$134,4,FALSE))))</f>
        <v/>
      </c>
      <c r="X38" s="299" t="str">
        <f>IFERROR(IF(E38="","",VLOOKUP(W38,'G-3 Multipliers'!$P$2:$Q$6,2,FALSE)),"")</f>
        <v/>
      </c>
      <c r="Y38" s="393"/>
      <c r="Z38" s="510" t="str">
        <f>IF(Y38="","",IF(VLOOKUP(Y38,'G-3 Multipliers'!$S$3:$T$10,2,FALSE)=0,"Spatial Data Missing ⚠",VLOOKUP(Y38,'G-3 Multipliers'!$S$3:$T$10,2,FALSE)))</f>
        <v/>
      </c>
      <c r="AA38" s="926" t="str">
        <f t="shared" si="0"/>
        <v/>
      </c>
      <c r="AB38" s="928" t="str">
        <f t="shared" si="6"/>
        <v/>
      </c>
      <c r="AC38" s="105"/>
      <c r="AD38" s="138"/>
      <c r="AE38" s="233"/>
      <c r="AF38" s="138"/>
      <c r="AG38" s="934"/>
      <c r="AJ38" s="40" t="str">
        <f t="shared" si="1"/>
        <v/>
      </c>
    </row>
    <row r="39" spans="1:36" ht="14">
      <c r="A39" s="30" t="str">
        <f>IFERROR(INDEX('G-8 Condition Look up'!$I$4:$I$135,MATCH(F39,'G-8 Condition Look up'!$A$4:$A$135,0)),"")</f>
        <v/>
      </c>
      <c r="B39" s="225">
        <v>29</v>
      </c>
      <c r="C39" s="66" t="str">
        <f>IFERROR(INDEX('G-1 All Habitats'!$AG$25:$AG$41,MATCH(D39,'G-1 All Habitats'!AF$25:AF$41,0)),"")</f>
        <v/>
      </c>
      <c r="D39" s="105"/>
      <c r="E39" s="138"/>
      <c r="F39" s="158" t="str">
        <f>IFERROR(INDEX('G-1 All Habitats'!$B$3:$B$136,MATCH(E39,'G-1 All Habitats'!$A$3:$A$136,0)),"")</f>
        <v/>
      </c>
      <c r="G39" s="233"/>
      <c r="H39" s="311" t="str">
        <f>IF(F39="","",VLOOKUP(F39,'G-1 All Habitats'!$B$2:$M$135,10,FALSE))</f>
        <v/>
      </c>
      <c r="I39" s="299" t="str">
        <f>IFERROR(VLOOKUP(H39,'G-1 All Habitats'!$V$3:$W$7,2,FALSE),"")</f>
        <v/>
      </c>
      <c r="J39" s="136"/>
      <c r="K39" s="299" t="str">
        <f>IFERROR(INDEX('G-8 Condition Look up'!$A$3:$H$135,MATCH(F39,'G-8 Condition Look up'!$A$3:$A$135,0),MATCH(J39,'G-8 Condition Look up'!$A$3:$H$3,0)),"")</f>
        <v/>
      </c>
      <c r="L39" s="101"/>
      <c r="M39" s="314" t="str">
        <f>IF(L39="","",IF(VLOOKUP(L39,'G-3 Multipliers'!$L$3:$N$6,2,FALSE)=0,"Spatial Data Missing ⚠",VLOOKUP(L39,'G-3 Multipliers'!$L$3:$N$6,2,FALSE)))</f>
        <v/>
      </c>
      <c r="N39" s="276" t="str">
        <f>IF(L39="","",IF(VLOOKUP(L39,'G-3 Multipliers'!$L$3:$N$6,3,FALSE)=0,"Spatial Data Missing ⚠",VLOOKUP(L39,'G-3 Multipliers'!$L$3:$N$6,3,FALSE)))</f>
        <v/>
      </c>
      <c r="O39" s="275" t="str">
        <f t="shared" si="2"/>
        <v/>
      </c>
      <c r="P39" s="133"/>
      <c r="Q39" s="133"/>
      <c r="R39" s="295" t="str">
        <f t="shared" si="3"/>
        <v/>
      </c>
      <c r="S39" s="316" t="str">
        <f t="shared" si="4"/>
        <v/>
      </c>
      <c r="T39" s="300" t="str">
        <f>IFERROR(IF(S39="Check Data ⚠","Check Data ⚠",VLOOKUP(S39,'G-4 Temporal multipliers'!$A$4:$C$37,3,FALSE)),"")</f>
        <v/>
      </c>
      <c r="U39" s="298" t="str">
        <f>IF(F39="","",VLOOKUP(F39,'G-3 Multipliers'!$A$2:$E$134,2,FALSE))</f>
        <v/>
      </c>
      <c r="V39" s="295" t="str">
        <f t="shared" si="5"/>
        <v/>
      </c>
      <c r="W39" s="295" t="str">
        <f>IF(E39="","",IF(AND(V39="Standard difficulty applied",O39&gt;P39),U39,IF(AND(V39="Low Difficulty - only applicable if all habitat created before losses ⚠",P39&gt;=O39),"Low",VLOOKUP(F39,'G-3 Multipliers'!$A$2:$E$134,4,FALSE))))</f>
        <v/>
      </c>
      <c r="X39" s="299" t="str">
        <f>IFERROR(IF(E39="","",VLOOKUP(W39,'G-3 Multipliers'!$P$2:$Q$6,2,FALSE)),"")</f>
        <v/>
      </c>
      <c r="Y39" s="393"/>
      <c r="Z39" s="510" t="str">
        <f>IF(Y39="","",IF(VLOOKUP(Y39,'G-3 Multipliers'!$S$3:$T$10,2,FALSE)=0,"Spatial Data Missing ⚠",VLOOKUP(Y39,'G-3 Multipliers'!$S$3:$T$10,2,FALSE)))</f>
        <v/>
      </c>
      <c r="AA39" s="926" t="str">
        <f t="shared" si="0"/>
        <v/>
      </c>
      <c r="AB39" s="928" t="str">
        <f t="shared" si="6"/>
        <v/>
      </c>
      <c r="AC39" s="105"/>
      <c r="AD39" s="138"/>
      <c r="AE39" s="233"/>
      <c r="AF39" s="138"/>
      <c r="AG39" s="934"/>
      <c r="AJ39" s="40" t="str">
        <f t="shared" si="1"/>
        <v/>
      </c>
    </row>
    <row r="40" spans="1:36" ht="14">
      <c r="A40" s="30" t="str">
        <f>IFERROR(INDEX('G-8 Condition Look up'!$I$4:$I$135,MATCH(F40,'G-8 Condition Look up'!$A$4:$A$135,0)),"")</f>
        <v/>
      </c>
      <c r="B40" s="225">
        <v>30</v>
      </c>
      <c r="C40" s="66" t="str">
        <f>IFERROR(INDEX('G-1 All Habitats'!$AG$25:$AG$41,MATCH(D40,'G-1 All Habitats'!AF$25:AF$41,0)),"")</f>
        <v/>
      </c>
      <c r="D40" s="105"/>
      <c r="E40" s="138"/>
      <c r="F40" s="158" t="str">
        <f>IFERROR(INDEX('G-1 All Habitats'!$B$3:$B$136,MATCH(E40,'G-1 All Habitats'!$A$3:$A$136,0)),"")</f>
        <v/>
      </c>
      <c r="G40" s="233"/>
      <c r="H40" s="311" t="str">
        <f>IF(F40="","",VLOOKUP(F40,'G-1 All Habitats'!$B$2:$M$135,10,FALSE))</f>
        <v/>
      </c>
      <c r="I40" s="299" t="str">
        <f>IFERROR(VLOOKUP(H40,'G-1 All Habitats'!$V$3:$W$7,2,FALSE),"")</f>
        <v/>
      </c>
      <c r="J40" s="136"/>
      <c r="K40" s="299" t="str">
        <f>IFERROR(INDEX('G-8 Condition Look up'!$A$3:$H$135,MATCH(F40,'G-8 Condition Look up'!$A$3:$A$135,0),MATCH(J40,'G-8 Condition Look up'!$A$3:$H$3,0)),"")</f>
        <v/>
      </c>
      <c r="L40" s="101"/>
      <c r="M40" s="314" t="str">
        <f>IF(L40="","",IF(VLOOKUP(L40,'G-3 Multipliers'!$L$3:$N$6,2,FALSE)=0,"Spatial Data Missing ⚠",VLOOKUP(L40,'G-3 Multipliers'!$L$3:$N$6,2,FALSE)))</f>
        <v/>
      </c>
      <c r="N40" s="276" t="str">
        <f>IF(L40="","",IF(VLOOKUP(L40,'G-3 Multipliers'!$L$3:$N$6,3,FALSE)=0,"Spatial Data Missing ⚠",VLOOKUP(L40,'G-3 Multipliers'!$L$3:$N$6,3,FALSE)))</f>
        <v/>
      </c>
      <c r="O40" s="275" t="str">
        <f t="shared" si="2"/>
        <v/>
      </c>
      <c r="P40" s="133"/>
      <c r="Q40" s="133"/>
      <c r="R40" s="295" t="str">
        <f t="shared" si="3"/>
        <v/>
      </c>
      <c r="S40" s="316" t="str">
        <f t="shared" si="4"/>
        <v/>
      </c>
      <c r="T40" s="300" t="str">
        <f>IFERROR(IF(S40="Check Data ⚠","Check Data ⚠",VLOOKUP(S40,'G-4 Temporal multipliers'!$A$4:$C$37,3,FALSE)),"")</f>
        <v/>
      </c>
      <c r="U40" s="298" t="str">
        <f>IF(F40="","",VLOOKUP(F40,'G-3 Multipliers'!$A$2:$E$134,2,FALSE))</f>
        <v/>
      </c>
      <c r="V40" s="295" t="str">
        <f t="shared" si="5"/>
        <v/>
      </c>
      <c r="W40" s="295" t="str">
        <f>IF(E40="","",IF(AND(V40="Standard difficulty applied",O40&gt;P40),U40,IF(AND(V40="Low Difficulty - only applicable if all habitat created before losses ⚠",P40&gt;=O40),"Low",VLOOKUP(F40,'G-3 Multipliers'!$A$2:$E$134,4,FALSE))))</f>
        <v/>
      </c>
      <c r="X40" s="299" t="str">
        <f>IFERROR(IF(E40="","",VLOOKUP(W40,'G-3 Multipliers'!$P$2:$Q$6,2,FALSE)),"")</f>
        <v/>
      </c>
      <c r="Y40" s="393"/>
      <c r="Z40" s="510" t="str">
        <f>IF(Y40="","",IF(VLOOKUP(Y40,'G-3 Multipliers'!$S$3:$T$10,2,FALSE)=0,"Spatial Data Missing ⚠",VLOOKUP(Y40,'G-3 Multipliers'!$S$3:$T$10,2,FALSE)))</f>
        <v/>
      </c>
      <c r="AA40" s="926" t="str">
        <f t="shared" si="0"/>
        <v/>
      </c>
      <c r="AB40" s="928" t="str">
        <f t="shared" si="6"/>
        <v/>
      </c>
      <c r="AC40" s="105"/>
      <c r="AD40" s="138"/>
      <c r="AE40" s="233"/>
      <c r="AF40" s="138"/>
      <c r="AG40" s="934"/>
      <c r="AJ40" s="40" t="str">
        <f t="shared" si="1"/>
        <v/>
      </c>
    </row>
    <row r="41" spans="1:36" ht="14">
      <c r="A41" s="30" t="str">
        <f>IFERROR(INDEX('G-8 Condition Look up'!$I$4:$I$135,MATCH(F41,'G-8 Condition Look up'!$A$4:$A$135,0)),"")</f>
        <v/>
      </c>
      <c r="B41" s="225">
        <v>31</v>
      </c>
      <c r="C41" s="66" t="str">
        <f>IFERROR(INDEX('G-1 All Habitats'!$AG$25:$AG$41,MATCH(D41,'G-1 All Habitats'!AF$25:AF$41,0)),"")</f>
        <v/>
      </c>
      <c r="D41" s="105"/>
      <c r="E41" s="138"/>
      <c r="F41" s="158" t="str">
        <f>IFERROR(INDEX('G-1 All Habitats'!$B$3:$B$136,MATCH(E41,'G-1 All Habitats'!$A$3:$A$136,0)),"")</f>
        <v/>
      </c>
      <c r="G41" s="233"/>
      <c r="H41" s="311" t="str">
        <f>IF(F41="","",VLOOKUP(F41,'G-1 All Habitats'!$B$2:$M$135,10,FALSE))</f>
        <v/>
      </c>
      <c r="I41" s="299" t="str">
        <f>IFERROR(VLOOKUP(H41,'G-1 All Habitats'!$V$3:$W$7,2,FALSE),"")</f>
        <v/>
      </c>
      <c r="J41" s="136"/>
      <c r="K41" s="299" t="str">
        <f>IFERROR(INDEX('G-8 Condition Look up'!$A$3:$H$135,MATCH(F41,'G-8 Condition Look up'!$A$3:$A$135,0),MATCH(J41,'G-8 Condition Look up'!$A$3:$H$3,0)),"")</f>
        <v/>
      </c>
      <c r="L41" s="101"/>
      <c r="M41" s="314" t="str">
        <f>IF(L41="","",IF(VLOOKUP(L41,'G-3 Multipliers'!$L$3:$N$6,2,FALSE)=0,"Spatial Data Missing ⚠",VLOOKUP(L41,'G-3 Multipliers'!$L$3:$N$6,2,FALSE)))</f>
        <v/>
      </c>
      <c r="N41" s="276" t="str">
        <f>IF(L41="","",IF(VLOOKUP(L41,'G-3 Multipliers'!$L$3:$N$6,3,FALSE)=0,"Spatial Data Missing ⚠",VLOOKUP(L41,'G-3 Multipliers'!$L$3:$N$6,3,FALSE)))</f>
        <v/>
      </c>
      <c r="O41" s="275" t="str">
        <f t="shared" si="2"/>
        <v/>
      </c>
      <c r="P41" s="133"/>
      <c r="Q41" s="133"/>
      <c r="R41" s="295" t="str">
        <f t="shared" si="3"/>
        <v/>
      </c>
      <c r="S41" s="316" t="str">
        <f t="shared" si="4"/>
        <v/>
      </c>
      <c r="T41" s="300" t="str">
        <f>IFERROR(IF(S41="Check Data ⚠","Check Data ⚠",VLOOKUP(S41,'G-4 Temporal multipliers'!$A$4:$C$37,3,FALSE)),"")</f>
        <v/>
      </c>
      <c r="U41" s="298" t="str">
        <f>IF(F41="","",VLOOKUP(F41,'G-3 Multipliers'!$A$2:$E$134,2,FALSE))</f>
        <v/>
      </c>
      <c r="V41" s="295" t="str">
        <f t="shared" si="5"/>
        <v/>
      </c>
      <c r="W41" s="295" t="str">
        <f>IF(E41="","",IF(AND(V41="Standard difficulty applied",O41&gt;P41),U41,IF(AND(V41="Low Difficulty - only applicable if all habitat created before losses ⚠",P41&gt;=O41),"Low",VLOOKUP(F41,'G-3 Multipliers'!$A$2:$E$134,4,FALSE))))</f>
        <v/>
      </c>
      <c r="X41" s="299" t="str">
        <f>IFERROR(IF(E41="","",VLOOKUP(W41,'G-3 Multipliers'!$P$2:$Q$6,2,FALSE)),"")</f>
        <v/>
      </c>
      <c r="Y41" s="393"/>
      <c r="Z41" s="510" t="str">
        <f>IF(Y41="","",IF(VLOOKUP(Y41,'G-3 Multipliers'!$S$3:$T$10,2,FALSE)=0,"Spatial Data Missing ⚠",VLOOKUP(Y41,'G-3 Multipliers'!$S$3:$T$10,2,FALSE)))</f>
        <v/>
      </c>
      <c r="AA41" s="926" t="str">
        <f t="shared" si="0"/>
        <v/>
      </c>
      <c r="AB41" s="928" t="str">
        <f t="shared" si="6"/>
        <v/>
      </c>
      <c r="AC41" s="105"/>
      <c r="AD41" s="138"/>
      <c r="AE41" s="233"/>
      <c r="AF41" s="138"/>
      <c r="AG41" s="934"/>
      <c r="AJ41" s="40" t="str">
        <f t="shared" si="1"/>
        <v/>
      </c>
    </row>
    <row r="42" spans="1:36" ht="14">
      <c r="A42" s="30" t="str">
        <f>IFERROR(INDEX('G-8 Condition Look up'!$I$4:$I$135,MATCH(F42,'G-8 Condition Look up'!$A$4:$A$135,0)),"")</f>
        <v/>
      </c>
      <c r="B42" s="225">
        <v>32</v>
      </c>
      <c r="C42" s="66" t="str">
        <f>IFERROR(INDEX('G-1 All Habitats'!$AG$25:$AG$41,MATCH(D42,'G-1 All Habitats'!AF$25:AF$41,0)),"")</f>
        <v/>
      </c>
      <c r="D42" s="105"/>
      <c r="E42" s="138"/>
      <c r="F42" s="158" t="str">
        <f>IFERROR(INDEX('G-1 All Habitats'!$B$3:$B$136,MATCH(E42,'G-1 All Habitats'!$A$3:$A$136,0)),"")</f>
        <v/>
      </c>
      <c r="G42" s="233"/>
      <c r="H42" s="311" t="str">
        <f>IF(F42="","",VLOOKUP(F42,'G-1 All Habitats'!$B$2:$M$135,10,FALSE))</f>
        <v/>
      </c>
      <c r="I42" s="299" t="str">
        <f>IFERROR(VLOOKUP(H42,'G-1 All Habitats'!$V$3:$W$7,2,FALSE),"")</f>
        <v/>
      </c>
      <c r="J42" s="136"/>
      <c r="K42" s="299" t="str">
        <f>IFERROR(INDEX('G-8 Condition Look up'!$A$3:$H$135,MATCH(F42,'G-8 Condition Look up'!$A$3:$A$135,0),MATCH(J42,'G-8 Condition Look up'!$A$3:$H$3,0)),"")</f>
        <v/>
      </c>
      <c r="L42" s="101"/>
      <c r="M42" s="314" t="str">
        <f>IF(L42="","",IF(VLOOKUP(L42,'G-3 Multipliers'!$L$3:$N$6,2,FALSE)=0,"Spatial Data Missing ⚠",VLOOKUP(L42,'G-3 Multipliers'!$L$3:$N$6,2,FALSE)))</f>
        <v/>
      </c>
      <c r="N42" s="276" t="str">
        <f>IF(L42="","",IF(VLOOKUP(L42,'G-3 Multipliers'!$L$3:$N$6,3,FALSE)=0,"Spatial Data Missing ⚠",VLOOKUP(L42,'G-3 Multipliers'!$L$3:$N$6,3,FALSE)))</f>
        <v/>
      </c>
      <c r="O42" s="275" t="str">
        <f t="shared" si="2"/>
        <v/>
      </c>
      <c r="P42" s="133"/>
      <c r="Q42" s="133"/>
      <c r="R42" s="295" t="str">
        <f t="shared" si="3"/>
        <v/>
      </c>
      <c r="S42" s="316" t="str">
        <f t="shared" si="4"/>
        <v/>
      </c>
      <c r="T42" s="300" t="str">
        <f>IFERROR(IF(S42="Check Data ⚠","Check Data ⚠",VLOOKUP(S42,'G-4 Temporal multipliers'!$A$4:$C$37,3,FALSE)),"")</f>
        <v/>
      </c>
      <c r="U42" s="298" t="str">
        <f>IF(F42="","",VLOOKUP(F42,'G-3 Multipliers'!$A$2:$E$134,2,FALSE))</f>
        <v/>
      </c>
      <c r="V42" s="295" t="str">
        <f t="shared" si="5"/>
        <v/>
      </c>
      <c r="W42" s="295" t="str">
        <f>IF(E42="","",IF(AND(V42="Standard difficulty applied",O42&gt;P42),U42,IF(AND(V42="Low Difficulty - only applicable if all habitat created before losses ⚠",P42&gt;=O42),"Low",VLOOKUP(F42,'G-3 Multipliers'!$A$2:$E$134,4,FALSE))))</f>
        <v/>
      </c>
      <c r="X42" s="299" t="str">
        <f>IFERROR(IF(E42="","",VLOOKUP(W42,'G-3 Multipliers'!$P$2:$Q$6,2,FALSE)),"")</f>
        <v/>
      </c>
      <c r="Y42" s="393"/>
      <c r="Z42" s="510" t="str">
        <f>IF(Y42="","",IF(VLOOKUP(Y42,'G-3 Multipliers'!$S$3:$T$10,2,FALSE)=0,"Spatial Data Missing ⚠",VLOOKUP(Y42,'G-3 Multipliers'!$S$3:$T$10,2,FALSE)))</f>
        <v/>
      </c>
      <c r="AA42" s="926" t="str">
        <f t="shared" si="0"/>
        <v/>
      </c>
      <c r="AB42" s="928" t="str">
        <f t="shared" si="6"/>
        <v/>
      </c>
      <c r="AC42" s="105"/>
      <c r="AD42" s="138"/>
      <c r="AE42" s="233"/>
      <c r="AF42" s="138"/>
      <c r="AG42" s="934"/>
      <c r="AJ42" s="40" t="str">
        <f t="shared" si="1"/>
        <v/>
      </c>
    </row>
    <row r="43" spans="1:36" ht="14">
      <c r="A43" s="30" t="str">
        <f>IFERROR(INDEX('G-8 Condition Look up'!$I$4:$I$135,MATCH(F43,'G-8 Condition Look up'!$A$4:$A$135,0)),"")</f>
        <v/>
      </c>
      <c r="B43" s="225">
        <v>33</v>
      </c>
      <c r="C43" s="66" t="str">
        <f>IFERROR(INDEX('G-1 All Habitats'!$AG$25:$AG$41,MATCH(D43,'G-1 All Habitats'!AF$25:AF$41,0)),"")</f>
        <v/>
      </c>
      <c r="D43" s="105"/>
      <c r="E43" s="138"/>
      <c r="F43" s="158" t="str">
        <f>IFERROR(INDEX('G-1 All Habitats'!$B$3:$B$136,MATCH(E43,'G-1 All Habitats'!$A$3:$A$136,0)),"")</f>
        <v/>
      </c>
      <c r="G43" s="233"/>
      <c r="H43" s="311" t="str">
        <f>IF(F43="","",VLOOKUP(F43,'G-1 All Habitats'!$B$2:$M$135,10,FALSE))</f>
        <v/>
      </c>
      <c r="I43" s="299" t="str">
        <f>IFERROR(VLOOKUP(H43,'G-1 All Habitats'!$V$3:$W$7,2,FALSE),"")</f>
        <v/>
      </c>
      <c r="J43" s="136"/>
      <c r="K43" s="299" t="str">
        <f>IFERROR(INDEX('G-8 Condition Look up'!$A$3:$H$135,MATCH(F43,'G-8 Condition Look up'!$A$3:$A$135,0),MATCH(J43,'G-8 Condition Look up'!$A$3:$H$3,0)),"")</f>
        <v/>
      </c>
      <c r="L43" s="101"/>
      <c r="M43" s="314" t="str">
        <f>IF(L43="","",IF(VLOOKUP(L43,'G-3 Multipliers'!$L$3:$N$6,2,FALSE)=0,"Spatial Data Missing ⚠",VLOOKUP(L43,'G-3 Multipliers'!$L$3:$N$6,2,FALSE)))</f>
        <v/>
      </c>
      <c r="N43" s="276" t="str">
        <f>IF(L43="","",IF(VLOOKUP(L43,'G-3 Multipliers'!$L$3:$N$6,3,FALSE)=0,"Spatial Data Missing ⚠",VLOOKUP(L43,'G-3 Multipliers'!$L$3:$N$6,3,FALSE)))</f>
        <v/>
      </c>
      <c r="O43" s="275" t="str">
        <f t="shared" si="2"/>
        <v/>
      </c>
      <c r="P43" s="133"/>
      <c r="Q43" s="133"/>
      <c r="R43" s="295" t="str">
        <f t="shared" si="3"/>
        <v/>
      </c>
      <c r="S43" s="316" t="str">
        <f t="shared" si="4"/>
        <v/>
      </c>
      <c r="T43" s="300" t="str">
        <f>IFERROR(IF(S43="Check Data ⚠","Check Data ⚠",VLOOKUP(S43,'G-4 Temporal multipliers'!$A$4:$C$37,3,FALSE)),"")</f>
        <v/>
      </c>
      <c r="U43" s="298" t="str">
        <f>IF(F43="","",VLOOKUP(F43,'G-3 Multipliers'!$A$2:$E$134,2,FALSE))</f>
        <v/>
      </c>
      <c r="V43" s="295" t="str">
        <f t="shared" si="5"/>
        <v/>
      </c>
      <c r="W43" s="295" t="str">
        <f>IF(E43="","",IF(AND(V43="Standard difficulty applied",O43&gt;P43),U43,IF(AND(V43="Low Difficulty - only applicable if all habitat created before losses ⚠",P43&gt;=O43),"Low",VLOOKUP(F43,'G-3 Multipliers'!$A$2:$E$134,4,FALSE))))</f>
        <v/>
      </c>
      <c r="X43" s="299" t="str">
        <f>IFERROR(IF(E43="","",VLOOKUP(W43,'G-3 Multipliers'!$P$2:$Q$6,2,FALSE)),"")</f>
        <v/>
      </c>
      <c r="Y43" s="393"/>
      <c r="Z43" s="510" t="str">
        <f>IF(Y43="","",IF(VLOOKUP(Y43,'G-3 Multipliers'!$S$3:$T$10,2,FALSE)=0,"Spatial Data Missing ⚠",VLOOKUP(Y43,'G-3 Multipliers'!$S$3:$T$10,2,FALSE)))</f>
        <v/>
      </c>
      <c r="AA43" s="926" t="str">
        <f t="shared" si="0"/>
        <v/>
      </c>
      <c r="AB43" s="928" t="str">
        <f t="shared" si="6"/>
        <v/>
      </c>
      <c r="AC43" s="105"/>
      <c r="AD43" s="138"/>
      <c r="AE43" s="233"/>
      <c r="AF43" s="138"/>
      <c r="AG43" s="934"/>
      <c r="AJ43" s="40" t="str">
        <f t="shared" si="1"/>
        <v/>
      </c>
    </row>
    <row r="44" spans="1:36" ht="14">
      <c r="A44" s="30" t="str">
        <f>IFERROR(INDEX('G-8 Condition Look up'!$I$4:$I$135,MATCH(F44,'G-8 Condition Look up'!$A$4:$A$135,0)),"")</f>
        <v/>
      </c>
      <c r="B44" s="225">
        <v>34</v>
      </c>
      <c r="C44" s="66" t="str">
        <f>IFERROR(INDEX('G-1 All Habitats'!$AG$25:$AG$41,MATCH(D44,'G-1 All Habitats'!AF$25:AF$41,0)),"")</f>
        <v/>
      </c>
      <c r="D44" s="105"/>
      <c r="E44" s="138"/>
      <c r="F44" s="158" t="str">
        <f>IFERROR(INDEX('G-1 All Habitats'!$B$3:$B$136,MATCH(E44,'G-1 All Habitats'!$A$3:$A$136,0)),"")</f>
        <v/>
      </c>
      <c r="G44" s="233"/>
      <c r="H44" s="311" t="str">
        <f>IF(F44="","",VLOOKUP(F44,'G-1 All Habitats'!$B$2:$M$135,10,FALSE))</f>
        <v/>
      </c>
      <c r="I44" s="299" t="str">
        <f>IFERROR(VLOOKUP(H44,'G-1 All Habitats'!$V$3:$W$7,2,FALSE),"")</f>
        <v/>
      </c>
      <c r="J44" s="136"/>
      <c r="K44" s="299" t="str">
        <f>IFERROR(INDEX('G-8 Condition Look up'!$A$3:$H$135,MATCH(F44,'G-8 Condition Look up'!$A$3:$A$135,0),MATCH(J44,'G-8 Condition Look up'!$A$3:$H$3,0)),"")</f>
        <v/>
      </c>
      <c r="L44" s="101"/>
      <c r="M44" s="314" t="str">
        <f>IF(L44="","",IF(VLOOKUP(L44,'G-3 Multipliers'!$L$3:$N$6,2,FALSE)=0,"Spatial Data Missing ⚠",VLOOKUP(L44,'G-3 Multipliers'!$L$3:$N$6,2,FALSE)))</f>
        <v/>
      </c>
      <c r="N44" s="276" t="str">
        <f>IF(L44="","",IF(VLOOKUP(L44,'G-3 Multipliers'!$L$3:$N$6,3,FALSE)=0,"Spatial Data Missing ⚠",VLOOKUP(L44,'G-3 Multipliers'!$L$3:$N$6,3,FALSE)))</f>
        <v/>
      </c>
      <c r="O44" s="275" t="str">
        <f t="shared" si="2"/>
        <v/>
      </c>
      <c r="P44" s="133"/>
      <c r="Q44" s="133"/>
      <c r="R44" s="295" t="str">
        <f t="shared" si="3"/>
        <v/>
      </c>
      <c r="S44" s="316" t="str">
        <f t="shared" si="4"/>
        <v/>
      </c>
      <c r="T44" s="300" t="str">
        <f>IFERROR(IF(S44="Check Data ⚠","Check Data ⚠",VLOOKUP(S44,'G-4 Temporal multipliers'!$A$4:$C$37,3,FALSE)),"")</f>
        <v/>
      </c>
      <c r="U44" s="298" t="str">
        <f>IF(F44="","",VLOOKUP(F44,'G-3 Multipliers'!$A$2:$E$134,2,FALSE))</f>
        <v/>
      </c>
      <c r="V44" s="295" t="str">
        <f t="shared" si="5"/>
        <v/>
      </c>
      <c r="W44" s="295" t="str">
        <f>IF(E44="","",IF(AND(V44="Standard difficulty applied",O44&gt;P44),U44,IF(AND(V44="Low Difficulty - only applicable if all habitat created before losses ⚠",P44&gt;=O44),"Low",VLOOKUP(F44,'G-3 Multipliers'!$A$2:$E$134,4,FALSE))))</f>
        <v/>
      </c>
      <c r="X44" s="299" t="str">
        <f>IFERROR(IF(E44="","",VLOOKUP(W44,'G-3 Multipliers'!$P$2:$Q$6,2,FALSE)),"")</f>
        <v/>
      </c>
      <c r="Y44" s="393"/>
      <c r="Z44" s="510" t="str">
        <f>IF(Y44="","",IF(VLOOKUP(Y44,'G-3 Multipliers'!$S$3:$T$10,2,FALSE)=0,"Spatial Data Missing ⚠",VLOOKUP(Y44,'G-3 Multipliers'!$S$3:$T$10,2,FALSE)))</f>
        <v/>
      </c>
      <c r="AA44" s="926" t="str">
        <f t="shared" si="0"/>
        <v/>
      </c>
      <c r="AB44" s="928" t="str">
        <f t="shared" si="6"/>
        <v/>
      </c>
      <c r="AC44" s="105"/>
      <c r="AD44" s="138"/>
      <c r="AE44" s="233"/>
      <c r="AF44" s="138"/>
      <c r="AG44" s="934"/>
      <c r="AJ44" s="40" t="str">
        <f t="shared" si="1"/>
        <v/>
      </c>
    </row>
    <row r="45" spans="1:36" ht="14">
      <c r="A45" s="30" t="str">
        <f>IFERROR(INDEX('G-8 Condition Look up'!$I$4:$I$135,MATCH(F45,'G-8 Condition Look up'!$A$4:$A$135,0)),"")</f>
        <v/>
      </c>
      <c r="B45" s="225">
        <v>35</v>
      </c>
      <c r="C45" s="66" t="str">
        <f>IFERROR(INDEX('G-1 All Habitats'!$AG$25:$AG$41,MATCH(D45,'G-1 All Habitats'!AF$25:AF$41,0)),"")</f>
        <v/>
      </c>
      <c r="D45" s="105"/>
      <c r="E45" s="138"/>
      <c r="F45" s="158" t="str">
        <f>IFERROR(INDEX('G-1 All Habitats'!$B$3:$B$136,MATCH(E45,'G-1 All Habitats'!$A$3:$A$136,0)),"")</f>
        <v/>
      </c>
      <c r="G45" s="233"/>
      <c r="H45" s="311" t="str">
        <f>IF(F45="","",VLOOKUP(F45,'G-1 All Habitats'!$B$2:$M$135,10,FALSE))</f>
        <v/>
      </c>
      <c r="I45" s="299" t="str">
        <f>IFERROR(VLOOKUP(H45,'G-1 All Habitats'!$V$3:$W$7,2,FALSE),"")</f>
        <v/>
      </c>
      <c r="J45" s="136"/>
      <c r="K45" s="299" t="str">
        <f>IFERROR(INDEX('G-8 Condition Look up'!$A$3:$H$135,MATCH(F45,'G-8 Condition Look up'!$A$3:$A$135,0),MATCH(J45,'G-8 Condition Look up'!$A$3:$H$3,0)),"")</f>
        <v/>
      </c>
      <c r="L45" s="101"/>
      <c r="M45" s="314" t="str">
        <f>IF(L45="","",IF(VLOOKUP(L45,'G-3 Multipliers'!$L$3:$N$6,2,FALSE)=0,"Spatial Data Missing ⚠",VLOOKUP(L45,'G-3 Multipliers'!$L$3:$N$6,2,FALSE)))</f>
        <v/>
      </c>
      <c r="N45" s="276" t="str">
        <f>IF(L45="","",IF(VLOOKUP(L45,'G-3 Multipliers'!$L$3:$N$6,3,FALSE)=0,"Spatial Data Missing ⚠",VLOOKUP(L45,'G-3 Multipliers'!$L$3:$N$6,3,FALSE)))</f>
        <v/>
      </c>
      <c r="O45" s="275" t="str">
        <f t="shared" si="2"/>
        <v/>
      </c>
      <c r="P45" s="133"/>
      <c r="Q45" s="133"/>
      <c r="R45" s="295" t="str">
        <f t="shared" si="3"/>
        <v/>
      </c>
      <c r="S45" s="316" t="str">
        <f t="shared" si="4"/>
        <v/>
      </c>
      <c r="T45" s="300" t="str">
        <f>IFERROR(IF(S45="Check Data ⚠","Check Data ⚠",VLOOKUP(S45,'G-4 Temporal multipliers'!$A$4:$C$37,3,FALSE)),"")</f>
        <v/>
      </c>
      <c r="U45" s="298" t="str">
        <f>IF(F45="","",VLOOKUP(F45,'G-3 Multipliers'!$A$2:$E$134,2,FALSE))</f>
        <v/>
      </c>
      <c r="V45" s="295" t="str">
        <f t="shared" si="5"/>
        <v/>
      </c>
      <c r="W45" s="295" t="str">
        <f>IF(E45="","",IF(AND(V45="Standard difficulty applied",O45&gt;P45),U45,IF(AND(V45="Low Difficulty - only applicable if all habitat created before losses ⚠",P45&gt;=O45),"Low",VLOOKUP(F45,'G-3 Multipliers'!$A$2:$E$134,4,FALSE))))</f>
        <v/>
      </c>
      <c r="X45" s="299" t="str">
        <f>IFERROR(IF(E45="","",VLOOKUP(W45,'G-3 Multipliers'!$P$2:$Q$6,2,FALSE)),"")</f>
        <v/>
      </c>
      <c r="Y45" s="393"/>
      <c r="Z45" s="510" t="str">
        <f>IF(Y45="","",IF(VLOOKUP(Y45,'G-3 Multipliers'!$S$3:$T$10,2,FALSE)=0,"Spatial Data Missing ⚠",VLOOKUP(Y45,'G-3 Multipliers'!$S$3:$T$10,2,FALSE)))</f>
        <v/>
      </c>
      <c r="AA45" s="926" t="str">
        <f t="shared" si="0"/>
        <v/>
      </c>
      <c r="AB45" s="928" t="str">
        <f t="shared" si="6"/>
        <v/>
      </c>
      <c r="AC45" s="105"/>
      <c r="AD45" s="138"/>
      <c r="AE45" s="233"/>
      <c r="AF45" s="138"/>
      <c r="AG45" s="934"/>
      <c r="AJ45" s="40" t="str">
        <f t="shared" si="1"/>
        <v/>
      </c>
    </row>
    <row r="46" spans="1:36" ht="14">
      <c r="A46" s="30" t="str">
        <f>IFERROR(INDEX('G-8 Condition Look up'!$I$4:$I$135,MATCH(F46,'G-8 Condition Look up'!$A$4:$A$135,0)),"")</f>
        <v/>
      </c>
      <c r="B46" s="225">
        <v>36</v>
      </c>
      <c r="C46" s="66" t="str">
        <f>IFERROR(INDEX('G-1 All Habitats'!$AG$25:$AG$41,MATCH(D46,'G-1 All Habitats'!AF$25:AF$41,0)),"")</f>
        <v/>
      </c>
      <c r="D46" s="105"/>
      <c r="E46" s="138"/>
      <c r="F46" s="158" t="str">
        <f>IFERROR(INDEX('G-1 All Habitats'!$B$3:$B$136,MATCH(E46,'G-1 All Habitats'!$A$3:$A$136,0)),"")</f>
        <v/>
      </c>
      <c r="G46" s="233"/>
      <c r="H46" s="311" t="str">
        <f>IF(F46="","",VLOOKUP(F46,'G-1 All Habitats'!$B$2:$M$135,10,FALSE))</f>
        <v/>
      </c>
      <c r="I46" s="299" t="str">
        <f>IFERROR(VLOOKUP(H46,'G-1 All Habitats'!$V$3:$W$7,2,FALSE),"")</f>
        <v/>
      </c>
      <c r="J46" s="136"/>
      <c r="K46" s="299" t="str">
        <f>IFERROR(INDEX('G-8 Condition Look up'!$A$3:$H$135,MATCH(F46,'G-8 Condition Look up'!$A$3:$A$135,0),MATCH(J46,'G-8 Condition Look up'!$A$3:$H$3,0)),"")</f>
        <v/>
      </c>
      <c r="L46" s="101"/>
      <c r="M46" s="314" t="str">
        <f>IF(L46="","",IF(VLOOKUP(L46,'G-3 Multipliers'!$L$3:$N$6,2,FALSE)=0,"Spatial Data Missing ⚠",VLOOKUP(L46,'G-3 Multipliers'!$L$3:$N$6,2,FALSE)))</f>
        <v/>
      </c>
      <c r="N46" s="276" t="str">
        <f>IF(L46="","",IF(VLOOKUP(L46,'G-3 Multipliers'!$L$3:$N$6,3,FALSE)=0,"Spatial Data Missing ⚠",VLOOKUP(L46,'G-3 Multipliers'!$L$3:$N$6,3,FALSE)))</f>
        <v/>
      </c>
      <c r="O46" s="275" t="str">
        <f t="shared" si="2"/>
        <v/>
      </c>
      <c r="P46" s="133"/>
      <c r="Q46" s="133"/>
      <c r="R46" s="295" t="str">
        <f t="shared" si="3"/>
        <v/>
      </c>
      <c r="S46" s="316" t="str">
        <f t="shared" si="4"/>
        <v/>
      </c>
      <c r="T46" s="300" t="str">
        <f>IFERROR(IF(S46="Check Data ⚠","Check Data ⚠",VLOOKUP(S46,'G-4 Temporal multipliers'!$A$4:$C$37,3,FALSE)),"")</f>
        <v/>
      </c>
      <c r="U46" s="298" t="str">
        <f>IF(F46="","",VLOOKUP(F46,'G-3 Multipliers'!$A$2:$E$134,2,FALSE))</f>
        <v/>
      </c>
      <c r="V46" s="295" t="str">
        <f t="shared" si="5"/>
        <v/>
      </c>
      <c r="W46" s="295" t="str">
        <f>IF(E46="","",IF(AND(V46="Standard difficulty applied",O46&gt;P46),U46,IF(AND(V46="Low Difficulty - only applicable if all habitat created before losses ⚠",P46&gt;=O46),"Low",VLOOKUP(F46,'G-3 Multipliers'!$A$2:$E$134,4,FALSE))))</f>
        <v/>
      </c>
      <c r="X46" s="299" t="str">
        <f>IFERROR(IF(E46="","",VLOOKUP(W46,'G-3 Multipliers'!$P$2:$Q$6,2,FALSE)),"")</f>
        <v/>
      </c>
      <c r="Y46" s="393"/>
      <c r="Z46" s="510" t="str">
        <f>IF(Y46="","",IF(VLOOKUP(Y46,'G-3 Multipliers'!$S$3:$T$10,2,FALSE)=0,"Spatial Data Missing ⚠",VLOOKUP(Y46,'G-3 Multipliers'!$S$3:$T$10,2,FALSE)))</f>
        <v/>
      </c>
      <c r="AA46" s="926" t="str">
        <f t="shared" si="0"/>
        <v/>
      </c>
      <c r="AB46" s="928" t="str">
        <f t="shared" si="6"/>
        <v/>
      </c>
      <c r="AC46" s="105"/>
      <c r="AD46" s="138"/>
      <c r="AE46" s="233"/>
      <c r="AF46" s="138"/>
      <c r="AG46" s="934"/>
      <c r="AJ46" s="40" t="str">
        <f t="shared" si="1"/>
        <v/>
      </c>
    </row>
    <row r="47" spans="1:36" ht="14">
      <c r="A47" s="30" t="str">
        <f>IFERROR(INDEX('G-8 Condition Look up'!$I$4:$I$135,MATCH(F47,'G-8 Condition Look up'!$A$4:$A$135,0)),"")</f>
        <v/>
      </c>
      <c r="B47" s="225">
        <v>37</v>
      </c>
      <c r="C47" s="66" t="str">
        <f>IFERROR(INDEX('G-1 All Habitats'!$AG$25:$AG$41,MATCH(D47,'G-1 All Habitats'!AF$25:AF$41,0)),"")</f>
        <v/>
      </c>
      <c r="D47" s="105"/>
      <c r="E47" s="138"/>
      <c r="F47" s="158" t="str">
        <f>IFERROR(INDEX('G-1 All Habitats'!$B$3:$B$136,MATCH(E47,'G-1 All Habitats'!$A$3:$A$136,0)),"")</f>
        <v/>
      </c>
      <c r="G47" s="233"/>
      <c r="H47" s="311" t="str">
        <f>IF(F47="","",VLOOKUP(F47,'G-1 All Habitats'!$B$2:$M$135,10,FALSE))</f>
        <v/>
      </c>
      <c r="I47" s="299" t="str">
        <f>IFERROR(VLOOKUP(H47,'G-1 All Habitats'!$V$3:$W$7,2,FALSE),"")</f>
        <v/>
      </c>
      <c r="J47" s="136"/>
      <c r="K47" s="299" t="str">
        <f>IFERROR(INDEX('G-8 Condition Look up'!$A$3:$H$135,MATCH(F47,'G-8 Condition Look up'!$A$3:$A$135,0),MATCH(J47,'G-8 Condition Look up'!$A$3:$H$3,0)),"")</f>
        <v/>
      </c>
      <c r="L47" s="101"/>
      <c r="M47" s="314" t="str">
        <f>IF(L47="","",IF(VLOOKUP(L47,'G-3 Multipliers'!$L$3:$N$6,2,FALSE)=0,"Spatial Data Missing ⚠",VLOOKUP(L47,'G-3 Multipliers'!$L$3:$N$6,2,FALSE)))</f>
        <v/>
      </c>
      <c r="N47" s="276" t="str">
        <f>IF(L47="","",IF(VLOOKUP(L47,'G-3 Multipliers'!$L$3:$N$6,3,FALSE)=0,"Spatial Data Missing ⚠",VLOOKUP(L47,'G-3 Multipliers'!$L$3:$N$6,3,FALSE)))</f>
        <v/>
      </c>
      <c r="O47" s="275" t="str">
        <f t="shared" si="2"/>
        <v/>
      </c>
      <c r="P47" s="133"/>
      <c r="Q47" s="133"/>
      <c r="R47" s="295" t="str">
        <f t="shared" si="3"/>
        <v/>
      </c>
      <c r="S47" s="316" t="str">
        <f t="shared" si="4"/>
        <v/>
      </c>
      <c r="T47" s="300" t="str">
        <f>IFERROR(IF(S47="Check Data ⚠","Check Data ⚠",VLOOKUP(S47,'G-4 Temporal multipliers'!$A$4:$C$37,3,FALSE)),"")</f>
        <v/>
      </c>
      <c r="U47" s="298" t="str">
        <f>IF(F47="","",VLOOKUP(F47,'G-3 Multipliers'!$A$2:$E$134,2,FALSE))</f>
        <v/>
      </c>
      <c r="V47" s="295" t="str">
        <f t="shared" si="5"/>
        <v/>
      </c>
      <c r="W47" s="295" t="str">
        <f>IF(E47="","",IF(AND(V47="Standard difficulty applied",O47&gt;P47),U47,IF(AND(V47="Low Difficulty - only applicable if all habitat created before losses ⚠",P47&gt;=O47),"Low",VLOOKUP(F47,'G-3 Multipliers'!$A$2:$E$134,4,FALSE))))</f>
        <v/>
      </c>
      <c r="X47" s="299" t="str">
        <f>IFERROR(IF(E47="","",VLOOKUP(W47,'G-3 Multipliers'!$P$2:$Q$6,2,FALSE)),"")</f>
        <v/>
      </c>
      <c r="Y47" s="393"/>
      <c r="Z47" s="510" t="str">
        <f>IF(Y47="","",IF(VLOOKUP(Y47,'G-3 Multipliers'!$S$3:$T$10,2,FALSE)=0,"Spatial Data Missing ⚠",VLOOKUP(Y47,'G-3 Multipliers'!$S$3:$T$10,2,FALSE)))</f>
        <v/>
      </c>
      <c r="AA47" s="926" t="str">
        <f t="shared" si="0"/>
        <v/>
      </c>
      <c r="AB47" s="928" t="str">
        <f t="shared" si="6"/>
        <v/>
      </c>
      <c r="AC47" s="105"/>
      <c r="AD47" s="138"/>
      <c r="AE47" s="233"/>
      <c r="AF47" s="138"/>
      <c r="AG47" s="934"/>
      <c r="AJ47" s="40" t="str">
        <f t="shared" si="1"/>
        <v/>
      </c>
    </row>
    <row r="48" spans="1:36" ht="14">
      <c r="A48" s="30" t="str">
        <f>IFERROR(INDEX('G-8 Condition Look up'!$I$4:$I$135,MATCH(F48,'G-8 Condition Look up'!$A$4:$A$135,0)),"")</f>
        <v/>
      </c>
      <c r="B48" s="225">
        <v>38</v>
      </c>
      <c r="C48" s="66" t="str">
        <f>IFERROR(INDEX('G-1 All Habitats'!$AG$25:$AG$41,MATCH(D48,'G-1 All Habitats'!AF$25:AF$41,0)),"")</f>
        <v/>
      </c>
      <c r="D48" s="105"/>
      <c r="E48" s="138"/>
      <c r="F48" s="158" t="str">
        <f>IFERROR(INDEX('G-1 All Habitats'!$B$3:$B$136,MATCH(E48,'G-1 All Habitats'!$A$3:$A$136,0)),"")</f>
        <v/>
      </c>
      <c r="G48" s="233"/>
      <c r="H48" s="311" t="str">
        <f>IF(F48="","",VLOOKUP(F48,'G-1 All Habitats'!$B$2:$M$135,10,FALSE))</f>
        <v/>
      </c>
      <c r="I48" s="299" t="str">
        <f>IFERROR(VLOOKUP(H48,'G-1 All Habitats'!$V$3:$W$7,2,FALSE),"")</f>
        <v/>
      </c>
      <c r="J48" s="136"/>
      <c r="K48" s="299" t="str">
        <f>IFERROR(INDEX('G-8 Condition Look up'!$A$3:$H$135,MATCH(F48,'G-8 Condition Look up'!$A$3:$A$135,0),MATCH(J48,'G-8 Condition Look up'!$A$3:$H$3,0)),"")</f>
        <v/>
      </c>
      <c r="L48" s="101"/>
      <c r="M48" s="314" t="str">
        <f>IF(L48="","",IF(VLOOKUP(L48,'G-3 Multipliers'!$L$3:$N$6,2,FALSE)=0,"Spatial Data Missing ⚠",VLOOKUP(L48,'G-3 Multipliers'!$L$3:$N$6,2,FALSE)))</f>
        <v/>
      </c>
      <c r="N48" s="276" t="str">
        <f>IF(L48="","",IF(VLOOKUP(L48,'G-3 Multipliers'!$L$3:$N$6,3,FALSE)=0,"Spatial Data Missing ⚠",VLOOKUP(L48,'G-3 Multipliers'!$L$3:$N$6,3,FALSE)))</f>
        <v/>
      </c>
      <c r="O48" s="275" t="str">
        <f t="shared" si="2"/>
        <v/>
      </c>
      <c r="P48" s="133"/>
      <c r="Q48" s="133"/>
      <c r="R48" s="295" t="str">
        <f t="shared" si="3"/>
        <v/>
      </c>
      <c r="S48" s="316" t="str">
        <f t="shared" si="4"/>
        <v/>
      </c>
      <c r="T48" s="300" t="str">
        <f>IFERROR(IF(S48="Check Data ⚠","Check Data ⚠",VLOOKUP(S48,'G-4 Temporal multipliers'!$A$4:$C$37,3,FALSE)),"")</f>
        <v/>
      </c>
      <c r="U48" s="298" t="str">
        <f>IF(F48="","",VLOOKUP(F48,'G-3 Multipliers'!$A$2:$E$134,2,FALSE))</f>
        <v/>
      </c>
      <c r="V48" s="295" t="str">
        <f t="shared" si="5"/>
        <v/>
      </c>
      <c r="W48" s="295" t="str">
        <f>IF(E48="","",IF(AND(V48="Standard difficulty applied",O48&gt;P48),U48,IF(AND(V48="Low Difficulty - only applicable if all habitat created before losses ⚠",P48&gt;=O48),"Low",VLOOKUP(F48,'G-3 Multipliers'!$A$2:$E$134,4,FALSE))))</f>
        <v/>
      </c>
      <c r="X48" s="299" t="str">
        <f>IFERROR(IF(E48="","",VLOOKUP(W48,'G-3 Multipliers'!$P$2:$Q$6,2,FALSE)),"")</f>
        <v/>
      </c>
      <c r="Y48" s="393"/>
      <c r="Z48" s="510" t="str">
        <f>IF(Y48="","",IF(VLOOKUP(Y48,'G-3 Multipliers'!$S$3:$T$10,2,FALSE)=0,"Spatial Data Missing ⚠",VLOOKUP(Y48,'G-3 Multipliers'!$S$3:$T$10,2,FALSE)))</f>
        <v/>
      </c>
      <c r="AA48" s="926" t="str">
        <f t="shared" si="0"/>
        <v/>
      </c>
      <c r="AB48" s="928" t="str">
        <f t="shared" si="6"/>
        <v/>
      </c>
      <c r="AC48" s="105"/>
      <c r="AD48" s="138"/>
      <c r="AE48" s="233"/>
      <c r="AF48" s="138"/>
      <c r="AG48" s="934"/>
      <c r="AJ48" s="40" t="str">
        <f t="shared" si="1"/>
        <v/>
      </c>
    </row>
    <row r="49" spans="1:36" ht="14">
      <c r="A49" s="30" t="str">
        <f>IFERROR(INDEX('G-8 Condition Look up'!$I$4:$I$135,MATCH(F49,'G-8 Condition Look up'!$A$4:$A$135,0)),"")</f>
        <v/>
      </c>
      <c r="B49" s="225">
        <v>39</v>
      </c>
      <c r="C49" s="66" t="str">
        <f>IFERROR(INDEX('G-1 All Habitats'!$AG$25:$AG$41,MATCH(D49,'G-1 All Habitats'!AF$25:AF$41,0)),"")</f>
        <v/>
      </c>
      <c r="D49" s="105"/>
      <c r="E49" s="138"/>
      <c r="F49" s="158" t="str">
        <f>IFERROR(INDEX('G-1 All Habitats'!$B$3:$B$136,MATCH(E49,'G-1 All Habitats'!$A$3:$A$136,0)),"")</f>
        <v/>
      </c>
      <c r="G49" s="233"/>
      <c r="H49" s="311" t="str">
        <f>IF(F49="","",VLOOKUP(F49,'G-1 All Habitats'!$B$2:$M$135,10,FALSE))</f>
        <v/>
      </c>
      <c r="I49" s="299" t="str">
        <f>IFERROR(VLOOKUP(H49,'G-1 All Habitats'!$V$3:$W$7,2,FALSE),"")</f>
        <v/>
      </c>
      <c r="J49" s="136"/>
      <c r="K49" s="299" t="str">
        <f>IFERROR(INDEX('G-8 Condition Look up'!$A$3:$H$135,MATCH(F49,'G-8 Condition Look up'!$A$3:$A$135,0),MATCH(J49,'G-8 Condition Look up'!$A$3:$H$3,0)),"")</f>
        <v/>
      </c>
      <c r="L49" s="101"/>
      <c r="M49" s="314" t="str">
        <f>IF(L49="","",IF(VLOOKUP(L49,'G-3 Multipliers'!$L$3:$N$6,2,FALSE)=0,"Spatial Data Missing ⚠",VLOOKUP(L49,'G-3 Multipliers'!$L$3:$N$6,2,FALSE)))</f>
        <v/>
      </c>
      <c r="N49" s="276" t="str">
        <f>IF(L49="","",IF(VLOOKUP(L49,'G-3 Multipliers'!$L$3:$N$6,3,FALSE)=0,"Spatial Data Missing ⚠",VLOOKUP(L49,'G-3 Multipliers'!$L$3:$N$6,3,FALSE)))</f>
        <v/>
      </c>
      <c r="O49" s="275" t="str">
        <f t="shared" si="2"/>
        <v/>
      </c>
      <c r="P49" s="133"/>
      <c r="Q49" s="133"/>
      <c r="R49" s="295" t="str">
        <f t="shared" si="3"/>
        <v/>
      </c>
      <c r="S49" s="316" t="str">
        <f t="shared" si="4"/>
        <v/>
      </c>
      <c r="T49" s="300" t="str">
        <f>IFERROR(IF(S49="Check Data ⚠","Check Data ⚠",VLOOKUP(S49,'G-4 Temporal multipliers'!$A$4:$C$37,3,FALSE)),"")</f>
        <v/>
      </c>
      <c r="U49" s="298" t="str">
        <f>IF(F49="","",VLOOKUP(F49,'G-3 Multipliers'!$A$2:$E$134,2,FALSE))</f>
        <v/>
      </c>
      <c r="V49" s="295" t="str">
        <f t="shared" si="5"/>
        <v/>
      </c>
      <c r="W49" s="295" t="str">
        <f>IF(E49="","",IF(AND(V49="Standard difficulty applied",O49&gt;P49),U49,IF(AND(V49="Low Difficulty - only applicable if all habitat created before losses ⚠",P49&gt;=O49),"Low",VLOOKUP(F49,'G-3 Multipliers'!$A$2:$E$134,4,FALSE))))</f>
        <v/>
      </c>
      <c r="X49" s="299" t="str">
        <f>IFERROR(IF(E49="","",VLOOKUP(W49,'G-3 Multipliers'!$P$2:$Q$6,2,FALSE)),"")</f>
        <v/>
      </c>
      <c r="Y49" s="393"/>
      <c r="Z49" s="510" t="str">
        <f>IF(Y49="","",IF(VLOOKUP(Y49,'G-3 Multipliers'!$S$3:$T$10,2,FALSE)=0,"Spatial Data Missing ⚠",VLOOKUP(Y49,'G-3 Multipliers'!$S$3:$T$10,2,FALSE)))</f>
        <v/>
      </c>
      <c r="AA49" s="926" t="str">
        <f t="shared" si="0"/>
        <v/>
      </c>
      <c r="AB49" s="928" t="str">
        <f t="shared" si="6"/>
        <v/>
      </c>
      <c r="AC49" s="105"/>
      <c r="AD49" s="138"/>
      <c r="AE49" s="233"/>
      <c r="AF49" s="138"/>
      <c r="AG49" s="934"/>
      <c r="AJ49" s="40" t="str">
        <f t="shared" si="1"/>
        <v/>
      </c>
    </row>
    <row r="50" spans="1:36" ht="14">
      <c r="A50" s="30" t="str">
        <f>IFERROR(INDEX('G-8 Condition Look up'!$I$4:$I$135,MATCH(F50,'G-8 Condition Look up'!$A$4:$A$135,0)),"")</f>
        <v/>
      </c>
      <c r="B50" s="225">
        <v>40</v>
      </c>
      <c r="C50" s="66" t="str">
        <f>IFERROR(INDEX('G-1 All Habitats'!$AG$25:$AG$41,MATCH(D50,'G-1 All Habitats'!AF$25:AF$41,0)),"")</f>
        <v/>
      </c>
      <c r="D50" s="105"/>
      <c r="E50" s="138"/>
      <c r="F50" s="158" t="str">
        <f>IFERROR(INDEX('G-1 All Habitats'!$B$3:$B$136,MATCH(E50,'G-1 All Habitats'!$A$3:$A$136,0)),"")</f>
        <v/>
      </c>
      <c r="G50" s="233"/>
      <c r="H50" s="311" t="str">
        <f>IF(F50="","",VLOOKUP(F50,'G-1 All Habitats'!$B$2:$M$135,10,FALSE))</f>
        <v/>
      </c>
      <c r="I50" s="299" t="str">
        <f>IFERROR(VLOOKUP(H50,'G-1 All Habitats'!$V$3:$W$7,2,FALSE),"")</f>
        <v/>
      </c>
      <c r="J50" s="136"/>
      <c r="K50" s="299" t="str">
        <f>IFERROR(INDEX('G-8 Condition Look up'!$A$3:$H$135,MATCH(F50,'G-8 Condition Look up'!$A$3:$A$135,0),MATCH(J50,'G-8 Condition Look up'!$A$3:$H$3,0)),"")</f>
        <v/>
      </c>
      <c r="L50" s="101"/>
      <c r="M50" s="314" t="str">
        <f>IF(L50="","",IF(VLOOKUP(L50,'G-3 Multipliers'!$L$3:$N$6,2,FALSE)=0,"Spatial Data Missing ⚠",VLOOKUP(L50,'G-3 Multipliers'!$L$3:$N$6,2,FALSE)))</f>
        <v/>
      </c>
      <c r="N50" s="276" t="str">
        <f>IF(L50="","",IF(VLOOKUP(L50,'G-3 Multipliers'!$L$3:$N$6,3,FALSE)=0,"Spatial Data Missing ⚠",VLOOKUP(L50,'G-3 Multipliers'!$L$3:$N$6,3,FALSE)))</f>
        <v/>
      </c>
      <c r="O50" s="275" t="str">
        <f t="shared" si="2"/>
        <v/>
      </c>
      <c r="P50" s="133"/>
      <c r="Q50" s="133"/>
      <c r="R50" s="295" t="str">
        <f t="shared" si="3"/>
        <v/>
      </c>
      <c r="S50" s="316" t="str">
        <f t="shared" si="4"/>
        <v/>
      </c>
      <c r="T50" s="300" t="str">
        <f>IFERROR(IF(S50="Check Data ⚠","Check Data ⚠",VLOOKUP(S50,'G-4 Temporal multipliers'!$A$4:$C$37,3,FALSE)),"")</f>
        <v/>
      </c>
      <c r="U50" s="298" t="str">
        <f>IF(F50="","",VLOOKUP(F50,'G-3 Multipliers'!$A$2:$E$134,2,FALSE))</f>
        <v/>
      </c>
      <c r="V50" s="295" t="str">
        <f t="shared" si="5"/>
        <v/>
      </c>
      <c r="W50" s="295" t="str">
        <f>IF(E50="","",IF(AND(V50="Standard difficulty applied",O50&gt;P50),U50,IF(AND(V50="Low Difficulty - only applicable if all habitat created before losses ⚠",P50&gt;=O50),"Low",VLOOKUP(F50,'G-3 Multipliers'!$A$2:$E$134,4,FALSE))))</f>
        <v/>
      </c>
      <c r="X50" s="299" t="str">
        <f>IFERROR(IF(E50="","",VLOOKUP(W50,'G-3 Multipliers'!$P$2:$Q$6,2,FALSE)),"")</f>
        <v/>
      </c>
      <c r="Y50" s="393"/>
      <c r="Z50" s="510" t="str">
        <f>IF(Y50="","",IF(VLOOKUP(Y50,'G-3 Multipliers'!$S$3:$T$10,2,FALSE)=0,"Spatial Data Missing ⚠",VLOOKUP(Y50,'G-3 Multipliers'!$S$3:$T$10,2,FALSE)))</f>
        <v/>
      </c>
      <c r="AA50" s="926" t="str">
        <f t="shared" si="0"/>
        <v/>
      </c>
      <c r="AB50" s="928" t="str">
        <f t="shared" si="6"/>
        <v/>
      </c>
      <c r="AC50" s="105"/>
      <c r="AD50" s="138"/>
      <c r="AE50" s="233"/>
      <c r="AF50" s="138"/>
      <c r="AG50" s="934"/>
      <c r="AJ50" s="40" t="str">
        <f t="shared" si="1"/>
        <v/>
      </c>
    </row>
    <row r="51" spans="1:36" ht="14">
      <c r="A51" s="30" t="str">
        <f>IFERROR(INDEX('G-8 Condition Look up'!$I$4:$I$135,MATCH(F51,'G-8 Condition Look up'!$A$4:$A$135,0)),"")</f>
        <v/>
      </c>
      <c r="B51" s="225">
        <v>41</v>
      </c>
      <c r="C51" s="66" t="str">
        <f>IFERROR(INDEX('G-1 All Habitats'!$AG$25:$AG$41,MATCH(D51,'G-1 All Habitats'!AF$25:AF$41,0)),"")</f>
        <v/>
      </c>
      <c r="D51" s="105"/>
      <c r="E51" s="138"/>
      <c r="F51" s="158" t="str">
        <f>IFERROR(INDEX('G-1 All Habitats'!$B$3:$B$136,MATCH(E51,'G-1 All Habitats'!$A$3:$A$136,0)),"")</f>
        <v/>
      </c>
      <c r="G51" s="233"/>
      <c r="H51" s="311" t="str">
        <f>IF(F51="","",VLOOKUP(F51,'G-1 All Habitats'!$B$2:$M$135,10,FALSE))</f>
        <v/>
      </c>
      <c r="I51" s="299" t="str">
        <f>IFERROR(VLOOKUP(H51,'G-1 All Habitats'!$V$3:$W$7,2,FALSE),"")</f>
        <v/>
      </c>
      <c r="J51" s="136"/>
      <c r="K51" s="299" t="str">
        <f>IFERROR(INDEX('G-8 Condition Look up'!$A$3:$H$135,MATCH(F51,'G-8 Condition Look up'!$A$3:$A$135,0),MATCH(J51,'G-8 Condition Look up'!$A$3:$H$3,0)),"")</f>
        <v/>
      </c>
      <c r="L51" s="101"/>
      <c r="M51" s="314" t="str">
        <f>IF(L51="","",IF(VLOOKUP(L51,'G-3 Multipliers'!$L$3:$N$6,2,FALSE)=0,"Spatial Data Missing ⚠",VLOOKUP(L51,'G-3 Multipliers'!$L$3:$N$6,2,FALSE)))</f>
        <v/>
      </c>
      <c r="N51" s="276" t="str">
        <f>IF(L51="","",IF(VLOOKUP(L51,'G-3 Multipliers'!$L$3:$N$6,3,FALSE)=0,"Spatial Data Missing ⚠",VLOOKUP(L51,'G-3 Multipliers'!$L$3:$N$6,3,FALSE)))</f>
        <v/>
      </c>
      <c r="O51" s="275" t="str">
        <f t="shared" si="2"/>
        <v/>
      </c>
      <c r="P51" s="133"/>
      <c r="Q51" s="133"/>
      <c r="R51" s="295" t="str">
        <f t="shared" si="3"/>
        <v/>
      </c>
      <c r="S51" s="316" t="str">
        <f t="shared" si="4"/>
        <v/>
      </c>
      <c r="T51" s="300" t="str">
        <f>IFERROR(IF(S51="Check Data ⚠","Check Data ⚠",VLOOKUP(S51,'G-4 Temporal multipliers'!$A$4:$C$37,3,FALSE)),"")</f>
        <v/>
      </c>
      <c r="U51" s="298" t="str">
        <f>IF(F51="","",VLOOKUP(F51,'G-3 Multipliers'!$A$2:$E$134,2,FALSE))</f>
        <v/>
      </c>
      <c r="V51" s="295" t="str">
        <f t="shared" si="5"/>
        <v/>
      </c>
      <c r="W51" s="295" t="str">
        <f>IF(E51="","",IF(AND(V51="Standard difficulty applied",O51&gt;P51),U51,IF(AND(V51="Low Difficulty - only applicable if all habitat created before losses ⚠",P51&gt;=O51),"Low",VLOOKUP(F51,'G-3 Multipliers'!$A$2:$E$134,4,FALSE))))</f>
        <v/>
      </c>
      <c r="X51" s="299" t="str">
        <f>IFERROR(IF(E51="","",VLOOKUP(W51,'G-3 Multipliers'!$P$2:$Q$6,2,FALSE)),"")</f>
        <v/>
      </c>
      <c r="Y51" s="393"/>
      <c r="Z51" s="510" t="str">
        <f>IF(Y51="","",IF(VLOOKUP(Y51,'G-3 Multipliers'!$S$3:$T$10,2,FALSE)=0,"Spatial Data Missing ⚠",VLOOKUP(Y51,'G-3 Multipliers'!$S$3:$T$10,2,FALSE)))</f>
        <v/>
      </c>
      <c r="AA51" s="926" t="str">
        <f t="shared" si="0"/>
        <v/>
      </c>
      <c r="AB51" s="928" t="str">
        <f t="shared" si="6"/>
        <v/>
      </c>
      <c r="AC51" s="105"/>
      <c r="AD51" s="138"/>
      <c r="AE51" s="233"/>
      <c r="AF51" s="138"/>
      <c r="AG51" s="934"/>
      <c r="AJ51" s="40" t="str">
        <f t="shared" si="1"/>
        <v/>
      </c>
    </row>
    <row r="52" spans="1:36" ht="14">
      <c r="A52" s="30" t="str">
        <f>IFERROR(INDEX('G-8 Condition Look up'!$I$4:$I$135,MATCH(F52,'G-8 Condition Look up'!$A$4:$A$135,0)),"")</f>
        <v/>
      </c>
      <c r="B52" s="225">
        <v>42</v>
      </c>
      <c r="C52" s="66" t="str">
        <f>IFERROR(INDEX('G-1 All Habitats'!$AG$25:$AG$41,MATCH(D52,'G-1 All Habitats'!AF$25:AF$41,0)),"")</f>
        <v/>
      </c>
      <c r="D52" s="105"/>
      <c r="E52" s="138"/>
      <c r="F52" s="158" t="str">
        <f>IFERROR(INDEX('G-1 All Habitats'!$B$3:$B$136,MATCH(E52,'G-1 All Habitats'!$A$3:$A$136,0)),"")</f>
        <v/>
      </c>
      <c r="G52" s="233"/>
      <c r="H52" s="311" t="str">
        <f>IF(F52="","",VLOOKUP(F52,'G-1 All Habitats'!$B$2:$M$135,10,FALSE))</f>
        <v/>
      </c>
      <c r="I52" s="299" t="str">
        <f>IFERROR(VLOOKUP(H52,'G-1 All Habitats'!$V$3:$W$7,2,FALSE),"")</f>
        <v/>
      </c>
      <c r="J52" s="136"/>
      <c r="K52" s="299" t="str">
        <f>IFERROR(INDEX('G-8 Condition Look up'!$A$3:$H$135,MATCH(F52,'G-8 Condition Look up'!$A$3:$A$135,0),MATCH(J52,'G-8 Condition Look up'!$A$3:$H$3,0)),"")</f>
        <v/>
      </c>
      <c r="L52" s="101"/>
      <c r="M52" s="314" t="str">
        <f>IF(L52="","",IF(VLOOKUP(L52,'G-3 Multipliers'!$L$3:$N$6,2,FALSE)=0,"Spatial Data Missing ⚠",VLOOKUP(L52,'G-3 Multipliers'!$L$3:$N$6,2,FALSE)))</f>
        <v/>
      </c>
      <c r="N52" s="276" t="str">
        <f>IF(L52="","",IF(VLOOKUP(L52,'G-3 Multipliers'!$L$3:$N$6,3,FALSE)=0,"Spatial Data Missing ⚠",VLOOKUP(L52,'G-3 Multipliers'!$L$3:$N$6,3,FALSE)))</f>
        <v/>
      </c>
      <c r="O52" s="275" t="str">
        <f t="shared" si="2"/>
        <v/>
      </c>
      <c r="P52" s="133"/>
      <c r="Q52" s="133"/>
      <c r="R52" s="295" t="str">
        <f t="shared" si="3"/>
        <v/>
      </c>
      <c r="S52" s="316" t="str">
        <f t="shared" si="4"/>
        <v/>
      </c>
      <c r="T52" s="300" t="str">
        <f>IFERROR(IF(S52="Check Data ⚠","Check Data ⚠",VLOOKUP(S52,'G-4 Temporal multipliers'!$A$4:$C$37,3,FALSE)),"")</f>
        <v/>
      </c>
      <c r="U52" s="298" t="str">
        <f>IF(F52="","",VLOOKUP(F52,'G-3 Multipliers'!$A$2:$E$134,2,FALSE))</f>
        <v/>
      </c>
      <c r="V52" s="295" t="str">
        <f t="shared" si="5"/>
        <v/>
      </c>
      <c r="W52" s="295" t="str">
        <f>IF(E52="","",IF(AND(V52="Standard difficulty applied",O52&gt;P52),U52,IF(AND(V52="Low Difficulty - only applicable if all habitat created before losses ⚠",P52&gt;=O52),"Low",VLOOKUP(F52,'G-3 Multipliers'!$A$2:$E$134,4,FALSE))))</f>
        <v/>
      </c>
      <c r="X52" s="299" t="str">
        <f>IFERROR(IF(E52="","",VLOOKUP(W52,'G-3 Multipliers'!$P$2:$Q$6,2,FALSE)),"")</f>
        <v/>
      </c>
      <c r="Y52" s="393"/>
      <c r="Z52" s="510" t="str">
        <f>IF(Y52="","",IF(VLOOKUP(Y52,'G-3 Multipliers'!$S$3:$T$10,2,FALSE)=0,"Spatial Data Missing ⚠",VLOOKUP(Y52,'G-3 Multipliers'!$S$3:$T$10,2,FALSE)))</f>
        <v/>
      </c>
      <c r="AA52" s="926" t="str">
        <f t="shared" si="0"/>
        <v/>
      </c>
      <c r="AB52" s="928" t="str">
        <f t="shared" si="6"/>
        <v/>
      </c>
      <c r="AC52" s="105"/>
      <c r="AD52" s="138"/>
      <c r="AE52" s="233"/>
      <c r="AF52" s="138"/>
      <c r="AG52" s="934"/>
      <c r="AJ52" s="40" t="str">
        <f t="shared" si="1"/>
        <v/>
      </c>
    </row>
    <row r="53" spans="1:36" ht="14">
      <c r="A53" s="30" t="str">
        <f>IFERROR(INDEX('G-8 Condition Look up'!$I$4:$I$135,MATCH(F53,'G-8 Condition Look up'!$A$4:$A$135,0)),"")</f>
        <v/>
      </c>
      <c r="B53" s="225">
        <v>43</v>
      </c>
      <c r="C53" s="66" t="str">
        <f>IFERROR(INDEX('G-1 All Habitats'!$AG$25:$AG$41,MATCH(D53,'G-1 All Habitats'!AF$25:AF$41,0)),"")</f>
        <v/>
      </c>
      <c r="D53" s="105"/>
      <c r="E53" s="138"/>
      <c r="F53" s="158" t="str">
        <f>IFERROR(INDEX('G-1 All Habitats'!$B$3:$B$136,MATCH(E53,'G-1 All Habitats'!$A$3:$A$136,0)),"")</f>
        <v/>
      </c>
      <c r="G53" s="233"/>
      <c r="H53" s="311" t="str">
        <f>IF(F53="","",VLOOKUP(F53,'G-1 All Habitats'!$B$2:$M$135,10,FALSE))</f>
        <v/>
      </c>
      <c r="I53" s="299" t="str">
        <f>IFERROR(VLOOKUP(H53,'G-1 All Habitats'!$V$3:$W$7,2,FALSE),"")</f>
        <v/>
      </c>
      <c r="J53" s="136"/>
      <c r="K53" s="299" t="str">
        <f>IFERROR(INDEX('G-8 Condition Look up'!$A$3:$H$135,MATCH(F53,'G-8 Condition Look up'!$A$3:$A$135,0),MATCH(J53,'G-8 Condition Look up'!$A$3:$H$3,0)),"")</f>
        <v/>
      </c>
      <c r="L53" s="101"/>
      <c r="M53" s="314" t="str">
        <f>IF(L53="","",IF(VLOOKUP(L53,'G-3 Multipliers'!$L$3:$N$6,2,FALSE)=0,"Spatial Data Missing ⚠",VLOOKUP(L53,'G-3 Multipliers'!$L$3:$N$6,2,FALSE)))</f>
        <v/>
      </c>
      <c r="N53" s="276" t="str">
        <f>IF(L53="","",IF(VLOOKUP(L53,'G-3 Multipliers'!$L$3:$N$6,3,FALSE)=0,"Spatial Data Missing ⚠",VLOOKUP(L53,'G-3 Multipliers'!$L$3:$N$6,3,FALSE)))</f>
        <v/>
      </c>
      <c r="O53" s="275" t="str">
        <f t="shared" si="2"/>
        <v/>
      </c>
      <c r="P53" s="133"/>
      <c r="Q53" s="133"/>
      <c r="R53" s="295" t="str">
        <f t="shared" si="3"/>
        <v/>
      </c>
      <c r="S53" s="316" t="str">
        <f t="shared" si="4"/>
        <v/>
      </c>
      <c r="T53" s="300" t="str">
        <f>IFERROR(IF(S53="Check Data ⚠","Check Data ⚠",VLOOKUP(S53,'G-4 Temporal multipliers'!$A$4:$C$37,3,FALSE)),"")</f>
        <v/>
      </c>
      <c r="U53" s="298" t="str">
        <f>IF(F53="","",VLOOKUP(F53,'G-3 Multipliers'!$A$2:$E$134,2,FALSE))</f>
        <v/>
      </c>
      <c r="V53" s="295" t="str">
        <f t="shared" si="5"/>
        <v/>
      </c>
      <c r="W53" s="295" t="str">
        <f>IF(E53="","",IF(AND(V53="Standard difficulty applied",O53&gt;P53),U53,IF(AND(V53="Low Difficulty - only applicable if all habitat created before losses ⚠",P53&gt;=O53),"Low",VLOOKUP(F53,'G-3 Multipliers'!$A$2:$E$134,4,FALSE))))</f>
        <v/>
      </c>
      <c r="X53" s="299" t="str">
        <f>IFERROR(IF(E53="","",VLOOKUP(W53,'G-3 Multipliers'!$P$2:$Q$6,2,FALSE)),"")</f>
        <v/>
      </c>
      <c r="Y53" s="393"/>
      <c r="Z53" s="510" t="str">
        <f>IF(Y53="","",IF(VLOOKUP(Y53,'G-3 Multipliers'!$S$3:$T$10,2,FALSE)=0,"Spatial Data Missing ⚠",VLOOKUP(Y53,'G-3 Multipliers'!$S$3:$T$10,2,FALSE)))</f>
        <v/>
      </c>
      <c r="AA53" s="926" t="str">
        <f t="shared" si="0"/>
        <v/>
      </c>
      <c r="AB53" s="928" t="str">
        <f t="shared" si="6"/>
        <v/>
      </c>
      <c r="AC53" s="105"/>
      <c r="AD53" s="138"/>
      <c r="AE53" s="233"/>
      <c r="AF53" s="138"/>
      <c r="AG53" s="934"/>
      <c r="AJ53" s="40" t="str">
        <f t="shared" si="1"/>
        <v/>
      </c>
    </row>
    <row r="54" spans="1:36" ht="14">
      <c r="A54" s="30" t="str">
        <f>IFERROR(INDEX('G-8 Condition Look up'!$I$4:$I$135,MATCH(F54,'G-8 Condition Look up'!$A$4:$A$135,0)),"")</f>
        <v/>
      </c>
      <c r="B54" s="225">
        <v>44</v>
      </c>
      <c r="C54" s="66" t="str">
        <f>IFERROR(INDEX('G-1 All Habitats'!$AG$25:$AG$41,MATCH(D54,'G-1 All Habitats'!AF$25:AF$41,0)),"")</f>
        <v/>
      </c>
      <c r="D54" s="105"/>
      <c r="E54" s="138"/>
      <c r="F54" s="158" t="str">
        <f>IFERROR(INDEX('G-1 All Habitats'!$B$3:$B$136,MATCH(E54,'G-1 All Habitats'!$A$3:$A$136,0)),"")</f>
        <v/>
      </c>
      <c r="G54" s="233"/>
      <c r="H54" s="311" t="str">
        <f>IF(F54="","",VLOOKUP(F54,'G-1 All Habitats'!$B$2:$M$135,10,FALSE))</f>
        <v/>
      </c>
      <c r="I54" s="299" t="str">
        <f>IFERROR(VLOOKUP(H54,'G-1 All Habitats'!$V$3:$W$7,2,FALSE),"")</f>
        <v/>
      </c>
      <c r="J54" s="136"/>
      <c r="K54" s="299" t="str">
        <f>IFERROR(INDEX('G-8 Condition Look up'!$A$3:$H$135,MATCH(F54,'G-8 Condition Look up'!$A$3:$A$135,0),MATCH(J54,'G-8 Condition Look up'!$A$3:$H$3,0)),"")</f>
        <v/>
      </c>
      <c r="L54" s="101"/>
      <c r="M54" s="314" t="str">
        <f>IF(L54="","",IF(VLOOKUP(L54,'G-3 Multipliers'!$L$3:$N$6,2,FALSE)=0,"Spatial Data Missing ⚠",VLOOKUP(L54,'G-3 Multipliers'!$L$3:$N$6,2,FALSE)))</f>
        <v/>
      </c>
      <c r="N54" s="276" t="str">
        <f>IF(L54="","",IF(VLOOKUP(L54,'G-3 Multipliers'!$L$3:$N$6,3,FALSE)=0,"Spatial Data Missing ⚠",VLOOKUP(L54,'G-3 Multipliers'!$L$3:$N$6,3,FALSE)))</f>
        <v/>
      </c>
      <c r="O54" s="275" t="str">
        <f t="shared" si="2"/>
        <v/>
      </c>
      <c r="P54" s="133"/>
      <c r="Q54" s="133"/>
      <c r="R54" s="295" t="str">
        <f t="shared" si="3"/>
        <v/>
      </c>
      <c r="S54" s="316" t="str">
        <f t="shared" si="4"/>
        <v/>
      </c>
      <c r="T54" s="300" t="str">
        <f>IFERROR(IF(S54="Check Data ⚠","Check Data ⚠",VLOOKUP(S54,'G-4 Temporal multipliers'!$A$4:$C$37,3,FALSE)),"")</f>
        <v/>
      </c>
      <c r="U54" s="298" t="str">
        <f>IF(F54="","",VLOOKUP(F54,'G-3 Multipliers'!$A$2:$E$134,2,FALSE))</f>
        <v/>
      </c>
      <c r="V54" s="295" t="str">
        <f t="shared" si="5"/>
        <v/>
      </c>
      <c r="W54" s="295" t="str">
        <f>IF(E54="","",IF(AND(V54="Standard difficulty applied",O54&gt;P54),U54,IF(AND(V54="Low Difficulty - only applicable if all habitat created before losses ⚠",P54&gt;=O54),"Low",VLOOKUP(F54,'G-3 Multipliers'!$A$2:$E$134,4,FALSE))))</f>
        <v/>
      </c>
      <c r="X54" s="299" t="str">
        <f>IFERROR(IF(E54="","",VLOOKUP(W54,'G-3 Multipliers'!$P$2:$Q$6,2,FALSE)),"")</f>
        <v/>
      </c>
      <c r="Y54" s="393"/>
      <c r="Z54" s="510" t="str">
        <f>IF(Y54="","",IF(VLOOKUP(Y54,'G-3 Multipliers'!$S$3:$T$10,2,FALSE)=0,"Spatial Data Missing ⚠",VLOOKUP(Y54,'G-3 Multipliers'!$S$3:$T$10,2,FALSE)))</f>
        <v/>
      </c>
      <c r="AA54" s="926" t="str">
        <f t="shared" si="0"/>
        <v/>
      </c>
      <c r="AB54" s="928" t="str">
        <f t="shared" si="6"/>
        <v/>
      </c>
      <c r="AC54" s="105"/>
      <c r="AD54" s="138"/>
      <c r="AE54" s="233"/>
      <c r="AF54" s="138"/>
      <c r="AG54" s="934"/>
      <c r="AJ54" s="40" t="str">
        <f t="shared" si="1"/>
        <v/>
      </c>
    </row>
    <row r="55" spans="1:36" ht="14">
      <c r="A55" s="30" t="str">
        <f>IFERROR(INDEX('G-8 Condition Look up'!$I$4:$I$135,MATCH(F55,'G-8 Condition Look up'!$A$4:$A$135,0)),"")</f>
        <v/>
      </c>
      <c r="B55" s="225">
        <v>45</v>
      </c>
      <c r="C55" s="66" t="str">
        <f>IFERROR(INDEX('G-1 All Habitats'!$AG$25:$AG$41,MATCH(D55,'G-1 All Habitats'!AF$25:AF$41,0)),"")</f>
        <v/>
      </c>
      <c r="D55" s="105"/>
      <c r="E55" s="138"/>
      <c r="F55" s="158" t="str">
        <f>IFERROR(INDEX('G-1 All Habitats'!$B$3:$B$136,MATCH(E55,'G-1 All Habitats'!$A$3:$A$136,0)),"")</f>
        <v/>
      </c>
      <c r="G55" s="233"/>
      <c r="H55" s="311" t="str">
        <f>IF(F55="","",VLOOKUP(F55,'G-1 All Habitats'!$B$2:$M$135,10,FALSE))</f>
        <v/>
      </c>
      <c r="I55" s="299" t="str">
        <f>IFERROR(VLOOKUP(H55,'G-1 All Habitats'!$V$3:$W$7,2,FALSE),"")</f>
        <v/>
      </c>
      <c r="J55" s="136"/>
      <c r="K55" s="299" t="str">
        <f>IFERROR(INDEX('G-8 Condition Look up'!$A$3:$H$135,MATCH(F55,'G-8 Condition Look up'!$A$3:$A$135,0),MATCH(J55,'G-8 Condition Look up'!$A$3:$H$3,0)),"")</f>
        <v/>
      </c>
      <c r="L55" s="101"/>
      <c r="M55" s="314" t="str">
        <f>IF(L55="","",IF(VLOOKUP(L55,'G-3 Multipliers'!$L$3:$N$6,2,FALSE)=0,"Spatial Data Missing ⚠",VLOOKUP(L55,'G-3 Multipliers'!$L$3:$N$6,2,FALSE)))</f>
        <v/>
      </c>
      <c r="N55" s="276" t="str">
        <f>IF(L55="","",IF(VLOOKUP(L55,'G-3 Multipliers'!$L$3:$N$6,3,FALSE)=0,"Spatial Data Missing ⚠",VLOOKUP(L55,'G-3 Multipliers'!$L$3:$N$6,3,FALSE)))</f>
        <v/>
      </c>
      <c r="O55" s="275" t="str">
        <f t="shared" si="2"/>
        <v/>
      </c>
      <c r="P55" s="133"/>
      <c r="Q55" s="133"/>
      <c r="R55" s="295" t="str">
        <f t="shared" si="3"/>
        <v/>
      </c>
      <c r="S55" s="316" t="str">
        <f t="shared" si="4"/>
        <v/>
      </c>
      <c r="T55" s="300" t="str">
        <f>IFERROR(IF(S55="Check Data ⚠","Check Data ⚠",VLOOKUP(S55,'G-4 Temporal multipliers'!$A$4:$C$37,3,FALSE)),"")</f>
        <v/>
      </c>
      <c r="U55" s="298" t="str">
        <f>IF(F55="","",VLOOKUP(F55,'G-3 Multipliers'!$A$2:$E$134,2,FALSE))</f>
        <v/>
      </c>
      <c r="V55" s="295" t="str">
        <f t="shared" si="5"/>
        <v/>
      </c>
      <c r="W55" s="295" t="str">
        <f>IF(E55="","",IF(AND(V55="Standard difficulty applied",O55&gt;P55),U55,IF(AND(V55="Low Difficulty - only applicable if all habitat created before losses ⚠",P55&gt;=O55),"Low",VLOOKUP(F55,'G-3 Multipliers'!$A$2:$E$134,4,FALSE))))</f>
        <v/>
      </c>
      <c r="X55" s="299" t="str">
        <f>IFERROR(IF(E55="","",VLOOKUP(W55,'G-3 Multipliers'!$P$2:$Q$6,2,FALSE)),"")</f>
        <v/>
      </c>
      <c r="Y55" s="393"/>
      <c r="Z55" s="510" t="str">
        <f>IF(Y55="","",IF(VLOOKUP(Y55,'G-3 Multipliers'!$S$3:$T$10,2,FALSE)=0,"Spatial Data Missing ⚠",VLOOKUP(Y55,'G-3 Multipliers'!$S$3:$T$10,2,FALSE)))</f>
        <v/>
      </c>
      <c r="AA55" s="926" t="str">
        <f t="shared" si="0"/>
        <v/>
      </c>
      <c r="AB55" s="928" t="str">
        <f t="shared" si="6"/>
        <v/>
      </c>
      <c r="AC55" s="105"/>
      <c r="AD55" s="138"/>
      <c r="AE55" s="233"/>
      <c r="AF55" s="138"/>
      <c r="AG55" s="934"/>
      <c r="AJ55" s="40" t="str">
        <f t="shared" si="1"/>
        <v/>
      </c>
    </row>
    <row r="56" spans="1:36" ht="14">
      <c r="A56" s="30" t="str">
        <f>IFERROR(INDEX('G-8 Condition Look up'!$I$4:$I$135,MATCH(F56,'G-8 Condition Look up'!$A$4:$A$135,0)),"")</f>
        <v/>
      </c>
      <c r="B56" s="225">
        <v>46</v>
      </c>
      <c r="C56" s="66" t="str">
        <f>IFERROR(INDEX('G-1 All Habitats'!$AG$25:$AG$41,MATCH(D56,'G-1 All Habitats'!AF$25:AF$41,0)),"")</f>
        <v/>
      </c>
      <c r="D56" s="105"/>
      <c r="E56" s="138"/>
      <c r="F56" s="158" t="str">
        <f>IFERROR(INDEX('G-1 All Habitats'!$B$3:$B$136,MATCH(E56,'G-1 All Habitats'!$A$3:$A$136,0)),"")</f>
        <v/>
      </c>
      <c r="G56" s="233"/>
      <c r="H56" s="311" t="str">
        <f>IF(F56="","",VLOOKUP(F56,'G-1 All Habitats'!$B$2:$M$135,10,FALSE))</f>
        <v/>
      </c>
      <c r="I56" s="299" t="str">
        <f>IFERROR(VLOOKUP(H56,'G-1 All Habitats'!$V$3:$W$7,2,FALSE),"")</f>
        <v/>
      </c>
      <c r="J56" s="136"/>
      <c r="K56" s="299" t="str">
        <f>IFERROR(INDEX('G-8 Condition Look up'!$A$3:$H$135,MATCH(F56,'G-8 Condition Look up'!$A$3:$A$135,0),MATCH(J56,'G-8 Condition Look up'!$A$3:$H$3,0)),"")</f>
        <v/>
      </c>
      <c r="L56" s="101"/>
      <c r="M56" s="314" t="str">
        <f>IF(L56="","",IF(VLOOKUP(L56,'G-3 Multipliers'!$L$3:$N$6,2,FALSE)=0,"Spatial Data Missing ⚠",VLOOKUP(L56,'G-3 Multipliers'!$L$3:$N$6,2,FALSE)))</f>
        <v/>
      </c>
      <c r="N56" s="276" t="str">
        <f>IF(L56="","",IF(VLOOKUP(L56,'G-3 Multipliers'!$L$3:$N$6,3,FALSE)=0,"Spatial Data Missing ⚠",VLOOKUP(L56,'G-3 Multipliers'!$L$3:$N$6,3,FALSE)))</f>
        <v/>
      </c>
      <c r="O56" s="275" t="str">
        <f t="shared" si="2"/>
        <v/>
      </c>
      <c r="P56" s="133"/>
      <c r="Q56" s="133"/>
      <c r="R56" s="295" t="str">
        <f t="shared" si="3"/>
        <v/>
      </c>
      <c r="S56" s="316" t="str">
        <f t="shared" si="4"/>
        <v/>
      </c>
      <c r="T56" s="300" t="str">
        <f>IFERROR(IF(S56="Check Data ⚠","Check Data ⚠",VLOOKUP(S56,'G-4 Temporal multipliers'!$A$4:$C$37,3,FALSE)),"")</f>
        <v/>
      </c>
      <c r="U56" s="298" t="str">
        <f>IF(F56="","",VLOOKUP(F56,'G-3 Multipliers'!$A$2:$E$134,2,FALSE))</f>
        <v/>
      </c>
      <c r="V56" s="295" t="str">
        <f t="shared" si="5"/>
        <v/>
      </c>
      <c r="W56" s="295" t="str">
        <f>IF(E56="","",IF(AND(V56="Standard difficulty applied",O56&gt;P56),U56,IF(AND(V56="Low Difficulty - only applicable if all habitat created before losses ⚠",P56&gt;=O56),"Low",VLOOKUP(F56,'G-3 Multipliers'!$A$2:$E$134,4,FALSE))))</f>
        <v/>
      </c>
      <c r="X56" s="299" t="str">
        <f>IFERROR(IF(E56="","",VLOOKUP(W56,'G-3 Multipliers'!$P$2:$Q$6,2,FALSE)),"")</f>
        <v/>
      </c>
      <c r="Y56" s="393"/>
      <c r="Z56" s="510" t="str">
        <f>IF(Y56="","",IF(VLOOKUP(Y56,'G-3 Multipliers'!$S$3:$T$10,2,FALSE)=0,"Spatial Data Missing ⚠",VLOOKUP(Y56,'G-3 Multipliers'!$S$3:$T$10,2,FALSE)))</f>
        <v/>
      </c>
      <c r="AA56" s="926" t="str">
        <f t="shared" si="0"/>
        <v/>
      </c>
      <c r="AB56" s="928" t="str">
        <f t="shared" si="6"/>
        <v/>
      </c>
      <c r="AC56" s="105"/>
      <c r="AD56" s="138"/>
      <c r="AE56" s="233"/>
      <c r="AF56" s="138"/>
      <c r="AG56" s="934"/>
      <c r="AJ56" s="40" t="str">
        <f t="shared" si="1"/>
        <v/>
      </c>
    </row>
    <row r="57" spans="1:36" ht="14">
      <c r="A57" s="30" t="str">
        <f>IFERROR(INDEX('G-8 Condition Look up'!$I$4:$I$135,MATCH(F57,'G-8 Condition Look up'!$A$4:$A$135,0)),"")</f>
        <v/>
      </c>
      <c r="B57" s="225">
        <v>47</v>
      </c>
      <c r="C57" s="66" t="str">
        <f>IFERROR(INDEX('G-1 All Habitats'!$AG$25:$AG$41,MATCH(D57,'G-1 All Habitats'!AF$25:AF$41,0)),"")</f>
        <v/>
      </c>
      <c r="D57" s="105"/>
      <c r="E57" s="138"/>
      <c r="F57" s="158" t="str">
        <f>IFERROR(INDEX('G-1 All Habitats'!$B$3:$B$136,MATCH(E57,'G-1 All Habitats'!$A$3:$A$136,0)),"")</f>
        <v/>
      </c>
      <c r="G57" s="233"/>
      <c r="H57" s="311" t="str">
        <f>IF(F57="","",VLOOKUP(F57,'G-1 All Habitats'!$B$2:$M$135,10,FALSE))</f>
        <v/>
      </c>
      <c r="I57" s="299" t="str">
        <f>IFERROR(VLOOKUP(H57,'G-1 All Habitats'!$V$3:$W$7,2,FALSE),"")</f>
        <v/>
      </c>
      <c r="J57" s="136"/>
      <c r="K57" s="299" t="str">
        <f>IFERROR(INDEX('G-8 Condition Look up'!$A$3:$H$135,MATCH(F57,'G-8 Condition Look up'!$A$3:$A$135,0),MATCH(J57,'G-8 Condition Look up'!$A$3:$H$3,0)),"")</f>
        <v/>
      </c>
      <c r="L57" s="101"/>
      <c r="M57" s="314" t="str">
        <f>IF(L57="","",IF(VLOOKUP(L57,'G-3 Multipliers'!$L$3:$N$6,2,FALSE)=0,"Spatial Data Missing ⚠",VLOOKUP(L57,'G-3 Multipliers'!$L$3:$N$6,2,FALSE)))</f>
        <v/>
      </c>
      <c r="N57" s="276" t="str">
        <f>IF(L57="","",IF(VLOOKUP(L57,'G-3 Multipliers'!$L$3:$N$6,3,FALSE)=0,"Spatial Data Missing ⚠",VLOOKUP(L57,'G-3 Multipliers'!$L$3:$N$6,3,FALSE)))</f>
        <v/>
      </c>
      <c r="O57" s="275" t="str">
        <f t="shared" si="2"/>
        <v/>
      </c>
      <c r="P57" s="133"/>
      <c r="Q57" s="133"/>
      <c r="R57" s="295" t="str">
        <f t="shared" si="3"/>
        <v/>
      </c>
      <c r="S57" s="316" t="str">
        <f t="shared" si="4"/>
        <v/>
      </c>
      <c r="T57" s="300" t="str">
        <f>IFERROR(IF(S57="Check Data ⚠","Check Data ⚠",VLOOKUP(S57,'G-4 Temporal multipliers'!$A$4:$C$37,3,FALSE)),"")</f>
        <v/>
      </c>
      <c r="U57" s="298" t="str">
        <f>IF(F57="","",VLOOKUP(F57,'G-3 Multipliers'!$A$2:$E$134,2,FALSE))</f>
        <v/>
      </c>
      <c r="V57" s="295" t="str">
        <f t="shared" si="5"/>
        <v/>
      </c>
      <c r="W57" s="295" t="str">
        <f>IF(E57="","",IF(AND(V57="Standard difficulty applied",O57&gt;P57),U57,IF(AND(V57="Low Difficulty - only applicable if all habitat created before losses ⚠",P57&gt;=O57),"Low",VLOOKUP(F57,'G-3 Multipliers'!$A$2:$E$134,4,FALSE))))</f>
        <v/>
      </c>
      <c r="X57" s="299" t="str">
        <f>IFERROR(IF(E57="","",VLOOKUP(W57,'G-3 Multipliers'!$P$2:$Q$6,2,FALSE)),"")</f>
        <v/>
      </c>
      <c r="Y57" s="393"/>
      <c r="Z57" s="510" t="str">
        <f>IF(Y57="","",IF(VLOOKUP(Y57,'G-3 Multipliers'!$S$3:$T$10,2,FALSE)=0,"Spatial Data Missing ⚠",VLOOKUP(Y57,'G-3 Multipliers'!$S$3:$T$10,2,FALSE)))</f>
        <v/>
      </c>
      <c r="AA57" s="926" t="str">
        <f t="shared" si="0"/>
        <v/>
      </c>
      <c r="AB57" s="928" t="str">
        <f t="shared" si="6"/>
        <v/>
      </c>
      <c r="AC57" s="105"/>
      <c r="AD57" s="138"/>
      <c r="AE57" s="233"/>
      <c r="AF57" s="138"/>
      <c r="AG57" s="934"/>
      <c r="AJ57" s="40" t="str">
        <f t="shared" si="1"/>
        <v/>
      </c>
    </row>
    <row r="58" spans="1:36" ht="14">
      <c r="A58" s="30" t="str">
        <f>IFERROR(INDEX('G-8 Condition Look up'!$I$4:$I$135,MATCH(F58,'G-8 Condition Look up'!$A$4:$A$135,0)),"")</f>
        <v/>
      </c>
      <c r="B58" s="225">
        <v>48</v>
      </c>
      <c r="C58" s="66" t="str">
        <f>IFERROR(INDEX('G-1 All Habitats'!$AG$25:$AG$41,MATCH(D58,'G-1 All Habitats'!AF$25:AF$41,0)),"")</f>
        <v/>
      </c>
      <c r="D58" s="105"/>
      <c r="E58" s="138"/>
      <c r="F58" s="158" t="str">
        <f>IFERROR(INDEX('G-1 All Habitats'!$B$3:$B$136,MATCH(E58,'G-1 All Habitats'!$A$3:$A$136,0)),"")</f>
        <v/>
      </c>
      <c r="G58" s="233"/>
      <c r="H58" s="311" t="str">
        <f>IF(F58="","",VLOOKUP(F58,'G-1 All Habitats'!$B$2:$M$135,10,FALSE))</f>
        <v/>
      </c>
      <c r="I58" s="299" t="str">
        <f>IFERROR(VLOOKUP(H58,'G-1 All Habitats'!$V$3:$W$7,2,FALSE),"")</f>
        <v/>
      </c>
      <c r="J58" s="136"/>
      <c r="K58" s="299" t="str">
        <f>IFERROR(INDEX('G-8 Condition Look up'!$A$3:$H$135,MATCH(F58,'G-8 Condition Look up'!$A$3:$A$135,0),MATCH(J58,'G-8 Condition Look up'!$A$3:$H$3,0)),"")</f>
        <v/>
      </c>
      <c r="L58" s="101"/>
      <c r="M58" s="314" t="str">
        <f>IF(L58="","",IF(VLOOKUP(L58,'G-3 Multipliers'!$L$3:$N$6,2,FALSE)=0,"Spatial Data Missing ⚠",VLOOKUP(L58,'G-3 Multipliers'!$L$3:$N$6,2,FALSE)))</f>
        <v/>
      </c>
      <c r="N58" s="276" t="str">
        <f>IF(L58="","",IF(VLOOKUP(L58,'G-3 Multipliers'!$L$3:$N$6,3,FALSE)=0,"Spatial Data Missing ⚠",VLOOKUP(L58,'G-3 Multipliers'!$L$3:$N$6,3,FALSE)))</f>
        <v/>
      </c>
      <c r="O58" s="275" t="str">
        <f t="shared" si="2"/>
        <v/>
      </c>
      <c r="P58" s="133"/>
      <c r="Q58" s="133"/>
      <c r="R58" s="295" t="str">
        <f t="shared" si="3"/>
        <v/>
      </c>
      <c r="S58" s="316" t="str">
        <f t="shared" si="4"/>
        <v/>
      </c>
      <c r="T58" s="300" t="str">
        <f>IFERROR(IF(S58="Check Data ⚠","Check Data ⚠",VLOOKUP(S58,'G-4 Temporal multipliers'!$A$4:$C$37,3,FALSE)),"")</f>
        <v/>
      </c>
      <c r="U58" s="298" t="str">
        <f>IF(F58="","",VLOOKUP(F58,'G-3 Multipliers'!$A$2:$E$134,2,FALSE))</f>
        <v/>
      </c>
      <c r="V58" s="295" t="str">
        <f t="shared" si="5"/>
        <v/>
      </c>
      <c r="W58" s="295" t="str">
        <f>IF(E58="","",IF(AND(V58="Standard difficulty applied",O58&gt;P58),U58,IF(AND(V58="Low Difficulty - only applicable if all habitat created before losses ⚠",P58&gt;=O58),"Low",VLOOKUP(F58,'G-3 Multipliers'!$A$2:$E$134,4,FALSE))))</f>
        <v/>
      </c>
      <c r="X58" s="299" t="str">
        <f>IFERROR(IF(E58="","",VLOOKUP(W58,'G-3 Multipliers'!$P$2:$Q$6,2,FALSE)),"")</f>
        <v/>
      </c>
      <c r="Y58" s="393"/>
      <c r="Z58" s="510" t="str">
        <f>IF(Y58="","",IF(VLOOKUP(Y58,'G-3 Multipliers'!$S$3:$T$10,2,FALSE)=0,"Spatial Data Missing ⚠",VLOOKUP(Y58,'G-3 Multipliers'!$S$3:$T$10,2,FALSE)))</f>
        <v/>
      </c>
      <c r="AA58" s="926" t="str">
        <f t="shared" si="0"/>
        <v/>
      </c>
      <c r="AB58" s="928" t="str">
        <f t="shared" si="6"/>
        <v/>
      </c>
      <c r="AC58" s="105"/>
      <c r="AD58" s="138"/>
      <c r="AE58" s="233"/>
      <c r="AF58" s="138"/>
      <c r="AG58" s="934"/>
      <c r="AJ58" s="40" t="str">
        <f t="shared" si="1"/>
        <v/>
      </c>
    </row>
    <row r="59" spans="1:36" ht="14">
      <c r="A59" s="30" t="str">
        <f>IFERROR(INDEX('G-8 Condition Look up'!$I$4:$I$135,MATCH(F59,'G-8 Condition Look up'!$A$4:$A$135,0)),"")</f>
        <v/>
      </c>
      <c r="B59" s="225">
        <v>49</v>
      </c>
      <c r="C59" s="66" t="str">
        <f>IFERROR(INDEX('G-1 All Habitats'!$AG$25:$AG$41,MATCH(D59,'G-1 All Habitats'!AF$25:AF$41,0)),"")</f>
        <v/>
      </c>
      <c r="D59" s="105"/>
      <c r="E59" s="138"/>
      <c r="F59" s="158" t="str">
        <f>IFERROR(INDEX('G-1 All Habitats'!$B$3:$B$136,MATCH(E59,'G-1 All Habitats'!$A$3:$A$136,0)),"")</f>
        <v/>
      </c>
      <c r="G59" s="233"/>
      <c r="H59" s="311" t="str">
        <f>IF(F59="","",VLOOKUP(F59,'G-1 All Habitats'!$B$2:$M$135,10,FALSE))</f>
        <v/>
      </c>
      <c r="I59" s="299" t="str">
        <f>IFERROR(VLOOKUP(H59,'G-1 All Habitats'!$V$3:$W$7,2,FALSE),"")</f>
        <v/>
      </c>
      <c r="J59" s="136"/>
      <c r="K59" s="299" t="str">
        <f>IFERROR(INDEX('G-8 Condition Look up'!$A$3:$H$135,MATCH(F59,'G-8 Condition Look up'!$A$3:$A$135,0),MATCH(J59,'G-8 Condition Look up'!$A$3:$H$3,0)),"")</f>
        <v/>
      </c>
      <c r="L59" s="101"/>
      <c r="M59" s="314" t="str">
        <f>IF(L59="","",IF(VLOOKUP(L59,'G-3 Multipliers'!$L$3:$N$6,2,FALSE)=0,"Spatial Data Missing ⚠",VLOOKUP(L59,'G-3 Multipliers'!$L$3:$N$6,2,FALSE)))</f>
        <v/>
      </c>
      <c r="N59" s="276" t="str">
        <f>IF(L59="","",IF(VLOOKUP(L59,'G-3 Multipliers'!$L$3:$N$6,3,FALSE)=0,"Spatial Data Missing ⚠",VLOOKUP(L59,'G-3 Multipliers'!$L$3:$N$6,3,FALSE)))</f>
        <v/>
      </c>
      <c r="O59" s="275" t="str">
        <f t="shared" si="2"/>
        <v/>
      </c>
      <c r="P59" s="133"/>
      <c r="Q59" s="133"/>
      <c r="R59" s="295" t="str">
        <f t="shared" si="3"/>
        <v/>
      </c>
      <c r="S59" s="316" t="str">
        <f t="shared" si="4"/>
        <v/>
      </c>
      <c r="T59" s="300" t="str">
        <f>IFERROR(IF(S59="Check Data ⚠","Check Data ⚠",VLOOKUP(S59,'G-4 Temporal multipliers'!$A$4:$C$37,3,FALSE)),"")</f>
        <v/>
      </c>
      <c r="U59" s="298" t="str">
        <f>IF(F59="","",VLOOKUP(F59,'G-3 Multipliers'!$A$2:$E$134,2,FALSE))</f>
        <v/>
      </c>
      <c r="V59" s="295" t="str">
        <f t="shared" si="5"/>
        <v/>
      </c>
      <c r="W59" s="295" t="str">
        <f>IF(E59="","",IF(AND(V59="Standard difficulty applied",O59&gt;P59),U59,IF(AND(V59="Low Difficulty - only applicable if all habitat created before losses ⚠",P59&gt;=O59),"Low",VLOOKUP(F59,'G-3 Multipliers'!$A$2:$E$134,4,FALSE))))</f>
        <v/>
      </c>
      <c r="X59" s="299" t="str">
        <f>IFERROR(IF(E59="","",VLOOKUP(W59,'G-3 Multipliers'!$P$2:$Q$6,2,FALSE)),"")</f>
        <v/>
      </c>
      <c r="Y59" s="393"/>
      <c r="Z59" s="510" t="str">
        <f>IF(Y59="","",IF(VLOOKUP(Y59,'G-3 Multipliers'!$S$3:$T$10,2,FALSE)=0,"Spatial Data Missing ⚠",VLOOKUP(Y59,'G-3 Multipliers'!$S$3:$T$10,2,FALSE)))</f>
        <v/>
      </c>
      <c r="AA59" s="926" t="str">
        <f t="shared" si="0"/>
        <v/>
      </c>
      <c r="AB59" s="928" t="str">
        <f t="shared" si="6"/>
        <v/>
      </c>
      <c r="AC59" s="105"/>
      <c r="AD59" s="138"/>
      <c r="AE59" s="233"/>
      <c r="AF59" s="138"/>
      <c r="AG59" s="934"/>
      <c r="AJ59" s="40" t="str">
        <f t="shared" si="1"/>
        <v/>
      </c>
    </row>
    <row r="60" spans="1:36" ht="14">
      <c r="A60" s="30" t="str">
        <f>IFERROR(INDEX('G-8 Condition Look up'!$I$4:$I$135,MATCH(F60,'G-8 Condition Look up'!$A$4:$A$135,0)),"")</f>
        <v/>
      </c>
      <c r="B60" s="225">
        <v>50</v>
      </c>
      <c r="C60" s="66" t="str">
        <f>IFERROR(INDEX('G-1 All Habitats'!$AG$25:$AG$41,MATCH(D60,'G-1 All Habitats'!AF$25:AF$41,0)),"")</f>
        <v/>
      </c>
      <c r="D60" s="105"/>
      <c r="E60" s="138"/>
      <c r="F60" s="158" t="str">
        <f>IFERROR(INDEX('G-1 All Habitats'!$B$3:$B$136,MATCH(E60,'G-1 All Habitats'!$A$3:$A$136,0)),"")</f>
        <v/>
      </c>
      <c r="G60" s="233"/>
      <c r="H60" s="311" t="str">
        <f>IF(F60="","",VLOOKUP(F60,'G-1 All Habitats'!$B$2:$M$135,10,FALSE))</f>
        <v/>
      </c>
      <c r="I60" s="299" t="str">
        <f>IFERROR(VLOOKUP(H60,'G-1 All Habitats'!$V$3:$W$7,2,FALSE),"")</f>
        <v/>
      </c>
      <c r="J60" s="136"/>
      <c r="K60" s="299" t="str">
        <f>IFERROR(INDEX('G-8 Condition Look up'!$A$3:$H$135,MATCH(F60,'G-8 Condition Look up'!$A$3:$A$135,0),MATCH(J60,'G-8 Condition Look up'!$A$3:$H$3,0)),"")</f>
        <v/>
      </c>
      <c r="L60" s="101"/>
      <c r="M60" s="314" t="str">
        <f>IF(L60="","",IF(VLOOKUP(L60,'G-3 Multipliers'!$L$3:$N$6,2,FALSE)=0,"Spatial Data Missing ⚠",VLOOKUP(L60,'G-3 Multipliers'!$L$3:$N$6,2,FALSE)))</f>
        <v/>
      </c>
      <c r="N60" s="276" t="str">
        <f>IF(L60="","",IF(VLOOKUP(L60,'G-3 Multipliers'!$L$3:$N$6,3,FALSE)=0,"Spatial Data Missing ⚠",VLOOKUP(L60,'G-3 Multipliers'!$L$3:$N$6,3,FALSE)))</f>
        <v/>
      </c>
      <c r="O60" s="275" t="str">
        <f t="shared" si="2"/>
        <v/>
      </c>
      <c r="P60" s="133"/>
      <c r="Q60" s="133"/>
      <c r="R60" s="295" t="str">
        <f t="shared" si="3"/>
        <v/>
      </c>
      <c r="S60" s="316" t="str">
        <f t="shared" si="4"/>
        <v/>
      </c>
      <c r="T60" s="300" t="str">
        <f>IFERROR(IF(S60="Check Data ⚠","Check Data ⚠",VLOOKUP(S60,'G-4 Temporal multipliers'!$A$4:$C$37,3,FALSE)),"")</f>
        <v/>
      </c>
      <c r="U60" s="298" t="str">
        <f>IF(F60="","",VLOOKUP(F60,'G-3 Multipliers'!$A$2:$E$134,2,FALSE))</f>
        <v/>
      </c>
      <c r="V60" s="295" t="str">
        <f t="shared" si="5"/>
        <v/>
      </c>
      <c r="W60" s="295" t="str">
        <f>IF(E60="","",IF(AND(V60="Standard difficulty applied",O60&gt;P60),U60,IF(AND(V60="Low Difficulty - only applicable if all habitat created before losses ⚠",P60&gt;=O60),"Low",VLOOKUP(F60,'G-3 Multipliers'!$A$2:$E$134,4,FALSE))))</f>
        <v/>
      </c>
      <c r="X60" s="299" t="str">
        <f>IFERROR(IF(E60="","",VLOOKUP(W60,'G-3 Multipliers'!$P$2:$Q$6,2,FALSE)),"")</f>
        <v/>
      </c>
      <c r="Y60" s="393"/>
      <c r="Z60" s="510" t="str">
        <f>IF(Y60="","",IF(VLOOKUP(Y60,'G-3 Multipliers'!$S$3:$T$10,2,FALSE)=0,"Spatial Data Missing ⚠",VLOOKUP(Y60,'G-3 Multipliers'!$S$3:$T$10,2,FALSE)))</f>
        <v/>
      </c>
      <c r="AA60" s="926" t="str">
        <f t="shared" si="0"/>
        <v/>
      </c>
      <c r="AB60" s="928" t="str">
        <f t="shared" si="6"/>
        <v/>
      </c>
      <c r="AC60" s="105"/>
      <c r="AD60" s="138"/>
      <c r="AE60" s="233"/>
      <c r="AF60" s="138"/>
      <c r="AG60" s="934"/>
      <c r="AJ60" s="40" t="str">
        <f t="shared" si="1"/>
        <v/>
      </c>
    </row>
    <row r="61" spans="1:36" ht="14">
      <c r="A61" s="30" t="str">
        <f>IFERROR(INDEX('G-8 Condition Look up'!$I$4:$I$135,MATCH(F61,'G-8 Condition Look up'!$A$4:$A$135,0)),"")</f>
        <v/>
      </c>
      <c r="B61" s="225">
        <v>51</v>
      </c>
      <c r="C61" s="66" t="str">
        <f>IFERROR(INDEX('G-1 All Habitats'!$AG$25:$AG$41,MATCH(D61,'G-1 All Habitats'!AF$25:AF$41,0)),"")</f>
        <v/>
      </c>
      <c r="D61" s="105"/>
      <c r="E61" s="138"/>
      <c r="F61" s="158" t="str">
        <f>IFERROR(INDEX('G-1 All Habitats'!$B$3:$B$136,MATCH(E61,'G-1 All Habitats'!$A$3:$A$136,0)),"")</f>
        <v/>
      </c>
      <c r="G61" s="233"/>
      <c r="H61" s="311" t="str">
        <f>IF(F61="","",VLOOKUP(F61,'G-1 All Habitats'!$B$2:$M$135,10,FALSE))</f>
        <v/>
      </c>
      <c r="I61" s="299" t="str">
        <f>IFERROR(VLOOKUP(H61,'G-1 All Habitats'!$V$3:$W$7,2,FALSE),"")</f>
        <v/>
      </c>
      <c r="J61" s="136"/>
      <c r="K61" s="299" t="str">
        <f>IFERROR(INDEX('G-8 Condition Look up'!$A$3:$H$135,MATCH(F61,'G-8 Condition Look up'!$A$3:$A$135,0),MATCH(J61,'G-8 Condition Look up'!$A$3:$H$3,0)),"")</f>
        <v/>
      </c>
      <c r="L61" s="101"/>
      <c r="M61" s="314" t="str">
        <f>IF(L61="","",IF(VLOOKUP(L61,'G-3 Multipliers'!$L$3:$N$6,2,FALSE)=0,"Spatial Data Missing ⚠",VLOOKUP(L61,'G-3 Multipliers'!$L$3:$N$6,2,FALSE)))</f>
        <v/>
      </c>
      <c r="N61" s="276" t="str">
        <f>IF(L61="","",IF(VLOOKUP(L61,'G-3 Multipliers'!$L$3:$N$6,3,FALSE)=0,"Spatial Data Missing ⚠",VLOOKUP(L61,'G-3 Multipliers'!$L$3:$N$6,3,FALSE)))</f>
        <v/>
      </c>
      <c r="O61" s="275" t="str">
        <f t="shared" si="2"/>
        <v/>
      </c>
      <c r="P61" s="133"/>
      <c r="Q61" s="133"/>
      <c r="R61" s="295" t="str">
        <f t="shared" si="3"/>
        <v/>
      </c>
      <c r="S61" s="316" t="str">
        <f t="shared" si="4"/>
        <v/>
      </c>
      <c r="T61" s="300" t="str">
        <f>IFERROR(IF(S61="Check Data ⚠","Check Data ⚠",VLOOKUP(S61,'G-4 Temporal multipliers'!$A$4:$C$37,3,FALSE)),"")</f>
        <v/>
      </c>
      <c r="U61" s="298" t="str">
        <f>IF(F61="","",VLOOKUP(F61,'G-3 Multipliers'!$A$2:$E$134,2,FALSE))</f>
        <v/>
      </c>
      <c r="V61" s="295" t="str">
        <f t="shared" si="5"/>
        <v/>
      </c>
      <c r="W61" s="295" t="str">
        <f>IF(E61="","",IF(AND(V61="Standard difficulty applied",O61&gt;P61),U61,IF(AND(V61="Low Difficulty - only applicable if all habitat created before losses ⚠",P61&gt;=O61),"Low",VLOOKUP(F61,'G-3 Multipliers'!$A$2:$E$134,4,FALSE))))</f>
        <v/>
      </c>
      <c r="X61" s="299" t="str">
        <f>IFERROR(IF(E61="","",VLOOKUP(W61,'G-3 Multipliers'!$P$2:$Q$6,2,FALSE)),"")</f>
        <v/>
      </c>
      <c r="Y61" s="393"/>
      <c r="Z61" s="510" t="str">
        <f>IF(Y61="","",IF(VLOOKUP(Y61,'G-3 Multipliers'!$S$3:$T$10,2,FALSE)=0,"Spatial Data Missing ⚠",VLOOKUP(Y61,'G-3 Multipliers'!$S$3:$T$10,2,FALSE)))</f>
        <v/>
      </c>
      <c r="AA61" s="926" t="str">
        <f t="shared" si="0"/>
        <v/>
      </c>
      <c r="AB61" s="928" t="str">
        <f t="shared" si="6"/>
        <v/>
      </c>
      <c r="AC61" s="105"/>
      <c r="AD61" s="138"/>
      <c r="AE61" s="233"/>
      <c r="AF61" s="138"/>
      <c r="AG61" s="934"/>
      <c r="AJ61" s="40" t="str">
        <f t="shared" si="1"/>
        <v/>
      </c>
    </row>
    <row r="62" spans="1:36" ht="14">
      <c r="A62" s="30" t="str">
        <f>IFERROR(INDEX('G-8 Condition Look up'!$I$4:$I$135,MATCH(F62,'G-8 Condition Look up'!$A$4:$A$135,0)),"")</f>
        <v/>
      </c>
      <c r="B62" s="225">
        <v>52</v>
      </c>
      <c r="C62" s="66" t="str">
        <f>IFERROR(INDEX('G-1 All Habitats'!$AG$25:$AG$41,MATCH(D62,'G-1 All Habitats'!AF$25:AF$41,0)),"")</f>
        <v/>
      </c>
      <c r="D62" s="105"/>
      <c r="E62" s="138"/>
      <c r="F62" s="158" t="str">
        <f>IFERROR(INDEX('G-1 All Habitats'!$B$3:$B$136,MATCH(E62,'G-1 All Habitats'!$A$3:$A$136,0)),"")</f>
        <v/>
      </c>
      <c r="G62" s="233"/>
      <c r="H62" s="311" t="str">
        <f>IF(F62="","",VLOOKUP(F62,'G-1 All Habitats'!$B$2:$M$135,10,FALSE))</f>
        <v/>
      </c>
      <c r="I62" s="299" t="str">
        <f>IFERROR(VLOOKUP(H62,'G-1 All Habitats'!$V$3:$W$7,2,FALSE),"")</f>
        <v/>
      </c>
      <c r="J62" s="136"/>
      <c r="K62" s="299" t="str">
        <f>IFERROR(INDEX('G-8 Condition Look up'!$A$3:$H$135,MATCH(F62,'G-8 Condition Look up'!$A$3:$A$135,0),MATCH(J62,'G-8 Condition Look up'!$A$3:$H$3,0)),"")</f>
        <v/>
      </c>
      <c r="L62" s="101"/>
      <c r="M62" s="314" t="str">
        <f>IF(L62="","",IF(VLOOKUP(L62,'G-3 Multipliers'!$L$3:$N$6,2,FALSE)=0,"Spatial Data Missing ⚠",VLOOKUP(L62,'G-3 Multipliers'!$L$3:$N$6,2,FALSE)))</f>
        <v/>
      </c>
      <c r="N62" s="276" t="str">
        <f>IF(L62="","",IF(VLOOKUP(L62,'G-3 Multipliers'!$L$3:$N$6,3,FALSE)=0,"Spatial Data Missing ⚠",VLOOKUP(L62,'G-3 Multipliers'!$L$3:$N$6,3,FALSE)))</f>
        <v/>
      </c>
      <c r="O62" s="275" t="str">
        <f t="shared" si="2"/>
        <v/>
      </c>
      <c r="P62" s="133"/>
      <c r="Q62" s="133"/>
      <c r="R62" s="295" t="str">
        <f t="shared" si="3"/>
        <v/>
      </c>
      <c r="S62" s="316" t="str">
        <f t="shared" si="4"/>
        <v/>
      </c>
      <c r="T62" s="300" t="str">
        <f>IFERROR(IF(S62="Check Data ⚠","Check Data ⚠",VLOOKUP(S62,'G-4 Temporal multipliers'!$A$4:$C$37,3,FALSE)),"")</f>
        <v/>
      </c>
      <c r="U62" s="298" t="str">
        <f>IF(F62="","",VLOOKUP(F62,'G-3 Multipliers'!$A$2:$E$134,2,FALSE))</f>
        <v/>
      </c>
      <c r="V62" s="295" t="str">
        <f t="shared" si="5"/>
        <v/>
      </c>
      <c r="W62" s="295" t="str">
        <f>IF(E62="","",IF(AND(V62="Standard difficulty applied",O62&gt;P62),U62,IF(AND(V62="Low Difficulty - only applicable if all habitat created before losses ⚠",P62&gt;=O62),"Low",VLOOKUP(F62,'G-3 Multipliers'!$A$2:$E$134,4,FALSE))))</f>
        <v/>
      </c>
      <c r="X62" s="299" t="str">
        <f>IFERROR(IF(E62="","",VLOOKUP(W62,'G-3 Multipliers'!$P$2:$Q$6,2,FALSE)),"")</f>
        <v/>
      </c>
      <c r="Y62" s="393"/>
      <c r="Z62" s="510" t="str">
        <f>IF(Y62="","",IF(VLOOKUP(Y62,'G-3 Multipliers'!$S$3:$T$10,2,FALSE)=0,"Spatial Data Missing ⚠",VLOOKUP(Y62,'G-3 Multipliers'!$S$3:$T$10,2,FALSE)))</f>
        <v/>
      </c>
      <c r="AA62" s="926" t="str">
        <f t="shared" si="0"/>
        <v/>
      </c>
      <c r="AB62" s="928" t="str">
        <f t="shared" si="6"/>
        <v/>
      </c>
      <c r="AC62" s="105"/>
      <c r="AD62" s="138"/>
      <c r="AE62" s="233"/>
      <c r="AF62" s="138"/>
      <c r="AG62" s="934"/>
      <c r="AJ62" s="40" t="str">
        <f t="shared" si="1"/>
        <v/>
      </c>
    </row>
    <row r="63" spans="1:36" ht="14">
      <c r="A63" s="30" t="str">
        <f>IFERROR(INDEX('G-8 Condition Look up'!$I$4:$I$135,MATCH(F63,'G-8 Condition Look up'!$A$4:$A$135,0)),"")</f>
        <v/>
      </c>
      <c r="B63" s="225">
        <v>53</v>
      </c>
      <c r="C63" s="66" t="str">
        <f>IFERROR(INDEX('G-1 All Habitats'!$AG$25:$AG$41,MATCH(D63,'G-1 All Habitats'!AF$25:AF$41,0)),"")</f>
        <v/>
      </c>
      <c r="D63" s="105"/>
      <c r="E63" s="138"/>
      <c r="F63" s="158" t="str">
        <f>IFERROR(INDEX('G-1 All Habitats'!$B$3:$B$136,MATCH(E63,'G-1 All Habitats'!$A$3:$A$136,0)),"")</f>
        <v/>
      </c>
      <c r="G63" s="233"/>
      <c r="H63" s="311" t="str">
        <f>IF(F63="","",VLOOKUP(F63,'G-1 All Habitats'!$B$2:$M$135,10,FALSE))</f>
        <v/>
      </c>
      <c r="I63" s="299" t="str">
        <f>IFERROR(VLOOKUP(H63,'G-1 All Habitats'!$V$3:$W$7,2,FALSE),"")</f>
        <v/>
      </c>
      <c r="J63" s="136"/>
      <c r="K63" s="299" t="str">
        <f>IFERROR(INDEX('G-8 Condition Look up'!$A$3:$H$135,MATCH(F63,'G-8 Condition Look up'!$A$3:$A$135,0),MATCH(J63,'G-8 Condition Look up'!$A$3:$H$3,0)),"")</f>
        <v/>
      </c>
      <c r="L63" s="101"/>
      <c r="M63" s="314" t="str">
        <f>IF(L63="","",IF(VLOOKUP(L63,'G-3 Multipliers'!$L$3:$N$6,2,FALSE)=0,"Spatial Data Missing ⚠",VLOOKUP(L63,'G-3 Multipliers'!$L$3:$N$6,2,FALSE)))</f>
        <v/>
      </c>
      <c r="N63" s="276" t="str">
        <f>IF(L63="","",IF(VLOOKUP(L63,'G-3 Multipliers'!$L$3:$N$6,3,FALSE)=0,"Spatial Data Missing ⚠",VLOOKUP(L63,'G-3 Multipliers'!$L$3:$N$6,3,FALSE)))</f>
        <v/>
      </c>
      <c r="O63" s="275" t="str">
        <f t="shared" si="2"/>
        <v/>
      </c>
      <c r="P63" s="133"/>
      <c r="Q63" s="133"/>
      <c r="R63" s="295" t="str">
        <f t="shared" si="3"/>
        <v/>
      </c>
      <c r="S63" s="316" t="str">
        <f t="shared" si="4"/>
        <v/>
      </c>
      <c r="T63" s="300" t="str">
        <f>IFERROR(IF(S63="Check Data ⚠","Check Data ⚠",VLOOKUP(S63,'G-4 Temporal multipliers'!$A$4:$C$37,3,FALSE)),"")</f>
        <v/>
      </c>
      <c r="U63" s="298" t="str">
        <f>IF(F63="","",VLOOKUP(F63,'G-3 Multipliers'!$A$2:$E$134,2,FALSE))</f>
        <v/>
      </c>
      <c r="V63" s="295" t="str">
        <f t="shared" si="5"/>
        <v/>
      </c>
      <c r="W63" s="295" t="str">
        <f>IF(E63="","",IF(AND(V63="Standard difficulty applied",O63&gt;P63),U63,IF(AND(V63="Low Difficulty - only applicable if all habitat created before losses ⚠",P63&gt;=O63),"Low",VLOOKUP(F63,'G-3 Multipliers'!$A$2:$E$134,4,FALSE))))</f>
        <v/>
      </c>
      <c r="X63" s="299" t="str">
        <f>IFERROR(IF(E63="","",VLOOKUP(W63,'G-3 Multipliers'!$P$2:$Q$6,2,FALSE)),"")</f>
        <v/>
      </c>
      <c r="Y63" s="393"/>
      <c r="Z63" s="510" t="str">
        <f>IF(Y63="","",IF(VLOOKUP(Y63,'G-3 Multipliers'!$S$3:$T$10,2,FALSE)=0,"Spatial Data Missing ⚠",VLOOKUP(Y63,'G-3 Multipliers'!$S$3:$T$10,2,FALSE)))</f>
        <v/>
      </c>
      <c r="AA63" s="926" t="str">
        <f t="shared" si="0"/>
        <v/>
      </c>
      <c r="AB63" s="928" t="str">
        <f t="shared" si="6"/>
        <v/>
      </c>
      <c r="AC63" s="105"/>
      <c r="AD63" s="138"/>
      <c r="AE63" s="233"/>
      <c r="AF63" s="138"/>
      <c r="AG63" s="934"/>
      <c r="AJ63" s="40" t="str">
        <f t="shared" si="1"/>
        <v/>
      </c>
    </row>
    <row r="64" spans="1:36" ht="14">
      <c r="A64" s="30" t="str">
        <f>IFERROR(INDEX('G-8 Condition Look up'!$I$4:$I$135,MATCH(F64,'G-8 Condition Look up'!$A$4:$A$135,0)),"")</f>
        <v/>
      </c>
      <c r="B64" s="225">
        <v>54</v>
      </c>
      <c r="C64" s="66" t="str">
        <f>IFERROR(INDEX('G-1 All Habitats'!$AG$25:$AG$41,MATCH(D64,'G-1 All Habitats'!AF$25:AF$41,0)),"")</f>
        <v/>
      </c>
      <c r="D64" s="105"/>
      <c r="E64" s="138"/>
      <c r="F64" s="158" t="str">
        <f>IFERROR(INDEX('G-1 All Habitats'!$B$3:$B$136,MATCH(E64,'G-1 All Habitats'!$A$3:$A$136,0)),"")</f>
        <v/>
      </c>
      <c r="G64" s="233"/>
      <c r="H64" s="311" t="str">
        <f>IF(F64="","",VLOOKUP(F64,'G-1 All Habitats'!$B$2:$M$135,10,FALSE))</f>
        <v/>
      </c>
      <c r="I64" s="299" t="str">
        <f>IFERROR(VLOOKUP(H64,'G-1 All Habitats'!$V$3:$W$7,2,FALSE),"")</f>
        <v/>
      </c>
      <c r="J64" s="136"/>
      <c r="K64" s="299" t="str">
        <f>IFERROR(INDEX('G-8 Condition Look up'!$A$3:$H$135,MATCH(F64,'G-8 Condition Look up'!$A$3:$A$135,0),MATCH(J64,'G-8 Condition Look up'!$A$3:$H$3,0)),"")</f>
        <v/>
      </c>
      <c r="L64" s="101"/>
      <c r="M64" s="314" t="str">
        <f>IF(L64="","",IF(VLOOKUP(L64,'G-3 Multipliers'!$L$3:$N$6,2,FALSE)=0,"Spatial Data Missing ⚠",VLOOKUP(L64,'G-3 Multipliers'!$L$3:$N$6,2,FALSE)))</f>
        <v/>
      </c>
      <c r="N64" s="276" t="str">
        <f>IF(L64="","",IF(VLOOKUP(L64,'G-3 Multipliers'!$L$3:$N$6,3,FALSE)=0,"Spatial Data Missing ⚠",VLOOKUP(L64,'G-3 Multipliers'!$L$3:$N$6,3,FALSE)))</f>
        <v/>
      </c>
      <c r="O64" s="275" t="str">
        <f t="shared" si="2"/>
        <v/>
      </c>
      <c r="P64" s="133"/>
      <c r="Q64" s="133"/>
      <c r="R64" s="295" t="str">
        <f t="shared" si="3"/>
        <v/>
      </c>
      <c r="S64" s="316" t="str">
        <f t="shared" si="4"/>
        <v/>
      </c>
      <c r="T64" s="300" t="str">
        <f>IFERROR(IF(S64="Check Data ⚠","Check Data ⚠",VLOOKUP(S64,'G-4 Temporal multipliers'!$A$4:$C$37,3,FALSE)),"")</f>
        <v/>
      </c>
      <c r="U64" s="298" t="str">
        <f>IF(F64="","",VLOOKUP(F64,'G-3 Multipliers'!$A$2:$E$134,2,FALSE))</f>
        <v/>
      </c>
      <c r="V64" s="295" t="str">
        <f t="shared" si="5"/>
        <v/>
      </c>
      <c r="W64" s="295" t="str">
        <f>IF(E64="","",IF(AND(V64="Standard difficulty applied",O64&gt;P64),U64,IF(AND(V64="Low Difficulty - only applicable if all habitat created before losses ⚠",P64&gt;=O64),"Low",VLOOKUP(F64,'G-3 Multipliers'!$A$2:$E$134,4,FALSE))))</f>
        <v/>
      </c>
      <c r="X64" s="299" t="str">
        <f>IFERROR(IF(E64="","",VLOOKUP(W64,'G-3 Multipliers'!$P$2:$Q$6,2,FALSE)),"")</f>
        <v/>
      </c>
      <c r="Y64" s="393"/>
      <c r="Z64" s="510" t="str">
        <f>IF(Y64="","",IF(VLOOKUP(Y64,'G-3 Multipliers'!$S$3:$T$10,2,FALSE)=0,"Spatial Data Missing ⚠",VLOOKUP(Y64,'G-3 Multipliers'!$S$3:$T$10,2,FALSE)))</f>
        <v/>
      </c>
      <c r="AA64" s="926" t="str">
        <f t="shared" si="0"/>
        <v/>
      </c>
      <c r="AB64" s="928" t="str">
        <f t="shared" si="6"/>
        <v/>
      </c>
      <c r="AC64" s="105"/>
      <c r="AD64" s="138"/>
      <c r="AE64" s="233"/>
      <c r="AF64" s="138"/>
      <c r="AG64" s="934"/>
      <c r="AJ64" s="40" t="str">
        <f t="shared" si="1"/>
        <v/>
      </c>
    </row>
    <row r="65" spans="1:36" ht="14">
      <c r="A65" s="30" t="str">
        <f>IFERROR(INDEX('G-8 Condition Look up'!$I$4:$I$135,MATCH(F65,'G-8 Condition Look up'!$A$4:$A$135,0)),"")</f>
        <v/>
      </c>
      <c r="B65" s="225">
        <v>55</v>
      </c>
      <c r="C65" s="66" t="str">
        <f>IFERROR(INDEX('G-1 All Habitats'!$AG$25:$AG$41,MATCH(D65,'G-1 All Habitats'!AF$25:AF$41,0)),"")</f>
        <v/>
      </c>
      <c r="D65" s="105"/>
      <c r="E65" s="138"/>
      <c r="F65" s="158" t="str">
        <f>IFERROR(INDEX('G-1 All Habitats'!$B$3:$B$136,MATCH(E65,'G-1 All Habitats'!$A$3:$A$136,0)),"")</f>
        <v/>
      </c>
      <c r="G65" s="233"/>
      <c r="H65" s="311" t="str">
        <f>IF(F65="","",VLOOKUP(F65,'G-1 All Habitats'!$B$2:$M$135,10,FALSE))</f>
        <v/>
      </c>
      <c r="I65" s="299" t="str">
        <f>IFERROR(VLOOKUP(H65,'G-1 All Habitats'!$V$3:$W$7,2,FALSE),"")</f>
        <v/>
      </c>
      <c r="J65" s="136"/>
      <c r="K65" s="299" t="str">
        <f>IFERROR(INDEX('G-8 Condition Look up'!$A$3:$H$135,MATCH(F65,'G-8 Condition Look up'!$A$3:$A$135,0),MATCH(J65,'G-8 Condition Look up'!$A$3:$H$3,0)),"")</f>
        <v/>
      </c>
      <c r="L65" s="101"/>
      <c r="M65" s="314" t="str">
        <f>IF(L65="","",IF(VLOOKUP(L65,'G-3 Multipliers'!$L$3:$N$6,2,FALSE)=0,"Spatial Data Missing ⚠",VLOOKUP(L65,'G-3 Multipliers'!$L$3:$N$6,2,FALSE)))</f>
        <v/>
      </c>
      <c r="N65" s="276" t="str">
        <f>IF(L65="","",IF(VLOOKUP(L65,'G-3 Multipliers'!$L$3:$N$6,3,FALSE)=0,"Spatial Data Missing ⚠",VLOOKUP(L65,'G-3 Multipliers'!$L$3:$N$6,3,FALSE)))</f>
        <v/>
      </c>
      <c r="O65" s="275" t="str">
        <f t="shared" si="2"/>
        <v/>
      </c>
      <c r="P65" s="133"/>
      <c r="Q65" s="133"/>
      <c r="R65" s="295" t="str">
        <f t="shared" si="3"/>
        <v/>
      </c>
      <c r="S65" s="316" t="str">
        <f t="shared" si="4"/>
        <v/>
      </c>
      <c r="T65" s="300" t="str">
        <f>IFERROR(IF(S65="Check Data ⚠","Check Data ⚠",VLOOKUP(S65,'G-4 Temporal multipliers'!$A$4:$C$37,3,FALSE)),"")</f>
        <v/>
      </c>
      <c r="U65" s="298" t="str">
        <f>IF(F65="","",VLOOKUP(F65,'G-3 Multipliers'!$A$2:$E$134,2,FALSE))</f>
        <v/>
      </c>
      <c r="V65" s="295" t="str">
        <f t="shared" si="5"/>
        <v/>
      </c>
      <c r="W65" s="295" t="str">
        <f>IF(E65="","",IF(AND(V65="Standard difficulty applied",O65&gt;P65),U65,IF(AND(V65="Low Difficulty - only applicable if all habitat created before losses ⚠",P65&gt;=O65),"Low",VLOOKUP(F65,'G-3 Multipliers'!$A$2:$E$134,4,FALSE))))</f>
        <v/>
      </c>
      <c r="X65" s="299" t="str">
        <f>IFERROR(IF(E65="","",VLOOKUP(W65,'G-3 Multipliers'!$P$2:$Q$6,2,FALSE)),"")</f>
        <v/>
      </c>
      <c r="Y65" s="393"/>
      <c r="Z65" s="510" t="str">
        <f>IF(Y65="","",IF(VLOOKUP(Y65,'G-3 Multipliers'!$S$3:$T$10,2,FALSE)=0,"Spatial Data Missing ⚠",VLOOKUP(Y65,'G-3 Multipliers'!$S$3:$T$10,2,FALSE)))</f>
        <v/>
      </c>
      <c r="AA65" s="926" t="str">
        <f t="shared" si="0"/>
        <v/>
      </c>
      <c r="AB65" s="928" t="str">
        <f t="shared" si="6"/>
        <v/>
      </c>
      <c r="AC65" s="105"/>
      <c r="AD65" s="138"/>
      <c r="AE65" s="233"/>
      <c r="AF65" s="138"/>
      <c r="AG65" s="934"/>
      <c r="AJ65" s="40" t="str">
        <f t="shared" si="1"/>
        <v/>
      </c>
    </row>
    <row r="66" spans="1:36" ht="14">
      <c r="A66" s="30" t="str">
        <f>IFERROR(INDEX('G-8 Condition Look up'!$I$4:$I$135,MATCH(F66,'G-8 Condition Look up'!$A$4:$A$135,0)),"")</f>
        <v/>
      </c>
      <c r="B66" s="225">
        <v>56</v>
      </c>
      <c r="C66" s="66" t="str">
        <f>IFERROR(INDEX('G-1 All Habitats'!$AG$25:$AG$41,MATCH(D66,'G-1 All Habitats'!AF$25:AF$41,0)),"")</f>
        <v/>
      </c>
      <c r="D66" s="105"/>
      <c r="E66" s="138"/>
      <c r="F66" s="158" t="str">
        <f>IFERROR(INDEX('G-1 All Habitats'!$B$3:$B$136,MATCH(E66,'G-1 All Habitats'!$A$3:$A$136,0)),"")</f>
        <v/>
      </c>
      <c r="G66" s="233"/>
      <c r="H66" s="311" t="str">
        <f>IF(F66="","",VLOOKUP(F66,'G-1 All Habitats'!$B$2:$M$135,10,FALSE))</f>
        <v/>
      </c>
      <c r="I66" s="299" t="str">
        <f>IFERROR(VLOOKUP(H66,'G-1 All Habitats'!$V$3:$W$7,2,FALSE),"")</f>
        <v/>
      </c>
      <c r="J66" s="136"/>
      <c r="K66" s="299" t="str">
        <f>IFERROR(INDEX('G-8 Condition Look up'!$A$3:$H$135,MATCH(F66,'G-8 Condition Look up'!$A$3:$A$135,0),MATCH(J66,'G-8 Condition Look up'!$A$3:$H$3,0)),"")</f>
        <v/>
      </c>
      <c r="L66" s="101"/>
      <c r="M66" s="314" t="str">
        <f>IF(L66="","",IF(VLOOKUP(L66,'G-3 Multipliers'!$L$3:$N$6,2,FALSE)=0,"Spatial Data Missing ⚠",VLOOKUP(L66,'G-3 Multipliers'!$L$3:$N$6,2,FALSE)))</f>
        <v/>
      </c>
      <c r="N66" s="276" t="str">
        <f>IF(L66="","",IF(VLOOKUP(L66,'G-3 Multipliers'!$L$3:$N$6,3,FALSE)=0,"Spatial Data Missing ⚠",VLOOKUP(L66,'G-3 Multipliers'!$L$3:$N$6,3,FALSE)))</f>
        <v/>
      </c>
      <c r="O66" s="275" t="str">
        <f t="shared" si="2"/>
        <v/>
      </c>
      <c r="P66" s="133"/>
      <c r="Q66" s="133"/>
      <c r="R66" s="295" t="str">
        <f t="shared" si="3"/>
        <v/>
      </c>
      <c r="S66" s="316" t="str">
        <f t="shared" si="4"/>
        <v/>
      </c>
      <c r="T66" s="300" t="str">
        <f>IFERROR(IF(S66="Check Data ⚠","Check Data ⚠",VLOOKUP(S66,'G-4 Temporal multipliers'!$A$4:$C$37,3,FALSE)),"")</f>
        <v/>
      </c>
      <c r="U66" s="298" t="str">
        <f>IF(F66="","",VLOOKUP(F66,'G-3 Multipliers'!$A$2:$E$134,2,FALSE))</f>
        <v/>
      </c>
      <c r="V66" s="295" t="str">
        <f t="shared" si="5"/>
        <v/>
      </c>
      <c r="W66" s="295" t="str">
        <f>IF(E66="","",IF(AND(V66="Standard difficulty applied",O66&gt;P66),U66,IF(AND(V66="Low Difficulty - only applicable if all habitat created before losses ⚠",P66&gt;=O66),"Low",VLOOKUP(F66,'G-3 Multipliers'!$A$2:$E$134,4,FALSE))))</f>
        <v/>
      </c>
      <c r="X66" s="299" t="str">
        <f>IFERROR(IF(E66="","",VLOOKUP(W66,'G-3 Multipliers'!$P$2:$Q$6,2,FALSE)),"")</f>
        <v/>
      </c>
      <c r="Y66" s="393"/>
      <c r="Z66" s="510" t="str">
        <f>IF(Y66="","",IF(VLOOKUP(Y66,'G-3 Multipliers'!$S$3:$T$10,2,FALSE)=0,"Spatial Data Missing ⚠",VLOOKUP(Y66,'G-3 Multipliers'!$S$3:$T$10,2,FALSE)))</f>
        <v/>
      </c>
      <c r="AA66" s="926" t="str">
        <f t="shared" si="0"/>
        <v/>
      </c>
      <c r="AB66" s="928" t="str">
        <f t="shared" si="6"/>
        <v/>
      </c>
      <c r="AC66" s="105"/>
      <c r="AD66" s="138"/>
      <c r="AE66" s="233"/>
      <c r="AF66" s="138"/>
      <c r="AG66" s="934"/>
      <c r="AJ66" s="40" t="str">
        <f t="shared" si="1"/>
        <v/>
      </c>
    </row>
    <row r="67" spans="1:36" ht="14">
      <c r="A67" s="30" t="str">
        <f>IFERROR(INDEX('G-8 Condition Look up'!$I$4:$I$135,MATCH(F67,'G-8 Condition Look up'!$A$4:$A$135,0)),"")</f>
        <v/>
      </c>
      <c r="B67" s="225">
        <v>57</v>
      </c>
      <c r="C67" s="66" t="str">
        <f>IFERROR(INDEX('G-1 All Habitats'!$AG$25:$AG$41,MATCH(D67,'G-1 All Habitats'!AF$25:AF$41,0)),"")</f>
        <v/>
      </c>
      <c r="D67" s="105"/>
      <c r="E67" s="138"/>
      <c r="F67" s="158" t="str">
        <f>IFERROR(INDEX('G-1 All Habitats'!$B$3:$B$136,MATCH(E67,'G-1 All Habitats'!$A$3:$A$136,0)),"")</f>
        <v/>
      </c>
      <c r="G67" s="233"/>
      <c r="H67" s="311" t="str">
        <f>IF(F67="","",VLOOKUP(F67,'G-1 All Habitats'!$B$2:$M$135,10,FALSE))</f>
        <v/>
      </c>
      <c r="I67" s="299" t="str">
        <f>IFERROR(VLOOKUP(H67,'G-1 All Habitats'!$V$3:$W$7,2,FALSE),"")</f>
        <v/>
      </c>
      <c r="J67" s="136"/>
      <c r="K67" s="299" t="str">
        <f>IFERROR(INDEX('G-8 Condition Look up'!$A$3:$H$135,MATCH(F67,'G-8 Condition Look up'!$A$3:$A$135,0),MATCH(J67,'G-8 Condition Look up'!$A$3:$H$3,0)),"")</f>
        <v/>
      </c>
      <c r="L67" s="101"/>
      <c r="M67" s="314" t="str">
        <f>IF(L67="","",IF(VLOOKUP(L67,'G-3 Multipliers'!$L$3:$N$6,2,FALSE)=0,"Spatial Data Missing ⚠",VLOOKUP(L67,'G-3 Multipliers'!$L$3:$N$6,2,FALSE)))</f>
        <v/>
      </c>
      <c r="N67" s="276" t="str">
        <f>IF(L67="","",IF(VLOOKUP(L67,'G-3 Multipliers'!$L$3:$N$6,3,FALSE)=0,"Spatial Data Missing ⚠",VLOOKUP(L67,'G-3 Multipliers'!$L$3:$N$6,3,FALSE)))</f>
        <v/>
      </c>
      <c r="O67" s="275" t="str">
        <f t="shared" si="2"/>
        <v/>
      </c>
      <c r="P67" s="133"/>
      <c r="Q67" s="133"/>
      <c r="R67" s="295" t="str">
        <f t="shared" si="3"/>
        <v/>
      </c>
      <c r="S67" s="316" t="str">
        <f t="shared" si="4"/>
        <v/>
      </c>
      <c r="T67" s="300" t="str">
        <f>IFERROR(IF(S67="Check Data ⚠","Check Data ⚠",VLOOKUP(S67,'G-4 Temporal multipliers'!$A$4:$C$37,3,FALSE)),"")</f>
        <v/>
      </c>
      <c r="U67" s="298" t="str">
        <f>IF(F67="","",VLOOKUP(F67,'G-3 Multipliers'!$A$2:$E$134,2,FALSE))</f>
        <v/>
      </c>
      <c r="V67" s="295" t="str">
        <f t="shared" si="5"/>
        <v/>
      </c>
      <c r="W67" s="295" t="str">
        <f>IF(E67="","",IF(AND(V67="Standard difficulty applied",O67&gt;P67),U67,IF(AND(V67="Low Difficulty - only applicable if all habitat created before losses ⚠",P67&gt;=O67),"Low",VLOOKUP(F67,'G-3 Multipliers'!$A$2:$E$134,4,FALSE))))</f>
        <v/>
      </c>
      <c r="X67" s="299" t="str">
        <f>IFERROR(IF(E67="","",VLOOKUP(W67,'G-3 Multipliers'!$P$2:$Q$6,2,FALSE)),"")</f>
        <v/>
      </c>
      <c r="Y67" s="393"/>
      <c r="Z67" s="510" t="str">
        <f>IF(Y67="","",IF(VLOOKUP(Y67,'G-3 Multipliers'!$S$3:$T$10,2,FALSE)=0,"Spatial Data Missing ⚠",VLOOKUP(Y67,'G-3 Multipliers'!$S$3:$T$10,2,FALSE)))</f>
        <v/>
      </c>
      <c r="AA67" s="926" t="str">
        <f t="shared" si="0"/>
        <v/>
      </c>
      <c r="AB67" s="928" t="str">
        <f t="shared" si="6"/>
        <v/>
      </c>
      <c r="AC67" s="105"/>
      <c r="AD67" s="138"/>
      <c r="AE67" s="233"/>
      <c r="AF67" s="138"/>
      <c r="AG67" s="934"/>
      <c r="AJ67" s="40" t="str">
        <f t="shared" si="1"/>
        <v/>
      </c>
    </row>
    <row r="68" spans="1:36" ht="14">
      <c r="A68" s="30" t="str">
        <f>IFERROR(INDEX('G-8 Condition Look up'!$I$4:$I$135,MATCH(F68,'G-8 Condition Look up'!$A$4:$A$135,0)),"")</f>
        <v/>
      </c>
      <c r="B68" s="225">
        <v>58</v>
      </c>
      <c r="C68" s="66" t="str">
        <f>IFERROR(INDEX('G-1 All Habitats'!$AG$25:$AG$41,MATCH(D68,'G-1 All Habitats'!AF$25:AF$41,0)),"")</f>
        <v/>
      </c>
      <c r="D68" s="105"/>
      <c r="E68" s="138"/>
      <c r="F68" s="158" t="str">
        <f>IFERROR(INDEX('G-1 All Habitats'!$B$3:$B$136,MATCH(E68,'G-1 All Habitats'!$A$3:$A$136,0)),"")</f>
        <v/>
      </c>
      <c r="G68" s="233"/>
      <c r="H68" s="311" t="str">
        <f>IF(F68="","",VLOOKUP(F68,'G-1 All Habitats'!$B$2:$M$135,10,FALSE))</f>
        <v/>
      </c>
      <c r="I68" s="299" t="str">
        <f>IFERROR(VLOOKUP(H68,'G-1 All Habitats'!$V$3:$W$7,2,FALSE),"")</f>
        <v/>
      </c>
      <c r="J68" s="136"/>
      <c r="K68" s="299" t="str">
        <f>IFERROR(INDEX('G-8 Condition Look up'!$A$3:$H$135,MATCH(F68,'G-8 Condition Look up'!$A$3:$A$135,0),MATCH(J68,'G-8 Condition Look up'!$A$3:$H$3,0)),"")</f>
        <v/>
      </c>
      <c r="L68" s="101"/>
      <c r="M68" s="314" t="str">
        <f>IF(L68="","",IF(VLOOKUP(L68,'G-3 Multipliers'!$L$3:$N$6,2,FALSE)=0,"Spatial Data Missing ⚠",VLOOKUP(L68,'G-3 Multipliers'!$L$3:$N$6,2,FALSE)))</f>
        <v/>
      </c>
      <c r="N68" s="276" t="str">
        <f>IF(L68="","",IF(VLOOKUP(L68,'G-3 Multipliers'!$L$3:$N$6,3,FALSE)=0,"Spatial Data Missing ⚠",VLOOKUP(L68,'G-3 Multipliers'!$L$3:$N$6,3,FALSE)))</f>
        <v/>
      </c>
      <c r="O68" s="275" t="str">
        <f t="shared" si="2"/>
        <v/>
      </c>
      <c r="P68" s="133"/>
      <c r="Q68" s="133"/>
      <c r="R68" s="295" t="str">
        <f t="shared" si="3"/>
        <v/>
      </c>
      <c r="S68" s="316" t="str">
        <f t="shared" si="4"/>
        <v/>
      </c>
      <c r="T68" s="300" t="str">
        <f>IFERROR(IF(S68="Check Data ⚠","Check Data ⚠",VLOOKUP(S68,'G-4 Temporal multipliers'!$A$4:$C$37,3,FALSE)),"")</f>
        <v/>
      </c>
      <c r="U68" s="298" t="str">
        <f>IF(F68="","",VLOOKUP(F68,'G-3 Multipliers'!$A$2:$E$134,2,FALSE))</f>
        <v/>
      </c>
      <c r="V68" s="295" t="str">
        <f t="shared" si="5"/>
        <v/>
      </c>
      <c r="W68" s="295" t="str">
        <f>IF(E68="","",IF(AND(V68="Standard difficulty applied",O68&gt;P68),U68,IF(AND(V68="Low Difficulty - only applicable if all habitat created before losses ⚠",P68&gt;=O68),"Low",VLOOKUP(F68,'G-3 Multipliers'!$A$2:$E$134,4,FALSE))))</f>
        <v/>
      </c>
      <c r="X68" s="299" t="str">
        <f>IFERROR(IF(E68="","",VLOOKUP(W68,'G-3 Multipliers'!$P$2:$Q$6,2,FALSE)),"")</f>
        <v/>
      </c>
      <c r="Y68" s="393"/>
      <c r="Z68" s="510" t="str">
        <f>IF(Y68="","",IF(VLOOKUP(Y68,'G-3 Multipliers'!$S$3:$T$10,2,FALSE)=0,"Spatial Data Missing ⚠",VLOOKUP(Y68,'G-3 Multipliers'!$S$3:$T$10,2,FALSE)))</f>
        <v/>
      </c>
      <c r="AA68" s="926" t="str">
        <f t="shared" si="0"/>
        <v/>
      </c>
      <c r="AB68" s="928" t="str">
        <f t="shared" si="6"/>
        <v/>
      </c>
      <c r="AC68" s="105"/>
      <c r="AD68" s="138"/>
      <c r="AE68" s="233"/>
      <c r="AF68" s="138"/>
      <c r="AG68" s="934"/>
      <c r="AJ68" s="40" t="str">
        <f t="shared" si="1"/>
        <v/>
      </c>
    </row>
    <row r="69" spans="1:36" ht="14">
      <c r="A69" s="30" t="str">
        <f>IFERROR(INDEX('G-8 Condition Look up'!$I$4:$I$135,MATCH(F69,'G-8 Condition Look up'!$A$4:$A$135,0)),"")</f>
        <v/>
      </c>
      <c r="B69" s="225">
        <v>59</v>
      </c>
      <c r="C69" s="66" t="str">
        <f>IFERROR(INDEX('G-1 All Habitats'!$AG$25:$AG$41,MATCH(D69,'G-1 All Habitats'!AF$25:AF$41,0)),"")</f>
        <v/>
      </c>
      <c r="D69" s="105"/>
      <c r="E69" s="138"/>
      <c r="F69" s="158" t="str">
        <f>IFERROR(INDEX('G-1 All Habitats'!$B$3:$B$136,MATCH(E69,'G-1 All Habitats'!$A$3:$A$136,0)),"")</f>
        <v/>
      </c>
      <c r="G69" s="233"/>
      <c r="H69" s="311" t="str">
        <f>IF(F69="","",VLOOKUP(F69,'G-1 All Habitats'!$B$2:$M$135,10,FALSE))</f>
        <v/>
      </c>
      <c r="I69" s="299" t="str">
        <f>IFERROR(VLOOKUP(H69,'G-1 All Habitats'!$V$3:$W$7,2,FALSE),"")</f>
        <v/>
      </c>
      <c r="J69" s="136"/>
      <c r="K69" s="299" t="str">
        <f>IFERROR(INDEX('G-8 Condition Look up'!$A$3:$H$135,MATCH(F69,'G-8 Condition Look up'!$A$3:$A$135,0),MATCH(J69,'G-8 Condition Look up'!$A$3:$H$3,0)),"")</f>
        <v/>
      </c>
      <c r="L69" s="101"/>
      <c r="M69" s="314" t="str">
        <f>IF(L69="","",IF(VLOOKUP(L69,'G-3 Multipliers'!$L$3:$N$6,2,FALSE)=0,"Spatial Data Missing ⚠",VLOOKUP(L69,'G-3 Multipliers'!$L$3:$N$6,2,FALSE)))</f>
        <v/>
      </c>
      <c r="N69" s="276" t="str">
        <f>IF(L69="","",IF(VLOOKUP(L69,'G-3 Multipliers'!$L$3:$N$6,3,FALSE)=0,"Spatial Data Missing ⚠",VLOOKUP(L69,'G-3 Multipliers'!$L$3:$N$6,3,FALSE)))</f>
        <v/>
      </c>
      <c r="O69" s="275" t="str">
        <f t="shared" si="2"/>
        <v/>
      </c>
      <c r="P69" s="133"/>
      <c r="Q69" s="133"/>
      <c r="R69" s="295" t="str">
        <f t="shared" si="3"/>
        <v/>
      </c>
      <c r="S69" s="316" t="str">
        <f t="shared" si="4"/>
        <v/>
      </c>
      <c r="T69" s="300" t="str">
        <f>IFERROR(IF(S69="Check Data ⚠","Check Data ⚠",VLOOKUP(S69,'G-4 Temporal multipliers'!$A$4:$C$37,3,FALSE)),"")</f>
        <v/>
      </c>
      <c r="U69" s="298" t="str">
        <f>IF(F69="","",VLOOKUP(F69,'G-3 Multipliers'!$A$2:$E$134,2,FALSE))</f>
        <v/>
      </c>
      <c r="V69" s="295" t="str">
        <f t="shared" si="5"/>
        <v/>
      </c>
      <c r="W69" s="295" t="str">
        <f>IF(E69="","",IF(AND(V69="Standard difficulty applied",O69&gt;P69),U69,IF(AND(V69="Low Difficulty - only applicable if all habitat created before losses ⚠",P69&gt;=O69),"Low",VLOOKUP(F69,'G-3 Multipliers'!$A$2:$E$134,4,FALSE))))</f>
        <v/>
      </c>
      <c r="X69" s="299" t="str">
        <f>IFERROR(IF(E69="","",VLOOKUP(W69,'G-3 Multipliers'!$P$2:$Q$6,2,FALSE)),"")</f>
        <v/>
      </c>
      <c r="Y69" s="393"/>
      <c r="Z69" s="510" t="str">
        <f>IF(Y69="","",IF(VLOOKUP(Y69,'G-3 Multipliers'!$S$3:$T$10,2,FALSE)=0,"Spatial Data Missing ⚠",VLOOKUP(Y69,'G-3 Multipliers'!$S$3:$T$10,2,FALSE)))</f>
        <v/>
      </c>
      <c r="AA69" s="926" t="str">
        <f t="shared" si="0"/>
        <v/>
      </c>
      <c r="AB69" s="928" t="str">
        <f t="shared" si="6"/>
        <v/>
      </c>
      <c r="AC69" s="105"/>
      <c r="AD69" s="138"/>
      <c r="AE69" s="233"/>
      <c r="AF69" s="138"/>
      <c r="AG69" s="934"/>
      <c r="AJ69" s="40" t="str">
        <f t="shared" si="1"/>
        <v/>
      </c>
    </row>
    <row r="70" spans="1:36" ht="14">
      <c r="A70" s="30" t="str">
        <f>IFERROR(INDEX('G-8 Condition Look up'!$I$4:$I$135,MATCH(F70,'G-8 Condition Look up'!$A$4:$A$135,0)),"")</f>
        <v/>
      </c>
      <c r="B70" s="225">
        <v>60</v>
      </c>
      <c r="C70" s="66" t="str">
        <f>IFERROR(INDEX('G-1 All Habitats'!$AG$25:$AG$41,MATCH(D70,'G-1 All Habitats'!AF$25:AF$41,0)),"")</f>
        <v/>
      </c>
      <c r="D70" s="105"/>
      <c r="E70" s="138"/>
      <c r="F70" s="158" t="str">
        <f>IFERROR(INDEX('G-1 All Habitats'!$B$3:$B$136,MATCH(E70,'G-1 All Habitats'!$A$3:$A$136,0)),"")</f>
        <v/>
      </c>
      <c r="G70" s="233"/>
      <c r="H70" s="311" t="str">
        <f>IF(F70="","",VLOOKUP(F70,'G-1 All Habitats'!$B$2:$M$135,10,FALSE))</f>
        <v/>
      </c>
      <c r="I70" s="299" t="str">
        <f>IFERROR(VLOOKUP(H70,'G-1 All Habitats'!$V$3:$W$7,2,FALSE),"")</f>
        <v/>
      </c>
      <c r="J70" s="136"/>
      <c r="K70" s="299" t="str">
        <f>IFERROR(INDEX('G-8 Condition Look up'!$A$3:$H$135,MATCH(F70,'G-8 Condition Look up'!$A$3:$A$135,0),MATCH(J70,'G-8 Condition Look up'!$A$3:$H$3,0)),"")</f>
        <v/>
      </c>
      <c r="L70" s="101"/>
      <c r="M70" s="314" t="str">
        <f>IF(L70="","",IF(VLOOKUP(L70,'G-3 Multipliers'!$L$3:$N$6,2,FALSE)=0,"Spatial Data Missing ⚠",VLOOKUP(L70,'G-3 Multipliers'!$L$3:$N$6,2,FALSE)))</f>
        <v/>
      </c>
      <c r="N70" s="276" t="str">
        <f>IF(L70="","",IF(VLOOKUP(L70,'G-3 Multipliers'!$L$3:$N$6,3,FALSE)=0,"Spatial Data Missing ⚠",VLOOKUP(L70,'G-3 Multipliers'!$L$3:$N$6,3,FALSE)))</f>
        <v/>
      </c>
      <c r="O70" s="275" t="str">
        <f t="shared" si="2"/>
        <v/>
      </c>
      <c r="P70" s="133"/>
      <c r="Q70" s="133"/>
      <c r="R70" s="295" t="str">
        <f t="shared" si="3"/>
        <v/>
      </c>
      <c r="S70" s="316" t="str">
        <f t="shared" si="4"/>
        <v/>
      </c>
      <c r="T70" s="300" t="str">
        <f>IFERROR(IF(S70="Check Data ⚠","Check Data ⚠",VLOOKUP(S70,'G-4 Temporal multipliers'!$A$4:$C$37,3,FALSE)),"")</f>
        <v/>
      </c>
      <c r="U70" s="298" t="str">
        <f>IF(F70="","",VLOOKUP(F70,'G-3 Multipliers'!$A$2:$E$134,2,FALSE))</f>
        <v/>
      </c>
      <c r="V70" s="295" t="str">
        <f t="shared" si="5"/>
        <v/>
      </c>
      <c r="W70" s="295" t="str">
        <f>IF(E70="","",IF(AND(V70="Standard difficulty applied",O70&gt;P70),U70,IF(AND(V70="Low Difficulty - only applicable if all habitat created before losses ⚠",P70&gt;=O70),"Low",VLOOKUP(F70,'G-3 Multipliers'!$A$2:$E$134,4,FALSE))))</f>
        <v/>
      </c>
      <c r="X70" s="299" t="str">
        <f>IFERROR(IF(E70="","",VLOOKUP(W70,'G-3 Multipliers'!$P$2:$Q$6,2,FALSE)),"")</f>
        <v/>
      </c>
      <c r="Y70" s="393"/>
      <c r="Z70" s="510" t="str">
        <f>IF(Y70="","",IF(VLOOKUP(Y70,'G-3 Multipliers'!$S$3:$T$10,2,FALSE)=0,"Spatial Data Missing ⚠",VLOOKUP(Y70,'G-3 Multipliers'!$S$3:$T$10,2,FALSE)))</f>
        <v/>
      </c>
      <c r="AA70" s="926" t="str">
        <f t="shared" si="0"/>
        <v/>
      </c>
      <c r="AB70" s="928" t="str">
        <f t="shared" si="6"/>
        <v/>
      </c>
      <c r="AC70" s="105"/>
      <c r="AD70" s="138"/>
      <c r="AE70" s="233"/>
      <c r="AF70" s="138"/>
      <c r="AG70" s="934"/>
      <c r="AJ70" s="40" t="str">
        <f t="shared" si="1"/>
        <v/>
      </c>
    </row>
    <row r="71" spans="1:36" ht="14">
      <c r="A71" s="30" t="str">
        <f>IFERROR(INDEX('G-8 Condition Look up'!$I$4:$I$135,MATCH(F71,'G-8 Condition Look up'!$A$4:$A$135,0)),"")</f>
        <v/>
      </c>
      <c r="B71" s="225">
        <v>61</v>
      </c>
      <c r="C71" s="66" t="str">
        <f>IFERROR(INDEX('G-1 All Habitats'!$AG$25:$AG$41,MATCH(D71,'G-1 All Habitats'!AF$25:AF$41,0)),"")</f>
        <v/>
      </c>
      <c r="D71" s="105"/>
      <c r="E71" s="138"/>
      <c r="F71" s="158" t="str">
        <f>IFERROR(INDEX('G-1 All Habitats'!$B$3:$B$136,MATCH(E71,'G-1 All Habitats'!$A$3:$A$136,0)),"")</f>
        <v/>
      </c>
      <c r="G71" s="233"/>
      <c r="H71" s="311" t="str">
        <f>IF(F71="","",VLOOKUP(F71,'G-1 All Habitats'!$B$2:$M$135,10,FALSE))</f>
        <v/>
      </c>
      <c r="I71" s="299" t="str">
        <f>IFERROR(VLOOKUP(H71,'G-1 All Habitats'!$V$3:$W$7,2,FALSE),"")</f>
        <v/>
      </c>
      <c r="J71" s="136"/>
      <c r="K71" s="299" t="str">
        <f>IFERROR(INDEX('G-8 Condition Look up'!$A$3:$H$135,MATCH(F71,'G-8 Condition Look up'!$A$3:$A$135,0),MATCH(J71,'G-8 Condition Look up'!$A$3:$H$3,0)),"")</f>
        <v/>
      </c>
      <c r="L71" s="101"/>
      <c r="M71" s="314" t="str">
        <f>IF(L71="","",IF(VLOOKUP(L71,'G-3 Multipliers'!$L$3:$N$6,2,FALSE)=0,"Spatial Data Missing ⚠",VLOOKUP(L71,'G-3 Multipliers'!$L$3:$N$6,2,FALSE)))</f>
        <v/>
      </c>
      <c r="N71" s="276" t="str">
        <f>IF(L71="","",IF(VLOOKUP(L71,'G-3 Multipliers'!$L$3:$N$6,3,FALSE)=0,"Spatial Data Missing ⚠",VLOOKUP(L71,'G-3 Multipliers'!$L$3:$N$6,3,FALSE)))</f>
        <v/>
      </c>
      <c r="O71" s="275" t="str">
        <f t="shared" si="2"/>
        <v/>
      </c>
      <c r="P71" s="133"/>
      <c r="Q71" s="133"/>
      <c r="R71" s="295" t="str">
        <f t="shared" si="3"/>
        <v/>
      </c>
      <c r="S71" s="316" t="str">
        <f t="shared" si="4"/>
        <v/>
      </c>
      <c r="T71" s="300" t="str">
        <f>IFERROR(IF(S71="Check Data ⚠","Check Data ⚠",VLOOKUP(S71,'G-4 Temporal multipliers'!$A$4:$C$37,3,FALSE)),"")</f>
        <v/>
      </c>
      <c r="U71" s="298" t="str">
        <f>IF(F71="","",VLOOKUP(F71,'G-3 Multipliers'!$A$2:$E$134,2,FALSE))</f>
        <v/>
      </c>
      <c r="V71" s="295" t="str">
        <f t="shared" si="5"/>
        <v/>
      </c>
      <c r="W71" s="295" t="str">
        <f>IF(E71="","",IF(AND(V71="Standard difficulty applied",O71&gt;P71),U71,IF(AND(V71="Low Difficulty - only applicable if all habitat created before losses ⚠",P71&gt;=O71),"Low",VLOOKUP(F71,'G-3 Multipliers'!$A$2:$E$134,4,FALSE))))</f>
        <v/>
      </c>
      <c r="X71" s="299" t="str">
        <f>IFERROR(IF(E71="","",VLOOKUP(W71,'G-3 Multipliers'!$P$2:$Q$6,2,FALSE)),"")</f>
        <v/>
      </c>
      <c r="Y71" s="393"/>
      <c r="Z71" s="510" t="str">
        <f>IF(Y71="","",IF(VLOOKUP(Y71,'G-3 Multipliers'!$S$3:$T$10,2,FALSE)=0,"Spatial Data Missing ⚠",VLOOKUP(Y71,'G-3 Multipliers'!$S$3:$T$10,2,FALSE)))</f>
        <v/>
      </c>
      <c r="AA71" s="926" t="str">
        <f t="shared" si="0"/>
        <v/>
      </c>
      <c r="AB71" s="928" t="str">
        <f t="shared" si="6"/>
        <v/>
      </c>
      <c r="AC71" s="105"/>
      <c r="AD71" s="138"/>
      <c r="AE71" s="233"/>
      <c r="AF71" s="138"/>
      <c r="AG71" s="934"/>
      <c r="AJ71" s="40" t="str">
        <f t="shared" si="1"/>
        <v/>
      </c>
    </row>
    <row r="72" spans="1:36" ht="14">
      <c r="A72" s="30" t="str">
        <f>IFERROR(INDEX('G-8 Condition Look up'!$I$4:$I$135,MATCH(F72,'G-8 Condition Look up'!$A$4:$A$135,0)),"")</f>
        <v/>
      </c>
      <c r="B72" s="225">
        <v>62</v>
      </c>
      <c r="C72" s="66" t="str">
        <f>IFERROR(INDEX('G-1 All Habitats'!$AG$25:$AG$41,MATCH(D72,'G-1 All Habitats'!AF$25:AF$41,0)),"")</f>
        <v/>
      </c>
      <c r="D72" s="105"/>
      <c r="E72" s="138"/>
      <c r="F72" s="158" t="str">
        <f>IFERROR(INDEX('G-1 All Habitats'!$B$3:$B$136,MATCH(E72,'G-1 All Habitats'!$A$3:$A$136,0)),"")</f>
        <v/>
      </c>
      <c r="G72" s="233"/>
      <c r="H72" s="311" t="str">
        <f>IF(F72="","",VLOOKUP(F72,'G-1 All Habitats'!$B$2:$M$135,10,FALSE))</f>
        <v/>
      </c>
      <c r="I72" s="299" t="str">
        <f>IFERROR(VLOOKUP(H72,'G-1 All Habitats'!$V$3:$W$7,2,FALSE),"")</f>
        <v/>
      </c>
      <c r="J72" s="136"/>
      <c r="K72" s="299" t="str">
        <f>IFERROR(INDEX('G-8 Condition Look up'!$A$3:$H$135,MATCH(F72,'G-8 Condition Look up'!$A$3:$A$135,0),MATCH(J72,'G-8 Condition Look up'!$A$3:$H$3,0)),"")</f>
        <v/>
      </c>
      <c r="L72" s="101"/>
      <c r="M72" s="314" t="str">
        <f>IF(L72="","",IF(VLOOKUP(L72,'G-3 Multipliers'!$L$3:$N$6,2,FALSE)=0,"Spatial Data Missing ⚠",VLOOKUP(L72,'G-3 Multipliers'!$L$3:$N$6,2,FALSE)))</f>
        <v/>
      </c>
      <c r="N72" s="276" t="str">
        <f>IF(L72="","",IF(VLOOKUP(L72,'G-3 Multipliers'!$L$3:$N$6,3,FALSE)=0,"Spatial Data Missing ⚠",VLOOKUP(L72,'G-3 Multipliers'!$L$3:$N$6,3,FALSE)))</f>
        <v/>
      </c>
      <c r="O72" s="275" t="str">
        <f t="shared" si="2"/>
        <v/>
      </c>
      <c r="P72" s="133"/>
      <c r="Q72" s="133"/>
      <c r="R72" s="295" t="str">
        <f t="shared" si="3"/>
        <v/>
      </c>
      <c r="S72" s="316" t="str">
        <f t="shared" si="4"/>
        <v/>
      </c>
      <c r="T72" s="300" t="str">
        <f>IFERROR(IF(S72="Check Data ⚠","Check Data ⚠",VLOOKUP(S72,'G-4 Temporal multipliers'!$A$4:$C$37,3,FALSE)),"")</f>
        <v/>
      </c>
      <c r="U72" s="298" t="str">
        <f>IF(F72="","",VLOOKUP(F72,'G-3 Multipliers'!$A$2:$E$134,2,FALSE))</f>
        <v/>
      </c>
      <c r="V72" s="295" t="str">
        <f t="shared" si="5"/>
        <v/>
      </c>
      <c r="W72" s="295" t="str">
        <f>IF(E72="","",IF(AND(V72="Standard difficulty applied",O72&gt;P72),U72,IF(AND(V72="Low Difficulty - only applicable if all habitat created before losses ⚠",P72&gt;=O72),"Low",VLOOKUP(F72,'G-3 Multipliers'!$A$2:$E$134,4,FALSE))))</f>
        <v/>
      </c>
      <c r="X72" s="299" t="str">
        <f>IFERROR(IF(E72="","",VLOOKUP(W72,'G-3 Multipliers'!$P$2:$Q$6,2,FALSE)),"")</f>
        <v/>
      </c>
      <c r="Y72" s="393"/>
      <c r="Z72" s="510" t="str">
        <f>IF(Y72="","",IF(VLOOKUP(Y72,'G-3 Multipliers'!$S$3:$T$10,2,FALSE)=0,"Spatial Data Missing ⚠",VLOOKUP(Y72,'G-3 Multipliers'!$S$3:$T$10,2,FALSE)))</f>
        <v/>
      </c>
      <c r="AA72" s="926" t="str">
        <f t="shared" si="0"/>
        <v/>
      </c>
      <c r="AB72" s="928" t="str">
        <f t="shared" si="6"/>
        <v/>
      </c>
      <c r="AC72" s="105"/>
      <c r="AD72" s="138"/>
      <c r="AE72" s="233"/>
      <c r="AF72" s="138"/>
      <c r="AG72" s="934"/>
      <c r="AJ72" s="40" t="str">
        <f t="shared" si="1"/>
        <v/>
      </c>
    </row>
    <row r="73" spans="1:36" ht="14">
      <c r="A73" s="30" t="str">
        <f>IFERROR(INDEX('G-8 Condition Look up'!$I$4:$I$135,MATCH(F73,'G-8 Condition Look up'!$A$4:$A$135,0)),"")</f>
        <v/>
      </c>
      <c r="B73" s="225">
        <v>63</v>
      </c>
      <c r="C73" s="66" t="str">
        <f>IFERROR(INDEX('G-1 All Habitats'!$AG$25:$AG$41,MATCH(D73,'G-1 All Habitats'!AF$25:AF$41,0)),"")</f>
        <v/>
      </c>
      <c r="D73" s="105"/>
      <c r="E73" s="138"/>
      <c r="F73" s="158" t="str">
        <f>IFERROR(INDEX('G-1 All Habitats'!$B$3:$B$136,MATCH(E73,'G-1 All Habitats'!$A$3:$A$136,0)),"")</f>
        <v/>
      </c>
      <c r="G73" s="233"/>
      <c r="H73" s="311" t="str">
        <f>IF(F73="","",VLOOKUP(F73,'G-1 All Habitats'!$B$2:$M$135,10,FALSE))</f>
        <v/>
      </c>
      <c r="I73" s="299" t="str">
        <f>IFERROR(VLOOKUP(H73,'G-1 All Habitats'!$V$3:$W$7,2,FALSE),"")</f>
        <v/>
      </c>
      <c r="J73" s="136"/>
      <c r="K73" s="299" t="str">
        <f>IFERROR(INDEX('G-8 Condition Look up'!$A$3:$H$135,MATCH(F73,'G-8 Condition Look up'!$A$3:$A$135,0),MATCH(J73,'G-8 Condition Look up'!$A$3:$H$3,0)),"")</f>
        <v/>
      </c>
      <c r="L73" s="101"/>
      <c r="M73" s="314" t="str">
        <f>IF(L73="","",IF(VLOOKUP(L73,'G-3 Multipliers'!$L$3:$N$6,2,FALSE)=0,"Spatial Data Missing ⚠",VLOOKUP(L73,'G-3 Multipliers'!$L$3:$N$6,2,FALSE)))</f>
        <v/>
      </c>
      <c r="N73" s="276" t="str">
        <f>IF(L73="","",IF(VLOOKUP(L73,'G-3 Multipliers'!$L$3:$N$6,3,FALSE)=0,"Spatial Data Missing ⚠",VLOOKUP(L73,'G-3 Multipliers'!$L$3:$N$6,3,FALSE)))</f>
        <v/>
      </c>
      <c r="O73" s="275" t="str">
        <f t="shared" si="2"/>
        <v/>
      </c>
      <c r="P73" s="133"/>
      <c r="Q73" s="133"/>
      <c r="R73" s="295" t="str">
        <f t="shared" si="3"/>
        <v/>
      </c>
      <c r="S73" s="316" t="str">
        <f t="shared" si="4"/>
        <v/>
      </c>
      <c r="T73" s="300" t="str">
        <f>IFERROR(IF(S73="Check Data ⚠","Check Data ⚠",VLOOKUP(S73,'G-4 Temporal multipliers'!$A$4:$C$37,3,FALSE)),"")</f>
        <v/>
      </c>
      <c r="U73" s="298" t="str">
        <f>IF(F73="","",VLOOKUP(F73,'G-3 Multipliers'!$A$2:$E$134,2,FALSE))</f>
        <v/>
      </c>
      <c r="V73" s="295" t="str">
        <f t="shared" si="5"/>
        <v/>
      </c>
      <c r="W73" s="295" t="str">
        <f>IF(E73="","",IF(AND(V73="Standard difficulty applied",O73&gt;P73),U73,IF(AND(V73="Low Difficulty - only applicable if all habitat created before losses ⚠",P73&gt;=O73),"Low",VLOOKUP(F73,'G-3 Multipliers'!$A$2:$E$134,4,FALSE))))</f>
        <v/>
      </c>
      <c r="X73" s="299" t="str">
        <f>IFERROR(IF(E73="","",VLOOKUP(W73,'G-3 Multipliers'!$P$2:$Q$6,2,FALSE)),"")</f>
        <v/>
      </c>
      <c r="Y73" s="393"/>
      <c r="Z73" s="510" t="str">
        <f>IF(Y73="","",IF(VLOOKUP(Y73,'G-3 Multipliers'!$S$3:$T$10,2,FALSE)=0,"Spatial Data Missing ⚠",VLOOKUP(Y73,'G-3 Multipliers'!$S$3:$T$10,2,FALSE)))</f>
        <v/>
      </c>
      <c r="AA73" s="926" t="str">
        <f t="shared" si="0"/>
        <v/>
      </c>
      <c r="AB73" s="928" t="str">
        <f t="shared" si="6"/>
        <v/>
      </c>
      <c r="AC73" s="105"/>
      <c r="AD73" s="138"/>
      <c r="AE73" s="233"/>
      <c r="AF73" s="138"/>
      <c r="AG73" s="934"/>
      <c r="AJ73" s="40" t="str">
        <f t="shared" si="1"/>
        <v/>
      </c>
    </row>
    <row r="74" spans="1:36" ht="14">
      <c r="A74" s="30" t="str">
        <f>IFERROR(INDEX('G-8 Condition Look up'!$I$4:$I$135,MATCH(F74,'G-8 Condition Look up'!$A$4:$A$135,0)),"")</f>
        <v/>
      </c>
      <c r="B74" s="225">
        <v>64</v>
      </c>
      <c r="C74" s="66" t="str">
        <f>IFERROR(INDEX('G-1 All Habitats'!$AG$25:$AG$41,MATCH(D74,'G-1 All Habitats'!AF$25:AF$41,0)),"")</f>
        <v/>
      </c>
      <c r="D74" s="105"/>
      <c r="E74" s="138"/>
      <c r="F74" s="158" t="str">
        <f>IFERROR(INDEX('G-1 All Habitats'!$B$3:$B$136,MATCH(E74,'G-1 All Habitats'!$A$3:$A$136,0)),"")</f>
        <v/>
      </c>
      <c r="G74" s="233"/>
      <c r="H74" s="311" t="str">
        <f>IF(F74="","",VLOOKUP(F74,'G-1 All Habitats'!$B$2:$M$135,10,FALSE))</f>
        <v/>
      </c>
      <c r="I74" s="299" t="str">
        <f>IFERROR(VLOOKUP(H74,'G-1 All Habitats'!$V$3:$W$7,2,FALSE),"")</f>
        <v/>
      </c>
      <c r="J74" s="136"/>
      <c r="K74" s="299" t="str">
        <f>IFERROR(INDEX('G-8 Condition Look up'!$A$3:$H$135,MATCH(F74,'G-8 Condition Look up'!$A$3:$A$135,0),MATCH(J74,'G-8 Condition Look up'!$A$3:$H$3,0)),"")</f>
        <v/>
      </c>
      <c r="L74" s="101"/>
      <c r="M74" s="314" t="str">
        <f>IF(L74="","",IF(VLOOKUP(L74,'G-3 Multipliers'!$L$3:$N$6,2,FALSE)=0,"Spatial Data Missing ⚠",VLOOKUP(L74,'G-3 Multipliers'!$L$3:$N$6,2,FALSE)))</f>
        <v/>
      </c>
      <c r="N74" s="276" t="str">
        <f>IF(L74="","",IF(VLOOKUP(L74,'G-3 Multipliers'!$L$3:$N$6,3,FALSE)=0,"Spatial Data Missing ⚠",VLOOKUP(L74,'G-3 Multipliers'!$L$3:$N$6,3,FALSE)))</f>
        <v/>
      </c>
      <c r="O74" s="275" t="str">
        <f t="shared" si="2"/>
        <v/>
      </c>
      <c r="P74" s="133"/>
      <c r="Q74" s="133"/>
      <c r="R74" s="295" t="str">
        <f t="shared" si="3"/>
        <v/>
      </c>
      <c r="S74" s="316" t="str">
        <f t="shared" si="4"/>
        <v/>
      </c>
      <c r="T74" s="300" t="str">
        <f>IFERROR(IF(S74="Check Data ⚠","Check Data ⚠",VLOOKUP(S74,'G-4 Temporal multipliers'!$A$4:$C$37,3,FALSE)),"")</f>
        <v/>
      </c>
      <c r="U74" s="298" t="str">
        <f>IF(F74="","",VLOOKUP(F74,'G-3 Multipliers'!$A$2:$E$134,2,FALSE))</f>
        <v/>
      </c>
      <c r="V74" s="295" t="str">
        <f t="shared" si="5"/>
        <v/>
      </c>
      <c r="W74" s="295" t="str">
        <f>IF(E74="","",IF(AND(V74="Standard difficulty applied",O74&gt;P74),U74,IF(AND(V74="Low Difficulty - only applicable if all habitat created before losses ⚠",P74&gt;=O74),"Low",VLOOKUP(F74,'G-3 Multipliers'!$A$2:$E$134,4,FALSE))))</f>
        <v/>
      </c>
      <c r="X74" s="299" t="str">
        <f>IFERROR(IF(E74="","",VLOOKUP(W74,'G-3 Multipliers'!$P$2:$Q$6,2,FALSE)),"")</f>
        <v/>
      </c>
      <c r="Y74" s="393"/>
      <c r="Z74" s="510" t="str">
        <f>IF(Y74="","",IF(VLOOKUP(Y74,'G-3 Multipliers'!$S$3:$T$10,2,FALSE)=0,"Spatial Data Missing ⚠",VLOOKUP(Y74,'G-3 Multipliers'!$S$3:$T$10,2,FALSE)))</f>
        <v/>
      </c>
      <c r="AA74" s="926" t="str">
        <f t="shared" si="0"/>
        <v/>
      </c>
      <c r="AB74" s="928" t="str">
        <f t="shared" si="6"/>
        <v/>
      </c>
      <c r="AC74" s="105"/>
      <c r="AD74" s="138"/>
      <c r="AE74" s="233"/>
      <c r="AF74" s="138"/>
      <c r="AG74" s="934"/>
      <c r="AJ74" s="40" t="str">
        <f t="shared" si="1"/>
        <v/>
      </c>
    </row>
    <row r="75" spans="1:36" ht="14">
      <c r="A75" s="30" t="str">
        <f>IFERROR(INDEX('G-8 Condition Look up'!$I$4:$I$135,MATCH(F75,'G-8 Condition Look up'!$A$4:$A$135,0)),"")</f>
        <v/>
      </c>
      <c r="B75" s="225">
        <v>65</v>
      </c>
      <c r="C75" s="66" t="str">
        <f>IFERROR(INDEX('G-1 All Habitats'!$AG$25:$AG$41,MATCH(D75,'G-1 All Habitats'!AF$25:AF$41,0)),"")</f>
        <v/>
      </c>
      <c r="D75" s="105"/>
      <c r="E75" s="138"/>
      <c r="F75" s="158" t="str">
        <f>IFERROR(INDEX('G-1 All Habitats'!$B$3:$B$136,MATCH(E75,'G-1 All Habitats'!$A$3:$A$136,0)),"")</f>
        <v/>
      </c>
      <c r="G75" s="233"/>
      <c r="H75" s="311" t="str">
        <f>IF(F75="","",VLOOKUP(F75,'G-1 All Habitats'!$B$2:$M$135,10,FALSE))</f>
        <v/>
      </c>
      <c r="I75" s="299" t="str">
        <f>IFERROR(VLOOKUP(H75,'G-1 All Habitats'!$V$3:$W$7,2,FALSE),"")</f>
        <v/>
      </c>
      <c r="J75" s="136"/>
      <c r="K75" s="299" t="str">
        <f>IFERROR(INDEX('G-8 Condition Look up'!$A$3:$H$135,MATCH(F75,'G-8 Condition Look up'!$A$3:$A$135,0),MATCH(J75,'G-8 Condition Look up'!$A$3:$H$3,0)),"")</f>
        <v/>
      </c>
      <c r="L75" s="101"/>
      <c r="M75" s="314" t="str">
        <f>IF(L75="","",IF(VLOOKUP(L75,'G-3 Multipliers'!$L$3:$N$6,2,FALSE)=0,"Spatial Data Missing ⚠",VLOOKUP(L75,'G-3 Multipliers'!$L$3:$N$6,2,FALSE)))</f>
        <v/>
      </c>
      <c r="N75" s="276" t="str">
        <f>IF(L75="","",IF(VLOOKUP(L75,'G-3 Multipliers'!$L$3:$N$6,3,FALSE)=0,"Spatial Data Missing ⚠",VLOOKUP(L75,'G-3 Multipliers'!$L$3:$N$6,3,FALSE)))</f>
        <v/>
      </c>
      <c r="O75" s="275" t="str">
        <f t="shared" si="7" ref="O75:O138">IFERROR(INDEX(TemporalData,MATCH(F75,TemporalHabitats,0),MATCH(J75,TemporalConditions,0)),"")</f>
        <v/>
      </c>
      <c r="P75" s="133"/>
      <c r="Q75" s="133"/>
      <c r="R75" s="295" t="str">
        <f t="shared" si="3"/>
        <v/>
      </c>
      <c r="S75" s="316" t="str">
        <f t="shared" si="4"/>
        <v/>
      </c>
      <c r="T75" s="300" t="str">
        <f>IFERROR(IF(S75="Check Data ⚠","Check Data ⚠",VLOOKUP(S75,'G-4 Temporal multipliers'!$A$4:$C$37,3,FALSE)),"")</f>
        <v/>
      </c>
      <c r="U75" s="298" t="str">
        <f>IF(F75="","",VLOOKUP(F75,'G-3 Multipliers'!$A$2:$E$134,2,FALSE))</f>
        <v/>
      </c>
      <c r="V75" s="295" t="str">
        <f t="shared" si="5"/>
        <v/>
      </c>
      <c r="W75" s="295" t="str">
        <f>IF(E75="","",IF(AND(V75="Standard difficulty applied",O75&gt;P75),U75,IF(AND(V75="Low Difficulty - only applicable if all habitat created before losses ⚠",P75&gt;=O75),"Low",VLOOKUP(F75,'G-3 Multipliers'!$A$2:$E$134,4,FALSE))))</f>
        <v/>
      </c>
      <c r="X75" s="299" t="str">
        <f>IFERROR(IF(E75="","",VLOOKUP(W75,'G-3 Multipliers'!$P$2:$Q$6,2,FALSE)),"")</f>
        <v/>
      </c>
      <c r="Y75" s="393"/>
      <c r="Z75" s="510" t="str">
        <f>IF(Y75="","",IF(VLOOKUP(Y75,'G-3 Multipliers'!$S$3:$T$10,2,FALSE)=0,"Spatial Data Missing ⚠",VLOOKUP(Y75,'G-3 Multipliers'!$S$3:$T$10,2,FALSE)))</f>
        <v/>
      </c>
      <c r="AA75" s="926" t="str">
        <f t="shared" si="8" ref="AA75:AA138">IFERROR(G75*I75*K75*N75*T75*X75*Z75,"")</f>
        <v/>
      </c>
      <c r="AB75" s="928" t="str">
        <f t="shared" si="6"/>
        <v/>
      </c>
      <c r="AC75" s="105"/>
      <c r="AD75" s="138"/>
      <c r="AE75" s="233"/>
      <c r="AF75" s="138"/>
      <c r="AG75" s="934"/>
      <c r="AJ75" s="40" t="str">
        <f t="shared" si="9" ref="AJ75:AJ138">IFERROR(INDEX(TemporalData,MATCH(F75,TemporalHabitats,0),MATCH($AJ$10,TemporalConditions,0)),"")</f>
        <v/>
      </c>
    </row>
    <row r="76" spans="1:36" ht="14">
      <c r="A76" s="30" t="str">
        <f>IFERROR(INDEX('G-8 Condition Look up'!$I$4:$I$135,MATCH(F76,'G-8 Condition Look up'!$A$4:$A$135,0)),"")</f>
        <v/>
      </c>
      <c r="B76" s="225">
        <v>66</v>
      </c>
      <c r="C76" s="66" t="str">
        <f>IFERROR(INDEX('G-1 All Habitats'!$AG$25:$AG$41,MATCH(D76,'G-1 All Habitats'!AF$25:AF$41,0)),"")</f>
        <v/>
      </c>
      <c r="D76" s="105"/>
      <c r="E76" s="138"/>
      <c r="F76" s="158" t="str">
        <f>IFERROR(INDEX('G-1 All Habitats'!$B$3:$B$136,MATCH(E76,'G-1 All Habitats'!$A$3:$A$136,0)),"")</f>
        <v/>
      </c>
      <c r="G76" s="233"/>
      <c r="H76" s="311" t="str">
        <f>IF(F76="","",VLOOKUP(F76,'G-1 All Habitats'!$B$2:$M$135,10,FALSE))</f>
        <v/>
      </c>
      <c r="I76" s="299" t="str">
        <f>IFERROR(VLOOKUP(H76,'G-1 All Habitats'!$V$3:$W$7,2,FALSE),"")</f>
        <v/>
      </c>
      <c r="J76" s="136"/>
      <c r="K76" s="299" t="str">
        <f>IFERROR(INDEX('G-8 Condition Look up'!$A$3:$H$135,MATCH(F76,'G-8 Condition Look up'!$A$3:$A$135,0),MATCH(J76,'G-8 Condition Look up'!$A$3:$H$3,0)),"")</f>
        <v/>
      </c>
      <c r="L76" s="101"/>
      <c r="M76" s="314" t="str">
        <f>IF(L76="","",IF(VLOOKUP(L76,'G-3 Multipliers'!$L$3:$N$6,2,FALSE)=0,"Spatial Data Missing ⚠",VLOOKUP(L76,'G-3 Multipliers'!$L$3:$N$6,2,FALSE)))</f>
        <v/>
      </c>
      <c r="N76" s="276" t="str">
        <f>IF(L76="","",IF(VLOOKUP(L76,'G-3 Multipliers'!$L$3:$N$6,3,FALSE)=0,"Spatial Data Missing ⚠",VLOOKUP(L76,'G-3 Multipliers'!$L$3:$N$6,3,FALSE)))</f>
        <v/>
      </c>
      <c r="O76" s="275" t="str">
        <f t="shared" si="7"/>
        <v/>
      </c>
      <c r="P76" s="133"/>
      <c r="Q76" s="133"/>
      <c r="R76" s="295" t="str">
        <f t="shared" si="10" ref="R76:R139">IF(E76="","",IF(AND(P76&gt;0,Q76&gt;0),"Error -both advance and delayed habitat creation ▲",IF(I76=0,"Standard time to target condition applied",IF(O76&lt;=P76,"Check details - Is there evidence that habitat has reached target condition? ⚠",IF(O76="","",IF(AND(P76&gt;=$AJ76,P76&gt;0),"Check details - Is there evidence habitat creation started and the threshold for Poor condition reached? ⚠",IF(AND(O76&gt;P76,P76&gt;0),"Check details - Is there evidence habitat creation in place? ⚠",IF(Q76&gt;0,"Check details- Delay in starting habitat in required condition? ⚠",IF(P76&gt;0,"Check details - Is there evidence habitat creation started/in place? ⚠","Standard time to target condition applied")))))))))</f>
        <v/>
      </c>
      <c r="S76" s="316" t="str">
        <f t="shared" si="11" ref="S76:S139">IF(R76="Error -both advance and delayed habitat creation ▲","Check Data ⚠",IF(O76="Not Possible ▲","Check Data ⚠",IF(O76="","",IF(AND(O76="30+",P76=0),"30+",IF(AND(O76="30+",P76="30+"),0,IF(AND(O76="30+",P76&lt;32),30-P76,IF(O76="30+",30-P76,IF(P76&gt;O76,0,IF(Q76="30+","30+",IF(O76+Q76&gt;30,"30+",IF(O76+Q76&gt;30,"30+",IF(O76-P76&gt;30,"30+",IF(O76+Q76-P76&gt;0,O76+Q76-P76,IF(O76-P76&gt;0,O76-P76,O76+Q76-P76))))))))))))))</f>
        <v/>
      </c>
      <c r="T76" s="300" t="str">
        <f>IFERROR(IF(S76="Check Data ⚠","Check Data ⚠",VLOOKUP(S76,'G-4 Temporal multipliers'!$A$4:$C$37,3,FALSE)),"")</f>
        <v/>
      </c>
      <c r="U76" s="298" t="str">
        <f>IF(F76="","",VLOOKUP(F76,'G-3 Multipliers'!$A$2:$E$134,2,FALSE))</f>
        <v/>
      </c>
      <c r="V76" s="295" t="str">
        <f t="shared" si="12" ref="V76:V139">IF(F76="","",IF($R76="Check details - Is there evidence that habitat has reached target condition? ⚠","Low Difficulty - only applicable if all habitat created before losses ⚠",IF(AND($R76="Check details - Is there evidence habitat creation started and the threshold for Poor condition reached? ⚠",$E76&lt;&gt;"Traditional orchards",$E76&lt;&gt;"Ornamental lake or pond",$E76&lt;&gt;"Ponds (non-priority habitat)",$E76&lt;&gt;"Ruderal/Ephemeral",$E76&lt;&gt;"Tall forbs",$E76&lt;&gt;"Developed land; sealed surface"),"Enhancement difficulty applied","Standard difficulty applied")))</f>
        <v/>
      </c>
      <c r="W76" s="295" t="str">
        <f>IF(E76="","",IF(AND(V76="Standard difficulty applied",O76&gt;P76),U76,IF(AND(V76="Low Difficulty - only applicable if all habitat created before losses ⚠",P76&gt;=O76),"Low",VLOOKUP(F76,'G-3 Multipliers'!$A$2:$E$134,4,FALSE))))</f>
        <v/>
      </c>
      <c r="X76" s="299" t="str">
        <f>IFERROR(IF(E76="","",VLOOKUP(W76,'G-3 Multipliers'!$P$2:$Q$6,2,FALSE)),"")</f>
        <v/>
      </c>
      <c r="Y76" s="393"/>
      <c r="Z76" s="510" t="str">
        <f>IF(Y76="","",IF(VLOOKUP(Y76,'G-3 Multipliers'!$S$3:$T$10,2,FALSE)=0,"Spatial Data Missing ⚠",VLOOKUP(Y76,'G-3 Multipliers'!$S$3:$T$10,2,FALSE)))</f>
        <v/>
      </c>
      <c r="AA76" s="926" t="str">
        <f t="shared" si="8"/>
        <v/>
      </c>
      <c r="AB76" s="928" t="str">
        <f t="shared" si="13" ref="AB76:AB139">IFERROR(IF(AND(Y76&lt;&gt;"",AF76=""),"Off-site reference required ▲",(IF(Y76="","",G76*I76*K76*N76*T76*X76))),"")</f>
        <v/>
      </c>
      <c r="AC76" s="105"/>
      <c r="AD76" s="138"/>
      <c r="AE76" s="233"/>
      <c r="AF76" s="138"/>
      <c r="AG76" s="934"/>
      <c r="AJ76" s="40" t="str">
        <f t="shared" si="9"/>
        <v/>
      </c>
    </row>
    <row r="77" spans="1:36" ht="14">
      <c r="A77" s="30" t="str">
        <f>IFERROR(INDEX('G-8 Condition Look up'!$I$4:$I$135,MATCH(F77,'G-8 Condition Look up'!$A$4:$A$135,0)),"")</f>
        <v/>
      </c>
      <c r="B77" s="225">
        <v>67</v>
      </c>
      <c r="C77" s="66" t="str">
        <f>IFERROR(INDEX('G-1 All Habitats'!$AG$25:$AG$41,MATCH(D77,'G-1 All Habitats'!AF$25:AF$41,0)),"")</f>
        <v/>
      </c>
      <c r="D77" s="105"/>
      <c r="E77" s="138"/>
      <c r="F77" s="158" t="str">
        <f>IFERROR(INDEX('G-1 All Habitats'!$B$3:$B$136,MATCH(E77,'G-1 All Habitats'!$A$3:$A$136,0)),"")</f>
        <v/>
      </c>
      <c r="G77" s="233"/>
      <c r="H77" s="311" t="str">
        <f>IF(F77="","",VLOOKUP(F77,'G-1 All Habitats'!$B$2:$M$135,10,FALSE))</f>
        <v/>
      </c>
      <c r="I77" s="299" t="str">
        <f>IFERROR(VLOOKUP(H77,'G-1 All Habitats'!$V$3:$W$7,2,FALSE),"")</f>
        <v/>
      </c>
      <c r="J77" s="136"/>
      <c r="K77" s="299" t="str">
        <f>IFERROR(INDEX('G-8 Condition Look up'!$A$3:$H$135,MATCH(F77,'G-8 Condition Look up'!$A$3:$A$135,0),MATCH(J77,'G-8 Condition Look up'!$A$3:$H$3,0)),"")</f>
        <v/>
      </c>
      <c r="L77" s="101"/>
      <c r="M77" s="314" t="str">
        <f>IF(L77="","",IF(VLOOKUP(L77,'G-3 Multipliers'!$L$3:$N$6,2,FALSE)=0,"Spatial Data Missing ⚠",VLOOKUP(L77,'G-3 Multipliers'!$L$3:$N$6,2,FALSE)))</f>
        <v/>
      </c>
      <c r="N77" s="276" t="str">
        <f>IF(L77="","",IF(VLOOKUP(L77,'G-3 Multipliers'!$L$3:$N$6,3,FALSE)=0,"Spatial Data Missing ⚠",VLOOKUP(L77,'G-3 Multipliers'!$L$3:$N$6,3,FALSE)))</f>
        <v/>
      </c>
      <c r="O77" s="275" t="str">
        <f t="shared" si="7"/>
        <v/>
      </c>
      <c r="P77" s="133"/>
      <c r="Q77" s="133"/>
      <c r="R77" s="295" t="str">
        <f t="shared" si="10"/>
        <v/>
      </c>
      <c r="S77" s="316" t="str">
        <f t="shared" si="11"/>
        <v/>
      </c>
      <c r="T77" s="300" t="str">
        <f>IFERROR(IF(S77="Check Data ⚠","Check Data ⚠",VLOOKUP(S77,'G-4 Temporal multipliers'!$A$4:$C$37,3,FALSE)),"")</f>
        <v/>
      </c>
      <c r="U77" s="298" t="str">
        <f>IF(F77="","",VLOOKUP(F77,'G-3 Multipliers'!$A$2:$E$134,2,FALSE))</f>
        <v/>
      </c>
      <c r="V77" s="295" t="str">
        <f t="shared" si="12"/>
        <v/>
      </c>
      <c r="W77" s="295" t="str">
        <f>IF(E77="","",IF(AND(V77="Standard difficulty applied",O77&gt;P77),U77,IF(AND(V77="Low Difficulty - only applicable if all habitat created before losses ⚠",P77&gt;=O77),"Low",VLOOKUP(F77,'G-3 Multipliers'!$A$2:$E$134,4,FALSE))))</f>
        <v/>
      </c>
      <c r="X77" s="299" t="str">
        <f>IFERROR(IF(E77="","",VLOOKUP(W77,'G-3 Multipliers'!$P$2:$Q$6,2,FALSE)),"")</f>
        <v/>
      </c>
      <c r="Y77" s="393"/>
      <c r="Z77" s="510" t="str">
        <f>IF(Y77="","",IF(VLOOKUP(Y77,'G-3 Multipliers'!$S$3:$T$10,2,FALSE)=0,"Spatial Data Missing ⚠",VLOOKUP(Y77,'G-3 Multipliers'!$S$3:$T$10,2,FALSE)))</f>
        <v/>
      </c>
      <c r="AA77" s="926" t="str">
        <f t="shared" si="8"/>
        <v/>
      </c>
      <c r="AB77" s="928" t="str">
        <f t="shared" si="13"/>
        <v/>
      </c>
      <c r="AC77" s="105"/>
      <c r="AD77" s="138"/>
      <c r="AE77" s="233"/>
      <c r="AF77" s="138"/>
      <c r="AG77" s="934"/>
      <c r="AJ77" s="40" t="str">
        <f t="shared" si="9"/>
        <v/>
      </c>
    </row>
    <row r="78" spans="1:36" ht="14">
      <c r="A78" s="30" t="str">
        <f>IFERROR(INDEX('G-8 Condition Look up'!$I$4:$I$135,MATCH(F78,'G-8 Condition Look up'!$A$4:$A$135,0)),"")</f>
        <v/>
      </c>
      <c r="B78" s="225">
        <v>68</v>
      </c>
      <c r="C78" s="66" t="str">
        <f>IFERROR(INDEX('G-1 All Habitats'!$AG$25:$AG$41,MATCH(D78,'G-1 All Habitats'!AF$25:AF$41,0)),"")</f>
        <v/>
      </c>
      <c r="D78" s="105"/>
      <c r="E78" s="138"/>
      <c r="F78" s="158" t="str">
        <f>IFERROR(INDEX('G-1 All Habitats'!$B$3:$B$136,MATCH(E78,'G-1 All Habitats'!$A$3:$A$136,0)),"")</f>
        <v/>
      </c>
      <c r="G78" s="233"/>
      <c r="H78" s="311" t="str">
        <f>IF(F78="","",VLOOKUP(F78,'G-1 All Habitats'!$B$2:$M$135,10,FALSE))</f>
        <v/>
      </c>
      <c r="I78" s="299" t="str">
        <f>IFERROR(VLOOKUP(H78,'G-1 All Habitats'!$V$3:$W$7,2,FALSE),"")</f>
        <v/>
      </c>
      <c r="J78" s="136"/>
      <c r="K78" s="299" t="str">
        <f>IFERROR(INDEX('G-8 Condition Look up'!$A$3:$H$135,MATCH(F78,'G-8 Condition Look up'!$A$3:$A$135,0),MATCH(J78,'G-8 Condition Look up'!$A$3:$H$3,0)),"")</f>
        <v/>
      </c>
      <c r="L78" s="101"/>
      <c r="M78" s="314" t="str">
        <f>IF(L78="","",IF(VLOOKUP(L78,'G-3 Multipliers'!$L$3:$N$6,2,FALSE)=0,"Spatial Data Missing ⚠",VLOOKUP(L78,'G-3 Multipliers'!$L$3:$N$6,2,FALSE)))</f>
        <v/>
      </c>
      <c r="N78" s="276" t="str">
        <f>IF(L78="","",IF(VLOOKUP(L78,'G-3 Multipliers'!$L$3:$N$6,3,FALSE)=0,"Spatial Data Missing ⚠",VLOOKUP(L78,'G-3 Multipliers'!$L$3:$N$6,3,FALSE)))</f>
        <v/>
      </c>
      <c r="O78" s="275" t="str">
        <f t="shared" si="7"/>
        <v/>
      </c>
      <c r="P78" s="133"/>
      <c r="Q78" s="133"/>
      <c r="R78" s="295" t="str">
        <f t="shared" si="10"/>
        <v/>
      </c>
      <c r="S78" s="316" t="str">
        <f t="shared" si="11"/>
        <v/>
      </c>
      <c r="T78" s="300" t="str">
        <f>IFERROR(IF(S78="Check Data ⚠","Check Data ⚠",VLOOKUP(S78,'G-4 Temporal multipliers'!$A$4:$C$37,3,FALSE)),"")</f>
        <v/>
      </c>
      <c r="U78" s="298" t="str">
        <f>IF(F78="","",VLOOKUP(F78,'G-3 Multipliers'!$A$2:$E$134,2,FALSE))</f>
        <v/>
      </c>
      <c r="V78" s="295" t="str">
        <f t="shared" si="12"/>
        <v/>
      </c>
      <c r="W78" s="295" t="str">
        <f>IF(E78="","",IF(AND(V78="Standard difficulty applied",O78&gt;P78),U78,IF(AND(V78="Low Difficulty - only applicable if all habitat created before losses ⚠",P78&gt;=O78),"Low",VLOOKUP(F78,'G-3 Multipliers'!$A$2:$E$134,4,FALSE))))</f>
        <v/>
      </c>
      <c r="X78" s="299" t="str">
        <f>IFERROR(IF(E78="","",VLOOKUP(W78,'G-3 Multipliers'!$P$2:$Q$6,2,FALSE)),"")</f>
        <v/>
      </c>
      <c r="Y78" s="393"/>
      <c r="Z78" s="510" t="str">
        <f>IF(Y78="","",IF(VLOOKUP(Y78,'G-3 Multipliers'!$S$3:$T$10,2,FALSE)=0,"Spatial Data Missing ⚠",VLOOKUP(Y78,'G-3 Multipliers'!$S$3:$T$10,2,FALSE)))</f>
        <v/>
      </c>
      <c r="AA78" s="926" t="str">
        <f t="shared" si="8"/>
        <v/>
      </c>
      <c r="AB78" s="928" t="str">
        <f t="shared" si="13"/>
        <v/>
      </c>
      <c r="AC78" s="105"/>
      <c r="AD78" s="138"/>
      <c r="AE78" s="233"/>
      <c r="AF78" s="138"/>
      <c r="AG78" s="934"/>
      <c r="AJ78" s="40" t="str">
        <f t="shared" si="9"/>
        <v/>
      </c>
    </row>
    <row r="79" spans="1:36" ht="14">
      <c r="A79" s="30" t="str">
        <f>IFERROR(INDEX('G-8 Condition Look up'!$I$4:$I$135,MATCH(F79,'G-8 Condition Look up'!$A$4:$A$135,0)),"")</f>
        <v/>
      </c>
      <c r="B79" s="225">
        <v>69</v>
      </c>
      <c r="C79" s="66" t="str">
        <f>IFERROR(INDEX('G-1 All Habitats'!$AG$25:$AG$41,MATCH(D79,'G-1 All Habitats'!AF$25:AF$41,0)),"")</f>
        <v/>
      </c>
      <c r="D79" s="105"/>
      <c r="E79" s="138"/>
      <c r="F79" s="158" t="str">
        <f>IFERROR(INDEX('G-1 All Habitats'!$B$3:$B$136,MATCH(E79,'G-1 All Habitats'!$A$3:$A$136,0)),"")</f>
        <v/>
      </c>
      <c r="G79" s="233"/>
      <c r="H79" s="311" t="str">
        <f>IF(F79="","",VLOOKUP(F79,'G-1 All Habitats'!$B$2:$M$135,10,FALSE))</f>
        <v/>
      </c>
      <c r="I79" s="299" t="str">
        <f>IFERROR(VLOOKUP(H79,'G-1 All Habitats'!$V$3:$W$7,2,FALSE),"")</f>
        <v/>
      </c>
      <c r="J79" s="136"/>
      <c r="K79" s="299" t="str">
        <f>IFERROR(INDEX('G-8 Condition Look up'!$A$3:$H$135,MATCH(F79,'G-8 Condition Look up'!$A$3:$A$135,0),MATCH(J79,'G-8 Condition Look up'!$A$3:$H$3,0)),"")</f>
        <v/>
      </c>
      <c r="L79" s="101"/>
      <c r="M79" s="314" t="str">
        <f>IF(L79="","",IF(VLOOKUP(L79,'G-3 Multipliers'!$L$3:$N$6,2,FALSE)=0,"Spatial Data Missing ⚠",VLOOKUP(L79,'G-3 Multipliers'!$L$3:$N$6,2,FALSE)))</f>
        <v/>
      </c>
      <c r="N79" s="276" t="str">
        <f>IF(L79="","",IF(VLOOKUP(L79,'G-3 Multipliers'!$L$3:$N$6,3,FALSE)=0,"Spatial Data Missing ⚠",VLOOKUP(L79,'G-3 Multipliers'!$L$3:$N$6,3,FALSE)))</f>
        <v/>
      </c>
      <c r="O79" s="275" t="str">
        <f t="shared" si="7"/>
        <v/>
      </c>
      <c r="P79" s="133"/>
      <c r="Q79" s="133"/>
      <c r="R79" s="295" t="str">
        <f t="shared" si="10"/>
        <v/>
      </c>
      <c r="S79" s="316" t="str">
        <f t="shared" si="11"/>
        <v/>
      </c>
      <c r="T79" s="300" t="str">
        <f>IFERROR(IF(S79="Check Data ⚠","Check Data ⚠",VLOOKUP(S79,'G-4 Temporal multipliers'!$A$4:$C$37,3,FALSE)),"")</f>
        <v/>
      </c>
      <c r="U79" s="298" t="str">
        <f>IF(F79="","",VLOOKUP(F79,'G-3 Multipliers'!$A$2:$E$134,2,FALSE))</f>
        <v/>
      </c>
      <c r="V79" s="295" t="str">
        <f t="shared" si="12"/>
        <v/>
      </c>
      <c r="W79" s="295" t="str">
        <f>IF(E79="","",IF(AND(V79="Standard difficulty applied",O79&gt;P79),U79,IF(AND(V79="Low Difficulty - only applicable if all habitat created before losses ⚠",P79&gt;=O79),"Low",VLOOKUP(F79,'G-3 Multipliers'!$A$2:$E$134,4,FALSE))))</f>
        <v/>
      </c>
      <c r="X79" s="299" t="str">
        <f>IFERROR(IF(E79="","",VLOOKUP(W79,'G-3 Multipliers'!$P$2:$Q$6,2,FALSE)),"")</f>
        <v/>
      </c>
      <c r="Y79" s="393"/>
      <c r="Z79" s="510" t="str">
        <f>IF(Y79="","",IF(VLOOKUP(Y79,'G-3 Multipliers'!$S$3:$T$10,2,FALSE)=0,"Spatial Data Missing ⚠",VLOOKUP(Y79,'G-3 Multipliers'!$S$3:$T$10,2,FALSE)))</f>
        <v/>
      </c>
      <c r="AA79" s="926" t="str">
        <f t="shared" si="8"/>
        <v/>
      </c>
      <c r="AB79" s="928" t="str">
        <f t="shared" si="13"/>
        <v/>
      </c>
      <c r="AC79" s="105"/>
      <c r="AD79" s="138"/>
      <c r="AE79" s="233"/>
      <c r="AF79" s="138"/>
      <c r="AG79" s="934"/>
      <c r="AJ79" s="40" t="str">
        <f t="shared" si="9"/>
        <v/>
      </c>
    </row>
    <row r="80" spans="1:36" ht="14">
      <c r="A80" s="30" t="str">
        <f>IFERROR(INDEX('G-8 Condition Look up'!$I$4:$I$135,MATCH(F80,'G-8 Condition Look up'!$A$4:$A$135,0)),"")</f>
        <v/>
      </c>
      <c r="B80" s="225">
        <v>70</v>
      </c>
      <c r="C80" s="66" t="str">
        <f>IFERROR(INDEX('G-1 All Habitats'!$AG$25:$AG$41,MATCH(D80,'G-1 All Habitats'!AF$25:AF$41,0)),"")</f>
        <v/>
      </c>
      <c r="D80" s="105"/>
      <c r="E80" s="138"/>
      <c r="F80" s="158" t="str">
        <f>IFERROR(INDEX('G-1 All Habitats'!$B$3:$B$136,MATCH(E80,'G-1 All Habitats'!$A$3:$A$136,0)),"")</f>
        <v/>
      </c>
      <c r="G80" s="233"/>
      <c r="H80" s="311" t="str">
        <f>IF(F80="","",VLOOKUP(F80,'G-1 All Habitats'!$B$2:$M$135,10,FALSE))</f>
        <v/>
      </c>
      <c r="I80" s="299" t="str">
        <f>IFERROR(VLOOKUP(H80,'G-1 All Habitats'!$V$3:$W$7,2,FALSE),"")</f>
        <v/>
      </c>
      <c r="J80" s="136"/>
      <c r="K80" s="299" t="str">
        <f>IFERROR(INDEX('G-8 Condition Look up'!$A$3:$H$135,MATCH(F80,'G-8 Condition Look up'!$A$3:$A$135,0),MATCH(J80,'G-8 Condition Look up'!$A$3:$H$3,0)),"")</f>
        <v/>
      </c>
      <c r="L80" s="101"/>
      <c r="M80" s="314" t="str">
        <f>IF(L80="","",IF(VLOOKUP(L80,'G-3 Multipliers'!$L$3:$N$6,2,FALSE)=0,"Spatial Data Missing ⚠",VLOOKUP(L80,'G-3 Multipliers'!$L$3:$N$6,2,FALSE)))</f>
        <v/>
      </c>
      <c r="N80" s="276" t="str">
        <f>IF(L80="","",IF(VLOOKUP(L80,'G-3 Multipliers'!$L$3:$N$6,3,FALSE)=0,"Spatial Data Missing ⚠",VLOOKUP(L80,'G-3 Multipliers'!$L$3:$N$6,3,FALSE)))</f>
        <v/>
      </c>
      <c r="O80" s="275" t="str">
        <f t="shared" si="7"/>
        <v/>
      </c>
      <c r="P80" s="133"/>
      <c r="Q80" s="133"/>
      <c r="R80" s="295" t="str">
        <f t="shared" si="10"/>
        <v/>
      </c>
      <c r="S80" s="316" t="str">
        <f t="shared" si="11"/>
        <v/>
      </c>
      <c r="T80" s="300" t="str">
        <f>IFERROR(IF(S80="Check Data ⚠","Check Data ⚠",VLOOKUP(S80,'G-4 Temporal multipliers'!$A$4:$C$37,3,FALSE)),"")</f>
        <v/>
      </c>
      <c r="U80" s="298" t="str">
        <f>IF(F80="","",VLOOKUP(F80,'G-3 Multipliers'!$A$2:$E$134,2,FALSE))</f>
        <v/>
      </c>
      <c r="V80" s="295" t="str">
        <f t="shared" si="12"/>
        <v/>
      </c>
      <c r="W80" s="295" t="str">
        <f>IF(E80="","",IF(AND(V80="Standard difficulty applied",O80&gt;P80),U80,IF(AND(V80="Low Difficulty - only applicable if all habitat created before losses ⚠",P80&gt;=O80),"Low",VLOOKUP(F80,'G-3 Multipliers'!$A$2:$E$134,4,FALSE))))</f>
        <v/>
      </c>
      <c r="X80" s="299" t="str">
        <f>IFERROR(IF(E80="","",VLOOKUP(W80,'G-3 Multipliers'!$P$2:$Q$6,2,FALSE)),"")</f>
        <v/>
      </c>
      <c r="Y80" s="393"/>
      <c r="Z80" s="510" t="str">
        <f>IF(Y80="","",IF(VLOOKUP(Y80,'G-3 Multipliers'!$S$3:$T$10,2,FALSE)=0,"Spatial Data Missing ⚠",VLOOKUP(Y80,'G-3 Multipliers'!$S$3:$T$10,2,FALSE)))</f>
        <v/>
      </c>
      <c r="AA80" s="926" t="str">
        <f t="shared" si="8"/>
        <v/>
      </c>
      <c r="AB80" s="928" t="str">
        <f t="shared" si="13"/>
        <v/>
      </c>
      <c r="AC80" s="105"/>
      <c r="AD80" s="138"/>
      <c r="AE80" s="233"/>
      <c r="AF80" s="138"/>
      <c r="AG80" s="934"/>
      <c r="AJ80" s="40" t="str">
        <f t="shared" si="9"/>
        <v/>
      </c>
    </row>
    <row r="81" spans="1:36" ht="14">
      <c r="A81" s="30" t="str">
        <f>IFERROR(INDEX('G-8 Condition Look up'!$I$4:$I$135,MATCH(F81,'G-8 Condition Look up'!$A$4:$A$135,0)),"")</f>
        <v/>
      </c>
      <c r="B81" s="225">
        <v>71</v>
      </c>
      <c r="C81" s="66" t="str">
        <f>IFERROR(INDEX('G-1 All Habitats'!$AG$25:$AG$41,MATCH(D81,'G-1 All Habitats'!AF$25:AF$41,0)),"")</f>
        <v/>
      </c>
      <c r="D81" s="105"/>
      <c r="E81" s="138"/>
      <c r="F81" s="158" t="str">
        <f>IFERROR(INDEX('G-1 All Habitats'!$B$3:$B$136,MATCH(E81,'G-1 All Habitats'!$A$3:$A$136,0)),"")</f>
        <v/>
      </c>
      <c r="G81" s="233"/>
      <c r="H81" s="311" t="str">
        <f>IF(F81="","",VLOOKUP(F81,'G-1 All Habitats'!$B$2:$M$135,10,FALSE))</f>
        <v/>
      </c>
      <c r="I81" s="299" t="str">
        <f>IFERROR(VLOOKUP(H81,'G-1 All Habitats'!$V$3:$W$7,2,FALSE),"")</f>
        <v/>
      </c>
      <c r="J81" s="136"/>
      <c r="K81" s="299" t="str">
        <f>IFERROR(INDEX('G-8 Condition Look up'!$A$3:$H$135,MATCH(F81,'G-8 Condition Look up'!$A$3:$A$135,0),MATCH(J81,'G-8 Condition Look up'!$A$3:$H$3,0)),"")</f>
        <v/>
      </c>
      <c r="L81" s="101"/>
      <c r="M81" s="314" t="str">
        <f>IF(L81="","",IF(VLOOKUP(L81,'G-3 Multipliers'!$L$3:$N$6,2,FALSE)=0,"Spatial Data Missing ⚠",VLOOKUP(L81,'G-3 Multipliers'!$L$3:$N$6,2,FALSE)))</f>
        <v/>
      </c>
      <c r="N81" s="276" t="str">
        <f>IF(L81="","",IF(VLOOKUP(L81,'G-3 Multipliers'!$L$3:$N$6,3,FALSE)=0,"Spatial Data Missing ⚠",VLOOKUP(L81,'G-3 Multipliers'!$L$3:$N$6,3,FALSE)))</f>
        <v/>
      </c>
      <c r="O81" s="275" t="str">
        <f t="shared" si="7"/>
        <v/>
      </c>
      <c r="P81" s="133"/>
      <c r="Q81" s="133"/>
      <c r="R81" s="295" t="str">
        <f t="shared" si="10"/>
        <v/>
      </c>
      <c r="S81" s="316" t="str">
        <f t="shared" si="11"/>
        <v/>
      </c>
      <c r="T81" s="300" t="str">
        <f>IFERROR(IF(S81="Check Data ⚠","Check Data ⚠",VLOOKUP(S81,'G-4 Temporal multipliers'!$A$4:$C$37,3,FALSE)),"")</f>
        <v/>
      </c>
      <c r="U81" s="298" t="str">
        <f>IF(F81="","",VLOOKUP(F81,'G-3 Multipliers'!$A$2:$E$134,2,FALSE))</f>
        <v/>
      </c>
      <c r="V81" s="295" t="str">
        <f t="shared" si="12"/>
        <v/>
      </c>
      <c r="W81" s="295" t="str">
        <f>IF(E81="","",IF(AND(V81="Standard difficulty applied",O81&gt;P81),U81,IF(AND(V81="Low Difficulty - only applicable if all habitat created before losses ⚠",P81&gt;=O81),"Low",VLOOKUP(F81,'G-3 Multipliers'!$A$2:$E$134,4,FALSE))))</f>
        <v/>
      </c>
      <c r="X81" s="299" t="str">
        <f>IFERROR(IF(E81="","",VLOOKUP(W81,'G-3 Multipliers'!$P$2:$Q$6,2,FALSE)),"")</f>
        <v/>
      </c>
      <c r="Y81" s="393"/>
      <c r="Z81" s="510" t="str">
        <f>IF(Y81="","",IF(VLOOKUP(Y81,'G-3 Multipliers'!$S$3:$T$10,2,FALSE)=0,"Spatial Data Missing ⚠",VLOOKUP(Y81,'G-3 Multipliers'!$S$3:$T$10,2,FALSE)))</f>
        <v/>
      </c>
      <c r="AA81" s="926" t="str">
        <f t="shared" si="8"/>
        <v/>
      </c>
      <c r="AB81" s="928" t="str">
        <f t="shared" si="13"/>
        <v/>
      </c>
      <c r="AC81" s="105"/>
      <c r="AD81" s="138"/>
      <c r="AE81" s="233"/>
      <c r="AF81" s="138"/>
      <c r="AG81" s="934"/>
      <c r="AJ81" s="40" t="str">
        <f t="shared" si="9"/>
        <v/>
      </c>
    </row>
    <row r="82" spans="1:36" ht="14">
      <c r="A82" s="30" t="str">
        <f>IFERROR(INDEX('G-8 Condition Look up'!$I$4:$I$135,MATCH(F82,'G-8 Condition Look up'!$A$4:$A$135,0)),"")</f>
        <v/>
      </c>
      <c r="B82" s="225">
        <v>72</v>
      </c>
      <c r="C82" s="66" t="str">
        <f>IFERROR(INDEX('G-1 All Habitats'!$AG$25:$AG$41,MATCH(D82,'G-1 All Habitats'!AF$25:AF$41,0)),"")</f>
        <v/>
      </c>
      <c r="D82" s="105"/>
      <c r="E82" s="138"/>
      <c r="F82" s="158" t="str">
        <f>IFERROR(INDEX('G-1 All Habitats'!$B$3:$B$136,MATCH(E82,'G-1 All Habitats'!$A$3:$A$136,0)),"")</f>
        <v/>
      </c>
      <c r="G82" s="233"/>
      <c r="H82" s="311" t="str">
        <f>IF(F82="","",VLOOKUP(F82,'G-1 All Habitats'!$B$2:$M$135,10,FALSE))</f>
        <v/>
      </c>
      <c r="I82" s="299" t="str">
        <f>IFERROR(VLOOKUP(H82,'G-1 All Habitats'!$V$3:$W$7,2,FALSE),"")</f>
        <v/>
      </c>
      <c r="J82" s="136"/>
      <c r="K82" s="299" t="str">
        <f>IFERROR(INDEX('G-8 Condition Look up'!$A$3:$H$135,MATCH(F82,'G-8 Condition Look up'!$A$3:$A$135,0),MATCH(J82,'G-8 Condition Look up'!$A$3:$H$3,0)),"")</f>
        <v/>
      </c>
      <c r="L82" s="101"/>
      <c r="M82" s="314" t="str">
        <f>IF(L82="","",IF(VLOOKUP(L82,'G-3 Multipliers'!$L$3:$N$6,2,FALSE)=0,"Spatial Data Missing ⚠",VLOOKUP(L82,'G-3 Multipliers'!$L$3:$N$6,2,FALSE)))</f>
        <v/>
      </c>
      <c r="N82" s="276" t="str">
        <f>IF(L82="","",IF(VLOOKUP(L82,'G-3 Multipliers'!$L$3:$N$6,3,FALSE)=0,"Spatial Data Missing ⚠",VLOOKUP(L82,'G-3 Multipliers'!$L$3:$N$6,3,FALSE)))</f>
        <v/>
      </c>
      <c r="O82" s="275" t="str">
        <f t="shared" si="7"/>
        <v/>
      </c>
      <c r="P82" s="133"/>
      <c r="Q82" s="133"/>
      <c r="R82" s="295" t="str">
        <f t="shared" si="10"/>
        <v/>
      </c>
      <c r="S82" s="316" t="str">
        <f t="shared" si="11"/>
        <v/>
      </c>
      <c r="T82" s="300" t="str">
        <f>IFERROR(IF(S82="Check Data ⚠","Check Data ⚠",VLOOKUP(S82,'G-4 Temporal multipliers'!$A$4:$C$37,3,FALSE)),"")</f>
        <v/>
      </c>
      <c r="U82" s="298" t="str">
        <f>IF(F82="","",VLOOKUP(F82,'G-3 Multipliers'!$A$2:$E$134,2,FALSE))</f>
        <v/>
      </c>
      <c r="V82" s="295" t="str">
        <f t="shared" si="12"/>
        <v/>
      </c>
      <c r="W82" s="295" t="str">
        <f>IF(E82="","",IF(AND(V82="Standard difficulty applied",O82&gt;P82),U82,IF(AND(V82="Low Difficulty - only applicable if all habitat created before losses ⚠",P82&gt;=O82),"Low",VLOOKUP(F82,'G-3 Multipliers'!$A$2:$E$134,4,FALSE))))</f>
        <v/>
      </c>
      <c r="X82" s="299" t="str">
        <f>IFERROR(IF(E82="","",VLOOKUP(W82,'G-3 Multipliers'!$P$2:$Q$6,2,FALSE)),"")</f>
        <v/>
      </c>
      <c r="Y82" s="393"/>
      <c r="Z82" s="510" t="str">
        <f>IF(Y82="","",IF(VLOOKUP(Y82,'G-3 Multipliers'!$S$3:$T$10,2,FALSE)=0,"Spatial Data Missing ⚠",VLOOKUP(Y82,'G-3 Multipliers'!$S$3:$T$10,2,FALSE)))</f>
        <v/>
      </c>
      <c r="AA82" s="926" t="str">
        <f t="shared" si="8"/>
        <v/>
      </c>
      <c r="AB82" s="928" t="str">
        <f t="shared" si="13"/>
        <v/>
      </c>
      <c r="AC82" s="105"/>
      <c r="AD82" s="138"/>
      <c r="AE82" s="233"/>
      <c r="AF82" s="138"/>
      <c r="AG82" s="934"/>
      <c r="AJ82" s="40" t="str">
        <f t="shared" si="9"/>
        <v/>
      </c>
    </row>
    <row r="83" spans="1:36" ht="14">
      <c r="A83" s="30" t="str">
        <f>IFERROR(INDEX('G-8 Condition Look up'!$I$4:$I$135,MATCH(F83,'G-8 Condition Look up'!$A$4:$A$135,0)),"")</f>
        <v/>
      </c>
      <c r="B83" s="225">
        <v>73</v>
      </c>
      <c r="C83" s="66" t="str">
        <f>IFERROR(INDEX('G-1 All Habitats'!$AG$25:$AG$41,MATCH(D83,'G-1 All Habitats'!AF$25:AF$41,0)),"")</f>
        <v/>
      </c>
      <c r="D83" s="105"/>
      <c r="E83" s="138"/>
      <c r="F83" s="158" t="str">
        <f>IFERROR(INDEX('G-1 All Habitats'!$B$3:$B$136,MATCH(E83,'G-1 All Habitats'!$A$3:$A$136,0)),"")</f>
        <v/>
      </c>
      <c r="G83" s="233"/>
      <c r="H83" s="311" t="str">
        <f>IF(F83="","",VLOOKUP(F83,'G-1 All Habitats'!$B$2:$M$135,10,FALSE))</f>
        <v/>
      </c>
      <c r="I83" s="299" t="str">
        <f>IFERROR(VLOOKUP(H83,'G-1 All Habitats'!$V$3:$W$7,2,FALSE),"")</f>
        <v/>
      </c>
      <c r="J83" s="136"/>
      <c r="K83" s="299" t="str">
        <f>IFERROR(INDEX('G-8 Condition Look up'!$A$3:$H$135,MATCH(F83,'G-8 Condition Look up'!$A$3:$A$135,0),MATCH(J83,'G-8 Condition Look up'!$A$3:$H$3,0)),"")</f>
        <v/>
      </c>
      <c r="L83" s="101"/>
      <c r="M83" s="314" t="str">
        <f>IF(L83="","",IF(VLOOKUP(L83,'G-3 Multipliers'!$L$3:$N$6,2,FALSE)=0,"Spatial Data Missing ⚠",VLOOKUP(L83,'G-3 Multipliers'!$L$3:$N$6,2,FALSE)))</f>
        <v/>
      </c>
      <c r="N83" s="276" t="str">
        <f>IF(L83="","",IF(VLOOKUP(L83,'G-3 Multipliers'!$L$3:$N$6,3,FALSE)=0,"Spatial Data Missing ⚠",VLOOKUP(L83,'G-3 Multipliers'!$L$3:$N$6,3,FALSE)))</f>
        <v/>
      </c>
      <c r="O83" s="275" t="str">
        <f t="shared" si="7"/>
        <v/>
      </c>
      <c r="P83" s="133"/>
      <c r="Q83" s="133"/>
      <c r="R83" s="295" t="str">
        <f t="shared" si="10"/>
        <v/>
      </c>
      <c r="S83" s="316" t="str">
        <f t="shared" si="11"/>
        <v/>
      </c>
      <c r="T83" s="300" t="str">
        <f>IFERROR(IF(S83="Check Data ⚠","Check Data ⚠",VLOOKUP(S83,'G-4 Temporal multipliers'!$A$4:$C$37,3,FALSE)),"")</f>
        <v/>
      </c>
      <c r="U83" s="298" t="str">
        <f>IF(F83="","",VLOOKUP(F83,'G-3 Multipliers'!$A$2:$E$134,2,FALSE))</f>
        <v/>
      </c>
      <c r="V83" s="295" t="str">
        <f t="shared" si="12"/>
        <v/>
      </c>
      <c r="W83" s="295" t="str">
        <f>IF(E83="","",IF(AND(V83="Standard difficulty applied",O83&gt;P83),U83,IF(AND(V83="Low Difficulty - only applicable if all habitat created before losses ⚠",P83&gt;=O83),"Low",VLOOKUP(F83,'G-3 Multipliers'!$A$2:$E$134,4,FALSE))))</f>
        <v/>
      </c>
      <c r="X83" s="299" t="str">
        <f>IFERROR(IF(E83="","",VLOOKUP(W83,'G-3 Multipliers'!$P$2:$Q$6,2,FALSE)),"")</f>
        <v/>
      </c>
      <c r="Y83" s="393"/>
      <c r="Z83" s="510" t="str">
        <f>IF(Y83="","",IF(VLOOKUP(Y83,'G-3 Multipliers'!$S$3:$T$10,2,FALSE)=0,"Spatial Data Missing ⚠",VLOOKUP(Y83,'G-3 Multipliers'!$S$3:$T$10,2,FALSE)))</f>
        <v/>
      </c>
      <c r="AA83" s="926" t="str">
        <f t="shared" si="8"/>
        <v/>
      </c>
      <c r="AB83" s="928" t="str">
        <f t="shared" si="13"/>
        <v/>
      </c>
      <c r="AC83" s="105"/>
      <c r="AD83" s="138"/>
      <c r="AE83" s="233"/>
      <c r="AF83" s="138"/>
      <c r="AG83" s="934"/>
      <c r="AJ83" s="40" t="str">
        <f t="shared" si="9"/>
        <v/>
      </c>
    </row>
    <row r="84" spans="1:36" ht="14">
      <c r="A84" s="30" t="str">
        <f>IFERROR(INDEX('G-8 Condition Look up'!$I$4:$I$135,MATCH(F84,'G-8 Condition Look up'!$A$4:$A$135,0)),"")</f>
        <v/>
      </c>
      <c r="B84" s="225">
        <v>74</v>
      </c>
      <c r="C84" s="66" t="str">
        <f>IFERROR(INDEX('G-1 All Habitats'!$AG$25:$AG$41,MATCH(D84,'G-1 All Habitats'!AF$25:AF$41,0)),"")</f>
        <v/>
      </c>
      <c r="D84" s="105"/>
      <c r="E84" s="138"/>
      <c r="F84" s="158" t="str">
        <f>IFERROR(INDEX('G-1 All Habitats'!$B$3:$B$136,MATCH(E84,'G-1 All Habitats'!$A$3:$A$136,0)),"")</f>
        <v/>
      </c>
      <c r="G84" s="233"/>
      <c r="H84" s="311" t="str">
        <f>IF(F84="","",VLOOKUP(F84,'G-1 All Habitats'!$B$2:$M$135,10,FALSE))</f>
        <v/>
      </c>
      <c r="I84" s="299" t="str">
        <f>IFERROR(VLOOKUP(H84,'G-1 All Habitats'!$V$3:$W$7,2,FALSE),"")</f>
        <v/>
      </c>
      <c r="J84" s="136"/>
      <c r="K84" s="299" t="str">
        <f>IFERROR(INDEX('G-8 Condition Look up'!$A$3:$H$135,MATCH(F84,'G-8 Condition Look up'!$A$3:$A$135,0),MATCH(J84,'G-8 Condition Look up'!$A$3:$H$3,0)),"")</f>
        <v/>
      </c>
      <c r="L84" s="101"/>
      <c r="M84" s="314" t="str">
        <f>IF(L84="","",IF(VLOOKUP(L84,'G-3 Multipliers'!$L$3:$N$6,2,FALSE)=0,"Spatial Data Missing ⚠",VLOOKUP(L84,'G-3 Multipliers'!$L$3:$N$6,2,FALSE)))</f>
        <v/>
      </c>
      <c r="N84" s="276" t="str">
        <f>IF(L84="","",IF(VLOOKUP(L84,'G-3 Multipliers'!$L$3:$N$6,3,FALSE)=0,"Spatial Data Missing ⚠",VLOOKUP(L84,'G-3 Multipliers'!$L$3:$N$6,3,FALSE)))</f>
        <v/>
      </c>
      <c r="O84" s="275" t="str">
        <f t="shared" si="7"/>
        <v/>
      </c>
      <c r="P84" s="133"/>
      <c r="Q84" s="133"/>
      <c r="R84" s="295" t="str">
        <f t="shared" si="10"/>
        <v/>
      </c>
      <c r="S84" s="316" t="str">
        <f t="shared" si="11"/>
        <v/>
      </c>
      <c r="T84" s="300" t="str">
        <f>IFERROR(IF(S84="Check Data ⚠","Check Data ⚠",VLOOKUP(S84,'G-4 Temporal multipliers'!$A$4:$C$37,3,FALSE)),"")</f>
        <v/>
      </c>
      <c r="U84" s="298" t="str">
        <f>IF(F84="","",VLOOKUP(F84,'G-3 Multipliers'!$A$2:$E$134,2,FALSE))</f>
        <v/>
      </c>
      <c r="V84" s="295" t="str">
        <f t="shared" si="12"/>
        <v/>
      </c>
      <c r="W84" s="295" t="str">
        <f>IF(E84="","",IF(AND(V84="Standard difficulty applied",O84&gt;P84),U84,IF(AND(V84="Low Difficulty - only applicable if all habitat created before losses ⚠",P84&gt;=O84),"Low",VLOOKUP(F84,'G-3 Multipliers'!$A$2:$E$134,4,FALSE))))</f>
        <v/>
      </c>
      <c r="X84" s="299" t="str">
        <f>IFERROR(IF(E84="","",VLOOKUP(W84,'G-3 Multipliers'!$P$2:$Q$6,2,FALSE)),"")</f>
        <v/>
      </c>
      <c r="Y84" s="393"/>
      <c r="Z84" s="510" t="str">
        <f>IF(Y84="","",IF(VLOOKUP(Y84,'G-3 Multipliers'!$S$3:$T$10,2,FALSE)=0,"Spatial Data Missing ⚠",VLOOKUP(Y84,'G-3 Multipliers'!$S$3:$T$10,2,FALSE)))</f>
        <v/>
      </c>
      <c r="AA84" s="926" t="str">
        <f t="shared" si="8"/>
        <v/>
      </c>
      <c r="AB84" s="928" t="str">
        <f t="shared" si="13"/>
        <v/>
      </c>
      <c r="AC84" s="105"/>
      <c r="AD84" s="138"/>
      <c r="AE84" s="233"/>
      <c r="AF84" s="138"/>
      <c r="AG84" s="934"/>
      <c r="AJ84" s="40" t="str">
        <f t="shared" si="9"/>
        <v/>
      </c>
    </row>
    <row r="85" spans="1:36" ht="14">
      <c r="A85" s="30" t="str">
        <f>IFERROR(INDEX('G-8 Condition Look up'!$I$4:$I$135,MATCH(F85,'G-8 Condition Look up'!$A$4:$A$135,0)),"")</f>
        <v/>
      </c>
      <c r="B85" s="225">
        <v>75</v>
      </c>
      <c r="C85" s="66" t="str">
        <f>IFERROR(INDEX('G-1 All Habitats'!$AG$25:$AG$41,MATCH(D85,'G-1 All Habitats'!AF$25:AF$41,0)),"")</f>
        <v/>
      </c>
      <c r="D85" s="105"/>
      <c r="E85" s="138"/>
      <c r="F85" s="158" t="str">
        <f>IFERROR(INDEX('G-1 All Habitats'!$B$3:$B$136,MATCH(E85,'G-1 All Habitats'!$A$3:$A$136,0)),"")</f>
        <v/>
      </c>
      <c r="G85" s="233"/>
      <c r="H85" s="311" t="str">
        <f>IF(F85="","",VLOOKUP(F85,'G-1 All Habitats'!$B$2:$M$135,10,FALSE))</f>
        <v/>
      </c>
      <c r="I85" s="299" t="str">
        <f>IFERROR(VLOOKUP(H85,'G-1 All Habitats'!$V$3:$W$7,2,FALSE),"")</f>
        <v/>
      </c>
      <c r="J85" s="136"/>
      <c r="K85" s="299" t="str">
        <f>IFERROR(INDEX('G-8 Condition Look up'!$A$3:$H$135,MATCH(F85,'G-8 Condition Look up'!$A$3:$A$135,0),MATCH(J85,'G-8 Condition Look up'!$A$3:$H$3,0)),"")</f>
        <v/>
      </c>
      <c r="L85" s="101"/>
      <c r="M85" s="314" t="str">
        <f>IF(L85="","",IF(VLOOKUP(L85,'G-3 Multipliers'!$L$3:$N$6,2,FALSE)=0,"Spatial Data Missing ⚠",VLOOKUP(L85,'G-3 Multipliers'!$L$3:$N$6,2,FALSE)))</f>
        <v/>
      </c>
      <c r="N85" s="276" t="str">
        <f>IF(L85="","",IF(VLOOKUP(L85,'G-3 Multipliers'!$L$3:$N$6,3,FALSE)=0,"Spatial Data Missing ⚠",VLOOKUP(L85,'G-3 Multipliers'!$L$3:$N$6,3,FALSE)))</f>
        <v/>
      </c>
      <c r="O85" s="275" t="str">
        <f t="shared" si="7"/>
        <v/>
      </c>
      <c r="P85" s="133"/>
      <c r="Q85" s="133"/>
      <c r="R85" s="295" t="str">
        <f t="shared" si="10"/>
        <v/>
      </c>
      <c r="S85" s="316" t="str">
        <f t="shared" si="11"/>
        <v/>
      </c>
      <c r="T85" s="300" t="str">
        <f>IFERROR(IF(S85="Check Data ⚠","Check Data ⚠",VLOOKUP(S85,'G-4 Temporal multipliers'!$A$4:$C$37,3,FALSE)),"")</f>
        <v/>
      </c>
      <c r="U85" s="298" t="str">
        <f>IF(F85="","",VLOOKUP(F85,'G-3 Multipliers'!$A$2:$E$134,2,FALSE))</f>
        <v/>
      </c>
      <c r="V85" s="295" t="str">
        <f t="shared" si="12"/>
        <v/>
      </c>
      <c r="W85" s="295" t="str">
        <f>IF(E85="","",IF(AND(V85="Standard difficulty applied",O85&gt;P85),U85,IF(AND(V85="Low Difficulty - only applicable if all habitat created before losses ⚠",P85&gt;=O85),"Low",VLOOKUP(F85,'G-3 Multipliers'!$A$2:$E$134,4,FALSE))))</f>
        <v/>
      </c>
      <c r="X85" s="299" t="str">
        <f>IFERROR(IF(E85="","",VLOOKUP(W85,'G-3 Multipliers'!$P$2:$Q$6,2,FALSE)),"")</f>
        <v/>
      </c>
      <c r="Y85" s="393"/>
      <c r="Z85" s="510" t="str">
        <f>IF(Y85="","",IF(VLOOKUP(Y85,'G-3 Multipliers'!$S$3:$T$10,2,FALSE)=0,"Spatial Data Missing ⚠",VLOOKUP(Y85,'G-3 Multipliers'!$S$3:$T$10,2,FALSE)))</f>
        <v/>
      </c>
      <c r="AA85" s="926" t="str">
        <f t="shared" si="8"/>
        <v/>
      </c>
      <c r="AB85" s="928" t="str">
        <f t="shared" si="13"/>
        <v/>
      </c>
      <c r="AC85" s="105"/>
      <c r="AD85" s="138"/>
      <c r="AE85" s="233"/>
      <c r="AF85" s="138"/>
      <c r="AG85" s="934"/>
      <c r="AJ85" s="40" t="str">
        <f t="shared" si="9"/>
        <v/>
      </c>
    </row>
    <row r="86" spans="1:36" ht="14">
      <c r="A86" s="30" t="str">
        <f>IFERROR(INDEX('G-8 Condition Look up'!$I$4:$I$135,MATCH(F86,'G-8 Condition Look up'!$A$4:$A$135,0)),"")</f>
        <v/>
      </c>
      <c r="B86" s="225">
        <v>76</v>
      </c>
      <c r="C86" s="66" t="str">
        <f>IFERROR(INDEX('G-1 All Habitats'!$AG$25:$AG$41,MATCH(D86,'G-1 All Habitats'!AF$25:AF$41,0)),"")</f>
        <v/>
      </c>
      <c r="D86" s="105"/>
      <c r="E86" s="138"/>
      <c r="F86" s="158" t="str">
        <f>IFERROR(INDEX('G-1 All Habitats'!$B$3:$B$136,MATCH(E86,'G-1 All Habitats'!$A$3:$A$136,0)),"")</f>
        <v/>
      </c>
      <c r="G86" s="233"/>
      <c r="H86" s="311" t="str">
        <f>IF(F86="","",VLOOKUP(F86,'G-1 All Habitats'!$B$2:$M$135,10,FALSE))</f>
        <v/>
      </c>
      <c r="I86" s="299" t="str">
        <f>IFERROR(VLOOKUP(H86,'G-1 All Habitats'!$V$3:$W$7,2,FALSE),"")</f>
        <v/>
      </c>
      <c r="J86" s="136"/>
      <c r="K86" s="299" t="str">
        <f>IFERROR(INDEX('G-8 Condition Look up'!$A$3:$H$135,MATCH(F86,'G-8 Condition Look up'!$A$3:$A$135,0),MATCH(J86,'G-8 Condition Look up'!$A$3:$H$3,0)),"")</f>
        <v/>
      </c>
      <c r="L86" s="101"/>
      <c r="M86" s="314" t="str">
        <f>IF(L86="","",IF(VLOOKUP(L86,'G-3 Multipliers'!$L$3:$N$6,2,FALSE)=0,"Spatial Data Missing ⚠",VLOOKUP(L86,'G-3 Multipliers'!$L$3:$N$6,2,FALSE)))</f>
        <v/>
      </c>
      <c r="N86" s="276" t="str">
        <f>IF(L86="","",IF(VLOOKUP(L86,'G-3 Multipliers'!$L$3:$N$6,3,FALSE)=0,"Spatial Data Missing ⚠",VLOOKUP(L86,'G-3 Multipliers'!$L$3:$N$6,3,FALSE)))</f>
        <v/>
      </c>
      <c r="O86" s="275" t="str">
        <f t="shared" si="7"/>
        <v/>
      </c>
      <c r="P86" s="133"/>
      <c r="Q86" s="133"/>
      <c r="R86" s="295" t="str">
        <f t="shared" si="10"/>
        <v/>
      </c>
      <c r="S86" s="316" t="str">
        <f t="shared" si="11"/>
        <v/>
      </c>
      <c r="T86" s="300" t="str">
        <f>IFERROR(IF(S86="Check Data ⚠","Check Data ⚠",VLOOKUP(S86,'G-4 Temporal multipliers'!$A$4:$C$37,3,FALSE)),"")</f>
        <v/>
      </c>
      <c r="U86" s="298" t="str">
        <f>IF(F86="","",VLOOKUP(F86,'G-3 Multipliers'!$A$2:$E$134,2,FALSE))</f>
        <v/>
      </c>
      <c r="V86" s="295" t="str">
        <f t="shared" si="12"/>
        <v/>
      </c>
      <c r="W86" s="295" t="str">
        <f>IF(E86="","",IF(AND(V86="Standard difficulty applied",O86&gt;P86),U86,IF(AND(V86="Low Difficulty - only applicable if all habitat created before losses ⚠",P86&gt;=O86),"Low",VLOOKUP(F86,'G-3 Multipliers'!$A$2:$E$134,4,FALSE))))</f>
        <v/>
      </c>
      <c r="X86" s="299" t="str">
        <f>IFERROR(IF(E86="","",VLOOKUP(W86,'G-3 Multipliers'!$P$2:$Q$6,2,FALSE)),"")</f>
        <v/>
      </c>
      <c r="Y86" s="393"/>
      <c r="Z86" s="510" t="str">
        <f>IF(Y86="","",IF(VLOOKUP(Y86,'G-3 Multipliers'!$S$3:$T$10,2,FALSE)=0,"Spatial Data Missing ⚠",VLOOKUP(Y86,'G-3 Multipliers'!$S$3:$T$10,2,FALSE)))</f>
        <v/>
      </c>
      <c r="AA86" s="926" t="str">
        <f t="shared" si="8"/>
        <v/>
      </c>
      <c r="AB86" s="928" t="str">
        <f t="shared" si="13"/>
        <v/>
      </c>
      <c r="AC86" s="105"/>
      <c r="AD86" s="138"/>
      <c r="AE86" s="233"/>
      <c r="AF86" s="138"/>
      <c r="AG86" s="934"/>
      <c r="AJ86" s="40" t="str">
        <f t="shared" si="9"/>
        <v/>
      </c>
    </row>
    <row r="87" spans="1:36" ht="14">
      <c r="A87" s="30" t="str">
        <f>IFERROR(INDEX('G-8 Condition Look up'!$I$4:$I$135,MATCH(F87,'G-8 Condition Look up'!$A$4:$A$135,0)),"")</f>
        <v/>
      </c>
      <c r="B87" s="225">
        <v>77</v>
      </c>
      <c r="C87" s="66" t="str">
        <f>IFERROR(INDEX('G-1 All Habitats'!$AG$25:$AG$41,MATCH(D87,'G-1 All Habitats'!AF$25:AF$41,0)),"")</f>
        <v/>
      </c>
      <c r="D87" s="105"/>
      <c r="E87" s="138"/>
      <c r="F87" s="158" t="str">
        <f>IFERROR(INDEX('G-1 All Habitats'!$B$3:$B$136,MATCH(E87,'G-1 All Habitats'!$A$3:$A$136,0)),"")</f>
        <v/>
      </c>
      <c r="G87" s="233"/>
      <c r="H87" s="311" t="str">
        <f>IF(F87="","",VLOOKUP(F87,'G-1 All Habitats'!$B$2:$M$135,10,FALSE))</f>
        <v/>
      </c>
      <c r="I87" s="299" t="str">
        <f>IFERROR(VLOOKUP(H87,'G-1 All Habitats'!$V$3:$W$7,2,FALSE),"")</f>
        <v/>
      </c>
      <c r="J87" s="136"/>
      <c r="K87" s="299" t="str">
        <f>IFERROR(INDEX('G-8 Condition Look up'!$A$3:$H$135,MATCH(F87,'G-8 Condition Look up'!$A$3:$A$135,0),MATCH(J87,'G-8 Condition Look up'!$A$3:$H$3,0)),"")</f>
        <v/>
      </c>
      <c r="L87" s="101"/>
      <c r="M87" s="314" t="str">
        <f>IF(L87="","",IF(VLOOKUP(L87,'G-3 Multipliers'!$L$3:$N$6,2,FALSE)=0,"Spatial Data Missing ⚠",VLOOKUP(L87,'G-3 Multipliers'!$L$3:$N$6,2,FALSE)))</f>
        <v/>
      </c>
      <c r="N87" s="276" t="str">
        <f>IF(L87="","",IF(VLOOKUP(L87,'G-3 Multipliers'!$L$3:$N$6,3,FALSE)=0,"Spatial Data Missing ⚠",VLOOKUP(L87,'G-3 Multipliers'!$L$3:$N$6,3,FALSE)))</f>
        <v/>
      </c>
      <c r="O87" s="275" t="str">
        <f t="shared" si="7"/>
        <v/>
      </c>
      <c r="P87" s="133"/>
      <c r="Q87" s="133"/>
      <c r="R87" s="295" t="str">
        <f t="shared" si="10"/>
        <v/>
      </c>
      <c r="S87" s="316" t="str">
        <f t="shared" si="11"/>
        <v/>
      </c>
      <c r="T87" s="300" t="str">
        <f>IFERROR(IF(S87="Check Data ⚠","Check Data ⚠",VLOOKUP(S87,'G-4 Temporal multipliers'!$A$4:$C$37,3,FALSE)),"")</f>
        <v/>
      </c>
      <c r="U87" s="298" t="str">
        <f>IF(F87="","",VLOOKUP(F87,'G-3 Multipliers'!$A$2:$E$134,2,FALSE))</f>
        <v/>
      </c>
      <c r="V87" s="295" t="str">
        <f t="shared" si="12"/>
        <v/>
      </c>
      <c r="W87" s="295" t="str">
        <f>IF(E87="","",IF(AND(V87="Standard difficulty applied",O87&gt;P87),U87,IF(AND(V87="Low Difficulty - only applicable if all habitat created before losses ⚠",P87&gt;=O87),"Low",VLOOKUP(F87,'G-3 Multipliers'!$A$2:$E$134,4,FALSE))))</f>
        <v/>
      </c>
      <c r="X87" s="299" t="str">
        <f>IFERROR(IF(E87="","",VLOOKUP(W87,'G-3 Multipliers'!$P$2:$Q$6,2,FALSE)),"")</f>
        <v/>
      </c>
      <c r="Y87" s="393"/>
      <c r="Z87" s="510" t="str">
        <f>IF(Y87="","",IF(VLOOKUP(Y87,'G-3 Multipliers'!$S$3:$T$10,2,FALSE)=0,"Spatial Data Missing ⚠",VLOOKUP(Y87,'G-3 Multipliers'!$S$3:$T$10,2,FALSE)))</f>
        <v/>
      </c>
      <c r="AA87" s="926" t="str">
        <f t="shared" si="8"/>
        <v/>
      </c>
      <c r="AB87" s="928" t="str">
        <f t="shared" si="13"/>
        <v/>
      </c>
      <c r="AC87" s="105"/>
      <c r="AD87" s="138"/>
      <c r="AE87" s="233"/>
      <c r="AF87" s="138"/>
      <c r="AG87" s="934"/>
      <c r="AJ87" s="40" t="str">
        <f t="shared" si="9"/>
        <v/>
      </c>
    </row>
    <row r="88" spans="1:36" ht="14">
      <c r="A88" s="30" t="str">
        <f>IFERROR(INDEX('G-8 Condition Look up'!$I$4:$I$135,MATCH(F88,'G-8 Condition Look up'!$A$4:$A$135,0)),"")</f>
        <v/>
      </c>
      <c r="B88" s="225">
        <v>78</v>
      </c>
      <c r="C88" s="66" t="str">
        <f>IFERROR(INDEX('G-1 All Habitats'!$AG$25:$AG$41,MATCH(D88,'G-1 All Habitats'!AF$25:AF$41,0)),"")</f>
        <v/>
      </c>
      <c r="D88" s="105"/>
      <c r="E88" s="138"/>
      <c r="F88" s="158" t="str">
        <f>IFERROR(INDEX('G-1 All Habitats'!$B$3:$B$136,MATCH(E88,'G-1 All Habitats'!$A$3:$A$136,0)),"")</f>
        <v/>
      </c>
      <c r="G88" s="233"/>
      <c r="H88" s="311" t="str">
        <f>IF(F88="","",VLOOKUP(F88,'G-1 All Habitats'!$B$2:$M$135,10,FALSE))</f>
        <v/>
      </c>
      <c r="I88" s="299" t="str">
        <f>IFERROR(VLOOKUP(H88,'G-1 All Habitats'!$V$3:$W$7,2,FALSE),"")</f>
        <v/>
      </c>
      <c r="J88" s="136"/>
      <c r="K88" s="299" t="str">
        <f>IFERROR(INDEX('G-8 Condition Look up'!$A$3:$H$135,MATCH(F88,'G-8 Condition Look up'!$A$3:$A$135,0),MATCH(J88,'G-8 Condition Look up'!$A$3:$H$3,0)),"")</f>
        <v/>
      </c>
      <c r="L88" s="101"/>
      <c r="M88" s="314" t="str">
        <f>IF(L88="","",IF(VLOOKUP(L88,'G-3 Multipliers'!$L$3:$N$6,2,FALSE)=0,"Spatial Data Missing ⚠",VLOOKUP(L88,'G-3 Multipliers'!$L$3:$N$6,2,FALSE)))</f>
        <v/>
      </c>
      <c r="N88" s="276" t="str">
        <f>IF(L88="","",IF(VLOOKUP(L88,'G-3 Multipliers'!$L$3:$N$6,3,FALSE)=0,"Spatial Data Missing ⚠",VLOOKUP(L88,'G-3 Multipliers'!$L$3:$N$6,3,FALSE)))</f>
        <v/>
      </c>
      <c r="O88" s="275" t="str">
        <f t="shared" si="7"/>
        <v/>
      </c>
      <c r="P88" s="133"/>
      <c r="Q88" s="133"/>
      <c r="R88" s="295" t="str">
        <f t="shared" si="10"/>
        <v/>
      </c>
      <c r="S88" s="316" t="str">
        <f t="shared" si="11"/>
        <v/>
      </c>
      <c r="T88" s="300" t="str">
        <f>IFERROR(IF(S88="Check Data ⚠","Check Data ⚠",VLOOKUP(S88,'G-4 Temporal multipliers'!$A$4:$C$37,3,FALSE)),"")</f>
        <v/>
      </c>
      <c r="U88" s="298" t="str">
        <f>IF(F88="","",VLOOKUP(F88,'G-3 Multipliers'!$A$2:$E$134,2,FALSE))</f>
        <v/>
      </c>
      <c r="V88" s="295" t="str">
        <f t="shared" si="12"/>
        <v/>
      </c>
      <c r="W88" s="295" t="str">
        <f>IF(E88="","",IF(AND(V88="Standard difficulty applied",O88&gt;P88),U88,IF(AND(V88="Low Difficulty - only applicable if all habitat created before losses ⚠",P88&gt;=O88),"Low",VLOOKUP(F88,'G-3 Multipliers'!$A$2:$E$134,4,FALSE))))</f>
        <v/>
      </c>
      <c r="X88" s="299" t="str">
        <f>IFERROR(IF(E88="","",VLOOKUP(W88,'G-3 Multipliers'!$P$2:$Q$6,2,FALSE)),"")</f>
        <v/>
      </c>
      <c r="Y88" s="393"/>
      <c r="Z88" s="510" t="str">
        <f>IF(Y88="","",IF(VLOOKUP(Y88,'G-3 Multipliers'!$S$3:$T$10,2,FALSE)=0,"Spatial Data Missing ⚠",VLOOKUP(Y88,'G-3 Multipliers'!$S$3:$T$10,2,FALSE)))</f>
        <v/>
      </c>
      <c r="AA88" s="926" t="str">
        <f t="shared" si="8"/>
        <v/>
      </c>
      <c r="AB88" s="928" t="str">
        <f t="shared" si="13"/>
        <v/>
      </c>
      <c r="AC88" s="105"/>
      <c r="AD88" s="138"/>
      <c r="AE88" s="233"/>
      <c r="AF88" s="138"/>
      <c r="AG88" s="934"/>
      <c r="AJ88" s="40" t="str">
        <f t="shared" si="9"/>
        <v/>
      </c>
    </row>
    <row r="89" spans="1:36" ht="14">
      <c r="A89" s="30" t="str">
        <f>IFERROR(INDEX('G-8 Condition Look up'!$I$4:$I$135,MATCH(F89,'G-8 Condition Look up'!$A$4:$A$135,0)),"")</f>
        <v/>
      </c>
      <c r="B89" s="225">
        <v>79</v>
      </c>
      <c r="C89" s="66" t="str">
        <f>IFERROR(INDEX('G-1 All Habitats'!$AG$25:$AG$41,MATCH(D89,'G-1 All Habitats'!AF$25:AF$41,0)),"")</f>
        <v/>
      </c>
      <c r="D89" s="105"/>
      <c r="E89" s="138"/>
      <c r="F89" s="158" t="str">
        <f>IFERROR(INDEX('G-1 All Habitats'!$B$3:$B$136,MATCH(E89,'G-1 All Habitats'!$A$3:$A$136,0)),"")</f>
        <v/>
      </c>
      <c r="G89" s="233"/>
      <c r="H89" s="311" t="str">
        <f>IF(F89="","",VLOOKUP(F89,'G-1 All Habitats'!$B$2:$M$135,10,FALSE))</f>
        <v/>
      </c>
      <c r="I89" s="299" t="str">
        <f>IFERROR(VLOOKUP(H89,'G-1 All Habitats'!$V$3:$W$7,2,FALSE),"")</f>
        <v/>
      </c>
      <c r="J89" s="136"/>
      <c r="K89" s="299" t="str">
        <f>IFERROR(INDEX('G-8 Condition Look up'!$A$3:$H$135,MATCH(F89,'G-8 Condition Look up'!$A$3:$A$135,0),MATCH(J89,'G-8 Condition Look up'!$A$3:$H$3,0)),"")</f>
        <v/>
      </c>
      <c r="L89" s="101"/>
      <c r="M89" s="314" t="str">
        <f>IF(L89="","",IF(VLOOKUP(L89,'G-3 Multipliers'!$L$3:$N$6,2,FALSE)=0,"Spatial Data Missing ⚠",VLOOKUP(L89,'G-3 Multipliers'!$L$3:$N$6,2,FALSE)))</f>
        <v/>
      </c>
      <c r="N89" s="276" t="str">
        <f>IF(L89="","",IF(VLOOKUP(L89,'G-3 Multipliers'!$L$3:$N$6,3,FALSE)=0,"Spatial Data Missing ⚠",VLOOKUP(L89,'G-3 Multipliers'!$L$3:$N$6,3,FALSE)))</f>
        <v/>
      </c>
      <c r="O89" s="275" t="str">
        <f t="shared" si="7"/>
        <v/>
      </c>
      <c r="P89" s="133"/>
      <c r="Q89" s="133"/>
      <c r="R89" s="295" t="str">
        <f t="shared" si="10"/>
        <v/>
      </c>
      <c r="S89" s="316" t="str">
        <f t="shared" si="11"/>
        <v/>
      </c>
      <c r="T89" s="300" t="str">
        <f>IFERROR(IF(S89="Check Data ⚠","Check Data ⚠",VLOOKUP(S89,'G-4 Temporal multipliers'!$A$4:$C$37,3,FALSE)),"")</f>
        <v/>
      </c>
      <c r="U89" s="298" t="str">
        <f>IF(F89="","",VLOOKUP(F89,'G-3 Multipliers'!$A$2:$E$134,2,FALSE))</f>
        <v/>
      </c>
      <c r="V89" s="295" t="str">
        <f t="shared" si="12"/>
        <v/>
      </c>
      <c r="W89" s="295" t="str">
        <f>IF(E89="","",IF(AND(V89="Standard difficulty applied",O89&gt;P89),U89,IF(AND(V89="Low Difficulty - only applicable if all habitat created before losses ⚠",P89&gt;=O89),"Low",VLOOKUP(F89,'G-3 Multipliers'!$A$2:$E$134,4,FALSE))))</f>
        <v/>
      </c>
      <c r="X89" s="299" t="str">
        <f>IFERROR(IF(E89="","",VLOOKUP(W89,'G-3 Multipliers'!$P$2:$Q$6,2,FALSE)),"")</f>
        <v/>
      </c>
      <c r="Y89" s="393"/>
      <c r="Z89" s="510" t="str">
        <f>IF(Y89="","",IF(VLOOKUP(Y89,'G-3 Multipliers'!$S$3:$T$10,2,FALSE)=0,"Spatial Data Missing ⚠",VLOOKUP(Y89,'G-3 Multipliers'!$S$3:$T$10,2,FALSE)))</f>
        <v/>
      </c>
      <c r="AA89" s="926" t="str">
        <f t="shared" si="8"/>
        <v/>
      </c>
      <c r="AB89" s="928" t="str">
        <f t="shared" si="13"/>
        <v/>
      </c>
      <c r="AC89" s="105"/>
      <c r="AD89" s="138"/>
      <c r="AE89" s="233"/>
      <c r="AF89" s="138"/>
      <c r="AG89" s="934"/>
      <c r="AJ89" s="40" t="str">
        <f t="shared" si="9"/>
        <v/>
      </c>
    </row>
    <row r="90" spans="1:36" ht="14">
      <c r="A90" s="30" t="str">
        <f>IFERROR(INDEX('G-8 Condition Look up'!$I$4:$I$135,MATCH(F90,'G-8 Condition Look up'!$A$4:$A$135,0)),"")</f>
        <v/>
      </c>
      <c r="B90" s="225">
        <v>80</v>
      </c>
      <c r="C90" s="66" t="str">
        <f>IFERROR(INDEX('G-1 All Habitats'!$AG$25:$AG$41,MATCH(D90,'G-1 All Habitats'!AF$25:AF$41,0)),"")</f>
        <v/>
      </c>
      <c r="D90" s="105"/>
      <c r="E90" s="138"/>
      <c r="F90" s="158" t="str">
        <f>IFERROR(INDEX('G-1 All Habitats'!$B$3:$B$136,MATCH(E90,'G-1 All Habitats'!$A$3:$A$136,0)),"")</f>
        <v/>
      </c>
      <c r="G90" s="233"/>
      <c r="H90" s="311" t="str">
        <f>IF(F90="","",VLOOKUP(F90,'G-1 All Habitats'!$B$2:$M$135,10,FALSE))</f>
        <v/>
      </c>
      <c r="I90" s="299" t="str">
        <f>IFERROR(VLOOKUP(H90,'G-1 All Habitats'!$V$3:$W$7,2,FALSE),"")</f>
        <v/>
      </c>
      <c r="J90" s="136"/>
      <c r="K90" s="299" t="str">
        <f>IFERROR(INDEX('G-8 Condition Look up'!$A$3:$H$135,MATCH(F90,'G-8 Condition Look up'!$A$3:$A$135,0),MATCH(J90,'G-8 Condition Look up'!$A$3:$H$3,0)),"")</f>
        <v/>
      </c>
      <c r="L90" s="101"/>
      <c r="M90" s="314" t="str">
        <f>IF(L90="","",IF(VLOOKUP(L90,'G-3 Multipliers'!$L$3:$N$6,2,FALSE)=0,"Spatial Data Missing ⚠",VLOOKUP(L90,'G-3 Multipliers'!$L$3:$N$6,2,FALSE)))</f>
        <v/>
      </c>
      <c r="N90" s="276" t="str">
        <f>IF(L90="","",IF(VLOOKUP(L90,'G-3 Multipliers'!$L$3:$N$6,3,FALSE)=0,"Spatial Data Missing ⚠",VLOOKUP(L90,'G-3 Multipliers'!$L$3:$N$6,3,FALSE)))</f>
        <v/>
      </c>
      <c r="O90" s="275" t="str">
        <f t="shared" si="7"/>
        <v/>
      </c>
      <c r="P90" s="133"/>
      <c r="Q90" s="133"/>
      <c r="R90" s="295" t="str">
        <f t="shared" si="10"/>
        <v/>
      </c>
      <c r="S90" s="316" t="str">
        <f t="shared" si="11"/>
        <v/>
      </c>
      <c r="T90" s="300" t="str">
        <f>IFERROR(IF(S90="Check Data ⚠","Check Data ⚠",VLOOKUP(S90,'G-4 Temporal multipliers'!$A$4:$C$37,3,FALSE)),"")</f>
        <v/>
      </c>
      <c r="U90" s="298" t="str">
        <f>IF(F90="","",VLOOKUP(F90,'G-3 Multipliers'!$A$2:$E$134,2,FALSE))</f>
        <v/>
      </c>
      <c r="V90" s="295" t="str">
        <f t="shared" si="12"/>
        <v/>
      </c>
      <c r="W90" s="295" t="str">
        <f>IF(E90="","",IF(AND(V90="Standard difficulty applied",O90&gt;P90),U90,IF(AND(V90="Low Difficulty - only applicable if all habitat created before losses ⚠",P90&gt;=O90),"Low",VLOOKUP(F90,'G-3 Multipliers'!$A$2:$E$134,4,FALSE))))</f>
        <v/>
      </c>
      <c r="X90" s="299" t="str">
        <f>IFERROR(IF(E90="","",VLOOKUP(W90,'G-3 Multipliers'!$P$2:$Q$6,2,FALSE)),"")</f>
        <v/>
      </c>
      <c r="Y90" s="393"/>
      <c r="Z90" s="510" t="str">
        <f>IF(Y90="","",IF(VLOOKUP(Y90,'G-3 Multipliers'!$S$3:$T$10,2,FALSE)=0,"Spatial Data Missing ⚠",VLOOKUP(Y90,'G-3 Multipliers'!$S$3:$T$10,2,FALSE)))</f>
        <v/>
      </c>
      <c r="AA90" s="926" t="str">
        <f t="shared" si="8"/>
        <v/>
      </c>
      <c r="AB90" s="928" t="str">
        <f t="shared" si="13"/>
        <v/>
      </c>
      <c r="AC90" s="105"/>
      <c r="AD90" s="138"/>
      <c r="AE90" s="233"/>
      <c r="AF90" s="138"/>
      <c r="AG90" s="934"/>
      <c r="AJ90" s="40" t="str">
        <f t="shared" si="9"/>
        <v/>
      </c>
    </row>
    <row r="91" spans="1:36" ht="14">
      <c r="A91" s="30" t="str">
        <f>IFERROR(INDEX('G-8 Condition Look up'!$I$4:$I$135,MATCH(F91,'G-8 Condition Look up'!$A$4:$A$135,0)),"")</f>
        <v/>
      </c>
      <c r="B91" s="225">
        <v>81</v>
      </c>
      <c r="C91" s="66" t="str">
        <f>IFERROR(INDEX('G-1 All Habitats'!$AG$25:$AG$41,MATCH(D91,'G-1 All Habitats'!AF$25:AF$41,0)),"")</f>
        <v/>
      </c>
      <c r="D91" s="105"/>
      <c r="E91" s="138"/>
      <c r="F91" s="158" t="str">
        <f>IFERROR(INDEX('G-1 All Habitats'!$B$3:$B$136,MATCH(E91,'G-1 All Habitats'!$A$3:$A$136,0)),"")</f>
        <v/>
      </c>
      <c r="G91" s="233"/>
      <c r="H91" s="311" t="str">
        <f>IF(F91="","",VLOOKUP(F91,'G-1 All Habitats'!$B$2:$M$135,10,FALSE))</f>
        <v/>
      </c>
      <c r="I91" s="299" t="str">
        <f>IFERROR(VLOOKUP(H91,'G-1 All Habitats'!$V$3:$W$7,2,FALSE),"")</f>
        <v/>
      </c>
      <c r="J91" s="136"/>
      <c r="K91" s="299" t="str">
        <f>IFERROR(INDEX('G-8 Condition Look up'!$A$3:$H$135,MATCH(F91,'G-8 Condition Look up'!$A$3:$A$135,0),MATCH(J91,'G-8 Condition Look up'!$A$3:$H$3,0)),"")</f>
        <v/>
      </c>
      <c r="L91" s="101"/>
      <c r="M91" s="314" t="str">
        <f>IF(L91="","",IF(VLOOKUP(L91,'G-3 Multipliers'!$L$3:$N$6,2,FALSE)=0,"Spatial Data Missing ⚠",VLOOKUP(L91,'G-3 Multipliers'!$L$3:$N$6,2,FALSE)))</f>
        <v/>
      </c>
      <c r="N91" s="276" t="str">
        <f>IF(L91="","",IF(VLOOKUP(L91,'G-3 Multipliers'!$L$3:$N$6,3,FALSE)=0,"Spatial Data Missing ⚠",VLOOKUP(L91,'G-3 Multipliers'!$L$3:$N$6,3,FALSE)))</f>
        <v/>
      </c>
      <c r="O91" s="275" t="str">
        <f t="shared" si="7"/>
        <v/>
      </c>
      <c r="P91" s="133"/>
      <c r="Q91" s="133"/>
      <c r="R91" s="295" t="str">
        <f t="shared" si="10"/>
        <v/>
      </c>
      <c r="S91" s="316" t="str">
        <f t="shared" si="11"/>
        <v/>
      </c>
      <c r="T91" s="300" t="str">
        <f>IFERROR(IF(S91="Check Data ⚠","Check Data ⚠",VLOOKUP(S91,'G-4 Temporal multipliers'!$A$4:$C$37,3,FALSE)),"")</f>
        <v/>
      </c>
      <c r="U91" s="298" t="str">
        <f>IF(F91="","",VLOOKUP(F91,'G-3 Multipliers'!$A$2:$E$134,2,FALSE))</f>
        <v/>
      </c>
      <c r="V91" s="295" t="str">
        <f t="shared" si="12"/>
        <v/>
      </c>
      <c r="W91" s="295" t="str">
        <f>IF(E91="","",IF(AND(V91="Standard difficulty applied",O91&gt;P91),U91,IF(AND(V91="Low Difficulty - only applicable if all habitat created before losses ⚠",P91&gt;=O91),"Low",VLOOKUP(F91,'G-3 Multipliers'!$A$2:$E$134,4,FALSE))))</f>
        <v/>
      </c>
      <c r="X91" s="299" t="str">
        <f>IFERROR(IF(E91="","",VLOOKUP(W91,'G-3 Multipliers'!$P$2:$Q$6,2,FALSE)),"")</f>
        <v/>
      </c>
      <c r="Y91" s="393"/>
      <c r="Z91" s="510" t="str">
        <f>IF(Y91="","",IF(VLOOKUP(Y91,'G-3 Multipliers'!$S$3:$T$10,2,FALSE)=0,"Spatial Data Missing ⚠",VLOOKUP(Y91,'G-3 Multipliers'!$S$3:$T$10,2,FALSE)))</f>
        <v/>
      </c>
      <c r="AA91" s="926" t="str">
        <f t="shared" si="8"/>
        <v/>
      </c>
      <c r="AB91" s="928" t="str">
        <f t="shared" si="13"/>
        <v/>
      </c>
      <c r="AC91" s="105"/>
      <c r="AD91" s="138"/>
      <c r="AE91" s="233"/>
      <c r="AF91" s="138"/>
      <c r="AG91" s="934"/>
      <c r="AJ91" s="40" t="str">
        <f t="shared" si="9"/>
        <v/>
      </c>
    </row>
    <row r="92" spans="1:36" ht="14">
      <c r="A92" s="30" t="str">
        <f>IFERROR(INDEX('G-8 Condition Look up'!$I$4:$I$135,MATCH(F92,'G-8 Condition Look up'!$A$4:$A$135,0)),"")</f>
        <v/>
      </c>
      <c r="B92" s="225">
        <v>82</v>
      </c>
      <c r="C92" s="66" t="str">
        <f>IFERROR(INDEX('G-1 All Habitats'!$AG$25:$AG$41,MATCH(D92,'G-1 All Habitats'!AF$25:AF$41,0)),"")</f>
        <v/>
      </c>
      <c r="D92" s="105"/>
      <c r="E92" s="138"/>
      <c r="F92" s="158" t="str">
        <f>IFERROR(INDEX('G-1 All Habitats'!$B$3:$B$136,MATCH(E92,'G-1 All Habitats'!$A$3:$A$136,0)),"")</f>
        <v/>
      </c>
      <c r="G92" s="233"/>
      <c r="H92" s="311" t="str">
        <f>IF(F92="","",VLOOKUP(F92,'G-1 All Habitats'!$B$2:$M$135,10,FALSE))</f>
        <v/>
      </c>
      <c r="I92" s="299" t="str">
        <f>IFERROR(VLOOKUP(H92,'G-1 All Habitats'!$V$3:$W$7,2,FALSE),"")</f>
        <v/>
      </c>
      <c r="J92" s="136"/>
      <c r="K92" s="299" t="str">
        <f>IFERROR(INDEX('G-8 Condition Look up'!$A$3:$H$135,MATCH(F92,'G-8 Condition Look up'!$A$3:$A$135,0),MATCH(J92,'G-8 Condition Look up'!$A$3:$H$3,0)),"")</f>
        <v/>
      </c>
      <c r="L92" s="101"/>
      <c r="M92" s="314" t="str">
        <f>IF(L92="","",IF(VLOOKUP(L92,'G-3 Multipliers'!$L$3:$N$6,2,FALSE)=0,"Spatial Data Missing ⚠",VLOOKUP(L92,'G-3 Multipliers'!$L$3:$N$6,2,FALSE)))</f>
        <v/>
      </c>
      <c r="N92" s="276" t="str">
        <f>IF(L92="","",IF(VLOOKUP(L92,'G-3 Multipliers'!$L$3:$N$6,3,FALSE)=0,"Spatial Data Missing ⚠",VLOOKUP(L92,'G-3 Multipliers'!$L$3:$N$6,3,FALSE)))</f>
        <v/>
      </c>
      <c r="O92" s="275" t="str">
        <f t="shared" si="7"/>
        <v/>
      </c>
      <c r="P92" s="133"/>
      <c r="Q92" s="133"/>
      <c r="R92" s="295" t="str">
        <f t="shared" si="10"/>
        <v/>
      </c>
      <c r="S92" s="316" t="str">
        <f t="shared" si="11"/>
        <v/>
      </c>
      <c r="T92" s="300" t="str">
        <f>IFERROR(IF(S92="Check Data ⚠","Check Data ⚠",VLOOKUP(S92,'G-4 Temporal multipliers'!$A$4:$C$37,3,FALSE)),"")</f>
        <v/>
      </c>
      <c r="U92" s="298" t="str">
        <f>IF(F92="","",VLOOKUP(F92,'G-3 Multipliers'!$A$2:$E$134,2,FALSE))</f>
        <v/>
      </c>
      <c r="V92" s="295" t="str">
        <f t="shared" si="12"/>
        <v/>
      </c>
      <c r="W92" s="295" t="str">
        <f>IF(E92="","",IF(AND(V92="Standard difficulty applied",O92&gt;P92),U92,IF(AND(V92="Low Difficulty - only applicable if all habitat created before losses ⚠",P92&gt;=O92),"Low",VLOOKUP(F92,'G-3 Multipliers'!$A$2:$E$134,4,FALSE))))</f>
        <v/>
      </c>
      <c r="X92" s="299" t="str">
        <f>IFERROR(IF(E92="","",VLOOKUP(W92,'G-3 Multipliers'!$P$2:$Q$6,2,FALSE)),"")</f>
        <v/>
      </c>
      <c r="Y92" s="393"/>
      <c r="Z92" s="510" t="str">
        <f>IF(Y92="","",IF(VLOOKUP(Y92,'G-3 Multipliers'!$S$3:$T$10,2,FALSE)=0,"Spatial Data Missing ⚠",VLOOKUP(Y92,'G-3 Multipliers'!$S$3:$T$10,2,FALSE)))</f>
        <v/>
      </c>
      <c r="AA92" s="926" t="str">
        <f t="shared" si="8"/>
        <v/>
      </c>
      <c r="AB92" s="928" t="str">
        <f t="shared" si="13"/>
        <v/>
      </c>
      <c r="AC92" s="105"/>
      <c r="AD92" s="138"/>
      <c r="AE92" s="233"/>
      <c r="AF92" s="138"/>
      <c r="AG92" s="934"/>
      <c r="AJ92" s="40" t="str">
        <f t="shared" si="9"/>
        <v/>
      </c>
    </row>
    <row r="93" spans="1:36" ht="14">
      <c r="A93" s="30" t="str">
        <f>IFERROR(INDEX('G-8 Condition Look up'!$I$4:$I$135,MATCH(F93,'G-8 Condition Look up'!$A$4:$A$135,0)),"")</f>
        <v/>
      </c>
      <c r="B93" s="225">
        <v>83</v>
      </c>
      <c r="C93" s="66" t="str">
        <f>IFERROR(INDEX('G-1 All Habitats'!$AG$25:$AG$41,MATCH(D93,'G-1 All Habitats'!AF$25:AF$41,0)),"")</f>
        <v/>
      </c>
      <c r="D93" s="105"/>
      <c r="E93" s="138"/>
      <c r="F93" s="158" t="str">
        <f>IFERROR(INDEX('G-1 All Habitats'!$B$3:$B$136,MATCH(E93,'G-1 All Habitats'!$A$3:$A$136,0)),"")</f>
        <v/>
      </c>
      <c r="G93" s="233"/>
      <c r="H93" s="311" t="str">
        <f>IF(F93="","",VLOOKUP(F93,'G-1 All Habitats'!$B$2:$M$135,10,FALSE))</f>
        <v/>
      </c>
      <c r="I93" s="299" t="str">
        <f>IFERROR(VLOOKUP(H93,'G-1 All Habitats'!$V$3:$W$7,2,FALSE),"")</f>
        <v/>
      </c>
      <c r="J93" s="136"/>
      <c r="K93" s="299" t="str">
        <f>IFERROR(INDEX('G-8 Condition Look up'!$A$3:$H$135,MATCH(F93,'G-8 Condition Look up'!$A$3:$A$135,0),MATCH(J93,'G-8 Condition Look up'!$A$3:$H$3,0)),"")</f>
        <v/>
      </c>
      <c r="L93" s="101"/>
      <c r="M93" s="314" t="str">
        <f>IF(L93="","",IF(VLOOKUP(L93,'G-3 Multipliers'!$L$3:$N$6,2,FALSE)=0,"Spatial Data Missing ⚠",VLOOKUP(L93,'G-3 Multipliers'!$L$3:$N$6,2,FALSE)))</f>
        <v/>
      </c>
      <c r="N93" s="276" t="str">
        <f>IF(L93="","",IF(VLOOKUP(L93,'G-3 Multipliers'!$L$3:$N$6,3,FALSE)=0,"Spatial Data Missing ⚠",VLOOKUP(L93,'G-3 Multipliers'!$L$3:$N$6,3,FALSE)))</f>
        <v/>
      </c>
      <c r="O93" s="275" t="str">
        <f t="shared" si="7"/>
        <v/>
      </c>
      <c r="P93" s="133"/>
      <c r="Q93" s="133"/>
      <c r="R93" s="295" t="str">
        <f t="shared" si="10"/>
        <v/>
      </c>
      <c r="S93" s="316" t="str">
        <f t="shared" si="11"/>
        <v/>
      </c>
      <c r="T93" s="300" t="str">
        <f>IFERROR(IF(S93="Check Data ⚠","Check Data ⚠",VLOOKUP(S93,'G-4 Temporal multipliers'!$A$4:$C$37,3,FALSE)),"")</f>
        <v/>
      </c>
      <c r="U93" s="298" t="str">
        <f>IF(F93="","",VLOOKUP(F93,'G-3 Multipliers'!$A$2:$E$134,2,FALSE))</f>
        <v/>
      </c>
      <c r="V93" s="295" t="str">
        <f t="shared" si="12"/>
        <v/>
      </c>
      <c r="W93" s="295" t="str">
        <f>IF(E93="","",IF(AND(V93="Standard difficulty applied",O93&gt;P93),U93,IF(AND(V93="Low Difficulty - only applicable if all habitat created before losses ⚠",P93&gt;=O93),"Low",VLOOKUP(F93,'G-3 Multipliers'!$A$2:$E$134,4,FALSE))))</f>
        <v/>
      </c>
      <c r="X93" s="299" t="str">
        <f>IFERROR(IF(E93="","",VLOOKUP(W93,'G-3 Multipliers'!$P$2:$Q$6,2,FALSE)),"")</f>
        <v/>
      </c>
      <c r="Y93" s="393"/>
      <c r="Z93" s="510" t="str">
        <f>IF(Y93="","",IF(VLOOKUP(Y93,'G-3 Multipliers'!$S$3:$T$10,2,FALSE)=0,"Spatial Data Missing ⚠",VLOOKUP(Y93,'G-3 Multipliers'!$S$3:$T$10,2,FALSE)))</f>
        <v/>
      </c>
      <c r="AA93" s="926" t="str">
        <f t="shared" si="8"/>
        <v/>
      </c>
      <c r="AB93" s="928" t="str">
        <f t="shared" si="13"/>
        <v/>
      </c>
      <c r="AC93" s="105"/>
      <c r="AD93" s="138"/>
      <c r="AE93" s="233"/>
      <c r="AF93" s="138"/>
      <c r="AG93" s="934"/>
      <c r="AJ93" s="40" t="str">
        <f t="shared" si="9"/>
        <v/>
      </c>
    </row>
    <row r="94" spans="1:36" ht="14">
      <c r="A94" s="30" t="str">
        <f>IFERROR(INDEX('G-8 Condition Look up'!$I$4:$I$135,MATCH(F94,'G-8 Condition Look up'!$A$4:$A$135,0)),"")</f>
        <v/>
      </c>
      <c r="B94" s="225">
        <v>84</v>
      </c>
      <c r="C94" s="66" t="str">
        <f>IFERROR(INDEX('G-1 All Habitats'!$AG$25:$AG$41,MATCH(D94,'G-1 All Habitats'!AF$25:AF$41,0)),"")</f>
        <v/>
      </c>
      <c r="D94" s="105"/>
      <c r="E94" s="138"/>
      <c r="F94" s="158" t="str">
        <f>IFERROR(INDEX('G-1 All Habitats'!$B$3:$B$136,MATCH(E94,'G-1 All Habitats'!$A$3:$A$136,0)),"")</f>
        <v/>
      </c>
      <c r="G94" s="233"/>
      <c r="H94" s="311" t="str">
        <f>IF(F94="","",VLOOKUP(F94,'G-1 All Habitats'!$B$2:$M$135,10,FALSE))</f>
        <v/>
      </c>
      <c r="I94" s="299" t="str">
        <f>IFERROR(VLOOKUP(H94,'G-1 All Habitats'!$V$3:$W$7,2,FALSE),"")</f>
        <v/>
      </c>
      <c r="J94" s="136"/>
      <c r="K94" s="299" t="str">
        <f>IFERROR(INDEX('G-8 Condition Look up'!$A$3:$H$135,MATCH(F94,'G-8 Condition Look up'!$A$3:$A$135,0),MATCH(J94,'G-8 Condition Look up'!$A$3:$H$3,0)),"")</f>
        <v/>
      </c>
      <c r="L94" s="101"/>
      <c r="M94" s="314" t="str">
        <f>IF(L94="","",IF(VLOOKUP(L94,'G-3 Multipliers'!$L$3:$N$6,2,FALSE)=0,"Spatial Data Missing ⚠",VLOOKUP(L94,'G-3 Multipliers'!$L$3:$N$6,2,FALSE)))</f>
        <v/>
      </c>
      <c r="N94" s="276" t="str">
        <f>IF(L94="","",IF(VLOOKUP(L94,'G-3 Multipliers'!$L$3:$N$6,3,FALSE)=0,"Spatial Data Missing ⚠",VLOOKUP(L94,'G-3 Multipliers'!$L$3:$N$6,3,FALSE)))</f>
        <v/>
      </c>
      <c r="O94" s="275" t="str">
        <f t="shared" si="7"/>
        <v/>
      </c>
      <c r="P94" s="133"/>
      <c r="Q94" s="133"/>
      <c r="R94" s="295" t="str">
        <f t="shared" si="10"/>
        <v/>
      </c>
      <c r="S94" s="316" t="str">
        <f t="shared" si="11"/>
        <v/>
      </c>
      <c r="T94" s="300" t="str">
        <f>IFERROR(IF(S94="Check Data ⚠","Check Data ⚠",VLOOKUP(S94,'G-4 Temporal multipliers'!$A$4:$C$37,3,FALSE)),"")</f>
        <v/>
      </c>
      <c r="U94" s="298" t="str">
        <f>IF(F94="","",VLOOKUP(F94,'G-3 Multipliers'!$A$2:$E$134,2,FALSE))</f>
        <v/>
      </c>
      <c r="V94" s="295" t="str">
        <f t="shared" si="12"/>
        <v/>
      </c>
      <c r="W94" s="295" t="str">
        <f>IF(E94="","",IF(AND(V94="Standard difficulty applied",O94&gt;P94),U94,IF(AND(V94="Low Difficulty - only applicable if all habitat created before losses ⚠",P94&gt;=O94),"Low",VLOOKUP(F94,'G-3 Multipliers'!$A$2:$E$134,4,FALSE))))</f>
        <v/>
      </c>
      <c r="X94" s="299" t="str">
        <f>IFERROR(IF(E94="","",VLOOKUP(W94,'G-3 Multipliers'!$P$2:$Q$6,2,FALSE)),"")</f>
        <v/>
      </c>
      <c r="Y94" s="393"/>
      <c r="Z94" s="510" t="str">
        <f>IF(Y94="","",IF(VLOOKUP(Y94,'G-3 Multipliers'!$S$3:$T$10,2,FALSE)=0,"Spatial Data Missing ⚠",VLOOKUP(Y94,'G-3 Multipliers'!$S$3:$T$10,2,FALSE)))</f>
        <v/>
      </c>
      <c r="AA94" s="926" t="str">
        <f t="shared" si="8"/>
        <v/>
      </c>
      <c r="AB94" s="928" t="str">
        <f t="shared" si="13"/>
        <v/>
      </c>
      <c r="AC94" s="105"/>
      <c r="AD94" s="138"/>
      <c r="AE94" s="233"/>
      <c r="AF94" s="138"/>
      <c r="AG94" s="934"/>
      <c r="AJ94" s="40" t="str">
        <f t="shared" si="9"/>
        <v/>
      </c>
    </row>
    <row r="95" spans="1:36" ht="14">
      <c r="A95" s="30" t="str">
        <f>IFERROR(INDEX('G-8 Condition Look up'!$I$4:$I$135,MATCH(F95,'G-8 Condition Look up'!$A$4:$A$135,0)),"")</f>
        <v/>
      </c>
      <c r="B95" s="225">
        <v>85</v>
      </c>
      <c r="C95" s="66" t="str">
        <f>IFERROR(INDEX('G-1 All Habitats'!$AG$25:$AG$41,MATCH(D95,'G-1 All Habitats'!AF$25:AF$41,0)),"")</f>
        <v/>
      </c>
      <c r="D95" s="105"/>
      <c r="E95" s="138"/>
      <c r="F95" s="158" t="str">
        <f>IFERROR(INDEX('G-1 All Habitats'!$B$3:$B$136,MATCH(E95,'G-1 All Habitats'!$A$3:$A$136,0)),"")</f>
        <v/>
      </c>
      <c r="G95" s="233"/>
      <c r="H95" s="311" t="str">
        <f>IF(F95="","",VLOOKUP(F95,'G-1 All Habitats'!$B$2:$M$135,10,FALSE))</f>
        <v/>
      </c>
      <c r="I95" s="299" t="str">
        <f>IFERROR(VLOOKUP(H95,'G-1 All Habitats'!$V$3:$W$7,2,FALSE),"")</f>
        <v/>
      </c>
      <c r="J95" s="136"/>
      <c r="K95" s="299" t="str">
        <f>IFERROR(INDEX('G-8 Condition Look up'!$A$3:$H$135,MATCH(F95,'G-8 Condition Look up'!$A$3:$A$135,0),MATCH(J95,'G-8 Condition Look up'!$A$3:$H$3,0)),"")</f>
        <v/>
      </c>
      <c r="L95" s="101"/>
      <c r="M95" s="314" t="str">
        <f>IF(L95="","",IF(VLOOKUP(L95,'G-3 Multipliers'!$L$3:$N$6,2,FALSE)=0,"Spatial Data Missing ⚠",VLOOKUP(L95,'G-3 Multipliers'!$L$3:$N$6,2,FALSE)))</f>
        <v/>
      </c>
      <c r="N95" s="276" t="str">
        <f>IF(L95="","",IF(VLOOKUP(L95,'G-3 Multipliers'!$L$3:$N$6,3,FALSE)=0,"Spatial Data Missing ⚠",VLOOKUP(L95,'G-3 Multipliers'!$L$3:$N$6,3,FALSE)))</f>
        <v/>
      </c>
      <c r="O95" s="275" t="str">
        <f t="shared" si="7"/>
        <v/>
      </c>
      <c r="P95" s="133"/>
      <c r="Q95" s="133"/>
      <c r="R95" s="295" t="str">
        <f t="shared" si="10"/>
        <v/>
      </c>
      <c r="S95" s="316" t="str">
        <f t="shared" si="11"/>
        <v/>
      </c>
      <c r="T95" s="300" t="str">
        <f>IFERROR(IF(S95="Check Data ⚠","Check Data ⚠",VLOOKUP(S95,'G-4 Temporal multipliers'!$A$4:$C$37,3,FALSE)),"")</f>
        <v/>
      </c>
      <c r="U95" s="298" t="str">
        <f>IF(F95="","",VLOOKUP(F95,'G-3 Multipliers'!$A$2:$E$134,2,FALSE))</f>
        <v/>
      </c>
      <c r="V95" s="295" t="str">
        <f t="shared" si="12"/>
        <v/>
      </c>
      <c r="W95" s="295" t="str">
        <f>IF(E95="","",IF(AND(V95="Standard difficulty applied",O95&gt;P95),U95,IF(AND(V95="Low Difficulty - only applicable if all habitat created before losses ⚠",P95&gt;=O95),"Low",VLOOKUP(F95,'G-3 Multipliers'!$A$2:$E$134,4,FALSE))))</f>
        <v/>
      </c>
      <c r="X95" s="299" t="str">
        <f>IFERROR(IF(E95="","",VLOOKUP(W95,'G-3 Multipliers'!$P$2:$Q$6,2,FALSE)),"")</f>
        <v/>
      </c>
      <c r="Y95" s="393"/>
      <c r="Z95" s="510" t="str">
        <f>IF(Y95="","",IF(VLOOKUP(Y95,'G-3 Multipliers'!$S$3:$T$10,2,FALSE)=0,"Spatial Data Missing ⚠",VLOOKUP(Y95,'G-3 Multipliers'!$S$3:$T$10,2,FALSE)))</f>
        <v/>
      </c>
      <c r="AA95" s="926" t="str">
        <f t="shared" si="8"/>
        <v/>
      </c>
      <c r="AB95" s="928" t="str">
        <f t="shared" si="13"/>
        <v/>
      </c>
      <c r="AC95" s="105"/>
      <c r="AD95" s="138"/>
      <c r="AE95" s="233"/>
      <c r="AF95" s="138"/>
      <c r="AG95" s="934"/>
      <c r="AJ95" s="40" t="str">
        <f t="shared" si="9"/>
        <v/>
      </c>
    </row>
    <row r="96" spans="1:36" ht="14">
      <c r="A96" s="30" t="str">
        <f>IFERROR(INDEX('G-8 Condition Look up'!$I$4:$I$135,MATCH(F96,'G-8 Condition Look up'!$A$4:$A$135,0)),"")</f>
        <v/>
      </c>
      <c r="B96" s="225">
        <v>86</v>
      </c>
      <c r="C96" s="66" t="str">
        <f>IFERROR(INDEX('G-1 All Habitats'!$AG$25:$AG$41,MATCH(D96,'G-1 All Habitats'!AF$25:AF$41,0)),"")</f>
        <v/>
      </c>
      <c r="D96" s="105"/>
      <c r="E96" s="138"/>
      <c r="F96" s="158" t="str">
        <f>IFERROR(INDEX('G-1 All Habitats'!$B$3:$B$136,MATCH(E96,'G-1 All Habitats'!$A$3:$A$136,0)),"")</f>
        <v/>
      </c>
      <c r="G96" s="233"/>
      <c r="H96" s="311" t="str">
        <f>IF(F96="","",VLOOKUP(F96,'G-1 All Habitats'!$B$2:$M$135,10,FALSE))</f>
        <v/>
      </c>
      <c r="I96" s="299" t="str">
        <f>IFERROR(VLOOKUP(H96,'G-1 All Habitats'!$V$3:$W$7,2,FALSE),"")</f>
        <v/>
      </c>
      <c r="J96" s="136"/>
      <c r="K96" s="299" t="str">
        <f>IFERROR(INDEX('G-8 Condition Look up'!$A$3:$H$135,MATCH(F96,'G-8 Condition Look up'!$A$3:$A$135,0),MATCH(J96,'G-8 Condition Look up'!$A$3:$H$3,0)),"")</f>
        <v/>
      </c>
      <c r="L96" s="101"/>
      <c r="M96" s="314" t="str">
        <f>IF(L96="","",IF(VLOOKUP(L96,'G-3 Multipliers'!$L$3:$N$6,2,FALSE)=0,"Spatial Data Missing ⚠",VLOOKUP(L96,'G-3 Multipliers'!$L$3:$N$6,2,FALSE)))</f>
        <v/>
      </c>
      <c r="N96" s="276" t="str">
        <f>IF(L96="","",IF(VLOOKUP(L96,'G-3 Multipliers'!$L$3:$N$6,3,FALSE)=0,"Spatial Data Missing ⚠",VLOOKUP(L96,'G-3 Multipliers'!$L$3:$N$6,3,FALSE)))</f>
        <v/>
      </c>
      <c r="O96" s="275" t="str">
        <f t="shared" si="7"/>
        <v/>
      </c>
      <c r="P96" s="133"/>
      <c r="Q96" s="133"/>
      <c r="R96" s="295" t="str">
        <f t="shared" si="10"/>
        <v/>
      </c>
      <c r="S96" s="316" t="str">
        <f t="shared" si="11"/>
        <v/>
      </c>
      <c r="T96" s="300" t="str">
        <f>IFERROR(IF(S96="Check Data ⚠","Check Data ⚠",VLOOKUP(S96,'G-4 Temporal multipliers'!$A$4:$C$37,3,FALSE)),"")</f>
        <v/>
      </c>
      <c r="U96" s="298" t="str">
        <f>IF(F96="","",VLOOKUP(F96,'G-3 Multipliers'!$A$2:$E$134,2,FALSE))</f>
        <v/>
      </c>
      <c r="V96" s="295" t="str">
        <f t="shared" si="12"/>
        <v/>
      </c>
      <c r="W96" s="295" t="str">
        <f>IF(E96="","",IF(AND(V96="Standard difficulty applied",O96&gt;P96),U96,IF(AND(V96="Low Difficulty - only applicable if all habitat created before losses ⚠",P96&gt;=O96),"Low",VLOOKUP(F96,'G-3 Multipliers'!$A$2:$E$134,4,FALSE))))</f>
        <v/>
      </c>
      <c r="X96" s="299" t="str">
        <f>IFERROR(IF(E96="","",VLOOKUP(W96,'G-3 Multipliers'!$P$2:$Q$6,2,FALSE)),"")</f>
        <v/>
      </c>
      <c r="Y96" s="393"/>
      <c r="Z96" s="510" t="str">
        <f>IF(Y96="","",IF(VLOOKUP(Y96,'G-3 Multipliers'!$S$3:$T$10,2,FALSE)=0,"Spatial Data Missing ⚠",VLOOKUP(Y96,'G-3 Multipliers'!$S$3:$T$10,2,FALSE)))</f>
        <v/>
      </c>
      <c r="AA96" s="926" t="str">
        <f t="shared" si="8"/>
        <v/>
      </c>
      <c r="AB96" s="928" t="str">
        <f t="shared" si="13"/>
        <v/>
      </c>
      <c r="AC96" s="105"/>
      <c r="AD96" s="138"/>
      <c r="AE96" s="233"/>
      <c r="AF96" s="138"/>
      <c r="AG96" s="934"/>
      <c r="AJ96" s="40" t="str">
        <f t="shared" si="9"/>
        <v/>
      </c>
    </row>
    <row r="97" spans="1:36" ht="14">
      <c r="A97" s="30" t="str">
        <f>IFERROR(INDEX('G-8 Condition Look up'!$I$4:$I$135,MATCH(F97,'G-8 Condition Look up'!$A$4:$A$135,0)),"")</f>
        <v/>
      </c>
      <c r="B97" s="225">
        <v>87</v>
      </c>
      <c r="C97" s="66" t="str">
        <f>IFERROR(INDEX('G-1 All Habitats'!$AG$25:$AG$41,MATCH(D97,'G-1 All Habitats'!AF$25:AF$41,0)),"")</f>
        <v/>
      </c>
      <c r="D97" s="105"/>
      <c r="E97" s="138"/>
      <c r="F97" s="158" t="str">
        <f>IFERROR(INDEX('G-1 All Habitats'!$B$3:$B$136,MATCH(E97,'G-1 All Habitats'!$A$3:$A$136,0)),"")</f>
        <v/>
      </c>
      <c r="G97" s="233"/>
      <c r="H97" s="311" t="str">
        <f>IF(F97="","",VLOOKUP(F97,'G-1 All Habitats'!$B$2:$M$135,10,FALSE))</f>
        <v/>
      </c>
      <c r="I97" s="299" t="str">
        <f>IFERROR(VLOOKUP(H97,'G-1 All Habitats'!$V$3:$W$7,2,FALSE),"")</f>
        <v/>
      </c>
      <c r="J97" s="136"/>
      <c r="K97" s="299" t="str">
        <f>IFERROR(INDEX('G-8 Condition Look up'!$A$3:$H$135,MATCH(F97,'G-8 Condition Look up'!$A$3:$A$135,0),MATCH(J97,'G-8 Condition Look up'!$A$3:$H$3,0)),"")</f>
        <v/>
      </c>
      <c r="L97" s="101"/>
      <c r="M97" s="314" t="str">
        <f>IF(L97="","",IF(VLOOKUP(L97,'G-3 Multipliers'!$L$3:$N$6,2,FALSE)=0,"Spatial Data Missing ⚠",VLOOKUP(L97,'G-3 Multipliers'!$L$3:$N$6,2,FALSE)))</f>
        <v/>
      </c>
      <c r="N97" s="276" t="str">
        <f>IF(L97="","",IF(VLOOKUP(L97,'G-3 Multipliers'!$L$3:$N$6,3,FALSE)=0,"Spatial Data Missing ⚠",VLOOKUP(L97,'G-3 Multipliers'!$L$3:$N$6,3,FALSE)))</f>
        <v/>
      </c>
      <c r="O97" s="275" t="str">
        <f t="shared" si="7"/>
        <v/>
      </c>
      <c r="P97" s="133"/>
      <c r="Q97" s="133"/>
      <c r="R97" s="295" t="str">
        <f t="shared" si="10"/>
        <v/>
      </c>
      <c r="S97" s="316" t="str">
        <f t="shared" si="11"/>
        <v/>
      </c>
      <c r="T97" s="300" t="str">
        <f>IFERROR(IF(S97="Check Data ⚠","Check Data ⚠",VLOOKUP(S97,'G-4 Temporal multipliers'!$A$4:$C$37,3,FALSE)),"")</f>
        <v/>
      </c>
      <c r="U97" s="298" t="str">
        <f>IF(F97="","",VLOOKUP(F97,'G-3 Multipliers'!$A$2:$E$134,2,FALSE))</f>
        <v/>
      </c>
      <c r="V97" s="295" t="str">
        <f t="shared" si="12"/>
        <v/>
      </c>
      <c r="W97" s="295" t="str">
        <f>IF(E97="","",IF(AND(V97="Standard difficulty applied",O97&gt;P97),U97,IF(AND(V97="Low Difficulty - only applicable if all habitat created before losses ⚠",P97&gt;=O97),"Low",VLOOKUP(F97,'G-3 Multipliers'!$A$2:$E$134,4,FALSE))))</f>
        <v/>
      </c>
      <c r="X97" s="299" t="str">
        <f>IFERROR(IF(E97="","",VLOOKUP(W97,'G-3 Multipliers'!$P$2:$Q$6,2,FALSE)),"")</f>
        <v/>
      </c>
      <c r="Y97" s="393"/>
      <c r="Z97" s="510" t="str">
        <f>IF(Y97="","",IF(VLOOKUP(Y97,'G-3 Multipliers'!$S$3:$T$10,2,FALSE)=0,"Spatial Data Missing ⚠",VLOOKUP(Y97,'G-3 Multipliers'!$S$3:$T$10,2,FALSE)))</f>
        <v/>
      </c>
      <c r="AA97" s="926" t="str">
        <f t="shared" si="8"/>
        <v/>
      </c>
      <c r="AB97" s="928" t="str">
        <f t="shared" si="13"/>
        <v/>
      </c>
      <c r="AC97" s="105"/>
      <c r="AD97" s="138"/>
      <c r="AE97" s="233"/>
      <c r="AF97" s="138"/>
      <c r="AG97" s="934"/>
      <c r="AJ97" s="40" t="str">
        <f t="shared" si="9"/>
        <v/>
      </c>
    </row>
    <row r="98" spans="1:36" ht="14">
      <c r="A98" s="30" t="str">
        <f>IFERROR(INDEX('G-8 Condition Look up'!$I$4:$I$135,MATCH(F98,'G-8 Condition Look up'!$A$4:$A$135,0)),"")</f>
        <v/>
      </c>
      <c r="B98" s="225">
        <v>88</v>
      </c>
      <c r="C98" s="66" t="str">
        <f>IFERROR(INDEX('G-1 All Habitats'!$AG$25:$AG$41,MATCH(D98,'G-1 All Habitats'!AF$25:AF$41,0)),"")</f>
        <v/>
      </c>
      <c r="D98" s="105"/>
      <c r="E98" s="138"/>
      <c r="F98" s="158" t="str">
        <f>IFERROR(INDEX('G-1 All Habitats'!$B$3:$B$136,MATCH(E98,'G-1 All Habitats'!$A$3:$A$136,0)),"")</f>
        <v/>
      </c>
      <c r="G98" s="233"/>
      <c r="H98" s="311" t="str">
        <f>IF(F98="","",VLOOKUP(F98,'G-1 All Habitats'!$B$2:$M$135,10,FALSE))</f>
        <v/>
      </c>
      <c r="I98" s="299" t="str">
        <f>IFERROR(VLOOKUP(H98,'G-1 All Habitats'!$V$3:$W$7,2,FALSE),"")</f>
        <v/>
      </c>
      <c r="J98" s="136"/>
      <c r="K98" s="299" t="str">
        <f>IFERROR(INDEX('G-8 Condition Look up'!$A$3:$H$135,MATCH(F98,'G-8 Condition Look up'!$A$3:$A$135,0),MATCH(J98,'G-8 Condition Look up'!$A$3:$H$3,0)),"")</f>
        <v/>
      </c>
      <c r="L98" s="101"/>
      <c r="M98" s="314" t="str">
        <f>IF(L98="","",IF(VLOOKUP(L98,'G-3 Multipliers'!$L$3:$N$6,2,FALSE)=0,"Spatial Data Missing ⚠",VLOOKUP(L98,'G-3 Multipliers'!$L$3:$N$6,2,FALSE)))</f>
        <v/>
      </c>
      <c r="N98" s="276" t="str">
        <f>IF(L98="","",IF(VLOOKUP(L98,'G-3 Multipliers'!$L$3:$N$6,3,FALSE)=0,"Spatial Data Missing ⚠",VLOOKUP(L98,'G-3 Multipliers'!$L$3:$N$6,3,FALSE)))</f>
        <v/>
      </c>
      <c r="O98" s="275" t="str">
        <f t="shared" si="7"/>
        <v/>
      </c>
      <c r="P98" s="133"/>
      <c r="Q98" s="133"/>
      <c r="R98" s="295" t="str">
        <f t="shared" si="10"/>
        <v/>
      </c>
      <c r="S98" s="316" t="str">
        <f t="shared" si="11"/>
        <v/>
      </c>
      <c r="T98" s="300" t="str">
        <f>IFERROR(IF(S98="Check Data ⚠","Check Data ⚠",VLOOKUP(S98,'G-4 Temporal multipliers'!$A$4:$C$37,3,FALSE)),"")</f>
        <v/>
      </c>
      <c r="U98" s="298" t="str">
        <f>IF(F98="","",VLOOKUP(F98,'G-3 Multipliers'!$A$2:$E$134,2,FALSE))</f>
        <v/>
      </c>
      <c r="V98" s="295" t="str">
        <f t="shared" si="12"/>
        <v/>
      </c>
      <c r="W98" s="295" t="str">
        <f>IF(E98="","",IF(AND(V98="Standard difficulty applied",O98&gt;P98),U98,IF(AND(V98="Low Difficulty - only applicable if all habitat created before losses ⚠",P98&gt;=O98),"Low",VLOOKUP(F98,'G-3 Multipliers'!$A$2:$E$134,4,FALSE))))</f>
        <v/>
      </c>
      <c r="X98" s="299" t="str">
        <f>IFERROR(IF(E98="","",VLOOKUP(W98,'G-3 Multipliers'!$P$2:$Q$6,2,FALSE)),"")</f>
        <v/>
      </c>
      <c r="Y98" s="393"/>
      <c r="Z98" s="510" t="str">
        <f>IF(Y98="","",IF(VLOOKUP(Y98,'G-3 Multipliers'!$S$3:$T$10,2,FALSE)=0,"Spatial Data Missing ⚠",VLOOKUP(Y98,'G-3 Multipliers'!$S$3:$T$10,2,FALSE)))</f>
        <v/>
      </c>
      <c r="AA98" s="926" t="str">
        <f t="shared" si="8"/>
        <v/>
      </c>
      <c r="AB98" s="928" t="str">
        <f t="shared" si="13"/>
        <v/>
      </c>
      <c r="AC98" s="105"/>
      <c r="AD98" s="138"/>
      <c r="AE98" s="233"/>
      <c r="AF98" s="138"/>
      <c r="AG98" s="934"/>
      <c r="AJ98" s="40" t="str">
        <f t="shared" si="9"/>
        <v/>
      </c>
    </row>
    <row r="99" spans="1:36" ht="14">
      <c r="A99" s="30" t="str">
        <f>IFERROR(INDEX('G-8 Condition Look up'!$I$4:$I$135,MATCH(F99,'G-8 Condition Look up'!$A$4:$A$135,0)),"")</f>
        <v/>
      </c>
      <c r="B99" s="225">
        <v>89</v>
      </c>
      <c r="C99" s="66" t="str">
        <f>IFERROR(INDEX('G-1 All Habitats'!$AG$25:$AG$41,MATCH(D99,'G-1 All Habitats'!AF$25:AF$41,0)),"")</f>
        <v/>
      </c>
      <c r="D99" s="105"/>
      <c r="E99" s="138"/>
      <c r="F99" s="158" t="str">
        <f>IFERROR(INDEX('G-1 All Habitats'!$B$3:$B$136,MATCH(E99,'G-1 All Habitats'!$A$3:$A$136,0)),"")</f>
        <v/>
      </c>
      <c r="G99" s="233"/>
      <c r="H99" s="311" t="str">
        <f>IF(F99="","",VLOOKUP(F99,'G-1 All Habitats'!$B$2:$M$135,10,FALSE))</f>
        <v/>
      </c>
      <c r="I99" s="299" t="str">
        <f>IFERROR(VLOOKUP(H99,'G-1 All Habitats'!$V$3:$W$7,2,FALSE),"")</f>
        <v/>
      </c>
      <c r="J99" s="136"/>
      <c r="K99" s="299" t="str">
        <f>IFERROR(INDEX('G-8 Condition Look up'!$A$3:$H$135,MATCH(F99,'G-8 Condition Look up'!$A$3:$A$135,0),MATCH(J99,'G-8 Condition Look up'!$A$3:$H$3,0)),"")</f>
        <v/>
      </c>
      <c r="L99" s="101"/>
      <c r="M99" s="314" t="str">
        <f>IF(L99="","",IF(VLOOKUP(L99,'G-3 Multipliers'!$L$3:$N$6,2,FALSE)=0,"Spatial Data Missing ⚠",VLOOKUP(L99,'G-3 Multipliers'!$L$3:$N$6,2,FALSE)))</f>
        <v/>
      </c>
      <c r="N99" s="276" t="str">
        <f>IF(L99="","",IF(VLOOKUP(L99,'G-3 Multipliers'!$L$3:$N$6,3,FALSE)=0,"Spatial Data Missing ⚠",VLOOKUP(L99,'G-3 Multipliers'!$L$3:$N$6,3,FALSE)))</f>
        <v/>
      </c>
      <c r="O99" s="275" t="str">
        <f t="shared" si="7"/>
        <v/>
      </c>
      <c r="P99" s="133"/>
      <c r="Q99" s="133"/>
      <c r="R99" s="295" t="str">
        <f t="shared" si="10"/>
        <v/>
      </c>
      <c r="S99" s="316" t="str">
        <f t="shared" si="11"/>
        <v/>
      </c>
      <c r="T99" s="300" t="str">
        <f>IFERROR(IF(S99="Check Data ⚠","Check Data ⚠",VLOOKUP(S99,'G-4 Temporal multipliers'!$A$4:$C$37,3,FALSE)),"")</f>
        <v/>
      </c>
      <c r="U99" s="298" t="str">
        <f>IF(F99="","",VLOOKUP(F99,'G-3 Multipliers'!$A$2:$E$134,2,FALSE))</f>
        <v/>
      </c>
      <c r="V99" s="295" t="str">
        <f t="shared" si="12"/>
        <v/>
      </c>
      <c r="W99" s="295" t="str">
        <f>IF(E99="","",IF(AND(V99="Standard difficulty applied",O99&gt;P99),U99,IF(AND(V99="Low Difficulty - only applicable if all habitat created before losses ⚠",P99&gt;=O99),"Low",VLOOKUP(F99,'G-3 Multipliers'!$A$2:$E$134,4,FALSE))))</f>
        <v/>
      </c>
      <c r="X99" s="299" t="str">
        <f>IFERROR(IF(E99="","",VLOOKUP(W99,'G-3 Multipliers'!$P$2:$Q$6,2,FALSE)),"")</f>
        <v/>
      </c>
      <c r="Y99" s="393"/>
      <c r="Z99" s="510" t="str">
        <f>IF(Y99="","",IF(VLOOKUP(Y99,'G-3 Multipliers'!$S$3:$T$10,2,FALSE)=0,"Spatial Data Missing ⚠",VLOOKUP(Y99,'G-3 Multipliers'!$S$3:$T$10,2,FALSE)))</f>
        <v/>
      </c>
      <c r="AA99" s="926" t="str">
        <f t="shared" si="8"/>
        <v/>
      </c>
      <c r="AB99" s="928" t="str">
        <f t="shared" si="13"/>
        <v/>
      </c>
      <c r="AC99" s="105"/>
      <c r="AD99" s="138"/>
      <c r="AE99" s="233"/>
      <c r="AF99" s="138"/>
      <c r="AG99" s="934"/>
      <c r="AJ99" s="40" t="str">
        <f t="shared" si="9"/>
        <v/>
      </c>
    </row>
    <row r="100" spans="1:36" ht="14">
      <c r="A100" s="30" t="str">
        <f>IFERROR(INDEX('G-8 Condition Look up'!$I$4:$I$135,MATCH(F100,'G-8 Condition Look up'!$A$4:$A$135,0)),"")</f>
        <v/>
      </c>
      <c r="B100" s="225">
        <v>90</v>
      </c>
      <c r="C100" s="66" t="str">
        <f>IFERROR(INDEX('G-1 All Habitats'!$AG$25:$AG$41,MATCH(D100,'G-1 All Habitats'!AF$25:AF$41,0)),"")</f>
        <v/>
      </c>
      <c r="D100" s="105"/>
      <c r="E100" s="138"/>
      <c r="F100" s="158" t="str">
        <f>IFERROR(INDEX('G-1 All Habitats'!$B$3:$B$136,MATCH(E100,'G-1 All Habitats'!$A$3:$A$136,0)),"")</f>
        <v/>
      </c>
      <c r="G100" s="233"/>
      <c r="H100" s="311" t="str">
        <f>IF(F100="","",VLOOKUP(F100,'G-1 All Habitats'!$B$2:$M$135,10,FALSE))</f>
        <v/>
      </c>
      <c r="I100" s="299" t="str">
        <f>IFERROR(VLOOKUP(H100,'G-1 All Habitats'!$V$3:$W$7,2,FALSE),"")</f>
        <v/>
      </c>
      <c r="J100" s="136"/>
      <c r="K100" s="299" t="str">
        <f>IFERROR(INDEX('G-8 Condition Look up'!$A$3:$H$135,MATCH(F100,'G-8 Condition Look up'!$A$3:$A$135,0),MATCH(J100,'G-8 Condition Look up'!$A$3:$H$3,0)),"")</f>
        <v/>
      </c>
      <c r="L100" s="101"/>
      <c r="M100" s="314" t="str">
        <f>IF(L100="","",IF(VLOOKUP(L100,'G-3 Multipliers'!$L$3:$N$6,2,FALSE)=0,"Spatial Data Missing ⚠",VLOOKUP(L100,'G-3 Multipliers'!$L$3:$N$6,2,FALSE)))</f>
        <v/>
      </c>
      <c r="N100" s="276" t="str">
        <f>IF(L100="","",IF(VLOOKUP(L100,'G-3 Multipliers'!$L$3:$N$6,3,FALSE)=0,"Spatial Data Missing ⚠",VLOOKUP(L100,'G-3 Multipliers'!$L$3:$N$6,3,FALSE)))</f>
        <v/>
      </c>
      <c r="O100" s="275" t="str">
        <f t="shared" si="7"/>
        <v/>
      </c>
      <c r="P100" s="133"/>
      <c r="Q100" s="133"/>
      <c r="R100" s="295" t="str">
        <f t="shared" si="10"/>
        <v/>
      </c>
      <c r="S100" s="316" t="str">
        <f t="shared" si="11"/>
        <v/>
      </c>
      <c r="T100" s="300" t="str">
        <f>IFERROR(IF(S100="Check Data ⚠","Check Data ⚠",VLOOKUP(S100,'G-4 Temporal multipliers'!$A$4:$C$37,3,FALSE)),"")</f>
        <v/>
      </c>
      <c r="U100" s="298" t="str">
        <f>IF(F100="","",VLOOKUP(F100,'G-3 Multipliers'!$A$2:$E$134,2,FALSE))</f>
        <v/>
      </c>
      <c r="V100" s="295" t="str">
        <f t="shared" si="12"/>
        <v/>
      </c>
      <c r="W100" s="295" t="str">
        <f>IF(E100="","",IF(AND(V100="Standard difficulty applied",O100&gt;P100),U100,IF(AND(V100="Low Difficulty - only applicable if all habitat created before losses ⚠",P100&gt;=O100),"Low",VLOOKUP(F100,'G-3 Multipliers'!$A$2:$E$134,4,FALSE))))</f>
        <v/>
      </c>
      <c r="X100" s="299" t="str">
        <f>IFERROR(IF(E100="","",VLOOKUP(W100,'G-3 Multipliers'!$P$2:$Q$6,2,FALSE)),"")</f>
        <v/>
      </c>
      <c r="Y100" s="393"/>
      <c r="Z100" s="510" t="str">
        <f>IF(Y100="","",IF(VLOOKUP(Y100,'G-3 Multipliers'!$S$3:$T$10,2,FALSE)=0,"Spatial Data Missing ⚠",VLOOKUP(Y100,'G-3 Multipliers'!$S$3:$T$10,2,FALSE)))</f>
        <v/>
      </c>
      <c r="AA100" s="926" t="str">
        <f t="shared" si="8"/>
        <v/>
      </c>
      <c r="AB100" s="928" t="str">
        <f t="shared" si="13"/>
        <v/>
      </c>
      <c r="AC100" s="105"/>
      <c r="AD100" s="138"/>
      <c r="AE100" s="233"/>
      <c r="AF100" s="138"/>
      <c r="AG100" s="934"/>
      <c r="AJ100" s="40" t="str">
        <f t="shared" si="9"/>
        <v/>
      </c>
    </row>
    <row r="101" spans="1:36" ht="14">
      <c r="A101" s="30" t="str">
        <f>IFERROR(INDEX('G-8 Condition Look up'!$I$4:$I$135,MATCH(F101,'G-8 Condition Look up'!$A$4:$A$135,0)),"")</f>
        <v/>
      </c>
      <c r="B101" s="225">
        <v>91</v>
      </c>
      <c r="C101" s="66" t="str">
        <f>IFERROR(INDEX('G-1 All Habitats'!$AG$25:$AG$41,MATCH(D101,'G-1 All Habitats'!AF$25:AF$41,0)),"")</f>
        <v/>
      </c>
      <c r="D101" s="105"/>
      <c r="E101" s="138"/>
      <c r="F101" s="158" t="str">
        <f>IFERROR(INDEX('G-1 All Habitats'!$B$3:$B$136,MATCH(E101,'G-1 All Habitats'!$A$3:$A$136,0)),"")</f>
        <v/>
      </c>
      <c r="G101" s="233"/>
      <c r="H101" s="311" t="str">
        <f>IF(F101="","",VLOOKUP(F101,'G-1 All Habitats'!$B$2:$M$135,10,FALSE))</f>
        <v/>
      </c>
      <c r="I101" s="299" t="str">
        <f>IFERROR(VLOOKUP(H101,'G-1 All Habitats'!$V$3:$W$7,2,FALSE),"")</f>
        <v/>
      </c>
      <c r="J101" s="136"/>
      <c r="K101" s="299" t="str">
        <f>IFERROR(INDEX('G-8 Condition Look up'!$A$3:$H$135,MATCH(F101,'G-8 Condition Look up'!$A$3:$A$135,0),MATCH(J101,'G-8 Condition Look up'!$A$3:$H$3,0)),"")</f>
        <v/>
      </c>
      <c r="L101" s="101"/>
      <c r="M101" s="314" t="str">
        <f>IF(L101="","",IF(VLOOKUP(L101,'G-3 Multipliers'!$L$3:$N$6,2,FALSE)=0,"Spatial Data Missing ⚠",VLOOKUP(L101,'G-3 Multipliers'!$L$3:$N$6,2,FALSE)))</f>
        <v/>
      </c>
      <c r="N101" s="276" t="str">
        <f>IF(L101="","",IF(VLOOKUP(L101,'G-3 Multipliers'!$L$3:$N$6,3,FALSE)=0,"Spatial Data Missing ⚠",VLOOKUP(L101,'G-3 Multipliers'!$L$3:$N$6,3,FALSE)))</f>
        <v/>
      </c>
      <c r="O101" s="275" t="str">
        <f t="shared" si="7"/>
        <v/>
      </c>
      <c r="P101" s="133"/>
      <c r="Q101" s="133"/>
      <c r="R101" s="295" t="str">
        <f t="shared" si="10"/>
        <v/>
      </c>
      <c r="S101" s="316" t="str">
        <f t="shared" si="11"/>
        <v/>
      </c>
      <c r="T101" s="300" t="str">
        <f>IFERROR(IF(S101="Check Data ⚠","Check Data ⚠",VLOOKUP(S101,'G-4 Temporal multipliers'!$A$4:$C$37,3,FALSE)),"")</f>
        <v/>
      </c>
      <c r="U101" s="298" t="str">
        <f>IF(F101="","",VLOOKUP(F101,'G-3 Multipliers'!$A$2:$E$134,2,FALSE))</f>
        <v/>
      </c>
      <c r="V101" s="295" t="str">
        <f t="shared" si="12"/>
        <v/>
      </c>
      <c r="W101" s="295" t="str">
        <f>IF(E101="","",IF(AND(V101="Standard difficulty applied",O101&gt;P101),U101,IF(AND(V101="Low Difficulty - only applicable if all habitat created before losses ⚠",P101&gt;=O101),"Low",VLOOKUP(F101,'G-3 Multipliers'!$A$2:$E$134,4,FALSE))))</f>
        <v/>
      </c>
      <c r="X101" s="299" t="str">
        <f>IFERROR(IF(E101="","",VLOOKUP(W101,'G-3 Multipliers'!$P$2:$Q$6,2,FALSE)),"")</f>
        <v/>
      </c>
      <c r="Y101" s="393"/>
      <c r="Z101" s="510" t="str">
        <f>IF(Y101="","",IF(VLOOKUP(Y101,'G-3 Multipliers'!$S$3:$T$10,2,FALSE)=0,"Spatial Data Missing ⚠",VLOOKUP(Y101,'G-3 Multipliers'!$S$3:$T$10,2,FALSE)))</f>
        <v/>
      </c>
      <c r="AA101" s="926" t="str">
        <f t="shared" si="8"/>
        <v/>
      </c>
      <c r="AB101" s="928" t="str">
        <f t="shared" si="13"/>
        <v/>
      </c>
      <c r="AC101" s="105"/>
      <c r="AD101" s="138"/>
      <c r="AE101" s="233"/>
      <c r="AF101" s="138"/>
      <c r="AG101" s="934"/>
      <c r="AJ101" s="40" t="str">
        <f t="shared" si="9"/>
        <v/>
      </c>
    </row>
    <row r="102" spans="1:36" ht="14">
      <c r="A102" s="30" t="str">
        <f>IFERROR(INDEX('G-8 Condition Look up'!$I$4:$I$135,MATCH(F102,'G-8 Condition Look up'!$A$4:$A$135,0)),"")</f>
        <v/>
      </c>
      <c r="B102" s="225">
        <v>92</v>
      </c>
      <c r="C102" s="66" t="str">
        <f>IFERROR(INDEX('G-1 All Habitats'!$AG$25:$AG$41,MATCH(D102,'G-1 All Habitats'!AF$25:AF$41,0)),"")</f>
        <v/>
      </c>
      <c r="D102" s="105"/>
      <c r="E102" s="138"/>
      <c r="F102" s="158" t="str">
        <f>IFERROR(INDEX('G-1 All Habitats'!$B$3:$B$136,MATCH(E102,'G-1 All Habitats'!$A$3:$A$136,0)),"")</f>
        <v/>
      </c>
      <c r="G102" s="233"/>
      <c r="H102" s="311" t="str">
        <f>IF(F102="","",VLOOKUP(F102,'G-1 All Habitats'!$B$2:$M$135,10,FALSE))</f>
        <v/>
      </c>
      <c r="I102" s="299" t="str">
        <f>IFERROR(VLOOKUP(H102,'G-1 All Habitats'!$V$3:$W$7,2,FALSE),"")</f>
        <v/>
      </c>
      <c r="J102" s="136"/>
      <c r="K102" s="299" t="str">
        <f>IFERROR(INDEX('G-8 Condition Look up'!$A$3:$H$135,MATCH(F102,'G-8 Condition Look up'!$A$3:$A$135,0),MATCH(J102,'G-8 Condition Look up'!$A$3:$H$3,0)),"")</f>
        <v/>
      </c>
      <c r="L102" s="101"/>
      <c r="M102" s="314" t="str">
        <f>IF(L102="","",IF(VLOOKUP(L102,'G-3 Multipliers'!$L$3:$N$6,2,FALSE)=0,"Spatial Data Missing ⚠",VLOOKUP(L102,'G-3 Multipliers'!$L$3:$N$6,2,FALSE)))</f>
        <v/>
      </c>
      <c r="N102" s="276" t="str">
        <f>IF(L102="","",IF(VLOOKUP(L102,'G-3 Multipliers'!$L$3:$N$6,3,FALSE)=0,"Spatial Data Missing ⚠",VLOOKUP(L102,'G-3 Multipliers'!$L$3:$N$6,3,FALSE)))</f>
        <v/>
      </c>
      <c r="O102" s="275" t="str">
        <f t="shared" si="7"/>
        <v/>
      </c>
      <c r="P102" s="133"/>
      <c r="Q102" s="133"/>
      <c r="R102" s="295" t="str">
        <f t="shared" si="10"/>
        <v/>
      </c>
      <c r="S102" s="316" t="str">
        <f t="shared" si="11"/>
        <v/>
      </c>
      <c r="T102" s="300" t="str">
        <f>IFERROR(IF(S102="Check Data ⚠","Check Data ⚠",VLOOKUP(S102,'G-4 Temporal multipliers'!$A$4:$C$37,3,FALSE)),"")</f>
        <v/>
      </c>
      <c r="U102" s="298" t="str">
        <f>IF(F102="","",VLOOKUP(F102,'G-3 Multipliers'!$A$2:$E$134,2,FALSE))</f>
        <v/>
      </c>
      <c r="V102" s="295" t="str">
        <f t="shared" si="12"/>
        <v/>
      </c>
      <c r="W102" s="295" t="str">
        <f>IF(E102="","",IF(AND(V102="Standard difficulty applied",O102&gt;P102),U102,IF(AND(V102="Low Difficulty - only applicable if all habitat created before losses ⚠",P102&gt;=O102),"Low",VLOOKUP(F102,'G-3 Multipliers'!$A$2:$E$134,4,FALSE))))</f>
        <v/>
      </c>
      <c r="X102" s="299" t="str">
        <f>IFERROR(IF(E102="","",VLOOKUP(W102,'G-3 Multipliers'!$P$2:$Q$6,2,FALSE)),"")</f>
        <v/>
      </c>
      <c r="Y102" s="393"/>
      <c r="Z102" s="510" t="str">
        <f>IF(Y102="","",IF(VLOOKUP(Y102,'G-3 Multipliers'!$S$3:$T$10,2,FALSE)=0,"Spatial Data Missing ⚠",VLOOKUP(Y102,'G-3 Multipliers'!$S$3:$T$10,2,FALSE)))</f>
        <v/>
      </c>
      <c r="AA102" s="926" t="str">
        <f t="shared" si="8"/>
        <v/>
      </c>
      <c r="AB102" s="928" t="str">
        <f t="shared" si="13"/>
        <v/>
      </c>
      <c r="AC102" s="105"/>
      <c r="AD102" s="138"/>
      <c r="AE102" s="233"/>
      <c r="AF102" s="138"/>
      <c r="AG102" s="934"/>
      <c r="AJ102" s="40" t="str">
        <f t="shared" si="9"/>
        <v/>
      </c>
    </row>
    <row r="103" spans="1:36" ht="14">
      <c r="A103" s="30" t="str">
        <f>IFERROR(INDEX('G-8 Condition Look up'!$I$4:$I$135,MATCH(F103,'G-8 Condition Look up'!$A$4:$A$135,0)),"")</f>
        <v/>
      </c>
      <c r="B103" s="225">
        <v>93</v>
      </c>
      <c r="C103" s="66" t="str">
        <f>IFERROR(INDEX('G-1 All Habitats'!$AG$25:$AG$41,MATCH(D103,'G-1 All Habitats'!AF$25:AF$41,0)),"")</f>
        <v/>
      </c>
      <c r="D103" s="105"/>
      <c r="E103" s="138"/>
      <c r="F103" s="158" t="str">
        <f>IFERROR(INDEX('G-1 All Habitats'!$B$3:$B$136,MATCH(E103,'G-1 All Habitats'!$A$3:$A$136,0)),"")</f>
        <v/>
      </c>
      <c r="G103" s="233"/>
      <c r="H103" s="311" t="str">
        <f>IF(F103="","",VLOOKUP(F103,'G-1 All Habitats'!$B$2:$M$135,10,FALSE))</f>
        <v/>
      </c>
      <c r="I103" s="299" t="str">
        <f>IFERROR(VLOOKUP(H103,'G-1 All Habitats'!$V$3:$W$7,2,FALSE),"")</f>
        <v/>
      </c>
      <c r="J103" s="136"/>
      <c r="K103" s="299" t="str">
        <f>IFERROR(INDEX('G-8 Condition Look up'!$A$3:$H$135,MATCH(F103,'G-8 Condition Look up'!$A$3:$A$135,0),MATCH(J103,'G-8 Condition Look up'!$A$3:$H$3,0)),"")</f>
        <v/>
      </c>
      <c r="L103" s="101"/>
      <c r="M103" s="314" t="str">
        <f>IF(L103="","",IF(VLOOKUP(L103,'G-3 Multipliers'!$L$3:$N$6,2,FALSE)=0,"Spatial Data Missing ⚠",VLOOKUP(L103,'G-3 Multipliers'!$L$3:$N$6,2,FALSE)))</f>
        <v/>
      </c>
      <c r="N103" s="276" t="str">
        <f>IF(L103="","",IF(VLOOKUP(L103,'G-3 Multipliers'!$L$3:$N$6,3,FALSE)=0,"Spatial Data Missing ⚠",VLOOKUP(L103,'G-3 Multipliers'!$L$3:$N$6,3,FALSE)))</f>
        <v/>
      </c>
      <c r="O103" s="275" t="str">
        <f t="shared" si="7"/>
        <v/>
      </c>
      <c r="P103" s="133"/>
      <c r="Q103" s="133"/>
      <c r="R103" s="295" t="str">
        <f t="shared" si="10"/>
        <v/>
      </c>
      <c r="S103" s="316" t="str">
        <f t="shared" si="11"/>
        <v/>
      </c>
      <c r="T103" s="300" t="str">
        <f>IFERROR(IF(S103="Check Data ⚠","Check Data ⚠",VLOOKUP(S103,'G-4 Temporal multipliers'!$A$4:$C$37,3,FALSE)),"")</f>
        <v/>
      </c>
      <c r="U103" s="298" t="str">
        <f>IF(F103="","",VLOOKUP(F103,'G-3 Multipliers'!$A$2:$E$134,2,FALSE))</f>
        <v/>
      </c>
      <c r="V103" s="295" t="str">
        <f t="shared" si="12"/>
        <v/>
      </c>
      <c r="W103" s="295" t="str">
        <f>IF(E103="","",IF(AND(V103="Standard difficulty applied",O103&gt;P103),U103,IF(AND(V103="Low Difficulty - only applicable if all habitat created before losses ⚠",P103&gt;=O103),"Low",VLOOKUP(F103,'G-3 Multipliers'!$A$2:$E$134,4,FALSE))))</f>
        <v/>
      </c>
      <c r="X103" s="299" t="str">
        <f>IFERROR(IF(E103="","",VLOOKUP(W103,'G-3 Multipliers'!$P$2:$Q$6,2,FALSE)),"")</f>
        <v/>
      </c>
      <c r="Y103" s="393"/>
      <c r="Z103" s="510" t="str">
        <f>IF(Y103="","",IF(VLOOKUP(Y103,'G-3 Multipliers'!$S$3:$T$10,2,FALSE)=0,"Spatial Data Missing ⚠",VLOOKUP(Y103,'G-3 Multipliers'!$S$3:$T$10,2,FALSE)))</f>
        <v/>
      </c>
      <c r="AA103" s="926" t="str">
        <f t="shared" si="8"/>
        <v/>
      </c>
      <c r="AB103" s="928" t="str">
        <f t="shared" si="13"/>
        <v/>
      </c>
      <c r="AC103" s="105"/>
      <c r="AD103" s="138"/>
      <c r="AE103" s="233"/>
      <c r="AF103" s="138"/>
      <c r="AG103" s="934"/>
      <c r="AJ103" s="40" t="str">
        <f t="shared" si="9"/>
        <v/>
      </c>
    </row>
    <row r="104" spans="1:36" ht="14">
      <c r="A104" s="30" t="str">
        <f>IFERROR(INDEX('G-8 Condition Look up'!$I$4:$I$135,MATCH(F104,'G-8 Condition Look up'!$A$4:$A$135,0)),"")</f>
        <v/>
      </c>
      <c r="B104" s="225">
        <v>94</v>
      </c>
      <c r="C104" s="66" t="str">
        <f>IFERROR(INDEX('G-1 All Habitats'!$AG$25:$AG$41,MATCH(D104,'G-1 All Habitats'!AF$25:AF$41,0)),"")</f>
        <v/>
      </c>
      <c r="D104" s="105"/>
      <c r="E104" s="138"/>
      <c r="F104" s="158" t="str">
        <f>IFERROR(INDEX('G-1 All Habitats'!$B$3:$B$136,MATCH(E104,'G-1 All Habitats'!$A$3:$A$136,0)),"")</f>
        <v/>
      </c>
      <c r="G104" s="233"/>
      <c r="H104" s="311" t="str">
        <f>IF(F104="","",VLOOKUP(F104,'G-1 All Habitats'!$B$2:$M$135,10,FALSE))</f>
        <v/>
      </c>
      <c r="I104" s="299" t="str">
        <f>IFERROR(VLOOKUP(H104,'G-1 All Habitats'!$V$3:$W$7,2,FALSE),"")</f>
        <v/>
      </c>
      <c r="J104" s="136"/>
      <c r="K104" s="299" t="str">
        <f>IFERROR(INDEX('G-8 Condition Look up'!$A$3:$H$135,MATCH(F104,'G-8 Condition Look up'!$A$3:$A$135,0),MATCH(J104,'G-8 Condition Look up'!$A$3:$H$3,0)),"")</f>
        <v/>
      </c>
      <c r="L104" s="101"/>
      <c r="M104" s="314" t="str">
        <f>IF(L104="","",IF(VLOOKUP(L104,'G-3 Multipliers'!$L$3:$N$6,2,FALSE)=0,"Spatial Data Missing ⚠",VLOOKUP(L104,'G-3 Multipliers'!$L$3:$N$6,2,FALSE)))</f>
        <v/>
      </c>
      <c r="N104" s="276" t="str">
        <f>IF(L104="","",IF(VLOOKUP(L104,'G-3 Multipliers'!$L$3:$N$6,3,FALSE)=0,"Spatial Data Missing ⚠",VLOOKUP(L104,'G-3 Multipliers'!$L$3:$N$6,3,FALSE)))</f>
        <v/>
      </c>
      <c r="O104" s="275" t="str">
        <f t="shared" si="7"/>
        <v/>
      </c>
      <c r="P104" s="133"/>
      <c r="Q104" s="133"/>
      <c r="R104" s="295" t="str">
        <f t="shared" si="10"/>
        <v/>
      </c>
      <c r="S104" s="316" t="str">
        <f t="shared" si="11"/>
        <v/>
      </c>
      <c r="T104" s="300" t="str">
        <f>IFERROR(IF(S104="Check Data ⚠","Check Data ⚠",VLOOKUP(S104,'G-4 Temporal multipliers'!$A$4:$C$37,3,FALSE)),"")</f>
        <v/>
      </c>
      <c r="U104" s="298" t="str">
        <f>IF(F104="","",VLOOKUP(F104,'G-3 Multipliers'!$A$2:$E$134,2,FALSE))</f>
        <v/>
      </c>
      <c r="V104" s="295" t="str">
        <f t="shared" si="12"/>
        <v/>
      </c>
      <c r="W104" s="295" t="str">
        <f>IF(E104="","",IF(AND(V104="Standard difficulty applied",O104&gt;P104),U104,IF(AND(V104="Low Difficulty - only applicable if all habitat created before losses ⚠",P104&gt;=O104),"Low",VLOOKUP(F104,'G-3 Multipliers'!$A$2:$E$134,4,FALSE))))</f>
        <v/>
      </c>
      <c r="X104" s="299" t="str">
        <f>IFERROR(IF(E104="","",VLOOKUP(W104,'G-3 Multipliers'!$P$2:$Q$6,2,FALSE)),"")</f>
        <v/>
      </c>
      <c r="Y104" s="393"/>
      <c r="Z104" s="510" t="str">
        <f>IF(Y104="","",IF(VLOOKUP(Y104,'G-3 Multipliers'!$S$3:$T$10,2,FALSE)=0,"Spatial Data Missing ⚠",VLOOKUP(Y104,'G-3 Multipliers'!$S$3:$T$10,2,FALSE)))</f>
        <v/>
      </c>
      <c r="AA104" s="926" t="str">
        <f t="shared" si="8"/>
        <v/>
      </c>
      <c r="AB104" s="928" t="str">
        <f t="shared" si="13"/>
        <v/>
      </c>
      <c r="AC104" s="105"/>
      <c r="AD104" s="138"/>
      <c r="AE104" s="233"/>
      <c r="AF104" s="138"/>
      <c r="AG104" s="934"/>
      <c r="AJ104" s="40" t="str">
        <f t="shared" si="9"/>
        <v/>
      </c>
    </row>
    <row r="105" spans="1:36" ht="14">
      <c r="A105" s="30" t="str">
        <f>IFERROR(INDEX('G-8 Condition Look up'!$I$4:$I$135,MATCH(F105,'G-8 Condition Look up'!$A$4:$A$135,0)),"")</f>
        <v/>
      </c>
      <c r="B105" s="225">
        <v>95</v>
      </c>
      <c r="C105" s="66" t="str">
        <f>IFERROR(INDEX('G-1 All Habitats'!$AG$25:$AG$41,MATCH(D105,'G-1 All Habitats'!AF$25:AF$41,0)),"")</f>
        <v/>
      </c>
      <c r="D105" s="105"/>
      <c r="E105" s="138"/>
      <c r="F105" s="158" t="str">
        <f>IFERROR(INDEX('G-1 All Habitats'!$B$3:$B$136,MATCH(E105,'G-1 All Habitats'!$A$3:$A$136,0)),"")</f>
        <v/>
      </c>
      <c r="G105" s="233"/>
      <c r="H105" s="311" t="str">
        <f>IF(F105="","",VLOOKUP(F105,'G-1 All Habitats'!$B$2:$M$135,10,FALSE))</f>
        <v/>
      </c>
      <c r="I105" s="299" t="str">
        <f>IFERROR(VLOOKUP(H105,'G-1 All Habitats'!$V$3:$W$7,2,FALSE),"")</f>
        <v/>
      </c>
      <c r="J105" s="136"/>
      <c r="K105" s="299" t="str">
        <f>IFERROR(INDEX('G-8 Condition Look up'!$A$3:$H$135,MATCH(F105,'G-8 Condition Look up'!$A$3:$A$135,0),MATCH(J105,'G-8 Condition Look up'!$A$3:$H$3,0)),"")</f>
        <v/>
      </c>
      <c r="L105" s="101"/>
      <c r="M105" s="314" t="str">
        <f>IF(L105="","",IF(VLOOKUP(L105,'G-3 Multipliers'!$L$3:$N$6,2,FALSE)=0,"Spatial Data Missing ⚠",VLOOKUP(L105,'G-3 Multipliers'!$L$3:$N$6,2,FALSE)))</f>
        <v/>
      </c>
      <c r="N105" s="276" t="str">
        <f>IF(L105="","",IF(VLOOKUP(L105,'G-3 Multipliers'!$L$3:$N$6,3,FALSE)=0,"Spatial Data Missing ⚠",VLOOKUP(L105,'G-3 Multipliers'!$L$3:$N$6,3,FALSE)))</f>
        <v/>
      </c>
      <c r="O105" s="275" t="str">
        <f t="shared" si="7"/>
        <v/>
      </c>
      <c r="P105" s="133"/>
      <c r="Q105" s="133"/>
      <c r="R105" s="295" t="str">
        <f t="shared" si="10"/>
        <v/>
      </c>
      <c r="S105" s="316" t="str">
        <f t="shared" si="11"/>
        <v/>
      </c>
      <c r="T105" s="300" t="str">
        <f>IFERROR(IF(S105="Check Data ⚠","Check Data ⚠",VLOOKUP(S105,'G-4 Temporal multipliers'!$A$4:$C$37,3,FALSE)),"")</f>
        <v/>
      </c>
      <c r="U105" s="298" t="str">
        <f>IF(F105="","",VLOOKUP(F105,'G-3 Multipliers'!$A$2:$E$134,2,FALSE))</f>
        <v/>
      </c>
      <c r="V105" s="295" t="str">
        <f t="shared" si="12"/>
        <v/>
      </c>
      <c r="W105" s="295" t="str">
        <f>IF(E105="","",IF(AND(V105="Standard difficulty applied",O105&gt;P105),U105,IF(AND(V105="Low Difficulty - only applicable if all habitat created before losses ⚠",P105&gt;=O105),"Low",VLOOKUP(F105,'G-3 Multipliers'!$A$2:$E$134,4,FALSE))))</f>
        <v/>
      </c>
      <c r="X105" s="299" t="str">
        <f>IFERROR(IF(E105="","",VLOOKUP(W105,'G-3 Multipliers'!$P$2:$Q$6,2,FALSE)),"")</f>
        <v/>
      </c>
      <c r="Y105" s="393"/>
      <c r="Z105" s="510" t="str">
        <f>IF(Y105="","",IF(VLOOKUP(Y105,'G-3 Multipliers'!$S$3:$T$10,2,FALSE)=0,"Spatial Data Missing ⚠",VLOOKUP(Y105,'G-3 Multipliers'!$S$3:$T$10,2,FALSE)))</f>
        <v/>
      </c>
      <c r="AA105" s="926" t="str">
        <f t="shared" si="8"/>
        <v/>
      </c>
      <c r="AB105" s="928" t="str">
        <f t="shared" si="13"/>
        <v/>
      </c>
      <c r="AC105" s="105"/>
      <c r="AD105" s="138"/>
      <c r="AE105" s="233"/>
      <c r="AF105" s="138"/>
      <c r="AG105" s="934"/>
      <c r="AJ105" s="40" t="str">
        <f t="shared" si="9"/>
        <v/>
      </c>
    </row>
    <row r="106" spans="1:36" ht="14">
      <c r="A106" s="30" t="str">
        <f>IFERROR(INDEX('G-8 Condition Look up'!$I$4:$I$135,MATCH(F106,'G-8 Condition Look up'!$A$4:$A$135,0)),"")</f>
        <v/>
      </c>
      <c r="B106" s="225">
        <v>96</v>
      </c>
      <c r="C106" s="66" t="str">
        <f>IFERROR(INDEX('G-1 All Habitats'!$AG$25:$AG$41,MATCH(D106,'G-1 All Habitats'!AF$25:AF$41,0)),"")</f>
        <v/>
      </c>
      <c r="D106" s="105"/>
      <c r="E106" s="138"/>
      <c r="F106" s="158" t="str">
        <f>IFERROR(INDEX('G-1 All Habitats'!$B$3:$B$136,MATCH(E106,'G-1 All Habitats'!$A$3:$A$136,0)),"")</f>
        <v/>
      </c>
      <c r="G106" s="233"/>
      <c r="H106" s="311" t="str">
        <f>IF(F106="","",VLOOKUP(F106,'G-1 All Habitats'!$B$2:$M$135,10,FALSE))</f>
        <v/>
      </c>
      <c r="I106" s="299" t="str">
        <f>IFERROR(VLOOKUP(H106,'G-1 All Habitats'!$V$3:$W$7,2,FALSE),"")</f>
        <v/>
      </c>
      <c r="J106" s="136"/>
      <c r="K106" s="299" t="str">
        <f>IFERROR(INDEX('G-8 Condition Look up'!$A$3:$H$135,MATCH(F106,'G-8 Condition Look up'!$A$3:$A$135,0),MATCH(J106,'G-8 Condition Look up'!$A$3:$H$3,0)),"")</f>
        <v/>
      </c>
      <c r="L106" s="101"/>
      <c r="M106" s="314" t="str">
        <f>IF(L106="","",IF(VLOOKUP(L106,'G-3 Multipliers'!$L$3:$N$6,2,FALSE)=0,"Spatial Data Missing ⚠",VLOOKUP(L106,'G-3 Multipliers'!$L$3:$N$6,2,FALSE)))</f>
        <v/>
      </c>
      <c r="N106" s="276" t="str">
        <f>IF(L106="","",IF(VLOOKUP(L106,'G-3 Multipliers'!$L$3:$N$6,3,FALSE)=0,"Spatial Data Missing ⚠",VLOOKUP(L106,'G-3 Multipliers'!$L$3:$N$6,3,FALSE)))</f>
        <v/>
      </c>
      <c r="O106" s="275" t="str">
        <f t="shared" si="7"/>
        <v/>
      </c>
      <c r="P106" s="133"/>
      <c r="Q106" s="133"/>
      <c r="R106" s="295" t="str">
        <f t="shared" si="10"/>
        <v/>
      </c>
      <c r="S106" s="316" t="str">
        <f t="shared" si="11"/>
        <v/>
      </c>
      <c r="T106" s="300" t="str">
        <f>IFERROR(IF(S106="Check Data ⚠","Check Data ⚠",VLOOKUP(S106,'G-4 Temporal multipliers'!$A$4:$C$37,3,FALSE)),"")</f>
        <v/>
      </c>
      <c r="U106" s="298" t="str">
        <f>IF(F106="","",VLOOKUP(F106,'G-3 Multipliers'!$A$2:$E$134,2,FALSE))</f>
        <v/>
      </c>
      <c r="V106" s="295" t="str">
        <f t="shared" si="12"/>
        <v/>
      </c>
      <c r="W106" s="295" t="str">
        <f>IF(E106="","",IF(AND(V106="Standard difficulty applied",O106&gt;P106),U106,IF(AND(V106="Low Difficulty - only applicable if all habitat created before losses ⚠",P106&gt;=O106),"Low",VLOOKUP(F106,'G-3 Multipliers'!$A$2:$E$134,4,FALSE))))</f>
        <v/>
      </c>
      <c r="X106" s="299" t="str">
        <f>IFERROR(IF(E106="","",VLOOKUP(W106,'G-3 Multipliers'!$P$2:$Q$6,2,FALSE)),"")</f>
        <v/>
      </c>
      <c r="Y106" s="393"/>
      <c r="Z106" s="510" t="str">
        <f>IF(Y106="","",IF(VLOOKUP(Y106,'G-3 Multipliers'!$S$3:$T$10,2,FALSE)=0,"Spatial Data Missing ⚠",VLOOKUP(Y106,'G-3 Multipliers'!$S$3:$T$10,2,FALSE)))</f>
        <v/>
      </c>
      <c r="AA106" s="926" t="str">
        <f t="shared" si="8"/>
        <v/>
      </c>
      <c r="AB106" s="928" t="str">
        <f t="shared" si="13"/>
        <v/>
      </c>
      <c r="AC106" s="105"/>
      <c r="AD106" s="138"/>
      <c r="AE106" s="233"/>
      <c r="AF106" s="138"/>
      <c r="AG106" s="934"/>
      <c r="AJ106" s="40" t="str">
        <f t="shared" si="9"/>
        <v/>
      </c>
    </row>
    <row r="107" spans="1:36" ht="14">
      <c r="A107" s="30" t="str">
        <f>IFERROR(INDEX('G-8 Condition Look up'!$I$4:$I$135,MATCH(F107,'G-8 Condition Look up'!$A$4:$A$135,0)),"")</f>
        <v/>
      </c>
      <c r="B107" s="225">
        <v>97</v>
      </c>
      <c r="C107" s="66" t="str">
        <f>IFERROR(INDEX('G-1 All Habitats'!$AG$25:$AG$41,MATCH(D107,'G-1 All Habitats'!AF$25:AF$41,0)),"")</f>
        <v/>
      </c>
      <c r="D107" s="105"/>
      <c r="E107" s="138"/>
      <c r="F107" s="158" t="str">
        <f>IFERROR(INDEX('G-1 All Habitats'!$B$3:$B$136,MATCH(E107,'G-1 All Habitats'!$A$3:$A$136,0)),"")</f>
        <v/>
      </c>
      <c r="G107" s="233"/>
      <c r="H107" s="311" t="str">
        <f>IF(F107="","",VLOOKUP(F107,'G-1 All Habitats'!$B$2:$M$135,10,FALSE))</f>
        <v/>
      </c>
      <c r="I107" s="299" t="str">
        <f>IFERROR(VLOOKUP(H107,'G-1 All Habitats'!$V$3:$W$7,2,FALSE),"")</f>
        <v/>
      </c>
      <c r="J107" s="136"/>
      <c r="K107" s="299" t="str">
        <f>IFERROR(INDEX('G-8 Condition Look up'!$A$3:$H$135,MATCH(F107,'G-8 Condition Look up'!$A$3:$A$135,0),MATCH(J107,'G-8 Condition Look up'!$A$3:$H$3,0)),"")</f>
        <v/>
      </c>
      <c r="L107" s="101"/>
      <c r="M107" s="314" t="str">
        <f>IF(L107="","",IF(VLOOKUP(L107,'G-3 Multipliers'!$L$3:$N$6,2,FALSE)=0,"Spatial Data Missing ⚠",VLOOKUP(L107,'G-3 Multipliers'!$L$3:$N$6,2,FALSE)))</f>
        <v/>
      </c>
      <c r="N107" s="276" t="str">
        <f>IF(L107="","",IF(VLOOKUP(L107,'G-3 Multipliers'!$L$3:$N$6,3,FALSE)=0,"Spatial Data Missing ⚠",VLOOKUP(L107,'G-3 Multipliers'!$L$3:$N$6,3,FALSE)))</f>
        <v/>
      </c>
      <c r="O107" s="275" t="str">
        <f t="shared" si="7"/>
        <v/>
      </c>
      <c r="P107" s="133"/>
      <c r="Q107" s="133"/>
      <c r="R107" s="295" t="str">
        <f t="shared" si="10"/>
        <v/>
      </c>
      <c r="S107" s="316" t="str">
        <f t="shared" si="11"/>
        <v/>
      </c>
      <c r="T107" s="300" t="str">
        <f>IFERROR(IF(S107="Check Data ⚠","Check Data ⚠",VLOOKUP(S107,'G-4 Temporal multipliers'!$A$4:$C$37,3,FALSE)),"")</f>
        <v/>
      </c>
      <c r="U107" s="298" t="str">
        <f>IF(F107="","",VLOOKUP(F107,'G-3 Multipliers'!$A$2:$E$134,2,FALSE))</f>
        <v/>
      </c>
      <c r="V107" s="295" t="str">
        <f t="shared" si="12"/>
        <v/>
      </c>
      <c r="W107" s="295" t="str">
        <f>IF(E107="","",IF(AND(V107="Standard difficulty applied",O107&gt;P107),U107,IF(AND(V107="Low Difficulty - only applicable if all habitat created before losses ⚠",P107&gt;=O107),"Low",VLOOKUP(F107,'G-3 Multipliers'!$A$2:$E$134,4,FALSE))))</f>
        <v/>
      </c>
      <c r="X107" s="299" t="str">
        <f>IFERROR(IF(E107="","",VLOOKUP(W107,'G-3 Multipliers'!$P$2:$Q$6,2,FALSE)),"")</f>
        <v/>
      </c>
      <c r="Y107" s="393"/>
      <c r="Z107" s="510" t="str">
        <f>IF(Y107="","",IF(VLOOKUP(Y107,'G-3 Multipliers'!$S$3:$T$10,2,FALSE)=0,"Spatial Data Missing ⚠",VLOOKUP(Y107,'G-3 Multipliers'!$S$3:$T$10,2,FALSE)))</f>
        <v/>
      </c>
      <c r="AA107" s="926" t="str">
        <f t="shared" si="8"/>
        <v/>
      </c>
      <c r="AB107" s="928" t="str">
        <f t="shared" si="13"/>
        <v/>
      </c>
      <c r="AC107" s="105"/>
      <c r="AD107" s="138"/>
      <c r="AE107" s="233"/>
      <c r="AF107" s="138"/>
      <c r="AG107" s="934"/>
      <c r="AJ107" s="40" t="str">
        <f t="shared" si="9"/>
        <v/>
      </c>
    </row>
    <row r="108" spans="1:36" ht="14">
      <c r="A108" s="30" t="str">
        <f>IFERROR(INDEX('G-8 Condition Look up'!$I$4:$I$135,MATCH(F108,'G-8 Condition Look up'!$A$4:$A$135,0)),"")</f>
        <v/>
      </c>
      <c r="B108" s="225">
        <v>98</v>
      </c>
      <c r="C108" s="66" t="str">
        <f>IFERROR(INDEX('G-1 All Habitats'!$AG$25:$AG$41,MATCH(D108,'G-1 All Habitats'!AF$25:AF$41,0)),"")</f>
        <v/>
      </c>
      <c r="D108" s="105"/>
      <c r="E108" s="138"/>
      <c r="F108" s="158" t="str">
        <f>IFERROR(INDEX('G-1 All Habitats'!$B$3:$B$136,MATCH(E108,'G-1 All Habitats'!$A$3:$A$136,0)),"")</f>
        <v/>
      </c>
      <c r="G108" s="233"/>
      <c r="H108" s="311" t="str">
        <f>IF(F108="","",VLOOKUP(F108,'G-1 All Habitats'!$B$2:$M$135,10,FALSE))</f>
        <v/>
      </c>
      <c r="I108" s="299" t="str">
        <f>IFERROR(VLOOKUP(H108,'G-1 All Habitats'!$V$3:$W$7,2,FALSE),"")</f>
        <v/>
      </c>
      <c r="J108" s="136"/>
      <c r="K108" s="299" t="str">
        <f>IFERROR(INDEX('G-8 Condition Look up'!$A$3:$H$135,MATCH(F108,'G-8 Condition Look up'!$A$3:$A$135,0),MATCH(J108,'G-8 Condition Look up'!$A$3:$H$3,0)),"")</f>
        <v/>
      </c>
      <c r="L108" s="101"/>
      <c r="M108" s="314" t="str">
        <f>IF(L108="","",IF(VLOOKUP(L108,'G-3 Multipliers'!$L$3:$N$6,2,FALSE)=0,"Spatial Data Missing ⚠",VLOOKUP(L108,'G-3 Multipliers'!$L$3:$N$6,2,FALSE)))</f>
        <v/>
      </c>
      <c r="N108" s="276" t="str">
        <f>IF(L108="","",IF(VLOOKUP(L108,'G-3 Multipliers'!$L$3:$N$6,3,FALSE)=0,"Spatial Data Missing ⚠",VLOOKUP(L108,'G-3 Multipliers'!$L$3:$N$6,3,FALSE)))</f>
        <v/>
      </c>
      <c r="O108" s="275" t="str">
        <f t="shared" si="7"/>
        <v/>
      </c>
      <c r="P108" s="133"/>
      <c r="Q108" s="133"/>
      <c r="R108" s="295" t="str">
        <f t="shared" si="10"/>
        <v/>
      </c>
      <c r="S108" s="316" t="str">
        <f t="shared" si="11"/>
        <v/>
      </c>
      <c r="T108" s="300" t="str">
        <f>IFERROR(IF(S108="Check Data ⚠","Check Data ⚠",VLOOKUP(S108,'G-4 Temporal multipliers'!$A$4:$C$37,3,FALSE)),"")</f>
        <v/>
      </c>
      <c r="U108" s="298" t="str">
        <f>IF(F108="","",VLOOKUP(F108,'G-3 Multipliers'!$A$2:$E$134,2,FALSE))</f>
        <v/>
      </c>
      <c r="V108" s="295" t="str">
        <f t="shared" si="12"/>
        <v/>
      </c>
      <c r="W108" s="295" t="str">
        <f>IF(E108="","",IF(AND(V108="Standard difficulty applied",O108&gt;P108),U108,IF(AND(V108="Low Difficulty - only applicable if all habitat created before losses ⚠",P108&gt;=O108),"Low",VLOOKUP(F108,'G-3 Multipliers'!$A$2:$E$134,4,FALSE))))</f>
        <v/>
      </c>
      <c r="X108" s="299" t="str">
        <f>IFERROR(IF(E108="","",VLOOKUP(W108,'G-3 Multipliers'!$P$2:$Q$6,2,FALSE)),"")</f>
        <v/>
      </c>
      <c r="Y108" s="393"/>
      <c r="Z108" s="510" t="str">
        <f>IF(Y108="","",IF(VLOOKUP(Y108,'G-3 Multipliers'!$S$3:$T$10,2,FALSE)=0,"Spatial Data Missing ⚠",VLOOKUP(Y108,'G-3 Multipliers'!$S$3:$T$10,2,FALSE)))</f>
        <v/>
      </c>
      <c r="AA108" s="926" t="str">
        <f t="shared" si="8"/>
        <v/>
      </c>
      <c r="AB108" s="928" t="str">
        <f t="shared" si="13"/>
        <v/>
      </c>
      <c r="AC108" s="105"/>
      <c r="AD108" s="138"/>
      <c r="AE108" s="233"/>
      <c r="AF108" s="138"/>
      <c r="AG108" s="934"/>
      <c r="AJ108" s="40" t="str">
        <f t="shared" si="9"/>
        <v/>
      </c>
    </row>
    <row r="109" spans="1:36" ht="14">
      <c r="A109" s="30" t="str">
        <f>IFERROR(INDEX('G-8 Condition Look up'!$I$4:$I$135,MATCH(F109,'G-8 Condition Look up'!$A$4:$A$135,0)),"")</f>
        <v/>
      </c>
      <c r="B109" s="225">
        <v>99</v>
      </c>
      <c r="C109" s="66" t="str">
        <f>IFERROR(INDEX('G-1 All Habitats'!$AG$25:$AG$41,MATCH(D109,'G-1 All Habitats'!AF$25:AF$41,0)),"")</f>
        <v/>
      </c>
      <c r="D109" s="105"/>
      <c r="E109" s="138"/>
      <c r="F109" s="158" t="str">
        <f>IFERROR(INDEX('G-1 All Habitats'!$B$3:$B$136,MATCH(E109,'G-1 All Habitats'!$A$3:$A$136,0)),"")</f>
        <v/>
      </c>
      <c r="G109" s="233"/>
      <c r="H109" s="311" t="str">
        <f>IF(F109="","",VLOOKUP(F109,'G-1 All Habitats'!$B$2:$M$135,10,FALSE))</f>
        <v/>
      </c>
      <c r="I109" s="299" t="str">
        <f>IFERROR(VLOOKUP(H109,'G-1 All Habitats'!$V$3:$W$7,2,FALSE),"")</f>
        <v/>
      </c>
      <c r="J109" s="136"/>
      <c r="K109" s="299" t="str">
        <f>IFERROR(INDEX('G-8 Condition Look up'!$A$3:$H$135,MATCH(F109,'G-8 Condition Look up'!$A$3:$A$135,0),MATCH(J109,'G-8 Condition Look up'!$A$3:$H$3,0)),"")</f>
        <v/>
      </c>
      <c r="L109" s="101"/>
      <c r="M109" s="314" t="str">
        <f>IF(L109="","",IF(VLOOKUP(L109,'G-3 Multipliers'!$L$3:$N$6,2,FALSE)=0,"Spatial Data Missing ⚠",VLOOKUP(L109,'G-3 Multipliers'!$L$3:$N$6,2,FALSE)))</f>
        <v/>
      </c>
      <c r="N109" s="276" t="str">
        <f>IF(L109="","",IF(VLOOKUP(L109,'G-3 Multipliers'!$L$3:$N$6,3,FALSE)=0,"Spatial Data Missing ⚠",VLOOKUP(L109,'G-3 Multipliers'!$L$3:$N$6,3,FALSE)))</f>
        <v/>
      </c>
      <c r="O109" s="275" t="str">
        <f t="shared" si="7"/>
        <v/>
      </c>
      <c r="P109" s="133"/>
      <c r="Q109" s="133"/>
      <c r="R109" s="295" t="str">
        <f t="shared" si="10"/>
        <v/>
      </c>
      <c r="S109" s="316" t="str">
        <f t="shared" si="11"/>
        <v/>
      </c>
      <c r="T109" s="300" t="str">
        <f>IFERROR(IF(S109="Check Data ⚠","Check Data ⚠",VLOOKUP(S109,'G-4 Temporal multipliers'!$A$4:$C$37,3,FALSE)),"")</f>
        <v/>
      </c>
      <c r="U109" s="298" t="str">
        <f>IF(F109="","",VLOOKUP(F109,'G-3 Multipliers'!$A$2:$E$134,2,FALSE))</f>
        <v/>
      </c>
      <c r="V109" s="295" t="str">
        <f t="shared" si="12"/>
        <v/>
      </c>
      <c r="W109" s="295" t="str">
        <f>IF(E109="","",IF(AND(V109="Standard difficulty applied",O109&gt;P109),U109,IF(AND(V109="Low Difficulty - only applicable if all habitat created before losses ⚠",P109&gt;=O109),"Low",VLOOKUP(F109,'G-3 Multipliers'!$A$2:$E$134,4,FALSE))))</f>
        <v/>
      </c>
      <c r="X109" s="299" t="str">
        <f>IFERROR(IF(E109="","",VLOOKUP(W109,'G-3 Multipliers'!$P$2:$Q$6,2,FALSE)),"")</f>
        <v/>
      </c>
      <c r="Y109" s="393"/>
      <c r="Z109" s="510" t="str">
        <f>IF(Y109="","",IF(VLOOKUP(Y109,'G-3 Multipliers'!$S$3:$T$10,2,FALSE)=0,"Spatial Data Missing ⚠",VLOOKUP(Y109,'G-3 Multipliers'!$S$3:$T$10,2,FALSE)))</f>
        <v/>
      </c>
      <c r="AA109" s="926" t="str">
        <f t="shared" si="8"/>
        <v/>
      </c>
      <c r="AB109" s="928" t="str">
        <f t="shared" si="13"/>
        <v/>
      </c>
      <c r="AC109" s="105"/>
      <c r="AD109" s="138"/>
      <c r="AE109" s="233"/>
      <c r="AF109" s="138"/>
      <c r="AG109" s="934"/>
      <c r="AJ109" s="40" t="str">
        <f t="shared" si="9"/>
        <v/>
      </c>
    </row>
    <row r="110" spans="1:36" ht="14">
      <c r="A110" s="30" t="str">
        <f>IFERROR(INDEX('G-8 Condition Look up'!$I$4:$I$135,MATCH(F110,'G-8 Condition Look up'!$A$4:$A$135,0)),"")</f>
        <v/>
      </c>
      <c r="B110" s="225">
        <v>100</v>
      </c>
      <c r="C110" s="66" t="str">
        <f>IFERROR(INDEX('G-1 All Habitats'!$AG$25:$AG$41,MATCH(D110,'G-1 All Habitats'!AF$25:AF$41,0)),"")</f>
        <v/>
      </c>
      <c r="D110" s="105"/>
      <c r="E110" s="138"/>
      <c r="F110" s="158" t="str">
        <f>IFERROR(INDEX('G-1 All Habitats'!$B$3:$B$136,MATCH(E110,'G-1 All Habitats'!$A$3:$A$136,0)),"")</f>
        <v/>
      </c>
      <c r="G110" s="233"/>
      <c r="H110" s="311" t="str">
        <f>IF(F110="","",VLOOKUP(F110,'G-1 All Habitats'!$B$2:$M$135,10,FALSE))</f>
        <v/>
      </c>
      <c r="I110" s="299" t="str">
        <f>IFERROR(VLOOKUP(H110,'G-1 All Habitats'!$V$3:$W$7,2,FALSE),"")</f>
        <v/>
      </c>
      <c r="J110" s="136"/>
      <c r="K110" s="299" t="str">
        <f>IFERROR(INDEX('G-8 Condition Look up'!$A$3:$H$135,MATCH(F110,'G-8 Condition Look up'!$A$3:$A$135,0),MATCH(J110,'G-8 Condition Look up'!$A$3:$H$3,0)),"")</f>
        <v/>
      </c>
      <c r="L110" s="101"/>
      <c r="M110" s="314" t="str">
        <f>IF(L110="","",IF(VLOOKUP(L110,'G-3 Multipliers'!$L$3:$N$6,2,FALSE)=0,"Spatial Data Missing ⚠",VLOOKUP(L110,'G-3 Multipliers'!$L$3:$N$6,2,FALSE)))</f>
        <v/>
      </c>
      <c r="N110" s="276" t="str">
        <f>IF(L110="","",IF(VLOOKUP(L110,'G-3 Multipliers'!$L$3:$N$6,3,FALSE)=0,"Spatial Data Missing ⚠",VLOOKUP(L110,'G-3 Multipliers'!$L$3:$N$6,3,FALSE)))</f>
        <v/>
      </c>
      <c r="O110" s="275" t="str">
        <f t="shared" si="7"/>
        <v/>
      </c>
      <c r="P110" s="133"/>
      <c r="Q110" s="133"/>
      <c r="R110" s="295" t="str">
        <f t="shared" si="10"/>
        <v/>
      </c>
      <c r="S110" s="316" t="str">
        <f t="shared" si="11"/>
        <v/>
      </c>
      <c r="T110" s="300" t="str">
        <f>IFERROR(IF(S110="Check Data ⚠","Check Data ⚠",VLOOKUP(S110,'G-4 Temporal multipliers'!$A$4:$C$37,3,FALSE)),"")</f>
        <v/>
      </c>
      <c r="U110" s="298" t="str">
        <f>IF(F110="","",VLOOKUP(F110,'G-3 Multipliers'!$A$2:$E$134,2,FALSE))</f>
        <v/>
      </c>
      <c r="V110" s="295" t="str">
        <f t="shared" si="12"/>
        <v/>
      </c>
      <c r="W110" s="295" t="str">
        <f>IF(E110="","",IF(AND(V110="Standard difficulty applied",O110&gt;P110),U110,IF(AND(V110="Low Difficulty - only applicable if all habitat created before losses ⚠",P110&gt;=O110),"Low",VLOOKUP(F110,'G-3 Multipliers'!$A$2:$E$134,4,FALSE))))</f>
        <v/>
      </c>
      <c r="X110" s="299" t="str">
        <f>IFERROR(IF(E110="","",VLOOKUP(W110,'G-3 Multipliers'!$P$2:$Q$6,2,FALSE)),"")</f>
        <v/>
      </c>
      <c r="Y110" s="393"/>
      <c r="Z110" s="510" t="str">
        <f>IF(Y110="","",IF(VLOOKUP(Y110,'G-3 Multipliers'!$S$3:$T$10,2,FALSE)=0,"Spatial Data Missing ⚠",VLOOKUP(Y110,'G-3 Multipliers'!$S$3:$T$10,2,FALSE)))</f>
        <v/>
      </c>
      <c r="AA110" s="926" t="str">
        <f t="shared" si="8"/>
        <v/>
      </c>
      <c r="AB110" s="928" t="str">
        <f t="shared" si="13"/>
        <v/>
      </c>
      <c r="AC110" s="105"/>
      <c r="AD110" s="138"/>
      <c r="AE110" s="233"/>
      <c r="AF110" s="138"/>
      <c r="AG110" s="934"/>
      <c r="AJ110" s="40" t="str">
        <f t="shared" si="9"/>
        <v/>
      </c>
    </row>
    <row r="111" spans="1:36" ht="14">
      <c r="A111" s="30" t="str">
        <f>IFERROR(INDEX('G-8 Condition Look up'!$I$4:$I$135,MATCH(F111,'G-8 Condition Look up'!$A$4:$A$135,0)),"")</f>
        <v/>
      </c>
      <c r="B111" s="225">
        <v>101</v>
      </c>
      <c r="C111" s="66" t="str">
        <f>IFERROR(INDEX('G-1 All Habitats'!$AG$25:$AG$41,MATCH(D111,'G-1 All Habitats'!AF$25:AF$41,0)),"")</f>
        <v/>
      </c>
      <c r="D111" s="105"/>
      <c r="E111" s="138"/>
      <c r="F111" s="158" t="str">
        <f>IFERROR(INDEX('G-1 All Habitats'!$B$3:$B$136,MATCH(E111,'G-1 All Habitats'!$A$3:$A$136,0)),"")</f>
        <v/>
      </c>
      <c r="G111" s="233"/>
      <c r="H111" s="311" t="str">
        <f>IF(F111="","",VLOOKUP(F111,'G-1 All Habitats'!$B$2:$M$135,10,FALSE))</f>
        <v/>
      </c>
      <c r="I111" s="299" t="str">
        <f>IFERROR(VLOOKUP(H111,'G-1 All Habitats'!$V$3:$W$7,2,FALSE),"")</f>
        <v/>
      </c>
      <c r="J111" s="136"/>
      <c r="K111" s="299" t="str">
        <f>IFERROR(INDEX('G-8 Condition Look up'!$A$3:$H$135,MATCH(F111,'G-8 Condition Look up'!$A$3:$A$135,0),MATCH(J111,'G-8 Condition Look up'!$A$3:$H$3,0)),"")</f>
        <v/>
      </c>
      <c r="L111" s="101"/>
      <c r="M111" s="314" t="str">
        <f>IF(L111="","",IF(VLOOKUP(L111,'G-3 Multipliers'!$L$3:$N$6,2,FALSE)=0,"Spatial Data Missing ⚠",VLOOKUP(L111,'G-3 Multipliers'!$L$3:$N$6,2,FALSE)))</f>
        <v/>
      </c>
      <c r="N111" s="276" t="str">
        <f>IF(L111="","",IF(VLOOKUP(L111,'G-3 Multipliers'!$L$3:$N$6,3,FALSE)=0,"Spatial Data Missing ⚠",VLOOKUP(L111,'G-3 Multipliers'!$L$3:$N$6,3,FALSE)))</f>
        <v/>
      </c>
      <c r="O111" s="275" t="str">
        <f t="shared" si="7"/>
        <v/>
      </c>
      <c r="P111" s="133"/>
      <c r="Q111" s="133"/>
      <c r="R111" s="295" t="str">
        <f t="shared" si="10"/>
        <v/>
      </c>
      <c r="S111" s="316" t="str">
        <f t="shared" si="11"/>
        <v/>
      </c>
      <c r="T111" s="300" t="str">
        <f>IFERROR(IF(S111="Check Data ⚠","Check Data ⚠",VLOOKUP(S111,'G-4 Temporal multipliers'!$A$4:$C$37,3,FALSE)),"")</f>
        <v/>
      </c>
      <c r="U111" s="298" t="str">
        <f>IF(F111="","",VLOOKUP(F111,'G-3 Multipliers'!$A$2:$E$134,2,FALSE))</f>
        <v/>
      </c>
      <c r="V111" s="295" t="str">
        <f t="shared" si="12"/>
        <v/>
      </c>
      <c r="W111" s="295" t="str">
        <f>IF(E111="","",IF(AND(V111="Standard difficulty applied",O111&gt;P111),U111,IF(AND(V111="Low Difficulty - only applicable if all habitat created before losses ⚠",P111&gt;=O111),"Low",VLOOKUP(F111,'G-3 Multipliers'!$A$2:$E$134,4,FALSE))))</f>
        <v/>
      </c>
      <c r="X111" s="299" t="str">
        <f>IFERROR(IF(E111="","",VLOOKUP(W111,'G-3 Multipliers'!$P$2:$Q$6,2,FALSE)),"")</f>
        <v/>
      </c>
      <c r="Y111" s="393"/>
      <c r="Z111" s="510" t="str">
        <f>IF(Y111="","",IF(VLOOKUP(Y111,'G-3 Multipliers'!$S$3:$T$10,2,FALSE)=0,"Spatial Data Missing ⚠",VLOOKUP(Y111,'G-3 Multipliers'!$S$3:$T$10,2,FALSE)))</f>
        <v/>
      </c>
      <c r="AA111" s="926" t="str">
        <f t="shared" si="8"/>
        <v/>
      </c>
      <c r="AB111" s="928" t="str">
        <f t="shared" si="13"/>
        <v/>
      </c>
      <c r="AC111" s="105"/>
      <c r="AD111" s="138"/>
      <c r="AE111" s="233"/>
      <c r="AF111" s="138"/>
      <c r="AG111" s="934"/>
      <c r="AJ111" s="40" t="str">
        <f t="shared" si="9"/>
        <v/>
      </c>
    </row>
    <row r="112" spans="1:36" ht="14">
      <c r="A112" s="30" t="str">
        <f>IFERROR(INDEX('G-8 Condition Look up'!$I$4:$I$135,MATCH(F112,'G-8 Condition Look up'!$A$4:$A$135,0)),"")</f>
        <v/>
      </c>
      <c r="B112" s="225">
        <v>102</v>
      </c>
      <c r="C112" s="66" t="str">
        <f>IFERROR(INDEX('G-1 All Habitats'!$AG$25:$AG$41,MATCH(D112,'G-1 All Habitats'!AF$25:AF$41,0)),"")</f>
        <v/>
      </c>
      <c r="D112" s="105"/>
      <c r="E112" s="138"/>
      <c r="F112" s="158" t="str">
        <f>IFERROR(INDEX('G-1 All Habitats'!$B$3:$B$136,MATCH(E112,'G-1 All Habitats'!$A$3:$A$136,0)),"")</f>
        <v/>
      </c>
      <c r="G112" s="233"/>
      <c r="H112" s="311" t="str">
        <f>IF(F112="","",VLOOKUP(F112,'G-1 All Habitats'!$B$2:$M$135,10,FALSE))</f>
        <v/>
      </c>
      <c r="I112" s="299" t="str">
        <f>IFERROR(VLOOKUP(H112,'G-1 All Habitats'!$V$3:$W$7,2,FALSE),"")</f>
        <v/>
      </c>
      <c r="J112" s="136"/>
      <c r="K112" s="299" t="str">
        <f>IFERROR(INDEX('G-8 Condition Look up'!$A$3:$H$135,MATCH(F112,'G-8 Condition Look up'!$A$3:$A$135,0),MATCH(J112,'G-8 Condition Look up'!$A$3:$H$3,0)),"")</f>
        <v/>
      </c>
      <c r="L112" s="101"/>
      <c r="M112" s="314" t="str">
        <f>IF(L112="","",IF(VLOOKUP(L112,'G-3 Multipliers'!$L$3:$N$6,2,FALSE)=0,"Spatial Data Missing ⚠",VLOOKUP(L112,'G-3 Multipliers'!$L$3:$N$6,2,FALSE)))</f>
        <v/>
      </c>
      <c r="N112" s="276" t="str">
        <f>IF(L112="","",IF(VLOOKUP(L112,'G-3 Multipliers'!$L$3:$N$6,3,FALSE)=0,"Spatial Data Missing ⚠",VLOOKUP(L112,'G-3 Multipliers'!$L$3:$N$6,3,FALSE)))</f>
        <v/>
      </c>
      <c r="O112" s="275" t="str">
        <f t="shared" si="7"/>
        <v/>
      </c>
      <c r="P112" s="133"/>
      <c r="Q112" s="133"/>
      <c r="R112" s="295" t="str">
        <f t="shared" si="10"/>
        <v/>
      </c>
      <c r="S112" s="316" t="str">
        <f t="shared" si="11"/>
        <v/>
      </c>
      <c r="T112" s="300" t="str">
        <f>IFERROR(IF(S112="Check Data ⚠","Check Data ⚠",VLOOKUP(S112,'G-4 Temporal multipliers'!$A$4:$C$37,3,FALSE)),"")</f>
        <v/>
      </c>
      <c r="U112" s="298" t="str">
        <f>IF(F112="","",VLOOKUP(F112,'G-3 Multipliers'!$A$2:$E$134,2,FALSE))</f>
        <v/>
      </c>
      <c r="V112" s="295" t="str">
        <f t="shared" si="12"/>
        <v/>
      </c>
      <c r="W112" s="295" t="str">
        <f>IF(E112="","",IF(AND(V112="Standard difficulty applied",O112&gt;P112),U112,IF(AND(V112="Low Difficulty - only applicable if all habitat created before losses ⚠",P112&gt;=O112),"Low",VLOOKUP(F112,'G-3 Multipliers'!$A$2:$E$134,4,FALSE))))</f>
        <v/>
      </c>
      <c r="X112" s="299" t="str">
        <f>IFERROR(IF(E112="","",VLOOKUP(W112,'G-3 Multipliers'!$P$2:$Q$6,2,FALSE)),"")</f>
        <v/>
      </c>
      <c r="Y112" s="393"/>
      <c r="Z112" s="510" t="str">
        <f>IF(Y112="","",IF(VLOOKUP(Y112,'G-3 Multipliers'!$S$3:$T$10,2,FALSE)=0,"Spatial Data Missing ⚠",VLOOKUP(Y112,'G-3 Multipliers'!$S$3:$T$10,2,FALSE)))</f>
        <v/>
      </c>
      <c r="AA112" s="926" t="str">
        <f t="shared" si="8"/>
        <v/>
      </c>
      <c r="AB112" s="928" t="str">
        <f t="shared" si="13"/>
        <v/>
      </c>
      <c r="AC112" s="105"/>
      <c r="AD112" s="138"/>
      <c r="AE112" s="233"/>
      <c r="AF112" s="138"/>
      <c r="AG112" s="934"/>
      <c r="AJ112" s="40" t="str">
        <f t="shared" si="9"/>
        <v/>
      </c>
    </row>
    <row r="113" spans="1:36" ht="14">
      <c r="A113" s="30" t="str">
        <f>IFERROR(INDEX('G-8 Condition Look up'!$I$4:$I$135,MATCH(F113,'G-8 Condition Look up'!$A$4:$A$135,0)),"")</f>
        <v/>
      </c>
      <c r="B113" s="225">
        <v>103</v>
      </c>
      <c r="C113" s="66" t="str">
        <f>IFERROR(INDEX('G-1 All Habitats'!$AG$25:$AG$41,MATCH(D113,'G-1 All Habitats'!AF$25:AF$41,0)),"")</f>
        <v/>
      </c>
      <c r="D113" s="105"/>
      <c r="E113" s="138"/>
      <c r="F113" s="158" t="str">
        <f>IFERROR(INDEX('G-1 All Habitats'!$B$3:$B$136,MATCH(E113,'G-1 All Habitats'!$A$3:$A$136,0)),"")</f>
        <v/>
      </c>
      <c r="G113" s="233"/>
      <c r="H113" s="311" t="str">
        <f>IF(F113="","",VLOOKUP(F113,'G-1 All Habitats'!$B$2:$M$135,10,FALSE))</f>
        <v/>
      </c>
      <c r="I113" s="299" t="str">
        <f>IFERROR(VLOOKUP(H113,'G-1 All Habitats'!$V$3:$W$7,2,FALSE),"")</f>
        <v/>
      </c>
      <c r="J113" s="136"/>
      <c r="K113" s="299" t="str">
        <f>IFERROR(INDEX('G-8 Condition Look up'!$A$3:$H$135,MATCH(F113,'G-8 Condition Look up'!$A$3:$A$135,0),MATCH(J113,'G-8 Condition Look up'!$A$3:$H$3,0)),"")</f>
        <v/>
      </c>
      <c r="L113" s="101"/>
      <c r="M113" s="314" t="str">
        <f>IF(L113="","",IF(VLOOKUP(L113,'G-3 Multipliers'!$L$3:$N$6,2,FALSE)=0,"Spatial Data Missing ⚠",VLOOKUP(L113,'G-3 Multipliers'!$L$3:$N$6,2,FALSE)))</f>
        <v/>
      </c>
      <c r="N113" s="276" t="str">
        <f>IF(L113="","",IF(VLOOKUP(L113,'G-3 Multipliers'!$L$3:$N$6,3,FALSE)=0,"Spatial Data Missing ⚠",VLOOKUP(L113,'G-3 Multipliers'!$L$3:$N$6,3,FALSE)))</f>
        <v/>
      </c>
      <c r="O113" s="275" t="str">
        <f t="shared" si="7"/>
        <v/>
      </c>
      <c r="P113" s="133"/>
      <c r="Q113" s="133"/>
      <c r="R113" s="295" t="str">
        <f t="shared" si="10"/>
        <v/>
      </c>
      <c r="S113" s="316" t="str">
        <f t="shared" si="11"/>
        <v/>
      </c>
      <c r="T113" s="300" t="str">
        <f>IFERROR(IF(S113="Check Data ⚠","Check Data ⚠",VLOOKUP(S113,'G-4 Temporal multipliers'!$A$4:$C$37,3,FALSE)),"")</f>
        <v/>
      </c>
      <c r="U113" s="298" t="str">
        <f>IF(F113="","",VLOOKUP(F113,'G-3 Multipliers'!$A$2:$E$134,2,FALSE))</f>
        <v/>
      </c>
      <c r="V113" s="295" t="str">
        <f t="shared" si="12"/>
        <v/>
      </c>
      <c r="W113" s="295" t="str">
        <f>IF(E113="","",IF(AND(V113="Standard difficulty applied",O113&gt;P113),U113,IF(AND(V113="Low Difficulty - only applicable if all habitat created before losses ⚠",P113&gt;=O113),"Low",VLOOKUP(F113,'G-3 Multipliers'!$A$2:$E$134,4,FALSE))))</f>
        <v/>
      </c>
      <c r="X113" s="299" t="str">
        <f>IFERROR(IF(E113="","",VLOOKUP(W113,'G-3 Multipliers'!$P$2:$Q$6,2,FALSE)),"")</f>
        <v/>
      </c>
      <c r="Y113" s="393"/>
      <c r="Z113" s="510" t="str">
        <f>IF(Y113="","",IF(VLOOKUP(Y113,'G-3 Multipliers'!$S$3:$T$10,2,FALSE)=0,"Spatial Data Missing ⚠",VLOOKUP(Y113,'G-3 Multipliers'!$S$3:$T$10,2,FALSE)))</f>
        <v/>
      </c>
      <c r="AA113" s="926" t="str">
        <f t="shared" si="8"/>
        <v/>
      </c>
      <c r="AB113" s="928" t="str">
        <f t="shared" si="13"/>
        <v/>
      </c>
      <c r="AC113" s="105"/>
      <c r="AD113" s="138"/>
      <c r="AE113" s="233"/>
      <c r="AF113" s="138"/>
      <c r="AG113" s="934"/>
      <c r="AJ113" s="40" t="str">
        <f t="shared" si="9"/>
        <v/>
      </c>
    </row>
    <row r="114" spans="1:36" ht="14">
      <c r="A114" s="30" t="str">
        <f>IFERROR(INDEX('G-8 Condition Look up'!$I$4:$I$135,MATCH(F114,'G-8 Condition Look up'!$A$4:$A$135,0)),"")</f>
        <v/>
      </c>
      <c r="B114" s="225">
        <v>104</v>
      </c>
      <c r="C114" s="66" t="str">
        <f>IFERROR(INDEX('G-1 All Habitats'!$AG$25:$AG$41,MATCH(D114,'G-1 All Habitats'!AF$25:AF$41,0)),"")</f>
        <v/>
      </c>
      <c r="D114" s="105"/>
      <c r="E114" s="138"/>
      <c r="F114" s="158" t="str">
        <f>IFERROR(INDEX('G-1 All Habitats'!$B$3:$B$136,MATCH(E114,'G-1 All Habitats'!$A$3:$A$136,0)),"")</f>
        <v/>
      </c>
      <c r="G114" s="233"/>
      <c r="H114" s="311" t="str">
        <f>IF(F114="","",VLOOKUP(F114,'G-1 All Habitats'!$B$2:$M$135,10,FALSE))</f>
        <v/>
      </c>
      <c r="I114" s="299" t="str">
        <f>IFERROR(VLOOKUP(H114,'G-1 All Habitats'!$V$3:$W$7,2,FALSE),"")</f>
        <v/>
      </c>
      <c r="J114" s="136"/>
      <c r="K114" s="299" t="str">
        <f>IFERROR(INDEX('G-8 Condition Look up'!$A$3:$H$135,MATCH(F114,'G-8 Condition Look up'!$A$3:$A$135,0),MATCH(J114,'G-8 Condition Look up'!$A$3:$H$3,0)),"")</f>
        <v/>
      </c>
      <c r="L114" s="101"/>
      <c r="M114" s="314" t="str">
        <f>IF(L114="","",IF(VLOOKUP(L114,'G-3 Multipliers'!$L$3:$N$6,2,FALSE)=0,"Spatial Data Missing ⚠",VLOOKUP(L114,'G-3 Multipliers'!$L$3:$N$6,2,FALSE)))</f>
        <v/>
      </c>
      <c r="N114" s="276" t="str">
        <f>IF(L114="","",IF(VLOOKUP(L114,'G-3 Multipliers'!$L$3:$N$6,3,FALSE)=0,"Spatial Data Missing ⚠",VLOOKUP(L114,'G-3 Multipliers'!$L$3:$N$6,3,FALSE)))</f>
        <v/>
      </c>
      <c r="O114" s="275" t="str">
        <f t="shared" si="7"/>
        <v/>
      </c>
      <c r="P114" s="133"/>
      <c r="Q114" s="133"/>
      <c r="R114" s="295" t="str">
        <f t="shared" si="10"/>
        <v/>
      </c>
      <c r="S114" s="316" t="str">
        <f t="shared" si="11"/>
        <v/>
      </c>
      <c r="T114" s="300" t="str">
        <f>IFERROR(IF(S114="Check Data ⚠","Check Data ⚠",VLOOKUP(S114,'G-4 Temporal multipliers'!$A$4:$C$37,3,FALSE)),"")</f>
        <v/>
      </c>
      <c r="U114" s="298" t="str">
        <f>IF(F114="","",VLOOKUP(F114,'G-3 Multipliers'!$A$2:$E$134,2,FALSE))</f>
        <v/>
      </c>
      <c r="V114" s="295" t="str">
        <f t="shared" si="12"/>
        <v/>
      </c>
      <c r="W114" s="295" t="str">
        <f>IF(E114="","",IF(AND(V114="Standard difficulty applied",O114&gt;P114),U114,IF(AND(V114="Low Difficulty - only applicable if all habitat created before losses ⚠",P114&gt;=O114),"Low",VLOOKUP(F114,'G-3 Multipliers'!$A$2:$E$134,4,FALSE))))</f>
        <v/>
      </c>
      <c r="X114" s="299" t="str">
        <f>IFERROR(IF(E114="","",VLOOKUP(W114,'G-3 Multipliers'!$P$2:$Q$6,2,FALSE)),"")</f>
        <v/>
      </c>
      <c r="Y114" s="393"/>
      <c r="Z114" s="510" t="str">
        <f>IF(Y114="","",IF(VLOOKUP(Y114,'G-3 Multipliers'!$S$3:$T$10,2,FALSE)=0,"Spatial Data Missing ⚠",VLOOKUP(Y114,'G-3 Multipliers'!$S$3:$T$10,2,FALSE)))</f>
        <v/>
      </c>
      <c r="AA114" s="926" t="str">
        <f t="shared" si="8"/>
        <v/>
      </c>
      <c r="AB114" s="928" t="str">
        <f t="shared" si="13"/>
        <v/>
      </c>
      <c r="AC114" s="105"/>
      <c r="AD114" s="138"/>
      <c r="AE114" s="233"/>
      <c r="AF114" s="138"/>
      <c r="AG114" s="934"/>
      <c r="AJ114" s="40" t="str">
        <f t="shared" si="9"/>
        <v/>
      </c>
    </row>
    <row r="115" spans="1:36" ht="14">
      <c r="A115" s="30" t="str">
        <f>IFERROR(INDEX('G-8 Condition Look up'!$I$4:$I$135,MATCH(F115,'G-8 Condition Look up'!$A$4:$A$135,0)),"")</f>
        <v/>
      </c>
      <c r="B115" s="225">
        <v>105</v>
      </c>
      <c r="C115" s="66" t="str">
        <f>IFERROR(INDEX('G-1 All Habitats'!$AG$25:$AG$41,MATCH(D115,'G-1 All Habitats'!AF$25:AF$41,0)),"")</f>
        <v/>
      </c>
      <c r="D115" s="105"/>
      <c r="E115" s="138"/>
      <c r="F115" s="158" t="str">
        <f>IFERROR(INDEX('G-1 All Habitats'!$B$3:$B$136,MATCH(E115,'G-1 All Habitats'!$A$3:$A$136,0)),"")</f>
        <v/>
      </c>
      <c r="G115" s="233"/>
      <c r="H115" s="311" t="str">
        <f>IF(F115="","",VLOOKUP(F115,'G-1 All Habitats'!$B$2:$M$135,10,FALSE))</f>
        <v/>
      </c>
      <c r="I115" s="299" t="str">
        <f>IFERROR(VLOOKUP(H115,'G-1 All Habitats'!$V$3:$W$7,2,FALSE),"")</f>
        <v/>
      </c>
      <c r="J115" s="136"/>
      <c r="K115" s="299" t="str">
        <f>IFERROR(INDEX('G-8 Condition Look up'!$A$3:$H$135,MATCH(F115,'G-8 Condition Look up'!$A$3:$A$135,0),MATCH(J115,'G-8 Condition Look up'!$A$3:$H$3,0)),"")</f>
        <v/>
      </c>
      <c r="L115" s="101"/>
      <c r="M115" s="314" t="str">
        <f>IF(L115="","",IF(VLOOKUP(L115,'G-3 Multipliers'!$L$3:$N$6,2,FALSE)=0,"Spatial Data Missing ⚠",VLOOKUP(L115,'G-3 Multipliers'!$L$3:$N$6,2,FALSE)))</f>
        <v/>
      </c>
      <c r="N115" s="276" t="str">
        <f>IF(L115="","",IF(VLOOKUP(L115,'G-3 Multipliers'!$L$3:$N$6,3,FALSE)=0,"Spatial Data Missing ⚠",VLOOKUP(L115,'G-3 Multipliers'!$L$3:$N$6,3,FALSE)))</f>
        <v/>
      </c>
      <c r="O115" s="275" t="str">
        <f t="shared" si="7"/>
        <v/>
      </c>
      <c r="P115" s="133"/>
      <c r="Q115" s="133"/>
      <c r="R115" s="295" t="str">
        <f t="shared" si="10"/>
        <v/>
      </c>
      <c r="S115" s="316" t="str">
        <f t="shared" si="11"/>
        <v/>
      </c>
      <c r="T115" s="300" t="str">
        <f>IFERROR(IF(S115="Check Data ⚠","Check Data ⚠",VLOOKUP(S115,'G-4 Temporal multipliers'!$A$4:$C$37,3,FALSE)),"")</f>
        <v/>
      </c>
      <c r="U115" s="298" t="str">
        <f>IF(F115="","",VLOOKUP(F115,'G-3 Multipliers'!$A$2:$E$134,2,FALSE))</f>
        <v/>
      </c>
      <c r="V115" s="295" t="str">
        <f t="shared" si="12"/>
        <v/>
      </c>
      <c r="W115" s="295" t="str">
        <f>IF(E115="","",IF(AND(V115="Standard difficulty applied",O115&gt;P115),U115,IF(AND(V115="Low Difficulty - only applicable if all habitat created before losses ⚠",P115&gt;=O115),"Low",VLOOKUP(F115,'G-3 Multipliers'!$A$2:$E$134,4,FALSE))))</f>
        <v/>
      </c>
      <c r="X115" s="299" t="str">
        <f>IFERROR(IF(E115="","",VLOOKUP(W115,'G-3 Multipliers'!$P$2:$Q$6,2,FALSE)),"")</f>
        <v/>
      </c>
      <c r="Y115" s="393"/>
      <c r="Z115" s="510" t="str">
        <f>IF(Y115="","",IF(VLOOKUP(Y115,'G-3 Multipliers'!$S$3:$T$10,2,FALSE)=0,"Spatial Data Missing ⚠",VLOOKUP(Y115,'G-3 Multipliers'!$S$3:$T$10,2,FALSE)))</f>
        <v/>
      </c>
      <c r="AA115" s="926" t="str">
        <f t="shared" si="8"/>
        <v/>
      </c>
      <c r="AB115" s="928" t="str">
        <f t="shared" si="13"/>
        <v/>
      </c>
      <c r="AC115" s="105"/>
      <c r="AD115" s="138"/>
      <c r="AE115" s="233"/>
      <c r="AF115" s="138"/>
      <c r="AG115" s="934"/>
      <c r="AJ115" s="40" t="str">
        <f t="shared" si="9"/>
        <v/>
      </c>
    </row>
    <row r="116" spans="1:36" ht="14">
      <c r="A116" s="30" t="str">
        <f>IFERROR(INDEX('G-8 Condition Look up'!$I$4:$I$135,MATCH(F116,'G-8 Condition Look up'!$A$4:$A$135,0)),"")</f>
        <v/>
      </c>
      <c r="B116" s="225">
        <v>106</v>
      </c>
      <c r="C116" s="66" t="str">
        <f>IFERROR(INDEX('G-1 All Habitats'!$AG$25:$AG$41,MATCH(D116,'G-1 All Habitats'!AF$25:AF$41,0)),"")</f>
        <v/>
      </c>
      <c r="D116" s="105"/>
      <c r="E116" s="138"/>
      <c r="F116" s="158" t="str">
        <f>IFERROR(INDEX('G-1 All Habitats'!$B$3:$B$136,MATCH(E116,'G-1 All Habitats'!$A$3:$A$136,0)),"")</f>
        <v/>
      </c>
      <c r="G116" s="233"/>
      <c r="H116" s="311" t="str">
        <f>IF(F116="","",VLOOKUP(F116,'G-1 All Habitats'!$B$2:$M$135,10,FALSE))</f>
        <v/>
      </c>
      <c r="I116" s="299" t="str">
        <f>IFERROR(VLOOKUP(H116,'G-1 All Habitats'!$V$3:$W$7,2,FALSE),"")</f>
        <v/>
      </c>
      <c r="J116" s="136"/>
      <c r="K116" s="299" t="str">
        <f>IFERROR(INDEX('G-8 Condition Look up'!$A$3:$H$135,MATCH(F116,'G-8 Condition Look up'!$A$3:$A$135,0),MATCH(J116,'G-8 Condition Look up'!$A$3:$H$3,0)),"")</f>
        <v/>
      </c>
      <c r="L116" s="101"/>
      <c r="M116" s="314" t="str">
        <f>IF(L116="","",IF(VLOOKUP(L116,'G-3 Multipliers'!$L$3:$N$6,2,FALSE)=0,"Spatial Data Missing ⚠",VLOOKUP(L116,'G-3 Multipliers'!$L$3:$N$6,2,FALSE)))</f>
        <v/>
      </c>
      <c r="N116" s="276" t="str">
        <f>IF(L116="","",IF(VLOOKUP(L116,'G-3 Multipliers'!$L$3:$N$6,3,FALSE)=0,"Spatial Data Missing ⚠",VLOOKUP(L116,'G-3 Multipliers'!$L$3:$N$6,3,FALSE)))</f>
        <v/>
      </c>
      <c r="O116" s="275" t="str">
        <f t="shared" si="7"/>
        <v/>
      </c>
      <c r="P116" s="133"/>
      <c r="Q116" s="133"/>
      <c r="R116" s="295" t="str">
        <f t="shared" si="10"/>
        <v/>
      </c>
      <c r="S116" s="316" t="str">
        <f t="shared" si="11"/>
        <v/>
      </c>
      <c r="T116" s="300" t="str">
        <f>IFERROR(IF(S116="Check Data ⚠","Check Data ⚠",VLOOKUP(S116,'G-4 Temporal multipliers'!$A$4:$C$37,3,FALSE)),"")</f>
        <v/>
      </c>
      <c r="U116" s="298" t="str">
        <f>IF(F116="","",VLOOKUP(F116,'G-3 Multipliers'!$A$2:$E$134,2,FALSE))</f>
        <v/>
      </c>
      <c r="V116" s="295" t="str">
        <f t="shared" si="12"/>
        <v/>
      </c>
      <c r="W116" s="295" t="str">
        <f>IF(E116="","",IF(AND(V116="Standard difficulty applied",O116&gt;P116),U116,IF(AND(V116="Low Difficulty - only applicable if all habitat created before losses ⚠",P116&gt;=O116),"Low",VLOOKUP(F116,'G-3 Multipliers'!$A$2:$E$134,4,FALSE))))</f>
        <v/>
      </c>
      <c r="X116" s="299" t="str">
        <f>IFERROR(IF(E116="","",VLOOKUP(W116,'G-3 Multipliers'!$P$2:$Q$6,2,FALSE)),"")</f>
        <v/>
      </c>
      <c r="Y116" s="393"/>
      <c r="Z116" s="510" t="str">
        <f>IF(Y116="","",IF(VLOOKUP(Y116,'G-3 Multipliers'!$S$3:$T$10,2,FALSE)=0,"Spatial Data Missing ⚠",VLOOKUP(Y116,'G-3 Multipliers'!$S$3:$T$10,2,FALSE)))</f>
        <v/>
      </c>
      <c r="AA116" s="926" t="str">
        <f t="shared" si="8"/>
        <v/>
      </c>
      <c r="AB116" s="928" t="str">
        <f t="shared" si="13"/>
        <v/>
      </c>
      <c r="AC116" s="105"/>
      <c r="AD116" s="138"/>
      <c r="AE116" s="233"/>
      <c r="AF116" s="138"/>
      <c r="AG116" s="934"/>
      <c r="AJ116" s="40" t="str">
        <f t="shared" si="9"/>
        <v/>
      </c>
    </row>
    <row r="117" spans="1:36" ht="14">
      <c r="A117" s="30" t="str">
        <f>IFERROR(INDEX('G-8 Condition Look up'!$I$4:$I$135,MATCH(F117,'G-8 Condition Look up'!$A$4:$A$135,0)),"")</f>
        <v/>
      </c>
      <c r="B117" s="225">
        <v>107</v>
      </c>
      <c r="C117" s="66" t="str">
        <f>IFERROR(INDEX('G-1 All Habitats'!$AG$25:$AG$41,MATCH(D117,'G-1 All Habitats'!AF$25:AF$41,0)),"")</f>
        <v/>
      </c>
      <c r="D117" s="105"/>
      <c r="E117" s="138"/>
      <c r="F117" s="158" t="str">
        <f>IFERROR(INDEX('G-1 All Habitats'!$B$3:$B$136,MATCH(E117,'G-1 All Habitats'!$A$3:$A$136,0)),"")</f>
        <v/>
      </c>
      <c r="G117" s="233"/>
      <c r="H117" s="311" t="str">
        <f>IF(F117="","",VLOOKUP(F117,'G-1 All Habitats'!$B$2:$M$135,10,FALSE))</f>
        <v/>
      </c>
      <c r="I117" s="299" t="str">
        <f>IFERROR(VLOOKUP(H117,'G-1 All Habitats'!$V$3:$W$7,2,FALSE),"")</f>
        <v/>
      </c>
      <c r="J117" s="136"/>
      <c r="K117" s="299" t="str">
        <f>IFERROR(INDEX('G-8 Condition Look up'!$A$3:$H$135,MATCH(F117,'G-8 Condition Look up'!$A$3:$A$135,0),MATCH(J117,'G-8 Condition Look up'!$A$3:$H$3,0)),"")</f>
        <v/>
      </c>
      <c r="L117" s="101"/>
      <c r="M117" s="314" t="str">
        <f>IF(L117="","",IF(VLOOKUP(L117,'G-3 Multipliers'!$L$3:$N$6,2,FALSE)=0,"Spatial Data Missing ⚠",VLOOKUP(L117,'G-3 Multipliers'!$L$3:$N$6,2,FALSE)))</f>
        <v/>
      </c>
      <c r="N117" s="276" t="str">
        <f>IF(L117="","",IF(VLOOKUP(L117,'G-3 Multipliers'!$L$3:$N$6,3,FALSE)=0,"Spatial Data Missing ⚠",VLOOKUP(L117,'G-3 Multipliers'!$L$3:$N$6,3,FALSE)))</f>
        <v/>
      </c>
      <c r="O117" s="275" t="str">
        <f t="shared" si="7"/>
        <v/>
      </c>
      <c r="P117" s="133"/>
      <c r="Q117" s="133"/>
      <c r="R117" s="295" t="str">
        <f t="shared" si="10"/>
        <v/>
      </c>
      <c r="S117" s="316" t="str">
        <f t="shared" si="11"/>
        <v/>
      </c>
      <c r="T117" s="300" t="str">
        <f>IFERROR(IF(S117="Check Data ⚠","Check Data ⚠",VLOOKUP(S117,'G-4 Temporal multipliers'!$A$4:$C$37,3,FALSE)),"")</f>
        <v/>
      </c>
      <c r="U117" s="298" t="str">
        <f>IF(F117="","",VLOOKUP(F117,'G-3 Multipliers'!$A$2:$E$134,2,FALSE))</f>
        <v/>
      </c>
      <c r="V117" s="295" t="str">
        <f t="shared" si="12"/>
        <v/>
      </c>
      <c r="W117" s="295" t="str">
        <f>IF(E117="","",IF(AND(V117="Standard difficulty applied",O117&gt;P117),U117,IF(AND(V117="Low Difficulty - only applicable if all habitat created before losses ⚠",P117&gt;=O117),"Low",VLOOKUP(F117,'G-3 Multipliers'!$A$2:$E$134,4,FALSE))))</f>
        <v/>
      </c>
      <c r="X117" s="299" t="str">
        <f>IFERROR(IF(E117="","",VLOOKUP(W117,'G-3 Multipliers'!$P$2:$Q$6,2,FALSE)),"")</f>
        <v/>
      </c>
      <c r="Y117" s="393"/>
      <c r="Z117" s="510" t="str">
        <f>IF(Y117="","",IF(VLOOKUP(Y117,'G-3 Multipliers'!$S$3:$T$10,2,FALSE)=0,"Spatial Data Missing ⚠",VLOOKUP(Y117,'G-3 Multipliers'!$S$3:$T$10,2,FALSE)))</f>
        <v/>
      </c>
      <c r="AA117" s="926" t="str">
        <f t="shared" si="8"/>
        <v/>
      </c>
      <c r="AB117" s="928" t="str">
        <f t="shared" si="13"/>
        <v/>
      </c>
      <c r="AC117" s="105"/>
      <c r="AD117" s="138"/>
      <c r="AE117" s="233"/>
      <c r="AF117" s="138"/>
      <c r="AG117" s="934"/>
      <c r="AJ117" s="40" t="str">
        <f t="shared" si="9"/>
        <v/>
      </c>
    </row>
    <row r="118" spans="1:36" ht="14">
      <c r="A118" s="30" t="str">
        <f>IFERROR(INDEX('G-8 Condition Look up'!$I$4:$I$135,MATCH(F118,'G-8 Condition Look up'!$A$4:$A$135,0)),"")</f>
        <v/>
      </c>
      <c r="B118" s="225">
        <v>108</v>
      </c>
      <c r="C118" s="66" t="str">
        <f>IFERROR(INDEX('G-1 All Habitats'!$AG$25:$AG$41,MATCH(D118,'G-1 All Habitats'!AF$25:AF$41,0)),"")</f>
        <v/>
      </c>
      <c r="D118" s="105"/>
      <c r="E118" s="138"/>
      <c r="F118" s="158" t="str">
        <f>IFERROR(INDEX('G-1 All Habitats'!$B$3:$B$136,MATCH(E118,'G-1 All Habitats'!$A$3:$A$136,0)),"")</f>
        <v/>
      </c>
      <c r="G118" s="233"/>
      <c r="H118" s="311" t="str">
        <f>IF(F118="","",VLOOKUP(F118,'G-1 All Habitats'!$B$2:$M$135,10,FALSE))</f>
        <v/>
      </c>
      <c r="I118" s="299" t="str">
        <f>IFERROR(VLOOKUP(H118,'G-1 All Habitats'!$V$3:$W$7,2,FALSE),"")</f>
        <v/>
      </c>
      <c r="J118" s="136"/>
      <c r="K118" s="299" t="str">
        <f>IFERROR(INDEX('G-8 Condition Look up'!$A$3:$H$135,MATCH(F118,'G-8 Condition Look up'!$A$3:$A$135,0),MATCH(J118,'G-8 Condition Look up'!$A$3:$H$3,0)),"")</f>
        <v/>
      </c>
      <c r="L118" s="101"/>
      <c r="M118" s="314" t="str">
        <f>IF(L118="","",IF(VLOOKUP(L118,'G-3 Multipliers'!$L$3:$N$6,2,FALSE)=0,"Spatial Data Missing ⚠",VLOOKUP(L118,'G-3 Multipliers'!$L$3:$N$6,2,FALSE)))</f>
        <v/>
      </c>
      <c r="N118" s="276" t="str">
        <f>IF(L118="","",IF(VLOOKUP(L118,'G-3 Multipliers'!$L$3:$N$6,3,FALSE)=0,"Spatial Data Missing ⚠",VLOOKUP(L118,'G-3 Multipliers'!$L$3:$N$6,3,FALSE)))</f>
        <v/>
      </c>
      <c r="O118" s="275" t="str">
        <f t="shared" si="7"/>
        <v/>
      </c>
      <c r="P118" s="133"/>
      <c r="Q118" s="133"/>
      <c r="R118" s="295" t="str">
        <f t="shared" si="10"/>
        <v/>
      </c>
      <c r="S118" s="316" t="str">
        <f t="shared" si="11"/>
        <v/>
      </c>
      <c r="T118" s="300" t="str">
        <f>IFERROR(IF(S118="Check Data ⚠","Check Data ⚠",VLOOKUP(S118,'G-4 Temporal multipliers'!$A$4:$C$37,3,FALSE)),"")</f>
        <v/>
      </c>
      <c r="U118" s="298" t="str">
        <f>IF(F118="","",VLOOKUP(F118,'G-3 Multipliers'!$A$2:$E$134,2,FALSE))</f>
        <v/>
      </c>
      <c r="V118" s="295" t="str">
        <f t="shared" si="12"/>
        <v/>
      </c>
      <c r="W118" s="295" t="str">
        <f>IF(E118="","",IF(AND(V118="Standard difficulty applied",O118&gt;P118),U118,IF(AND(V118="Low Difficulty - only applicable if all habitat created before losses ⚠",P118&gt;=O118),"Low",VLOOKUP(F118,'G-3 Multipliers'!$A$2:$E$134,4,FALSE))))</f>
        <v/>
      </c>
      <c r="X118" s="299" t="str">
        <f>IFERROR(IF(E118="","",VLOOKUP(W118,'G-3 Multipliers'!$P$2:$Q$6,2,FALSE)),"")</f>
        <v/>
      </c>
      <c r="Y118" s="393"/>
      <c r="Z118" s="510" t="str">
        <f>IF(Y118="","",IF(VLOOKUP(Y118,'G-3 Multipliers'!$S$3:$T$10,2,FALSE)=0,"Spatial Data Missing ⚠",VLOOKUP(Y118,'G-3 Multipliers'!$S$3:$T$10,2,FALSE)))</f>
        <v/>
      </c>
      <c r="AA118" s="926" t="str">
        <f t="shared" si="8"/>
        <v/>
      </c>
      <c r="AB118" s="928" t="str">
        <f t="shared" si="13"/>
        <v/>
      </c>
      <c r="AC118" s="105"/>
      <c r="AD118" s="138"/>
      <c r="AE118" s="233"/>
      <c r="AF118" s="138"/>
      <c r="AG118" s="934"/>
      <c r="AJ118" s="40" t="str">
        <f t="shared" si="9"/>
        <v/>
      </c>
    </row>
    <row r="119" spans="1:36" ht="14">
      <c r="A119" s="30" t="str">
        <f>IFERROR(INDEX('G-8 Condition Look up'!$I$4:$I$135,MATCH(F119,'G-8 Condition Look up'!$A$4:$A$135,0)),"")</f>
        <v/>
      </c>
      <c r="B119" s="225">
        <v>109</v>
      </c>
      <c r="C119" s="66" t="str">
        <f>IFERROR(INDEX('G-1 All Habitats'!$AG$25:$AG$41,MATCH(D119,'G-1 All Habitats'!AF$25:AF$41,0)),"")</f>
        <v/>
      </c>
      <c r="D119" s="105"/>
      <c r="E119" s="138"/>
      <c r="F119" s="158" t="str">
        <f>IFERROR(INDEX('G-1 All Habitats'!$B$3:$B$136,MATCH(E119,'G-1 All Habitats'!$A$3:$A$136,0)),"")</f>
        <v/>
      </c>
      <c r="G119" s="233"/>
      <c r="H119" s="311" t="str">
        <f>IF(F119="","",VLOOKUP(F119,'G-1 All Habitats'!$B$2:$M$135,10,FALSE))</f>
        <v/>
      </c>
      <c r="I119" s="299" t="str">
        <f>IFERROR(VLOOKUP(H119,'G-1 All Habitats'!$V$3:$W$7,2,FALSE),"")</f>
        <v/>
      </c>
      <c r="J119" s="136"/>
      <c r="K119" s="299" t="str">
        <f>IFERROR(INDEX('G-8 Condition Look up'!$A$3:$H$135,MATCH(F119,'G-8 Condition Look up'!$A$3:$A$135,0),MATCH(J119,'G-8 Condition Look up'!$A$3:$H$3,0)),"")</f>
        <v/>
      </c>
      <c r="L119" s="101"/>
      <c r="M119" s="314" t="str">
        <f>IF(L119="","",IF(VLOOKUP(L119,'G-3 Multipliers'!$L$3:$N$6,2,FALSE)=0,"Spatial Data Missing ⚠",VLOOKUP(L119,'G-3 Multipliers'!$L$3:$N$6,2,FALSE)))</f>
        <v/>
      </c>
      <c r="N119" s="276" t="str">
        <f>IF(L119="","",IF(VLOOKUP(L119,'G-3 Multipliers'!$L$3:$N$6,3,FALSE)=0,"Spatial Data Missing ⚠",VLOOKUP(L119,'G-3 Multipliers'!$L$3:$N$6,3,FALSE)))</f>
        <v/>
      </c>
      <c r="O119" s="275" t="str">
        <f t="shared" si="7"/>
        <v/>
      </c>
      <c r="P119" s="133"/>
      <c r="Q119" s="133"/>
      <c r="R119" s="295" t="str">
        <f t="shared" si="10"/>
        <v/>
      </c>
      <c r="S119" s="316" t="str">
        <f t="shared" si="11"/>
        <v/>
      </c>
      <c r="T119" s="300" t="str">
        <f>IFERROR(IF(S119="Check Data ⚠","Check Data ⚠",VLOOKUP(S119,'G-4 Temporal multipliers'!$A$4:$C$37,3,FALSE)),"")</f>
        <v/>
      </c>
      <c r="U119" s="298" t="str">
        <f>IF(F119="","",VLOOKUP(F119,'G-3 Multipliers'!$A$2:$E$134,2,FALSE))</f>
        <v/>
      </c>
      <c r="V119" s="295" t="str">
        <f t="shared" si="12"/>
        <v/>
      </c>
      <c r="W119" s="295" t="str">
        <f>IF(E119="","",IF(AND(V119="Standard difficulty applied",O119&gt;P119),U119,IF(AND(V119="Low Difficulty - only applicable if all habitat created before losses ⚠",P119&gt;=O119),"Low",VLOOKUP(F119,'G-3 Multipliers'!$A$2:$E$134,4,FALSE))))</f>
        <v/>
      </c>
      <c r="X119" s="299" t="str">
        <f>IFERROR(IF(E119="","",VLOOKUP(W119,'G-3 Multipliers'!$P$2:$Q$6,2,FALSE)),"")</f>
        <v/>
      </c>
      <c r="Y119" s="393"/>
      <c r="Z119" s="510" t="str">
        <f>IF(Y119="","",IF(VLOOKUP(Y119,'G-3 Multipliers'!$S$3:$T$10,2,FALSE)=0,"Spatial Data Missing ⚠",VLOOKUP(Y119,'G-3 Multipliers'!$S$3:$T$10,2,FALSE)))</f>
        <v/>
      </c>
      <c r="AA119" s="926" t="str">
        <f t="shared" si="8"/>
        <v/>
      </c>
      <c r="AB119" s="928" t="str">
        <f t="shared" si="13"/>
        <v/>
      </c>
      <c r="AC119" s="105"/>
      <c r="AD119" s="138"/>
      <c r="AE119" s="233"/>
      <c r="AF119" s="138"/>
      <c r="AG119" s="934"/>
      <c r="AJ119" s="40" t="str">
        <f t="shared" si="9"/>
        <v/>
      </c>
    </row>
    <row r="120" spans="1:36" ht="14">
      <c r="A120" s="30" t="str">
        <f>IFERROR(INDEX('G-8 Condition Look up'!$I$4:$I$135,MATCH(F120,'G-8 Condition Look up'!$A$4:$A$135,0)),"")</f>
        <v/>
      </c>
      <c r="B120" s="225">
        <v>110</v>
      </c>
      <c r="C120" s="66" t="str">
        <f>IFERROR(INDEX('G-1 All Habitats'!$AG$25:$AG$41,MATCH(D120,'G-1 All Habitats'!AF$25:AF$41,0)),"")</f>
        <v/>
      </c>
      <c r="D120" s="105"/>
      <c r="E120" s="138"/>
      <c r="F120" s="158" t="str">
        <f>IFERROR(INDEX('G-1 All Habitats'!$B$3:$B$136,MATCH(E120,'G-1 All Habitats'!$A$3:$A$136,0)),"")</f>
        <v/>
      </c>
      <c r="G120" s="233"/>
      <c r="H120" s="311" t="str">
        <f>IF(F120="","",VLOOKUP(F120,'G-1 All Habitats'!$B$2:$M$135,10,FALSE))</f>
        <v/>
      </c>
      <c r="I120" s="299" t="str">
        <f>IFERROR(VLOOKUP(H120,'G-1 All Habitats'!$V$3:$W$7,2,FALSE),"")</f>
        <v/>
      </c>
      <c r="J120" s="136"/>
      <c r="K120" s="299" t="str">
        <f>IFERROR(INDEX('G-8 Condition Look up'!$A$3:$H$135,MATCH(F120,'G-8 Condition Look up'!$A$3:$A$135,0),MATCH(J120,'G-8 Condition Look up'!$A$3:$H$3,0)),"")</f>
        <v/>
      </c>
      <c r="L120" s="101"/>
      <c r="M120" s="314" t="str">
        <f>IF(L120="","",IF(VLOOKUP(L120,'G-3 Multipliers'!$L$3:$N$6,2,FALSE)=0,"Spatial Data Missing ⚠",VLOOKUP(L120,'G-3 Multipliers'!$L$3:$N$6,2,FALSE)))</f>
        <v/>
      </c>
      <c r="N120" s="276" t="str">
        <f>IF(L120="","",IF(VLOOKUP(L120,'G-3 Multipliers'!$L$3:$N$6,3,FALSE)=0,"Spatial Data Missing ⚠",VLOOKUP(L120,'G-3 Multipliers'!$L$3:$N$6,3,FALSE)))</f>
        <v/>
      </c>
      <c r="O120" s="275" t="str">
        <f t="shared" si="7"/>
        <v/>
      </c>
      <c r="P120" s="133"/>
      <c r="Q120" s="133"/>
      <c r="R120" s="295" t="str">
        <f t="shared" si="10"/>
        <v/>
      </c>
      <c r="S120" s="316" t="str">
        <f t="shared" si="11"/>
        <v/>
      </c>
      <c r="T120" s="300" t="str">
        <f>IFERROR(IF(S120="Check Data ⚠","Check Data ⚠",VLOOKUP(S120,'G-4 Temporal multipliers'!$A$4:$C$37,3,FALSE)),"")</f>
        <v/>
      </c>
      <c r="U120" s="298" t="str">
        <f>IF(F120="","",VLOOKUP(F120,'G-3 Multipliers'!$A$2:$E$134,2,FALSE))</f>
        <v/>
      </c>
      <c r="V120" s="295" t="str">
        <f t="shared" si="12"/>
        <v/>
      </c>
      <c r="W120" s="295" t="str">
        <f>IF(E120="","",IF(AND(V120="Standard difficulty applied",O120&gt;P120),U120,IF(AND(V120="Low Difficulty - only applicable if all habitat created before losses ⚠",P120&gt;=O120),"Low",VLOOKUP(F120,'G-3 Multipliers'!$A$2:$E$134,4,FALSE))))</f>
        <v/>
      </c>
      <c r="X120" s="299" t="str">
        <f>IFERROR(IF(E120="","",VLOOKUP(W120,'G-3 Multipliers'!$P$2:$Q$6,2,FALSE)),"")</f>
        <v/>
      </c>
      <c r="Y120" s="393"/>
      <c r="Z120" s="510" t="str">
        <f>IF(Y120="","",IF(VLOOKUP(Y120,'G-3 Multipliers'!$S$3:$T$10,2,FALSE)=0,"Spatial Data Missing ⚠",VLOOKUP(Y120,'G-3 Multipliers'!$S$3:$T$10,2,FALSE)))</f>
        <v/>
      </c>
      <c r="AA120" s="926" t="str">
        <f t="shared" si="8"/>
        <v/>
      </c>
      <c r="AB120" s="928" t="str">
        <f t="shared" si="13"/>
        <v/>
      </c>
      <c r="AC120" s="105"/>
      <c r="AD120" s="138"/>
      <c r="AE120" s="233"/>
      <c r="AF120" s="138"/>
      <c r="AG120" s="934"/>
      <c r="AJ120" s="40" t="str">
        <f t="shared" si="9"/>
        <v/>
      </c>
    </row>
    <row r="121" spans="1:36" ht="14">
      <c r="A121" s="30" t="str">
        <f>IFERROR(INDEX('G-8 Condition Look up'!$I$4:$I$135,MATCH(F121,'G-8 Condition Look up'!$A$4:$A$135,0)),"")</f>
        <v/>
      </c>
      <c r="B121" s="225">
        <v>111</v>
      </c>
      <c r="C121" s="66" t="str">
        <f>IFERROR(INDEX('G-1 All Habitats'!$AG$25:$AG$41,MATCH(D121,'G-1 All Habitats'!AF$25:AF$41,0)),"")</f>
        <v/>
      </c>
      <c r="D121" s="105"/>
      <c r="E121" s="138"/>
      <c r="F121" s="158" t="str">
        <f>IFERROR(INDEX('G-1 All Habitats'!$B$3:$B$136,MATCH(E121,'G-1 All Habitats'!$A$3:$A$136,0)),"")</f>
        <v/>
      </c>
      <c r="G121" s="233"/>
      <c r="H121" s="311" t="str">
        <f>IF(F121="","",VLOOKUP(F121,'G-1 All Habitats'!$B$2:$M$135,10,FALSE))</f>
        <v/>
      </c>
      <c r="I121" s="299" t="str">
        <f>IFERROR(VLOOKUP(H121,'G-1 All Habitats'!$V$3:$W$7,2,FALSE),"")</f>
        <v/>
      </c>
      <c r="J121" s="136"/>
      <c r="K121" s="299" t="str">
        <f>IFERROR(INDEX('G-8 Condition Look up'!$A$3:$H$135,MATCH(F121,'G-8 Condition Look up'!$A$3:$A$135,0),MATCH(J121,'G-8 Condition Look up'!$A$3:$H$3,0)),"")</f>
        <v/>
      </c>
      <c r="L121" s="101"/>
      <c r="M121" s="314" t="str">
        <f>IF(L121="","",IF(VLOOKUP(L121,'G-3 Multipliers'!$L$3:$N$6,2,FALSE)=0,"Spatial Data Missing ⚠",VLOOKUP(L121,'G-3 Multipliers'!$L$3:$N$6,2,FALSE)))</f>
        <v/>
      </c>
      <c r="N121" s="276" t="str">
        <f>IF(L121="","",IF(VLOOKUP(L121,'G-3 Multipliers'!$L$3:$N$6,3,FALSE)=0,"Spatial Data Missing ⚠",VLOOKUP(L121,'G-3 Multipliers'!$L$3:$N$6,3,FALSE)))</f>
        <v/>
      </c>
      <c r="O121" s="275" t="str">
        <f t="shared" si="7"/>
        <v/>
      </c>
      <c r="P121" s="133"/>
      <c r="Q121" s="133"/>
      <c r="R121" s="295" t="str">
        <f t="shared" si="10"/>
        <v/>
      </c>
      <c r="S121" s="316" t="str">
        <f t="shared" si="11"/>
        <v/>
      </c>
      <c r="T121" s="300" t="str">
        <f>IFERROR(IF(S121="Check Data ⚠","Check Data ⚠",VLOOKUP(S121,'G-4 Temporal multipliers'!$A$4:$C$37,3,FALSE)),"")</f>
        <v/>
      </c>
      <c r="U121" s="298" t="str">
        <f>IF(F121="","",VLOOKUP(F121,'G-3 Multipliers'!$A$2:$E$134,2,FALSE))</f>
        <v/>
      </c>
      <c r="V121" s="295" t="str">
        <f t="shared" si="12"/>
        <v/>
      </c>
      <c r="W121" s="295" t="str">
        <f>IF(E121="","",IF(AND(V121="Standard difficulty applied",O121&gt;P121),U121,IF(AND(V121="Low Difficulty - only applicable if all habitat created before losses ⚠",P121&gt;=O121),"Low",VLOOKUP(F121,'G-3 Multipliers'!$A$2:$E$134,4,FALSE))))</f>
        <v/>
      </c>
      <c r="X121" s="299" t="str">
        <f>IFERROR(IF(E121="","",VLOOKUP(W121,'G-3 Multipliers'!$P$2:$Q$6,2,FALSE)),"")</f>
        <v/>
      </c>
      <c r="Y121" s="393"/>
      <c r="Z121" s="510" t="str">
        <f>IF(Y121="","",IF(VLOOKUP(Y121,'G-3 Multipliers'!$S$3:$T$10,2,FALSE)=0,"Spatial Data Missing ⚠",VLOOKUP(Y121,'G-3 Multipliers'!$S$3:$T$10,2,FALSE)))</f>
        <v/>
      </c>
      <c r="AA121" s="926" t="str">
        <f t="shared" si="8"/>
        <v/>
      </c>
      <c r="AB121" s="928" t="str">
        <f t="shared" si="13"/>
        <v/>
      </c>
      <c r="AC121" s="105"/>
      <c r="AD121" s="138"/>
      <c r="AE121" s="233"/>
      <c r="AF121" s="138"/>
      <c r="AG121" s="934"/>
      <c r="AJ121" s="40" t="str">
        <f t="shared" si="9"/>
        <v/>
      </c>
    </row>
    <row r="122" spans="1:36" ht="14">
      <c r="A122" s="30" t="str">
        <f>IFERROR(INDEX('G-8 Condition Look up'!$I$4:$I$135,MATCH(F122,'G-8 Condition Look up'!$A$4:$A$135,0)),"")</f>
        <v/>
      </c>
      <c r="B122" s="225">
        <v>112</v>
      </c>
      <c r="C122" s="66" t="str">
        <f>IFERROR(INDEX('G-1 All Habitats'!$AG$25:$AG$41,MATCH(D122,'G-1 All Habitats'!AF$25:AF$41,0)),"")</f>
        <v/>
      </c>
      <c r="D122" s="105"/>
      <c r="E122" s="138"/>
      <c r="F122" s="158" t="str">
        <f>IFERROR(INDEX('G-1 All Habitats'!$B$3:$B$136,MATCH(E122,'G-1 All Habitats'!$A$3:$A$136,0)),"")</f>
        <v/>
      </c>
      <c r="G122" s="233"/>
      <c r="H122" s="311" t="str">
        <f>IF(F122="","",VLOOKUP(F122,'G-1 All Habitats'!$B$2:$M$135,10,FALSE))</f>
        <v/>
      </c>
      <c r="I122" s="299" t="str">
        <f>IFERROR(VLOOKUP(H122,'G-1 All Habitats'!$V$3:$W$7,2,FALSE),"")</f>
        <v/>
      </c>
      <c r="J122" s="136"/>
      <c r="K122" s="299" t="str">
        <f>IFERROR(INDEX('G-8 Condition Look up'!$A$3:$H$135,MATCH(F122,'G-8 Condition Look up'!$A$3:$A$135,0),MATCH(J122,'G-8 Condition Look up'!$A$3:$H$3,0)),"")</f>
        <v/>
      </c>
      <c r="L122" s="101"/>
      <c r="M122" s="314" t="str">
        <f>IF(L122="","",IF(VLOOKUP(L122,'G-3 Multipliers'!$L$3:$N$6,2,FALSE)=0,"Spatial Data Missing ⚠",VLOOKUP(L122,'G-3 Multipliers'!$L$3:$N$6,2,FALSE)))</f>
        <v/>
      </c>
      <c r="N122" s="276" t="str">
        <f>IF(L122="","",IF(VLOOKUP(L122,'G-3 Multipliers'!$L$3:$N$6,3,FALSE)=0,"Spatial Data Missing ⚠",VLOOKUP(L122,'G-3 Multipliers'!$L$3:$N$6,3,FALSE)))</f>
        <v/>
      </c>
      <c r="O122" s="275" t="str">
        <f t="shared" si="7"/>
        <v/>
      </c>
      <c r="P122" s="133"/>
      <c r="Q122" s="133"/>
      <c r="R122" s="295" t="str">
        <f t="shared" si="10"/>
        <v/>
      </c>
      <c r="S122" s="316" t="str">
        <f t="shared" si="11"/>
        <v/>
      </c>
      <c r="T122" s="300" t="str">
        <f>IFERROR(IF(S122="Check Data ⚠","Check Data ⚠",VLOOKUP(S122,'G-4 Temporal multipliers'!$A$4:$C$37,3,FALSE)),"")</f>
        <v/>
      </c>
      <c r="U122" s="298" t="str">
        <f>IF(F122="","",VLOOKUP(F122,'G-3 Multipliers'!$A$2:$E$134,2,FALSE))</f>
        <v/>
      </c>
      <c r="V122" s="295" t="str">
        <f t="shared" si="12"/>
        <v/>
      </c>
      <c r="W122" s="295" t="str">
        <f>IF(E122="","",IF(AND(V122="Standard difficulty applied",O122&gt;P122),U122,IF(AND(V122="Low Difficulty - only applicable if all habitat created before losses ⚠",P122&gt;=O122),"Low",VLOOKUP(F122,'G-3 Multipliers'!$A$2:$E$134,4,FALSE))))</f>
        <v/>
      </c>
      <c r="X122" s="299" t="str">
        <f>IFERROR(IF(E122="","",VLOOKUP(W122,'G-3 Multipliers'!$P$2:$Q$6,2,FALSE)),"")</f>
        <v/>
      </c>
      <c r="Y122" s="393"/>
      <c r="Z122" s="510" t="str">
        <f>IF(Y122="","",IF(VLOOKUP(Y122,'G-3 Multipliers'!$S$3:$T$10,2,FALSE)=0,"Spatial Data Missing ⚠",VLOOKUP(Y122,'G-3 Multipliers'!$S$3:$T$10,2,FALSE)))</f>
        <v/>
      </c>
      <c r="AA122" s="926" t="str">
        <f t="shared" si="8"/>
        <v/>
      </c>
      <c r="AB122" s="928" t="str">
        <f t="shared" si="13"/>
        <v/>
      </c>
      <c r="AC122" s="105"/>
      <c r="AD122" s="138"/>
      <c r="AE122" s="233"/>
      <c r="AF122" s="138"/>
      <c r="AG122" s="934"/>
      <c r="AJ122" s="40" t="str">
        <f t="shared" si="9"/>
        <v/>
      </c>
    </row>
    <row r="123" spans="1:36" ht="14">
      <c r="A123" s="30" t="str">
        <f>IFERROR(INDEX('G-8 Condition Look up'!$I$4:$I$135,MATCH(F123,'G-8 Condition Look up'!$A$4:$A$135,0)),"")</f>
        <v/>
      </c>
      <c r="B123" s="225">
        <v>113</v>
      </c>
      <c r="C123" s="66" t="str">
        <f>IFERROR(INDEX('G-1 All Habitats'!$AG$25:$AG$41,MATCH(D123,'G-1 All Habitats'!AF$25:AF$41,0)),"")</f>
        <v/>
      </c>
      <c r="D123" s="105"/>
      <c r="E123" s="138"/>
      <c r="F123" s="158" t="str">
        <f>IFERROR(INDEX('G-1 All Habitats'!$B$3:$B$136,MATCH(E123,'G-1 All Habitats'!$A$3:$A$136,0)),"")</f>
        <v/>
      </c>
      <c r="G123" s="233"/>
      <c r="H123" s="311" t="str">
        <f>IF(F123="","",VLOOKUP(F123,'G-1 All Habitats'!$B$2:$M$135,10,FALSE))</f>
        <v/>
      </c>
      <c r="I123" s="299" t="str">
        <f>IFERROR(VLOOKUP(H123,'G-1 All Habitats'!$V$3:$W$7,2,FALSE),"")</f>
        <v/>
      </c>
      <c r="J123" s="136"/>
      <c r="K123" s="299" t="str">
        <f>IFERROR(INDEX('G-8 Condition Look up'!$A$3:$H$135,MATCH(F123,'G-8 Condition Look up'!$A$3:$A$135,0),MATCH(J123,'G-8 Condition Look up'!$A$3:$H$3,0)),"")</f>
        <v/>
      </c>
      <c r="L123" s="101"/>
      <c r="M123" s="314" t="str">
        <f>IF(L123="","",IF(VLOOKUP(L123,'G-3 Multipliers'!$L$3:$N$6,2,FALSE)=0,"Spatial Data Missing ⚠",VLOOKUP(L123,'G-3 Multipliers'!$L$3:$N$6,2,FALSE)))</f>
        <v/>
      </c>
      <c r="N123" s="276" t="str">
        <f>IF(L123="","",IF(VLOOKUP(L123,'G-3 Multipliers'!$L$3:$N$6,3,FALSE)=0,"Spatial Data Missing ⚠",VLOOKUP(L123,'G-3 Multipliers'!$L$3:$N$6,3,FALSE)))</f>
        <v/>
      </c>
      <c r="O123" s="275" t="str">
        <f t="shared" si="7"/>
        <v/>
      </c>
      <c r="P123" s="133"/>
      <c r="Q123" s="133"/>
      <c r="R123" s="295" t="str">
        <f t="shared" si="10"/>
        <v/>
      </c>
      <c r="S123" s="316" t="str">
        <f t="shared" si="11"/>
        <v/>
      </c>
      <c r="T123" s="300" t="str">
        <f>IFERROR(IF(S123="Check Data ⚠","Check Data ⚠",VLOOKUP(S123,'G-4 Temporal multipliers'!$A$4:$C$37,3,FALSE)),"")</f>
        <v/>
      </c>
      <c r="U123" s="298" t="str">
        <f>IF(F123="","",VLOOKUP(F123,'G-3 Multipliers'!$A$2:$E$134,2,FALSE))</f>
        <v/>
      </c>
      <c r="V123" s="295" t="str">
        <f t="shared" si="12"/>
        <v/>
      </c>
      <c r="W123" s="295" t="str">
        <f>IF(E123="","",IF(AND(V123="Standard difficulty applied",O123&gt;P123),U123,IF(AND(V123="Low Difficulty - only applicable if all habitat created before losses ⚠",P123&gt;=O123),"Low",VLOOKUP(F123,'G-3 Multipliers'!$A$2:$E$134,4,FALSE))))</f>
        <v/>
      </c>
      <c r="X123" s="299" t="str">
        <f>IFERROR(IF(E123="","",VLOOKUP(W123,'G-3 Multipliers'!$P$2:$Q$6,2,FALSE)),"")</f>
        <v/>
      </c>
      <c r="Y123" s="393"/>
      <c r="Z123" s="510" t="str">
        <f>IF(Y123="","",IF(VLOOKUP(Y123,'G-3 Multipliers'!$S$3:$T$10,2,FALSE)=0,"Spatial Data Missing ⚠",VLOOKUP(Y123,'G-3 Multipliers'!$S$3:$T$10,2,FALSE)))</f>
        <v/>
      </c>
      <c r="AA123" s="926" t="str">
        <f t="shared" si="8"/>
        <v/>
      </c>
      <c r="AB123" s="928" t="str">
        <f t="shared" si="13"/>
        <v/>
      </c>
      <c r="AC123" s="105"/>
      <c r="AD123" s="138"/>
      <c r="AE123" s="233"/>
      <c r="AF123" s="138"/>
      <c r="AG123" s="934"/>
      <c r="AJ123" s="40" t="str">
        <f t="shared" si="9"/>
        <v/>
      </c>
    </row>
    <row r="124" spans="1:36" ht="14">
      <c r="A124" s="30" t="str">
        <f>IFERROR(INDEX('G-8 Condition Look up'!$I$4:$I$135,MATCH(F124,'G-8 Condition Look up'!$A$4:$A$135,0)),"")</f>
        <v/>
      </c>
      <c r="B124" s="225">
        <v>114</v>
      </c>
      <c r="C124" s="66" t="str">
        <f>IFERROR(INDEX('G-1 All Habitats'!$AG$25:$AG$41,MATCH(D124,'G-1 All Habitats'!AF$25:AF$41,0)),"")</f>
        <v/>
      </c>
      <c r="D124" s="105"/>
      <c r="E124" s="138"/>
      <c r="F124" s="158" t="str">
        <f>IFERROR(INDEX('G-1 All Habitats'!$B$3:$B$136,MATCH(E124,'G-1 All Habitats'!$A$3:$A$136,0)),"")</f>
        <v/>
      </c>
      <c r="G124" s="233"/>
      <c r="H124" s="311" t="str">
        <f>IF(F124="","",VLOOKUP(F124,'G-1 All Habitats'!$B$2:$M$135,10,FALSE))</f>
        <v/>
      </c>
      <c r="I124" s="299" t="str">
        <f>IFERROR(VLOOKUP(H124,'G-1 All Habitats'!$V$3:$W$7,2,FALSE),"")</f>
        <v/>
      </c>
      <c r="J124" s="136"/>
      <c r="K124" s="299" t="str">
        <f>IFERROR(INDEX('G-8 Condition Look up'!$A$3:$H$135,MATCH(F124,'G-8 Condition Look up'!$A$3:$A$135,0),MATCH(J124,'G-8 Condition Look up'!$A$3:$H$3,0)),"")</f>
        <v/>
      </c>
      <c r="L124" s="101"/>
      <c r="M124" s="314" t="str">
        <f>IF(L124="","",IF(VLOOKUP(L124,'G-3 Multipliers'!$L$3:$N$6,2,FALSE)=0,"Spatial Data Missing ⚠",VLOOKUP(L124,'G-3 Multipliers'!$L$3:$N$6,2,FALSE)))</f>
        <v/>
      </c>
      <c r="N124" s="276" t="str">
        <f>IF(L124="","",IF(VLOOKUP(L124,'G-3 Multipliers'!$L$3:$N$6,3,FALSE)=0,"Spatial Data Missing ⚠",VLOOKUP(L124,'G-3 Multipliers'!$L$3:$N$6,3,FALSE)))</f>
        <v/>
      </c>
      <c r="O124" s="275" t="str">
        <f t="shared" si="7"/>
        <v/>
      </c>
      <c r="P124" s="133"/>
      <c r="Q124" s="133"/>
      <c r="R124" s="295" t="str">
        <f t="shared" si="10"/>
        <v/>
      </c>
      <c r="S124" s="316" t="str">
        <f t="shared" si="11"/>
        <v/>
      </c>
      <c r="T124" s="300" t="str">
        <f>IFERROR(IF(S124="Check Data ⚠","Check Data ⚠",VLOOKUP(S124,'G-4 Temporal multipliers'!$A$4:$C$37,3,FALSE)),"")</f>
        <v/>
      </c>
      <c r="U124" s="298" t="str">
        <f>IF(F124="","",VLOOKUP(F124,'G-3 Multipliers'!$A$2:$E$134,2,FALSE))</f>
        <v/>
      </c>
      <c r="V124" s="295" t="str">
        <f t="shared" si="12"/>
        <v/>
      </c>
      <c r="W124" s="295" t="str">
        <f>IF(E124="","",IF(AND(V124="Standard difficulty applied",O124&gt;P124),U124,IF(AND(V124="Low Difficulty - only applicable if all habitat created before losses ⚠",P124&gt;=O124),"Low",VLOOKUP(F124,'G-3 Multipliers'!$A$2:$E$134,4,FALSE))))</f>
        <v/>
      </c>
      <c r="X124" s="299" t="str">
        <f>IFERROR(IF(E124="","",VLOOKUP(W124,'G-3 Multipliers'!$P$2:$Q$6,2,FALSE)),"")</f>
        <v/>
      </c>
      <c r="Y124" s="393"/>
      <c r="Z124" s="510" t="str">
        <f>IF(Y124="","",IF(VLOOKUP(Y124,'G-3 Multipliers'!$S$3:$T$10,2,FALSE)=0,"Spatial Data Missing ⚠",VLOOKUP(Y124,'G-3 Multipliers'!$S$3:$T$10,2,FALSE)))</f>
        <v/>
      </c>
      <c r="AA124" s="926" t="str">
        <f t="shared" si="8"/>
        <v/>
      </c>
      <c r="AB124" s="928" t="str">
        <f t="shared" si="13"/>
        <v/>
      </c>
      <c r="AC124" s="105"/>
      <c r="AD124" s="138"/>
      <c r="AE124" s="233"/>
      <c r="AF124" s="138"/>
      <c r="AG124" s="934"/>
      <c r="AJ124" s="40" t="str">
        <f t="shared" si="9"/>
        <v/>
      </c>
    </row>
    <row r="125" spans="1:36" ht="14">
      <c r="A125" s="30" t="str">
        <f>IFERROR(INDEX('G-8 Condition Look up'!$I$4:$I$135,MATCH(F125,'G-8 Condition Look up'!$A$4:$A$135,0)),"")</f>
        <v/>
      </c>
      <c r="B125" s="225">
        <v>115</v>
      </c>
      <c r="C125" s="66" t="str">
        <f>IFERROR(INDEX('G-1 All Habitats'!$AG$25:$AG$41,MATCH(D125,'G-1 All Habitats'!AF$25:AF$41,0)),"")</f>
        <v/>
      </c>
      <c r="D125" s="105"/>
      <c r="E125" s="138"/>
      <c r="F125" s="158" t="str">
        <f>IFERROR(INDEX('G-1 All Habitats'!$B$3:$B$136,MATCH(E125,'G-1 All Habitats'!$A$3:$A$136,0)),"")</f>
        <v/>
      </c>
      <c r="G125" s="233"/>
      <c r="H125" s="311" t="str">
        <f>IF(F125="","",VLOOKUP(F125,'G-1 All Habitats'!$B$2:$M$135,10,FALSE))</f>
        <v/>
      </c>
      <c r="I125" s="299" t="str">
        <f>IFERROR(VLOOKUP(H125,'G-1 All Habitats'!$V$3:$W$7,2,FALSE),"")</f>
        <v/>
      </c>
      <c r="J125" s="136"/>
      <c r="K125" s="299" t="str">
        <f>IFERROR(INDEX('G-8 Condition Look up'!$A$3:$H$135,MATCH(F125,'G-8 Condition Look up'!$A$3:$A$135,0),MATCH(J125,'G-8 Condition Look up'!$A$3:$H$3,0)),"")</f>
        <v/>
      </c>
      <c r="L125" s="101"/>
      <c r="M125" s="314" t="str">
        <f>IF(L125="","",IF(VLOOKUP(L125,'G-3 Multipliers'!$L$3:$N$6,2,FALSE)=0,"Spatial Data Missing ⚠",VLOOKUP(L125,'G-3 Multipliers'!$L$3:$N$6,2,FALSE)))</f>
        <v/>
      </c>
      <c r="N125" s="276" t="str">
        <f>IF(L125="","",IF(VLOOKUP(L125,'G-3 Multipliers'!$L$3:$N$6,3,FALSE)=0,"Spatial Data Missing ⚠",VLOOKUP(L125,'G-3 Multipliers'!$L$3:$N$6,3,FALSE)))</f>
        <v/>
      </c>
      <c r="O125" s="275" t="str">
        <f t="shared" si="7"/>
        <v/>
      </c>
      <c r="P125" s="133"/>
      <c r="Q125" s="133"/>
      <c r="R125" s="295" t="str">
        <f t="shared" si="10"/>
        <v/>
      </c>
      <c r="S125" s="316" t="str">
        <f t="shared" si="11"/>
        <v/>
      </c>
      <c r="T125" s="300" t="str">
        <f>IFERROR(IF(S125="Check Data ⚠","Check Data ⚠",VLOOKUP(S125,'G-4 Temporal multipliers'!$A$4:$C$37,3,FALSE)),"")</f>
        <v/>
      </c>
      <c r="U125" s="298" t="str">
        <f>IF(F125="","",VLOOKUP(F125,'G-3 Multipliers'!$A$2:$E$134,2,FALSE))</f>
        <v/>
      </c>
      <c r="V125" s="295" t="str">
        <f t="shared" si="12"/>
        <v/>
      </c>
      <c r="W125" s="295" t="str">
        <f>IF(E125="","",IF(AND(V125="Standard difficulty applied",O125&gt;P125),U125,IF(AND(V125="Low Difficulty - only applicable if all habitat created before losses ⚠",P125&gt;=O125),"Low",VLOOKUP(F125,'G-3 Multipliers'!$A$2:$E$134,4,FALSE))))</f>
        <v/>
      </c>
      <c r="X125" s="299" t="str">
        <f>IFERROR(IF(E125="","",VLOOKUP(W125,'G-3 Multipliers'!$P$2:$Q$6,2,FALSE)),"")</f>
        <v/>
      </c>
      <c r="Y125" s="393"/>
      <c r="Z125" s="510" t="str">
        <f>IF(Y125="","",IF(VLOOKUP(Y125,'G-3 Multipliers'!$S$3:$T$10,2,FALSE)=0,"Spatial Data Missing ⚠",VLOOKUP(Y125,'G-3 Multipliers'!$S$3:$T$10,2,FALSE)))</f>
        <v/>
      </c>
      <c r="AA125" s="926" t="str">
        <f t="shared" si="8"/>
        <v/>
      </c>
      <c r="AB125" s="928" t="str">
        <f t="shared" si="13"/>
        <v/>
      </c>
      <c r="AC125" s="105"/>
      <c r="AD125" s="138"/>
      <c r="AE125" s="233"/>
      <c r="AF125" s="138"/>
      <c r="AG125" s="934"/>
      <c r="AJ125" s="40" t="str">
        <f t="shared" si="9"/>
        <v/>
      </c>
    </row>
    <row r="126" spans="1:36" ht="14">
      <c r="A126" s="30" t="str">
        <f>IFERROR(INDEX('G-8 Condition Look up'!$I$4:$I$135,MATCH(F126,'G-8 Condition Look up'!$A$4:$A$135,0)),"")</f>
        <v/>
      </c>
      <c r="B126" s="225">
        <v>116</v>
      </c>
      <c r="C126" s="66" t="str">
        <f>IFERROR(INDEX('G-1 All Habitats'!$AG$25:$AG$41,MATCH(D126,'G-1 All Habitats'!AF$25:AF$41,0)),"")</f>
        <v/>
      </c>
      <c r="D126" s="105"/>
      <c r="E126" s="138"/>
      <c r="F126" s="158" t="str">
        <f>IFERROR(INDEX('G-1 All Habitats'!$B$3:$B$136,MATCH(E126,'G-1 All Habitats'!$A$3:$A$136,0)),"")</f>
        <v/>
      </c>
      <c r="G126" s="233"/>
      <c r="H126" s="311" t="str">
        <f>IF(F126="","",VLOOKUP(F126,'G-1 All Habitats'!$B$2:$M$135,10,FALSE))</f>
        <v/>
      </c>
      <c r="I126" s="299" t="str">
        <f>IFERROR(VLOOKUP(H126,'G-1 All Habitats'!$V$3:$W$7,2,FALSE),"")</f>
        <v/>
      </c>
      <c r="J126" s="136"/>
      <c r="K126" s="299" t="str">
        <f>IFERROR(INDEX('G-8 Condition Look up'!$A$3:$H$135,MATCH(F126,'G-8 Condition Look up'!$A$3:$A$135,0),MATCH(J126,'G-8 Condition Look up'!$A$3:$H$3,0)),"")</f>
        <v/>
      </c>
      <c r="L126" s="101"/>
      <c r="M126" s="314" t="str">
        <f>IF(L126="","",IF(VLOOKUP(L126,'G-3 Multipliers'!$L$3:$N$6,2,FALSE)=0,"Spatial Data Missing ⚠",VLOOKUP(L126,'G-3 Multipliers'!$L$3:$N$6,2,FALSE)))</f>
        <v/>
      </c>
      <c r="N126" s="276" t="str">
        <f>IF(L126="","",IF(VLOOKUP(L126,'G-3 Multipliers'!$L$3:$N$6,3,FALSE)=0,"Spatial Data Missing ⚠",VLOOKUP(L126,'G-3 Multipliers'!$L$3:$N$6,3,FALSE)))</f>
        <v/>
      </c>
      <c r="O126" s="275" t="str">
        <f t="shared" si="7"/>
        <v/>
      </c>
      <c r="P126" s="133"/>
      <c r="Q126" s="133"/>
      <c r="R126" s="295" t="str">
        <f t="shared" si="10"/>
        <v/>
      </c>
      <c r="S126" s="316" t="str">
        <f t="shared" si="11"/>
        <v/>
      </c>
      <c r="T126" s="300" t="str">
        <f>IFERROR(IF(S126="Check Data ⚠","Check Data ⚠",VLOOKUP(S126,'G-4 Temporal multipliers'!$A$4:$C$37,3,FALSE)),"")</f>
        <v/>
      </c>
      <c r="U126" s="298" t="str">
        <f>IF(F126="","",VLOOKUP(F126,'G-3 Multipliers'!$A$2:$E$134,2,FALSE))</f>
        <v/>
      </c>
      <c r="V126" s="295" t="str">
        <f t="shared" si="12"/>
        <v/>
      </c>
      <c r="W126" s="295" t="str">
        <f>IF(E126="","",IF(AND(V126="Standard difficulty applied",O126&gt;P126),U126,IF(AND(V126="Low Difficulty - only applicable if all habitat created before losses ⚠",P126&gt;=O126),"Low",VLOOKUP(F126,'G-3 Multipliers'!$A$2:$E$134,4,FALSE))))</f>
        <v/>
      </c>
      <c r="X126" s="299" t="str">
        <f>IFERROR(IF(E126="","",VLOOKUP(W126,'G-3 Multipliers'!$P$2:$Q$6,2,FALSE)),"")</f>
        <v/>
      </c>
      <c r="Y126" s="393"/>
      <c r="Z126" s="510" t="str">
        <f>IF(Y126="","",IF(VLOOKUP(Y126,'G-3 Multipliers'!$S$3:$T$10,2,FALSE)=0,"Spatial Data Missing ⚠",VLOOKUP(Y126,'G-3 Multipliers'!$S$3:$T$10,2,FALSE)))</f>
        <v/>
      </c>
      <c r="AA126" s="926" t="str">
        <f t="shared" si="8"/>
        <v/>
      </c>
      <c r="AB126" s="928" t="str">
        <f t="shared" si="13"/>
        <v/>
      </c>
      <c r="AC126" s="105"/>
      <c r="AD126" s="138"/>
      <c r="AE126" s="233"/>
      <c r="AF126" s="138"/>
      <c r="AG126" s="934"/>
      <c r="AJ126" s="40" t="str">
        <f t="shared" si="9"/>
        <v/>
      </c>
    </row>
    <row r="127" spans="1:36" ht="14">
      <c r="A127" s="30" t="str">
        <f>IFERROR(INDEX('G-8 Condition Look up'!$I$4:$I$135,MATCH(F127,'G-8 Condition Look up'!$A$4:$A$135,0)),"")</f>
        <v/>
      </c>
      <c r="B127" s="225">
        <v>117</v>
      </c>
      <c r="C127" s="66" t="str">
        <f>IFERROR(INDEX('G-1 All Habitats'!$AG$25:$AG$41,MATCH(D127,'G-1 All Habitats'!AF$25:AF$41,0)),"")</f>
        <v/>
      </c>
      <c r="D127" s="105"/>
      <c r="E127" s="138"/>
      <c r="F127" s="158" t="str">
        <f>IFERROR(INDEX('G-1 All Habitats'!$B$3:$B$136,MATCH(E127,'G-1 All Habitats'!$A$3:$A$136,0)),"")</f>
        <v/>
      </c>
      <c r="G127" s="233"/>
      <c r="H127" s="311" t="str">
        <f>IF(F127="","",VLOOKUP(F127,'G-1 All Habitats'!$B$2:$M$135,10,FALSE))</f>
        <v/>
      </c>
      <c r="I127" s="299" t="str">
        <f>IFERROR(VLOOKUP(H127,'G-1 All Habitats'!$V$3:$W$7,2,FALSE),"")</f>
        <v/>
      </c>
      <c r="J127" s="136"/>
      <c r="K127" s="299" t="str">
        <f>IFERROR(INDEX('G-8 Condition Look up'!$A$3:$H$135,MATCH(F127,'G-8 Condition Look up'!$A$3:$A$135,0),MATCH(J127,'G-8 Condition Look up'!$A$3:$H$3,0)),"")</f>
        <v/>
      </c>
      <c r="L127" s="101"/>
      <c r="M127" s="314" t="str">
        <f>IF(L127="","",IF(VLOOKUP(L127,'G-3 Multipliers'!$L$3:$N$6,2,FALSE)=0,"Spatial Data Missing ⚠",VLOOKUP(L127,'G-3 Multipliers'!$L$3:$N$6,2,FALSE)))</f>
        <v/>
      </c>
      <c r="N127" s="276" t="str">
        <f>IF(L127="","",IF(VLOOKUP(L127,'G-3 Multipliers'!$L$3:$N$6,3,FALSE)=0,"Spatial Data Missing ⚠",VLOOKUP(L127,'G-3 Multipliers'!$L$3:$N$6,3,FALSE)))</f>
        <v/>
      </c>
      <c r="O127" s="275" t="str">
        <f t="shared" si="7"/>
        <v/>
      </c>
      <c r="P127" s="133"/>
      <c r="Q127" s="133"/>
      <c r="R127" s="295" t="str">
        <f t="shared" si="10"/>
        <v/>
      </c>
      <c r="S127" s="316" t="str">
        <f t="shared" si="11"/>
        <v/>
      </c>
      <c r="T127" s="300" t="str">
        <f>IFERROR(IF(S127="Check Data ⚠","Check Data ⚠",VLOOKUP(S127,'G-4 Temporal multipliers'!$A$4:$C$37,3,FALSE)),"")</f>
        <v/>
      </c>
      <c r="U127" s="298" t="str">
        <f>IF(F127="","",VLOOKUP(F127,'G-3 Multipliers'!$A$2:$E$134,2,FALSE))</f>
        <v/>
      </c>
      <c r="V127" s="295" t="str">
        <f t="shared" si="12"/>
        <v/>
      </c>
      <c r="W127" s="295" t="str">
        <f>IF(E127="","",IF(AND(V127="Standard difficulty applied",O127&gt;P127),U127,IF(AND(V127="Low Difficulty - only applicable if all habitat created before losses ⚠",P127&gt;=O127),"Low",VLOOKUP(F127,'G-3 Multipliers'!$A$2:$E$134,4,FALSE))))</f>
        <v/>
      </c>
      <c r="X127" s="299" t="str">
        <f>IFERROR(IF(E127="","",VLOOKUP(W127,'G-3 Multipliers'!$P$2:$Q$6,2,FALSE)),"")</f>
        <v/>
      </c>
      <c r="Y127" s="393"/>
      <c r="Z127" s="510" t="str">
        <f>IF(Y127="","",IF(VLOOKUP(Y127,'G-3 Multipliers'!$S$3:$T$10,2,FALSE)=0,"Spatial Data Missing ⚠",VLOOKUP(Y127,'G-3 Multipliers'!$S$3:$T$10,2,FALSE)))</f>
        <v/>
      </c>
      <c r="AA127" s="926" t="str">
        <f t="shared" si="8"/>
        <v/>
      </c>
      <c r="AB127" s="928" t="str">
        <f t="shared" si="13"/>
        <v/>
      </c>
      <c r="AC127" s="105"/>
      <c r="AD127" s="138"/>
      <c r="AE127" s="233"/>
      <c r="AF127" s="138"/>
      <c r="AG127" s="934"/>
      <c r="AJ127" s="40" t="str">
        <f t="shared" si="9"/>
        <v/>
      </c>
    </row>
    <row r="128" spans="1:36" ht="14">
      <c r="A128" s="30" t="str">
        <f>IFERROR(INDEX('G-8 Condition Look up'!$I$4:$I$135,MATCH(F128,'G-8 Condition Look up'!$A$4:$A$135,0)),"")</f>
        <v/>
      </c>
      <c r="B128" s="225">
        <v>118</v>
      </c>
      <c r="C128" s="66" t="str">
        <f>IFERROR(INDEX('G-1 All Habitats'!$AG$25:$AG$41,MATCH(D128,'G-1 All Habitats'!AF$25:AF$41,0)),"")</f>
        <v/>
      </c>
      <c r="D128" s="105"/>
      <c r="E128" s="138"/>
      <c r="F128" s="158" t="str">
        <f>IFERROR(INDEX('G-1 All Habitats'!$B$3:$B$136,MATCH(E128,'G-1 All Habitats'!$A$3:$A$136,0)),"")</f>
        <v/>
      </c>
      <c r="G128" s="233"/>
      <c r="H128" s="311" t="str">
        <f>IF(F128="","",VLOOKUP(F128,'G-1 All Habitats'!$B$2:$M$135,10,FALSE))</f>
        <v/>
      </c>
      <c r="I128" s="299" t="str">
        <f>IFERROR(VLOOKUP(H128,'G-1 All Habitats'!$V$3:$W$7,2,FALSE),"")</f>
        <v/>
      </c>
      <c r="J128" s="136"/>
      <c r="K128" s="299" t="str">
        <f>IFERROR(INDEX('G-8 Condition Look up'!$A$3:$H$135,MATCH(F128,'G-8 Condition Look up'!$A$3:$A$135,0),MATCH(J128,'G-8 Condition Look up'!$A$3:$H$3,0)),"")</f>
        <v/>
      </c>
      <c r="L128" s="101"/>
      <c r="M128" s="314" t="str">
        <f>IF(L128="","",IF(VLOOKUP(L128,'G-3 Multipliers'!$L$3:$N$6,2,FALSE)=0,"Spatial Data Missing ⚠",VLOOKUP(L128,'G-3 Multipliers'!$L$3:$N$6,2,FALSE)))</f>
        <v/>
      </c>
      <c r="N128" s="276" t="str">
        <f>IF(L128="","",IF(VLOOKUP(L128,'G-3 Multipliers'!$L$3:$N$6,3,FALSE)=0,"Spatial Data Missing ⚠",VLOOKUP(L128,'G-3 Multipliers'!$L$3:$N$6,3,FALSE)))</f>
        <v/>
      </c>
      <c r="O128" s="275" t="str">
        <f t="shared" si="7"/>
        <v/>
      </c>
      <c r="P128" s="133"/>
      <c r="Q128" s="133"/>
      <c r="R128" s="295" t="str">
        <f t="shared" si="10"/>
        <v/>
      </c>
      <c r="S128" s="316" t="str">
        <f t="shared" si="11"/>
        <v/>
      </c>
      <c r="T128" s="300" t="str">
        <f>IFERROR(IF(S128="Check Data ⚠","Check Data ⚠",VLOOKUP(S128,'G-4 Temporal multipliers'!$A$4:$C$37,3,FALSE)),"")</f>
        <v/>
      </c>
      <c r="U128" s="298" t="str">
        <f>IF(F128="","",VLOOKUP(F128,'G-3 Multipliers'!$A$2:$E$134,2,FALSE))</f>
        <v/>
      </c>
      <c r="V128" s="295" t="str">
        <f t="shared" si="12"/>
        <v/>
      </c>
      <c r="W128" s="295" t="str">
        <f>IF(E128="","",IF(AND(V128="Standard difficulty applied",O128&gt;P128),U128,IF(AND(V128="Low Difficulty - only applicable if all habitat created before losses ⚠",P128&gt;=O128),"Low",VLOOKUP(F128,'G-3 Multipliers'!$A$2:$E$134,4,FALSE))))</f>
        <v/>
      </c>
      <c r="X128" s="299" t="str">
        <f>IFERROR(IF(E128="","",VLOOKUP(W128,'G-3 Multipliers'!$P$2:$Q$6,2,FALSE)),"")</f>
        <v/>
      </c>
      <c r="Y128" s="393"/>
      <c r="Z128" s="510" t="str">
        <f>IF(Y128="","",IF(VLOOKUP(Y128,'G-3 Multipliers'!$S$3:$T$10,2,FALSE)=0,"Spatial Data Missing ⚠",VLOOKUP(Y128,'G-3 Multipliers'!$S$3:$T$10,2,FALSE)))</f>
        <v/>
      </c>
      <c r="AA128" s="926" t="str">
        <f t="shared" si="8"/>
        <v/>
      </c>
      <c r="AB128" s="928" t="str">
        <f t="shared" si="13"/>
        <v/>
      </c>
      <c r="AC128" s="105"/>
      <c r="AD128" s="138"/>
      <c r="AE128" s="233"/>
      <c r="AF128" s="138"/>
      <c r="AG128" s="934"/>
      <c r="AJ128" s="40" t="str">
        <f t="shared" si="9"/>
        <v/>
      </c>
    </row>
    <row r="129" spans="1:36" ht="14">
      <c r="A129" s="30" t="str">
        <f>IFERROR(INDEX('G-8 Condition Look up'!$I$4:$I$135,MATCH(F129,'G-8 Condition Look up'!$A$4:$A$135,0)),"")</f>
        <v/>
      </c>
      <c r="B129" s="225">
        <v>119</v>
      </c>
      <c r="C129" s="66" t="str">
        <f>IFERROR(INDEX('G-1 All Habitats'!$AG$25:$AG$41,MATCH(D129,'G-1 All Habitats'!AF$25:AF$41,0)),"")</f>
        <v/>
      </c>
      <c r="D129" s="105"/>
      <c r="E129" s="138"/>
      <c r="F129" s="158" t="str">
        <f>IFERROR(INDEX('G-1 All Habitats'!$B$3:$B$136,MATCH(E129,'G-1 All Habitats'!$A$3:$A$136,0)),"")</f>
        <v/>
      </c>
      <c r="G129" s="233"/>
      <c r="H129" s="311" t="str">
        <f>IF(F129="","",VLOOKUP(F129,'G-1 All Habitats'!$B$2:$M$135,10,FALSE))</f>
        <v/>
      </c>
      <c r="I129" s="299" t="str">
        <f>IFERROR(VLOOKUP(H129,'G-1 All Habitats'!$V$3:$W$7,2,FALSE),"")</f>
        <v/>
      </c>
      <c r="J129" s="136"/>
      <c r="K129" s="299" t="str">
        <f>IFERROR(INDEX('G-8 Condition Look up'!$A$3:$H$135,MATCH(F129,'G-8 Condition Look up'!$A$3:$A$135,0),MATCH(J129,'G-8 Condition Look up'!$A$3:$H$3,0)),"")</f>
        <v/>
      </c>
      <c r="L129" s="101"/>
      <c r="M129" s="314" t="str">
        <f>IF(L129="","",IF(VLOOKUP(L129,'G-3 Multipliers'!$L$3:$N$6,2,FALSE)=0,"Spatial Data Missing ⚠",VLOOKUP(L129,'G-3 Multipliers'!$L$3:$N$6,2,FALSE)))</f>
        <v/>
      </c>
      <c r="N129" s="276" t="str">
        <f>IF(L129="","",IF(VLOOKUP(L129,'G-3 Multipliers'!$L$3:$N$6,3,FALSE)=0,"Spatial Data Missing ⚠",VLOOKUP(L129,'G-3 Multipliers'!$L$3:$N$6,3,FALSE)))</f>
        <v/>
      </c>
      <c r="O129" s="275" t="str">
        <f t="shared" si="7"/>
        <v/>
      </c>
      <c r="P129" s="133"/>
      <c r="Q129" s="133"/>
      <c r="R129" s="295" t="str">
        <f t="shared" si="10"/>
        <v/>
      </c>
      <c r="S129" s="316" t="str">
        <f t="shared" si="11"/>
        <v/>
      </c>
      <c r="T129" s="300" t="str">
        <f>IFERROR(IF(S129="Check Data ⚠","Check Data ⚠",VLOOKUP(S129,'G-4 Temporal multipliers'!$A$4:$C$37,3,FALSE)),"")</f>
        <v/>
      </c>
      <c r="U129" s="298" t="str">
        <f>IF(F129="","",VLOOKUP(F129,'G-3 Multipliers'!$A$2:$E$134,2,FALSE))</f>
        <v/>
      </c>
      <c r="V129" s="295" t="str">
        <f t="shared" si="12"/>
        <v/>
      </c>
      <c r="W129" s="295" t="str">
        <f>IF(E129="","",IF(AND(V129="Standard difficulty applied",O129&gt;P129),U129,IF(AND(V129="Low Difficulty - only applicable if all habitat created before losses ⚠",P129&gt;=O129),"Low",VLOOKUP(F129,'G-3 Multipliers'!$A$2:$E$134,4,FALSE))))</f>
        <v/>
      </c>
      <c r="X129" s="299" t="str">
        <f>IFERROR(IF(E129="","",VLOOKUP(W129,'G-3 Multipliers'!$P$2:$Q$6,2,FALSE)),"")</f>
        <v/>
      </c>
      <c r="Y129" s="393"/>
      <c r="Z129" s="510" t="str">
        <f>IF(Y129="","",IF(VLOOKUP(Y129,'G-3 Multipliers'!$S$3:$T$10,2,FALSE)=0,"Spatial Data Missing ⚠",VLOOKUP(Y129,'G-3 Multipliers'!$S$3:$T$10,2,FALSE)))</f>
        <v/>
      </c>
      <c r="AA129" s="926" t="str">
        <f t="shared" si="8"/>
        <v/>
      </c>
      <c r="AB129" s="928" t="str">
        <f t="shared" si="13"/>
        <v/>
      </c>
      <c r="AC129" s="105"/>
      <c r="AD129" s="138"/>
      <c r="AE129" s="233"/>
      <c r="AF129" s="138"/>
      <c r="AG129" s="934"/>
      <c r="AJ129" s="40" t="str">
        <f t="shared" si="9"/>
        <v/>
      </c>
    </row>
    <row r="130" spans="1:36" ht="14">
      <c r="A130" s="30" t="str">
        <f>IFERROR(INDEX('G-8 Condition Look up'!$I$4:$I$135,MATCH(F130,'G-8 Condition Look up'!$A$4:$A$135,0)),"")</f>
        <v/>
      </c>
      <c r="B130" s="225">
        <v>120</v>
      </c>
      <c r="C130" s="66" t="str">
        <f>IFERROR(INDEX('G-1 All Habitats'!$AG$25:$AG$41,MATCH(D130,'G-1 All Habitats'!AF$25:AF$41,0)),"")</f>
        <v/>
      </c>
      <c r="D130" s="105"/>
      <c r="E130" s="138"/>
      <c r="F130" s="158" t="str">
        <f>IFERROR(INDEX('G-1 All Habitats'!$B$3:$B$136,MATCH(E130,'G-1 All Habitats'!$A$3:$A$136,0)),"")</f>
        <v/>
      </c>
      <c r="G130" s="233"/>
      <c r="H130" s="311" t="str">
        <f>IF(F130="","",VLOOKUP(F130,'G-1 All Habitats'!$B$2:$M$135,10,FALSE))</f>
        <v/>
      </c>
      <c r="I130" s="299" t="str">
        <f>IFERROR(VLOOKUP(H130,'G-1 All Habitats'!$V$3:$W$7,2,FALSE),"")</f>
        <v/>
      </c>
      <c r="J130" s="136"/>
      <c r="K130" s="299" t="str">
        <f>IFERROR(INDEX('G-8 Condition Look up'!$A$3:$H$135,MATCH(F130,'G-8 Condition Look up'!$A$3:$A$135,0),MATCH(J130,'G-8 Condition Look up'!$A$3:$H$3,0)),"")</f>
        <v/>
      </c>
      <c r="L130" s="101"/>
      <c r="M130" s="314" t="str">
        <f>IF(L130="","",IF(VLOOKUP(L130,'G-3 Multipliers'!$L$3:$N$6,2,FALSE)=0,"Spatial Data Missing ⚠",VLOOKUP(L130,'G-3 Multipliers'!$L$3:$N$6,2,FALSE)))</f>
        <v/>
      </c>
      <c r="N130" s="276" t="str">
        <f>IF(L130="","",IF(VLOOKUP(L130,'G-3 Multipliers'!$L$3:$N$6,3,FALSE)=0,"Spatial Data Missing ⚠",VLOOKUP(L130,'G-3 Multipliers'!$L$3:$N$6,3,FALSE)))</f>
        <v/>
      </c>
      <c r="O130" s="275" t="str">
        <f t="shared" si="7"/>
        <v/>
      </c>
      <c r="P130" s="133"/>
      <c r="Q130" s="133"/>
      <c r="R130" s="295" t="str">
        <f t="shared" si="10"/>
        <v/>
      </c>
      <c r="S130" s="316" t="str">
        <f t="shared" si="11"/>
        <v/>
      </c>
      <c r="T130" s="300" t="str">
        <f>IFERROR(IF(S130="Check Data ⚠","Check Data ⚠",VLOOKUP(S130,'G-4 Temporal multipliers'!$A$4:$C$37,3,FALSE)),"")</f>
        <v/>
      </c>
      <c r="U130" s="298" t="str">
        <f>IF(F130="","",VLOOKUP(F130,'G-3 Multipliers'!$A$2:$E$134,2,FALSE))</f>
        <v/>
      </c>
      <c r="V130" s="295" t="str">
        <f t="shared" si="12"/>
        <v/>
      </c>
      <c r="W130" s="295" t="str">
        <f>IF(E130="","",IF(AND(V130="Standard difficulty applied",O130&gt;P130),U130,IF(AND(V130="Low Difficulty - only applicable if all habitat created before losses ⚠",P130&gt;=O130),"Low",VLOOKUP(F130,'G-3 Multipliers'!$A$2:$E$134,4,FALSE))))</f>
        <v/>
      </c>
      <c r="X130" s="299" t="str">
        <f>IFERROR(IF(E130="","",VLOOKUP(W130,'G-3 Multipliers'!$P$2:$Q$6,2,FALSE)),"")</f>
        <v/>
      </c>
      <c r="Y130" s="393"/>
      <c r="Z130" s="510" t="str">
        <f>IF(Y130="","",IF(VLOOKUP(Y130,'G-3 Multipliers'!$S$3:$T$10,2,FALSE)=0,"Spatial Data Missing ⚠",VLOOKUP(Y130,'G-3 Multipliers'!$S$3:$T$10,2,FALSE)))</f>
        <v/>
      </c>
      <c r="AA130" s="926" t="str">
        <f t="shared" si="8"/>
        <v/>
      </c>
      <c r="AB130" s="928" t="str">
        <f t="shared" si="13"/>
        <v/>
      </c>
      <c r="AC130" s="105"/>
      <c r="AD130" s="138"/>
      <c r="AE130" s="233"/>
      <c r="AF130" s="138"/>
      <c r="AG130" s="934"/>
      <c r="AJ130" s="40" t="str">
        <f t="shared" si="9"/>
        <v/>
      </c>
    </row>
    <row r="131" spans="1:36" ht="14">
      <c r="A131" s="30" t="str">
        <f>IFERROR(INDEX('G-8 Condition Look up'!$I$4:$I$135,MATCH(F131,'G-8 Condition Look up'!$A$4:$A$135,0)),"")</f>
        <v/>
      </c>
      <c r="B131" s="225">
        <v>121</v>
      </c>
      <c r="C131" s="66" t="str">
        <f>IFERROR(INDEX('G-1 All Habitats'!$AG$25:$AG$41,MATCH(D131,'G-1 All Habitats'!AF$25:AF$41,0)),"")</f>
        <v/>
      </c>
      <c r="D131" s="105"/>
      <c r="E131" s="138"/>
      <c r="F131" s="158" t="str">
        <f>IFERROR(INDEX('G-1 All Habitats'!$B$3:$B$136,MATCH(E131,'G-1 All Habitats'!$A$3:$A$136,0)),"")</f>
        <v/>
      </c>
      <c r="G131" s="233"/>
      <c r="H131" s="311" t="str">
        <f>IF(F131="","",VLOOKUP(F131,'G-1 All Habitats'!$B$2:$M$135,10,FALSE))</f>
        <v/>
      </c>
      <c r="I131" s="299" t="str">
        <f>IFERROR(VLOOKUP(H131,'G-1 All Habitats'!$V$3:$W$7,2,FALSE),"")</f>
        <v/>
      </c>
      <c r="J131" s="136"/>
      <c r="K131" s="299" t="str">
        <f>IFERROR(INDEX('G-8 Condition Look up'!$A$3:$H$135,MATCH(F131,'G-8 Condition Look up'!$A$3:$A$135,0),MATCH(J131,'G-8 Condition Look up'!$A$3:$H$3,0)),"")</f>
        <v/>
      </c>
      <c r="L131" s="101"/>
      <c r="M131" s="314" t="str">
        <f>IF(L131="","",IF(VLOOKUP(L131,'G-3 Multipliers'!$L$3:$N$6,2,FALSE)=0,"Spatial Data Missing ⚠",VLOOKUP(L131,'G-3 Multipliers'!$L$3:$N$6,2,FALSE)))</f>
        <v/>
      </c>
      <c r="N131" s="276" t="str">
        <f>IF(L131="","",IF(VLOOKUP(L131,'G-3 Multipliers'!$L$3:$N$6,3,FALSE)=0,"Spatial Data Missing ⚠",VLOOKUP(L131,'G-3 Multipliers'!$L$3:$N$6,3,FALSE)))</f>
        <v/>
      </c>
      <c r="O131" s="275" t="str">
        <f t="shared" si="7"/>
        <v/>
      </c>
      <c r="P131" s="133"/>
      <c r="Q131" s="133"/>
      <c r="R131" s="295" t="str">
        <f t="shared" si="10"/>
        <v/>
      </c>
      <c r="S131" s="316" t="str">
        <f t="shared" si="11"/>
        <v/>
      </c>
      <c r="T131" s="300" t="str">
        <f>IFERROR(IF(S131="Check Data ⚠","Check Data ⚠",VLOOKUP(S131,'G-4 Temporal multipliers'!$A$4:$C$37,3,FALSE)),"")</f>
        <v/>
      </c>
      <c r="U131" s="298" t="str">
        <f>IF(F131="","",VLOOKUP(F131,'G-3 Multipliers'!$A$2:$E$134,2,FALSE))</f>
        <v/>
      </c>
      <c r="V131" s="295" t="str">
        <f t="shared" si="12"/>
        <v/>
      </c>
      <c r="W131" s="295" t="str">
        <f>IF(E131="","",IF(AND(V131="Standard difficulty applied",O131&gt;P131),U131,IF(AND(V131="Low Difficulty - only applicable if all habitat created before losses ⚠",P131&gt;=O131),"Low",VLOOKUP(F131,'G-3 Multipliers'!$A$2:$E$134,4,FALSE))))</f>
        <v/>
      </c>
      <c r="X131" s="299" t="str">
        <f>IFERROR(IF(E131="","",VLOOKUP(W131,'G-3 Multipliers'!$P$2:$Q$6,2,FALSE)),"")</f>
        <v/>
      </c>
      <c r="Y131" s="393"/>
      <c r="Z131" s="510" t="str">
        <f>IF(Y131="","",IF(VLOOKUP(Y131,'G-3 Multipliers'!$S$3:$T$10,2,FALSE)=0,"Spatial Data Missing ⚠",VLOOKUP(Y131,'G-3 Multipliers'!$S$3:$T$10,2,FALSE)))</f>
        <v/>
      </c>
      <c r="AA131" s="926" t="str">
        <f t="shared" si="8"/>
        <v/>
      </c>
      <c r="AB131" s="928" t="str">
        <f t="shared" si="13"/>
        <v/>
      </c>
      <c r="AC131" s="105"/>
      <c r="AD131" s="138"/>
      <c r="AE131" s="233"/>
      <c r="AF131" s="138"/>
      <c r="AG131" s="934"/>
      <c r="AJ131" s="40" t="str">
        <f t="shared" si="9"/>
        <v/>
      </c>
    </row>
    <row r="132" spans="1:36" ht="14">
      <c r="A132" s="30" t="str">
        <f>IFERROR(INDEX('G-8 Condition Look up'!$I$4:$I$135,MATCH(F132,'G-8 Condition Look up'!$A$4:$A$135,0)),"")</f>
        <v/>
      </c>
      <c r="B132" s="225">
        <v>122</v>
      </c>
      <c r="C132" s="66" t="str">
        <f>IFERROR(INDEX('G-1 All Habitats'!$AG$25:$AG$41,MATCH(D132,'G-1 All Habitats'!AF$25:AF$41,0)),"")</f>
        <v/>
      </c>
      <c r="D132" s="105"/>
      <c r="E132" s="138"/>
      <c r="F132" s="158" t="str">
        <f>IFERROR(INDEX('G-1 All Habitats'!$B$3:$B$136,MATCH(E132,'G-1 All Habitats'!$A$3:$A$136,0)),"")</f>
        <v/>
      </c>
      <c r="G132" s="233"/>
      <c r="H132" s="311" t="str">
        <f>IF(F132="","",VLOOKUP(F132,'G-1 All Habitats'!$B$2:$M$135,10,FALSE))</f>
        <v/>
      </c>
      <c r="I132" s="299" t="str">
        <f>IFERROR(VLOOKUP(H132,'G-1 All Habitats'!$V$3:$W$7,2,FALSE),"")</f>
        <v/>
      </c>
      <c r="J132" s="136"/>
      <c r="K132" s="299" t="str">
        <f>IFERROR(INDEX('G-8 Condition Look up'!$A$3:$H$135,MATCH(F132,'G-8 Condition Look up'!$A$3:$A$135,0),MATCH(J132,'G-8 Condition Look up'!$A$3:$H$3,0)),"")</f>
        <v/>
      </c>
      <c r="L132" s="101"/>
      <c r="M132" s="314" t="str">
        <f>IF(L132="","",IF(VLOOKUP(L132,'G-3 Multipliers'!$L$3:$N$6,2,FALSE)=0,"Spatial Data Missing ⚠",VLOOKUP(L132,'G-3 Multipliers'!$L$3:$N$6,2,FALSE)))</f>
        <v/>
      </c>
      <c r="N132" s="276" t="str">
        <f>IF(L132="","",IF(VLOOKUP(L132,'G-3 Multipliers'!$L$3:$N$6,3,FALSE)=0,"Spatial Data Missing ⚠",VLOOKUP(L132,'G-3 Multipliers'!$L$3:$N$6,3,FALSE)))</f>
        <v/>
      </c>
      <c r="O132" s="275" t="str">
        <f t="shared" si="7"/>
        <v/>
      </c>
      <c r="P132" s="133"/>
      <c r="Q132" s="133"/>
      <c r="R132" s="295" t="str">
        <f t="shared" si="10"/>
        <v/>
      </c>
      <c r="S132" s="316" t="str">
        <f t="shared" si="11"/>
        <v/>
      </c>
      <c r="T132" s="300" t="str">
        <f>IFERROR(IF(S132="Check Data ⚠","Check Data ⚠",VLOOKUP(S132,'G-4 Temporal multipliers'!$A$4:$C$37,3,FALSE)),"")</f>
        <v/>
      </c>
      <c r="U132" s="298" t="str">
        <f>IF(F132="","",VLOOKUP(F132,'G-3 Multipliers'!$A$2:$E$134,2,FALSE))</f>
        <v/>
      </c>
      <c r="V132" s="295" t="str">
        <f t="shared" si="12"/>
        <v/>
      </c>
      <c r="W132" s="295" t="str">
        <f>IF(E132="","",IF(AND(V132="Standard difficulty applied",O132&gt;P132),U132,IF(AND(V132="Low Difficulty - only applicable if all habitat created before losses ⚠",P132&gt;=O132),"Low",VLOOKUP(F132,'G-3 Multipliers'!$A$2:$E$134,4,FALSE))))</f>
        <v/>
      </c>
      <c r="X132" s="299" t="str">
        <f>IFERROR(IF(E132="","",VLOOKUP(W132,'G-3 Multipliers'!$P$2:$Q$6,2,FALSE)),"")</f>
        <v/>
      </c>
      <c r="Y132" s="393"/>
      <c r="Z132" s="510" t="str">
        <f>IF(Y132="","",IF(VLOOKUP(Y132,'G-3 Multipliers'!$S$3:$T$10,2,FALSE)=0,"Spatial Data Missing ⚠",VLOOKUP(Y132,'G-3 Multipliers'!$S$3:$T$10,2,FALSE)))</f>
        <v/>
      </c>
      <c r="AA132" s="926" t="str">
        <f t="shared" si="8"/>
        <v/>
      </c>
      <c r="AB132" s="928" t="str">
        <f t="shared" si="13"/>
        <v/>
      </c>
      <c r="AC132" s="105"/>
      <c r="AD132" s="138"/>
      <c r="AE132" s="233"/>
      <c r="AF132" s="138"/>
      <c r="AG132" s="934"/>
      <c r="AJ132" s="40" t="str">
        <f t="shared" si="9"/>
        <v/>
      </c>
    </row>
    <row r="133" spans="1:36" ht="14">
      <c r="A133" s="30" t="str">
        <f>IFERROR(INDEX('G-8 Condition Look up'!$I$4:$I$135,MATCH(F133,'G-8 Condition Look up'!$A$4:$A$135,0)),"")</f>
        <v/>
      </c>
      <c r="B133" s="225">
        <v>123</v>
      </c>
      <c r="C133" s="66" t="str">
        <f>IFERROR(INDEX('G-1 All Habitats'!$AG$25:$AG$41,MATCH(D133,'G-1 All Habitats'!AF$25:AF$41,0)),"")</f>
        <v/>
      </c>
      <c r="D133" s="105"/>
      <c r="E133" s="138"/>
      <c r="F133" s="158" t="str">
        <f>IFERROR(INDEX('G-1 All Habitats'!$B$3:$B$136,MATCH(E133,'G-1 All Habitats'!$A$3:$A$136,0)),"")</f>
        <v/>
      </c>
      <c r="G133" s="233"/>
      <c r="H133" s="311" t="str">
        <f>IF(F133="","",VLOOKUP(F133,'G-1 All Habitats'!$B$2:$M$135,10,FALSE))</f>
        <v/>
      </c>
      <c r="I133" s="299" t="str">
        <f>IFERROR(VLOOKUP(H133,'G-1 All Habitats'!$V$3:$W$7,2,FALSE),"")</f>
        <v/>
      </c>
      <c r="J133" s="136"/>
      <c r="K133" s="299" t="str">
        <f>IFERROR(INDEX('G-8 Condition Look up'!$A$3:$H$135,MATCH(F133,'G-8 Condition Look up'!$A$3:$A$135,0),MATCH(J133,'G-8 Condition Look up'!$A$3:$H$3,0)),"")</f>
        <v/>
      </c>
      <c r="L133" s="101"/>
      <c r="M133" s="314" t="str">
        <f>IF(L133="","",IF(VLOOKUP(L133,'G-3 Multipliers'!$L$3:$N$6,2,FALSE)=0,"Spatial Data Missing ⚠",VLOOKUP(L133,'G-3 Multipliers'!$L$3:$N$6,2,FALSE)))</f>
        <v/>
      </c>
      <c r="N133" s="276" t="str">
        <f>IF(L133="","",IF(VLOOKUP(L133,'G-3 Multipliers'!$L$3:$N$6,3,FALSE)=0,"Spatial Data Missing ⚠",VLOOKUP(L133,'G-3 Multipliers'!$L$3:$N$6,3,FALSE)))</f>
        <v/>
      </c>
      <c r="O133" s="275" t="str">
        <f t="shared" si="7"/>
        <v/>
      </c>
      <c r="P133" s="133"/>
      <c r="Q133" s="133"/>
      <c r="R133" s="295" t="str">
        <f t="shared" si="10"/>
        <v/>
      </c>
      <c r="S133" s="316" t="str">
        <f t="shared" si="11"/>
        <v/>
      </c>
      <c r="T133" s="300" t="str">
        <f>IFERROR(IF(S133="Check Data ⚠","Check Data ⚠",VLOOKUP(S133,'G-4 Temporal multipliers'!$A$4:$C$37,3,FALSE)),"")</f>
        <v/>
      </c>
      <c r="U133" s="298" t="str">
        <f>IF(F133="","",VLOOKUP(F133,'G-3 Multipliers'!$A$2:$E$134,2,FALSE))</f>
        <v/>
      </c>
      <c r="V133" s="295" t="str">
        <f t="shared" si="12"/>
        <v/>
      </c>
      <c r="W133" s="295" t="str">
        <f>IF(E133="","",IF(AND(V133="Standard difficulty applied",O133&gt;P133),U133,IF(AND(V133="Low Difficulty - only applicable if all habitat created before losses ⚠",P133&gt;=O133),"Low",VLOOKUP(F133,'G-3 Multipliers'!$A$2:$E$134,4,FALSE))))</f>
        <v/>
      </c>
      <c r="X133" s="299" t="str">
        <f>IFERROR(IF(E133="","",VLOOKUP(W133,'G-3 Multipliers'!$P$2:$Q$6,2,FALSE)),"")</f>
        <v/>
      </c>
      <c r="Y133" s="393"/>
      <c r="Z133" s="510" t="str">
        <f>IF(Y133="","",IF(VLOOKUP(Y133,'G-3 Multipliers'!$S$3:$T$10,2,FALSE)=0,"Spatial Data Missing ⚠",VLOOKUP(Y133,'G-3 Multipliers'!$S$3:$T$10,2,FALSE)))</f>
        <v/>
      </c>
      <c r="AA133" s="926" t="str">
        <f t="shared" si="8"/>
        <v/>
      </c>
      <c r="AB133" s="928" t="str">
        <f t="shared" si="13"/>
        <v/>
      </c>
      <c r="AC133" s="105"/>
      <c r="AD133" s="138"/>
      <c r="AE133" s="233"/>
      <c r="AF133" s="138"/>
      <c r="AG133" s="934"/>
      <c r="AJ133" s="40" t="str">
        <f t="shared" si="9"/>
        <v/>
      </c>
    </row>
    <row r="134" spans="1:36" ht="14">
      <c r="A134" s="30" t="str">
        <f>IFERROR(INDEX('G-8 Condition Look up'!$I$4:$I$135,MATCH(F134,'G-8 Condition Look up'!$A$4:$A$135,0)),"")</f>
        <v/>
      </c>
      <c r="B134" s="225">
        <v>124</v>
      </c>
      <c r="C134" s="66" t="str">
        <f>IFERROR(INDEX('G-1 All Habitats'!$AG$25:$AG$41,MATCH(D134,'G-1 All Habitats'!AF$25:AF$41,0)),"")</f>
        <v/>
      </c>
      <c r="D134" s="105"/>
      <c r="E134" s="138"/>
      <c r="F134" s="158" t="str">
        <f>IFERROR(INDEX('G-1 All Habitats'!$B$3:$B$136,MATCH(E134,'G-1 All Habitats'!$A$3:$A$136,0)),"")</f>
        <v/>
      </c>
      <c r="G134" s="233"/>
      <c r="H134" s="311" t="str">
        <f>IF(F134="","",VLOOKUP(F134,'G-1 All Habitats'!$B$2:$M$135,10,FALSE))</f>
        <v/>
      </c>
      <c r="I134" s="299" t="str">
        <f>IFERROR(VLOOKUP(H134,'G-1 All Habitats'!$V$3:$W$7,2,FALSE),"")</f>
        <v/>
      </c>
      <c r="J134" s="136"/>
      <c r="K134" s="299" t="str">
        <f>IFERROR(INDEX('G-8 Condition Look up'!$A$3:$H$135,MATCH(F134,'G-8 Condition Look up'!$A$3:$A$135,0),MATCH(J134,'G-8 Condition Look up'!$A$3:$H$3,0)),"")</f>
        <v/>
      </c>
      <c r="L134" s="101"/>
      <c r="M134" s="314" t="str">
        <f>IF(L134="","",IF(VLOOKUP(L134,'G-3 Multipliers'!$L$3:$N$6,2,FALSE)=0,"Spatial Data Missing ⚠",VLOOKUP(L134,'G-3 Multipliers'!$L$3:$N$6,2,FALSE)))</f>
        <v/>
      </c>
      <c r="N134" s="276" t="str">
        <f>IF(L134="","",IF(VLOOKUP(L134,'G-3 Multipliers'!$L$3:$N$6,3,FALSE)=0,"Spatial Data Missing ⚠",VLOOKUP(L134,'G-3 Multipliers'!$L$3:$N$6,3,FALSE)))</f>
        <v/>
      </c>
      <c r="O134" s="275" t="str">
        <f t="shared" si="7"/>
        <v/>
      </c>
      <c r="P134" s="133"/>
      <c r="Q134" s="133"/>
      <c r="R134" s="295" t="str">
        <f t="shared" si="10"/>
        <v/>
      </c>
      <c r="S134" s="316" t="str">
        <f t="shared" si="11"/>
        <v/>
      </c>
      <c r="T134" s="300" t="str">
        <f>IFERROR(IF(S134="Check Data ⚠","Check Data ⚠",VLOOKUP(S134,'G-4 Temporal multipliers'!$A$4:$C$37,3,FALSE)),"")</f>
        <v/>
      </c>
      <c r="U134" s="298" t="str">
        <f>IF(F134="","",VLOOKUP(F134,'G-3 Multipliers'!$A$2:$E$134,2,FALSE))</f>
        <v/>
      </c>
      <c r="V134" s="295" t="str">
        <f t="shared" si="12"/>
        <v/>
      </c>
      <c r="W134" s="295" t="str">
        <f>IF(E134="","",IF(AND(V134="Standard difficulty applied",O134&gt;P134),U134,IF(AND(V134="Low Difficulty - only applicable if all habitat created before losses ⚠",P134&gt;=O134),"Low",VLOOKUP(F134,'G-3 Multipliers'!$A$2:$E$134,4,FALSE))))</f>
        <v/>
      </c>
      <c r="X134" s="299" t="str">
        <f>IFERROR(IF(E134="","",VLOOKUP(W134,'G-3 Multipliers'!$P$2:$Q$6,2,FALSE)),"")</f>
        <v/>
      </c>
      <c r="Y134" s="393"/>
      <c r="Z134" s="510" t="str">
        <f>IF(Y134="","",IF(VLOOKUP(Y134,'G-3 Multipliers'!$S$3:$T$10,2,FALSE)=0,"Spatial Data Missing ⚠",VLOOKUP(Y134,'G-3 Multipliers'!$S$3:$T$10,2,FALSE)))</f>
        <v/>
      </c>
      <c r="AA134" s="926" t="str">
        <f t="shared" si="8"/>
        <v/>
      </c>
      <c r="AB134" s="928" t="str">
        <f t="shared" si="13"/>
        <v/>
      </c>
      <c r="AC134" s="105"/>
      <c r="AD134" s="138"/>
      <c r="AE134" s="233"/>
      <c r="AF134" s="138"/>
      <c r="AG134" s="934"/>
      <c r="AJ134" s="40" t="str">
        <f t="shared" si="9"/>
        <v/>
      </c>
    </row>
    <row r="135" spans="1:36" ht="14">
      <c r="A135" s="30" t="str">
        <f>IFERROR(INDEX('G-8 Condition Look up'!$I$4:$I$135,MATCH(F135,'G-8 Condition Look up'!$A$4:$A$135,0)),"")</f>
        <v/>
      </c>
      <c r="B135" s="225">
        <v>125</v>
      </c>
      <c r="C135" s="66" t="str">
        <f>IFERROR(INDEX('G-1 All Habitats'!$AG$25:$AG$41,MATCH(D135,'G-1 All Habitats'!AF$25:AF$41,0)),"")</f>
        <v/>
      </c>
      <c r="D135" s="105"/>
      <c r="E135" s="138"/>
      <c r="F135" s="158" t="str">
        <f>IFERROR(INDEX('G-1 All Habitats'!$B$3:$B$136,MATCH(E135,'G-1 All Habitats'!$A$3:$A$136,0)),"")</f>
        <v/>
      </c>
      <c r="G135" s="233"/>
      <c r="H135" s="311" t="str">
        <f>IF(F135="","",VLOOKUP(F135,'G-1 All Habitats'!$B$2:$M$135,10,FALSE))</f>
        <v/>
      </c>
      <c r="I135" s="299" t="str">
        <f>IFERROR(VLOOKUP(H135,'G-1 All Habitats'!$V$3:$W$7,2,FALSE),"")</f>
        <v/>
      </c>
      <c r="J135" s="136"/>
      <c r="K135" s="299" t="str">
        <f>IFERROR(INDEX('G-8 Condition Look up'!$A$3:$H$135,MATCH(F135,'G-8 Condition Look up'!$A$3:$A$135,0),MATCH(J135,'G-8 Condition Look up'!$A$3:$H$3,0)),"")</f>
        <v/>
      </c>
      <c r="L135" s="101"/>
      <c r="M135" s="314" t="str">
        <f>IF(L135="","",IF(VLOOKUP(L135,'G-3 Multipliers'!$L$3:$N$6,2,FALSE)=0,"Spatial Data Missing ⚠",VLOOKUP(L135,'G-3 Multipliers'!$L$3:$N$6,2,FALSE)))</f>
        <v/>
      </c>
      <c r="N135" s="276" t="str">
        <f>IF(L135="","",IF(VLOOKUP(L135,'G-3 Multipliers'!$L$3:$N$6,3,FALSE)=0,"Spatial Data Missing ⚠",VLOOKUP(L135,'G-3 Multipliers'!$L$3:$N$6,3,FALSE)))</f>
        <v/>
      </c>
      <c r="O135" s="275" t="str">
        <f t="shared" si="7"/>
        <v/>
      </c>
      <c r="P135" s="133"/>
      <c r="Q135" s="133"/>
      <c r="R135" s="295" t="str">
        <f t="shared" si="10"/>
        <v/>
      </c>
      <c r="S135" s="316" t="str">
        <f t="shared" si="11"/>
        <v/>
      </c>
      <c r="T135" s="300" t="str">
        <f>IFERROR(IF(S135="Check Data ⚠","Check Data ⚠",VLOOKUP(S135,'G-4 Temporal multipliers'!$A$4:$C$37,3,FALSE)),"")</f>
        <v/>
      </c>
      <c r="U135" s="298" t="str">
        <f>IF(F135="","",VLOOKUP(F135,'G-3 Multipliers'!$A$2:$E$134,2,FALSE))</f>
        <v/>
      </c>
      <c r="V135" s="295" t="str">
        <f t="shared" si="12"/>
        <v/>
      </c>
      <c r="W135" s="295" t="str">
        <f>IF(E135="","",IF(AND(V135="Standard difficulty applied",O135&gt;P135),U135,IF(AND(V135="Low Difficulty - only applicable if all habitat created before losses ⚠",P135&gt;=O135),"Low",VLOOKUP(F135,'G-3 Multipliers'!$A$2:$E$134,4,FALSE))))</f>
        <v/>
      </c>
      <c r="X135" s="299" t="str">
        <f>IFERROR(IF(E135="","",VLOOKUP(W135,'G-3 Multipliers'!$P$2:$Q$6,2,FALSE)),"")</f>
        <v/>
      </c>
      <c r="Y135" s="393"/>
      <c r="Z135" s="510" t="str">
        <f>IF(Y135="","",IF(VLOOKUP(Y135,'G-3 Multipliers'!$S$3:$T$10,2,FALSE)=0,"Spatial Data Missing ⚠",VLOOKUP(Y135,'G-3 Multipliers'!$S$3:$T$10,2,FALSE)))</f>
        <v/>
      </c>
      <c r="AA135" s="926" t="str">
        <f t="shared" si="8"/>
        <v/>
      </c>
      <c r="AB135" s="928" t="str">
        <f t="shared" si="13"/>
        <v/>
      </c>
      <c r="AC135" s="105"/>
      <c r="AD135" s="138"/>
      <c r="AE135" s="233"/>
      <c r="AF135" s="138"/>
      <c r="AG135" s="934"/>
      <c r="AJ135" s="40" t="str">
        <f t="shared" si="9"/>
        <v/>
      </c>
    </row>
    <row r="136" spans="1:36" ht="14">
      <c r="A136" s="30" t="str">
        <f>IFERROR(INDEX('G-8 Condition Look up'!$I$4:$I$135,MATCH(F136,'G-8 Condition Look up'!$A$4:$A$135,0)),"")</f>
        <v/>
      </c>
      <c r="B136" s="225">
        <v>126</v>
      </c>
      <c r="C136" s="66" t="str">
        <f>IFERROR(INDEX('G-1 All Habitats'!$AG$25:$AG$41,MATCH(D136,'G-1 All Habitats'!AF$25:AF$41,0)),"")</f>
        <v/>
      </c>
      <c r="D136" s="105"/>
      <c r="E136" s="138"/>
      <c r="F136" s="158" t="str">
        <f>IFERROR(INDEX('G-1 All Habitats'!$B$3:$B$136,MATCH(E136,'G-1 All Habitats'!$A$3:$A$136,0)),"")</f>
        <v/>
      </c>
      <c r="G136" s="233"/>
      <c r="H136" s="311" t="str">
        <f>IF(F136="","",VLOOKUP(F136,'G-1 All Habitats'!$B$2:$M$135,10,FALSE))</f>
        <v/>
      </c>
      <c r="I136" s="299" t="str">
        <f>IFERROR(VLOOKUP(H136,'G-1 All Habitats'!$V$3:$W$7,2,FALSE),"")</f>
        <v/>
      </c>
      <c r="J136" s="136"/>
      <c r="K136" s="299" t="str">
        <f>IFERROR(INDEX('G-8 Condition Look up'!$A$3:$H$135,MATCH(F136,'G-8 Condition Look up'!$A$3:$A$135,0),MATCH(J136,'G-8 Condition Look up'!$A$3:$H$3,0)),"")</f>
        <v/>
      </c>
      <c r="L136" s="101"/>
      <c r="M136" s="314" t="str">
        <f>IF(L136="","",IF(VLOOKUP(L136,'G-3 Multipliers'!$L$3:$N$6,2,FALSE)=0,"Spatial Data Missing ⚠",VLOOKUP(L136,'G-3 Multipliers'!$L$3:$N$6,2,FALSE)))</f>
        <v/>
      </c>
      <c r="N136" s="276" t="str">
        <f>IF(L136="","",IF(VLOOKUP(L136,'G-3 Multipliers'!$L$3:$N$6,3,FALSE)=0,"Spatial Data Missing ⚠",VLOOKUP(L136,'G-3 Multipliers'!$L$3:$N$6,3,FALSE)))</f>
        <v/>
      </c>
      <c r="O136" s="275" t="str">
        <f t="shared" si="7"/>
        <v/>
      </c>
      <c r="P136" s="133"/>
      <c r="Q136" s="133"/>
      <c r="R136" s="295" t="str">
        <f t="shared" si="10"/>
        <v/>
      </c>
      <c r="S136" s="316" t="str">
        <f t="shared" si="11"/>
        <v/>
      </c>
      <c r="T136" s="300" t="str">
        <f>IFERROR(IF(S136="Check Data ⚠","Check Data ⚠",VLOOKUP(S136,'G-4 Temporal multipliers'!$A$4:$C$37,3,FALSE)),"")</f>
        <v/>
      </c>
      <c r="U136" s="298" t="str">
        <f>IF(F136="","",VLOOKUP(F136,'G-3 Multipliers'!$A$2:$E$134,2,FALSE))</f>
        <v/>
      </c>
      <c r="V136" s="295" t="str">
        <f t="shared" si="12"/>
        <v/>
      </c>
      <c r="W136" s="295" t="str">
        <f>IF(E136="","",IF(AND(V136="Standard difficulty applied",O136&gt;P136),U136,IF(AND(V136="Low Difficulty - only applicable if all habitat created before losses ⚠",P136&gt;=O136),"Low",VLOOKUP(F136,'G-3 Multipliers'!$A$2:$E$134,4,FALSE))))</f>
        <v/>
      </c>
      <c r="X136" s="299" t="str">
        <f>IFERROR(IF(E136="","",VLOOKUP(W136,'G-3 Multipliers'!$P$2:$Q$6,2,FALSE)),"")</f>
        <v/>
      </c>
      <c r="Y136" s="393"/>
      <c r="Z136" s="510" t="str">
        <f>IF(Y136="","",IF(VLOOKUP(Y136,'G-3 Multipliers'!$S$3:$T$10,2,FALSE)=0,"Spatial Data Missing ⚠",VLOOKUP(Y136,'G-3 Multipliers'!$S$3:$T$10,2,FALSE)))</f>
        <v/>
      </c>
      <c r="AA136" s="926" t="str">
        <f t="shared" si="8"/>
        <v/>
      </c>
      <c r="AB136" s="928" t="str">
        <f t="shared" si="13"/>
        <v/>
      </c>
      <c r="AC136" s="105"/>
      <c r="AD136" s="138"/>
      <c r="AE136" s="233"/>
      <c r="AF136" s="138"/>
      <c r="AG136" s="934"/>
      <c r="AJ136" s="40" t="str">
        <f t="shared" si="9"/>
        <v/>
      </c>
    </row>
    <row r="137" spans="1:36" ht="14">
      <c r="A137" s="30" t="str">
        <f>IFERROR(INDEX('G-8 Condition Look up'!$I$4:$I$135,MATCH(F137,'G-8 Condition Look up'!$A$4:$A$135,0)),"")</f>
        <v/>
      </c>
      <c r="B137" s="225">
        <v>127</v>
      </c>
      <c r="C137" s="66" t="str">
        <f>IFERROR(INDEX('G-1 All Habitats'!$AG$25:$AG$41,MATCH(D137,'G-1 All Habitats'!AF$25:AF$41,0)),"")</f>
        <v/>
      </c>
      <c r="D137" s="105"/>
      <c r="E137" s="138"/>
      <c r="F137" s="158" t="str">
        <f>IFERROR(INDEX('G-1 All Habitats'!$B$3:$B$136,MATCH(E137,'G-1 All Habitats'!$A$3:$A$136,0)),"")</f>
        <v/>
      </c>
      <c r="G137" s="233"/>
      <c r="H137" s="311" t="str">
        <f>IF(F137="","",VLOOKUP(F137,'G-1 All Habitats'!$B$2:$M$135,10,FALSE))</f>
        <v/>
      </c>
      <c r="I137" s="299" t="str">
        <f>IFERROR(VLOOKUP(H137,'G-1 All Habitats'!$V$3:$W$7,2,FALSE),"")</f>
        <v/>
      </c>
      <c r="J137" s="136"/>
      <c r="K137" s="299" t="str">
        <f>IFERROR(INDEX('G-8 Condition Look up'!$A$3:$H$135,MATCH(F137,'G-8 Condition Look up'!$A$3:$A$135,0),MATCH(J137,'G-8 Condition Look up'!$A$3:$H$3,0)),"")</f>
        <v/>
      </c>
      <c r="L137" s="101"/>
      <c r="M137" s="314" t="str">
        <f>IF(L137="","",IF(VLOOKUP(L137,'G-3 Multipliers'!$L$3:$N$6,2,FALSE)=0,"Spatial Data Missing ⚠",VLOOKUP(L137,'G-3 Multipliers'!$L$3:$N$6,2,FALSE)))</f>
        <v/>
      </c>
      <c r="N137" s="276" t="str">
        <f>IF(L137="","",IF(VLOOKUP(L137,'G-3 Multipliers'!$L$3:$N$6,3,FALSE)=0,"Spatial Data Missing ⚠",VLOOKUP(L137,'G-3 Multipliers'!$L$3:$N$6,3,FALSE)))</f>
        <v/>
      </c>
      <c r="O137" s="275" t="str">
        <f t="shared" si="7"/>
        <v/>
      </c>
      <c r="P137" s="133"/>
      <c r="Q137" s="133"/>
      <c r="R137" s="295" t="str">
        <f t="shared" si="10"/>
        <v/>
      </c>
      <c r="S137" s="316" t="str">
        <f t="shared" si="11"/>
        <v/>
      </c>
      <c r="T137" s="300" t="str">
        <f>IFERROR(IF(S137="Check Data ⚠","Check Data ⚠",VLOOKUP(S137,'G-4 Temporal multipliers'!$A$4:$C$37,3,FALSE)),"")</f>
        <v/>
      </c>
      <c r="U137" s="298" t="str">
        <f>IF(F137="","",VLOOKUP(F137,'G-3 Multipliers'!$A$2:$E$134,2,FALSE))</f>
        <v/>
      </c>
      <c r="V137" s="295" t="str">
        <f t="shared" si="12"/>
        <v/>
      </c>
      <c r="W137" s="295" t="str">
        <f>IF(E137="","",IF(AND(V137="Standard difficulty applied",O137&gt;P137),U137,IF(AND(V137="Low Difficulty - only applicable if all habitat created before losses ⚠",P137&gt;=O137),"Low",VLOOKUP(F137,'G-3 Multipliers'!$A$2:$E$134,4,FALSE))))</f>
        <v/>
      </c>
      <c r="X137" s="299" t="str">
        <f>IFERROR(IF(E137="","",VLOOKUP(W137,'G-3 Multipliers'!$P$2:$Q$6,2,FALSE)),"")</f>
        <v/>
      </c>
      <c r="Y137" s="393"/>
      <c r="Z137" s="510" t="str">
        <f>IF(Y137="","",IF(VLOOKUP(Y137,'G-3 Multipliers'!$S$3:$T$10,2,FALSE)=0,"Spatial Data Missing ⚠",VLOOKUP(Y137,'G-3 Multipliers'!$S$3:$T$10,2,FALSE)))</f>
        <v/>
      </c>
      <c r="AA137" s="926" t="str">
        <f t="shared" si="8"/>
        <v/>
      </c>
      <c r="AB137" s="928" t="str">
        <f t="shared" si="13"/>
        <v/>
      </c>
      <c r="AC137" s="105"/>
      <c r="AD137" s="138"/>
      <c r="AE137" s="233"/>
      <c r="AF137" s="138"/>
      <c r="AG137" s="934"/>
      <c r="AJ137" s="40" t="str">
        <f t="shared" si="9"/>
        <v/>
      </c>
    </row>
    <row r="138" spans="1:36" ht="14">
      <c r="A138" s="30" t="str">
        <f>IFERROR(INDEX('G-8 Condition Look up'!$I$4:$I$135,MATCH(F138,'G-8 Condition Look up'!$A$4:$A$135,0)),"")</f>
        <v/>
      </c>
      <c r="B138" s="225">
        <v>128</v>
      </c>
      <c r="C138" s="66" t="str">
        <f>IFERROR(INDEX('G-1 All Habitats'!$AG$25:$AG$41,MATCH(D138,'G-1 All Habitats'!AF$25:AF$41,0)),"")</f>
        <v/>
      </c>
      <c r="D138" s="105"/>
      <c r="E138" s="138"/>
      <c r="F138" s="158" t="str">
        <f>IFERROR(INDEX('G-1 All Habitats'!$B$3:$B$136,MATCH(E138,'G-1 All Habitats'!$A$3:$A$136,0)),"")</f>
        <v/>
      </c>
      <c r="G138" s="233"/>
      <c r="H138" s="311" t="str">
        <f>IF(F138="","",VLOOKUP(F138,'G-1 All Habitats'!$B$2:$M$135,10,FALSE))</f>
        <v/>
      </c>
      <c r="I138" s="299" t="str">
        <f>IFERROR(VLOOKUP(H138,'G-1 All Habitats'!$V$3:$W$7,2,FALSE),"")</f>
        <v/>
      </c>
      <c r="J138" s="136"/>
      <c r="K138" s="299" t="str">
        <f>IFERROR(INDEX('G-8 Condition Look up'!$A$3:$H$135,MATCH(F138,'G-8 Condition Look up'!$A$3:$A$135,0),MATCH(J138,'G-8 Condition Look up'!$A$3:$H$3,0)),"")</f>
        <v/>
      </c>
      <c r="L138" s="101"/>
      <c r="M138" s="314" t="str">
        <f>IF(L138="","",IF(VLOOKUP(L138,'G-3 Multipliers'!$L$3:$N$6,2,FALSE)=0,"Spatial Data Missing ⚠",VLOOKUP(L138,'G-3 Multipliers'!$L$3:$N$6,2,FALSE)))</f>
        <v/>
      </c>
      <c r="N138" s="276" t="str">
        <f>IF(L138="","",IF(VLOOKUP(L138,'G-3 Multipliers'!$L$3:$N$6,3,FALSE)=0,"Spatial Data Missing ⚠",VLOOKUP(L138,'G-3 Multipliers'!$L$3:$N$6,3,FALSE)))</f>
        <v/>
      </c>
      <c r="O138" s="275" t="str">
        <f t="shared" si="7"/>
        <v/>
      </c>
      <c r="P138" s="133"/>
      <c r="Q138" s="133"/>
      <c r="R138" s="295" t="str">
        <f t="shared" si="10"/>
        <v/>
      </c>
      <c r="S138" s="316" t="str">
        <f t="shared" si="11"/>
        <v/>
      </c>
      <c r="T138" s="300" t="str">
        <f>IFERROR(IF(S138="Check Data ⚠","Check Data ⚠",VLOOKUP(S138,'G-4 Temporal multipliers'!$A$4:$C$37,3,FALSE)),"")</f>
        <v/>
      </c>
      <c r="U138" s="298" t="str">
        <f>IF(F138="","",VLOOKUP(F138,'G-3 Multipliers'!$A$2:$E$134,2,FALSE))</f>
        <v/>
      </c>
      <c r="V138" s="295" t="str">
        <f t="shared" si="12"/>
        <v/>
      </c>
      <c r="W138" s="295" t="str">
        <f>IF(E138="","",IF(AND(V138="Standard difficulty applied",O138&gt;P138),U138,IF(AND(V138="Low Difficulty - only applicable if all habitat created before losses ⚠",P138&gt;=O138),"Low",VLOOKUP(F138,'G-3 Multipliers'!$A$2:$E$134,4,FALSE))))</f>
        <v/>
      </c>
      <c r="X138" s="299" t="str">
        <f>IFERROR(IF(E138="","",VLOOKUP(W138,'G-3 Multipliers'!$P$2:$Q$6,2,FALSE)),"")</f>
        <v/>
      </c>
      <c r="Y138" s="393"/>
      <c r="Z138" s="510" t="str">
        <f>IF(Y138="","",IF(VLOOKUP(Y138,'G-3 Multipliers'!$S$3:$T$10,2,FALSE)=0,"Spatial Data Missing ⚠",VLOOKUP(Y138,'G-3 Multipliers'!$S$3:$T$10,2,FALSE)))</f>
        <v/>
      </c>
      <c r="AA138" s="926" t="str">
        <f t="shared" si="8"/>
        <v/>
      </c>
      <c r="AB138" s="928" t="str">
        <f t="shared" si="13"/>
        <v/>
      </c>
      <c r="AC138" s="105"/>
      <c r="AD138" s="138"/>
      <c r="AE138" s="233"/>
      <c r="AF138" s="138"/>
      <c r="AG138" s="934"/>
      <c r="AJ138" s="40" t="str">
        <f t="shared" si="9"/>
        <v/>
      </c>
    </row>
    <row r="139" spans="1:36" ht="14">
      <c r="A139" s="30" t="str">
        <f>IFERROR(INDEX('G-8 Condition Look up'!$I$4:$I$135,MATCH(F139,'G-8 Condition Look up'!$A$4:$A$135,0)),"")</f>
        <v/>
      </c>
      <c r="B139" s="225">
        <v>129</v>
      </c>
      <c r="C139" s="66" t="str">
        <f>IFERROR(INDEX('G-1 All Habitats'!$AG$25:$AG$41,MATCH(D139,'G-1 All Habitats'!AF$25:AF$41,0)),"")</f>
        <v/>
      </c>
      <c r="D139" s="105"/>
      <c r="E139" s="138"/>
      <c r="F139" s="158" t="str">
        <f>IFERROR(INDEX('G-1 All Habitats'!$B$3:$B$136,MATCH(E139,'G-1 All Habitats'!$A$3:$A$136,0)),"")</f>
        <v/>
      </c>
      <c r="G139" s="233"/>
      <c r="H139" s="311" t="str">
        <f>IF(F139="","",VLOOKUP(F139,'G-1 All Habitats'!$B$2:$M$135,10,FALSE))</f>
        <v/>
      </c>
      <c r="I139" s="299" t="str">
        <f>IFERROR(VLOOKUP(H139,'G-1 All Habitats'!$V$3:$W$7,2,FALSE),"")</f>
        <v/>
      </c>
      <c r="J139" s="136"/>
      <c r="K139" s="299" t="str">
        <f>IFERROR(INDEX('G-8 Condition Look up'!$A$3:$H$135,MATCH(F139,'G-8 Condition Look up'!$A$3:$A$135,0),MATCH(J139,'G-8 Condition Look up'!$A$3:$H$3,0)),"")</f>
        <v/>
      </c>
      <c r="L139" s="101"/>
      <c r="M139" s="314" t="str">
        <f>IF(L139="","",IF(VLOOKUP(L139,'G-3 Multipliers'!$L$3:$N$6,2,FALSE)=0,"Spatial Data Missing ⚠",VLOOKUP(L139,'G-3 Multipliers'!$L$3:$N$6,2,FALSE)))</f>
        <v/>
      </c>
      <c r="N139" s="276" t="str">
        <f>IF(L139="","",IF(VLOOKUP(L139,'G-3 Multipliers'!$L$3:$N$6,3,FALSE)=0,"Spatial Data Missing ⚠",VLOOKUP(L139,'G-3 Multipliers'!$L$3:$N$6,3,FALSE)))</f>
        <v/>
      </c>
      <c r="O139" s="275" t="str">
        <f t="shared" si="14" ref="O139:O202">IFERROR(INDEX(TemporalData,MATCH(F139,TemporalHabitats,0),MATCH(J139,TemporalConditions,0)),"")</f>
        <v/>
      </c>
      <c r="P139" s="133"/>
      <c r="Q139" s="133"/>
      <c r="R139" s="295" t="str">
        <f t="shared" si="10"/>
        <v/>
      </c>
      <c r="S139" s="316" t="str">
        <f t="shared" si="11"/>
        <v/>
      </c>
      <c r="T139" s="300" t="str">
        <f>IFERROR(IF(S139="Check Data ⚠","Check Data ⚠",VLOOKUP(S139,'G-4 Temporal multipliers'!$A$4:$C$37,3,FALSE)),"")</f>
        <v/>
      </c>
      <c r="U139" s="298" t="str">
        <f>IF(F139="","",VLOOKUP(F139,'G-3 Multipliers'!$A$2:$E$134,2,FALSE))</f>
        <v/>
      </c>
      <c r="V139" s="295" t="str">
        <f t="shared" si="12"/>
        <v/>
      </c>
      <c r="W139" s="295" t="str">
        <f>IF(E139="","",IF(AND(V139="Standard difficulty applied",O139&gt;P139),U139,IF(AND(V139="Low Difficulty - only applicable if all habitat created before losses ⚠",P139&gt;=O139),"Low",VLOOKUP(F139,'G-3 Multipliers'!$A$2:$E$134,4,FALSE))))</f>
        <v/>
      </c>
      <c r="X139" s="299" t="str">
        <f>IFERROR(IF(E139="","",VLOOKUP(W139,'G-3 Multipliers'!$P$2:$Q$6,2,FALSE)),"")</f>
        <v/>
      </c>
      <c r="Y139" s="393"/>
      <c r="Z139" s="510" t="str">
        <f>IF(Y139="","",IF(VLOOKUP(Y139,'G-3 Multipliers'!$S$3:$T$10,2,FALSE)=0,"Spatial Data Missing ⚠",VLOOKUP(Y139,'G-3 Multipliers'!$S$3:$T$10,2,FALSE)))</f>
        <v/>
      </c>
      <c r="AA139" s="926" t="str">
        <f t="shared" si="15" ref="AA139:AA202">IFERROR(G139*I139*K139*N139*T139*X139*Z139,"")</f>
        <v/>
      </c>
      <c r="AB139" s="928" t="str">
        <f t="shared" si="13"/>
        <v/>
      </c>
      <c r="AC139" s="105"/>
      <c r="AD139" s="138"/>
      <c r="AE139" s="233"/>
      <c r="AF139" s="138"/>
      <c r="AG139" s="934"/>
      <c r="AJ139" s="40" t="str">
        <f t="shared" si="16" ref="AJ139:AJ202">IFERROR(INDEX(TemporalData,MATCH(F139,TemporalHabitats,0),MATCH($AJ$10,TemporalConditions,0)),"")</f>
        <v/>
      </c>
    </row>
    <row r="140" spans="1:36" ht="14">
      <c r="A140" s="30" t="str">
        <f>IFERROR(INDEX('G-8 Condition Look up'!$I$4:$I$135,MATCH(F140,'G-8 Condition Look up'!$A$4:$A$135,0)),"")</f>
        <v/>
      </c>
      <c r="B140" s="225">
        <v>130</v>
      </c>
      <c r="C140" s="66" t="str">
        <f>IFERROR(INDEX('G-1 All Habitats'!$AG$25:$AG$41,MATCH(D140,'G-1 All Habitats'!AF$25:AF$41,0)),"")</f>
        <v/>
      </c>
      <c r="D140" s="105"/>
      <c r="E140" s="138"/>
      <c r="F140" s="158" t="str">
        <f>IFERROR(INDEX('G-1 All Habitats'!$B$3:$B$136,MATCH(E140,'G-1 All Habitats'!$A$3:$A$136,0)),"")</f>
        <v/>
      </c>
      <c r="G140" s="233"/>
      <c r="H140" s="311" t="str">
        <f>IF(F140="","",VLOOKUP(F140,'G-1 All Habitats'!$B$2:$M$135,10,FALSE))</f>
        <v/>
      </c>
      <c r="I140" s="299" t="str">
        <f>IFERROR(VLOOKUP(H140,'G-1 All Habitats'!$V$3:$W$7,2,FALSE),"")</f>
        <v/>
      </c>
      <c r="J140" s="136"/>
      <c r="K140" s="299" t="str">
        <f>IFERROR(INDEX('G-8 Condition Look up'!$A$3:$H$135,MATCH(F140,'G-8 Condition Look up'!$A$3:$A$135,0),MATCH(J140,'G-8 Condition Look up'!$A$3:$H$3,0)),"")</f>
        <v/>
      </c>
      <c r="L140" s="101"/>
      <c r="M140" s="314" t="str">
        <f>IF(L140="","",IF(VLOOKUP(L140,'G-3 Multipliers'!$L$3:$N$6,2,FALSE)=0,"Spatial Data Missing ⚠",VLOOKUP(L140,'G-3 Multipliers'!$L$3:$N$6,2,FALSE)))</f>
        <v/>
      </c>
      <c r="N140" s="276" t="str">
        <f>IF(L140="","",IF(VLOOKUP(L140,'G-3 Multipliers'!$L$3:$N$6,3,FALSE)=0,"Spatial Data Missing ⚠",VLOOKUP(L140,'G-3 Multipliers'!$L$3:$N$6,3,FALSE)))</f>
        <v/>
      </c>
      <c r="O140" s="275" t="str">
        <f t="shared" si="14"/>
        <v/>
      </c>
      <c r="P140" s="133"/>
      <c r="Q140" s="133"/>
      <c r="R140" s="295" t="str">
        <f t="shared" si="17" ref="R140:R203">IF(E140="","",IF(AND(P140&gt;0,Q140&gt;0),"Error -both advance and delayed habitat creation ▲",IF(I140=0,"Standard time to target condition applied",IF(O140&lt;=P140,"Check details - Is there evidence that habitat has reached target condition? ⚠",IF(O140="","",IF(AND(P140&gt;=$AJ140,P140&gt;0),"Check details - Is there evidence habitat creation started and the threshold for Poor condition reached? ⚠",IF(AND(O140&gt;P140,P140&gt;0),"Check details - Is there evidence habitat creation in place? ⚠",IF(Q140&gt;0,"Check details- Delay in starting habitat in required condition? ⚠",IF(P140&gt;0,"Check details - Is there evidence habitat creation started/in place? ⚠","Standard time to target condition applied")))))))))</f>
        <v/>
      </c>
      <c r="S140" s="316" t="str">
        <f t="shared" si="18" ref="S140:S203">IF(R140="Error -both advance and delayed habitat creation ▲","Check Data ⚠",IF(O140="Not Possible ▲","Check Data ⚠",IF(O140="","",IF(AND(O140="30+",P140=0),"30+",IF(AND(O140="30+",P140="30+"),0,IF(AND(O140="30+",P140&lt;32),30-P140,IF(O140="30+",30-P140,IF(P140&gt;O140,0,IF(Q140="30+","30+",IF(O140+Q140&gt;30,"30+",IF(O140+Q140&gt;30,"30+",IF(O140-P140&gt;30,"30+",IF(O140+Q140-P140&gt;0,O140+Q140-P140,IF(O140-P140&gt;0,O140-P140,O140+Q140-P140))))))))))))))</f>
        <v/>
      </c>
      <c r="T140" s="300" t="str">
        <f>IFERROR(IF(S140="Check Data ⚠","Check Data ⚠",VLOOKUP(S140,'G-4 Temporal multipliers'!$A$4:$C$37,3,FALSE)),"")</f>
        <v/>
      </c>
      <c r="U140" s="298" t="str">
        <f>IF(F140="","",VLOOKUP(F140,'G-3 Multipliers'!$A$2:$E$134,2,FALSE))</f>
        <v/>
      </c>
      <c r="V140" s="295" t="str">
        <f t="shared" si="19" ref="V140:V203">IF(F140="","",IF($R140="Check details - Is there evidence that habitat has reached target condition? ⚠","Low Difficulty - only applicable if all habitat created before losses ⚠",IF(AND($R140="Check details - Is there evidence habitat creation started and the threshold for Poor condition reached? ⚠",$E140&lt;&gt;"Traditional orchards",$E140&lt;&gt;"Ornamental lake or pond",$E140&lt;&gt;"Ponds (non-priority habitat)",$E140&lt;&gt;"Ruderal/Ephemeral",$E140&lt;&gt;"Tall forbs",$E140&lt;&gt;"Developed land; sealed surface"),"Enhancement difficulty applied","Standard difficulty applied")))</f>
        <v/>
      </c>
      <c r="W140" s="295" t="str">
        <f>IF(E140="","",IF(AND(V140="Standard difficulty applied",O140&gt;P140),U140,IF(AND(V140="Low Difficulty - only applicable if all habitat created before losses ⚠",P140&gt;=O140),"Low",VLOOKUP(F140,'G-3 Multipliers'!$A$2:$E$134,4,FALSE))))</f>
        <v/>
      </c>
      <c r="X140" s="299" t="str">
        <f>IFERROR(IF(E140="","",VLOOKUP(W140,'G-3 Multipliers'!$P$2:$Q$6,2,FALSE)),"")</f>
        <v/>
      </c>
      <c r="Y140" s="393"/>
      <c r="Z140" s="510" t="str">
        <f>IF(Y140="","",IF(VLOOKUP(Y140,'G-3 Multipliers'!$S$3:$T$10,2,FALSE)=0,"Spatial Data Missing ⚠",VLOOKUP(Y140,'G-3 Multipliers'!$S$3:$T$10,2,FALSE)))</f>
        <v/>
      </c>
      <c r="AA140" s="926" t="str">
        <f t="shared" si="15"/>
        <v/>
      </c>
      <c r="AB140" s="928" t="str">
        <f t="shared" si="20" ref="AB140:AB203">IFERROR(IF(AND(Y140&lt;&gt;"",AF140=""),"Off-site reference required ▲",(IF(Y140="","",G140*I140*K140*N140*T140*X140))),"")</f>
        <v/>
      </c>
      <c r="AC140" s="105"/>
      <c r="AD140" s="138"/>
      <c r="AE140" s="233"/>
      <c r="AF140" s="138"/>
      <c r="AG140" s="934"/>
      <c r="AJ140" s="40" t="str">
        <f t="shared" si="16"/>
        <v/>
      </c>
    </row>
    <row r="141" spans="1:36" ht="14">
      <c r="A141" s="30" t="str">
        <f>IFERROR(INDEX('G-8 Condition Look up'!$I$4:$I$135,MATCH(F141,'G-8 Condition Look up'!$A$4:$A$135,0)),"")</f>
        <v/>
      </c>
      <c r="B141" s="225">
        <v>131</v>
      </c>
      <c r="C141" s="66" t="str">
        <f>IFERROR(INDEX('G-1 All Habitats'!$AG$25:$AG$41,MATCH(D141,'G-1 All Habitats'!AF$25:AF$41,0)),"")</f>
        <v/>
      </c>
      <c r="D141" s="105"/>
      <c r="E141" s="138"/>
      <c r="F141" s="158" t="str">
        <f>IFERROR(INDEX('G-1 All Habitats'!$B$3:$B$136,MATCH(E141,'G-1 All Habitats'!$A$3:$A$136,0)),"")</f>
        <v/>
      </c>
      <c r="G141" s="233"/>
      <c r="H141" s="311" t="str">
        <f>IF(F141="","",VLOOKUP(F141,'G-1 All Habitats'!$B$2:$M$135,10,FALSE))</f>
        <v/>
      </c>
      <c r="I141" s="299" t="str">
        <f>IFERROR(VLOOKUP(H141,'G-1 All Habitats'!$V$3:$W$7,2,FALSE),"")</f>
        <v/>
      </c>
      <c r="J141" s="136"/>
      <c r="K141" s="299" t="str">
        <f>IFERROR(INDEX('G-8 Condition Look up'!$A$3:$H$135,MATCH(F141,'G-8 Condition Look up'!$A$3:$A$135,0),MATCH(J141,'G-8 Condition Look up'!$A$3:$H$3,0)),"")</f>
        <v/>
      </c>
      <c r="L141" s="101"/>
      <c r="M141" s="314" t="str">
        <f>IF(L141="","",IF(VLOOKUP(L141,'G-3 Multipliers'!$L$3:$N$6,2,FALSE)=0,"Spatial Data Missing ⚠",VLOOKUP(L141,'G-3 Multipliers'!$L$3:$N$6,2,FALSE)))</f>
        <v/>
      </c>
      <c r="N141" s="276" t="str">
        <f>IF(L141="","",IF(VLOOKUP(L141,'G-3 Multipliers'!$L$3:$N$6,3,FALSE)=0,"Spatial Data Missing ⚠",VLOOKUP(L141,'G-3 Multipliers'!$L$3:$N$6,3,FALSE)))</f>
        <v/>
      </c>
      <c r="O141" s="275" t="str">
        <f t="shared" si="14"/>
        <v/>
      </c>
      <c r="P141" s="133"/>
      <c r="Q141" s="133"/>
      <c r="R141" s="295" t="str">
        <f t="shared" si="17"/>
        <v/>
      </c>
      <c r="S141" s="316" t="str">
        <f t="shared" si="18"/>
        <v/>
      </c>
      <c r="T141" s="300" t="str">
        <f>IFERROR(IF(S141="Check Data ⚠","Check Data ⚠",VLOOKUP(S141,'G-4 Temporal multipliers'!$A$4:$C$37,3,FALSE)),"")</f>
        <v/>
      </c>
      <c r="U141" s="298" t="str">
        <f>IF(F141="","",VLOOKUP(F141,'G-3 Multipliers'!$A$2:$E$134,2,FALSE))</f>
        <v/>
      </c>
      <c r="V141" s="295" t="str">
        <f t="shared" si="19"/>
        <v/>
      </c>
      <c r="W141" s="295" t="str">
        <f>IF(E141="","",IF(AND(V141="Standard difficulty applied",O141&gt;P141),U141,IF(AND(V141="Low Difficulty - only applicable if all habitat created before losses ⚠",P141&gt;=O141),"Low",VLOOKUP(F141,'G-3 Multipliers'!$A$2:$E$134,4,FALSE))))</f>
        <v/>
      </c>
      <c r="X141" s="299" t="str">
        <f>IFERROR(IF(E141="","",VLOOKUP(W141,'G-3 Multipliers'!$P$2:$Q$6,2,FALSE)),"")</f>
        <v/>
      </c>
      <c r="Y141" s="393"/>
      <c r="Z141" s="510" t="str">
        <f>IF(Y141="","",IF(VLOOKUP(Y141,'G-3 Multipliers'!$S$3:$T$10,2,FALSE)=0,"Spatial Data Missing ⚠",VLOOKUP(Y141,'G-3 Multipliers'!$S$3:$T$10,2,FALSE)))</f>
        <v/>
      </c>
      <c r="AA141" s="926" t="str">
        <f t="shared" si="15"/>
        <v/>
      </c>
      <c r="AB141" s="928" t="str">
        <f t="shared" si="20"/>
        <v/>
      </c>
      <c r="AC141" s="105"/>
      <c r="AD141" s="138"/>
      <c r="AE141" s="233"/>
      <c r="AF141" s="138"/>
      <c r="AG141" s="934"/>
      <c r="AJ141" s="40" t="str">
        <f t="shared" si="16"/>
        <v/>
      </c>
    </row>
    <row r="142" spans="1:36" ht="14">
      <c r="A142" s="30" t="str">
        <f>IFERROR(INDEX('G-8 Condition Look up'!$I$4:$I$135,MATCH(F142,'G-8 Condition Look up'!$A$4:$A$135,0)),"")</f>
        <v/>
      </c>
      <c r="B142" s="225">
        <v>132</v>
      </c>
      <c r="C142" s="66" t="str">
        <f>IFERROR(INDEX('G-1 All Habitats'!$AG$25:$AG$41,MATCH(D142,'G-1 All Habitats'!AF$25:AF$41,0)),"")</f>
        <v/>
      </c>
      <c r="D142" s="105"/>
      <c r="E142" s="138"/>
      <c r="F142" s="158" t="str">
        <f>IFERROR(INDEX('G-1 All Habitats'!$B$3:$B$136,MATCH(E142,'G-1 All Habitats'!$A$3:$A$136,0)),"")</f>
        <v/>
      </c>
      <c r="G142" s="233"/>
      <c r="H142" s="311" t="str">
        <f>IF(F142="","",VLOOKUP(F142,'G-1 All Habitats'!$B$2:$M$135,10,FALSE))</f>
        <v/>
      </c>
      <c r="I142" s="299" t="str">
        <f>IFERROR(VLOOKUP(H142,'G-1 All Habitats'!$V$3:$W$7,2,FALSE),"")</f>
        <v/>
      </c>
      <c r="J142" s="136"/>
      <c r="K142" s="299" t="str">
        <f>IFERROR(INDEX('G-8 Condition Look up'!$A$3:$H$135,MATCH(F142,'G-8 Condition Look up'!$A$3:$A$135,0),MATCH(J142,'G-8 Condition Look up'!$A$3:$H$3,0)),"")</f>
        <v/>
      </c>
      <c r="L142" s="101"/>
      <c r="M142" s="314" t="str">
        <f>IF(L142="","",IF(VLOOKUP(L142,'G-3 Multipliers'!$L$3:$N$6,2,FALSE)=0,"Spatial Data Missing ⚠",VLOOKUP(L142,'G-3 Multipliers'!$L$3:$N$6,2,FALSE)))</f>
        <v/>
      </c>
      <c r="N142" s="276" t="str">
        <f>IF(L142="","",IF(VLOOKUP(L142,'G-3 Multipliers'!$L$3:$N$6,3,FALSE)=0,"Spatial Data Missing ⚠",VLOOKUP(L142,'G-3 Multipliers'!$L$3:$N$6,3,FALSE)))</f>
        <v/>
      </c>
      <c r="O142" s="275" t="str">
        <f t="shared" si="14"/>
        <v/>
      </c>
      <c r="P142" s="133"/>
      <c r="Q142" s="133"/>
      <c r="R142" s="295" t="str">
        <f t="shared" si="17"/>
        <v/>
      </c>
      <c r="S142" s="316" t="str">
        <f t="shared" si="18"/>
        <v/>
      </c>
      <c r="T142" s="300" t="str">
        <f>IFERROR(IF(S142="Check Data ⚠","Check Data ⚠",VLOOKUP(S142,'G-4 Temporal multipliers'!$A$4:$C$37,3,FALSE)),"")</f>
        <v/>
      </c>
      <c r="U142" s="298" t="str">
        <f>IF(F142="","",VLOOKUP(F142,'G-3 Multipliers'!$A$2:$E$134,2,FALSE))</f>
        <v/>
      </c>
      <c r="V142" s="295" t="str">
        <f t="shared" si="19"/>
        <v/>
      </c>
      <c r="W142" s="295" t="str">
        <f>IF(E142="","",IF(AND(V142="Standard difficulty applied",O142&gt;P142),U142,IF(AND(V142="Low Difficulty - only applicable if all habitat created before losses ⚠",P142&gt;=O142),"Low",VLOOKUP(F142,'G-3 Multipliers'!$A$2:$E$134,4,FALSE))))</f>
        <v/>
      </c>
      <c r="X142" s="299" t="str">
        <f>IFERROR(IF(E142="","",VLOOKUP(W142,'G-3 Multipliers'!$P$2:$Q$6,2,FALSE)),"")</f>
        <v/>
      </c>
      <c r="Y142" s="393"/>
      <c r="Z142" s="510" t="str">
        <f>IF(Y142="","",IF(VLOOKUP(Y142,'G-3 Multipliers'!$S$3:$T$10,2,FALSE)=0,"Spatial Data Missing ⚠",VLOOKUP(Y142,'G-3 Multipliers'!$S$3:$T$10,2,FALSE)))</f>
        <v/>
      </c>
      <c r="AA142" s="926" t="str">
        <f t="shared" si="15"/>
        <v/>
      </c>
      <c r="AB142" s="928" t="str">
        <f t="shared" si="20"/>
        <v/>
      </c>
      <c r="AC142" s="105"/>
      <c r="AD142" s="138"/>
      <c r="AE142" s="233"/>
      <c r="AF142" s="138"/>
      <c r="AG142" s="934"/>
      <c r="AJ142" s="40" t="str">
        <f t="shared" si="16"/>
        <v/>
      </c>
    </row>
    <row r="143" spans="1:36" ht="14">
      <c r="A143" s="30" t="str">
        <f>IFERROR(INDEX('G-8 Condition Look up'!$I$4:$I$135,MATCH(F143,'G-8 Condition Look up'!$A$4:$A$135,0)),"")</f>
        <v/>
      </c>
      <c r="B143" s="225">
        <v>133</v>
      </c>
      <c r="C143" s="66" t="str">
        <f>IFERROR(INDEX('G-1 All Habitats'!$AG$25:$AG$41,MATCH(D143,'G-1 All Habitats'!AF$25:AF$41,0)),"")</f>
        <v/>
      </c>
      <c r="D143" s="105"/>
      <c r="E143" s="138"/>
      <c r="F143" s="158" t="str">
        <f>IFERROR(INDEX('G-1 All Habitats'!$B$3:$B$136,MATCH(E143,'G-1 All Habitats'!$A$3:$A$136,0)),"")</f>
        <v/>
      </c>
      <c r="G143" s="233"/>
      <c r="H143" s="311" t="str">
        <f>IF(F143="","",VLOOKUP(F143,'G-1 All Habitats'!$B$2:$M$135,10,FALSE))</f>
        <v/>
      </c>
      <c r="I143" s="299" t="str">
        <f>IFERROR(VLOOKUP(H143,'G-1 All Habitats'!$V$3:$W$7,2,FALSE),"")</f>
        <v/>
      </c>
      <c r="J143" s="136"/>
      <c r="K143" s="299" t="str">
        <f>IFERROR(INDEX('G-8 Condition Look up'!$A$3:$H$135,MATCH(F143,'G-8 Condition Look up'!$A$3:$A$135,0),MATCH(J143,'G-8 Condition Look up'!$A$3:$H$3,0)),"")</f>
        <v/>
      </c>
      <c r="L143" s="101"/>
      <c r="M143" s="314" t="str">
        <f>IF(L143="","",IF(VLOOKUP(L143,'G-3 Multipliers'!$L$3:$N$6,2,FALSE)=0,"Spatial Data Missing ⚠",VLOOKUP(L143,'G-3 Multipliers'!$L$3:$N$6,2,FALSE)))</f>
        <v/>
      </c>
      <c r="N143" s="276" t="str">
        <f>IF(L143="","",IF(VLOOKUP(L143,'G-3 Multipliers'!$L$3:$N$6,3,FALSE)=0,"Spatial Data Missing ⚠",VLOOKUP(L143,'G-3 Multipliers'!$L$3:$N$6,3,FALSE)))</f>
        <v/>
      </c>
      <c r="O143" s="275" t="str">
        <f t="shared" si="14"/>
        <v/>
      </c>
      <c r="P143" s="133"/>
      <c r="Q143" s="133"/>
      <c r="R143" s="295" t="str">
        <f t="shared" si="17"/>
        <v/>
      </c>
      <c r="S143" s="316" t="str">
        <f t="shared" si="18"/>
        <v/>
      </c>
      <c r="T143" s="300" t="str">
        <f>IFERROR(IF(S143="Check Data ⚠","Check Data ⚠",VLOOKUP(S143,'G-4 Temporal multipliers'!$A$4:$C$37,3,FALSE)),"")</f>
        <v/>
      </c>
      <c r="U143" s="298" t="str">
        <f>IF(F143="","",VLOOKUP(F143,'G-3 Multipliers'!$A$2:$E$134,2,FALSE))</f>
        <v/>
      </c>
      <c r="V143" s="295" t="str">
        <f t="shared" si="19"/>
        <v/>
      </c>
      <c r="W143" s="295" t="str">
        <f>IF(E143="","",IF(AND(V143="Standard difficulty applied",O143&gt;P143),U143,IF(AND(V143="Low Difficulty - only applicable if all habitat created before losses ⚠",P143&gt;=O143),"Low",VLOOKUP(F143,'G-3 Multipliers'!$A$2:$E$134,4,FALSE))))</f>
        <v/>
      </c>
      <c r="X143" s="299" t="str">
        <f>IFERROR(IF(E143="","",VLOOKUP(W143,'G-3 Multipliers'!$P$2:$Q$6,2,FALSE)),"")</f>
        <v/>
      </c>
      <c r="Y143" s="393"/>
      <c r="Z143" s="510" t="str">
        <f>IF(Y143="","",IF(VLOOKUP(Y143,'G-3 Multipliers'!$S$3:$T$10,2,FALSE)=0,"Spatial Data Missing ⚠",VLOOKUP(Y143,'G-3 Multipliers'!$S$3:$T$10,2,FALSE)))</f>
        <v/>
      </c>
      <c r="AA143" s="926" t="str">
        <f t="shared" si="15"/>
        <v/>
      </c>
      <c r="AB143" s="928" t="str">
        <f t="shared" si="20"/>
        <v/>
      </c>
      <c r="AC143" s="105"/>
      <c r="AD143" s="138"/>
      <c r="AE143" s="233"/>
      <c r="AF143" s="138"/>
      <c r="AG143" s="934"/>
      <c r="AJ143" s="40" t="str">
        <f t="shared" si="16"/>
        <v/>
      </c>
    </row>
    <row r="144" spans="1:36" ht="14">
      <c r="A144" s="30" t="str">
        <f>IFERROR(INDEX('G-8 Condition Look up'!$I$4:$I$135,MATCH(F144,'G-8 Condition Look up'!$A$4:$A$135,0)),"")</f>
        <v/>
      </c>
      <c r="B144" s="225">
        <v>134</v>
      </c>
      <c r="C144" s="66" t="str">
        <f>IFERROR(INDEX('G-1 All Habitats'!$AG$25:$AG$41,MATCH(D144,'G-1 All Habitats'!AF$25:AF$41,0)),"")</f>
        <v/>
      </c>
      <c r="D144" s="105"/>
      <c r="E144" s="138"/>
      <c r="F144" s="158" t="str">
        <f>IFERROR(INDEX('G-1 All Habitats'!$B$3:$B$136,MATCH(E144,'G-1 All Habitats'!$A$3:$A$136,0)),"")</f>
        <v/>
      </c>
      <c r="G144" s="233"/>
      <c r="H144" s="311" t="str">
        <f>IF(F144="","",VLOOKUP(F144,'G-1 All Habitats'!$B$2:$M$135,10,FALSE))</f>
        <v/>
      </c>
      <c r="I144" s="299" t="str">
        <f>IFERROR(VLOOKUP(H144,'G-1 All Habitats'!$V$3:$W$7,2,FALSE),"")</f>
        <v/>
      </c>
      <c r="J144" s="136"/>
      <c r="K144" s="299" t="str">
        <f>IFERROR(INDEX('G-8 Condition Look up'!$A$3:$H$135,MATCH(F144,'G-8 Condition Look up'!$A$3:$A$135,0),MATCH(J144,'G-8 Condition Look up'!$A$3:$H$3,0)),"")</f>
        <v/>
      </c>
      <c r="L144" s="101"/>
      <c r="M144" s="314" t="str">
        <f>IF(L144="","",IF(VLOOKUP(L144,'G-3 Multipliers'!$L$3:$N$6,2,FALSE)=0,"Spatial Data Missing ⚠",VLOOKUP(L144,'G-3 Multipliers'!$L$3:$N$6,2,FALSE)))</f>
        <v/>
      </c>
      <c r="N144" s="276" t="str">
        <f>IF(L144="","",IF(VLOOKUP(L144,'G-3 Multipliers'!$L$3:$N$6,3,FALSE)=0,"Spatial Data Missing ⚠",VLOOKUP(L144,'G-3 Multipliers'!$L$3:$N$6,3,FALSE)))</f>
        <v/>
      </c>
      <c r="O144" s="275" t="str">
        <f t="shared" si="14"/>
        <v/>
      </c>
      <c r="P144" s="133"/>
      <c r="Q144" s="133"/>
      <c r="R144" s="295" t="str">
        <f t="shared" si="17"/>
        <v/>
      </c>
      <c r="S144" s="316" t="str">
        <f t="shared" si="18"/>
        <v/>
      </c>
      <c r="T144" s="300" t="str">
        <f>IFERROR(IF(S144="Check Data ⚠","Check Data ⚠",VLOOKUP(S144,'G-4 Temporal multipliers'!$A$4:$C$37,3,FALSE)),"")</f>
        <v/>
      </c>
      <c r="U144" s="298" t="str">
        <f>IF(F144="","",VLOOKUP(F144,'G-3 Multipliers'!$A$2:$E$134,2,FALSE))</f>
        <v/>
      </c>
      <c r="V144" s="295" t="str">
        <f t="shared" si="19"/>
        <v/>
      </c>
      <c r="W144" s="295" t="str">
        <f>IF(E144="","",IF(AND(V144="Standard difficulty applied",O144&gt;P144),U144,IF(AND(V144="Low Difficulty - only applicable if all habitat created before losses ⚠",P144&gt;=O144),"Low",VLOOKUP(F144,'G-3 Multipliers'!$A$2:$E$134,4,FALSE))))</f>
        <v/>
      </c>
      <c r="X144" s="299" t="str">
        <f>IFERROR(IF(E144="","",VLOOKUP(W144,'G-3 Multipliers'!$P$2:$Q$6,2,FALSE)),"")</f>
        <v/>
      </c>
      <c r="Y144" s="393"/>
      <c r="Z144" s="510" t="str">
        <f>IF(Y144="","",IF(VLOOKUP(Y144,'G-3 Multipliers'!$S$3:$T$10,2,FALSE)=0,"Spatial Data Missing ⚠",VLOOKUP(Y144,'G-3 Multipliers'!$S$3:$T$10,2,FALSE)))</f>
        <v/>
      </c>
      <c r="AA144" s="926" t="str">
        <f t="shared" si="15"/>
        <v/>
      </c>
      <c r="AB144" s="928" t="str">
        <f t="shared" si="20"/>
        <v/>
      </c>
      <c r="AC144" s="105"/>
      <c r="AD144" s="138"/>
      <c r="AE144" s="233"/>
      <c r="AF144" s="138"/>
      <c r="AG144" s="934"/>
      <c r="AJ144" s="40" t="str">
        <f t="shared" si="16"/>
        <v/>
      </c>
    </row>
    <row r="145" spans="1:36" ht="14">
      <c r="A145" s="30" t="str">
        <f>IFERROR(INDEX('G-8 Condition Look up'!$I$4:$I$135,MATCH(F145,'G-8 Condition Look up'!$A$4:$A$135,0)),"")</f>
        <v/>
      </c>
      <c r="B145" s="225">
        <v>135</v>
      </c>
      <c r="C145" s="66" t="str">
        <f>IFERROR(INDEX('G-1 All Habitats'!$AG$25:$AG$41,MATCH(D145,'G-1 All Habitats'!AF$25:AF$41,0)),"")</f>
        <v/>
      </c>
      <c r="D145" s="105"/>
      <c r="E145" s="138"/>
      <c r="F145" s="158" t="str">
        <f>IFERROR(INDEX('G-1 All Habitats'!$B$3:$B$136,MATCH(E145,'G-1 All Habitats'!$A$3:$A$136,0)),"")</f>
        <v/>
      </c>
      <c r="G145" s="233"/>
      <c r="H145" s="311" t="str">
        <f>IF(F145="","",VLOOKUP(F145,'G-1 All Habitats'!$B$2:$M$135,10,FALSE))</f>
        <v/>
      </c>
      <c r="I145" s="299" t="str">
        <f>IFERROR(VLOOKUP(H145,'G-1 All Habitats'!$V$3:$W$7,2,FALSE),"")</f>
        <v/>
      </c>
      <c r="J145" s="136"/>
      <c r="K145" s="299" t="str">
        <f>IFERROR(INDEX('G-8 Condition Look up'!$A$3:$H$135,MATCH(F145,'G-8 Condition Look up'!$A$3:$A$135,0),MATCH(J145,'G-8 Condition Look up'!$A$3:$H$3,0)),"")</f>
        <v/>
      </c>
      <c r="L145" s="101"/>
      <c r="M145" s="314" t="str">
        <f>IF(L145="","",IF(VLOOKUP(L145,'G-3 Multipliers'!$L$3:$N$6,2,FALSE)=0,"Spatial Data Missing ⚠",VLOOKUP(L145,'G-3 Multipliers'!$L$3:$N$6,2,FALSE)))</f>
        <v/>
      </c>
      <c r="N145" s="276" t="str">
        <f>IF(L145="","",IF(VLOOKUP(L145,'G-3 Multipliers'!$L$3:$N$6,3,FALSE)=0,"Spatial Data Missing ⚠",VLOOKUP(L145,'G-3 Multipliers'!$L$3:$N$6,3,FALSE)))</f>
        <v/>
      </c>
      <c r="O145" s="275" t="str">
        <f t="shared" si="14"/>
        <v/>
      </c>
      <c r="P145" s="133"/>
      <c r="Q145" s="133"/>
      <c r="R145" s="295" t="str">
        <f t="shared" si="17"/>
        <v/>
      </c>
      <c r="S145" s="316" t="str">
        <f t="shared" si="18"/>
        <v/>
      </c>
      <c r="T145" s="300" t="str">
        <f>IFERROR(IF(S145="Check Data ⚠","Check Data ⚠",VLOOKUP(S145,'G-4 Temporal multipliers'!$A$4:$C$37,3,FALSE)),"")</f>
        <v/>
      </c>
      <c r="U145" s="298" t="str">
        <f>IF(F145="","",VLOOKUP(F145,'G-3 Multipliers'!$A$2:$E$134,2,FALSE))</f>
        <v/>
      </c>
      <c r="V145" s="295" t="str">
        <f t="shared" si="19"/>
        <v/>
      </c>
      <c r="W145" s="295" t="str">
        <f>IF(E145="","",IF(AND(V145="Standard difficulty applied",O145&gt;P145),U145,IF(AND(V145="Low Difficulty - only applicable if all habitat created before losses ⚠",P145&gt;=O145),"Low",VLOOKUP(F145,'G-3 Multipliers'!$A$2:$E$134,4,FALSE))))</f>
        <v/>
      </c>
      <c r="X145" s="299" t="str">
        <f>IFERROR(IF(E145="","",VLOOKUP(W145,'G-3 Multipliers'!$P$2:$Q$6,2,FALSE)),"")</f>
        <v/>
      </c>
      <c r="Y145" s="393"/>
      <c r="Z145" s="510" t="str">
        <f>IF(Y145="","",IF(VLOOKUP(Y145,'G-3 Multipliers'!$S$3:$T$10,2,FALSE)=0,"Spatial Data Missing ⚠",VLOOKUP(Y145,'G-3 Multipliers'!$S$3:$T$10,2,FALSE)))</f>
        <v/>
      </c>
      <c r="AA145" s="926" t="str">
        <f t="shared" si="15"/>
        <v/>
      </c>
      <c r="AB145" s="928" t="str">
        <f t="shared" si="20"/>
        <v/>
      </c>
      <c r="AC145" s="105"/>
      <c r="AD145" s="138"/>
      <c r="AE145" s="233"/>
      <c r="AF145" s="138"/>
      <c r="AG145" s="934"/>
      <c r="AJ145" s="40" t="str">
        <f t="shared" si="16"/>
        <v/>
      </c>
    </row>
    <row r="146" spans="1:36" ht="14">
      <c r="A146" s="30" t="str">
        <f>IFERROR(INDEX('G-8 Condition Look up'!$I$4:$I$135,MATCH(F146,'G-8 Condition Look up'!$A$4:$A$135,0)),"")</f>
        <v/>
      </c>
      <c r="B146" s="225">
        <v>136</v>
      </c>
      <c r="C146" s="66" t="str">
        <f>IFERROR(INDEX('G-1 All Habitats'!$AG$25:$AG$41,MATCH(D146,'G-1 All Habitats'!AF$25:AF$41,0)),"")</f>
        <v/>
      </c>
      <c r="D146" s="105"/>
      <c r="E146" s="138"/>
      <c r="F146" s="158" t="str">
        <f>IFERROR(INDEX('G-1 All Habitats'!$B$3:$B$136,MATCH(E146,'G-1 All Habitats'!$A$3:$A$136,0)),"")</f>
        <v/>
      </c>
      <c r="G146" s="233"/>
      <c r="H146" s="311" t="str">
        <f>IF(F146="","",VLOOKUP(F146,'G-1 All Habitats'!$B$2:$M$135,10,FALSE))</f>
        <v/>
      </c>
      <c r="I146" s="299" t="str">
        <f>IFERROR(VLOOKUP(H146,'G-1 All Habitats'!$V$3:$W$7,2,FALSE),"")</f>
        <v/>
      </c>
      <c r="J146" s="136"/>
      <c r="K146" s="299" t="str">
        <f>IFERROR(INDEX('G-8 Condition Look up'!$A$3:$H$135,MATCH(F146,'G-8 Condition Look up'!$A$3:$A$135,0),MATCH(J146,'G-8 Condition Look up'!$A$3:$H$3,0)),"")</f>
        <v/>
      </c>
      <c r="L146" s="101"/>
      <c r="M146" s="314" t="str">
        <f>IF(L146="","",IF(VLOOKUP(L146,'G-3 Multipliers'!$L$3:$N$6,2,FALSE)=0,"Spatial Data Missing ⚠",VLOOKUP(L146,'G-3 Multipliers'!$L$3:$N$6,2,FALSE)))</f>
        <v/>
      </c>
      <c r="N146" s="276" t="str">
        <f>IF(L146="","",IF(VLOOKUP(L146,'G-3 Multipliers'!$L$3:$N$6,3,FALSE)=0,"Spatial Data Missing ⚠",VLOOKUP(L146,'G-3 Multipliers'!$L$3:$N$6,3,FALSE)))</f>
        <v/>
      </c>
      <c r="O146" s="275" t="str">
        <f t="shared" si="14"/>
        <v/>
      </c>
      <c r="P146" s="133"/>
      <c r="Q146" s="133"/>
      <c r="R146" s="295" t="str">
        <f t="shared" si="17"/>
        <v/>
      </c>
      <c r="S146" s="316" t="str">
        <f t="shared" si="18"/>
        <v/>
      </c>
      <c r="T146" s="300" t="str">
        <f>IFERROR(IF(S146="Check Data ⚠","Check Data ⚠",VLOOKUP(S146,'G-4 Temporal multipliers'!$A$4:$C$37,3,FALSE)),"")</f>
        <v/>
      </c>
      <c r="U146" s="298" t="str">
        <f>IF(F146="","",VLOOKUP(F146,'G-3 Multipliers'!$A$2:$E$134,2,FALSE))</f>
        <v/>
      </c>
      <c r="V146" s="295" t="str">
        <f t="shared" si="19"/>
        <v/>
      </c>
      <c r="W146" s="295" t="str">
        <f>IF(E146="","",IF(AND(V146="Standard difficulty applied",O146&gt;P146),U146,IF(AND(V146="Low Difficulty - only applicable if all habitat created before losses ⚠",P146&gt;=O146),"Low",VLOOKUP(F146,'G-3 Multipliers'!$A$2:$E$134,4,FALSE))))</f>
        <v/>
      </c>
      <c r="X146" s="299" t="str">
        <f>IFERROR(IF(E146="","",VLOOKUP(W146,'G-3 Multipliers'!$P$2:$Q$6,2,FALSE)),"")</f>
        <v/>
      </c>
      <c r="Y146" s="393"/>
      <c r="Z146" s="510" t="str">
        <f>IF(Y146="","",IF(VLOOKUP(Y146,'G-3 Multipliers'!$S$3:$T$10,2,FALSE)=0,"Spatial Data Missing ⚠",VLOOKUP(Y146,'G-3 Multipliers'!$S$3:$T$10,2,FALSE)))</f>
        <v/>
      </c>
      <c r="AA146" s="926" t="str">
        <f t="shared" si="15"/>
        <v/>
      </c>
      <c r="AB146" s="928" t="str">
        <f t="shared" si="20"/>
        <v/>
      </c>
      <c r="AC146" s="105"/>
      <c r="AD146" s="138"/>
      <c r="AE146" s="233"/>
      <c r="AF146" s="138"/>
      <c r="AG146" s="934"/>
      <c r="AJ146" s="40" t="str">
        <f t="shared" si="16"/>
        <v/>
      </c>
    </row>
    <row r="147" spans="1:36" ht="14">
      <c r="A147" s="30" t="str">
        <f>IFERROR(INDEX('G-8 Condition Look up'!$I$4:$I$135,MATCH(F147,'G-8 Condition Look up'!$A$4:$A$135,0)),"")</f>
        <v/>
      </c>
      <c r="B147" s="225">
        <v>137</v>
      </c>
      <c r="C147" s="66" t="str">
        <f>IFERROR(INDEX('G-1 All Habitats'!$AG$25:$AG$41,MATCH(D147,'G-1 All Habitats'!AF$25:AF$41,0)),"")</f>
        <v/>
      </c>
      <c r="D147" s="105"/>
      <c r="E147" s="138"/>
      <c r="F147" s="158" t="str">
        <f>IFERROR(INDEX('G-1 All Habitats'!$B$3:$B$136,MATCH(E147,'G-1 All Habitats'!$A$3:$A$136,0)),"")</f>
        <v/>
      </c>
      <c r="G147" s="233"/>
      <c r="H147" s="311" t="str">
        <f>IF(F147="","",VLOOKUP(F147,'G-1 All Habitats'!$B$2:$M$135,10,FALSE))</f>
        <v/>
      </c>
      <c r="I147" s="299" t="str">
        <f>IFERROR(VLOOKUP(H147,'G-1 All Habitats'!$V$3:$W$7,2,FALSE),"")</f>
        <v/>
      </c>
      <c r="J147" s="136"/>
      <c r="K147" s="299" t="str">
        <f>IFERROR(INDEX('G-8 Condition Look up'!$A$3:$H$135,MATCH(F147,'G-8 Condition Look up'!$A$3:$A$135,0),MATCH(J147,'G-8 Condition Look up'!$A$3:$H$3,0)),"")</f>
        <v/>
      </c>
      <c r="L147" s="101"/>
      <c r="M147" s="314" t="str">
        <f>IF(L147="","",IF(VLOOKUP(L147,'G-3 Multipliers'!$L$3:$N$6,2,FALSE)=0,"Spatial Data Missing ⚠",VLOOKUP(L147,'G-3 Multipliers'!$L$3:$N$6,2,FALSE)))</f>
        <v/>
      </c>
      <c r="N147" s="276" t="str">
        <f>IF(L147="","",IF(VLOOKUP(L147,'G-3 Multipliers'!$L$3:$N$6,3,FALSE)=0,"Spatial Data Missing ⚠",VLOOKUP(L147,'G-3 Multipliers'!$L$3:$N$6,3,FALSE)))</f>
        <v/>
      </c>
      <c r="O147" s="275" t="str">
        <f t="shared" si="14"/>
        <v/>
      </c>
      <c r="P147" s="133"/>
      <c r="Q147" s="133"/>
      <c r="R147" s="295" t="str">
        <f t="shared" si="17"/>
        <v/>
      </c>
      <c r="S147" s="316" t="str">
        <f t="shared" si="18"/>
        <v/>
      </c>
      <c r="T147" s="300" t="str">
        <f>IFERROR(IF(S147="Check Data ⚠","Check Data ⚠",VLOOKUP(S147,'G-4 Temporal multipliers'!$A$4:$C$37,3,FALSE)),"")</f>
        <v/>
      </c>
      <c r="U147" s="298" t="str">
        <f>IF(F147="","",VLOOKUP(F147,'G-3 Multipliers'!$A$2:$E$134,2,FALSE))</f>
        <v/>
      </c>
      <c r="V147" s="295" t="str">
        <f t="shared" si="19"/>
        <v/>
      </c>
      <c r="W147" s="295" t="str">
        <f>IF(E147="","",IF(AND(V147="Standard difficulty applied",O147&gt;P147),U147,IF(AND(V147="Low Difficulty - only applicable if all habitat created before losses ⚠",P147&gt;=O147),"Low",VLOOKUP(F147,'G-3 Multipliers'!$A$2:$E$134,4,FALSE))))</f>
        <v/>
      </c>
      <c r="X147" s="299" t="str">
        <f>IFERROR(IF(E147="","",VLOOKUP(W147,'G-3 Multipliers'!$P$2:$Q$6,2,FALSE)),"")</f>
        <v/>
      </c>
      <c r="Y147" s="393"/>
      <c r="Z147" s="510" t="str">
        <f>IF(Y147="","",IF(VLOOKUP(Y147,'G-3 Multipliers'!$S$3:$T$10,2,FALSE)=0,"Spatial Data Missing ⚠",VLOOKUP(Y147,'G-3 Multipliers'!$S$3:$T$10,2,FALSE)))</f>
        <v/>
      </c>
      <c r="AA147" s="926" t="str">
        <f t="shared" si="15"/>
        <v/>
      </c>
      <c r="AB147" s="928" t="str">
        <f t="shared" si="20"/>
        <v/>
      </c>
      <c r="AC147" s="105"/>
      <c r="AD147" s="138"/>
      <c r="AE147" s="233"/>
      <c r="AF147" s="138"/>
      <c r="AG147" s="934"/>
      <c r="AJ147" s="40" t="str">
        <f t="shared" si="16"/>
        <v/>
      </c>
    </row>
    <row r="148" spans="1:36" ht="14">
      <c r="A148" s="30" t="str">
        <f>IFERROR(INDEX('G-8 Condition Look up'!$I$4:$I$135,MATCH(F148,'G-8 Condition Look up'!$A$4:$A$135,0)),"")</f>
        <v/>
      </c>
      <c r="B148" s="225">
        <v>138</v>
      </c>
      <c r="C148" s="66" t="str">
        <f>IFERROR(INDEX('G-1 All Habitats'!$AG$25:$AG$41,MATCH(D148,'G-1 All Habitats'!AF$25:AF$41,0)),"")</f>
        <v/>
      </c>
      <c r="D148" s="105"/>
      <c r="E148" s="138"/>
      <c r="F148" s="158" t="str">
        <f>IFERROR(INDEX('G-1 All Habitats'!$B$3:$B$136,MATCH(E148,'G-1 All Habitats'!$A$3:$A$136,0)),"")</f>
        <v/>
      </c>
      <c r="G148" s="233"/>
      <c r="H148" s="311" t="str">
        <f>IF(F148="","",VLOOKUP(F148,'G-1 All Habitats'!$B$2:$M$135,10,FALSE))</f>
        <v/>
      </c>
      <c r="I148" s="299" t="str">
        <f>IFERROR(VLOOKUP(H148,'G-1 All Habitats'!$V$3:$W$7,2,FALSE),"")</f>
        <v/>
      </c>
      <c r="J148" s="136"/>
      <c r="K148" s="299" t="str">
        <f>IFERROR(INDEX('G-8 Condition Look up'!$A$3:$H$135,MATCH(F148,'G-8 Condition Look up'!$A$3:$A$135,0),MATCH(J148,'G-8 Condition Look up'!$A$3:$H$3,0)),"")</f>
        <v/>
      </c>
      <c r="L148" s="101"/>
      <c r="M148" s="314" t="str">
        <f>IF(L148="","",IF(VLOOKUP(L148,'G-3 Multipliers'!$L$3:$N$6,2,FALSE)=0,"Spatial Data Missing ⚠",VLOOKUP(L148,'G-3 Multipliers'!$L$3:$N$6,2,FALSE)))</f>
        <v/>
      </c>
      <c r="N148" s="276" t="str">
        <f>IF(L148="","",IF(VLOOKUP(L148,'G-3 Multipliers'!$L$3:$N$6,3,FALSE)=0,"Spatial Data Missing ⚠",VLOOKUP(L148,'G-3 Multipliers'!$L$3:$N$6,3,FALSE)))</f>
        <v/>
      </c>
      <c r="O148" s="275" t="str">
        <f t="shared" si="14"/>
        <v/>
      </c>
      <c r="P148" s="133"/>
      <c r="Q148" s="133"/>
      <c r="R148" s="295" t="str">
        <f t="shared" si="17"/>
        <v/>
      </c>
      <c r="S148" s="316" t="str">
        <f t="shared" si="18"/>
        <v/>
      </c>
      <c r="T148" s="300" t="str">
        <f>IFERROR(IF(S148="Check Data ⚠","Check Data ⚠",VLOOKUP(S148,'G-4 Temporal multipliers'!$A$4:$C$37,3,FALSE)),"")</f>
        <v/>
      </c>
      <c r="U148" s="298" t="str">
        <f>IF(F148="","",VLOOKUP(F148,'G-3 Multipliers'!$A$2:$E$134,2,FALSE))</f>
        <v/>
      </c>
      <c r="V148" s="295" t="str">
        <f t="shared" si="19"/>
        <v/>
      </c>
      <c r="W148" s="295" t="str">
        <f>IF(E148="","",IF(AND(V148="Standard difficulty applied",O148&gt;P148),U148,IF(AND(V148="Low Difficulty - only applicable if all habitat created before losses ⚠",P148&gt;=O148),"Low",VLOOKUP(F148,'G-3 Multipliers'!$A$2:$E$134,4,FALSE))))</f>
        <v/>
      </c>
      <c r="X148" s="299" t="str">
        <f>IFERROR(IF(E148="","",VLOOKUP(W148,'G-3 Multipliers'!$P$2:$Q$6,2,FALSE)),"")</f>
        <v/>
      </c>
      <c r="Y148" s="393"/>
      <c r="Z148" s="510" t="str">
        <f>IF(Y148="","",IF(VLOOKUP(Y148,'G-3 Multipliers'!$S$3:$T$10,2,FALSE)=0,"Spatial Data Missing ⚠",VLOOKUP(Y148,'G-3 Multipliers'!$S$3:$T$10,2,FALSE)))</f>
        <v/>
      </c>
      <c r="AA148" s="926" t="str">
        <f t="shared" si="15"/>
        <v/>
      </c>
      <c r="AB148" s="928" t="str">
        <f t="shared" si="20"/>
        <v/>
      </c>
      <c r="AC148" s="105"/>
      <c r="AD148" s="138"/>
      <c r="AE148" s="233"/>
      <c r="AF148" s="138"/>
      <c r="AG148" s="934"/>
      <c r="AJ148" s="40" t="str">
        <f t="shared" si="16"/>
        <v/>
      </c>
    </row>
    <row r="149" spans="1:36" ht="14">
      <c r="A149" s="30" t="str">
        <f>IFERROR(INDEX('G-8 Condition Look up'!$I$4:$I$135,MATCH(F149,'G-8 Condition Look up'!$A$4:$A$135,0)),"")</f>
        <v/>
      </c>
      <c r="B149" s="225">
        <v>139</v>
      </c>
      <c r="C149" s="66" t="str">
        <f>IFERROR(INDEX('G-1 All Habitats'!$AG$25:$AG$41,MATCH(D149,'G-1 All Habitats'!AF$25:AF$41,0)),"")</f>
        <v/>
      </c>
      <c r="D149" s="105"/>
      <c r="E149" s="138"/>
      <c r="F149" s="158" t="str">
        <f>IFERROR(INDEX('G-1 All Habitats'!$B$3:$B$136,MATCH(E149,'G-1 All Habitats'!$A$3:$A$136,0)),"")</f>
        <v/>
      </c>
      <c r="G149" s="233"/>
      <c r="H149" s="311" t="str">
        <f>IF(F149="","",VLOOKUP(F149,'G-1 All Habitats'!$B$2:$M$135,10,FALSE))</f>
        <v/>
      </c>
      <c r="I149" s="299" t="str">
        <f>IFERROR(VLOOKUP(H149,'G-1 All Habitats'!$V$3:$W$7,2,FALSE),"")</f>
        <v/>
      </c>
      <c r="J149" s="136"/>
      <c r="K149" s="299" t="str">
        <f>IFERROR(INDEX('G-8 Condition Look up'!$A$3:$H$135,MATCH(F149,'G-8 Condition Look up'!$A$3:$A$135,0),MATCH(J149,'G-8 Condition Look up'!$A$3:$H$3,0)),"")</f>
        <v/>
      </c>
      <c r="L149" s="101"/>
      <c r="M149" s="314" t="str">
        <f>IF(L149="","",IF(VLOOKUP(L149,'G-3 Multipliers'!$L$3:$N$6,2,FALSE)=0,"Spatial Data Missing ⚠",VLOOKUP(L149,'G-3 Multipliers'!$L$3:$N$6,2,FALSE)))</f>
        <v/>
      </c>
      <c r="N149" s="276" t="str">
        <f>IF(L149="","",IF(VLOOKUP(L149,'G-3 Multipliers'!$L$3:$N$6,3,FALSE)=0,"Spatial Data Missing ⚠",VLOOKUP(L149,'G-3 Multipliers'!$L$3:$N$6,3,FALSE)))</f>
        <v/>
      </c>
      <c r="O149" s="275" t="str">
        <f t="shared" si="14"/>
        <v/>
      </c>
      <c r="P149" s="133"/>
      <c r="Q149" s="133"/>
      <c r="R149" s="295" t="str">
        <f t="shared" si="17"/>
        <v/>
      </c>
      <c r="S149" s="316" t="str">
        <f t="shared" si="18"/>
        <v/>
      </c>
      <c r="T149" s="300" t="str">
        <f>IFERROR(IF(S149="Check Data ⚠","Check Data ⚠",VLOOKUP(S149,'G-4 Temporal multipliers'!$A$4:$C$37,3,FALSE)),"")</f>
        <v/>
      </c>
      <c r="U149" s="298" t="str">
        <f>IF(F149="","",VLOOKUP(F149,'G-3 Multipliers'!$A$2:$E$134,2,FALSE))</f>
        <v/>
      </c>
      <c r="V149" s="295" t="str">
        <f t="shared" si="19"/>
        <v/>
      </c>
      <c r="W149" s="295" t="str">
        <f>IF(E149="","",IF(AND(V149="Standard difficulty applied",O149&gt;P149),U149,IF(AND(V149="Low Difficulty - only applicable if all habitat created before losses ⚠",P149&gt;=O149),"Low",VLOOKUP(F149,'G-3 Multipliers'!$A$2:$E$134,4,FALSE))))</f>
        <v/>
      </c>
      <c r="X149" s="299" t="str">
        <f>IFERROR(IF(E149="","",VLOOKUP(W149,'G-3 Multipliers'!$P$2:$Q$6,2,FALSE)),"")</f>
        <v/>
      </c>
      <c r="Y149" s="393"/>
      <c r="Z149" s="510" t="str">
        <f>IF(Y149="","",IF(VLOOKUP(Y149,'G-3 Multipliers'!$S$3:$T$10,2,FALSE)=0,"Spatial Data Missing ⚠",VLOOKUP(Y149,'G-3 Multipliers'!$S$3:$T$10,2,FALSE)))</f>
        <v/>
      </c>
      <c r="AA149" s="926" t="str">
        <f t="shared" si="15"/>
        <v/>
      </c>
      <c r="AB149" s="928" t="str">
        <f t="shared" si="20"/>
        <v/>
      </c>
      <c r="AC149" s="105"/>
      <c r="AD149" s="138"/>
      <c r="AE149" s="233"/>
      <c r="AF149" s="138"/>
      <c r="AG149" s="934"/>
      <c r="AJ149" s="40" t="str">
        <f t="shared" si="16"/>
        <v/>
      </c>
    </row>
    <row r="150" spans="1:36" ht="14">
      <c r="A150" s="30" t="str">
        <f>IFERROR(INDEX('G-8 Condition Look up'!$I$4:$I$135,MATCH(F150,'G-8 Condition Look up'!$A$4:$A$135,0)),"")</f>
        <v/>
      </c>
      <c r="B150" s="225">
        <v>140</v>
      </c>
      <c r="C150" s="66" t="str">
        <f>IFERROR(INDEX('G-1 All Habitats'!$AG$25:$AG$41,MATCH(D150,'G-1 All Habitats'!AF$25:AF$41,0)),"")</f>
        <v/>
      </c>
      <c r="D150" s="105"/>
      <c r="E150" s="138"/>
      <c r="F150" s="158" t="str">
        <f>IFERROR(INDEX('G-1 All Habitats'!$B$3:$B$136,MATCH(E150,'G-1 All Habitats'!$A$3:$A$136,0)),"")</f>
        <v/>
      </c>
      <c r="G150" s="233"/>
      <c r="H150" s="311" t="str">
        <f>IF(F150="","",VLOOKUP(F150,'G-1 All Habitats'!$B$2:$M$135,10,FALSE))</f>
        <v/>
      </c>
      <c r="I150" s="299" t="str">
        <f>IFERROR(VLOOKUP(H150,'G-1 All Habitats'!$V$3:$W$7,2,FALSE),"")</f>
        <v/>
      </c>
      <c r="J150" s="136"/>
      <c r="K150" s="299" t="str">
        <f>IFERROR(INDEX('G-8 Condition Look up'!$A$3:$H$135,MATCH(F150,'G-8 Condition Look up'!$A$3:$A$135,0),MATCH(J150,'G-8 Condition Look up'!$A$3:$H$3,0)),"")</f>
        <v/>
      </c>
      <c r="L150" s="101"/>
      <c r="M150" s="314" t="str">
        <f>IF(L150="","",IF(VLOOKUP(L150,'G-3 Multipliers'!$L$3:$N$6,2,FALSE)=0,"Spatial Data Missing ⚠",VLOOKUP(L150,'G-3 Multipliers'!$L$3:$N$6,2,FALSE)))</f>
        <v/>
      </c>
      <c r="N150" s="276" t="str">
        <f>IF(L150="","",IF(VLOOKUP(L150,'G-3 Multipliers'!$L$3:$N$6,3,FALSE)=0,"Spatial Data Missing ⚠",VLOOKUP(L150,'G-3 Multipliers'!$L$3:$N$6,3,FALSE)))</f>
        <v/>
      </c>
      <c r="O150" s="275" t="str">
        <f t="shared" si="14"/>
        <v/>
      </c>
      <c r="P150" s="133"/>
      <c r="Q150" s="133"/>
      <c r="R150" s="295" t="str">
        <f t="shared" si="17"/>
        <v/>
      </c>
      <c r="S150" s="316" t="str">
        <f t="shared" si="18"/>
        <v/>
      </c>
      <c r="T150" s="300" t="str">
        <f>IFERROR(IF(S150="Check Data ⚠","Check Data ⚠",VLOOKUP(S150,'G-4 Temporal multipliers'!$A$4:$C$37,3,FALSE)),"")</f>
        <v/>
      </c>
      <c r="U150" s="298" t="str">
        <f>IF(F150="","",VLOOKUP(F150,'G-3 Multipliers'!$A$2:$E$134,2,FALSE))</f>
        <v/>
      </c>
      <c r="V150" s="295" t="str">
        <f t="shared" si="19"/>
        <v/>
      </c>
      <c r="W150" s="295" t="str">
        <f>IF(E150="","",IF(AND(V150="Standard difficulty applied",O150&gt;P150),U150,IF(AND(V150="Low Difficulty - only applicable if all habitat created before losses ⚠",P150&gt;=O150),"Low",VLOOKUP(F150,'G-3 Multipliers'!$A$2:$E$134,4,FALSE))))</f>
        <v/>
      </c>
      <c r="X150" s="299" t="str">
        <f>IFERROR(IF(E150="","",VLOOKUP(W150,'G-3 Multipliers'!$P$2:$Q$6,2,FALSE)),"")</f>
        <v/>
      </c>
      <c r="Y150" s="393"/>
      <c r="Z150" s="510" t="str">
        <f>IF(Y150="","",IF(VLOOKUP(Y150,'G-3 Multipliers'!$S$3:$T$10,2,FALSE)=0,"Spatial Data Missing ⚠",VLOOKUP(Y150,'G-3 Multipliers'!$S$3:$T$10,2,FALSE)))</f>
        <v/>
      </c>
      <c r="AA150" s="926" t="str">
        <f t="shared" si="15"/>
        <v/>
      </c>
      <c r="AB150" s="928" t="str">
        <f t="shared" si="20"/>
        <v/>
      </c>
      <c r="AC150" s="105"/>
      <c r="AD150" s="138"/>
      <c r="AE150" s="233"/>
      <c r="AF150" s="138"/>
      <c r="AG150" s="934"/>
      <c r="AJ150" s="40" t="str">
        <f t="shared" si="16"/>
        <v/>
      </c>
    </row>
    <row r="151" spans="1:36" ht="14">
      <c r="A151" s="30" t="str">
        <f>IFERROR(INDEX('G-8 Condition Look up'!$I$4:$I$135,MATCH(F151,'G-8 Condition Look up'!$A$4:$A$135,0)),"")</f>
        <v/>
      </c>
      <c r="B151" s="225">
        <v>141</v>
      </c>
      <c r="C151" s="66" t="str">
        <f>IFERROR(INDEX('G-1 All Habitats'!$AG$25:$AG$41,MATCH(D151,'G-1 All Habitats'!AF$25:AF$41,0)),"")</f>
        <v/>
      </c>
      <c r="D151" s="105"/>
      <c r="E151" s="138"/>
      <c r="F151" s="158" t="str">
        <f>IFERROR(INDEX('G-1 All Habitats'!$B$3:$B$136,MATCH(E151,'G-1 All Habitats'!$A$3:$A$136,0)),"")</f>
        <v/>
      </c>
      <c r="G151" s="233"/>
      <c r="H151" s="311" t="str">
        <f>IF(F151="","",VLOOKUP(F151,'G-1 All Habitats'!$B$2:$M$135,10,FALSE))</f>
        <v/>
      </c>
      <c r="I151" s="299" t="str">
        <f>IFERROR(VLOOKUP(H151,'G-1 All Habitats'!$V$3:$W$7,2,FALSE),"")</f>
        <v/>
      </c>
      <c r="J151" s="136"/>
      <c r="K151" s="299" t="str">
        <f>IFERROR(INDEX('G-8 Condition Look up'!$A$3:$H$135,MATCH(F151,'G-8 Condition Look up'!$A$3:$A$135,0),MATCH(J151,'G-8 Condition Look up'!$A$3:$H$3,0)),"")</f>
        <v/>
      </c>
      <c r="L151" s="101"/>
      <c r="M151" s="314" t="str">
        <f>IF(L151="","",IF(VLOOKUP(L151,'G-3 Multipliers'!$L$3:$N$6,2,FALSE)=0,"Spatial Data Missing ⚠",VLOOKUP(L151,'G-3 Multipliers'!$L$3:$N$6,2,FALSE)))</f>
        <v/>
      </c>
      <c r="N151" s="276" t="str">
        <f>IF(L151="","",IF(VLOOKUP(L151,'G-3 Multipliers'!$L$3:$N$6,3,FALSE)=0,"Spatial Data Missing ⚠",VLOOKUP(L151,'G-3 Multipliers'!$L$3:$N$6,3,FALSE)))</f>
        <v/>
      </c>
      <c r="O151" s="275" t="str">
        <f t="shared" si="14"/>
        <v/>
      </c>
      <c r="P151" s="133"/>
      <c r="Q151" s="133"/>
      <c r="R151" s="295" t="str">
        <f t="shared" si="17"/>
        <v/>
      </c>
      <c r="S151" s="316" t="str">
        <f t="shared" si="18"/>
        <v/>
      </c>
      <c r="T151" s="300" t="str">
        <f>IFERROR(IF(S151="Check Data ⚠","Check Data ⚠",VLOOKUP(S151,'G-4 Temporal multipliers'!$A$4:$C$37,3,FALSE)),"")</f>
        <v/>
      </c>
      <c r="U151" s="298" t="str">
        <f>IF(F151="","",VLOOKUP(F151,'G-3 Multipliers'!$A$2:$E$134,2,FALSE))</f>
        <v/>
      </c>
      <c r="V151" s="295" t="str">
        <f t="shared" si="19"/>
        <v/>
      </c>
      <c r="W151" s="295" t="str">
        <f>IF(E151="","",IF(AND(V151="Standard difficulty applied",O151&gt;P151),U151,IF(AND(V151="Low Difficulty - only applicable if all habitat created before losses ⚠",P151&gt;=O151),"Low",VLOOKUP(F151,'G-3 Multipliers'!$A$2:$E$134,4,FALSE))))</f>
        <v/>
      </c>
      <c r="X151" s="299" t="str">
        <f>IFERROR(IF(E151="","",VLOOKUP(W151,'G-3 Multipliers'!$P$2:$Q$6,2,FALSE)),"")</f>
        <v/>
      </c>
      <c r="Y151" s="393"/>
      <c r="Z151" s="510" t="str">
        <f>IF(Y151="","",IF(VLOOKUP(Y151,'G-3 Multipliers'!$S$3:$T$10,2,FALSE)=0,"Spatial Data Missing ⚠",VLOOKUP(Y151,'G-3 Multipliers'!$S$3:$T$10,2,FALSE)))</f>
        <v/>
      </c>
      <c r="AA151" s="926" t="str">
        <f t="shared" si="15"/>
        <v/>
      </c>
      <c r="AB151" s="928" t="str">
        <f t="shared" si="20"/>
        <v/>
      </c>
      <c r="AC151" s="105"/>
      <c r="AD151" s="138"/>
      <c r="AE151" s="233"/>
      <c r="AF151" s="138"/>
      <c r="AG151" s="934"/>
      <c r="AJ151" s="40" t="str">
        <f t="shared" si="16"/>
        <v/>
      </c>
    </row>
    <row r="152" spans="1:36" ht="14">
      <c r="A152" s="30" t="str">
        <f>IFERROR(INDEX('G-8 Condition Look up'!$I$4:$I$135,MATCH(F152,'G-8 Condition Look up'!$A$4:$A$135,0)),"")</f>
        <v/>
      </c>
      <c r="B152" s="225">
        <v>142</v>
      </c>
      <c r="C152" s="66" t="str">
        <f>IFERROR(INDEX('G-1 All Habitats'!$AG$25:$AG$41,MATCH(D152,'G-1 All Habitats'!AF$25:AF$41,0)),"")</f>
        <v/>
      </c>
      <c r="D152" s="105"/>
      <c r="E152" s="138"/>
      <c r="F152" s="158" t="str">
        <f>IFERROR(INDEX('G-1 All Habitats'!$B$3:$B$136,MATCH(E152,'G-1 All Habitats'!$A$3:$A$136,0)),"")</f>
        <v/>
      </c>
      <c r="G152" s="233"/>
      <c r="H152" s="311" t="str">
        <f>IF(F152="","",VLOOKUP(F152,'G-1 All Habitats'!$B$2:$M$135,10,FALSE))</f>
        <v/>
      </c>
      <c r="I152" s="299" t="str">
        <f>IFERROR(VLOOKUP(H152,'G-1 All Habitats'!$V$3:$W$7,2,FALSE),"")</f>
        <v/>
      </c>
      <c r="J152" s="136"/>
      <c r="K152" s="299" t="str">
        <f>IFERROR(INDEX('G-8 Condition Look up'!$A$3:$H$135,MATCH(F152,'G-8 Condition Look up'!$A$3:$A$135,0),MATCH(J152,'G-8 Condition Look up'!$A$3:$H$3,0)),"")</f>
        <v/>
      </c>
      <c r="L152" s="101"/>
      <c r="M152" s="314" t="str">
        <f>IF(L152="","",IF(VLOOKUP(L152,'G-3 Multipliers'!$L$3:$N$6,2,FALSE)=0,"Spatial Data Missing ⚠",VLOOKUP(L152,'G-3 Multipliers'!$L$3:$N$6,2,FALSE)))</f>
        <v/>
      </c>
      <c r="N152" s="276" t="str">
        <f>IF(L152="","",IF(VLOOKUP(L152,'G-3 Multipliers'!$L$3:$N$6,3,FALSE)=0,"Spatial Data Missing ⚠",VLOOKUP(L152,'G-3 Multipliers'!$L$3:$N$6,3,FALSE)))</f>
        <v/>
      </c>
      <c r="O152" s="275" t="str">
        <f t="shared" si="14"/>
        <v/>
      </c>
      <c r="P152" s="133"/>
      <c r="Q152" s="133"/>
      <c r="R152" s="295" t="str">
        <f t="shared" si="17"/>
        <v/>
      </c>
      <c r="S152" s="316" t="str">
        <f t="shared" si="18"/>
        <v/>
      </c>
      <c r="T152" s="300" t="str">
        <f>IFERROR(IF(S152="Check Data ⚠","Check Data ⚠",VLOOKUP(S152,'G-4 Temporal multipliers'!$A$4:$C$37,3,FALSE)),"")</f>
        <v/>
      </c>
      <c r="U152" s="298" t="str">
        <f>IF(F152="","",VLOOKUP(F152,'G-3 Multipliers'!$A$2:$E$134,2,FALSE))</f>
        <v/>
      </c>
      <c r="V152" s="295" t="str">
        <f t="shared" si="19"/>
        <v/>
      </c>
      <c r="W152" s="295" t="str">
        <f>IF(E152="","",IF(AND(V152="Standard difficulty applied",O152&gt;P152),U152,IF(AND(V152="Low Difficulty - only applicable if all habitat created before losses ⚠",P152&gt;=O152),"Low",VLOOKUP(F152,'G-3 Multipliers'!$A$2:$E$134,4,FALSE))))</f>
        <v/>
      </c>
      <c r="X152" s="299" t="str">
        <f>IFERROR(IF(E152="","",VLOOKUP(W152,'G-3 Multipliers'!$P$2:$Q$6,2,FALSE)),"")</f>
        <v/>
      </c>
      <c r="Y152" s="393"/>
      <c r="Z152" s="510" t="str">
        <f>IF(Y152="","",IF(VLOOKUP(Y152,'G-3 Multipliers'!$S$3:$T$10,2,FALSE)=0,"Spatial Data Missing ⚠",VLOOKUP(Y152,'G-3 Multipliers'!$S$3:$T$10,2,FALSE)))</f>
        <v/>
      </c>
      <c r="AA152" s="926" t="str">
        <f t="shared" si="15"/>
        <v/>
      </c>
      <c r="AB152" s="928" t="str">
        <f t="shared" si="20"/>
        <v/>
      </c>
      <c r="AC152" s="105"/>
      <c r="AD152" s="138"/>
      <c r="AE152" s="233"/>
      <c r="AF152" s="138"/>
      <c r="AG152" s="934"/>
      <c r="AJ152" s="40" t="str">
        <f t="shared" si="16"/>
        <v/>
      </c>
    </row>
    <row r="153" spans="1:36" ht="14">
      <c r="A153" s="30" t="str">
        <f>IFERROR(INDEX('G-8 Condition Look up'!$I$4:$I$135,MATCH(F153,'G-8 Condition Look up'!$A$4:$A$135,0)),"")</f>
        <v/>
      </c>
      <c r="B153" s="225">
        <v>143</v>
      </c>
      <c r="C153" s="66" t="str">
        <f>IFERROR(INDEX('G-1 All Habitats'!$AG$25:$AG$41,MATCH(D153,'G-1 All Habitats'!AF$25:AF$41,0)),"")</f>
        <v/>
      </c>
      <c r="D153" s="105"/>
      <c r="E153" s="138"/>
      <c r="F153" s="158" t="str">
        <f>IFERROR(INDEX('G-1 All Habitats'!$B$3:$B$136,MATCH(E153,'G-1 All Habitats'!$A$3:$A$136,0)),"")</f>
        <v/>
      </c>
      <c r="G153" s="233"/>
      <c r="H153" s="311" t="str">
        <f>IF(F153="","",VLOOKUP(F153,'G-1 All Habitats'!$B$2:$M$135,10,FALSE))</f>
        <v/>
      </c>
      <c r="I153" s="299" t="str">
        <f>IFERROR(VLOOKUP(H153,'G-1 All Habitats'!$V$3:$W$7,2,FALSE),"")</f>
        <v/>
      </c>
      <c r="J153" s="136"/>
      <c r="K153" s="299" t="str">
        <f>IFERROR(INDEX('G-8 Condition Look up'!$A$3:$H$135,MATCH(F153,'G-8 Condition Look up'!$A$3:$A$135,0),MATCH(J153,'G-8 Condition Look up'!$A$3:$H$3,0)),"")</f>
        <v/>
      </c>
      <c r="L153" s="101"/>
      <c r="M153" s="314" t="str">
        <f>IF(L153="","",IF(VLOOKUP(L153,'G-3 Multipliers'!$L$3:$N$6,2,FALSE)=0,"Spatial Data Missing ⚠",VLOOKUP(L153,'G-3 Multipliers'!$L$3:$N$6,2,FALSE)))</f>
        <v/>
      </c>
      <c r="N153" s="276" t="str">
        <f>IF(L153="","",IF(VLOOKUP(L153,'G-3 Multipliers'!$L$3:$N$6,3,FALSE)=0,"Spatial Data Missing ⚠",VLOOKUP(L153,'G-3 Multipliers'!$L$3:$N$6,3,FALSE)))</f>
        <v/>
      </c>
      <c r="O153" s="275" t="str">
        <f t="shared" si="14"/>
        <v/>
      </c>
      <c r="P153" s="133"/>
      <c r="Q153" s="133"/>
      <c r="R153" s="295" t="str">
        <f t="shared" si="17"/>
        <v/>
      </c>
      <c r="S153" s="316" t="str">
        <f t="shared" si="18"/>
        <v/>
      </c>
      <c r="T153" s="300" t="str">
        <f>IFERROR(IF(S153="Check Data ⚠","Check Data ⚠",VLOOKUP(S153,'G-4 Temporal multipliers'!$A$4:$C$37,3,FALSE)),"")</f>
        <v/>
      </c>
      <c r="U153" s="298" t="str">
        <f>IF(F153="","",VLOOKUP(F153,'G-3 Multipliers'!$A$2:$E$134,2,FALSE))</f>
        <v/>
      </c>
      <c r="V153" s="295" t="str">
        <f t="shared" si="19"/>
        <v/>
      </c>
      <c r="W153" s="295" t="str">
        <f>IF(E153="","",IF(AND(V153="Standard difficulty applied",O153&gt;P153),U153,IF(AND(V153="Low Difficulty - only applicable if all habitat created before losses ⚠",P153&gt;=O153),"Low",VLOOKUP(F153,'G-3 Multipliers'!$A$2:$E$134,4,FALSE))))</f>
        <v/>
      </c>
      <c r="X153" s="299" t="str">
        <f>IFERROR(IF(E153="","",VLOOKUP(W153,'G-3 Multipliers'!$P$2:$Q$6,2,FALSE)),"")</f>
        <v/>
      </c>
      <c r="Y153" s="393"/>
      <c r="Z153" s="510" t="str">
        <f>IF(Y153="","",IF(VLOOKUP(Y153,'G-3 Multipliers'!$S$3:$T$10,2,FALSE)=0,"Spatial Data Missing ⚠",VLOOKUP(Y153,'G-3 Multipliers'!$S$3:$T$10,2,FALSE)))</f>
        <v/>
      </c>
      <c r="AA153" s="926" t="str">
        <f t="shared" si="15"/>
        <v/>
      </c>
      <c r="AB153" s="928" t="str">
        <f t="shared" si="20"/>
        <v/>
      </c>
      <c r="AC153" s="105"/>
      <c r="AD153" s="138"/>
      <c r="AE153" s="233"/>
      <c r="AF153" s="138"/>
      <c r="AG153" s="934"/>
      <c r="AJ153" s="40" t="str">
        <f t="shared" si="16"/>
        <v/>
      </c>
    </row>
    <row r="154" spans="1:36" ht="14">
      <c r="A154" s="30" t="str">
        <f>IFERROR(INDEX('G-8 Condition Look up'!$I$4:$I$135,MATCH(F154,'G-8 Condition Look up'!$A$4:$A$135,0)),"")</f>
        <v/>
      </c>
      <c r="B154" s="225">
        <v>144</v>
      </c>
      <c r="C154" s="66" t="str">
        <f>IFERROR(INDEX('G-1 All Habitats'!$AG$25:$AG$41,MATCH(D154,'G-1 All Habitats'!AF$25:AF$41,0)),"")</f>
        <v/>
      </c>
      <c r="D154" s="105"/>
      <c r="E154" s="138"/>
      <c r="F154" s="158" t="str">
        <f>IFERROR(INDEX('G-1 All Habitats'!$B$3:$B$136,MATCH(E154,'G-1 All Habitats'!$A$3:$A$136,0)),"")</f>
        <v/>
      </c>
      <c r="G154" s="233"/>
      <c r="H154" s="311" t="str">
        <f>IF(F154="","",VLOOKUP(F154,'G-1 All Habitats'!$B$2:$M$135,10,FALSE))</f>
        <v/>
      </c>
      <c r="I154" s="299" t="str">
        <f>IFERROR(VLOOKUP(H154,'G-1 All Habitats'!$V$3:$W$7,2,FALSE),"")</f>
        <v/>
      </c>
      <c r="J154" s="136"/>
      <c r="K154" s="299" t="str">
        <f>IFERROR(INDEX('G-8 Condition Look up'!$A$3:$H$135,MATCH(F154,'G-8 Condition Look up'!$A$3:$A$135,0),MATCH(J154,'G-8 Condition Look up'!$A$3:$H$3,0)),"")</f>
        <v/>
      </c>
      <c r="L154" s="101"/>
      <c r="M154" s="314" t="str">
        <f>IF(L154="","",IF(VLOOKUP(L154,'G-3 Multipliers'!$L$3:$N$6,2,FALSE)=0,"Spatial Data Missing ⚠",VLOOKUP(L154,'G-3 Multipliers'!$L$3:$N$6,2,FALSE)))</f>
        <v/>
      </c>
      <c r="N154" s="276" t="str">
        <f>IF(L154="","",IF(VLOOKUP(L154,'G-3 Multipliers'!$L$3:$N$6,3,FALSE)=0,"Spatial Data Missing ⚠",VLOOKUP(L154,'G-3 Multipliers'!$L$3:$N$6,3,FALSE)))</f>
        <v/>
      </c>
      <c r="O154" s="275" t="str">
        <f t="shared" si="14"/>
        <v/>
      </c>
      <c r="P154" s="133"/>
      <c r="Q154" s="133"/>
      <c r="R154" s="295" t="str">
        <f t="shared" si="17"/>
        <v/>
      </c>
      <c r="S154" s="316" t="str">
        <f t="shared" si="18"/>
        <v/>
      </c>
      <c r="T154" s="300" t="str">
        <f>IFERROR(IF(S154="Check Data ⚠","Check Data ⚠",VLOOKUP(S154,'G-4 Temporal multipliers'!$A$4:$C$37,3,FALSE)),"")</f>
        <v/>
      </c>
      <c r="U154" s="298" t="str">
        <f>IF(F154="","",VLOOKUP(F154,'G-3 Multipliers'!$A$2:$E$134,2,FALSE))</f>
        <v/>
      </c>
      <c r="V154" s="295" t="str">
        <f t="shared" si="19"/>
        <v/>
      </c>
      <c r="W154" s="295" t="str">
        <f>IF(E154="","",IF(AND(V154="Standard difficulty applied",O154&gt;P154),U154,IF(AND(V154="Low Difficulty - only applicable if all habitat created before losses ⚠",P154&gt;=O154),"Low",VLOOKUP(F154,'G-3 Multipliers'!$A$2:$E$134,4,FALSE))))</f>
        <v/>
      </c>
      <c r="X154" s="299" t="str">
        <f>IFERROR(IF(E154="","",VLOOKUP(W154,'G-3 Multipliers'!$P$2:$Q$6,2,FALSE)),"")</f>
        <v/>
      </c>
      <c r="Y154" s="393"/>
      <c r="Z154" s="510" t="str">
        <f>IF(Y154="","",IF(VLOOKUP(Y154,'G-3 Multipliers'!$S$3:$T$10,2,FALSE)=0,"Spatial Data Missing ⚠",VLOOKUP(Y154,'G-3 Multipliers'!$S$3:$T$10,2,FALSE)))</f>
        <v/>
      </c>
      <c r="AA154" s="926" t="str">
        <f t="shared" si="15"/>
        <v/>
      </c>
      <c r="AB154" s="928" t="str">
        <f t="shared" si="20"/>
        <v/>
      </c>
      <c r="AC154" s="105"/>
      <c r="AD154" s="138"/>
      <c r="AE154" s="233"/>
      <c r="AF154" s="138"/>
      <c r="AG154" s="934"/>
      <c r="AJ154" s="40" t="str">
        <f t="shared" si="16"/>
        <v/>
      </c>
    </row>
    <row r="155" spans="1:36" ht="14">
      <c r="A155" s="30" t="str">
        <f>IFERROR(INDEX('G-8 Condition Look up'!$I$4:$I$135,MATCH(F155,'G-8 Condition Look up'!$A$4:$A$135,0)),"")</f>
        <v/>
      </c>
      <c r="B155" s="225">
        <v>145</v>
      </c>
      <c r="C155" s="66" t="str">
        <f>IFERROR(INDEX('G-1 All Habitats'!$AG$25:$AG$41,MATCH(D155,'G-1 All Habitats'!AF$25:AF$41,0)),"")</f>
        <v/>
      </c>
      <c r="D155" s="105"/>
      <c r="E155" s="138"/>
      <c r="F155" s="158" t="str">
        <f>IFERROR(INDEX('G-1 All Habitats'!$B$3:$B$136,MATCH(E155,'G-1 All Habitats'!$A$3:$A$136,0)),"")</f>
        <v/>
      </c>
      <c r="G155" s="233"/>
      <c r="H155" s="311" t="str">
        <f>IF(F155="","",VLOOKUP(F155,'G-1 All Habitats'!$B$2:$M$135,10,FALSE))</f>
        <v/>
      </c>
      <c r="I155" s="299" t="str">
        <f>IFERROR(VLOOKUP(H155,'G-1 All Habitats'!$V$3:$W$7,2,FALSE),"")</f>
        <v/>
      </c>
      <c r="J155" s="136"/>
      <c r="K155" s="299" t="str">
        <f>IFERROR(INDEX('G-8 Condition Look up'!$A$3:$H$135,MATCH(F155,'G-8 Condition Look up'!$A$3:$A$135,0),MATCH(J155,'G-8 Condition Look up'!$A$3:$H$3,0)),"")</f>
        <v/>
      </c>
      <c r="L155" s="101"/>
      <c r="M155" s="314" t="str">
        <f>IF(L155="","",IF(VLOOKUP(L155,'G-3 Multipliers'!$L$3:$N$6,2,FALSE)=0,"Spatial Data Missing ⚠",VLOOKUP(L155,'G-3 Multipliers'!$L$3:$N$6,2,FALSE)))</f>
        <v/>
      </c>
      <c r="N155" s="276" t="str">
        <f>IF(L155="","",IF(VLOOKUP(L155,'G-3 Multipliers'!$L$3:$N$6,3,FALSE)=0,"Spatial Data Missing ⚠",VLOOKUP(L155,'G-3 Multipliers'!$L$3:$N$6,3,FALSE)))</f>
        <v/>
      </c>
      <c r="O155" s="275" t="str">
        <f t="shared" si="14"/>
        <v/>
      </c>
      <c r="P155" s="133"/>
      <c r="Q155" s="133"/>
      <c r="R155" s="295" t="str">
        <f t="shared" si="17"/>
        <v/>
      </c>
      <c r="S155" s="316" t="str">
        <f t="shared" si="18"/>
        <v/>
      </c>
      <c r="T155" s="300" t="str">
        <f>IFERROR(IF(S155="Check Data ⚠","Check Data ⚠",VLOOKUP(S155,'G-4 Temporal multipliers'!$A$4:$C$37,3,FALSE)),"")</f>
        <v/>
      </c>
      <c r="U155" s="298" t="str">
        <f>IF(F155="","",VLOOKUP(F155,'G-3 Multipliers'!$A$2:$E$134,2,FALSE))</f>
        <v/>
      </c>
      <c r="V155" s="295" t="str">
        <f t="shared" si="19"/>
        <v/>
      </c>
      <c r="W155" s="295" t="str">
        <f>IF(E155="","",IF(AND(V155="Standard difficulty applied",O155&gt;P155),U155,IF(AND(V155="Low Difficulty - only applicable if all habitat created before losses ⚠",P155&gt;=O155),"Low",VLOOKUP(F155,'G-3 Multipliers'!$A$2:$E$134,4,FALSE))))</f>
        <v/>
      </c>
      <c r="X155" s="299" t="str">
        <f>IFERROR(IF(E155="","",VLOOKUP(W155,'G-3 Multipliers'!$P$2:$Q$6,2,FALSE)),"")</f>
        <v/>
      </c>
      <c r="Y155" s="393"/>
      <c r="Z155" s="510" t="str">
        <f>IF(Y155="","",IF(VLOOKUP(Y155,'G-3 Multipliers'!$S$3:$T$10,2,FALSE)=0,"Spatial Data Missing ⚠",VLOOKUP(Y155,'G-3 Multipliers'!$S$3:$T$10,2,FALSE)))</f>
        <v/>
      </c>
      <c r="AA155" s="926" t="str">
        <f t="shared" si="15"/>
        <v/>
      </c>
      <c r="AB155" s="928" t="str">
        <f t="shared" si="20"/>
        <v/>
      </c>
      <c r="AC155" s="105"/>
      <c r="AD155" s="138"/>
      <c r="AE155" s="233"/>
      <c r="AF155" s="138"/>
      <c r="AG155" s="934"/>
      <c r="AJ155" s="40" t="str">
        <f t="shared" si="16"/>
        <v/>
      </c>
    </row>
    <row r="156" spans="1:36" ht="14">
      <c r="A156" s="30" t="str">
        <f>IFERROR(INDEX('G-8 Condition Look up'!$I$4:$I$135,MATCH(F156,'G-8 Condition Look up'!$A$4:$A$135,0)),"")</f>
        <v/>
      </c>
      <c r="B156" s="225">
        <v>146</v>
      </c>
      <c r="C156" s="66" t="str">
        <f>IFERROR(INDEX('G-1 All Habitats'!$AG$25:$AG$41,MATCH(D156,'G-1 All Habitats'!AF$25:AF$41,0)),"")</f>
        <v/>
      </c>
      <c r="D156" s="105"/>
      <c r="E156" s="138"/>
      <c r="F156" s="158" t="str">
        <f>IFERROR(INDEX('G-1 All Habitats'!$B$3:$B$136,MATCH(E156,'G-1 All Habitats'!$A$3:$A$136,0)),"")</f>
        <v/>
      </c>
      <c r="G156" s="233"/>
      <c r="H156" s="311" t="str">
        <f>IF(F156="","",VLOOKUP(F156,'G-1 All Habitats'!$B$2:$M$135,10,FALSE))</f>
        <v/>
      </c>
      <c r="I156" s="299" t="str">
        <f>IFERROR(VLOOKUP(H156,'G-1 All Habitats'!$V$3:$W$7,2,FALSE),"")</f>
        <v/>
      </c>
      <c r="J156" s="136"/>
      <c r="K156" s="299" t="str">
        <f>IFERROR(INDEX('G-8 Condition Look up'!$A$3:$H$135,MATCH(F156,'G-8 Condition Look up'!$A$3:$A$135,0),MATCH(J156,'G-8 Condition Look up'!$A$3:$H$3,0)),"")</f>
        <v/>
      </c>
      <c r="L156" s="101"/>
      <c r="M156" s="314" t="str">
        <f>IF(L156="","",IF(VLOOKUP(L156,'G-3 Multipliers'!$L$3:$N$6,2,FALSE)=0,"Spatial Data Missing ⚠",VLOOKUP(L156,'G-3 Multipliers'!$L$3:$N$6,2,FALSE)))</f>
        <v/>
      </c>
      <c r="N156" s="276" t="str">
        <f>IF(L156="","",IF(VLOOKUP(L156,'G-3 Multipliers'!$L$3:$N$6,3,FALSE)=0,"Spatial Data Missing ⚠",VLOOKUP(L156,'G-3 Multipliers'!$L$3:$N$6,3,FALSE)))</f>
        <v/>
      </c>
      <c r="O156" s="275" t="str">
        <f t="shared" si="14"/>
        <v/>
      </c>
      <c r="P156" s="133"/>
      <c r="Q156" s="133"/>
      <c r="R156" s="295" t="str">
        <f t="shared" si="17"/>
        <v/>
      </c>
      <c r="S156" s="316" t="str">
        <f t="shared" si="18"/>
        <v/>
      </c>
      <c r="T156" s="300" t="str">
        <f>IFERROR(IF(S156="Check Data ⚠","Check Data ⚠",VLOOKUP(S156,'G-4 Temporal multipliers'!$A$4:$C$37,3,FALSE)),"")</f>
        <v/>
      </c>
      <c r="U156" s="298" t="str">
        <f>IF(F156="","",VLOOKUP(F156,'G-3 Multipliers'!$A$2:$E$134,2,FALSE))</f>
        <v/>
      </c>
      <c r="V156" s="295" t="str">
        <f t="shared" si="19"/>
        <v/>
      </c>
      <c r="W156" s="295" t="str">
        <f>IF(E156="","",IF(AND(V156="Standard difficulty applied",O156&gt;P156),U156,IF(AND(V156="Low Difficulty - only applicable if all habitat created before losses ⚠",P156&gt;=O156),"Low",VLOOKUP(F156,'G-3 Multipliers'!$A$2:$E$134,4,FALSE))))</f>
        <v/>
      </c>
      <c r="X156" s="299" t="str">
        <f>IFERROR(IF(E156="","",VLOOKUP(W156,'G-3 Multipliers'!$P$2:$Q$6,2,FALSE)),"")</f>
        <v/>
      </c>
      <c r="Y156" s="393"/>
      <c r="Z156" s="510" t="str">
        <f>IF(Y156="","",IF(VLOOKUP(Y156,'G-3 Multipliers'!$S$3:$T$10,2,FALSE)=0,"Spatial Data Missing ⚠",VLOOKUP(Y156,'G-3 Multipliers'!$S$3:$T$10,2,FALSE)))</f>
        <v/>
      </c>
      <c r="AA156" s="926" t="str">
        <f t="shared" si="15"/>
        <v/>
      </c>
      <c r="AB156" s="928" t="str">
        <f t="shared" si="20"/>
        <v/>
      </c>
      <c r="AC156" s="105"/>
      <c r="AD156" s="138"/>
      <c r="AE156" s="233"/>
      <c r="AF156" s="138"/>
      <c r="AG156" s="934"/>
      <c r="AJ156" s="40" t="str">
        <f t="shared" si="16"/>
        <v/>
      </c>
    </row>
    <row r="157" spans="1:36" ht="14">
      <c r="A157" s="30" t="str">
        <f>IFERROR(INDEX('G-8 Condition Look up'!$I$4:$I$135,MATCH(F157,'G-8 Condition Look up'!$A$4:$A$135,0)),"")</f>
        <v/>
      </c>
      <c r="B157" s="225">
        <v>147</v>
      </c>
      <c r="C157" s="66" t="str">
        <f>IFERROR(INDEX('G-1 All Habitats'!$AG$25:$AG$41,MATCH(D157,'G-1 All Habitats'!AF$25:AF$41,0)),"")</f>
        <v/>
      </c>
      <c r="D157" s="105"/>
      <c r="E157" s="138"/>
      <c r="F157" s="158" t="str">
        <f>IFERROR(INDEX('G-1 All Habitats'!$B$3:$B$136,MATCH(E157,'G-1 All Habitats'!$A$3:$A$136,0)),"")</f>
        <v/>
      </c>
      <c r="G157" s="233"/>
      <c r="H157" s="311" t="str">
        <f>IF(F157="","",VLOOKUP(F157,'G-1 All Habitats'!$B$2:$M$135,10,FALSE))</f>
        <v/>
      </c>
      <c r="I157" s="299" t="str">
        <f>IFERROR(VLOOKUP(H157,'G-1 All Habitats'!$V$3:$W$7,2,FALSE),"")</f>
        <v/>
      </c>
      <c r="J157" s="136"/>
      <c r="K157" s="299" t="str">
        <f>IFERROR(INDEX('G-8 Condition Look up'!$A$3:$H$135,MATCH(F157,'G-8 Condition Look up'!$A$3:$A$135,0),MATCH(J157,'G-8 Condition Look up'!$A$3:$H$3,0)),"")</f>
        <v/>
      </c>
      <c r="L157" s="101"/>
      <c r="M157" s="314" t="str">
        <f>IF(L157="","",IF(VLOOKUP(L157,'G-3 Multipliers'!$L$3:$N$6,2,FALSE)=0,"Spatial Data Missing ⚠",VLOOKUP(L157,'G-3 Multipliers'!$L$3:$N$6,2,FALSE)))</f>
        <v/>
      </c>
      <c r="N157" s="276" t="str">
        <f>IF(L157="","",IF(VLOOKUP(L157,'G-3 Multipliers'!$L$3:$N$6,3,FALSE)=0,"Spatial Data Missing ⚠",VLOOKUP(L157,'G-3 Multipliers'!$L$3:$N$6,3,FALSE)))</f>
        <v/>
      </c>
      <c r="O157" s="275" t="str">
        <f t="shared" si="14"/>
        <v/>
      </c>
      <c r="P157" s="133"/>
      <c r="Q157" s="133"/>
      <c r="R157" s="295" t="str">
        <f t="shared" si="17"/>
        <v/>
      </c>
      <c r="S157" s="316" t="str">
        <f t="shared" si="18"/>
        <v/>
      </c>
      <c r="T157" s="300" t="str">
        <f>IFERROR(IF(S157="Check Data ⚠","Check Data ⚠",VLOOKUP(S157,'G-4 Temporal multipliers'!$A$4:$C$37,3,FALSE)),"")</f>
        <v/>
      </c>
      <c r="U157" s="298" t="str">
        <f>IF(F157="","",VLOOKUP(F157,'G-3 Multipliers'!$A$2:$E$134,2,FALSE))</f>
        <v/>
      </c>
      <c r="V157" s="295" t="str">
        <f t="shared" si="19"/>
        <v/>
      </c>
      <c r="W157" s="295" t="str">
        <f>IF(E157="","",IF(AND(V157="Standard difficulty applied",O157&gt;P157),U157,IF(AND(V157="Low Difficulty - only applicable if all habitat created before losses ⚠",P157&gt;=O157),"Low",VLOOKUP(F157,'G-3 Multipliers'!$A$2:$E$134,4,FALSE))))</f>
        <v/>
      </c>
      <c r="X157" s="299" t="str">
        <f>IFERROR(IF(E157="","",VLOOKUP(W157,'G-3 Multipliers'!$P$2:$Q$6,2,FALSE)),"")</f>
        <v/>
      </c>
      <c r="Y157" s="393"/>
      <c r="Z157" s="510" t="str">
        <f>IF(Y157="","",IF(VLOOKUP(Y157,'G-3 Multipliers'!$S$3:$T$10,2,FALSE)=0,"Spatial Data Missing ⚠",VLOOKUP(Y157,'G-3 Multipliers'!$S$3:$T$10,2,FALSE)))</f>
        <v/>
      </c>
      <c r="AA157" s="926" t="str">
        <f t="shared" si="15"/>
        <v/>
      </c>
      <c r="AB157" s="928" t="str">
        <f t="shared" si="20"/>
        <v/>
      </c>
      <c r="AC157" s="105"/>
      <c r="AD157" s="138"/>
      <c r="AE157" s="233"/>
      <c r="AF157" s="138"/>
      <c r="AG157" s="934"/>
      <c r="AJ157" s="40" t="str">
        <f t="shared" si="16"/>
        <v/>
      </c>
    </row>
    <row r="158" spans="1:36" ht="14">
      <c r="A158" s="30" t="str">
        <f>IFERROR(INDEX('G-8 Condition Look up'!$I$4:$I$135,MATCH(F158,'G-8 Condition Look up'!$A$4:$A$135,0)),"")</f>
        <v/>
      </c>
      <c r="B158" s="225">
        <v>148</v>
      </c>
      <c r="C158" s="66" t="str">
        <f>IFERROR(INDEX('G-1 All Habitats'!$AG$25:$AG$41,MATCH(D158,'G-1 All Habitats'!AF$25:AF$41,0)),"")</f>
        <v/>
      </c>
      <c r="D158" s="105"/>
      <c r="E158" s="138"/>
      <c r="F158" s="158" t="str">
        <f>IFERROR(INDEX('G-1 All Habitats'!$B$3:$B$136,MATCH(E158,'G-1 All Habitats'!$A$3:$A$136,0)),"")</f>
        <v/>
      </c>
      <c r="G158" s="233"/>
      <c r="H158" s="311" t="str">
        <f>IF(F158="","",VLOOKUP(F158,'G-1 All Habitats'!$B$2:$M$135,10,FALSE))</f>
        <v/>
      </c>
      <c r="I158" s="299" t="str">
        <f>IFERROR(VLOOKUP(H158,'G-1 All Habitats'!$V$3:$W$7,2,FALSE),"")</f>
        <v/>
      </c>
      <c r="J158" s="136"/>
      <c r="K158" s="299" t="str">
        <f>IFERROR(INDEX('G-8 Condition Look up'!$A$3:$H$135,MATCH(F158,'G-8 Condition Look up'!$A$3:$A$135,0),MATCH(J158,'G-8 Condition Look up'!$A$3:$H$3,0)),"")</f>
        <v/>
      </c>
      <c r="L158" s="101"/>
      <c r="M158" s="314" t="str">
        <f>IF(L158="","",IF(VLOOKUP(L158,'G-3 Multipliers'!$L$3:$N$6,2,FALSE)=0,"Spatial Data Missing ⚠",VLOOKUP(L158,'G-3 Multipliers'!$L$3:$N$6,2,FALSE)))</f>
        <v/>
      </c>
      <c r="N158" s="276" t="str">
        <f>IF(L158="","",IF(VLOOKUP(L158,'G-3 Multipliers'!$L$3:$N$6,3,FALSE)=0,"Spatial Data Missing ⚠",VLOOKUP(L158,'G-3 Multipliers'!$L$3:$N$6,3,FALSE)))</f>
        <v/>
      </c>
      <c r="O158" s="275" t="str">
        <f t="shared" si="14"/>
        <v/>
      </c>
      <c r="P158" s="133"/>
      <c r="Q158" s="133"/>
      <c r="R158" s="295" t="str">
        <f t="shared" si="17"/>
        <v/>
      </c>
      <c r="S158" s="316" t="str">
        <f t="shared" si="18"/>
        <v/>
      </c>
      <c r="T158" s="300" t="str">
        <f>IFERROR(IF(S158="Check Data ⚠","Check Data ⚠",VLOOKUP(S158,'G-4 Temporal multipliers'!$A$4:$C$37,3,FALSE)),"")</f>
        <v/>
      </c>
      <c r="U158" s="298" t="str">
        <f>IF(F158="","",VLOOKUP(F158,'G-3 Multipliers'!$A$2:$E$134,2,FALSE))</f>
        <v/>
      </c>
      <c r="V158" s="295" t="str">
        <f t="shared" si="19"/>
        <v/>
      </c>
      <c r="W158" s="295" t="str">
        <f>IF(E158="","",IF(AND(V158="Standard difficulty applied",O158&gt;P158),U158,IF(AND(V158="Low Difficulty - only applicable if all habitat created before losses ⚠",P158&gt;=O158),"Low",VLOOKUP(F158,'G-3 Multipliers'!$A$2:$E$134,4,FALSE))))</f>
        <v/>
      </c>
      <c r="X158" s="299" t="str">
        <f>IFERROR(IF(E158="","",VLOOKUP(W158,'G-3 Multipliers'!$P$2:$Q$6,2,FALSE)),"")</f>
        <v/>
      </c>
      <c r="Y158" s="393"/>
      <c r="Z158" s="510" t="str">
        <f>IF(Y158="","",IF(VLOOKUP(Y158,'G-3 Multipliers'!$S$3:$T$10,2,FALSE)=0,"Spatial Data Missing ⚠",VLOOKUP(Y158,'G-3 Multipliers'!$S$3:$T$10,2,FALSE)))</f>
        <v/>
      </c>
      <c r="AA158" s="926" t="str">
        <f t="shared" si="15"/>
        <v/>
      </c>
      <c r="AB158" s="928" t="str">
        <f t="shared" si="20"/>
        <v/>
      </c>
      <c r="AC158" s="105"/>
      <c r="AD158" s="138"/>
      <c r="AE158" s="233"/>
      <c r="AF158" s="138"/>
      <c r="AG158" s="934"/>
      <c r="AJ158" s="40" t="str">
        <f t="shared" si="16"/>
        <v/>
      </c>
    </row>
    <row r="159" spans="1:36" ht="14">
      <c r="A159" s="30" t="str">
        <f>IFERROR(INDEX('G-8 Condition Look up'!$I$4:$I$135,MATCH(F159,'G-8 Condition Look up'!$A$4:$A$135,0)),"")</f>
        <v/>
      </c>
      <c r="B159" s="225">
        <v>149</v>
      </c>
      <c r="C159" s="66" t="str">
        <f>IFERROR(INDEX('G-1 All Habitats'!$AG$25:$AG$41,MATCH(D159,'G-1 All Habitats'!AF$25:AF$41,0)),"")</f>
        <v/>
      </c>
      <c r="D159" s="105"/>
      <c r="E159" s="138"/>
      <c r="F159" s="158" t="str">
        <f>IFERROR(INDEX('G-1 All Habitats'!$B$3:$B$136,MATCH(E159,'G-1 All Habitats'!$A$3:$A$136,0)),"")</f>
        <v/>
      </c>
      <c r="G159" s="233"/>
      <c r="H159" s="311" t="str">
        <f>IF(F159="","",VLOOKUP(F159,'G-1 All Habitats'!$B$2:$M$135,10,FALSE))</f>
        <v/>
      </c>
      <c r="I159" s="299" t="str">
        <f>IFERROR(VLOOKUP(H159,'G-1 All Habitats'!$V$3:$W$7,2,FALSE),"")</f>
        <v/>
      </c>
      <c r="J159" s="136"/>
      <c r="K159" s="299" t="str">
        <f>IFERROR(INDEX('G-8 Condition Look up'!$A$3:$H$135,MATCH(F159,'G-8 Condition Look up'!$A$3:$A$135,0),MATCH(J159,'G-8 Condition Look up'!$A$3:$H$3,0)),"")</f>
        <v/>
      </c>
      <c r="L159" s="101"/>
      <c r="M159" s="314" t="str">
        <f>IF(L159="","",IF(VLOOKUP(L159,'G-3 Multipliers'!$L$3:$N$6,2,FALSE)=0,"Spatial Data Missing ⚠",VLOOKUP(L159,'G-3 Multipliers'!$L$3:$N$6,2,FALSE)))</f>
        <v/>
      </c>
      <c r="N159" s="276" t="str">
        <f>IF(L159="","",IF(VLOOKUP(L159,'G-3 Multipliers'!$L$3:$N$6,3,FALSE)=0,"Spatial Data Missing ⚠",VLOOKUP(L159,'G-3 Multipliers'!$L$3:$N$6,3,FALSE)))</f>
        <v/>
      </c>
      <c r="O159" s="275" t="str">
        <f t="shared" si="14"/>
        <v/>
      </c>
      <c r="P159" s="133"/>
      <c r="Q159" s="133"/>
      <c r="R159" s="295" t="str">
        <f t="shared" si="17"/>
        <v/>
      </c>
      <c r="S159" s="316" t="str">
        <f t="shared" si="18"/>
        <v/>
      </c>
      <c r="T159" s="300" t="str">
        <f>IFERROR(IF(S159="Check Data ⚠","Check Data ⚠",VLOOKUP(S159,'G-4 Temporal multipliers'!$A$4:$C$37,3,FALSE)),"")</f>
        <v/>
      </c>
      <c r="U159" s="298" t="str">
        <f>IF(F159="","",VLOOKUP(F159,'G-3 Multipliers'!$A$2:$E$134,2,FALSE))</f>
        <v/>
      </c>
      <c r="V159" s="295" t="str">
        <f t="shared" si="19"/>
        <v/>
      </c>
      <c r="W159" s="295" t="str">
        <f>IF(E159="","",IF(AND(V159="Standard difficulty applied",O159&gt;P159),U159,IF(AND(V159="Low Difficulty - only applicable if all habitat created before losses ⚠",P159&gt;=O159),"Low",VLOOKUP(F159,'G-3 Multipliers'!$A$2:$E$134,4,FALSE))))</f>
        <v/>
      </c>
      <c r="X159" s="299" t="str">
        <f>IFERROR(IF(E159="","",VLOOKUP(W159,'G-3 Multipliers'!$P$2:$Q$6,2,FALSE)),"")</f>
        <v/>
      </c>
      <c r="Y159" s="393"/>
      <c r="Z159" s="510" t="str">
        <f>IF(Y159="","",IF(VLOOKUP(Y159,'G-3 Multipliers'!$S$3:$T$10,2,FALSE)=0,"Spatial Data Missing ⚠",VLOOKUP(Y159,'G-3 Multipliers'!$S$3:$T$10,2,FALSE)))</f>
        <v/>
      </c>
      <c r="AA159" s="926" t="str">
        <f t="shared" si="15"/>
        <v/>
      </c>
      <c r="AB159" s="928" t="str">
        <f t="shared" si="20"/>
        <v/>
      </c>
      <c r="AC159" s="105"/>
      <c r="AD159" s="138"/>
      <c r="AE159" s="233"/>
      <c r="AF159" s="138"/>
      <c r="AG159" s="934"/>
      <c r="AJ159" s="40" t="str">
        <f t="shared" si="16"/>
        <v/>
      </c>
    </row>
    <row r="160" spans="1:36" ht="14">
      <c r="A160" s="30" t="str">
        <f>IFERROR(INDEX('G-8 Condition Look up'!$I$4:$I$135,MATCH(F160,'G-8 Condition Look up'!$A$4:$A$135,0)),"")</f>
        <v/>
      </c>
      <c r="B160" s="225">
        <v>150</v>
      </c>
      <c r="C160" s="66" t="str">
        <f>IFERROR(INDEX('G-1 All Habitats'!$AG$25:$AG$41,MATCH(D160,'G-1 All Habitats'!AF$25:AF$41,0)),"")</f>
        <v/>
      </c>
      <c r="D160" s="105"/>
      <c r="E160" s="138"/>
      <c r="F160" s="158" t="str">
        <f>IFERROR(INDEX('G-1 All Habitats'!$B$3:$B$136,MATCH(E160,'G-1 All Habitats'!$A$3:$A$136,0)),"")</f>
        <v/>
      </c>
      <c r="G160" s="233"/>
      <c r="H160" s="311" t="str">
        <f>IF(F160="","",VLOOKUP(F160,'G-1 All Habitats'!$B$2:$M$135,10,FALSE))</f>
        <v/>
      </c>
      <c r="I160" s="299" t="str">
        <f>IFERROR(VLOOKUP(H160,'G-1 All Habitats'!$V$3:$W$7,2,FALSE),"")</f>
        <v/>
      </c>
      <c r="J160" s="136"/>
      <c r="K160" s="299" t="str">
        <f>IFERROR(INDEX('G-8 Condition Look up'!$A$3:$H$135,MATCH(F160,'G-8 Condition Look up'!$A$3:$A$135,0),MATCH(J160,'G-8 Condition Look up'!$A$3:$H$3,0)),"")</f>
        <v/>
      </c>
      <c r="L160" s="101"/>
      <c r="M160" s="314" t="str">
        <f>IF(L160="","",IF(VLOOKUP(L160,'G-3 Multipliers'!$L$3:$N$6,2,FALSE)=0,"Spatial Data Missing ⚠",VLOOKUP(L160,'G-3 Multipliers'!$L$3:$N$6,2,FALSE)))</f>
        <v/>
      </c>
      <c r="N160" s="276" t="str">
        <f>IF(L160="","",IF(VLOOKUP(L160,'G-3 Multipliers'!$L$3:$N$6,3,FALSE)=0,"Spatial Data Missing ⚠",VLOOKUP(L160,'G-3 Multipliers'!$L$3:$N$6,3,FALSE)))</f>
        <v/>
      </c>
      <c r="O160" s="275" t="str">
        <f t="shared" si="14"/>
        <v/>
      </c>
      <c r="P160" s="133"/>
      <c r="Q160" s="133"/>
      <c r="R160" s="295" t="str">
        <f t="shared" si="17"/>
        <v/>
      </c>
      <c r="S160" s="316" t="str">
        <f t="shared" si="18"/>
        <v/>
      </c>
      <c r="T160" s="300" t="str">
        <f>IFERROR(IF(S160="Check Data ⚠","Check Data ⚠",VLOOKUP(S160,'G-4 Temporal multipliers'!$A$4:$C$37,3,FALSE)),"")</f>
        <v/>
      </c>
      <c r="U160" s="298" t="str">
        <f>IF(F160="","",VLOOKUP(F160,'G-3 Multipliers'!$A$2:$E$134,2,FALSE))</f>
        <v/>
      </c>
      <c r="V160" s="295" t="str">
        <f t="shared" si="19"/>
        <v/>
      </c>
      <c r="W160" s="295" t="str">
        <f>IF(E160="","",IF(AND(V160="Standard difficulty applied",O160&gt;P160),U160,IF(AND(V160="Low Difficulty - only applicable if all habitat created before losses ⚠",P160&gt;=O160),"Low",VLOOKUP(F160,'G-3 Multipliers'!$A$2:$E$134,4,FALSE))))</f>
        <v/>
      </c>
      <c r="X160" s="299" t="str">
        <f>IFERROR(IF(E160="","",VLOOKUP(W160,'G-3 Multipliers'!$P$2:$Q$6,2,FALSE)),"")</f>
        <v/>
      </c>
      <c r="Y160" s="393"/>
      <c r="Z160" s="510" t="str">
        <f>IF(Y160="","",IF(VLOOKUP(Y160,'G-3 Multipliers'!$S$3:$T$10,2,FALSE)=0,"Spatial Data Missing ⚠",VLOOKUP(Y160,'G-3 Multipliers'!$S$3:$T$10,2,FALSE)))</f>
        <v/>
      </c>
      <c r="AA160" s="926" t="str">
        <f t="shared" si="15"/>
        <v/>
      </c>
      <c r="AB160" s="928" t="str">
        <f t="shared" si="20"/>
        <v/>
      </c>
      <c r="AC160" s="105"/>
      <c r="AD160" s="138"/>
      <c r="AE160" s="233"/>
      <c r="AF160" s="138"/>
      <c r="AG160" s="934"/>
      <c r="AJ160" s="40" t="str">
        <f t="shared" si="16"/>
        <v/>
      </c>
    </row>
    <row r="161" spans="1:36" ht="14">
      <c r="A161" s="30" t="str">
        <f>IFERROR(INDEX('G-8 Condition Look up'!$I$4:$I$135,MATCH(F161,'G-8 Condition Look up'!$A$4:$A$135,0)),"")</f>
        <v/>
      </c>
      <c r="B161" s="225">
        <v>151</v>
      </c>
      <c r="C161" s="66" t="str">
        <f>IFERROR(INDEX('G-1 All Habitats'!$AG$25:$AG$41,MATCH(D161,'G-1 All Habitats'!AF$25:AF$41,0)),"")</f>
        <v/>
      </c>
      <c r="D161" s="105"/>
      <c r="E161" s="138"/>
      <c r="F161" s="158" t="str">
        <f>IFERROR(INDEX('G-1 All Habitats'!$B$3:$B$136,MATCH(E161,'G-1 All Habitats'!$A$3:$A$136,0)),"")</f>
        <v/>
      </c>
      <c r="G161" s="233"/>
      <c r="H161" s="311" t="str">
        <f>IF(F161="","",VLOOKUP(F161,'G-1 All Habitats'!$B$2:$M$135,10,FALSE))</f>
        <v/>
      </c>
      <c r="I161" s="299" t="str">
        <f>IFERROR(VLOOKUP(H161,'G-1 All Habitats'!$V$3:$W$7,2,FALSE),"")</f>
        <v/>
      </c>
      <c r="J161" s="136"/>
      <c r="K161" s="299" t="str">
        <f>IFERROR(INDEX('G-8 Condition Look up'!$A$3:$H$135,MATCH(F161,'G-8 Condition Look up'!$A$3:$A$135,0),MATCH(J161,'G-8 Condition Look up'!$A$3:$H$3,0)),"")</f>
        <v/>
      </c>
      <c r="L161" s="101"/>
      <c r="M161" s="314" t="str">
        <f>IF(L161="","",IF(VLOOKUP(L161,'G-3 Multipliers'!$L$3:$N$6,2,FALSE)=0,"Spatial Data Missing ⚠",VLOOKUP(L161,'G-3 Multipliers'!$L$3:$N$6,2,FALSE)))</f>
        <v/>
      </c>
      <c r="N161" s="276" t="str">
        <f>IF(L161="","",IF(VLOOKUP(L161,'G-3 Multipliers'!$L$3:$N$6,3,FALSE)=0,"Spatial Data Missing ⚠",VLOOKUP(L161,'G-3 Multipliers'!$L$3:$N$6,3,FALSE)))</f>
        <v/>
      </c>
      <c r="O161" s="275" t="str">
        <f t="shared" si="14"/>
        <v/>
      </c>
      <c r="P161" s="133"/>
      <c r="Q161" s="133"/>
      <c r="R161" s="295" t="str">
        <f t="shared" si="17"/>
        <v/>
      </c>
      <c r="S161" s="316" t="str">
        <f t="shared" si="18"/>
        <v/>
      </c>
      <c r="T161" s="300" t="str">
        <f>IFERROR(IF(S161="Check Data ⚠","Check Data ⚠",VLOOKUP(S161,'G-4 Temporal multipliers'!$A$4:$C$37,3,FALSE)),"")</f>
        <v/>
      </c>
      <c r="U161" s="298" t="str">
        <f>IF(F161="","",VLOOKUP(F161,'G-3 Multipliers'!$A$2:$E$134,2,FALSE))</f>
        <v/>
      </c>
      <c r="V161" s="295" t="str">
        <f t="shared" si="19"/>
        <v/>
      </c>
      <c r="W161" s="295" t="str">
        <f>IF(E161="","",IF(AND(V161="Standard difficulty applied",O161&gt;P161),U161,IF(AND(V161="Low Difficulty - only applicable if all habitat created before losses ⚠",P161&gt;=O161),"Low",VLOOKUP(F161,'G-3 Multipliers'!$A$2:$E$134,4,FALSE))))</f>
        <v/>
      </c>
      <c r="X161" s="299" t="str">
        <f>IFERROR(IF(E161="","",VLOOKUP(W161,'G-3 Multipliers'!$P$2:$Q$6,2,FALSE)),"")</f>
        <v/>
      </c>
      <c r="Y161" s="393"/>
      <c r="Z161" s="510" t="str">
        <f>IF(Y161="","",IF(VLOOKUP(Y161,'G-3 Multipliers'!$S$3:$T$10,2,FALSE)=0,"Spatial Data Missing ⚠",VLOOKUP(Y161,'G-3 Multipliers'!$S$3:$T$10,2,FALSE)))</f>
        <v/>
      </c>
      <c r="AA161" s="926" t="str">
        <f t="shared" si="15"/>
        <v/>
      </c>
      <c r="AB161" s="928" t="str">
        <f t="shared" si="20"/>
        <v/>
      </c>
      <c r="AC161" s="105"/>
      <c r="AD161" s="138"/>
      <c r="AE161" s="233"/>
      <c r="AF161" s="138"/>
      <c r="AG161" s="934"/>
      <c r="AJ161" s="40" t="str">
        <f t="shared" si="16"/>
        <v/>
      </c>
    </row>
    <row r="162" spans="1:36" ht="14">
      <c r="A162" s="30" t="str">
        <f>IFERROR(INDEX('G-8 Condition Look up'!$I$4:$I$135,MATCH(F162,'G-8 Condition Look up'!$A$4:$A$135,0)),"")</f>
        <v/>
      </c>
      <c r="B162" s="225">
        <v>152</v>
      </c>
      <c r="C162" s="66" t="str">
        <f>IFERROR(INDEX('G-1 All Habitats'!$AG$25:$AG$41,MATCH(D162,'G-1 All Habitats'!AF$25:AF$41,0)),"")</f>
        <v/>
      </c>
      <c r="D162" s="105"/>
      <c r="E162" s="138"/>
      <c r="F162" s="158" t="str">
        <f>IFERROR(INDEX('G-1 All Habitats'!$B$3:$B$136,MATCH(E162,'G-1 All Habitats'!$A$3:$A$136,0)),"")</f>
        <v/>
      </c>
      <c r="G162" s="233"/>
      <c r="H162" s="311" t="str">
        <f>IF(F162="","",VLOOKUP(F162,'G-1 All Habitats'!$B$2:$M$135,10,FALSE))</f>
        <v/>
      </c>
      <c r="I162" s="299" t="str">
        <f>IFERROR(VLOOKUP(H162,'G-1 All Habitats'!$V$3:$W$7,2,FALSE),"")</f>
        <v/>
      </c>
      <c r="J162" s="136"/>
      <c r="K162" s="299" t="str">
        <f>IFERROR(INDEX('G-8 Condition Look up'!$A$3:$H$135,MATCH(F162,'G-8 Condition Look up'!$A$3:$A$135,0),MATCH(J162,'G-8 Condition Look up'!$A$3:$H$3,0)),"")</f>
        <v/>
      </c>
      <c r="L162" s="101"/>
      <c r="M162" s="314" t="str">
        <f>IF(L162="","",IF(VLOOKUP(L162,'G-3 Multipliers'!$L$3:$N$6,2,FALSE)=0,"Spatial Data Missing ⚠",VLOOKUP(L162,'G-3 Multipliers'!$L$3:$N$6,2,FALSE)))</f>
        <v/>
      </c>
      <c r="N162" s="276" t="str">
        <f>IF(L162="","",IF(VLOOKUP(L162,'G-3 Multipliers'!$L$3:$N$6,3,FALSE)=0,"Spatial Data Missing ⚠",VLOOKUP(L162,'G-3 Multipliers'!$L$3:$N$6,3,FALSE)))</f>
        <v/>
      </c>
      <c r="O162" s="275" t="str">
        <f t="shared" si="14"/>
        <v/>
      </c>
      <c r="P162" s="133"/>
      <c r="Q162" s="133"/>
      <c r="R162" s="295" t="str">
        <f t="shared" si="17"/>
        <v/>
      </c>
      <c r="S162" s="316" t="str">
        <f t="shared" si="18"/>
        <v/>
      </c>
      <c r="T162" s="300" t="str">
        <f>IFERROR(IF(S162="Check Data ⚠","Check Data ⚠",VLOOKUP(S162,'G-4 Temporal multipliers'!$A$4:$C$37,3,FALSE)),"")</f>
        <v/>
      </c>
      <c r="U162" s="298" t="str">
        <f>IF(F162="","",VLOOKUP(F162,'G-3 Multipliers'!$A$2:$E$134,2,FALSE))</f>
        <v/>
      </c>
      <c r="V162" s="295" t="str">
        <f t="shared" si="19"/>
        <v/>
      </c>
      <c r="W162" s="295" t="str">
        <f>IF(E162="","",IF(AND(V162="Standard difficulty applied",O162&gt;P162),U162,IF(AND(V162="Low Difficulty - only applicable if all habitat created before losses ⚠",P162&gt;=O162),"Low",VLOOKUP(F162,'G-3 Multipliers'!$A$2:$E$134,4,FALSE))))</f>
        <v/>
      </c>
      <c r="X162" s="299" t="str">
        <f>IFERROR(IF(E162="","",VLOOKUP(W162,'G-3 Multipliers'!$P$2:$Q$6,2,FALSE)),"")</f>
        <v/>
      </c>
      <c r="Y162" s="393"/>
      <c r="Z162" s="510" t="str">
        <f>IF(Y162="","",IF(VLOOKUP(Y162,'G-3 Multipliers'!$S$3:$T$10,2,FALSE)=0,"Spatial Data Missing ⚠",VLOOKUP(Y162,'G-3 Multipliers'!$S$3:$T$10,2,FALSE)))</f>
        <v/>
      </c>
      <c r="AA162" s="926" t="str">
        <f t="shared" si="15"/>
        <v/>
      </c>
      <c r="AB162" s="928" t="str">
        <f t="shared" si="20"/>
        <v/>
      </c>
      <c r="AC162" s="105"/>
      <c r="AD162" s="138"/>
      <c r="AE162" s="233"/>
      <c r="AF162" s="138"/>
      <c r="AG162" s="934"/>
      <c r="AJ162" s="40" t="str">
        <f t="shared" si="16"/>
        <v/>
      </c>
    </row>
    <row r="163" spans="1:36" ht="14">
      <c r="A163" s="30" t="str">
        <f>IFERROR(INDEX('G-8 Condition Look up'!$I$4:$I$135,MATCH(F163,'G-8 Condition Look up'!$A$4:$A$135,0)),"")</f>
        <v/>
      </c>
      <c r="B163" s="225">
        <v>153</v>
      </c>
      <c r="C163" s="66" t="str">
        <f>IFERROR(INDEX('G-1 All Habitats'!$AG$25:$AG$41,MATCH(D163,'G-1 All Habitats'!AF$25:AF$41,0)),"")</f>
        <v/>
      </c>
      <c r="D163" s="105"/>
      <c r="E163" s="138"/>
      <c r="F163" s="158" t="str">
        <f>IFERROR(INDEX('G-1 All Habitats'!$B$3:$B$136,MATCH(E163,'G-1 All Habitats'!$A$3:$A$136,0)),"")</f>
        <v/>
      </c>
      <c r="G163" s="233"/>
      <c r="H163" s="311" t="str">
        <f>IF(F163="","",VLOOKUP(F163,'G-1 All Habitats'!$B$2:$M$135,10,FALSE))</f>
        <v/>
      </c>
      <c r="I163" s="299" t="str">
        <f>IFERROR(VLOOKUP(H163,'G-1 All Habitats'!$V$3:$W$7,2,FALSE),"")</f>
        <v/>
      </c>
      <c r="J163" s="136"/>
      <c r="K163" s="299" t="str">
        <f>IFERROR(INDEX('G-8 Condition Look up'!$A$3:$H$135,MATCH(F163,'G-8 Condition Look up'!$A$3:$A$135,0),MATCH(J163,'G-8 Condition Look up'!$A$3:$H$3,0)),"")</f>
        <v/>
      </c>
      <c r="L163" s="101"/>
      <c r="M163" s="314" t="str">
        <f>IF(L163="","",IF(VLOOKUP(L163,'G-3 Multipliers'!$L$3:$N$6,2,FALSE)=0,"Spatial Data Missing ⚠",VLOOKUP(L163,'G-3 Multipliers'!$L$3:$N$6,2,FALSE)))</f>
        <v/>
      </c>
      <c r="N163" s="276" t="str">
        <f>IF(L163="","",IF(VLOOKUP(L163,'G-3 Multipliers'!$L$3:$N$6,3,FALSE)=0,"Spatial Data Missing ⚠",VLOOKUP(L163,'G-3 Multipliers'!$L$3:$N$6,3,FALSE)))</f>
        <v/>
      </c>
      <c r="O163" s="275" t="str">
        <f t="shared" si="14"/>
        <v/>
      </c>
      <c r="P163" s="133"/>
      <c r="Q163" s="133"/>
      <c r="R163" s="295" t="str">
        <f t="shared" si="17"/>
        <v/>
      </c>
      <c r="S163" s="316" t="str">
        <f t="shared" si="18"/>
        <v/>
      </c>
      <c r="T163" s="300" t="str">
        <f>IFERROR(IF(S163="Check Data ⚠","Check Data ⚠",VLOOKUP(S163,'G-4 Temporal multipliers'!$A$4:$C$37,3,FALSE)),"")</f>
        <v/>
      </c>
      <c r="U163" s="298" t="str">
        <f>IF(F163="","",VLOOKUP(F163,'G-3 Multipliers'!$A$2:$E$134,2,FALSE))</f>
        <v/>
      </c>
      <c r="V163" s="295" t="str">
        <f t="shared" si="19"/>
        <v/>
      </c>
      <c r="W163" s="295" t="str">
        <f>IF(E163="","",IF(AND(V163="Standard difficulty applied",O163&gt;P163),U163,IF(AND(V163="Low Difficulty - only applicable if all habitat created before losses ⚠",P163&gt;=O163),"Low",VLOOKUP(F163,'G-3 Multipliers'!$A$2:$E$134,4,FALSE))))</f>
        <v/>
      </c>
      <c r="X163" s="299" t="str">
        <f>IFERROR(IF(E163="","",VLOOKUP(W163,'G-3 Multipliers'!$P$2:$Q$6,2,FALSE)),"")</f>
        <v/>
      </c>
      <c r="Y163" s="393"/>
      <c r="Z163" s="510" t="str">
        <f>IF(Y163="","",IF(VLOOKUP(Y163,'G-3 Multipliers'!$S$3:$T$10,2,FALSE)=0,"Spatial Data Missing ⚠",VLOOKUP(Y163,'G-3 Multipliers'!$S$3:$T$10,2,FALSE)))</f>
        <v/>
      </c>
      <c r="AA163" s="926" t="str">
        <f t="shared" si="15"/>
        <v/>
      </c>
      <c r="AB163" s="928" t="str">
        <f t="shared" si="20"/>
        <v/>
      </c>
      <c r="AC163" s="105"/>
      <c r="AD163" s="138"/>
      <c r="AE163" s="233"/>
      <c r="AF163" s="138"/>
      <c r="AG163" s="934"/>
      <c r="AJ163" s="40" t="str">
        <f t="shared" si="16"/>
        <v/>
      </c>
    </row>
    <row r="164" spans="1:36" ht="14">
      <c r="A164" s="30" t="str">
        <f>IFERROR(INDEX('G-8 Condition Look up'!$I$4:$I$135,MATCH(F164,'G-8 Condition Look up'!$A$4:$A$135,0)),"")</f>
        <v/>
      </c>
      <c r="B164" s="225">
        <v>154</v>
      </c>
      <c r="C164" s="66" t="str">
        <f>IFERROR(INDEX('G-1 All Habitats'!$AG$25:$AG$41,MATCH(D164,'G-1 All Habitats'!AF$25:AF$41,0)),"")</f>
        <v/>
      </c>
      <c r="D164" s="105"/>
      <c r="E164" s="138"/>
      <c r="F164" s="158" t="str">
        <f>IFERROR(INDEX('G-1 All Habitats'!$B$3:$B$136,MATCH(E164,'G-1 All Habitats'!$A$3:$A$136,0)),"")</f>
        <v/>
      </c>
      <c r="G164" s="233"/>
      <c r="H164" s="311" t="str">
        <f>IF(F164="","",VLOOKUP(F164,'G-1 All Habitats'!$B$2:$M$135,10,FALSE))</f>
        <v/>
      </c>
      <c r="I164" s="299" t="str">
        <f>IFERROR(VLOOKUP(H164,'G-1 All Habitats'!$V$3:$W$7,2,FALSE),"")</f>
        <v/>
      </c>
      <c r="J164" s="136"/>
      <c r="K164" s="299" t="str">
        <f>IFERROR(INDEX('G-8 Condition Look up'!$A$3:$H$135,MATCH(F164,'G-8 Condition Look up'!$A$3:$A$135,0),MATCH(J164,'G-8 Condition Look up'!$A$3:$H$3,0)),"")</f>
        <v/>
      </c>
      <c r="L164" s="101"/>
      <c r="M164" s="314" t="str">
        <f>IF(L164="","",IF(VLOOKUP(L164,'G-3 Multipliers'!$L$3:$N$6,2,FALSE)=0,"Spatial Data Missing ⚠",VLOOKUP(L164,'G-3 Multipliers'!$L$3:$N$6,2,FALSE)))</f>
        <v/>
      </c>
      <c r="N164" s="276" t="str">
        <f>IF(L164="","",IF(VLOOKUP(L164,'G-3 Multipliers'!$L$3:$N$6,3,FALSE)=0,"Spatial Data Missing ⚠",VLOOKUP(L164,'G-3 Multipliers'!$L$3:$N$6,3,FALSE)))</f>
        <v/>
      </c>
      <c r="O164" s="275" t="str">
        <f t="shared" si="14"/>
        <v/>
      </c>
      <c r="P164" s="133"/>
      <c r="Q164" s="133"/>
      <c r="R164" s="295" t="str">
        <f t="shared" si="17"/>
        <v/>
      </c>
      <c r="S164" s="316" t="str">
        <f t="shared" si="18"/>
        <v/>
      </c>
      <c r="T164" s="300" t="str">
        <f>IFERROR(IF(S164="Check Data ⚠","Check Data ⚠",VLOOKUP(S164,'G-4 Temporal multipliers'!$A$4:$C$37,3,FALSE)),"")</f>
        <v/>
      </c>
      <c r="U164" s="298" t="str">
        <f>IF(F164="","",VLOOKUP(F164,'G-3 Multipliers'!$A$2:$E$134,2,FALSE))</f>
        <v/>
      </c>
      <c r="V164" s="295" t="str">
        <f t="shared" si="19"/>
        <v/>
      </c>
      <c r="W164" s="295" t="str">
        <f>IF(E164="","",IF(AND(V164="Standard difficulty applied",O164&gt;P164),U164,IF(AND(V164="Low Difficulty - only applicable if all habitat created before losses ⚠",P164&gt;=O164),"Low",VLOOKUP(F164,'G-3 Multipliers'!$A$2:$E$134,4,FALSE))))</f>
        <v/>
      </c>
      <c r="X164" s="299" t="str">
        <f>IFERROR(IF(E164="","",VLOOKUP(W164,'G-3 Multipliers'!$P$2:$Q$6,2,FALSE)),"")</f>
        <v/>
      </c>
      <c r="Y164" s="393"/>
      <c r="Z164" s="510" t="str">
        <f>IF(Y164="","",IF(VLOOKUP(Y164,'G-3 Multipliers'!$S$3:$T$10,2,FALSE)=0,"Spatial Data Missing ⚠",VLOOKUP(Y164,'G-3 Multipliers'!$S$3:$T$10,2,FALSE)))</f>
        <v/>
      </c>
      <c r="AA164" s="926" t="str">
        <f t="shared" si="15"/>
        <v/>
      </c>
      <c r="AB164" s="928" t="str">
        <f t="shared" si="20"/>
        <v/>
      </c>
      <c r="AC164" s="105"/>
      <c r="AD164" s="138"/>
      <c r="AE164" s="233"/>
      <c r="AF164" s="138"/>
      <c r="AG164" s="934"/>
      <c r="AJ164" s="40" t="str">
        <f t="shared" si="16"/>
        <v/>
      </c>
    </row>
    <row r="165" spans="1:36" ht="14">
      <c r="A165" s="30" t="str">
        <f>IFERROR(INDEX('G-8 Condition Look up'!$I$4:$I$135,MATCH(F165,'G-8 Condition Look up'!$A$4:$A$135,0)),"")</f>
        <v/>
      </c>
      <c r="B165" s="225">
        <v>155</v>
      </c>
      <c r="C165" s="66" t="str">
        <f>IFERROR(INDEX('G-1 All Habitats'!$AG$25:$AG$41,MATCH(D165,'G-1 All Habitats'!AF$25:AF$41,0)),"")</f>
        <v/>
      </c>
      <c r="D165" s="105"/>
      <c r="E165" s="138"/>
      <c r="F165" s="158" t="str">
        <f>IFERROR(INDEX('G-1 All Habitats'!$B$3:$B$136,MATCH(E165,'G-1 All Habitats'!$A$3:$A$136,0)),"")</f>
        <v/>
      </c>
      <c r="G165" s="233"/>
      <c r="H165" s="311" t="str">
        <f>IF(F165="","",VLOOKUP(F165,'G-1 All Habitats'!$B$2:$M$135,10,FALSE))</f>
        <v/>
      </c>
      <c r="I165" s="299" t="str">
        <f>IFERROR(VLOOKUP(H165,'G-1 All Habitats'!$V$3:$W$7,2,FALSE),"")</f>
        <v/>
      </c>
      <c r="J165" s="136"/>
      <c r="K165" s="299" t="str">
        <f>IFERROR(INDEX('G-8 Condition Look up'!$A$3:$H$135,MATCH(F165,'G-8 Condition Look up'!$A$3:$A$135,0),MATCH(J165,'G-8 Condition Look up'!$A$3:$H$3,0)),"")</f>
        <v/>
      </c>
      <c r="L165" s="101"/>
      <c r="M165" s="314" t="str">
        <f>IF(L165="","",IF(VLOOKUP(L165,'G-3 Multipliers'!$L$3:$N$6,2,FALSE)=0,"Spatial Data Missing ⚠",VLOOKUP(L165,'G-3 Multipliers'!$L$3:$N$6,2,FALSE)))</f>
        <v/>
      </c>
      <c r="N165" s="276" t="str">
        <f>IF(L165="","",IF(VLOOKUP(L165,'G-3 Multipliers'!$L$3:$N$6,3,FALSE)=0,"Spatial Data Missing ⚠",VLOOKUP(L165,'G-3 Multipliers'!$L$3:$N$6,3,FALSE)))</f>
        <v/>
      </c>
      <c r="O165" s="275" t="str">
        <f t="shared" si="14"/>
        <v/>
      </c>
      <c r="P165" s="133"/>
      <c r="Q165" s="133"/>
      <c r="R165" s="295" t="str">
        <f t="shared" si="17"/>
        <v/>
      </c>
      <c r="S165" s="316" t="str">
        <f t="shared" si="18"/>
        <v/>
      </c>
      <c r="T165" s="300" t="str">
        <f>IFERROR(IF(S165="Check Data ⚠","Check Data ⚠",VLOOKUP(S165,'G-4 Temporal multipliers'!$A$4:$C$37,3,FALSE)),"")</f>
        <v/>
      </c>
      <c r="U165" s="298" t="str">
        <f>IF(F165="","",VLOOKUP(F165,'G-3 Multipliers'!$A$2:$E$134,2,FALSE))</f>
        <v/>
      </c>
      <c r="V165" s="295" t="str">
        <f t="shared" si="19"/>
        <v/>
      </c>
      <c r="W165" s="295" t="str">
        <f>IF(E165="","",IF(AND(V165="Standard difficulty applied",O165&gt;P165),U165,IF(AND(V165="Low Difficulty - only applicable if all habitat created before losses ⚠",P165&gt;=O165),"Low",VLOOKUP(F165,'G-3 Multipliers'!$A$2:$E$134,4,FALSE))))</f>
        <v/>
      </c>
      <c r="X165" s="299" t="str">
        <f>IFERROR(IF(E165="","",VLOOKUP(W165,'G-3 Multipliers'!$P$2:$Q$6,2,FALSE)),"")</f>
        <v/>
      </c>
      <c r="Y165" s="393"/>
      <c r="Z165" s="510" t="str">
        <f>IF(Y165="","",IF(VLOOKUP(Y165,'G-3 Multipliers'!$S$3:$T$10,2,FALSE)=0,"Spatial Data Missing ⚠",VLOOKUP(Y165,'G-3 Multipliers'!$S$3:$T$10,2,FALSE)))</f>
        <v/>
      </c>
      <c r="AA165" s="926" t="str">
        <f t="shared" si="15"/>
        <v/>
      </c>
      <c r="AB165" s="928" t="str">
        <f t="shared" si="20"/>
        <v/>
      </c>
      <c r="AC165" s="105"/>
      <c r="AD165" s="138"/>
      <c r="AE165" s="233"/>
      <c r="AF165" s="138"/>
      <c r="AG165" s="934"/>
      <c r="AJ165" s="40" t="str">
        <f t="shared" si="16"/>
        <v/>
      </c>
    </row>
    <row r="166" spans="1:36" ht="14">
      <c r="A166" s="30" t="str">
        <f>IFERROR(INDEX('G-8 Condition Look up'!$I$4:$I$135,MATCH(F166,'G-8 Condition Look up'!$A$4:$A$135,0)),"")</f>
        <v/>
      </c>
      <c r="B166" s="225">
        <v>156</v>
      </c>
      <c r="C166" s="66" t="str">
        <f>IFERROR(INDEX('G-1 All Habitats'!$AG$25:$AG$41,MATCH(D166,'G-1 All Habitats'!AF$25:AF$41,0)),"")</f>
        <v/>
      </c>
      <c r="D166" s="105"/>
      <c r="E166" s="138"/>
      <c r="F166" s="158" t="str">
        <f>IFERROR(INDEX('G-1 All Habitats'!$B$3:$B$136,MATCH(E166,'G-1 All Habitats'!$A$3:$A$136,0)),"")</f>
        <v/>
      </c>
      <c r="G166" s="233"/>
      <c r="H166" s="311" t="str">
        <f>IF(F166="","",VLOOKUP(F166,'G-1 All Habitats'!$B$2:$M$135,10,FALSE))</f>
        <v/>
      </c>
      <c r="I166" s="299" t="str">
        <f>IFERROR(VLOOKUP(H166,'G-1 All Habitats'!$V$3:$W$7,2,FALSE),"")</f>
        <v/>
      </c>
      <c r="J166" s="136"/>
      <c r="K166" s="299" t="str">
        <f>IFERROR(INDEX('G-8 Condition Look up'!$A$3:$H$135,MATCH(F166,'G-8 Condition Look up'!$A$3:$A$135,0),MATCH(J166,'G-8 Condition Look up'!$A$3:$H$3,0)),"")</f>
        <v/>
      </c>
      <c r="L166" s="101"/>
      <c r="M166" s="314" t="str">
        <f>IF(L166="","",IF(VLOOKUP(L166,'G-3 Multipliers'!$L$3:$N$6,2,FALSE)=0,"Spatial Data Missing ⚠",VLOOKUP(L166,'G-3 Multipliers'!$L$3:$N$6,2,FALSE)))</f>
        <v/>
      </c>
      <c r="N166" s="276" t="str">
        <f>IF(L166="","",IF(VLOOKUP(L166,'G-3 Multipliers'!$L$3:$N$6,3,FALSE)=0,"Spatial Data Missing ⚠",VLOOKUP(L166,'G-3 Multipliers'!$L$3:$N$6,3,FALSE)))</f>
        <v/>
      </c>
      <c r="O166" s="275" t="str">
        <f t="shared" si="14"/>
        <v/>
      </c>
      <c r="P166" s="133"/>
      <c r="Q166" s="133"/>
      <c r="R166" s="295" t="str">
        <f t="shared" si="17"/>
        <v/>
      </c>
      <c r="S166" s="316" t="str">
        <f t="shared" si="18"/>
        <v/>
      </c>
      <c r="T166" s="300" t="str">
        <f>IFERROR(IF(S166="Check Data ⚠","Check Data ⚠",VLOOKUP(S166,'G-4 Temporal multipliers'!$A$4:$C$37,3,FALSE)),"")</f>
        <v/>
      </c>
      <c r="U166" s="298" t="str">
        <f>IF(F166="","",VLOOKUP(F166,'G-3 Multipliers'!$A$2:$E$134,2,FALSE))</f>
        <v/>
      </c>
      <c r="V166" s="295" t="str">
        <f t="shared" si="19"/>
        <v/>
      </c>
      <c r="W166" s="295" t="str">
        <f>IF(E166="","",IF(AND(V166="Standard difficulty applied",O166&gt;P166),U166,IF(AND(V166="Low Difficulty - only applicable if all habitat created before losses ⚠",P166&gt;=O166),"Low",VLOOKUP(F166,'G-3 Multipliers'!$A$2:$E$134,4,FALSE))))</f>
        <v/>
      </c>
      <c r="X166" s="299" t="str">
        <f>IFERROR(IF(E166="","",VLOOKUP(W166,'G-3 Multipliers'!$P$2:$Q$6,2,FALSE)),"")</f>
        <v/>
      </c>
      <c r="Y166" s="393"/>
      <c r="Z166" s="510" t="str">
        <f>IF(Y166="","",IF(VLOOKUP(Y166,'G-3 Multipliers'!$S$3:$T$10,2,FALSE)=0,"Spatial Data Missing ⚠",VLOOKUP(Y166,'G-3 Multipliers'!$S$3:$T$10,2,FALSE)))</f>
        <v/>
      </c>
      <c r="AA166" s="926" t="str">
        <f t="shared" si="15"/>
        <v/>
      </c>
      <c r="AB166" s="928" t="str">
        <f t="shared" si="20"/>
        <v/>
      </c>
      <c r="AC166" s="105"/>
      <c r="AD166" s="138"/>
      <c r="AE166" s="233"/>
      <c r="AF166" s="138"/>
      <c r="AG166" s="934"/>
      <c r="AJ166" s="40" t="str">
        <f t="shared" si="16"/>
        <v/>
      </c>
    </row>
    <row r="167" spans="1:36" ht="14">
      <c r="A167" s="30" t="str">
        <f>IFERROR(INDEX('G-8 Condition Look up'!$I$4:$I$135,MATCH(F167,'G-8 Condition Look up'!$A$4:$A$135,0)),"")</f>
        <v/>
      </c>
      <c r="B167" s="225">
        <v>157</v>
      </c>
      <c r="C167" s="66" t="str">
        <f>IFERROR(INDEX('G-1 All Habitats'!$AG$25:$AG$41,MATCH(D167,'G-1 All Habitats'!AF$25:AF$41,0)),"")</f>
        <v/>
      </c>
      <c r="D167" s="105"/>
      <c r="E167" s="138"/>
      <c r="F167" s="158" t="str">
        <f>IFERROR(INDEX('G-1 All Habitats'!$B$3:$B$136,MATCH(E167,'G-1 All Habitats'!$A$3:$A$136,0)),"")</f>
        <v/>
      </c>
      <c r="G167" s="233"/>
      <c r="H167" s="311" t="str">
        <f>IF(F167="","",VLOOKUP(F167,'G-1 All Habitats'!$B$2:$M$135,10,FALSE))</f>
        <v/>
      </c>
      <c r="I167" s="299" t="str">
        <f>IFERROR(VLOOKUP(H167,'G-1 All Habitats'!$V$3:$W$7,2,FALSE),"")</f>
        <v/>
      </c>
      <c r="J167" s="136"/>
      <c r="K167" s="299" t="str">
        <f>IFERROR(INDEX('G-8 Condition Look up'!$A$3:$H$135,MATCH(F167,'G-8 Condition Look up'!$A$3:$A$135,0),MATCH(J167,'G-8 Condition Look up'!$A$3:$H$3,0)),"")</f>
        <v/>
      </c>
      <c r="L167" s="101"/>
      <c r="M167" s="314" t="str">
        <f>IF(L167="","",IF(VLOOKUP(L167,'G-3 Multipliers'!$L$3:$N$6,2,FALSE)=0,"Spatial Data Missing ⚠",VLOOKUP(L167,'G-3 Multipliers'!$L$3:$N$6,2,FALSE)))</f>
        <v/>
      </c>
      <c r="N167" s="276" t="str">
        <f>IF(L167="","",IF(VLOOKUP(L167,'G-3 Multipliers'!$L$3:$N$6,3,FALSE)=0,"Spatial Data Missing ⚠",VLOOKUP(L167,'G-3 Multipliers'!$L$3:$N$6,3,FALSE)))</f>
        <v/>
      </c>
      <c r="O167" s="275" t="str">
        <f t="shared" si="14"/>
        <v/>
      </c>
      <c r="P167" s="133"/>
      <c r="Q167" s="133"/>
      <c r="R167" s="295" t="str">
        <f t="shared" si="17"/>
        <v/>
      </c>
      <c r="S167" s="316" t="str">
        <f t="shared" si="18"/>
        <v/>
      </c>
      <c r="T167" s="300" t="str">
        <f>IFERROR(IF(S167="Check Data ⚠","Check Data ⚠",VLOOKUP(S167,'G-4 Temporal multipliers'!$A$4:$C$37,3,FALSE)),"")</f>
        <v/>
      </c>
      <c r="U167" s="298" t="str">
        <f>IF(F167="","",VLOOKUP(F167,'G-3 Multipliers'!$A$2:$E$134,2,FALSE))</f>
        <v/>
      </c>
      <c r="V167" s="295" t="str">
        <f t="shared" si="19"/>
        <v/>
      </c>
      <c r="W167" s="295" t="str">
        <f>IF(E167="","",IF(AND(V167="Standard difficulty applied",O167&gt;P167),U167,IF(AND(V167="Low Difficulty - only applicable if all habitat created before losses ⚠",P167&gt;=O167),"Low",VLOOKUP(F167,'G-3 Multipliers'!$A$2:$E$134,4,FALSE))))</f>
        <v/>
      </c>
      <c r="X167" s="299" t="str">
        <f>IFERROR(IF(E167="","",VLOOKUP(W167,'G-3 Multipliers'!$P$2:$Q$6,2,FALSE)),"")</f>
        <v/>
      </c>
      <c r="Y167" s="393"/>
      <c r="Z167" s="510" t="str">
        <f>IF(Y167="","",IF(VLOOKUP(Y167,'G-3 Multipliers'!$S$3:$T$10,2,FALSE)=0,"Spatial Data Missing ⚠",VLOOKUP(Y167,'G-3 Multipliers'!$S$3:$T$10,2,FALSE)))</f>
        <v/>
      </c>
      <c r="AA167" s="926" t="str">
        <f t="shared" si="15"/>
        <v/>
      </c>
      <c r="AB167" s="928" t="str">
        <f t="shared" si="20"/>
        <v/>
      </c>
      <c r="AC167" s="105"/>
      <c r="AD167" s="138"/>
      <c r="AE167" s="233"/>
      <c r="AF167" s="138"/>
      <c r="AG167" s="934"/>
      <c r="AJ167" s="40" t="str">
        <f t="shared" si="16"/>
        <v/>
      </c>
    </row>
    <row r="168" spans="1:36" ht="14">
      <c r="A168" s="30" t="str">
        <f>IFERROR(INDEX('G-8 Condition Look up'!$I$4:$I$135,MATCH(F168,'G-8 Condition Look up'!$A$4:$A$135,0)),"")</f>
        <v/>
      </c>
      <c r="B168" s="225">
        <v>158</v>
      </c>
      <c r="C168" s="66" t="str">
        <f>IFERROR(INDEX('G-1 All Habitats'!$AG$25:$AG$41,MATCH(D168,'G-1 All Habitats'!AF$25:AF$41,0)),"")</f>
        <v/>
      </c>
      <c r="D168" s="105"/>
      <c r="E168" s="138"/>
      <c r="F168" s="158" t="str">
        <f>IFERROR(INDEX('G-1 All Habitats'!$B$3:$B$136,MATCH(E168,'G-1 All Habitats'!$A$3:$A$136,0)),"")</f>
        <v/>
      </c>
      <c r="G168" s="233"/>
      <c r="H168" s="311" t="str">
        <f>IF(F168="","",VLOOKUP(F168,'G-1 All Habitats'!$B$2:$M$135,10,FALSE))</f>
        <v/>
      </c>
      <c r="I168" s="299" t="str">
        <f>IFERROR(VLOOKUP(H168,'G-1 All Habitats'!$V$3:$W$7,2,FALSE),"")</f>
        <v/>
      </c>
      <c r="J168" s="136"/>
      <c r="K168" s="299" t="str">
        <f>IFERROR(INDEX('G-8 Condition Look up'!$A$3:$H$135,MATCH(F168,'G-8 Condition Look up'!$A$3:$A$135,0),MATCH(J168,'G-8 Condition Look up'!$A$3:$H$3,0)),"")</f>
        <v/>
      </c>
      <c r="L168" s="101"/>
      <c r="M168" s="314" t="str">
        <f>IF(L168="","",IF(VLOOKUP(L168,'G-3 Multipliers'!$L$3:$N$6,2,FALSE)=0,"Spatial Data Missing ⚠",VLOOKUP(L168,'G-3 Multipliers'!$L$3:$N$6,2,FALSE)))</f>
        <v/>
      </c>
      <c r="N168" s="276" t="str">
        <f>IF(L168="","",IF(VLOOKUP(L168,'G-3 Multipliers'!$L$3:$N$6,3,FALSE)=0,"Spatial Data Missing ⚠",VLOOKUP(L168,'G-3 Multipliers'!$L$3:$N$6,3,FALSE)))</f>
        <v/>
      </c>
      <c r="O168" s="275" t="str">
        <f t="shared" si="14"/>
        <v/>
      </c>
      <c r="P168" s="133"/>
      <c r="Q168" s="133"/>
      <c r="R168" s="295" t="str">
        <f t="shared" si="17"/>
        <v/>
      </c>
      <c r="S168" s="316" t="str">
        <f t="shared" si="18"/>
        <v/>
      </c>
      <c r="T168" s="300" t="str">
        <f>IFERROR(IF(S168="Check Data ⚠","Check Data ⚠",VLOOKUP(S168,'G-4 Temporal multipliers'!$A$4:$C$37,3,FALSE)),"")</f>
        <v/>
      </c>
      <c r="U168" s="298" t="str">
        <f>IF(F168="","",VLOOKUP(F168,'G-3 Multipliers'!$A$2:$E$134,2,FALSE))</f>
        <v/>
      </c>
      <c r="V168" s="295" t="str">
        <f t="shared" si="19"/>
        <v/>
      </c>
      <c r="W168" s="295" t="str">
        <f>IF(E168="","",IF(AND(V168="Standard difficulty applied",O168&gt;P168),U168,IF(AND(V168="Low Difficulty - only applicable if all habitat created before losses ⚠",P168&gt;=O168),"Low",VLOOKUP(F168,'G-3 Multipliers'!$A$2:$E$134,4,FALSE))))</f>
        <v/>
      </c>
      <c r="X168" s="299" t="str">
        <f>IFERROR(IF(E168="","",VLOOKUP(W168,'G-3 Multipliers'!$P$2:$Q$6,2,FALSE)),"")</f>
        <v/>
      </c>
      <c r="Y168" s="393"/>
      <c r="Z168" s="510" t="str">
        <f>IF(Y168="","",IF(VLOOKUP(Y168,'G-3 Multipliers'!$S$3:$T$10,2,FALSE)=0,"Spatial Data Missing ⚠",VLOOKUP(Y168,'G-3 Multipliers'!$S$3:$T$10,2,FALSE)))</f>
        <v/>
      </c>
      <c r="AA168" s="926" t="str">
        <f t="shared" si="15"/>
        <v/>
      </c>
      <c r="AB168" s="928" t="str">
        <f t="shared" si="20"/>
        <v/>
      </c>
      <c r="AC168" s="105"/>
      <c r="AD168" s="138"/>
      <c r="AE168" s="233"/>
      <c r="AF168" s="138"/>
      <c r="AG168" s="934"/>
      <c r="AJ168" s="40" t="str">
        <f t="shared" si="16"/>
        <v/>
      </c>
    </row>
    <row r="169" spans="1:36" ht="14">
      <c r="A169" s="30" t="str">
        <f>IFERROR(INDEX('G-8 Condition Look up'!$I$4:$I$135,MATCH(F169,'G-8 Condition Look up'!$A$4:$A$135,0)),"")</f>
        <v/>
      </c>
      <c r="B169" s="225">
        <v>159</v>
      </c>
      <c r="C169" s="66" t="str">
        <f>IFERROR(INDEX('G-1 All Habitats'!$AG$25:$AG$41,MATCH(D169,'G-1 All Habitats'!AF$25:AF$41,0)),"")</f>
        <v/>
      </c>
      <c r="D169" s="105"/>
      <c r="E169" s="138"/>
      <c r="F169" s="158" t="str">
        <f>IFERROR(INDEX('G-1 All Habitats'!$B$3:$B$136,MATCH(E169,'G-1 All Habitats'!$A$3:$A$136,0)),"")</f>
        <v/>
      </c>
      <c r="G169" s="233"/>
      <c r="H169" s="311" t="str">
        <f>IF(F169="","",VLOOKUP(F169,'G-1 All Habitats'!$B$2:$M$135,10,FALSE))</f>
        <v/>
      </c>
      <c r="I169" s="299" t="str">
        <f>IFERROR(VLOOKUP(H169,'G-1 All Habitats'!$V$3:$W$7,2,FALSE),"")</f>
        <v/>
      </c>
      <c r="J169" s="136"/>
      <c r="K169" s="299" t="str">
        <f>IFERROR(INDEX('G-8 Condition Look up'!$A$3:$H$135,MATCH(F169,'G-8 Condition Look up'!$A$3:$A$135,0),MATCH(J169,'G-8 Condition Look up'!$A$3:$H$3,0)),"")</f>
        <v/>
      </c>
      <c r="L169" s="101"/>
      <c r="M169" s="314" t="str">
        <f>IF(L169="","",IF(VLOOKUP(L169,'G-3 Multipliers'!$L$3:$N$6,2,FALSE)=0,"Spatial Data Missing ⚠",VLOOKUP(L169,'G-3 Multipliers'!$L$3:$N$6,2,FALSE)))</f>
        <v/>
      </c>
      <c r="N169" s="276" t="str">
        <f>IF(L169="","",IF(VLOOKUP(L169,'G-3 Multipliers'!$L$3:$N$6,3,FALSE)=0,"Spatial Data Missing ⚠",VLOOKUP(L169,'G-3 Multipliers'!$L$3:$N$6,3,FALSE)))</f>
        <v/>
      </c>
      <c r="O169" s="275" t="str">
        <f t="shared" si="14"/>
        <v/>
      </c>
      <c r="P169" s="133"/>
      <c r="Q169" s="133"/>
      <c r="R169" s="295" t="str">
        <f t="shared" si="17"/>
        <v/>
      </c>
      <c r="S169" s="316" t="str">
        <f t="shared" si="18"/>
        <v/>
      </c>
      <c r="T169" s="300" t="str">
        <f>IFERROR(IF(S169="Check Data ⚠","Check Data ⚠",VLOOKUP(S169,'G-4 Temporal multipliers'!$A$4:$C$37,3,FALSE)),"")</f>
        <v/>
      </c>
      <c r="U169" s="298" t="str">
        <f>IF(F169="","",VLOOKUP(F169,'G-3 Multipliers'!$A$2:$E$134,2,FALSE))</f>
        <v/>
      </c>
      <c r="V169" s="295" t="str">
        <f t="shared" si="19"/>
        <v/>
      </c>
      <c r="W169" s="295" t="str">
        <f>IF(E169="","",IF(AND(V169="Standard difficulty applied",O169&gt;P169),U169,IF(AND(V169="Low Difficulty - only applicable if all habitat created before losses ⚠",P169&gt;=O169),"Low",VLOOKUP(F169,'G-3 Multipliers'!$A$2:$E$134,4,FALSE))))</f>
        <v/>
      </c>
      <c r="X169" s="299" t="str">
        <f>IFERROR(IF(E169="","",VLOOKUP(W169,'G-3 Multipliers'!$P$2:$Q$6,2,FALSE)),"")</f>
        <v/>
      </c>
      <c r="Y169" s="393"/>
      <c r="Z169" s="510" t="str">
        <f>IF(Y169="","",IF(VLOOKUP(Y169,'G-3 Multipliers'!$S$3:$T$10,2,FALSE)=0,"Spatial Data Missing ⚠",VLOOKUP(Y169,'G-3 Multipliers'!$S$3:$T$10,2,FALSE)))</f>
        <v/>
      </c>
      <c r="AA169" s="926" t="str">
        <f t="shared" si="15"/>
        <v/>
      </c>
      <c r="AB169" s="928" t="str">
        <f t="shared" si="20"/>
        <v/>
      </c>
      <c r="AC169" s="105"/>
      <c r="AD169" s="138"/>
      <c r="AE169" s="233"/>
      <c r="AF169" s="138"/>
      <c r="AG169" s="934"/>
      <c r="AJ169" s="40" t="str">
        <f t="shared" si="16"/>
        <v/>
      </c>
    </row>
    <row r="170" spans="1:36" ht="14">
      <c r="A170" s="30" t="str">
        <f>IFERROR(INDEX('G-8 Condition Look up'!$I$4:$I$135,MATCH(F170,'G-8 Condition Look up'!$A$4:$A$135,0)),"")</f>
        <v/>
      </c>
      <c r="B170" s="225">
        <v>160</v>
      </c>
      <c r="C170" s="66" t="str">
        <f>IFERROR(INDEX('G-1 All Habitats'!$AG$25:$AG$41,MATCH(D170,'G-1 All Habitats'!AF$25:AF$41,0)),"")</f>
        <v/>
      </c>
      <c r="D170" s="105"/>
      <c r="E170" s="138"/>
      <c r="F170" s="158" t="str">
        <f>IFERROR(INDEX('G-1 All Habitats'!$B$3:$B$136,MATCH(E170,'G-1 All Habitats'!$A$3:$A$136,0)),"")</f>
        <v/>
      </c>
      <c r="G170" s="233"/>
      <c r="H170" s="311" t="str">
        <f>IF(F170="","",VLOOKUP(F170,'G-1 All Habitats'!$B$2:$M$135,10,FALSE))</f>
        <v/>
      </c>
      <c r="I170" s="299" t="str">
        <f>IFERROR(VLOOKUP(H170,'G-1 All Habitats'!$V$3:$W$7,2,FALSE),"")</f>
        <v/>
      </c>
      <c r="J170" s="136"/>
      <c r="K170" s="299" t="str">
        <f>IFERROR(INDEX('G-8 Condition Look up'!$A$3:$H$135,MATCH(F170,'G-8 Condition Look up'!$A$3:$A$135,0),MATCH(J170,'G-8 Condition Look up'!$A$3:$H$3,0)),"")</f>
        <v/>
      </c>
      <c r="L170" s="101"/>
      <c r="M170" s="314" t="str">
        <f>IF(L170="","",IF(VLOOKUP(L170,'G-3 Multipliers'!$L$3:$N$6,2,FALSE)=0,"Spatial Data Missing ⚠",VLOOKUP(L170,'G-3 Multipliers'!$L$3:$N$6,2,FALSE)))</f>
        <v/>
      </c>
      <c r="N170" s="276" t="str">
        <f>IF(L170="","",IF(VLOOKUP(L170,'G-3 Multipliers'!$L$3:$N$6,3,FALSE)=0,"Spatial Data Missing ⚠",VLOOKUP(L170,'G-3 Multipliers'!$L$3:$N$6,3,FALSE)))</f>
        <v/>
      </c>
      <c r="O170" s="275" t="str">
        <f t="shared" si="14"/>
        <v/>
      </c>
      <c r="P170" s="133"/>
      <c r="Q170" s="133"/>
      <c r="R170" s="295" t="str">
        <f t="shared" si="17"/>
        <v/>
      </c>
      <c r="S170" s="316" t="str">
        <f t="shared" si="18"/>
        <v/>
      </c>
      <c r="T170" s="300" t="str">
        <f>IFERROR(IF(S170="Check Data ⚠","Check Data ⚠",VLOOKUP(S170,'G-4 Temporal multipliers'!$A$4:$C$37,3,FALSE)),"")</f>
        <v/>
      </c>
      <c r="U170" s="298" t="str">
        <f>IF(F170="","",VLOOKUP(F170,'G-3 Multipliers'!$A$2:$E$134,2,FALSE))</f>
        <v/>
      </c>
      <c r="V170" s="295" t="str">
        <f t="shared" si="19"/>
        <v/>
      </c>
      <c r="W170" s="295" t="str">
        <f>IF(E170="","",IF(AND(V170="Standard difficulty applied",O170&gt;P170),U170,IF(AND(V170="Low Difficulty - only applicable if all habitat created before losses ⚠",P170&gt;=O170),"Low",VLOOKUP(F170,'G-3 Multipliers'!$A$2:$E$134,4,FALSE))))</f>
        <v/>
      </c>
      <c r="X170" s="299" t="str">
        <f>IFERROR(IF(E170="","",VLOOKUP(W170,'G-3 Multipliers'!$P$2:$Q$6,2,FALSE)),"")</f>
        <v/>
      </c>
      <c r="Y170" s="393"/>
      <c r="Z170" s="510" t="str">
        <f>IF(Y170="","",IF(VLOOKUP(Y170,'G-3 Multipliers'!$S$3:$T$10,2,FALSE)=0,"Spatial Data Missing ⚠",VLOOKUP(Y170,'G-3 Multipliers'!$S$3:$T$10,2,FALSE)))</f>
        <v/>
      </c>
      <c r="AA170" s="926" t="str">
        <f t="shared" si="15"/>
        <v/>
      </c>
      <c r="AB170" s="928" t="str">
        <f t="shared" si="20"/>
        <v/>
      </c>
      <c r="AC170" s="105"/>
      <c r="AD170" s="138"/>
      <c r="AE170" s="233"/>
      <c r="AF170" s="138"/>
      <c r="AG170" s="934"/>
      <c r="AJ170" s="40" t="str">
        <f t="shared" si="16"/>
        <v/>
      </c>
    </row>
    <row r="171" spans="1:36" ht="14">
      <c r="A171" s="30" t="str">
        <f>IFERROR(INDEX('G-8 Condition Look up'!$I$4:$I$135,MATCH(F171,'G-8 Condition Look up'!$A$4:$A$135,0)),"")</f>
        <v/>
      </c>
      <c r="B171" s="225">
        <v>161</v>
      </c>
      <c r="C171" s="66" t="str">
        <f>IFERROR(INDEX('G-1 All Habitats'!$AG$25:$AG$41,MATCH(D171,'G-1 All Habitats'!AF$25:AF$41,0)),"")</f>
        <v/>
      </c>
      <c r="D171" s="105"/>
      <c r="E171" s="138"/>
      <c r="F171" s="158" t="str">
        <f>IFERROR(INDEX('G-1 All Habitats'!$B$3:$B$136,MATCH(E171,'G-1 All Habitats'!$A$3:$A$136,0)),"")</f>
        <v/>
      </c>
      <c r="G171" s="233"/>
      <c r="H171" s="311" t="str">
        <f>IF(F171="","",VLOOKUP(F171,'G-1 All Habitats'!$B$2:$M$135,10,FALSE))</f>
        <v/>
      </c>
      <c r="I171" s="299" t="str">
        <f>IFERROR(VLOOKUP(H171,'G-1 All Habitats'!$V$3:$W$7,2,FALSE),"")</f>
        <v/>
      </c>
      <c r="J171" s="136"/>
      <c r="K171" s="299" t="str">
        <f>IFERROR(INDEX('G-8 Condition Look up'!$A$3:$H$135,MATCH(F171,'G-8 Condition Look up'!$A$3:$A$135,0),MATCH(J171,'G-8 Condition Look up'!$A$3:$H$3,0)),"")</f>
        <v/>
      </c>
      <c r="L171" s="101"/>
      <c r="M171" s="314" t="str">
        <f>IF(L171="","",IF(VLOOKUP(L171,'G-3 Multipliers'!$L$3:$N$6,2,FALSE)=0,"Spatial Data Missing ⚠",VLOOKUP(L171,'G-3 Multipliers'!$L$3:$N$6,2,FALSE)))</f>
        <v/>
      </c>
      <c r="N171" s="276" t="str">
        <f>IF(L171="","",IF(VLOOKUP(L171,'G-3 Multipliers'!$L$3:$N$6,3,FALSE)=0,"Spatial Data Missing ⚠",VLOOKUP(L171,'G-3 Multipliers'!$L$3:$N$6,3,FALSE)))</f>
        <v/>
      </c>
      <c r="O171" s="275" t="str">
        <f t="shared" si="14"/>
        <v/>
      </c>
      <c r="P171" s="133"/>
      <c r="Q171" s="133"/>
      <c r="R171" s="295" t="str">
        <f t="shared" si="17"/>
        <v/>
      </c>
      <c r="S171" s="316" t="str">
        <f t="shared" si="18"/>
        <v/>
      </c>
      <c r="T171" s="300" t="str">
        <f>IFERROR(IF(S171="Check Data ⚠","Check Data ⚠",VLOOKUP(S171,'G-4 Temporal multipliers'!$A$4:$C$37,3,FALSE)),"")</f>
        <v/>
      </c>
      <c r="U171" s="298" t="str">
        <f>IF(F171="","",VLOOKUP(F171,'G-3 Multipliers'!$A$2:$E$134,2,FALSE))</f>
        <v/>
      </c>
      <c r="V171" s="295" t="str">
        <f t="shared" si="19"/>
        <v/>
      </c>
      <c r="W171" s="295" t="str">
        <f>IF(E171="","",IF(AND(V171="Standard difficulty applied",O171&gt;P171),U171,IF(AND(V171="Low Difficulty - only applicable if all habitat created before losses ⚠",P171&gt;=O171),"Low",VLOOKUP(F171,'G-3 Multipliers'!$A$2:$E$134,4,FALSE))))</f>
        <v/>
      </c>
      <c r="X171" s="299" t="str">
        <f>IFERROR(IF(E171="","",VLOOKUP(W171,'G-3 Multipliers'!$P$2:$Q$6,2,FALSE)),"")</f>
        <v/>
      </c>
      <c r="Y171" s="393"/>
      <c r="Z171" s="510" t="str">
        <f>IF(Y171="","",IF(VLOOKUP(Y171,'G-3 Multipliers'!$S$3:$T$10,2,FALSE)=0,"Spatial Data Missing ⚠",VLOOKUP(Y171,'G-3 Multipliers'!$S$3:$T$10,2,FALSE)))</f>
        <v/>
      </c>
      <c r="AA171" s="926" t="str">
        <f t="shared" si="15"/>
        <v/>
      </c>
      <c r="AB171" s="928" t="str">
        <f t="shared" si="20"/>
        <v/>
      </c>
      <c r="AC171" s="105"/>
      <c r="AD171" s="138"/>
      <c r="AE171" s="233"/>
      <c r="AF171" s="138"/>
      <c r="AG171" s="934"/>
      <c r="AJ171" s="40" t="str">
        <f t="shared" si="16"/>
        <v/>
      </c>
    </row>
    <row r="172" spans="1:36" ht="14">
      <c r="A172" s="30" t="str">
        <f>IFERROR(INDEX('G-8 Condition Look up'!$I$4:$I$135,MATCH(F172,'G-8 Condition Look up'!$A$4:$A$135,0)),"")</f>
        <v/>
      </c>
      <c r="B172" s="225">
        <v>162</v>
      </c>
      <c r="C172" s="66" t="str">
        <f>IFERROR(INDEX('G-1 All Habitats'!$AG$25:$AG$41,MATCH(D172,'G-1 All Habitats'!AF$25:AF$41,0)),"")</f>
        <v/>
      </c>
      <c r="D172" s="105"/>
      <c r="E172" s="138"/>
      <c r="F172" s="158" t="str">
        <f>IFERROR(INDEX('G-1 All Habitats'!$B$3:$B$136,MATCH(E172,'G-1 All Habitats'!$A$3:$A$136,0)),"")</f>
        <v/>
      </c>
      <c r="G172" s="233"/>
      <c r="H172" s="311" t="str">
        <f>IF(F172="","",VLOOKUP(F172,'G-1 All Habitats'!$B$2:$M$135,10,FALSE))</f>
        <v/>
      </c>
      <c r="I172" s="299" t="str">
        <f>IFERROR(VLOOKUP(H172,'G-1 All Habitats'!$V$3:$W$7,2,FALSE),"")</f>
        <v/>
      </c>
      <c r="J172" s="136"/>
      <c r="K172" s="299" t="str">
        <f>IFERROR(INDEX('G-8 Condition Look up'!$A$3:$H$135,MATCH(F172,'G-8 Condition Look up'!$A$3:$A$135,0),MATCH(J172,'G-8 Condition Look up'!$A$3:$H$3,0)),"")</f>
        <v/>
      </c>
      <c r="L172" s="101"/>
      <c r="M172" s="314" t="str">
        <f>IF(L172="","",IF(VLOOKUP(L172,'G-3 Multipliers'!$L$3:$N$6,2,FALSE)=0,"Spatial Data Missing ⚠",VLOOKUP(L172,'G-3 Multipliers'!$L$3:$N$6,2,FALSE)))</f>
        <v/>
      </c>
      <c r="N172" s="276" t="str">
        <f>IF(L172="","",IF(VLOOKUP(L172,'G-3 Multipliers'!$L$3:$N$6,3,FALSE)=0,"Spatial Data Missing ⚠",VLOOKUP(L172,'G-3 Multipliers'!$L$3:$N$6,3,FALSE)))</f>
        <v/>
      </c>
      <c r="O172" s="275" t="str">
        <f t="shared" si="14"/>
        <v/>
      </c>
      <c r="P172" s="133"/>
      <c r="Q172" s="133"/>
      <c r="R172" s="295" t="str">
        <f t="shared" si="17"/>
        <v/>
      </c>
      <c r="S172" s="316" t="str">
        <f t="shared" si="18"/>
        <v/>
      </c>
      <c r="T172" s="300" t="str">
        <f>IFERROR(IF(S172="Check Data ⚠","Check Data ⚠",VLOOKUP(S172,'G-4 Temporal multipliers'!$A$4:$C$37,3,FALSE)),"")</f>
        <v/>
      </c>
      <c r="U172" s="298" t="str">
        <f>IF(F172="","",VLOOKUP(F172,'G-3 Multipliers'!$A$2:$E$134,2,FALSE))</f>
        <v/>
      </c>
      <c r="V172" s="295" t="str">
        <f t="shared" si="19"/>
        <v/>
      </c>
      <c r="W172" s="295" t="str">
        <f>IF(E172="","",IF(AND(V172="Standard difficulty applied",O172&gt;P172),U172,IF(AND(V172="Low Difficulty - only applicable if all habitat created before losses ⚠",P172&gt;=O172),"Low",VLOOKUP(F172,'G-3 Multipliers'!$A$2:$E$134,4,FALSE))))</f>
        <v/>
      </c>
      <c r="X172" s="299" t="str">
        <f>IFERROR(IF(E172="","",VLOOKUP(W172,'G-3 Multipliers'!$P$2:$Q$6,2,FALSE)),"")</f>
        <v/>
      </c>
      <c r="Y172" s="393"/>
      <c r="Z172" s="510" t="str">
        <f>IF(Y172="","",IF(VLOOKUP(Y172,'G-3 Multipliers'!$S$3:$T$10,2,FALSE)=0,"Spatial Data Missing ⚠",VLOOKUP(Y172,'G-3 Multipliers'!$S$3:$T$10,2,FALSE)))</f>
        <v/>
      </c>
      <c r="AA172" s="926" t="str">
        <f t="shared" si="15"/>
        <v/>
      </c>
      <c r="AB172" s="928" t="str">
        <f t="shared" si="20"/>
        <v/>
      </c>
      <c r="AC172" s="105"/>
      <c r="AD172" s="138"/>
      <c r="AE172" s="233"/>
      <c r="AF172" s="138"/>
      <c r="AG172" s="934"/>
      <c r="AJ172" s="40" t="str">
        <f t="shared" si="16"/>
        <v/>
      </c>
    </row>
    <row r="173" spans="1:36" ht="14">
      <c r="A173" s="30" t="str">
        <f>IFERROR(INDEX('G-8 Condition Look up'!$I$4:$I$135,MATCH(F173,'G-8 Condition Look up'!$A$4:$A$135,0)),"")</f>
        <v/>
      </c>
      <c r="B173" s="225">
        <v>163</v>
      </c>
      <c r="C173" s="66" t="str">
        <f>IFERROR(INDEX('G-1 All Habitats'!$AG$25:$AG$41,MATCH(D173,'G-1 All Habitats'!AF$25:AF$41,0)),"")</f>
        <v/>
      </c>
      <c r="D173" s="105"/>
      <c r="E173" s="138"/>
      <c r="F173" s="158" t="str">
        <f>IFERROR(INDEX('G-1 All Habitats'!$B$3:$B$136,MATCH(E173,'G-1 All Habitats'!$A$3:$A$136,0)),"")</f>
        <v/>
      </c>
      <c r="G173" s="233"/>
      <c r="H173" s="311" t="str">
        <f>IF(F173="","",VLOOKUP(F173,'G-1 All Habitats'!$B$2:$M$135,10,FALSE))</f>
        <v/>
      </c>
      <c r="I173" s="299" t="str">
        <f>IFERROR(VLOOKUP(H173,'G-1 All Habitats'!$V$3:$W$7,2,FALSE),"")</f>
        <v/>
      </c>
      <c r="J173" s="136"/>
      <c r="K173" s="299" t="str">
        <f>IFERROR(INDEX('G-8 Condition Look up'!$A$3:$H$135,MATCH(F173,'G-8 Condition Look up'!$A$3:$A$135,0),MATCH(J173,'G-8 Condition Look up'!$A$3:$H$3,0)),"")</f>
        <v/>
      </c>
      <c r="L173" s="101"/>
      <c r="M173" s="314" t="str">
        <f>IF(L173="","",IF(VLOOKUP(L173,'G-3 Multipliers'!$L$3:$N$6,2,FALSE)=0,"Spatial Data Missing ⚠",VLOOKUP(L173,'G-3 Multipliers'!$L$3:$N$6,2,FALSE)))</f>
        <v/>
      </c>
      <c r="N173" s="276" t="str">
        <f>IF(L173="","",IF(VLOOKUP(L173,'G-3 Multipliers'!$L$3:$N$6,3,FALSE)=0,"Spatial Data Missing ⚠",VLOOKUP(L173,'G-3 Multipliers'!$L$3:$N$6,3,FALSE)))</f>
        <v/>
      </c>
      <c r="O173" s="275" t="str">
        <f t="shared" si="14"/>
        <v/>
      </c>
      <c r="P173" s="133"/>
      <c r="Q173" s="133"/>
      <c r="R173" s="295" t="str">
        <f t="shared" si="17"/>
        <v/>
      </c>
      <c r="S173" s="316" t="str">
        <f t="shared" si="18"/>
        <v/>
      </c>
      <c r="T173" s="300" t="str">
        <f>IFERROR(IF(S173="Check Data ⚠","Check Data ⚠",VLOOKUP(S173,'G-4 Temporal multipliers'!$A$4:$C$37,3,FALSE)),"")</f>
        <v/>
      </c>
      <c r="U173" s="298" t="str">
        <f>IF(F173="","",VLOOKUP(F173,'G-3 Multipliers'!$A$2:$E$134,2,FALSE))</f>
        <v/>
      </c>
      <c r="V173" s="295" t="str">
        <f t="shared" si="19"/>
        <v/>
      </c>
      <c r="W173" s="295" t="str">
        <f>IF(E173="","",IF(AND(V173="Standard difficulty applied",O173&gt;P173),U173,IF(AND(V173="Low Difficulty - only applicable if all habitat created before losses ⚠",P173&gt;=O173),"Low",VLOOKUP(F173,'G-3 Multipliers'!$A$2:$E$134,4,FALSE))))</f>
        <v/>
      </c>
      <c r="X173" s="299" t="str">
        <f>IFERROR(IF(E173="","",VLOOKUP(W173,'G-3 Multipliers'!$P$2:$Q$6,2,FALSE)),"")</f>
        <v/>
      </c>
      <c r="Y173" s="393"/>
      <c r="Z173" s="510" t="str">
        <f>IF(Y173="","",IF(VLOOKUP(Y173,'G-3 Multipliers'!$S$3:$T$10,2,FALSE)=0,"Spatial Data Missing ⚠",VLOOKUP(Y173,'G-3 Multipliers'!$S$3:$T$10,2,FALSE)))</f>
        <v/>
      </c>
      <c r="AA173" s="926" t="str">
        <f t="shared" si="15"/>
        <v/>
      </c>
      <c r="AB173" s="928" t="str">
        <f t="shared" si="20"/>
        <v/>
      </c>
      <c r="AC173" s="105"/>
      <c r="AD173" s="138"/>
      <c r="AE173" s="233"/>
      <c r="AF173" s="138"/>
      <c r="AG173" s="934"/>
      <c r="AJ173" s="40" t="str">
        <f t="shared" si="16"/>
        <v/>
      </c>
    </row>
    <row r="174" spans="1:36" ht="14">
      <c r="A174" s="30" t="str">
        <f>IFERROR(INDEX('G-8 Condition Look up'!$I$4:$I$135,MATCH(F174,'G-8 Condition Look up'!$A$4:$A$135,0)),"")</f>
        <v/>
      </c>
      <c r="B174" s="225">
        <v>164</v>
      </c>
      <c r="C174" s="66" t="str">
        <f>IFERROR(INDEX('G-1 All Habitats'!$AG$25:$AG$41,MATCH(D174,'G-1 All Habitats'!AF$25:AF$41,0)),"")</f>
        <v/>
      </c>
      <c r="D174" s="105"/>
      <c r="E174" s="138"/>
      <c r="F174" s="158" t="str">
        <f>IFERROR(INDEX('G-1 All Habitats'!$B$3:$B$136,MATCH(E174,'G-1 All Habitats'!$A$3:$A$136,0)),"")</f>
        <v/>
      </c>
      <c r="G174" s="233"/>
      <c r="H174" s="311" t="str">
        <f>IF(F174="","",VLOOKUP(F174,'G-1 All Habitats'!$B$2:$M$135,10,FALSE))</f>
        <v/>
      </c>
      <c r="I174" s="299" t="str">
        <f>IFERROR(VLOOKUP(H174,'G-1 All Habitats'!$V$3:$W$7,2,FALSE),"")</f>
        <v/>
      </c>
      <c r="J174" s="136"/>
      <c r="K174" s="299" t="str">
        <f>IFERROR(INDEX('G-8 Condition Look up'!$A$3:$H$135,MATCH(F174,'G-8 Condition Look up'!$A$3:$A$135,0),MATCH(J174,'G-8 Condition Look up'!$A$3:$H$3,0)),"")</f>
        <v/>
      </c>
      <c r="L174" s="101"/>
      <c r="M174" s="314" t="str">
        <f>IF(L174="","",IF(VLOOKUP(L174,'G-3 Multipliers'!$L$3:$N$6,2,FALSE)=0,"Spatial Data Missing ⚠",VLOOKUP(L174,'G-3 Multipliers'!$L$3:$N$6,2,FALSE)))</f>
        <v/>
      </c>
      <c r="N174" s="276" t="str">
        <f>IF(L174="","",IF(VLOOKUP(L174,'G-3 Multipliers'!$L$3:$N$6,3,FALSE)=0,"Spatial Data Missing ⚠",VLOOKUP(L174,'G-3 Multipliers'!$L$3:$N$6,3,FALSE)))</f>
        <v/>
      </c>
      <c r="O174" s="275" t="str">
        <f t="shared" si="14"/>
        <v/>
      </c>
      <c r="P174" s="133"/>
      <c r="Q174" s="133"/>
      <c r="R174" s="295" t="str">
        <f t="shared" si="17"/>
        <v/>
      </c>
      <c r="S174" s="316" t="str">
        <f t="shared" si="18"/>
        <v/>
      </c>
      <c r="T174" s="300" t="str">
        <f>IFERROR(IF(S174="Check Data ⚠","Check Data ⚠",VLOOKUP(S174,'G-4 Temporal multipliers'!$A$4:$C$37,3,FALSE)),"")</f>
        <v/>
      </c>
      <c r="U174" s="298" t="str">
        <f>IF(F174="","",VLOOKUP(F174,'G-3 Multipliers'!$A$2:$E$134,2,FALSE))</f>
        <v/>
      </c>
      <c r="V174" s="295" t="str">
        <f t="shared" si="19"/>
        <v/>
      </c>
      <c r="W174" s="295" t="str">
        <f>IF(E174="","",IF(AND(V174="Standard difficulty applied",O174&gt;P174),U174,IF(AND(V174="Low Difficulty - only applicable if all habitat created before losses ⚠",P174&gt;=O174),"Low",VLOOKUP(F174,'G-3 Multipliers'!$A$2:$E$134,4,FALSE))))</f>
        <v/>
      </c>
      <c r="X174" s="299" t="str">
        <f>IFERROR(IF(E174="","",VLOOKUP(W174,'G-3 Multipliers'!$P$2:$Q$6,2,FALSE)),"")</f>
        <v/>
      </c>
      <c r="Y174" s="393"/>
      <c r="Z174" s="510" t="str">
        <f>IF(Y174="","",IF(VLOOKUP(Y174,'G-3 Multipliers'!$S$3:$T$10,2,FALSE)=0,"Spatial Data Missing ⚠",VLOOKUP(Y174,'G-3 Multipliers'!$S$3:$T$10,2,FALSE)))</f>
        <v/>
      </c>
      <c r="AA174" s="926" t="str">
        <f t="shared" si="15"/>
        <v/>
      </c>
      <c r="AB174" s="928" t="str">
        <f t="shared" si="20"/>
        <v/>
      </c>
      <c r="AC174" s="105"/>
      <c r="AD174" s="138"/>
      <c r="AE174" s="233"/>
      <c r="AF174" s="138"/>
      <c r="AG174" s="934"/>
      <c r="AJ174" s="40" t="str">
        <f t="shared" si="16"/>
        <v/>
      </c>
    </row>
    <row r="175" spans="1:36" ht="14">
      <c r="A175" s="30" t="str">
        <f>IFERROR(INDEX('G-8 Condition Look up'!$I$4:$I$135,MATCH(F175,'G-8 Condition Look up'!$A$4:$A$135,0)),"")</f>
        <v/>
      </c>
      <c r="B175" s="225">
        <v>165</v>
      </c>
      <c r="C175" s="66" t="str">
        <f>IFERROR(INDEX('G-1 All Habitats'!$AG$25:$AG$41,MATCH(D175,'G-1 All Habitats'!AF$25:AF$41,0)),"")</f>
        <v/>
      </c>
      <c r="D175" s="105"/>
      <c r="E175" s="138"/>
      <c r="F175" s="158" t="str">
        <f>IFERROR(INDEX('G-1 All Habitats'!$B$3:$B$136,MATCH(E175,'G-1 All Habitats'!$A$3:$A$136,0)),"")</f>
        <v/>
      </c>
      <c r="G175" s="233"/>
      <c r="H175" s="311" t="str">
        <f>IF(F175="","",VLOOKUP(F175,'G-1 All Habitats'!$B$2:$M$135,10,FALSE))</f>
        <v/>
      </c>
      <c r="I175" s="299" t="str">
        <f>IFERROR(VLOOKUP(H175,'G-1 All Habitats'!$V$3:$W$7,2,FALSE),"")</f>
        <v/>
      </c>
      <c r="J175" s="136"/>
      <c r="K175" s="299" t="str">
        <f>IFERROR(INDEX('G-8 Condition Look up'!$A$3:$H$135,MATCH(F175,'G-8 Condition Look up'!$A$3:$A$135,0),MATCH(J175,'G-8 Condition Look up'!$A$3:$H$3,0)),"")</f>
        <v/>
      </c>
      <c r="L175" s="101"/>
      <c r="M175" s="314" t="str">
        <f>IF(L175="","",IF(VLOOKUP(L175,'G-3 Multipliers'!$L$3:$N$6,2,FALSE)=0,"Spatial Data Missing ⚠",VLOOKUP(L175,'G-3 Multipliers'!$L$3:$N$6,2,FALSE)))</f>
        <v/>
      </c>
      <c r="N175" s="276" t="str">
        <f>IF(L175="","",IF(VLOOKUP(L175,'G-3 Multipliers'!$L$3:$N$6,3,FALSE)=0,"Spatial Data Missing ⚠",VLOOKUP(L175,'G-3 Multipliers'!$L$3:$N$6,3,FALSE)))</f>
        <v/>
      </c>
      <c r="O175" s="275" t="str">
        <f t="shared" si="14"/>
        <v/>
      </c>
      <c r="P175" s="133"/>
      <c r="Q175" s="133"/>
      <c r="R175" s="295" t="str">
        <f t="shared" si="17"/>
        <v/>
      </c>
      <c r="S175" s="316" t="str">
        <f t="shared" si="18"/>
        <v/>
      </c>
      <c r="T175" s="300" t="str">
        <f>IFERROR(IF(S175="Check Data ⚠","Check Data ⚠",VLOOKUP(S175,'G-4 Temporal multipliers'!$A$4:$C$37,3,FALSE)),"")</f>
        <v/>
      </c>
      <c r="U175" s="298" t="str">
        <f>IF(F175="","",VLOOKUP(F175,'G-3 Multipliers'!$A$2:$E$134,2,FALSE))</f>
        <v/>
      </c>
      <c r="V175" s="295" t="str">
        <f t="shared" si="19"/>
        <v/>
      </c>
      <c r="W175" s="295" t="str">
        <f>IF(E175="","",IF(AND(V175="Standard difficulty applied",O175&gt;P175),U175,IF(AND(V175="Low Difficulty - only applicable if all habitat created before losses ⚠",P175&gt;=O175),"Low",VLOOKUP(F175,'G-3 Multipliers'!$A$2:$E$134,4,FALSE))))</f>
        <v/>
      </c>
      <c r="X175" s="299" t="str">
        <f>IFERROR(IF(E175="","",VLOOKUP(W175,'G-3 Multipliers'!$P$2:$Q$6,2,FALSE)),"")</f>
        <v/>
      </c>
      <c r="Y175" s="393"/>
      <c r="Z175" s="510" t="str">
        <f>IF(Y175="","",IF(VLOOKUP(Y175,'G-3 Multipliers'!$S$3:$T$10,2,FALSE)=0,"Spatial Data Missing ⚠",VLOOKUP(Y175,'G-3 Multipliers'!$S$3:$T$10,2,FALSE)))</f>
        <v/>
      </c>
      <c r="AA175" s="926" t="str">
        <f t="shared" si="15"/>
        <v/>
      </c>
      <c r="AB175" s="928" t="str">
        <f t="shared" si="20"/>
        <v/>
      </c>
      <c r="AC175" s="105"/>
      <c r="AD175" s="138"/>
      <c r="AE175" s="233"/>
      <c r="AF175" s="138"/>
      <c r="AG175" s="934"/>
      <c r="AJ175" s="40" t="str">
        <f t="shared" si="16"/>
        <v/>
      </c>
    </row>
    <row r="176" spans="1:36" ht="14">
      <c r="A176" s="30" t="str">
        <f>IFERROR(INDEX('G-8 Condition Look up'!$I$4:$I$135,MATCH(F176,'G-8 Condition Look up'!$A$4:$A$135,0)),"")</f>
        <v/>
      </c>
      <c r="B176" s="225">
        <v>166</v>
      </c>
      <c r="C176" s="66" t="str">
        <f>IFERROR(INDEX('G-1 All Habitats'!$AG$25:$AG$41,MATCH(D176,'G-1 All Habitats'!AF$25:AF$41,0)),"")</f>
        <v/>
      </c>
      <c r="D176" s="105"/>
      <c r="E176" s="138"/>
      <c r="F176" s="158" t="str">
        <f>IFERROR(INDEX('G-1 All Habitats'!$B$3:$B$136,MATCH(E176,'G-1 All Habitats'!$A$3:$A$136,0)),"")</f>
        <v/>
      </c>
      <c r="G176" s="233"/>
      <c r="H176" s="311" t="str">
        <f>IF(F176="","",VLOOKUP(F176,'G-1 All Habitats'!$B$2:$M$135,10,FALSE))</f>
        <v/>
      </c>
      <c r="I176" s="299" t="str">
        <f>IFERROR(VLOOKUP(H176,'G-1 All Habitats'!$V$3:$W$7,2,FALSE),"")</f>
        <v/>
      </c>
      <c r="J176" s="136"/>
      <c r="K176" s="299" t="str">
        <f>IFERROR(INDEX('G-8 Condition Look up'!$A$3:$H$135,MATCH(F176,'G-8 Condition Look up'!$A$3:$A$135,0),MATCH(J176,'G-8 Condition Look up'!$A$3:$H$3,0)),"")</f>
        <v/>
      </c>
      <c r="L176" s="101"/>
      <c r="M176" s="314" t="str">
        <f>IF(L176="","",IF(VLOOKUP(L176,'G-3 Multipliers'!$L$3:$N$6,2,FALSE)=0,"Spatial Data Missing ⚠",VLOOKUP(L176,'G-3 Multipliers'!$L$3:$N$6,2,FALSE)))</f>
        <v/>
      </c>
      <c r="N176" s="276" t="str">
        <f>IF(L176="","",IF(VLOOKUP(L176,'G-3 Multipliers'!$L$3:$N$6,3,FALSE)=0,"Spatial Data Missing ⚠",VLOOKUP(L176,'G-3 Multipliers'!$L$3:$N$6,3,FALSE)))</f>
        <v/>
      </c>
      <c r="O176" s="275" t="str">
        <f t="shared" si="14"/>
        <v/>
      </c>
      <c r="P176" s="133"/>
      <c r="Q176" s="133"/>
      <c r="R176" s="295" t="str">
        <f t="shared" si="17"/>
        <v/>
      </c>
      <c r="S176" s="316" t="str">
        <f t="shared" si="18"/>
        <v/>
      </c>
      <c r="T176" s="300" t="str">
        <f>IFERROR(IF(S176="Check Data ⚠","Check Data ⚠",VLOOKUP(S176,'G-4 Temporal multipliers'!$A$4:$C$37,3,FALSE)),"")</f>
        <v/>
      </c>
      <c r="U176" s="298" t="str">
        <f>IF(F176="","",VLOOKUP(F176,'G-3 Multipliers'!$A$2:$E$134,2,FALSE))</f>
        <v/>
      </c>
      <c r="V176" s="295" t="str">
        <f t="shared" si="19"/>
        <v/>
      </c>
      <c r="W176" s="295" t="str">
        <f>IF(E176="","",IF(AND(V176="Standard difficulty applied",O176&gt;P176),U176,IF(AND(V176="Low Difficulty - only applicable if all habitat created before losses ⚠",P176&gt;=O176),"Low",VLOOKUP(F176,'G-3 Multipliers'!$A$2:$E$134,4,FALSE))))</f>
        <v/>
      </c>
      <c r="X176" s="299" t="str">
        <f>IFERROR(IF(E176="","",VLOOKUP(W176,'G-3 Multipliers'!$P$2:$Q$6,2,FALSE)),"")</f>
        <v/>
      </c>
      <c r="Y176" s="393"/>
      <c r="Z176" s="510" t="str">
        <f>IF(Y176="","",IF(VLOOKUP(Y176,'G-3 Multipliers'!$S$3:$T$10,2,FALSE)=0,"Spatial Data Missing ⚠",VLOOKUP(Y176,'G-3 Multipliers'!$S$3:$T$10,2,FALSE)))</f>
        <v/>
      </c>
      <c r="AA176" s="926" t="str">
        <f t="shared" si="15"/>
        <v/>
      </c>
      <c r="AB176" s="928" t="str">
        <f t="shared" si="20"/>
        <v/>
      </c>
      <c r="AC176" s="105"/>
      <c r="AD176" s="138"/>
      <c r="AE176" s="233"/>
      <c r="AF176" s="138"/>
      <c r="AG176" s="934"/>
      <c r="AJ176" s="40" t="str">
        <f t="shared" si="16"/>
        <v/>
      </c>
    </row>
    <row r="177" spans="1:36" ht="14">
      <c r="A177" s="30" t="str">
        <f>IFERROR(INDEX('G-8 Condition Look up'!$I$4:$I$135,MATCH(F177,'G-8 Condition Look up'!$A$4:$A$135,0)),"")</f>
        <v/>
      </c>
      <c r="B177" s="225">
        <v>167</v>
      </c>
      <c r="C177" s="66" t="str">
        <f>IFERROR(INDEX('G-1 All Habitats'!$AG$25:$AG$41,MATCH(D177,'G-1 All Habitats'!AF$25:AF$41,0)),"")</f>
        <v/>
      </c>
      <c r="D177" s="105"/>
      <c r="E177" s="138"/>
      <c r="F177" s="158" t="str">
        <f>IFERROR(INDEX('G-1 All Habitats'!$B$3:$B$136,MATCH(E177,'G-1 All Habitats'!$A$3:$A$136,0)),"")</f>
        <v/>
      </c>
      <c r="G177" s="233"/>
      <c r="H177" s="311" t="str">
        <f>IF(F177="","",VLOOKUP(F177,'G-1 All Habitats'!$B$2:$M$135,10,FALSE))</f>
        <v/>
      </c>
      <c r="I177" s="299" t="str">
        <f>IFERROR(VLOOKUP(H177,'G-1 All Habitats'!$V$3:$W$7,2,FALSE),"")</f>
        <v/>
      </c>
      <c r="J177" s="136"/>
      <c r="K177" s="299" t="str">
        <f>IFERROR(INDEX('G-8 Condition Look up'!$A$3:$H$135,MATCH(F177,'G-8 Condition Look up'!$A$3:$A$135,0),MATCH(J177,'G-8 Condition Look up'!$A$3:$H$3,0)),"")</f>
        <v/>
      </c>
      <c r="L177" s="101"/>
      <c r="M177" s="314" t="str">
        <f>IF(L177="","",IF(VLOOKUP(L177,'G-3 Multipliers'!$L$3:$N$6,2,FALSE)=0,"Spatial Data Missing ⚠",VLOOKUP(L177,'G-3 Multipliers'!$L$3:$N$6,2,FALSE)))</f>
        <v/>
      </c>
      <c r="N177" s="276" t="str">
        <f>IF(L177="","",IF(VLOOKUP(L177,'G-3 Multipliers'!$L$3:$N$6,3,FALSE)=0,"Spatial Data Missing ⚠",VLOOKUP(L177,'G-3 Multipliers'!$L$3:$N$6,3,FALSE)))</f>
        <v/>
      </c>
      <c r="O177" s="275" t="str">
        <f t="shared" si="14"/>
        <v/>
      </c>
      <c r="P177" s="133"/>
      <c r="Q177" s="133"/>
      <c r="R177" s="295" t="str">
        <f t="shared" si="17"/>
        <v/>
      </c>
      <c r="S177" s="316" t="str">
        <f t="shared" si="18"/>
        <v/>
      </c>
      <c r="T177" s="300" t="str">
        <f>IFERROR(IF(S177="Check Data ⚠","Check Data ⚠",VLOOKUP(S177,'G-4 Temporal multipliers'!$A$4:$C$37,3,FALSE)),"")</f>
        <v/>
      </c>
      <c r="U177" s="298" t="str">
        <f>IF(F177="","",VLOOKUP(F177,'G-3 Multipliers'!$A$2:$E$134,2,FALSE))</f>
        <v/>
      </c>
      <c r="V177" s="295" t="str">
        <f t="shared" si="19"/>
        <v/>
      </c>
      <c r="W177" s="295" t="str">
        <f>IF(E177="","",IF(AND(V177="Standard difficulty applied",O177&gt;P177),U177,IF(AND(V177="Low Difficulty - only applicable if all habitat created before losses ⚠",P177&gt;=O177),"Low",VLOOKUP(F177,'G-3 Multipliers'!$A$2:$E$134,4,FALSE))))</f>
        <v/>
      </c>
      <c r="X177" s="299" t="str">
        <f>IFERROR(IF(E177="","",VLOOKUP(W177,'G-3 Multipliers'!$P$2:$Q$6,2,FALSE)),"")</f>
        <v/>
      </c>
      <c r="Y177" s="393"/>
      <c r="Z177" s="510" t="str">
        <f>IF(Y177="","",IF(VLOOKUP(Y177,'G-3 Multipliers'!$S$3:$T$10,2,FALSE)=0,"Spatial Data Missing ⚠",VLOOKUP(Y177,'G-3 Multipliers'!$S$3:$T$10,2,FALSE)))</f>
        <v/>
      </c>
      <c r="AA177" s="926" t="str">
        <f t="shared" si="15"/>
        <v/>
      </c>
      <c r="AB177" s="928" t="str">
        <f t="shared" si="20"/>
        <v/>
      </c>
      <c r="AC177" s="105"/>
      <c r="AD177" s="138"/>
      <c r="AE177" s="233"/>
      <c r="AF177" s="138"/>
      <c r="AG177" s="934"/>
      <c r="AJ177" s="40" t="str">
        <f t="shared" si="16"/>
        <v/>
      </c>
    </row>
    <row r="178" spans="1:36" ht="14">
      <c r="A178" s="30" t="str">
        <f>IFERROR(INDEX('G-8 Condition Look up'!$I$4:$I$135,MATCH(F178,'G-8 Condition Look up'!$A$4:$A$135,0)),"")</f>
        <v/>
      </c>
      <c r="B178" s="225">
        <v>168</v>
      </c>
      <c r="C178" s="66" t="str">
        <f>IFERROR(INDEX('G-1 All Habitats'!$AG$25:$AG$41,MATCH(D178,'G-1 All Habitats'!AF$25:AF$41,0)),"")</f>
        <v/>
      </c>
      <c r="D178" s="105"/>
      <c r="E178" s="138"/>
      <c r="F178" s="158" t="str">
        <f>IFERROR(INDEX('G-1 All Habitats'!$B$3:$B$136,MATCH(E178,'G-1 All Habitats'!$A$3:$A$136,0)),"")</f>
        <v/>
      </c>
      <c r="G178" s="233"/>
      <c r="H178" s="311" t="str">
        <f>IF(F178="","",VLOOKUP(F178,'G-1 All Habitats'!$B$2:$M$135,10,FALSE))</f>
        <v/>
      </c>
      <c r="I178" s="299" t="str">
        <f>IFERROR(VLOOKUP(H178,'G-1 All Habitats'!$V$3:$W$7,2,FALSE),"")</f>
        <v/>
      </c>
      <c r="J178" s="136"/>
      <c r="K178" s="299" t="str">
        <f>IFERROR(INDEX('G-8 Condition Look up'!$A$3:$H$135,MATCH(F178,'G-8 Condition Look up'!$A$3:$A$135,0),MATCH(J178,'G-8 Condition Look up'!$A$3:$H$3,0)),"")</f>
        <v/>
      </c>
      <c r="L178" s="101"/>
      <c r="M178" s="314" t="str">
        <f>IF(L178="","",IF(VLOOKUP(L178,'G-3 Multipliers'!$L$3:$N$6,2,FALSE)=0,"Spatial Data Missing ⚠",VLOOKUP(L178,'G-3 Multipliers'!$L$3:$N$6,2,FALSE)))</f>
        <v/>
      </c>
      <c r="N178" s="276" t="str">
        <f>IF(L178="","",IF(VLOOKUP(L178,'G-3 Multipliers'!$L$3:$N$6,3,FALSE)=0,"Spatial Data Missing ⚠",VLOOKUP(L178,'G-3 Multipliers'!$L$3:$N$6,3,FALSE)))</f>
        <v/>
      </c>
      <c r="O178" s="275" t="str">
        <f t="shared" si="14"/>
        <v/>
      </c>
      <c r="P178" s="133"/>
      <c r="Q178" s="133"/>
      <c r="R178" s="295" t="str">
        <f t="shared" si="17"/>
        <v/>
      </c>
      <c r="S178" s="316" t="str">
        <f t="shared" si="18"/>
        <v/>
      </c>
      <c r="T178" s="300" t="str">
        <f>IFERROR(IF(S178="Check Data ⚠","Check Data ⚠",VLOOKUP(S178,'G-4 Temporal multipliers'!$A$4:$C$37,3,FALSE)),"")</f>
        <v/>
      </c>
      <c r="U178" s="298" t="str">
        <f>IF(F178="","",VLOOKUP(F178,'G-3 Multipliers'!$A$2:$E$134,2,FALSE))</f>
        <v/>
      </c>
      <c r="V178" s="295" t="str">
        <f t="shared" si="19"/>
        <v/>
      </c>
      <c r="W178" s="295" t="str">
        <f>IF(E178="","",IF(AND(V178="Standard difficulty applied",O178&gt;P178),U178,IF(AND(V178="Low Difficulty - only applicable if all habitat created before losses ⚠",P178&gt;=O178),"Low",VLOOKUP(F178,'G-3 Multipliers'!$A$2:$E$134,4,FALSE))))</f>
        <v/>
      </c>
      <c r="X178" s="299" t="str">
        <f>IFERROR(IF(E178="","",VLOOKUP(W178,'G-3 Multipliers'!$P$2:$Q$6,2,FALSE)),"")</f>
        <v/>
      </c>
      <c r="Y178" s="393"/>
      <c r="Z178" s="510" t="str">
        <f>IF(Y178="","",IF(VLOOKUP(Y178,'G-3 Multipliers'!$S$3:$T$10,2,FALSE)=0,"Spatial Data Missing ⚠",VLOOKUP(Y178,'G-3 Multipliers'!$S$3:$T$10,2,FALSE)))</f>
        <v/>
      </c>
      <c r="AA178" s="926" t="str">
        <f t="shared" si="15"/>
        <v/>
      </c>
      <c r="AB178" s="928" t="str">
        <f t="shared" si="20"/>
        <v/>
      </c>
      <c r="AC178" s="105"/>
      <c r="AD178" s="138"/>
      <c r="AE178" s="233"/>
      <c r="AF178" s="138"/>
      <c r="AG178" s="934"/>
      <c r="AJ178" s="40" t="str">
        <f t="shared" si="16"/>
        <v/>
      </c>
    </row>
    <row r="179" spans="1:36" ht="14">
      <c r="A179" s="30" t="str">
        <f>IFERROR(INDEX('G-8 Condition Look up'!$I$4:$I$135,MATCH(F179,'G-8 Condition Look up'!$A$4:$A$135,0)),"")</f>
        <v/>
      </c>
      <c r="B179" s="225">
        <v>169</v>
      </c>
      <c r="C179" s="66" t="str">
        <f>IFERROR(INDEX('G-1 All Habitats'!$AG$25:$AG$41,MATCH(D179,'G-1 All Habitats'!AF$25:AF$41,0)),"")</f>
        <v/>
      </c>
      <c r="D179" s="105"/>
      <c r="E179" s="138"/>
      <c r="F179" s="158" t="str">
        <f>IFERROR(INDEX('G-1 All Habitats'!$B$3:$B$136,MATCH(E179,'G-1 All Habitats'!$A$3:$A$136,0)),"")</f>
        <v/>
      </c>
      <c r="G179" s="233"/>
      <c r="H179" s="311" t="str">
        <f>IF(F179="","",VLOOKUP(F179,'G-1 All Habitats'!$B$2:$M$135,10,FALSE))</f>
        <v/>
      </c>
      <c r="I179" s="299" t="str">
        <f>IFERROR(VLOOKUP(H179,'G-1 All Habitats'!$V$3:$W$7,2,FALSE),"")</f>
        <v/>
      </c>
      <c r="J179" s="136"/>
      <c r="K179" s="299" t="str">
        <f>IFERROR(INDEX('G-8 Condition Look up'!$A$3:$H$135,MATCH(F179,'G-8 Condition Look up'!$A$3:$A$135,0),MATCH(J179,'G-8 Condition Look up'!$A$3:$H$3,0)),"")</f>
        <v/>
      </c>
      <c r="L179" s="101"/>
      <c r="M179" s="314" t="str">
        <f>IF(L179="","",IF(VLOOKUP(L179,'G-3 Multipliers'!$L$3:$N$6,2,FALSE)=0,"Spatial Data Missing ⚠",VLOOKUP(L179,'G-3 Multipliers'!$L$3:$N$6,2,FALSE)))</f>
        <v/>
      </c>
      <c r="N179" s="276" t="str">
        <f>IF(L179="","",IF(VLOOKUP(L179,'G-3 Multipliers'!$L$3:$N$6,3,FALSE)=0,"Spatial Data Missing ⚠",VLOOKUP(L179,'G-3 Multipliers'!$L$3:$N$6,3,FALSE)))</f>
        <v/>
      </c>
      <c r="O179" s="275" t="str">
        <f t="shared" si="14"/>
        <v/>
      </c>
      <c r="P179" s="133"/>
      <c r="Q179" s="133"/>
      <c r="R179" s="295" t="str">
        <f t="shared" si="17"/>
        <v/>
      </c>
      <c r="S179" s="316" t="str">
        <f t="shared" si="18"/>
        <v/>
      </c>
      <c r="T179" s="300" t="str">
        <f>IFERROR(IF(S179="Check Data ⚠","Check Data ⚠",VLOOKUP(S179,'G-4 Temporal multipliers'!$A$4:$C$37,3,FALSE)),"")</f>
        <v/>
      </c>
      <c r="U179" s="298" t="str">
        <f>IF(F179="","",VLOOKUP(F179,'G-3 Multipliers'!$A$2:$E$134,2,FALSE))</f>
        <v/>
      </c>
      <c r="V179" s="295" t="str">
        <f t="shared" si="19"/>
        <v/>
      </c>
      <c r="W179" s="295" t="str">
        <f>IF(E179="","",IF(AND(V179="Standard difficulty applied",O179&gt;P179),U179,IF(AND(V179="Low Difficulty - only applicable if all habitat created before losses ⚠",P179&gt;=O179),"Low",VLOOKUP(F179,'G-3 Multipliers'!$A$2:$E$134,4,FALSE))))</f>
        <v/>
      </c>
      <c r="X179" s="299" t="str">
        <f>IFERROR(IF(E179="","",VLOOKUP(W179,'G-3 Multipliers'!$P$2:$Q$6,2,FALSE)),"")</f>
        <v/>
      </c>
      <c r="Y179" s="393"/>
      <c r="Z179" s="510" t="str">
        <f>IF(Y179="","",IF(VLOOKUP(Y179,'G-3 Multipliers'!$S$3:$T$10,2,FALSE)=0,"Spatial Data Missing ⚠",VLOOKUP(Y179,'G-3 Multipliers'!$S$3:$T$10,2,FALSE)))</f>
        <v/>
      </c>
      <c r="AA179" s="926" t="str">
        <f t="shared" si="15"/>
        <v/>
      </c>
      <c r="AB179" s="928" t="str">
        <f t="shared" si="20"/>
        <v/>
      </c>
      <c r="AC179" s="105"/>
      <c r="AD179" s="138"/>
      <c r="AE179" s="233"/>
      <c r="AF179" s="138"/>
      <c r="AG179" s="934"/>
      <c r="AJ179" s="40" t="str">
        <f t="shared" si="16"/>
        <v/>
      </c>
    </row>
    <row r="180" spans="1:36" ht="14">
      <c r="A180" s="30" t="str">
        <f>IFERROR(INDEX('G-8 Condition Look up'!$I$4:$I$135,MATCH(F180,'G-8 Condition Look up'!$A$4:$A$135,0)),"")</f>
        <v/>
      </c>
      <c r="B180" s="225">
        <v>170</v>
      </c>
      <c r="C180" s="66" t="str">
        <f>IFERROR(INDEX('G-1 All Habitats'!$AG$25:$AG$41,MATCH(D180,'G-1 All Habitats'!AF$25:AF$41,0)),"")</f>
        <v/>
      </c>
      <c r="D180" s="105"/>
      <c r="E180" s="138"/>
      <c r="F180" s="158" t="str">
        <f>IFERROR(INDEX('G-1 All Habitats'!$B$3:$B$136,MATCH(E180,'G-1 All Habitats'!$A$3:$A$136,0)),"")</f>
        <v/>
      </c>
      <c r="G180" s="233"/>
      <c r="H180" s="311" t="str">
        <f>IF(F180="","",VLOOKUP(F180,'G-1 All Habitats'!$B$2:$M$135,10,FALSE))</f>
        <v/>
      </c>
      <c r="I180" s="299" t="str">
        <f>IFERROR(VLOOKUP(H180,'G-1 All Habitats'!$V$3:$W$7,2,FALSE),"")</f>
        <v/>
      </c>
      <c r="J180" s="136"/>
      <c r="K180" s="299" t="str">
        <f>IFERROR(INDEX('G-8 Condition Look up'!$A$3:$H$135,MATCH(F180,'G-8 Condition Look up'!$A$3:$A$135,0),MATCH(J180,'G-8 Condition Look up'!$A$3:$H$3,0)),"")</f>
        <v/>
      </c>
      <c r="L180" s="101"/>
      <c r="M180" s="314" t="str">
        <f>IF(L180="","",IF(VLOOKUP(L180,'G-3 Multipliers'!$L$3:$N$6,2,FALSE)=0,"Spatial Data Missing ⚠",VLOOKUP(L180,'G-3 Multipliers'!$L$3:$N$6,2,FALSE)))</f>
        <v/>
      </c>
      <c r="N180" s="276" t="str">
        <f>IF(L180="","",IF(VLOOKUP(L180,'G-3 Multipliers'!$L$3:$N$6,3,FALSE)=0,"Spatial Data Missing ⚠",VLOOKUP(L180,'G-3 Multipliers'!$L$3:$N$6,3,FALSE)))</f>
        <v/>
      </c>
      <c r="O180" s="275" t="str">
        <f t="shared" si="14"/>
        <v/>
      </c>
      <c r="P180" s="133"/>
      <c r="Q180" s="133"/>
      <c r="R180" s="295" t="str">
        <f t="shared" si="17"/>
        <v/>
      </c>
      <c r="S180" s="316" t="str">
        <f t="shared" si="18"/>
        <v/>
      </c>
      <c r="T180" s="300" t="str">
        <f>IFERROR(IF(S180="Check Data ⚠","Check Data ⚠",VLOOKUP(S180,'G-4 Temporal multipliers'!$A$4:$C$37,3,FALSE)),"")</f>
        <v/>
      </c>
      <c r="U180" s="298" t="str">
        <f>IF(F180="","",VLOOKUP(F180,'G-3 Multipliers'!$A$2:$E$134,2,FALSE))</f>
        <v/>
      </c>
      <c r="V180" s="295" t="str">
        <f t="shared" si="19"/>
        <v/>
      </c>
      <c r="W180" s="295" t="str">
        <f>IF(E180="","",IF(AND(V180="Standard difficulty applied",O180&gt;P180),U180,IF(AND(V180="Low Difficulty - only applicable if all habitat created before losses ⚠",P180&gt;=O180),"Low",VLOOKUP(F180,'G-3 Multipliers'!$A$2:$E$134,4,FALSE))))</f>
        <v/>
      </c>
      <c r="X180" s="299" t="str">
        <f>IFERROR(IF(E180="","",VLOOKUP(W180,'G-3 Multipliers'!$P$2:$Q$6,2,FALSE)),"")</f>
        <v/>
      </c>
      <c r="Y180" s="393"/>
      <c r="Z180" s="510" t="str">
        <f>IF(Y180="","",IF(VLOOKUP(Y180,'G-3 Multipliers'!$S$3:$T$10,2,FALSE)=0,"Spatial Data Missing ⚠",VLOOKUP(Y180,'G-3 Multipliers'!$S$3:$T$10,2,FALSE)))</f>
        <v/>
      </c>
      <c r="AA180" s="926" t="str">
        <f t="shared" si="15"/>
        <v/>
      </c>
      <c r="AB180" s="928" t="str">
        <f t="shared" si="20"/>
        <v/>
      </c>
      <c r="AC180" s="105"/>
      <c r="AD180" s="138"/>
      <c r="AE180" s="233"/>
      <c r="AF180" s="138"/>
      <c r="AG180" s="934"/>
      <c r="AJ180" s="40" t="str">
        <f t="shared" si="16"/>
        <v/>
      </c>
    </row>
    <row r="181" spans="1:36" ht="14">
      <c r="A181" s="30" t="str">
        <f>IFERROR(INDEX('G-8 Condition Look up'!$I$4:$I$135,MATCH(F181,'G-8 Condition Look up'!$A$4:$A$135,0)),"")</f>
        <v/>
      </c>
      <c r="B181" s="225">
        <v>171</v>
      </c>
      <c r="C181" s="66" t="str">
        <f>IFERROR(INDEX('G-1 All Habitats'!$AG$25:$AG$41,MATCH(D181,'G-1 All Habitats'!AF$25:AF$41,0)),"")</f>
        <v/>
      </c>
      <c r="D181" s="105"/>
      <c r="E181" s="138"/>
      <c r="F181" s="158" t="str">
        <f>IFERROR(INDEX('G-1 All Habitats'!$B$3:$B$136,MATCH(E181,'G-1 All Habitats'!$A$3:$A$136,0)),"")</f>
        <v/>
      </c>
      <c r="G181" s="233"/>
      <c r="H181" s="311" t="str">
        <f>IF(F181="","",VLOOKUP(F181,'G-1 All Habitats'!$B$2:$M$135,10,FALSE))</f>
        <v/>
      </c>
      <c r="I181" s="299" t="str">
        <f>IFERROR(VLOOKUP(H181,'G-1 All Habitats'!$V$3:$W$7,2,FALSE),"")</f>
        <v/>
      </c>
      <c r="J181" s="136"/>
      <c r="K181" s="299" t="str">
        <f>IFERROR(INDEX('G-8 Condition Look up'!$A$3:$H$135,MATCH(F181,'G-8 Condition Look up'!$A$3:$A$135,0),MATCH(J181,'G-8 Condition Look up'!$A$3:$H$3,0)),"")</f>
        <v/>
      </c>
      <c r="L181" s="101"/>
      <c r="M181" s="314" t="str">
        <f>IF(L181="","",IF(VLOOKUP(L181,'G-3 Multipliers'!$L$3:$N$6,2,FALSE)=0,"Spatial Data Missing ⚠",VLOOKUP(L181,'G-3 Multipliers'!$L$3:$N$6,2,FALSE)))</f>
        <v/>
      </c>
      <c r="N181" s="276" t="str">
        <f>IF(L181="","",IF(VLOOKUP(L181,'G-3 Multipliers'!$L$3:$N$6,3,FALSE)=0,"Spatial Data Missing ⚠",VLOOKUP(L181,'G-3 Multipliers'!$L$3:$N$6,3,FALSE)))</f>
        <v/>
      </c>
      <c r="O181" s="275" t="str">
        <f t="shared" si="14"/>
        <v/>
      </c>
      <c r="P181" s="133"/>
      <c r="Q181" s="133"/>
      <c r="R181" s="295" t="str">
        <f t="shared" si="17"/>
        <v/>
      </c>
      <c r="S181" s="316" t="str">
        <f t="shared" si="18"/>
        <v/>
      </c>
      <c r="T181" s="300" t="str">
        <f>IFERROR(IF(S181="Check Data ⚠","Check Data ⚠",VLOOKUP(S181,'G-4 Temporal multipliers'!$A$4:$C$37,3,FALSE)),"")</f>
        <v/>
      </c>
      <c r="U181" s="298" t="str">
        <f>IF(F181="","",VLOOKUP(F181,'G-3 Multipliers'!$A$2:$E$134,2,FALSE))</f>
        <v/>
      </c>
      <c r="V181" s="295" t="str">
        <f t="shared" si="19"/>
        <v/>
      </c>
      <c r="W181" s="295" t="str">
        <f>IF(E181="","",IF(AND(V181="Standard difficulty applied",O181&gt;P181),U181,IF(AND(V181="Low Difficulty - only applicable if all habitat created before losses ⚠",P181&gt;=O181),"Low",VLOOKUP(F181,'G-3 Multipliers'!$A$2:$E$134,4,FALSE))))</f>
        <v/>
      </c>
      <c r="X181" s="299" t="str">
        <f>IFERROR(IF(E181="","",VLOOKUP(W181,'G-3 Multipliers'!$P$2:$Q$6,2,FALSE)),"")</f>
        <v/>
      </c>
      <c r="Y181" s="393"/>
      <c r="Z181" s="510" t="str">
        <f>IF(Y181="","",IF(VLOOKUP(Y181,'G-3 Multipliers'!$S$3:$T$10,2,FALSE)=0,"Spatial Data Missing ⚠",VLOOKUP(Y181,'G-3 Multipliers'!$S$3:$T$10,2,FALSE)))</f>
        <v/>
      </c>
      <c r="AA181" s="926" t="str">
        <f t="shared" si="15"/>
        <v/>
      </c>
      <c r="AB181" s="928" t="str">
        <f t="shared" si="20"/>
        <v/>
      </c>
      <c r="AC181" s="105"/>
      <c r="AD181" s="138"/>
      <c r="AE181" s="233"/>
      <c r="AF181" s="138"/>
      <c r="AG181" s="934"/>
      <c r="AJ181" s="40" t="str">
        <f t="shared" si="16"/>
        <v/>
      </c>
    </row>
    <row r="182" spans="1:36" ht="14">
      <c r="A182" s="30" t="str">
        <f>IFERROR(INDEX('G-8 Condition Look up'!$I$4:$I$135,MATCH(F182,'G-8 Condition Look up'!$A$4:$A$135,0)),"")</f>
        <v/>
      </c>
      <c r="B182" s="225">
        <v>172</v>
      </c>
      <c r="C182" s="66" t="str">
        <f>IFERROR(INDEX('G-1 All Habitats'!$AG$25:$AG$41,MATCH(D182,'G-1 All Habitats'!AF$25:AF$41,0)),"")</f>
        <v/>
      </c>
      <c r="D182" s="105"/>
      <c r="E182" s="138"/>
      <c r="F182" s="158" t="str">
        <f>IFERROR(INDEX('G-1 All Habitats'!$B$3:$B$136,MATCH(E182,'G-1 All Habitats'!$A$3:$A$136,0)),"")</f>
        <v/>
      </c>
      <c r="G182" s="233"/>
      <c r="H182" s="311" t="str">
        <f>IF(F182="","",VLOOKUP(F182,'G-1 All Habitats'!$B$2:$M$135,10,FALSE))</f>
        <v/>
      </c>
      <c r="I182" s="299" t="str">
        <f>IFERROR(VLOOKUP(H182,'G-1 All Habitats'!$V$3:$W$7,2,FALSE),"")</f>
        <v/>
      </c>
      <c r="J182" s="136"/>
      <c r="K182" s="299" t="str">
        <f>IFERROR(INDEX('G-8 Condition Look up'!$A$3:$H$135,MATCH(F182,'G-8 Condition Look up'!$A$3:$A$135,0),MATCH(J182,'G-8 Condition Look up'!$A$3:$H$3,0)),"")</f>
        <v/>
      </c>
      <c r="L182" s="101"/>
      <c r="M182" s="314" t="str">
        <f>IF(L182="","",IF(VLOOKUP(L182,'G-3 Multipliers'!$L$3:$N$6,2,FALSE)=0,"Spatial Data Missing ⚠",VLOOKUP(L182,'G-3 Multipliers'!$L$3:$N$6,2,FALSE)))</f>
        <v/>
      </c>
      <c r="N182" s="276" t="str">
        <f>IF(L182="","",IF(VLOOKUP(L182,'G-3 Multipliers'!$L$3:$N$6,3,FALSE)=0,"Spatial Data Missing ⚠",VLOOKUP(L182,'G-3 Multipliers'!$L$3:$N$6,3,FALSE)))</f>
        <v/>
      </c>
      <c r="O182" s="275" t="str">
        <f t="shared" si="14"/>
        <v/>
      </c>
      <c r="P182" s="133"/>
      <c r="Q182" s="133"/>
      <c r="R182" s="295" t="str">
        <f t="shared" si="17"/>
        <v/>
      </c>
      <c r="S182" s="316" t="str">
        <f t="shared" si="18"/>
        <v/>
      </c>
      <c r="T182" s="300" t="str">
        <f>IFERROR(IF(S182="Check Data ⚠","Check Data ⚠",VLOOKUP(S182,'G-4 Temporal multipliers'!$A$4:$C$37,3,FALSE)),"")</f>
        <v/>
      </c>
      <c r="U182" s="298" t="str">
        <f>IF(F182="","",VLOOKUP(F182,'G-3 Multipliers'!$A$2:$E$134,2,FALSE))</f>
        <v/>
      </c>
      <c r="V182" s="295" t="str">
        <f t="shared" si="19"/>
        <v/>
      </c>
      <c r="W182" s="295" t="str">
        <f>IF(E182="","",IF(AND(V182="Standard difficulty applied",O182&gt;P182),U182,IF(AND(V182="Low Difficulty - only applicable if all habitat created before losses ⚠",P182&gt;=O182),"Low",VLOOKUP(F182,'G-3 Multipliers'!$A$2:$E$134,4,FALSE))))</f>
        <v/>
      </c>
      <c r="X182" s="299" t="str">
        <f>IFERROR(IF(E182="","",VLOOKUP(W182,'G-3 Multipliers'!$P$2:$Q$6,2,FALSE)),"")</f>
        <v/>
      </c>
      <c r="Y182" s="393"/>
      <c r="Z182" s="510" t="str">
        <f>IF(Y182="","",IF(VLOOKUP(Y182,'G-3 Multipliers'!$S$3:$T$10,2,FALSE)=0,"Spatial Data Missing ⚠",VLOOKUP(Y182,'G-3 Multipliers'!$S$3:$T$10,2,FALSE)))</f>
        <v/>
      </c>
      <c r="AA182" s="926" t="str">
        <f t="shared" si="15"/>
        <v/>
      </c>
      <c r="AB182" s="928" t="str">
        <f t="shared" si="20"/>
        <v/>
      </c>
      <c r="AC182" s="105"/>
      <c r="AD182" s="138"/>
      <c r="AE182" s="233"/>
      <c r="AF182" s="138"/>
      <c r="AG182" s="934"/>
      <c r="AJ182" s="40" t="str">
        <f t="shared" si="16"/>
        <v/>
      </c>
    </row>
    <row r="183" spans="1:36" ht="14">
      <c r="A183" s="30" t="str">
        <f>IFERROR(INDEX('G-8 Condition Look up'!$I$4:$I$135,MATCH(F183,'G-8 Condition Look up'!$A$4:$A$135,0)),"")</f>
        <v/>
      </c>
      <c r="B183" s="225">
        <v>173</v>
      </c>
      <c r="C183" s="66" t="str">
        <f>IFERROR(INDEX('G-1 All Habitats'!$AG$25:$AG$41,MATCH(D183,'G-1 All Habitats'!AF$25:AF$41,0)),"")</f>
        <v/>
      </c>
      <c r="D183" s="105"/>
      <c r="E183" s="138"/>
      <c r="F183" s="158" t="str">
        <f>IFERROR(INDEX('G-1 All Habitats'!$B$3:$B$136,MATCH(E183,'G-1 All Habitats'!$A$3:$A$136,0)),"")</f>
        <v/>
      </c>
      <c r="G183" s="233"/>
      <c r="H183" s="311" t="str">
        <f>IF(F183="","",VLOOKUP(F183,'G-1 All Habitats'!$B$2:$M$135,10,FALSE))</f>
        <v/>
      </c>
      <c r="I183" s="299" t="str">
        <f>IFERROR(VLOOKUP(H183,'G-1 All Habitats'!$V$3:$W$7,2,FALSE),"")</f>
        <v/>
      </c>
      <c r="J183" s="136"/>
      <c r="K183" s="299" t="str">
        <f>IFERROR(INDEX('G-8 Condition Look up'!$A$3:$H$135,MATCH(F183,'G-8 Condition Look up'!$A$3:$A$135,0),MATCH(J183,'G-8 Condition Look up'!$A$3:$H$3,0)),"")</f>
        <v/>
      </c>
      <c r="L183" s="101"/>
      <c r="M183" s="314" t="str">
        <f>IF(L183="","",IF(VLOOKUP(L183,'G-3 Multipliers'!$L$3:$N$6,2,FALSE)=0,"Spatial Data Missing ⚠",VLOOKUP(L183,'G-3 Multipliers'!$L$3:$N$6,2,FALSE)))</f>
        <v/>
      </c>
      <c r="N183" s="276" t="str">
        <f>IF(L183="","",IF(VLOOKUP(L183,'G-3 Multipliers'!$L$3:$N$6,3,FALSE)=0,"Spatial Data Missing ⚠",VLOOKUP(L183,'G-3 Multipliers'!$L$3:$N$6,3,FALSE)))</f>
        <v/>
      </c>
      <c r="O183" s="275" t="str">
        <f t="shared" si="14"/>
        <v/>
      </c>
      <c r="P183" s="133"/>
      <c r="Q183" s="133"/>
      <c r="R183" s="295" t="str">
        <f t="shared" si="17"/>
        <v/>
      </c>
      <c r="S183" s="316" t="str">
        <f t="shared" si="18"/>
        <v/>
      </c>
      <c r="T183" s="300" t="str">
        <f>IFERROR(IF(S183="Check Data ⚠","Check Data ⚠",VLOOKUP(S183,'G-4 Temporal multipliers'!$A$4:$C$37,3,FALSE)),"")</f>
        <v/>
      </c>
      <c r="U183" s="298" t="str">
        <f>IF(F183="","",VLOOKUP(F183,'G-3 Multipliers'!$A$2:$E$134,2,FALSE))</f>
        <v/>
      </c>
      <c r="V183" s="295" t="str">
        <f t="shared" si="19"/>
        <v/>
      </c>
      <c r="W183" s="295" t="str">
        <f>IF(E183="","",IF(AND(V183="Standard difficulty applied",O183&gt;P183),U183,IF(AND(V183="Low Difficulty - only applicable if all habitat created before losses ⚠",P183&gt;=O183),"Low",VLOOKUP(F183,'G-3 Multipliers'!$A$2:$E$134,4,FALSE))))</f>
        <v/>
      </c>
      <c r="X183" s="299" t="str">
        <f>IFERROR(IF(E183="","",VLOOKUP(W183,'G-3 Multipliers'!$P$2:$Q$6,2,FALSE)),"")</f>
        <v/>
      </c>
      <c r="Y183" s="393"/>
      <c r="Z183" s="510" t="str">
        <f>IF(Y183="","",IF(VLOOKUP(Y183,'G-3 Multipliers'!$S$3:$T$10,2,FALSE)=0,"Spatial Data Missing ⚠",VLOOKUP(Y183,'G-3 Multipliers'!$S$3:$T$10,2,FALSE)))</f>
        <v/>
      </c>
      <c r="AA183" s="926" t="str">
        <f t="shared" si="15"/>
        <v/>
      </c>
      <c r="AB183" s="928" t="str">
        <f t="shared" si="20"/>
        <v/>
      </c>
      <c r="AC183" s="105"/>
      <c r="AD183" s="138"/>
      <c r="AE183" s="233"/>
      <c r="AF183" s="138"/>
      <c r="AG183" s="934"/>
      <c r="AJ183" s="40" t="str">
        <f t="shared" si="16"/>
        <v/>
      </c>
    </row>
    <row r="184" spans="1:36" ht="14">
      <c r="A184" s="30" t="str">
        <f>IFERROR(INDEX('G-8 Condition Look up'!$I$4:$I$135,MATCH(F184,'G-8 Condition Look up'!$A$4:$A$135,0)),"")</f>
        <v/>
      </c>
      <c r="B184" s="225">
        <v>174</v>
      </c>
      <c r="C184" s="66" t="str">
        <f>IFERROR(INDEX('G-1 All Habitats'!$AG$25:$AG$41,MATCH(D184,'G-1 All Habitats'!AF$25:AF$41,0)),"")</f>
        <v/>
      </c>
      <c r="D184" s="105"/>
      <c r="E184" s="138"/>
      <c r="F184" s="158" t="str">
        <f>IFERROR(INDEX('G-1 All Habitats'!$B$3:$B$136,MATCH(E184,'G-1 All Habitats'!$A$3:$A$136,0)),"")</f>
        <v/>
      </c>
      <c r="G184" s="233"/>
      <c r="H184" s="311" t="str">
        <f>IF(F184="","",VLOOKUP(F184,'G-1 All Habitats'!$B$2:$M$135,10,FALSE))</f>
        <v/>
      </c>
      <c r="I184" s="299" t="str">
        <f>IFERROR(VLOOKUP(H184,'G-1 All Habitats'!$V$3:$W$7,2,FALSE),"")</f>
        <v/>
      </c>
      <c r="J184" s="136"/>
      <c r="K184" s="299" t="str">
        <f>IFERROR(INDEX('G-8 Condition Look up'!$A$3:$H$135,MATCH(F184,'G-8 Condition Look up'!$A$3:$A$135,0),MATCH(J184,'G-8 Condition Look up'!$A$3:$H$3,0)),"")</f>
        <v/>
      </c>
      <c r="L184" s="101"/>
      <c r="M184" s="314" t="str">
        <f>IF(L184="","",IF(VLOOKUP(L184,'G-3 Multipliers'!$L$3:$N$6,2,FALSE)=0,"Spatial Data Missing ⚠",VLOOKUP(L184,'G-3 Multipliers'!$L$3:$N$6,2,FALSE)))</f>
        <v/>
      </c>
      <c r="N184" s="276" t="str">
        <f>IF(L184="","",IF(VLOOKUP(L184,'G-3 Multipliers'!$L$3:$N$6,3,FALSE)=0,"Spatial Data Missing ⚠",VLOOKUP(L184,'G-3 Multipliers'!$L$3:$N$6,3,FALSE)))</f>
        <v/>
      </c>
      <c r="O184" s="275" t="str">
        <f t="shared" si="14"/>
        <v/>
      </c>
      <c r="P184" s="133"/>
      <c r="Q184" s="133"/>
      <c r="R184" s="295" t="str">
        <f t="shared" si="17"/>
        <v/>
      </c>
      <c r="S184" s="316" t="str">
        <f t="shared" si="18"/>
        <v/>
      </c>
      <c r="T184" s="300" t="str">
        <f>IFERROR(IF(S184="Check Data ⚠","Check Data ⚠",VLOOKUP(S184,'G-4 Temporal multipliers'!$A$4:$C$37,3,FALSE)),"")</f>
        <v/>
      </c>
      <c r="U184" s="298" t="str">
        <f>IF(F184="","",VLOOKUP(F184,'G-3 Multipliers'!$A$2:$E$134,2,FALSE))</f>
        <v/>
      </c>
      <c r="V184" s="295" t="str">
        <f t="shared" si="19"/>
        <v/>
      </c>
      <c r="W184" s="295" t="str">
        <f>IF(E184="","",IF(AND(V184="Standard difficulty applied",O184&gt;P184),U184,IF(AND(V184="Low Difficulty - only applicable if all habitat created before losses ⚠",P184&gt;=O184),"Low",VLOOKUP(F184,'G-3 Multipliers'!$A$2:$E$134,4,FALSE))))</f>
        <v/>
      </c>
      <c r="X184" s="299" t="str">
        <f>IFERROR(IF(E184="","",VLOOKUP(W184,'G-3 Multipliers'!$P$2:$Q$6,2,FALSE)),"")</f>
        <v/>
      </c>
      <c r="Y184" s="393"/>
      <c r="Z184" s="510" t="str">
        <f>IF(Y184="","",IF(VLOOKUP(Y184,'G-3 Multipliers'!$S$3:$T$10,2,FALSE)=0,"Spatial Data Missing ⚠",VLOOKUP(Y184,'G-3 Multipliers'!$S$3:$T$10,2,FALSE)))</f>
        <v/>
      </c>
      <c r="AA184" s="926" t="str">
        <f t="shared" si="15"/>
        <v/>
      </c>
      <c r="AB184" s="928" t="str">
        <f t="shared" si="20"/>
        <v/>
      </c>
      <c r="AC184" s="105"/>
      <c r="AD184" s="138"/>
      <c r="AE184" s="233"/>
      <c r="AF184" s="138"/>
      <c r="AG184" s="934"/>
      <c r="AJ184" s="40" t="str">
        <f t="shared" si="16"/>
        <v/>
      </c>
    </row>
    <row r="185" spans="1:36" ht="14">
      <c r="A185" s="30" t="str">
        <f>IFERROR(INDEX('G-8 Condition Look up'!$I$4:$I$135,MATCH(F185,'G-8 Condition Look up'!$A$4:$A$135,0)),"")</f>
        <v/>
      </c>
      <c r="B185" s="225">
        <v>175</v>
      </c>
      <c r="C185" s="66" t="str">
        <f>IFERROR(INDEX('G-1 All Habitats'!$AG$25:$AG$41,MATCH(D185,'G-1 All Habitats'!AF$25:AF$41,0)),"")</f>
        <v/>
      </c>
      <c r="D185" s="105"/>
      <c r="E185" s="138"/>
      <c r="F185" s="158" t="str">
        <f>IFERROR(INDEX('G-1 All Habitats'!$B$3:$B$136,MATCH(E185,'G-1 All Habitats'!$A$3:$A$136,0)),"")</f>
        <v/>
      </c>
      <c r="G185" s="233"/>
      <c r="H185" s="311" t="str">
        <f>IF(F185="","",VLOOKUP(F185,'G-1 All Habitats'!$B$2:$M$135,10,FALSE))</f>
        <v/>
      </c>
      <c r="I185" s="299" t="str">
        <f>IFERROR(VLOOKUP(H185,'G-1 All Habitats'!$V$3:$W$7,2,FALSE),"")</f>
        <v/>
      </c>
      <c r="J185" s="136"/>
      <c r="K185" s="299" t="str">
        <f>IFERROR(INDEX('G-8 Condition Look up'!$A$3:$H$135,MATCH(F185,'G-8 Condition Look up'!$A$3:$A$135,0),MATCH(J185,'G-8 Condition Look up'!$A$3:$H$3,0)),"")</f>
        <v/>
      </c>
      <c r="L185" s="101"/>
      <c r="M185" s="314" t="str">
        <f>IF(L185="","",IF(VLOOKUP(L185,'G-3 Multipliers'!$L$3:$N$6,2,FALSE)=0,"Spatial Data Missing ⚠",VLOOKUP(L185,'G-3 Multipliers'!$L$3:$N$6,2,FALSE)))</f>
        <v/>
      </c>
      <c r="N185" s="276" t="str">
        <f>IF(L185="","",IF(VLOOKUP(L185,'G-3 Multipliers'!$L$3:$N$6,3,FALSE)=0,"Spatial Data Missing ⚠",VLOOKUP(L185,'G-3 Multipliers'!$L$3:$N$6,3,FALSE)))</f>
        <v/>
      </c>
      <c r="O185" s="275" t="str">
        <f t="shared" si="14"/>
        <v/>
      </c>
      <c r="P185" s="133"/>
      <c r="Q185" s="133"/>
      <c r="R185" s="295" t="str">
        <f t="shared" si="17"/>
        <v/>
      </c>
      <c r="S185" s="316" t="str">
        <f t="shared" si="18"/>
        <v/>
      </c>
      <c r="T185" s="300" t="str">
        <f>IFERROR(IF(S185="Check Data ⚠","Check Data ⚠",VLOOKUP(S185,'G-4 Temporal multipliers'!$A$4:$C$37,3,FALSE)),"")</f>
        <v/>
      </c>
      <c r="U185" s="298" t="str">
        <f>IF(F185="","",VLOOKUP(F185,'G-3 Multipliers'!$A$2:$E$134,2,FALSE))</f>
        <v/>
      </c>
      <c r="V185" s="295" t="str">
        <f t="shared" si="19"/>
        <v/>
      </c>
      <c r="W185" s="295" t="str">
        <f>IF(E185="","",IF(AND(V185="Standard difficulty applied",O185&gt;P185),U185,IF(AND(V185="Low Difficulty - only applicable if all habitat created before losses ⚠",P185&gt;=O185),"Low",VLOOKUP(F185,'G-3 Multipliers'!$A$2:$E$134,4,FALSE))))</f>
        <v/>
      </c>
      <c r="X185" s="299" t="str">
        <f>IFERROR(IF(E185="","",VLOOKUP(W185,'G-3 Multipliers'!$P$2:$Q$6,2,FALSE)),"")</f>
        <v/>
      </c>
      <c r="Y185" s="393"/>
      <c r="Z185" s="510" t="str">
        <f>IF(Y185="","",IF(VLOOKUP(Y185,'G-3 Multipliers'!$S$3:$T$10,2,FALSE)=0,"Spatial Data Missing ⚠",VLOOKUP(Y185,'G-3 Multipliers'!$S$3:$T$10,2,FALSE)))</f>
        <v/>
      </c>
      <c r="AA185" s="926" t="str">
        <f t="shared" si="15"/>
        <v/>
      </c>
      <c r="AB185" s="928" t="str">
        <f t="shared" si="20"/>
        <v/>
      </c>
      <c r="AC185" s="105"/>
      <c r="AD185" s="138"/>
      <c r="AE185" s="233"/>
      <c r="AF185" s="138"/>
      <c r="AG185" s="934"/>
      <c r="AJ185" s="40" t="str">
        <f t="shared" si="16"/>
        <v/>
      </c>
    </row>
    <row r="186" spans="1:36" ht="14">
      <c r="A186" s="30" t="str">
        <f>IFERROR(INDEX('G-8 Condition Look up'!$I$4:$I$135,MATCH(F186,'G-8 Condition Look up'!$A$4:$A$135,0)),"")</f>
        <v/>
      </c>
      <c r="B186" s="225">
        <v>176</v>
      </c>
      <c r="C186" s="66" t="str">
        <f>IFERROR(INDEX('G-1 All Habitats'!$AG$25:$AG$41,MATCH(D186,'G-1 All Habitats'!AF$25:AF$41,0)),"")</f>
        <v/>
      </c>
      <c r="D186" s="105"/>
      <c r="E186" s="138"/>
      <c r="F186" s="158" t="str">
        <f>IFERROR(INDEX('G-1 All Habitats'!$B$3:$B$136,MATCH(E186,'G-1 All Habitats'!$A$3:$A$136,0)),"")</f>
        <v/>
      </c>
      <c r="G186" s="233"/>
      <c r="H186" s="311" t="str">
        <f>IF(F186="","",VLOOKUP(F186,'G-1 All Habitats'!$B$2:$M$135,10,FALSE))</f>
        <v/>
      </c>
      <c r="I186" s="299" t="str">
        <f>IFERROR(VLOOKUP(H186,'G-1 All Habitats'!$V$3:$W$7,2,FALSE),"")</f>
        <v/>
      </c>
      <c r="J186" s="136"/>
      <c r="K186" s="299" t="str">
        <f>IFERROR(INDEX('G-8 Condition Look up'!$A$3:$H$135,MATCH(F186,'G-8 Condition Look up'!$A$3:$A$135,0),MATCH(J186,'G-8 Condition Look up'!$A$3:$H$3,0)),"")</f>
        <v/>
      </c>
      <c r="L186" s="101"/>
      <c r="M186" s="314" t="str">
        <f>IF(L186="","",IF(VLOOKUP(L186,'G-3 Multipliers'!$L$3:$N$6,2,FALSE)=0,"Spatial Data Missing ⚠",VLOOKUP(L186,'G-3 Multipliers'!$L$3:$N$6,2,FALSE)))</f>
        <v/>
      </c>
      <c r="N186" s="276" t="str">
        <f>IF(L186="","",IF(VLOOKUP(L186,'G-3 Multipliers'!$L$3:$N$6,3,FALSE)=0,"Spatial Data Missing ⚠",VLOOKUP(L186,'G-3 Multipliers'!$L$3:$N$6,3,FALSE)))</f>
        <v/>
      </c>
      <c r="O186" s="275" t="str">
        <f t="shared" si="14"/>
        <v/>
      </c>
      <c r="P186" s="133"/>
      <c r="Q186" s="133"/>
      <c r="R186" s="295" t="str">
        <f t="shared" si="17"/>
        <v/>
      </c>
      <c r="S186" s="316" t="str">
        <f t="shared" si="18"/>
        <v/>
      </c>
      <c r="T186" s="300" t="str">
        <f>IFERROR(IF(S186="Check Data ⚠","Check Data ⚠",VLOOKUP(S186,'G-4 Temporal multipliers'!$A$4:$C$37,3,FALSE)),"")</f>
        <v/>
      </c>
      <c r="U186" s="298" t="str">
        <f>IF(F186="","",VLOOKUP(F186,'G-3 Multipliers'!$A$2:$E$134,2,FALSE))</f>
        <v/>
      </c>
      <c r="V186" s="295" t="str">
        <f t="shared" si="19"/>
        <v/>
      </c>
      <c r="W186" s="295" t="str">
        <f>IF(E186="","",IF(AND(V186="Standard difficulty applied",O186&gt;P186),U186,IF(AND(V186="Low Difficulty - only applicable if all habitat created before losses ⚠",P186&gt;=O186),"Low",VLOOKUP(F186,'G-3 Multipliers'!$A$2:$E$134,4,FALSE))))</f>
        <v/>
      </c>
      <c r="X186" s="299" t="str">
        <f>IFERROR(IF(E186="","",VLOOKUP(W186,'G-3 Multipliers'!$P$2:$Q$6,2,FALSE)),"")</f>
        <v/>
      </c>
      <c r="Y186" s="393"/>
      <c r="Z186" s="510" t="str">
        <f>IF(Y186="","",IF(VLOOKUP(Y186,'G-3 Multipliers'!$S$3:$T$10,2,FALSE)=0,"Spatial Data Missing ⚠",VLOOKUP(Y186,'G-3 Multipliers'!$S$3:$T$10,2,FALSE)))</f>
        <v/>
      </c>
      <c r="AA186" s="926" t="str">
        <f t="shared" si="15"/>
        <v/>
      </c>
      <c r="AB186" s="928" t="str">
        <f t="shared" si="20"/>
        <v/>
      </c>
      <c r="AC186" s="105"/>
      <c r="AD186" s="138"/>
      <c r="AE186" s="233"/>
      <c r="AF186" s="138"/>
      <c r="AG186" s="934"/>
      <c r="AJ186" s="40" t="str">
        <f t="shared" si="16"/>
        <v/>
      </c>
    </row>
    <row r="187" spans="1:36" ht="14">
      <c r="A187" s="30" t="str">
        <f>IFERROR(INDEX('G-8 Condition Look up'!$I$4:$I$135,MATCH(F187,'G-8 Condition Look up'!$A$4:$A$135,0)),"")</f>
        <v/>
      </c>
      <c r="B187" s="225">
        <v>177</v>
      </c>
      <c r="C187" s="66" t="str">
        <f>IFERROR(INDEX('G-1 All Habitats'!$AG$25:$AG$41,MATCH(D187,'G-1 All Habitats'!AF$25:AF$41,0)),"")</f>
        <v/>
      </c>
      <c r="D187" s="105"/>
      <c r="E187" s="138"/>
      <c r="F187" s="158" t="str">
        <f>IFERROR(INDEX('G-1 All Habitats'!$B$3:$B$136,MATCH(E187,'G-1 All Habitats'!$A$3:$A$136,0)),"")</f>
        <v/>
      </c>
      <c r="G187" s="233"/>
      <c r="H187" s="311" t="str">
        <f>IF(F187="","",VLOOKUP(F187,'G-1 All Habitats'!$B$2:$M$135,10,FALSE))</f>
        <v/>
      </c>
      <c r="I187" s="299" t="str">
        <f>IFERROR(VLOOKUP(H187,'G-1 All Habitats'!$V$3:$W$7,2,FALSE),"")</f>
        <v/>
      </c>
      <c r="J187" s="136"/>
      <c r="K187" s="299" t="str">
        <f>IFERROR(INDEX('G-8 Condition Look up'!$A$3:$H$135,MATCH(F187,'G-8 Condition Look up'!$A$3:$A$135,0),MATCH(J187,'G-8 Condition Look up'!$A$3:$H$3,0)),"")</f>
        <v/>
      </c>
      <c r="L187" s="101"/>
      <c r="M187" s="314" t="str">
        <f>IF(L187="","",IF(VLOOKUP(L187,'G-3 Multipliers'!$L$3:$N$6,2,FALSE)=0,"Spatial Data Missing ⚠",VLOOKUP(L187,'G-3 Multipliers'!$L$3:$N$6,2,FALSE)))</f>
        <v/>
      </c>
      <c r="N187" s="276" t="str">
        <f>IF(L187="","",IF(VLOOKUP(L187,'G-3 Multipliers'!$L$3:$N$6,3,FALSE)=0,"Spatial Data Missing ⚠",VLOOKUP(L187,'G-3 Multipliers'!$L$3:$N$6,3,FALSE)))</f>
        <v/>
      </c>
      <c r="O187" s="275" t="str">
        <f t="shared" si="14"/>
        <v/>
      </c>
      <c r="P187" s="133"/>
      <c r="Q187" s="133"/>
      <c r="R187" s="295" t="str">
        <f t="shared" si="17"/>
        <v/>
      </c>
      <c r="S187" s="316" t="str">
        <f t="shared" si="18"/>
        <v/>
      </c>
      <c r="T187" s="300" t="str">
        <f>IFERROR(IF(S187="Check Data ⚠","Check Data ⚠",VLOOKUP(S187,'G-4 Temporal multipliers'!$A$4:$C$37,3,FALSE)),"")</f>
        <v/>
      </c>
      <c r="U187" s="298" t="str">
        <f>IF(F187="","",VLOOKUP(F187,'G-3 Multipliers'!$A$2:$E$134,2,FALSE))</f>
        <v/>
      </c>
      <c r="V187" s="295" t="str">
        <f t="shared" si="19"/>
        <v/>
      </c>
      <c r="W187" s="295" t="str">
        <f>IF(E187="","",IF(AND(V187="Standard difficulty applied",O187&gt;P187),U187,IF(AND(V187="Low Difficulty - only applicable if all habitat created before losses ⚠",P187&gt;=O187),"Low",VLOOKUP(F187,'G-3 Multipliers'!$A$2:$E$134,4,FALSE))))</f>
        <v/>
      </c>
      <c r="X187" s="299" t="str">
        <f>IFERROR(IF(E187="","",VLOOKUP(W187,'G-3 Multipliers'!$P$2:$Q$6,2,FALSE)),"")</f>
        <v/>
      </c>
      <c r="Y187" s="393"/>
      <c r="Z187" s="510" t="str">
        <f>IF(Y187="","",IF(VLOOKUP(Y187,'G-3 Multipliers'!$S$3:$T$10,2,FALSE)=0,"Spatial Data Missing ⚠",VLOOKUP(Y187,'G-3 Multipliers'!$S$3:$T$10,2,FALSE)))</f>
        <v/>
      </c>
      <c r="AA187" s="926" t="str">
        <f t="shared" si="15"/>
        <v/>
      </c>
      <c r="AB187" s="928" t="str">
        <f t="shared" si="20"/>
        <v/>
      </c>
      <c r="AC187" s="105"/>
      <c r="AD187" s="138"/>
      <c r="AE187" s="233"/>
      <c r="AF187" s="138"/>
      <c r="AG187" s="934"/>
      <c r="AJ187" s="40" t="str">
        <f t="shared" si="16"/>
        <v/>
      </c>
    </row>
    <row r="188" spans="1:36" ht="14">
      <c r="A188" s="30" t="str">
        <f>IFERROR(INDEX('G-8 Condition Look up'!$I$4:$I$135,MATCH(F188,'G-8 Condition Look up'!$A$4:$A$135,0)),"")</f>
        <v/>
      </c>
      <c r="B188" s="225">
        <v>178</v>
      </c>
      <c r="C188" s="66" t="str">
        <f>IFERROR(INDEX('G-1 All Habitats'!$AG$25:$AG$41,MATCH(D188,'G-1 All Habitats'!AF$25:AF$41,0)),"")</f>
        <v/>
      </c>
      <c r="D188" s="105"/>
      <c r="E188" s="138"/>
      <c r="F188" s="158" t="str">
        <f>IFERROR(INDEX('G-1 All Habitats'!$B$3:$B$136,MATCH(E188,'G-1 All Habitats'!$A$3:$A$136,0)),"")</f>
        <v/>
      </c>
      <c r="G188" s="233"/>
      <c r="H188" s="311" t="str">
        <f>IF(F188="","",VLOOKUP(F188,'G-1 All Habitats'!$B$2:$M$135,10,FALSE))</f>
        <v/>
      </c>
      <c r="I188" s="299" t="str">
        <f>IFERROR(VLOOKUP(H188,'G-1 All Habitats'!$V$3:$W$7,2,FALSE),"")</f>
        <v/>
      </c>
      <c r="J188" s="136"/>
      <c r="K188" s="299" t="str">
        <f>IFERROR(INDEX('G-8 Condition Look up'!$A$3:$H$135,MATCH(F188,'G-8 Condition Look up'!$A$3:$A$135,0),MATCH(J188,'G-8 Condition Look up'!$A$3:$H$3,0)),"")</f>
        <v/>
      </c>
      <c r="L188" s="101"/>
      <c r="M188" s="314" t="str">
        <f>IF(L188="","",IF(VLOOKUP(L188,'G-3 Multipliers'!$L$3:$N$6,2,FALSE)=0,"Spatial Data Missing ⚠",VLOOKUP(L188,'G-3 Multipliers'!$L$3:$N$6,2,FALSE)))</f>
        <v/>
      </c>
      <c r="N188" s="276" t="str">
        <f>IF(L188="","",IF(VLOOKUP(L188,'G-3 Multipliers'!$L$3:$N$6,3,FALSE)=0,"Spatial Data Missing ⚠",VLOOKUP(L188,'G-3 Multipliers'!$L$3:$N$6,3,FALSE)))</f>
        <v/>
      </c>
      <c r="O188" s="275" t="str">
        <f t="shared" si="14"/>
        <v/>
      </c>
      <c r="P188" s="133"/>
      <c r="Q188" s="133"/>
      <c r="R188" s="295" t="str">
        <f t="shared" si="17"/>
        <v/>
      </c>
      <c r="S188" s="316" t="str">
        <f t="shared" si="18"/>
        <v/>
      </c>
      <c r="T188" s="300" t="str">
        <f>IFERROR(IF(S188="Check Data ⚠","Check Data ⚠",VLOOKUP(S188,'G-4 Temporal multipliers'!$A$4:$C$37,3,FALSE)),"")</f>
        <v/>
      </c>
      <c r="U188" s="298" t="str">
        <f>IF(F188="","",VLOOKUP(F188,'G-3 Multipliers'!$A$2:$E$134,2,FALSE))</f>
        <v/>
      </c>
      <c r="V188" s="295" t="str">
        <f t="shared" si="19"/>
        <v/>
      </c>
      <c r="W188" s="295" t="str">
        <f>IF(E188="","",IF(AND(V188="Standard difficulty applied",O188&gt;P188),U188,IF(AND(V188="Low Difficulty - only applicable if all habitat created before losses ⚠",P188&gt;=O188),"Low",VLOOKUP(F188,'G-3 Multipliers'!$A$2:$E$134,4,FALSE))))</f>
        <v/>
      </c>
      <c r="X188" s="299" t="str">
        <f>IFERROR(IF(E188="","",VLOOKUP(W188,'G-3 Multipliers'!$P$2:$Q$6,2,FALSE)),"")</f>
        <v/>
      </c>
      <c r="Y188" s="393"/>
      <c r="Z188" s="510" t="str">
        <f>IF(Y188="","",IF(VLOOKUP(Y188,'G-3 Multipliers'!$S$3:$T$10,2,FALSE)=0,"Spatial Data Missing ⚠",VLOOKUP(Y188,'G-3 Multipliers'!$S$3:$T$10,2,FALSE)))</f>
        <v/>
      </c>
      <c r="AA188" s="926" t="str">
        <f t="shared" si="15"/>
        <v/>
      </c>
      <c r="AB188" s="928" t="str">
        <f t="shared" si="20"/>
        <v/>
      </c>
      <c r="AC188" s="105"/>
      <c r="AD188" s="138"/>
      <c r="AE188" s="233"/>
      <c r="AF188" s="138"/>
      <c r="AG188" s="934"/>
      <c r="AJ188" s="40" t="str">
        <f t="shared" si="16"/>
        <v/>
      </c>
    </row>
    <row r="189" spans="1:36" ht="14">
      <c r="A189" s="30" t="str">
        <f>IFERROR(INDEX('G-8 Condition Look up'!$I$4:$I$135,MATCH(F189,'G-8 Condition Look up'!$A$4:$A$135,0)),"")</f>
        <v/>
      </c>
      <c r="B189" s="225">
        <v>179</v>
      </c>
      <c r="C189" s="66" t="str">
        <f>IFERROR(INDEX('G-1 All Habitats'!$AG$25:$AG$41,MATCH(D189,'G-1 All Habitats'!AF$25:AF$41,0)),"")</f>
        <v/>
      </c>
      <c r="D189" s="105"/>
      <c r="E189" s="138"/>
      <c r="F189" s="158" t="str">
        <f>IFERROR(INDEX('G-1 All Habitats'!$B$3:$B$136,MATCH(E189,'G-1 All Habitats'!$A$3:$A$136,0)),"")</f>
        <v/>
      </c>
      <c r="G189" s="233"/>
      <c r="H189" s="311" t="str">
        <f>IF(F189="","",VLOOKUP(F189,'G-1 All Habitats'!$B$2:$M$135,10,FALSE))</f>
        <v/>
      </c>
      <c r="I189" s="299" t="str">
        <f>IFERROR(VLOOKUP(H189,'G-1 All Habitats'!$V$3:$W$7,2,FALSE),"")</f>
        <v/>
      </c>
      <c r="J189" s="136"/>
      <c r="K189" s="299" t="str">
        <f>IFERROR(INDEX('G-8 Condition Look up'!$A$3:$H$135,MATCH(F189,'G-8 Condition Look up'!$A$3:$A$135,0),MATCH(J189,'G-8 Condition Look up'!$A$3:$H$3,0)),"")</f>
        <v/>
      </c>
      <c r="L189" s="101"/>
      <c r="M189" s="314" t="str">
        <f>IF(L189="","",IF(VLOOKUP(L189,'G-3 Multipliers'!$L$3:$N$6,2,FALSE)=0,"Spatial Data Missing ⚠",VLOOKUP(L189,'G-3 Multipliers'!$L$3:$N$6,2,FALSE)))</f>
        <v/>
      </c>
      <c r="N189" s="276" t="str">
        <f>IF(L189="","",IF(VLOOKUP(L189,'G-3 Multipliers'!$L$3:$N$6,3,FALSE)=0,"Spatial Data Missing ⚠",VLOOKUP(L189,'G-3 Multipliers'!$L$3:$N$6,3,FALSE)))</f>
        <v/>
      </c>
      <c r="O189" s="275" t="str">
        <f t="shared" si="14"/>
        <v/>
      </c>
      <c r="P189" s="133"/>
      <c r="Q189" s="133"/>
      <c r="R189" s="295" t="str">
        <f t="shared" si="17"/>
        <v/>
      </c>
      <c r="S189" s="316" t="str">
        <f t="shared" si="18"/>
        <v/>
      </c>
      <c r="T189" s="300" t="str">
        <f>IFERROR(IF(S189="Check Data ⚠","Check Data ⚠",VLOOKUP(S189,'G-4 Temporal multipliers'!$A$4:$C$37,3,FALSE)),"")</f>
        <v/>
      </c>
      <c r="U189" s="298" t="str">
        <f>IF(F189="","",VLOOKUP(F189,'G-3 Multipliers'!$A$2:$E$134,2,FALSE))</f>
        <v/>
      </c>
      <c r="V189" s="295" t="str">
        <f t="shared" si="19"/>
        <v/>
      </c>
      <c r="W189" s="295" t="str">
        <f>IF(E189="","",IF(AND(V189="Standard difficulty applied",O189&gt;P189),U189,IF(AND(V189="Low Difficulty - only applicable if all habitat created before losses ⚠",P189&gt;=O189),"Low",VLOOKUP(F189,'G-3 Multipliers'!$A$2:$E$134,4,FALSE))))</f>
        <v/>
      </c>
      <c r="X189" s="299" t="str">
        <f>IFERROR(IF(E189="","",VLOOKUP(W189,'G-3 Multipliers'!$P$2:$Q$6,2,FALSE)),"")</f>
        <v/>
      </c>
      <c r="Y189" s="393"/>
      <c r="Z189" s="510" t="str">
        <f>IF(Y189="","",IF(VLOOKUP(Y189,'G-3 Multipliers'!$S$3:$T$10,2,FALSE)=0,"Spatial Data Missing ⚠",VLOOKUP(Y189,'G-3 Multipliers'!$S$3:$T$10,2,FALSE)))</f>
        <v/>
      </c>
      <c r="AA189" s="926" t="str">
        <f t="shared" si="15"/>
        <v/>
      </c>
      <c r="AB189" s="928" t="str">
        <f t="shared" si="20"/>
        <v/>
      </c>
      <c r="AC189" s="105"/>
      <c r="AD189" s="138"/>
      <c r="AE189" s="233"/>
      <c r="AF189" s="138"/>
      <c r="AG189" s="934"/>
      <c r="AJ189" s="40" t="str">
        <f t="shared" si="16"/>
        <v/>
      </c>
    </row>
    <row r="190" spans="1:36" ht="14">
      <c r="A190" s="30" t="str">
        <f>IFERROR(INDEX('G-8 Condition Look up'!$I$4:$I$135,MATCH(F190,'G-8 Condition Look up'!$A$4:$A$135,0)),"")</f>
        <v/>
      </c>
      <c r="B190" s="225">
        <v>180</v>
      </c>
      <c r="C190" s="66" t="str">
        <f>IFERROR(INDEX('G-1 All Habitats'!$AG$25:$AG$41,MATCH(D190,'G-1 All Habitats'!AF$25:AF$41,0)),"")</f>
        <v/>
      </c>
      <c r="D190" s="105"/>
      <c r="E190" s="138"/>
      <c r="F190" s="158" t="str">
        <f>IFERROR(INDEX('G-1 All Habitats'!$B$3:$B$136,MATCH(E190,'G-1 All Habitats'!$A$3:$A$136,0)),"")</f>
        <v/>
      </c>
      <c r="G190" s="233"/>
      <c r="H190" s="311" t="str">
        <f>IF(F190="","",VLOOKUP(F190,'G-1 All Habitats'!$B$2:$M$135,10,FALSE))</f>
        <v/>
      </c>
      <c r="I190" s="299" t="str">
        <f>IFERROR(VLOOKUP(H190,'G-1 All Habitats'!$V$3:$W$7,2,FALSE),"")</f>
        <v/>
      </c>
      <c r="J190" s="136"/>
      <c r="K190" s="299" t="str">
        <f>IFERROR(INDEX('G-8 Condition Look up'!$A$3:$H$135,MATCH(F190,'G-8 Condition Look up'!$A$3:$A$135,0),MATCH(J190,'G-8 Condition Look up'!$A$3:$H$3,0)),"")</f>
        <v/>
      </c>
      <c r="L190" s="101"/>
      <c r="M190" s="314" t="str">
        <f>IF(L190="","",IF(VLOOKUP(L190,'G-3 Multipliers'!$L$3:$N$6,2,FALSE)=0,"Spatial Data Missing ⚠",VLOOKUP(L190,'G-3 Multipliers'!$L$3:$N$6,2,FALSE)))</f>
        <v/>
      </c>
      <c r="N190" s="276" t="str">
        <f>IF(L190="","",IF(VLOOKUP(L190,'G-3 Multipliers'!$L$3:$N$6,3,FALSE)=0,"Spatial Data Missing ⚠",VLOOKUP(L190,'G-3 Multipliers'!$L$3:$N$6,3,FALSE)))</f>
        <v/>
      </c>
      <c r="O190" s="275" t="str">
        <f t="shared" si="14"/>
        <v/>
      </c>
      <c r="P190" s="133"/>
      <c r="Q190" s="133"/>
      <c r="R190" s="295" t="str">
        <f t="shared" si="17"/>
        <v/>
      </c>
      <c r="S190" s="316" t="str">
        <f t="shared" si="18"/>
        <v/>
      </c>
      <c r="T190" s="300" t="str">
        <f>IFERROR(IF(S190="Check Data ⚠","Check Data ⚠",VLOOKUP(S190,'G-4 Temporal multipliers'!$A$4:$C$37,3,FALSE)),"")</f>
        <v/>
      </c>
      <c r="U190" s="298" t="str">
        <f>IF(F190="","",VLOOKUP(F190,'G-3 Multipliers'!$A$2:$E$134,2,FALSE))</f>
        <v/>
      </c>
      <c r="V190" s="295" t="str">
        <f t="shared" si="19"/>
        <v/>
      </c>
      <c r="W190" s="295" t="str">
        <f>IF(E190="","",IF(AND(V190="Standard difficulty applied",O190&gt;P190),U190,IF(AND(V190="Low Difficulty - only applicable if all habitat created before losses ⚠",P190&gt;=O190),"Low",VLOOKUP(F190,'G-3 Multipliers'!$A$2:$E$134,4,FALSE))))</f>
        <v/>
      </c>
      <c r="X190" s="299" t="str">
        <f>IFERROR(IF(E190="","",VLOOKUP(W190,'G-3 Multipliers'!$P$2:$Q$6,2,FALSE)),"")</f>
        <v/>
      </c>
      <c r="Y190" s="393"/>
      <c r="Z190" s="510" t="str">
        <f>IF(Y190="","",IF(VLOOKUP(Y190,'G-3 Multipliers'!$S$3:$T$10,2,FALSE)=0,"Spatial Data Missing ⚠",VLOOKUP(Y190,'G-3 Multipliers'!$S$3:$T$10,2,FALSE)))</f>
        <v/>
      </c>
      <c r="AA190" s="926" t="str">
        <f t="shared" si="15"/>
        <v/>
      </c>
      <c r="AB190" s="928" t="str">
        <f t="shared" si="20"/>
        <v/>
      </c>
      <c r="AC190" s="105"/>
      <c r="AD190" s="138"/>
      <c r="AE190" s="233"/>
      <c r="AF190" s="138"/>
      <c r="AG190" s="934"/>
      <c r="AJ190" s="40" t="str">
        <f t="shared" si="16"/>
        <v/>
      </c>
    </row>
    <row r="191" spans="1:36" ht="14">
      <c r="A191" s="30" t="str">
        <f>IFERROR(INDEX('G-8 Condition Look up'!$I$4:$I$135,MATCH(F191,'G-8 Condition Look up'!$A$4:$A$135,0)),"")</f>
        <v/>
      </c>
      <c r="B191" s="225">
        <v>181</v>
      </c>
      <c r="C191" s="66" t="str">
        <f>IFERROR(INDEX('G-1 All Habitats'!$AG$25:$AG$41,MATCH(D191,'G-1 All Habitats'!AF$25:AF$41,0)),"")</f>
        <v/>
      </c>
      <c r="D191" s="105"/>
      <c r="E191" s="138"/>
      <c r="F191" s="158" t="str">
        <f>IFERROR(INDEX('G-1 All Habitats'!$B$3:$B$136,MATCH(E191,'G-1 All Habitats'!$A$3:$A$136,0)),"")</f>
        <v/>
      </c>
      <c r="G191" s="233"/>
      <c r="H191" s="311" t="str">
        <f>IF(F191="","",VLOOKUP(F191,'G-1 All Habitats'!$B$2:$M$135,10,FALSE))</f>
        <v/>
      </c>
      <c r="I191" s="299" t="str">
        <f>IFERROR(VLOOKUP(H191,'G-1 All Habitats'!$V$3:$W$7,2,FALSE),"")</f>
        <v/>
      </c>
      <c r="J191" s="136"/>
      <c r="K191" s="299" t="str">
        <f>IFERROR(INDEX('G-8 Condition Look up'!$A$3:$H$135,MATCH(F191,'G-8 Condition Look up'!$A$3:$A$135,0),MATCH(J191,'G-8 Condition Look up'!$A$3:$H$3,0)),"")</f>
        <v/>
      </c>
      <c r="L191" s="101"/>
      <c r="M191" s="314" t="str">
        <f>IF(L191="","",IF(VLOOKUP(L191,'G-3 Multipliers'!$L$3:$N$6,2,FALSE)=0,"Spatial Data Missing ⚠",VLOOKUP(L191,'G-3 Multipliers'!$L$3:$N$6,2,FALSE)))</f>
        <v/>
      </c>
      <c r="N191" s="276" t="str">
        <f>IF(L191="","",IF(VLOOKUP(L191,'G-3 Multipliers'!$L$3:$N$6,3,FALSE)=0,"Spatial Data Missing ⚠",VLOOKUP(L191,'G-3 Multipliers'!$L$3:$N$6,3,FALSE)))</f>
        <v/>
      </c>
      <c r="O191" s="275" t="str">
        <f t="shared" si="14"/>
        <v/>
      </c>
      <c r="P191" s="133"/>
      <c r="Q191" s="133"/>
      <c r="R191" s="295" t="str">
        <f t="shared" si="17"/>
        <v/>
      </c>
      <c r="S191" s="316" t="str">
        <f t="shared" si="18"/>
        <v/>
      </c>
      <c r="T191" s="300" t="str">
        <f>IFERROR(IF(S191="Check Data ⚠","Check Data ⚠",VLOOKUP(S191,'G-4 Temporal multipliers'!$A$4:$C$37,3,FALSE)),"")</f>
        <v/>
      </c>
      <c r="U191" s="298" t="str">
        <f>IF(F191="","",VLOOKUP(F191,'G-3 Multipliers'!$A$2:$E$134,2,FALSE))</f>
        <v/>
      </c>
      <c r="V191" s="295" t="str">
        <f t="shared" si="19"/>
        <v/>
      </c>
      <c r="W191" s="295" t="str">
        <f>IF(E191="","",IF(AND(V191="Standard difficulty applied",O191&gt;P191),U191,IF(AND(V191="Low Difficulty - only applicable if all habitat created before losses ⚠",P191&gt;=O191),"Low",VLOOKUP(F191,'G-3 Multipliers'!$A$2:$E$134,4,FALSE))))</f>
        <v/>
      </c>
      <c r="X191" s="299" t="str">
        <f>IFERROR(IF(E191="","",VLOOKUP(W191,'G-3 Multipliers'!$P$2:$Q$6,2,FALSE)),"")</f>
        <v/>
      </c>
      <c r="Y191" s="393"/>
      <c r="Z191" s="510" t="str">
        <f>IF(Y191="","",IF(VLOOKUP(Y191,'G-3 Multipliers'!$S$3:$T$10,2,FALSE)=0,"Spatial Data Missing ⚠",VLOOKUP(Y191,'G-3 Multipliers'!$S$3:$T$10,2,FALSE)))</f>
        <v/>
      </c>
      <c r="AA191" s="926" t="str">
        <f t="shared" si="15"/>
        <v/>
      </c>
      <c r="AB191" s="928" t="str">
        <f t="shared" si="20"/>
        <v/>
      </c>
      <c r="AC191" s="105"/>
      <c r="AD191" s="138"/>
      <c r="AE191" s="233"/>
      <c r="AF191" s="138"/>
      <c r="AG191" s="934"/>
      <c r="AJ191" s="40" t="str">
        <f t="shared" si="16"/>
        <v/>
      </c>
    </row>
    <row r="192" spans="1:36" ht="14">
      <c r="A192" s="30" t="str">
        <f>IFERROR(INDEX('G-8 Condition Look up'!$I$4:$I$135,MATCH(F192,'G-8 Condition Look up'!$A$4:$A$135,0)),"")</f>
        <v/>
      </c>
      <c r="B192" s="225">
        <v>182</v>
      </c>
      <c r="C192" s="66" t="str">
        <f>IFERROR(INDEX('G-1 All Habitats'!$AG$25:$AG$41,MATCH(D192,'G-1 All Habitats'!AF$25:AF$41,0)),"")</f>
        <v/>
      </c>
      <c r="D192" s="105"/>
      <c r="E192" s="138"/>
      <c r="F192" s="158" t="str">
        <f>IFERROR(INDEX('G-1 All Habitats'!$B$3:$B$136,MATCH(E192,'G-1 All Habitats'!$A$3:$A$136,0)),"")</f>
        <v/>
      </c>
      <c r="G192" s="233"/>
      <c r="H192" s="311" t="str">
        <f>IF(F192="","",VLOOKUP(F192,'G-1 All Habitats'!$B$2:$M$135,10,FALSE))</f>
        <v/>
      </c>
      <c r="I192" s="299" t="str">
        <f>IFERROR(VLOOKUP(H192,'G-1 All Habitats'!$V$3:$W$7,2,FALSE),"")</f>
        <v/>
      </c>
      <c r="J192" s="136"/>
      <c r="K192" s="299" t="str">
        <f>IFERROR(INDEX('G-8 Condition Look up'!$A$3:$H$135,MATCH(F192,'G-8 Condition Look up'!$A$3:$A$135,0),MATCH(J192,'G-8 Condition Look up'!$A$3:$H$3,0)),"")</f>
        <v/>
      </c>
      <c r="L192" s="101"/>
      <c r="M192" s="314" t="str">
        <f>IF(L192="","",IF(VLOOKUP(L192,'G-3 Multipliers'!$L$3:$N$6,2,FALSE)=0,"Spatial Data Missing ⚠",VLOOKUP(L192,'G-3 Multipliers'!$L$3:$N$6,2,FALSE)))</f>
        <v/>
      </c>
      <c r="N192" s="276" t="str">
        <f>IF(L192="","",IF(VLOOKUP(L192,'G-3 Multipliers'!$L$3:$N$6,3,FALSE)=0,"Spatial Data Missing ⚠",VLOOKUP(L192,'G-3 Multipliers'!$L$3:$N$6,3,FALSE)))</f>
        <v/>
      </c>
      <c r="O192" s="275" t="str">
        <f t="shared" si="14"/>
        <v/>
      </c>
      <c r="P192" s="133"/>
      <c r="Q192" s="133"/>
      <c r="R192" s="295" t="str">
        <f t="shared" si="17"/>
        <v/>
      </c>
      <c r="S192" s="316" t="str">
        <f t="shared" si="18"/>
        <v/>
      </c>
      <c r="T192" s="300" t="str">
        <f>IFERROR(IF(S192="Check Data ⚠","Check Data ⚠",VLOOKUP(S192,'G-4 Temporal multipliers'!$A$4:$C$37,3,FALSE)),"")</f>
        <v/>
      </c>
      <c r="U192" s="298" t="str">
        <f>IF(F192="","",VLOOKUP(F192,'G-3 Multipliers'!$A$2:$E$134,2,FALSE))</f>
        <v/>
      </c>
      <c r="V192" s="295" t="str">
        <f t="shared" si="19"/>
        <v/>
      </c>
      <c r="W192" s="295" t="str">
        <f>IF(E192="","",IF(AND(V192="Standard difficulty applied",O192&gt;P192),U192,IF(AND(V192="Low Difficulty - only applicable if all habitat created before losses ⚠",P192&gt;=O192),"Low",VLOOKUP(F192,'G-3 Multipliers'!$A$2:$E$134,4,FALSE))))</f>
        <v/>
      </c>
      <c r="X192" s="299" t="str">
        <f>IFERROR(IF(E192="","",VLOOKUP(W192,'G-3 Multipliers'!$P$2:$Q$6,2,FALSE)),"")</f>
        <v/>
      </c>
      <c r="Y192" s="393"/>
      <c r="Z192" s="510" t="str">
        <f>IF(Y192="","",IF(VLOOKUP(Y192,'G-3 Multipliers'!$S$3:$T$10,2,FALSE)=0,"Spatial Data Missing ⚠",VLOOKUP(Y192,'G-3 Multipliers'!$S$3:$T$10,2,FALSE)))</f>
        <v/>
      </c>
      <c r="AA192" s="926" t="str">
        <f t="shared" si="15"/>
        <v/>
      </c>
      <c r="AB192" s="928" t="str">
        <f t="shared" si="20"/>
        <v/>
      </c>
      <c r="AC192" s="105"/>
      <c r="AD192" s="138"/>
      <c r="AE192" s="233"/>
      <c r="AF192" s="138"/>
      <c r="AG192" s="934"/>
      <c r="AJ192" s="40" t="str">
        <f t="shared" si="16"/>
        <v/>
      </c>
    </row>
    <row r="193" spans="1:36" ht="14">
      <c r="A193" s="30" t="str">
        <f>IFERROR(INDEX('G-8 Condition Look up'!$I$4:$I$135,MATCH(F193,'G-8 Condition Look up'!$A$4:$A$135,0)),"")</f>
        <v/>
      </c>
      <c r="B193" s="225">
        <v>183</v>
      </c>
      <c r="C193" s="66" t="str">
        <f>IFERROR(INDEX('G-1 All Habitats'!$AG$25:$AG$41,MATCH(D193,'G-1 All Habitats'!AF$25:AF$41,0)),"")</f>
        <v/>
      </c>
      <c r="D193" s="105"/>
      <c r="E193" s="138"/>
      <c r="F193" s="158" t="str">
        <f>IFERROR(INDEX('G-1 All Habitats'!$B$3:$B$136,MATCH(E193,'G-1 All Habitats'!$A$3:$A$136,0)),"")</f>
        <v/>
      </c>
      <c r="G193" s="233"/>
      <c r="H193" s="311" t="str">
        <f>IF(F193="","",VLOOKUP(F193,'G-1 All Habitats'!$B$2:$M$135,10,FALSE))</f>
        <v/>
      </c>
      <c r="I193" s="299" t="str">
        <f>IFERROR(VLOOKUP(H193,'G-1 All Habitats'!$V$3:$W$7,2,FALSE),"")</f>
        <v/>
      </c>
      <c r="J193" s="136"/>
      <c r="K193" s="299" t="str">
        <f>IFERROR(INDEX('G-8 Condition Look up'!$A$3:$H$135,MATCH(F193,'G-8 Condition Look up'!$A$3:$A$135,0),MATCH(J193,'G-8 Condition Look up'!$A$3:$H$3,0)),"")</f>
        <v/>
      </c>
      <c r="L193" s="101"/>
      <c r="M193" s="314" t="str">
        <f>IF(L193="","",IF(VLOOKUP(L193,'G-3 Multipliers'!$L$3:$N$6,2,FALSE)=0,"Spatial Data Missing ⚠",VLOOKUP(L193,'G-3 Multipliers'!$L$3:$N$6,2,FALSE)))</f>
        <v/>
      </c>
      <c r="N193" s="276" t="str">
        <f>IF(L193="","",IF(VLOOKUP(L193,'G-3 Multipliers'!$L$3:$N$6,3,FALSE)=0,"Spatial Data Missing ⚠",VLOOKUP(L193,'G-3 Multipliers'!$L$3:$N$6,3,FALSE)))</f>
        <v/>
      </c>
      <c r="O193" s="275" t="str">
        <f t="shared" si="14"/>
        <v/>
      </c>
      <c r="P193" s="133"/>
      <c r="Q193" s="133"/>
      <c r="R193" s="295" t="str">
        <f t="shared" si="17"/>
        <v/>
      </c>
      <c r="S193" s="316" t="str">
        <f t="shared" si="18"/>
        <v/>
      </c>
      <c r="T193" s="300" t="str">
        <f>IFERROR(IF(S193="Check Data ⚠","Check Data ⚠",VLOOKUP(S193,'G-4 Temporal multipliers'!$A$4:$C$37,3,FALSE)),"")</f>
        <v/>
      </c>
      <c r="U193" s="298" t="str">
        <f>IF(F193="","",VLOOKUP(F193,'G-3 Multipliers'!$A$2:$E$134,2,FALSE))</f>
        <v/>
      </c>
      <c r="V193" s="295" t="str">
        <f t="shared" si="19"/>
        <v/>
      </c>
      <c r="W193" s="295" t="str">
        <f>IF(E193="","",IF(AND(V193="Standard difficulty applied",O193&gt;P193),U193,IF(AND(V193="Low Difficulty - only applicable if all habitat created before losses ⚠",P193&gt;=O193),"Low",VLOOKUP(F193,'G-3 Multipliers'!$A$2:$E$134,4,FALSE))))</f>
        <v/>
      </c>
      <c r="X193" s="299" t="str">
        <f>IFERROR(IF(E193="","",VLOOKUP(W193,'G-3 Multipliers'!$P$2:$Q$6,2,FALSE)),"")</f>
        <v/>
      </c>
      <c r="Y193" s="393"/>
      <c r="Z193" s="510" t="str">
        <f>IF(Y193="","",IF(VLOOKUP(Y193,'G-3 Multipliers'!$S$3:$T$10,2,FALSE)=0,"Spatial Data Missing ⚠",VLOOKUP(Y193,'G-3 Multipliers'!$S$3:$T$10,2,FALSE)))</f>
        <v/>
      </c>
      <c r="AA193" s="926" t="str">
        <f t="shared" si="15"/>
        <v/>
      </c>
      <c r="AB193" s="928" t="str">
        <f t="shared" si="20"/>
        <v/>
      </c>
      <c r="AC193" s="105"/>
      <c r="AD193" s="138"/>
      <c r="AE193" s="233"/>
      <c r="AF193" s="138"/>
      <c r="AG193" s="934"/>
      <c r="AJ193" s="40" t="str">
        <f t="shared" si="16"/>
        <v/>
      </c>
    </row>
    <row r="194" spans="1:36" ht="14">
      <c r="A194" s="30" t="str">
        <f>IFERROR(INDEX('G-8 Condition Look up'!$I$4:$I$135,MATCH(F194,'G-8 Condition Look up'!$A$4:$A$135,0)),"")</f>
        <v/>
      </c>
      <c r="B194" s="225">
        <v>184</v>
      </c>
      <c r="C194" s="66" t="str">
        <f>IFERROR(INDEX('G-1 All Habitats'!$AG$25:$AG$41,MATCH(D194,'G-1 All Habitats'!AF$25:AF$41,0)),"")</f>
        <v/>
      </c>
      <c r="D194" s="105"/>
      <c r="E194" s="138"/>
      <c r="F194" s="158" t="str">
        <f>IFERROR(INDEX('G-1 All Habitats'!$B$3:$B$136,MATCH(E194,'G-1 All Habitats'!$A$3:$A$136,0)),"")</f>
        <v/>
      </c>
      <c r="G194" s="233"/>
      <c r="H194" s="311" t="str">
        <f>IF(F194="","",VLOOKUP(F194,'G-1 All Habitats'!$B$2:$M$135,10,FALSE))</f>
        <v/>
      </c>
      <c r="I194" s="299" t="str">
        <f>IFERROR(VLOOKUP(H194,'G-1 All Habitats'!$V$3:$W$7,2,FALSE),"")</f>
        <v/>
      </c>
      <c r="J194" s="136"/>
      <c r="K194" s="299" t="str">
        <f>IFERROR(INDEX('G-8 Condition Look up'!$A$3:$H$135,MATCH(F194,'G-8 Condition Look up'!$A$3:$A$135,0),MATCH(J194,'G-8 Condition Look up'!$A$3:$H$3,0)),"")</f>
        <v/>
      </c>
      <c r="L194" s="101"/>
      <c r="M194" s="314" t="str">
        <f>IF(L194="","",IF(VLOOKUP(L194,'G-3 Multipliers'!$L$3:$N$6,2,FALSE)=0,"Spatial Data Missing ⚠",VLOOKUP(L194,'G-3 Multipliers'!$L$3:$N$6,2,FALSE)))</f>
        <v/>
      </c>
      <c r="N194" s="276" t="str">
        <f>IF(L194="","",IF(VLOOKUP(L194,'G-3 Multipliers'!$L$3:$N$6,3,FALSE)=0,"Spatial Data Missing ⚠",VLOOKUP(L194,'G-3 Multipliers'!$L$3:$N$6,3,FALSE)))</f>
        <v/>
      </c>
      <c r="O194" s="275" t="str">
        <f t="shared" si="14"/>
        <v/>
      </c>
      <c r="P194" s="133"/>
      <c r="Q194" s="133"/>
      <c r="R194" s="295" t="str">
        <f t="shared" si="17"/>
        <v/>
      </c>
      <c r="S194" s="316" t="str">
        <f t="shared" si="18"/>
        <v/>
      </c>
      <c r="T194" s="300" t="str">
        <f>IFERROR(IF(S194="Check Data ⚠","Check Data ⚠",VLOOKUP(S194,'G-4 Temporal multipliers'!$A$4:$C$37,3,FALSE)),"")</f>
        <v/>
      </c>
      <c r="U194" s="298" t="str">
        <f>IF(F194="","",VLOOKUP(F194,'G-3 Multipliers'!$A$2:$E$134,2,FALSE))</f>
        <v/>
      </c>
      <c r="V194" s="295" t="str">
        <f t="shared" si="19"/>
        <v/>
      </c>
      <c r="W194" s="295" t="str">
        <f>IF(E194="","",IF(AND(V194="Standard difficulty applied",O194&gt;P194),U194,IF(AND(V194="Low Difficulty - only applicable if all habitat created before losses ⚠",P194&gt;=O194),"Low",VLOOKUP(F194,'G-3 Multipliers'!$A$2:$E$134,4,FALSE))))</f>
        <v/>
      </c>
      <c r="X194" s="299" t="str">
        <f>IFERROR(IF(E194="","",VLOOKUP(W194,'G-3 Multipliers'!$P$2:$Q$6,2,FALSE)),"")</f>
        <v/>
      </c>
      <c r="Y194" s="393"/>
      <c r="Z194" s="510" t="str">
        <f>IF(Y194="","",IF(VLOOKUP(Y194,'G-3 Multipliers'!$S$3:$T$10,2,FALSE)=0,"Spatial Data Missing ⚠",VLOOKUP(Y194,'G-3 Multipliers'!$S$3:$T$10,2,FALSE)))</f>
        <v/>
      </c>
      <c r="AA194" s="926" t="str">
        <f t="shared" si="15"/>
        <v/>
      </c>
      <c r="AB194" s="928" t="str">
        <f t="shared" si="20"/>
        <v/>
      </c>
      <c r="AC194" s="105"/>
      <c r="AD194" s="138"/>
      <c r="AE194" s="233"/>
      <c r="AF194" s="138"/>
      <c r="AG194" s="934"/>
      <c r="AJ194" s="40" t="str">
        <f t="shared" si="16"/>
        <v/>
      </c>
    </row>
    <row r="195" spans="1:36" ht="14">
      <c r="A195" s="30" t="str">
        <f>IFERROR(INDEX('G-8 Condition Look up'!$I$4:$I$135,MATCH(F195,'G-8 Condition Look up'!$A$4:$A$135,0)),"")</f>
        <v/>
      </c>
      <c r="B195" s="225">
        <v>185</v>
      </c>
      <c r="C195" s="66" t="str">
        <f>IFERROR(INDEX('G-1 All Habitats'!$AG$25:$AG$41,MATCH(D195,'G-1 All Habitats'!AF$25:AF$41,0)),"")</f>
        <v/>
      </c>
      <c r="D195" s="105"/>
      <c r="E195" s="138"/>
      <c r="F195" s="158" t="str">
        <f>IFERROR(INDEX('G-1 All Habitats'!$B$3:$B$136,MATCH(E195,'G-1 All Habitats'!$A$3:$A$136,0)),"")</f>
        <v/>
      </c>
      <c r="G195" s="233"/>
      <c r="H195" s="311" t="str">
        <f>IF(F195="","",VLOOKUP(F195,'G-1 All Habitats'!$B$2:$M$135,10,FALSE))</f>
        <v/>
      </c>
      <c r="I195" s="299" t="str">
        <f>IFERROR(VLOOKUP(H195,'G-1 All Habitats'!$V$3:$W$7,2,FALSE),"")</f>
        <v/>
      </c>
      <c r="J195" s="136"/>
      <c r="K195" s="299" t="str">
        <f>IFERROR(INDEX('G-8 Condition Look up'!$A$3:$H$135,MATCH(F195,'G-8 Condition Look up'!$A$3:$A$135,0),MATCH(J195,'G-8 Condition Look up'!$A$3:$H$3,0)),"")</f>
        <v/>
      </c>
      <c r="L195" s="101"/>
      <c r="M195" s="314" t="str">
        <f>IF(L195="","",IF(VLOOKUP(L195,'G-3 Multipliers'!$L$3:$N$6,2,FALSE)=0,"Spatial Data Missing ⚠",VLOOKUP(L195,'G-3 Multipliers'!$L$3:$N$6,2,FALSE)))</f>
        <v/>
      </c>
      <c r="N195" s="276" t="str">
        <f>IF(L195="","",IF(VLOOKUP(L195,'G-3 Multipliers'!$L$3:$N$6,3,FALSE)=0,"Spatial Data Missing ⚠",VLOOKUP(L195,'G-3 Multipliers'!$L$3:$N$6,3,FALSE)))</f>
        <v/>
      </c>
      <c r="O195" s="275" t="str">
        <f t="shared" si="14"/>
        <v/>
      </c>
      <c r="P195" s="133"/>
      <c r="Q195" s="133"/>
      <c r="R195" s="295" t="str">
        <f t="shared" si="17"/>
        <v/>
      </c>
      <c r="S195" s="316" t="str">
        <f t="shared" si="18"/>
        <v/>
      </c>
      <c r="T195" s="300" t="str">
        <f>IFERROR(IF(S195="Check Data ⚠","Check Data ⚠",VLOOKUP(S195,'G-4 Temporal multipliers'!$A$4:$C$37,3,FALSE)),"")</f>
        <v/>
      </c>
      <c r="U195" s="298" t="str">
        <f>IF(F195="","",VLOOKUP(F195,'G-3 Multipliers'!$A$2:$E$134,2,FALSE))</f>
        <v/>
      </c>
      <c r="V195" s="295" t="str">
        <f t="shared" si="19"/>
        <v/>
      </c>
      <c r="W195" s="295" t="str">
        <f>IF(E195="","",IF(AND(V195="Standard difficulty applied",O195&gt;P195),U195,IF(AND(V195="Low Difficulty - only applicable if all habitat created before losses ⚠",P195&gt;=O195),"Low",VLOOKUP(F195,'G-3 Multipliers'!$A$2:$E$134,4,FALSE))))</f>
        <v/>
      </c>
      <c r="X195" s="299" t="str">
        <f>IFERROR(IF(E195="","",VLOOKUP(W195,'G-3 Multipliers'!$P$2:$Q$6,2,FALSE)),"")</f>
        <v/>
      </c>
      <c r="Y195" s="393"/>
      <c r="Z195" s="510" t="str">
        <f>IF(Y195="","",IF(VLOOKUP(Y195,'G-3 Multipliers'!$S$3:$T$10,2,FALSE)=0,"Spatial Data Missing ⚠",VLOOKUP(Y195,'G-3 Multipliers'!$S$3:$T$10,2,FALSE)))</f>
        <v/>
      </c>
      <c r="AA195" s="926" t="str">
        <f t="shared" si="15"/>
        <v/>
      </c>
      <c r="AB195" s="928" t="str">
        <f t="shared" si="20"/>
        <v/>
      </c>
      <c r="AC195" s="105"/>
      <c r="AD195" s="138"/>
      <c r="AE195" s="233"/>
      <c r="AF195" s="138"/>
      <c r="AG195" s="934"/>
      <c r="AJ195" s="40" t="str">
        <f t="shared" si="16"/>
        <v/>
      </c>
    </row>
    <row r="196" spans="1:36" ht="14">
      <c r="A196" s="30" t="str">
        <f>IFERROR(INDEX('G-8 Condition Look up'!$I$4:$I$135,MATCH(F196,'G-8 Condition Look up'!$A$4:$A$135,0)),"")</f>
        <v/>
      </c>
      <c r="B196" s="225">
        <v>186</v>
      </c>
      <c r="C196" s="66" t="str">
        <f>IFERROR(INDEX('G-1 All Habitats'!$AG$25:$AG$41,MATCH(D196,'G-1 All Habitats'!AF$25:AF$41,0)),"")</f>
        <v/>
      </c>
      <c r="D196" s="105"/>
      <c r="E196" s="138"/>
      <c r="F196" s="158" t="str">
        <f>IFERROR(INDEX('G-1 All Habitats'!$B$3:$B$136,MATCH(E196,'G-1 All Habitats'!$A$3:$A$136,0)),"")</f>
        <v/>
      </c>
      <c r="G196" s="233"/>
      <c r="H196" s="311" t="str">
        <f>IF(F196="","",VLOOKUP(F196,'G-1 All Habitats'!$B$2:$M$135,10,FALSE))</f>
        <v/>
      </c>
      <c r="I196" s="299" t="str">
        <f>IFERROR(VLOOKUP(H196,'G-1 All Habitats'!$V$3:$W$7,2,FALSE),"")</f>
        <v/>
      </c>
      <c r="J196" s="136"/>
      <c r="K196" s="299" t="str">
        <f>IFERROR(INDEX('G-8 Condition Look up'!$A$3:$H$135,MATCH(F196,'G-8 Condition Look up'!$A$3:$A$135,0),MATCH(J196,'G-8 Condition Look up'!$A$3:$H$3,0)),"")</f>
        <v/>
      </c>
      <c r="L196" s="101"/>
      <c r="M196" s="314" t="str">
        <f>IF(L196="","",IF(VLOOKUP(L196,'G-3 Multipliers'!$L$3:$N$6,2,FALSE)=0,"Spatial Data Missing ⚠",VLOOKUP(L196,'G-3 Multipliers'!$L$3:$N$6,2,FALSE)))</f>
        <v/>
      </c>
      <c r="N196" s="276" t="str">
        <f>IF(L196="","",IF(VLOOKUP(L196,'G-3 Multipliers'!$L$3:$N$6,3,FALSE)=0,"Spatial Data Missing ⚠",VLOOKUP(L196,'G-3 Multipliers'!$L$3:$N$6,3,FALSE)))</f>
        <v/>
      </c>
      <c r="O196" s="275" t="str">
        <f t="shared" si="14"/>
        <v/>
      </c>
      <c r="P196" s="133"/>
      <c r="Q196" s="133"/>
      <c r="R196" s="295" t="str">
        <f t="shared" si="17"/>
        <v/>
      </c>
      <c r="S196" s="316" t="str">
        <f t="shared" si="18"/>
        <v/>
      </c>
      <c r="T196" s="300" t="str">
        <f>IFERROR(IF(S196="Check Data ⚠","Check Data ⚠",VLOOKUP(S196,'G-4 Temporal multipliers'!$A$4:$C$37,3,FALSE)),"")</f>
        <v/>
      </c>
      <c r="U196" s="298" t="str">
        <f>IF(F196="","",VLOOKUP(F196,'G-3 Multipliers'!$A$2:$E$134,2,FALSE))</f>
        <v/>
      </c>
      <c r="V196" s="295" t="str">
        <f t="shared" si="19"/>
        <v/>
      </c>
      <c r="W196" s="295" t="str">
        <f>IF(E196="","",IF(AND(V196="Standard difficulty applied",O196&gt;P196),U196,IF(AND(V196="Low Difficulty - only applicable if all habitat created before losses ⚠",P196&gt;=O196),"Low",VLOOKUP(F196,'G-3 Multipliers'!$A$2:$E$134,4,FALSE))))</f>
        <v/>
      </c>
      <c r="X196" s="299" t="str">
        <f>IFERROR(IF(E196="","",VLOOKUP(W196,'G-3 Multipliers'!$P$2:$Q$6,2,FALSE)),"")</f>
        <v/>
      </c>
      <c r="Y196" s="393"/>
      <c r="Z196" s="510" t="str">
        <f>IF(Y196="","",IF(VLOOKUP(Y196,'G-3 Multipliers'!$S$3:$T$10,2,FALSE)=0,"Spatial Data Missing ⚠",VLOOKUP(Y196,'G-3 Multipliers'!$S$3:$T$10,2,FALSE)))</f>
        <v/>
      </c>
      <c r="AA196" s="926" t="str">
        <f t="shared" si="15"/>
        <v/>
      </c>
      <c r="AB196" s="928" t="str">
        <f t="shared" si="20"/>
        <v/>
      </c>
      <c r="AC196" s="105"/>
      <c r="AD196" s="138"/>
      <c r="AE196" s="233"/>
      <c r="AF196" s="138"/>
      <c r="AG196" s="934"/>
      <c r="AJ196" s="40" t="str">
        <f t="shared" si="16"/>
        <v/>
      </c>
    </row>
    <row r="197" spans="1:36" ht="14">
      <c r="A197" s="30" t="str">
        <f>IFERROR(INDEX('G-8 Condition Look up'!$I$4:$I$135,MATCH(F197,'G-8 Condition Look up'!$A$4:$A$135,0)),"")</f>
        <v/>
      </c>
      <c r="B197" s="225">
        <v>187</v>
      </c>
      <c r="C197" s="66" t="str">
        <f>IFERROR(INDEX('G-1 All Habitats'!$AG$25:$AG$41,MATCH(D197,'G-1 All Habitats'!AF$25:AF$41,0)),"")</f>
        <v/>
      </c>
      <c r="D197" s="105"/>
      <c r="E197" s="138"/>
      <c r="F197" s="158" t="str">
        <f>IFERROR(INDEX('G-1 All Habitats'!$B$3:$B$136,MATCH(E197,'G-1 All Habitats'!$A$3:$A$136,0)),"")</f>
        <v/>
      </c>
      <c r="G197" s="233"/>
      <c r="H197" s="311" t="str">
        <f>IF(F197="","",VLOOKUP(F197,'G-1 All Habitats'!$B$2:$M$135,10,FALSE))</f>
        <v/>
      </c>
      <c r="I197" s="299" t="str">
        <f>IFERROR(VLOOKUP(H197,'G-1 All Habitats'!$V$3:$W$7,2,FALSE),"")</f>
        <v/>
      </c>
      <c r="J197" s="136"/>
      <c r="K197" s="299" t="str">
        <f>IFERROR(INDEX('G-8 Condition Look up'!$A$3:$H$135,MATCH(F197,'G-8 Condition Look up'!$A$3:$A$135,0),MATCH(J197,'G-8 Condition Look up'!$A$3:$H$3,0)),"")</f>
        <v/>
      </c>
      <c r="L197" s="101"/>
      <c r="M197" s="314" t="str">
        <f>IF(L197="","",IF(VLOOKUP(L197,'G-3 Multipliers'!$L$3:$N$6,2,FALSE)=0,"Spatial Data Missing ⚠",VLOOKUP(L197,'G-3 Multipliers'!$L$3:$N$6,2,FALSE)))</f>
        <v/>
      </c>
      <c r="N197" s="276" t="str">
        <f>IF(L197="","",IF(VLOOKUP(L197,'G-3 Multipliers'!$L$3:$N$6,3,FALSE)=0,"Spatial Data Missing ⚠",VLOOKUP(L197,'G-3 Multipliers'!$L$3:$N$6,3,FALSE)))</f>
        <v/>
      </c>
      <c r="O197" s="275" t="str">
        <f t="shared" si="14"/>
        <v/>
      </c>
      <c r="P197" s="133"/>
      <c r="Q197" s="133"/>
      <c r="R197" s="295" t="str">
        <f t="shared" si="17"/>
        <v/>
      </c>
      <c r="S197" s="316" t="str">
        <f t="shared" si="18"/>
        <v/>
      </c>
      <c r="T197" s="300" t="str">
        <f>IFERROR(IF(S197="Check Data ⚠","Check Data ⚠",VLOOKUP(S197,'G-4 Temporal multipliers'!$A$4:$C$37,3,FALSE)),"")</f>
        <v/>
      </c>
      <c r="U197" s="298" t="str">
        <f>IF(F197="","",VLOOKUP(F197,'G-3 Multipliers'!$A$2:$E$134,2,FALSE))</f>
        <v/>
      </c>
      <c r="V197" s="295" t="str">
        <f t="shared" si="19"/>
        <v/>
      </c>
      <c r="W197" s="295" t="str">
        <f>IF(E197="","",IF(AND(V197="Standard difficulty applied",O197&gt;P197),U197,IF(AND(V197="Low Difficulty - only applicable if all habitat created before losses ⚠",P197&gt;=O197),"Low",VLOOKUP(F197,'G-3 Multipliers'!$A$2:$E$134,4,FALSE))))</f>
        <v/>
      </c>
      <c r="X197" s="299" t="str">
        <f>IFERROR(IF(E197="","",VLOOKUP(W197,'G-3 Multipliers'!$P$2:$Q$6,2,FALSE)),"")</f>
        <v/>
      </c>
      <c r="Y197" s="393"/>
      <c r="Z197" s="510" t="str">
        <f>IF(Y197="","",IF(VLOOKUP(Y197,'G-3 Multipliers'!$S$3:$T$10,2,FALSE)=0,"Spatial Data Missing ⚠",VLOOKUP(Y197,'G-3 Multipliers'!$S$3:$T$10,2,FALSE)))</f>
        <v/>
      </c>
      <c r="AA197" s="926" t="str">
        <f t="shared" si="15"/>
        <v/>
      </c>
      <c r="AB197" s="928" t="str">
        <f t="shared" si="20"/>
        <v/>
      </c>
      <c r="AC197" s="105"/>
      <c r="AD197" s="138"/>
      <c r="AE197" s="233"/>
      <c r="AF197" s="138"/>
      <c r="AG197" s="934"/>
      <c r="AJ197" s="40" t="str">
        <f t="shared" si="16"/>
        <v/>
      </c>
    </row>
    <row r="198" spans="1:36" ht="14">
      <c r="A198" s="30" t="str">
        <f>IFERROR(INDEX('G-8 Condition Look up'!$I$4:$I$135,MATCH(F198,'G-8 Condition Look up'!$A$4:$A$135,0)),"")</f>
        <v/>
      </c>
      <c r="B198" s="225">
        <v>188</v>
      </c>
      <c r="C198" s="66" t="str">
        <f>IFERROR(INDEX('G-1 All Habitats'!$AG$25:$AG$41,MATCH(D198,'G-1 All Habitats'!AF$25:AF$41,0)),"")</f>
        <v/>
      </c>
      <c r="D198" s="105"/>
      <c r="E198" s="138"/>
      <c r="F198" s="158" t="str">
        <f>IFERROR(INDEX('G-1 All Habitats'!$B$3:$B$136,MATCH(E198,'G-1 All Habitats'!$A$3:$A$136,0)),"")</f>
        <v/>
      </c>
      <c r="G198" s="233"/>
      <c r="H198" s="311" t="str">
        <f>IF(F198="","",VLOOKUP(F198,'G-1 All Habitats'!$B$2:$M$135,10,FALSE))</f>
        <v/>
      </c>
      <c r="I198" s="299" t="str">
        <f>IFERROR(VLOOKUP(H198,'G-1 All Habitats'!$V$3:$W$7,2,FALSE),"")</f>
        <v/>
      </c>
      <c r="J198" s="136"/>
      <c r="K198" s="299" t="str">
        <f>IFERROR(INDEX('G-8 Condition Look up'!$A$3:$H$135,MATCH(F198,'G-8 Condition Look up'!$A$3:$A$135,0),MATCH(J198,'G-8 Condition Look up'!$A$3:$H$3,0)),"")</f>
        <v/>
      </c>
      <c r="L198" s="101"/>
      <c r="M198" s="314" t="str">
        <f>IF(L198="","",IF(VLOOKUP(L198,'G-3 Multipliers'!$L$3:$N$6,2,FALSE)=0,"Spatial Data Missing ⚠",VLOOKUP(L198,'G-3 Multipliers'!$L$3:$N$6,2,FALSE)))</f>
        <v/>
      </c>
      <c r="N198" s="276" t="str">
        <f>IF(L198="","",IF(VLOOKUP(L198,'G-3 Multipliers'!$L$3:$N$6,3,FALSE)=0,"Spatial Data Missing ⚠",VLOOKUP(L198,'G-3 Multipliers'!$L$3:$N$6,3,FALSE)))</f>
        <v/>
      </c>
      <c r="O198" s="275" t="str">
        <f t="shared" si="14"/>
        <v/>
      </c>
      <c r="P198" s="133"/>
      <c r="Q198" s="133"/>
      <c r="R198" s="295" t="str">
        <f t="shared" si="17"/>
        <v/>
      </c>
      <c r="S198" s="316" t="str">
        <f t="shared" si="18"/>
        <v/>
      </c>
      <c r="T198" s="300" t="str">
        <f>IFERROR(IF(S198="Check Data ⚠","Check Data ⚠",VLOOKUP(S198,'G-4 Temporal multipliers'!$A$4:$C$37,3,FALSE)),"")</f>
        <v/>
      </c>
      <c r="U198" s="298" t="str">
        <f>IF(F198="","",VLOOKUP(F198,'G-3 Multipliers'!$A$2:$E$134,2,FALSE))</f>
        <v/>
      </c>
      <c r="V198" s="295" t="str">
        <f t="shared" si="19"/>
        <v/>
      </c>
      <c r="W198" s="295" t="str">
        <f>IF(E198="","",IF(AND(V198="Standard difficulty applied",O198&gt;P198),U198,IF(AND(V198="Low Difficulty - only applicable if all habitat created before losses ⚠",P198&gt;=O198),"Low",VLOOKUP(F198,'G-3 Multipliers'!$A$2:$E$134,4,FALSE))))</f>
        <v/>
      </c>
      <c r="X198" s="299" t="str">
        <f>IFERROR(IF(E198="","",VLOOKUP(W198,'G-3 Multipliers'!$P$2:$Q$6,2,FALSE)),"")</f>
        <v/>
      </c>
      <c r="Y198" s="393"/>
      <c r="Z198" s="510" t="str">
        <f>IF(Y198="","",IF(VLOOKUP(Y198,'G-3 Multipliers'!$S$3:$T$10,2,FALSE)=0,"Spatial Data Missing ⚠",VLOOKUP(Y198,'G-3 Multipliers'!$S$3:$T$10,2,FALSE)))</f>
        <v/>
      </c>
      <c r="AA198" s="926" t="str">
        <f t="shared" si="15"/>
        <v/>
      </c>
      <c r="AB198" s="928" t="str">
        <f t="shared" si="20"/>
        <v/>
      </c>
      <c r="AC198" s="105"/>
      <c r="AD198" s="138"/>
      <c r="AE198" s="233"/>
      <c r="AF198" s="138"/>
      <c r="AG198" s="934"/>
      <c r="AJ198" s="40" t="str">
        <f t="shared" si="16"/>
        <v/>
      </c>
    </row>
    <row r="199" spans="1:36" ht="14">
      <c r="A199" s="30" t="str">
        <f>IFERROR(INDEX('G-8 Condition Look up'!$I$4:$I$135,MATCH(F199,'G-8 Condition Look up'!$A$4:$A$135,0)),"")</f>
        <v/>
      </c>
      <c r="B199" s="225">
        <v>189</v>
      </c>
      <c r="C199" s="66" t="str">
        <f>IFERROR(INDEX('G-1 All Habitats'!$AG$25:$AG$41,MATCH(D199,'G-1 All Habitats'!AF$25:AF$41,0)),"")</f>
        <v/>
      </c>
      <c r="D199" s="105"/>
      <c r="E199" s="138"/>
      <c r="F199" s="158" t="str">
        <f>IFERROR(INDEX('G-1 All Habitats'!$B$3:$B$136,MATCH(E199,'G-1 All Habitats'!$A$3:$A$136,0)),"")</f>
        <v/>
      </c>
      <c r="G199" s="233"/>
      <c r="H199" s="311" t="str">
        <f>IF(F199="","",VLOOKUP(F199,'G-1 All Habitats'!$B$2:$M$135,10,FALSE))</f>
        <v/>
      </c>
      <c r="I199" s="299" t="str">
        <f>IFERROR(VLOOKUP(H199,'G-1 All Habitats'!$V$3:$W$7,2,FALSE),"")</f>
        <v/>
      </c>
      <c r="J199" s="136"/>
      <c r="K199" s="299" t="str">
        <f>IFERROR(INDEX('G-8 Condition Look up'!$A$3:$H$135,MATCH(F199,'G-8 Condition Look up'!$A$3:$A$135,0),MATCH(J199,'G-8 Condition Look up'!$A$3:$H$3,0)),"")</f>
        <v/>
      </c>
      <c r="L199" s="101"/>
      <c r="M199" s="314" t="str">
        <f>IF(L199="","",IF(VLOOKUP(L199,'G-3 Multipliers'!$L$3:$N$6,2,FALSE)=0,"Spatial Data Missing ⚠",VLOOKUP(L199,'G-3 Multipliers'!$L$3:$N$6,2,FALSE)))</f>
        <v/>
      </c>
      <c r="N199" s="276" t="str">
        <f>IF(L199="","",IF(VLOOKUP(L199,'G-3 Multipliers'!$L$3:$N$6,3,FALSE)=0,"Spatial Data Missing ⚠",VLOOKUP(L199,'G-3 Multipliers'!$L$3:$N$6,3,FALSE)))</f>
        <v/>
      </c>
      <c r="O199" s="275" t="str">
        <f t="shared" si="14"/>
        <v/>
      </c>
      <c r="P199" s="133"/>
      <c r="Q199" s="133"/>
      <c r="R199" s="295" t="str">
        <f t="shared" si="17"/>
        <v/>
      </c>
      <c r="S199" s="316" t="str">
        <f t="shared" si="18"/>
        <v/>
      </c>
      <c r="T199" s="300" t="str">
        <f>IFERROR(IF(S199="Check Data ⚠","Check Data ⚠",VLOOKUP(S199,'G-4 Temporal multipliers'!$A$4:$C$37,3,FALSE)),"")</f>
        <v/>
      </c>
      <c r="U199" s="298" t="str">
        <f>IF(F199="","",VLOOKUP(F199,'G-3 Multipliers'!$A$2:$E$134,2,FALSE))</f>
        <v/>
      </c>
      <c r="V199" s="295" t="str">
        <f t="shared" si="19"/>
        <v/>
      </c>
      <c r="W199" s="295" t="str">
        <f>IF(E199="","",IF(AND(V199="Standard difficulty applied",O199&gt;P199),U199,IF(AND(V199="Low Difficulty - only applicable if all habitat created before losses ⚠",P199&gt;=O199),"Low",VLOOKUP(F199,'G-3 Multipliers'!$A$2:$E$134,4,FALSE))))</f>
        <v/>
      </c>
      <c r="X199" s="299" t="str">
        <f>IFERROR(IF(E199="","",VLOOKUP(W199,'G-3 Multipliers'!$P$2:$Q$6,2,FALSE)),"")</f>
        <v/>
      </c>
      <c r="Y199" s="393"/>
      <c r="Z199" s="510" t="str">
        <f>IF(Y199="","",IF(VLOOKUP(Y199,'G-3 Multipliers'!$S$3:$T$10,2,FALSE)=0,"Spatial Data Missing ⚠",VLOOKUP(Y199,'G-3 Multipliers'!$S$3:$T$10,2,FALSE)))</f>
        <v/>
      </c>
      <c r="AA199" s="926" t="str">
        <f t="shared" si="15"/>
        <v/>
      </c>
      <c r="AB199" s="928" t="str">
        <f t="shared" si="20"/>
        <v/>
      </c>
      <c r="AC199" s="105"/>
      <c r="AD199" s="138"/>
      <c r="AE199" s="233"/>
      <c r="AF199" s="138"/>
      <c r="AG199" s="934"/>
      <c r="AJ199" s="40" t="str">
        <f t="shared" si="16"/>
        <v/>
      </c>
    </row>
    <row r="200" spans="1:36" ht="14">
      <c r="A200" s="30" t="str">
        <f>IFERROR(INDEX('G-8 Condition Look up'!$I$4:$I$135,MATCH(F200,'G-8 Condition Look up'!$A$4:$A$135,0)),"")</f>
        <v/>
      </c>
      <c r="B200" s="225">
        <v>190</v>
      </c>
      <c r="C200" s="66" t="str">
        <f>IFERROR(INDEX('G-1 All Habitats'!$AG$25:$AG$41,MATCH(D200,'G-1 All Habitats'!AF$25:AF$41,0)),"")</f>
        <v/>
      </c>
      <c r="D200" s="105"/>
      <c r="E200" s="138"/>
      <c r="F200" s="158" t="str">
        <f>IFERROR(INDEX('G-1 All Habitats'!$B$3:$B$136,MATCH(E200,'G-1 All Habitats'!$A$3:$A$136,0)),"")</f>
        <v/>
      </c>
      <c r="G200" s="233"/>
      <c r="H200" s="311" t="str">
        <f>IF(F200="","",VLOOKUP(F200,'G-1 All Habitats'!$B$2:$M$135,10,FALSE))</f>
        <v/>
      </c>
      <c r="I200" s="299" t="str">
        <f>IFERROR(VLOOKUP(H200,'G-1 All Habitats'!$V$3:$W$7,2,FALSE),"")</f>
        <v/>
      </c>
      <c r="J200" s="136"/>
      <c r="K200" s="299" t="str">
        <f>IFERROR(INDEX('G-8 Condition Look up'!$A$3:$H$135,MATCH(F200,'G-8 Condition Look up'!$A$3:$A$135,0),MATCH(J200,'G-8 Condition Look up'!$A$3:$H$3,0)),"")</f>
        <v/>
      </c>
      <c r="L200" s="101"/>
      <c r="M200" s="314" t="str">
        <f>IF(L200="","",IF(VLOOKUP(L200,'G-3 Multipliers'!$L$3:$N$6,2,FALSE)=0,"Spatial Data Missing ⚠",VLOOKUP(L200,'G-3 Multipliers'!$L$3:$N$6,2,FALSE)))</f>
        <v/>
      </c>
      <c r="N200" s="276" t="str">
        <f>IF(L200="","",IF(VLOOKUP(L200,'G-3 Multipliers'!$L$3:$N$6,3,FALSE)=0,"Spatial Data Missing ⚠",VLOOKUP(L200,'G-3 Multipliers'!$L$3:$N$6,3,FALSE)))</f>
        <v/>
      </c>
      <c r="O200" s="275" t="str">
        <f t="shared" si="14"/>
        <v/>
      </c>
      <c r="P200" s="133"/>
      <c r="Q200" s="133"/>
      <c r="R200" s="295" t="str">
        <f t="shared" si="17"/>
        <v/>
      </c>
      <c r="S200" s="316" t="str">
        <f t="shared" si="18"/>
        <v/>
      </c>
      <c r="T200" s="300" t="str">
        <f>IFERROR(IF(S200="Check Data ⚠","Check Data ⚠",VLOOKUP(S200,'G-4 Temporal multipliers'!$A$4:$C$37,3,FALSE)),"")</f>
        <v/>
      </c>
      <c r="U200" s="298" t="str">
        <f>IF(F200="","",VLOOKUP(F200,'G-3 Multipliers'!$A$2:$E$134,2,FALSE))</f>
        <v/>
      </c>
      <c r="V200" s="295" t="str">
        <f t="shared" si="19"/>
        <v/>
      </c>
      <c r="W200" s="295" t="str">
        <f>IF(E200="","",IF(AND(V200="Standard difficulty applied",O200&gt;P200),U200,IF(AND(V200="Low Difficulty - only applicable if all habitat created before losses ⚠",P200&gt;=O200),"Low",VLOOKUP(F200,'G-3 Multipliers'!$A$2:$E$134,4,FALSE))))</f>
        <v/>
      </c>
      <c r="X200" s="299" t="str">
        <f>IFERROR(IF(E200="","",VLOOKUP(W200,'G-3 Multipliers'!$P$2:$Q$6,2,FALSE)),"")</f>
        <v/>
      </c>
      <c r="Y200" s="393"/>
      <c r="Z200" s="510" t="str">
        <f>IF(Y200="","",IF(VLOOKUP(Y200,'G-3 Multipliers'!$S$3:$T$10,2,FALSE)=0,"Spatial Data Missing ⚠",VLOOKUP(Y200,'G-3 Multipliers'!$S$3:$T$10,2,FALSE)))</f>
        <v/>
      </c>
      <c r="AA200" s="926" t="str">
        <f t="shared" si="15"/>
        <v/>
      </c>
      <c r="AB200" s="928" t="str">
        <f t="shared" si="20"/>
        <v/>
      </c>
      <c r="AC200" s="105"/>
      <c r="AD200" s="138"/>
      <c r="AE200" s="233"/>
      <c r="AF200" s="138"/>
      <c r="AG200" s="934"/>
      <c r="AJ200" s="40" t="str">
        <f t="shared" si="16"/>
        <v/>
      </c>
    </row>
    <row r="201" spans="1:36" ht="14">
      <c r="A201" s="30" t="str">
        <f>IFERROR(INDEX('G-8 Condition Look up'!$I$4:$I$135,MATCH(F201,'G-8 Condition Look up'!$A$4:$A$135,0)),"")</f>
        <v/>
      </c>
      <c r="B201" s="225">
        <v>191</v>
      </c>
      <c r="C201" s="66" t="str">
        <f>IFERROR(INDEX('G-1 All Habitats'!$AG$25:$AG$41,MATCH(D201,'G-1 All Habitats'!AF$25:AF$41,0)),"")</f>
        <v/>
      </c>
      <c r="D201" s="105"/>
      <c r="E201" s="138"/>
      <c r="F201" s="158" t="str">
        <f>IFERROR(INDEX('G-1 All Habitats'!$B$3:$B$136,MATCH(E201,'G-1 All Habitats'!$A$3:$A$136,0)),"")</f>
        <v/>
      </c>
      <c r="G201" s="233"/>
      <c r="H201" s="311" t="str">
        <f>IF(F201="","",VLOOKUP(F201,'G-1 All Habitats'!$B$2:$M$135,10,FALSE))</f>
        <v/>
      </c>
      <c r="I201" s="299" t="str">
        <f>IFERROR(VLOOKUP(H201,'G-1 All Habitats'!$V$3:$W$7,2,FALSE),"")</f>
        <v/>
      </c>
      <c r="J201" s="136"/>
      <c r="K201" s="299" t="str">
        <f>IFERROR(INDEX('G-8 Condition Look up'!$A$3:$H$135,MATCH(F201,'G-8 Condition Look up'!$A$3:$A$135,0),MATCH(J201,'G-8 Condition Look up'!$A$3:$H$3,0)),"")</f>
        <v/>
      </c>
      <c r="L201" s="101"/>
      <c r="M201" s="314" t="str">
        <f>IF(L201="","",IF(VLOOKUP(L201,'G-3 Multipliers'!$L$3:$N$6,2,FALSE)=0,"Spatial Data Missing ⚠",VLOOKUP(L201,'G-3 Multipliers'!$L$3:$N$6,2,FALSE)))</f>
        <v/>
      </c>
      <c r="N201" s="276" t="str">
        <f>IF(L201="","",IF(VLOOKUP(L201,'G-3 Multipliers'!$L$3:$N$6,3,FALSE)=0,"Spatial Data Missing ⚠",VLOOKUP(L201,'G-3 Multipliers'!$L$3:$N$6,3,FALSE)))</f>
        <v/>
      </c>
      <c r="O201" s="275" t="str">
        <f t="shared" si="14"/>
        <v/>
      </c>
      <c r="P201" s="133"/>
      <c r="Q201" s="133"/>
      <c r="R201" s="295" t="str">
        <f t="shared" si="17"/>
        <v/>
      </c>
      <c r="S201" s="316" t="str">
        <f t="shared" si="18"/>
        <v/>
      </c>
      <c r="T201" s="300" t="str">
        <f>IFERROR(IF(S201="Check Data ⚠","Check Data ⚠",VLOOKUP(S201,'G-4 Temporal multipliers'!$A$4:$C$37,3,FALSE)),"")</f>
        <v/>
      </c>
      <c r="U201" s="298" t="str">
        <f>IF(F201="","",VLOOKUP(F201,'G-3 Multipliers'!$A$2:$E$134,2,FALSE))</f>
        <v/>
      </c>
      <c r="V201" s="295" t="str">
        <f t="shared" si="19"/>
        <v/>
      </c>
      <c r="W201" s="295" t="str">
        <f>IF(E201="","",IF(AND(V201="Standard difficulty applied",O201&gt;P201),U201,IF(AND(V201="Low Difficulty - only applicable if all habitat created before losses ⚠",P201&gt;=O201),"Low",VLOOKUP(F201,'G-3 Multipliers'!$A$2:$E$134,4,FALSE))))</f>
        <v/>
      </c>
      <c r="X201" s="299" t="str">
        <f>IFERROR(IF(E201="","",VLOOKUP(W201,'G-3 Multipliers'!$P$2:$Q$6,2,FALSE)),"")</f>
        <v/>
      </c>
      <c r="Y201" s="393"/>
      <c r="Z201" s="510" t="str">
        <f>IF(Y201="","",IF(VLOOKUP(Y201,'G-3 Multipliers'!$S$3:$T$10,2,FALSE)=0,"Spatial Data Missing ⚠",VLOOKUP(Y201,'G-3 Multipliers'!$S$3:$T$10,2,FALSE)))</f>
        <v/>
      </c>
      <c r="AA201" s="926" t="str">
        <f t="shared" si="15"/>
        <v/>
      </c>
      <c r="AB201" s="928" t="str">
        <f t="shared" si="20"/>
        <v/>
      </c>
      <c r="AC201" s="105"/>
      <c r="AD201" s="138"/>
      <c r="AE201" s="233"/>
      <c r="AF201" s="138"/>
      <c r="AG201" s="934"/>
      <c r="AJ201" s="40" t="str">
        <f t="shared" si="16"/>
        <v/>
      </c>
    </row>
    <row r="202" spans="1:36" ht="14">
      <c r="A202" s="30" t="str">
        <f>IFERROR(INDEX('G-8 Condition Look up'!$I$4:$I$135,MATCH(F202,'G-8 Condition Look up'!$A$4:$A$135,0)),"")</f>
        <v/>
      </c>
      <c r="B202" s="225">
        <v>192</v>
      </c>
      <c r="C202" s="66" t="str">
        <f>IFERROR(INDEX('G-1 All Habitats'!$AG$25:$AG$41,MATCH(D202,'G-1 All Habitats'!AF$25:AF$41,0)),"")</f>
        <v/>
      </c>
      <c r="D202" s="105"/>
      <c r="E202" s="138"/>
      <c r="F202" s="158" t="str">
        <f>IFERROR(INDEX('G-1 All Habitats'!$B$3:$B$136,MATCH(E202,'G-1 All Habitats'!$A$3:$A$136,0)),"")</f>
        <v/>
      </c>
      <c r="G202" s="233"/>
      <c r="H202" s="311" t="str">
        <f>IF(F202="","",VLOOKUP(F202,'G-1 All Habitats'!$B$2:$M$135,10,FALSE))</f>
        <v/>
      </c>
      <c r="I202" s="299" t="str">
        <f>IFERROR(VLOOKUP(H202,'G-1 All Habitats'!$V$3:$W$7,2,FALSE),"")</f>
        <v/>
      </c>
      <c r="J202" s="136"/>
      <c r="K202" s="299" t="str">
        <f>IFERROR(INDEX('G-8 Condition Look up'!$A$3:$H$135,MATCH(F202,'G-8 Condition Look up'!$A$3:$A$135,0),MATCH(J202,'G-8 Condition Look up'!$A$3:$H$3,0)),"")</f>
        <v/>
      </c>
      <c r="L202" s="101"/>
      <c r="M202" s="314" t="str">
        <f>IF(L202="","",IF(VLOOKUP(L202,'G-3 Multipliers'!$L$3:$N$6,2,FALSE)=0,"Spatial Data Missing ⚠",VLOOKUP(L202,'G-3 Multipliers'!$L$3:$N$6,2,FALSE)))</f>
        <v/>
      </c>
      <c r="N202" s="276" t="str">
        <f>IF(L202="","",IF(VLOOKUP(L202,'G-3 Multipliers'!$L$3:$N$6,3,FALSE)=0,"Spatial Data Missing ⚠",VLOOKUP(L202,'G-3 Multipliers'!$L$3:$N$6,3,FALSE)))</f>
        <v/>
      </c>
      <c r="O202" s="275" t="str">
        <f t="shared" si="14"/>
        <v/>
      </c>
      <c r="P202" s="133"/>
      <c r="Q202" s="133"/>
      <c r="R202" s="295" t="str">
        <f t="shared" si="17"/>
        <v/>
      </c>
      <c r="S202" s="316" t="str">
        <f t="shared" si="18"/>
        <v/>
      </c>
      <c r="T202" s="300" t="str">
        <f>IFERROR(IF(S202="Check Data ⚠","Check Data ⚠",VLOOKUP(S202,'G-4 Temporal multipliers'!$A$4:$C$37,3,FALSE)),"")</f>
        <v/>
      </c>
      <c r="U202" s="298" t="str">
        <f>IF(F202="","",VLOOKUP(F202,'G-3 Multipliers'!$A$2:$E$134,2,FALSE))</f>
        <v/>
      </c>
      <c r="V202" s="295" t="str">
        <f t="shared" si="19"/>
        <v/>
      </c>
      <c r="W202" s="295" t="str">
        <f>IF(E202="","",IF(AND(V202="Standard difficulty applied",O202&gt;P202),U202,IF(AND(V202="Low Difficulty - only applicable if all habitat created before losses ⚠",P202&gt;=O202),"Low",VLOOKUP(F202,'G-3 Multipliers'!$A$2:$E$134,4,FALSE))))</f>
        <v/>
      </c>
      <c r="X202" s="299" t="str">
        <f>IFERROR(IF(E202="","",VLOOKUP(W202,'G-3 Multipliers'!$P$2:$Q$6,2,FALSE)),"")</f>
        <v/>
      </c>
      <c r="Y202" s="393"/>
      <c r="Z202" s="510" t="str">
        <f>IF(Y202="","",IF(VLOOKUP(Y202,'G-3 Multipliers'!$S$3:$T$10,2,FALSE)=0,"Spatial Data Missing ⚠",VLOOKUP(Y202,'G-3 Multipliers'!$S$3:$T$10,2,FALSE)))</f>
        <v/>
      </c>
      <c r="AA202" s="926" t="str">
        <f t="shared" si="15"/>
        <v/>
      </c>
      <c r="AB202" s="928" t="str">
        <f t="shared" si="20"/>
        <v/>
      </c>
      <c r="AC202" s="105"/>
      <c r="AD202" s="138"/>
      <c r="AE202" s="233"/>
      <c r="AF202" s="138"/>
      <c r="AG202" s="934"/>
      <c r="AJ202" s="40" t="str">
        <f t="shared" si="16"/>
        <v/>
      </c>
    </row>
    <row r="203" spans="1:36" ht="14">
      <c r="A203" s="30" t="str">
        <f>IFERROR(INDEX('G-8 Condition Look up'!$I$4:$I$135,MATCH(F203,'G-8 Condition Look up'!$A$4:$A$135,0)),"")</f>
        <v/>
      </c>
      <c r="B203" s="225">
        <v>193</v>
      </c>
      <c r="C203" s="66" t="str">
        <f>IFERROR(INDEX('G-1 All Habitats'!$AG$25:$AG$41,MATCH(D203,'G-1 All Habitats'!AF$25:AF$41,0)),"")</f>
        <v/>
      </c>
      <c r="D203" s="105"/>
      <c r="E203" s="138"/>
      <c r="F203" s="158" t="str">
        <f>IFERROR(INDEX('G-1 All Habitats'!$B$3:$B$136,MATCH(E203,'G-1 All Habitats'!$A$3:$A$136,0)),"")</f>
        <v/>
      </c>
      <c r="G203" s="233"/>
      <c r="H203" s="311" t="str">
        <f>IF(F203="","",VLOOKUP(F203,'G-1 All Habitats'!$B$2:$M$135,10,FALSE))</f>
        <v/>
      </c>
      <c r="I203" s="299" t="str">
        <f>IFERROR(VLOOKUP(H203,'G-1 All Habitats'!$V$3:$W$7,2,FALSE),"")</f>
        <v/>
      </c>
      <c r="J203" s="136"/>
      <c r="K203" s="299" t="str">
        <f>IFERROR(INDEX('G-8 Condition Look up'!$A$3:$H$135,MATCH(F203,'G-8 Condition Look up'!$A$3:$A$135,0),MATCH(J203,'G-8 Condition Look up'!$A$3:$H$3,0)),"")</f>
        <v/>
      </c>
      <c r="L203" s="101"/>
      <c r="M203" s="314" t="str">
        <f>IF(L203="","",IF(VLOOKUP(L203,'G-3 Multipliers'!$L$3:$N$6,2,FALSE)=0,"Spatial Data Missing ⚠",VLOOKUP(L203,'G-3 Multipliers'!$L$3:$N$6,2,FALSE)))</f>
        <v/>
      </c>
      <c r="N203" s="276" t="str">
        <f>IF(L203="","",IF(VLOOKUP(L203,'G-3 Multipliers'!$L$3:$N$6,3,FALSE)=0,"Spatial Data Missing ⚠",VLOOKUP(L203,'G-3 Multipliers'!$L$3:$N$6,3,FALSE)))</f>
        <v/>
      </c>
      <c r="O203" s="275" t="str">
        <f t="shared" si="21" ref="O203:O256">IFERROR(INDEX(TemporalData,MATCH(F203,TemporalHabitats,0),MATCH(J203,TemporalConditions,0)),"")</f>
        <v/>
      </c>
      <c r="P203" s="133"/>
      <c r="Q203" s="133"/>
      <c r="R203" s="295" t="str">
        <f t="shared" si="17"/>
        <v/>
      </c>
      <c r="S203" s="316" t="str">
        <f t="shared" si="18"/>
        <v/>
      </c>
      <c r="T203" s="300" t="str">
        <f>IFERROR(IF(S203="Check Data ⚠","Check Data ⚠",VLOOKUP(S203,'G-4 Temporal multipliers'!$A$4:$C$37,3,FALSE)),"")</f>
        <v/>
      </c>
      <c r="U203" s="298" t="str">
        <f>IF(F203="","",VLOOKUP(F203,'G-3 Multipliers'!$A$2:$E$134,2,FALSE))</f>
        <v/>
      </c>
      <c r="V203" s="295" t="str">
        <f t="shared" si="19"/>
        <v/>
      </c>
      <c r="W203" s="295" t="str">
        <f>IF(E203="","",IF(AND(V203="Standard difficulty applied",O203&gt;P203),U203,IF(AND(V203="Low Difficulty - only applicable if all habitat created before losses ⚠",P203&gt;=O203),"Low",VLOOKUP(F203,'G-3 Multipliers'!$A$2:$E$134,4,FALSE))))</f>
        <v/>
      </c>
      <c r="X203" s="299" t="str">
        <f>IFERROR(IF(E203="","",VLOOKUP(W203,'G-3 Multipliers'!$P$2:$Q$6,2,FALSE)),"")</f>
        <v/>
      </c>
      <c r="Y203" s="393"/>
      <c r="Z203" s="510" t="str">
        <f>IF(Y203="","",IF(VLOOKUP(Y203,'G-3 Multipliers'!$S$3:$T$10,2,FALSE)=0,"Spatial Data Missing ⚠",VLOOKUP(Y203,'G-3 Multipliers'!$S$3:$T$10,2,FALSE)))</f>
        <v/>
      </c>
      <c r="AA203" s="926" t="str">
        <f t="shared" si="22" ref="AA203:AA256">IFERROR(G203*I203*K203*N203*T203*X203*Z203,"")</f>
        <v/>
      </c>
      <c r="AB203" s="928" t="str">
        <f t="shared" si="20"/>
        <v/>
      </c>
      <c r="AC203" s="105"/>
      <c r="AD203" s="138"/>
      <c r="AE203" s="233"/>
      <c r="AF203" s="138"/>
      <c r="AG203" s="934"/>
      <c r="AJ203" s="40" t="str">
        <f t="shared" si="23" ref="AJ203:AJ256">IFERROR(INDEX(TemporalData,MATCH(F203,TemporalHabitats,0),MATCH($AJ$10,TemporalConditions,0)),"")</f>
        <v/>
      </c>
    </row>
    <row r="204" spans="1:36" ht="14">
      <c r="A204" s="30" t="str">
        <f>IFERROR(INDEX('G-8 Condition Look up'!$I$4:$I$135,MATCH(F204,'G-8 Condition Look up'!$A$4:$A$135,0)),"")</f>
        <v/>
      </c>
      <c r="B204" s="225">
        <v>194</v>
      </c>
      <c r="C204" s="66" t="str">
        <f>IFERROR(INDEX('G-1 All Habitats'!$AG$25:$AG$41,MATCH(D204,'G-1 All Habitats'!AF$25:AF$41,0)),"")</f>
        <v/>
      </c>
      <c r="D204" s="105"/>
      <c r="E204" s="138"/>
      <c r="F204" s="158" t="str">
        <f>IFERROR(INDEX('G-1 All Habitats'!$B$3:$B$136,MATCH(E204,'G-1 All Habitats'!$A$3:$A$136,0)),"")</f>
        <v/>
      </c>
      <c r="G204" s="233"/>
      <c r="H204" s="311" t="str">
        <f>IF(F204="","",VLOOKUP(F204,'G-1 All Habitats'!$B$2:$M$135,10,FALSE))</f>
        <v/>
      </c>
      <c r="I204" s="299" t="str">
        <f>IFERROR(VLOOKUP(H204,'G-1 All Habitats'!$V$3:$W$7,2,FALSE),"")</f>
        <v/>
      </c>
      <c r="J204" s="136"/>
      <c r="K204" s="299" t="str">
        <f>IFERROR(INDEX('G-8 Condition Look up'!$A$3:$H$135,MATCH(F204,'G-8 Condition Look up'!$A$3:$A$135,0),MATCH(J204,'G-8 Condition Look up'!$A$3:$H$3,0)),"")</f>
        <v/>
      </c>
      <c r="L204" s="101"/>
      <c r="M204" s="314" t="str">
        <f>IF(L204="","",IF(VLOOKUP(L204,'G-3 Multipliers'!$L$3:$N$6,2,FALSE)=0,"Spatial Data Missing ⚠",VLOOKUP(L204,'G-3 Multipliers'!$L$3:$N$6,2,FALSE)))</f>
        <v/>
      </c>
      <c r="N204" s="276" t="str">
        <f>IF(L204="","",IF(VLOOKUP(L204,'G-3 Multipliers'!$L$3:$N$6,3,FALSE)=0,"Spatial Data Missing ⚠",VLOOKUP(L204,'G-3 Multipliers'!$L$3:$N$6,3,FALSE)))</f>
        <v/>
      </c>
      <c r="O204" s="275" t="str">
        <f t="shared" si="21"/>
        <v/>
      </c>
      <c r="P204" s="133"/>
      <c r="Q204" s="133"/>
      <c r="R204" s="295" t="str">
        <f t="shared" si="24" ref="R204:R256">IF(E204="","",IF(AND(P204&gt;0,Q204&gt;0),"Error -both advance and delayed habitat creation ▲",IF(I204=0,"Standard time to target condition applied",IF(O204&lt;=P204,"Check details - Is there evidence that habitat has reached target condition? ⚠",IF(O204="","",IF(AND(P204&gt;=$AJ204,P204&gt;0),"Check details - Is there evidence habitat creation started and the threshold for Poor condition reached? ⚠",IF(AND(O204&gt;P204,P204&gt;0),"Check details - Is there evidence habitat creation in place? ⚠",IF(Q204&gt;0,"Check details- Delay in starting habitat in required condition? ⚠",IF(P204&gt;0,"Check details - Is there evidence habitat creation started/in place? ⚠","Standard time to target condition applied")))))))))</f>
        <v/>
      </c>
      <c r="S204" s="316" t="str">
        <f t="shared" si="25" ref="S204:S256">IF(R204="Error -both advance and delayed habitat creation ▲","Check Data ⚠",IF(O204="Not Possible ▲","Check Data ⚠",IF(O204="","",IF(AND(O204="30+",P204=0),"30+",IF(AND(O204="30+",P204="30+"),0,IF(AND(O204="30+",P204&lt;32),30-P204,IF(O204="30+",30-P204,IF(P204&gt;O204,0,IF(Q204="30+","30+",IF(O204+Q204&gt;30,"30+",IF(O204+Q204&gt;30,"30+",IF(O204-P204&gt;30,"30+",IF(O204+Q204-P204&gt;0,O204+Q204-P204,IF(O204-P204&gt;0,O204-P204,O204+Q204-P204))))))))))))))</f>
        <v/>
      </c>
      <c r="T204" s="300" t="str">
        <f>IFERROR(IF(S204="Check Data ⚠","Check Data ⚠",VLOOKUP(S204,'G-4 Temporal multipliers'!$A$4:$C$37,3,FALSE)),"")</f>
        <v/>
      </c>
      <c r="U204" s="298" t="str">
        <f>IF(F204="","",VLOOKUP(F204,'G-3 Multipliers'!$A$2:$E$134,2,FALSE))</f>
        <v/>
      </c>
      <c r="V204" s="295" t="str">
        <f t="shared" si="26" ref="V204:V256">IF(F204="","",IF($R204="Check details - Is there evidence that habitat has reached target condition? ⚠","Low Difficulty - only applicable if all habitat created before losses ⚠",IF(AND($R204="Check details - Is there evidence habitat creation started and the threshold for Poor condition reached? ⚠",$E204&lt;&gt;"Traditional orchards",$E204&lt;&gt;"Ornamental lake or pond",$E204&lt;&gt;"Ponds (non-priority habitat)",$E204&lt;&gt;"Ruderal/Ephemeral",$E204&lt;&gt;"Tall forbs",$E204&lt;&gt;"Developed land; sealed surface"),"Enhancement difficulty applied","Standard difficulty applied")))</f>
        <v/>
      </c>
      <c r="W204" s="295" t="str">
        <f>IF(E204="","",IF(AND(V204="Standard difficulty applied",O204&gt;P204),U204,IF(AND(V204="Low Difficulty - only applicable if all habitat created before losses ⚠",P204&gt;=O204),"Low",VLOOKUP(F204,'G-3 Multipliers'!$A$2:$E$134,4,FALSE))))</f>
        <v/>
      </c>
      <c r="X204" s="299" t="str">
        <f>IFERROR(IF(E204="","",VLOOKUP(W204,'G-3 Multipliers'!$P$2:$Q$6,2,FALSE)),"")</f>
        <v/>
      </c>
      <c r="Y204" s="393"/>
      <c r="Z204" s="510" t="str">
        <f>IF(Y204="","",IF(VLOOKUP(Y204,'G-3 Multipliers'!$S$3:$T$10,2,FALSE)=0,"Spatial Data Missing ⚠",VLOOKUP(Y204,'G-3 Multipliers'!$S$3:$T$10,2,FALSE)))</f>
        <v/>
      </c>
      <c r="AA204" s="926" t="str">
        <f t="shared" si="22"/>
        <v/>
      </c>
      <c r="AB204" s="928" t="str">
        <f t="shared" si="27" ref="AB204:AB256">IFERROR(IF(AND(Y204&lt;&gt;"",AF204=""),"Off-site reference required ▲",(IF(Y204="","",G204*I204*K204*N204*T204*X204))),"")</f>
        <v/>
      </c>
      <c r="AC204" s="105"/>
      <c r="AD204" s="138"/>
      <c r="AE204" s="233"/>
      <c r="AF204" s="138"/>
      <c r="AG204" s="934"/>
      <c r="AJ204" s="40" t="str">
        <f t="shared" si="23"/>
        <v/>
      </c>
    </row>
    <row r="205" spans="1:36" ht="14">
      <c r="A205" s="30" t="str">
        <f>IFERROR(INDEX('G-8 Condition Look up'!$I$4:$I$135,MATCH(F205,'G-8 Condition Look up'!$A$4:$A$135,0)),"")</f>
        <v/>
      </c>
      <c r="B205" s="225">
        <v>195</v>
      </c>
      <c r="C205" s="66" t="str">
        <f>IFERROR(INDEX('G-1 All Habitats'!$AG$25:$AG$41,MATCH(D205,'G-1 All Habitats'!AF$25:AF$41,0)),"")</f>
        <v/>
      </c>
      <c r="D205" s="105"/>
      <c r="E205" s="138"/>
      <c r="F205" s="158" t="str">
        <f>IFERROR(INDEX('G-1 All Habitats'!$B$3:$B$136,MATCH(E205,'G-1 All Habitats'!$A$3:$A$136,0)),"")</f>
        <v/>
      </c>
      <c r="G205" s="233"/>
      <c r="H205" s="311" t="str">
        <f>IF(F205="","",VLOOKUP(F205,'G-1 All Habitats'!$B$2:$M$135,10,FALSE))</f>
        <v/>
      </c>
      <c r="I205" s="299" t="str">
        <f>IFERROR(VLOOKUP(H205,'G-1 All Habitats'!$V$3:$W$7,2,FALSE),"")</f>
        <v/>
      </c>
      <c r="J205" s="136"/>
      <c r="K205" s="299" t="str">
        <f>IFERROR(INDEX('G-8 Condition Look up'!$A$3:$H$135,MATCH(F205,'G-8 Condition Look up'!$A$3:$A$135,0),MATCH(J205,'G-8 Condition Look up'!$A$3:$H$3,0)),"")</f>
        <v/>
      </c>
      <c r="L205" s="101"/>
      <c r="M205" s="314" t="str">
        <f>IF(L205="","",IF(VLOOKUP(L205,'G-3 Multipliers'!$L$3:$N$6,2,FALSE)=0,"Spatial Data Missing ⚠",VLOOKUP(L205,'G-3 Multipliers'!$L$3:$N$6,2,FALSE)))</f>
        <v/>
      </c>
      <c r="N205" s="276" t="str">
        <f>IF(L205="","",IF(VLOOKUP(L205,'G-3 Multipliers'!$L$3:$N$6,3,FALSE)=0,"Spatial Data Missing ⚠",VLOOKUP(L205,'G-3 Multipliers'!$L$3:$N$6,3,FALSE)))</f>
        <v/>
      </c>
      <c r="O205" s="275" t="str">
        <f t="shared" si="21"/>
        <v/>
      </c>
      <c r="P205" s="133"/>
      <c r="Q205" s="133"/>
      <c r="R205" s="295" t="str">
        <f t="shared" si="24"/>
        <v/>
      </c>
      <c r="S205" s="316" t="str">
        <f t="shared" si="25"/>
        <v/>
      </c>
      <c r="T205" s="300" t="str">
        <f>IFERROR(IF(S205="Check Data ⚠","Check Data ⚠",VLOOKUP(S205,'G-4 Temporal multipliers'!$A$4:$C$37,3,FALSE)),"")</f>
        <v/>
      </c>
      <c r="U205" s="298" t="str">
        <f>IF(F205="","",VLOOKUP(F205,'G-3 Multipliers'!$A$2:$E$134,2,FALSE))</f>
        <v/>
      </c>
      <c r="V205" s="295" t="str">
        <f t="shared" si="26"/>
        <v/>
      </c>
      <c r="W205" s="295" t="str">
        <f>IF(E205="","",IF(AND(V205="Standard difficulty applied",O205&gt;P205),U205,IF(AND(V205="Low Difficulty - only applicable if all habitat created before losses ⚠",P205&gt;=O205),"Low",VLOOKUP(F205,'G-3 Multipliers'!$A$2:$E$134,4,FALSE))))</f>
        <v/>
      </c>
      <c r="X205" s="299" t="str">
        <f>IFERROR(IF(E205="","",VLOOKUP(W205,'G-3 Multipliers'!$P$2:$Q$6,2,FALSE)),"")</f>
        <v/>
      </c>
      <c r="Y205" s="393"/>
      <c r="Z205" s="510" t="str">
        <f>IF(Y205="","",IF(VLOOKUP(Y205,'G-3 Multipliers'!$S$3:$T$10,2,FALSE)=0,"Spatial Data Missing ⚠",VLOOKUP(Y205,'G-3 Multipliers'!$S$3:$T$10,2,FALSE)))</f>
        <v/>
      </c>
      <c r="AA205" s="926" t="str">
        <f t="shared" si="22"/>
        <v/>
      </c>
      <c r="AB205" s="928" t="str">
        <f t="shared" si="27"/>
        <v/>
      </c>
      <c r="AC205" s="105"/>
      <c r="AD205" s="138"/>
      <c r="AE205" s="233"/>
      <c r="AF205" s="138"/>
      <c r="AG205" s="934"/>
      <c r="AJ205" s="40" t="str">
        <f t="shared" si="23"/>
        <v/>
      </c>
    </row>
    <row r="206" spans="1:36" ht="14">
      <c r="A206" s="30" t="str">
        <f>IFERROR(INDEX('G-8 Condition Look up'!$I$4:$I$135,MATCH(F206,'G-8 Condition Look up'!$A$4:$A$135,0)),"")</f>
        <v/>
      </c>
      <c r="B206" s="225">
        <v>196</v>
      </c>
      <c r="C206" s="66" t="str">
        <f>IFERROR(INDEX('G-1 All Habitats'!$AG$25:$AG$41,MATCH(D206,'G-1 All Habitats'!AF$25:AF$41,0)),"")</f>
        <v/>
      </c>
      <c r="D206" s="105"/>
      <c r="E206" s="138"/>
      <c r="F206" s="158" t="str">
        <f>IFERROR(INDEX('G-1 All Habitats'!$B$3:$B$136,MATCH(E206,'G-1 All Habitats'!$A$3:$A$136,0)),"")</f>
        <v/>
      </c>
      <c r="G206" s="233"/>
      <c r="H206" s="311" t="str">
        <f>IF(F206="","",VLOOKUP(F206,'G-1 All Habitats'!$B$2:$M$135,10,FALSE))</f>
        <v/>
      </c>
      <c r="I206" s="299" t="str">
        <f>IFERROR(VLOOKUP(H206,'G-1 All Habitats'!$V$3:$W$7,2,FALSE),"")</f>
        <v/>
      </c>
      <c r="J206" s="136"/>
      <c r="K206" s="299" t="str">
        <f>IFERROR(INDEX('G-8 Condition Look up'!$A$3:$H$135,MATCH(F206,'G-8 Condition Look up'!$A$3:$A$135,0),MATCH(J206,'G-8 Condition Look up'!$A$3:$H$3,0)),"")</f>
        <v/>
      </c>
      <c r="L206" s="101"/>
      <c r="M206" s="314" t="str">
        <f>IF(L206="","",IF(VLOOKUP(L206,'G-3 Multipliers'!$L$3:$N$6,2,FALSE)=0,"Spatial Data Missing ⚠",VLOOKUP(L206,'G-3 Multipliers'!$L$3:$N$6,2,FALSE)))</f>
        <v/>
      </c>
      <c r="N206" s="276" t="str">
        <f>IF(L206="","",IF(VLOOKUP(L206,'G-3 Multipliers'!$L$3:$N$6,3,FALSE)=0,"Spatial Data Missing ⚠",VLOOKUP(L206,'G-3 Multipliers'!$L$3:$N$6,3,FALSE)))</f>
        <v/>
      </c>
      <c r="O206" s="275" t="str">
        <f t="shared" si="21"/>
        <v/>
      </c>
      <c r="P206" s="133"/>
      <c r="Q206" s="133"/>
      <c r="R206" s="295" t="str">
        <f t="shared" si="24"/>
        <v/>
      </c>
      <c r="S206" s="316" t="str">
        <f t="shared" si="25"/>
        <v/>
      </c>
      <c r="T206" s="300" t="str">
        <f>IFERROR(IF(S206="Check Data ⚠","Check Data ⚠",VLOOKUP(S206,'G-4 Temporal multipliers'!$A$4:$C$37,3,FALSE)),"")</f>
        <v/>
      </c>
      <c r="U206" s="298" t="str">
        <f>IF(F206="","",VLOOKUP(F206,'G-3 Multipliers'!$A$2:$E$134,2,FALSE))</f>
        <v/>
      </c>
      <c r="V206" s="295" t="str">
        <f t="shared" si="26"/>
        <v/>
      </c>
      <c r="W206" s="295" t="str">
        <f>IF(E206="","",IF(AND(V206="Standard difficulty applied",O206&gt;P206),U206,IF(AND(V206="Low Difficulty - only applicable if all habitat created before losses ⚠",P206&gt;=O206),"Low",VLOOKUP(F206,'G-3 Multipliers'!$A$2:$E$134,4,FALSE))))</f>
        <v/>
      </c>
      <c r="X206" s="299" t="str">
        <f>IFERROR(IF(E206="","",VLOOKUP(W206,'G-3 Multipliers'!$P$2:$Q$6,2,FALSE)),"")</f>
        <v/>
      </c>
      <c r="Y206" s="393"/>
      <c r="Z206" s="510" t="str">
        <f>IF(Y206="","",IF(VLOOKUP(Y206,'G-3 Multipliers'!$S$3:$T$10,2,FALSE)=0,"Spatial Data Missing ⚠",VLOOKUP(Y206,'G-3 Multipliers'!$S$3:$T$10,2,FALSE)))</f>
        <v/>
      </c>
      <c r="AA206" s="926" t="str">
        <f t="shared" si="22"/>
        <v/>
      </c>
      <c r="AB206" s="928" t="str">
        <f t="shared" si="27"/>
        <v/>
      </c>
      <c r="AC206" s="105"/>
      <c r="AD206" s="138"/>
      <c r="AE206" s="233"/>
      <c r="AF206" s="138"/>
      <c r="AG206" s="934"/>
      <c r="AJ206" s="40" t="str">
        <f t="shared" si="23"/>
        <v/>
      </c>
    </row>
    <row r="207" spans="1:36" ht="14">
      <c r="A207" s="30" t="str">
        <f>IFERROR(INDEX('G-8 Condition Look up'!$I$4:$I$135,MATCH(F207,'G-8 Condition Look up'!$A$4:$A$135,0)),"")</f>
        <v/>
      </c>
      <c r="B207" s="225">
        <v>197</v>
      </c>
      <c r="C207" s="66" t="str">
        <f>IFERROR(INDEX('G-1 All Habitats'!$AG$25:$AG$41,MATCH(D207,'G-1 All Habitats'!AF$25:AF$41,0)),"")</f>
        <v/>
      </c>
      <c r="D207" s="105"/>
      <c r="E207" s="138"/>
      <c r="F207" s="158" t="str">
        <f>IFERROR(INDEX('G-1 All Habitats'!$B$3:$B$136,MATCH(E207,'G-1 All Habitats'!$A$3:$A$136,0)),"")</f>
        <v/>
      </c>
      <c r="G207" s="233"/>
      <c r="H207" s="311" t="str">
        <f>IF(F207="","",VLOOKUP(F207,'G-1 All Habitats'!$B$2:$M$135,10,FALSE))</f>
        <v/>
      </c>
      <c r="I207" s="299" t="str">
        <f>IFERROR(VLOOKUP(H207,'G-1 All Habitats'!$V$3:$W$7,2,FALSE),"")</f>
        <v/>
      </c>
      <c r="J207" s="136"/>
      <c r="K207" s="299" t="str">
        <f>IFERROR(INDEX('G-8 Condition Look up'!$A$3:$H$135,MATCH(F207,'G-8 Condition Look up'!$A$3:$A$135,0),MATCH(J207,'G-8 Condition Look up'!$A$3:$H$3,0)),"")</f>
        <v/>
      </c>
      <c r="L207" s="101"/>
      <c r="M207" s="314" t="str">
        <f>IF(L207="","",IF(VLOOKUP(L207,'G-3 Multipliers'!$L$3:$N$6,2,FALSE)=0,"Spatial Data Missing ⚠",VLOOKUP(L207,'G-3 Multipliers'!$L$3:$N$6,2,FALSE)))</f>
        <v/>
      </c>
      <c r="N207" s="276" t="str">
        <f>IF(L207="","",IF(VLOOKUP(L207,'G-3 Multipliers'!$L$3:$N$6,3,FALSE)=0,"Spatial Data Missing ⚠",VLOOKUP(L207,'G-3 Multipliers'!$L$3:$N$6,3,FALSE)))</f>
        <v/>
      </c>
      <c r="O207" s="275" t="str">
        <f t="shared" si="21"/>
        <v/>
      </c>
      <c r="P207" s="133"/>
      <c r="Q207" s="133"/>
      <c r="R207" s="295" t="str">
        <f t="shared" si="24"/>
        <v/>
      </c>
      <c r="S207" s="316" t="str">
        <f t="shared" si="25"/>
        <v/>
      </c>
      <c r="T207" s="300" t="str">
        <f>IFERROR(IF(S207="Check Data ⚠","Check Data ⚠",VLOOKUP(S207,'G-4 Temporal multipliers'!$A$4:$C$37,3,FALSE)),"")</f>
        <v/>
      </c>
      <c r="U207" s="298" t="str">
        <f>IF(F207="","",VLOOKUP(F207,'G-3 Multipliers'!$A$2:$E$134,2,FALSE))</f>
        <v/>
      </c>
      <c r="V207" s="295" t="str">
        <f t="shared" si="26"/>
        <v/>
      </c>
      <c r="W207" s="295" t="str">
        <f>IF(E207="","",IF(AND(V207="Standard difficulty applied",O207&gt;P207),U207,IF(AND(V207="Low Difficulty - only applicable if all habitat created before losses ⚠",P207&gt;=O207),"Low",VLOOKUP(F207,'G-3 Multipliers'!$A$2:$E$134,4,FALSE))))</f>
        <v/>
      </c>
      <c r="X207" s="299" t="str">
        <f>IFERROR(IF(E207="","",VLOOKUP(W207,'G-3 Multipliers'!$P$2:$Q$6,2,FALSE)),"")</f>
        <v/>
      </c>
      <c r="Y207" s="393"/>
      <c r="Z207" s="510" t="str">
        <f>IF(Y207="","",IF(VLOOKUP(Y207,'G-3 Multipliers'!$S$3:$T$10,2,FALSE)=0,"Spatial Data Missing ⚠",VLOOKUP(Y207,'G-3 Multipliers'!$S$3:$T$10,2,FALSE)))</f>
        <v/>
      </c>
      <c r="AA207" s="926" t="str">
        <f t="shared" si="22"/>
        <v/>
      </c>
      <c r="AB207" s="928" t="str">
        <f t="shared" si="27"/>
        <v/>
      </c>
      <c r="AC207" s="105"/>
      <c r="AD207" s="138"/>
      <c r="AE207" s="233"/>
      <c r="AF207" s="138"/>
      <c r="AG207" s="934"/>
      <c r="AJ207" s="40" t="str">
        <f t="shared" si="23"/>
        <v/>
      </c>
    </row>
    <row r="208" spans="1:36" ht="14">
      <c r="A208" s="30" t="str">
        <f>IFERROR(INDEX('G-8 Condition Look up'!$I$4:$I$135,MATCH(F208,'G-8 Condition Look up'!$A$4:$A$135,0)),"")</f>
        <v/>
      </c>
      <c r="B208" s="225">
        <v>198</v>
      </c>
      <c r="C208" s="66" t="str">
        <f>IFERROR(INDEX('G-1 All Habitats'!$AG$25:$AG$41,MATCH(D208,'G-1 All Habitats'!AF$25:AF$41,0)),"")</f>
        <v/>
      </c>
      <c r="D208" s="105"/>
      <c r="E208" s="138"/>
      <c r="F208" s="158" t="str">
        <f>IFERROR(INDEX('G-1 All Habitats'!$B$3:$B$136,MATCH(E208,'G-1 All Habitats'!$A$3:$A$136,0)),"")</f>
        <v/>
      </c>
      <c r="G208" s="233"/>
      <c r="H208" s="311" t="str">
        <f>IF(F208="","",VLOOKUP(F208,'G-1 All Habitats'!$B$2:$M$135,10,FALSE))</f>
        <v/>
      </c>
      <c r="I208" s="299" t="str">
        <f>IFERROR(VLOOKUP(H208,'G-1 All Habitats'!$V$3:$W$7,2,FALSE),"")</f>
        <v/>
      </c>
      <c r="J208" s="136"/>
      <c r="K208" s="299" t="str">
        <f>IFERROR(INDEX('G-8 Condition Look up'!$A$3:$H$135,MATCH(F208,'G-8 Condition Look up'!$A$3:$A$135,0),MATCH(J208,'G-8 Condition Look up'!$A$3:$H$3,0)),"")</f>
        <v/>
      </c>
      <c r="L208" s="101"/>
      <c r="M208" s="314" t="str">
        <f>IF(L208="","",IF(VLOOKUP(L208,'G-3 Multipliers'!$L$3:$N$6,2,FALSE)=0,"Spatial Data Missing ⚠",VLOOKUP(L208,'G-3 Multipliers'!$L$3:$N$6,2,FALSE)))</f>
        <v/>
      </c>
      <c r="N208" s="276" t="str">
        <f>IF(L208="","",IF(VLOOKUP(L208,'G-3 Multipliers'!$L$3:$N$6,3,FALSE)=0,"Spatial Data Missing ⚠",VLOOKUP(L208,'G-3 Multipliers'!$L$3:$N$6,3,FALSE)))</f>
        <v/>
      </c>
      <c r="O208" s="275" t="str">
        <f t="shared" si="21"/>
        <v/>
      </c>
      <c r="P208" s="133"/>
      <c r="Q208" s="133"/>
      <c r="R208" s="295" t="str">
        <f t="shared" si="24"/>
        <v/>
      </c>
      <c r="S208" s="316" t="str">
        <f t="shared" si="25"/>
        <v/>
      </c>
      <c r="T208" s="300" t="str">
        <f>IFERROR(IF(S208="Check Data ⚠","Check Data ⚠",VLOOKUP(S208,'G-4 Temporal multipliers'!$A$4:$C$37,3,FALSE)),"")</f>
        <v/>
      </c>
      <c r="U208" s="298" t="str">
        <f>IF(F208="","",VLOOKUP(F208,'G-3 Multipliers'!$A$2:$E$134,2,FALSE))</f>
        <v/>
      </c>
      <c r="V208" s="295" t="str">
        <f t="shared" si="26"/>
        <v/>
      </c>
      <c r="W208" s="295" t="str">
        <f>IF(E208="","",IF(AND(V208="Standard difficulty applied",O208&gt;P208),U208,IF(AND(V208="Low Difficulty - only applicable if all habitat created before losses ⚠",P208&gt;=O208),"Low",VLOOKUP(F208,'G-3 Multipliers'!$A$2:$E$134,4,FALSE))))</f>
        <v/>
      </c>
      <c r="X208" s="299" t="str">
        <f>IFERROR(IF(E208="","",VLOOKUP(W208,'G-3 Multipliers'!$P$2:$Q$6,2,FALSE)),"")</f>
        <v/>
      </c>
      <c r="Y208" s="393"/>
      <c r="Z208" s="510" t="str">
        <f>IF(Y208="","",IF(VLOOKUP(Y208,'G-3 Multipliers'!$S$3:$T$10,2,FALSE)=0,"Spatial Data Missing ⚠",VLOOKUP(Y208,'G-3 Multipliers'!$S$3:$T$10,2,FALSE)))</f>
        <v/>
      </c>
      <c r="AA208" s="926" t="str">
        <f t="shared" si="22"/>
        <v/>
      </c>
      <c r="AB208" s="928" t="str">
        <f t="shared" si="27"/>
        <v/>
      </c>
      <c r="AC208" s="105"/>
      <c r="AD208" s="138"/>
      <c r="AE208" s="233"/>
      <c r="AF208" s="138"/>
      <c r="AG208" s="934"/>
      <c r="AJ208" s="40" t="str">
        <f t="shared" si="23"/>
        <v/>
      </c>
    </row>
    <row r="209" spans="1:36" ht="14">
      <c r="A209" s="30" t="str">
        <f>IFERROR(INDEX('G-8 Condition Look up'!$I$4:$I$135,MATCH(F209,'G-8 Condition Look up'!$A$4:$A$135,0)),"")</f>
        <v/>
      </c>
      <c r="B209" s="225">
        <v>199</v>
      </c>
      <c r="C209" s="66" t="str">
        <f>IFERROR(INDEX('G-1 All Habitats'!$AG$25:$AG$41,MATCH(D209,'G-1 All Habitats'!AF$25:AF$41,0)),"")</f>
        <v/>
      </c>
      <c r="D209" s="105"/>
      <c r="E209" s="138"/>
      <c r="F209" s="158" t="str">
        <f>IFERROR(INDEX('G-1 All Habitats'!$B$3:$B$136,MATCH(E209,'G-1 All Habitats'!$A$3:$A$136,0)),"")</f>
        <v/>
      </c>
      <c r="G209" s="233"/>
      <c r="H209" s="311" t="str">
        <f>IF(F209="","",VLOOKUP(F209,'G-1 All Habitats'!$B$2:$M$135,10,FALSE))</f>
        <v/>
      </c>
      <c r="I209" s="299" t="str">
        <f>IFERROR(VLOOKUP(H209,'G-1 All Habitats'!$V$3:$W$7,2,FALSE),"")</f>
        <v/>
      </c>
      <c r="J209" s="136"/>
      <c r="K209" s="299" t="str">
        <f>IFERROR(INDEX('G-8 Condition Look up'!$A$3:$H$135,MATCH(F209,'G-8 Condition Look up'!$A$3:$A$135,0),MATCH(J209,'G-8 Condition Look up'!$A$3:$H$3,0)),"")</f>
        <v/>
      </c>
      <c r="L209" s="101"/>
      <c r="M209" s="314" t="str">
        <f>IF(L209="","",IF(VLOOKUP(L209,'G-3 Multipliers'!$L$3:$N$6,2,FALSE)=0,"Spatial Data Missing ⚠",VLOOKUP(L209,'G-3 Multipliers'!$L$3:$N$6,2,FALSE)))</f>
        <v/>
      </c>
      <c r="N209" s="276" t="str">
        <f>IF(L209="","",IF(VLOOKUP(L209,'G-3 Multipliers'!$L$3:$N$6,3,FALSE)=0,"Spatial Data Missing ⚠",VLOOKUP(L209,'G-3 Multipliers'!$L$3:$N$6,3,FALSE)))</f>
        <v/>
      </c>
      <c r="O209" s="275" t="str">
        <f t="shared" si="21"/>
        <v/>
      </c>
      <c r="P209" s="133"/>
      <c r="Q209" s="133"/>
      <c r="R209" s="295" t="str">
        <f t="shared" si="24"/>
        <v/>
      </c>
      <c r="S209" s="316" t="str">
        <f t="shared" si="25"/>
        <v/>
      </c>
      <c r="T209" s="300" t="str">
        <f>IFERROR(IF(S209="Check Data ⚠","Check Data ⚠",VLOOKUP(S209,'G-4 Temporal multipliers'!$A$4:$C$37,3,FALSE)),"")</f>
        <v/>
      </c>
      <c r="U209" s="298" t="str">
        <f>IF(F209="","",VLOOKUP(F209,'G-3 Multipliers'!$A$2:$E$134,2,FALSE))</f>
        <v/>
      </c>
      <c r="V209" s="295" t="str">
        <f t="shared" si="26"/>
        <v/>
      </c>
      <c r="W209" s="295" t="str">
        <f>IF(E209="","",IF(AND(V209="Standard difficulty applied",O209&gt;P209),U209,IF(AND(V209="Low Difficulty - only applicable if all habitat created before losses ⚠",P209&gt;=O209),"Low",VLOOKUP(F209,'G-3 Multipliers'!$A$2:$E$134,4,FALSE))))</f>
        <v/>
      </c>
      <c r="X209" s="299" t="str">
        <f>IFERROR(IF(E209="","",VLOOKUP(W209,'G-3 Multipliers'!$P$2:$Q$6,2,FALSE)),"")</f>
        <v/>
      </c>
      <c r="Y209" s="393"/>
      <c r="Z209" s="510" t="str">
        <f>IF(Y209="","",IF(VLOOKUP(Y209,'G-3 Multipliers'!$S$3:$T$10,2,FALSE)=0,"Spatial Data Missing ⚠",VLOOKUP(Y209,'G-3 Multipliers'!$S$3:$T$10,2,FALSE)))</f>
        <v/>
      </c>
      <c r="AA209" s="926" t="str">
        <f t="shared" si="22"/>
        <v/>
      </c>
      <c r="AB209" s="928" t="str">
        <f t="shared" si="27"/>
        <v/>
      </c>
      <c r="AC209" s="105"/>
      <c r="AD209" s="138"/>
      <c r="AE209" s="233"/>
      <c r="AF209" s="138"/>
      <c r="AG209" s="934"/>
      <c r="AJ209" s="40" t="str">
        <f t="shared" si="23"/>
        <v/>
      </c>
    </row>
    <row r="210" spans="1:36" ht="14">
      <c r="A210" s="30" t="str">
        <f>IFERROR(INDEX('G-8 Condition Look up'!$I$4:$I$135,MATCH(F210,'G-8 Condition Look up'!$A$4:$A$135,0)),"")</f>
        <v/>
      </c>
      <c r="B210" s="225">
        <v>200</v>
      </c>
      <c r="C210" s="66" t="str">
        <f>IFERROR(INDEX('G-1 All Habitats'!$AG$25:$AG$41,MATCH(D210,'G-1 All Habitats'!AF$25:AF$41,0)),"")</f>
        <v/>
      </c>
      <c r="D210" s="105"/>
      <c r="E210" s="138"/>
      <c r="F210" s="158" t="str">
        <f>IFERROR(INDEX('G-1 All Habitats'!$B$3:$B$136,MATCH(E210,'G-1 All Habitats'!$A$3:$A$136,0)),"")</f>
        <v/>
      </c>
      <c r="G210" s="233"/>
      <c r="H210" s="311" t="str">
        <f>IF(F210="","",VLOOKUP(F210,'G-1 All Habitats'!$B$2:$M$135,10,FALSE))</f>
        <v/>
      </c>
      <c r="I210" s="299" t="str">
        <f>IFERROR(VLOOKUP(H210,'G-1 All Habitats'!$V$3:$W$7,2,FALSE),"")</f>
        <v/>
      </c>
      <c r="J210" s="136"/>
      <c r="K210" s="299" t="str">
        <f>IFERROR(INDEX('G-8 Condition Look up'!$A$3:$H$135,MATCH(F210,'G-8 Condition Look up'!$A$3:$A$135,0),MATCH(J210,'G-8 Condition Look up'!$A$3:$H$3,0)),"")</f>
        <v/>
      </c>
      <c r="L210" s="101"/>
      <c r="M210" s="314" t="str">
        <f>IF(L210="","",IF(VLOOKUP(L210,'G-3 Multipliers'!$L$3:$N$6,2,FALSE)=0,"Spatial Data Missing ⚠",VLOOKUP(L210,'G-3 Multipliers'!$L$3:$N$6,2,FALSE)))</f>
        <v/>
      </c>
      <c r="N210" s="276" t="str">
        <f>IF(L210="","",IF(VLOOKUP(L210,'G-3 Multipliers'!$L$3:$N$6,3,FALSE)=0,"Spatial Data Missing ⚠",VLOOKUP(L210,'G-3 Multipliers'!$L$3:$N$6,3,FALSE)))</f>
        <v/>
      </c>
      <c r="O210" s="275" t="str">
        <f t="shared" si="21"/>
        <v/>
      </c>
      <c r="P210" s="133"/>
      <c r="Q210" s="133"/>
      <c r="R210" s="295" t="str">
        <f t="shared" si="24"/>
        <v/>
      </c>
      <c r="S210" s="316" t="str">
        <f t="shared" si="25"/>
        <v/>
      </c>
      <c r="T210" s="300" t="str">
        <f>IFERROR(IF(S210="Check Data ⚠","Check Data ⚠",VLOOKUP(S210,'G-4 Temporal multipliers'!$A$4:$C$37,3,FALSE)),"")</f>
        <v/>
      </c>
      <c r="U210" s="298" t="str">
        <f>IF(F210="","",VLOOKUP(F210,'G-3 Multipliers'!$A$2:$E$134,2,FALSE))</f>
        <v/>
      </c>
      <c r="V210" s="295" t="str">
        <f t="shared" si="26"/>
        <v/>
      </c>
      <c r="W210" s="295" t="str">
        <f>IF(E210="","",IF(AND(V210="Standard difficulty applied",O210&gt;P210),U210,IF(AND(V210="Low Difficulty - only applicable if all habitat created before losses ⚠",P210&gt;=O210),"Low",VLOOKUP(F210,'G-3 Multipliers'!$A$2:$E$134,4,FALSE))))</f>
        <v/>
      </c>
      <c r="X210" s="299" t="str">
        <f>IFERROR(IF(E210="","",VLOOKUP(W210,'G-3 Multipliers'!$P$2:$Q$6,2,FALSE)),"")</f>
        <v/>
      </c>
      <c r="Y210" s="393"/>
      <c r="Z210" s="510" t="str">
        <f>IF(Y210="","",IF(VLOOKUP(Y210,'G-3 Multipliers'!$S$3:$T$10,2,FALSE)=0,"Spatial Data Missing ⚠",VLOOKUP(Y210,'G-3 Multipliers'!$S$3:$T$10,2,FALSE)))</f>
        <v/>
      </c>
      <c r="AA210" s="926" t="str">
        <f t="shared" si="22"/>
        <v/>
      </c>
      <c r="AB210" s="928" t="str">
        <f t="shared" si="27"/>
        <v/>
      </c>
      <c r="AC210" s="105"/>
      <c r="AD210" s="138"/>
      <c r="AE210" s="233"/>
      <c r="AF210" s="138"/>
      <c r="AG210" s="934"/>
      <c r="AJ210" s="40" t="str">
        <f t="shared" si="23"/>
        <v/>
      </c>
    </row>
    <row r="211" spans="1:36" ht="14">
      <c r="A211" s="30" t="str">
        <f>IFERROR(INDEX('G-8 Condition Look up'!$I$4:$I$135,MATCH(F211,'G-8 Condition Look up'!$A$4:$A$135,0)),"")</f>
        <v/>
      </c>
      <c r="B211" s="225">
        <v>201</v>
      </c>
      <c r="C211" s="66" t="str">
        <f>IFERROR(INDEX('G-1 All Habitats'!$AG$25:$AG$41,MATCH(D211,'G-1 All Habitats'!AF$25:AF$41,0)),"")</f>
        <v/>
      </c>
      <c r="D211" s="105"/>
      <c r="E211" s="138"/>
      <c r="F211" s="158" t="str">
        <f>IFERROR(INDEX('G-1 All Habitats'!$B$3:$B$136,MATCH(E211,'G-1 All Habitats'!$A$3:$A$136,0)),"")</f>
        <v/>
      </c>
      <c r="G211" s="233"/>
      <c r="H211" s="311" t="str">
        <f>IF(F211="","",VLOOKUP(F211,'G-1 All Habitats'!$B$2:$M$135,10,FALSE))</f>
        <v/>
      </c>
      <c r="I211" s="299" t="str">
        <f>IFERROR(VLOOKUP(H211,'G-1 All Habitats'!$V$3:$W$7,2,FALSE),"")</f>
        <v/>
      </c>
      <c r="J211" s="136"/>
      <c r="K211" s="299" t="str">
        <f>IFERROR(INDEX('G-8 Condition Look up'!$A$3:$H$135,MATCH(F211,'G-8 Condition Look up'!$A$3:$A$135,0),MATCH(J211,'G-8 Condition Look up'!$A$3:$H$3,0)),"")</f>
        <v/>
      </c>
      <c r="L211" s="101"/>
      <c r="M211" s="314" t="str">
        <f>IF(L211="","",IF(VLOOKUP(L211,'G-3 Multipliers'!$L$3:$N$6,2,FALSE)=0,"Spatial Data Missing ⚠",VLOOKUP(L211,'G-3 Multipliers'!$L$3:$N$6,2,FALSE)))</f>
        <v/>
      </c>
      <c r="N211" s="276" t="str">
        <f>IF(L211="","",IF(VLOOKUP(L211,'G-3 Multipliers'!$L$3:$N$6,3,FALSE)=0,"Spatial Data Missing ⚠",VLOOKUP(L211,'G-3 Multipliers'!$L$3:$N$6,3,FALSE)))</f>
        <v/>
      </c>
      <c r="O211" s="275" t="str">
        <f t="shared" si="21"/>
        <v/>
      </c>
      <c r="P211" s="133"/>
      <c r="Q211" s="133"/>
      <c r="R211" s="295" t="str">
        <f t="shared" si="24"/>
        <v/>
      </c>
      <c r="S211" s="316" t="str">
        <f t="shared" si="25"/>
        <v/>
      </c>
      <c r="T211" s="300" t="str">
        <f>IFERROR(IF(S211="Check Data ⚠","Check Data ⚠",VLOOKUP(S211,'G-4 Temporal multipliers'!$A$4:$C$37,3,FALSE)),"")</f>
        <v/>
      </c>
      <c r="U211" s="298" t="str">
        <f>IF(F211="","",VLOOKUP(F211,'G-3 Multipliers'!$A$2:$E$134,2,FALSE))</f>
        <v/>
      </c>
      <c r="V211" s="295" t="str">
        <f t="shared" si="26"/>
        <v/>
      </c>
      <c r="W211" s="295" t="str">
        <f>IF(E211="","",IF(AND(V211="Standard difficulty applied",O211&gt;P211),U211,IF(AND(V211="Low Difficulty - only applicable if all habitat created before losses ⚠",P211&gt;=O211),"Low",VLOOKUP(F211,'G-3 Multipliers'!$A$2:$E$134,4,FALSE))))</f>
        <v/>
      </c>
      <c r="X211" s="299" t="str">
        <f>IFERROR(IF(E211="","",VLOOKUP(W211,'G-3 Multipliers'!$P$2:$Q$6,2,FALSE)),"")</f>
        <v/>
      </c>
      <c r="Y211" s="393"/>
      <c r="Z211" s="510" t="str">
        <f>IF(Y211="","",IF(VLOOKUP(Y211,'G-3 Multipliers'!$S$3:$T$10,2,FALSE)=0,"Spatial Data Missing ⚠",VLOOKUP(Y211,'G-3 Multipliers'!$S$3:$T$10,2,FALSE)))</f>
        <v/>
      </c>
      <c r="AA211" s="926" t="str">
        <f t="shared" si="22"/>
        <v/>
      </c>
      <c r="AB211" s="928" t="str">
        <f t="shared" si="27"/>
        <v/>
      </c>
      <c r="AC211" s="105"/>
      <c r="AD211" s="138"/>
      <c r="AE211" s="233"/>
      <c r="AF211" s="138"/>
      <c r="AG211" s="934"/>
      <c r="AJ211" s="40" t="str">
        <f t="shared" si="23"/>
        <v/>
      </c>
    </row>
    <row r="212" spans="1:36" ht="14">
      <c r="A212" s="30" t="str">
        <f>IFERROR(INDEX('G-8 Condition Look up'!$I$4:$I$135,MATCH(F212,'G-8 Condition Look up'!$A$4:$A$135,0)),"")</f>
        <v/>
      </c>
      <c r="B212" s="225">
        <v>202</v>
      </c>
      <c r="C212" s="66" t="str">
        <f>IFERROR(INDEX('G-1 All Habitats'!$AG$25:$AG$41,MATCH(D212,'G-1 All Habitats'!AF$25:AF$41,0)),"")</f>
        <v/>
      </c>
      <c r="D212" s="105"/>
      <c r="E212" s="138"/>
      <c r="F212" s="158" t="str">
        <f>IFERROR(INDEX('G-1 All Habitats'!$B$3:$B$136,MATCH(E212,'G-1 All Habitats'!$A$3:$A$136,0)),"")</f>
        <v/>
      </c>
      <c r="G212" s="233"/>
      <c r="H212" s="311" t="str">
        <f>IF(F212="","",VLOOKUP(F212,'G-1 All Habitats'!$B$2:$M$135,10,FALSE))</f>
        <v/>
      </c>
      <c r="I212" s="299" t="str">
        <f>IFERROR(VLOOKUP(H212,'G-1 All Habitats'!$V$3:$W$7,2,FALSE),"")</f>
        <v/>
      </c>
      <c r="J212" s="136"/>
      <c r="K212" s="299" t="str">
        <f>IFERROR(INDEX('G-8 Condition Look up'!$A$3:$H$135,MATCH(F212,'G-8 Condition Look up'!$A$3:$A$135,0),MATCH(J212,'G-8 Condition Look up'!$A$3:$H$3,0)),"")</f>
        <v/>
      </c>
      <c r="L212" s="101"/>
      <c r="M212" s="314" t="str">
        <f>IF(L212="","",IF(VLOOKUP(L212,'G-3 Multipliers'!$L$3:$N$6,2,FALSE)=0,"Spatial Data Missing ⚠",VLOOKUP(L212,'G-3 Multipliers'!$L$3:$N$6,2,FALSE)))</f>
        <v/>
      </c>
      <c r="N212" s="276" t="str">
        <f>IF(L212="","",IF(VLOOKUP(L212,'G-3 Multipliers'!$L$3:$N$6,3,FALSE)=0,"Spatial Data Missing ⚠",VLOOKUP(L212,'G-3 Multipliers'!$L$3:$N$6,3,FALSE)))</f>
        <v/>
      </c>
      <c r="O212" s="275" t="str">
        <f t="shared" si="21"/>
        <v/>
      </c>
      <c r="P212" s="133"/>
      <c r="Q212" s="133"/>
      <c r="R212" s="295" t="str">
        <f t="shared" si="24"/>
        <v/>
      </c>
      <c r="S212" s="316" t="str">
        <f t="shared" si="25"/>
        <v/>
      </c>
      <c r="T212" s="300" t="str">
        <f>IFERROR(IF(S212="Check Data ⚠","Check Data ⚠",VLOOKUP(S212,'G-4 Temporal multipliers'!$A$4:$C$37,3,FALSE)),"")</f>
        <v/>
      </c>
      <c r="U212" s="298" t="str">
        <f>IF(F212="","",VLOOKUP(F212,'G-3 Multipliers'!$A$2:$E$134,2,FALSE))</f>
        <v/>
      </c>
      <c r="V212" s="295" t="str">
        <f t="shared" si="26"/>
        <v/>
      </c>
      <c r="W212" s="295" t="str">
        <f>IF(E212="","",IF(AND(V212="Standard difficulty applied",O212&gt;P212),U212,IF(AND(V212="Low Difficulty - only applicable if all habitat created before losses ⚠",P212&gt;=O212),"Low",VLOOKUP(F212,'G-3 Multipliers'!$A$2:$E$134,4,FALSE))))</f>
        <v/>
      </c>
      <c r="X212" s="299" t="str">
        <f>IFERROR(IF(E212="","",VLOOKUP(W212,'G-3 Multipliers'!$P$2:$Q$6,2,FALSE)),"")</f>
        <v/>
      </c>
      <c r="Y212" s="393"/>
      <c r="Z212" s="510" t="str">
        <f>IF(Y212="","",IF(VLOOKUP(Y212,'G-3 Multipliers'!$S$3:$T$10,2,FALSE)=0,"Spatial Data Missing ⚠",VLOOKUP(Y212,'G-3 Multipliers'!$S$3:$T$10,2,FALSE)))</f>
        <v/>
      </c>
      <c r="AA212" s="926" t="str">
        <f t="shared" si="22"/>
        <v/>
      </c>
      <c r="AB212" s="928" t="str">
        <f t="shared" si="27"/>
        <v/>
      </c>
      <c r="AC212" s="105"/>
      <c r="AD212" s="138"/>
      <c r="AE212" s="233"/>
      <c r="AF212" s="138"/>
      <c r="AG212" s="934"/>
      <c r="AJ212" s="40" t="str">
        <f t="shared" si="23"/>
        <v/>
      </c>
    </row>
    <row r="213" spans="1:36" ht="14">
      <c r="A213" s="30" t="str">
        <f>IFERROR(INDEX('G-8 Condition Look up'!$I$4:$I$135,MATCH(F213,'G-8 Condition Look up'!$A$4:$A$135,0)),"")</f>
        <v/>
      </c>
      <c r="B213" s="225">
        <v>203</v>
      </c>
      <c r="C213" s="66" t="str">
        <f>IFERROR(INDEX('G-1 All Habitats'!$AG$25:$AG$41,MATCH(D213,'G-1 All Habitats'!AF$25:AF$41,0)),"")</f>
        <v/>
      </c>
      <c r="D213" s="105"/>
      <c r="E213" s="138"/>
      <c r="F213" s="158" t="str">
        <f>IFERROR(INDEX('G-1 All Habitats'!$B$3:$B$136,MATCH(E213,'G-1 All Habitats'!$A$3:$A$136,0)),"")</f>
        <v/>
      </c>
      <c r="G213" s="233"/>
      <c r="H213" s="311" t="str">
        <f>IF(F213="","",VLOOKUP(F213,'G-1 All Habitats'!$B$2:$M$135,10,FALSE))</f>
        <v/>
      </c>
      <c r="I213" s="299" t="str">
        <f>IFERROR(VLOOKUP(H213,'G-1 All Habitats'!$V$3:$W$7,2,FALSE),"")</f>
        <v/>
      </c>
      <c r="J213" s="136"/>
      <c r="K213" s="299" t="str">
        <f>IFERROR(INDEX('G-8 Condition Look up'!$A$3:$H$135,MATCH(F213,'G-8 Condition Look up'!$A$3:$A$135,0),MATCH(J213,'G-8 Condition Look up'!$A$3:$H$3,0)),"")</f>
        <v/>
      </c>
      <c r="L213" s="101"/>
      <c r="M213" s="314" t="str">
        <f>IF(L213="","",IF(VLOOKUP(L213,'G-3 Multipliers'!$L$3:$N$6,2,FALSE)=0,"Spatial Data Missing ⚠",VLOOKUP(L213,'G-3 Multipliers'!$L$3:$N$6,2,FALSE)))</f>
        <v/>
      </c>
      <c r="N213" s="276" t="str">
        <f>IF(L213="","",IF(VLOOKUP(L213,'G-3 Multipliers'!$L$3:$N$6,3,FALSE)=0,"Spatial Data Missing ⚠",VLOOKUP(L213,'G-3 Multipliers'!$L$3:$N$6,3,FALSE)))</f>
        <v/>
      </c>
      <c r="O213" s="275" t="str">
        <f t="shared" si="21"/>
        <v/>
      </c>
      <c r="P213" s="133"/>
      <c r="Q213" s="133"/>
      <c r="R213" s="295" t="str">
        <f t="shared" si="24"/>
        <v/>
      </c>
      <c r="S213" s="316" t="str">
        <f t="shared" si="25"/>
        <v/>
      </c>
      <c r="T213" s="300" t="str">
        <f>IFERROR(IF(S213="Check Data ⚠","Check Data ⚠",VLOOKUP(S213,'G-4 Temporal multipliers'!$A$4:$C$37,3,FALSE)),"")</f>
        <v/>
      </c>
      <c r="U213" s="298" t="str">
        <f>IF(F213="","",VLOOKUP(F213,'G-3 Multipliers'!$A$2:$E$134,2,FALSE))</f>
        <v/>
      </c>
      <c r="V213" s="295" t="str">
        <f t="shared" si="26"/>
        <v/>
      </c>
      <c r="W213" s="295" t="str">
        <f>IF(E213="","",IF(AND(V213="Standard difficulty applied",O213&gt;P213),U213,IF(AND(V213="Low Difficulty - only applicable if all habitat created before losses ⚠",P213&gt;=O213),"Low",VLOOKUP(F213,'G-3 Multipliers'!$A$2:$E$134,4,FALSE))))</f>
        <v/>
      </c>
      <c r="X213" s="299" t="str">
        <f>IFERROR(IF(E213="","",VLOOKUP(W213,'G-3 Multipliers'!$P$2:$Q$6,2,FALSE)),"")</f>
        <v/>
      </c>
      <c r="Y213" s="393"/>
      <c r="Z213" s="510" t="str">
        <f>IF(Y213="","",IF(VLOOKUP(Y213,'G-3 Multipliers'!$S$3:$T$10,2,FALSE)=0,"Spatial Data Missing ⚠",VLOOKUP(Y213,'G-3 Multipliers'!$S$3:$T$10,2,FALSE)))</f>
        <v/>
      </c>
      <c r="AA213" s="926" t="str">
        <f t="shared" si="22"/>
        <v/>
      </c>
      <c r="AB213" s="928" t="str">
        <f t="shared" si="27"/>
        <v/>
      </c>
      <c r="AC213" s="105"/>
      <c r="AD213" s="138"/>
      <c r="AE213" s="233"/>
      <c r="AF213" s="138"/>
      <c r="AG213" s="934"/>
      <c r="AJ213" s="40" t="str">
        <f t="shared" si="23"/>
        <v/>
      </c>
    </row>
    <row r="214" spans="1:36" ht="14">
      <c r="A214" s="30" t="str">
        <f>IFERROR(INDEX('G-8 Condition Look up'!$I$4:$I$135,MATCH(F214,'G-8 Condition Look up'!$A$4:$A$135,0)),"")</f>
        <v/>
      </c>
      <c r="B214" s="225">
        <v>204</v>
      </c>
      <c r="C214" s="66" t="str">
        <f>IFERROR(INDEX('G-1 All Habitats'!$AG$25:$AG$41,MATCH(D214,'G-1 All Habitats'!AF$25:AF$41,0)),"")</f>
        <v/>
      </c>
      <c r="D214" s="105"/>
      <c r="E214" s="138"/>
      <c r="F214" s="158" t="str">
        <f>IFERROR(INDEX('G-1 All Habitats'!$B$3:$B$136,MATCH(E214,'G-1 All Habitats'!$A$3:$A$136,0)),"")</f>
        <v/>
      </c>
      <c r="G214" s="233"/>
      <c r="H214" s="311" t="str">
        <f>IF(F214="","",VLOOKUP(F214,'G-1 All Habitats'!$B$2:$M$135,10,FALSE))</f>
        <v/>
      </c>
      <c r="I214" s="299" t="str">
        <f>IFERROR(VLOOKUP(H214,'G-1 All Habitats'!$V$3:$W$7,2,FALSE),"")</f>
        <v/>
      </c>
      <c r="J214" s="136"/>
      <c r="K214" s="299" t="str">
        <f>IFERROR(INDEX('G-8 Condition Look up'!$A$3:$H$135,MATCH(F214,'G-8 Condition Look up'!$A$3:$A$135,0),MATCH(J214,'G-8 Condition Look up'!$A$3:$H$3,0)),"")</f>
        <v/>
      </c>
      <c r="L214" s="101"/>
      <c r="M214" s="314" t="str">
        <f>IF(L214="","",IF(VLOOKUP(L214,'G-3 Multipliers'!$L$3:$N$6,2,FALSE)=0,"Spatial Data Missing ⚠",VLOOKUP(L214,'G-3 Multipliers'!$L$3:$N$6,2,FALSE)))</f>
        <v/>
      </c>
      <c r="N214" s="276" t="str">
        <f>IF(L214="","",IF(VLOOKUP(L214,'G-3 Multipliers'!$L$3:$N$6,3,FALSE)=0,"Spatial Data Missing ⚠",VLOOKUP(L214,'G-3 Multipliers'!$L$3:$N$6,3,FALSE)))</f>
        <v/>
      </c>
      <c r="O214" s="275" t="str">
        <f t="shared" si="21"/>
        <v/>
      </c>
      <c r="P214" s="133"/>
      <c r="Q214" s="133"/>
      <c r="R214" s="295" t="str">
        <f t="shared" si="24"/>
        <v/>
      </c>
      <c r="S214" s="316" t="str">
        <f t="shared" si="25"/>
        <v/>
      </c>
      <c r="T214" s="300" t="str">
        <f>IFERROR(IF(S214="Check Data ⚠","Check Data ⚠",VLOOKUP(S214,'G-4 Temporal multipliers'!$A$4:$C$37,3,FALSE)),"")</f>
        <v/>
      </c>
      <c r="U214" s="298" t="str">
        <f>IF(F214="","",VLOOKUP(F214,'G-3 Multipliers'!$A$2:$E$134,2,FALSE))</f>
        <v/>
      </c>
      <c r="V214" s="295" t="str">
        <f t="shared" si="26"/>
        <v/>
      </c>
      <c r="W214" s="295" t="str">
        <f>IF(E214="","",IF(AND(V214="Standard difficulty applied",O214&gt;P214),U214,IF(AND(V214="Low Difficulty - only applicable if all habitat created before losses ⚠",P214&gt;=O214),"Low",VLOOKUP(F214,'G-3 Multipliers'!$A$2:$E$134,4,FALSE))))</f>
        <v/>
      </c>
      <c r="X214" s="299" t="str">
        <f>IFERROR(IF(E214="","",VLOOKUP(W214,'G-3 Multipliers'!$P$2:$Q$6,2,FALSE)),"")</f>
        <v/>
      </c>
      <c r="Y214" s="393"/>
      <c r="Z214" s="510" t="str">
        <f>IF(Y214="","",IF(VLOOKUP(Y214,'G-3 Multipliers'!$S$3:$T$10,2,FALSE)=0,"Spatial Data Missing ⚠",VLOOKUP(Y214,'G-3 Multipliers'!$S$3:$T$10,2,FALSE)))</f>
        <v/>
      </c>
      <c r="AA214" s="926" t="str">
        <f t="shared" si="22"/>
        <v/>
      </c>
      <c r="AB214" s="928" t="str">
        <f t="shared" si="27"/>
        <v/>
      </c>
      <c r="AC214" s="105"/>
      <c r="AD214" s="138"/>
      <c r="AE214" s="233"/>
      <c r="AF214" s="138"/>
      <c r="AG214" s="934"/>
      <c r="AJ214" s="40" t="str">
        <f t="shared" si="23"/>
        <v/>
      </c>
    </row>
    <row r="215" spans="1:36" ht="14">
      <c r="A215" s="30" t="str">
        <f>IFERROR(INDEX('G-8 Condition Look up'!$I$4:$I$135,MATCH(F215,'G-8 Condition Look up'!$A$4:$A$135,0)),"")</f>
        <v/>
      </c>
      <c r="B215" s="225">
        <v>205</v>
      </c>
      <c r="C215" s="66" t="str">
        <f>IFERROR(INDEX('G-1 All Habitats'!$AG$25:$AG$41,MATCH(D215,'G-1 All Habitats'!AF$25:AF$41,0)),"")</f>
        <v/>
      </c>
      <c r="D215" s="105"/>
      <c r="E215" s="138"/>
      <c r="F215" s="158" t="str">
        <f>IFERROR(INDEX('G-1 All Habitats'!$B$3:$B$136,MATCH(E215,'G-1 All Habitats'!$A$3:$A$136,0)),"")</f>
        <v/>
      </c>
      <c r="G215" s="233"/>
      <c r="H215" s="311" t="str">
        <f>IF(F215="","",VLOOKUP(F215,'G-1 All Habitats'!$B$2:$M$135,10,FALSE))</f>
        <v/>
      </c>
      <c r="I215" s="299" t="str">
        <f>IFERROR(VLOOKUP(H215,'G-1 All Habitats'!$V$3:$W$7,2,FALSE),"")</f>
        <v/>
      </c>
      <c r="J215" s="136"/>
      <c r="K215" s="299" t="str">
        <f>IFERROR(INDEX('G-8 Condition Look up'!$A$3:$H$135,MATCH(F215,'G-8 Condition Look up'!$A$3:$A$135,0),MATCH(J215,'G-8 Condition Look up'!$A$3:$H$3,0)),"")</f>
        <v/>
      </c>
      <c r="L215" s="101"/>
      <c r="M215" s="314" t="str">
        <f>IF(L215="","",IF(VLOOKUP(L215,'G-3 Multipliers'!$L$3:$N$6,2,FALSE)=0,"Spatial Data Missing ⚠",VLOOKUP(L215,'G-3 Multipliers'!$L$3:$N$6,2,FALSE)))</f>
        <v/>
      </c>
      <c r="N215" s="276" t="str">
        <f>IF(L215="","",IF(VLOOKUP(L215,'G-3 Multipliers'!$L$3:$N$6,3,FALSE)=0,"Spatial Data Missing ⚠",VLOOKUP(L215,'G-3 Multipliers'!$L$3:$N$6,3,FALSE)))</f>
        <v/>
      </c>
      <c r="O215" s="275" t="str">
        <f t="shared" si="21"/>
        <v/>
      </c>
      <c r="P215" s="133"/>
      <c r="Q215" s="133"/>
      <c r="R215" s="295" t="str">
        <f t="shared" si="24"/>
        <v/>
      </c>
      <c r="S215" s="316" t="str">
        <f t="shared" si="25"/>
        <v/>
      </c>
      <c r="T215" s="300" t="str">
        <f>IFERROR(IF(S215="Check Data ⚠","Check Data ⚠",VLOOKUP(S215,'G-4 Temporal multipliers'!$A$4:$C$37,3,FALSE)),"")</f>
        <v/>
      </c>
      <c r="U215" s="298" t="str">
        <f>IF(F215="","",VLOOKUP(F215,'G-3 Multipliers'!$A$2:$E$134,2,FALSE))</f>
        <v/>
      </c>
      <c r="V215" s="295" t="str">
        <f t="shared" si="26"/>
        <v/>
      </c>
      <c r="W215" s="295" t="str">
        <f>IF(E215="","",IF(AND(V215="Standard difficulty applied",O215&gt;P215),U215,IF(AND(V215="Low Difficulty - only applicable if all habitat created before losses ⚠",P215&gt;=O215),"Low",VLOOKUP(F215,'G-3 Multipliers'!$A$2:$E$134,4,FALSE))))</f>
        <v/>
      </c>
      <c r="X215" s="299" t="str">
        <f>IFERROR(IF(E215="","",VLOOKUP(W215,'G-3 Multipliers'!$P$2:$Q$6,2,FALSE)),"")</f>
        <v/>
      </c>
      <c r="Y215" s="393"/>
      <c r="Z215" s="510" t="str">
        <f>IF(Y215="","",IF(VLOOKUP(Y215,'G-3 Multipliers'!$S$3:$T$10,2,FALSE)=0,"Spatial Data Missing ⚠",VLOOKUP(Y215,'G-3 Multipliers'!$S$3:$T$10,2,FALSE)))</f>
        <v/>
      </c>
      <c r="AA215" s="926" t="str">
        <f t="shared" si="22"/>
        <v/>
      </c>
      <c r="AB215" s="928" t="str">
        <f t="shared" si="27"/>
        <v/>
      </c>
      <c r="AC215" s="105"/>
      <c r="AD215" s="138"/>
      <c r="AE215" s="233"/>
      <c r="AF215" s="138"/>
      <c r="AG215" s="934"/>
      <c r="AJ215" s="40" t="str">
        <f t="shared" si="23"/>
        <v/>
      </c>
    </row>
    <row r="216" spans="1:36" ht="14">
      <c r="A216" s="30" t="str">
        <f>IFERROR(INDEX('G-8 Condition Look up'!$I$4:$I$135,MATCH(F216,'G-8 Condition Look up'!$A$4:$A$135,0)),"")</f>
        <v/>
      </c>
      <c r="B216" s="225">
        <v>206</v>
      </c>
      <c r="C216" s="66" t="str">
        <f>IFERROR(INDEX('G-1 All Habitats'!$AG$25:$AG$41,MATCH(D216,'G-1 All Habitats'!AF$25:AF$41,0)),"")</f>
        <v/>
      </c>
      <c r="D216" s="105"/>
      <c r="E216" s="138"/>
      <c r="F216" s="158" t="str">
        <f>IFERROR(INDEX('G-1 All Habitats'!$B$3:$B$136,MATCH(E216,'G-1 All Habitats'!$A$3:$A$136,0)),"")</f>
        <v/>
      </c>
      <c r="G216" s="233"/>
      <c r="H216" s="311" t="str">
        <f>IF(F216="","",VLOOKUP(F216,'G-1 All Habitats'!$B$2:$M$135,10,FALSE))</f>
        <v/>
      </c>
      <c r="I216" s="299" t="str">
        <f>IFERROR(VLOOKUP(H216,'G-1 All Habitats'!$V$3:$W$7,2,FALSE),"")</f>
        <v/>
      </c>
      <c r="J216" s="136"/>
      <c r="K216" s="299" t="str">
        <f>IFERROR(INDEX('G-8 Condition Look up'!$A$3:$H$135,MATCH(F216,'G-8 Condition Look up'!$A$3:$A$135,0),MATCH(J216,'G-8 Condition Look up'!$A$3:$H$3,0)),"")</f>
        <v/>
      </c>
      <c r="L216" s="101"/>
      <c r="M216" s="314" t="str">
        <f>IF(L216="","",IF(VLOOKUP(L216,'G-3 Multipliers'!$L$3:$N$6,2,FALSE)=0,"Spatial Data Missing ⚠",VLOOKUP(L216,'G-3 Multipliers'!$L$3:$N$6,2,FALSE)))</f>
        <v/>
      </c>
      <c r="N216" s="276" t="str">
        <f>IF(L216="","",IF(VLOOKUP(L216,'G-3 Multipliers'!$L$3:$N$6,3,FALSE)=0,"Spatial Data Missing ⚠",VLOOKUP(L216,'G-3 Multipliers'!$L$3:$N$6,3,FALSE)))</f>
        <v/>
      </c>
      <c r="O216" s="275" t="str">
        <f t="shared" si="21"/>
        <v/>
      </c>
      <c r="P216" s="133"/>
      <c r="Q216" s="133"/>
      <c r="R216" s="295" t="str">
        <f t="shared" si="24"/>
        <v/>
      </c>
      <c r="S216" s="316" t="str">
        <f t="shared" si="25"/>
        <v/>
      </c>
      <c r="T216" s="300" t="str">
        <f>IFERROR(IF(S216="Check Data ⚠","Check Data ⚠",VLOOKUP(S216,'G-4 Temporal multipliers'!$A$4:$C$37,3,FALSE)),"")</f>
        <v/>
      </c>
      <c r="U216" s="298" t="str">
        <f>IF(F216="","",VLOOKUP(F216,'G-3 Multipliers'!$A$2:$E$134,2,FALSE))</f>
        <v/>
      </c>
      <c r="V216" s="295" t="str">
        <f t="shared" si="26"/>
        <v/>
      </c>
      <c r="W216" s="295" t="str">
        <f>IF(E216="","",IF(AND(V216="Standard difficulty applied",O216&gt;P216),U216,IF(AND(V216="Low Difficulty - only applicable if all habitat created before losses ⚠",P216&gt;=O216),"Low",VLOOKUP(F216,'G-3 Multipliers'!$A$2:$E$134,4,FALSE))))</f>
        <v/>
      </c>
      <c r="X216" s="299" t="str">
        <f>IFERROR(IF(E216="","",VLOOKUP(W216,'G-3 Multipliers'!$P$2:$Q$6,2,FALSE)),"")</f>
        <v/>
      </c>
      <c r="Y216" s="393"/>
      <c r="Z216" s="510" t="str">
        <f>IF(Y216="","",IF(VLOOKUP(Y216,'G-3 Multipliers'!$S$3:$T$10,2,FALSE)=0,"Spatial Data Missing ⚠",VLOOKUP(Y216,'G-3 Multipliers'!$S$3:$T$10,2,FALSE)))</f>
        <v/>
      </c>
      <c r="AA216" s="926" t="str">
        <f t="shared" si="22"/>
        <v/>
      </c>
      <c r="AB216" s="928" t="str">
        <f t="shared" si="27"/>
        <v/>
      </c>
      <c r="AC216" s="105"/>
      <c r="AD216" s="138"/>
      <c r="AE216" s="233"/>
      <c r="AF216" s="138"/>
      <c r="AG216" s="934"/>
      <c r="AJ216" s="40" t="str">
        <f t="shared" si="23"/>
        <v/>
      </c>
    </row>
    <row r="217" spans="1:36" ht="14">
      <c r="A217" s="30" t="str">
        <f>IFERROR(INDEX('G-8 Condition Look up'!$I$4:$I$135,MATCH(F217,'G-8 Condition Look up'!$A$4:$A$135,0)),"")</f>
        <v/>
      </c>
      <c r="B217" s="225">
        <v>207</v>
      </c>
      <c r="C217" s="66" t="str">
        <f>IFERROR(INDEX('G-1 All Habitats'!$AG$25:$AG$41,MATCH(D217,'G-1 All Habitats'!AF$25:AF$41,0)),"")</f>
        <v/>
      </c>
      <c r="D217" s="105"/>
      <c r="E217" s="138"/>
      <c r="F217" s="158" t="str">
        <f>IFERROR(INDEX('G-1 All Habitats'!$B$3:$B$136,MATCH(E217,'G-1 All Habitats'!$A$3:$A$136,0)),"")</f>
        <v/>
      </c>
      <c r="G217" s="233"/>
      <c r="H217" s="311" t="str">
        <f>IF(F217="","",VLOOKUP(F217,'G-1 All Habitats'!$B$2:$M$135,10,FALSE))</f>
        <v/>
      </c>
      <c r="I217" s="299" t="str">
        <f>IFERROR(VLOOKUP(H217,'G-1 All Habitats'!$V$3:$W$7,2,FALSE),"")</f>
        <v/>
      </c>
      <c r="J217" s="136"/>
      <c r="K217" s="299" t="str">
        <f>IFERROR(INDEX('G-8 Condition Look up'!$A$3:$H$135,MATCH(F217,'G-8 Condition Look up'!$A$3:$A$135,0),MATCH(J217,'G-8 Condition Look up'!$A$3:$H$3,0)),"")</f>
        <v/>
      </c>
      <c r="L217" s="101"/>
      <c r="M217" s="314" t="str">
        <f>IF(L217="","",IF(VLOOKUP(L217,'G-3 Multipliers'!$L$3:$N$6,2,FALSE)=0,"Spatial Data Missing ⚠",VLOOKUP(L217,'G-3 Multipliers'!$L$3:$N$6,2,FALSE)))</f>
        <v/>
      </c>
      <c r="N217" s="276" t="str">
        <f>IF(L217="","",IF(VLOOKUP(L217,'G-3 Multipliers'!$L$3:$N$6,3,FALSE)=0,"Spatial Data Missing ⚠",VLOOKUP(L217,'G-3 Multipliers'!$L$3:$N$6,3,FALSE)))</f>
        <v/>
      </c>
      <c r="O217" s="275" t="str">
        <f t="shared" si="21"/>
        <v/>
      </c>
      <c r="P217" s="133"/>
      <c r="Q217" s="133"/>
      <c r="R217" s="295" t="str">
        <f t="shared" si="24"/>
        <v/>
      </c>
      <c r="S217" s="316" t="str">
        <f t="shared" si="25"/>
        <v/>
      </c>
      <c r="T217" s="300" t="str">
        <f>IFERROR(IF(S217="Check Data ⚠","Check Data ⚠",VLOOKUP(S217,'G-4 Temporal multipliers'!$A$4:$C$37,3,FALSE)),"")</f>
        <v/>
      </c>
      <c r="U217" s="298" t="str">
        <f>IF(F217="","",VLOOKUP(F217,'G-3 Multipliers'!$A$2:$E$134,2,FALSE))</f>
        <v/>
      </c>
      <c r="V217" s="295" t="str">
        <f t="shared" si="26"/>
        <v/>
      </c>
      <c r="W217" s="295" t="str">
        <f>IF(E217="","",IF(AND(V217="Standard difficulty applied",O217&gt;P217),U217,IF(AND(V217="Low Difficulty - only applicable if all habitat created before losses ⚠",P217&gt;=O217),"Low",VLOOKUP(F217,'G-3 Multipliers'!$A$2:$E$134,4,FALSE))))</f>
        <v/>
      </c>
      <c r="X217" s="299" t="str">
        <f>IFERROR(IF(E217="","",VLOOKUP(W217,'G-3 Multipliers'!$P$2:$Q$6,2,FALSE)),"")</f>
        <v/>
      </c>
      <c r="Y217" s="393"/>
      <c r="Z217" s="510" t="str">
        <f>IF(Y217="","",IF(VLOOKUP(Y217,'G-3 Multipliers'!$S$3:$T$10,2,FALSE)=0,"Spatial Data Missing ⚠",VLOOKUP(Y217,'G-3 Multipliers'!$S$3:$T$10,2,FALSE)))</f>
        <v/>
      </c>
      <c r="AA217" s="926" t="str">
        <f t="shared" si="22"/>
        <v/>
      </c>
      <c r="AB217" s="928" t="str">
        <f t="shared" si="27"/>
        <v/>
      </c>
      <c r="AC217" s="105"/>
      <c r="AD217" s="138"/>
      <c r="AE217" s="233"/>
      <c r="AF217" s="138"/>
      <c r="AG217" s="934"/>
      <c r="AJ217" s="40" t="str">
        <f t="shared" si="23"/>
        <v/>
      </c>
    </row>
    <row r="218" spans="1:36" ht="14">
      <c r="A218" s="30" t="str">
        <f>IFERROR(INDEX('G-8 Condition Look up'!$I$4:$I$135,MATCH(F218,'G-8 Condition Look up'!$A$4:$A$135,0)),"")</f>
        <v/>
      </c>
      <c r="B218" s="225">
        <v>208</v>
      </c>
      <c r="C218" s="66" t="str">
        <f>IFERROR(INDEX('G-1 All Habitats'!$AG$25:$AG$41,MATCH(D218,'G-1 All Habitats'!AF$25:AF$41,0)),"")</f>
        <v/>
      </c>
      <c r="D218" s="105"/>
      <c r="E218" s="138"/>
      <c r="F218" s="158" t="str">
        <f>IFERROR(INDEX('G-1 All Habitats'!$B$3:$B$136,MATCH(E218,'G-1 All Habitats'!$A$3:$A$136,0)),"")</f>
        <v/>
      </c>
      <c r="G218" s="233"/>
      <c r="H218" s="311" t="str">
        <f>IF(F218="","",VLOOKUP(F218,'G-1 All Habitats'!$B$2:$M$135,10,FALSE))</f>
        <v/>
      </c>
      <c r="I218" s="299" t="str">
        <f>IFERROR(VLOOKUP(H218,'G-1 All Habitats'!$V$3:$W$7,2,FALSE),"")</f>
        <v/>
      </c>
      <c r="J218" s="136"/>
      <c r="K218" s="299" t="str">
        <f>IFERROR(INDEX('G-8 Condition Look up'!$A$3:$H$135,MATCH(F218,'G-8 Condition Look up'!$A$3:$A$135,0),MATCH(J218,'G-8 Condition Look up'!$A$3:$H$3,0)),"")</f>
        <v/>
      </c>
      <c r="L218" s="101"/>
      <c r="M218" s="314" t="str">
        <f>IF(L218="","",IF(VLOOKUP(L218,'G-3 Multipliers'!$L$3:$N$6,2,FALSE)=0,"Spatial Data Missing ⚠",VLOOKUP(L218,'G-3 Multipliers'!$L$3:$N$6,2,FALSE)))</f>
        <v/>
      </c>
      <c r="N218" s="276" t="str">
        <f>IF(L218="","",IF(VLOOKUP(L218,'G-3 Multipliers'!$L$3:$N$6,3,FALSE)=0,"Spatial Data Missing ⚠",VLOOKUP(L218,'G-3 Multipliers'!$L$3:$N$6,3,FALSE)))</f>
        <v/>
      </c>
      <c r="O218" s="275" t="str">
        <f t="shared" si="21"/>
        <v/>
      </c>
      <c r="P218" s="133"/>
      <c r="Q218" s="133"/>
      <c r="R218" s="295" t="str">
        <f t="shared" si="24"/>
        <v/>
      </c>
      <c r="S218" s="316" t="str">
        <f t="shared" si="25"/>
        <v/>
      </c>
      <c r="T218" s="300" t="str">
        <f>IFERROR(IF(S218="Check Data ⚠","Check Data ⚠",VLOOKUP(S218,'G-4 Temporal multipliers'!$A$4:$C$37,3,FALSE)),"")</f>
        <v/>
      </c>
      <c r="U218" s="298" t="str">
        <f>IF(F218="","",VLOOKUP(F218,'G-3 Multipliers'!$A$2:$E$134,2,FALSE))</f>
        <v/>
      </c>
      <c r="V218" s="295" t="str">
        <f t="shared" si="26"/>
        <v/>
      </c>
      <c r="W218" s="295" t="str">
        <f>IF(E218="","",IF(AND(V218="Standard difficulty applied",O218&gt;P218),U218,IF(AND(V218="Low Difficulty - only applicable if all habitat created before losses ⚠",P218&gt;=O218),"Low",VLOOKUP(F218,'G-3 Multipliers'!$A$2:$E$134,4,FALSE))))</f>
        <v/>
      </c>
      <c r="X218" s="299" t="str">
        <f>IFERROR(IF(E218="","",VLOOKUP(W218,'G-3 Multipliers'!$P$2:$Q$6,2,FALSE)),"")</f>
        <v/>
      </c>
      <c r="Y218" s="393"/>
      <c r="Z218" s="510" t="str">
        <f>IF(Y218="","",IF(VLOOKUP(Y218,'G-3 Multipliers'!$S$3:$T$10,2,FALSE)=0,"Spatial Data Missing ⚠",VLOOKUP(Y218,'G-3 Multipliers'!$S$3:$T$10,2,FALSE)))</f>
        <v/>
      </c>
      <c r="AA218" s="926" t="str">
        <f t="shared" si="22"/>
        <v/>
      </c>
      <c r="AB218" s="928" t="str">
        <f t="shared" si="27"/>
        <v/>
      </c>
      <c r="AC218" s="105"/>
      <c r="AD218" s="138"/>
      <c r="AE218" s="233"/>
      <c r="AF218" s="138"/>
      <c r="AG218" s="934"/>
      <c r="AJ218" s="40" t="str">
        <f t="shared" si="23"/>
        <v/>
      </c>
    </row>
    <row r="219" spans="1:36" ht="14">
      <c r="A219" s="30" t="str">
        <f>IFERROR(INDEX('G-8 Condition Look up'!$I$4:$I$135,MATCH(F219,'G-8 Condition Look up'!$A$4:$A$135,0)),"")</f>
        <v/>
      </c>
      <c r="B219" s="225">
        <v>209</v>
      </c>
      <c r="C219" s="66" t="str">
        <f>IFERROR(INDEX('G-1 All Habitats'!$AG$25:$AG$41,MATCH(D219,'G-1 All Habitats'!AF$25:AF$41,0)),"")</f>
        <v/>
      </c>
      <c r="D219" s="105"/>
      <c r="E219" s="138"/>
      <c r="F219" s="158" t="str">
        <f>IFERROR(INDEX('G-1 All Habitats'!$B$3:$B$136,MATCH(E219,'G-1 All Habitats'!$A$3:$A$136,0)),"")</f>
        <v/>
      </c>
      <c r="G219" s="233"/>
      <c r="H219" s="311" t="str">
        <f>IF(F219="","",VLOOKUP(F219,'G-1 All Habitats'!$B$2:$M$135,10,FALSE))</f>
        <v/>
      </c>
      <c r="I219" s="299" t="str">
        <f>IFERROR(VLOOKUP(H219,'G-1 All Habitats'!$V$3:$W$7,2,FALSE),"")</f>
        <v/>
      </c>
      <c r="J219" s="136"/>
      <c r="K219" s="299" t="str">
        <f>IFERROR(INDEX('G-8 Condition Look up'!$A$3:$H$135,MATCH(F219,'G-8 Condition Look up'!$A$3:$A$135,0),MATCH(J219,'G-8 Condition Look up'!$A$3:$H$3,0)),"")</f>
        <v/>
      </c>
      <c r="L219" s="101"/>
      <c r="M219" s="314" t="str">
        <f>IF(L219="","",IF(VLOOKUP(L219,'G-3 Multipliers'!$L$3:$N$6,2,FALSE)=0,"Spatial Data Missing ⚠",VLOOKUP(L219,'G-3 Multipliers'!$L$3:$N$6,2,FALSE)))</f>
        <v/>
      </c>
      <c r="N219" s="276" t="str">
        <f>IF(L219="","",IF(VLOOKUP(L219,'G-3 Multipliers'!$L$3:$N$6,3,FALSE)=0,"Spatial Data Missing ⚠",VLOOKUP(L219,'G-3 Multipliers'!$L$3:$N$6,3,FALSE)))</f>
        <v/>
      </c>
      <c r="O219" s="275" t="str">
        <f t="shared" si="21"/>
        <v/>
      </c>
      <c r="P219" s="133"/>
      <c r="Q219" s="133"/>
      <c r="R219" s="295" t="str">
        <f t="shared" si="24"/>
        <v/>
      </c>
      <c r="S219" s="316" t="str">
        <f t="shared" si="25"/>
        <v/>
      </c>
      <c r="T219" s="300" t="str">
        <f>IFERROR(IF(S219="Check Data ⚠","Check Data ⚠",VLOOKUP(S219,'G-4 Temporal multipliers'!$A$4:$C$37,3,FALSE)),"")</f>
        <v/>
      </c>
      <c r="U219" s="298" t="str">
        <f>IF(F219="","",VLOOKUP(F219,'G-3 Multipliers'!$A$2:$E$134,2,FALSE))</f>
        <v/>
      </c>
      <c r="V219" s="295" t="str">
        <f t="shared" si="26"/>
        <v/>
      </c>
      <c r="W219" s="295" t="str">
        <f>IF(E219="","",IF(AND(V219="Standard difficulty applied",O219&gt;P219),U219,IF(AND(V219="Low Difficulty - only applicable if all habitat created before losses ⚠",P219&gt;=O219),"Low",VLOOKUP(F219,'G-3 Multipliers'!$A$2:$E$134,4,FALSE))))</f>
        <v/>
      </c>
      <c r="X219" s="299" t="str">
        <f>IFERROR(IF(E219="","",VLOOKUP(W219,'G-3 Multipliers'!$P$2:$Q$6,2,FALSE)),"")</f>
        <v/>
      </c>
      <c r="Y219" s="393"/>
      <c r="Z219" s="510" t="str">
        <f>IF(Y219="","",IF(VLOOKUP(Y219,'G-3 Multipliers'!$S$3:$T$10,2,FALSE)=0,"Spatial Data Missing ⚠",VLOOKUP(Y219,'G-3 Multipliers'!$S$3:$T$10,2,FALSE)))</f>
        <v/>
      </c>
      <c r="AA219" s="926" t="str">
        <f t="shared" si="22"/>
        <v/>
      </c>
      <c r="AB219" s="928" t="str">
        <f t="shared" si="27"/>
        <v/>
      </c>
      <c r="AC219" s="105"/>
      <c r="AD219" s="138"/>
      <c r="AE219" s="233"/>
      <c r="AF219" s="138"/>
      <c r="AG219" s="934"/>
      <c r="AJ219" s="40" t="str">
        <f t="shared" si="23"/>
        <v/>
      </c>
    </row>
    <row r="220" spans="1:36" ht="14">
      <c r="A220" s="30" t="str">
        <f>IFERROR(INDEX('G-8 Condition Look up'!$I$4:$I$135,MATCH(F220,'G-8 Condition Look up'!$A$4:$A$135,0)),"")</f>
        <v/>
      </c>
      <c r="B220" s="225">
        <v>210</v>
      </c>
      <c r="C220" s="66" t="str">
        <f>IFERROR(INDEX('G-1 All Habitats'!$AG$25:$AG$41,MATCH(D220,'G-1 All Habitats'!AF$25:AF$41,0)),"")</f>
        <v/>
      </c>
      <c r="D220" s="105"/>
      <c r="E220" s="138"/>
      <c r="F220" s="158" t="str">
        <f>IFERROR(INDEX('G-1 All Habitats'!$B$3:$B$136,MATCH(E220,'G-1 All Habitats'!$A$3:$A$136,0)),"")</f>
        <v/>
      </c>
      <c r="G220" s="233"/>
      <c r="H220" s="311" t="str">
        <f>IF(F220="","",VLOOKUP(F220,'G-1 All Habitats'!$B$2:$M$135,10,FALSE))</f>
        <v/>
      </c>
      <c r="I220" s="299" t="str">
        <f>IFERROR(VLOOKUP(H220,'G-1 All Habitats'!$V$3:$W$7,2,FALSE),"")</f>
        <v/>
      </c>
      <c r="J220" s="136"/>
      <c r="K220" s="299" t="str">
        <f>IFERROR(INDEX('G-8 Condition Look up'!$A$3:$H$135,MATCH(F220,'G-8 Condition Look up'!$A$3:$A$135,0),MATCH(J220,'G-8 Condition Look up'!$A$3:$H$3,0)),"")</f>
        <v/>
      </c>
      <c r="L220" s="101"/>
      <c r="M220" s="314" t="str">
        <f>IF(L220="","",IF(VLOOKUP(L220,'G-3 Multipliers'!$L$3:$N$6,2,FALSE)=0,"Spatial Data Missing ⚠",VLOOKUP(L220,'G-3 Multipliers'!$L$3:$N$6,2,FALSE)))</f>
        <v/>
      </c>
      <c r="N220" s="276" t="str">
        <f>IF(L220="","",IF(VLOOKUP(L220,'G-3 Multipliers'!$L$3:$N$6,3,FALSE)=0,"Spatial Data Missing ⚠",VLOOKUP(L220,'G-3 Multipliers'!$L$3:$N$6,3,FALSE)))</f>
        <v/>
      </c>
      <c r="O220" s="275" t="str">
        <f t="shared" si="21"/>
        <v/>
      </c>
      <c r="P220" s="133"/>
      <c r="Q220" s="133"/>
      <c r="R220" s="295" t="str">
        <f t="shared" si="24"/>
        <v/>
      </c>
      <c r="S220" s="316" t="str">
        <f t="shared" si="25"/>
        <v/>
      </c>
      <c r="T220" s="300" t="str">
        <f>IFERROR(IF(S220="Check Data ⚠","Check Data ⚠",VLOOKUP(S220,'G-4 Temporal multipliers'!$A$4:$C$37,3,FALSE)),"")</f>
        <v/>
      </c>
      <c r="U220" s="298" t="str">
        <f>IF(F220="","",VLOOKUP(F220,'G-3 Multipliers'!$A$2:$E$134,2,FALSE))</f>
        <v/>
      </c>
      <c r="V220" s="295" t="str">
        <f t="shared" si="26"/>
        <v/>
      </c>
      <c r="W220" s="295" t="str">
        <f>IF(E220="","",IF(AND(V220="Standard difficulty applied",O220&gt;P220),U220,IF(AND(V220="Low Difficulty - only applicable if all habitat created before losses ⚠",P220&gt;=O220),"Low",VLOOKUP(F220,'G-3 Multipliers'!$A$2:$E$134,4,FALSE))))</f>
        <v/>
      </c>
      <c r="X220" s="299" t="str">
        <f>IFERROR(IF(E220="","",VLOOKUP(W220,'G-3 Multipliers'!$P$2:$Q$6,2,FALSE)),"")</f>
        <v/>
      </c>
      <c r="Y220" s="393"/>
      <c r="Z220" s="510" t="str">
        <f>IF(Y220="","",IF(VLOOKUP(Y220,'G-3 Multipliers'!$S$3:$T$10,2,FALSE)=0,"Spatial Data Missing ⚠",VLOOKUP(Y220,'G-3 Multipliers'!$S$3:$T$10,2,FALSE)))</f>
        <v/>
      </c>
      <c r="AA220" s="926" t="str">
        <f t="shared" si="22"/>
        <v/>
      </c>
      <c r="AB220" s="928" t="str">
        <f t="shared" si="27"/>
        <v/>
      </c>
      <c r="AC220" s="105"/>
      <c r="AD220" s="138"/>
      <c r="AE220" s="233"/>
      <c r="AF220" s="138"/>
      <c r="AG220" s="934"/>
      <c r="AJ220" s="40" t="str">
        <f t="shared" si="23"/>
        <v/>
      </c>
    </row>
    <row r="221" spans="1:36" ht="14">
      <c r="A221" s="30" t="str">
        <f>IFERROR(INDEX('G-8 Condition Look up'!$I$4:$I$135,MATCH(F221,'G-8 Condition Look up'!$A$4:$A$135,0)),"")</f>
        <v/>
      </c>
      <c r="B221" s="225">
        <v>211</v>
      </c>
      <c r="C221" s="66" t="str">
        <f>IFERROR(INDEX('G-1 All Habitats'!$AG$25:$AG$41,MATCH(D221,'G-1 All Habitats'!AF$25:AF$41,0)),"")</f>
        <v/>
      </c>
      <c r="D221" s="105"/>
      <c r="E221" s="138"/>
      <c r="F221" s="158" t="str">
        <f>IFERROR(INDEX('G-1 All Habitats'!$B$3:$B$136,MATCH(E221,'G-1 All Habitats'!$A$3:$A$136,0)),"")</f>
        <v/>
      </c>
      <c r="G221" s="233"/>
      <c r="H221" s="311" t="str">
        <f>IF(F221="","",VLOOKUP(F221,'G-1 All Habitats'!$B$2:$M$135,10,FALSE))</f>
        <v/>
      </c>
      <c r="I221" s="299" t="str">
        <f>IFERROR(VLOOKUP(H221,'G-1 All Habitats'!$V$3:$W$7,2,FALSE),"")</f>
        <v/>
      </c>
      <c r="J221" s="136"/>
      <c r="K221" s="299" t="str">
        <f>IFERROR(INDEX('G-8 Condition Look up'!$A$3:$H$135,MATCH(F221,'G-8 Condition Look up'!$A$3:$A$135,0),MATCH(J221,'G-8 Condition Look up'!$A$3:$H$3,0)),"")</f>
        <v/>
      </c>
      <c r="L221" s="101"/>
      <c r="M221" s="314" t="str">
        <f>IF(L221="","",IF(VLOOKUP(L221,'G-3 Multipliers'!$L$3:$N$6,2,FALSE)=0,"Spatial Data Missing ⚠",VLOOKUP(L221,'G-3 Multipliers'!$L$3:$N$6,2,FALSE)))</f>
        <v/>
      </c>
      <c r="N221" s="276" t="str">
        <f>IF(L221="","",IF(VLOOKUP(L221,'G-3 Multipliers'!$L$3:$N$6,3,FALSE)=0,"Spatial Data Missing ⚠",VLOOKUP(L221,'G-3 Multipliers'!$L$3:$N$6,3,FALSE)))</f>
        <v/>
      </c>
      <c r="O221" s="275" t="str">
        <f t="shared" si="21"/>
        <v/>
      </c>
      <c r="P221" s="133"/>
      <c r="Q221" s="133"/>
      <c r="R221" s="295" t="str">
        <f t="shared" si="24"/>
        <v/>
      </c>
      <c r="S221" s="316" t="str">
        <f t="shared" si="25"/>
        <v/>
      </c>
      <c r="T221" s="300" t="str">
        <f>IFERROR(IF(S221="Check Data ⚠","Check Data ⚠",VLOOKUP(S221,'G-4 Temporal multipliers'!$A$4:$C$37,3,FALSE)),"")</f>
        <v/>
      </c>
      <c r="U221" s="298" t="str">
        <f>IF(F221="","",VLOOKUP(F221,'G-3 Multipliers'!$A$2:$E$134,2,FALSE))</f>
        <v/>
      </c>
      <c r="V221" s="295" t="str">
        <f t="shared" si="26"/>
        <v/>
      </c>
      <c r="W221" s="295" t="str">
        <f>IF(E221="","",IF(AND(V221="Standard difficulty applied",O221&gt;P221),U221,IF(AND(V221="Low Difficulty - only applicable if all habitat created before losses ⚠",P221&gt;=O221),"Low",VLOOKUP(F221,'G-3 Multipliers'!$A$2:$E$134,4,FALSE))))</f>
        <v/>
      </c>
      <c r="X221" s="299" t="str">
        <f>IFERROR(IF(E221="","",VLOOKUP(W221,'G-3 Multipliers'!$P$2:$Q$6,2,FALSE)),"")</f>
        <v/>
      </c>
      <c r="Y221" s="393"/>
      <c r="Z221" s="510" t="str">
        <f>IF(Y221="","",IF(VLOOKUP(Y221,'G-3 Multipliers'!$S$3:$T$10,2,FALSE)=0,"Spatial Data Missing ⚠",VLOOKUP(Y221,'G-3 Multipliers'!$S$3:$T$10,2,FALSE)))</f>
        <v/>
      </c>
      <c r="AA221" s="926" t="str">
        <f t="shared" si="22"/>
        <v/>
      </c>
      <c r="AB221" s="928" t="str">
        <f t="shared" si="27"/>
        <v/>
      </c>
      <c r="AC221" s="105"/>
      <c r="AD221" s="138"/>
      <c r="AE221" s="233"/>
      <c r="AF221" s="138"/>
      <c r="AG221" s="934"/>
      <c r="AJ221" s="40" t="str">
        <f t="shared" si="23"/>
        <v/>
      </c>
    </row>
    <row r="222" spans="1:36" ht="14">
      <c r="A222" s="30" t="str">
        <f>IFERROR(INDEX('G-8 Condition Look up'!$I$4:$I$135,MATCH(F222,'G-8 Condition Look up'!$A$4:$A$135,0)),"")</f>
        <v/>
      </c>
      <c r="B222" s="225">
        <v>212</v>
      </c>
      <c r="C222" s="66" t="str">
        <f>IFERROR(INDEX('G-1 All Habitats'!$AG$25:$AG$41,MATCH(D222,'G-1 All Habitats'!AF$25:AF$41,0)),"")</f>
        <v/>
      </c>
      <c r="D222" s="105"/>
      <c r="E222" s="138"/>
      <c r="F222" s="158" t="str">
        <f>IFERROR(INDEX('G-1 All Habitats'!$B$3:$B$136,MATCH(E222,'G-1 All Habitats'!$A$3:$A$136,0)),"")</f>
        <v/>
      </c>
      <c r="G222" s="233"/>
      <c r="H222" s="311" t="str">
        <f>IF(F222="","",VLOOKUP(F222,'G-1 All Habitats'!$B$2:$M$135,10,FALSE))</f>
        <v/>
      </c>
      <c r="I222" s="299" t="str">
        <f>IFERROR(VLOOKUP(H222,'G-1 All Habitats'!$V$3:$W$7,2,FALSE),"")</f>
        <v/>
      </c>
      <c r="J222" s="136"/>
      <c r="K222" s="299" t="str">
        <f>IFERROR(INDEX('G-8 Condition Look up'!$A$3:$H$135,MATCH(F222,'G-8 Condition Look up'!$A$3:$A$135,0),MATCH(J222,'G-8 Condition Look up'!$A$3:$H$3,0)),"")</f>
        <v/>
      </c>
      <c r="L222" s="101"/>
      <c r="M222" s="314" t="str">
        <f>IF(L222="","",IF(VLOOKUP(L222,'G-3 Multipliers'!$L$3:$N$6,2,FALSE)=0,"Spatial Data Missing ⚠",VLOOKUP(L222,'G-3 Multipliers'!$L$3:$N$6,2,FALSE)))</f>
        <v/>
      </c>
      <c r="N222" s="276" t="str">
        <f>IF(L222="","",IF(VLOOKUP(L222,'G-3 Multipliers'!$L$3:$N$6,3,FALSE)=0,"Spatial Data Missing ⚠",VLOOKUP(L222,'G-3 Multipliers'!$L$3:$N$6,3,FALSE)))</f>
        <v/>
      </c>
      <c r="O222" s="275" t="str">
        <f t="shared" si="21"/>
        <v/>
      </c>
      <c r="P222" s="133"/>
      <c r="Q222" s="133"/>
      <c r="R222" s="295" t="str">
        <f t="shared" si="24"/>
        <v/>
      </c>
      <c r="S222" s="316" t="str">
        <f t="shared" si="25"/>
        <v/>
      </c>
      <c r="T222" s="300" t="str">
        <f>IFERROR(IF(S222="Check Data ⚠","Check Data ⚠",VLOOKUP(S222,'G-4 Temporal multipliers'!$A$4:$C$37,3,FALSE)),"")</f>
        <v/>
      </c>
      <c r="U222" s="298" t="str">
        <f>IF(F222="","",VLOOKUP(F222,'G-3 Multipliers'!$A$2:$E$134,2,FALSE))</f>
        <v/>
      </c>
      <c r="V222" s="295" t="str">
        <f t="shared" si="26"/>
        <v/>
      </c>
      <c r="W222" s="295" t="str">
        <f>IF(E222="","",IF(AND(V222="Standard difficulty applied",O222&gt;P222),U222,IF(AND(V222="Low Difficulty - only applicable if all habitat created before losses ⚠",P222&gt;=O222),"Low",VLOOKUP(F222,'G-3 Multipliers'!$A$2:$E$134,4,FALSE))))</f>
        <v/>
      </c>
      <c r="X222" s="299" t="str">
        <f>IFERROR(IF(E222="","",VLOOKUP(W222,'G-3 Multipliers'!$P$2:$Q$6,2,FALSE)),"")</f>
        <v/>
      </c>
      <c r="Y222" s="393"/>
      <c r="Z222" s="510" t="str">
        <f>IF(Y222="","",IF(VLOOKUP(Y222,'G-3 Multipliers'!$S$3:$T$10,2,FALSE)=0,"Spatial Data Missing ⚠",VLOOKUP(Y222,'G-3 Multipliers'!$S$3:$T$10,2,FALSE)))</f>
        <v/>
      </c>
      <c r="AA222" s="926" t="str">
        <f t="shared" si="22"/>
        <v/>
      </c>
      <c r="AB222" s="928" t="str">
        <f t="shared" si="27"/>
        <v/>
      </c>
      <c r="AC222" s="105"/>
      <c r="AD222" s="138"/>
      <c r="AE222" s="233"/>
      <c r="AF222" s="138"/>
      <c r="AG222" s="934"/>
      <c r="AJ222" s="40" t="str">
        <f t="shared" si="23"/>
        <v/>
      </c>
    </row>
    <row r="223" spans="1:36" ht="14">
      <c r="A223" s="30" t="str">
        <f>IFERROR(INDEX('G-8 Condition Look up'!$I$4:$I$135,MATCH(F223,'G-8 Condition Look up'!$A$4:$A$135,0)),"")</f>
        <v/>
      </c>
      <c r="B223" s="225">
        <v>213</v>
      </c>
      <c r="C223" s="66" t="str">
        <f>IFERROR(INDEX('G-1 All Habitats'!$AG$25:$AG$41,MATCH(D223,'G-1 All Habitats'!AF$25:AF$41,0)),"")</f>
        <v/>
      </c>
      <c r="D223" s="105"/>
      <c r="E223" s="138"/>
      <c r="F223" s="158" t="str">
        <f>IFERROR(INDEX('G-1 All Habitats'!$B$3:$B$136,MATCH(E223,'G-1 All Habitats'!$A$3:$A$136,0)),"")</f>
        <v/>
      </c>
      <c r="G223" s="233"/>
      <c r="H223" s="311" t="str">
        <f>IF(F223="","",VLOOKUP(F223,'G-1 All Habitats'!$B$2:$M$135,10,FALSE))</f>
        <v/>
      </c>
      <c r="I223" s="299" t="str">
        <f>IFERROR(VLOOKUP(H223,'G-1 All Habitats'!$V$3:$W$7,2,FALSE),"")</f>
        <v/>
      </c>
      <c r="J223" s="136"/>
      <c r="K223" s="299" t="str">
        <f>IFERROR(INDEX('G-8 Condition Look up'!$A$3:$H$135,MATCH(F223,'G-8 Condition Look up'!$A$3:$A$135,0),MATCH(J223,'G-8 Condition Look up'!$A$3:$H$3,0)),"")</f>
        <v/>
      </c>
      <c r="L223" s="101"/>
      <c r="M223" s="314" t="str">
        <f>IF(L223="","",IF(VLOOKUP(L223,'G-3 Multipliers'!$L$3:$N$6,2,FALSE)=0,"Spatial Data Missing ⚠",VLOOKUP(L223,'G-3 Multipliers'!$L$3:$N$6,2,FALSE)))</f>
        <v/>
      </c>
      <c r="N223" s="276" t="str">
        <f>IF(L223="","",IF(VLOOKUP(L223,'G-3 Multipliers'!$L$3:$N$6,3,FALSE)=0,"Spatial Data Missing ⚠",VLOOKUP(L223,'G-3 Multipliers'!$L$3:$N$6,3,FALSE)))</f>
        <v/>
      </c>
      <c r="O223" s="275" t="str">
        <f t="shared" si="21"/>
        <v/>
      </c>
      <c r="P223" s="133"/>
      <c r="Q223" s="133"/>
      <c r="R223" s="295" t="str">
        <f t="shared" si="24"/>
        <v/>
      </c>
      <c r="S223" s="316" t="str">
        <f t="shared" si="25"/>
        <v/>
      </c>
      <c r="T223" s="300" t="str">
        <f>IFERROR(IF(S223="Check Data ⚠","Check Data ⚠",VLOOKUP(S223,'G-4 Temporal multipliers'!$A$4:$C$37,3,FALSE)),"")</f>
        <v/>
      </c>
      <c r="U223" s="298" t="str">
        <f>IF(F223="","",VLOOKUP(F223,'G-3 Multipliers'!$A$2:$E$134,2,FALSE))</f>
        <v/>
      </c>
      <c r="V223" s="295" t="str">
        <f t="shared" si="26"/>
        <v/>
      </c>
      <c r="W223" s="295" t="str">
        <f>IF(E223="","",IF(AND(V223="Standard difficulty applied",O223&gt;P223),U223,IF(AND(V223="Low Difficulty - only applicable if all habitat created before losses ⚠",P223&gt;=O223),"Low",VLOOKUP(F223,'G-3 Multipliers'!$A$2:$E$134,4,FALSE))))</f>
        <v/>
      </c>
      <c r="X223" s="299" t="str">
        <f>IFERROR(IF(E223="","",VLOOKUP(W223,'G-3 Multipliers'!$P$2:$Q$6,2,FALSE)),"")</f>
        <v/>
      </c>
      <c r="Y223" s="393"/>
      <c r="Z223" s="510" t="str">
        <f>IF(Y223="","",IF(VLOOKUP(Y223,'G-3 Multipliers'!$S$3:$T$10,2,FALSE)=0,"Spatial Data Missing ⚠",VLOOKUP(Y223,'G-3 Multipliers'!$S$3:$T$10,2,FALSE)))</f>
        <v/>
      </c>
      <c r="AA223" s="926" t="str">
        <f t="shared" si="22"/>
        <v/>
      </c>
      <c r="AB223" s="928" t="str">
        <f t="shared" si="27"/>
        <v/>
      </c>
      <c r="AC223" s="105"/>
      <c r="AD223" s="138"/>
      <c r="AE223" s="233"/>
      <c r="AF223" s="138"/>
      <c r="AG223" s="934"/>
      <c r="AJ223" s="40" t="str">
        <f t="shared" si="23"/>
        <v/>
      </c>
    </row>
    <row r="224" spans="1:36" ht="14">
      <c r="A224" s="30" t="str">
        <f>IFERROR(INDEX('G-8 Condition Look up'!$I$4:$I$135,MATCH(F224,'G-8 Condition Look up'!$A$4:$A$135,0)),"")</f>
        <v/>
      </c>
      <c r="B224" s="225">
        <v>214</v>
      </c>
      <c r="C224" s="66" t="str">
        <f>IFERROR(INDEX('G-1 All Habitats'!$AG$25:$AG$41,MATCH(D224,'G-1 All Habitats'!AF$25:AF$41,0)),"")</f>
        <v/>
      </c>
      <c r="D224" s="105"/>
      <c r="E224" s="138"/>
      <c r="F224" s="158" t="str">
        <f>IFERROR(INDEX('G-1 All Habitats'!$B$3:$B$136,MATCH(E224,'G-1 All Habitats'!$A$3:$A$136,0)),"")</f>
        <v/>
      </c>
      <c r="G224" s="233"/>
      <c r="H224" s="311" t="str">
        <f>IF(F224="","",VLOOKUP(F224,'G-1 All Habitats'!$B$2:$M$135,10,FALSE))</f>
        <v/>
      </c>
      <c r="I224" s="299" t="str">
        <f>IFERROR(VLOOKUP(H224,'G-1 All Habitats'!$V$3:$W$7,2,FALSE),"")</f>
        <v/>
      </c>
      <c r="J224" s="136"/>
      <c r="K224" s="299" t="str">
        <f>IFERROR(INDEX('G-8 Condition Look up'!$A$3:$H$135,MATCH(F224,'G-8 Condition Look up'!$A$3:$A$135,0),MATCH(J224,'G-8 Condition Look up'!$A$3:$H$3,0)),"")</f>
        <v/>
      </c>
      <c r="L224" s="101"/>
      <c r="M224" s="314" t="str">
        <f>IF(L224="","",IF(VLOOKUP(L224,'G-3 Multipliers'!$L$3:$N$6,2,FALSE)=0,"Spatial Data Missing ⚠",VLOOKUP(L224,'G-3 Multipliers'!$L$3:$N$6,2,FALSE)))</f>
        <v/>
      </c>
      <c r="N224" s="276" t="str">
        <f>IF(L224="","",IF(VLOOKUP(L224,'G-3 Multipliers'!$L$3:$N$6,3,FALSE)=0,"Spatial Data Missing ⚠",VLOOKUP(L224,'G-3 Multipliers'!$L$3:$N$6,3,FALSE)))</f>
        <v/>
      </c>
      <c r="O224" s="275" t="str">
        <f t="shared" si="21"/>
        <v/>
      </c>
      <c r="P224" s="133"/>
      <c r="Q224" s="133"/>
      <c r="R224" s="295" t="str">
        <f t="shared" si="24"/>
        <v/>
      </c>
      <c r="S224" s="316" t="str">
        <f t="shared" si="25"/>
        <v/>
      </c>
      <c r="T224" s="300" t="str">
        <f>IFERROR(IF(S224="Check Data ⚠","Check Data ⚠",VLOOKUP(S224,'G-4 Temporal multipliers'!$A$4:$C$37,3,FALSE)),"")</f>
        <v/>
      </c>
      <c r="U224" s="298" t="str">
        <f>IF(F224="","",VLOOKUP(F224,'G-3 Multipliers'!$A$2:$E$134,2,FALSE))</f>
        <v/>
      </c>
      <c r="V224" s="295" t="str">
        <f t="shared" si="26"/>
        <v/>
      </c>
      <c r="W224" s="295" t="str">
        <f>IF(E224="","",IF(AND(V224="Standard difficulty applied",O224&gt;P224),U224,IF(AND(V224="Low Difficulty - only applicable if all habitat created before losses ⚠",P224&gt;=O224),"Low",VLOOKUP(F224,'G-3 Multipliers'!$A$2:$E$134,4,FALSE))))</f>
        <v/>
      </c>
      <c r="X224" s="299" t="str">
        <f>IFERROR(IF(E224="","",VLOOKUP(W224,'G-3 Multipliers'!$P$2:$Q$6,2,FALSE)),"")</f>
        <v/>
      </c>
      <c r="Y224" s="393"/>
      <c r="Z224" s="510" t="str">
        <f>IF(Y224="","",IF(VLOOKUP(Y224,'G-3 Multipliers'!$S$3:$T$10,2,FALSE)=0,"Spatial Data Missing ⚠",VLOOKUP(Y224,'G-3 Multipliers'!$S$3:$T$10,2,FALSE)))</f>
        <v/>
      </c>
      <c r="AA224" s="926" t="str">
        <f t="shared" si="22"/>
        <v/>
      </c>
      <c r="AB224" s="928" t="str">
        <f t="shared" si="27"/>
        <v/>
      </c>
      <c r="AC224" s="105"/>
      <c r="AD224" s="138"/>
      <c r="AE224" s="233"/>
      <c r="AF224" s="138"/>
      <c r="AG224" s="934"/>
      <c r="AJ224" s="40" t="str">
        <f t="shared" si="23"/>
        <v/>
      </c>
    </row>
    <row r="225" spans="1:36" ht="14">
      <c r="A225" s="30" t="str">
        <f>IFERROR(INDEX('G-8 Condition Look up'!$I$4:$I$135,MATCH(F225,'G-8 Condition Look up'!$A$4:$A$135,0)),"")</f>
        <v/>
      </c>
      <c r="B225" s="225">
        <v>215</v>
      </c>
      <c r="C225" s="66" t="str">
        <f>IFERROR(INDEX('G-1 All Habitats'!$AG$25:$AG$41,MATCH(D225,'G-1 All Habitats'!AF$25:AF$41,0)),"")</f>
        <v/>
      </c>
      <c r="D225" s="105"/>
      <c r="E225" s="138"/>
      <c r="F225" s="158" t="str">
        <f>IFERROR(INDEX('G-1 All Habitats'!$B$3:$B$136,MATCH(E225,'G-1 All Habitats'!$A$3:$A$136,0)),"")</f>
        <v/>
      </c>
      <c r="G225" s="233"/>
      <c r="H225" s="311" t="str">
        <f>IF(F225="","",VLOOKUP(F225,'G-1 All Habitats'!$B$2:$M$135,10,FALSE))</f>
        <v/>
      </c>
      <c r="I225" s="299" t="str">
        <f>IFERROR(VLOOKUP(H225,'G-1 All Habitats'!$V$3:$W$7,2,FALSE),"")</f>
        <v/>
      </c>
      <c r="J225" s="136"/>
      <c r="K225" s="299" t="str">
        <f>IFERROR(INDEX('G-8 Condition Look up'!$A$3:$H$135,MATCH(F225,'G-8 Condition Look up'!$A$3:$A$135,0),MATCH(J225,'G-8 Condition Look up'!$A$3:$H$3,0)),"")</f>
        <v/>
      </c>
      <c r="L225" s="101"/>
      <c r="M225" s="314" t="str">
        <f>IF(L225="","",IF(VLOOKUP(L225,'G-3 Multipliers'!$L$3:$N$6,2,FALSE)=0,"Spatial Data Missing ⚠",VLOOKUP(L225,'G-3 Multipliers'!$L$3:$N$6,2,FALSE)))</f>
        <v/>
      </c>
      <c r="N225" s="276" t="str">
        <f>IF(L225="","",IF(VLOOKUP(L225,'G-3 Multipliers'!$L$3:$N$6,3,FALSE)=0,"Spatial Data Missing ⚠",VLOOKUP(L225,'G-3 Multipliers'!$L$3:$N$6,3,FALSE)))</f>
        <v/>
      </c>
      <c r="O225" s="275" t="str">
        <f t="shared" si="21"/>
        <v/>
      </c>
      <c r="P225" s="133"/>
      <c r="Q225" s="133"/>
      <c r="R225" s="295" t="str">
        <f t="shared" si="24"/>
        <v/>
      </c>
      <c r="S225" s="316" t="str">
        <f t="shared" si="25"/>
        <v/>
      </c>
      <c r="T225" s="300" t="str">
        <f>IFERROR(IF(S225="Check Data ⚠","Check Data ⚠",VLOOKUP(S225,'G-4 Temporal multipliers'!$A$4:$C$37,3,FALSE)),"")</f>
        <v/>
      </c>
      <c r="U225" s="298" t="str">
        <f>IF(F225="","",VLOOKUP(F225,'G-3 Multipliers'!$A$2:$E$134,2,FALSE))</f>
        <v/>
      </c>
      <c r="V225" s="295" t="str">
        <f t="shared" si="26"/>
        <v/>
      </c>
      <c r="W225" s="295" t="str">
        <f>IF(E225="","",IF(AND(V225="Standard difficulty applied",O225&gt;P225),U225,IF(AND(V225="Low Difficulty - only applicable if all habitat created before losses ⚠",P225&gt;=O225),"Low",VLOOKUP(F225,'G-3 Multipliers'!$A$2:$E$134,4,FALSE))))</f>
        <v/>
      </c>
      <c r="X225" s="299" t="str">
        <f>IFERROR(IF(E225="","",VLOOKUP(W225,'G-3 Multipliers'!$P$2:$Q$6,2,FALSE)),"")</f>
        <v/>
      </c>
      <c r="Y225" s="393"/>
      <c r="Z225" s="510" t="str">
        <f>IF(Y225="","",IF(VLOOKUP(Y225,'G-3 Multipliers'!$S$3:$T$10,2,FALSE)=0,"Spatial Data Missing ⚠",VLOOKUP(Y225,'G-3 Multipliers'!$S$3:$T$10,2,FALSE)))</f>
        <v/>
      </c>
      <c r="AA225" s="926" t="str">
        <f t="shared" si="22"/>
        <v/>
      </c>
      <c r="AB225" s="928" t="str">
        <f t="shared" si="27"/>
        <v/>
      </c>
      <c r="AC225" s="105"/>
      <c r="AD225" s="138"/>
      <c r="AE225" s="233"/>
      <c r="AF225" s="138"/>
      <c r="AG225" s="934"/>
      <c r="AJ225" s="40" t="str">
        <f t="shared" si="23"/>
        <v/>
      </c>
    </row>
    <row r="226" spans="1:36" ht="14">
      <c r="A226" s="30" t="str">
        <f>IFERROR(INDEX('G-8 Condition Look up'!$I$4:$I$135,MATCH(F226,'G-8 Condition Look up'!$A$4:$A$135,0)),"")</f>
        <v/>
      </c>
      <c r="B226" s="225">
        <v>216</v>
      </c>
      <c r="C226" s="66" t="str">
        <f>IFERROR(INDEX('G-1 All Habitats'!$AG$25:$AG$41,MATCH(D226,'G-1 All Habitats'!AF$25:AF$41,0)),"")</f>
        <v/>
      </c>
      <c r="D226" s="105"/>
      <c r="E226" s="138"/>
      <c r="F226" s="158" t="str">
        <f>IFERROR(INDEX('G-1 All Habitats'!$B$3:$B$136,MATCH(E226,'G-1 All Habitats'!$A$3:$A$136,0)),"")</f>
        <v/>
      </c>
      <c r="G226" s="233"/>
      <c r="H226" s="311" t="str">
        <f>IF(F226="","",VLOOKUP(F226,'G-1 All Habitats'!$B$2:$M$135,10,FALSE))</f>
        <v/>
      </c>
      <c r="I226" s="299" t="str">
        <f>IFERROR(VLOOKUP(H226,'G-1 All Habitats'!$V$3:$W$7,2,FALSE),"")</f>
        <v/>
      </c>
      <c r="J226" s="136"/>
      <c r="K226" s="299" t="str">
        <f>IFERROR(INDEX('G-8 Condition Look up'!$A$3:$H$135,MATCH(F226,'G-8 Condition Look up'!$A$3:$A$135,0),MATCH(J226,'G-8 Condition Look up'!$A$3:$H$3,0)),"")</f>
        <v/>
      </c>
      <c r="L226" s="101"/>
      <c r="M226" s="314" t="str">
        <f>IF(L226="","",IF(VLOOKUP(L226,'G-3 Multipliers'!$L$3:$N$6,2,FALSE)=0,"Spatial Data Missing ⚠",VLOOKUP(L226,'G-3 Multipliers'!$L$3:$N$6,2,FALSE)))</f>
        <v/>
      </c>
      <c r="N226" s="276" t="str">
        <f>IF(L226="","",IF(VLOOKUP(L226,'G-3 Multipliers'!$L$3:$N$6,3,FALSE)=0,"Spatial Data Missing ⚠",VLOOKUP(L226,'G-3 Multipliers'!$L$3:$N$6,3,FALSE)))</f>
        <v/>
      </c>
      <c r="O226" s="275" t="str">
        <f t="shared" si="21"/>
        <v/>
      </c>
      <c r="P226" s="133"/>
      <c r="Q226" s="133"/>
      <c r="R226" s="295" t="str">
        <f t="shared" si="24"/>
        <v/>
      </c>
      <c r="S226" s="316" t="str">
        <f t="shared" si="25"/>
        <v/>
      </c>
      <c r="T226" s="300" t="str">
        <f>IFERROR(IF(S226="Check Data ⚠","Check Data ⚠",VLOOKUP(S226,'G-4 Temporal multipliers'!$A$4:$C$37,3,FALSE)),"")</f>
        <v/>
      </c>
      <c r="U226" s="298" t="str">
        <f>IF(F226="","",VLOOKUP(F226,'G-3 Multipliers'!$A$2:$E$134,2,FALSE))</f>
        <v/>
      </c>
      <c r="V226" s="295" t="str">
        <f t="shared" si="26"/>
        <v/>
      </c>
      <c r="W226" s="295" t="str">
        <f>IF(E226="","",IF(AND(V226="Standard difficulty applied",O226&gt;P226),U226,IF(AND(V226="Low Difficulty - only applicable if all habitat created before losses ⚠",P226&gt;=O226),"Low",VLOOKUP(F226,'G-3 Multipliers'!$A$2:$E$134,4,FALSE))))</f>
        <v/>
      </c>
      <c r="X226" s="299" t="str">
        <f>IFERROR(IF(E226="","",VLOOKUP(W226,'G-3 Multipliers'!$P$2:$Q$6,2,FALSE)),"")</f>
        <v/>
      </c>
      <c r="Y226" s="393"/>
      <c r="Z226" s="510" t="str">
        <f>IF(Y226="","",IF(VLOOKUP(Y226,'G-3 Multipliers'!$S$3:$T$10,2,FALSE)=0,"Spatial Data Missing ⚠",VLOOKUP(Y226,'G-3 Multipliers'!$S$3:$T$10,2,FALSE)))</f>
        <v/>
      </c>
      <c r="AA226" s="926" t="str">
        <f t="shared" si="22"/>
        <v/>
      </c>
      <c r="AB226" s="928" t="str">
        <f t="shared" si="27"/>
        <v/>
      </c>
      <c r="AC226" s="105"/>
      <c r="AD226" s="138"/>
      <c r="AE226" s="233"/>
      <c r="AF226" s="138"/>
      <c r="AG226" s="934"/>
      <c r="AJ226" s="40" t="str">
        <f t="shared" si="23"/>
        <v/>
      </c>
    </row>
    <row r="227" spans="1:36" ht="14">
      <c r="A227" s="30" t="str">
        <f>IFERROR(INDEX('G-8 Condition Look up'!$I$4:$I$135,MATCH(F227,'G-8 Condition Look up'!$A$4:$A$135,0)),"")</f>
        <v/>
      </c>
      <c r="B227" s="225">
        <v>217</v>
      </c>
      <c r="C227" s="66" t="str">
        <f>IFERROR(INDEX('G-1 All Habitats'!$AG$25:$AG$41,MATCH(D227,'G-1 All Habitats'!AF$25:AF$41,0)),"")</f>
        <v/>
      </c>
      <c r="D227" s="105"/>
      <c r="E227" s="138"/>
      <c r="F227" s="158" t="str">
        <f>IFERROR(INDEX('G-1 All Habitats'!$B$3:$B$136,MATCH(E227,'G-1 All Habitats'!$A$3:$A$136,0)),"")</f>
        <v/>
      </c>
      <c r="G227" s="233"/>
      <c r="H227" s="311" t="str">
        <f>IF(F227="","",VLOOKUP(F227,'G-1 All Habitats'!$B$2:$M$135,10,FALSE))</f>
        <v/>
      </c>
      <c r="I227" s="299" t="str">
        <f>IFERROR(VLOOKUP(H227,'G-1 All Habitats'!$V$3:$W$7,2,FALSE),"")</f>
        <v/>
      </c>
      <c r="J227" s="136"/>
      <c r="K227" s="299" t="str">
        <f>IFERROR(INDEX('G-8 Condition Look up'!$A$3:$H$135,MATCH(F227,'G-8 Condition Look up'!$A$3:$A$135,0),MATCH(J227,'G-8 Condition Look up'!$A$3:$H$3,0)),"")</f>
        <v/>
      </c>
      <c r="L227" s="101"/>
      <c r="M227" s="314" t="str">
        <f>IF(L227="","",IF(VLOOKUP(L227,'G-3 Multipliers'!$L$3:$N$6,2,FALSE)=0,"Spatial Data Missing ⚠",VLOOKUP(L227,'G-3 Multipliers'!$L$3:$N$6,2,FALSE)))</f>
        <v/>
      </c>
      <c r="N227" s="276" t="str">
        <f>IF(L227="","",IF(VLOOKUP(L227,'G-3 Multipliers'!$L$3:$N$6,3,FALSE)=0,"Spatial Data Missing ⚠",VLOOKUP(L227,'G-3 Multipliers'!$L$3:$N$6,3,FALSE)))</f>
        <v/>
      </c>
      <c r="O227" s="275" t="str">
        <f t="shared" si="21"/>
        <v/>
      </c>
      <c r="P227" s="133"/>
      <c r="Q227" s="133"/>
      <c r="R227" s="295" t="str">
        <f t="shared" si="24"/>
        <v/>
      </c>
      <c r="S227" s="316" t="str">
        <f t="shared" si="25"/>
        <v/>
      </c>
      <c r="T227" s="300" t="str">
        <f>IFERROR(IF(S227="Check Data ⚠","Check Data ⚠",VLOOKUP(S227,'G-4 Temporal multipliers'!$A$4:$C$37,3,FALSE)),"")</f>
        <v/>
      </c>
      <c r="U227" s="298" t="str">
        <f>IF(F227="","",VLOOKUP(F227,'G-3 Multipliers'!$A$2:$E$134,2,FALSE))</f>
        <v/>
      </c>
      <c r="V227" s="295" t="str">
        <f t="shared" si="26"/>
        <v/>
      </c>
      <c r="W227" s="295" t="str">
        <f>IF(E227="","",IF(AND(V227="Standard difficulty applied",O227&gt;P227),U227,IF(AND(V227="Low Difficulty - only applicable if all habitat created before losses ⚠",P227&gt;=O227),"Low",VLOOKUP(F227,'G-3 Multipliers'!$A$2:$E$134,4,FALSE))))</f>
        <v/>
      </c>
      <c r="X227" s="299" t="str">
        <f>IFERROR(IF(E227="","",VLOOKUP(W227,'G-3 Multipliers'!$P$2:$Q$6,2,FALSE)),"")</f>
        <v/>
      </c>
      <c r="Y227" s="393"/>
      <c r="Z227" s="510" t="str">
        <f>IF(Y227="","",IF(VLOOKUP(Y227,'G-3 Multipliers'!$S$3:$T$10,2,FALSE)=0,"Spatial Data Missing ⚠",VLOOKUP(Y227,'G-3 Multipliers'!$S$3:$T$10,2,FALSE)))</f>
        <v/>
      </c>
      <c r="AA227" s="926" t="str">
        <f t="shared" si="22"/>
        <v/>
      </c>
      <c r="AB227" s="928" t="str">
        <f t="shared" si="27"/>
        <v/>
      </c>
      <c r="AC227" s="105"/>
      <c r="AD227" s="138"/>
      <c r="AE227" s="233"/>
      <c r="AF227" s="138"/>
      <c r="AG227" s="934"/>
      <c r="AJ227" s="40" t="str">
        <f t="shared" si="23"/>
        <v/>
      </c>
    </row>
    <row r="228" spans="1:36" ht="14">
      <c r="A228" s="30" t="str">
        <f>IFERROR(INDEX('G-8 Condition Look up'!$I$4:$I$135,MATCH(F228,'G-8 Condition Look up'!$A$4:$A$135,0)),"")</f>
        <v/>
      </c>
      <c r="B228" s="225">
        <v>218</v>
      </c>
      <c r="C228" s="66" t="str">
        <f>IFERROR(INDEX('G-1 All Habitats'!$AG$25:$AG$41,MATCH(D228,'G-1 All Habitats'!AF$25:AF$41,0)),"")</f>
        <v/>
      </c>
      <c r="D228" s="105"/>
      <c r="E228" s="138"/>
      <c r="F228" s="158" t="str">
        <f>IFERROR(INDEX('G-1 All Habitats'!$B$3:$B$136,MATCH(E228,'G-1 All Habitats'!$A$3:$A$136,0)),"")</f>
        <v/>
      </c>
      <c r="G228" s="233"/>
      <c r="H228" s="311" t="str">
        <f>IF(F228="","",VLOOKUP(F228,'G-1 All Habitats'!$B$2:$M$135,10,FALSE))</f>
        <v/>
      </c>
      <c r="I228" s="299" t="str">
        <f>IFERROR(VLOOKUP(H228,'G-1 All Habitats'!$V$3:$W$7,2,FALSE),"")</f>
        <v/>
      </c>
      <c r="J228" s="136"/>
      <c r="K228" s="299" t="str">
        <f>IFERROR(INDEX('G-8 Condition Look up'!$A$3:$H$135,MATCH(F228,'G-8 Condition Look up'!$A$3:$A$135,0),MATCH(J228,'G-8 Condition Look up'!$A$3:$H$3,0)),"")</f>
        <v/>
      </c>
      <c r="L228" s="101"/>
      <c r="M228" s="314" t="str">
        <f>IF(L228="","",IF(VLOOKUP(L228,'G-3 Multipliers'!$L$3:$N$6,2,FALSE)=0,"Spatial Data Missing ⚠",VLOOKUP(L228,'G-3 Multipliers'!$L$3:$N$6,2,FALSE)))</f>
        <v/>
      </c>
      <c r="N228" s="276" t="str">
        <f>IF(L228="","",IF(VLOOKUP(L228,'G-3 Multipliers'!$L$3:$N$6,3,FALSE)=0,"Spatial Data Missing ⚠",VLOOKUP(L228,'G-3 Multipliers'!$L$3:$N$6,3,FALSE)))</f>
        <v/>
      </c>
      <c r="O228" s="275" t="str">
        <f t="shared" si="21"/>
        <v/>
      </c>
      <c r="P228" s="133"/>
      <c r="Q228" s="133"/>
      <c r="R228" s="295" t="str">
        <f t="shared" si="24"/>
        <v/>
      </c>
      <c r="S228" s="316" t="str">
        <f t="shared" si="25"/>
        <v/>
      </c>
      <c r="T228" s="300" t="str">
        <f>IFERROR(IF(S228="Check Data ⚠","Check Data ⚠",VLOOKUP(S228,'G-4 Temporal multipliers'!$A$4:$C$37,3,FALSE)),"")</f>
        <v/>
      </c>
      <c r="U228" s="298" t="str">
        <f>IF(F228="","",VLOOKUP(F228,'G-3 Multipliers'!$A$2:$E$134,2,FALSE))</f>
        <v/>
      </c>
      <c r="V228" s="295" t="str">
        <f t="shared" si="26"/>
        <v/>
      </c>
      <c r="W228" s="295" t="str">
        <f>IF(E228="","",IF(AND(V228="Standard difficulty applied",O228&gt;P228),U228,IF(AND(V228="Low Difficulty - only applicable if all habitat created before losses ⚠",P228&gt;=O228),"Low",VLOOKUP(F228,'G-3 Multipliers'!$A$2:$E$134,4,FALSE))))</f>
        <v/>
      </c>
      <c r="X228" s="299" t="str">
        <f>IFERROR(IF(E228="","",VLOOKUP(W228,'G-3 Multipliers'!$P$2:$Q$6,2,FALSE)),"")</f>
        <v/>
      </c>
      <c r="Y228" s="393"/>
      <c r="Z228" s="510" t="str">
        <f>IF(Y228="","",IF(VLOOKUP(Y228,'G-3 Multipliers'!$S$3:$T$10,2,FALSE)=0,"Spatial Data Missing ⚠",VLOOKUP(Y228,'G-3 Multipliers'!$S$3:$T$10,2,FALSE)))</f>
        <v/>
      </c>
      <c r="AA228" s="926" t="str">
        <f t="shared" si="22"/>
        <v/>
      </c>
      <c r="AB228" s="928" t="str">
        <f t="shared" si="27"/>
        <v/>
      </c>
      <c r="AC228" s="105"/>
      <c r="AD228" s="138"/>
      <c r="AE228" s="233"/>
      <c r="AF228" s="138"/>
      <c r="AG228" s="934"/>
      <c r="AJ228" s="40" t="str">
        <f t="shared" si="23"/>
        <v/>
      </c>
    </row>
    <row r="229" spans="1:36" ht="14">
      <c r="A229" s="30" t="str">
        <f>IFERROR(INDEX('G-8 Condition Look up'!$I$4:$I$135,MATCH(F229,'G-8 Condition Look up'!$A$4:$A$135,0)),"")</f>
        <v/>
      </c>
      <c r="B229" s="225">
        <v>219</v>
      </c>
      <c r="C229" s="66" t="str">
        <f>IFERROR(INDEX('G-1 All Habitats'!$AG$25:$AG$41,MATCH(D229,'G-1 All Habitats'!AF$25:AF$41,0)),"")</f>
        <v/>
      </c>
      <c r="D229" s="105"/>
      <c r="E229" s="138"/>
      <c r="F229" s="158" t="str">
        <f>IFERROR(INDEX('G-1 All Habitats'!$B$3:$B$136,MATCH(E229,'G-1 All Habitats'!$A$3:$A$136,0)),"")</f>
        <v/>
      </c>
      <c r="G229" s="233"/>
      <c r="H229" s="311" t="str">
        <f>IF(F229="","",VLOOKUP(F229,'G-1 All Habitats'!$B$2:$M$135,10,FALSE))</f>
        <v/>
      </c>
      <c r="I229" s="299" t="str">
        <f>IFERROR(VLOOKUP(H229,'G-1 All Habitats'!$V$3:$W$7,2,FALSE),"")</f>
        <v/>
      </c>
      <c r="J229" s="136"/>
      <c r="K229" s="299" t="str">
        <f>IFERROR(INDEX('G-8 Condition Look up'!$A$3:$H$135,MATCH(F229,'G-8 Condition Look up'!$A$3:$A$135,0),MATCH(J229,'G-8 Condition Look up'!$A$3:$H$3,0)),"")</f>
        <v/>
      </c>
      <c r="L229" s="101"/>
      <c r="M229" s="314" t="str">
        <f>IF(L229="","",IF(VLOOKUP(L229,'G-3 Multipliers'!$L$3:$N$6,2,FALSE)=0,"Spatial Data Missing ⚠",VLOOKUP(L229,'G-3 Multipliers'!$L$3:$N$6,2,FALSE)))</f>
        <v/>
      </c>
      <c r="N229" s="276" t="str">
        <f>IF(L229="","",IF(VLOOKUP(L229,'G-3 Multipliers'!$L$3:$N$6,3,FALSE)=0,"Spatial Data Missing ⚠",VLOOKUP(L229,'G-3 Multipliers'!$L$3:$N$6,3,FALSE)))</f>
        <v/>
      </c>
      <c r="O229" s="275" t="str">
        <f t="shared" si="21"/>
        <v/>
      </c>
      <c r="P229" s="133"/>
      <c r="Q229" s="133"/>
      <c r="R229" s="295" t="str">
        <f t="shared" si="24"/>
        <v/>
      </c>
      <c r="S229" s="316" t="str">
        <f t="shared" si="25"/>
        <v/>
      </c>
      <c r="T229" s="300" t="str">
        <f>IFERROR(IF(S229="Check Data ⚠","Check Data ⚠",VLOOKUP(S229,'G-4 Temporal multipliers'!$A$4:$C$37,3,FALSE)),"")</f>
        <v/>
      </c>
      <c r="U229" s="298" t="str">
        <f>IF(F229="","",VLOOKUP(F229,'G-3 Multipliers'!$A$2:$E$134,2,FALSE))</f>
        <v/>
      </c>
      <c r="V229" s="295" t="str">
        <f t="shared" si="26"/>
        <v/>
      </c>
      <c r="W229" s="295" t="str">
        <f>IF(E229="","",IF(AND(V229="Standard difficulty applied",O229&gt;P229),U229,IF(AND(V229="Low Difficulty - only applicable if all habitat created before losses ⚠",P229&gt;=O229),"Low",VLOOKUP(F229,'G-3 Multipliers'!$A$2:$E$134,4,FALSE))))</f>
        <v/>
      </c>
      <c r="X229" s="299" t="str">
        <f>IFERROR(IF(E229="","",VLOOKUP(W229,'G-3 Multipliers'!$P$2:$Q$6,2,FALSE)),"")</f>
        <v/>
      </c>
      <c r="Y229" s="393"/>
      <c r="Z229" s="510" t="str">
        <f>IF(Y229="","",IF(VLOOKUP(Y229,'G-3 Multipliers'!$S$3:$T$10,2,FALSE)=0,"Spatial Data Missing ⚠",VLOOKUP(Y229,'G-3 Multipliers'!$S$3:$T$10,2,FALSE)))</f>
        <v/>
      </c>
      <c r="AA229" s="926" t="str">
        <f t="shared" si="22"/>
        <v/>
      </c>
      <c r="AB229" s="928" t="str">
        <f t="shared" si="27"/>
        <v/>
      </c>
      <c r="AC229" s="105"/>
      <c r="AD229" s="138"/>
      <c r="AE229" s="233"/>
      <c r="AF229" s="138"/>
      <c r="AG229" s="934"/>
      <c r="AJ229" s="40" t="str">
        <f t="shared" si="23"/>
        <v/>
      </c>
    </row>
    <row r="230" spans="1:36" ht="14">
      <c r="A230" s="30" t="str">
        <f>IFERROR(INDEX('G-8 Condition Look up'!$I$4:$I$135,MATCH(F230,'G-8 Condition Look up'!$A$4:$A$135,0)),"")</f>
        <v/>
      </c>
      <c r="B230" s="225">
        <v>220</v>
      </c>
      <c r="C230" s="66" t="str">
        <f>IFERROR(INDEX('G-1 All Habitats'!$AG$25:$AG$41,MATCH(D230,'G-1 All Habitats'!AF$25:AF$41,0)),"")</f>
        <v/>
      </c>
      <c r="D230" s="105"/>
      <c r="E230" s="138"/>
      <c r="F230" s="158" t="str">
        <f>IFERROR(INDEX('G-1 All Habitats'!$B$3:$B$136,MATCH(E230,'G-1 All Habitats'!$A$3:$A$136,0)),"")</f>
        <v/>
      </c>
      <c r="G230" s="233"/>
      <c r="H230" s="311" t="str">
        <f>IF(F230="","",VLOOKUP(F230,'G-1 All Habitats'!$B$2:$M$135,10,FALSE))</f>
        <v/>
      </c>
      <c r="I230" s="299" t="str">
        <f>IFERROR(VLOOKUP(H230,'G-1 All Habitats'!$V$3:$W$7,2,FALSE),"")</f>
        <v/>
      </c>
      <c r="J230" s="136"/>
      <c r="K230" s="299" t="str">
        <f>IFERROR(INDEX('G-8 Condition Look up'!$A$3:$H$135,MATCH(F230,'G-8 Condition Look up'!$A$3:$A$135,0),MATCH(J230,'G-8 Condition Look up'!$A$3:$H$3,0)),"")</f>
        <v/>
      </c>
      <c r="L230" s="101"/>
      <c r="M230" s="314" t="str">
        <f>IF(L230="","",IF(VLOOKUP(L230,'G-3 Multipliers'!$L$3:$N$6,2,FALSE)=0,"Spatial Data Missing ⚠",VLOOKUP(L230,'G-3 Multipliers'!$L$3:$N$6,2,FALSE)))</f>
        <v/>
      </c>
      <c r="N230" s="276" t="str">
        <f>IF(L230="","",IF(VLOOKUP(L230,'G-3 Multipliers'!$L$3:$N$6,3,FALSE)=0,"Spatial Data Missing ⚠",VLOOKUP(L230,'G-3 Multipliers'!$L$3:$N$6,3,FALSE)))</f>
        <v/>
      </c>
      <c r="O230" s="275" t="str">
        <f t="shared" si="21"/>
        <v/>
      </c>
      <c r="P230" s="133"/>
      <c r="Q230" s="133"/>
      <c r="R230" s="295" t="str">
        <f t="shared" si="24"/>
        <v/>
      </c>
      <c r="S230" s="316" t="str">
        <f t="shared" si="25"/>
        <v/>
      </c>
      <c r="T230" s="300" t="str">
        <f>IFERROR(IF(S230="Check Data ⚠","Check Data ⚠",VLOOKUP(S230,'G-4 Temporal multipliers'!$A$4:$C$37,3,FALSE)),"")</f>
        <v/>
      </c>
      <c r="U230" s="298" t="str">
        <f>IF(F230="","",VLOOKUP(F230,'G-3 Multipliers'!$A$2:$E$134,2,FALSE))</f>
        <v/>
      </c>
      <c r="V230" s="295" t="str">
        <f t="shared" si="26"/>
        <v/>
      </c>
      <c r="W230" s="295" t="str">
        <f>IF(E230="","",IF(AND(V230="Standard difficulty applied",O230&gt;P230),U230,IF(AND(V230="Low Difficulty - only applicable if all habitat created before losses ⚠",P230&gt;=O230),"Low",VLOOKUP(F230,'G-3 Multipliers'!$A$2:$E$134,4,FALSE))))</f>
        <v/>
      </c>
      <c r="X230" s="299" t="str">
        <f>IFERROR(IF(E230="","",VLOOKUP(W230,'G-3 Multipliers'!$P$2:$Q$6,2,FALSE)),"")</f>
        <v/>
      </c>
      <c r="Y230" s="393"/>
      <c r="Z230" s="510" t="str">
        <f>IF(Y230="","",IF(VLOOKUP(Y230,'G-3 Multipliers'!$S$3:$T$10,2,FALSE)=0,"Spatial Data Missing ⚠",VLOOKUP(Y230,'G-3 Multipliers'!$S$3:$T$10,2,FALSE)))</f>
        <v/>
      </c>
      <c r="AA230" s="926" t="str">
        <f t="shared" si="22"/>
        <v/>
      </c>
      <c r="AB230" s="928" t="str">
        <f t="shared" si="27"/>
        <v/>
      </c>
      <c r="AC230" s="105"/>
      <c r="AD230" s="138"/>
      <c r="AE230" s="233"/>
      <c r="AF230" s="138"/>
      <c r="AG230" s="934"/>
      <c r="AJ230" s="40" t="str">
        <f t="shared" si="23"/>
        <v/>
      </c>
    </row>
    <row r="231" spans="1:36" ht="14">
      <c r="A231" s="30" t="str">
        <f>IFERROR(INDEX('G-8 Condition Look up'!$I$4:$I$135,MATCH(F231,'G-8 Condition Look up'!$A$4:$A$135,0)),"")</f>
        <v/>
      </c>
      <c r="B231" s="225">
        <v>221</v>
      </c>
      <c r="C231" s="66" t="str">
        <f>IFERROR(INDEX('G-1 All Habitats'!$AG$25:$AG$41,MATCH(D231,'G-1 All Habitats'!AF$25:AF$41,0)),"")</f>
        <v/>
      </c>
      <c r="D231" s="105"/>
      <c r="E231" s="138"/>
      <c r="F231" s="158" t="str">
        <f>IFERROR(INDEX('G-1 All Habitats'!$B$3:$B$136,MATCH(E231,'G-1 All Habitats'!$A$3:$A$136,0)),"")</f>
        <v/>
      </c>
      <c r="G231" s="233"/>
      <c r="H231" s="311" t="str">
        <f>IF(F231="","",VLOOKUP(F231,'G-1 All Habitats'!$B$2:$M$135,10,FALSE))</f>
        <v/>
      </c>
      <c r="I231" s="299" t="str">
        <f>IFERROR(VLOOKUP(H231,'G-1 All Habitats'!$V$3:$W$7,2,FALSE),"")</f>
        <v/>
      </c>
      <c r="J231" s="136"/>
      <c r="K231" s="299" t="str">
        <f>IFERROR(INDEX('G-8 Condition Look up'!$A$3:$H$135,MATCH(F231,'G-8 Condition Look up'!$A$3:$A$135,0),MATCH(J231,'G-8 Condition Look up'!$A$3:$H$3,0)),"")</f>
        <v/>
      </c>
      <c r="L231" s="101"/>
      <c r="M231" s="314" t="str">
        <f>IF(L231="","",IF(VLOOKUP(L231,'G-3 Multipliers'!$L$3:$N$6,2,FALSE)=0,"Spatial Data Missing ⚠",VLOOKUP(L231,'G-3 Multipliers'!$L$3:$N$6,2,FALSE)))</f>
        <v/>
      </c>
      <c r="N231" s="276" t="str">
        <f>IF(L231="","",IF(VLOOKUP(L231,'G-3 Multipliers'!$L$3:$N$6,3,FALSE)=0,"Spatial Data Missing ⚠",VLOOKUP(L231,'G-3 Multipliers'!$L$3:$N$6,3,FALSE)))</f>
        <v/>
      </c>
      <c r="O231" s="275" t="str">
        <f t="shared" si="21"/>
        <v/>
      </c>
      <c r="P231" s="133"/>
      <c r="Q231" s="133"/>
      <c r="R231" s="295" t="str">
        <f t="shared" si="24"/>
        <v/>
      </c>
      <c r="S231" s="316" t="str">
        <f t="shared" si="25"/>
        <v/>
      </c>
      <c r="T231" s="300" t="str">
        <f>IFERROR(IF(S231="Check Data ⚠","Check Data ⚠",VLOOKUP(S231,'G-4 Temporal multipliers'!$A$4:$C$37,3,FALSE)),"")</f>
        <v/>
      </c>
      <c r="U231" s="298" t="str">
        <f>IF(F231="","",VLOOKUP(F231,'G-3 Multipliers'!$A$2:$E$134,2,FALSE))</f>
        <v/>
      </c>
      <c r="V231" s="295" t="str">
        <f t="shared" si="26"/>
        <v/>
      </c>
      <c r="W231" s="295" t="str">
        <f>IF(E231="","",IF(AND(V231="Standard difficulty applied",O231&gt;P231),U231,IF(AND(V231="Low Difficulty - only applicable if all habitat created before losses ⚠",P231&gt;=O231),"Low",VLOOKUP(F231,'G-3 Multipliers'!$A$2:$E$134,4,FALSE))))</f>
        <v/>
      </c>
      <c r="X231" s="299" t="str">
        <f>IFERROR(IF(E231="","",VLOOKUP(W231,'G-3 Multipliers'!$P$2:$Q$6,2,FALSE)),"")</f>
        <v/>
      </c>
      <c r="Y231" s="393"/>
      <c r="Z231" s="510" t="str">
        <f>IF(Y231="","",IF(VLOOKUP(Y231,'G-3 Multipliers'!$S$3:$T$10,2,FALSE)=0,"Spatial Data Missing ⚠",VLOOKUP(Y231,'G-3 Multipliers'!$S$3:$T$10,2,FALSE)))</f>
        <v/>
      </c>
      <c r="AA231" s="926" t="str">
        <f t="shared" si="22"/>
        <v/>
      </c>
      <c r="AB231" s="928" t="str">
        <f t="shared" si="27"/>
        <v/>
      </c>
      <c r="AC231" s="105"/>
      <c r="AD231" s="138"/>
      <c r="AE231" s="233"/>
      <c r="AF231" s="138"/>
      <c r="AG231" s="934"/>
      <c r="AJ231" s="40" t="str">
        <f t="shared" si="23"/>
        <v/>
      </c>
    </row>
    <row r="232" spans="1:36" ht="14">
      <c r="A232" s="30" t="str">
        <f>IFERROR(INDEX('G-8 Condition Look up'!$I$4:$I$135,MATCH(F232,'G-8 Condition Look up'!$A$4:$A$135,0)),"")</f>
        <v/>
      </c>
      <c r="B232" s="225">
        <v>222</v>
      </c>
      <c r="C232" s="66" t="str">
        <f>IFERROR(INDEX('G-1 All Habitats'!$AG$25:$AG$41,MATCH(D232,'G-1 All Habitats'!AF$25:AF$41,0)),"")</f>
        <v/>
      </c>
      <c r="D232" s="105"/>
      <c r="E232" s="138"/>
      <c r="F232" s="158" t="str">
        <f>IFERROR(INDEX('G-1 All Habitats'!$B$3:$B$136,MATCH(E232,'G-1 All Habitats'!$A$3:$A$136,0)),"")</f>
        <v/>
      </c>
      <c r="G232" s="233"/>
      <c r="H232" s="311" t="str">
        <f>IF(F232="","",VLOOKUP(F232,'G-1 All Habitats'!$B$2:$M$135,10,FALSE))</f>
        <v/>
      </c>
      <c r="I232" s="299" t="str">
        <f>IFERROR(VLOOKUP(H232,'G-1 All Habitats'!$V$3:$W$7,2,FALSE),"")</f>
        <v/>
      </c>
      <c r="J232" s="136"/>
      <c r="K232" s="299" t="str">
        <f>IFERROR(INDEX('G-8 Condition Look up'!$A$3:$H$135,MATCH(F232,'G-8 Condition Look up'!$A$3:$A$135,0),MATCH(J232,'G-8 Condition Look up'!$A$3:$H$3,0)),"")</f>
        <v/>
      </c>
      <c r="L232" s="101"/>
      <c r="M232" s="314" t="str">
        <f>IF(L232="","",IF(VLOOKUP(L232,'G-3 Multipliers'!$L$3:$N$6,2,FALSE)=0,"Spatial Data Missing ⚠",VLOOKUP(L232,'G-3 Multipliers'!$L$3:$N$6,2,FALSE)))</f>
        <v/>
      </c>
      <c r="N232" s="276" t="str">
        <f>IF(L232="","",IF(VLOOKUP(L232,'G-3 Multipliers'!$L$3:$N$6,3,FALSE)=0,"Spatial Data Missing ⚠",VLOOKUP(L232,'G-3 Multipliers'!$L$3:$N$6,3,FALSE)))</f>
        <v/>
      </c>
      <c r="O232" s="275" t="str">
        <f t="shared" si="21"/>
        <v/>
      </c>
      <c r="P232" s="133"/>
      <c r="Q232" s="133"/>
      <c r="R232" s="295" t="str">
        <f t="shared" si="24"/>
        <v/>
      </c>
      <c r="S232" s="316" t="str">
        <f t="shared" si="25"/>
        <v/>
      </c>
      <c r="T232" s="300" t="str">
        <f>IFERROR(IF(S232="Check Data ⚠","Check Data ⚠",VLOOKUP(S232,'G-4 Temporal multipliers'!$A$4:$C$37,3,FALSE)),"")</f>
        <v/>
      </c>
      <c r="U232" s="298" t="str">
        <f>IF(F232="","",VLOOKUP(F232,'G-3 Multipliers'!$A$2:$E$134,2,FALSE))</f>
        <v/>
      </c>
      <c r="V232" s="295" t="str">
        <f t="shared" si="26"/>
        <v/>
      </c>
      <c r="W232" s="295" t="str">
        <f>IF(E232="","",IF(AND(V232="Standard difficulty applied",O232&gt;P232),U232,IF(AND(V232="Low Difficulty - only applicable if all habitat created before losses ⚠",P232&gt;=O232),"Low",VLOOKUP(F232,'G-3 Multipliers'!$A$2:$E$134,4,FALSE))))</f>
        <v/>
      </c>
      <c r="X232" s="299" t="str">
        <f>IFERROR(IF(E232="","",VLOOKUP(W232,'G-3 Multipliers'!$P$2:$Q$6,2,FALSE)),"")</f>
        <v/>
      </c>
      <c r="Y232" s="393"/>
      <c r="Z232" s="510" t="str">
        <f>IF(Y232="","",IF(VLOOKUP(Y232,'G-3 Multipliers'!$S$3:$T$10,2,FALSE)=0,"Spatial Data Missing ⚠",VLOOKUP(Y232,'G-3 Multipliers'!$S$3:$T$10,2,FALSE)))</f>
        <v/>
      </c>
      <c r="AA232" s="926" t="str">
        <f t="shared" si="22"/>
        <v/>
      </c>
      <c r="AB232" s="928" t="str">
        <f t="shared" si="27"/>
        <v/>
      </c>
      <c r="AC232" s="105"/>
      <c r="AD232" s="138"/>
      <c r="AE232" s="233"/>
      <c r="AF232" s="138"/>
      <c r="AG232" s="934"/>
      <c r="AJ232" s="40" t="str">
        <f t="shared" si="23"/>
        <v/>
      </c>
    </row>
    <row r="233" spans="1:36" ht="14">
      <c r="A233" s="30" t="str">
        <f>IFERROR(INDEX('G-8 Condition Look up'!$I$4:$I$135,MATCH(F233,'G-8 Condition Look up'!$A$4:$A$135,0)),"")</f>
        <v/>
      </c>
      <c r="B233" s="225">
        <v>223</v>
      </c>
      <c r="C233" s="66" t="str">
        <f>IFERROR(INDEX('G-1 All Habitats'!$AG$25:$AG$41,MATCH(D233,'G-1 All Habitats'!AF$25:AF$41,0)),"")</f>
        <v/>
      </c>
      <c r="D233" s="105"/>
      <c r="E233" s="138"/>
      <c r="F233" s="158" t="str">
        <f>IFERROR(INDEX('G-1 All Habitats'!$B$3:$B$136,MATCH(E233,'G-1 All Habitats'!$A$3:$A$136,0)),"")</f>
        <v/>
      </c>
      <c r="G233" s="233"/>
      <c r="H233" s="311" t="str">
        <f>IF(F233="","",VLOOKUP(F233,'G-1 All Habitats'!$B$2:$M$135,10,FALSE))</f>
        <v/>
      </c>
      <c r="I233" s="299" t="str">
        <f>IFERROR(VLOOKUP(H233,'G-1 All Habitats'!$V$3:$W$7,2,FALSE),"")</f>
        <v/>
      </c>
      <c r="J233" s="136"/>
      <c r="K233" s="299" t="str">
        <f>IFERROR(INDEX('G-8 Condition Look up'!$A$3:$H$135,MATCH(F233,'G-8 Condition Look up'!$A$3:$A$135,0),MATCH(J233,'G-8 Condition Look up'!$A$3:$H$3,0)),"")</f>
        <v/>
      </c>
      <c r="L233" s="101"/>
      <c r="M233" s="314" t="str">
        <f>IF(L233="","",IF(VLOOKUP(L233,'G-3 Multipliers'!$L$3:$N$6,2,FALSE)=0,"Spatial Data Missing ⚠",VLOOKUP(L233,'G-3 Multipliers'!$L$3:$N$6,2,FALSE)))</f>
        <v/>
      </c>
      <c r="N233" s="276" t="str">
        <f>IF(L233="","",IF(VLOOKUP(L233,'G-3 Multipliers'!$L$3:$N$6,3,FALSE)=0,"Spatial Data Missing ⚠",VLOOKUP(L233,'G-3 Multipliers'!$L$3:$N$6,3,FALSE)))</f>
        <v/>
      </c>
      <c r="O233" s="275" t="str">
        <f t="shared" si="21"/>
        <v/>
      </c>
      <c r="P233" s="133"/>
      <c r="Q233" s="133"/>
      <c r="R233" s="295" t="str">
        <f t="shared" si="24"/>
        <v/>
      </c>
      <c r="S233" s="316" t="str">
        <f t="shared" si="25"/>
        <v/>
      </c>
      <c r="T233" s="300" t="str">
        <f>IFERROR(IF(S233="Check Data ⚠","Check Data ⚠",VLOOKUP(S233,'G-4 Temporal multipliers'!$A$4:$C$37,3,FALSE)),"")</f>
        <v/>
      </c>
      <c r="U233" s="298" t="str">
        <f>IF(F233="","",VLOOKUP(F233,'G-3 Multipliers'!$A$2:$E$134,2,FALSE))</f>
        <v/>
      </c>
      <c r="V233" s="295" t="str">
        <f t="shared" si="26"/>
        <v/>
      </c>
      <c r="W233" s="295" t="str">
        <f>IF(E233="","",IF(AND(V233="Standard difficulty applied",O233&gt;P233),U233,IF(AND(V233="Low Difficulty - only applicable if all habitat created before losses ⚠",P233&gt;=O233),"Low",VLOOKUP(F233,'G-3 Multipliers'!$A$2:$E$134,4,FALSE))))</f>
        <v/>
      </c>
      <c r="X233" s="299" t="str">
        <f>IFERROR(IF(E233="","",VLOOKUP(W233,'G-3 Multipliers'!$P$2:$Q$6,2,FALSE)),"")</f>
        <v/>
      </c>
      <c r="Y233" s="393"/>
      <c r="Z233" s="510" t="str">
        <f>IF(Y233="","",IF(VLOOKUP(Y233,'G-3 Multipliers'!$S$3:$T$10,2,FALSE)=0,"Spatial Data Missing ⚠",VLOOKUP(Y233,'G-3 Multipliers'!$S$3:$T$10,2,FALSE)))</f>
        <v/>
      </c>
      <c r="AA233" s="926" t="str">
        <f t="shared" si="22"/>
        <v/>
      </c>
      <c r="AB233" s="928" t="str">
        <f t="shared" si="27"/>
        <v/>
      </c>
      <c r="AC233" s="105"/>
      <c r="AD233" s="138"/>
      <c r="AE233" s="233"/>
      <c r="AF233" s="138"/>
      <c r="AG233" s="934"/>
      <c r="AJ233" s="40" t="str">
        <f t="shared" si="23"/>
        <v/>
      </c>
    </row>
    <row r="234" spans="1:36" ht="14">
      <c r="A234" s="30" t="str">
        <f>IFERROR(INDEX('G-8 Condition Look up'!$I$4:$I$135,MATCH(F234,'G-8 Condition Look up'!$A$4:$A$135,0)),"")</f>
        <v/>
      </c>
      <c r="B234" s="225">
        <v>224</v>
      </c>
      <c r="C234" s="66" t="str">
        <f>IFERROR(INDEX('G-1 All Habitats'!$AG$25:$AG$41,MATCH(D234,'G-1 All Habitats'!AF$25:AF$41,0)),"")</f>
        <v/>
      </c>
      <c r="D234" s="105"/>
      <c r="E234" s="138"/>
      <c r="F234" s="158" t="str">
        <f>IFERROR(INDEX('G-1 All Habitats'!$B$3:$B$136,MATCH(E234,'G-1 All Habitats'!$A$3:$A$136,0)),"")</f>
        <v/>
      </c>
      <c r="G234" s="233"/>
      <c r="H234" s="311" t="str">
        <f>IF(F234="","",VLOOKUP(F234,'G-1 All Habitats'!$B$2:$M$135,10,FALSE))</f>
        <v/>
      </c>
      <c r="I234" s="299" t="str">
        <f>IFERROR(VLOOKUP(H234,'G-1 All Habitats'!$V$3:$W$7,2,FALSE),"")</f>
        <v/>
      </c>
      <c r="J234" s="136"/>
      <c r="K234" s="299" t="str">
        <f>IFERROR(INDEX('G-8 Condition Look up'!$A$3:$H$135,MATCH(F234,'G-8 Condition Look up'!$A$3:$A$135,0),MATCH(J234,'G-8 Condition Look up'!$A$3:$H$3,0)),"")</f>
        <v/>
      </c>
      <c r="L234" s="101"/>
      <c r="M234" s="314" t="str">
        <f>IF(L234="","",IF(VLOOKUP(L234,'G-3 Multipliers'!$L$3:$N$6,2,FALSE)=0,"Spatial Data Missing ⚠",VLOOKUP(L234,'G-3 Multipliers'!$L$3:$N$6,2,FALSE)))</f>
        <v/>
      </c>
      <c r="N234" s="276" t="str">
        <f>IF(L234="","",IF(VLOOKUP(L234,'G-3 Multipliers'!$L$3:$N$6,3,FALSE)=0,"Spatial Data Missing ⚠",VLOOKUP(L234,'G-3 Multipliers'!$L$3:$N$6,3,FALSE)))</f>
        <v/>
      </c>
      <c r="O234" s="275" t="str">
        <f t="shared" si="21"/>
        <v/>
      </c>
      <c r="P234" s="133"/>
      <c r="Q234" s="133"/>
      <c r="R234" s="295" t="str">
        <f t="shared" si="24"/>
        <v/>
      </c>
      <c r="S234" s="316" t="str">
        <f t="shared" si="25"/>
        <v/>
      </c>
      <c r="T234" s="300" t="str">
        <f>IFERROR(IF(S234="Check Data ⚠","Check Data ⚠",VLOOKUP(S234,'G-4 Temporal multipliers'!$A$4:$C$37,3,FALSE)),"")</f>
        <v/>
      </c>
      <c r="U234" s="298" t="str">
        <f>IF(F234="","",VLOOKUP(F234,'G-3 Multipliers'!$A$2:$E$134,2,FALSE))</f>
        <v/>
      </c>
      <c r="V234" s="295" t="str">
        <f t="shared" si="26"/>
        <v/>
      </c>
      <c r="W234" s="295" t="str">
        <f>IF(E234="","",IF(AND(V234="Standard difficulty applied",O234&gt;P234),U234,IF(AND(V234="Low Difficulty - only applicable if all habitat created before losses ⚠",P234&gt;=O234),"Low",VLOOKUP(F234,'G-3 Multipliers'!$A$2:$E$134,4,FALSE))))</f>
        <v/>
      </c>
      <c r="X234" s="299" t="str">
        <f>IFERROR(IF(E234="","",VLOOKUP(W234,'G-3 Multipliers'!$P$2:$Q$6,2,FALSE)),"")</f>
        <v/>
      </c>
      <c r="Y234" s="393"/>
      <c r="Z234" s="510" t="str">
        <f>IF(Y234="","",IF(VLOOKUP(Y234,'G-3 Multipliers'!$S$3:$T$10,2,FALSE)=0,"Spatial Data Missing ⚠",VLOOKUP(Y234,'G-3 Multipliers'!$S$3:$T$10,2,FALSE)))</f>
        <v/>
      </c>
      <c r="AA234" s="926" t="str">
        <f t="shared" si="22"/>
        <v/>
      </c>
      <c r="AB234" s="928" t="str">
        <f t="shared" si="27"/>
        <v/>
      </c>
      <c r="AC234" s="105"/>
      <c r="AD234" s="138"/>
      <c r="AE234" s="233"/>
      <c r="AF234" s="138"/>
      <c r="AG234" s="934"/>
      <c r="AJ234" s="40" t="str">
        <f t="shared" si="23"/>
        <v/>
      </c>
    </row>
    <row r="235" spans="1:36" ht="14">
      <c r="A235" s="30" t="str">
        <f>IFERROR(INDEX('G-8 Condition Look up'!$I$4:$I$135,MATCH(F235,'G-8 Condition Look up'!$A$4:$A$135,0)),"")</f>
        <v/>
      </c>
      <c r="B235" s="225">
        <v>225</v>
      </c>
      <c r="C235" s="66" t="str">
        <f>IFERROR(INDEX('G-1 All Habitats'!$AG$25:$AG$41,MATCH(D235,'G-1 All Habitats'!AF$25:AF$41,0)),"")</f>
        <v/>
      </c>
      <c r="D235" s="105"/>
      <c r="E235" s="138"/>
      <c r="F235" s="158" t="str">
        <f>IFERROR(INDEX('G-1 All Habitats'!$B$3:$B$136,MATCH(E235,'G-1 All Habitats'!$A$3:$A$136,0)),"")</f>
        <v/>
      </c>
      <c r="G235" s="233"/>
      <c r="H235" s="311" t="str">
        <f>IF(F235="","",VLOOKUP(F235,'G-1 All Habitats'!$B$2:$M$135,10,FALSE))</f>
        <v/>
      </c>
      <c r="I235" s="299" t="str">
        <f>IFERROR(VLOOKUP(H235,'G-1 All Habitats'!$V$3:$W$7,2,FALSE),"")</f>
        <v/>
      </c>
      <c r="J235" s="136"/>
      <c r="K235" s="299" t="str">
        <f>IFERROR(INDEX('G-8 Condition Look up'!$A$3:$H$135,MATCH(F235,'G-8 Condition Look up'!$A$3:$A$135,0),MATCH(J235,'G-8 Condition Look up'!$A$3:$H$3,0)),"")</f>
        <v/>
      </c>
      <c r="L235" s="101"/>
      <c r="M235" s="314" t="str">
        <f>IF(L235="","",IF(VLOOKUP(L235,'G-3 Multipliers'!$L$3:$N$6,2,FALSE)=0,"Spatial Data Missing ⚠",VLOOKUP(L235,'G-3 Multipliers'!$L$3:$N$6,2,FALSE)))</f>
        <v/>
      </c>
      <c r="N235" s="276" t="str">
        <f>IF(L235="","",IF(VLOOKUP(L235,'G-3 Multipliers'!$L$3:$N$6,3,FALSE)=0,"Spatial Data Missing ⚠",VLOOKUP(L235,'G-3 Multipliers'!$L$3:$N$6,3,FALSE)))</f>
        <v/>
      </c>
      <c r="O235" s="275" t="str">
        <f t="shared" si="21"/>
        <v/>
      </c>
      <c r="P235" s="133"/>
      <c r="Q235" s="133"/>
      <c r="R235" s="295" t="str">
        <f t="shared" si="24"/>
        <v/>
      </c>
      <c r="S235" s="316" t="str">
        <f t="shared" si="25"/>
        <v/>
      </c>
      <c r="T235" s="300" t="str">
        <f>IFERROR(IF(S235="Check Data ⚠","Check Data ⚠",VLOOKUP(S235,'G-4 Temporal multipliers'!$A$4:$C$37,3,FALSE)),"")</f>
        <v/>
      </c>
      <c r="U235" s="298" t="str">
        <f>IF(F235="","",VLOOKUP(F235,'G-3 Multipliers'!$A$2:$E$134,2,FALSE))</f>
        <v/>
      </c>
      <c r="V235" s="295" t="str">
        <f t="shared" si="26"/>
        <v/>
      </c>
      <c r="W235" s="295" t="str">
        <f>IF(E235="","",IF(AND(V235="Standard difficulty applied",O235&gt;P235),U235,IF(AND(V235="Low Difficulty - only applicable if all habitat created before losses ⚠",P235&gt;=O235),"Low",VLOOKUP(F235,'G-3 Multipliers'!$A$2:$E$134,4,FALSE))))</f>
        <v/>
      </c>
      <c r="X235" s="299" t="str">
        <f>IFERROR(IF(E235="","",VLOOKUP(W235,'G-3 Multipliers'!$P$2:$Q$6,2,FALSE)),"")</f>
        <v/>
      </c>
      <c r="Y235" s="393"/>
      <c r="Z235" s="510" t="str">
        <f>IF(Y235="","",IF(VLOOKUP(Y235,'G-3 Multipliers'!$S$3:$T$10,2,FALSE)=0,"Spatial Data Missing ⚠",VLOOKUP(Y235,'G-3 Multipliers'!$S$3:$T$10,2,FALSE)))</f>
        <v/>
      </c>
      <c r="AA235" s="926" t="str">
        <f t="shared" si="22"/>
        <v/>
      </c>
      <c r="AB235" s="928" t="str">
        <f t="shared" si="27"/>
        <v/>
      </c>
      <c r="AC235" s="105"/>
      <c r="AD235" s="138"/>
      <c r="AE235" s="233"/>
      <c r="AF235" s="138"/>
      <c r="AG235" s="934"/>
      <c r="AJ235" s="40" t="str">
        <f t="shared" si="23"/>
        <v/>
      </c>
    </row>
    <row r="236" spans="1:36" ht="14">
      <c r="A236" s="30" t="str">
        <f>IFERROR(INDEX('G-8 Condition Look up'!$I$4:$I$135,MATCH(F236,'G-8 Condition Look up'!$A$4:$A$135,0)),"")</f>
        <v/>
      </c>
      <c r="B236" s="225">
        <v>226</v>
      </c>
      <c r="C236" s="66" t="str">
        <f>IFERROR(INDEX('G-1 All Habitats'!$AG$25:$AG$41,MATCH(D236,'G-1 All Habitats'!AF$25:AF$41,0)),"")</f>
        <v/>
      </c>
      <c r="D236" s="105"/>
      <c r="E236" s="138"/>
      <c r="F236" s="158" t="str">
        <f>IFERROR(INDEX('G-1 All Habitats'!$B$3:$B$136,MATCH(E236,'G-1 All Habitats'!$A$3:$A$136,0)),"")</f>
        <v/>
      </c>
      <c r="G236" s="233"/>
      <c r="H236" s="311" t="str">
        <f>IF(F236="","",VLOOKUP(F236,'G-1 All Habitats'!$B$2:$M$135,10,FALSE))</f>
        <v/>
      </c>
      <c r="I236" s="299" t="str">
        <f>IFERROR(VLOOKUP(H236,'G-1 All Habitats'!$V$3:$W$7,2,FALSE),"")</f>
        <v/>
      </c>
      <c r="J236" s="136"/>
      <c r="K236" s="299" t="str">
        <f>IFERROR(INDEX('G-8 Condition Look up'!$A$3:$H$135,MATCH(F236,'G-8 Condition Look up'!$A$3:$A$135,0),MATCH(J236,'G-8 Condition Look up'!$A$3:$H$3,0)),"")</f>
        <v/>
      </c>
      <c r="L236" s="101"/>
      <c r="M236" s="314" t="str">
        <f>IF(L236="","",IF(VLOOKUP(L236,'G-3 Multipliers'!$L$3:$N$6,2,FALSE)=0,"Spatial Data Missing ⚠",VLOOKUP(L236,'G-3 Multipliers'!$L$3:$N$6,2,FALSE)))</f>
        <v/>
      </c>
      <c r="N236" s="276" t="str">
        <f>IF(L236="","",IF(VLOOKUP(L236,'G-3 Multipliers'!$L$3:$N$6,3,FALSE)=0,"Spatial Data Missing ⚠",VLOOKUP(L236,'G-3 Multipliers'!$L$3:$N$6,3,FALSE)))</f>
        <v/>
      </c>
      <c r="O236" s="275" t="str">
        <f t="shared" si="21"/>
        <v/>
      </c>
      <c r="P236" s="133"/>
      <c r="Q236" s="133"/>
      <c r="R236" s="295" t="str">
        <f t="shared" si="24"/>
        <v/>
      </c>
      <c r="S236" s="316" t="str">
        <f t="shared" si="25"/>
        <v/>
      </c>
      <c r="T236" s="300" t="str">
        <f>IFERROR(IF(S236="Check Data ⚠","Check Data ⚠",VLOOKUP(S236,'G-4 Temporal multipliers'!$A$4:$C$37,3,FALSE)),"")</f>
        <v/>
      </c>
      <c r="U236" s="298" t="str">
        <f>IF(F236="","",VLOOKUP(F236,'G-3 Multipliers'!$A$2:$E$134,2,FALSE))</f>
        <v/>
      </c>
      <c r="V236" s="295" t="str">
        <f t="shared" si="26"/>
        <v/>
      </c>
      <c r="W236" s="295" t="str">
        <f>IF(E236="","",IF(AND(V236="Standard difficulty applied",O236&gt;P236),U236,IF(AND(V236="Low Difficulty - only applicable if all habitat created before losses ⚠",P236&gt;=O236),"Low",VLOOKUP(F236,'G-3 Multipliers'!$A$2:$E$134,4,FALSE))))</f>
        <v/>
      </c>
      <c r="X236" s="299" t="str">
        <f>IFERROR(IF(E236="","",VLOOKUP(W236,'G-3 Multipliers'!$P$2:$Q$6,2,FALSE)),"")</f>
        <v/>
      </c>
      <c r="Y236" s="393"/>
      <c r="Z236" s="510" t="str">
        <f>IF(Y236="","",IF(VLOOKUP(Y236,'G-3 Multipliers'!$S$3:$T$10,2,FALSE)=0,"Spatial Data Missing ⚠",VLOOKUP(Y236,'G-3 Multipliers'!$S$3:$T$10,2,FALSE)))</f>
        <v/>
      </c>
      <c r="AA236" s="926" t="str">
        <f t="shared" si="22"/>
        <v/>
      </c>
      <c r="AB236" s="928" t="str">
        <f t="shared" si="27"/>
        <v/>
      </c>
      <c r="AC236" s="105"/>
      <c r="AD236" s="138"/>
      <c r="AE236" s="233"/>
      <c r="AF236" s="138"/>
      <c r="AG236" s="934"/>
      <c r="AJ236" s="40" t="str">
        <f t="shared" si="23"/>
        <v/>
      </c>
    </row>
    <row r="237" spans="1:36" ht="14">
      <c r="A237" s="30" t="str">
        <f>IFERROR(INDEX('G-8 Condition Look up'!$I$4:$I$135,MATCH(F237,'G-8 Condition Look up'!$A$4:$A$135,0)),"")</f>
        <v/>
      </c>
      <c r="B237" s="225">
        <v>227</v>
      </c>
      <c r="C237" s="66" t="str">
        <f>IFERROR(INDEX('G-1 All Habitats'!$AG$25:$AG$41,MATCH(D237,'G-1 All Habitats'!AF$25:AF$41,0)),"")</f>
        <v/>
      </c>
      <c r="D237" s="105"/>
      <c r="E237" s="138"/>
      <c r="F237" s="158" t="str">
        <f>IFERROR(INDEX('G-1 All Habitats'!$B$3:$B$136,MATCH(E237,'G-1 All Habitats'!$A$3:$A$136,0)),"")</f>
        <v/>
      </c>
      <c r="G237" s="233"/>
      <c r="H237" s="311" t="str">
        <f>IF(F237="","",VLOOKUP(F237,'G-1 All Habitats'!$B$2:$M$135,10,FALSE))</f>
        <v/>
      </c>
      <c r="I237" s="299" t="str">
        <f>IFERROR(VLOOKUP(H237,'G-1 All Habitats'!$V$3:$W$7,2,FALSE),"")</f>
        <v/>
      </c>
      <c r="J237" s="136"/>
      <c r="K237" s="299" t="str">
        <f>IFERROR(INDEX('G-8 Condition Look up'!$A$3:$H$135,MATCH(F237,'G-8 Condition Look up'!$A$3:$A$135,0),MATCH(J237,'G-8 Condition Look up'!$A$3:$H$3,0)),"")</f>
        <v/>
      </c>
      <c r="L237" s="101"/>
      <c r="M237" s="314" t="str">
        <f>IF(L237="","",IF(VLOOKUP(L237,'G-3 Multipliers'!$L$3:$N$6,2,FALSE)=0,"Spatial Data Missing ⚠",VLOOKUP(L237,'G-3 Multipliers'!$L$3:$N$6,2,FALSE)))</f>
        <v/>
      </c>
      <c r="N237" s="276" t="str">
        <f>IF(L237="","",IF(VLOOKUP(L237,'G-3 Multipliers'!$L$3:$N$6,3,FALSE)=0,"Spatial Data Missing ⚠",VLOOKUP(L237,'G-3 Multipliers'!$L$3:$N$6,3,FALSE)))</f>
        <v/>
      </c>
      <c r="O237" s="275" t="str">
        <f t="shared" si="21"/>
        <v/>
      </c>
      <c r="P237" s="133"/>
      <c r="Q237" s="133"/>
      <c r="R237" s="295" t="str">
        <f t="shared" si="24"/>
        <v/>
      </c>
      <c r="S237" s="316" t="str">
        <f t="shared" si="25"/>
        <v/>
      </c>
      <c r="T237" s="300" t="str">
        <f>IFERROR(IF(S237="Check Data ⚠","Check Data ⚠",VLOOKUP(S237,'G-4 Temporal multipliers'!$A$4:$C$37,3,FALSE)),"")</f>
        <v/>
      </c>
      <c r="U237" s="298" t="str">
        <f>IF(F237="","",VLOOKUP(F237,'G-3 Multipliers'!$A$2:$E$134,2,FALSE))</f>
        <v/>
      </c>
      <c r="V237" s="295" t="str">
        <f t="shared" si="26"/>
        <v/>
      </c>
      <c r="W237" s="295" t="str">
        <f>IF(E237="","",IF(AND(V237="Standard difficulty applied",O237&gt;P237),U237,IF(AND(V237="Low Difficulty - only applicable if all habitat created before losses ⚠",P237&gt;=O237),"Low",VLOOKUP(F237,'G-3 Multipliers'!$A$2:$E$134,4,FALSE))))</f>
        <v/>
      </c>
      <c r="X237" s="299" t="str">
        <f>IFERROR(IF(E237="","",VLOOKUP(W237,'G-3 Multipliers'!$P$2:$Q$6,2,FALSE)),"")</f>
        <v/>
      </c>
      <c r="Y237" s="393"/>
      <c r="Z237" s="510" t="str">
        <f>IF(Y237="","",IF(VLOOKUP(Y237,'G-3 Multipliers'!$S$3:$T$10,2,FALSE)=0,"Spatial Data Missing ⚠",VLOOKUP(Y237,'G-3 Multipliers'!$S$3:$T$10,2,FALSE)))</f>
        <v/>
      </c>
      <c r="AA237" s="926" t="str">
        <f t="shared" si="22"/>
        <v/>
      </c>
      <c r="AB237" s="928" t="str">
        <f t="shared" si="27"/>
        <v/>
      </c>
      <c r="AC237" s="105"/>
      <c r="AD237" s="138"/>
      <c r="AE237" s="233"/>
      <c r="AF237" s="138"/>
      <c r="AG237" s="934"/>
      <c r="AJ237" s="40" t="str">
        <f t="shared" si="23"/>
        <v/>
      </c>
    </row>
    <row r="238" spans="1:36" ht="14">
      <c r="A238" s="30" t="str">
        <f>IFERROR(INDEX('G-8 Condition Look up'!$I$4:$I$135,MATCH(F238,'G-8 Condition Look up'!$A$4:$A$135,0)),"")</f>
        <v/>
      </c>
      <c r="B238" s="225">
        <v>228</v>
      </c>
      <c r="C238" s="66" t="str">
        <f>IFERROR(INDEX('G-1 All Habitats'!$AG$25:$AG$41,MATCH(D238,'G-1 All Habitats'!AF$25:AF$41,0)),"")</f>
        <v/>
      </c>
      <c r="D238" s="105"/>
      <c r="E238" s="138"/>
      <c r="F238" s="158" t="str">
        <f>IFERROR(INDEX('G-1 All Habitats'!$B$3:$B$136,MATCH(E238,'G-1 All Habitats'!$A$3:$A$136,0)),"")</f>
        <v/>
      </c>
      <c r="G238" s="233"/>
      <c r="H238" s="311" t="str">
        <f>IF(F238="","",VLOOKUP(F238,'G-1 All Habitats'!$B$2:$M$135,10,FALSE))</f>
        <v/>
      </c>
      <c r="I238" s="299" t="str">
        <f>IFERROR(VLOOKUP(H238,'G-1 All Habitats'!$V$3:$W$7,2,FALSE),"")</f>
        <v/>
      </c>
      <c r="J238" s="136"/>
      <c r="K238" s="299" t="str">
        <f>IFERROR(INDEX('G-8 Condition Look up'!$A$3:$H$135,MATCH(F238,'G-8 Condition Look up'!$A$3:$A$135,0),MATCH(J238,'G-8 Condition Look up'!$A$3:$H$3,0)),"")</f>
        <v/>
      </c>
      <c r="L238" s="101"/>
      <c r="M238" s="314" t="str">
        <f>IF(L238="","",IF(VLOOKUP(L238,'G-3 Multipliers'!$L$3:$N$6,2,FALSE)=0,"Spatial Data Missing ⚠",VLOOKUP(L238,'G-3 Multipliers'!$L$3:$N$6,2,FALSE)))</f>
        <v/>
      </c>
      <c r="N238" s="276" t="str">
        <f>IF(L238="","",IF(VLOOKUP(L238,'G-3 Multipliers'!$L$3:$N$6,3,FALSE)=0,"Spatial Data Missing ⚠",VLOOKUP(L238,'G-3 Multipliers'!$L$3:$N$6,3,FALSE)))</f>
        <v/>
      </c>
      <c r="O238" s="275" t="str">
        <f t="shared" si="21"/>
        <v/>
      </c>
      <c r="P238" s="133"/>
      <c r="Q238" s="133"/>
      <c r="R238" s="295" t="str">
        <f t="shared" si="24"/>
        <v/>
      </c>
      <c r="S238" s="316" t="str">
        <f t="shared" si="25"/>
        <v/>
      </c>
      <c r="T238" s="300" t="str">
        <f>IFERROR(IF(S238="Check Data ⚠","Check Data ⚠",VLOOKUP(S238,'G-4 Temporal multipliers'!$A$4:$C$37,3,FALSE)),"")</f>
        <v/>
      </c>
      <c r="U238" s="298" t="str">
        <f>IF(F238="","",VLOOKUP(F238,'G-3 Multipliers'!$A$2:$E$134,2,FALSE))</f>
        <v/>
      </c>
      <c r="V238" s="295" t="str">
        <f t="shared" si="26"/>
        <v/>
      </c>
      <c r="W238" s="295" t="str">
        <f>IF(E238="","",IF(AND(V238="Standard difficulty applied",O238&gt;P238),U238,IF(AND(V238="Low Difficulty - only applicable if all habitat created before losses ⚠",P238&gt;=O238),"Low",VLOOKUP(F238,'G-3 Multipliers'!$A$2:$E$134,4,FALSE))))</f>
        <v/>
      </c>
      <c r="X238" s="299" t="str">
        <f>IFERROR(IF(E238="","",VLOOKUP(W238,'G-3 Multipliers'!$P$2:$Q$6,2,FALSE)),"")</f>
        <v/>
      </c>
      <c r="Y238" s="393"/>
      <c r="Z238" s="510" t="str">
        <f>IF(Y238="","",IF(VLOOKUP(Y238,'G-3 Multipliers'!$S$3:$T$10,2,FALSE)=0,"Spatial Data Missing ⚠",VLOOKUP(Y238,'G-3 Multipliers'!$S$3:$T$10,2,FALSE)))</f>
        <v/>
      </c>
      <c r="AA238" s="926" t="str">
        <f t="shared" si="22"/>
        <v/>
      </c>
      <c r="AB238" s="928" t="str">
        <f t="shared" si="27"/>
        <v/>
      </c>
      <c r="AC238" s="105"/>
      <c r="AD238" s="138"/>
      <c r="AE238" s="233"/>
      <c r="AF238" s="138"/>
      <c r="AG238" s="934"/>
      <c r="AJ238" s="40" t="str">
        <f t="shared" si="23"/>
        <v/>
      </c>
    </row>
    <row r="239" spans="1:36" ht="14">
      <c r="A239" s="30" t="str">
        <f>IFERROR(INDEX('G-8 Condition Look up'!$I$4:$I$135,MATCH(F239,'G-8 Condition Look up'!$A$4:$A$135,0)),"")</f>
        <v/>
      </c>
      <c r="B239" s="225">
        <v>229</v>
      </c>
      <c r="C239" s="66" t="str">
        <f>IFERROR(INDEX('G-1 All Habitats'!$AG$25:$AG$41,MATCH(D239,'G-1 All Habitats'!AF$25:AF$41,0)),"")</f>
        <v/>
      </c>
      <c r="D239" s="105"/>
      <c r="E239" s="138"/>
      <c r="F239" s="158" t="str">
        <f>IFERROR(INDEX('G-1 All Habitats'!$B$3:$B$136,MATCH(E239,'G-1 All Habitats'!$A$3:$A$136,0)),"")</f>
        <v/>
      </c>
      <c r="G239" s="233"/>
      <c r="H239" s="311" t="str">
        <f>IF(F239="","",VLOOKUP(F239,'G-1 All Habitats'!$B$2:$M$135,10,FALSE))</f>
        <v/>
      </c>
      <c r="I239" s="299" t="str">
        <f>IFERROR(VLOOKUP(H239,'G-1 All Habitats'!$V$3:$W$7,2,FALSE),"")</f>
        <v/>
      </c>
      <c r="J239" s="136"/>
      <c r="K239" s="299" t="str">
        <f>IFERROR(INDEX('G-8 Condition Look up'!$A$3:$H$135,MATCH(F239,'G-8 Condition Look up'!$A$3:$A$135,0),MATCH(J239,'G-8 Condition Look up'!$A$3:$H$3,0)),"")</f>
        <v/>
      </c>
      <c r="L239" s="101"/>
      <c r="M239" s="314" t="str">
        <f>IF(L239="","",IF(VLOOKUP(L239,'G-3 Multipliers'!$L$3:$N$6,2,FALSE)=0,"Spatial Data Missing ⚠",VLOOKUP(L239,'G-3 Multipliers'!$L$3:$N$6,2,FALSE)))</f>
        <v/>
      </c>
      <c r="N239" s="276" t="str">
        <f>IF(L239="","",IF(VLOOKUP(L239,'G-3 Multipliers'!$L$3:$N$6,3,FALSE)=0,"Spatial Data Missing ⚠",VLOOKUP(L239,'G-3 Multipliers'!$L$3:$N$6,3,FALSE)))</f>
        <v/>
      </c>
      <c r="O239" s="275" t="str">
        <f t="shared" si="21"/>
        <v/>
      </c>
      <c r="P239" s="133"/>
      <c r="Q239" s="133"/>
      <c r="R239" s="295" t="str">
        <f t="shared" si="24"/>
        <v/>
      </c>
      <c r="S239" s="316" t="str">
        <f t="shared" si="25"/>
        <v/>
      </c>
      <c r="T239" s="300" t="str">
        <f>IFERROR(IF(S239="Check Data ⚠","Check Data ⚠",VLOOKUP(S239,'G-4 Temporal multipliers'!$A$4:$C$37,3,FALSE)),"")</f>
        <v/>
      </c>
      <c r="U239" s="298" t="str">
        <f>IF(F239="","",VLOOKUP(F239,'G-3 Multipliers'!$A$2:$E$134,2,FALSE))</f>
        <v/>
      </c>
      <c r="V239" s="295" t="str">
        <f t="shared" si="26"/>
        <v/>
      </c>
      <c r="W239" s="295" t="str">
        <f>IF(E239="","",IF(AND(V239="Standard difficulty applied",O239&gt;P239),U239,IF(AND(V239="Low Difficulty - only applicable if all habitat created before losses ⚠",P239&gt;=O239),"Low",VLOOKUP(F239,'G-3 Multipliers'!$A$2:$E$134,4,FALSE))))</f>
        <v/>
      </c>
      <c r="X239" s="299" t="str">
        <f>IFERROR(IF(E239="","",VLOOKUP(W239,'G-3 Multipliers'!$P$2:$Q$6,2,FALSE)),"")</f>
        <v/>
      </c>
      <c r="Y239" s="393"/>
      <c r="Z239" s="510" t="str">
        <f>IF(Y239="","",IF(VLOOKUP(Y239,'G-3 Multipliers'!$S$3:$T$10,2,FALSE)=0,"Spatial Data Missing ⚠",VLOOKUP(Y239,'G-3 Multipliers'!$S$3:$T$10,2,FALSE)))</f>
        <v/>
      </c>
      <c r="AA239" s="926" t="str">
        <f t="shared" si="22"/>
        <v/>
      </c>
      <c r="AB239" s="928" t="str">
        <f t="shared" si="27"/>
        <v/>
      </c>
      <c r="AC239" s="105"/>
      <c r="AD239" s="138"/>
      <c r="AE239" s="233"/>
      <c r="AF239" s="138"/>
      <c r="AG239" s="934"/>
      <c r="AJ239" s="40" t="str">
        <f t="shared" si="23"/>
        <v/>
      </c>
    </row>
    <row r="240" spans="1:36" ht="14">
      <c r="A240" s="30" t="str">
        <f>IFERROR(INDEX('G-8 Condition Look up'!$I$4:$I$135,MATCH(F240,'G-8 Condition Look up'!$A$4:$A$135,0)),"")</f>
        <v/>
      </c>
      <c r="B240" s="225">
        <v>230</v>
      </c>
      <c r="C240" s="66" t="str">
        <f>IFERROR(INDEX('G-1 All Habitats'!$AG$25:$AG$41,MATCH(D240,'G-1 All Habitats'!AF$25:AF$41,0)),"")</f>
        <v/>
      </c>
      <c r="D240" s="105"/>
      <c r="E240" s="138"/>
      <c r="F240" s="158" t="str">
        <f>IFERROR(INDEX('G-1 All Habitats'!$B$3:$B$136,MATCH(E240,'G-1 All Habitats'!$A$3:$A$136,0)),"")</f>
        <v/>
      </c>
      <c r="G240" s="233"/>
      <c r="H240" s="311" t="str">
        <f>IF(F240="","",VLOOKUP(F240,'G-1 All Habitats'!$B$2:$M$135,10,FALSE))</f>
        <v/>
      </c>
      <c r="I240" s="299" t="str">
        <f>IFERROR(VLOOKUP(H240,'G-1 All Habitats'!$V$3:$W$7,2,FALSE),"")</f>
        <v/>
      </c>
      <c r="J240" s="136"/>
      <c r="K240" s="299" t="str">
        <f>IFERROR(INDEX('G-8 Condition Look up'!$A$3:$H$135,MATCH(F240,'G-8 Condition Look up'!$A$3:$A$135,0),MATCH(J240,'G-8 Condition Look up'!$A$3:$H$3,0)),"")</f>
        <v/>
      </c>
      <c r="L240" s="101"/>
      <c r="M240" s="314" t="str">
        <f>IF(L240="","",IF(VLOOKUP(L240,'G-3 Multipliers'!$L$3:$N$6,2,FALSE)=0,"Spatial Data Missing ⚠",VLOOKUP(L240,'G-3 Multipliers'!$L$3:$N$6,2,FALSE)))</f>
        <v/>
      </c>
      <c r="N240" s="276" t="str">
        <f>IF(L240="","",IF(VLOOKUP(L240,'G-3 Multipliers'!$L$3:$N$6,3,FALSE)=0,"Spatial Data Missing ⚠",VLOOKUP(L240,'G-3 Multipliers'!$L$3:$N$6,3,FALSE)))</f>
        <v/>
      </c>
      <c r="O240" s="275" t="str">
        <f t="shared" si="21"/>
        <v/>
      </c>
      <c r="P240" s="133"/>
      <c r="Q240" s="133"/>
      <c r="R240" s="295" t="str">
        <f t="shared" si="24"/>
        <v/>
      </c>
      <c r="S240" s="316" t="str">
        <f t="shared" si="25"/>
        <v/>
      </c>
      <c r="T240" s="300" t="str">
        <f>IFERROR(IF(S240="Check Data ⚠","Check Data ⚠",VLOOKUP(S240,'G-4 Temporal multipliers'!$A$4:$C$37,3,FALSE)),"")</f>
        <v/>
      </c>
      <c r="U240" s="298" t="str">
        <f>IF(F240="","",VLOOKUP(F240,'G-3 Multipliers'!$A$2:$E$134,2,FALSE))</f>
        <v/>
      </c>
      <c r="V240" s="295" t="str">
        <f t="shared" si="26"/>
        <v/>
      </c>
      <c r="W240" s="295" t="str">
        <f>IF(E240="","",IF(AND(V240="Standard difficulty applied",O240&gt;P240),U240,IF(AND(V240="Low Difficulty - only applicable if all habitat created before losses ⚠",P240&gt;=O240),"Low",VLOOKUP(F240,'G-3 Multipliers'!$A$2:$E$134,4,FALSE))))</f>
        <v/>
      </c>
      <c r="X240" s="299" t="str">
        <f>IFERROR(IF(E240="","",VLOOKUP(W240,'G-3 Multipliers'!$P$2:$Q$6,2,FALSE)),"")</f>
        <v/>
      </c>
      <c r="Y240" s="393"/>
      <c r="Z240" s="510" t="str">
        <f>IF(Y240="","",IF(VLOOKUP(Y240,'G-3 Multipliers'!$S$3:$T$10,2,FALSE)=0,"Spatial Data Missing ⚠",VLOOKUP(Y240,'G-3 Multipliers'!$S$3:$T$10,2,FALSE)))</f>
        <v/>
      </c>
      <c r="AA240" s="926" t="str">
        <f t="shared" si="22"/>
        <v/>
      </c>
      <c r="AB240" s="928" t="str">
        <f t="shared" si="27"/>
        <v/>
      </c>
      <c r="AC240" s="105"/>
      <c r="AD240" s="138"/>
      <c r="AE240" s="233"/>
      <c r="AF240" s="138"/>
      <c r="AG240" s="934"/>
      <c r="AJ240" s="40" t="str">
        <f t="shared" si="23"/>
        <v/>
      </c>
    </row>
    <row r="241" spans="1:36" ht="14">
      <c r="A241" s="30" t="str">
        <f>IFERROR(INDEX('G-8 Condition Look up'!$I$4:$I$135,MATCH(F241,'G-8 Condition Look up'!$A$4:$A$135,0)),"")</f>
        <v/>
      </c>
      <c r="B241" s="225">
        <v>231</v>
      </c>
      <c r="C241" s="66" t="str">
        <f>IFERROR(INDEX('G-1 All Habitats'!$AG$25:$AG$41,MATCH(D241,'G-1 All Habitats'!AF$25:AF$41,0)),"")</f>
        <v/>
      </c>
      <c r="D241" s="105"/>
      <c r="E241" s="138"/>
      <c r="F241" s="158" t="str">
        <f>IFERROR(INDEX('G-1 All Habitats'!$B$3:$B$136,MATCH(E241,'G-1 All Habitats'!$A$3:$A$136,0)),"")</f>
        <v/>
      </c>
      <c r="G241" s="233"/>
      <c r="H241" s="311" t="str">
        <f>IF(F241="","",VLOOKUP(F241,'G-1 All Habitats'!$B$2:$M$135,10,FALSE))</f>
        <v/>
      </c>
      <c r="I241" s="299" t="str">
        <f>IFERROR(VLOOKUP(H241,'G-1 All Habitats'!$V$3:$W$7,2,FALSE),"")</f>
        <v/>
      </c>
      <c r="J241" s="136"/>
      <c r="K241" s="299" t="str">
        <f>IFERROR(INDEX('G-8 Condition Look up'!$A$3:$H$135,MATCH(F241,'G-8 Condition Look up'!$A$3:$A$135,0),MATCH(J241,'G-8 Condition Look up'!$A$3:$H$3,0)),"")</f>
        <v/>
      </c>
      <c r="L241" s="101"/>
      <c r="M241" s="314" t="str">
        <f>IF(L241="","",IF(VLOOKUP(L241,'G-3 Multipliers'!$L$3:$N$6,2,FALSE)=0,"Spatial Data Missing ⚠",VLOOKUP(L241,'G-3 Multipliers'!$L$3:$N$6,2,FALSE)))</f>
        <v/>
      </c>
      <c r="N241" s="276" t="str">
        <f>IF(L241="","",IF(VLOOKUP(L241,'G-3 Multipliers'!$L$3:$N$6,3,FALSE)=0,"Spatial Data Missing ⚠",VLOOKUP(L241,'G-3 Multipliers'!$L$3:$N$6,3,FALSE)))</f>
        <v/>
      </c>
      <c r="O241" s="275" t="str">
        <f t="shared" si="21"/>
        <v/>
      </c>
      <c r="P241" s="133"/>
      <c r="Q241" s="133"/>
      <c r="R241" s="295" t="str">
        <f t="shared" si="24"/>
        <v/>
      </c>
      <c r="S241" s="316" t="str">
        <f t="shared" si="25"/>
        <v/>
      </c>
      <c r="T241" s="300" t="str">
        <f>IFERROR(IF(S241="Check Data ⚠","Check Data ⚠",VLOOKUP(S241,'G-4 Temporal multipliers'!$A$4:$C$37,3,FALSE)),"")</f>
        <v/>
      </c>
      <c r="U241" s="298" t="str">
        <f>IF(F241="","",VLOOKUP(F241,'G-3 Multipliers'!$A$2:$E$134,2,FALSE))</f>
        <v/>
      </c>
      <c r="V241" s="295" t="str">
        <f t="shared" si="26"/>
        <v/>
      </c>
      <c r="W241" s="295" t="str">
        <f>IF(E241="","",IF(AND(V241="Standard difficulty applied",O241&gt;P241),U241,IF(AND(V241="Low Difficulty - only applicable if all habitat created before losses ⚠",P241&gt;=O241),"Low",VLOOKUP(F241,'G-3 Multipliers'!$A$2:$E$134,4,FALSE))))</f>
        <v/>
      </c>
      <c r="X241" s="299" t="str">
        <f>IFERROR(IF(E241="","",VLOOKUP(W241,'G-3 Multipliers'!$P$2:$Q$6,2,FALSE)),"")</f>
        <v/>
      </c>
      <c r="Y241" s="393"/>
      <c r="Z241" s="510" t="str">
        <f>IF(Y241="","",IF(VLOOKUP(Y241,'G-3 Multipliers'!$S$3:$T$10,2,FALSE)=0,"Spatial Data Missing ⚠",VLOOKUP(Y241,'G-3 Multipliers'!$S$3:$T$10,2,FALSE)))</f>
        <v/>
      </c>
      <c r="AA241" s="926" t="str">
        <f t="shared" si="22"/>
        <v/>
      </c>
      <c r="AB241" s="928" t="str">
        <f t="shared" si="27"/>
        <v/>
      </c>
      <c r="AC241" s="105"/>
      <c r="AD241" s="138"/>
      <c r="AE241" s="233"/>
      <c r="AF241" s="138"/>
      <c r="AG241" s="934"/>
      <c r="AJ241" s="40" t="str">
        <f t="shared" si="23"/>
        <v/>
      </c>
    </row>
    <row r="242" spans="1:36" ht="14">
      <c r="A242" s="30" t="str">
        <f>IFERROR(INDEX('G-8 Condition Look up'!$I$4:$I$135,MATCH(F242,'G-8 Condition Look up'!$A$4:$A$135,0)),"")</f>
        <v/>
      </c>
      <c r="B242" s="225">
        <v>232</v>
      </c>
      <c r="C242" s="66" t="str">
        <f>IFERROR(INDEX('G-1 All Habitats'!$AG$25:$AG$41,MATCH(D242,'G-1 All Habitats'!AF$25:AF$41,0)),"")</f>
        <v/>
      </c>
      <c r="D242" s="105"/>
      <c r="E242" s="138"/>
      <c r="F242" s="158" t="str">
        <f>IFERROR(INDEX('G-1 All Habitats'!$B$3:$B$136,MATCH(E242,'G-1 All Habitats'!$A$3:$A$136,0)),"")</f>
        <v/>
      </c>
      <c r="G242" s="233"/>
      <c r="H242" s="311" t="str">
        <f>IF(F242="","",VLOOKUP(F242,'G-1 All Habitats'!$B$2:$M$135,10,FALSE))</f>
        <v/>
      </c>
      <c r="I242" s="299" t="str">
        <f>IFERROR(VLOOKUP(H242,'G-1 All Habitats'!$V$3:$W$7,2,FALSE),"")</f>
        <v/>
      </c>
      <c r="J242" s="136"/>
      <c r="K242" s="299" t="str">
        <f>IFERROR(INDEX('G-8 Condition Look up'!$A$3:$H$135,MATCH(F242,'G-8 Condition Look up'!$A$3:$A$135,0),MATCH(J242,'G-8 Condition Look up'!$A$3:$H$3,0)),"")</f>
        <v/>
      </c>
      <c r="L242" s="101"/>
      <c r="M242" s="314" t="str">
        <f>IF(L242="","",IF(VLOOKUP(L242,'G-3 Multipliers'!$L$3:$N$6,2,FALSE)=0,"Spatial Data Missing ⚠",VLOOKUP(L242,'G-3 Multipliers'!$L$3:$N$6,2,FALSE)))</f>
        <v/>
      </c>
      <c r="N242" s="276" t="str">
        <f>IF(L242="","",IF(VLOOKUP(L242,'G-3 Multipliers'!$L$3:$N$6,3,FALSE)=0,"Spatial Data Missing ⚠",VLOOKUP(L242,'G-3 Multipliers'!$L$3:$N$6,3,FALSE)))</f>
        <v/>
      </c>
      <c r="O242" s="275" t="str">
        <f t="shared" si="21"/>
        <v/>
      </c>
      <c r="P242" s="133"/>
      <c r="Q242" s="133"/>
      <c r="R242" s="295" t="str">
        <f t="shared" si="24"/>
        <v/>
      </c>
      <c r="S242" s="316" t="str">
        <f t="shared" si="25"/>
        <v/>
      </c>
      <c r="T242" s="300" t="str">
        <f>IFERROR(IF(S242="Check Data ⚠","Check Data ⚠",VLOOKUP(S242,'G-4 Temporal multipliers'!$A$4:$C$37,3,FALSE)),"")</f>
        <v/>
      </c>
      <c r="U242" s="298" t="str">
        <f>IF(F242="","",VLOOKUP(F242,'G-3 Multipliers'!$A$2:$E$134,2,FALSE))</f>
        <v/>
      </c>
      <c r="V242" s="295" t="str">
        <f t="shared" si="26"/>
        <v/>
      </c>
      <c r="W242" s="295" t="str">
        <f>IF(E242="","",IF(AND(V242="Standard difficulty applied",O242&gt;P242),U242,IF(AND(V242="Low Difficulty - only applicable if all habitat created before losses ⚠",P242&gt;=O242),"Low",VLOOKUP(F242,'G-3 Multipliers'!$A$2:$E$134,4,FALSE))))</f>
        <v/>
      </c>
      <c r="X242" s="299" t="str">
        <f>IFERROR(IF(E242="","",VLOOKUP(W242,'G-3 Multipliers'!$P$2:$Q$6,2,FALSE)),"")</f>
        <v/>
      </c>
      <c r="Y242" s="393"/>
      <c r="Z242" s="510" t="str">
        <f>IF(Y242="","",IF(VLOOKUP(Y242,'G-3 Multipliers'!$S$3:$T$10,2,FALSE)=0,"Spatial Data Missing ⚠",VLOOKUP(Y242,'G-3 Multipliers'!$S$3:$T$10,2,FALSE)))</f>
        <v/>
      </c>
      <c r="AA242" s="926" t="str">
        <f t="shared" si="22"/>
        <v/>
      </c>
      <c r="AB242" s="928" t="str">
        <f t="shared" si="27"/>
        <v/>
      </c>
      <c r="AC242" s="105"/>
      <c r="AD242" s="138"/>
      <c r="AE242" s="233"/>
      <c r="AF242" s="138"/>
      <c r="AG242" s="934"/>
      <c r="AJ242" s="40" t="str">
        <f t="shared" si="23"/>
        <v/>
      </c>
    </row>
    <row r="243" spans="1:36" ht="14">
      <c r="A243" s="30" t="str">
        <f>IFERROR(INDEX('G-8 Condition Look up'!$I$4:$I$135,MATCH(F243,'G-8 Condition Look up'!$A$4:$A$135,0)),"")</f>
        <v/>
      </c>
      <c r="B243" s="225">
        <v>233</v>
      </c>
      <c r="C243" s="66" t="str">
        <f>IFERROR(INDEX('G-1 All Habitats'!$AG$25:$AG$41,MATCH(D243,'G-1 All Habitats'!AF$25:AF$41,0)),"")</f>
        <v/>
      </c>
      <c r="D243" s="105"/>
      <c r="E243" s="138"/>
      <c r="F243" s="158" t="str">
        <f>IFERROR(INDEX('G-1 All Habitats'!$B$3:$B$136,MATCH(E243,'G-1 All Habitats'!$A$3:$A$136,0)),"")</f>
        <v/>
      </c>
      <c r="G243" s="233"/>
      <c r="H243" s="311" t="str">
        <f>IF(F243="","",VLOOKUP(F243,'G-1 All Habitats'!$B$2:$M$135,10,FALSE))</f>
        <v/>
      </c>
      <c r="I243" s="299" t="str">
        <f>IFERROR(VLOOKUP(H243,'G-1 All Habitats'!$V$3:$W$7,2,FALSE),"")</f>
        <v/>
      </c>
      <c r="J243" s="136"/>
      <c r="K243" s="299" t="str">
        <f>IFERROR(INDEX('G-8 Condition Look up'!$A$3:$H$135,MATCH(F243,'G-8 Condition Look up'!$A$3:$A$135,0),MATCH(J243,'G-8 Condition Look up'!$A$3:$H$3,0)),"")</f>
        <v/>
      </c>
      <c r="L243" s="101"/>
      <c r="M243" s="314" t="str">
        <f>IF(L243="","",IF(VLOOKUP(L243,'G-3 Multipliers'!$L$3:$N$6,2,FALSE)=0,"Spatial Data Missing ⚠",VLOOKUP(L243,'G-3 Multipliers'!$L$3:$N$6,2,FALSE)))</f>
        <v/>
      </c>
      <c r="N243" s="276" t="str">
        <f>IF(L243="","",IF(VLOOKUP(L243,'G-3 Multipliers'!$L$3:$N$6,3,FALSE)=0,"Spatial Data Missing ⚠",VLOOKUP(L243,'G-3 Multipliers'!$L$3:$N$6,3,FALSE)))</f>
        <v/>
      </c>
      <c r="O243" s="275" t="str">
        <f t="shared" si="21"/>
        <v/>
      </c>
      <c r="P243" s="133"/>
      <c r="Q243" s="133"/>
      <c r="R243" s="295" t="str">
        <f t="shared" si="24"/>
        <v/>
      </c>
      <c r="S243" s="316" t="str">
        <f t="shared" si="25"/>
        <v/>
      </c>
      <c r="T243" s="300" t="str">
        <f>IFERROR(IF(S243="Check Data ⚠","Check Data ⚠",VLOOKUP(S243,'G-4 Temporal multipliers'!$A$4:$C$37,3,FALSE)),"")</f>
        <v/>
      </c>
      <c r="U243" s="298" t="str">
        <f>IF(F243="","",VLOOKUP(F243,'G-3 Multipliers'!$A$2:$E$134,2,FALSE))</f>
        <v/>
      </c>
      <c r="V243" s="295" t="str">
        <f t="shared" si="26"/>
        <v/>
      </c>
      <c r="W243" s="295" t="str">
        <f>IF(E243="","",IF(AND(V243="Standard difficulty applied",O243&gt;P243),U243,IF(AND(V243="Low Difficulty - only applicable if all habitat created before losses ⚠",P243&gt;=O243),"Low",VLOOKUP(F243,'G-3 Multipliers'!$A$2:$E$134,4,FALSE))))</f>
        <v/>
      </c>
      <c r="X243" s="299" t="str">
        <f>IFERROR(IF(E243="","",VLOOKUP(W243,'G-3 Multipliers'!$P$2:$Q$6,2,FALSE)),"")</f>
        <v/>
      </c>
      <c r="Y243" s="393"/>
      <c r="Z243" s="510" t="str">
        <f>IF(Y243="","",IF(VLOOKUP(Y243,'G-3 Multipliers'!$S$3:$T$10,2,FALSE)=0,"Spatial Data Missing ⚠",VLOOKUP(Y243,'G-3 Multipliers'!$S$3:$T$10,2,FALSE)))</f>
        <v/>
      </c>
      <c r="AA243" s="926" t="str">
        <f t="shared" si="22"/>
        <v/>
      </c>
      <c r="AB243" s="928" t="str">
        <f t="shared" si="27"/>
        <v/>
      </c>
      <c r="AC243" s="105"/>
      <c r="AD243" s="138"/>
      <c r="AE243" s="233"/>
      <c r="AF243" s="138"/>
      <c r="AG243" s="934"/>
      <c r="AJ243" s="40" t="str">
        <f t="shared" si="23"/>
        <v/>
      </c>
    </row>
    <row r="244" spans="1:36" ht="14">
      <c r="A244" s="30" t="str">
        <f>IFERROR(INDEX('G-8 Condition Look up'!$I$4:$I$135,MATCH(F244,'G-8 Condition Look up'!$A$4:$A$135,0)),"")</f>
        <v/>
      </c>
      <c r="B244" s="225">
        <v>234</v>
      </c>
      <c r="C244" s="66" t="str">
        <f>IFERROR(INDEX('G-1 All Habitats'!$AG$25:$AG$41,MATCH(D244,'G-1 All Habitats'!AF$25:AF$41,0)),"")</f>
        <v/>
      </c>
      <c r="D244" s="105"/>
      <c r="E244" s="138"/>
      <c r="F244" s="158" t="str">
        <f>IFERROR(INDEX('G-1 All Habitats'!$B$3:$B$136,MATCH(E244,'G-1 All Habitats'!$A$3:$A$136,0)),"")</f>
        <v/>
      </c>
      <c r="G244" s="233"/>
      <c r="H244" s="311" t="str">
        <f>IF(F244="","",VLOOKUP(F244,'G-1 All Habitats'!$B$2:$M$135,10,FALSE))</f>
        <v/>
      </c>
      <c r="I244" s="299" t="str">
        <f>IFERROR(VLOOKUP(H244,'G-1 All Habitats'!$V$3:$W$7,2,FALSE),"")</f>
        <v/>
      </c>
      <c r="J244" s="136"/>
      <c r="K244" s="299" t="str">
        <f>IFERROR(INDEX('G-8 Condition Look up'!$A$3:$H$135,MATCH(F244,'G-8 Condition Look up'!$A$3:$A$135,0),MATCH(J244,'G-8 Condition Look up'!$A$3:$H$3,0)),"")</f>
        <v/>
      </c>
      <c r="L244" s="101"/>
      <c r="M244" s="314" t="str">
        <f>IF(L244="","",IF(VLOOKUP(L244,'G-3 Multipliers'!$L$3:$N$6,2,FALSE)=0,"Spatial Data Missing ⚠",VLOOKUP(L244,'G-3 Multipliers'!$L$3:$N$6,2,FALSE)))</f>
        <v/>
      </c>
      <c r="N244" s="276" t="str">
        <f>IF(L244="","",IF(VLOOKUP(L244,'G-3 Multipliers'!$L$3:$N$6,3,FALSE)=0,"Spatial Data Missing ⚠",VLOOKUP(L244,'G-3 Multipliers'!$L$3:$N$6,3,FALSE)))</f>
        <v/>
      </c>
      <c r="O244" s="275" t="str">
        <f t="shared" si="21"/>
        <v/>
      </c>
      <c r="P244" s="133"/>
      <c r="Q244" s="133"/>
      <c r="R244" s="295" t="str">
        <f t="shared" si="24"/>
        <v/>
      </c>
      <c r="S244" s="316" t="str">
        <f t="shared" si="25"/>
        <v/>
      </c>
      <c r="T244" s="300" t="str">
        <f>IFERROR(IF(S244="Check Data ⚠","Check Data ⚠",VLOOKUP(S244,'G-4 Temporal multipliers'!$A$4:$C$37,3,FALSE)),"")</f>
        <v/>
      </c>
      <c r="U244" s="298" t="str">
        <f>IF(F244="","",VLOOKUP(F244,'G-3 Multipliers'!$A$2:$E$134,2,FALSE))</f>
        <v/>
      </c>
      <c r="V244" s="295" t="str">
        <f t="shared" si="26"/>
        <v/>
      </c>
      <c r="W244" s="295" t="str">
        <f>IF(E244="","",IF(AND(V244="Standard difficulty applied",O244&gt;P244),U244,IF(AND(V244="Low Difficulty - only applicable if all habitat created before losses ⚠",P244&gt;=O244),"Low",VLOOKUP(F244,'G-3 Multipliers'!$A$2:$E$134,4,FALSE))))</f>
        <v/>
      </c>
      <c r="X244" s="299" t="str">
        <f>IFERROR(IF(E244="","",VLOOKUP(W244,'G-3 Multipliers'!$P$2:$Q$6,2,FALSE)),"")</f>
        <v/>
      </c>
      <c r="Y244" s="393"/>
      <c r="Z244" s="510" t="str">
        <f>IF(Y244="","",IF(VLOOKUP(Y244,'G-3 Multipliers'!$S$3:$T$10,2,FALSE)=0,"Spatial Data Missing ⚠",VLOOKUP(Y244,'G-3 Multipliers'!$S$3:$T$10,2,FALSE)))</f>
        <v/>
      </c>
      <c r="AA244" s="926" t="str">
        <f t="shared" si="22"/>
        <v/>
      </c>
      <c r="AB244" s="928" t="str">
        <f t="shared" si="27"/>
        <v/>
      </c>
      <c r="AC244" s="105"/>
      <c r="AD244" s="138"/>
      <c r="AE244" s="233"/>
      <c r="AF244" s="138"/>
      <c r="AG244" s="934"/>
      <c r="AJ244" s="40" t="str">
        <f t="shared" si="23"/>
        <v/>
      </c>
    </row>
    <row r="245" spans="1:36" ht="14">
      <c r="A245" s="30" t="str">
        <f>IFERROR(INDEX('G-8 Condition Look up'!$I$4:$I$135,MATCH(F245,'G-8 Condition Look up'!$A$4:$A$135,0)),"")</f>
        <v/>
      </c>
      <c r="B245" s="225">
        <v>235</v>
      </c>
      <c r="C245" s="66" t="str">
        <f>IFERROR(INDEX('G-1 All Habitats'!$AG$25:$AG$41,MATCH(D245,'G-1 All Habitats'!AF$25:AF$41,0)),"")</f>
        <v/>
      </c>
      <c r="D245" s="105"/>
      <c r="E245" s="138"/>
      <c r="F245" s="158" t="str">
        <f>IFERROR(INDEX('G-1 All Habitats'!$B$3:$B$136,MATCH(E245,'G-1 All Habitats'!$A$3:$A$136,0)),"")</f>
        <v/>
      </c>
      <c r="G245" s="233"/>
      <c r="H245" s="311" t="str">
        <f>IF(F245="","",VLOOKUP(F245,'G-1 All Habitats'!$B$2:$M$135,10,FALSE))</f>
        <v/>
      </c>
      <c r="I245" s="299" t="str">
        <f>IFERROR(VLOOKUP(H245,'G-1 All Habitats'!$V$3:$W$7,2,FALSE),"")</f>
        <v/>
      </c>
      <c r="J245" s="136"/>
      <c r="K245" s="299" t="str">
        <f>IFERROR(INDEX('G-8 Condition Look up'!$A$3:$H$135,MATCH(F245,'G-8 Condition Look up'!$A$3:$A$135,0),MATCH(J245,'G-8 Condition Look up'!$A$3:$H$3,0)),"")</f>
        <v/>
      </c>
      <c r="L245" s="101"/>
      <c r="M245" s="314" t="str">
        <f>IF(L245="","",IF(VLOOKUP(L245,'G-3 Multipliers'!$L$3:$N$6,2,FALSE)=0,"Spatial Data Missing ⚠",VLOOKUP(L245,'G-3 Multipliers'!$L$3:$N$6,2,FALSE)))</f>
        <v/>
      </c>
      <c r="N245" s="276" t="str">
        <f>IF(L245="","",IF(VLOOKUP(L245,'G-3 Multipliers'!$L$3:$N$6,3,FALSE)=0,"Spatial Data Missing ⚠",VLOOKUP(L245,'G-3 Multipliers'!$L$3:$N$6,3,FALSE)))</f>
        <v/>
      </c>
      <c r="O245" s="275" t="str">
        <f t="shared" si="21"/>
        <v/>
      </c>
      <c r="P245" s="133"/>
      <c r="Q245" s="133"/>
      <c r="R245" s="295" t="str">
        <f t="shared" si="24"/>
        <v/>
      </c>
      <c r="S245" s="316" t="str">
        <f t="shared" si="25"/>
        <v/>
      </c>
      <c r="T245" s="300" t="str">
        <f>IFERROR(IF(S245="Check Data ⚠","Check Data ⚠",VLOOKUP(S245,'G-4 Temporal multipliers'!$A$4:$C$37,3,FALSE)),"")</f>
        <v/>
      </c>
      <c r="U245" s="298" t="str">
        <f>IF(F245="","",VLOOKUP(F245,'G-3 Multipliers'!$A$2:$E$134,2,FALSE))</f>
        <v/>
      </c>
      <c r="V245" s="295" t="str">
        <f t="shared" si="26"/>
        <v/>
      </c>
      <c r="W245" s="295" t="str">
        <f>IF(E245="","",IF(AND(V245="Standard difficulty applied",O245&gt;P245),U245,IF(AND(V245="Low Difficulty - only applicable if all habitat created before losses ⚠",P245&gt;=O245),"Low",VLOOKUP(F245,'G-3 Multipliers'!$A$2:$E$134,4,FALSE))))</f>
        <v/>
      </c>
      <c r="X245" s="299" t="str">
        <f>IFERROR(IF(E245="","",VLOOKUP(W245,'G-3 Multipliers'!$P$2:$Q$6,2,FALSE)),"")</f>
        <v/>
      </c>
      <c r="Y245" s="393"/>
      <c r="Z245" s="510" t="str">
        <f>IF(Y245="","",IF(VLOOKUP(Y245,'G-3 Multipliers'!$S$3:$T$10,2,FALSE)=0,"Spatial Data Missing ⚠",VLOOKUP(Y245,'G-3 Multipliers'!$S$3:$T$10,2,FALSE)))</f>
        <v/>
      </c>
      <c r="AA245" s="926" t="str">
        <f t="shared" si="22"/>
        <v/>
      </c>
      <c r="AB245" s="928" t="str">
        <f t="shared" si="27"/>
        <v/>
      </c>
      <c r="AC245" s="105"/>
      <c r="AD245" s="138"/>
      <c r="AE245" s="233"/>
      <c r="AF245" s="138"/>
      <c r="AG245" s="934"/>
      <c r="AJ245" s="40" t="str">
        <f t="shared" si="23"/>
        <v/>
      </c>
    </row>
    <row r="246" spans="1:36" ht="14">
      <c r="A246" s="30" t="str">
        <f>IFERROR(INDEX('G-8 Condition Look up'!$I$4:$I$135,MATCH(F246,'G-8 Condition Look up'!$A$4:$A$135,0)),"")</f>
        <v/>
      </c>
      <c r="B246" s="225">
        <v>236</v>
      </c>
      <c r="C246" s="66" t="str">
        <f>IFERROR(INDEX('G-1 All Habitats'!$AG$25:$AG$41,MATCH(D246,'G-1 All Habitats'!AF$25:AF$41,0)),"")</f>
        <v/>
      </c>
      <c r="D246" s="105"/>
      <c r="E246" s="138"/>
      <c r="F246" s="158" t="str">
        <f>IFERROR(INDEX('G-1 All Habitats'!$B$3:$B$136,MATCH(E246,'G-1 All Habitats'!$A$3:$A$136,0)),"")</f>
        <v/>
      </c>
      <c r="G246" s="233"/>
      <c r="H246" s="311" t="str">
        <f>IF(F246="","",VLOOKUP(F246,'G-1 All Habitats'!$B$2:$M$135,10,FALSE))</f>
        <v/>
      </c>
      <c r="I246" s="299" t="str">
        <f>IFERROR(VLOOKUP(H246,'G-1 All Habitats'!$V$3:$W$7,2,FALSE),"")</f>
        <v/>
      </c>
      <c r="J246" s="136"/>
      <c r="K246" s="299" t="str">
        <f>IFERROR(INDEX('G-8 Condition Look up'!$A$3:$H$135,MATCH(F246,'G-8 Condition Look up'!$A$3:$A$135,0),MATCH(J246,'G-8 Condition Look up'!$A$3:$H$3,0)),"")</f>
        <v/>
      </c>
      <c r="L246" s="101"/>
      <c r="M246" s="314" t="str">
        <f>IF(L246="","",IF(VLOOKUP(L246,'G-3 Multipliers'!$L$3:$N$6,2,FALSE)=0,"Spatial Data Missing ⚠",VLOOKUP(L246,'G-3 Multipliers'!$L$3:$N$6,2,FALSE)))</f>
        <v/>
      </c>
      <c r="N246" s="276" t="str">
        <f>IF(L246="","",IF(VLOOKUP(L246,'G-3 Multipliers'!$L$3:$N$6,3,FALSE)=0,"Spatial Data Missing ⚠",VLOOKUP(L246,'G-3 Multipliers'!$L$3:$N$6,3,FALSE)))</f>
        <v/>
      </c>
      <c r="O246" s="275" t="str">
        <f t="shared" si="21"/>
        <v/>
      </c>
      <c r="P246" s="133"/>
      <c r="Q246" s="133"/>
      <c r="R246" s="295" t="str">
        <f t="shared" si="24"/>
        <v/>
      </c>
      <c r="S246" s="316" t="str">
        <f t="shared" si="25"/>
        <v/>
      </c>
      <c r="T246" s="300" t="str">
        <f>IFERROR(IF(S246="Check Data ⚠","Check Data ⚠",VLOOKUP(S246,'G-4 Temporal multipliers'!$A$4:$C$37,3,FALSE)),"")</f>
        <v/>
      </c>
      <c r="U246" s="298" t="str">
        <f>IF(F246="","",VLOOKUP(F246,'G-3 Multipliers'!$A$2:$E$134,2,FALSE))</f>
        <v/>
      </c>
      <c r="V246" s="295" t="str">
        <f t="shared" si="26"/>
        <v/>
      </c>
      <c r="W246" s="295" t="str">
        <f>IF(E246="","",IF(AND(V246="Standard difficulty applied",O246&gt;P246),U246,IF(AND(V246="Low Difficulty - only applicable if all habitat created before losses ⚠",P246&gt;=O246),"Low",VLOOKUP(F246,'G-3 Multipliers'!$A$2:$E$134,4,FALSE))))</f>
        <v/>
      </c>
      <c r="X246" s="299" t="str">
        <f>IFERROR(IF(E246="","",VLOOKUP(W246,'G-3 Multipliers'!$P$2:$Q$6,2,FALSE)),"")</f>
        <v/>
      </c>
      <c r="Y246" s="393"/>
      <c r="Z246" s="510" t="str">
        <f>IF(Y246="","",IF(VLOOKUP(Y246,'G-3 Multipliers'!$S$3:$T$10,2,FALSE)=0,"Spatial Data Missing ⚠",VLOOKUP(Y246,'G-3 Multipliers'!$S$3:$T$10,2,FALSE)))</f>
        <v/>
      </c>
      <c r="AA246" s="926" t="str">
        <f t="shared" si="22"/>
        <v/>
      </c>
      <c r="AB246" s="928" t="str">
        <f t="shared" si="27"/>
        <v/>
      </c>
      <c r="AC246" s="105"/>
      <c r="AD246" s="138"/>
      <c r="AE246" s="233"/>
      <c r="AF246" s="138"/>
      <c r="AG246" s="934"/>
      <c r="AJ246" s="40" t="str">
        <f t="shared" si="23"/>
        <v/>
      </c>
    </row>
    <row r="247" spans="1:36" ht="14">
      <c r="A247" s="30" t="str">
        <f>IFERROR(INDEX('G-8 Condition Look up'!$I$4:$I$135,MATCH(F247,'G-8 Condition Look up'!$A$4:$A$135,0)),"")</f>
        <v/>
      </c>
      <c r="B247" s="225">
        <v>237</v>
      </c>
      <c r="C247" s="66" t="str">
        <f>IFERROR(INDEX('G-1 All Habitats'!$AG$25:$AG$41,MATCH(D247,'G-1 All Habitats'!AF$25:AF$41,0)),"")</f>
        <v/>
      </c>
      <c r="D247" s="105"/>
      <c r="E247" s="138"/>
      <c r="F247" s="158" t="str">
        <f>IFERROR(INDEX('G-1 All Habitats'!$B$3:$B$136,MATCH(E247,'G-1 All Habitats'!$A$3:$A$136,0)),"")</f>
        <v/>
      </c>
      <c r="G247" s="233"/>
      <c r="H247" s="311" t="str">
        <f>IF(F247="","",VLOOKUP(F247,'G-1 All Habitats'!$B$2:$M$135,10,FALSE))</f>
        <v/>
      </c>
      <c r="I247" s="299" t="str">
        <f>IFERROR(VLOOKUP(H247,'G-1 All Habitats'!$V$3:$W$7,2,FALSE),"")</f>
        <v/>
      </c>
      <c r="J247" s="136"/>
      <c r="K247" s="299" t="str">
        <f>IFERROR(INDEX('G-8 Condition Look up'!$A$3:$H$135,MATCH(F247,'G-8 Condition Look up'!$A$3:$A$135,0),MATCH(J247,'G-8 Condition Look up'!$A$3:$H$3,0)),"")</f>
        <v/>
      </c>
      <c r="L247" s="101"/>
      <c r="M247" s="314" t="str">
        <f>IF(L247="","",IF(VLOOKUP(L247,'G-3 Multipliers'!$L$3:$N$6,2,FALSE)=0,"Spatial Data Missing ⚠",VLOOKUP(L247,'G-3 Multipliers'!$L$3:$N$6,2,FALSE)))</f>
        <v/>
      </c>
      <c r="N247" s="276" t="str">
        <f>IF(L247="","",IF(VLOOKUP(L247,'G-3 Multipliers'!$L$3:$N$6,3,FALSE)=0,"Spatial Data Missing ⚠",VLOOKUP(L247,'G-3 Multipliers'!$L$3:$N$6,3,FALSE)))</f>
        <v/>
      </c>
      <c r="O247" s="275" t="str">
        <f t="shared" si="21"/>
        <v/>
      </c>
      <c r="P247" s="133"/>
      <c r="Q247" s="133"/>
      <c r="R247" s="295" t="str">
        <f t="shared" si="24"/>
        <v/>
      </c>
      <c r="S247" s="316" t="str">
        <f t="shared" si="25"/>
        <v/>
      </c>
      <c r="T247" s="300" t="str">
        <f>IFERROR(IF(S247="Check Data ⚠","Check Data ⚠",VLOOKUP(S247,'G-4 Temporal multipliers'!$A$4:$C$37,3,FALSE)),"")</f>
        <v/>
      </c>
      <c r="U247" s="298" t="str">
        <f>IF(F247="","",VLOOKUP(F247,'G-3 Multipliers'!$A$2:$E$134,2,FALSE))</f>
        <v/>
      </c>
      <c r="V247" s="295" t="str">
        <f t="shared" si="26"/>
        <v/>
      </c>
      <c r="W247" s="295" t="str">
        <f>IF(E247="","",IF(AND(V247="Standard difficulty applied",O247&gt;P247),U247,IF(AND(V247="Low Difficulty - only applicable if all habitat created before losses ⚠",P247&gt;=O247),"Low",VLOOKUP(F247,'G-3 Multipliers'!$A$2:$E$134,4,FALSE))))</f>
        <v/>
      </c>
      <c r="X247" s="299" t="str">
        <f>IFERROR(IF(E247="","",VLOOKUP(W247,'G-3 Multipliers'!$P$2:$Q$6,2,FALSE)),"")</f>
        <v/>
      </c>
      <c r="Y247" s="393"/>
      <c r="Z247" s="510" t="str">
        <f>IF(Y247="","",IF(VLOOKUP(Y247,'G-3 Multipliers'!$S$3:$T$10,2,FALSE)=0,"Spatial Data Missing ⚠",VLOOKUP(Y247,'G-3 Multipliers'!$S$3:$T$10,2,FALSE)))</f>
        <v/>
      </c>
      <c r="AA247" s="926" t="str">
        <f t="shared" si="22"/>
        <v/>
      </c>
      <c r="AB247" s="928" t="str">
        <f t="shared" si="27"/>
        <v/>
      </c>
      <c r="AC247" s="105"/>
      <c r="AD247" s="138"/>
      <c r="AE247" s="233"/>
      <c r="AF247" s="138"/>
      <c r="AG247" s="934"/>
      <c r="AJ247" s="40" t="str">
        <f t="shared" si="23"/>
        <v/>
      </c>
    </row>
    <row r="248" spans="1:36" ht="14">
      <c r="A248" s="30" t="str">
        <f>IFERROR(INDEX('G-8 Condition Look up'!$I$4:$I$135,MATCH(F248,'G-8 Condition Look up'!$A$4:$A$135,0)),"")</f>
        <v/>
      </c>
      <c r="B248" s="225">
        <v>238</v>
      </c>
      <c r="C248" s="66" t="str">
        <f>IFERROR(INDEX('G-1 All Habitats'!$AG$25:$AG$41,MATCH(D248,'G-1 All Habitats'!AF$25:AF$41,0)),"")</f>
        <v/>
      </c>
      <c r="D248" s="105"/>
      <c r="E248" s="138"/>
      <c r="F248" s="158" t="str">
        <f>IFERROR(INDEX('G-1 All Habitats'!$B$3:$B$136,MATCH(E248,'G-1 All Habitats'!$A$3:$A$136,0)),"")</f>
        <v/>
      </c>
      <c r="G248" s="233"/>
      <c r="H248" s="311" t="str">
        <f>IF(F248="","",VLOOKUP(F248,'G-1 All Habitats'!$B$2:$M$135,10,FALSE))</f>
        <v/>
      </c>
      <c r="I248" s="299" t="str">
        <f>IFERROR(VLOOKUP(H248,'G-1 All Habitats'!$V$3:$W$7,2,FALSE),"")</f>
        <v/>
      </c>
      <c r="J248" s="136"/>
      <c r="K248" s="299" t="str">
        <f>IFERROR(INDEX('G-8 Condition Look up'!$A$3:$H$135,MATCH(F248,'G-8 Condition Look up'!$A$3:$A$135,0),MATCH(J248,'G-8 Condition Look up'!$A$3:$H$3,0)),"")</f>
        <v/>
      </c>
      <c r="L248" s="101"/>
      <c r="M248" s="314" t="str">
        <f>IF(L248="","",IF(VLOOKUP(L248,'G-3 Multipliers'!$L$3:$N$6,2,FALSE)=0,"Spatial Data Missing ⚠",VLOOKUP(L248,'G-3 Multipliers'!$L$3:$N$6,2,FALSE)))</f>
        <v/>
      </c>
      <c r="N248" s="276" t="str">
        <f>IF(L248="","",IF(VLOOKUP(L248,'G-3 Multipliers'!$L$3:$N$6,3,FALSE)=0,"Spatial Data Missing ⚠",VLOOKUP(L248,'G-3 Multipliers'!$L$3:$N$6,3,FALSE)))</f>
        <v/>
      </c>
      <c r="O248" s="275" t="str">
        <f t="shared" si="21"/>
        <v/>
      </c>
      <c r="P248" s="133"/>
      <c r="Q248" s="133"/>
      <c r="R248" s="295" t="str">
        <f t="shared" si="24"/>
        <v/>
      </c>
      <c r="S248" s="316" t="str">
        <f t="shared" si="25"/>
        <v/>
      </c>
      <c r="T248" s="300" t="str">
        <f>IFERROR(IF(S248="Check Data ⚠","Check Data ⚠",VLOOKUP(S248,'G-4 Temporal multipliers'!$A$4:$C$37,3,FALSE)),"")</f>
        <v/>
      </c>
      <c r="U248" s="298" t="str">
        <f>IF(F248="","",VLOOKUP(F248,'G-3 Multipliers'!$A$2:$E$134,2,FALSE))</f>
        <v/>
      </c>
      <c r="V248" s="295" t="str">
        <f t="shared" si="26"/>
        <v/>
      </c>
      <c r="W248" s="295" t="str">
        <f>IF(E248="","",IF(AND(V248="Standard difficulty applied",O248&gt;P248),U248,IF(AND(V248="Low Difficulty - only applicable if all habitat created before losses ⚠",P248&gt;=O248),"Low",VLOOKUP(F248,'G-3 Multipliers'!$A$2:$E$134,4,FALSE))))</f>
        <v/>
      </c>
      <c r="X248" s="299" t="str">
        <f>IFERROR(IF(E248="","",VLOOKUP(W248,'G-3 Multipliers'!$P$2:$Q$6,2,FALSE)),"")</f>
        <v/>
      </c>
      <c r="Y248" s="393"/>
      <c r="Z248" s="510" t="str">
        <f>IF(Y248="","",IF(VLOOKUP(Y248,'G-3 Multipliers'!$S$3:$T$10,2,FALSE)=0,"Spatial Data Missing ⚠",VLOOKUP(Y248,'G-3 Multipliers'!$S$3:$T$10,2,FALSE)))</f>
        <v/>
      </c>
      <c r="AA248" s="926" t="str">
        <f t="shared" si="22"/>
        <v/>
      </c>
      <c r="AB248" s="928" t="str">
        <f t="shared" si="27"/>
        <v/>
      </c>
      <c r="AC248" s="105"/>
      <c r="AD248" s="138"/>
      <c r="AE248" s="233"/>
      <c r="AF248" s="138"/>
      <c r="AG248" s="934"/>
      <c r="AJ248" s="40" t="str">
        <f t="shared" si="23"/>
        <v/>
      </c>
    </row>
    <row r="249" spans="1:36" ht="14">
      <c r="A249" s="30" t="str">
        <f>IFERROR(INDEX('G-8 Condition Look up'!$I$4:$I$135,MATCH(F249,'G-8 Condition Look up'!$A$4:$A$135,0)),"")</f>
        <v/>
      </c>
      <c r="B249" s="225">
        <v>239</v>
      </c>
      <c r="C249" s="66" t="str">
        <f>IFERROR(INDEX('G-1 All Habitats'!$AG$25:$AG$41,MATCH(D249,'G-1 All Habitats'!AF$25:AF$41,0)),"")</f>
        <v/>
      </c>
      <c r="D249" s="105"/>
      <c r="E249" s="138"/>
      <c r="F249" s="158" t="str">
        <f>IFERROR(INDEX('G-1 All Habitats'!$B$3:$B$136,MATCH(E249,'G-1 All Habitats'!$A$3:$A$136,0)),"")</f>
        <v/>
      </c>
      <c r="G249" s="233"/>
      <c r="H249" s="311" t="str">
        <f>IF(F249="","",VLOOKUP(F249,'G-1 All Habitats'!$B$2:$M$135,10,FALSE))</f>
        <v/>
      </c>
      <c r="I249" s="299" t="str">
        <f>IFERROR(VLOOKUP(H249,'G-1 All Habitats'!$V$3:$W$7,2,FALSE),"")</f>
        <v/>
      </c>
      <c r="J249" s="136"/>
      <c r="K249" s="299" t="str">
        <f>IFERROR(INDEX('G-8 Condition Look up'!$A$3:$H$135,MATCH(F249,'G-8 Condition Look up'!$A$3:$A$135,0),MATCH(J249,'G-8 Condition Look up'!$A$3:$H$3,0)),"")</f>
        <v/>
      </c>
      <c r="L249" s="101"/>
      <c r="M249" s="314" t="str">
        <f>IF(L249="","",IF(VLOOKUP(L249,'G-3 Multipliers'!$L$3:$N$6,2,FALSE)=0,"Spatial Data Missing ⚠",VLOOKUP(L249,'G-3 Multipliers'!$L$3:$N$6,2,FALSE)))</f>
        <v/>
      </c>
      <c r="N249" s="276" t="str">
        <f>IF(L249="","",IF(VLOOKUP(L249,'G-3 Multipliers'!$L$3:$N$6,3,FALSE)=0,"Spatial Data Missing ⚠",VLOOKUP(L249,'G-3 Multipliers'!$L$3:$N$6,3,FALSE)))</f>
        <v/>
      </c>
      <c r="O249" s="275" t="str">
        <f t="shared" si="21"/>
        <v/>
      </c>
      <c r="P249" s="133"/>
      <c r="Q249" s="133"/>
      <c r="R249" s="295" t="str">
        <f t="shared" si="24"/>
        <v/>
      </c>
      <c r="S249" s="316" t="str">
        <f t="shared" si="25"/>
        <v/>
      </c>
      <c r="T249" s="300" t="str">
        <f>IFERROR(IF(S249="Check Data ⚠","Check Data ⚠",VLOOKUP(S249,'G-4 Temporal multipliers'!$A$4:$C$37,3,FALSE)),"")</f>
        <v/>
      </c>
      <c r="U249" s="298" t="str">
        <f>IF(F249="","",VLOOKUP(F249,'G-3 Multipliers'!$A$2:$E$134,2,FALSE))</f>
        <v/>
      </c>
      <c r="V249" s="295" t="str">
        <f t="shared" si="26"/>
        <v/>
      </c>
      <c r="W249" s="295" t="str">
        <f>IF(E249="","",IF(AND(V249="Standard difficulty applied",O249&gt;P249),U249,IF(AND(V249="Low Difficulty - only applicable if all habitat created before losses ⚠",P249&gt;=O249),"Low",VLOOKUP(F249,'G-3 Multipliers'!$A$2:$E$134,4,FALSE))))</f>
        <v/>
      </c>
      <c r="X249" s="299" t="str">
        <f>IFERROR(IF(E249="","",VLOOKUP(W249,'G-3 Multipliers'!$P$2:$Q$6,2,FALSE)),"")</f>
        <v/>
      </c>
      <c r="Y249" s="393"/>
      <c r="Z249" s="510" t="str">
        <f>IF(Y249="","",IF(VLOOKUP(Y249,'G-3 Multipliers'!$S$3:$T$10,2,FALSE)=0,"Spatial Data Missing ⚠",VLOOKUP(Y249,'G-3 Multipliers'!$S$3:$T$10,2,FALSE)))</f>
        <v/>
      </c>
      <c r="AA249" s="926" t="str">
        <f t="shared" si="22"/>
        <v/>
      </c>
      <c r="AB249" s="928" t="str">
        <f t="shared" si="27"/>
        <v/>
      </c>
      <c r="AC249" s="105"/>
      <c r="AD249" s="138"/>
      <c r="AE249" s="233"/>
      <c r="AF249" s="138"/>
      <c r="AG249" s="934"/>
      <c r="AJ249" s="40" t="str">
        <f t="shared" si="23"/>
        <v/>
      </c>
    </row>
    <row r="250" spans="1:36" ht="14">
      <c r="A250" s="30" t="str">
        <f>IFERROR(INDEX('G-8 Condition Look up'!$I$4:$I$135,MATCH(F250,'G-8 Condition Look up'!$A$4:$A$135,0)),"")</f>
        <v/>
      </c>
      <c r="B250" s="225">
        <v>240</v>
      </c>
      <c r="C250" s="66" t="str">
        <f>IFERROR(INDEX('G-1 All Habitats'!$AG$25:$AG$41,MATCH(D250,'G-1 All Habitats'!AF$25:AF$41,0)),"")</f>
        <v/>
      </c>
      <c r="D250" s="105"/>
      <c r="E250" s="138"/>
      <c r="F250" s="158" t="str">
        <f>IFERROR(INDEX('G-1 All Habitats'!$B$3:$B$136,MATCH(E250,'G-1 All Habitats'!$A$3:$A$136,0)),"")</f>
        <v/>
      </c>
      <c r="G250" s="233"/>
      <c r="H250" s="311" t="str">
        <f>IF(F250="","",VLOOKUP(F250,'G-1 All Habitats'!$B$2:$M$135,10,FALSE))</f>
        <v/>
      </c>
      <c r="I250" s="299" t="str">
        <f>IFERROR(VLOOKUP(H250,'G-1 All Habitats'!$V$3:$W$7,2,FALSE),"")</f>
        <v/>
      </c>
      <c r="J250" s="136"/>
      <c r="K250" s="299" t="str">
        <f>IFERROR(INDEX('G-8 Condition Look up'!$A$3:$H$135,MATCH(F250,'G-8 Condition Look up'!$A$3:$A$135,0),MATCH(J250,'G-8 Condition Look up'!$A$3:$H$3,0)),"")</f>
        <v/>
      </c>
      <c r="L250" s="101"/>
      <c r="M250" s="314" t="str">
        <f>IF(L250="","",IF(VLOOKUP(L250,'G-3 Multipliers'!$L$3:$N$6,2,FALSE)=0,"Spatial Data Missing ⚠",VLOOKUP(L250,'G-3 Multipliers'!$L$3:$N$6,2,FALSE)))</f>
        <v/>
      </c>
      <c r="N250" s="276" t="str">
        <f>IF(L250="","",IF(VLOOKUP(L250,'G-3 Multipliers'!$L$3:$N$6,3,FALSE)=0,"Spatial Data Missing ⚠",VLOOKUP(L250,'G-3 Multipliers'!$L$3:$N$6,3,FALSE)))</f>
        <v/>
      </c>
      <c r="O250" s="275" t="str">
        <f t="shared" si="21"/>
        <v/>
      </c>
      <c r="P250" s="133"/>
      <c r="Q250" s="133"/>
      <c r="R250" s="295" t="str">
        <f t="shared" si="24"/>
        <v/>
      </c>
      <c r="S250" s="316" t="str">
        <f t="shared" si="25"/>
        <v/>
      </c>
      <c r="T250" s="300" t="str">
        <f>IFERROR(IF(S250="Check Data ⚠","Check Data ⚠",VLOOKUP(S250,'G-4 Temporal multipliers'!$A$4:$C$37,3,FALSE)),"")</f>
        <v/>
      </c>
      <c r="U250" s="298" t="str">
        <f>IF(F250="","",VLOOKUP(F250,'G-3 Multipliers'!$A$2:$E$134,2,FALSE))</f>
        <v/>
      </c>
      <c r="V250" s="295" t="str">
        <f t="shared" si="26"/>
        <v/>
      </c>
      <c r="W250" s="295" t="str">
        <f>IF(E250="","",IF(AND(V250="Standard difficulty applied",O250&gt;P250),U250,IF(AND(V250="Low Difficulty - only applicable if all habitat created before losses ⚠",P250&gt;=O250),"Low",VLOOKUP(F250,'G-3 Multipliers'!$A$2:$E$134,4,FALSE))))</f>
        <v/>
      </c>
      <c r="X250" s="299" t="str">
        <f>IFERROR(IF(E250="","",VLOOKUP(W250,'G-3 Multipliers'!$P$2:$Q$6,2,FALSE)),"")</f>
        <v/>
      </c>
      <c r="Y250" s="393"/>
      <c r="Z250" s="510" t="str">
        <f>IF(Y250="","",IF(VLOOKUP(Y250,'G-3 Multipliers'!$S$3:$T$10,2,FALSE)=0,"Spatial Data Missing ⚠",VLOOKUP(Y250,'G-3 Multipliers'!$S$3:$T$10,2,FALSE)))</f>
        <v/>
      </c>
      <c r="AA250" s="926" t="str">
        <f t="shared" si="22"/>
        <v/>
      </c>
      <c r="AB250" s="928" t="str">
        <f t="shared" si="27"/>
        <v/>
      </c>
      <c r="AC250" s="105"/>
      <c r="AD250" s="138"/>
      <c r="AE250" s="233"/>
      <c r="AF250" s="138"/>
      <c r="AG250" s="934"/>
      <c r="AJ250" s="40" t="str">
        <f t="shared" si="23"/>
        <v/>
      </c>
    </row>
    <row r="251" spans="1:36" ht="14">
      <c r="A251" s="30" t="str">
        <f>IFERROR(INDEX('G-8 Condition Look up'!$I$4:$I$135,MATCH(F251,'G-8 Condition Look up'!$A$4:$A$135,0)),"")</f>
        <v/>
      </c>
      <c r="B251" s="225">
        <v>241</v>
      </c>
      <c r="C251" s="66" t="str">
        <f>IFERROR(INDEX('G-1 All Habitats'!$AG$25:$AG$41,MATCH(D251,'G-1 All Habitats'!AF$25:AF$41,0)),"")</f>
        <v/>
      </c>
      <c r="D251" s="105"/>
      <c r="E251" s="138"/>
      <c r="F251" s="158" t="str">
        <f>IFERROR(INDEX('G-1 All Habitats'!$B$3:$B$136,MATCH(E251,'G-1 All Habitats'!$A$3:$A$136,0)),"")</f>
        <v/>
      </c>
      <c r="G251" s="233"/>
      <c r="H251" s="311" t="str">
        <f>IF(F251="","",VLOOKUP(F251,'G-1 All Habitats'!$B$2:$M$135,10,FALSE))</f>
        <v/>
      </c>
      <c r="I251" s="299" t="str">
        <f>IFERROR(VLOOKUP(H251,'G-1 All Habitats'!$V$3:$W$7,2,FALSE),"")</f>
        <v/>
      </c>
      <c r="J251" s="136"/>
      <c r="K251" s="299" t="str">
        <f>IFERROR(INDEX('G-8 Condition Look up'!$A$3:$H$135,MATCH(F251,'G-8 Condition Look up'!$A$3:$A$135,0),MATCH(J251,'G-8 Condition Look up'!$A$3:$H$3,0)),"")</f>
        <v/>
      </c>
      <c r="L251" s="101"/>
      <c r="M251" s="314" t="str">
        <f>IF(L251="","",IF(VLOOKUP(L251,'G-3 Multipliers'!$L$3:$N$6,2,FALSE)=0,"Spatial Data Missing ⚠",VLOOKUP(L251,'G-3 Multipliers'!$L$3:$N$6,2,FALSE)))</f>
        <v/>
      </c>
      <c r="N251" s="276" t="str">
        <f>IF(L251="","",IF(VLOOKUP(L251,'G-3 Multipliers'!$L$3:$N$6,3,FALSE)=0,"Spatial Data Missing ⚠",VLOOKUP(L251,'G-3 Multipliers'!$L$3:$N$6,3,FALSE)))</f>
        <v/>
      </c>
      <c r="O251" s="275" t="str">
        <f t="shared" si="21"/>
        <v/>
      </c>
      <c r="P251" s="133"/>
      <c r="Q251" s="133"/>
      <c r="R251" s="295" t="str">
        <f t="shared" si="24"/>
        <v/>
      </c>
      <c r="S251" s="316" t="str">
        <f t="shared" si="25"/>
        <v/>
      </c>
      <c r="T251" s="300" t="str">
        <f>IFERROR(IF(S251="Check Data ⚠","Check Data ⚠",VLOOKUP(S251,'G-4 Temporal multipliers'!$A$4:$C$37,3,FALSE)),"")</f>
        <v/>
      </c>
      <c r="U251" s="298" t="str">
        <f>IF(F251="","",VLOOKUP(F251,'G-3 Multipliers'!$A$2:$E$134,2,FALSE))</f>
        <v/>
      </c>
      <c r="V251" s="295" t="str">
        <f t="shared" si="26"/>
        <v/>
      </c>
      <c r="W251" s="295" t="str">
        <f>IF(E251="","",IF(AND(V251="Standard difficulty applied",O251&gt;P251),U251,IF(AND(V251="Low Difficulty - only applicable if all habitat created before losses ⚠",P251&gt;=O251),"Low",VLOOKUP(F251,'G-3 Multipliers'!$A$2:$E$134,4,FALSE))))</f>
        <v/>
      </c>
      <c r="X251" s="299" t="str">
        <f>IFERROR(IF(E251="","",VLOOKUP(W251,'G-3 Multipliers'!$P$2:$Q$6,2,FALSE)),"")</f>
        <v/>
      </c>
      <c r="Y251" s="393"/>
      <c r="Z251" s="510" t="str">
        <f>IF(Y251="","",IF(VLOOKUP(Y251,'G-3 Multipliers'!$S$3:$T$10,2,FALSE)=0,"Spatial Data Missing ⚠",VLOOKUP(Y251,'G-3 Multipliers'!$S$3:$T$10,2,FALSE)))</f>
        <v/>
      </c>
      <c r="AA251" s="926" t="str">
        <f t="shared" si="22"/>
        <v/>
      </c>
      <c r="AB251" s="928" t="str">
        <f t="shared" si="27"/>
        <v/>
      </c>
      <c r="AC251" s="105"/>
      <c r="AD251" s="138"/>
      <c r="AE251" s="233"/>
      <c r="AF251" s="138"/>
      <c r="AG251" s="934"/>
      <c r="AJ251" s="40" t="str">
        <f t="shared" si="23"/>
        <v/>
      </c>
    </row>
    <row r="252" spans="1:36" ht="14">
      <c r="A252" s="30" t="str">
        <f>IFERROR(INDEX('G-8 Condition Look up'!$I$4:$I$135,MATCH(F252,'G-8 Condition Look up'!$A$4:$A$135,0)),"")</f>
        <v/>
      </c>
      <c r="B252" s="225">
        <v>242</v>
      </c>
      <c r="C252" s="66" t="str">
        <f>IFERROR(INDEX('G-1 All Habitats'!$AG$25:$AG$41,MATCH(D252,'G-1 All Habitats'!AF$25:AF$41,0)),"")</f>
        <v/>
      </c>
      <c r="D252" s="105"/>
      <c r="E252" s="138"/>
      <c r="F252" s="158" t="str">
        <f>IFERROR(INDEX('G-1 All Habitats'!$B$3:$B$136,MATCH(E252,'G-1 All Habitats'!$A$3:$A$136,0)),"")</f>
        <v/>
      </c>
      <c r="G252" s="233"/>
      <c r="H252" s="311" t="str">
        <f>IF(F252="","",VLOOKUP(F252,'G-1 All Habitats'!$B$2:$M$135,10,FALSE))</f>
        <v/>
      </c>
      <c r="I252" s="299" t="str">
        <f>IFERROR(VLOOKUP(H252,'G-1 All Habitats'!$V$3:$W$7,2,FALSE),"")</f>
        <v/>
      </c>
      <c r="J252" s="136"/>
      <c r="K252" s="299" t="str">
        <f>IFERROR(INDEX('G-8 Condition Look up'!$A$3:$H$135,MATCH(F252,'G-8 Condition Look up'!$A$3:$A$135,0),MATCH(J252,'G-8 Condition Look up'!$A$3:$H$3,0)),"")</f>
        <v/>
      </c>
      <c r="L252" s="101"/>
      <c r="M252" s="314" t="str">
        <f>IF(L252="","",IF(VLOOKUP(L252,'G-3 Multipliers'!$L$3:$N$6,2,FALSE)=0,"Spatial Data Missing ⚠",VLOOKUP(L252,'G-3 Multipliers'!$L$3:$N$6,2,FALSE)))</f>
        <v/>
      </c>
      <c r="N252" s="276" t="str">
        <f>IF(L252="","",IF(VLOOKUP(L252,'G-3 Multipliers'!$L$3:$N$6,3,FALSE)=0,"Spatial Data Missing ⚠",VLOOKUP(L252,'G-3 Multipliers'!$L$3:$N$6,3,FALSE)))</f>
        <v/>
      </c>
      <c r="O252" s="275" t="str">
        <f t="shared" si="21"/>
        <v/>
      </c>
      <c r="P252" s="133"/>
      <c r="Q252" s="133"/>
      <c r="R252" s="295" t="str">
        <f t="shared" si="24"/>
        <v/>
      </c>
      <c r="S252" s="316" t="str">
        <f t="shared" si="25"/>
        <v/>
      </c>
      <c r="T252" s="300" t="str">
        <f>IFERROR(IF(S252="Check Data ⚠","Check Data ⚠",VLOOKUP(S252,'G-4 Temporal multipliers'!$A$4:$C$37,3,FALSE)),"")</f>
        <v/>
      </c>
      <c r="U252" s="298" t="str">
        <f>IF(F252="","",VLOOKUP(F252,'G-3 Multipliers'!$A$2:$E$134,2,FALSE))</f>
        <v/>
      </c>
      <c r="V252" s="295" t="str">
        <f t="shared" si="26"/>
        <v/>
      </c>
      <c r="W252" s="295" t="str">
        <f>IF(E252="","",IF(AND(V252="Standard difficulty applied",O252&gt;P252),U252,IF(AND(V252="Low Difficulty - only applicable if all habitat created before losses ⚠",P252&gt;=O252),"Low",VLOOKUP(F252,'G-3 Multipliers'!$A$2:$E$134,4,FALSE))))</f>
        <v/>
      </c>
      <c r="X252" s="299" t="str">
        <f>IFERROR(IF(E252="","",VLOOKUP(W252,'G-3 Multipliers'!$P$2:$Q$6,2,FALSE)),"")</f>
        <v/>
      </c>
      <c r="Y252" s="393"/>
      <c r="Z252" s="510" t="str">
        <f>IF(Y252="","",IF(VLOOKUP(Y252,'G-3 Multipliers'!$S$3:$T$10,2,FALSE)=0,"Spatial Data Missing ⚠",VLOOKUP(Y252,'G-3 Multipliers'!$S$3:$T$10,2,FALSE)))</f>
        <v/>
      </c>
      <c r="AA252" s="926" t="str">
        <f t="shared" si="22"/>
        <v/>
      </c>
      <c r="AB252" s="928" t="str">
        <f t="shared" si="27"/>
        <v/>
      </c>
      <c r="AC252" s="105"/>
      <c r="AD252" s="138"/>
      <c r="AE252" s="233"/>
      <c r="AF252" s="138"/>
      <c r="AG252" s="934"/>
      <c r="AJ252" s="40" t="str">
        <f t="shared" si="23"/>
        <v/>
      </c>
    </row>
    <row r="253" spans="1:36" ht="14">
      <c r="A253" s="30" t="str">
        <f>IFERROR(INDEX('G-8 Condition Look up'!$I$4:$I$135,MATCH(F253,'G-8 Condition Look up'!$A$4:$A$135,0)),"")</f>
        <v/>
      </c>
      <c r="B253" s="225">
        <v>243</v>
      </c>
      <c r="C253" s="66" t="str">
        <f>IFERROR(INDEX('G-1 All Habitats'!$AG$25:$AG$41,MATCH(D253,'G-1 All Habitats'!AF$25:AF$41,0)),"")</f>
        <v/>
      </c>
      <c r="D253" s="105"/>
      <c r="E253" s="138"/>
      <c r="F253" s="158" t="str">
        <f>IFERROR(INDEX('G-1 All Habitats'!$B$3:$B$136,MATCH(E253,'G-1 All Habitats'!$A$3:$A$136,0)),"")</f>
        <v/>
      </c>
      <c r="G253" s="233"/>
      <c r="H253" s="311" t="str">
        <f>IF(F253="","",VLOOKUP(F253,'G-1 All Habitats'!$B$2:$M$135,10,FALSE))</f>
        <v/>
      </c>
      <c r="I253" s="299" t="str">
        <f>IFERROR(VLOOKUP(H253,'G-1 All Habitats'!$V$3:$W$7,2,FALSE),"")</f>
        <v/>
      </c>
      <c r="J253" s="136"/>
      <c r="K253" s="299" t="str">
        <f>IFERROR(INDEX('G-8 Condition Look up'!$A$3:$H$135,MATCH(F253,'G-8 Condition Look up'!$A$3:$A$135,0),MATCH(J253,'G-8 Condition Look up'!$A$3:$H$3,0)),"")</f>
        <v/>
      </c>
      <c r="L253" s="101"/>
      <c r="M253" s="314" t="str">
        <f>IF(L253="","",IF(VLOOKUP(L253,'G-3 Multipliers'!$L$3:$N$6,2,FALSE)=0,"Spatial Data Missing ⚠",VLOOKUP(L253,'G-3 Multipliers'!$L$3:$N$6,2,FALSE)))</f>
        <v/>
      </c>
      <c r="N253" s="276" t="str">
        <f>IF(L253="","",IF(VLOOKUP(L253,'G-3 Multipliers'!$L$3:$N$6,3,FALSE)=0,"Spatial Data Missing ⚠",VLOOKUP(L253,'G-3 Multipliers'!$L$3:$N$6,3,FALSE)))</f>
        <v/>
      </c>
      <c r="O253" s="275" t="str">
        <f t="shared" si="21"/>
        <v/>
      </c>
      <c r="P253" s="133"/>
      <c r="Q253" s="133"/>
      <c r="R253" s="295" t="str">
        <f t="shared" si="24"/>
        <v/>
      </c>
      <c r="S253" s="316" t="str">
        <f t="shared" si="25"/>
        <v/>
      </c>
      <c r="T253" s="300" t="str">
        <f>IFERROR(IF(S253="Check Data ⚠","Check Data ⚠",VLOOKUP(S253,'G-4 Temporal multipliers'!$A$4:$C$37,3,FALSE)),"")</f>
        <v/>
      </c>
      <c r="U253" s="298" t="str">
        <f>IF(F253="","",VLOOKUP(F253,'G-3 Multipliers'!$A$2:$E$134,2,FALSE))</f>
        <v/>
      </c>
      <c r="V253" s="295" t="str">
        <f t="shared" si="26"/>
        <v/>
      </c>
      <c r="W253" s="295" t="str">
        <f>IF(E253="","",IF(AND(V253="Standard difficulty applied",O253&gt;P253),U253,IF(AND(V253="Low Difficulty - only applicable if all habitat created before losses ⚠",P253&gt;=O253),"Low",VLOOKUP(F253,'G-3 Multipliers'!$A$2:$E$134,4,FALSE))))</f>
        <v/>
      </c>
      <c r="X253" s="299" t="str">
        <f>IFERROR(IF(E253="","",VLOOKUP(W253,'G-3 Multipliers'!$P$2:$Q$6,2,FALSE)),"")</f>
        <v/>
      </c>
      <c r="Y253" s="393"/>
      <c r="Z253" s="510" t="str">
        <f>IF(Y253="","",IF(VLOOKUP(Y253,'G-3 Multipliers'!$S$3:$T$10,2,FALSE)=0,"Spatial Data Missing ⚠",VLOOKUP(Y253,'G-3 Multipliers'!$S$3:$T$10,2,FALSE)))</f>
        <v/>
      </c>
      <c r="AA253" s="926" t="str">
        <f t="shared" si="22"/>
        <v/>
      </c>
      <c r="AB253" s="928" t="str">
        <f t="shared" si="27"/>
        <v/>
      </c>
      <c r="AC253" s="105"/>
      <c r="AD253" s="138"/>
      <c r="AE253" s="233"/>
      <c r="AF253" s="138"/>
      <c r="AG253" s="934"/>
      <c r="AJ253" s="40" t="str">
        <f t="shared" si="23"/>
        <v/>
      </c>
    </row>
    <row r="254" spans="1:36" ht="14">
      <c r="A254" s="30" t="str">
        <f>IFERROR(INDEX('G-8 Condition Look up'!$I$4:$I$135,MATCH(F254,'G-8 Condition Look up'!$A$4:$A$135,0)),"")</f>
        <v/>
      </c>
      <c r="B254" s="225">
        <v>244</v>
      </c>
      <c r="C254" s="66" t="str">
        <f>IFERROR(INDEX('G-1 All Habitats'!$AG$25:$AG$41,MATCH(D254,'G-1 All Habitats'!AF$25:AF$41,0)),"")</f>
        <v/>
      </c>
      <c r="D254" s="105"/>
      <c r="E254" s="138"/>
      <c r="F254" s="158" t="str">
        <f>IFERROR(INDEX('G-1 All Habitats'!$B$3:$B$136,MATCH(E254,'G-1 All Habitats'!$A$3:$A$136,0)),"")</f>
        <v/>
      </c>
      <c r="G254" s="233"/>
      <c r="H254" s="311" t="str">
        <f>IF(F254="","",VLOOKUP(F254,'G-1 All Habitats'!$B$2:$M$135,10,FALSE))</f>
        <v/>
      </c>
      <c r="I254" s="299" t="str">
        <f>IFERROR(VLOOKUP(H254,'G-1 All Habitats'!$V$3:$W$7,2,FALSE),"")</f>
        <v/>
      </c>
      <c r="J254" s="136"/>
      <c r="K254" s="299" t="str">
        <f>IFERROR(INDEX('G-8 Condition Look up'!$A$3:$H$135,MATCH(F254,'G-8 Condition Look up'!$A$3:$A$135,0),MATCH(J254,'G-8 Condition Look up'!$A$3:$H$3,0)),"")</f>
        <v/>
      </c>
      <c r="L254" s="101"/>
      <c r="M254" s="314" t="str">
        <f>IF(L254="","",IF(VLOOKUP(L254,'G-3 Multipliers'!$L$3:$N$6,2,FALSE)=0,"Spatial Data Missing ⚠",VLOOKUP(L254,'G-3 Multipliers'!$L$3:$N$6,2,FALSE)))</f>
        <v/>
      </c>
      <c r="N254" s="276" t="str">
        <f>IF(L254="","",IF(VLOOKUP(L254,'G-3 Multipliers'!$L$3:$N$6,3,FALSE)=0,"Spatial Data Missing ⚠",VLOOKUP(L254,'G-3 Multipliers'!$L$3:$N$6,3,FALSE)))</f>
        <v/>
      </c>
      <c r="O254" s="275" t="str">
        <f t="shared" si="21"/>
        <v/>
      </c>
      <c r="P254" s="133"/>
      <c r="Q254" s="133"/>
      <c r="R254" s="295" t="str">
        <f t="shared" si="24"/>
        <v/>
      </c>
      <c r="S254" s="316" t="str">
        <f t="shared" si="25"/>
        <v/>
      </c>
      <c r="T254" s="300" t="str">
        <f>IFERROR(IF(S254="Check Data ⚠","Check Data ⚠",VLOOKUP(S254,'G-4 Temporal multipliers'!$A$4:$C$37,3,FALSE)),"")</f>
        <v/>
      </c>
      <c r="U254" s="298" t="str">
        <f>IF(F254="","",VLOOKUP(F254,'G-3 Multipliers'!$A$2:$E$134,2,FALSE))</f>
        <v/>
      </c>
      <c r="V254" s="295" t="str">
        <f t="shared" si="26"/>
        <v/>
      </c>
      <c r="W254" s="295" t="str">
        <f>IF(E254="","",IF(AND(V254="Standard difficulty applied",O254&gt;P254),U254,IF(AND(V254="Low Difficulty - only applicable if all habitat created before losses ⚠",P254&gt;=O254),"Low",VLOOKUP(F254,'G-3 Multipliers'!$A$2:$E$134,4,FALSE))))</f>
        <v/>
      </c>
      <c r="X254" s="299" t="str">
        <f>IFERROR(IF(E254="","",VLOOKUP(W254,'G-3 Multipliers'!$P$2:$Q$6,2,FALSE)),"")</f>
        <v/>
      </c>
      <c r="Y254" s="393"/>
      <c r="Z254" s="510" t="str">
        <f>IF(Y254="","",IF(VLOOKUP(Y254,'G-3 Multipliers'!$S$3:$T$10,2,FALSE)=0,"Spatial Data Missing ⚠",VLOOKUP(Y254,'G-3 Multipliers'!$S$3:$T$10,2,FALSE)))</f>
        <v/>
      </c>
      <c r="AA254" s="926" t="str">
        <f t="shared" si="22"/>
        <v/>
      </c>
      <c r="AB254" s="928" t="str">
        <f t="shared" si="27"/>
        <v/>
      </c>
      <c r="AC254" s="105"/>
      <c r="AD254" s="138"/>
      <c r="AE254" s="233"/>
      <c r="AF254" s="138"/>
      <c r="AG254" s="934"/>
      <c r="AJ254" s="40" t="str">
        <f t="shared" si="23"/>
        <v/>
      </c>
    </row>
    <row r="255" spans="1:36" ht="14">
      <c r="A255" s="30" t="str">
        <f>IFERROR(INDEX('G-8 Condition Look up'!$I$4:$I$135,MATCH(F255,'G-8 Condition Look up'!$A$4:$A$135,0)),"")</f>
        <v/>
      </c>
      <c r="B255" s="225">
        <v>245</v>
      </c>
      <c r="C255" s="66" t="str">
        <f>IFERROR(INDEX('G-1 All Habitats'!$AG$25:$AG$41,MATCH(D255,'G-1 All Habitats'!AF$25:AF$41,0)),"")</f>
        <v/>
      </c>
      <c r="D255" s="105"/>
      <c r="E255" s="138"/>
      <c r="F255" s="158" t="str">
        <f>IFERROR(INDEX('G-1 All Habitats'!$B$3:$B$136,MATCH(E255,'G-1 All Habitats'!$A$3:$A$136,0)),"")</f>
        <v/>
      </c>
      <c r="G255" s="233"/>
      <c r="H255" s="311" t="str">
        <f>IF(F255="","",VLOOKUP(F255,'G-1 All Habitats'!$B$2:$M$135,10,FALSE))</f>
        <v/>
      </c>
      <c r="I255" s="299" t="str">
        <f>IFERROR(VLOOKUP(H255,'G-1 All Habitats'!$V$3:$W$7,2,FALSE),"")</f>
        <v/>
      </c>
      <c r="J255" s="136"/>
      <c r="K255" s="299" t="str">
        <f>IFERROR(INDEX('G-8 Condition Look up'!$A$3:$H$135,MATCH(F255,'G-8 Condition Look up'!$A$3:$A$135,0),MATCH(J255,'G-8 Condition Look up'!$A$3:$H$3,0)),"")</f>
        <v/>
      </c>
      <c r="L255" s="101"/>
      <c r="M255" s="314" t="str">
        <f>IF(L255="","",IF(VLOOKUP(L255,'G-3 Multipliers'!$L$3:$N$6,2,FALSE)=0,"Spatial Data Missing ⚠",VLOOKUP(L255,'G-3 Multipliers'!$L$3:$N$6,2,FALSE)))</f>
        <v/>
      </c>
      <c r="N255" s="276" t="str">
        <f>IF(L255="","",IF(VLOOKUP(L255,'G-3 Multipliers'!$L$3:$N$6,3,FALSE)=0,"Spatial Data Missing ⚠",VLOOKUP(L255,'G-3 Multipliers'!$L$3:$N$6,3,FALSE)))</f>
        <v/>
      </c>
      <c r="O255" s="275" t="str">
        <f t="shared" si="21"/>
        <v/>
      </c>
      <c r="P255" s="133"/>
      <c r="Q255" s="133"/>
      <c r="R255" s="295" t="str">
        <f t="shared" si="24"/>
        <v/>
      </c>
      <c r="S255" s="316" t="str">
        <f t="shared" si="25"/>
        <v/>
      </c>
      <c r="T255" s="300" t="str">
        <f>IFERROR(IF(S255="Check Data ⚠","Check Data ⚠",VLOOKUP(S255,'G-4 Temporal multipliers'!$A$4:$C$37,3,FALSE)),"")</f>
        <v/>
      </c>
      <c r="U255" s="298" t="str">
        <f>IF(F255="","",VLOOKUP(F255,'G-3 Multipliers'!$A$2:$E$134,2,FALSE))</f>
        <v/>
      </c>
      <c r="V255" s="295" t="str">
        <f t="shared" si="26"/>
        <v/>
      </c>
      <c r="W255" s="295" t="str">
        <f>IF(E255="","",IF(AND(V255="Standard difficulty applied",O255&gt;P255),U255,IF(AND(V255="Low Difficulty - only applicable if all habitat created before losses ⚠",P255&gt;=O255),"Low",VLOOKUP(F255,'G-3 Multipliers'!$A$2:$E$134,4,FALSE))))</f>
        <v/>
      </c>
      <c r="X255" s="299" t="str">
        <f>IFERROR(IF(E255="","",VLOOKUP(W255,'G-3 Multipliers'!$P$2:$Q$6,2,FALSE)),"")</f>
        <v/>
      </c>
      <c r="Y255" s="393"/>
      <c r="Z255" s="510" t="str">
        <f>IF(Y255="","",IF(VLOOKUP(Y255,'G-3 Multipliers'!$S$3:$T$10,2,FALSE)=0,"Spatial Data Missing ⚠",VLOOKUP(Y255,'G-3 Multipliers'!$S$3:$T$10,2,FALSE)))</f>
        <v/>
      </c>
      <c r="AA255" s="926" t="str">
        <f t="shared" si="22"/>
        <v/>
      </c>
      <c r="AB255" s="928" t="str">
        <f t="shared" si="27"/>
        <v/>
      </c>
      <c r="AC255" s="105"/>
      <c r="AD255" s="138"/>
      <c r="AE255" s="138"/>
      <c r="AF255" s="138"/>
      <c r="AG255" s="104"/>
      <c r="AJ255" s="40" t="str">
        <f t="shared" si="23"/>
        <v/>
      </c>
    </row>
    <row r="256" spans="1:36" ht="14.5" thickBot="1">
      <c r="A256" s="30" t="str">
        <f>IFERROR(INDEX('G-8 Condition Look up'!$I$4:$I$135,MATCH(F256,'G-8 Condition Look up'!$A$4:$A$135,0)),"")</f>
        <v/>
      </c>
      <c r="B256" s="45">
        <v>246</v>
      </c>
      <c r="C256" s="66" t="str">
        <f>IFERROR(INDEX('G-1 All Habitats'!$AG$25:$AG$41,MATCH(D256,'G-1 All Habitats'!AF$25:AF$41,0)),"")</f>
        <v/>
      </c>
      <c r="D256" s="111"/>
      <c r="E256" s="141"/>
      <c r="F256" s="598" t="str">
        <f>IFERROR(INDEX('G-1 All Habitats'!$B$3:$B$136,MATCH(E256,'G-1 All Habitats'!$A$3:$A$136,0)),"")</f>
        <v/>
      </c>
      <c r="G256" s="234"/>
      <c r="H256" s="277" t="str">
        <f>IF(F256="","",VLOOKUP(F256,'G-1 All Habitats'!$B$2:$M$135,10,FALSE))</f>
        <v/>
      </c>
      <c r="I256" s="278" t="str">
        <f>IFERROR(VLOOKUP(H256,'G-1 All Habitats'!$V$3:$W$7,2,FALSE),"")</f>
        <v/>
      </c>
      <c r="J256" s="173"/>
      <c r="K256" s="278" t="str">
        <f>IFERROR(INDEX('G-8 Condition Look up'!$A$3:$H$135,MATCH(F256,'G-8 Condition Look up'!$A$3:$A$135,0),MATCH(J256,'G-8 Condition Look up'!$A$3:$H$3,0)),"")</f>
        <v/>
      </c>
      <c r="L256" s="111"/>
      <c r="M256" s="599" t="str">
        <f>IF(L256="","",IF(VLOOKUP(L256,'G-3 Multipliers'!$L$3:$N$6,2,FALSE)=0,"Spatial Data Missing ⚠",VLOOKUP(L256,'G-3 Multipliers'!$L$3:$N$6,2,FALSE)))</f>
        <v/>
      </c>
      <c r="N256" s="550" t="str">
        <f>IF(L256="","",IF(VLOOKUP(L256,'G-3 Multipliers'!$L$3:$N$6,3,FALSE)=0,"Spatial Data Missing ⚠",VLOOKUP(L256,'G-3 Multipliers'!$L$3:$N$6,3,FALSE)))</f>
        <v/>
      </c>
      <c r="O256" s="549" t="str">
        <f t="shared" si="21"/>
        <v/>
      </c>
      <c r="P256" s="141"/>
      <c r="Q256" s="141"/>
      <c r="R256" s="284" t="str">
        <f t="shared" si="24"/>
        <v/>
      </c>
      <c r="S256" s="301" t="str">
        <f t="shared" si="25"/>
        <v/>
      </c>
      <c r="T256" s="600" t="str">
        <f>IFERROR(IF(S256="Check Data ⚠","Check Data ⚠",VLOOKUP(S256,'G-4 Temporal multipliers'!$A$4:$C$37,3,FALSE)),"")</f>
        <v/>
      </c>
      <c r="U256" s="302" t="str">
        <f>IF(F256="","",VLOOKUP(F256,'G-3 Multipliers'!$A$2:$E$134,2,FALSE))</f>
        <v/>
      </c>
      <c r="V256" s="284" t="str">
        <f t="shared" si="26"/>
        <v/>
      </c>
      <c r="W256" s="284" t="str">
        <f>IF(E256="","",IF(AND(V256="Standard difficulty applied",O256&gt;P256),U256,IF(AND(V256="Low Difficulty - only applicable if all habitat created before losses ⚠",P256&gt;=O256),"Low",VLOOKUP(F256,'G-3 Multipliers'!$A$2:$E$134,4,FALSE))))</f>
        <v/>
      </c>
      <c r="X256" s="278" t="str">
        <f>IFERROR(IF(E256="","",VLOOKUP(W256,'G-3 Multipliers'!$P$2:$Q$6,2,FALSE)),"")</f>
        <v/>
      </c>
      <c r="Y256" s="429"/>
      <c r="Z256" s="582" t="str">
        <f>IF(Y256="","",IF(VLOOKUP(Y256,'G-3 Multipliers'!$S$3:$T$10,2,FALSE)=0,"Spatial Data Missing ⚠",VLOOKUP(Y256,'G-3 Multipliers'!$S$3:$T$10,2,FALSE)))</f>
        <v/>
      </c>
      <c r="AA256" s="927" t="str">
        <f t="shared" si="22"/>
        <v/>
      </c>
      <c r="AB256" s="325" t="str">
        <f t="shared" si="27"/>
        <v/>
      </c>
      <c r="AC256" s="619"/>
      <c r="AD256" s="697"/>
      <c r="AE256" s="935"/>
      <c r="AF256" s="697"/>
      <c r="AG256" s="936"/>
      <c r="AJ256" s="40" t="str">
        <f t="shared" si="23"/>
        <v/>
      </c>
    </row>
    <row r="257" spans="5:28" ht="14.5" thickBot="1">
      <c r="E257" s="481" t="s">
        <v>406</v>
      </c>
      <c r="F257" s="207" t="s">
        <v>425</v>
      </c>
      <c r="G257" s="315">
        <f>SUM(G11:G256)</f>
        <v>0</v>
      </c>
      <c r="T257" s="113"/>
      <c r="U257" s="113"/>
      <c r="V257" s="113"/>
      <c r="W257" s="113"/>
      <c r="X257" s="113"/>
      <c r="Y257" s="113"/>
      <c r="Z257" s="521" t="s">
        <v>426</v>
      </c>
      <c r="AA257" s="266">
        <f>SUM(AA11:AA256)</f>
        <v>0</v>
      </c>
      <c r="AB257" s="326">
        <f>SUM(AB11:AB256)</f>
        <v>0</v>
      </c>
    </row>
    <row r="258" ht="14.5" thickBot="1"/>
    <row r="259" spans="5:7" ht="31.4" customHeight="1" thickBot="1">
      <c r="E259" s="632" t="s">
        <v>365</v>
      </c>
      <c r="F259" s="35"/>
      <c r="G259" s="294">
        <f>SUMIFS($G$11:$G$256,$F$11:$F$256,"&lt;&gt;"&amp;'G-1 All Habitats'!B80,$F$11:$F$256,"&lt;&gt;"&amp;'G-1 All Habitats'!B81,$F$11:$F$256,"&lt;&gt;"&amp;'G-1 All Habitats'!B67,$F$11:$F$256,"&lt;&gt;"&amp;'G-1 All Habitats'!B68,$F$11:$F$256,"&lt;&gt;"&amp;'G-1 All Habitats'!B81,$F$11:$F$256,"&lt;&gt;"&amp;'G-1 All Habitats'!B134,$F$11:$F$256,"&lt;&gt;"&amp;'G-1 All Habitats'!B132,$F$11:$F$256,"&lt;&gt;"&amp;'G-1 All Habitats'!B133)</f>
        <v>0</v>
      </c>
    </row>
    <row r="260" ht="14.5" thickBot="1"/>
    <row r="261" spans="5:10" ht="14">
      <c r="E261" s="1726" t="s">
        <v>367</v>
      </c>
      <c r="F261" s="36"/>
      <c r="G261" s="412" t="s">
        <v>368</v>
      </c>
      <c r="H261" s="1016" t="s">
        <v>369</v>
      </c>
      <c r="I261" s="1610" t="s">
        <v>370</v>
      </c>
      <c r="J261" s="1611"/>
    </row>
    <row r="262" spans="5:10" ht="14.5" thickBot="1">
      <c r="E262" s="1727"/>
      <c r="F262" s="36"/>
      <c r="G262" s="411"/>
      <c r="H262" s="410" t="str">
        <f>IF(G261="Hectares",G262,IF(G261="M²",G262/10000,""))</f>
        <v/>
      </c>
      <c r="I262" s="1612" t="str">
        <f>IF(G261="M²",G262,IF(G261="Hectares",G262*10000,""))</f>
        <v/>
      </c>
      <c r="J262" s="1613"/>
    </row>
    <row r="263" ht="24.65" customHeight="1"/>
    <row r="264" spans="27:27" ht="14">
      <c r="AA264" s="30" t="s">
        <v>427</v>
      </c>
    </row>
    <row r="265" spans="27:27" ht="14">
      <c r="AA265" s="30" t="s">
        <v>427</v>
      </c>
    </row>
    <row r="266" ht="14"/>
    <row r="267" ht="14" hidden="1"/>
    <row r="268" ht="14" hidden="1"/>
    <row r="269" ht="14" hidden="1"/>
  </sheetData>
  <sheetProtection algorithmName="SHA-512" hashValue="D6gZl8Z5bSfLRg1mG8LZ5YuVWw4McvH9+dBmoD/6ZJrvsFCIcVZ2wtnTg+bp1ooha+MibWO3sIQzpHkh8BrTEA==" saltValue="O4+WwTW92cfjwD+4PCdQtg==" spinCount="100000" sheet="1" objects="1" scenarios="1"/>
  <customSheetViews>
    <customSheetView guid="{8bda793c-c9c5-4fc6-a0a5-f1109f6d4f22}" topLeftCell="B1">
      <pane ySplit="10" topLeftCell="A11" activePane="bottomLeft" state="frozen"/>
      <selection pane="bottomLeft" activeCell="A1" sqref="A1"/>
      <pageMargins left="0.75" right="0.75" top="1" bottom="1" header="0.5" footer="0.5"/>
    </customSheetView>
  </customSheetViews>
  <mergeCells count="31">
    <mergeCell ref="AC9:AG9"/>
    <mergeCell ref="E261:E262"/>
    <mergeCell ref="I261:J261"/>
    <mergeCell ref="I262:J262"/>
    <mergeCell ref="AA9:AA10"/>
    <mergeCell ref="AB9:AB10"/>
    <mergeCell ref="H4:K4"/>
    <mergeCell ref="O2:T3"/>
    <mergeCell ref="H2:L2"/>
    <mergeCell ref="Y9:Z9"/>
    <mergeCell ref="H6:K6"/>
    <mergeCell ref="L9:N9"/>
    <mergeCell ref="O9:T9"/>
    <mergeCell ref="U9:X9"/>
    <mergeCell ref="U6:X6"/>
    <mergeCell ref="AJ8:AJ9"/>
    <mergeCell ref="D3:E4"/>
    <mergeCell ref="D2:E2"/>
    <mergeCell ref="H9:H10"/>
    <mergeCell ref="G9:G10"/>
    <mergeCell ref="F9:F10"/>
    <mergeCell ref="D9:D10"/>
    <mergeCell ref="E9:E10"/>
    <mergeCell ref="D8:X8"/>
    <mergeCell ref="K9:K10"/>
    <mergeCell ref="J9:J10"/>
    <mergeCell ref="I9:I10"/>
    <mergeCell ref="O5:T6"/>
    <mergeCell ref="H5:K5"/>
    <mergeCell ref="H3:K3"/>
    <mergeCell ref="U2:Y5"/>
  </mergeCells>
  <conditionalFormatting sqref="Y11:Y256">
    <cfRule type="containsText" priority="60" dxfId="970" operator="containsText" text="Existing Value Not Required">
      <formula>NOT(ISERROR(SEARCH("Existing Value Not Required",Y11)))</formula>
    </cfRule>
    <cfRule type="containsText" priority="61" dxfId="970" operator="containsText" text="Existing Value Required">
      <formula>NOT(ISERROR(SEARCH("Existing Value Required",Y11)))</formula>
    </cfRule>
  </conditionalFormatting>
  <conditionalFormatting sqref="K11:K256">
    <cfRule type="containsText" priority="59" dxfId="970" operator="containsText" text="Not Possible">
      <formula>NOT(ISERROR(SEARCH("Not Possible",K11)))</formula>
    </cfRule>
  </conditionalFormatting>
  <conditionalFormatting sqref="Y12 Y14 Y16 Y18 Y20 Y22 Y24:Y256">
    <cfRule type="containsText" priority="54" dxfId="1279" operator="containsText" text="Existing Value Not Required">
      <formula>NOT(ISERROR(SEARCH("Existing Value Not Required",Y12)))</formula>
    </cfRule>
    <cfRule type="containsText" priority="55" dxfId="1279" operator="containsText" text="Existing Value Required">
      <formula>NOT(ISERROR(SEARCH("Existing Value Required",Y12)))</formula>
    </cfRule>
  </conditionalFormatting>
  <conditionalFormatting sqref="AA11:AA256 AA257:AB257">
    <cfRule type="containsText" priority="50" dxfId="1283" operator="containsText" text="Existing Value Not Required">
      <formula>NOT(ISERROR(SEARCH("Existing Value Not Required",AA11)))</formula>
    </cfRule>
    <cfRule type="containsText" priority="51" dxfId="970" operator="containsText" text="Existing Value Required">
      <formula>NOT(ISERROR(SEARCH("Existing Value Required",AA11)))</formula>
    </cfRule>
  </conditionalFormatting>
  <conditionalFormatting sqref="M11:N256">
    <cfRule type="containsText" priority="47" dxfId="1281" operator="containsText" text="Spatial ">
      <formula>NOT(ISERROR(SEARCH("Spatial ",M11)))</formula>
    </cfRule>
  </conditionalFormatting>
  <conditionalFormatting sqref="O11:O256">
    <cfRule type="containsText" priority="46" dxfId="1281" operator="containsText" text="30+">
      <formula>NOT(ISERROR(SEARCH("30+",O11)))</formula>
    </cfRule>
  </conditionalFormatting>
  <conditionalFormatting sqref="Y11:AA256 AA257:AB257">
    <cfRule type="containsText" priority="43" dxfId="1267" operator="containsText" text="Check">
      <formula>NOT(ISERROR(SEARCH("Check",Y11)))</formula>
    </cfRule>
    <cfRule type="containsText" priority="44" dxfId="1283" operator="containsText" text="Error">
      <formula>NOT(ISERROR(SEARCH("Error",Y11)))</formula>
    </cfRule>
  </conditionalFormatting>
  <conditionalFormatting sqref="Z11:Z256">
    <cfRule type="containsText" priority="42" dxfId="1281" operator="containsText" text="Spatial">
      <formula>NOT(ISERROR(SEARCH("Spatial",Z11)))</formula>
    </cfRule>
  </conditionalFormatting>
  <conditionalFormatting sqref="O2 S4 O5">
    <cfRule type="beginsWith" priority="40" dxfId="1281" operator="beginsWith" text="Note">
      <formula>LEFT(O2,LEN("Note"))="Note"</formula>
    </cfRule>
  </conditionalFormatting>
  <conditionalFormatting sqref="O5">
    <cfRule type="containsText" priority="39" dxfId="1281" operator="containsText" text="Check">
      <formula>NOT(ISERROR(SEARCH("Check",O5)))</formula>
    </cfRule>
  </conditionalFormatting>
  <conditionalFormatting sqref="S11:S256">
    <cfRule type="containsText" priority="38" dxfId="1281" operator="containsText" text="30+">
      <formula>NOT(ISERROR(SEARCH("30+",S11)))</formula>
    </cfRule>
  </conditionalFormatting>
  <conditionalFormatting sqref="V11:V256">
    <cfRule type="containsText" priority="4" dxfId="1281" operator="containsText" text="Low">
      <formula>NOT(ISERROR(SEARCH("Low",V11)))</formula>
    </cfRule>
    <cfRule type="containsText" priority="36" dxfId="1281" operator="containsText" text="No - Low Difficulty">
      <formula>NOT(ISERROR(SEARCH("No - Low Difficulty",V11)))</formula>
    </cfRule>
  </conditionalFormatting>
  <conditionalFormatting sqref="R11:X11 R12:W256">
    <cfRule type="containsText" priority="35" dxfId="970" operator="containsText" text="Error">
      <formula>NOT(ISERROR(SEARCH("Error",R11)))</formula>
    </cfRule>
    <cfRule type="containsText" priority="37" dxfId="1267" operator="containsText" text="Check">
      <formula>NOT(ISERROR(SEARCH("Check",R11)))</formula>
    </cfRule>
  </conditionalFormatting>
  <conditionalFormatting sqref="X12:X256">
    <cfRule type="containsText" priority="25" dxfId="1279" operator="containsText" text="Error">
      <formula>NOT(ISERROR(SEARCH("Error",X12)))</formula>
    </cfRule>
    <cfRule type="containsText" priority="26" dxfId="1281" operator="containsText" text="Check">
      <formula>NOT(ISERROR(SEARCH("Check",X12)))</formula>
    </cfRule>
  </conditionalFormatting>
  <conditionalFormatting sqref="L3">
    <cfRule type="containsText" priority="23" dxfId="1283" operator="containsText" text="Error">
      <formula>NOT(ISERROR(SEARCH("Error",L3)))</formula>
    </cfRule>
    <cfRule type="containsText" priority="24" dxfId="1267" operator="containsText" text="Check">
      <formula>NOT(ISERROR(SEARCH("Check",L3)))</formula>
    </cfRule>
  </conditionalFormatting>
  <conditionalFormatting sqref="L4">
    <cfRule type="containsText" priority="5" dxfId="970" operator="containsText" text="Error">
      <formula>NOT(ISERROR(SEARCH("Error",L4)))</formula>
    </cfRule>
    <cfRule type="containsText" priority="9" dxfId="1267" operator="containsText" text="Check">
      <formula>NOT(ISERROR(SEARCH("Check",L4)))</formula>
    </cfRule>
    <cfRule type="cellIs" priority="434" dxfId="881" operator="equal">
      <formula>0</formula>
    </cfRule>
  </conditionalFormatting>
  <conditionalFormatting sqref="L5">
    <cfRule type="containsText" priority="19" dxfId="1283" operator="containsText" text="No">
      <formula>NOT(ISERROR(SEARCH("No",L5)))</formula>
    </cfRule>
    <cfRule type="containsText" priority="20" dxfId="1253" operator="containsText" text="Yes">
      <formula>NOT(ISERROR(SEARCH("Yes",L5)))</formula>
    </cfRule>
  </conditionalFormatting>
  <conditionalFormatting sqref="L6:N6">
    <cfRule type="containsText" priority="17" dxfId="1253" operator="containsText" text="✓">
      <formula>NOT(ISERROR(SEARCH("✓",L6)))</formula>
    </cfRule>
    <cfRule type="containsText" priority="18" dxfId="1283" operator="containsText" text="▲">
      <formula>NOT(ISERROR(SEARCH("▲",L6)))</formula>
    </cfRule>
  </conditionalFormatting>
  <conditionalFormatting sqref="U2:Y5">
    <cfRule type="containsText" priority="16" dxfId="1281" operator="containsText" text="Check">
      <formula>NOT(ISERROR(SEARCH("Check",U2)))</formula>
    </cfRule>
  </conditionalFormatting>
  <conditionalFormatting sqref="AB11:AB256">
    <cfRule type="containsText" priority="14" dxfId="970" operator="containsText" text="Existing Value Not Required">
      <formula>NOT(ISERROR(SEARCH("Existing Value Not Required",AB11)))</formula>
    </cfRule>
    <cfRule type="containsText" priority="15" dxfId="970" operator="containsText" text="Existing Value Required">
      <formula>NOT(ISERROR(SEARCH("Existing Value Required",AB11)))</formula>
    </cfRule>
  </conditionalFormatting>
  <conditionalFormatting sqref="AB11:AB256">
    <cfRule type="containsText" priority="12" dxfId="1283" operator="containsText" text="Error">
      <formula>NOT(ISERROR(SEARCH("Error",AB11)))</formula>
    </cfRule>
    <cfRule type="containsText" priority="13" dxfId="1267" operator="containsText" text="Check">
      <formula>NOT(ISERROR(SEARCH("Check",AB11)))</formula>
    </cfRule>
  </conditionalFormatting>
  <conditionalFormatting sqref="U6:X6">
    <cfRule type="containsText" priority="11" dxfId="1281" operator="containsText" text=" ⚠">
      <formula>NOT(ISERROR(SEARCH(" ⚠",U6)))</formula>
    </cfRule>
  </conditionalFormatting>
  <conditionalFormatting sqref="L4">
    <cfRule type="cellIs" priority="435" dxfId="1283" operator="lessThan">
      <formula>0</formula>
    </cfRule>
  </conditionalFormatting>
  <conditionalFormatting sqref="L3:L6">
    <cfRule type="containsText" priority="8" dxfId="932" operator="containsText" text="N/A">
      <formula>NOT(ISERROR(SEARCH("N/A",L3)))</formula>
    </cfRule>
  </conditionalFormatting>
  <conditionalFormatting sqref="AB1:AB1048576">
    <cfRule type="containsText" priority="3" dxfId="1273" operator="containsText" text="▲">
      <formula>NOT(ISERROR(SEARCH("▲",AB1)))</formula>
    </cfRule>
  </conditionalFormatting>
  <conditionalFormatting sqref="AF11:AF256">
    <cfRule type="expression" priority="2" dxfId="1275">
      <formula>$AB11="Off-site reference required ▲"</formula>
    </cfRule>
  </conditionalFormatting>
  <conditionalFormatting sqref="O1:O1048576">
    <cfRule type="containsText" priority="1" dxfId="1273" operator="containsText" text="▲">
      <formula>NOT(ISERROR(SEARCH("▲",O1)))</formula>
    </cfRule>
  </conditionalFormatting>
  <conditionalFormatting sqref="L4">
    <cfRule type="expression" priority="6" dxfId="1289">
      <formula>'Headline Results'!$H$8:$I$8=0</formula>
    </cfRule>
  </conditionalFormatting>
  <conditionalFormatting sqref="L4">
    <cfRule type="cellIs" priority="7" dxfId="1294" operator="lessThan">
      <formula>Start!$F$22</formula>
    </cfRule>
    <cfRule type="cellIs" priority="436" dxfId="1284" operator="greaterThanOrEqual">
      <formula>Start!$F$22</formula>
    </cfRule>
  </conditionalFormatting>
  <dataValidations count="9">
    <dataValidation type="list" allowBlank="1" showInputMessage="1" showErrorMessage="1" sqref="E11:E256">
      <formula1>INDIRECT(C11)</formula1>
    </dataValidation>
    <dataValidation allowBlank="1" showErrorMessage="1" errorTitle="Invalid Habitat" error="Select from List" sqref="F11:F256"/>
    <dataValidation type="list" allowBlank="1" showInputMessage="1" showErrorMessage="1" sqref="J11:J256">
      <formula1>INDIRECT(A11)</formula1>
    </dataValidation>
    <dataValidation type="list" allowBlank="1" showInputMessage="1" showErrorMessage="1" sqref="G261">
      <formula1>"Hectares, M²"</formula1>
    </dataValidation>
    <dataValidation type="list" allowBlank="1" showInputMessage="1" showErrorMessage="1" sqref="L11:L256">
      <formula1>'G-3 Multipliers'!$L$4:$L$6</formula1>
    </dataValidation>
    <dataValidation type="list" allowBlank="1" showInputMessage="1" showErrorMessage="1" sqref="Q11:Q256">
      <formula1>'G-4 Temporal multipliers'!$A$42:$A$75</formula1>
    </dataValidation>
    <dataValidation type="list" allowBlank="1" showInputMessage="1" showErrorMessage="1" sqref="P11:P256">
      <formula1>'G-4 Temporal multipliers'!$A$42:$A$73</formula1>
    </dataValidation>
    <dataValidation type="list" allowBlank="1" showInputMessage="1" showErrorMessage="1" sqref="D11:D256">
      <formula1>'G-1 All Habitats'!$AF$3:$AF$17</formula1>
    </dataValidation>
    <dataValidation type="list" allowBlank="1" showInputMessage="1" showErrorMessage="1" sqref="Y11:Y256">
      <formula1>'G-3 Multipliers'!$S$4:$S$10</formula1>
    </dataValidation>
  </dataValidations>
  <pageMargins left="0.7" right="0.7" top="0.75" bottom="0.75" header="0.3" footer="0.3"/>
  <pageSetup horizontalDpi="90" verticalDpi="90" orientation="portrait" paperSize="9" r:id="rId2"/>
  <drawing r:id="rId1"/>
  <extLst>
    <ext xmlns:x14="http://schemas.microsoft.com/office/spreadsheetml/2009/9/main" uri="{78C0D931-6437-407d-A8EE-F0AAD7539E65}">
      <x14:conditionalFormattings>
        <x14:conditionalFormatting xmlns:xm="http://schemas.microsoft.com/office/excel/2006/main">
          <x14:cfRule type="iconSet" priority="28" id="{b27dd3d8-0b4d-43be-80c3-6e43786ee527}">
            <x14:iconSet iconSet="3Symbols" custom="1">
              <x14:cfvo type="percent">
                <xm:f>0</xm:f>
              </x14:cfvo>
              <x14:cfvo gte="0" type="num">
                <xm:f>0</xm:f>
              </x14:cfvo>
              <x14:cfvo gte="0" type="num">
                <xm:f>30</xm:f>
              </x14:cfvo>
              <x14:cfIcon iconSet="NoIcons" iconId="0"/>
              <x14:cfIcon iconSet="NoIcons" iconId="0"/>
              <x14:cfIcon iconSet="3Symbols" iconId="1"/>
            </x14:iconSet>
            <x14:dxf/>
          </x14:cfRule>
          <xm:sqref>O11:O256</xm:sqref>
        </x14:conditionalFormatting>
        <x14:conditionalFormatting xmlns:xm="http://schemas.microsoft.com/office/excel/2006/main">
          <x14:cfRule type="iconSet" priority="27" id="{48c10602-07fe-42bd-9c87-21952c6e89ee}">
            <x14:iconSet iconSet="3Symbols" custom="1">
              <x14:cfvo type="percent">
                <xm:f>0</xm:f>
              </x14:cfvo>
              <x14:cfvo gte="0" type="num">
                <xm:f>0</xm:f>
              </x14:cfvo>
              <x14:cfvo gte="0" type="num">
                <xm:f>30</xm:f>
              </x14:cfvo>
              <x14:cfIcon iconSet="NoIcons" iconId="0"/>
              <x14:cfIcon iconSet="NoIcons" iconId="0"/>
              <x14:cfIcon iconSet="3Symbols" iconId="1"/>
            </x14:iconSet>
            <x14:dxf/>
          </x14:cfRule>
          <xm:sqref>S11:S256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2:AY260"/>
  <sheetViews>
    <sheetView zoomScale="80" zoomScaleNormal="80" workbookViewId="0" topLeftCell="E1">
      <pane ySplit="11" topLeftCell="A12" activePane="bottomLeft" state="frozen"/>
      <selection pane="topLeft" activeCell="E1" sqref="E1"/>
      <selection pane="bottomLeft" activeCell="E1" sqref="E1"/>
    </sheetView>
  </sheetViews>
  <sheetFormatPr defaultColWidth="14.4542857142857" defaultRowHeight="14" zeroHeight="1"/>
  <cols>
    <col min="1" max="1" width="8.42857142857143" style="30" hidden="1" customWidth="1"/>
    <col min="2" max="2" width="7.57142857142857" style="30" hidden="1" customWidth="1"/>
    <col min="3" max="3" width="25.5714285714286" style="30" hidden="1" customWidth="1"/>
    <col min="4" max="4" width="13.4285714285714" style="30" hidden="1" customWidth="1"/>
    <col min="5" max="5" width="12.4285714285714" style="30" customWidth="1"/>
    <col min="6" max="6" width="73.4285714285714" style="30" customWidth="1"/>
    <col min="7" max="7" width="11.4285714285714" style="30" customWidth="1"/>
    <col min="8" max="8" width="18.4285714285714" style="30" customWidth="1"/>
    <col min="9" max="9" width="19.4285714285714" style="30" customWidth="1"/>
    <col min="10" max="10" width="18.4285714285714" style="30" customWidth="1"/>
    <col min="11" max="11" width="19.4285714285714" style="30" customWidth="1"/>
    <col min="12" max="12" width="22.4285714285714" style="30" customWidth="1"/>
    <col min="13" max="13" width="21.5714285714286" style="30" customWidth="1"/>
    <col min="14" max="14" width="20.5714285714286" style="30" customWidth="1"/>
    <col min="15" max="15" width="29.5714285714286" style="30" customWidth="1"/>
    <col min="16" max="16" width="25.5714285714286" style="30" hidden="1" customWidth="1"/>
    <col min="17" max="17" width="29.5714285714286" style="30" customWidth="1"/>
    <col min="18" max="18" width="71.4285714285714" style="30" customWidth="1"/>
    <col min="19" max="19" width="15.5714285714286" style="30" hidden="1" customWidth="1"/>
    <col min="20" max="20" width="34.4285714285714" style="30" customWidth="1"/>
    <col min="21" max="21" width="37.5714285714286" style="30" customWidth="1"/>
    <col min="22" max="22" width="13.4285714285714" style="30" customWidth="1"/>
    <col min="23" max="23" width="18.4285714285714" style="30" customWidth="1"/>
    <col min="24" max="24" width="13.4285714285714" style="30" customWidth="1"/>
    <col min="25" max="25" width="12.5714285714286" style="30" bestFit="1" customWidth="1"/>
    <col min="26" max="26" width="12.5714285714286" style="30" customWidth="1"/>
    <col min="27" max="27" width="41.5714285714286" style="30" customWidth="1"/>
    <col min="28" max="28" width="20.4285714285714" style="30" customWidth="1"/>
    <col min="29" max="29" width="14" style="30" customWidth="1"/>
    <col min="30" max="30" width="18.4285714285714" style="30" customWidth="1"/>
    <col min="31" max="31" width="21.4285714285714" style="30" customWidth="1"/>
    <col min="32" max="32" width="22.4285714285714" style="30" customWidth="1"/>
    <col min="33" max="33" width="33" style="30" customWidth="1"/>
    <col min="34" max="35" width="18.4285714285714" style="30" customWidth="1"/>
    <col min="36" max="36" width="15.4285714285714" style="30" customWidth="1"/>
    <col min="37" max="37" width="28.4285714285714" style="30" customWidth="1"/>
    <col min="38" max="38" width="20.4285714285714" style="30" customWidth="1"/>
    <col min="39" max="39" width="13.5714285714286" style="30" customWidth="1"/>
    <col min="40" max="40" width="91.4285714285714" style="30" customWidth="1"/>
    <col min="41" max="41" width="15.4285714285714" style="30" hidden="1" customWidth="1"/>
    <col min="42" max="42" width="12.4285714285714" style="30" hidden="1" customWidth="1"/>
    <col min="43" max="43" width="18.4285714285714" style="30" customWidth="1"/>
    <col min="44" max="44" width="45.5714285714286" style="30" customWidth="1"/>
    <col min="45" max="45" width="50.4285714285714" style="30" customWidth="1"/>
    <col min="46" max="46" width="15.5714285714286" style="30" customWidth="1"/>
    <col min="47" max="47" width="17.5714285714286" style="30" customWidth="1"/>
    <col min="48" max="48" width="14.4285714285714" style="30" customWidth="1"/>
    <col min="49" max="49" width="14.4285714285714" style="30" hidden="1" customWidth="1"/>
    <col min="50" max="16380" width="0" style="30" hidden="1" customWidth="1"/>
    <col min="16381" max="16384" width="14.4285714285714" style="30"/>
  </cols>
  <sheetData>
    <row r="1" ht="15.75" customHeight="1" thickBot="1"/>
    <row r="2" spans="5:35" ht="20.15" customHeight="1" thickBot="1">
      <c r="E2" s="1728" t="str">
        <f>CONCATENATE("Project Name:"," ",Start!F12,"     ","Map Reference:"," ",Start!K66)</f>
        <v xml:space="preserve">Project Name: Land east of Calne Road, Lyneham     Map Reference: </v>
      </c>
      <c r="F2" s="1729"/>
      <c r="G2" s="1730"/>
      <c r="R2" s="1597" t="s">
        <v>305</v>
      </c>
      <c r="S2" s="1598"/>
      <c r="T2" s="1598"/>
      <c r="U2" s="1599"/>
      <c r="V2" s="1681" t="str" cm="1">
        <f t="array" ref="V2">IF(OR(Y12:Y258="Fairly Good",Y12:Y258="Fairly Poor"),"A 'Fairly' Category has been used - check evidence to ensure this is appropriate ⚠","")</f>
        <v/>
      </c>
      <c r="W2" s="1681"/>
      <c r="X2" s="1681"/>
      <c r="Y2" s="1681"/>
      <c r="Z2" s="1681"/>
      <c r="AA2" s="1681"/>
      <c r="AD2" s="1735" t="str">
        <f>IF(OR(COUNTIF($AD$12:AD257,"*30+*")&gt;0,COUNTIF(AH12:AH257,"*30+*")&gt;0),"Note; Habitat selected has a time to target condition greater than 30 years. Non standard agreement may be required. ⚠","")</f>
        <v/>
      </c>
      <c r="AE2" s="1735"/>
      <c r="AF2" s="1735"/>
      <c r="AG2" s="1735"/>
      <c r="AH2" s="1735"/>
      <c r="AI2" s="1735"/>
    </row>
    <row r="3" spans="5:35" ht="15.75" customHeight="1" thickBot="1">
      <c r="E3" s="1449" t="str">
        <f ca="1">MID(CELL("filename",E1),FIND("]",CELL("filename",E1))+1,256)</f>
        <v>D-3 Off-Site Habitat Enhancment</v>
      </c>
      <c r="F3" s="1450"/>
      <c r="G3" s="1451"/>
      <c r="R3" s="403" t="s">
        <v>306</v>
      </c>
      <c r="S3" s="384"/>
      <c r="T3" s="1658">
        <f>'Headline Results'!H47</f>
        <v>6.227824005922471</v>
      </c>
      <c r="U3" s="1659"/>
      <c r="V3" s="1681"/>
      <c r="W3" s="1681"/>
      <c r="X3" s="1681"/>
      <c r="Y3" s="1681"/>
      <c r="Z3" s="1681"/>
      <c r="AA3" s="1681"/>
      <c r="AD3" s="1735"/>
      <c r="AE3" s="1735"/>
      <c r="AF3" s="1735"/>
      <c r="AG3" s="1735"/>
      <c r="AH3" s="1735"/>
      <c r="AI3" s="1735"/>
    </row>
    <row r="4" spans="5:40" ht="15.75" customHeight="1" thickBot="1">
      <c r="E4" s="1449"/>
      <c r="F4" s="1450"/>
      <c r="G4" s="1451"/>
      <c r="R4" s="385" t="s">
        <v>308</v>
      </c>
      <c r="S4" s="386"/>
      <c r="T4" s="1660">
        <f>'Headline Results'!H51</f>
        <v>0.3109272967693436</v>
      </c>
      <c r="U4" s="1661"/>
      <c r="V4" s="1681"/>
      <c r="W4" s="1681"/>
      <c r="X4" s="1681"/>
      <c r="Y4" s="1681"/>
      <c r="Z4" s="1681"/>
      <c r="AA4" s="1681"/>
      <c r="AB4" s="31"/>
      <c r="AC4" s="132"/>
      <c r="AD4" s="254"/>
      <c r="AE4" s="254"/>
      <c r="AF4" s="254"/>
      <c r="AG4" s="254"/>
      <c r="AH4" s="132"/>
      <c r="AI4" s="132"/>
      <c r="AJ4" s="132"/>
      <c r="AK4" s="132"/>
      <c r="AL4" s="132"/>
      <c r="AM4" s="132"/>
      <c r="AN4" s="132"/>
    </row>
    <row r="5" spans="8:35" ht="15" customHeight="1" thickBot="1">
      <c r="H5" s="1749" t="str" cm="1">
        <f t="array" ref="H5">IF(OR(AY12:AY257="Yes"),"👁 Enhanced irreplaceable habitats highlighted below ","")</f>
        <v/>
      </c>
      <c r="I5" s="1749"/>
      <c r="J5" s="1749"/>
      <c r="K5" s="1749"/>
      <c r="L5" s="1749"/>
      <c r="R5" s="404" t="s">
        <v>310</v>
      </c>
      <c r="S5" s="387"/>
      <c r="T5" s="1750" t="str" cm="1">
        <f t="array" ref="T5">IF(OR('Trading Summary Area Habitats'!G5:G8="No ▲"),"No - check trading summaries ▲","Yes ✓")</f>
        <v>Yes ✓</v>
      </c>
      <c r="U5" s="1751"/>
      <c r="V5" s="1681"/>
      <c r="W5" s="1681"/>
      <c r="X5" s="1681"/>
      <c r="Y5" s="1681"/>
      <c r="Z5" s="1681"/>
      <c r="AA5" s="1681"/>
      <c r="AD5" s="1654" t="str">
        <f>IF(Q12&lt;&gt;A12,"Change in broad habitat type detected. Check compliance with guidance.","")</f>
        <v/>
      </c>
      <c r="AE5" s="1654"/>
      <c r="AF5" s="1654"/>
      <c r="AG5" s="1654"/>
      <c r="AH5" s="1654"/>
      <c r="AI5" s="1654"/>
    </row>
    <row r="6" spans="8:35" ht="15.75" customHeight="1">
      <c r="H6" s="1749"/>
      <c r="I6" s="1749"/>
      <c r="J6" s="1749"/>
      <c r="K6" s="1749"/>
      <c r="L6" s="1749"/>
      <c r="R6" s="1724" t="str" cm="1">
        <f t="array" ref="R6">IF(OR(E11:E258="watercourse footprint"),"Please ensure the watercourse details for any watercourse footprints recorded are included in the watercourse tabs ⚠","")</f>
        <v/>
      </c>
      <c r="S6" s="1724"/>
      <c r="T6" s="1724"/>
      <c r="AD6" s="1654"/>
      <c r="AE6" s="1654"/>
      <c r="AF6" s="1654"/>
      <c r="AG6" s="1654"/>
      <c r="AH6" s="1654"/>
      <c r="AI6" s="1654"/>
    </row>
    <row r="7" spans="6:20" ht="14">
      <c r="F7" s="89"/>
      <c r="G7" s="88"/>
      <c r="R7" s="1724"/>
      <c r="S7" s="1724"/>
      <c r="T7" s="1724"/>
    </row>
    <row r="8" spans="18:20" ht="14.5" thickBot="1">
      <c r="R8" s="1752"/>
      <c r="S8" s="1752"/>
      <c r="T8" s="1752"/>
    </row>
    <row r="9" spans="6:41" ht="14.5" thickBot="1">
      <c r="F9" s="88"/>
      <c r="G9" s="88"/>
      <c r="H9" s="88"/>
      <c r="I9" s="88"/>
      <c r="J9" s="88"/>
      <c r="K9" s="88"/>
      <c r="L9" s="88"/>
      <c r="M9" s="88"/>
      <c r="N9" s="88"/>
      <c r="O9" s="88"/>
      <c r="P9" s="88"/>
      <c r="Q9" s="1709" t="s">
        <v>371</v>
      </c>
      <c r="R9" s="1710"/>
      <c r="S9" s="1710"/>
      <c r="T9" s="1710"/>
      <c r="U9" s="1710"/>
      <c r="V9" s="1710"/>
      <c r="W9" s="1710"/>
      <c r="X9" s="1710"/>
      <c r="Y9" s="1710"/>
      <c r="Z9" s="1710"/>
      <c r="AA9" s="1710"/>
      <c r="AB9" s="1710"/>
      <c r="AC9" s="1710"/>
      <c r="AD9" s="1710"/>
      <c r="AE9" s="1710"/>
      <c r="AF9" s="1710"/>
      <c r="AG9" s="1710"/>
      <c r="AH9" s="1710"/>
      <c r="AI9" s="1710"/>
      <c r="AJ9" s="1710"/>
      <c r="AK9" s="1710"/>
      <c r="AL9" s="1710"/>
      <c r="AM9" s="1710"/>
      <c r="AN9" s="1710"/>
      <c r="AO9" s="1711"/>
    </row>
    <row r="10" spans="6:47" ht="30.65" customHeight="1" thickBot="1">
      <c r="F10" s="1731" t="s">
        <v>372</v>
      </c>
      <c r="G10" s="1733"/>
      <c r="H10" s="1733"/>
      <c r="I10" s="1733"/>
      <c r="J10" s="1733"/>
      <c r="K10" s="1733"/>
      <c r="L10" s="1733"/>
      <c r="M10" s="1733"/>
      <c r="N10" s="1733"/>
      <c r="O10" s="1734"/>
      <c r="P10" s="147"/>
      <c r="Q10" s="1731" t="s">
        <v>373</v>
      </c>
      <c r="R10" s="1734"/>
      <c r="S10" s="529"/>
      <c r="T10" s="1731" t="s">
        <v>374</v>
      </c>
      <c r="U10" s="1734"/>
      <c r="V10" s="1743" t="s">
        <v>327</v>
      </c>
      <c r="W10" s="1740" t="s">
        <v>312</v>
      </c>
      <c r="X10" s="1740" t="s">
        <v>328</v>
      </c>
      <c r="Y10" s="1740" t="s">
        <v>313</v>
      </c>
      <c r="Z10" s="1738" t="s">
        <v>328</v>
      </c>
      <c r="AA10" s="1736" t="s">
        <v>314</v>
      </c>
      <c r="AB10" s="1737"/>
      <c r="AC10" s="1732"/>
      <c r="AD10" s="1745" t="s">
        <v>428</v>
      </c>
      <c r="AE10" s="1746"/>
      <c r="AF10" s="1746"/>
      <c r="AG10" s="1746"/>
      <c r="AH10" s="1746"/>
      <c r="AI10" s="1747"/>
      <c r="AJ10" s="1745" t="s">
        <v>429</v>
      </c>
      <c r="AK10" s="1746"/>
      <c r="AL10" s="1746"/>
      <c r="AM10" s="1747"/>
      <c r="AN10" s="1731" t="s">
        <v>408</v>
      </c>
      <c r="AO10" s="1732"/>
      <c r="AP10" s="1692" t="s">
        <v>430</v>
      </c>
      <c r="AQ10" s="1692" t="s">
        <v>378</v>
      </c>
      <c r="AR10" s="1709" t="s">
        <v>318</v>
      </c>
      <c r="AS10" s="1710"/>
      <c r="AT10" s="1710"/>
      <c r="AU10" s="1711"/>
    </row>
    <row r="11" spans="1:51" ht="65.15" customHeight="1" thickBot="1">
      <c r="A11" s="88" t="s">
        <v>324</v>
      </c>
      <c r="B11" s="88" t="s">
        <v>379</v>
      </c>
      <c r="C11" s="88" t="s">
        <v>322</v>
      </c>
      <c r="E11" s="116" t="s">
        <v>380</v>
      </c>
      <c r="F11" s="121" t="s">
        <v>381</v>
      </c>
      <c r="G11" s="121" t="s">
        <v>382</v>
      </c>
      <c r="H11" s="121" t="s">
        <v>383</v>
      </c>
      <c r="I11" s="121" t="s">
        <v>384</v>
      </c>
      <c r="J11" s="121" t="s">
        <v>385</v>
      </c>
      <c r="K11" s="121" t="s">
        <v>386</v>
      </c>
      <c r="L11" s="121" t="s">
        <v>387</v>
      </c>
      <c r="M11" s="121" t="s">
        <v>388</v>
      </c>
      <c r="N11" s="121" t="s">
        <v>389</v>
      </c>
      <c r="O11" s="120" t="s">
        <v>315</v>
      </c>
      <c r="P11" s="604" t="s">
        <v>419</v>
      </c>
      <c r="Q11" s="116" t="s">
        <v>391</v>
      </c>
      <c r="R11" s="120" t="s">
        <v>431</v>
      </c>
      <c r="S11" s="506" t="s">
        <v>432</v>
      </c>
      <c r="T11" s="116" t="s">
        <v>393</v>
      </c>
      <c r="U11" s="120" t="s">
        <v>394</v>
      </c>
      <c r="V11" s="1744"/>
      <c r="W11" s="1741"/>
      <c r="X11" s="1741"/>
      <c r="Y11" s="1741"/>
      <c r="Z11" s="1739"/>
      <c r="AA11" s="112" t="s">
        <v>314</v>
      </c>
      <c r="AB11" s="564" t="s">
        <v>314</v>
      </c>
      <c r="AC11" s="530" t="s">
        <v>329</v>
      </c>
      <c r="AD11" s="112" t="s">
        <v>395</v>
      </c>
      <c r="AE11" s="564" t="s">
        <v>433</v>
      </c>
      <c r="AF11" s="564" t="s">
        <v>397</v>
      </c>
      <c r="AG11" s="564" t="s">
        <v>398</v>
      </c>
      <c r="AH11" s="564" t="s">
        <v>399</v>
      </c>
      <c r="AI11" s="530" t="s">
        <v>400</v>
      </c>
      <c r="AJ11" s="112" t="s">
        <v>434</v>
      </c>
      <c r="AK11" s="564" t="s">
        <v>402</v>
      </c>
      <c r="AL11" s="564" t="s">
        <v>435</v>
      </c>
      <c r="AM11" s="530" t="s">
        <v>404</v>
      </c>
      <c r="AN11" s="506" t="s">
        <v>411</v>
      </c>
      <c r="AO11" s="605" t="s">
        <v>408</v>
      </c>
      <c r="AP11" s="1748"/>
      <c r="AQ11" s="1742"/>
      <c r="AR11" s="116" t="s">
        <v>302</v>
      </c>
      <c r="AS11" s="121" t="s">
        <v>279</v>
      </c>
      <c r="AT11" s="43" t="s">
        <v>412</v>
      </c>
      <c r="AU11" s="43" t="s">
        <v>413</v>
      </c>
      <c r="AY11" s="33" t="s">
        <v>326</v>
      </c>
    </row>
    <row r="12" spans="1:51" ht="14">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603" t="str">
        <f>'D-1 Off-Site Habitat Baseline'!AP11</f>
        <v/>
      </c>
      <c r="F12" s="283" t="str">
        <f>IF(E12="","",IF(ISNA(VLOOKUP($E12,'D-1 Off-Site Habitat Baseline'!$D$1:$ZZ$258,45,FALSE)),"",(VLOOKUP($E12,'D-1 Off-Site Habitat Baseline'!$D$1:$ZZ$258,45,FALSE))))</f>
        <v/>
      </c>
      <c r="G12" s="283" t="str">
        <f>IF(E12="","",IF(ISNA(VLOOKUP($E12,'D-1 Off-Site Habitat Baseline'!$D$1:$O$258,5,FALSE)),"",(VLOOKUP($E12,'D-1 Off-Site Habitat Baseline'!$D$1:$O$258,5,FALSE))))</f>
        <v/>
      </c>
      <c r="H12" s="283" t="str">
        <f>IF(E12="","",IF(ISNA(VLOOKUP($E12,'D-1 Off-Site Habitat Baseline'!$D$1:$O$258,6,FALSE)),"",(VLOOKUP($E12,'D-1 Off-Site Habitat Baseline'!$D$1:$O$258,6,FALSE))))</f>
        <v/>
      </c>
      <c r="I12" s="283" t="str">
        <f>IF(E12="","",IF(ISNA(VLOOKUP($E12,'D-1 Off-Site Habitat Baseline'!$D$1:$O$258,7,FALSE)),"",(VLOOKUP($E12,'D-1 Off-Site Habitat Baseline'!$D$1:$O$258,7,FALSE))))</f>
        <v/>
      </c>
      <c r="J12" s="283" t="str">
        <f>IF(E12="","",IF(ISNA(VLOOKUP($E12,'D-1 Off-Site Habitat Baseline'!$D$1:$O$258,8,FALSE)),"",(VLOOKUP($E12,'D-1 Off-Site Habitat Baseline'!$D$1:$O$258,8,FALSE))))</f>
        <v/>
      </c>
      <c r="K12" s="283" t="str">
        <f>IF(E12="","",IF(ISNA(VLOOKUP($E12,'D-1 Off-Site Habitat Baseline'!$D$1:$O$258,9,FALSE)),"",(VLOOKUP($E12,'D-1 Off-Site Habitat Baseline'!$D$1:$O$258,9,FALSE))))</f>
        <v/>
      </c>
      <c r="L12" s="283" t="str">
        <f>IF(E12="","",IF(ISNA(VLOOKUP($E12,'D-1 Off-Site Habitat Baseline'!$D$1:$O$258,11,FALSE)),"",(VLOOKUP($E12,'D-1 Off-Site Habitat Baseline'!$D$1:$O$258,11,FALSE))))</f>
        <v/>
      </c>
      <c r="M12" s="283" t="str">
        <f>IF(E12="","",IF(ISNA(VLOOKUP($E12,'D-1 Off-Site Habitat Baseline'!$D$1:$O$258,12,FALSE)),"",(VLOOKUP($E12,'D-1 Off-Site Habitat Baseline'!$D$1:$O$258,12,FALSE))))</f>
        <v/>
      </c>
      <c r="N12" s="295" t="str">
        <f>IF(E12="","",IF(ISNA(VLOOKUP($E12,'D-1 Off-Site Habitat Baseline'!$D$1:$AA$258,17,FALSE)),"",(VLOOKUP($E12,'D-1 Off-Site Habitat Baseline'!$D$1:$AA$258,17,FALSE))))</f>
        <v/>
      </c>
      <c r="O12" s="276" t="str">
        <f>IF(E12="","",IF(ISNA(VLOOKUP($E12,'D-1 Off-Site Habitat Baseline'!$D$1:$AA$258,13,FALSE)),"",(VLOOKUP($E12,'D-1 Off-Site Habitat Baseline'!$D$1:$AA$258,13,FALSE))))</f>
        <v/>
      </c>
      <c r="P12" s="148" t="str">
        <f>IFERROR(INDEX('G-1 All Habitats'!$AG$49:$AG$63,MATCH(Q12,'G-1 All Habitats'!$AF$27:$AF$41,0)),"")</f>
        <v/>
      </c>
      <c r="Q12" s="149" t="str">
        <f t="shared" si="0" ref="Q12:Q76">A12</f>
        <v/>
      </c>
      <c r="R12" s="150"/>
      <c r="S12" s="151" t="str">
        <f>IFERROR(INDEX('G-1 All Habitats'!$B$3:$B$135,MATCH(R12,'G-1 All Habitats'!$A$3:$A$135,0)),"")</f>
        <v/>
      </c>
      <c r="T12" s="283" t="str">
        <f>IF(E12="","",IF(AND(LEFT(O12,6)="Same d",I12&gt;X12),"Error - Trading rules not satisfied ▲",IF(AND(LEFT(O12,6)="Same b",AND(LEFT(F12,5)&lt;&gt;LEFT(S12,5),I12&gt;X12)),"Error - Trading rules not satisfied ▲",IF(AND(LEFT(O12,6)="Same h",F12&lt;&gt;S12),"Error - Trading rules not satisfied ▲",IF(AND(LEFT(O12,6)="Bespok",F12&lt;&gt;S12,LEFT(F12,27)&lt;&gt;"Woodland and forest - Other"),"Error - Trading rules not satisfied ▲",IF(X12&lt;I12,"Error Trading Down ▲",IF(AND(R12="Littoral seagrass",F12&lt;&gt;"Intertidal sediment - Littoral seagrass",F12&lt;&gt;"Intertidal sediment - Littoral sand"),"Error - Enhancement not possible ▲",IF(AND(R12="Artificial hard structures with integrated greening of grey infrastructure (IGGI)",F12&lt;&gt;"Intertidal hard structures - Artificial hard structures with integrated greening of grey infrastructure (IGGI)",F12&lt;&gt;"Intertidal hard structures - Artificial hard structures",F12&lt;&gt;"Intertidal hard structures - Artificial features of hard structures"),"Error - Enhancement not possible ▲",H12&amp;" - "&amp;W12))))))))</f>
        <v/>
      </c>
      <c r="U12" s="276" t="str">
        <f>IF(F12="","",IF(OR(LEFT(F12,27)&lt;&gt;"Woodland and forest - Other",LEFT(S12,8)&lt;&gt;"Woodland"),IF(AND(S12&lt;&gt;F12,AY12="Yes"),"Error you cannot replace an irreplaceable habitat ▲",IF(AND(LEFT(F12,55)&lt;&gt;LEFT(S12,55),T12="High - High"),"Error - Not like for like ▲",IF(AND(I12=X12,K12&gt;Z12),"Error - Can not reduce condition ▲",IF(K12&gt;Z12,"Error - condition cannot be reduced ▲",IF(AND(I12=X12,K12=Z12),"Error - No enhancement ▲",IF(X12&lt;I12,"Error Trading Down ▲",IF(AND(F12&lt;&gt;S12,I12&lt;X12),"Lower Distinctiveness Habitat"&amp;" - "&amp;Y12,J12&amp;" - "&amp;Y12))))))),IF(AND(LEFT(F12,55)&lt;&gt;LEFT(S12,55),T12="High - High"),"Error - Not like for like ▲",IF(AND(I12=X12,K12&gt;Z12),"Error - Can not reduce condition ▲",IF(K12&gt;Z12,"Error - condition cannot be reduced ▲",IF(AND(I12=X12,K12=Z12),"Error - No enhancement ▲",IF(X12&lt;I12,"Error Trading Down ▲",IF(AND(F12&lt;&gt;S12,I12&lt;X12),"Lower Distinctiveness Habitat"&amp;" - "&amp;Y12,J12&amp;" - "&amp;Y12))))))))</f>
        <v/>
      </c>
      <c r="V12" s="323" t="str">
        <f>IF(S12="","",VLOOKUP(E12,BaselineHabOffsite,20,FALSE))</f>
        <v/>
      </c>
      <c r="W12" s="283" t="str">
        <f>IF(S12="","",VLOOKUP(S12,'G-1 All Habitats'!$B$2:$M$135,10,FALSE))</f>
        <v/>
      </c>
      <c r="X12" s="283" t="str">
        <f>IFERROR(VLOOKUP(W12,'G-1 All Habitats'!$V$3:$W$7,2,FALSE),"")</f>
        <v/>
      </c>
      <c r="Y12" s="133"/>
      <c r="Z12" s="276" t="str">
        <f>IFERROR(INDEX('G-8 Condition Look up'!$A$3:$H$135,MATCH(S12,'G-8 Condition Look up'!$A$3:$A$135,0),MATCH(Y12,'G-8 Condition Look up'!$A$3:$H$3,0)),"")</f>
        <v/>
      </c>
      <c r="AA12" s="101"/>
      <c r="AB12" s="314" t="str">
        <f>IF(AA12="","",IF(VLOOKUP(AA12,'G-3 Multipliers'!$L$3:$N$6,2,FALSE)=0,"Spatial Data Missing ⚠",VLOOKUP(AA12,'G-3 Multipliers'!$L$3:$N$6,2,FALSE)))</f>
        <v/>
      </c>
      <c r="AC12" s="276" t="str">
        <f>IF(AA12="","",IF(VLOOKUP(AA12,'G-3 Multipliers'!$L$3:$N$6,3,FALSE)=0,"Spatial Data Missing ⚠",VLOOKUP(AA12,'G-3 Multipliers'!$L$3:$N$6,3,FALSE)))</f>
        <v/>
      </c>
      <c r="AD12" s="275" t="str">
        <f t="shared" si="1" ref="AD12:AD75">IFERROR(IF(OR(LEFT(U12,5)="Error",LEFT(T12,5)="Error"),"Check Data ⚠",INDEX(EnhanceTemporal,MATCH(S12,EnhanceHabitat,0),MATCH(U12,EnhanceCondition,0))),"")</f>
        <v/>
      </c>
      <c r="AE12" s="133"/>
      <c r="AF12" s="133"/>
      <c r="AG12" s="283"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296" t="str">
        <f>IF(AG12="Error -both advance and delayed habitat creation ▲","Check Data ⚠",IF(AG12="Check Data ⚠","Check Data ⚠",IF(AD12="","",IF(AD12="Not Possible ▲","CheckData ⚠",IF(AND(AD12="30+",AE12=0),"30+",IF(AND(AD12="30+",AE12="30+"),0,IF(AND(AD12="30+",AE12&lt;30),30-AE12,IF(AD12="30+",30-AE12,IF(AF12="30+","30+",IF(AE12&gt;AD12,0,IF(AD12+AF12&gt;30,"30+",IF(AD12+AF12&gt;30,"30+",IF(AD12-AE12&gt;30,"30+",IF(AD12+AF12-AE12&gt;0,AD12+AF12-AE12,IF(AD12-AE12&gt;0,AD12-AE12,AD12+AF12-AE12)))))))))))))))</f>
        <v/>
      </c>
      <c r="AI12" s="297" t="str">
        <f>IF(AH12="Check Data ⚠","Check Data ⚠",IFERROR(VLOOKUP(AH12,'G-4 Temporal multipliers'!$A$4:$C$36,3,FALSE),""))</f>
        <v/>
      </c>
      <c r="AJ12" s="275" t="str">
        <f>IF(S12="","",VLOOKUP(S12,'G-3 Multipliers'!$A$2:$E$134,4,FALSE))</f>
        <v/>
      </c>
      <c r="AK12" s="283" t="str">
        <f>IF(E12="","",IF(AG12="Check details - Is there evidence that habitat has reached target condition? ⚠","Low Difficulty - only applicable if all habitat created before losses ⚠","Standard difficulty applied"))</f>
        <v/>
      </c>
      <c r="AL12" s="283" t="str">
        <f>(IF(AND(AK12="Standard difficulty applied",AD12&gt;AE12),AJ12,IF(AND(AK12="Low Difficulty - only applicable if all habitat created before losses ⚠",AE12&gt;=AD12),"Low",AJ12)))</f>
        <v/>
      </c>
      <c r="AM12" s="276" t="str">
        <f>IFERROR(IF(F12="","",IF(AH12="Check Data ⚠","Check Data ⚠",VLOOKUP(AL12,'G-3 Multipliers'!$P$2:$Q$6,2,FALSE))),"")</f>
        <v/>
      </c>
      <c r="AN12" s="712" t="str">
        <f>IF(E12="","",IF(ISNA(VLOOKUP($E12,'D-1 Off-Site Habitat Baseline'!$D$1:$Z$258,15,FALSE)),"",(VLOOKUP($E12,'D-1 Off-Site Habitat Baseline'!$D$1:$Z$258,15,FALSE))))</f>
        <v/>
      </c>
      <c r="AO12" s="329" t="str">
        <f>IF(AN12="","",IF(VLOOKUP(AN12,'G-3 Multipliers'!$S$3:$T$10,2,FALSE)=0,"Spatial Data Missing ⚠",VLOOKUP(AN12,'G-3 Multipliers'!$S$3:$T$10,2,FALSE)))</f>
        <v/>
      </c>
      <c r="AP12" s="289" t="str">
        <f>IFERROR(IF(N12="Check Data ⚠","Check Data ⚠",(((((V12*X12*Z12)-(V12*I12*K12))*(AM12*AI12))+(V12*I12*K12))*(AC12)*AO12)),"")</f>
        <v/>
      </c>
      <c r="AQ12" s="289" t="str">
        <f>IFERROR(IF(AN12="","",(IF(AND(AN12&lt;&gt;"",AU12=""),"Off-site reference required ▲",IF(N12="Error - you cannot enhance irreplaceable individual trees ▲","Error - you cannot enhance irreplaceable individual trees ▲",IF(N12="Check Data ⚠","Check Data ⚠",((((V12*X12*Z12)-(V12*I12*K12))*(AM12*AI12))+(V12*I12*K12))*(AC12)))))),"")</f>
        <v/>
      </c>
      <c r="AR12" s="101"/>
      <c r="AS12" s="133"/>
      <c r="AT12" s="115"/>
      <c r="AU12" s="115"/>
      <c r="AY12" s="30" t="str">
        <f>IF(E12="","",IF(ISNA(VLOOKUP($E12,'D-1 Off-Site Habitat Baseline'!$D$1:$AV$258,4,FALSE)),"",(VLOOKUP($E12,'D-1 Off-Site Habitat Baseline'!$D$1:$AV$258,4,FALSE))))</f>
        <v/>
      </c>
    </row>
    <row r="13" spans="1:51" ht="14">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319" t="str">
        <f>'D-1 Off-Site Habitat Baseline'!AP12</f>
        <v/>
      </c>
      <c r="F13" s="283" t="str">
        <f>IF(E13="","",IF(ISNA(VLOOKUP($E13,'D-1 Off-Site Habitat Baseline'!$D$1:$ZZ$258,45,FALSE)),"",(VLOOKUP($E13,'D-1 Off-Site Habitat Baseline'!$D$1:$ZZ$258,45,FALSE))))</f>
        <v/>
      </c>
      <c r="G13" s="295" t="str">
        <f>IF(E13="","",IF(ISNA(VLOOKUP($E13,'D-1 Off-Site Habitat Baseline'!$D$1:$O$258,5,FALSE)),"",(VLOOKUP($E13,'D-1 Off-Site Habitat Baseline'!$D$1:$O$258,5,FALSE))))</f>
        <v/>
      </c>
      <c r="H13" s="295" t="str">
        <f>IF(E13="","",IF(ISNA(VLOOKUP($E13,'D-1 Off-Site Habitat Baseline'!$D$1:$O$258,6,FALSE)),"",(VLOOKUP($E13,'D-1 Off-Site Habitat Baseline'!$D$1:$O$258,6,FALSE))))</f>
        <v/>
      </c>
      <c r="I13" s="295" t="str">
        <f>IF(E13="","",IF(ISNA(VLOOKUP($E13,'D-1 Off-Site Habitat Baseline'!$D$1:$O$258,7,FALSE)),"",(VLOOKUP($E13,'D-1 Off-Site Habitat Baseline'!$D$1:$O$258,7,FALSE))))</f>
        <v/>
      </c>
      <c r="J13" s="295" t="str">
        <f>IF(E13="","",IF(ISNA(VLOOKUP($E13,'D-1 Off-Site Habitat Baseline'!$D$1:$O$258,8,FALSE)),"",(VLOOKUP($E13,'D-1 Off-Site Habitat Baseline'!$D$1:$O$258,8,FALSE))))</f>
        <v/>
      </c>
      <c r="K13" s="295" t="str">
        <f>IF(E13="","",IF(ISNA(VLOOKUP($E13,'D-1 Off-Site Habitat Baseline'!$D$1:$O$258,9,FALSE)),"",(VLOOKUP($E13,'D-1 Off-Site Habitat Baseline'!$D$1:$O$258,9,FALSE))))</f>
        <v/>
      </c>
      <c r="L13" s="295" t="str">
        <f>IF(E13="","",IF(ISNA(VLOOKUP($E13,'D-1 Off-Site Habitat Baseline'!$D$1:$O$258,11,FALSE)),"",(VLOOKUP($E13,'D-1 Off-Site Habitat Baseline'!$D$1:$O$258,11,FALSE))))</f>
        <v/>
      </c>
      <c r="M13" s="295" t="str">
        <f>IF(E13="","",IF(ISNA(VLOOKUP($E13,'D-1 Off-Site Habitat Baseline'!$D$1:$O$258,12,FALSE)),"",(VLOOKUP($E13,'D-1 Off-Site Habitat Baseline'!$D$1:$O$258,12,FALSE))))</f>
        <v/>
      </c>
      <c r="N13" s="295" t="str">
        <f>IF(E13="","",IF(ISNA(VLOOKUP($E13,'D-1 Off-Site Habitat Baseline'!$D$1:$AA$258,17,FALSE)),"",(VLOOKUP($E13,'D-1 Off-Site Habitat Baseline'!$D$1:$AA$258,17,FALSE))))</f>
        <v/>
      </c>
      <c r="O13" s="299" t="str">
        <f>IF(E13="","",IF(ISNA(VLOOKUP($E13,'D-1 Off-Site Habitat Baseline'!$D$1:$AA$258,13,FALSE)),"",(VLOOKUP($E13,'D-1 Off-Site Habitat Baseline'!$D$1:$AA$258,13,FALSE))))</f>
        <v/>
      </c>
      <c r="P13" s="148" t="str">
        <f>IFERROR(INDEX('G-1 All Habitats'!$AG$49:$AG$63,MATCH(Q13,'G-1 All Habitats'!$AF$27:$AF$41,0)),"")</f>
        <v/>
      </c>
      <c r="Q13" s="149" t="str">
        <f t="shared" si="0"/>
        <v/>
      </c>
      <c r="R13" s="150"/>
      <c r="S13" s="151" t="str">
        <f>IFERROR(INDEX('G-1 All Habitats'!$B$3:$B$135,MATCH(R13,'G-1 All Habitats'!$A$3:$A$135,0)),"")</f>
        <v/>
      </c>
      <c r="T13" s="283" t="str">
        <f t="shared" si="2" ref="T13:T76">IF(E13="","",IF(AND(LEFT(O13,6)="Same d",I13&gt;X13),"Error - Trading rules not satisfied ▲",IF(AND(LEFT(O13,6)="Same b",AND(LEFT(F13,5)&lt;&gt;LEFT(S13,5),I13&gt;X13)),"Error - Trading rules not satisfied ▲",IF(AND(LEFT(O13,6)="Same h",F13&lt;&gt;S13),"Error - Trading rules not satisfied ▲",IF(AND(LEFT(O13,6)="Bespok",F13&lt;&gt;S13,LEFT(F13,27)&lt;&gt;"Woodland and forest - Other"),"Error - Trading rules not satisfied ▲",IF(X13&lt;I13,"Error Trading Down ▲",IF(AND(R13="Littoral seagrass",F13&lt;&gt;"Intertidal sediment - Littoral seagrass",F13&lt;&gt;"Intertidal sediment - Littoral sand"),"Error - Enhancement not possible ▲",IF(AND(R13="Artificial hard structures with integrated greening of grey infrastructure (IGGI)",F13&lt;&gt;"Intertidal hard structures - Artificial hard structures with integrated greening of grey infrastructure (IGGI)",F13&lt;&gt;"Intertidal hard structures - Artificial hard structures",F13&lt;&gt;"Intertidal hard structures - Artificial features of hard structures"),"Error - Enhancement not possible ▲",H13&amp;" - "&amp;W13))))))))</f>
        <v/>
      </c>
      <c r="U13" s="276" t="str">
        <f t="shared" si="3" ref="U13:U76">IF(F13="","",IF(OR(LEFT(F13,27)&lt;&gt;"Woodland and forest - Other",LEFT(S13,8)&lt;&gt;"Woodland"),IF(AND(S13&lt;&gt;F13,AY13="Yes"),"Error you cannot replace an irreplaceable habitat ▲",IF(AND(LEFT(F13,55)&lt;&gt;LEFT(S13,55),T13="High - High"),"Error - Not like for like ▲",IF(AND(I13=X13,K13&gt;Z13),"Error - Can not reduce condition ▲",IF(K13&gt;Z13,"Error - condition cannot be reduced ▲",IF(AND(I13=X13,K13=Z13),"Error - No enhancement ▲",IF(X13&lt;I13,"Error Trading Down ▲",IF(AND(F13&lt;&gt;S13,I13&lt;X13),"Lower Distinctiveness Habitat"&amp;" - "&amp;Y13,J13&amp;" - "&amp;Y13))))))),IF(AND(LEFT(F13,55)&lt;&gt;LEFT(S13,55),T13="High - High"),"Error - Not like for like ▲",IF(AND(I13=X13,K13&gt;Z13),"Error - Can not reduce condition ▲",IF(K13&gt;Z13,"Error - condition cannot be reduced ▲",IF(AND(I13=X13,K13=Z13),"Error - No enhancement ▲",IF(X13&lt;I13,"Error Trading Down ▲",IF(AND(F13&lt;&gt;S13,I13&lt;X13),"Lower Distinctiveness Habitat"&amp;" - "&amp;Y13,J13&amp;" - "&amp;Y13))))))))</f>
        <v/>
      </c>
      <c r="V13" s="298" t="str">
        <f t="shared" si="4" ref="V13:V75">IF(S13="","",VLOOKUP(E13,BaselineHabOffsite,20,FALSE))</f>
        <v/>
      </c>
      <c r="W13" s="295" t="str">
        <f>IF(S13="","",VLOOKUP(S13,'G-1 All Habitats'!$B$2:$M$135,10,FALSE))</f>
        <v/>
      </c>
      <c r="X13" s="295" t="str">
        <f>IFERROR(VLOOKUP(W13,'G-1 All Habitats'!$V$3:$W$7,2,FALSE),"")</f>
        <v/>
      </c>
      <c r="Y13" s="138"/>
      <c r="Z13" s="299" t="str">
        <f>IFERROR(INDEX('G-8 Condition Look up'!$A$3:$H$135,MATCH(S13,'G-8 Condition Look up'!$A$3:$A$135,0),MATCH(Y13,'G-8 Condition Look up'!$A$3:$H$3,0)),"")</f>
        <v/>
      </c>
      <c r="AA13" s="101"/>
      <c r="AB13" s="314" t="str">
        <f>IF(AA13="","",IF(VLOOKUP(AA13,'G-3 Multipliers'!$L$3:$N$6,2,FALSE)=0,"Spatial Data Missing ⚠",VLOOKUP(AA13,'G-3 Multipliers'!$L$3:$N$6,2,FALSE)))</f>
        <v/>
      </c>
      <c r="AC13" s="299" t="str">
        <f>IF(AA13="","",IF(VLOOKUP(AA13,'G-3 Multipliers'!$L$3:$N$6,3,FALSE)=0,"Spatial Data Missing ⚠",VLOOKUP(AA13,'G-3 Multipliers'!$L$3:$N$6,3,FALSE)))</f>
        <v/>
      </c>
      <c r="AD13" s="311" t="str">
        <f t="shared" si="1"/>
        <v/>
      </c>
      <c r="AE13" s="138"/>
      <c r="AF13" s="138"/>
      <c r="AG13" s="295" t="str">
        <f t="shared" si="5" ref="AG13:AG7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296" t="str">
        <f t="shared" si="6" ref="AH13:AH76">IF(AG13="Error -both advance and delayed habitat creation ▲","Check Data ⚠",IF(AG13="Check Data ⚠","Check Data ⚠",IF(AD13="","",IF(AD13="Not Possible ▲","CheckData ⚠",IF(AND(AD13="30+",AE13=0),"30+",IF(AND(AD13="30+",AE13="30+"),0,IF(AND(AD13="30+",AE13&lt;30),30-AE13,IF(AD13="30+",30-AE13,IF(AF13="30+","30+",IF(AE13&gt;AD13,0,IF(AD13+AF13&gt;30,"30+",IF(AD13+AF13&gt;30,"30+",IF(AD13-AE13&gt;30,"30+",IF(AD13+AF13-AE13&gt;0,AD13+AF13-AE13,IF(AD13-AE13&gt;0,AD13-AE13,AD13+AF13-AE13)))))))))))))))</f>
        <v/>
      </c>
      <c r="AI13" s="300" t="str">
        <f>IF(AH13="Check Data ⚠","Check Data ⚠",IFERROR(VLOOKUP(AH13,'G-4 Temporal multipliers'!$A$4:$C$36,3,FALSE),""))</f>
        <v/>
      </c>
      <c r="AJ13" s="311" t="str">
        <f>IF(S13="","",VLOOKUP(S13,'G-3 Multipliers'!$A$2:$E$134,4,FALSE))</f>
        <v/>
      </c>
      <c r="AK13" s="295" t="str">
        <f t="shared" si="7" ref="AK13:AK76">IF(E13="","",IF(AG13="Check details - Is there evidence that habitat has reached target condition? ⚠","Low Difficulty - only applicable if all habitat created before losses ⚠","Standard difficulty applied"))</f>
        <v/>
      </c>
      <c r="AL13" s="295" t="str">
        <f t="shared" si="8" ref="AL13:AL76">(IF(AND(AK13="Standard difficulty applied",AD13&gt;AE13),AJ13,IF(AND(AK13="Low Difficulty - only applicable if all habitat created before losses ⚠",AE13&gt;=AD13),"Low",AJ13)))</f>
        <v/>
      </c>
      <c r="AM13" s="299" t="str">
        <f>IFERROR(IF(F13="","",IF(AH13="Check Data ⚠","Check Data ⚠",VLOOKUP(AL13,'G-3 Multipliers'!$P$2:$Q$6,2,FALSE))),"")</f>
        <v/>
      </c>
      <c r="AN13" s="712" t="str">
        <f>IF(E13="","",IF(ISNA(VLOOKUP($E13,'D-1 Off-Site Habitat Baseline'!$D$1:$Z$258,15,FALSE)),"",(VLOOKUP($E13,'D-1 Off-Site Habitat Baseline'!$D$1:$Z$258,15,FALSE))))</f>
        <v/>
      </c>
      <c r="AO13" s="329" t="str">
        <f>IF(AN13="","",IF(VLOOKUP(AN13,'G-3 Multipliers'!$S$3:$T$10,2,FALSE)=0,"Spatial Data Missing ⚠",VLOOKUP(AN13,'G-3 Multipliers'!$S$3:$T$10,2,FALSE)))</f>
        <v/>
      </c>
      <c r="AP13" s="289" t="str">
        <f t="shared" si="9" ref="AP13:AP76">IFERROR(IF(N13="Check Data ⚠","Check Data ⚠",(((((V13*X13*Z13)-(V13*I13*K13))*(AM13*AI13))+(V13*I13*K13))*(AC13)*AO13)),"")</f>
        <v/>
      </c>
      <c r="AQ13" s="289" t="str">
        <f t="shared" si="10" ref="AQ13:AQ76">IFERROR(IF(AN13="","",(IF(AND(AN13&lt;&gt;"",AU13=""),"Off-site reference required ▲",IF(N13="Error - you cannot enhance irreplaceable individual trees ▲","Error - you cannot enhance irreplaceable individual trees ▲",IF(N13="Check Data ⚠","Check Data ⚠",((((V13*X13*Z13)-(V13*I13*K13))*(AM13*AI13))+(V13*I13*K13))*(AC13)))))),"")</f>
        <v/>
      </c>
      <c r="AR13" s="105"/>
      <c r="AS13" s="138"/>
      <c r="AT13" s="104"/>
      <c r="AU13" s="104"/>
      <c r="AY13" s="30" t="str">
        <f>IF(E13="","",IF(ISNA(VLOOKUP($E13,'D-1 Off-Site Habitat Baseline'!$D$1:$AV$258,4,FALSE)),"",(VLOOKUP($E13,'D-1 Off-Site Habitat Baseline'!$D$1:$AV$258,4,FALSE))))</f>
        <v/>
      </c>
    </row>
    <row r="14" spans="1:51" ht="14">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319" t="str">
        <f>'D-1 Off-Site Habitat Baseline'!AP13</f>
        <v/>
      </c>
      <c r="F14" s="283" t="str">
        <f>IF(E14="","",IF(ISNA(VLOOKUP($E14,'D-1 Off-Site Habitat Baseline'!$D$1:$ZZ$258,45,FALSE)),"",(VLOOKUP($E14,'D-1 Off-Site Habitat Baseline'!$D$1:$ZZ$258,45,FALSE))))</f>
        <v/>
      </c>
      <c r="G14" s="295" t="str">
        <f>IF(E14="","",IF(ISNA(VLOOKUP($E14,'D-1 Off-Site Habitat Baseline'!$D$1:$O$258,5,FALSE)),"",(VLOOKUP($E14,'D-1 Off-Site Habitat Baseline'!$D$1:$O$258,5,FALSE))))</f>
        <v/>
      </c>
      <c r="H14" s="295" t="str">
        <f>IF(E14="","",IF(ISNA(VLOOKUP($E14,'D-1 Off-Site Habitat Baseline'!$D$1:$O$258,6,FALSE)),"",(VLOOKUP($E14,'D-1 Off-Site Habitat Baseline'!$D$1:$O$258,6,FALSE))))</f>
        <v/>
      </c>
      <c r="I14" s="295" t="str">
        <f>IF(E14="","",IF(ISNA(VLOOKUP($E14,'D-1 Off-Site Habitat Baseline'!$D$1:$O$258,7,FALSE)),"",(VLOOKUP($E14,'D-1 Off-Site Habitat Baseline'!$D$1:$O$258,7,FALSE))))</f>
        <v/>
      </c>
      <c r="J14" s="295" t="str">
        <f>IF(E14="","",IF(ISNA(VLOOKUP($E14,'D-1 Off-Site Habitat Baseline'!$D$1:$O$258,8,FALSE)),"",(VLOOKUP($E14,'D-1 Off-Site Habitat Baseline'!$D$1:$O$258,8,FALSE))))</f>
        <v/>
      </c>
      <c r="K14" s="295" t="str">
        <f>IF(E14="","",IF(ISNA(VLOOKUP($E14,'D-1 Off-Site Habitat Baseline'!$D$1:$O$258,9,FALSE)),"",(VLOOKUP($E14,'D-1 Off-Site Habitat Baseline'!$D$1:$O$258,9,FALSE))))</f>
        <v/>
      </c>
      <c r="L14" s="295" t="str">
        <f>IF(E14="","",IF(ISNA(VLOOKUP($E14,'D-1 Off-Site Habitat Baseline'!$D$1:$O$258,11,FALSE)),"",(VLOOKUP($E14,'D-1 Off-Site Habitat Baseline'!$D$1:$O$258,11,FALSE))))</f>
        <v/>
      </c>
      <c r="M14" s="295" t="str">
        <f>IF(E14="","",IF(ISNA(VLOOKUP($E14,'D-1 Off-Site Habitat Baseline'!$D$1:$O$258,12,FALSE)),"",(VLOOKUP($E14,'D-1 Off-Site Habitat Baseline'!$D$1:$O$258,12,FALSE))))</f>
        <v/>
      </c>
      <c r="N14" s="295" t="str">
        <f>IF(E14="","",IF(ISNA(VLOOKUP($E14,'D-1 Off-Site Habitat Baseline'!$D$1:$AA$258,17,FALSE)),"",(VLOOKUP($E14,'D-1 Off-Site Habitat Baseline'!$D$1:$AA$258,17,FALSE))))</f>
        <v/>
      </c>
      <c r="O14" s="299" t="str">
        <f>IF(E14="","",IF(ISNA(VLOOKUP($E14,'D-1 Off-Site Habitat Baseline'!$D$1:$AA$258,13,FALSE)),"",(VLOOKUP($E14,'D-1 Off-Site Habitat Baseline'!$D$1:$AA$258,13,FALSE))))</f>
        <v/>
      </c>
      <c r="P14" s="148" t="str">
        <f>IFERROR(INDEX('G-1 All Habitats'!$AG$49:$AG$63,MATCH(Q14,'G-1 All Habitats'!$AF$27:$AF$41,0)),"")</f>
        <v/>
      </c>
      <c r="Q14" s="149" t="str">
        <f t="shared" si="0"/>
        <v/>
      </c>
      <c r="R14" s="150"/>
      <c r="S14" s="151" t="str">
        <f>IFERROR(INDEX('G-1 All Habitats'!$B$3:$B$135,MATCH(R14,'G-1 All Habitats'!$A$3:$A$135,0)),"")</f>
        <v/>
      </c>
      <c r="T14" s="283" t="str">
        <f t="shared" si="2"/>
        <v/>
      </c>
      <c r="U14" s="276" t="str">
        <f t="shared" si="3"/>
        <v/>
      </c>
      <c r="V14" s="298" t="str">
        <f t="shared" si="4"/>
        <v/>
      </c>
      <c r="W14" s="295" t="str">
        <f>IF(S14="","",VLOOKUP(S14,'G-1 All Habitats'!$B$2:$M$135,10,FALSE))</f>
        <v/>
      </c>
      <c r="X14" s="295" t="str">
        <f>IFERROR(VLOOKUP(W14,'G-1 All Habitats'!$V$3:$W$7,2,FALSE),"")</f>
        <v/>
      </c>
      <c r="Y14" s="138"/>
      <c r="Z14" s="299" t="str">
        <f>IFERROR(INDEX('G-8 Condition Look up'!$A$3:$H$135,MATCH(S14,'G-8 Condition Look up'!$A$3:$A$135,0),MATCH(Y14,'G-8 Condition Look up'!$A$3:$H$3,0)),"")</f>
        <v/>
      </c>
      <c r="AA14" s="101"/>
      <c r="AB14" s="314" t="str">
        <f>IF(AA14="","",IF(VLOOKUP(AA14,'G-3 Multipliers'!$L$3:$N$6,2,FALSE)=0,"Spatial Data Missing ⚠",VLOOKUP(AA14,'G-3 Multipliers'!$L$3:$N$6,2,FALSE)))</f>
        <v/>
      </c>
      <c r="AC14" s="299" t="str">
        <f>IF(AA14="","",IF(VLOOKUP(AA14,'G-3 Multipliers'!$L$3:$N$6,3,FALSE)=0,"Spatial Data Missing ⚠",VLOOKUP(AA14,'G-3 Multipliers'!$L$3:$N$6,3,FALSE)))</f>
        <v/>
      </c>
      <c r="AD14" s="311" t="str">
        <f t="shared" si="1"/>
        <v/>
      </c>
      <c r="AE14" s="138"/>
      <c r="AF14" s="138"/>
      <c r="AG14" s="295" t="str">
        <f t="shared" si="5"/>
        <v/>
      </c>
      <c r="AH14" s="296" t="str">
        <f t="shared" si="6"/>
        <v/>
      </c>
      <c r="AI14" s="300" t="str">
        <f>IF(AH14="Check Data ⚠","Check Data ⚠",IFERROR(VLOOKUP(AH14,'G-4 Temporal multipliers'!$A$4:$C$36,3,FALSE),""))</f>
        <v/>
      </c>
      <c r="AJ14" s="311" t="str">
        <f>IF(S14="","",VLOOKUP(S14,'G-3 Multipliers'!$A$2:$E$134,4,FALSE))</f>
        <v/>
      </c>
      <c r="AK14" s="295" t="str">
        <f t="shared" si="7"/>
        <v/>
      </c>
      <c r="AL14" s="295" t="str">
        <f t="shared" si="8"/>
        <v/>
      </c>
      <c r="AM14" s="299" t="str">
        <f>IFERROR(IF(F14="","",IF(AH14="Check Data ⚠","Check Data ⚠",VLOOKUP(AL14,'G-3 Multipliers'!$P$2:$Q$6,2,FALSE))),"")</f>
        <v/>
      </c>
      <c r="AN14" s="712" t="str">
        <f>IF(E14="","",IF(ISNA(VLOOKUP($E14,'D-1 Off-Site Habitat Baseline'!$D$1:$Z$258,15,FALSE)),"",(VLOOKUP($E14,'D-1 Off-Site Habitat Baseline'!$D$1:$Z$258,15,FALSE))))</f>
        <v/>
      </c>
      <c r="AO14" s="329" t="str">
        <f>IF(AN14="","",IF(VLOOKUP(AN14,'G-3 Multipliers'!$S$3:$T$10,2,FALSE)=0,"Spatial Data Missing ⚠",VLOOKUP(AN14,'G-3 Multipliers'!$S$3:$T$10,2,FALSE)))</f>
        <v/>
      </c>
      <c r="AP14" s="289" t="str">
        <f t="shared" si="9"/>
        <v/>
      </c>
      <c r="AQ14" s="289" t="str">
        <f t="shared" si="10"/>
        <v/>
      </c>
      <c r="AR14" s="105"/>
      <c r="AS14" s="138"/>
      <c r="AT14" s="104"/>
      <c r="AU14" s="104"/>
      <c r="AY14" s="30" t="str">
        <f>IF(E14="","",IF(ISNA(VLOOKUP($E14,'D-1 Off-Site Habitat Baseline'!$D$1:$AV$258,4,FALSE)),"",(VLOOKUP($E14,'D-1 Off-Site Habitat Baseline'!$D$1:$AV$258,4,FALSE))))</f>
        <v/>
      </c>
    </row>
    <row r="15" spans="1:51" ht="14">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319" t="str">
        <f>'D-1 Off-Site Habitat Baseline'!AP14</f>
        <v/>
      </c>
      <c r="F15" s="283" t="str">
        <f>IF(E15="","",IF(ISNA(VLOOKUP($E15,'D-1 Off-Site Habitat Baseline'!$D$1:$ZZ$258,45,FALSE)),"",(VLOOKUP($E15,'D-1 Off-Site Habitat Baseline'!$D$1:$ZZ$258,45,FALSE))))</f>
        <v/>
      </c>
      <c r="G15" s="295" t="str">
        <f>IF(E15="","",IF(ISNA(VLOOKUP($E15,'D-1 Off-Site Habitat Baseline'!$D$1:$O$258,5,FALSE)),"",(VLOOKUP($E15,'D-1 Off-Site Habitat Baseline'!$D$1:$O$258,5,FALSE))))</f>
        <v/>
      </c>
      <c r="H15" s="295" t="str">
        <f>IF(E15="","",IF(ISNA(VLOOKUP($E15,'D-1 Off-Site Habitat Baseline'!$D$1:$O$258,6,FALSE)),"",(VLOOKUP($E15,'D-1 Off-Site Habitat Baseline'!$D$1:$O$258,6,FALSE))))</f>
        <v/>
      </c>
      <c r="I15" s="295" t="str">
        <f>IF(E15="","",IF(ISNA(VLOOKUP($E15,'D-1 Off-Site Habitat Baseline'!$D$1:$O$258,7,FALSE)),"",(VLOOKUP($E15,'D-1 Off-Site Habitat Baseline'!$D$1:$O$258,7,FALSE))))</f>
        <v/>
      </c>
      <c r="J15" s="295" t="str">
        <f>IF(E15="","",IF(ISNA(VLOOKUP($E15,'D-1 Off-Site Habitat Baseline'!$D$1:$O$258,8,FALSE)),"",(VLOOKUP($E15,'D-1 Off-Site Habitat Baseline'!$D$1:$O$258,8,FALSE))))</f>
        <v/>
      </c>
      <c r="K15" s="295" t="str">
        <f>IF(E15="","",IF(ISNA(VLOOKUP($E15,'D-1 Off-Site Habitat Baseline'!$D$1:$O$258,9,FALSE)),"",(VLOOKUP($E15,'D-1 Off-Site Habitat Baseline'!$D$1:$O$258,9,FALSE))))</f>
        <v/>
      </c>
      <c r="L15" s="295" t="str">
        <f>IF(E15="","",IF(ISNA(VLOOKUP($E15,'D-1 Off-Site Habitat Baseline'!$D$1:$O$258,11,FALSE)),"",(VLOOKUP($E15,'D-1 Off-Site Habitat Baseline'!$D$1:$O$258,11,FALSE))))</f>
        <v/>
      </c>
      <c r="M15" s="295" t="str">
        <f>IF(E15="","",IF(ISNA(VLOOKUP($E15,'D-1 Off-Site Habitat Baseline'!$D$1:$O$258,12,FALSE)),"",(VLOOKUP($E15,'D-1 Off-Site Habitat Baseline'!$D$1:$O$258,12,FALSE))))</f>
        <v/>
      </c>
      <c r="N15" s="295" t="str">
        <f>IF(E15="","",IF(ISNA(VLOOKUP($E15,'D-1 Off-Site Habitat Baseline'!$D$1:$AA$258,17,FALSE)),"",(VLOOKUP($E15,'D-1 Off-Site Habitat Baseline'!$D$1:$AA$258,17,FALSE))))</f>
        <v/>
      </c>
      <c r="O15" s="299" t="str">
        <f>IF(E15="","",IF(ISNA(VLOOKUP($E15,'D-1 Off-Site Habitat Baseline'!$D$1:$AA$258,13,FALSE)),"",(VLOOKUP($E15,'D-1 Off-Site Habitat Baseline'!$D$1:$AA$258,13,FALSE))))</f>
        <v/>
      </c>
      <c r="P15" s="148" t="str">
        <f>IFERROR(INDEX('G-1 All Habitats'!$AG$49:$AG$63,MATCH(Q15,'G-1 All Habitats'!$AF$27:$AF$41,0)),"")</f>
        <v/>
      </c>
      <c r="Q15" s="149" t="str">
        <f t="shared" si="0"/>
        <v/>
      </c>
      <c r="R15" s="150"/>
      <c r="S15" s="151" t="str">
        <f>IFERROR(INDEX('G-1 All Habitats'!$B$3:$B$135,MATCH(R15,'G-1 All Habitats'!$A$3:$A$135,0)),"")</f>
        <v/>
      </c>
      <c r="T15" s="283" t="str">
        <f t="shared" si="2"/>
        <v/>
      </c>
      <c r="U15" s="276" t="str">
        <f t="shared" si="3"/>
        <v/>
      </c>
      <c r="V15" s="298" t="str">
        <f t="shared" si="4"/>
        <v/>
      </c>
      <c r="W15" s="295" t="str">
        <f>IF(S15="","",VLOOKUP(S15,'G-1 All Habitats'!$B$2:$M$135,10,FALSE))</f>
        <v/>
      </c>
      <c r="X15" s="295" t="str">
        <f>IFERROR(VLOOKUP(W15,'G-1 All Habitats'!$V$3:$W$7,2,FALSE),"")</f>
        <v/>
      </c>
      <c r="Y15" s="138"/>
      <c r="Z15" s="299" t="str">
        <f>IFERROR(INDEX('G-8 Condition Look up'!$A$3:$H$135,MATCH(S15,'G-8 Condition Look up'!$A$3:$A$135,0),MATCH(Y15,'G-8 Condition Look up'!$A$3:$H$3,0)),"")</f>
        <v/>
      </c>
      <c r="AA15" s="101"/>
      <c r="AB15" s="314" t="str">
        <f>IF(AA15="","",IF(VLOOKUP(AA15,'G-3 Multipliers'!$L$3:$N$6,2,FALSE)=0,"Spatial Data Missing ⚠",VLOOKUP(AA15,'G-3 Multipliers'!$L$3:$N$6,2,FALSE)))</f>
        <v/>
      </c>
      <c r="AC15" s="299" t="str">
        <f>IF(AA15="","",IF(VLOOKUP(AA15,'G-3 Multipliers'!$L$3:$N$6,3,FALSE)=0,"Spatial Data Missing ⚠",VLOOKUP(AA15,'G-3 Multipliers'!$L$3:$N$6,3,FALSE)))</f>
        <v/>
      </c>
      <c r="AD15" s="311" t="str">
        <f t="shared" si="1"/>
        <v/>
      </c>
      <c r="AE15" s="138"/>
      <c r="AF15" s="138"/>
      <c r="AG15" s="295" t="str">
        <f t="shared" si="5"/>
        <v/>
      </c>
      <c r="AH15" s="296" t="str">
        <f t="shared" si="6"/>
        <v/>
      </c>
      <c r="AI15" s="300" t="str">
        <f>IF(AH15="Check Data ⚠","Check Data ⚠",IFERROR(VLOOKUP(AH15,'G-4 Temporal multipliers'!$A$4:$C$36,3,FALSE),""))</f>
        <v/>
      </c>
      <c r="AJ15" s="311" t="str">
        <f>IF(S15="","",VLOOKUP(S15,'G-3 Multipliers'!$A$2:$E$134,4,FALSE))</f>
        <v/>
      </c>
      <c r="AK15" s="295" t="str">
        <f t="shared" si="7"/>
        <v/>
      </c>
      <c r="AL15" s="295" t="str">
        <f t="shared" si="8"/>
        <v/>
      </c>
      <c r="AM15" s="299" t="str">
        <f>IFERROR(IF(F15="","",IF(AH15="Check Data ⚠","Check Data ⚠",VLOOKUP(AL15,'G-3 Multipliers'!$P$2:$Q$6,2,FALSE))),"")</f>
        <v/>
      </c>
      <c r="AN15" s="712" t="str">
        <f>IF(E15="","",IF(ISNA(VLOOKUP($E15,'D-1 Off-Site Habitat Baseline'!$D$1:$Z$258,15,FALSE)),"",(VLOOKUP($E15,'D-1 Off-Site Habitat Baseline'!$D$1:$Z$258,15,FALSE))))</f>
        <v/>
      </c>
      <c r="AO15" s="329" t="str">
        <f>IF(AN15="","",IF(VLOOKUP(AN15,'G-3 Multipliers'!$S$3:$T$10,2,FALSE)=0,"Spatial Data Missing ⚠",VLOOKUP(AN15,'G-3 Multipliers'!$S$3:$T$10,2,FALSE)))</f>
        <v/>
      </c>
      <c r="AP15" s="289" t="str">
        <f t="shared" si="9"/>
        <v/>
      </c>
      <c r="AQ15" s="289" t="str">
        <f t="shared" si="10"/>
        <v/>
      </c>
      <c r="AR15" s="105"/>
      <c r="AS15" s="138"/>
      <c r="AT15" s="104"/>
      <c r="AU15" s="104"/>
      <c r="AY15" s="30" t="str">
        <f>IF(E15="","",IF(ISNA(VLOOKUP($E15,'D-1 Off-Site Habitat Baseline'!$D$1:$AV$258,4,FALSE)),"",(VLOOKUP($E15,'D-1 Off-Site Habitat Baseline'!$D$1:$AV$258,4,FALSE))))</f>
        <v/>
      </c>
    </row>
    <row r="16" spans="1:51" ht="14">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319" t="str">
        <f>'D-1 Off-Site Habitat Baseline'!AP15</f>
        <v/>
      </c>
      <c r="F16" s="283" t="str">
        <f>IF(E16="","",IF(ISNA(VLOOKUP($E16,'D-1 Off-Site Habitat Baseline'!$D$1:$ZZ$258,45,FALSE)),"",(VLOOKUP($E16,'D-1 Off-Site Habitat Baseline'!$D$1:$ZZ$258,45,FALSE))))</f>
        <v/>
      </c>
      <c r="G16" s="295" t="str">
        <f>IF(E16="","",IF(ISNA(VLOOKUP($E16,'D-1 Off-Site Habitat Baseline'!$D$1:$O$258,5,FALSE)),"",(VLOOKUP($E16,'D-1 Off-Site Habitat Baseline'!$D$1:$O$258,5,FALSE))))</f>
        <v/>
      </c>
      <c r="H16" s="295" t="str">
        <f>IF(E16="","",IF(ISNA(VLOOKUP($E16,'D-1 Off-Site Habitat Baseline'!$D$1:$O$258,6,FALSE)),"",(VLOOKUP($E16,'D-1 Off-Site Habitat Baseline'!$D$1:$O$258,6,FALSE))))</f>
        <v/>
      </c>
      <c r="I16" s="295" t="str">
        <f>IF(E16="","",IF(ISNA(VLOOKUP($E16,'D-1 Off-Site Habitat Baseline'!$D$1:$O$258,7,FALSE)),"",(VLOOKUP($E16,'D-1 Off-Site Habitat Baseline'!$D$1:$O$258,7,FALSE))))</f>
        <v/>
      </c>
      <c r="J16" s="295" t="str">
        <f>IF(E16="","",IF(ISNA(VLOOKUP($E16,'D-1 Off-Site Habitat Baseline'!$D$1:$O$258,8,FALSE)),"",(VLOOKUP($E16,'D-1 Off-Site Habitat Baseline'!$D$1:$O$258,8,FALSE))))</f>
        <v/>
      </c>
      <c r="K16" s="295" t="str">
        <f>IF(E16="","",IF(ISNA(VLOOKUP($E16,'D-1 Off-Site Habitat Baseline'!$D$1:$O$258,9,FALSE)),"",(VLOOKUP($E16,'D-1 Off-Site Habitat Baseline'!$D$1:$O$258,9,FALSE))))</f>
        <v/>
      </c>
      <c r="L16" s="295" t="str">
        <f>IF(E16="","",IF(ISNA(VLOOKUP($E16,'D-1 Off-Site Habitat Baseline'!$D$1:$O$258,11,FALSE)),"",(VLOOKUP($E16,'D-1 Off-Site Habitat Baseline'!$D$1:$O$258,11,FALSE))))</f>
        <v/>
      </c>
      <c r="M16" s="295" t="str">
        <f>IF(E16="","",IF(ISNA(VLOOKUP($E16,'D-1 Off-Site Habitat Baseline'!$D$1:$O$258,12,FALSE)),"",(VLOOKUP($E16,'D-1 Off-Site Habitat Baseline'!$D$1:$O$258,12,FALSE))))</f>
        <v/>
      </c>
      <c r="N16" s="295" t="str">
        <f>IF(E16="","",IF(ISNA(VLOOKUP($E16,'D-1 Off-Site Habitat Baseline'!$D$1:$AA$258,17,FALSE)),"",(VLOOKUP($E16,'D-1 Off-Site Habitat Baseline'!$D$1:$AA$258,17,FALSE))))</f>
        <v/>
      </c>
      <c r="O16" s="299" t="str">
        <f>IF(E16="","",IF(ISNA(VLOOKUP($E16,'D-1 Off-Site Habitat Baseline'!$D$1:$AA$258,13,FALSE)),"",(VLOOKUP($E16,'D-1 Off-Site Habitat Baseline'!$D$1:$AA$258,13,FALSE))))</f>
        <v/>
      </c>
      <c r="P16" s="148" t="str">
        <f>IFERROR(INDEX('G-1 All Habitats'!$AG$49:$AG$63,MATCH(Q16,'G-1 All Habitats'!$AF$27:$AF$41,0)),"")</f>
        <v/>
      </c>
      <c r="Q16" s="149" t="str">
        <f t="shared" si="0"/>
        <v/>
      </c>
      <c r="R16" s="150"/>
      <c r="S16" s="151" t="str">
        <f>IFERROR(INDEX('G-1 All Habitats'!$B$3:$B$135,MATCH(R16,'G-1 All Habitats'!$A$3:$A$135,0)),"")</f>
        <v/>
      </c>
      <c r="T16" s="283" t="str">
        <f t="shared" si="2"/>
        <v/>
      </c>
      <c r="U16" s="276" t="str">
        <f t="shared" si="3"/>
        <v/>
      </c>
      <c r="V16" s="298" t="str">
        <f t="shared" si="4"/>
        <v/>
      </c>
      <c r="W16" s="295" t="str">
        <f>IF(S16="","",VLOOKUP(S16,'G-1 All Habitats'!$B$2:$M$135,10,FALSE))</f>
        <v/>
      </c>
      <c r="X16" s="295" t="str">
        <f>IFERROR(VLOOKUP(W16,'G-1 All Habitats'!$V$3:$W$7,2,FALSE),"")</f>
        <v/>
      </c>
      <c r="Y16" s="138"/>
      <c r="Z16" s="299" t="str">
        <f>IFERROR(INDEX('G-8 Condition Look up'!$A$3:$H$135,MATCH(S16,'G-8 Condition Look up'!$A$3:$A$135,0),MATCH(Y16,'G-8 Condition Look up'!$A$3:$H$3,0)),"")</f>
        <v/>
      </c>
      <c r="AA16" s="101"/>
      <c r="AB16" s="314" t="str">
        <f>IF(AA16="","",IF(VLOOKUP(AA16,'G-3 Multipliers'!$L$3:$N$6,2,FALSE)=0,"Spatial Data Missing ⚠",VLOOKUP(AA16,'G-3 Multipliers'!$L$3:$N$6,2,FALSE)))</f>
        <v/>
      </c>
      <c r="AC16" s="299" t="str">
        <f>IF(AA16="","",IF(VLOOKUP(AA16,'G-3 Multipliers'!$L$3:$N$6,3,FALSE)=0,"Spatial Data Missing ⚠",VLOOKUP(AA16,'G-3 Multipliers'!$L$3:$N$6,3,FALSE)))</f>
        <v/>
      </c>
      <c r="AD16" s="311" t="str">
        <f t="shared" si="1"/>
        <v/>
      </c>
      <c r="AE16" s="138"/>
      <c r="AF16" s="138"/>
      <c r="AG16" s="295" t="str">
        <f t="shared" si="5"/>
        <v/>
      </c>
      <c r="AH16" s="296" t="str">
        <f t="shared" si="6"/>
        <v/>
      </c>
      <c r="AI16" s="300" t="str">
        <f>IF(AH16="Check Data ⚠","Check Data ⚠",IFERROR(VLOOKUP(AH16,'G-4 Temporal multipliers'!$A$4:$C$36,3,FALSE),""))</f>
        <v/>
      </c>
      <c r="AJ16" s="311" t="str">
        <f>IF(S16="","",VLOOKUP(S16,'G-3 Multipliers'!$A$2:$E$134,4,FALSE))</f>
        <v/>
      </c>
      <c r="AK16" s="295" t="str">
        <f t="shared" si="7"/>
        <v/>
      </c>
      <c r="AL16" s="295" t="str">
        <f t="shared" si="8"/>
        <v/>
      </c>
      <c r="AM16" s="299" t="str">
        <f>IFERROR(IF(F16="","",IF(AH16="Check Data ⚠","Check Data ⚠",VLOOKUP(AL16,'G-3 Multipliers'!$P$2:$Q$6,2,FALSE))),"")</f>
        <v/>
      </c>
      <c r="AN16" s="712" t="str">
        <f>IF(E16="","",IF(ISNA(VLOOKUP($E16,'D-1 Off-Site Habitat Baseline'!$D$1:$Z$258,15,FALSE)),"",(VLOOKUP($E16,'D-1 Off-Site Habitat Baseline'!$D$1:$Z$258,15,FALSE))))</f>
        <v/>
      </c>
      <c r="AO16" s="329" t="str">
        <f>IF(AN16="","",IF(VLOOKUP(AN16,'G-3 Multipliers'!$S$3:$T$10,2,FALSE)=0,"Spatial Data Missing ⚠",VLOOKUP(AN16,'G-3 Multipliers'!$S$3:$T$10,2,FALSE)))</f>
        <v/>
      </c>
      <c r="AP16" s="289" t="str">
        <f t="shared" si="9"/>
        <v/>
      </c>
      <c r="AQ16" s="289" t="str">
        <f t="shared" si="10"/>
        <v/>
      </c>
      <c r="AR16" s="105"/>
      <c r="AS16" s="138"/>
      <c r="AT16" s="104"/>
      <c r="AU16" s="104"/>
      <c r="AY16" s="30" t="str">
        <f>IF(E16="","",IF(ISNA(VLOOKUP($E16,'D-1 Off-Site Habitat Baseline'!$D$1:$AV$258,4,FALSE)),"",(VLOOKUP($E16,'D-1 Off-Site Habitat Baseline'!$D$1:$AV$258,4,FALSE))))</f>
        <v/>
      </c>
    </row>
    <row r="17" spans="1:51" ht="14">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319" t="str">
        <f>'D-1 Off-Site Habitat Baseline'!AP16</f>
        <v/>
      </c>
      <c r="F17" s="283" t="str">
        <f>IF(E17="","",IF(ISNA(VLOOKUP($E17,'D-1 Off-Site Habitat Baseline'!$D$1:$ZZ$258,45,FALSE)),"",(VLOOKUP($E17,'D-1 Off-Site Habitat Baseline'!$D$1:$ZZ$258,45,FALSE))))</f>
        <v/>
      </c>
      <c r="G17" s="295" t="str">
        <f>IF(E17="","",IF(ISNA(VLOOKUP($E17,'D-1 Off-Site Habitat Baseline'!$D$1:$O$258,5,FALSE)),"",(VLOOKUP($E17,'D-1 Off-Site Habitat Baseline'!$D$1:$O$258,5,FALSE))))</f>
        <v/>
      </c>
      <c r="H17" s="295" t="str">
        <f>IF(E17="","",IF(ISNA(VLOOKUP($E17,'D-1 Off-Site Habitat Baseline'!$D$1:$O$258,6,FALSE)),"",(VLOOKUP($E17,'D-1 Off-Site Habitat Baseline'!$D$1:$O$258,6,FALSE))))</f>
        <v/>
      </c>
      <c r="I17" s="295" t="str">
        <f>IF(E17="","",IF(ISNA(VLOOKUP($E17,'D-1 Off-Site Habitat Baseline'!$D$1:$O$258,7,FALSE)),"",(VLOOKUP($E17,'D-1 Off-Site Habitat Baseline'!$D$1:$O$258,7,FALSE))))</f>
        <v/>
      </c>
      <c r="J17" s="295" t="str">
        <f>IF(E17="","",IF(ISNA(VLOOKUP($E17,'D-1 Off-Site Habitat Baseline'!$D$1:$O$258,8,FALSE)),"",(VLOOKUP($E17,'D-1 Off-Site Habitat Baseline'!$D$1:$O$258,8,FALSE))))</f>
        <v/>
      </c>
      <c r="K17" s="295" t="str">
        <f>IF(E17="","",IF(ISNA(VLOOKUP($E17,'D-1 Off-Site Habitat Baseline'!$D$1:$O$258,9,FALSE)),"",(VLOOKUP($E17,'D-1 Off-Site Habitat Baseline'!$D$1:$O$258,9,FALSE))))</f>
        <v/>
      </c>
      <c r="L17" s="295" t="str">
        <f>IF(E17="","",IF(ISNA(VLOOKUP($E17,'D-1 Off-Site Habitat Baseline'!$D$1:$O$258,11,FALSE)),"",(VLOOKUP($E17,'D-1 Off-Site Habitat Baseline'!$D$1:$O$258,11,FALSE))))</f>
        <v/>
      </c>
      <c r="M17" s="295" t="str">
        <f>IF(E17="","",IF(ISNA(VLOOKUP($E17,'D-1 Off-Site Habitat Baseline'!$D$1:$O$258,12,FALSE)),"",(VLOOKUP($E17,'D-1 Off-Site Habitat Baseline'!$D$1:$O$258,12,FALSE))))</f>
        <v/>
      </c>
      <c r="N17" s="295" t="str">
        <f>IF(E17="","",IF(ISNA(VLOOKUP($E17,'D-1 Off-Site Habitat Baseline'!$D$1:$AA$258,17,FALSE)),"",(VLOOKUP($E17,'D-1 Off-Site Habitat Baseline'!$D$1:$AA$258,17,FALSE))))</f>
        <v/>
      </c>
      <c r="O17" s="299" t="str">
        <f>IF(E17="","",IF(ISNA(VLOOKUP($E17,'D-1 Off-Site Habitat Baseline'!$D$1:$AA$258,13,FALSE)),"",(VLOOKUP($E17,'D-1 Off-Site Habitat Baseline'!$D$1:$AA$258,13,FALSE))))</f>
        <v/>
      </c>
      <c r="P17" s="148" t="str">
        <f>IFERROR(INDEX('G-1 All Habitats'!$AG$49:$AG$63,MATCH(Q17,'G-1 All Habitats'!$AF$27:$AF$41,0)),"")</f>
        <v/>
      </c>
      <c r="Q17" s="149" t="str">
        <f t="shared" si="0"/>
        <v/>
      </c>
      <c r="R17" s="150"/>
      <c r="S17" s="151" t="str">
        <f>IFERROR(INDEX('G-1 All Habitats'!$B$3:$B$135,MATCH(R17,'G-1 All Habitats'!$A$3:$A$135,0)),"")</f>
        <v/>
      </c>
      <c r="T17" s="283" t="str">
        <f t="shared" si="2"/>
        <v/>
      </c>
      <c r="U17" s="276" t="str">
        <f t="shared" si="3"/>
        <v/>
      </c>
      <c r="V17" s="298" t="str">
        <f t="shared" si="4"/>
        <v/>
      </c>
      <c r="W17" s="295" t="str">
        <f>IF(S17="","",VLOOKUP(S17,'G-1 All Habitats'!$B$2:$M$135,10,FALSE))</f>
        <v/>
      </c>
      <c r="X17" s="295" t="str">
        <f>IFERROR(VLOOKUP(W17,'G-1 All Habitats'!$V$3:$W$7,2,FALSE),"")</f>
        <v/>
      </c>
      <c r="Y17" s="138"/>
      <c r="Z17" s="299" t="str">
        <f>IFERROR(INDEX('G-8 Condition Look up'!$A$3:$H$135,MATCH(S17,'G-8 Condition Look up'!$A$3:$A$135,0),MATCH(Y17,'G-8 Condition Look up'!$A$3:$H$3,0)),"")</f>
        <v/>
      </c>
      <c r="AA17" s="101"/>
      <c r="AB17" s="314" t="str">
        <f>IF(AA17="","",IF(VLOOKUP(AA17,'G-3 Multipliers'!$L$3:$N$6,2,FALSE)=0,"Spatial Data Missing ⚠",VLOOKUP(AA17,'G-3 Multipliers'!$L$3:$N$6,2,FALSE)))</f>
        <v/>
      </c>
      <c r="AC17" s="299" t="str">
        <f>IF(AA17="","",IF(VLOOKUP(AA17,'G-3 Multipliers'!$L$3:$N$6,3,FALSE)=0,"Spatial Data Missing ⚠",VLOOKUP(AA17,'G-3 Multipliers'!$L$3:$N$6,3,FALSE)))</f>
        <v/>
      </c>
      <c r="AD17" s="311" t="str">
        <f t="shared" si="1"/>
        <v/>
      </c>
      <c r="AE17" s="138"/>
      <c r="AF17" s="138"/>
      <c r="AG17" s="295" t="str">
        <f t="shared" si="5"/>
        <v/>
      </c>
      <c r="AH17" s="296" t="str">
        <f t="shared" si="6"/>
        <v/>
      </c>
      <c r="AI17" s="300" t="str">
        <f>IF(AH17="Check Data ⚠","Check Data ⚠",IFERROR(VLOOKUP(AH17,'G-4 Temporal multipliers'!$A$4:$C$36,3,FALSE),""))</f>
        <v/>
      </c>
      <c r="AJ17" s="311" t="str">
        <f>IF(S17="","",VLOOKUP(S17,'G-3 Multipliers'!$A$2:$E$134,4,FALSE))</f>
        <v/>
      </c>
      <c r="AK17" s="295" t="str">
        <f t="shared" si="7"/>
        <v/>
      </c>
      <c r="AL17" s="295" t="str">
        <f t="shared" si="8"/>
        <v/>
      </c>
      <c r="AM17" s="299" t="str">
        <f>IFERROR(IF(F17="","",IF(AH17="Check Data ⚠","Check Data ⚠",VLOOKUP(AL17,'G-3 Multipliers'!$P$2:$Q$6,2,FALSE))),"")</f>
        <v/>
      </c>
      <c r="AN17" s="712" t="str">
        <f>IF(E17="","",IF(ISNA(VLOOKUP($E17,'D-1 Off-Site Habitat Baseline'!$D$1:$Z$258,15,FALSE)),"",(VLOOKUP($E17,'D-1 Off-Site Habitat Baseline'!$D$1:$Z$258,15,FALSE))))</f>
        <v/>
      </c>
      <c r="AO17" s="329" t="str">
        <f>IF(AN17="","",IF(VLOOKUP(AN17,'G-3 Multipliers'!$S$3:$T$10,2,FALSE)=0,"Spatial Data Missing ⚠",VLOOKUP(AN17,'G-3 Multipliers'!$S$3:$T$10,2,FALSE)))</f>
        <v/>
      </c>
      <c r="AP17" s="289" t="str">
        <f t="shared" si="9"/>
        <v/>
      </c>
      <c r="AQ17" s="289" t="str">
        <f t="shared" si="10"/>
        <v/>
      </c>
      <c r="AR17" s="105"/>
      <c r="AS17" s="138"/>
      <c r="AT17" s="104"/>
      <c r="AU17" s="104"/>
      <c r="AY17" s="30" t="str">
        <f>IF(E17="","",IF(ISNA(VLOOKUP($E17,'D-1 Off-Site Habitat Baseline'!$D$1:$AV$258,4,FALSE)),"",(VLOOKUP($E17,'D-1 Off-Site Habitat Baseline'!$D$1:$AV$258,4,FALSE))))</f>
        <v/>
      </c>
    </row>
    <row r="18" spans="1:51" ht="14">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319" t="str">
        <f>'D-1 Off-Site Habitat Baseline'!AP17</f>
        <v/>
      </c>
      <c r="F18" s="283" t="str">
        <f>IF(E18="","",IF(ISNA(VLOOKUP($E18,'D-1 Off-Site Habitat Baseline'!$D$1:$ZZ$258,45,FALSE)),"",(VLOOKUP($E18,'D-1 Off-Site Habitat Baseline'!$D$1:$ZZ$258,45,FALSE))))</f>
        <v/>
      </c>
      <c r="G18" s="295" t="str">
        <f>IF(E18="","",IF(ISNA(VLOOKUP($E18,'D-1 Off-Site Habitat Baseline'!$D$1:$O$258,5,FALSE)),"",(VLOOKUP($E18,'D-1 Off-Site Habitat Baseline'!$D$1:$O$258,5,FALSE))))</f>
        <v/>
      </c>
      <c r="H18" s="295" t="str">
        <f>IF(E18="","",IF(ISNA(VLOOKUP($E18,'D-1 Off-Site Habitat Baseline'!$D$1:$O$258,6,FALSE)),"",(VLOOKUP($E18,'D-1 Off-Site Habitat Baseline'!$D$1:$O$258,6,FALSE))))</f>
        <v/>
      </c>
      <c r="I18" s="295" t="str">
        <f>IF(E18="","",IF(ISNA(VLOOKUP($E18,'D-1 Off-Site Habitat Baseline'!$D$1:$O$258,7,FALSE)),"",(VLOOKUP($E18,'D-1 Off-Site Habitat Baseline'!$D$1:$O$258,7,FALSE))))</f>
        <v/>
      </c>
      <c r="J18" s="295" t="str">
        <f>IF(E18="","",IF(ISNA(VLOOKUP($E18,'D-1 Off-Site Habitat Baseline'!$D$1:$O$258,8,FALSE)),"",(VLOOKUP($E18,'D-1 Off-Site Habitat Baseline'!$D$1:$O$258,8,FALSE))))</f>
        <v/>
      </c>
      <c r="K18" s="295" t="str">
        <f>IF(E18="","",IF(ISNA(VLOOKUP($E18,'D-1 Off-Site Habitat Baseline'!$D$1:$O$258,9,FALSE)),"",(VLOOKUP($E18,'D-1 Off-Site Habitat Baseline'!$D$1:$O$258,9,FALSE))))</f>
        <v/>
      </c>
      <c r="L18" s="295" t="str">
        <f>IF(E18="","",IF(ISNA(VLOOKUP($E18,'D-1 Off-Site Habitat Baseline'!$D$1:$O$258,11,FALSE)),"",(VLOOKUP($E18,'D-1 Off-Site Habitat Baseline'!$D$1:$O$258,11,FALSE))))</f>
        <v/>
      </c>
      <c r="M18" s="295" t="str">
        <f>IF(E18="","",IF(ISNA(VLOOKUP($E18,'D-1 Off-Site Habitat Baseline'!$D$1:$O$258,12,FALSE)),"",(VLOOKUP($E18,'D-1 Off-Site Habitat Baseline'!$D$1:$O$258,12,FALSE))))</f>
        <v/>
      </c>
      <c r="N18" s="295" t="str">
        <f>IF(E18="","",IF(ISNA(VLOOKUP($E18,'D-1 Off-Site Habitat Baseline'!$D$1:$AA$258,17,FALSE)),"",(VLOOKUP($E18,'D-1 Off-Site Habitat Baseline'!$D$1:$AA$258,17,FALSE))))</f>
        <v/>
      </c>
      <c r="O18" s="299" t="str">
        <f>IF(E18="","",IF(ISNA(VLOOKUP($E18,'D-1 Off-Site Habitat Baseline'!$D$1:$AA$258,13,FALSE)),"",(VLOOKUP($E18,'D-1 Off-Site Habitat Baseline'!$D$1:$AA$258,13,FALSE))))</f>
        <v/>
      </c>
      <c r="P18" s="148" t="str">
        <f>IFERROR(INDEX('G-1 All Habitats'!$AG$49:$AG$63,MATCH(Q18,'G-1 All Habitats'!$AF$27:$AF$41,0)),"")</f>
        <v/>
      </c>
      <c r="Q18" s="149" t="str">
        <f t="shared" si="0"/>
        <v/>
      </c>
      <c r="R18" s="150"/>
      <c r="S18" s="151" t="str">
        <f>IFERROR(INDEX('G-1 All Habitats'!$B$3:$B$135,MATCH(R18,'G-1 All Habitats'!$A$3:$A$135,0)),"")</f>
        <v/>
      </c>
      <c r="T18" s="283" t="str">
        <f t="shared" si="2"/>
        <v/>
      </c>
      <c r="U18" s="276" t="str">
        <f t="shared" si="3"/>
        <v/>
      </c>
      <c r="V18" s="298" t="str">
        <f t="shared" si="4"/>
        <v/>
      </c>
      <c r="W18" s="295" t="str">
        <f>IF(S18="","",VLOOKUP(S18,'G-1 All Habitats'!$B$2:$M$135,10,FALSE))</f>
        <v/>
      </c>
      <c r="X18" s="295" t="str">
        <f>IFERROR(VLOOKUP(W18,'G-1 All Habitats'!$V$3:$W$7,2,FALSE),"")</f>
        <v/>
      </c>
      <c r="Y18" s="138"/>
      <c r="Z18" s="299" t="str">
        <f>IFERROR(INDEX('G-8 Condition Look up'!$A$3:$H$135,MATCH(S18,'G-8 Condition Look up'!$A$3:$A$135,0),MATCH(Y18,'G-8 Condition Look up'!$A$3:$H$3,0)),"")</f>
        <v/>
      </c>
      <c r="AA18" s="101"/>
      <c r="AB18" s="314" t="str">
        <f>IF(AA18="","",IF(VLOOKUP(AA18,'G-3 Multipliers'!$L$3:$N$6,2,FALSE)=0,"Spatial Data Missing ⚠",VLOOKUP(AA18,'G-3 Multipliers'!$L$3:$N$6,2,FALSE)))</f>
        <v/>
      </c>
      <c r="AC18" s="299" t="str">
        <f>IF(AA18="","",IF(VLOOKUP(AA18,'G-3 Multipliers'!$L$3:$N$6,3,FALSE)=0,"Spatial Data Missing ⚠",VLOOKUP(AA18,'G-3 Multipliers'!$L$3:$N$6,3,FALSE)))</f>
        <v/>
      </c>
      <c r="AD18" s="311" t="str">
        <f t="shared" si="1"/>
        <v/>
      </c>
      <c r="AE18" s="138"/>
      <c r="AF18" s="138"/>
      <c r="AG18" s="295" t="str">
        <f t="shared" si="5"/>
        <v/>
      </c>
      <c r="AH18" s="296" t="str">
        <f t="shared" si="6"/>
        <v/>
      </c>
      <c r="AI18" s="300" t="str">
        <f>IF(AH18="Check Data ⚠","Check Data ⚠",IFERROR(VLOOKUP(AH18,'G-4 Temporal multipliers'!$A$4:$C$36,3,FALSE),""))</f>
        <v/>
      </c>
      <c r="AJ18" s="311" t="str">
        <f>IF(S18="","",VLOOKUP(S18,'G-3 Multipliers'!$A$2:$E$134,4,FALSE))</f>
        <v/>
      </c>
      <c r="AK18" s="295" t="str">
        <f t="shared" si="7"/>
        <v/>
      </c>
      <c r="AL18" s="295" t="str">
        <f t="shared" si="8"/>
        <v/>
      </c>
      <c r="AM18" s="299" t="str">
        <f>IFERROR(IF(F18="","",IF(AH18="Check Data ⚠","Check Data ⚠",VLOOKUP(AL18,'G-3 Multipliers'!$P$2:$Q$6,2,FALSE))),"")</f>
        <v/>
      </c>
      <c r="AN18" s="712" t="str">
        <f>IF(E18="","",IF(ISNA(VLOOKUP($E18,'D-1 Off-Site Habitat Baseline'!$D$1:$Z$258,15,FALSE)),"",(VLOOKUP($E18,'D-1 Off-Site Habitat Baseline'!$D$1:$Z$258,15,FALSE))))</f>
        <v/>
      </c>
      <c r="AO18" s="329" t="str">
        <f>IF(AN18="","",IF(VLOOKUP(AN18,'G-3 Multipliers'!$S$3:$T$10,2,FALSE)=0,"Spatial Data Missing ⚠",VLOOKUP(AN18,'G-3 Multipliers'!$S$3:$T$10,2,FALSE)))</f>
        <v/>
      </c>
      <c r="AP18" s="289" t="str">
        <f t="shared" si="9"/>
        <v/>
      </c>
      <c r="AQ18" s="289" t="str">
        <f t="shared" si="10"/>
        <v/>
      </c>
      <c r="AR18" s="105"/>
      <c r="AS18" s="138"/>
      <c r="AT18" s="104"/>
      <c r="AU18" s="104"/>
      <c r="AY18" s="30" t="str">
        <f>IF(E18="","",IF(ISNA(VLOOKUP($E18,'D-1 Off-Site Habitat Baseline'!$D$1:$AV$258,4,FALSE)),"",(VLOOKUP($E18,'D-1 Off-Site Habitat Baseline'!$D$1:$AV$258,4,FALSE))))</f>
        <v/>
      </c>
    </row>
    <row r="19" spans="1:51" ht="14">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319" t="str">
        <f>'D-1 Off-Site Habitat Baseline'!AP18</f>
        <v/>
      </c>
      <c r="F19" s="283" t="str">
        <f>IF(E19="","",IF(ISNA(VLOOKUP($E19,'D-1 Off-Site Habitat Baseline'!$D$1:$ZZ$258,45,FALSE)),"",(VLOOKUP($E19,'D-1 Off-Site Habitat Baseline'!$D$1:$ZZ$258,45,FALSE))))</f>
        <v/>
      </c>
      <c r="G19" s="295" t="str">
        <f>IF(E19="","",IF(ISNA(VLOOKUP($E19,'D-1 Off-Site Habitat Baseline'!$D$1:$O$258,5,FALSE)),"",(VLOOKUP($E19,'D-1 Off-Site Habitat Baseline'!$D$1:$O$258,5,FALSE))))</f>
        <v/>
      </c>
      <c r="H19" s="295" t="str">
        <f>IF(E19="","",IF(ISNA(VLOOKUP($E19,'D-1 Off-Site Habitat Baseline'!$D$1:$O$258,6,FALSE)),"",(VLOOKUP($E19,'D-1 Off-Site Habitat Baseline'!$D$1:$O$258,6,FALSE))))</f>
        <v/>
      </c>
      <c r="I19" s="295" t="str">
        <f>IF(E19="","",IF(ISNA(VLOOKUP($E19,'D-1 Off-Site Habitat Baseline'!$D$1:$O$258,7,FALSE)),"",(VLOOKUP($E19,'D-1 Off-Site Habitat Baseline'!$D$1:$O$258,7,FALSE))))</f>
        <v/>
      </c>
      <c r="J19" s="295" t="str">
        <f>IF(E19="","",IF(ISNA(VLOOKUP($E19,'D-1 Off-Site Habitat Baseline'!$D$1:$O$258,8,FALSE)),"",(VLOOKUP($E19,'D-1 Off-Site Habitat Baseline'!$D$1:$O$258,8,FALSE))))</f>
        <v/>
      </c>
      <c r="K19" s="295" t="str">
        <f>IF(E19="","",IF(ISNA(VLOOKUP($E19,'D-1 Off-Site Habitat Baseline'!$D$1:$O$258,9,FALSE)),"",(VLOOKUP($E19,'D-1 Off-Site Habitat Baseline'!$D$1:$O$258,9,FALSE))))</f>
        <v/>
      </c>
      <c r="L19" s="295" t="str">
        <f>IF(E19="","",IF(ISNA(VLOOKUP($E19,'D-1 Off-Site Habitat Baseline'!$D$1:$O$258,11,FALSE)),"",(VLOOKUP($E19,'D-1 Off-Site Habitat Baseline'!$D$1:$O$258,11,FALSE))))</f>
        <v/>
      </c>
      <c r="M19" s="295" t="str">
        <f>IF(E19="","",IF(ISNA(VLOOKUP($E19,'D-1 Off-Site Habitat Baseline'!$D$1:$O$258,12,FALSE)),"",(VLOOKUP($E19,'D-1 Off-Site Habitat Baseline'!$D$1:$O$258,12,FALSE))))</f>
        <v/>
      </c>
      <c r="N19" s="295" t="str">
        <f>IF(E19="","",IF(ISNA(VLOOKUP($E19,'D-1 Off-Site Habitat Baseline'!$D$1:$AA$258,17,FALSE)),"",(VLOOKUP($E19,'D-1 Off-Site Habitat Baseline'!$D$1:$AA$258,17,FALSE))))</f>
        <v/>
      </c>
      <c r="O19" s="299" t="str">
        <f>IF(E19="","",IF(ISNA(VLOOKUP($E19,'D-1 Off-Site Habitat Baseline'!$D$1:$AA$258,13,FALSE)),"",(VLOOKUP($E19,'D-1 Off-Site Habitat Baseline'!$D$1:$AA$258,13,FALSE))))</f>
        <v/>
      </c>
      <c r="P19" s="148" t="str">
        <f>IFERROR(INDEX('G-1 All Habitats'!$AG$49:$AG$63,MATCH(Q19,'G-1 All Habitats'!$AF$27:$AF$41,0)),"")</f>
        <v/>
      </c>
      <c r="Q19" s="149" t="str">
        <f t="shared" si="0"/>
        <v/>
      </c>
      <c r="R19" s="150"/>
      <c r="S19" s="151" t="str">
        <f>IFERROR(INDEX('G-1 All Habitats'!$B$3:$B$135,MATCH(R19,'G-1 All Habitats'!$A$3:$A$135,0)),"")</f>
        <v/>
      </c>
      <c r="T19" s="283" t="str">
        <f t="shared" si="2"/>
        <v/>
      </c>
      <c r="U19" s="276" t="str">
        <f t="shared" si="3"/>
        <v/>
      </c>
      <c r="V19" s="298" t="str">
        <f t="shared" si="4"/>
        <v/>
      </c>
      <c r="W19" s="295" t="str">
        <f>IF(S19="","",VLOOKUP(S19,'G-1 All Habitats'!$B$2:$M$135,10,FALSE))</f>
        <v/>
      </c>
      <c r="X19" s="295" t="str">
        <f>IFERROR(VLOOKUP(W19,'G-1 All Habitats'!$V$3:$W$7,2,FALSE),"")</f>
        <v/>
      </c>
      <c r="Y19" s="138"/>
      <c r="Z19" s="299" t="str">
        <f>IFERROR(INDEX('G-8 Condition Look up'!$A$3:$H$135,MATCH(S19,'G-8 Condition Look up'!$A$3:$A$135,0),MATCH(Y19,'G-8 Condition Look up'!$A$3:$H$3,0)),"")</f>
        <v/>
      </c>
      <c r="AA19" s="101"/>
      <c r="AB19" s="314" t="str">
        <f>IF(AA19="","",IF(VLOOKUP(AA19,'G-3 Multipliers'!$L$3:$N$6,2,FALSE)=0,"Spatial Data Missing ⚠",VLOOKUP(AA19,'G-3 Multipliers'!$L$3:$N$6,2,FALSE)))</f>
        <v/>
      </c>
      <c r="AC19" s="299" t="str">
        <f>IF(AA19="","",IF(VLOOKUP(AA19,'G-3 Multipliers'!$L$3:$N$6,3,FALSE)=0,"Spatial Data Missing ⚠",VLOOKUP(AA19,'G-3 Multipliers'!$L$3:$N$6,3,FALSE)))</f>
        <v/>
      </c>
      <c r="AD19" s="311" t="str">
        <f t="shared" si="1"/>
        <v/>
      </c>
      <c r="AE19" s="138"/>
      <c r="AF19" s="138"/>
      <c r="AG19" s="295" t="str">
        <f t="shared" si="5"/>
        <v/>
      </c>
      <c r="AH19" s="296" t="str">
        <f t="shared" si="6"/>
        <v/>
      </c>
      <c r="AI19" s="300" t="str">
        <f>IF(AH19="Check Data ⚠","Check Data ⚠",IFERROR(VLOOKUP(AH19,'G-4 Temporal multipliers'!$A$4:$C$36,3,FALSE),""))</f>
        <v/>
      </c>
      <c r="AJ19" s="311" t="str">
        <f>IF(S19="","",VLOOKUP(S19,'G-3 Multipliers'!$A$2:$E$134,4,FALSE))</f>
        <v/>
      </c>
      <c r="AK19" s="295" t="str">
        <f t="shared" si="7"/>
        <v/>
      </c>
      <c r="AL19" s="295" t="str">
        <f t="shared" si="8"/>
        <v/>
      </c>
      <c r="AM19" s="299" t="str">
        <f>IFERROR(IF(F19="","",IF(AH19="Check Data ⚠","Check Data ⚠",VLOOKUP(AL19,'G-3 Multipliers'!$P$2:$Q$6,2,FALSE))),"")</f>
        <v/>
      </c>
      <c r="AN19" s="712" t="str">
        <f>IF(E19="","",IF(ISNA(VLOOKUP($E19,'D-1 Off-Site Habitat Baseline'!$D$1:$Z$258,15,FALSE)),"",(VLOOKUP($E19,'D-1 Off-Site Habitat Baseline'!$D$1:$Z$258,15,FALSE))))</f>
        <v/>
      </c>
      <c r="AO19" s="329" t="str">
        <f>IF(AN19="","",IF(VLOOKUP(AN19,'G-3 Multipliers'!$S$3:$T$10,2,FALSE)=0,"Spatial Data Missing ⚠",VLOOKUP(AN19,'G-3 Multipliers'!$S$3:$T$10,2,FALSE)))</f>
        <v/>
      </c>
      <c r="AP19" s="289" t="str">
        <f t="shared" si="9"/>
        <v/>
      </c>
      <c r="AQ19" s="289" t="str">
        <f t="shared" si="10"/>
        <v/>
      </c>
      <c r="AR19" s="105"/>
      <c r="AS19" s="138"/>
      <c r="AT19" s="104"/>
      <c r="AU19" s="104"/>
      <c r="AY19" s="30" t="str">
        <f>IF(E19="","",IF(ISNA(VLOOKUP($E19,'D-1 Off-Site Habitat Baseline'!$D$1:$AV$258,4,FALSE)),"",(VLOOKUP($E19,'D-1 Off-Site Habitat Baseline'!$D$1:$AV$258,4,FALSE))))</f>
        <v/>
      </c>
    </row>
    <row r="20" spans="1:51" ht="14">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319" t="str">
        <f>'D-1 Off-Site Habitat Baseline'!AP19</f>
        <v/>
      </c>
      <c r="F20" s="283" t="str">
        <f>IF(E20="","",IF(ISNA(VLOOKUP($E20,'D-1 Off-Site Habitat Baseline'!$D$1:$ZZ$258,45,FALSE)),"",(VLOOKUP($E20,'D-1 Off-Site Habitat Baseline'!$D$1:$ZZ$258,45,FALSE))))</f>
        <v/>
      </c>
      <c r="G20" s="295" t="str">
        <f>IF(E20="","",IF(ISNA(VLOOKUP($E20,'D-1 Off-Site Habitat Baseline'!$D$1:$O$258,5,FALSE)),"",(VLOOKUP($E20,'D-1 Off-Site Habitat Baseline'!$D$1:$O$258,5,FALSE))))</f>
        <v/>
      </c>
      <c r="H20" s="295" t="str">
        <f>IF(E20="","",IF(ISNA(VLOOKUP($E20,'D-1 Off-Site Habitat Baseline'!$D$1:$O$258,6,FALSE)),"",(VLOOKUP($E20,'D-1 Off-Site Habitat Baseline'!$D$1:$O$258,6,FALSE))))</f>
        <v/>
      </c>
      <c r="I20" s="295" t="str">
        <f>IF(E20="","",IF(ISNA(VLOOKUP($E20,'D-1 Off-Site Habitat Baseline'!$D$1:$O$258,7,FALSE)),"",(VLOOKUP($E20,'D-1 Off-Site Habitat Baseline'!$D$1:$O$258,7,FALSE))))</f>
        <v/>
      </c>
      <c r="J20" s="295" t="str">
        <f>IF(E20="","",IF(ISNA(VLOOKUP($E20,'D-1 Off-Site Habitat Baseline'!$D$1:$O$258,8,FALSE)),"",(VLOOKUP($E20,'D-1 Off-Site Habitat Baseline'!$D$1:$O$258,8,FALSE))))</f>
        <v/>
      </c>
      <c r="K20" s="295" t="str">
        <f>IF(E20="","",IF(ISNA(VLOOKUP($E20,'D-1 Off-Site Habitat Baseline'!$D$1:$O$258,9,FALSE)),"",(VLOOKUP($E20,'D-1 Off-Site Habitat Baseline'!$D$1:$O$258,9,FALSE))))</f>
        <v/>
      </c>
      <c r="L20" s="295" t="str">
        <f>IF(E20="","",IF(ISNA(VLOOKUP($E20,'D-1 Off-Site Habitat Baseline'!$D$1:$O$258,11,FALSE)),"",(VLOOKUP($E20,'D-1 Off-Site Habitat Baseline'!$D$1:$O$258,11,FALSE))))</f>
        <v/>
      </c>
      <c r="M20" s="295" t="str">
        <f>IF(E20="","",IF(ISNA(VLOOKUP($E20,'D-1 Off-Site Habitat Baseline'!$D$1:$O$258,12,FALSE)),"",(VLOOKUP($E20,'D-1 Off-Site Habitat Baseline'!$D$1:$O$258,12,FALSE))))</f>
        <v/>
      </c>
      <c r="N20" s="295" t="str">
        <f>IF(E20="","",IF(ISNA(VLOOKUP($E20,'D-1 Off-Site Habitat Baseline'!$D$1:$AA$258,17,FALSE)),"",(VLOOKUP($E20,'D-1 Off-Site Habitat Baseline'!$D$1:$AA$258,17,FALSE))))</f>
        <v/>
      </c>
      <c r="O20" s="299" t="str">
        <f>IF(E20="","",IF(ISNA(VLOOKUP($E20,'D-1 Off-Site Habitat Baseline'!$D$1:$AA$258,13,FALSE)),"",(VLOOKUP($E20,'D-1 Off-Site Habitat Baseline'!$D$1:$AA$258,13,FALSE))))</f>
        <v/>
      </c>
      <c r="P20" s="148" t="str">
        <f>IFERROR(INDEX('G-1 All Habitats'!$AG$49:$AG$63,MATCH(Q20,'G-1 All Habitats'!$AF$27:$AF$41,0)),"")</f>
        <v/>
      </c>
      <c r="Q20" s="149" t="str">
        <f t="shared" si="0"/>
        <v/>
      </c>
      <c r="R20" s="150"/>
      <c r="S20" s="151" t="str">
        <f>IFERROR(INDEX('G-1 All Habitats'!$B$3:$B$135,MATCH(R20,'G-1 All Habitats'!$A$3:$A$135,0)),"")</f>
        <v/>
      </c>
      <c r="T20" s="283" t="str">
        <f t="shared" si="2"/>
        <v/>
      </c>
      <c r="U20" s="276" t="str">
        <f t="shared" si="3"/>
        <v/>
      </c>
      <c r="V20" s="298" t="str">
        <f t="shared" si="4"/>
        <v/>
      </c>
      <c r="W20" s="295" t="str">
        <f>IF(S20="","",VLOOKUP(S20,'G-1 All Habitats'!$B$2:$M$135,10,FALSE))</f>
        <v/>
      </c>
      <c r="X20" s="295" t="str">
        <f>IFERROR(VLOOKUP(W20,'G-1 All Habitats'!$V$3:$W$7,2,FALSE),"")</f>
        <v/>
      </c>
      <c r="Y20" s="138"/>
      <c r="Z20" s="299" t="str">
        <f>IFERROR(INDEX('G-8 Condition Look up'!$A$3:$H$135,MATCH(S20,'G-8 Condition Look up'!$A$3:$A$135,0),MATCH(Y20,'G-8 Condition Look up'!$A$3:$H$3,0)),"")</f>
        <v/>
      </c>
      <c r="AA20" s="101"/>
      <c r="AB20" s="314" t="str">
        <f>IF(AA20="","",IF(VLOOKUP(AA20,'G-3 Multipliers'!$L$3:$N$6,2,FALSE)=0,"Spatial Data Missing ⚠",VLOOKUP(AA20,'G-3 Multipliers'!$L$3:$N$6,2,FALSE)))</f>
        <v/>
      </c>
      <c r="AC20" s="299" t="str">
        <f>IF(AA20="","",IF(VLOOKUP(AA20,'G-3 Multipliers'!$L$3:$N$6,3,FALSE)=0,"Spatial Data Missing ⚠",VLOOKUP(AA20,'G-3 Multipliers'!$L$3:$N$6,3,FALSE)))</f>
        <v/>
      </c>
      <c r="AD20" s="311" t="str">
        <f t="shared" si="1"/>
        <v/>
      </c>
      <c r="AE20" s="138"/>
      <c r="AF20" s="138"/>
      <c r="AG20" s="295" t="str">
        <f t="shared" si="5"/>
        <v/>
      </c>
      <c r="AH20" s="296" t="str">
        <f t="shared" si="6"/>
        <v/>
      </c>
      <c r="AI20" s="300" t="str">
        <f>IF(AH20="Check Data ⚠","Check Data ⚠",IFERROR(VLOOKUP(AH20,'G-4 Temporal multipliers'!$A$4:$C$36,3,FALSE),""))</f>
        <v/>
      </c>
      <c r="AJ20" s="311" t="str">
        <f>IF(S20="","",VLOOKUP(S20,'G-3 Multipliers'!$A$2:$E$134,4,FALSE))</f>
        <v/>
      </c>
      <c r="AK20" s="295" t="str">
        <f t="shared" si="7"/>
        <v/>
      </c>
      <c r="AL20" s="295" t="str">
        <f t="shared" si="8"/>
        <v/>
      </c>
      <c r="AM20" s="299" t="str">
        <f>IFERROR(IF(F20="","",IF(AH20="Check Data ⚠","Check Data ⚠",VLOOKUP(AL20,'G-3 Multipliers'!$P$2:$Q$6,2,FALSE))),"")</f>
        <v/>
      </c>
      <c r="AN20" s="712" t="str">
        <f>IF(E20="","",IF(ISNA(VLOOKUP($E20,'D-1 Off-Site Habitat Baseline'!$D$1:$Z$258,15,FALSE)),"",(VLOOKUP($E20,'D-1 Off-Site Habitat Baseline'!$D$1:$Z$258,15,FALSE))))</f>
        <v/>
      </c>
      <c r="AO20" s="329" t="str">
        <f>IF(AN20="","",IF(VLOOKUP(AN20,'G-3 Multipliers'!$S$3:$T$10,2,FALSE)=0,"Spatial Data Missing ⚠",VLOOKUP(AN20,'G-3 Multipliers'!$S$3:$T$10,2,FALSE)))</f>
        <v/>
      </c>
      <c r="AP20" s="289" t="str">
        <f t="shared" si="9"/>
        <v/>
      </c>
      <c r="AQ20" s="289" t="str">
        <f t="shared" si="10"/>
        <v/>
      </c>
      <c r="AR20" s="105"/>
      <c r="AS20" s="138"/>
      <c r="AT20" s="104"/>
      <c r="AU20" s="104"/>
      <c r="AY20" s="30" t="str">
        <f>IF(E20="","",IF(ISNA(VLOOKUP($E20,'D-1 Off-Site Habitat Baseline'!$D$1:$AV$258,4,FALSE)),"",(VLOOKUP($E20,'D-1 Off-Site Habitat Baseline'!$D$1:$AV$258,4,FALSE))))</f>
        <v/>
      </c>
    </row>
    <row r="21" spans="1:51" ht="14">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319" t="str">
        <f>'D-1 Off-Site Habitat Baseline'!AP20</f>
        <v/>
      </c>
      <c r="F21" s="283" t="str">
        <f>IF(E21="","",IF(ISNA(VLOOKUP($E21,'D-1 Off-Site Habitat Baseline'!$D$1:$ZZ$258,45,FALSE)),"",(VLOOKUP($E21,'D-1 Off-Site Habitat Baseline'!$D$1:$ZZ$258,45,FALSE))))</f>
        <v/>
      </c>
      <c r="G21" s="295" t="str">
        <f>IF(E21="","",IF(ISNA(VLOOKUP($E21,'D-1 Off-Site Habitat Baseline'!$D$1:$O$258,5,FALSE)),"",(VLOOKUP($E21,'D-1 Off-Site Habitat Baseline'!$D$1:$O$258,5,FALSE))))</f>
        <v/>
      </c>
      <c r="H21" s="295" t="str">
        <f>IF(E21="","",IF(ISNA(VLOOKUP($E21,'D-1 Off-Site Habitat Baseline'!$D$1:$O$258,6,FALSE)),"",(VLOOKUP($E21,'D-1 Off-Site Habitat Baseline'!$D$1:$O$258,6,FALSE))))</f>
        <v/>
      </c>
      <c r="I21" s="295" t="str">
        <f>IF(E21="","",IF(ISNA(VLOOKUP($E21,'D-1 Off-Site Habitat Baseline'!$D$1:$O$258,7,FALSE)),"",(VLOOKUP($E21,'D-1 Off-Site Habitat Baseline'!$D$1:$O$258,7,FALSE))))</f>
        <v/>
      </c>
      <c r="J21" s="295" t="str">
        <f>IF(E21="","",IF(ISNA(VLOOKUP($E21,'D-1 Off-Site Habitat Baseline'!$D$1:$O$258,8,FALSE)),"",(VLOOKUP($E21,'D-1 Off-Site Habitat Baseline'!$D$1:$O$258,8,FALSE))))</f>
        <v/>
      </c>
      <c r="K21" s="295" t="str">
        <f>IF(E21="","",IF(ISNA(VLOOKUP($E21,'D-1 Off-Site Habitat Baseline'!$D$1:$O$258,9,FALSE)),"",(VLOOKUP($E21,'D-1 Off-Site Habitat Baseline'!$D$1:$O$258,9,FALSE))))</f>
        <v/>
      </c>
      <c r="L21" s="295" t="str">
        <f>IF(E21="","",IF(ISNA(VLOOKUP($E21,'D-1 Off-Site Habitat Baseline'!$D$1:$O$258,11,FALSE)),"",(VLOOKUP($E21,'D-1 Off-Site Habitat Baseline'!$D$1:$O$258,11,FALSE))))</f>
        <v/>
      </c>
      <c r="M21" s="295" t="str">
        <f>IF(E21="","",IF(ISNA(VLOOKUP($E21,'D-1 Off-Site Habitat Baseline'!$D$1:$O$258,12,FALSE)),"",(VLOOKUP($E21,'D-1 Off-Site Habitat Baseline'!$D$1:$O$258,12,FALSE))))</f>
        <v/>
      </c>
      <c r="N21" s="295" t="str">
        <f>IF(E21="","",IF(ISNA(VLOOKUP($E21,'D-1 Off-Site Habitat Baseline'!$D$1:$AA$258,17,FALSE)),"",(VLOOKUP($E21,'D-1 Off-Site Habitat Baseline'!$D$1:$AA$258,17,FALSE))))</f>
        <v/>
      </c>
      <c r="O21" s="299" t="str">
        <f>IF(E21="","",IF(ISNA(VLOOKUP($E21,'D-1 Off-Site Habitat Baseline'!$D$1:$AA$258,13,FALSE)),"",(VLOOKUP($E21,'D-1 Off-Site Habitat Baseline'!$D$1:$AA$258,13,FALSE))))</f>
        <v/>
      </c>
      <c r="P21" s="148" t="str">
        <f>IFERROR(INDEX('G-1 All Habitats'!$AG$49:$AG$63,MATCH(Q21,'G-1 All Habitats'!$AF$27:$AF$41,0)),"")</f>
        <v/>
      </c>
      <c r="Q21" s="149" t="str">
        <f t="shared" si="0"/>
        <v/>
      </c>
      <c r="R21" s="150"/>
      <c r="S21" s="151" t="str">
        <f>IFERROR(INDEX('G-1 All Habitats'!$B$3:$B$135,MATCH(R21,'G-1 All Habitats'!$A$3:$A$135,0)),"")</f>
        <v/>
      </c>
      <c r="T21" s="283" t="str">
        <f t="shared" si="2"/>
        <v/>
      </c>
      <c r="U21" s="276" t="str">
        <f t="shared" si="3"/>
        <v/>
      </c>
      <c r="V21" s="298" t="str">
        <f t="shared" si="4"/>
        <v/>
      </c>
      <c r="W21" s="295" t="str">
        <f>IF(S21="","",VLOOKUP(S21,'G-1 All Habitats'!$B$2:$M$135,10,FALSE))</f>
        <v/>
      </c>
      <c r="X21" s="295" t="str">
        <f>IFERROR(VLOOKUP(W21,'G-1 All Habitats'!$V$3:$W$7,2,FALSE),"")</f>
        <v/>
      </c>
      <c r="Y21" s="138"/>
      <c r="Z21" s="299" t="str">
        <f>IFERROR(INDEX('G-8 Condition Look up'!$A$3:$H$135,MATCH(S21,'G-8 Condition Look up'!$A$3:$A$135,0),MATCH(Y21,'G-8 Condition Look up'!$A$3:$H$3,0)),"")</f>
        <v/>
      </c>
      <c r="AA21" s="101"/>
      <c r="AB21" s="314" t="str">
        <f>IF(AA21="","",IF(VLOOKUP(AA21,'G-3 Multipliers'!$L$3:$N$6,2,FALSE)=0,"Spatial Data Missing ⚠",VLOOKUP(AA21,'G-3 Multipliers'!$L$3:$N$6,2,FALSE)))</f>
        <v/>
      </c>
      <c r="AC21" s="299" t="str">
        <f>IF(AA21="","",IF(VLOOKUP(AA21,'G-3 Multipliers'!$L$3:$N$6,3,FALSE)=0,"Spatial Data Missing ⚠",VLOOKUP(AA21,'G-3 Multipliers'!$L$3:$N$6,3,FALSE)))</f>
        <v/>
      </c>
      <c r="AD21" s="311" t="str">
        <f t="shared" si="1"/>
        <v/>
      </c>
      <c r="AE21" s="138"/>
      <c r="AF21" s="138"/>
      <c r="AG21" s="295" t="str">
        <f t="shared" si="5"/>
        <v/>
      </c>
      <c r="AH21" s="296" t="str">
        <f t="shared" si="6"/>
        <v/>
      </c>
      <c r="AI21" s="300" t="str">
        <f>IF(AH21="Check Data ⚠","Check Data ⚠",IFERROR(VLOOKUP(AH21,'G-4 Temporal multipliers'!$A$4:$C$36,3,FALSE),""))</f>
        <v/>
      </c>
      <c r="AJ21" s="311" t="str">
        <f>IF(S21="","",VLOOKUP(S21,'G-3 Multipliers'!$A$2:$E$134,4,FALSE))</f>
        <v/>
      </c>
      <c r="AK21" s="295" t="str">
        <f t="shared" si="7"/>
        <v/>
      </c>
      <c r="AL21" s="295" t="str">
        <f t="shared" si="8"/>
        <v/>
      </c>
      <c r="AM21" s="299" t="str">
        <f>IFERROR(IF(F21="","",IF(AH21="Check Data ⚠","Check Data ⚠",VLOOKUP(AL21,'G-3 Multipliers'!$P$2:$Q$6,2,FALSE))),"")</f>
        <v/>
      </c>
      <c r="AN21" s="712" t="str">
        <f>IF(E21="","",IF(ISNA(VLOOKUP($E21,'D-1 Off-Site Habitat Baseline'!$D$1:$Z$258,15,FALSE)),"",(VLOOKUP($E21,'D-1 Off-Site Habitat Baseline'!$D$1:$Z$258,15,FALSE))))</f>
        <v/>
      </c>
      <c r="AO21" s="329" t="str">
        <f>IF(AN21="","",IF(VLOOKUP(AN21,'G-3 Multipliers'!$S$3:$T$10,2,FALSE)=0,"Spatial Data Missing ⚠",VLOOKUP(AN21,'G-3 Multipliers'!$S$3:$T$10,2,FALSE)))</f>
        <v/>
      </c>
      <c r="AP21" s="289" t="str">
        <f t="shared" si="9"/>
        <v/>
      </c>
      <c r="AQ21" s="289" t="str">
        <f t="shared" si="10"/>
        <v/>
      </c>
      <c r="AR21" s="105"/>
      <c r="AS21" s="138"/>
      <c r="AT21" s="104"/>
      <c r="AU21" s="104"/>
      <c r="AY21" s="30" t="str">
        <f>IF(E21="","",IF(ISNA(VLOOKUP($E21,'D-1 Off-Site Habitat Baseline'!$D$1:$AV$258,4,FALSE)),"",(VLOOKUP($E21,'D-1 Off-Site Habitat Baseline'!$D$1:$AV$258,4,FALSE))))</f>
        <v/>
      </c>
    </row>
    <row r="22" spans="1:51" ht="14">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319" t="str">
        <f>'D-1 Off-Site Habitat Baseline'!AP21</f>
        <v/>
      </c>
      <c r="F22" s="283" t="str">
        <f>IF(E22="","",IF(ISNA(VLOOKUP($E22,'D-1 Off-Site Habitat Baseline'!$D$1:$ZZ$258,45,FALSE)),"",(VLOOKUP($E22,'D-1 Off-Site Habitat Baseline'!$D$1:$ZZ$258,45,FALSE))))</f>
        <v/>
      </c>
      <c r="G22" s="295" t="str">
        <f>IF(E22="","",IF(ISNA(VLOOKUP($E22,'D-1 Off-Site Habitat Baseline'!$D$1:$O$258,5,FALSE)),"",(VLOOKUP($E22,'D-1 Off-Site Habitat Baseline'!$D$1:$O$258,5,FALSE))))</f>
        <v/>
      </c>
      <c r="H22" s="295" t="str">
        <f>IF(E22="","",IF(ISNA(VLOOKUP($E22,'D-1 Off-Site Habitat Baseline'!$D$1:$O$258,6,FALSE)),"",(VLOOKUP($E22,'D-1 Off-Site Habitat Baseline'!$D$1:$O$258,6,FALSE))))</f>
        <v/>
      </c>
      <c r="I22" s="295" t="str">
        <f>IF(E22="","",IF(ISNA(VLOOKUP($E22,'D-1 Off-Site Habitat Baseline'!$D$1:$O$258,7,FALSE)),"",(VLOOKUP($E22,'D-1 Off-Site Habitat Baseline'!$D$1:$O$258,7,FALSE))))</f>
        <v/>
      </c>
      <c r="J22" s="295" t="str">
        <f>IF(E22="","",IF(ISNA(VLOOKUP($E22,'D-1 Off-Site Habitat Baseline'!$D$1:$O$258,8,FALSE)),"",(VLOOKUP($E22,'D-1 Off-Site Habitat Baseline'!$D$1:$O$258,8,FALSE))))</f>
        <v/>
      </c>
      <c r="K22" s="295" t="str">
        <f>IF(E22="","",IF(ISNA(VLOOKUP($E22,'D-1 Off-Site Habitat Baseline'!$D$1:$O$258,9,FALSE)),"",(VLOOKUP($E22,'D-1 Off-Site Habitat Baseline'!$D$1:$O$258,9,FALSE))))</f>
        <v/>
      </c>
      <c r="L22" s="295" t="str">
        <f>IF(E22="","",IF(ISNA(VLOOKUP($E22,'D-1 Off-Site Habitat Baseline'!$D$1:$O$258,11,FALSE)),"",(VLOOKUP($E22,'D-1 Off-Site Habitat Baseline'!$D$1:$O$258,11,FALSE))))</f>
        <v/>
      </c>
      <c r="M22" s="295" t="str">
        <f>IF(E22="","",IF(ISNA(VLOOKUP($E22,'D-1 Off-Site Habitat Baseline'!$D$1:$O$258,12,FALSE)),"",(VLOOKUP($E22,'D-1 Off-Site Habitat Baseline'!$D$1:$O$258,12,FALSE))))</f>
        <v/>
      </c>
      <c r="N22" s="295" t="str">
        <f>IF(E22="","",IF(ISNA(VLOOKUP($E22,'D-1 Off-Site Habitat Baseline'!$D$1:$AA$258,17,FALSE)),"",(VLOOKUP($E22,'D-1 Off-Site Habitat Baseline'!$D$1:$AA$258,17,FALSE))))</f>
        <v/>
      </c>
      <c r="O22" s="299" t="str">
        <f>IF(E22="","",IF(ISNA(VLOOKUP($E22,'D-1 Off-Site Habitat Baseline'!$D$1:$AA$258,13,FALSE)),"",(VLOOKUP($E22,'D-1 Off-Site Habitat Baseline'!$D$1:$AA$258,13,FALSE))))</f>
        <v/>
      </c>
      <c r="P22" s="148" t="str">
        <f>IFERROR(INDEX('G-1 All Habitats'!$AG$49:$AG$63,MATCH(Q22,'G-1 All Habitats'!$AF$27:$AF$41,0)),"")</f>
        <v/>
      </c>
      <c r="Q22" s="149" t="str">
        <f t="shared" si="0"/>
        <v/>
      </c>
      <c r="R22" s="150"/>
      <c r="S22" s="151" t="str">
        <f>IFERROR(INDEX('G-1 All Habitats'!$B$3:$B$135,MATCH(R22,'G-1 All Habitats'!$A$3:$A$135,0)),"")</f>
        <v/>
      </c>
      <c r="T22" s="283" t="str">
        <f t="shared" si="2"/>
        <v/>
      </c>
      <c r="U22" s="276" t="str">
        <f t="shared" si="3"/>
        <v/>
      </c>
      <c r="V22" s="298" t="str">
        <f t="shared" si="4"/>
        <v/>
      </c>
      <c r="W22" s="295" t="str">
        <f>IF(S22="","",VLOOKUP(S22,'G-1 All Habitats'!$B$2:$M$135,10,FALSE))</f>
        <v/>
      </c>
      <c r="X22" s="295" t="str">
        <f>IFERROR(VLOOKUP(W22,'G-1 All Habitats'!$V$3:$W$7,2,FALSE),"")</f>
        <v/>
      </c>
      <c r="Y22" s="138"/>
      <c r="Z22" s="299" t="str">
        <f>IFERROR(INDEX('G-8 Condition Look up'!$A$3:$H$135,MATCH(S22,'G-8 Condition Look up'!$A$3:$A$135,0),MATCH(Y22,'G-8 Condition Look up'!$A$3:$H$3,0)),"")</f>
        <v/>
      </c>
      <c r="AA22" s="101"/>
      <c r="AB22" s="314" t="str">
        <f>IF(AA22="","",IF(VLOOKUP(AA22,'G-3 Multipliers'!$L$3:$N$6,2,FALSE)=0,"Spatial Data Missing ⚠",VLOOKUP(AA22,'G-3 Multipliers'!$L$3:$N$6,2,FALSE)))</f>
        <v/>
      </c>
      <c r="AC22" s="299" t="str">
        <f>IF(AA22="","",IF(VLOOKUP(AA22,'G-3 Multipliers'!$L$3:$N$6,3,FALSE)=0,"Spatial Data Missing ⚠",VLOOKUP(AA22,'G-3 Multipliers'!$L$3:$N$6,3,FALSE)))</f>
        <v/>
      </c>
      <c r="AD22" s="311" t="str">
        <f t="shared" si="1"/>
        <v/>
      </c>
      <c r="AE22" s="138"/>
      <c r="AF22" s="138"/>
      <c r="AG22" s="295" t="str">
        <f t="shared" si="5"/>
        <v/>
      </c>
      <c r="AH22" s="296" t="str">
        <f t="shared" si="6"/>
        <v/>
      </c>
      <c r="AI22" s="300" t="str">
        <f>IF(AH22="Check Data ⚠","Check Data ⚠",IFERROR(VLOOKUP(AH22,'G-4 Temporal multipliers'!$A$4:$C$36,3,FALSE),""))</f>
        <v/>
      </c>
      <c r="AJ22" s="311" t="str">
        <f>IF(S22="","",VLOOKUP(S22,'G-3 Multipliers'!$A$2:$E$134,4,FALSE))</f>
        <v/>
      </c>
      <c r="AK22" s="295" t="str">
        <f t="shared" si="7"/>
        <v/>
      </c>
      <c r="AL22" s="295" t="str">
        <f t="shared" si="8"/>
        <v/>
      </c>
      <c r="AM22" s="299" t="str">
        <f>IFERROR(IF(F22="","",IF(AH22="Check Data ⚠","Check Data ⚠",VLOOKUP(AL22,'G-3 Multipliers'!$P$2:$Q$6,2,FALSE))),"")</f>
        <v/>
      </c>
      <c r="AN22" s="712" t="str">
        <f>IF(E22="","",IF(ISNA(VLOOKUP($E22,'D-1 Off-Site Habitat Baseline'!$D$1:$Z$258,15,FALSE)),"",(VLOOKUP($E22,'D-1 Off-Site Habitat Baseline'!$D$1:$Z$258,15,FALSE))))</f>
        <v/>
      </c>
      <c r="AO22" s="329" t="str">
        <f>IF(AN22="","",IF(VLOOKUP(AN22,'G-3 Multipliers'!$S$3:$T$10,2,FALSE)=0,"Spatial Data Missing ⚠",VLOOKUP(AN22,'G-3 Multipliers'!$S$3:$T$10,2,FALSE)))</f>
        <v/>
      </c>
      <c r="AP22" s="289" t="str">
        <f t="shared" si="9"/>
        <v/>
      </c>
      <c r="AQ22" s="289" t="str">
        <f t="shared" si="10"/>
        <v/>
      </c>
      <c r="AR22" s="105"/>
      <c r="AS22" s="138"/>
      <c r="AT22" s="104"/>
      <c r="AU22" s="104"/>
      <c r="AY22" s="30" t="str">
        <f>IF(E22="","",IF(ISNA(VLOOKUP($E22,'D-1 Off-Site Habitat Baseline'!$D$1:$AV$258,4,FALSE)),"",(VLOOKUP($E22,'D-1 Off-Site Habitat Baseline'!$D$1:$AV$258,4,FALSE))))</f>
        <v/>
      </c>
    </row>
    <row r="23" spans="1:51" ht="14">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319" t="str">
        <f>'D-1 Off-Site Habitat Baseline'!AP22</f>
        <v/>
      </c>
      <c r="F23" s="283" t="str">
        <f>IF(E23="","",IF(ISNA(VLOOKUP($E23,'D-1 Off-Site Habitat Baseline'!$D$1:$ZZ$258,45,FALSE)),"",(VLOOKUP($E23,'D-1 Off-Site Habitat Baseline'!$D$1:$ZZ$258,45,FALSE))))</f>
        <v/>
      </c>
      <c r="G23" s="295" t="str">
        <f>IF(E23="","",IF(ISNA(VLOOKUP($E23,'D-1 Off-Site Habitat Baseline'!$D$1:$O$258,5,FALSE)),"",(VLOOKUP($E23,'D-1 Off-Site Habitat Baseline'!$D$1:$O$258,5,FALSE))))</f>
        <v/>
      </c>
      <c r="H23" s="295" t="str">
        <f>IF(E23="","",IF(ISNA(VLOOKUP($E23,'D-1 Off-Site Habitat Baseline'!$D$1:$O$258,6,FALSE)),"",(VLOOKUP($E23,'D-1 Off-Site Habitat Baseline'!$D$1:$O$258,6,FALSE))))</f>
        <v/>
      </c>
      <c r="I23" s="295" t="str">
        <f>IF(E23="","",IF(ISNA(VLOOKUP($E23,'D-1 Off-Site Habitat Baseline'!$D$1:$O$258,7,FALSE)),"",(VLOOKUP($E23,'D-1 Off-Site Habitat Baseline'!$D$1:$O$258,7,FALSE))))</f>
        <v/>
      </c>
      <c r="J23" s="295" t="str">
        <f>IF(E23="","",IF(ISNA(VLOOKUP($E23,'D-1 Off-Site Habitat Baseline'!$D$1:$O$258,8,FALSE)),"",(VLOOKUP($E23,'D-1 Off-Site Habitat Baseline'!$D$1:$O$258,8,FALSE))))</f>
        <v/>
      </c>
      <c r="K23" s="295" t="str">
        <f>IF(E23="","",IF(ISNA(VLOOKUP($E23,'D-1 Off-Site Habitat Baseline'!$D$1:$O$258,9,FALSE)),"",(VLOOKUP($E23,'D-1 Off-Site Habitat Baseline'!$D$1:$O$258,9,FALSE))))</f>
        <v/>
      </c>
      <c r="L23" s="295" t="str">
        <f>IF(E23="","",IF(ISNA(VLOOKUP($E23,'D-1 Off-Site Habitat Baseline'!$D$1:$O$258,11,FALSE)),"",(VLOOKUP($E23,'D-1 Off-Site Habitat Baseline'!$D$1:$O$258,11,FALSE))))</f>
        <v/>
      </c>
      <c r="M23" s="295" t="str">
        <f>IF(E23="","",IF(ISNA(VLOOKUP($E23,'D-1 Off-Site Habitat Baseline'!$D$1:$O$258,12,FALSE)),"",(VLOOKUP($E23,'D-1 Off-Site Habitat Baseline'!$D$1:$O$258,12,FALSE))))</f>
        <v/>
      </c>
      <c r="N23" s="295" t="str">
        <f>IF(E23="","",IF(ISNA(VLOOKUP($E23,'D-1 Off-Site Habitat Baseline'!$D$1:$AA$258,17,FALSE)),"",(VLOOKUP($E23,'D-1 Off-Site Habitat Baseline'!$D$1:$AA$258,17,FALSE))))</f>
        <v/>
      </c>
      <c r="O23" s="299" t="str">
        <f>IF(E23="","",IF(ISNA(VLOOKUP($E23,'D-1 Off-Site Habitat Baseline'!$D$1:$AA$258,13,FALSE)),"",(VLOOKUP($E23,'D-1 Off-Site Habitat Baseline'!$D$1:$AA$258,13,FALSE))))</f>
        <v/>
      </c>
      <c r="P23" s="148" t="str">
        <f>IFERROR(INDEX('G-1 All Habitats'!$AG$49:$AG$63,MATCH(Q23,'G-1 All Habitats'!$AF$27:$AF$41,0)),"")</f>
        <v/>
      </c>
      <c r="Q23" s="149" t="str">
        <f t="shared" si="0"/>
        <v/>
      </c>
      <c r="R23" s="150"/>
      <c r="S23" s="151" t="str">
        <f>IFERROR(INDEX('G-1 All Habitats'!$B$3:$B$135,MATCH(R23,'G-1 All Habitats'!$A$3:$A$135,0)),"")</f>
        <v/>
      </c>
      <c r="T23" s="283" t="str">
        <f t="shared" si="2"/>
        <v/>
      </c>
      <c r="U23" s="276" t="str">
        <f t="shared" si="3"/>
        <v/>
      </c>
      <c r="V23" s="298" t="str">
        <f t="shared" si="4"/>
        <v/>
      </c>
      <c r="W23" s="295" t="str">
        <f>IF(S23="","",VLOOKUP(S23,'G-1 All Habitats'!$B$2:$M$135,10,FALSE))</f>
        <v/>
      </c>
      <c r="X23" s="295" t="str">
        <f>IFERROR(VLOOKUP(W23,'G-1 All Habitats'!$V$3:$W$7,2,FALSE),"")</f>
        <v/>
      </c>
      <c r="Y23" s="138"/>
      <c r="Z23" s="299" t="str">
        <f>IFERROR(INDEX('G-8 Condition Look up'!$A$3:$H$135,MATCH(S23,'G-8 Condition Look up'!$A$3:$A$135,0),MATCH(Y23,'G-8 Condition Look up'!$A$3:$H$3,0)),"")</f>
        <v/>
      </c>
      <c r="AA23" s="101"/>
      <c r="AB23" s="314" t="str">
        <f>IF(AA23="","",IF(VLOOKUP(AA23,'G-3 Multipliers'!$L$3:$N$6,2,FALSE)=0,"Spatial Data Missing ⚠",VLOOKUP(AA23,'G-3 Multipliers'!$L$3:$N$6,2,FALSE)))</f>
        <v/>
      </c>
      <c r="AC23" s="299" t="str">
        <f>IF(AA23="","",IF(VLOOKUP(AA23,'G-3 Multipliers'!$L$3:$N$6,3,FALSE)=0,"Spatial Data Missing ⚠",VLOOKUP(AA23,'G-3 Multipliers'!$L$3:$N$6,3,FALSE)))</f>
        <v/>
      </c>
      <c r="AD23" s="311" t="str">
        <f t="shared" si="1"/>
        <v/>
      </c>
      <c r="AE23" s="138"/>
      <c r="AF23" s="138"/>
      <c r="AG23" s="295" t="str">
        <f t="shared" si="5"/>
        <v/>
      </c>
      <c r="AH23" s="296" t="str">
        <f t="shared" si="6"/>
        <v/>
      </c>
      <c r="AI23" s="300" t="str">
        <f>IF(AH23="Check Data ⚠","Check Data ⚠",IFERROR(VLOOKUP(AH23,'G-4 Temporal multipliers'!$A$4:$C$36,3,FALSE),""))</f>
        <v/>
      </c>
      <c r="AJ23" s="311" t="str">
        <f>IF(S23="","",VLOOKUP(S23,'G-3 Multipliers'!$A$2:$E$134,4,FALSE))</f>
        <v/>
      </c>
      <c r="AK23" s="295" t="str">
        <f t="shared" si="7"/>
        <v/>
      </c>
      <c r="AL23" s="295" t="str">
        <f t="shared" si="8"/>
        <v/>
      </c>
      <c r="AM23" s="299" t="str">
        <f>IFERROR(IF(F23="","",IF(AH23="Check Data ⚠","Check Data ⚠",VLOOKUP(AL23,'G-3 Multipliers'!$P$2:$Q$6,2,FALSE))),"")</f>
        <v/>
      </c>
      <c r="AN23" s="712" t="str">
        <f>IF(E23="","",IF(ISNA(VLOOKUP($E23,'D-1 Off-Site Habitat Baseline'!$D$1:$Z$258,15,FALSE)),"",(VLOOKUP($E23,'D-1 Off-Site Habitat Baseline'!$D$1:$Z$258,15,FALSE))))</f>
        <v/>
      </c>
      <c r="AO23" s="329" t="str">
        <f>IF(AN23="","",IF(VLOOKUP(AN23,'G-3 Multipliers'!$S$3:$T$10,2,FALSE)=0,"Spatial Data Missing ⚠",VLOOKUP(AN23,'G-3 Multipliers'!$S$3:$T$10,2,FALSE)))</f>
        <v/>
      </c>
      <c r="AP23" s="289" t="str">
        <f t="shared" si="9"/>
        <v/>
      </c>
      <c r="AQ23" s="289" t="str">
        <f t="shared" si="10"/>
        <v/>
      </c>
      <c r="AR23" s="105"/>
      <c r="AS23" s="138"/>
      <c r="AT23" s="104"/>
      <c r="AU23" s="104"/>
      <c r="AY23" s="30" t="str">
        <f>IF(E23="","",IF(ISNA(VLOOKUP($E23,'D-1 Off-Site Habitat Baseline'!$D$1:$AV$258,4,FALSE)),"",(VLOOKUP($E23,'D-1 Off-Site Habitat Baseline'!$D$1:$AV$258,4,FALSE))))</f>
        <v/>
      </c>
    </row>
    <row r="24" spans="1:51" ht="14">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319" t="str">
        <f>'D-1 Off-Site Habitat Baseline'!AP23</f>
        <v/>
      </c>
      <c r="F24" s="283" t="str">
        <f>IF(E24="","",IF(ISNA(VLOOKUP($E24,'D-1 Off-Site Habitat Baseline'!$D$1:$ZZ$258,45,FALSE)),"",(VLOOKUP($E24,'D-1 Off-Site Habitat Baseline'!$D$1:$ZZ$258,45,FALSE))))</f>
        <v/>
      </c>
      <c r="G24" s="295" t="str">
        <f>IF(E24="","",IF(ISNA(VLOOKUP($E24,'D-1 Off-Site Habitat Baseline'!$D$1:$O$258,5,FALSE)),"",(VLOOKUP($E24,'D-1 Off-Site Habitat Baseline'!$D$1:$O$258,5,FALSE))))</f>
        <v/>
      </c>
      <c r="H24" s="295" t="str">
        <f>IF(E24="","",IF(ISNA(VLOOKUP($E24,'D-1 Off-Site Habitat Baseline'!$D$1:$O$258,6,FALSE)),"",(VLOOKUP($E24,'D-1 Off-Site Habitat Baseline'!$D$1:$O$258,6,FALSE))))</f>
        <v/>
      </c>
      <c r="I24" s="295" t="str">
        <f>IF(E24="","",IF(ISNA(VLOOKUP($E24,'D-1 Off-Site Habitat Baseline'!$D$1:$O$258,7,FALSE)),"",(VLOOKUP($E24,'D-1 Off-Site Habitat Baseline'!$D$1:$O$258,7,FALSE))))</f>
        <v/>
      </c>
      <c r="J24" s="295" t="str">
        <f>IF(E24="","",IF(ISNA(VLOOKUP($E24,'D-1 Off-Site Habitat Baseline'!$D$1:$O$258,8,FALSE)),"",(VLOOKUP($E24,'D-1 Off-Site Habitat Baseline'!$D$1:$O$258,8,FALSE))))</f>
        <v/>
      </c>
      <c r="K24" s="295" t="str">
        <f>IF(E24="","",IF(ISNA(VLOOKUP($E24,'D-1 Off-Site Habitat Baseline'!$D$1:$O$258,9,FALSE)),"",(VLOOKUP($E24,'D-1 Off-Site Habitat Baseline'!$D$1:$O$258,9,FALSE))))</f>
        <v/>
      </c>
      <c r="L24" s="295" t="str">
        <f>IF(E24="","",IF(ISNA(VLOOKUP($E24,'D-1 Off-Site Habitat Baseline'!$D$1:$O$258,11,FALSE)),"",(VLOOKUP($E24,'D-1 Off-Site Habitat Baseline'!$D$1:$O$258,11,FALSE))))</f>
        <v/>
      </c>
      <c r="M24" s="295" t="str">
        <f>IF(E24="","",IF(ISNA(VLOOKUP($E24,'D-1 Off-Site Habitat Baseline'!$D$1:$O$258,12,FALSE)),"",(VLOOKUP($E24,'D-1 Off-Site Habitat Baseline'!$D$1:$O$258,12,FALSE))))</f>
        <v/>
      </c>
      <c r="N24" s="295" t="str">
        <f>IF(E24="","",IF(ISNA(VLOOKUP($E24,'D-1 Off-Site Habitat Baseline'!$D$1:$AA$258,17,FALSE)),"",(VLOOKUP($E24,'D-1 Off-Site Habitat Baseline'!$D$1:$AA$258,17,FALSE))))</f>
        <v/>
      </c>
      <c r="O24" s="299" t="str">
        <f>IF(E24="","",IF(ISNA(VLOOKUP($E24,'D-1 Off-Site Habitat Baseline'!$D$1:$AA$258,13,FALSE)),"",(VLOOKUP($E24,'D-1 Off-Site Habitat Baseline'!$D$1:$AA$258,13,FALSE))))</f>
        <v/>
      </c>
      <c r="P24" s="148" t="str">
        <f>IFERROR(INDEX('G-1 All Habitats'!$AG$49:$AG$63,MATCH(Q24,'G-1 All Habitats'!$AF$27:$AF$41,0)),"")</f>
        <v/>
      </c>
      <c r="Q24" s="149" t="str">
        <f t="shared" si="0"/>
        <v/>
      </c>
      <c r="R24" s="150"/>
      <c r="S24" s="151" t="str">
        <f>IFERROR(INDEX('G-1 All Habitats'!$B$3:$B$135,MATCH(R24,'G-1 All Habitats'!$A$3:$A$135,0)),"")</f>
        <v/>
      </c>
      <c r="T24" s="283" t="str">
        <f t="shared" si="2"/>
        <v/>
      </c>
      <c r="U24" s="276" t="str">
        <f t="shared" si="3"/>
        <v/>
      </c>
      <c r="V24" s="298" t="str">
        <f t="shared" si="4"/>
        <v/>
      </c>
      <c r="W24" s="295" t="str">
        <f>IF(S24="","",VLOOKUP(S24,'G-1 All Habitats'!$B$2:$M$135,10,FALSE))</f>
        <v/>
      </c>
      <c r="X24" s="295" t="str">
        <f>IFERROR(VLOOKUP(W24,'G-1 All Habitats'!$V$3:$W$7,2,FALSE),"")</f>
        <v/>
      </c>
      <c r="Y24" s="138"/>
      <c r="Z24" s="299" t="str">
        <f>IFERROR(INDEX('G-8 Condition Look up'!$A$3:$H$135,MATCH(S24,'G-8 Condition Look up'!$A$3:$A$135,0),MATCH(Y24,'G-8 Condition Look up'!$A$3:$H$3,0)),"")</f>
        <v/>
      </c>
      <c r="AA24" s="101"/>
      <c r="AB24" s="314" t="str">
        <f>IF(AA24="","",IF(VLOOKUP(AA24,'G-3 Multipliers'!$L$3:$N$6,2,FALSE)=0,"Spatial Data Missing ⚠",VLOOKUP(AA24,'G-3 Multipliers'!$L$3:$N$6,2,FALSE)))</f>
        <v/>
      </c>
      <c r="AC24" s="299" t="str">
        <f>IF(AA24="","",IF(VLOOKUP(AA24,'G-3 Multipliers'!$L$3:$N$6,3,FALSE)=0,"Spatial Data Missing ⚠",VLOOKUP(AA24,'G-3 Multipliers'!$L$3:$N$6,3,FALSE)))</f>
        <v/>
      </c>
      <c r="AD24" s="311" t="str">
        <f t="shared" si="1"/>
        <v/>
      </c>
      <c r="AE24" s="138"/>
      <c r="AF24" s="138"/>
      <c r="AG24" s="295" t="str">
        <f t="shared" si="5"/>
        <v/>
      </c>
      <c r="AH24" s="296" t="str">
        <f t="shared" si="6"/>
        <v/>
      </c>
      <c r="AI24" s="300" t="str">
        <f>IF(AH24="Check Data ⚠","Check Data ⚠",IFERROR(VLOOKUP(AH24,'G-4 Temporal multipliers'!$A$4:$C$36,3,FALSE),""))</f>
        <v/>
      </c>
      <c r="AJ24" s="311" t="str">
        <f>IF(S24="","",VLOOKUP(S24,'G-3 Multipliers'!$A$2:$E$134,4,FALSE))</f>
        <v/>
      </c>
      <c r="AK24" s="295" t="str">
        <f t="shared" si="7"/>
        <v/>
      </c>
      <c r="AL24" s="295" t="str">
        <f t="shared" si="8"/>
        <v/>
      </c>
      <c r="AM24" s="299" t="str">
        <f>IFERROR(IF(F24="","",IF(AH24="Check Data ⚠","Check Data ⚠",VLOOKUP(AL24,'G-3 Multipliers'!$P$2:$Q$6,2,FALSE))),"")</f>
        <v/>
      </c>
      <c r="AN24" s="712" t="str">
        <f>IF(E24="","",IF(ISNA(VLOOKUP($E24,'D-1 Off-Site Habitat Baseline'!$D$1:$Z$258,15,FALSE)),"",(VLOOKUP($E24,'D-1 Off-Site Habitat Baseline'!$D$1:$Z$258,15,FALSE))))</f>
        <v/>
      </c>
      <c r="AO24" s="329" t="str">
        <f>IF(AN24="","",IF(VLOOKUP(AN24,'G-3 Multipliers'!$S$3:$T$10,2,FALSE)=0,"Spatial Data Missing ⚠",VLOOKUP(AN24,'G-3 Multipliers'!$S$3:$T$10,2,FALSE)))</f>
        <v/>
      </c>
      <c r="AP24" s="289" t="str">
        <f t="shared" si="9"/>
        <v/>
      </c>
      <c r="AQ24" s="289" t="str">
        <f t="shared" si="10"/>
        <v/>
      </c>
      <c r="AR24" s="105"/>
      <c r="AS24" s="138"/>
      <c r="AT24" s="104"/>
      <c r="AU24" s="104"/>
      <c r="AY24" s="30" t="str">
        <f>IF(E24="","",IF(ISNA(VLOOKUP($E24,'D-1 Off-Site Habitat Baseline'!$D$1:$AV$258,4,FALSE)),"",(VLOOKUP($E24,'D-1 Off-Site Habitat Baseline'!$D$1:$AV$258,4,FALSE))))</f>
        <v/>
      </c>
    </row>
    <row r="25" spans="1:51" ht="14">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319" t="str">
        <f>'D-1 Off-Site Habitat Baseline'!AP24</f>
        <v/>
      </c>
      <c r="F25" s="283" t="str">
        <f>IF(E25="","",IF(ISNA(VLOOKUP($E25,'D-1 Off-Site Habitat Baseline'!$D$1:$ZZ$258,45,FALSE)),"",(VLOOKUP($E25,'D-1 Off-Site Habitat Baseline'!$D$1:$ZZ$258,45,FALSE))))</f>
        <v/>
      </c>
      <c r="G25" s="295" t="str">
        <f>IF(E25="","",IF(ISNA(VLOOKUP($E25,'D-1 Off-Site Habitat Baseline'!$D$1:$O$258,5,FALSE)),"",(VLOOKUP($E25,'D-1 Off-Site Habitat Baseline'!$D$1:$O$258,5,FALSE))))</f>
        <v/>
      </c>
      <c r="H25" s="295" t="str">
        <f>IF(E25="","",IF(ISNA(VLOOKUP($E25,'D-1 Off-Site Habitat Baseline'!$D$1:$O$258,6,FALSE)),"",(VLOOKUP($E25,'D-1 Off-Site Habitat Baseline'!$D$1:$O$258,6,FALSE))))</f>
        <v/>
      </c>
      <c r="I25" s="295" t="str">
        <f>IF(E25="","",IF(ISNA(VLOOKUP($E25,'D-1 Off-Site Habitat Baseline'!$D$1:$O$258,7,FALSE)),"",(VLOOKUP($E25,'D-1 Off-Site Habitat Baseline'!$D$1:$O$258,7,FALSE))))</f>
        <v/>
      </c>
      <c r="J25" s="295" t="str">
        <f>IF(E25="","",IF(ISNA(VLOOKUP($E25,'D-1 Off-Site Habitat Baseline'!$D$1:$O$258,8,FALSE)),"",(VLOOKUP($E25,'D-1 Off-Site Habitat Baseline'!$D$1:$O$258,8,FALSE))))</f>
        <v/>
      </c>
      <c r="K25" s="295" t="str">
        <f>IF(E25="","",IF(ISNA(VLOOKUP($E25,'D-1 Off-Site Habitat Baseline'!$D$1:$O$258,9,FALSE)),"",(VLOOKUP($E25,'D-1 Off-Site Habitat Baseline'!$D$1:$O$258,9,FALSE))))</f>
        <v/>
      </c>
      <c r="L25" s="295" t="str">
        <f>IF(E25="","",IF(ISNA(VLOOKUP($E25,'D-1 Off-Site Habitat Baseline'!$D$1:$O$258,11,FALSE)),"",(VLOOKUP($E25,'D-1 Off-Site Habitat Baseline'!$D$1:$O$258,11,FALSE))))</f>
        <v/>
      </c>
      <c r="M25" s="295" t="str">
        <f>IF(E25="","",IF(ISNA(VLOOKUP($E25,'D-1 Off-Site Habitat Baseline'!$D$1:$O$258,12,FALSE)),"",(VLOOKUP($E25,'D-1 Off-Site Habitat Baseline'!$D$1:$O$258,12,FALSE))))</f>
        <v/>
      </c>
      <c r="N25" s="295" t="str">
        <f>IF(E25="","",IF(ISNA(VLOOKUP($E25,'D-1 Off-Site Habitat Baseline'!$D$1:$AA$258,17,FALSE)),"",(VLOOKUP($E25,'D-1 Off-Site Habitat Baseline'!$D$1:$AA$258,17,FALSE))))</f>
        <v/>
      </c>
      <c r="O25" s="299" t="str">
        <f>IF(E25="","",IF(ISNA(VLOOKUP($E25,'D-1 Off-Site Habitat Baseline'!$D$1:$AA$258,13,FALSE)),"",(VLOOKUP($E25,'D-1 Off-Site Habitat Baseline'!$D$1:$AA$258,13,FALSE))))</f>
        <v/>
      </c>
      <c r="P25" s="148" t="str">
        <f>IFERROR(INDEX('G-1 All Habitats'!$AG$49:$AG$63,MATCH(Q25,'G-1 All Habitats'!$AF$27:$AF$41,0)),"")</f>
        <v/>
      </c>
      <c r="Q25" s="149" t="str">
        <f t="shared" si="0"/>
        <v/>
      </c>
      <c r="R25" s="150"/>
      <c r="S25" s="151" t="str">
        <f>IFERROR(INDEX('G-1 All Habitats'!$B$3:$B$135,MATCH(R25,'G-1 All Habitats'!$A$3:$A$135,0)),"")</f>
        <v/>
      </c>
      <c r="T25" s="283" t="str">
        <f t="shared" si="2"/>
        <v/>
      </c>
      <c r="U25" s="276" t="str">
        <f t="shared" si="3"/>
        <v/>
      </c>
      <c r="V25" s="298" t="str">
        <f t="shared" si="4"/>
        <v/>
      </c>
      <c r="W25" s="295" t="str">
        <f>IF(S25="","",VLOOKUP(S25,'G-1 All Habitats'!$B$2:$M$135,10,FALSE))</f>
        <v/>
      </c>
      <c r="X25" s="295" t="str">
        <f>IFERROR(VLOOKUP(W25,'G-1 All Habitats'!$V$3:$W$7,2,FALSE),"")</f>
        <v/>
      </c>
      <c r="Y25" s="138"/>
      <c r="Z25" s="299" t="str">
        <f>IFERROR(INDEX('G-8 Condition Look up'!$A$3:$H$135,MATCH(S25,'G-8 Condition Look up'!$A$3:$A$135,0),MATCH(Y25,'G-8 Condition Look up'!$A$3:$H$3,0)),"")</f>
        <v/>
      </c>
      <c r="AA25" s="101"/>
      <c r="AB25" s="314" t="str">
        <f>IF(AA25="","",IF(VLOOKUP(AA25,'G-3 Multipliers'!$L$3:$N$6,2,FALSE)=0,"Spatial Data Missing ⚠",VLOOKUP(AA25,'G-3 Multipliers'!$L$3:$N$6,2,FALSE)))</f>
        <v/>
      </c>
      <c r="AC25" s="299" t="str">
        <f>IF(AA25="","",IF(VLOOKUP(AA25,'G-3 Multipliers'!$L$3:$N$6,3,FALSE)=0,"Spatial Data Missing ⚠",VLOOKUP(AA25,'G-3 Multipliers'!$L$3:$N$6,3,FALSE)))</f>
        <v/>
      </c>
      <c r="AD25" s="311" t="str">
        <f t="shared" si="1"/>
        <v/>
      </c>
      <c r="AE25" s="138"/>
      <c r="AF25" s="138"/>
      <c r="AG25" s="295" t="str">
        <f t="shared" si="5"/>
        <v/>
      </c>
      <c r="AH25" s="296" t="str">
        <f t="shared" si="6"/>
        <v/>
      </c>
      <c r="AI25" s="300" t="str">
        <f>IF(AH25="Check Data ⚠","Check Data ⚠",IFERROR(VLOOKUP(AH25,'G-4 Temporal multipliers'!$A$4:$C$36,3,FALSE),""))</f>
        <v/>
      </c>
      <c r="AJ25" s="311" t="str">
        <f>IF(S25="","",VLOOKUP(S25,'G-3 Multipliers'!$A$2:$E$134,4,FALSE))</f>
        <v/>
      </c>
      <c r="AK25" s="295" t="str">
        <f t="shared" si="7"/>
        <v/>
      </c>
      <c r="AL25" s="295" t="str">
        <f t="shared" si="8"/>
        <v/>
      </c>
      <c r="AM25" s="299" t="str">
        <f>IFERROR(IF(F25="","",IF(AH25="Check Data ⚠","Check Data ⚠",VLOOKUP(AL25,'G-3 Multipliers'!$P$2:$Q$6,2,FALSE))),"")</f>
        <v/>
      </c>
      <c r="AN25" s="712" t="str">
        <f>IF(E25="","",IF(ISNA(VLOOKUP($E25,'D-1 Off-Site Habitat Baseline'!$D$1:$Z$258,15,FALSE)),"",(VLOOKUP($E25,'D-1 Off-Site Habitat Baseline'!$D$1:$Z$258,15,FALSE))))</f>
        <v/>
      </c>
      <c r="AO25" s="329" t="str">
        <f>IF(AN25="","",IF(VLOOKUP(AN25,'G-3 Multipliers'!$S$3:$T$10,2,FALSE)=0,"Spatial Data Missing ⚠",VLOOKUP(AN25,'G-3 Multipliers'!$S$3:$T$10,2,FALSE)))</f>
        <v/>
      </c>
      <c r="AP25" s="289" t="str">
        <f t="shared" si="9"/>
        <v/>
      </c>
      <c r="AQ25" s="289" t="str">
        <f t="shared" si="10"/>
        <v/>
      </c>
      <c r="AR25" s="105"/>
      <c r="AS25" s="138"/>
      <c r="AT25" s="104"/>
      <c r="AU25" s="104"/>
      <c r="AY25" s="30" t="str">
        <f>IF(E25="","",IF(ISNA(VLOOKUP($E25,'D-1 Off-Site Habitat Baseline'!$D$1:$AV$258,4,FALSE)),"",(VLOOKUP($E25,'D-1 Off-Site Habitat Baseline'!$D$1:$AV$258,4,FALSE))))</f>
        <v/>
      </c>
    </row>
    <row r="26" spans="1:51" ht="14">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319" t="str">
        <f>'D-1 Off-Site Habitat Baseline'!AP25</f>
        <v/>
      </c>
      <c r="F26" s="283" t="str">
        <f>IF(E26="","",IF(ISNA(VLOOKUP($E26,'D-1 Off-Site Habitat Baseline'!$D$1:$ZZ$258,45,FALSE)),"",(VLOOKUP($E26,'D-1 Off-Site Habitat Baseline'!$D$1:$ZZ$258,45,FALSE))))</f>
        <v/>
      </c>
      <c r="G26" s="295" t="str">
        <f>IF(E26="","",IF(ISNA(VLOOKUP($E26,'D-1 Off-Site Habitat Baseline'!$D$1:$O$258,5,FALSE)),"",(VLOOKUP($E26,'D-1 Off-Site Habitat Baseline'!$D$1:$O$258,5,FALSE))))</f>
        <v/>
      </c>
      <c r="H26" s="295" t="str">
        <f>IF(E26="","",IF(ISNA(VLOOKUP($E26,'D-1 Off-Site Habitat Baseline'!$D$1:$O$258,6,FALSE)),"",(VLOOKUP($E26,'D-1 Off-Site Habitat Baseline'!$D$1:$O$258,6,FALSE))))</f>
        <v/>
      </c>
      <c r="I26" s="295" t="str">
        <f>IF(E26="","",IF(ISNA(VLOOKUP($E26,'D-1 Off-Site Habitat Baseline'!$D$1:$O$258,7,FALSE)),"",(VLOOKUP($E26,'D-1 Off-Site Habitat Baseline'!$D$1:$O$258,7,FALSE))))</f>
        <v/>
      </c>
      <c r="J26" s="295" t="str">
        <f>IF(E26="","",IF(ISNA(VLOOKUP($E26,'D-1 Off-Site Habitat Baseline'!$D$1:$O$258,8,FALSE)),"",(VLOOKUP($E26,'D-1 Off-Site Habitat Baseline'!$D$1:$O$258,8,FALSE))))</f>
        <v/>
      </c>
      <c r="K26" s="295" t="str">
        <f>IF(E26="","",IF(ISNA(VLOOKUP($E26,'D-1 Off-Site Habitat Baseline'!$D$1:$O$258,9,FALSE)),"",(VLOOKUP($E26,'D-1 Off-Site Habitat Baseline'!$D$1:$O$258,9,FALSE))))</f>
        <v/>
      </c>
      <c r="L26" s="295" t="str">
        <f>IF(E26="","",IF(ISNA(VLOOKUP($E26,'D-1 Off-Site Habitat Baseline'!$D$1:$O$258,11,FALSE)),"",(VLOOKUP($E26,'D-1 Off-Site Habitat Baseline'!$D$1:$O$258,11,FALSE))))</f>
        <v/>
      </c>
      <c r="M26" s="295" t="str">
        <f>IF(E26="","",IF(ISNA(VLOOKUP($E26,'D-1 Off-Site Habitat Baseline'!$D$1:$O$258,12,FALSE)),"",(VLOOKUP($E26,'D-1 Off-Site Habitat Baseline'!$D$1:$O$258,12,FALSE))))</f>
        <v/>
      </c>
      <c r="N26" s="295" t="str">
        <f>IF(E26="","",IF(ISNA(VLOOKUP($E26,'D-1 Off-Site Habitat Baseline'!$D$1:$AA$258,17,FALSE)),"",(VLOOKUP($E26,'D-1 Off-Site Habitat Baseline'!$D$1:$AA$258,17,FALSE))))</f>
        <v/>
      </c>
      <c r="O26" s="299" t="str">
        <f>IF(E26="","",IF(ISNA(VLOOKUP($E26,'D-1 Off-Site Habitat Baseline'!$D$1:$AA$258,13,FALSE)),"",(VLOOKUP($E26,'D-1 Off-Site Habitat Baseline'!$D$1:$AA$258,13,FALSE))))</f>
        <v/>
      </c>
      <c r="P26" s="148" t="str">
        <f>IFERROR(INDEX('G-1 All Habitats'!$AG$49:$AG$63,MATCH(Q26,'G-1 All Habitats'!$AF$27:$AF$41,0)),"")</f>
        <v/>
      </c>
      <c r="Q26" s="149" t="str">
        <f t="shared" si="0"/>
        <v/>
      </c>
      <c r="R26" s="150"/>
      <c r="S26" s="151" t="str">
        <f>IFERROR(INDEX('G-1 All Habitats'!$B$3:$B$135,MATCH(R26,'G-1 All Habitats'!$A$3:$A$135,0)),"")</f>
        <v/>
      </c>
      <c r="T26" s="283" t="str">
        <f t="shared" si="2"/>
        <v/>
      </c>
      <c r="U26" s="276" t="str">
        <f t="shared" si="3"/>
        <v/>
      </c>
      <c r="V26" s="298" t="str">
        <f t="shared" si="4"/>
        <v/>
      </c>
      <c r="W26" s="295" t="str">
        <f>IF(S26="","",VLOOKUP(S26,'G-1 All Habitats'!$B$2:$M$135,10,FALSE))</f>
        <v/>
      </c>
      <c r="X26" s="295" t="str">
        <f>IFERROR(VLOOKUP(W26,'G-1 All Habitats'!$V$3:$W$7,2,FALSE),"")</f>
        <v/>
      </c>
      <c r="Y26" s="138"/>
      <c r="Z26" s="299" t="str">
        <f>IFERROR(INDEX('G-8 Condition Look up'!$A$3:$H$135,MATCH(S26,'G-8 Condition Look up'!$A$3:$A$135,0),MATCH(Y26,'G-8 Condition Look up'!$A$3:$H$3,0)),"")</f>
        <v/>
      </c>
      <c r="AA26" s="101"/>
      <c r="AB26" s="314" t="str">
        <f>IF(AA26="","",IF(VLOOKUP(AA26,'G-3 Multipliers'!$L$3:$N$6,2,FALSE)=0,"Spatial Data Missing ⚠",VLOOKUP(AA26,'G-3 Multipliers'!$L$3:$N$6,2,FALSE)))</f>
        <v/>
      </c>
      <c r="AC26" s="299" t="str">
        <f>IF(AA26="","",IF(VLOOKUP(AA26,'G-3 Multipliers'!$L$3:$N$6,3,FALSE)=0,"Spatial Data Missing ⚠",VLOOKUP(AA26,'G-3 Multipliers'!$L$3:$N$6,3,FALSE)))</f>
        <v/>
      </c>
      <c r="AD26" s="311" t="str">
        <f t="shared" si="1"/>
        <v/>
      </c>
      <c r="AE26" s="138"/>
      <c r="AF26" s="138"/>
      <c r="AG26" s="295" t="str">
        <f t="shared" si="5"/>
        <v/>
      </c>
      <c r="AH26" s="296" t="str">
        <f t="shared" si="6"/>
        <v/>
      </c>
      <c r="AI26" s="300" t="str">
        <f>IF(AH26="Check Data ⚠","Check Data ⚠",IFERROR(VLOOKUP(AH26,'G-4 Temporal multipliers'!$A$4:$C$36,3,FALSE),""))</f>
        <v/>
      </c>
      <c r="AJ26" s="311" t="str">
        <f>IF(S26="","",VLOOKUP(S26,'G-3 Multipliers'!$A$2:$E$134,4,FALSE))</f>
        <v/>
      </c>
      <c r="AK26" s="295" t="str">
        <f t="shared" si="7"/>
        <v/>
      </c>
      <c r="AL26" s="295" t="str">
        <f t="shared" si="8"/>
        <v/>
      </c>
      <c r="AM26" s="299" t="str">
        <f>IFERROR(IF(F26="","",IF(AH26="Check Data ⚠","Check Data ⚠",VLOOKUP(AL26,'G-3 Multipliers'!$P$2:$Q$6,2,FALSE))),"")</f>
        <v/>
      </c>
      <c r="AN26" s="712" t="str">
        <f>IF(E26="","",IF(ISNA(VLOOKUP($E26,'D-1 Off-Site Habitat Baseline'!$D$1:$Z$258,15,FALSE)),"",(VLOOKUP($E26,'D-1 Off-Site Habitat Baseline'!$D$1:$Z$258,15,FALSE))))</f>
        <v/>
      </c>
      <c r="AO26" s="329" t="str">
        <f>IF(AN26="","",IF(VLOOKUP(AN26,'G-3 Multipliers'!$S$3:$T$10,2,FALSE)=0,"Spatial Data Missing ⚠",VLOOKUP(AN26,'G-3 Multipliers'!$S$3:$T$10,2,FALSE)))</f>
        <v/>
      </c>
      <c r="AP26" s="289" t="str">
        <f t="shared" si="9"/>
        <v/>
      </c>
      <c r="AQ26" s="289" t="str">
        <f t="shared" si="10"/>
        <v/>
      </c>
      <c r="AR26" s="105"/>
      <c r="AS26" s="138"/>
      <c r="AT26" s="104"/>
      <c r="AU26" s="104"/>
      <c r="AY26" s="30" t="str">
        <f>IF(E26="","",IF(ISNA(VLOOKUP($E26,'D-1 Off-Site Habitat Baseline'!$D$1:$AV$258,4,FALSE)),"",(VLOOKUP($E26,'D-1 Off-Site Habitat Baseline'!$D$1:$AV$258,4,FALSE))))</f>
        <v/>
      </c>
    </row>
    <row r="27" spans="1:51" ht="14">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319" t="str">
        <f>'D-1 Off-Site Habitat Baseline'!AP26</f>
        <v/>
      </c>
      <c r="F27" s="283" t="str">
        <f>IF(E27="","",IF(ISNA(VLOOKUP($E27,'D-1 Off-Site Habitat Baseline'!$D$1:$ZZ$258,45,FALSE)),"",(VLOOKUP($E27,'D-1 Off-Site Habitat Baseline'!$D$1:$ZZ$258,45,FALSE))))</f>
        <v/>
      </c>
      <c r="G27" s="295" t="str">
        <f>IF(E27="","",IF(ISNA(VLOOKUP($E27,'D-1 Off-Site Habitat Baseline'!$D$1:$O$258,5,FALSE)),"",(VLOOKUP($E27,'D-1 Off-Site Habitat Baseline'!$D$1:$O$258,5,FALSE))))</f>
        <v/>
      </c>
      <c r="H27" s="295" t="str">
        <f>IF(E27="","",IF(ISNA(VLOOKUP($E27,'D-1 Off-Site Habitat Baseline'!$D$1:$O$258,6,FALSE)),"",(VLOOKUP($E27,'D-1 Off-Site Habitat Baseline'!$D$1:$O$258,6,FALSE))))</f>
        <v/>
      </c>
      <c r="I27" s="295" t="str">
        <f>IF(E27="","",IF(ISNA(VLOOKUP($E27,'D-1 Off-Site Habitat Baseline'!$D$1:$O$258,7,FALSE)),"",(VLOOKUP($E27,'D-1 Off-Site Habitat Baseline'!$D$1:$O$258,7,FALSE))))</f>
        <v/>
      </c>
      <c r="J27" s="295" t="str">
        <f>IF(E27="","",IF(ISNA(VLOOKUP($E27,'D-1 Off-Site Habitat Baseline'!$D$1:$O$258,8,FALSE)),"",(VLOOKUP($E27,'D-1 Off-Site Habitat Baseline'!$D$1:$O$258,8,FALSE))))</f>
        <v/>
      </c>
      <c r="K27" s="295" t="str">
        <f>IF(E27="","",IF(ISNA(VLOOKUP($E27,'D-1 Off-Site Habitat Baseline'!$D$1:$O$258,9,FALSE)),"",(VLOOKUP($E27,'D-1 Off-Site Habitat Baseline'!$D$1:$O$258,9,FALSE))))</f>
        <v/>
      </c>
      <c r="L27" s="295" t="str">
        <f>IF(E27="","",IF(ISNA(VLOOKUP($E27,'D-1 Off-Site Habitat Baseline'!$D$1:$O$258,11,FALSE)),"",(VLOOKUP($E27,'D-1 Off-Site Habitat Baseline'!$D$1:$O$258,11,FALSE))))</f>
        <v/>
      </c>
      <c r="M27" s="295" t="str">
        <f>IF(E27="","",IF(ISNA(VLOOKUP($E27,'D-1 Off-Site Habitat Baseline'!$D$1:$O$258,12,FALSE)),"",(VLOOKUP($E27,'D-1 Off-Site Habitat Baseline'!$D$1:$O$258,12,FALSE))))</f>
        <v/>
      </c>
      <c r="N27" s="295" t="str">
        <f>IF(E27="","",IF(ISNA(VLOOKUP($E27,'D-1 Off-Site Habitat Baseline'!$D$1:$AA$258,17,FALSE)),"",(VLOOKUP($E27,'D-1 Off-Site Habitat Baseline'!$D$1:$AA$258,17,FALSE))))</f>
        <v/>
      </c>
      <c r="O27" s="299" t="str">
        <f>IF(E27="","",IF(ISNA(VLOOKUP($E27,'D-1 Off-Site Habitat Baseline'!$D$1:$AA$258,13,FALSE)),"",(VLOOKUP($E27,'D-1 Off-Site Habitat Baseline'!$D$1:$AA$258,13,FALSE))))</f>
        <v/>
      </c>
      <c r="P27" s="148" t="str">
        <f>IFERROR(INDEX('G-1 All Habitats'!$AG$49:$AG$63,MATCH(Q27,'G-1 All Habitats'!$AF$27:$AF$41,0)),"")</f>
        <v/>
      </c>
      <c r="Q27" s="149" t="str">
        <f t="shared" si="0"/>
        <v/>
      </c>
      <c r="R27" s="150"/>
      <c r="S27" s="151" t="str">
        <f>IFERROR(INDEX('G-1 All Habitats'!$B$3:$B$135,MATCH(R27,'G-1 All Habitats'!$A$3:$A$135,0)),"")</f>
        <v/>
      </c>
      <c r="T27" s="283" t="str">
        <f t="shared" si="2"/>
        <v/>
      </c>
      <c r="U27" s="276" t="str">
        <f t="shared" si="3"/>
        <v/>
      </c>
      <c r="V27" s="298" t="str">
        <f t="shared" si="4"/>
        <v/>
      </c>
      <c r="W27" s="295" t="str">
        <f>IF(S27="","",VLOOKUP(S27,'G-1 All Habitats'!$B$2:$M$135,10,FALSE))</f>
        <v/>
      </c>
      <c r="X27" s="295" t="str">
        <f>IFERROR(VLOOKUP(W27,'G-1 All Habitats'!$V$3:$W$7,2,FALSE),"")</f>
        <v/>
      </c>
      <c r="Y27" s="138"/>
      <c r="Z27" s="299" t="str">
        <f>IFERROR(INDEX('G-8 Condition Look up'!$A$3:$H$135,MATCH(S27,'G-8 Condition Look up'!$A$3:$A$135,0),MATCH(Y27,'G-8 Condition Look up'!$A$3:$H$3,0)),"")</f>
        <v/>
      </c>
      <c r="AA27" s="101"/>
      <c r="AB27" s="314" t="str">
        <f>IF(AA27="","",IF(VLOOKUP(AA27,'G-3 Multipliers'!$L$3:$N$6,2,FALSE)=0,"Spatial Data Missing ⚠",VLOOKUP(AA27,'G-3 Multipliers'!$L$3:$N$6,2,FALSE)))</f>
        <v/>
      </c>
      <c r="AC27" s="299" t="str">
        <f>IF(AA27="","",IF(VLOOKUP(AA27,'G-3 Multipliers'!$L$3:$N$6,3,FALSE)=0,"Spatial Data Missing ⚠",VLOOKUP(AA27,'G-3 Multipliers'!$L$3:$N$6,3,FALSE)))</f>
        <v/>
      </c>
      <c r="AD27" s="311" t="str">
        <f t="shared" si="1"/>
        <v/>
      </c>
      <c r="AE27" s="138"/>
      <c r="AF27" s="138"/>
      <c r="AG27" s="295" t="str">
        <f t="shared" si="5"/>
        <v/>
      </c>
      <c r="AH27" s="296" t="str">
        <f t="shared" si="6"/>
        <v/>
      </c>
      <c r="AI27" s="300" t="str">
        <f>IF(AH27="Check Data ⚠","Check Data ⚠",IFERROR(VLOOKUP(AH27,'G-4 Temporal multipliers'!$A$4:$C$36,3,FALSE),""))</f>
        <v/>
      </c>
      <c r="AJ27" s="311" t="str">
        <f>IF(S27="","",VLOOKUP(S27,'G-3 Multipliers'!$A$2:$E$134,4,FALSE))</f>
        <v/>
      </c>
      <c r="AK27" s="295" t="str">
        <f t="shared" si="7"/>
        <v/>
      </c>
      <c r="AL27" s="295" t="str">
        <f t="shared" si="8"/>
        <v/>
      </c>
      <c r="AM27" s="299" t="str">
        <f>IFERROR(IF(F27="","",IF(AH27="Check Data ⚠","Check Data ⚠",VLOOKUP(AL27,'G-3 Multipliers'!$P$2:$Q$6,2,FALSE))),"")</f>
        <v/>
      </c>
      <c r="AN27" s="712" t="str">
        <f>IF(E27="","",IF(ISNA(VLOOKUP($E27,'D-1 Off-Site Habitat Baseline'!$D$1:$Z$258,15,FALSE)),"",(VLOOKUP($E27,'D-1 Off-Site Habitat Baseline'!$D$1:$Z$258,15,FALSE))))</f>
        <v/>
      </c>
      <c r="AO27" s="329" t="str">
        <f>IF(AN27="","",IF(VLOOKUP(AN27,'G-3 Multipliers'!$S$3:$T$10,2,FALSE)=0,"Spatial Data Missing ⚠",VLOOKUP(AN27,'G-3 Multipliers'!$S$3:$T$10,2,FALSE)))</f>
        <v/>
      </c>
      <c r="AP27" s="289" t="str">
        <f t="shared" si="9"/>
        <v/>
      </c>
      <c r="AQ27" s="289" t="str">
        <f t="shared" si="10"/>
        <v/>
      </c>
      <c r="AR27" s="105"/>
      <c r="AS27" s="138"/>
      <c r="AT27" s="104"/>
      <c r="AU27" s="104"/>
      <c r="AY27" s="30" t="str">
        <f>IF(E27="","",IF(ISNA(VLOOKUP($E27,'D-1 Off-Site Habitat Baseline'!$D$1:$AV$258,4,FALSE)),"",(VLOOKUP($E27,'D-1 Off-Site Habitat Baseline'!$D$1:$AV$258,4,FALSE))))</f>
        <v/>
      </c>
    </row>
    <row r="28" spans="1:51" ht="14">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319" t="str">
        <f>'D-1 Off-Site Habitat Baseline'!AP27</f>
        <v/>
      </c>
      <c r="F28" s="283" t="str">
        <f>IF(E28="","",IF(ISNA(VLOOKUP($E28,'D-1 Off-Site Habitat Baseline'!$D$1:$ZZ$258,45,FALSE)),"",(VLOOKUP($E28,'D-1 Off-Site Habitat Baseline'!$D$1:$ZZ$258,45,FALSE))))</f>
        <v/>
      </c>
      <c r="G28" s="295" t="str">
        <f>IF(E28="","",IF(ISNA(VLOOKUP($E28,'D-1 Off-Site Habitat Baseline'!$D$1:$O$258,5,FALSE)),"",(VLOOKUP($E28,'D-1 Off-Site Habitat Baseline'!$D$1:$O$258,5,FALSE))))</f>
        <v/>
      </c>
      <c r="H28" s="295" t="str">
        <f>IF(E28="","",IF(ISNA(VLOOKUP($E28,'D-1 Off-Site Habitat Baseline'!$D$1:$O$258,6,FALSE)),"",(VLOOKUP($E28,'D-1 Off-Site Habitat Baseline'!$D$1:$O$258,6,FALSE))))</f>
        <v/>
      </c>
      <c r="I28" s="295" t="str">
        <f>IF(E28="","",IF(ISNA(VLOOKUP($E28,'D-1 Off-Site Habitat Baseline'!$D$1:$O$258,7,FALSE)),"",(VLOOKUP($E28,'D-1 Off-Site Habitat Baseline'!$D$1:$O$258,7,FALSE))))</f>
        <v/>
      </c>
      <c r="J28" s="295" t="str">
        <f>IF(E28="","",IF(ISNA(VLOOKUP($E28,'D-1 Off-Site Habitat Baseline'!$D$1:$O$258,8,FALSE)),"",(VLOOKUP($E28,'D-1 Off-Site Habitat Baseline'!$D$1:$O$258,8,FALSE))))</f>
        <v/>
      </c>
      <c r="K28" s="295" t="str">
        <f>IF(E28="","",IF(ISNA(VLOOKUP($E28,'D-1 Off-Site Habitat Baseline'!$D$1:$O$258,9,FALSE)),"",(VLOOKUP($E28,'D-1 Off-Site Habitat Baseline'!$D$1:$O$258,9,FALSE))))</f>
        <v/>
      </c>
      <c r="L28" s="295" t="str">
        <f>IF(E28="","",IF(ISNA(VLOOKUP($E28,'D-1 Off-Site Habitat Baseline'!$D$1:$O$258,11,FALSE)),"",(VLOOKUP($E28,'D-1 Off-Site Habitat Baseline'!$D$1:$O$258,11,FALSE))))</f>
        <v/>
      </c>
      <c r="M28" s="295" t="str">
        <f>IF(E28="","",IF(ISNA(VLOOKUP($E28,'D-1 Off-Site Habitat Baseline'!$D$1:$O$258,12,FALSE)),"",(VLOOKUP($E28,'D-1 Off-Site Habitat Baseline'!$D$1:$O$258,12,FALSE))))</f>
        <v/>
      </c>
      <c r="N28" s="295" t="str">
        <f>IF(E28="","",IF(ISNA(VLOOKUP($E28,'D-1 Off-Site Habitat Baseline'!$D$1:$AA$258,17,FALSE)),"",(VLOOKUP($E28,'D-1 Off-Site Habitat Baseline'!$D$1:$AA$258,17,FALSE))))</f>
        <v/>
      </c>
      <c r="O28" s="299" t="str">
        <f>IF(E28="","",IF(ISNA(VLOOKUP($E28,'D-1 Off-Site Habitat Baseline'!$D$1:$AA$258,13,FALSE)),"",(VLOOKUP($E28,'D-1 Off-Site Habitat Baseline'!$D$1:$AA$258,13,FALSE))))</f>
        <v/>
      </c>
      <c r="P28" s="148" t="str">
        <f>IFERROR(INDEX('G-1 All Habitats'!$AG$49:$AG$63,MATCH(Q28,'G-1 All Habitats'!$AF$27:$AF$41,0)),"")</f>
        <v/>
      </c>
      <c r="Q28" s="149" t="str">
        <f t="shared" si="0"/>
        <v/>
      </c>
      <c r="R28" s="150"/>
      <c r="S28" s="151" t="str">
        <f>IFERROR(INDEX('G-1 All Habitats'!$B$3:$B$135,MATCH(R28,'G-1 All Habitats'!$A$3:$A$135,0)),"")</f>
        <v/>
      </c>
      <c r="T28" s="283" t="str">
        <f t="shared" si="2"/>
        <v/>
      </c>
      <c r="U28" s="276" t="str">
        <f t="shared" si="3"/>
        <v/>
      </c>
      <c r="V28" s="298" t="str">
        <f t="shared" si="4"/>
        <v/>
      </c>
      <c r="W28" s="295" t="str">
        <f>IF(S28="","",VLOOKUP(S28,'G-1 All Habitats'!$B$2:$M$135,10,FALSE))</f>
        <v/>
      </c>
      <c r="X28" s="295" t="str">
        <f>IFERROR(VLOOKUP(W28,'G-1 All Habitats'!$V$3:$W$7,2,FALSE),"")</f>
        <v/>
      </c>
      <c r="Y28" s="138"/>
      <c r="Z28" s="299" t="str">
        <f>IFERROR(INDEX('G-8 Condition Look up'!$A$3:$H$135,MATCH(S28,'G-8 Condition Look up'!$A$3:$A$135,0),MATCH(Y28,'G-8 Condition Look up'!$A$3:$H$3,0)),"")</f>
        <v/>
      </c>
      <c r="AA28" s="101"/>
      <c r="AB28" s="314" t="str">
        <f>IF(AA28="","",IF(VLOOKUP(AA28,'G-3 Multipliers'!$L$3:$N$6,2,FALSE)=0,"Spatial Data Missing ⚠",VLOOKUP(AA28,'G-3 Multipliers'!$L$3:$N$6,2,FALSE)))</f>
        <v/>
      </c>
      <c r="AC28" s="299" t="str">
        <f>IF(AA28="","",IF(VLOOKUP(AA28,'G-3 Multipliers'!$L$3:$N$6,3,FALSE)=0,"Spatial Data Missing ⚠",VLOOKUP(AA28,'G-3 Multipliers'!$L$3:$N$6,3,FALSE)))</f>
        <v/>
      </c>
      <c r="AD28" s="311" t="str">
        <f t="shared" si="1"/>
        <v/>
      </c>
      <c r="AE28" s="138"/>
      <c r="AF28" s="138"/>
      <c r="AG28" s="295" t="str">
        <f t="shared" si="5"/>
        <v/>
      </c>
      <c r="AH28" s="296" t="str">
        <f t="shared" si="6"/>
        <v/>
      </c>
      <c r="AI28" s="300" t="str">
        <f>IF(AH28="Check Data ⚠","Check Data ⚠",IFERROR(VLOOKUP(AH28,'G-4 Temporal multipliers'!$A$4:$C$36,3,FALSE),""))</f>
        <v/>
      </c>
      <c r="AJ28" s="311" t="str">
        <f>IF(S28="","",VLOOKUP(S28,'G-3 Multipliers'!$A$2:$E$134,4,FALSE))</f>
        <v/>
      </c>
      <c r="AK28" s="295" t="str">
        <f t="shared" si="7"/>
        <v/>
      </c>
      <c r="AL28" s="295" t="str">
        <f t="shared" si="8"/>
        <v/>
      </c>
      <c r="AM28" s="299" t="str">
        <f>IFERROR(IF(F28="","",IF(AH28="Check Data ⚠","Check Data ⚠",VLOOKUP(AL28,'G-3 Multipliers'!$P$2:$Q$6,2,FALSE))),"")</f>
        <v/>
      </c>
      <c r="AN28" s="712" t="str">
        <f>IF(E28="","",IF(ISNA(VLOOKUP($E28,'D-1 Off-Site Habitat Baseline'!$D$1:$Z$258,15,FALSE)),"",(VLOOKUP($E28,'D-1 Off-Site Habitat Baseline'!$D$1:$Z$258,15,FALSE))))</f>
        <v/>
      </c>
      <c r="AO28" s="329" t="str">
        <f>IF(AN28="","",IF(VLOOKUP(AN28,'G-3 Multipliers'!$S$3:$T$10,2,FALSE)=0,"Spatial Data Missing ⚠",VLOOKUP(AN28,'G-3 Multipliers'!$S$3:$T$10,2,FALSE)))</f>
        <v/>
      </c>
      <c r="AP28" s="289" t="str">
        <f t="shared" si="9"/>
        <v/>
      </c>
      <c r="AQ28" s="289" t="str">
        <f t="shared" si="10"/>
        <v/>
      </c>
      <c r="AR28" s="105"/>
      <c r="AS28" s="138"/>
      <c r="AT28" s="104"/>
      <c r="AU28" s="104"/>
      <c r="AY28" s="30" t="str">
        <f>IF(E28="","",IF(ISNA(VLOOKUP($E28,'D-1 Off-Site Habitat Baseline'!$D$1:$AV$258,4,FALSE)),"",(VLOOKUP($E28,'D-1 Off-Site Habitat Baseline'!$D$1:$AV$258,4,FALSE))))</f>
        <v/>
      </c>
    </row>
    <row r="29" spans="1:51" ht="14">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319" t="str">
        <f>'D-1 Off-Site Habitat Baseline'!AP28</f>
        <v/>
      </c>
      <c r="F29" s="283" t="str">
        <f>IF(E29="","",IF(ISNA(VLOOKUP($E29,'D-1 Off-Site Habitat Baseline'!$D$1:$ZZ$258,45,FALSE)),"",(VLOOKUP($E29,'D-1 Off-Site Habitat Baseline'!$D$1:$ZZ$258,45,FALSE))))</f>
        <v/>
      </c>
      <c r="G29" s="295" t="str">
        <f>IF(E29="","",IF(ISNA(VLOOKUP($E29,'D-1 Off-Site Habitat Baseline'!$D$1:$O$258,5,FALSE)),"",(VLOOKUP($E29,'D-1 Off-Site Habitat Baseline'!$D$1:$O$258,5,FALSE))))</f>
        <v/>
      </c>
      <c r="H29" s="295" t="str">
        <f>IF(E29="","",IF(ISNA(VLOOKUP($E29,'D-1 Off-Site Habitat Baseline'!$D$1:$O$258,6,FALSE)),"",(VLOOKUP($E29,'D-1 Off-Site Habitat Baseline'!$D$1:$O$258,6,FALSE))))</f>
        <v/>
      </c>
      <c r="I29" s="295" t="str">
        <f>IF(E29="","",IF(ISNA(VLOOKUP($E29,'D-1 Off-Site Habitat Baseline'!$D$1:$O$258,7,FALSE)),"",(VLOOKUP($E29,'D-1 Off-Site Habitat Baseline'!$D$1:$O$258,7,FALSE))))</f>
        <v/>
      </c>
      <c r="J29" s="295" t="str">
        <f>IF(E29="","",IF(ISNA(VLOOKUP($E29,'D-1 Off-Site Habitat Baseline'!$D$1:$O$258,8,FALSE)),"",(VLOOKUP($E29,'D-1 Off-Site Habitat Baseline'!$D$1:$O$258,8,FALSE))))</f>
        <v/>
      </c>
      <c r="K29" s="295" t="str">
        <f>IF(E29="","",IF(ISNA(VLOOKUP($E29,'D-1 Off-Site Habitat Baseline'!$D$1:$O$258,9,FALSE)),"",(VLOOKUP($E29,'D-1 Off-Site Habitat Baseline'!$D$1:$O$258,9,FALSE))))</f>
        <v/>
      </c>
      <c r="L29" s="295" t="str">
        <f>IF(E29="","",IF(ISNA(VLOOKUP($E29,'D-1 Off-Site Habitat Baseline'!$D$1:$O$258,11,FALSE)),"",(VLOOKUP($E29,'D-1 Off-Site Habitat Baseline'!$D$1:$O$258,11,FALSE))))</f>
        <v/>
      </c>
      <c r="M29" s="295" t="str">
        <f>IF(E29="","",IF(ISNA(VLOOKUP($E29,'D-1 Off-Site Habitat Baseline'!$D$1:$O$258,12,FALSE)),"",(VLOOKUP($E29,'D-1 Off-Site Habitat Baseline'!$D$1:$O$258,12,FALSE))))</f>
        <v/>
      </c>
      <c r="N29" s="295" t="str">
        <f>IF(E29="","",IF(ISNA(VLOOKUP($E29,'D-1 Off-Site Habitat Baseline'!$D$1:$AA$258,17,FALSE)),"",(VLOOKUP($E29,'D-1 Off-Site Habitat Baseline'!$D$1:$AA$258,17,FALSE))))</f>
        <v/>
      </c>
      <c r="O29" s="299" t="str">
        <f>IF(E29="","",IF(ISNA(VLOOKUP($E29,'D-1 Off-Site Habitat Baseline'!$D$1:$AA$258,13,FALSE)),"",(VLOOKUP($E29,'D-1 Off-Site Habitat Baseline'!$D$1:$AA$258,13,FALSE))))</f>
        <v/>
      </c>
      <c r="P29" s="148" t="str">
        <f>IFERROR(INDEX('G-1 All Habitats'!$AG$49:$AG$63,MATCH(Q29,'G-1 All Habitats'!$AF$27:$AF$41,0)),"")</f>
        <v/>
      </c>
      <c r="Q29" s="149" t="str">
        <f t="shared" si="0"/>
        <v/>
      </c>
      <c r="R29" s="150"/>
      <c r="S29" s="151" t="str">
        <f>IFERROR(INDEX('G-1 All Habitats'!$B$3:$B$135,MATCH(R29,'G-1 All Habitats'!$A$3:$A$135,0)),"")</f>
        <v/>
      </c>
      <c r="T29" s="283" t="str">
        <f t="shared" si="2"/>
        <v/>
      </c>
      <c r="U29" s="276" t="str">
        <f t="shared" si="3"/>
        <v/>
      </c>
      <c r="V29" s="298" t="str">
        <f t="shared" si="4"/>
        <v/>
      </c>
      <c r="W29" s="295" t="str">
        <f>IF(S29="","",VLOOKUP(S29,'G-1 All Habitats'!$B$2:$M$135,10,FALSE))</f>
        <v/>
      </c>
      <c r="X29" s="295" t="str">
        <f>IFERROR(VLOOKUP(W29,'G-1 All Habitats'!$V$3:$W$7,2,FALSE),"")</f>
        <v/>
      </c>
      <c r="Y29" s="138"/>
      <c r="Z29" s="299" t="str">
        <f>IFERROR(INDEX('G-8 Condition Look up'!$A$3:$H$135,MATCH(S29,'G-8 Condition Look up'!$A$3:$A$135,0),MATCH(Y29,'G-8 Condition Look up'!$A$3:$H$3,0)),"")</f>
        <v/>
      </c>
      <c r="AA29" s="101"/>
      <c r="AB29" s="314" t="str">
        <f>IF(AA29="","",IF(VLOOKUP(AA29,'G-3 Multipliers'!$L$3:$N$6,2,FALSE)=0,"Spatial Data Missing ⚠",VLOOKUP(AA29,'G-3 Multipliers'!$L$3:$N$6,2,FALSE)))</f>
        <v/>
      </c>
      <c r="AC29" s="299" t="str">
        <f>IF(AA29="","",IF(VLOOKUP(AA29,'G-3 Multipliers'!$L$3:$N$6,3,FALSE)=0,"Spatial Data Missing ⚠",VLOOKUP(AA29,'G-3 Multipliers'!$L$3:$N$6,3,FALSE)))</f>
        <v/>
      </c>
      <c r="AD29" s="311" t="str">
        <f t="shared" si="1"/>
        <v/>
      </c>
      <c r="AE29" s="138"/>
      <c r="AF29" s="138"/>
      <c r="AG29" s="295" t="str">
        <f t="shared" si="5"/>
        <v/>
      </c>
      <c r="AH29" s="296" t="str">
        <f t="shared" si="6"/>
        <v/>
      </c>
      <c r="AI29" s="300" t="str">
        <f>IF(AH29="Check Data ⚠","Check Data ⚠",IFERROR(VLOOKUP(AH29,'G-4 Temporal multipliers'!$A$4:$C$36,3,FALSE),""))</f>
        <v/>
      </c>
      <c r="AJ29" s="311" t="str">
        <f>IF(S29="","",VLOOKUP(S29,'G-3 Multipliers'!$A$2:$E$134,4,FALSE))</f>
        <v/>
      </c>
      <c r="AK29" s="295" t="str">
        <f t="shared" si="7"/>
        <v/>
      </c>
      <c r="AL29" s="295" t="str">
        <f t="shared" si="8"/>
        <v/>
      </c>
      <c r="AM29" s="299" t="str">
        <f>IFERROR(IF(F29="","",IF(AH29="Check Data ⚠","Check Data ⚠",VLOOKUP(AL29,'G-3 Multipliers'!$P$2:$Q$6,2,FALSE))),"")</f>
        <v/>
      </c>
      <c r="AN29" s="712" t="str">
        <f>IF(E29="","",IF(ISNA(VLOOKUP($E29,'D-1 Off-Site Habitat Baseline'!$D$1:$Z$258,15,FALSE)),"",(VLOOKUP($E29,'D-1 Off-Site Habitat Baseline'!$D$1:$Z$258,15,FALSE))))</f>
        <v/>
      </c>
      <c r="AO29" s="329" t="str">
        <f>IF(AN29="","",IF(VLOOKUP(AN29,'G-3 Multipliers'!$S$3:$T$10,2,FALSE)=0,"Spatial Data Missing ⚠",VLOOKUP(AN29,'G-3 Multipliers'!$S$3:$T$10,2,FALSE)))</f>
        <v/>
      </c>
      <c r="AP29" s="289" t="str">
        <f t="shared" si="9"/>
        <v/>
      </c>
      <c r="AQ29" s="289" t="str">
        <f t="shared" si="10"/>
        <v/>
      </c>
      <c r="AR29" s="105"/>
      <c r="AS29" s="138"/>
      <c r="AT29" s="104"/>
      <c r="AU29" s="104"/>
      <c r="AY29" s="30" t="str">
        <f>IF(E29="","",IF(ISNA(VLOOKUP($E29,'D-1 Off-Site Habitat Baseline'!$D$1:$AV$258,4,FALSE)),"",(VLOOKUP($E29,'D-1 Off-Site Habitat Baseline'!$D$1:$AV$258,4,FALSE))))</f>
        <v/>
      </c>
    </row>
    <row r="30" spans="1:51" ht="14">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319" t="str">
        <f>'D-1 Off-Site Habitat Baseline'!AP29</f>
        <v/>
      </c>
      <c r="F30" s="283" t="str">
        <f>IF(E30="","",IF(ISNA(VLOOKUP($E30,'D-1 Off-Site Habitat Baseline'!$D$1:$ZZ$258,45,FALSE)),"",(VLOOKUP($E30,'D-1 Off-Site Habitat Baseline'!$D$1:$ZZ$258,45,FALSE))))</f>
        <v/>
      </c>
      <c r="G30" s="295" t="str">
        <f>IF(E30="","",IF(ISNA(VLOOKUP($E30,'D-1 Off-Site Habitat Baseline'!$D$1:$O$258,5,FALSE)),"",(VLOOKUP($E30,'D-1 Off-Site Habitat Baseline'!$D$1:$O$258,5,FALSE))))</f>
        <v/>
      </c>
      <c r="H30" s="295" t="str">
        <f>IF(E30="","",IF(ISNA(VLOOKUP($E30,'D-1 Off-Site Habitat Baseline'!$D$1:$O$258,6,FALSE)),"",(VLOOKUP($E30,'D-1 Off-Site Habitat Baseline'!$D$1:$O$258,6,FALSE))))</f>
        <v/>
      </c>
      <c r="I30" s="295" t="str">
        <f>IF(E30="","",IF(ISNA(VLOOKUP($E30,'D-1 Off-Site Habitat Baseline'!$D$1:$O$258,7,FALSE)),"",(VLOOKUP($E30,'D-1 Off-Site Habitat Baseline'!$D$1:$O$258,7,FALSE))))</f>
        <v/>
      </c>
      <c r="J30" s="295" t="str">
        <f>IF(E30="","",IF(ISNA(VLOOKUP($E30,'D-1 Off-Site Habitat Baseline'!$D$1:$O$258,8,FALSE)),"",(VLOOKUP($E30,'D-1 Off-Site Habitat Baseline'!$D$1:$O$258,8,FALSE))))</f>
        <v/>
      </c>
      <c r="K30" s="295" t="str">
        <f>IF(E30="","",IF(ISNA(VLOOKUP($E30,'D-1 Off-Site Habitat Baseline'!$D$1:$O$258,9,FALSE)),"",(VLOOKUP($E30,'D-1 Off-Site Habitat Baseline'!$D$1:$O$258,9,FALSE))))</f>
        <v/>
      </c>
      <c r="L30" s="295" t="str">
        <f>IF(E30="","",IF(ISNA(VLOOKUP($E30,'D-1 Off-Site Habitat Baseline'!$D$1:$O$258,11,FALSE)),"",(VLOOKUP($E30,'D-1 Off-Site Habitat Baseline'!$D$1:$O$258,11,FALSE))))</f>
        <v/>
      </c>
      <c r="M30" s="295" t="str">
        <f>IF(E30="","",IF(ISNA(VLOOKUP($E30,'D-1 Off-Site Habitat Baseline'!$D$1:$O$258,12,FALSE)),"",(VLOOKUP($E30,'D-1 Off-Site Habitat Baseline'!$D$1:$O$258,12,FALSE))))</f>
        <v/>
      </c>
      <c r="N30" s="295" t="str">
        <f>IF(E30="","",IF(ISNA(VLOOKUP($E30,'D-1 Off-Site Habitat Baseline'!$D$1:$AA$258,17,FALSE)),"",(VLOOKUP($E30,'D-1 Off-Site Habitat Baseline'!$D$1:$AA$258,17,FALSE))))</f>
        <v/>
      </c>
      <c r="O30" s="299" t="str">
        <f>IF(E30="","",IF(ISNA(VLOOKUP($E30,'D-1 Off-Site Habitat Baseline'!$D$1:$AA$258,13,FALSE)),"",(VLOOKUP($E30,'D-1 Off-Site Habitat Baseline'!$D$1:$AA$258,13,FALSE))))</f>
        <v/>
      </c>
      <c r="P30" s="148" t="str">
        <f>IFERROR(INDEX('G-1 All Habitats'!$AG$49:$AG$63,MATCH(Q30,'G-1 All Habitats'!$AF$27:$AF$41,0)),"")</f>
        <v/>
      </c>
      <c r="Q30" s="149" t="str">
        <f t="shared" si="0"/>
        <v/>
      </c>
      <c r="R30" s="150"/>
      <c r="S30" s="151" t="str">
        <f>IFERROR(INDEX('G-1 All Habitats'!$B$3:$B$135,MATCH(R30,'G-1 All Habitats'!$A$3:$A$135,0)),"")</f>
        <v/>
      </c>
      <c r="T30" s="283" t="str">
        <f t="shared" si="2"/>
        <v/>
      </c>
      <c r="U30" s="276" t="str">
        <f t="shared" si="3"/>
        <v/>
      </c>
      <c r="V30" s="298" t="str">
        <f t="shared" si="4"/>
        <v/>
      </c>
      <c r="W30" s="295" t="str">
        <f>IF(S30="","",VLOOKUP(S30,'G-1 All Habitats'!$B$2:$M$135,10,FALSE))</f>
        <v/>
      </c>
      <c r="X30" s="295" t="str">
        <f>IFERROR(VLOOKUP(W30,'G-1 All Habitats'!$V$3:$W$7,2,FALSE),"")</f>
        <v/>
      </c>
      <c r="Y30" s="138"/>
      <c r="Z30" s="299" t="str">
        <f>IFERROR(INDEX('G-8 Condition Look up'!$A$3:$H$135,MATCH(S30,'G-8 Condition Look up'!$A$3:$A$135,0),MATCH(Y30,'G-8 Condition Look up'!$A$3:$H$3,0)),"")</f>
        <v/>
      </c>
      <c r="AA30" s="101"/>
      <c r="AB30" s="314" t="str">
        <f>IF(AA30="","",IF(VLOOKUP(AA30,'G-3 Multipliers'!$L$3:$N$6,2,FALSE)=0,"Spatial Data Missing ⚠",VLOOKUP(AA30,'G-3 Multipliers'!$L$3:$N$6,2,FALSE)))</f>
        <v/>
      </c>
      <c r="AC30" s="299" t="str">
        <f>IF(AA30="","",IF(VLOOKUP(AA30,'G-3 Multipliers'!$L$3:$N$6,3,FALSE)=0,"Spatial Data Missing ⚠",VLOOKUP(AA30,'G-3 Multipliers'!$L$3:$N$6,3,FALSE)))</f>
        <v/>
      </c>
      <c r="AD30" s="311" t="str">
        <f t="shared" si="1"/>
        <v/>
      </c>
      <c r="AE30" s="138"/>
      <c r="AF30" s="138"/>
      <c r="AG30" s="295" t="str">
        <f t="shared" si="5"/>
        <v/>
      </c>
      <c r="AH30" s="296" t="str">
        <f t="shared" si="6"/>
        <v/>
      </c>
      <c r="AI30" s="300" t="str">
        <f>IF(AH30="Check Data ⚠","Check Data ⚠",IFERROR(VLOOKUP(AH30,'G-4 Temporal multipliers'!$A$4:$C$36,3,FALSE),""))</f>
        <v/>
      </c>
      <c r="AJ30" s="311" t="str">
        <f>IF(S30="","",VLOOKUP(S30,'G-3 Multipliers'!$A$2:$E$134,4,FALSE))</f>
        <v/>
      </c>
      <c r="AK30" s="295" t="str">
        <f t="shared" si="7"/>
        <v/>
      </c>
      <c r="AL30" s="295" t="str">
        <f t="shared" si="8"/>
        <v/>
      </c>
      <c r="AM30" s="299" t="str">
        <f>IFERROR(IF(F30="","",IF(AH30="Check Data ⚠","Check Data ⚠",VLOOKUP(AL30,'G-3 Multipliers'!$P$2:$Q$6,2,FALSE))),"")</f>
        <v/>
      </c>
      <c r="AN30" s="712" t="str">
        <f>IF(E30="","",IF(ISNA(VLOOKUP($E30,'D-1 Off-Site Habitat Baseline'!$D$1:$Z$258,15,FALSE)),"",(VLOOKUP($E30,'D-1 Off-Site Habitat Baseline'!$D$1:$Z$258,15,FALSE))))</f>
        <v/>
      </c>
      <c r="AO30" s="329" t="str">
        <f>IF(AN30="","",IF(VLOOKUP(AN30,'G-3 Multipliers'!$S$3:$T$10,2,FALSE)=0,"Spatial Data Missing ⚠",VLOOKUP(AN30,'G-3 Multipliers'!$S$3:$T$10,2,FALSE)))</f>
        <v/>
      </c>
      <c r="AP30" s="289" t="str">
        <f t="shared" si="9"/>
        <v/>
      </c>
      <c r="AQ30" s="289" t="str">
        <f t="shared" si="10"/>
        <v/>
      </c>
      <c r="AR30" s="105"/>
      <c r="AS30" s="138"/>
      <c r="AT30" s="104"/>
      <c r="AU30" s="104"/>
      <c r="AY30" s="30" t="str">
        <f>IF(E30="","",IF(ISNA(VLOOKUP($E30,'D-1 Off-Site Habitat Baseline'!$D$1:$AV$258,4,FALSE)),"",(VLOOKUP($E30,'D-1 Off-Site Habitat Baseline'!$D$1:$AV$258,4,FALSE))))</f>
        <v/>
      </c>
    </row>
    <row r="31" spans="1:51" ht="14">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319" t="str">
        <f>'D-1 Off-Site Habitat Baseline'!AP30</f>
        <v/>
      </c>
      <c r="F31" s="283" t="str">
        <f>IF(E31="","",IF(ISNA(VLOOKUP($E31,'D-1 Off-Site Habitat Baseline'!$D$1:$ZZ$258,45,FALSE)),"",(VLOOKUP($E31,'D-1 Off-Site Habitat Baseline'!$D$1:$ZZ$258,45,FALSE))))</f>
        <v/>
      </c>
      <c r="G31" s="295" t="str">
        <f>IF(E31="","",IF(ISNA(VLOOKUP($E31,'D-1 Off-Site Habitat Baseline'!$D$1:$O$258,5,FALSE)),"",(VLOOKUP($E31,'D-1 Off-Site Habitat Baseline'!$D$1:$O$258,5,FALSE))))</f>
        <v/>
      </c>
      <c r="H31" s="295" t="str">
        <f>IF(E31="","",IF(ISNA(VLOOKUP($E31,'D-1 Off-Site Habitat Baseline'!$D$1:$O$258,6,FALSE)),"",(VLOOKUP($E31,'D-1 Off-Site Habitat Baseline'!$D$1:$O$258,6,FALSE))))</f>
        <v/>
      </c>
      <c r="I31" s="295" t="str">
        <f>IF(E31="","",IF(ISNA(VLOOKUP($E31,'D-1 Off-Site Habitat Baseline'!$D$1:$O$258,7,FALSE)),"",(VLOOKUP($E31,'D-1 Off-Site Habitat Baseline'!$D$1:$O$258,7,FALSE))))</f>
        <v/>
      </c>
      <c r="J31" s="295" t="str">
        <f>IF(E31="","",IF(ISNA(VLOOKUP($E31,'D-1 Off-Site Habitat Baseline'!$D$1:$O$258,8,FALSE)),"",(VLOOKUP($E31,'D-1 Off-Site Habitat Baseline'!$D$1:$O$258,8,FALSE))))</f>
        <v/>
      </c>
      <c r="K31" s="295" t="str">
        <f>IF(E31="","",IF(ISNA(VLOOKUP($E31,'D-1 Off-Site Habitat Baseline'!$D$1:$O$258,9,FALSE)),"",(VLOOKUP($E31,'D-1 Off-Site Habitat Baseline'!$D$1:$O$258,9,FALSE))))</f>
        <v/>
      </c>
      <c r="L31" s="295" t="str">
        <f>IF(E31="","",IF(ISNA(VLOOKUP($E31,'D-1 Off-Site Habitat Baseline'!$D$1:$O$258,11,FALSE)),"",(VLOOKUP($E31,'D-1 Off-Site Habitat Baseline'!$D$1:$O$258,11,FALSE))))</f>
        <v/>
      </c>
      <c r="M31" s="295" t="str">
        <f>IF(E31="","",IF(ISNA(VLOOKUP($E31,'D-1 Off-Site Habitat Baseline'!$D$1:$O$258,12,FALSE)),"",(VLOOKUP($E31,'D-1 Off-Site Habitat Baseline'!$D$1:$O$258,12,FALSE))))</f>
        <v/>
      </c>
      <c r="N31" s="295" t="str">
        <f>IF(E31="","",IF(ISNA(VLOOKUP($E31,'D-1 Off-Site Habitat Baseline'!$D$1:$AA$258,17,FALSE)),"",(VLOOKUP($E31,'D-1 Off-Site Habitat Baseline'!$D$1:$AA$258,17,FALSE))))</f>
        <v/>
      </c>
      <c r="O31" s="299" t="str">
        <f>IF(E31="","",IF(ISNA(VLOOKUP($E31,'D-1 Off-Site Habitat Baseline'!$D$1:$AA$258,13,FALSE)),"",(VLOOKUP($E31,'D-1 Off-Site Habitat Baseline'!$D$1:$AA$258,13,FALSE))))</f>
        <v/>
      </c>
      <c r="P31" s="148" t="str">
        <f>IFERROR(INDEX('G-1 All Habitats'!$AG$49:$AG$63,MATCH(Q31,'G-1 All Habitats'!$AF$27:$AF$41,0)),"")</f>
        <v/>
      </c>
      <c r="Q31" s="149" t="str">
        <f t="shared" si="0"/>
        <v/>
      </c>
      <c r="R31" s="150"/>
      <c r="S31" s="151" t="str">
        <f>IFERROR(INDEX('G-1 All Habitats'!$B$3:$B$135,MATCH(R31,'G-1 All Habitats'!$A$3:$A$135,0)),"")</f>
        <v/>
      </c>
      <c r="T31" s="283" t="str">
        <f t="shared" si="2"/>
        <v/>
      </c>
      <c r="U31" s="276" t="str">
        <f t="shared" si="3"/>
        <v/>
      </c>
      <c r="V31" s="298" t="str">
        <f t="shared" si="4"/>
        <v/>
      </c>
      <c r="W31" s="295" t="str">
        <f>IF(S31="","",VLOOKUP(S31,'G-1 All Habitats'!$B$2:$M$135,10,FALSE))</f>
        <v/>
      </c>
      <c r="X31" s="295" t="str">
        <f>IFERROR(VLOOKUP(W31,'G-1 All Habitats'!$V$3:$W$7,2,FALSE),"")</f>
        <v/>
      </c>
      <c r="Y31" s="138"/>
      <c r="Z31" s="299" t="str">
        <f>IFERROR(INDEX('G-8 Condition Look up'!$A$3:$H$135,MATCH(S31,'G-8 Condition Look up'!$A$3:$A$135,0),MATCH(Y31,'G-8 Condition Look up'!$A$3:$H$3,0)),"")</f>
        <v/>
      </c>
      <c r="AA31" s="101"/>
      <c r="AB31" s="314" t="str">
        <f>IF(AA31="","",IF(VLOOKUP(AA31,'G-3 Multipliers'!$L$3:$N$6,2,FALSE)=0,"Spatial Data Missing ⚠",VLOOKUP(AA31,'G-3 Multipliers'!$L$3:$N$6,2,FALSE)))</f>
        <v/>
      </c>
      <c r="AC31" s="299" t="str">
        <f>IF(AA31="","",IF(VLOOKUP(AA31,'G-3 Multipliers'!$L$3:$N$6,3,FALSE)=0,"Spatial Data Missing ⚠",VLOOKUP(AA31,'G-3 Multipliers'!$L$3:$N$6,3,FALSE)))</f>
        <v/>
      </c>
      <c r="AD31" s="311" t="str">
        <f t="shared" si="1"/>
        <v/>
      </c>
      <c r="AE31" s="138"/>
      <c r="AF31" s="138"/>
      <c r="AG31" s="295" t="str">
        <f t="shared" si="5"/>
        <v/>
      </c>
      <c r="AH31" s="296" t="str">
        <f t="shared" si="6"/>
        <v/>
      </c>
      <c r="AI31" s="300" t="str">
        <f>IF(AH31="Check Data ⚠","Check Data ⚠",IFERROR(VLOOKUP(AH31,'G-4 Temporal multipliers'!$A$4:$C$36,3,FALSE),""))</f>
        <v/>
      </c>
      <c r="AJ31" s="311" t="str">
        <f>IF(S31="","",VLOOKUP(S31,'G-3 Multipliers'!$A$2:$E$134,4,FALSE))</f>
        <v/>
      </c>
      <c r="AK31" s="295" t="str">
        <f t="shared" si="7"/>
        <v/>
      </c>
      <c r="AL31" s="295" t="str">
        <f t="shared" si="8"/>
        <v/>
      </c>
      <c r="AM31" s="299" t="str">
        <f>IFERROR(IF(F31="","",IF(AH31="Check Data ⚠","Check Data ⚠",VLOOKUP(AL31,'G-3 Multipliers'!$P$2:$Q$6,2,FALSE))),"")</f>
        <v/>
      </c>
      <c r="AN31" s="712" t="str">
        <f>IF(E31="","",IF(ISNA(VLOOKUP($E31,'D-1 Off-Site Habitat Baseline'!$D$1:$Z$258,15,FALSE)),"",(VLOOKUP($E31,'D-1 Off-Site Habitat Baseline'!$D$1:$Z$258,15,FALSE))))</f>
        <v/>
      </c>
      <c r="AO31" s="329" t="str">
        <f>IF(AN31="","",IF(VLOOKUP(AN31,'G-3 Multipliers'!$S$3:$T$10,2,FALSE)=0,"Spatial Data Missing ⚠",VLOOKUP(AN31,'G-3 Multipliers'!$S$3:$T$10,2,FALSE)))</f>
        <v/>
      </c>
      <c r="AP31" s="289" t="str">
        <f t="shared" si="9"/>
        <v/>
      </c>
      <c r="AQ31" s="289" t="str">
        <f t="shared" si="10"/>
        <v/>
      </c>
      <c r="AR31" s="105"/>
      <c r="AS31" s="138"/>
      <c r="AT31" s="104"/>
      <c r="AU31" s="104"/>
      <c r="AY31" s="30" t="str">
        <f>IF(E31="","",IF(ISNA(VLOOKUP($E31,'D-1 Off-Site Habitat Baseline'!$D$1:$AV$258,4,FALSE)),"",(VLOOKUP($E31,'D-1 Off-Site Habitat Baseline'!$D$1:$AV$258,4,FALSE))))</f>
        <v/>
      </c>
    </row>
    <row r="32" spans="1:51" ht="14">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319" t="str">
        <f>'D-1 Off-Site Habitat Baseline'!AP31</f>
        <v/>
      </c>
      <c r="F32" s="283" t="str">
        <f>IF(E32="","",IF(ISNA(VLOOKUP($E32,'D-1 Off-Site Habitat Baseline'!$D$1:$ZZ$258,45,FALSE)),"",(VLOOKUP($E32,'D-1 Off-Site Habitat Baseline'!$D$1:$ZZ$258,45,FALSE))))</f>
        <v/>
      </c>
      <c r="G32" s="295" t="str">
        <f>IF(E32="","",IF(ISNA(VLOOKUP($E32,'D-1 Off-Site Habitat Baseline'!$D$1:$O$258,5,FALSE)),"",(VLOOKUP($E32,'D-1 Off-Site Habitat Baseline'!$D$1:$O$258,5,FALSE))))</f>
        <v/>
      </c>
      <c r="H32" s="295" t="str">
        <f>IF(E32="","",IF(ISNA(VLOOKUP($E32,'D-1 Off-Site Habitat Baseline'!$D$1:$O$258,6,FALSE)),"",(VLOOKUP($E32,'D-1 Off-Site Habitat Baseline'!$D$1:$O$258,6,FALSE))))</f>
        <v/>
      </c>
      <c r="I32" s="295" t="str">
        <f>IF(E32="","",IF(ISNA(VLOOKUP($E32,'D-1 Off-Site Habitat Baseline'!$D$1:$O$258,7,FALSE)),"",(VLOOKUP($E32,'D-1 Off-Site Habitat Baseline'!$D$1:$O$258,7,FALSE))))</f>
        <v/>
      </c>
      <c r="J32" s="295" t="str">
        <f>IF(E32="","",IF(ISNA(VLOOKUP($E32,'D-1 Off-Site Habitat Baseline'!$D$1:$O$258,8,FALSE)),"",(VLOOKUP($E32,'D-1 Off-Site Habitat Baseline'!$D$1:$O$258,8,FALSE))))</f>
        <v/>
      </c>
      <c r="K32" s="295" t="str">
        <f>IF(E32="","",IF(ISNA(VLOOKUP($E32,'D-1 Off-Site Habitat Baseline'!$D$1:$O$258,9,FALSE)),"",(VLOOKUP($E32,'D-1 Off-Site Habitat Baseline'!$D$1:$O$258,9,FALSE))))</f>
        <v/>
      </c>
      <c r="L32" s="295" t="str">
        <f>IF(E32="","",IF(ISNA(VLOOKUP($E32,'D-1 Off-Site Habitat Baseline'!$D$1:$O$258,11,FALSE)),"",(VLOOKUP($E32,'D-1 Off-Site Habitat Baseline'!$D$1:$O$258,11,FALSE))))</f>
        <v/>
      </c>
      <c r="M32" s="295" t="str">
        <f>IF(E32="","",IF(ISNA(VLOOKUP($E32,'D-1 Off-Site Habitat Baseline'!$D$1:$O$258,12,FALSE)),"",(VLOOKUP($E32,'D-1 Off-Site Habitat Baseline'!$D$1:$O$258,12,FALSE))))</f>
        <v/>
      </c>
      <c r="N32" s="295" t="str">
        <f>IF(E32="","",IF(ISNA(VLOOKUP($E32,'D-1 Off-Site Habitat Baseline'!$D$1:$AA$258,17,FALSE)),"",(VLOOKUP($E32,'D-1 Off-Site Habitat Baseline'!$D$1:$AA$258,17,FALSE))))</f>
        <v/>
      </c>
      <c r="O32" s="299" t="str">
        <f>IF(E32="","",IF(ISNA(VLOOKUP($E32,'D-1 Off-Site Habitat Baseline'!$D$1:$AA$258,13,FALSE)),"",(VLOOKUP($E32,'D-1 Off-Site Habitat Baseline'!$D$1:$AA$258,13,FALSE))))</f>
        <v/>
      </c>
      <c r="P32" s="148" t="str">
        <f>IFERROR(INDEX('G-1 All Habitats'!$AG$49:$AG$63,MATCH(Q32,'G-1 All Habitats'!$AF$27:$AF$41,0)),"")</f>
        <v/>
      </c>
      <c r="Q32" s="149" t="str">
        <f t="shared" si="0"/>
        <v/>
      </c>
      <c r="R32" s="150"/>
      <c r="S32" s="151" t="str">
        <f>IFERROR(INDEX('G-1 All Habitats'!$B$3:$B$135,MATCH(R32,'G-1 All Habitats'!$A$3:$A$135,0)),"")</f>
        <v/>
      </c>
      <c r="T32" s="283" t="str">
        <f t="shared" si="2"/>
        <v/>
      </c>
      <c r="U32" s="276" t="str">
        <f t="shared" si="3"/>
        <v/>
      </c>
      <c r="V32" s="298" t="str">
        <f t="shared" si="4"/>
        <v/>
      </c>
      <c r="W32" s="295" t="str">
        <f>IF(S32="","",VLOOKUP(S32,'G-1 All Habitats'!$B$2:$M$135,10,FALSE))</f>
        <v/>
      </c>
      <c r="X32" s="295" t="str">
        <f>IFERROR(VLOOKUP(W32,'G-1 All Habitats'!$V$3:$W$7,2,FALSE),"")</f>
        <v/>
      </c>
      <c r="Y32" s="138"/>
      <c r="Z32" s="299" t="str">
        <f>IFERROR(INDEX('G-8 Condition Look up'!$A$3:$H$135,MATCH(S32,'G-8 Condition Look up'!$A$3:$A$135,0),MATCH(Y32,'G-8 Condition Look up'!$A$3:$H$3,0)),"")</f>
        <v/>
      </c>
      <c r="AA32" s="101"/>
      <c r="AB32" s="314" t="str">
        <f>IF(AA32="","",IF(VLOOKUP(AA32,'G-3 Multipliers'!$L$3:$N$6,2,FALSE)=0,"Spatial Data Missing ⚠",VLOOKUP(AA32,'G-3 Multipliers'!$L$3:$N$6,2,FALSE)))</f>
        <v/>
      </c>
      <c r="AC32" s="299" t="str">
        <f>IF(AA32="","",IF(VLOOKUP(AA32,'G-3 Multipliers'!$L$3:$N$6,3,FALSE)=0,"Spatial Data Missing ⚠",VLOOKUP(AA32,'G-3 Multipliers'!$L$3:$N$6,3,FALSE)))</f>
        <v/>
      </c>
      <c r="AD32" s="311" t="str">
        <f t="shared" si="1"/>
        <v/>
      </c>
      <c r="AE32" s="138"/>
      <c r="AF32" s="138"/>
      <c r="AG32" s="295" t="str">
        <f t="shared" si="5"/>
        <v/>
      </c>
      <c r="AH32" s="296" t="str">
        <f t="shared" si="6"/>
        <v/>
      </c>
      <c r="AI32" s="300" t="str">
        <f>IF(AH32="Check Data ⚠","Check Data ⚠",IFERROR(VLOOKUP(AH32,'G-4 Temporal multipliers'!$A$4:$C$36,3,FALSE),""))</f>
        <v/>
      </c>
      <c r="AJ32" s="311" t="str">
        <f>IF(S32="","",VLOOKUP(S32,'G-3 Multipliers'!$A$2:$E$134,4,FALSE))</f>
        <v/>
      </c>
      <c r="AK32" s="295" t="str">
        <f t="shared" si="7"/>
        <v/>
      </c>
      <c r="AL32" s="295" t="str">
        <f t="shared" si="8"/>
        <v/>
      </c>
      <c r="AM32" s="299" t="str">
        <f>IFERROR(IF(F32="","",IF(AH32="Check Data ⚠","Check Data ⚠",VLOOKUP(AL32,'G-3 Multipliers'!$P$2:$Q$6,2,FALSE))),"")</f>
        <v/>
      </c>
      <c r="AN32" s="712" t="str">
        <f>IF(E32="","",IF(ISNA(VLOOKUP($E32,'D-1 Off-Site Habitat Baseline'!$D$1:$Z$258,15,FALSE)),"",(VLOOKUP($E32,'D-1 Off-Site Habitat Baseline'!$D$1:$Z$258,15,FALSE))))</f>
        <v/>
      </c>
      <c r="AO32" s="329" t="str">
        <f>IF(AN32="","",IF(VLOOKUP(AN32,'G-3 Multipliers'!$S$3:$T$10,2,FALSE)=0,"Spatial Data Missing ⚠",VLOOKUP(AN32,'G-3 Multipliers'!$S$3:$T$10,2,FALSE)))</f>
        <v/>
      </c>
      <c r="AP32" s="289" t="str">
        <f t="shared" si="9"/>
        <v/>
      </c>
      <c r="AQ32" s="289" t="str">
        <f t="shared" si="10"/>
        <v/>
      </c>
      <c r="AR32" s="105"/>
      <c r="AS32" s="138"/>
      <c r="AT32" s="104"/>
      <c r="AU32" s="104"/>
      <c r="AY32" s="30" t="str">
        <f>IF(E32="","",IF(ISNA(VLOOKUP($E32,'D-1 Off-Site Habitat Baseline'!$D$1:$AV$258,4,FALSE)),"",(VLOOKUP($E32,'D-1 Off-Site Habitat Baseline'!$D$1:$AV$258,4,FALSE))))</f>
        <v/>
      </c>
    </row>
    <row r="33" spans="1:51" ht="14">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319" t="str">
        <f>'D-1 Off-Site Habitat Baseline'!AP32</f>
        <v/>
      </c>
      <c r="F33" s="283" t="str">
        <f>IF(E33="","",IF(ISNA(VLOOKUP($E33,'D-1 Off-Site Habitat Baseline'!$D$1:$ZZ$258,45,FALSE)),"",(VLOOKUP($E33,'D-1 Off-Site Habitat Baseline'!$D$1:$ZZ$258,45,FALSE))))</f>
        <v/>
      </c>
      <c r="G33" s="295" t="str">
        <f>IF(E33="","",IF(ISNA(VLOOKUP($E33,'D-1 Off-Site Habitat Baseline'!$D$1:$O$258,5,FALSE)),"",(VLOOKUP($E33,'D-1 Off-Site Habitat Baseline'!$D$1:$O$258,5,FALSE))))</f>
        <v/>
      </c>
      <c r="H33" s="295" t="str">
        <f>IF(E33="","",IF(ISNA(VLOOKUP($E33,'D-1 Off-Site Habitat Baseline'!$D$1:$O$258,6,FALSE)),"",(VLOOKUP($E33,'D-1 Off-Site Habitat Baseline'!$D$1:$O$258,6,FALSE))))</f>
        <v/>
      </c>
      <c r="I33" s="295" t="str">
        <f>IF(E33="","",IF(ISNA(VLOOKUP($E33,'D-1 Off-Site Habitat Baseline'!$D$1:$O$258,7,FALSE)),"",(VLOOKUP($E33,'D-1 Off-Site Habitat Baseline'!$D$1:$O$258,7,FALSE))))</f>
        <v/>
      </c>
      <c r="J33" s="295" t="str">
        <f>IF(E33="","",IF(ISNA(VLOOKUP($E33,'D-1 Off-Site Habitat Baseline'!$D$1:$O$258,8,FALSE)),"",(VLOOKUP($E33,'D-1 Off-Site Habitat Baseline'!$D$1:$O$258,8,FALSE))))</f>
        <v/>
      </c>
      <c r="K33" s="295" t="str">
        <f>IF(E33="","",IF(ISNA(VLOOKUP($E33,'D-1 Off-Site Habitat Baseline'!$D$1:$O$258,9,FALSE)),"",(VLOOKUP($E33,'D-1 Off-Site Habitat Baseline'!$D$1:$O$258,9,FALSE))))</f>
        <v/>
      </c>
      <c r="L33" s="295" t="str">
        <f>IF(E33="","",IF(ISNA(VLOOKUP($E33,'D-1 Off-Site Habitat Baseline'!$D$1:$O$258,11,FALSE)),"",(VLOOKUP($E33,'D-1 Off-Site Habitat Baseline'!$D$1:$O$258,11,FALSE))))</f>
        <v/>
      </c>
      <c r="M33" s="295" t="str">
        <f>IF(E33="","",IF(ISNA(VLOOKUP($E33,'D-1 Off-Site Habitat Baseline'!$D$1:$O$258,12,FALSE)),"",(VLOOKUP($E33,'D-1 Off-Site Habitat Baseline'!$D$1:$O$258,12,FALSE))))</f>
        <v/>
      </c>
      <c r="N33" s="295" t="str">
        <f>IF(E33="","",IF(ISNA(VLOOKUP($E33,'D-1 Off-Site Habitat Baseline'!$D$1:$AA$258,17,FALSE)),"",(VLOOKUP($E33,'D-1 Off-Site Habitat Baseline'!$D$1:$AA$258,17,FALSE))))</f>
        <v/>
      </c>
      <c r="O33" s="299" t="str">
        <f>IF(E33="","",IF(ISNA(VLOOKUP($E33,'D-1 Off-Site Habitat Baseline'!$D$1:$AA$258,13,FALSE)),"",(VLOOKUP($E33,'D-1 Off-Site Habitat Baseline'!$D$1:$AA$258,13,FALSE))))</f>
        <v/>
      </c>
      <c r="P33" s="148" t="str">
        <f>IFERROR(INDEX('G-1 All Habitats'!$AG$49:$AG$63,MATCH(Q33,'G-1 All Habitats'!$AF$27:$AF$41,0)),"")</f>
        <v/>
      </c>
      <c r="Q33" s="149" t="str">
        <f t="shared" si="0"/>
        <v/>
      </c>
      <c r="R33" s="150"/>
      <c r="S33" s="151" t="str">
        <f>IFERROR(INDEX('G-1 All Habitats'!$B$3:$B$135,MATCH(R33,'G-1 All Habitats'!$A$3:$A$135,0)),"")</f>
        <v/>
      </c>
      <c r="T33" s="283" t="str">
        <f t="shared" si="2"/>
        <v/>
      </c>
      <c r="U33" s="276" t="str">
        <f t="shared" si="3"/>
        <v/>
      </c>
      <c r="V33" s="298" t="str">
        <f t="shared" si="4"/>
        <v/>
      </c>
      <c r="W33" s="295" t="str">
        <f>IF(S33="","",VLOOKUP(S33,'G-1 All Habitats'!$B$2:$M$135,10,FALSE))</f>
        <v/>
      </c>
      <c r="X33" s="295" t="str">
        <f>IFERROR(VLOOKUP(W33,'G-1 All Habitats'!$V$3:$W$7,2,FALSE),"")</f>
        <v/>
      </c>
      <c r="Y33" s="138"/>
      <c r="Z33" s="299" t="str">
        <f>IFERROR(INDEX('G-8 Condition Look up'!$A$3:$H$135,MATCH(S33,'G-8 Condition Look up'!$A$3:$A$135,0),MATCH(Y33,'G-8 Condition Look up'!$A$3:$H$3,0)),"")</f>
        <v/>
      </c>
      <c r="AA33" s="101"/>
      <c r="AB33" s="314" t="str">
        <f>IF(AA33="","",IF(VLOOKUP(AA33,'G-3 Multipliers'!$L$3:$N$6,2,FALSE)=0,"Spatial Data Missing ⚠",VLOOKUP(AA33,'G-3 Multipliers'!$L$3:$N$6,2,FALSE)))</f>
        <v/>
      </c>
      <c r="AC33" s="299" t="str">
        <f>IF(AA33="","",IF(VLOOKUP(AA33,'G-3 Multipliers'!$L$3:$N$6,3,FALSE)=0,"Spatial Data Missing ⚠",VLOOKUP(AA33,'G-3 Multipliers'!$L$3:$N$6,3,FALSE)))</f>
        <v/>
      </c>
      <c r="AD33" s="311" t="str">
        <f t="shared" si="1"/>
        <v/>
      </c>
      <c r="AE33" s="138"/>
      <c r="AF33" s="138"/>
      <c r="AG33" s="295" t="str">
        <f t="shared" si="5"/>
        <v/>
      </c>
      <c r="AH33" s="296" t="str">
        <f t="shared" si="6"/>
        <v/>
      </c>
      <c r="AI33" s="300" t="str">
        <f>IF(AH33="Check Data ⚠","Check Data ⚠",IFERROR(VLOOKUP(AH33,'G-4 Temporal multipliers'!$A$4:$C$36,3,FALSE),""))</f>
        <v/>
      </c>
      <c r="AJ33" s="311" t="str">
        <f>IF(S33="","",VLOOKUP(S33,'G-3 Multipliers'!$A$2:$E$134,4,FALSE))</f>
        <v/>
      </c>
      <c r="AK33" s="295" t="str">
        <f t="shared" si="7"/>
        <v/>
      </c>
      <c r="AL33" s="295" t="str">
        <f t="shared" si="8"/>
        <v/>
      </c>
      <c r="AM33" s="299" t="str">
        <f>IFERROR(IF(F33="","",IF(AH33="Check Data ⚠","Check Data ⚠",VLOOKUP(AL33,'G-3 Multipliers'!$P$2:$Q$6,2,FALSE))),"")</f>
        <v/>
      </c>
      <c r="AN33" s="712" t="str">
        <f>IF(E33="","",IF(ISNA(VLOOKUP($E33,'D-1 Off-Site Habitat Baseline'!$D$1:$Z$258,15,FALSE)),"",(VLOOKUP($E33,'D-1 Off-Site Habitat Baseline'!$D$1:$Z$258,15,FALSE))))</f>
        <v/>
      </c>
      <c r="AO33" s="329" t="str">
        <f>IF(AN33="","",IF(VLOOKUP(AN33,'G-3 Multipliers'!$S$3:$T$10,2,FALSE)=0,"Spatial Data Missing ⚠",VLOOKUP(AN33,'G-3 Multipliers'!$S$3:$T$10,2,FALSE)))</f>
        <v/>
      </c>
      <c r="AP33" s="289" t="str">
        <f t="shared" si="9"/>
        <v/>
      </c>
      <c r="AQ33" s="289" t="str">
        <f t="shared" si="10"/>
        <v/>
      </c>
      <c r="AR33" s="105"/>
      <c r="AS33" s="138"/>
      <c r="AT33" s="104"/>
      <c r="AU33" s="104"/>
      <c r="AY33" s="30" t="str">
        <f>IF(E33="","",IF(ISNA(VLOOKUP($E33,'D-1 Off-Site Habitat Baseline'!$D$1:$AV$258,4,FALSE)),"",(VLOOKUP($E33,'D-1 Off-Site Habitat Baseline'!$D$1:$AV$258,4,FALSE))))</f>
        <v/>
      </c>
    </row>
    <row r="34" spans="1:51" ht="14">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319" t="str">
        <f>'D-1 Off-Site Habitat Baseline'!AP33</f>
        <v/>
      </c>
      <c r="F34" s="283" t="str">
        <f>IF(E34="","",IF(ISNA(VLOOKUP($E34,'D-1 Off-Site Habitat Baseline'!$D$1:$ZZ$258,45,FALSE)),"",(VLOOKUP($E34,'D-1 Off-Site Habitat Baseline'!$D$1:$ZZ$258,45,FALSE))))</f>
        <v/>
      </c>
      <c r="G34" s="295" t="str">
        <f>IF(E34="","",IF(ISNA(VLOOKUP($E34,'D-1 Off-Site Habitat Baseline'!$D$1:$O$258,5,FALSE)),"",(VLOOKUP($E34,'D-1 Off-Site Habitat Baseline'!$D$1:$O$258,5,FALSE))))</f>
        <v/>
      </c>
      <c r="H34" s="295" t="str">
        <f>IF(E34="","",IF(ISNA(VLOOKUP($E34,'D-1 Off-Site Habitat Baseline'!$D$1:$O$258,6,FALSE)),"",(VLOOKUP($E34,'D-1 Off-Site Habitat Baseline'!$D$1:$O$258,6,FALSE))))</f>
        <v/>
      </c>
      <c r="I34" s="295" t="str">
        <f>IF(E34="","",IF(ISNA(VLOOKUP($E34,'D-1 Off-Site Habitat Baseline'!$D$1:$O$258,7,FALSE)),"",(VLOOKUP($E34,'D-1 Off-Site Habitat Baseline'!$D$1:$O$258,7,FALSE))))</f>
        <v/>
      </c>
      <c r="J34" s="295" t="str">
        <f>IF(E34="","",IF(ISNA(VLOOKUP($E34,'D-1 Off-Site Habitat Baseline'!$D$1:$O$258,8,FALSE)),"",(VLOOKUP($E34,'D-1 Off-Site Habitat Baseline'!$D$1:$O$258,8,FALSE))))</f>
        <v/>
      </c>
      <c r="K34" s="295" t="str">
        <f>IF(E34="","",IF(ISNA(VLOOKUP($E34,'D-1 Off-Site Habitat Baseline'!$D$1:$O$258,9,FALSE)),"",(VLOOKUP($E34,'D-1 Off-Site Habitat Baseline'!$D$1:$O$258,9,FALSE))))</f>
        <v/>
      </c>
      <c r="L34" s="295" t="str">
        <f>IF(E34="","",IF(ISNA(VLOOKUP($E34,'D-1 Off-Site Habitat Baseline'!$D$1:$O$258,11,FALSE)),"",(VLOOKUP($E34,'D-1 Off-Site Habitat Baseline'!$D$1:$O$258,11,FALSE))))</f>
        <v/>
      </c>
      <c r="M34" s="295" t="str">
        <f>IF(E34="","",IF(ISNA(VLOOKUP($E34,'D-1 Off-Site Habitat Baseline'!$D$1:$O$258,12,FALSE)),"",(VLOOKUP($E34,'D-1 Off-Site Habitat Baseline'!$D$1:$O$258,12,FALSE))))</f>
        <v/>
      </c>
      <c r="N34" s="295" t="str">
        <f>IF(E34="","",IF(ISNA(VLOOKUP($E34,'D-1 Off-Site Habitat Baseline'!$D$1:$AA$258,17,FALSE)),"",(VLOOKUP($E34,'D-1 Off-Site Habitat Baseline'!$D$1:$AA$258,17,FALSE))))</f>
        <v/>
      </c>
      <c r="O34" s="299" t="str">
        <f>IF(E34="","",IF(ISNA(VLOOKUP($E34,'D-1 Off-Site Habitat Baseline'!$D$1:$AA$258,13,FALSE)),"",(VLOOKUP($E34,'D-1 Off-Site Habitat Baseline'!$D$1:$AA$258,13,FALSE))))</f>
        <v/>
      </c>
      <c r="P34" s="148" t="str">
        <f>IFERROR(INDEX('G-1 All Habitats'!$AG$49:$AG$63,MATCH(Q34,'G-1 All Habitats'!$AF$27:$AF$41,0)),"")</f>
        <v/>
      </c>
      <c r="Q34" s="149" t="str">
        <f t="shared" si="0"/>
        <v/>
      </c>
      <c r="R34" s="150"/>
      <c r="S34" s="151" t="str">
        <f>IFERROR(INDEX('G-1 All Habitats'!$B$3:$B$135,MATCH(R34,'G-1 All Habitats'!$A$3:$A$135,0)),"")</f>
        <v/>
      </c>
      <c r="T34" s="283" t="str">
        <f t="shared" si="2"/>
        <v/>
      </c>
      <c r="U34" s="276" t="str">
        <f t="shared" si="3"/>
        <v/>
      </c>
      <c r="V34" s="298" t="str">
        <f t="shared" si="4"/>
        <v/>
      </c>
      <c r="W34" s="295" t="str">
        <f>IF(S34="","",VLOOKUP(S34,'G-1 All Habitats'!$B$2:$M$135,10,FALSE))</f>
        <v/>
      </c>
      <c r="X34" s="295" t="str">
        <f>IFERROR(VLOOKUP(W34,'G-1 All Habitats'!$V$3:$W$7,2,FALSE),"")</f>
        <v/>
      </c>
      <c r="Y34" s="138"/>
      <c r="Z34" s="299" t="str">
        <f>IFERROR(INDEX('G-8 Condition Look up'!$A$3:$H$135,MATCH(S34,'G-8 Condition Look up'!$A$3:$A$135,0),MATCH(Y34,'G-8 Condition Look up'!$A$3:$H$3,0)),"")</f>
        <v/>
      </c>
      <c r="AA34" s="101"/>
      <c r="AB34" s="314" t="str">
        <f>IF(AA34="","",IF(VLOOKUP(AA34,'G-3 Multipliers'!$L$3:$N$6,2,FALSE)=0,"Spatial Data Missing ⚠",VLOOKUP(AA34,'G-3 Multipliers'!$L$3:$N$6,2,FALSE)))</f>
        <v/>
      </c>
      <c r="AC34" s="299" t="str">
        <f>IF(AA34="","",IF(VLOOKUP(AA34,'G-3 Multipliers'!$L$3:$N$6,3,FALSE)=0,"Spatial Data Missing ⚠",VLOOKUP(AA34,'G-3 Multipliers'!$L$3:$N$6,3,FALSE)))</f>
        <v/>
      </c>
      <c r="AD34" s="311" t="str">
        <f t="shared" si="1"/>
        <v/>
      </c>
      <c r="AE34" s="138"/>
      <c r="AF34" s="138"/>
      <c r="AG34" s="295" t="str">
        <f t="shared" si="5"/>
        <v/>
      </c>
      <c r="AH34" s="296" t="str">
        <f t="shared" si="6"/>
        <v/>
      </c>
      <c r="AI34" s="300" t="str">
        <f>IF(AH34="Check Data ⚠","Check Data ⚠",IFERROR(VLOOKUP(AH34,'G-4 Temporal multipliers'!$A$4:$C$36,3,FALSE),""))</f>
        <v/>
      </c>
      <c r="AJ34" s="311" t="str">
        <f>IF(S34="","",VLOOKUP(S34,'G-3 Multipliers'!$A$2:$E$134,4,FALSE))</f>
        <v/>
      </c>
      <c r="AK34" s="295" t="str">
        <f t="shared" si="7"/>
        <v/>
      </c>
      <c r="AL34" s="295" t="str">
        <f t="shared" si="8"/>
        <v/>
      </c>
      <c r="AM34" s="299" t="str">
        <f>IFERROR(IF(F34="","",IF(AH34="Check Data ⚠","Check Data ⚠",VLOOKUP(AL34,'G-3 Multipliers'!$P$2:$Q$6,2,FALSE))),"")</f>
        <v/>
      </c>
      <c r="AN34" s="712" t="str">
        <f>IF(E34="","",IF(ISNA(VLOOKUP($E34,'D-1 Off-Site Habitat Baseline'!$D$1:$Z$258,15,FALSE)),"",(VLOOKUP($E34,'D-1 Off-Site Habitat Baseline'!$D$1:$Z$258,15,FALSE))))</f>
        <v/>
      </c>
      <c r="AO34" s="329" t="str">
        <f>IF(AN34="","",IF(VLOOKUP(AN34,'G-3 Multipliers'!$S$3:$T$10,2,FALSE)=0,"Spatial Data Missing ⚠",VLOOKUP(AN34,'G-3 Multipliers'!$S$3:$T$10,2,FALSE)))</f>
        <v/>
      </c>
      <c r="AP34" s="289" t="str">
        <f t="shared" si="9"/>
        <v/>
      </c>
      <c r="AQ34" s="289" t="str">
        <f t="shared" si="10"/>
        <v/>
      </c>
      <c r="AR34" s="105"/>
      <c r="AS34" s="138"/>
      <c r="AT34" s="104"/>
      <c r="AU34" s="104"/>
      <c r="AY34" s="30" t="str">
        <f>IF(E34="","",IF(ISNA(VLOOKUP($E34,'D-1 Off-Site Habitat Baseline'!$D$1:$AV$258,4,FALSE)),"",(VLOOKUP($E34,'D-1 Off-Site Habitat Baseline'!$D$1:$AV$258,4,FALSE))))</f>
        <v/>
      </c>
    </row>
    <row r="35" spans="1:51" ht="14">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319" t="str">
        <f>'D-1 Off-Site Habitat Baseline'!AP34</f>
        <v/>
      </c>
      <c r="F35" s="283" t="str">
        <f>IF(E35="","",IF(ISNA(VLOOKUP($E35,'D-1 Off-Site Habitat Baseline'!$D$1:$ZZ$258,45,FALSE)),"",(VLOOKUP($E35,'D-1 Off-Site Habitat Baseline'!$D$1:$ZZ$258,45,FALSE))))</f>
        <v/>
      </c>
      <c r="G35" s="295" t="str">
        <f>IF(E35="","",IF(ISNA(VLOOKUP($E35,'D-1 Off-Site Habitat Baseline'!$D$1:$O$258,5,FALSE)),"",(VLOOKUP($E35,'D-1 Off-Site Habitat Baseline'!$D$1:$O$258,5,FALSE))))</f>
        <v/>
      </c>
      <c r="H35" s="295" t="str">
        <f>IF(E35="","",IF(ISNA(VLOOKUP($E35,'D-1 Off-Site Habitat Baseline'!$D$1:$O$258,6,FALSE)),"",(VLOOKUP($E35,'D-1 Off-Site Habitat Baseline'!$D$1:$O$258,6,FALSE))))</f>
        <v/>
      </c>
      <c r="I35" s="295" t="str">
        <f>IF(E35="","",IF(ISNA(VLOOKUP($E35,'D-1 Off-Site Habitat Baseline'!$D$1:$O$258,7,FALSE)),"",(VLOOKUP($E35,'D-1 Off-Site Habitat Baseline'!$D$1:$O$258,7,FALSE))))</f>
        <v/>
      </c>
      <c r="J35" s="295" t="str">
        <f>IF(E35="","",IF(ISNA(VLOOKUP($E35,'D-1 Off-Site Habitat Baseline'!$D$1:$O$258,8,FALSE)),"",(VLOOKUP($E35,'D-1 Off-Site Habitat Baseline'!$D$1:$O$258,8,FALSE))))</f>
        <v/>
      </c>
      <c r="K35" s="295" t="str">
        <f>IF(E35="","",IF(ISNA(VLOOKUP($E35,'D-1 Off-Site Habitat Baseline'!$D$1:$O$258,9,FALSE)),"",(VLOOKUP($E35,'D-1 Off-Site Habitat Baseline'!$D$1:$O$258,9,FALSE))))</f>
        <v/>
      </c>
      <c r="L35" s="295" t="str">
        <f>IF(E35="","",IF(ISNA(VLOOKUP($E35,'D-1 Off-Site Habitat Baseline'!$D$1:$O$258,11,FALSE)),"",(VLOOKUP($E35,'D-1 Off-Site Habitat Baseline'!$D$1:$O$258,11,FALSE))))</f>
        <v/>
      </c>
      <c r="M35" s="295" t="str">
        <f>IF(E35="","",IF(ISNA(VLOOKUP($E35,'D-1 Off-Site Habitat Baseline'!$D$1:$O$258,12,FALSE)),"",(VLOOKUP($E35,'D-1 Off-Site Habitat Baseline'!$D$1:$O$258,12,FALSE))))</f>
        <v/>
      </c>
      <c r="N35" s="295" t="str">
        <f>IF(E35="","",IF(ISNA(VLOOKUP($E35,'D-1 Off-Site Habitat Baseline'!$D$1:$AA$258,17,FALSE)),"",(VLOOKUP($E35,'D-1 Off-Site Habitat Baseline'!$D$1:$AA$258,17,FALSE))))</f>
        <v/>
      </c>
      <c r="O35" s="299" t="str">
        <f>IF(E35="","",IF(ISNA(VLOOKUP($E35,'D-1 Off-Site Habitat Baseline'!$D$1:$AA$258,13,FALSE)),"",(VLOOKUP($E35,'D-1 Off-Site Habitat Baseline'!$D$1:$AA$258,13,FALSE))))</f>
        <v/>
      </c>
      <c r="P35" s="148" t="str">
        <f>IFERROR(INDEX('G-1 All Habitats'!$AG$49:$AG$63,MATCH(Q35,'G-1 All Habitats'!$AF$27:$AF$41,0)),"")</f>
        <v/>
      </c>
      <c r="Q35" s="149" t="str">
        <f t="shared" si="0"/>
        <v/>
      </c>
      <c r="R35" s="150"/>
      <c r="S35" s="151" t="str">
        <f>IFERROR(INDEX('G-1 All Habitats'!$B$3:$B$135,MATCH(R35,'G-1 All Habitats'!$A$3:$A$135,0)),"")</f>
        <v/>
      </c>
      <c r="T35" s="283" t="str">
        <f t="shared" si="2"/>
        <v/>
      </c>
      <c r="U35" s="276" t="str">
        <f t="shared" si="3"/>
        <v/>
      </c>
      <c r="V35" s="298" t="str">
        <f t="shared" si="4"/>
        <v/>
      </c>
      <c r="W35" s="295" t="str">
        <f>IF(S35="","",VLOOKUP(S35,'G-1 All Habitats'!$B$2:$M$135,10,FALSE))</f>
        <v/>
      </c>
      <c r="X35" s="295" t="str">
        <f>IFERROR(VLOOKUP(W35,'G-1 All Habitats'!$V$3:$W$7,2,FALSE),"")</f>
        <v/>
      </c>
      <c r="Y35" s="138"/>
      <c r="Z35" s="299" t="str">
        <f>IFERROR(INDEX('G-8 Condition Look up'!$A$3:$H$135,MATCH(S35,'G-8 Condition Look up'!$A$3:$A$135,0),MATCH(Y35,'G-8 Condition Look up'!$A$3:$H$3,0)),"")</f>
        <v/>
      </c>
      <c r="AA35" s="101"/>
      <c r="AB35" s="314" t="str">
        <f>IF(AA35="","",IF(VLOOKUP(AA35,'G-3 Multipliers'!$L$3:$N$6,2,FALSE)=0,"Spatial Data Missing ⚠",VLOOKUP(AA35,'G-3 Multipliers'!$L$3:$N$6,2,FALSE)))</f>
        <v/>
      </c>
      <c r="AC35" s="299" t="str">
        <f>IF(AA35="","",IF(VLOOKUP(AA35,'G-3 Multipliers'!$L$3:$N$6,3,FALSE)=0,"Spatial Data Missing ⚠",VLOOKUP(AA35,'G-3 Multipliers'!$L$3:$N$6,3,FALSE)))</f>
        <v/>
      </c>
      <c r="AD35" s="311" t="str">
        <f t="shared" si="1"/>
        <v/>
      </c>
      <c r="AE35" s="138"/>
      <c r="AF35" s="138"/>
      <c r="AG35" s="295" t="str">
        <f t="shared" si="5"/>
        <v/>
      </c>
      <c r="AH35" s="296" t="str">
        <f t="shared" si="6"/>
        <v/>
      </c>
      <c r="AI35" s="300" t="str">
        <f>IF(AH35="Check Data ⚠","Check Data ⚠",IFERROR(VLOOKUP(AH35,'G-4 Temporal multipliers'!$A$4:$C$36,3,FALSE),""))</f>
        <v/>
      </c>
      <c r="AJ35" s="311" t="str">
        <f>IF(S35="","",VLOOKUP(S35,'G-3 Multipliers'!$A$2:$E$134,4,FALSE))</f>
        <v/>
      </c>
      <c r="AK35" s="295" t="str">
        <f t="shared" si="7"/>
        <v/>
      </c>
      <c r="AL35" s="295" t="str">
        <f t="shared" si="8"/>
        <v/>
      </c>
      <c r="AM35" s="299" t="str">
        <f>IFERROR(IF(F35="","",IF(AH35="Check Data ⚠","Check Data ⚠",VLOOKUP(AL35,'G-3 Multipliers'!$P$2:$Q$6,2,FALSE))),"")</f>
        <v/>
      </c>
      <c r="AN35" s="712" t="str">
        <f>IF(E35="","",IF(ISNA(VLOOKUP($E35,'D-1 Off-Site Habitat Baseline'!$D$1:$Z$258,15,FALSE)),"",(VLOOKUP($E35,'D-1 Off-Site Habitat Baseline'!$D$1:$Z$258,15,FALSE))))</f>
        <v/>
      </c>
      <c r="AO35" s="329" t="str">
        <f>IF(AN35="","",IF(VLOOKUP(AN35,'G-3 Multipliers'!$S$3:$T$10,2,FALSE)=0,"Spatial Data Missing ⚠",VLOOKUP(AN35,'G-3 Multipliers'!$S$3:$T$10,2,FALSE)))</f>
        <v/>
      </c>
      <c r="AP35" s="289" t="str">
        <f t="shared" si="9"/>
        <v/>
      </c>
      <c r="AQ35" s="289" t="str">
        <f t="shared" si="10"/>
        <v/>
      </c>
      <c r="AR35" s="105"/>
      <c r="AS35" s="138"/>
      <c r="AT35" s="104"/>
      <c r="AU35" s="104"/>
      <c r="AY35" s="30" t="str">
        <f>IF(E35="","",IF(ISNA(VLOOKUP($E35,'D-1 Off-Site Habitat Baseline'!$D$1:$AV$258,4,FALSE)),"",(VLOOKUP($E35,'D-1 Off-Site Habitat Baseline'!$D$1:$AV$258,4,FALSE))))</f>
        <v/>
      </c>
    </row>
    <row r="36" spans="1:51" ht="14">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319" t="str">
        <f>'D-1 Off-Site Habitat Baseline'!AP35</f>
        <v/>
      </c>
      <c r="F36" s="283" t="str">
        <f>IF(E36="","",IF(ISNA(VLOOKUP($E36,'D-1 Off-Site Habitat Baseline'!$D$1:$ZZ$258,45,FALSE)),"",(VLOOKUP($E36,'D-1 Off-Site Habitat Baseline'!$D$1:$ZZ$258,45,FALSE))))</f>
        <v/>
      </c>
      <c r="G36" s="295" t="str">
        <f>IF(E36="","",IF(ISNA(VLOOKUP($E36,'D-1 Off-Site Habitat Baseline'!$D$1:$O$258,5,FALSE)),"",(VLOOKUP($E36,'D-1 Off-Site Habitat Baseline'!$D$1:$O$258,5,FALSE))))</f>
        <v/>
      </c>
      <c r="H36" s="295" t="str">
        <f>IF(E36="","",IF(ISNA(VLOOKUP($E36,'D-1 Off-Site Habitat Baseline'!$D$1:$O$258,6,FALSE)),"",(VLOOKUP($E36,'D-1 Off-Site Habitat Baseline'!$D$1:$O$258,6,FALSE))))</f>
        <v/>
      </c>
      <c r="I36" s="295" t="str">
        <f>IF(E36="","",IF(ISNA(VLOOKUP($E36,'D-1 Off-Site Habitat Baseline'!$D$1:$O$258,7,FALSE)),"",(VLOOKUP($E36,'D-1 Off-Site Habitat Baseline'!$D$1:$O$258,7,FALSE))))</f>
        <v/>
      </c>
      <c r="J36" s="295" t="str">
        <f>IF(E36="","",IF(ISNA(VLOOKUP($E36,'D-1 Off-Site Habitat Baseline'!$D$1:$O$258,8,FALSE)),"",(VLOOKUP($E36,'D-1 Off-Site Habitat Baseline'!$D$1:$O$258,8,FALSE))))</f>
        <v/>
      </c>
      <c r="K36" s="295" t="str">
        <f>IF(E36="","",IF(ISNA(VLOOKUP($E36,'D-1 Off-Site Habitat Baseline'!$D$1:$O$258,9,FALSE)),"",(VLOOKUP($E36,'D-1 Off-Site Habitat Baseline'!$D$1:$O$258,9,FALSE))))</f>
        <v/>
      </c>
      <c r="L36" s="295" t="str">
        <f>IF(E36="","",IF(ISNA(VLOOKUP($E36,'D-1 Off-Site Habitat Baseline'!$D$1:$O$258,11,FALSE)),"",(VLOOKUP($E36,'D-1 Off-Site Habitat Baseline'!$D$1:$O$258,11,FALSE))))</f>
        <v/>
      </c>
      <c r="M36" s="295" t="str">
        <f>IF(E36="","",IF(ISNA(VLOOKUP($E36,'D-1 Off-Site Habitat Baseline'!$D$1:$O$258,12,FALSE)),"",(VLOOKUP($E36,'D-1 Off-Site Habitat Baseline'!$D$1:$O$258,12,FALSE))))</f>
        <v/>
      </c>
      <c r="N36" s="295" t="str">
        <f>IF(E36="","",IF(ISNA(VLOOKUP($E36,'D-1 Off-Site Habitat Baseline'!$D$1:$AA$258,17,FALSE)),"",(VLOOKUP($E36,'D-1 Off-Site Habitat Baseline'!$D$1:$AA$258,17,FALSE))))</f>
        <v/>
      </c>
      <c r="O36" s="299" t="str">
        <f>IF(E36="","",IF(ISNA(VLOOKUP($E36,'D-1 Off-Site Habitat Baseline'!$D$1:$AA$258,13,FALSE)),"",(VLOOKUP($E36,'D-1 Off-Site Habitat Baseline'!$D$1:$AA$258,13,FALSE))))</f>
        <v/>
      </c>
      <c r="P36" s="148" t="str">
        <f>IFERROR(INDEX('G-1 All Habitats'!$AG$49:$AG$63,MATCH(Q36,'G-1 All Habitats'!$AF$27:$AF$41,0)),"")</f>
        <v/>
      </c>
      <c r="Q36" s="149" t="str">
        <f t="shared" si="0"/>
        <v/>
      </c>
      <c r="R36" s="150"/>
      <c r="S36" s="151" t="str">
        <f>IFERROR(INDEX('G-1 All Habitats'!$B$3:$B$135,MATCH(R36,'G-1 All Habitats'!$A$3:$A$135,0)),"")</f>
        <v/>
      </c>
      <c r="T36" s="283" t="str">
        <f t="shared" si="2"/>
        <v/>
      </c>
      <c r="U36" s="276" t="str">
        <f t="shared" si="3"/>
        <v/>
      </c>
      <c r="V36" s="298" t="str">
        <f t="shared" si="4"/>
        <v/>
      </c>
      <c r="W36" s="295" t="str">
        <f>IF(S36="","",VLOOKUP(S36,'G-1 All Habitats'!$B$2:$M$135,10,FALSE))</f>
        <v/>
      </c>
      <c r="X36" s="295" t="str">
        <f>IFERROR(VLOOKUP(W36,'G-1 All Habitats'!$V$3:$W$7,2,FALSE),"")</f>
        <v/>
      </c>
      <c r="Y36" s="138"/>
      <c r="Z36" s="299" t="str">
        <f>IFERROR(INDEX('G-8 Condition Look up'!$A$3:$H$135,MATCH(S36,'G-8 Condition Look up'!$A$3:$A$135,0),MATCH(Y36,'G-8 Condition Look up'!$A$3:$H$3,0)),"")</f>
        <v/>
      </c>
      <c r="AA36" s="101"/>
      <c r="AB36" s="314" t="str">
        <f>IF(AA36="","",IF(VLOOKUP(AA36,'G-3 Multipliers'!$L$3:$N$6,2,FALSE)=0,"Spatial Data Missing ⚠",VLOOKUP(AA36,'G-3 Multipliers'!$L$3:$N$6,2,FALSE)))</f>
        <v/>
      </c>
      <c r="AC36" s="299" t="str">
        <f>IF(AA36="","",IF(VLOOKUP(AA36,'G-3 Multipliers'!$L$3:$N$6,3,FALSE)=0,"Spatial Data Missing ⚠",VLOOKUP(AA36,'G-3 Multipliers'!$L$3:$N$6,3,FALSE)))</f>
        <v/>
      </c>
      <c r="AD36" s="311" t="str">
        <f t="shared" si="1"/>
        <v/>
      </c>
      <c r="AE36" s="138"/>
      <c r="AF36" s="138"/>
      <c r="AG36" s="295" t="str">
        <f t="shared" si="5"/>
        <v/>
      </c>
      <c r="AH36" s="296" t="str">
        <f t="shared" si="6"/>
        <v/>
      </c>
      <c r="AI36" s="300" t="str">
        <f>IF(AH36="Check Data ⚠","Check Data ⚠",IFERROR(VLOOKUP(AH36,'G-4 Temporal multipliers'!$A$4:$C$36,3,FALSE),""))</f>
        <v/>
      </c>
      <c r="AJ36" s="311" t="str">
        <f>IF(S36="","",VLOOKUP(S36,'G-3 Multipliers'!$A$2:$E$134,4,FALSE))</f>
        <v/>
      </c>
      <c r="AK36" s="295" t="str">
        <f t="shared" si="7"/>
        <v/>
      </c>
      <c r="AL36" s="295" t="str">
        <f t="shared" si="8"/>
        <v/>
      </c>
      <c r="AM36" s="299" t="str">
        <f>IFERROR(IF(F36="","",IF(AH36="Check Data ⚠","Check Data ⚠",VLOOKUP(AL36,'G-3 Multipliers'!$P$2:$Q$6,2,FALSE))),"")</f>
        <v/>
      </c>
      <c r="AN36" s="712" t="str">
        <f>IF(E36="","",IF(ISNA(VLOOKUP($E36,'D-1 Off-Site Habitat Baseline'!$D$1:$Z$258,15,FALSE)),"",(VLOOKUP($E36,'D-1 Off-Site Habitat Baseline'!$D$1:$Z$258,15,FALSE))))</f>
        <v/>
      </c>
      <c r="AO36" s="329" t="str">
        <f>IF(AN36="","",IF(VLOOKUP(AN36,'G-3 Multipliers'!$S$3:$T$10,2,FALSE)=0,"Spatial Data Missing ⚠",VLOOKUP(AN36,'G-3 Multipliers'!$S$3:$T$10,2,FALSE)))</f>
        <v/>
      </c>
      <c r="AP36" s="289" t="str">
        <f t="shared" si="9"/>
        <v/>
      </c>
      <c r="AQ36" s="289" t="str">
        <f t="shared" si="10"/>
        <v/>
      </c>
      <c r="AR36" s="105"/>
      <c r="AS36" s="138"/>
      <c r="AT36" s="104"/>
      <c r="AU36" s="104"/>
      <c r="AY36" s="30" t="str">
        <f>IF(E36="","",IF(ISNA(VLOOKUP($E36,'D-1 Off-Site Habitat Baseline'!$D$1:$AV$258,4,FALSE)),"",(VLOOKUP($E36,'D-1 Off-Site Habitat Baseline'!$D$1:$AV$258,4,FALSE))))</f>
        <v/>
      </c>
    </row>
    <row r="37" spans="1:51" ht="14">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319" t="str">
        <f>'D-1 Off-Site Habitat Baseline'!AP36</f>
        <v/>
      </c>
      <c r="F37" s="283" t="str">
        <f>IF(E37="","",IF(ISNA(VLOOKUP($E37,'D-1 Off-Site Habitat Baseline'!$D$1:$ZZ$258,45,FALSE)),"",(VLOOKUP($E37,'D-1 Off-Site Habitat Baseline'!$D$1:$ZZ$258,45,FALSE))))</f>
        <v/>
      </c>
      <c r="G37" s="295" t="str">
        <f>IF(E37="","",IF(ISNA(VLOOKUP($E37,'D-1 Off-Site Habitat Baseline'!$D$1:$O$258,5,FALSE)),"",(VLOOKUP($E37,'D-1 Off-Site Habitat Baseline'!$D$1:$O$258,5,FALSE))))</f>
        <v/>
      </c>
      <c r="H37" s="295" t="str">
        <f>IF(E37="","",IF(ISNA(VLOOKUP($E37,'D-1 Off-Site Habitat Baseline'!$D$1:$O$258,6,FALSE)),"",(VLOOKUP($E37,'D-1 Off-Site Habitat Baseline'!$D$1:$O$258,6,FALSE))))</f>
        <v/>
      </c>
      <c r="I37" s="295" t="str">
        <f>IF(E37="","",IF(ISNA(VLOOKUP($E37,'D-1 Off-Site Habitat Baseline'!$D$1:$O$258,7,FALSE)),"",(VLOOKUP($E37,'D-1 Off-Site Habitat Baseline'!$D$1:$O$258,7,FALSE))))</f>
        <v/>
      </c>
      <c r="J37" s="295" t="str">
        <f>IF(E37="","",IF(ISNA(VLOOKUP($E37,'D-1 Off-Site Habitat Baseline'!$D$1:$O$258,8,FALSE)),"",(VLOOKUP($E37,'D-1 Off-Site Habitat Baseline'!$D$1:$O$258,8,FALSE))))</f>
        <v/>
      </c>
      <c r="K37" s="295" t="str">
        <f>IF(E37="","",IF(ISNA(VLOOKUP($E37,'D-1 Off-Site Habitat Baseline'!$D$1:$O$258,9,FALSE)),"",(VLOOKUP($E37,'D-1 Off-Site Habitat Baseline'!$D$1:$O$258,9,FALSE))))</f>
        <v/>
      </c>
      <c r="L37" s="295" t="str">
        <f>IF(E37="","",IF(ISNA(VLOOKUP($E37,'D-1 Off-Site Habitat Baseline'!$D$1:$O$258,11,FALSE)),"",(VLOOKUP($E37,'D-1 Off-Site Habitat Baseline'!$D$1:$O$258,11,FALSE))))</f>
        <v/>
      </c>
      <c r="M37" s="295" t="str">
        <f>IF(E37="","",IF(ISNA(VLOOKUP($E37,'D-1 Off-Site Habitat Baseline'!$D$1:$O$258,12,FALSE)),"",(VLOOKUP($E37,'D-1 Off-Site Habitat Baseline'!$D$1:$O$258,12,FALSE))))</f>
        <v/>
      </c>
      <c r="N37" s="295" t="str">
        <f>IF(E37="","",IF(ISNA(VLOOKUP($E37,'D-1 Off-Site Habitat Baseline'!$D$1:$AA$258,17,FALSE)),"",(VLOOKUP($E37,'D-1 Off-Site Habitat Baseline'!$D$1:$AA$258,17,FALSE))))</f>
        <v/>
      </c>
      <c r="O37" s="299" t="str">
        <f>IF(E37="","",IF(ISNA(VLOOKUP($E37,'D-1 Off-Site Habitat Baseline'!$D$1:$AA$258,13,FALSE)),"",(VLOOKUP($E37,'D-1 Off-Site Habitat Baseline'!$D$1:$AA$258,13,FALSE))))</f>
        <v/>
      </c>
      <c r="P37" s="148" t="str">
        <f>IFERROR(INDEX('G-1 All Habitats'!$AG$49:$AG$63,MATCH(Q37,'G-1 All Habitats'!$AF$27:$AF$41,0)),"")</f>
        <v/>
      </c>
      <c r="Q37" s="149" t="str">
        <f t="shared" si="0"/>
        <v/>
      </c>
      <c r="R37" s="150"/>
      <c r="S37" s="151" t="str">
        <f>IFERROR(INDEX('G-1 All Habitats'!$B$3:$B$135,MATCH(R37,'G-1 All Habitats'!$A$3:$A$135,0)),"")</f>
        <v/>
      </c>
      <c r="T37" s="283" t="str">
        <f t="shared" si="2"/>
        <v/>
      </c>
      <c r="U37" s="276" t="str">
        <f t="shared" si="3"/>
        <v/>
      </c>
      <c r="V37" s="298" t="str">
        <f t="shared" si="4"/>
        <v/>
      </c>
      <c r="W37" s="295" t="str">
        <f>IF(S37="","",VLOOKUP(S37,'G-1 All Habitats'!$B$2:$M$135,10,FALSE))</f>
        <v/>
      </c>
      <c r="X37" s="295" t="str">
        <f>IFERROR(VLOOKUP(W37,'G-1 All Habitats'!$V$3:$W$7,2,FALSE),"")</f>
        <v/>
      </c>
      <c r="Y37" s="138"/>
      <c r="Z37" s="299" t="str">
        <f>IFERROR(INDEX('G-8 Condition Look up'!$A$3:$H$135,MATCH(S37,'G-8 Condition Look up'!$A$3:$A$135,0),MATCH(Y37,'G-8 Condition Look up'!$A$3:$H$3,0)),"")</f>
        <v/>
      </c>
      <c r="AA37" s="101"/>
      <c r="AB37" s="314" t="str">
        <f>IF(AA37="","",IF(VLOOKUP(AA37,'G-3 Multipliers'!$L$3:$N$6,2,FALSE)=0,"Spatial Data Missing ⚠",VLOOKUP(AA37,'G-3 Multipliers'!$L$3:$N$6,2,FALSE)))</f>
        <v/>
      </c>
      <c r="AC37" s="299" t="str">
        <f>IF(AA37="","",IF(VLOOKUP(AA37,'G-3 Multipliers'!$L$3:$N$6,3,FALSE)=0,"Spatial Data Missing ⚠",VLOOKUP(AA37,'G-3 Multipliers'!$L$3:$N$6,3,FALSE)))</f>
        <v/>
      </c>
      <c r="AD37" s="311" t="str">
        <f t="shared" si="1"/>
        <v/>
      </c>
      <c r="AE37" s="138"/>
      <c r="AF37" s="138"/>
      <c r="AG37" s="295" t="str">
        <f t="shared" si="5"/>
        <v/>
      </c>
      <c r="AH37" s="296" t="str">
        <f t="shared" si="6"/>
        <v/>
      </c>
      <c r="AI37" s="300" t="str">
        <f>IF(AH37="Check Data ⚠","Check Data ⚠",IFERROR(VLOOKUP(AH37,'G-4 Temporal multipliers'!$A$4:$C$36,3,FALSE),""))</f>
        <v/>
      </c>
      <c r="AJ37" s="311" t="str">
        <f>IF(S37="","",VLOOKUP(S37,'G-3 Multipliers'!$A$2:$E$134,4,FALSE))</f>
        <v/>
      </c>
      <c r="AK37" s="295" t="str">
        <f t="shared" si="7"/>
        <v/>
      </c>
      <c r="AL37" s="295" t="str">
        <f t="shared" si="8"/>
        <v/>
      </c>
      <c r="AM37" s="299" t="str">
        <f>IFERROR(IF(F37="","",IF(AH37="Check Data ⚠","Check Data ⚠",VLOOKUP(AL37,'G-3 Multipliers'!$P$2:$Q$6,2,FALSE))),"")</f>
        <v/>
      </c>
      <c r="AN37" s="712" t="str">
        <f>IF(E37="","",IF(ISNA(VLOOKUP($E37,'D-1 Off-Site Habitat Baseline'!$D$1:$Z$258,15,FALSE)),"",(VLOOKUP($E37,'D-1 Off-Site Habitat Baseline'!$D$1:$Z$258,15,FALSE))))</f>
        <v/>
      </c>
      <c r="AO37" s="329" t="str">
        <f>IF(AN37="","",IF(VLOOKUP(AN37,'G-3 Multipliers'!$S$3:$T$10,2,FALSE)=0,"Spatial Data Missing ⚠",VLOOKUP(AN37,'G-3 Multipliers'!$S$3:$T$10,2,FALSE)))</f>
        <v/>
      </c>
      <c r="AP37" s="289" t="str">
        <f t="shared" si="9"/>
        <v/>
      </c>
      <c r="AQ37" s="289" t="str">
        <f t="shared" si="10"/>
        <v/>
      </c>
      <c r="AR37" s="105"/>
      <c r="AS37" s="138"/>
      <c r="AT37" s="104"/>
      <c r="AU37" s="104"/>
      <c r="AY37" s="30" t="str">
        <f>IF(E37="","",IF(ISNA(VLOOKUP($E37,'D-1 Off-Site Habitat Baseline'!$D$1:$AV$258,4,FALSE)),"",(VLOOKUP($E37,'D-1 Off-Site Habitat Baseline'!$D$1:$AV$258,4,FALSE))))</f>
        <v/>
      </c>
    </row>
    <row r="38" spans="1:51" ht="14">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319" t="str">
        <f>'D-1 Off-Site Habitat Baseline'!AP37</f>
        <v/>
      </c>
      <c r="F38" s="283" t="str">
        <f>IF(E38="","",IF(ISNA(VLOOKUP($E38,'D-1 Off-Site Habitat Baseline'!$D$1:$ZZ$258,45,FALSE)),"",(VLOOKUP($E38,'D-1 Off-Site Habitat Baseline'!$D$1:$ZZ$258,45,FALSE))))</f>
        <v/>
      </c>
      <c r="G38" s="295" t="str">
        <f>IF(E38="","",IF(ISNA(VLOOKUP($E38,'D-1 Off-Site Habitat Baseline'!$D$1:$O$258,5,FALSE)),"",(VLOOKUP($E38,'D-1 Off-Site Habitat Baseline'!$D$1:$O$258,5,FALSE))))</f>
        <v/>
      </c>
      <c r="H38" s="295" t="str">
        <f>IF(E38="","",IF(ISNA(VLOOKUP($E38,'D-1 Off-Site Habitat Baseline'!$D$1:$O$258,6,FALSE)),"",(VLOOKUP($E38,'D-1 Off-Site Habitat Baseline'!$D$1:$O$258,6,FALSE))))</f>
        <v/>
      </c>
      <c r="I38" s="295" t="str">
        <f>IF(E38="","",IF(ISNA(VLOOKUP($E38,'D-1 Off-Site Habitat Baseline'!$D$1:$O$258,7,FALSE)),"",(VLOOKUP($E38,'D-1 Off-Site Habitat Baseline'!$D$1:$O$258,7,FALSE))))</f>
        <v/>
      </c>
      <c r="J38" s="295" t="str">
        <f>IF(E38="","",IF(ISNA(VLOOKUP($E38,'D-1 Off-Site Habitat Baseline'!$D$1:$O$258,8,FALSE)),"",(VLOOKUP($E38,'D-1 Off-Site Habitat Baseline'!$D$1:$O$258,8,FALSE))))</f>
        <v/>
      </c>
      <c r="K38" s="295" t="str">
        <f>IF(E38="","",IF(ISNA(VLOOKUP($E38,'D-1 Off-Site Habitat Baseline'!$D$1:$O$258,9,FALSE)),"",(VLOOKUP($E38,'D-1 Off-Site Habitat Baseline'!$D$1:$O$258,9,FALSE))))</f>
        <v/>
      </c>
      <c r="L38" s="295" t="str">
        <f>IF(E38="","",IF(ISNA(VLOOKUP($E38,'D-1 Off-Site Habitat Baseline'!$D$1:$O$258,11,FALSE)),"",(VLOOKUP($E38,'D-1 Off-Site Habitat Baseline'!$D$1:$O$258,11,FALSE))))</f>
        <v/>
      </c>
      <c r="M38" s="295" t="str">
        <f>IF(E38="","",IF(ISNA(VLOOKUP($E38,'D-1 Off-Site Habitat Baseline'!$D$1:$O$258,12,FALSE)),"",(VLOOKUP($E38,'D-1 Off-Site Habitat Baseline'!$D$1:$O$258,12,FALSE))))</f>
        <v/>
      </c>
      <c r="N38" s="295" t="str">
        <f>IF(E38="","",IF(ISNA(VLOOKUP($E38,'D-1 Off-Site Habitat Baseline'!$D$1:$AA$258,17,FALSE)),"",(VLOOKUP($E38,'D-1 Off-Site Habitat Baseline'!$D$1:$AA$258,17,FALSE))))</f>
        <v/>
      </c>
      <c r="O38" s="299" t="str">
        <f>IF(E38="","",IF(ISNA(VLOOKUP($E38,'D-1 Off-Site Habitat Baseline'!$D$1:$AA$258,13,FALSE)),"",(VLOOKUP($E38,'D-1 Off-Site Habitat Baseline'!$D$1:$AA$258,13,FALSE))))</f>
        <v/>
      </c>
      <c r="P38" s="148" t="str">
        <f>IFERROR(INDEX('G-1 All Habitats'!$AG$49:$AG$63,MATCH(Q38,'G-1 All Habitats'!$AF$27:$AF$41,0)),"")</f>
        <v/>
      </c>
      <c r="Q38" s="149" t="str">
        <f t="shared" si="0"/>
        <v/>
      </c>
      <c r="R38" s="150"/>
      <c r="S38" s="151" t="str">
        <f>IFERROR(INDEX('G-1 All Habitats'!$B$3:$B$135,MATCH(R38,'G-1 All Habitats'!$A$3:$A$135,0)),"")</f>
        <v/>
      </c>
      <c r="T38" s="283" t="str">
        <f t="shared" si="2"/>
        <v/>
      </c>
      <c r="U38" s="276" t="str">
        <f t="shared" si="3"/>
        <v/>
      </c>
      <c r="V38" s="298" t="str">
        <f t="shared" si="4"/>
        <v/>
      </c>
      <c r="W38" s="295" t="str">
        <f>IF(S38="","",VLOOKUP(S38,'G-1 All Habitats'!$B$2:$M$135,10,FALSE))</f>
        <v/>
      </c>
      <c r="X38" s="295" t="str">
        <f>IFERROR(VLOOKUP(W38,'G-1 All Habitats'!$V$3:$W$7,2,FALSE),"")</f>
        <v/>
      </c>
      <c r="Y38" s="138"/>
      <c r="Z38" s="299" t="str">
        <f>IFERROR(INDEX('G-8 Condition Look up'!$A$3:$H$135,MATCH(S38,'G-8 Condition Look up'!$A$3:$A$135,0),MATCH(Y38,'G-8 Condition Look up'!$A$3:$H$3,0)),"")</f>
        <v/>
      </c>
      <c r="AA38" s="101"/>
      <c r="AB38" s="314" t="str">
        <f>IF(AA38="","",IF(VLOOKUP(AA38,'G-3 Multipliers'!$L$3:$N$6,2,FALSE)=0,"Spatial Data Missing ⚠",VLOOKUP(AA38,'G-3 Multipliers'!$L$3:$N$6,2,FALSE)))</f>
        <v/>
      </c>
      <c r="AC38" s="299" t="str">
        <f>IF(AA38="","",IF(VLOOKUP(AA38,'G-3 Multipliers'!$L$3:$N$6,3,FALSE)=0,"Spatial Data Missing ⚠",VLOOKUP(AA38,'G-3 Multipliers'!$L$3:$N$6,3,FALSE)))</f>
        <v/>
      </c>
      <c r="AD38" s="311" t="str">
        <f t="shared" si="1"/>
        <v/>
      </c>
      <c r="AE38" s="138"/>
      <c r="AF38" s="138"/>
      <c r="AG38" s="295" t="str">
        <f t="shared" si="5"/>
        <v/>
      </c>
      <c r="AH38" s="296" t="str">
        <f t="shared" si="6"/>
        <v/>
      </c>
      <c r="AI38" s="300" t="str">
        <f>IF(AH38="Check Data ⚠","Check Data ⚠",IFERROR(VLOOKUP(AH38,'G-4 Temporal multipliers'!$A$4:$C$36,3,FALSE),""))</f>
        <v/>
      </c>
      <c r="AJ38" s="311" t="str">
        <f>IF(S38="","",VLOOKUP(S38,'G-3 Multipliers'!$A$2:$E$134,4,FALSE))</f>
        <v/>
      </c>
      <c r="AK38" s="295" t="str">
        <f t="shared" si="7"/>
        <v/>
      </c>
      <c r="AL38" s="295" t="str">
        <f t="shared" si="8"/>
        <v/>
      </c>
      <c r="AM38" s="299" t="str">
        <f>IFERROR(IF(F38="","",IF(AH38="Check Data ⚠","Check Data ⚠",VLOOKUP(AL38,'G-3 Multipliers'!$P$2:$Q$6,2,FALSE))),"")</f>
        <v/>
      </c>
      <c r="AN38" s="712" t="str">
        <f>IF(E38="","",IF(ISNA(VLOOKUP($E38,'D-1 Off-Site Habitat Baseline'!$D$1:$Z$258,15,FALSE)),"",(VLOOKUP($E38,'D-1 Off-Site Habitat Baseline'!$D$1:$Z$258,15,FALSE))))</f>
        <v/>
      </c>
      <c r="AO38" s="329" t="str">
        <f>IF(AN38="","",IF(VLOOKUP(AN38,'G-3 Multipliers'!$S$3:$T$10,2,FALSE)=0,"Spatial Data Missing ⚠",VLOOKUP(AN38,'G-3 Multipliers'!$S$3:$T$10,2,FALSE)))</f>
        <v/>
      </c>
      <c r="AP38" s="289" t="str">
        <f t="shared" si="9"/>
        <v/>
      </c>
      <c r="AQ38" s="289" t="str">
        <f t="shared" si="10"/>
        <v/>
      </c>
      <c r="AR38" s="105"/>
      <c r="AS38" s="138"/>
      <c r="AT38" s="104"/>
      <c r="AU38" s="104"/>
      <c r="AY38" s="30" t="str">
        <f>IF(E38="","",IF(ISNA(VLOOKUP($E38,'D-1 Off-Site Habitat Baseline'!$D$1:$AV$258,4,FALSE)),"",(VLOOKUP($E38,'D-1 Off-Site Habitat Baseline'!$D$1:$AV$258,4,FALSE))))</f>
        <v/>
      </c>
    </row>
    <row r="39" spans="1:51" ht="14">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319" t="str">
        <f>'D-1 Off-Site Habitat Baseline'!AP38</f>
        <v/>
      </c>
      <c r="F39" s="283" t="str">
        <f>IF(E39="","",IF(ISNA(VLOOKUP($E39,'D-1 Off-Site Habitat Baseline'!$D$1:$ZZ$258,45,FALSE)),"",(VLOOKUP($E39,'D-1 Off-Site Habitat Baseline'!$D$1:$ZZ$258,45,FALSE))))</f>
        <v/>
      </c>
      <c r="G39" s="295" t="str">
        <f>IF(E39="","",IF(ISNA(VLOOKUP($E39,'D-1 Off-Site Habitat Baseline'!$D$1:$O$258,5,FALSE)),"",(VLOOKUP($E39,'D-1 Off-Site Habitat Baseline'!$D$1:$O$258,5,FALSE))))</f>
        <v/>
      </c>
      <c r="H39" s="295" t="str">
        <f>IF(E39="","",IF(ISNA(VLOOKUP($E39,'D-1 Off-Site Habitat Baseline'!$D$1:$O$258,6,FALSE)),"",(VLOOKUP($E39,'D-1 Off-Site Habitat Baseline'!$D$1:$O$258,6,FALSE))))</f>
        <v/>
      </c>
      <c r="I39" s="295" t="str">
        <f>IF(E39="","",IF(ISNA(VLOOKUP($E39,'D-1 Off-Site Habitat Baseline'!$D$1:$O$258,7,FALSE)),"",(VLOOKUP($E39,'D-1 Off-Site Habitat Baseline'!$D$1:$O$258,7,FALSE))))</f>
        <v/>
      </c>
      <c r="J39" s="295" t="str">
        <f>IF(E39="","",IF(ISNA(VLOOKUP($E39,'D-1 Off-Site Habitat Baseline'!$D$1:$O$258,8,FALSE)),"",(VLOOKUP($E39,'D-1 Off-Site Habitat Baseline'!$D$1:$O$258,8,FALSE))))</f>
        <v/>
      </c>
      <c r="K39" s="295" t="str">
        <f>IF(E39="","",IF(ISNA(VLOOKUP($E39,'D-1 Off-Site Habitat Baseline'!$D$1:$O$258,9,FALSE)),"",(VLOOKUP($E39,'D-1 Off-Site Habitat Baseline'!$D$1:$O$258,9,FALSE))))</f>
        <v/>
      </c>
      <c r="L39" s="295" t="str">
        <f>IF(E39="","",IF(ISNA(VLOOKUP($E39,'D-1 Off-Site Habitat Baseline'!$D$1:$O$258,11,FALSE)),"",(VLOOKUP($E39,'D-1 Off-Site Habitat Baseline'!$D$1:$O$258,11,FALSE))))</f>
        <v/>
      </c>
      <c r="M39" s="295" t="str">
        <f>IF(E39="","",IF(ISNA(VLOOKUP($E39,'D-1 Off-Site Habitat Baseline'!$D$1:$O$258,12,FALSE)),"",(VLOOKUP($E39,'D-1 Off-Site Habitat Baseline'!$D$1:$O$258,12,FALSE))))</f>
        <v/>
      </c>
      <c r="N39" s="295" t="str">
        <f>IF(E39="","",IF(ISNA(VLOOKUP($E39,'D-1 Off-Site Habitat Baseline'!$D$1:$AA$258,17,FALSE)),"",(VLOOKUP($E39,'D-1 Off-Site Habitat Baseline'!$D$1:$AA$258,17,FALSE))))</f>
        <v/>
      </c>
      <c r="O39" s="299" t="str">
        <f>IF(E39="","",IF(ISNA(VLOOKUP($E39,'D-1 Off-Site Habitat Baseline'!$D$1:$AA$258,13,FALSE)),"",(VLOOKUP($E39,'D-1 Off-Site Habitat Baseline'!$D$1:$AA$258,13,FALSE))))</f>
        <v/>
      </c>
      <c r="P39" s="148" t="str">
        <f>IFERROR(INDEX('G-1 All Habitats'!$AG$49:$AG$63,MATCH(Q39,'G-1 All Habitats'!$AF$27:$AF$41,0)),"")</f>
        <v/>
      </c>
      <c r="Q39" s="149" t="str">
        <f t="shared" si="0"/>
        <v/>
      </c>
      <c r="R39" s="150"/>
      <c r="S39" s="151" t="str">
        <f>IFERROR(INDEX('G-1 All Habitats'!$B$3:$B$135,MATCH(R39,'G-1 All Habitats'!$A$3:$A$135,0)),"")</f>
        <v/>
      </c>
      <c r="T39" s="283" t="str">
        <f t="shared" si="2"/>
        <v/>
      </c>
      <c r="U39" s="276" t="str">
        <f t="shared" si="3"/>
        <v/>
      </c>
      <c r="V39" s="298" t="str">
        <f t="shared" si="4"/>
        <v/>
      </c>
      <c r="W39" s="295" t="str">
        <f>IF(S39="","",VLOOKUP(S39,'G-1 All Habitats'!$B$2:$M$135,10,FALSE))</f>
        <v/>
      </c>
      <c r="X39" s="295" t="str">
        <f>IFERROR(VLOOKUP(W39,'G-1 All Habitats'!$V$3:$W$7,2,FALSE),"")</f>
        <v/>
      </c>
      <c r="Y39" s="138"/>
      <c r="Z39" s="299" t="str">
        <f>IFERROR(INDEX('G-8 Condition Look up'!$A$3:$H$135,MATCH(S39,'G-8 Condition Look up'!$A$3:$A$135,0),MATCH(Y39,'G-8 Condition Look up'!$A$3:$H$3,0)),"")</f>
        <v/>
      </c>
      <c r="AA39" s="101"/>
      <c r="AB39" s="314" t="str">
        <f>IF(AA39="","",IF(VLOOKUP(AA39,'G-3 Multipliers'!$L$3:$N$6,2,FALSE)=0,"Spatial Data Missing ⚠",VLOOKUP(AA39,'G-3 Multipliers'!$L$3:$N$6,2,FALSE)))</f>
        <v/>
      </c>
      <c r="AC39" s="299" t="str">
        <f>IF(AA39="","",IF(VLOOKUP(AA39,'G-3 Multipliers'!$L$3:$N$6,3,FALSE)=0,"Spatial Data Missing ⚠",VLOOKUP(AA39,'G-3 Multipliers'!$L$3:$N$6,3,FALSE)))</f>
        <v/>
      </c>
      <c r="AD39" s="311" t="str">
        <f t="shared" si="1"/>
        <v/>
      </c>
      <c r="AE39" s="138"/>
      <c r="AF39" s="138"/>
      <c r="AG39" s="295" t="str">
        <f t="shared" si="5"/>
        <v/>
      </c>
      <c r="AH39" s="296" t="str">
        <f t="shared" si="6"/>
        <v/>
      </c>
      <c r="AI39" s="300" t="str">
        <f>IF(AH39="Check Data ⚠","Check Data ⚠",IFERROR(VLOOKUP(AH39,'G-4 Temporal multipliers'!$A$4:$C$36,3,FALSE),""))</f>
        <v/>
      </c>
      <c r="AJ39" s="311" t="str">
        <f>IF(S39="","",VLOOKUP(S39,'G-3 Multipliers'!$A$2:$E$134,4,FALSE))</f>
        <v/>
      </c>
      <c r="AK39" s="295" t="str">
        <f t="shared" si="7"/>
        <v/>
      </c>
      <c r="AL39" s="295" t="str">
        <f t="shared" si="8"/>
        <v/>
      </c>
      <c r="AM39" s="299" t="str">
        <f>IFERROR(IF(F39="","",IF(AH39="Check Data ⚠","Check Data ⚠",VLOOKUP(AL39,'G-3 Multipliers'!$P$2:$Q$6,2,FALSE))),"")</f>
        <v/>
      </c>
      <c r="AN39" s="712" t="str">
        <f>IF(E39="","",IF(ISNA(VLOOKUP($E39,'D-1 Off-Site Habitat Baseline'!$D$1:$Z$258,15,FALSE)),"",(VLOOKUP($E39,'D-1 Off-Site Habitat Baseline'!$D$1:$Z$258,15,FALSE))))</f>
        <v/>
      </c>
      <c r="AO39" s="329" t="str">
        <f>IF(AN39="","",IF(VLOOKUP(AN39,'G-3 Multipliers'!$S$3:$T$10,2,FALSE)=0,"Spatial Data Missing ⚠",VLOOKUP(AN39,'G-3 Multipliers'!$S$3:$T$10,2,FALSE)))</f>
        <v/>
      </c>
      <c r="AP39" s="289" t="str">
        <f t="shared" si="9"/>
        <v/>
      </c>
      <c r="AQ39" s="289" t="str">
        <f t="shared" si="10"/>
        <v/>
      </c>
      <c r="AR39" s="105"/>
      <c r="AS39" s="138"/>
      <c r="AT39" s="104"/>
      <c r="AU39" s="104"/>
      <c r="AY39" s="30" t="str">
        <f>IF(E39="","",IF(ISNA(VLOOKUP($E39,'D-1 Off-Site Habitat Baseline'!$D$1:$AV$258,4,FALSE)),"",(VLOOKUP($E39,'D-1 Off-Site Habitat Baseline'!$D$1:$AV$258,4,FALSE))))</f>
        <v/>
      </c>
    </row>
    <row r="40" spans="1:51" ht="14">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319" t="str">
        <f>'D-1 Off-Site Habitat Baseline'!AP39</f>
        <v/>
      </c>
      <c r="F40" s="283" t="str">
        <f>IF(E40="","",IF(ISNA(VLOOKUP($E40,'D-1 Off-Site Habitat Baseline'!$D$1:$ZZ$258,45,FALSE)),"",(VLOOKUP($E40,'D-1 Off-Site Habitat Baseline'!$D$1:$ZZ$258,45,FALSE))))</f>
        <v/>
      </c>
      <c r="G40" s="295" t="str">
        <f>IF(E40="","",IF(ISNA(VLOOKUP($E40,'D-1 Off-Site Habitat Baseline'!$D$1:$O$258,5,FALSE)),"",(VLOOKUP($E40,'D-1 Off-Site Habitat Baseline'!$D$1:$O$258,5,FALSE))))</f>
        <v/>
      </c>
      <c r="H40" s="295" t="str">
        <f>IF(E40="","",IF(ISNA(VLOOKUP($E40,'D-1 Off-Site Habitat Baseline'!$D$1:$O$258,6,FALSE)),"",(VLOOKUP($E40,'D-1 Off-Site Habitat Baseline'!$D$1:$O$258,6,FALSE))))</f>
        <v/>
      </c>
      <c r="I40" s="295" t="str">
        <f>IF(E40="","",IF(ISNA(VLOOKUP($E40,'D-1 Off-Site Habitat Baseline'!$D$1:$O$258,7,FALSE)),"",(VLOOKUP($E40,'D-1 Off-Site Habitat Baseline'!$D$1:$O$258,7,FALSE))))</f>
        <v/>
      </c>
      <c r="J40" s="295" t="str">
        <f>IF(E40="","",IF(ISNA(VLOOKUP($E40,'D-1 Off-Site Habitat Baseline'!$D$1:$O$258,8,FALSE)),"",(VLOOKUP($E40,'D-1 Off-Site Habitat Baseline'!$D$1:$O$258,8,FALSE))))</f>
        <v/>
      </c>
      <c r="K40" s="295" t="str">
        <f>IF(E40="","",IF(ISNA(VLOOKUP($E40,'D-1 Off-Site Habitat Baseline'!$D$1:$O$258,9,FALSE)),"",(VLOOKUP($E40,'D-1 Off-Site Habitat Baseline'!$D$1:$O$258,9,FALSE))))</f>
        <v/>
      </c>
      <c r="L40" s="295" t="str">
        <f>IF(E40="","",IF(ISNA(VLOOKUP($E40,'D-1 Off-Site Habitat Baseline'!$D$1:$O$258,11,FALSE)),"",(VLOOKUP($E40,'D-1 Off-Site Habitat Baseline'!$D$1:$O$258,11,FALSE))))</f>
        <v/>
      </c>
      <c r="M40" s="295" t="str">
        <f>IF(E40="","",IF(ISNA(VLOOKUP($E40,'D-1 Off-Site Habitat Baseline'!$D$1:$O$258,12,FALSE)),"",(VLOOKUP($E40,'D-1 Off-Site Habitat Baseline'!$D$1:$O$258,12,FALSE))))</f>
        <v/>
      </c>
      <c r="N40" s="295" t="str">
        <f>IF(E40="","",IF(ISNA(VLOOKUP($E40,'D-1 Off-Site Habitat Baseline'!$D$1:$AA$258,17,FALSE)),"",(VLOOKUP($E40,'D-1 Off-Site Habitat Baseline'!$D$1:$AA$258,17,FALSE))))</f>
        <v/>
      </c>
      <c r="O40" s="299" t="str">
        <f>IF(E40="","",IF(ISNA(VLOOKUP($E40,'D-1 Off-Site Habitat Baseline'!$D$1:$AA$258,13,FALSE)),"",(VLOOKUP($E40,'D-1 Off-Site Habitat Baseline'!$D$1:$AA$258,13,FALSE))))</f>
        <v/>
      </c>
      <c r="P40" s="148" t="str">
        <f>IFERROR(INDEX('G-1 All Habitats'!$AG$49:$AG$63,MATCH(Q40,'G-1 All Habitats'!$AF$27:$AF$41,0)),"")</f>
        <v/>
      </c>
      <c r="Q40" s="149" t="str">
        <f t="shared" si="0"/>
        <v/>
      </c>
      <c r="R40" s="150"/>
      <c r="S40" s="151" t="str">
        <f>IFERROR(INDEX('G-1 All Habitats'!$B$3:$B$135,MATCH(R40,'G-1 All Habitats'!$A$3:$A$135,0)),"")</f>
        <v/>
      </c>
      <c r="T40" s="283" t="str">
        <f t="shared" si="2"/>
        <v/>
      </c>
      <c r="U40" s="276" t="str">
        <f t="shared" si="3"/>
        <v/>
      </c>
      <c r="V40" s="298" t="str">
        <f t="shared" si="4"/>
        <v/>
      </c>
      <c r="W40" s="295" t="str">
        <f>IF(S40="","",VLOOKUP(S40,'G-1 All Habitats'!$B$2:$M$135,10,FALSE))</f>
        <v/>
      </c>
      <c r="X40" s="295" t="str">
        <f>IFERROR(VLOOKUP(W40,'G-1 All Habitats'!$V$3:$W$7,2,FALSE),"")</f>
        <v/>
      </c>
      <c r="Y40" s="138"/>
      <c r="Z40" s="299" t="str">
        <f>IFERROR(INDEX('G-8 Condition Look up'!$A$3:$H$135,MATCH(S40,'G-8 Condition Look up'!$A$3:$A$135,0),MATCH(Y40,'G-8 Condition Look up'!$A$3:$H$3,0)),"")</f>
        <v/>
      </c>
      <c r="AA40" s="101"/>
      <c r="AB40" s="314" t="str">
        <f>IF(AA40="","",IF(VLOOKUP(AA40,'G-3 Multipliers'!$L$3:$N$6,2,FALSE)=0,"Spatial Data Missing ⚠",VLOOKUP(AA40,'G-3 Multipliers'!$L$3:$N$6,2,FALSE)))</f>
        <v/>
      </c>
      <c r="AC40" s="299" t="str">
        <f>IF(AA40="","",IF(VLOOKUP(AA40,'G-3 Multipliers'!$L$3:$N$6,3,FALSE)=0,"Spatial Data Missing ⚠",VLOOKUP(AA40,'G-3 Multipliers'!$L$3:$N$6,3,FALSE)))</f>
        <v/>
      </c>
      <c r="AD40" s="311" t="str">
        <f t="shared" si="1"/>
        <v/>
      </c>
      <c r="AE40" s="138"/>
      <c r="AF40" s="138"/>
      <c r="AG40" s="295" t="str">
        <f t="shared" si="5"/>
        <v/>
      </c>
      <c r="AH40" s="296" t="str">
        <f t="shared" si="6"/>
        <v/>
      </c>
      <c r="AI40" s="300" t="str">
        <f>IF(AH40="Check Data ⚠","Check Data ⚠",IFERROR(VLOOKUP(AH40,'G-4 Temporal multipliers'!$A$4:$C$36,3,FALSE),""))</f>
        <v/>
      </c>
      <c r="AJ40" s="311" t="str">
        <f>IF(S40="","",VLOOKUP(S40,'G-3 Multipliers'!$A$2:$E$134,4,FALSE))</f>
        <v/>
      </c>
      <c r="AK40" s="295" t="str">
        <f t="shared" si="7"/>
        <v/>
      </c>
      <c r="AL40" s="295" t="str">
        <f t="shared" si="8"/>
        <v/>
      </c>
      <c r="AM40" s="299" t="str">
        <f>IFERROR(IF(F40="","",IF(AH40="Check Data ⚠","Check Data ⚠",VLOOKUP(AL40,'G-3 Multipliers'!$P$2:$Q$6,2,FALSE))),"")</f>
        <v/>
      </c>
      <c r="AN40" s="712" t="str">
        <f>IF(E40="","",IF(ISNA(VLOOKUP($E40,'D-1 Off-Site Habitat Baseline'!$D$1:$Z$258,15,FALSE)),"",(VLOOKUP($E40,'D-1 Off-Site Habitat Baseline'!$D$1:$Z$258,15,FALSE))))</f>
        <v/>
      </c>
      <c r="AO40" s="329" t="str">
        <f>IF(AN40="","",IF(VLOOKUP(AN40,'G-3 Multipliers'!$S$3:$T$10,2,FALSE)=0,"Spatial Data Missing ⚠",VLOOKUP(AN40,'G-3 Multipliers'!$S$3:$T$10,2,FALSE)))</f>
        <v/>
      </c>
      <c r="AP40" s="289" t="str">
        <f t="shared" si="9"/>
        <v/>
      </c>
      <c r="AQ40" s="289" t="str">
        <f t="shared" si="10"/>
        <v/>
      </c>
      <c r="AR40" s="105"/>
      <c r="AS40" s="138"/>
      <c r="AT40" s="104"/>
      <c r="AU40" s="104"/>
      <c r="AY40" s="30" t="str">
        <f>IF(E40="","",IF(ISNA(VLOOKUP($E40,'D-1 Off-Site Habitat Baseline'!$D$1:$AV$258,4,FALSE)),"",(VLOOKUP($E40,'D-1 Off-Site Habitat Baseline'!$D$1:$AV$258,4,FALSE))))</f>
        <v/>
      </c>
    </row>
    <row r="41" spans="1:51" ht="14">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319" t="str">
        <f>'D-1 Off-Site Habitat Baseline'!AP40</f>
        <v/>
      </c>
      <c r="F41" s="283" t="str">
        <f>IF(E41="","",IF(ISNA(VLOOKUP($E41,'D-1 Off-Site Habitat Baseline'!$D$1:$ZZ$258,45,FALSE)),"",(VLOOKUP($E41,'D-1 Off-Site Habitat Baseline'!$D$1:$ZZ$258,45,FALSE))))</f>
        <v/>
      </c>
      <c r="G41" s="295" t="str">
        <f>IF(E41="","",IF(ISNA(VLOOKUP($E41,'D-1 Off-Site Habitat Baseline'!$D$1:$O$258,5,FALSE)),"",(VLOOKUP($E41,'D-1 Off-Site Habitat Baseline'!$D$1:$O$258,5,FALSE))))</f>
        <v/>
      </c>
      <c r="H41" s="295" t="str">
        <f>IF(E41="","",IF(ISNA(VLOOKUP($E41,'D-1 Off-Site Habitat Baseline'!$D$1:$O$258,6,FALSE)),"",(VLOOKUP($E41,'D-1 Off-Site Habitat Baseline'!$D$1:$O$258,6,FALSE))))</f>
        <v/>
      </c>
      <c r="I41" s="295" t="str">
        <f>IF(E41="","",IF(ISNA(VLOOKUP($E41,'D-1 Off-Site Habitat Baseline'!$D$1:$O$258,7,FALSE)),"",(VLOOKUP($E41,'D-1 Off-Site Habitat Baseline'!$D$1:$O$258,7,FALSE))))</f>
        <v/>
      </c>
      <c r="J41" s="295" t="str">
        <f>IF(E41="","",IF(ISNA(VLOOKUP($E41,'D-1 Off-Site Habitat Baseline'!$D$1:$O$258,8,FALSE)),"",(VLOOKUP($E41,'D-1 Off-Site Habitat Baseline'!$D$1:$O$258,8,FALSE))))</f>
        <v/>
      </c>
      <c r="K41" s="295" t="str">
        <f>IF(E41="","",IF(ISNA(VLOOKUP($E41,'D-1 Off-Site Habitat Baseline'!$D$1:$O$258,9,FALSE)),"",(VLOOKUP($E41,'D-1 Off-Site Habitat Baseline'!$D$1:$O$258,9,FALSE))))</f>
        <v/>
      </c>
      <c r="L41" s="295" t="str">
        <f>IF(E41="","",IF(ISNA(VLOOKUP($E41,'D-1 Off-Site Habitat Baseline'!$D$1:$O$258,11,FALSE)),"",(VLOOKUP($E41,'D-1 Off-Site Habitat Baseline'!$D$1:$O$258,11,FALSE))))</f>
        <v/>
      </c>
      <c r="M41" s="295" t="str">
        <f>IF(E41="","",IF(ISNA(VLOOKUP($E41,'D-1 Off-Site Habitat Baseline'!$D$1:$O$258,12,FALSE)),"",(VLOOKUP($E41,'D-1 Off-Site Habitat Baseline'!$D$1:$O$258,12,FALSE))))</f>
        <v/>
      </c>
      <c r="N41" s="295" t="str">
        <f>IF(E41="","",IF(ISNA(VLOOKUP($E41,'D-1 Off-Site Habitat Baseline'!$D$1:$AA$258,17,FALSE)),"",(VLOOKUP($E41,'D-1 Off-Site Habitat Baseline'!$D$1:$AA$258,17,FALSE))))</f>
        <v/>
      </c>
      <c r="O41" s="299" t="str">
        <f>IF(E41="","",IF(ISNA(VLOOKUP($E41,'D-1 Off-Site Habitat Baseline'!$D$1:$AA$258,13,FALSE)),"",(VLOOKUP($E41,'D-1 Off-Site Habitat Baseline'!$D$1:$AA$258,13,FALSE))))</f>
        <v/>
      </c>
      <c r="P41" s="148" t="str">
        <f>IFERROR(INDEX('G-1 All Habitats'!$AG$49:$AG$63,MATCH(Q41,'G-1 All Habitats'!$AF$27:$AF$41,0)),"")</f>
        <v/>
      </c>
      <c r="Q41" s="149" t="str">
        <f t="shared" si="0"/>
        <v/>
      </c>
      <c r="R41" s="150"/>
      <c r="S41" s="151" t="str">
        <f>IFERROR(INDEX('G-1 All Habitats'!$B$3:$B$135,MATCH(R41,'G-1 All Habitats'!$A$3:$A$135,0)),"")</f>
        <v/>
      </c>
      <c r="T41" s="283" t="str">
        <f t="shared" si="2"/>
        <v/>
      </c>
      <c r="U41" s="276" t="str">
        <f t="shared" si="3"/>
        <v/>
      </c>
      <c r="V41" s="298" t="str">
        <f t="shared" si="4"/>
        <v/>
      </c>
      <c r="W41" s="295" t="str">
        <f>IF(S41="","",VLOOKUP(S41,'G-1 All Habitats'!$B$2:$M$135,10,FALSE))</f>
        <v/>
      </c>
      <c r="X41" s="295" t="str">
        <f>IFERROR(VLOOKUP(W41,'G-1 All Habitats'!$V$3:$W$7,2,FALSE),"")</f>
        <v/>
      </c>
      <c r="Y41" s="138"/>
      <c r="Z41" s="299" t="str">
        <f>IFERROR(INDEX('G-8 Condition Look up'!$A$3:$H$135,MATCH(S41,'G-8 Condition Look up'!$A$3:$A$135,0),MATCH(Y41,'G-8 Condition Look up'!$A$3:$H$3,0)),"")</f>
        <v/>
      </c>
      <c r="AA41" s="101"/>
      <c r="AB41" s="314" t="str">
        <f>IF(AA41="","",IF(VLOOKUP(AA41,'G-3 Multipliers'!$L$3:$N$6,2,FALSE)=0,"Spatial Data Missing ⚠",VLOOKUP(AA41,'G-3 Multipliers'!$L$3:$N$6,2,FALSE)))</f>
        <v/>
      </c>
      <c r="AC41" s="299" t="str">
        <f>IF(AA41="","",IF(VLOOKUP(AA41,'G-3 Multipliers'!$L$3:$N$6,3,FALSE)=0,"Spatial Data Missing ⚠",VLOOKUP(AA41,'G-3 Multipliers'!$L$3:$N$6,3,FALSE)))</f>
        <v/>
      </c>
      <c r="AD41" s="311" t="str">
        <f t="shared" si="1"/>
        <v/>
      </c>
      <c r="AE41" s="138"/>
      <c r="AF41" s="138"/>
      <c r="AG41" s="295" t="str">
        <f t="shared" si="5"/>
        <v/>
      </c>
      <c r="AH41" s="296" t="str">
        <f t="shared" si="6"/>
        <v/>
      </c>
      <c r="AI41" s="300" t="str">
        <f>IF(AH41="Check Data ⚠","Check Data ⚠",IFERROR(VLOOKUP(AH41,'G-4 Temporal multipliers'!$A$4:$C$36,3,FALSE),""))</f>
        <v/>
      </c>
      <c r="AJ41" s="311" t="str">
        <f>IF(S41="","",VLOOKUP(S41,'G-3 Multipliers'!$A$2:$E$134,4,FALSE))</f>
        <v/>
      </c>
      <c r="AK41" s="295" t="str">
        <f t="shared" si="7"/>
        <v/>
      </c>
      <c r="AL41" s="295" t="str">
        <f t="shared" si="8"/>
        <v/>
      </c>
      <c r="AM41" s="299" t="str">
        <f>IFERROR(IF(F41="","",IF(AH41="Check Data ⚠","Check Data ⚠",VLOOKUP(AL41,'G-3 Multipliers'!$P$2:$Q$6,2,FALSE))),"")</f>
        <v/>
      </c>
      <c r="AN41" s="712" t="str">
        <f>IF(E41="","",IF(ISNA(VLOOKUP($E41,'D-1 Off-Site Habitat Baseline'!$D$1:$Z$258,15,FALSE)),"",(VLOOKUP($E41,'D-1 Off-Site Habitat Baseline'!$D$1:$Z$258,15,FALSE))))</f>
        <v/>
      </c>
      <c r="AO41" s="329" t="str">
        <f>IF(AN41="","",IF(VLOOKUP(AN41,'G-3 Multipliers'!$S$3:$T$10,2,FALSE)=0,"Spatial Data Missing ⚠",VLOOKUP(AN41,'G-3 Multipliers'!$S$3:$T$10,2,FALSE)))</f>
        <v/>
      </c>
      <c r="AP41" s="289" t="str">
        <f t="shared" si="9"/>
        <v/>
      </c>
      <c r="AQ41" s="289" t="str">
        <f t="shared" si="10"/>
        <v/>
      </c>
      <c r="AR41" s="105"/>
      <c r="AS41" s="138"/>
      <c r="AT41" s="104"/>
      <c r="AU41" s="104"/>
      <c r="AY41" s="30" t="str">
        <f>IF(E41="","",IF(ISNA(VLOOKUP($E41,'D-1 Off-Site Habitat Baseline'!$D$1:$AV$258,4,FALSE)),"",(VLOOKUP($E41,'D-1 Off-Site Habitat Baseline'!$D$1:$AV$258,4,FALSE))))</f>
        <v/>
      </c>
    </row>
    <row r="42" spans="1:51" ht="14">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319" t="str">
        <f>'D-1 Off-Site Habitat Baseline'!AP41</f>
        <v/>
      </c>
      <c r="F42" s="283" t="str">
        <f>IF(E42="","",IF(ISNA(VLOOKUP($E42,'D-1 Off-Site Habitat Baseline'!$D$1:$ZZ$258,45,FALSE)),"",(VLOOKUP($E42,'D-1 Off-Site Habitat Baseline'!$D$1:$ZZ$258,45,FALSE))))</f>
        <v/>
      </c>
      <c r="G42" s="295" t="str">
        <f>IF(E42="","",IF(ISNA(VLOOKUP($E42,'D-1 Off-Site Habitat Baseline'!$D$1:$O$258,5,FALSE)),"",(VLOOKUP($E42,'D-1 Off-Site Habitat Baseline'!$D$1:$O$258,5,FALSE))))</f>
        <v/>
      </c>
      <c r="H42" s="295" t="str">
        <f>IF(E42="","",IF(ISNA(VLOOKUP($E42,'D-1 Off-Site Habitat Baseline'!$D$1:$O$258,6,FALSE)),"",(VLOOKUP($E42,'D-1 Off-Site Habitat Baseline'!$D$1:$O$258,6,FALSE))))</f>
        <v/>
      </c>
      <c r="I42" s="295" t="str">
        <f>IF(E42="","",IF(ISNA(VLOOKUP($E42,'D-1 Off-Site Habitat Baseline'!$D$1:$O$258,7,FALSE)),"",(VLOOKUP($E42,'D-1 Off-Site Habitat Baseline'!$D$1:$O$258,7,FALSE))))</f>
        <v/>
      </c>
      <c r="J42" s="295" t="str">
        <f>IF(E42="","",IF(ISNA(VLOOKUP($E42,'D-1 Off-Site Habitat Baseline'!$D$1:$O$258,8,FALSE)),"",(VLOOKUP($E42,'D-1 Off-Site Habitat Baseline'!$D$1:$O$258,8,FALSE))))</f>
        <v/>
      </c>
      <c r="K42" s="295" t="str">
        <f>IF(E42="","",IF(ISNA(VLOOKUP($E42,'D-1 Off-Site Habitat Baseline'!$D$1:$O$258,9,FALSE)),"",(VLOOKUP($E42,'D-1 Off-Site Habitat Baseline'!$D$1:$O$258,9,FALSE))))</f>
        <v/>
      </c>
      <c r="L42" s="295" t="str">
        <f>IF(E42="","",IF(ISNA(VLOOKUP($E42,'D-1 Off-Site Habitat Baseline'!$D$1:$O$258,11,FALSE)),"",(VLOOKUP($E42,'D-1 Off-Site Habitat Baseline'!$D$1:$O$258,11,FALSE))))</f>
        <v/>
      </c>
      <c r="M42" s="295" t="str">
        <f>IF(E42="","",IF(ISNA(VLOOKUP($E42,'D-1 Off-Site Habitat Baseline'!$D$1:$O$258,12,FALSE)),"",(VLOOKUP($E42,'D-1 Off-Site Habitat Baseline'!$D$1:$O$258,12,FALSE))))</f>
        <v/>
      </c>
      <c r="N42" s="295" t="str">
        <f>IF(E42="","",IF(ISNA(VLOOKUP($E42,'D-1 Off-Site Habitat Baseline'!$D$1:$AA$258,17,FALSE)),"",(VLOOKUP($E42,'D-1 Off-Site Habitat Baseline'!$D$1:$AA$258,17,FALSE))))</f>
        <v/>
      </c>
      <c r="O42" s="299" t="str">
        <f>IF(E42="","",IF(ISNA(VLOOKUP($E42,'D-1 Off-Site Habitat Baseline'!$D$1:$AA$258,13,FALSE)),"",(VLOOKUP($E42,'D-1 Off-Site Habitat Baseline'!$D$1:$AA$258,13,FALSE))))</f>
        <v/>
      </c>
      <c r="P42" s="148" t="str">
        <f>IFERROR(INDEX('G-1 All Habitats'!$AG$49:$AG$63,MATCH(Q42,'G-1 All Habitats'!$AF$27:$AF$41,0)),"")</f>
        <v/>
      </c>
      <c r="Q42" s="149" t="str">
        <f t="shared" si="0"/>
        <v/>
      </c>
      <c r="R42" s="150"/>
      <c r="S42" s="151" t="str">
        <f>IFERROR(INDEX('G-1 All Habitats'!$B$3:$B$135,MATCH(R42,'G-1 All Habitats'!$A$3:$A$135,0)),"")</f>
        <v/>
      </c>
      <c r="T42" s="283" t="str">
        <f t="shared" si="2"/>
        <v/>
      </c>
      <c r="U42" s="276" t="str">
        <f t="shared" si="3"/>
        <v/>
      </c>
      <c r="V42" s="298" t="str">
        <f t="shared" si="4"/>
        <v/>
      </c>
      <c r="W42" s="295" t="str">
        <f>IF(S42="","",VLOOKUP(S42,'G-1 All Habitats'!$B$2:$M$135,10,FALSE))</f>
        <v/>
      </c>
      <c r="X42" s="295" t="str">
        <f>IFERROR(VLOOKUP(W42,'G-1 All Habitats'!$V$3:$W$7,2,FALSE),"")</f>
        <v/>
      </c>
      <c r="Y42" s="138"/>
      <c r="Z42" s="299" t="str">
        <f>IFERROR(INDEX('G-8 Condition Look up'!$A$3:$H$135,MATCH(S42,'G-8 Condition Look up'!$A$3:$A$135,0),MATCH(Y42,'G-8 Condition Look up'!$A$3:$H$3,0)),"")</f>
        <v/>
      </c>
      <c r="AA42" s="101"/>
      <c r="AB42" s="314" t="str">
        <f>IF(AA42="","",IF(VLOOKUP(AA42,'G-3 Multipliers'!$L$3:$N$6,2,FALSE)=0,"Spatial Data Missing ⚠",VLOOKUP(AA42,'G-3 Multipliers'!$L$3:$N$6,2,FALSE)))</f>
        <v/>
      </c>
      <c r="AC42" s="299" t="str">
        <f>IF(AA42="","",IF(VLOOKUP(AA42,'G-3 Multipliers'!$L$3:$N$6,3,FALSE)=0,"Spatial Data Missing ⚠",VLOOKUP(AA42,'G-3 Multipliers'!$L$3:$N$6,3,FALSE)))</f>
        <v/>
      </c>
      <c r="AD42" s="311" t="str">
        <f t="shared" si="1"/>
        <v/>
      </c>
      <c r="AE42" s="138"/>
      <c r="AF42" s="138"/>
      <c r="AG42" s="295" t="str">
        <f t="shared" si="5"/>
        <v/>
      </c>
      <c r="AH42" s="296" t="str">
        <f t="shared" si="6"/>
        <v/>
      </c>
      <c r="AI42" s="300" t="str">
        <f>IF(AH42="Check Data ⚠","Check Data ⚠",IFERROR(VLOOKUP(AH42,'G-4 Temporal multipliers'!$A$4:$C$36,3,FALSE),""))</f>
        <v/>
      </c>
      <c r="AJ42" s="311" t="str">
        <f>IF(S42="","",VLOOKUP(S42,'G-3 Multipliers'!$A$2:$E$134,4,FALSE))</f>
        <v/>
      </c>
      <c r="AK42" s="295" t="str">
        <f t="shared" si="7"/>
        <v/>
      </c>
      <c r="AL42" s="295" t="str">
        <f t="shared" si="8"/>
        <v/>
      </c>
      <c r="AM42" s="299" t="str">
        <f>IFERROR(IF(F42="","",IF(AH42="Check Data ⚠","Check Data ⚠",VLOOKUP(AL42,'G-3 Multipliers'!$P$2:$Q$6,2,FALSE))),"")</f>
        <v/>
      </c>
      <c r="AN42" s="712" t="str">
        <f>IF(E42="","",IF(ISNA(VLOOKUP($E42,'D-1 Off-Site Habitat Baseline'!$D$1:$Z$258,15,FALSE)),"",(VLOOKUP($E42,'D-1 Off-Site Habitat Baseline'!$D$1:$Z$258,15,FALSE))))</f>
        <v/>
      </c>
      <c r="AO42" s="329" t="str">
        <f>IF(AN42="","",IF(VLOOKUP(AN42,'G-3 Multipliers'!$S$3:$T$10,2,FALSE)=0,"Spatial Data Missing ⚠",VLOOKUP(AN42,'G-3 Multipliers'!$S$3:$T$10,2,FALSE)))</f>
        <v/>
      </c>
      <c r="AP42" s="289" t="str">
        <f t="shared" si="9"/>
        <v/>
      </c>
      <c r="AQ42" s="289" t="str">
        <f t="shared" si="10"/>
        <v/>
      </c>
      <c r="AR42" s="105"/>
      <c r="AS42" s="138"/>
      <c r="AT42" s="104"/>
      <c r="AU42" s="104"/>
      <c r="AY42" s="30" t="str">
        <f>IF(E42="","",IF(ISNA(VLOOKUP($E42,'D-1 Off-Site Habitat Baseline'!$D$1:$AV$258,4,FALSE)),"",(VLOOKUP($E42,'D-1 Off-Site Habitat Baseline'!$D$1:$AV$258,4,FALSE))))</f>
        <v/>
      </c>
    </row>
    <row r="43" spans="1:51" ht="14">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319" t="str">
        <f>'D-1 Off-Site Habitat Baseline'!AP42</f>
        <v/>
      </c>
      <c r="F43" s="283" t="str">
        <f>IF(E43="","",IF(ISNA(VLOOKUP($E43,'D-1 Off-Site Habitat Baseline'!$D$1:$ZZ$258,45,FALSE)),"",(VLOOKUP($E43,'D-1 Off-Site Habitat Baseline'!$D$1:$ZZ$258,45,FALSE))))</f>
        <v/>
      </c>
      <c r="G43" s="295" t="str">
        <f>IF(E43="","",IF(ISNA(VLOOKUP($E43,'D-1 Off-Site Habitat Baseline'!$D$1:$O$258,5,FALSE)),"",(VLOOKUP($E43,'D-1 Off-Site Habitat Baseline'!$D$1:$O$258,5,FALSE))))</f>
        <v/>
      </c>
      <c r="H43" s="295" t="str">
        <f>IF(E43="","",IF(ISNA(VLOOKUP($E43,'D-1 Off-Site Habitat Baseline'!$D$1:$O$258,6,FALSE)),"",(VLOOKUP($E43,'D-1 Off-Site Habitat Baseline'!$D$1:$O$258,6,FALSE))))</f>
        <v/>
      </c>
      <c r="I43" s="295" t="str">
        <f>IF(E43="","",IF(ISNA(VLOOKUP($E43,'D-1 Off-Site Habitat Baseline'!$D$1:$O$258,7,FALSE)),"",(VLOOKUP($E43,'D-1 Off-Site Habitat Baseline'!$D$1:$O$258,7,FALSE))))</f>
        <v/>
      </c>
      <c r="J43" s="295" t="str">
        <f>IF(E43="","",IF(ISNA(VLOOKUP($E43,'D-1 Off-Site Habitat Baseline'!$D$1:$O$258,8,FALSE)),"",(VLOOKUP($E43,'D-1 Off-Site Habitat Baseline'!$D$1:$O$258,8,FALSE))))</f>
        <v/>
      </c>
      <c r="K43" s="295" t="str">
        <f>IF(E43="","",IF(ISNA(VLOOKUP($E43,'D-1 Off-Site Habitat Baseline'!$D$1:$O$258,9,FALSE)),"",(VLOOKUP($E43,'D-1 Off-Site Habitat Baseline'!$D$1:$O$258,9,FALSE))))</f>
        <v/>
      </c>
      <c r="L43" s="295" t="str">
        <f>IF(E43="","",IF(ISNA(VLOOKUP($E43,'D-1 Off-Site Habitat Baseline'!$D$1:$O$258,11,FALSE)),"",(VLOOKUP($E43,'D-1 Off-Site Habitat Baseline'!$D$1:$O$258,11,FALSE))))</f>
        <v/>
      </c>
      <c r="M43" s="295" t="str">
        <f>IF(E43="","",IF(ISNA(VLOOKUP($E43,'D-1 Off-Site Habitat Baseline'!$D$1:$O$258,12,FALSE)),"",(VLOOKUP($E43,'D-1 Off-Site Habitat Baseline'!$D$1:$O$258,12,FALSE))))</f>
        <v/>
      </c>
      <c r="N43" s="295" t="str">
        <f>IF(E43="","",IF(ISNA(VLOOKUP($E43,'D-1 Off-Site Habitat Baseline'!$D$1:$AA$258,17,FALSE)),"",(VLOOKUP($E43,'D-1 Off-Site Habitat Baseline'!$D$1:$AA$258,17,FALSE))))</f>
        <v/>
      </c>
      <c r="O43" s="299" t="str">
        <f>IF(E43="","",IF(ISNA(VLOOKUP($E43,'D-1 Off-Site Habitat Baseline'!$D$1:$AA$258,13,FALSE)),"",(VLOOKUP($E43,'D-1 Off-Site Habitat Baseline'!$D$1:$AA$258,13,FALSE))))</f>
        <v/>
      </c>
      <c r="P43" s="148" t="str">
        <f>IFERROR(INDEX('G-1 All Habitats'!$AG$49:$AG$63,MATCH(Q43,'G-1 All Habitats'!$AF$27:$AF$41,0)),"")</f>
        <v/>
      </c>
      <c r="Q43" s="149" t="str">
        <f t="shared" si="0"/>
        <v/>
      </c>
      <c r="R43" s="150"/>
      <c r="S43" s="151" t="str">
        <f>IFERROR(INDEX('G-1 All Habitats'!$B$3:$B$135,MATCH(R43,'G-1 All Habitats'!$A$3:$A$135,0)),"")</f>
        <v/>
      </c>
      <c r="T43" s="283" t="str">
        <f t="shared" si="2"/>
        <v/>
      </c>
      <c r="U43" s="276" t="str">
        <f t="shared" si="3"/>
        <v/>
      </c>
      <c r="V43" s="298" t="str">
        <f t="shared" si="4"/>
        <v/>
      </c>
      <c r="W43" s="295" t="str">
        <f>IF(S43="","",VLOOKUP(S43,'G-1 All Habitats'!$B$2:$M$135,10,FALSE))</f>
        <v/>
      </c>
      <c r="X43" s="295" t="str">
        <f>IFERROR(VLOOKUP(W43,'G-1 All Habitats'!$V$3:$W$7,2,FALSE),"")</f>
        <v/>
      </c>
      <c r="Y43" s="138"/>
      <c r="Z43" s="299" t="str">
        <f>IFERROR(INDEX('G-8 Condition Look up'!$A$3:$H$135,MATCH(S43,'G-8 Condition Look up'!$A$3:$A$135,0),MATCH(Y43,'G-8 Condition Look up'!$A$3:$H$3,0)),"")</f>
        <v/>
      </c>
      <c r="AA43" s="101"/>
      <c r="AB43" s="314" t="str">
        <f>IF(AA43="","",IF(VLOOKUP(AA43,'G-3 Multipliers'!$L$3:$N$6,2,FALSE)=0,"Spatial Data Missing ⚠",VLOOKUP(AA43,'G-3 Multipliers'!$L$3:$N$6,2,FALSE)))</f>
        <v/>
      </c>
      <c r="AC43" s="299" t="str">
        <f>IF(AA43="","",IF(VLOOKUP(AA43,'G-3 Multipliers'!$L$3:$N$6,3,FALSE)=0,"Spatial Data Missing ⚠",VLOOKUP(AA43,'G-3 Multipliers'!$L$3:$N$6,3,FALSE)))</f>
        <v/>
      </c>
      <c r="AD43" s="311" t="str">
        <f t="shared" si="1"/>
        <v/>
      </c>
      <c r="AE43" s="138"/>
      <c r="AF43" s="138"/>
      <c r="AG43" s="295" t="str">
        <f t="shared" si="5"/>
        <v/>
      </c>
      <c r="AH43" s="296" t="str">
        <f t="shared" si="6"/>
        <v/>
      </c>
      <c r="AI43" s="300" t="str">
        <f>IF(AH43="Check Data ⚠","Check Data ⚠",IFERROR(VLOOKUP(AH43,'G-4 Temporal multipliers'!$A$4:$C$36,3,FALSE),""))</f>
        <v/>
      </c>
      <c r="AJ43" s="311" t="str">
        <f>IF(S43="","",VLOOKUP(S43,'G-3 Multipliers'!$A$2:$E$134,4,FALSE))</f>
        <v/>
      </c>
      <c r="AK43" s="295" t="str">
        <f t="shared" si="7"/>
        <v/>
      </c>
      <c r="AL43" s="295" t="str">
        <f t="shared" si="8"/>
        <v/>
      </c>
      <c r="AM43" s="299" t="str">
        <f>IFERROR(IF(F43="","",IF(AH43="Check Data ⚠","Check Data ⚠",VLOOKUP(AL43,'G-3 Multipliers'!$P$2:$Q$6,2,FALSE))),"")</f>
        <v/>
      </c>
      <c r="AN43" s="712" t="str">
        <f>IF(E43="","",IF(ISNA(VLOOKUP($E43,'D-1 Off-Site Habitat Baseline'!$D$1:$Z$258,15,FALSE)),"",(VLOOKUP($E43,'D-1 Off-Site Habitat Baseline'!$D$1:$Z$258,15,FALSE))))</f>
        <v/>
      </c>
      <c r="AO43" s="329" t="str">
        <f>IF(AN43="","",IF(VLOOKUP(AN43,'G-3 Multipliers'!$S$3:$T$10,2,FALSE)=0,"Spatial Data Missing ⚠",VLOOKUP(AN43,'G-3 Multipliers'!$S$3:$T$10,2,FALSE)))</f>
        <v/>
      </c>
      <c r="AP43" s="289" t="str">
        <f t="shared" si="9"/>
        <v/>
      </c>
      <c r="AQ43" s="289" t="str">
        <f t="shared" si="10"/>
        <v/>
      </c>
      <c r="AR43" s="105"/>
      <c r="AS43" s="138"/>
      <c r="AT43" s="104"/>
      <c r="AU43" s="104"/>
      <c r="AY43" s="30" t="str">
        <f>IF(E43="","",IF(ISNA(VLOOKUP($E43,'D-1 Off-Site Habitat Baseline'!$D$1:$AV$258,4,FALSE)),"",(VLOOKUP($E43,'D-1 Off-Site Habitat Baseline'!$D$1:$AV$258,4,FALSE))))</f>
        <v/>
      </c>
    </row>
    <row r="44" spans="1:51" ht="14">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319" t="str">
        <f>'D-1 Off-Site Habitat Baseline'!AP43</f>
        <v/>
      </c>
      <c r="F44" s="283" t="str">
        <f>IF(E44="","",IF(ISNA(VLOOKUP($E44,'D-1 Off-Site Habitat Baseline'!$D$1:$ZZ$258,45,FALSE)),"",(VLOOKUP($E44,'D-1 Off-Site Habitat Baseline'!$D$1:$ZZ$258,45,FALSE))))</f>
        <v/>
      </c>
      <c r="G44" s="295" t="str">
        <f>IF(E44="","",IF(ISNA(VLOOKUP($E44,'D-1 Off-Site Habitat Baseline'!$D$1:$O$258,5,FALSE)),"",(VLOOKUP($E44,'D-1 Off-Site Habitat Baseline'!$D$1:$O$258,5,FALSE))))</f>
        <v/>
      </c>
      <c r="H44" s="295" t="str">
        <f>IF(E44="","",IF(ISNA(VLOOKUP($E44,'D-1 Off-Site Habitat Baseline'!$D$1:$O$258,6,FALSE)),"",(VLOOKUP($E44,'D-1 Off-Site Habitat Baseline'!$D$1:$O$258,6,FALSE))))</f>
        <v/>
      </c>
      <c r="I44" s="295" t="str">
        <f>IF(E44="","",IF(ISNA(VLOOKUP($E44,'D-1 Off-Site Habitat Baseline'!$D$1:$O$258,7,FALSE)),"",(VLOOKUP($E44,'D-1 Off-Site Habitat Baseline'!$D$1:$O$258,7,FALSE))))</f>
        <v/>
      </c>
      <c r="J44" s="295" t="str">
        <f>IF(E44="","",IF(ISNA(VLOOKUP($E44,'D-1 Off-Site Habitat Baseline'!$D$1:$O$258,8,FALSE)),"",(VLOOKUP($E44,'D-1 Off-Site Habitat Baseline'!$D$1:$O$258,8,FALSE))))</f>
        <v/>
      </c>
      <c r="K44" s="295" t="str">
        <f>IF(E44="","",IF(ISNA(VLOOKUP($E44,'D-1 Off-Site Habitat Baseline'!$D$1:$O$258,9,FALSE)),"",(VLOOKUP($E44,'D-1 Off-Site Habitat Baseline'!$D$1:$O$258,9,FALSE))))</f>
        <v/>
      </c>
      <c r="L44" s="295" t="str">
        <f>IF(E44="","",IF(ISNA(VLOOKUP($E44,'D-1 Off-Site Habitat Baseline'!$D$1:$O$258,11,FALSE)),"",(VLOOKUP($E44,'D-1 Off-Site Habitat Baseline'!$D$1:$O$258,11,FALSE))))</f>
        <v/>
      </c>
      <c r="M44" s="295" t="str">
        <f>IF(E44="","",IF(ISNA(VLOOKUP($E44,'D-1 Off-Site Habitat Baseline'!$D$1:$O$258,12,FALSE)),"",(VLOOKUP($E44,'D-1 Off-Site Habitat Baseline'!$D$1:$O$258,12,FALSE))))</f>
        <v/>
      </c>
      <c r="N44" s="295" t="str">
        <f>IF(E44="","",IF(ISNA(VLOOKUP($E44,'D-1 Off-Site Habitat Baseline'!$D$1:$AA$258,17,FALSE)),"",(VLOOKUP($E44,'D-1 Off-Site Habitat Baseline'!$D$1:$AA$258,17,FALSE))))</f>
        <v/>
      </c>
      <c r="O44" s="299" t="str">
        <f>IF(E44="","",IF(ISNA(VLOOKUP($E44,'D-1 Off-Site Habitat Baseline'!$D$1:$AA$258,13,FALSE)),"",(VLOOKUP($E44,'D-1 Off-Site Habitat Baseline'!$D$1:$AA$258,13,FALSE))))</f>
        <v/>
      </c>
      <c r="P44" s="148" t="str">
        <f>IFERROR(INDEX('G-1 All Habitats'!$AG$49:$AG$63,MATCH(Q44,'G-1 All Habitats'!$AF$27:$AF$41,0)),"")</f>
        <v/>
      </c>
      <c r="Q44" s="149" t="str">
        <f t="shared" si="0"/>
        <v/>
      </c>
      <c r="R44" s="150"/>
      <c r="S44" s="151" t="str">
        <f>IFERROR(INDEX('G-1 All Habitats'!$B$3:$B$135,MATCH(R44,'G-1 All Habitats'!$A$3:$A$135,0)),"")</f>
        <v/>
      </c>
      <c r="T44" s="283" t="str">
        <f t="shared" si="2"/>
        <v/>
      </c>
      <c r="U44" s="276" t="str">
        <f t="shared" si="3"/>
        <v/>
      </c>
      <c r="V44" s="298" t="str">
        <f t="shared" si="4"/>
        <v/>
      </c>
      <c r="W44" s="295" t="str">
        <f>IF(S44="","",VLOOKUP(S44,'G-1 All Habitats'!$B$2:$M$135,10,FALSE))</f>
        <v/>
      </c>
      <c r="X44" s="295" t="str">
        <f>IFERROR(VLOOKUP(W44,'G-1 All Habitats'!$V$3:$W$7,2,FALSE),"")</f>
        <v/>
      </c>
      <c r="Y44" s="138"/>
      <c r="Z44" s="299" t="str">
        <f>IFERROR(INDEX('G-8 Condition Look up'!$A$3:$H$135,MATCH(S44,'G-8 Condition Look up'!$A$3:$A$135,0),MATCH(Y44,'G-8 Condition Look up'!$A$3:$H$3,0)),"")</f>
        <v/>
      </c>
      <c r="AA44" s="101"/>
      <c r="AB44" s="314" t="str">
        <f>IF(AA44="","",IF(VLOOKUP(AA44,'G-3 Multipliers'!$L$3:$N$6,2,FALSE)=0,"Spatial Data Missing ⚠",VLOOKUP(AA44,'G-3 Multipliers'!$L$3:$N$6,2,FALSE)))</f>
        <v/>
      </c>
      <c r="AC44" s="299" t="str">
        <f>IF(AA44="","",IF(VLOOKUP(AA44,'G-3 Multipliers'!$L$3:$N$6,3,FALSE)=0,"Spatial Data Missing ⚠",VLOOKUP(AA44,'G-3 Multipliers'!$L$3:$N$6,3,FALSE)))</f>
        <v/>
      </c>
      <c r="AD44" s="311" t="str">
        <f t="shared" si="1"/>
        <v/>
      </c>
      <c r="AE44" s="138"/>
      <c r="AF44" s="138"/>
      <c r="AG44" s="295" t="str">
        <f t="shared" si="5"/>
        <v/>
      </c>
      <c r="AH44" s="296" t="str">
        <f t="shared" si="6"/>
        <v/>
      </c>
      <c r="AI44" s="300" t="str">
        <f>IF(AH44="Check Data ⚠","Check Data ⚠",IFERROR(VLOOKUP(AH44,'G-4 Temporal multipliers'!$A$4:$C$36,3,FALSE),""))</f>
        <v/>
      </c>
      <c r="AJ44" s="311" t="str">
        <f>IF(S44="","",VLOOKUP(S44,'G-3 Multipliers'!$A$2:$E$134,4,FALSE))</f>
        <v/>
      </c>
      <c r="AK44" s="295" t="str">
        <f t="shared" si="7"/>
        <v/>
      </c>
      <c r="AL44" s="295" t="str">
        <f t="shared" si="8"/>
        <v/>
      </c>
      <c r="AM44" s="299" t="str">
        <f>IFERROR(IF(F44="","",IF(AH44="Check Data ⚠","Check Data ⚠",VLOOKUP(AL44,'G-3 Multipliers'!$P$2:$Q$6,2,FALSE))),"")</f>
        <v/>
      </c>
      <c r="AN44" s="712" t="str">
        <f>IF(E44="","",IF(ISNA(VLOOKUP($E44,'D-1 Off-Site Habitat Baseline'!$D$1:$Z$258,15,FALSE)),"",(VLOOKUP($E44,'D-1 Off-Site Habitat Baseline'!$D$1:$Z$258,15,FALSE))))</f>
        <v/>
      </c>
      <c r="AO44" s="329" t="str">
        <f>IF(AN44="","",IF(VLOOKUP(AN44,'G-3 Multipliers'!$S$3:$T$10,2,FALSE)=0,"Spatial Data Missing ⚠",VLOOKUP(AN44,'G-3 Multipliers'!$S$3:$T$10,2,FALSE)))</f>
        <v/>
      </c>
      <c r="AP44" s="289" t="str">
        <f t="shared" si="9"/>
        <v/>
      </c>
      <c r="AQ44" s="289" t="str">
        <f t="shared" si="10"/>
        <v/>
      </c>
      <c r="AR44" s="105"/>
      <c r="AS44" s="138"/>
      <c r="AT44" s="104"/>
      <c r="AU44" s="104"/>
      <c r="AY44" s="30" t="str">
        <f>IF(E44="","",IF(ISNA(VLOOKUP($E44,'D-1 Off-Site Habitat Baseline'!$D$1:$AV$258,4,FALSE)),"",(VLOOKUP($E44,'D-1 Off-Site Habitat Baseline'!$D$1:$AV$258,4,FALSE))))</f>
        <v/>
      </c>
    </row>
    <row r="45" spans="1:51" ht="14">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319" t="str">
        <f>'D-1 Off-Site Habitat Baseline'!AP44</f>
        <v/>
      </c>
      <c r="F45" s="283" t="str">
        <f>IF(E45="","",IF(ISNA(VLOOKUP($E45,'D-1 Off-Site Habitat Baseline'!$D$1:$ZZ$258,45,FALSE)),"",(VLOOKUP($E45,'D-1 Off-Site Habitat Baseline'!$D$1:$ZZ$258,45,FALSE))))</f>
        <v/>
      </c>
      <c r="G45" s="295" t="str">
        <f>IF(E45="","",IF(ISNA(VLOOKUP($E45,'D-1 Off-Site Habitat Baseline'!$D$1:$O$258,5,FALSE)),"",(VLOOKUP($E45,'D-1 Off-Site Habitat Baseline'!$D$1:$O$258,5,FALSE))))</f>
        <v/>
      </c>
      <c r="H45" s="295" t="str">
        <f>IF(E45="","",IF(ISNA(VLOOKUP($E45,'D-1 Off-Site Habitat Baseline'!$D$1:$O$258,6,FALSE)),"",(VLOOKUP($E45,'D-1 Off-Site Habitat Baseline'!$D$1:$O$258,6,FALSE))))</f>
        <v/>
      </c>
      <c r="I45" s="295" t="str">
        <f>IF(E45="","",IF(ISNA(VLOOKUP($E45,'D-1 Off-Site Habitat Baseline'!$D$1:$O$258,7,FALSE)),"",(VLOOKUP($E45,'D-1 Off-Site Habitat Baseline'!$D$1:$O$258,7,FALSE))))</f>
        <v/>
      </c>
      <c r="J45" s="295" t="str">
        <f>IF(E45="","",IF(ISNA(VLOOKUP($E45,'D-1 Off-Site Habitat Baseline'!$D$1:$O$258,8,FALSE)),"",(VLOOKUP($E45,'D-1 Off-Site Habitat Baseline'!$D$1:$O$258,8,FALSE))))</f>
        <v/>
      </c>
      <c r="K45" s="295" t="str">
        <f>IF(E45="","",IF(ISNA(VLOOKUP($E45,'D-1 Off-Site Habitat Baseline'!$D$1:$O$258,9,FALSE)),"",(VLOOKUP($E45,'D-1 Off-Site Habitat Baseline'!$D$1:$O$258,9,FALSE))))</f>
        <v/>
      </c>
      <c r="L45" s="295" t="str">
        <f>IF(E45="","",IF(ISNA(VLOOKUP($E45,'D-1 Off-Site Habitat Baseline'!$D$1:$O$258,11,FALSE)),"",(VLOOKUP($E45,'D-1 Off-Site Habitat Baseline'!$D$1:$O$258,11,FALSE))))</f>
        <v/>
      </c>
      <c r="M45" s="295" t="str">
        <f>IF(E45="","",IF(ISNA(VLOOKUP($E45,'D-1 Off-Site Habitat Baseline'!$D$1:$O$258,12,FALSE)),"",(VLOOKUP($E45,'D-1 Off-Site Habitat Baseline'!$D$1:$O$258,12,FALSE))))</f>
        <v/>
      </c>
      <c r="N45" s="295" t="str">
        <f>IF(E45="","",IF(ISNA(VLOOKUP($E45,'D-1 Off-Site Habitat Baseline'!$D$1:$AA$258,17,FALSE)),"",(VLOOKUP($E45,'D-1 Off-Site Habitat Baseline'!$D$1:$AA$258,17,FALSE))))</f>
        <v/>
      </c>
      <c r="O45" s="299" t="str">
        <f>IF(E45="","",IF(ISNA(VLOOKUP($E45,'D-1 Off-Site Habitat Baseline'!$D$1:$AA$258,13,FALSE)),"",(VLOOKUP($E45,'D-1 Off-Site Habitat Baseline'!$D$1:$AA$258,13,FALSE))))</f>
        <v/>
      </c>
      <c r="P45" s="148" t="str">
        <f>IFERROR(INDEX('G-1 All Habitats'!$AG$49:$AG$63,MATCH(Q45,'G-1 All Habitats'!$AF$27:$AF$41,0)),"")</f>
        <v/>
      </c>
      <c r="Q45" s="149" t="str">
        <f t="shared" si="0"/>
        <v/>
      </c>
      <c r="R45" s="150"/>
      <c r="S45" s="151" t="str">
        <f>IFERROR(INDEX('G-1 All Habitats'!$B$3:$B$135,MATCH(R45,'G-1 All Habitats'!$A$3:$A$135,0)),"")</f>
        <v/>
      </c>
      <c r="T45" s="283" t="str">
        <f t="shared" si="2"/>
        <v/>
      </c>
      <c r="U45" s="276" t="str">
        <f t="shared" si="3"/>
        <v/>
      </c>
      <c r="V45" s="298" t="str">
        <f t="shared" si="4"/>
        <v/>
      </c>
      <c r="W45" s="295" t="str">
        <f>IF(S45="","",VLOOKUP(S45,'G-1 All Habitats'!$B$2:$M$135,10,FALSE))</f>
        <v/>
      </c>
      <c r="X45" s="295" t="str">
        <f>IFERROR(VLOOKUP(W45,'G-1 All Habitats'!$V$3:$W$7,2,FALSE),"")</f>
        <v/>
      </c>
      <c r="Y45" s="138"/>
      <c r="Z45" s="299" t="str">
        <f>IFERROR(INDEX('G-8 Condition Look up'!$A$3:$H$135,MATCH(S45,'G-8 Condition Look up'!$A$3:$A$135,0),MATCH(Y45,'G-8 Condition Look up'!$A$3:$H$3,0)),"")</f>
        <v/>
      </c>
      <c r="AA45" s="101"/>
      <c r="AB45" s="314" t="str">
        <f>IF(AA45="","",IF(VLOOKUP(AA45,'G-3 Multipliers'!$L$3:$N$6,2,FALSE)=0,"Spatial Data Missing ⚠",VLOOKUP(AA45,'G-3 Multipliers'!$L$3:$N$6,2,FALSE)))</f>
        <v/>
      </c>
      <c r="AC45" s="299" t="str">
        <f>IF(AA45="","",IF(VLOOKUP(AA45,'G-3 Multipliers'!$L$3:$N$6,3,FALSE)=0,"Spatial Data Missing ⚠",VLOOKUP(AA45,'G-3 Multipliers'!$L$3:$N$6,3,FALSE)))</f>
        <v/>
      </c>
      <c r="AD45" s="311" t="str">
        <f t="shared" si="1"/>
        <v/>
      </c>
      <c r="AE45" s="138"/>
      <c r="AF45" s="138"/>
      <c r="AG45" s="295" t="str">
        <f t="shared" si="5"/>
        <v/>
      </c>
      <c r="AH45" s="296" t="str">
        <f t="shared" si="6"/>
        <v/>
      </c>
      <c r="AI45" s="300" t="str">
        <f>IF(AH45="Check Data ⚠","Check Data ⚠",IFERROR(VLOOKUP(AH45,'G-4 Temporal multipliers'!$A$4:$C$36,3,FALSE),""))</f>
        <v/>
      </c>
      <c r="AJ45" s="311" t="str">
        <f>IF(S45="","",VLOOKUP(S45,'G-3 Multipliers'!$A$2:$E$134,4,FALSE))</f>
        <v/>
      </c>
      <c r="AK45" s="295" t="str">
        <f t="shared" si="7"/>
        <v/>
      </c>
      <c r="AL45" s="295" t="str">
        <f t="shared" si="8"/>
        <v/>
      </c>
      <c r="AM45" s="299" t="str">
        <f>IFERROR(IF(F45="","",IF(AH45="Check Data ⚠","Check Data ⚠",VLOOKUP(AL45,'G-3 Multipliers'!$P$2:$Q$6,2,FALSE))),"")</f>
        <v/>
      </c>
      <c r="AN45" s="712" t="str">
        <f>IF(E45="","",IF(ISNA(VLOOKUP($E45,'D-1 Off-Site Habitat Baseline'!$D$1:$Z$258,15,FALSE)),"",(VLOOKUP($E45,'D-1 Off-Site Habitat Baseline'!$D$1:$Z$258,15,FALSE))))</f>
        <v/>
      </c>
      <c r="AO45" s="329" t="str">
        <f>IF(AN45="","",IF(VLOOKUP(AN45,'G-3 Multipliers'!$S$3:$T$10,2,FALSE)=0,"Spatial Data Missing ⚠",VLOOKUP(AN45,'G-3 Multipliers'!$S$3:$T$10,2,FALSE)))</f>
        <v/>
      </c>
      <c r="AP45" s="289" t="str">
        <f t="shared" si="9"/>
        <v/>
      </c>
      <c r="AQ45" s="289" t="str">
        <f t="shared" si="10"/>
        <v/>
      </c>
      <c r="AR45" s="105"/>
      <c r="AS45" s="138"/>
      <c r="AT45" s="104"/>
      <c r="AU45" s="104"/>
      <c r="AY45" s="30" t="str">
        <f>IF(E45="","",IF(ISNA(VLOOKUP($E45,'D-1 Off-Site Habitat Baseline'!$D$1:$AV$258,4,FALSE)),"",(VLOOKUP($E45,'D-1 Off-Site Habitat Baseline'!$D$1:$AV$258,4,FALSE))))</f>
        <v/>
      </c>
    </row>
    <row r="46" spans="1:51" ht="14">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319" t="str">
        <f>'D-1 Off-Site Habitat Baseline'!AP45</f>
        <v/>
      </c>
      <c r="F46" s="283" t="str">
        <f>IF(E46="","",IF(ISNA(VLOOKUP($E46,'D-1 Off-Site Habitat Baseline'!$D$1:$ZZ$258,45,FALSE)),"",(VLOOKUP($E46,'D-1 Off-Site Habitat Baseline'!$D$1:$ZZ$258,45,FALSE))))</f>
        <v/>
      </c>
      <c r="G46" s="295" t="str">
        <f>IF(E46="","",IF(ISNA(VLOOKUP($E46,'D-1 Off-Site Habitat Baseline'!$D$1:$O$258,5,FALSE)),"",(VLOOKUP($E46,'D-1 Off-Site Habitat Baseline'!$D$1:$O$258,5,FALSE))))</f>
        <v/>
      </c>
      <c r="H46" s="295" t="str">
        <f>IF(E46="","",IF(ISNA(VLOOKUP($E46,'D-1 Off-Site Habitat Baseline'!$D$1:$O$258,6,FALSE)),"",(VLOOKUP($E46,'D-1 Off-Site Habitat Baseline'!$D$1:$O$258,6,FALSE))))</f>
        <v/>
      </c>
      <c r="I46" s="295" t="str">
        <f>IF(E46="","",IF(ISNA(VLOOKUP($E46,'D-1 Off-Site Habitat Baseline'!$D$1:$O$258,7,FALSE)),"",(VLOOKUP($E46,'D-1 Off-Site Habitat Baseline'!$D$1:$O$258,7,FALSE))))</f>
        <v/>
      </c>
      <c r="J46" s="295" t="str">
        <f>IF(E46="","",IF(ISNA(VLOOKUP($E46,'D-1 Off-Site Habitat Baseline'!$D$1:$O$258,8,FALSE)),"",(VLOOKUP($E46,'D-1 Off-Site Habitat Baseline'!$D$1:$O$258,8,FALSE))))</f>
        <v/>
      </c>
      <c r="K46" s="295" t="str">
        <f>IF(E46="","",IF(ISNA(VLOOKUP($E46,'D-1 Off-Site Habitat Baseline'!$D$1:$O$258,9,FALSE)),"",(VLOOKUP($E46,'D-1 Off-Site Habitat Baseline'!$D$1:$O$258,9,FALSE))))</f>
        <v/>
      </c>
      <c r="L46" s="295" t="str">
        <f>IF(E46="","",IF(ISNA(VLOOKUP($E46,'D-1 Off-Site Habitat Baseline'!$D$1:$O$258,11,FALSE)),"",(VLOOKUP($E46,'D-1 Off-Site Habitat Baseline'!$D$1:$O$258,11,FALSE))))</f>
        <v/>
      </c>
      <c r="M46" s="295" t="str">
        <f>IF(E46="","",IF(ISNA(VLOOKUP($E46,'D-1 Off-Site Habitat Baseline'!$D$1:$O$258,12,FALSE)),"",(VLOOKUP($E46,'D-1 Off-Site Habitat Baseline'!$D$1:$O$258,12,FALSE))))</f>
        <v/>
      </c>
      <c r="N46" s="295" t="str">
        <f>IF(E46="","",IF(ISNA(VLOOKUP($E46,'D-1 Off-Site Habitat Baseline'!$D$1:$AA$258,17,FALSE)),"",(VLOOKUP($E46,'D-1 Off-Site Habitat Baseline'!$D$1:$AA$258,17,FALSE))))</f>
        <v/>
      </c>
      <c r="O46" s="299" t="str">
        <f>IF(E46="","",IF(ISNA(VLOOKUP($E46,'D-1 Off-Site Habitat Baseline'!$D$1:$AA$258,13,FALSE)),"",(VLOOKUP($E46,'D-1 Off-Site Habitat Baseline'!$D$1:$AA$258,13,FALSE))))</f>
        <v/>
      </c>
      <c r="P46" s="148" t="str">
        <f>IFERROR(INDEX('G-1 All Habitats'!$AG$49:$AG$63,MATCH(Q46,'G-1 All Habitats'!$AF$27:$AF$41,0)),"")</f>
        <v/>
      </c>
      <c r="Q46" s="149" t="str">
        <f t="shared" si="0"/>
        <v/>
      </c>
      <c r="R46" s="150"/>
      <c r="S46" s="151" t="str">
        <f>IFERROR(INDEX('G-1 All Habitats'!$B$3:$B$135,MATCH(R46,'G-1 All Habitats'!$A$3:$A$135,0)),"")</f>
        <v/>
      </c>
      <c r="T46" s="283" t="str">
        <f t="shared" si="2"/>
        <v/>
      </c>
      <c r="U46" s="276" t="str">
        <f t="shared" si="3"/>
        <v/>
      </c>
      <c r="V46" s="298" t="str">
        <f t="shared" si="4"/>
        <v/>
      </c>
      <c r="W46" s="295" t="str">
        <f>IF(S46="","",VLOOKUP(S46,'G-1 All Habitats'!$B$2:$M$135,10,FALSE))</f>
        <v/>
      </c>
      <c r="X46" s="295" t="str">
        <f>IFERROR(VLOOKUP(W46,'G-1 All Habitats'!$V$3:$W$7,2,FALSE),"")</f>
        <v/>
      </c>
      <c r="Y46" s="138"/>
      <c r="Z46" s="299" t="str">
        <f>IFERROR(INDEX('G-8 Condition Look up'!$A$3:$H$135,MATCH(S46,'G-8 Condition Look up'!$A$3:$A$135,0),MATCH(Y46,'G-8 Condition Look up'!$A$3:$H$3,0)),"")</f>
        <v/>
      </c>
      <c r="AA46" s="101"/>
      <c r="AB46" s="314" t="str">
        <f>IF(AA46="","",IF(VLOOKUP(AA46,'G-3 Multipliers'!$L$3:$N$6,2,FALSE)=0,"Spatial Data Missing ⚠",VLOOKUP(AA46,'G-3 Multipliers'!$L$3:$N$6,2,FALSE)))</f>
        <v/>
      </c>
      <c r="AC46" s="299" t="str">
        <f>IF(AA46="","",IF(VLOOKUP(AA46,'G-3 Multipliers'!$L$3:$N$6,3,FALSE)=0,"Spatial Data Missing ⚠",VLOOKUP(AA46,'G-3 Multipliers'!$L$3:$N$6,3,FALSE)))</f>
        <v/>
      </c>
      <c r="AD46" s="311" t="str">
        <f t="shared" si="1"/>
        <v/>
      </c>
      <c r="AE46" s="138"/>
      <c r="AF46" s="138"/>
      <c r="AG46" s="295" t="str">
        <f t="shared" si="5"/>
        <v/>
      </c>
      <c r="AH46" s="296" t="str">
        <f t="shared" si="6"/>
        <v/>
      </c>
      <c r="AI46" s="300" t="str">
        <f>IF(AH46="Check Data ⚠","Check Data ⚠",IFERROR(VLOOKUP(AH46,'G-4 Temporal multipliers'!$A$4:$C$36,3,FALSE),""))</f>
        <v/>
      </c>
      <c r="AJ46" s="311" t="str">
        <f>IF(S46="","",VLOOKUP(S46,'G-3 Multipliers'!$A$2:$E$134,4,FALSE))</f>
        <v/>
      </c>
      <c r="AK46" s="295" t="str">
        <f t="shared" si="7"/>
        <v/>
      </c>
      <c r="AL46" s="295" t="str">
        <f t="shared" si="8"/>
        <v/>
      </c>
      <c r="AM46" s="299" t="str">
        <f>IFERROR(IF(F46="","",IF(AH46="Check Data ⚠","Check Data ⚠",VLOOKUP(AL46,'G-3 Multipliers'!$P$2:$Q$6,2,FALSE))),"")</f>
        <v/>
      </c>
      <c r="AN46" s="712" t="str">
        <f>IF(E46="","",IF(ISNA(VLOOKUP($E46,'D-1 Off-Site Habitat Baseline'!$D$1:$Z$258,15,FALSE)),"",(VLOOKUP($E46,'D-1 Off-Site Habitat Baseline'!$D$1:$Z$258,15,FALSE))))</f>
        <v/>
      </c>
      <c r="AO46" s="329" t="str">
        <f>IF(AN46="","",IF(VLOOKUP(AN46,'G-3 Multipliers'!$S$3:$T$10,2,FALSE)=0,"Spatial Data Missing ⚠",VLOOKUP(AN46,'G-3 Multipliers'!$S$3:$T$10,2,FALSE)))</f>
        <v/>
      </c>
      <c r="AP46" s="289" t="str">
        <f t="shared" si="9"/>
        <v/>
      </c>
      <c r="AQ46" s="289" t="str">
        <f t="shared" si="10"/>
        <v/>
      </c>
      <c r="AR46" s="105"/>
      <c r="AS46" s="138"/>
      <c r="AT46" s="104"/>
      <c r="AU46" s="104"/>
      <c r="AY46" s="30" t="str">
        <f>IF(E46="","",IF(ISNA(VLOOKUP($E46,'D-1 Off-Site Habitat Baseline'!$D$1:$AV$258,4,FALSE)),"",(VLOOKUP($E46,'D-1 Off-Site Habitat Baseline'!$D$1:$AV$258,4,FALSE))))</f>
        <v/>
      </c>
    </row>
    <row r="47" spans="1:51" ht="14">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319" t="str">
        <f>'D-1 Off-Site Habitat Baseline'!AP46</f>
        <v/>
      </c>
      <c r="F47" s="283" t="str">
        <f>IF(E47="","",IF(ISNA(VLOOKUP($E47,'D-1 Off-Site Habitat Baseline'!$D$1:$ZZ$258,45,FALSE)),"",(VLOOKUP($E47,'D-1 Off-Site Habitat Baseline'!$D$1:$ZZ$258,45,FALSE))))</f>
        <v/>
      </c>
      <c r="G47" s="295" t="str">
        <f>IF(E47="","",IF(ISNA(VLOOKUP($E47,'D-1 Off-Site Habitat Baseline'!$D$1:$O$258,5,FALSE)),"",(VLOOKUP($E47,'D-1 Off-Site Habitat Baseline'!$D$1:$O$258,5,FALSE))))</f>
        <v/>
      </c>
      <c r="H47" s="295" t="str">
        <f>IF(E47="","",IF(ISNA(VLOOKUP($E47,'D-1 Off-Site Habitat Baseline'!$D$1:$O$258,6,FALSE)),"",(VLOOKUP($E47,'D-1 Off-Site Habitat Baseline'!$D$1:$O$258,6,FALSE))))</f>
        <v/>
      </c>
      <c r="I47" s="295" t="str">
        <f>IF(E47="","",IF(ISNA(VLOOKUP($E47,'D-1 Off-Site Habitat Baseline'!$D$1:$O$258,7,FALSE)),"",(VLOOKUP($E47,'D-1 Off-Site Habitat Baseline'!$D$1:$O$258,7,FALSE))))</f>
        <v/>
      </c>
      <c r="J47" s="295" t="str">
        <f>IF(E47="","",IF(ISNA(VLOOKUP($E47,'D-1 Off-Site Habitat Baseline'!$D$1:$O$258,8,FALSE)),"",(VLOOKUP($E47,'D-1 Off-Site Habitat Baseline'!$D$1:$O$258,8,FALSE))))</f>
        <v/>
      </c>
      <c r="K47" s="295" t="str">
        <f>IF(E47="","",IF(ISNA(VLOOKUP($E47,'D-1 Off-Site Habitat Baseline'!$D$1:$O$258,9,FALSE)),"",(VLOOKUP($E47,'D-1 Off-Site Habitat Baseline'!$D$1:$O$258,9,FALSE))))</f>
        <v/>
      </c>
      <c r="L47" s="295" t="str">
        <f>IF(E47="","",IF(ISNA(VLOOKUP($E47,'D-1 Off-Site Habitat Baseline'!$D$1:$O$258,11,FALSE)),"",(VLOOKUP($E47,'D-1 Off-Site Habitat Baseline'!$D$1:$O$258,11,FALSE))))</f>
        <v/>
      </c>
      <c r="M47" s="295" t="str">
        <f>IF(E47="","",IF(ISNA(VLOOKUP($E47,'D-1 Off-Site Habitat Baseline'!$D$1:$O$258,12,FALSE)),"",(VLOOKUP($E47,'D-1 Off-Site Habitat Baseline'!$D$1:$O$258,12,FALSE))))</f>
        <v/>
      </c>
      <c r="N47" s="295" t="str">
        <f>IF(E47="","",IF(ISNA(VLOOKUP($E47,'D-1 Off-Site Habitat Baseline'!$D$1:$AA$258,17,FALSE)),"",(VLOOKUP($E47,'D-1 Off-Site Habitat Baseline'!$D$1:$AA$258,17,FALSE))))</f>
        <v/>
      </c>
      <c r="O47" s="299" t="str">
        <f>IF(E47="","",IF(ISNA(VLOOKUP($E47,'D-1 Off-Site Habitat Baseline'!$D$1:$AA$258,13,FALSE)),"",(VLOOKUP($E47,'D-1 Off-Site Habitat Baseline'!$D$1:$AA$258,13,FALSE))))</f>
        <v/>
      </c>
      <c r="P47" s="148" t="str">
        <f>IFERROR(INDEX('G-1 All Habitats'!$AG$49:$AG$63,MATCH(Q47,'G-1 All Habitats'!$AF$27:$AF$41,0)),"")</f>
        <v/>
      </c>
      <c r="Q47" s="149" t="str">
        <f t="shared" si="0"/>
        <v/>
      </c>
      <c r="R47" s="150"/>
      <c r="S47" s="151" t="str">
        <f>IFERROR(INDEX('G-1 All Habitats'!$B$3:$B$135,MATCH(R47,'G-1 All Habitats'!$A$3:$A$135,0)),"")</f>
        <v/>
      </c>
      <c r="T47" s="283" t="str">
        <f t="shared" si="2"/>
        <v/>
      </c>
      <c r="U47" s="276" t="str">
        <f t="shared" si="3"/>
        <v/>
      </c>
      <c r="V47" s="298" t="str">
        <f t="shared" si="4"/>
        <v/>
      </c>
      <c r="W47" s="295" t="str">
        <f>IF(S47="","",VLOOKUP(S47,'G-1 All Habitats'!$B$2:$M$135,10,FALSE))</f>
        <v/>
      </c>
      <c r="X47" s="295" t="str">
        <f>IFERROR(VLOOKUP(W47,'G-1 All Habitats'!$V$3:$W$7,2,FALSE),"")</f>
        <v/>
      </c>
      <c r="Y47" s="138"/>
      <c r="Z47" s="299" t="str">
        <f>IFERROR(INDEX('G-8 Condition Look up'!$A$3:$H$135,MATCH(S47,'G-8 Condition Look up'!$A$3:$A$135,0),MATCH(Y47,'G-8 Condition Look up'!$A$3:$H$3,0)),"")</f>
        <v/>
      </c>
      <c r="AA47" s="101"/>
      <c r="AB47" s="314" t="str">
        <f>IF(AA47="","",IF(VLOOKUP(AA47,'G-3 Multipliers'!$L$3:$N$6,2,FALSE)=0,"Spatial Data Missing ⚠",VLOOKUP(AA47,'G-3 Multipliers'!$L$3:$N$6,2,FALSE)))</f>
        <v/>
      </c>
      <c r="AC47" s="299" t="str">
        <f>IF(AA47="","",IF(VLOOKUP(AA47,'G-3 Multipliers'!$L$3:$N$6,3,FALSE)=0,"Spatial Data Missing ⚠",VLOOKUP(AA47,'G-3 Multipliers'!$L$3:$N$6,3,FALSE)))</f>
        <v/>
      </c>
      <c r="AD47" s="311" t="str">
        <f t="shared" si="1"/>
        <v/>
      </c>
      <c r="AE47" s="138"/>
      <c r="AF47" s="138"/>
      <c r="AG47" s="295" t="str">
        <f t="shared" si="5"/>
        <v/>
      </c>
      <c r="AH47" s="296" t="str">
        <f t="shared" si="6"/>
        <v/>
      </c>
      <c r="AI47" s="300" t="str">
        <f>IF(AH47="Check Data ⚠","Check Data ⚠",IFERROR(VLOOKUP(AH47,'G-4 Temporal multipliers'!$A$4:$C$36,3,FALSE),""))</f>
        <v/>
      </c>
      <c r="AJ47" s="311" t="str">
        <f>IF(S47="","",VLOOKUP(S47,'G-3 Multipliers'!$A$2:$E$134,4,FALSE))</f>
        <v/>
      </c>
      <c r="AK47" s="295" t="str">
        <f t="shared" si="7"/>
        <v/>
      </c>
      <c r="AL47" s="295" t="str">
        <f t="shared" si="8"/>
        <v/>
      </c>
      <c r="AM47" s="299" t="str">
        <f>IFERROR(IF(F47="","",IF(AH47="Check Data ⚠","Check Data ⚠",VLOOKUP(AL47,'G-3 Multipliers'!$P$2:$Q$6,2,FALSE))),"")</f>
        <v/>
      </c>
      <c r="AN47" s="712" t="str">
        <f>IF(E47="","",IF(ISNA(VLOOKUP($E47,'D-1 Off-Site Habitat Baseline'!$D$1:$Z$258,15,FALSE)),"",(VLOOKUP($E47,'D-1 Off-Site Habitat Baseline'!$D$1:$Z$258,15,FALSE))))</f>
        <v/>
      </c>
      <c r="AO47" s="329" t="str">
        <f>IF(AN47="","",IF(VLOOKUP(AN47,'G-3 Multipliers'!$S$3:$T$10,2,FALSE)=0,"Spatial Data Missing ⚠",VLOOKUP(AN47,'G-3 Multipliers'!$S$3:$T$10,2,FALSE)))</f>
        <v/>
      </c>
      <c r="AP47" s="289" t="str">
        <f t="shared" si="9"/>
        <v/>
      </c>
      <c r="AQ47" s="289" t="str">
        <f t="shared" si="10"/>
        <v/>
      </c>
      <c r="AR47" s="105"/>
      <c r="AS47" s="138"/>
      <c r="AT47" s="104"/>
      <c r="AU47" s="104"/>
      <c r="AY47" s="30" t="str">
        <f>IF(E47="","",IF(ISNA(VLOOKUP($E47,'D-1 Off-Site Habitat Baseline'!$D$1:$AV$258,4,FALSE)),"",(VLOOKUP($E47,'D-1 Off-Site Habitat Baseline'!$D$1:$AV$258,4,FALSE))))</f>
        <v/>
      </c>
    </row>
    <row r="48" spans="1:51" ht="14">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319" t="str">
        <f>'D-1 Off-Site Habitat Baseline'!AP47</f>
        <v/>
      </c>
      <c r="F48" s="283" t="str">
        <f>IF(E48="","",IF(ISNA(VLOOKUP($E48,'D-1 Off-Site Habitat Baseline'!$D$1:$ZZ$258,45,FALSE)),"",(VLOOKUP($E48,'D-1 Off-Site Habitat Baseline'!$D$1:$ZZ$258,45,FALSE))))</f>
        <v/>
      </c>
      <c r="G48" s="295" t="str">
        <f>IF(E48="","",IF(ISNA(VLOOKUP($E48,'D-1 Off-Site Habitat Baseline'!$D$1:$O$258,5,FALSE)),"",(VLOOKUP($E48,'D-1 Off-Site Habitat Baseline'!$D$1:$O$258,5,FALSE))))</f>
        <v/>
      </c>
      <c r="H48" s="295" t="str">
        <f>IF(E48="","",IF(ISNA(VLOOKUP($E48,'D-1 Off-Site Habitat Baseline'!$D$1:$O$258,6,FALSE)),"",(VLOOKUP($E48,'D-1 Off-Site Habitat Baseline'!$D$1:$O$258,6,FALSE))))</f>
        <v/>
      </c>
      <c r="I48" s="295" t="str">
        <f>IF(E48="","",IF(ISNA(VLOOKUP($E48,'D-1 Off-Site Habitat Baseline'!$D$1:$O$258,7,FALSE)),"",(VLOOKUP($E48,'D-1 Off-Site Habitat Baseline'!$D$1:$O$258,7,FALSE))))</f>
        <v/>
      </c>
      <c r="J48" s="295" t="str">
        <f>IF(E48="","",IF(ISNA(VLOOKUP($E48,'D-1 Off-Site Habitat Baseline'!$D$1:$O$258,8,FALSE)),"",(VLOOKUP($E48,'D-1 Off-Site Habitat Baseline'!$D$1:$O$258,8,FALSE))))</f>
        <v/>
      </c>
      <c r="K48" s="295" t="str">
        <f>IF(E48="","",IF(ISNA(VLOOKUP($E48,'D-1 Off-Site Habitat Baseline'!$D$1:$O$258,9,FALSE)),"",(VLOOKUP($E48,'D-1 Off-Site Habitat Baseline'!$D$1:$O$258,9,FALSE))))</f>
        <v/>
      </c>
      <c r="L48" s="295" t="str">
        <f>IF(E48="","",IF(ISNA(VLOOKUP($E48,'D-1 Off-Site Habitat Baseline'!$D$1:$O$258,11,FALSE)),"",(VLOOKUP($E48,'D-1 Off-Site Habitat Baseline'!$D$1:$O$258,11,FALSE))))</f>
        <v/>
      </c>
      <c r="M48" s="295" t="str">
        <f>IF(E48="","",IF(ISNA(VLOOKUP($E48,'D-1 Off-Site Habitat Baseline'!$D$1:$O$258,12,FALSE)),"",(VLOOKUP($E48,'D-1 Off-Site Habitat Baseline'!$D$1:$O$258,12,FALSE))))</f>
        <v/>
      </c>
      <c r="N48" s="295" t="str">
        <f>IF(E48="","",IF(ISNA(VLOOKUP($E48,'D-1 Off-Site Habitat Baseline'!$D$1:$AA$258,17,FALSE)),"",(VLOOKUP($E48,'D-1 Off-Site Habitat Baseline'!$D$1:$AA$258,17,FALSE))))</f>
        <v/>
      </c>
      <c r="O48" s="299" t="str">
        <f>IF(E48="","",IF(ISNA(VLOOKUP($E48,'D-1 Off-Site Habitat Baseline'!$D$1:$AA$258,13,FALSE)),"",(VLOOKUP($E48,'D-1 Off-Site Habitat Baseline'!$D$1:$AA$258,13,FALSE))))</f>
        <v/>
      </c>
      <c r="P48" s="148" t="str">
        <f>IFERROR(INDEX('G-1 All Habitats'!$AG$49:$AG$63,MATCH(Q48,'G-1 All Habitats'!$AF$27:$AF$41,0)),"")</f>
        <v/>
      </c>
      <c r="Q48" s="149" t="str">
        <f t="shared" si="0"/>
        <v/>
      </c>
      <c r="R48" s="150"/>
      <c r="S48" s="151" t="str">
        <f>IFERROR(INDEX('G-1 All Habitats'!$B$3:$B$135,MATCH(R48,'G-1 All Habitats'!$A$3:$A$135,0)),"")</f>
        <v/>
      </c>
      <c r="T48" s="283" t="str">
        <f t="shared" si="2"/>
        <v/>
      </c>
      <c r="U48" s="276" t="str">
        <f t="shared" si="3"/>
        <v/>
      </c>
      <c r="V48" s="298" t="str">
        <f t="shared" si="4"/>
        <v/>
      </c>
      <c r="W48" s="295" t="str">
        <f>IF(S48="","",VLOOKUP(S48,'G-1 All Habitats'!$B$2:$M$135,10,FALSE))</f>
        <v/>
      </c>
      <c r="X48" s="295" t="str">
        <f>IFERROR(VLOOKUP(W48,'G-1 All Habitats'!$V$3:$W$7,2,FALSE),"")</f>
        <v/>
      </c>
      <c r="Y48" s="138"/>
      <c r="Z48" s="299" t="str">
        <f>IFERROR(INDEX('G-8 Condition Look up'!$A$3:$H$135,MATCH(S48,'G-8 Condition Look up'!$A$3:$A$135,0),MATCH(Y48,'G-8 Condition Look up'!$A$3:$H$3,0)),"")</f>
        <v/>
      </c>
      <c r="AA48" s="101"/>
      <c r="AB48" s="314" t="str">
        <f>IF(AA48="","",IF(VLOOKUP(AA48,'G-3 Multipliers'!$L$3:$N$6,2,FALSE)=0,"Spatial Data Missing ⚠",VLOOKUP(AA48,'G-3 Multipliers'!$L$3:$N$6,2,FALSE)))</f>
        <v/>
      </c>
      <c r="AC48" s="299" t="str">
        <f>IF(AA48="","",IF(VLOOKUP(AA48,'G-3 Multipliers'!$L$3:$N$6,3,FALSE)=0,"Spatial Data Missing ⚠",VLOOKUP(AA48,'G-3 Multipliers'!$L$3:$N$6,3,FALSE)))</f>
        <v/>
      </c>
      <c r="AD48" s="311" t="str">
        <f t="shared" si="1"/>
        <v/>
      </c>
      <c r="AE48" s="138"/>
      <c r="AF48" s="138"/>
      <c r="AG48" s="295" t="str">
        <f t="shared" si="5"/>
        <v/>
      </c>
      <c r="AH48" s="296" t="str">
        <f t="shared" si="6"/>
        <v/>
      </c>
      <c r="AI48" s="300" t="str">
        <f>IF(AH48="Check Data ⚠","Check Data ⚠",IFERROR(VLOOKUP(AH48,'G-4 Temporal multipliers'!$A$4:$C$36,3,FALSE),""))</f>
        <v/>
      </c>
      <c r="AJ48" s="311" t="str">
        <f>IF(S48="","",VLOOKUP(S48,'G-3 Multipliers'!$A$2:$E$134,4,FALSE))</f>
        <v/>
      </c>
      <c r="AK48" s="295" t="str">
        <f t="shared" si="7"/>
        <v/>
      </c>
      <c r="AL48" s="295" t="str">
        <f t="shared" si="8"/>
        <v/>
      </c>
      <c r="AM48" s="299" t="str">
        <f>IFERROR(IF(F48="","",IF(AH48="Check Data ⚠","Check Data ⚠",VLOOKUP(AL48,'G-3 Multipliers'!$P$2:$Q$6,2,FALSE))),"")</f>
        <v/>
      </c>
      <c r="AN48" s="712" t="str">
        <f>IF(E48="","",IF(ISNA(VLOOKUP($E48,'D-1 Off-Site Habitat Baseline'!$D$1:$Z$258,15,FALSE)),"",(VLOOKUP($E48,'D-1 Off-Site Habitat Baseline'!$D$1:$Z$258,15,FALSE))))</f>
        <v/>
      </c>
      <c r="AO48" s="329" t="str">
        <f>IF(AN48="","",IF(VLOOKUP(AN48,'G-3 Multipliers'!$S$3:$T$10,2,FALSE)=0,"Spatial Data Missing ⚠",VLOOKUP(AN48,'G-3 Multipliers'!$S$3:$T$10,2,FALSE)))</f>
        <v/>
      </c>
      <c r="AP48" s="289" t="str">
        <f t="shared" si="9"/>
        <v/>
      </c>
      <c r="AQ48" s="289" t="str">
        <f t="shared" si="10"/>
        <v/>
      </c>
      <c r="AR48" s="105"/>
      <c r="AS48" s="138"/>
      <c r="AT48" s="104"/>
      <c r="AU48" s="104"/>
      <c r="AY48" s="30" t="str">
        <f>IF(E48="","",IF(ISNA(VLOOKUP($E48,'D-1 Off-Site Habitat Baseline'!$D$1:$AV$258,4,FALSE)),"",(VLOOKUP($E48,'D-1 Off-Site Habitat Baseline'!$D$1:$AV$258,4,FALSE))))</f>
        <v/>
      </c>
    </row>
    <row r="49" spans="1:51" ht="14">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319" t="str">
        <f>'D-1 Off-Site Habitat Baseline'!AP48</f>
        <v/>
      </c>
      <c r="F49" s="283" t="str">
        <f>IF(E49="","",IF(ISNA(VLOOKUP($E49,'D-1 Off-Site Habitat Baseline'!$D$1:$ZZ$258,45,FALSE)),"",(VLOOKUP($E49,'D-1 Off-Site Habitat Baseline'!$D$1:$ZZ$258,45,FALSE))))</f>
        <v/>
      </c>
      <c r="G49" s="295" t="str">
        <f>IF(E49="","",IF(ISNA(VLOOKUP($E49,'D-1 Off-Site Habitat Baseline'!$D$1:$O$258,5,FALSE)),"",(VLOOKUP($E49,'D-1 Off-Site Habitat Baseline'!$D$1:$O$258,5,FALSE))))</f>
        <v/>
      </c>
      <c r="H49" s="295" t="str">
        <f>IF(E49="","",IF(ISNA(VLOOKUP($E49,'D-1 Off-Site Habitat Baseline'!$D$1:$O$258,6,FALSE)),"",(VLOOKUP($E49,'D-1 Off-Site Habitat Baseline'!$D$1:$O$258,6,FALSE))))</f>
        <v/>
      </c>
      <c r="I49" s="295" t="str">
        <f>IF(E49="","",IF(ISNA(VLOOKUP($E49,'D-1 Off-Site Habitat Baseline'!$D$1:$O$258,7,FALSE)),"",(VLOOKUP($E49,'D-1 Off-Site Habitat Baseline'!$D$1:$O$258,7,FALSE))))</f>
        <v/>
      </c>
      <c r="J49" s="295" t="str">
        <f>IF(E49="","",IF(ISNA(VLOOKUP($E49,'D-1 Off-Site Habitat Baseline'!$D$1:$O$258,8,FALSE)),"",(VLOOKUP($E49,'D-1 Off-Site Habitat Baseline'!$D$1:$O$258,8,FALSE))))</f>
        <v/>
      </c>
      <c r="K49" s="295" t="str">
        <f>IF(E49="","",IF(ISNA(VLOOKUP($E49,'D-1 Off-Site Habitat Baseline'!$D$1:$O$258,9,FALSE)),"",(VLOOKUP($E49,'D-1 Off-Site Habitat Baseline'!$D$1:$O$258,9,FALSE))))</f>
        <v/>
      </c>
      <c r="L49" s="295" t="str">
        <f>IF(E49="","",IF(ISNA(VLOOKUP($E49,'D-1 Off-Site Habitat Baseline'!$D$1:$O$258,11,FALSE)),"",(VLOOKUP($E49,'D-1 Off-Site Habitat Baseline'!$D$1:$O$258,11,FALSE))))</f>
        <v/>
      </c>
      <c r="M49" s="295" t="str">
        <f>IF(E49="","",IF(ISNA(VLOOKUP($E49,'D-1 Off-Site Habitat Baseline'!$D$1:$O$258,12,FALSE)),"",(VLOOKUP($E49,'D-1 Off-Site Habitat Baseline'!$D$1:$O$258,12,FALSE))))</f>
        <v/>
      </c>
      <c r="N49" s="295" t="str">
        <f>IF(E49="","",IF(ISNA(VLOOKUP($E49,'D-1 Off-Site Habitat Baseline'!$D$1:$AA$258,17,FALSE)),"",(VLOOKUP($E49,'D-1 Off-Site Habitat Baseline'!$D$1:$AA$258,17,FALSE))))</f>
        <v/>
      </c>
      <c r="O49" s="299" t="str">
        <f>IF(E49="","",IF(ISNA(VLOOKUP($E49,'D-1 Off-Site Habitat Baseline'!$D$1:$AA$258,13,FALSE)),"",(VLOOKUP($E49,'D-1 Off-Site Habitat Baseline'!$D$1:$AA$258,13,FALSE))))</f>
        <v/>
      </c>
      <c r="P49" s="148" t="str">
        <f>IFERROR(INDEX('G-1 All Habitats'!$AG$49:$AG$63,MATCH(Q49,'G-1 All Habitats'!$AF$27:$AF$41,0)),"")</f>
        <v/>
      </c>
      <c r="Q49" s="149" t="str">
        <f t="shared" si="0"/>
        <v/>
      </c>
      <c r="R49" s="150"/>
      <c r="S49" s="151" t="str">
        <f>IFERROR(INDEX('G-1 All Habitats'!$B$3:$B$135,MATCH(R49,'G-1 All Habitats'!$A$3:$A$135,0)),"")</f>
        <v/>
      </c>
      <c r="T49" s="283" t="str">
        <f t="shared" si="2"/>
        <v/>
      </c>
      <c r="U49" s="276" t="str">
        <f t="shared" si="3"/>
        <v/>
      </c>
      <c r="V49" s="298" t="str">
        <f t="shared" si="4"/>
        <v/>
      </c>
      <c r="W49" s="295" t="str">
        <f>IF(S49="","",VLOOKUP(S49,'G-1 All Habitats'!$B$2:$M$135,10,FALSE))</f>
        <v/>
      </c>
      <c r="X49" s="295" t="str">
        <f>IFERROR(VLOOKUP(W49,'G-1 All Habitats'!$V$3:$W$7,2,FALSE),"")</f>
        <v/>
      </c>
      <c r="Y49" s="138"/>
      <c r="Z49" s="299" t="str">
        <f>IFERROR(INDEX('G-8 Condition Look up'!$A$3:$H$135,MATCH(S49,'G-8 Condition Look up'!$A$3:$A$135,0),MATCH(Y49,'G-8 Condition Look up'!$A$3:$H$3,0)),"")</f>
        <v/>
      </c>
      <c r="AA49" s="101"/>
      <c r="AB49" s="314" t="str">
        <f>IF(AA49="","",IF(VLOOKUP(AA49,'G-3 Multipliers'!$L$3:$N$6,2,FALSE)=0,"Spatial Data Missing ⚠",VLOOKUP(AA49,'G-3 Multipliers'!$L$3:$N$6,2,FALSE)))</f>
        <v/>
      </c>
      <c r="AC49" s="299" t="str">
        <f>IF(AA49="","",IF(VLOOKUP(AA49,'G-3 Multipliers'!$L$3:$N$6,3,FALSE)=0,"Spatial Data Missing ⚠",VLOOKUP(AA49,'G-3 Multipliers'!$L$3:$N$6,3,FALSE)))</f>
        <v/>
      </c>
      <c r="AD49" s="311" t="str">
        <f t="shared" si="1"/>
        <v/>
      </c>
      <c r="AE49" s="138"/>
      <c r="AF49" s="138"/>
      <c r="AG49" s="295" t="str">
        <f t="shared" si="5"/>
        <v/>
      </c>
      <c r="AH49" s="296" t="str">
        <f t="shared" si="6"/>
        <v/>
      </c>
      <c r="AI49" s="300" t="str">
        <f>IF(AH49="Check Data ⚠","Check Data ⚠",IFERROR(VLOOKUP(AH49,'G-4 Temporal multipliers'!$A$4:$C$36,3,FALSE),""))</f>
        <v/>
      </c>
      <c r="AJ49" s="311" t="str">
        <f>IF(S49="","",VLOOKUP(S49,'G-3 Multipliers'!$A$2:$E$134,4,FALSE))</f>
        <v/>
      </c>
      <c r="AK49" s="295" t="str">
        <f t="shared" si="7"/>
        <v/>
      </c>
      <c r="AL49" s="295" t="str">
        <f t="shared" si="8"/>
        <v/>
      </c>
      <c r="AM49" s="299" t="str">
        <f>IFERROR(IF(F49="","",IF(AH49="Check Data ⚠","Check Data ⚠",VLOOKUP(AL49,'G-3 Multipliers'!$P$2:$Q$6,2,FALSE))),"")</f>
        <v/>
      </c>
      <c r="AN49" s="712" t="str">
        <f>IF(E49="","",IF(ISNA(VLOOKUP($E49,'D-1 Off-Site Habitat Baseline'!$D$1:$Z$258,15,FALSE)),"",(VLOOKUP($E49,'D-1 Off-Site Habitat Baseline'!$D$1:$Z$258,15,FALSE))))</f>
        <v/>
      </c>
      <c r="AO49" s="329" t="str">
        <f>IF(AN49="","",IF(VLOOKUP(AN49,'G-3 Multipliers'!$S$3:$T$10,2,FALSE)=0,"Spatial Data Missing ⚠",VLOOKUP(AN49,'G-3 Multipliers'!$S$3:$T$10,2,FALSE)))</f>
        <v/>
      </c>
      <c r="AP49" s="289" t="str">
        <f t="shared" si="9"/>
        <v/>
      </c>
      <c r="AQ49" s="289" t="str">
        <f t="shared" si="10"/>
        <v/>
      </c>
      <c r="AR49" s="105"/>
      <c r="AS49" s="138"/>
      <c r="AT49" s="104"/>
      <c r="AU49" s="104"/>
      <c r="AY49" s="30" t="str">
        <f>IF(E49="","",IF(ISNA(VLOOKUP($E49,'D-1 Off-Site Habitat Baseline'!$D$1:$AV$258,4,FALSE)),"",(VLOOKUP($E49,'D-1 Off-Site Habitat Baseline'!$D$1:$AV$258,4,FALSE))))</f>
        <v/>
      </c>
    </row>
    <row r="50" spans="1:51" ht="14">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319" t="str">
        <f>'D-1 Off-Site Habitat Baseline'!AP49</f>
        <v/>
      </c>
      <c r="F50" s="283" t="str">
        <f>IF(E50="","",IF(ISNA(VLOOKUP($E50,'D-1 Off-Site Habitat Baseline'!$D$1:$ZZ$258,45,FALSE)),"",(VLOOKUP($E50,'D-1 Off-Site Habitat Baseline'!$D$1:$ZZ$258,45,FALSE))))</f>
        <v/>
      </c>
      <c r="G50" s="295" t="str">
        <f>IF(E50="","",IF(ISNA(VLOOKUP($E50,'D-1 Off-Site Habitat Baseline'!$D$1:$O$258,5,FALSE)),"",(VLOOKUP($E50,'D-1 Off-Site Habitat Baseline'!$D$1:$O$258,5,FALSE))))</f>
        <v/>
      </c>
      <c r="H50" s="295" t="str">
        <f>IF(E50="","",IF(ISNA(VLOOKUP($E50,'D-1 Off-Site Habitat Baseline'!$D$1:$O$258,6,FALSE)),"",(VLOOKUP($E50,'D-1 Off-Site Habitat Baseline'!$D$1:$O$258,6,FALSE))))</f>
        <v/>
      </c>
      <c r="I50" s="295" t="str">
        <f>IF(E50="","",IF(ISNA(VLOOKUP($E50,'D-1 Off-Site Habitat Baseline'!$D$1:$O$258,7,FALSE)),"",(VLOOKUP($E50,'D-1 Off-Site Habitat Baseline'!$D$1:$O$258,7,FALSE))))</f>
        <v/>
      </c>
      <c r="J50" s="295" t="str">
        <f>IF(E50="","",IF(ISNA(VLOOKUP($E50,'D-1 Off-Site Habitat Baseline'!$D$1:$O$258,8,FALSE)),"",(VLOOKUP($E50,'D-1 Off-Site Habitat Baseline'!$D$1:$O$258,8,FALSE))))</f>
        <v/>
      </c>
      <c r="K50" s="295" t="str">
        <f>IF(E50="","",IF(ISNA(VLOOKUP($E50,'D-1 Off-Site Habitat Baseline'!$D$1:$O$258,9,FALSE)),"",(VLOOKUP($E50,'D-1 Off-Site Habitat Baseline'!$D$1:$O$258,9,FALSE))))</f>
        <v/>
      </c>
      <c r="L50" s="295" t="str">
        <f>IF(E50="","",IF(ISNA(VLOOKUP($E50,'D-1 Off-Site Habitat Baseline'!$D$1:$O$258,11,FALSE)),"",(VLOOKUP($E50,'D-1 Off-Site Habitat Baseline'!$D$1:$O$258,11,FALSE))))</f>
        <v/>
      </c>
      <c r="M50" s="295" t="str">
        <f>IF(E50="","",IF(ISNA(VLOOKUP($E50,'D-1 Off-Site Habitat Baseline'!$D$1:$O$258,12,FALSE)),"",(VLOOKUP($E50,'D-1 Off-Site Habitat Baseline'!$D$1:$O$258,12,FALSE))))</f>
        <v/>
      </c>
      <c r="N50" s="295" t="str">
        <f>IF(E50="","",IF(ISNA(VLOOKUP($E50,'D-1 Off-Site Habitat Baseline'!$D$1:$AA$258,17,FALSE)),"",(VLOOKUP($E50,'D-1 Off-Site Habitat Baseline'!$D$1:$AA$258,17,FALSE))))</f>
        <v/>
      </c>
      <c r="O50" s="299" t="str">
        <f>IF(E50="","",IF(ISNA(VLOOKUP($E50,'D-1 Off-Site Habitat Baseline'!$D$1:$AA$258,13,FALSE)),"",(VLOOKUP($E50,'D-1 Off-Site Habitat Baseline'!$D$1:$AA$258,13,FALSE))))</f>
        <v/>
      </c>
      <c r="P50" s="148" t="str">
        <f>IFERROR(INDEX('G-1 All Habitats'!$AG$49:$AG$63,MATCH(Q50,'G-1 All Habitats'!$AF$27:$AF$41,0)),"")</f>
        <v/>
      </c>
      <c r="Q50" s="149" t="str">
        <f t="shared" si="0"/>
        <v/>
      </c>
      <c r="R50" s="150"/>
      <c r="S50" s="151" t="str">
        <f>IFERROR(INDEX('G-1 All Habitats'!$B$3:$B$135,MATCH(R50,'G-1 All Habitats'!$A$3:$A$135,0)),"")</f>
        <v/>
      </c>
      <c r="T50" s="283" t="str">
        <f t="shared" si="2"/>
        <v/>
      </c>
      <c r="U50" s="276" t="str">
        <f t="shared" si="3"/>
        <v/>
      </c>
      <c r="V50" s="298" t="str">
        <f t="shared" si="4"/>
        <v/>
      </c>
      <c r="W50" s="295" t="str">
        <f>IF(S50="","",VLOOKUP(S50,'G-1 All Habitats'!$B$2:$M$135,10,FALSE))</f>
        <v/>
      </c>
      <c r="X50" s="295" t="str">
        <f>IFERROR(VLOOKUP(W50,'G-1 All Habitats'!$V$3:$W$7,2,FALSE),"")</f>
        <v/>
      </c>
      <c r="Y50" s="138"/>
      <c r="Z50" s="299" t="str">
        <f>IFERROR(INDEX('G-8 Condition Look up'!$A$3:$H$135,MATCH(S50,'G-8 Condition Look up'!$A$3:$A$135,0),MATCH(Y50,'G-8 Condition Look up'!$A$3:$H$3,0)),"")</f>
        <v/>
      </c>
      <c r="AA50" s="101"/>
      <c r="AB50" s="314" t="str">
        <f>IF(AA50="","",IF(VLOOKUP(AA50,'G-3 Multipliers'!$L$3:$N$6,2,FALSE)=0,"Spatial Data Missing ⚠",VLOOKUP(AA50,'G-3 Multipliers'!$L$3:$N$6,2,FALSE)))</f>
        <v/>
      </c>
      <c r="AC50" s="299" t="str">
        <f>IF(AA50="","",IF(VLOOKUP(AA50,'G-3 Multipliers'!$L$3:$N$6,3,FALSE)=0,"Spatial Data Missing ⚠",VLOOKUP(AA50,'G-3 Multipliers'!$L$3:$N$6,3,FALSE)))</f>
        <v/>
      </c>
      <c r="AD50" s="311" t="str">
        <f t="shared" si="1"/>
        <v/>
      </c>
      <c r="AE50" s="138"/>
      <c r="AF50" s="138"/>
      <c r="AG50" s="295" t="str">
        <f t="shared" si="5"/>
        <v/>
      </c>
      <c r="AH50" s="296" t="str">
        <f t="shared" si="6"/>
        <v/>
      </c>
      <c r="AI50" s="300" t="str">
        <f>IF(AH50="Check Data ⚠","Check Data ⚠",IFERROR(VLOOKUP(AH50,'G-4 Temporal multipliers'!$A$4:$C$36,3,FALSE),""))</f>
        <v/>
      </c>
      <c r="AJ50" s="311" t="str">
        <f>IF(S50="","",VLOOKUP(S50,'G-3 Multipliers'!$A$2:$E$134,4,FALSE))</f>
        <v/>
      </c>
      <c r="AK50" s="295" t="str">
        <f t="shared" si="7"/>
        <v/>
      </c>
      <c r="AL50" s="295" t="str">
        <f t="shared" si="8"/>
        <v/>
      </c>
      <c r="AM50" s="299" t="str">
        <f>IFERROR(IF(F50="","",IF(AH50="Check Data ⚠","Check Data ⚠",VLOOKUP(AL50,'G-3 Multipliers'!$P$2:$Q$6,2,FALSE))),"")</f>
        <v/>
      </c>
      <c r="AN50" s="712" t="str">
        <f>IF(E50="","",IF(ISNA(VLOOKUP($E50,'D-1 Off-Site Habitat Baseline'!$D$1:$Z$258,15,FALSE)),"",(VLOOKUP($E50,'D-1 Off-Site Habitat Baseline'!$D$1:$Z$258,15,FALSE))))</f>
        <v/>
      </c>
      <c r="AO50" s="329" t="str">
        <f>IF(AN50="","",IF(VLOOKUP(AN50,'G-3 Multipliers'!$S$3:$T$10,2,FALSE)=0,"Spatial Data Missing ⚠",VLOOKUP(AN50,'G-3 Multipliers'!$S$3:$T$10,2,FALSE)))</f>
        <v/>
      </c>
      <c r="AP50" s="289" t="str">
        <f t="shared" si="9"/>
        <v/>
      </c>
      <c r="AQ50" s="289" t="str">
        <f t="shared" si="10"/>
        <v/>
      </c>
      <c r="AR50" s="105"/>
      <c r="AS50" s="138"/>
      <c r="AT50" s="104"/>
      <c r="AU50" s="104"/>
      <c r="AY50" s="30" t="str">
        <f>IF(E50="","",IF(ISNA(VLOOKUP($E50,'D-1 Off-Site Habitat Baseline'!$D$1:$AV$258,4,FALSE)),"",(VLOOKUP($E50,'D-1 Off-Site Habitat Baseline'!$D$1:$AV$258,4,FALSE))))</f>
        <v/>
      </c>
    </row>
    <row r="51" spans="1:51" ht="14">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319" t="str">
        <f>'D-1 Off-Site Habitat Baseline'!AP50</f>
        <v/>
      </c>
      <c r="F51" s="283" t="str">
        <f>IF(E51="","",IF(ISNA(VLOOKUP($E51,'D-1 Off-Site Habitat Baseline'!$D$1:$ZZ$258,45,FALSE)),"",(VLOOKUP($E51,'D-1 Off-Site Habitat Baseline'!$D$1:$ZZ$258,45,FALSE))))</f>
        <v/>
      </c>
      <c r="G51" s="295" t="str">
        <f>IF(E51="","",IF(ISNA(VLOOKUP($E51,'D-1 Off-Site Habitat Baseline'!$D$1:$O$258,5,FALSE)),"",(VLOOKUP($E51,'D-1 Off-Site Habitat Baseline'!$D$1:$O$258,5,FALSE))))</f>
        <v/>
      </c>
      <c r="H51" s="295" t="str">
        <f>IF(E51="","",IF(ISNA(VLOOKUP($E51,'D-1 Off-Site Habitat Baseline'!$D$1:$O$258,6,FALSE)),"",(VLOOKUP($E51,'D-1 Off-Site Habitat Baseline'!$D$1:$O$258,6,FALSE))))</f>
        <v/>
      </c>
      <c r="I51" s="295" t="str">
        <f>IF(E51="","",IF(ISNA(VLOOKUP($E51,'D-1 Off-Site Habitat Baseline'!$D$1:$O$258,7,FALSE)),"",(VLOOKUP($E51,'D-1 Off-Site Habitat Baseline'!$D$1:$O$258,7,FALSE))))</f>
        <v/>
      </c>
      <c r="J51" s="295" t="str">
        <f>IF(E51="","",IF(ISNA(VLOOKUP($E51,'D-1 Off-Site Habitat Baseline'!$D$1:$O$258,8,FALSE)),"",(VLOOKUP($E51,'D-1 Off-Site Habitat Baseline'!$D$1:$O$258,8,FALSE))))</f>
        <v/>
      </c>
      <c r="K51" s="295" t="str">
        <f>IF(E51="","",IF(ISNA(VLOOKUP($E51,'D-1 Off-Site Habitat Baseline'!$D$1:$O$258,9,FALSE)),"",(VLOOKUP($E51,'D-1 Off-Site Habitat Baseline'!$D$1:$O$258,9,FALSE))))</f>
        <v/>
      </c>
      <c r="L51" s="295" t="str">
        <f>IF(E51="","",IF(ISNA(VLOOKUP($E51,'D-1 Off-Site Habitat Baseline'!$D$1:$O$258,11,FALSE)),"",(VLOOKUP($E51,'D-1 Off-Site Habitat Baseline'!$D$1:$O$258,11,FALSE))))</f>
        <v/>
      </c>
      <c r="M51" s="295" t="str">
        <f>IF(E51="","",IF(ISNA(VLOOKUP($E51,'D-1 Off-Site Habitat Baseline'!$D$1:$O$258,12,FALSE)),"",(VLOOKUP($E51,'D-1 Off-Site Habitat Baseline'!$D$1:$O$258,12,FALSE))))</f>
        <v/>
      </c>
      <c r="N51" s="295" t="str">
        <f>IF(E51="","",IF(ISNA(VLOOKUP($E51,'D-1 Off-Site Habitat Baseline'!$D$1:$AA$258,17,FALSE)),"",(VLOOKUP($E51,'D-1 Off-Site Habitat Baseline'!$D$1:$AA$258,17,FALSE))))</f>
        <v/>
      </c>
      <c r="O51" s="299" t="str">
        <f>IF(E51="","",IF(ISNA(VLOOKUP($E51,'D-1 Off-Site Habitat Baseline'!$D$1:$AA$258,13,FALSE)),"",(VLOOKUP($E51,'D-1 Off-Site Habitat Baseline'!$D$1:$AA$258,13,FALSE))))</f>
        <v/>
      </c>
      <c r="P51" s="148" t="str">
        <f>IFERROR(INDEX('G-1 All Habitats'!$AG$49:$AG$63,MATCH(Q51,'G-1 All Habitats'!$AF$27:$AF$41,0)),"")</f>
        <v/>
      </c>
      <c r="Q51" s="149" t="str">
        <f t="shared" si="0"/>
        <v/>
      </c>
      <c r="R51" s="150"/>
      <c r="S51" s="151" t="str">
        <f>IFERROR(INDEX('G-1 All Habitats'!$B$3:$B$135,MATCH(R51,'G-1 All Habitats'!$A$3:$A$135,0)),"")</f>
        <v/>
      </c>
      <c r="T51" s="283" t="str">
        <f t="shared" si="2"/>
        <v/>
      </c>
      <c r="U51" s="276" t="str">
        <f t="shared" si="3"/>
        <v/>
      </c>
      <c r="V51" s="298" t="str">
        <f t="shared" si="4"/>
        <v/>
      </c>
      <c r="W51" s="295" t="str">
        <f>IF(S51="","",VLOOKUP(S51,'G-1 All Habitats'!$B$2:$M$135,10,FALSE))</f>
        <v/>
      </c>
      <c r="X51" s="295" t="str">
        <f>IFERROR(VLOOKUP(W51,'G-1 All Habitats'!$V$3:$W$7,2,FALSE),"")</f>
        <v/>
      </c>
      <c r="Y51" s="138"/>
      <c r="Z51" s="299" t="str">
        <f>IFERROR(INDEX('G-8 Condition Look up'!$A$3:$H$135,MATCH(S51,'G-8 Condition Look up'!$A$3:$A$135,0),MATCH(Y51,'G-8 Condition Look up'!$A$3:$H$3,0)),"")</f>
        <v/>
      </c>
      <c r="AA51" s="101"/>
      <c r="AB51" s="314" t="str">
        <f>IF(AA51="","",IF(VLOOKUP(AA51,'G-3 Multipliers'!$L$3:$N$6,2,FALSE)=0,"Spatial Data Missing ⚠",VLOOKUP(AA51,'G-3 Multipliers'!$L$3:$N$6,2,FALSE)))</f>
        <v/>
      </c>
      <c r="AC51" s="299" t="str">
        <f>IF(AA51="","",IF(VLOOKUP(AA51,'G-3 Multipliers'!$L$3:$N$6,3,FALSE)=0,"Spatial Data Missing ⚠",VLOOKUP(AA51,'G-3 Multipliers'!$L$3:$N$6,3,FALSE)))</f>
        <v/>
      </c>
      <c r="AD51" s="311" t="str">
        <f t="shared" si="1"/>
        <v/>
      </c>
      <c r="AE51" s="138"/>
      <c r="AF51" s="138"/>
      <c r="AG51" s="295" t="str">
        <f t="shared" si="5"/>
        <v/>
      </c>
      <c r="AH51" s="296" t="str">
        <f t="shared" si="6"/>
        <v/>
      </c>
      <c r="AI51" s="300" t="str">
        <f>IF(AH51="Check Data ⚠","Check Data ⚠",IFERROR(VLOOKUP(AH51,'G-4 Temporal multipliers'!$A$4:$C$36,3,FALSE),""))</f>
        <v/>
      </c>
      <c r="AJ51" s="311" t="str">
        <f>IF(S51="","",VLOOKUP(S51,'G-3 Multipliers'!$A$2:$E$134,4,FALSE))</f>
        <v/>
      </c>
      <c r="AK51" s="295" t="str">
        <f t="shared" si="7"/>
        <v/>
      </c>
      <c r="AL51" s="295" t="str">
        <f t="shared" si="8"/>
        <v/>
      </c>
      <c r="AM51" s="299" t="str">
        <f>IFERROR(IF(F51="","",IF(AH51="Check Data ⚠","Check Data ⚠",VLOOKUP(AL51,'G-3 Multipliers'!$P$2:$Q$6,2,FALSE))),"")</f>
        <v/>
      </c>
      <c r="AN51" s="712" t="str">
        <f>IF(E51="","",IF(ISNA(VLOOKUP($E51,'D-1 Off-Site Habitat Baseline'!$D$1:$Z$258,15,FALSE)),"",(VLOOKUP($E51,'D-1 Off-Site Habitat Baseline'!$D$1:$Z$258,15,FALSE))))</f>
        <v/>
      </c>
      <c r="AO51" s="329" t="str">
        <f>IF(AN51="","",IF(VLOOKUP(AN51,'G-3 Multipliers'!$S$3:$T$10,2,FALSE)=0,"Spatial Data Missing ⚠",VLOOKUP(AN51,'G-3 Multipliers'!$S$3:$T$10,2,FALSE)))</f>
        <v/>
      </c>
      <c r="AP51" s="289" t="str">
        <f t="shared" si="9"/>
        <v/>
      </c>
      <c r="AQ51" s="289" t="str">
        <f t="shared" si="10"/>
        <v/>
      </c>
      <c r="AR51" s="105"/>
      <c r="AS51" s="138"/>
      <c r="AT51" s="104"/>
      <c r="AU51" s="104"/>
      <c r="AY51" s="30" t="str">
        <f>IF(E51="","",IF(ISNA(VLOOKUP($E51,'D-1 Off-Site Habitat Baseline'!$D$1:$AV$258,4,FALSE)),"",(VLOOKUP($E51,'D-1 Off-Site Habitat Baseline'!$D$1:$AV$258,4,FALSE))))</f>
        <v/>
      </c>
    </row>
    <row r="52" spans="1:51" ht="14">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319" t="str">
        <f>'D-1 Off-Site Habitat Baseline'!AP51</f>
        <v/>
      </c>
      <c r="F52" s="283" t="str">
        <f>IF(E52="","",IF(ISNA(VLOOKUP($E52,'D-1 Off-Site Habitat Baseline'!$D$1:$ZZ$258,45,FALSE)),"",(VLOOKUP($E52,'D-1 Off-Site Habitat Baseline'!$D$1:$ZZ$258,45,FALSE))))</f>
        <v/>
      </c>
      <c r="G52" s="295" t="str">
        <f>IF(E52="","",IF(ISNA(VLOOKUP($E52,'D-1 Off-Site Habitat Baseline'!$D$1:$O$258,5,FALSE)),"",(VLOOKUP($E52,'D-1 Off-Site Habitat Baseline'!$D$1:$O$258,5,FALSE))))</f>
        <v/>
      </c>
      <c r="H52" s="295" t="str">
        <f>IF(E52="","",IF(ISNA(VLOOKUP($E52,'D-1 Off-Site Habitat Baseline'!$D$1:$O$258,6,FALSE)),"",(VLOOKUP($E52,'D-1 Off-Site Habitat Baseline'!$D$1:$O$258,6,FALSE))))</f>
        <v/>
      </c>
      <c r="I52" s="295" t="str">
        <f>IF(E52="","",IF(ISNA(VLOOKUP($E52,'D-1 Off-Site Habitat Baseline'!$D$1:$O$258,7,FALSE)),"",(VLOOKUP($E52,'D-1 Off-Site Habitat Baseline'!$D$1:$O$258,7,FALSE))))</f>
        <v/>
      </c>
      <c r="J52" s="295" t="str">
        <f>IF(E52="","",IF(ISNA(VLOOKUP($E52,'D-1 Off-Site Habitat Baseline'!$D$1:$O$258,8,FALSE)),"",(VLOOKUP($E52,'D-1 Off-Site Habitat Baseline'!$D$1:$O$258,8,FALSE))))</f>
        <v/>
      </c>
      <c r="K52" s="295" t="str">
        <f>IF(E52="","",IF(ISNA(VLOOKUP($E52,'D-1 Off-Site Habitat Baseline'!$D$1:$O$258,9,FALSE)),"",(VLOOKUP($E52,'D-1 Off-Site Habitat Baseline'!$D$1:$O$258,9,FALSE))))</f>
        <v/>
      </c>
      <c r="L52" s="295" t="str">
        <f>IF(E52="","",IF(ISNA(VLOOKUP($E52,'D-1 Off-Site Habitat Baseline'!$D$1:$O$258,11,FALSE)),"",(VLOOKUP($E52,'D-1 Off-Site Habitat Baseline'!$D$1:$O$258,11,FALSE))))</f>
        <v/>
      </c>
      <c r="M52" s="295" t="str">
        <f>IF(E52="","",IF(ISNA(VLOOKUP($E52,'D-1 Off-Site Habitat Baseline'!$D$1:$O$258,12,FALSE)),"",(VLOOKUP($E52,'D-1 Off-Site Habitat Baseline'!$D$1:$O$258,12,FALSE))))</f>
        <v/>
      </c>
      <c r="N52" s="295" t="str">
        <f>IF(E52="","",IF(ISNA(VLOOKUP($E52,'D-1 Off-Site Habitat Baseline'!$D$1:$AA$258,17,FALSE)),"",(VLOOKUP($E52,'D-1 Off-Site Habitat Baseline'!$D$1:$AA$258,17,FALSE))))</f>
        <v/>
      </c>
      <c r="O52" s="299" t="str">
        <f>IF(E52="","",IF(ISNA(VLOOKUP($E52,'D-1 Off-Site Habitat Baseline'!$D$1:$AA$258,13,FALSE)),"",(VLOOKUP($E52,'D-1 Off-Site Habitat Baseline'!$D$1:$AA$258,13,FALSE))))</f>
        <v/>
      </c>
      <c r="P52" s="148" t="str">
        <f>IFERROR(INDEX('G-1 All Habitats'!$AG$49:$AG$63,MATCH(Q52,'G-1 All Habitats'!$AF$27:$AF$41,0)),"")</f>
        <v/>
      </c>
      <c r="Q52" s="149" t="str">
        <f t="shared" si="0"/>
        <v/>
      </c>
      <c r="R52" s="150"/>
      <c r="S52" s="151" t="str">
        <f>IFERROR(INDEX('G-1 All Habitats'!$B$3:$B$135,MATCH(R52,'G-1 All Habitats'!$A$3:$A$135,0)),"")</f>
        <v/>
      </c>
      <c r="T52" s="283" t="str">
        <f t="shared" si="2"/>
        <v/>
      </c>
      <c r="U52" s="276" t="str">
        <f t="shared" si="3"/>
        <v/>
      </c>
      <c r="V52" s="298" t="str">
        <f t="shared" si="4"/>
        <v/>
      </c>
      <c r="W52" s="295" t="str">
        <f>IF(S52="","",VLOOKUP(S52,'G-1 All Habitats'!$B$2:$M$135,10,FALSE))</f>
        <v/>
      </c>
      <c r="X52" s="295" t="str">
        <f>IFERROR(VLOOKUP(W52,'G-1 All Habitats'!$V$3:$W$7,2,FALSE),"")</f>
        <v/>
      </c>
      <c r="Y52" s="138"/>
      <c r="Z52" s="299" t="str">
        <f>IFERROR(INDEX('G-8 Condition Look up'!$A$3:$H$135,MATCH(S52,'G-8 Condition Look up'!$A$3:$A$135,0),MATCH(Y52,'G-8 Condition Look up'!$A$3:$H$3,0)),"")</f>
        <v/>
      </c>
      <c r="AA52" s="101"/>
      <c r="AB52" s="314" t="str">
        <f>IF(AA52="","",IF(VLOOKUP(AA52,'G-3 Multipliers'!$L$3:$N$6,2,FALSE)=0,"Spatial Data Missing ⚠",VLOOKUP(AA52,'G-3 Multipliers'!$L$3:$N$6,2,FALSE)))</f>
        <v/>
      </c>
      <c r="AC52" s="299" t="str">
        <f>IF(AA52="","",IF(VLOOKUP(AA52,'G-3 Multipliers'!$L$3:$N$6,3,FALSE)=0,"Spatial Data Missing ⚠",VLOOKUP(AA52,'G-3 Multipliers'!$L$3:$N$6,3,FALSE)))</f>
        <v/>
      </c>
      <c r="AD52" s="311" t="str">
        <f t="shared" si="1"/>
        <v/>
      </c>
      <c r="AE52" s="138"/>
      <c r="AF52" s="138"/>
      <c r="AG52" s="295" t="str">
        <f t="shared" si="5"/>
        <v/>
      </c>
      <c r="AH52" s="296" t="str">
        <f t="shared" si="6"/>
        <v/>
      </c>
      <c r="AI52" s="300" t="str">
        <f>IF(AH52="Check Data ⚠","Check Data ⚠",IFERROR(VLOOKUP(AH52,'G-4 Temporal multipliers'!$A$4:$C$36,3,FALSE),""))</f>
        <v/>
      </c>
      <c r="AJ52" s="311" t="str">
        <f>IF(S52="","",VLOOKUP(S52,'G-3 Multipliers'!$A$2:$E$134,4,FALSE))</f>
        <v/>
      </c>
      <c r="AK52" s="295" t="str">
        <f t="shared" si="7"/>
        <v/>
      </c>
      <c r="AL52" s="295" t="str">
        <f t="shared" si="8"/>
        <v/>
      </c>
      <c r="AM52" s="299" t="str">
        <f>IFERROR(IF(F52="","",IF(AH52="Check Data ⚠","Check Data ⚠",VLOOKUP(AL52,'G-3 Multipliers'!$P$2:$Q$6,2,FALSE))),"")</f>
        <v/>
      </c>
      <c r="AN52" s="712" t="str">
        <f>IF(E52="","",IF(ISNA(VLOOKUP($E52,'D-1 Off-Site Habitat Baseline'!$D$1:$Z$258,15,FALSE)),"",(VLOOKUP($E52,'D-1 Off-Site Habitat Baseline'!$D$1:$Z$258,15,FALSE))))</f>
        <v/>
      </c>
      <c r="AO52" s="329" t="str">
        <f>IF(AN52="","",IF(VLOOKUP(AN52,'G-3 Multipliers'!$S$3:$T$10,2,FALSE)=0,"Spatial Data Missing ⚠",VLOOKUP(AN52,'G-3 Multipliers'!$S$3:$T$10,2,FALSE)))</f>
        <v/>
      </c>
      <c r="AP52" s="289" t="str">
        <f t="shared" si="9"/>
        <v/>
      </c>
      <c r="AQ52" s="289" t="str">
        <f t="shared" si="10"/>
        <v/>
      </c>
      <c r="AR52" s="105"/>
      <c r="AS52" s="138"/>
      <c r="AT52" s="104"/>
      <c r="AU52" s="104"/>
      <c r="AY52" s="30" t="str">
        <f>IF(E52="","",IF(ISNA(VLOOKUP($E52,'D-1 Off-Site Habitat Baseline'!$D$1:$AV$258,4,FALSE)),"",(VLOOKUP($E52,'D-1 Off-Site Habitat Baseline'!$D$1:$AV$258,4,FALSE))))</f>
        <v/>
      </c>
    </row>
    <row r="53" spans="1:51" ht="14">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319" t="str">
        <f>'D-1 Off-Site Habitat Baseline'!AP52</f>
        <v/>
      </c>
      <c r="F53" s="283" t="str">
        <f>IF(E53="","",IF(ISNA(VLOOKUP($E53,'D-1 Off-Site Habitat Baseline'!$D$1:$ZZ$258,45,FALSE)),"",(VLOOKUP($E53,'D-1 Off-Site Habitat Baseline'!$D$1:$ZZ$258,45,FALSE))))</f>
        <v/>
      </c>
      <c r="G53" s="295" t="str">
        <f>IF(E53="","",IF(ISNA(VLOOKUP($E53,'D-1 Off-Site Habitat Baseline'!$D$1:$O$258,5,FALSE)),"",(VLOOKUP($E53,'D-1 Off-Site Habitat Baseline'!$D$1:$O$258,5,FALSE))))</f>
        <v/>
      </c>
      <c r="H53" s="295" t="str">
        <f>IF(E53="","",IF(ISNA(VLOOKUP($E53,'D-1 Off-Site Habitat Baseline'!$D$1:$O$258,6,FALSE)),"",(VLOOKUP($E53,'D-1 Off-Site Habitat Baseline'!$D$1:$O$258,6,FALSE))))</f>
        <v/>
      </c>
      <c r="I53" s="295" t="str">
        <f>IF(E53="","",IF(ISNA(VLOOKUP($E53,'D-1 Off-Site Habitat Baseline'!$D$1:$O$258,7,FALSE)),"",(VLOOKUP($E53,'D-1 Off-Site Habitat Baseline'!$D$1:$O$258,7,FALSE))))</f>
        <v/>
      </c>
      <c r="J53" s="295" t="str">
        <f>IF(E53="","",IF(ISNA(VLOOKUP($E53,'D-1 Off-Site Habitat Baseline'!$D$1:$O$258,8,FALSE)),"",(VLOOKUP($E53,'D-1 Off-Site Habitat Baseline'!$D$1:$O$258,8,FALSE))))</f>
        <v/>
      </c>
      <c r="K53" s="295" t="str">
        <f>IF(E53="","",IF(ISNA(VLOOKUP($E53,'D-1 Off-Site Habitat Baseline'!$D$1:$O$258,9,FALSE)),"",(VLOOKUP($E53,'D-1 Off-Site Habitat Baseline'!$D$1:$O$258,9,FALSE))))</f>
        <v/>
      </c>
      <c r="L53" s="295" t="str">
        <f>IF(E53="","",IF(ISNA(VLOOKUP($E53,'D-1 Off-Site Habitat Baseline'!$D$1:$O$258,11,FALSE)),"",(VLOOKUP($E53,'D-1 Off-Site Habitat Baseline'!$D$1:$O$258,11,FALSE))))</f>
        <v/>
      </c>
      <c r="M53" s="295" t="str">
        <f>IF(E53="","",IF(ISNA(VLOOKUP($E53,'D-1 Off-Site Habitat Baseline'!$D$1:$O$258,12,FALSE)),"",(VLOOKUP($E53,'D-1 Off-Site Habitat Baseline'!$D$1:$O$258,12,FALSE))))</f>
        <v/>
      </c>
      <c r="N53" s="295" t="str">
        <f>IF(E53="","",IF(ISNA(VLOOKUP($E53,'D-1 Off-Site Habitat Baseline'!$D$1:$AA$258,17,FALSE)),"",(VLOOKUP($E53,'D-1 Off-Site Habitat Baseline'!$D$1:$AA$258,17,FALSE))))</f>
        <v/>
      </c>
      <c r="O53" s="299" t="str">
        <f>IF(E53="","",IF(ISNA(VLOOKUP($E53,'D-1 Off-Site Habitat Baseline'!$D$1:$AA$258,13,FALSE)),"",(VLOOKUP($E53,'D-1 Off-Site Habitat Baseline'!$D$1:$AA$258,13,FALSE))))</f>
        <v/>
      </c>
      <c r="P53" s="148" t="str">
        <f>IFERROR(INDEX('G-1 All Habitats'!$AG$49:$AG$63,MATCH(Q53,'G-1 All Habitats'!$AF$27:$AF$41,0)),"")</f>
        <v/>
      </c>
      <c r="Q53" s="149" t="str">
        <f t="shared" si="0"/>
        <v/>
      </c>
      <c r="R53" s="150"/>
      <c r="S53" s="151" t="str">
        <f>IFERROR(INDEX('G-1 All Habitats'!$B$3:$B$135,MATCH(R53,'G-1 All Habitats'!$A$3:$A$135,0)),"")</f>
        <v/>
      </c>
      <c r="T53" s="283" t="str">
        <f t="shared" si="2"/>
        <v/>
      </c>
      <c r="U53" s="276" t="str">
        <f t="shared" si="3"/>
        <v/>
      </c>
      <c r="V53" s="298" t="str">
        <f t="shared" si="4"/>
        <v/>
      </c>
      <c r="W53" s="295" t="str">
        <f>IF(S53="","",VLOOKUP(S53,'G-1 All Habitats'!$B$2:$M$135,10,FALSE))</f>
        <v/>
      </c>
      <c r="X53" s="295" t="str">
        <f>IFERROR(VLOOKUP(W53,'G-1 All Habitats'!$V$3:$W$7,2,FALSE),"")</f>
        <v/>
      </c>
      <c r="Y53" s="138"/>
      <c r="Z53" s="299" t="str">
        <f>IFERROR(INDEX('G-8 Condition Look up'!$A$3:$H$135,MATCH(S53,'G-8 Condition Look up'!$A$3:$A$135,0),MATCH(Y53,'G-8 Condition Look up'!$A$3:$H$3,0)),"")</f>
        <v/>
      </c>
      <c r="AA53" s="101"/>
      <c r="AB53" s="314" t="str">
        <f>IF(AA53="","",IF(VLOOKUP(AA53,'G-3 Multipliers'!$L$3:$N$6,2,FALSE)=0,"Spatial Data Missing ⚠",VLOOKUP(AA53,'G-3 Multipliers'!$L$3:$N$6,2,FALSE)))</f>
        <v/>
      </c>
      <c r="AC53" s="299" t="str">
        <f>IF(AA53="","",IF(VLOOKUP(AA53,'G-3 Multipliers'!$L$3:$N$6,3,FALSE)=0,"Spatial Data Missing ⚠",VLOOKUP(AA53,'G-3 Multipliers'!$L$3:$N$6,3,FALSE)))</f>
        <v/>
      </c>
      <c r="AD53" s="311" t="str">
        <f t="shared" si="1"/>
        <v/>
      </c>
      <c r="AE53" s="138"/>
      <c r="AF53" s="138"/>
      <c r="AG53" s="295" t="str">
        <f t="shared" si="5"/>
        <v/>
      </c>
      <c r="AH53" s="296" t="str">
        <f t="shared" si="6"/>
        <v/>
      </c>
      <c r="AI53" s="300" t="str">
        <f>IF(AH53="Check Data ⚠","Check Data ⚠",IFERROR(VLOOKUP(AH53,'G-4 Temporal multipliers'!$A$4:$C$36,3,FALSE),""))</f>
        <v/>
      </c>
      <c r="AJ53" s="311" t="str">
        <f>IF(S53="","",VLOOKUP(S53,'G-3 Multipliers'!$A$2:$E$134,4,FALSE))</f>
        <v/>
      </c>
      <c r="AK53" s="295" t="str">
        <f t="shared" si="7"/>
        <v/>
      </c>
      <c r="AL53" s="295" t="str">
        <f t="shared" si="8"/>
        <v/>
      </c>
      <c r="AM53" s="299" t="str">
        <f>IFERROR(IF(F53="","",IF(AH53="Check Data ⚠","Check Data ⚠",VLOOKUP(AL53,'G-3 Multipliers'!$P$2:$Q$6,2,FALSE))),"")</f>
        <v/>
      </c>
      <c r="AN53" s="712" t="str">
        <f>IF(E53="","",IF(ISNA(VLOOKUP($E53,'D-1 Off-Site Habitat Baseline'!$D$1:$Z$258,15,FALSE)),"",(VLOOKUP($E53,'D-1 Off-Site Habitat Baseline'!$D$1:$Z$258,15,FALSE))))</f>
        <v/>
      </c>
      <c r="AO53" s="329" t="str">
        <f>IF(AN53="","",IF(VLOOKUP(AN53,'G-3 Multipliers'!$S$3:$T$10,2,FALSE)=0,"Spatial Data Missing ⚠",VLOOKUP(AN53,'G-3 Multipliers'!$S$3:$T$10,2,FALSE)))</f>
        <v/>
      </c>
      <c r="AP53" s="289" t="str">
        <f t="shared" si="9"/>
        <v/>
      </c>
      <c r="AQ53" s="289" t="str">
        <f t="shared" si="10"/>
        <v/>
      </c>
      <c r="AR53" s="105"/>
      <c r="AS53" s="138"/>
      <c r="AT53" s="104"/>
      <c r="AU53" s="104"/>
      <c r="AY53" s="30" t="str">
        <f>IF(E53="","",IF(ISNA(VLOOKUP($E53,'D-1 Off-Site Habitat Baseline'!$D$1:$AV$258,4,FALSE)),"",(VLOOKUP($E53,'D-1 Off-Site Habitat Baseline'!$D$1:$AV$258,4,FALSE))))</f>
        <v/>
      </c>
    </row>
    <row r="54" spans="1:51" ht="14">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319" t="str">
        <f>'D-1 Off-Site Habitat Baseline'!AP53</f>
        <v/>
      </c>
      <c r="F54" s="283" t="str">
        <f>IF(E54="","",IF(ISNA(VLOOKUP($E54,'D-1 Off-Site Habitat Baseline'!$D$1:$ZZ$258,45,FALSE)),"",(VLOOKUP($E54,'D-1 Off-Site Habitat Baseline'!$D$1:$ZZ$258,45,FALSE))))</f>
        <v/>
      </c>
      <c r="G54" s="295" t="str">
        <f>IF(E54="","",IF(ISNA(VLOOKUP($E54,'D-1 Off-Site Habitat Baseline'!$D$1:$O$258,5,FALSE)),"",(VLOOKUP($E54,'D-1 Off-Site Habitat Baseline'!$D$1:$O$258,5,FALSE))))</f>
        <v/>
      </c>
      <c r="H54" s="295" t="str">
        <f>IF(E54="","",IF(ISNA(VLOOKUP($E54,'D-1 Off-Site Habitat Baseline'!$D$1:$O$258,6,FALSE)),"",(VLOOKUP($E54,'D-1 Off-Site Habitat Baseline'!$D$1:$O$258,6,FALSE))))</f>
        <v/>
      </c>
      <c r="I54" s="295" t="str">
        <f>IF(E54="","",IF(ISNA(VLOOKUP($E54,'D-1 Off-Site Habitat Baseline'!$D$1:$O$258,7,FALSE)),"",(VLOOKUP($E54,'D-1 Off-Site Habitat Baseline'!$D$1:$O$258,7,FALSE))))</f>
        <v/>
      </c>
      <c r="J54" s="295" t="str">
        <f>IF(E54="","",IF(ISNA(VLOOKUP($E54,'D-1 Off-Site Habitat Baseline'!$D$1:$O$258,8,FALSE)),"",(VLOOKUP($E54,'D-1 Off-Site Habitat Baseline'!$D$1:$O$258,8,FALSE))))</f>
        <v/>
      </c>
      <c r="K54" s="295" t="str">
        <f>IF(E54="","",IF(ISNA(VLOOKUP($E54,'D-1 Off-Site Habitat Baseline'!$D$1:$O$258,9,FALSE)),"",(VLOOKUP($E54,'D-1 Off-Site Habitat Baseline'!$D$1:$O$258,9,FALSE))))</f>
        <v/>
      </c>
      <c r="L54" s="295" t="str">
        <f>IF(E54="","",IF(ISNA(VLOOKUP($E54,'D-1 Off-Site Habitat Baseline'!$D$1:$O$258,11,FALSE)),"",(VLOOKUP($E54,'D-1 Off-Site Habitat Baseline'!$D$1:$O$258,11,FALSE))))</f>
        <v/>
      </c>
      <c r="M54" s="295" t="str">
        <f>IF(E54="","",IF(ISNA(VLOOKUP($E54,'D-1 Off-Site Habitat Baseline'!$D$1:$O$258,12,FALSE)),"",(VLOOKUP($E54,'D-1 Off-Site Habitat Baseline'!$D$1:$O$258,12,FALSE))))</f>
        <v/>
      </c>
      <c r="N54" s="295" t="str">
        <f>IF(E54="","",IF(ISNA(VLOOKUP($E54,'D-1 Off-Site Habitat Baseline'!$D$1:$AA$258,17,FALSE)),"",(VLOOKUP($E54,'D-1 Off-Site Habitat Baseline'!$D$1:$AA$258,17,FALSE))))</f>
        <v/>
      </c>
      <c r="O54" s="299" t="str">
        <f>IF(E54="","",IF(ISNA(VLOOKUP($E54,'D-1 Off-Site Habitat Baseline'!$D$1:$AA$258,13,FALSE)),"",(VLOOKUP($E54,'D-1 Off-Site Habitat Baseline'!$D$1:$AA$258,13,FALSE))))</f>
        <v/>
      </c>
      <c r="P54" s="148" t="str">
        <f>IFERROR(INDEX('G-1 All Habitats'!$AG$49:$AG$63,MATCH(Q54,'G-1 All Habitats'!$AF$27:$AF$41,0)),"")</f>
        <v/>
      </c>
      <c r="Q54" s="149" t="str">
        <f t="shared" si="0"/>
        <v/>
      </c>
      <c r="R54" s="150"/>
      <c r="S54" s="151" t="str">
        <f>IFERROR(INDEX('G-1 All Habitats'!$B$3:$B$135,MATCH(R54,'G-1 All Habitats'!$A$3:$A$135,0)),"")</f>
        <v/>
      </c>
      <c r="T54" s="283" t="str">
        <f t="shared" si="2"/>
        <v/>
      </c>
      <c r="U54" s="276" t="str">
        <f t="shared" si="3"/>
        <v/>
      </c>
      <c r="V54" s="298" t="str">
        <f t="shared" si="4"/>
        <v/>
      </c>
      <c r="W54" s="295" t="str">
        <f>IF(S54="","",VLOOKUP(S54,'G-1 All Habitats'!$B$2:$M$135,10,FALSE))</f>
        <v/>
      </c>
      <c r="X54" s="295" t="str">
        <f>IFERROR(VLOOKUP(W54,'G-1 All Habitats'!$V$3:$W$7,2,FALSE),"")</f>
        <v/>
      </c>
      <c r="Y54" s="138"/>
      <c r="Z54" s="299" t="str">
        <f>IFERROR(INDEX('G-8 Condition Look up'!$A$3:$H$135,MATCH(S54,'G-8 Condition Look up'!$A$3:$A$135,0),MATCH(Y54,'G-8 Condition Look up'!$A$3:$H$3,0)),"")</f>
        <v/>
      </c>
      <c r="AA54" s="101"/>
      <c r="AB54" s="314" t="str">
        <f>IF(AA54="","",IF(VLOOKUP(AA54,'G-3 Multipliers'!$L$3:$N$6,2,FALSE)=0,"Spatial Data Missing ⚠",VLOOKUP(AA54,'G-3 Multipliers'!$L$3:$N$6,2,FALSE)))</f>
        <v/>
      </c>
      <c r="AC54" s="299" t="str">
        <f>IF(AA54="","",IF(VLOOKUP(AA54,'G-3 Multipliers'!$L$3:$N$6,3,FALSE)=0,"Spatial Data Missing ⚠",VLOOKUP(AA54,'G-3 Multipliers'!$L$3:$N$6,3,FALSE)))</f>
        <v/>
      </c>
      <c r="AD54" s="311" t="str">
        <f t="shared" si="1"/>
        <v/>
      </c>
      <c r="AE54" s="138"/>
      <c r="AF54" s="138"/>
      <c r="AG54" s="295" t="str">
        <f t="shared" si="5"/>
        <v/>
      </c>
      <c r="AH54" s="296" t="str">
        <f t="shared" si="6"/>
        <v/>
      </c>
      <c r="AI54" s="300" t="str">
        <f>IF(AH54="Check Data ⚠","Check Data ⚠",IFERROR(VLOOKUP(AH54,'G-4 Temporal multipliers'!$A$4:$C$36,3,FALSE),""))</f>
        <v/>
      </c>
      <c r="AJ54" s="311" t="str">
        <f>IF(S54="","",VLOOKUP(S54,'G-3 Multipliers'!$A$2:$E$134,4,FALSE))</f>
        <v/>
      </c>
      <c r="AK54" s="295" t="str">
        <f t="shared" si="7"/>
        <v/>
      </c>
      <c r="AL54" s="295" t="str">
        <f t="shared" si="8"/>
        <v/>
      </c>
      <c r="AM54" s="299" t="str">
        <f>IFERROR(IF(F54="","",IF(AH54="Check Data ⚠","Check Data ⚠",VLOOKUP(AL54,'G-3 Multipliers'!$P$2:$Q$6,2,FALSE))),"")</f>
        <v/>
      </c>
      <c r="AN54" s="712" t="str">
        <f>IF(E54="","",IF(ISNA(VLOOKUP($E54,'D-1 Off-Site Habitat Baseline'!$D$1:$Z$258,15,FALSE)),"",(VLOOKUP($E54,'D-1 Off-Site Habitat Baseline'!$D$1:$Z$258,15,FALSE))))</f>
        <v/>
      </c>
      <c r="AO54" s="329" t="str">
        <f>IF(AN54="","",IF(VLOOKUP(AN54,'G-3 Multipliers'!$S$3:$T$10,2,FALSE)=0,"Spatial Data Missing ⚠",VLOOKUP(AN54,'G-3 Multipliers'!$S$3:$T$10,2,FALSE)))</f>
        <v/>
      </c>
      <c r="AP54" s="289" t="str">
        <f t="shared" si="9"/>
        <v/>
      </c>
      <c r="AQ54" s="289" t="str">
        <f t="shared" si="10"/>
        <v/>
      </c>
      <c r="AR54" s="105"/>
      <c r="AS54" s="138"/>
      <c r="AT54" s="104"/>
      <c r="AU54" s="104"/>
      <c r="AY54" s="30" t="str">
        <f>IF(E54="","",IF(ISNA(VLOOKUP($E54,'D-1 Off-Site Habitat Baseline'!$D$1:$AV$258,4,FALSE)),"",(VLOOKUP($E54,'D-1 Off-Site Habitat Baseline'!$D$1:$AV$258,4,FALSE))))</f>
        <v/>
      </c>
    </row>
    <row r="55" spans="1:51" ht="14">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319" t="str">
        <f>'D-1 Off-Site Habitat Baseline'!AP54</f>
        <v/>
      </c>
      <c r="F55" s="283" t="str">
        <f>IF(E55="","",IF(ISNA(VLOOKUP($E55,'D-1 Off-Site Habitat Baseline'!$D$1:$ZZ$258,45,FALSE)),"",(VLOOKUP($E55,'D-1 Off-Site Habitat Baseline'!$D$1:$ZZ$258,45,FALSE))))</f>
        <v/>
      </c>
      <c r="G55" s="295" t="str">
        <f>IF(E55="","",IF(ISNA(VLOOKUP($E55,'D-1 Off-Site Habitat Baseline'!$D$1:$O$258,5,FALSE)),"",(VLOOKUP($E55,'D-1 Off-Site Habitat Baseline'!$D$1:$O$258,5,FALSE))))</f>
        <v/>
      </c>
      <c r="H55" s="295" t="str">
        <f>IF(E55="","",IF(ISNA(VLOOKUP($E55,'D-1 Off-Site Habitat Baseline'!$D$1:$O$258,6,FALSE)),"",(VLOOKUP($E55,'D-1 Off-Site Habitat Baseline'!$D$1:$O$258,6,FALSE))))</f>
        <v/>
      </c>
      <c r="I55" s="295" t="str">
        <f>IF(E55="","",IF(ISNA(VLOOKUP($E55,'D-1 Off-Site Habitat Baseline'!$D$1:$O$258,7,FALSE)),"",(VLOOKUP($E55,'D-1 Off-Site Habitat Baseline'!$D$1:$O$258,7,FALSE))))</f>
        <v/>
      </c>
      <c r="J55" s="295" t="str">
        <f>IF(E55="","",IF(ISNA(VLOOKUP($E55,'D-1 Off-Site Habitat Baseline'!$D$1:$O$258,8,FALSE)),"",(VLOOKUP($E55,'D-1 Off-Site Habitat Baseline'!$D$1:$O$258,8,FALSE))))</f>
        <v/>
      </c>
      <c r="K55" s="295" t="str">
        <f>IF(E55="","",IF(ISNA(VLOOKUP($E55,'D-1 Off-Site Habitat Baseline'!$D$1:$O$258,9,FALSE)),"",(VLOOKUP($E55,'D-1 Off-Site Habitat Baseline'!$D$1:$O$258,9,FALSE))))</f>
        <v/>
      </c>
      <c r="L55" s="295" t="str">
        <f>IF(E55="","",IF(ISNA(VLOOKUP($E55,'D-1 Off-Site Habitat Baseline'!$D$1:$O$258,11,FALSE)),"",(VLOOKUP($E55,'D-1 Off-Site Habitat Baseline'!$D$1:$O$258,11,FALSE))))</f>
        <v/>
      </c>
      <c r="M55" s="295" t="str">
        <f>IF(E55="","",IF(ISNA(VLOOKUP($E55,'D-1 Off-Site Habitat Baseline'!$D$1:$O$258,12,FALSE)),"",(VLOOKUP($E55,'D-1 Off-Site Habitat Baseline'!$D$1:$O$258,12,FALSE))))</f>
        <v/>
      </c>
      <c r="N55" s="295" t="str">
        <f>IF(E55="","",IF(ISNA(VLOOKUP($E55,'D-1 Off-Site Habitat Baseline'!$D$1:$AA$258,17,FALSE)),"",(VLOOKUP($E55,'D-1 Off-Site Habitat Baseline'!$D$1:$AA$258,17,FALSE))))</f>
        <v/>
      </c>
      <c r="O55" s="299" t="str">
        <f>IF(E55="","",IF(ISNA(VLOOKUP($E55,'D-1 Off-Site Habitat Baseline'!$D$1:$AA$258,13,FALSE)),"",(VLOOKUP($E55,'D-1 Off-Site Habitat Baseline'!$D$1:$AA$258,13,FALSE))))</f>
        <v/>
      </c>
      <c r="P55" s="148" t="str">
        <f>IFERROR(INDEX('G-1 All Habitats'!$AG$49:$AG$63,MATCH(Q55,'G-1 All Habitats'!$AF$27:$AF$41,0)),"")</f>
        <v/>
      </c>
      <c r="Q55" s="149" t="str">
        <f t="shared" si="0"/>
        <v/>
      </c>
      <c r="R55" s="150"/>
      <c r="S55" s="151" t="str">
        <f>IFERROR(INDEX('G-1 All Habitats'!$B$3:$B$135,MATCH(R55,'G-1 All Habitats'!$A$3:$A$135,0)),"")</f>
        <v/>
      </c>
      <c r="T55" s="283" t="str">
        <f t="shared" si="2"/>
        <v/>
      </c>
      <c r="U55" s="276" t="str">
        <f t="shared" si="3"/>
        <v/>
      </c>
      <c r="V55" s="298" t="str">
        <f t="shared" si="4"/>
        <v/>
      </c>
      <c r="W55" s="295" t="str">
        <f>IF(S55="","",VLOOKUP(S55,'G-1 All Habitats'!$B$2:$M$135,10,FALSE))</f>
        <v/>
      </c>
      <c r="X55" s="295" t="str">
        <f>IFERROR(VLOOKUP(W55,'G-1 All Habitats'!$V$3:$W$7,2,FALSE),"")</f>
        <v/>
      </c>
      <c r="Y55" s="138"/>
      <c r="Z55" s="299" t="str">
        <f>IFERROR(INDEX('G-8 Condition Look up'!$A$3:$H$135,MATCH(S55,'G-8 Condition Look up'!$A$3:$A$135,0),MATCH(Y55,'G-8 Condition Look up'!$A$3:$H$3,0)),"")</f>
        <v/>
      </c>
      <c r="AA55" s="101"/>
      <c r="AB55" s="314" t="str">
        <f>IF(AA55="","",IF(VLOOKUP(AA55,'G-3 Multipliers'!$L$3:$N$6,2,FALSE)=0,"Spatial Data Missing ⚠",VLOOKUP(AA55,'G-3 Multipliers'!$L$3:$N$6,2,FALSE)))</f>
        <v/>
      </c>
      <c r="AC55" s="299" t="str">
        <f>IF(AA55="","",IF(VLOOKUP(AA55,'G-3 Multipliers'!$L$3:$N$6,3,FALSE)=0,"Spatial Data Missing ⚠",VLOOKUP(AA55,'G-3 Multipliers'!$L$3:$N$6,3,FALSE)))</f>
        <v/>
      </c>
      <c r="AD55" s="311" t="str">
        <f t="shared" si="1"/>
        <v/>
      </c>
      <c r="AE55" s="138"/>
      <c r="AF55" s="138"/>
      <c r="AG55" s="295" t="str">
        <f t="shared" si="5"/>
        <v/>
      </c>
      <c r="AH55" s="296" t="str">
        <f t="shared" si="6"/>
        <v/>
      </c>
      <c r="AI55" s="300" t="str">
        <f>IF(AH55="Check Data ⚠","Check Data ⚠",IFERROR(VLOOKUP(AH55,'G-4 Temporal multipliers'!$A$4:$C$36,3,FALSE),""))</f>
        <v/>
      </c>
      <c r="AJ55" s="311" t="str">
        <f>IF(S55="","",VLOOKUP(S55,'G-3 Multipliers'!$A$2:$E$134,4,FALSE))</f>
        <v/>
      </c>
      <c r="AK55" s="295" t="str">
        <f t="shared" si="7"/>
        <v/>
      </c>
      <c r="AL55" s="295" t="str">
        <f t="shared" si="8"/>
        <v/>
      </c>
      <c r="AM55" s="299" t="str">
        <f>IFERROR(IF(F55="","",IF(AH55="Check Data ⚠","Check Data ⚠",VLOOKUP(AL55,'G-3 Multipliers'!$P$2:$Q$6,2,FALSE))),"")</f>
        <v/>
      </c>
      <c r="AN55" s="712" t="str">
        <f>IF(E55="","",IF(ISNA(VLOOKUP($E55,'D-1 Off-Site Habitat Baseline'!$D$1:$Z$258,15,FALSE)),"",(VLOOKUP($E55,'D-1 Off-Site Habitat Baseline'!$D$1:$Z$258,15,FALSE))))</f>
        <v/>
      </c>
      <c r="AO55" s="329" t="str">
        <f>IF(AN55="","",IF(VLOOKUP(AN55,'G-3 Multipliers'!$S$3:$T$10,2,FALSE)=0,"Spatial Data Missing ⚠",VLOOKUP(AN55,'G-3 Multipliers'!$S$3:$T$10,2,FALSE)))</f>
        <v/>
      </c>
      <c r="AP55" s="289" t="str">
        <f t="shared" si="9"/>
        <v/>
      </c>
      <c r="AQ55" s="289" t="str">
        <f t="shared" si="10"/>
        <v/>
      </c>
      <c r="AR55" s="105"/>
      <c r="AS55" s="138"/>
      <c r="AT55" s="104"/>
      <c r="AU55" s="104"/>
      <c r="AY55" s="30" t="str">
        <f>IF(E55="","",IF(ISNA(VLOOKUP($E55,'D-1 Off-Site Habitat Baseline'!$D$1:$AV$258,4,FALSE)),"",(VLOOKUP($E55,'D-1 Off-Site Habitat Baseline'!$D$1:$AV$258,4,FALSE))))</f>
        <v/>
      </c>
    </row>
    <row r="56" spans="1:51" ht="14">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319" t="str">
        <f>'D-1 Off-Site Habitat Baseline'!AP55</f>
        <v/>
      </c>
      <c r="F56" s="283" t="str">
        <f>IF(E56="","",IF(ISNA(VLOOKUP($E56,'D-1 Off-Site Habitat Baseline'!$D$1:$ZZ$258,45,FALSE)),"",(VLOOKUP($E56,'D-1 Off-Site Habitat Baseline'!$D$1:$ZZ$258,45,FALSE))))</f>
        <v/>
      </c>
      <c r="G56" s="295" t="str">
        <f>IF(E56="","",IF(ISNA(VLOOKUP($E56,'D-1 Off-Site Habitat Baseline'!$D$1:$O$258,5,FALSE)),"",(VLOOKUP($E56,'D-1 Off-Site Habitat Baseline'!$D$1:$O$258,5,FALSE))))</f>
        <v/>
      </c>
      <c r="H56" s="295" t="str">
        <f>IF(E56="","",IF(ISNA(VLOOKUP($E56,'D-1 Off-Site Habitat Baseline'!$D$1:$O$258,6,FALSE)),"",(VLOOKUP($E56,'D-1 Off-Site Habitat Baseline'!$D$1:$O$258,6,FALSE))))</f>
        <v/>
      </c>
      <c r="I56" s="295" t="str">
        <f>IF(E56="","",IF(ISNA(VLOOKUP($E56,'D-1 Off-Site Habitat Baseline'!$D$1:$O$258,7,FALSE)),"",(VLOOKUP($E56,'D-1 Off-Site Habitat Baseline'!$D$1:$O$258,7,FALSE))))</f>
        <v/>
      </c>
      <c r="J56" s="295" t="str">
        <f>IF(E56="","",IF(ISNA(VLOOKUP($E56,'D-1 Off-Site Habitat Baseline'!$D$1:$O$258,8,FALSE)),"",(VLOOKUP($E56,'D-1 Off-Site Habitat Baseline'!$D$1:$O$258,8,FALSE))))</f>
        <v/>
      </c>
      <c r="K56" s="295" t="str">
        <f>IF(E56="","",IF(ISNA(VLOOKUP($E56,'D-1 Off-Site Habitat Baseline'!$D$1:$O$258,9,FALSE)),"",(VLOOKUP($E56,'D-1 Off-Site Habitat Baseline'!$D$1:$O$258,9,FALSE))))</f>
        <v/>
      </c>
      <c r="L56" s="295" t="str">
        <f>IF(E56="","",IF(ISNA(VLOOKUP($E56,'D-1 Off-Site Habitat Baseline'!$D$1:$O$258,11,FALSE)),"",(VLOOKUP($E56,'D-1 Off-Site Habitat Baseline'!$D$1:$O$258,11,FALSE))))</f>
        <v/>
      </c>
      <c r="M56" s="295" t="str">
        <f>IF(E56="","",IF(ISNA(VLOOKUP($E56,'D-1 Off-Site Habitat Baseline'!$D$1:$O$258,12,FALSE)),"",(VLOOKUP($E56,'D-1 Off-Site Habitat Baseline'!$D$1:$O$258,12,FALSE))))</f>
        <v/>
      </c>
      <c r="N56" s="295" t="str">
        <f>IF(E56="","",IF(ISNA(VLOOKUP($E56,'D-1 Off-Site Habitat Baseline'!$D$1:$AA$258,17,FALSE)),"",(VLOOKUP($E56,'D-1 Off-Site Habitat Baseline'!$D$1:$AA$258,17,FALSE))))</f>
        <v/>
      </c>
      <c r="O56" s="299" t="str">
        <f>IF(E56="","",IF(ISNA(VLOOKUP($E56,'D-1 Off-Site Habitat Baseline'!$D$1:$AA$258,13,FALSE)),"",(VLOOKUP($E56,'D-1 Off-Site Habitat Baseline'!$D$1:$AA$258,13,FALSE))))</f>
        <v/>
      </c>
      <c r="P56" s="148" t="str">
        <f>IFERROR(INDEX('G-1 All Habitats'!$AG$49:$AG$63,MATCH(Q56,'G-1 All Habitats'!$AF$27:$AF$41,0)),"")</f>
        <v/>
      </c>
      <c r="Q56" s="149" t="str">
        <f t="shared" si="0"/>
        <v/>
      </c>
      <c r="R56" s="150"/>
      <c r="S56" s="151" t="str">
        <f>IFERROR(INDEX('G-1 All Habitats'!$B$3:$B$135,MATCH(R56,'G-1 All Habitats'!$A$3:$A$135,0)),"")</f>
        <v/>
      </c>
      <c r="T56" s="283" t="str">
        <f t="shared" si="2"/>
        <v/>
      </c>
      <c r="U56" s="276" t="str">
        <f t="shared" si="3"/>
        <v/>
      </c>
      <c r="V56" s="298" t="str">
        <f t="shared" si="4"/>
        <v/>
      </c>
      <c r="W56" s="295" t="str">
        <f>IF(S56="","",VLOOKUP(S56,'G-1 All Habitats'!$B$2:$M$135,10,FALSE))</f>
        <v/>
      </c>
      <c r="X56" s="295" t="str">
        <f>IFERROR(VLOOKUP(W56,'G-1 All Habitats'!$V$3:$W$7,2,FALSE),"")</f>
        <v/>
      </c>
      <c r="Y56" s="138"/>
      <c r="Z56" s="299" t="str">
        <f>IFERROR(INDEX('G-8 Condition Look up'!$A$3:$H$135,MATCH(S56,'G-8 Condition Look up'!$A$3:$A$135,0),MATCH(Y56,'G-8 Condition Look up'!$A$3:$H$3,0)),"")</f>
        <v/>
      </c>
      <c r="AA56" s="101"/>
      <c r="AB56" s="314" t="str">
        <f>IF(AA56="","",IF(VLOOKUP(AA56,'G-3 Multipliers'!$L$3:$N$6,2,FALSE)=0,"Spatial Data Missing ⚠",VLOOKUP(AA56,'G-3 Multipliers'!$L$3:$N$6,2,FALSE)))</f>
        <v/>
      </c>
      <c r="AC56" s="299" t="str">
        <f>IF(AA56="","",IF(VLOOKUP(AA56,'G-3 Multipliers'!$L$3:$N$6,3,FALSE)=0,"Spatial Data Missing ⚠",VLOOKUP(AA56,'G-3 Multipliers'!$L$3:$N$6,3,FALSE)))</f>
        <v/>
      </c>
      <c r="AD56" s="311" t="str">
        <f t="shared" si="1"/>
        <v/>
      </c>
      <c r="AE56" s="138"/>
      <c r="AF56" s="138"/>
      <c r="AG56" s="295" t="str">
        <f t="shared" si="5"/>
        <v/>
      </c>
      <c r="AH56" s="296" t="str">
        <f t="shared" si="6"/>
        <v/>
      </c>
      <c r="AI56" s="300" t="str">
        <f>IF(AH56="Check Data ⚠","Check Data ⚠",IFERROR(VLOOKUP(AH56,'G-4 Temporal multipliers'!$A$4:$C$36,3,FALSE),""))</f>
        <v/>
      </c>
      <c r="AJ56" s="311" t="str">
        <f>IF(S56="","",VLOOKUP(S56,'G-3 Multipliers'!$A$2:$E$134,4,FALSE))</f>
        <v/>
      </c>
      <c r="AK56" s="295" t="str">
        <f t="shared" si="7"/>
        <v/>
      </c>
      <c r="AL56" s="295" t="str">
        <f t="shared" si="8"/>
        <v/>
      </c>
      <c r="AM56" s="299" t="str">
        <f>IFERROR(IF(F56="","",IF(AH56="Check Data ⚠","Check Data ⚠",VLOOKUP(AL56,'G-3 Multipliers'!$P$2:$Q$6,2,FALSE))),"")</f>
        <v/>
      </c>
      <c r="AN56" s="712" t="str">
        <f>IF(E56="","",IF(ISNA(VLOOKUP($E56,'D-1 Off-Site Habitat Baseline'!$D$1:$Z$258,15,FALSE)),"",(VLOOKUP($E56,'D-1 Off-Site Habitat Baseline'!$D$1:$Z$258,15,FALSE))))</f>
        <v/>
      </c>
      <c r="AO56" s="329" t="str">
        <f>IF(AN56="","",IF(VLOOKUP(AN56,'G-3 Multipliers'!$S$3:$T$10,2,FALSE)=0,"Spatial Data Missing ⚠",VLOOKUP(AN56,'G-3 Multipliers'!$S$3:$T$10,2,FALSE)))</f>
        <v/>
      </c>
      <c r="AP56" s="289" t="str">
        <f t="shared" si="9"/>
        <v/>
      </c>
      <c r="AQ56" s="289" t="str">
        <f t="shared" si="10"/>
        <v/>
      </c>
      <c r="AR56" s="105"/>
      <c r="AS56" s="138"/>
      <c r="AT56" s="104"/>
      <c r="AU56" s="104"/>
      <c r="AY56" s="30" t="str">
        <f>IF(E56="","",IF(ISNA(VLOOKUP($E56,'D-1 Off-Site Habitat Baseline'!$D$1:$AV$258,4,FALSE)),"",(VLOOKUP($E56,'D-1 Off-Site Habitat Baseline'!$D$1:$AV$258,4,FALSE))))</f>
        <v/>
      </c>
    </row>
    <row r="57" spans="1:51" ht="14">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319" t="str">
        <f>'D-1 Off-Site Habitat Baseline'!AP56</f>
        <v/>
      </c>
      <c r="F57" s="283" t="str">
        <f>IF(E57="","",IF(ISNA(VLOOKUP($E57,'D-1 Off-Site Habitat Baseline'!$D$1:$ZZ$258,45,FALSE)),"",(VLOOKUP($E57,'D-1 Off-Site Habitat Baseline'!$D$1:$ZZ$258,45,FALSE))))</f>
        <v/>
      </c>
      <c r="G57" s="295" t="str">
        <f>IF(E57="","",IF(ISNA(VLOOKUP($E57,'D-1 Off-Site Habitat Baseline'!$D$1:$O$258,5,FALSE)),"",(VLOOKUP($E57,'D-1 Off-Site Habitat Baseline'!$D$1:$O$258,5,FALSE))))</f>
        <v/>
      </c>
      <c r="H57" s="295" t="str">
        <f>IF(E57="","",IF(ISNA(VLOOKUP($E57,'D-1 Off-Site Habitat Baseline'!$D$1:$O$258,6,FALSE)),"",(VLOOKUP($E57,'D-1 Off-Site Habitat Baseline'!$D$1:$O$258,6,FALSE))))</f>
        <v/>
      </c>
      <c r="I57" s="295" t="str">
        <f>IF(E57="","",IF(ISNA(VLOOKUP($E57,'D-1 Off-Site Habitat Baseline'!$D$1:$O$258,7,FALSE)),"",(VLOOKUP($E57,'D-1 Off-Site Habitat Baseline'!$D$1:$O$258,7,FALSE))))</f>
        <v/>
      </c>
      <c r="J57" s="295" t="str">
        <f>IF(E57="","",IF(ISNA(VLOOKUP($E57,'D-1 Off-Site Habitat Baseline'!$D$1:$O$258,8,FALSE)),"",(VLOOKUP($E57,'D-1 Off-Site Habitat Baseline'!$D$1:$O$258,8,FALSE))))</f>
        <v/>
      </c>
      <c r="K57" s="295" t="str">
        <f>IF(E57="","",IF(ISNA(VLOOKUP($E57,'D-1 Off-Site Habitat Baseline'!$D$1:$O$258,9,FALSE)),"",(VLOOKUP($E57,'D-1 Off-Site Habitat Baseline'!$D$1:$O$258,9,FALSE))))</f>
        <v/>
      </c>
      <c r="L57" s="295" t="str">
        <f>IF(E57="","",IF(ISNA(VLOOKUP($E57,'D-1 Off-Site Habitat Baseline'!$D$1:$O$258,11,FALSE)),"",(VLOOKUP($E57,'D-1 Off-Site Habitat Baseline'!$D$1:$O$258,11,FALSE))))</f>
        <v/>
      </c>
      <c r="M57" s="295" t="str">
        <f>IF(E57="","",IF(ISNA(VLOOKUP($E57,'D-1 Off-Site Habitat Baseline'!$D$1:$O$258,12,FALSE)),"",(VLOOKUP($E57,'D-1 Off-Site Habitat Baseline'!$D$1:$O$258,12,FALSE))))</f>
        <v/>
      </c>
      <c r="N57" s="295" t="str">
        <f>IF(E57="","",IF(ISNA(VLOOKUP($E57,'D-1 Off-Site Habitat Baseline'!$D$1:$AA$258,17,FALSE)),"",(VLOOKUP($E57,'D-1 Off-Site Habitat Baseline'!$D$1:$AA$258,17,FALSE))))</f>
        <v/>
      </c>
      <c r="O57" s="299" t="str">
        <f>IF(E57="","",IF(ISNA(VLOOKUP($E57,'D-1 Off-Site Habitat Baseline'!$D$1:$AA$258,13,FALSE)),"",(VLOOKUP($E57,'D-1 Off-Site Habitat Baseline'!$D$1:$AA$258,13,FALSE))))</f>
        <v/>
      </c>
      <c r="P57" s="148" t="str">
        <f>IFERROR(INDEX('G-1 All Habitats'!$AG$49:$AG$63,MATCH(Q57,'G-1 All Habitats'!$AF$27:$AF$41,0)),"")</f>
        <v/>
      </c>
      <c r="Q57" s="149" t="str">
        <f t="shared" si="0"/>
        <v/>
      </c>
      <c r="R57" s="150"/>
      <c r="S57" s="151" t="str">
        <f>IFERROR(INDEX('G-1 All Habitats'!$B$3:$B$135,MATCH(R57,'G-1 All Habitats'!$A$3:$A$135,0)),"")</f>
        <v/>
      </c>
      <c r="T57" s="283" t="str">
        <f t="shared" si="2"/>
        <v/>
      </c>
      <c r="U57" s="276" t="str">
        <f t="shared" si="3"/>
        <v/>
      </c>
      <c r="V57" s="298" t="str">
        <f t="shared" si="4"/>
        <v/>
      </c>
      <c r="W57" s="295" t="str">
        <f>IF(S57="","",VLOOKUP(S57,'G-1 All Habitats'!$B$2:$M$135,10,FALSE))</f>
        <v/>
      </c>
      <c r="X57" s="295" t="str">
        <f>IFERROR(VLOOKUP(W57,'G-1 All Habitats'!$V$3:$W$7,2,FALSE),"")</f>
        <v/>
      </c>
      <c r="Y57" s="138"/>
      <c r="Z57" s="299" t="str">
        <f>IFERROR(INDEX('G-8 Condition Look up'!$A$3:$H$135,MATCH(S57,'G-8 Condition Look up'!$A$3:$A$135,0),MATCH(Y57,'G-8 Condition Look up'!$A$3:$H$3,0)),"")</f>
        <v/>
      </c>
      <c r="AA57" s="101"/>
      <c r="AB57" s="314" t="str">
        <f>IF(AA57="","",IF(VLOOKUP(AA57,'G-3 Multipliers'!$L$3:$N$6,2,FALSE)=0,"Spatial Data Missing ⚠",VLOOKUP(AA57,'G-3 Multipliers'!$L$3:$N$6,2,FALSE)))</f>
        <v/>
      </c>
      <c r="AC57" s="299" t="str">
        <f>IF(AA57="","",IF(VLOOKUP(AA57,'G-3 Multipliers'!$L$3:$N$6,3,FALSE)=0,"Spatial Data Missing ⚠",VLOOKUP(AA57,'G-3 Multipliers'!$L$3:$N$6,3,FALSE)))</f>
        <v/>
      </c>
      <c r="AD57" s="311" t="str">
        <f t="shared" si="1"/>
        <v/>
      </c>
      <c r="AE57" s="138"/>
      <c r="AF57" s="138"/>
      <c r="AG57" s="295" t="str">
        <f t="shared" si="5"/>
        <v/>
      </c>
      <c r="AH57" s="296" t="str">
        <f t="shared" si="6"/>
        <v/>
      </c>
      <c r="AI57" s="300" t="str">
        <f>IF(AH57="Check Data ⚠","Check Data ⚠",IFERROR(VLOOKUP(AH57,'G-4 Temporal multipliers'!$A$4:$C$36,3,FALSE),""))</f>
        <v/>
      </c>
      <c r="AJ57" s="311" t="str">
        <f>IF(S57="","",VLOOKUP(S57,'G-3 Multipliers'!$A$2:$E$134,4,FALSE))</f>
        <v/>
      </c>
      <c r="AK57" s="295" t="str">
        <f t="shared" si="7"/>
        <v/>
      </c>
      <c r="AL57" s="295" t="str">
        <f t="shared" si="8"/>
        <v/>
      </c>
      <c r="AM57" s="299" t="str">
        <f>IFERROR(IF(F57="","",IF(AH57="Check Data ⚠","Check Data ⚠",VLOOKUP(AL57,'G-3 Multipliers'!$P$2:$Q$6,2,FALSE))),"")</f>
        <v/>
      </c>
      <c r="AN57" s="712" t="str">
        <f>IF(E57="","",IF(ISNA(VLOOKUP($E57,'D-1 Off-Site Habitat Baseline'!$D$1:$Z$258,15,FALSE)),"",(VLOOKUP($E57,'D-1 Off-Site Habitat Baseline'!$D$1:$Z$258,15,FALSE))))</f>
        <v/>
      </c>
      <c r="AO57" s="329" t="str">
        <f>IF(AN57="","",IF(VLOOKUP(AN57,'G-3 Multipliers'!$S$3:$T$10,2,FALSE)=0,"Spatial Data Missing ⚠",VLOOKUP(AN57,'G-3 Multipliers'!$S$3:$T$10,2,FALSE)))</f>
        <v/>
      </c>
      <c r="AP57" s="289" t="str">
        <f t="shared" si="9"/>
        <v/>
      </c>
      <c r="AQ57" s="289" t="str">
        <f t="shared" si="10"/>
        <v/>
      </c>
      <c r="AR57" s="105"/>
      <c r="AS57" s="138"/>
      <c r="AT57" s="104"/>
      <c r="AU57" s="104"/>
      <c r="AY57" s="30" t="str">
        <f>IF(E57="","",IF(ISNA(VLOOKUP($E57,'D-1 Off-Site Habitat Baseline'!$D$1:$AV$258,4,FALSE)),"",(VLOOKUP($E57,'D-1 Off-Site Habitat Baseline'!$D$1:$AV$258,4,FALSE))))</f>
        <v/>
      </c>
    </row>
    <row r="58" spans="1:51" ht="14">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319" t="str">
        <f>'D-1 Off-Site Habitat Baseline'!AP57</f>
        <v/>
      </c>
      <c r="F58" s="283" t="str">
        <f>IF(E58="","",IF(ISNA(VLOOKUP($E58,'D-1 Off-Site Habitat Baseline'!$D$1:$ZZ$258,45,FALSE)),"",(VLOOKUP($E58,'D-1 Off-Site Habitat Baseline'!$D$1:$ZZ$258,45,FALSE))))</f>
        <v/>
      </c>
      <c r="G58" s="295" t="str">
        <f>IF(E58="","",IF(ISNA(VLOOKUP($E58,'D-1 Off-Site Habitat Baseline'!$D$1:$O$258,5,FALSE)),"",(VLOOKUP($E58,'D-1 Off-Site Habitat Baseline'!$D$1:$O$258,5,FALSE))))</f>
        <v/>
      </c>
      <c r="H58" s="295" t="str">
        <f>IF(E58="","",IF(ISNA(VLOOKUP($E58,'D-1 Off-Site Habitat Baseline'!$D$1:$O$258,6,FALSE)),"",(VLOOKUP($E58,'D-1 Off-Site Habitat Baseline'!$D$1:$O$258,6,FALSE))))</f>
        <v/>
      </c>
      <c r="I58" s="295" t="str">
        <f>IF(E58="","",IF(ISNA(VLOOKUP($E58,'D-1 Off-Site Habitat Baseline'!$D$1:$O$258,7,FALSE)),"",(VLOOKUP($E58,'D-1 Off-Site Habitat Baseline'!$D$1:$O$258,7,FALSE))))</f>
        <v/>
      </c>
      <c r="J58" s="295" t="str">
        <f>IF(E58="","",IF(ISNA(VLOOKUP($E58,'D-1 Off-Site Habitat Baseline'!$D$1:$O$258,8,FALSE)),"",(VLOOKUP($E58,'D-1 Off-Site Habitat Baseline'!$D$1:$O$258,8,FALSE))))</f>
        <v/>
      </c>
      <c r="K58" s="295" t="str">
        <f>IF(E58="","",IF(ISNA(VLOOKUP($E58,'D-1 Off-Site Habitat Baseline'!$D$1:$O$258,9,FALSE)),"",(VLOOKUP($E58,'D-1 Off-Site Habitat Baseline'!$D$1:$O$258,9,FALSE))))</f>
        <v/>
      </c>
      <c r="L58" s="295" t="str">
        <f>IF(E58="","",IF(ISNA(VLOOKUP($E58,'D-1 Off-Site Habitat Baseline'!$D$1:$O$258,11,FALSE)),"",(VLOOKUP($E58,'D-1 Off-Site Habitat Baseline'!$D$1:$O$258,11,FALSE))))</f>
        <v/>
      </c>
      <c r="M58" s="295" t="str">
        <f>IF(E58="","",IF(ISNA(VLOOKUP($E58,'D-1 Off-Site Habitat Baseline'!$D$1:$O$258,12,FALSE)),"",(VLOOKUP($E58,'D-1 Off-Site Habitat Baseline'!$D$1:$O$258,12,FALSE))))</f>
        <v/>
      </c>
      <c r="N58" s="295" t="str">
        <f>IF(E58="","",IF(ISNA(VLOOKUP($E58,'D-1 Off-Site Habitat Baseline'!$D$1:$AA$258,17,FALSE)),"",(VLOOKUP($E58,'D-1 Off-Site Habitat Baseline'!$D$1:$AA$258,17,FALSE))))</f>
        <v/>
      </c>
      <c r="O58" s="299" t="str">
        <f>IF(E58="","",IF(ISNA(VLOOKUP($E58,'D-1 Off-Site Habitat Baseline'!$D$1:$AA$258,13,FALSE)),"",(VLOOKUP($E58,'D-1 Off-Site Habitat Baseline'!$D$1:$AA$258,13,FALSE))))</f>
        <v/>
      </c>
      <c r="P58" s="148" t="str">
        <f>IFERROR(INDEX('G-1 All Habitats'!$AG$49:$AG$63,MATCH(Q58,'G-1 All Habitats'!$AF$27:$AF$41,0)),"")</f>
        <v/>
      </c>
      <c r="Q58" s="149" t="str">
        <f t="shared" si="0"/>
        <v/>
      </c>
      <c r="R58" s="150"/>
      <c r="S58" s="151" t="str">
        <f>IFERROR(INDEX('G-1 All Habitats'!$B$3:$B$135,MATCH(R58,'G-1 All Habitats'!$A$3:$A$135,0)),"")</f>
        <v/>
      </c>
      <c r="T58" s="283" t="str">
        <f t="shared" si="2"/>
        <v/>
      </c>
      <c r="U58" s="276" t="str">
        <f t="shared" si="3"/>
        <v/>
      </c>
      <c r="V58" s="298" t="str">
        <f t="shared" si="4"/>
        <v/>
      </c>
      <c r="W58" s="295" t="str">
        <f>IF(S58="","",VLOOKUP(S58,'G-1 All Habitats'!$B$2:$M$135,10,FALSE))</f>
        <v/>
      </c>
      <c r="X58" s="295" t="str">
        <f>IFERROR(VLOOKUP(W58,'G-1 All Habitats'!$V$3:$W$7,2,FALSE),"")</f>
        <v/>
      </c>
      <c r="Y58" s="138"/>
      <c r="Z58" s="299" t="str">
        <f>IFERROR(INDEX('G-8 Condition Look up'!$A$3:$H$135,MATCH(S58,'G-8 Condition Look up'!$A$3:$A$135,0),MATCH(Y58,'G-8 Condition Look up'!$A$3:$H$3,0)),"")</f>
        <v/>
      </c>
      <c r="AA58" s="101"/>
      <c r="AB58" s="314" t="str">
        <f>IF(AA58="","",IF(VLOOKUP(AA58,'G-3 Multipliers'!$L$3:$N$6,2,FALSE)=0,"Spatial Data Missing ⚠",VLOOKUP(AA58,'G-3 Multipliers'!$L$3:$N$6,2,FALSE)))</f>
        <v/>
      </c>
      <c r="AC58" s="299" t="str">
        <f>IF(AA58="","",IF(VLOOKUP(AA58,'G-3 Multipliers'!$L$3:$N$6,3,FALSE)=0,"Spatial Data Missing ⚠",VLOOKUP(AA58,'G-3 Multipliers'!$L$3:$N$6,3,FALSE)))</f>
        <v/>
      </c>
      <c r="AD58" s="311" t="str">
        <f t="shared" si="1"/>
        <v/>
      </c>
      <c r="AE58" s="138"/>
      <c r="AF58" s="138"/>
      <c r="AG58" s="295" t="str">
        <f t="shared" si="5"/>
        <v/>
      </c>
      <c r="AH58" s="296" t="str">
        <f t="shared" si="6"/>
        <v/>
      </c>
      <c r="AI58" s="300" t="str">
        <f>IF(AH58="Check Data ⚠","Check Data ⚠",IFERROR(VLOOKUP(AH58,'G-4 Temporal multipliers'!$A$4:$C$36,3,FALSE),""))</f>
        <v/>
      </c>
      <c r="AJ58" s="311" t="str">
        <f>IF(S58="","",VLOOKUP(S58,'G-3 Multipliers'!$A$2:$E$134,4,FALSE))</f>
        <v/>
      </c>
      <c r="AK58" s="295" t="str">
        <f t="shared" si="7"/>
        <v/>
      </c>
      <c r="AL58" s="295" t="str">
        <f t="shared" si="8"/>
        <v/>
      </c>
      <c r="AM58" s="299" t="str">
        <f>IFERROR(IF(F58="","",IF(AH58="Check Data ⚠","Check Data ⚠",VLOOKUP(AL58,'G-3 Multipliers'!$P$2:$Q$6,2,FALSE))),"")</f>
        <v/>
      </c>
      <c r="AN58" s="712" t="str">
        <f>IF(E58="","",IF(ISNA(VLOOKUP($E58,'D-1 Off-Site Habitat Baseline'!$D$1:$Z$258,15,FALSE)),"",(VLOOKUP($E58,'D-1 Off-Site Habitat Baseline'!$D$1:$Z$258,15,FALSE))))</f>
        <v/>
      </c>
      <c r="AO58" s="329" t="str">
        <f>IF(AN58="","",IF(VLOOKUP(AN58,'G-3 Multipliers'!$S$3:$T$10,2,FALSE)=0,"Spatial Data Missing ⚠",VLOOKUP(AN58,'G-3 Multipliers'!$S$3:$T$10,2,FALSE)))</f>
        <v/>
      </c>
      <c r="AP58" s="289" t="str">
        <f t="shared" si="9"/>
        <v/>
      </c>
      <c r="AQ58" s="289" t="str">
        <f t="shared" si="10"/>
        <v/>
      </c>
      <c r="AR58" s="105"/>
      <c r="AS58" s="138"/>
      <c r="AT58" s="104"/>
      <c r="AU58" s="104"/>
      <c r="AY58" s="30" t="str">
        <f>IF(E58="","",IF(ISNA(VLOOKUP($E58,'D-1 Off-Site Habitat Baseline'!$D$1:$AV$258,4,FALSE)),"",(VLOOKUP($E58,'D-1 Off-Site Habitat Baseline'!$D$1:$AV$258,4,FALSE))))</f>
        <v/>
      </c>
    </row>
    <row r="59" spans="1:51" ht="14">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319" t="str">
        <f>'D-1 Off-Site Habitat Baseline'!AP58</f>
        <v/>
      </c>
      <c r="F59" s="283" t="str">
        <f>IF(E59="","",IF(ISNA(VLOOKUP($E59,'D-1 Off-Site Habitat Baseline'!$D$1:$ZZ$258,45,FALSE)),"",(VLOOKUP($E59,'D-1 Off-Site Habitat Baseline'!$D$1:$ZZ$258,45,FALSE))))</f>
        <v/>
      </c>
      <c r="G59" s="295" t="str">
        <f>IF(E59="","",IF(ISNA(VLOOKUP($E59,'D-1 Off-Site Habitat Baseline'!$D$1:$O$258,5,FALSE)),"",(VLOOKUP($E59,'D-1 Off-Site Habitat Baseline'!$D$1:$O$258,5,FALSE))))</f>
        <v/>
      </c>
      <c r="H59" s="295" t="str">
        <f>IF(E59="","",IF(ISNA(VLOOKUP($E59,'D-1 Off-Site Habitat Baseline'!$D$1:$O$258,6,FALSE)),"",(VLOOKUP($E59,'D-1 Off-Site Habitat Baseline'!$D$1:$O$258,6,FALSE))))</f>
        <v/>
      </c>
      <c r="I59" s="295" t="str">
        <f>IF(E59="","",IF(ISNA(VLOOKUP($E59,'D-1 Off-Site Habitat Baseline'!$D$1:$O$258,7,FALSE)),"",(VLOOKUP($E59,'D-1 Off-Site Habitat Baseline'!$D$1:$O$258,7,FALSE))))</f>
        <v/>
      </c>
      <c r="J59" s="295" t="str">
        <f>IF(E59="","",IF(ISNA(VLOOKUP($E59,'D-1 Off-Site Habitat Baseline'!$D$1:$O$258,8,FALSE)),"",(VLOOKUP($E59,'D-1 Off-Site Habitat Baseline'!$D$1:$O$258,8,FALSE))))</f>
        <v/>
      </c>
      <c r="K59" s="295" t="str">
        <f>IF(E59="","",IF(ISNA(VLOOKUP($E59,'D-1 Off-Site Habitat Baseline'!$D$1:$O$258,9,FALSE)),"",(VLOOKUP($E59,'D-1 Off-Site Habitat Baseline'!$D$1:$O$258,9,FALSE))))</f>
        <v/>
      </c>
      <c r="L59" s="295" t="str">
        <f>IF(E59="","",IF(ISNA(VLOOKUP($E59,'D-1 Off-Site Habitat Baseline'!$D$1:$O$258,11,FALSE)),"",(VLOOKUP($E59,'D-1 Off-Site Habitat Baseline'!$D$1:$O$258,11,FALSE))))</f>
        <v/>
      </c>
      <c r="M59" s="295" t="str">
        <f>IF(E59="","",IF(ISNA(VLOOKUP($E59,'D-1 Off-Site Habitat Baseline'!$D$1:$O$258,12,FALSE)),"",(VLOOKUP($E59,'D-1 Off-Site Habitat Baseline'!$D$1:$O$258,12,FALSE))))</f>
        <v/>
      </c>
      <c r="N59" s="295" t="str">
        <f>IF(E59="","",IF(ISNA(VLOOKUP($E59,'D-1 Off-Site Habitat Baseline'!$D$1:$AA$258,17,FALSE)),"",(VLOOKUP($E59,'D-1 Off-Site Habitat Baseline'!$D$1:$AA$258,17,FALSE))))</f>
        <v/>
      </c>
      <c r="O59" s="299" t="str">
        <f>IF(E59="","",IF(ISNA(VLOOKUP($E59,'D-1 Off-Site Habitat Baseline'!$D$1:$AA$258,13,FALSE)),"",(VLOOKUP($E59,'D-1 Off-Site Habitat Baseline'!$D$1:$AA$258,13,FALSE))))</f>
        <v/>
      </c>
      <c r="P59" s="148" t="str">
        <f>IFERROR(INDEX('G-1 All Habitats'!$AG$49:$AG$63,MATCH(Q59,'G-1 All Habitats'!$AF$27:$AF$41,0)),"")</f>
        <v/>
      </c>
      <c r="Q59" s="149" t="str">
        <f t="shared" si="0"/>
        <v/>
      </c>
      <c r="R59" s="150"/>
      <c r="S59" s="151" t="str">
        <f>IFERROR(INDEX('G-1 All Habitats'!$B$3:$B$135,MATCH(R59,'G-1 All Habitats'!$A$3:$A$135,0)),"")</f>
        <v/>
      </c>
      <c r="T59" s="283" t="str">
        <f t="shared" si="2"/>
        <v/>
      </c>
      <c r="U59" s="276" t="str">
        <f t="shared" si="3"/>
        <v/>
      </c>
      <c r="V59" s="298" t="str">
        <f t="shared" si="4"/>
        <v/>
      </c>
      <c r="W59" s="295" t="str">
        <f>IF(S59="","",VLOOKUP(S59,'G-1 All Habitats'!$B$2:$M$135,10,FALSE))</f>
        <v/>
      </c>
      <c r="X59" s="295" t="str">
        <f>IFERROR(VLOOKUP(W59,'G-1 All Habitats'!$V$3:$W$7,2,FALSE),"")</f>
        <v/>
      </c>
      <c r="Y59" s="138"/>
      <c r="Z59" s="299" t="str">
        <f>IFERROR(INDEX('G-8 Condition Look up'!$A$3:$H$135,MATCH(S59,'G-8 Condition Look up'!$A$3:$A$135,0),MATCH(Y59,'G-8 Condition Look up'!$A$3:$H$3,0)),"")</f>
        <v/>
      </c>
      <c r="AA59" s="101"/>
      <c r="AB59" s="314" t="str">
        <f>IF(AA59="","",IF(VLOOKUP(AA59,'G-3 Multipliers'!$L$3:$N$6,2,FALSE)=0,"Spatial Data Missing ⚠",VLOOKUP(AA59,'G-3 Multipliers'!$L$3:$N$6,2,FALSE)))</f>
        <v/>
      </c>
      <c r="AC59" s="299" t="str">
        <f>IF(AA59="","",IF(VLOOKUP(AA59,'G-3 Multipliers'!$L$3:$N$6,3,FALSE)=0,"Spatial Data Missing ⚠",VLOOKUP(AA59,'G-3 Multipliers'!$L$3:$N$6,3,FALSE)))</f>
        <v/>
      </c>
      <c r="AD59" s="311" t="str">
        <f t="shared" si="1"/>
        <v/>
      </c>
      <c r="AE59" s="138"/>
      <c r="AF59" s="138"/>
      <c r="AG59" s="295" t="str">
        <f t="shared" si="5"/>
        <v/>
      </c>
      <c r="AH59" s="296" t="str">
        <f t="shared" si="6"/>
        <v/>
      </c>
      <c r="AI59" s="300" t="str">
        <f>IF(AH59="Check Data ⚠","Check Data ⚠",IFERROR(VLOOKUP(AH59,'G-4 Temporal multipliers'!$A$4:$C$36,3,FALSE),""))</f>
        <v/>
      </c>
      <c r="AJ59" s="311" t="str">
        <f>IF(S59="","",VLOOKUP(S59,'G-3 Multipliers'!$A$2:$E$134,4,FALSE))</f>
        <v/>
      </c>
      <c r="AK59" s="295" t="str">
        <f t="shared" si="7"/>
        <v/>
      </c>
      <c r="AL59" s="295" t="str">
        <f t="shared" si="8"/>
        <v/>
      </c>
      <c r="AM59" s="299" t="str">
        <f>IFERROR(IF(F59="","",IF(AH59="Check Data ⚠","Check Data ⚠",VLOOKUP(AL59,'G-3 Multipliers'!$P$2:$Q$6,2,FALSE))),"")</f>
        <v/>
      </c>
      <c r="AN59" s="712" t="str">
        <f>IF(E59="","",IF(ISNA(VLOOKUP($E59,'D-1 Off-Site Habitat Baseline'!$D$1:$Z$258,15,FALSE)),"",(VLOOKUP($E59,'D-1 Off-Site Habitat Baseline'!$D$1:$Z$258,15,FALSE))))</f>
        <v/>
      </c>
      <c r="AO59" s="329" t="str">
        <f>IF(AN59="","",IF(VLOOKUP(AN59,'G-3 Multipliers'!$S$3:$T$10,2,FALSE)=0,"Spatial Data Missing ⚠",VLOOKUP(AN59,'G-3 Multipliers'!$S$3:$T$10,2,FALSE)))</f>
        <v/>
      </c>
      <c r="AP59" s="289" t="str">
        <f t="shared" si="9"/>
        <v/>
      </c>
      <c r="AQ59" s="289" t="str">
        <f t="shared" si="10"/>
        <v/>
      </c>
      <c r="AR59" s="105"/>
      <c r="AS59" s="138"/>
      <c r="AT59" s="104"/>
      <c r="AU59" s="104"/>
      <c r="AY59" s="30" t="str">
        <f>IF(E59="","",IF(ISNA(VLOOKUP($E59,'D-1 Off-Site Habitat Baseline'!$D$1:$AV$258,4,FALSE)),"",(VLOOKUP($E59,'D-1 Off-Site Habitat Baseline'!$D$1:$AV$258,4,FALSE))))</f>
        <v/>
      </c>
    </row>
    <row r="60" spans="1:51" ht="14">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319" t="str">
        <f>'D-1 Off-Site Habitat Baseline'!AP59</f>
        <v/>
      </c>
      <c r="F60" s="283" t="str">
        <f>IF(E60="","",IF(ISNA(VLOOKUP($E60,'D-1 Off-Site Habitat Baseline'!$D$1:$ZZ$258,45,FALSE)),"",(VLOOKUP($E60,'D-1 Off-Site Habitat Baseline'!$D$1:$ZZ$258,45,FALSE))))</f>
        <v/>
      </c>
      <c r="G60" s="295" t="str">
        <f>IF(E60="","",IF(ISNA(VLOOKUP($E60,'D-1 Off-Site Habitat Baseline'!$D$1:$O$258,5,FALSE)),"",(VLOOKUP($E60,'D-1 Off-Site Habitat Baseline'!$D$1:$O$258,5,FALSE))))</f>
        <v/>
      </c>
      <c r="H60" s="295" t="str">
        <f>IF(E60="","",IF(ISNA(VLOOKUP($E60,'D-1 Off-Site Habitat Baseline'!$D$1:$O$258,6,FALSE)),"",(VLOOKUP($E60,'D-1 Off-Site Habitat Baseline'!$D$1:$O$258,6,FALSE))))</f>
        <v/>
      </c>
      <c r="I60" s="295" t="str">
        <f>IF(E60="","",IF(ISNA(VLOOKUP($E60,'D-1 Off-Site Habitat Baseline'!$D$1:$O$258,7,FALSE)),"",(VLOOKUP($E60,'D-1 Off-Site Habitat Baseline'!$D$1:$O$258,7,FALSE))))</f>
        <v/>
      </c>
      <c r="J60" s="295" t="str">
        <f>IF(E60="","",IF(ISNA(VLOOKUP($E60,'D-1 Off-Site Habitat Baseline'!$D$1:$O$258,8,FALSE)),"",(VLOOKUP($E60,'D-1 Off-Site Habitat Baseline'!$D$1:$O$258,8,FALSE))))</f>
        <v/>
      </c>
      <c r="K60" s="295" t="str">
        <f>IF(E60="","",IF(ISNA(VLOOKUP($E60,'D-1 Off-Site Habitat Baseline'!$D$1:$O$258,9,FALSE)),"",(VLOOKUP($E60,'D-1 Off-Site Habitat Baseline'!$D$1:$O$258,9,FALSE))))</f>
        <v/>
      </c>
      <c r="L60" s="295" t="str">
        <f>IF(E60="","",IF(ISNA(VLOOKUP($E60,'D-1 Off-Site Habitat Baseline'!$D$1:$O$258,11,FALSE)),"",(VLOOKUP($E60,'D-1 Off-Site Habitat Baseline'!$D$1:$O$258,11,FALSE))))</f>
        <v/>
      </c>
      <c r="M60" s="295" t="str">
        <f>IF(E60="","",IF(ISNA(VLOOKUP($E60,'D-1 Off-Site Habitat Baseline'!$D$1:$O$258,12,FALSE)),"",(VLOOKUP($E60,'D-1 Off-Site Habitat Baseline'!$D$1:$O$258,12,FALSE))))</f>
        <v/>
      </c>
      <c r="N60" s="295" t="str">
        <f>IF(E60="","",IF(ISNA(VLOOKUP($E60,'D-1 Off-Site Habitat Baseline'!$D$1:$AA$258,17,FALSE)),"",(VLOOKUP($E60,'D-1 Off-Site Habitat Baseline'!$D$1:$AA$258,17,FALSE))))</f>
        <v/>
      </c>
      <c r="O60" s="299" t="str">
        <f>IF(E60="","",IF(ISNA(VLOOKUP($E60,'D-1 Off-Site Habitat Baseline'!$D$1:$AA$258,13,FALSE)),"",(VLOOKUP($E60,'D-1 Off-Site Habitat Baseline'!$D$1:$AA$258,13,FALSE))))</f>
        <v/>
      </c>
      <c r="P60" s="148" t="str">
        <f>IFERROR(INDEX('G-1 All Habitats'!$AG$49:$AG$63,MATCH(Q60,'G-1 All Habitats'!$AF$27:$AF$41,0)),"")</f>
        <v/>
      </c>
      <c r="Q60" s="149" t="str">
        <f t="shared" si="0"/>
        <v/>
      </c>
      <c r="R60" s="150"/>
      <c r="S60" s="151" t="str">
        <f>IFERROR(INDEX('G-1 All Habitats'!$B$3:$B$135,MATCH(R60,'G-1 All Habitats'!$A$3:$A$135,0)),"")</f>
        <v/>
      </c>
      <c r="T60" s="283" t="str">
        <f t="shared" si="2"/>
        <v/>
      </c>
      <c r="U60" s="276" t="str">
        <f t="shared" si="3"/>
        <v/>
      </c>
      <c r="V60" s="298" t="str">
        <f t="shared" si="4"/>
        <v/>
      </c>
      <c r="W60" s="295" t="str">
        <f>IF(S60="","",VLOOKUP(S60,'G-1 All Habitats'!$B$2:$M$135,10,FALSE))</f>
        <v/>
      </c>
      <c r="X60" s="295" t="str">
        <f>IFERROR(VLOOKUP(W60,'G-1 All Habitats'!$V$3:$W$7,2,FALSE),"")</f>
        <v/>
      </c>
      <c r="Y60" s="138"/>
      <c r="Z60" s="299" t="str">
        <f>IFERROR(INDEX('G-8 Condition Look up'!$A$3:$H$135,MATCH(S60,'G-8 Condition Look up'!$A$3:$A$135,0),MATCH(Y60,'G-8 Condition Look up'!$A$3:$H$3,0)),"")</f>
        <v/>
      </c>
      <c r="AA60" s="101"/>
      <c r="AB60" s="314" t="str">
        <f>IF(AA60="","",IF(VLOOKUP(AA60,'G-3 Multipliers'!$L$3:$N$6,2,FALSE)=0,"Spatial Data Missing ⚠",VLOOKUP(AA60,'G-3 Multipliers'!$L$3:$N$6,2,FALSE)))</f>
        <v/>
      </c>
      <c r="AC60" s="299" t="str">
        <f>IF(AA60="","",IF(VLOOKUP(AA60,'G-3 Multipliers'!$L$3:$N$6,3,FALSE)=0,"Spatial Data Missing ⚠",VLOOKUP(AA60,'G-3 Multipliers'!$L$3:$N$6,3,FALSE)))</f>
        <v/>
      </c>
      <c r="AD60" s="311" t="str">
        <f t="shared" si="1"/>
        <v/>
      </c>
      <c r="AE60" s="138"/>
      <c r="AF60" s="138"/>
      <c r="AG60" s="295" t="str">
        <f t="shared" si="5"/>
        <v/>
      </c>
      <c r="AH60" s="296" t="str">
        <f t="shared" si="6"/>
        <v/>
      </c>
      <c r="AI60" s="300" t="str">
        <f>IF(AH60="Check Data ⚠","Check Data ⚠",IFERROR(VLOOKUP(AH60,'G-4 Temporal multipliers'!$A$4:$C$36,3,FALSE),""))</f>
        <v/>
      </c>
      <c r="AJ60" s="311" t="str">
        <f>IF(S60="","",VLOOKUP(S60,'G-3 Multipliers'!$A$2:$E$134,4,FALSE))</f>
        <v/>
      </c>
      <c r="AK60" s="295" t="str">
        <f t="shared" si="7"/>
        <v/>
      </c>
      <c r="AL60" s="295" t="str">
        <f t="shared" si="8"/>
        <v/>
      </c>
      <c r="AM60" s="299" t="str">
        <f>IFERROR(IF(F60="","",IF(AH60="Check Data ⚠","Check Data ⚠",VLOOKUP(AL60,'G-3 Multipliers'!$P$2:$Q$6,2,FALSE))),"")</f>
        <v/>
      </c>
      <c r="AN60" s="712" t="str">
        <f>IF(E60="","",IF(ISNA(VLOOKUP($E60,'D-1 Off-Site Habitat Baseline'!$D$1:$Z$258,15,FALSE)),"",(VLOOKUP($E60,'D-1 Off-Site Habitat Baseline'!$D$1:$Z$258,15,FALSE))))</f>
        <v/>
      </c>
      <c r="AO60" s="329" t="str">
        <f>IF(AN60="","",IF(VLOOKUP(AN60,'G-3 Multipliers'!$S$3:$T$10,2,FALSE)=0,"Spatial Data Missing ⚠",VLOOKUP(AN60,'G-3 Multipliers'!$S$3:$T$10,2,FALSE)))</f>
        <v/>
      </c>
      <c r="AP60" s="289" t="str">
        <f t="shared" si="9"/>
        <v/>
      </c>
      <c r="AQ60" s="289" t="str">
        <f t="shared" si="10"/>
        <v/>
      </c>
      <c r="AR60" s="105"/>
      <c r="AS60" s="138"/>
      <c r="AT60" s="104"/>
      <c r="AU60" s="104"/>
      <c r="AY60" s="30" t="str">
        <f>IF(E60="","",IF(ISNA(VLOOKUP($E60,'D-1 Off-Site Habitat Baseline'!$D$1:$AV$258,4,FALSE)),"",(VLOOKUP($E60,'D-1 Off-Site Habitat Baseline'!$D$1:$AV$258,4,FALSE))))</f>
        <v/>
      </c>
    </row>
    <row r="61" spans="1:51" ht="14">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319" t="str">
        <f>'D-1 Off-Site Habitat Baseline'!AP60</f>
        <v/>
      </c>
      <c r="F61" s="283" t="str">
        <f>IF(E61="","",IF(ISNA(VLOOKUP($E61,'D-1 Off-Site Habitat Baseline'!$D$1:$ZZ$258,45,FALSE)),"",(VLOOKUP($E61,'D-1 Off-Site Habitat Baseline'!$D$1:$ZZ$258,45,FALSE))))</f>
        <v/>
      </c>
      <c r="G61" s="295" t="str">
        <f>IF(E61="","",IF(ISNA(VLOOKUP($E61,'D-1 Off-Site Habitat Baseline'!$D$1:$O$258,5,FALSE)),"",(VLOOKUP($E61,'D-1 Off-Site Habitat Baseline'!$D$1:$O$258,5,FALSE))))</f>
        <v/>
      </c>
      <c r="H61" s="295" t="str">
        <f>IF(E61="","",IF(ISNA(VLOOKUP($E61,'D-1 Off-Site Habitat Baseline'!$D$1:$O$258,6,FALSE)),"",(VLOOKUP($E61,'D-1 Off-Site Habitat Baseline'!$D$1:$O$258,6,FALSE))))</f>
        <v/>
      </c>
      <c r="I61" s="295" t="str">
        <f>IF(E61="","",IF(ISNA(VLOOKUP($E61,'D-1 Off-Site Habitat Baseline'!$D$1:$O$258,7,FALSE)),"",(VLOOKUP($E61,'D-1 Off-Site Habitat Baseline'!$D$1:$O$258,7,FALSE))))</f>
        <v/>
      </c>
      <c r="J61" s="295" t="str">
        <f>IF(E61="","",IF(ISNA(VLOOKUP($E61,'D-1 Off-Site Habitat Baseline'!$D$1:$O$258,8,FALSE)),"",(VLOOKUP($E61,'D-1 Off-Site Habitat Baseline'!$D$1:$O$258,8,FALSE))))</f>
        <v/>
      </c>
      <c r="K61" s="295" t="str">
        <f>IF(E61="","",IF(ISNA(VLOOKUP($E61,'D-1 Off-Site Habitat Baseline'!$D$1:$O$258,9,FALSE)),"",(VLOOKUP($E61,'D-1 Off-Site Habitat Baseline'!$D$1:$O$258,9,FALSE))))</f>
        <v/>
      </c>
      <c r="L61" s="295" t="str">
        <f>IF(E61="","",IF(ISNA(VLOOKUP($E61,'D-1 Off-Site Habitat Baseline'!$D$1:$O$258,11,FALSE)),"",(VLOOKUP($E61,'D-1 Off-Site Habitat Baseline'!$D$1:$O$258,11,FALSE))))</f>
        <v/>
      </c>
      <c r="M61" s="295" t="str">
        <f>IF(E61="","",IF(ISNA(VLOOKUP($E61,'D-1 Off-Site Habitat Baseline'!$D$1:$O$258,12,FALSE)),"",(VLOOKUP($E61,'D-1 Off-Site Habitat Baseline'!$D$1:$O$258,12,FALSE))))</f>
        <v/>
      </c>
      <c r="N61" s="295" t="str">
        <f>IF(E61="","",IF(ISNA(VLOOKUP($E61,'D-1 Off-Site Habitat Baseline'!$D$1:$AA$258,17,FALSE)),"",(VLOOKUP($E61,'D-1 Off-Site Habitat Baseline'!$D$1:$AA$258,17,FALSE))))</f>
        <v/>
      </c>
      <c r="O61" s="299" t="str">
        <f>IF(E61="","",IF(ISNA(VLOOKUP($E61,'D-1 Off-Site Habitat Baseline'!$D$1:$AA$258,13,FALSE)),"",(VLOOKUP($E61,'D-1 Off-Site Habitat Baseline'!$D$1:$AA$258,13,FALSE))))</f>
        <v/>
      </c>
      <c r="P61" s="148" t="str">
        <f>IFERROR(INDEX('G-1 All Habitats'!$AG$49:$AG$63,MATCH(Q61,'G-1 All Habitats'!$AF$27:$AF$41,0)),"")</f>
        <v/>
      </c>
      <c r="Q61" s="149" t="str">
        <f t="shared" si="0"/>
        <v/>
      </c>
      <c r="R61" s="150"/>
      <c r="S61" s="151" t="str">
        <f>IFERROR(INDEX('G-1 All Habitats'!$B$3:$B$135,MATCH(R61,'G-1 All Habitats'!$A$3:$A$135,0)),"")</f>
        <v/>
      </c>
      <c r="T61" s="283" t="str">
        <f t="shared" si="2"/>
        <v/>
      </c>
      <c r="U61" s="276" t="str">
        <f t="shared" si="3"/>
        <v/>
      </c>
      <c r="V61" s="298" t="str">
        <f t="shared" si="4"/>
        <v/>
      </c>
      <c r="W61" s="295" t="str">
        <f>IF(S61="","",VLOOKUP(S61,'G-1 All Habitats'!$B$2:$M$135,10,FALSE))</f>
        <v/>
      </c>
      <c r="X61" s="295" t="str">
        <f>IFERROR(VLOOKUP(W61,'G-1 All Habitats'!$V$3:$W$7,2,FALSE),"")</f>
        <v/>
      </c>
      <c r="Y61" s="138"/>
      <c r="Z61" s="299" t="str">
        <f>IFERROR(INDEX('G-8 Condition Look up'!$A$3:$H$135,MATCH(S61,'G-8 Condition Look up'!$A$3:$A$135,0),MATCH(Y61,'G-8 Condition Look up'!$A$3:$H$3,0)),"")</f>
        <v/>
      </c>
      <c r="AA61" s="101"/>
      <c r="AB61" s="314" t="str">
        <f>IF(AA61="","",IF(VLOOKUP(AA61,'G-3 Multipliers'!$L$3:$N$6,2,FALSE)=0,"Spatial Data Missing ⚠",VLOOKUP(AA61,'G-3 Multipliers'!$L$3:$N$6,2,FALSE)))</f>
        <v/>
      </c>
      <c r="AC61" s="299" t="str">
        <f>IF(AA61="","",IF(VLOOKUP(AA61,'G-3 Multipliers'!$L$3:$N$6,3,FALSE)=0,"Spatial Data Missing ⚠",VLOOKUP(AA61,'G-3 Multipliers'!$L$3:$N$6,3,FALSE)))</f>
        <v/>
      </c>
      <c r="AD61" s="311" t="str">
        <f t="shared" si="1"/>
        <v/>
      </c>
      <c r="AE61" s="138"/>
      <c r="AF61" s="138"/>
      <c r="AG61" s="295" t="str">
        <f t="shared" si="5"/>
        <v/>
      </c>
      <c r="AH61" s="296" t="str">
        <f t="shared" si="6"/>
        <v/>
      </c>
      <c r="AI61" s="300" t="str">
        <f>IF(AH61="Check Data ⚠","Check Data ⚠",IFERROR(VLOOKUP(AH61,'G-4 Temporal multipliers'!$A$4:$C$36,3,FALSE),""))</f>
        <v/>
      </c>
      <c r="AJ61" s="311" t="str">
        <f>IF(S61="","",VLOOKUP(S61,'G-3 Multipliers'!$A$2:$E$134,4,FALSE))</f>
        <v/>
      </c>
      <c r="AK61" s="295" t="str">
        <f t="shared" si="7"/>
        <v/>
      </c>
      <c r="AL61" s="295" t="str">
        <f t="shared" si="8"/>
        <v/>
      </c>
      <c r="AM61" s="299" t="str">
        <f>IFERROR(IF(F61="","",IF(AH61="Check Data ⚠","Check Data ⚠",VLOOKUP(AL61,'G-3 Multipliers'!$P$2:$Q$6,2,FALSE))),"")</f>
        <v/>
      </c>
      <c r="AN61" s="712" t="str">
        <f>IF(E61="","",IF(ISNA(VLOOKUP($E61,'D-1 Off-Site Habitat Baseline'!$D$1:$Z$258,15,FALSE)),"",(VLOOKUP($E61,'D-1 Off-Site Habitat Baseline'!$D$1:$Z$258,15,FALSE))))</f>
        <v/>
      </c>
      <c r="AO61" s="329" t="str">
        <f>IF(AN61="","",IF(VLOOKUP(AN61,'G-3 Multipliers'!$S$3:$T$10,2,FALSE)=0,"Spatial Data Missing ⚠",VLOOKUP(AN61,'G-3 Multipliers'!$S$3:$T$10,2,FALSE)))</f>
        <v/>
      </c>
      <c r="AP61" s="289" t="str">
        <f t="shared" si="9"/>
        <v/>
      </c>
      <c r="AQ61" s="289" t="str">
        <f t="shared" si="10"/>
        <v/>
      </c>
      <c r="AR61" s="105"/>
      <c r="AS61" s="138"/>
      <c r="AT61" s="104"/>
      <c r="AU61" s="104"/>
      <c r="AY61" s="30" t="str">
        <f>IF(E61="","",IF(ISNA(VLOOKUP($E61,'D-1 Off-Site Habitat Baseline'!$D$1:$AV$258,4,FALSE)),"",(VLOOKUP($E61,'D-1 Off-Site Habitat Baseline'!$D$1:$AV$258,4,FALSE))))</f>
        <v/>
      </c>
    </row>
    <row r="62" spans="1:51" ht="14">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319" t="str">
        <f>'D-1 Off-Site Habitat Baseline'!AP61</f>
        <v/>
      </c>
      <c r="F62" s="283" t="str">
        <f>IF(E62="","",IF(ISNA(VLOOKUP($E62,'D-1 Off-Site Habitat Baseline'!$D$1:$ZZ$258,45,FALSE)),"",(VLOOKUP($E62,'D-1 Off-Site Habitat Baseline'!$D$1:$ZZ$258,45,FALSE))))</f>
        <v/>
      </c>
      <c r="G62" s="295" t="str">
        <f>IF(E62="","",IF(ISNA(VLOOKUP($E62,'D-1 Off-Site Habitat Baseline'!$D$1:$O$258,5,FALSE)),"",(VLOOKUP($E62,'D-1 Off-Site Habitat Baseline'!$D$1:$O$258,5,FALSE))))</f>
        <v/>
      </c>
      <c r="H62" s="295" t="str">
        <f>IF(E62="","",IF(ISNA(VLOOKUP($E62,'D-1 Off-Site Habitat Baseline'!$D$1:$O$258,6,FALSE)),"",(VLOOKUP($E62,'D-1 Off-Site Habitat Baseline'!$D$1:$O$258,6,FALSE))))</f>
        <v/>
      </c>
      <c r="I62" s="295" t="str">
        <f>IF(E62="","",IF(ISNA(VLOOKUP($E62,'D-1 Off-Site Habitat Baseline'!$D$1:$O$258,7,FALSE)),"",(VLOOKUP($E62,'D-1 Off-Site Habitat Baseline'!$D$1:$O$258,7,FALSE))))</f>
        <v/>
      </c>
      <c r="J62" s="295" t="str">
        <f>IF(E62="","",IF(ISNA(VLOOKUP($E62,'D-1 Off-Site Habitat Baseline'!$D$1:$O$258,8,FALSE)),"",(VLOOKUP($E62,'D-1 Off-Site Habitat Baseline'!$D$1:$O$258,8,FALSE))))</f>
        <v/>
      </c>
      <c r="K62" s="295" t="str">
        <f>IF(E62="","",IF(ISNA(VLOOKUP($E62,'D-1 Off-Site Habitat Baseline'!$D$1:$O$258,9,FALSE)),"",(VLOOKUP($E62,'D-1 Off-Site Habitat Baseline'!$D$1:$O$258,9,FALSE))))</f>
        <v/>
      </c>
      <c r="L62" s="295" t="str">
        <f>IF(E62="","",IF(ISNA(VLOOKUP($E62,'D-1 Off-Site Habitat Baseline'!$D$1:$O$258,11,FALSE)),"",(VLOOKUP($E62,'D-1 Off-Site Habitat Baseline'!$D$1:$O$258,11,FALSE))))</f>
        <v/>
      </c>
      <c r="M62" s="295" t="str">
        <f>IF(E62="","",IF(ISNA(VLOOKUP($E62,'D-1 Off-Site Habitat Baseline'!$D$1:$O$258,12,FALSE)),"",(VLOOKUP($E62,'D-1 Off-Site Habitat Baseline'!$D$1:$O$258,12,FALSE))))</f>
        <v/>
      </c>
      <c r="N62" s="295" t="str">
        <f>IF(E62="","",IF(ISNA(VLOOKUP($E62,'D-1 Off-Site Habitat Baseline'!$D$1:$AA$258,17,FALSE)),"",(VLOOKUP($E62,'D-1 Off-Site Habitat Baseline'!$D$1:$AA$258,17,FALSE))))</f>
        <v/>
      </c>
      <c r="O62" s="299" t="str">
        <f>IF(E62="","",IF(ISNA(VLOOKUP($E62,'D-1 Off-Site Habitat Baseline'!$D$1:$AA$258,13,FALSE)),"",(VLOOKUP($E62,'D-1 Off-Site Habitat Baseline'!$D$1:$AA$258,13,FALSE))))</f>
        <v/>
      </c>
      <c r="P62" s="148" t="str">
        <f>IFERROR(INDEX('G-1 All Habitats'!$AG$49:$AG$63,MATCH(Q62,'G-1 All Habitats'!$AF$27:$AF$41,0)),"")</f>
        <v/>
      </c>
      <c r="Q62" s="149" t="str">
        <f t="shared" si="0"/>
        <v/>
      </c>
      <c r="R62" s="150"/>
      <c r="S62" s="151" t="str">
        <f>IFERROR(INDEX('G-1 All Habitats'!$B$3:$B$135,MATCH(R62,'G-1 All Habitats'!$A$3:$A$135,0)),"")</f>
        <v/>
      </c>
      <c r="T62" s="283" t="str">
        <f t="shared" si="2"/>
        <v/>
      </c>
      <c r="U62" s="276" t="str">
        <f t="shared" si="3"/>
        <v/>
      </c>
      <c r="V62" s="298" t="str">
        <f t="shared" si="4"/>
        <v/>
      </c>
      <c r="W62" s="295" t="str">
        <f>IF(S62="","",VLOOKUP(S62,'G-1 All Habitats'!$B$2:$M$135,10,FALSE))</f>
        <v/>
      </c>
      <c r="X62" s="295" t="str">
        <f>IFERROR(VLOOKUP(W62,'G-1 All Habitats'!$V$3:$W$7,2,FALSE),"")</f>
        <v/>
      </c>
      <c r="Y62" s="138"/>
      <c r="Z62" s="299" t="str">
        <f>IFERROR(INDEX('G-8 Condition Look up'!$A$3:$H$135,MATCH(S62,'G-8 Condition Look up'!$A$3:$A$135,0),MATCH(Y62,'G-8 Condition Look up'!$A$3:$H$3,0)),"")</f>
        <v/>
      </c>
      <c r="AA62" s="101"/>
      <c r="AB62" s="314" t="str">
        <f>IF(AA62="","",IF(VLOOKUP(AA62,'G-3 Multipliers'!$L$3:$N$6,2,FALSE)=0,"Spatial Data Missing ⚠",VLOOKUP(AA62,'G-3 Multipliers'!$L$3:$N$6,2,FALSE)))</f>
        <v/>
      </c>
      <c r="AC62" s="299" t="str">
        <f>IF(AA62="","",IF(VLOOKUP(AA62,'G-3 Multipliers'!$L$3:$N$6,3,FALSE)=0,"Spatial Data Missing ⚠",VLOOKUP(AA62,'G-3 Multipliers'!$L$3:$N$6,3,FALSE)))</f>
        <v/>
      </c>
      <c r="AD62" s="311" t="str">
        <f t="shared" si="1"/>
        <v/>
      </c>
      <c r="AE62" s="138"/>
      <c r="AF62" s="138"/>
      <c r="AG62" s="295" t="str">
        <f t="shared" si="5"/>
        <v/>
      </c>
      <c r="AH62" s="296" t="str">
        <f t="shared" si="6"/>
        <v/>
      </c>
      <c r="AI62" s="300" t="str">
        <f>IF(AH62="Check Data ⚠","Check Data ⚠",IFERROR(VLOOKUP(AH62,'G-4 Temporal multipliers'!$A$4:$C$36,3,FALSE),""))</f>
        <v/>
      </c>
      <c r="AJ62" s="311" t="str">
        <f>IF(S62="","",VLOOKUP(S62,'G-3 Multipliers'!$A$2:$E$134,4,FALSE))</f>
        <v/>
      </c>
      <c r="AK62" s="295" t="str">
        <f t="shared" si="7"/>
        <v/>
      </c>
      <c r="AL62" s="295" t="str">
        <f t="shared" si="8"/>
        <v/>
      </c>
      <c r="AM62" s="299" t="str">
        <f>IFERROR(IF(F62="","",IF(AH62="Check Data ⚠","Check Data ⚠",VLOOKUP(AL62,'G-3 Multipliers'!$P$2:$Q$6,2,FALSE))),"")</f>
        <v/>
      </c>
      <c r="AN62" s="712" t="str">
        <f>IF(E62="","",IF(ISNA(VLOOKUP($E62,'D-1 Off-Site Habitat Baseline'!$D$1:$Z$258,15,FALSE)),"",(VLOOKUP($E62,'D-1 Off-Site Habitat Baseline'!$D$1:$Z$258,15,FALSE))))</f>
        <v/>
      </c>
      <c r="AO62" s="329" t="str">
        <f>IF(AN62="","",IF(VLOOKUP(AN62,'G-3 Multipliers'!$S$3:$T$10,2,FALSE)=0,"Spatial Data Missing ⚠",VLOOKUP(AN62,'G-3 Multipliers'!$S$3:$T$10,2,FALSE)))</f>
        <v/>
      </c>
      <c r="AP62" s="289" t="str">
        <f t="shared" si="9"/>
        <v/>
      </c>
      <c r="AQ62" s="289" t="str">
        <f t="shared" si="10"/>
        <v/>
      </c>
      <c r="AR62" s="105"/>
      <c r="AS62" s="138"/>
      <c r="AT62" s="104"/>
      <c r="AU62" s="104"/>
      <c r="AY62" s="30" t="str">
        <f>IF(E62="","",IF(ISNA(VLOOKUP($E62,'D-1 Off-Site Habitat Baseline'!$D$1:$AV$258,4,FALSE)),"",(VLOOKUP($E62,'D-1 Off-Site Habitat Baseline'!$D$1:$AV$258,4,FALSE))))</f>
        <v/>
      </c>
    </row>
    <row r="63" spans="1:51" ht="14">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319" t="str">
        <f>'D-1 Off-Site Habitat Baseline'!AP62</f>
        <v/>
      </c>
      <c r="F63" s="283" t="str">
        <f>IF(E63="","",IF(ISNA(VLOOKUP($E63,'D-1 Off-Site Habitat Baseline'!$D$1:$ZZ$258,45,FALSE)),"",(VLOOKUP($E63,'D-1 Off-Site Habitat Baseline'!$D$1:$ZZ$258,45,FALSE))))</f>
        <v/>
      </c>
      <c r="G63" s="295" t="str">
        <f>IF(E63="","",IF(ISNA(VLOOKUP($E63,'D-1 Off-Site Habitat Baseline'!$D$1:$O$258,5,FALSE)),"",(VLOOKUP($E63,'D-1 Off-Site Habitat Baseline'!$D$1:$O$258,5,FALSE))))</f>
        <v/>
      </c>
      <c r="H63" s="295" t="str">
        <f>IF(E63="","",IF(ISNA(VLOOKUP($E63,'D-1 Off-Site Habitat Baseline'!$D$1:$O$258,6,FALSE)),"",(VLOOKUP($E63,'D-1 Off-Site Habitat Baseline'!$D$1:$O$258,6,FALSE))))</f>
        <v/>
      </c>
      <c r="I63" s="295" t="str">
        <f>IF(E63="","",IF(ISNA(VLOOKUP($E63,'D-1 Off-Site Habitat Baseline'!$D$1:$O$258,7,FALSE)),"",(VLOOKUP($E63,'D-1 Off-Site Habitat Baseline'!$D$1:$O$258,7,FALSE))))</f>
        <v/>
      </c>
      <c r="J63" s="295" t="str">
        <f>IF(E63="","",IF(ISNA(VLOOKUP($E63,'D-1 Off-Site Habitat Baseline'!$D$1:$O$258,8,FALSE)),"",(VLOOKUP($E63,'D-1 Off-Site Habitat Baseline'!$D$1:$O$258,8,FALSE))))</f>
        <v/>
      </c>
      <c r="K63" s="295" t="str">
        <f>IF(E63="","",IF(ISNA(VLOOKUP($E63,'D-1 Off-Site Habitat Baseline'!$D$1:$O$258,9,FALSE)),"",(VLOOKUP($E63,'D-1 Off-Site Habitat Baseline'!$D$1:$O$258,9,FALSE))))</f>
        <v/>
      </c>
      <c r="L63" s="295" t="str">
        <f>IF(E63="","",IF(ISNA(VLOOKUP($E63,'D-1 Off-Site Habitat Baseline'!$D$1:$O$258,11,FALSE)),"",(VLOOKUP($E63,'D-1 Off-Site Habitat Baseline'!$D$1:$O$258,11,FALSE))))</f>
        <v/>
      </c>
      <c r="M63" s="295" t="str">
        <f>IF(E63="","",IF(ISNA(VLOOKUP($E63,'D-1 Off-Site Habitat Baseline'!$D$1:$O$258,12,FALSE)),"",(VLOOKUP($E63,'D-1 Off-Site Habitat Baseline'!$D$1:$O$258,12,FALSE))))</f>
        <v/>
      </c>
      <c r="N63" s="295" t="str">
        <f>IF(E63="","",IF(ISNA(VLOOKUP($E63,'D-1 Off-Site Habitat Baseline'!$D$1:$AA$258,17,FALSE)),"",(VLOOKUP($E63,'D-1 Off-Site Habitat Baseline'!$D$1:$AA$258,17,FALSE))))</f>
        <v/>
      </c>
      <c r="O63" s="299" t="str">
        <f>IF(E63="","",IF(ISNA(VLOOKUP($E63,'D-1 Off-Site Habitat Baseline'!$D$1:$AA$258,13,FALSE)),"",(VLOOKUP($E63,'D-1 Off-Site Habitat Baseline'!$D$1:$AA$258,13,FALSE))))</f>
        <v/>
      </c>
      <c r="P63" s="148" t="str">
        <f>IFERROR(INDEX('G-1 All Habitats'!$AG$49:$AG$63,MATCH(Q63,'G-1 All Habitats'!$AF$27:$AF$41,0)),"")</f>
        <v/>
      </c>
      <c r="Q63" s="149" t="str">
        <f t="shared" si="0"/>
        <v/>
      </c>
      <c r="R63" s="150"/>
      <c r="S63" s="151" t="str">
        <f>IFERROR(INDEX('G-1 All Habitats'!$B$3:$B$135,MATCH(R63,'G-1 All Habitats'!$A$3:$A$135,0)),"")</f>
        <v/>
      </c>
      <c r="T63" s="283" t="str">
        <f t="shared" si="2"/>
        <v/>
      </c>
      <c r="U63" s="276" t="str">
        <f t="shared" si="3"/>
        <v/>
      </c>
      <c r="V63" s="298" t="str">
        <f t="shared" si="4"/>
        <v/>
      </c>
      <c r="W63" s="295" t="str">
        <f>IF(S63="","",VLOOKUP(S63,'G-1 All Habitats'!$B$2:$M$135,10,FALSE))</f>
        <v/>
      </c>
      <c r="X63" s="295" t="str">
        <f>IFERROR(VLOOKUP(W63,'G-1 All Habitats'!$V$3:$W$7,2,FALSE),"")</f>
        <v/>
      </c>
      <c r="Y63" s="138"/>
      <c r="Z63" s="299" t="str">
        <f>IFERROR(INDEX('G-8 Condition Look up'!$A$3:$H$135,MATCH(S63,'G-8 Condition Look up'!$A$3:$A$135,0),MATCH(Y63,'G-8 Condition Look up'!$A$3:$H$3,0)),"")</f>
        <v/>
      </c>
      <c r="AA63" s="101"/>
      <c r="AB63" s="314" t="str">
        <f>IF(AA63="","",IF(VLOOKUP(AA63,'G-3 Multipliers'!$L$3:$N$6,2,FALSE)=0,"Spatial Data Missing ⚠",VLOOKUP(AA63,'G-3 Multipliers'!$L$3:$N$6,2,FALSE)))</f>
        <v/>
      </c>
      <c r="AC63" s="299" t="str">
        <f>IF(AA63="","",IF(VLOOKUP(AA63,'G-3 Multipliers'!$L$3:$N$6,3,FALSE)=0,"Spatial Data Missing ⚠",VLOOKUP(AA63,'G-3 Multipliers'!$L$3:$N$6,3,FALSE)))</f>
        <v/>
      </c>
      <c r="AD63" s="311" t="str">
        <f t="shared" si="1"/>
        <v/>
      </c>
      <c r="AE63" s="138"/>
      <c r="AF63" s="138"/>
      <c r="AG63" s="295" t="str">
        <f t="shared" si="5"/>
        <v/>
      </c>
      <c r="AH63" s="296" t="str">
        <f t="shared" si="6"/>
        <v/>
      </c>
      <c r="AI63" s="300" t="str">
        <f>IF(AH63="Check Data ⚠","Check Data ⚠",IFERROR(VLOOKUP(AH63,'G-4 Temporal multipliers'!$A$4:$C$36,3,FALSE),""))</f>
        <v/>
      </c>
      <c r="AJ63" s="311" t="str">
        <f>IF(S63="","",VLOOKUP(S63,'G-3 Multipliers'!$A$2:$E$134,4,FALSE))</f>
        <v/>
      </c>
      <c r="AK63" s="295" t="str">
        <f t="shared" si="7"/>
        <v/>
      </c>
      <c r="AL63" s="295" t="str">
        <f t="shared" si="8"/>
        <v/>
      </c>
      <c r="AM63" s="299" t="str">
        <f>IFERROR(IF(F63="","",IF(AH63="Check Data ⚠","Check Data ⚠",VLOOKUP(AL63,'G-3 Multipliers'!$P$2:$Q$6,2,FALSE))),"")</f>
        <v/>
      </c>
      <c r="AN63" s="712" t="str">
        <f>IF(E63="","",IF(ISNA(VLOOKUP($E63,'D-1 Off-Site Habitat Baseline'!$D$1:$Z$258,15,FALSE)),"",(VLOOKUP($E63,'D-1 Off-Site Habitat Baseline'!$D$1:$Z$258,15,FALSE))))</f>
        <v/>
      </c>
      <c r="AO63" s="329" t="str">
        <f>IF(AN63="","",IF(VLOOKUP(AN63,'G-3 Multipliers'!$S$3:$T$10,2,FALSE)=0,"Spatial Data Missing ⚠",VLOOKUP(AN63,'G-3 Multipliers'!$S$3:$T$10,2,FALSE)))</f>
        <v/>
      </c>
      <c r="AP63" s="289" t="str">
        <f t="shared" si="9"/>
        <v/>
      </c>
      <c r="AQ63" s="289" t="str">
        <f t="shared" si="10"/>
        <v/>
      </c>
      <c r="AR63" s="105"/>
      <c r="AS63" s="138"/>
      <c r="AT63" s="104"/>
      <c r="AU63" s="104"/>
      <c r="AY63" s="30" t="str">
        <f>IF(E63="","",IF(ISNA(VLOOKUP($E63,'D-1 Off-Site Habitat Baseline'!$D$1:$AV$258,4,FALSE)),"",(VLOOKUP($E63,'D-1 Off-Site Habitat Baseline'!$D$1:$AV$258,4,FALSE))))</f>
        <v/>
      </c>
    </row>
    <row r="64" spans="1:51" ht="14">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319" t="str">
        <f>'D-1 Off-Site Habitat Baseline'!AP63</f>
        <v/>
      </c>
      <c r="F64" s="283" t="str">
        <f>IF(E64="","",IF(ISNA(VLOOKUP($E64,'D-1 Off-Site Habitat Baseline'!$D$1:$ZZ$258,45,FALSE)),"",(VLOOKUP($E64,'D-1 Off-Site Habitat Baseline'!$D$1:$ZZ$258,45,FALSE))))</f>
        <v/>
      </c>
      <c r="G64" s="295" t="str">
        <f>IF(E64="","",IF(ISNA(VLOOKUP($E64,'D-1 Off-Site Habitat Baseline'!$D$1:$O$258,5,FALSE)),"",(VLOOKUP($E64,'D-1 Off-Site Habitat Baseline'!$D$1:$O$258,5,FALSE))))</f>
        <v/>
      </c>
      <c r="H64" s="295" t="str">
        <f>IF(E64="","",IF(ISNA(VLOOKUP($E64,'D-1 Off-Site Habitat Baseline'!$D$1:$O$258,6,FALSE)),"",(VLOOKUP($E64,'D-1 Off-Site Habitat Baseline'!$D$1:$O$258,6,FALSE))))</f>
        <v/>
      </c>
      <c r="I64" s="295" t="str">
        <f>IF(E64="","",IF(ISNA(VLOOKUP($E64,'D-1 Off-Site Habitat Baseline'!$D$1:$O$258,7,FALSE)),"",(VLOOKUP($E64,'D-1 Off-Site Habitat Baseline'!$D$1:$O$258,7,FALSE))))</f>
        <v/>
      </c>
      <c r="J64" s="295" t="str">
        <f>IF(E64="","",IF(ISNA(VLOOKUP($E64,'D-1 Off-Site Habitat Baseline'!$D$1:$O$258,8,FALSE)),"",(VLOOKUP($E64,'D-1 Off-Site Habitat Baseline'!$D$1:$O$258,8,FALSE))))</f>
        <v/>
      </c>
      <c r="K64" s="295" t="str">
        <f>IF(E64="","",IF(ISNA(VLOOKUP($E64,'D-1 Off-Site Habitat Baseline'!$D$1:$O$258,9,FALSE)),"",(VLOOKUP($E64,'D-1 Off-Site Habitat Baseline'!$D$1:$O$258,9,FALSE))))</f>
        <v/>
      </c>
      <c r="L64" s="295" t="str">
        <f>IF(E64="","",IF(ISNA(VLOOKUP($E64,'D-1 Off-Site Habitat Baseline'!$D$1:$O$258,11,FALSE)),"",(VLOOKUP($E64,'D-1 Off-Site Habitat Baseline'!$D$1:$O$258,11,FALSE))))</f>
        <v/>
      </c>
      <c r="M64" s="295" t="str">
        <f>IF(E64="","",IF(ISNA(VLOOKUP($E64,'D-1 Off-Site Habitat Baseline'!$D$1:$O$258,12,FALSE)),"",(VLOOKUP($E64,'D-1 Off-Site Habitat Baseline'!$D$1:$O$258,12,FALSE))))</f>
        <v/>
      </c>
      <c r="N64" s="295" t="str">
        <f>IF(E64="","",IF(ISNA(VLOOKUP($E64,'D-1 Off-Site Habitat Baseline'!$D$1:$AA$258,17,FALSE)),"",(VLOOKUP($E64,'D-1 Off-Site Habitat Baseline'!$D$1:$AA$258,17,FALSE))))</f>
        <v/>
      </c>
      <c r="O64" s="299" t="str">
        <f>IF(E64="","",IF(ISNA(VLOOKUP($E64,'D-1 Off-Site Habitat Baseline'!$D$1:$AA$258,13,FALSE)),"",(VLOOKUP($E64,'D-1 Off-Site Habitat Baseline'!$D$1:$AA$258,13,FALSE))))</f>
        <v/>
      </c>
      <c r="P64" s="148" t="str">
        <f>IFERROR(INDEX('G-1 All Habitats'!$AG$49:$AG$63,MATCH(Q64,'G-1 All Habitats'!$AF$27:$AF$41,0)),"")</f>
        <v/>
      </c>
      <c r="Q64" s="149" t="str">
        <f t="shared" si="0"/>
        <v/>
      </c>
      <c r="R64" s="150"/>
      <c r="S64" s="151" t="str">
        <f>IFERROR(INDEX('G-1 All Habitats'!$B$3:$B$135,MATCH(R64,'G-1 All Habitats'!$A$3:$A$135,0)),"")</f>
        <v/>
      </c>
      <c r="T64" s="283" t="str">
        <f t="shared" si="2"/>
        <v/>
      </c>
      <c r="U64" s="276" t="str">
        <f t="shared" si="3"/>
        <v/>
      </c>
      <c r="V64" s="298" t="str">
        <f t="shared" si="4"/>
        <v/>
      </c>
      <c r="W64" s="295" t="str">
        <f>IF(S64="","",VLOOKUP(S64,'G-1 All Habitats'!$B$2:$M$135,10,FALSE))</f>
        <v/>
      </c>
      <c r="X64" s="295" t="str">
        <f>IFERROR(VLOOKUP(W64,'G-1 All Habitats'!$V$3:$W$7,2,FALSE),"")</f>
        <v/>
      </c>
      <c r="Y64" s="138"/>
      <c r="Z64" s="299" t="str">
        <f>IFERROR(INDEX('G-8 Condition Look up'!$A$3:$H$135,MATCH(S64,'G-8 Condition Look up'!$A$3:$A$135,0),MATCH(Y64,'G-8 Condition Look up'!$A$3:$H$3,0)),"")</f>
        <v/>
      </c>
      <c r="AA64" s="101"/>
      <c r="AB64" s="314" t="str">
        <f>IF(AA64="","",IF(VLOOKUP(AA64,'G-3 Multipliers'!$L$3:$N$6,2,FALSE)=0,"Spatial Data Missing ⚠",VLOOKUP(AA64,'G-3 Multipliers'!$L$3:$N$6,2,FALSE)))</f>
        <v/>
      </c>
      <c r="AC64" s="299" t="str">
        <f>IF(AA64="","",IF(VLOOKUP(AA64,'G-3 Multipliers'!$L$3:$N$6,3,FALSE)=0,"Spatial Data Missing ⚠",VLOOKUP(AA64,'G-3 Multipliers'!$L$3:$N$6,3,FALSE)))</f>
        <v/>
      </c>
      <c r="AD64" s="311" t="str">
        <f t="shared" si="1"/>
        <v/>
      </c>
      <c r="AE64" s="138"/>
      <c r="AF64" s="138"/>
      <c r="AG64" s="295" t="str">
        <f t="shared" si="5"/>
        <v/>
      </c>
      <c r="AH64" s="296" t="str">
        <f t="shared" si="6"/>
        <v/>
      </c>
      <c r="AI64" s="300" t="str">
        <f>IF(AH64="Check Data ⚠","Check Data ⚠",IFERROR(VLOOKUP(AH64,'G-4 Temporal multipliers'!$A$4:$C$36,3,FALSE),""))</f>
        <v/>
      </c>
      <c r="AJ64" s="311" t="str">
        <f>IF(S64="","",VLOOKUP(S64,'G-3 Multipliers'!$A$2:$E$134,4,FALSE))</f>
        <v/>
      </c>
      <c r="AK64" s="295" t="str">
        <f t="shared" si="7"/>
        <v/>
      </c>
      <c r="AL64" s="295" t="str">
        <f t="shared" si="8"/>
        <v/>
      </c>
      <c r="AM64" s="299" t="str">
        <f>IFERROR(IF(F64="","",IF(AH64="Check Data ⚠","Check Data ⚠",VLOOKUP(AL64,'G-3 Multipliers'!$P$2:$Q$6,2,FALSE))),"")</f>
        <v/>
      </c>
      <c r="AN64" s="712" t="str">
        <f>IF(E64="","",IF(ISNA(VLOOKUP($E64,'D-1 Off-Site Habitat Baseline'!$D$1:$Z$258,15,FALSE)),"",(VLOOKUP($E64,'D-1 Off-Site Habitat Baseline'!$D$1:$Z$258,15,FALSE))))</f>
        <v/>
      </c>
      <c r="AO64" s="329" t="str">
        <f>IF(AN64="","",IF(VLOOKUP(AN64,'G-3 Multipliers'!$S$3:$T$10,2,FALSE)=0,"Spatial Data Missing ⚠",VLOOKUP(AN64,'G-3 Multipliers'!$S$3:$T$10,2,FALSE)))</f>
        <v/>
      </c>
      <c r="AP64" s="289" t="str">
        <f t="shared" si="9"/>
        <v/>
      </c>
      <c r="AQ64" s="289" t="str">
        <f t="shared" si="10"/>
        <v/>
      </c>
      <c r="AR64" s="105"/>
      <c r="AS64" s="138"/>
      <c r="AT64" s="104"/>
      <c r="AU64" s="104"/>
      <c r="AY64" s="30" t="str">
        <f>IF(E64="","",IF(ISNA(VLOOKUP($E64,'D-1 Off-Site Habitat Baseline'!$D$1:$AV$258,4,FALSE)),"",(VLOOKUP($E64,'D-1 Off-Site Habitat Baseline'!$D$1:$AV$258,4,FALSE))))</f>
        <v/>
      </c>
    </row>
    <row r="65" spans="1:51" ht="14">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319" t="str">
        <f>'D-1 Off-Site Habitat Baseline'!AP64</f>
        <v/>
      </c>
      <c r="F65" s="283" t="str">
        <f>IF(E65="","",IF(ISNA(VLOOKUP($E65,'D-1 Off-Site Habitat Baseline'!$D$1:$ZZ$258,45,FALSE)),"",(VLOOKUP($E65,'D-1 Off-Site Habitat Baseline'!$D$1:$ZZ$258,45,FALSE))))</f>
        <v/>
      </c>
      <c r="G65" s="295" t="str">
        <f>IF(E65="","",IF(ISNA(VLOOKUP($E65,'D-1 Off-Site Habitat Baseline'!$D$1:$O$258,5,FALSE)),"",(VLOOKUP($E65,'D-1 Off-Site Habitat Baseline'!$D$1:$O$258,5,FALSE))))</f>
        <v/>
      </c>
      <c r="H65" s="295" t="str">
        <f>IF(E65="","",IF(ISNA(VLOOKUP($E65,'D-1 Off-Site Habitat Baseline'!$D$1:$O$258,6,FALSE)),"",(VLOOKUP($E65,'D-1 Off-Site Habitat Baseline'!$D$1:$O$258,6,FALSE))))</f>
        <v/>
      </c>
      <c r="I65" s="295" t="str">
        <f>IF(E65="","",IF(ISNA(VLOOKUP($E65,'D-1 Off-Site Habitat Baseline'!$D$1:$O$258,7,FALSE)),"",(VLOOKUP($E65,'D-1 Off-Site Habitat Baseline'!$D$1:$O$258,7,FALSE))))</f>
        <v/>
      </c>
      <c r="J65" s="295" t="str">
        <f>IF(E65="","",IF(ISNA(VLOOKUP($E65,'D-1 Off-Site Habitat Baseline'!$D$1:$O$258,8,FALSE)),"",(VLOOKUP($E65,'D-1 Off-Site Habitat Baseline'!$D$1:$O$258,8,FALSE))))</f>
        <v/>
      </c>
      <c r="K65" s="295" t="str">
        <f>IF(E65="","",IF(ISNA(VLOOKUP($E65,'D-1 Off-Site Habitat Baseline'!$D$1:$O$258,9,FALSE)),"",(VLOOKUP($E65,'D-1 Off-Site Habitat Baseline'!$D$1:$O$258,9,FALSE))))</f>
        <v/>
      </c>
      <c r="L65" s="295" t="str">
        <f>IF(E65="","",IF(ISNA(VLOOKUP($E65,'D-1 Off-Site Habitat Baseline'!$D$1:$O$258,11,FALSE)),"",(VLOOKUP($E65,'D-1 Off-Site Habitat Baseline'!$D$1:$O$258,11,FALSE))))</f>
        <v/>
      </c>
      <c r="M65" s="295" t="str">
        <f>IF(E65="","",IF(ISNA(VLOOKUP($E65,'D-1 Off-Site Habitat Baseline'!$D$1:$O$258,12,FALSE)),"",(VLOOKUP($E65,'D-1 Off-Site Habitat Baseline'!$D$1:$O$258,12,FALSE))))</f>
        <v/>
      </c>
      <c r="N65" s="295" t="str">
        <f>IF(E65="","",IF(ISNA(VLOOKUP($E65,'D-1 Off-Site Habitat Baseline'!$D$1:$AA$258,17,FALSE)),"",(VLOOKUP($E65,'D-1 Off-Site Habitat Baseline'!$D$1:$AA$258,17,FALSE))))</f>
        <v/>
      </c>
      <c r="O65" s="299" t="str">
        <f>IF(E65="","",IF(ISNA(VLOOKUP($E65,'D-1 Off-Site Habitat Baseline'!$D$1:$AA$258,13,FALSE)),"",(VLOOKUP($E65,'D-1 Off-Site Habitat Baseline'!$D$1:$AA$258,13,FALSE))))</f>
        <v/>
      </c>
      <c r="P65" s="148" t="str">
        <f>IFERROR(INDEX('G-1 All Habitats'!$AG$49:$AG$63,MATCH(Q65,'G-1 All Habitats'!$AF$27:$AF$41,0)),"")</f>
        <v/>
      </c>
      <c r="Q65" s="149" t="str">
        <f t="shared" si="0"/>
        <v/>
      </c>
      <c r="R65" s="150"/>
      <c r="S65" s="151" t="str">
        <f>IFERROR(INDEX('G-1 All Habitats'!$B$3:$B$135,MATCH(R65,'G-1 All Habitats'!$A$3:$A$135,0)),"")</f>
        <v/>
      </c>
      <c r="T65" s="283" t="str">
        <f t="shared" si="2"/>
        <v/>
      </c>
      <c r="U65" s="276" t="str">
        <f t="shared" si="3"/>
        <v/>
      </c>
      <c r="V65" s="298" t="str">
        <f t="shared" si="4"/>
        <v/>
      </c>
      <c r="W65" s="295" t="str">
        <f>IF(S65="","",VLOOKUP(S65,'G-1 All Habitats'!$B$2:$M$135,10,FALSE))</f>
        <v/>
      </c>
      <c r="X65" s="295" t="str">
        <f>IFERROR(VLOOKUP(W65,'G-1 All Habitats'!$V$3:$W$7,2,FALSE),"")</f>
        <v/>
      </c>
      <c r="Y65" s="138"/>
      <c r="Z65" s="299" t="str">
        <f>IFERROR(INDEX('G-8 Condition Look up'!$A$3:$H$135,MATCH(S65,'G-8 Condition Look up'!$A$3:$A$135,0),MATCH(Y65,'G-8 Condition Look up'!$A$3:$H$3,0)),"")</f>
        <v/>
      </c>
      <c r="AA65" s="101"/>
      <c r="AB65" s="314" t="str">
        <f>IF(AA65="","",IF(VLOOKUP(AA65,'G-3 Multipliers'!$L$3:$N$6,2,FALSE)=0,"Spatial Data Missing ⚠",VLOOKUP(AA65,'G-3 Multipliers'!$L$3:$N$6,2,FALSE)))</f>
        <v/>
      </c>
      <c r="AC65" s="299" t="str">
        <f>IF(AA65="","",IF(VLOOKUP(AA65,'G-3 Multipliers'!$L$3:$N$6,3,FALSE)=0,"Spatial Data Missing ⚠",VLOOKUP(AA65,'G-3 Multipliers'!$L$3:$N$6,3,FALSE)))</f>
        <v/>
      </c>
      <c r="AD65" s="311" t="str">
        <f t="shared" si="1"/>
        <v/>
      </c>
      <c r="AE65" s="138"/>
      <c r="AF65" s="138"/>
      <c r="AG65" s="295" t="str">
        <f t="shared" si="5"/>
        <v/>
      </c>
      <c r="AH65" s="296" t="str">
        <f t="shared" si="6"/>
        <v/>
      </c>
      <c r="AI65" s="300" t="str">
        <f>IF(AH65="Check Data ⚠","Check Data ⚠",IFERROR(VLOOKUP(AH65,'G-4 Temporal multipliers'!$A$4:$C$36,3,FALSE),""))</f>
        <v/>
      </c>
      <c r="AJ65" s="311" t="str">
        <f>IF(S65="","",VLOOKUP(S65,'G-3 Multipliers'!$A$2:$E$134,4,FALSE))</f>
        <v/>
      </c>
      <c r="AK65" s="295" t="str">
        <f t="shared" si="7"/>
        <v/>
      </c>
      <c r="AL65" s="295" t="str">
        <f t="shared" si="8"/>
        <v/>
      </c>
      <c r="AM65" s="299" t="str">
        <f>IFERROR(IF(F65="","",IF(AH65="Check Data ⚠","Check Data ⚠",VLOOKUP(AL65,'G-3 Multipliers'!$P$2:$Q$6,2,FALSE))),"")</f>
        <v/>
      </c>
      <c r="AN65" s="712" t="str">
        <f>IF(E65="","",IF(ISNA(VLOOKUP($E65,'D-1 Off-Site Habitat Baseline'!$D$1:$Z$258,15,FALSE)),"",(VLOOKUP($E65,'D-1 Off-Site Habitat Baseline'!$D$1:$Z$258,15,FALSE))))</f>
        <v/>
      </c>
      <c r="AO65" s="329" t="str">
        <f>IF(AN65="","",IF(VLOOKUP(AN65,'G-3 Multipliers'!$S$3:$T$10,2,FALSE)=0,"Spatial Data Missing ⚠",VLOOKUP(AN65,'G-3 Multipliers'!$S$3:$T$10,2,FALSE)))</f>
        <v/>
      </c>
      <c r="AP65" s="289" t="str">
        <f t="shared" si="9"/>
        <v/>
      </c>
      <c r="AQ65" s="289" t="str">
        <f t="shared" si="10"/>
        <v/>
      </c>
      <c r="AR65" s="105"/>
      <c r="AS65" s="138"/>
      <c r="AT65" s="104"/>
      <c r="AU65" s="104"/>
      <c r="AY65" s="30" t="str">
        <f>IF(E65="","",IF(ISNA(VLOOKUP($E65,'D-1 Off-Site Habitat Baseline'!$D$1:$AV$258,4,FALSE)),"",(VLOOKUP($E65,'D-1 Off-Site Habitat Baseline'!$D$1:$AV$258,4,FALSE))))</f>
        <v/>
      </c>
    </row>
    <row r="66" spans="1:51" ht="14">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319" t="str">
        <f>'D-1 Off-Site Habitat Baseline'!AP65</f>
        <v/>
      </c>
      <c r="F66" s="283" t="str">
        <f>IF(E66="","",IF(ISNA(VLOOKUP($E66,'D-1 Off-Site Habitat Baseline'!$D$1:$ZZ$258,45,FALSE)),"",(VLOOKUP($E66,'D-1 Off-Site Habitat Baseline'!$D$1:$ZZ$258,45,FALSE))))</f>
        <v/>
      </c>
      <c r="G66" s="295" t="str">
        <f>IF(E66="","",IF(ISNA(VLOOKUP($E66,'D-1 Off-Site Habitat Baseline'!$D$1:$O$258,5,FALSE)),"",(VLOOKUP($E66,'D-1 Off-Site Habitat Baseline'!$D$1:$O$258,5,FALSE))))</f>
        <v/>
      </c>
      <c r="H66" s="295" t="str">
        <f>IF(E66="","",IF(ISNA(VLOOKUP($E66,'D-1 Off-Site Habitat Baseline'!$D$1:$O$258,6,FALSE)),"",(VLOOKUP($E66,'D-1 Off-Site Habitat Baseline'!$D$1:$O$258,6,FALSE))))</f>
        <v/>
      </c>
      <c r="I66" s="295" t="str">
        <f>IF(E66="","",IF(ISNA(VLOOKUP($E66,'D-1 Off-Site Habitat Baseline'!$D$1:$O$258,7,FALSE)),"",(VLOOKUP($E66,'D-1 Off-Site Habitat Baseline'!$D$1:$O$258,7,FALSE))))</f>
        <v/>
      </c>
      <c r="J66" s="295" t="str">
        <f>IF(E66="","",IF(ISNA(VLOOKUP($E66,'D-1 Off-Site Habitat Baseline'!$D$1:$O$258,8,FALSE)),"",(VLOOKUP($E66,'D-1 Off-Site Habitat Baseline'!$D$1:$O$258,8,FALSE))))</f>
        <v/>
      </c>
      <c r="K66" s="295" t="str">
        <f>IF(E66="","",IF(ISNA(VLOOKUP($E66,'D-1 Off-Site Habitat Baseline'!$D$1:$O$258,9,FALSE)),"",(VLOOKUP($E66,'D-1 Off-Site Habitat Baseline'!$D$1:$O$258,9,FALSE))))</f>
        <v/>
      </c>
      <c r="L66" s="295" t="str">
        <f>IF(E66="","",IF(ISNA(VLOOKUP($E66,'D-1 Off-Site Habitat Baseline'!$D$1:$O$258,11,FALSE)),"",(VLOOKUP($E66,'D-1 Off-Site Habitat Baseline'!$D$1:$O$258,11,FALSE))))</f>
        <v/>
      </c>
      <c r="M66" s="295" t="str">
        <f>IF(E66="","",IF(ISNA(VLOOKUP($E66,'D-1 Off-Site Habitat Baseline'!$D$1:$O$258,12,FALSE)),"",(VLOOKUP($E66,'D-1 Off-Site Habitat Baseline'!$D$1:$O$258,12,FALSE))))</f>
        <v/>
      </c>
      <c r="N66" s="295" t="str">
        <f>IF(E66="","",IF(ISNA(VLOOKUP($E66,'D-1 Off-Site Habitat Baseline'!$D$1:$AA$258,17,FALSE)),"",(VLOOKUP($E66,'D-1 Off-Site Habitat Baseline'!$D$1:$AA$258,17,FALSE))))</f>
        <v/>
      </c>
      <c r="O66" s="299" t="str">
        <f>IF(E66="","",IF(ISNA(VLOOKUP($E66,'D-1 Off-Site Habitat Baseline'!$D$1:$AA$258,13,FALSE)),"",(VLOOKUP($E66,'D-1 Off-Site Habitat Baseline'!$D$1:$AA$258,13,FALSE))))</f>
        <v/>
      </c>
      <c r="P66" s="148" t="str">
        <f>IFERROR(INDEX('G-1 All Habitats'!$AG$49:$AG$63,MATCH(Q66,'G-1 All Habitats'!$AF$27:$AF$41,0)),"")</f>
        <v/>
      </c>
      <c r="Q66" s="149" t="str">
        <f t="shared" si="0"/>
        <v/>
      </c>
      <c r="R66" s="150"/>
      <c r="S66" s="151" t="str">
        <f>IFERROR(INDEX('G-1 All Habitats'!$B$3:$B$135,MATCH(R66,'G-1 All Habitats'!$A$3:$A$135,0)),"")</f>
        <v/>
      </c>
      <c r="T66" s="283" t="str">
        <f t="shared" si="2"/>
        <v/>
      </c>
      <c r="U66" s="276" t="str">
        <f t="shared" si="3"/>
        <v/>
      </c>
      <c r="V66" s="298" t="str">
        <f t="shared" si="4"/>
        <v/>
      </c>
      <c r="W66" s="295" t="str">
        <f>IF(S66="","",VLOOKUP(S66,'G-1 All Habitats'!$B$2:$M$135,10,FALSE))</f>
        <v/>
      </c>
      <c r="X66" s="295" t="str">
        <f>IFERROR(VLOOKUP(W66,'G-1 All Habitats'!$V$3:$W$7,2,FALSE),"")</f>
        <v/>
      </c>
      <c r="Y66" s="138"/>
      <c r="Z66" s="299" t="str">
        <f>IFERROR(INDEX('G-8 Condition Look up'!$A$3:$H$135,MATCH(S66,'G-8 Condition Look up'!$A$3:$A$135,0),MATCH(Y66,'G-8 Condition Look up'!$A$3:$H$3,0)),"")</f>
        <v/>
      </c>
      <c r="AA66" s="101"/>
      <c r="AB66" s="314" t="str">
        <f>IF(AA66="","",IF(VLOOKUP(AA66,'G-3 Multipliers'!$L$3:$N$6,2,FALSE)=0,"Spatial Data Missing ⚠",VLOOKUP(AA66,'G-3 Multipliers'!$L$3:$N$6,2,FALSE)))</f>
        <v/>
      </c>
      <c r="AC66" s="299" t="str">
        <f>IF(AA66="","",IF(VLOOKUP(AA66,'G-3 Multipliers'!$L$3:$N$6,3,FALSE)=0,"Spatial Data Missing ⚠",VLOOKUP(AA66,'G-3 Multipliers'!$L$3:$N$6,3,FALSE)))</f>
        <v/>
      </c>
      <c r="AD66" s="311" t="str">
        <f t="shared" si="1"/>
        <v/>
      </c>
      <c r="AE66" s="138"/>
      <c r="AF66" s="138"/>
      <c r="AG66" s="295" t="str">
        <f t="shared" si="5"/>
        <v/>
      </c>
      <c r="AH66" s="296" t="str">
        <f t="shared" si="6"/>
        <v/>
      </c>
      <c r="AI66" s="300" t="str">
        <f>IF(AH66="Check Data ⚠","Check Data ⚠",IFERROR(VLOOKUP(AH66,'G-4 Temporal multipliers'!$A$4:$C$36,3,FALSE),""))</f>
        <v/>
      </c>
      <c r="AJ66" s="311" t="str">
        <f>IF(S66="","",VLOOKUP(S66,'G-3 Multipliers'!$A$2:$E$134,4,FALSE))</f>
        <v/>
      </c>
      <c r="AK66" s="295" t="str">
        <f t="shared" si="7"/>
        <v/>
      </c>
      <c r="AL66" s="295" t="str">
        <f t="shared" si="8"/>
        <v/>
      </c>
      <c r="AM66" s="299" t="str">
        <f>IFERROR(IF(F66="","",IF(AH66="Check Data ⚠","Check Data ⚠",VLOOKUP(AL66,'G-3 Multipliers'!$P$2:$Q$6,2,FALSE))),"")</f>
        <v/>
      </c>
      <c r="AN66" s="712" t="str">
        <f>IF(E66="","",IF(ISNA(VLOOKUP($E66,'D-1 Off-Site Habitat Baseline'!$D$1:$Z$258,15,FALSE)),"",(VLOOKUP($E66,'D-1 Off-Site Habitat Baseline'!$D$1:$Z$258,15,FALSE))))</f>
        <v/>
      </c>
      <c r="AO66" s="329" t="str">
        <f>IF(AN66="","",IF(VLOOKUP(AN66,'G-3 Multipliers'!$S$3:$T$10,2,FALSE)=0,"Spatial Data Missing ⚠",VLOOKUP(AN66,'G-3 Multipliers'!$S$3:$T$10,2,FALSE)))</f>
        <v/>
      </c>
      <c r="AP66" s="289" t="str">
        <f t="shared" si="9"/>
        <v/>
      </c>
      <c r="AQ66" s="289" t="str">
        <f t="shared" si="10"/>
        <v/>
      </c>
      <c r="AR66" s="105"/>
      <c r="AS66" s="138"/>
      <c r="AT66" s="104"/>
      <c r="AU66" s="104"/>
      <c r="AY66" s="30" t="str">
        <f>IF(E66="","",IF(ISNA(VLOOKUP($E66,'D-1 Off-Site Habitat Baseline'!$D$1:$AV$258,4,FALSE)),"",(VLOOKUP($E66,'D-1 Off-Site Habitat Baseline'!$D$1:$AV$258,4,FALSE))))</f>
        <v/>
      </c>
    </row>
    <row r="67" spans="1:51" ht="14">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319" t="str">
        <f>'D-1 Off-Site Habitat Baseline'!AP66</f>
        <v/>
      </c>
      <c r="F67" s="283" t="str">
        <f>IF(E67="","",IF(ISNA(VLOOKUP($E67,'D-1 Off-Site Habitat Baseline'!$D$1:$ZZ$258,45,FALSE)),"",(VLOOKUP($E67,'D-1 Off-Site Habitat Baseline'!$D$1:$ZZ$258,45,FALSE))))</f>
        <v/>
      </c>
      <c r="G67" s="295" t="str">
        <f>IF(E67="","",IF(ISNA(VLOOKUP($E67,'D-1 Off-Site Habitat Baseline'!$D$1:$O$258,5,FALSE)),"",(VLOOKUP($E67,'D-1 Off-Site Habitat Baseline'!$D$1:$O$258,5,FALSE))))</f>
        <v/>
      </c>
      <c r="H67" s="295" t="str">
        <f>IF(E67="","",IF(ISNA(VLOOKUP($E67,'D-1 Off-Site Habitat Baseline'!$D$1:$O$258,6,FALSE)),"",(VLOOKUP($E67,'D-1 Off-Site Habitat Baseline'!$D$1:$O$258,6,FALSE))))</f>
        <v/>
      </c>
      <c r="I67" s="295" t="str">
        <f>IF(E67="","",IF(ISNA(VLOOKUP($E67,'D-1 Off-Site Habitat Baseline'!$D$1:$O$258,7,FALSE)),"",(VLOOKUP($E67,'D-1 Off-Site Habitat Baseline'!$D$1:$O$258,7,FALSE))))</f>
        <v/>
      </c>
      <c r="J67" s="295" t="str">
        <f>IF(E67="","",IF(ISNA(VLOOKUP($E67,'D-1 Off-Site Habitat Baseline'!$D$1:$O$258,8,FALSE)),"",(VLOOKUP($E67,'D-1 Off-Site Habitat Baseline'!$D$1:$O$258,8,FALSE))))</f>
        <v/>
      </c>
      <c r="K67" s="295" t="str">
        <f>IF(E67="","",IF(ISNA(VLOOKUP($E67,'D-1 Off-Site Habitat Baseline'!$D$1:$O$258,9,FALSE)),"",(VLOOKUP($E67,'D-1 Off-Site Habitat Baseline'!$D$1:$O$258,9,FALSE))))</f>
        <v/>
      </c>
      <c r="L67" s="295" t="str">
        <f>IF(E67="","",IF(ISNA(VLOOKUP($E67,'D-1 Off-Site Habitat Baseline'!$D$1:$O$258,11,FALSE)),"",(VLOOKUP($E67,'D-1 Off-Site Habitat Baseline'!$D$1:$O$258,11,FALSE))))</f>
        <v/>
      </c>
      <c r="M67" s="295" t="str">
        <f>IF(E67="","",IF(ISNA(VLOOKUP($E67,'D-1 Off-Site Habitat Baseline'!$D$1:$O$258,12,FALSE)),"",(VLOOKUP($E67,'D-1 Off-Site Habitat Baseline'!$D$1:$O$258,12,FALSE))))</f>
        <v/>
      </c>
      <c r="N67" s="295" t="str">
        <f>IF(E67="","",IF(ISNA(VLOOKUP($E67,'D-1 Off-Site Habitat Baseline'!$D$1:$AA$258,17,FALSE)),"",(VLOOKUP($E67,'D-1 Off-Site Habitat Baseline'!$D$1:$AA$258,17,FALSE))))</f>
        <v/>
      </c>
      <c r="O67" s="299" t="str">
        <f>IF(E67="","",IF(ISNA(VLOOKUP($E67,'D-1 Off-Site Habitat Baseline'!$D$1:$AA$258,13,FALSE)),"",(VLOOKUP($E67,'D-1 Off-Site Habitat Baseline'!$D$1:$AA$258,13,FALSE))))</f>
        <v/>
      </c>
      <c r="P67" s="148" t="str">
        <f>IFERROR(INDEX('G-1 All Habitats'!$AG$49:$AG$63,MATCH(Q67,'G-1 All Habitats'!$AF$27:$AF$41,0)),"")</f>
        <v/>
      </c>
      <c r="Q67" s="149" t="str">
        <f t="shared" si="0"/>
        <v/>
      </c>
      <c r="R67" s="150"/>
      <c r="S67" s="151" t="str">
        <f>IFERROR(INDEX('G-1 All Habitats'!$B$3:$B$135,MATCH(R67,'G-1 All Habitats'!$A$3:$A$135,0)),"")</f>
        <v/>
      </c>
      <c r="T67" s="283" t="str">
        <f t="shared" si="2"/>
        <v/>
      </c>
      <c r="U67" s="276" t="str">
        <f t="shared" si="3"/>
        <v/>
      </c>
      <c r="V67" s="298" t="str">
        <f t="shared" si="4"/>
        <v/>
      </c>
      <c r="W67" s="295" t="str">
        <f>IF(S67="","",VLOOKUP(S67,'G-1 All Habitats'!$B$2:$M$135,10,FALSE))</f>
        <v/>
      </c>
      <c r="X67" s="295" t="str">
        <f>IFERROR(VLOOKUP(W67,'G-1 All Habitats'!$V$3:$W$7,2,FALSE),"")</f>
        <v/>
      </c>
      <c r="Y67" s="138"/>
      <c r="Z67" s="299" t="str">
        <f>IFERROR(INDEX('G-8 Condition Look up'!$A$3:$H$135,MATCH(S67,'G-8 Condition Look up'!$A$3:$A$135,0),MATCH(Y67,'G-8 Condition Look up'!$A$3:$H$3,0)),"")</f>
        <v/>
      </c>
      <c r="AA67" s="101"/>
      <c r="AB67" s="314" t="str">
        <f>IF(AA67="","",IF(VLOOKUP(AA67,'G-3 Multipliers'!$L$3:$N$6,2,FALSE)=0,"Spatial Data Missing ⚠",VLOOKUP(AA67,'G-3 Multipliers'!$L$3:$N$6,2,FALSE)))</f>
        <v/>
      </c>
      <c r="AC67" s="299" t="str">
        <f>IF(AA67="","",IF(VLOOKUP(AA67,'G-3 Multipliers'!$L$3:$N$6,3,FALSE)=0,"Spatial Data Missing ⚠",VLOOKUP(AA67,'G-3 Multipliers'!$L$3:$N$6,3,FALSE)))</f>
        <v/>
      </c>
      <c r="AD67" s="311" t="str">
        <f t="shared" si="1"/>
        <v/>
      </c>
      <c r="AE67" s="138"/>
      <c r="AF67" s="138"/>
      <c r="AG67" s="295" t="str">
        <f t="shared" si="5"/>
        <v/>
      </c>
      <c r="AH67" s="296" t="str">
        <f t="shared" si="6"/>
        <v/>
      </c>
      <c r="AI67" s="300" t="str">
        <f>IF(AH67="Check Data ⚠","Check Data ⚠",IFERROR(VLOOKUP(AH67,'G-4 Temporal multipliers'!$A$4:$C$36,3,FALSE),""))</f>
        <v/>
      </c>
      <c r="AJ67" s="311" t="str">
        <f>IF(S67="","",VLOOKUP(S67,'G-3 Multipliers'!$A$2:$E$134,4,FALSE))</f>
        <v/>
      </c>
      <c r="AK67" s="295" t="str">
        <f t="shared" si="7"/>
        <v/>
      </c>
      <c r="AL67" s="295" t="str">
        <f t="shared" si="8"/>
        <v/>
      </c>
      <c r="AM67" s="299" t="str">
        <f>IFERROR(IF(F67="","",IF(AH67="Check Data ⚠","Check Data ⚠",VLOOKUP(AL67,'G-3 Multipliers'!$P$2:$Q$6,2,FALSE))),"")</f>
        <v/>
      </c>
      <c r="AN67" s="712" t="str">
        <f>IF(E67="","",IF(ISNA(VLOOKUP($E67,'D-1 Off-Site Habitat Baseline'!$D$1:$Z$258,15,FALSE)),"",(VLOOKUP($E67,'D-1 Off-Site Habitat Baseline'!$D$1:$Z$258,15,FALSE))))</f>
        <v/>
      </c>
      <c r="AO67" s="329" t="str">
        <f>IF(AN67="","",IF(VLOOKUP(AN67,'G-3 Multipliers'!$S$3:$T$10,2,FALSE)=0,"Spatial Data Missing ⚠",VLOOKUP(AN67,'G-3 Multipliers'!$S$3:$T$10,2,FALSE)))</f>
        <v/>
      </c>
      <c r="AP67" s="289" t="str">
        <f t="shared" si="9"/>
        <v/>
      </c>
      <c r="AQ67" s="289" t="str">
        <f t="shared" si="10"/>
        <v/>
      </c>
      <c r="AR67" s="105"/>
      <c r="AS67" s="138"/>
      <c r="AT67" s="104"/>
      <c r="AU67" s="104"/>
      <c r="AY67" s="30" t="str">
        <f>IF(E67="","",IF(ISNA(VLOOKUP($E67,'D-1 Off-Site Habitat Baseline'!$D$1:$AV$258,4,FALSE)),"",(VLOOKUP($E67,'D-1 Off-Site Habitat Baseline'!$D$1:$AV$258,4,FALSE))))</f>
        <v/>
      </c>
    </row>
    <row r="68" spans="1:51" ht="14">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319" t="str">
        <f>'D-1 Off-Site Habitat Baseline'!AP67</f>
        <v/>
      </c>
      <c r="F68" s="283" t="str">
        <f>IF(E68="","",IF(ISNA(VLOOKUP($E68,'D-1 Off-Site Habitat Baseline'!$D$1:$ZZ$258,45,FALSE)),"",(VLOOKUP($E68,'D-1 Off-Site Habitat Baseline'!$D$1:$ZZ$258,45,FALSE))))</f>
        <v/>
      </c>
      <c r="G68" s="295" t="str">
        <f>IF(E68="","",IF(ISNA(VLOOKUP($E68,'D-1 Off-Site Habitat Baseline'!$D$1:$O$258,5,FALSE)),"",(VLOOKUP($E68,'D-1 Off-Site Habitat Baseline'!$D$1:$O$258,5,FALSE))))</f>
        <v/>
      </c>
      <c r="H68" s="295" t="str">
        <f>IF(E68="","",IF(ISNA(VLOOKUP($E68,'D-1 Off-Site Habitat Baseline'!$D$1:$O$258,6,FALSE)),"",(VLOOKUP($E68,'D-1 Off-Site Habitat Baseline'!$D$1:$O$258,6,FALSE))))</f>
        <v/>
      </c>
      <c r="I68" s="295" t="str">
        <f>IF(E68="","",IF(ISNA(VLOOKUP($E68,'D-1 Off-Site Habitat Baseline'!$D$1:$O$258,7,FALSE)),"",(VLOOKUP($E68,'D-1 Off-Site Habitat Baseline'!$D$1:$O$258,7,FALSE))))</f>
        <v/>
      </c>
      <c r="J68" s="295" t="str">
        <f>IF(E68="","",IF(ISNA(VLOOKUP($E68,'D-1 Off-Site Habitat Baseline'!$D$1:$O$258,8,FALSE)),"",(VLOOKUP($E68,'D-1 Off-Site Habitat Baseline'!$D$1:$O$258,8,FALSE))))</f>
        <v/>
      </c>
      <c r="K68" s="295" t="str">
        <f>IF(E68="","",IF(ISNA(VLOOKUP($E68,'D-1 Off-Site Habitat Baseline'!$D$1:$O$258,9,FALSE)),"",(VLOOKUP($E68,'D-1 Off-Site Habitat Baseline'!$D$1:$O$258,9,FALSE))))</f>
        <v/>
      </c>
      <c r="L68" s="295" t="str">
        <f>IF(E68="","",IF(ISNA(VLOOKUP($E68,'D-1 Off-Site Habitat Baseline'!$D$1:$O$258,11,FALSE)),"",(VLOOKUP($E68,'D-1 Off-Site Habitat Baseline'!$D$1:$O$258,11,FALSE))))</f>
        <v/>
      </c>
      <c r="M68" s="295" t="str">
        <f>IF(E68="","",IF(ISNA(VLOOKUP($E68,'D-1 Off-Site Habitat Baseline'!$D$1:$O$258,12,FALSE)),"",(VLOOKUP($E68,'D-1 Off-Site Habitat Baseline'!$D$1:$O$258,12,FALSE))))</f>
        <v/>
      </c>
      <c r="N68" s="295" t="str">
        <f>IF(E68="","",IF(ISNA(VLOOKUP($E68,'D-1 Off-Site Habitat Baseline'!$D$1:$AA$258,17,FALSE)),"",(VLOOKUP($E68,'D-1 Off-Site Habitat Baseline'!$D$1:$AA$258,17,FALSE))))</f>
        <v/>
      </c>
      <c r="O68" s="299" t="str">
        <f>IF(E68="","",IF(ISNA(VLOOKUP($E68,'D-1 Off-Site Habitat Baseline'!$D$1:$AA$258,13,FALSE)),"",(VLOOKUP($E68,'D-1 Off-Site Habitat Baseline'!$D$1:$AA$258,13,FALSE))))</f>
        <v/>
      </c>
      <c r="P68" s="148" t="str">
        <f>IFERROR(INDEX('G-1 All Habitats'!$AG$49:$AG$63,MATCH(Q68,'G-1 All Habitats'!$AF$27:$AF$41,0)),"")</f>
        <v/>
      </c>
      <c r="Q68" s="149" t="str">
        <f t="shared" si="0"/>
        <v/>
      </c>
      <c r="R68" s="150"/>
      <c r="S68" s="151" t="str">
        <f>IFERROR(INDEX('G-1 All Habitats'!$B$3:$B$135,MATCH(R68,'G-1 All Habitats'!$A$3:$A$135,0)),"")</f>
        <v/>
      </c>
      <c r="T68" s="283" t="str">
        <f t="shared" si="2"/>
        <v/>
      </c>
      <c r="U68" s="276" t="str">
        <f t="shared" si="3"/>
        <v/>
      </c>
      <c r="V68" s="298" t="str">
        <f t="shared" si="4"/>
        <v/>
      </c>
      <c r="W68" s="295" t="str">
        <f>IF(S68="","",VLOOKUP(S68,'G-1 All Habitats'!$B$2:$M$135,10,FALSE))</f>
        <v/>
      </c>
      <c r="X68" s="295" t="str">
        <f>IFERROR(VLOOKUP(W68,'G-1 All Habitats'!$V$3:$W$7,2,FALSE),"")</f>
        <v/>
      </c>
      <c r="Y68" s="138"/>
      <c r="Z68" s="299" t="str">
        <f>IFERROR(INDEX('G-8 Condition Look up'!$A$3:$H$135,MATCH(S68,'G-8 Condition Look up'!$A$3:$A$135,0),MATCH(Y68,'G-8 Condition Look up'!$A$3:$H$3,0)),"")</f>
        <v/>
      </c>
      <c r="AA68" s="101"/>
      <c r="AB68" s="314" t="str">
        <f>IF(AA68="","",IF(VLOOKUP(AA68,'G-3 Multipliers'!$L$3:$N$6,2,FALSE)=0,"Spatial Data Missing ⚠",VLOOKUP(AA68,'G-3 Multipliers'!$L$3:$N$6,2,FALSE)))</f>
        <v/>
      </c>
      <c r="AC68" s="299" t="str">
        <f>IF(AA68="","",IF(VLOOKUP(AA68,'G-3 Multipliers'!$L$3:$N$6,3,FALSE)=0,"Spatial Data Missing ⚠",VLOOKUP(AA68,'G-3 Multipliers'!$L$3:$N$6,3,FALSE)))</f>
        <v/>
      </c>
      <c r="AD68" s="311" t="str">
        <f t="shared" si="1"/>
        <v/>
      </c>
      <c r="AE68" s="138"/>
      <c r="AF68" s="138"/>
      <c r="AG68" s="295" t="str">
        <f t="shared" si="5"/>
        <v/>
      </c>
      <c r="AH68" s="296" t="str">
        <f t="shared" si="6"/>
        <v/>
      </c>
      <c r="AI68" s="300" t="str">
        <f>IF(AH68="Check Data ⚠","Check Data ⚠",IFERROR(VLOOKUP(AH68,'G-4 Temporal multipliers'!$A$4:$C$36,3,FALSE),""))</f>
        <v/>
      </c>
      <c r="AJ68" s="311" t="str">
        <f>IF(S68="","",VLOOKUP(S68,'G-3 Multipliers'!$A$2:$E$134,4,FALSE))</f>
        <v/>
      </c>
      <c r="AK68" s="295" t="str">
        <f t="shared" si="7"/>
        <v/>
      </c>
      <c r="AL68" s="295" t="str">
        <f t="shared" si="8"/>
        <v/>
      </c>
      <c r="AM68" s="299" t="str">
        <f>IFERROR(IF(F68="","",IF(AH68="Check Data ⚠","Check Data ⚠",VLOOKUP(AL68,'G-3 Multipliers'!$P$2:$Q$6,2,FALSE))),"")</f>
        <v/>
      </c>
      <c r="AN68" s="712" t="str">
        <f>IF(E68="","",IF(ISNA(VLOOKUP($E68,'D-1 Off-Site Habitat Baseline'!$D$1:$Z$258,15,FALSE)),"",(VLOOKUP($E68,'D-1 Off-Site Habitat Baseline'!$D$1:$Z$258,15,FALSE))))</f>
        <v/>
      </c>
      <c r="AO68" s="329" t="str">
        <f>IF(AN68="","",IF(VLOOKUP(AN68,'G-3 Multipliers'!$S$3:$T$10,2,FALSE)=0,"Spatial Data Missing ⚠",VLOOKUP(AN68,'G-3 Multipliers'!$S$3:$T$10,2,FALSE)))</f>
        <v/>
      </c>
      <c r="AP68" s="289" t="str">
        <f t="shared" si="9"/>
        <v/>
      </c>
      <c r="AQ68" s="289" t="str">
        <f t="shared" si="10"/>
        <v/>
      </c>
      <c r="AR68" s="105"/>
      <c r="AS68" s="138"/>
      <c r="AT68" s="104"/>
      <c r="AU68" s="104"/>
      <c r="AY68" s="30" t="str">
        <f>IF(E68="","",IF(ISNA(VLOOKUP($E68,'D-1 Off-Site Habitat Baseline'!$D$1:$AV$258,4,FALSE)),"",(VLOOKUP($E68,'D-1 Off-Site Habitat Baseline'!$D$1:$AV$258,4,FALSE))))</f>
        <v/>
      </c>
    </row>
    <row r="69" spans="1:51" ht="14">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319" t="str">
        <f>'D-1 Off-Site Habitat Baseline'!AP68</f>
        <v/>
      </c>
      <c r="F69" s="283" t="str">
        <f>IF(E69="","",IF(ISNA(VLOOKUP($E69,'D-1 Off-Site Habitat Baseline'!$D$1:$ZZ$258,45,FALSE)),"",(VLOOKUP($E69,'D-1 Off-Site Habitat Baseline'!$D$1:$ZZ$258,45,FALSE))))</f>
        <v/>
      </c>
      <c r="G69" s="295" t="str">
        <f>IF(E69="","",IF(ISNA(VLOOKUP($E69,'D-1 Off-Site Habitat Baseline'!$D$1:$O$258,5,FALSE)),"",(VLOOKUP($E69,'D-1 Off-Site Habitat Baseline'!$D$1:$O$258,5,FALSE))))</f>
        <v/>
      </c>
      <c r="H69" s="295" t="str">
        <f>IF(E69="","",IF(ISNA(VLOOKUP($E69,'D-1 Off-Site Habitat Baseline'!$D$1:$O$258,6,FALSE)),"",(VLOOKUP($E69,'D-1 Off-Site Habitat Baseline'!$D$1:$O$258,6,FALSE))))</f>
        <v/>
      </c>
      <c r="I69" s="295" t="str">
        <f>IF(E69="","",IF(ISNA(VLOOKUP($E69,'D-1 Off-Site Habitat Baseline'!$D$1:$O$258,7,FALSE)),"",(VLOOKUP($E69,'D-1 Off-Site Habitat Baseline'!$D$1:$O$258,7,FALSE))))</f>
        <v/>
      </c>
      <c r="J69" s="295" t="str">
        <f>IF(E69="","",IF(ISNA(VLOOKUP($E69,'D-1 Off-Site Habitat Baseline'!$D$1:$O$258,8,FALSE)),"",(VLOOKUP($E69,'D-1 Off-Site Habitat Baseline'!$D$1:$O$258,8,FALSE))))</f>
        <v/>
      </c>
      <c r="K69" s="295" t="str">
        <f>IF(E69="","",IF(ISNA(VLOOKUP($E69,'D-1 Off-Site Habitat Baseline'!$D$1:$O$258,9,FALSE)),"",(VLOOKUP($E69,'D-1 Off-Site Habitat Baseline'!$D$1:$O$258,9,FALSE))))</f>
        <v/>
      </c>
      <c r="L69" s="295" t="str">
        <f>IF(E69="","",IF(ISNA(VLOOKUP($E69,'D-1 Off-Site Habitat Baseline'!$D$1:$O$258,11,FALSE)),"",(VLOOKUP($E69,'D-1 Off-Site Habitat Baseline'!$D$1:$O$258,11,FALSE))))</f>
        <v/>
      </c>
      <c r="M69" s="295" t="str">
        <f>IF(E69="","",IF(ISNA(VLOOKUP($E69,'D-1 Off-Site Habitat Baseline'!$D$1:$O$258,12,FALSE)),"",(VLOOKUP($E69,'D-1 Off-Site Habitat Baseline'!$D$1:$O$258,12,FALSE))))</f>
        <v/>
      </c>
      <c r="N69" s="295" t="str">
        <f>IF(E69="","",IF(ISNA(VLOOKUP($E69,'D-1 Off-Site Habitat Baseline'!$D$1:$AA$258,17,FALSE)),"",(VLOOKUP($E69,'D-1 Off-Site Habitat Baseline'!$D$1:$AA$258,17,FALSE))))</f>
        <v/>
      </c>
      <c r="O69" s="299" t="str">
        <f>IF(E69="","",IF(ISNA(VLOOKUP($E69,'D-1 Off-Site Habitat Baseline'!$D$1:$AA$258,13,FALSE)),"",(VLOOKUP($E69,'D-1 Off-Site Habitat Baseline'!$D$1:$AA$258,13,FALSE))))</f>
        <v/>
      </c>
      <c r="P69" s="148" t="str">
        <f>IFERROR(INDEX('G-1 All Habitats'!$AG$49:$AG$63,MATCH(Q69,'G-1 All Habitats'!$AF$27:$AF$41,0)),"")</f>
        <v/>
      </c>
      <c r="Q69" s="149" t="str">
        <f t="shared" si="0"/>
        <v/>
      </c>
      <c r="R69" s="150"/>
      <c r="S69" s="151" t="str">
        <f>IFERROR(INDEX('G-1 All Habitats'!$B$3:$B$135,MATCH(R69,'G-1 All Habitats'!$A$3:$A$135,0)),"")</f>
        <v/>
      </c>
      <c r="T69" s="283" t="str">
        <f t="shared" si="2"/>
        <v/>
      </c>
      <c r="U69" s="276" t="str">
        <f t="shared" si="3"/>
        <v/>
      </c>
      <c r="V69" s="298" t="str">
        <f t="shared" si="4"/>
        <v/>
      </c>
      <c r="W69" s="295" t="str">
        <f>IF(S69="","",VLOOKUP(S69,'G-1 All Habitats'!$B$2:$M$135,10,FALSE))</f>
        <v/>
      </c>
      <c r="X69" s="295" t="str">
        <f>IFERROR(VLOOKUP(W69,'G-1 All Habitats'!$V$3:$W$7,2,FALSE),"")</f>
        <v/>
      </c>
      <c r="Y69" s="138"/>
      <c r="Z69" s="299" t="str">
        <f>IFERROR(INDEX('G-8 Condition Look up'!$A$3:$H$135,MATCH(S69,'G-8 Condition Look up'!$A$3:$A$135,0),MATCH(Y69,'G-8 Condition Look up'!$A$3:$H$3,0)),"")</f>
        <v/>
      </c>
      <c r="AA69" s="101"/>
      <c r="AB69" s="314" t="str">
        <f>IF(AA69="","",IF(VLOOKUP(AA69,'G-3 Multipliers'!$L$3:$N$6,2,FALSE)=0,"Spatial Data Missing ⚠",VLOOKUP(AA69,'G-3 Multipliers'!$L$3:$N$6,2,FALSE)))</f>
        <v/>
      </c>
      <c r="AC69" s="299" t="str">
        <f>IF(AA69="","",IF(VLOOKUP(AA69,'G-3 Multipliers'!$L$3:$N$6,3,FALSE)=0,"Spatial Data Missing ⚠",VLOOKUP(AA69,'G-3 Multipliers'!$L$3:$N$6,3,FALSE)))</f>
        <v/>
      </c>
      <c r="AD69" s="311" t="str">
        <f t="shared" si="1"/>
        <v/>
      </c>
      <c r="AE69" s="138"/>
      <c r="AF69" s="138"/>
      <c r="AG69" s="295" t="str">
        <f t="shared" si="5"/>
        <v/>
      </c>
      <c r="AH69" s="296" t="str">
        <f t="shared" si="6"/>
        <v/>
      </c>
      <c r="AI69" s="300" t="str">
        <f>IF(AH69="Check Data ⚠","Check Data ⚠",IFERROR(VLOOKUP(AH69,'G-4 Temporal multipliers'!$A$4:$C$36,3,FALSE),""))</f>
        <v/>
      </c>
      <c r="AJ69" s="311" t="str">
        <f>IF(S69="","",VLOOKUP(S69,'G-3 Multipliers'!$A$2:$E$134,4,FALSE))</f>
        <v/>
      </c>
      <c r="AK69" s="295" t="str">
        <f t="shared" si="7"/>
        <v/>
      </c>
      <c r="AL69" s="295" t="str">
        <f t="shared" si="8"/>
        <v/>
      </c>
      <c r="AM69" s="299" t="str">
        <f>IFERROR(IF(F69="","",IF(AH69="Check Data ⚠","Check Data ⚠",VLOOKUP(AL69,'G-3 Multipliers'!$P$2:$Q$6,2,FALSE))),"")</f>
        <v/>
      </c>
      <c r="AN69" s="712" t="str">
        <f>IF(E69="","",IF(ISNA(VLOOKUP($E69,'D-1 Off-Site Habitat Baseline'!$D$1:$Z$258,15,FALSE)),"",(VLOOKUP($E69,'D-1 Off-Site Habitat Baseline'!$D$1:$Z$258,15,FALSE))))</f>
        <v/>
      </c>
      <c r="AO69" s="329" t="str">
        <f>IF(AN69="","",IF(VLOOKUP(AN69,'G-3 Multipliers'!$S$3:$T$10,2,FALSE)=0,"Spatial Data Missing ⚠",VLOOKUP(AN69,'G-3 Multipliers'!$S$3:$T$10,2,FALSE)))</f>
        <v/>
      </c>
      <c r="AP69" s="289" t="str">
        <f t="shared" si="9"/>
        <v/>
      </c>
      <c r="AQ69" s="289" t="str">
        <f t="shared" si="10"/>
        <v/>
      </c>
      <c r="AR69" s="105"/>
      <c r="AS69" s="138"/>
      <c r="AT69" s="104"/>
      <c r="AU69" s="104"/>
      <c r="AY69" s="30" t="str">
        <f>IF(E69="","",IF(ISNA(VLOOKUP($E69,'D-1 Off-Site Habitat Baseline'!$D$1:$AV$258,4,FALSE)),"",(VLOOKUP($E69,'D-1 Off-Site Habitat Baseline'!$D$1:$AV$258,4,FALSE))))</f>
        <v/>
      </c>
    </row>
    <row r="70" spans="1:51" ht="14">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319" t="str">
        <f>'D-1 Off-Site Habitat Baseline'!AP69</f>
        <v/>
      </c>
      <c r="F70" s="283" t="str">
        <f>IF(E70="","",IF(ISNA(VLOOKUP($E70,'D-1 Off-Site Habitat Baseline'!$D$1:$ZZ$258,45,FALSE)),"",(VLOOKUP($E70,'D-1 Off-Site Habitat Baseline'!$D$1:$ZZ$258,45,FALSE))))</f>
        <v/>
      </c>
      <c r="G70" s="295" t="str">
        <f>IF(E70="","",IF(ISNA(VLOOKUP($E70,'D-1 Off-Site Habitat Baseline'!$D$1:$O$258,5,FALSE)),"",(VLOOKUP($E70,'D-1 Off-Site Habitat Baseline'!$D$1:$O$258,5,FALSE))))</f>
        <v/>
      </c>
      <c r="H70" s="295" t="str">
        <f>IF(E70="","",IF(ISNA(VLOOKUP($E70,'D-1 Off-Site Habitat Baseline'!$D$1:$O$258,6,FALSE)),"",(VLOOKUP($E70,'D-1 Off-Site Habitat Baseline'!$D$1:$O$258,6,FALSE))))</f>
        <v/>
      </c>
      <c r="I70" s="295" t="str">
        <f>IF(E70="","",IF(ISNA(VLOOKUP($E70,'D-1 Off-Site Habitat Baseline'!$D$1:$O$258,7,FALSE)),"",(VLOOKUP($E70,'D-1 Off-Site Habitat Baseline'!$D$1:$O$258,7,FALSE))))</f>
        <v/>
      </c>
      <c r="J70" s="295" t="str">
        <f>IF(E70="","",IF(ISNA(VLOOKUP($E70,'D-1 Off-Site Habitat Baseline'!$D$1:$O$258,8,FALSE)),"",(VLOOKUP($E70,'D-1 Off-Site Habitat Baseline'!$D$1:$O$258,8,FALSE))))</f>
        <v/>
      </c>
      <c r="K70" s="295" t="str">
        <f>IF(E70="","",IF(ISNA(VLOOKUP($E70,'D-1 Off-Site Habitat Baseline'!$D$1:$O$258,9,FALSE)),"",(VLOOKUP($E70,'D-1 Off-Site Habitat Baseline'!$D$1:$O$258,9,FALSE))))</f>
        <v/>
      </c>
      <c r="L70" s="295" t="str">
        <f>IF(E70="","",IF(ISNA(VLOOKUP($E70,'D-1 Off-Site Habitat Baseline'!$D$1:$O$258,11,FALSE)),"",(VLOOKUP($E70,'D-1 Off-Site Habitat Baseline'!$D$1:$O$258,11,FALSE))))</f>
        <v/>
      </c>
      <c r="M70" s="295" t="str">
        <f>IF(E70="","",IF(ISNA(VLOOKUP($E70,'D-1 Off-Site Habitat Baseline'!$D$1:$O$258,12,FALSE)),"",(VLOOKUP($E70,'D-1 Off-Site Habitat Baseline'!$D$1:$O$258,12,FALSE))))</f>
        <v/>
      </c>
      <c r="N70" s="295" t="str">
        <f>IF(E70="","",IF(ISNA(VLOOKUP($E70,'D-1 Off-Site Habitat Baseline'!$D$1:$AA$258,17,FALSE)),"",(VLOOKUP($E70,'D-1 Off-Site Habitat Baseline'!$D$1:$AA$258,17,FALSE))))</f>
        <v/>
      </c>
      <c r="O70" s="299" t="str">
        <f>IF(E70="","",IF(ISNA(VLOOKUP($E70,'D-1 Off-Site Habitat Baseline'!$D$1:$AA$258,13,FALSE)),"",(VLOOKUP($E70,'D-1 Off-Site Habitat Baseline'!$D$1:$AA$258,13,FALSE))))</f>
        <v/>
      </c>
      <c r="P70" s="148" t="str">
        <f>IFERROR(INDEX('G-1 All Habitats'!$AG$49:$AG$63,MATCH(Q70,'G-1 All Habitats'!$AF$27:$AF$41,0)),"")</f>
        <v/>
      </c>
      <c r="Q70" s="149" t="str">
        <f t="shared" si="0"/>
        <v/>
      </c>
      <c r="R70" s="150"/>
      <c r="S70" s="151" t="str">
        <f>IFERROR(INDEX('G-1 All Habitats'!$B$3:$B$135,MATCH(R70,'G-1 All Habitats'!$A$3:$A$135,0)),"")</f>
        <v/>
      </c>
      <c r="T70" s="283" t="str">
        <f t="shared" si="2"/>
        <v/>
      </c>
      <c r="U70" s="276" t="str">
        <f t="shared" si="3"/>
        <v/>
      </c>
      <c r="V70" s="298" t="str">
        <f t="shared" si="4"/>
        <v/>
      </c>
      <c r="W70" s="295" t="str">
        <f>IF(S70="","",VLOOKUP(S70,'G-1 All Habitats'!$B$2:$M$135,10,FALSE))</f>
        <v/>
      </c>
      <c r="X70" s="295" t="str">
        <f>IFERROR(VLOOKUP(W70,'G-1 All Habitats'!$V$3:$W$7,2,FALSE),"")</f>
        <v/>
      </c>
      <c r="Y70" s="138"/>
      <c r="Z70" s="299" t="str">
        <f>IFERROR(INDEX('G-8 Condition Look up'!$A$3:$H$135,MATCH(S70,'G-8 Condition Look up'!$A$3:$A$135,0),MATCH(Y70,'G-8 Condition Look up'!$A$3:$H$3,0)),"")</f>
        <v/>
      </c>
      <c r="AA70" s="101"/>
      <c r="AB70" s="314" t="str">
        <f>IF(AA70="","",IF(VLOOKUP(AA70,'G-3 Multipliers'!$L$3:$N$6,2,FALSE)=0,"Spatial Data Missing ⚠",VLOOKUP(AA70,'G-3 Multipliers'!$L$3:$N$6,2,FALSE)))</f>
        <v/>
      </c>
      <c r="AC70" s="299" t="str">
        <f>IF(AA70="","",IF(VLOOKUP(AA70,'G-3 Multipliers'!$L$3:$N$6,3,FALSE)=0,"Spatial Data Missing ⚠",VLOOKUP(AA70,'G-3 Multipliers'!$L$3:$N$6,3,FALSE)))</f>
        <v/>
      </c>
      <c r="AD70" s="311" t="str">
        <f t="shared" si="1"/>
        <v/>
      </c>
      <c r="AE70" s="138"/>
      <c r="AF70" s="138"/>
      <c r="AG70" s="295" t="str">
        <f t="shared" si="5"/>
        <v/>
      </c>
      <c r="AH70" s="296" t="str">
        <f t="shared" si="6"/>
        <v/>
      </c>
      <c r="AI70" s="300" t="str">
        <f>IF(AH70="Check Data ⚠","Check Data ⚠",IFERROR(VLOOKUP(AH70,'G-4 Temporal multipliers'!$A$4:$C$36,3,FALSE),""))</f>
        <v/>
      </c>
      <c r="AJ70" s="311" t="str">
        <f>IF(S70="","",VLOOKUP(S70,'G-3 Multipliers'!$A$2:$E$134,4,FALSE))</f>
        <v/>
      </c>
      <c r="AK70" s="295" t="str">
        <f t="shared" si="7"/>
        <v/>
      </c>
      <c r="AL70" s="295" t="str">
        <f t="shared" si="8"/>
        <v/>
      </c>
      <c r="AM70" s="299" t="str">
        <f>IFERROR(IF(F70="","",IF(AH70="Check Data ⚠","Check Data ⚠",VLOOKUP(AL70,'G-3 Multipliers'!$P$2:$Q$6,2,FALSE))),"")</f>
        <v/>
      </c>
      <c r="AN70" s="712" t="str">
        <f>IF(E70="","",IF(ISNA(VLOOKUP($E70,'D-1 Off-Site Habitat Baseline'!$D$1:$Z$258,15,FALSE)),"",(VLOOKUP($E70,'D-1 Off-Site Habitat Baseline'!$D$1:$Z$258,15,FALSE))))</f>
        <v/>
      </c>
      <c r="AO70" s="329" t="str">
        <f>IF(AN70="","",IF(VLOOKUP(AN70,'G-3 Multipliers'!$S$3:$T$10,2,FALSE)=0,"Spatial Data Missing ⚠",VLOOKUP(AN70,'G-3 Multipliers'!$S$3:$T$10,2,FALSE)))</f>
        <v/>
      </c>
      <c r="AP70" s="289" t="str">
        <f t="shared" si="9"/>
        <v/>
      </c>
      <c r="AQ70" s="289" t="str">
        <f t="shared" si="10"/>
        <v/>
      </c>
      <c r="AR70" s="105"/>
      <c r="AS70" s="138"/>
      <c r="AT70" s="104"/>
      <c r="AU70" s="104"/>
      <c r="AY70" s="30" t="str">
        <f>IF(E70="","",IF(ISNA(VLOOKUP($E70,'D-1 Off-Site Habitat Baseline'!$D$1:$AV$258,4,FALSE)),"",(VLOOKUP($E70,'D-1 Off-Site Habitat Baseline'!$D$1:$AV$258,4,FALSE))))</f>
        <v/>
      </c>
    </row>
    <row r="71" spans="1:51" ht="14">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319" t="str">
        <f>'D-1 Off-Site Habitat Baseline'!AP70</f>
        <v/>
      </c>
      <c r="F71" s="283" t="str">
        <f>IF(E71="","",IF(ISNA(VLOOKUP($E71,'D-1 Off-Site Habitat Baseline'!$D$1:$ZZ$258,45,FALSE)),"",(VLOOKUP($E71,'D-1 Off-Site Habitat Baseline'!$D$1:$ZZ$258,45,FALSE))))</f>
        <v/>
      </c>
      <c r="G71" s="295" t="str">
        <f>IF(E71="","",IF(ISNA(VLOOKUP($E71,'D-1 Off-Site Habitat Baseline'!$D$1:$O$258,5,FALSE)),"",(VLOOKUP($E71,'D-1 Off-Site Habitat Baseline'!$D$1:$O$258,5,FALSE))))</f>
        <v/>
      </c>
      <c r="H71" s="295" t="str">
        <f>IF(E71="","",IF(ISNA(VLOOKUP($E71,'D-1 Off-Site Habitat Baseline'!$D$1:$O$258,6,FALSE)),"",(VLOOKUP($E71,'D-1 Off-Site Habitat Baseline'!$D$1:$O$258,6,FALSE))))</f>
        <v/>
      </c>
      <c r="I71" s="295" t="str">
        <f>IF(E71="","",IF(ISNA(VLOOKUP($E71,'D-1 Off-Site Habitat Baseline'!$D$1:$O$258,7,FALSE)),"",(VLOOKUP($E71,'D-1 Off-Site Habitat Baseline'!$D$1:$O$258,7,FALSE))))</f>
        <v/>
      </c>
      <c r="J71" s="295" t="str">
        <f>IF(E71="","",IF(ISNA(VLOOKUP($E71,'D-1 Off-Site Habitat Baseline'!$D$1:$O$258,8,FALSE)),"",(VLOOKUP($E71,'D-1 Off-Site Habitat Baseline'!$D$1:$O$258,8,FALSE))))</f>
        <v/>
      </c>
      <c r="K71" s="295" t="str">
        <f>IF(E71="","",IF(ISNA(VLOOKUP($E71,'D-1 Off-Site Habitat Baseline'!$D$1:$O$258,9,FALSE)),"",(VLOOKUP($E71,'D-1 Off-Site Habitat Baseline'!$D$1:$O$258,9,FALSE))))</f>
        <v/>
      </c>
      <c r="L71" s="295" t="str">
        <f>IF(E71="","",IF(ISNA(VLOOKUP($E71,'D-1 Off-Site Habitat Baseline'!$D$1:$O$258,11,FALSE)),"",(VLOOKUP($E71,'D-1 Off-Site Habitat Baseline'!$D$1:$O$258,11,FALSE))))</f>
        <v/>
      </c>
      <c r="M71" s="295" t="str">
        <f>IF(E71="","",IF(ISNA(VLOOKUP($E71,'D-1 Off-Site Habitat Baseline'!$D$1:$O$258,12,FALSE)),"",(VLOOKUP($E71,'D-1 Off-Site Habitat Baseline'!$D$1:$O$258,12,FALSE))))</f>
        <v/>
      </c>
      <c r="N71" s="295" t="str">
        <f>IF(E71="","",IF(ISNA(VLOOKUP($E71,'D-1 Off-Site Habitat Baseline'!$D$1:$AA$258,17,FALSE)),"",(VLOOKUP($E71,'D-1 Off-Site Habitat Baseline'!$D$1:$AA$258,17,FALSE))))</f>
        <v/>
      </c>
      <c r="O71" s="299" t="str">
        <f>IF(E71="","",IF(ISNA(VLOOKUP($E71,'D-1 Off-Site Habitat Baseline'!$D$1:$AA$258,13,FALSE)),"",(VLOOKUP($E71,'D-1 Off-Site Habitat Baseline'!$D$1:$AA$258,13,FALSE))))</f>
        <v/>
      </c>
      <c r="P71" s="148" t="str">
        <f>IFERROR(INDEX('G-1 All Habitats'!$AG$49:$AG$63,MATCH(Q71,'G-1 All Habitats'!$AF$27:$AF$41,0)),"")</f>
        <v/>
      </c>
      <c r="Q71" s="149" t="str">
        <f t="shared" si="0"/>
        <v/>
      </c>
      <c r="R71" s="150"/>
      <c r="S71" s="151" t="str">
        <f>IFERROR(INDEX('G-1 All Habitats'!$B$3:$B$135,MATCH(R71,'G-1 All Habitats'!$A$3:$A$135,0)),"")</f>
        <v/>
      </c>
      <c r="T71" s="283" t="str">
        <f t="shared" si="2"/>
        <v/>
      </c>
      <c r="U71" s="276" t="str">
        <f t="shared" si="3"/>
        <v/>
      </c>
      <c r="V71" s="298" t="str">
        <f t="shared" si="4"/>
        <v/>
      </c>
      <c r="W71" s="295" t="str">
        <f>IF(S71="","",VLOOKUP(S71,'G-1 All Habitats'!$B$2:$M$135,10,FALSE))</f>
        <v/>
      </c>
      <c r="X71" s="295" t="str">
        <f>IFERROR(VLOOKUP(W71,'G-1 All Habitats'!$V$3:$W$7,2,FALSE),"")</f>
        <v/>
      </c>
      <c r="Y71" s="138"/>
      <c r="Z71" s="299" t="str">
        <f>IFERROR(INDEX('G-8 Condition Look up'!$A$3:$H$135,MATCH(S71,'G-8 Condition Look up'!$A$3:$A$135,0),MATCH(Y71,'G-8 Condition Look up'!$A$3:$H$3,0)),"")</f>
        <v/>
      </c>
      <c r="AA71" s="101"/>
      <c r="AB71" s="314" t="str">
        <f>IF(AA71="","",IF(VLOOKUP(AA71,'G-3 Multipliers'!$L$3:$N$6,2,FALSE)=0,"Spatial Data Missing ⚠",VLOOKUP(AA71,'G-3 Multipliers'!$L$3:$N$6,2,FALSE)))</f>
        <v/>
      </c>
      <c r="AC71" s="299" t="str">
        <f>IF(AA71="","",IF(VLOOKUP(AA71,'G-3 Multipliers'!$L$3:$N$6,3,FALSE)=0,"Spatial Data Missing ⚠",VLOOKUP(AA71,'G-3 Multipliers'!$L$3:$N$6,3,FALSE)))</f>
        <v/>
      </c>
      <c r="AD71" s="311" t="str">
        <f t="shared" si="1"/>
        <v/>
      </c>
      <c r="AE71" s="138"/>
      <c r="AF71" s="138"/>
      <c r="AG71" s="295" t="str">
        <f t="shared" si="5"/>
        <v/>
      </c>
      <c r="AH71" s="296" t="str">
        <f t="shared" si="6"/>
        <v/>
      </c>
      <c r="AI71" s="300" t="str">
        <f>IF(AH71="Check Data ⚠","Check Data ⚠",IFERROR(VLOOKUP(AH71,'G-4 Temporal multipliers'!$A$4:$C$36,3,FALSE),""))</f>
        <v/>
      </c>
      <c r="AJ71" s="311" t="str">
        <f>IF(S71="","",VLOOKUP(S71,'G-3 Multipliers'!$A$2:$E$134,4,FALSE))</f>
        <v/>
      </c>
      <c r="AK71" s="295" t="str">
        <f t="shared" si="7"/>
        <v/>
      </c>
      <c r="AL71" s="295" t="str">
        <f t="shared" si="8"/>
        <v/>
      </c>
      <c r="AM71" s="299" t="str">
        <f>IFERROR(IF(F71="","",IF(AH71="Check Data ⚠","Check Data ⚠",VLOOKUP(AL71,'G-3 Multipliers'!$P$2:$Q$6,2,FALSE))),"")</f>
        <v/>
      </c>
      <c r="AN71" s="712" t="str">
        <f>IF(E71="","",IF(ISNA(VLOOKUP($E71,'D-1 Off-Site Habitat Baseline'!$D$1:$Z$258,15,FALSE)),"",(VLOOKUP($E71,'D-1 Off-Site Habitat Baseline'!$D$1:$Z$258,15,FALSE))))</f>
        <v/>
      </c>
      <c r="AO71" s="329" t="str">
        <f>IF(AN71="","",IF(VLOOKUP(AN71,'G-3 Multipliers'!$S$3:$T$10,2,FALSE)=0,"Spatial Data Missing ⚠",VLOOKUP(AN71,'G-3 Multipliers'!$S$3:$T$10,2,FALSE)))</f>
        <v/>
      </c>
      <c r="AP71" s="289" t="str">
        <f t="shared" si="9"/>
        <v/>
      </c>
      <c r="AQ71" s="289" t="str">
        <f t="shared" si="10"/>
        <v/>
      </c>
      <c r="AR71" s="105"/>
      <c r="AS71" s="138"/>
      <c r="AT71" s="104"/>
      <c r="AU71" s="104"/>
      <c r="AY71" s="30" t="str">
        <f>IF(E71="","",IF(ISNA(VLOOKUP($E71,'D-1 Off-Site Habitat Baseline'!$D$1:$AV$258,4,FALSE)),"",(VLOOKUP($E71,'D-1 Off-Site Habitat Baseline'!$D$1:$AV$258,4,FALSE))))</f>
        <v/>
      </c>
    </row>
    <row r="72" spans="1:51" ht="14">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319" t="str">
        <f>'D-1 Off-Site Habitat Baseline'!AP71</f>
        <v/>
      </c>
      <c r="F72" s="283" t="str">
        <f>IF(E72="","",IF(ISNA(VLOOKUP($E72,'D-1 Off-Site Habitat Baseline'!$D$1:$ZZ$258,45,FALSE)),"",(VLOOKUP($E72,'D-1 Off-Site Habitat Baseline'!$D$1:$ZZ$258,45,FALSE))))</f>
        <v/>
      </c>
      <c r="G72" s="295" t="str">
        <f>IF(E72="","",IF(ISNA(VLOOKUP($E72,'D-1 Off-Site Habitat Baseline'!$D$1:$O$258,5,FALSE)),"",(VLOOKUP($E72,'D-1 Off-Site Habitat Baseline'!$D$1:$O$258,5,FALSE))))</f>
        <v/>
      </c>
      <c r="H72" s="295" t="str">
        <f>IF(E72="","",IF(ISNA(VLOOKUP($E72,'D-1 Off-Site Habitat Baseline'!$D$1:$O$258,6,FALSE)),"",(VLOOKUP($E72,'D-1 Off-Site Habitat Baseline'!$D$1:$O$258,6,FALSE))))</f>
        <v/>
      </c>
      <c r="I72" s="295" t="str">
        <f>IF(E72="","",IF(ISNA(VLOOKUP($E72,'D-1 Off-Site Habitat Baseline'!$D$1:$O$258,7,FALSE)),"",(VLOOKUP($E72,'D-1 Off-Site Habitat Baseline'!$D$1:$O$258,7,FALSE))))</f>
        <v/>
      </c>
      <c r="J72" s="295" t="str">
        <f>IF(E72="","",IF(ISNA(VLOOKUP($E72,'D-1 Off-Site Habitat Baseline'!$D$1:$O$258,8,FALSE)),"",(VLOOKUP($E72,'D-1 Off-Site Habitat Baseline'!$D$1:$O$258,8,FALSE))))</f>
        <v/>
      </c>
      <c r="K72" s="295" t="str">
        <f>IF(E72="","",IF(ISNA(VLOOKUP($E72,'D-1 Off-Site Habitat Baseline'!$D$1:$O$258,9,FALSE)),"",(VLOOKUP($E72,'D-1 Off-Site Habitat Baseline'!$D$1:$O$258,9,FALSE))))</f>
        <v/>
      </c>
      <c r="L72" s="295" t="str">
        <f>IF(E72="","",IF(ISNA(VLOOKUP($E72,'D-1 Off-Site Habitat Baseline'!$D$1:$O$258,11,FALSE)),"",(VLOOKUP($E72,'D-1 Off-Site Habitat Baseline'!$D$1:$O$258,11,FALSE))))</f>
        <v/>
      </c>
      <c r="M72" s="295" t="str">
        <f>IF(E72="","",IF(ISNA(VLOOKUP($E72,'D-1 Off-Site Habitat Baseline'!$D$1:$O$258,12,FALSE)),"",(VLOOKUP($E72,'D-1 Off-Site Habitat Baseline'!$D$1:$O$258,12,FALSE))))</f>
        <v/>
      </c>
      <c r="N72" s="295" t="str">
        <f>IF(E72="","",IF(ISNA(VLOOKUP($E72,'D-1 Off-Site Habitat Baseline'!$D$1:$AA$258,17,FALSE)),"",(VLOOKUP($E72,'D-1 Off-Site Habitat Baseline'!$D$1:$AA$258,17,FALSE))))</f>
        <v/>
      </c>
      <c r="O72" s="299" t="str">
        <f>IF(E72="","",IF(ISNA(VLOOKUP($E72,'D-1 Off-Site Habitat Baseline'!$D$1:$AA$258,13,FALSE)),"",(VLOOKUP($E72,'D-1 Off-Site Habitat Baseline'!$D$1:$AA$258,13,FALSE))))</f>
        <v/>
      </c>
      <c r="P72" s="148" t="str">
        <f>IFERROR(INDEX('G-1 All Habitats'!$AG$49:$AG$63,MATCH(Q72,'G-1 All Habitats'!$AF$27:$AF$41,0)),"")</f>
        <v/>
      </c>
      <c r="Q72" s="149" t="str">
        <f t="shared" si="0"/>
        <v/>
      </c>
      <c r="R72" s="150"/>
      <c r="S72" s="151" t="str">
        <f>IFERROR(INDEX('G-1 All Habitats'!$B$3:$B$135,MATCH(R72,'G-1 All Habitats'!$A$3:$A$135,0)),"")</f>
        <v/>
      </c>
      <c r="T72" s="283" t="str">
        <f t="shared" si="2"/>
        <v/>
      </c>
      <c r="U72" s="276" t="str">
        <f t="shared" si="3"/>
        <v/>
      </c>
      <c r="V72" s="298" t="str">
        <f t="shared" si="4"/>
        <v/>
      </c>
      <c r="W72" s="295" t="str">
        <f>IF(S72="","",VLOOKUP(S72,'G-1 All Habitats'!$B$2:$M$135,10,FALSE))</f>
        <v/>
      </c>
      <c r="X72" s="295" t="str">
        <f>IFERROR(VLOOKUP(W72,'G-1 All Habitats'!$V$3:$W$7,2,FALSE),"")</f>
        <v/>
      </c>
      <c r="Y72" s="138"/>
      <c r="Z72" s="299" t="str">
        <f>IFERROR(INDEX('G-8 Condition Look up'!$A$3:$H$135,MATCH(S72,'G-8 Condition Look up'!$A$3:$A$135,0),MATCH(Y72,'G-8 Condition Look up'!$A$3:$H$3,0)),"")</f>
        <v/>
      </c>
      <c r="AA72" s="101"/>
      <c r="AB72" s="314" t="str">
        <f>IF(AA72="","",IF(VLOOKUP(AA72,'G-3 Multipliers'!$L$3:$N$6,2,FALSE)=0,"Spatial Data Missing ⚠",VLOOKUP(AA72,'G-3 Multipliers'!$L$3:$N$6,2,FALSE)))</f>
        <v/>
      </c>
      <c r="AC72" s="299" t="str">
        <f>IF(AA72="","",IF(VLOOKUP(AA72,'G-3 Multipliers'!$L$3:$N$6,3,FALSE)=0,"Spatial Data Missing ⚠",VLOOKUP(AA72,'G-3 Multipliers'!$L$3:$N$6,3,FALSE)))</f>
        <v/>
      </c>
      <c r="AD72" s="311" t="str">
        <f t="shared" si="1"/>
        <v/>
      </c>
      <c r="AE72" s="138"/>
      <c r="AF72" s="138"/>
      <c r="AG72" s="295" t="str">
        <f t="shared" si="5"/>
        <v/>
      </c>
      <c r="AH72" s="296" t="str">
        <f t="shared" si="6"/>
        <v/>
      </c>
      <c r="AI72" s="300" t="str">
        <f>IF(AH72="Check Data ⚠","Check Data ⚠",IFERROR(VLOOKUP(AH72,'G-4 Temporal multipliers'!$A$4:$C$36,3,FALSE),""))</f>
        <v/>
      </c>
      <c r="AJ72" s="311" t="str">
        <f>IF(S72="","",VLOOKUP(S72,'G-3 Multipliers'!$A$2:$E$134,4,FALSE))</f>
        <v/>
      </c>
      <c r="AK72" s="295" t="str">
        <f t="shared" si="7"/>
        <v/>
      </c>
      <c r="AL72" s="295" t="str">
        <f t="shared" si="8"/>
        <v/>
      </c>
      <c r="AM72" s="299" t="str">
        <f>IFERROR(IF(F72="","",IF(AH72="Check Data ⚠","Check Data ⚠",VLOOKUP(AL72,'G-3 Multipliers'!$P$2:$Q$6,2,FALSE))),"")</f>
        <v/>
      </c>
      <c r="AN72" s="712" t="str">
        <f>IF(E72="","",IF(ISNA(VLOOKUP($E72,'D-1 Off-Site Habitat Baseline'!$D$1:$Z$258,15,FALSE)),"",(VLOOKUP($E72,'D-1 Off-Site Habitat Baseline'!$D$1:$Z$258,15,FALSE))))</f>
        <v/>
      </c>
      <c r="AO72" s="329" t="str">
        <f>IF(AN72="","",IF(VLOOKUP(AN72,'G-3 Multipliers'!$S$3:$T$10,2,FALSE)=0,"Spatial Data Missing ⚠",VLOOKUP(AN72,'G-3 Multipliers'!$S$3:$T$10,2,FALSE)))</f>
        <v/>
      </c>
      <c r="AP72" s="289" t="str">
        <f t="shared" si="9"/>
        <v/>
      </c>
      <c r="AQ72" s="289" t="str">
        <f t="shared" si="10"/>
        <v/>
      </c>
      <c r="AR72" s="105"/>
      <c r="AS72" s="138"/>
      <c r="AT72" s="104"/>
      <c r="AU72" s="104"/>
      <c r="AY72" s="30" t="str">
        <f>IF(E72="","",IF(ISNA(VLOOKUP($E72,'D-1 Off-Site Habitat Baseline'!$D$1:$AV$258,4,FALSE)),"",(VLOOKUP($E72,'D-1 Off-Site Habitat Baseline'!$D$1:$AV$258,4,FALSE))))</f>
        <v/>
      </c>
    </row>
    <row r="73" spans="1:51" ht="14">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319" t="str">
        <f>'D-1 Off-Site Habitat Baseline'!AP72</f>
        <v/>
      </c>
      <c r="F73" s="283" t="str">
        <f>IF(E73="","",IF(ISNA(VLOOKUP($E73,'D-1 Off-Site Habitat Baseline'!$D$1:$ZZ$258,45,FALSE)),"",(VLOOKUP($E73,'D-1 Off-Site Habitat Baseline'!$D$1:$ZZ$258,45,FALSE))))</f>
        <v/>
      </c>
      <c r="G73" s="295" t="str">
        <f>IF(E73="","",IF(ISNA(VLOOKUP($E73,'D-1 Off-Site Habitat Baseline'!$D$1:$O$258,5,FALSE)),"",(VLOOKUP($E73,'D-1 Off-Site Habitat Baseline'!$D$1:$O$258,5,FALSE))))</f>
        <v/>
      </c>
      <c r="H73" s="295" t="str">
        <f>IF(E73="","",IF(ISNA(VLOOKUP($E73,'D-1 Off-Site Habitat Baseline'!$D$1:$O$258,6,FALSE)),"",(VLOOKUP($E73,'D-1 Off-Site Habitat Baseline'!$D$1:$O$258,6,FALSE))))</f>
        <v/>
      </c>
      <c r="I73" s="295" t="str">
        <f>IF(E73="","",IF(ISNA(VLOOKUP($E73,'D-1 Off-Site Habitat Baseline'!$D$1:$O$258,7,FALSE)),"",(VLOOKUP($E73,'D-1 Off-Site Habitat Baseline'!$D$1:$O$258,7,FALSE))))</f>
        <v/>
      </c>
      <c r="J73" s="295" t="str">
        <f>IF(E73="","",IF(ISNA(VLOOKUP($E73,'D-1 Off-Site Habitat Baseline'!$D$1:$O$258,8,FALSE)),"",(VLOOKUP($E73,'D-1 Off-Site Habitat Baseline'!$D$1:$O$258,8,FALSE))))</f>
        <v/>
      </c>
      <c r="K73" s="295" t="str">
        <f>IF(E73="","",IF(ISNA(VLOOKUP($E73,'D-1 Off-Site Habitat Baseline'!$D$1:$O$258,9,FALSE)),"",(VLOOKUP($E73,'D-1 Off-Site Habitat Baseline'!$D$1:$O$258,9,FALSE))))</f>
        <v/>
      </c>
      <c r="L73" s="295" t="str">
        <f>IF(E73="","",IF(ISNA(VLOOKUP($E73,'D-1 Off-Site Habitat Baseline'!$D$1:$O$258,11,FALSE)),"",(VLOOKUP($E73,'D-1 Off-Site Habitat Baseline'!$D$1:$O$258,11,FALSE))))</f>
        <v/>
      </c>
      <c r="M73" s="295" t="str">
        <f>IF(E73="","",IF(ISNA(VLOOKUP($E73,'D-1 Off-Site Habitat Baseline'!$D$1:$O$258,12,FALSE)),"",(VLOOKUP($E73,'D-1 Off-Site Habitat Baseline'!$D$1:$O$258,12,FALSE))))</f>
        <v/>
      </c>
      <c r="N73" s="295" t="str">
        <f>IF(E73="","",IF(ISNA(VLOOKUP($E73,'D-1 Off-Site Habitat Baseline'!$D$1:$AA$258,17,FALSE)),"",(VLOOKUP($E73,'D-1 Off-Site Habitat Baseline'!$D$1:$AA$258,17,FALSE))))</f>
        <v/>
      </c>
      <c r="O73" s="299" t="str">
        <f>IF(E73="","",IF(ISNA(VLOOKUP($E73,'D-1 Off-Site Habitat Baseline'!$D$1:$AA$258,13,FALSE)),"",(VLOOKUP($E73,'D-1 Off-Site Habitat Baseline'!$D$1:$AA$258,13,FALSE))))</f>
        <v/>
      </c>
      <c r="P73" s="148" t="str">
        <f>IFERROR(INDEX('G-1 All Habitats'!$AG$49:$AG$63,MATCH(Q73,'G-1 All Habitats'!$AF$27:$AF$41,0)),"")</f>
        <v/>
      </c>
      <c r="Q73" s="149" t="str">
        <f t="shared" si="0"/>
        <v/>
      </c>
      <c r="R73" s="150"/>
      <c r="S73" s="151" t="str">
        <f>IFERROR(INDEX('G-1 All Habitats'!$B$3:$B$135,MATCH(R73,'G-1 All Habitats'!$A$3:$A$135,0)),"")</f>
        <v/>
      </c>
      <c r="T73" s="283" t="str">
        <f t="shared" si="2"/>
        <v/>
      </c>
      <c r="U73" s="276" t="str">
        <f t="shared" si="3"/>
        <v/>
      </c>
      <c r="V73" s="298" t="str">
        <f t="shared" si="4"/>
        <v/>
      </c>
      <c r="W73" s="295" t="str">
        <f>IF(S73="","",VLOOKUP(S73,'G-1 All Habitats'!$B$2:$M$135,10,FALSE))</f>
        <v/>
      </c>
      <c r="X73" s="295" t="str">
        <f>IFERROR(VLOOKUP(W73,'G-1 All Habitats'!$V$3:$W$7,2,FALSE),"")</f>
        <v/>
      </c>
      <c r="Y73" s="138"/>
      <c r="Z73" s="299" t="str">
        <f>IFERROR(INDEX('G-8 Condition Look up'!$A$3:$H$135,MATCH(S73,'G-8 Condition Look up'!$A$3:$A$135,0),MATCH(Y73,'G-8 Condition Look up'!$A$3:$H$3,0)),"")</f>
        <v/>
      </c>
      <c r="AA73" s="101"/>
      <c r="AB73" s="314" t="str">
        <f>IF(AA73="","",IF(VLOOKUP(AA73,'G-3 Multipliers'!$L$3:$N$6,2,FALSE)=0,"Spatial Data Missing ⚠",VLOOKUP(AA73,'G-3 Multipliers'!$L$3:$N$6,2,FALSE)))</f>
        <v/>
      </c>
      <c r="AC73" s="299" t="str">
        <f>IF(AA73="","",IF(VLOOKUP(AA73,'G-3 Multipliers'!$L$3:$N$6,3,FALSE)=0,"Spatial Data Missing ⚠",VLOOKUP(AA73,'G-3 Multipliers'!$L$3:$N$6,3,FALSE)))</f>
        <v/>
      </c>
      <c r="AD73" s="311" t="str">
        <f t="shared" si="1"/>
        <v/>
      </c>
      <c r="AE73" s="138"/>
      <c r="AF73" s="138"/>
      <c r="AG73" s="295" t="str">
        <f t="shared" si="5"/>
        <v/>
      </c>
      <c r="AH73" s="296" t="str">
        <f t="shared" si="6"/>
        <v/>
      </c>
      <c r="AI73" s="300" t="str">
        <f>IF(AH73="Check Data ⚠","Check Data ⚠",IFERROR(VLOOKUP(AH73,'G-4 Temporal multipliers'!$A$4:$C$36,3,FALSE),""))</f>
        <v/>
      </c>
      <c r="AJ73" s="311" t="str">
        <f>IF(S73="","",VLOOKUP(S73,'G-3 Multipliers'!$A$2:$E$134,4,FALSE))</f>
        <v/>
      </c>
      <c r="AK73" s="295" t="str">
        <f t="shared" si="7"/>
        <v/>
      </c>
      <c r="AL73" s="295" t="str">
        <f t="shared" si="8"/>
        <v/>
      </c>
      <c r="AM73" s="299" t="str">
        <f>IFERROR(IF(F73="","",IF(AH73="Check Data ⚠","Check Data ⚠",VLOOKUP(AL73,'G-3 Multipliers'!$P$2:$Q$6,2,FALSE))),"")</f>
        <v/>
      </c>
      <c r="AN73" s="712" t="str">
        <f>IF(E73="","",IF(ISNA(VLOOKUP($E73,'D-1 Off-Site Habitat Baseline'!$D$1:$Z$258,15,FALSE)),"",(VLOOKUP($E73,'D-1 Off-Site Habitat Baseline'!$D$1:$Z$258,15,FALSE))))</f>
        <v/>
      </c>
      <c r="AO73" s="329" t="str">
        <f>IF(AN73="","",IF(VLOOKUP(AN73,'G-3 Multipliers'!$S$3:$T$10,2,FALSE)=0,"Spatial Data Missing ⚠",VLOOKUP(AN73,'G-3 Multipliers'!$S$3:$T$10,2,FALSE)))</f>
        <v/>
      </c>
      <c r="AP73" s="289" t="str">
        <f t="shared" si="9"/>
        <v/>
      </c>
      <c r="AQ73" s="289" t="str">
        <f t="shared" si="10"/>
        <v/>
      </c>
      <c r="AR73" s="105"/>
      <c r="AS73" s="138"/>
      <c r="AT73" s="104"/>
      <c r="AU73" s="104"/>
      <c r="AY73" s="30" t="str">
        <f>IF(E73="","",IF(ISNA(VLOOKUP($E73,'D-1 Off-Site Habitat Baseline'!$D$1:$AV$258,4,FALSE)),"",(VLOOKUP($E73,'D-1 Off-Site Habitat Baseline'!$D$1:$AV$258,4,FALSE))))</f>
        <v/>
      </c>
    </row>
    <row r="74" spans="1:51" ht="14">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319" t="str">
        <f>'D-1 Off-Site Habitat Baseline'!AP73</f>
        <v/>
      </c>
      <c r="F74" s="283" t="str">
        <f>IF(E74="","",IF(ISNA(VLOOKUP($E74,'D-1 Off-Site Habitat Baseline'!$D$1:$ZZ$258,45,FALSE)),"",(VLOOKUP($E74,'D-1 Off-Site Habitat Baseline'!$D$1:$ZZ$258,45,FALSE))))</f>
        <v/>
      </c>
      <c r="G74" s="295" t="str">
        <f>IF(E74="","",IF(ISNA(VLOOKUP($E74,'D-1 Off-Site Habitat Baseline'!$D$1:$O$258,5,FALSE)),"",(VLOOKUP($E74,'D-1 Off-Site Habitat Baseline'!$D$1:$O$258,5,FALSE))))</f>
        <v/>
      </c>
      <c r="H74" s="295" t="str">
        <f>IF(E74="","",IF(ISNA(VLOOKUP($E74,'D-1 Off-Site Habitat Baseline'!$D$1:$O$258,6,FALSE)),"",(VLOOKUP($E74,'D-1 Off-Site Habitat Baseline'!$D$1:$O$258,6,FALSE))))</f>
        <v/>
      </c>
      <c r="I74" s="295" t="str">
        <f>IF(E74="","",IF(ISNA(VLOOKUP($E74,'D-1 Off-Site Habitat Baseline'!$D$1:$O$258,7,FALSE)),"",(VLOOKUP($E74,'D-1 Off-Site Habitat Baseline'!$D$1:$O$258,7,FALSE))))</f>
        <v/>
      </c>
      <c r="J74" s="295" t="str">
        <f>IF(E74="","",IF(ISNA(VLOOKUP($E74,'D-1 Off-Site Habitat Baseline'!$D$1:$O$258,8,FALSE)),"",(VLOOKUP($E74,'D-1 Off-Site Habitat Baseline'!$D$1:$O$258,8,FALSE))))</f>
        <v/>
      </c>
      <c r="K74" s="295" t="str">
        <f>IF(E74="","",IF(ISNA(VLOOKUP($E74,'D-1 Off-Site Habitat Baseline'!$D$1:$O$258,9,FALSE)),"",(VLOOKUP($E74,'D-1 Off-Site Habitat Baseline'!$D$1:$O$258,9,FALSE))))</f>
        <v/>
      </c>
      <c r="L74" s="295" t="str">
        <f>IF(E74="","",IF(ISNA(VLOOKUP($E74,'D-1 Off-Site Habitat Baseline'!$D$1:$O$258,11,FALSE)),"",(VLOOKUP($E74,'D-1 Off-Site Habitat Baseline'!$D$1:$O$258,11,FALSE))))</f>
        <v/>
      </c>
      <c r="M74" s="295" t="str">
        <f>IF(E74="","",IF(ISNA(VLOOKUP($E74,'D-1 Off-Site Habitat Baseline'!$D$1:$O$258,12,FALSE)),"",(VLOOKUP($E74,'D-1 Off-Site Habitat Baseline'!$D$1:$O$258,12,FALSE))))</f>
        <v/>
      </c>
      <c r="N74" s="295" t="str">
        <f>IF(E74="","",IF(ISNA(VLOOKUP($E74,'D-1 Off-Site Habitat Baseline'!$D$1:$AA$258,17,FALSE)),"",(VLOOKUP($E74,'D-1 Off-Site Habitat Baseline'!$D$1:$AA$258,17,FALSE))))</f>
        <v/>
      </c>
      <c r="O74" s="299" t="str">
        <f>IF(E74="","",IF(ISNA(VLOOKUP($E74,'D-1 Off-Site Habitat Baseline'!$D$1:$AA$258,13,FALSE)),"",(VLOOKUP($E74,'D-1 Off-Site Habitat Baseline'!$D$1:$AA$258,13,FALSE))))</f>
        <v/>
      </c>
      <c r="P74" s="148" t="str">
        <f>IFERROR(INDEX('G-1 All Habitats'!$AG$49:$AG$63,MATCH(Q74,'G-1 All Habitats'!$AF$27:$AF$41,0)),"")</f>
        <v/>
      </c>
      <c r="Q74" s="149" t="str">
        <f t="shared" si="0"/>
        <v/>
      </c>
      <c r="R74" s="150"/>
      <c r="S74" s="151" t="str">
        <f>IFERROR(INDEX('G-1 All Habitats'!$B$3:$B$135,MATCH(R74,'G-1 All Habitats'!$A$3:$A$135,0)),"")</f>
        <v/>
      </c>
      <c r="T74" s="283" t="str">
        <f t="shared" si="2"/>
        <v/>
      </c>
      <c r="U74" s="276" t="str">
        <f t="shared" si="3"/>
        <v/>
      </c>
      <c r="V74" s="298" t="str">
        <f t="shared" si="4"/>
        <v/>
      </c>
      <c r="W74" s="295" t="str">
        <f>IF(S74="","",VLOOKUP(S74,'G-1 All Habitats'!$B$2:$M$135,10,FALSE))</f>
        <v/>
      </c>
      <c r="X74" s="295" t="str">
        <f>IFERROR(VLOOKUP(W74,'G-1 All Habitats'!$V$3:$W$7,2,FALSE),"")</f>
        <v/>
      </c>
      <c r="Y74" s="138"/>
      <c r="Z74" s="299" t="str">
        <f>IFERROR(INDEX('G-8 Condition Look up'!$A$3:$H$135,MATCH(S74,'G-8 Condition Look up'!$A$3:$A$135,0),MATCH(Y74,'G-8 Condition Look up'!$A$3:$H$3,0)),"")</f>
        <v/>
      </c>
      <c r="AA74" s="101"/>
      <c r="AB74" s="314" t="str">
        <f>IF(AA74="","",IF(VLOOKUP(AA74,'G-3 Multipliers'!$L$3:$N$6,2,FALSE)=0,"Spatial Data Missing ⚠",VLOOKUP(AA74,'G-3 Multipliers'!$L$3:$N$6,2,FALSE)))</f>
        <v/>
      </c>
      <c r="AC74" s="299" t="str">
        <f>IF(AA74="","",IF(VLOOKUP(AA74,'G-3 Multipliers'!$L$3:$N$6,3,FALSE)=0,"Spatial Data Missing ⚠",VLOOKUP(AA74,'G-3 Multipliers'!$L$3:$N$6,3,FALSE)))</f>
        <v/>
      </c>
      <c r="AD74" s="311" t="str">
        <f t="shared" si="1"/>
        <v/>
      </c>
      <c r="AE74" s="138"/>
      <c r="AF74" s="138"/>
      <c r="AG74" s="295" t="str">
        <f t="shared" si="5"/>
        <v/>
      </c>
      <c r="AH74" s="296" t="str">
        <f t="shared" si="6"/>
        <v/>
      </c>
      <c r="AI74" s="300" t="str">
        <f>IF(AH74="Check Data ⚠","Check Data ⚠",IFERROR(VLOOKUP(AH74,'G-4 Temporal multipliers'!$A$4:$C$36,3,FALSE),""))</f>
        <v/>
      </c>
      <c r="AJ74" s="311" t="str">
        <f>IF(S74="","",VLOOKUP(S74,'G-3 Multipliers'!$A$2:$E$134,4,FALSE))</f>
        <v/>
      </c>
      <c r="AK74" s="295" t="str">
        <f t="shared" si="7"/>
        <v/>
      </c>
      <c r="AL74" s="295" t="str">
        <f t="shared" si="8"/>
        <v/>
      </c>
      <c r="AM74" s="299" t="str">
        <f>IFERROR(IF(F74="","",IF(AH74="Check Data ⚠","Check Data ⚠",VLOOKUP(AL74,'G-3 Multipliers'!$P$2:$Q$6,2,FALSE))),"")</f>
        <v/>
      </c>
      <c r="AN74" s="712" t="str">
        <f>IF(E74="","",IF(ISNA(VLOOKUP($E74,'D-1 Off-Site Habitat Baseline'!$D$1:$Z$258,15,FALSE)),"",(VLOOKUP($E74,'D-1 Off-Site Habitat Baseline'!$D$1:$Z$258,15,FALSE))))</f>
        <v/>
      </c>
      <c r="AO74" s="329" t="str">
        <f>IF(AN74="","",IF(VLOOKUP(AN74,'G-3 Multipliers'!$S$3:$T$10,2,FALSE)=0,"Spatial Data Missing ⚠",VLOOKUP(AN74,'G-3 Multipliers'!$S$3:$T$10,2,FALSE)))</f>
        <v/>
      </c>
      <c r="AP74" s="289" t="str">
        <f t="shared" si="9"/>
        <v/>
      </c>
      <c r="AQ74" s="289" t="str">
        <f t="shared" si="10"/>
        <v/>
      </c>
      <c r="AR74" s="105"/>
      <c r="AS74" s="138"/>
      <c r="AT74" s="104"/>
      <c r="AU74" s="104"/>
      <c r="AY74" s="30" t="str">
        <f>IF(E74="","",IF(ISNA(VLOOKUP($E74,'D-1 Off-Site Habitat Baseline'!$D$1:$AV$258,4,FALSE)),"",(VLOOKUP($E74,'D-1 Off-Site Habitat Baseline'!$D$1:$AV$258,4,FALSE))))</f>
        <v/>
      </c>
    </row>
    <row r="75" spans="1:51" ht="14">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319" t="str">
        <f>'D-1 Off-Site Habitat Baseline'!AP74</f>
        <v/>
      </c>
      <c r="F75" s="283" t="str">
        <f>IF(E75="","",IF(ISNA(VLOOKUP($E75,'D-1 Off-Site Habitat Baseline'!$D$1:$ZZ$258,45,FALSE)),"",(VLOOKUP($E75,'D-1 Off-Site Habitat Baseline'!$D$1:$ZZ$258,45,FALSE))))</f>
        <v/>
      </c>
      <c r="G75" s="295" t="str">
        <f>IF(E75="","",IF(ISNA(VLOOKUP($E75,'D-1 Off-Site Habitat Baseline'!$D$1:$O$258,5,FALSE)),"",(VLOOKUP($E75,'D-1 Off-Site Habitat Baseline'!$D$1:$O$258,5,FALSE))))</f>
        <v/>
      </c>
      <c r="H75" s="295" t="str">
        <f>IF(E75="","",IF(ISNA(VLOOKUP($E75,'D-1 Off-Site Habitat Baseline'!$D$1:$O$258,6,FALSE)),"",(VLOOKUP($E75,'D-1 Off-Site Habitat Baseline'!$D$1:$O$258,6,FALSE))))</f>
        <v/>
      </c>
      <c r="I75" s="295" t="str">
        <f>IF(E75="","",IF(ISNA(VLOOKUP($E75,'D-1 Off-Site Habitat Baseline'!$D$1:$O$258,7,FALSE)),"",(VLOOKUP($E75,'D-1 Off-Site Habitat Baseline'!$D$1:$O$258,7,FALSE))))</f>
        <v/>
      </c>
      <c r="J75" s="295" t="str">
        <f>IF(E75="","",IF(ISNA(VLOOKUP($E75,'D-1 Off-Site Habitat Baseline'!$D$1:$O$258,8,FALSE)),"",(VLOOKUP($E75,'D-1 Off-Site Habitat Baseline'!$D$1:$O$258,8,FALSE))))</f>
        <v/>
      </c>
      <c r="K75" s="295" t="str">
        <f>IF(E75="","",IF(ISNA(VLOOKUP($E75,'D-1 Off-Site Habitat Baseline'!$D$1:$O$258,9,FALSE)),"",(VLOOKUP($E75,'D-1 Off-Site Habitat Baseline'!$D$1:$O$258,9,FALSE))))</f>
        <v/>
      </c>
      <c r="L75" s="295" t="str">
        <f>IF(E75="","",IF(ISNA(VLOOKUP($E75,'D-1 Off-Site Habitat Baseline'!$D$1:$O$258,11,FALSE)),"",(VLOOKUP($E75,'D-1 Off-Site Habitat Baseline'!$D$1:$O$258,11,FALSE))))</f>
        <v/>
      </c>
      <c r="M75" s="295" t="str">
        <f>IF(E75="","",IF(ISNA(VLOOKUP($E75,'D-1 Off-Site Habitat Baseline'!$D$1:$O$258,12,FALSE)),"",(VLOOKUP($E75,'D-1 Off-Site Habitat Baseline'!$D$1:$O$258,12,FALSE))))</f>
        <v/>
      </c>
      <c r="N75" s="295" t="str">
        <f>IF(E75="","",IF(ISNA(VLOOKUP($E75,'D-1 Off-Site Habitat Baseline'!$D$1:$AA$258,17,FALSE)),"",(VLOOKUP($E75,'D-1 Off-Site Habitat Baseline'!$D$1:$AA$258,17,FALSE))))</f>
        <v/>
      </c>
      <c r="O75" s="299" t="str">
        <f>IF(E75="","",IF(ISNA(VLOOKUP($E75,'D-1 Off-Site Habitat Baseline'!$D$1:$AA$258,13,FALSE)),"",(VLOOKUP($E75,'D-1 Off-Site Habitat Baseline'!$D$1:$AA$258,13,FALSE))))</f>
        <v/>
      </c>
      <c r="P75" s="148" t="str">
        <f>IFERROR(INDEX('G-1 All Habitats'!$AG$49:$AG$63,MATCH(Q75,'G-1 All Habitats'!$AF$27:$AF$41,0)),"")</f>
        <v/>
      </c>
      <c r="Q75" s="149" t="str">
        <f t="shared" si="0"/>
        <v/>
      </c>
      <c r="R75" s="150"/>
      <c r="S75" s="151" t="str">
        <f>IFERROR(INDEX('G-1 All Habitats'!$B$3:$B$135,MATCH(R75,'G-1 All Habitats'!$A$3:$A$135,0)),"")</f>
        <v/>
      </c>
      <c r="T75" s="283" t="str">
        <f t="shared" si="2"/>
        <v/>
      </c>
      <c r="U75" s="276" t="str">
        <f t="shared" si="3"/>
        <v/>
      </c>
      <c r="V75" s="298" t="str">
        <f t="shared" si="4"/>
        <v/>
      </c>
      <c r="W75" s="295" t="str">
        <f>IF(S75="","",VLOOKUP(S75,'G-1 All Habitats'!$B$2:$M$135,10,FALSE))</f>
        <v/>
      </c>
      <c r="X75" s="295" t="str">
        <f>IFERROR(VLOOKUP(W75,'G-1 All Habitats'!$V$3:$W$7,2,FALSE),"")</f>
        <v/>
      </c>
      <c r="Y75" s="138"/>
      <c r="Z75" s="299" t="str">
        <f>IFERROR(INDEX('G-8 Condition Look up'!$A$3:$H$135,MATCH(S75,'G-8 Condition Look up'!$A$3:$A$135,0),MATCH(Y75,'G-8 Condition Look up'!$A$3:$H$3,0)),"")</f>
        <v/>
      </c>
      <c r="AA75" s="101"/>
      <c r="AB75" s="314" t="str">
        <f>IF(AA75="","",IF(VLOOKUP(AA75,'G-3 Multipliers'!$L$3:$N$6,2,FALSE)=0,"Spatial Data Missing ⚠",VLOOKUP(AA75,'G-3 Multipliers'!$L$3:$N$6,2,FALSE)))</f>
        <v/>
      </c>
      <c r="AC75" s="299" t="str">
        <f>IF(AA75="","",IF(VLOOKUP(AA75,'G-3 Multipliers'!$L$3:$N$6,3,FALSE)=0,"Spatial Data Missing ⚠",VLOOKUP(AA75,'G-3 Multipliers'!$L$3:$N$6,3,FALSE)))</f>
        <v/>
      </c>
      <c r="AD75" s="311" t="str">
        <f t="shared" si="1"/>
        <v/>
      </c>
      <c r="AE75" s="138"/>
      <c r="AF75" s="138"/>
      <c r="AG75" s="295" t="str">
        <f t="shared" si="5"/>
        <v/>
      </c>
      <c r="AH75" s="296" t="str">
        <f t="shared" si="6"/>
        <v/>
      </c>
      <c r="AI75" s="300" t="str">
        <f>IF(AH75="Check Data ⚠","Check Data ⚠",IFERROR(VLOOKUP(AH75,'G-4 Temporal multipliers'!$A$4:$C$36,3,FALSE),""))</f>
        <v/>
      </c>
      <c r="AJ75" s="311" t="str">
        <f>IF(S75="","",VLOOKUP(S75,'G-3 Multipliers'!$A$2:$E$134,4,FALSE))</f>
        <v/>
      </c>
      <c r="AK75" s="295" t="str">
        <f t="shared" si="7"/>
        <v/>
      </c>
      <c r="AL75" s="295" t="str">
        <f t="shared" si="8"/>
        <v/>
      </c>
      <c r="AM75" s="299" t="str">
        <f>IFERROR(IF(F75="","",IF(AH75="Check Data ⚠","Check Data ⚠",VLOOKUP(AL75,'G-3 Multipliers'!$P$2:$Q$6,2,FALSE))),"")</f>
        <v/>
      </c>
      <c r="AN75" s="712" t="str">
        <f>IF(E75="","",IF(ISNA(VLOOKUP($E75,'D-1 Off-Site Habitat Baseline'!$D$1:$Z$258,15,FALSE)),"",(VLOOKUP($E75,'D-1 Off-Site Habitat Baseline'!$D$1:$Z$258,15,FALSE))))</f>
        <v/>
      </c>
      <c r="AO75" s="329" t="str">
        <f>IF(AN75="","",IF(VLOOKUP(AN75,'G-3 Multipliers'!$S$3:$T$10,2,FALSE)=0,"Spatial Data Missing ⚠",VLOOKUP(AN75,'G-3 Multipliers'!$S$3:$T$10,2,FALSE)))</f>
        <v/>
      </c>
      <c r="AP75" s="289" t="str">
        <f t="shared" si="9"/>
        <v/>
      </c>
      <c r="AQ75" s="289" t="str">
        <f t="shared" si="10"/>
        <v/>
      </c>
      <c r="AR75" s="105"/>
      <c r="AS75" s="138"/>
      <c r="AT75" s="104"/>
      <c r="AU75" s="104"/>
      <c r="AY75" s="30" t="str">
        <f>IF(E75="","",IF(ISNA(VLOOKUP($E75,'D-1 Off-Site Habitat Baseline'!$D$1:$AV$258,4,FALSE)),"",(VLOOKUP($E75,'D-1 Off-Site Habitat Baseline'!$D$1:$AV$258,4,FALSE))))</f>
        <v/>
      </c>
    </row>
    <row r="76" spans="1:51" ht="14">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319" t="str">
        <f>'D-1 Off-Site Habitat Baseline'!AP75</f>
        <v/>
      </c>
      <c r="F76" s="283" t="str">
        <f>IF(E76="","",IF(ISNA(VLOOKUP($E76,'D-1 Off-Site Habitat Baseline'!$D$1:$ZZ$258,45,FALSE)),"",(VLOOKUP($E76,'D-1 Off-Site Habitat Baseline'!$D$1:$ZZ$258,45,FALSE))))</f>
        <v/>
      </c>
      <c r="G76" s="295" t="str">
        <f>IF(E76="","",IF(ISNA(VLOOKUP($E76,'D-1 Off-Site Habitat Baseline'!$D$1:$O$258,5,FALSE)),"",(VLOOKUP($E76,'D-1 Off-Site Habitat Baseline'!$D$1:$O$258,5,FALSE))))</f>
        <v/>
      </c>
      <c r="H76" s="295" t="str">
        <f>IF(E76="","",IF(ISNA(VLOOKUP($E76,'D-1 Off-Site Habitat Baseline'!$D$1:$O$258,6,FALSE)),"",(VLOOKUP($E76,'D-1 Off-Site Habitat Baseline'!$D$1:$O$258,6,FALSE))))</f>
        <v/>
      </c>
      <c r="I76" s="295" t="str">
        <f>IF(E76="","",IF(ISNA(VLOOKUP($E76,'D-1 Off-Site Habitat Baseline'!$D$1:$O$258,7,FALSE)),"",(VLOOKUP($E76,'D-1 Off-Site Habitat Baseline'!$D$1:$O$258,7,FALSE))))</f>
        <v/>
      </c>
      <c r="J76" s="295" t="str">
        <f>IF(E76="","",IF(ISNA(VLOOKUP($E76,'D-1 Off-Site Habitat Baseline'!$D$1:$O$258,8,FALSE)),"",(VLOOKUP($E76,'D-1 Off-Site Habitat Baseline'!$D$1:$O$258,8,FALSE))))</f>
        <v/>
      </c>
      <c r="K76" s="295" t="str">
        <f>IF(E76="","",IF(ISNA(VLOOKUP($E76,'D-1 Off-Site Habitat Baseline'!$D$1:$O$258,9,FALSE)),"",(VLOOKUP($E76,'D-1 Off-Site Habitat Baseline'!$D$1:$O$258,9,FALSE))))</f>
        <v/>
      </c>
      <c r="L76" s="295" t="str">
        <f>IF(E76="","",IF(ISNA(VLOOKUP($E76,'D-1 Off-Site Habitat Baseline'!$D$1:$O$258,11,FALSE)),"",(VLOOKUP($E76,'D-1 Off-Site Habitat Baseline'!$D$1:$O$258,11,FALSE))))</f>
        <v/>
      </c>
      <c r="M76" s="295" t="str">
        <f>IF(E76="","",IF(ISNA(VLOOKUP($E76,'D-1 Off-Site Habitat Baseline'!$D$1:$O$258,12,FALSE)),"",(VLOOKUP($E76,'D-1 Off-Site Habitat Baseline'!$D$1:$O$258,12,FALSE))))</f>
        <v/>
      </c>
      <c r="N76" s="295" t="str">
        <f>IF(E76="","",IF(ISNA(VLOOKUP($E76,'D-1 Off-Site Habitat Baseline'!$D$1:$AA$258,17,FALSE)),"",(VLOOKUP($E76,'D-1 Off-Site Habitat Baseline'!$D$1:$AA$258,17,FALSE))))</f>
        <v/>
      </c>
      <c r="O76" s="299" t="str">
        <f>IF(E76="","",IF(ISNA(VLOOKUP($E76,'D-1 Off-Site Habitat Baseline'!$D$1:$AA$258,13,FALSE)),"",(VLOOKUP($E76,'D-1 Off-Site Habitat Baseline'!$D$1:$AA$258,13,FALSE))))</f>
        <v/>
      </c>
      <c r="P76" s="148" t="str">
        <f>IFERROR(INDEX('G-1 All Habitats'!$AG$49:$AG$63,MATCH(Q76,'G-1 All Habitats'!$AF$27:$AF$41,0)),"")</f>
        <v/>
      </c>
      <c r="Q76" s="149" t="str">
        <f t="shared" si="0"/>
        <v/>
      </c>
      <c r="R76" s="150"/>
      <c r="S76" s="151" t="str">
        <f>IFERROR(INDEX('G-1 All Habitats'!$B$3:$B$135,MATCH(R76,'G-1 All Habitats'!$A$3:$A$135,0)),"")</f>
        <v/>
      </c>
      <c r="T76" s="283" t="str">
        <f t="shared" si="2"/>
        <v/>
      </c>
      <c r="U76" s="276" t="str">
        <f t="shared" si="3"/>
        <v/>
      </c>
      <c r="V76" s="298" t="str">
        <f t="shared" si="11" ref="V76:V139">IF(S76="","",VLOOKUP(E76,BaselineHabOffsite,20,FALSE))</f>
        <v/>
      </c>
      <c r="W76" s="295" t="str">
        <f>IF(S76="","",VLOOKUP(S76,'G-1 All Habitats'!$B$2:$M$135,10,FALSE))</f>
        <v/>
      </c>
      <c r="X76" s="295" t="str">
        <f>IFERROR(VLOOKUP(W76,'G-1 All Habitats'!$V$3:$W$7,2,FALSE),"")</f>
        <v/>
      </c>
      <c r="Y76" s="138"/>
      <c r="Z76" s="299" t="str">
        <f>IFERROR(INDEX('G-8 Condition Look up'!$A$3:$H$135,MATCH(S76,'G-8 Condition Look up'!$A$3:$A$135,0),MATCH(Y76,'G-8 Condition Look up'!$A$3:$H$3,0)),"")</f>
        <v/>
      </c>
      <c r="AA76" s="101"/>
      <c r="AB76" s="314" t="str">
        <f>IF(AA76="","",IF(VLOOKUP(AA76,'G-3 Multipliers'!$L$3:$N$6,2,FALSE)=0,"Spatial Data Missing ⚠",VLOOKUP(AA76,'G-3 Multipliers'!$L$3:$N$6,2,FALSE)))</f>
        <v/>
      </c>
      <c r="AC76" s="299" t="str">
        <f>IF(AA76="","",IF(VLOOKUP(AA76,'G-3 Multipliers'!$L$3:$N$6,3,FALSE)=0,"Spatial Data Missing ⚠",VLOOKUP(AA76,'G-3 Multipliers'!$L$3:$N$6,3,FALSE)))</f>
        <v/>
      </c>
      <c r="AD76" s="311" t="str">
        <f t="shared" si="12" ref="AD76:AD139">IFERROR(IF(OR(LEFT(U76,5)="Error",LEFT(T76,5)="Error"),"Check Data ⚠",INDEX(EnhanceTemporal,MATCH(S76,EnhanceHabitat,0),MATCH(U76,EnhanceCondition,0))),"")</f>
        <v/>
      </c>
      <c r="AE76" s="138"/>
      <c r="AF76" s="138"/>
      <c r="AG76" s="295" t="str">
        <f t="shared" si="5"/>
        <v/>
      </c>
      <c r="AH76" s="296" t="str">
        <f t="shared" si="6"/>
        <v/>
      </c>
      <c r="AI76" s="300" t="str">
        <f>IF(AH76="Check Data ⚠","Check Data ⚠",IFERROR(VLOOKUP(AH76,'G-4 Temporal multipliers'!$A$4:$C$36,3,FALSE),""))</f>
        <v/>
      </c>
      <c r="AJ76" s="311" t="str">
        <f>IF(S76="","",VLOOKUP(S76,'G-3 Multipliers'!$A$2:$E$134,4,FALSE))</f>
        <v/>
      </c>
      <c r="AK76" s="295" t="str">
        <f t="shared" si="7"/>
        <v/>
      </c>
      <c r="AL76" s="295" t="str">
        <f t="shared" si="8"/>
        <v/>
      </c>
      <c r="AM76" s="299" t="str">
        <f>IFERROR(IF(F76="","",IF(AH76="Check Data ⚠","Check Data ⚠",VLOOKUP(AL76,'G-3 Multipliers'!$P$2:$Q$6,2,FALSE))),"")</f>
        <v/>
      </c>
      <c r="AN76" s="712" t="str">
        <f>IF(E76="","",IF(ISNA(VLOOKUP($E76,'D-1 Off-Site Habitat Baseline'!$D$1:$Z$258,15,FALSE)),"",(VLOOKUP($E76,'D-1 Off-Site Habitat Baseline'!$D$1:$Z$258,15,FALSE))))</f>
        <v/>
      </c>
      <c r="AO76" s="329" t="str">
        <f>IF(AN76="","",IF(VLOOKUP(AN76,'G-3 Multipliers'!$S$3:$T$10,2,FALSE)=0,"Spatial Data Missing ⚠",VLOOKUP(AN76,'G-3 Multipliers'!$S$3:$T$10,2,FALSE)))</f>
        <v/>
      </c>
      <c r="AP76" s="289" t="str">
        <f t="shared" si="9"/>
        <v/>
      </c>
      <c r="AQ76" s="289" t="str">
        <f t="shared" si="10"/>
        <v/>
      </c>
      <c r="AR76" s="105"/>
      <c r="AS76" s="138"/>
      <c r="AT76" s="104"/>
      <c r="AU76" s="104"/>
      <c r="AY76" s="30" t="str">
        <f>IF(E76="","",IF(ISNA(VLOOKUP($E76,'D-1 Off-Site Habitat Baseline'!$D$1:$AV$258,4,FALSE)),"",(VLOOKUP($E76,'D-1 Off-Site Habitat Baseline'!$D$1:$AV$258,4,FALSE))))</f>
        <v/>
      </c>
    </row>
    <row r="77" spans="1:51" ht="14">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319" t="str">
        <f>'D-1 Off-Site Habitat Baseline'!AP76</f>
        <v/>
      </c>
      <c r="F77" s="283" t="str">
        <f>IF(E77="","",IF(ISNA(VLOOKUP($E77,'D-1 Off-Site Habitat Baseline'!$D$1:$ZZ$258,45,FALSE)),"",(VLOOKUP($E77,'D-1 Off-Site Habitat Baseline'!$D$1:$ZZ$258,45,FALSE))))</f>
        <v/>
      </c>
      <c r="G77" s="295" t="str">
        <f>IF(E77="","",IF(ISNA(VLOOKUP($E77,'D-1 Off-Site Habitat Baseline'!$D$1:$O$258,5,FALSE)),"",(VLOOKUP($E77,'D-1 Off-Site Habitat Baseline'!$D$1:$O$258,5,FALSE))))</f>
        <v/>
      </c>
      <c r="H77" s="295" t="str">
        <f>IF(E77="","",IF(ISNA(VLOOKUP($E77,'D-1 Off-Site Habitat Baseline'!$D$1:$O$258,6,FALSE)),"",(VLOOKUP($E77,'D-1 Off-Site Habitat Baseline'!$D$1:$O$258,6,FALSE))))</f>
        <v/>
      </c>
      <c r="I77" s="295" t="str">
        <f>IF(E77="","",IF(ISNA(VLOOKUP($E77,'D-1 Off-Site Habitat Baseline'!$D$1:$O$258,7,FALSE)),"",(VLOOKUP($E77,'D-1 Off-Site Habitat Baseline'!$D$1:$O$258,7,FALSE))))</f>
        <v/>
      </c>
      <c r="J77" s="295" t="str">
        <f>IF(E77="","",IF(ISNA(VLOOKUP($E77,'D-1 Off-Site Habitat Baseline'!$D$1:$O$258,8,FALSE)),"",(VLOOKUP($E77,'D-1 Off-Site Habitat Baseline'!$D$1:$O$258,8,FALSE))))</f>
        <v/>
      </c>
      <c r="K77" s="295" t="str">
        <f>IF(E77="","",IF(ISNA(VLOOKUP($E77,'D-1 Off-Site Habitat Baseline'!$D$1:$O$258,9,FALSE)),"",(VLOOKUP($E77,'D-1 Off-Site Habitat Baseline'!$D$1:$O$258,9,FALSE))))</f>
        <v/>
      </c>
      <c r="L77" s="295" t="str">
        <f>IF(E77="","",IF(ISNA(VLOOKUP($E77,'D-1 Off-Site Habitat Baseline'!$D$1:$O$258,11,FALSE)),"",(VLOOKUP($E77,'D-1 Off-Site Habitat Baseline'!$D$1:$O$258,11,FALSE))))</f>
        <v/>
      </c>
      <c r="M77" s="295" t="str">
        <f>IF(E77="","",IF(ISNA(VLOOKUP($E77,'D-1 Off-Site Habitat Baseline'!$D$1:$O$258,12,FALSE)),"",(VLOOKUP($E77,'D-1 Off-Site Habitat Baseline'!$D$1:$O$258,12,FALSE))))</f>
        <v/>
      </c>
      <c r="N77" s="295" t="str">
        <f>IF(E77="","",IF(ISNA(VLOOKUP($E77,'D-1 Off-Site Habitat Baseline'!$D$1:$AA$258,17,FALSE)),"",(VLOOKUP($E77,'D-1 Off-Site Habitat Baseline'!$D$1:$AA$258,17,FALSE))))</f>
        <v/>
      </c>
      <c r="O77" s="299" t="str">
        <f>IF(E77="","",IF(ISNA(VLOOKUP($E77,'D-1 Off-Site Habitat Baseline'!$D$1:$AA$258,13,FALSE)),"",(VLOOKUP($E77,'D-1 Off-Site Habitat Baseline'!$D$1:$AA$258,13,FALSE))))</f>
        <v/>
      </c>
      <c r="P77" s="148" t="str">
        <f>IFERROR(INDEX('G-1 All Habitats'!$AG$49:$AG$63,MATCH(Q77,'G-1 All Habitats'!$AF$27:$AF$41,0)),"")</f>
        <v/>
      </c>
      <c r="Q77" s="149" t="str">
        <f t="shared" si="13" ref="Q77:Q140">A77</f>
        <v/>
      </c>
      <c r="R77" s="150"/>
      <c r="S77" s="151" t="str">
        <f>IFERROR(INDEX('G-1 All Habitats'!$B$3:$B$135,MATCH(R77,'G-1 All Habitats'!$A$3:$A$135,0)),"")</f>
        <v/>
      </c>
      <c r="T77" s="283" t="str">
        <f t="shared" si="14" ref="T77:T140">IF(E77="","",IF(AND(LEFT(O77,6)="Same d",I77&gt;X77),"Error - Trading rules not satisfied ▲",IF(AND(LEFT(O77,6)="Same b",AND(LEFT(F77,5)&lt;&gt;LEFT(S77,5),I77&gt;X77)),"Error - Trading rules not satisfied ▲",IF(AND(LEFT(O77,6)="Same h",F77&lt;&gt;S77),"Error - Trading rules not satisfied ▲",IF(AND(LEFT(O77,6)="Bespok",F77&lt;&gt;S77,LEFT(F77,27)&lt;&gt;"Woodland and forest - Other"),"Error - Trading rules not satisfied ▲",IF(X77&lt;I77,"Error Trading Down ▲",IF(AND(R77="Littoral seagrass",F77&lt;&gt;"Intertidal sediment - Littoral seagrass",F77&lt;&gt;"Intertidal sediment - Littoral sand"),"Error - Enhancement not possible ▲",IF(AND(R77="Artificial hard structures with integrated greening of grey infrastructure (IGGI)",F77&lt;&gt;"Intertidal hard structures - Artificial hard structures with integrated greening of grey infrastructure (IGGI)",F77&lt;&gt;"Intertidal hard structures - Artificial hard structures",F77&lt;&gt;"Intertidal hard structures - Artificial features of hard structures"),"Error - Enhancement not possible ▲",H77&amp;" - "&amp;W77))))))))</f>
        <v/>
      </c>
      <c r="U77" s="276" t="str">
        <f t="shared" si="15" ref="U77:U140">IF(F77="","",IF(OR(LEFT(F77,27)&lt;&gt;"Woodland and forest - Other",LEFT(S77,8)&lt;&gt;"Woodland"),IF(AND(S77&lt;&gt;F77,AY77="Yes"),"Error you cannot replace an irreplaceable habitat ▲",IF(AND(LEFT(F77,55)&lt;&gt;LEFT(S77,55),T77="High - High"),"Error - Not like for like ▲",IF(AND(I77=X77,K77&gt;Z77),"Error - Can not reduce condition ▲",IF(K77&gt;Z77,"Error - condition cannot be reduced ▲",IF(AND(I77=X77,K77=Z77),"Error - No enhancement ▲",IF(X77&lt;I77,"Error Trading Down ▲",IF(AND(F77&lt;&gt;S77,I77&lt;X77),"Lower Distinctiveness Habitat"&amp;" - "&amp;Y77,J77&amp;" - "&amp;Y77))))))),IF(AND(LEFT(F77,55)&lt;&gt;LEFT(S77,55),T77="High - High"),"Error - Not like for like ▲",IF(AND(I77=X77,K77&gt;Z77),"Error - Can not reduce condition ▲",IF(K77&gt;Z77,"Error - condition cannot be reduced ▲",IF(AND(I77=X77,K77=Z77),"Error - No enhancement ▲",IF(X77&lt;I77,"Error Trading Down ▲",IF(AND(F77&lt;&gt;S77,I77&lt;X77),"Lower Distinctiveness Habitat"&amp;" - "&amp;Y77,J77&amp;" - "&amp;Y77))))))))</f>
        <v/>
      </c>
      <c r="V77" s="298" t="str">
        <f t="shared" si="11"/>
        <v/>
      </c>
      <c r="W77" s="295" t="str">
        <f>IF(S77="","",VLOOKUP(S77,'G-1 All Habitats'!$B$2:$M$135,10,FALSE))</f>
        <v/>
      </c>
      <c r="X77" s="295" t="str">
        <f>IFERROR(VLOOKUP(W77,'G-1 All Habitats'!$V$3:$W$7,2,FALSE),"")</f>
        <v/>
      </c>
      <c r="Y77" s="138"/>
      <c r="Z77" s="299" t="str">
        <f>IFERROR(INDEX('G-8 Condition Look up'!$A$3:$H$135,MATCH(S77,'G-8 Condition Look up'!$A$3:$A$135,0),MATCH(Y77,'G-8 Condition Look up'!$A$3:$H$3,0)),"")</f>
        <v/>
      </c>
      <c r="AA77" s="101"/>
      <c r="AB77" s="314" t="str">
        <f>IF(AA77="","",IF(VLOOKUP(AA77,'G-3 Multipliers'!$L$3:$N$6,2,FALSE)=0,"Spatial Data Missing ⚠",VLOOKUP(AA77,'G-3 Multipliers'!$L$3:$N$6,2,FALSE)))</f>
        <v/>
      </c>
      <c r="AC77" s="299" t="str">
        <f>IF(AA77="","",IF(VLOOKUP(AA77,'G-3 Multipliers'!$L$3:$N$6,3,FALSE)=0,"Spatial Data Missing ⚠",VLOOKUP(AA77,'G-3 Multipliers'!$L$3:$N$6,3,FALSE)))</f>
        <v/>
      </c>
      <c r="AD77" s="311" t="str">
        <f t="shared" si="12"/>
        <v/>
      </c>
      <c r="AE77" s="138"/>
      <c r="AF77" s="138"/>
      <c r="AG77" s="295" t="str">
        <f t="shared" si="16" ref="AG77:AG140">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296" t="str">
        <f t="shared" si="17" ref="AH77:AH140">IF(AG77="Error -both advance and delayed habitat creation ▲","Check Data ⚠",IF(AG77="Check Data ⚠","Check Data ⚠",IF(AD77="","",IF(AD77="Not Possible ▲","CheckData ⚠",IF(AND(AD77="30+",AE77=0),"30+",IF(AND(AD77="30+",AE77="30+"),0,IF(AND(AD77="30+",AE77&lt;30),30-AE77,IF(AD77="30+",30-AE77,IF(AF77="30+","30+",IF(AE77&gt;AD77,0,IF(AD77+AF77&gt;30,"30+",IF(AD77+AF77&gt;30,"30+",IF(AD77-AE77&gt;30,"30+",IF(AD77+AF77-AE77&gt;0,AD77+AF77-AE77,IF(AD77-AE77&gt;0,AD77-AE77,AD77+AF77-AE77)))))))))))))))</f>
        <v/>
      </c>
      <c r="AI77" s="300" t="str">
        <f>IF(AH77="Check Data ⚠","Check Data ⚠",IFERROR(VLOOKUP(AH77,'G-4 Temporal multipliers'!$A$4:$C$36,3,FALSE),""))</f>
        <v/>
      </c>
      <c r="AJ77" s="311" t="str">
        <f>IF(S77="","",VLOOKUP(S77,'G-3 Multipliers'!$A$2:$E$134,4,FALSE))</f>
        <v/>
      </c>
      <c r="AK77" s="295" t="str">
        <f t="shared" si="18" ref="AK77:AK140">IF(E77="","",IF(AG77="Check details - Is there evidence that habitat has reached target condition? ⚠","Low Difficulty - only applicable if all habitat created before losses ⚠","Standard difficulty applied"))</f>
        <v/>
      </c>
      <c r="AL77" s="295" t="str">
        <f t="shared" si="19" ref="AL77:AL140">(IF(AND(AK77="Standard difficulty applied",AD77&gt;AE77),AJ77,IF(AND(AK77="Low Difficulty - only applicable if all habitat created before losses ⚠",AE77&gt;=AD77),"Low",AJ77)))</f>
        <v/>
      </c>
      <c r="AM77" s="299" t="str">
        <f>IFERROR(IF(F77="","",IF(AH77="Check Data ⚠","Check Data ⚠",VLOOKUP(AL77,'G-3 Multipliers'!$P$2:$Q$6,2,FALSE))),"")</f>
        <v/>
      </c>
      <c r="AN77" s="712" t="str">
        <f>IF(E77="","",IF(ISNA(VLOOKUP($E77,'D-1 Off-Site Habitat Baseline'!$D$1:$Z$258,15,FALSE)),"",(VLOOKUP($E77,'D-1 Off-Site Habitat Baseline'!$D$1:$Z$258,15,FALSE))))</f>
        <v/>
      </c>
      <c r="AO77" s="329" t="str">
        <f>IF(AN77="","",IF(VLOOKUP(AN77,'G-3 Multipliers'!$S$3:$T$10,2,FALSE)=0,"Spatial Data Missing ⚠",VLOOKUP(AN77,'G-3 Multipliers'!$S$3:$T$10,2,FALSE)))</f>
        <v/>
      </c>
      <c r="AP77" s="289" t="str">
        <f t="shared" si="20" ref="AP77:AP140">IFERROR(IF(N77="Check Data ⚠","Check Data ⚠",(((((V77*X77*Z77)-(V77*I77*K77))*(AM77*AI77))+(V77*I77*K77))*(AC77)*AO77)),"")</f>
        <v/>
      </c>
      <c r="AQ77" s="289" t="str">
        <f t="shared" si="21" ref="AQ77:AQ140">IFERROR(IF(AN77="","",(IF(AND(AN77&lt;&gt;"",AU77=""),"Off-site reference required ▲",IF(N77="Error - you cannot enhance irreplaceable individual trees ▲","Error - you cannot enhance irreplaceable individual trees ▲",IF(N77="Check Data ⚠","Check Data ⚠",((((V77*X77*Z77)-(V77*I77*K77))*(AM77*AI77))+(V77*I77*K77))*(AC77)))))),"")</f>
        <v/>
      </c>
      <c r="AR77" s="105"/>
      <c r="AS77" s="138"/>
      <c r="AT77" s="104"/>
      <c r="AU77" s="104"/>
      <c r="AY77" s="30" t="str">
        <f>IF(E77="","",IF(ISNA(VLOOKUP($E77,'D-1 Off-Site Habitat Baseline'!$D$1:$AV$258,4,FALSE)),"",(VLOOKUP($E77,'D-1 Off-Site Habitat Baseline'!$D$1:$AV$258,4,FALSE))))</f>
        <v/>
      </c>
    </row>
    <row r="78" spans="1:51" ht="14">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319" t="str">
        <f>'D-1 Off-Site Habitat Baseline'!AP77</f>
        <v/>
      </c>
      <c r="F78" s="283" t="str">
        <f>IF(E78="","",IF(ISNA(VLOOKUP($E78,'D-1 Off-Site Habitat Baseline'!$D$1:$ZZ$258,45,FALSE)),"",(VLOOKUP($E78,'D-1 Off-Site Habitat Baseline'!$D$1:$ZZ$258,45,FALSE))))</f>
        <v/>
      </c>
      <c r="G78" s="295" t="str">
        <f>IF(E78="","",IF(ISNA(VLOOKUP($E78,'D-1 Off-Site Habitat Baseline'!$D$1:$O$258,5,FALSE)),"",(VLOOKUP($E78,'D-1 Off-Site Habitat Baseline'!$D$1:$O$258,5,FALSE))))</f>
        <v/>
      </c>
      <c r="H78" s="295" t="str">
        <f>IF(E78="","",IF(ISNA(VLOOKUP($E78,'D-1 Off-Site Habitat Baseline'!$D$1:$O$258,6,FALSE)),"",(VLOOKUP($E78,'D-1 Off-Site Habitat Baseline'!$D$1:$O$258,6,FALSE))))</f>
        <v/>
      </c>
      <c r="I78" s="295" t="str">
        <f>IF(E78="","",IF(ISNA(VLOOKUP($E78,'D-1 Off-Site Habitat Baseline'!$D$1:$O$258,7,FALSE)),"",(VLOOKUP($E78,'D-1 Off-Site Habitat Baseline'!$D$1:$O$258,7,FALSE))))</f>
        <v/>
      </c>
      <c r="J78" s="295" t="str">
        <f>IF(E78="","",IF(ISNA(VLOOKUP($E78,'D-1 Off-Site Habitat Baseline'!$D$1:$O$258,8,FALSE)),"",(VLOOKUP($E78,'D-1 Off-Site Habitat Baseline'!$D$1:$O$258,8,FALSE))))</f>
        <v/>
      </c>
      <c r="K78" s="295" t="str">
        <f>IF(E78="","",IF(ISNA(VLOOKUP($E78,'D-1 Off-Site Habitat Baseline'!$D$1:$O$258,9,FALSE)),"",(VLOOKUP($E78,'D-1 Off-Site Habitat Baseline'!$D$1:$O$258,9,FALSE))))</f>
        <v/>
      </c>
      <c r="L78" s="295" t="str">
        <f>IF(E78="","",IF(ISNA(VLOOKUP($E78,'D-1 Off-Site Habitat Baseline'!$D$1:$O$258,11,FALSE)),"",(VLOOKUP($E78,'D-1 Off-Site Habitat Baseline'!$D$1:$O$258,11,FALSE))))</f>
        <v/>
      </c>
      <c r="M78" s="295" t="str">
        <f>IF(E78="","",IF(ISNA(VLOOKUP($E78,'D-1 Off-Site Habitat Baseline'!$D$1:$O$258,12,FALSE)),"",(VLOOKUP($E78,'D-1 Off-Site Habitat Baseline'!$D$1:$O$258,12,FALSE))))</f>
        <v/>
      </c>
      <c r="N78" s="295" t="str">
        <f>IF(E78="","",IF(ISNA(VLOOKUP($E78,'D-1 Off-Site Habitat Baseline'!$D$1:$AA$258,17,FALSE)),"",(VLOOKUP($E78,'D-1 Off-Site Habitat Baseline'!$D$1:$AA$258,17,FALSE))))</f>
        <v/>
      </c>
      <c r="O78" s="299" t="str">
        <f>IF(E78="","",IF(ISNA(VLOOKUP($E78,'D-1 Off-Site Habitat Baseline'!$D$1:$AA$258,13,FALSE)),"",(VLOOKUP($E78,'D-1 Off-Site Habitat Baseline'!$D$1:$AA$258,13,FALSE))))</f>
        <v/>
      </c>
      <c r="P78" s="148" t="str">
        <f>IFERROR(INDEX('G-1 All Habitats'!$AG$49:$AG$63,MATCH(Q78,'G-1 All Habitats'!$AF$27:$AF$41,0)),"")</f>
        <v/>
      </c>
      <c r="Q78" s="149" t="str">
        <f t="shared" si="13"/>
        <v/>
      </c>
      <c r="R78" s="150"/>
      <c r="S78" s="151" t="str">
        <f>IFERROR(INDEX('G-1 All Habitats'!$B$3:$B$135,MATCH(R78,'G-1 All Habitats'!$A$3:$A$135,0)),"")</f>
        <v/>
      </c>
      <c r="T78" s="283" t="str">
        <f t="shared" si="14"/>
        <v/>
      </c>
      <c r="U78" s="276" t="str">
        <f t="shared" si="15"/>
        <v/>
      </c>
      <c r="V78" s="298" t="str">
        <f t="shared" si="11"/>
        <v/>
      </c>
      <c r="W78" s="295" t="str">
        <f>IF(S78="","",VLOOKUP(S78,'G-1 All Habitats'!$B$2:$M$135,10,FALSE))</f>
        <v/>
      </c>
      <c r="X78" s="295" t="str">
        <f>IFERROR(VLOOKUP(W78,'G-1 All Habitats'!$V$3:$W$7,2,FALSE),"")</f>
        <v/>
      </c>
      <c r="Y78" s="138"/>
      <c r="Z78" s="299" t="str">
        <f>IFERROR(INDEX('G-8 Condition Look up'!$A$3:$H$135,MATCH(S78,'G-8 Condition Look up'!$A$3:$A$135,0),MATCH(Y78,'G-8 Condition Look up'!$A$3:$H$3,0)),"")</f>
        <v/>
      </c>
      <c r="AA78" s="101"/>
      <c r="AB78" s="314" t="str">
        <f>IF(AA78="","",IF(VLOOKUP(AA78,'G-3 Multipliers'!$L$3:$N$6,2,FALSE)=0,"Spatial Data Missing ⚠",VLOOKUP(AA78,'G-3 Multipliers'!$L$3:$N$6,2,FALSE)))</f>
        <v/>
      </c>
      <c r="AC78" s="299" t="str">
        <f>IF(AA78="","",IF(VLOOKUP(AA78,'G-3 Multipliers'!$L$3:$N$6,3,FALSE)=0,"Spatial Data Missing ⚠",VLOOKUP(AA78,'G-3 Multipliers'!$L$3:$N$6,3,FALSE)))</f>
        <v/>
      </c>
      <c r="AD78" s="311" t="str">
        <f t="shared" si="12"/>
        <v/>
      </c>
      <c r="AE78" s="138"/>
      <c r="AF78" s="138"/>
      <c r="AG78" s="295" t="str">
        <f t="shared" si="16"/>
        <v/>
      </c>
      <c r="AH78" s="296" t="str">
        <f t="shared" si="17"/>
        <v/>
      </c>
      <c r="AI78" s="300" t="str">
        <f>IF(AH78="Check Data ⚠","Check Data ⚠",IFERROR(VLOOKUP(AH78,'G-4 Temporal multipliers'!$A$4:$C$36,3,FALSE),""))</f>
        <v/>
      </c>
      <c r="AJ78" s="311" t="str">
        <f>IF(S78="","",VLOOKUP(S78,'G-3 Multipliers'!$A$2:$E$134,4,FALSE))</f>
        <v/>
      </c>
      <c r="AK78" s="295" t="str">
        <f t="shared" si="18"/>
        <v/>
      </c>
      <c r="AL78" s="295" t="str">
        <f t="shared" si="19"/>
        <v/>
      </c>
      <c r="AM78" s="299" t="str">
        <f>IFERROR(IF(F78="","",IF(AH78="Check Data ⚠","Check Data ⚠",VLOOKUP(AL78,'G-3 Multipliers'!$P$2:$Q$6,2,FALSE))),"")</f>
        <v/>
      </c>
      <c r="AN78" s="712" t="str">
        <f>IF(E78="","",IF(ISNA(VLOOKUP($E78,'D-1 Off-Site Habitat Baseline'!$D$1:$Z$258,15,FALSE)),"",(VLOOKUP($E78,'D-1 Off-Site Habitat Baseline'!$D$1:$Z$258,15,FALSE))))</f>
        <v/>
      </c>
      <c r="AO78" s="329" t="str">
        <f>IF(AN78="","",IF(VLOOKUP(AN78,'G-3 Multipliers'!$S$3:$T$10,2,FALSE)=0,"Spatial Data Missing ⚠",VLOOKUP(AN78,'G-3 Multipliers'!$S$3:$T$10,2,FALSE)))</f>
        <v/>
      </c>
      <c r="AP78" s="289" t="str">
        <f t="shared" si="20"/>
        <v/>
      </c>
      <c r="AQ78" s="289" t="str">
        <f t="shared" si="21"/>
        <v/>
      </c>
      <c r="AR78" s="105"/>
      <c r="AS78" s="138"/>
      <c r="AT78" s="104"/>
      <c r="AU78" s="104"/>
      <c r="AY78" s="30" t="str">
        <f>IF(E78="","",IF(ISNA(VLOOKUP($E78,'D-1 Off-Site Habitat Baseline'!$D$1:$AV$258,4,FALSE)),"",(VLOOKUP($E78,'D-1 Off-Site Habitat Baseline'!$D$1:$AV$258,4,FALSE))))</f>
        <v/>
      </c>
    </row>
    <row r="79" spans="1:51" ht="14">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319" t="str">
        <f>'D-1 Off-Site Habitat Baseline'!AP78</f>
        <v/>
      </c>
      <c r="F79" s="283" t="str">
        <f>IF(E79="","",IF(ISNA(VLOOKUP($E79,'D-1 Off-Site Habitat Baseline'!$D$1:$ZZ$258,45,FALSE)),"",(VLOOKUP($E79,'D-1 Off-Site Habitat Baseline'!$D$1:$ZZ$258,45,FALSE))))</f>
        <v/>
      </c>
      <c r="G79" s="295" t="str">
        <f>IF(E79="","",IF(ISNA(VLOOKUP($E79,'D-1 Off-Site Habitat Baseline'!$D$1:$O$258,5,FALSE)),"",(VLOOKUP($E79,'D-1 Off-Site Habitat Baseline'!$D$1:$O$258,5,FALSE))))</f>
        <v/>
      </c>
      <c r="H79" s="295" t="str">
        <f>IF(E79="","",IF(ISNA(VLOOKUP($E79,'D-1 Off-Site Habitat Baseline'!$D$1:$O$258,6,FALSE)),"",(VLOOKUP($E79,'D-1 Off-Site Habitat Baseline'!$D$1:$O$258,6,FALSE))))</f>
        <v/>
      </c>
      <c r="I79" s="295" t="str">
        <f>IF(E79="","",IF(ISNA(VLOOKUP($E79,'D-1 Off-Site Habitat Baseline'!$D$1:$O$258,7,FALSE)),"",(VLOOKUP($E79,'D-1 Off-Site Habitat Baseline'!$D$1:$O$258,7,FALSE))))</f>
        <v/>
      </c>
      <c r="J79" s="295" t="str">
        <f>IF(E79="","",IF(ISNA(VLOOKUP($E79,'D-1 Off-Site Habitat Baseline'!$D$1:$O$258,8,FALSE)),"",(VLOOKUP($E79,'D-1 Off-Site Habitat Baseline'!$D$1:$O$258,8,FALSE))))</f>
        <v/>
      </c>
      <c r="K79" s="295" t="str">
        <f>IF(E79="","",IF(ISNA(VLOOKUP($E79,'D-1 Off-Site Habitat Baseline'!$D$1:$O$258,9,FALSE)),"",(VLOOKUP($E79,'D-1 Off-Site Habitat Baseline'!$D$1:$O$258,9,FALSE))))</f>
        <v/>
      </c>
      <c r="L79" s="295" t="str">
        <f>IF(E79="","",IF(ISNA(VLOOKUP($E79,'D-1 Off-Site Habitat Baseline'!$D$1:$O$258,11,FALSE)),"",(VLOOKUP($E79,'D-1 Off-Site Habitat Baseline'!$D$1:$O$258,11,FALSE))))</f>
        <v/>
      </c>
      <c r="M79" s="295" t="str">
        <f>IF(E79="","",IF(ISNA(VLOOKUP($E79,'D-1 Off-Site Habitat Baseline'!$D$1:$O$258,12,FALSE)),"",(VLOOKUP($E79,'D-1 Off-Site Habitat Baseline'!$D$1:$O$258,12,FALSE))))</f>
        <v/>
      </c>
      <c r="N79" s="295" t="str">
        <f>IF(E79="","",IF(ISNA(VLOOKUP($E79,'D-1 Off-Site Habitat Baseline'!$D$1:$AA$258,17,FALSE)),"",(VLOOKUP($E79,'D-1 Off-Site Habitat Baseline'!$D$1:$AA$258,17,FALSE))))</f>
        <v/>
      </c>
      <c r="O79" s="299" t="str">
        <f>IF(E79="","",IF(ISNA(VLOOKUP($E79,'D-1 Off-Site Habitat Baseline'!$D$1:$AA$258,13,FALSE)),"",(VLOOKUP($E79,'D-1 Off-Site Habitat Baseline'!$D$1:$AA$258,13,FALSE))))</f>
        <v/>
      </c>
      <c r="P79" s="148" t="str">
        <f>IFERROR(INDEX('G-1 All Habitats'!$AG$49:$AG$63,MATCH(Q79,'G-1 All Habitats'!$AF$27:$AF$41,0)),"")</f>
        <v/>
      </c>
      <c r="Q79" s="149" t="str">
        <f t="shared" si="13"/>
        <v/>
      </c>
      <c r="R79" s="150"/>
      <c r="S79" s="151" t="str">
        <f>IFERROR(INDEX('G-1 All Habitats'!$B$3:$B$135,MATCH(R79,'G-1 All Habitats'!$A$3:$A$135,0)),"")</f>
        <v/>
      </c>
      <c r="T79" s="283" t="str">
        <f t="shared" si="14"/>
        <v/>
      </c>
      <c r="U79" s="276" t="str">
        <f t="shared" si="15"/>
        <v/>
      </c>
      <c r="V79" s="298" t="str">
        <f t="shared" si="11"/>
        <v/>
      </c>
      <c r="W79" s="295" t="str">
        <f>IF(S79="","",VLOOKUP(S79,'G-1 All Habitats'!$B$2:$M$135,10,FALSE))</f>
        <v/>
      </c>
      <c r="X79" s="295" t="str">
        <f>IFERROR(VLOOKUP(W79,'G-1 All Habitats'!$V$3:$W$7,2,FALSE),"")</f>
        <v/>
      </c>
      <c r="Y79" s="138"/>
      <c r="Z79" s="299" t="str">
        <f>IFERROR(INDEX('G-8 Condition Look up'!$A$3:$H$135,MATCH(S79,'G-8 Condition Look up'!$A$3:$A$135,0),MATCH(Y79,'G-8 Condition Look up'!$A$3:$H$3,0)),"")</f>
        <v/>
      </c>
      <c r="AA79" s="101"/>
      <c r="AB79" s="314" t="str">
        <f>IF(AA79="","",IF(VLOOKUP(AA79,'G-3 Multipliers'!$L$3:$N$6,2,FALSE)=0,"Spatial Data Missing ⚠",VLOOKUP(AA79,'G-3 Multipliers'!$L$3:$N$6,2,FALSE)))</f>
        <v/>
      </c>
      <c r="AC79" s="299" t="str">
        <f>IF(AA79="","",IF(VLOOKUP(AA79,'G-3 Multipliers'!$L$3:$N$6,3,FALSE)=0,"Spatial Data Missing ⚠",VLOOKUP(AA79,'G-3 Multipliers'!$L$3:$N$6,3,FALSE)))</f>
        <v/>
      </c>
      <c r="AD79" s="311" t="str">
        <f t="shared" si="12"/>
        <v/>
      </c>
      <c r="AE79" s="138"/>
      <c r="AF79" s="138"/>
      <c r="AG79" s="295" t="str">
        <f t="shared" si="16"/>
        <v/>
      </c>
      <c r="AH79" s="296" t="str">
        <f t="shared" si="17"/>
        <v/>
      </c>
      <c r="AI79" s="300" t="str">
        <f>IF(AH79="Check Data ⚠","Check Data ⚠",IFERROR(VLOOKUP(AH79,'G-4 Temporal multipliers'!$A$4:$C$36,3,FALSE),""))</f>
        <v/>
      </c>
      <c r="AJ79" s="311" t="str">
        <f>IF(S79="","",VLOOKUP(S79,'G-3 Multipliers'!$A$2:$E$134,4,FALSE))</f>
        <v/>
      </c>
      <c r="AK79" s="295" t="str">
        <f t="shared" si="18"/>
        <v/>
      </c>
      <c r="AL79" s="295" t="str">
        <f t="shared" si="19"/>
        <v/>
      </c>
      <c r="AM79" s="299" t="str">
        <f>IFERROR(IF(F79="","",IF(AH79="Check Data ⚠","Check Data ⚠",VLOOKUP(AL79,'G-3 Multipliers'!$P$2:$Q$6,2,FALSE))),"")</f>
        <v/>
      </c>
      <c r="AN79" s="712" t="str">
        <f>IF(E79="","",IF(ISNA(VLOOKUP($E79,'D-1 Off-Site Habitat Baseline'!$D$1:$Z$258,15,FALSE)),"",(VLOOKUP($E79,'D-1 Off-Site Habitat Baseline'!$D$1:$Z$258,15,FALSE))))</f>
        <v/>
      </c>
      <c r="AO79" s="329" t="str">
        <f>IF(AN79="","",IF(VLOOKUP(AN79,'G-3 Multipliers'!$S$3:$T$10,2,FALSE)=0,"Spatial Data Missing ⚠",VLOOKUP(AN79,'G-3 Multipliers'!$S$3:$T$10,2,FALSE)))</f>
        <v/>
      </c>
      <c r="AP79" s="289" t="str">
        <f t="shared" si="20"/>
        <v/>
      </c>
      <c r="AQ79" s="289" t="str">
        <f t="shared" si="21"/>
        <v/>
      </c>
      <c r="AR79" s="105"/>
      <c r="AS79" s="138"/>
      <c r="AT79" s="104"/>
      <c r="AU79" s="104"/>
      <c r="AY79" s="30" t="str">
        <f>IF(E79="","",IF(ISNA(VLOOKUP($E79,'D-1 Off-Site Habitat Baseline'!$D$1:$AV$258,4,FALSE)),"",(VLOOKUP($E79,'D-1 Off-Site Habitat Baseline'!$D$1:$AV$258,4,FALSE))))</f>
        <v/>
      </c>
    </row>
    <row r="80" spans="1:51" ht="14">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319" t="str">
        <f>'D-1 Off-Site Habitat Baseline'!AP79</f>
        <v/>
      </c>
      <c r="F80" s="283" t="str">
        <f>IF(E80="","",IF(ISNA(VLOOKUP($E80,'D-1 Off-Site Habitat Baseline'!$D$1:$ZZ$258,45,FALSE)),"",(VLOOKUP($E80,'D-1 Off-Site Habitat Baseline'!$D$1:$ZZ$258,45,FALSE))))</f>
        <v/>
      </c>
      <c r="G80" s="295" t="str">
        <f>IF(E80="","",IF(ISNA(VLOOKUP($E80,'D-1 Off-Site Habitat Baseline'!$D$1:$O$258,5,FALSE)),"",(VLOOKUP($E80,'D-1 Off-Site Habitat Baseline'!$D$1:$O$258,5,FALSE))))</f>
        <v/>
      </c>
      <c r="H80" s="295" t="str">
        <f>IF(E80="","",IF(ISNA(VLOOKUP($E80,'D-1 Off-Site Habitat Baseline'!$D$1:$O$258,6,FALSE)),"",(VLOOKUP($E80,'D-1 Off-Site Habitat Baseline'!$D$1:$O$258,6,FALSE))))</f>
        <v/>
      </c>
      <c r="I80" s="295" t="str">
        <f>IF(E80="","",IF(ISNA(VLOOKUP($E80,'D-1 Off-Site Habitat Baseline'!$D$1:$O$258,7,FALSE)),"",(VLOOKUP($E80,'D-1 Off-Site Habitat Baseline'!$D$1:$O$258,7,FALSE))))</f>
        <v/>
      </c>
      <c r="J80" s="295" t="str">
        <f>IF(E80="","",IF(ISNA(VLOOKUP($E80,'D-1 Off-Site Habitat Baseline'!$D$1:$O$258,8,FALSE)),"",(VLOOKUP($E80,'D-1 Off-Site Habitat Baseline'!$D$1:$O$258,8,FALSE))))</f>
        <v/>
      </c>
      <c r="K80" s="295" t="str">
        <f>IF(E80="","",IF(ISNA(VLOOKUP($E80,'D-1 Off-Site Habitat Baseline'!$D$1:$O$258,9,FALSE)),"",(VLOOKUP($E80,'D-1 Off-Site Habitat Baseline'!$D$1:$O$258,9,FALSE))))</f>
        <v/>
      </c>
      <c r="L80" s="295" t="str">
        <f>IF(E80="","",IF(ISNA(VLOOKUP($E80,'D-1 Off-Site Habitat Baseline'!$D$1:$O$258,11,FALSE)),"",(VLOOKUP($E80,'D-1 Off-Site Habitat Baseline'!$D$1:$O$258,11,FALSE))))</f>
        <v/>
      </c>
      <c r="M80" s="295" t="str">
        <f>IF(E80="","",IF(ISNA(VLOOKUP($E80,'D-1 Off-Site Habitat Baseline'!$D$1:$O$258,12,FALSE)),"",(VLOOKUP($E80,'D-1 Off-Site Habitat Baseline'!$D$1:$O$258,12,FALSE))))</f>
        <v/>
      </c>
      <c r="N80" s="295" t="str">
        <f>IF(E80="","",IF(ISNA(VLOOKUP($E80,'D-1 Off-Site Habitat Baseline'!$D$1:$AA$258,17,FALSE)),"",(VLOOKUP($E80,'D-1 Off-Site Habitat Baseline'!$D$1:$AA$258,17,FALSE))))</f>
        <v/>
      </c>
      <c r="O80" s="299" t="str">
        <f>IF(E80="","",IF(ISNA(VLOOKUP($E80,'D-1 Off-Site Habitat Baseline'!$D$1:$AA$258,13,FALSE)),"",(VLOOKUP($E80,'D-1 Off-Site Habitat Baseline'!$D$1:$AA$258,13,FALSE))))</f>
        <v/>
      </c>
      <c r="P80" s="148" t="str">
        <f>IFERROR(INDEX('G-1 All Habitats'!$AG$49:$AG$63,MATCH(Q80,'G-1 All Habitats'!$AF$27:$AF$41,0)),"")</f>
        <v/>
      </c>
      <c r="Q80" s="149" t="str">
        <f t="shared" si="13"/>
        <v/>
      </c>
      <c r="R80" s="150"/>
      <c r="S80" s="151" t="str">
        <f>IFERROR(INDEX('G-1 All Habitats'!$B$3:$B$135,MATCH(R80,'G-1 All Habitats'!$A$3:$A$135,0)),"")</f>
        <v/>
      </c>
      <c r="T80" s="283" t="str">
        <f t="shared" si="14"/>
        <v/>
      </c>
      <c r="U80" s="276" t="str">
        <f t="shared" si="15"/>
        <v/>
      </c>
      <c r="V80" s="298" t="str">
        <f t="shared" si="11"/>
        <v/>
      </c>
      <c r="W80" s="295" t="str">
        <f>IF(S80="","",VLOOKUP(S80,'G-1 All Habitats'!$B$2:$M$135,10,FALSE))</f>
        <v/>
      </c>
      <c r="X80" s="295" t="str">
        <f>IFERROR(VLOOKUP(W80,'G-1 All Habitats'!$V$3:$W$7,2,FALSE),"")</f>
        <v/>
      </c>
      <c r="Y80" s="138"/>
      <c r="Z80" s="299" t="str">
        <f>IFERROR(INDEX('G-8 Condition Look up'!$A$3:$H$135,MATCH(S80,'G-8 Condition Look up'!$A$3:$A$135,0),MATCH(Y80,'G-8 Condition Look up'!$A$3:$H$3,0)),"")</f>
        <v/>
      </c>
      <c r="AA80" s="101"/>
      <c r="AB80" s="314" t="str">
        <f>IF(AA80="","",IF(VLOOKUP(AA80,'G-3 Multipliers'!$L$3:$N$6,2,FALSE)=0,"Spatial Data Missing ⚠",VLOOKUP(AA80,'G-3 Multipliers'!$L$3:$N$6,2,FALSE)))</f>
        <v/>
      </c>
      <c r="AC80" s="299" t="str">
        <f>IF(AA80="","",IF(VLOOKUP(AA80,'G-3 Multipliers'!$L$3:$N$6,3,FALSE)=0,"Spatial Data Missing ⚠",VLOOKUP(AA80,'G-3 Multipliers'!$L$3:$N$6,3,FALSE)))</f>
        <v/>
      </c>
      <c r="AD80" s="311" t="str">
        <f t="shared" si="12"/>
        <v/>
      </c>
      <c r="AE80" s="138"/>
      <c r="AF80" s="138"/>
      <c r="AG80" s="295" t="str">
        <f t="shared" si="16"/>
        <v/>
      </c>
      <c r="AH80" s="296" t="str">
        <f t="shared" si="17"/>
        <v/>
      </c>
      <c r="AI80" s="300" t="str">
        <f>IF(AH80="Check Data ⚠","Check Data ⚠",IFERROR(VLOOKUP(AH80,'G-4 Temporal multipliers'!$A$4:$C$36,3,FALSE),""))</f>
        <v/>
      </c>
      <c r="AJ80" s="311" t="str">
        <f>IF(S80="","",VLOOKUP(S80,'G-3 Multipliers'!$A$2:$E$134,4,FALSE))</f>
        <v/>
      </c>
      <c r="AK80" s="295" t="str">
        <f t="shared" si="18"/>
        <v/>
      </c>
      <c r="AL80" s="295" t="str">
        <f t="shared" si="19"/>
        <v/>
      </c>
      <c r="AM80" s="299" t="str">
        <f>IFERROR(IF(F80="","",IF(AH80="Check Data ⚠","Check Data ⚠",VLOOKUP(AL80,'G-3 Multipliers'!$P$2:$Q$6,2,FALSE))),"")</f>
        <v/>
      </c>
      <c r="AN80" s="712" t="str">
        <f>IF(E80="","",IF(ISNA(VLOOKUP($E80,'D-1 Off-Site Habitat Baseline'!$D$1:$Z$258,15,FALSE)),"",(VLOOKUP($E80,'D-1 Off-Site Habitat Baseline'!$D$1:$Z$258,15,FALSE))))</f>
        <v/>
      </c>
      <c r="AO80" s="329" t="str">
        <f>IF(AN80="","",IF(VLOOKUP(AN80,'G-3 Multipliers'!$S$3:$T$10,2,FALSE)=0,"Spatial Data Missing ⚠",VLOOKUP(AN80,'G-3 Multipliers'!$S$3:$T$10,2,FALSE)))</f>
        <v/>
      </c>
      <c r="AP80" s="289" t="str">
        <f t="shared" si="20"/>
        <v/>
      </c>
      <c r="AQ80" s="289" t="str">
        <f t="shared" si="21"/>
        <v/>
      </c>
      <c r="AR80" s="105"/>
      <c r="AS80" s="138"/>
      <c r="AT80" s="104"/>
      <c r="AU80" s="104"/>
      <c r="AY80" s="30" t="str">
        <f>IF(E80="","",IF(ISNA(VLOOKUP($E80,'D-1 Off-Site Habitat Baseline'!$D$1:$AV$258,4,FALSE)),"",(VLOOKUP($E80,'D-1 Off-Site Habitat Baseline'!$D$1:$AV$258,4,FALSE))))</f>
        <v/>
      </c>
    </row>
    <row r="81" spans="1:51" ht="14">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319" t="str">
        <f>'D-1 Off-Site Habitat Baseline'!AP80</f>
        <v/>
      </c>
      <c r="F81" s="283" t="str">
        <f>IF(E81="","",IF(ISNA(VLOOKUP($E81,'D-1 Off-Site Habitat Baseline'!$D$1:$ZZ$258,45,FALSE)),"",(VLOOKUP($E81,'D-1 Off-Site Habitat Baseline'!$D$1:$ZZ$258,45,FALSE))))</f>
        <v/>
      </c>
      <c r="G81" s="295" t="str">
        <f>IF(E81="","",IF(ISNA(VLOOKUP($E81,'D-1 Off-Site Habitat Baseline'!$D$1:$O$258,5,FALSE)),"",(VLOOKUP($E81,'D-1 Off-Site Habitat Baseline'!$D$1:$O$258,5,FALSE))))</f>
        <v/>
      </c>
      <c r="H81" s="295" t="str">
        <f>IF(E81="","",IF(ISNA(VLOOKUP($E81,'D-1 Off-Site Habitat Baseline'!$D$1:$O$258,6,FALSE)),"",(VLOOKUP($E81,'D-1 Off-Site Habitat Baseline'!$D$1:$O$258,6,FALSE))))</f>
        <v/>
      </c>
      <c r="I81" s="295" t="str">
        <f>IF(E81="","",IF(ISNA(VLOOKUP($E81,'D-1 Off-Site Habitat Baseline'!$D$1:$O$258,7,FALSE)),"",(VLOOKUP($E81,'D-1 Off-Site Habitat Baseline'!$D$1:$O$258,7,FALSE))))</f>
        <v/>
      </c>
      <c r="J81" s="295" t="str">
        <f>IF(E81="","",IF(ISNA(VLOOKUP($E81,'D-1 Off-Site Habitat Baseline'!$D$1:$O$258,8,FALSE)),"",(VLOOKUP($E81,'D-1 Off-Site Habitat Baseline'!$D$1:$O$258,8,FALSE))))</f>
        <v/>
      </c>
      <c r="K81" s="295" t="str">
        <f>IF(E81="","",IF(ISNA(VLOOKUP($E81,'D-1 Off-Site Habitat Baseline'!$D$1:$O$258,9,FALSE)),"",(VLOOKUP($E81,'D-1 Off-Site Habitat Baseline'!$D$1:$O$258,9,FALSE))))</f>
        <v/>
      </c>
      <c r="L81" s="295" t="str">
        <f>IF(E81="","",IF(ISNA(VLOOKUP($E81,'D-1 Off-Site Habitat Baseline'!$D$1:$O$258,11,FALSE)),"",(VLOOKUP($E81,'D-1 Off-Site Habitat Baseline'!$D$1:$O$258,11,FALSE))))</f>
        <v/>
      </c>
      <c r="M81" s="295" t="str">
        <f>IF(E81="","",IF(ISNA(VLOOKUP($E81,'D-1 Off-Site Habitat Baseline'!$D$1:$O$258,12,FALSE)),"",(VLOOKUP($E81,'D-1 Off-Site Habitat Baseline'!$D$1:$O$258,12,FALSE))))</f>
        <v/>
      </c>
      <c r="N81" s="295" t="str">
        <f>IF(E81="","",IF(ISNA(VLOOKUP($E81,'D-1 Off-Site Habitat Baseline'!$D$1:$AA$258,17,FALSE)),"",(VLOOKUP($E81,'D-1 Off-Site Habitat Baseline'!$D$1:$AA$258,17,FALSE))))</f>
        <v/>
      </c>
      <c r="O81" s="299" t="str">
        <f>IF(E81="","",IF(ISNA(VLOOKUP($E81,'D-1 Off-Site Habitat Baseline'!$D$1:$AA$258,13,FALSE)),"",(VLOOKUP($E81,'D-1 Off-Site Habitat Baseline'!$D$1:$AA$258,13,FALSE))))</f>
        <v/>
      </c>
      <c r="P81" s="148" t="str">
        <f>IFERROR(INDEX('G-1 All Habitats'!$AG$49:$AG$63,MATCH(Q81,'G-1 All Habitats'!$AF$27:$AF$41,0)),"")</f>
        <v/>
      </c>
      <c r="Q81" s="149" t="str">
        <f t="shared" si="13"/>
        <v/>
      </c>
      <c r="R81" s="150"/>
      <c r="S81" s="151" t="str">
        <f>IFERROR(INDEX('G-1 All Habitats'!$B$3:$B$135,MATCH(R81,'G-1 All Habitats'!$A$3:$A$135,0)),"")</f>
        <v/>
      </c>
      <c r="T81" s="283" t="str">
        <f t="shared" si="14"/>
        <v/>
      </c>
      <c r="U81" s="276" t="str">
        <f t="shared" si="15"/>
        <v/>
      </c>
      <c r="V81" s="298" t="str">
        <f t="shared" si="11"/>
        <v/>
      </c>
      <c r="W81" s="295" t="str">
        <f>IF(S81="","",VLOOKUP(S81,'G-1 All Habitats'!$B$2:$M$135,10,FALSE))</f>
        <v/>
      </c>
      <c r="X81" s="295" t="str">
        <f>IFERROR(VLOOKUP(W81,'G-1 All Habitats'!$V$3:$W$7,2,FALSE),"")</f>
        <v/>
      </c>
      <c r="Y81" s="138"/>
      <c r="Z81" s="299" t="str">
        <f>IFERROR(INDEX('G-8 Condition Look up'!$A$3:$H$135,MATCH(S81,'G-8 Condition Look up'!$A$3:$A$135,0),MATCH(Y81,'G-8 Condition Look up'!$A$3:$H$3,0)),"")</f>
        <v/>
      </c>
      <c r="AA81" s="101"/>
      <c r="AB81" s="314" t="str">
        <f>IF(AA81="","",IF(VLOOKUP(AA81,'G-3 Multipliers'!$L$3:$N$6,2,FALSE)=0,"Spatial Data Missing ⚠",VLOOKUP(AA81,'G-3 Multipliers'!$L$3:$N$6,2,FALSE)))</f>
        <v/>
      </c>
      <c r="AC81" s="299" t="str">
        <f>IF(AA81="","",IF(VLOOKUP(AA81,'G-3 Multipliers'!$L$3:$N$6,3,FALSE)=0,"Spatial Data Missing ⚠",VLOOKUP(AA81,'G-3 Multipliers'!$L$3:$N$6,3,FALSE)))</f>
        <v/>
      </c>
      <c r="AD81" s="311" t="str">
        <f t="shared" si="12"/>
        <v/>
      </c>
      <c r="AE81" s="138"/>
      <c r="AF81" s="138"/>
      <c r="AG81" s="295" t="str">
        <f t="shared" si="16"/>
        <v/>
      </c>
      <c r="AH81" s="296" t="str">
        <f t="shared" si="17"/>
        <v/>
      </c>
      <c r="AI81" s="300" t="str">
        <f>IF(AH81="Check Data ⚠","Check Data ⚠",IFERROR(VLOOKUP(AH81,'G-4 Temporal multipliers'!$A$4:$C$36,3,FALSE),""))</f>
        <v/>
      </c>
      <c r="AJ81" s="311" t="str">
        <f>IF(S81="","",VLOOKUP(S81,'G-3 Multipliers'!$A$2:$E$134,4,FALSE))</f>
        <v/>
      </c>
      <c r="AK81" s="295" t="str">
        <f t="shared" si="18"/>
        <v/>
      </c>
      <c r="AL81" s="295" t="str">
        <f t="shared" si="19"/>
        <v/>
      </c>
      <c r="AM81" s="299" t="str">
        <f>IFERROR(IF(F81="","",IF(AH81="Check Data ⚠","Check Data ⚠",VLOOKUP(AL81,'G-3 Multipliers'!$P$2:$Q$6,2,FALSE))),"")</f>
        <v/>
      </c>
      <c r="AN81" s="712" t="str">
        <f>IF(E81="","",IF(ISNA(VLOOKUP($E81,'D-1 Off-Site Habitat Baseline'!$D$1:$Z$258,15,FALSE)),"",(VLOOKUP($E81,'D-1 Off-Site Habitat Baseline'!$D$1:$Z$258,15,FALSE))))</f>
        <v/>
      </c>
      <c r="AO81" s="329" t="str">
        <f>IF(AN81="","",IF(VLOOKUP(AN81,'G-3 Multipliers'!$S$3:$T$10,2,FALSE)=0,"Spatial Data Missing ⚠",VLOOKUP(AN81,'G-3 Multipliers'!$S$3:$T$10,2,FALSE)))</f>
        <v/>
      </c>
      <c r="AP81" s="289" t="str">
        <f t="shared" si="20"/>
        <v/>
      </c>
      <c r="AQ81" s="289" t="str">
        <f t="shared" si="21"/>
        <v/>
      </c>
      <c r="AR81" s="105"/>
      <c r="AS81" s="138"/>
      <c r="AT81" s="104"/>
      <c r="AU81" s="104"/>
      <c r="AY81" s="30" t="str">
        <f>IF(E81="","",IF(ISNA(VLOOKUP($E81,'D-1 Off-Site Habitat Baseline'!$D$1:$AV$258,4,FALSE)),"",(VLOOKUP($E81,'D-1 Off-Site Habitat Baseline'!$D$1:$AV$258,4,FALSE))))</f>
        <v/>
      </c>
    </row>
    <row r="82" spans="1:51" ht="14">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319" t="str">
        <f>'D-1 Off-Site Habitat Baseline'!AP81</f>
        <v/>
      </c>
      <c r="F82" s="283" t="str">
        <f>IF(E82="","",IF(ISNA(VLOOKUP($E82,'D-1 Off-Site Habitat Baseline'!$D$1:$ZZ$258,45,FALSE)),"",(VLOOKUP($E82,'D-1 Off-Site Habitat Baseline'!$D$1:$ZZ$258,45,FALSE))))</f>
        <v/>
      </c>
      <c r="G82" s="295" t="str">
        <f>IF(E82="","",IF(ISNA(VLOOKUP($E82,'D-1 Off-Site Habitat Baseline'!$D$1:$O$258,5,FALSE)),"",(VLOOKUP($E82,'D-1 Off-Site Habitat Baseline'!$D$1:$O$258,5,FALSE))))</f>
        <v/>
      </c>
      <c r="H82" s="295" t="str">
        <f>IF(E82="","",IF(ISNA(VLOOKUP($E82,'D-1 Off-Site Habitat Baseline'!$D$1:$O$258,6,FALSE)),"",(VLOOKUP($E82,'D-1 Off-Site Habitat Baseline'!$D$1:$O$258,6,FALSE))))</f>
        <v/>
      </c>
      <c r="I82" s="295" t="str">
        <f>IF(E82="","",IF(ISNA(VLOOKUP($E82,'D-1 Off-Site Habitat Baseline'!$D$1:$O$258,7,FALSE)),"",(VLOOKUP($E82,'D-1 Off-Site Habitat Baseline'!$D$1:$O$258,7,FALSE))))</f>
        <v/>
      </c>
      <c r="J82" s="295" t="str">
        <f>IF(E82="","",IF(ISNA(VLOOKUP($E82,'D-1 Off-Site Habitat Baseline'!$D$1:$O$258,8,FALSE)),"",(VLOOKUP($E82,'D-1 Off-Site Habitat Baseline'!$D$1:$O$258,8,FALSE))))</f>
        <v/>
      </c>
      <c r="K82" s="295" t="str">
        <f>IF(E82="","",IF(ISNA(VLOOKUP($E82,'D-1 Off-Site Habitat Baseline'!$D$1:$O$258,9,FALSE)),"",(VLOOKUP($E82,'D-1 Off-Site Habitat Baseline'!$D$1:$O$258,9,FALSE))))</f>
        <v/>
      </c>
      <c r="L82" s="295" t="str">
        <f>IF(E82="","",IF(ISNA(VLOOKUP($E82,'D-1 Off-Site Habitat Baseline'!$D$1:$O$258,11,FALSE)),"",(VLOOKUP($E82,'D-1 Off-Site Habitat Baseline'!$D$1:$O$258,11,FALSE))))</f>
        <v/>
      </c>
      <c r="M82" s="295" t="str">
        <f>IF(E82="","",IF(ISNA(VLOOKUP($E82,'D-1 Off-Site Habitat Baseline'!$D$1:$O$258,12,FALSE)),"",(VLOOKUP($E82,'D-1 Off-Site Habitat Baseline'!$D$1:$O$258,12,FALSE))))</f>
        <v/>
      </c>
      <c r="N82" s="295" t="str">
        <f>IF(E82="","",IF(ISNA(VLOOKUP($E82,'D-1 Off-Site Habitat Baseline'!$D$1:$AA$258,17,FALSE)),"",(VLOOKUP($E82,'D-1 Off-Site Habitat Baseline'!$D$1:$AA$258,17,FALSE))))</f>
        <v/>
      </c>
      <c r="O82" s="299" t="str">
        <f>IF(E82="","",IF(ISNA(VLOOKUP($E82,'D-1 Off-Site Habitat Baseline'!$D$1:$AA$258,13,FALSE)),"",(VLOOKUP($E82,'D-1 Off-Site Habitat Baseline'!$D$1:$AA$258,13,FALSE))))</f>
        <v/>
      </c>
      <c r="P82" s="148" t="str">
        <f>IFERROR(INDEX('G-1 All Habitats'!$AG$49:$AG$63,MATCH(Q82,'G-1 All Habitats'!$AF$27:$AF$41,0)),"")</f>
        <v/>
      </c>
      <c r="Q82" s="149" t="str">
        <f t="shared" si="13"/>
        <v/>
      </c>
      <c r="R82" s="150"/>
      <c r="S82" s="151" t="str">
        <f>IFERROR(INDEX('G-1 All Habitats'!$B$3:$B$135,MATCH(R82,'G-1 All Habitats'!$A$3:$A$135,0)),"")</f>
        <v/>
      </c>
      <c r="T82" s="283" t="str">
        <f t="shared" si="14"/>
        <v/>
      </c>
      <c r="U82" s="276" t="str">
        <f t="shared" si="15"/>
        <v/>
      </c>
      <c r="V82" s="298" t="str">
        <f t="shared" si="11"/>
        <v/>
      </c>
      <c r="W82" s="295" t="str">
        <f>IF(S82="","",VLOOKUP(S82,'G-1 All Habitats'!$B$2:$M$135,10,FALSE))</f>
        <v/>
      </c>
      <c r="X82" s="295" t="str">
        <f>IFERROR(VLOOKUP(W82,'G-1 All Habitats'!$V$3:$W$7,2,FALSE),"")</f>
        <v/>
      </c>
      <c r="Y82" s="138"/>
      <c r="Z82" s="299" t="str">
        <f>IFERROR(INDEX('G-8 Condition Look up'!$A$3:$H$135,MATCH(S82,'G-8 Condition Look up'!$A$3:$A$135,0),MATCH(Y82,'G-8 Condition Look up'!$A$3:$H$3,0)),"")</f>
        <v/>
      </c>
      <c r="AA82" s="101"/>
      <c r="AB82" s="314" t="str">
        <f>IF(AA82="","",IF(VLOOKUP(AA82,'G-3 Multipliers'!$L$3:$N$6,2,FALSE)=0,"Spatial Data Missing ⚠",VLOOKUP(AA82,'G-3 Multipliers'!$L$3:$N$6,2,FALSE)))</f>
        <v/>
      </c>
      <c r="AC82" s="299" t="str">
        <f>IF(AA82="","",IF(VLOOKUP(AA82,'G-3 Multipliers'!$L$3:$N$6,3,FALSE)=0,"Spatial Data Missing ⚠",VLOOKUP(AA82,'G-3 Multipliers'!$L$3:$N$6,3,FALSE)))</f>
        <v/>
      </c>
      <c r="AD82" s="311" t="str">
        <f t="shared" si="12"/>
        <v/>
      </c>
      <c r="AE82" s="138"/>
      <c r="AF82" s="138"/>
      <c r="AG82" s="295" t="str">
        <f t="shared" si="16"/>
        <v/>
      </c>
      <c r="AH82" s="296" t="str">
        <f t="shared" si="17"/>
        <v/>
      </c>
      <c r="AI82" s="300" t="str">
        <f>IF(AH82="Check Data ⚠","Check Data ⚠",IFERROR(VLOOKUP(AH82,'G-4 Temporal multipliers'!$A$4:$C$36,3,FALSE),""))</f>
        <v/>
      </c>
      <c r="AJ82" s="311" t="str">
        <f>IF(S82="","",VLOOKUP(S82,'G-3 Multipliers'!$A$2:$E$134,4,FALSE))</f>
        <v/>
      </c>
      <c r="AK82" s="295" t="str">
        <f t="shared" si="18"/>
        <v/>
      </c>
      <c r="AL82" s="295" t="str">
        <f t="shared" si="19"/>
        <v/>
      </c>
      <c r="AM82" s="299" t="str">
        <f>IFERROR(IF(F82="","",IF(AH82="Check Data ⚠","Check Data ⚠",VLOOKUP(AL82,'G-3 Multipliers'!$P$2:$Q$6,2,FALSE))),"")</f>
        <v/>
      </c>
      <c r="AN82" s="712" t="str">
        <f>IF(E82="","",IF(ISNA(VLOOKUP($E82,'D-1 Off-Site Habitat Baseline'!$D$1:$Z$258,15,FALSE)),"",(VLOOKUP($E82,'D-1 Off-Site Habitat Baseline'!$D$1:$Z$258,15,FALSE))))</f>
        <v/>
      </c>
      <c r="AO82" s="329" t="str">
        <f>IF(AN82="","",IF(VLOOKUP(AN82,'G-3 Multipliers'!$S$3:$T$10,2,FALSE)=0,"Spatial Data Missing ⚠",VLOOKUP(AN82,'G-3 Multipliers'!$S$3:$T$10,2,FALSE)))</f>
        <v/>
      </c>
      <c r="AP82" s="289" t="str">
        <f t="shared" si="20"/>
        <v/>
      </c>
      <c r="AQ82" s="289" t="str">
        <f t="shared" si="21"/>
        <v/>
      </c>
      <c r="AR82" s="105"/>
      <c r="AS82" s="138"/>
      <c r="AT82" s="104"/>
      <c r="AU82" s="104"/>
      <c r="AY82" s="30" t="str">
        <f>IF(E82="","",IF(ISNA(VLOOKUP($E82,'D-1 Off-Site Habitat Baseline'!$D$1:$AV$258,4,FALSE)),"",(VLOOKUP($E82,'D-1 Off-Site Habitat Baseline'!$D$1:$AV$258,4,FALSE))))</f>
        <v/>
      </c>
    </row>
    <row r="83" spans="1:51" ht="14">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319" t="str">
        <f>'D-1 Off-Site Habitat Baseline'!AP82</f>
        <v/>
      </c>
      <c r="F83" s="283" t="str">
        <f>IF(E83="","",IF(ISNA(VLOOKUP($E83,'D-1 Off-Site Habitat Baseline'!$D$1:$ZZ$258,45,FALSE)),"",(VLOOKUP($E83,'D-1 Off-Site Habitat Baseline'!$D$1:$ZZ$258,45,FALSE))))</f>
        <v/>
      </c>
      <c r="G83" s="295" t="str">
        <f>IF(E83="","",IF(ISNA(VLOOKUP($E83,'D-1 Off-Site Habitat Baseline'!$D$1:$O$258,5,FALSE)),"",(VLOOKUP($E83,'D-1 Off-Site Habitat Baseline'!$D$1:$O$258,5,FALSE))))</f>
        <v/>
      </c>
      <c r="H83" s="295" t="str">
        <f>IF(E83="","",IF(ISNA(VLOOKUP($E83,'D-1 Off-Site Habitat Baseline'!$D$1:$O$258,6,FALSE)),"",(VLOOKUP($E83,'D-1 Off-Site Habitat Baseline'!$D$1:$O$258,6,FALSE))))</f>
        <v/>
      </c>
      <c r="I83" s="295" t="str">
        <f>IF(E83="","",IF(ISNA(VLOOKUP($E83,'D-1 Off-Site Habitat Baseline'!$D$1:$O$258,7,FALSE)),"",(VLOOKUP($E83,'D-1 Off-Site Habitat Baseline'!$D$1:$O$258,7,FALSE))))</f>
        <v/>
      </c>
      <c r="J83" s="295" t="str">
        <f>IF(E83="","",IF(ISNA(VLOOKUP($E83,'D-1 Off-Site Habitat Baseline'!$D$1:$O$258,8,FALSE)),"",(VLOOKUP($E83,'D-1 Off-Site Habitat Baseline'!$D$1:$O$258,8,FALSE))))</f>
        <v/>
      </c>
      <c r="K83" s="295" t="str">
        <f>IF(E83="","",IF(ISNA(VLOOKUP($E83,'D-1 Off-Site Habitat Baseline'!$D$1:$O$258,9,FALSE)),"",(VLOOKUP($E83,'D-1 Off-Site Habitat Baseline'!$D$1:$O$258,9,FALSE))))</f>
        <v/>
      </c>
      <c r="L83" s="295" t="str">
        <f>IF(E83="","",IF(ISNA(VLOOKUP($E83,'D-1 Off-Site Habitat Baseline'!$D$1:$O$258,11,FALSE)),"",(VLOOKUP($E83,'D-1 Off-Site Habitat Baseline'!$D$1:$O$258,11,FALSE))))</f>
        <v/>
      </c>
      <c r="M83" s="295" t="str">
        <f>IF(E83="","",IF(ISNA(VLOOKUP($E83,'D-1 Off-Site Habitat Baseline'!$D$1:$O$258,12,FALSE)),"",(VLOOKUP($E83,'D-1 Off-Site Habitat Baseline'!$D$1:$O$258,12,FALSE))))</f>
        <v/>
      </c>
      <c r="N83" s="295" t="str">
        <f>IF(E83="","",IF(ISNA(VLOOKUP($E83,'D-1 Off-Site Habitat Baseline'!$D$1:$AA$258,17,FALSE)),"",(VLOOKUP($E83,'D-1 Off-Site Habitat Baseline'!$D$1:$AA$258,17,FALSE))))</f>
        <v/>
      </c>
      <c r="O83" s="299" t="str">
        <f>IF(E83="","",IF(ISNA(VLOOKUP($E83,'D-1 Off-Site Habitat Baseline'!$D$1:$AA$258,13,FALSE)),"",(VLOOKUP($E83,'D-1 Off-Site Habitat Baseline'!$D$1:$AA$258,13,FALSE))))</f>
        <v/>
      </c>
      <c r="P83" s="148" t="str">
        <f>IFERROR(INDEX('G-1 All Habitats'!$AG$49:$AG$63,MATCH(Q83,'G-1 All Habitats'!$AF$27:$AF$41,0)),"")</f>
        <v/>
      </c>
      <c r="Q83" s="149" t="str">
        <f t="shared" si="13"/>
        <v/>
      </c>
      <c r="R83" s="150"/>
      <c r="S83" s="151" t="str">
        <f>IFERROR(INDEX('G-1 All Habitats'!$B$3:$B$135,MATCH(R83,'G-1 All Habitats'!$A$3:$A$135,0)),"")</f>
        <v/>
      </c>
      <c r="T83" s="283" t="str">
        <f t="shared" si="14"/>
        <v/>
      </c>
      <c r="U83" s="276" t="str">
        <f t="shared" si="15"/>
        <v/>
      </c>
      <c r="V83" s="298" t="str">
        <f t="shared" si="11"/>
        <v/>
      </c>
      <c r="W83" s="295" t="str">
        <f>IF(S83="","",VLOOKUP(S83,'G-1 All Habitats'!$B$2:$M$135,10,FALSE))</f>
        <v/>
      </c>
      <c r="X83" s="295" t="str">
        <f>IFERROR(VLOOKUP(W83,'G-1 All Habitats'!$V$3:$W$7,2,FALSE),"")</f>
        <v/>
      </c>
      <c r="Y83" s="138"/>
      <c r="Z83" s="299" t="str">
        <f>IFERROR(INDEX('G-8 Condition Look up'!$A$3:$H$135,MATCH(S83,'G-8 Condition Look up'!$A$3:$A$135,0),MATCH(Y83,'G-8 Condition Look up'!$A$3:$H$3,0)),"")</f>
        <v/>
      </c>
      <c r="AA83" s="101"/>
      <c r="AB83" s="314" t="str">
        <f>IF(AA83="","",IF(VLOOKUP(AA83,'G-3 Multipliers'!$L$3:$N$6,2,FALSE)=0,"Spatial Data Missing ⚠",VLOOKUP(AA83,'G-3 Multipliers'!$L$3:$N$6,2,FALSE)))</f>
        <v/>
      </c>
      <c r="AC83" s="299" t="str">
        <f>IF(AA83="","",IF(VLOOKUP(AA83,'G-3 Multipliers'!$L$3:$N$6,3,FALSE)=0,"Spatial Data Missing ⚠",VLOOKUP(AA83,'G-3 Multipliers'!$L$3:$N$6,3,FALSE)))</f>
        <v/>
      </c>
      <c r="AD83" s="311" t="str">
        <f t="shared" si="12"/>
        <v/>
      </c>
      <c r="AE83" s="138"/>
      <c r="AF83" s="138"/>
      <c r="AG83" s="295" t="str">
        <f t="shared" si="16"/>
        <v/>
      </c>
      <c r="AH83" s="296" t="str">
        <f t="shared" si="17"/>
        <v/>
      </c>
      <c r="AI83" s="300" t="str">
        <f>IF(AH83="Check Data ⚠","Check Data ⚠",IFERROR(VLOOKUP(AH83,'G-4 Temporal multipliers'!$A$4:$C$36,3,FALSE),""))</f>
        <v/>
      </c>
      <c r="AJ83" s="311" t="str">
        <f>IF(S83="","",VLOOKUP(S83,'G-3 Multipliers'!$A$2:$E$134,4,FALSE))</f>
        <v/>
      </c>
      <c r="AK83" s="295" t="str">
        <f t="shared" si="18"/>
        <v/>
      </c>
      <c r="AL83" s="295" t="str">
        <f t="shared" si="19"/>
        <v/>
      </c>
      <c r="AM83" s="299" t="str">
        <f>IFERROR(IF(F83="","",IF(AH83="Check Data ⚠","Check Data ⚠",VLOOKUP(AL83,'G-3 Multipliers'!$P$2:$Q$6,2,FALSE))),"")</f>
        <v/>
      </c>
      <c r="AN83" s="712" t="str">
        <f>IF(E83="","",IF(ISNA(VLOOKUP($E83,'D-1 Off-Site Habitat Baseline'!$D$1:$Z$258,15,FALSE)),"",(VLOOKUP($E83,'D-1 Off-Site Habitat Baseline'!$D$1:$Z$258,15,FALSE))))</f>
        <v/>
      </c>
      <c r="AO83" s="329" t="str">
        <f>IF(AN83="","",IF(VLOOKUP(AN83,'G-3 Multipliers'!$S$3:$T$10,2,FALSE)=0,"Spatial Data Missing ⚠",VLOOKUP(AN83,'G-3 Multipliers'!$S$3:$T$10,2,FALSE)))</f>
        <v/>
      </c>
      <c r="AP83" s="289" t="str">
        <f t="shared" si="20"/>
        <v/>
      </c>
      <c r="AQ83" s="289" t="str">
        <f t="shared" si="21"/>
        <v/>
      </c>
      <c r="AR83" s="105"/>
      <c r="AS83" s="138"/>
      <c r="AT83" s="104"/>
      <c r="AU83" s="104"/>
      <c r="AY83" s="30" t="str">
        <f>IF(E83="","",IF(ISNA(VLOOKUP($E83,'D-1 Off-Site Habitat Baseline'!$D$1:$AV$258,4,FALSE)),"",(VLOOKUP($E83,'D-1 Off-Site Habitat Baseline'!$D$1:$AV$258,4,FALSE))))</f>
        <v/>
      </c>
    </row>
    <row r="84" spans="1:51" ht="14">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319" t="str">
        <f>'D-1 Off-Site Habitat Baseline'!AP83</f>
        <v/>
      </c>
      <c r="F84" s="283" t="str">
        <f>IF(E84="","",IF(ISNA(VLOOKUP($E84,'D-1 Off-Site Habitat Baseline'!$D$1:$ZZ$258,45,FALSE)),"",(VLOOKUP($E84,'D-1 Off-Site Habitat Baseline'!$D$1:$ZZ$258,45,FALSE))))</f>
        <v/>
      </c>
      <c r="G84" s="295" t="str">
        <f>IF(E84="","",IF(ISNA(VLOOKUP($E84,'D-1 Off-Site Habitat Baseline'!$D$1:$O$258,5,FALSE)),"",(VLOOKUP($E84,'D-1 Off-Site Habitat Baseline'!$D$1:$O$258,5,FALSE))))</f>
        <v/>
      </c>
      <c r="H84" s="295" t="str">
        <f>IF(E84="","",IF(ISNA(VLOOKUP($E84,'D-1 Off-Site Habitat Baseline'!$D$1:$O$258,6,FALSE)),"",(VLOOKUP($E84,'D-1 Off-Site Habitat Baseline'!$D$1:$O$258,6,FALSE))))</f>
        <v/>
      </c>
      <c r="I84" s="295" t="str">
        <f>IF(E84="","",IF(ISNA(VLOOKUP($E84,'D-1 Off-Site Habitat Baseline'!$D$1:$O$258,7,FALSE)),"",(VLOOKUP($E84,'D-1 Off-Site Habitat Baseline'!$D$1:$O$258,7,FALSE))))</f>
        <v/>
      </c>
      <c r="J84" s="295" t="str">
        <f>IF(E84="","",IF(ISNA(VLOOKUP($E84,'D-1 Off-Site Habitat Baseline'!$D$1:$O$258,8,FALSE)),"",(VLOOKUP($E84,'D-1 Off-Site Habitat Baseline'!$D$1:$O$258,8,FALSE))))</f>
        <v/>
      </c>
      <c r="K84" s="295" t="str">
        <f>IF(E84="","",IF(ISNA(VLOOKUP($E84,'D-1 Off-Site Habitat Baseline'!$D$1:$O$258,9,FALSE)),"",(VLOOKUP($E84,'D-1 Off-Site Habitat Baseline'!$D$1:$O$258,9,FALSE))))</f>
        <v/>
      </c>
      <c r="L84" s="295" t="str">
        <f>IF(E84="","",IF(ISNA(VLOOKUP($E84,'D-1 Off-Site Habitat Baseline'!$D$1:$O$258,11,FALSE)),"",(VLOOKUP($E84,'D-1 Off-Site Habitat Baseline'!$D$1:$O$258,11,FALSE))))</f>
        <v/>
      </c>
      <c r="M84" s="295" t="str">
        <f>IF(E84="","",IF(ISNA(VLOOKUP($E84,'D-1 Off-Site Habitat Baseline'!$D$1:$O$258,12,FALSE)),"",(VLOOKUP($E84,'D-1 Off-Site Habitat Baseline'!$D$1:$O$258,12,FALSE))))</f>
        <v/>
      </c>
      <c r="N84" s="295" t="str">
        <f>IF(E84="","",IF(ISNA(VLOOKUP($E84,'D-1 Off-Site Habitat Baseline'!$D$1:$AA$258,17,FALSE)),"",(VLOOKUP($E84,'D-1 Off-Site Habitat Baseline'!$D$1:$AA$258,17,FALSE))))</f>
        <v/>
      </c>
      <c r="O84" s="299" t="str">
        <f>IF(E84="","",IF(ISNA(VLOOKUP($E84,'D-1 Off-Site Habitat Baseline'!$D$1:$AA$258,13,FALSE)),"",(VLOOKUP($E84,'D-1 Off-Site Habitat Baseline'!$D$1:$AA$258,13,FALSE))))</f>
        <v/>
      </c>
      <c r="P84" s="148" t="str">
        <f>IFERROR(INDEX('G-1 All Habitats'!$AG$49:$AG$63,MATCH(Q84,'G-1 All Habitats'!$AF$27:$AF$41,0)),"")</f>
        <v/>
      </c>
      <c r="Q84" s="149" t="str">
        <f t="shared" si="13"/>
        <v/>
      </c>
      <c r="R84" s="150"/>
      <c r="S84" s="151" t="str">
        <f>IFERROR(INDEX('G-1 All Habitats'!$B$3:$B$135,MATCH(R84,'G-1 All Habitats'!$A$3:$A$135,0)),"")</f>
        <v/>
      </c>
      <c r="T84" s="283" t="str">
        <f t="shared" si="14"/>
        <v/>
      </c>
      <c r="U84" s="276" t="str">
        <f t="shared" si="15"/>
        <v/>
      </c>
      <c r="V84" s="298" t="str">
        <f t="shared" si="11"/>
        <v/>
      </c>
      <c r="W84" s="295" t="str">
        <f>IF(S84="","",VLOOKUP(S84,'G-1 All Habitats'!$B$2:$M$135,10,FALSE))</f>
        <v/>
      </c>
      <c r="X84" s="295" t="str">
        <f>IFERROR(VLOOKUP(W84,'G-1 All Habitats'!$V$3:$W$7,2,FALSE),"")</f>
        <v/>
      </c>
      <c r="Y84" s="138"/>
      <c r="Z84" s="299" t="str">
        <f>IFERROR(INDEX('G-8 Condition Look up'!$A$3:$H$135,MATCH(S84,'G-8 Condition Look up'!$A$3:$A$135,0),MATCH(Y84,'G-8 Condition Look up'!$A$3:$H$3,0)),"")</f>
        <v/>
      </c>
      <c r="AA84" s="101"/>
      <c r="AB84" s="314" t="str">
        <f>IF(AA84="","",IF(VLOOKUP(AA84,'G-3 Multipliers'!$L$3:$N$6,2,FALSE)=0,"Spatial Data Missing ⚠",VLOOKUP(AA84,'G-3 Multipliers'!$L$3:$N$6,2,FALSE)))</f>
        <v/>
      </c>
      <c r="AC84" s="299" t="str">
        <f>IF(AA84="","",IF(VLOOKUP(AA84,'G-3 Multipliers'!$L$3:$N$6,3,FALSE)=0,"Spatial Data Missing ⚠",VLOOKUP(AA84,'G-3 Multipliers'!$L$3:$N$6,3,FALSE)))</f>
        <v/>
      </c>
      <c r="AD84" s="311" t="str">
        <f t="shared" si="12"/>
        <v/>
      </c>
      <c r="AE84" s="138"/>
      <c r="AF84" s="138"/>
      <c r="AG84" s="295" t="str">
        <f t="shared" si="16"/>
        <v/>
      </c>
      <c r="AH84" s="296" t="str">
        <f t="shared" si="17"/>
        <v/>
      </c>
      <c r="AI84" s="300" t="str">
        <f>IF(AH84="Check Data ⚠","Check Data ⚠",IFERROR(VLOOKUP(AH84,'G-4 Temporal multipliers'!$A$4:$C$36,3,FALSE),""))</f>
        <v/>
      </c>
      <c r="AJ84" s="311" t="str">
        <f>IF(S84="","",VLOOKUP(S84,'G-3 Multipliers'!$A$2:$E$134,4,FALSE))</f>
        <v/>
      </c>
      <c r="AK84" s="295" t="str">
        <f t="shared" si="18"/>
        <v/>
      </c>
      <c r="AL84" s="295" t="str">
        <f t="shared" si="19"/>
        <v/>
      </c>
      <c r="AM84" s="299" t="str">
        <f>IFERROR(IF(F84="","",IF(AH84="Check Data ⚠","Check Data ⚠",VLOOKUP(AL84,'G-3 Multipliers'!$P$2:$Q$6,2,FALSE))),"")</f>
        <v/>
      </c>
      <c r="AN84" s="712" t="str">
        <f>IF(E84="","",IF(ISNA(VLOOKUP($E84,'D-1 Off-Site Habitat Baseline'!$D$1:$Z$258,15,FALSE)),"",(VLOOKUP($E84,'D-1 Off-Site Habitat Baseline'!$D$1:$Z$258,15,FALSE))))</f>
        <v/>
      </c>
      <c r="AO84" s="329" t="str">
        <f>IF(AN84="","",IF(VLOOKUP(AN84,'G-3 Multipliers'!$S$3:$T$10,2,FALSE)=0,"Spatial Data Missing ⚠",VLOOKUP(AN84,'G-3 Multipliers'!$S$3:$T$10,2,FALSE)))</f>
        <v/>
      </c>
      <c r="AP84" s="289" t="str">
        <f t="shared" si="20"/>
        <v/>
      </c>
      <c r="AQ84" s="289" t="str">
        <f t="shared" si="21"/>
        <v/>
      </c>
      <c r="AR84" s="105"/>
      <c r="AS84" s="138"/>
      <c r="AT84" s="104"/>
      <c r="AU84" s="104"/>
      <c r="AY84" s="30" t="str">
        <f>IF(E84="","",IF(ISNA(VLOOKUP($E84,'D-1 Off-Site Habitat Baseline'!$D$1:$AV$258,4,FALSE)),"",(VLOOKUP($E84,'D-1 Off-Site Habitat Baseline'!$D$1:$AV$258,4,FALSE))))</f>
        <v/>
      </c>
    </row>
    <row r="85" spans="1:51" ht="14">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319" t="str">
        <f>'D-1 Off-Site Habitat Baseline'!AP84</f>
        <v/>
      </c>
      <c r="F85" s="283" t="str">
        <f>IF(E85="","",IF(ISNA(VLOOKUP($E85,'D-1 Off-Site Habitat Baseline'!$D$1:$ZZ$258,45,FALSE)),"",(VLOOKUP($E85,'D-1 Off-Site Habitat Baseline'!$D$1:$ZZ$258,45,FALSE))))</f>
        <v/>
      </c>
      <c r="G85" s="295" t="str">
        <f>IF(E85="","",IF(ISNA(VLOOKUP($E85,'D-1 Off-Site Habitat Baseline'!$D$1:$O$258,5,FALSE)),"",(VLOOKUP($E85,'D-1 Off-Site Habitat Baseline'!$D$1:$O$258,5,FALSE))))</f>
        <v/>
      </c>
      <c r="H85" s="295" t="str">
        <f>IF(E85="","",IF(ISNA(VLOOKUP($E85,'D-1 Off-Site Habitat Baseline'!$D$1:$O$258,6,FALSE)),"",(VLOOKUP($E85,'D-1 Off-Site Habitat Baseline'!$D$1:$O$258,6,FALSE))))</f>
        <v/>
      </c>
      <c r="I85" s="295" t="str">
        <f>IF(E85="","",IF(ISNA(VLOOKUP($E85,'D-1 Off-Site Habitat Baseline'!$D$1:$O$258,7,FALSE)),"",(VLOOKUP($E85,'D-1 Off-Site Habitat Baseline'!$D$1:$O$258,7,FALSE))))</f>
        <v/>
      </c>
      <c r="J85" s="295" t="str">
        <f>IF(E85="","",IF(ISNA(VLOOKUP($E85,'D-1 Off-Site Habitat Baseline'!$D$1:$O$258,8,FALSE)),"",(VLOOKUP($E85,'D-1 Off-Site Habitat Baseline'!$D$1:$O$258,8,FALSE))))</f>
        <v/>
      </c>
      <c r="K85" s="295" t="str">
        <f>IF(E85="","",IF(ISNA(VLOOKUP($E85,'D-1 Off-Site Habitat Baseline'!$D$1:$O$258,9,FALSE)),"",(VLOOKUP($E85,'D-1 Off-Site Habitat Baseline'!$D$1:$O$258,9,FALSE))))</f>
        <v/>
      </c>
      <c r="L85" s="295" t="str">
        <f>IF(E85="","",IF(ISNA(VLOOKUP($E85,'D-1 Off-Site Habitat Baseline'!$D$1:$O$258,11,FALSE)),"",(VLOOKUP($E85,'D-1 Off-Site Habitat Baseline'!$D$1:$O$258,11,FALSE))))</f>
        <v/>
      </c>
      <c r="M85" s="295" t="str">
        <f>IF(E85="","",IF(ISNA(VLOOKUP($E85,'D-1 Off-Site Habitat Baseline'!$D$1:$O$258,12,FALSE)),"",(VLOOKUP($E85,'D-1 Off-Site Habitat Baseline'!$D$1:$O$258,12,FALSE))))</f>
        <v/>
      </c>
      <c r="N85" s="295" t="str">
        <f>IF(E85="","",IF(ISNA(VLOOKUP($E85,'D-1 Off-Site Habitat Baseline'!$D$1:$AA$258,17,FALSE)),"",(VLOOKUP($E85,'D-1 Off-Site Habitat Baseline'!$D$1:$AA$258,17,FALSE))))</f>
        <v/>
      </c>
      <c r="O85" s="299" t="str">
        <f>IF(E85="","",IF(ISNA(VLOOKUP($E85,'D-1 Off-Site Habitat Baseline'!$D$1:$AA$258,13,FALSE)),"",(VLOOKUP($E85,'D-1 Off-Site Habitat Baseline'!$D$1:$AA$258,13,FALSE))))</f>
        <v/>
      </c>
      <c r="P85" s="148" t="str">
        <f>IFERROR(INDEX('G-1 All Habitats'!$AG$49:$AG$63,MATCH(Q85,'G-1 All Habitats'!$AF$27:$AF$41,0)),"")</f>
        <v/>
      </c>
      <c r="Q85" s="149" t="str">
        <f t="shared" si="13"/>
        <v/>
      </c>
      <c r="R85" s="150"/>
      <c r="S85" s="151" t="str">
        <f>IFERROR(INDEX('G-1 All Habitats'!$B$3:$B$135,MATCH(R85,'G-1 All Habitats'!$A$3:$A$135,0)),"")</f>
        <v/>
      </c>
      <c r="T85" s="283" t="str">
        <f t="shared" si="14"/>
        <v/>
      </c>
      <c r="U85" s="276" t="str">
        <f t="shared" si="15"/>
        <v/>
      </c>
      <c r="V85" s="298" t="str">
        <f t="shared" si="11"/>
        <v/>
      </c>
      <c r="W85" s="295" t="str">
        <f>IF(S85="","",VLOOKUP(S85,'G-1 All Habitats'!$B$2:$M$135,10,FALSE))</f>
        <v/>
      </c>
      <c r="X85" s="295" t="str">
        <f>IFERROR(VLOOKUP(W85,'G-1 All Habitats'!$V$3:$W$7,2,FALSE),"")</f>
        <v/>
      </c>
      <c r="Y85" s="138"/>
      <c r="Z85" s="299" t="str">
        <f>IFERROR(INDEX('G-8 Condition Look up'!$A$3:$H$135,MATCH(S85,'G-8 Condition Look up'!$A$3:$A$135,0),MATCH(Y85,'G-8 Condition Look up'!$A$3:$H$3,0)),"")</f>
        <v/>
      </c>
      <c r="AA85" s="101"/>
      <c r="AB85" s="314" t="str">
        <f>IF(AA85="","",IF(VLOOKUP(AA85,'G-3 Multipliers'!$L$3:$N$6,2,FALSE)=0,"Spatial Data Missing ⚠",VLOOKUP(AA85,'G-3 Multipliers'!$L$3:$N$6,2,FALSE)))</f>
        <v/>
      </c>
      <c r="AC85" s="299" t="str">
        <f>IF(AA85="","",IF(VLOOKUP(AA85,'G-3 Multipliers'!$L$3:$N$6,3,FALSE)=0,"Spatial Data Missing ⚠",VLOOKUP(AA85,'G-3 Multipliers'!$L$3:$N$6,3,FALSE)))</f>
        <v/>
      </c>
      <c r="AD85" s="311" t="str">
        <f t="shared" si="12"/>
        <v/>
      </c>
      <c r="AE85" s="138"/>
      <c r="AF85" s="138"/>
      <c r="AG85" s="295" t="str">
        <f t="shared" si="16"/>
        <v/>
      </c>
      <c r="AH85" s="296" t="str">
        <f t="shared" si="17"/>
        <v/>
      </c>
      <c r="AI85" s="300" t="str">
        <f>IF(AH85="Check Data ⚠","Check Data ⚠",IFERROR(VLOOKUP(AH85,'G-4 Temporal multipliers'!$A$4:$C$36,3,FALSE),""))</f>
        <v/>
      </c>
      <c r="AJ85" s="311" t="str">
        <f>IF(S85="","",VLOOKUP(S85,'G-3 Multipliers'!$A$2:$E$134,4,FALSE))</f>
        <v/>
      </c>
      <c r="AK85" s="295" t="str">
        <f t="shared" si="18"/>
        <v/>
      </c>
      <c r="AL85" s="295" t="str">
        <f t="shared" si="19"/>
        <v/>
      </c>
      <c r="AM85" s="299" t="str">
        <f>IFERROR(IF(F85="","",IF(AH85="Check Data ⚠","Check Data ⚠",VLOOKUP(AL85,'G-3 Multipliers'!$P$2:$Q$6,2,FALSE))),"")</f>
        <v/>
      </c>
      <c r="AN85" s="712" t="str">
        <f>IF(E85="","",IF(ISNA(VLOOKUP($E85,'D-1 Off-Site Habitat Baseline'!$D$1:$Z$258,15,FALSE)),"",(VLOOKUP($E85,'D-1 Off-Site Habitat Baseline'!$D$1:$Z$258,15,FALSE))))</f>
        <v/>
      </c>
      <c r="AO85" s="329" t="str">
        <f>IF(AN85="","",IF(VLOOKUP(AN85,'G-3 Multipliers'!$S$3:$T$10,2,FALSE)=0,"Spatial Data Missing ⚠",VLOOKUP(AN85,'G-3 Multipliers'!$S$3:$T$10,2,FALSE)))</f>
        <v/>
      </c>
      <c r="AP85" s="289" t="str">
        <f t="shared" si="20"/>
        <v/>
      </c>
      <c r="AQ85" s="289" t="str">
        <f t="shared" si="21"/>
        <v/>
      </c>
      <c r="AR85" s="105"/>
      <c r="AS85" s="138"/>
      <c r="AT85" s="104"/>
      <c r="AU85" s="104"/>
      <c r="AY85" s="30" t="str">
        <f>IF(E85="","",IF(ISNA(VLOOKUP($E85,'D-1 Off-Site Habitat Baseline'!$D$1:$AV$258,4,FALSE)),"",(VLOOKUP($E85,'D-1 Off-Site Habitat Baseline'!$D$1:$AV$258,4,FALSE))))</f>
        <v/>
      </c>
    </row>
    <row r="86" spans="1:51" ht="14">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319" t="str">
        <f>'D-1 Off-Site Habitat Baseline'!AP85</f>
        <v/>
      </c>
      <c r="F86" s="283" t="str">
        <f>IF(E86="","",IF(ISNA(VLOOKUP($E86,'D-1 Off-Site Habitat Baseline'!$D$1:$ZZ$258,45,FALSE)),"",(VLOOKUP($E86,'D-1 Off-Site Habitat Baseline'!$D$1:$ZZ$258,45,FALSE))))</f>
        <v/>
      </c>
      <c r="G86" s="295" t="str">
        <f>IF(E86="","",IF(ISNA(VLOOKUP($E86,'D-1 Off-Site Habitat Baseline'!$D$1:$O$258,5,FALSE)),"",(VLOOKUP($E86,'D-1 Off-Site Habitat Baseline'!$D$1:$O$258,5,FALSE))))</f>
        <v/>
      </c>
      <c r="H86" s="295" t="str">
        <f>IF(E86="","",IF(ISNA(VLOOKUP($E86,'D-1 Off-Site Habitat Baseline'!$D$1:$O$258,6,FALSE)),"",(VLOOKUP($E86,'D-1 Off-Site Habitat Baseline'!$D$1:$O$258,6,FALSE))))</f>
        <v/>
      </c>
      <c r="I86" s="295" t="str">
        <f>IF(E86="","",IF(ISNA(VLOOKUP($E86,'D-1 Off-Site Habitat Baseline'!$D$1:$O$258,7,FALSE)),"",(VLOOKUP($E86,'D-1 Off-Site Habitat Baseline'!$D$1:$O$258,7,FALSE))))</f>
        <v/>
      </c>
      <c r="J86" s="295" t="str">
        <f>IF(E86="","",IF(ISNA(VLOOKUP($E86,'D-1 Off-Site Habitat Baseline'!$D$1:$O$258,8,FALSE)),"",(VLOOKUP($E86,'D-1 Off-Site Habitat Baseline'!$D$1:$O$258,8,FALSE))))</f>
        <v/>
      </c>
      <c r="K86" s="295" t="str">
        <f>IF(E86="","",IF(ISNA(VLOOKUP($E86,'D-1 Off-Site Habitat Baseline'!$D$1:$O$258,9,FALSE)),"",(VLOOKUP($E86,'D-1 Off-Site Habitat Baseline'!$D$1:$O$258,9,FALSE))))</f>
        <v/>
      </c>
      <c r="L86" s="295" t="str">
        <f>IF(E86="","",IF(ISNA(VLOOKUP($E86,'D-1 Off-Site Habitat Baseline'!$D$1:$O$258,11,FALSE)),"",(VLOOKUP($E86,'D-1 Off-Site Habitat Baseline'!$D$1:$O$258,11,FALSE))))</f>
        <v/>
      </c>
      <c r="M86" s="295" t="str">
        <f>IF(E86="","",IF(ISNA(VLOOKUP($E86,'D-1 Off-Site Habitat Baseline'!$D$1:$O$258,12,FALSE)),"",(VLOOKUP($E86,'D-1 Off-Site Habitat Baseline'!$D$1:$O$258,12,FALSE))))</f>
        <v/>
      </c>
      <c r="N86" s="295" t="str">
        <f>IF(E86="","",IF(ISNA(VLOOKUP($E86,'D-1 Off-Site Habitat Baseline'!$D$1:$AA$258,17,FALSE)),"",(VLOOKUP($E86,'D-1 Off-Site Habitat Baseline'!$D$1:$AA$258,17,FALSE))))</f>
        <v/>
      </c>
      <c r="O86" s="299" t="str">
        <f>IF(E86="","",IF(ISNA(VLOOKUP($E86,'D-1 Off-Site Habitat Baseline'!$D$1:$AA$258,13,FALSE)),"",(VLOOKUP($E86,'D-1 Off-Site Habitat Baseline'!$D$1:$AA$258,13,FALSE))))</f>
        <v/>
      </c>
      <c r="P86" s="148" t="str">
        <f>IFERROR(INDEX('G-1 All Habitats'!$AG$49:$AG$63,MATCH(Q86,'G-1 All Habitats'!$AF$27:$AF$41,0)),"")</f>
        <v/>
      </c>
      <c r="Q86" s="149" t="str">
        <f t="shared" si="13"/>
        <v/>
      </c>
      <c r="R86" s="150"/>
      <c r="S86" s="151" t="str">
        <f>IFERROR(INDEX('G-1 All Habitats'!$B$3:$B$135,MATCH(R86,'G-1 All Habitats'!$A$3:$A$135,0)),"")</f>
        <v/>
      </c>
      <c r="T86" s="283" t="str">
        <f t="shared" si="14"/>
        <v/>
      </c>
      <c r="U86" s="276" t="str">
        <f t="shared" si="15"/>
        <v/>
      </c>
      <c r="V86" s="298" t="str">
        <f t="shared" si="11"/>
        <v/>
      </c>
      <c r="W86" s="295" t="str">
        <f>IF(S86="","",VLOOKUP(S86,'G-1 All Habitats'!$B$2:$M$135,10,FALSE))</f>
        <v/>
      </c>
      <c r="X86" s="295" t="str">
        <f>IFERROR(VLOOKUP(W86,'G-1 All Habitats'!$V$3:$W$7,2,FALSE),"")</f>
        <v/>
      </c>
      <c r="Y86" s="138"/>
      <c r="Z86" s="299" t="str">
        <f>IFERROR(INDEX('G-8 Condition Look up'!$A$3:$H$135,MATCH(S86,'G-8 Condition Look up'!$A$3:$A$135,0),MATCH(Y86,'G-8 Condition Look up'!$A$3:$H$3,0)),"")</f>
        <v/>
      </c>
      <c r="AA86" s="101"/>
      <c r="AB86" s="314" t="str">
        <f>IF(AA86="","",IF(VLOOKUP(AA86,'G-3 Multipliers'!$L$3:$N$6,2,FALSE)=0,"Spatial Data Missing ⚠",VLOOKUP(AA86,'G-3 Multipliers'!$L$3:$N$6,2,FALSE)))</f>
        <v/>
      </c>
      <c r="AC86" s="299" t="str">
        <f>IF(AA86="","",IF(VLOOKUP(AA86,'G-3 Multipliers'!$L$3:$N$6,3,FALSE)=0,"Spatial Data Missing ⚠",VLOOKUP(AA86,'G-3 Multipliers'!$L$3:$N$6,3,FALSE)))</f>
        <v/>
      </c>
      <c r="AD86" s="311" t="str">
        <f t="shared" si="12"/>
        <v/>
      </c>
      <c r="AE86" s="138"/>
      <c r="AF86" s="138"/>
      <c r="AG86" s="295" t="str">
        <f t="shared" si="16"/>
        <v/>
      </c>
      <c r="AH86" s="296" t="str">
        <f t="shared" si="17"/>
        <v/>
      </c>
      <c r="AI86" s="300" t="str">
        <f>IF(AH86="Check Data ⚠","Check Data ⚠",IFERROR(VLOOKUP(AH86,'G-4 Temporal multipliers'!$A$4:$C$36,3,FALSE),""))</f>
        <v/>
      </c>
      <c r="AJ86" s="311" t="str">
        <f>IF(S86="","",VLOOKUP(S86,'G-3 Multipliers'!$A$2:$E$134,4,FALSE))</f>
        <v/>
      </c>
      <c r="AK86" s="295" t="str">
        <f t="shared" si="18"/>
        <v/>
      </c>
      <c r="AL86" s="295" t="str">
        <f t="shared" si="19"/>
        <v/>
      </c>
      <c r="AM86" s="299" t="str">
        <f>IFERROR(IF(F86="","",IF(AH86="Check Data ⚠","Check Data ⚠",VLOOKUP(AL86,'G-3 Multipliers'!$P$2:$Q$6,2,FALSE))),"")</f>
        <v/>
      </c>
      <c r="AN86" s="712" t="str">
        <f>IF(E86="","",IF(ISNA(VLOOKUP($E86,'D-1 Off-Site Habitat Baseline'!$D$1:$Z$258,15,FALSE)),"",(VLOOKUP($E86,'D-1 Off-Site Habitat Baseline'!$D$1:$Z$258,15,FALSE))))</f>
        <v/>
      </c>
      <c r="AO86" s="329" t="str">
        <f>IF(AN86="","",IF(VLOOKUP(AN86,'G-3 Multipliers'!$S$3:$T$10,2,FALSE)=0,"Spatial Data Missing ⚠",VLOOKUP(AN86,'G-3 Multipliers'!$S$3:$T$10,2,FALSE)))</f>
        <v/>
      </c>
      <c r="AP86" s="289" t="str">
        <f t="shared" si="20"/>
        <v/>
      </c>
      <c r="AQ86" s="289" t="str">
        <f t="shared" si="21"/>
        <v/>
      </c>
      <c r="AR86" s="105"/>
      <c r="AS86" s="138"/>
      <c r="AT86" s="104"/>
      <c r="AU86" s="104"/>
      <c r="AY86" s="30" t="str">
        <f>IF(E86="","",IF(ISNA(VLOOKUP($E86,'D-1 Off-Site Habitat Baseline'!$D$1:$AV$258,4,FALSE)),"",(VLOOKUP($E86,'D-1 Off-Site Habitat Baseline'!$D$1:$AV$258,4,FALSE))))</f>
        <v/>
      </c>
    </row>
    <row r="87" spans="1:51" ht="14">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319" t="str">
        <f>'D-1 Off-Site Habitat Baseline'!AP86</f>
        <v/>
      </c>
      <c r="F87" s="283" t="str">
        <f>IF(E87="","",IF(ISNA(VLOOKUP($E87,'D-1 Off-Site Habitat Baseline'!$D$1:$ZZ$258,45,FALSE)),"",(VLOOKUP($E87,'D-1 Off-Site Habitat Baseline'!$D$1:$ZZ$258,45,FALSE))))</f>
        <v/>
      </c>
      <c r="G87" s="295" t="str">
        <f>IF(E87="","",IF(ISNA(VLOOKUP($E87,'D-1 Off-Site Habitat Baseline'!$D$1:$O$258,5,FALSE)),"",(VLOOKUP($E87,'D-1 Off-Site Habitat Baseline'!$D$1:$O$258,5,FALSE))))</f>
        <v/>
      </c>
      <c r="H87" s="295" t="str">
        <f>IF(E87="","",IF(ISNA(VLOOKUP($E87,'D-1 Off-Site Habitat Baseline'!$D$1:$O$258,6,FALSE)),"",(VLOOKUP($E87,'D-1 Off-Site Habitat Baseline'!$D$1:$O$258,6,FALSE))))</f>
        <v/>
      </c>
      <c r="I87" s="295" t="str">
        <f>IF(E87="","",IF(ISNA(VLOOKUP($E87,'D-1 Off-Site Habitat Baseline'!$D$1:$O$258,7,FALSE)),"",(VLOOKUP($E87,'D-1 Off-Site Habitat Baseline'!$D$1:$O$258,7,FALSE))))</f>
        <v/>
      </c>
      <c r="J87" s="295" t="str">
        <f>IF(E87="","",IF(ISNA(VLOOKUP($E87,'D-1 Off-Site Habitat Baseline'!$D$1:$O$258,8,FALSE)),"",(VLOOKUP($E87,'D-1 Off-Site Habitat Baseline'!$D$1:$O$258,8,FALSE))))</f>
        <v/>
      </c>
      <c r="K87" s="295" t="str">
        <f>IF(E87="","",IF(ISNA(VLOOKUP($E87,'D-1 Off-Site Habitat Baseline'!$D$1:$O$258,9,FALSE)),"",(VLOOKUP($E87,'D-1 Off-Site Habitat Baseline'!$D$1:$O$258,9,FALSE))))</f>
        <v/>
      </c>
      <c r="L87" s="295" t="str">
        <f>IF(E87="","",IF(ISNA(VLOOKUP($E87,'D-1 Off-Site Habitat Baseline'!$D$1:$O$258,11,FALSE)),"",(VLOOKUP($E87,'D-1 Off-Site Habitat Baseline'!$D$1:$O$258,11,FALSE))))</f>
        <v/>
      </c>
      <c r="M87" s="295" t="str">
        <f>IF(E87="","",IF(ISNA(VLOOKUP($E87,'D-1 Off-Site Habitat Baseline'!$D$1:$O$258,12,FALSE)),"",(VLOOKUP($E87,'D-1 Off-Site Habitat Baseline'!$D$1:$O$258,12,FALSE))))</f>
        <v/>
      </c>
      <c r="N87" s="295" t="str">
        <f>IF(E87="","",IF(ISNA(VLOOKUP($E87,'D-1 Off-Site Habitat Baseline'!$D$1:$AA$258,17,FALSE)),"",(VLOOKUP($E87,'D-1 Off-Site Habitat Baseline'!$D$1:$AA$258,17,FALSE))))</f>
        <v/>
      </c>
      <c r="O87" s="299" t="str">
        <f>IF(E87="","",IF(ISNA(VLOOKUP($E87,'D-1 Off-Site Habitat Baseline'!$D$1:$AA$258,13,FALSE)),"",(VLOOKUP($E87,'D-1 Off-Site Habitat Baseline'!$D$1:$AA$258,13,FALSE))))</f>
        <v/>
      </c>
      <c r="P87" s="148" t="str">
        <f>IFERROR(INDEX('G-1 All Habitats'!$AG$49:$AG$63,MATCH(Q87,'G-1 All Habitats'!$AF$27:$AF$41,0)),"")</f>
        <v/>
      </c>
      <c r="Q87" s="149" t="str">
        <f t="shared" si="13"/>
        <v/>
      </c>
      <c r="R87" s="150"/>
      <c r="S87" s="151" t="str">
        <f>IFERROR(INDEX('G-1 All Habitats'!$B$3:$B$135,MATCH(R87,'G-1 All Habitats'!$A$3:$A$135,0)),"")</f>
        <v/>
      </c>
      <c r="T87" s="283" t="str">
        <f t="shared" si="14"/>
        <v/>
      </c>
      <c r="U87" s="276" t="str">
        <f t="shared" si="15"/>
        <v/>
      </c>
      <c r="V87" s="298" t="str">
        <f t="shared" si="11"/>
        <v/>
      </c>
      <c r="W87" s="295" t="str">
        <f>IF(S87="","",VLOOKUP(S87,'G-1 All Habitats'!$B$2:$M$135,10,FALSE))</f>
        <v/>
      </c>
      <c r="X87" s="295" t="str">
        <f>IFERROR(VLOOKUP(W87,'G-1 All Habitats'!$V$3:$W$7,2,FALSE),"")</f>
        <v/>
      </c>
      <c r="Y87" s="138"/>
      <c r="Z87" s="299" t="str">
        <f>IFERROR(INDEX('G-8 Condition Look up'!$A$3:$H$135,MATCH(S87,'G-8 Condition Look up'!$A$3:$A$135,0),MATCH(Y87,'G-8 Condition Look up'!$A$3:$H$3,0)),"")</f>
        <v/>
      </c>
      <c r="AA87" s="101"/>
      <c r="AB87" s="314" t="str">
        <f>IF(AA87="","",IF(VLOOKUP(AA87,'G-3 Multipliers'!$L$3:$N$6,2,FALSE)=0,"Spatial Data Missing ⚠",VLOOKUP(AA87,'G-3 Multipliers'!$L$3:$N$6,2,FALSE)))</f>
        <v/>
      </c>
      <c r="AC87" s="299" t="str">
        <f>IF(AA87="","",IF(VLOOKUP(AA87,'G-3 Multipliers'!$L$3:$N$6,3,FALSE)=0,"Spatial Data Missing ⚠",VLOOKUP(AA87,'G-3 Multipliers'!$L$3:$N$6,3,FALSE)))</f>
        <v/>
      </c>
      <c r="AD87" s="311" t="str">
        <f t="shared" si="12"/>
        <v/>
      </c>
      <c r="AE87" s="138"/>
      <c r="AF87" s="138"/>
      <c r="AG87" s="295" t="str">
        <f t="shared" si="16"/>
        <v/>
      </c>
      <c r="AH87" s="296" t="str">
        <f t="shared" si="17"/>
        <v/>
      </c>
      <c r="AI87" s="300" t="str">
        <f>IF(AH87="Check Data ⚠","Check Data ⚠",IFERROR(VLOOKUP(AH87,'G-4 Temporal multipliers'!$A$4:$C$36,3,FALSE),""))</f>
        <v/>
      </c>
      <c r="AJ87" s="311" t="str">
        <f>IF(S87="","",VLOOKUP(S87,'G-3 Multipliers'!$A$2:$E$134,4,FALSE))</f>
        <v/>
      </c>
      <c r="AK87" s="295" t="str">
        <f t="shared" si="18"/>
        <v/>
      </c>
      <c r="AL87" s="295" t="str">
        <f t="shared" si="19"/>
        <v/>
      </c>
      <c r="AM87" s="299" t="str">
        <f>IFERROR(IF(F87="","",IF(AH87="Check Data ⚠","Check Data ⚠",VLOOKUP(AL87,'G-3 Multipliers'!$P$2:$Q$6,2,FALSE))),"")</f>
        <v/>
      </c>
      <c r="AN87" s="712" t="str">
        <f>IF(E87="","",IF(ISNA(VLOOKUP($E87,'D-1 Off-Site Habitat Baseline'!$D$1:$Z$258,15,FALSE)),"",(VLOOKUP($E87,'D-1 Off-Site Habitat Baseline'!$D$1:$Z$258,15,FALSE))))</f>
        <v/>
      </c>
      <c r="AO87" s="329" t="str">
        <f>IF(AN87="","",IF(VLOOKUP(AN87,'G-3 Multipliers'!$S$3:$T$10,2,FALSE)=0,"Spatial Data Missing ⚠",VLOOKUP(AN87,'G-3 Multipliers'!$S$3:$T$10,2,FALSE)))</f>
        <v/>
      </c>
      <c r="AP87" s="289" t="str">
        <f t="shared" si="20"/>
        <v/>
      </c>
      <c r="AQ87" s="289" t="str">
        <f t="shared" si="21"/>
        <v/>
      </c>
      <c r="AR87" s="105"/>
      <c r="AS87" s="138"/>
      <c r="AT87" s="104"/>
      <c r="AU87" s="104"/>
      <c r="AY87" s="30" t="str">
        <f>IF(E87="","",IF(ISNA(VLOOKUP($E87,'D-1 Off-Site Habitat Baseline'!$D$1:$AV$258,4,FALSE)),"",(VLOOKUP($E87,'D-1 Off-Site Habitat Baseline'!$D$1:$AV$258,4,FALSE))))</f>
        <v/>
      </c>
    </row>
    <row r="88" spans="1:51" ht="14">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319" t="str">
        <f>'D-1 Off-Site Habitat Baseline'!AP87</f>
        <v/>
      </c>
      <c r="F88" s="283" t="str">
        <f>IF(E88="","",IF(ISNA(VLOOKUP($E88,'D-1 Off-Site Habitat Baseline'!$D$1:$ZZ$258,45,FALSE)),"",(VLOOKUP($E88,'D-1 Off-Site Habitat Baseline'!$D$1:$ZZ$258,45,FALSE))))</f>
        <v/>
      </c>
      <c r="G88" s="295" t="str">
        <f>IF(E88="","",IF(ISNA(VLOOKUP($E88,'D-1 Off-Site Habitat Baseline'!$D$1:$O$258,5,FALSE)),"",(VLOOKUP($E88,'D-1 Off-Site Habitat Baseline'!$D$1:$O$258,5,FALSE))))</f>
        <v/>
      </c>
      <c r="H88" s="295" t="str">
        <f>IF(E88="","",IF(ISNA(VLOOKUP($E88,'D-1 Off-Site Habitat Baseline'!$D$1:$O$258,6,FALSE)),"",(VLOOKUP($E88,'D-1 Off-Site Habitat Baseline'!$D$1:$O$258,6,FALSE))))</f>
        <v/>
      </c>
      <c r="I88" s="295" t="str">
        <f>IF(E88="","",IF(ISNA(VLOOKUP($E88,'D-1 Off-Site Habitat Baseline'!$D$1:$O$258,7,FALSE)),"",(VLOOKUP($E88,'D-1 Off-Site Habitat Baseline'!$D$1:$O$258,7,FALSE))))</f>
        <v/>
      </c>
      <c r="J88" s="295" t="str">
        <f>IF(E88="","",IF(ISNA(VLOOKUP($E88,'D-1 Off-Site Habitat Baseline'!$D$1:$O$258,8,FALSE)),"",(VLOOKUP($E88,'D-1 Off-Site Habitat Baseline'!$D$1:$O$258,8,FALSE))))</f>
        <v/>
      </c>
      <c r="K88" s="295" t="str">
        <f>IF(E88="","",IF(ISNA(VLOOKUP($E88,'D-1 Off-Site Habitat Baseline'!$D$1:$O$258,9,FALSE)),"",(VLOOKUP($E88,'D-1 Off-Site Habitat Baseline'!$D$1:$O$258,9,FALSE))))</f>
        <v/>
      </c>
      <c r="L88" s="295" t="str">
        <f>IF(E88="","",IF(ISNA(VLOOKUP($E88,'D-1 Off-Site Habitat Baseline'!$D$1:$O$258,11,FALSE)),"",(VLOOKUP($E88,'D-1 Off-Site Habitat Baseline'!$D$1:$O$258,11,FALSE))))</f>
        <v/>
      </c>
      <c r="M88" s="295" t="str">
        <f>IF(E88="","",IF(ISNA(VLOOKUP($E88,'D-1 Off-Site Habitat Baseline'!$D$1:$O$258,12,FALSE)),"",(VLOOKUP($E88,'D-1 Off-Site Habitat Baseline'!$D$1:$O$258,12,FALSE))))</f>
        <v/>
      </c>
      <c r="N88" s="295" t="str">
        <f>IF(E88="","",IF(ISNA(VLOOKUP($E88,'D-1 Off-Site Habitat Baseline'!$D$1:$AA$258,17,FALSE)),"",(VLOOKUP($E88,'D-1 Off-Site Habitat Baseline'!$D$1:$AA$258,17,FALSE))))</f>
        <v/>
      </c>
      <c r="O88" s="299" t="str">
        <f>IF(E88="","",IF(ISNA(VLOOKUP($E88,'D-1 Off-Site Habitat Baseline'!$D$1:$AA$258,13,FALSE)),"",(VLOOKUP($E88,'D-1 Off-Site Habitat Baseline'!$D$1:$AA$258,13,FALSE))))</f>
        <v/>
      </c>
      <c r="P88" s="148" t="str">
        <f>IFERROR(INDEX('G-1 All Habitats'!$AG$49:$AG$63,MATCH(Q88,'G-1 All Habitats'!$AF$27:$AF$41,0)),"")</f>
        <v/>
      </c>
      <c r="Q88" s="149" t="str">
        <f t="shared" si="13"/>
        <v/>
      </c>
      <c r="R88" s="150"/>
      <c r="S88" s="151" t="str">
        <f>IFERROR(INDEX('G-1 All Habitats'!$B$3:$B$135,MATCH(R88,'G-1 All Habitats'!$A$3:$A$135,0)),"")</f>
        <v/>
      </c>
      <c r="T88" s="283" t="str">
        <f t="shared" si="14"/>
        <v/>
      </c>
      <c r="U88" s="276" t="str">
        <f t="shared" si="15"/>
        <v/>
      </c>
      <c r="V88" s="298" t="str">
        <f t="shared" si="11"/>
        <v/>
      </c>
      <c r="W88" s="295" t="str">
        <f>IF(S88="","",VLOOKUP(S88,'G-1 All Habitats'!$B$2:$M$135,10,FALSE))</f>
        <v/>
      </c>
      <c r="X88" s="295" t="str">
        <f>IFERROR(VLOOKUP(W88,'G-1 All Habitats'!$V$3:$W$7,2,FALSE),"")</f>
        <v/>
      </c>
      <c r="Y88" s="138"/>
      <c r="Z88" s="299" t="str">
        <f>IFERROR(INDEX('G-8 Condition Look up'!$A$3:$H$135,MATCH(S88,'G-8 Condition Look up'!$A$3:$A$135,0),MATCH(Y88,'G-8 Condition Look up'!$A$3:$H$3,0)),"")</f>
        <v/>
      </c>
      <c r="AA88" s="101"/>
      <c r="AB88" s="314" t="str">
        <f>IF(AA88="","",IF(VLOOKUP(AA88,'G-3 Multipliers'!$L$3:$N$6,2,FALSE)=0,"Spatial Data Missing ⚠",VLOOKUP(AA88,'G-3 Multipliers'!$L$3:$N$6,2,FALSE)))</f>
        <v/>
      </c>
      <c r="AC88" s="299" t="str">
        <f>IF(AA88="","",IF(VLOOKUP(AA88,'G-3 Multipliers'!$L$3:$N$6,3,FALSE)=0,"Spatial Data Missing ⚠",VLOOKUP(AA88,'G-3 Multipliers'!$L$3:$N$6,3,FALSE)))</f>
        <v/>
      </c>
      <c r="AD88" s="311" t="str">
        <f t="shared" si="12"/>
        <v/>
      </c>
      <c r="AE88" s="138"/>
      <c r="AF88" s="138"/>
      <c r="AG88" s="295" t="str">
        <f t="shared" si="16"/>
        <v/>
      </c>
      <c r="AH88" s="296" t="str">
        <f t="shared" si="17"/>
        <v/>
      </c>
      <c r="AI88" s="300" t="str">
        <f>IF(AH88="Check Data ⚠","Check Data ⚠",IFERROR(VLOOKUP(AH88,'G-4 Temporal multipliers'!$A$4:$C$36,3,FALSE),""))</f>
        <v/>
      </c>
      <c r="AJ88" s="311" t="str">
        <f>IF(S88="","",VLOOKUP(S88,'G-3 Multipliers'!$A$2:$E$134,4,FALSE))</f>
        <v/>
      </c>
      <c r="AK88" s="295" t="str">
        <f t="shared" si="18"/>
        <v/>
      </c>
      <c r="AL88" s="295" t="str">
        <f t="shared" si="19"/>
        <v/>
      </c>
      <c r="AM88" s="299" t="str">
        <f>IFERROR(IF(F88="","",IF(AH88="Check Data ⚠","Check Data ⚠",VLOOKUP(AL88,'G-3 Multipliers'!$P$2:$Q$6,2,FALSE))),"")</f>
        <v/>
      </c>
      <c r="AN88" s="712" t="str">
        <f>IF(E88="","",IF(ISNA(VLOOKUP($E88,'D-1 Off-Site Habitat Baseline'!$D$1:$Z$258,15,FALSE)),"",(VLOOKUP($E88,'D-1 Off-Site Habitat Baseline'!$D$1:$Z$258,15,FALSE))))</f>
        <v/>
      </c>
      <c r="AO88" s="329" t="str">
        <f>IF(AN88="","",IF(VLOOKUP(AN88,'G-3 Multipliers'!$S$3:$T$10,2,FALSE)=0,"Spatial Data Missing ⚠",VLOOKUP(AN88,'G-3 Multipliers'!$S$3:$T$10,2,FALSE)))</f>
        <v/>
      </c>
      <c r="AP88" s="289" t="str">
        <f t="shared" si="20"/>
        <v/>
      </c>
      <c r="AQ88" s="289" t="str">
        <f t="shared" si="21"/>
        <v/>
      </c>
      <c r="AR88" s="105"/>
      <c r="AS88" s="138"/>
      <c r="AT88" s="104"/>
      <c r="AU88" s="104"/>
      <c r="AY88" s="30" t="str">
        <f>IF(E88="","",IF(ISNA(VLOOKUP($E88,'D-1 Off-Site Habitat Baseline'!$D$1:$AV$258,4,FALSE)),"",(VLOOKUP($E88,'D-1 Off-Site Habitat Baseline'!$D$1:$AV$258,4,FALSE))))</f>
        <v/>
      </c>
    </row>
    <row r="89" spans="1:51" ht="14">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319" t="str">
        <f>'D-1 Off-Site Habitat Baseline'!AP88</f>
        <v/>
      </c>
      <c r="F89" s="283" t="str">
        <f>IF(E89="","",IF(ISNA(VLOOKUP($E89,'D-1 Off-Site Habitat Baseline'!$D$1:$ZZ$258,45,FALSE)),"",(VLOOKUP($E89,'D-1 Off-Site Habitat Baseline'!$D$1:$ZZ$258,45,FALSE))))</f>
        <v/>
      </c>
      <c r="G89" s="295" t="str">
        <f>IF(E89="","",IF(ISNA(VLOOKUP($E89,'D-1 Off-Site Habitat Baseline'!$D$1:$O$258,5,FALSE)),"",(VLOOKUP($E89,'D-1 Off-Site Habitat Baseline'!$D$1:$O$258,5,FALSE))))</f>
        <v/>
      </c>
      <c r="H89" s="295" t="str">
        <f>IF(E89="","",IF(ISNA(VLOOKUP($E89,'D-1 Off-Site Habitat Baseline'!$D$1:$O$258,6,FALSE)),"",(VLOOKUP($E89,'D-1 Off-Site Habitat Baseline'!$D$1:$O$258,6,FALSE))))</f>
        <v/>
      </c>
      <c r="I89" s="295" t="str">
        <f>IF(E89="","",IF(ISNA(VLOOKUP($E89,'D-1 Off-Site Habitat Baseline'!$D$1:$O$258,7,FALSE)),"",(VLOOKUP($E89,'D-1 Off-Site Habitat Baseline'!$D$1:$O$258,7,FALSE))))</f>
        <v/>
      </c>
      <c r="J89" s="295" t="str">
        <f>IF(E89="","",IF(ISNA(VLOOKUP($E89,'D-1 Off-Site Habitat Baseline'!$D$1:$O$258,8,FALSE)),"",(VLOOKUP($E89,'D-1 Off-Site Habitat Baseline'!$D$1:$O$258,8,FALSE))))</f>
        <v/>
      </c>
      <c r="K89" s="295" t="str">
        <f>IF(E89="","",IF(ISNA(VLOOKUP($E89,'D-1 Off-Site Habitat Baseline'!$D$1:$O$258,9,FALSE)),"",(VLOOKUP($E89,'D-1 Off-Site Habitat Baseline'!$D$1:$O$258,9,FALSE))))</f>
        <v/>
      </c>
      <c r="L89" s="295" t="str">
        <f>IF(E89="","",IF(ISNA(VLOOKUP($E89,'D-1 Off-Site Habitat Baseline'!$D$1:$O$258,11,FALSE)),"",(VLOOKUP($E89,'D-1 Off-Site Habitat Baseline'!$D$1:$O$258,11,FALSE))))</f>
        <v/>
      </c>
      <c r="M89" s="295" t="str">
        <f>IF(E89="","",IF(ISNA(VLOOKUP($E89,'D-1 Off-Site Habitat Baseline'!$D$1:$O$258,12,FALSE)),"",(VLOOKUP($E89,'D-1 Off-Site Habitat Baseline'!$D$1:$O$258,12,FALSE))))</f>
        <v/>
      </c>
      <c r="N89" s="295" t="str">
        <f>IF(E89="","",IF(ISNA(VLOOKUP($E89,'D-1 Off-Site Habitat Baseline'!$D$1:$AA$258,17,FALSE)),"",(VLOOKUP($E89,'D-1 Off-Site Habitat Baseline'!$D$1:$AA$258,17,FALSE))))</f>
        <v/>
      </c>
      <c r="O89" s="299" t="str">
        <f>IF(E89="","",IF(ISNA(VLOOKUP($E89,'D-1 Off-Site Habitat Baseline'!$D$1:$AA$258,13,FALSE)),"",(VLOOKUP($E89,'D-1 Off-Site Habitat Baseline'!$D$1:$AA$258,13,FALSE))))</f>
        <v/>
      </c>
      <c r="P89" s="148" t="str">
        <f>IFERROR(INDEX('G-1 All Habitats'!$AG$49:$AG$63,MATCH(Q89,'G-1 All Habitats'!$AF$27:$AF$41,0)),"")</f>
        <v/>
      </c>
      <c r="Q89" s="149" t="str">
        <f t="shared" si="13"/>
        <v/>
      </c>
      <c r="R89" s="150"/>
      <c r="S89" s="151" t="str">
        <f>IFERROR(INDEX('G-1 All Habitats'!$B$3:$B$135,MATCH(R89,'G-1 All Habitats'!$A$3:$A$135,0)),"")</f>
        <v/>
      </c>
      <c r="T89" s="283" t="str">
        <f t="shared" si="14"/>
        <v/>
      </c>
      <c r="U89" s="276" t="str">
        <f t="shared" si="15"/>
        <v/>
      </c>
      <c r="V89" s="298" t="str">
        <f t="shared" si="11"/>
        <v/>
      </c>
      <c r="W89" s="295" t="str">
        <f>IF(S89="","",VLOOKUP(S89,'G-1 All Habitats'!$B$2:$M$135,10,FALSE))</f>
        <v/>
      </c>
      <c r="X89" s="295" t="str">
        <f>IFERROR(VLOOKUP(W89,'G-1 All Habitats'!$V$3:$W$7,2,FALSE),"")</f>
        <v/>
      </c>
      <c r="Y89" s="138"/>
      <c r="Z89" s="299" t="str">
        <f>IFERROR(INDEX('G-8 Condition Look up'!$A$3:$H$135,MATCH(S89,'G-8 Condition Look up'!$A$3:$A$135,0),MATCH(Y89,'G-8 Condition Look up'!$A$3:$H$3,0)),"")</f>
        <v/>
      </c>
      <c r="AA89" s="101"/>
      <c r="AB89" s="314" t="str">
        <f>IF(AA89="","",IF(VLOOKUP(AA89,'G-3 Multipliers'!$L$3:$N$6,2,FALSE)=0,"Spatial Data Missing ⚠",VLOOKUP(AA89,'G-3 Multipliers'!$L$3:$N$6,2,FALSE)))</f>
        <v/>
      </c>
      <c r="AC89" s="299" t="str">
        <f>IF(AA89="","",IF(VLOOKUP(AA89,'G-3 Multipliers'!$L$3:$N$6,3,FALSE)=0,"Spatial Data Missing ⚠",VLOOKUP(AA89,'G-3 Multipliers'!$L$3:$N$6,3,FALSE)))</f>
        <v/>
      </c>
      <c r="AD89" s="311" t="str">
        <f t="shared" si="12"/>
        <v/>
      </c>
      <c r="AE89" s="138"/>
      <c r="AF89" s="138"/>
      <c r="AG89" s="295" t="str">
        <f t="shared" si="16"/>
        <v/>
      </c>
      <c r="AH89" s="296" t="str">
        <f t="shared" si="17"/>
        <v/>
      </c>
      <c r="AI89" s="300" t="str">
        <f>IF(AH89="Check Data ⚠","Check Data ⚠",IFERROR(VLOOKUP(AH89,'G-4 Temporal multipliers'!$A$4:$C$36,3,FALSE),""))</f>
        <v/>
      </c>
      <c r="AJ89" s="311" t="str">
        <f>IF(S89="","",VLOOKUP(S89,'G-3 Multipliers'!$A$2:$E$134,4,FALSE))</f>
        <v/>
      </c>
      <c r="AK89" s="295" t="str">
        <f t="shared" si="18"/>
        <v/>
      </c>
      <c r="AL89" s="295" t="str">
        <f t="shared" si="19"/>
        <v/>
      </c>
      <c r="AM89" s="299" t="str">
        <f>IFERROR(IF(F89="","",IF(AH89="Check Data ⚠","Check Data ⚠",VLOOKUP(AL89,'G-3 Multipliers'!$P$2:$Q$6,2,FALSE))),"")</f>
        <v/>
      </c>
      <c r="AN89" s="712" t="str">
        <f>IF(E89="","",IF(ISNA(VLOOKUP($E89,'D-1 Off-Site Habitat Baseline'!$D$1:$Z$258,15,FALSE)),"",(VLOOKUP($E89,'D-1 Off-Site Habitat Baseline'!$D$1:$Z$258,15,FALSE))))</f>
        <v/>
      </c>
      <c r="AO89" s="329" t="str">
        <f>IF(AN89="","",IF(VLOOKUP(AN89,'G-3 Multipliers'!$S$3:$T$10,2,FALSE)=0,"Spatial Data Missing ⚠",VLOOKUP(AN89,'G-3 Multipliers'!$S$3:$T$10,2,FALSE)))</f>
        <v/>
      </c>
      <c r="AP89" s="289" t="str">
        <f t="shared" si="20"/>
        <v/>
      </c>
      <c r="AQ89" s="289" t="str">
        <f t="shared" si="21"/>
        <v/>
      </c>
      <c r="AR89" s="105"/>
      <c r="AS89" s="138"/>
      <c r="AT89" s="104"/>
      <c r="AU89" s="104"/>
      <c r="AY89" s="30" t="str">
        <f>IF(E89="","",IF(ISNA(VLOOKUP($E89,'D-1 Off-Site Habitat Baseline'!$D$1:$AV$258,4,FALSE)),"",(VLOOKUP($E89,'D-1 Off-Site Habitat Baseline'!$D$1:$AV$258,4,FALSE))))</f>
        <v/>
      </c>
    </row>
    <row r="90" spans="1:51" ht="14">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319" t="str">
        <f>'D-1 Off-Site Habitat Baseline'!AP89</f>
        <v/>
      </c>
      <c r="F90" s="283" t="str">
        <f>IF(E90="","",IF(ISNA(VLOOKUP($E90,'D-1 Off-Site Habitat Baseline'!$D$1:$ZZ$258,45,FALSE)),"",(VLOOKUP($E90,'D-1 Off-Site Habitat Baseline'!$D$1:$ZZ$258,45,FALSE))))</f>
        <v/>
      </c>
      <c r="G90" s="295" t="str">
        <f>IF(E90="","",IF(ISNA(VLOOKUP($E90,'D-1 Off-Site Habitat Baseline'!$D$1:$O$258,5,FALSE)),"",(VLOOKUP($E90,'D-1 Off-Site Habitat Baseline'!$D$1:$O$258,5,FALSE))))</f>
        <v/>
      </c>
      <c r="H90" s="295" t="str">
        <f>IF(E90="","",IF(ISNA(VLOOKUP($E90,'D-1 Off-Site Habitat Baseline'!$D$1:$O$258,6,FALSE)),"",(VLOOKUP($E90,'D-1 Off-Site Habitat Baseline'!$D$1:$O$258,6,FALSE))))</f>
        <v/>
      </c>
      <c r="I90" s="295" t="str">
        <f>IF(E90="","",IF(ISNA(VLOOKUP($E90,'D-1 Off-Site Habitat Baseline'!$D$1:$O$258,7,FALSE)),"",(VLOOKUP($E90,'D-1 Off-Site Habitat Baseline'!$D$1:$O$258,7,FALSE))))</f>
        <v/>
      </c>
      <c r="J90" s="295" t="str">
        <f>IF(E90="","",IF(ISNA(VLOOKUP($E90,'D-1 Off-Site Habitat Baseline'!$D$1:$O$258,8,FALSE)),"",(VLOOKUP($E90,'D-1 Off-Site Habitat Baseline'!$D$1:$O$258,8,FALSE))))</f>
        <v/>
      </c>
      <c r="K90" s="295" t="str">
        <f>IF(E90="","",IF(ISNA(VLOOKUP($E90,'D-1 Off-Site Habitat Baseline'!$D$1:$O$258,9,FALSE)),"",(VLOOKUP($E90,'D-1 Off-Site Habitat Baseline'!$D$1:$O$258,9,FALSE))))</f>
        <v/>
      </c>
      <c r="L90" s="295" t="str">
        <f>IF(E90="","",IF(ISNA(VLOOKUP($E90,'D-1 Off-Site Habitat Baseline'!$D$1:$O$258,11,FALSE)),"",(VLOOKUP($E90,'D-1 Off-Site Habitat Baseline'!$D$1:$O$258,11,FALSE))))</f>
        <v/>
      </c>
      <c r="M90" s="295" t="str">
        <f>IF(E90="","",IF(ISNA(VLOOKUP($E90,'D-1 Off-Site Habitat Baseline'!$D$1:$O$258,12,FALSE)),"",(VLOOKUP($E90,'D-1 Off-Site Habitat Baseline'!$D$1:$O$258,12,FALSE))))</f>
        <v/>
      </c>
      <c r="N90" s="295" t="str">
        <f>IF(E90="","",IF(ISNA(VLOOKUP($E90,'D-1 Off-Site Habitat Baseline'!$D$1:$AA$258,17,FALSE)),"",(VLOOKUP($E90,'D-1 Off-Site Habitat Baseline'!$D$1:$AA$258,17,FALSE))))</f>
        <v/>
      </c>
      <c r="O90" s="299" t="str">
        <f>IF(E90="","",IF(ISNA(VLOOKUP($E90,'D-1 Off-Site Habitat Baseline'!$D$1:$AA$258,13,FALSE)),"",(VLOOKUP($E90,'D-1 Off-Site Habitat Baseline'!$D$1:$AA$258,13,FALSE))))</f>
        <v/>
      </c>
      <c r="P90" s="148" t="str">
        <f>IFERROR(INDEX('G-1 All Habitats'!$AG$49:$AG$63,MATCH(Q90,'G-1 All Habitats'!$AF$27:$AF$41,0)),"")</f>
        <v/>
      </c>
      <c r="Q90" s="149" t="str">
        <f t="shared" si="13"/>
        <v/>
      </c>
      <c r="R90" s="150"/>
      <c r="S90" s="151" t="str">
        <f>IFERROR(INDEX('G-1 All Habitats'!$B$3:$B$135,MATCH(R90,'G-1 All Habitats'!$A$3:$A$135,0)),"")</f>
        <v/>
      </c>
      <c r="T90" s="283" t="str">
        <f t="shared" si="14"/>
        <v/>
      </c>
      <c r="U90" s="276" t="str">
        <f t="shared" si="15"/>
        <v/>
      </c>
      <c r="V90" s="298" t="str">
        <f t="shared" si="11"/>
        <v/>
      </c>
      <c r="W90" s="295" t="str">
        <f>IF(S90="","",VLOOKUP(S90,'G-1 All Habitats'!$B$2:$M$135,10,FALSE))</f>
        <v/>
      </c>
      <c r="X90" s="295" t="str">
        <f>IFERROR(VLOOKUP(W90,'G-1 All Habitats'!$V$3:$W$7,2,FALSE),"")</f>
        <v/>
      </c>
      <c r="Y90" s="138"/>
      <c r="Z90" s="299" t="str">
        <f>IFERROR(INDEX('G-8 Condition Look up'!$A$3:$H$135,MATCH(S90,'G-8 Condition Look up'!$A$3:$A$135,0),MATCH(Y90,'G-8 Condition Look up'!$A$3:$H$3,0)),"")</f>
        <v/>
      </c>
      <c r="AA90" s="101"/>
      <c r="AB90" s="314" t="str">
        <f>IF(AA90="","",IF(VLOOKUP(AA90,'G-3 Multipliers'!$L$3:$N$6,2,FALSE)=0,"Spatial Data Missing ⚠",VLOOKUP(AA90,'G-3 Multipliers'!$L$3:$N$6,2,FALSE)))</f>
        <v/>
      </c>
      <c r="AC90" s="299" t="str">
        <f>IF(AA90="","",IF(VLOOKUP(AA90,'G-3 Multipliers'!$L$3:$N$6,3,FALSE)=0,"Spatial Data Missing ⚠",VLOOKUP(AA90,'G-3 Multipliers'!$L$3:$N$6,3,FALSE)))</f>
        <v/>
      </c>
      <c r="AD90" s="311" t="str">
        <f t="shared" si="12"/>
        <v/>
      </c>
      <c r="AE90" s="138"/>
      <c r="AF90" s="138"/>
      <c r="AG90" s="295" t="str">
        <f t="shared" si="16"/>
        <v/>
      </c>
      <c r="AH90" s="296" t="str">
        <f t="shared" si="17"/>
        <v/>
      </c>
      <c r="AI90" s="300" t="str">
        <f>IF(AH90="Check Data ⚠","Check Data ⚠",IFERROR(VLOOKUP(AH90,'G-4 Temporal multipliers'!$A$4:$C$36,3,FALSE),""))</f>
        <v/>
      </c>
      <c r="AJ90" s="311" t="str">
        <f>IF(S90="","",VLOOKUP(S90,'G-3 Multipliers'!$A$2:$E$134,4,FALSE))</f>
        <v/>
      </c>
      <c r="AK90" s="295" t="str">
        <f t="shared" si="18"/>
        <v/>
      </c>
      <c r="AL90" s="295" t="str">
        <f t="shared" si="19"/>
        <v/>
      </c>
      <c r="AM90" s="299" t="str">
        <f>IFERROR(IF(F90="","",IF(AH90="Check Data ⚠","Check Data ⚠",VLOOKUP(AL90,'G-3 Multipliers'!$P$2:$Q$6,2,FALSE))),"")</f>
        <v/>
      </c>
      <c r="AN90" s="712" t="str">
        <f>IF(E90="","",IF(ISNA(VLOOKUP($E90,'D-1 Off-Site Habitat Baseline'!$D$1:$Z$258,15,FALSE)),"",(VLOOKUP($E90,'D-1 Off-Site Habitat Baseline'!$D$1:$Z$258,15,FALSE))))</f>
        <v/>
      </c>
      <c r="AO90" s="329" t="str">
        <f>IF(AN90="","",IF(VLOOKUP(AN90,'G-3 Multipliers'!$S$3:$T$10,2,FALSE)=0,"Spatial Data Missing ⚠",VLOOKUP(AN90,'G-3 Multipliers'!$S$3:$T$10,2,FALSE)))</f>
        <v/>
      </c>
      <c r="AP90" s="289" t="str">
        <f t="shared" si="20"/>
        <v/>
      </c>
      <c r="AQ90" s="289" t="str">
        <f t="shared" si="21"/>
        <v/>
      </c>
      <c r="AR90" s="105"/>
      <c r="AS90" s="138"/>
      <c r="AT90" s="104"/>
      <c r="AU90" s="104"/>
      <c r="AY90" s="30" t="str">
        <f>IF(E90="","",IF(ISNA(VLOOKUP($E90,'D-1 Off-Site Habitat Baseline'!$D$1:$AV$258,4,FALSE)),"",(VLOOKUP($E90,'D-1 Off-Site Habitat Baseline'!$D$1:$AV$258,4,FALSE))))</f>
        <v/>
      </c>
    </row>
    <row r="91" spans="1:51" ht="14">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319" t="str">
        <f>'D-1 Off-Site Habitat Baseline'!AP90</f>
        <v/>
      </c>
      <c r="F91" s="283" t="str">
        <f>IF(E91="","",IF(ISNA(VLOOKUP($E91,'D-1 Off-Site Habitat Baseline'!$D$1:$ZZ$258,45,FALSE)),"",(VLOOKUP($E91,'D-1 Off-Site Habitat Baseline'!$D$1:$ZZ$258,45,FALSE))))</f>
        <v/>
      </c>
      <c r="G91" s="295" t="str">
        <f>IF(E91="","",IF(ISNA(VLOOKUP($E91,'D-1 Off-Site Habitat Baseline'!$D$1:$O$258,5,FALSE)),"",(VLOOKUP($E91,'D-1 Off-Site Habitat Baseline'!$D$1:$O$258,5,FALSE))))</f>
        <v/>
      </c>
      <c r="H91" s="295" t="str">
        <f>IF(E91="","",IF(ISNA(VLOOKUP($E91,'D-1 Off-Site Habitat Baseline'!$D$1:$O$258,6,FALSE)),"",(VLOOKUP($E91,'D-1 Off-Site Habitat Baseline'!$D$1:$O$258,6,FALSE))))</f>
        <v/>
      </c>
      <c r="I91" s="295" t="str">
        <f>IF(E91="","",IF(ISNA(VLOOKUP($E91,'D-1 Off-Site Habitat Baseline'!$D$1:$O$258,7,FALSE)),"",(VLOOKUP($E91,'D-1 Off-Site Habitat Baseline'!$D$1:$O$258,7,FALSE))))</f>
        <v/>
      </c>
      <c r="J91" s="295" t="str">
        <f>IF(E91="","",IF(ISNA(VLOOKUP($E91,'D-1 Off-Site Habitat Baseline'!$D$1:$O$258,8,FALSE)),"",(VLOOKUP($E91,'D-1 Off-Site Habitat Baseline'!$D$1:$O$258,8,FALSE))))</f>
        <v/>
      </c>
      <c r="K91" s="295" t="str">
        <f>IF(E91="","",IF(ISNA(VLOOKUP($E91,'D-1 Off-Site Habitat Baseline'!$D$1:$O$258,9,FALSE)),"",(VLOOKUP($E91,'D-1 Off-Site Habitat Baseline'!$D$1:$O$258,9,FALSE))))</f>
        <v/>
      </c>
      <c r="L91" s="295" t="str">
        <f>IF(E91="","",IF(ISNA(VLOOKUP($E91,'D-1 Off-Site Habitat Baseline'!$D$1:$O$258,11,FALSE)),"",(VLOOKUP($E91,'D-1 Off-Site Habitat Baseline'!$D$1:$O$258,11,FALSE))))</f>
        <v/>
      </c>
      <c r="M91" s="295" t="str">
        <f>IF(E91="","",IF(ISNA(VLOOKUP($E91,'D-1 Off-Site Habitat Baseline'!$D$1:$O$258,12,FALSE)),"",(VLOOKUP($E91,'D-1 Off-Site Habitat Baseline'!$D$1:$O$258,12,FALSE))))</f>
        <v/>
      </c>
      <c r="N91" s="295" t="str">
        <f>IF(E91="","",IF(ISNA(VLOOKUP($E91,'D-1 Off-Site Habitat Baseline'!$D$1:$AA$258,17,FALSE)),"",(VLOOKUP($E91,'D-1 Off-Site Habitat Baseline'!$D$1:$AA$258,17,FALSE))))</f>
        <v/>
      </c>
      <c r="O91" s="299" t="str">
        <f>IF(E91="","",IF(ISNA(VLOOKUP($E91,'D-1 Off-Site Habitat Baseline'!$D$1:$AA$258,13,FALSE)),"",(VLOOKUP($E91,'D-1 Off-Site Habitat Baseline'!$D$1:$AA$258,13,FALSE))))</f>
        <v/>
      </c>
      <c r="P91" s="148" t="str">
        <f>IFERROR(INDEX('G-1 All Habitats'!$AG$49:$AG$63,MATCH(Q91,'G-1 All Habitats'!$AF$27:$AF$41,0)),"")</f>
        <v/>
      </c>
      <c r="Q91" s="149" t="str">
        <f t="shared" si="13"/>
        <v/>
      </c>
      <c r="R91" s="150"/>
      <c r="S91" s="151" t="str">
        <f>IFERROR(INDEX('G-1 All Habitats'!$B$3:$B$135,MATCH(R91,'G-1 All Habitats'!$A$3:$A$135,0)),"")</f>
        <v/>
      </c>
      <c r="T91" s="283" t="str">
        <f t="shared" si="14"/>
        <v/>
      </c>
      <c r="U91" s="276" t="str">
        <f t="shared" si="15"/>
        <v/>
      </c>
      <c r="V91" s="298" t="str">
        <f t="shared" si="11"/>
        <v/>
      </c>
      <c r="W91" s="295" t="str">
        <f>IF(S91="","",VLOOKUP(S91,'G-1 All Habitats'!$B$2:$M$135,10,FALSE))</f>
        <v/>
      </c>
      <c r="X91" s="295" t="str">
        <f>IFERROR(VLOOKUP(W91,'G-1 All Habitats'!$V$3:$W$7,2,FALSE),"")</f>
        <v/>
      </c>
      <c r="Y91" s="138"/>
      <c r="Z91" s="299" t="str">
        <f>IFERROR(INDEX('G-8 Condition Look up'!$A$3:$H$135,MATCH(S91,'G-8 Condition Look up'!$A$3:$A$135,0),MATCH(Y91,'G-8 Condition Look up'!$A$3:$H$3,0)),"")</f>
        <v/>
      </c>
      <c r="AA91" s="101"/>
      <c r="AB91" s="314" t="str">
        <f>IF(AA91="","",IF(VLOOKUP(AA91,'G-3 Multipliers'!$L$3:$N$6,2,FALSE)=0,"Spatial Data Missing ⚠",VLOOKUP(AA91,'G-3 Multipliers'!$L$3:$N$6,2,FALSE)))</f>
        <v/>
      </c>
      <c r="AC91" s="299" t="str">
        <f>IF(AA91="","",IF(VLOOKUP(AA91,'G-3 Multipliers'!$L$3:$N$6,3,FALSE)=0,"Spatial Data Missing ⚠",VLOOKUP(AA91,'G-3 Multipliers'!$L$3:$N$6,3,FALSE)))</f>
        <v/>
      </c>
      <c r="AD91" s="311" t="str">
        <f t="shared" si="12"/>
        <v/>
      </c>
      <c r="AE91" s="138"/>
      <c r="AF91" s="138"/>
      <c r="AG91" s="295" t="str">
        <f t="shared" si="16"/>
        <v/>
      </c>
      <c r="AH91" s="296" t="str">
        <f t="shared" si="17"/>
        <v/>
      </c>
      <c r="AI91" s="300" t="str">
        <f>IF(AH91="Check Data ⚠","Check Data ⚠",IFERROR(VLOOKUP(AH91,'G-4 Temporal multipliers'!$A$4:$C$36,3,FALSE),""))</f>
        <v/>
      </c>
      <c r="AJ91" s="311" t="str">
        <f>IF(S91="","",VLOOKUP(S91,'G-3 Multipliers'!$A$2:$E$134,4,FALSE))</f>
        <v/>
      </c>
      <c r="AK91" s="295" t="str">
        <f t="shared" si="18"/>
        <v/>
      </c>
      <c r="AL91" s="295" t="str">
        <f t="shared" si="19"/>
        <v/>
      </c>
      <c r="AM91" s="299" t="str">
        <f>IFERROR(IF(F91="","",IF(AH91="Check Data ⚠","Check Data ⚠",VLOOKUP(AL91,'G-3 Multipliers'!$P$2:$Q$6,2,FALSE))),"")</f>
        <v/>
      </c>
      <c r="AN91" s="712" t="str">
        <f>IF(E91="","",IF(ISNA(VLOOKUP($E91,'D-1 Off-Site Habitat Baseline'!$D$1:$Z$258,15,FALSE)),"",(VLOOKUP($E91,'D-1 Off-Site Habitat Baseline'!$D$1:$Z$258,15,FALSE))))</f>
        <v/>
      </c>
      <c r="AO91" s="329" t="str">
        <f>IF(AN91="","",IF(VLOOKUP(AN91,'G-3 Multipliers'!$S$3:$T$10,2,FALSE)=0,"Spatial Data Missing ⚠",VLOOKUP(AN91,'G-3 Multipliers'!$S$3:$T$10,2,FALSE)))</f>
        <v/>
      </c>
      <c r="AP91" s="289" t="str">
        <f t="shared" si="20"/>
        <v/>
      </c>
      <c r="AQ91" s="289" t="str">
        <f t="shared" si="21"/>
        <v/>
      </c>
      <c r="AR91" s="105"/>
      <c r="AS91" s="138"/>
      <c r="AT91" s="104"/>
      <c r="AU91" s="104"/>
      <c r="AY91" s="30" t="str">
        <f>IF(E91="","",IF(ISNA(VLOOKUP($E91,'D-1 Off-Site Habitat Baseline'!$D$1:$AV$258,4,FALSE)),"",(VLOOKUP($E91,'D-1 Off-Site Habitat Baseline'!$D$1:$AV$258,4,FALSE))))</f>
        <v/>
      </c>
    </row>
    <row r="92" spans="1:51" ht="14">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319" t="str">
        <f>'D-1 Off-Site Habitat Baseline'!AP91</f>
        <v/>
      </c>
      <c r="F92" s="283" t="str">
        <f>IF(E92="","",IF(ISNA(VLOOKUP($E92,'D-1 Off-Site Habitat Baseline'!$D$1:$ZZ$258,45,FALSE)),"",(VLOOKUP($E92,'D-1 Off-Site Habitat Baseline'!$D$1:$ZZ$258,45,FALSE))))</f>
        <v/>
      </c>
      <c r="G92" s="295" t="str">
        <f>IF(E92="","",IF(ISNA(VLOOKUP($E92,'D-1 Off-Site Habitat Baseline'!$D$1:$O$258,5,FALSE)),"",(VLOOKUP($E92,'D-1 Off-Site Habitat Baseline'!$D$1:$O$258,5,FALSE))))</f>
        <v/>
      </c>
      <c r="H92" s="295" t="str">
        <f>IF(E92="","",IF(ISNA(VLOOKUP($E92,'D-1 Off-Site Habitat Baseline'!$D$1:$O$258,6,FALSE)),"",(VLOOKUP($E92,'D-1 Off-Site Habitat Baseline'!$D$1:$O$258,6,FALSE))))</f>
        <v/>
      </c>
      <c r="I92" s="295" t="str">
        <f>IF(E92="","",IF(ISNA(VLOOKUP($E92,'D-1 Off-Site Habitat Baseline'!$D$1:$O$258,7,FALSE)),"",(VLOOKUP($E92,'D-1 Off-Site Habitat Baseline'!$D$1:$O$258,7,FALSE))))</f>
        <v/>
      </c>
      <c r="J92" s="295" t="str">
        <f>IF(E92="","",IF(ISNA(VLOOKUP($E92,'D-1 Off-Site Habitat Baseline'!$D$1:$O$258,8,FALSE)),"",(VLOOKUP($E92,'D-1 Off-Site Habitat Baseline'!$D$1:$O$258,8,FALSE))))</f>
        <v/>
      </c>
      <c r="K92" s="295" t="str">
        <f>IF(E92="","",IF(ISNA(VLOOKUP($E92,'D-1 Off-Site Habitat Baseline'!$D$1:$O$258,9,FALSE)),"",(VLOOKUP($E92,'D-1 Off-Site Habitat Baseline'!$D$1:$O$258,9,FALSE))))</f>
        <v/>
      </c>
      <c r="L92" s="295" t="str">
        <f>IF(E92="","",IF(ISNA(VLOOKUP($E92,'D-1 Off-Site Habitat Baseline'!$D$1:$O$258,11,FALSE)),"",(VLOOKUP($E92,'D-1 Off-Site Habitat Baseline'!$D$1:$O$258,11,FALSE))))</f>
        <v/>
      </c>
      <c r="M92" s="295" t="str">
        <f>IF(E92="","",IF(ISNA(VLOOKUP($E92,'D-1 Off-Site Habitat Baseline'!$D$1:$O$258,12,FALSE)),"",(VLOOKUP($E92,'D-1 Off-Site Habitat Baseline'!$D$1:$O$258,12,FALSE))))</f>
        <v/>
      </c>
      <c r="N92" s="295" t="str">
        <f>IF(E92="","",IF(ISNA(VLOOKUP($E92,'D-1 Off-Site Habitat Baseline'!$D$1:$AA$258,17,FALSE)),"",(VLOOKUP($E92,'D-1 Off-Site Habitat Baseline'!$D$1:$AA$258,17,FALSE))))</f>
        <v/>
      </c>
      <c r="O92" s="299" t="str">
        <f>IF(E92="","",IF(ISNA(VLOOKUP($E92,'D-1 Off-Site Habitat Baseline'!$D$1:$AA$258,13,FALSE)),"",(VLOOKUP($E92,'D-1 Off-Site Habitat Baseline'!$D$1:$AA$258,13,FALSE))))</f>
        <v/>
      </c>
      <c r="P92" s="148" t="str">
        <f>IFERROR(INDEX('G-1 All Habitats'!$AG$49:$AG$63,MATCH(Q92,'G-1 All Habitats'!$AF$27:$AF$41,0)),"")</f>
        <v/>
      </c>
      <c r="Q92" s="149" t="str">
        <f t="shared" si="13"/>
        <v/>
      </c>
      <c r="R92" s="150"/>
      <c r="S92" s="151" t="str">
        <f>IFERROR(INDEX('G-1 All Habitats'!$B$3:$B$135,MATCH(R92,'G-1 All Habitats'!$A$3:$A$135,0)),"")</f>
        <v/>
      </c>
      <c r="T92" s="283" t="str">
        <f t="shared" si="14"/>
        <v/>
      </c>
      <c r="U92" s="276" t="str">
        <f t="shared" si="15"/>
        <v/>
      </c>
      <c r="V92" s="298" t="str">
        <f t="shared" si="11"/>
        <v/>
      </c>
      <c r="W92" s="295" t="str">
        <f>IF(S92="","",VLOOKUP(S92,'G-1 All Habitats'!$B$2:$M$135,10,FALSE))</f>
        <v/>
      </c>
      <c r="X92" s="295" t="str">
        <f>IFERROR(VLOOKUP(W92,'G-1 All Habitats'!$V$3:$W$7,2,FALSE),"")</f>
        <v/>
      </c>
      <c r="Y92" s="138"/>
      <c r="Z92" s="299" t="str">
        <f>IFERROR(INDEX('G-8 Condition Look up'!$A$3:$H$135,MATCH(S92,'G-8 Condition Look up'!$A$3:$A$135,0),MATCH(Y92,'G-8 Condition Look up'!$A$3:$H$3,0)),"")</f>
        <v/>
      </c>
      <c r="AA92" s="101"/>
      <c r="AB92" s="314" t="str">
        <f>IF(AA92="","",IF(VLOOKUP(AA92,'G-3 Multipliers'!$L$3:$N$6,2,FALSE)=0,"Spatial Data Missing ⚠",VLOOKUP(AA92,'G-3 Multipliers'!$L$3:$N$6,2,FALSE)))</f>
        <v/>
      </c>
      <c r="AC92" s="299" t="str">
        <f>IF(AA92="","",IF(VLOOKUP(AA92,'G-3 Multipliers'!$L$3:$N$6,3,FALSE)=0,"Spatial Data Missing ⚠",VLOOKUP(AA92,'G-3 Multipliers'!$L$3:$N$6,3,FALSE)))</f>
        <v/>
      </c>
      <c r="AD92" s="311" t="str">
        <f t="shared" si="12"/>
        <v/>
      </c>
      <c r="AE92" s="138"/>
      <c r="AF92" s="138"/>
      <c r="AG92" s="295" t="str">
        <f t="shared" si="16"/>
        <v/>
      </c>
      <c r="AH92" s="296" t="str">
        <f t="shared" si="17"/>
        <v/>
      </c>
      <c r="AI92" s="300" t="str">
        <f>IF(AH92="Check Data ⚠","Check Data ⚠",IFERROR(VLOOKUP(AH92,'G-4 Temporal multipliers'!$A$4:$C$36,3,FALSE),""))</f>
        <v/>
      </c>
      <c r="AJ92" s="311" t="str">
        <f>IF(S92="","",VLOOKUP(S92,'G-3 Multipliers'!$A$2:$E$134,4,FALSE))</f>
        <v/>
      </c>
      <c r="AK92" s="295" t="str">
        <f t="shared" si="18"/>
        <v/>
      </c>
      <c r="AL92" s="295" t="str">
        <f t="shared" si="19"/>
        <v/>
      </c>
      <c r="AM92" s="299" t="str">
        <f>IFERROR(IF(F92="","",IF(AH92="Check Data ⚠","Check Data ⚠",VLOOKUP(AL92,'G-3 Multipliers'!$P$2:$Q$6,2,FALSE))),"")</f>
        <v/>
      </c>
      <c r="AN92" s="712" t="str">
        <f>IF(E92="","",IF(ISNA(VLOOKUP($E92,'D-1 Off-Site Habitat Baseline'!$D$1:$Z$258,15,FALSE)),"",(VLOOKUP($E92,'D-1 Off-Site Habitat Baseline'!$D$1:$Z$258,15,FALSE))))</f>
        <v/>
      </c>
      <c r="AO92" s="329" t="str">
        <f>IF(AN92="","",IF(VLOOKUP(AN92,'G-3 Multipliers'!$S$3:$T$10,2,FALSE)=0,"Spatial Data Missing ⚠",VLOOKUP(AN92,'G-3 Multipliers'!$S$3:$T$10,2,FALSE)))</f>
        <v/>
      </c>
      <c r="AP92" s="289" t="str">
        <f t="shared" si="20"/>
        <v/>
      </c>
      <c r="AQ92" s="289" t="str">
        <f t="shared" si="21"/>
        <v/>
      </c>
      <c r="AR92" s="105"/>
      <c r="AS92" s="138"/>
      <c r="AT92" s="104"/>
      <c r="AU92" s="104"/>
      <c r="AY92" s="30" t="str">
        <f>IF(E92="","",IF(ISNA(VLOOKUP($E92,'D-1 Off-Site Habitat Baseline'!$D$1:$AV$258,4,FALSE)),"",(VLOOKUP($E92,'D-1 Off-Site Habitat Baseline'!$D$1:$AV$258,4,FALSE))))</f>
        <v/>
      </c>
    </row>
    <row r="93" spans="1:51" ht="14">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319" t="str">
        <f>'D-1 Off-Site Habitat Baseline'!AP92</f>
        <v/>
      </c>
      <c r="F93" s="283" t="str">
        <f>IF(E93="","",IF(ISNA(VLOOKUP($E93,'D-1 Off-Site Habitat Baseline'!$D$1:$ZZ$258,45,FALSE)),"",(VLOOKUP($E93,'D-1 Off-Site Habitat Baseline'!$D$1:$ZZ$258,45,FALSE))))</f>
        <v/>
      </c>
      <c r="G93" s="295" t="str">
        <f>IF(E93="","",IF(ISNA(VLOOKUP($E93,'D-1 Off-Site Habitat Baseline'!$D$1:$O$258,5,FALSE)),"",(VLOOKUP($E93,'D-1 Off-Site Habitat Baseline'!$D$1:$O$258,5,FALSE))))</f>
        <v/>
      </c>
      <c r="H93" s="295" t="str">
        <f>IF(E93="","",IF(ISNA(VLOOKUP($E93,'D-1 Off-Site Habitat Baseline'!$D$1:$O$258,6,FALSE)),"",(VLOOKUP($E93,'D-1 Off-Site Habitat Baseline'!$D$1:$O$258,6,FALSE))))</f>
        <v/>
      </c>
      <c r="I93" s="295" t="str">
        <f>IF(E93="","",IF(ISNA(VLOOKUP($E93,'D-1 Off-Site Habitat Baseline'!$D$1:$O$258,7,FALSE)),"",(VLOOKUP($E93,'D-1 Off-Site Habitat Baseline'!$D$1:$O$258,7,FALSE))))</f>
        <v/>
      </c>
      <c r="J93" s="295" t="str">
        <f>IF(E93="","",IF(ISNA(VLOOKUP($E93,'D-1 Off-Site Habitat Baseline'!$D$1:$O$258,8,FALSE)),"",(VLOOKUP($E93,'D-1 Off-Site Habitat Baseline'!$D$1:$O$258,8,FALSE))))</f>
        <v/>
      </c>
      <c r="K93" s="295" t="str">
        <f>IF(E93="","",IF(ISNA(VLOOKUP($E93,'D-1 Off-Site Habitat Baseline'!$D$1:$O$258,9,FALSE)),"",(VLOOKUP($E93,'D-1 Off-Site Habitat Baseline'!$D$1:$O$258,9,FALSE))))</f>
        <v/>
      </c>
      <c r="L93" s="295" t="str">
        <f>IF(E93="","",IF(ISNA(VLOOKUP($E93,'D-1 Off-Site Habitat Baseline'!$D$1:$O$258,11,FALSE)),"",(VLOOKUP($E93,'D-1 Off-Site Habitat Baseline'!$D$1:$O$258,11,FALSE))))</f>
        <v/>
      </c>
      <c r="M93" s="295" t="str">
        <f>IF(E93="","",IF(ISNA(VLOOKUP($E93,'D-1 Off-Site Habitat Baseline'!$D$1:$O$258,12,FALSE)),"",(VLOOKUP($E93,'D-1 Off-Site Habitat Baseline'!$D$1:$O$258,12,FALSE))))</f>
        <v/>
      </c>
      <c r="N93" s="295" t="str">
        <f>IF(E93="","",IF(ISNA(VLOOKUP($E93,'D-1 Off-Site Habitat Baseline'!$D$1:$AA$258,17,FALSE)),"",(VLOOKUP($E93,'D-1 Off-Site Habitat Baseline'!$D$1:$AA$258,17,FALSE))))</f>
        <v/>
      </c>
      <c r="O93" s="299" t="str">
        <f>IF(E93="","",IF(ISNA(VLOOKUP($E93,'D-1 Off-Site Habitat Baseline'!$D$1:$AA$258,13,FALSE)),"",(VLOOKUP($E93,'D-1 Off-Site Habitat Baseline'!$D$1:$AA$258,13,FALSE))))</f>
        <v/>
      </c>
      <c r="P93" s="148" t="str">
        <f>IFERROR(INDEX('G-1 All Habitats'!$AG$49:$AG$63,MATCH(Q93,'G-1 All Habitats'!$AF$27:$AF$41,0)),"")</f>
        <v/>
      </c>
      <c r="Q93" s="149" t="str">
        <f t="shared" si="13"/>
        <v/>
      </c>
      <c r="R93" s="150"/>
      <c r="S93" s="151" t="str">
        <f>IFERROR(INDEX('G-1 All Habitats'!$B$3:$B$135,MATCH(R93,'G-1 All Habitats'!$A$3:$A$135,0)),"")</f>
        <v/>
      </c>
      <c r="T93" s="283" t="str">
        <f t="shared" si="14"/>
        <v/>
      </c>
      <c r="U93" s="276" t="str">
        <f t="shared" si="15"/>
        <v/>
      </c>
      <c r="V93" s="298" t="str">
        <f t="shared" si="11"/>
        <v/>
      </c>
      <c r="W93" s="295" t="str">
        <f>IF(S93="","",VLOOKUP(S93,'G-1 All Habitats'!$B$2:$M$135,10,FALSE))</f>
        <v/>
      </c>
      <c r="X93" s="295" t="str">
        <f>IFERROR(VLOOKUP(W93,'G-1 All Habitats'!$V$3:$W$7,2,FALSE),"")</f>
        <v/>
      </c>
      <c r="Y93" s="138"/>
      <c r="Z93" s="299" t="str">
        <f>IFERROR(INDEX('G-8 Condition Look up'!$A$3:$H$135,MATCH(S93,'G-8 Condition Look up'!$A$3:$A$135,0),MATCH(Y93,'G-8 Condition Look up'!$A$3:$H$3,0)),"")</f>
        <v/>
      </c>
      <c r="AA93" s="101"/>
      <c r="AB93" s="314" t="str">
        <f>IF(AA93="","",IF(VLOOKUP(AA93,'G-3 Multipliers'!$L$3:$N$6,2,FALSE)=0,"Spatial Data Missing ⚠",VLOOKUP(AA93,'G-3 Multipliers'!$L$3:$N$6,2,FALSE)))</f>
        <v/>
      </c>
      <c r="AC93" s="299" t="str">
        <f>IF(AA93="","",IF(VLOOKUP(AA93,'G-3 Multipliers'!$L$3:$N$6,3,FALSE)=0,"Spatial Data Missing ⚠",VLOOKUP(AA93,'G-3 Multipliers'!$L$3:$N$6,3,FALSE)))</f>
        <v/>
      </c>
      <c r="AD93" s="311" t="str">
        <f t="shared" si="12"/>
        <v/>
      </c>
      <c r="AE93" s="138"/>
      <c r="AF93" s="138"/>
      <c r="AG93" s="295" t="str">
        <f t="shared" si="16"/>
        <v/>
      </c>
      <c r="AH93" s="296" t="str">
        <f t="shared" si="17"/>
        <v/>
      </c>
      <c r="AI93" s="300" t="str">
        <f>IF(AH93="Check Data ⚠","Check Data ⚠",IFERROR(VLOOKUP(AH93,'G-4 Temporal multipliers'!$A$4:$C$36,3,FALSE),""))</f>
        <v/>
      </c>
      <c r="AJ93" s="311" t="str">
        <f>IF(S93="","",VLOOKUP(S93,'G-3 Multipliers'!$A$2:$E$134,4,FALSE))</f>
        <v/>
      </c>
      <c r="AK93" s="295" t="str">
        <f t="shared" si="18"/>
        <v/>
      </c>
      <c r="AL93" s="295" t="str">
        <f t="shared" si="19"/>
        <v/>
      </c>
      <c r="AM93" s="299" t="str">
        <f>IFERROR(IF(F93="","",IF(AH93="Check Data ⚠","Check Data ⚠",VLOOKUP(AL93,'G-3 Multipliers'!$P$2:$Q$6,2,FALSE))),"")</f>
        <v/>
      </c>
      <c r="AN93" s="712" t="str">
        <f>IF(E93="","",IF(ISNA(VLOOKUP($E93,'D-1 Off-Site Habitat Baseline'!$D$1:$Z$258,15,FALSE)),"",(VLOOKUP($E93,'D-1 Off-Site Habitat Baseline'!$D$1:$Z$258,15,FALSE))))</f>
        <v/>
      </c>
      <c r="AO93" s="329" t="str">
        <f>IF(AN93="","",IF(VLOOKUP(AN93,'G-3 Multipliers'!$S$3:$T$10,2,FALSE)=0,"Spatial Data Missing ⚠",VLOOKUP(AN93,'G-3 Multipliers'!$S$3:$T$10,2,FALSE)))</f>
        <v/>
      </c>
      <c r="AP93" s="289" t="str">
        <f t="shared" si="20"/>
        <v/>
      </c>
      <c r="AQ93" s="289" t="str">
        <f t="shared" si="21"/>
        <v/>
      </c>
      <c r="AR93" s="105"/>
      <c r="AS93" s="138"/>
      <c r="AT93" s="104"/>
      <c r="AU93" s="104"/>
      <c r="AY93" s="30" t="str">
        <f>IF(E93="","",IF(ISNA(VLOOKUP($E93,'D-1 Off-Site Habitat Baseline'!$D$1:$AV$258,4,FALSE)),"",(VLOOKUP($E93,'D-1 Off-Site Habitat Baseline'!$D$1:$AV$258,4,FALSE))))</f>
        <v/>
      </c>
    </row>
    <row r="94" spans="1:51" ht="14">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319" t="str">
        <f>'D-1 Off-Site Habitat Baseline'!AP93</f>
        <v/>
      </c>
      <c r="F94" s="283" t="str">
        <f>IF(E94="","",IF(ISNA(VLOOKUP($E94,'D-1 Off-Site Habitat Baseline'!$D$1:$ZZ$258,45,FALSE)),"",(VLOOKUP($E94,'D-1 Off-Site Habitat Baseline'!$D$1:$ZZ$258,45,FALSE))))</f>
        <v/>
      </c>
      <c r="G94" s="295" t="str">
        <f>IF(E94="","",IF(ISNA(VLOOKUP($E94,'D-1 Off-Site Habitat Baseline'!$D$1:$O$258,5,FALSE)),"",(VLOOKUP($E94,'D-1 Off-Site Habitat Baseline'!$D$1:$O$258,5,FALSE))))</f>
        <v/>
      </c>
      <c r="H94" s="295" t="str">
        <f>IF(E94="","",IF(ISNA(VLOOKUP($E94,'D-1 Off-Site Habitat Baseline'!$D$1:$O$258,6,FALSE)),"",(VLOOKUP($E94,'D-1 Off-Site Habitat Baseline'!$D$1:$O$258,6,FALSE))))</f>
        <v/>
      </c>
      <c r="I94" s="295" t="str">
        <f>IF(E94="","",IF(ISNA(VLOOKUP($E94,'D-1 Off-Site Habitat Baseline'!$D$1:$O$258,7,FALSE)),"",(VLOOKUP($E94,'D-1 Off-Site Habitat Baseline'!$D$1:$O$258,7,FALSE))))</f>
        <v/>
      </c>
      <c r="J94" s="295" t="str">
        <f>IF(E94="","",IF(ISNA(VLOOKUP($E94,'D-1 Off-Site Habitat Baseline'!$D$1:$O$258,8,FALSE)),"",(VLOOKUP($E94,'D-1 Off-Site Habitat Baseline'!$D$1:$O$258,8,FALSE))))</f>
        <v/>
      </c>
      <c r="K94" s="295" t="str">
        <f>IF(E94="","",IF(ISNA(VLOOKUP($E94,'D-1 Off-Site Habitat Baseline'!$D$1:$O$258,9,FALSE)),"",(VLOOKUP($E94,'D-1 Off-Site Habitat Baseline'!$D$1:$O$258,9,FALSE))))</f>
        <v/>
      </c>
      <c r="L94" s="295" t="str">
        <f>IF(E94="","",IF(ISNA(VLOOKUP($E94,'D-1 Off-Site Habitat Baseline'!$D$1:$O$258,11,FALSE)),"",(VLOOKUP($E94,'D-1 Off-Site Habitat Baseline'!$D$1:$O$258,11,FALSE))))</f>
        <v/>
      </c>
      <c r="M94" s="295" t="str">
        <f>IF(E94="","",IF(ISNA(VLOOKUP($E94,'D-1 Off-Site Habitat Baseline'!$D$1:$O$258,12,FALSE)),"",(VLOOKUP($E94,'D-1 Off-Site Habitat Baseline'!$D$1:$O$258,12,FALSE))))</f>
        <v/>
      </c>
      <c r="N94" s="295" t="str">
        <f>IF(E94="","",IF(ISNA(VLOOKUP($E94,'D-1 Off-Site Habitat Baseline'!$D$1:$AA$258,17,FALSE)),"",(VLOOKUP($E94,'D-1 Off-Site Habitat Baseline'!$D$1:$AA$258,17,FALSE))))</f>
        <v/>
      </c>
      <c r="O94" s="299" t="str">
        <f>IF(E94="","",IF(ISNA(VLOOKUP($E94,'D-1 Off-Site Habitat Baseline'!$D$1:$AA$258,13,FALSE)),"",(VLOOKUP($E94,'D-1 Off-Site Habitat Baseline'!$D$1:$AA$258,13,FALSE))))</f>
        <v/>
      </c>
      <c r="P94" s="148" t="str">
        <f>IFERROR(INDEX('G-1 All Habitats'!$AG$49:$AG$63,MATCH(Q94,'G-1 All Habitats'!$AF$27:$AF$41,0)),"")</f>
        <v/>
      </c>
      <c r="Q94" s="149" t="str">
        <f t="shared" si="13"/>
        <v/>
      </c>
      <c r="R94" s="150"/>
      <c r="S94" s="151" t="str">
        <f>IFERROR(INDEX('G-1 All Habitats'!$B$3:$B$135,MATCH(R94,'G-1 All Habitats'!$A$3:$A$135,0)),"")</f>
        <v/>
      </c>
      <c r="T94" s="283" t="str">
        <f t="shared" si="14"/>
        <v/>
      </c>
      <c r="U94" s="276" t="str">
        <f t="shared" si="15"/>
        <v/>
      </c>
      <c r="V94" s="298" t="str">
        <f t="shared" si="11"/>
        <v/>
      </c>
      <c r="W94" s="295" t="str">
        <f>IF(S94="","",VLOOKUP(S94,'G-1 All Habitats'!$B$2:$M$135,10,FALSE))</f>
        <v/>
      </c>
      <c r="X94" s="295" t="str">
        <f>IFERROR(VLOOKUP(W94,'G-1 All Habitats'!$V$3:$W$7,2,FALSE),"")</f>
        <v/>
      </c>
      <c r="Y94" s="138"/>
      <c r="Z94" s="299" t="str">
        <f>IFERROR(INDEX('G-8 Condition Look up'!$A$3:$H$135,MATCH(S94,'G-8 Condition Look up'!$A$3:$A$135,0),MATCH(Y94,'G-8 Condition Look up'!$A$3:$H$3,0)),"")</f>
        <v/>
      </c>
      <c r="AA94" s="101"/>
      <c r="AB94" s="314" t="str">
        <f>IF(AA94="","",IF(VLOOKUP(AA94,'G-3 Multipliers'!$L$3:$N$6,2,FALSE)=0,"Spatial Data Missing ⚠",VLOOKUP(AA94,'G-3 Multipliers'!$L$3:$N$6,2,FALSE)))</f>
        <v/>
      </c>
      <c r="AC94" s="299" t="str">
        <f>IF(AA94="","",IF(VLOOKUP(AA94,'G-3 Multipliers'!$L$3:$N$6,3,FALSE)=0,"Spatial Data Missing ⚠",VLOOKUP(AA94,'G-3 Multipliers'!$L$3:$N$6,3,FALSE)))</f>
        <v/>
      </c>
      <c r="AD94" s="311" t="str">
        <f t="shared" si="12"/>
        <v/>
      </c>
      <c r="AE94" s="138"/>
      <c r="AF94" s="138"/>
      <c r="AG94" s="295" t="str">
        <f t="shared" si="16"/>
        <v/>
      </c>
      <c r="AH94" s="296" t="str">
        <f t="shared" si="17"/>
        <v/>
      </c>
      <c r="AI94" s="300" t="str">
        <f>IF(AH94="Check Data ⚠","Check Data ⚠",IFERROR(VLOOKUP(AH94,'G-4 Temporal multipliers'!$A$4:$C$36,3,FALSE),""))</f>
        <v/>
      </c>
      <c r="AJ94" s="311" t="str">
        <f>IF(S94="","",VLOOKUP(S94,'G-3 Multipliers'!$A$2:$E$134,4,FALSE))</f>
        <v/>
      </c>
      <c r="AK94" s="295" t="str">
        <f t="shared" si="18"/>
        <v/>
      </c>
      <c r="AL94" s="295" t="str">
        <f t="shared" si="19"/>
        <v/>
      </c>
      <c r="AM94" s="299" t="str">
        <f>IFERROR(IF(F94="","",IF(AH94="Check Data ⚠","Check Data ⚠",VLOOKUP(AL94,'G-3 Multipliers'!$P$2:$Q$6,2,FALSE))),"")</f>
        <v/>
      </c>
      <c r="AN94" s="712" t="str">
        <f>IF(E94="","",IF(ISNA(VLOOKUP($E94,'D-1 Off-Site Habitat Baseline'!$D$1:$Z$258,15,FALSE)),"",(VLOOKUP($E94,'D-1 Off-Site Habitat Baseline'!$D$1:$Z$258,15,FALSE))))</f>
        <v/>
      </c>
      <c r="AO94" s="329" t="str">
        <f>IF(AN94="","",IF(VLOOKUP(AN94,'G-3 Multipliers'!$S$3:$T$10,2,FALSE)=0,"Spatial Data Missing ⚠",VLOOKUP(AN94,'G-3 Multipliers'!$S$3:$T$10,2,FALSE)))</f>
        <v/>
      </c>
      <c r="AP94" s="289" t="str">
        <f t="shared" si="20"/>
        <v/>
      </c>
      <c r="AQ94" s="289" t="str">
        <f t="shared" si="21"/>
        <v/>
      </c>
      <c r="AR94" s="105"/>
      <c r="AS94" s="138"/>
      <c r="AT94" s="104"/>
      <c r="AU94" s="104"/>
      <c r="AY94" s="30" t="str">
        <f>IF(E94="","",IF(ISNA(VLOOKUP($E94,'D-1 Off-Site Habitat Baseline'!$D$1:$AV$258,4,FALSE)),"",(VLOOKUP($E94,'D-1 Off-Site Habitat Baseline'!$D$1:$AV$258,4,FALSE))))</f>
        <v/>
      </c>
    </row>
    <row r="95" spans="1:51" ht="14">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319" t="str">
        <f>'D-1 Off-Site Habitat Baseline'!AP94</f>
        <v/>
      </c>
      <c r="F95" s="283" t="str">
        <f>IF(E95="","",IF(ISNA(VLOOKUP($E95,'D-1 Off-Site Habitat Baseline'!$D$1:$ZZ$258,45,FALSE)),"",(VLOOKUP($E95,'D-1 Off-Site Habitat Baseline'!$D$1:$ZZ$258,45,FALSE))))</f>
        <v/>
      </c>
      <c r="G95" s="295" t="str">
        <f>IF(E95="","",IF(ISNA(VLOOKUP($E95,'D-1 Off-Site Habitat Baseline'!$D$1:$O$258,5,FALSE)),"",(VLOOKUP($E95,'D-1 Off-Site Habitat Baseline'!$D$1:$O$258,5,FALSE))))</f>
        <v/>
      </c>
      <c r="H95" s="295" t="str">
        <f>IF(E95="","",IF(ISNA(VLOOKUP($E95,'D-1 Off-Site Habitat Baseline'!$D$1:$O$258,6,FALSE)),"",(VLOOKUP($E95,'D-1 Off-Site Habitat Baseline'!$D$1:$O$258,6,FALSE))))</f>
        <v/>
      </c>
      <c r="I95" s="295" t="str">
        <f>IF(E95="","",IF(ISNA(VLOOKUP($E95,'D-1 Off-Site Habitat Baseline'!$D$1:$O$258,7,FALSE)),"",(VLOOKUP($E95,'D-1 Off-Site Habitat Baseline'!$D$1:$O$258,7,FALSE))))</f>
        <v/>
      </c>
      <c r="J95" s="295" t="str">
        <f>IF(E95="","",IF(ISNA(VLOOKUP($E95,'D-1 Off-Site Habitat Baseline'!$D$1:$O$258,8,FALSE)),"",(VLOOKUP($E95,'D-1 Off-Site Habitat Baseline'!$D$1:$O$258,8,FALSE))))</f>
        <v/>
      </c>
      <c r="K95" s="295" t="str">
        <f>IF(E95="","",IF(ISNA(VLOOKUP($E95,'D-1 Off-Site Habitat Baseline'!$D$1:$O$258,9,FALSE)),"",(VLOOKUP($E95,'D-1 Off-Site Habitat Baseline'!$D$1:$O$258,9,FALSE))))</f>
        <v/>
      </c>
      <c r="L95" s="295" t="str">
        <f>IF(E95="","",IF(ISNA(VLOOKUP($E95,'D-1 Off-Site Habitat Baseline'!$D$1:$O$258,11,FALSE)),"",(VLOOKUP($E95,'D-1 Off-Site Habitat Baseline'!$D$1:$O$258,11,FALSE))))</f>
        <v/>
      </c>
      <c r="M95" s="295" t="str">
        <f>IF(E95="","",IF(ISNA(VLOOKUP($E95,'D-1 Off-Site Habitat Baseline'!$D$1:$O$258,12,FALSE)),"",(VLOOKUP($E95,'D-1 Off-Site Habitat Baseline'!$D$1:$O$258,12,FALSE))))</f>
        <v/>
      </c>
      <c r="N95" s="295" t="str">
        <f>IF(E95="","",IF(ISNA(VLOOKUP($E95,'D-1 Off-Site Habitat Baseline'!$D$1:$AA$258,17,FALSE)),"",(VLOOKUP($E95,'D-1 Off-Site Habitat Baseline'!$D$1:$AA$258,17,FALSE))))</f>
        <v/>
      </c>
      <c r="O95" s="299" t="str">
        <f>IF(E95="","",IF(ISNA(VLOOKUP($E95,'D-1 Off-Site Habitat Baseline'!$D$1:$AA$258,13,FALSE)),"",(VLOOKUP($E95,'D-1 Off-Site Habitat Baseline'!$D$1:$AA$258,13,FALSE))))</f>
        <v/>
      </c>
      <c r="P95" s="148" t="str">
        <f>IFERROR(INDEX('G-1 All Habitats'!$AG$49:$AG$63,MATCH(Q95,'G-1 All Habitats'!$AF$27:$AF$41,0)),"")</f>
        <v/>
      </c>
      <c r="Q95" s="149" t="str">
        <f t="shared" si="13"/>
        <v/>
      </c>
      <c r="R95" s="150"/>
      <c r="S95" s="151" t="str">
        <f>IFERROR(INDEX('G-1 All Habitats'!$B$3:$B$135,MATCH(R95,'G-1 All Habitats'!$A$3:$A$135,0)),"")</f>
        <v/>
      </c>
      <c r="T95" s="283" t="str">
        <f t="shared" si="14"/>
        <v/>
      </c>
      <c r="U95" s="276" t="str">
        <f t="shared" si="15"/>
        <v/>
      </c>
      <c r="V95" s="298" t="str">
        <f t="shared" si="11"/>
        <v/>
      </c>
      <c r="W95" s="295" t="str">
        <f>IF(S95="","",VLOOKUP(S95,'G-1 All Habitats'!$B$2:$M$135,10,FALSE))</f>
        <v/>
      </c>
      <c r="X95" s="295" t="str">
        <f>IFERROR(VLOOKUP(W95,'G-1 All Habitats'!$V$3:$W$7,2,FALSE),"")</f>
        <v/>
      </c>
      <c r="Y95" s="138"/>
      <c r="Z95" s="299" t="str">
        <f>IFERROR(INDEX('G-8 Condition Look up'!$A$3:$H$135,MATCH(S95,'G-8 Condition Look up'!$A$3:$A$135,0),MATCH(Y95,'G-8 Condition Look up'!$A$3:$H$3,0)),"")</f>
        <v/>
      </c>
      <c r="AA95" s="101"/>
      <c r="AB95" s="314" t="str">
        <f>IF(AA95="","",IF(VLOOKUP(AA95,'G-3 Multipliers'!$L$3:$N$6,2,FALSE)=0,"Spatial Data Missing ⚠",VLOOKUP(AA95,'G-3 Multipliers'!$L$3:$N$6,2,FALSE)))</f>
        <v/>
      </c>
      <c r="AC95" s="299" t="str">
        <f>IF(AA95="","",IF(VLOOKUP(AA95,'G-3 Multipliers'!$L$3:$N$6,3,FALSE)=0,"Spatial Data Missing ⚠",VLOOKUP(AA95,'G-3 Multipliers'!$L$3:$N$6,3,FALSE)))</f>
        <v/>
      </c>
      <c r="AD95" s="311" t="str">
        <f t="shared" si="12"/>
        <v/>
      </c>
      <c r="AE95" s="138"/>
      <c r="AF95" s="138"/>
      <c r="AG95" s="295" t="str">
        <f t="shared" si="16"/>
        <v/>
      </c>
      <c r="AH95" s="296" t="str">
        <f t="shared" si="17"/>
        <v/>
      </c>
      <c r="AI95" s="300" t="str">
        <f>IF(AH95="Check Data ⚠","Check Data ⚠",IFERROR(VLOOKUP(AH95,'G-4 Temporal multipliers'!$A$4:$C$36,3,FALSE),""))</f>
        <v/>
      </c>
      <c r="AJ95" s="311" t="str">
        <f>IF(S95="","",VLOOKUP(S95,'G-3 Multipliers'!$A$2:$E$134,4,FALSE))</f>
        <v/>
      </c>
      <c r="AK95" s="295" t="str">
        <f t="shared" si="18"/>
        <v/>
      </c>
      <c r="AL95" s="295" t="str">
        <f t="shared" si="19"/>
        <v/>
      </c>
      <c r="AM95" s="299" t="str">
        <f>IFERROR(IF(F95="","",IF(AH95="Check Data ⚠","Check Data ⚠",VLOOKUP(AL95,'G-3 Multipliers'!$P$2:$Q$6,2,FALSE))),"")</f>
        <v/>
      </c>
      <c r="AN95" s="712" t="str">
        <f>IF(E95="","",IF(ISNA(VLOOKUP($E95,'D-1 Off-Site Habitat Baseline'!$D$1:$Z$258,15,FALSE)),"",(VLOOKUP($E95,'D-1 Off-Site Habitat Baseline'!$D$1:$Z$258,15,FALSE))))</f>
        <v/>
      </c>
      <c r="AO95" s="329" t="str">
        <f>IF(AN95="","",IF(VLOOKUP(AN95,'G-3 Multipliers'!$S$3:$T$10,2,FALSE)=0,"Spatial Data Missing ⚠",VLOOKUP(AN95,'G-3 Multipliers'!$S$3:$T$10,2,FALSE)))</f>
        <v/>
      </c>
      <c r="AP95" s="289" t="str">
        <f t="shared" si="20"/>
        <v/>
      </c>
      <c r="AQ95" s="289" t="str">
        <f t="shared" si="21"/>
        <v/>
      </c>
      <c r="AR95" s="105"/>
      <c r="AS95" s="138"/>
      <c r="AT95" s="104"/>
      <c r="AU95" s="104"/>
      <c r="AY95" s="30" t="str">
        <f>IF(E95="","",IF(ISNA(VLOOKUP($E95,'D-1 Off-Site Habitat Baseline'!$D$1:$AV$258,4,FALSE)),"",(VLOOKUP($E95,'D-1 Off-Site Habitat Baseline'!$D$1:$AV$258,4,FALSE))))</f>
        <v/>
      </c>
    </row>
    <row r="96" spans="1:51" ht="14">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319" t="str">
        <f>'D-1 Off-Site Habitat Baseline'!AP95</f>
        <v/>
      </c>
      <c r="F96" s="283" t="str">
        <f>IF(E96="","",IF(ISNA(VLOOKUP($E96,'D-1 Off-Site Habitat Baseline'!$D$1:$ZZ$258,45,FALSE)),"",(VLOOKUP($E96,'D-1 Off-Site Habitat Baseline'!$D$1:$ZZ$258,45,FALSE))))</f>
        <v/>
      </c>
      <c r="G96" s="295" t="str">
        <f>IF(E96="","",IF(ISNA(VLOOKUP($E96,'D-1 Off-Site Habitat Baseline'!$D$1:$O$258,5,FALSE)),"",(VLOOKUP($E96,'D-1 Off-Site Habitat Baseline'!$D$1:$O$258,5,FALSE))))</f>
        <v/>
      </c>
      <c r="H96" s="295" t="str">
        <f>IF(E96="","",IF(ISNA(VLOOKUP($E96,'D-1 Off-Site Habitat Baseline'!$D$1:$O$258,6,FALSE)),"",(VLOOKUP($E96,'D-1 Off-Site Habitat Baseline'!$D$1:$O$258,6,FALSE))))</f>
        <v/>
      </c>
      <c r="I96" s="295" t="str">
        <f>IF(E96="","",IF(ISNA(VLOOKUP($E96,'D-1 Off-Site Habitat Baseline'!$D$1:$O$258,7,FALSE)),"",(VLOOKUP($E96,'D-1 Off-Site Habitat Baseline'!$D$1:$O$258,7,FALSE))))</f>
        <v/>
      </c>
      <c r="J96" s="295" t="str">
        <f>IF(E96="","",IF(ISNA(VLOOKUP($E96,'D-1 Off-Site Habitat Baseline'!$D$1:$O$258,8,FALSE)),"",(VLOOKUP($E96,'D-1 Off-Site Habitat Baseline'!$D$1:$O$258,8,FALSE))))</f>
        <v/>
      </c>
      <c r="K96" s="295" t="str">
        <f>IF(E96="","",IF(ISNA(VLOOKUP($E96,'D-1 Off-Site Habitat Baseline'!$D$1:$O$258,9,FALSE)),"",(VLOOKUP($E96,'D-1 Off-Site Habitat Baseline'!$D$1:$O$258,9,FALSE))))</f>
        <v/>
      </c>
      <c r="L96" s="295" t="str">
        <f>IF(E96="","",IF(ISNA(VLOOKUP($E96,'D-1 Off-Site Habitat Baseline'!$D$1:$O$258,11,FALSE)),"",(VLOOKUP($E96,'D-1 Off-Site Habitat Baseline'!$D$1:$O$258,11,FALSE))))</f>
        <v/>
      </c>
      <c r="M96" s="295" t="str">
        <f>IF(E96="","",IF(ISNA(VLOOKUP($E96,'D-1 Off-Site Habitat Baseline'!$D$1:$O$258,12,FALSE)),"",(VLOOKUP($E96,'D-1 Off-Site Habitat Baseline'!$D$1:$O$258,12,FALSE))))</f>
        <v/>
      </c>
      <c r="N96" s="295" t="str">
        <f>IF(E96="","",IF(ISNA(VLOOKUP($E96,'D-1 Off-Site Habitat Baseline'!$D$1:$AA$258,17,FALSE)),"",(VLOOKUP($E96,'D-1 Off-Site Habitat Baseline'!$D$1:$AA$258,17,FALSE))))</f>
        <v/>
      </c>
      <c r="O96" s="299" t="str">
        <f>IF(E96="","",IF(ISNA(VLOOKUP($E96,'D-1 Off-Site Habitat Baseline'!$D$1:$AA$258,13,FALSE)),"",(VLOOKUP($E96,'D-1 Off-Site Habitat Baseline'!$D$1:$AA$258,13,FALSE))))</f>
        <v/>
      </c>
      <c r="P96" s="148" t="str">
        <f>IFERROR(INDEX('G-1 All Habitats'!$AG$49:$AG$63,MATCH(Q96,'G-1 All Habitats'!$AF$27:$AF$41,0)),"")</f>
        <v/>
      </c>
      <c r="Q96" s="149" t="str">
        <f t="shared" si="13"/>
        <v/>
      </c>
      <c r="R96" s="150"/>
      <c r="S96" s="151" t="str">
        <f>IFERROR(INDEX('G-1 All Habitats'!$B$3:$B$135,MATCH(R96,'G-1 All Habitats'!$A$3:$A$135,0)),"")</f>
        <v/>
      </c>
      <c r="T96" s="283" t="str">
        <f t="shared" si="14"/>
        <v/>
      </c>
      <c r="U96" s="276" t="str">
        <f t="shared" si="15"/>
        <v/>
      </c>
      <c r="V96" s="298" t="str">
        <f t="shared" si="11"/>
        <v/>
      </c>
      <c r="W96" s="295" t="str">
        <f>IF(S96="","",VLOOKUP(S96,'G-1 All Habitats'!$B$2:$M$135,10,FALSE))</f>
        <v/>
      </c>
      <c r="X96" s="295" t="str">
        <f>IFERROR(VLOOKUP(W96,'G-1 All Habitats'!$V$3:$W$7,2,FALSE),"")</f>
        <v/>
      </c>
      <c r="Y96" s="138"/>
      <c r="Z96" s="299" t="str">
        <f>IFERROR(INDEX('G-8 Condition Look up'!$A$3:$H$135,MATCH(S96,'G-8 Condition Look up'!$A$3:$A$135,0),MATCH(Y96,'G-8 Condition Look up'!$A$3:$H$3,0)),"")</f>
        <v/>
      </c>
      <c r="AA96" s="101"/>
      <c r="AB96" s="314" t="str">
        <f>IF(AA96="","",IF(VLOOKUP(AA96,'G-3 Multipliers'!$L$3:$N$6,2,FALSE)=0,"Spatial Data Missing ⚠",VLOOKUP(AA96,'G-3 Multipliers'!$L$3:$N$6,2,FALSE)))</f>
        <v/>
      </c>
      <c r="AC96" s="299" t="str">
        <f>IF(AA96="","",IF(VLOOKUP(AA96,'G-3 Multipliers'!$L$3:$N$6,3,FALSE)=0,"Spatial Data Missing ⚠",VLOOKUP(AA96,'G-3 Multipliers'!$L$3:$N$6,3,FALSE)))</f>
        <v/>
      </c>
      <c r="AD96" s="311" t="str">
        <f t="shared" si="12"/>
        <v/>
      </c>
      <c r="AE96" s="138"/>
      <c r="AF96" s="138"/>
      <c r="AG96" s="295" t="str">
        <f t="shared" si="16"/>
        <v/>
      </c>
      <c r="AH96" s="296" t="str">
        <f t="shared" si="17"/>
        <v/>
      </c>
      <c r="AI96" s="300" t="str">
        <f>IF(AH96="Check Data ⚠","Check Data ⚠",IFERROR(VLOOKUP(AH96,'G-4 Temporal multipliers'!$A$4:$C$36,3,FALSE),""))</f>
        <v/>
      </c>
      <c r="AJ96" s="311" t="str">
        <f>IF(S96="","",VLOOKUP(S96,'G-3 Multipliers'!$A$2:$E$134,4,FALSE))</f>
        <v/>
      </c>
      <c r="AK96" s="295" t="str">
        <f t="shared" si="18"/>
        <v/>
      </c>
      <c r="AL96" s="295" t="str">
        <f t="shared" si="19"/>
        <v/>
      </c>
      <c r="AM96" s="299" t="str">
        <f>IFERROR(IF(F96="","",IF(AH96="Check Data ⚠","Check Data ⚠",VLOOKUP(AL96,'G-3 Multipliers'!$P$2:$Q$6,2,FALSE))),"")</f>
        <v/>
      </c>
      <c r="AN96" s="712" t="str">
        <f>IF(E96="","",IF(ISNA(VLOOKUP($E96,'D-1 Off-Site Habitat Baseline'!$D$1:$Z$258,15,FALSE)),"",(VLOOKUP($E96,'D-1 Off-Site Habitat Baseline'!$D$1:$Z$258,15,FALSE))))</f>
        <v/>
      </c>
      <c r="AO96" s="329" t="str">
        <f>IF(AN96="","",IF(VLOOKUP(AN96,'G-3 Multipliers'!$S$3:$T$10,2,FALSE)=0,"Spatial Data Missing ⚠",VLOOKUP(AN96,'G-3 Multipliers'!$S$3:$T$10,2,FALSE)))</f>
        <v/>
      </c>
      <c r="AP96" s="289" t="str">
        <f t="shared" si="20"/>
        <v/>
      </c>
      <c r="AQ96" s="289" t="str">
        <f t="shared" si="21"/>
        <v/>
      </c>
      <c r="AR96" s="105"/>
      <c r="AS96" s="138"/>
      <c r="AT96" s="104"/>
      <c r="AU96" s="104"/>
      <c r="AY96" s="30" t="str">
        <f>IF(E96="","",IF(ISNA(VLOOKUP($E96,'D-1 Off-Site Habitat Baseline'!$D$1:$AV$258,4,FALSE)),"",(VLOOKUP($E96,'D-1 Off-Site Habitat Baseline'!$D$1:$AV$258,4,FALSE))))</f>
        <v/>
      </c>
    </row>
    <row r="97" spans="1:51" ht="14">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319" t="str">
        <f>'D-1 Off-Site Habitat Baseline'!AP96</f>
        <v/>
      </c>
      <c r="F97" s="283" t="str">
        <f>IF(E97="","",IF(ISNA(VLOOKUP($E97,'D-1 Off-Site Habitat Baseline'!$D$1:$ZZ$258,45,FALSE)),"",(VLOOKUP($E97,'D-1 Off-Site Habitat Baseline'!$D$1:$ZZ$258,45,FALSE))))</f>
        <v/>
      </c>
      <c r="G97" s="295" t="str">
        <f>IF(E97="","",IF(ISNA(VLOOKUP($E97,'D-1 Off-Site Habitat Baseline'!$D$1:$O$258,5,FALSE)),"",(VLOOKUP($E97,'D-1 Off-Site Habitat Baseline'!$D$1:$O$258,5,FALSE))))</f>
        <v/>
      </c>
      <c r="H97" s="295" t="str">
        <f>IF(E97="","",IF(ISNA(VLOOKUP($E97,'D-1 Off-Site Habitat Baseline'!$D$1:$O$258,6,FALSE)),"",(VLOOKUP($E97,'D-1 Off-Site Habitat Baseline'!$D$1:$O$258,6,FALSE))))</f>
        <v/>
      </c>
      <c r="I97" s="295" t="str">
        <f>IF(E97="","",IF(ISNA(VLOOKUP($E97,'D-1 Off-Site Habitat Baseline'!$D$1:$O$258,7,FALSE)),"",(VLOOKUP($E97,'D-1 Off-Site Habitat Baseline'!$D$1:$O$258,7,FALSE))))</f>
        <v/>
      </c>
      <c r="J97" s="295" t="str">
        <f>IF(E97="","",IF(ISNA(VLOOKUP($E97,'D-1 Off-Site Habitat Baseline'!$D$1:$O$258,8,FALSE)),"",(VLOOKUP($E97,'D-1 Off-Site Habitat Baseline'!$D$1:$O$258,8,FALSE))))</f>
        <v/>
      </c>
      <c r="K97" s="295" t="str">
        <f>IF(E97="","",IF(ISNA(VLOOKUP($E97,'D-1 Off-Site Habitat Baseline'!$D$1:$O$258,9,FALSE)),"",(VLOOKUP($E97,'D-1 Off-Site Habitat Baseline'!$D$1:$O$258,9,FALSE))))</f>
        <v/>
      </c>
      <c r="L97" s="295" t="str">
        <f>IF(E97="","",IF(ISNA(VLOOKUP($E97,'D-1 Off-Site Habitat Baseline'!$D$1:$O$258,11,FALSE)),"",(VLOOKUP($E97,'D-1 Off-Site Habitat Baseline'!$D$1:$O$258,11,FALSE))))</f>
        <v/>
      </c>
      <c r="M97" s="295" t="str">
        <f>IF(E97="","",IF(ISNA(VLOOKUP($E97,'D-1 Off-Site Habitat Baseline'!$D$1:$O$258,12,FALSE)),"",(VLOOKUP($E97,'D-1 Off-Site Habitat Baseline'!$D$1:$O$258,12,FALSE))))</f>
        <v/>
      </c>
      <c r="N97" s="295" t="str">
        <f>IF(E97="","",IF(ISNA(VLOOKUP($E97,'D-1 Off-Site Habitat Baseline'!$D$1:$AA$258,17,FALSE)),"",(VLOOKUP($E97,'D-1 Off-Site Habitat Baseline'!$D$1:$AA$258,17,FALSE))))</f>
        <v/>
      </c>
      <c r="O97" s="299" t="str">
        <f>IF(E97="","",IF(ISNA(VLOOKUP($E97,'D-1 Off-Site Habitat Baseline'!$D$1:$AA$258,13,FALSE)),"",(VLOOKUP($E97,'D-1 Off-Site Habitat Baseline'!$D$1:$AA$258,13,FALSE))))</f>
        <v/>
      </c>
      <c r="P97" s="148" t="str">
        <f>IFERROR(INDEX('G-1 All Habitats'!$AG$49:$AG$63,MATCH(Q97,'G-1 All Habitats'!$AF$27:$AF$41,0)),"")</f>
        <v/>
      </c>
      <c r="Q97" s="149" t="str">
        <f t="shared" si="13"/>
        <v/>
      </c>
      <c r="R97" s="150"/>
      <c r="S97" s="151" t="str">
        <f>IFERROR(INDEX('G-1 All Habitats'!$B$3:$B$135,MATCH(R97,'G-1 All Habitats'!$A$3:$A$135,0)),"")</f>
        <v/>
      </c>
      <c r="T97" s="283" t="str">
        <f t="shared" si="14"/>
        <v/>
      </c>
      <c r="U97" s="276" t="str">
        <f t="shared" si="15"/>
        <v/>
      </c>
      <c r="V97" s="298" t="str">
        <f t="shared" si="11"/>
        <v/>
      </c>
      <c r="W97" s="295" t="str">
        <f>IF(S97="","",VLOOKUP(S97,'G-1 All Habitats'!$B$2:$M$135,10,FALSE))</f>
        <v/>
      </c>
      <c r="X97" s="295" t="str">
        <f>IFERROR(VLOOKUP(W97,'G-1 All Habitats'!$V$3:$W$7,2,FALSE),"")</f>
        <v/>
      </c>
      <c r="Y97" s="138"/>
      <c r="Z97" s="299" t="str">
        <f>IFERROR(INDEX('G-8 Condition Look up'!$A$3:$H$135,MATCH(S97,'G-8 Condition Look up'!$A$3:$A$135,0),MATCH(Y97,'G-8 Condition Look up'!$A$3:$H$3,0)),"")</f>
        <v/>
      </c>
      <c r="AA97" s="101"/>
      <c r="AB97" s="314" t="str">
        <f>IF(AA97="","",IF(VLOOKUP(AA97,'G-3 Multipliers'!$L$3:$N$6,2,FALSE)=0,"Spatial Data Missing ⚠",VLOOKUP(AA97,'G-3 Multipliers'!$L$3:$N$6,2,FALSE)))</f>
        <v/>
      </c>
      <c r="AC97" s="299" t="str">
        <f>IF(AA97="","",IF(VLOOKUP(AA97,'G-3 Multipliers'!$L$3:$N$6,3,FALSE)=0,"Spatial Data Missing ⚠",VLOOKUP(AA97,'G-3 Multipliers'!$L$3:$N$6,3,FALSE)))</f>
        <v/>
      </c>
      <c r="AD97" s="311" t="str">
        <f t="shared" si="12"/>
        <v/>
      </c>
      <c r="AE97" s="138"/>
      <c r="AF97" s="138"/>
      <c r="AG97" s="295" t="str">
        <f t="shared" si="16"/>
        <v/>
      </c>
      <c r="AH97" s="296" t="str">
        <f t="shared" si="17"/>
        <v/>
      </c>
      <c r="AI97" s="300" t="str">
        <f>IF(AH97="Check Data ⚠","Check Data ⚠",IFERROR(VLOOKUP(AH97,'G-4 Temporal multipliers'!$A$4:$C$36,3,FALSE),""))</f>
        <v/>
      </c>
      <c r="AJ97" s="311" t="str">
        <f>IF(S97="","",VLOOKUP(S97,'G-3 Multipliers'!$A$2:$E$134,4,FALSE))</f>
        <v/>
      </c>
      <c r="AK97" s="295" t="str">
        <f t="shared" si="18"/>
        <v/>
      </c>
      <c r="AL97" s="295" t="str">
        <f t="shared" si="19"/>
        <v/>
      </c>
      <c r="AM97" s="299" t="str">
        <f>IFERROR(IF(F97="","",IF(AH97="Check Data ⚠","Check Data ⚠",VLOOKUP(AL97,'G-3 Multipliers'!$P$2:$Q$6,2,FALSE))),"")</f>
        <v/>
      </c>
      <c r="AN97" s="712" t="str">
        <f>IF(E97="","",IF(ISNA(VLOOKUP($E97,'D-1 Off-Site Habitat Baseline'!$D$1:$Z$258,15,FALSE)),"",(VLOOKUP($E97,'D-1 Off-Site Habitat Baseline'!$D$1:$Z$258,15,FALSE))))</f>
        <v/>
      </c>
      <c r="AO97" s="329" t="str">
        <f>IF(AN97="","",IF(VLOOKUP(AN97,'G-3 Multipliers'!$S$3:$T$10,2,FALSE)=0,"Spatial Data Missing ⚠",VLOOKUP(AN97,'G-3 Multipliers'!$S$3:$T$10,2,FALSE)))</f>
        <v/>
      </c>
      <c r="AP97" s="289" t="str">
        <f t="shared" si="20"/>
        <v/>
      </c>
      <c r="AQ97" s="289" t="str">
        <f t="shared" si="21"/>
        <v/>
      </c>
      <c r="AR97" s="105"/>
      <c r="AS97" s="138"/>
      <c r="AT97" s="104"/>
      <c r="AU97" s="104"/>
      <c r="AY97" s="30" t="str">
        <f>IF(E97="","",IF(ISNA(VLOOKUP($E97,'D-1 Off-Site Habitat Baseline'!$D$1:$AV$258,4,FALSE)),"",(VLOOKUP($E97,'D-1 Off-Site Habitat Baseline'!$D$1:$AV$258,4,FALSE))))</f>
        <v/>
      </c>
    </row>
    <row r="98" spans="1:51" ht="14">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319" t="str">
        <f>'D-1 Off-Site Habitat Baseline'!AP97</f>
        <v/>
      </c>
      <c r="F98" s="283" t="str">
        <f>IF(E98="","",IF(ISNA(VLOOKUP($E98,'D-1 Off-Site Habitat Baseline'!$D$1:$ZZ$258,45,FALSE)),"",(VLOOKUP($E98,'D-1 Off-Site Habitat Baseline'!$D$1:$ZZ$258,45,FALSE))))</f>
        <v/>
      </c>
      <c r="G98" s="295" t="str">
        <f>IF(E98="","",IF(ISNA(VLOOKUP($E98,'D-1 Off-Site Habitat Baseline'!$D$1:$O$258,5,FALSE)),"",(VLOOKUP($E98,'D-1 Off-Site Habitat Baseline'!$D$1:$O$258,5,FALSE))))</f>
        <v/>
      </c>
      <c r="H98" s="295" t="str">
        <f>IF(E98="","",IF(ISNA(VLOOKUP($E98,'D-1 Off-Site Habitat Baseline'!$D$1:$O$258,6,FALSE)),"",(VLOOKUP($E98,'D-1 Off-Site Habitat Baseline'!$D$1:$O$258,6,FALSE))))</f>
        <v/>
      </c>
      <c r="I98" s="295" t="str">
        <f>IF(E98="","",IF(ISNA(VLOOKUP($E98,'D-1 Off-Site Habitat Baseline'!$D$1:$O$258,7,FALSE)),"",(VLOOKUP($E98,'D-1 Off-Site Habitat Baseline'!$D$1:$O$258,7,FALSE))))</f>
        <v/>
      </c>
      <c r="J98" s="295" t="str">
        <f>IF(E98="","",IF(ISNA(VLOOKUP($E98,'D-1 Off-Site Habitat Baseline'!$D$1:$O$258,8,FALSE)),"",(VLOOKUP($E98,'D-1 Off-Site Habitat Baseline'!$D$1:$O$258,8,FALSE))))</f>
        <v/>
      </c>
      <c r="K98" s="295" t="str">
        <f>IF(E98="","",IF(ISNA(VLOOKUP($E98,'D-1 Off-Site Habitat Baseline'!$D$1:$O$258,9,FALSE)),"",(VLOOKUP($E98,'D-1 Off-Site Habitat Baseline'!$D$1:$O$258,9,FALSE))))</f>
        <v/>
      </c>
      <c r="L98" s="295" t="str">
        <f>IF(E98="","",IF(ISNA(VLOOKUP($E98,'D-1 Off-Site Habitat Baseline'!$D$1:$O$258,11,FALSE)),"",(VLOOKUP($E98,'D-1 Off-Site Habitat Baseline'!$D$1:$O$258,11,FALSE))))</f>
        <v/>
      </c>
      <c r="M98" s="295" t="str">
        <f>IF(E98="","",IF(ISNA(VLOOKUP($E98,'D-1 Off-Site Habitat Baseline'!$D$1:$O$258,12,FALSE)),"",(VLOOKUP($E98,'D-1 Off-Site Habitat Baseline'!$D$1:$O$258,12,FALSE))))</f>
        <v/>
      </c>
      <c r="N98" s="295" t="str">
        <f>IF(E98="","",IF(ISNA(VLOOKUP($E98,'D-1 Off-Site Habitat Baseline'!$D$1:$AA$258,17,FALSE)),"",(VLOOKUP($E98,'D-1 Off-Site Habitat Baseline'!$D$1:$AA$258,17,FALSE))))</f>
        <v/>
      </c>
      <c r="O98" s="299" t="str">
        <f>IF(E98="","",IF(ISNA(VLOOKUP($E98,'D-1 Off-Site Habitat Baseline'!$D$1:$AA$258,13,FALSE)),"",(VLOOKUP($E98,'D-1 Off-Site Habitat Baseline'!$D$1:$AA$258,13,FALSE))))</f>
        <v/>
      </c>
      <c r="P98" s="148" t="str">
        <f>IFERROR(INDEX('G-1 All Habitats'!$AG$49:$AG$63,MATCH(Q98,'G-1 All Habitats'!$AF$27:$AF$41,0)),"")</f>
        <v/>
      </c>
      <c r="Q98" s="149" t="str">
        <f t="shared" si="13"/>
        <v/>
      </c>
      <c r="R98" s="150"/>
      <c r="S98" s="151" t="str">
        <f>IFERROR(INDEX('G-1 All Habitats'!$B$3:$B$135,MATCH(R98,'G-1 All Habitats'!$A$3:$A$135,0)),"")</f>
        <v/>
      </c>
      <c r="T98" s="283" t="str">
        <f t="shared" si="14"/>
        <v/>
      </c>
      <c r="U98" s="276" t="str">
        <f t="shared" si="15"/>
        <v/>
      </c>
      <c r="V98" s="298" t="str">
        <f t="shared" si="11"/>
        <v/>
      </c>
      <c r="W98" s="295" t="str">
        <f>IF(S98="","",VLOOKUP(S98,'G-1 All Habitats'!$B$2:$M$135,10,FALSE))</f>
        <v/>
      </c>
      <c r="X98" s="295" t="str">
        <f>IFERROR(VLOOKUP(W98,'G-1 All Habitats'!$V$3:$W$7,2,FALSE),"")</f>
        <v/>
      </c>
      <c r="Y98" s="138"/>
      <c r="Z98" s="299" t="str">
        <f>IFERROR(INDEX('G-8 Condition Look up'!$A$3:$H$135,MATCH(S98,'G-8 Condition Look up'!$A$3:$A$135,0),MATCH(Y98,'G-8 Condition Look up'!$A$3:$H$3,0)),"")</f>
        <v/>
      </c>
      <c r="AA98" s="101"/>
      <c r="AB98" s="314" t="str">
        <f>IF(AA98="","",IF(VLOOKUP(AA98,'G-3 Multipliers'!$L$3:$N$6,2,FALSE)=0,"Spatial Data Missing ⚠",VLOOKUP(AA98,'G-3 Multipliers'!$L$3:$N$6,2,FALSE)))</f>
        <v/>
      </c>
      <c r="AC98" s="299" t="str">
        <f>IF(AA98="","",IF(VLOOKUP(AA98,'G-3 Multipliers'!$L$3:$N$6,3,FALSE)=0,"Spatial Data Missing ⚠",VLOOKUP(AA98,'G-3 Multipliers'!$L$3:$N$6,3,FALSE)))</f>
        <v/>
      </c>
      <c r="AD98" s="311" t="str">
        <f t="shared" si="12"/>
        <v/>
      </c>
      <c r="AE98" s="138"/>
      <c r="AF98" s="138"/>
      <c r="AG98" s="295" t="str">
        <f t="shared" si="16"/>
        <v/>
      </c>
      <c r="AH98" s="296" t="str">
        <f t="shared" si="17"/>
        <v/>
      </c>
      <c r="AI98" s="300" t="str">
        <f>IF(AH98="Check Data ⚠","Check Data ⚠",IFERROR(VLOOKUP(AH98,'G-4 Temporal multipliers'!$A$4:$C$36,3,FALSE),""))</f>
        <v/>
      </c>
      <c r="AJ98" s="311" t="str">
        <f>IF(S98="","",VLOOKUP(S98,'G-3 Multipliers'!$A$2:$E$134,4,FALSE))</f>
        <v/>
      </c>
      <c r="AK98" s="295" t="str">
        <f t="shared" si="18"/>
        <v/>
      </c>
      <c r="AL98" s="295" t="str">
        <f t="shared" si="19"/>
        <v/>
      </c>
      <c r="AM98" s="299" t="str">
        <f>IFERROR(IF(F98="","",IF(AH98="Check Data ⚠","Check Data ⚠",VLOOKUP(AL98,'G-3 Multipliers'!$P$2:$Q$6,2,FALSE))),"")</f>
        <v/>
      </c>
      <c r="AN98" s="712" t="str">
        <f>IF(E98="","",IF(ISNA(VLOOKUP($E98,'D-1 Off-Site Habitat Baseline'!$D$1:$Z$258,15,FALSE)),"",(VLOOKUP($E98,'D-1 Off-Site Habitat Baseline'!$D$1:$Z$258,15,FALSE))))</f>
        <v/>
      </c>
      <c r="AO98" s="329" t="str">
        <f>IF(AN98="","",IF(VLOOKUP(AN98,'G-3 Multipliers'!$S$3:$T$10,2,FALSE)=0,"Spatial Data Missing ⚠",VLOOKUP(AN98,'G-3 Multipliers'!$S$3:$T$10,2,FALSE)))</f>
        <v/>
      </c>
      <c r="AP98" s="289" t="str">
        <f t="shared" si="20"/>
        <v/>
      </c>
      <c r="AQ98" s="289" t="str">
        <f t="shared" si="21"/>
        <v/>
      </c>
      <c r="AR98" s="105"/>
      <c r="AS98" s="138"/>
      <c r="AT98" s="104"/>
      <c r="AU98" s="104"/>
      <c r="AY98" s="30" t="str">
        <f>IF(E98="","",IF(ISNA(VLOOKUP($E98,'D-1 Off-Site Habitat Baseline'!$D$1:$AV$258,4,FALSE)),"",(VLOOKUP($E98,'D-1 Off-Site Habitat Baseline'!$D$1:$AV$258,4,FALSE))))</f>
        <v/>
      </c>
    </row>
    <row r="99" spans="1:51" ht="14">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319" t="str">
        <f>'D-1 Off-Site Habitat Baseline'!AP98</f>
        <v/>
      </c>
      <c r="F99" s="283" t="str">
        <f>IF(E99="","",IF(ISNA(VLOOKUP($E99,'D-1 Off-Site Habitat Baseline'!$D$1:$ZZ$258,45,FALSE)),"",(VLOOKUP($E99,'D-1 Off-Site Habitat Baseline'!$D$1:$ZZ$258,45,FALSE))))</f>
        <v/>
      </c>
      <c r="G99" s="295" t="str">
        <f>IF(E99="","",IF(ISNA(VLOOKUP($E99,'D-1 Off-Site Habitat Baseline'!$D$1:$O$258,5,FALSE)),"",(VLOOKUP($E99,'D-1 Off-Site Habitat Baseline'!$D$1:$O$258,5,FALSE))))</f>
        <v/>
      </c>
      <c r="H99" s="295" t="str">
        <f>IF(E99="","",IF(ISNA(VLOOKUP($E99,'D-1 Off-Site Habitat Baseline'!$D$1:$O$258,6,FALSE)),"",(VLOOKUP($E99,'D-1 Off-Site Habitat Baseline'!$D$1:$O$258,6,FALSE))))</f>
        <v/>
      </c>
      <c r="I99" s="295" t="str">
        <f>IF(E99="","",IF(ISNA(VLOOKUP($E99,'D-1 Off-Site Habitat Baseline'!$D$1:$O$258,7,FALSE)),"",(VLOOKUP($E99,'D-1 Off-Site Habitat Baseline'!$D$1:$O$258,7,FALSE))))</f>
        <v/>
      </c>
      <c r="J99" s="295" t="str">
        <f>IF(E99="","",IF(ISNA(VLOOKUP($E99,'D-1 Off-Site Habitat Baseline'!$D$1:$O$258,8,FALSE)),"",(VLOOKUP($E99,'D-1 Off-Site Habitat Baseline'!$D$1:$O$258,8,FALSE))))</f>
        <v/>
      </c>
      <c r="K99" s="295" t="str">
        <f>IF(E99="","",IF(ISNA(VLOOKUP($E99,'D-1 Off-Site Habitat Baseline'!$D$1:$O$258,9,FALSE)),"",(VLOOKUP($E99,'D-1 Off-Site Habitat Baseline'!$D$1:$O$258,9,FALSE))))</f>
        <v/>
      </c>
      <c r="L99" s="295" t="str">
        <f>IF(E99="","",IF(ISNA(VLOOKUP($E99,'D-1 Off-Site Habitat Baseline'!$D$1:$O$258,11,FALSE)),"",(VLOOKUP($E99,'D-1 Off-Site Habitat Baseline'!$D$1:$O$258,11,FALSE))))</f>
        <v/>
      </c>
      <c r="M99" s="295" t="str">
        <f>IF(E99="","",IF(ISNA(VLOOKUP($E99,'D-1 Off-Site Habitat Baseline'!$D$1:$O$258,12,FALSE)),"",(VLOOKUP($E99,'D-1 Off-Site Habitat Baseline'!$D$1:$O$258,12,FALSE))))</f>
        <v/>
      </c>
      <c r="N99" s="295" t="str">
        <f>IF(E99="","",IF(ISNA(VLOOKUP($E99,'D-1 Off-Site Habitat Baseline'!$D$1:$AA$258,17,FALSE)),"",(VLOOKUP($E99,'D-1 Off-Site Habitat Baseline'!$D$1:$AA$258,17,FALSE))))</f>
        <v/>
      </c>
      <c r="O99" s="299" t="str">
        <f>IF(E99="","",IF(ISNA(VLOOKUP($E99,'D-1 Off-Site Habitat Baseline'!$D$1:$AA$258,13,FALSE)),"",(VLOOKUP($E99,'D-1 Off-Site Habitat Baseline'!$D$1:$AA$258,13,FALSE))))</f>
        <v/>
      </c>
      <c r="P99" s="148" t="str">
        <f>IFERROR(INDEX('G-1 All Habitats'!$AG$49:$AG$63,MATCH(Q99,'G-1 All Habitats'!$AF$27:$AF$41,0)),"")</f>
        <v/>
      </c>
      <c r="Q99" s="149" t="str">
        <f t="shared" si="13"/>
        <v/>
      </c>
      <c r="R99" s="150"/>
      <c r="S99" s="151" t="str">
        <f>IFERROR(INDEX('G-1 All Habitats'!$B$3:$B$135,MATCH(R99,'G-1 All Habitats'!$A$3:$A$135,0)),"")</f>
        <v/>
      </c>
      <c r="T99" s="283" t="str">
        <f t="shared" si="14"/>
        <v/>
      </c>
      <c r="U99" s="276" t="str">
        <f t="shared" si="15"/>
        <v/>
      </c>
      <c r="V99" s="298" t="str">
        <f t="shared" si="11"/>
        <v/>
      </c>
      <c r="W99" s="295" t="str">
        <f>IF(S99="","",VLOOKUP(S99,'G-1 All Habitats'!$B$2:$M$135,10,FALSE))</f>
        <v/>
      </c>
      <c r="X99" s="295" t="str">
        <f>IFERROR(VLOOKUP(W99,'G-1 All Habitats'!$V$3:$W$7,2,FALSE),"")</f>
        <v/>
      </c>
      <c r="Y99" s="138"/>
      <c r="Z99" s="299" t="str">
        <f>IFERROR(INDEX('G-8 Condition Look up'!$A$3:$H$135,MATCH(S99,'G-8 Condition Look up'!$A$3:$A$135,0),MATCH(Y99,'G-8 Condition Look up'!$A$3:$H$3,0)),"")</f>
        <v/>
      </c>
      <c r="AA99" s="101"/>
      <c r="AB99" s="314" t="str">
        <f>IF(AA99="","",IF(VLOOKUP(AA99,'G-3 Multipliers'!$L$3:$N$6,2,FALSE)=0,"Spatial Data Missing ⚠",VLOOKUP(AA99,'G-3 Multipliers'!$L$3:$N$6,2,FALSE)))</f>
        <v/>
      </c>
      <c r="AC99" s="299" t="str">
        <f>IF(AA99="","",IF(VLOOKUP(AA99,'G-3 Multipliers'!$L$3:$N$6,3,FALSE)=0,"Spatial Data Missing ⚠",VLOOKUP(AA99,'G-3 Multipliers'!$L$3:$N$6,3,FALSE)))</f>
        <v/>
      </c>
      <c r="AD99" s="311" t="str">
        <f t="shared" si="12"/>
        <v/>
      </c>
      <c r="AE99" s="138"/>
      <c r="AF99" s="138"/>
      <c r="AG99" s="295" t="str">
        <f t="shared" si="16"/>
        <v/>
      </c>
      <c r="AH99" s="296" t="str">
        <f t="shared" si="17"/>
        <v/>
      </c>
      <c r="AI99" s="300" t="str">
        <f>IF(AH99="Check Data ⚠","Check Data ⚠",IFERROR(VLOOKUP(AH99,'G-4 Temporal multipliers'!$A$4:$C$36,3,FALSE),""))</f>
        <v/>
      </c>
      <c r="AJ99" s="311" t="str">
        <f>IF(S99="","",VLOOKUP(S99,'G-3 Multipliers'!$A$2:$E$134,4,FALSE))</f>
        <v/>
      </c>
      <c r="AK99" s="295" t="str">
        <f t="shared" si="18"/>
        <v/>
      </c>
      <c r="AL99" s="295" t="str">
        <f t="shared" si="19"/>
        <v/>
      </c>
      <c r="AM99" s="299" t="str">
        <f>IFERROR(IF(F99="","",IF(AH99="Check Data ⚠","Check Data ⚠",VLOOKUP(AL99,'G-3 Multipliers'!$P$2:$Q$6,2,FALSE))),"")</f>
        <v/>
      </c>
      <c r="AN99" s="712" t="str">
        <f>IF(E99="","",IF(ISNA(VLOOKUP($E99,'D-1 Off-Site Habitat Baseline'!$D$1:$Z$258,15,FALSE)),"",(VLOOKUP($E99,'D-1 Off-Site Habitat Baseline'!$D$1:$Z$258,15,FALSE))))</f>
        <v/>
      </c>
      <c r="AO99" s="329" t="str">
        <f>IF(AN99="","",IF(VLOOKUP(AN99,'G-3 Multipliers'!$S$3:$T$10,2,FALSE)=0,"Spatial Data Missing ⚠",VLOOKUP(AN99,'G-3 Multipliers'!$S$3:$T$10,2,FALSE)))</f>
        <v/>
      </c>
      <c r="AP99" s="289" t="str">
        <f t="shared" si="20"/>
        <v/>
      </c>
      <c r="AQ99" s="289" t="str">
        <f t="shared" si="21"/>
        <v/>
      </c>
      <c r="AR99" s="105"/>
      <c r="AS99" s="138"/>
      <c r="AT99" s="104"/>
      <c r="AU99" s="104"/>
      <c r="AY99" s="30" t="str">
        <f>IF(E99="","",IF(ISNA(VLOOKUP($E99,'D-1 Off-Site Habitat Baseline'!$D$1:$AV$258,4,FALSE)),"",(VLOOKUP($E99,'D-1 Off-Site Habitat Baseline'!$D$1:$AV$258,4,FALSE))))</f>
        <v/>
      </c>
    </row>
    <row r="100" spans="1:51" ht="14">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319" t="str">
        <f>'D-1 Off-Site Habitat Baseline'!AP99</f>
        <v/>
      </c>
      <c r="F100" s="283" t="str">
        <f>IF(E100="","",IF(ISNA(VLOOKUP($E100,'D-1 Off-Site Habitat Baseline'!$D$1:$ZZ$258,45,FALSE)),"",(VLOOKUP($E100,'D-1 Off-Site Habitat Baseline'!$D$1:$ZZ$258,45,FALSE))))</f>
        <v/>
      </c>
      <c r="G100" s="295" t="str">
        <f>IF(E100="","",IF(ISNA(VLOOKUP($E100,'D-1 Off-Site Habitat Baseline'!$D$1:$O$258,5,FALSE)),"",(VLOOKUP($E100,'D-1 Off-Site Habitat Baseline'!$D$1:$O$258,5,FALSE))))</f>
        <v/>
      </c>
      <c r="H100" s="295" t="str">
        <f>IF(E100="","",IF(ISNA(VLOOKUP($E100,'D-1 Off-Site Habitat Baseline'!$D$1:$O$258,6,FALSE)),"",(VLOOKUP($E100,'D-1 Off-Site Habitat Baseline'!$D$1:$O$258,6,FALSE))))</f>
        <v/>
      </c>
      <c r="I100" s="295" t="str">
        <f>IF(E100="","",IF(ISNA(VLOOKUP($E100,'D-1 Off-Site Habitat Baseline'!$D$1:$O$258,7,FALSE)),"",(VLOOKUP($E100,'D-1 Off-Site Habitat Baseline'!$D$1:$O$258,7,FALSE))))</f>
        <v/>
      </c>
      <c r="J100" s="295" t="str">
        <f>IF(E100="","",IF(ISNA(VLOOKUP($E100,'D-1 Off-Site Habitat Baseline'!$D$1:$O$258,8,FALSE)),"",(VLOOKUP($E100,'D-1 Off-Site Habitat Baseline'!$D$1:$O$258,8,FALSE))))</f>
        <v/>
      </c>
      <c r="K100" s="295" t="str">
        <f>IF(E100="","",IF(ISNA(VLOOKUP($E100,'D-1 Off-Site Habitat Baseline'!$D$1:$O$258,9,FALSE)),"",(VLOOKUP($E100,'D-1 Off-Site Habitat Baseline'!$D$1:$O$258,9,FALSE))))</f>
        <v/>
      </c>
      <c r="L100" s="295" t="str">
        <f>IF(E100="","",IF(ISNA(VLOOKUP($E100,'D-1 Off-Site Habitat Baseline'!$D$1:$O$258,11,FALSE)),"",(VLOOKUP($E100,'D-1 Off-Site Habitat Baseline'!$D$1:$O$258,11,FALSE))))</f>
        <v/>
      </c>
      <c r="M100" s="295" t="str">
        <f>IF(E100="","",IF(ISNA(VLOOKUP($E100,'D-1 Off-Site Habitat Baseline'!$D$1:$O$258,12,FALSE)),"",(VLOOKUP($E100,'D-1 Off-Site Habitat Baseline'!$D$1:$O$258,12,FALSE))))</f>
        <v/>
      </c>
      <c r="N100" s="295" t="str">
        <f>IF(E100="","",IF(ISNA(VLOOKUP($E100,'D-1 Off-Site Habitat Baseline'!$D$1:$AA$258,17,FALSE)),"",(VLOOKUP($E100,'D-1 Off-Site Habitat Baseline'!$D$1:$AA$258,17,FALSE))))</f>
        <v/>
      </c>
      <c r="O100" s="299" t="str">
        <f>IF(E100="","",IF(ISNA(VLOOKUP($E100,'D-1 Off-Site Habitat Baseline'!$D$1:$AA$258,13,FALSE)),"",(VLOOKUP($E100,'D-1 Off-Site Habitat Baseline'!$D$1:$AA$258,13,FALSE))))</f>
        <v/>
      </c>
      <c r="P100" s="148" t="str">
        <f>IFERROR(INDEX('G-1 All Habitats'!$AG$49:$AG$63,MATCH(Q100,'G-1 All Habitats'!$AF$27:$AF$41,0)),"")</f>
        <v/>
      </c>
      <c r="Q100" s="149" t="str">
        <f t="shared" si="13"/>
        <v/>
      </c>
      <c r="R100" s="150"/>
      <c r="S100" s="151" t="str">
        <f>IFERROR(INDEX('G-1 All Habitats'!$B$3:$B$135,MATCH(R100,'G-1 All Habitats'!$A$3:$A$135,0)),"")</f>
        <v/>
      </c>
      <c r="T100" s="283" t="str">
        <f t="shared" si="14"/>
        <v/>
      </c>
      <c r="U100" s="276" t="str">
        <f t="shared" si="15"/>
        <v/>
      </c>
      <c r="V100" s="298" t="str">
        <f t="shared" si="11"/>
        <v/>
      </c>
      <c r="W100" s="295" t="str">
        <f>IF(S100="","",VLOOKUP(S100,'G-1 All Habitats'!$B$2:$M$135,10,FALSE))</f>
        <v/>
      </c>
      <c r="X100" s="295" t="str">
        <f>IFERROR(VLOOKUP(W100,'G-1 All Habitats'!$V$3:$W$7,2,FALSE),"")</f>
        <v/>
      </c>
      <c r="Y100" s="138"/>
      <c r="Z100" s="299" t="str">
        <f>IFERROR(INDEX('G-8 Condition Look up'!$A$3:$H$135,MATCH(S100,'G-8 Condition Look up'!$A$3:$A$135,0),MATCH(Y100,'G-8 Condition Look up'!$A$3:$H$3,0)),"")</f>
        <v/>
      </c>
      <c r="AA100" s="101"/>
      <c r="AB100" s="314" t="str">
        <f>IF(AA100="","",IF(VLOOKUP(AA100,'G-3 Multipliers'!$L$3:$N$6,2,FALSE)=0,"Spatial Data Missing ⚠",VLOOKUP(AA100,'G-3 Multipliers'!$L$3:$N$6,2,FALSE)))</f>
        <v/>
      </c>
      <c r="AC100" s="299" t="str">
        <f>IF(AA100="","",IF(VLOOKUP(AA100,'G-3 Multipliers'!$L$3:$N$6,3,FALSE)=0,"Spatial Data Missing ⚠",VLOOKUP(AA100,'G-3 Multipliers'!$L$3:$N$6,3,FALSE)))</f>
        <v/>
      </c>
      <c r="AD100" s="311" t="str">
        <f t="shared" si="12"/>
        <v/>
      </c>
      <c r="AE100" s="138"/>
      <c r="AF100" s="138"/>
      <c r="AG100" s="295" t="str">
        <f t="shared" si="16"/>
        <v/>
      </c>
      <c r="AH100" s="296" t="str">
        <f t="shared" si="17"/>
        <v/>
      </c>
      <c r="AI100" s="300" t="str">
        <f>IF(AH100="Check Data ⚠","Check Data ⚠",IFERROR(VLOOKUP(AH100,'G-4 Temporal multipliers'!$A$4:$C$36,3,FALSE),""))</f>
        <v/>
      </c>
      <c r="AJ100" s="311" t="str">
        <f>IF(S100="","",VLOOKUP(S100,'G-3 Multipliers'!$A$2:$E$134,4,FALSE))</f>
        <v/>
      </c>
      <c r="AK100" s="295" t="str">
        <f t="shared" si="18"/>
        <v/>
      </c>
      <c r="AL100" s="295" t="str">
        <f t="shared" si="19"/>
        <v/>
      </c>
      <c r="AM100" s="299" t="str">
        <f>IFERROR(IF(F100="","",IF(AH100="Check Data ⚠","Check Data ⚠",VLOOKUP(AL100,'G-3 Multipliers'!$P$2:$Q$6,2,FALSE))),"")</f>
        <v/>
      </c>
      <c r="AN100" s="712" t="str">
        <f>IF(E100="","",IF(ISNA(VLOOKUP($E100,'D-1 Off-Site Habitat Baseline'!$D$1:$Z$258,15,FALSE)),"",(VLOOKUP($E100,'D-1 Off-Site Habitat Baseline'!$D$1:$Z$258,15,FALSE))))</f>
        <v/>
      </c>
      <c r="AO100" s="329" t="str">
        <f>IF(AN100="","",IF(VLOOKUP(AN100,'G-3 Multipliers'!$S$3:$T$10,2,FALSE)=0,"Spatial Data Missing ⚠",VLOOKUP(AN100,'G-3 Multipliers'!$S$3:$T$10,2,FALSE)))</f>
        <v/>
      </c>
      <c r="AP100" s="289" t="str">
        <f t="shared" si="20"/>
        <v/>
      </c>
      <c r="AQ100" s="289" t="str">
        <f t="shared" si="21"/>
        <v/>
      </c>
      <c r="AR100" s="105"/>
      <c r="AS100" s="138"/>
      <c r="AT100" s="104"/>
      <c r="AU100" s="104"/>
      <c r="AY100" s="30" t="str">
        <f>IF(E100="","",IF(ISNA(VLOOKUP($E100,'D-1 Off-Site Habitat Baseline'!$D$1:$AV$258,4,FALSE)),"",(VLOOKUP($E100,'D-1 Off-Site Habitat Baseline'!$D$1:$AV$258,4,FALSE))))</f>
        <v/>
      </c>
    </row>
    <row r="101" spans="1:51" ht="14">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319" t="str">
        <f>'D-1 Off-Site Habitat Baseline'!AP100</f>
        <v/>
      </c>
      <c r="F101" s="283" t="str">
        <f>IF(E101="","",IF(ISNA(VLOOKUP($E101,'D-1 Off-Site Habitat Baseline'!$D$1:$ZZ$258,45,FALSE)),"",(VLOOKUP($E101,'D-1 Off-Site Habitat Baseline'!$D$1:$ZZ$258,45,FALSE))))</f>
        <v/>
      </c>
      <c r="G101" s="295" t="str">
        <f>IF(E101="","",IF(ISNA(VLOOKUP($E101,'D-1 Off-Site Habitat Baseline'!$D$1:$O$258,5,FALSE)),"",(VLOOKUP($E101,'D-1 Off-Site Habitat Baseline'!$D$1:$O$258,5,FALSE))))</f>
        <v/>
      </c>
      <c r="H101" s="295" t="str">
        <f>IF(E101="","",IF(ISNA(VLOOKUP($E101,'D-1 Off-Site Habitat Baseline'!$D$1:$O$258,6,FALSE)),"",(VLOOKUP($E101,'D-1 Off-Site Habitat Baseline'!$D$1:$O$258,6,FALSE))))</f>
        <v/>
      </c>
      <c r="I101" s="295" t="str">
        <f>IF(E101="","",IF(ISNA(VLOOKUP($E101,'D-1 Off-Site Habitat Baseline'!$D$1:$O$258,7,FALSE)),"",(VLOOKUP($E101,'D-1 Off-Site Habitat Baseline'!$D$1:$O$258,7,FALSE))))</f>
        <v/>
      </c>
      <c r="J101" s="295" t="str">
        <f>IF(E101="","",IF(ISNA(VLOOKUP($E101,'D-1 Off-Site Habitat Baseline'!$D$1:$O$258,8,FALSE)),"",(VLOOKUP($E101,'D-1 Off-Site Habitat Baseline'!$D$1:$O$258,8,FALSE))))</f>
        <v/>
      </c>
      <c r="K101" s="295" t="str">
        <f>IF(E101="","",IF(ISNA(VLOOKUP($E101,'D-1 Off-Site Habitat Baseline'!$D$1:$O$258,9,FALSE)),"",(VLOOKUP($E101,'D-1 Off-Site Habitat Baseline'!$D$1:$O$258,9,FALSE))))</f>
        <v/>
      </c>
      <c r="L101" s="295" t="str">
        <f>IF(E101="","",IF(ISNA(VLOOKUP($E101,'D-1 Off-Site Habitat Baseline'!$D$1:$O$258,11,FALSE)),"",(VLOOKUP($E101,'D-1 Off-Site Habitat Baseline'!$D$1:$O$258,11,FALSE))))</f>
        <v/>
      </c>
      <c r="M101" s="295" t="str">
        <f>IF(E101="","",IF(ISNA(VLOOKUP($E101,'D-1 Off-Site Habitat Baseline'!$D$1:$O$258,12,FALSE)),"",(VLOOKUP($E101,'D-1 Off-Site Habitat Baseline'!$D$1:$O$258,12,FALSE))))</f>
        <v/>
      </c>
      <c r="N101" s="295" t="str">
        <f>IF(E101="","",IF(ISNA(VLOOKUP($E101,'D-1 Off-Site Habitat Baseline'!$D$1:$AA$258,17,FALSE)),"",(VLOOKUP($E101,'D-1 Off-Site Habitat Baseline'!$D$1:$AA$258,17,FALSE))))</f>
        <v/>
      </c>
      <c r="O101" s="299" t="str">
        <f>IF(E101="","",IF(ISNA(VLOOKUP($E101,'D-1 Off-Site Habitat Baseline'!$D$1:$AA$258,13,FALSE)),"",(VLOOKUP($E101,'D-1 Off-Site Habitat Baseline'!$D$1:$AA$258,13,FALSE))))</f>
        <v/>
      </c>
      <c r="P101" s="148" t="str">
        <f>IFERROR(INDEX('G-1 All Habitats'!$AG$49:$AG$63,MATCH(Q101,'G-1 All Habitats'!$AF$27:$AF$41,0)),"")</f>
        <v/>
      </c>
      <c r="Q101" s="149" t="str">
        <f t="shared" si="13"/>
        <v/>
      </c>
      <c r="R101" s="150"/>
      <c r="S101" s="151" t="str">
        <f>IFERROR(INDEX('G-1 All Habitats'!$B$3:$B$135,MATCH(R101,'G-1 All Habitats'!$A$3:$A$135,0)),"")</f>
        <v/>
      </c>
      <c r="T101" s="283" t="str">
        <f t="shared" si="14"/>
        <v/>
      </c>
      <c r="U101" s="276" t="str">
        <f t="shared" si="15"/>
        <v/>
      </c>
      <c r="V101" s="298" t="str">
        <f t="shared" si="11"/>
        <v/>
      </c>
      <c r="W101" s="295" t="str">
        <f>IF(S101="","",VLOOKUP(S101,'G-1 All Habitats'!$B$2:$M$135,10,FALSE))</f>
        <v/>
      </c>
      <c r="X101" s="295" t="str">
        <f>IFERROR(VLOOKUP(W101,'G-1 All Habitats'!$V$3:$W$7,2,FALSE),"")</f>
        <v/>
      </c>
      <c r="Y101" s="138"/>
      <c r="Z101" s="299" t="str">
        <f>IFERROR(INDEX('G-8 Condition Look up'!$A$3:$H$135,MATCH(S101,'G-8 Condition Look up'!$A$3:$A$135,0),MATCH(Y101,'G-8 Condition Look up'!$A$3:$H$3,0)),"")</f>
        <v/>
      </c>
      <c r="AA101" s="101"/>
      <c r="AB101" s="314" t="str">
        <f>IF(AA101="","",IF(VLOOKUP(AA101,'G-3 Multipliers'!$L$3:$N$6,2,FALSE)=0,"Spatial Data Missing ⚠",VLOOKUP(AA101,'G-3 Multipliers'!$L$3:$N$6,2,FALSE)))</f>
        <v/>
      </c>
      <c r="AC101" s="299" t="str">
        <f>IF(AA101="","",IF(VLOOKUP(AA101,'G-3 Multipliers'!$L$3:$N$6,3,FALSE)=0,"Spatial Data Missing ⚠",VLOOKUP(AA101,'G-3 Multipliers'!$L$3:$N$6,3,FALSE)))</f>
        <v/>
      </c>
      <c r="AD101" s="311" t="str">
        <f t="shared" si="12"/>
        <v/>
      </c>
      <c r="AE101" s="138"/>
      <c r="AF101" s="138"/>
      <c r="AG101" s="295" t="str">
        <f t="shared" si="16"/>
        <v/>
      </c>
      <c r="AH101" s="296" t="str">
        <f t="shared" si="17"/>
        <v/>
      </c>
      <c r="AI101" s="300" t="str">
        <f>IF(AH101="Check Data ⚠","Check Data ⚠",IFERROR(VLOOKUP(AH101,'G-4 Temporal multipliers'!$A$4:$C$36,3,FALSE),""))</f>
        <v/>
      </c>
      <c r="AJ101" s="311" t="str">
        <f>IF(S101="","",VLOOKUP(S101,'G-3 Multipliers'!$A$2:$E$134,4,FALSE))</f>
        <v/>
      </c>
      <c r="AK101" s="295" t="str">
        <f t="shared" si="18"/>
        <v/>
      </c>
      <c r="AL101" s="295" t="str">
        <f t="shared" si="19"/>
        <v/>
      </c>
      <c r="AM101" s="299" t="str">
        <f>IFERROR(IF(F101="","",IF(AH101="Check Data ⚠","Check Data ⚠",VLOOKUP(AL101,'G-3 Multipliers'!$P$2:$Q$6,2,FALSE))),"")</f>
        <v/>
      </c>
      <c r="AN101" s="712" t="str">
        <f>IF(E101="","",IF(ISNA(VLOOKUP($E101,'D-1 Off-Site Habitat Baseline'!$D$1:$Z$258,15,FALSE)),"",(VLOOKUP($E101,'D-1 Off-Site Habitat Baseline'!$D$1:$Z$258,15,FALSE))))</f>
        <v/>
      </c>
      <c r="AO101" s="329" t="str">
        <f>IF(AN101="","",IF(VLOOKUP(AN101,'G-3 Multipliers'!$S$3:$T$10,2,FALSE)=0,"Spatial Data Missing ⚠",VLOOKUP(AN101,'G-3 Multipliers'!$S$3:$T$10,2,FALSE)))</f>
        <v/>
      </c>
      <c r="AP101" s="289" t="str">
        <f t="shared" si="20"/>
        <v/>
      </c>
      <c r="AQ101" s="289" t="str">
        <f t="shared" si="21"/>
        <v/>
      </c>
      <c r="AR101" s="105"/>
      <c r="AS101" s="138"/>
      <c r="AT101" s="104"/>
      <c r="AU101" s="104"/>
      <c r="AY101" s="30" t="str">
        <f>IF(E101="","",IF(ISNA(VLOOKUP($E101,'D-1 Off-Site Habitat Baseline'!$D$1:$AV$258,4,FALSE)),"",(VLOOKUP($E101,'D-1 Off-Site Habitat Baseline'!$D$1:$AV$258,4,FALSE))))</f>
        <v/>
      </c>
    </row>
    <row r="102" spans="1:51" ht="14">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319" t="str">
        <f>'D-1 Off-Site Habitat Baseline'!AP101</f>
        <v/>
      </c>
      <c r="F102" s="283" t="str">
        <f>IF(E102="","",IF(ISNA(VLOOKUP($E102,'D-1 Off-Site Habitat Baseline'!$D$1:$ZZ$258,45,FALSE)),"",(VLOOKUP($E102,'D-1 Off-Site Habitat Baseline'!$D$1:$ZZ$258,45,FALSE))))</f>
        <v/>
      </c>
      <c r="G102" s="295" t="str">
        <f>IF(E102="","",IF(ISNA(VLOOKUP($E102,'D-1 Off-Site Habitat Baseline'!$D$1:$O$258,5,FALSE)),"",(VLOOKUP($E102,'D-1 Off-Site Habitat Baseline'!$D$1:$O$258,5,FALSE))))</f>
        <v/>
      </c>
      <c r="H102" s="295" t="str">
        <f>IF(E102="","",IF(ISNA(VLOOKUP($E102,'D-1 Off-Site Habitat Baseline'!$D$1:$O$258,6,FALSE)),"",(VLOOKUP($E102,'D-1 Off-Site Habitat Baseline'!$D$1:$O$258,6,FALSE))))</f>
        <v/>
      </c>
      <c r="I102" s="295" t="str">
        <f>IF(E102="","",IF(ISNA(VLOOKUP($E102,'D-1 Off-Site Habitat Baseline'!$D$1:$O$258,7,FALSE)),"",(VLOOKUP($E102,'D-1 Off-Site Habitat Baseline'!$D$1:$O$258,7,FALSE))))</f>
        <v/>
      </c>
      <c r="J102" s="295" t="str">
        <f>IF(E102="","",IF(ISNA(VLOOKUP($E102,'D-1 Off-Site Habitat Baseline'!$D$1:$O$258,8,FALSE)),"",(VLOOKUP($E102,'D-1 Off-Site Habitat Baseline'!$D$1:$O$258,8,FALSE))))</f>
        <v/>
      </c>
      <c r="K102" s="295" t="str">
        <f>IF(E102="","",IF(ISNA(VLOOKUP($E102,'D-1 Off-Site Habitat Baseline'!$D$1:$O$258,9,FALSE)),"",(VLOOKUP($E102,'D-1 Off-Site Habitat Baseline'!$D$1:$O$258,9,FALSE))))</f>
        <v/>
      </c>
      <c r="L102" s="295" t="str">
        <f>IF(E102="","",IF(ISNA(VLOOKUP($E102,'D-1 Off-Site Habitat Baseline'!$D$1:$O$258,11,FALSE)),"",(VLOOKUP($E102,'D-1 Off-Site Habitat Baseline'!$D$1:$O$258,11,FALSE))))</f>
        <v/>
      </c>
      <c r="M102" s="295" t="str">
        <f>IF(E102="","",IF(ISNA(VLOOKUP($E102,'D-1 Off-Site Habitat Baseline'!$D$1:$O$258,12,FALSE)),"",(VLOOKUP($E102,'D-1 Off-Site Habitat Baseline'!$D$1:$O$258,12,FALSE))))</f>
        <v/>
      </c>
      <c r="N102" s="295" t="str">
        <f>IF(E102="","",IF(ISNA(VLOOKUP($E102,'D-1 Off-Site Habitat Baseline'!$D$1:$AA$258,17,FALSE)),"",(VLOOKUP($E102,'D-1 Off-Site Habitat Baseline'!$D$1:$AA$258,17,FALSE))))</f>
        <v/>
      </c>
      <c r="O102" s="299" t="str">
        <f>IF(E102="","",IF(ISNA(VLOOKUP($E102,'D-1 Off-Site Habitat Baseline'!$D$1:$AA$258,13,FALSE)),"",(VLOOKUP($E102,'D-1 Off-Site Habitat Baseline'!$D$1:$AA$258,13,FALSE))))</f>
        <v/>
      </c>
      <c r="P102" s="148" t="str">
        <f>IFERROR(INDEX('G-1 All Habitats'!$AG$49:$AG$63,MATCH(Q102,'G-1 All Habitats'!$AF$27:$AF$41,0)),"")</f>
        <v/>
      </c>
      <c r="Q102" s="149" t="str">
        <f t="shared" si="13"/>
        <v/>
      </c>
      <c r="R102" s="150"/>
      <c r="S102" s="151" t="str">
        <f>IFERROR(INDEX('G-1 All Habitats'!$B$3:$B$135,MATCH(R102,'G-1 All Habitats'!$A$3:$A$135,0)),"")</f>
        <v/>
      </c>
      <c r="T102" s="283" t="str">
        <f t="shared" si="14"/>
        <v/>
      </c>
      <c r="U102" s="276" t="str">
        <f t="shared" si="15"/>
        <v/>
      </c>
      <c r="V102" s="298" t="str">
        <f t="shared" si="11"/>
        <v/>
      </c>
      <c r="W102" s="295" t="str">
        <f>IF(S102="","",VLOOKUP(S102,'G-1 All Habitats'!$B$2:$M$135,10,FALSE))</f>
        <v/>
      </c>
      <c r="X102" s="295" t="str">
        <f>IFERROR(VLOOKUP(W102,'G-1 All Habitats'!$V$3:$W$7,2,FALSE),"")</f>
        <v/>
      </c>
      <c r="Y102" s="138"/>
      <c r="Z102" s="299" t="str">
        <f>IFERROR(INDEX('G-8 Condition Look up'!$A$3:$H$135,MATCH(S102,'G-8 Condition Look up'!$A$3:$A$135,0),MATCH(Y102,'G-8 Condition Look up'!$A$3:$H$3,0)),"")</f>
        <v/>
      </c>
      <c r="AA102" s="101"/>
      <c r="AB102" s="314" t="str">
        <f>IF(AA102="","",IF(VLOOKUP(AA102,'G-3 Multipliers'!$L$3:$N$6,2,FALSE)=0,"Spatial Data Missing ⚠",VLOOKUP(AA102,'G-3 Multipliers'!$L$3:$N$6,2,FALSE)))</f>
        <v/>
      </c>
      <c r="AC102" s="299" t="str">
        <f>IF(AA102="","",IF(VLOOKUP(AA102,'G-3 Multipliers'!$L$3:$N$6,3,FALSE)=0,"Spatial Data Missing ⚠",VLOOKUP(AA102,'G-3 Multipliers'!$L$3:$N$6,3,FALSE)))</f>
        <v/>
      </c>
      <c r="AD102" s="311" t="str">
        <f t="shared" si="12"/>
        <v/>
      </c>
      <c r="AE102" s="138"/>
      <c r="AF102" s="138"/>
      <c r="AG102" s="295" t="str">
        <f t="shared" si="16"/>
        <v/>
      </c>
      <c r="AH102" s="296" t="str">
        <f t="shared" si="17"/>
        <v/>
      </c>
      <c r="AI102" s="300" t="str">
        <f>IF(AH102="Check Data ⚠","Check Data ⚠",IFERROR(VLOOKUP(AH102,'G-4 Temporal multipliers'!$A$4:$C$36,3,FALSE),""))</f>
        <v/>
      </c>
      <c r="AJ102" s="311" t="str">
        <f>IF(S102="","",VLOOKUP(S102,'G-3 Multipliers'!$A$2:$E$134,4,FALSE))</f>
        <v/>
      </c>
      <c r="AK102" s="295" t="str">
        <f t="shared" si="18"/>
        <v/>
      </c>
      <c r="AL102" s="295" t="str">
        <f t="shared" si="19"/>
        <v/>
      </c>
      <c r="AM102" s="299" t="str">
        <f>IFERROR(IF(F102="","",IF(AH102="Check Data ⚠","Check Data ⚠",VLOOKUP(AL102,'G-3 Multipliers'!$P$2:$Q$6,2,FALSE))),"")</f>
        <v/>
      </c>
      <c r="AN102" s="712" t="str">
        <f>IF(E102="","",IF(ISNA(VLOOKUP($E102,'D-1 Off-Site Habitat Baseline'!$D$1:$Z$258,15,FALSE)),"",(VLOOKUP($E102,'D-1 Off-Site Habitat Baseline'!$D$1:$Z$258,15,FALSE))))</f>
        <v/>
      </c>
      <c r="AO102" s="329" t="str">
        <f>IF(AN102="","",IF(VLOOKUP(AN102,'G-3 Multipliers'!$S$3:$T$10,2,FALSE)=0,"Spatial Data Missing ⚠",VLOOKUP(AN102,'G-3 Multipliers'!$S$3:$T$10,2,FALSE)))</f>
        <v/>
      </c>
      <c r="AP102" s="289" t="str">
        <f t="shared" si="20"/>
        <v/>
      </c>
      <c r="AQ102" s="289" t="str">
        <f t="shared" si="21"/>
        <v/>
      </c>
      <c r="AR102" s="105"/>
      <c r="AS102" s="138"/>
      <c r="AT102" s="104"/>
      <c r="AU102" s="104"/>
      <c r="AY102" s="30" t="str">
        <f>IF(E102="","",IF(ISNA(VLOOKUP($E102,'D-1 Off-Site Habitat Baseline'!$D$1:$AV$258,4,FALSE)),"",(VLOOKUP($E102,'D-1 Off-Site Habitat Baseline'!$D$1:$AV$258,4,FALSE))))</f>
        <v/>
      </c>
    </row>
    <row r="103" spans="1:51" ht="14">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319" t="str">
        <f>'D-1 Off-Site Habitat Baseline'!AP102</f>
        <v/>
      </c>
      <c r="F103" s="283" t="str">
        <f>IF(E103="","",IF(ISNA(VLOOKUP($E103,'D-1 Off-Site Habitat Baseline'!$D$1:$ZZ$258,45,FALSE)),"",(VLOOKUP($E103,'D-1 Off-Site Habitat Baseline'!$D$1:$ZZ$258,45,FALSE))))</f>
        <v/>
      </c>
      <c r="G103" s="295" t="str">
        <f>IF(E103="","",IF(ISNA(VLOOKUP($E103,'D-1 Off-Site Habitat Baseline'!$D$1:$O$258,5,FALSE)),"",(VLOOKUP($E103,'D-1 Off-Site Habitat Baseline'!$D$1:$O$258,5,FALSE))))</f>
        <v/>
      </c>
      <c r="H103" s="295" t="str">
        <f>IF(E103="","",IF(ISNA(VLOOKUP($E103,'D-1 Off-Site Habitat Baseline'!$D$1:$O$258,6,FALSE)),"",(VLOOKUP($E103,'D-1 Off-Site Habitat Baseline'!$D$1:$O$258,6,FALSE))))</f>
        <v/>
      </c>
      <c r="I103" s="295" t="str">
        <f>IF(E103="","",IF(ISNA(VLOOKUP($E103,'D-1 Off-Site Habitat Baseline'!$D$1:$O$258,7,FALSE)),"",(VLOOKUP($E103,'D-1 Off-Site Habitat Baseline'!$D$1:$O$258,7,FALSE))))</f>
        <v/>
      </c>
      <c r="J103" s="295" t="str">
        <f>IF(E103="","",IF(ISNA(VLOOKUP($E103,'D-1 Off-Site Habitat Baseline'!$D$1:$O$258,8,FALSE)),"",(VLOOKUP($E103,'D-1 Off-Site Habitat Baseline'!$D$1:$O$258,8,FALSE))))</f>
        <v/>
      </c>
      <c r="K103" s="295" t="str">
        <f>IF(E103="","",IF(ISNA(VLOOKUP($E103,'D-1 Off-Site Habitat Baseline'!$D$1:$O$258,9,FALSE)),"",(VLOOKUP($E103,'D-1 Off-Site Habitat Baseline'!$D$1:$O$258,9,FALSE))))</f>
        <v/>
      </c>
      <c r="L103" s="295" t="str">
        <f>IF(E103="","",IF(ISNA(VLOOKUP($E103,'D-1 Off-Site Habitat Baseline'!$D$1:$O$258,11,FALSE)),"",(VLOOKUP($E103,'D-1 Off-Site Habitat Baseline'!$D$1:$O$258,11,FALSE))))</f>
        <v/>
      </c>
      <c r="M103" s="295" t="str">
        <f>IF(E103="","",IF(ISNA(VLOOKUP($E103,'D-1 Off-Site Habitat Baseline'!$D$1:$O$258,12,FALSE)),"",(VLOOKUP($E103,'D-1 Off-Site Habitat Baseline'!$D$1:$O$258,12,FALSE))))</f>
        <v/>
      </c>
      <c r="N103" s="295" t="str">
        <f>IF(E103="","",IF(ISNA(VLOOKUP($E103,'D-1 Off-Site Habitat Baseline'!$D$1:$AA$258,17,FALSE)),"",(VLOOKUP($E103,'D-1 Off-Site Habitat Baseline'!$D$1:$AA$258,17,FALSE))))</f>
        <v/>
      </c>
      <c r="O103" s="299" t="str">
        <f>IF(E103="","",IF(ISNA(VLOOKUP($E103,'D-1 Off-Site Habitat Baseline'!$D$1:$AA$258,13,FALSE)),"",(VLOOKUP($E103,'D-1 Off-Site Habitat Baseline'!$D$1:$AA$258,13,FALSE))))</f>
        <v/>
      </c>
      <c r="P103" s="148" t="str">
        <f>IFERROR(INDEX('G-1 All Habitats'!$AG$49:$AG$63,MATCH(Q103,'G-1 All Habitats'!$AF$27:$AF$41,0)),"")</f>
        <v/>
      </c>
      <c r="Q103" s="149" t="str">
        <f t="shared" si="13"/>
        <v/>
      </c>
      <c r="R103" s="150"/>
      <c r="S103" s="151" t="str">
        <f>IFERROR(INDEX('G-1 All Habitats'!$B$3:$B$135,MATCH(R103,'G-1 All Habitats'!$A$3:$A$135,0)),"")</f>
        <v/>
      </c>
      <c r="T103" s="283" t="str">
        <f t="shared" si="14"/>
        <v/>
      </c>
      <c r="U103" s="276" t="str">
        <f t="shared" si="15"/>
        <v/>
      </c>
      <c r="V103" s="298" t="str">
        <f t="shared" si="11"/>
        <v/>
      </c>
      <c r="W103" s="295" t="str">
        <f>IF(S103="","",VLOOKUP(S103,'G-1 All Habitats'!$B$2:$M$135,10,FALSE))</f>
        <v/>
      </c>
      <c r="X103" s="295" t="str">
        <f>IFERROR(VLOOKUP(W103,'G-1 All Habitats'!$V$3:$W$7,2,FALSE),"")</f>
        <v/>
      </c>
      <c r="Y103" s="138"/>
      <c r="Z103" s="299" t="str">
        <f>IFERROR(INDEX('G-8 Condition Look up'!$A$3:$H$135,MATCH(S103,'G-8 Condition Look up'!$A$3:$A$135,0),MATCH(Y103,'G-8 Condition Look up'!$A$3:$H$3,0)),"")</f>
        <v/>
      </c>
      <c r="AA103" s="101"/>
      <c r="AB103" s="314" t="str">
        <f>IF(AA103="","",IF(VLOOKUP(AA103,'G-3 Multipliers'!$L$3:$N$6,2,FALSE)=0,"Spatial Data Missing ⚠",VLOOKUP(AA103,'G-3 Multipliers'!$L$3:$N$6,2,FALSE)))</f>
        <v/>
      </c>
      <c r="AC103" s="299" t="str">
        <f>IF(AA103="","",IF(VLOOKUP(AA103,'G-3 Multipliers'!$L$3:$N$6,3,FALSE)=0,"Spatial Data Missing ⚠",VLOOKUP(AA103,'G-3 Multipliers'!$L$3:$N$6,3,FALSE)))</f>
        <v/>
      </c>
      <c r="AD103" s="311" t="str">
        <f t="shared" si="12"/>
        <v/>
      </c>
      <c r="AE103" s="138"/>
      <c r="AF103" s="138"/>
      <c r="AG103" s="295" t="str">
        <f t="shared" si="16"/>
        <v/>
      </c>
      <c r="AH103" s="296" t="str">
        <f t="shared" si="17"/>
        <v/>
      </c>
      <c r="AI103" s="300" t="str">
        <f>IF(AH103="Check Data ⚠","Check Data ⚠",IFERROR(VLOOKUP(AH103,'G-4 Temporal multipliers'!$A$4:$C$36,3,FALSE),""))</f>
        <v/>
      </c>
      <c r="AJ103" s="311" t="str">
        <f>IF(S103="","",VLOOKUP(S103,'G-3 Multipliers'!$A$2:$E$134,4,FALSE))</f>
        <v/>
      </c>
      <c r="AK103" s="295" t="str">
        <f t="shared" si="18"/>
        <v/>
      </c>
      <c r="AL103" s="295" t="str">
        <f t="shared" si="19"/>
        <v/>
      </c>
      <c r="AM103" s="299" t="str">
        <f>IFERROR(IF(F103="","",IF(AH103="Check Data ⚠","Check Data ⚠",VLOOKUP(AL103,'G-3 Multipliers'!$P$2:$Q$6,2,FALSE))),"")</f>
        <v/>
      </c>
      <c r="AN103" s="712" t="str">
        <f>IF(E103="","",IF(ISNA(VLOOKUP($E103,'D-1 Off-Site Habitat Baseline'!$D$1:$Z$258,15,FALSE)),"",(VLOOKUP($E103,'D-1 Off-Site Habitat Baseline'!$D$1:$Z$258,15,FALSE))))</f>
        <v/>
      </c>
      <c r="AO103" s="329" t="str">
        <f>IF(AN103="","",IF(VLOOKUP(AN103,'G-3 Multipliers'!$S$3:$T$10,2,FALSE)=0,"Spatial Data Missing ⚠",VLOOKUP(AN103,'G-3 Multipliers'!$S$3:$T$10,2,FALSE)))</f>
        <v/>
      </c>
      <c r="AP103" s="289" t="str">
        <f t="shared" si="20"/>
        <v/>
      </c>
      <c r="AQ103" s="289" t="str">
        <f t="shared" si="21"/>
        <v/>
      </c>
      <c r="AR103" s="105"/>
      <c r="AS103" s="138"/>
      <c r="AT103" s="104"/>
      <c r="AU103" s="104"/>
      <c r="AY103" s="30" t="str">
        <f>IF(E103="","",IF(ISNA(VLOOKUP($E103,'D-1 Off-Site Habitat Baseline'!$D$1:$AV$258,4,FALSE)),"",(VLOOKUP($E103,'D-1 Off-Site Habitat Baseline'!$D$1:$AV$258,4,FALSE))))</f>
        <v/>
      </c>
    </row>
    <row r="104" spans="1:51" ht="14">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319" t="str">
        <f>'D-1 Off-Site Habitat Baseline'!AP103</f>
        <v/>
      </c>
      <c r="F104" s="283" t="str">
        <f>IF(E104="","",IF(ISNA(VLOOKUP($E104,'D-1 Off-Site Habitat Baseline'!$D$1:$ZZ$258,45,FALSE)),"",(VLOOKUP($E104,'D-1 Off-Site Habitat Baseline'!$D$1:$ZZ$258,45,FALSE))))</f>
        <v/>
      </c>
      <c r="G104" s="295" t="str">
        <f>IF(E104="","",IF(ISNA(VLOOKUP($E104,'D-1 Off-Site Habitat Baseline'!$D$1:$O$258,5,FALSE)),"",(VLOOKUP($E104,'D-1 Off-Site Habitat Baseline'!$D$1:$O$258,5,FALSE))))</f>
        <v/>
      </c>
      <c r="H104" s="295" t="str">
        <f>IF(E104="","",IF(ISNA(VLOOKUP($E104,'D-1 Off-Site Habitat Baseline'!$D$1:$O$258,6,FALSE)),"",(VLOOKUP($E104,'D-1 Off-Site Habitat Baseline'!$D$1:$O$258,6,FALSE))))</f>
        <v/>
      </c>
      <c r="I104" s="295" t="str">
        <f>IF(E104="","",IF(ISNA(VLOOKUP($E104,'D-1 Off-Site Habitat Baseline'!$D$1:$O$258,7,FALSE)),"",(VLOOKUP($E104,'D-1 Off-Site Habitat Baseline'!$D$1:$O$258,7,FALSE))))</f>
        <v/>
      </c>
      <c r="J104" s="295" t="str">
        <f>IF(E104="","",IF(ISNA(VLOOKUP($E104,'D-1 Off-Site Habitat Baseline'!$D$1:$O$258,8,FALSE)),"",(VLOOKUP($E104,'D-1 Off-Site Habitat Baseline'!$D$1:$O$258,8,FALSE))))</f>
        <v/>
      </c>
      <c r="K104" s="295" t="str">
        <f>IF(E104="","",IF(ISNA(VLOOKUP($E104,'D-1 Off-Site Habitat Baseline'!$D$1:$O$258,9,FALSE)),"",(VLOOKUP($E104,'D-1 Off-Site Habitat Baseline'!$D$1:$O$258,9,FALSE))))</f>
        <v/>
      </c>
      <c r="L104" s="295" t="str">
        <f>IF(E104="","",IF(ISNA(VLOOKUP($E104,'D-1 Off-Site Habitat Baseline'!$D$1:$O$258,11,FALSE)),"",(VLOOKUP($E104,'D-1 Off-Site Habitat Baseline'!$D$1:$O$258,11,FALSE))))</f>
        <v/>
      </c>
      <c r="M104" s="295" t="str">
        <f>IF(E104="","",IF(ISNA(VLOOKUP($E104,'D-1 Off-Site Habitat Baseline'!$D$1:$O$258,12,FALSE)),"",(VLOOKUP($E104,'D-1 Off-Site Habitat Baseline'!$D$1:$O$258,12,FALSE))))</f>
        <v/>
      </c>
      <c r="N104" s="295" t="str">
        <f>IF(E104="","",IF(ISNA(VLOOKUP($E104,'D-1 Off-Site Habitat Baseline'!$D$1:$AA$258,17,FALSE)),"",(VLOOKUP($E104,'D-1 Off-Site Habitat Baseline'!$D$1:$AA$258,17,FALSE))))</f>
        <v/>
      </c>
      <c r="O104" s="299" t="str">
        <f>IF(E104="","",IF(ISNA(VLOOKUP($E104,'D-1 Off-Site Habitat Baseline'!$D$1:$AA$258,13,FALSE)),"",(VLOOKUP($E104,'D-1 Off-Site Habitat Baseline'!$D$1:$AA$258,13,FALSE))))</f>
        <v/>
      </c>
      <c r="P104" s="148" t="str">
        <f>IFERROR(INDEX('G-1 All Habitats'!$AG$49:$AG$63,MATCH(Q104,'G-1 All Habitats'!$AF$27:$AF$41,0)),"")</f>
        <v/>
      </c>
      <c r="Q104" s="149" t="str">
        <f t="shared" si="13"/>
        <v/>
      </c>
      <c r="R104" s="150"/>
      <c r="S104" s="151" t="str">
        <f>IFERROR(INDEX('G-1 All Habitats'!$B$3:$B$135,MATCH(R104,'G-1 All Habitats'!$A$3:$A$135,0)),"")</f>
        <v/>
      </c>
      <c r="T104" s="283" t="str">
        <f t="shared" si="14"/>
        <v/>
      </c>
      <c r="U104" s="276" t="str">
        <f t="shared" si="15"/>
        <v/>
      </c>
      <c r="V104" s="298" t="str">
        <f t="shared" si="11"/>
        <v/>
      </c>
      <c r="W104" s="295" t="str">
        <f>IF(S104="","",VLOOKUP(S104,'G-1 All Habitats'!$B$2:$M$135,10,FALSE))</f>
        <v/>
      </c>
      <c r="X104" s="295" t="str">
        <f>IFERROR(VLOOKUP(W104,'G-1 All Habitats'!$V$3:$W$7,2,FALSE),"")</f>
        <v/>
      </c>
      <c r="Y104" s="138"/>
      <c r="Z104" s="299" t="str">
        <f>IFERROR(INDEX('G-8 Condition Look up'!$A$3:$H$135,MATCH(S104,'G-8 Condition Look up'!$A$3:$A$135,0),MATCH(Y104,'G-8 Condition Look up'!$A$3:$H$3,0)),"")</f>
        <v/>
      </c>
      <c r="AA104" s="101"/>
      <c r="AB104" s="314" t="str">
        <f>IF(AA104="","",IF(VLOOKUP(AA104,'G-3 Multipliers'!$L$3:$N$6,2,FALSE)=0,"Spatial Data Missing ⚠",VLOOKUP(AA104,'G-3 Multipliers'!$L$3:$N$6,2,FALSE)))</f>
        <v/>
      </c>
      <c r="AC104" s="299" t="str">
        <f>IF(AA104="","",IF(VLOOKUP(AA104,'G-3 Multipliers'!$L$3:$N$6,3,FALSE)=0,"Spatial Data Missing ⚠",VLOOKUP(AA104,'G-3 Multipliers'!$L$3:$N$6,3,FALSE)))</f>
        <v/>
      </c>
      <c r="AD104" s="311" t="str">
        <f t="shared" si="12"/>
        <v/>
      </c>
      <c r="AE104" s="138"/>
      <c r="AF104" s="138"/>
      <c r="AG104" s="295" t="str">
        <f t="shared" si="16"/>
        <v/>
      </c>
      <c r="AH104" s="296" t="str">
        <f t="shared" si="17"/>
        <v/>
      </c>
      <c r="AI104" s="300" t="str">
        <f>IF(AH104="Check Data ⚠","Check Data ⚠",IFERROR(VLOOKUP(AH104,'G-4 Temporal multipliers'!$A$4:$C$36,3,FALSE),""))</f>
        <v/>
      </c>
      <c r="AJ104" s="311" t="str">
        <f>IF(S104="","",VLOOKUP(S104,'G-3 Multipliers'!$A$2:$E$134,4,FALSE))</f>
        <v/>
      </c>
      <c r="AK104" s="295" t="str">
        <f t="shared" si="18"/>
        <v/>
      </c>
      <c r="AL104" s="295" t="str">
        <f t="shared" si="19"/>
        <v/>
      </c>
      <c r="AM104" s="299" t="str">
        <f>IFERROR(IF(F104="","",IF(AH104="Check Data ⚠","Check Data ⚠",VLOOKUP(AL104,'G-3 Multipliers'!$P$2:$Q$6,2,FALSE))),"")</f>
        <v/>
      </c>
      <c r="AN104" s="712" t="str">
        <f>IF(E104="","",IF(ISNA(VLOOKUP($E104,'D-1 Off-Site Habitat Baseline'!$D$1:$Z$258,15,FALSE)),"",(VLOOKUP($E104,'D-1 Off-Site Habitat Baseline'!$D$1:$Z$258,15,FALSE))))</f>
        <v/>
      </c>
      <c r="AO104" s="329" t="str">
        <f>IF(AN104="","",IF(VLOOKUP(AN104,'G-3 Multipliers'!$S$3:$T$10,2,FALSE)=0,"Spatial Data Missing ⚠",VLOOKUP(AN104,'G-3 Multipliers'!$S$3:$T$10,2,FALSE)))</f>
        <v/>
      </c>
      <c r="AP104" s="289" t="str">
        <f t="shared" si="20"/>
        <v/>
      </c>
      <c r="AQ104" s="289" t="str">
        <f t="shared" si="21"/>
        <v/>
      </c>
      <c r="AR104" s="105"/>
      <c r="AS104" s="138"/>
      <c r="AT104" s="104"/>
      <c r="AU104" s="104"/>
      <c r="AY104" s="30" t="str">
        <f>IF(E104="","",IF(ISNA(VLOOKUP($E104,'D-1 Off-Site Habitat Baseline'!$D$1:$AV$258,4,FALSE)),"",(VLOOKUP($E104,'D-1 Off-Site Habitat Baseline'!$D$1:$AV$258,4,FALSE))))</f>
        <v/>
      </c>
    </row>
    <row r="105" spans="1:51" ht="14">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319" t="str">
        <f>'D-1 Off-Site Habitat Baseline'!AP104</f>
        <v/>
      </c>
      <c r="F105" s="283" t="str">
        <f>IF(E105="","",IF(ISNA(VLOOKUP($E105,'D-1 Off-Site Habitat Baseline'!$D$1:$ZZ$258,45,FALSE)),"",(VLOOKUP($E105,'D-1 Off-Site Habitat Baseline'!$D$1:$ZZ$258,45,FALSE))))</f>
        <v/>
      </c>
      <c r="G105" s="295" t="str">
        <f>IF(E105="","",IF(ISNA(VLOOKUP($E105,'D-1 Off-Site Habitat Baseline'!$D$1:$O$258,5,FALSE)),"",(VLOOKUP($E105,'D-1 Off-Site Habitat Baseline'!$D$1:$O$258,5,FALSE))))</f>
        <v/>
      </c>
      <c r="H105" s="295" t="str">
        <f>IF(E105="","",IF(ISNA(VLOOKUP($E105,'D-1 Off-Site Habitat Baseline'!$D$1:$O$258,6,FALSE)),"",(VLOOKUP($E105,'D-1 Off-Site Habitat Baseline'!$D$1:$O$258,6,FALSE))))</f>
        <v/>
      </c>
      <c r="I105" s="295" t="str">
        <f>IF(E105="","",IF(ISNA(VLOOKUP($E105,'D-1 Off-Site Habitat Baseline'!$D$1:$O$258,7,FALSE)),"",(VLOOKUP($E105,'D-1 Off-Site Habitat Baseline'!$D$1:$O$258,7,FALSE))))</f>
        <v/>
      </c>
      <c r="J105" s="295" t="str">
        <f>IF(E105="","",IF(ISNA(VLOOKUP($E105,'D-1 Off-Site Habitat Baseline'!$D$1:$O$258,8,FALSE)),"",(VLOOKUP($E105,'D-1 Off-Site Habitat Baseline'!$D$1:$O$258,8,FALSE))))</f>
        <v/>
      </c>
      <c r="K105" s="295" t="str">
        <f>IF(E105="","",IF(ISNA(VLOOKUP($E105,'D-1 Off-Site Habitat Baseline'!$D$1:$O$258,9,FALSE)),"",(VLOOKUP($E105,'D-1 Off-Site Habitat Baseline'!$D$1:$O$258,9,FALSE))))</f>
        <v/>
      </c>
      <c r="L105" s="295" t="str">
        <f>IF(E105="","",IF(ISNA(VLOOKUP($E105,'D-1 Off-Site Habitat Baseline'!$D$1:$O$258,11,FALSE)),"",(VLOOKUP($E105,'D-1 Off-Site Habitat Baseline'!$D$1:$O$258,11,FALSE))))</f>
        <v/>
      </c>
      <c r="M105" s="295" t="str">
        <f>IF(E105="","",IF(ISNA(VLOOKUP($E105,'D-1 Off-Site Habitat Baseline'!$D$1:$O$258,12,FALSE)),"",(VLOOKUP($E105,'D-1 Off-Site Habitat Baseline'!$D$1:$O$258,12,FALSE))))</f>
        <v/>
      </c>
      <c r="N105" s="295" t="str">
        <f>IF(E105="","",IF(ISNA(VLOOKUP($E105,'D-1 Off-Site Habitat Baseline'!$D$1:$AA$258,17,FALSE)),"",(VLOOKUP($E105,'D-1 Off-Site Habitat Baseline'!$D$1:$AA$258,17,FALSE))))</f>
        <v/>
      </c>
      <c r="O105" s="299" t="str">
        <f>IF(E105="","",IF(ISNA(VLOOKUP($E105,'D-1 Off-Site Habitat Baseline'!$D$1:$AA$258,13,FALSE)),"",(VLOOKUP($E105,'D-1 Off-Site Habitat Baseline'!$D$1:$AA$258,13,FALSE))))</f>
        <v/>
      </c>
      <c r="P105" s="148" t="str">
        <f>IFERROR(INDEX('G-1 All Habitats'!$AG$49:$AG$63,MATCH(Q105,'G-1 All Habitats'!$AF$27:$AF$41,0)),"")</f>
        <v/>
      </c>
      <c r="Q105" s="149" t="str">
        <f t="shared" si="13"/>
        <v/>
      </c>
      <c r="R105" s="150"/>
      <c r="S105" s="151" t="str">
        <f>IFERROR(INDEX('G-1 All Habitats'!$B$3:$B$135,MATCH(R105,'G-1 All Habitats'!$A$3:$A$135,0)),"")</f>
        <v/>
      </c>
      <c r="T105" s="283" t="str">
        <f t="shared" si="14"/>
        <v/>
      </c>
      <c r="U105" s="276" t="str">
        <f t="shared" si="15"/>
        <v/>
      </c>
      <c r="V105" s="298" t="str">
        <f t="shared" si="11"/>
        <v/>
      </c>
      <c r="W105" s="295" t="str">
        <f>IF(S105="","",VLOOKUP(S105,'G-1 All Habitats'!$B$2:$M$135,10,FALSE))</f>
        <v/>
      </c>
      <c r="X105" s="295" t="str">
        <f>IFERROR(VLOOKUP(W105,'G-1 All Habitats'!$V$3:$W$7,2,FALSE),"")</f>
        <v/>
      </c>
      <c r="Y105" s="138"/>
      <c r="Z105" s="299" t="str">
        <f>IFERROR(INDEX('G-8 Condition Look up'!$A$3:$H$135,MATCH(S105,'G-8 Condition Look up'!$A$3:$A$135,0),MATCH(Y105,'G-8 Condition Look up'!$A$3:$H$3,0)),"")</f>
        <v/>
      </c>
      <c r="AA105" s="101"/>
      <c r="AB105" s="314" t="str">
        <f>IF(AA105="","",IF(VLOOKUP(AA105,'G-3 Multipliers'!$L$3:$N$6,2,FALSE)=0,"Spatial Data Missing ⚠",VLOOKUP(AA105,'G-3 Multipliers'!$L$3:$N$6,2,FALSE)))</f>
        <v/>
      </c>
      <c r="AC105" s="299" t="str">
        <f>IF(AA105="","",IF(VLOOKUP(AA105,'G-3 Multipliers'!$L$3:$N$6,3,FALSE)=0,"Spatial Data Missing ⚠",VLOOKUP(AA105,'G-3 Multipliers'!$L$3:$N$6,3,FALSE)))</f>
        <v/>
      </c>
      <c r="AD105" s="311" t="str">
        <f t="shared" si="12"/>
        <v/>
      </c>
      <c r="AE105" s="138"/>
      <c r="AF105" s="138"/>
      <c r="AG105" s="295" t="str">
        <f t="shared" si="16"/>
        <v/>
      </c>
      <c r="AH105" s="296" t="str">
        <f t="shared" si="17"/>
        <v/>
      </c>
      <c r="AI105" s="300" t="str">
        <f>IF(AH105="Check Data ⚠","Check Data ⚠",IFERROR(VLOOKUP(AH105,'G-4 Temporal multipliers'!$A$4:$C$36,3,FALSE),""))</f>
        <v/>
      </c>
      <c r="AJ105" s="311" t="str">
        <f>IF(S105="","",VLOOKUP(S105,'G-3 Multipliers'!$A$2:$E$134,4,FALSE))</f>
        <v/>
      </c>
      <c r="AK105" s="295" t="str">
        <f t="shared" si="18"/>
        <v/>
      </c>
      <c r="AL105" s="295" t="str">
        <f t="shared" si="19"/>
        <v/>
      </c>
      <c r="AM105" s="299" t="str">
        <f>IFERROR(IF(F105="","",IF(AH105="Check Data ⚠","Check Data ⚠",VLOOKUP(AL105,'G-3 Multipliers'!$P$2:$Q$6,2,FALSE))),"")</f>
        <v/>
      </c>
      <c r="AN105" s="712" t="str">
        <f>IF(E105="","",IF(ISNA(VLOOKUP($E105,'D-1 Off-Site Habitat Baseline'!$D$1:$Z$258,15,FALSE)),"",(VLOOKUP($E105,'D-1 Off-Site Habitat Baseline'!$D$1:$Z$258,15,FALSE))))</f>
        <v/>
      </c>
      <c r="AO105" s="329" t="str">
        <f>IF(AN105="","",IF(VLOOKUP(AN105,'G-3 Multipliers'!$S$3:$T$10,2,FALSE)=0,"Spatial Data Missing ⚠",VLOOKUP(AN105,'G-3 Multipliers'!$S$3:$T$10,2,FALSE)))</f>
        <v/>
      </c>
      <c r="AP105" s="289" t="str">
        <f t="shared" si="20"/>
        <v/>
      </c>
      <c r="AQ105" s="289" t="str">
        <f t="shared" si="21"/>
        <v/>
      </c>
      <c r="AR105" s="105"/>
      <c r="AS105" s="138"/>
      <c r="AT105" s="104"/>
      <c r="AU105" s="104"/>
      <c r="AY105" s="30" t="str">
        <f>IF(E105="","",IF(ISNA(VLOOKUP($E105,'D-1 Off-Site Habitat Baseline'!$D$1:$AV$258,4,FALSE)),"",(VLOOKUP($E105,'D-1 Off-Site Habitat Baseline'!$D$1:$AV$258,4,FALSE))))</f>
        <v/>
      </c>
    </row>
    <row r="106" spans="1:51" ht="14">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319" t="str">
        <f>'D-1 Off-Site Habitat Baseline'!AP105</f>
        <v/>
      </c>
      <c r="F106" s="283" t="str">
        <f>IF(E106="","",IF(ISNA(VLOOKUP($E106,'D-1 Off-Site Habitat Baseline'!$D$1:$ZZ$258,45,FALSE)),"",(VLOOKUP($E106,'D-1 Off-Site Habitat Baseline'!$D$1:$ZZ$258,45,FALSE))))</f>
        <v/>
      </c>
      <c r="G106" s="295" t="str">
        <f>IF(E106="","",IF(ISNA(VLOOKUP($E106,'D-1 Off-Site Habitat Baseline'!$D$1:$O$258,5,FALSE)),"",(VLOOKUP($E106,'D-1 Off-Site Habitat Baseline'!$D$1:$O$258,5,FALSE))))</f>
        <v/>
      </c>
      <c r="H106" s="295" t="str">
        <f>IF(E106="","",IF(ISNA(VLOOKUP($E106,'D-1 Off-Site Habitat Baseline'!$D$1:$O$258,6,FALSE)),"",(VLOOKUP($E106,'D-1 Off-Site Habitat Baseline'!$D$1:$O$258,6,FALSE))))</f>
        <v/>
      </c>
      <c r="I106" s="295" t="str">
        <f>IF(E106="","",IF(ISNA(VLOOKUP($E106,'D-1 Off-Site Habitat Baseline'!$D$1:$O$258,7,FALSE)),"",(VLOOKUP($E106,'D-1 Off-Site Habitat Baseline'!$D$1:$O$258,7,FALSE))))</f>
        <v/>
      </c>
      <c r="J106" s="295" t="str">
        <f>IF(E106="","",IF(ISNA(VLOOKUP($E106,'D-1 Off-Site Habitat Baseline'!$D$1:$O$258,8,FALSE)),"",(VLOOKUP($E106,'D-1 Off-Site Habitat Baseline'!$D$1:$O$258,8,FALSE))))</f>
        <v/>
      </c>
      <c r="K106" s="295" t="str">
        <f>IF(E106="","",IF(ISNA(VLOOKUP($E106,'D-1 Off-Site Habitat Baseline'!$D$1:$O$258,9,FALSE)),"",(VLOOKUP($E106,'D-1 Off-Site Habitat Baseline'!$D$1:$O$258,9,FALSE))))</f>
        <v/>
      </c>
      <c r="L106" s="295" t="str">
        <f>IF(E106="","",IF(ISNA(VLOOKUP($E106,'D-1 Off-Site Habitat Baseline'!$D$1:$O$258,11,FALSE)),"",(VLOOKUP($E106,'D-1 Off-Site Habitat Baseline'!$D$1:$O$258,11,FALSE))))</f>
        <v/>
      </c>
      <c r="M106" s="295" t="str">
        <f>IF(E106="","",IF(ISNA(VLOOKUP($E106,'D-1 Off-Site Habitat Baseline'!$D$1:$O$258,12,FALSE)),"",(VLOOKUP($E106,'D-1 Off-Site Habitat Baseline'!$D$1:$O$258,12,FALSE))))</f>
        <v/>
      </c>
      <c r="N106" s="295" t="str">
        <f>IF(E106="","",IF(ISNA(VLOOKUP($E106,'D-1 Off-Site Habitat Baseline'!$D$1:$AA$258,17,FALSE)),"",(VLOOKUP($E106,'D-1 Off-Site Habitat Baseline'!$D$1:$AA$258,17,FALSE))))</f>
        <v/>
      </c>
      <c r="O106" s="299" t="str">
        <f>IF(E106="","",IF(ISNA(VLOOKUP($E106,'D-1 Off-Site Habitat Baseline'!$D$1:$AA$258,13,FALSE)),"",(VLOOKUP($E106,'D-1 Off-Site Habitat Baseline'!$D$1:$AA$258,13,FALSE))))</f>
        <v/>
      </c>
      <c r="P106" s="148" t="str">
        <f>IFERROR(INDEX('G-1 All Habitats'!$AG$49:$AG$63,MATCH(Q106,'G-1 All Habitats'!$AF$27:$AF$41,0)),"")</f>
        <v/>
      </c>
      <c r="Q106" s="149" t="str">
        <f t="shared" si="13"/>
        <v/>
      </c>
      <c r="R106" s="150"/>
      <c r="S106" s="151" t="str">
        <f>IFERROR(INDEX('G-1 All Habitats'!$B$3:$B$135,MATCH(R106,'G-1 All Habitats'!$A$3:$A$135,0)),"")</f>
        <v/>
      </c>
      <c r="T106" s="283" t="str">
        <f t="shared" si="14"/>
        <v/>
      </c>
      <c r="U106" s="276" t="str">
        <f t="shared" si="15"/>
        <v/>
      </c>
      <c r="V106" s="298" t="str">
        <f t="shared" si="11"/>
        <v/>
      </c>
      <c r="W106" s="295" t="str">
        <f>IF(S106="","",VLOOKUP(S106,'G-1 All Habitats'!$B$2:$M$135,10,FALSE))</f>
        <v/>
      </c>
      <c r="X106" s="295" t="str">
        <f>IFERROR(VLOOKUP(W106,'G-1 All Habitats'!$V$3:$W$7,2,FALSE),"")</f>
        <v/>
      </c>
      <c r="Y106" s="138"/>
      <c r="Z106" s="299" t="str">
        <f>IFERROR(INDEX('G-8 Condition Look up'!$A$3:$H$135,MATCH(S106,'G-8 Condition Look up'!$A$3:$A$135,0),MATCH(Y106,'G-8 Condition Look up'!$A$3:$H$3,0)),"")</f>
        <v/>
      </c>
      <c r="AA106" s="101"/>
      <c r="AB106" s="314" t="str">
        <f>IF(AA106="","",IF(VLOOKUP(AA106,'G-3 Multipliers'!$L$3:$N$6,2,FALSE)=0,"Spatial Data Missing ⚠",VLOOKUP(AA106,'G-3 Multipliers'!$L$3:$N$6,2,FALSE)))</f>
        <v/>
      </c>
      <c r="AC106" s="299" t="str">
        <f>IF(AA106="","",IF(VLOOKUP(AA106,'G-3 Multipliers'!$L$3:$N$6,3,FALSE)=0,"Spatial Data Missing ⚠",VLOOKUP(AA106,'G-3 Multipliers'!$L$3:$N$6,3,FALSE)))</f>
        <v/>
      </c>
      <c r="AD106" s="311" t="str">
        <f t="shared" si="12"/>
        <v/>
      </c>
      <c r="AE106" s="138"/>
      <c r="AF106" s="138"/>
      <c r="AG106" s="295" t="str">
        <f t="shared" si="16"/>
        <v/>
      </c>
      <c r="AH106" s="296" t="str">
        <f t="shared" si="17"/>
        <v/>
      </c>
      <c r="AI106" s="300" t="str">
        <f>IF(AH106="Check Data ⚠","Check Data ⚠",IFERROR(VLOOKUP(AH106,'G-4 Temporal multipliers'!$A$4:$C$36,3,FALSE),""))</f>
        <v/>
      </c>
      <c r="AJ106" s="311" t="str">
        <f>IF(S106="","",VLOOKUP(S106,'G-3 Multipliers'!$A$2:$E$134,4,FALSE))</f>
        <v/>
      </c>
      <c r="AK106" s="295" t="str">
        <f t="shared" si="18"/>
        <v/>
      </c>
      <c r="AL106" s="295" t="str">
        <f t="shared" si="19"/>
        <v/>
      </c>
      <c r="AM106" s="299" t="str">
        <f>IFERROR(IF(F106="","",IF(AH106="Check Data ⚠","Check Data ⚠",VLOOKUP(AL106,'G-3 Multipliers'!$P$2:$Q$6,2,FALSE))),"")</f>
        <v/>
      </c>
      <c r="AN106" s="712" t="str">
        <f>IF(E106="","",IF(ISNA(VLOOKUP($E106,'D-1 Off-Site Habitat Baseline'!$D$1:$Z$258,15,FALSE)),"",(VLOOKUP($E106,'D-1 Off-Site Habitat Baseline'!$D$1:$Z$258,15,FALSE))))</f>
        <v/>
      </c>
      <c r="AO106" s="329" t="str">
        <f>IF(AN106="","",IF(VLOOKUP(AN106,'G-3 Multipliers'!$S$3:$T$10,2,FALSE)=0,"Spatial Data Missing ⚠",VLOOKUP(AN106,'G-3 Multipliers'!$S$3:$T$10,2,FALSE)))</f>
        <v/>
      </c>
      <c r="AP106" s="289" t="str">
        <f t="shared" si="20"/>
        <v/>
      </c>
      <c r="AQ106" s="289" t="str">
        <f t="shared" si="21"/>
        <v/>
      </c>
      <c r="AR106" s="105"/>
      <c r="AS106" s="138"/>
      <c r="AT106" s="104"/>
      <c r="AU106" s="104"/>
      <c r="AY106" s="30" t="str">
        <f>IF(E106="","",IF(ISNA(VLOOKUP($E106,'D-1 Off-Site Habitat Baseline'!$D$1:$AV$258,4,FALSE)),"",(VLOOKUP($E106,'D-1 Off-Site Habitat Baseline'!$D$1:$AV$258,4,FALSE))))</f>
        <v/>
      </c>
    </row>
    <row r="107" spans="1:51" ht="14">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319" t="str">
        <f>'D-1 Off-Site Habitat Baseline'!AP106</f>
        <v/>
      </c>
      <c r="F107" s="283" t="str">
        <f>IF(E107="","",IF(ISNA(VLOOKUP($E107,'D-1 Off-Site Habitat Baseline'!$D$1:$ZZ$258,45,FALSE)),"",(VLOOKUP($E107,'D-1 Off-Site Habitat Baseline'!$D$1:$ZZ$258,45,FALSE))))</f>
        <v/>
      </c>
      <c r="G107" s="295" t="str">
        <f>IF(E107="","",IF(ISNA(VLOOKUP($E107,'D-1 Off-Site Habitat Baseline'!$D$1:$O$258,5,FALSE)),"",(VLOOKUP($E107,'D-1 Off-Site Habitat Baseline'!$D$1:$O$258,5,FALSE))))</f>
        <v/>
      </c>
      <c r="H107" s="295" t="str">
        <f>IF(E107="","",IF(ISNA(VLOOKUP($E107,'D-1 Off-Site Habitat Baseline'!$D$1:$O$258,6,FALSE)),"",(VLOOKUP($E107,'D-1 Off-Site Habitat Baseline'!$D$1:$O$258,6,FALSE))))</f>
        <v/>
      </c>
      <c r="I107" s="295" t="str">
        <f>IF(E107="","",IF(ISNA(VLOOKUP($E107,'D-1 Off-Site Habitat Baseline'!$D$1:$O$258,7,FALSE)),"",(VLOOKUP($E107,'D-1 Off-Site Habitat Baseline'!$D$1:$O$258,7,FALSE))))</f>
        <v/>
      </c>
      <c r="J107" s="295" t="str">
        <f>IF(E107="","",IF(ISNA(VLOOKUP($E107,'D-1 Off-Site Habitat Baseline'!$D$1:$O$258,8,FALSE)),"",(VLOOKUP($E107,'D-1 Off-Site Habitat Baseline'!$D$1:$O$258,8,FALSE))))</f>
        <v/>
      </c>
      <c r="K107" s="295" t="str">
        <f>IF(E107="","",IF(ISNA(VLOOKUP($E107,'D-1 Off-Site Habitat Baseline'!$D$1:$O$258,9,FALSE)),"",(VLOOKUP($E107,'D-1 Off-Site Habitat Baseline'!$D$1:$O$258,9,FALSE))))</f>
        <v/>
      </c>
      <c r="L107" s="295" t="str">
        <f>IF(E107="","",IF(ISNA(VLOOKUP($E107,'D-1 Off-Site Habitat Baseline'!$D$1:$O$258,11,FALSE)),"",(VLOOKUP($E107,'D-1 Off-Site Habitat Baseline'!$D$1:$O$258,11,FALSE))))</f>
        <v/>
      </c>
      <c r="M107" s="295" t="str">
        <f>IF(E107="","",IF(ISNA(VLOOKUP($E107,'D-1 Off-Site Habitat Baseline'!$D$1:$O$258,12,FALSE)),"",(VLOOKUP($E107,'D-1 Off-Site Habitat Baseline'!$D$1:$O$258,12,FALSE))))</f>
        <v/>
      </c>
      <c r="N107" s="295" t="str">
        <f>IF(E107="","",IF(ISNA(VLOOKUP($E107,'D-1 Off-Site Habitat Baseline'!$D$1:$AA$258,17,FALSE)),"",(VLOOKUP($E107,'D-1 Off-Site Habitat Baseline'!$D$1:$AA$258,17,FALSE))))</f>
        <v/>
      </c>
      <c r="O107" s="299" t="str">
        <f>IF(E107="","",IF(ISNA(VLOOKUP($E107,'D-1 Off-Site Habitat Baseline'!$D$1:$AA$258,13,FALSE)),"",(VLOOKUP($E107,'D-1 Off-Site Habitat Baseline'!$D$1:$AA$258,13,FALSE))))</f>
        <v/>
      </c>
      <c r="P107" s="148" t="str">
        <f>IFERROR(INDEX('G-1 All Habitats'!$AG$49:$AG$63,MATCH(Q107,'G-1 All Habitats'!$AF$27:$AF$41,0)),"")</f>
        <v/>
      </c>
      <c r="Q107" s="149" t="str">
        <f t="shared" si="13"/>
        <v/>
      </c>
      <c r="R107" s="150"/>
      <c r="S107" s="151" t="str">
        <f>IFERROR(INDEX('G-1 All Habitats'!$B$3:$B$135,MATCH(R107,'G-1 All Habitats'!$A$3:$A$135,0)),"")</f>
        <v/>
      </c>
      <c r="T107" s="283" t="str">
        <f t="shared" si="14"/>
        <v/>
      </c>
      <c r="U107" s="276" t="str">
        <f t="shared" si="15"/>
        <v/>
      </c>
      <c r="V107" s="298" t="str">
        <f t="shared" si="11"/>
        <v/>
      </c>
      <c r="W107" s="295" t="str">
        <f>IF(S107="","",VLOOKUP(S107,'G-1 All Habitats'!$B$2:$M$135,10,FALSE))</f>
        <v/>
      </c>
      <c r="X107" s="295" t="str">
        <f>IFERROR(VLOOKUP(W107,'G-1 All Habitats'!$V$3:$W$7,2,FALSE),"")</f>
        <v/>
      </c>
      <c r="Y107" s="138"/>
      <c r="Z107" s="299" t="str">
        <f>IFERROR(INDEX('G-8 Condition Look up'!$A$3:$H$135,MATCH(S107,'G-8 Condition Look up'!$A$3:$A$135,0),MATCH(Y107,'G-8 Condition Look up'!$A$3:$H$3,0)),"")</f>
        <v/>
      </c>
      <c r="AA107" s="101"/>
      <c r="AB107" s="314" t="str">
        <f>IF(AA107="","",IF(VLOOKUP(AA107,'G-3 Multipliers'!$L$3:$N$6,2,FALSE)=0,"Spatial Data Missing ⚠",VLOOKUP(AA107,'G-3 Multipliers'!$L$3:$N$6,2,FALSE)))</f>
        <v/>
      </c>
      <c r="AC107" s="299" t="str">
        <f>IF(AA107="","",IF(VLOOKUP(AA107,'G-3 Multipliers'!$L$3:$N$6,3,FALSE)=0,"Spatial Data Missing ⚠",VLOOKUP(AA107,'G-3 Multipliers'!$L$3:$N$6,3,FALSE)))</f>
        <v/>
      </c>
      <c r="AD107" s="311" t="str">
        <f t="shared" si="12"/>
        <v/>
      </c>
      <c r="AE107" s="138"/>
      <c r="AF107" s="138"/>
      <c r="AG107" s="295" t="str">
        <f t="shared" si="16"/>
        <v/>
      </c>
      <c r="AH107" s="296" t="str">
        <f t="shared" si="17"/>
        <v/>
      </c>
      <c r="AI107" s="300" t="str">
        <f>IF(AH107="Check Data ⚠","Check Data ⚠",IFERROR(VLOOKUP(AH107,'G-4 Temporal multipliers'!$A$4:$C$36,3,FALSE),""))</f>
        <v/>
      </c>
      <c r="AJ107" s="311" t="str">
        <f>IF(S107="","",VLOOKUP(S107,'G-3 Multipliers'!$A$2:$E$134,4,FALSE))</f>
        <v/>
      </c>
      <c r="AK107" s="295" t="str">
        <f t="shared" si="18"/>
        <v/>
      </c>
      <c r="AL107" s="295" t="str">
        <f t="shared" si="19"/>
        <v/>
      </c>
      <c r="AM107" s="299" t="str">
        <f>IFERROR(IF(F107="","",IF(AH107="Check Data ⚠","Check Data ⚠",VLOOKUP(AL107,'G-3 Multipliers'!$P$2:$Q$6,2,FALSE))),"")</f>
        <v/>
      </c>
      <c r="AN107" s="712" t="str">
        <f>IF(E107="","",IF(ISNA(VLOOKUP($E107,'D-1 Off-Site Habitat Baseline'!$D$1:$Z$258,15,FALSE)),"",(VLOOKUP($E107,'D-1 Off-Site Habitat Baseline'!$D$1:$Z$258,15,FALSE))))</f>
        <v/>
      </c>
      <c r="AO107" s="329" t="str">
        <f>IF(AN107="","",IF(VLOOKUP(AN107,'G-3 Multipliers'!$S$3:$T$10,2,FALSE)=0,"Spatial Data Missing ⚠",VLOOKUP(AN107,'G-3 Multipliers'!$S$3:$T$10,2,FALSE)))</f>
        <v/>
      </c>
      <c r="AP107" s="289" t="str">
        <f t="shared" si="20"/>
        <v/>
      </c>
      <c r="AQ107" s="289" t="str">
        <f t="shared" si="21"/>
        <v/>
      </c>
      <c r="AR107" s="105"/>
      <c r="AS107" s="138"/>
      <c r="AT107" s="104"/>
      <c r="AU107" s="104"/>
      <c r="AY107" s="30" t="str">
        <f>IF(E107="","",IF(ISNA(VLOOKUP($E107,'D-1 Off-Site Habitat Baseline'!$D$1:$AV$258,4,FALSE)),"",(VLOOKUP($E107,'D-1 Off-Site Habitat Baseline'!$D$1:$AV$258,4,FALSE))))</f>
        <v/>
      </c>
    </row>
    <row r="108" spans="1:51" ht="14">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319" t="str">
        <f>'D-1 Off-Site Habitat Baseline'!AP107</f>
        <v/>
      </c>
      <c r="F108" s="283" t="str">
        <f>IF(E108="","",IF(ISNA(VLOOKUP($E108,'D-1 Off-Site Habitat Baseline'!$D$1:$ZZ$258,45,FALSE)),"",(VLOOKUP($E108,'D-1 Off-Site Habitat Baseline'!$D$1:$ZZ$258,45,FALSE))))</f>
        <v/>
      </c>
      <c r="G108" s="295" t="str">
        <f>IF(E108="","",IF(ISNA(VLOOKUP($E108,'D-1 Off-Site Habitat Baseline'!$D$1:$O$258,5,FALSE)),"",(VLOOKUP($E108,'D-1 Off-Site Habitat Baseline'!$D$1:$O$258,5,FALSE))))</f>
        <v/>
      </c>
      <c r="H108" s="295" t="str">
        <f>IF(E108="","",IF(ISNA(VLOOKUP($E108,'D-1 Off-Site Habitat Baseline'!$D$1:$O$258,6,FALSE)),"",(VLOOKUP($E108,'D-1 Off-Site Habitat Baseline'!$D$1:$O$258,6,FALSE))))</f>
        <v/>
      </c>
      <c r="I108" s="295" t="str">
        <f>IF(E108="","",IF(ISNA(VLOOKUP($E108,'D-1 Off-Site Habitat Baseline'!$D$1:$O$258,7,FALSE)),"",(VLOOKUP($E108,'D-1 Off-Site Habitat Baseline'!$D$1:$O$258,7,FALSE))))</f>
        <v/>
      </c>
      <c r="J108" s="295" t="str">
        <f>IF(E108="","",IF(ISNA(VLOOKUP($E108,'D-1 Off-Site Habitat Baseline'!$D$1:$O$258,8,FALSE)),"",(VLOOKUP($E108,'D-1 Off-Site Habitat Baseline'!$D$1:$O$258,8,FALSE))))</f>
        <v/>
      </c>
      <c r="K108" s="295" t="str">
        <f>IF(E108="","",IF(ISNA(VLOOKUP($E108,'D-1 Off-Site Habitat Baseline'!$D$1:$O$258,9,FALSE)),"",(VLOOKUP($E108,'D-1 Off-Site Habitat Baseline'!$D$1:$O$258,9,FALSE))))</f>
        <v/>
      </c>
      <c r="L108" s="295" t="str">
        <f>IF(E108="","",IF(ISNA(VLOOKUP($E108,'D-1 Off-Site Habitat Baseline'!$D$1:$O$258,11,FALSE)),"",(VLOOKUP($E108,'D-1 Off-Site Habitat Baseline'!$D$1:$O$258,11,FALSE))))</f>
        <v/>
      </c>
      <c r="M108" s="295" t="str">
        <f>IF(E108="","",IF(ISNA(VLOOKUP($E108,'D-1 Off-Site Habitat Baseline'!$D$1:$O$258,12,FALSE)),"",(VLOOKUP($E108,'D-1 Off-Site Habitat Baseline'!$D$1:$O$258,12,FALSE))))</f>
        <v/>
      </c>
      <c r="N108" s="295" t="str">
        <f>IF(E108="","",IF(ISNA(VLOOKUP($E108,'D-1 Off-Site Habitat Baseline'!$D$1:$AA$258,17,FALSE)),"",(VLOOKUP($E108,'D-1 Off-Site Habitat Baseline'!$D$1:$AA$258,17,FALSE))))</f>
        <v/>
      </c>
      <c r="O108" s="299" t="str">
        <f>IF(E108="","",IF(ISNA(VLOOKUP($E108,'D-1 Off-Site Habitat Baseline'!$D$1:$AA$258,13,FALSE)),"",(VLOOKUP($E108,'D-1 Off-Site Habitat Baseline'!$D$1:$AA$258,13,FALSE))))</f>
        <v/>
      </c>
      <c r="P108" s="148" t="str">
        <f>IFERROR(INDEX('G-1 All Habitats'!$AG$49:$AG$63,MATCH(Q108,'G-1 All Habitats'!$AF$27:$AF$41,0)),"")</f>
        <v/>
      </c>
      <c r="Q108" s="149" t="str">
        <f t="shared" si="13"/>
        <v/>
      </c>
      <c r="R108" s="150"/>
      <c r="S108" s="151" t="str">
        <f>IFERROR(INDEX('G-1 All Habitats'!$B$3:$B$135,MATCH(R108,'G-1 All Habitats'!$A$3:$A$135,0)),"")</f>
        <v/>
      </c>
      <c r="T108" s="283" t="str">
        <f t="shared" si="14"/>
        <v/>
      </c>
      <c r="U108" s="276" t="str">
        <f t="shared" si="15"/>
        <v/>
      </c>
      <c r="V108" s="298" t="str">
        <f t="shared" si="11"/>
        <v/>
      </c>
      <c r="W108" s="295" t="str">
        <f>IF(S108="","",VLOOKUP(S108,'G-1 All Habitats'!$B$2:$M$135,10,FALSE))</f>
        <v/>
      </c>
      <c r="X108" s="295" t="str">
        <f>IFERROR(VLOOKUP(W108,'G-1 All Habitats'!$V$3:$W$7,2,FALSE),"")</f>
        <v/>
      </c>
      <c r="Y108" s="138"/>
      <c r="Z108" s="299" t="str">
        <f>IFERROR(INDEX('G-8 Condition Look up'!$A$3:$H$135,MATCH(S108,'G-8 Condition Look up'!$A$3:$A$135,0),MATCH(Y108,'G-8 Condition Look up'!$A$3:$H$3,0)),"")</f>
        <v/>
      </c>
      <c r="AA108" s="101"/>
      <c r="AB108" s="314" t="str">
        <f>IF(AA108="","",IF(VLOOKUP(AA108,'G-3 Multipliers'!$L$3:$N$6,2,FALSE)=0,"Spatial Data Missing ⚠",VLOOKUP(AA108,'G-3 Multipliers'!$L$3:$N$6,2,FALSE)))</f>
        <v/>
      </c>
      <c r="AC108" s="299" t="str">
        <f>IF(AA108="","",IF(VLOOKUP(AA108,'G-3 Multipliers'!$L$3:$N$6,3,FALSE)=0,"Spatial Data Missing ⚠",VLOOKUP(AA108,'G-3 Multipliers'!$L$3:$N$6,3,FALSE)))</f>
        <v/>
      </c>
      <c r="AD108" s="311" t="str">
        <f t="shared" si="12"/>
        <v/>
      </c>
      <c r="AE108" s="138"/>
      <c r="AF108" s="138"/>
      <c r="AG108" s="295" t="str">
        <f t="shared" si="16"/>
        <v/>
      </c>
      <c r="AH108" s="296" t="str">
        <f t="shared" si="17"/>
        <v/>
      </c>
      <c r="AI108" s="300" t="str">
        <f>IF(AH108="Check Data ⚠","Check Data ⚠",IFERROR(VLOOKUP(AH108,'G-4 Temporal multipliers'!$A$4:$C$36,3,FALSE),""))</f>
        <v/>
      </c>
      <c r="AJ108" s="311" t="str">
        <f>IF(S108="","",VLOOKUP(S108,'G-3 Multipliers'!$A$2:$E$134,4,FALSE))</f>
        <v/>
      </c>
      <c r="AK108" s="295" t="str">
        <f t="shared" si="18"/>
        <v/>
      </c>
      <c r="AL108" s="295" t="str">
        <f t="shared" si="19"/>
        <v/>
      </c>
      <c r="AM108" s="299" t="str">
        <f>IFERROR(IF(F108="","",IF(AH108="Check Data ⚠","Check Data ⚠",VLOOKUP(AL108,'G-3 Multipliers'!$P$2:$Q$6,2,FALSE))),"")</f>
        <v/>
      </c>
      <c r="AN108" s="712" t="str">
        <f>IF(E108="","",IF(ISNA(VLOOKUP($E108,'D-1 Off-Site Habitat Baseline'!$D$1:$Z$258,15,FALSE)),"",(VLOOKUP($E108,'D-1 Off-Site Habitat Baseline'!$D$1:$Z$258,15,FALSE))))</f>
        <v/>
      </c>
      <c r="AO108" s="329" t="str">
        <f>IF(AN108="","",IF(VLOOKUP(AN108,'G-3 Multipliers'!$S$3:$T$10,2,FALSE)=0,"Spatial Data Missing ⚠",VLOOKUP(AN108,'G-3 Multipliers'!$S$3:$T$10,2,FALSE)))</f>
        <v/>
      </c>
      <c r="AP108" s="289" t="str">
        <f t="shared" si="20"/>
        <v/>
      </c>
      <c r="AQ108" s="289" t="str">
        <f t="shared" si="21"/>
        <v/>
      </c>
      <c r="AR108" s="105"/>
      <c r="AS108" s="138"/>
      <c r="AT108" s="104"/>
      <c r="AU108" s="104"/>
      <c r="AY108" s="30" t="str">
        <f>IF(E108="","",IF(ISNA(VLOOKUP($E108,'D-1 Off-Site Habitat Baseline'!$D$1:$AV$258,4,FALSE)),"",(VLOOKUP($E108,'D-1 Off-Site Habitat Baseline'!$D$1:$AV$258,4,FALSE))))</f>
        <v/>
      </c>
    </row>
    <row r="109" spans="1:51" ht="14">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319" t="str">
        <f>'D-1 Off-Site Habitat Baseline'!AP108</f>
        <v/>
      </c>
      <c r="F109" s="283" t="str">
        <f>IF(E109="","",IF(ISNA(VLOOKUP($E109,'D-1 Off-Site Habitat Baseline'!$D$1:$ZZ$258,45,FALSE)),"",(VLOOKUP($E109,'D-1 Off-Site Habitat Baseline'!$D$1:$ZZ$258,45,FALSE))))</f>
        <v/>
      </c>
      <c r="G109" s="295" t="str">
        <f>IF(E109="","",IF(ISNA(VLOOKUP($E109,'D-1 Off-Site Habitat Baseline'!$D$1:$O$258,5,FALSE)),"",(VLOOKUP($E109,'D-1 Off-Site Habitat Baseline'!$D$1:$O$258,5,FALSE))))</f>
        <v/>
      </c>
      <c r="H109" s="295" t="str">
        <f>IF(E109="","",IF(ISNA(VLOOKUP($E109,'D-1 Off-Site Habitat Baseline'!$D$1:$O$258,6,FALSE)),"",(VLOOKUP($E109,'D-1 Off-Site Habitat Baseline'!$D$1:$O$258,6,FALSE))))</f>
        <v/>
      </c>
      <c r="I109" s="295" t="str">
        <f>IF(E109="","",IF(ISNA(VLOOKUP($E109,'D-1 Off-Site Habitat Baseline'!$D$1:$O$258,7,FALSE)),"",(VLOOKUP($E109,'D-1 Off-Site Habitat Baseline'!$D$1:$O$258,7,FALSE))))</f>
        <v/>
      </c>
      <c r="J109" s="295" t="str">
        <f>IF(E109="","",IF(ISNA(VLOOKUP($E109,'D-1 Off-Site Habitat Baseline'!$D$1:$O$258,8,FALSE)),"",(VLOOKUP($E109,'D-1 Off-Site Habitat Baseline'!$D$1:$O$258,8,FALSE))))</f>
        <v/>
      </c>
      <c r="K109" s="295" t="str">
        <f>IF(E109="","",IF(ISNA(VLOOKUP($E109,'D-1 Off-Site Habitat Baseline'!$D$1:$O$258,9,FALSE)),"",(VLOOKUP($E109,'D-1 Off-Site Habitat Baseline'!$D$1:$O$258,9,FALSE))))</f>
        <v/>
      </c>
      <c r="L109" s="295" t="str">
        <f>IF(E109="","",IF(ISNA(VLOOKUP($E109,'D-1 Off-Site Habitat Baseline'!$D$1:$O$258,11,FALSE)),"",(VLOOKUP($E109,'D-1 Off-Site Habitat Baseline'!$D$1:$O$258,11,FALSE))))</f>
        <v/>
      </c>
      <c r="M109" s="295" t="str">
        <f>IF(E109="","",IF(ISNA(VLOOKUP($E109,'D-1 Off-Site Habitat Baseline'!$D$1:$O$258,12,FALSE)),"",(VLOOKUP($E109,'D-1 Off-Site Habitat Baseline'!$D$1:$O$258,12,FALSE))))</f>
        <v/>
      </c>
      <c r="N109" s="295" t="str">
        <f>IF(E109="","",IF(ISNA(VLOOKUP($E109,'D-1 Off-Site Habitat Baseline'!$D$1:$AA$258,17,FALSE)),"",(VLOOKUP($E109,'D-1 Off-Site Habitat Baseline'!$D$1:$AA$258,17,FALSE))))</f>
        <v/>
      </c>
      <c r="O109" s="299" t="str">
        <f>IF(E109="","",IF(ISNA(VLOOKUP($E109,'D-1 Off-Site Habitat Baseline'!$D$1:$AA$258,13,FALSE)),"",(VLOOKUP($E109,'D-1 Off-Site Habitat Baseline'!$D$1:$AA$258,13,FALSE))))</f>
        <v/>
      </c>
      <c r="P109" s="148" t="str">
        <f>IFERROR(INDEX('G-1 All Habitats'!$AG$49:$AG$63,MATCH(Q109,'G-1 All Habitats'!$AF$27:$AF$41,0)),"")</f>
        <v/>
      </c>
      <c r="Q109" s="149" t="str">
        <f t="shared" si="13"/>
        <v/>
      </c>
      <c r="R109" s="150"/>
      <c r="S109" s="151" t="str">
        <f>IFERROR(INDEX('G-1 All Habitats'!$B$3:$B$135,MATCH(R109,'G-1 All Habitats'!$A$3:$A$135,0)),"")</f>
        <v/>
      </c>
      <c r="T109" s="283" t="str">
        <f t="shared" si="14"/>
        <v/>
      </c>
      <c r="U109" s="276" t="str">
        <f t="shared" si="15"/>
        <v/>
      </c>
      <c r="V109" s="298" t="str">
        <f t="shared" si="11"/>
        <v/>
      </c>
      <c r="W109" s="295" t="str">
        <f>IF(S109="","",VLOOKUP(S109,'G-1 All Habitats'!$B$2:$M$135,10,FALSE))</f>
        <v/>
      </c>
      <c r="X109" s="295" t="str">
        <f>IFERROR(VLOOKUP(W109,'G-1 All Habitats'!$V$3:$W$7,2,FALSE),"")</f>
        <v/>
      </c>
      <c r="Y109" s="138"/>
      <c r="Z109" s="299" t="str">
        <f>IFERROR(INDEX('G-8 Condition Look up'!$A$3:$H$135,MATCH(S109,'G-8 Condition Look up'!$A$3:$A$135,0),MATCH(Y109,'G-8 Condition Look up'!$A$3:$H$3,0)),"")</f>
        <v/>
      </c>
      <c r="AA109" s="101"/>
      <c r="AB109" s="314" t="str">
        <f>IF(AA109="","",IF(VLOOKUP(AA109,'G-3 Multipliers'!$L$3:$N$6,2,FALSE)=0,"Spatial Data Missing ⚠",VLOOKUP(AA109,'G-3 Multipliers'!$L$3:$N$6,2,FALSE)))</f>
        <v/>
      </c>
      <c r="AC109" s="299" t="str">
        <f>IF(AA109="","",IF(VLOOKUP(AA109,'G-3 Multipliers'!$L$3:$N$6,3,FALSE)=0,"Spatial Data Missing ⚠",VLOOKUP(AA109,'G-3 Multipliers'!$L$3:$N$6,3,FALSE)))</f>
        <v/>
      </c>
      <c r="AD109" s="311" t="str">
        <f t="shared" si="12"/>
        <v/>
      </c>
      <c r="AE109" s="138"/>
      <c r="AF109" s="138"/>
      <c r="AG109" s="295" t="str">
        <f t="shared" si="16"/>
        <v/>
      </c>
      <c r="AH109" s="296" t="str">
        <f t="shared" si="17"/>
        <v/>
      </c>
      <c r="AI109" s="300" t="str">
        <f>IF(AH109="Check Data ⚠","Check Data ⚠",IFERROR(VLOOKUP(AH109,'G-4 Temporal multipliers'!$A$4:$C$36,3,FALSE),""))</f>
        <v/>
      </c>
      <c r="AJ109" s="311" t="str">
        <f>IF(S109="","",VLOOKUP(S109,'G-3 Multipliers'!$A$2:$E$134,4,FALSE))</f>
        <v/>
      </c>
      <c r="AK109" s="295" t="str">
        <f t="shared" si="18"/>
        <v/>
      </c>
      <c r="AL109" s="295" t="str">
        <f t="shared" si="19"/>
        <v/>
      </c>
      <c r="AM109" s="299" t="str">
        <f>IFERROR(IF(F109="","",IF(AH109="Check Data ⚠","Check Data ⚠",VLOOKUP(AL109,'G-3 Multipliers'!$P$2:$Q$6,2,FALSE))),"")</f>
        <v/>
      </c>
      <c r="AN109" s="712" t="str">
        <f>IF(E109="","",IF(ISNA(VLOOKUP($E109,'D-1 Off-Site Habitat Baseline'!$D$1:$Z$258,15,FALSE)),"",(VLOOKUP($E109,'D-1 Off-Site Habitat Baseline'!$D$1:$Z$258,15,FALSE))))</f>
        <v/>
      </c>
      <c r="AO109" s="329" t="str">
        <f>IF(AN109="","",IF(VLOOKUP(AN109,'G-3 Multipliers'!$S$3:$T$10,2,FALSE)=0,"Spatial Data Missing ⚠",VLOOKUP(AN109,'G-3 Multipliers'!$S$3:$T$10,2,FALSE)))</f>
        <v/>
      </c>
      <c r="AP109" s="289" t="str">
        <f t="shared" si="20"/>
        <v/>
      </c>
      <c r="AQ109" s="289" t="str">
        <f t="shared" si="21"/>
        <v/>
      </c>
      <c r="AR109" s="105"/>
      <c r="AS109" s="138"/>
      <c r="AT109" s="104"/>
      <c r="AU109" s="104"/>
      <c r="AY109" s="30" t="str">
        <f>IF(E109="","",IF(ISNA(VLOOKUP($E109,'D-1 Off-Site Habitat Baseline'!$D$1:$AV$258,4,FALSE)),"",(VLOOKUP($E109,'D-1 Off-Site Habitat Baseline'!$D$1:$AV$258,4,FALSE))))</f>
        <v/>
      </c>
    </row>
    <row r="110" spans="1:51" ht="14">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319" t="str">
        <f>'D-1 Off-Site Habitat Baseline'!AP109</f>
        <v/>
      </c>
      <c r="F110" s="283" t="str">
        <f>IF(E110="","",IF(ISNA(VLOOKUP($E110,'D-1 Off-Site Habitat Baseline'!$D$1:$ZZ$258,45,FALSE)),"",(VLOOKUP($E110,'D-1 Off-Site Habitat Baseline'!$D$1:$ZZ$258,45,FALSE))))</f>
        <v/>
      </c>
      <c r="G110" s="295" t="str">
        <f>IF(E110="","",IF(ISNA(VLOOKUP($E110,'D-1 Off-Site Habitat Baseline'!$D$1:$O$258,5,FALSE)),"",(VLOOKUP($E110,'D-1 Off-Site Habitat Baseline'!$D$1:$O$258,5,FALSE))))</f>
        <v/>
      </c>
      <c r="H110" s="295" t="str">
        <f>IF(E110="","",IF(ISNA(VLOOKUP($E110,'D-1 Off-Site Habitat Baseline'!$D$1:$O$258,6,FALSE)),"",(VLOOKUP($E110,'D-1 Off-Site Habitat Baseline'!$D$1:$O$258,6,FALSE))))</f>
        <v/>
      </c>
      <c r="I110" s="295" t="str">
        <f>IF(E110="","",IF(ISNA(VLOOKUP($E110,'D-1 Off-Site Habitat Baseline'!$D$1:$O$258,7,FALSE)),"",(VLOOKUP($E110,'D-1 Off-Site Habitat Baseline'!$D$1:$O$258,7,FALSE))))</f>
        <v/>
      </c>
      <c r="J110" s="295" t="str">
        <f>IF(E110="","",IF(ISNA(VLOOKUP($E110,'D-1 Off-Site Habitat Baseline'!$D$1:$O$258,8,FALSE)),"",(VLOOKUP($E110,'D-1 Off-Site Habitat Baseline'!$D$1:$O$258,8,FALSE))))</f>
        <v/>
      </c>
      <c r="K110" s="295" t="str">
        <f>IF(E110="","",IF(ISNA(VLOOKUP($E110,'D-1 Off-Site Habitat Baseline'!$D$1:$O$258,9,FALSE)),"",(VLOOKUP($E110,'D-1 Off-Site Habitat Baseline'!$D$1:$O$258,9,FALSE))))</f>
        <v/>
      </c>
      <c r="L110" s="295" t="str">
        <f>IF(E110="","",IF(ISNA(VLOOKUP($E110,'D-1 Off-Site Habitat Baseline'!$D$1:$O$258,11,FALSE)),"",(VLOOKUP($E110,'D-1 Off-Site Habitat Baseline'!$D$1:$O$258,11,FALSE))))</f>
        <v/>
      </c>
      <c r="M110" s="295" t="str">
        <f>IF(E110="","",IF(ISNA(VLOOKUP($E110,'D-1 Off-Site Habitat Baseline'!$D$1:$O$258,12,FALSE)),"",(VLOOKUP($E110,'D-1 Off-Site Habitat Baseline'!$D$1:$O$258,12,FALSE))))</f>
        <v/>
      </c>
      <c r="N110" s="295" t="str">
        <f>IF(E110="","",IF(ISNA(VLOOKUP($E110,'D-1 Off-Site Habitat Baseline'!$D$1:$AA$258,17,FALSE)),"",(VLOOKUP($E110,'D-1 Off-Site Habitat Baseline'!$D$1:$AA$258,17,FALSE))))</f>
        <v/>
      </c>
      <c r="O110" s="299" t="str">
        <f>IF(E110="","",IF(ISNA(VLOOKUP($E110,'D-1 Off-Site Habitat Baseline'!$D$1:$AA$258,13,FALSE)),"",(VLOOKUP($E110,'D-1 Off-Site Habitat Baseline'!$D$1:$AA$258,13,FALSE))))</f>
        <v/>
      </c>
      <c r="P110" s="148" t="str">
        <f>IFERROR(INDEX('G-1 All Habitats'!$AG$49:$AG$63,MATCH(Q110,'G-1 All Habitats'!$AF$27:$AF$41,0)),"")</f>
        <v/>
      </c>
      <c r="Q110" s="149" t="str">
        <f t="shared" si="13"/>
        <v/>
      </c>
      <c r="R110" s="150"/>
      <c r="S110" s="151" t="str">
        <f>IFERROR(INDEX('G-1 All Habitats'!$B$3:$B$135,MATCH(R110,'G-1 All Habitats'!$A$3:$A$135,0)),"")</f>
        <v/>
      </c>
      <c r="T110" s="283" t="str">
        <f t="shared" si="14"/>
        <v/>
      </c>
      <c r="U110" s="276" t="str">
        <f t="shared" si="15"/>
        <v/>
      </c>
      <c r="V110" s="298" t="str">
        <f t="shared" si="11"/>
        <v/>
      </c>
      <c r="W110" s="295" t="str">
        <f>IF(S110="","",VLOOKUP(S110,'G-1 All Habitats'!$B$2:$M$135,10,FALSE))</f>
        <v/>
      </c>
      <c r="X110" s="295" t="str">
        <f>IFERROR(VLOOKUP(W110,'G-1 All Habitats'!$V$3:$W$7,2,FALSE),"")</f>
        <v/>
      </c>
      <c r="Y110" s="138"/>
      <c r="Z110" s="299" t="str">
        <f>IFERROR(INDEX('G-8 Condition Look up'!$A$3:$H$135,MATCH(S110,'G-8 Condition Look up'!$A$3:$A$135,0),MATCH(Y110,'G-8 Condition Look up'!$A$3:$H$3,0)),"")</f>
        <v/>
      </c>
      <c r="AA110" s="101"/>
      <c r="AB110" s="314" t="str">
        <f>IF(AA110="","",IF(VLOOKUP(AA110,'G-3 Multipliers'!$L$3:$N$6,2,FALSE)=0,"Spatial Data Missing ⚠",VLOOKUP(AA110,'G-3 Multipliers'!$L$3:$N$6,2,FALSE)))</f>
        <v/>
      </c>
      <c r="AC110" s="299" t="str">
        <f>IF(AA110="","",IF(VLOOKUP(AA110,'G-3 Multipliers'!$L$3:$N$6,3,FALSE)=0,"Spatial Data Missing ⚠",VLOOKUP(AA110,'G-3 Multipliers'!$L$3:$N$6,3,FALSE)))</f>
        <v/>
      </c>
      <c r="AD110" s="311" t="str">
        <f t="shared" si="12"/>
        <v/>
      </c>
      <c r="AE110" s="138"/>
      <c r="AF110" s="138"/>
      <c r="AG110" s="295" t="str">
        <f t="shared" si="16"/>
        <v/>
      </c>
      <c r="AH110" s="296" t="str">
        <f t="shared" si="17"/>
        <v/>
      </c>
      <c r="AI110" s="300" t="str">
        <f>IF(AH110="Check Data ⚠","Check Data ⚠",IFERROR(VLOOKUP(AH110,'G-4 Temporal multipliers'!$A$4:$C$36,3,FALSE),""))</f>
        <v/>
      </c>
      <c r="AJ110" s="311" t="str">
        <f>IF(S110="","",VLOOKUP(S110,'G-3 Multipliers'!$A$2:$E$134,4,FALSE))</f>
        <v/>
      </c>
      <c r="AK110" s="295" t="str">
        <f t="shared" si="18"/>
        <v/>
      </c>
      <c r="AL110" s="295" t="str">
        <f t="shared" si="19"/>
        <v/>
      </c>
      <c r="AM110" s="299" t="str">
        <f>IFERROR(IF(F110="","",IF(AH110="Check Data ⚠","Check Data ⚠",VLOOKUP(AL110,'G-3 Multipliers'!$P$2:$Q$6,2,FALSE))),"")</f>
        <v/>
      </c>
      <c r="AN110" s="712" t="str">
        <f>IF(E110="","",IF(ISNA(VLOOKUP($E110,'D-1 Off-Site Habitat Baseline'!$D$1:$Z$258,15,FALSE)),"",(VLOOKUP($E110,'D-1 Off-Site Habitat Baseline'!$D$1:$Z$258,15,FALSE))))</f>
        <v/>
      </c>
      <c r="AO110" s="329" t="str">
        <f>IF(AN110="","",IF(VLOOKUP(AN110,'G-3 Multipliers'!$S$3:$T$10,2,FALSE)=0,"Spatial Data Missing ⚠",VLOOKUP(AN110,'G-3 Multipliers'!$S$3:$T$10,2,FALSE)))</f>
        <v/>
      </c>
      <c r="AP110" s="289" t="str">
        <f t="shared" si="20"/>
        <v/>
      </c>
      <c r="AQ110" s="289" t="str">
        <f t="shared" si="21"/>
        <v/>
      </c>
      <c r="AR110" s="105"/>
      <c r="AS110" s="138"/>
      <c r="AT110" s="104"/>
      <c r="AU110" s="104"/>
      <c r="AY110" s="30" t="str">
        <f>IF(E110="","",IF(ISNA(VLOOKUP($E110,'D-1 Off-Site Habitat Baseline'!$D$1:$AV$258,4,FALSE)),"",(VLOOKUP($E110,'D-1 Off-Site Habitat Baseline'!$D$1:$AV$258,4,FALSE))))</f>
        <v/>
      </c>
    </row>
    <row r="111" spans="1:51" ht="14">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319" t="str">
        <f>'D-1 Off-Site Habitat Baseline'!AP110</f>
        <v/>
      </c>
      <c r="F111" s="283" t="str">
        <f>IF(E111="","",IF(ISNA(VLOOKUP($E111,'D-1 Off-Site Habitat Baseline'!$D$1:$ZZ$258,45,FALSE)),"",(VLOOKUP($E111,'D-1 Off-Site Habitat Baseline'!$D$1:$ZZ$258,45,FALSE))))</f>
        <v/>
      </c>
      <c r="G111" s="295" t="str">
        <f>IF(E111="","",IF(ISNA(VLOOKUP($E111,'D-1 Off-Site Habitat Baseline'!$D$1:$O$258,5,FALSE)),"",(VLOOKUP($E111,'D-1 Off-Site Habitat Baseline'!$D$1:$O$258,5,FALSE))))</f>
        <v/>
      </c>
      <c r="H111" s="295" t="str">
        <f>IF(E111="","",IF(ISNA(VLOOKUP($E111,'D-1 Off-Site Habitat Baseline'!$D$1:$O$258,6,FALSE)),"",(VLOOKUP($E111,'D-1 Off-Site Habitat Baseline'!$D$1:$O$258,6,FALSE))))</f>
        <v/>
      </c>
      <c r="I111" s="295" t="str">
        <f>IF(E111="","",IF(ISNA(VLOOKUP($E111,'D-1 Off-Site Habitat Baseline'!$D$1:$O$258,7,FALSE)),"",(VLOOKUP($E111,'D-1 Off-Site Habitat Baseline'!$D$1:$O$258,7,FALSE))))</f>
        <v/>
      </c>
      <c r="J111" s="295" t="str">
        <f>IF(E111="","",IF(ISNA(VLOOKUP($E111,'D-1 Off-Site Habitat Baseline'!$D$1:$O$258,8,FALSE)),"",(VLOOKUP($E111,'D-1 Off-Site Habitat Baseline'!$D$1:$O$258,8,FALSE))))</f>
        <v/>
      </c>
      <c r="K111" s="295" t="str">
        <f>IF(E111="","",IF(ISNA(VLOOKUP($E111,'D-1 Off-Site Habitat Baseline'!$D$1:$O$258,9,FALSE)),"",(VLOOKUP($E111,'D-1 Off-Site Habitat Baseline'!$D$1:$O$258,9,FALSE))))</f>
        <v/>
      </c>
      <c r="L111" s="295" t="str">
        <f>IF(E111="","",IF(ISNA(VLOOKUP($E111,'D-1 Off-Site Habitat Baseline'!$D$1:$O$258,11,FALSE)),"",(VLOOKUP($E111,'D-1 Off-Site Habitat Baseline'!$D$1:$O$258,11,FALSE))))</f>
        <v/>
      </c>
      <c r="M111" s="295" t="str">
        <f>IF(E111="","",IF(ISNA(VLOOKUP($E111,'D-1 Off-Site Habitat Baseline'!$D$1:$O$258,12,FALSE)),"",(VLOOKUP($E111,'D-1 Off-Site Habitat Baseline'!$D$1:$O$258,12,FALSE))))</f>
        <v/>
      </c>
      <c r="N111" s="295" t="str">
        <f>IF(E111="","",IF(ISNA(VLOOKUP($E111,'D-1 Off-Site Habitat Baseline'!$D$1:$AA$258,17,FALSE)),"",(VLOOKUP($E111,'D-1 Off-Site Habitat Baseline'!$D$1:$AA$258,17,FALSE))))</f>
        <v/>
      </c>
      <c r="O111" s="299" t="str">
        <f>IF(E111="","",IF(ISNA(VLOOKUP($E111,'D-1 Off-Site Habitat Baseline'!$D$1:$AA$258,13,FALSE)),"",(VLOOKUP($E111,'D-1 Off-Site Habitat Baseline'!$D$1:$AA$258,13,FALSE))))</f>
        <v/>
      </c>
      <c r="P111" s="148" t="str">
        <f>IFERROR(INDEX('G-1 All Habitats'!$AG$49:$AG$63,MATCH(Q111,'G-1 All Habitats'!$AF$27:$AF$41,0)),"")</f>
        <v/>
      </c>
      <c r="Q111" s="149" t="str">
        <f t="shared" si="13"/>
        <v/>
      </c>
      <c r="R111" s="150"/>
      <c r="S111" s="151" t="str">
        <f>IFERROR(INDEX('G-1 All Habitats'!$B$3:$B$135,MATCH(R111,'G-1 All Habitats'!$A$3:$A$135,0)),"")</f>
        <v/>
      </c>
      <c r="T111" s="283" t="str">
        <f t="shared" si="14"/>
        <v/>
      </c>
      <c r="U111" s="276" t="str">
        <f t="shared" si="15"/>
        <v/>
      </c>
      <c r="V111" s="298" t="str">
        <f t="shared" si="11"/>
        <v/>
      </c>
      <c r="W111" s="295" t="str">
        <f>IF(S111="","",VLOOKUP(S111,'G-1 All Habitats'!$B$2:$M$135,10,FALSE))</f>
        <v/>
      </c>
      <c r="X111" s="295" t="str">
        <f>IFERROR(VLOOKUP(W111,'G-1 All Habitats'!$V$3:$W$7,2,FALSE),"")</f>
        <v/>
      </c>
      <c r="Y111" s="138"/>
      <c r="Z111" s="299" t="str">
        <f>IFERROR(INDEX('G-8 Condition Look up'!$A$3:$H$135,MATCH(S111,'G-8 Condition Look up'!$A$3:$A$135,0),MATCH(Y111,'G-8 Condition Look up'!$A$3:$H$3,0)),"")</f>
        <v/>
      </c>
      <c r="AA111" s="101"/>
      <c r="AB111" s="314" t="str">
        <f>IF(AA111="","",IF(VLOOKUP(AA111,'G-3 Multipliers'!$L$3:$N$6,2,FALSE)=0,"Spatial Data Missing ⚠",VLOOKUP(AA111,'G-3 Multipliers'!$L$3:$N$6,2,FALSE)))</f>
        <v/>
      </c>
      <c r="AC111" s="299" t="str">
        <f>IF(AA111="","",IF(VLOOKUP(AA111,'G-3 Multipliers'!$L$3:$N$6,3,FALSE)=0,"Spatial Data Missing ⚠",VLOOKUP(AA111,'G-3 Multipliers'!$L$3:$N$6,3,FALSE)))</f>
        <v/>
      </c>
      <c r="AD111" s="311" t="str">
        <f t="shared" si="12"/>
        <v/>
      </c>
      <c r="AE111" s="138"/>
      <c r="AF111" s="138"/>
      <c r="AG111" s="295" t="str">
        <f t="shared" si="16"/>
        <v/>
      </c>
      <c r="AH111" s="296" t="str">
        <f t="shared" si="17"/>
        <v/>
      </c>
      <c r="AI111" s="300" t="str">
        <f>IF(AH111="Check Data ⚠","Check Data ⚠",IFERROR(VLOOKUP(AH111,'G-4 Temporal multipliers'!$A$4:$C$36,3,FALSE),""))</f>
        <v/>
      </c>
      <c r="AJ111" s="311" t="str">
        <f>IF(S111="","",VLOOKUP(S111,'G-3 Multipliers'!$A$2:$E$134,4,FALSE))</f>
        <v/>
      </c>
      <c r="AK111" s="295" t="str">
        <f t="shared" si="18"/>
        <v/>
      </c>
      <c r="AL111" s="295" t="str">
        <f t="shared" si="19"/>
        <v/>
      </c>
      <c r="AM111" s="299" t="str">
        <f>IFERROR(IF(F111="","",IF(AH111="Check Data ⚠","Check Data ⚠",VLOOKUP(AL111,'G-3 Multipliers'!$P$2:$Q$6,2,FALSE))),"")</f>
        <v/>
      </c>
      <c r="AN111" s="712" t="str">
        <f>IF(E111="","",IF(ISNA(VLOOKUP($E111,'D-1 Off-Site Habitat Baseline'!$D$1:$Z$258,15,FALSE)),"",(VLOOKUP($E111,'D-1 Off-Site Habitat Baseline'!$D$1:$Z$258,15,FALSE))))</f>
        <v/>
      </c>
      <c r="AO111" s="329" t="str">
        <f>IF(AN111="","",IF(VLOOKUP(AN111,'G-3 Multipliers'!$S$3:$T$10,2,FALSE)=0,"Spatial Data Missing ⚠",VLOOKUP(AN111,'G-3 Multipliers'!$S$3:$T$10,2,FALSE)))</f>
        <v/>
      </c>
      <c r="AP111" s="289" t="str">
        <f t="shared" si="20"/>
        <v/>
      </c>
      <c r="AQ111" s="289" t="str">
        <f t="shared" si="21"/>
        <v/>
      </c>
      <c r="AR111" s="105"/>
      <c r="AS111" s="138"/>
      <c r="AT111" s="104"/>
      <c r="AU111" s="104"/>
      <c r="AY111" s="30" t="str">
        <f>IF(E111="","",IF(ISNA(VLOOKUP($E111,'D-1 Off-Site Habitat Baseline'!$D$1:$AV$258,4,FALSE)),"",(VLOOKUP($E111,'D-1 Off-Site Habitat Baseline'!$D$1:$AV$258,4,FALSE))))</f>
        <v/>
      </c>
    </row>
    <row r="112" spans="1:51" ht="14">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319" t="str">
        <f>'D-1 Off-Site Habitat Baseline'!AP111</f>
        <v/>
      </c>
      <c r="F112" s="283" t="str">
        <f>IF(E112="","",IF(ISNA(VLOOKUP($E112,'D-1 Off-Site Habitat Baseline'!$D$1:$ZZ$258,45,FALSE)),"",(VLOOKUP($E112,'D-1 Off-Site Habitat Baseline'!$D$1:$ZZ$258,45,FALSE))))</f>
        <v/>
      </c>
      <c r="G112" s="295" t="str">
        <f>IF(E112="","",IF(ISNA(VLOOKUP($E112,'D-1 Off-Site Habitat Baseline'!$D$1:$O$258,5,FALSE)),"",(VLOOKUP($E112,'D-1 Off-Site Habitat Baseline'!$D$1:$O$258,5,FALSE))))</f>
        <v/>
      </c>
      <c r="H112" s="295" t="str">
        <f>IF(E112="","",IF(ISNA(VLOOKUP($E112,'D-1 Off-Site Habitat Baseline'!$D$1:$O$258,6,FALSE)),"",(VLOOKUP($E112,'D-1 Off-Site Habitat Baseline'!$D$1:$O$258,6,FALSE))))</f>
        <v/>
      </c>
      <c r="I112" s="295" t="str">
        <f>IF(E112="","",IF(ISNA(VLOOKUP($E112,'D-1 Off-Site Habitat Baseline'!$D$1:$O$258,7,FALSE)),"",(VLOOKUP($E112,'D-1 Off-Site Habitat Baseline'!$D$1:$O$258,7,FALSE))))</f>
        <v/>
      </c>
      <c r="J112" s="295" t="str">
        <f>IF(E112="","",IF(ISNA(VLOOKUP($E112,'D-1 Off-Site Habitat Baseline'!$D$1:$O$258,8,FALSE)),"",(VLOOKUP($E112,'D-1 Off-Site Habitat Baseline'!$D$1:$O$258,8,FALSE))))</f>
        <v/>
      </c>
      <c r="K112" s="295" t="str">
        <f>IF(E112="","",IF(ISNA(VLOOKUP($E112,'D-1 Off-Site Habitat Baseline'!$D$1:$O$258,9,FALSE)),"",(VLOOKUP($E112,'D-1 Off-Site Habitat Baseline'!$D$1:$O$258,9,FALSE))))</f>
        <v/>
      </c>
      <c r="L112" s="295" t="str">
        <f>IF(E112="","",IF(ISNA(VLOOKUP($E112,'D-1 Off-Site Habitat Baseline'!$D$1:$O$258,11,FALSE)),"",(VLOOKUP($E112,'D-1 Off-Site Habitat Baseline'!$D$1:$O$258,11,FALSE))))</f>
        <v/>
      </c>
      <c r="M112" s="295" t="str">
        <f>IF(E112="","",IF(ISNA(VLOOKUP($E112,'D-1 Off-Site Habitat Baseline'!$D$1:$O$258,12,FALSE)),"",(VLOOKUP($E112,'D-1 Off-Site Habitat Baseline'!$D$1:$O$258,12,FALSE))))</f>
        <v/>
      </c>
      <c r="N112" s="295" t="str">
        <f>IF(E112="","",IF(ISNA(VLOOKUP($E112,'D-1 Off-Site Habitat Baseline'!$D$1:$AA$258,17,FALSE)),"",(VLOOKUP($E112,'D-1 Off-Site Habitat Baseline'!$D$1:$AA$258,17,FALSE))))</f>
        <v/>
      </c>
      <c r="O112" s="299" t="str">
        <f>IF(E112="","",IF(ISNA(VLOOKUP($E112,'D-1 Off-Site Habitat Baseline'!$D$1:$AA$258,13,FALSE)),"",(VLOOKUP($E112,'D-1 Off-Site Habitat Baseline'!$D$1:$AA$258,13,FALSE))))</f>
        <v/>
      </c>
      <c r="P112" s="148" t="str">
        <f>IFERROR(INDEX('G-1 All Habitats'!$AG$49:$AG$63,MATCH(Q112,'G-1 All Habitats'!$AF$27:$AF$41,0)),"")</f>
        <v/>
      </c>
      <c r="Q112" s="149" t="str">
        <f t="shared" si="13"/>
        <v/>
      </c>
      <c r="R112" s="150"/>
      <c r="S112" s="151" t="str">
        <f>IFERROR(INDEX('G-1 All Habitats'!$B$3:$B$135,MATCH(R112,'G-1 All Habitats'!$A$3:$A$135,0)),"")</f>
        <v/>
      </c>
      <c r="T112" s="283" t="str">
        <f t="shared" si="14"/>
        <v/>
      </c>
      <c r="U112" s="276" t="str">
        <f t="shared" si="15"/>
        <v/>
      </c>
      <c r="V112" s="298" t="str">
        <f t="shared" si="11"/>
        <v/>
      </c>
      <c r="W112" s="295" t="str">
        <f>IF(S112="","",VLOOKUP(S112,'G-1 All Habitats'!$B$2:$M$135,10,FALSE))</f>
        <v/>
      </c>
      <c r="X112" s="295" t="str">
        <f>IFERROR(VLOOKUP(W112,'G-1 All Habitats'!$V$3:$W$7,2,FALSE),"")</f>
        <v/>
      </c>
      <c r="Y112" s="138"/>
      <c r="Z112" s="299" t="str">
        <f>IFERROR(INDEX('G-8 Condition Look up'!$A$3:$H$135,MATCH(S112,'G-8 Condition Look up'!$A$3:$A$135,0),MATCH(Y112,'G-8 Condition Look up'!$A$3:$H$3,0)),"")</f>
        <v/>
      </c>
      <c r="AA112" s="101"/>
      <c r="AB112" s="314" t="str">
        <f>IF(AA112="","",IF(VLOOKUP(AA112,'G-3 Multipliers'!$L$3:$N$6,2,FALSE)=0,"Spatial Data Missing ⚠",VLOOKUP(AA112,'G-3 Multipliers'!$L$3:$N$6,2,FALSE)))</f>
        <v/>
      </c>
      <c r="AC112" s="299" t="str">
        <f>IF(AA112="","",IF(VLOOKUP(AA112,'G-3 Multipliers'!$L$3:$N$6,3,FALSE)=0,"Spatial Data Missing ⚠",VLOOKUP(AA112,'G-3 Multipliers'!$L$3:$N$6,3,FALSE)))</f>
        <v/>
      </c>
      <c r="AD112" s="311" t="str">
        <f t="shared" si="12"/>
        <v/>
      </c>
      <c r="AE112" s="138"/>
      <c r="AF112" s="138"/>
      <c r="AG112" s="295" t="str">
        <f t="shared" si="16"/>
        <v/>
      </c>
      <c r="AH112" s="296" t="str">
        <f t="shared" si="17"/>
        <v/>
      </c>
      <c r="AI112" s="300" t="str">
        <f>IF(AH112="Check Data ⚠","Check Data ⚠",IFERROR(VLOOKUP(AH112,'G-4 Temporal multipliers'!$A$4:$C$36,3,FALSE),""))</f>
        <v/>
      </c>
      <c r="AJ112" s="311" t="str">
        <f>IF(S112="","",VLOOKUP(S112,'G-3 Multipliers'!$A$2:$E$134,4,FALSE))</f>
        <v/>
      </c>
      <c r="AK112" s="295" t="str">
        <f t="shared" si="18"/>
        <v/>
      </c>
      <c r="AL112" s="295" t="str">
        <f t="shared" si="19"/>
        <v/>
      </c>
      <c r="AM112" s="299" t="str">
        <f>IFERROR(IF(F112="","",IF(AH112="Check Data ⚠","Check Data ⚠",VLOOKUP(AL112,'G-3 Multipliers'!$P$2:$Q$6,2,FALSE))),"")</f>
        <v/>
      </c>
      <c r="AN112" s="712" t="str">
        <f>IF(E112="","",IF(ISNA(VLOOKUP($E112,'D-1 Off-Site Habitat Baseline'!$D$1:$Z$258,15,FALSE)),"",(VLOOKUP($E112,'D-1 Off-Site Habitat Baseline'!$D$1:$Z$258,15,FALSE))))</f>
        <v/>
      </c>
      <c r="AO112" s="329" t="str">
        <f>IF(AN112="","",IF(VLOOKUP(AN112,'G-3 Multipliers'!$S$3:$T$10,2,FALSE)=0,"Spatial Data Missing ⚠",VLOOKUP(AN112,'G-3 Multipliers'!$S$3:$T$10,2,FALSE)))</f>
        <v/>
      </c>
      <c r="AP112" s="289" t="str">
        <f t="shared" si="20"/>
        <v/>
      </c>
      <c r="AQ112" s="289" t="str">
        <f t="shared" si="21"/>
        <v/>
      </c>
      <c r="AR112" s="105"/>
      <c r="AS112" s="138"/>
      <c r="AT112" s="104"/>
      <c r="AU112" s="104"/>
      <c r="AY112" s="30" t="str">
        <f>IF(E112="","",IF(ISNA(VLOOKUP($E112,'D-1 Off-Site Habitat Baseline'!$D$1:$AV$258,4,FALSE)),"",(VLOOKUP($E112,'D-1 Off-Site Habitat Baseline'!$D$1:$AV$258,4,FALSE))))</f>
        <v/>
      </c>
    </row>
    <row r="113" spans="1:51" ht="14">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319" t="str">
        <f>'D-1 Off-Site Habitat Baseline'!AP112</f>
        <v/>
      </c>
      <c r="F113" s="283" t="str">
        <f>IF(E113="","",IF(ISNA(VLOOKUP($E113,'D-1 Off-Site Habitat Baseline'!$D$1:$ZZ$258,45,FALSE)),"",(VLOOKUP($E113,'D-1 Off-Site Habitat Baseline'!$D$1:$ZZ$258,45,FALSE))))</f>
        <v/>
      </c>
      <c r="G113" s="295" t="str">
        <f>IF(E113="","",IF(ISNA(VLOOKUP($E113,'D-1 Off-Site Habitat Baseline'!$D$1:$O$258,5,FALSE)),"",(VLOOKUP($E113,'D-1 Off-Site Habitat Baseline'!$D$1:$O$258,5,FALSE))))</f>
        <v/>
      </c>
      <c r="H113" s="295" t="str">
        <f>IF(E113="","",IF(ISNA(VLOOKUP($E113,'D-1 Off-Site Habitat Baseline'!$D$1:$O$258,6,FALSE)),"",(VLOOKUP($E113,'D-1 Off-Site Habitat Baseline'!$D$1:$O$258,6,FALSE))))</f>
        <v/>
      </c>
      <c r="I113" s="295" t="str">
        <f>IF(E113="","",IF(ISNA(VLOOKUP($E113,'D-1 Off-Site Habitat Baseline'!$D$1:$O$258,7,FALSE)),"",(VLOOKUP($E113,'D-1 Off-Site Habitat Baseline'!$D$1:$O$258,7,FALSE))))</f>
        <v/>
      </c>
      <c r="J113" s="295" t="str">
        <f>IF(E113="","",IF(ISNA(VLOOKUP($E113,'D-1 Off-Site Habitat Baseline'!$D$1:$O$258,8,FALSE)),"",(VLOOKUP($E113,'D-1 Off-Site Habitat Baseline'!$D$1:$O$258,8,FALSE))))</f>
        <v/>
      </c>
      <c r="K113" s="295" t="str">
        <f>IF(E113="","",IF(ISNA(VLOOKUP($E113,'D-1 Off-Site Habitat Baseline'!$D$1:$O$258,9,FALSE)),"",(VLOOKUP($E113,'D-1 Off-Site Habitat Baseline'!$D$1:$O$258,9,FALSE))))</f>
        <v/>
      </c>
      <c r="L113" s="295" t="str">
        <f>IF(E113="","",IF(ISNA(VLOOKUP($E113,'D-1 Off-Site Habitat Baseline'!$D$1:$O$258,11,FALSE)),"",(VLOOKUP($E113,'D-1 Off-Site Habitat Baseline'!$D$1:$O$258,11,FALSE))))</f>
        <v/>
      </c>
      <c r="M113" s="295" t="str">
        <f>IF(E113="","",IF(ISNA(VLOOKUP($E113,'D-1 Off-Site Habitat Baseline'!$D$1:$O$258,12,FALSE)),"",(VLOOKUP($E113,'D-1 Off-Site Habitat Baseline'!$D$1:$O$258,12,FALSE))))</f>
        <v/>
      </c>
      <c r="N113" s="295" t="str">
        <f>IF(E113="","",IF(ISNA(VLOOKUP($E113,'D-1 Off-Site Habitat Baseline'!$D$1:$AA$258,17,FALSE)),"",(VLOOKUP($E113,'D-1 Off-Site Habitat Baseline'!$D$1:$AA$258,17,FALSE))))</f>
        <v/>
      </c>
      <c r="O113" s="299" t="str">
        <f>IF(E113="","",IF(ISNA(VLOOKUP($E113,'D-1 Off-Site Habitat Baseline'!$D$1:$AA$258,13,FALSE)),"",(VLOOKUP($E113,'D-1 Off-Site Habitat Baseline'!$D$1:$AA$258,13,FALSE))))</f>
        <v/>
      </c>
      <c r="P113" s="148" t="str">
        <f>IFERROR(INDEX('G-1 All Habitats'!$AG$49:$AG$63,MATCH(Q113,'G-1 All Habitats'!$AF$27:$AF$41,0)),"")</f>
        <v/>
      </c>
      <c r="Q113" s="149" t="str">
        <f t="shared" si="13"/>
        <v/>
      </c>
      <c r="R113" s="150"/>
      <c r="S113" s="151" t="str">
        <f>IFERROR(INDEX('G-1 All Habitats'!$B$3:$B$135,MATCH(R113,'G-1 All Habitats'!$A$3:$A$135,0)),"")</f>
        <v/>
      </c>
      <c r="T113" s="283" t="str">
        <f t="shared" si="14"/>
        <v/>
      </c>
      <c r="U113" s="276" t="str">
        <f t="shared" si="15"/>
        <v/>
      </c>
      <c r="V113" s="298" t="str">
        <f t="shared" si="11"/>
        <v/>
      </c>
      <c r="W113" s="295" t="str">
        <f>IF(S113="","",VLOOKUP(S113,'G-1 All Habitats'!$B$2:$M$135,10,FALSE))</f>
        <v/>
      </c>
      <c r="X113" s="295" t="str">
        <f>IFERROR(VLOOKUP(W113,'G-1 All Habitats'!$V$3:$W$7,2,FALSE),"")</f>
        <v/>
      </c>
      <c r="Y113" s="138"/>
      <c r="Z113" s="299" t="str">
        <f>IFERROR(INDEX('G-8 Condition Look up'!$A$3:$H$135,MATCH(S113,'G-8 Condition Look up'!$A$3:$A$135,0),MATCH(Y113,'G-8 Condition Look up'!$A$3:$H$3,0)),"")</f>
        <v/>
      </c>
      <c r="AA113" s="101"/>
      <c r="AB113" s="314" t="str">
        <f>IF(AA113="","",IF(VLOOKUP(AA113,'G-3 Multipliers'!$L$3:$N$6,2,FALSE)=0,"Spatial Data Missing ⚠",VLOOKUP(AA113,'G-3 Multipliers'!$L$3:$N$6,2,FALSE)))</f>
        <v/>
      </c>
      <c r="AC113" s="299" t="str">
        <f>IF(AA113="","",IF(VLOOKUP(AA113,'G-3 Multipliers'!$L$3:$N$6,3,FALSE)=0,"Spatial Data Missing ⚠",VLOOKUP(AA113,'G-3 Multipliers'!$L$3:$N$6,3,FALSE)))</f>
        <v/>
      </c>
      <c r="AD113" s="311" t="str">
        <f t="shared" si="12"/>
        <v/>
      </c>
      <c r="AE113" s="138"/>
      <c r="AF113" s="138"/>
      <c r="AG113" s="295" t="str">
        <f t="shared" si="16"/>
        <v/>
      </c>
      <c r="AH113" s="296" t="str">
        <f t="shared" si="17"/>
        <v/>
      </c>
      <c r="AI113" s="300" t="str">
        <f>IF(AH113="Check Data ⚠","Check Data ⚠",IFERROR(VLOOKUP(AH113,'G-4 Temporal multipliers'!$A$4:$C$36,3,FALSE),""))</f>
        <v/>
      </c>
      <c r="AJ113" s="311" t="str">
        <f>IF(S113="","",VLOOKUP(S113,'G-3 Multipliers'!$A$2:$E$134,4,FALSE))</f>
        <v/>
      </c>
      <c r="AK113" s="295" t="str">
        <f t="shared" si="18"/>
        <v/>
      </c>
      <c r="AL113" s="295" t="str">
        <f t="shared" si="19"/>
        <v/>
      </c>
      <c r="AM113" s="299" t="str">
        <f>IFERROR(IF(F113="","",IF(AH113="Check Data ⚠","Check Data ⚠",VLOOKUP(AL113,'G-3 Multipliers'!$P$2:$Q$6,2,FALSE))),"")</f>
        <v/>
      </c>
      <c r="AN113" s="712" t="str">
        <f>IF(E113="","",IF(ISNA(VLOOKUP($E113,'D-1 Off-Site Habitat Baseline'!$D$1:$Z$258,15,FALSE)),"",(VLOOKUP($E113,'D-1 Off-Site Habitat Baseline'!$D$1:$Z$258,15,FALSE))))</f>
        <v/>
      </c>
      <c r="AO113" s="329" t="str">
        <f>IF(AN113="","",IF(VLOOKUP(AN113,'G-3 Multipliers'!$S$3:$T$10,2,FALSE)=0,"Spatial Data Missing ⚠",VLOOKUP(AN113,'G-3 Multipliers'!$S$3:$T$10,2,FALSE)))</f>
        <v/>
      </c>
      <c r="AP113" s="289" t="str">
        <f t="shared" si="20"/>
        <v/>
      </c>
      <c r="AQ113" s="289" t="str">
        <f t="shared" si="21"/>
        <v/>
      </c>
      <c r="AR113" s="105"/>
      <c r="AS113" s="138"/>
      <c r="AT113" s="104"/>
      <c r="AU113" s="104"/>
      <c r="AY113" s="30" t="str">
        <f>IF(E113="","",IF(ISNA(VLOOKUP($E113,'D-1 Off-Site Habitat Baseline'!$D$1:$AV$258,4,FALSE)),"",(VLOOKUP($E113,'D-1 Off-Site Habitat Baseline'!$D$1:$AV$258,4,FALSE))))</f>
        <v/>
      </c>
    </row>
    <row r="114" spans="1:51" ht="14">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319" t="str">
        <f>'D-1 Off-Site Habitat Baseline'!AP113</f>
        <v/>
      </c>
      <c r="F114" s="283" t="str">
        <f>IF(E114="","",IF(ISNA(VLOOKUP($E114,'D-1 Off-Site Habitat Baseline'!$D$1:$ZZ$258,45,FALSE)),"",(VLOOKUP($E114,'D-1 Off-Site Habitat Baseline'!$D$1:$ZZ$258,45,FALSE))))</f>
        <v/>
      </c>
      <c r="G114" s="295" t="str">
        <f>IF(E114="","",IF(ISNA(VLOOKUP($E114,'D-1 Off-Site Habitat Baseline'!$D$1:$O$258,5,FALSE)),"",(VLOOKUP($E114,'D-1 Off-Site Habitat Baseline'!$D$1:$O$258,5,FALSE))))</f>
        <v/>
      </c>
      <c r="H114" s="295" t="str">
        <f>IF(E114="","",IF(ISNA(VLOOKUP($E114,'D-1 Off-Site Habitat Baseline'!$D$1:$O$258,6,FALSE)),"",(VLOOKUP($E114,'D-1 Off-Site Habitat Baseline'!$D$1:$O$258,6,FALSE))))</f>
        <v/>
      </c>
      <c r="I114" s="295" t="str">
        <f>IF(E114="","",IF(ISNA(VLOOKUP($E114,'D-1 Off-Site Habitat Baseline'!$D$1:$O$258,7,FALSE)),"",(VLOOKUP($E114,'D-1 Off-Site Habitat Baseline'!$D$1:$O$258,7,FALSE))))</f>
        <v/>
      </c>
      <c r="J114" s="295" t="str">
        <f>IF(E114="","",IF(ISNA(VLOOKUP($E114,'D-1 Off-Site Habitat Baseline'!$D$1:$O$258,8,FALSE)),"",(VLOOKUP($E114,'D-1 Off-Site Habitat Baseline'!$D$1:$O$258,8,FALSE))))</f>
        <v/>
      </c>
      <c r="K114" s="295" t="str">
        <f>IF(E114="","",IF(ISNA(VLOOKUP($E114,'D-1 Off-Site Habitat Baseline'!$D$1:$O$258,9,FALSE)),"",(VLOOKUP($E114,'D-1 Off-Site Habitat Baseline'!$D$1:$O$258,9,FALSE))))</f>
        <v/>
      </c>
      <c r="L114" s="295" t="str">
        <f>IF(E114="","",IF(ISNA(VLOOKUP($E114,'D-1 Off-Site Habitat Baseline'!$D$1:$O$258,11,FALSE)),"",(VLOOKUP($E114,'D-1 Off-Site Habitat Baseline'!$D$1:$O$258,11,FALSE))))</f>
        <v/>
      </c>
      <c r="M114" s="295" t="str">
        <f>IF(E114="","",IF(ISNA(VLOOKUP($E114,'D-1 Off-Site Habitat Baseline'!$D$1:$O$258,12,FALSE)),"",(VLOOKUP($E114,'D-1 Off-Site Habitat Baseline'!$D$1:$O$258,12,FALSE))))</f>
        <v/>
      </c>
      <c r="N114" s="295" t="str">
        <f>IF(E114="","",IF(ISNA(VLOOKUP($E114,'D-1 Off-Site Habitat Baseline'!$D$1:$AA$258,17,FALSE)),"",(VLOOKUP($E114,'D-1 Off-Site Habitat Baseline'!$D$1:$AA$258,17,FALSE))))</f>
        <v/>
      </c>
      <c r="O114" s="299" t="str">
        <f>IF(E114="","",IF(ISNA(VLOOKUP($E114,'D-1 Off-Site Habitat Baseline'!$D$1:$AA$258,13,FALSE)),"",(VLOOKUP($E114,'D-1 Off-Site Habitat Baseline'!$D$1:$AA$258,13,FALSE))))</f>
        <v/>
      </c>
      <c r="P114" s="148" t="str">
        <f>IFERROR(INDEX('G-1 All Habitats'!$AG$49:$AG$63,MATCH(Q114,'G-1 All Habitats'!$AF$27:$AF$41,0)),"")</f>
        <v/>
      </c>
      <c r="Q114" s="149" t="str">
        <f t="shared" si="13"/>
        <v/>
      </c>
      <c r="R114" s="150"/>
      <c r="S114" s="151" t="str">
        <f>IFERROR(INDEX('G-1 All Habitats'!$B$3:$B$135,MATCH(R114,'G-1 All Habitats'!$A$3:$A$135,0)),"")</f>
        <v/>
      </c>
      <c r="T114" s="283" t="str">
        <f t="shared" si="14"/>
        <v/>
      </c>
      <c r="U114" s="276" t="str">
        <f t="shared" si="15"/>
        <v/>
      </c>
      <c r="V114" s="298" t="str">
        <f t="shared" si="11"/>
        <v/>
      </c>
      <c r="W114" s="295" t="str">
        <f>IF(S114="","",VLOOKUP(S114,'G-1 All Habitats'!$B$2:$M$135,10,FALSE))</f>
        <v/>
      </c>
      <c r="X114" s="295" t="str">
        <f>IFERROR(VLOOKUP(W114,'G-1 All Habitats'!$V$3:$W$7,2,FALSE),"")</f>
        <v/>
      </c>
      <c r="Y114" s="138"/>
      <c r="Z114" s="299" t="str">
        <f>IFERROR(INDEX('G-8 Condition Look up'!$A$3:$H$135,MATCH(S114,'G-8 Condition Look up'!$A$3:$A$135,0),MATCH(Y114,'G-8 Condition Look up'!$A$3:$H$3,0)),"")</f>
        <v/>
      </c>
      <c r="AA114" s="101"/>
      <c r="AB114" s="314" t="str">
        <f>IF(AA114="","",IF(VLOOKUP(AA114,'G-3 Multipliers'!$L$3:$N$6,2,FALSE)=0,"Spatial Data Missing ⚠",VLOOKUP(AA114,'G-3 Multipliers'!$L$3:$N$6,2,FALSE)))</f>
        <v/>
      </c>
      <c r="AC114" s="299" t="str">
        <f>IF(AA114="","",IF(VLOOKUP(AA114,'G-3 Multipliers'!$L$3:$N$6,3,FALSE)=0,"Spatial Data Missing ⚠",VLOOKUP(AA114,'G-3 Multipliers'!$L$3:$N$6,3,FALSE)))</f>
        <v/>
      </c>
      <c r="AD114" s="311" t="str">
        <f t="shared" si="12"/>
        <v/>
      </c>
      <c r="AE114" s="138"/>
      <c r="AF114" s="138"/>
      <c r="AG114" s="295" t="str">
        <f t="shared" si="16"/>
        <v/>
      </c>
      <c r="AH114" s="296" t="str">
        <f t="shared" si="17"/>
        <v/>
      </c>
      <c r="AI114" s="300" t="str">
        <f>IF(AH114="Check Data ⚠","Check Data ⚠",IFERROR(VLOOKUP(AH114,'G-4 Temporal multipliers'!$A$4:$C$36,3,FALSE),""))</f>
        <v/>
      </c>
      <c r="AJ114" s="311" t="str">
        <f>IF(S114="","",VLOOKUP(S114,'G-3 Multipliers'!$A$2:$E$134,4,FALSE))</f>
        <v/>
      </c>
      <c r="AK114" s="295" t="str">
        <f t="shared" si="18"/>
        <v/>
      </c>
      <c r="AL114" s="295" t="str">
        <f t="shared" si="19"/>
        <v/>
      </c>
      <c r="AM114" s="299" t="str">
        <f>IFERROR(IF(F114="","",IF(AH114="Check Data ⚠","Check Data ⚠",VLOOKUP(AL114,'G-3 Multipliers'!$P$2:$Q$6,2,FALSE))),"")</f>
        <v/>
      </c>
      <c r="AN114" s="712" t="str">
        <f>IF(E114="","",IF(ISNA(VLOOKUP($E114,'D-1 Off-Site Habitat Baseline'!$D$1:$Z$258,15,FALSE)),"",(VLOOKUP($E114,'D-1 Off-Site Habitat Baseline'!$D$1:$Z$258,15,FALSE))))</f>
        <v/>
      </c>
      <c r="AO114" s="329" t="str">
        <f>IF(AN114="","",IF(VLOOKUP(AN114,'G-3 Multipliers'!$S$3:$T$10,2,FALSE)=0,"Spatial Data Missing ⚠",VLOOKUP(AN114,'G-3 Multipliers'!$S$3:$T$10,2,FALSE)))</f>
        <v/>
      </c>
      <c r="AP114" s="289" t="str">
        <f t="shared" si="20"/>
        <v/>
      </c>
      <c r="AQ114" s="289" t="str">
        <f t="shared" si="21"/>
        <v/>
      </c>
      <c r="AR114" s="105"/>
      <c r="AS114" s="138"/>
      <c r="AT114" s="104"/>
      <c r="AU114" s="104"/>
      <c r="AY114" s="30" t="str">
        <f>IF(E114="","",IF(ISNA(VLOOKUP($E114,'D-1 Off-Site Habitat Baseline'!$D$1:$AV$258,4,FALSE)),"",(VLOOKUP($E114,'D-1 Off-Site Habitat Baseline'!$D$1:$AV$258,4,FALSE))))</f>
        <v/>
      </c>
    </row>
    <row r="115" spans="1:51" ht="14">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319" t="str">
        <f>'D-1 Off-Site Habitat Baseline'!AP114</f>
        <v/>
      </c>
      <c r="F115" s="283" t="str">
        <f>IF(E115="","",IF(ISNA(VLOOKUP($E115,'D-1 Off-Site Habitat Baseline'!$D$1:$ZZ$258,45,FALSE)),"",(VLOOKUP($E115,'D-1 Off-Site Habitat Baseline'!$D$1:$ZZ$258,45,FALSE))))</f>
        <v/>
      </c>
      <c r="G115" s="295" t="str">
        <f>IF(E115="","",IF(ISNA(VLOOKUP($E115,'D-1 Off-Site Habitat Baseline'!$D$1:$O$258,5,FALSE)),"",(VLOOKUP($E115,'D-1 Off-Site Habitat Baseline'!$D$1:$O$258,5,FALSE))))</f>
        <v/>
      </c>
      <c r="H115" s="295" t="str">
        <f>IF(E115="","",IF(ISNA(VLOOKUP($E115,'D-1 Off-Site Habitat Baseline'!$D$1:$O$258,6,FALSE)),"",(VLOOKUP($E115,'D-1 Off-Site Habitat Baseline'!$D$1:$O$258,6,FALSE))))</f>
        <v/>
      </c>
      <c r="I115" s="295" t="str">
        <f>IF(E115="","",IF(ISNA(VLOOKUP($E115,'D-1 Off-Site Habitat Baseline'!$D$1:$O$258,7,FALSE)),"",(VLOOKUP($E115,'D-1 Off-Site Habitat Baseline'!$D$1:$O$258,7,FALSE))))</f>
        <v/>
      </c>
      <c r="J115" s="295" t="str">
        <f>IF(E115="","",IF(ISNA(VLOOKUP($E115,'D-1 Off-Site Habitat Baseline'!$D$1:$O$258,8,FALSE)),"",(VLOOKUP($E115,'D-1 Off-Site Habitat Baseline'!$D$1:$O$258,8,FALSE))))</f>
        <v/>
      </c>
      <c r="K115" s="295" t="str">
        <f>IF(E115="","",IF(ISNA(VLOOKUP($E115,'D-1 Off-Site Habitat Baseline'!$D$1:$O$258,9,FALSE)),"",(VLOOKUP($E115,'D-1 Off-Site Habitat Baseline'!$D$1:$O$258,9,FALSE))))</f>
        <v/>
      </c>
      <c r="L115" s="295" t="str">
        <f>IF(E115="","",IF(ISNA(VLOOKUP($E115,'D-1 Off-Site Habitat Baseline'!$D$1:$O$258,11,FALSE)),"",(VLOOKUP($E115,'D-1 Off-Site Habitat Baseline'!$D$1:$O$258,11,FALSE))))</f>
        <v/>
      </c>
      <c r="M115" s="295" t="str">
        <f>IF(E115="","",IF(ISNA(VLOOKUP($E115,'D-1 Off-Site Habitat Baseline'!$D$1:$O$258,12,FALSE)),"",(VLOOKUP($E115,'D-1 Off-Site Habitat Baseline'!$D$1:$O$258,12,FALSE))))</f>
        <v/>
      </c>
      <c r="N115" s="295" t="str">
        <f>IF(E115="","",IF(ISNA(VLOOKUP($E115,'D-1 Off-Site Habitat Baseline'!$D$1:$AA$258,17,FALSE)),"",(VLOOKUP($E115,'D-1 Off-Site Habitat Baseline'!$D$1:$AA$258,17,FALSE))))</f>
        <v/>
      </c>
      <c r="O115" s="299" t="str">
        <f>IF(E115="","",IF(ISNA(VLOOKUP($E115,'D-1 Off-Site Habitat Baseline'!$D$1:$AA$258,13,FALSE)),"",(VLOOKUP($E115,'D-1 Off-Site Habitat Baseline'!$D$1:$AA$258,13,FALSE))))</f>
        <v/>
      </c>
      <c r="P115" s="148" t="str">
        <f>IFERROR(INDEX('G-1 All Habitats'!$AG$49:$AG$63,MATCH(Q115,'G-1 All Habitats'!$AF$27:$AF$41,0)),"")</f>
        <v/>
      </c>
      <c r="Q115" s="149" t="str">
        <f t="shared" si="13"/>
        <v/>
      </c>
      <c r="R115" s="150"/>
      <c r="S115" s="151" t="str">
        <f>IFERROR(INDEX('G-1 All Habitats'!$B$3:$B$135,MATCH(R115,'G-1 All Habitats'!$A$3:$A$135,0)),"")</f>
        <v/>
      </c>
      <c r="T115" s="283" t="str">
        <f t="shared" si="14"/>
        <v/>
      </c>
      <c r="U115" s="276" t="str">
        <f t="shared" si="15"/>
        <v/>
      </c>
      <c r="V115" s="298" t="str">
        <f t="shared" si="11"/>
        <v/>
      </c>
      <c r="W115" s="295" t="str">
        <f>IF(S115="","",VLOOKUP(S115,'G-1 All Habitats'!$B$2:$M$135,10,FALSE))</f>
        <v/>
      </c>
      <c r="X115" s="295" t="str">
        <f>IFERROR(VLOOKUP(W115,'G-1 All Habitats'!$V$3:$W$7,2,FALSE),"")</f>
        <v/>
      </c>
      <c r="Y115" s="138"/>
      <c r="Z115" s="299" t="str">
        <f>IFERROR(INDEX('G-8 Condition Look up'!$A$3:$H$135,MATCH(S115,'G-8 Condition Look up'!$A$3:$A$135,0),MATCH(Y115,'G-8 Condition Look up'!$A$3:$H$3,0)),"")</f>
        <v/>
      </c>
      <c r="AA115" s="101"/>
      <c r="AB115" s="314" t="str">
        <f>IF(AA115="","",IF(VLOOKUP(AA115,'G-3 Multipliers'!$L$3:$N$6,2,FALSE)=0,"Spatial Data Missing ⚠",VLOOKUP(AA115,'G-3 Multipliers'!$L$3:$N$6,2,FALSE)))</f>
        <v/>
      </c>
      <c r="AC115" s="299" t="str">
        <f>IF(AA115="","",IF(VLOOKUP(AA115,'G-3 Multipliers'!$L$3:$N$6,3,FALSE)=0,"Spatial Data Missing ⚠",VLOOKUP(AA115,'G-3 Multipliers'!$L$3:$N$6,3,FALSE)))</f>
        <v/>
      </c>
      <c r="AD115" s="311" t="str">
        <f t="shared" si="12"/>
        <v/>
      </c>
      <c r="AE115" s="138"/>
      <c r="AF115" s="138"/>
      <c r="AG115" s="295" t="str">
        <f t="shared" si="16"/>
        <v/>
      </c>
      <c r="AH115" s="296" t="str">
        <f t="shared" si="17"/>
        <v/>
      </c>
      <c r="AI115" s="300" t="str">
        <f>IF(AH115="Check Data ⚠","Check Data ⚠",IFERROR(VLOOKUP(AH115,'G-4 Temporal multipliers'!$A$4:$C$36,3,FALSE),""))</f>
        <v/>
      </c>
      <c r="AJ115" s="311" t="str">
        <f>IF(S115="","",VLOOKUP(S115,'G-3 Multipliers'!$A$2:$E$134,4,FALSE))</f>
        <v/>
      </c>
      <c r="AK115" s="295" t="str">
        <f t="shared" si="18"/>
        <v/>
      </c>
      <c r="AL115" s="295" t="str">
        <f t="shared" si="19"/>
        <v/>
      </c>
      <c r="AM115" s="299" t="str">
        <f>IFERROR(IF(F115="","",IF(AH115="Check Data ⚠","Check Data ⚠",VLOOKUP(AL115,'G-3 Multipliers'!$P$2:$Q$6,2,FALSE))),"")</f>
        <v/>
      </c>
      <c r="AN115" s="712" t="str">
        <f>IF(E115="","",IF(ISNA(VLOOKUP($E115,'D-1 Off-Site Habitat Baseline'!$D$1:$Z$258,15,FALSE)),"",(VLOOKUP($E115,'D-1 Off-Site Habitat Baseline'!$D$1:$Z$258,15,FALSE))))</f>
        <v/>
      </c>
      <c r="AO115" s="329" t="str">
        <f>IF(AN115="","",IF(VLOOKUP(AN115,'G-3 Multipliers'!$S$3:$T$10,2,FALSE)=0,"Spatial Data Missing ⚠",VLOOKUP(AN115,'G-3 Multipliers'!$S$3:$T$10,2,FALSE)))</f>
        <v/>
      </c>
      <c r="AP115" s="289" t="str">
        <f t="shared" si="20"/>
        <v/>
      </c>
      <c r="AQ115" s="289" t="str">
        <f t="shared" si="21"/>
        <v/>
      </c>
      <c r="AR115" s="105"/>
      <c r="AS115" s="138"/>
      <c r="AT115" s="104"/>
      <c r="AU115" s="104"/>
      <c r="AY115" s="30" t="str">
        <f>IF(E115="","",IF(ISNA(VLOOKUP($E115,'D-1 Off-Site Habitat Baseline'!$D$1:$AV$258,4,FALSE)),"",(VLOOKUP($E115,'D-1 Off-Site Habitat Baseline'!$D$1:$AV$258,4,FALSE))))</f>
        <v/>
      </c>
    </row>
    <row r="116" spans="1:51" ht="14">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319" t="str">
        <f>'D-1 Off-Site Habitat Baseline'!AP115</f>
        <v/>
      </c>
      <c r="F116" s="283" t="str">
        <f>IF(E116="","",IF(ISNA(VLOOKUP($E116,'D-1 Off-Site Habitat Baseline'!$D$1:$ZZ$258,45,FALSE)),"",(VLOOKUP($E116,'D-1 Off-Site Habitat Baseline'!$D$1:$ZZ$258,45,FALSE))))</f>
        <v/>
      </c>
      <c r="G116" s="295" t="str">
        <f>IF(E116="","",IF(ISNA(VLOOKUP($E116,'D-1 Off-Site Habitat Baseline'!$D$1:$O$258,5,FALSE)),"",(VLOOKUP($E116,'D-1 Off-Site Habitat Baseline'!$D$1:$O$258,5,FALSE))))</f>
        <v/>
      </c>
      <c r="H116" s="295" t="str">
        <f>IF(E116="","",IF(ISNA(VLOOKUP($E116,'D-1 Off-Site Habitat Baseline'!$D$1:$O$258,6,FALSE)),"",(VLOOKUP($E116,'D-1 Off-Site Habitat Baseline'!$D$1:$O$258,6,FALSE))))</f>
        <v/>
      </c>
      <c r="I116" s="295" t="str">
        <f>IF(E116="","",IF(ISNA(VLOOKUP($E116,'D-1 Off-Site Habitat Baseline'!$D$1:$O$258,7,FALSE)),"",(VLOOKUP($E116,'D-1 Off-Site Habitat Baseline'!$D$1:$O$258,7,FALSE))))</f>
        <v/>
      </c>
      <c r="J116" s="295" t="str">
        <f>IF(E116="","",IF(ISNA(VLOOKUP($E116,'D-1 Off-Site Habitat Baseline'!$D$1:$O$258,8,FALSE)),"",(VLOOKUP($E116,'D-1 Off-Site Habitat Baseline'!$D$1:$O$258,8,FALSE))))</f>
        <v/>
      </c>
      <c r="K116" s="295" t="str">
        <f>IF(E116="","",IF(ISNA(VLOOKUP($E116,'D-1 Off-Site Habitat Baseline'!$D$1:$O$258,9,FALSE)),"",(VLOOKUP($E116,'D-1 Off-Site Habitat Baseline'!$D$1:$O$258,9,FALSE))))</f>
        <v/>
      </c>
      <c r="L116" s="295" t="str">
        <f>IF(E116="","",IF(ISNA(VLOOKUP($E116,'D-1 Off-Site Habitat Baseline'!$D$1:$O$258,11,FALSE)),"",(VLOOKUP($E116,'D-1 Off-Site Habitat Baseline'!$D$1:$O$258,11,FALSE))))</f>
        <v/>
      </c>
      <c r="M116" s="295" t="str">
        <f>IF(E116="","",IF(ISNA(VLOOKUP($E116,'D-1 Off-Site Habitat Baseline'!$D$1:$O$258,12,FALSE)),"",(VLOOKUP($E116,'D-1 Off-Site Habitat Baseline'!$D$1:$O$258,12,FALSE))))</f>
        <v/>
      </c>
      <c r="N116" s="295" t="str">
        <f>IF(E116="","",IF(ISNA(VLOOKUP($E116,'D-1 Off-Site Habitat Baseline'!$D$1:$AA$258,17,FALSE)),"",(VLOOKUP($E116,'D-1 Off-Site Habitat Baseline'!$D$1:$AA$258,17,FALSE))))</f>
        <v/>
      </c>
      <c r="O116" s="299" t="str">
        <f>IF(E116="","",IF(ISNA(VLOOKUP($E116,'D-1 Off-Site Habitat Baseline'!$D$1:$AA$258,13,FALSE)),"",(VLOOKUP($E116,'D-1 Off-Site Habitat Baseline'!$D$1:$AA$258,13,FALSE))))</f>
        <v/>
      </c>
      <c r="P116" s="148" t="str">
        <f>IFERROR(INDEX('G-1 All Habitats'!$AG$49:$AG$63,MATCH(Q116,'G-1 All Habitats'!$AF$27:$AF$41,0)),"")</f>
        <v/>
      </c>
      <c r="Q116" s="149" t="str">
        <f t="shared" si="13"/>
        <v/>
      </c>
      <c r="R116" s="150"/>
      <c r="S116" s="151" t="str">
        <f>IFERROR(INDEX('G-1 All Habitats'!$B$3:$B$135,MATCH(R116,'G-1 All Habitats'!$A$3:$A$135,0)),"")</f>
        <v/>
      </c>
      <c r="T116" s="283" t="str">
        <f t="shared" si="14"/>
        <v/>
      </c>
      <c r="U116" s="276" t="str">
        <f t="shared" si="15"/>
        <v/>
      </c>
      <c r="V116" s="298" t="str">
        <f t="shared" si="11"/>
        <v/>
      </c>
      <c r="W116" s="295" t="str">
        <f>IF(S116="","",VLOOKUP(S116,'G-1 All Habitats'!$B$2:$M$135,10,FALSE))</f>
        <v/>
      </c>
      <c r="X116" s="295" t="str">
        <f>IFERROR(VLOOKUP(W116,'G-1 All Habitats'!$V$3:$W$7,2,FALSE),"")</f>
        <v/>
      </c>
      <c r="Y116" s="138"/>
      <c r="Z116" s="299" t="str">
        <f>IFERROR(INDEX('G-8 Condition Look up'!$A$3:$H$135,MATCH(S116,'G-8 Condition Look up'!$A$3:$A$135,0),MATCH(Y116,'G-8 Condition Look up'!$A$3:$H$3,0)),"")</f>
        <v/>
      </c>
      <c r="AA116" s="101"/>
      <c r="AB116" s="314" t="str">
        <f>IF(AA116="","",IF(VLOOKUP(AA116,'G-3 Multipliers'!$L$3:$N$6,2,FALSE)=0,"Spatial Data Missing ⚠",VLOOKUP(AA116,'G-3 Multipliers'!$L$3:$N$6,2,FALSE)))</f>
        <v/>
      </c>
      <c r="AC116" s="299" t="str">
        <f>IF(AA116="","",IF(VLOOKUP(AA116,'G-3 Multipliers'!$L$3:$N$6,3,FALSE)=0,"Spatial Data Missing ⚠",VLOOKUP(AA116,'G-3 Multipliers'!$L$3:$N$6,3,FALSE)))</f>
        <v/>
      </c>
      <c r="AD116" s="311" t="str">
        <f t="shared" si="12"/>
        <v/>
      </c>
      <c r="AE116" s="138"/>
      <c r="AF116" s="138"/>
      <c r="AG116" s="295" t="str">
        <f t="shared" si="16"/>
        <v/>
      </c>
      <c r="AH116" s="296" t="str">
        <f t="shared" si="17"/>
        <v/>
      </c>
      <c r="AI116" s="300" t="str">
        <f>IF(AH116="Check Data ⚠","Check Data ⚠",IFERROR(VLOOKUP(AH116,'G-4 Temporal multipliers'!$A$4:$C$36,3,FALSE),""))</f>
        <v/>
      </c>
      <c r="AJ116" s="311" t="str">
        <f>IF(S116="","",VLOOKUP(S116,'G-3 Multipliers'!$A$2:$E$134,4,FALSE))</f>
        <v/>
      </c>
      <c r="AK116" s="295" t="str">
        <f t="shared" si="18"/>
        <v/>
      </c>
      <c r="AL116" s="295" t="str">
        <f t="shared" si="19"/>
        <v/>
      </c>
      <c r="AM116" s="299" t="str">
        <f>IFERROR(IF(F116="","",IF(AH116="Check Data ⚠","Check Data ⚠",VLOOKUP(AL116,'G-3 Multipliers'!$P$2:$Q$6,2,FALSE))),"")</f>
        <v/>
      </c>
      <c r="AN116" s="712" t="str">
        <f>IF(E116="","",IF(ISNA(VLOOKUP($E116,'D-1 Off-Site Habitat Baseline'!$D$1:$Z$258,15,FALSE)),"",(VLOOKUP($E116,'D-1 Off-Site Habitat Baseline'!$D$1:$Z$258,15,FALSE))))</f>
        <v/>
      </c>
      <c r="AO116" s="329" t="str">
        <f>IF(AN116="","",IF(VLOOKUP(AN116,'G-3 Multipliers'!$S$3:$T$10,2,FALSE)=0,"Spatial Data Missing ⚠",VLOOKUP(AN116,'G-3 Multipliers'!$S$3:$T$10,2,FALSE)))</f>
        <v/>
      </c>
      <c r="AP116" s="289" t="str">
        <f t="shared" si="20"/>
        <v/>
      </c>
      <c r="AQ116" s="289" t="str">
        <f t="shared" si="21"/>
        <v/>
      </c>
      <c r="AR116" s="105"/>
      <c r="AS116" s="138"/>
      <c r="AT116" s="104"/>
      <c r="AU116" s="104"/>
      <c r="AY116" s="30" t="str">
        <f>IF(E116="","",IF(ISNA(VLOOKUP($E116,'D-1 Off-Site Habitat Baseline'!$D$1:$AV$258,4,FALSE)),"",(VLOOKUP($E116,'D-1 Off-Site Habitat Baseline'!$D$1:$AV$258,4,FALSE))))</f>
        <v/>
      </c>
    </row>
    <row r="117" spans="1:51" ht="14">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319" t="str">
        <f>'D-1 Off-Site Habitat Baseline'!AP116</f>
        <v/>
      </c>
      <c r="F117" s="283" t="str">
        <f>IF(E117="","",IF(ISNA(VLOOKUP($E117,'D-1 Off-Site Habitat Baseline'!$D$1:$ZZ$258,45,FALSE)),"",(VLOOKUP($E117,'D-1 Off-Site Habitat Baseline'!$D$1:$ZZ$258,45,FALSE))))</f>
        <v/>
      </c>
      <c r="G117" s="295" t="str">
        <f>IF(E117="","",IF(ISNA(VLOOKUP($E117,'D-1 Off-Site Habitat Baseline'!$D$1:$O$258,5,FALSE)),"",(VLOOKUP($E117,'D-1 Off-Site Habitat Baseline'!$D$1:$O$258,5,FALSE))))</f>
        <v/>
      </c>
      <c r="H117" s="295" t="str">
        <f>IF(E117="","",IF(ISNA(VLOOKUP($E117,'D-1 Off-Site Habitat Baseline'!$D$1:$O$258,6,FALSE)),"",(VLOOKUP($E117,'D-1 Off-Site Habitat Baseline'!$D$1:$O$258,6,FALSE))))</f>
        <v/>
      </c>
      <c r="I117" s="295" t="str">
        <f>IF(E117="","",IF(ISNA(VLOOKUP($E117,'D-1 Off-Site Habitat Baseline'!$D$1:$O$258,7,FALSE)),"",(VLOOKUP($E117,'D-1 Off-Site Habitat Baseline'!$D$1:$O$258,7,FALSE))))</f>
        <v/>
      </c>
      <c r="J117" s="295" t="str">
        <f>IF(E117="","",IF(ISNA(VLOOKUP($E117,'D-1 Off-Site Habitat Baseline'!$D$1:$O$258,8,FALSE)),"",(VLOOKUP($E117,'D-1 Off-Site Habitat Baseline'!$D$1:$O$258,8,FALSE))))</f>
        <v/>
      </c>
      <c r="K117" s="295" t="str">
        <f>IF(E117="","",IF(ISNA(VLOOKUP($E117,'D-1 Off-Site Habitat Baseline'!$D$1:$O$258,9,FALSE)),"",(VLOOKUP($E117,'D-1 Off-Site Habitat Baseline'!$D$1:$O$258,9,FALSE))))</f>
        <v/>
      </c>
      <c r="L117" s="295" t="str">
        <f>IF(E117="","",IF(ISNA(VLOOKUP($E117,'D-1 Off-Site Habitat Baseline'!$D$1:$O$258,11,FALSE)),"",(VLOOKUP($E117,'D-1 Off-Site Habitat Baseline'!$D$1:$O$258,11,FALSE))))</f>
        <v/>
      </c>
      <c r="M117" s="295" t="str">
        <f>IF(E117="","",IF(ISNA(VLOOKUP($E117,'D-1 Off-Site Habitat Baseline'!$D$1:$O$258,12,FALSE)),"",(VLOOKUP($E117,'D-1 Off-Site Habitat Baseline'!$D$1:$O$258,12,FALSE))))</f>
        <v/>
      </c>
      <c r="N117" s="295" t="str">
        <f>IF(E117="","",IF(ISNA(VLOOKUP($E117,'D-1 Off-Site Habitat Baseline'!$D$1:$AA$258,17,FALSE)),"",(VLOOKUP($E117,'D-1 Off-Site Habitat Baseline'!$D$1:$AA$258,17,FALSE))))</f>
        <v/>
      </c>
      <c r="O117" s="299" t="str">
        <f>IF(E117="","",IF(ISNA(VLOOKUP($E117,'D-1 Off-Site Habitat Baseline'!$D$1:$AA$258,13,FALSE)),"",(VLOOKUP($E117,'D-1 Off-Site Habitat Baseline'!$D$1:$AA$258,13,FALSE))))</f>
        <v/>
      </c>
      <c r="P117" s="148" t="str">
        <f>IFERROR(INDEX('G-1 All Habitats'!$AG$49:$AG$63,MATCH(Q117,'G-1 All Habitats'!$AF$27:$AF$41,0)),"")</f>
        <v/>
      </c>
      <c r="Q117" s="149" t="str">
        <f t="shared" si="13"/>
        <v/>
      </c>
      <c r="R117" s="150"/>
      <c r="S117" s="151" t="str">
        <f>IFERROR(INDEX('G-1 All Habitats'!$B$3:$B$135,MATCH(R117,'G-1 All Habitats'!$A$3:$A$135,0)),"")</f>
        <v/>
      </c>
      <c r="T117" s="283" t="str">
        <f t="shared" si="14"/>
        <v/>
      </c>
      <c r="U117" s="276" t="str">
        <f t="shared" si="15"/>
        <v/>
      </c>
      <c r="V117" s="298" t="str">
        <f t="shared" si="11"/>
        <v/>
      </c>
      <c r="W117" s="295" t="str">
        <f>IF(S117="","",VLOOKUP(S117,'G-1 All Habitats'!$B$2:$M$135,10,FALSE))</f>
        <v/>
      </c>
      <c r="X117" s="295" t="str">
        <f>IFERROR(VLOOKUP(W117,'G-1 All Habitats'!$V$3:$W$7,2,FALSE),"")</f>
        <v/>
      </c>
      <c r="Y117" s="138"/>
      <c r="Z117" s="299" t="str">
        <f>IFERROR(INDEX('G-8 Condition Look up'!$A$3:$H$135,MATCH(S117,'G-8 Condition Look up'!$A$3:$A$135,0),MATCH(Y117,'G-8 Condition Look up'!$A$3:$H$3,0)),"")</f>
        <v/>
      </c>
      <c r="AA117" s="101"/>
      <c r="AB117" s="314" t="str">
        <f>IF(AA117="","",IF(VLOOKUP(AA117,'G-3 Multipliers'!$L$3:$N$6,2,FALSE)=0,"Spatial Data Missing ⚠",VLOOKUP(AA117,'G-3 Multipliers'!$L$3:$N$6,2,FALSE)))</f>
        <v/>
      </c>
      <c r="AC117" s="299" t="str">
        <f>IF(AA117="","",IF(VLOOKUP(AA117,'G-3 Multipliers'!$L$3:$N$6,3,FALSE)=0,"Spatial Data Missing ⚠",VLOOKUP(AA117,'G-3 Multipliers'!$L$3:$N$6,3,FALSE)))</f>
        <v/>
      </c>
      <c r="AD117" s="311" t="str">
        <f t="shared" si="12"/>
        <v/>
      </c>
      <c r="AE117" s="138"/>
      <c r="AF117" s="138"/>
      <c r="AG117" s="295" t="str">
        <f t="shared" si="16"/>
        <v/>
      </c>
      <c r="AH117" s="296" t="str">
        <f t="shared" si="17"/>
        <v/>
      </c>
      <c r="AI117" s="300" t="str">
        <f>IF(AH117="Check Data ⚠","Check Data ⚠",IFERROR(VLOOKUP(AH117,'G-4 Temporal multipliers'!$A$4:$C$36,3,FALSE),""))</f>
        <v/>
      </c>
      <c r="AJ117" s="311" t="str">
        <f>IF(S117="","",VLOOKUP(S117,'G-3 Multipliers'!$A$2:$E$134,4,FALSE))</f>
        <v/>
      </c>
      <c r="AK117" s="295" t="str">
        <f t="shared" si="18"/>
        <v/>
      </c>
      <c r="AL117" s="295" t="str">
        <f t="shared" si="19"/>
        <v/>
      </c>
      <c r="AM117" s="299" t="str">
        <f>IFERROR(IF(F117="","",IF(AH117="Check Data ⚠","Check Data ⚠",VLOOKUP(AL117,'G-3 Multipliers'!$P$2:$Q$6,2,FALSE))),"")</f>
        <v/>
      </c>
      <c r="AN117" s="712" t="str">
        <f>IF(E117="","",IF(ISNA(VLOOKUP($E117,'D-1 Off-Site Habitat Baseline'!$D$1:$Z$258,15,FALSE)),"",(VLOOKUP($E117,'D-1 Off-Site Habitat Baseline'!$D$1:$Z$258,15,FALSE))))</f>
        <v/>
      </c>
      <c r="AO117" s="329" t="str">
        <f>IF(AN117="","",IF(VLOOKUP(AN117,'G-3 Multipliers'!$S$3:$T$10,2,FALSE)=0,"Spatial Data Missing ⚠",VLOOKUP(AN117,'G-3 Multipliers'!$S$3:$T$10,2,FALSE)))</f>
        <v/>
      </c>
      <c r="AP117" s="289" t="str">
        <f t="shared" si="20"/>
        <v/>
      </c>
      <c r="AQ117" s="289" t="str">
        <f t="shared" si="21"/>
        <v/>
      </c>
      <c r="AR117" s="105"/>
      <c r="AS117" s="138"/>
      <c r="AT117" s="104"/>
      <c r="AU117" s="104"/>
      <c r="AY117" s="30" t="str">
        <f>IF(E117="","",IF(ISNA(VLOOKUP($E117,'D-1 Off-Site Habitat Baseline'!$D$1:$AV$258,4,FALSE)),"",(VLOOKUP($E117,'D-1 Off-Site Habitat Baseline'!$D$1:$AV$258,4,FALSE))))</f>
        <v/>
      </c>
    </row>
    <row r="118" spans="1:51" ht="14">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319" t="str">
        <f>'D-1 Off-Site Habitat Baseline'!AP117</f>
        <v/>
      </c>
      <c r="F118" s="283" t="str">
        <f>IF(E118="","",IF(ISNA(VLOOKUP($E118,'D-1 Off-Site Habitat Baseline'!$D$1:$ZZ$258,45,FALSE)),"",(VLOOKUP($E118,'D-1 Off-Site Habitat Baseline'!$D$1:$ZZ$258,45,FALSE))))</f>
        <v/>
      </c>
      <c r="G118" s="295" t="str">
        <f>IF(E118="","",IF(ISNA(VLOOKUP($E118,'D-1 Off-Site Habitat Baseline'!$D$1:$O$258,5,FALSE)),"",(VLOOKUP($E118,'D-1 Off-Site Habitat Baseline'!$D$1:$O$258,5,FALSE))))</f>
        <v/>
      </c>
      <c r="H118" s="295" t="str">
        <f>IF(E118="","",IF(ISNA(VLOOKUP($E118,'D-1 Off-Site Habitat Baseline'!$D$1:$O$258,6,FALSE)),"",(VLOOKUP($E118,'D-1 Off-Site Habitat Baseline'!$D$1:$O$258,6,FALSE))))</f>
        <v/>
      </c>
      <c r="I118" s="295" t="str">
        <f>IF(E118="","",IF(ISNA(VLOOKUP($E118,'D-1 Off-Site Habitat Baseline'!$D$1:$O$258,7,FALSE)),"",(VLOOKUP($E118,'D-1 Off-Site Habitat Baseline'!$D$1:$O$258,7,FALSE))))</f>
        <v/>
      </c>
      <c r="J118" s="295" t="str">
        <f>IF(E118="","",IF(ISNA(VLOOKUP($E118,'D-1 Off-Site Habitat Baseline'!$D$1:$O$258,8,FALSE)),"",(VLOOKUP($E118,'D-1 Off-Site Habitat Baseline'!$D$1:$O$258,8,FALSE))))</f>
        <v/>
      </c>
      <c r="K118" s="295" t="str">
        <f>IF(E118="","",IF(ISNA(VLOOKUP($E118,'D-1 Off-Site Habitat Baseline'!$D$1:$O$258,9,FALSE)),"",(VLOOKUP($E118,'D-1 Off-Site Habitat Baseline'!$D$1:$O$258,9,FALSE))))</f>
        <v/>
      </c>
      <c r="L118" s="295" t="str">
        <f>IF(E118="","",IF(ISNA(VLOOKUP($E118,'D-1 Off-Site Habitat Baseline'!$D$1:$O$258,11,FALSE)),"",(VLOOKUP($E118,'D-1 Off-Site Habitat Baseline'!$D$1:$O$258,11,FALSE))))</f>
        <v/>
      </c>
      <c r="M118" s="295" t="str">
        <f>IF(E118="","",IF(ISNA(VLOOKUP($E118,'D-1 Off-Site Habitat Baseline'!$D$1:$O$258,12,FALSE)),"",(VLOOKUP($E118,'D-1 Off-Site Habitat Baseline'!$D$1:$O$258,12,FALSE))))</f>
        <v/>
      </c>
      <c r="N118" s="295" t="str">
        <f>IF(E118="","",IF(ISNA(VLOOKUP($E118,'D-1 Off-Site Habitat Baseline'!$D$1:$AA$258,17,FALSE)),"",(VLOOKUP($E118,'D-1 Off-Site Habitat Baseline'!$D$1:$AA$258,17,FALSE))))</f>
        <v/>
      </c>
      <c r="O118" s="299" t="str">
        <f>IF(E118="","",IF(ISNA(VLOOKUP($E118,'D-1 Off-Site Habitat Baseline'!$D$1:$AA$258,13,FALSE)),"",(VLOOKUP($E118,'D-1 Off-Site Habitat Baseline'!$D$1:$AA$258,13,FALSE))))</f>
        <v/>
      </c>
      <c r="P118" s="148" t="str">
        <f>IFERROR(INDEX('G-1 All Habitats'!$AG$49:$AG$63,MATCH(Q118,'G-1 All Habitats'!$AF$27:$AF$41,0)),"")</f>
        <v/>
      </c>
      <c r="Q118" s="149" t="str">
        <f t="shared" si="13"/>
        <v/>
      </c>
      <c r="R118" s="150"/>
      <c r="S118" s="151" t="str">
        <f>IFERROR(INDEX('G-1 All Habitats'!$B$3:$B$135,MATCH(R118,'G-1 All Habitats'!$A$3:$A$135,0)),"")</f>
        <v/>
      </c>
      <c r="T118" s="283" t="str">
        <f t="shared" si="14"/>
        <v/>
      </c>
      <c r="U118" s="276" t="str">
        <f t="shared" si="15"/>
        <v/>
      </c>
      <c r="V118" s="298" t="str">
        <f t="shared" si="11"/>
        <v/>
      </c>
      <c r="W118" s="295" t="str">
        <f>IF(S118="","",VLOOKUP(S118,'G-1 All Habitats'!$B$2:$M$135,10,FALSE))</f>
        <v/>
      </c>
      <c r="X118" s="295" t="str">
        <f>IFERROR(VLOOKUP(W118,'G-1 All Habitats'!$V$3:$W$7,2,FALSE),"")</f>
        <v/>
      </c>
      <c r="Y118" s="138"/>
      <c r="Z118" s="299" t="str">
        <f>IFERROR(INDEX('G-8 Condition Look up'!$A$3:$H$135,MATCH(S118,'G-8 Condition Look up'!$A$3:$A$135,0),MATCH(Y118,'G-8 Condition Look up'!$A$3:$H$3,0)),"")</f>
        <v/>
      </c>
      <c r="AA118" s="101"/>
      <c r="AB118" s="314" t="str">
        <f>IF(AA118="","",IF(VLOOKUP(AA118,'G-3 Multipliers'!$L$3:$N$6,2,FALSE)=0,"Spatial Data Missing ⚠",VLOOKUP(AA118,'G-3 Multipliers'!$L$3:$N$6,2,FALSE)))</f>
        <v/>
      </c>
      <c r="AC118" s="299" t="str">
        <f>IF(AA118="","",IF(VLOOKUP(AA118,'G-3 Multipliers'!$L$3:$N$6,3,FALSE)=0,"Spatial Data Missing ⚠",VLOOKUP(AA118,'G-3 Multipliers'!$L$3:$N$6,3,FALSE)))</f>
        <v/>
      </c>
      <c r="AD118" s="311" t="str">
        <f t="shared" si="12"/>
        <v/>
      </c>
      <c r="AE118" s="138"/>
      <c r="AF118" s="138"/>
      <c r="AG118" s="295" t="str">
        <f t="shared" si="16"/>
        <v/>
      </c>
      <c r="AH118" s="296" t="str">
        <f t="shared" si="17"/>
        <v/>
      </c>
      <c r="AI118" s="300" t="str">
        <f>IF(AH118="Check Data ⚠","Check Data ⚠",IFERROR(VLOOKUP(AH118,'G-4 Temporal multipliers'!$A$4:$C$36,3,FALSE),""))</f>
        <v/>
      </c>
      <c r="AJ118" s="311" t="str">
        <f>IF(S118="","",VLOOKUP(S118,'G-3 Multipliers'!$A$2:$E$134,4,FALSE))</f>
        <v/>
      </c>
      <c r="AK118" s="295" t="str">
        <f t="shared" si="18"/>
        <v/>
      </c>
      <c r="AL118" s="295" t="str">
        <f t="shared" si="19"/>
        <v/>
      </c>
      <c r="AM118" s="299" t="str">
        <f>IFERROR(IF(F118="","",IF(AH118="Check Data ⚠","Check Data ⚠",VLOOKUP(AL118,'G-3 Multipliers'!$P$2:$Q$6,2,FALSE))),"")</f>
        <v/>
      </c>
      <c r="AN118" s="712" t="str">
        <f>IF(E118="","",IF(ISNA(VLOOKUP($E118,'D-1 Off-Site Habitat Baseline'!$D$1:$Z$258,15,FALSE)),"",(VLOOKUP($E118,'D-1 Off-Site Habitat Baseline'!$D$1:$Z$258,15,FALSE))))</f>
        <v/>
      </c>
      <c r="AO118" s="329" t="str">
        <f>IF(AN118="","",IF(VLOOKUP(AN118,'G-3 Multipliers'!$S$3:$T$10,2,FALSE)=0,"Spatial Data Missing ⚠",VLOOKUP(AN118,'G-3 Multipliers'!$S$3:$T$10,2,FALSE)))</f>
        <v/>
      </c>
      <c r="AP118" s="289" t="str">
        <f t="shared" si="20"/>
        <v/>
      </c>
      <c r="AQ118" s="289" t="str">
        <f t="shared" si="21"/>
        <v/>
      </c>
      <c r="AR118" s="105"/>
      <c r="AS118" s="138"/>
      <c r="AT118" s="104"/>
      <c r="AU118" s="104"/>
      <c r="AY118" s="30" t="str">
        <f>IF(E118="","",IF(ISNA(VLOOKUP($E118,'D-1 Off-Site Habitat Baseline'!$D$1:$AV$258,4,FALSE)),"",(VLOOKUP($E118,'D-1 Off-Site Habitat Baseline'!$D$1:$AV$258,4,FALSE))))</f>
        <v/>
      </c>
    </row>
    <row r="119" spans="1:51" ht="14">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319" t="str">
        <f>'D-1 Off-Site Habitat Baseline'!AP118</f>
        <v/>
      </c>
      <c r="F119" s="283" t="str">
        <f>IF(E119="","",IF(ISNA(VLOOKUP($E119,'D-1 Off-Site Habitat Baseline'!$D$1:$ZZ$258,45,FALSE)),"",(VLOOKUP($E119,'D-1 Off-Site Habitat Baseline'!$D$1:$ZZ$258,45,FALSE))))</f>
        <v/>
      </c>
      <c r="G119" s="295" t="str">
        <f>IF(E119="","",IF(ISNA(VLOOKUP($E119,'D-1 Off-Site Habitat Baseline'!$D$1:$O$258,5,FALSE)),"",(VLOOKUP($E119,'D-1 Off-Site Habitat Baseline'!$D$1:$O$258,5,FALSE))))</f>
        <v/>
      </c>
      <c r="H119" s="295" t="str">
        <f>IF(E119="","",IF(ISNA(VLOOKUP($E119,'D-1 Off-Site Habitat Baseline'!$D$1:$O$258,6,FALSE)),"",(VLOOKUP($E119,'D-1 Off-Site Habitat Baseline'!$D$1:$O$258,6,FALSE))))</f>
        <v/>
      </c>
      <c r="I119" s="295" t="str">
        <f>IF(E119="","",IF(ISNA(VLOOKUP($E119,'D-1 Off-Site Habitat Baseline'!$D$1:$O$258,7,FALSE)),"",(VLOOKUP($E119,'D-1 Off-Site Habitat Baseline'!$D$1:$O$258,7,FALSE))))</f>
        <v/>
      </c>
      <c r="J119" s="295" t="str">
        <f>IF(E119="","",IF(ISNA(VLOOKUP($E119,'D-1 Off-Site Habitat Baseline'!$D$1:$O$258,8,FALSE)),"",(VLOOKUP($E119,'D-1 Off-Site Habitat Baseline'!$D$1:$O$258,8,FALSE))))</f>
        <v/>
      </c>
      <c r="K119" s="295" t="str">
        <f>IF(E119="","",IF(ISNA(VLOOKUP($E119,'D-1 Off-Site Habitat Baseline'!$D$1:$O$258,9,FALSE)),"",(VLOOKUP($E119,'D-1 Off-Site Habitat Baseline'!$D$1:$O$258,9,FALSE))))</f>
        <v/>
      </c>
      <c r="L119" s="295" t="str">
        <f>IF(E119="","",IF(ISNA(VLOOKUP($E119,'D-1 Off-Site Habitat Baseline'!$D$1:$O$258,11,FALSE)),"",(VLOOKUP($E119,'D-1 Off-Site Habitat Baseline'!$D$1:$O$258,11,FALSE))))</f>
        <v/>
      </c>
      <c r="M119" s="295" t="str">
        <f>IF(E119="","",IF(ISNA(VLOOKUP($E119,'D-1 Off-Site Habitat Baseline'!$D$1:$O$258,12,FALSE)),"",(VLOOKUP($E119,'D-1 Off-Site Habitat Baseline'!$D$1:$O$258,12,FALSE))))</f>
        <v/>
      </c>
      <c r="N119" s="295" t="str">
        <f>IF(E119="","",IF(ISNA(VLOOKUP($E119,'D-1 Off-Site Habitat Baseline'!$D$1:$AA$258,17,FALSE)),"",(VLOOKUP($E119,'D-1 Off-Site Habitat Baseline'!$D$1:$AA$258,17,FALSE))))</f>
        <v/>
      </c>
      <c r="O119" s="299" t="str">
        <f>IF(E119="","",IF(ISNA(VLOOKUP($E119,'D-1 Off-Site Habitat Baseline'!$D$1:$AA$258,13,FALSE)),"",(VLOOKUP($E119,'D-1 Off-Site Habitat Baseline'!$D$1:$AA$258,13,FALSE))))</f>
        <v/>
      </c>
      <c r="P119" s="148" t="str">
        <f>IFERROR(INDEX('G-1 All Habitats'!$AG$49:$AG$63,MATCH(Q119,'G-1 All Habitats'!$AF$27:$AF$41,0)),"")</f>
        <v/>
      </c>
      <c r="Q119" s="149" t="str">
        <f t="shared" si="13"/>
        <v/>
      </c>
      <c r="R119" s="150"/>
      <c r="S119" s="151" t="str">
        <f>IFERROR(INDEX('G-1 All Habitats'!$B$3:$B$135,MATCH(R119,'G-1 All Habitats'!$A$3:$A$135,0)),"")</f>
        <v/>
      </c>
      <c r="T119" s="283" t="str">
        <f t="shared" si="14"/>
        <v/>
      </c>
      <c r="U119" s="276" t="str">
        <f t="shared" si="15"/>
        <v/>
      </c>
      <c r="V119" s="298" t="str">
        <f t="shared" si="11"/>
        <v/>
      </c>
      <c r="W119" s="295" t="str">
        <f>IF(S119="","",VLOOKUP(S119,'G-1 All Habitats'!$B$2:$M$135,10,FALSE))</f>
        <v/>
      </c>
      <c r="X119" s="295" t="str">
        <f>IFERROR(VLOOKUP(W119,'G-1 All Habitats'!$V$3:$W$7,2,FALSE),"")</f>
        <v/>
      </c>
      <c r="Y119" s="138"/>
      <c r="Z119" s="299" t="str">
        <f>IFERROR(INDEX('G-8 Condition Look up'!$A$3:$H$135,MATCH(S119,'G-8 Condition Look up'!$A$3:$A$135,0),MATCH(Y119,'G-8 Condition Look up'!$A$3:$H$3,0)),"")</f>
        <v/>
      </c>
      <c r="AA119" s="101"/>
      <c r="AB119" s="314" t="str">
        <f>IF(AA119="","",IF(VLOOKUP(AA119,'G-3 Multipliers'!$L$3:$N$6,2,FALSE)=0,"Spatial Data Missing ⚠",VLOOKUP(AA119,'G-3 Multipliers'!$L$3:$N$6,2,FALSE)))</f>
        <v/>
      </c>
      <c r="AC119" s="299" t="str">
        <f>IF(AA119="","",IF(VLOOKUP(AA119,'G-3 Multipliers'!$L$3:$N$6,3,FALSE)=0,"Spatial Data Missing ⚠",VLOOKUP(AA119,'G-3 Multipliers'!$L$3:$N$6,3,FALSE)))</f>
        <v/>
      </c>
      <c r="AD119" s="311" t="str">
        <f t="shared" si="12"/>
        <v/>
      </c>
      <c r="AE119" s="138"/>
      <c r="AF119" s="138"/>
      <c r="AG119" s="295" t="str">
        <f t="shared" si="16"/>
        <v/>
      </c>
      <c r="AH119" s="296" t="str">
        <f t="shared" si="17"/>
        <v/>
      </c>
      <c r="AI119" s="300" t="str">
        <f>IF(AH119="Check Data ⚠","Check Data ⚠",IFERROR(VLOOKUP(AH119,'G-4 Temporal multipliers'!$A$4:$C$36,3,FALSE),""))</f>
        <v/>
      </c>
      <c r="AJ119" s="311" t="str">
        <f>IF(S119="","",VLOOKUP(S119,'G-3 Multipliers'!$A$2:$E$134,4,FALSE))</f>
        <v/>
      </c>
      <c r="AK119" s="295" t="str">
        <f t="shared" si="18"/>
        <v/>
      </c>
      <c r="AL119" s="295" t="str">
        <f t="shared" si="19"/>
        <v/>
      </c>
      <c r="AM119" s="299" t="str">
        <f>IFERROR(IF(F119="","",IF(AH119="Check Data ⚠","Check Data ⚠",VLOOKUP(AL119,'G-3 Multipliers'!$P$2:$Q$6,2,FALSE))),"")</f>
        <v/>
      </c>
      <c r="AN119" s="712" t="str">
        <f>IF(E119="","",IF(ISNA(VLOOKUP($E119,'D-1 Off-Site Habitat Baseline'!$D$1:$Z$258,15,FALSE)),"",(VLOOKUP($E119,'D-1 Off-Site Habitat Baseline'!$D$1:$Z$258,15,FALSE))))</f>
        <v/>
      </c>
      <c r="AO119" s="329" t="str">
        <f>IF(AN119="","",IF(VLOOKUP(AN119,'G-3 Multipliers'!$S$3:$T$10,2,FALSE)=0,"Spatial Data Missing ⚠",VLOOKUP(AN119,'G-3 Multipliers'!$S$3:$T$10,2,FALSE)))</f>
        <v/>
      </c>
      <c r="AP119" s="289" t="str">
        <f t="shared" si="20"/>
        <v/>
      </c>
      <c r="AQ119" s="289" t="str">
        <f t="shared" si="21"/>
        <v/>
      </c>
      <c r="AR119" s="105"/>
      <c r="AS119" s="138"/>
      <c r="AT119" s="104"/>
      <c r="AU119" s="104"/>
      <c r="AY119" s="30" t="str">
        <f>IF(E119="","",IF(ISNA(VLOOKUP($E119,'D-1 Off-Site Habitat Baseline'!$D$1:$AV$258,4,FALSE)),"",(VLOOKUP($E119,'D-1 Off-Site Habitat Baseline'!$D$1:$AV$258,4,FALSE))))</f>
        <v/>
      </c>
    </row>
    <row r="120" spans="1:51" ht="14">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319" t="str">
        <f>'D-1 Off-Site Habitat Baseline'!AP119</f>
        <v/>
      </c>
      <c r="F120" s="283" t="str">
        <f>IF(E120="","",IF(ISNA(VLOOKUP($E120,'D-1 Off-Site Habitat Baseline'!$D$1:$ZZ$258,45,FALSE)),"",(VLOOKUP($E120,'D-1 Off-Site Habitat Baseline'!$D$1:$ZZ$258,45,FALSE))))</f>
        <v/>
      </c>
      <c r="G120" s="295" t="str">
        <f>IF(E120="","",IF(ISNA(VLOOKUP($E120,'D-1 Off-Site Habitat Baseline'!$D$1:$O$258,5,FALSE)),"",(VLOOKUP($E120,'D-1 Off-Site Habitat Baseline'!$D$1:$O$258,5,FALSE))))</f>
        <v/>
      </c>
      <c r="H120" s="295" t="str">
        <f>IF(E120="","",IF(ISNA(VLOOKUP($E120,'D-1 Off-Site Habitat Baseline'!$D$1:$O$258,6,FALSE)),"",(VLOOKUP($E120,'D-1 Off-Site Habitat Baseline'!$D$1:$O$258,6,FALSE))))</f>
        <v/>
      </c>
      <c r="I120" s="295" t="str">
        <f>IF(E120="","",IF(ISNA(VLOOKUP($E120,'D-1 Off-Site Habitat Baseline'!$D$1:$O$258,7,FALSE)),"",(VLOOKUP($E120,'D-1 Off-Site Habitat Baseline'!$D$1:$O$258,7,FALSE))))</f>
        <v/>
      </c>
      <c r="J120" s="295" t="str">
        <f>IF(E120="","",IF(ISNA(VLOOKUP($E120,'D-1 Off-Site Habitat Baseline'!$D$1:$O$258,8,FALSE)),"",(VLOOKUP($E120,'D-1 Off-Site Habitat Baseline'!$D$1:$O$258,8,FALSE))))</f>
        <v/>
      </c>
      <c r="K120" s="295" t="str">
        <f>IF(E120="","",IF(ISNA(VLOOKUP($E120,'D-1 Off-Site Habitat Baseline'!$D$1:$O$258,9,FALSE)),"",(VLOOKUP($E120,'D-1 Off-Site Habitat Baseline'!$D$1:$O$258,9,FALSE))))</f>
        <v/>
      </c>
      <c r="L120" s="295" t="str">
        <f>IF(E120="","",IF(ISNA(VLOOKUP($E120,'D-1 Off-Site Habitat Baseline'!$D$1:$O$258,11,FALSE)),"",(VLOOKUP($E120,'D-1 Off-Site Habitat Baseline'!$D$1:$O$258,11,FALSE))))</f>
        <v/>
      </c>
      <c r="M120" s="295" t="str">
        <f>IF(E120="","",IF(ISNA(VLOOKUP($E120,'D-1 Off-Site Habitat Baseline'!$D$1:$O$258,12,FALSE)),"",(VLOOKUP($E120,'D-1 Off-Site Habitat Baseline'!$D$1:$O$258,12,FALSE))))</f>
        <v/>
      </c>
      <c r="N120" s="295" t="str">
        <f>IF(E120="","",IF(ISNA(VLOOKUP($E120,'D-1 Off-Site Habitat Baseline'!$D$1:$AA$258,17,FALSE)),"",(VLOOKUP($E120,'D-1 Off-Site Habitat Baseline'!$D$1:$AA$258,17,FALSE))))</f>
        <v/>
      </c>
      <c r="O120" s="299" t="str">
        <f>IF(E120="","",IF(ISNA(VLOOKUP($E120,'D-1 Off-Site Habitat Baseline'!$D$1:$AA$258,13,FALSE)),"",(VLOOKUP($E120,'D-1 Off-Site Habitat Baseline'!$D$1:$AA$258,13,FALSE))))</f>
        <v/>
      </c>
      <c r="P120" s="148" t="str">
        <f>IFERROR(INDEX('G-1 All Habitats'!$AG$49:$AG$63,MATCH(Q120,'G-1 All Habitats'!$AF$27:$AF$41,0)),"")</f>
        <v/>
      </c>
      <c r="Q120" s="149" t="str">
        <f t="shared" si="13"/>
        <v/>
      </c>
      <c r="R120" s="150"/>
      <c r="S120" s="151" t="str">
        <f>IFERROR(INDEX('G-1 All Habitats'!$B$3:$B$135,MATCH(R120,'G-1 All Habitats'!$A$3:$A$135,0)),"")</f>
        <v/>
      </c>
      <c r="T120" s="283" t="str">
        <f t="shared" si="14"/>
        <v/>
      </c>
      <c r="U120" s="276" t="str">
        <f t="shared" si="15"/>
        <v/>
      </c>
      <c r="V120" s="298" t="str">
        <f t="shared" si="11"/>
        <v/>
      </c>
      <c r="W120" s="295" t="str">
        <f>IF(S120="","",VLOOKUP(S120,'G-1 All Habitats'!$B$2:$M$135,10,FALSE))</f>
        <v/>
      </c>
      <c r="X120" s="295" t="str">
        <f>IFERROR(VLOOKUP(W120,'G-1 All Habitats'!$V$3:$W$7,2,FALSE),"")</f>
        <v/>
      </c>
      <c r="Y120" s="138"/>
      <c r="Z120" s="299" t="str">
        <f>IFERROR(INDEX('G-8 Condition Look up'!$A$3:$H$135,MATCH(S120,'G-8 Condition Look up'!$A$3:$A$135,0),MATCH(Y120,'G-8 Condition Look up'!$A$3:$H$3,0)),"")</f>
        <v/>
      </c>
      <c r="AA120" s="101"/>
      <c r="AB120" s="314" t="str">
        <f>IF(AA120="","",IF(VLOOKUP(AA120,'G-3 Multipliers'!$L$3:$N$6,2,FALSE)=0,"Spatial Data Missing ⚠",VLOOKUP(AA120,'G-3 Multipliers'!$L$3:$N$6,2,FALSE)))</f>
        <v/>
      </c>
      <c r="AC120" s="299" t="str">
        <f>IF(AA120="","",IF(VLOOKUP(AA120,'G-3 Multipliers'!$L$3:$N$6,3,FALSE)=0,"Spatial Data Missing ⚠",VLOOKUP(AA120,'G-3 Multipliers'!$L$3:$N$6,3,FALSE)))</f>
        <v/>
      </c>
      <c r="AD120" s="311" t="str">
        <f t="shared" si="12"/>
        <v/>
      </c>
      <c r="AE120" s="138"/>
      <c r="AF120" s="138"/>
      <c r="AG120" s="295" t="str">
        <f t="shared" si="16"/>
        <v/>
      </c>
      <c r="AH120" s="296" t="str">
        <f t="shared" si="17"/>
        <v/>
      </c>
      <c r="AI120" s="300" t="str">
        <f>IF(AH120="Check Data ⚠","Check Data ⚠",IFERROR(VLOOKUP(AH120,'G-4 Temporal multipliers'!$A$4:$C$36,3,FALSE),""))</f>
        <v/>
      </c>
      <c r="AJ120" s="311" t="str">
        <f>IF(S120="","",VLOOKUP(S120,'G-3 Multipliers'!$A$2:$E$134,4,FALSE))</f>
        <v/>
      </c>
      <c r="AK120" s="295" t="str">
        <f t="shared" si="18"/>
        <v/>
      </c>
      <c r="AL120" s="295" t="str">
        <f t="shared" si="19"/>
        <v/>
      </c>
      <c r="AM120" s="299" t="str">
        <f>IFERROR(IF(F120="","",IF(AH120="Check Data ⚠","Check Data ⚠",VLOOKUP(AL120,'G-3 Multipliers'!$P$2:$Q$6,2,FALSE))),"")</f>
        <v/>
      </c>
      <c r="AN120" s="712" t="str">
        <f>IF(E120="","",IF(ISNA(VLOOKUP($E120,'D-1 Off-Site Habitat Baseline'!$D$1:$Z$258,15,FALSE)),"",(VLOOKUP($E120,'D-1 Off-Site Habitat Baseline'!$D$1:$Z$258,15,FALSE))))</f>
        <v/>
      </c>
      <c r="AO120" s="329" t="str">
        <f>IF(AN120="","",IF(VLOOKUP(AN120,'G-3 Multipliers'!$S$3:$T$10,2,FALSE)=0,"Spatial Data Missing ⚠",VLOOKUP(AN120,'G-3 Multipliers'!$S$3:$T$10,2,FALSE)))</f>
        <v/>
      </c>
      <c r="AP120" s="289" t="str">
        <f t="shared" si="20"/>
        <v/>
      </c>
      <c r="AQ120" s="289" t="str">
        <f t="shared" si="21"/>
        <v/>
      </c>
      <c r="AR120" s="105"/>
      <c r="AS120" s="138"/>
      <c r="AT120" s="104"/>
      <c r="AU120" s="104"/>
      <c r="AY120" s="30" t="str">
        <f>IF(E120="","",IF(ISNA(VLOOKUP($E120,'D-1 Off-Site Habitat Baseline'!$D$1:$AV$258,4,FALSE)),"",(VLOOKUP($E120,'D-1 Off-Site Habitat Baseline'!$D$1:$AV$258,4,FALSE))))</f>
        <v/>
      </c>
    </row>
    <row r="121" spans="1:51" ht="14">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319" t="str">
        <f>'D-1 Off-Site Habitat Baseline'!AP120</f>
        <v/>
      </c>
      <c r="F121" s="283" t="str">
        <f>IF(E121="","",IF(ISNA(VLOOKUP($E121,'D-1 Off-Site Habitat Baseline'!$D$1:$ZZ$258,45,FALSE)),"",(VLOOKUP($E121,'D-1 Off-Site Habitat Baseline'!$D$1:$ZZ$258,45,FALSE))))</f>
        <v/>
      </c>
      <c r="G121" s="295" t="str">
        <f>IF(E121="","",IF(ISNA(VLOOKUP($E121,'D-1 Off-Site Habitat Baseline'!$D$1:$O$258,5,FALSE)),"",(VLOOKUP($E121,'D-1 Off-Site Habitat Baseline'!$D$1:$O$258,5,FALSE))))</f>
        <v/>
      </c>
      <c r="H121" s="295" t="str">
        <f>IF(E121="","",IF(ISNA(VLOOKUP($E121,'D-1 Off-Site Habitat Baseline'!$D$1:$O$258,6,FALSE)),"",(VLOOKUP($E121,'D-1 Off-Site Habitat Baseline'!$D$1:$O$258,6,FALSE))))</f>
        <v/>
      </c>
      <c r="I121" s="295" t="str">
        <f>IF(E121="","",IF(ISNA(VLOOKUP($E121,'D-1 Off-Site Habitat Baseline'!$D$1:$O$258,7,FALSE)),"",(VLOOKUP($E121,'D-1 Off-Site Habitat Baseline'!$D$1:$O$258,7,FALSE))))</f>
        <v/>
      </c>
      <c r="J121" s="295" t="str">
        <f>IF(E121="","",IF(ISNA(VLOOKUP($E121,'D-1 Off-Site Habitat Baseline'!$D$1:$O$258,8,FALSE)),"",(VLOOKUP($E121,'D-1 Off-Site Habitat Baseline'!$D$1:$O$258,8,FALSE))))</f>
        <v/>
      </c>
      <c r="K121" s="295" t="str">
        <f>IF(E121="","",IF(ISNA(VLOOKUP($E121,'D-1 Off-Site Habitat Baseline'!$D$1:$O$258,9,FALSE)),"",(VLOOKUP($E121,'D-1 Off-Site Habitat Baseline'!$D$1:$O$258,9,FALSE))))</f>
        <v/>
      </c>
      <c r="L121" s="295" t="str">
        <f>IF(E121="","",IF(ISNA(VLOOKUP($E121,'D-1 Off-Site Habitat Baseline'!$D$1:$O$258,11,FALSE)),"",(VLOOKUP($E121,'D-1 Off-Site Habitat Baseline'!$D$1:$O$258,11,FALSE))))</f>
        <v/>
      </c>
      <c r="M121" s="295" t="str">
        <f>IF(E121="","",IF(ISNA(VLOOKUP($E121,'D-1 Off-Site Habitat Baseline'!$D$1:$O$258,12,FALSE)),"",(VLOOKUP($E121,'D-1 Off-Site Habitat Baseline'!$D$1:$O$258,12,FALSE))))</f>
        <v/>
      </c>
      <c r="N121" s="295" t="str">
        <f>IF(E121="","",IF(ISNA(VLOOKUP($E121,'D-1 Off-Site Habitat Baseline'!$D$1:$AA$258,17,FALSE)),"",(VLOOKUP($E121,'D-1 Off-Site Habitat Baseline'!$D$1:$AA$258,17,FALSE))))</f>
        <v/>
      </c>
      <c r="O121" s="299" t="str">
        <f>IF(E121="","",IF(ISNA(VLOOKUP($E121,'D-1 Off-Site Habitat Baseline'!$D$1:$AA$258,13,FALSE)),"",(VLOOKUP($E121,'D-1 Off-Site Habitat Baseline'!$D$1:$AA$258,13,FALSE))))</f>
        <v/>
      </c>
      <c r="P121" s="148" t="str">
        <f>IFERROR(INDEX('G-1 All Habitats'!$AG$49:$AG$63,MATCH(Q121,'G-1 All Habitats'!$AF$27:$AF$41,0)),"")</f>
        <v/>
      </c>
      <c r="Q121" s="149" t="str">
        <f t="shared" si="13"/>
        <v/>
      </c>
      <c r="R121" s="150"/>
      <c r="S121" s="151" t="str">
        <f>IFERROR(INDEX('G-1 All Habitats'!$B$3:$B$135,MATCH(R121,'G-1 All Habitats'!$A$3:$A$135,0)),"")</f>
        <v/>
      </c>
      <c r="T121" s="283" t="str">
        <f t="shared" si="14"/>
        <v/>
      </c>
      <c r="U121" s="276" t="str">
        <f t="shared" si="15"/>
        <v/>
      </c>
      <c r="V121" s="298" t="str">
        <f t="shared" si="11"/>
        <v/>
      </c>
      <c r="W121" s="295" t="str">
        <f>IF(S121="","",VLOOKUP(S121,'G-1 All Habitats'!$B$2:$M$135,10,FALSE))</f>
        <v/>
      </c>
      <c r="X121" s="295" t="str">
        <f>IFERROR(VLOOKUP(W121,'G-1 All Habitats'!$V$3:$W$7,2,FALSE),"")</f>
        <v/>
      </c>
      <c r="Y121" s="138"/>
      <c r="Z121" s="299" t="str">
        <f>IFERROR(INDEX('G-8 Condition Look up'!$A$3:$H$135,MATCH(S121,'G-8 Condition Look up'!$A$3:$A$135,0),MATCH(Y121,'G-8 Condition Look up'!$A$3:$H$3,0)),"")</f>
        <v/>
      </c>
      <c r="AA121" s="101"/>
      <c r="AB121" s="314" t="str">
        <f>IF(AA121="","",IF(VLOOKUP(AA121,'G-3 Multipliers'!$L$3:$N$6,2,FALSE)=0,"Spatial Data Missing ⚠",VLOOKUP(AA121,'G-3 Multipliers'!$L$3:$N$6,2,FALSE)))</f>
        <v/>
      </c>
      <c r="AC121" s="299" t="str">
        <f>IF(AA121="","",IF(VLOOKUP(AA121,'G-3 Multipliers'!$L$3:$N$6,3,FALSE)=0,"Spatial Data Missing ⚠",VLOOKUP(AA121,'G-3 Multipliers'!$L$3:$N$6,3,FALSE)))</f>
        <v/>
      </c>
      <c r="AD121" s="311" t="str">
        <f t="shared" si="12"/>
        <v/>
      </c>
      <c r="AE121" s="138"/>
      <c r="AF121" s="138"/>
      <c r="AG121" s="295" t="str">
        <f t="shared" si="16"/>
        <v/>
      </c>
      <c r="AH121" s="296" t="str">
        <f t="shared" si="17"/>
        <v/>
      </c>
      <c r="AI121" s="300" t="str">
        <f>IF(AH121="Check Data ⚠","Check Data ⚠",IFERROR(VLOOKUP(AH121,'G-4 Temporal multipliers'!$A$4:$C$36,3,FALSE),""))</f>
        <v/>
      </c>
      <c r="AJ121" s="311" t="str">
        <f>IF(S121="","",VLOOKUP(S121,'G-3 Multipliers'!$A$2:$E$134,4,FALSE))</f>
        <v/>
      </c>
      <c r="AK121" s="295" t="str">
        <f t="shared" si="18"/>
        <v/>
      </c>
      <c r="AL121" s="295" t="str">
        <f t="shared" si="19"/>
        <v/>
      </c>
      <c r="AM121" s="299" t="str">
        <f>IFERROR(IF(F121="","",IF(AH121="Check Data ⚠","Check Data ⚠",VLOOKUP(AL121,'G-3 Multipliers'!$P$2:$Q$6,2,FALSE))),"")</f>
        <v/>
      </c>
      <c r="AN121" s="712" t="str">
        <f>IF(E121="","",IF(ISNA(VLOOKUP($E121,'D-1 Off-Site Habitat Baseline'!$D$1:$Z$258,15,FALSE)),"",(VLOOKUP($E121,'D-1 Off-Site Habitat Baseline'!$D$1:$Z$258,15,FALSE))))</f>
        <v/>
      </c>
      <c r="AO121" s="329" t="str">
        <f>IF(AN121="","",IF(VLOOKUP(AN121,'G-3 Multipliers'!$S$3:$T$10,2,FALSE)=0,"Spatial Data Missing ⚠",VLOOKUP(AN121,'G-3 Multipliers'!$S$3:$T$10,2,FALSE)))</f>
        <v/>
      </c>
      <c r="AP121" s="289" t="str">
        <f t="shared" si="20"/>
        <v/>
      </c>
      <c r="AQ121" s="289" t="str">
        <f t="shared" si="21"/>
        <v/>
      </c>
      <c r="AR121" s="105"/>
      <c r="AS121" s="138"/>
      <c r="AT121" s="104"/>
      <c r="AU121" s="104"/>
      <c r="AY121" s="30" t="str">
        <f>IF(E121="","",IF(ISNA(VLOOKUP($E121,'D-1 Off-Site Habitat Baseline'!$D$1:$AV$258,4,FALSE)),"",(VLOOKUP($E121,'D-1 Off-Site Habitat Baseline'!$D$1:$AV$258,4,FALSE))))</f>
        <v/>
      </c>
    </row>
    <row r="122" spans="1:51" ht="14">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319" t="str">
        <f>'D-1 Off-Site Habitat Baseline'!AP121</f>
        <v/>
      </c>
      <c r="F122" s="283" t="str">
        <f>IF(E122="","",IF(ISNA(VLOOKUP($E122,'D-1 Off-Site Habitat Baseline'!$D$1:$ZZ$258,45,FALSE)),"",(VLOOKUP($E122,'D-1 Off-Site Habitat Baseline'!$D$1:$ZZ$258,45,FALSE))))</f>
        <v/>
      </c>
      <c r="G122" s="295" t="str">
        <f>IF(E122="","",IF(ISNA(VLOOKUP($E122,'D-1 Off-Site Habitat Baseline'!$D$1:$O$258,5,FALSE)),"",(VLOOKUP($E122,'D-1 Off-Site Habitat Baseline'!$D$1:$O$258,5,FALSE))))</f>
        <v/>
      </c>
      <c r="H122" s="295" t="str">
        <f>IF(E122="","",IF(ISNA(VLOOKUP($E122,'D-1 Off-Site Habitat Baseline'!$D$1:$O$258,6,FALSE)),"",(VLOOKUP($E122,'D-1 Off-Site Habitat Baseline'!$D$1:$O$258,6,FALSE))))</f>
        <v/>
      </c>
      <c r="I122" s="295" t="str">
        <f>IF(E122="","",IF(ISNA(VLOOKUP($E122,'D-1 Off-Site Habitat Baseline'!$D$1:$O$258,7,FALSE)),"",(VLOOKUP($E122,'D-1 Off-Site Habitat Baseline'!$D$1:$O$258,7,FALSE))))</f>
        <v/>
      </c>
      <c r="J122" s="295" t="str">
        <f>IF(E122="","",IF(ISNA(VLOOKUP($E122,'D-1 Off-Site Habitat Baseline'!$D$1:$O$258,8,FALSE)),"",(VLOOKUP($E122,'D-1 Off-Site Habitat Baseline'!$D$1:$O$258,8,FALSE))))</f>
        <v/>
      </c>
      <c r="K122" s="295" t="str">
        <f>IF(E122="","",IF(ISNA(VLOOKUP($E122,'D-1 Off-Site Habitat Baseline'!$D$1:$O$258,9,FALSE)),"",(VLOOKUP($E122,'D-1 Off-Site Habitat Baseline'!$D$1:$O$258,9,FALSE))))</f>
        <v/>
      </c>
      <c r="L122" s="295" t="str">
        <f>IF(E122="","",IF(ISNA(VLOOKUP($E122,'D-1 Off-Site Habitat Baseline'!$D$1:$O$258,11,FALSE)),"",(VLOOKUP($E122,'D-1 Off-Site Habitat Baseline'!$D$1:$O$258,11,FALSE))))</f>
        <v/>
      </c>
      <c r="M122" s="295" t="str">
        <f>IF(E122="","",IF(ISNA(VLOOKUP($E122,'D-1 Off-Site Habitat Baseline'!$D$1:$O$258,12,FALSE)),"",(VLOOKUP($E122,'D-1 Off-Site Habitat Baseline'!$D$1:$O$258,12,FALSE))))</f>
        <v/>
      </c>
      <c r="N122" s="295" t="str">
        <f>IF(E122="","",IF(ISNA(VLOOKUP($E122,'D-1 Off-Site Habitat Baseline'!$D$1:$AA$258,17,FALSE)),"",(VLOOKUP($E122,'D-1 Off-Site Habitat Baseline'!$D$1:$AA$258,17,FALSE))))</f>
        <v/>
      </c>
      <c r="O122" s="299" t="str">
        <f>IF(E122="","",IF(ISNA(VLOOKUP($E122,'D-1 Off-Site Habitat Baseline'!$D$1:$AA$258,13,FALSE)),"",(VLOOKUP($E122,'D-1 Off-Site Habitat Baseline'!$D$1:$AA$258,13,FALSE))))</f>
        <v/>
      </c>
      <c r="P122" s="148" t="str">
        <f>IFERROR(INDEX('G-1 All Habitats'!$AG$49:$AG$63,MATCH(Q122,'G-1 All Habitats'!$AF$27:$AF$41,0)),"")</f>
        <v/>
      </c>
      <c r="Q122" s="149" t="str">
        <f t="shared" si="13"/>
        <v/>
      </c>
      <c r="R122" s="150"/>
      <c r="S122" s="151" t="str">
        <f>IFERROR(INDEX('G-1 All Habitats'!$B$3:$B$135,MATCH(R122,'G-1 All Habitats'!$A$3:$A$135,0)),"")</f>
        <v/>
      </c>
      <c r="T122" s="283" t="str">
        <f t="shared" si="14"/>
        <v/>
      </c>
      <c r="U122" s="276" t="str">
        <f t="shared" si="15"/>
        <v/>
      </c>
      <c r="V122" s="298" t="str">
        <f t="shared" si="11"/>
        <v/>
      </c>
      <c r="W122" s="295" t="str">
        <f>IF(S122="","",VLOOKUP(S122,'G-1 All Habitats'!$B$2:$M$135,10,FALSE))</f>
        <v/>
      </c>
      <c r="X122" s="295" t="str">
        <f>IFERROR(VLOOKUP(W122,'G-1 All Habitats'!$V$3:$W$7,2,FALSE),"")</f>
        <v/>
      </c>
      <c r="Y122" s="138"/>
      <c r="Z122" s="299" t="str">
        <f>IFERROR(INDEX('G-8 Condition Look up'!$A$3:$H$135,MATCH(S122,'G-8 Condition Look up'!$A$3:$A$135,0),MATCH(Y122,'G-8 Condition Look up'!$A$3:$H$3,0)),"")</f>
        <v/>
      </c>
      <c r="AA122" s="101"/>
      <c r="AB122" s="314" t="str">
        <f>IF(AA122="","",IF(VLOOKUP(AA122,'G-3 Multipliers'!$L$3:$N$6,2,FALSE)=0,"Spatial Data Missing ⚠",VLOOKUP(AA122,'G-3 Multipliers'!$L$3:$N$6,2,FALSE)))</f>
        <v/>
      </c>
      <c r="AC122" s="299" t="str">
        <f>IF(AA122="","",IF(VLOOKUP(AA122,'G-3 Multipliers'!$L$3:$N$6,3,FALSE)=0,"Spatial Data Missing ⚠",VLOOKUP(AA122,'G-3 Multipliers'!$L$3:$N$6,3,FALSE)))</f>
        <v/>
      </c>
      <c r="AD122" s="311" t="str">
        <f t="shared" si="12"/>
        <v/>
      </c>
      <c r="AE122" s="138"/>
      <c r="AF122" s="138"/>
      <c r="AG122" s="295" t="str">
        <f t="shared" si="16"/>
        <v/>
      </c>
      <c r="AH122" s="296" t="str">
        <f t="shared" si="17"/>
        <v/>
      </c>
      <c r="AI122" s="300" t="str">
        <f>IF(AH122="Check Data ⚠","Check Data ⚠",IFERROR(VLOOKUP(AH122,'G-4 Temporal multipliers'!$A$4:$C$36,3,FALSE),""))</f>
        <v/>
      </c>
      <c r="AJ122" s="311" t="str">
        <f>IF(S122="","",VLOOKUP(S122,'G-3 Multipliers'!$A$2:$E$134,4,FALSE))</f>
        <v/>
      </c>
      <c r="AK122" s="295" t="str">
        <f t="shared" si="18"/>
        <v/>
      </c>
      <c r="AL122" s="295" t="str">
        <f t="shared" si="19"/>
        <v/>
      </c>
      <c r="AM122" s="299" t="str">
        <f>IFERROR(IF(F122="","",IF(AH122="Check Data ⚠","Check Data ⚠",VLOOKUP(AL122,'G-3 Multipliers'!$P$2:$Q$6,2,FALSE))),"")</f>
        <v/>
      </c>
      <c r="AN122" s="712" t="str">
        <f>IF(E122="","",IF(ISNA(VLOOKUP($E122,'D-1 Off-Site Habitat Baseline'!$D$1:$Z$258,15,FALSE)),"",(VLOOKUP($E122,'D-1 Off-Site Habitat Baseline'!$D$1:$Z$258,15,FALSE))))</f>
        <v/>
      </c>
      <c r="AO122" s="329" t="str">
        <f>IF(AN122="","",IF(VLOOKUP(AN122,'G-3 Multipliers'!$S$3:$T$10,2,FALSE)=0,"Spatial Data Missing ⚠",VLOOKUP(AN122,'G-3 Multipliers'!$S$3:$T$10,2,FALSE)))</f>
        <v/>
      </c>
      <c r="AP122" s="289" t="str">
        <f t="shared" si="20"/>
        <v/>
      </c>
      <c r="AQ122" s="289" t="str">
        <f t="shared" si="21"/>
        <v/>
      </c>
      <c r="AR122" s="105"/>
      <c r="AS122" s="138"/>
      <c r="AT122" s="104"/>
      <c r="AU122" s="104"/>
      <c r="AY122" s="30" t="str">
        <f>IF(E122="","",IF(ISNA(VLOOKUP($E122,'D-1 Off-Site Habitat Baseline'!$D$1:$AV$258,4,FALSE)),"",(VLOOKUP($E122,'D-1 Off-Site Habitat Baseline'!$D$1:$AV$258,4,FALSE))))</f>
        <v/>
      </c>
    </row>
    <row r="123" spans="1:51" ht="14">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319" t="str">
        <f>'D-1 Off-Site Habitat Baseline'!AP122</f>
        <v/>
      </c>
      <c r="F123" s="283" t="str">
        <f>IF(E123="","",IF(ISNA(VLOOKUP($E123,'D-1 Off-Site Habitat Baseline'!$D$1:$ZZ$258,45,FALSE)),"",(VLOOKUP($E123,'D-1 Off-Site Habitat Baseline'!$D$1:$ZZ$258,45,FALSE))))</f>
        <v/>
      </c>
      <c r="G123" s="295" t="str">
        <f>IF(E123="","",IF(ISNA(VLOOKUP($E123,'D-1 Off-Site Habitat Baseline'!$D$1:$O$258,5,FALSE)),"",(VLOOKUP($E123,'D-1 Off-Site Habitat Baseline'!$D$1:$O$258,5,FALSE))))</f>
        <v/>
      </c>
      <c r="H123" s="295" t="str">
        <f>IF(E123="","",IF(ISNA(VLOOKUP($E123,'D-1 Off-Site Habitat Baseline'!$D$1:$O$258,6,FALSE)),"",(VLOOKUP($E123,'D-1 Off-Site Habitat Baseline'!$D$1:$O$258,6,FALSE))))</f>
        <v/>
      </c>
      <c r="I123" s="295" t="str">
        <f>IF(E123="","",IF(ISNA(VLOOKUP($E123,'D-1 Off-Site Habitat Baseline'!$D$1:$O$258,7,FALSE)),"",(VLOOKUP($E123,'D-1 Off-Site Habitat Baseline'!$D$1:$O$258,7,FALSE))))</f>
        <v/>
      </c>
      <c r="J123" s="295" t="str">
        <f>IF(E123="","",IF(ISNA(VLOOKUP($E123,'D-1 Off-Site Habitat Baseline'!$D$1:$O$258,8,FALSE)),"",(VLOOKUP($E123,'D-1 Off-Site Habitat Baseline'!$D$1:$O$258,8,FALSE))))</f>
        <v/>
      </c>
      <c r="K123" s="295" t="str">
        <f>IF(E123="","",IF(ISNA(VLOOKUP($E123,'D-1 Off-Site Habitat Baseline'!$D$1:$O$258,9,FALSE)),"",(VLOOKUP($E123,'D-1 Off-Site Habitat Baseline'!$D$1:$O$258,9,FALSE))))</f>
        <v/>
      </c>
      <c r="L123" s="295" t="str">
        <f>IF(E123="","",IF(ISNA(VLOOKUP($E123,'D-1 Off-Site Habitat Baseline'!$D$1:$O$258,11,FALSE)),"",(VLOOKUP($E123,'D-1 Off-Site Habitat Baseline'!$D$1:$O$258,11,FALSE))))</f>
        <v/>
      </c>
      <c r="M123" s="295" t="str">
        <f>IF(E123="","",IF(ISNA(VLOOKUP($E123,'D-1 Off-Site Habitat Baseline'!$D$1:$O$258,12,FALSE)),"",(VLOOKUP($E123,'D-1 Off-Site Habitat Baseline'!$D$1:$O$258,12,FALSE))))</f>
        <v/>
      </c>
      <c r="N123" s="295" t="str">
        <f>IF(E123="","",IF(ISNA(VLOOKUP($E123,'D-1 Off-Site Habitat Baseline'!$D$1:$AA$258,17,FALSE)),"",(VLOOKUP($E123,'D-1 Off-Site Habitat Baseline'!$D$1:$AA$258,17,FALSE))))</f>
        <v/>
      </c>
      <c r="O123" s="299" t="str">
        <f>IF(E123="","",IF(ISNA(VLOOKUP($E123,'D-1 Off-Site Habitat Baseline'!$D$1:$AA$258,13,FALSE)),"",(VLOOKUP($E123,'D-1 Off-Site Habitat Baseline'!$D$1:$AA$258,13,FALSE))))</f>
        <v/>
      </c>
      <c r="P123" s="148" t="str">
        <f>IFERROR(INDEX('G-1 All Habitats'!$AG$49:$AG$63,MATCH(Q123,'G-1 All Habitats'!$AF$27:$AF$41,0)),"")</f>
        <v/>
      </c>
      <c r="Q123" s="149" t="str">
        <f t="shared" si="13"/>
        <v/>
      </c>
      <c r="R123" s="150"/>
      <c r="S123" s="151" t="str">
        <f>IFERROR(INDEX('G-1 All Habitats'!$B$3:$B$135,MATCH(R123,'G-1 All Habitats'!$A$3:$A$135,0)),"")</f>
        <v/>
      </c>
      <c r="T123" s="283" t="str">
        <f t="shared" si="14"/>
        <v/>
      </c>
      <c r="U123" s="276" t="str">
        <f t="shared" si="15"/>
        <v/>
      </c>
      <c r="V123" s="298" t="str">
        <f t="shared" si="11"/>
        <v/>
      </c>
      <c r="W123" s="295" t="str">
        <f>IF(S123="","",VLOOKUP(S123,'G-1 All Habitats'!$B$2:$M$135,10,FALSE))</f>
        <v/>
      </c>
      <c r="X123" s="295" t="str">
        <f>IFERROR(VLOOKUP(W123,'G-1 All Habitats'!$V$3:$W$7,2,FALSE),"")</f>
        <v/>
      </c>
      <c r="Y123" s="138"/>
      <c r="Z123" s="299" t="str">
        <f>IFERROR(INDEX('G-8 Condition Look up'!$A$3:$H$135,MATCH(S123,'G-8 Condition Look up'!$A$3:$A$135,0),MATCH(Y123,'G-8 Condition Look up'!$A$3:$H$3,0)),"")</f>
        <v/>
      </c>
      <c r="AA123" s="101"/>
      <c r="AB123" s="314" t="str">
        <f>IF(AA123="","",IF(VLOOKUP(AA123,'G-3 Multipliers'!$L$3:$N$6,2,FALSE)=0,"Spatial Data Missing ⚠",VLOOKUP(AA123,'G-3 Multipliers'!$L$3:$N$6,2,FALSE)))</f>
        <v/>
      </c>
      <c r="AC123" s="299" t="str">
        <f>IF(AA123="","",IF(VLOOKUP(AA123,'G-3 Multipliers'!$L$3:$N$6,3,FALSE)=0,"Spatial Data Missing ⚠",VLOOKUP(AA123,'G-3 Multipliers'!$L$3:$N$6,3,FALSE)))</f>
        <v/>
      </c>
      <c r="AD123" s="311" t="str">
        <f t="shared" si="12"/>
        <v/>
      </c>
      <c r="AE123" s="138"/>
      <c r="AF123" s="138"/>
      <c r="AG123" s="295" t="str">
        <f t="shared" si="16"/>
        <v/>
      </c>
      <c r="AH123" s="296" t="str">
        <f t="shared" si="17"/>
        <v/>
      </c>
      <c r="AI123" s="300" t="str">
        <f>IF(AH123="Check Data ⚠","Check Data ⚠",IFERROR(VLOOKUP(AH123,'G-4 Temporal multipliers'!$A$4:$C$36,3,FALSE),""))</f>
        <v/>
      </c>
      <c r="AJ123" s="311" t="str">
        <f>IF(S123="","",VLOOKUP(S123,'G-3 Multipliers'!$A$2:$E$134,4,FALSE))</f>
        <v/>
      </c>
      <c r="AK123" s="295" t="str">
        <f t="shared" si="18"/>
        <v/>
      </c>
      <c r="AL123" s="295" t="str">
        <f t="shared" si="19"/>
        <v/>
      </c>
      <c r="AM123" s="299" t="str">
        <f>IFERROR(IF(F123="","",IF(AH123="Check Data ⚠","Check Data ⚠",VLOOKUP(AL123,'G-3 Multipliers'!$P$2:$Q$6,2,FALSE))),"")</f>
        <v/>
      </c>
      <c r="AN123" s="712" t="str">
        <f>IF(E123="","",IF(ISNA(VLOOKUP($E123,'D-1 Off-Site Habitat Baseline'!$D$1:$Z$258,15,FALSE)),"",(VLOOKUP($E123,'D-1 Off-Site Habitat Baseline'!$D$1:$Z$258,15,FALSE))))</f>
        <v/>
      </c>
      <c r="AO123" s="329" t="str">
        <f>IF(AN123="","",IF(VLOOKUP(AN123,'G-3 Multipliers'!$S$3:$T$10,2,FALSE)=0,"Spatial Data Missing ⚠",VLOOKUP(AN123,'G-3 Multipliers'!$S$3:$T$10,2,FALSE)))</f>
        <v/>
      </c>
      <c r="AP123" s="289" t="str">
        <f t="shared" si="20"/>
        <v/>
      </c>
      <c r="AQ123" s="289" t="str">
        <f t="shared" si="21"/>
        <v/>
      </c>
      <c r="AR123" s="105"/>
      <c r="AS123" s="138"/>
      <c r="AT123" s="104"/>
      <c r="AU123" s="104"/>
      <c r="AY123" s="30" t="str">
        <f>IF(E123="","",IF(ISNA(VLOOKUP($E123,'D-1 Off-Site Habitat Baseline'!$D$1:$AV$258,4,FALSE)),"",(VLOOKUP($E123,'D-1 Off-Site Habitat Baseline'!$D$1:$AV$258,4,FALSE))))</f>
        <v/>
      </c>
    </row>
    <row r="124" spans="1:51" ht="14">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319" t="str">
        <f>'D-1 Off-Site Habitat Baseline'!AP123</f>
        <v/>
      </c>
      <c r="F124" s="283" t="str">
        <f>IF(E124="","",IF(ISNA(VLOOKUP($E124,'D-1 Off-Site Habitat Baseline'!$D$1:$ZZ$258,45,FALSE)),"",(VLOOKUP($E124,'D-1 Off-Site Habitat Baseline'!$D$1:$ZZ$258,45,FALSE))))</f>
        <v/>
      </c>
      <c r="G124" s="295" t="str">
        <f>IF(E124="","",IF(ISNA(VLOOKUP($E124,'D-1 Off-Site Habitat Baseline'!$D$1:$O$258,5,FALSE)),"",(VLOOKUP($E124,'D-1 Off-Site Habitat Baseline'!$D$1:$O$258,5,FALSE))))</f>
        <v/>
      </c>
      <c r="H124" s="295" t="str">
        <f>IF(E124="","",IF(ISNA(VLOOKUP($E124,'D-1 Off-Site Habitat Baseline'!$D$1:$O$258,6,FALSE)),"",(VLOOKUP($E124,'D-1 Off-Site Habitat Baseline'!$D$1:$O$258,6,FALSE))))</f>
        <v/>
      </c>
      <c r="I124" s="295" t="str">
        <f>IF(E124="","",IF(ISNA(VLOOKUP($E124,'D-1 Off-Site Habitat Baseline'!$D$1:$O$258,7,FALSE)),"",(VLOOKUP($E124,'D-1 Off-Site Habitat Baseline'!$D$1:$O$258,7,FALSE))))</f>
        <v/>
      </c>
      <c r="J124" s="295" t="str">
        <f>IF(E124="","",IF(ISNA(VLOOKUP($E124,'D-1 Off-Site Habitat Baseline'!$D$1:$O$258,8,FALSE)),"",(VLOOKUP($E124,'D-1 Off-Site Habitat Baseline'!$D$1:$O$258,8,FALSE))))</f>
        <v/>
      </c>
      <c r="K124" s="295" t="str">
        <f>IF(E124="","",IF(ISNA(VLOOKUP($E124,'D-1 Off-Site Habitat Baseline'!$D$1:$O$258,9,FALSE)),"",(VLOOKUP($E124,'D-1 Off-Site Habitat Baseline'!$D$1:$O$258,9,FALSE))))</f>
        <v/>
      </c>
      <c r="L124" s="295" t="str">
        <f>IF(E124="","",IF(ISNA(VLOOKUP($E124,'D-1 Off-Site Habitat Baseline'!$D$1:$O$258,11,FALSE)),"",(VLOOKUP($E124,'D-1 Off-Site Habitat Baseline'!$D$1:$O$258,11,FALSE))))</f>
        <v/>
      </c>
      <c r="M124" s="295" t="str">
        <f>IF(E124="","",IF(ISNA(VLOOKUP($E124,'D-1 Off-Site Habitat Baseline'!$D$1:$O$258,12,FALSE)),"",(VLOOKUP($E124,'D-1 Off-Site Habitat Baseline'!$D$1:$O$258,12,FALSE))))</f>
        <v/>
      </c>
      <c r="N124" s="295" t="str">
        <f>IF(E124="","",IF(ISNA(VLOOKUP($E124,'D-1 Off-Site Habitat Baseline'!$D$1:$AA$258,17,FALSE)),"",(VLOOKUP($E124,'D-1 Off-Site Habitat Baseline'!$D$1:$AA$258,17,FALSE))))</f>
        <v/>
      </c>
      <c r="O124" s="299" t="str">
        <f>IF(E124="","",IF(ISNA(VLOOKUP($E124,'D-1 Off-Site Habitat Baseline'!$D$1:$AA$258,13,FALSE)),"",(VLOOKUP($E124,'D-1 Off-Site Habitat Baseline'!$D$1:$AA$258,13,FALSE))))</f>
        <v/>
      </c>
      <c r="P124" s="148" t="str">
        <f>IFERROR(INDEX('G-1 All Habitats'!$AG$49:$AG$63,MATCH(Q124,'G-1 All Habitats'!$AF$27:$AF$41,0)),"")</f>
        <v/>
      </c>
      <c r="Q124" s="149" t="str">
        <f t="shared" si="13"/>
        <v/>
      </c>
      <c r="R124" s="150"/>
      <c r="S124" s="151" t="str">
        <f>IFERROR(INDEX('G-1 All Habitats'!$B$3:$B$135,MATCH(R124,'G-1 All Habitats'!$A$3:$A$135,0)),"")</f>
        <v/>
      </c>
      <c r="T124" s="283" t="str">
        <f t="shared" si="14"/>
        <v/>
      </c>
      <c r="U124" s="276" t="str">
        <f t="shared" si="15"/>
        <v/>
      </c>
      <c r="V124" s="298" t="str">
        <f t="shared" si="11"/>
        <v/>
      </c>
      <c r="W124" s="295" t="str">
        <f>IF(S124="","",VLOOKUP(S124,'G-1 All Habitats'!$B$2:$M$135,10,FALSE))</f>
        <v/>
      </c>
      <c r="X124" s="295" t="str">
        <f>IFERROR(VLOOKUP(W124,'G-1 All Habitats'!$V$3:$W$7,2,FALSE),"")</f>
        <v/>
      </c>
      <c r="Y124" s="138"/>
      <c r="Z124" s="299" t="str">
        <f>IFERROR(INDEX('G-8 Condition Look up'!$A$3:$H$135,MATCH(S124,'G-8 Condition Look up'!$A$3:$A$135,0),MATCH(Y124,'G-8 Condition Look up'!$A$3:$H$3,0)),"")</f>
        <v/>
      </c>
      <c r="AA124" s="101"/>
      <c r="AB124" s="314" t="str">
        <f>IF(AA124="","",IF(VLOOKUP(AA124,'G-3 Multipliers'!$L$3:$N$6,2,FALSE)=0,"Spatial Data Missing ⚠",VLOOKUP(AA124,'G-3 Multipliers'!$L$3:$N$6,2,FALSE)))</f>
        <v/>
      </c>
      <c r="AC124" s="299" t="str">
        <f>IF(AA124="","",IF(VLOOKUP(AA124,'G-3 Multipliers'!$L$3:$N$6,3,FALSE)=0,"Spatial Data Missing ⚠",VLOOKUP(AA124,'G-3 Multipliers'!$L$3:$N$6,3,FALSE)))</f>
        <v/>
      </c>
      <c r="AD124" s="311" t="str">
        <f t="shared" si="12"/>
        <v/>
      </c>
      <c r="AE124" s="138"/>
      <c r="AF124" s="138"/>
      <c r="AG124" s="295" t="str">
        <f t="shared" si="16"/>
        <v/>
      </c>
      <c r="AH124" s="296" t="str">
        <f t="shared" si="17"/>
        <v/>
      </c>
      <c r="AI124" s="300" t="str">
        <f>IF(AH124="Check Data ⚠","Check Data ⚠",IFERROR(VLOOKUP(AH124,'G-4 Temporal multipliers'!$A$4:$C$36,3,FALSE),""))</f>
        <v/>
      </c>
      <c r="AJ124" s="311" t="str">
        <f>IF(S124="","",VLOOKUP(S124,'G-3 Multipliers'!$A$2:$E$134,4,FALSE))</f>
        <v/>
      </c>
      <c r="AK124" s="295" t="str">
        <f t="shared" si="18"/>
        <v/>
      </c>
      <c r="AL124" s="295" t="str">
        <f t="shared" si="19"/>
        <v/>
      </c>
      <c r="AM124" s="299" t="str">
        <f>IFERROR(IF(F124="","",IF(AH124="Check Data ⚠","Check Data ⚠",VLOOKUP(AL124,'G-3 Multipliers'!$P$2:$Q$6,2,FALSE))),"")</f>
        <v/>
      </c>
      <c r="AN124" s="712" t="str">
        <f>IF(E124="","",IF(ISNA(VLOOKUP($E124,'D-1 Off-Site Habitat Baseline'!$D$1:$Z$258,15,FALSE)),"",(VLOOKUP($E124,'D-1 Off-Site Habitat Baseline'!$D$1:$Z$258,15,FALSE))))</f>
        <v/>
      </c>
      <c r="AO124" s="329" t="str">
        <f>IF(AN124="","",IF(VLOOKUP(AN124,'G-3 Multipliers'!$S$3:$T$10,2,FALSE)=0,"Spatial Data Missing ⚠",VLOOKUP(AN124,'G-3 Multipliers'!$S$3:$T$10,2,FALSE)))</f>
        <v/>
      </c>
      <c r="AP124" s="289" t="str">
        <f t="shared" si="20"/>
        <v/>
      </c>
      <c r="AQ124" s="289" t="str">
        <f t="shared" si="21"/>
        <v/>
      </c>
      <c r="AR124" s="105"/>
      <c r="AS124" s="138"/>
      <c r="AT124" s="104"/>
      <c r="AU124" s="104"/>
      <c r="AY124" s="30" t="str">
        <f>IF(E124="","",IF(ISNA(VLOOKUP($E124,'D-1 Off-Site Habitat Baseline'!$D$1:$AV$258,4,FALSE)),"",(VLOOKUP($E124,'D-1 Off-Site Habitat Baseline'!$D$1:$AV$258,4,FALSE))))</f>
        <v/>
      </c>
    </row>
    <row r="125" spans="1:51" ht="14">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319" t="str">
        <f>'D-1 Off-Site Habitat Baseline'!AP124</f>
        <v/>
      </c>
      <c r="F125" s="283" t="str">
        <f>IF(E125="","",IF(ISNA(VLOOKUP($E125,'D-1 Off-Site Habitat Baseline'!$D$1:$ZZ$258,45,FALSE)),"",(VLOOKUP($E125,'D-1 Off-Site Habitat Baseline'!$D$1:$ZZ$258,45,FALSE))))</f>
        <v/>
      </c>
      <c r="G125" s="295" t="str">
        <f>IF(E125="","",IF(ISNA(VLOOKUP($E125,'D-1 Off-Site Habitat Baseline'!$D$1:$O$258,5,FALSE)),"",(VLOOKUP($E125,'D-1 Off-Site Habitat Baseline'!$D$1:$O$258,5,FALSE))))</f>
        <v/>
      </c>
      <c r="H125" s="295" t="str">
        <f>IF(E125="","",IF(ISNA(VLOOKUP($E125,'D-1 Off-Site Habitat Baseline'!$D$1:$O$258,6,FALSE)),"",(VLOOKUP($E125,'D-1 Off-Site Habitat Baseline'!$D$1:$O$258,6,FALSE))))</f>
        <v/>
      </c>
      <c r="I125" s="295" t="str">
        <f>IF(E125="","",IF(ISNA(VLOOKUP($E125,'D-1 Off-Site Habitat Baseline'!$D$1:$O$258,7,FALSE)),"",(VLOOKUP($E125,'D-1 Off-Site Habitat Baseline'!$D$1:$O$258,7,FALSE))))</f>
        <v/>
      </c>
      <c r="J125" s="295" t="str">
        <f>IF(E125="","",IF(ISNA(VLOOKUP($E125,'D-1 Off-Site Habitat Baseline'!$D$1:$O$258,8,FALSE)),"",(VLOOKUP($E125,'D-1 Off-Site Habitat Baseline'!$D$1:$O$258,8,FALSE))))</f>
        <v/>
      </c>
      <c r="K125" s="295" t="str">
        <f>IF(E125="","",IF(ISNA(VLOOKUP($E125,'D-1 Off-Site Habitat Baseline'!$D$1:$O$258,9,FALSE)),"",(VLOOKUP($E125,'D-1 Off-Site Habitat Baseline'!$D$1:$O$258,9,FALSE))))</f>
        <v/>
      </c>
      <c r="L125" s="295" t="str">
        <f>IF(E125="","",IF(ISNA(VLOOKUP($E125,'D-1 Off-Site Habitat Baseline'!$D$1:$O$258,11,FALSE)),"",(VLOOKUP($E125,'D-1 Off-Site Habitat Baseline'!$D$1:$O$258,11,FALSE))))</f>
        <v/>
      </c>
      <c r="M125" s="295" t="str">
        <f>IF(E125="","",IF(ISNA(VLOOKUP($E125,'D-1 Off-Site Habitat Baseline'!$D$1:$O$258,12,FALSE)),"",(VLOOKUP($E125,'D-1 Off-Site Habitat Baseline'!$D$1:$O$258,12,FALSE))))</f>
        <v/>
      </c>
      <c r="N125" s="295" t="str">
        <f>IF(E125="","",IF(ISNA(VLOOKUP($E125,'D-1 Off-Site Habitat Baseline'!$D$1:$AA$258,17,FALSE)),"",(VLOOKUP($E125,'D-1 Off-Site Habitat Baseline'!$D$1:$AA$258,17,FALSE))))</f>
        <v/>
      </c>
      <c r="O125" s="299" t="str">
        <f>IF(E125="","",IF(ISNA(VLOOKUP($E125,'D-1 Off-Site Habitat Baseline'!$D$1:$AA$258,13,FALSE)),"",(VLOOKUP($E125,'D-1 Off-Site Habitat Baseline'!$D$1:$AA$258,13,FALSE))))</f>
        <v/>
      </c>
      <c r="P125" s="148" t="str">
        <f>IFERROR(INDEX('G-1 All Habitats'!$AG$49:$AG$63,MATCH(Q125,'G-1 All Habitats'!$AF$27:$AF$41,0)),"")</f>
        <v/>
      </c>
      <c r="Q125" s="149" t="str">
        <f t="shared" si="13"/>
        <v/>
      </c>
      <c r="R125" s="150"/>
      <c r="S125" s="151" t="str">
        <f>IFERROR(INDEX('G-1 All Habitats'!$B$3:$B$135,MATCH(R125,'G-1 All Habitats'!$A$3:$A$135,0)),"")</f>
        <v/>
      </c>
      <c r="T125" s="283" t="str">
        <f t="shared" si="14"/>
        <v/>
      </c>
      <c r="U125" s="276" t="str">
        <f t="shared" si="15"/>
        <v/>
      </c>
      <c r="V125" s="298" t="str">
        <f t="shared" si="11"/>
        <v/>
      </c>
      <c r="W125" s="295" t="str">
        <f>IF(S125="","",VLOOKUP(S125,'G-1 All Habitats'!$B$2:$M$135,10,FALSE))</f>
        <v/>
      </c>
      <c r="X125" s="295" t="str">
        <f>IFERROR(VLOOKUP(W125,'G-1 All Habitats'!$V$3:$W$7,2,FALSE),"")</f>
        <v/>
      </c>
      <c r="Y125" s="138"/>
      <c r="Z125" s="299" t="str">
        <f>IFERROR(INDEX('G-8 Condition Look up'!$A$3:$H$135,MATCH(S125,'G-8 Condition Look up'!$A$3:$A$135,0),MATCH(Y125,'G-8 Condition Look up'!$A$3:$H$3,0)),"")</f>
        <v/>
      </c>
      <c r="AA125" s="101"/>
      <c r="AB125" s="314" t="str">
        <f>IF(AA125="","",IF(VLOOKUP(AA125,'G-3 Multipliers'!$L$3:$N$6,2,FALSE)=0,"Spatial Data Missing ⚠",VLOOKUP(AA125,'G-3 Multipliers'!$L$3:$N$6,2,FALSE)))</f>
        <v/>
      </c>
      <c r="AC125" s="299" t="str">
        <f>IF(AA125="","",IF(VLOOKUP(AA125,'G-3 Multipliers'!$L$3:$N$6,3,FALSE)=0,"Spatial Data Missing ⚠",VLOOKUP(AA125,'G-3 Multipliers'!$L$3:$N$6,3,FALSE)))</f>
        <v/>
      </c>
      <c r="AD125" s="311" t="str">
        <f t="shared" si="12"/>
        <v/>
      </c>
      <c r="AE125" s="138"/>
      <c r="AF125" s="138"/>
      <c r="AG125" s="295" t="str">
        <f t="shared" si="16"/>
        <v/>
      </c>
      <c r="AH125" s="296" t="str">
        <f t="shared" si="17"/>
        <v/>
      </c>
      <c r="AI125" s="300" t="str">
        <f>IF(AH125="Check Data ⚠","Check Data ⚠",IFERROR(VLOOKUP(AH125,'G-4 Temporal multipliers'!$A$4:$C$36,3,FALSE),""))</f>
        <v/>
      </c>
      <c r="AJ125" s="311" t="str">
        <f>IF(S125="","",VLOOKUP(S125,'G-3 Multipliers'!$A$2:$E$134,4,FALSE))</f>
        <v/>
      </c>
      <c r="AK125" s="295" t="str">
        <f t="shared" si="18"/>
        <v/>
      </c>
      <c r="AL125" s="295" t="str">
        <f t="shared" si="19"/>
        <v/>
      </c>
      <c r="AM125" s="299" t="str">
        <f>IFERROR(IF(F125="","",IF(AH125="Check Data ⚠","Check Data ⚠",VLOOKUP(AL125,'G-3 Multipliers'!$P$2:$Q$6,2,FALSE))),"")</f>
        <v/>
      </c>
      <c r="AN125" s="712" t="str">
        <f>IF(E125="","",IF(ISNA(VLOOKUP($E125,'D-1 Off-Site Habitat Baseline'!$D$1:$Z$258,15,FALSE)),"",(VLOOKUP($E125,'D-1 Off-Site Habitat Baseline'!$D$1:$Z$258,15,FALSE))))</f>
        <v/>
      </c>
      <c r="AO125" s="329" t="str">
        <f>IF(AN125="","",IF(VLOOKUP(AN125,'G-3 Multipliers'!$S$3:$T$10,2,FALSE)=0,"Spatial Data Missing ⚠",VLOOKUP(AN125,'G-3 Multipliers'!$S$3:$T$10,2,FALSE)))</f>
        <v/>
      </c>
      <c r="AP125" s="289" t="str">
        <f t="shared" si="20"/>
        <v/>
      </c>
      <c r="AQ125" s="289" t="str">
        <f t="shared" si="21"/>
        <v/>
      </c>
      <c r="AR125" s="105"/>
      <c r="AS125" s="138"/>
      <c r="AT125" s="104"/>
      <c r="AU125" s="104"/>
      <c r="AY125" s="30" t="str">
        <f>IF(E125="","",IF(ISNA(VLOOKUP($E125,'D-1 Off-Site Habitat Baseline'!$D$1:$AV$258,4,FALSE)),"",(VLOOKUP($E125,'D-1 Off-Site Habitat Baseline'!$D$1:$AV$258,4,FALSE))))</f>
        <v/>
      </c>
    </row>
    <row r="126" spans="1:51" ht="14">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319" t="str">
        <f>'D-1 Off-Site Habitat Baseline'!AP125</f>
        <v/>
      </c>
      <c r="F126" s="283" t="str">
        <f>IF(E126="","",IF(ISNA(VLOOKUP($E126,'D-1 Off-Site Habitat Baseline'!$D$1:$ZZ$258,45,FALSE)),"",(VLOOKUP($E126,'D-1 Off-Site Habitat Baseline'!$D$1:$ZZ$258,45,FALSE))))</f>
        <v/>
      </c>
      <c r="G126" s="295" t="str">
        <f>IF(E126="","",IF(ISNA(VLOOKUP($E126,'D-1 Off-Site Habitat Baseline'!$D$1:$O$258,5,FALSE)),"",(VLOOKUP($E126,'D-1 Off-Site Habitat Baseline'!$D$1:$O$258,5,FALSE))))</f>
        <v/>
      </c>
      <c r="H126" s="295" t="str">
        <f>IF(E126="","",IF(ISNA(VLOOKUP($E126,'D-1 Off-Site Habitat Baseline'!$D$1:$O$258,6,FALSE)),"",(VLOOKUP($E126,'D-1 Off-Site Habitat Baseline'!$D$1:$O$258,6,FALSE))))</f>
        <v/>
      </c>
      <c r="I126" s="295" t="str">
        <f>IF(E126="","",IF(ISNA(VLOOKUP($E126,'D-1 Off-Site Habitat Baseline'!$D$1:$O$258,7,FALSE)),"",(VLOOKUP($E126,'D-1 Off-Site Habitat Baseline'!$D$1:$O$258,7,FALSE))))</f>
        <v/>
      </c>
      <c r="J126" s="295" t="str">
        <f>IF(E126="","",IF(ISNA(VLOOKUP($E126,'D-1 Off-Site Habitat Baseline'!$D$1:$O$258,8,FALSE)),"",(VLOOKUP($E126,'D-1 Off-Site Habitat Baseline'!$D$1:$O$258,8,FALSE))))</f>
        <v/>
      </c>
      <c r="K126" s="295" t="str">
        <f>IF(E126="","",IF(ISNA(VLOOKUP($E126,'D-1 Off-Site Habitat Baseline'!$D$1:$O$258,9,FALSE)),"",(VLOOKUP($E126,'D-1 Off-Site Habitat Baseline'!$D$1:$O$258,9,FALSE))))</f>
        <v/>
      </c>
      <c r="L126" s="295" t="str">
        <f>IF(E126="","",IF(ISNA(VLOOKUP($E126,'D-1 Off-Site Habitat Baseline'!$D$1:$O$258,11,FALSE)),"",(VLOOKUP($E126,'D-1 Off-Site Habitat Baseline'!$D$1:$O$258,11,FALSE))))</f>
        <v/>
      </c>
      <c r="M126" s="295" t="str">
        <f>IF(E126="","",IF(ISNA(VLOOKUP($E126,'D-1 Off-Site Habitat Baseline'!$D$1:$O$258,12,FALSE)),"",(VLOOKUP($E126,'D-1 Off-Site Habitat Baseline'!$D$1:$O$258,12,FALSE))))</f>
        <v/>
      </c>
      <c r="N126" s="295" t="str">
        <f>IF(E126="","",IF(ISNA(VLOOKUP($E126,'D-1 Off-Site Habitat Baseline'!$D$1:$AA$258,17,FALSE)),"",(VLOOKUP($E126,'D-1 Off-Site Habitat Baseline'!$D$1:$AA$258,17,FALSE))))</f>
        <v/>
      </c>
      <c r="O126" s="299" t="str">
        <f>IF(E126="","",IF(ISNA(VLOOKUP($E126,'D-1 Off-Site Habitat Baseline'!$D$1:$AA$258,13,FALSE)),"",(VLOOKUP($E126,'D-1 Off-Site Habitat Baseline'!$D$1:$AA$258,13,FALSE))))</f>
        <v/>
      </c>
      <c r="P126" s="148" t="str">
        <f>IFERROR(INDEX('G-1 All Habitats'!$AG$49:$AG$63,MATCH(Q126,'G-1 All Habitats'!$AF$27:$AF$41,0)),"")</f>
        <v/>
      </c>
      <c r="Q126" s="149" t="str">
        <f t="shared" si="13"/>
        <v/>
      </c>
      <c r="R126" s="150"/>
      <c r="S126" s="151" t="str">
        <f>IFERROR(INDEX('G-1 All Habitats'!$B$3:$B$135,MATCH(R126,'G-1 All Habitats'!$A$3:$A$135,0)),"")</f>
        <v/>
      </c>
      <c r="T126" s="283" t="str">
        <f t="shared" si="14"/>
        <v/>
      </c>
      <c r="U126" s="276" t="str">
        <f t="shared" si="15"/>
        <v/>
      </c>
      <c r="V126" s="298" t="str">
        <f t="shared" si="11"/>
        <v/>
      </c>
      <c r="W126" s="295" t="str">
        <f>IF(S126="","",VLOOKUP(S126,'G-1 All Habitats'!$B$2:$M$135,10,FALSE))</f>
        <v/>
      </c>
      <c r="X126" s="295" t="str">
        <f>IFERROR(VLOOKUP(W126,'G-1 All Habitats'!$V$3:$W$7,2,FALSE),"")</f>
        <v/>
      </c>
      <c r="Y126" s="138"/>
      <c r="Z126" s="299" t="str">
        <f>IFERROR(INDEX('G-8 Condition Look up'!$A$3:$H$135,MATCH(S126,'G-8 Condition Look up'!$A$3:$A$135,0),MATCH(Y126,'G-8 Condition Look up'!$A$3:$H$3,0)),"")</f>
        <v/>
      </c>
      <c r="AA126" s="101"/>
      <c r="AB126" s="314" t="str">
        <f>IF(AA126="","",IF(VLOOKUP(AA126,'G-3 Multipliers'!$L$3:$N$6,2,FALSE)=0,"Spatial Data Missing ⚠",VLOOKUP(AA126,'G-3 Multipliers'!$L$3:$N$6,2,FALSE)))</f>
        <v/>
      </c>
      <c r="AC126" s="299" t="str">
        <f>IF(AA126="","",IF(VLOOKUP(AA126,'G-3 Multipliers'!$L$3:$N$6,3,FALSE)=0,"Spatial Data Missing ⚠",VLOOKUP(AA126,'G-3 Multipliers'!$L$3:$N$6,3,FALSE)))</f>
        <v/>
      </c>
      <c r="AD126" s="311" t="str">
        <f t="shared" si="12"/>
        <v/>
      </c>
      <c r="AE126" s="138"/>
      <c r="AF126" s="138"/>
      <c r="AG126" s="295" t="str">
        <f t="shared" si="16"/>
        <v/>
      </c>
      <c r="AH126" s="296" t="str">
        <f t="shared" si="17"/>
        <v/>
      </c>
      <c r="AI126" s="300" t="str">
        <f>IF(AH126="Check Data ⚠","Check Data ⚠",IFERROR(VLOOKUP(AH126,'G-4 Temporal multipliers'!$A$4:$C$36,3,FALSE),""))</f>
        <v/>
      </c>
      <c r="AJ126" s="311" t="str">
        <f>IF(S126="","",VLOOKUP(S126,'G-3 Multipliers'!$A$2:$E$134,4,FALSE))</f>
        <v/>
      </c>
      <c r="AK126" s="295" t="str">
        <f t="shared" si="18"/>
        <v/>
      </c>
      <c r="AL126" s="295" t="str">
        <f t="shared" si="19"/>
        <v/>
      </c>
      <c r="AM126" s="299" t="str">
        <f>IFERROR(IF(F126="","",IF(AH126="Check Data ⚠","Check Data ⚠",VLOOKUP(AL126,'G-3 Multipliers'!$P$2:$Q$6,2,FALSE))),"")</f>
        <v/>
      </c>
      <c r="AN126" s="712" t="str">
        <f>IF(E126="","",IF(ISNA(VLOOKUP($E126,'D-1 Off-Site Habitat Baseline'!$D$1:$Z$258,15,FALSE)),"",(VLOOKUP($E126,'D-1 Off-Site Habitat Baseline'!$D$1:$Z$258,15,FALSE))))</f>
        <v/>
      </c>
      <c r="AO126" s="329" t="str">
        <f>IF(AN126="","",IF(VLOOKUP(AN126,'G-3 Multipliers'!$S$3:$T$10,2,FALSE)=0,"Spatial Data Missing ⚠",VLOOKUP(AN126,'G-3 Multipliers'!$S$3:$T$10,2,FALSE)))</f>
        <v/>
      </c>
      <c r="AP126" s="289" t="str">
        <f t="shared" si="20"/>
        <v/>
      </c>
      <c r="AQ126" s="289" t="str">
        <f t="shared" si="21"/>
        <v/>
      </c>
      <c r="AR126" s="105"/>
      <c r="AS126" s="138"/>
      <c r="AT126" s="104"/>
      <c r="AU126" s="104"/>
      <c r="AY126" s="30" t="str">
        <f>IF(E126="","",IF(ISNA(VLOOKUP($E126,'D-1 Off-Site Habitat Baseline'!$D$1:$AV$258,4,FALSE)),"",(VLOOKUP($E126,'D-1 Off-Site Habitat Baseline'!$D$1:$AV$258,4,FALSE))))</f>
        <v/>
      </c>
    </row>
    <row r="127" spans="1:51" ht="14">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319" t="str">
        <f>'D-1 Off-Site Habitat Baseline'!AP126</f>
        <v/>
      </c>
      <c r="F127" s="283" t="str">
        <f>IF(E127="","",IF(ISNA(VLOOKUP($E127,'D-1 Off-Site Habitat Baseline'!$D$1:$ZZ$258,45,FALSE)),"",(VLOOKUP($E127,'D-1 Off-Site Habitat Baseline'!$D$1:$ZZ$258,45,FALSE))))</f>
        <v/>
      </c>
      <c r="G127" s="295" t="str">
        <f>IF(E127="","",IF(ISNA(VLOOKUP($E127,'D-1 Off-Site Habitat Baseline'!$D$1:$O$258,5,FALSE)),"",(VLOOKUP($E127,'D-1 Off-Site Habitat Baseline'!$D$1:$O$258,5,FALSE))))</f>
        <v/>
      </c>
      <c r="H127" s="295" t="str">
        <f>IF(E127="","",IF(ISNA(VLOOKUP($E127,'D-1 Off-Site Habitat Baseline'!$D$1:$O$258,6,FALSE)),"",(VLOOKUP($E127,'D-1 Off-Site Habitat Baseline'!$D$1:$O$258,6,FALSE))))</f>
        <v/>
      </c>
      <c r="I127" s="295" t="str">
        <f>IF(E127="","",IF(ISNA(VLOOKUP($E127,'D-1 Off-Site Habitat Baseline'!$D$1:$O$258,7,FALSE)),"",(VLOOKUP($E127,'D-1 Off-Site Habitat Baseline'!$D$1:$O$258,7,FALSE))))</f>
        <v/>
      </c>
      <c r="J127" s="295" t="str">
        <f>IF(E127="","",IF(ISNA(VLOOKUP($E127,'D-1 Off-Site Habitat Baseline'!$D$1:$O$258,8,FALSE)),"",(VLOOKUP($E127,'D-1 Off-Site Habitat Baseline'!$D$1:$O$258,8,FALSE))))</f>
        <v/>
      </c>
      <c r="K127" s="295" t="str">
        <f>IF(E127="","",IF(ISNA(VLOOKUP($E127,'D-1 Off-Site Habitat Baseline'!$D$1:$O$258,9,FALSE)),"",(VLOOKUP($E127,'D-1 Off-Site Habitat Baseline'!$D$1:$O$258,9,FALSE))))</f>
        <v/>
      </c>
      <c r="L127" s="295" t="str">
        <f>IF(E127="","",IF(ISNA(VLOOKUP($E127,'D-1 Off-Site Habitat Baseline'!$D$1:$O$258,11,FALSE)),"",(VLOOKUP($E127,'D-1 Off-Site Habitat Baseline'!$D$1:$O$258,11,FALSE))))</f>
        <v/>
      </c>
      <c r="M127" s="295" t="str">
        <f>IF(E127="","",IF(ISNA(VLOOKUP($E127,'D-1 Off-Site Habitat Baseline'!$D$1:$O$258,12,FALSE)),"",(VLOOKUP($E127,'D-1 Off-Site Habitat Baseline'!$D$1:$O$258,12,FALSE))))</f>
        <v/>
      </c>
      <c r="N127" s="295" t="str">
        <f>IF(E127="","",IF(ISNA(VLOOKUP($E127,'D-1 Off-Site Habitat Baseline'!$D$1:$AA$258,17,FALSE)),"",(VLOOKUP($E127,'D-1 Off-Site Habitat Baseline'!$D$1:$AA$258,17,FALSE))))</f>
        <v/>
      </c>
      <c r="O127" s="299" t="str">
        <f>IF(E127="","",IF(ISNA(VLOOKUP($E127,'D-1 Off-Site Habitat Baseline'!$D$1:$AA$258,13,FALSE)),"",(VLOOKUP($E127,'D-1 Off-Site Habitat Baseline'!$D$1:$AA$258,13,FALSE))))</f>
        <v/>
      </c>
      <c r="P127" s="148" t="str">
        <f>IFERROR(INDEX('G-1 All Habitats'!$AG$49:$AG$63,MATCH(Q127,'G-1 All Habitats'!$AF$27:$AF$41,0)),"")</f>
        <v/>
      </c>
      <c r="Q127" s="149" t="str">
        <f t="shared" si="13"/>
        <v/>
      </c>
      <c r="R127" s="150"/>
      <c r="S127" s="151" t="str">
        <f>IFERROR(INDEX('G-1 All Habitats'!$B$3:$B$135,MATCH(R127,'G-1 All Habitats'!$A$3:$A$135,0)),"")</f>
        <v/>
      </c>
      <c r="T127" s="283" t="str">
        <f t="shared" si="14"/>
        <v/>
      </c>
      <c r="U127" s="276" t="str">
        <f t="shared" si="15"/>
        <v/>
      </c>
      <c r="V127" s="298" t="str">
        <f t="shared" si="11"/>
        <v/>
      </c>
      <c r="W127" s="295" t="str">
        <f>IF(S127="","",VLOOKUP(S127,'G-1 All Habitats'!$B$2:$M$135,10,FALSE))</f>
        <v/>
      </c>
      <c r="X127" s="295" t="str">
        <f>IFERROR(VLOOKUP(W127,'G-1 All Habitats'!$V$3:$W$7,2,FALSE),"")</f>
        <v/>
      </c>
      <c r="Y127" s="138"/>
      <c r="Z127" s="299" t="str">
        <f>IFERROR(INDEX('G-8 Condition Look up'!$A$3:$H$135,MATCH(S127,'G-8 Condition Look up'!$A$3:$A$135,0),MATCH(Y127,'G-8 Condition Look up'!$A$3:$H$3,0)),"")</f>
        <v/>
      </c>
      <c r="AA127" s="101"/>
      <c r="AB127" s="314" t="str">
        <f>IF(AA127="","",IF(VLOOKUP(AA127,'G-3 Multipliers'!$L$3:$N$6,2,FALSE)=0,"Spatial Data Missing ⚠",VLOOKUP(AA127,'G-3 Multipliers'!$L$3:$N$6,2,FALSE)))</f>
        <v/>
      </c>
      <c r="AC127" s="299" t="str">
        <f>IF(AA127="","",IF(VLOOKUP(AA127,'G-3 Multipliers'!$L$3:$N$6,3,FALSE)=0,"Spatial Data Missing ⚠",VLOOKUP(AA127,'G-3 Multipliers'!$L$3:$N$6,3,FALSE)))</f>
        <v/>
      </c>
      <c r="AD127" s="311" t="str">
        <f t="shared" si="12"/>
        <v/>
      </c>
      <c r="AE127" s="138"/>
      <c r="AF127" s="138"/>
      <c r="AG127" s="295" t="str">
        <f t="shared" si="16"/>
        <v/>
      </c>
      <c r="AH127" s="296" t="str">
        <f t="shared" si="17"/>
        <v/>
      </c>
      <c r="AI127" s="300" t="str">
        <f>IF(AH127="Check Data ⚠","Check Data ⚠",IFERROR(VLOOKUP(AH127,'G-4 Temporal multipliers'!$A$4:$C$36,3,FALSE),""))</f>
        <v/>
      </c>
      <c r="AJ127" s="311" t="str">
        <f>IF(S127="","",VLOOKUP(S127,'G-3 Multipliers'!$A$2:$E$134,4,FALSE))</f>
        <v/>
      </c>
      <c r="AK127" s="295" t="str">
        <f t="shared" si="18"/>
        <v/>
      </c>
      <c r="AL127" s="295" t="str">
        <f t="shared" si="19"/>
        <v/>
      </c>
      <c r="AM127" s="299" t="str">
        <f>IFERROR(IF(F127="","",IF(AH127="Check Data ⚠","Check Data ⚠",VLOOKUP(AL127,'G-3 Multipliers'!$P$2:$Q$6,2,FALSE))),"")</f>
        <v/>
      </c>
      <c r="AN127" s="712" t="str">
        <f>IF(E127="","",IF(ISNA(VLOOKUP($E127,'D-1 Off-Site Habitat Baseline'!$D$1:$Z$258,15,FALSE)),"",(VLOOKUP($E127,'D-1 Off-Site Habitat Baseline'!$D$1:$Z$258,15,FALSE))))</f>
        <v/>
      </c>
      <c r="AO127" s="329" t="str">
        <f>IF(AN127="","",IF(VLOOKUP(AN127,'G-3 Multipliers'!$S$3:$T$10,2,FALSE)=0,"Spatial Data Missing ⚠",VLOOKUP(AN127,'G-3 Multipliers'!$S$3:$T$10,2,FALSE)))</f>
        <v/>
      </c>
      <c r="AP127" s="289" t="str">
        <f t="shared" si="20"/>
        <v/>
      </c>
      <c r="AQ127" s="289" t="str">
        <f t="shared" si="21"/>
        <v/>
      </c>
      <c r="AR127" s="105"/>
      <c r="AS127" s="138"/>
      <c r="AT127" s="104"/>
      <c r="AU127" s="104"/>
      <c r="AY127" s="30" t="str">
        <f>IF(E127="","",IF(ISNA(VLOOKUP($E127,'D-1 Off-Site Habitat Baseline'!$D$1:$AV$258,4,FALSE)),"",(VLOOKUP($E127,'D-1 Off-Site Habitat Baseline'!$D$1:$AV$258,4,FALSE))))</f>
        <v/>
      </c>
    </row>
    <row r="128" spans="1:51" ht="14">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319" t="str">
        <f>'D-1 Off-Site Habitat Baseline'!AP127</f>
        <v/>
      </c>
      <c r="F128" s="283" t="str">
        <f>IF(E128="","",IF(ISNA(VLOOKUP($E128,'D-1 Off-Site Habitat Baseline'!$D$1:$ZZ$258,45,FALSE)),"",(VLOOKUP($E128,'D-1 Off-Site Habitat Baseline'!$D$1:$ZZ$258,45,FALSE))))</f>
        <v/>
      </c>
      <c r="G128" s="295" t="str">
        <f>IF(E128="","",IF(ISNA(VLOOKUP($E128,'D-1 Off-Site Habitat Baseline'!$D$1:$O$258,5,FALSE)),"",(VLOOKUP($E128,'D-1 Off-Site Habitat Baseline'!$D$1:$O$258,5,FALSE))))</f>
        <v/>
      </c>
      <c r="H128" s="295" t="str">
        <f>IF(E128="","",IF(ISNA(VLOOKUP($E128,'D-1 Off-Site Habitat Baseline'!$D$1:$O$258,6,FALSE)),"",(VLOOKUP($E128,'D-1 Off-Site Habitat Baseline'!$D$1:$O$258,6,FALSE))))</f>
        <v/>
      </c>
      <c r="I128" s="295" t="str">
        <f>IF(E128="","",IF(ISNA(VLOOKUP($E128,'D-1 Off-Site Habitat Baseline'!$D$1:$O$258,7,FALSE)),"",(VLOOKUP($E128,'D-1 Off-Site Habitat Baseline'!$D$1:$O$258,7,FALSE))))</f>
        <v/>
      </c>
      <c r="J128" s="295" t="str">
        <f>IF(E128="","",IF(ISNA(VLOOKUP($E128,'D-1 Off-Site Habitat Baseline'!$D$1:$O$258,8,FALSE)),"",(VLOOKUP($E128,'D-1 Off-Site Habitat Baseline'!$D$1:$O$258,8,FALSE))))</f>
        <v/>
      </c>
      <c r="K128" s="295" t="str">
        <f>IF(E128="","",IF(ISNA(VLOOKUP($E128,'D-1 Off-Site Habitat Baseline'!$D$1:$O$258,9,FALSE)),"",(VLOOKUP($E128,'D-1 Off-Site Habitat Baseline'!$D$1:$O$258,9,FALSE))))</f>
        <v/>
      </c>
      <c r="L128" s="295" t="str">
        <f>IF(E128="","",IF(ISNA(VLOOKUP($E128,'D-1 Off-Site Habitat Baseline'!$D$1:$O$258,11,FALSE)),"",(VLOOKUP($E128,'D-1 Off-Site Habitat Baseline'!$D$1:$O$258,11,FALSE))))</f>
        <v/>
      </c>
      <c r="M128" s="295" t="str">
        <f>IF(E128="","",IF(ISNA(VLOOKUP($E128,'D-1 Off-Site Habitat Baseline'!$D$1:$O$258,12,FALSE)),"",(VLOOKUP($E128,'D-1 Off-Site Habitat Baseline'!$D$1:$O$258,12,FALSE))))</f>
        <v/>
      </c>
      <c r="N128" s="295" t="str">
        <f>IF(E128="","",IF(ISNA(VLOOKUP($E128,'D-1 Off-Site Habitat Baseline'!$D$1:$AA$258,17,FALSE)),"",(VLOOKUP($E128,'D-1 Off-Site Habitat Baseline'!$D$1:$AA$258,17,FALSE))))</f>
        <v/>
      </c>
      <c r="O128" s="299" t="str">
        <f>IF(E128="","",IF(ISNA(VLOOKUP($E128,'D-1 Off-Site Habitat Baseline'!$D$1:$AA$258,13,FALSE)),"",(VLOOKUP($E128,'D-1 Off-Site Habitat Baseline'!$D$1:$AA$258,13,FALSE))))</f>
        <v/>
      </c>
      <c r="P128" s="148" t="str">
        <f>IFERROR(INDEX('G-1 All Habitats'!$AG$49:$AG$63,MATCH(Q128,'G-1 All Habitats'!$AF$27:$AF$41,0)),"")</f>
        <v/>
      </c>
      <c r="Q128" s="149" t="str">
        <f t="shared" si="13"/>
        <v/>
      </c>
      <c r="R128" s="150"/>
      <c r="S128" s="151" t="str">
        <f>IFERROR(INDEX('G-1 All Habitats'!$B$3:$B$135,MATCH(R128,'G-1 All Habitats'!$A$3:$A$135,0)),"")</f>
        <v/>
      </c>
      <c r="T128" s="283" t="str">
        <f t="shared" si="14"/>
        <v/>
      </c>
      <c r="U128" s="276" t="str">
        <f t="shared" si="15"/>
        <v/>
      </c>
      <c r="V128" s="298" t="str">
        <f t="shared" si="11"/>
        <v/>
      </c>
      <c r="W128" s="295" t="str">
        <f>IF(S128="","",VLOOKUP(S128,'G-1 All Habitats'!$B$2:$M$135,10,FALSE))</f>
        <v/>
      </c>
      <c r="X128" s="295" t="str">
        <f>IFERROR(VLOOKUP(W128,'G-1 All Habitats'!$V$3:$W$7,2,FALSE),"")</f>
        <v/>
      </c>
      <c r="Y128" s="138"/>
      <c r="Z128" s="299" t="str">
        <f>IFERROR(INDEX('G-8 Condition Look up'!$A$3:$H$135,MATCH(S128,'G-8 Condition Look up'!$A$3:$A$135,0),MATCH(Y128,'G-8 Condition Look up'!$A$3:$H$3,0)),"")</f>
        <v/>
      </c>
      <c r="AA128" s="101"/>
      <c r="AB128" s="314" t="str">
        <f>IF(AA128="","",IF(VLOOKUP(AA128,'G-3 Multipliers'!$L$3:$N$6,2,FALSE)=0,"Spatial Data Missing ⚠",VLOOKUP(AA128,'G-3 Multipliers'!$L$3:$N$6,2,FALSE)))</f>
        <v/>
      </c>
      <c r="AC128" s="299" t="str">
        <f>IF(AA128="","",IF(VLOOKUP(AA128,'G-3 Multipliers'!$L$3:$N$6,3,FALSE)=0,"Spatial Data Missing ⚠",VLOOKUP(AA128,'G-3 Multipliers'!$L$3:$N$6,3,FALSE)))</f>
        <v/>
      </c>
      <c r="AD128" s="311" t="str">
        <f t="shared" si="12"/>
        <v/>
      </c>
      <c r="AE128" s="138"/>
      <c r="AF128" s="138"/>
      <c r="AG128" s="295" t="str">
        <f t="shared" si="16"/>
        <v/>
      </c>
      <c r="AH128" s="296" t="str">
        <f t="shared" si="17"/>
        <v/>
      </c>
      <c r="AI128" s="300" t="str">
        <f>IF(AH128="Check Data ⚠","Check Data ⚠",IFERROR(VLOOKUP(AH128,'G-4 Temporal multipliers'!$A$4:$C$36,3,FALSE),""))</f>
        <v/>
      </c>
      <c r="AJ128" s="311" t="str">
        <f>IF(S128="","",VLOOKUP(S128,'G-3 Multipliers'!$A$2:$E$134,4,FALSE))</f>
        <v/>
      </c>
      <c r="AK128" s="295" t="str">
        <f t="shared" si="18"/>
        <v/>
      </c>
      <c r="AL128" s="295" t="str">
        <f t="shared" si="19"/>
        <v/>
      </c>
      <c r="AM128" s="299" t="str">
        <f>IFERROR(IF(F128="","",IF(AH128="Check Data ⚠","Check Data ⚠",VLOOKUP(AL128,'G-3 Multipliers'!$P$2:$Q$6,2,FALSE))),"")</f>
        <v/>
      </c>
      <c r="AN128" s="712" t="str">
        <f>IF(E128="","",IF(ISNA(VLOOKUP($E128,'D-1 Off-Site Habitat Baseline'!$D$1:$Z$258,15,FALSE)),"",(VLOOKUP($E128,'D-1 Off-Site Habitat Baseline'!$D$1:$Z$258,15,FALSE))))</f>
        <v/>
      </c>
      <c r="AO128" s="329" t="str">
        <f>IF(AN128="","",IF(VLOOKUP(AN128,'G-3 Multipliers'!$S$3:$T$10,2,FALSE)=0,"Spatial Data Missing ⚠",VLOOKUP(AN128,'G-3 Multipliers'!$S$3:$T$10,2,FALSE)))</f>
        <v/>
      </c>
      <c r="AP128" s="289" t="str">
        <f t="shared" si="20"/>
        <v/>
      </c>
      <c r="AQ128" s="289" t="str">
        <f t="shared" si="21"/>
        <v/>
      </c>
      <c r="AR128" s="105"/>
      <c r="AS128" s="138"/>
      <c r="AT128" s="104"/>
      <c r="AU128" s="104"/>
      <c r="AY128" s="30" t="str">
        <f>IF(E128="","",IF(ISNA(VLOOKUP($E128,'D-1 Off-Site Habitat Baseline'!$D$1:$AV$258,4,FALSE)),"",(VLOOKUP($E128,'D-1 Off-Site Habitat Baseline'!$D$1:$AV$258,4,FALSE))))</f>
        <v/>
      </c>
    </row>
    <row r="129" spans="1:51" ht="14">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319" t="str">
        <f>'D-1 Off-Site Habitat Baseline'!AP128</f>
        <v/>
      </c>
      <c r="F129" s="283" t="str">
        <f>IF(E129="","",IF(ISNA(VLOOKUP($E129,'D-1 Off-Site Habitat Baseline'!$D$1:$ZZ$258,45,FALSE)),"",(VLOOKUP($E129,'D-1 Off-Site Habitat Baseline'!$D$1:$ZZ$258,45,FALSE))))</f>
        <v/>
      </c>
      <c r="G129" s="295" t="str">
        <f>IF(E129="","",IF(ISNA(VLOOKUP($E129,'D-1 Off-Site Habitat Baseline'!$D$1:$O$258,5,FALSE)),"",(VLOOKUP($E129,'D-1 Off-Site Habitat Baseline'!$D$1:$O$258,5,FALSE))))</f>
        <v/>
      </c>
      <c r="H129" s="295" t="str">
        <f>IF(E129="","",IF(ISNA(VLOOKUP($E129,'D-1 Off-Site Habitat Baseline'!$D$1:$O$258,6,FALSE)),"",(VLOOKUP($E129,'D-1 Off-Site Habitat Baseline'!$D$1:$O$258,6,FALSE))))</f>
        <v/>
      </c>
      <c r="I129" s="295" t="str">
        <f>IF(E129="","",IF(ISNA(VLOOKUP($E129,'D-1 Off-Site Habitat Baseline'!$D$1:$O$258,7,FALSE)),"",(VLOOKUP($E129,'D-1 Off-Site Habitat Baseline'!$D$1:$O$258,7,FALSE))))</f>
        <v/>
      </c>
      <c r="J129" s="295" t="str">
        <f>IF(E129="","",IF(ISNA(VLOOKUP($E129,'D-1 Off-Site Habitat Baseline'!$D$1:$O$258,8,FALSE)),"",(VLOOKUP($E129,'D-1 Off-Site Habitat Baseline'!$D$1:$O$258,8,FALSE))))</f>
        <v/>
      </c>
      <c r="K129" s="295" t="str">
        <f>IF(E129="","",IF(ISNA(VLOOKUP($E129,'D-1 Off-Site Habitat Baseline'!$D$1:$O$258,9,FALSE)),"",(VLOOKUP($E129,'D-1 Off-Site Habitat Baseline'!$D$1:$O$258,9,FALSE))))</f>
        <v/>
      </c>
      <c r="L129" s="295" t="str">
        <f>IF(E129="","",IF(ISNA(VLOOKUP($E129,'D-1 Off-Site Habitat Baseline'!$D$1:$O$258,11,FALSE)),"",(VLOOKUP($E129,'D-1 Off-Site Habitat Baseline'!$D$1:$O$258,11,FALSE))))</f>
        <v/>
      </c>
      <c r="M129" s="295" t="str">
        <f>IF(E129="","",IF(ISNA(VLOOKUP($E129,'D-1 Off-Site Habitat Baseline'!$D$1:$O$258,12,FALSE)),"",(VLOOKUP($E129,'D-1 Off-Site Habitat Baseline'!$D$1:$O$258,12,FALSE))))</f>
        <v/>
      </c>
      <c r="N129" s="295" t="str">
        <f>IF(E129="","",IF(ISNA(VLOOKUP($E129,'D-1 Off-Site Habitat Baseline'!$D$1:$AA$258,17,FALSE)),"",(VLOOKUP($E129,'D-1 Off-Site Habitat Baseline'!$D$1:$AA$258,17,FALSE))))</f>
        <v/>
      </c>
      <c r="O129" s="299" t="str">
        <f>IF(E129="","",IF(ISNA(VLOOKUP($E129,'D-1 Off-Site Habitat Baseline'!$D$1:$AA$258,13,FALSE)),"",(VLOOKUP($E129,'D-1 Off-Site Habitat Baseline'!$D$1:$AA$258,13,FALSE))))</f>
        <v/>
      </c>
      <c r="P129" s="148" t="str">
        <f>IFERROR(INDEX('G-1 All Habitats'!$AG$49:$AG$63,MATCH(Q129,'G-1 All Habitats'!$AF$27:$AF$41,0)),"")</f>
        <v/>
      </c>
      <c r="Q129" s="149" t="str">
        <f t="shared" si="13"/>
        <v/>
      </c>
      <c r="R129" s="150"/>
      <c r="S129" s="151" t="str">
        <f>IFERROR(INDEX('G-1 All Habitats'!$B$3:$B$135,MATCH(R129,'G-1 All Habitats'!$A$3:$A$135,0)),"")</f>
        <v/>
      </c>
      <c r="T129" s="283" t="str">
        <f t="shared" si="14"/>
        <v/>
      </c>
      <c r="U129" s="276" t="str">
        <f t="shared" si="15"/>
        <v/>
      </c>
      <c r="V129" s="298" t="str">
        <f t="shared" si="11"/>
        <v/>
      </c>
      <c r="W129" s="295" t="str">
        <f>IF(S129="","",VLOOKUP(S129,'G-1 All Habitats'!$B$2:$M$135,10,FALSE))</f>
        <v/>
      </c>
      <c r="X129" s="295" t="str">
        <f>IFERROR(VLOOKUP(W129,'G-1 All Habitats'!$V$3:$W$7,2,FALSE),"")</f>
        <v/>
      </c>
      <c r="Y129" s="138"/>
      <c r="Z129" s="299" t="str">
        <f>IFERROR(INDEX('G-8 Condition Look up'!$A$3:$H$135,MATCH(S129,'G-8 Condition Look up'!$A$3:$A$135,0),MATCH(Y129,'G-8 Condition Look up'!$A$3:$H$3,0)),"")</f>
        <v/>
      </c>
      <c r="AA129" s="101"/>
      <c r="AB129" s="314" t="str">
        <f>IF(AA129="","",IF(VLOOKUP(AA129,'G-3 Multipliers'!$L$3:$N$6,2,FALSE)=0,"Spatial Data Missing ⚠",VLOOKUP(AA129,'G-3 Multipliers'!$L$3:$N$6,2,FALSE)))</f>
        <v/>
      </c>
      <c r="AC129" s="299" t="str">
        <f>IF(AA129="","",IF(VLOOKUP(AA129,'G-3 Multipliers'!$L$3:$N$6,3,FALSE)=0,"Spatial Data Missing ⚠",VLOOKUP(AA129,'G-3 Multipliers'!$L$3:$N$6,3,FALSE)))</f>
        <v/>
      </c>
      <c r="AD129" s="311" t="str">
        <f t="shared" si="12"/>
        <v/>
      </c>
      <c r="AE129" s="138"/>
      <c r="AF129" s="138"/>
      <c r="AG129" s="295" t="str">
        <f t="shared" si="16"/>
        <v/>
      </c>
      <c r="AH129" s="296" t="str">
        <f t="shared" si="17"/>
        <v/>
      </c>
      <c r="AI129" s="300" t="str">
        <f>IF(AH129="Check Data ⚠","Check Data ⚠",IFERROR(VLOOKUP(AH129,'G-4 Temporal multipliers'!$A$4:$C$36,3,FALSE),""))</f>
        <v/>
      </c>
      <c r="AJ129" s="311" t="str">
        <f>IF(S129="","",VLOOKUP(S129,'G-3 Multipliers'!$A$2:$E$134,4,FALSE))</f>
        <v/>
      </c>
      <c r="AK129" s="295" t="str">
        <f t="shared" si="18"/>
        <v/>
      </c>
      <c r="AL129" s="295" t="str">
        <f t="shared" si="19"/>
        <v/>
      </c>
      <c r="AM129" s="299" t="str">
        <f>IFERROR(IF(F129="","",IF(AH129="Check Data ⚠","Check Data ⚠",VLOOKUP(AL129,'G-3 Multipliers'!$P$2:$Q$6,2,FALSE))),"")</f>
        <v/>
      </c>
      <c r="AN129" s="712" t="str">
        <f>IF(E129="","",IF(ISNA(VLOOKUP($E129,'D-1 Off-Site Habitat Baseline'!$D$1:$Z$258,15,FALSE)),"",(VLOOKUP($E129,'D-1 Off-Site Habitat Baseline'!$D$1:$Z$258,15,FALSE))))</f>
        <v/>
      </c>
      <c r="AO129" s="329" t="str">
        <f>IF(AN129="","",IF(VLOOKUP(AN129,'G-3 Multipliers'!$S$3:$T$10,2,FALSE)=0,"Spatial Data Missing ⚠",VLOOKUP(AN129,'G-3 Multipliers'!$S$3:$T$10,2,FALSE)))</f>
        <v/>
      </c>
      <c r="AP129" s="289" t="str">
        <f t="shared" si="20"/>
        <v/>
      </c>
      <c r="AQ129" s="289" t="str">
        <f t="shared" si="21"/>
        <v/>
      </c>
      <c r="AR129" s="105"/>
      <c r="AS129" s="138"/>
      <c r="AT129" s="104"/>
      <c r="AU129" s="104"/>
      <c r="AY129" s="30" t="str">
        <f>IF(E129="","",IF(ISNA(VLOOKUP($E129,'D-1 Off-Site Habitat Baseline'!$D$1:$AV$258,4,FALSE)),"",(VLOOKUP($E129,'D-1 Off-Site Habitat Baseline'!$D$1:$AV$258,4,FALSE))))</f>
        <v/>
      </c>
    </row>
    <row r="130" spans="1:51" ht="14">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319" t="str">
        <f>'D-1 Off-Site Habitat Baseline'!AP129</f>
        <v/>
      </c>
      <c r="F130" s="283" t="str">
        <f>IF(E130="","",IF(ISNA(VLOOKUP($E130,'D-1 Off-Site Habitat Baseline'!$D$1:$ZZ$258,45,FALSE)),"",(VLOOKUP($E130,'D-1 Off-Site Habitat Baseline'!$D$1:$ZZ$258,45,FALSE))))</f>
        <v/>
      </c>
      <c r="G130" s="295" t="str">
        <f>IF(E130="","",IF(ISNA(VLOOKUP($E130,'D-1 Off-Site Habitat Baseline'!$D$1:$O$258,5,FALSE)),"",(VLOOKUP($E130,'D-1 Off-Site Habitat Baseline'!$D$1:$O$258,5,FALSE))))</f>
        <v/>
      </c>
      <c r="H130" s="295" t="str">
        <f>IF(E130="","",IF(ISNA(VLOOKUP($E130,'D-1 Off-Site Habitat Baseline'!$D$1:$O$258,6,FALSE)),"",(VLOOKUP($E130,'D-1 Off-Site Habitat Baseline'!$D$1:$O$258,6,FALSE))))</f>
        <v/>
      </c>
      <c r="I130" s="295" t="str">
        <f>IF(E130="","",IF(ISNA(VLOOKUP($E130,'D-1 Off-Site Habitat Baseline'!$D$1:$O$258,7,FALSE)),"",(VLOOKUP($E130,'D-1 Off-Site Habitat Baseline'!$D$1:$O$258,7,FALSE))))</f>
        <v/>
      </c>
      <c r="J130" s="295" t="str">
        <f>IF(E130="","",IF(ISNA(VLOOKUP($E130,'D-1 Off-Site Habitat Baseline'!$D$1:$O$258,8,FALSE)),"",(VLOOKUP($E130,'D-1 Off-Site Habitat Baseline'!$D$1:$O$258,8,FALSE))))</f>
        <v/>
      </c>
      <c r="K130" s="295" t="str">
        <f>IF(E130="","",IF(ISNA(VLOOKUP($E130,'D-1 Off-Site Habitat Baseline'!$D$1:$O$258,9,FALSE)),"",(VLOOKUP($E130,'D-1 Off-Site Habitat Baseline'!$D$1:$O$258,9,FALSE))))</f>
        <v/>
      </c>
      <c r="L130" s="295" t="str">
        <f>IF(E130="","",IF(ISNA(VLOOKUP($E130,'D-1 Off-Site Habitat Baseline'!$D$1:$O$258,11,FALSE)),"",(VLOOKUP($E130,'D-1 Off-Site Habitat Baseline'!$D$1:$O$258,11,FALSE))))</f>
        <v/>
      </c>
      <c r="M130" s="295" t="str">
        <f>IF(E130="","",IF(ISNA(VLOOKUP($E130,'D-1 Off-Site Habitat Baseline'!$D$1:$O$258,12,FALSE)),"",(VLOOKUP($E130,'D-1 Off-Site Habitat Baseline'!$D$1:$O$258,12,FALSE))))</f>
        <v/>
      </c>
      <c r="N130" s="295" t="str">
        <f>IF(E130="","",IF(ISNA(VLOOKUP($E130,'D-1 Off-Site Habitat Baseline'!$D$1:$AA$258,17,FALSE)),"",(VLOOKUP($E130,'D-1 Off-Site Habitat Baseline'!$D$1:$AA$258,17,FALSE))))</f>
        <v/>
      </c>
      <c r="O130" s="299" t="str">
        <f>IF(E130="","",IF(ISNA(VLOOKUP($E130,'D-1 Off-Site Habitat Baseline'!$D$1:$AA$258,13,FALSE)),"",(VLOOKUP($E130,'D-1 Off-Site Habitat Baseline'!$D$1:$AA$258,13,FALSE))))</f>
        <v/>
      </c>
      <c r="P130" s="148" t="str">
        <f>IFERROR(INDEX('G-1 All Habitats'!$AG$49:$AG$63,MATCH(Q130,'G-1 All Habitats'!$AF$27:$AF$41,0)),"")</f>
        <v/>
      </c>
      <c r="Q130" s="149" t="str">
        <f t="shared" si="13"/>
        <v/>
      </c>
      <c r="R130" s="150"/>
      <c r="S130" s="151" t="str">
        <f>IFERROR(INDEX('G-1 All Habitats'!$B$3:$B$135,MATCH(R130,'G-1 All Habitats'!$A$3:$A$135,0)),"")</f>
        <v/>
      </c>
      <c r="T130" s="283" t="str">
        <f t="shared" si="14"/>
        <v/>
      </c>
      <c r="U130" s="276" t="str">
        <f t="shared" si="15"/>
        <v/>
      </c>
      <c r="V130" s="298" t="str">
        <f t="shared" si="11"/>
        <v/>
      </c>
      <c r="W130" s="295" t="str">
        <f>IF(S130="","",VLOOKUP(S130,'G-1 All Habitats'!$B$2:$M$135,10,FALSE))</f>
        <v/>
      </c>
      <c r="X130" s="295" t="str">
        <f>IFERROR(VLOOKUP(W130,'G-1 All Habitats'!$V$3:$W$7,2,FALSE),"")</f>
        <v/>
      </c>
      <c r="Y130" s="138"/>
      <c r="Z130" s="299" t="str">
        <f>IFERROR(INDEX('G-8 Condition Look up'!$A$3:$H$135,MATCH(S130,'G-8 Condition Look up'!$A$3:$A$135,0),MATCH(Y130,'G-8 Condition Look up'!$A$3:$H$3,0)),"")</f>
        <v/>
      </c>
      <c r="AA130" s="101"/>
      <c r="AB130" s="314" t="str">
        <f>IF(AA130="","",IF(VLOOKUP(AA130,'G-3 Multipliers'!$L$3:$N$6,2,FALSE)=0,"Spatial Data Missing ⚠",VLOOKUP(AA130,'G-3 Multipliers'!$L$3:$N$6,2,FALSE)))</f>
        <v/>
      </c>
      <c r="AC130" s="299" t="str">
        <f>IF(AA130="","",IF(VLOOKUP(AA130,'G-3 Multipliers'!$L$3:$N$6,3,FALSE)=0,"Spatial Data Missing ⚠",VLOOKUP(AA130,'G-3 Multipliers'!$L$3:$N$6,3,FALSE)))</f>
        <v/>
      </c>
      <c r="AD130" s="311" t="str">
        <f t="shared" si="12"/>
        <v/>
      </c>
      <c r="AE130" s="138"/>
      <c r="AF130" s="138"/>
      <c r="AG130" s="295" t="str">
        <f t="shared" si="16"/>
        <v/>
      </c>
      <c r="AH130" s="296" t="str">
        <f t="shared" si="17"/>
        <v/>
      </c>
      <c r="AI130" s="300" t="str">
        <f>IF(AH130="Check Data ⚠","Check Data ⚠",IFERROR(VLOOKUP(AH130,'G-4 Temporal multipliers'!$A$4:$C$36,3,FALSE),""))</f>
        <v/>
      </c>
      <c r="AJ130" s="311" t="str">
        <f>IF(S130="","",VLOOKUP(S130,'G-3 Multipliers'!$A$2:$E$134,4,FALSE))</f>
        <v/>
      </c>
      <c r="AK130" s="295" t="str">
        <f t="shared" si="18"/>
        <v/>
      </c>
      <c r="AL130" s="295" t="str">
        <f t="shared" si="19"/>
        <v/>
      </c>
      <c r="AM130" s="299" t="str">
        <f>IFERROR(IF(F130="","",IF(AH130="Check Data ⚠","Check Data ⚠",VLOOKUP(AL130,'G-3 Multipliers'!$P$2:$Q$6,2,FALSE))),"")</f>
        <v/>
      </c>
      <c r="AN130" s="712" t="str">
        <f>IF(E130="","",IF(ISNA(VLOOKUP($E130,'D-1 Off-Site Habitat Baseline'!$D$1:$Z$258,15,FALSE)),"",(VLOOKUP($E130,'D-1 Off-Site Habitat Baseline'!$D$1:$Z$258,15,FALSE))))</f>
        <v/>
      </c>
      <c r="AO130" s="329" t="str">
        <f>IF(AN130="","",IF(VLOOKUP(AN130,'G-3 Multipliers'!$S$3:$T$10,2,FALSE)=0,"Spatial Data Missing ⚠",VLOOKUP(AN130,'G-3 Multipliers'!$S$3:$T$10,2,FALSE)))</f>
        <v/>
      </c>
      <c r="AP130" s="289" t="str">
        <f t="shared" si="20"/>
        <v/>
      </c>
      <c r="AQ130" s="289" t="str">
        <f t="shared" si="21"/>
        <v/>
      </c>
      <c r="AR130" s="105"/>
      <c r="AS130" s="138"/>
      <c r="AT130" s="104"/>
      <c r="AU130" s="104"/>
      <c r="AY130" s="30" t="str">
        <f>IF(E130="","",IF(ISNA(VLOOKUP($E130,'D-1 Off-Site Habitat Baseline'!$D$1:$AV$258,4,FALSE)),"",(VLOOKUP($E130,'D-1 Off-Site Habitat Baseline'!$D$1:$AV$258,4,FALSE))))</f>
        <v/>
      </c>
    </row>
    <row r="131" spans="1:51" ht="14">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319" t="str">
        <f>'D-1 Off-Site Habitat Baseline'!AP130</f>
        <v/>
      </c>
      <c r="F131" s="283" t="str">
        <f>IF(E131="","",IF(ISNA(VLOOKUP($E131,'D-1 Off-Site Habitat Baseline'!$D$1:$ZZ$258,45,FALSE)),"",(VLOOKUP($E131,'D-1 Off-Site Habitat Baseline'!$D$1:$ZZ$258,45,FALSE))))</f>
        <v/>
      </c>
      <c r="G131" s="295" t="str">
        <f>IF(E131="","",IF(ISNA(VLOOKUP($E131,'D-1 Off-Site Habitat Baseline'!$D$1:$O$258,5,FALSE)),"",(VLOOKUP($E131,'D-1 Off-Site Habitat Baseline'!$D$1:$O$258,5,FALSE))))</f>
        <v/>
      </c>
      <c r="H131" s="295" t="str">
        <f>IF(E131="","",IF(ISNA(VLOOKUP($E131,'D-1 Off-Site Habitat Baseline'!$D$1:$O$258,6,FALSE)),"",(VLOOKUP($E131,'D-1 Off-Site Habitat Baseline'!$D$1:$O$258,6,FALSE))))</f>
        <v/>
      </c>
      <c r="I131" s="295" t="str">
        <f>IF(E131="","",IF(ISNA(VLOOKUP($E131,'D-1 Off-Site Habitat Baseline'!$D$1:$O$258,7,FALSE)),"",(VLOOKUP($E131,'D-1 Off-Site Habitat Baseline'!$D$1:$O$258,7,FALSE))))</f>
        <v/>
      </c>
      <c r="J131" s="295" t="str">
        <f>IF(E131="","",IF(ISNA(VLOOKUP($E131,'D-1 Off-Site Habitat Baseline'!$D$1:$O$258,8,FALSE)),"",(VLOOKUP($E131,'D-1 Off-Site Habitat Baseline'!$D$1:$O$258,8,FALSE))))</f>
        <v/>
      </c>
      <c r="K131" s="295" t="str">
        <f>IF(E131="","",IF(ISNA(VLOOKUP($E131,'D-1 Off-Site Habitat Baseline'!$D$1:$O$258,9,FALSE)),"",(VLOOKUP($E131,'D-1 Off-Site Habitat Baseline'!$D$1:$O$258,9,FALSE))))</f>
        <v/>
      </c>
      <c r="L131" s="295" t="str">
        <f>IF(E131="","",IF(ISNA(VLOOKUP($E131,'D-1 Off-Site Habitat Baseline'!$D$1:$O$258,11,FALSE)),"",(VLOOKUP($E131,'D-1 Off-Site Habitat Baseline'!$D$1:$O$258,11,FALSE))))</f>
        <v/>
      </c>
      <c r="M131" s="295" t="str">
        <f>IF(E131="","",IF(ISNA(VLOOKUP($E131,'D-1 Off-Site Habitat Baseline'!$D$1:$O$258,12,FALSE)),"",(VLOOKUP($E131,'D-1 Off-Site Habitat Baseline'!$D$1:$O$258,12,FALSE))))</f>
        <v/>
      </c>
      <c r="N131" s="295" t="str">
        <f>IF(E131="","",IF(ISNA(VLOOKUP($E131,'D-1 Off-Site Habitat Baseline'!$D$1:$AA$258,17,FALSE)),"",(VLOOKUP($E131,'D-1 Off-Site Habitat Baseline'!$D$1:$AA$258,17,FALSE))))</f>
        <v/>
      </c>
      <c r="O131" s="299" t="str">
        <f>IF(E131="","",IF(ISNA(VLOOKUP($E131,'D-1 Off-Site Habitat Baseline'!$D$1:$AA$258,13,FALSE)),"",(VLOOKUP($E131,'D-1 Off-Site Habitat Baseline'!$D$1:$AA$258,13,FALSE))))</f>
        <v/>
      </c>
      <c r="P131" s="148" t="str">
        <f>IFERROR(INDEX('G-1 All Habitats'!$AG$49:$AG$63,MATCH(Q131,'G-1 All Habitats'!$AF$27:$AF$41,0)),"")</f>
        <v/>
      </c>
      <c r="Q131" s="149" t="str">
        <f t="shared" si="13"/>
        <v/>
      </c>
      <c r="R131" s="150"/>
      <c r="S131" s="151" t="str">
        <f>IFERROR(INDEX('G-1 All Habitats'!$B$3:$B$135,MATCH(R131,'G-1 All Habitats'!$A$3:$A$135,0)),"")</f>
        <v/>
      </c>
      <c r="T131" s="283" t="str">
        <f t="shared" si="14"/>
        <v/>
      </c>
      <c r="U131" s="276" t="str">
        <f t="shared" si="15"/>
        <v/>
      </c>
      <c r="V131" s="298" t="str">
        <f t="shared" si="11"/>
        <v/>
      </c>
      <c r="W131" s="295" t="str">
        <f>IF(S131="","",VLOOKUP(S131,'G-1 All Habitats'!$B$2:$M$135,10,FALSE))</f>
        <v/>
      </c>
      <c r="X131" s="295" t="str">
        <f>IFERROR(VLOOKUP(W131,'G-1 All Habitats'!$V$3:$W$7,2,FALSE),"")</f>
        <v/>
      </c>
      <c r="Y131" s="138"/>
      <c r="Z131" s="299" t="str">
        <f>IFERROR(INDEX('G-8 Condition Look up'!$A$3:$H$135,MATCH(S131,'G-8 Condition Look up'!$A$3:$A$135,0),MATCH(Y131,'G-8 Condition Look up'!$A$3:$H$3,0)),"")</f>
        <v/>
      </c>
      <c r="AA131" s="101"/>
      <c r="AB131" s="314" t="str">
        <f>IF(AA131="","",IF(VLOOKUP(AA131,'G-3 Multipliers'!$L$3:$N$6,2,FALSE)=0,"Spatial Data Missing ⚠",VLOOKUP(AA131,'G-3 Multipliers'!$L$3:$N$6,2,FALSE)))</f>
        <v/>
      </c>
      <c r="AC131" s="299" t="str">
        <f>IF(AA131="","",IF(VLOOKUP(AA131,'G-3 Multipliers'!$L$3:$N$6,3,FALSE)=0,"Spatial Data Missing ⚠",VLOOKUP(AA131,'G-3 Multipliers'!$L$3:$N$6,3,FALSE)))</f>
        <v/>
      </c>
      <c r="AD131" s="311" t="str">
        <f t="shared" si="12"/>
        <v/>
      </c>
      <c r="AE131" s="138"/>
      <c r="AF131" s="138"/>
      <c r="AG131" s="295" t="str">
        <f t="shared" si="16"/>
        <v/>
      </c>
      <c r="AH131" s="296" t="str">
        <f t="shared" si="17"/>
        <v/>
      </c>
      <c r="AI131" s="300" t="str">
        <f>IF(AH131="Check Data ⚠","Check Data ⚠",IFERROR(VLOOKUP(AH131,'G-4 Temporal multipliers'!$A$4:$C$36,3,FALSE),""))</f>
        <v/>
      </c>
      <c r="AJ131" s="311" t="str">
        <f>IF(S131="","",VLOOKUP(S131,'G-3 Multipliers'!$A$2:$E$134,4,FALSE))</f>
        <v/>
      </c>
      <c r="AK131" s="295" t="str">
        <f t="shared" si="18"/>
        <v/>
      </c>
      <c r="AL131" s="295" t="str">
        <f t="shared" si="19"/>
        <v/>
      </c>
      <c r="AM131" s="299" t="str">
        <f>IFERROR(IF(F131="","",IF(AH131="Check Data ⚠","Check Data ⚠",VLOOKUP(AL131,'G-3 Multipliers'!$P$2:$Q$6,2,FALSE))),"")</f>
        <v/>
      </c>
      <c r="AN131" s="712" t="str">
        <f>IF(E131="","",IF(ISNA(VLOOKUP($E131,'D-1 Off-Site Habitat Baseline'!$D$1:$Z$258,15,FALSE)),"",(VLOOKUP($E131,'D-1 Off-Site Habitat Baseline'!$D$1:$Z$258,15,FALSE))))</f>
        <v/>
      </c>
      <c r="AO131" s="329" t="str">
        <f>IF(AN131="","",IF(VLOOKUP(AN131,'G-3 Multipliers'!$S$3:$T$10,2,FALSE)=0,"Spatial Data Missing ⚠",VLOOKUP(AN131,'G-3 Multipliers'!$S$3:$T$10,2,FALSE)))</f>
        <v/>
      </c>
      <c r="AP131" s="289" t="str">
        <f t="shared" si="20"/>
        <v/>
      </c>
      <c r="AQ131" s="289" t="str">
        <f t="shared" si="21"/>
        <v/>
      </c>
      <c r="AR131" s="105"/>
      <c r="AS131" s="138"/>
      <c r="AT131" s="104"/>
      <c r="AU131" s="104"/>
      <c r="AY131" s="30" t="str">
        <f>IF(E131="","",IF(ISNA(VLOOKUP($E131,'D-1 Off-Site Habitat Baseline'!$D$1:$AV$258,4,FALSE)),"",(VLOOKUP($E131,'D-1 Off-Site Habitat Baseline'!$D$1:$AV$258,4,FALSE))))</f>
        <v/>
      </c>
    </row>
    <row r="132" spans="1:51" ht="14">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319" t="str">
        <f>'D-1 Off-Site Habitat Baseline'!AP131</f>
        <v/>
      </c>
      <c r="F132" s="283" t="str">
        <f>IF(E132="","",IF(ISNA(VLOOKUP($E132,'D-1 Off-Site Habitat Baseline'!$D$1:$ZZ$258,45,FALSE)),"",(VLOOKUP($E132,'D-1 Off-Site Habitat Baseline'!$D$1:$ZZ$258,45,FALSE))))</f>
        <v/>
      </c>
      <c r="G132" s="295" t="str">
        <f>IF(E132="","",IF(ISNA(VLOOKUP($E132,'D-1 Off-Site Habitat Baseline'!$D$1:$O$258,5,FALSE)),"",(VLOOKUP($E132,'D-1 Off-Site Habitat Baseline'!$D$1:$O$258,5,FALSE))))</f>
        <v/>
      </c>
      <c r="H132" s="295" t="str">
        <f>IF(E132="","",IF(ISNA(VLOOKUP($E132,'D-1 Off-Site Habitat Baseline'!$D$1:$O$258,6,FALSE)),"",(VLOOKUP($E132,'D-1 Off-Site Habitat Baseline'!$D$1:$O$258,6,FALSE))))</f>
        <v/>
      </c>
      <c r="I132" s="295" t="str">
        <f>IF(E132="","",IF(ISNA(VLOOKUP($E132,'D-1 Off-Site Habitat Baseline'!$D$1:$O$258,7,FALSE)),"",(VLOOKUP($E132,'D-1 Off-Site Habitat Baseline'!$D$1:$O$258,7,FALSE))))</f>
        <v/>
      </c>
      <c r="J132" s="295" t="str">
        <f>IF(E132="","",IF(ISNA(VLOOKUP($E132,'D-1 Off-Site Habitat Baseline'!$D$1:$O$258,8,FALSE)),"",(VLOOKUP($E132,'D-1 Off-Site Habitat Baseline'!$D$1:$O$258,8,FALSE))))</f>
        <v/>
      </c>
      <c r="K132" s="295" t="str">
        <f>IF(E132="","",IF(ISNA(VLOOKUP($E132,'D-1 Off-Site Habitat Baseline'!$D$1:$O$258,9,FALSE)),"",(VLOOKUP($E132,'D-1 Off-Site Habitat Baseline'!$D$1:$O$258,9,FALSE))))</f>
        <v/>
      </c>
      <c r="L132" s="295" t="str">
        <f>IF(E132="","",IF(ISNA(VLOOKUP($E132,'D-1 Off-Site Habitat Baseline'!$D$1:$O$258,11,FALSE)),"",(VLOOKUP($E132,'D-1 Off-Site Habitat Baseline'!$D$1:$O$258,11,FALSE))))</f>
        <v/>
      </c>
      <c r="M132" s="295" t="str">
        <f>IF(E132="","",IF(ISNA(VLOOKUP($E132,'D-1 Off-Site Habitat Baseline'!$D$1:$O$258,12,FALSE)),"",(VLOOKUP($E132,'D-1 Off-Site Habitat Baseline'!$D$1:$O$258,12,FALSE))))</f>
        <v/>
      </c>
      <c r="N132" s="295" t="str">
        <f>IF(E132="","",IF(ISNA(VLOOKUP($E132,'D-1 Off-Site Habitat Baseline'!$D$1:$AA$258,17,FALSE)),"",(VLOOKUP($E132,'D-1 Off-Site Habitat Baseline'!$D$1:$AA$258,17,FALSE))))</f>
        <v/>
      </c>
      <c r="O132" s="299" t="str">
        <f>IF(E132="","",IF(ISNA(VLOOKUP($E132,'D-1 Off-Site Habitat Baseline'!$D$1:$AA$258,13,FALSE)),"",(VLOOKUP($E132,'D-1 Off-Site Habitat Baseline'!$D$1:$AA$258,13,FALSE))))</f>
        <v/>
      </c>
      <c r="P132" s="148" t="str">
        <f>IFERROR(INDEX('G-1 All Habitats'!$AG$49:$AG$63,MATCH(Q132,'G-1 All Habitats'!$AF$27:$AF$41,0)),"")</f>
        <v/>
      </c>
      <c r="Q132" s="149" t="str">
        <f t="shared" si="13"/>
        <v/>
      </c>
      <c r="R132" s="150"/>
      <c r="S132" s="151" t="str">
        <f>IFERROR(INDEX('G-1 All Habitats'!$B$3:$B$135,MATCH(R132,'G-1 All Habitats'!$A$3:$A$135,0)),"")</f>
        <v/>
      </c>
      <c r="T132" s="283" t="str">
        <f t="shared" si="14"/>
        <v/>
      </c>
      <c r="U132" s="276" t="str">
        <f t="shared" si="15"/>
        <v/>
      </c>
      <c r="V132" s="298" t="str">
        <f t="shared" si="11"/>
        <v/>
      </c>
      <c r="W132" s="295" t="str">
        <f>IF(S132="","",VLOOKUP(S132,'G-1 All Habitats'!$B$2:$M$135,10,FALSE))</f>
        <v/>
      </c>
      <c r="X132" s="295" t="str">
        <f>IFERROR(VLOOKUP(W132,'G-1 All Habitats'!$V$3:$W$7,2,FALSE),"")</f>
        <v/>
      </c>
      <c r="Y132" s="138"/>
      <c r="Z132" s="299" t="str">
        <f>IFERROR(INDEX('G-8 Condition Look up'!$A$3:$H$135,MATCH(S132,'G-8 Condition Look up'!$A$3:$A$135,0),MATCH(Y132,'G-8 Condition Look up'!$A$3:$H$3,0)),"")</f>
        <v/>
      </c>
      <c r="AA132" s="101"/>
      <c r="AB132" s="314" t="str">
        <f>IF(AA132="","",IF(VLOOKUP(AA132,'G-3 Multipliers'!$L$3:$N$6,2,FALSE)=0,"Spatial Data Missing ⚠",VLOOKUP(AA132,'G-3 Multipliers'!$L$3:$N$6,2,FALSE)))</f>
        <v/>
      </c>
      <c r="AC132" s="299" t="str">
        <f>IF(AA132="","",IF(VLOOKUP(AA132,'G-3 Multipliers'!$L$3:$N$6,3,FALSE)=0,"Spatial Data Missing ⚠",VLOOKUP(AA132,'G-3 Multipliers'!$L$3:$N$6,3,FALSE)))</f>
        <v/>
      </c>
      <c r="AD132" s="311" t="str">
        <f t="shared" si="12"/>
        <v/>
      </c>
      <c r="AE132" s="138"/>
      <c r="AF132" s="138"/>
      <c r="AG132" s="295" t="str">
        <f t="shared" si="16"/>
        <v/>
      </c>
      <c r="AH132" s="296" t="str">
        <f t="shared" si="17"/>
        <v/>
      </c>
      <c r="AI132" s="300" t="str">
        <f>IF(AH132="Check Data ⚠","Check Data ⚠",IFERROR(VLOOKUP(AH132,'G-4 Temporal multipliers'!$A$4:$C$36,3,FALSE),""))</f>
        <v/>
      </c>
      <c r="AJ132" s="311" t="str">
        <f>IF(S132="","",VLOOKUP(S132,'G-3 Multipliers'!$A$2:$E$134,4,FALSE))</f>
        <v/>
      </c>
      <c r="AK132" s="295" t="str">
        <f t="shared" si="18"/>
        <v/>
      </c>
      <c r="AL132" s="295" t="str">
        <f t="shared" si="19"/>
        <v/>
      </c>
      <c r="AM132" s="299" t="str">
        <f>IFERROR(IF(F132="","",IF(AH132="Check Data ⚠","Check Data ⚠",VLOOKUP(AL132,'G-3 Multipliers'!$P$2:$Q$6,2,FALSE))),"")</f>
        <v/>
      </c>
      <c r="AN132" s="712" t="str">
        <f>IF(E132="","",IF(ISNA(VLOOKUP($E132,'D-1 Off-Site Habitat Baseline'!$D$1:$Z$258,15,FALSE)),"",(VLOOKUP($E132,'D-1 Off-Site Habitat Baseline'!$D$1:$Z$258,15,FALSE))))</f>
        <v/>
      </c>
      <c r="AO132" s="329" t="str">
        <f>IF(AN132="","",IF(VLOOKUP(AN132,'G-3 Multipliers'!$S$3:$T$10,2,FALSE)=0,"Spatial Data Missing ⚠",VLOOKUP(AN132,'G-3 Multipliers'!$S$3:$T$10,2,FALSE)))</f>
        <v/>
      </c>
      <c r="AP132" s="289" t="str">
        <f t="shared" si="20"/>
        <v/>
      </c>
      <c r="AQ132" s="289" t="str">
        <f t="shared" si="21"/>
        <v/>
      </c>
      <c r="AR132" s="105"/>
      <c r="AS132" s="138"/>
      <c r="AT132" s="104"/>
      <c r="AU132" s="104"/>
      <c r="AY132" s="30" t="str">
        <f>IF(E132="","",IF(ISNA(VLOOKUP($E132,'D-1 Off-Site Habitat Baseline'!$D$1:$AV$258,4,FALSE)),"",(VLOOKUP($E132,'D-1 Off-Site Habitat Baseline'!$D$1:$AV$258,4,FALSE))))</f>
        <v/>
      </c>
    </row>
    <row r="133" spans="1:51" ht="14">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319" t="str">
        <f>'D-1 Off-Site Habitat Baseline'!AP132</f>
        <v/>
      </c>
      <c r="F133" s="283" t="str">
        <f>IF(E133="","",IF(ISNA(VLOOKUP($E133,'D-1 Off-Site Habitat Baseline'!$D$1:$ZZ$258,45,FALSE)),"",(VLOOKUP($E133,'D-1 Off-Site Habitat Baseline'!$D$1:$ZZ$258,45,FALSE))))</f>
        <v/>
      </c>
      <c r="G133" s="295" t="str">
        <f>IF(E133="","",IF(ISNA(VLOOKUP($E133,'D-1 Off-Site Habitat Baseline'!$D$1:$O$258,5,FALSE)),"",(VLOOKUP($E133,'D-1 Off-Site Habitat Baseline'!$D$1:$O$258,5,FALSE))))</f>
        <v/>
      </c>
      <c r="H133" s="295" t="str">
        <f>IF(E133="","",IF(ISNA(VLOOKUP($E133,'D-1 Off-Site Habitat Baseline'!$D$1:$O$258,6,FALSE)),"",(VLOOKUP($E133,'D-1 Off-Site Habitat Baseline'!$D$1:$O$258,6,FALSE))))</f>
        <v/>
      </c>
      <c r="I133" s="295" t="str">
        <f>IF(E133="","",IF(ISNA(VLOOKUP($E133,'D-1 Off-Site Habitat Baseline'!$D$1:$O$258,7,FALSE)),"",(VLOOKUP($E133,'D-1 Off-Site Habitat Baseline'!$D$1:$O$258,7,FALSE))))</f>
        <v/>
      </c>
      <c r="J133" s="295" t="str">
        <f>IF(E133="","",IF(ISNA(VLOOKUP($E133,'D-1 Off-Site Habitat Baseline'!$D$1:$O$258,8,FALSE)),"",(VLOOKUP($E133,'D-1 Off-Site Habitat Baseline'!$D$1:$O$258,8,FALSE))))</f>
        <v/>
      </c>
      <c r="K133" s="295" t="str">
        <f>IF(E133="","",IF(ISNA(VLOOKUP($E133,'D-1 Off-Site Habitat Baseline'!$D$1:$O$258,9,FALSE)),"",(VLOOKUP($E133,'D-1 Off-Site Habitat Baseline'!$D$1:$O$258,9,FALSE))))</f>
        <v/>
      </c>
      <c r="L133" s="295" t="str">
        <f>IF(E133="","",IF(ISNA(VLOOKUP($E133,'D-1 Off-Site Habitat Baseline'!$D$1:$O$258,11,FALSE)),"",(VLOOKUP($E133,'D-1 Off-Site Habitat Baseline'!$D$1:$O$258,11,FALSE))))</f>
        <v/>
      </c>
      <c r="M133" s="295" t="str">
        <f>IF(E133="","",IF(ISNA(VLOOKUP($E133,'D-1 Off-Site Habitat Baseline'!$D$1:$O$258,12,FALSE)),"",(VLOOKUP($E133,'D-1 Off-Site Habitat Baseline'!$D$1:$O$258,12,FALSE))))</f>
        <v/>
      </c>
      <c r="N133" s="295" t="str">
        <f>IF(E133="","",IF(ISNA(VLOOKUP($E133,'D-1 Off-Site Habitat Baseline'!$D$1:$AA$258,17,FALSE)),"",(VLOOKUP($E133,'D-1 Off-Site Habitat Baseline'!$D$1:$AA$258,17,FALSE))))</f>
        <v/>
      </c>
      <c r="O133" s="299" t="str">
        <f>IF(E133="","",IF(ISNA(VLOOKUP($E133,'D-1 Off-Site Habitat Baseline'!$D$1:$AA$258,13,FALSE)),"",(VLOOKUP($E133,'D-1 Off-Site Habitat Baseline'!$D$1:$AA$258,13,FALSE))))</f>
        <v/>
      </c>
      <c r="P133" s="148" t="str">
        <f>IFERROR(INDEX('G-1 All Habitats'!$AG$49:$AG$63,MATCH(Q133,'G-1 All Habitats'!$AF$27:$AF$41,0)),"")</f>
        <v/>
      </c>
      <c r="Q133" s="149" t="str">
        <f t="shared" si="13"/>
        <v/>
      </c>
      <c r="R133" s="150"/>
      <c r="S133" s="151" t="str">
        <f>IFERROR(INDEX('G-1 All Habitats'!$B$3:$B$135,MATCH(R133,'G-1 All Habitats'!$A$3:$A$135,0)),"")</f>
        <v/>
      </c>
      <c r="T133" s="283" t="str">
        <f t="shared" si="14"/>
        <v/>
      </c>
      <c r="U133" s="276" t="str">
        <f t="shared" si="15"/>
        <v/>
      </c>
      <c r="V133" s="298" t="str">
        <f t="shared" si="11"/>
        <v/>
      </c>
      <c r="W133" s="295" t="str">
        <f>IF(S133="","",VLOOKUP(S133,'G-1 All Habitats'!$B$2:$M$135,10,FALSE))</f>
        <v/>
      </c>
      <c r="X133" s="295" t="str">
        <f>IFERROR(VLOOKUP(W133,'G-1 All Habitats'!$V$3:$W$7,2,FALSE),"")</f>
        <v/>
      </c>
      <c r="Y133" s="138"/>
      <c r="Z133" s="299" t="str">
        <f>IFERROR(INDEX('G-8 Condition Look up'!$A$3:$H$135,MATCH(S133,'G-8 Condition Look up'!$A$3:$A$135,0),MATCH(Y133,'G-8 Condition Look up'!$A$3:$H$3,0)),"")</f>
        <v/>
      </c>
      <c r="AA133" s="101"/>
      <c r="AB133" s="314" t="str">
        <f>IF(AA133="","",IF(VLOOKUP(AA133,'G-3 Multipliers'!$L$3:$N$6,2,FALSE)=0,"Spatial Data Missing ⚠",VLOOKUP(AA133,'G-3 Multipliers'!$L$3:$N$6,2,FALSE)))</f>
        <v/>
      </c>
      <c r="AC133" s="299" t="str">
        <f>IF(AA133="","",IF(VLOOKUP(AA133,'G-3 Multipliers'!$L$3:$N$6,3,FALSE)=0,"Spatial Data Missing ⚠",VLOOKUP(AA133,'G-3 Multipliers'!$L$3:$N$6,3,FALSE)))</f>
        <v/>
      </c>
      <c r="AD133" s="311" t="str">
        <f t="shared" si="12"/>
        <v/>
      </c>
      <c r="AE133" s="138"/>
      <c r="AF133" s="138"/>
      <c r="AG133" s="295" t="str">
        <f t="shared" si="16"/>
        <v/>
      </c>
      <c r="AH133" s="296" t="str">
        <f t="shared" si="17"/>
        <v/>
      </c>
      <c r="AI133" s="300" t="str">
        <f>IF(AH133="Check Data ⚠","Check Data ⚠",IFERROR(VLOOKUP(AH133,'G-4 Temporal multipliers'!$A$4:$C$36,3,FALSE),""))</f>
        <v/>
      </c>
      <c r="AJ133" s="311" t="str">
        <f>IF(S133="","",VLOOKUP(S133,'G-3 Multipliers'!$A$2:$E$134,4,FALSE))</f>
        <v/>
      </c>
      <c r="AK133" s="295" t="str">
        <f t="shared" si="18"/>
        <v/>
      </c>
      <c r="AL133" s="295" t="str">
        <f t="shared" si="19"/>
        <v/>
      </c>
      <c r="AM133" s="299" t="str">
        <f>IFERROR(IF(F133="","",IF(AH133="Check Data ⚠","Check Data ⚠",VLOOKUP(AL133,'G-3 Multipliers'!$P$2:$Q$6,2,FALSE))),"")</f>
        <v/>
      </c>
      <c r="AN133" s="712" t="str">
        <f>IF(E133="","",IF(ISNA(VLOOKUP($E133,'D-1 Off-Site Habitat Baseline'!$D$1:$Z$258,15,FALSE)),"",(VLOOKUP($E133,'D-1 Off-Site Habitat Baseline'!$D$1:$Z$258,15,FALSE))))</f>
        <v/>
      </c>
      <c r="AO133" s="329" t="str">
        <f>IF(AN133="","",IF(VLOOKUP(AN133,'G-3 Multipliers'!$S$3:$T$10,2,FALSE)=0,"Spatial Data Missing ⚠",VLOOKUP(AN133,'G-3 Multipliers'!$S$3:$T$10,2,FALSE)))</f>
        <v/>
      </c>
      <c r="AP133" s="289" t="str">
        <f t="shared" si="20"/>
        <v/>
      </c>
      <c r="AQ133" s="289" t="str">
        <f t="shared" si="21"/>
        <v/>
      </c>
      <c r="AR133" s="105"/>
      <c r="AS133" s="138"/>
      <c r="AT133" s="104"/>
      <c r="AU133" s="104"/>
      <c r="AY133" s="30" t="str">
        <f>IF(E133="","",IF(ISNA(VLOOKUP($E133,'D-1 Off-Site Habitat Baseline'!$D$1:$AV$258,4,FALSE)),"",(VLOOKUP($E133,'D-1 Off-Site Habitat Baseline'!$D$1:$AV$258,4,FALSE))))</f>
        <v/>
      </c>
    </row>
    <row r="134" spans="1:51" ht="14">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319" t="str">
        <f>'D-1 Off-Site Habitat Baseline'!AP133</f>
        <v/>
      </c>
      <c r="F134" s="283" t="str">
        <f>IF(E134="","",IF(ISNA(VLOOKUP($E134,'D-1 Off-Site Habitat Baseline'!$D$1:$ZZ$258,45,FALSE)),"",(VLOOKUP($E134,'D-1 Off-Site Habitat Baseline'!$D$1:$ZZ$258,45,FALSE))))</f>
        <v/>
      </c>
      <c r="G134" s="295" t="str">
        <f>IF(E134="","",IF(ISNA(VLOOKUP($E134,'D-1 Off-Site Habitat Baseline'!$D$1:$O$258,5,FALSE)),"",(VLOOKUP($E134,'D-1 Off-Site Habitat Baseline'!$D$1:$O$258,5,FALSE))))</f>
        <v/>
      </c>
      <c r="H134" s="295" t="str">
        <f>IF(E134="","",IF(ISNA(VLOOKUP($E134,'D-1 Off-Site Habitat Baseline'!$D$1:$O$258,6,FALSE)),"",(VLOOKUP($E134,'D-1 Off-Site Habitat Baseline'!$D$1:$O$258,6,FALSE))))</f>
        <v/>
      </c>
      <c r="I134" s="295" t="str">
        <f>IF(E134="","",IF(ISNA(VLOOKUP($E134,'D-1 Off-Site Habitat Baseline'!$D$1:$O$258,7,FALSE)),"",(VLOOKUP($E134,'D-1 Off-Site Habitat Baseline'!$D$1:$O$258,7,FALSE))))</f>
        <v/>
      </c>
      <c r="J134" s="295" t="str">
        <f>IF(E134="","",IF(ISNA(VLOOKUP($E134,'D-1 Off-Site Habitat Baseline'!$D$1:$O$258,8,FALSE)),"",(VLOOKUP($E134,'D-1 Off-Site Habitat Baseline'!$D$1:$O$258,8,FALSE))))</f>
        <v/>
      </c>
      <c r="K134" s="295" t="str">
        <f>IF(E134="","",IF(ISNA(VLOOKUP($E134,'D-1 Off-Site Habitat Baseline'!$D$1:$O$258,9,FALSE)),"",(VLOOKUP($E134,'D-1 Off-Site Habitat Baseline'!$D$1:$O$258,9,FALSE))))</f>
        <v/>
      </c>
      <c r="L134" s="295" t="str">
        <f>IF(E134="","",IF(ISNA(VLOOKUP($E134,'D-1 Off-Site Habitat Baseline'!$D$1:$O$258,11,FALSE)),"",(VLOOKUP($E134,'D-1 Off-Site Habitat Baseline'!$D$1:$O$258,11,FALSE))))</f>
        <v/>
      </c>
      <c r="M134" s="295" t="str">
        <f>IF(E134="","",IF(ISNA(VLOOKUP($E134,'D-1 Off-Site Habitat Baseline'!$D$1:$O$258,12,FALSE)),"",(VLOOKUP($E134,'D-1 Off-Site Habitat Baseline'!$D$1:$O$258,12,FALSE))))</f>
        <v/>
      </c>
      <c r="N134" s="295" t="str">
        <f>IF(E134="","",IF(ISNA(VLOOKUP($E134,'D-1 Off-Site Habitat Baseline'!$D$1:$AA$258,17,FALSE)),"",(VLOOKUP($E134,'D-1 Off-Site Habitat Baseline'!$D$1:$AA$258,17,FALSE))))</f>
        <v/>
      </c>
      <c r="O134" s="299" t="str">
        <f>IF(E134="","",IF(ISNA(VLOOKUP($E134,'D-1 Off-Site Habitat Baseline'!$D$1:$AA$258,13,FALSE)),"",(VLOOKUP($E134,'D-1 Off-Site Habitat Baseline'!$D$1:$AA$258,13,FALSE))))</f>
        <v/>
      </c>
      <c r="P134" s="148" t="str">
        <f>IFERROR(INDEX('G-1 All Habitats'!$AG$49:$AG$63,MATCH(Q134,'G-1 All Habitats'!$AF$27:$AF$41,0)),"")</f>
        <v/>
      </c>
      <c r="Q134" s="149" t="str">
        <f t="shared" si="13"/>
        <v/>
      </c>
      <c r="R134" s="150"/>
      <c r="S134" s="151" t="str">
        <f>IFERROR(INDEX('G-1 All Habitats'!$B$3:$B$135,MATCH(R134,'G-1 All Habitats'!$A$3:$A$135,0)),"")</f>
        <v/>
      </c>
      <c r="T134" s="283" t="str">
        <f t="shared" si="14"/>
        <v/>
      </c>
      <c r="U134" s="276" t="str">
        <f t="shared" si="15"/>
        <v/>
      </c>
      <c r="V134" s="298" t="str">
        <f t="shared" si="11"/>
        <v/>
      </c>
      <c r="W134" s="295" t="str">
        <f>IF(S134="","",VLOOKUP(S134,'G-1 All Habitats'!$B$2:$M$135,10,FALSE))</f>
        <v/>
      </c>
      <c r="X134" s="295" t="str">
        <f>IFERROR(VLOOKUP(W134,'G-1 All Habitats'!$V$3:$W$7,2,FALSE),"")</f>
        <v/>
      </c>
      <c r="Y134" s="138"/>
      <c r="Z134" s="299" t="str">
        <f>IFERROR(INDEX('G-8 Condition Look up'!$A$3:$H$135,MATCH(S134,'G-8 Condition Look up'!$A$3:$A$135,0),MATCH(Y134,'G-8 Condition Look up'!$A$3:$H$3,0)),"")</f>
        <v/>
      </c>
      <c r="AA134" s="101"/>
      <c r="AB134" s="314" t="str">
        <f>IF(AA134="","",IF(VLOOKUP(AA134,'G-3 Multipliers'!$L$3:$N$6,2,FALSE)=0,"Spatial Data Missing ⚠",VLOOKUP(AA134,'G-3 Multipliers'!$L$3:$N$6,2,FALSE)))</f>
        <v/>
      </c>
      <c r="AC134" s="299" t="str">
        <f>IF(AA134="","",IF(VLOOKUP(AA134,'G-3 Multipliers'!$L$3:$N$6,3,FALSE)=0,"Spatial Data Missing ⚠",VLOOKUP(AA134,'G-3 Multipliers'!$L$3:$N$6,3,FALSE)))</f>
        <v/>
      </c>
      <c r="AD134" s="311" t="str">
        <f t="shared" si="12"/>
        <v/>
      </c>
      <c r="AE134" s="138"/>
      <c r="AF134" s="138"/>
      <c r="AG134" s="295" t="str">
        <f t="shared" si="16"/>
        <v/>
      </c>
      <c r="AH134" s="296" t="str">
        <f t="shared" si="17"/>
        <v/>
      </c>
      <c r="AI134" s="300" t="str">
        <f>IF(AH134="Check Data ⚠","Check Data ⚠",IFERROR(VLOOKUP(AH134,'G-4 Temporal multipliers'!$A$4:$C$36,3,FALSE),""))</f>
        <v/>
      </c>
      <c r="AJ134" s="311" t="str">
        <f>IF(S134="","",VLOOKUP(S134,'G-3 Multipliers'!$A$2:$E$134,4,FALSE))</f>
        <v/>
      </c>
      <c r="AK134" s="295" t="str">
        <f t="shared" si="18"/>
        <v/>
      </c>
      <c r="AL134" s="295" t="str">
        <f t="shared" si="19"/>
        <v/>
      </c>
      <c r="AM134" s="299" t="str">
        <f>IFERROR(IF(F134="","",IF(AH134="Check Data ⚠","Check Data ⚠",VLOOKUP(AL134,'G-3 Multipliers'!$P$2:$Q$6,2,FALSE))),"")</f>
        <v/>
      </c>
      <c r="AN134" s="712" t="str">
        <f>IF(E134="","",IF(ISNA(VLOOKUP($E134,'D-1 Off-Site Habitat Baseline'!$D$1:$Z$258,15,FALSE)),"",(VLOOKUP($E134,'D-1 Off-Site Habitat Baseline'!$D$1:$Z$258,15,FALSE))))</f>
        <v/>
      </c>
      <c r="AO134" s="329" t="str">
        <f>IF(AN134="","",IF(VLOOKUP(AN134,'G-3 Multipliers'!$S$3:$T$10,2,FALSE)=0,"Spatial Data Missing ⚠",VLOOKUP(AN134,'G-3 Multipliers'!$S$3:$T$10,2,FALSE)))</f>
        <v/>
      </c>
      <c r="AP134" s="289" t="str">
        <f t="shared" si="20"/>
        <v/>
      </c>
      <c r="AQ134" s="289" t="str">
        <f t="shared" si="21"/>
        <v/>
      </c>
      <c r="AR134" s="105"/>
      <c r="AS134" s="138"/>
      <c r="AT134" s="104"/>
      <c r="AU134" s="104"/>
      <c r="AY134" s="30" t="str">
        <f>IF(E134="","",IF(ISNA(VLOOKUP($E134,'D-1 Off-Site Habitat Baseline'!$D$1:$AV$258,4,FALSE)),"",(VLOOKUP($E134,'D-1 Off-Site Habitat Baseline'!$D$1:$AV$258,4,FALSE))))</f>
        <v/>
      </c>
    </row>
    <row r="135" spans="1:51" ht="14">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319" t="str">
        <f>'D-1 Off-Site Habitat Baseline'!AP134</f>
        <v/>
      </c>
      <c r="F135" s="283" t="str">
        <f>IF(E135="","",IF(ISNA(VLOOKUP($E135,'D-1 Off-Site Habitat Baseline'!$D$1:$ZZ$258,45,FALSE)),"",(VLOOKUP($E135,'D-1 Off-Site Habitat Baseline'!$D$1:$ZZ$258,45,FALSE))))</f>
        <v/>
      </c>
      <c r="G135" s="295" t="str">
        <f>IF(E135="","",IF(ISNA(VLOOKUP($E135,'D-1 Off-Site Habitat Baseline'!$D$1:$O$258,5,FALSE)),"",(VLOOKUP($E135,'D-1 Off-Site Habitat Baseline'!$D$1:$O$258,5,FALSE))))</f>
        <v/>
      </c>
      <c r="H135" s="295" t="str">
        <f>IF(E135="","",IF(ISNA(VLOOKUP($E135,'D-1 Off-Site Habitat Baseline'!$D$1:$O$258,6,FALSE)),"",(VLOOKUP($E135,'D-1 Off-Site Habitat Baseline'!$D$1:$O$258,6,FALSE))))</f>
        <v/>
      </c>
      <c r="I135" s="295" t="str">
        <f>IF(E135="","",IF(ISNA(VLOOKUP($E135,'D-1 Off-Site Habitat Baseline'!$D$1:$O$258,7,FALSE)),"",(VLOOKUP($E135,'D-1 Off-Site Habitat Baseline'!$D$1:$O$258,7,FALSE))))</f>
        <v/>
      </c>
      <c r="J135" s="295" t="str">
        <f>IF(E135="","",IF(ISNA(VLOOKUP($E135,'D-1 Off-Site Habitat Baseline'!$D$1:$O$258,8,FALSE)),"",(VLOOKUP($E135,'D-1 Off-Site Habitat Baseline'!$D$1:$O$258,8,FALSE))))</f>
        <v/>
      </c>
      <c r="K135" s="295" t="str">
        <f>IF(E135="","",IF(ISNA(VLOOKUP($E135,'D-1 Off-Site Habitat Baseline'!$D$1:$O$258,9,FALSE)),"",(VLOOKUP($E135,'D-1 Off-Site Habitat Baseline'!$D$1:$O$258,9,FALSE))))</f>
        <v/>
      </c>
      <c r="L135" s="295" t="str">
        <f>IF(E135="","",IF(ISNA(VLOOKUP($E135,'D-1 Off-Site Habitat Baseline'!$D$1:$O$258,11,FALSE)),"",(VLOOKUP($E135,'D-1 Off-Site Habitat Baseline'!$D$1:$O$258,11,FALSE))))</f>
        <v/>
      </c>
      <c r="M135" s="295" t="str">
        <f>IF(E135="","",IF(ISNA(VLOOKUP($E135,'D-1 Off-Site Habitat Baseline'!$D$1:$O$258,12,FALSE)),"",(VLOOKUP($E135,'D-1 Off-Site Habitat Baseline'!$D$1:$O$258,12,FALSE))))</f>
        <v/>
      </c>
      <c r="N135" s="295" t="str">
        <f>IF(E135="","",IF(ISNA(VLOOKUP($E135,'D-1 Off-Site Habitat Baseline'!$D$1:$AA$258,17,FALSE)),"",(VLOOKUP($E135,'D-1 Off-Site Habitat Baseline'!$D$1:$AA$258,17,FALSE))))</f>
        <v/>
      </c>
      <c r="O135" s="299" t="str">
        <f>IF(E135="","",IF(ISNA(VLOOKUP($E135,'D-1 Off-Site Habitat Baseline'!$D$1:$AA$258,13,FALSE)),"",(VLOOKUP($E135,'D-1 Off-Site Habitat Baseline'!$D$1:$AA$258,13,FALSE))))</f>
        <v/>
      </c>
      <c r="P135" s="148" t="str">
        <f>IFERROR(INDEX('G-1 All Habitats'!$AG$49:$AG$63,MATCH(Q135,'G-1 All Habitats'!$AF$27:$AF$41,0)),"")</f>
        <v/>
      </c>
      <c r="Q135" s="149" t="str">
        <f t="shared" si="13"/>
        <v/>
      </c>
      <c r="R135" s="150"/>
      <c r="S135" s="151" t="str">
        <f>IFERROR(INDEX('G-1 All Habitats'!$B$3:$B$135,MATCH(R135,'G-1 All Habitats'!$A$3:$A$135,0)),"")</f>
        <v/>
      </c>
      <c r="T135" s="283" t="str">
        <f t="shared" si="14"/>
        <v/>
      </c>
      <c r="U135" s="276" t="str">
        <f t="shared" si="15"/>
        <v/>
      </c>
      <c r="V135" s="298" t="str">
        <f t="shared" si="11"/>
        <v/>
      </c>
      <c r="W135" s="295" t="str">
        <f>IF(S135="","",VLOOKUP(S135,'G-1 All Habitats'!$B$2:$M$135,10,FALSE))</f>
        <v/>
      </c>
      <c r="X135" s="295" t="str">
        <f>IFERROR(VLOOKUP(W135,'G-1 All Habitats'!$V$3:$W$7,2,FALSE),"")</f>
        <v/>
      </c>
      <c r="Y135" s="138"/>
      <c r="Z135" s="299" t="str">
        <f>IFERROR(INDEX('G-8 Condition Look up'!$A$3:$H$135,MATCH(S135,'G-8 Condition Look up'!$A$3:$A$135,0),MATCH(Y135,'G-8 Condition Look up'!$A$3:$H$3,0)),"")</f>
        <v/>
      </c>
      <c r="AA135" s="101"/>
      <c r="AB135" s="314" t="str">
        <f>IF(AA135="","",IF(VLOOKUP(AA135,'G-3 Multipliers'!$L$3:$N$6,2,FALSE)=0,"Spatial Data Missing ⚠",VLOOKUP(AA135,'G-3 Multipliers'!$L$3:$N$6,2,FALSE)))</f>
        <v/>
      </c>
      <c r="AC135" s="299" t="str">
        <f>IF(AA135="","",IF(VLOOKUP(AA135,'G-3 Multipliers'!$L$3:$N$6,3,FALSE)=0,"Spatial Data Missing ⚠",VLOOKUP(AA135,'G-3 Multipliers'!$L$3:$N$6,3,FALSE)))</f>
        <v/>
      </c>
      <c r="AD135" s="311" t="str">
        <f t="shared" si="12"/>
        <v/>
      </c>
      <c r="AE135" s="138"/>
      <c r="AF135" s="138"/>
      <c r="AG135" s="295" t="str">
        <f t="shared" si="16"/>
        <v/>
      </c>
      <c r="AH135" s="296" t="str">
        <f t="shared" si="17"/>
        <v/>
      </c>
      <c r="AI135" s="300" t="str">
        <f>IF(AH135="Check Data ⚠","Check Data ⚠",IFERROR(VLOOKUP(AH135,'G-4 Temporal multipliers'!$A$4:$C$36,3,FALSE),""))</f>
        <v/>
      </c>
      <c r="AJ135" s="311" t="str">
        <f>IF(S135="","",VLOOKUP(S135,'G-3 Multipliers'!$A$2:$E$134,4,FALSE))</f>
        <v/>
      </c>
      <c r="AK135" s="295" t="str">
        <f t="shared" si="18"/>
        <v/>
      </c>
      <c r="AL135" s="295" t="str">
        <f t="shared" si="19"/>
        <v/>
      </c>
      <c r="AM135" s="299" t="str">
        <f>IFERROR(IF(F135="","",IF(AH135="Check Data ⚠","Check Data ⚠",VLOOKUP(AL135,'G-3 Multipliers'!$P$2:$Q$6,2,FALSE))),"")</f>
        <v/>
      </c>
      <c r="AN135" s="712" t="str">
        <f>IF(E135="","",IF(ISNA(VLOOKUP($E135,'D-1 Off-Site Habitat Baseline'!$D$1:$Z$258,15,FALSE)),"",(VLOOKUP($E135,'D-1 Off-Site Habitat Baseline'!$D$1:$Z$258,15,FALSE))))</f>
        <v/>
      </c>
      <c r="AO135" s="329" t="str">
        <f>IF(AN135="","",IF(VLOOKUP(AN135,'G-3 Multipliers'!$S$3:$T$10,2,FALSE)=0,"Spatial Data Missing ⚠",VLOOKUP(AN135,'G-3 Multipliers'!$S$3:$T$10,2,FALSE)))</f>
        <v/>
      </c>
      <c r="AP135" s="289" t="str">
        <f t="shared" si="20"/>
        <v/>
      </c>
      <c r="AQ135" s="289" t="str">
        <f t="shared" si="21"/>
        <v/>
      </c>
      <c r="AR135" s="105"/>
      <c r="AS135" s="138"/>
      <c r="AT135" s="104"/>
      <c r="AU135" s="104"/>
      <c r="AY135" s="30" t="str">
        <f>IF(E135="","",IF(ISNA(VLOOKUP($E135,'D-1 Off-Site Habitat Baseline'!$D$1:$AV$258,4,FALSE)),"",(VLOOKUP($E135,'D-1 Off-Site Habitat Baseline'!$D$1:$AV$258,4,FALSE))))</f>
        <v/>
      </c>
    </row>
    <row r="136" spans="1:51" ht="14">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319" t="str">
        <f>'D-1 Off-Site Habitat Baseline'!AP135</f>
        <v/>
      </c>
      <c r="F136" s="283" t="str">
        <f>IF(E136="","",IF(ISNA(VLOOKUP($E136,'D-1 Off-Site Habitat Baseline'!$D$1:$ZZ$258,45,FALSE)),"",(VLOOKUP($E136,'D-1 Off-Site Habitat Baseline'!$D$1:$ZZ$258,45,FALSE))))</f>
        <v/>
      </c>
      <c r="G136" s="295" t="str">
        <f>IF(E136="","",IF(ISNA(VLOOKUP($E136,'D-1 Off-Site Habitat Baseline'!$D$1:$O$258,5,FALSE)),"",(VLOOKUP($E136,'D-1 Off-Site Habitat Baseline'!$D$1:$O$258,5,FALSE))))</f>
        <v/>
      </c>
      <c r="H136" s="295" t="str">
        <f>IF(E136="","",IF(ISNA(VLOOKUP($E136,'D-1 Off-Site Habitat Baseline'!$D$1:$O$258,6,FALSE)),"",(VLOOKUP($E136,'D-1 Off-Site Habitat Baseline'!$D$1:$O$258,6,FALSE))))</f>
        <v/>
      </c>
      <c r="I136" s="295" t="str">
        <f>IF(E136="","",IF(ISNA(VLOOKUP($E136,'D-1 Off-Site Habitat Baseline'!$D$1:$O$258,7,FALSE)),"",(VLOOKUP($E136,'D-1 Off-Site Habitat Baseline'!$D$1:$O$258,7,FALSE))))</f>
        <v/>
      </c>
      <c r="J136" s="295" t="str">
        <f>IF(E136="","",IF(ISNA(VLOOKUP($E136,'D-1 Off-Site Habitat Baseline'!$D$1:$O$258,8,FALSE)),"",(VLOOKUP($E136,'D-1 Off-Site Habitat Baseline'!$D$1:$O$258,8,FALSE))))</f>
        <v/>
      </c>
      <c r="K136" s="295" t="str">
        <f>IF(E136="","",IF(ISNA(VLOOKUP($E136,'D-1 Off-Site Habitat Baseline'!$D$1:$O$258,9,FALSE)),"",(VLOOKUP($E136,'D-1 Off-Site Habitat Baseline'!$D$1:$O$258,9,FALSE))))</f>
        <v/>
      </c>
      <c r="L136" s="295" t="str">
        <f>IF(E136="","",IF(ISNA(VLOOKUP($E136,'D-1 Off-Site Habitat Baseline'!$D$1:$O$258,11,FALSE)),"",(VLOOKUP($E136,'D-1 Off-Site Habitat Baseline'!$D$1:$O$258,11,FALSE))))</f>
        <v/>
      </c>
      <c r="M136" s="295" t="str">
        <f>IF(E136="","",IF(ISNA(VLOOKUP($E136,'D-1 Off-Site Habitat Baseline'!$D$1:$O$258,12,FALSE)),"",(VLOOKUP($E136,'D-1 Off-Site Habitat Baseline'!$D$1:$O$258,12,FALSE))))</f>
        <v/>
      </c>
      <c r="N136" s="295" t="str">
        <f>IF(E136="","",IF(ISNA(VLOOKUP($E136,'D-1 Off-Site Habitat Baseline'!$D$1:$AA$258,17,FALSE)),"",(VLOOKUP($E136,'D-1 Off-Site Habitat Baseline'!$D$1:$AA$258,17,FALSE))))</f>
        <v/>
      </c>
      <c r="O136" s="299" t="str">
        <f>IF(E136="","",IF(ISNA(VLOOKUP($E136,'D-1 Off-Site Habitat Baseline'!$D$1:$AA$258,13,FALSE)),"",(VLOOKUP($E136,'D-1 Off-Site Habitat Baseline'!$D$1:$AA$258,13,FALSE))))</f>
        <v/>
      </c>
      <c r="P136" s="148" t="str">
        <f>IFERROR(INDEX('G-1 All Habitats'!$AG$49:$AG$63,MATCH(Q136,'G-1 All Habitats'!$AF$27:$AF$41,0)),"")</f>
        <v/>
      </c>
      <c r="Q136" s="149" t="str">
        <f t="shared" si="13"/>
        <v/>
      </c>
      <c r="R136" s="150"/>
      <c r="S136" s="151" t="str">
        <f>IFERROR(INDEX('G-1 All Habitats'!$B$3:$B$135,MATCH(R136,'G-1 All Habitats'!$A$3:$A$135,0)),"")</f>
        <v/>
      </c>
      <c r="T136" s="283" t="str">
        <f t="shared" si="14"/>
        <v/>
      </c>
      <c r="U136" s="276" t="str">
        <f t="shared" si="15"/>
        <v/>
      </c>
      <c r="V136" s="298" t="str">
        <f t="shared" si="11"/>
        <v/>
      </c>
      <c r="W136" s="295" t="str">
        <f>IF(S136="","",VLOOKUP(S136,'G-1 All Habitats'!$B$2:$M$135,10,FALSE))</f>
        <v/>
      </c>
      <c r="X136" s="295" t="str">
        <f>IFERROR(VLOOKUP(W136,'G-1 All Habitats'!$V$3:$W$7,2,FALSE),"")</f>
        <v/>
      </c>
      <c r="Y136" s="138"/>
      <c r="Z136" s="299" t="str">
        <f>IFERROR(INDEX('G-8 Condition Look up'!$A$3:$H$135,MATCH(S136,'G-8 Condition Look up'!$A$3:$A$135,0),MATCH(Y136,'G-8 Condition Look up'!$A$3:$H$3,0)),"")</f>
        <v/>
      </c>
      <c r="AA136" s="101"/>
      <c r="AB136" s="314" t="str">
        <f>IF(AA136="","",IF(VLOOKUP(AA136,'G-3 Multipliers'!$L$3:$N$6,2,FALSE)=0,"Spatial Data Missing ⚠",VLOOKUP(AA136,'G-3 Multipliers'!$L$3:$N$6,2,FALSE)))</f>
        <v/>
      </c>
      <c r="AC136" s="299" t="str">
        <f>IF(AA136="","",IF(VLOOKUP(AA136,'G-3 Multipliers'!$L$3:$N$6,3,FALSE)=0,"Spatial Data Missing ⚠",VLOOKUP(AA136,'G-3 Multipliers'!$L$3:$N$6,3,FALSE)))</f>
        <v/>
      </c>
      <c r="AD136" s="311" t="str">
        <f t="shared" si="12"/>
        <v/>
      </c>
      <c r="AE136" s="138"/>
      <c r="AF136" s="138"/>
      <c r="AG136" s="295" t="str">
        <f t="shared" si="16"/>
        <v/>
      </c>
      <c r="AH136" s="296" t="str">
        <f t="shared" si="17"/>
        <v/>
      </c>
      <c r="AI136" s="300" t="str">
        <f>IF(AH136="Check Data ⚠","Check Data ⚠",IFERROR(VLOOKUP(AH136,'G-4 Temporal multipliers'!$A$4:$C$36,3,FALSE),""))</f>
        <v/>
      </c>
      <c r="AJ136" s="311" t="str">
        <f>IF(S136="","",VLOOKUP(S136,'G-3 Multipliers'!$A$2:$E$134,4,FALSE))</f>
        <v/>
      </c>
      <c r="AK136" s="295" t="str">
        <f t="shared" si="18"/>
        <v/>
      </c>
      <c r="AL136" s="295" t="str">
        <f t="shared" si="19"/>
        <v/>
      </c>
      <c r="AM136" s="299" t="str">
        <f>IFERROR(IF(F136="","",IF(AH136="Check Data ⚠","Check Data ⚠",VLOOKUP(AL136,'G-3 Multipliers'!$P$2:$Q$6,2,FALSE))),"")</f>
        <v/>
      </c>
      <c r="AN136" s="712" t="str">
        <f>IF(E136="","",IF(ISNA(VLOOKUP($E136,'D-1 Off-Site Habitat Baseline'!$D$1:$Z$258,15,FALSE)),"",(VLOOKUP($E136,'D-1 Off-Site Habitat Baseline'!$D$1:$Z$258,15,FALSE))))</f>
        <v/>
      </c>
      <c r="AO136" s="329" t="str">
        <f>IF(AN136="","",IF(VLOOKUP(AN136,'G-3 Multipliers'!$S$3:$T$10,2,FALSE)=0,"Spatial Data Missing ⚠",VLOOKUP(AN136,'G-3 Multipliers'!$S$3:$T$10,2,FALSE)))</f>
        <v/>
      </c>
      <c r="AP136" s="289" t="str">
        <f t="shared" si="20"/>
        <v/>
      </c>
      <c r="AQ136" s="289" t="str">
        <f t="shared" si="21"/>
        <v/>
      </c>
      <c r="AR136" s="105"/>
      <c r="AS136" s="138"/>
      <c r="AT136" s="104"/>
      <c r="AU136" s="104"/>
      <c r="AY136" s="30" t="str">
        <f>IF(E136="","",IF(ISNA(VLOOKUP($E136,'D-1 Off-Site Habitat Baseline'!$D$1:$AV$258,4,FALSE)),"",(VLOOKUP($E136,'D-1 Off-Site Habitat Baseline'!$D$1:$AV$258,4,FALSE))))</f>
        <v/>
      </c>
    </row>
    <row r="137" spans="1:51" ht="14">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319" t="str">
        <f>'D-1 Off-Site Habitat Baseline'!AP136</f>
        <v/>
      </c>
      <c r="F137" s="283" t="str">
        <f>IF(E137="","",IF(ISNA(VLOOKUP($E137,'D-1 Off-Site Habitat Baseline'!$D$1:$ZZ$258,45,FALSE)),"",(VLOOKUP($E137,'D-1 Off-Site Habitat Baseline'!$D$1:$ZZ$258,45,FALSE))))</f>
        <v/>
      </c>
      <c r="G137" s="295" t="str">
        <f>IF(E137="","",IF(ISNA(VLOOKUP($E137,'D-1 Off-Site Habitat Baseline'!$D$1:$O$258,5,FALSE)),"",(VLOOKUP($E137,'D-1 Off-Site Habitat Baseline'!$D$1:$O$258,5,FALSE))))</f>
        <v/>
      </c>
      <c r="H137" s="295" t="str">
        <f>IF(E137="","",IF(ISNA(VLOOKUP($E137,'D-1 Off-Site Habitat Baseline'!$D$1:$O$258,6,FALSE)),"",(VLOOKUP($E137,'D-1 Off-Site Habitat Baseline'!$D$1:$O$258,6,FALSE))))</f>
        <v/>
      </c>
      <c r="I137" s="295" t="str">
        <f>IF(E137="","",IF(ISNA(VLOOKUP($E137,'D-1 Off-Site Habitat Baseline'!$D$1:$O$258,7,FALSE)),"",(VLOOKUP($E137,'D-1 Off-Site Habitat Baseline'!$D$1:$O$258,7,FALSE))))</f>
        <v/>
      </c>
      <c r="J137" s="295" t="str">
        <f>IF(E137="","",IF(ISNA(VLOOKUP($E137,'D-1 Off-Site Habitat Baseline'!$D$1:$O$258,8,FALSE)),"",(VLOOKUP($E137,'D-1 Off-Site Habitat Baseline'!$D$1:$O$258,8,FALSE))))</f>
        <v/>
      </c>
      <c r="K137" s="295" t="str">
        <f>IF(E137="","",IF(ISNA(VLOOKUP($E137,'D-1 Off-Site Habitat Baseline'!$D$1:$O$258,9,FALSE)),"",(VLOOKUP($E137,'D-1 Off-Site Habitat Baseline'!$D$1:$O$258,9,FALSE))))</f>
        <v/>
      </c>
      <c r="L137" s="295" t="str">
        <f>IF(E137="","",IF(ISNA(VLOOKUP($E137,'D-1 Off-Site Habitat Baseline'!$D$1:$O$258,11,FALSE)),"",(VLOOKUP($E137,'D-1 Off-Site Habitat Baseline'!$D$1:$O$258,11,FALSE))))</f>
        <v/>
      </c>
      <c r="M137" s="295" t="str">
        <f>IF(E137="","",IF(ISNA(VLOOKUP($E137,'D-1 Off-Site Habitat Baseline'!$D$1:$O$258,12,FALSE)),"",(VLOOKUP($E137,'D-1 Off-Site Habitat Baseline'!$D$1:$O$258,12,FALSE))))</f>
        <v/>
      </c>
      <c r="N137" s="295" t="str">
        <f>IF(E137="","",IF(ISNA(VLOOKUP($E137,'D-1 Off-Site Habitat Baseline'!$D$1:$AA$258,17,FALSE)),"",(VLOOKUP($E137,'D-1 Off-Site Habitat Baseline'!$D$1:$AA$258,17,FALSE))))</f>
        <v/>
      </c>
      <c r="O137" s="299" t="str">
        <f>IF(E137="","",IF(ISNA(VLOOKUP($E137,'D-1 Off-Site Habitat Baseline'!$D$1:$AA$258,13,FALSE)),"",(VLOOKUP($E137,'D-1 Off-Site Habitat Baseline'!$D$1:$AA$258,13,FALSE))))</f>
        <v/>
      </c>
      <c r="P137" s="148" t="str">
        <f>IFERROR(INDEX('G-1 All Habitats'!$AG$49:$AG$63,MATCH(Q137,'G-1 All Habitats'!$AF$27:$AF$41,0)),"")</f>
        <v/>
      </c>
      <c r="Q137" s="149" t="str">
        <f t="shared" si="13"/>
        <v/>
      </c>
      <c r="R137" s="150"/>
      <c r="S137" s="151" t="str">
        <f>IFERROR(INDEX('G-1 All Habitats'!$B$3:$B$135,MATCH(R137,'G-1 All Habitats'!$A$3:$A$135,0)),"")</f>
        <v/>
      </c>
      <c r="T137" s="283" t="str">
        <f t="shared" si="14"/>
        <v/>
      </c>
      <c r="U137" s="276" t="str">
        <f t="shared" si="15"/>
        <v/>
      </c>
      <c r="V137" s="298" t="str">
        <f t="shared" si="11"/>
        <v/>
      </c>
      <c r="W137" s="295" t="str">
        <f>IF(S137="","",VLOOKUP(S137,'G-1 All Habitats'!$B$2:$M$135,10,FALSE))</f>
        <v/>
      </c>
      <c r="X137" s="295" t="str">
        <f>IFERROR(VLOOKUP(W137,'G-1 All Habitats'!$V$3:$W$7,2,FALSE),"")</f>
        <v/>
      </c>
      <c r="Y137" s="138"/>
      <c r="Z137" s="299" t="str">
        <f>IFERROR(INDEX('G-8 Condition Look up'!$A$3:$H$135,MATCH(S137,'G-8 Condition Look up'!$A$3:$A$135,0),MATCH(Y137,'G-8 Condition Look up'!$A$3:$H$3,0)),"")</f>
        <v/>
      </c>
      <c r="AA137" s="101"/>
      <c r="AB137" s="314" t="str">
        <f>IF(AA137="","",IF(VLOOKUP(AA137,'G-3 Multipliers'!$L$3:$N$6,2,FALSE)=0,"Spatial Data Missing ⚠",VLOOKUP(AA137,'G-3 Multipliers'!$L$3:$N$6,2,FALSE)))</f>
        <v/>
      </c>
      <c r="AC137" s="299" t="str">
        <f>IF(AA137="","",IF(VLOOKUP(AA137,'G-3 Multipliers'!$L$3:$N$6,3,FALSE)=0,"Spatial Data Missing ⚠",VLOOKUP(AA137,'G-3 Multipliers'!$L$3:$N$6,3,FALSE)))</f>
        <v/>
      </c>
      <c r="AD137" s="311" t="str">
        <f t="shared" si="12"/>
        <v/>
      </c>
      <c r="AE137" s="138"/>
      <c r="AF137" s="138"/>
      <c r="AG137" s="295" t="str">
        <f t="shared" si="16"/>
        <v/>
      </c>
      <c r="AH137" s="296" t="str">
        <f t="shared" si="17"/>
        <v/>
      </c>
      <c r="AI137" s="300" t="str">
        <f>IF(AH137="Check Data ⚠","Check Data ⚠",IFERROR(VLOOKUP(AH137,'G-4 Temporal multipliers'!$A$4:$C$36,3,FALSE),""))</f>
        <v/>
      </c>
      <c r="AJ137" s="311" t="str">
        <f>IF(S137="","",VLOOKUP(S137,'G-3 Multipliers'!$A$2:$E$134,4,FALSE))</f>
        <v/>
      </c>
      <c r="AK137" s="295" t="str">
        <f t="shared" si="18"/>
        <v/>
      </c>
      <c r="AL137" s="295" t="str">
        <f t="shared" si="19"/>
        <v/>
      </c>
      <c r="AM137" s="299" t="str">
        <f>IFERROR(IF(F137="","",IF(AH137="Check Data ⚠","Check Data ⚠",VLOOKUP(AL137,'G-3 Multipliers'!$P$2:$Q$6,2,FALSE))),"")</f>
        <v/>
      </c>
      <c r="AN137" s="712" t="str">
        <f>IF(E137="","",IF(ISNA(VLOOKUP($E137,'D-1 Off-Site Habitat Baseline'!$D$1:$Z$258,15,FALSE)),"",(VLOOKUP($E137,'D-1 Off-Site Habitat Baseline'!$D$1:$Z$258,15,FALSE))))</f>
        <v/>
      </c>
      <c r="AO137" s="329" t="str">
        <f>IF(AN137="","",IF(VLOOKUP(AN137,'G-3 Multipliers'!$S$3:$T$10,2,FALSE)=0,"Spatial Data Missing ⚠",VLOOKUP(AN137,'G-3 Multipliers'!$S$3:$T$10,2,FALSE)))</f>
        <v/>
      </c>
      <c r="AP137" s="289" t="str">
        <f t="shared" si="20"/>
        <v/>
      </c>
      <c r="AQ137" s="289" t="str">
        <f t="shared" si="21"/>
        <v/>
      </c>
      <c r="AR137" s="105"/>
      <c r="AS137" s="138"/>
      <c r="AT137" s="104"/>
      <c r="AU137" s="104"/>
      <c r="AY137" s="30" t="str">
        <f>IF(E137="","",IF(ISNA(VLOOKUP($E137,'D-1 Off-Site Habitat Baseline'!$D$1:$AV$258,4,FALSE)),"",(VLOOKUP($E137,'D-1 Off-Site Habitat Baseline'!$D$1:$AV$258,4,FALSE))))</f>
        <v/>
      </c>
    </row>
    <row r="138" spans="1:51" ht="14">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319" t="str">
        <f>'D-1 Off-Site Habitat Baseline'!AP137</f>
        <v/>
      </c>
      <c r="F138" s="283" t="str">
        <f>IF(E138="","",IF(ISNA(VLOOKUP($E138,'D-1 Off-Site Habitat Baseline'!$D$1:$ZZ$258,45,FALSE)),"",(VLOOKUP($E138,'D-1 Off-Site Habitat Baseline'!$D$1:$ZZ$258,45,FALSE))))</f>
        <v/>
      </c>
      <c r="G138" s="295" t="str">
        <f>IF(E138="","",IF(ISNA(VLOOKUP($E138,'D-1 Off-Site Habitat Baseline'!$D$1:$O$258,5,FALSE)),"",(VLOOKUP($E138,'D-1 Off-Site Habitat Baseline'!$D$1:$O$258,5,FALSE))))</f>
        <v/>
      </c>
      <c r="H138" s="295" t="str">
        <f>IF(E138="","",IF(ISNA(VLOOKUP($E138,'D-1 Off-Site Habitat Baseline'!$D$1:$O$258,6,FALSE)),"",(VLOOKUP($E138,'D-1 Off-Site Habitat Baseline'!$D$1:$O$258,6,FALSE))))</f>
        <v/>
      </c>
      <c r="I138" s="295" t="str">
        <f>IF(E138="","",IF(ISNA(VLOOKUP($E138,'D-1 Off-Site Habitat Baseline'!$D$1:$O$258,7,FALSE)),"",(VLOOKUP($E138,'D-1 Off-Site Habitat Baseline'!$D$1:$O$258,7,FALSE))))</f>
        <v/>
      </c>
      <c r="J138" s="295" t="str">
        <f>IF(E138="","",IF(ISNA(VLOOKUP($E138,'D-1 Off-Site Habitat Baseline'!$D$1:$O$258,8,FALSE)),"",(VLOOKUP($E138,'D-1 Off-Site Habitat Baseline'!$D$1:$O$258,8,FALSE))))</f>
        <v/>
      </c>
      <c r="K138" s="295" t="str">
        <f>IF(E138="","",IF(ISNA(VLOOKUP($E138,'D-1 Off-Site Habitat Baseline'!$D$1:$O$258,9,FALSE)),"",(VLOOKUP($E138,'D-1 Off-Site Habitat Baseline'!$D$1:$O$258,9,FALSE))))</f>
        <v/>
      </c>
      <c r="L138" s="295" t="str">
        <f>IF(E138="","",IF(ISNA(VLOOKUP($E138,'D-1 Off-Site Habitat Baseline'!$D$1:$O$258,11,FALSE)),"",(VLOOKUP($E138,'D-1 Off-Site Habitat Baseline'!$D$1:$O$258,11,FALSE))))</f>
        <v/>
      </c>
      <c r="M138" s="295" t="str">
        <f>IF(E138="","",IF(ISNA(VLOOKUP($E138,'D-1 Off-Site Habitat Baseline'!$D$1:$O$258,12,FALSE)),"",(VLOOKUP($E138,'D-1 Off-Site Habitat Baseline'!$D$1:$O$258,12,FALSE))))</f>
        <v/>
      </c>
      <c r="N138" s="295" t="str">
        <f>IF(E138="","",IF(ISNA(VLOOKUP($E138,'D-1 Off-Site Habitat Baseline'!$D$1:$AA$258,17,FALSE)),"",(VLOOKUP($E138,'D-1 Off-Site Habitat Baseline'!$D$1:$AA$258,17,FALSE))))</f>
        <v/>
      </c>
      <c r="O138" s="299" t="str">
        <f>IF(E138="","",IF(ISNA(VLOOKUP($E138,'D-1 Off-Site Habitat Baseline'!$D$1:$AA$258,13,FALSE)),"",(VLOOKUP($E138,'D-1 Off-Site Habitat Baseline'!$D$1:$AA$258,13,FALSE))))</f>
        <v/>
      </c>
      <c r="P138" s="148" t="str">
        <f>IFERROR(INDEX('G-1 All Habitats'!$AG$49:$AG$63,MATCH(Q138,'G-1 All Habitats'!$AF$27:$AF$41,0)),"")</f>
        <v/>
      </c>
      <c r="Q138" s="149" t="str">
        <f t="shared" si="13"/>
        <v/>
      </c>
      <c r="R138" s="150"/>
      <c r="S138" s="151" t="str">
        <f>IFERROR(INDEX('G-1 All Habitats'!$B$3:$B$135,MATCH(R138,'G-1 All Habitats'!$A$3:$A$135,0)),"")</f>
        <v/>
      </c>
      <c r="T138" s="283" t="str">
        <f t="shared" si="14"/>
        <v/>
      </c>
      <c r="U138" s="276" t="str">
        <f t="shared" si="15"/>
        <v/>
      </c>
      <c r="V138" s="298" t="str">
        <f t="shared" si="11"/>
        <v/>
      </c>
      <c r="W138" s="295" t="str">
        <f>IF(S138="","",VLOOKUP(S138,'G-1 All Habitats'!$B$2:$M$135,10,FALSE))</f>
        <v/>
      </c>
      <c r="X138" s="295" t="str">
        <f>IFERROR(VLOOKUP(W138,'G-1 All Habitats'!$V$3:$W$7,2,FALSE),"")</f>
        <v/>
      </c>
      <c r="Y138" s="138"/>
      <c r="Z138" s="299" t="str">
        <f>IFERROR(INDEX('G-8 Condition Look up'!$A$3:$H$135,MATCH(S138,'G-8 Condition Look up'!$A$3:$A$135,0),MATCH(Y138,'G-8 Condition Look up'!$A$3:$H$3,0)),"")</f>
        <v/>
      </c>
      <c r="AA138" s="101"/>
      <c r="AB138" s="314" t="str">
        <f>IF(AA138="","",IF(VLOOKUP(AA138,'G-3 Multipliers'!$L$3:$N$6,2,FALSE)=0,"Spatial Data Missing ⚠",VLOOKUP(AA138,'G-3 Multipliers'!$L$3:$N$6,2,FALSE)))</f>
        <v/>
      </c>
      <c r="AC138" s="299" t="str">
        <f>IF(AA138="","",IF(VLOOKUP(AA138,'G-3 Multipliers'!$L$3:$N$6,3,FALSE)=0,"Spatial Data Missing ⚠",VLOOKUP(AA138,'G-3 Multipliers'!$L$3:$N$6,3,FALSE)))</f>
        <v/>
      </c>
      <c r="AD138" s="311" t="str">
        <f t="shared" si="12"/>
        <v/>
      </c>
      <c r="AE138" s="138"/>
      <c r="AF138" s="138"/>
      <c r="AG138" s="295" t="str">
        <f t="shared" si="16"/>
        <v/>
      </c>
      <c r="AH138" s="296" t="str">
        <f t="shared" si="17"/>
        <v/>
      </c>
      <c r="AI138" s="300" t="str">
        <f>IF(AH138="Check Data ⚠","Check Data ⚠",IFERROR(VLOOKUP(AH138,'G-4 Temporal multipliers'!$A$4:$C$36,3,FALSE),""))</f>
        <v/>
      </c>
      <c r="AJ138" s="311" t="str">
        <f>IF(S138="","",VLOOKUP(S138,'G-3 Multipliers'!$A$2:$E$134,4,FALSE))</f>
        <v/>
      </c>
      <c r="AK138" s="295" t="str">
        <f t="shared" si="18"/>
        <v/>
      </c>
      <c r="AL138" s="295" t="str">
        <f t="shared" si="19"/>
        <v/>
      </c>
      <c r="AM138" s="299" t="str">
        <f>IFERROR(IF(F138="","",IF(AH138="Check Data ⚠","Check Data ⚠",VLOOKUP(AL138,'G-3 Multipliers'!$P$2:$Q$6,2,FALSE))),"")</f>
        <v/>
      </c>
      <c r="AN138" s="712" t="str">
        <f>IF(E138="","",IF(ISNA(VLOOKUP($E138,'D-1 Off-Site Habitat Baseline'!$D$1:$Z$258,15,FALSE)),"",(VLOOKUP($E138,'D-1 Off-Site Habitat Baseline'!$D$1:$Z$258,15,FALSE))))</f>
        <v/>
      </c>
      <c r="AO138" s="329" t="str">
        <f>IF(AN138="","",IF(VLOOKUP(AN138,'G-3 Multipliers'!$S$3:$T$10,2,FALSE)=0,"Spatial Data Missing ⚠",VLOOKUP(AN138,'G-3 Multipliers'!$S$3:$T$10,2,FALSE)))</f>
        <v/>
      </c>
      <c r="AP138" s="289" t="str">
        <f t="shared" si="20"/>
        <v/>
      </c>
      <c r="AQ138" s="289" t="str">
        <f t="shared" si="21"/>
        <v/>
      </c>
      <c r="AR138" s="105"/>
      <c r="AS138" s="138"/>
      <c r="AT138" s="104"/>
      <c r="AU138" s="104"/>
      <c r="AY138" s="30" t="str">
        <f>IF(E138="","",IF(ISNA(VLOOKUP($E138,'D-1 Off-Site Habitat Baseline'!$D$1:$AV$258,4,FALSE)),"",(VLOOKUP($E138,'D-1 Off-Site Habitat Baseline'!$D$1:$AV$258,4,FALSE))))</f>
        <v/>
      </c>
    </row>
    <row r="139" spans="1:51" ht="14">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319" t="str">
        <f>'D-1 Off-Site Habitat Baseline'!AP138</f>
        <v/>
      </c>
      <c r="F139" s="283" t="str">
        <f>IF(E139="","",IF(ISNA(VLOOKUP($E139,'D-1 Off-Site Habitat Baseline'!$D$1:$ZZ$258,45,FALSE)),"",(VLOOKUP($E139,'D-1 Off-Site Habitat Baseline'!$D$1:$ZZ$258,45,FALSE))))</f>
        <v/>
      </c>
      <c r="G139" s="295" t="str">
        <f>IF(E139="","",IF(ISNA(VLOOKUP($E139,'D-1 Off-Site Habitat Baseline'!$D$1:$O$258,5,FALSE)),"",(VLOOKUP($E139,'D-1 Off-Site Habitat Baseline'!$D$1:$O$258,5,FALSE))))</f>
        <v/>
      </c>
      <c r="H139" s="295" t="str">
        <f>IF(E139="","",IF(ISNA(VLOOKUP($E139,'D-1 Off-Site Habitat Baseline'!$D$1:$O$258,6,FALSE)),"",(VLOOKUP($E139,'D-1 Off-Site Habitat Baseline'!$D$1:$O$258,6,FALSE))))</f>
        <v/>
      </c>
      <c r="I139" s="295" t="str">
        <f>IF(E139="","",IF(ISNA(VLOOKUP($E139,'D-1 Off-Site Habitat Baseline'!$D$1:$O$258,7,FALSE)),"",(VLOOKUP($E139,'D-1 Off-Site Habitat Baseline'!$D$1:$O$258,7,FALSE))))</f>
        <v/>
      </c>
      <c r="J139" s="295" t="str">
        <f>IF(E139="","",IF(ISNA(VLOOKUP($E139,'D-1 Off-Site Habitat Baseline'!$D$1:$O$258,8,FALSE)),"",(VLOOKUP($E139,'D-1 Off-Site Habitat Baseline'!$D$1:$O$258,8,FALSE))))</f>
        <v/>
      </c>
      <c r="K139" s="295" t="str">
        <f>IF(E139="","",IF(ISNA(VLOOKUP($E139,'D-1 Off-Site Habitat Baseline'!$D$1:$O$258,9,FALSE)),"",(VLOOKUP($E139,'D-1 Off-Site Habitat Baseline'!$D$1:$O$258,9,FALSE))))</f>
        <v/>
      </c>
      <c r="L139" s="295" t="str">
        <f>IF(E139="","",IF(ISNA(VLOOKUP($E139,'D-1 Off-Site Habitat Baseline'!$D$1:$O$258,11,FALSE)),"",(VLOOKUP($E139,'D-1 Off-Site Habitat Baseline'!$D$1:$O$258,11,FALSE))))</f>
        <v/>
      </c>
      <c r="M139" s="295" t="str">
        <f>IF(E139="","",IF(ISNA(VLOOKUP($E139,'D-1 Off-Site Habitat Baseline'!$D$1:$O$258,12,FALSE)),"",(VLOOKUP($E139,'D-1 Off-Site Habitat Baseline'!$D$1:$O$258,12,FALSE))))</f>
        <v/>
      </c>
      <c r="N139" s="295" t="str">
        <f>IF(E139="","",IF(ISNA(VLOOKUP($E139,'D-1 Off-Site Habitat Baseline'!$D$1:$AA$258,17,FALSE)),"",(VLOOKUP($E139,'D-1 Off-Site Habitat Baseline'!$D$1:$AA$258,17,FALSE))))</f>
        <v/>
      </c>
      <c r="O139" s="299" t="str">
        <f>IF(E139="","",IF(ISNA(VLOOKUP($E139,'D-1 Off-Site Habitat Baseline'!$D$1:$AA$258,13,FALSE)),"",(VLOOKUP($E139,'D-1 Off-Site Habitat Baseline'!$D$1:$AA$258,13,FALSE))))</f>
        <v/>
      </c>
      <c r="P139" s="148" t="str">
        <f>IFERROR(INDEX('G-1 All Habitats'!$AG$49:$AG$63,MATCH(Q139,'G-1 All Habitats'!$AF$27:$AF$41,0)),"")</f>
        <v/>
      </c>
      <c r="Q139" s="149" t="str">
        <f t="shared" si="13"/>
        <v/>
      </c>
      <c r="R139" s="150"/>
      <c r="S139" s="151" t="str">
        <f>IFERROR(INDEX('G-1 All Habitats'!$B$3:$B$135,MATCH(R139,'G-1 All Habitats'!$A$3:$A$135,0)),"")</f>
        <v/>
      </c>
      <c r="T139" s="283" t="str">
        <f t="shared" si="14"/>
        <v/>
      </c>
      <c r="U139" s="276" t="str">
        <f t="shared" si="15"/>
        <v/>
      </c>
      <c r="V139" s="298" t="str">
        <f t="shared" si="11"/>
        <v/>
      </c>
      <c r="W139" s="295" t="str">
        <f>IF(S139="","",VLOOKUP(S139,'G-1 All Habitats'!$B$2:$M$135,10,FALSE))</f>
        <v/>
      </c>
      <c r="X139" s="295" t="str">
        <f>IFERROR(VLOOKUP(W139,'G-1 All Habitats'!$V$3:$W$7,2,FALSE),"")</f>
        <v/>
      </c>
      <c r="Y139" s="138"/>
      <c r="Z139" s="299" t="str">
        <f>IFERROR(INDEX('G-8 Condition Look up'!$A$3:$H$135,MATCH(S139,'G-8 Condition Look up'!$A$3:$A$135,0),MATCH(Y139,'G-8 Condition Look up'!$A$3:$H$3,0)),"")</f>
        <v/>
      </c>
      <c r="AA139" s="101"/>
      <c r="AB139" s="314" t="str">
        <f>IF(AA139="","",IF(VLOOKUP(AA139,'G-3 Multipliers'!$L$3:$N$6,2,FALSE)=0,"Spatial Data Missing ⚠",VLOOKUP(AA139,'G-3 Multipliers'!$L$3:$N$6,2,FALSE)))</f>
        <v/>
      </c>
      <c r="AC139" s="299" t="str">
        <f>IF(AA139="","",IF(VLOOKUP(AA139,'G-3 Multipliers'!$L$3:$N$6,3,FALSE)=0,"Spatial Data Missing ⚠",VLOOKUP(AA139,'G-3 Multipliers'!$L$3:$N$6,3,FALSE)))</f>
        <v/>
      </c>
      <c r="AD139" s="311" t="str">
        <f t="shared" si="12"/>
        <v/>
      </c>
      <c r="AE139" s="138"/>
      <c r="AF139" s="138"/>
      <c r="AG139" s="295" t="str">
        <f t="shared" si="16"/>
        <v/>
      </c>
      <c r="AH139" s="296" t="str">
        <f t="shared" si="17"/>
        <v/>
      </c>
      <c r="AI139" s="300" t="str">
        <f>IF(AH139="Check Data ⚠","Check Data ⚠",IFERROR(VLOOKUP(AH139,'G-4 Temporal multipliers'!$A$4:$C$36,3,FALSE),""))</f>
        <v/>
      </c>
      <c r="AJ139" s="311" t="str">
        <f>IF(S139="","",VLOOKUP(S139,'G-3 Multipliers'!$A$2:$E$134,4,FALSE))</f>
        <v/>
      </c>
      <c r="AK139" s="295" t="str">
        <f t="shared" si="18"/>
        <v/>
      </c>
      <c r="AL139" s="295" t="str">
        <f t="shared" si="19"/>
        <v/>
      </c>
      <c r="AM139" s="299" t="str">
        <f>IFERROR(IF(F139="","",IF(AH139="Check Data ⚠","Check Data ⚠",VLOOKUP(AL139,'G-3 Multipliers'!$P$2:$Q$6,2,FALSE))),"")</f>
        <v/>
      </c>
      <c r="AN139" s="712" t="str">
        <f>IF(E139="","",IF(ISNA(VLOOKUP($E139,'D-1 Off-Site Habitat Baseline'!$D$1:$Z$258,15,FALSE)),"",(VLOOKUP($E139,'D-1 Off-Site Habitat Baseline'!$D$1:$Z$258,15,FALSE))))</f>
        <v/>
      </c>
      <c r="AO139" s="329" t="str">
        <f>IF(AN139="","",IF(VLOOKUP(AN139,'G-3 Multipliers'!$S$3:$T$10,2,FALSE)=0,"Spatial Data Missing ⚠",VLOOKUP(AN139,'G-3 Multipliers'!$S$3:$T$10,2,FALSE)))</f>
        <v/>
      </c>
      <c r="AP139" s="289" t="str">
        <f t="shared" si="20"/>
        <v/>
      </c>
      <c r="AQ139" s="289" t="str">
        <f t="shared" si="21"/>
        <v/>
      </c>
      <c r="AR139" s="105"/>
      <c r="AS139" s="138"/>
      <c r="AT139" s="104"/>
      <c r="AU139" s="104"/>
      <c r="AY139" s="30" t="str">
        <f>IF(E139="","",IF(ISNA(VLOOKUP($E139,'D-1 Off-Site Habitat Baseline'!$D$1:$AV$258,4,FALSE)),"",(VLOOKUP($E139,'D-1 Off-Site Habitat Baseline'!$D$1:$AV$258,4,FALSE))))</f>
        <v/>
      </c>
    </row>
    <row r="140" spans="1:51" ht="14">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319" t="str">
        <f>'D-1 Off-Site Habitat Baseline'!AP139</f>
        <v/>
      </c>
      <c r="F140" s="283" t="str">
        <f>IF(E140="","",IF(ISNA(VLOOKUP($E140,'D-1 Off-Site Habitat Baseline'!$D$1:$ZZ$258,45,FALSE)),"",(VLOOKUP($E140,'D-1 Off-Site Habitat Baseline'!$D$1:$ZZ$258,45,FALSE))))</f>
        <v/>
      </c>
      <c r="G140" s="295" t="str">
        <f>IF(E140="","",IF(ISNA(VLOOKUP($E140,'D-1 Off-Site Habitat Baseline'!$D$1:$O$258,5,FALSE)),"",(VLOOKUP($E140,'D-1 Off-Site Habitat Baseline'!$D$1:$O$258,5,FALSE))))</f>
        <v/>
      </c>
      <c r="H140" s="295" t="str">
        <f>IF(E140="","",IF(ISNA(VLOOKUP($E140,'D-1 Off-Site Habitat Baseline'!$D$1:$O$258,6,FALSE)),"",(VLOOKUP($E140,'D-1 Off-Site Habitat Baseline'!$D$1:$O$258,6,FALSE))))</f>
        <v/>
      </c>
      <c r="I140" s="295" t="str">
        <f>IF(E140="","",IF(ISNA(VLOOKUP($E140,'D-1 Off-Site Habitat Baseline'!$D$1:$O$258,7,FALSE)),"",(VLOOKUP($E140,'D-1 Off-Site Habitat Baseline'!$D$1:$O$258,7,FALSE))))</f>
        <v/>
      </c>
      <c r="J140" s="295" t="str">
        <f>IF(E140="","",IF(ISNA(VLOOKUP($E140,'D-1 Off-Site Habitat Baseline'!$D$1:$O$258,8,FALSE)),"",(VLOOKUP($E140,'D-1 Off-Site Habitat Baseline'!$D$1:$O$258,8,FALSE))))</f>
        <v/>
      </c>
      <c r="K140" s="295" t="str">
        <f>IF(E140="","",IF(ISNA(VLOOKUP($E140,'D-1 Off-Site Habitat Baseline'!$D$1:$O$258,9,FALSE)),"",(VLOOKUP($E140,'D-1 Off-Site Habitat Baseline'!$D$1:$O$258,9,FALSE))))</f>
        <v/>
      </c>
      <c r="L140" s="295" t="str">
        <f>IF(E140="","",IF(ISNA(VLOOKUP($E140,'D-1 Off-Site Habitat Baseline'!$D$1:$O$258,11,FALSE)),"",(VLOOKUP($E140,'D-1 Off-Site Habitat Baseline'!$D$1:$O$258,11,FALSE))))</f>
        <v/>
      </c>
      <c r="M140" s="295" t="str">
        <f>IF(E140="","",IF(ISNA(VLOOKUP($E140,'D-1 Off-Site Habitat Baseline'!$D$1:$O$258,12,FALSE)),"",(VLOOKUP($E140,'D-1 Off-Site Habitat Baseline'!$D$1:$O$258,12,FALSE))))</f>
        <v/>
      </c>
      <c r="N140" s="295" t="str">
        <f>IF(E140="","",IF(ISNA(VLOOKUP($E140,'D-1 Off-Site Habitat Baseline'!$D$1:$AA$258,17,FALSE)),"",(VLOOKUP($E140,'D-1 Off-Site Habitat Baseline'!$D$1:$AA$258,17,FALSE))))</f>
        <v/>
      </c>
      <c r="O140" s="299" t="str">
        <f>IF(E140="","",IF(ISNA(VLOOKUP($E140,'D-1 Off-Site Habitat Baseline'!$D$1:$AA$258,13,FALSE)),"",(VLOOKUP($E140,'D-1 Off-Site Habitat Baseline'!$D$1:$AA$258,13,FALSE))))</f>
        <v/>
      </c>
      <c r="P140" s="148" t="str">
        <f>IFERROR(INDEX('G-1 All Habitats'!$AG$49:$AG$63,MATCH(Q140,'G-1 All Habitats'!$AF$27:$AF$41,0)),"")</f>
        <v/>
      </c>
      <c r="Q140" s="149" t="str">
        <f t="shared" si="13"/>
        <v/>
      </c>
      <c r="R140" s="150"/>
      <c r="S140" s="151" t="str">
        <f>IFERROR(INDEX('G-1 All Habitats'!$B$3:$B$135,MATCH(R140,'G-1 All Habitats'!$A$3:$A$135,0)),"")</f>
        <v/>
      </c>
      <c r="T140" s="283" t="str">
        <f t="shared" si="14"/>
        <v/>
      </c>
      <c r="U140" s="276" t="str">
        <f t="shared" si="15"/>
        <v/>
      </c>
      <c r="V140" s="298" t="str">
        <f t="shared" si="22" ref="V140:V203">IF(S140="","",VLOOKUP(E140,BaselineHabOffsite,20,FALSE))</f>
        <v/>
      </c>
      <c r="W140" s="295" t="str">
        <f>IF(S140="","",VLOOKUP(S140,'G-1 All Habitats'!$B$2:$M$135,10,FALSE))</f>
        <v/>
      </c>
      <c r="X140" s="295" t="str">
        <f>IFERROR(VLOOKUP(W140,'G-1 All Habitats'!$V$3:$W$7,2,FALSE),"")</f>
        <v/>
      </c>
      <c r="Y140" s="138"/>
      <c r="Z140" s="299" t="str">
        <f>IFERROR(INDEX('G-8 Condition Look up'!$A$3:$H$135,MATCH(S140,'G-8 Condition Look up'!$A$3:$A$135,0),MATCH(Y140,'G-8 Condition Look up'!$A$3:$H$3,0)),"")</f>
        <v/>
      </c>
      <c r="AA140" s="101"/>
      <c r="AB140" s="314" t="str">
        <f>IF(AA140="","",IF(VLOOKUP(AA140,'G-3 Multipliers'!$L$3:$N$6,2,FALSE)=0,"Spatial Data Missing ⚠",VLOOKUP(AA140,'G-3 Multipliers'!$L$3:$N$6,2,FALSE)))</f>
        <v/>
      </c>
      <c r="AC140" s="299" t="str">
        <f>IF(AA140="","",IF(VLOOKUP(AA140,'G-3 Multipliers'!$L$3:$N$6,3,FALSE)=0,"Spatial Data Missing ⚠",VLOOKUP(AA140,'G-3 Multipliers'!$L$3:$N$6,3,FALSE)))</f>
        <v/>
      </c>
      <c r="AD140" s="311" t="str">
        <f t="shared" si="23" ref="AD140:AD203">IFERROR(IF(OR(LEFT(U140,5)="Error",LEFT(T140,5)="Error"),"Check Data ⚠",INDEX(EnhanceTemporal,MATCH(S140,EnhanceHabitat,0),MATCH(U140,EnhanceCondition,0))),"")</f>
        <v/>
      </c>
      <c r="AE140" s="138"/>
      <c r="AF140" s="138"/>
      <c r="AG140" s="295" t="str">
        <f t="shared" si="16"/>
        <v/>
      </c>
      <c r="AH140" s="296" t="str">
        <f t="shared" si="17"/>
        <v/>
      </c>
      <c r="AI140" s="300" t="str">
        <f>IF(AH140="Check Data ⚠","Check Data ⚠",IFERROR(VLOOKUP(AH140,'G-4 Temporal multipliers'!$A$4:$C$36,3,FALSE),""))</f>
        <v/>
      </c>
      <c r="AJ140" s="311" t="str">
        <f>IF(S140="","",VLOOKUP(S140,'G-3 Multipliers'!$A$2:$E$134,4,FALSE))</f>
        <v/>
      </c>
      <c r="AK140" s="295" t="str">
        <f t="shared" si="18"/>
        <v/>
      </c>
      <c r="AL140" s="295" t="str">
        <f t="shared" si="19"/>
        <v/>
      </c>
      <c r="AM140" s="299" t="str">
        <f>IFERROR(IF(F140="","",IF(AH140="Check Data ⚠","Check Data ⚠",VLOOKUP(AL140,'G-3 Multipliers'!$P$2:$Q$6,2,FALSE))),"")</f>
        <v/>
      </c>
      <c r="AN140" s="712" t="str">
        <f>IF(E140="","",IF(ISNA(VLOOKUP($E140,'D-1 Off-Site Habitat Baseline'!$D$1:$Z$258,15,FALSE)),"",(VLOOKUP($E140,'D-1 Off-Site Habitat Baseline'!$D$1:$Z$258,15,FALSE))))</f>
        <v/>
      </c>
      <c r="AO140" s="329" t="str">
        <f>IF(AN140="","",IF(VLOOKUP(AN140,'G-3 Multipliers'!$S$3:$T$10,2,FALSE)=0,"Spatial Data Missing ⚠",VLOOKUP(AN140,'G-3 Multipliers'!$S$3:$T$10,2,FALSE)))</f>
        <v/>
      </c>
      <c r="AP140" s="289" t="str">
        <f t="shared" si="20"/>
        <v/>
      </c>
      <c r="AQ140" s="289" t="str">
        <f t="shared" si="21"/>
        <v/>
      </c>
      <c r="AR140" s="105"/>
      <c r="AS140" s="138"/>
      <c r="AT140" s="104"/>
      <c r="AU140" s="104"/>
      <c r="AY140" s="30" t="str">
        <f>IF(E140="","",IF(ISNA(VLOOKUP($E140,'D-1 Off-Site Habitat Baseline'!$D$1:$AV$258,4,FALSE)),"",(VLOOKUP($E140,'D-1 Off-Site Habitat Baseline'!$D$1:$AV$258,4,FALSE))))</f>
        <v/>
      </c>
    </row>
    <row r="141" spans="1:51" ht="14">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319" t="str">
        <f>'D-1 Off-Site Habitat Baseline'!AP140</f>
        <v/>
      </c>
      <c r="F141" s="283" t="str">
        <f>IF(E141="","",IF(ISNA(VLOOKUP($E141,'D-1 Off-Site Habitat Baseline'!$D$1:$ZZ$258,45,FALSE)),"",(VLOOKUP($E141,'D-1 Off-Site Habitat Baseline'!$D$1:$ZZ$258,45,FALSE))))</f>
        <v/>
      </c>
      <c r="G141" s="295" t="str">
        <f>IF(E141="","",IF(ISNA(VLOOKUP($E141,'D-1 Off-Site Habitat Baseline'!$D$1:$O$258,5,FALSE)),"",(VLOOKUP($E141,'D-1 Off-Site Habitat Baseline'!$D$1:$O$258,5,FALSE))))</f>
        <v/>
      </c>
      <c r="H141" s="295" t="str">
        <f>IF(E141="","",IF(ISNA(VLOOKUP($E141,'D-1 Off-Site Habitat Baseline'!$D$1:$O$258,6,FALSE)),"",(VLOOKUP($E141,'D-1 Off-Site Habitat Baseline'!$D$1:$O$258,6,FALSE))))</f>
        <v/>
      </c>
      <c r="I141" s="295" t="str">
        <f>IF(E141="","",IF(ISNA(VLOOKUP($E141,'D-1 Off-Site Habitat Baseline'!$D$1:$O$258,7,FALSE)),"",(VLOOKUP($E141,'D-1 Off-Site Habitat Baseline'!$D$1:$O$258,7,FALSE))))</f>
        <v/>
      </c>
      <c r="J141" s="295" t="str">
        <f>IF(E141="","",IF(ISNA(VLOOKUP($E141,'D-1 Off-Site Habitat Baseline'!$D$1:$O$258,8,FALSE)),"",(VLOOKUP($E141,'D-1 Off-Site Habitat Baseline'!$D$1:$O$258,8,FALSE))))</f>
        <v/>
      </c>
      <c r="K141" s="295" t="str">
        <f>IF(E141="","",IF(ISNA(VLOOKUP($E141,'D-1 Off-Site Habitat Baseline'!$D$1:$O$258,9,FALSE)),"",(VLOOKUP($E141,'D-1 Off-Site Habitat Baseline'!$D$1:$O$258,9,FALSE))))</f>
        <v/>
      </c>
      <c r="L141" s="295" t="str">
        <f>IF(E141="","",IF(ISNA(VLOOKUP($E141,'D-1 Off-Site Habitat Baseline'!$D$1:$O$258,11,FALSE)),"",(VLOOKUP($E141,'D-1 Off-Site Habitat Baseline'!$D$1:$O$258,11,FALSE))))</f>
        <v/>
      </c>
      <c r="M141" s="295" t="str">
        <f>IF(E141="","",IF(ISNA(VLOOKUP($E141,'D-1 Off-Site Habitat Baseline'!$D$1:$O$258,12,FALSE)),"",(VLOOKUP($E141,'D-1 Off-Site Habitat Baseline'!$D$1:$O$258,12,FALSE))))</f>
        <v/>
      </c>
      <c r="N141" s="295" t="str">
        <f>IF(E141="","",IF(ISNA(VLOOKUP($E141,'D-1 Off-Site Habitat Baseline'!$D$1:$AA$258,17,FALSE)),"",(VLOOKUP($E141,'D-1 Off-Site Habitat Baseline'!$D$1:$AA$258,17,FALSE))))</f>
        <v/>
      </c>
      <c r="O141" s="299" t="str">
        <f>IF(E141="","",IF(ISNA(VLOOKUP($E141,'D-1 Off-Site Habitat Baseline'!$D$1:$AA$258,13,FALSE)),"",(VLOOKUP($E141,'D-1 Off-Site Habitat Baseline'!$D$1:$AA$258,13,FALSE))))</f>
        <v/>
      </c>
      <c r="P141" s="148" t="str">
        <f>IFERROR(INDEX('G-1 All Habitats'!$AG$49:$AG$63,MATCH(Q141,'G-1 All Habitats'!$AF$27:$AF$41,0)),"")</f>
        <v/>
      </c>
      <c r="Q141" s="149" t="str">
        <f t="shared" si="24" ref="Q141:Q204">A141</f>
        <v/>
      </c>
      <c r="R141" s="150"/>
      <c r="S141" s="151" t="str">
        <f>IFERROR(INDEX('G-1 All Habitats'!$B$3:$B$135,MATCH(R141,'G-1 All Habitats'!$A$3:$A$135,0)),"")</f>
        <v/>
      </c>
      <c r="T141" s="283" t="str">
        <f t="shared" si="25" ref="T141:T204">IF(E141="","",IF(AND(LEFT(O141,6)="Same d",I141&gt;X141),"Error - Trading rules not satisfied ▲",IF(AND(LEFT(O141,6)="Same b",AND(LEFT(F141,5)&lt;&gt;LEFT(S141,5),I141&gt;X141)),"Error - Trading rules not satisfied ▲",IF(AND(LEFT(O141,6)="Same h",F141&lt;&gt;S141),"Error - Trading rules not satisfied ▲",IF(AND(LEFT(O141,6)="Bespok",F141&lt;&gt;S141,LEFT(F141,27)&lt;&gt;"Woodland and forest - Other"),"Error - Trading rules not satisfied ▲",IF(X141&lt;I141,"Error Trading Down ▲",IF(AND(R141="Littoral seagrass",F141&lt;&gt;"Intertidal sediment - Littoral seagrass",F141&lt;&gt;"Intertidal sediment - Littoral sand"),"Error - Enhancement not possible ▲",IF(AND(R141="Artificial hard structures with integrated greening of grey infrastructure (IGGI)",F141&lt;&gt;"Intertidal hard structures - Artificial hard structures with integrated greening of grey infrastructure (IGGI)",F141&lt;&gt;"Intertidal hard structures - Artificial hard structures",F141&lt;&gt;"Intertidal hard structures - Artificial features of hard structures"),"Error - Enhancement not possible ▲",H141&amp;" - "&amp;W141))))))))</f>
        <v/>
      </c>
      <c r="U141" s="276" t="str">
        <f t="shared" si="26" ref="U141:U204">IF(F141="","",IF(OR(LEFT(F141,27)&lt;&gt;"Woodland and forest - Other",LEFT(S141,8)&lt;&gt;"Woodland"),IF(AND(S141&lt;&gt;F141,AY141="Yes"),"Error you cannot replace an irreplaceable habitat ▲",IF(AND(LEFT(F141,55)&lt;&gt;LEFT(S141,55),T141="High - High"),"Error - Not like for like ▲",IF(AND(I141=X141,K141&gt;Z141),"Error - Can not reduce condition ▲",IF(K141&gt;Z141,"Error - condition cannot be reduced ▲",IF(AND(I141=X141,K141=Z141),"Error - No enhancement ▲",IF(X141&lt;I141,"Error Trading Down ▲",IF(AND(F141&lt;&gt;S141,I141&lt;X141),"Lower Distinctiveness Habitat"&amp;" - "&amp;Y141,J141&amp;" - "&amp;Y141))))))),IF(AND(LEFT(F141,55)&lt;&gt;LEFT(S141,55),T141="High - High"),"Error - Not like for like ▲",IF(AND(I141=X141,K141&gt;Z141),"Error - Can not reduce condition ▲",IF(K141&gt;Z141,"Error - condition cannot be reduced ▲",IF(AND(I141=X141,K141=Z141),"Error - No enhancement ▲",IF(X141&lt;I141,"Error Trading Down ▲",IF(AND(F141&lt;&gt;S141,I141&lt;X141),"Lower Distinctiveness Habitat"&amp;" - "&amp;Y141,J141&amp;" - "&amp;Y141))))))))</f>
        <v/>
      </c>
      <c r="V141" s="298" t="str">
        <f t="shared" si="22"/>
        <v/>
      </c>
      <c r="W141" s="295" t="str">
        <f>IF(S141="","",VLOOKUP(S141,'G-1 All Habitats'!$B$2:$M$135,10,FALSE))</f>
        <v/>
      </c>
      <c r="X141" s="295" t="str">
        <f>IFERROR(VLOOKUP(W141,'G-1 All Habitats'!$V$3:$W$7,2,FALSE),"")</f>
        <v/>
      </c>
      <c r="Y141" s="138"/>
      <c r="Z141" s="299" t="str">
        <f>IFERROR(INDEX('G-8 Condition Look up'!$A$3:$H$135,MATCH(S141,'G-8 Condition Look up'!$A$3:$A$135,0),MATCH(Y141,'G-8 Condition Look up'!$A$3:$H$3,0)),"")</f>
        <v/>
      </c>
      <c r="AA141" s="101"/>
      <c r="AB141" s="314" t="str">
        <f>IF(AA141="","",IF(VLOOKUP(AA141,'G-3 Multipliers'!$L$3:$N$6,2,FALSE)=0,"Spatial Data Missing ⚠",VLOOKUP(AA141,'G-3 Multipliers'!$L$3:$N$6,2,FALSE)))</f>
        <v/>
      </c>
      <c r="AC141" s="299" t="str">
        <f>IF(AA141="","",IF(VLOOKUP(AA141,'G-3 Multipliers'!$L$3:$N$6,3,FALSE)=0,"Spatial Data Missing ⚠",VLOOKUP(AA141,'G-3 Multipliers'!$L$3:$N$6,3,FALSE)))</f>
        <v/>
      </c>
      <c r="AD141" s="311" t="str">
        <f t="shared" si="23"/>
        <v/>
      </c>
      <c r="AE141" s="138"/>
      <c r="AF141" s="138"/>
      <c r="AG141" s="295" t="str">
        <f t="shared" si="27" ref="AG141:AG204">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296" t="str">
        <f t="shared" si="28" ref="AH141:AH204">IF(AG141="Error -both advance and delayed habitat creation ▲","Check Data ⚠",IF(AG141="Check Data ⚠","Check Data ⚠",IF(AD141="","",IF(AD141="Not Possible ▲","CheckData ⚠",IF(AND(AD141="30+",AE141=0),"30+",IF(AND(AD141="30+",AE141="30+"),0,IF(AND(AD141="30+",AE141&lt;30),30-AE141,IF(AD141="30+",30-AE141,IF(AF141="30+","30+",IF(AE141&gt;AD141,0,IF(AD141+AF141&gt;30,"30+",IF(AD141+AF141&gt;30,"30+",IF(AD141-AE141&gt;30,"30+",IF(AD141+AF141-AE141&gt;0,AD141+AF141-AE141,IF(AD141-AE141&gt;0,AD141-AE141,AD141+AF141-AE141)))))))))))))))</f>
        <v/>
      </c>
      <c r="AI141" s="300" t="str">
        <f>IF(AH141="Check Data ⚠","Check Data ⚠",IFERROR(VLOOKUP(AH141,'G-4 Temporal multipliers'!$A$4:$C$36,3,FALSE),""))</f>
        <v/>
      </c>
      <c r="AJ141" s="311" t="str">
        <f>IF(S141="","",VLOOKUP(S141,'G-3 Multipliers'!$A$2:$E$134,4,FALSE))</f>
        <v/>
      </c>
      <c r="AK141" s="295" t="str">
        <f t="shared" si="29" ref="AK141:AK204">IF(E141="","",IF(AG141="Check details - Is there evidence that habitat has reached target condition? ⚠","Low Difficulty - only applicable if all habitat created before losses ⚠","Standard difficulty applied"))</f>
        <v/>
      </c>
      <c r="AL141" s="295" t="str">
        <f t="shared" si="30" ref="AL141:AL204">(IF(AND(AK141="Standard difficulty applied",AD141&gt;AE141),AJ141,IF(AND(AK141="Low Difficulty - only applicable if all habitat created before losses ⚠",AE141&gt;=AD141),"Low",AJ141)))</f>
        <v/>
      </c>
      <c r="AM141" s="299" t="str">
        <f>IFERROR(IF(F141="","",IF(AH141="Check Data ⚠","Check Data ⚠",VLOOKUP(AL141,'G-3 Multipliers'!$P$2:$Q$6,2,FALSE))),"")</f>
        <v/>
      </c>
      <c r="AN141" s="712" t="str">
        <f>IF(E141="","",IF(ISNA(VLOOKUP($E141,'D-1 Off-Site Habitat Baseline'!$D$1:$Z$258,15,FALSE)),"",(VLOOKUP($E141,'D-1 Off-Site Habitat Baseline'!$D$1:$Z$258,15,FALSE))))</f>
        <v/>
      </c>
      <c r="AO141" s="329" t="str">
        <f>IF(AN141="","",IF(VLOOKUP(AN141,'G-3 Multipliers'!$S$3:$T$10,2,FALSE)=0,"Spatial Data Missing ⚠",VLOOKUP(AN141,'G-3 Multipliers'!$S$3:$T$10,2,FALSE)))</f>
        <v/>
      </c>
      <c r="AP141" s="289" t="str">
        <f t="shared" si="31" ref="AP141:AP204">IFERROR(IF(N141="Check Data ⚠","Check Data ⚠",(((((V141*X141*Z141)-(V141*I141*K141))*(AM141*AI141))+(V141*I141*K141))*(AC141)*AO141)),"")</f>
        <v/>
      </c>
      <c r="AQ141" s="289" t="str">
        <f t="shared" si="32" ref="AQ141:AQ204">IFERROR(IF(AN141="","",(IF(AND(AN141&lt;&gt;"",AU141=""),"Off-site reference required ▲",IF(N141="Error - you cannot enhance irreplaceable individual trees ▲","Error - you cannot enhance irreplaceable individual trees ▲",IF(N141="Check Data ⚠","Check Data ⚠",((((V141*X141*Z141)-(V141*I141*K141))*(AM141*AI141))+(V141*I141*K141))*(AC141)))))),"")</f>
        <v/>
      </c>
      <c r="AR141" s="105"/>
      <c r="AS141" s="138"/>
      <c r="AT141" s="104"/>
      <c r="AU141" s="104"/>
      <c r="AY141" s="30" t="str">
        <f>IF(E141="","",IF(ISNA(VLOOKUP($E141,'D-1 Off-Site Habitat Baseline'!$D$1:$AV$258,4,FALSE)),"",(VLOOKUP($E141,'D-1 Off-Site Habitat Baseline'!$D$1:$AV$258,4,FALSE))))</f>
        <v/>
      </c>
    </row>
    <row r="142" spans="1:51" ht="14">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319" t="str">
        <f>'D-1 Off-Site Habitat Baseline'!AP141</f>
        <v/>
      </c>
      <c r="F142" s="283" t="str">
        <f>IF(E142="","",IF(ISNA(VLOOKUP($E142,'D-1 Off-Site Habitat Baseline'!$D$1:$ZZ$258,45,FALSE)),"",(VLOOKUP($E142,'D-1 Off-Site Habitat Baseline'!$D$1:$ZZ$258,45,FALSE))))</f>
        <v/>
      </c>
      <c r="G142" s="295" t="str">
        <f>IF(E142="","",IF(ISNA(VLOOKUP($E142,'D-1 Off-Site Habitat Baseline'!$D$1:$O$258,5,FALSE)),"",(VLOOKUP($E142,'D-1 Off-Site Habitat Baseline'!$D$1:$O$258,5,FALSE))))</f>
        <v/>
      </c>
      <c r="H142" s="295" t="str">
        <f>IF(E142="","",IF(ISNA(VLOOKUP($E142,'D-1 Off-Site Habitat Baseline'!$D$1:$O$258,6,FALSE)),"",(VLOOKUP($E142,'D-1 Off-Site Habitat Baseline'!$D$1:$O$258,6,FALSE))))</f>
        <v/>
      </c>
      <c r="I142" s="295" t="str">
        <f>IF(E142="","",IF(ISNA(VLOOKUP($E142,'D-1 Off-Site Habitat Baseline'!$D$1:$O$258,7,FALSE)),"",(VLOOKUP($E142,'D-1 Off-Site Habitat Baseline'!$D$1:$O$258,7,FALSE))))</f>
        <v/>
      </c>
      <c r="J142" s="295" t="str">
        <f>IF(E142="","",IF(ISNA(VLOOKUP($E142,'D-1 Off-Site Habitat Baseline'!$D$1:$O$258,8,FALSE)),"",(VLOOKUP($E142,'D-1 Off-Site Habitat Baseline'!$D$1:$O$258,8,FALSE))))</f>
        <v/>
      </c>
      <c r="K142" s="295" t="str">
        <f>IF(E142="","",IF(ISNA(VLOOKUP($E142,'D-1 Off-Site Habitat Baseline'!$D$1:$O$258,9,FALSE)),"",(VLOOKUP($E142,'D-1 Off-Site Habitat Baseline'!$D$1:$O$258,9,FALSE))))</f>
        <v/>
      </c>
      <c r="L142" s="295" t="str">
        <f>IF(E142="","",IF(ISNA(VLOOKUP($E142,'D-1 Off-Site Habitat Baseline'!$D$1:$O$258,11,FALSE)),"",(VLOOKUP($E142,'D-1 Off-Site Habitat Baseline'!$D$1:$O$258,11,FALSE))))</f>
        <v/>
      </c>
      <c r="M142" s="295" t="str">
        <f>IF(E142="","",IF(ISNA(VLOOKUP($E142,'D-1 Off-Site Habitat Baseline'!$D$1:$O$258,12,FALSE)),"",(VLOOKUP($E142,'D-1 Off-Site Habitat Baseline'!$D$1:$O$258,12,FALSE))))</f>
        <v/>
      </c>
      <c r="N142" s="295" t="str">
        <f>IF(E142="","",IF(ISNA(VLOOKUP($E142,'D-1 Off-Site Habitat Baseline'!$D$1:$AA$258,17,FALSE)),"",(VLOOKUP($E142,'D-1 Off-Site Habitat Baseline'!$D$1:$AA$258,17,FALSE))))</f>
        <v/>
      </c>
      <c r="O142" s="299" t="str">
        <f>IF(E142="","",IF(ISNA(VLOOKUP($E142,'D-1 Off-Site Habitat Baseline'!$D$1:$AA$258,13,FALSE)),"",(VLOOKUP($E142,'D-1 Off-Site Habitat Baseline'!$D$1:$AA$258,13,FALSE))))</f>
        <v/>
      </c>
      <c r="P142" s="148" t="str">
        <f>IFERROR(INDEX('G-1 All Habitats'!$AG$49:$AG$63,MATCH(Q142,'G-1 All Habitats'!$AF$27:$AF$41,0)),"")</f>
        <v/>
      </c>
      <c r="Q142" s="149" t="str">
        <f t="shared" si="24"/>
        <v/>
      </c>
      <c r="R142" s="150"/>
      <c r="S142" s="151" t="str">
        <f>IFERROR(INDEX('G-1 All Habitats'!$B$3:$B$135,MATCH(R142,'G-1 All Habitats'!$A$3:$A$135,0)),"")</f>
        <v/>
      </c>
      <c r="T142" s="283" t="str">
        <f t="shared" si="25"/>
        <v/>
      </c>
      <c r="U142" s="276" t="str">
        <f t="shared" si="26"/>
        <v/>
      </c>
      <c r="V142" s="298" t="str">
        <f t="shared" si="22"/>
        <v/>
      </c>
      <c r="W142" s="295" t="str">
        <f>IF(S142="","",VLOOKUP(S142,'G-1 All Habitats'!$B$2:$M$135,10,FALSE))</f>
        <v/>
      </c>
      <c r="X142" s="295" t="str">
        <f>IFERROR(VLOOKUP(W142,'G-1 All Habitats'!$V$3:$W$7,2,FALSE),"")</f>
        <v/>
      </c>
      <c r="Y142" s="138"/>
      <c r="Z142" s="299" t="str">
        <f>IFERROR(INDEX('G-8 Condition Look up'!$A$3:$H$135,MATCH(S142,'G-8 Condition Look up'!$A$3:$A$135,0),MATCH(Y142,'G-8 Condition Look up'!$A$3:$H$3,0)),"")</f>
        <v/>
      </c>
      <c r="AA142" s="101"/>
      <c r="AB142" s="314" t="str">
        <f>IF(AA142="","",IF(VLOOKUP(AA142,'G-3 Multipliers'!$L$3:$N$6,2,FALSE)=0,"Spatial Data Missing ⚠",VLOOKUP(AA142,'G-3 Multipliers'!$L$3:$N$6,2,FALSE)))</f>
        <v/>
      </c>
      <c r="AC142" s="299" t="str">
        <f>IF(AA142="","",IF(VLOOKUP(AA142,'G-3 Multipliers'!$L$3:$N$6,3,FALSE)=0,"Spatial Data Missing ⚠",VLOOKUP(AA142,'G-3 Multipliers'!$L$3:$N$6,3,FALSE)))</f>
        <v/>
      </c>
      <c r="AD142" s="311" t="str">
        <f t="shared" si="23"/>
        <v/>
      </c>
      <c r="AE142" s="138"/>
      <c r="AF142" s="138"/>
      <c r="AG142" s="295" t="str">
        <f t="shared" si="27"/>
        <v/>
      </c>
      <c r="AH142" s="296" t="str">
        <f t="shared" si="28"/>
        <v/>
      </c>
      <c r="AI142" s="300" t="str">
        <f>IF(AH142="Check Data ⚠","Check Data ⚠",IFERROR(VLOOKUP(AH142,'G-4 Temporal multipliers'!$A$4:$C$36,3,FALSE),""))</f>
        <v/>
      </c>
      <c r="AJ142" s="311" t="str">
        <f>IF(S142="","",VLOOKUP(S142,'G-3 Multipliers'!$A$2:$E$134,4,FALSE))</f>
        <v/>
      </c>
      <c r="AK142" s="295" t="str">
        <f t="shared" si="29"/>
        <v/>
      </c>
      <c r="AL142" s="295" t="str">
        <f t="shared" si="30"/>
        <v/>
      </c>
      <c r="AM142" s="299" t="str">
        <f>IFERROR(IF(F142="","",IF(AH142="Check Data ⚠","Check Data ⚠",VLOOKUP(AL142,'G-3 Multipliers'!$P$2:$Q$6,2,FALSE))),"")</f>
        <v/>
      </c>
      <c r="AN142" s="712" t="str">
        <f>IF(E142="","",IF(ISNA(VLOOKUP($E142,'D-1 Off-Site Habitat Baseline'!$D$1:$Z$258,15,FALSE)),"",(VLOOKUP($E142,'D-1 Off-Site Habitat Baseline'!$D$1:$Z$258,15,FALSE))))</f>
        <v/>
      </c>
      <c r="AO142" s="329" t="str">
        <f>IF(AN142="","",IF(VLOOKUP(AN142,'G-3 Multipliers'!$S$3:$T$10,2,FALSE)=0,"Spatial Data Missing ⚠",VLOOKUP(AN142,'G-3 Multipliers'!$S$3:$T$10,2,FALSE)))</f>
        <v/>
      </c>
      <c r="AP142" s="289" t="str">
        <f t="shared" si="31"/>
        <v/>
      </c>
      <c r="AQ142" s="289" t="str">
        <f t="shared" si="32"/>
        <v/>
      </c>
      <c r="AR142" s="105"/>
      <c r="AS142" s="138"/>
      <c r="AT142" s="104"/>
      <c r="AU142" s="104"/>
      <c r="AY142" s="30" t="str">
        <f>IF(E142="","",IF(ISNA(VLOOKUP($E142,'D-1 Off-Site Habitat Baseline'!$D$1:$AV$258,4,FALSE)),"",(VLOOKUP($E142,'D-1 Off-Site Habitat Baseline'!$D$1:$AV$258,4,FALSE))))</f>
        <v/>
      </c>
    </row>
    <row r="143" spans="1:51" ht="14">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319" t="str">
        <f>'D-1 Off-Site Habitat Baseline'!AP142</f>
        <v/>
      </c>
      <c r="F143" s="283" t="str">
        <f>IF(E143="","",IF(ISNA(VLOOKUP($E143,'D-1 Off-Site Habitat Baseline'!$D$1:$ZZ$258,45,FALSE)),"",(VLOOKUP($E143,'D-1 Off-Site Habitat Baseline'!$D$1:$ZZ$258,45,FALSE))))</f>
        <v/>
      </c>
      <c r="G143" s="295" t="str">
        <f>IF(E143="","",IF(ISNA(VLOOKUP($E143,'D-1 Off-Site Habitat Baseline'!$D$1:$O$258,5,FALSE)),"",(VLOOKUP($E143,'D-1 Off-Site Habitat Baseline'!$D$1:$O$258,5,FALSE))))</f>
        <v/>
      </c>
      <c r="H143" s="295" t="str">
        <f>IF(E143="","",IF(ISNA(VLOOKUP($E143,'D-1 Off-Site Habitat Baseline'!$D$1:$O$258,6,FALSE)),"",(VLOOKUP($E143,'D-1 Off-Site Habitat Baseline'!$D$1:$O$258,6,FALSE))))</f>
        <v/>
      </c>
      <c r="I143" s="295" t="str">
        <f>IF(E143="","",IF(ISNA(VLOOKUP($E143,'D-1 Off-Site Habitat Baseline'!$D$1:$O$258,7,FALSE)),"",(VLOOKUP($E143,'D-1 Off-Site Habitat Baseline'!$D$1:$O$258,7,FALSE))))</f>
        <v/>
      </c>
      <c r="J143" s="295" t="str">
        <f>IF(E143="","",IF(ISNA(VLOOKUP($E143,'D-1 Off-Site Habitat Baseline'!$D$1:$O$258,8,FALSE)),"",(VLOOKUP($E143,'D-1 Off-Site Habitat Baseline'!$D$1:$O$258,8,FALSE))))</f>
        <v/>
      </c>
      <c r="K143" s="295" t="str">
        <f>IF(E143="","",IF(ISNA(VLOOKUP($E143,'D-1 Off-Site Habitat Baseline'!$D$1:$O$258,9,FALSE)),"",(VLOOKUP($E143,'D-1 Off-Site Habitat Baseline'!$D$1:$O$258,9,FALSE))))</f>
        <v/>
      </c>
      <c r="L143" s="295" t="str">
        <f>IF(E143="","",IF(ISNA(VLOOKUP($E143,'D-1 Off-Site Habitat Baseline'!$D$1:$O$258,11,FALSE)),"",(VLOOKUP($E143,'D-1 Off-Site Habitat Baseline'!$D$1:$O$258,11,FALSE))))</f>
        <v/>
      </c>
      <c r="M143" s="295" t="str">
        <f>IF(E143="","",IF(ISNA(VLOOKUP($E143,'D-1 Off-Site Habitat Baseline'!$D$1:$O$258,12,FALSE)),"",(VLOOKUP($E143,'D-1 Off-Site Habitat Baseline'!$D$1:$O$258,12,FALSE))))</f>
        <v/>
      </c>
      <c r="N143" s="295" t="str">
        <f>IF(E143="","",IF(ISNA(VLOOKUP($E143,'D-1 Off-Site Habitat Baseline'!$D$1:$AA$258,17,FALSE)),"",(VLOOKUP($E143,'D-1 Off-Site Habitat Baseline'!$D$1:$AA$258,17,FALSE))))</f>
        <v/>
      </c>
      <c r="O143" s="299" t="str">
        <f>IF(E143="","",IF(ISNA(VLOOKUP($E143,'D-1 Off-Site Habitat Baseline'!$D$1:$AA$258,13,FALSE)),"",(VLOOKUP($E143,'D-1 Off-Site Habitat Baseline'!$D$1:$AA$258,13,FALSE))))</f>
        <v/>
      </c>
      <c r="P143" s="148" t="str">
        <f>IFERROR(INDEX('G-1 All Habitats'!$AG$49:$AG$63,MATCH(Q143,'G-1 All Habitats'!$AF$27:$AF$41,0)),"")</f>
        <v/>
      </c>
      <c r="Q143" s="149" t="str">
        <f t="shared" si="24"/>
        <v/>
      </c>
      <c r="R143" s="150"/>
      <c r="S143" s="151" t="str">
        <f>IFERROR(INDEX('G-1 All Habitats'!$B$3:$B$135,MATCH(R143,'G-1 All Habitats'!$A$3:$A$135,0)),"")</f>
        <v/>
      </c>
      <c r="T143" s="283" t="str">
        <f t="shared" si="25"/>
        <v/>
      </c>
      <c r="U143" s="276" t="str">
        <f t="shared" si="26"/>
        <v/>
      </c>
      <c r="V143" s="298" t="str">
        <f t="shared" si="22"/>
        <v/>
      </c>
      <c r="W143" s="295" t="str">
        <f>IF(S143="","",VLOOKUP(S143,'G-1 All Habitats'!$B$2:$M$135,10,FALSE))</f>
        <v/>
      </c>
      <c r="X143" s="295" t="str">
        <f>IFERROR(VLOOKUP(W143,'G-1 All Habitats'!$V$3:$W$7,2,FALSE),"")</f>
        <v/>
      </c>
      <c r="Y143" s="138"/>
      <c r="Z143" s="299" t="str">
        <f>IFERROR(INDEX('G-8 Condition Look up'!$A$3:$H$135,MATCH(S143,'G-8 Condition Look up'!$A$3:$A$135,0),MATCH(Y143,'G-8 Condition Look up'!$A$3:$H$3,0)),"")</f>
        <v/>
      </c>
      <c r="AA143" s="101"/>
      <c r="AB143" s="314" t="str">
        <f>IF(AA143="","",IF(VLOOKUP(AA143,'G-3 Multipliers'!$L$3:$N$6,2,FALSE)=0,"Spatial Data Missing ⚠",VLOOKUP(AA143,'G-3 Multipliers'!$L$3:$N$6,2,FALSE)))</f>
        <v/>
      </c>
      <c r="AC143" s="299" t="str">
        <f>IF(AA143="","",IF(VLOOKUP(AA143,'G-3 Multipliers'!$L$3:$N$6,3,FALSE)=0,"Spatial Data Missing ⚠",VLOOKUP(AA143,'G-3 Multipliers'!$L$3:$N$6,3,FALSE)))</f>
        <v/>
      </c>
      <c r="AD143" s="311" t="str">
        <f t="shared" si="23"/>
        <v/>
      </c>
      <c r="AE143" s="138"/>
      <c r="AF143" s="138"/>
      <c r="AG143" s="295" t="str">
        <f t="shared" si="27"/>
        <v/>
      </c>
      <c r="AH143" s="296" t="str">
        <f t="shared" si="28"/>
        <v/>
      </c>
      <c r="AI143" s="300" t="str">
        <f>IF(AH143="Check Data ⚠","Check Data ⚠",IFERROR(VLOOKUP(AH143,'G-4 Temporal multipliers'!$A$4:$C$36,3,FALSE),""))</f>
        <v/>
      </c>
      <c r="AJ143" s="311" t="str">
        <f>IF(S143="","",VLOOKUP(S143,'G-3 Multipliers'!$A$2:$E$134,4,FALSE))</f>
        <v/>
      </c>
      <c r="AK143" s="295" t="str">
        <f t="shared" si="29"/>
        <v/>
      </c>
      <c r="AL143" s="295" t="str">
        <f t="shared" si="30"/>
        <v/>
      </c>
      <c r="AM143" s="299" t="str">
        <f>IFERROR(IF(F143="","",IF(AH143="Check Data ⚠","Check Data ⚠",VLOOKUP(AL143,'G-3 Multipliers'!$P$2:$Q$6,2,FALSE))),"")</f>
        <v/>
      </c>
      <c r="AN143" s="712" t="str">
        <f>IF(E143="","",IF(ISNA(VLOOKUP($E143,'D-1 Off-Site Habitat Baseline'!$D$1:$Z$258,15,FALSE)),"",(VLOOKUP($E143,'D-1 Off-Site Habitat Baseline'!$D$1:$Z$258,15,FALSE))))</f>
        <v/>
      </c>
      <c r="AO143" s="329" t="str">
        <f>IF(AN143="","",IF(VLOOKUP(AN143,'G-3 Multipliers'!$S$3:$T$10,2,FALSE)=0,"Spatial Data Missing ⚠",VLOOKUP(AN143,'G-3 Multipliers'!$S$3:$T$10,2,FALSE)))</f>
        <v/>
      </c>
      <c r="AP143" s="289" t="str">
        <f t="shared" si="31"/>
        <v/>
      </c>
      <c r="AQ143" s="289" t="str">
        <f t="shared" si="32"/>
        <v/>
      </c>
      <c r="AR143" s="105"/>
      <c r="AS143" s="138"/>
      <c r="AT143" s="104"/>
      <c r="AU143" s="104"/>
      <c r="AY143" s="30" t="str">
        <f>IF(E143="","",IF(ISNA(VLOOKUP($E143,'D-1 Off-Site Habitat Baseline'!$D$1:$AV$258,4,FALSE)),"",(VLOOKUP($E143,'D-1 Off-Site Habitat Baseline'!$D$1:$AV$258,4,FALSE))))</f>
        <v/>
      </c>
    </row>
    <row r="144" spans="1:51" ht="14">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319" t="str">
        <f>'D-1 Off-Site Habitat Baseline'!AP143</f>
        <v/>
      </c>
      <c r="F144" s="283" t="str">
        <f>IF(E144="","",IF(ISNA(VLOOKUP($E144,'D-1 Off-Site Habitat Baseline'!$D$1:$ZZ$258,45,FALSE)),"",(VLOOKUP($E144,'D-1 Off-Site Habitat Baseline'!$D$1:$ZZ$258,45,FALSE))))</f>
        <v/>
      </c>
      <c r="G144" s="295" t="str">
        <f>IF(E144="","",IF(ISNA(VLOOKUP($E144,'D-1 Off-Site Habitat Baseline'!$D$1:$O$258,5,FALSE)),"",(VLOOKUP($E144,'D-1 Off-Site Habitat Baseline'!$D$1:$O$258,5,FALSE))))</f>
        <v/>
      </c>
      <c r="H144" s="295" t="str">
        <f>IF(E144="","",IF(ISNA(VLOOKUP($E144,'D-1 Off-Site Habitat Baseline'!$D$1:$O$258,6,FALSE)),"",(VLOOKUP($E144,'D-1 Off-Site Habitat Baseline'!$D$1:$O$258,6,FALSE))))</f>
        <v/>
      </c>
      <c r="I144" s="295" t="str">
        <f>IF(E144="","",IF(ISNA(VLOOKUP($E144,'D-1 Off-Site Habitat Baseline'!$D$1:$O$258,7,FALSE)),"",(VLOOKUP($E144,'D-1 Off-Site Habitat Baseline'!$D$1:$O$258,7,FALSE))))</f>
        <v/>
      </c>
      <c r="J144" s="295" t="str">
        <f>IF(E144="","",IF(ISNA(VLOOKUP($E144,'D-1 Off-Site Habitat Baseline'!$D$1:$O$258,8,FALSE)),"",(VLOOKUP($E144,'D-1 Off-Site Habitat Baseline'!$D$1:$O$258,8,FALSE))))</f>
        <v/>
      </c>
      <c r="K144" s="295" t="str">
        <f>IF(E144="","",IF(ISNA(VLOOKUP($E144,'D-1 Off-Site Habitat Baseline'!$D$1:$O$258,9,FALSE)),"",(VLOOKUP($E144,'D-1 Off-Site Habitat Baseline'!$D$1:$O$258,9,FALSE))))</f>
        <v/>
      </c>
      <c r="L144" s="295" t="str">
        <f>IF(E144="","",IF(ISNA(VLOOKUP($E144,'D-1 Off-Site Habitat Baseline'!$D$1:$O$258,11,FALSE)),"",(VLOOKUP($E144,'D-1 Off-Site Habitat Baseline'!$D$1:$O$258,11,FALSE))))</f>
        <v/>
      </c>
      <c r="M144" s="295" t="str">
        <f>IF(E144="","",IF(ISNA(VLOOKUP($E144,'D-1 Off-Site Habitat Baseline'!$D$1:$O$258,12,FALSE)),"",(VLOOKUP($E144,'D-1 Off-Site Habitat Baseline'!$D$1:$O$258,12,FALSE))))</f>
        <v/>
      </c>
      <c r="N144" s="295" t="str">
        <f>IF(E144="","",IF(ISNA(VLOOKUP($E144,'D-1 Off-Site Habitat Baseline'!$D$1:$AA$258,17,FALSE)),"",(VLOOKUP($E144,'D-1 Off-Site Habitat Baseline'!$D$1:$AA$258,17,FALSE))))</f>
        <v/>
      </c>
      <c r="O144" s="299" t="str">
        <f>IF(E144="","",IF(ISNA(VLOOKUP($E144,'D-1 Off-Site Habitat Baseline'!$D$1:$AA$258,13,FALSE)),"",(VLOOKUP($E144,'D-1 Off-Site Habitat Baseline'!$D$1:$AA$258,13,FALSE))))</f>
        <v/>
      </c>
      <c r="P144" s="148" t="str">
        <f>IFERROR(INDEX('G-1 All Habitats'!$AG$49:$AG$63,MATCH(Q144,'G-1 All Habitats'!$AF$27:$AF$41,0)),"")</f>
        <v/>
      </c>
      <c r="Q144" s="149" t="str">
        <f t="shared" si="24"/>
        <v/>
      </c>
      <c r="R144" s="150"/>
      <c r="S144" s="151" t="str">
        <f>IFERROR(INDEX('G-1 All Habitats'!$B$3:$B$135,MATCH(R144,'G-1 All Habitats'!$A$3:$A$135,0)),"")</f>
        <v/>
      </c>
      <c r="T144" s="283" t="str">
        <f t="shared" si="25"/>
        <v/>
      </c>
      <c r="U144" s="276" t="str">
        <f t="shared" si="26"/>
        <v/>
      </c>
      <c r="V144" s="298" t="str">
        <f t="shared" si="22"/>
        <v/>
      </c>
      <c r="W144" s="295" t="str">
        <f>IF(S144="","",VLOOKUP(S144,'G-1 All Habitats'!$B$2:$M$135,10,FALSE))</f>
        <v/>
      </c>
      <c r="X144" s="295" t="str">
        <f>IFERROR(VLOOKUP(W144,'G-1 All Habitats'!$V$3:$W$7,2,FALSE),"")</f>
        <v/>
      </c>
      <c r="Y144" s="138"/>
      <c r="Z144" s="299" t="str">
        <f>IFERROR(INDEX('G-8 Condition Look up'!$A$3:$H$135,MATCH(S144,'G-8 Condition Look up'!$A$3:$A$135,0),MATCH(Y144,'G-8 Condition Look up'!$A$3:$H$3,0)),"")</f>
        <v/>
      </c>
      <c r="AA144" s="101"/>
      <c r="AB144" s="314" t="str">
        <f>IF(AA144="","",IF(VLOOKUP(AA144,'G-3 Multipliers'!$L$3:$N$6,2,FALSE)=0,"Spatial Data Missing ⚠",VLOOKUP(AA144,'G-3 Multipliers'!$L$3:$N$6,2,FALSE)))</f>
        <v/>
      </c>
      <c r="AC144" s="299" t="str">
        <f>IF(AA144="","",IF(VLOOKUP(AA144,'G-3 Multipliers'!$L$3:$N$6,3,FALSE)=0,"Spatial Data Missing ⚠",VLOOKUP(AA144,'G-3 Multipliers'!$L$3:$N$6,3,FALSE)))</f>
        <v/>
      </c>
      <c r="AD144" s="311" t="str">
        <f t="shared" si="23"/>
        <v/>
      </c>
      <c r="AE144" s="138"/>
      <c r="AF144" s="138"/>
      <c r="AG144" s="295" t="str">
        <f t="shared" si="27"/>
        <v/>
      </c>
      <c r="AH144" s="296" t="str">
        <f t="shared" si="28"/>
        <v/>
      </c>
      <c r="AI144" s="300" t="str">
        <f>IF(AH144="Check Data ⚠","Check Data ⚠",IFERROR(VLOOKUP(AH144,'G-4 Temporal multipliers'!$A$4:$C$36,3,FALSE),""))</f>
        <v/>
      </c>
      <c r="AJ144" s="311" t="str">
        <f>IF(S144="","",VLOOKUP(S144,'G-3 Multipliers'!$A$2:$E$134,4,FALSE))</f>
        <v/>
      </c>
      <c r="AK144" s="295" t="str">
        <f t="shared" si="29"/>
        <v/>
      </c>
      <c r="AL144" s="295" t="str">
        <f t="shared" si="30"/>
        <v/>
      </c>
      <c r="AM144" s="299" t="str">
        <f>IFERROR(IF(F144="","",IF(AH144="Check Data ⚠","Check Data ⚠",VLOOKUP(AL144,'G-3 Multipliers'!$P$2:$Q$6,2,FALSE))),"")</f>
        <v/>
      </c>
      <c r="AN144" s="712" t="str">
        <f>IF(E144="","",IF(ISNA(VLOOKUP($E144,'D-1 Off-Site Habitat Baseline'!$D$1:$Z$258,15,FALSE)),"",(VLOOKUP($E144,'D-1 Off-Site Habitat Baseline'!$D$1:$Z$258,15,FALSE))))</f>
        <v/>
      </c>
      <c r="AO144" s="329" t="str">
        <f>IF(AN144="","",IF(VLOOKUP(AN144,'G-3 Multipliers'!$S$3:$T$10,2,FALSE)=0,"Spatial Data Missing ⚠",VLOOKUP(AN144,'G-3 Multipliers'!$S$3:$T$10,2,FALSE)))</f>
        <v/>
      </c>
      <c r="AP144" s="289" t="str">
        <f t="shared" si="31"/>
        <v/>
      </c>
      <c r="AQ144" s="289" t="str">
        <f t="shared" si="32"/>
        <v/>
      </c>
      <c r="AR144" s="105"/>
      <c r="AS144" s="138"/>
      <c r="AT144" s="104"/>
      <c r="AU144" s="104"/>
      <c r="AY144" s="30" t="str">
        <f>IF(E144="","",IF(ISNA(VLOOKUP($E144,'D-1 Off-Site Habitat Baseline'!$D$1:$AV$258,4,FALSE)),"",(VLOOKUP($E144,'D-1 Off-Site Habitat Baseline'!$D$1:$AV$258,4,FALSE))))</f>
        <v/>
      </c>
    </row>
    <row r="145" spans="1:51" ht="14">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319" t="str">
        <f>'D-1 Off-Site Habitat Baseline'!AP144</f>
        <v/>
      </c>
      <c r="F145" s="283" t="str">
        <f>IF(E145="","",IF(ISNA(VLOOKUP($E145,'D-1 Off-Site Habitat Baseline'!$D$1:$ZZ$258,45,FALSE)),"",(VLOOKUP($E145,'D-1 Off-Site Habitat Baseline'!$D$1:$ZZ$258,45,FALSE))))</f>
        <v/>
      </c>
      <c r="G145" s="295" t="str">
        <f>IF(E145="","",IF(ISNA(VLOOKUP($E145,'D-1 Off-Site Habitat Baseline'!$D$1:$O$258,5,FALSE)),"",(VLOOKUP($E145,'D-1 Off-Site Habitat Baseline'!$D$1:$O$258,5,FALSE))))</f>
        <v/>
      </c>
      <c r="H145" s="295" t="str">
        <f>IF(E145="","",IF(ISNA(VLOOKUP($E145,'D-1 Off-Site Habitat Baseline'!$D$1:$O$258,6,FALSE)),"",(VLOOKUP($E145,'D-1 Off-Site Habitat Baseline'!$D$1:$O$258,6,FALSE))))</f>
        <v/>
      </c>
      <c r="I145" s="295" t="str">
        <f>IF(E145="","",IF(ISNA(VLOOKUP($E145,'D-1 Off-Site Habitat Baseline'!$D$1:$O$258,7,FALSE)),"",(VLOOKUP($E145,'D-1 Off-Site Habitat Baseline'!$D$1:$O$258,7,FALSE))))</f>
        <v/>
      </c>
      <c r="J145" s="295" t="str">
        <f>IF(E145="","",IF(ISNA(VLOOKUP($E145,'D-1 Off-Site Habitat Baseline'!$D$1:$O$258,8,FALSE)),"",(VLOOKUP($E145,'D-1 Off-Site Habitat Baseline'!$D$1:$O$258,8,FALSE))))</f>
        <v/>
      </c>
      <c r="K145" s="295" t="str">
        <f>IF(E145="","",IF(ISNA(VLOOKUP($E145,'D-1 Off-Site Habitat Baseline'!$D$1:$O$258,9,FALSE)),"",(VLOOKUP($E145,'D-1 Off-Site Habitat Baseline'!$D$1:$O$258,9,FALSE))))</f>
        <v/>
      </c>
      <c r="L145" s="295" t="str">
        <f>IF(E145="","",IF(ISNA(VLOOKUP($E145,'D-1 Off-Site Habitat Baseline'!$D$1:$O$258,11,FALSE)),"",(VLOOKUP($E145,'D-1 Off-Site Habitat Baseline'!$D$1:$O$258,11,FALSE))))</f>
        <v/>
      </c>
      <c r="M145" s="295" t="str">
        <f>IF(E145="","",IF(ISNA(VLOOKUP($E145,'D-1 Off-Site Habitat Baseline'!$D$1:$O$258,12,FALSE)),"",(VLOOKUP($E145,'D-1 Off-Site Habitat Baseline'!$D$1:$O$258,12,FALSE))))</f>
        <v/>
      </c>
      <c r="N145" s="295" t="str">
        <f>IF(E145="","",IF(ISNA(VLOOKUP($E145,'D-1 Off-Site Habitat Baseline'!$D$1:$AA$258,17,FALSE)),"",(VLOOKUP($E145,'D-1 Off-Site Habitat Baseline'!$D$1:$AA$258,17,FALSE))))</f>
        <v/>
      </c>
      <c r="O145" s="299" t="str">
        <f>IF(E145="","",IF(ISNA(VLOOKUP($E145,'D-1 Off-Site Habitat Baseline'!$D$1:$AA$258,13,FALSE)),"",(VLOOKUP($E145,'D-1 Off-Site Habitat Baseline'!$D$1:$AA$258,13,FALSE))))</f>
        <v/>
      </c>
      <c r="P145" s="148" t="str">
        <f>IFERROR(INDEX('G-1 All Habitats'!$AG$49:$AG$63,MATCH(Q145,'G-1 All Habitats'!$AF$27:$AF$41,0)),"")</f>
        <v/>
      </c>
      <c r="Q145" s="149" t="str">
        <f t="shared" si="24"/>
        <v/>
      </c>
      <c r="R145" s="150"/>
      <c r="S145" s="151" t="str">
        <f>IFERROR(INDEX('G-1 All Habitats'!$B$3:$B$135,MATCH(R145,'G-1 All Habitats'!$A$3:$A$135,0)),"")</f>
        <v/>
      </c>
      <c r="T145" s="283" t="str">
        <f t="shared" si="25"/>
        <v/>
      </c>
      <c r="U145" s="276" t="str">
        <f t="shared" si="26"/>
        <v/>
      </c>
      <c r="V145" s="298" t="str">
        <f t="shared" si="22"/>
        <v/>
      </c>
      <c r="W145" s="295" t="str">
        <f>IF(S145="","",VLOOKUP(S145,'G-1 All Habitats'!$B$2:$M$135,10,FALSE))</f>
        <v/>
      </c>
      <c r="X145" s="295" t="str">
        <f>IFERROR(VLOOKUP(W145,'G-1 All Habitats'!$V$3:$W$7,2,FALSE),"")</f>
        <v/>
      </c>
      <c r="Y145" s="138"/>
      <c r="Z145" s="299" t="str">
        <f>IFERROR(INDEX('G-8 Condition Look up'!$A$3:$H$135,MATCH(S145,'G-8 Condition Look up'!$A$3:$A$135,0),MATCH(Y145,'G-8 Condition Look up'!$A$3:$H$3,0)),"")</f>
        <v/>
      </c>
      <c r="AA145" s="101"/>
      <c r="AB145" s="314" t="str">
        <f>IF(AA145="","",IF(VLOOKUP(AA145,'G-3 Multipliers'!$L$3:$N$6,2,FALSE)=0,"Spatial Data Missing ⚠",VLOOKUP(AA145,'G-3 Multipliers'!$L$3:$N$6,2,FALSE)))</f>
        <v/>
      </c>
      <c r="AC145" s="299" t="str">
        <f>IF(AA145="","",IF(VLOOKUP(AA145,'G-3 Multipliers'!$L$3:$N$6,3,FALSE)=0,"Spatial Data Missing ⚠",VLOOKUP(AA145,'G-3 Multipliers'!$L$3:$N$6,3,FALSE)))</f>
        <v/>
      </c>
      <c r="AD145" s="311" t="str">
        <f t="shared" si="23"/>
        <v/>
      </c>
      <c r="AE145" s="138"/>
      <c r="AF145" s="138"/>
      <c r="AG145" s="295" t="str">
        <f t="shared" si="27"/>
        <v/>
      </c>
      <c r="AH145" s="296" t="str">
        <f t="shared" si="28"/>
        <v/>
      </c>
      <c r="AI145" s="300" t="str">
        <f>IF(AH145="Check Data ⚠","Check Data ⚠",IFERROR(VLOOKUP(AH145,'G-4 Temporal multipliers'!$A$4:$C$36,3,FALSE),""))</f>
        <v/>
      </c>
      <c r="AJ145" s="311" t="str">
        <f>IF(S145="","",VLOOKUP(S145,'G-3 Multipliers'!$A$2:$E$134,4,FALSE))</f>
        <v/>
      </c>
      <c r="AK145" s="295" t="str">
        <f t="shared" si="29"/>
        <v/>
      </c>
      <c r="AL145" s="295" t="str">
        <f t="shared" si="30"/>
        <v/>
      </c>
      <c r="AM145" s="299" t="str">
        <f>IFERROR(IF(F145="","",IF(AH145="Check Data ⚠","Check Data ⚠",VLOOKUP(AL145,'G-3 Multipliers'!$P$2:$Q$6,2,FALSE))),"")</f>
        <v/>
      </c>
      <c r="AN145" s="712" t="str">
        <f>IF(E145="","",IF(ISNA(VLOOKUP($E145,'D-1 Off-Site Habitat Baseline'!$D$1:$Z$258,15,FALSE)),"",(VLOOKUP($E145,'D-1 Off-Site Habitat Baseline'!$D$1:$Z$258,15,FALSE))))</f>
        <v/>
      </c>
      <c r="AO145" s="329" t="str">
        <f>IF(AN145="","",IF(VLOOKUP(AN145,'G-3 Multipliers'!$S$3:$T$10,2,FALSE)=0,"Spatial Data Missing ⚠",VLOOKUP(AN145,'G-3 Multipliers'!$S$3:$T$10,2,FALSE)))</f>
        <v/>
      </c>
      <c r="AP145" s="289" t="str">
        <f t="shared" si="31"/>
        <v/>
      </c>
      <c r="AQ145" s="289" t="str">
        <f t="shared" si="32"/>
        <v/>
      </c>
      <c r="AR145" s="105"/>
      <c r="AS145" s="138"/>
      <c r="AT145" s="104"/>
      <c r="AU145" s="104"/>
      <c r="AY145" s="30" t="str">
        <f>IF(E145="","",IF(ISNA(VLOOKUP($E145,'D-1 Off-Site Habitat Baseline'!$D$1:$AV$258,4,FALSE)),"",(VLOOKUP($E145,'D-1 Off-Site Habitat Baseline'!$D$1:$AV$258,4,FALSE))))</f>
        <v/>
      </c>
    </row>
    <row r="146" spans="1:51" ht="14">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319" t="str">
        <f>'D-1 Off-Site Habitat Baseline'!AP145</f>
        <v/>
      </c>
      <c r="F146" s="283" t="str">
        <f>IF(E146="","",IF(ISNA(VLOOKUP($E146,'D-1 Off-Site Habitat Baseline'!$D$1:$ZZ$258,45,FALSE)),"",(VLOOKUP($E146,'D-1 Off-Site Habitat Baseline'!$D$1:$ZZ$258,45,FALSE))))</f>
        <v/>
      </c>
      <c r="G146" s="295" t="str">
        <f>IF(E146="","",IF(ISNA(VLOOKUP($E146,'D-1 Off-Site Habitat Baseline'!$D$1:$O$258,5,FALSE)),"",(VLOOKUP($E146,'D-1 Off-Site Habitat Baseline'!$D$1:$O$258,5,FALSE))))</f>
        <v/>
      </c>
      <c r="H146" s="295" t="str">
        <f>IF(E146="","",IF(ISNA(VLOOKUP($E146,'D-1 Off-Site Habitat Baseline'!$D$1:$O$258,6,FALSE)),"",(VLOOKUP($E146,'D-1 Off-Site Habitat Baseline'!$D$1:$O$258,6,FALSE))))</f>
        <v/>
      </c>
      <c r="I146" s="295" t="str">
        <f>IF(E146="","",IF(ISNA(VLOOKUP($E146,'D-1 Off-Site Habitat Baseline'!$D$1:$O$258,7,FALSE)),"",(VLOOKUP($E146,'D-1 Off-Site Habitat Baseline'!$D$1:$O$258,7,FALSE))))</f>
        <v/>
      </c>
      <c r="J146" s="295" t="str">
        <f>IF(E146="","",IF(ISNA(VLOOKUP($E146,'D-1 Off-Site Habitat Baseline'!$D$1:$O$258,8,FALSE)),"",(VLOOKUP($E146,'D-1 Off-Site Habitat Baseline'!$D$1:$O$258,8,FALSE))))</f>
        <v/>
      </c>
      <c r="K146" s="295" t="str">
        <f>IF(E146="","",IF(ISNA(VLOOKUP($E146,'D-1 Off-Site Habitat Baseline'!$D$1:$O$258,9,FALSE)),"",(VLOOKUP($E146,'D-1 Off-Site Habitat Baseline'!$D$1:$O$258,9,FALSE))))</f>
        <v/>
      </c>
      <c r="L146" s="295" t="str">
        <f>IF(E146="","",IF(ISNA(VLOOKUP($E146,'D-1 Off-Site Habitat Baseline'!$D$1:$O$258,11,FALSE)),"",(VLOOKUP($E146,'D-1 Off-Site Habitat Baseline'!$D$1:$O$258,11,FALSE))))</f>
        <v/>
      </c>
      <c r="M146" s="295" t="str">
        <f>IF(E146="","",IF(ISNA(VLOOKUP($E146,'D-1 Off-Site Habitat Baseline'!$D$1:$O$258,12,FALSE)),"",(VLOOKUP($E146,'D-1 Off-Site Habitat Baseline'!$D$1:$O$258,12,FALSE))))</f>
        <v/>
      </c>
      <c r="N146" s="295" t="str">
        <f>IF(E146="","",IF(ISNA(VLOOKUP($E146,'D-1 Off-Site Habitat Baseline'!$D$1:$AA$258,17,FALSE)),"",(VLOOKUP($E146,'D-1 Off-Site Habitat Baseline'!$D$1:$AA$258,17,FALSE))))</f>
        <v/>
      </c>
      <c r="O146" s="299" t="str">
        <f>IF(E146="","",IF(ISNA(VLOOKUP($E146,'D-1 Off-Site Habitat Baseline'!$D$1:$AA$258,13,FALSE)),"",(VLOOKUP($E146,'D-1 Off-Site Habitat Baseline'!$D$1:$AA$258,13,FALSE))))</f>
        <v/>
      </c>
      <c r="P146" s="148" t="str">
        <f>IFERROR(INDEX('G-1 All Habitats'!$AG$49:$AG$63,MATCH(Q146,'G-1 All Habitats'!$AF$27:$AF$41,0)),"")</f>
        <v/>
      </c>
      <c r="Q146" s="149" t="str">
        <f t="shared" si="24"/>
        <v/>
      </c>
      <c r="R146" s="150"/>
      <c r="S146" s="151" t="str">
        <f>IFERROR(INDEX('G-1 All Habitats'!$B$3:$B$135,MATCH(R146,'G-1 All Habitats'!$A$3:$A$135,0)),"")</f>
        <v/>
      </c>
      <c r="T146" s="283" t="str">
        <f t="shared" si="25"/>
        <v/>
      </c>
      <c r="U146" s="276" t="str">
        <f t="shared" si="26"/>
        <v/>
      </c>
      <c r="V146" s="298" t="str">
        <f t="shared" si="22"/>
        <v/>
      </c>
      <c r="W146" s="295" t="str">
        <f>IF(S146="","",VLOOKUP(S146,'G-1 All Habitats'!$B$2:$M$135,10,FALSE))</f>
        <v/>
      </c>
      <c r="X146" s="295" t="str">
        <f>IFERROR(VLOOKUP(W146,'G-1 All Habitats'!$V$3:$W$7,2,FALSE),"")</f>
        <v/>
      </c>
      <c r="Y146" s="138"/>
      <c r="Z146" s="299" t="str">
        <f>IFERROR(INDEX('G-8 Condition Look up'!$A$3:$H$135,MATCH(S146,'G-8 Condition Look up'!$A$3:$A$135,0),MATCH(Y146,'G-8 Condition Look up'!$A$3:$H$3,0)),"")</f>
        <v/>
      </c>
      <c r="AA146" s="101"/>
      <c r="AB146" s="314" t="str">
        <f>IF(AA146="","",IF(VLOOKUP(AA146,'G-3 Multipliers'!$L$3:$N$6,2,FALSE)=0,"Spatial Data Missing ⚠",VLOOKUP(AA146,'G-3 Multipliers'!$L$3:$N$6,2,FALSE)))</f>
        <v/>
      </c>
      <c r="AC146" s="299" t="str">
        <f>IF(AA146="","",IF(VLOOKUP(AA146,'G-3 Multipliers'!$L$3:$N$6,3,FALSE)=0,"Spatial Data Missing ⚠",VLOOKUP(AA146,'G-3 Multipliers'!$L$3:$N$6,3,FALSE)))</f>
        <v/>
      </c>
      <c r="AD146" s="311" t="str">
        <f t="shared" si="23"/>
        <v/>
      </c>
      <c r="AE146" s="138"/>
      <c r="AF146" s="138"/>
      <c r="AG146" s="295" t="str">
        <f t="shared" si="27"/>
        <v/>
      </c>
      <c r="AH146" s="296" t="str">
        <f t="shared" si="28"/>
        <v/>
      </c>
      <c r="AI146" s="300" t="str">
        <f>IF(AH146="Check Data ⚠","Check Data ⚠",IFERROR(VLOOKUP(AH146,'G-4 Temporal multipliers'!$A$4:$C$36,3,FALSE),""))</f>
        <v/>
      </c>
      <c r="AJ146" s="311" t="str">
        <f>IF(S146="","",VLOOKUP(S146,'G-3 Multipliers'!$A$2:$E$134,4,FALSE))</f>
        <v/>
      </c>
      <c r="AK146" s="295" t="str">
        <f t="shared" si="29"/>
        <v/>
      </c>
      <c r="AL146" s="295" t="str">
        <f t="shared" si="30"/>
        <v/>
      </c>
      <c r="AM146" s="299" t="str">
        <f>IFERROR(IF(F146="","",IF(AH146="Check Data ⚠","Check Data ⚠",VLOOKUP(AL146,'G-3 Multipliers'!$P$2:$Q$6,2,FALSE))),"")</f>
        <v/>
      </c>
      <c r="AN146" s="712" t="str">
        <f>IF(E146="","",IF(ISNA(VLOOKUP($E146,'D-1 Off-Site Habitat Baseline'!$D$1:$Z$258,15,FALSE)),"",(VLOOKUP($E146,'D-1 Off-Site Habitat Baseline'!$D$1:$Z$258,15,FALSE))))</f>
        <v/>
      </c>
      <c r="AO146" s="329" t="str">
        <f>IF(AN146="","",IF(VLOOKUP(AN146,'G-3 Multipliers'!$S$3:$T$10,2,FALSE)=0,"Spatial Data Missing ⚠",VLOOKUP(AN146,'G-3 Multipliers'!$S$3:$T$10,2,FALSE)))</f>
        <v/>
      </c>
      <c r="AP146" s="289" t="str">
        <f t="shared" si="31"/>
        <v/>
      </c>
      <c r="AQ146" s="289" t="str">
        <f t="shared" si="32"/>
        <v/>
      </c>
      <c r="AR146" s="105"/>
      <c r="AS146" s="138"/>
      <c r="AT146" s="104"/>
      <c r="AU146" s="104"/>
      <c r="AY146" s="30" t="str">
        <f>IF(E146="","",IF(ISNA(VLOOKUP($E146,'D-1 Off-Site Habitat Baseline'!$D$1:$AV$258,4,FALSE)),"",(VLOOKUP($E146,'D-1 Off-Site Habitat Baseline'!$D$1:$AV$258,4,FALSE))))</f>
        <v/>
      </c>
    </row>
    <row r="147" spans="1:51" ht="14">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319" t="str">
        <f>'D-1 Off-Site Habitat Baseline'!AP146</f>
        <v/>
      </c>
      <c r="F147" s="283" t="str">
        <f>IF(E147="","",IF(ISNA(VLOOKUP($E147,'D-1 Off-Site Habitat Baseline'!$D$1:$ZZ$258,45,FALSE)),"",(VLOOKUP($E147,'D-1 Off-Site Habitat Baseline'!$D$1:$ZZ$258,45,FALSE))))</f>
        <v/>
      </c>
      <c r="G147" s="295" t="str">
        <f>IF(E147="","",IF(ISNA(VLOOKUP($E147,'D-1 Off-Site Habitat Baseline'!$D$1:$O$258,5,FALSE)),"",(VLOOKUP($E147,'D-1 Off-Site Habitat Baseline'!$D$1:$O$258,5,FALSE))))</f>
        <v/>
      </c>
      <c r="H147" s="295" t="str">
        <f>IF(E147="","",IF(ISNA(VLOOKUP($E147,'D-1 Off-Site Habitat Baseline'!$D$1:$O$258,6,FALSE)),"",(VLOOKUP($E147,'D-1 Off-Site Habitat Baseline'!$D$1:$O$258,6,FALSE))))</f>
        <v/>
      </c>
      <c r="I147" s="295" t="str">
        <f>IF(E147="","",IF(ISNA(VLOOKUP($E147,'D-1 Off-Site Habitat Baseline'!$D$1:$O$258,7,FALSE)),"",(VLOOKUP($E147,'D-1 Off-Site Habitat Baseline'!$D$1:$O$258,7,FALSE))))</f>
        <v/>
      </c>
      <c r="J147" s="295" t="str">
        <f>IF(E147="","",IF(ISNA(VLOOKUP($E147,'D-1 Off-Site Habitat Baseline'!$D$1:$O$258,8,FALSE)),"",(VLOOKUP($E147,'D-1 Off-Site Habitat Baseline'!$D$1:$O$258,8,FALSE))))</f>
        <v/>
      </c>
      <c r="K147" s="295" t="str">
        <f>IF(E147="","",IF(ISNA(VLOOKUP($E147,'D-1 Off-Site Habitat Baseline'!$D$1:$O$258,9,FALSE)),"",(VLOOKUP($E147,'D-1 Off-Site Habitat Baseline'!$D$1:$O$258,9,FALSE))))</f>
        <v/>
      </c>
      <c r="L147" s="295" t="str">
        <f>IF(E147="","",IF(ISNA(VLOOKUP($E147,'D-1 Off-Site Habitat Baseline'!$D$1:$O$258,11,FALSE)),"",(VLOOKUP($E147,'D-1 Off-Site Habitat Baseline'!$D$1:$O$258,11,FALSE))))</f>
        <v/>
      </c>
      <c r="M147" s="295" t="str">
        <f>IF(E147="","",IF(ISNA(VLOOKUP($E147,'D-1 Off-Site Habitat Baseline'!$D$1:$O$258,12,FALSE)),"",(VLOOKUP($E147,'D-1 Off-Site Habitat Baseline'!$D$1:$O$258,12,FALSE))))</f>
        <v/>
      </c>
      <c r="N147" s="295" t="str">
        <f>IF(E147="","",IF(ISNA(VLOOKUP($E147,'D-1 Off-Site Habitat Baseline'!$D$1:$AA$258,17,FALSE)),"",(VLOOKUP($E147,'D-1 Off-Site Habitat Baseline'!$D$1:$AA$258,17,FALSE))))</f>
        <v/>
      </c>
      <c r="O147" s="299" t="str">
        <f>IF(E147="","",IF(ISNA(VLOOKUP($E147,'D-1 Off-Site Habitat Baseline'!$D$1:$AA$258,13,FALSE)),"",(VLOOKUP($E147,'D-1 Off-Site Habitat Baseline'!$D$1:$AA$258,13,FALSE))))</f>
        <v/>
      </c>
      <c r="P147" s="148" t="str">
        <f>IFERROR(INDEX('G-1 All Habitats'!$AG$49:$AG$63,MATCH(Q147,'G-1 All Habitats'!$AF$27:$AF$41,0)),"")</f>
        <v/>
      </c>
      <c r="Q147" s="149" t="str">
        <f t="shared" si="24"/>
        <v/>
      </c>
      <c r="R147" s="150"/>
      <c r="S147" s="151" t="str">
        <f>IFERROR(INDEX('G-1 All Habitats'!$B$3:$B$135,MATCH(R147,'G-1 All Habitats'!$A$3:$A$135,0)),"")</f>
        <v/>
      </c>
      <c r="T147" s="283" t="str">
        <f t="shared" si="25"/>
        <v/>
      </c>
      <c r="U147" s="276" t="str">
        <f t="shared" si="26"/>
        <v/>
      </c>
      <c r="V147" s="298" t="str">
        <f t="shared" si="22"/>
        <v/>
      </c>
      <c r="W147" s="295" t="str">
        <f>IF(S147="","",VLOOKUP(S147,'G-1 All Habitats'!$B$2:$M$135,10,FALSE))</f>
        <v/>
      </c>
      <c r="X147" s="295" t="str">
        <f>IFERROR(VLOOKUP(W147,'G-1 All Habitats'!$V$3:$W$7,2,FALSE),"")</f>
        <v/>
      </c>
      <c r="Y147" s="138"/>
      <c r="Z147" s="299" t="str">
        <f>IFERROR(INDEX('G-8 Condition Look up'!$A$3:$H$135,MATCH(S147,'G-8 Condition Look up'!$A$3:$A$135,0),MATCH(Y147,'G-8 Condition Look up'!$A$3:$H$3,0)),"")</f>
        <v/>
      </c>
      <c r="AA147" s="101"/>
      <c r="AB147" s="314" t="str">
        <f>IF(AA147="","",IF(VLOOKUP(AA147,'G-3 Multipliers'!$L$3:$N$6,2,FALSE)=0,"Spatial Data Missing ⚠",VLOOKUP(AA147,'G-3 Multipliers'!$L$3:$N$6,2,FALSE)))</f>
        <v/>
      </c>
      <c r="AC147" s="299" t="str">
        <f>IF(AA147="","",IF(VLOOKUP(AA147,'G-3 Multipliers'!$L$3:$N$6,3,FALSE)=0,"Spatial Data Missing ⚠",VLOOKUP(AA147,'G-3 Multipliers'!$L$3:$N$6,3,FALSE)))</f>
        <v/>
      </c>
      <c r="AD147" s="311" t="str">
        <f t="shared" si="23"/>
        <v/>
      </c>
      <c r="AE147" s="138"/>
      <c r="AF147" s="138"/>
      <c r="AG147" s="295" t="str">
        <f t="shared" si="27"/>
        <v/>
      </c>
      <c r="AH147" s="296" t="str">
        <f t="shared" si="28"/>
        <v/>
      </c>
      <c r="AI147" s="300" t="str">
        <f>IF(AH147="Check Data ⚠","Check Data ⚠",IFERROR(VLOOKUP(AH147,'G-4 Temporal multipliers'!$A$4:$C$36,3,FALSE),""))</f>
        <v/>
      </c>
      <c r="AJ147" s="311" t="str">
        <f>IF(S147="","",VLOOKUP(S147,'G-3 Multipliers'!$A$2:$E$134,4,FALSE))</f>
        <v/>
      </c>
      <c r="AK147" s="295" t="str">
        <f t="shared" si="29"/>
        <v/>
      </c>
      <c r="AL147" s="295" t="str">
        <f t="shared" si="30"/>
        <v/>
      </c>
      <c r="AM147" s="299" t="str">
        <f>IFERROR(IF(F147="","",IF(AH147="Check Data ⚠","Check Data ⚠",VLOOKUP(AL147,'G-3 Multipliers'!$P$2:$Q$6,2,FALSE))),"")</f>
        <v/>
      </c>
      <c r="AN147" s="712" t="str">
        <f>IF(E147="","",IF(ISNA(VLOOKUP($E147,'D-1 Off-Site Habitat Baseline'!$D$1:$Z$258,15,FALSE)),"",(VLOOKUP($E147,'D-1 Off-Site Habitat Baseline'!$D$1:$Z$258,15,FALSE))))</f>
        <v/>
      </c>
      <c r="AO147" s="329" t="str">
        <f>IF(AN147="","",IF(VLOOKUP(AN147,'G-3 Multipliers'!$S$3:$T$10,2,FALSE)=0,"Spatial Data Missing ⚠",VLOOKUP(AN147,'G-3 Multipliers'!$S$3:$T$10,2,FALSE)))</f>
        <v/>
      </c>
      <c r="AP147" s="289" t="str">
        <f t="shared" si="31"/>
        <v/>
      </c>
      <c r="AQ147" s="289" t="str">
        <f t="shared" si="32"/>
        <v/>
      </c>
      <c r="AR147" s="105"/>
      <c r="AS147" s="138"/>
      <c r="AT147" s="104"/>
      <c r="AU147" s="104"/>
      <c r="AY147" s="30" t="str">
        <f>IF(E147="","",IF(ISNA(VLOOKUP($E147,'D-1 Off-Site Habitat Baseline'!$D$1:$AV$258,4,FALSE)),"",(VLOOKUP($E147,'D-1 Off-Site Habitat Baseline'!$D$1:$AV$258,4,FALSE))))</f>
        <v/>
      </c>
    </row>
    <row r="148" spans="1:51" ht="14">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319" t="str">
        <f>'D-1 Off-Site Habitat Baseline'!AP147</f>
        <v/>
      </c>
      <c r="F148" s="283" t="str">
        <f>IF(E148="","",IF(ISNA(VLOOKUP($E148,'D-1 Off-Site Habitat Baseline'!$D$1:$ZZ$258,45,FALSE)),"",(VLOOKUP($E148,'D-1 Off-Site Habitat Baseline'!$D$1:$ZZ$258,45,FALSE))))</f>
        <v/>
      </c>
      <c r="G148" s="295" t="str">
        <f>IF(E148="","",IF(ISNA(VLOOKUP($E148,'D-1 Off-Site Habitat Baseline'!$D$1:$O$258,5,FALSE)),"",(VLOOKUP($E148,'D-1 Off-Site Habitat Baseline'!$D$1:$O$258,5,FALSE))))</f>
        <v/>
      </c>
      <c r="H148" s="295" t="str">
        <f>IF(E148="","",IF(ISNA(VLOOKUP($E148,'D-1 Off-Site Habitat Baseline'!$D$1:$O$258,6,FALSE)),"",(VLOOKUP($E148,'D-1 Off-Site Habitat Baseline'!$D$1:$O$258,6,FALSE))))</f>
        <v/>
      </c>
      <c r="I148" s="295" t="str">
        <f>IF(E148="","",IF(ISNA(VLOOKUP($E148,'D-1 Off-Site Habitat Baseline'!$D$1:$O$258,7,FALSE)),"",(VLOOKUP($E148,'D-1 Off-Site Habitat Baseline'!$D$1:$O$258,7,FALSE))))</f>
        <v/>
      </c>
      <c r="J148" s="295" t="str">
        <f>IF(E148="","",IF(ISNA(VLOOKUP($E148,'D-1 Off-Site Habitat Baseline'!$D$1:$O$258,8,FALSE)),"",(VLOOKUP($E148,'D-1 Off-Site Habitat Baseline'!$D$1:$O$258,8,FALSE))))</f>
        <v/>
      </c>
      <c r="K148" s="295" t="str">
        <f>IF(E148="","",IF(ISNA(VLOOKUP($E148,'D-1 Off-Site Habitat Baseline'!$D$1:$O$258,9,FALSE)),"",(VLOOKUP($E148,'D-1 Off-Site Habitat Baseline'!$D$1:$O$258,9,FALSE))))</f>
        <v/>
      </c>
      <c r="L148" s="295" t="str">
        <f>IF(E148="","",IF(ISNA(VLOOKUP($E148,'D-1 Off-Site Habitat Baseline'!$D$1:$O$258,11,FALSE)),"",(VLOOKUP($E148,'D-1 Off-Site Habitat Baseline'!$D$1:$O$258,11,FALSE))))</f>
        <v/>
      </c>
      <c r="M148" s="295" t="str">
        <f>IF(E148="","",IF(ISNA(VLOOKUP($E148,'D-1 Off-Site Habitat Baseline'!$D$1:$O$258,12,FALSE)),"",(VLOOKUP($E148,'D-1 Off-Site Habitat Baseline'!$D$1:$O$258,12,FALSE))))</f>
        <v/>
      </c>
      <c r="N148" s="295" t="str">
        <f>IF(E148="","",IF(ISNA(VLOOKUP($E148,'D-1 Off-Site Habitat Baseline'!$D$1:$AA$258,17,FALSE)),"",(VLOOKUP($E148,'D-1 Off-Site Habitat Baseline'!$D$1:$AA$258,17,FALSE))))</f>
        <v/>
      </c>
      <c r="O148" s="299" t="str">
        <f>IF(E148="","",IF(ISNA(VLOOKUP($E148,'D-1 Off-Site Habitat Baseline'!$D$1:$AA$258,13,FALSE)),"",(VLOOKUP($E148,'D-1 Off-Site Habitat Baseline'!$D$1:$AA$258,13,FALSE))))</f>
        <v/>
      </c>
      <c r="P148" s="148" t="str">
        <f>IFERROR(INDEX('G-1 All Habitats'!$AG$49:$AG$63,MATCH(Q148,'G-1 All Habitats'!$AF$27:$AF$41,0)),"")</f>
        <v/>
      </c>
      <c r="Q148" s="149" t="str">
        <f t="shared" si="24"/>
        <v/>
      </c>
      <c r="R148" s="150"/>
      <c r="S148" s="151" t="str">
        <f>IFERROR(INDEX('G-1 All Habitats'!$B$3:$B$135,MATCH(R148,'G-1 All Habitats'!$A$3:$A$135,0)),"")</f>
        <v/>
      </c>
      <c r="T148" s="283" t="str">
        <f t="shared" si="25"/>
        <v/>
      </c>
      <c r="U148" s="276" t="str">
        <f t="shared" si="26"/>
        <v/>
      </c>
      <c r="V148" s="298" t="str">
        <f t="shared" si="22"/>
        <v/>
      </c>
      <c r="W148" s="295" t="str">
        <f>IF(S148="","",VLOOKUP(S148,'G-1 All Habitats'!$B$2:$M$135,10,FALSE))</f>
        <v/>
      </c>
      <c r="X148" s="295" t="str">
        <f>IFERROR(VLOOKUP(W148,'G-1 All Habitats'!$V$3:$W$7,2,FALSE),"")</f>
        <v/>
      </c>
      <c r="Y148" s="138"/>
      <c r="Z148" s="299" t="str">
        <f>IFERROR(INDEX('G-8 Condition Look up'!$A$3:$H$135,MATCH(S148,'G-8 Condition Look up'!$A$3:$A$135,0),MATCH(Y148,'G-8 Condition Look up'!$A$3:$H$3,0)),"")</f>
        <v/>
      </c>
      <c r="AA148" s="101"/>
      <c r="AB148" s="314" t="str">
        <f>IF(AA148="","",IF(VLOOKUP(AA148,'G-3 Multipliers'!$L$3:$N$6,2,FALSE)=0,"Spatial Data Missing ⚠",VLOOKUP(AA148,'G-3 Multipliers'!$L$3:$N$6,2,FALSE)))</f>
        <v/>
      </c>
      <c r="AC148" s="299" t="str">
        <f>IF(AA148="","",IF(VLOOKUP(AA148,'G-3 Multipliers'!$L$3:$N$6,3,FALSE)=0,"Spatial Data Missing ⚠",VLOOKUP(AA148,'G-3 Multipliers'!$L$3:$N$6,3,FALSE)))</f>
        <v/>
      </c>
      <c r="AD148" s="311" t="str">
        <f t="shared" si="23"/>
        <v/>
      </c>
      <c r="AE148" s="138"/>
      <c r="AF148" s="138"/>
      <c r="AG148" s="295" t="str">
        <f t="shared" si="27"/>
        <v/>
      </c>
      <c r="AH148" s="296" t="str">
        <f t="shared" si="28"/>
        <v/>
      </c>
      <c r="AI148" s="300" t="str">
        <f>IF(AH148="Check Data ⚠","Check Data ⚠",IFERROR(VLOOKUP(AH148,'G-4 Temporal multipliers'!$A$4:$C$36,3,FALSE),""))</f>
        <v/>
      </c>
      <c r="AJ148" s="311" t="str">
        <f>IF(S148="","",VLOOKUP(S148,'G-3 Multipliers'!$A$2:$E$134,4,FALSE))</f>
        <v/>
      </c>
      <c r="AK148" s="295" t="str">
        <f t="shared" si="29"/>
        <v/>
      </c>
      <c r="AL148" s="295" t="str">
        <f t="shared" si="30"/>
        <v/>
      </c>
      <c r="AM148" s="299" t="str">
        <f>IFERROR(IF(F148="","",IF(AH148="Check Data ⚠","Check Data ⚠",VLOOKUP(AL148,'G-3 Multipliers'!$P$2:$Q$6,2,FALSE))),"")</f>
        <v/>
      </c>
      <c r="AN148" s="712" t="str">
        <f>IF(E148="","",IF(ISNA(VLOOKUP($E148,'D-1 Off-Site Habitat Baseline'!$D$1:$Z$258,15,FALSE)),"",(VLOOKUP($E148,'D-1 Off-Site Habitat Baseline'!$D$1:$Z$258,15,FALSE))))</f>
        <v/>
      </c>
      <c r="AO148" s="329" t="str">
        <f>IF(AN148="","",IF(VLOOKUP(AN148,'G-3 Multipliers'!$S$3:$T$10,2,FALSE)=0,"Spatial Data Missing ⚠",VLOOKUP(AN148,'G-3 Multipliers'!$S$3:$T$10,2,FALSE)))</f>
        <v/>
      </c>
      <c r="AP148" s="289" t="str">
        <f t="shared" si="31"/>
        <v/>
      </c>
      <c r="AQ148" s="289" t="str">
        <f t="shared" si="32"/>
        <v/>
      </c>
      <c r="AR148" s="105"/>
      <c r="AS148" s="138"/>
      <c r="AT148" s="104"/>
      <c r="AU148" s="104"/>
      <c r="AY148" s="30" t="str">
        <f>IF(E148="","",IF(ISNA(VLOOKUP($E148,'D-1 Off-Site Habitat Baseline'!$D$1:$AV$258,4,FALSE)),"",(VLOOKUP($E148,'D-1 Off-Site Habitat Baseline'!$D$1:$AV$258,4,FALSE))))</f>
        <v/>
      </c>
    </row>
    <row r="149" spans="1:51" ht="14">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319" t="str">
        <f>'D-1 Off-Site Habitat Baseline'!AP148</f>
        <v/>
      </c>
      <c r="F149" s="283" t="str">
        <f>IF(E149="","",IF(ISNA(VLOOKUP($E149,'D-1 Off-Site Habitat Baseline'!$D$1:$ZZ$258,45,FALSE)),"",(VLOOKUP($E149,'D-1 Off-Site Habitat Baseline'!$D$1:$ZZ$258,45,FALSE))))</f>
        <v/>
      </c>
      <c r="G149" s="295" t="str">
        <f>IF(E149="","",IF(ISNA(VLOOKUP($E149,'D-1 Off-Site Habitat Baseline'!$D$1:$O$258,5,FALSE)),"",(VLOOKUP($E149,'D-1 Off-Site Habitat Baseline'!$D$1:$O$258,5,FALSE))))</f>
        <v/>
      </c>
      <c r="H149" s="295" t="str">
        <f>IF(E149="","",IF(ISNA(VLOOKUP($E149,'D-1 Off-Site Habitat Baseline'!$D$1:$O$258,6,FALSE)),"",(VLOOKUP($E149,'D-1 Off-Site Habitat Baseline'!$D$1:$O$258,6,FALSE))))</f>
        <v/>
      </c>
      <c r="I149" s="295" t="str">
        <f>IF(E149="","",IF(ISNA(VLOOKUP($E149,'D-1 Off-Site Habitat Baseline'!$D$1:$O$258,7,FALSE)),"",(VLOOKUP($E149,'D-1 Off-Site Habitat Baseline'!$D$1:$O$258,7,FALSE))))</f>
        <v/>
      </c>
      <c r="J149" s="295" t="str">
        <f>IF(E149="","",IF(ISNA(VLOOKUP($E149,'D-1 Off-Site Habitat Baseline'!$D$1:$O$258,8,FALSE)),"",(VLOOKUP($E149,'D-1 Off-Site Habitat Baseline'!$D$1:$O$258,8,FALSE))))</f>
        <v/>
      </c>
      <c r="K149" s="295" t="str">
        <f>IF(E149="","",IF(ISNA(VLOOKUP($E149,'D-1 Off-Site Habitat Baseline'!$D$1:$O$258,9,FALSE)),"",(VLOOKUP($E149,'D-1 Off-Site Habitat Baseline'!$D$1:$O$258,9,FALSE))))</f>
        <v/>
      </c>
      <c r="L149" s="295" t="str">
        <f>IF(E149="","",IF(ISNA(VLOOKUP($E149,'D-1 Off-Site Habitat Baseline'!$D$1:$O$258,11,FALSE)),"",(VLOOKUP($E149,'D-1 Off-Site Habitat Baseline'!$D$1:$O$258,11,FALSE))))</f>
        <v/>
      </c>
      <c r="M149" s="295" t="str">
        <f>IF(E149="","",IF(ISNA(VLOOKUP($E149,'D-1 Off-Site Habitat Baseline'!$D$1:$O$258,12,FALSE)),"",(VLOOKUP($E149,'D-1 Off-Site Habitat Baseline'!$D$1:$O$258,12,FALSE))))</f>
        <v/>
      </c>
      <c r="N149" s="295" t="str">
        <f>IF(E149="","",IF(ISNA(VLOOKUP($E149,'D-1 Off-Site Habitat Baseline'!$D$1:$AA$258,17,FALSE)),"",(VLOOKUP($E149,'D-1 Off-Site Habitat Baseline'!$D$1:$AA$258,17,FALSE))))</f>
        <v/>
      </c>
      <c r="O149" s="299" t="str">
        <f>IF(E149="","",IF(ISNA(VLOOKUP($E149,'D-1 Off-Site Habitat Baseline'!$D$1:$AA$258,13,FALSE)),"",(VLOOKUP($E149,'D-1 Off-Site Habitat Baseline'!$D$1:$AA$258,13,FALSE))))</f>
        <v/>
      </c>
      <c r="P149" s="148" t="str">
        <f>IFERROR(INDEX('G-1 All Habitats'!$AG$49:$AG$63,MATCH(Q149,'G-1 All Habitats'!$AF$27:$AF$41,0)),"")</f>
        <v/>
      </c>
      <c r="Q149" s="149" t="str">
        <f t="shared" si="24"/>
        <v/>
      </c>
      <c r="R149" s="150"/>
      <c r="S149" s="151" t="str">
        <f>IFERROR(INDEX('G-1 All Habitats'!$B$3:$B$135,MATCH(R149,'G-1 All Habitats'!$A$3:$A$135,0)),"")</f>
        <v/>
      </c>
      <c r="T149" s="283" t="str">
        <f t="shared" si="25"/>
        <v/>
      </c>
      <c r="U149" s="276" t="str">
        <f t="shared" si="26"/>
        <v/>
      </c>
      <c r="V149" s="298" t="str">
        <f t="shared" si="22"/>
        <v/>
      </c>
      <c r="W149" s="295" t="str">
        <f>IF(S149="","",VLOOKUP(S149,'G-1 All Habitats'!$B$2:$M$135,10,FALSE))</f>
        <v/>
      </c>
      <c r="X149" s="295" t="str">
        <f>IFERROR(VLOOKUP(W149,'G-1 All Habitats'!$V$3:$W$7,2,FALSE),"")</f>
        <v/>
      </c>
      <c r="Y149" s="138"/>
      <c r="Z149" s="299" t="str">
        <f>IFERROR(INDEX('G-8 Condition Look up'!$A$3:$H$135,MATCH(S149,'G-8 Condition Look up'!$A$3:$A$135,0),MATCH(Y149,'G-8 Condition Look up'!$A$3:$H$3,0)),"")</f>
        <v/>
      </c>
      <c r="AA149" s="101"/>
      <c r="AB149" s="314" t="str">
        <f>IF(AA149="","",IF(VLOOKUP(AA149,'G-3 Multipliers'!$L$3:$N$6,2,FALSE)=0,"Spatial Data Missing ⚠",VLOOKUP(AA149,'G-3 Multipliers'!$L$3:$N$6,2,FALSE)))</f>
        <v/>
      </c>
      <c r="AC149" s="299" t="str">
        <f>IF(AA149="","",IF(VLOOKUP(AA149,'G-3 Multipliers'!$L$3:$N$6,3,FALSE)=0,"Spatial Data Missing ⚠",VLOOKUP(AA149,'G-3 Multipliers'!$L$3:$N$6,3,FALSE)))</f>
        <v/>
      </c>
      <c r="AD149" s="311" t="str">
        <f t="shared" si="23"/>
        <v/>
      </c>
      <c r="AE149" s="138"/>
      <c r="AF149" s="138"/>
      <c r="AG149" s="295" t="str">
        <f t="shared" si="27"/>
        <v/>
      </c>
      <c r="AH149" s="296" t="str">
        <f t="shared" si="28"/>
        <v/>
      </c>
      <c r="AI149" s="300" t="str">
        <f>IF(AH149="Check Data ⚠","Check Data ⚠",IFERROR(VLOOKUP(AH149,'G-4 Temporal multipliers'!$A$4:$C$36,3,FALSE),""))</f>
        <v/>
      </c>
      <c r="AJ149" s="311" t="str">
        <f>IF(S149="","",VLOOKUP(S149,'G-3 Multipliers'!$A$2:$E$134,4,FALSE))</f>
        <v/>
      </c>
      <c r="AK149" s="295" t="str">
        <f t="shared" si="29"/>
        <v/>
      </c>
      <c r="AL149" s="295" t="str">
        <f t="shared" si="30"/>
        <v/>
      </c>
      <c r="AM149" s="299" t="str">
        <f>IFERROR(IF(F149="","",IF(AH149="Check Data ⚠","Check Data ⚠",VLOOKUP(AL149,'G-3 Multipliers'!$P$2:$Q$6,2,FALSE))),"")</f>
        <v/>
      </c>
      <c r="AN149" s="712" t="str">
        <f>IF(E149="","",IF(ISNA(VLOOKUP($E149,'D-1 Off-Site Habitat Baseline'!$D$1:$Z$258,15,FALSE)),"",(VLOOKUP($E149,'D-1 Off-Site Habitat Baseline'!$D$1:$Z$258,15,FALSE))))</f>
        <v/>
      </c>
      <c r="AO149" s="329" t="str">
        <f>IF(AN149="","",IF(VLOOKUP(AN149,'G-3 Multipliers'!$S$3:$T$10,2,FALSE)=0,"Spatial Data Missing ⚠",VLOOKUP(AN149,'G-3 Multipliers'!$S$3:$T$10,2,FALSE)))</f>
        <v/>
      </c>
      <c r="AP149" s="289" t="str">
        <f t="shared" si="31"/>
        <v/>
      </c>
      <c r="AQ149" s="289" t="str">
        <f t="shared" si="32"/>
        <v/>
      </c>
      <c r="AR149" s="105"/>
      <c r="AS149" s="138"/>
      <c r="AT149" s="104"/>
      <c r="AU149" s="104"/>
      <c r="AY149" s="30" t="str">
        <f>IF(E149="","",IF(ISNA(VLOOKUP($E149,'D-1 Off-Site Habitat Baseline'!$D$1:$AV$258,4,FALSE)),"",(VLOOKUP($E149,'D-1 Off-Site Habitat Baseline'!$D$1:$AV$258,4,FALSE))))</f>
        <v/>
      </c>
    </row>
    <row r="150" spans="1:51" ht="14">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319" t="str">
        <f>'D-1 Off-Site Habitat Baseline'!AP149</f>
        <v/>
      </c>
      <c r="F150" s="283" t="str">
        <f>IF(E150="","",IF(ISNA(VLOOKUP($E150,'D-1 Off-Site Habitat Baseline'!$D$1:$ZZ$258,45,FALSE)),"",(VLOOKUP($E150,'D-1 Off-Site Habitat Baseline'!$D$1:$ZZ$258,45,FALSE))))</f>
        <v/>
      </c>
      <c r="G150" s="295" t="str">
        <f>IF(E150="","",IF(ISNA(VLOOKUP($E150,'D-1 Off-Site Habitat Baseline'!$D$1:$O$258,5,FALSE)),"",(VLOOKUP($E150,'D-1 Off-Site Habitat Baseline'!$D$1:$O$258,5,FALSE))))</f>
        <v/>
      </c>
      <c r="H150" s="295" t="str">
        <f>IF(E150="","",IF(ISNA(VLOOKUP($E150,'D-1 Off-Site Habitat Baseline'!$D$1:$O$258,6,FALSE)),"",(VLOOKUP($E150,'D-1 Off-Site Habitat Baseline'!$D$1:$O$258,6,FALSE))))</f>
        <v/>
      </c>
      <c r="I150" s="295" t="str">
        <f>IF(E150="","",IF(ISNA(VLOOKUP($E150,'D-1 Off-Site Habitat Baseline'!$D$1:$O$258,7,FALSE)),"",(VLOOKUP($E150,'D-1 Off-Site Habitat Baseline'!$D$1:$O$258,7,FALSE))))</f>
        <v/>
      </c>
      <c r="J150" s="295" t="str">
        <f>IF(E150="","",IF(ISNA(VLOOKUP($E150,'D-1 Off-Site Habitat Baseline'!$D$1:$O$258,8,FALSE)),"",(VLOOKUP($E150,'D-1 Off-Site Habitat Baseline'!$D$1:$O$258,8,FALSE))))</f>
        <v/>
      </c>
      <c r="K150" s="295" t="str">
        <f>IF(E150="","",IF(ISNA(VLOOKUP($E150,'D-1 Off-Site Habitat Baseline'!$D$1:$O$258,9,FALSE)),"",(VLOOKUP($E150,'D-1 Off-Site Habitat Baseline'!$D$1:$O$258,9,FALSE))))</f>
        <v/>
      </c>
      <c r="L150" s="295" t="str">
        <f>IF(E150="","",IF(ISNA(VLOOKUP($E150,'D-1 Off-Site Habitat Baseline'!$D$1:$O$258,11,FALSE)),"",(VLOOKUP($E150,'D-1 Off-Site Habitat Baseline'!$D$1:$O$258,11,FALSE))))</f>
        <v/>
      </c>
      <c r="M150" s="295" t="str">
        <f>IF(E150="","",IF(ISNA(VLOOKUP($E150,'D-1 Off-Site Habitat Baseline'!$D$1:$O$258,12,FALSE)),"",(VLOOKUP($E150,'D-1 Off-Site Habitat Baseline'!$D$1:$O$258,12,FALSE))))</f>
        <v/>
      </c>
      <c r="N150" s="295" t="str">
        <f>IF(E150="","",IF(ISNA(VLOOKUP($E150,'D-1 Off-Site Habitat Baseline'!$D$1:$AA$258,17,FALSE)),"",(VLOOKUP($E150,'D-1 Off-Site Habitat Baseline'!$D$1:$AA$258,17,FALSE))))</f>
        <v/>
      </c>
      <c r="O150" s="299" t="str">
        <f>IF(E150="","",IF(ISNA(VLOOKUP($E150,'D-1 Off-Site Habitat Baseline'!$D$1:$AA$258,13,FALSE)),"",(VLOOKUP($E150,'D-1 Off-Site Habitat Baseline'!$D$1:$AA$258,13,FALSE))))</f>
        <v/>
      </c>
      <c r="P150" s="148" t="str">
        <f>IFERROR(INDEX('G-1 All Habitats'!$AG$49:$AG$63,MATCH(Q150,'G-1 All Habitats'!$AF$27:$AF$41,0)),"")</f>
        <v/>
      </c>
      <c r="Q150" s="149" t="str">
        <f t="shared" si="24"/>
        <v/>
      </c>
      <c r="R150" s="150"/>
      <c r="S150" s="151" t="str">
        <f>IFERROR(INDEX('G-1 All Habitats'!$B$3:$B$135,MATCH(R150,'G-1 All Habitats'!$A$3:$A$135,0)),"")</f>
        <v/>
      </c>
      <c r="T150" s="283" t="str">
        <f t="shared" si="25"/>
        <v/>
      </c>
      <c r="U150" s="276" t="str">
        <f t="shared" si="26"/>
        <v/>
      </c>
      <c r="V150" s="298" t="str">
        <f t="shared" si="22"/>
        <v/>
      </c>
      <c r="W150" s="295" t="str">
        <f>IF(S150="","",VLOOKUP(S150,'G-1 All Habitats'!$B$2:$M$135,10,FALSE))</f>
        <v/>
      </c>
      <c r="X150" s="295" t="str">
        <f>IFERROR(VLOOKUP(W150,'G-1 All Habitats'!$V$3:$W$7,2,FALSE),"")</f>
        <v/>
      </c>
      <c r="Y150" s="138"/>
      <c r="Z150" s="299" t="str">
        <f>IFERROR(INDEX('G-8 Condition Look up'!$A$3:$H$135,MATCH(S150,'G-8 Condition Look up'!$A$3:$A$135,0),MATCH(Y150,'G-8 Condition Look up'!$A$3:$H$3,0)),"")</f>
        <v/>
      </c>
      <c r="AA150" s="101"/>
      <c r="AB150" s="314" t="str">
        <f>IF(AA150="","",IF(VLOOKUP(AA150,'G-3 Multipliers'!$L$3:$N$6,2,FALSE)=0,"Spatial Data Missing ⚠",VLOOKUP(AA150,'G-3 Multipliers'!$L$3:$N$6,2,FALSE)))</f>
        <v/>
      </c>
      <c r="AC150" s="299" t="str">
        <f>IF(AA150="","",IF(VLOOKUP(AA150,'G-3 Multipliers'!$L$3:$N$6,3,FALSE)=0,"Spatial Data Missing ⚠",VLOOKUP(AA150,'G-3 Multipliers'!$L$3:$N$6,3,FALSE)))</f>
        <v/>
      </c>
      <c r="AD150" s="311" t="str">
        <f t="shared" si="23"/>
        <v/>
      </c>
      <c r="AE150" s="138"/>
      <c r="AF150" s="138"/>
      <c r="AG150" s="295" t="str">
        <f t="shared" si="27"/>
        <v/>
      </c>
      <c r="AH150" s="296" t="str">
        <f t="shared" si="28"/>
        <v/>
      </c>
      <c r="AI150" s="300" t="str">
        <f>IF(AH150="Check Data ⚠","Check Data ⚠",IFERROR(VLOOKUP(AH150,'G-4 Temporal multipliers'!$A$4:$C$36,3,FALSE),""))</f>
        <v/>
      </c>
      <c r="AJ150" s="311" t="str">
        <f>IF(S150="","",VLOOKUP(S150,'G-3 Multipliers'!$A$2:$E$134,4,FALSE))</f>
        <v/>
      </c>
      <c r="AK150" s="295" t="str">
        <f t="shared" si="29"/>
        <v/>
      </c>
      <c r="AL150" s="295" t="str">
        <f t="shared" si="30"/>
        <v/>
      </c>
      <c r="AM150" s="299" t="str">
        <f>IFERROR(IF(F150="","",IF(AH150="Check Data ⚠","Check Data ⚠",VLOOKUP(AL150,'G-3 Multipliers'!$P$2:$Q$6,2,FALSE))),"")</f>
        <v/>
      </c>
      <c r="AN150" s="712" t="str">
        <f>IF(E150="","",IF(ISNA(VLOOKUP($E150,'D-1 Off-Site Habitat Baseline'!$D$1:$Z$258,15,FALSE)),"",(VLOOKUP($E150,'D-1 Off-Site Habitat Baseline'!$D$1:$Z$258,15,FALSE))))</f>
        <v/>
      </c>
      <c r="AO150" s="329" t="str">
        <f>IF(AN150="","",IF(VLOOKUP(AN150,'G-3 Multipliers'!$S$3:$T$10,2,FALSE)=0,"Spatial Data Missing ⚠",VLOOKUP(AN150,'G-3 Multipliers'!$S$3:$T$10,2,FALSE)))</f>
        <v/>
      </c>
      <c r="AP150" s="289" t="str">
        <f t="shared" si="31"/>
        <v/>
      </c>
      <c r="AQ150" s="289" t="str">
        <f t="shared" si="32"/>
        <v/>
      </c>
      <c r="AR150" s="105"/>
      <c r="AS150" s="138"/>
      <c r="AT150" s="104"/>
      <c r="AU150" s="104"/>
      <c r="AY150" s="30" t="str">
        <f>IF(E150="","",IF(ISNA(VLOOKUP($E150,'D-1 Off-Site Habitat Baseline'!$D$1:$AV$258,4,FALSE)),"",(VLOOKUP($E150,'D-1 Off-Site Habitat Baseline'!$D$1:$AV$258,4,FALSE))))</f>
        <v/>
      </c>
    </row>
    <row r="151" spans="1:51" ht="14">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319" t="str">
        <f>'D-1 Off-Site Habitat Baseline'!AP150</f>
        <v/>
      </c>
      <c r="F151" s="283" t="str">
        <f>IF(E151="","",IF(ISNA(VLOOKUP($E151,'D-1 Off-Site Habitat Baseline'!$D$1:$ZZ$258,45,FALSE)),"",(VLOOKUP($E151,'D-1 Off-Site Habitat Baseline'!$D$1:$ZZ$258,45,FALSE))))</f>
        <v/>
      </c>
      <c r="G151" s="295" t="str">
        <f>IF(E151="","",IF(ISNA(VLOOKUP($E151,'D-1 Off-Site Habitat Baseline'!$D$1:$O$258,5,FALSE)),"",(VLOOKUP($E151,'D-1 Off-Site Habitat Baseline'!$D$1:$O$258,5,FALSE))))</f>
        <v/>
      </c>
      <c r="H151" s="295" t="str">
        <f>IF(E151="","",IF(ISNA(VLOOKUP($E151,'D-1 Off-Site Habitat Baseline'!$D$1:$O$258,6,FALSE)),"",(VLOOKUP($E151,'D-1 Off-Site Habitat Baseline'!$D$1:$O$258,6,FALSE))))</f>
        <v/>
      </c>
      <c r="I151" s="295" t="str">
        <f>IF(E151="","",IF(ISNA(VLOOKUP($E151,'D-1 Off-Site Habitat Baseline'!$D$1:$O$258,7,FALSE)),"",(VLOOKUP($E151,'D-1 Off-Site Habitat Baseline'!$D$1:$O$258,7,FALSE))))</f>
        <v/>
      </c>
      <c r="J151" s="295" t="str">
        <f>IF(E151="","",IF(ISNA(VLOOKUP($E151,'D-1 Off-Site Habitat Baseline'!$D$1:$O$258,8,FALSE)),"",(VLOOKUP($E151,'D-1 Off-Site Habitat Baseline'!$D$1:$O$258,8,FALSE))))</f>
        <v/>
      </c>
      <c r="K151" s="295" t="str">
        <f>IF(E151="","",IF(ISNA(VLOOKUP($E151,'D-1 Off-Site Habitat Baseline'!$D$1:$O$258,9,FALSE)),"",(VLOOKUP($E151,'D-1 Off-Site Habitat Baseline'!$D$1:$O$258,9,FALSE))))</f>
        <v/>
      </c>
      <c r="L151" s="295" t="str">
        <f>IF(E151="","",IF(ISNA(VLOOKUP($E151,'D-1 Off-Site Habitat Baseline'!$D$1:$O$258,11,FALSE)),"",(VLOOKUP($E151,'D-1 Off-Site Habitat Baseline'!$D$1:$O$258,11,FALSE))))</f>
        <v/>
      </c>
      <c r="M151" s="295" t="str">
        <f>IF(E151="","",IF(ISNA(VLOOKUP($E151,'D-1 Off-Site Habitat Baseline'!$D$1:$O$258,12,FALSE)),"",(VLOOKUP($E151,'D-1 Off-Site Habitat Baseline'!$D$1:$O$258,12,FALSE))))</f>
        <v/>
      </c>
      <c r="N151" s="295" t="str">
        <f>IF(E151="","",IF(ISNA(VLOOKUP($E151,'D-1 Off-Site Habitat Baseline'!$D$1:$AA$258,17,FALSE)),"",(VLOOKUP($E151,'D-1 Off-Site Habitat Baseline'!$D$1:$AA$258,17,FALSE))))</f>
        <v/>
      </c>
      <c r="O151" s="299" t="str">
        <f>IF(E151="","",IF(ISNA(VLOOKUP($E151,'D-1 Off-Site Habitat Baseline'!$D$1:$AA$258,13,FALSE)),"",(VLOOKUP($E151,'D-1 Off-Site Habitat Baseline'!$D$1:$AA$258,13,FALSE))))</f>
        <v/>
      </c>
      <c r="P151" s="148" t="str">
        <f>IFERROR(INDEX('G-1 All Habitats'!$AG$49:$AG$63,MATCH(Q151,'G-1 All Habitats'!$AF$27:$AF$41,0)),"")</f>
        <v/>
      </c>
      <c r="Q151" s="149" t="str">
        <f t="shared" si="24"/>
        <v/>
      </c>
      <c r="R151" s="150"/>
      <c r="S151" s="151" t="str">
        <f>IFERROR(INDEX('G-1 All Habitats'!$B$3:$B$135,MATCH(R151,'G-1 All Habitats'!$A$3:$A$135,0)),"")</f>
        <v/>
      </c>
      <c r="T151" s="283" t="str">
        <f t="shared" si="25"/>
        <v/>
      </c>
      <c r="U151" s="276" t="str">
        <f t="shared" si="26"/>
        <v/>
      </c>
      <c r="V151" s="298" t="str">
        <f t="shared" si="22"/>
        <v/>
      </c>
      <c r="W151" s="295" t="str">
        <f>IF(S151="","",VLOOKUP(S151,'G-1 All Habitats'!$B$2:$M$135,10,FALSE))</f>
        <v/>
      </c>
      <c r="X151" s="295" t="str">
        <f>IFERROR(VLOOKUP(W151,'G-1 All Habitats'!$V$3:$W$7,2,FALSE),"")</f>
        <v/>
      </c>
      <c r="Y151" s="138"/>
      <c r="Z151" s="299" t="str">
        <f>IFERROR(INDEX('G-8 Condition Look up'!$A$3:$H$135,MATCH(S151,'G-8 Condition Look up'!$A$3:$A$135,0),MATCH(Y151,'G-8 Condition Look up'!$A$3:$H$3,0)),"")</f>
        <v/>
      </c>
      <c r="AA151" s="101"/>
      <c r="AB151" s="314" t="str">
        <f>IF(AA151="","",IF(VLOOKUP(AA151,'G-3 Multipliers'!$L$3:$N$6,2,FALSE)=0,"Spatial Data Missing ⚠",VLOOKUP(AA151,'G-3 Multipliers'!$L$3:$N$6,2,FALSE)))</f>
        <v/>
      </c>
      <c r="AC151" s="299" t="str">
        <f>IF(AA151="","",IF(VLOOKUP(AA151,'G-3 Multipliers'!$L$3:$N$6,3,FALSE)=0,"Spatial Data Missing ⚠",VLOOKUP(AA151,'G-3 Multipliers'!$L$3:$N$6,3,FALSE)))</f>
        <v/>
      </c>
      <c r="AD151" s="311" t="str">
        <f t="shared" si="23"/>
        <v/>
      </c>
      <c r="AE151" s="138"/>
      <c r="AF151" s="138"/>
      <c r="AG151" s="295" t="str">
        <f t="shared" si="27"/>
        <v/>
      </c>
      <c r="AH151" s="296" t="str">
        <f t="shared" si="28"/>
        <v/>
      </c>
      <c r="AI151" s="300" t="str">
        <f>IF(AH151="Check Data ⚠","Check Data ⚠",IFERROR(VLOOKUP(AH151,'G-4 Temporal multipliers'!$A$4:$C$36,3,FALSE),""))</f>
        <v/>
      </c>
      <c r="AJ151" s="311" t="str">
        <f>IF(S151="","",VLOOKUP(S151,'G-3 Multipliers'!$A$2:$E$134,4,FALSE))</f>
        <v/>
      </c>
      <c r="AK151" s="295" t="str">
        <f t="shared" si="29"/>
        <v/>
      </c>
      <c r="AL151" s="295" t="str">
        <f t="shared" si="30"/>
        <v/>
      </c>
      <c r="AM151" s="299" t="str">
        <f>IFERROR(IF(F151="","",IF(AH151="Check Data ⚠","Check Data ⚠",VLOOKUP(AL151,'G-3 Multipliers'!$P$2:$Q$6,2,FALSE))),"")</f>
        <v/>
      </c>
      <c r="AN151" s="712" t="str">
        <f>IF(E151="","",IF(ISNA(VLOOKUP($E151,'D-1 Off-Site Habitat Baseline'!$D$1:$Z$258,15,FALSE)),"",(VLOOKUP($E151,'D-1 Off-Site Habitat Baseline'!$D$1:$Z$258,15,FALSE))))</f>
        <v/>
      </c>
      <c r="AO151" s="329" t="str">
        <f>IF(AN151="","",IF(VLOOKUP(AN151,'G-3 Multipliers'!$S$3:$T$10,2,FALSE)=0,"Spatial Data Missing ⚠",VLOOKUP(AN151,'G-3 Multipliers'!$S$3:$T$10,2,FALSE)))</f>
        <v/>
      </c>
      <c r="AP151" s="289" t="str">
        <f t="shared" si="31"/>
        <v/>
      </c>
      <c r="AQ151" s="289" t="str">
        <f t="shared" si="32"/>
        <v/>
      </c>
      <c r="AR151" s="105"/>
      <c r="AS151" s="138"/>
      <c r="AT151" s="104"/>
      <c r="AU151" s="104"/>
      <c r="AY151" s="30" t="str">
        <f>IF(E151="","",IF(ISNA(VLOOKUP($E151,'D-1 Off-Site Habitat Baseline'!$D$1:$AV$258,4,FALSE)),"",(VLOOKUP($E151,'D-1 Off-Site Habitat Baseline'!$D$1:$AV$258,4,FALSE))))</f>
        <v/>
      </c>
    </row>
    <row r="152" spans="1:51" ht="14">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319" t="str">
        <f>'D-1 Off-Site Habitat Baseline'!AP151</f>
        <v/>
      </c>
      <c r="F152" s="283" t="str">
        <f>IF(E152="","",IF(ISNA(VLOOKUP($E152,'D-1 Off-Site Habitat Baseline'!$D$1:$ZZ$258,45,FALSE)),"",(VLOOKUP($E152,'D-1 Off-Site Habitat Baseline'!$D$1:$ZZ$258,45,FALSE))))</f>
        <v/>
      </c>
      <c r="G152" s="295" t="str">
        <f>IF(E152="","",IF(ISNA(VLOOKUP($E152,'D-1 Off-Site Habitat Baseline'!$D$1:$O$258,5,FALSE)),"",(VLOOKUP($E152,'D-1 Off-Site Habitat Baseline'!$D$1:$O$258,5,FALSE))))</f>
        <v/>
      </c>
      <c r="H152" s="295" t="str">
        <f>IF(E152="","",IF(ISNA(VLOOKUP($E152,'D-1 Off-Site Habitat Baseline'!$D$1:$O$258,6,FALSE)),"",(VLOOKUP($E152,'D-1 Off-Site Habitat Baseline'!$D$1:$O$258,6,FALSE))))</f>
        <v/>
      </c>
      <c r="I152" s="295" t="str">
        <f>IF(E152="","",IF(ISNA(VLOOKUP($E152,'D-1 Off-Site Habitat Baseline'!$D$1:$O$258,7,FALSE)),"",(VLOOKUP($E152,'D-1 Off-Site Habitat Baseline'!$D$1:$O$258,7,FALSE))))</f>
        <v/>
      </c>
      <c r="J152" s="295" t="str">
        <f>IF(E152="","",IF(ISNA(VLOOKUP($E152,'D-1 Off-Site Habitat Baseline'!$D$1:$O$258,8,FALSE)),"",(VLOOKUP($E152,'D-1 Off-Site Habitat Baseline'!$D$1:$O$258,8,FALSE))))</f>
        <v/>
      </c>
      <c r="K152" s="295" t="str">
        <f>IF(E152="","",IF(ISNA(VLOOKUP($E152,'D-1 Off-Site Habitat Baseline'!$D$1:$O$258,9,FALSE)),"",(VLOOKUP($E152,'D-1 Off-Site Habitat Baseline'!$D$1:$O$258,9,FALSE))))</f>
        <v/>
      </c>
      <c r="L152" s="295" t="str">
        <f>IF(E152="","",IF(ISNA(VLOOKUP($E152,'D-1 Off-Site Habitat Baseline'!$D$1:$O$258,11,FALSE)),"",(VLOOKUP($E152,'D-1 Off-Site Habitat Baseline'!$D$1:$O$258,11,FALSE))))</f>
        <v/>
      </c>
      <c r="M152" s="295" t="str">
        <f>IF(E152="","",IF(ISNA(VLOOKUP($E152,'D-1 Off-Site Habitat Baseline'!$D$1:$O$258,12,FALSE)),"",(VLOOKUP($E152,'D-1 Off-Site Habitat Baseline'!$D$1:$O$258,12,FALSE))))</f>
        <v/>
      </c>
      <c r="N152" s="295" t="str">
        <f>IF(E152="","",IF(ISNA(VLOOKUP($E152,'D-1 Off-Site Habitat Baseline'!$D$1:$AA$258,17,FALSE)),"",(VLOOKUP($E152,'D-1 Off-Site Habitat Baseline'!$D$1:$AA$258,17,FALSE))))</f>
        <v/>
      </c>
      <c r="O152" s="299" t="str">
        <f>IF(E152="","",IF(ISNA(VLOOKUP($E152,'D-1 Off-Site Habitat Baseline'!$D$1:$AA$258,13,FALSE)),"",(VLOOKUP($E152,'D-1 Off-Site Habitat Baseline'!$D$1:$AA$258,13,FALSE))))</f>
        <v/>
      </c>
      <c r="P152" s="148" t="str">
        <f>IFERROR(INDEX('G-1 All Habitats'!$AG$49:$AG$63,MATCH(Q152,'G-1 All Habitats'!$AF$27:$AF$41,0)),"")</f>
        <v/>
      </c>
      <c r="Q152" s="149" t="str">
        <f t="shared" si="24"/>
        <v/>
      </c>
      <c r="R152" s="150"/>
      <c r="S152" s="151" t="str">
        <f>IFERROR(INDEX('G-1 All Habitats'!$B$3:$B$135,MATCH(R152,'G-1 All Habitats'!$A$3:$A$135,0)),"")</f>
        <v/>
      </c>
      <c r="T152" s="283" t="str">
        <f t="shared" si="25"/>
        <v/>
      </c>
      <c r="U152" s="276" t="str">
        <f t="shared" si="26"/>
        <v/>
      </c>
      <c r="V152" s="298" t="str">
        <f t="shared" si="22"/>
        <v/>
      </c>
      <c r="W152" s="295" t="str">
        <f>IF(S152="","",VLOOKUP(S152,'G-1 All Habitats'!$B$2:$M$135,10,FALSE))</f>
        <v/>
      </c>
      <c r="X152" s="295" t="str">
        <f>IFERROR(VLOOKUP(W152,'G-1 All Habitats'!$V$3:$W$7,2,FALSE),"")</f>
        <v/>
      </c>
      <c r="Y152" s="138"/>
      <c r="Z152" s="299" t="str">
        <f>IFERROR(INDEX('G-8 Condition Look up'!$A$3:$H$135,MATCH(S152,'G-8 Condition Look up'!$A$3:$A$135,0),MATCH(Y152,'G-8 Condition Look up'!$A$3:$H$3,0)),"")</f>
        <v/>
      </c>
      <c r="AA152" s="101"/>
      <c r="AB152" s="314" t="str">
        <f>IF(AA152="","",IF(VLOOKUP(AA152,'G-3 Multipliers'!$L$3:$N$6,2,FALSE)=0,"Spatial Data Missing ⚠",VLOOKUP(AA152,'G-3 Multipliers'!$L$3:$N$6,2,FALSE)))</f>
        <v/>
      </c>
      <c r="AC152" s="299" t="str">
        <f>IF(AA152="","",IF(VLOOKUP(AA152,'G-3 Multipliers'!$L$3:$N$6,3,FALSE)=0,"Spatial Data Missing ⚠",VLOOKUP(AA152,'G-3 Multipliers'!$L$3:$N$6,3,FALSE)))</f>
        <v/>
      </c>
      <c r="AD152" s="311" t="str">
        <f t="shared" si="23"/>
        <v/>
      </c>
      <c r="AE152" s="138"/>
      <c r="AF152" s="138"/>
      <c r="AG152" s="295" t="str">
        <f t="shared" si="27"/>
        <v/>
      </c>
      <c r="AH152" s="296" t="str">
        <f t="shared" si="28"/>
        <v/>
      </c>
      <c r="AI152" s="300" t="str">
        <f>IF(AH152="Check Data ⚠","Check Data ⚠",IFERROR(VLOOKUP(AH152,'G-4 Temporal multipliers'!$A$4:$C$36,3,FALSE),""))</f>
        <v/>
      </c>
      <c r="AJ152" s="311" t="str">
        <f>IF(S152="","",VLOOKUP(S152,'G-3 Multipliers'!$A$2:$E$134,4,FALSE))</f>
        <v/>
      </c>
      <c r="AK152" s="295" t="str">
        <f t="shared" si="29"/>
        <v/>
      </c>
      <c r="AL152" s="295" t="str">
        <f t="shared" si="30"/>
        <v/>
      </c>
      <c r="AM152" s="299" t="str">
        <f>IFERROR(IF(F152="","",IF(AH152="Check Data ⚠","Check Data ⚠",VLOOKUP(AL152,'G-3 Multipliers'!$P$2:$Q$6,2,FALSE))),"")</f>
        <v/>
      </c>
      <c r="AN152" s="712" t="str">
        <f>IF(E152="","",IF(ISNA(VLOOKUP($E152,'D-1 Off-Site Habitat Baseline'!$D$1:$Z$258,15,FALSE)),"",(VLOOKUP($E152,'D-1 Off-Site Habitat Baseline'!$D$1:$Z$258,15,FALSE))))</f>
        <v/>
      </c>
      <c r="AO152" s="329" t="str">
        <f>IF(AN152="","",IF(VLOOKUP(AN152,'G-3 Multipliers'!$S$3:$T$10,2,FALSE)=0,"Spatial Data Missing ⚠",VLOOKUP(AN152,'G-3 Multipliers'!$S$3:$T$10,2,FALSE)))</f>
        <v/>
      </c>
      <c r="AP152" s="289" t="str">
        <f t="shared" si="31"/>
        <v/>
      </c>
      <c r="AQ152" s="289" t="str">
        <f t="shared" si="32"/>
        <v/>
      </c>
      <c r="AR152" s="105"/>
      <c r="AS152" s="138"/>
      <c r="AT152" s="104"/>
      <c r="AU152" s="104"/>
      <c r="AY152" s="30" t="str">
        <f>IF(E152="","",IF(ISNA(VLOOKUP($E152,'D-1 Off-Site Habitat Baseline'!$D$1:$AV$258,4,FALSE)),"",(VLOOKUP($E152,'D-1 Off-Site Habitat Baseline'!$D$1:$AV$258,4,FALSE))))</f>
        <v/>
      </c>
    </row>
    <row r="153" spans="1:51" ht="14">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319" t="str">
        <f>'D-1 Off-Site Habitat Baseline'!AP152</f>
        <v/>
      </c>
      <c r="F153" s="283" t="str">
        <f>IF(E153="","",IF(ISNA(VLOOKUP($E153,'D-1 Off-Site Habitat Baseline'!$D$1:$ZZ$258,45,FALSE)),"",(VLOOKUP($E153,'D-1 Off-Site Habitat Baseline'!$D$1:$ZZ$258,45,FALSE))))</f>
        <v/>
      </c>
      <c r="G153" s="295" t="str">
        <f>IF(E153="","",IF(ISNA(VLOOKUP($E153,'D-1 Off-Site Habitat Baseline'!$D$1:$O$258,5,FALSE)),"",(VLOOKUP($E153,'D-1 Off-Site Habitat Baseline'!$D$1:$O$258,5,FALSE))))</f>
        <v/>
      </c>
      <c r="H153" s="295" t="str">
        <f>IF(E153="","",IF(ISNA(VLOOKUP($E153,'D-1 Off-Site Habitat Baseline'!$D$1:$O$258,6,FALSE)),"",(VLOOKUP($E153,'D-1 Off-Site Habitat Baseline'!$D$1:$O$258,6,FALSE))))</f>
        <v/>
      </c>
      <c r="I153" s="295" t="str">
        <f>IF(E153="","",IF(ISNA(VLOOKUP($E153,'D-1 Off-Site Habitat Baseline'!$D$1:$O$258,7,FALSE)),"",(VLOOKUP($E153,'D-1 Off-Site Habitat Baseline'!$D$1:$O$258,7,FALSE))))</f>
        <v/>
      </c>
      <c r="J153" s="295" t="str">
        <f>IF(E153="","",IF(ISNA(VLOOKUP($E153,'D-1 Off-Site Habitat Baseline'!$D$1:$O$258,8,FALSE)),"",(VLOOKUP($E153,'D-1 Off-Site Habitat Baseline'!$D$1:$O$258,8,FALSE))))</f>
        <v/>
      </c>
      <c r="K153" s="295" t="str">
        <f>IF(E153="","",IF(ISNA(VLOOKUP($E153,'D-1 Off-Site Habitat Baseline'!$D$1:$O$258,9,FALSE)),"",(VLOOKUP($E153,'D-1 Off-Site Habitat Baseline'!$D$1:$O$258,9,FALSE))))</f>
        <v/>
      </c>
      <c r="L153" s="295" t="str">
        <f>IF(E153="","",IF(ISNA(VLOOKUP($E153,'D-1 Off-Site Habitat Baseline'!$D$1:$O$258,11,FALSE)),"",(VLOOKUP($E153,'D-1 Off-Site Habitat Baseline'!$D$1:$O$258,11,FALSE))))</f>
        <v/>
      </c>
      <c r="M153" s="295" t="str">
        <f>IF(E153="","",IF(ISNA(VLOOKUP($E153,'D-1 Off-Site Habitat Baseline'!$D$1:$O$258,12,FALSE)),"",(VLOOKUP($E153,'D-1 Off-Site Habitat Baseline'!$D$1:$O$258,12,FALSE))))</f>
        <v/>
      </c>
      <c r="N153" s="295" t="str">
        <f>IF(E153="","",IF(ISNA(VLOOKUP($E153,'D-1 Off-Site Habitat Baseline'!$D$1:$AA$258,17,FALSE)),"",(VLOOKUP($E153,'D-1 Off-Site Habitat Baseline'!$D$1:$AA$258,17,FALSE))))</f>
        <v/>
      </c>
      <c r="O153" s="299" t="str">
        <f>IF(E153="","",IF(ISNA(VLOOKUP($E153,'D-1 Off-Site Habitat Baseline'!$D$1:$AA$258,13,FALSE)),"",(VLOOKUP($E153,'D-1 Off-Site Habitat Baseline'!$D$1:$AA$258,13,FALSE))))</f>
        <v/>
      </c>
      <c r="P153" s="148" t="str">
        <f>IFERROR(INDEX('G-1 All Habitats'!$AG$49:$AG$63,MATCH(Q153,'G-1 All Habitats'!$AF$27:$AF$41,0)),"")</f>
        <v/>
      </c>
      <c r="Q153" s="149" t="str">
        <f t="shared" si="24"/>
        <v/>
      </c>
      <c r="R153" s="150"/>
      <c r="S153" s="151" t="str">
        <f>IFERROR(INDEX('G-1 All Habitats'!$B$3:$B$135,MATCH(R153,'G-1 All Habitats'!$A$3:$A$135,0)),"")</f>
        <v/>
      </c>
      <c r="T153" s="283" t="str">
        <f t="shared" si="25"/>
        <v/>
      </c>
      <c r="U153" s="276" t="str">
        <f t="shared" si="26"/>
        <v/>
      </c>
      <c r="V153" s="298" t="str">
        <f t="shared" si="22"/>
        <v/>
      </c>
      <c r="W153" s="295" t="str">
        <f>IF(S153="","",VLOOKUP(S153,'G-1 All Habitats'!$B$2:$M$135,10,FALSE))</f>
        <v/>
      </c>
      <c r="X153" s="295" t="str">
        <f>IFERROR(VLOOKUP(W153,'G-1 All Habitats'!$V$3:$W$7,2,FALSE),"")</f>
        <v/>
      </c>
      <c r="Y153" s="138"/>
      <c r="Z153" s="299" t="str">
        <f>IFERROR(INDEX('G-8 Condition Look up'!$A$3:$H$135,MATCH(S153,'G-8 Condition Look up'!$A$3:$A$135,0),MATCH(Y153,'G-8 Condition Look up'!$A$3:$H$3,0)),"")</f>
        <v/>
      </c>
      <c r="AA153" s="101"/>
      <c r="AB153" s="314" t="str">
        <f>IF(AA153="","",IF(VLOOKUP(AA153,'G-3 Multipliers'!$L$3:$N$6,2,FALSE)=0,"Spatial Data Missing ⚠",VLOOKUP(AA153,'G-3 Multipliers'!$L$3:$N$6,2,FALSE)))</f>
        <v/>
      </c>
      <c r="AC153" s="299" t="str">
        <f>IF(AA153="","",IF(VLOOKUP(AA153,'G-3 Multipliers'!$L$3:$N$6,3,FALSE)=0,"Spatial Data Missing ⚠",VLOOKUP(AA153,'G-3 Multipliers'!$L$3:$N$6,3,FALSE)))</f>
        <v/>
      </c>
      <c r="AD153" s="311" t="str">
        <f t="shared" si="23"/>
        <v/>
      </c>
      <c r="AE153" s="138"/>
      <c r="AF153" s="138"/>
      <c r="AG153" s="295" t="str">
        <f t="shared" si="27"/>
        <v/>
      </c>
      <c r="AH153" s="296" t="str">
        <f t="shared" si="28"/>
        <v/>
      </c>
      <c r="AI153" s="300" t="str">
        <f>IF(AH153="Check Data ⚠","Check Data ⚠",IFERROR(VLOOKUP(AH153,'G-4 Temporal multipliers'!$A$4:$C$36,3,FALSE),""))</f>
        <v/>
      </c>
      <c r="AJ153" s="311" t="str">
        <f>IF(S153="","",VLOOKUP(S153,'G-3 Multipliers'!$A$2:$E$134,4,FALSE))</f>
        <v/>
      </c>
      <c r="AK153" s="295" t="str">
        <f t="shared" si="29"/>
        <v/>
      </c>
      <c r="AL153" s="295" t="str">
        <f t="shared" si="30"/>
        <v/>
      </c>
      <c r="AM153" s="299" t="str">
        <f>IFERROR(IF(F153="","",IF(AH153="Check Data ⚠","Check Data ⚠",VLOOKUP(AL153,'G-3 Multipliers'!$P$2:$Q$6,2,FALSE))),"")</f>
        <v/>
      </c>
      <c r="AN153" s="712" t="str">
        <f>IF(E153="","",IF(ISNA(VLOOKUP($E153,'D-1 Off-Site Habitat Baseline'!$D$1:$Z$258,15,FALSE)),"",(VLOOKUP($E153,'D-1 Off-Site Habitat Baseline'!$D$1:$Z$258,15,FALSE))))</f>
        <v/>
      </c>
      <c r="AO153" s="329" t="str">
        <f>IF(AN153="","",IF(VLOOKUP(AN153,'G-3 Multipliers'!$S$3:$T$10,2,FALSE)=0,"Spatial Data Missing ⚠",VLOOKUP(AN153,'G-3 Multipliers'!$S$3:$T$10,2,FALSE)))</f>
        <v/>
      </c>
      <c r="AP153" s="289" t="str">
        <f t="shared" si="31"/>
        <v/>
      </c>
      <c r="AQ153" s="289" t="str">
        <f t="shared" si="32"/>
        <v/>
      </c>
      <c r="AR153" s="105"/>
      <c r="AS153" s="138"/>
      <c r="AT153" s="104"/>
      <c r="AU153" s="104"/>
      <c r="AY153" s="30" t="str">
        <f>IF(E153="","",IF(ISNA(VLOOKUP($E153,'D-1 Off-Site Habitat Baseline'!$D$1:$AV$258,4,FALSE)),"",(VLOOKUP($E153,'D-1 Off-Site Habitat Baseline'!$D$1:$AV$258,4,FALSE))))</f>
        <v/>
      </c>
    </row>
    <row r="154" spans="1:51" ht="14">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319" t="str">
        <f>'D-1 Off-Site Habitat Baseline'!AP153</f>
        <v/>
      </c>
      <c r="F154" s="283" t="str">
        <f>IF(E154="","",IF(ISNA(VLOOKUP($E154,'D-1 Off-Site Habitat Baseline'!$D$1:$ZZ$258,45,FALSE)),"",(VLOOKUP($E154,'D-1 Off-Site Habitat Baseline'!$D$1:$ZZ$258,45,FALSE))))</f>
        <v/>
      </c>
      <c r="G154" s="295" t="str">
        <f>IF(E154="","",IF(ISNA(VLOOKUP($E154,'D-1 Off-Site Habitat Baseline'!$D$1:$O$258,5,FALSE)),"",(VLOOKUP($E154,'D-1 Off-Site Habitat Baseline'!$D$1:$O$258,5,FALSE))))</f>
        <v/>
      </c>
      <c r="H154" s="295" t="str">
        <f>IF(E154="","",IF(ISNA(VLOOKUP($E154,'D-1 Off-Site Habitat Baseline'!$D$1:$O$258,6,FALSE)),"",(VLOOKUP($E154,'D-1 Off-Site Habitat Baseline'!$D$1:$O$258,6,FALSE))))</f>
        <v/>
      </c>
      <c r="I154" s="295" t="str">
        <f>IF(E154="","",IF(ISNA(VLOOKUP($E154,'D-1 Off-Site Habitat Baseline'!$D$1:$O$258,7,FALSE)),"",(VLOOKUP($E154,'D-1 Off-Site Habitat Baseline'!$D$1:$O$258,7,FALSE))))</f>
        <v/>
      </c>
      <c r="J154" s="295" t="str">
        <f>IF(E154="","",IF(ISNA(VLOOKUP($E154,'D-1 Off-Site Habitat Baseline'!$D$1:$O$258,8,FALSE)),"",(VLOOKUP($E154,'D-1 Off-Site Habitat Baseline'!$D$1:$O$258,8,FALSE))))</f>
        <v/>
      </c>
      <c r="K154" s="295" t="str">
        <f>IF(E154="","",IF(ISNA(VLOOKUP($E154,'D-1 Off-Site Habitat Baseline'!$D$1:$O$258,9,FALSE)),"",(VLOOKUP($E154,'D-1 Off-Site Habitat Baseline'!$D$1:$O$258,9,FALSE))))</f>
        <v/>
      </c>
      <c r="L154" s="295" t="str">
        <f>IF(E154="","",IF(ISNA(VLOOKUP($E154,'D-1 Off-Site Habitat Baseline'!$D$1:$O$258,11,FALSE)),"",(VLOOKUP($E154,'D-1 Off-Site Habitat Baseline'!$D$1:$O$258,11,FALSE))))</f>
        <v/>
      </c>
      <c r="M154" s="295" t="str">
        <f>IF(E154="","",IF(ISNA(VLOOKUP($E154,'D-1 Off-Site Habitat Baseline'!$D$1:$O$258,12,FALSE)),"",(VLOOKUP($E154,'D-1 Off-Site Habitat Baseline'!$D$1:$O$258,12,FALSE))))</f>
        <v/>
      </c>
      <c r="N154" s="295" t="str">
        <f>IF(E154="","",IF(ISNA(VLOOKUP($E154,'D-1 Off-Site Habitat Baseline'!$D$1:$AA$258,17,FALSE)),"",(VLOOKUP($E154,'D-1 Off-Site Habitat Baseline'!$D$1:$AA$258,17,FALSE))))</f>
        <v/>
      </c>
      <c r="O154" s="299" t="str">
        <f>IF(E154="","",IF(ISNA(VLOOKUP($E154,'D-1 Off-Site Habitat Baseline'!$D$1:$AA$258,13,FALSE)),"",(VLOOKUP($E154,'D-1 Off-Site Habitat Baseline'!$D$1:$AA$258,13,FALSE))))</f>
        <v/>
      </c>
      <c r="P154" s="148" t="str">
        <f>IFERROR(INDEX('G-1 All Habitats'!$AG$49:$AG$63,MATCH(Q154,'G-1 All Habitats'!$AF$27:$AF$41,0)),"")</f>
        <v/>
      </c>
      <c r="Q154" s="149" t="str">
        <f t="shared" si="24"/>
        <v/>
      </c>
      <c r="R154" s="150"/>
      <c r="S154" s="151" t="str">
        <f>IFERROR(INDEX('G-1 All Habitats'!$B$3:$B$135,MATCH(R154,'G-1 All Habitats'!$A$3:$A$135,0)),"")</f>
        <v/>
      </c>
      <c r="T154" s="283" t="str">
        <f t="shared" si="25"/>
        <v/>
      </c>
      <c r="U154" s="276" t="str">
        <f t="shared" si="26"/>
        <v/>
      </c>
      <c r="V154" s="298" t="str">
        <f t="shared" si="22"/>
        <v/>
      </c>
      <c r="W154" s="295" t="str">
        <f>IF(S154="","",VLOOKUP(S154,'G-1 All Habitats'!$B$2:$M$135,10,FALSE))</f>
        <v/>
      </c>
      <c r="X154" s="295" t="str">
        <f>IFERROR(VLOOKUP(W154,'G-1 All Habitats'!$V$3:$W$7,2,FALSE),"")</f>
        <v/>
      </c>
      <c r="Y154" s="138"/>
      <c r="Z154" s="299" t="str">
        <f>IFERROR(INDEX('G-8 Condition Look up'!$A$3:$H$135,MATCH(S154,'G-8 Condition Look up'!$A$3:$A$135,0),MATCH(Y154,'G-8 Condition Look up'!$A$3:$H$3,0)),"")</f>
        <v/>
      </c>
      <c r="AA154" s="101"/>
      <c r="AB154" s="314" t="str">
        <f>IF(AA154="","",IF(VLOOKUP(AA154,'G-3 Multipliers'!$L$3:$N$6,2,FALSE)=0,"Spatial Data Missing ⚠",VLOOKUP(AA154,'G-3 Multipliers'!$L$3:$N$6,2,FALSE)))</f>
        <v/>
      </c>
      <c r="AC154" s="299" t="str">
        <f>IF(AA154="","",IF(VLOOKUP(AA154,'G-3 Multipliers'!$L$3:$N$6,3,FALSE)=0,"Spatial Data Missing ⚠",VLOOKUP(AA154,'G-3 Multipliers'!$L$3:$N$6,3,FALSE)))</f>
        <v/>
      </c>
      <c r="AD154" s="311" t="str">
        <f t="shared" si="23"/>
        <v/>
      </c>
      <c r="AE154" s="138"/>
      <c r="AF154" s="138"/>
      <c r="AG154" s="295" t="str">
        <f t="shared" si="27"/>
        <v/>
      </c>
      <c r="AH154" s="296" t="str">
        <f t="shared" si="28"/>
        <v/>
      </c>
      <c r="AI154" s="300" t="str">
        <f>IF(AH154="Check Data ⚠","Check Data ⚠",IFERROR(VLOOKUP(AH154,'G-4 Temporal multipliers'!$A$4:$C$36,3,FALSE),""))</f>
        <v/>
      </c>
      <c r="AJ154" s="311" t="str">
        <f>IF(S154="","",VLOOKUP(S154,'G-3 Multipliers'!$A$2:$E$134,4,FALSE))</f>
        <v/>
      </c>
      <c r="AK154" s="295" t="str">
        <f t="shared" si="29"/>
        <v/>
      </c>
      <c r="AL154" s="295" t="str">
        <f t="shared" si="30"/>
        <v/>
      </c>
      <c r="AM154" s="299" t="str">
        <f>IFERROR(IF(F154="","",IF(AH154="Check Data ⚠","Check Data ⚠",VLOOKUP(AL154,'G-3 Multipliers'!$P$2:$Q$6,2,FALSE))),"")</f>
        <v/>
      </c>
      <c r="AN154" s="712" t="str">
        <f>IF(E154="","",IF(ISNA(VLOOKUP($E154,'D-1 Off-Site Habitat Baseline'!$D$1:$Z$258,15,FALSE)),"",(VLOOKUP($E154,'D-1 Off-Site Habitat Baseline'!$D$1:$Z$258,15,FALSE))))</f>
        <v/>
      </c>
      <c r="AO154" s="329" t="str">
        <f>IF(AN154="","",IF(VLOOKUP(AN154,'G-3 Multipliers'!$S$3:$T$10,2,FALSE)=0,"Spatial Data Missing ⚠",VLOOKUP(AN154,'G-3 Multipliers'!$S$3:$T$10,2,FALSE)))</f>
        <v/>
      </c>
      <c r="AP154" s="289" t="str">
        <f t="shared" si="31"/>
        <v/>
      </c>
      <c r="AQ154" s="289" t="str">
        <f t="shared" si="32"/>
        <v/>
      </c>
      <c r="AR154" s="105"/>
      <c r="AS154" s="138"/>
      <c r="AT154" s="104"/>
      <c r="AU154" s="104"/>
      <c r="AY154" s="30" t="str">
        <f>IF(E154="","",IF(ISNA(VLOOKUP($E154,'D-1 Off-Site Habitat Baseline'!$D$1:$AV$258,4,FALSE)),"",(VLOOKUP($E154,'D-1 Off-Site Habitat Baseline'!$D$1:$AV$258,4,FALSE))))</f>
        <v/>
      </c>
    </row>
    <row r="155" spans="1:51" ht="14">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319" t="str">
        <f>'D-1 Off-Site Habitat Baseline'!AP154</f>
        <v/>
      </c>
      <c r="F155" s="283" t="str">
        <f>IF(E155="","",IF(ISNA(VLOOKUP($E155,'D-1 Off-Site Habitat Baseline'!$D$1:$ZZ$258,45,FALSE)),"",(VLOOKUP($E155,'D-1 Off-Site Habitat Baseline'!$D$1:$ZZ$258,45,FALSE))))</f>
        <v/>
      </c>
      <c r="G155" s="295" t="str">
        <f>IF(E155="","",IF(ISNA(VLOOKUP($E155,'D-1 Off-Site Habitat Baseline'!$D$1:$O$258,5,FALSE)),"",(VLOOKUP($E155,'D-1 Off-Site Habitat Baseline'!$D$1:$O$258,5,FALSE))))</f>
        <v/>
      </c>
      <c r="H155" s="295" t="str">
        <f>IF(E155="","",IF(ISNA(VLOOKUP($E155,'D-1 Off-Site Habitat Baseline'!$D$1:$O$258,6,FALSE)),"",(VLOOKUP($E155,'D-1 Off-Site Habitat Baseline'!$D$1:$O$258,6,FALSE))))</f>
        <v/>
      </c>
      <c r="I155" s="295" t="str">
        <f>IF(E155="","",IF(ISNA(VLOOKUP($E155,'D-1 Off-Site Habitat Baseline'!$D$1:$O$258,7,FALSE)),"",(VLOOKUP($E155,'D-1 Off-Site Habitat Baseline'!$D$1:$O$258,7,FALSE))))</f>
        <v/>
      </c>
      <c r="J155" s="295" t="str">
        <f>IF(E155="","",IF(ISNA(VLOOKUP($E155,'D-1 Off-Site Habitat Baseline'!$D$1:$O$258,8,FALSE)),"",(VLOOKUP($E155,'D-1 Off-Site Habitat Baseline'!$D$1:$O$258,8,FALSE))))</f>
        <v/>
      </c>
      <c r="K155" s="295" t="str">
        <f>IF(E155="","",IF(ISNA(VLOOKUP($E155,'D-1 Off-Site Habitat Baseline'!$D$1:$O$258,9,FALSE)),"",(VLOOKUP($E155,'D-1 Off-Site Habitat Baseline'!$D$1:$O$258,9,FALSE))))</f>
        <v/>
      </c>
      <c r="L155" s="295" t="str">
        <f>IF(E155="","",IF(ISNA(VLOOKUP($E155,'D-1 Off-Site Habitat Baseline'!$D$1:$O$258,11,FALSE)),"",(VLOOKUP($E155,'D-1 Off-Site Habitat Baseline'!$D$1:$O$258,11,FALSE))))</f>
        <v/>
      </c>
      <c r="M155" s="295" t="str">
        <f>IF(E155="","",IF(ISNA(VLOOKUP($E155,'D-1 Off-Site Habitat Baseline'!$D$1:$O$258,12,FALSE)),"",(VLOOKUP($E155,'D-1 Off-Site Habitat Baseline'!$D$1:$O$258,12,FALSE))))</f>
        <v/>
      </c>
      <c r="N155" s="295" t="str">
        <f>IF(E155="","",IF(ISNA(VLOOKUP($E155,'D-1 Off-Site Habitat Baseline'!$D$1:$AA$258,17,FALSE)),"",(VLOOKUP($E155,'D-1 Off-Site Habitat Baseline'!$D$1:$AA$258,17,FALSE))))</f>
        <v/>
      </c>
      <c r="O155" s="299" t="str">
        <f>IF(E155="","",IF(ISNA(VLOOKUP($E155,'D-1 Off-Site Habitat Baseline'!$D$1:$AA$258,13,FALSE)),"",(VLOOKUP($E155,'D-1 Off-Site Habitat Baseline'!$D$1:$AA$258,13,FALSE))))</f>
        <v/>
      </c>
      <c r="P155" s="148" t="str">
        <f>IFERROR(INDEX('G-1 All Habitats'!$AG$49:$AG$63,MATCH(Q155,'G-1 All Habitats'!$AF$27:$AF$41,0)),"")</f>
        <v/>
      </c>
      <c r="Q155" s="149" t="str">
        <f t="shared" si="24"/>
        <v/>
      </c>
      <c r="R155" s="150"/>
      <c r="S155" s="151" t="str">
        <f>IFERROR(INDEX('G-1 All Habitats'!$B$3:$B$135,MATCH(R155,'G-1 All Habitats'!$A$3:$A$135,0)),"")</f>
        <v/>
      </c>
      <c r="T155" s="283" t="str">
        <f t="shared" si="25"/>
        <v/>
      </c>
      <c r="U155" s="276" t="str">
        <f t="shared" si="26"/>
        <v/>
      </c>
      <c r="V155" s="298" t="str">
        <f t="shared" si="22"/>
        <v/>
      </c>
      <c r="W155" s="295" t="str">
        <f>IF(S155="","",VLOOKUP(S155,'G-1 All Habitats'!$B$2:$M$135,10,FALSE))</f>
        <v/>
      </c>
      <c r="X155" s="295" t="str">
        <f>IFERROR(VLOOKUP(W155,'G-1 All Habitats'!$V$3:$W$7,2,FALSE),"")</f>
        <v/>
      </c>
      <c r="Y155" s="138"/>
      <c r="Z155" s="299" t="str">
        <f>IFERROR(INDEX('G-8 Condition Look up'!$A$3:$H$135,MATCH(S155,'G-8 Condition Look up'!$A$3:$A$135,0),MATCH(Y155,'G-8 Condition Look up'!$A$3:$H$3,0)),"")</f>
        <v/>
      </c>
      <c r="AA155" s="101"/>
      <c r="AB155" s="314" t="str">
        <f>IF(AA155="","",IF(VLOOKUP(AA155,'G-3 Multipliers'!$L$3:$N$6,2,FALSE)=0,"Spatial Data Missing ⚠",VLOOKUP(AA155,'G-3 Multipliers'!$L$3:$N$6,2,FALSE)))</f>
        <v/>
      </c>
      <c r="AC155" s="299" t="str">
        <f>IF(AA155="","",IF(VLOOKUP(AA155,'G-3 Multipliers'!$L$3:$N$6,3,FALSE)=0,"Spatial Data Missing ⚠",VLOOKUP(AA155,'G-3 Multipliers'!$L$3:$N$6,3,FALSE)))</f>
        <v/>
      </c>
      <c r="AD155" s="311" t="str">
        <f t="shared" si="23"/>
        <v/>
      </c>
      <c r="AE155" s="138"/>
      <c r="AF155" s="138"/>
      <c r="AG155" s="295" t="str">
        <f t="shared" si="27"/>
        <v/>
      </c>
      <c r="AH155" s="296" t="str">
        <f t="shared" si="28"/>
        <v/>
      </c>
      <c r="AI155" s="300" t="str">
        <f>IF(AH155="Check Data ⚠","Check Data ⚠",IFERROR(VLOOKUP(AH155,'G-4 Temporal multipliers'!$A$4:$C$36,3,FALSE),""))</f>
        <v/>
      </c>
      <c r="AJ155" s="311" t="str">
        <f>IF(S155="","",VLOOKUP(S155,'G-3 Multipliers'!$A$2:$E$134,4,FALSE))</f>
        <v/>
      </c>
      <c r="AK155" s="295" t="str">
        <f t="shared" si="29"/>
        <v/>
      </c>
      <c r="AL155" s="295" t="str">
        <f t="shared" si="30"/>
        <v/>
      </c>
      <c r="AM155" s="299" t="str">
        <f>IFERROR(IF(F155="","",IF(AH155="Check Data ⚠","Check Data ⚠",VLOOKUP(AL155,'G-3 Multipliers'!$P$2:$Q$6,2,FALSE))),"")</f>
        <v/>
      </c>
      <c r="AN155" s="712" t="str">
        <f>IF(E155="","",IF(ISNA(VLOOKUP($E155,'D-1 Off-Site Habitat Baseline'!$D$1:$Z$258,15,FALSE)),"",(VLOOKUP($E155,'D-1 Off-Site Habitat Baseline'!$D$1:$Z$258,15,FALSE))))</f>
        <v/>
      </c>
      <c r="AO155" s="329" t="str">
        <f>IF(AN155="","",IF(VLOOKUP(AN155,'G-3 Multipliers'!$S$3:$T$10,2,FALSE)=0,"Spatial Data Missing ⚠",VLOOKUP(AN155,'G-3 Multipliers'!$S$3:$T$10,2,FALSE)))</f>
        <v/>
      </c>
      <c r="AP155" s="289" t="str">
        <f t="shared" si="31"/>
        <v/>
      </c>
      <c r="AQ155" s="289" t="str">
        <f t="shared" si="32"/>
        <v/>
      </c>
      <c r="AR155" s="105"/>
      <c r="AS155" s="138"/>
      <c r="AT155" s="104"/>
      <c r="AU155" s="104"/>
      <c r="AY155" s="30" t="str">
        <f>IF(E155="","",IF(ISNA(VLOOKUP($E155,'D-1 Off-Site Habitat Baseline'!$D$1:$AV$258,4,FALSE)),"",(VLOOKUP($E155,'D-1 Off-Site Habitat Baseline'!$D$1:$AV$258,4,FALSE))))</f>
        <v/>
      </c>
    </row>
    <row r="156" spans="1:51" ht="14">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319" t="str">
        <f>'D-1 Off-Site Habitat Baseline'!AP155</f>
        <v/>
      </c>
      <c r="F156" s="283" t="str">
        <f>IF(E156="","",IF(ISNA(VLOOKUP($E156,'D-1 Off-Site Habitat Baseline'!$D$1:$ZZ$258,45,FALSE)),"",(VLOOKUP($E156,'D-1 Off-Site Habitat Baseline'!$D$1:$ZZ$258,45,FALSE))))</f>
        <v/>
      </c>
      <c r="G156" s="295" t="str">
        <f>IF(E156="","",IF(ISNA(VLOOKUP($E156,'D-1 Off-Site Habitat Baseline'!$D$1:$O$258,5,FALSE)),"",(VLOOKUP($E156,'D-1 Off-Site Habitat Baseline'!$D$1:$O$258,5,FALSE))))</f>
        <v/>
      </c>
      <c r="H156" s="295" t="str">
        <f>IF(E156="","",IF(ISNA(VLOOKUP($E156,'D-1 Off-Site Habitat Baseline'!$D$1:$O$258,6,FALSE)),"",(VLOOKUP($E156,'D-1 Off-Site Habitat Baseline'!$D$1:$O$258,6,FALSE))))</f>
        <v/>
      </c>
      <c r="I156" s="295" t="str">
        <f>IF(E156="","",IF(ISNA(VLOOKUP($E156,'D-1 Off-Site Habitat Baseline'!$D$1:$O$258,7,FALSE)),"",(VLOOKUP($E156,'D-1 Off-Site Habitat Baseline'!$D$1:$O$258,7,FALSE))))</f>
        <v/>
      </c>
      <c r="J156" s="295" t="str">
        <f>IF(E156="","",IF(ISNA(VLOOKUP($E156,'D-1 Off-Site Habitat Baseline'!$D$1:$O$258,8,FALSE)),"",(VLOOKUP($E156,'D-1 Off-Site Habitat Baseline'!$D$1:$O$258,8,FALSE))))</f>
        <v/>
      </c>
      <c r="K156" s="295" t="str">
        <f>IF(E156="","",IF(ISNA(VLOOKUP($E156,'D-1 Off-Site Habitat Baseline'!$D$1:$O$258,9,FALSE)),"",(VLOOKUP($E156,'D-1 Off-Site Habitat Baseline'!$D$1:$O$258,9,FALSE))))</f>
        <v/>
      </c>
      <c r="L156" s="295" t="str">
        <f>IF(E156="","",IF(ISNA(VLOOKUP($E156,'D-1 Off-Site Habitat Baseline'!$D$1:$O$258,11,FALSE)),"",(VLOOKUP($E156,'D-1 Off-Site Habitat Baseline'!$D$1:$O$258,11,FALSE))))</f>
        <v/>
      </c>
      <c r="M156" s="295" t="str">
        <f>IF(E156="","",IF(ISNA(VLOOKUP($E156,'D-1 Off-Site Habitat Baseline'!$D$1:$O$258,12,FALSE)),"",(VLOOKUP($E156,'D-1 Off-Site Habitat Baseline'!$D$1:$O$258,12,FALSE))))</f>
        <v/>
      </c>
      <c r="N156" s="295" t="str">
        <f>IF(E156="","",IF(ISNA(VLOOKUP($E156,'D-1 Off-Site Habitat Baseline'!$D$1:$AA$258,17,FALSE)),"",(VLOOKUP($E156,'D-1 Off-Site Habitat Baseline'!$D$1:$AA$258,17,FALSE))))</f>
        <v/>
      </c>
      <c r="O156" s="299" t="str">
        <f>IF(E156="","",IF(ISNA(VLOOKUP($E156,'D-1 Off-Site Habitat Baseline'!$D$1:$AA$258,13,FALSE)),"",(VLOOKUP($E156,'D-1 Off-Site Habitat Baseline'!$D$1:$AA$258,13,FALSE))))</f>
        <v/>
      </c>
      <c r="P156" s="148" t="str">
        <f>IFERROR(INDEX('G-1 All Habitats'!$AG$49:$AG$63,MATCH(Q156,'G-1 All Habitats'!$AF$27:$AF$41,0)),"")</f>
        <v/>
      </c>
      <c r="Q156" s="149" t="str">
        <f t="shared" si="24"/>
        <v/>
      </c>
      <c r="R156" s="150"/>
      <c r="S156" s="151" t="str">
        <f>IFERROR(INDEX('G-1 All Habitats'!$B$3:$B$135,MATCH(R156,'G-1 All Habitats'!$A$3:$A$135,0)),"")</f>
        <v/>
      </c>
      <c r="T156" s="283" t="str">
        <f t="shared" si="25"/>
        <v/>
      </c>
      <c r="U156" s="276" t="str">
        <f t="shared" si="26"/>
        <v/>
      </c>
      <c r="V156" s="298" t="str">
        <f t="shared" si="22"/>
        <v/>
      </c>
      <c r="W156" s="295" t="str">
        <f>IF(S156="","",VLOOKUP(S156,'G-1 All Habitats'!$B$2:$M$135,10,FALSE))</f>
        <v/>
      </c>
      <c r="X156" s="295" t="str">
        <f>IFERROR(VLOOKUP(W156,'G-1 All Habitats'!$V$3:$W$7,2,FALSE),"")</f>
        <v/>
      </c>
      <c r="Y156" s="138"/>
      <c r="Z156" s="299" t="str">
        <f>IFERROR(INDEX('G-8 Condition Look up'!$A$3:$H$135,MATCH(S156,'G-8 Condition Look up'!$A$3:$A$135,0),MATCH(Y156,'G-8 Condition Look up'!$A$3:$H$3,0)),"")</f>
        <v/>
      </c>
      <c r="AA156" s="101"/>
      <c r="AB156" s="314" t="str">
        <f>IF(AA156="","",IF(VLOOKUP(AA156,'G-3 Multipliers'!$L$3:$N$6,2,FALSE)=0,"Spatial Data Missing ⚠",VLOOKUP(AA156,'G-3 Multipliers'!$L$3:$N$6,2,FALSE)))</f>
        <v/>
      </c>
      <c r="AC156" s="299" t="str">
        <f>IF(AA156="","",IF(VLOOKUP(AA156,'G-3 Multipliers'!$L$3:$N$6,3,FALSE)=0,"Spatial Data Missing ⚠",VLOOKUP(AA156,'G-3 Multipliers'!$L$3:$N$6,3,FALSE)))</f>
        <v/>
      </c>
      <c r="AD156" s="311" t="str">
        <f t="shared" si="23"/>
        <v/>
      </c>
      <c r="AE156" s="138"/>
      <c r="AF156" s="138"/>
      <c r="AG156" s="295" t="str">
        <f t="shared" si="27"/>
        <v/>
      </c>
      <c r="AH156" s="296" t="str">
        <f t="shared" si="28"/>
        <v/>
      </c>
      <c r="AI156" s="300" t="str">
        <f>IF(AH156="Check Data ⚠","Check Data ⚠",IFERROR(VLOOKUP(AH156,'G-4 Temporal multipliers'!$A$4:$C$36,3,FALSE),""))</f>
        <v/>
      </c>
      <c r="AJ156" s="311" t="str">
        <f>IF(S156="","",VLOOKUP(S156,'G-3 Multipliers'!$A$2:$E$134,4,FALSE))</f>
        <v/>
      </c>
      <c r="AK156" s="295" t="str">
        <f t="shared" si="29"/>
        <v/>
      </c>
      <c r="AL156" s="295" t="str">
        <f t="shared" si="30"/>
        <v/>
      </c>
      <c r="AM156" s="299" t="str">
        <f>IFERROR(IF(F156="","",IF(AH156="Check Data ⚠","Check Data ⚠",VLOOKUP(AL156,'G-3 Multipliers'!$P$2:$Q$6,2,FALSE))),"")</f>
        <v/>
      </c>
      <c r="AN156" s="712" t="str">
        <f>IF(E156="","",IF(ISNA(VLOOKUP($E156,'D-1 Off-Site Habitat Baseline'!$D$1:$Z$258,15,FALSE)),"",(VLOOKUP($E156,'D-1 Off-Site Habitat Baseline'!$D$1:$Z$258,15,FALSE))))</f>
        <v/>
      </c>
      <c r="AO156" s="329" t="str">
        <f>IF(AN156="","",IF(VLOOKUP(AN156,'G-3 Multipliers'!$S$3:$T$10,2,FALSE)=0,"Spatial Data Missing ⚠",VLOOKUP(AN156,'G-3 Multipliers'!$S$3:$T$10,2,FALSE)))</f>
        <v/>
      </c>
      <c r="AP156" s="289" t="str">
        <f t="shared" si="31"/>
        <v/>
      </c>
      <c r="AQ156" s="289" t="str">
        <f t="shared" si="32"/>
        <v/>
      </c>
      <c r="AR156" s="105"/>
      <c r="AS156" s="138"/>
      <c r="AT156" s="104"/>
      <c r="AU156" s="104"/>
      <c r="AY156" s="30" t="str">
        <f>IF(E156="","",IF(ISNA(VLOOKUP($E156,'D-1 Off-Site Habitat Baseline'!$D$1:$AV$258,4,FALSE)),"",(VLOOKUP($E156,'D-1 Off-Site Habitat Baseline'!$D$1:$AV$258,4,FALSE))))</f>
        <v/>
      </c>
    </row>
    <row r="157" spans="1:51" ht="14">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319" t="str">
        <f>'D-1 Off-Site Habitat Baseline'!AP156</f>
        <v/>
      </c>
      <c r="F157" s="283" t="str">
        <f>IF(E157="","",IF(ISNA(VLOOKUP($E157,'D-1 Off-Site Habitat Baseline'!$D$1:$ZZ$258,45,FALSE)),"",(VLOOKUP($E157,'D-1 Off-Site Habitat Baseline'!$D$1:$ZZ$258,45,FALSE))))</f>
        <v/>
      </c>
      <c r="G157" s="295" t="str">
        <f>IF(E157="","",IF(ISNA(VLOOKUP($E157,'D-1 Off-Site Habitat Baseline'!$D$1:$O$258,5,FALSE)),"",(VLOOKUP($E157,'D-1 Off-Site Habitat Baseline'!$D$1:$O$258,5,FALSE))))</f>
        <v/>
      </c>
      <c r="H157" s="295" t="str">
        <f>IF(E157="","",IF(ISNA(VLOOKUP($E157,'D-1 Off-Site Habitat Baseline'!$D$1:$O$258,6,FALSE)),"",(VLOOKUP($E157,'D-1 Off-Site Habitat Baseline'!$D$1:$O$258,6,FALSE))))</f>
        <v/>
      </c>
      <c r="I157" s="295" t="str">
        <f>IF(E157="","",IF(ISNA(VLOOKUP($E157,'D-1 Off-Site Habitat Baseline'!$D$1:$O$258,7,FALSE)),"",(VLOOKUP($E157,'D-1 Off-Site Habitat Baseline'!$D$1:$O$258,7,FALSE))))</f>
        <v/>
      </c>
      <c r="J157" s="295" t="str">
        <f>IF(E157="","",IF(ISNA(VLOOKUP($E157,'D-1 Off-Site Habitat Baseline'!$D$1:$O$258,8,FALSE)),"",(VLOOKUP($E157,'D-1 Off-Site Habitat Baseline'!$D$1:$O$258,8,FALSE))))</f>
        <v/>
      </c>
      <c r="K157" s="295" t="str">
        <f>IF(E157="","",IF(ISNA(VLOOKUP($E157,'D-1 Off-Site Habitat Baseline'!$D$1:$O$258,9,FALSE)),"",(VLOOKUP($E157,'D-1 Off-Site Habitat Baseline'!$D$1:$O$258,9,FALSE))))</f>
        <v/>
      </c>
      <c r="L157" s="295" t="str">
        <f>IF(E157="","",IF(ISNA(VLOOKUP($E157,'D-1 Off-Site Habitat Baseline'!$D$1:$O$258,11,FALSE)),"",(VLOOKUP($E157,'D-1 Off-Site Habitat Baseline'!$D$1:$O$258,11,FALSE))))</f>
        <v/>
      </c>
      <c r="M157" s="295" t="str">
        <f>IF(E157="","",IF(ISNA(VLOOKUP($E157,'D-1 Off-Site Habitat Baseline'!$D$1:$O$258,12,FALSE)),"",(VLOOKUP($E157,'D-1 Off-Site Habitat Baseline'!$D$1:$O$258,12,FALSE))))</f>
        <v/>
      </c>
      <c r="N157" s="295" t="str">
        <f>IF(E157="","",IF(ISNA(VLOOKUP($E157,'D-1 Off-Site Habitat Baseline'!$D$1:$AA$258,17,FALSE)),"",(VLOOKUP($E157,'D-1 Off-Site Habitat Baseline'!$D$1:$AA$258,17,FALSE))))</f>
        <v/>
      </c>
      <c r="O157" s="299" t="str">
        <f>IF(E157="","",IF(ISNA(VLOOKUP($E157,'D-1 Off-Site Habitat Baseline'!$D$1:$AA$258,13,FALSE)),"",(VLOOKUP($E157,'D-1 Off-Site Habitat Baseline'!$D$1:$AA$258,13,FALSE))))</f>
        <v/>
      </c>
      <c r="P157" s="148" t="str">
        <f>IFERROR(INDEX('G-1 All Habitats'!$AG$49:$AG$63,MATCH(Q157,'G-1 All Habitats'!$AF$27:$AF$41,0)),"")</f>
        <v/>
      </c>
      <c r="Q157" s="149" t="str">
        <f t="shared" si="24"/>
        <v/>
      </c>
      <c r="R157" s="150"/>
      <c r="S157" s="151" t="str">
        <f>IFERROR(INDEX('G-1 All Habitats'!$B$3:$B$135,MATCH(R157,'G-1 All Habitats'!$A$3:$A$135,0)),"")</f>
        <v/>
      </c>
      <c r="T157" s="283" t="str">
        <f t="shared" si="25"/>
        <v/>
      </c>
      <c r="U157" s="276" t="str">
        <f t="shared" si="26"/>
        <v/>
      </c>
      <c r="V157" s="298" t="str">
        <f t="shared" si="22"/>
        <v/>
      </c>
      <c r="W157" s="295" t="str">
        <f>IF(S157="","",VLOOKUP(S157,'G-1 All Habitats'!$B$2:$M$135,10,FALSE))</f>
        <v/>
      </c>
      <c r="X157" s="295" t="str">
        <f>IFERROR(VLOOKUP(W157,'G-1 All Habitats'!$V$3:$W$7,2,FALSE),"")</f>
        <v/>
      </c>
      <c r="Y157" s="138"/>
      <c r="Z157" s="299" t="str">
        <f>IFERROR(INDEX('G-8 Condition Look up'!$A$3:$H$135,MATCH(S157,'G-8 Condition Look up'!$A$3:$A$135,0),MATCH(Y157,'G-8 Condition Look up'!$A$3:$H$3,0)),"")</f>
        <v/>
      </c>
      <c r="AA157" s="101"/>
      <c r="AB157" s="314" t="str">
        <f>IF(AA157="","",IF(VLOOKUP(AA157,'G-3 Multipliers'!$L$3:$N$6,2,FALSE)=0,"Spatial Data Missing ⚠",VLOOKUP(AA157,'G-3 Multipliers'!$L$3:$N$6,2,FALSE)))</f>
        <v/>
      </c>
      <c r="AC157" s="299" t="str">
        <f>IF(AA157="","",IF(VLOOKUP(AA157,'G-3 Multipliers'!$L$3:$N$6,3,FALSE)=0,"Spatial Data Missing ⚠",VLOOKUP(AA157,'G-3 Multipliers'!$L$3:$N$6,3,FALSE)))</f>
        <v/>
      </c>
      <c r="AD157" s="311" t="str">
        <f t="shared" si="23"/>
        <v/>
      </c>
      <c r="AE157" s="138"/>
      <c r="AF157" s="138"/>
      <c r="AG157" s="295" t="str">
        <f t="shared" si="27"/>
        <v/>
      </c>
      <c r="AH157" s="296" t="str">
        <f t="shared" si="28"/>
        <v/>
      </c>
      <c r="AI157" s="300" t="str">
        <f>IF(AH157="Check Data ⚠","Check Data ⚠",IFERROR(VLOOKUP(AH157,'G-4 Temporal multipliers'!$A$4:$C$36,3,FALSE),""))</f>
        <v/>
      </c>
      <c r="AJ157" s="311" t="str">
        <f>IF(S157="","",VLOOKUP(S157,'G-3 Multipliers'!$A$2:$E$134,4,FALSE))</f>
        <v/>
      </c>
      <c r="AK157" s="295" t="str">
        <f t="shared" si="29"/>
        <v/>
      </c>
      <c r="AL157" s="295" t="str">
        <f t="shared" si="30"/>
        <v/>
      </c>
      <c r="AM157" s="299" t="str">
        <f>IFERROR(IF(F157="","",IF(AH157="Check Data ⚠","Check Data ⚠",VLOOKUP(AL157,'G-3 Multipliers'!$P$2:$Q$6,2,FALSE))),"")</f>
        <v/>
      </c>
      <c r="AN157" s="712" t="str">
        <f>IF(E157="","",IF(ISNA(VLOOKUP($E157,'D-1 Off-Site Habitat Baseline'!$D$1:$Z$258,15,FALSE)),"",(VLOOKUP($E157,'D-1 Off-Site Habitat Baseline'!$D$1:$Z$258,15,FALSE))))</f>
        <v/>
      </c>
      <c r="AO157" s="329" t="str">
        <f>IF(AN157="","",IF(VLOOKUP(AN157,'G-3 Multipliers'!$S$3:$T$10,2,FALSE)=0,"Spatial Data Missing ⚠",VLOOKUP(AN157,'G-3 Multipliers'!$S$3:$T$10,2,FALSE)))</f>
        <v/>
      </c>
      <c r="AP157" s="289" t="str">
        <f t="shared" si="31"/>
        <v/>
      </c>
      <c r="AQ157" s="289" t="str">
        <f t="shared" si="32"/>
        <v/>
      </c>
      <c r="AR157" s="105"/>
      <c r="AS157" s="138"/>
      <c r="AT157" s="104"/>
      <c r="AU157" s="104"/>
      <c r="AY157" s="30" t="str">
        <f>IF(E157="","",IF(ISNA(VLOOKUP($E157,'D-1 Off-Site Habitat Baseline'!$D$1:$AV$258,4,FALSE)),"",(VLOOKUP($E157,'D-1 Off-Site Habitat Baseline'!$D$1:$AV$258,4,FALSE))))</f>
        <v/>
      </c>
    </row>
    <row r="158" spans="1:51" ht="14">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319" t="str">
        <f>'D-1 Off-Site Habitat Baseline'!AP157</f>
        <v/>
      </c>
      <c r="F158" s="283" t="str">
        <f>IF(E158="","",IF(ISNA(VLOOKUP($E158,'D-1 Off-Site Habitat Baseline'!$D$1:$ZZ$258,45,FALSE)),"",(VLOOKUP($E158,'D-1 Off-Site Habitat Baseline'!$D$1:$ZZ$258,45,FALSE))))</f>
        <v/>
      </c>
      <c r="G158" s="295" t="str">
        <f>IF(E158="","",IF(ISNA(VLOOKUP($E158,'D-1 Off-Site Habitat Baseline'!$D$1:$O$258,5,FALSE)),"",(VLOOKUP($E158,'D-1 Off-Site Habitat Baseline'!$D$1:$O$258,5,FALSE))))</f>
        <v/>
      </c>
      <c r="H158" s="295" t="str">
        <f>IF(E158="","",IF(ISNA(VLOOKUP($E158,'D-1 Off-Site Habitat Baseline'!$D$1:$O$258,6,FALSE)),"",(VLOOKUP($E158,'D-1 Off-Site Habitat Baseline'!$D$1:$O$258,6,FALSE))))</f>
        <v/>
      </c>
      <c r="I158" s="295" t="str">
        <f>IF(E158="","",IF(ISNA(VLOOKUP($E158,'D-1 Off-Site Habitat Baseline'!$D$1:$O$258,7,FALSE)),"",(VLOOKUP($E158,'D-1 Off-Site Habitat Baseline'!$D$1:$O$258,7,FALSE))))</f>
        <v/>
      </c>
      <c r="J158" s="295" t="str">
        <f>IF(E158="","",IF(ISNA(VLOOKUP($E158,'D-1 Off-Site Habitat Baseline'!$D$1:$O$258,8,FALSE)),"",(VLOOKUP($E158,'D-1 Off-Site Habitat Baseline'!$D$1:$O$258,8,FALSE))))</f>
        <v/>
      </c>
      <c r="K158" s="295" t="str">
        <f>IF(E158="","",IF(ISNA(VLOOKUP($E158,'D-1 Off-Site Habitat Baseline'!$D$1:$O$258,9,FALSE)),"",(VLOOKUP($E158,'D-1 Off-Site Habitat Baseline'!$D$1:$O$258,9,FALSE))))</f>
        <v/>
      </c>
      <c r="L158" s="295" t="str">
        <f>IF(E158="","",IF(ISNA(VLOOKUP($E158,'D-1 Off-Site Habitat Baseline'!$D$1:$O$258,11,FALSE)),"",(VLOOKUP($E158,'D-1 Off-Site Habitat Baseline'!$D$1:$O$258,11,FALSE))))</f>
        <v/>
      </c>
      <c r="M158" s="295" t="str">
        <f>IF(E158="","",IF(ISNA(VLOOKUP($E158,'D-1 Off-Site Habitat Baseline'!$D$1:$O$258,12,FALSE)),"",(VLOOKUP($E158,'D-1 Off-Site Habitat Baseline'!$D$1:$O$258,12,FALSE))))</f>
        <v/>
      </c>
      <c r="N158" s="295" t="str">
        <f>IF(E158="","",IF(ISNA(VLOOKUP($E158,'D-1 Off-Site Habitat Baseline'!$D$1:$AA$258,17,FALSE)),"",(VLOOKUP($E158,'D-1 Off-Site Habitat Baseline'!$D$1:$AA$258,17,FALSE))))</f>
        <v/>
      </c>
      <c r="O158" s="299" t="str">
        <f>IF(E158="","",IF(ISNA(VLOOKUP($E158,'D-1 Off-Site Habitat Baseline'!$D$1:$AA$258,13,FALSE)),"",(VLOOKUP($E158,'D-1 Off-Site Habitat Baseline'!$D$1:$AA$258,13,FALSE))))</f>
        <v/>
      </c>
      <c r="P158" s="148" t="str">
        <f>IFERROR(INDEX('G-1 All Habitats'!$AG$49:$AG$63,MATCH(Q158,'G-1 All Habitats'!$AF$27:$AF$41,0)),"")</f>
        <v/>
      </c>
      <c r="Q158" s="149" t="str">
        <f t="shared" si="24"/>
        <v/>
      </c>
      <c r="R158" s="150"/>
      <c r="S158" s="151" t="str">
        <f>IFERROR(INDEX('G-1 All Habitats'!$B$3:$B$135,MATCH(R158,'G-1 All Habitats'!$A$3:$A$135,0)),"")</f>
        <v/>
      </c>
      <c r="T158" s="283" t="str">
        <f t="shared" si="25"/>
        <v/>
      </c>
      <c r="U158" s="276" t="str">
        <f t="shared" si="26"/>
        <v/>
      </c>
      <c r="V158" s="298" t="str">
        <f t="shared" si="22"/>
        <v/>
      </c>
      <c r="W158" s="295" t="str">
        <f>IF(S158="","",VLOOKUP(S158,'G-1 All Habitats'!$B$2:$M$135,10,FALSE))</f>
        <v/>
      </c>
      <c r="X158" s="295" t="str">
        <f>IFERROR(VLOOKUP(W158,'G-1 All Habitats'!$V$3:$W$7,2,FALSE),"")</f>
        <v/>
      </c>
      <c r="Y158" s="138"/>
      <c r="Z158" s="299" t="str">
        <f>IFERROR(INDEX('G-8 Condition Look up'!$A$3:$H$135,MATCH(S158,'G-8 Condition Look up'!$A$3:$A$135,0),MATCH(Y158,'G-8 Condition Look up'!$A$3:$H$3,0)),"")</f>
        <v/>
      </c>
      <c r="AA158" s="101"/>
      <c r="AB158" s="314" t="str">
        <f>IF(AA158="","",IF(VLOOKUP(AA158,'G-3 Multipliers'!$L$3:$N$6,2,FALSE)=0,"Spatial Data Missing ⚠",VLOOKUP(AA158,'G-3 Multipliers'!$L$3:$N$6,2,FALSE)))</f>
        <v/>
      </c>
      <c r="AC158" s="299" t="str">
        <f>IF(AA158="","",IF(VLOOKUP(AA158,'G-3 Multipliers'!$L$3:$N$6,3,FALSE)=0,"Spatial Data Missing ⚠",VLOOKUP(AA158,'G-3 Multipliers'!$L$3:$N$6,3,FALSE)))</f>
        <v/>
      </c>
      <c r="AD158" s="311" t="str">
        <f t="shared" si="23"/>
        <v/>
      </c>
      <c r="AE158" s="138"/>
      <c r="AF158" s="138"/>
      <c r="AG158" s="295" t="str">
        <f t="shared" si="27"/>
        <v/>
      </c>
      <c r="AH158" s="296" t="str">
        <f t="shared" si="28"/>
        <v/>
      </c>
      <c r="AI158" s="300" t="str">
        <f>IF(AH158="Check Data ⚠","Check Data ⚠",IFERROR(VLOOKUP(AH158,'G-4 Temporal multipliers'!$A$4:$C$36,3,FALSE),""))</f>
        <v/>
      </c>
      <c r="AJ158" s="311" t="str">
        <f>IF(S158="","",VLOOKUP(S158,'G-3 Multipliers'!$A$2:$E$134,4,FALSE))</f>
        <v/>
      </c>
      <c r="AK158" s="295" t="str">
        <f t="shared" si="29"/>
        <v/>
      </c>
      <c r="AL158" s="295" t="str">
        <f t="shared" si="30"/>
        <v/>
      </c>
      <c r="AM158" s="299" t="str">
        <f>IFERROR(IF(F158="","",IF(AH158="Check Data ⚠","Check Data ⚠",VLOOKUP(AL158,'G-3 Multipliers'!$P$2:$Q$6,2,FALSE))),"")</f>
        <v/>
      </c>
      <c r="AN158" s="712" t="str">
        <f>IF(E158="","",IF(ISNA(VLOOKUP($E158,'D-1 Off-Site Habitat Baseline'!$D$1:$Z$258,15,FALSE)),"",(VLOOKUP($E158,'D-1 Off-Site Habitat Baseline'!$D$1:$Z$258,15,FALSE))))</f>
        <v/>
      </c>
      <c r="AO158" s="329" t="str">
        <f>IF(AN158="","",IF(VLOOKUP(AN158,'G-3 Multipliers'!$S$3:$T$10,2,FALSE)=0,"Spatial Data Missing ⚠",VLOOKUP(AN158,'G-3 Multipliers'!$S$3:$T$10,2,FALSE)))</f>
        <v/>
      </c>
      <c r="AP158" s="289" t="str">
        <f t="shared" si="31"/>
        <v/>
      </c>
      <c r="AQ158" s="289" t="str">
        <f t="shared" si="32"/>
        <v/>
      </c>
      <c r="AR158" s="105"/>
      <c r="AS158" s="138"/>
      <c r="AT158" s="104"/>
      <c r="AU158" s="104"/>
      <c r="AY158" s="30" t="str">
        <f>IF(E158="","",IF(ISNA(VLOOKUP($E158,'D-1 Off-Site Habitat Baseline'!$D$1:$AV$258,4,FALSE)),"",(VLOOKUP($E158,'D-1 Off-Site Habitat Baseline'!$D$1:$AV$258,4,FALSE))))</f>
        <v/>
      </c>
    </row>
    <row r="159" spans="1:51" ht="14">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319" t="str">
        <f>'D-1 Off-Site Habitat Baseline'!AP158</f>
        <v/>
      </c>
      <c r="F159" s="283" t="str">
        <f>IF(E159="","",IF(ISNA(VLOOKUP($E159,'D-1 Off-Site Habitat Baseline'!$D$1:$ZZ$258,45,FALSE)),"",(VLOOKUP($E159,'D-1 Off-Site Habitat Baseline'!$D$1:$ZZ$258,45,FALSE))))</f>
        <v/>
      </c>
      <c r="G159" s="295" t="str">
        <f>IF(E159="","",IF(ISNA(VLOOKUP($E159,'D-1 Off-Site Habitat Baseline'!$D$1:$O$258,5,FALSE)),"",(VLOOKUP($E159,'D-1 Off-Site Habitat Baseline'!$D$1:$O$258,5,FALSE))))</f>
        <v/>
      </c>
      <c r="H159" s="295" t="str">
        <f>IF(E159="","",IF(ISNA(VLOOKUP($E159,'D-1 Off-Site Habitat Baseline'!$D$1:$O$258,6,FALSE)),"",(VLOOKUP($E159,'D-1 Off-Site Habitat Baseline'!$D$1:$O$258,6,FALSE))))</f>
        <v/>
      </c>
      <c r="I159" s="295" t="str">
        <f>IF(E159="","",IF(ISNA(VLOOKUP($E159,'D-1 Off-Site Habitat Baseline'!$D$1:$O$258,7,FALSE)),"",(VLOOKUP($E159,'D-1 Off-Site Habitat Baseline'!$D$1:$O$258,7,FALSE))))</f>
        <v/>
      </c>
      <c r="J159" s="295" t="str">
        <f>IF(E159="","",IF(ISNA(VLOOKUP($E159,'D-1 Off-Site Habitat Baseline'!$D$1:$O$258,8,FALSE)),"",(VLOOKUP($E159,'D-1 Off-Site Habitat Baseline'!$D$1:$O$258,8,FALSE))))</f>
        <v/>
      </c>
      <c r="K159" s="295" t="str">
        <f>IF(E159="","",IF(ISNA(VLOOKUP($E159,'D-1 Off-Site Habitat Baseline'!$D$1:$O$258,9,FALSE)),"",(VLOOKUP($E159,'D-1 Off-Site Habitat Baseline'!$D$1:$O$258,9,FALSE))))</f>
        <v/>
      </c>
      <c r="L159" s="295" t="str">
        <f>IF(E159="","",IF(ISNA(VLOOKUP($E159,'D-1 Off-Site Habitat Baseline'!$D$1:$O$258,11,FALSE)),"",(VLOOKUP($E159,'D-1 Off-Site Habitat Baseline'!$D$1:$O$258,11,FALSE))))</f>
        <v/>
      </c>
      <c r="M159" s="295" t="str">
        <f>IF(E159="","",IF(ISNA(VLOOKUP($E159,'D-1 Off-Site Habitat Baseline'!$D$1:$O$258,12,FALSE)),"",(VLOOKUP($E159,'D-1 Off-Site Habitat Baseline'!$D$1:$O$258,12,FALSE))))</f>
        <v/>
      </c>
      <c r="N159" s="295" t="str">
        <f>IF(E159="","",IF(ISNA(VLOOKUP($E159,'D-1 Off-Site Habitat Baseline'!$D$1:$AA$258,17,FALSE)),"",(VLOOKUP($E159,'D-1 Off-Site Habitat Baseline'!$D$1:$AA$258,17,FALSE))))</f>
        <v/>
      </c>
      <c r="O159" s="299" t="str">
        <f>IF(E159="","",IF(ISNA(VLOOKUP($E159,'D-1 Off-Site Habitat Baseline'!$D$1:$AA$258,13,FALSE)),"",(VLOOKUP($E159,'D-1 Off-Site Habitat Baseline'!$D$1:$AA$258,13,FALSE))))</f>
        <v/>
      </c>
      <c r="P159" s="148" t="str">
        <f>IFERROR(INDEX('G-1 All Habitats'!$AG$49:$AG$63,MATCH(Q159,'G-1 All Habitats'!$AF$27:$AF$41,0)),"")</f>
        <v/>
      </c>
      <c r="Q159" s="149" t="str">
        <f t="shared" si="24"/>
        <v/>
      </c>
      <c r="R159" s="150"/>
      <c r="S159" s="151" t="str">
        <f>IFERROR(INDEX('G-1 All Habitats'!$B$3:$B$135,MATCH(R159,'G-1 All Habitats'!$A$3:$A$135,0)),"")</f>
        <v/>
      </c>
      <c r="T159" s="283" t="str">
        <f t="shared" si="25"/>
        <v/>
      </c>
      <c r="U159" s="276" t="str">
        <f t="shared" si="26"/>
        <v/>
      </c>
      <c r="V159" s="298" t="str">
        <f t="shared" si="22"/>
        <v/>
      </c>
      <c r="W159" s="295" t="str">
        <f>IF(S159="","",VLOOKUP(S159,'G-1 All Habitats'!$B$2:$M$135,10,FALSE))</f>
        <v/>
      </c>
      <c r="X159" s="295" t="str">
        <f>IFERROR(VLOOKUP(W159,'G-1 All Habitats'!$V$3:$W$7,2,FALSE),"")</f>
        <v/>
      </c>
      <c r="Y159" s="138"/>
      <c r="Z159" s="299" t="str">
        <f>IFERROR(INDEX('G-8 Condition Look up'!$A$3:$H$135,MATCH(S159,'G-8 Condition Look up'!$A$3:$A$135,0),MATCH(Y159,'G-8 Condition Look up'!$A$3:$H$3,0)),"")</f>
        <v/>
      </c>
      <c r="AA159" s="101"/>
      <c r="AB159" s="314" t="str">
        <f>IF(AA159="","",IF(VLOOKUP(AA159,'G-3 Multipliers'!$L$3:$N$6,2,FALSE)=0,"Spatial Data Missing ⚠",VLOOKUP(AA159,'G-3 Multipliers'!$L$3:$N$6,2,FALSE)))</f>
        <v/>
      </c>
      <c r="AC159" s="299" t="str">
        <f>IF(AA159="","",IF(VLOOKUP(AA159,'G-3 Multipliers'!$L$3:$N$6,3,FALSE)=0,"Spatial Data Missing ⚠",VLOOKUP(AA159,'G-3 Multipliers'!$L$3:$N$6,3,FALSE)))</f>
        <v/>
      </c>
      <c r="AD159" s="311" t="str">
        <f t="shared" si="23"/>
        <v/>
      </c>
      <c r="AE159" s="138"/>
      <c r="AF159" s="138"/>
      <c r="AG159" s="295" t="str">
        <f t="shared" si="27"/>
        <v/>
      </c>
      <c r="AH159" s="296" t="str">
        <f t="shared" si="28"/>
        <v/>
      </c>
      <c r="AI159" s="300" t="str">
        <f>IF(AH159="Check Data ⚠","Check Data ⚠",IFERROR(VLOOKUP(AH159,'G-4 Temporal multipliers'!$A$4:$C$36,3,FALSE),""))</f>
        <v/>
      </c>
      <c r="AJ159" s="311" t="str">
        <f>IF(S159="","",VLOOKUP(S159,'G-3 Multipliers'!$A$2:$E$134,4,FALSE))</f>
        <v/>
      </c>
      <c r="AK159" s="295" t="str">
        <f t="shared" si="29"/>
        <v/>
      </c>
      <c r="AL159" s="295" t="str">
        <f t="shared" si="30"/>
        <v/>
      </c>
      <c r="AM159" s="299" t="str">
        <f>IFERROR(IF(F159="","",IF(AH159="Check Data ⚠","Check Data ⚠",VLOOKUP(AL159,'G-3 Multipliers'!$P$2:$Q$6,2,FALSE))),"")</f>
        <v/>
      </c>
      <c r="AN159" s="712" t="str">
        <f>IF(E159="","",IF(ISNA(VLOOKUP($E159,'D-1 Off-Site Habitat Baseline'!$D$1:$Z$258,15,FALSE)),"",(VLOOKUP($E159,'D-1 Off-Site Habitat Baseline'!$D$1:$Z$258,15,FALSE))))</f>
        <v/>
      </c>
      <c r="AO159" s="329" t="str">
        <f>IF(AN159="","",IF(VLOOKUP(AN159,'G-3 Multipliers'!$S$3:$T$10,2,FALSE)=0,"Spatial Data Missing ⚠",VLOOKUP(AN159,'G-3 Multipliers'!$S$3:$T$10,2,FALSE)))</f>
        <v/>
      </c>
      <c r="AP159" s="289" t="str">
        <f t="shared" si="31"/>
        <v/>
      </c>
      <c r="AQ159" s="289" t="str">
        <f t="shared" si="32"/>
        <v/>
      </c>
      <c r="AR159" s="105"/>
      <c r="AS159" s="138"/>
      <c r="AT159" s="104"/>
      <c r="AU159" s="104"/>
      <c r="AY159" s="30" t="str">
        <f>IF(E159="","",IF(ISNA(VLOOKUP($E159,'D-1 Off-Site Habitat Baseline'!$D$1:$AV$258,4,FALSE)),"",(VLOOKUP($E159,'D-1 Off-Site Habitat Baseline'!$D$1:$AV$258,4,FALSE))))</f>
        <v/>
      </c>
    </row>
    <row r="160" spans="1:51" ht="14">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319" t="str">
        <f>'D-1 Off-Site Habitat Baseline'!AP159</f>
        <v/>
      </c>
      <c r="F160" s="283" t="str">
        <f>IF(E160="","",IF(ISNA(VLOOKUP($E160,'D-1 Off-Site Habitat Baseline'!$D$1:$ZZ$258,45,FALSE)),"",(VLOOKUP($E160,'D-1 Off-Site Habitat Baseline'!$D$1:$ZZ$258,45,FALSE))))</f>
        <v/>
      </c>
      <c r="G160" s="295" t="str">
        <f>IF(E160="","",IF(ISNA(VLOOKUP($E160,'D-1 Off-Site Habitat Baseline'!$D$1:$O$258,5,FALSE)),"",(VLOOKUP($E160,'D-1 Off-Site Habitat Baseline'!$D$1:$O$258,5,FALSE))))</f>
        <v/>
      </c>
      <c r="H160" s="295" t="str">
        <f>IF(E160="","",IF(ISNA(VLOOKUP($E160,'D-1 Off-Site Habitat Baseline'!$D$1:$O$258,6,FALSE)),"",(VLOOKUP($E160,'D-1 Off-Site Habitat Baseline'!$D$1:$O$258,6,FALSE))))</f>
        <v/>
      </c>
      <c r="I160" s="295" t="str">
        <f>IF(E160="","",IF(ISNA(VLOOKUP($E160,'D-1 Off-Site Habitat Baseline'!$D$1:$O$258,7,FALSE)),"",(VLOOKUP($E160,'D-1 Off-Site Habitat Baseline'!$D$1:$O$258,7,FALSE))))</f>
        <v/>
      </c>
      <c r="J160" s="295" t="str">
        <f>IF(E160="","",IF(ISNA(VLOOKUP($E160,'D-1 Off-Site Habitat Baseline'!$D$1:$O$258,8,FALSE)),"",(VLOOKUP($E160,'D-1 Off-Site Habitat Baseline'!$D$1:$O$258,8,FALSE))))</f>
        <v/>
      </c>
      <c r="K160" s="295" t="str">
        <f>IF(E160="","",IF(ISNA(VLOOKUP($E160,'D-1 Off-Site Habitat Baseline'!$D$1:$O$258,9,FALSE)),"",(VLOOKUP($E160,'D-1 Off-Site Habitat Baseline'!$D$1:$O$258,9,FALSE))))</f>
        <v/>
      </c>
      <c r="L160" s="295" t="str">
        <f>IF(E160="","",IF(ISNA(VLOOKUP($E160,'D-1 Off-Site Habitat Baseline'!$D$1:$O$258,11,FALSE)),"",(VLOOKUP($E160,'D-1 Off-Site Habitat Baseline'!$D$1:$O$258,11,FALSE))))</f>
        <v/>
      </c>
      <c r="M160" s="295" t="str">
        <f>IF(E160="","",IF(ISNA(VLOOKUP($E160,'D-1 Off-Site Habitat Baseline'!$D$1:$O$258,12,FALSE)),"",(VLOOKUP($E160,'D-1 Off-Site Habitat Baseline'!$D$1:$O$258,12,FALSE))))</f>
        <v/>
      </c>
      <c r="N160" s="295" t="str">
        <f>IF(E160="","",IF(ISNA(VLOOKUP($E160,'D-1 Off-Site Habitat Baseline'!$D$1:$AA$258,17,FALSE)),"",(VLOOKUP($E160,'D-1 Off-Site Habitat Baseline'!$D$1:$AA$258,17,FALSE))))</f>
        <v/>
      </c>
      <c r="O160" s="299" t="str">
        <f>IF(E160="","",IF(ISNA(VLOOKUP($E160,'D-1 Off-Site Habitat Baseline'!$D$1:$AA$258,13,FALSE)),"",(VLOOKUP($E160,'D-1 Off-Site Habitat Baseline'!$D$1:$AA$258,13,FALSE))))</f>
        <v/>
      </c>
      <c r="P160" s="148" t="str">
        <f>IFERROR(INDEX('G-1 All Habitats'!$AG$49:$AG$63,MATCH(Q160,'G-1 All Habitats'!$AF$27:$AF$41,0)),"")</f>
        <v/>
      </c>
      <c r="Q160" s="149" t="str">
        <f t="shared" si="24"/>
        <v/>
      </c>
      <c r="R160" s="150"/>
      <c r="S160" s="151" t="str">
        <f>IFERROR(INDEX('G-1 All Habitats'!$B$3:$B$135,MATCH(R160,'G-1 All Habitats'!$A$3:$A$135,0)),"")</f>
        <v/>
      </c>
      <c r="T160" s="283" t="str">
        <f t="shared" si="25"/>
        <v/>
      </c>
      <c r="U160" s="276" t="str">
        <f t="shared" si="26"/>
        <v/>
      </c>
      <c r="V160" s="298" t="str">
        <f t="shared" si="22"/>
        <v/>
      </c>
      <c r="W160" s="295" t="str">
        <f>IF(S160="","",VLOOKUP(S160,'G-1 All Habitats'!$B$2:$M$135,10,FALSE))</f>
        <v/>
      </c>
      <c r="X160" s="295" t="str">
        <f>IFERROR(VLOOKUP(W160,'G-1 All Habitats'!$V$3:$W$7,2,FALSE),"")</f>
        <v/>
      </c>
      <c r="Y160" s="138"/>
      <c r="Z160" s="299" t="str">
        <f>IFERROR(INDEX('G-8 Condition Look up'!$A$3:$H$135,MATCH(S160,'G-8 Condition Look up'!$A$3:$A$135,0),MATCH(Y160,'G-8 Condition Look up'!$A$3:$H$3,0)),"")</f>
        <v/>
      </c>
      <c r="AA160" s="101"/>
      <c r="AB160" s="314" t="str">
        <f>IF(AA160="","",IF(VLOOKUP(AA160,'G-3 Multipliers'!$L$3:$N$6,2,FALSE)=0,"Spatial Data Missing ⚠",VLOOKUP(AA160,'G-3 Multipliers'!$L$3:$N$6,2,FALSE)))</f>
        <v/>
      </c>
      <c r="AC160" s="299" t="str">
        <f>IF(AA160="","",IF(VLOOKUP(AA160,'G-3 Multipliers'!$L$3:$N$6,3,FALSE)=0,"Spatial Data Missing ⚠",VLOOKUP(AA160,'G-3 Multipliers'!$L$3:$N$6,3,FALSE)))</f>
        <v/>
      </c>
      <c r="AD160" s="311" t="str">
        <f t="shared" si="23"/>
        <v/>
      </c>
      <c r="AE160" s="138"/>
      <c r="AF160" s="138"/>
      <c r="AG160" s="295" t="str">
        <f t="shared" si="27"/>
        <v/>
      </c>
      <c r="AH160" s="296" t="str">
        <f t="shared" si="28"/>
        <v/>
      </c>
      <c r="AI160" s="300" t="str">
        <f>IF(AH160="Check Data ⚠","Check Data ⚠",IFERROR(VLOOKUP(AH160,'G-4 Temporal multipliers'!$A$4:$C$36,3,FALSE),""))</f>
        <v/>
      </c>
      <c r="AJ160" s="311" t="str">
        <f>IF(S160="","",VLOOKUP(S160,'G-3 Multipliers'!$A$2:$E$134,4,FALSE))</f>
        <v/>
      </c>
      <c r="AK160" s="295" t="str">
        <f t="shared" si="29"/>
        <v/>
      </c>
      <c r="AL160" s="295" t="str">
        <f t="shared" si="30"/>
        <v/>
      </c>
      <c r="AM160" s="299" t="str">
        <f>IFERROR(IF(F160="","",IF(AH160="Check Data ⚠","Check Data ⚠",VLOOKUP(AL160,'G-3 Multipliers'!$P$2:$Q$6,2,FALSE))),"")</f>
        <v/>
      </c>
      <c r="AN160" s="712" t="str">
        <f>IF(E160="","",IF(ISNA(VLOOKUP($E160,'D-1 Off-Site Habitat Baseline'!$D$1:$Z$258,15,FALSE)),"",(VLOOKUP($E160,'D-1 Off-Site Habitat Baseline'!$D$1:$Z$258,15,FALSE))))</f>
        <v/>
      </c>
      <c r="AO160" s="329" t="str">
        <f>IF(AN160="","",IF(VLOOKUP(AN160,'G-3 Multipliers'!$S$3:$T$10,2,FALSE)=0,"Spatial Data Missing ⚠",VLOOKUP(AN160,'G-3 Multipliers'!$S$3:$T$10,2,FALSE)))</f>
        <v/>
      </c>
      <c r="AP160" s="289" t="str">
        <f t="shared" si="31"/>
        <v/>
      </c>
      <c r="AQ160" s="289" t="str">
        <f t="shared" si="32"/>
        <v/>
      </c>
      <c r="AR160" s="105"/>
      <c r="AS160" s="138"/>
      <c r="AT160" s="104"/>
      <c r="AU160" s="104"/>
      <c r="AY160" s="30" t="str">
        <f>IF(E160="","",IF(ISNA(VLOOKUP($E160,'D-1 Off-Site Habitat Baseline'!$D$1:$AV$258,4,FALSE)),"",(VLOOKUP($E160,'D-1 Off-Site Habitat Baseline'!$D$1:$AV$258,4,FALSE))))</f>
        <v/>
      </c>
    </row>
    <row r="161" spans="1:51" ht="14">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319" t="str">
        <f>'D-1 Off-Site Habitat Baseline'!AP160</f>
        <v/>
      </c>
      <c r="F161" s="283" t="str">
        <f>IF(E161="","",IF(ISNA(VLOOKUP($E161,'D-1 Off-Site Habitat Baseline'!$D$1:$ZZ$258,45,FALSE)),"",(VLOOKUP($E161,'D-1 Off-Site Habitat Baseline'!$D$1:$ZZ$258,45,FALSE))))</f>
        <v/>
      </c>
      <c r="G161" s="295" t="str">
        <f>IF(E161="","",IF(ISNA(VLOOKUP($E161,'D-1 Off-Site Habitat Baseline'!$D$1:$O$258,5,FALSE)),"",(VLOOKUP($E161,'D-1 Off-Site Habitat Baseline'!$D$1:$O$258,5,FALSE))))</f>
        <v/>
      </c>
      <c r="H161" s="295" t="str">
        <f>IF(E161="","",IF(ISNA(VLOOKUP($E161,'D-1 Off-Site Habitat Baseline'!$D$1:$O$258,6,FALSE)),"",(VLOOKUP($E161,'D-1 Off-Site Habitat Baseline'!$D$1:$O$258,6,FALSE))))</f>
        <v/>
      </c>
      <c r="I161" s="295" t="str">
        <f>IF(E161="","",IF(ISNA(VLOOKUP($E161,'D-1 Off-Site Habitat Baseline'!$D$1:$O$258,7,FALSE)),"",(VLOOKUP($E161,'D-1 Off-Site Habitat Baseline'!$D$1:$O$258,7,FALSE))))</f>
        <v/>
      </c>
      <c r="J161" s="295" t="str">
        <f>IF(E161="","",IF(ISNA(VLOOKUP($E161,'D-1 Off-Site Habitat Baseline'!$D$1:$O$258,8,FALSE)),"",(VLOOKUP($E161,'D-1 Off-Site Habitat Baseline'!$D$1:$O$258,8,FALSE))))</f>
        <v/>
      </c>
      <c r="K161" s="295" t="str">
        <f>IF(E161="","",IF(ISNA(VLOOKUP($E161,'D-1 Off-Site Habitat Baseline'!$D$1:$O$258,9,FALSE)),"",(VLOOKUP($E161,'D-1 Off-Site Habitat Baseline'!$D$1:$O$258,9,FALSE))))</f>
        <v/>
      </c>
      <c r="L161" s="295" t="str">
        <f>IF(E161="","",IF(ISNA(VLOOKUP($E161,'D-1 Off-Site Habitat Baseline'!$D$1:$O$258,11,FALSE)),"",(VLOOKUP($E161,'D-1 Off-Site Habitat Baseline'!$D$1:$O$258,11,FALSE))))</f>
        <v/>
      </c>
      <c r="M161" s="295" t="str">
        <f>IF(E161="","",IF(ISNA(VLOOKUP($E161,'D-1 Off-Site Habitat Baseline'!$D$1:$O$258,12,FALSE)),"",(VLOOKUP($E161,'D-1 Off-Site Habitat Baseline'!$D$1:$O$258,12,FALSE))))</f>
        <v/>
      </c>
      <c r="N161" s="295" t="str">
        <f>IF(E161="","",IF(ISNA(VLOOKUP($E161,'D-1 Off-Site Habitat Baseline'!$D$1:$AA$258,17,FALSE)),"",(VLOOKUP($E161,'D-1 Off-Site Habitat Baseline'!$D$1:$AA$258,17,FALSE))))</f>
        <v/>
      </c>
      <c r="O161" s="299" t="str">
        <f>IF(E161="","",IF(ISNA(VLOOKUP($E161,'D-1 Off-Site Habitat Baseline'!$D$1:$AA$258,13,FALSE)),"",(VLOOKUP($E161,'D-1 Off-Site Habitat Baseline'!$D$1:$AA$258,13,FALSE))))</f>
        <v/>
      </c>
      <c r="P161" s="148" t="str">
        <f>IFERROR(INDEX('G-1 All Habitats'!$AG$49:$AG$63,MATCH(Q161,'G-1 All Habitats'!$AF$27:$AF$41,0)),"")</f>
        <v/>
      </c>
      <c r="Q161" s="149" t="str">
        <f t="shared" si="24"/>
        <v/>
      </c>
      <c r="R161" s="150"/>
      <c r="S161" s="151" t="str">
        <f>IFERROR(INDEX('G-1 All Habitats'!$B$3:$B$135,MATCH(R161,'G-1 All Habitats'!$A$3:$A$135,0)),"")</f>
        <v/>
      </c>
      <c r="T161" s="283" t="str">
        <f t="shared" si="25"/>
        <v/>
      </c>
      <c r="U161" s="276" t="str">
        <f t="shared" si="26"/>
        <v/>
      </c>
      <c r="V161" s="298" t="str">
        <f t="shared" si="22"/>
        <v/>
      </c>
      <c r="W161" s="295" t="str">
        <f>IF(S161="","",VLOOKUP(S161,'G-1 All Habitats'!$B$2:$M$135,10,FALSE))</f>
        <v/>
      </c>
      <c r="X161" s="295" t="str">
        <f>IFERROR(VLOOKUP(W161,'G-1 All Habitats'!$V$3:$W$7,2,FALSE),"")</f>
        <v/>
      </c>
      <c r="Y161" s="138"/>
      <c r="Z161" s="299" t="str">
        <f>IFERROR(INDEX('G-8 Condition Look up'!$A$3:$H$135,MATCH(S161,'G-8 Condition Look up'!$A$3:$A$135,0),MATCH(Y161,'G-8 Condition Look up'!$A$3:$H$3,0)),"")</f>
        <v/>
      </c>
      <c r="AA161" s="101"/>
      <c r="AB161" s="314" t="str">
        <f>IF(AA161="","",IF(VLOOKUP(AA161,'G-3 Multipliers'!$L$3:$N$6,2,FALSE)=0,"Spatial Data Missing ⚠",VLOOKUP(AA161,'G-3 Multipliers'!$L$3:$N$6,2,FALSE)))</f>
        <v/>
      </c>
      <c r="AC161" s="299" t="str">
        <f>IF(AA161="","",IF(VLOOKUP(AA161,'G-3 Multipliers'!$L$3:$N$6,3,FALSE)=0,"Spatial Data Missing ⚠",VLOOKUP(AA161,'G-3 Multipliers'!$L$3:$N$6,3,FALSE)))</f>
        <v/>
      </c>
      <c r="AD161" s="311" t="str">
        <f t="shared" si="23"/>
        <v/>
      </c>
      <c r="AE161" s="138"/>
      <c r="AF161" s="138"/>
      <c r="AG161" s="295" t="str">
        <f t="shared" si="27"/>
        <v/>
      </c>
      <c r="AH161" s="296" t="str">
        <f t="shared" si="28"/>
        <v/>
      </c>
      <c r="AI161" s="300" t="str">
        <f>IF(AH161="Check Data ⚠","Check Data ⚠",IFERROR(VLOOKUP(AH161,'G-4 Temporal multipliers'!$A$4:$C$36,3,FALSE),""))</f>
        <v/>
      </c>
      <c r="AJ161" s="311" t="str">
        <f>IF(S161="","",VLOOKUP(S161,'G-3 Multipliers'!$A$2:$E$134,4,FALSE))</f>
        <v/>
      </c>
      <c r="AK161" s="295" t="str">
        <f t="shared" si="29"/>
        <v/>
      </c>
      <c r="AL161" s="295" t="str">
        <f t="shared" si="30"/>
        <v/>
      </c>
      <c r="AM161" s="299" t="str">
        <f>IFERROR(IF(F161="","",IF(AH161="Check Data ⚠","Check Data ⚠",VLOOKUP(AL161,'G-3 Multipliers'!$P$2:$Q$6,2,FALSE))),"")</f>
        <v/>
      </c>
      <c r="AN161" s="712" t="str">
        <f>IF(E161="","",IF(ISNA(VLOOKUP($E161,'D-1 Off-Site Habitat Baseline'!$D$1:$Z$258,15,FALSE)),"",(VLOOKUP($E161,'D-1 Off-Site Habitat Baseline'!$D$1:$Z$258,15,FALSE))))</f>
        <v/>
      </c>
      <c r="AO161" s="329" t="str">
        <f>IF(AN161="","",IF(VLOOKUP(AN161,'G-3 Multipliers'!$S$3:$T$10,2,FALSE)=0,"Spatial Data Missing ⚠",VLOOKUP(AN161,'G-3 Multipliers'!$S$3:$T$10,2,FALSE)))</f>
        <v/>
      </c>
      <c r="AP161" s="289" t="str">
        <f t="shared" si="31"/>
        <v/>
      </c>
      <c r="AQ161" s="289" t="str">
        <f t="shared" si="32"/>
        <v/>
      </c>
      <c r="AR161" s="105"/>
      <c r="AS161" s="138"/>
      <c r="AT161" s="104"/>
      <c r="AU161" s="104"/>
      <c r="AY161" s="30" t="str">
        <f>IF(E161="","",IF(ISNA(VLOOKUP($E161,'D-1 Off-Site Habitat Baseline'!$D$1:$AV$258,4,FALSE)),"",(VLOOKUP($E161,'D-1 Off-Site Habitat Baseline'!$D$1:$AV$258,4,FALSE))))</f>
        <v/>
      </c>
    </row>
    <row r="162" spans="1:51" ht="14">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319" t="str">
        <f>'D-1 Off-Site Habitat Baseline'!AP161</f>
        <v/>
      </c>
      <c r="F162" s="283" t="str">
        <f>IF(E162="","",IF(ISNA(VLOOKUP($E162,'D-1 Off-Site Habitat Baseline'!$D$1:$ZZ$258,45,FALSE)),"",(VLOOKUP($E162,'D-1 Off-Site Habitat Baseline'!$D$1:$ZZ$258,45,FALSE))))</f>
        <v/>
      </c>
      <c r="G162" s="295" t="str">
        <f>IF(E162="","",IF(ISNA(VLOOKUP($E162,'D-1 Off-Site Habitat Baseline'!$D$1:$O$258,5,FALSE)),"",(VLOOKUP($E162,'D-1 Off-Site Habitat Baseline'!$D$1:$O$258,5,FALSE))))</f>
        <v/>
      </c>
      <c r="H162" s="295" t="str">
        <f>IF(E162="","",IF(ISNA(VLOOKUP($E162,'D-1 Off-Site Habitat Baseline'!$D$1:$O$258,6,FALSE)),"",(VLOOKUP($E162,'D-1 Off-Site Habitat Baseline'!$D$1:$O$258,6,FALSE))))</f>
        <v/>
      </c>
      <c r="I162" s="295" t="str">
        <f>IF(E162="","",IF(ISNA(VLOOKUP($E162,'D-1 Off-Site Habitat Baseline'!$D$1:$O$258,7,FALSE)),"",(VLOOKUP($E162,'D-1 Off-Site Habitat Baseline'!$D$1:$O$258,7,FALSE))))</f>
        <v/>
      </c>
      <c r="J162" s="295" t="str">
        <f>IF(E162="","",IF(ISNA(VLOOKUP($E162,'D-1 Off-Site Habitat Baseline'!$D$1:$O$258,8,FALSE)),"",(VLOOKUP($E162,'D-1 Off-Site Habitat Baseline'!$D$1:$O$258,8,FALSE))))</f>
        <v/>
      </c>
      <c r="K162" s="295" t="str">
        <f>IF(E162="","",IF(ISNA(VLOOKUP($E162,'D-1 Off-Site Habitat Baseline'!$D$1:$O$258,9,FALSE)),"",(VLOOKUP($E162,'D-1 Off-Site Habitat Baseline'!$D$1:$O$258,9,FALSE))))</f>
        <v/>
      </c>
      <c r="L162" s="295" t="str">
        <f>IF(E162="","",IF(ISNA(VLOOKUP($E162,'D-1 Off-Site Habitat Baseline'!$D$1:$O$258,11,FALSE)),"",(VLOOKUP($E162,'D-1 Off-Site Habitat Baseline'!$D$1:$O$258,11,FALSE))))</f>
        <v/>
      </c>
      <c r="M162" s="295" t="str">
        <f>IF(E162="","",IF(ISNA(VLOOKUP($E162,'D-1 Off-Site Habitat Baseline'!$D$1:$O$258,12,FALSE)),"",(VLOOKUP($E162,'D-1 Off-Site Habitat Baseline'!$D$1:$O$258,12,FALSE))))</f>
        <v/>
      </c>
      <c r="N162" s="295" t="str">
        <f>IF(E162="","",IF(ISNA(VLOOKUP($E162,'D-1 Off-Site Habitat Baseline'!$D$1:$AA$258,17,FALSE)),"",(VLOOKUP($E162,'D-1 Off-Site Habitat Baseline'!$D$1:$AA$258,17,FALSE))))</f>
        <v/>
      </c>
      <c r="O162" s="299" t="str">
        <f>IF(E162="","",IF(ISNA(VLOOKUP($E162,'D-1 Off-Site Habitat Baseline'!$D$1:$AA$258,13,FALSE)),"",(VLOOKUP($E162,'D-1 Off-Site Habitat Baseline'!$D$1:$AA$258,13,FALSE))))</f>
        <v/>
      </c>
      <c r="P162" s="148" t="str">
        <f>IFERROR(INDEX('G-1 All Habitats'!$AG$49:$AG$63,MATCH(Q162,'G-1 All Habitats'!$AF$27:$AF$41,0)),"")</f>
        <v/>
      </c>
      <c r="Q162" s="149" t="str">
        <f t="shared" si="24"/>
        <v/>
      </c>
      <c r="R162" s="150"/>
      <c r="S162" s="151" t="str">
        <f>IFERROR(INDEX('G-1 All Habitats'!$B$3:$B$135,MATCH(R162,'G-1 All Habitats'!$A$3:$A$135,0)),"")</f>
        <v/>
      </c>
      <c r="T162" s="283" t="str">
        <f t="shared" si="25"/>
        <v/>
      </c>
      <c r="U162" s="276" t="str">
        <f t="shared" si="26"/>
        <v/>
      </c>
      <c r="V162" s="298" t="str">
        <f t="shared" si="22"/>
        <v/>
      </c>
      <c r="W162" s="295" t="str">
        <f>IF(S162="","",VLOOKUP(S162,'G-1 All Habitats'!$B$2:$M$135,10,FALSE))</f>
        <v/>
      </c>
      <c r="X162" s="295" t="str">
        <f>IFERROR(VLOOKUP(W162,'G-1 All Habitats'!$V$3:$W$7,2,FALSE),"")</f>
        <v/>
      </c>
      <c r="Y162" s="138"/>
      <c r="Z162" s="299" t="str">
        <f>IFERROR(INDEX('G-8 Condition Look up'!$A$3:$H$135,MATCH(S162,'G-8 Condition Look up'!$A$3:$A$135,0),MATCH(Y162,'G-8 Condition Look up'!$A$3:$H$3,0)),"")</f>
        <v/>
      </c>
      <c r="AA162" s="101"/>
      <c r="AB162" s="314" t="str">
        <f>IF(AA162="","",IF(VLOOKUP(AA162,'G-3 Multipliers'!$L$3:$N$6,2,FALSE)=0,"Spatial Data Missing ⚠",VLOOKUP(AA162,'G-3 Multipliers'!$L$3:$N$6,2,FALSE)))</f>
        <v/>
      </c>
      <c r="AC162" s="299" t="str">
        <f>IF(AA162="","",IF(VLOOKUP(AA162,'G-3 Multipliers'!$L$3:$N$6,3,FALSE)=0,"Spatial Data Missing ⚠",VLOOKUP(AA162,'G-3 Multipliers'!$L$3:$N$6,3,FALSE)))</f>
        <v/>
      </c>
      <c r="AD162" s="311" t="str">
        <f t="shared" si="23"/>
        <v/>
      </c>
      <c r="AE162" s="138"/>
      <c r="AF162" s="138"/>
      <c r="AG162" s="295" t="str">
        <f t="shared" si="27"/>
        <v/>
      </c>
      <c r="AH162" s="296" t="str">
        <f t="shared" si="28"/>
        <v/>
      </c>
      <c r="AI162" s="300" t="str">
        <f>IF(AH162="Check Data ⚠","Check Data ⚠",IFERROR(VLOOKUP(AH162,'G-4 Temporal multipliers'!$A$4:$C$36,3,FALSE),""))</f>
        <v/>
      </c>
      <c r="AJ162" s="311" t="str">
        <f>IF(S162="","",VLOOKUP(S162,'G-3 Multipliers'!$A$2:$E$134,4,FALSE))</f>
        <v/>
      </c>
      <c r="AK162" s="295" t="str">
        <f t="shared" si="29"/>
        <v/>
      </c>
      <c r="AL162" s="295" t="str">
        <f t="shared" si="30"/>
        <v/>
      </c>
      <c r="AM162" s="299" t="str">
        <f>IFERROR(IF(F162="","",IF(AH162="Check Data ⚠","Check Data ⚠",VLOOKUP(AL162,'G-3 Multipliers'!$P$2:$Q$6,2,FALSE))),"")</f>
        <v/>
      </c>
      <c r="AN162" s="712" t="str">
        <f>IF(E162="","",IF(ISNA(VLOOKUP($E162,'D-1 Off-Site Habitat Baseline'!$D$1:$Z$258,15,FALSE)),"",(VLOOKUP($E162,'D-1 Off-Site Habitat Baseline'!$D$1:$Z$258,15,FALSE))))</f>
        <v/>
      </c>
      <c r="AO162" s="329" t="str">
        <f>IF(AN162="","",IF(VLOOKUP(AN162,'G-3 Multipliers'!$S$3:$T$10,2,FALSE)=0,"Spatial Data Missing ⚠",VLOOKUP(AN162,'G-3 Multipliers'!$S$3:$T$10,2,FALSE)))</f>
        <v/>
      </c>
      <c r="AP162" s="289" t="str">
        <f t="shared" si="31"/>
        <v/>
      </c>
      <c r="AQ162" s="289" t="str">
        <f t="shared" si="32"/>
        <v/>
      </c>
      <c r="AR162" s="105"/>
      <c r="AS162" s="138"/>
      <c r="AT162" s="104"/>
      <c r="AU162" s="104"/>
      <c r="AY162" s="30" t="str">
        <f>IF(E162="","",IF(ISNA(VLOOKUP($E162,'D-1 Off-Site Habitat Baseline'!$D$1:$AV$258,4,FALSE)),"",(VLOOKUP($E162,'D-1 Off-Site Habitat Baseline'!$D$1:$AV$258,4,FALSE))))</f>
        <v/>
      </c>
    </row>
    <row r="163" spans="1:51" ht="14">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319" t="str">
        <f>'D-1 Off-Site Habitat Baseline'!AP162</f>
        <v/>
      </c>
      <c r="F163" s="283" t="str">
        <f>IF(E163="","",IF(ISNA(VLOOKUP($E163,'D-1 Off-Site Habitat Baseline'!$D$1:$ZZ$258,45,FALSE)),"",(VLOOKUP($E163,'D-1 Off-Site Habitat Baseline'!$D$1:$ZZ$258,45,FALSE))))</f>
        <v/>
      </c>
      <c r="G163" s="295" t="str">
        <f>IF(E163="","",IF(ISNA(VLOOKUP($E163,'D-1 Off-Site Habitat Baseline'!$D$1:$O$258,5,FALSE)),"",(VLOOKUP($E163,'D-1 Off-Site Habitat Baseline'!$D$1:$O$258,5,FALSE))))</f>
        <v/>
      </c>
      <c r="H163" s="295" t="str">
        <f>IF(E163="","",IF(ISNA(VLOOKUP($E163,'D-1 Off-Site Habitat Baseline'!$D$1:$O$258,6,FALSE)),"",(VLOOKUP($E163,'D-1 Off-Site Habitat Baseline'!$D$1:$O$258,6,FALSE))))</f>
        <v/>
      </c>
      <c r="I163" s="295" t="str">
        <f>IF(E163="","",IF(ISNA(VLOOKUP($E163,'D-1 Off-Site Habitat Baseline'!$D$1:$O$258,7,FALSE)),"",(VLOOKUP($E163,'D-1 Off-Site Habitat Baseline'!$D$1:$O$258,7,FALSE))))</f>
        <v/>
      </c>
      <c r="J163" s="295" t="str">
        <f>IF(E163="","",IF(ISNA(VLOOKUP($E163,'D-1 Off-Site Habitat Baseline'!$D$1:$O$258,8,FALSE)),"",(VLOOKUP($E163,'D-1 Off-Site Habitat Baseline'!$D$1:$O$258,8,FALSE))))</f>
        <v/>
      </c>
      <c r="K163" s="295" t="str">
        <f>IF(E163="","",IF(ISNA(VLOOKUP($E163,'D-1 Off-Site Habitat Baseline'!$D$1:$O$258,9,FALSE)),"",(VLOOKUP($E163,'D-1 Off-Site Habitat Baseline'!$D$1:$O$258,9,FALSE))))</f>
        <v/>
      </c>
      <c r="L163" s="295" t="str">
        <f>IF(E163="","",IF(ISNA(VLOOKUP($E163,'D-1 Off-Site Habitat Baseline'!$D$1:$O$258,11,FALSE)),"",(VLOOKUP($E163,'D-1 Off-Site Habitat Baseline'!$D$1:$O$258,11,FALSE))))</f>
        <v/>
      </c>
      <c r="M163" s="295" t="str">
        <f>IF(E163="","",IF(ISNA(VLOOKUP($E163,'D-1 Off-Site Habitat Baseline'!$D$1:$O$258,12,FALSE)),"",(VLOOKUP($E163,'D-1 Off-Site Habitat Baseline'!$D$1:$O$258,12,FALSE))))</f>
        <v/>
      </c>
      <c r="N163" s="295" t="str">
        <f>IF(E163="","",IF(ISNA(VLOOKUP($E163,'D-1 Off-Site Habitat Baseline'!$D$1:$AA$258,17,FALSE)),"",(VLOOKUP($E163,'D-1 Off-Site Habitat Baseline'!$D$1:$AA$258,17,FALSE))))</f>
        <v/>
      </c>
      <c r="O163" s="299" t="str">
        <f>IF(E163="","",IF(ISNA(VLOOKUP($E163,'D-1 Off-Site Habitat Baseline'!$D$1:$AA$258,13,FALSE)),"",(VLOOKUP($E163,'D-1 Off-Site Habitat Baseline'!$D$1:$AA$258,13,FALSE))))</f>
        <v/>
      </c>
      <c r="P163" s="148" t="str">
        <f>IFERROR(INDEX('G-1 All Habitats'!$AG$49:$AG$63,MATCH(Q163,'G-1 All Habitats'!$AF$27:$AF$41,0)),"")</f>
        <v/>
      </c>
      <c r="Q163" s="149" t="str">
        <f t="shared" si="24"/>
        <v/>
      </c>
      <c r="R163" s="150"/>
      <c r="S163" s="151" t="str">
        <f>IFERROR(INDEX('G-1 All Habitats'!$B$3:$B$135,MATCH(R163,'G-1 All Habitats'!$A$3:$A$135,0)),"")</f>
        <v/>
      </c>
      <c r="T163" s="283" t="str">
        <f t="shared" si="25"/>
        <v/>
      </c>
      <c r="U163" s="276" t="str">
        <f t="shared" si="26"/>
        <v/>
      </c>
      <c r="V163" s="298" t="str">
        <f t="shared" si="22"/>
        <v/>
      </c>
      <c r="W163" s="295" t="str">
        <f>IF(S163="","",VLOOKUP(S163,'G-1 All Habitats'!$B$2:$M$135,10,FALSE))</f>
        <v/>
      </c>
      <c r="X163" s="295" t="str">
        <f>IFERROR(VLOOKUP(W163,'G-1 All Habitats'!$V$3:$W$7,2,FALSE),"")</f>
        <v/>
      </c>
      <c r="Y163" s="138"/>
      <c r="Z163" s="299" t="str">
        <f>IFERROR(INDEX('G-8 Condition Look up'!$A$3:$H$135,MATCH(S163,'G-8 Condition Look up'!$A$3:$A$135,0),MATCH(Y163,'G-8 Condition Look up'!$A$3:$H$3,0)),"")</f>
        <v/>
      </c>
      <c r="AA163" s="101"/>
      <c r="AB163" s="314" t="str">
        <f>IF(AA163="","",IF(VLOOKUP(AA163,'G-3 Multipliers'!$L$3:$N$6,2,FALSE)=0,"Spatial Data Missing ⚠",VLOOKUP(AA163,'G-3 Multipliers'!$L$3:$N$6,2,FALSE)))</f>
        <v/>
      </c>
      <c r="AC163" s="299" t="str">
        <f>IF(AA163="","",IF(VLOOKUP(AA163,'G-3 Multipliers'!$L$3:$N$6,3,FALSE)=0,"Spatial Data Missing ⚠",VLOOKUP(AA163,'G-3 Multipliers'!$L$3:$N$6,3,FALSE)))</f>
        <v/>
      </c>
      <c r="AD163" s="311" t="str">
        <f t="shared" si="23"/>
        <v/>
      </c>
      <c r="AE163" s="138"/>
      <c r="AF163" s="138"/>
      <c r="AG163" s="295" t="str">
        <f t="shared" si="27"/>
        <v/>
      </c>
      <c r="AH163" s="296" t="str">
        <f t="shared" si="28"/>
        <v/>
      </c>
      <c r="AI163" s="300" t="str">
        <f>IF(AH163="Check Data ⚠","Check Data ⚠",IFERROR(VLOOKUP(AH163,'G-4 Temporal multipliers'!$A$4:$C$36,3,FALSE),""))</f>
        <v/>
      </c>
      <c r="AJ163" s="311" t="str">
        <f>IF(S163="","",VLOOKUP(S163,'G-3 Multipliers'!$A$2:$E$134,4,FALSE))</f>
        <v/>
      </c>
      <c r="AK163" s="295" t="str">
        <f t="shared" si="29"/>
        <v/>
      </c>
      <c r="AL163" s="295" t="str">
        <f t="shared" si="30"/>
        <v/>
      </c>
      <c r="AM163" s="299" t="str">
        <f>IFERROR(IF(F163="","",IF(AH163="Check Data ⚠","Check Data ⚠",VLOOKUP(AL163,'G-3 Multipliers'!$P$2:$Q$6,2,FALSE))),"")</f>
        <v/>
      </c>
      <c r="AN163" s="712" t="str">
        <f>IF(E163="","",IF(ISNA(VLOOKUP($E163,'D-1 Off-Site Habitat Baseline'!$D$1:$Z$258,15,FALSE)),"",(VLOOKUP($E163,'D-1 Off-Site Habitat Baseline'!$D$1:$Z$258,15,FALSE))))</f>
        <v/>
      </c>
      <c r="AO163" s="329" t="str">
        <f>IF(AN163="","",IF(VLOOKUP(AN163,'G-3 Multipliers'!$S$3:$T$10,2,FALSE)=0,"Spatial Data Missing ⚠",VLOOKUP(AN163,'G-3 Multipliers'!$S$3:$T$10,2,FALSE)))</f>
        <v/>
      </c>
      <c r="AP163" s="289" t="str">
        <f t="shared" si="31"/>
        <v/>
      </c>
      <c r="AQ163" s="289" t="str">
        <f t="shared" si="32"/>
        <v/>
      </c>
      <c r="AR163" s="105"/>
      <c r="AS163" s="138"/>
      <c r="AT163" s="104"/>
      <c r="AU163" s="104"/>
      <c r="AY163" s="30" t="str">
        <f>IF(E163="","",IF(ISNA(VLOOKUP($E163,'D-1 Off-Site Habitat Baseline'!$D$1:$AV$258,4,FALSE)),"",(VLOOKUP($E163,'D-1 Off-Site Habitat Baseline'!$D$1:$AV$258,4,FALSE))))</f>
        <v/>
      </c>
    </row>
    <row r="164" spans="1:51" ht="14">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319" t="str">
        <f>'D-1 Off-Site Habitat Baseline'!AP163</f>
        <v/>
      </c>
      <c r="F164" s="283" t="str">
        <f>IF(E164="","",IF(ISNA(VLOOKUP($E164,'D-1 Off-Site Habitat Baseline'!$D$1:$ZZ$258,45,FALSE)),"",(VLOOKUP($E164,'D-1 Off-Site Habitat Baseline'!$D$1:$ZZ$258,45,FALSE))))</f>
        <v/>
      </c>
      <c r="G164" s="295" t="str">
        <f>IF(E164="","",IF(ISNA(VLOOKUP($E164,'D-1 Off-Site Habitat Baseline'!$D$1:$O$258,5,FALSE)),"",(VLOOKUP($E164,'D-1 Off-Site Habitat Baseline'!$D$1:$O$258,5,FALSE))))</f>
        <v/>
      </c>
      <c r="H164" s="295" t="str">
        <f>IF(E164="","",IF(ISNA(VLOOKUP($E164,'D-1 Off-Site Habitat Baseline'!$D$1:$O$258,6,FALSE)),"",(VLOOKUP($E164,'D-1 Off-Site Habitat Baseline'!$D$1:$O$258,6,FALSE))))</f>
        <v/>
      </c>
      <c r="I164" s="295" t="str">
        <f>IF(E164="","",IF(ISNA(VLOOKUP($E164,'D-1 Off-Site Habitat Baseline'!$D$1:$O$258,7,FALSE)),"",(VLOOKUP($E164,'D-1 Off-Site Habitat Baseline'!$D$1:$O$258,7,FALSE))))</f>
        <v/>
      </c>
      <c r="J164" s="295" t="str">
        <f>IF(E164="","",IF(ISNA(VLOOKUP($E164,'D-1 Off-Site Habitat Baseline'!$D$1:$O$258,8,FALSE)),"",(VLOOKUP($E164,'D-1 Off-Site Habitat Baseline'!$D$1:$O$258,8,FALSE))))</f>
        <v/>
      </c>
      <c r="K164" s="295" t="str">
        <f>IF(E164="","",IF(ISNA(VLOOKUP($E164,'D-1 Off-Site Habitat Baseline'!$D$1:$O$258,9,FALSE)),"",(VLOOKUP($E164,'D-1 Off-Site Habitat Baseline'!$D$1:$O$258,9,FALSE))))</f>
        <v/>
      </c>
      <c r="L164" s="295" t="str">
        <f>IF(E164="","",IF(ISNA(VLOOKUP($E164,'D-1 Off-Site Habitat Baseline'!$D$1:$O$258,11,FALSE)),"",(VLOOKUP($E164,'D-1 Off-Site Habitat Baseline'!$D$1:$O$258,11,FALSE))))</f>
        <v/>
      </c>
      <c r="M164" s="295" t="str">
        <f>IF(E164="","",IF(ISNA(VLOOKUP($E164,'D-1 Off-Site Habitat Baseline'!$D$1:$O$258,12,FALSE)),"",(VLOOKUP($E164,'D-1 Off-Site Habitat Baseline'!$D$1:$O$258,12,FALSE))))</f>
        <v/>
      </c>
      <c r="N164" s="295" t="str">
        <f>IF(E164="","",IF(ISNA(VLOOKUP($E164,'D-1 Off-Site Habitat Baseline'!$D$1:$AA$258,17,FALSE)),"",(VLOOKUP($E164,'D-1 Off-Site Habitat Baseline'!$D$1:$AA$258,17,FALSE))))</f>
        <v/>
      </c>
      <c r="O164" s="299" t="str">
        <f>IF(E164="","",IF(ISNA(VLOOKUP($E164,'D-1 Off-Site Habitat Baseline'!$D$1:$AA$258,13,FALSE)),"",(VLOOKUP($E164,'D-1 Off-Site Habitat Baseline'!$D$1:$AA$258,13,FALSE))))</f>
        <v/>
      </c>
      <c r="P164" s="148" t="str">
        <f>IFERROR(INDEX('G-1 All Habitats'!$AG$49:$AG$63,MATCH(Q164,'G-1 All Habitats'!$AF$27:$AF$41,0)),"")</f>
        <v/>
      </c>
      <c r="Q164" s="149" t="str">
        <f t="shared" si="24"/>
        <v/>
      </c>
      <c r="R164" s="150"/>
      <c r="S164" s="151" t="str">
        <f>IFERROR(INDEX('G-1 All Habitats'!$B$3:$B$135,MATCH(R164,'G-1 All Habitats'!$A$3:$A$135,0)),"")</f>
        <v/>
      </c>
      <c r="T164" s="283" t="str">
        <f t="shared" si="25"/>
        <v/>
      </c>
      <c r="U164" s="276" t="str">
        <f t="shared" si="26"/>
        <v/>
      </c>
      <c r="V164" s="298" t="str">
        <f t="shared" si="22"/>
        <v/>
      </c>
      <c r="W164" s="295" t="str">
        <f>IF(S164="","",VLOOKUP(S164,'G-1 All Habitats'!$B$2:$M$135,10,FALSE))</f>
        <v/>
      </c>
      <c r="X164" s="295" t="str">
        <f>IFERROR(VLOOKUP(W164,'G-1 All Habitats'!$V$3:$W$7,2,FALSE),"")</f>
        <v/>
      </c>
      <c r="Y164" s="138"/>
      <c r="Z164" s="299" t="str">
        <f>IFERROR(INDEX('G-8 Condition Look up'!$A$3:$H$135,MATCH(S164,'G-8 Condition Look up'!$A$3:$A$135,0),MATCH(Y164,'G-8 Condition Look up'!$A$3:$H$3,0)),"")</f>
        <v/>
      </c>
      <c r="AA164" s="101"/>
      <c r="AB164" s="314" t="str">
        <f>IF(AA164="","",IF(VLOOKUP(AA164,'G-3 Multipliers'!$L$3:$N$6,2,FALSE)=0,"Spatial Data Missing ⚠",VLOOKUP(AA164,'G-3 Multipliers'!$L$3:$N$6,2,FALSE)))</f>
        <v/>
      </c>
      <c r="AC164" s="299" t="str">
        <f>IF(AA164="","",IF(VLOOKUP(AA164,'G-3 Multipliers'!$L$3:$N$6,3,FALSE)=0,"Spatial Data Missing ⚠",VLOOKUP(AA164,'G-3 Multipliers'!$L$3:$N$6,3,FALSE)))</f>
        <v/>
      </c>
      <c r="AD164" s="311" t="str">
        <f t="shared" si="23"/>
        <v/>
      </c>
      <c r="AE164" s="138"/>
      <c r="AF164" s="138"/>
      <c r="AG164" s="295" t="str">
        <f t="shared" si="27"/>
        <v/>
      </c>
      <c r="AH164" s="296" t="str">
        <f t="shared" si="28"/>
        <v/>
      </c>
      <c r="AI164" s="300" t="str">
        <f>IF(AH164="Check Data ⚠","Check Data ⚠",IFERROR(VLOOKUP(AH164,'G-4 Temporal multipliers'!$A$4:$C$36,3,FALSE),""))</f>
        <v/>
      </c>
      <c r="AJ164" s="311" t="str">
        <f>IF(S164="","",VLOOKUP(S164,'G-3 Multipliers'!$A$2:$E$134,4,FALSE))</f>
        <v/>
      </c>
      <c r="AK164" s="295" t="str">
        <f t="shared" si="29"/>
        <v/>
      </c>
      <c r="AL164" s="295" t="str">
        <f t="shared" si="30"/>
        <v/>
      </c>
      <c r="AM164" s="299" t="str">
        <f>IFERROR(IF(F164="","",IF(AH164="Check Data ⚠","Check Data ⚠",VLOOKUP(AL164,'G-3 Multipliers'!$P$2:$Q$6,2,FALSE))),"")</f>
        <v/>
      </c>
      <c r="AN164" s="712" t="str">
        <f>IF(E164="","",IF(ISNA(VLOOKUP($E164,'D-1 Off-Site Habitat Baseline'!$D$1:$Z$258,15,FALSE)),"",(VLOOKUP($E164,'D-1 Off-Site Habitat Baseline'!$D$1:$Z$258,15,FALSE))))</f>
        <v/>
      </c>
      <c r="AO164" s="329" t="str">
        <f>IF(AN164="","",IF(VLOOKUP(AN164,'G-3 Multipliers'!$S$3:$T$10,2,FALSE)=0,"Spatial Data Missing ⚠",VLOOKUP(AN164,'G-3 Multipliers'!$S$3:$T$10,2,FALSE)))</f>
        <v/>
      </c>
      <c r="AP164" s="289" t="str">
        <f t="shared" si="31"/>
        <v/>
      </c>
      <c r="AQ164" s="289" t="str">
        <f t="shared" si="32"/>
        <v/>
      </c>
      <c r="AR164" s="105"/>
      <c r="AS164" s="138"/>
      <c r="AT164" s="104"/>
      <c r="AU164" s="104"/>
      <c r="AY164" s="30" t="str">
        <f>IF(E164="","",IF(ISNA(VLOOKUP($E164,'D-1 Off-Site Habitat Baseline'!$D$1:$AV$258,4,FALSE)),"",(VLOOKUP($E164,'D-1 Off-Site Habitat Baseline'!$D$1:$AV$258,4,FALSE))))</f>
        <v/>
      </c>
    </row>
    <row r="165" spans="1:51" ht="14">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319" t="str">
        <f>'D-1 Off-Site Habitat Baseline'!AP164</f>
        <v/>
      </c>
      <c r="F165" s="283" t="str">
        <f>IF(E165="","",IF(ISNA(VLOOKUP($E165,'D-1 Off-Site Habitat Baseline'!$D$1:$ZZ$258,45,FALSE)),"",(VLOOKUP($E165,'D-1 Off-Site Habitat Baseline'!$D$1:$ZZ$258,45,FALSE))))</f>
        <v/>
      </c>
      <c r="G165" s="295" t="str">
        <f>IF(E165="","",IF(ISNA(VLOOKUP($E165,'D-1 Off-Site Habitat Baseline'!$D$1:$O$258,5,FALSE)),"",(VLOOKUP($E165,'D-1 Off-Site Habitat Baseline'!$D$1:$O$258,5,FALSE))))</f>
        <v/>
      </c>
      <c r="H165" s="295" t="str">
        <f>IF(E165="","",IF(ISNA(VLOOKUP($E165,'D-1 Off-Site Habitat Baseline'!$D$1:$O$258,6,FALSE)),"",(VLOOKUP($E165,'D-1 Off-Site Habitat Baseline'!$D$1:$O$258,6,FALSE))))</f>
        <v/>
      </c>
      <c r="I165" s="295" t="str">
        <f>IF(E165="","",IF(ISNA(VLOOKUP($E165,'D-1 Off-Site Habitat Baseline'!$D$1:$O$258,7,FALSE)),"",(VLOOKUP($E165,'D-1 Off-Site Habitat Baseline'!$D$1:$O$258,7,FALSE))))</f>
        <v/>
      </c>
      <c r="J165" s="295" t="str">
        <f>IF(E165="","",IF(ISNA(VLOOKUP($E165,'D-1 Off-Site Habitat Baseline'!$D$1:$O$258,8,FALSE)),"",(VLOOKUP($E165,'D-1 Off-Site Habitat Baseline'!$D$1:$O$258,8,FALSE))))</f>
        <v/>
      </c>
      <c r="K165" s="295" t="str">
        <f>IF(E165="","",IF(ISNA(VLOOKUP($E165,'D-1 Off-Site Habitat Baseline'!$D$1:$O$258,9,FALSE)),"",(VLOOKUP($E165,'D-1 Off-Site Habitat Baseline'!$D$1:$O$258,9,FALSE))))</f>
        <v/>
      </c>
      <c r="L165" s="295" t="str">
        <f>IF(E165="","",IF(ISNA(VLOOKUP($E165,'D-1 Off-Site Habitat Baseline'!$D$1:$O$258,11,FALSE)),"",(VLOOKUP($E165,'D-1 Off-Site Habitat Baseline'!$D$1:$O$258,11,FALSE))))</f>
        <v/>
      </c>
      <c r="M165" s="295" t="str">
        <f>IF(E165="","",IF(ISNA(VLOOKUP($E165,'D-1 Off-Site Habitat Baseline'!$D$1:$O$258,12,FALSE)),"",(VLOOKUP($E165,'D-1 Off-Site Habitat Baseline'!$D$1:$O$258,12,FALSE))))</f>
        <v/>
      </c>
      <c r="N165" s="295" t="str">
        <f>IF(E165="","",IF(ISNA(VLOOKUP($E165,'D-1 Off-Site Habitat Baseline'!$D$1:$AA$258,17,FALSE)),"",(VLOOKUP($E165,'D-1 Off-Site Habitat Baseline'!$D$1:$AA$258,17,FALSE))))</f>
        <v/>
      </c>
      <c r="O165" s="299" t="str">
        <f>IF(E165="","",IF(ISNA(VLOOKUP($E165,'D-1 Off-Site Habitat Baseline'!$D$1:$AA$258,13,FALSE)),"",(VLOOKUP($E165,'D-1 Off-Site Habitat Baseline'!$D$1:$AA$258,13,FALSE))))</f>
        <v/>
      </c>
      <c r="P165" s="148" t="str">
        <f>IFERROR(INDEX('G-1 All Habitats'!$AG$49:$AG$63,MATCH(Q165,'G-1 All Habitats'!$AF$27:$AF$41,0)),"")</f>
        <v/>
      </c>
      <c r="Q165" s="149" t="str">
        <f t="shared" si="24"/>
        <v/>
      </c>
      <c r="R165" s="150"/>
      <c r="S165" s="151" t="str">
        <f>IFERROR(INDEX('G-1 All Habitats'!$B$3:$B$135,MATCH(R165,'G-1 All Habitats'!$A$3:$A$135,0)),"")</f>
        <v/>
      </c>
      <c r="T165" s="283" t="str">
        <f t="shared" si="25"/>
        <v/>
      </c>
      <c r="U165" s="276" t="str">
        <f t="shared" si="26"/>
        <v/>
      </c>
      <c r="V165" s="298" t="str">
        <f t="shared" si="22"/>
        <v/>
      </c>
      <c r="W165" s="295" t="str">
        <f>IF(S165="","",VLOOKUP(S165,'G-1 All Habitats'!$B$2:$M$135,10,FALSE))</f>
        <v/>
      </c>
      <c r="X165" s="295" t="str">
        <f>IFERROR(VLOOKUP(W165,'G-1 All Habitats'!$V$3:$W$7,2,FALSE),"")</f>
        <v/>
      </c>
      <c r="Y165" s="138"/>
      <c r="Z165" s="299" t="str">
        <f>IFERROR(INDEX('G-8 Condition Look up'!$A$3:$H$135,MATCH(S165,'G-8 Condition Look up'!$A$3:$A$135,0),MATCH(Y165,'G-8 Condition Look up'!$A$3:$H$3,0)),"")</f>
        <v/>
      </c>
      <c r="AA165" s="101"/>
      <c r="AB165" s="314" t="str">
        <f>IF(AA165="","",IF(VLOOKUP(AA165,'G-3 Multipliers'!$L$3:$N$6,2,FALSE)=0,"Spatial Data Missing ⚠",VLOOKUP(AA165,'G-3 Multipliers'!$L$3:$N$6,2,FALSE)))</f>
        <v/>
      </c>
      <c r="AC165" s="299" t="str">
        <f>IF(AA165="","",IF(VLOOKUP(AA165,'G-3 Multipliers'!$L$3:$N$6,3,FALSE)=0,"Spatial Data Missing ⚠",VLOOKUP(AA165,'G-3 Multipliers'!$L$3:$N$6,3,FALSE)))</f>
        <v/>
      </c>
      <c r="AD165" s="311" t="str">
        <f t="shared" si="23"/>
        <v/>
      </c>
      <c r="AE165" s="138"/>
      <c r="AF165" s="138"/>
      <c r="AG165" s="295" t="str">
        <f t="shared" si="27"/>
        <v/>
      </c>
      <c r="AH165" s="296" t="str">
        <f t="shared" si="28"/>
        <v/>
      </c>
      <c r="AI165" s="300" t="str">
        <f>IF(AH165="Check Data ⚠","Check Data ⚠",IFERROR(VLOOKUP(AH165,'G-4 Temporal multipliers'!$A$4:$C$36,3,FALSE),""))</f>
        <v/>
      </c>
      <c r="AJ165" s="311" t="str">
        <f>IF(S165="","",VLOOKUP(S165,'G-3 Multipliers'!$A$2:$E$134,4,FALSE))</f>
        <v/>
      </c>
      <c r="AK165" s="295" t="str">
        <f t="shared" si="29"/>
        <v/>
      </c>
      <c r="AL165" s="295" t="str">
        <f t="shared" si="30"/>
        <v/>
      </c>
      <c r="AM165" s="299" t="str">
        <f>IFERROR(IF(F165="","",IF(AH165="Check Data ⚠","Check Data ⚠",VLOOKUP(AL165,'G-3 Multipliers'!$P$2:$Q$6,2,FALSE))),"")</f>
        <v/>
      </c>
      <c r="AN165" s="712" t="str">
        <f>IF(E165="","",IF(ISNA(VLOOKUP($E165,'D-1 Off-Site Habitat Baseline'!$D$1:$Z$258,15,FALSE)),"",(VLOOKUP($E165,'D-1 Off-Site Habitat Baseline'!$D$1:$Z$258,15,FALSE))))</f>
        <v/>
      </c>
      <c r="AO165" s="329" t="str">
        <f>IF(AN165="","",IF(VLOOKUP(AN165,'G-3 Multipliers'!$S$3:$T$10,2,FALSE)=0,"Spatial Data Missing ⚠",VLOOKUP(AN165,'G-3 Multipliers'!$S$3:$T$10,2,FALSE)))</f>
        <v/>
      </c>
      <c r="AP165" s="289" t="str">
        <f t="shared" si="31"/>
        <v/>
      </c>
      <c r="AQ165" s="289" t="str">
        <f t="shared" si="32"/>
        <v/>
      </c>
      <c r="AR165" s="105"/>
      <c r="AS165" s="138"/>
      <c r="AT165" s="104"/>
      <c r="AU165" s="104"/>
      <c r="AY165" s="30" t="str">
        <f>IF(E165="","",IF(ISNA(VLOOKUP($E165,'D-1 Off-Site Habitat Baseline'!$D$1:$AV$258,4,FALSE)),"",(VLOOKUP($E165,'D-1 Off-Site Habitat Baseline'!$D$1:$AV$258,4,FALSE))))</f>
        <v/>
      </c>
    </row>
    <row r="166" spans="1:51" ht="14">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319" t="str">
        <f>'D-1 Off-Site Habitat Baseline'!AP165</f>
        <v/>
      </c>
      <c r="F166" s="283" t="str">
        <f>IF(E166="","",IF(ISNA(VLOOKUP($E166,'D-1 Off-Site Habitat Baseline'!$D$1:$ZZ$258,45,FALSE)),"",(VLOOKUP($E166,'D-1 Off-Site Habitat Baseline'!$D$1:$ZZ$258,45,FALSE))))</f>
        <v/>
      </c>
      <c r="G166" s="295" t="str">
        <f>IF(E166="","",IF(ISNA(VLOOKUP($E166,'D-1 Off-Site Habitat Baseline'!$D$1:$O$258,5,FALSE)),"",(VLOOKUP($E166,'D-1 Off-Site Habitat Baseline'!$D$1:$O$258,5,FALSE))))</f>
        <v/>
      </c>
      <c r="H166" s="295" t="str">
        <f>IF(E166="","",IF(ISNA(VLOOKUP($E166,'D-1 Off-Site Habitat Baseline'!$D$1:$O$258,6,FALSE)),"",(VLOOKUP($E166,'D-1 Off-Site Habitat Baseline'!$D$1:$O$258,6,FALSE))))</f>
        <v/>
      </c>
      <c r="I166" s="295" t="str">
        <f>IF(E166="","",IF(ISNA(VLOOKUP($E166,'D-1 Off-Site Habitat Baseline'!$D$1:$O$258,7,FALSE)),"",(VLOOKUP($E166,'D-1 Off-Site Habitat Baseline'!$D$1:$O$258,7,FALSE))))</f>
        <v/>
      </c>
      <c r="J166" s="295" t="str">
        <f>IF(E166="","",IF(ISNA(VLOOKUP($E166,'D-1 Off-Site Habitat Baseline'!$D$1:$O$258,8,FALSE)),"",(VLOOKUP($E166,'D-1 Off-Site Habitat Baseline'!$D$1:$O$258,8,FALSE))))</f>
        <v/>
      </c>
      <c r="K166" s="295" t="str">
        <f>IF(E166="","",IF(ISNA(VLOOKUP($E166,'D-1 Off-Site Habitat Baseline'!$D$1:$O$258,9,FALSE)),"",(VLOOKUP($E166,'D-1 Off-Site Habitat Baseline'!$D$1:$O$258,9,FALSE))))</f>
        <v/>
      </c>
      <c r="L166" s="295" t="str">
        <f>IF(E166="","",IF(ISNA(VLOOKUP($E166,'D-1 Off-Site Habitat Baseline'!$D$1:$O$258,11,FALSE)),"",(VLOOKUP($E166,'D-1 Off-Site Habitat Baseline'!$D$1:$O$258,11,FALSE))))</f>
        <v/>
      </c>
      <c r="M166" s="295" t="str">
        <f>IF(E166="","",IF(ISNA(VLOOKUP($E166,'D-1 Off-Site Habitat Baseline'!$D$1:$O$258,12,FALSE)),"",(VLOOKUP($E166,'D-1 Off-Site Habitat Baseline'!$D$1:$O$258,12,FALSE))))</f>
        <v/>
      </c>
      <c r="N166" s="295" t="str">
        <f>IF(E166="","",IF(ISNA(VLOOKUP($E166,'D-1 Off-Site Habitat Baseline'!$D$1:$AA$258,17,FALSE)),"",(VLOOKUP($E166,'D-1 Off-Site Habitat Baseline'!$D$1:$AA$258,17,FALSE))))</f>
        <v/>
      </c>
      <c r="O166" s="299" t="str">
        <f>IF(E166="","",IF(ISNA(VLOOKUP($E166,'D-1 Off-Site Habitat Baseline'!$D$1:$AA$258,13,FALSE)),"",(VLOOKUP($E166,'D-1 Off-Site Habitat Baseline'!$D$1:$AA$258,13,FALSE))))</f>
        <v/>
      </c>
      <c r="P166" s="148" t="str">
        <f>IFERROR(INDEX('G-1 All Habitats'!$AG$49:$AG$63,MATCH(Q166,'G-1 All Habitats'!$AF$27:$AF$41,0)),"")</f>
        <v/>
      </c>
      <c r="Q166" s="149" t="str">
        <f t="shared" si="24"/>
        <v/>
      </c>
      <c r="R166" s="150"/>
      <c r="S166" s="151" t="str">
        <f>IFERROR(INDEX('G-1 All Habitats'!$B$3:$B$135,MATCH(R166,'G-1 All Habitats'!$A$3:$A$135,0)),"")</f>
        <v/>
      </c>
      <c r="T166" s="283" t="str">
        <f t="shared" si="25"/>
        <v/>
      </c>
      <c r="U166" s="276" t="str">
        <f t="shared" si="26"/>
        <v/>
      </c>
      <c r="V166" s="298" t="str">
        <f t="shared" si="22"/>
        <v/>
      </c>
      <c r="W166" s="295" t="str">
        <f>IF(S166="","",VLOOKUP(S166,'G-1 All Habitats'!$B$2:$M$135,10,FALSE))</f>
        <v/>
      </c>
      <c r="X166" s="295" t="str">
        <f>IFERROR(VLOOKUP(W166,'G-1 All Habitats'!$V$3:$W$7,2,FALSE),"")</f>
        <v/>
      </c>
      <c r="Y166" s="138"/>
      <c r="Z166" s="299" t="str">
        <f>IFERROR(INDEX('G-8 Condition Look up'!$A$3:$H$135,MATCH(S166,'G-8 Condition Look up'!$A$3:$A$135,0),MATCH(Y166,'G-8 Condition Look up'!$A$3:$H$3,0)),"")</f>
        <v/>
      </c>
      <c r="AA166" s="101"/>
      <c r="AB166" s="314" t="str">
        <f>IF(AA166="","",IF(VLOOKUP(AA166,'G-3 Multipliers'!$L$3:$N$6,2,FALSE)=0,"Spatial Data Missing ⚠",VLOOKUP(AA166,'G-3 Multipliers'!$L$3:$N$6,2,FALSE)))</f>
        <v/>
      </c>
      <c r="AC166" s="299" t="str">
        <f>IF(AA166="","",IF(VLOOKUP(AA166,'G-3 Multipliers'!$L$3:$N$6,3,FALSE)=0,"Spatial Data Missing ⚠",VLOOKUP(AA166,'G-3 Multipliers'!$L$3:$N$6,3,FALSE)))</f>
        <v/>
      </c>
      <c r="AD166" s="311" t="str">
        <f t="shared" si="23"/>
        <v/>
      </c>
      <c r="AE166" s="138"/>
      <c r="AF166" s="138"/>
      <c r="AG166" s="295" t="str">
        <f t="shared" si="27"/>
        <v/>
      </c>
      <c r="AH166" s="296" t="str">
        <f t="shared" si="28"/>
        <v/>
      </c>
      <c r="AI166" s="300" t="str">
        <f>IF(AH166="Check Data ⚠","Check Data ⚠",IFERROR(VLOOKUP(AH166,'G-4 Temporal multipliers'!$A$4:$C$36,3,FALSE),""))</f>
        <v/>
      </c>
      <c r="AJ166" s="311" t="str">
        <f>IF(S166="","",VLOOKUP(S166,'G-3 Multipliers'!$A$2:$E$134,4,FALSE))</f>
        <v/>
      </c>
      <c r="AK166" s="295" t="str">
        <f t="shared" si="29"/>
        <v/>
      </c>
      <c r="AL166" s="295" t="str">
        <f t="shared" si="30"/>
        <v/>
      </c>
      <c r="AM166" s="299" t="str">
        <f>IFERROR(IF(F166="","",IF(AH166="Check Data ⚠","Check Data ⚠",VLOOKUP(AL166,'G-3 Multipliers'!$P$2:$Q$6,2,FALSE))),"")</f>
        <v/>
      </c>
      <c r="AN166" s="712" t="str">
        <f>IF(E166="","",IF(ISNA(VLOOKUP($E166,'D-1 Off-Site Habitat Baseline'!$D$1:$Z$258,15,FALSE)),"",(VLOOKUP($E166,'D-1 Off-Site Habitat Baseline'!$D$1:$Z$258,15,FALSE))))</f>
        <v/>
      </c>
      <c r="AO166" s="329" t="str">
        <f>IF(AN166="","",IF(VLOOKUP(AN166,'G-3 Multipliers'!$S$3:$T$10,2,FALSE)=0,"Spatial Data Missing ⚠",VLOOKUP(AN166,'G-3 Multipliers'!$S$3:$T$10,2,FALSE)))</f>
        <v/>
      </c>
      <c r="AP166" s="289" t="str">
        <f t="shared" si="31"/>
        <v/>
      </c>
      <c r="AQ166" s="289" t="str">
        <f t="shared" si="32"/>
        <v/>
      </c>
      <c r="AR166" s="105"/>
      <c r="AS166" s="138"/>
      <c r="AT166" s="104"/>
      <c r="AU166" s="104"/>
      <c r="AY166" s="30" t="str">
        <f>IF(E166="","",IF(ISNA(VLOOKUP($E166,'D-1 Off-Site Habitat Baseline'!$D$1:$AV$258,4,FALSE)),"",(VLOOKUP($E166,'D-1 Off-Site Habitat Baseline'!$D$1:$AV$258,4,FALSE))))</f>
        <v/>
      </c>
    </row>
    <row r="167" spans="1:51" ht="14">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319" t="str">
        <f>'D-1 Off-Site Habitat Baseline'!AP166</f>
        <v/>
      </c>
      <c r="F167" s="283" t="str">
        <f>IF(E167="","",IF(ISNA(VLOOKUP($E167,'D-1 Off-Site Habitat Baseline'!$D$1:$ZZ$258,45,FALSE)),"",(VLOOKUP($E167,'D-1 Off-Site Habitat Baseline'!$D$1:$ZZ$258,45,FALSE))))</f>
        <v/>
      </c>
      <c r="G167" s="295" t="str">
        <f>IF(E167="","",IF(ISNA(VLOOKUP($E167,'D-1 Off-Site Habitat Baseline'!$D$1:$O$258,5,FALSE)),"",(VLOOKUP($E167,'D-1 Off-Site Habitat Baseline'!$D$1:$O$258,5,FALSE))))</f>
        <v/>
      </c>
      <c r="H167" s="295" t="str">
        <f>IF(E167="","",IF(ISNA(VLOOKUP($E167,'D-1 Off-Site Habitat Baseline'!$D$1:$O$258,6,FALSE)),"",(VLOOKUP($E167,'D-1 Off-Site Habitat Baseline'!$D$1:$O$258,6,FALSE))))</f>
        <v/>
      </c>
      <c r="I167" s="295" t="str">
        <f>IF(E167="","",IF(ISNA(VLOOKUP($E167,'D-1 Off-Site Habitat Baseline'!$D$1:$O$258,7,FALSE)),"",(VLOOKUP($E167,'D-1 Off-Site Habitat Baseline'!$D$1:$O$258,7,FALSE))))</f>
        <v/>
      </c>
      <c r="J167" s="295" t="str">
        <f>IF(E167="","",IF(ISNA(VLOOKUP($E167,'D-1 Off-Site Habitat Baseline'!$D$1:$O$258,8,FALSE)),"",(VLOOKUP($E167,'D-1 Off-Site Habitat Baseline'!$D$1:$O$258,8,FALSE))))</f>
        <v/>
      </c>
      <c r="K167" s="295" t="str">
        <f>IF(E167="","",IF(ISNA(VLOOKUP($E167,'D-1 Off-Site Habitat Baseline'!$D$1:$O$258,9,FALSE)),"",(VLOOKUP($E167,'D-1 Off-Site Habitat Baseline'!$D$1:$O$258,9,FALSE))))</f>
        <v/>
      </c>
      <c r="L167" s="295" t="str">
        <f>IF(E167="","",IF(ISNA(VLOOKUP($E167,'D-1 Off-Site Habitat Baseline'!$D$1:$O$258,11,FALSE)),"",(VLOOKUP($E167,'D-1 Off-Site Habitat Baseline'!$D$1:$O$258,11,FALSE))))</f>
        <v/>
      </c>
      <c r="M167" s="295" t="str">
        <f>IF(E167="","",IF(ISNA(VLOOKUP($E167,'D-1 Off-Site Habitat Baseline'!$D$1:$O$258,12,FALSE)),"",(VLOOKUP($E167,'D-1 Off-Site Habitat Baseline'!$D$1:$O$258,12,FALSE))))</f>
        <v/>
      </c>
      <c r="N167" s="295" t="str">
        <f>IF(E167="","",IF(ISNA(VLOOKUP($E167,'D-1 Off-Site Habitat Baseline'!$D$1:$AA$258,17,FALSE)),"",(VLOOKUP($E167,'D-1 Off-Site Habitat Baseline'!$D$1:$AA$258,17,FALSE))))</f>
        <v/>
      </c>
      <c r="O167" s="299" t="str">
        <f>IF(E167="","",IF(ISNA(VLOOKUP($E167,'D-1 Off-Site Habitat Baseline'!$D$1:$AA$258,13,FALSE)),"",(VLOOKUP($E167,'D-1 Off-Site Habitat Baseline'!$D$1:$AA$258,13,FALSE))))</f>
        <v/>
      </c>
      <c r="P167" s="148" t="str">
        <f>IFERROR(INDEX('G-1 All Habitats'!$AG$49:$AG$63,MATCH(Q167,'G-1 All Habitats'!$AF$27:$AF$41,0)),"")</f>
        <v/>
      </c>
      <c r="Q167" s="149" t="str">
        <f t="shared" si="24"/>
        <v/>
      </c>
      <c r="R167" s="150"/>
      <c r="S167" s="151" t="str">
        <f>IFERROR(INDEX('G-1 All Habitats'!$B$3:$B$135,MATCH(R167,'G-1 All Habitats'!$A$3:$A$135,0)),"")</f>
        <v/>
      </c>
      <c r="T167" s="283" t="str">
        <f t="shared" si="25"/>
        <v/>
      </c>
      <c r="U167" s="276" t="str">
        <f t="shared" si="26"/>
        <v/>
      </c>
      <c r="V167" s="298" t="str">
        <f t="shared" si="22"/>
        <v/>
      </c>
      <c r="W167" s="295" t="str">
        <f>IF(S167="","",VLOOKUP(S167,'G-1 All Habitats'!$B$2:$M$135,10,FALSE))</f>
        <v/>
      </c>
      <c r="X167" s="295" t="str">
        <f>IFERROR(VLOOKUP(W167,'G-1 All Habitats'!$V$3:$W$7,2,FALSE),"")</f>
        <v/>
      </c>
      <c r="Y167" s="138"/>
      <c r="Z167" s="299" t="str">
        <f>IFERROR(INDEX('G-8 Condition Look up'!$A$3:$H$135,MATCH(S167,'G-8 Condition Look up'!$A$3:$A$135,0),MATCH(Y167,'G-8 Condition Look up'!$A$3:$H$3,0)),"")</f>
        <v/>
      </c>
      <c r="AA167" s="101"/>
      <c r="AB167" s="314" t="str">
        <f>IF(AA167="","",IF(VLOOKUP(AA167,'G-3 Multipliers'!$L$3:$N$6,2,FALSE)=0,"Spatial Data Missing ⚠",VLOOKUP(AA167,'G-3 Multipliers'!$L$3:$N$6,2,FALSE)))</f>
        <v/>
      </c>
      <c r="AC167" s="299" t="str">
        <f>IF(AA167="","",IF(VLOOKUP(AA167,'G-3 Multipliers'!$L$3:$N$6,3,FALSE)=0,"Spatial Data Missing ⚠",VLOOKUP(AA167,'G-3 Multipliers'!$L$3:$N$6,3,FALSE)))</f>
        <v/>
      </c>
      <c r="AD167" s="311" t="str">
        <f t="shared" si="23"/>
        <v/>
      </c>
      <c r="AE167" s="138"/>
      <c r="AF167" s="138"/>
      <c r="AG167" s="295" t="str">
        <f t="shared" si="27"/>
        <v/>
      </c>
      <c r="AH167" s="296" t="str">
        <f t="shared" si="28"/>
        <v/>
      </c>
      <c r="AI167" s="300" t="str">
        <f>IF(AH167="Check Data ⚠","Check Data ⚠",IFERROR(VLOOKUP(AH167,'G-4 Temporal multipliers'!$A$4:$C$36,3,FALSE),""))</f>
        <v/>
      </c>
      <c r="AJ167" s="311" t="str">
        <f>IF(S167="","",VLOOKUP(S167,'G-3 Multipliers'!$A$2:$E$134,4,FALSE))</f>
        <v/>
      </c>
      <c r="AK167" s="295" t="str">
        <f t="shared" si="29"/>
        <v/>
      </c>
      <c r="AL167" s="295" t="str">
        <f t="shared" si="30"/>
        <v/>
      </c>
      <c r="AM167" s="299" t="str">
        <f>IFERROR(IF(F167="","",IF(AH167="Check Data ⚠","Check Data ⚠",VLOOKUP(AL167,'G-3 Multipliers'!$P$2:$Q$6,2,FALSE))),"")</f>
        <v/>
      </c>
      <c r="AN167" s="712" t="str">
        <f>IF(E167="","",IF(ISNA(VLOOKUP($E167,'D-1 Off-Site Habitat Baseline'!$D$1:$Z$258,15,FALSE)),"",(VLOOKUP($E167,'D-1 Off-Site Habitat Baseline'!$D$1:$Z$258,15,FALSE))))</f>
        <v/>
      </c>
      <c r="AO167" s="329" t="str">
        <f>IF(AN167="","",IF(VLOOKUP(AN167,'G-3 Multipliers'!$S$3:$T$10,2,FALSE)=0,"Spatial Data Missing ⚠",VLOOKUP(AN167,'G-3 Multipliers'!$S$3:$T$10,2,FALSE)))</f>
        <v/>
      </c>
      <c r="AP167" s="289" t="str">
        <f t="shared" si="31"/>
        <v/>
      </c>
      <c r="AQ167" s="289" t="str">
        <f t="shared" si="32"/>
        <v/>
      </c>
      <c r="AR167" s="105"/>
      <c r="AS167" s="138"/>
      <c r="AT167" s="104"/>
      <c r="AU167" s="104"/>
      <c r="AY167" s="30" t="str">
        <f>IF(E167="","",IF(ISNA(VLOOKUP($E167,'D-1 Off-Site Habitat Baseline'!$D$1:$AV$258,4,FALSE)),"",(VLOOKUP($E167,'D-1 Off-Site Habitat Baseline'!$D$1:$AV$258,4,FALSE))))</f>
        <v/>
      </c>
    </row>
    <row r="168" spans="1:51" ht="14">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319" t="str">
        <f>'D-1 Off-Site Habitat Baseline'!AP167</f>
        <v/>
      </c>
      <c r="F168" s="283" t="str">
        <f>IF(E168="","",IF(ISNA(VLOOKUP($E168,'D-1 Off-Site Habitat Baseline'!$D$1:$ZZ$258,45,FALSE)),"",(VLOOKUP($E168,'D-1 Off-Site Habitat Baseline'!$D$1:$ZZ$258,45,FALSE))))</f>
        <v/>
      </c>
      <c r="G168" s="295" t="str">
        <f>IF(E168="","",IF(ISNA(VLOOKUP($E168,'D-1 Off-Site Habitat Baseline'!$D$1:$O$258,5,FALSE)),"",(VLOOKUP($E168,'D-1 Off-Site Habitat Baseline'!$D$1:$O$258,5,FALSE))))</f>
        <v/>
      </c>
      <c r="H168" s="295" t="str">
        <f>IF(E168="","",IF(ISNA(VLOOKUP($E168,'D-1 Off-Site Habitat Baseline'!$D$1:$O$258,6,FALSE)),"",(VLOOKUP($E168,'D-1 Off-Site Habitat Baseline'!$D$1:$O$258,6,FALSE))))</f>
        <v/>
      </c>
      <c r="I168" s="295" t="str">
        <f>IF(E168="","",IF(ISNA(VLOOKUP($E168,'D-1 Off-Site Habitat Baseline'!$D$1:$O$258,7,FALSE)),"",(VLOOKUP($E168,'D-1 Off-Site Habitat Baseline'!$D$1:$O$258,7,FALSE))))</f>
        <v/>
      </c>
      <c r="J168" s="295" t="str">
        <f>IF(E168="","",IF(ISNA(VLOOKUP($E168,'D-1 Off-Site Habitat Baseline'!$D$1:$O$258,8,FALSE)),"",(VLOOKUP($E168,'D-1 Off-Site Habitat Baseline'!$D$1:$O$258,8,FALSE))))</f>
        <v/>
      </c>
      <c r="K168" s="295" t="str">
        <f>IF(E168="","",IF(ISNA(VLOOKUP($E168,'D-1 Off-Site Habitat Baseline'!$D$1:$O$258,9,FALSE)),"",(VLOOKUP($E168,'D-1 Off-Site Habitat Baseline'!$D$1:$O$258,9,FALSE))))</f>
        <v/>
      </c>
      <c r="L168" s="295" t="str">
        <f>IF(E168="","",IF(ISNA(VLOOKUP($E168,'D-1 Off-Site Habitat Baseline'!$D$1:$O$258,11,FALSE)),"",(VLOOKUP($E168,'D-1 Off-Site Habitat Baseline'!$D$1:$O$258,11,FALSE))))</f>
        <v/>
      </c>
      <c r="M168" s="295" t="str">
        <f>IF(E168="","",IF(ISNA(VLOOKUP($E168,'D-1 Off-Site Habitat Baseline'!$D$1:$O$258,12,FALSE)),"",(VLOOKUP($E168,'D-1 Off-Site Habitat Baseline'!$D$1:$O$258,12,FALSE))))</f>
        <v/>
      </c>
      <c r="N168" s="295" t="str">
        <f>IF(E168="","",IF(ISNA(VLOOKUP($E168,'D-1 Off-Site Habitat Baseline'!$D$1:$AA$258,17,FALSE)),"",(VLOOKUP($E168,'D-1 Off-Site Habitat Baseline'!$D$1:$AA$258,17,FALSE))))</f>
        <v/>
      </c>
      <c r="O168" s="299" t="str">
        <f>IF(E168="","",IF(ISNA(VLOOKUP($E168,'D-1 Off-Site Habitat Baseline'!$D$1:$AA$258,13,FALSE)),"",(VLOOKUP($E168,'D-1 Off-Site Habitat Baseline'!$D$1:$AA$258,13,FALSE))))</f>
        <v/>
      </c>
      <c r="P168" s="148" t="str">
        <f>IFERROR(INDEX('G-1 All Habitats'!$AG$49:$AG$63,MATCH(Q168,'G-1 All Habitats'!$AF$27:$AF$41,0)),"")</f>
        <v/>
      </c>
      <c r="Q168" s="149" t="str">
        <f t="shared" si="24"/>
        <v/>
      </c>
      <c r="R168" s="150"/>
      <c r="S168" s="151" t="str">
        <f>IFERROR(INDEX('G-1 All Habitats'!$B$3:$B$135,MATCH(R168,'G-1 All Habitats'!$A$3:$A$135,0)),"")</f>
        <v/>
      </c>
      <c r="T168" s="283" t="str">
        <f t="shared" si="25"/>
        <v/>
      </c>
      <c r="U168" s="276" t="str">
        <f t="shared" si="26"/>
        <v/>
      </c>
      <c r="V168" s="298" t="str">
        <f t="shared" si="22"/>
        <v/>
      </c>
      <c r="W168" s="295" t="str">
        <f>IF(S168="","",VLOOKUP(S168,'G-1 All Habitats'!$B$2:$M$135,10,FALSE))</f>
        <v/>
      </c>
      <c r="X168" s="295" t="str">
        <f>IFERROR(VLOOKUP(W168,'G-1 All Habitats'!$V$3:$W$7,2,FALSE),"")</f>
        <v/>
      </c>
      <c r="Y168" s="138"/>
      <c r="Z168" s="299" t="str">
        <f>IFERROR(INDEX('G-8 Condition Look up'!$A$3:$H$135,MATCH(S168,'G-8 Condition Look up'!$A$3:$A$135,0),MATCH(Y168,'G-8 Condition Look up'!$A$3:$H$3,0)),"")</f>
        <v/>
      </c>
      <c r="AA168" s="101"/>
      <c r="AB168" s="314" t="str">
        <f>IF(AA168="","",IF(VLOOKUP(AA168,'G-3 Multipliers'!$L$3:$N$6,2,FALSE)=0,"Spatial Data Missing ⚠",VLOOKUP(AA168,'G-3 Multipliers'!$L$3:$N$6,2,FALSE)))</f>
        <v/>
      </c>
      <c r="AC168" s="299" t="str">
        <f>IF(AA168="","",IF(VLOOKUP(AA168,'G-3 Multipliers'!$L$3:$N$6,3,FALSE)=0,"Spatial Data Missing ⚠",VLOOKUP(AA168,'G-3 Multipliers'!$L$3:$N$6,3,FALSE)))</f>
        <v/>
      </c>
      <c r="AD168" s="311" t="str">
        <f t="shared" si="23"/>
        <v/>
      </c>
      <c r="AE168" s="138"/>
      <c r="AF168" s="138"/>
      <c r="AG168" s="295" t="str">
        <f t="shared" si="27"/>
        <v/>
      </c>
      <c r="AH168" s="296" t="str">
        <f t="shared" si="28"/>
        <v/>
      </c>
      <c r="AI168" s="300" t="str">
        <f>IF(AH168="Check Data ⚠","Check Data ⚠",IFERROR(VLOOKUP(AH168,'G-4 Temporal multipliers'!$A$4:$C$36,3,FALSE),""))</f>
        <v/>
      </c>
      <c r="AJ168" s="311" t="str">
        <f>IF(S168="","",VLOOKUP(S168,'G-3 Multipliers'!$A$2:$E$134,4,FALSE))</f>
        <v/>
      </c>
      <c r="AK168" s="295" t="str">
        <f t="shared" si="29"/>
        <v/>
      </c>
      <c r="AL168" s="295" t="str">
        <f t="shared" si="30"/>
        <v/>
      </c>
      <c r="AM168" s="299" t="str">
        <f>IFERROR(IF(F168="","",IF(AH168="Check Data ⚠","Check Data ⚠",VLOOKUP(AL168,'G-3 Multipliers'!$P$2:$Q$6,2,FALSE))),"")</f>
        <v/>
      </c>
      <c r="AN168" s="712" t="str">
        <f>IF(E168="","",IF(ISNA(VLOOKUP($E168,'D-1 Off-Site Habitat Baseline'!$D$1:$Z$258,15,FALSE)),"",(VLOOKUP($E168,'D-1 Off-Site Habitat Baseline'!$D$1:$Z$258,15,FALSE))))</f>
        <v/>
      </c>
      <c r="AO168" s="329" t="str">
        <f>IF(AN168="","",IF(VLOOKUP(AN168,'G-3 Multipliers'!$S$3:$T$10,2,FALSE)=0,"Spatial Data Missing ⚠",VLOOKUP(AN168,'G-3 Multipliers'!$S$3:$T$10,2,FALSE)))</f>
        <v/>
      </c>
      <c r="AP168" s="289" t="str">
        <f t="shared" si="31"/>
        <v/>
      </c>
      <c r="AQ168" s="289" t="str">
        <f t="shared" si="32"/>
        <v/>
      </c>
      <c r="AR168" s="105"/>
      <c r="AS168" s="138"/>
      <c r="AT168" s="104"/>
      <c r="AU168" s="104"/>
      <c r="AY168" s="30" t="str">
        <f>IF(E168="","",IF(ISNA(VLOOKUP($E168,'D-1 Off-Site Habitat Baseline'!$D$1:$AV$258,4,FALSE)),"",(VLOOKUP($E168,'D-1 Off-Site Habitat Baseline'!$D$1:$AV$258,4,FALSE))))</f>
        <v/>
      </c>
    </row>
    <row r="169" spans="1:51" ht="14">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319" t="str">
        <f>'D-1 Off-Site Habitat Baseline'!AP168</f>
        <v/>
      </c>
      <c r="F169" s="283" t="str">
        <f>IF(E169="","",IF(ISNA(VLOOKUP($E169,'D-1 Off-Site Habitat Baseline'!$D$1:$ZZ$258,45,FALSE)),"",(VLOOKUP($E169,'D-1 Off-Site Habitat Baseline'!$D$1:$ZZ$258,45,FALSE))))</f>
        <v/>
      </c>
      <c r="G169" s="295" t="str">
        <f>IF(E169="","",IF(ISNA(VLOOKUP($E169,'D-1 Off-Site Habitat Baseline'!$D$1:$O$258,5,FALSE)),"",(VLOOKUP($E169,'D-1 Off-Site Habitat Baseline'!$D$1:$O$258,5,FALSE))))</f>
        <v/>
      </c>
      <c r="H169" s="295" t="str">
        <f>IF(E169="","",IF(ISNA(VLOOKUP($E169,'D-1 Off-Site Habitat Baseline'!$D$1:$O$258,6,FALSE)),"",(VLOOKUP($E169,'D-1 Off-Site Habitat Baseline'!$D$1:$O$258,6,FALSE))))</f>
        <v/>
      </c>
      <c r="I169" s="295" t="str">
        <f>IF(E169="","",IF(ISNA(VLOOKUP($E169,'D-1 Off-Site Habitat Baseline'!$D$1:$O$258,7,FALSE)),"",(VLOOKUP($E169,'D-1 Off-Site Habitat Baseline'!$D$1:$O$258,7,FALSE))))</f>
        <v/>
      </c>
      <c r="J169" s="295" t="str">
        <f>IF(E169="","",IF(ISNA(VLOOKUP($E169,'D-1 Off-Site Habitat Baseline'!$D$1:$O$258,8,FALSE)),"",(VLOOKUP($E169,'D-1 Off-Site Habitat Baseline'!$D$1:$O$258,8,FALSE))))</f>
        <v/>
      </c>
      <c r="K169" s="295" t="str">
        <f>IF(E169="","",IF(ISNA(VLOOKUP($E169,'D-1 Off-Site Habitat Baseline'!$D$1:$O$258,9,FALSE)),"",(VLOOKUP($E169,'D-1 Off-Site Habitat Baseline'!$D$1:$O$258,9,FALSE))))</f>
        <v/>
      </c>
      <c r="L169" s="295" t="str">
        <f>IF(E169="","",IF(ISNA(VLOOKUP($E169,'D-1 Off-Site Habitat Baseline'!$D$1:$O$258,11,FALSE)),"",(VLOOKUP($E169,'D-1 Off-Site Habitat Baseline'!$D$1:$O$258,11,FALSE))))</f>
        <v/>
      </c>
      <c r="M169" s="295" t="str">
        <f>IF(E169="","",IF(ISNA(VLOOKUP($E169,'D-1 Off-Site Habitat Baseline'!$D$1:$O$258,12,FALSE)),"",(VLOOKUP($E169,'D-1 Off-Site Habitat Baseline'!$D$1:$O$258,12,FALSE))))</f>
        <v/>
      </c>
      <c r="N169" s="295" t="str">
        <f>IF(E169="","",IF(ISNA(VLOOKUP($E169,'D-1 Off-Site Habitat Baseline'!$D$1:$AA$258,17,FALSE)),"",(VLOOKUP($E169,'D-1 Off-Site Habitat Baseline'!$D$1:$AA$258,17,FALSE))))</f>
        <v/>
      </c>
      <c r="O169" s="299" t="str">
        <f>IF(E169="","",IF(ISNA(VLOOKUP($E169,'D-1 Off-Site Habitat Baseline'!$D$1:$AA$258,13,FALSE)),"",(VLOOKUP($E169,'D-1 Off-Site Habitat Baseline'!$D$1:$AA$258,13,FALSE))))</f>
        <v/>
      </c>
      <c r="P169" s="148" t="str">
        <f>IFERROR(INDEX('G-1 All Habitats'!$AG$49:$AG$63,MATCH(Q169,'G-1 All Habitats'!$AF$27:$AF$41,0)),"")</f>
        <v/>
      </c>
      <c r="Q169" s="149" t="str">
        <f t="shared" si="24"/>
        <v/>
      </c>
      <c r="R169" s="150"/>
      <c r="S169" s="151" t="str">
        <f>IFERROR(INDEX('G-1 All Habitats'!$B$3:$B$135,MATCH(R169,'G-1 All Habitats'!$A$3:$A$135,0)),"")</f>
        <v/>
      </c>
      <c r="T169" s="283" t="str">
        <f t="shared" si="25"/>
        <v/>
      </c>
      <c r="U169" s="276" t="str">
        <f t="shared" si="26"/>
        <v/>
      </c>
      <c r="V169" s="298" t="str">
        <f t="shared" si="22"/>
        <v/>
      </c>
      <c r="W169" s="295" t="str">
        <f>IF(S169="","",VLOOKUP(S169,'G-1 All Habitats'!$B$2:$M$135,10,FALSE))</f>
        <v/>
      </c>
      <c r="X169" s="295" t="str">
        <f>IFERROR(VLOOKUP(W169,'G-1 All Habitats'!$V$3:$W$7,2,FALSE),"")</f>
        <v/>
      </c>
      <c r="Y169" s="138"/>
      <c r="Z169" s="299" t="str">
        <f>IFERROR(INDEX('G-8 Condition Look up'!$A$3:$H$135,MATCH(S169,'G-8 Condition Look up'!$A$3:$A$135,0),MATCH(Y169,'G-8 Condition Look up'!$A$3:$H$3,0)),"")</f>
        <v/>
      </c>
      <c r="AA169" s="101"/>
      <c r="AB169" s="314" t="str">
        <f>IF(AA169="","",IF(VLOOKUP(AA169,'G-3 Multipliers'!$L$3:$N$6,2,FALSE)=0,"Spatial Data Missing ⚠",VLOOKUP(AA169,'G-3 Multipliers'!$L$3:$N$6,2,FALSE)))</f>
        <v/>
      </c>
      <c r="AC169" s="299" t="str">
        <f>IF(AA169="","",IF(VLOOKUP(AA169,'G-3 Multipliers'!$L$3:$N$6,3,FALSE)=0,"Spatial Data Missing ⚠",VLOOKUP(AA169,'G-3 Multipliers'!$L$3:$N$6,3,FALSE)))</f>
        <v/>
      </c>
      <c r="AD169" s="311" t="str">
        <f t="shared" si="23"/>
        <v/>
      </c>
      <c r="AE169" s="138"/>
      <c r="AF169" s="138"/>
      <c r="AG169" s="295" t="str">
        <f t="shared" si="27"/>
        <v/>
      </c>
      <c r="AH169" s="296" t="str">
        <f t="shared" si="28"/>
        <v/>
      </c>
      <c r="AI169" s="300" t="str">
        <f>IF(AH169="Check Data ⚠","Check Data ⚠",IFERROR(VLOOKUP(AH169,'G-4 Temporal multipliers'!$A$4:$C$36,3,FALSE),""))</f>
        <v/>
      </c>
      <c r="AJ169" s="311" t="str">
        <f>IF(S169="","",VLOOKUP(S169,'G-3 Multipliers'!$A$2:$E$134,4,FALSE))</f>
        <v/>
      </c>
      <c r="AK169" s="295" t="str">
        <f t="shared" si="29"/>
        <v/>
      </c>
      <c r="AL169" s="295" t="str">
        <f t="shared" si="30"/>
        <v/>
      </c>
      <c r="AM169" s="299" t="str">
        <f>IFERROR(IF(F169="","",IF(AH169="Check Data ⚠","Check Data ⚠",VLOOKUP(AL169,'G-3 Multipliers'!$P$2:$Q$6,2,FALSE))),"")</f>
        <v/>
      </c>
      <c r="AN169" s="712" t="str">
        <f>IF(E169="","",IF(ISNA(VLOOKUP($E169,'D-1 Off-Site Habitat Baseline'!$D$1:$Z$258,15,FALSE)),"",(VLOOKUP($E169,'D-1 Off-Site Habitat Baseline'!$D$1:$Z$258,15,FALSE))))</f>
        <v/>
      </c>
      <c r="AO169" s="329" t="str">
        <f>IF(AN169="","",IF(VLOOKUP(AN169,'G-3 Multipliers'!$S$3:$T$10,2,FALSE)=0,"Spatial Data Missing ⚠",VLOOKUP(AN169,'G-3 Multipliers'!$S$3:$T$10,2,FALSE)))</f>
        <v/>
      </c>
      <c r="AP169" s="289" t="str">
        <f t="shared" si="31"/>
        <v/>
      </c>
      <c r="AQ169" s="289" t="str">
        <f t="shared" si="32"/>
        <v/>
      </c>
      <c r="AR169" s="105"/>
      <c r="AS169" s="138"/>
      <c r="AT169" s="104"/>
      <c r="AU169" s="104"/>
      <c r="AY169" s="30" t="str">
        <f>IF(E169="","",IF(ISNA(VLOOKUP($E169,'D-1 Off-Site Habitat Baseline'!$D$1:$AV$258,4,FALSE)),"",(VLOOKUP($E169,'D-1 Off-Site Habitat Baseline'!$D$1:$AV$258,4,FALSE))))</f>
        <v/>
      </c>
    </row>
    <row r="170" spans="1:51" ht="14">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319" t="str">
        <f>'D-1 Off-Site Habitat Baseline'!AP169</f>
        <v/>
      </c>
      <c r="F170" s="283" t="str">
        <f>IF(E170="","",IF(ISNA(VLOOKUP($E170,'D-1 Off-Site Habitat Baseline'!$D$1:$ZZ$258,45,FALSE)),"",(VLOOKUP($E170,'D-1 Off-Site Habitat Baseline'!$D$1:$ZZ$258,45,FALSE))))</f>
        <v/>
      </c>
      <c r="G170" s="295" t="str">
        <f>IF(E170="","",IF(ISNA(VLOOKUP($E170,'D-1 Off-Site Habitat Baseline'!$D$1:$O$258,5,FALSE)),"",(VLOOKUP($E170,'D-1 Off-Site Habitat Baseline'!$D$1:$O$258,5,FALSE))))</f>
        <v/>
      </c>
      <c r="H170" s="295" t="str">
        <f>IF(E170="","",IF(ISNA(VLOOKUP($E170,'D-1 Off-Site Habitat Baseline'!$D$1:$O$258,6,FALSE)),"",(VLOOKUP($E170,'D-1 Off-Site Habitat Baseline'!$D$1:$O$258,6,FALSE))))</f>
        <v/>
      </c>
      <c r="I170" s="295" t="str">
        <f>IF(E170="","",IF(ISNA(VLOOKUP($E170,'D-1 Off-Site Habitat Baseline'!$D$1:$O$258,7,FALSE)),"",(VLOOKUP($E170,'D-1 Off-Site Habitat Baseline'!$D$1:$O$258,7,FALSE))))</f>
        <v/>
      </c>
      <c r="J170" s="295" t="str">
        <f>IF(E170="","",IF(ISNA(VLOOKUP($E170,'D-1 Off-Site Habitat Baseline'!$D$1:$O$258,8,FALSE)),"",(VLOOKUP($E170,'D-1 Off-Site Habitat Baseline'!$D$1:$O$258,8,FALSE))))</f>
        <v/>
      </c>
      <c r="K170" s="295" t="str">
        <f>IF(E170="","",IF(ISNA(VLOOKUP($E170,'D-1 Off-Site Habitat Baseline'!$D$1:$O$258,9,FALSE)),"",(VLOOKUP($E170,'D-1 Off-Site Habitat Baseline'!$D$1:$O$258,9,FALSE))))</f>
        <v/>
      </c>
      <c r="L170" s="295" t="str">
        <f>IF(E170="","",IF(ISNA(VLOOKUP($E170,'D-1 Off-Site Habitat Baseline'!$D$1:$O$258,11,FALSE)),"",(VLOOKUP($E170,'D-1 Off-Site Habitat Baseline'!$D$1:$O$258,11,FALSE))))</f>
        <v/>
      </c>
      <c r="M170" s="295" t="str">
        <f>IF(E170="","",IF(ISNA(VLOOKUP($E170,'D-1 Off-Site Habitat Baseline'!$D$1:$O$258,12,FALSE)),"",(VLOOKUP($E170,'D-1 Off-Site Habitat Baseline'!$D$1:$O$258,12,FALSE))))</f>
        <v/>
      </c>
      <c r="N170" s="295" t="str">
        <f>IF(E170="","",IF(ISNA(VLOOKUP($E170,'D-1 Off-Site Habitat Baseline'!$D$1:$AA$258,17,FALSE)),"",(VLOOKUP($E170,'D-1 Off-Site Habitat Baseline'!$D$1:$AA$258,17,FALSE))))</f>
        <v/>
      </c>
      <c r="O170" s="299" t="str">
        <f>IF(E170="","",IF(ISNA(VLOOKUP($E170,'D-1 Off-Site Habitat Baseline'!$D$1:$AA$258,13,FALSE)),"",(VLOOKUP($E170,'D-1 Off-Site Habitat Baseline'!$D$1:$AA$258,13,FALSE))))</f>
        <v/>
      </c>
      <c r="P170" s="148" t="str">
        <f>IFERROR(INDEX('G-1 All Habitats'!$AG$49:$AG$63,MATCH(Q170,'G-1 All Habitats'!$AF$27:$AF$41,0)),"")</f>
        <v/>
      </c>
      <c r="Q170" s="149" t="str">
        <f t="shared" si="24"/>
        <v/>
      </c>
      <c r="R170" s="150"/>
      <c r="S170" s="151" t="str">
        <f>IFERROR(INDEX('G-1 All Habitats'!$B$3:$B$135,MATCH(R170,'G-1 All Habitats'!$A$3:$A$135,0)),"")</f>
        <v/>
      </c>
      <c r="T170" s="283" t="str">
        <f t="shared" si="25"/>
        <v/>
      </c>
      <c r="U170" s="276" t="str">
        <f t="shared" si="26"/>
        <v/>
      </c>
      <c r="V170" s="298" t="str">
        <f t="shared" si="22"/>
        <v/>
      </c>
      <c r="W170" s="295" t="str">
        <f>IF(S170="","",VLOOKUP(S170,'G-1 All Habitats'!$B$2:$M$135,10,FALSE))</f>
        <v/>
      </c>
      <c r="X170" s="295" t="str">
        <f>IFERROR(VLOOKUP(W170,'G-1 All Habitats'!$V$3:$W$7,2,FALSE),"")</f>
        <v/>
      </c>
      <c r="Y170" s="138"/>
      <c r="Z170" s="299" t="str">
        <f>IFERROR(INDEX('G-8 Condition Look up'!$A$3:$H$135,MATCH(S170,'G-8 Condition Look up'!$A$3:$A$135,0),MATCH(Y170,'G-8 Condition Look up'!$A$3:$H$3,0)),"")</f>
        <v/>
      </c>
      <c r="AA170" s="101"/>
      <c r="AB170" s="314" t="str">
        <f>IF(AA170="","",IF(VLOOKUP(AA170,'G-3 Multipliers'!$L$3:$N$6,2,FALSE)=0,"Spatial Data Missing ⚠",VLOOKUP(AA170,'G-3 Multipliers'!$L$3:$N$6,2,FALSE)))</f>
        <v/>
      </c>
      <c r="AC170" s="299" t="str">
        <f>IF(AA170="","",IF(VLOOKUP(AA170,'G-3 Multipliers'!$L$3:$N$6,3,FALSE)=0,"Spatial Data Missing ⚠",VLOOKUP(AA170,'G-3 Multipliers'!$L$3:$N$6,3,FALSE)))</f>
        <v/>
      </c>
      <c r="AD170" s="311" t="str">
        <f t="shared" si="23"/>
        <v/>
      </c>
      <c r="AE170" s="138"/>
      <c r="AF170" s="138"/>
      <c r="AG170" s="295" t="str">
        <f t="shared" si="27"/>
        <v/>
      </c>
      <c r="AH170" s="296" t="str">
        <f t="shared" si="28"/>
        <v/>
      </c>
      <c r="AI170" s="300" t="str">
        <f>IF(AH170="Check Data ⚠","Check Data ⚠",IFERROR(VLOOKUP(AH170,'G-4 Temporal multipliers'!$A$4:$C$36,3,FALSE),""))</f>
        <v/>
      </c>
      <c r="AJ170" s="311" t="str">
        <f>IF(S170="","",VLOOKUP(S170,'G-3 Multipliers'!$A$2:$E$134,4,FALSE))</f>
        <v/>
      </c>
      <c r="AK170" s="295" t="str">
        <f t="shared" si="29"/>
        <v/>
      </c>
      <c r="AL170" s="295" t="str">
        <f t="shared" si="30"/>
        <v/>
      </c>
      <c r="AM170" s="299" t="str">
        <f>IFERROR(IF(F170="","",IF(AH170="Check Data ⚠","Check Data ⚠",VLOOKUP(AL170,'G-3 Multipliers'!$P$2:$Q$6,2,FALSE))),"")</f>
        <v/>
      </c>
      <c r="AN170" s="712" t="str">
        <f>IF(E170="","",IF(ISNA(VLOOKUP($E170,'D-1 Off-Site Habitat Baseline'!$D$1:$Z$258,15,FALSE)),"",(VLOOKUP($E170,'D-1 Off-Site Habitat Baseline'!$D$1:$Z$258,15,FALSE))))</f>
        <v/>
      </c>
      <c r="AO170" s="329" t="str">
        <f>IF(AN170="","",IF(VLOOKUP(AN170,'G-3 Multipliers'!$S$3:$T$10,2,FALSE)=0,"Spatial Data Missing ⚠",VLOOKUP(AN170,'G-3 Multipliers'!$S$3:$T$10,2,FALSE)))</f>
        <v/>
      </c>
      <c r="AP170" s="289" t="str">
        <f t="shared" si="31"/>
        <v/>
      </c>
      <c r="AQ170" s="289" t="str">
        <f t="shared" si="32"/>
        <v/>
      </c>
      <c r="AR170" s="105"/>
      <c r="AS170" s="138"/>
      <c r="AT170" s="104"/>
      <c r="AU170" s="104"/>
      <c r="AY170" s="30" t="str">
        <f>IF(E170="","",IF(ISNA(VLOOKUP($E170,'D-1 Off-Site Habitat Baseline'!$D$1:$AV$258,4,FALSE)),"",(VLOOKUP($E170,'D-1 Off-Site Habitat Baseline'!$D$1:$AV$258,4,FALSE))))</f>
        <v/>
      </c>
    </row>
    <row r="171" spans="1:51" ht="14">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319" t="str">
        <f>'D-1 Off-Site Habitat Baseline'!AP170</f>
        <v/>
      </c>
      <c r="F171" s="283" t="str">
        <f>IF(E171="","",IF(ISNA(VLOOKUP($E171,'D-1 Off-Site Habitat Baseline'!$D$1:$ZZ$258,45,FALSE)),"",(VLOOKUP($E171,'D-1 Off-Site Habitat Baseline'!$D$1:$ZZ$258,45,FALSE))))</f>
        <v/>
      </c>
      <c r="G171" s="295" t="str">
        <f>IF(E171="","",IF(ISNA(VLOOKUP($E171,'D-1 Off-Site Habitat Baseline'!$D$1:$O$258,5,FALSE)),"",(VLOOKUP($E171,'D-1 Off-Site Habitat Baseline'!$D$1:$O$258,5,FALSE))))</f>
        <v/>
      </c>
      <c r="H171" s="295" t="str">
        <f>IF(E171="","",IF(ISNA(VLOOKUP($E171,'D-1 Off-Site Habitat Baseline'!$D$1:$O$258,6,FALSE)),"",(VLOOKUP($E171,'D-1 Off-Site Habitat Baseline'!$D$1:$O$258,6,FALSE))))</f>
        <v/>
      </c>
      <c r="I171" s="295" t="str">
        <f>IF(E171="","",IF(ISNA(VLOOKUP($E171,'D-1 Off-Site Habitat Baseline'!$D$1:$O$258,7,FALSE)),"",(VLOOKUP($E171,'D-1 Off-Site Habitat Baseline'!$D$1:$O$258,7,FALSE))))</f>
        <v/>
      </c>
      <c r="J171" s="295" t="str">
        <f>IF(E171="","",IF(ISNA(VLOOKUP($E171,'D-1 Off-Site Habitat Baseline'!$D$1:$O$258,8,FALSE)),"",(VLOOKUP($E171,'D-1 Off-Site Habitat Baseline'!$D$1:$O$258,8,FALSE))))</f>
        <v/>
      </c>
      <c r="K171" s="295" t="str">
        <f>IF(E171="","",IF(ISNA(VLOOKUP($E171,'D-1 Off-Site Habitat Baseline'!$D$1:$O$258,9,FALSE)),"",(VLOOKUP($E171,'D-1 Off-Site Habitat Baseline'!$D$1:$O$258,9,FALSE))))</f>
        <v/>
      </c>
      <c r="L171" s="295" t="str">
        <f>IF(E171="","",IF(ISNA(VLOOKUP($E171,'D-1 Off-Site Habitat Baseline'!$D$1:$O$258,11,FALSE)),"",(VLOOKUP($E171,'D-1 Off-Site Habitat Baseline'!$D$1:$O$258,11,FALSE))))</f>
        <v/>
      </c>
      <c r="M171" s="295" t="str">
        <f>IF(E171="","",IF(ISNA(VLOOKUP($E171,'D-1 Off-Site Habitat Baseline'!$D$1:$O$258,12,FALSE)),"",(VLOOKUP($E171,'D-1 Off-Site Habitat Baseline'!$D$1:$O$258,12,FALSE))))</f>
        <v/>
      </c>
      <c r="N171" s="295" t="str">
        <f>IF(E171="","",IF(ISNA(VLOOKUP($E171,'D-1 Off-Site Habitat Baseline'!$D$1:$AA$258,17,FALSE)),"",(VLOOKUP($E171,'D-1 Off-Site Habitat Baseline'!$D$1:$AA$258,17,FALSE))))</f>
        <v/>
      </c>
      <c r="O171" s="299" t="str">
        <f>IF(E171="","",IF(ISNA(VLOOKUP($E171,'D-1 Off-Site Habitat Baseline'!$D$1:$AA$258,13,FALSE)),"",(VLOOKUP($E171,'D-1 Off-Site Habitat Baseline'!$D$1:$AA$258,13,FALSE))))</f>
        <v/>
      </c>
      <c r="P171" s="148" t="str">
        <f>IFERROR(INDEX('G-1 All Habitats'!$AG$49:$AG$63,MATCH(Q171,'G-1 All Habitats'!$AF$27:$AF$41,0)),"")</f>
        <v/>
      </c>
      <c r="Q171" s="149" t="str">
        <f t="shared" si="24"/>
        <v/>
      </c>
      <c r="R171" s="150"/>
      <c r="S171" s="151" t="str">
        <f>IFERROR(INDEX('G-1 All Habitats'!$B$3:$B$135,MATCH(R171,'G-1 All Habitats'!$A$3:$A$135,0)),"")</f>
        <v/>
      </c>
      <c r="T171" s="283" t="str">
        <f t="shared" si="25"/>
        <v/>
      </c>
      <c r="U171" s="276" t="str">
        <f t="shared" si="26"/>
        <v/>
      </c>
      <c r="V171" s="298" t="str">
        <f t="shared" si="22"/>
        <v/>
      </c>
      <c r="W171" s="295" t="str">
        <f>IF(S171="","",VLOOKUP(S171,'G-1 All Habitats'!$B$2:$M$135,10,FALSE))</f>
        <v/>
      </c>
      <c r="X171" s="295" t="str">
        <f>IFERROR(VLOOKUP(W171,'G-1 All Habitats'!$V$3:$W$7,2,FALSE),"")</f>
        <v/>
      </c>
      <c r="Y171" s="138"/>
      <c r="Z171" s="299" t="str">
        <f>IFERROR(INDEX('G-8 Condition Look up'!$A$3:$H$135,MATCH(S171,'G-8 Condition Look up'!$A$3:$A$135,0),MATCH(Y171,'G-8 Condition Look up'!$A$3:$H$3,0)),"")</f>
        <v/>
      </c>
      <c r="AA171" s="101"/>
      <c r="AB171" s="314" t="str">
        <f>IF(AA171="","",IF(VLOOKUP(AA171,'G-3 Multipliers'!$L$3:$N$6,2,FALSE)=0,"Spatial Data Missing ⚠",VLOOKUP(AA171,'G-3 Multipliers'!$L$3:$N$6,2,FALSE)))</f>
        <v/>
      </c>
      <c r="AC171" s="299" t="str">
        <f>IF(AA171="","",IF(VLOOKUP(AA171,'G-3 Multipliers'!$L$3:$N$6,3,FALSE)=0,"Spatial Data Missing ⚠",VLOOKUP(AA171,'G-3 Multipliers'!$L$3:$N$6,3,FALSE)))</f>
        <v/>
      </c>
      <c r="AD171" s="311" t="str">
        <f t="shared" si="23"/>
        <v/>
      </c>
      <c r="AE171" s="138"/>
      <c r="AF171" s="138"/>
      <c r="AG171" s="295" t="str">
        <f t="shared" si="27"/>
        <v/>
      </c>
      <c r="AH171" s="296" t="str">
        <f t="shared" si="28"/>
        <v/>
      </c>
      <c r="AI171" s="300" t="str">
        <f>IF(AH171="Check Data ⚠","Check Data ⚠",IFERROR(VLOOKUP(AH171,'G-4 Temporal multipliers'!$A$4:$C$36,3,FALSE),""))</f>
        <v/>
      </c>
      <c r="AJ171" s="311" t="str">
        <f>IF(S171="","",VLOOKUP(S171,'G-3 Multipliers'!$A$2:$E$134,4,FALSE))</f>
        <v/>
      </c>
      <c r="AK171" s="295" t="str">
        <f t="shared" si="29"/>
        <v/>
      </c>
      <c r="AL171" s="295" t="str">
        <f t="shared" si="30"/>
        <v/>
      </c>
      <c r="AM171" s="299" t="str">
        <f>IFERROR(IF(F171="","",IF(AH171="Check Data ⚠","Check Data ⚠",VLOOKUP(AL171,'G-3 Multipliers'!$P$2:$Q$6,2,FALSE))),"")</f>
        <v/>
      </c>
      <c r="AN171" s="712" t="str">
        <f>IF(E171="","",IF(ISNA(VLOOKUP($E171,'D-1 Off-Site Habitat Baseline'!$D$1:$Z$258,15,FALSE)),"",(VLOOKUP($E171,'D-1 Off-Site Habitat Baseline'!$D$1:$Z$258,15,FALSE))))</f>
        <v/>
      </c>
      <c r="AO171" s="329" t="str">
        <f>IF(AN171="","",IF(VLOOKUP(AN171,'G-3 Multipliers'!$S$3:$T$10,2,FALSE)=0,"Spatial Data Missing ⚠",VLOOKUP(AN171,'G-3 Multipliers'!$S$3:$T$10,2,FALSE)))</f>
        <v/>
      </c>
      <c r="AP171" s="289" t="str">
        <f t="shared" si="31"/>
        <v/>
      </c>
      <c r="AQ171" s="289" t="str">
        <f t="shared" si="32"/>
        <v/>
      </c>
      <c r="AR171" s="105"/>
      <c r="AS171" s="138"/>
      <c r="AT171" s="104"/>
      <c r="AU171" s="104"/>
      <c r="AY171" s="30" t="str">
        <f>IF(E171="","",IF(ISNA(VLOOKUP($E171,'D-1 Off-Site Habitat Baseline'!$D$1:$AV$258,4,FALSE)),"",(VLOOKUP($E171,'D-1 Off-Site Habitat Baseline'!$D$1:$AV$258,4,FALSE))))</f>
        <v/>
      </c>
    </row>
    <row r="172" spans="1:51" ht="14">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319" t="str">
        <f>'D-1 Off-Site Habitat Baseline'!AP171</f>
        <v/>
      </c>
      <c r="F172" s="283" t="str">
        <f>IF(E172="","",IF(ISNA(VLOOKUP($E172,'D-1 Off-Site Habitat Baseline'!$D$1:$ZZ$258,45,FALSE)),"",(VLOOKUP($E172,'D-1 Off-Site Habitat Baseline'!$D$1:$ZZ$258,45,FALSE))))</f>
        <v/>
      </c>
      <c r="G172" s="295" t="str">
        <f>IF(E172="","",IF(ISNA(VLOOKUP($E172,'D-1 Off-Site Habitat Baseline'!$D$1:$O$258,5,FALSE)),"",(VLOOKUP($E172,'D-1 Off-Site Habitat Baseline'!$D$1:$O$258,5,FALSE))))</f>
        <v/>
      </c>
      <c r="H172" s="295" t="str">
        <f>IF(E172="","",IF(ISNA(VLOOKUP($E172,'D-1 Off-Site Habitat Baseline'!$D$1:$O$258,6,FALSE)),"",(VLOOKUP($E172,'D-1 Off-Site Habitat Baseline'!$D$1:$O$258,6,FALSE))))</f>
        <v/>
      </c>
      <c r="I172" s="295" t="str">
        <f>IF(E172="","",IF(ISNA(VLOOKUP($E172,'D-1 Off-Site Habitat Baseline'!$D$1:$O$258,7,FALSE)),"",(VLOOKUP($E172,'D-1 Off-Site Habitat Baseline'!$D$1:$O$258,7,FALSE))))</f>
        <v/>
      </c>
      <c r="J172" s="295" t="str">
        <f>IF(E172="","",IF(ISNA(VLOOKUP($E172,'D-1 Off-Site Habitat Baseline'!$D$1:$O$258,8,FALSE)),"",(VLOOKUP($E172,'D-1 Off-Site Habitat Baseline'!$D$1:$O$258,8,FALSE))))</f>
        <v/>
      </c>
      <c r="K172" s="295" t="str">
        <f>IF(E172="","",IF(ISNA(VLOOKUP($E172,'D-1 Off-Site Habitat Baseline'!$D$1:$O$258,9,FALSE)),"",(VLOOKUP($E172,'D-1 Off-Site Habitat Baseline'!$D$1:$O$258,9,FALSE))))</f>
        <v/>
      </c>
      <c r="L172" s="295" t="str">
        <f>IF(E172="","",IF(ISNA(VLOOKUP($E172,'D-1 Off-Site Habitat Baseline'!$D$1:$O$258,11,FALSE)),"",(VLOOKUP($E172,'D-1 Off-Site Habitat Baseline'!$D$1:$O$258,11,FALSE))))</f>
        <v/>
      </c>
      <c r="M172" s="295" t="str">
        <f>IF(E172="","",IF(ISNA(VLOOKUP($E172,'D-1 Off-Site Habitat Baseline'!$D$1:$O$258,12,FALSE)),"",(VLOOKUP($E172,'D-1 Off-Site Habitat Baseline'!$D$1:$O$258,12,FALSE))))</f>
        <v/>
      </c>
      <c r="N172" s="295" t="str">
        <f>IF(E172="","",IF(ISNA(VLOOKUP($E172,'D-1 Off-Site Habitat Baseline'!$D$1:$AA$258,17,FALSE)),"",(VLOOKUP($E172,'D-1 Off-Site Habitat Baseline'!$D$1:$AA$258,17,FALSE))))</f>
        <v/>
      </c>
      <c r="O172" s="299" t="str">
        <f>IF(E172="","",IF(ISNA(VLOOKUP($E172,'D-1 Off-Site Habitat Baseline'!$D$1:$AA$258,13,FALSE)),"",(VLOOKUP($E172,'D-1 Off-Site Habitat Baseline'!$D$1:$AA$258,13,FALSE))))</f>
        <v/>
      </c>
      <c r="P172" s="148" t="str">
        <f>IFERROR(INDEX('G-1 All Habitats'!$AG$49:$AG$63,MATCH(Q172,'G-1 All Habitats'!$AF$27:$AF$41,0)),"")</f>
        <v/>
      </c>
      <c r="Q172" s="149" t="str">
        <f t="shared" si="24"/>
        <v/>
      </c>
      <c r="R172" s="150"/>
      <c r="S172" s="151" t="str">
        <f>IFERROR(INDEX('G-1 All Habitats'!$B$3:$B$135,MATCH(R172,'G-1 All Habitats'!$A$3:$A$135,0)),"")</f>
        <v/>
      </c>
      <c r="T172" s="283" t="str">
        <f t="shared" si="25"/>
        <v/>
      </c>
      <c r="U172" s="276" t="str">
        <f t="shared" si="26"/>
        <v/>
      </c>
      <c r="V172" s="298" t="str">
        <f t="shared" si="22"/>
        <v/>
      </c>
      <c r="W172" s="295" t="str">
        <f>IF(S172="","",VLOOKUP(S172,'G-1 All Habitats'!$B$2:$M$135,10,FALSE))</f>
        <v/>
      </c>
      <c r="X172" s="295" t="str">
        <f>IFERROR(VLOOKUP(W172,'G-1 All Habitats'!$V$3:$W$7,2,FALSE),"")</f>
        <v/>
      </c>
      <c r="Y172" s="138"/>
      <c r="Z172" s="299" t="str">
        <f>IFERROR(INDEX('G-8 Condition Look up'!$A$3:$H$135,MATCH(S172,'G-8 Condition Look up'!$A$3:$A$135,0),MATCH(Y172,'G-8 Condition Look up'!$A$3:$H$3,0)),"")</f>
        <v/>
      </c>
      <c r="AA172" s="101"/>
      <c r="AB172" s="314" t="str">
        <f>IF(AA172="","",IF(VLOOKUP(AA172,'G-3 Multipliers'!$L$3:$N$6,2,FALSE)=0,"Spatial Data Missing ⚠",VLOOKUP(AA172,'G-3 Multipliers'!$L$3:$N$6,2,FALSE)))</f>
        <v/>
      </c>
      <c r="AC172" s="299" t="str">
        <f>IF(AA172="","",IF(VLOOKUP(AA172,'G-3 Multipliers'!$L$3:$N$6,3,FALSE)=0,"Spatial Data Missing ⚠",VLOOKUP(AA172,'G-3 Multipliers'!$L$3:$N$6,3,FALSE)))</f>
        <v/>
      </c>
      <c r="AD172" s="311" t="str">
        <f t="shared" si="23"/>
        <v/>
      </c>
      <c r="AE172" s="138"/>
      <c r="AF172" s="138"/>
      <c r="AG172" s="295" t="str">
        <f t="shared" si="27"/>
        <v/>
      </c>
      <c r="AH172" s="296" t="str">
        <f t="shared" si="28"/>
        <v/>
      </c>
      <c r="AI172" s="300" t="str">
        <f>IF(AH172="Check Data ⚠","Check Data ⚠",IFERROR(VLOOKUP(AH172,'G-4 Temporal multipliers'!$A$4:$C$36,3,FALSE),""))</f>
        <v/>
      </c>
      <c r="AJ172" s="311" t="str">
        <f>IF(S172="","",VLOOKUP(S172,'G-3 Multipliers'!$A$2:$E$134,4,FALSE))</f>
        <v/>
      </c>
      <c r="AK172" s="295" t="str">
        <f t="shared" si="29"/>
        <v/>
      </c>
      <c r="AL172" s="295" t="str">
        <f t="shared" si="30"/>
        <v/>
      </c>
      <c r="AM172" s="299" t="str">
        <f>IFERROR(IF(F172="","",IF(AH172="Check Data ⚠","Check Data ⚠",VLOOKUP(AL172,'G-3 Multipliers'!$P$2:$Q$6,2,FALSE))),"")</f>
        <v/>
      </c>
      <c r="AN172" s="712" t="str">
        <f>IF(E172="","",IF(ISNA(VLOOKUP($E172,'D-1 Off-Site Habitat Baseline'!$D$1:$Z$258,15,FALSE)),"",(VLOOKUP($E172,'D-1 Off-Site Habitat Baseline'!$D$1:$Z$258,15,FALSE))))</f>
        <v/>
      </c>
      <c r="AO172" s="329" t="str">
        <f>IF(AN172="","",IF(VLOOKUP(AN172,'G-3 Multipliers'!$S$3:$T$10,2,FALSE)=0,"Spatial Data Missing ⚠",VLOOKUP(AN172,'G-3 Multipliers'!$S$3:$T$10,2,FALSE)))</f>
        <v/>
      </c>
      <c r="AP172" s="289" t="str">
        <f t="shared" si="31"/>
        <v/>
      </c>
      <c r="AQ172" s="289" t="str">
        <f t="shared" si="32"/>
        <v/>
      </c>
      <c r="AR172" s="105"/>
      <c r="AS172" s="138"/>
      <c r="AT172" s="104"/>
      <c r="AU172" s="104"/>
      <c r="AY172" s="30" t="str">
        <f>IF(E172="","",IF(ISNA(VLOOKUP($E172,'D-1 Off-Site Habitat Baseline'!$D$1:$AV$258,4,FALSE)),"",(VLOOKUP($E172,'D-1 Off-Site Habitat Baseline'!$D$1:$AV$258,4,FALSE))))</f>
        <v/>
      </c>
    </row>
    <row r="173" spans="1:51" ht="14">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319" t="str">
        <f>'D-1 Off-Site Habitat Baseline'!AP172</f>
        <v/>
      </c>
      <c r="F173" s="283" t="str">
        <f>IF(E173="","",IF(ISNA(VLOOKUP($E173,'D-1 Off-Site Habitat Baseline'!$D$1:$ZZ$258,45,FALSE)),"",(VLOOKUP($E173,'D-1 Off-Site Habitat Baseline'!$D$1:$ZZ$258,45,FALSE))))</f>
        <v/>
      </c>
      <c r="G173" s="295" t="str">
        <f>IF(E173="","",IF(ISNA(VLOOKUP($E173,'D-1 Off-Site Habitat Baseline'!$D$1:$O$258,5,FALSE)),"",(VLOOKUP($E173,'D-1 Off-Site Habitat Baseline'!$D$1:$O$258,5,FALSE))))</f>
        <v/>
      </c>
      <c r="H173" s="295" t="str">
        <f>IF(E173="","",IF(ISNA(VLOOKUP($E173,'D-1 Off-Site Habitat Baseline'!$D$1:$O$258,6,FALSE)),"",(VLOOKUP($E173,'D-1 Off-Site Habitat Baseline'!$D$1:$O$258,6,FALSE))))</f>
        <v/>
      </c>
      <c r="I173" s="295" t="str">
        <f>IF(E173="","",IF(ISNA(VLOOKUP($E173,'D-1 Off-Site Habitat Baseline'!$D$1:$O$258,7,FALSE)),"",(VLOOKUP($E173,'D-1 Off-Site Habitat Baseline'!$D$1:$O$258,7,FALSE))))</f>
        <v/>
      </c>
      <c r="J173" s="295" t="str">
        <f>IF(E173="","",IF(ISNA(VLOOKUP($E173,'D-1 Off-Site Habitat Baseline'!$D$1:$O$258,8,FALSE)),"",(VLOOKUP($E173,'D-1 Off-Site Habitat Baseline'!$D$1:$O$258,8,FALSE))))</f>
        <v/>
      </c>
      <c r="K173" s="295" t="str">
        <f>IF(E173="","",IF(ISNA(VLOOKUP($E173,'D-1 Off-Site Habitat Baseline'!$D$1:$O$258,9,FALSE)),"",(VLOOKUP($E173,'D-1 Off-Site Habitat Baseline'!$D$1:$O$258,9,FALSE))))</f>
        <v/>
      </c>
      <c r="L173" s="295" t="str">
        <f>IF(E173="","",IF(ISNA(VLOOKUP($E173,'D-1 Off-Site Habitat Baseline'!$D$1:$O$258,11,FALSE)),"",(VLOOKUP($E173,'D-1 Off-Site Habitat Baseline'!$D$1:$O$258,11,FALSE))))</f>
        <v/>
      </c>
      <c r="M173" s="295" t="str">
        <f>IF(E173="","",IF(ISNA(VLOOKUP($E173,'D-1 Off-Site Habitat Baseline'!$D$1:$O$258,12,FALSE)),"",(VLOOKUP($E173,'D-1 Off-Site Habitat Baseline'!$D$1:$O$258,12,FALSE))))</f>
        <v/>
      </c>
      <c r="N173" s="295" t="str">
        <f>IF(E173="","",IF(ISNA(VLOOKUP($E173,'D-1 Off-Site Habitat Baseline'!$D$1:$AA$258,17,FALSE)),"",(VLOOKUP($E173,'D-1 Off-Site Habitat Baseline'!$D$1:$AA$258,17,FALSE))))</f>
        <v/>
      </c>
      <c r="O173" s="299" t="str">
        <f>IF(E173="","",IF(ISNA(VLOOKUP($E173,'D-1 Off-Site Habitat Baseline'!$D$1:$AA$258,13,FALSE)),"",(VLOOKUP($E173,'D-1 Off-Site Habitat Baseline'!$D$1:$AA$258,13,FALSE))))</f>
        <v/>
      </c>
      <c r="P173" s="148" t="str">
        <f>IFERROR(INDEX('G-1 All Habitats'!$AG$49:$AG$63,MATCH(Q173,'G-1 All Habitats'!$AF$27:$AF$41,0)),"")</f>
        <v/>
      </c>
      <c r="Q173" s="149" t="str">
        <f t="shared" si="24"/>
        <v/>
      </c>
      <c r="R173" s="150"/>
      <c r="S173" s="151" t="str">
        <f>IFERROR(INDEX('G-1 All Habitats'!$B$3:$B$135,MATCH(R173,'G-1 All Habitats'!$A$3:$A$135,0)),"")</f>
        <v/>
      </c>
      <c r="T173" s="283" t="str">
        <f t="shared" si="25"/>
        <v/>
      </c>
      <c r="U173" s="276" t="str">
        <f t="shared" si="26"/>
        <v/>
      </c>
      <c r="V173" s="298" t="str">
        <f t="shared" si="22"/>
        <v/>
      </c>
      <c r="W173" s="295" t="str">
        <f>IF(S173="","",VLOOKUP(S173,'G-1 All Habitats'!$B$2:$M$135,10,FALSE))</f>
        <v/>
      </c>
      <c r="X173" s="295" t="str">
        <f>IFERROR(VLOOKUP(W173,'G-1 All Habitats'!$V$3:$W$7,2,FALSE),"")</f>
        <v/>
      </c>
      <c r="Y173" s="138"/>
      <c r="Z173" s="299" t="str">
        <f>IFERROR(INDEX('G-8 Condition Look up'!$A$3:$H$135,MATCH(S173,'G-8 Condition Look up'!$A$3:$A$135,0),MATCH(Y173,'G-8 Condition Look up'!$A$3:$H$3,0)),"")</f>
        <v/>
      </c>
      <c r="AA173" s="101"/>
      <c r="AB173" s="314" t="str">
        <f>IF(AA173="","",IF(VLOOKUP(AA173,'G-3 Multipliers'!$L$3:$N$6,2,FALSE)=0,"Spatial Data Missing ⚠",VLOOKUP(AA173,'G-3 Multipliers'!$L$3:$N$6,2,FALSE)))</f>
        <v/>
      </c>
      <c r="AC173" s="299" t="str">
        <f>IF(AA173="","",IF(VLOOKUP(AA173,'G-3 Multipliers'!$L$3:$N$6,3,FALSE)=0,"Spatial Data Missing ⚠",VLOOKUP(AA173,'G-3 Multipliers'!$L$3:$N$6,3,FALSE)))</f>
        <v/>
      </c>
      <c r="AD173" s="311" t="str">
        <f t="shared" si="23"/>
        <v/>
      </c>
      <c r="AE173" s="138"/>
      <c r="AF173" s="138"/>
      <c r="AG173" s="295" t="str">
        <f t="shared" si="27"/>
        <v/>
      </c>
      <c r="AH173" s="296" t="str">
        <f t="shared" si="28"/>
        <v/>
      </c>
      <c r="AI173" s="300" t="str">
        <f>IF(AH173="Check Data ⚠","Check Data ⚠",IFERROR(VLOOKUP(AH173,'G-4 Temporal multipliers'!$A$4:$C$36,3,FALSE),""))</f>
        <v/>
      </c>
      <c r="AJ173" s="311" t="str">
        <f>IF(S173="","",VLOOKUP(S173,'G-3 Multipliers'!$A$2:$E$134,4,FALSE))</f>
        <v/>
      </c>
      <c r="AK173" s="295" t="str">
        <f t="shared" si="29"/>
        <v/>
      </c>
      <c r="AL173" s="295" t="str">
        <f t="shared" si="30"/>
        <v/>
      </c>
      <c r="AM173" s="299" t="str">
        <f>IFERROR(IF(F173="","",IF(AH173="Check Data ⚠","Check Data ⚠",VLOOKUP(AL173,'G-3 Multipliers'!$P$2:$Q$6,2,FALSE))),"")</f>
        <v/>
      </c>
      <c r="AN173" s="712" t="str">
        <f>IF(E173="","",IF(ISNA(VLOOKUP($E173,'D-1 Off-Site Habitat Baseline'!$D$1:$Z$258,15,FALSE)),"",(VLOOKUP($E173,'D-1 Off-Site Habitat Baseline'!$D$1:$Z$258,15,FALSE))))</f>
        <v/>
      </c>
      <c r="AO173" s="329" t="str">
        <f>IF(AN173="","",IF(VLOOKUP(AN173,'G-3 Multipliers'!$S$3:$T$10,2,FALSE)=0,"Spatial Data Missing ⚠",VLOOKUP(AN173,'G-3 Multipliers'!$S$3:$T$10,2,FALSE)))</f>
        <v/>
      </c>
      <c r="AP173" s="289" t="str">
        <f t="shared" si="31"/>
        <v/>
      </c>
      <c r="AQ173" s="289" t="str">
        <f t="shared" si="32"/>
        <v/>
      </c>
      <c r="AR173" s="105"/>
      <c r="AS173" s="138"/>
      <c r="AT173" s="104"/>
      <c r="AU173" s="104"/>
      <c r="AY173" s="30" t="str">
        <f>IF(E173="","",IF(ISNA(VLOOKUP($E173,'D-1 Off-Site Habitat Baseline'!$D$1:$AV$258,4,FALSE)),"",(VLOOKUP($E173,'D-1 Off-Site Habitat Baseline'!$D$1:$AV$258,4,FALSE))))</f>
        <v/>
      </c>
    </row>
    <row r="174" spans="1:51" ht="14">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319" t="str">
        <f>'D-1 Off-Site Habitat Baseline'!AP173</f>
        <v/>
      </c>
      <c r="F174" s="283" t="str">
        <f>IF(E174="","",IF(ISNA(VLOOKUP($E174,'D-1 Off-Site Habitat Baseline'!$D$1:$ZZ$258,45,FALSE)),"",(VLOOKUP($E174,'D-1 Off-Site Habitat Baseline'!$D$1:$ZZ$258,45,FALSE))))</f>
        <v/>
      </c>
      <c r="G174" s="295" t="str">
        <f>IF(E174="","",IF(ISNA(VLOOKUP($E174,'D-1 Off-Site Habitat Baseline'!$D$1:$O$258,5,FALSE)),"",(VLOOKUP($E174,'D-1 Off-Site Habitat Baseline'!$D$1:$O$258,5,FALSE))))</f>
        <v/>
      </c>
      <c r="H174" s="295" t="str">
        <f>IF(E174="","",IF(ISNA(VLOOKUP($E174,'D-1 Off-Site Habitat Baseline'!$D$1:$O$258,6,FALSE)),"",(VLOOKUP($E174,'D-1 Off-Site Habitat Baseline'!$D$1:$O$258,6,FALSE))))</f>
        <v/>
      </c>
      <c r="I174" s="295" t="str">
        <f>IF(E174="","",IF(ISNA(VLOOKUP($E174,'D-1 Off-Site Habitat Baseline'!$D$1:$O$258,7,FALSE)),"",(VLOOKUP($E174,'D-1 Off-Site Habitat Baseline'!$D$1:$O$258,7,FALSE))))</f>
        <v/>
      </c>
      <c r="J174" s="295" t="str">
        <f>IF(E174="","",IF(ISNA(VLOOKUP($E174,'D-1 Off-Site Habitat Baseline'!$D$1:$O$258,8,FALSE)),"",(VLOOKUP($E174,'D-1 Off-Site Habitat Baseline'!$D$1:$O$258,8,FALSE))))</f>
        <v/>
      </c>
      <c r="K174" s="295" t="str">
        <f>IF(E174="","",IF(ISNA(VLOOKUP($E174,'D-1 Off-Site Habitat Baseline'!$D$1:$O$258,9,FALSE)),"",(VLOOKUP($E174,'D-1 Off-Site Habitat Baseline'!$D$1:$O$258,9,FALSE))))</f>
        <v/>
      </c>
      <c r="L174" s="295" t="str">
        <f>IF(E174="","",IF(ISNA(VLOOKUP($E174,'D-1 Off-Site Habitat Baseline'!$D$1:$O$258,11,FALSE)),"",(VLOOKUP($E174,'D-1 Off-Site Habitat Baseline'!$D$1:$O$258,11,FALSE))))</f>
        <v/>
      </c>
      <c r="M174" s="295" t="str">
        <f>IF(E174="","",IF(ISNA(VLOOKUP($E174,'D-1 Off-Site Habitat Baseline'!$D$1:$O$258,12,FALSE)),"",(VLOOKUP($E174,'D-1 Off-Site Habitat Baseline'!$D$1:$O$258,12,FALSE))))</f>
        <v/>
      </c>
      <c r="N174" s="295" t="str">
        <f>IF(E174="","",IF(ISNA(VLOOKUP($E174,'D-1 Off-Site Habitat Baseline'!$D$1:$AA$258,17,FALSE)),"",(VLOOKUP($E174,'D-1 Off-Site Habitat Baseline'!$D$1:$AA$258,17,FALSE))))</f>
        <v/>
      </c>
      <c r="O174" s="299" t="str">
        <f>IF(E174="","",IF(ISNA(VLOOKUP($E174,'D-1 Off-Site Habitat Baseline'!$D$1:$AA$258,13,FALSE)),"",(VLOOKUP($E174,'D-1 Off-Site Habitat Baseline'!$D$1:$AA$258,13,FALSE))))</f>
        <v/>
      </c>
      <c r="P174" s="148" t="str">
        <f>IFERROR(INDEX('G-1 All Habitats'!$AG$49:$AG$63,MATCH(Q174,'G-1 All Habitats'!$AF$27:$AF$41,0)),"")</f>
        <v/>
      </c>
      <c r="Q174" s="149" t="str">
        <f t="shared" si="24"/>
        <v/>
      </c>
      <c r="R174" s="150"/>
      <c r="S174" s="151" t="str">
        <f>IFERROR(INDEX('G-1 All Habitats'!$B$3:$B$135,MATCH(R174,'G-1 All Habitats'!$A$3:$A$135,0)),"")</f>
        <v/>
      </c>
      <c r="T174" s="283" t="str">
        <f t="shared" si="25"/>
        <v/>
      </c>
      <c r="U174" s="276" t="str">
        <f t="shared" si="26"/>
        <v/>
      </c>
      <c r="V174" s="298" t="str">
        <f t="shared" si="22"/>
        <v/>
      </c>
      <c r="W174" s="295" t="str">
        <f>IF(S174="","",VLOOKUP(S174,'G-1 All Habitats'!$B$2:$M$135,10,FALSE))</f>
        <v/>
      </c>
      <c r="X174" s="295" t="str">
        <f>IFERROR(VLOOKUP(W174,'G-1 All Habitats'!$V$3:$W$7,2,FALSE),"")</f>
        <v/>
      </c>
      <c r="Y174" s="138"/>
      <c r="Z174" s="299" t="str">
        <f>IFERROR(INDEX('G-8 Condition Look up'!$A$3:$H$135,MATCH(S174,'G-8 Condition Look up'!$A$3:$A$135,0),MATCH(Y174,'G-8 Condition Look up'!$A$3:$H$3,0)),"")</f>
        <v/>
      </c>
      <c r="AA174" s="101"/>
      <c r="AB174" s="314" t="str">
        <f>IF(AA174="","",IF(VLOOKUP(AA174,'G-3 Multipliers'!$L$3:$N$6,2,FALSE)=0,"Spatial Data Missing ⚠",VLOOKUP(AA174,'G-3 Multipliers'!$L$3:$N$6,2,FALSE)))</f>
        <v/>
      </c>
      <c r="AC174" s="299" t="str">
        <f>IF(AA174="","",IF(VLOOKUP(AA174,'G-3 Multipliers'!$L$3:$N$6,3,FALSE)=0,"Spatial Data Missing ⚠",VLOOKUP(AA174,'G-3 Multipliers'!$L$3:$N$6,3,FALSE)))</f>
        <v/>
      </c>
      <c r="AD174" s="311" t="str">
        <f t="shared" si="23"/>
        <v/>
      </c>
      <c r="AE174" s="138"/>
      <c r="AF174" s="138"/>
      <c r="AG174" s="295" t="str">
        <f t="shared" si="27"/>
        <v/>
      </c>
      <c r="AH174" s="296" t="str">
        <f t="shared" si="28"/>
        <v/>
      </c>
      <c r="AI174" s="300" t="str">
        <f>IF(AH174="Check Data ⚠","Check Data ⚠",IFERROR(VLOOKUP(AH174,'G-4 Temporal multipliers'!$A$4:$C$36,3,FALSE),""))</f>
        <v/>
      </c>
      <c r="AJ174" s="311" t="str">
        <f>IF(S174="","",VLOOKUP(S174,'G-3 Multipliers'!$A$2:$E$134,4,FALSE))</f>
        <v/>
      </c>
      <c r="AK174" s="295" t="str">
        <f t="shared" si="29"/>
        <v/>
      </c>
      <c r="AL174" s="295" t="str">
        <f t="shared" si="30"/>
        <v/>
      </c>
      <c r="AM174" s="299" t="str">
        <f>IFERROR(IF(F174="","",IF(AH174="Check Data ⚠","Check Data ⚠",VLOOKUP(AL174,'G-3 Multipliers'!$P$2:$Q$6,2,FALSE))),"")</f>
        <v/>
      </c>
      <c r="AN174" s="712" t="str">
        <f>IF(E174="","",IF(ISNA(VLOOKUP($E174,'D-1 Off-Site Habitat Baseline'!$D$1:$Z$258,15,FALSE)),"",(VLOOKUP($E174,'D-1 Off-Site Habitat Baseline'!$D$1:$Z$258,15,FALSE))))</f>
        <v/>
      </c>
      <c r="AO174" s="329" t="str">
        <f>IF(AN174="","",IF(VLOOKUP(AN174,'G-3 Multipliers'!$S$3:$T$10,2,FALSE)=0,"Spatial Data Missing ⚠",VLOOKUP(AN174,'G-3 Multipliers'!$S$3:$T$10,2,FALSE)))</f>
        <v/>
      </c>
      <c r="AP174" s="289" t="str">
        <f t="shared" si="31"/>
        <v/>
      </c>
      <c r="AQ174" s="289" t="str">
        <f t="shared" si="32"/>
        <v/>
      </c>
      <c r="AR174" s="105"/>
      <c r="AS174" s="138"/>
      <c r="AT174" s="104"/>
      <c r="AU174" s="104"/>
      <c r="AY174" s="30" t="str">
        <f>IF(E174="","",IF(ISNA(VLOOKUP($E174,'D-1 Off-Site Habitat Baseline'!$D$1:$AV$258,4,FALSE)),"",(VLOOKUP($E174,'D-1 Off-Site Habitat Baseline'!$D$1:$AV$258,4,FALSE))))</f>
        <v/>
      </c>
    </row>
    <row r="175" spans="1:51" ht="14">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319" t="str">
        <f>'D-1 Off-Site Habitat Baseline'!AP174</f>
        <v/>
      </c>
      <c r="F175" s="283" t="str">
        <f>IF(E175="","",IF(ISNA(VLOOKUP($E175,'D-1 Off-Site Habitat Baseline'!$D$1:$ZZ$258,45,FALSE)),"",(VLOOKUP($E175,'D-1 Off-Site Habitat Baseline'!$D$1:$ZZ$258,45,FALSE))))</f>
        <v/>
      </c>
      <c r="G175" s="295" t="str">
        <f>IF(E175="","",IF(ISNA(VLOOKUP($E175,'D-1 Off-Site Habitat Baseline'!$D$1:$O$258,5,FALSE)),"",(VLOOKUP($E175,'D-1 Off-Site Habitat Baseline'!$D$1:$O$258,5,FALSE))))</f>
        <v/>
      </c>
      <c r="H175" s="295" t="str">
        <f>IF(E175="","",IF(ISNA(VLOOKUP($E175,'D-1 Off-Site Habitat Baseline'!$D$1:$O$258,6,FALSE)),"",(VLOOKUP($E175,'D-1 Off-Site Habitat Baseline'!$D$1:$O$258,6,FALSE))))</f>
        <v/>
      </c>
      <c r="I175" s="295" t="str">
        <f>IF(E175="","",IF(ISNA(VLOOKUP($E175,'D-1 Off-Site Habitat Baseline'!$D$1:$O$258,7,FALSE)),"",(VLOOKUP($E175,'D-1 Off-Site Habitat Baseline'!$D$1:$O$258,7,FALSE))))</f>
        <v/>
      </c>
      <c r="J175" s="295" t="str">
        <f>IF(E175="","",IF(ISNA(VLOOKUP($E175,'D-1 Off-Site Habitat Baseline'!$D$1:$O$258,8,FALSE)),"",(VLOOKUP($E175,'D-1 Off-Site Habitat Baseline'!$D$1:$O$258,8,FALSE))))</f>
        <v/>
      </c>
      <c r="K175" s="295" t="str">
        <f>IF(E175="","",IF(ISNA(VLOOKUP($E175,'D-1 Off-Site Habitat Baseline'!$D$1:$O$258,9,FALSE)),"",(VLOOKUP($E175,'D-1 Off-Site Habitat Baseline'!$D$1:$O$258,9,FALSE))))</f>
        <v/>
      </c>
      <c r="L175" s="295" t="str">
        <f>IF(E175="","",IF(ISNA(VLOOKUP($E175,'D-1 Off-Site Habitat Baseline'!$D$1:$O$258,11,FALSE)),"",(VLOOKUP($E175,'D-1 Off-Site Habitat Baseline'!$D$1:$O$258,11,FALSE))))</f>
        <v/>
      </c>
      <c r="M175" s="295" t="str">
        <f>IF(E175="","",IF(ISNA(VLOOKUP($E175,'D-1 Off-Site Habitat Baseline'!$D$1:$O$258,12,FALSE)),"",(VLOOKUP($E175,'D-1 Off-Site Habitat Baseline'!$D$1:$O$258,12,FALSE))))</f>
        <v/>
      </c>
      <c r="N175" s="295" t="str">
        <f>IF(E175="","",IF(ISNA(VLOOKUP($E175,'D-1 Off-Site Habitat Baseline'!$D$1:$AA$258,17,FALSE)),"",(VLOOKUP($E175,'D-1 Off-Site Habitat Baseline'!$D$1:$AA$258,17,FALSE))))</f>
        <v/>
      </c>
      <c r="O175" s="299" t="str">
        <f>IF(E175="","",IF(ISNA(VLOOKUP($E175,'D-1 Off-Site Habitat Baseline'!$D$1:$AA$258,13,FALSE)),"",(VLOOKUP($E175,'D-1 Off-Site Habitat Baseline'!$D$1:$AA$258,13,FALSE))))</f>
        <v/>
      </c>
      <c r="P175" s="148" t="str">
        <f>IFERROR(INDEX('G-1 All Habitats'!$AG$49:$AG$63,MATCH(Q175,'G-1 All Habitats'!$AF$27:$AF$41,0)),"")</f>
        <v/>
      </c>
      <c r="Q175" s="149" t="str">
        <f t="shared" si="24"/>
        <v/>
      </c>
      <c r="R175" s="150"/>
      <c r="S175" s="151" t="str">
        <f>IFERROR(INDEX('G-1 All Habitats'!$B$3:$B$135,MATCH(R175,'G-1 All Habitats'!$A$3:$A$135,0)),"")</f>
        <v/>
      </c>
      <c r="T175" s="283" t="str">
        <f t="shared" si="25"/>
        <v/>
      </c>
      <c r="U175" s="276" t="str">
        <f t="shared" si="26"/>
        <v/>
      </c>
      <c r="V175" s="298" t="str">
        <f t="shared" si="22"/>
        <v/>
      </c>
      <c r="W175" s="295" t="str">
        <f>IF(S175="","",VLOOKUP(S175,'G-1 All Habitats'!$B$2:$M$135,10,FALSE))</f>
        <v/>
      </c>
      <c r="X175" s="295" t="str">
        <f>IFERROR(VLOOKUP(W175,'G-1 All Habitats'!$V$3:$W$7,2,FALSE),"")</f>
        <v/>
      </c>
      <c r="Y175" s="138"/>
      <c r="Z175" s="299" t="str">
        <f>IFERROR(INDEX('G-8 Condition Look up'!$A$3:$H$135,MATCH(S175,'G-8 Condition Look up'!$A$3:$A$135,0),MATCH(Y175,'G-8 Condition Look up'!$A$3:$H$3,0)),"")</f>
        <v/>
      </c>
      <c r="AA175" s="101"/>
      <c r="AB175" s="314" t="str">
        <f>IF(AA175="","",IF(VLOOKUP(AA175,'G-3 Multipliers'!$L$3:$N$6,2,FALSE)=0,"Spatial Data Missing ⚠",VLOOKUP(AA175,'G-3 Multipliers'!$L$3:$N$6,2,FALSE)))</f>
        <v/>
      </c>
      <c r="AC175" s="299" t="str">
        <f>IF(AA175="","",IF(VLOOKUP(AA175,'G-3 Multipliers'!$L$3:$N$6,3,FALSE)=0,"Spatial Data Missing ⚠",VLOOKUP(AA175,'G-3 Multipliers'!$L$3:$N$6,3,FALSE)))</f>
        <v/>
      </c>
      <c r="AD175" s="311" t="str">
        <f t="shared" si="23"/>
        <v/>
      </c>
      <c r="AE175" s="138"/>
      <c r="AF175" s="138"/>
      <c r="AG175" s="295" t="str">
        <f t="shared" si="27"/>
        <v/>
      </c>
      <c r="AH175" s="296" t="str">
        <f t="shared" si="28"/>
        <v/>
      </c>
      <c r="AI175" s="300" t="str">
        <f>IF(AH175="Check Data ⚠","Check Data ⚠",IFERROR(VLOOKUP(AH175,'G-4 Temporal multipliers'!$A$4:$C$36,3,FALSE),""))</f>
        <v/>
      </c>
      <c r="AJ175" s="311" t="str">
        <f>IF(S175="","",VLOOKUP(S175,'G-3 Multipliers'!$A$2:$E$134,4,FALSE))</f>
        <v/>
      </c>
      <c r="AK175" s="295" t="str">
        <f t="shared" si="29"/>
        <v/>
      </c>
      <c r="AL175" s="295" t="str">
        <f t="shared" si="30"/>
        <v/>
      </c>
      <c r="AM175" s="299" t="str">
        <f>IFERROR(IF(F175="","",IF(AH175="Check Data ⚠","Check Data ⚠",VLOOKUP(AL175,'G-3 Multipliers'!$P$2:$Q$6,2,FALSE))),"")</f>
        <v/>
      </c>
      <c r="AN175" s="712" t="str">
        <f>IF(E175="","",IF(ISNA(VLOOKUP($E175,'D-1 Off-Site Habitat Baseline'!$D$1:$Z$258,15,FALSE)),"",(VLOOKUP($E175,'D-1 Off-Site Habitat Baseline'!$D$1:$Z$258,15,FALSE))))</f>
        <v/>
      </c>
      <c r="AO175" s="329" t="str">
        <f>IF(AN175="","",IF(VLOOKUP(AN175,'G-3 Multipliers'!$S$3:$T$10,2,FALSE)=0,"Spatial Data Missing ⚠",VLOOKUP(AN175,'G-3 Multipliers'!$S$3:$T$10,2,FALSE)))</f>
        <v/>
      </c>
      <c r="AP175" s="289" t="str">
        <f t="shared" si="31"/>
        <v/>
      </c>
      <c r="AQ175" s="289" t="str">
        <f t="shared" si="32"/>
        <v/>
      </c>
      <c r="AR175" s="105"/>
      <c r="AS175" s="138"/>
      <c r="AT175" s="104"/>
      <c r="AU175" s="104"/>
      <c r="AY175" s="30" t="str">
        <f>IF(E175="","",IF(ISNA(VLOOKUP($E175,'D-1 Off-Site Habitat Baseline'!$D$1:$AV$258,4,FALSE)),"",(VLOOKUP($E175,'D-1 Off-Site Habitat Baseline'!$D$1:$AV$258,4,FALSE))))</f>
        <v/>
      </c>
    </row>
    <row r="176" spans="1:51" ht="14">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319" t="str">
        <f>'D-1 Off-Site Habitat Baseline'!AP175</f>
        <v/>
      </c>
      <c r="F176" s="283" t="str">
        <f>IF(E176="","",IF(ISNA(VLOOKUP($E176,'D-1 Off-Site Habitat Baseline'!$D$1:$ZZ$258,45,FALSE)),"",(VLOOKUP($E176,'D-1 Off-Site Habitat Baseline'!$D$1:$ZZ$258,45,FALSE))))</f>
        <v/>
      </c>
      <c r="G176" s="295" t="str">
        <f>IF(E176="","",IF(ISNA(VLOOKUP($E176,'D-1 Off-Site Habitat Baseline'!$D$1:$O$258,5,FALSE)),"",(VLOOKUP($E176,'D-1 Off-Site Habitat Baseline'!$D$1:$O$258,5,FALSE))))</f>
        <v/>
      </c>
      <c r="H176" s="295" t="str">
        <f>IF(E176="","",IF(ISNA(VLOOKUP($E176,'D-1 Off-Site Habitat Baseline'!$D$1:$O$258,6,FALSE)),"",(VLOOKUP($E176,'D-1 Off-Site Habitat Baseline'!$D$1:$O$258,6,FALSE))))</f>
        <v/>
      </c>
      <c r="I176" s="295" t="str">
        <f>IF(E176="","",IF(ISNA(VLOOKUP($E176,'D-1 Off-Site Habitat Baseline'!$D$1:$O$258,7,FALSE)),"",(VLOOKUP($E176,'D-1 Off-Site Habitat Baseline'!$D$1:$O$258,7,FALSE))))</f>
        <v/>
      </c>
      <c r="J176" s="295" t="str">
        <f>IF(E176="","",IF(ISNA(VLOOKUP($E176,'D-1 Off-Site Habitat Baseline'!$D$1:$O$258,8,FALSE)),"",(VLOOKUP($E176,'D-1 Off-Site Habitat Baseline'!$D$1:$O$258,8,FALSE))))</f>
        <v/>
      </c>
      <c r="K176" s="295" t="str">
        <f>IF(E176="","",IF(ISNA(VLOOKUP($E176,'D-1 Off-Site Habitat Baseline'!$D$1:$O$258,9,FALSE)),"",(VLOOKUP($E176,'D-1 Off-Site Habitat Baseline'!$D$1:$O$258,9,FALSE))))</f>
        <v/>
      </c>
      <c r="L176" s="295" t="str">
        <f>IF(E176="","",IF(ISNA(VLOOKUP($E176,'D-1 Off-Site Habitat Baseline'!$D$1:$O$258,11,FALSE)),"",(VLOOKUP($E176,'D-1 Off-Site Habitat Baseline'!$D$1:$O$258,11,FALSE))))</f>
        <v/>
      </c>
      <c r="M176" s="295" t="str">
        <f>IF(E176="","",IF(ISNA(VLOOKUP($E176,'D-1 Off-Site Habitat Baseline'!$D$1:$O$258,12,FALSE)),"",(VLOOKUP($E176,'D-1 Off-Site Habitat Baseline'!$D$1:$O$258,12,FALSE))))</f>
        <v/>
      </c>
      <c r="N176" s="295" t="str">
        <f>IF(E176="","",IF(ISNA(VLOOKUP($E176,'D-1 Off-Site Habitat Baseline'!$D$1:$AA$258,17,FALSE)),"",(VLOOKUP($E176,'D-1 Off-Site Habitat Baseline'!$D$1:$AA$258,17,FALSE))))</f>
        <v/>
      </c>
      <c r="O176" s="299" t="str">
        <f>IF(E176="","",IF(ISNA(VLOOKUP($E176,'D-1 Off-Site Habitat Baseline'!$D$1:$AA$258,13,FALSE)),"",(VLOOKUP($E176,'D-1 Off-Site Habitat Baseline'!$D$1:$AA$258,13,FALSE))))</f>
        <v/>
      </c>
      <c r="P176" s="148" t="str">
        <f>IFERROR(INDEX('G-1 All Habitats'!$AG$49:$AG$63,MATCH(Q176,'G-1 All Habitats'!$AF$27:$AF$41,0)),"")</f>
        <v/>
      </c>
      <c r="Q176" s="149" t="str">
        <f t="shared" si="24"/>
        <v/>
      </c>
      <c r="R176" s="150"/>
      <c r="S176" s="151" t="str">
        <f>IFERROR(INDEX('G-1 All Habitats'!$B$3:$B$135,MATCH(R176,'G-1 All Habitats'!$A$3:$A$135,0)),"")</f>
        <v/>
      </c>
      <c r="T176" s="283" t="str">
        <f t="shared" si="25"/>
        <v/>
      </c>
      <c r="U176" s="276" t="str">
        <f t="shared" si="26"/>
        <v/>
      </c>
      <c r="V176" s="298" t="str">
        <f t="shared" si="22"/>
        <v/>
      </c>
      <c r="W176" s="295" t="str">
        <f>IF(S176="","",VLOOKUP(S176,'G-1 All Habitats'!$B$2:$M$135,10,FALSE))</f>
        <v/>
      </c>
      <c r="X176" s="295" t="str">
        <f>IFERROR(VLOOKUP(W176,'G-1 All Habitats'!$V$3:$W$7,2,FALSE),"")</f>
        <v/>
      </c>
      <c r="Y176" s="138"/>
      <c r="Z176" s="299" t="str">
        <f>IFERROR(INDEX('G-8 Condition Look up'!$A$3:$H$135,MATCH(S176,'G-8 Condition Look up'!$A$3:$A$135,0),MATCH(Y176,'G-8 Condition Look up'!$A$3:$H$3,0)),"")</f>
        <v/>
      </c>
      <c r="AA176" s="101"/>
      <c r="AB176" s="314" t="str">
        <f>IF(AA176="","",IF(VLOOKUP(AA176,'G-3 Multipliers'!$L$3:$N$6,2,FALSE)=0,"Spatial Data Missing ⚠",VLOOKUP(AA176,'G-3 Multipliers'!$L$3:$N$6,2,FALSE)))</f>
        <v/>
      </c>
      <c r="AC176" s="299" t="str">
        <f>IF(AA176="","",IF(VLOOKUP(AA176,'G-3 Multipliers'!$L$3:$N$6,3,FALSE)=0,"Spatial Data Missing ⚠",VLOOKUP(AA176,'G-3 Multipliers'!$L$3:$N$6,3,FALSE)))</f>
        <v/>
      </c>
      <c r="AD176" s="311" t="str">
        <f t="shared" si="23"/>
        <v/>
      </c>
      <c r="AE176" s="138"/>
      <c r="AF176" s="138"/>
      <c r="AG176" s="295" t="str">
        <f t="shared" si="27"/>
        <v/>
      </c>
      <c r="AH176" s="296" t="str">
        <f t="shared" si="28"/>
        <v/>
      </c>
      <c r="AI176" s="300" t="str">
        <f>IF(AH176="Check Data ⚠","Check Data ⚠",IFERROR(VLOOKUP(AH176,'G-4 Temporal multipliers'!$A$4:$C$36,3,FALSE),""))</f>
        <v/>
      </c>
      <c r="AJ176" s="311" t="str">
        <f>IF(S176="","",VLOOKUP(S176,'G-3 Multipliers'!$A$2:$E$134,4,FALSE))</f>
        <v/>
      </c>
      <c r="AK176" s="295" t="str">
        <f t="shared" si="29"/>
        <v/>
      </c>
      <c r="AL176" s="295" t="str">
        <f t="shared" si="30"/>
        <v/>
      </c>
      <c r="AM176" s="299" t="str">
        <f>IFERROR(IF(F176="","",IF(AH176="Check Data ⚠","Check Data ⚠",VLOOKUP(AL176,'G-3 Multipliers'!$P$2:$Q$6,2,FALSE))),"")</f>
        <v/>
      </c>
      <c r="AN176" s="712" t="str">
        <f>IF(E176="","",IF(ISNA(VLOOKUP($E176,'D-1 Off-Site Habitat Baseline'!$D$1:$Z$258,15,FALSE)),"",(VLOOKUP($E176,'D-1 Off-Site Habitat Baseline'!$D$1:$Z$258,15,FALSE))))</f>
        <v/>
      </c>
      <c r="AO176" s="329" t="str">
        <f>IF(AN176="","",IF(VLOOKUP(AN176,'G-3 Multipliers'!$S$3:$T$10,2,FALSE)=0,"Spatial Data Missing ⚠",VLOOKUP(AN176,'G-3 Multipliers'!$S$3:$T$10,2,FALSE)))</f>
        <v/>
      </c>
      <c r="AP176" s="289" t="str">
        <f t="shared" si="31"/>
        <v/>
      </c>
      <c r="AQ176" s="289" t="str">
        <f t="shared" si="32"/>
        <v/>
      </c>
      <c r="AR176" s="105"/>
      <c r="AS176" s="138"/>
      <c r="AT176" s="104"/>
      <c r="AU176" s="104"/>
      <c r="AY176" s="30" t="str">
        <f>IF(E176="","",IF(ISNA(VLOOKUP($E176,'D-1 Off-Site Habitat Baseline'!$D$1:$AV$258,4,FALSE)),"",(VLOOKUP($E176,'D-1 Off-Site Habitat Baseline'!$D$1:$AV$258,4,FALSE))))</f>
        <v/>
      </c>
    </row>
    <row r="177" spans="1:51" ht="14">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319" t="str">
        <f>'D-1 Off-Site Habitat Baseline'!AP176</f>
        <v/>
      </c>
      <c r="F177" s="283" t="str">
        <f>IF(E177="","",IF(ISNA(VLOOKUP($E177,'D-1 Off-Site Habitat Baseline'!$D$1:$ZZ$258,45,FALSE)),"",(VLOOKUP($E177,'D-1 Off-Site Habitat Baseline'!$D$1:$ZZ$258,45,FALSE))))</f>
        <v/>
      </c>
      <c r="G177" s="295" t="str">
        <f>IF(E177="","",IF(ISNA(VLOOKUP($E177,'D-1 Off-Site Habitat Baseline'!$D$1:$O$258,5,FALSE)),"",(VLOOKUP($E177,'D-1 Off-Site Habitat Baseline'!$D$1:$O$258,5,FALSE))))</f>
        <v/>
      </c>
      <c r="H177" s="295" t="str">
        <f>IF(E177="","",IF(ISNA(VLOOKUP($E177,'D-1 Off-Site Habitat Baseline'!$D$1:$O$258,6,FALSE)),"",(VLOOKUP($E177,'D-1 Off-Site Habitat Baseline'!$D$1:$O$258,6,FALSE))))</f>
        <v/>
      </c>
      <c r="I177" s="295" t="str">
        <f>IF(E177="","",IF(ISNA(VLOOKUP($E177,'D-1 Off-Site Habitat Baseline'!$D$1:$O$258,7,FALSE)),"",(VLOOKUP($E177,'D-1 Off-Site Habitat Baseline'!$D$1:$O$258,7,FALSE))))</f>
        <v/>
      </c>
      <c r="J177" s="295" t="str">
        <f>IF(E177="","",IF(ISNA(VLOOKUP($E177,'D-1 Off-Site Habitat Baseline'!$D$1:$O$258,8,FALSE)),"",(VLOOKUP($E177,'D-1 Off-Site Habitat Baseline'!$D$1:$O$258,8,FALSE))))</f>
        <v/>
      </c>
      <c r="K177" s="295" t="str">
        <f>IF(E177="","",IF(ISNA(VLOOKUP($E177,'D-1 Off-Site Habitat Baseline'!$D$1:$O$258,9,FALSE)),"",(VLOOKUP($E177,'D-1 Off-Site Habitat Baseline'!$D$1:$O$258,9,FALSE))))</f>
        <v/>
      </c>
      <c r="L177" s="295" t="str">
        <f>IF(E177="","",IF(ISNA(VLOOKUP($E177,'D-1 Off-Site Habitat Baseline'!$D$1:$O$258,11,FALSE)),"",(VLOOKUP($E177,'D-1 Off-Site Habitat Baseline'!$D$1:$O$258,11,FALSE))))</f>
        <v/>
      </c>
      <c r="M177" s="295" t="str">
        <f>IF(E177="","",IF(ISNA(VLOOKUP($E177,'D-1 Off-Site Habitat Baseline'!$D$1:$O$258,12,FALSE)),"",(VLOOKUP($E177,'D-1 Off-Site Habitat Baseline'!$D$1:$O$258,12,FALSE))))</f>
        <v/>
      </c>
      <c r="N177" s="295" t="str">
        <f>IF(E177="","",IF(ISNA(VLOOKUP($E177,'D-1 Off-Site Habitat Baseline'!$D$1:$AA$258,17,FALSE)),"",(VLOOKUP($E177,'D-1 Off-Site Habitat Baseline'!$D$1:$AA$258,17,FALSE))))</f>
        <v/>
      </c>
      <c r="O177" s="299" t="str">
        <f>IF(E177="","",IF(ISNA(VLOOKUP($E177,'D-1 Off-Site Habitat Baseline'!$D$1:$AA$258,13,FALSE)),"",(VLOOKUP($E177,'D-1 Off-Site Habitat Baseline'!$D$1:$AA$258,13,FALSE))))</f>
        <v/>
      </c>
      <c r="P177" s="148" t="str">
        <f>IFERROR(INDEX('G-1 All Habitats'!$AG$49:$AG$63,MATCH(Q177,'G-1 All Habitats'!$AF$27:$AF$41,0)),"")</f>
        <v/>
      </c>
      <c r="Q177" s="149" t="str">
        <f t="shared" si="24"/>
        <v/>
      </c>
      <c r="R177" s="150"/>
      <c r="S177" s="151" t="str">
        <f>IFERROR(INDEX('G-1 All Habitats'!$B$3:$B$135,MATCH(R177,'G-1 All Habitats'!$A$3:$A$135,0)),"")</f>
        <v/>
      </c>
      <c r="T177" s="283" t="str">
        <f t="shared" si="25"/>
        <v/>
      </c>
      <c r="U177" s="276" t="str">
        <f t="shared" si="26"/>
        <v/>
      </c>
      <c r="V177" s="298" t="str">
        <f t="shared" si="22"/>
        <v/>
      </c>
      <c r="W177" s="295" t="str">
        <f>IF(S177="","",VLOOKUP(S177,'G-1 All Habitats'!$B$2:$M$135,10,FALSE))</f>
        <v/>
      </c>
      <c r="X177" s="295" t="str">
        <f>IFERROR(VLOOKUP(W177,'G-1 All Habitats'!$V$3:$W$7,2,FALSE),"")</f>
        <v/>
      </c>
      <c r="Y177" s="138"/>
      <c r="Z177" s="299" t="str">
        <f>IFERROR(INDEX('G-8 Condition Look up'!$A$3:$H$135,MATCH(S177,'G-8 Condition Look up'!$A$3:$A$135,0),MATCH(Y177,'G-8 Condition Look up'!$A$3:$H$3,0)),"")</f>
        <v/>
      </c>
      <c r="AA177" s="101"/>
      <c r="AB177" s="314" t="str">
        <f>IF(AA177="","",IF(VLOOKUP(AA177,'G-3 Multipliers'!$L$3:$N$6,2,FALSE)=0,"Spatial Data Missing ⚠",VLOOKUP(AA177,'G-3 Multipliers'!$L$3:$N$6,2,FALSE)))</f>
        <v/>
      </c>
      <c r="AC177" s="299" t="str">
        <f>IF(AA177="","",IF(VLOOKUP(AA177,'G-3 Multipliers'!$L$3:$N$6,3,FALSE)=0,"Spatial Data Missing ⚠",VLOOKUP(AA177,'G-3 Multipliers'!$L$3:$N$6,3,FALSE)))</f>
        <v/>
      </c>
      <c r="AD177" s="311" t="str">
        <f t="shared" si="23"/>
        <v/>
      </c>
      <c r="AE177" s="138"/>
      <c r="AF177" s="138"/>
      <c r="AG177" s="295" t="str">
        <f t="shared" si="27"/>
        <v/>
      </c>
      <c r="AH177" s="296" t="str">
        <f t="shared" si="28"/>
        <v/>
      </c>
      <c r="AI177" s="300" t="str">
        <f>IF(AH177="Check Data ⚠","Check Data ⚠",IFERROR(VLOOKUP(AH177,'G-4 Temporal multipliers'!$A$4:$C$36,3,FALSE),""))</f>
        <v/>
      </c>
      <c r="AJ177" s="311" t="str">
        <f>IF(S177="","",VLOOKUP(S177,'G-3 Multipliers'!$A$2:$E$134,4,FALSE))</f>
        <v/>
      </c>
      <c r="AK177" s="295" t="str">
        <f t="shared" si="29"/>
        <v/>
      </c>
      <c r="AL177" s="295" t="str">
        <f t="shared" si="30"/>
        <v/>
      </c>
      <c r="AM177" s="299" t="str">
        <f>IFERROR(IF(F177="","",IF(AH177="Check Data ⚠","Check Data ⚠",VLOOKUP(AL177,'G-3 Multipliers'!$P$2:$Q$6,2,FALSE))),"")</f>
        <v/>
      </c>
      <c r="AN177" s="712" t="str">
        <f>IF(E177="","",IF(ISNA(VLOOKUP($E177,'D-1 Off-Site Habitat Baseline'!$D$1:$Z$258,15,FALSE)),"",(VLOOKUP($E177,'D-1 Off-Site Habitat Baseline'!$D$1:$Z$258,15,FALSE))))</f>
        <v/>
      </c>
      <c r="AO177" s="329" t="str">
        <f>IF(AN177="","",IF(VLOOKUP(AN177,'G-3 Multipliers'!$S$3:$T$10,2,FALSE)=0,"Spatial Data Missing ⚠",VLOOKUP(AN177,'G-3 Multipliers'!$S$3:$T$10,2,FALSE)))</f>
        <v/>
      </c>
      <c r="AP177" s="289" t="str">
        <f t="shared" si="31"/>
        <v/>
      </c>
      <c r="AQ177" s="289" t="str">
        <f t="shared" si="32"/>
        <v/>
      </c>
      <c r="AR177" s="105"/>
      <c r="AS177" s="138"/>
      <c r="AT177" s="104"/>
      <c r="AU177" s="104"/>
      <c r="AY177" s="30" t="str">
        <f>IF(E177="","",IF(ISNA(VLOOKUP($E177,'D-1 Off-Site Habitat Baseline'!$D$1:$AV$258,4,FALSE)),"",(VLOOKUP($E177,'D-1 Off-Site Habitat Baseline'!$D$1:$AV$258,4,FALSE))))</f>
        <v/>
      </c>
    </row>
    <row r="178" spans="1:51" ht="14">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319" t="str">
        <f>'D-1 Off-Site Habitat Baseline'!AP177</f>
        <v/>
      </c>
      <c r="F178" s="283" t="str">
        <f>IF(E178="","",IF(ISNA(VLOOKUP($E178,'D-1 Off-Site Habitat Baseline'!$D$1:$ZZ$258,45,FALSE)),"",(VLOOKUP($E178,'D-1 Off-Site Habitat Baseline'!$D$1:$ZZ$258,45,FALSE))))</f>
        <v/>
      </c>
      <c r="G178" s="295" t="str">
        <f>IF(E178="","",IF(ISNA(VLOOKUP($E178,'D-1 Off-Site Habitat Baseline'!$D$1:$O$258,5,FALSE)),"",(VLOOKUP($E178,'D-1 Off-Site Habitat Baseline'!$D$1:$O$258,5,FALSE))))</f>
        <v/>
      </c>
      <c r="H178" s="295" t="str">
        <f>IF(E178="","",IF(ISNA(VLOOKUP($E178,'D-1 Off-Site Habitat Baseline'!$D$1:$O$258,6,FALSE)),"",(VLOOKUP($E178,'D-1 Off-Site Habitat Baseline'!$D$1:$O$258,6,FALSE))))</f>
        <v/>
      </c>
      <c r="I178" s="295" t="str">
        <f>IF(E178="","",IF(ISNA(VLOOKUP($E178,'D-1 Off-Site Habitat Baseline'!$D$1:$O$258,7,FALSE)),"",(VLOOKUP($E178,'D-1 Off-Site Habitat Baseline'!$D$1:$O$258,7,FALSE))))</f>
        <v/>
      </c>
      <c r="J178" s="295" t="str">
        <f>IF(E178="","",IF(ISNA(VLOOKUP($E178,'D-1 Off-Site Habitat Baseline'!$D$1:$O$258,8,FALSE)),"",(VLOOKUP($E178,'D-1 Off-Site Habitat Baseline'!$D$1:$O$258,8,FALSE))))</f>
        <v/>
      </c>
      <c r="K178" s="295" t="str">
        <f>IF(E178="","",IF(ISNA(VLOOKUP($E178,'D-1 Off-Site Habitat Baseline'!$D$1:$O$258,9,FALSE)),"",(VLOOKUP($E178,'D-1 Off-Site Habitat Baseline'!$D$1:$O$258,9,FALSE))))</f>
        <v/>
      </c>
      <c r="L178" s="295" t="str">
        <f>IF(E178="","",IF(ISNA(VLOOKUP($E178,'D-1 Off-Site Habitat Baseline'!$D$1:$O$258,11,FALSE)),"",(VLOOKUP($E178,'D-1 Off-Site Habitat Baseline'!$D$1:$O$258,11,FALSE))))</f>
        <v/>
      </c>
      <c r="M178" s="295" t="str">
        <f>IF(E178="","",IF(ISNA(VLOOKUP($E178,'D-1 Off-Site Habitat Baseline'!$D$1:$O$258,12,FALSE)),"",(VLOOKUP($E178,'D-1 Off-Site Habitat Baseline'!$D$1:$O$258,12,FALSE))))</f>
        <v/>
      </c>
      <c r="N178" s="295" t="str">
        <f>IF(E178="","",IF(ISNA(VLOOKUP($E178,'D-1 Off-Site Habitat Baseline'!$D$1:$AA$258,17,FALSE)),"",(VLOOKUP($E178,'D-1 Off-Site Habitat Baseline'!$D$1:$AA$258,17,FALSE))))</f>
        <v/>
      </c>
      <c r="O178" s="299" t="str">
        <f>IF(E178="","",IF(ISNA(VLOOKUP($E178,'D-1 Off-Site Habitat Baseline'!$D$1:$AA$258,13,FALSE)),"",(VLOOKUP($E178,'D-1 Off-Site Habitat Baseline'!$D$1:$AA$258,13,FALSE))))</f>
        <v/>
      </c>
      <c r="P178" s="148" t="str">
        <f>IFERROR(INDEX('G-1 All Habitats'!$AG$49:$AG$63,MATCH(Q178,'G-1 All Habitats'!$AF$27:$AF$41,0)),"")</f>
        <v/>
      </c>
      <c r="Q178" s="149" t="str">
        <f t="shared" si="24"/>
        <v/>
      </c>
      <c r="R178" s="150"/>
      <c r="S178" s="151" t="str">
        <f>IFERROR(INDEX('G-1 All Habitats'!$B$3:$B$135,MATCH(R178,'G-1 All Habitats'!$A$3:$A$135,0)),"")</f>
        <v/>
      </c>
      <c r="T178" s="283" t="str">
        <f t="shared" si="25"/>
        <v/>
      </c>
      <c r="U178" s="276" t="str">
        <f t="shared" si="26"/>
        <v/>
      </c>
      <c r="V178" s="298" t="str">
        <f t="shared" si="22"/>
        <v/>
      </c>
      <c r="W178" s="295" t="str">
        <f>IF(S178="","",VLOOKUP(S178,'G-1 All Habitats'!$B$2:$M$135,10,FALSE))</f>
        <v/>
      </c>
      <c r="X178" s="295" t="str">
        <f>IFERROR(VLOOKUP(W178,'G-1 All Habitats'!$V$3:$W$7,2,FALSE),"")</f>
        <v/>
      </c>
      <c r="Y178" s="138"/>
      <c r="Z178" s="299" t="str">
        <f>IFERROR(INDEX('G-8 Condition Look up'!$A$3:$H$135,MATCH(S178,'G-8 Condition Look up'!$A$3:$A$135,0),MATCH(Y178,'G-8 Condition Look up'!$A$3:$H$3,0)),"")</f>
        <v/>
      </c>
      <c r="AA178" s="101"/>
      <c r="AB178" s="314" t="str">
        <f>IF(AA178="","",IF(VLOOKUP(AA178,'G-3 Multipliers'!$L$3:$N$6,2,FALSE)=0,"Spatial Data Missing ⚠",VLOOKUP(AA178,'G-3 Multipliers'!$L$3:$N$6,2,FALSE)))</f>
        <v/>
      </c>
      <c r="AC178" s="299" t="str">
        <f>IF(AA178="","",IF(VLOOKUP(AA178,'G-3 Multipliers'!$L$3:$N$6,3,FALSE)=0,"Spatial Data Missing ⚠",VLOOKUP(AA178,'G-3 Multipliers'!$L$3:$N$6,3,FALSE)))</f>
        <v/>
      </c>
      <c r="AD178" s="311" t="str">
        <f t="shared" si="23"/>
        <v/>
      </c>
      <c r="AE178" s="138"/>
      <c r="AF178" s="138"/>
      <c r="AG178" s="295" t="str">
        <f t="shared" si="27"/>
        <v/>
      </c>
      <c r="AH178" s="296" t="str">
        <f t="shared" si="28"/>
        <v/>
      </c>
      <c r="AI178" s="300" t="str">
        <f>IF(AH178="Check Data ⚠","Check Data ⚠",IFERROR(VLOOKUP(AH178,'G-4 Temporal multipliers'!$A$4:$C$36,3,FALSE),""))</f>
        <v/>
      </c>
      <c r="AJ178" s="311" t="str">
        <f>IF(S178="","",VLOOKUP(S178,'G-3 Multipliers'!$A$2:$E$134,4,FALSE))</f>
        <v/>
      </c>
      <c r="AK178" s="295" t="str">
        <f t="shared" si="29"/>
        <v/>
      </c>
      <c r="AL178" s="295" t="str">
        <f t="shared" si="30"/>
        <v/>
      </c>
      <c r="AM178" s="299" t="str">
        <f>IFERROR(IF(F178="","",IF(AH178="Check Data ⚠","Check Data ⚠",VLOOKUP(AL178,'G-3 Multipliers'!$P$2:$Q$6,2,FALSE))),"")</f>
        <v/>
      </c>
      <c r="AN178" s="712" t="str">
        <f>IF(E178="","",IF(ISNA(VLOOKUP($E178,'D-1 Off-Site Habitat Baseline'!$D$1:$Z$258,15,FALSE)),"",(VLOOKUP($E178,'D-1 Off-Site Habitat Baseline'!$D$1:$Z$258,15,FALSE))))</f>
        <v/>
      </c>
      <c r="AO178" s="329" t="str">
        <f>IF(AN178="","",IF(VLOOKUP(AN178,'G-3 Multipliers'!$S$3:$T$10,2,FALSE)=0,"Spatial Data Missing ⚠",VLOOKUP(AN178,'G-3 Multipliers'!$S$3:$T$10,2,FALSE)))</f>
        <v/>
      </c>
      <c r="AP178" s="289" t="str">
        <f t="shared" si="31"/>
        <v/>
      </c>
      <c r="AQ178" s="289" t="str">
        <f t="shared" si="32"/>
        <v/>
      </c>
      <c r="AR178" s="105"/>
      <c r="AS178" s="138"/>
      <c r="AT178" s="104"/>
      <c r="AU178" s="104"/>
      <c r="AY178" s="30" t="str">
        <f>IF(E178="","",IF(ISNA(VLOOKUP($E178,'D-1 Off-Site Habitat Baseline'!$D$1:$AV$258,4,FALSE)),"",(VLOOKUP($E178,'D-1 Off-Site Habitat Baseline'!$D$1:$AV$258,4,FALSE))))</f>
        <v/>
      </c>
    </row>
    <row r="179" spans="1:51" ht="14">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319" t="str">
        <f>'D-1 Off-Site Habitat Baseline'!AP178</f>
        <v/>
      </c>
      <c r="F179" s="283" t="str">
        <f>IF(E179="","",IF(ISNA(VLOOKUP($E179,'D-1 Off-Site Habitat Baseline'!$D$1:$ZZ$258,45,FALSE)),"",(VLOOKUP($E179,'D-1 Off-Site Habitat Baseline'!$D$1:$ZZ$258,45,FALSE))))</f>
        <v/>
      </c>
      <c r="G179" s="295" t="str">
        <f>IF(E179="","",IF(ISNA(VLOOKUP($E179,'D-1 Off-Site Habitat Baseline'!$D$1:$O$258,5,FALSE)),"",(VLOOKUP($E179,'D-1 Off-Site Habitat Baseline'!$D$1:$O$258,5,FALSE))))</f>
        <v/>
      </c>
      <c r="H179" s="295" t="str">
        <f>IF(E179="","",IF(ISNA(VLOOKUP($E179,'D-1 Off-Site Habitat Baseline'!$D$1:$O$258,6,FALSE)),"",(VLOOKUP($E179,'D-1 Off-Site Habitat Baseline'!$D$1:$O$258,6,FALSE))))</f>
        <v/>
      </c>
      <c r="I179" s="295" t="str">
        <f>IF(E179="","",IF(ISNA(VLOOKUP($E179,'D-1 Off-Site Habitat Baseline'!$D$1:$O$258,7,FALSE)),"",(VLOOKUP($E179,'D-1 Off-Site Habitat Baseline'!$D$1:$O$258,7,FALSE))))</f>
        <v/>
      </c>
      <c r="J179" s="295" t="str">
        <f>IF(E179="","",IF(ISNA(VLOOKUP($E179,'D-1 Off-Site Habitat Baseline'!$D$1:$O$258,8,FALSE)),"",(VLOOKUP($E179,'D-1 Off-Site Habitat Baseline'!$D$1:$O$258,8,FALSE))))</f>
        <v/>
      </c>
      <c r="K179" s="295" t="str">
        <f>IF(E179="","",IF(ISNA(VLOOKUP($E179,'D-1 Off-Site Habitat Baseline'!$D$1:$O$258,9,FALSE)),"",(VLOOKUP($E179,'D-1 Off-Site Habitat Baseline'!$D$1:$O$258,9,FALSE))))</f>
        <v/>
      </c>
      <c r="L179" s="295" t="str">
        <f>IF(E179="","",IF(ISNA(VLOOKUP($E179,'D-1 Off-Site Habitat Baseline'!$D$1:$O$258,11,FALSE)),"",(VLOOKUP($E179,'D-1 Off-Site Habitat Baseline'!$D$1:$O$258,11,FALSE))))</f>
        <v/>
      </c>
      <c r="M179" s="295" t="str">
        <f>IF(E179="","",IF(ISNA(VLOOKUP($E179,'D-1 Off-Site Habitat Baseline'!$D$1:$O$258,12,FALSE)),"",(VLOOKUP($E179,'D-1 Off-Site Habitat Baseline'!$D$1:$O$258,12,FALSE))))</f>
        <v/>
      </c>
      <c r="N179" s="295" t="str">
        <f>IF(E179="","",IF(ISNA(VLOOKUP($E179,'D-1 Off-Site Habitat Baseline'!$D$1:$AA$258,17,FALSE)),"",(VLOOKUP($E179,'D-1 Off-Site Habitat Baseline'!$D$1:$AA$258,17,FALSE))))</f>
        <v/>
      </c>
      <c r="O179" s="299" t="str">
        <f>IF(E179="","",IF(ISNA(VLOOKUP($E179,'D-1 Off-Site Habitat Baseline'!$D$1:$AA$258,13,FALSE)),"",(VLOOKUP($E179,'D-1 Off-Site Habitat Baseline'!$D$1:$AA$258,13,FALSE))))</f>
        <v/>
      </c>
      <c r="P179" s="148" t="str">
        <f>IFERROR(INDEX('G-1 All Habitats'!$AG$49:$AG$63,MATCH(Q179,'G-1 All Habitats'!$AF$27:$AF$41,0)),"")</f>
        <v/>
      </c>
      <c r="Q179" s="149" t="str">
        <f t="shared" si="24"/>
        <v/>
      </c>
      <c r="R179" s="150"/>
      <c r="S179" s="151" t="str">
        <f>IFERROR(INDEX('G-1 All Habitats'!$B$3:$B$135,MATCH(R179,'G-1 All Habitats'!$A$3:$A$135,0)),"")</f>
        <v/>
      </c>
      <c r="T179" s="283" t="str">
        <f t="shared" si="25"/>
        <v/>
      </c>
      <c r="U179" s="276" t="str">
        <f t="shared" si="26"/>
        <v/>
      </c>
      <c r="V179" s="298" t="str">
        <f t="shared" si="22"/>
        <v/>
      </c>
      <c r="W179" s="295" t="str">
        <f>IF(S179="","",VLOOKUP(S179,'G-1 All Habitats'!$B$2:$M$135,10,FALSE))</f>
        <v/>
      </c>
      <c r="X179" s="295" t="str">
        <f>IFERROR(VLOOKUP(W179,'G-1 All Habitats'!$V$3:$W$7,2,FALSE),"")</f>
        <v/>
      </c>
      <c r="Y179" s="138"/>
      <c r="Z179" s="299" t="str">
        <f>IFERROR(INDEX('G-8 Condition Look up'!$A$3:$H$135,MATCH(S179,'G-8 Condition Look up'!$A$3:$A$135,0),MATCH(Y179,'G-8 Condition Look up'!$A$3:$H$3,0)),"")</f>
        <v/>
      </c>
      <c r="AA179" s="101"/>
      <c r="AB179" s="314" t="str">
        <f>IF(AA179="","",IF(VLOOKUP(AA179,'G-3 Multipliers'!$L$3:$N$6,2,FALSE)=0,"Spatial Data Missing ⚠",VLOOKUP(AA179,'G-3 Multipliers'!$L$3:$N$6,2,FALSE)))</f>
        <v/>
      </c>
      <c r="AC179" s="299" t="str">
        <f>IF(AA179="","",IF(VLOOKUP(AA179,'G-3 Multipliers'!$L$3:$N$6,3,FALSE)=0,"Spatial Data Missing ⚠",VLOOKUP(AA179,'G-3 Multipliers'!$L$3:$N$6,3,FALSE)))</f>
        <v/>
      </c>
      <c r="AD179" s="311" t="str">
        <f t="shared" si="23"/>
        <v/>
      </c>
      <c r="AE179" s="138"/>
      <c r="AF179" s="138"/>
      <c r="AG179" s="295" t="str">
        <f t="shared" si="27"/>
        <v/>
      </c>
      <c r="AH179" s="296" t="str">
        <f t="shared" si="28"/>
        <v/>
      </c>
      <c r="AI179" s="300" t="str">
        <f>IF(AH179="Check Data ⚠","Check Data ⚠",IFERROR(VLOOKUP(AH179,'G-4 Temporal multipliers'!$A$4:$C$36,3,FALSE),""))</f>
        <v/>
      </c>
      <c r="AJ179" s="311" t="str">
        <f>IF(S179="","",VLOOKUP(S179,'G-3 Multipliers'!$A$2:$E$134,4,FALSE))</f>
        <v/>
      </c>
      <c r="AK179" s="295" t="str">
        <f t="shared" si="29"/>
        <v/>
      </c>
      <c r="AL179" s="295" t="str">
        <f t="shared" si="30"/>
        <v/>
      </c>
      <c r="AM179" s="299" t="str">
        <f>IFERROR(IF(F179="","",IF(AH179="Check Data ⚠","Check Data ⚠",VLOOKUP(AL179,'G-3 Multipliers'!$P$2:$Q$6,2,FALSE))),"")</f>
        <v/>
      </c>
      <c r="AN179" s="712" t="str">
        <f>IF(E179="","",IF(ISNA(VLOOKUP($E179,'D-1 Off-Site Habitat Baseline'!$D$1:$Z$258,15,FALSE)),"",(VLOOKUP($E179,'D-1 Off-Site Habitat Baseline'!$D$1:$Z$258,15,FALSE))))</f>
        <v/>
      </c>
      <c r="AO179" s="329" t="str">
        <f>IF(AN179="","",IF(VLOOKUP(AN179,'G-3 Multipliers'!$S$3:$T$10,2,FALSE)=0,"Spatial Data Missing ⚠",VLOOKUP(AN179,'G-3 Multipliers'!$S$3:$T$10,2,FALSE)))</f>
        <v/>
      </c>
      <c r="AP179" s="289" t="str">
        <f t="shared" si="31"/>
        <v/>
      </c>
      <c r="AQ179" s="289" t="str">
        <f t="shared" si="32"/>
        <v/>
      </c>
      <c r="AR179" s="105"/>
      <c r="AS179" s="138"/>
      <c r="AT179" s="104"/>
      <c r="AU179" s="104"/>
      <c r="AY179" s="30" t="str">
        <f>IF(E179="","",IF(ISNA(VLOOKUP($E179,'D-1 Off-Site Habitat Baseline'!$D$1:$AV$258,4,FALSE)),"",(VLOOKUP($E179,'D-1 Off-Site Habitat Baseline'!$D$1:$AV$258,4,FALSE))))</f>
        <v/>
      </c>
    </row>
    <row r="180" spans="1:51" ht="14">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319" t="str">
        <f>'D-1 Off-Site Habitat Baseline'!AP179</f>
        <v/>
      </c>
      <c r="F180" s="283" t="str">
        <f>IF(E180="","",IF(ISNA(VLOOKUP($E180,'D-1 Off-Site Habitat Baseline'!$D$1:$ZZ$258,45,FALSE)),"",(VLOOKUP($E180,'D-1 Off-Site Habitat Baseline'!$D$1:$ZZ$258,45,FALSE))))</f>
        <v/>
      </c>
      <c r="G180" s="295" t="str">
        <f>IF(E180="","",IF(ISNA(VLOOKUP($E180,'D-1 Off-Site Habitat Baseline'!$D$1:$O$258,5,FALSE)),"",(VLOOKUP($E180,'D-1 Off-Site Habitat Baseline'!$D$1:$O$258,5,FALSE))))</f>
        <v/>
      </c>
      <c r="H180" s="295" t="str">
        <f>IF(E180="","",IF(ISNA(VLOOKUP($E180,'D-1 Off-Site Habitat Baseline'!$D$1:$O$258,6,FALSE)),"",(VLOOKUP($E180,'D-1 Off-Site Habitat Baseline'!$D$1:$O$258,6,FALSE))))</f>
        <v/>
      </c>
      <c r="I180" s="295" t="str">
        <f>IF(E180="","",IF(ISNA(VLOOKUP($E180,'D-1 Off-Site Habitat Baseline'!$D$1:$O$258,7,FALSE)),"",(VLOOKUP($E180,'D-1 Off-Site Habitat Baseline'!$D$1:$O$258,7,FALSE))))</f>
        <v/>
      </c>
      <c r="J180" s="295" t="str">
        <f>IF(E180="","",IF(ISNA(VLOOKUP($E180,'D-1 Off-Site Habitat Baseline'!$D$1:$O$258,8,FALSE)),"",(VLOOKUP($E180,'D-1 Off-Site Habitat Baseline'!$D$1:$O$258,8,FALSE))))</f>
        <v/>
      </c>
      <c r="K180" s="295" t="str">
        <f>IF(E180="","",IF(ISNA(VLOOKUP($E180,'D-1 Off-Site Habitat Baseline'!$D$1:$O$258,9,FALSE)),"",(VLOOKUP($E180,'D-1 Off-Site Habitat Baseline'!$D$1:$O$258,9,FALSE))))</f>
        <v/>
      </c>
      <c r="L180" s="295" t="str">
        <f>IF(E180="","",IF(ISNA(VLOOKUP($E180,'D-1 Off-Site Habitat Baseline'!$D$1:$O$258,11,FALSE)),"",(VLOOKUP($E180,'D-1 Off-Site Habitat Baseline'!$D$1:$O$258,11,FALSE))))</f>
        <v/>
      </c>
      <c r="M180" s="295" t="str">
        <f>IF(E180="","",IF(ISNA(VLOOKUP($E180,'D-1 Off-Site Habitat Baseline'!$D$1:$O$258,12,FALSE)),"",(VLOOKUP($E180,'D-1 Off-Site Habitat Baseline'!$D$1:$O$258,12,FALSE))))</f>
        <v/>
      </c>
      <c r="N180" s="295" t="str">
        <f>IF(E180="","",IF(ISNA(VLOOKUP($E180,'D-1 Off-Site Habitat Baseline'!$D$1:$AA$258,17,FALSE)),"",(VLOOKUP($E180,'D-1 Off-Site Habitat Baseline'!$D$1:$AA$258,17,FALSE))))</f>
        <v/>
      </c>
      <c r="O180" s="299" t="str">
        <f>IF(E180="","",IF(ISNA(VLOOKUP($E180,'D-1 Off-Site Habitat Baseline'!$D$1:$AA$258,13,FALSE)),"",(VLOOKUP($E180,'D-1 Off-Site Habitat Baseline'!$D$1:$AA$258,13,FALSE))))</f>
        <v/>
      </c>
      <c r="P180" s="148" t="str">
        <f>IFERROR(INDEX('G-1 All Habitats'!$AG$49:$AG$63,MATCH(Q180,'G-1 All Habitats'!$AF$27:$AF$41,0)),"")</f>
        <v/>
      </c>
      <c r="Q180" s="149" t="str">
        <f t="shared" si="24"/>
        <v/>
      </c>
      <c r="R180" s="150"/>
      <c r="S180" s="151" t="str">
        <f>IFERROR(INDEX('G-1 All Habitats'!$B$3:$B$135,MATCH(R180,'G-1 All Habitats'!$A$3:$A$135,0)),"")</f>
        <v/>
      </c>
      <c r="T180" s="283" t="str">
        <f t="shared" si="25"/>
        <v/>
      </c>
      <c r="U180" s="276" t="str">
        <f t="shared" si="26"/>
        <v/>
      </c>
      <c r="V180" s="298" t="str">
        <f t="shared" si="22"/>
        <v/>
      </c>
      <c r="W180" s="295" t="str">
        <f>IF(S180="","",VLOOKUP(S180,'G-1 All Habitats'!$B$2:$M$135,10,FALSE))</f>
        <v/>
      </c>
      <c r="X180" s="295" t="str">
        <f>IFERROR(VLOOKUP(W180,'G-1 All Habitats'!$V$3:$W$7,2,FALSE),"")</f>
        <v/>
      </c>
      <c r="Y180" s="138"/>
      <c r="Z180" s="299" t="str">
        <f>IFERROR(INDEX('G-8 Condition Look up'!$A$3:$H$135,MATCH(S180,'G-8 Condition Look up'!$A$3:$A$135,0),MATCH(Y180,'G-8 Condition Look up'!$A$3:$H$3,0)),"")</f>
        <v/>
      </c>
      <c r="AA180" s="101"/>
      <c r="AB180" s="314" t="str">
        <f>IF(AA180="","",IF(VLOOKUP(AA180,'G-3 Multipliers'!$L$3:$N$6,2,FALSE)=0,"Spatial Data Missing ⚠",VLOOKUP(AA180,'G-3 Multipliers'!$L$3:$N$6,2,FALSE)))</f>
        <v/>
      </c>
      <c r="AC180" s="299" t="str">
        <f>IF(AA180="","",IF(VLOOKUP(AA180,'G-3 Multipliers'!$L$3:$N$6,3,FALSE)=0,"Spatial Data Missing ⚠",VLOOKUP(AA180,'G-3 Multipliers'!$L$3:$N$6,3,FALSE)))</f>
        <v/>
      </c>
      <c r="AD180" s="311" t="str">
        <f t="shared" si="23"/>
        <v/>
      </c>
      <c r="AE180" s="138"/>
      <c r="AF180" s="138"/>
      <c r="AG180" s="295" t="str">
        <f t="shared" si="27"/>
        <v/>
      </c>
      <c r="AH180" s="296" t="str">
        <f t="shared" si="28"/>
        <v/>
      </c>
      <c r="AI180" s="300" t="str">
        <f>IF(AH180="Check Data ⚠","Check Data ⚠",IFERROR(VLOOKUP(AH180,'G-4 Temporal multipliers'!$A$4:$C$36,3,FALSE),""))</f>
        <v/>
      </c>
      <c r="AJ180" s="311" t="str">
        <f>IF(S180="","",VLOOKUP(S180,'G-3 Multipliers'!$A$2:$E$134,4,FALSE))</f>
        <v/>
      </c>
      <c r="AK180" s="295" t="str">
        <f t="shared" si="29"/>
        <v/>
      </c>
      <c r="AL180" s="295" t="str">
        <f t="shared" si="30"/>
        <v/>
      </c>
      <c r="AM180" s="299" t="str">
        <f>IFERROR(IF(F180="","",IF(AH180="Check Data ⚠","Check Data ⚠",VLOOKUP(AL180,'G-3 Multipliers'!$P$2:$Q$6,2,FALSE))),"")</f>
        <v/>
      </c>
      <c r="AN180" s="712" t="str">
        <f>IF(E180="","",IF(ISNA(VLOOKUP($E180,'D-1 Off-Site Habitat Baseline'!$D$1:$Z$258,15,FALSE)),"",(VLOOKUP($E180,'D-1 Off-Site Habitat Baseline'!$D$1:$Z$258,15,FALSE))))</f>
        <v/>
      </c>
      <c r="AO180" s="329" t="str">
        <f>IF(AN180="","",IF(VLOOKUP(AN180,'G-3 Multipliers'!$S$3:$T$10,2,FALSE)=0,"Spatial Data Missing ⚠",VLOOKUP(AN180,'G-3 Multipliers'!$S$3:$T$10,2,FALSE)))</f>
        <v/>
      </c>
      <c r="AP180" s="289" t="str">
        <f t="shared" si="31"/>
        <v/>
      </c>
      <c r="AQ180" s="289" t="str">
        <f t="shared" si="32"/>
        <v/>
      </c>
      <c r="AR180" s="105"/>
      <c r="AS180" s="138"/>
      <c r="AT180" s="104"/>
      <c r="AU180" s="104"/>
      <c r="AY180" s="30" t="str">
        <f>IF(E180="","",IF(ISNA(VLOOKUP($E180,'D-1 Off-Site Habitat Baseline'!$D$1:$AV$258,4,FALSE)),"",(VLOOKUP($E180,'D-1 Off-Site Habitat Baseline'!$D$1:$AV$258,4,FALSE))))</f>
        <v/>
      </c>
    </row>
    <row r="181" spans="1:51" ht="14">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319" t="str">
        <f>'D-1 Off-Site Habitat Baseline'!AP180</f>
        <v/>
      </c>
      <c r="F181" s="283" t="str">
        <f>IF(E181="","",IF(ISNA(VLOOKUP($E181,'D-1 Off-Site Habitat Baseline'!$D$1:$ZZ$258,45,FALSE)),"",(VLOOKUP($E181,'D-1 Off-Site Habitat Baseline'!$D$1:$ZZ$258,45,FALSE))))</f>
        <v/>
      </c>
      <c r="G181" s="295" t="str">
        <f>IF(E181="","",IF(ISNA(VLOOKUP($E181,'D-1 Off-Site Habitat Baseline'!$D$1:$O$258,5,FALSE)),"",(VLOOKUP($E181,'D-1 Off-Site Habitat Baseline'!$D$1:$O$258,5,FALSE))))</f>
        <v/>
      </c>
      <c r="H181" s="295" t="str">
        <f>IF(E181="","",IF(ISNA(VLOOKUP($E181,'D-1 Off-Site Habitat Baseline'!$D$1:$O$258,6,FALSE)),"",(VLOOKUP($E181,'D-1 Off-Site Habitat Baseline'!$D$1:$O$258,6,FALSE))))</f>
        <v/>
      </c>
      <c r="I181" s="295" t="str">
        <f>IF(E181="","",IF(ISNA(VLOOKUP($E181,'D-1 Off-Site Habitat Baseline'!$D$1:$O$258,7,FALSE)),"",(VLOOKUP($E181,'D-1 Off-Site Habitat Baseline'!$D$1:$O$258,7,FALSE))))</f>
        <v/>
      </c>
      <c r="J181" s="295" t="str">
        <f>IF(E181="","",IF(ISNA(VLOOKUP($E181,'D-1 Off-Site Habitat Baseline'!$D$1:$O$258,8,FALSE)),"",(VLOOKUP($E181,'D-1 Off-Site Habitat Baseline'!$D$1:$O$258,8,FALSE))))</f>
        <v/>
      </c>
      <c r="K181" s="295" t="str">
        <f>IF(E181="","",IF(ISNA(VLOOKUP($E181,'D-1 Off-Site Habitat Baseline'!$D$1:$O$258,9,FALSE)),"",(VLOOKUP($E181,'D-1 Off-Site Habitat Baseline'!$D$1:$O$258,9,FALSE))))</f>
        <v/>
      </c>
      <c r="L181" s="295" t="str">
        <f>IF(E181="","",IF(ISNA(VLOOKUP($E181,'D-1 Off-Site Habitat Baseline'!$D$1:$O$258,11,FALSE)),"",(VLOOKUP($E181,'D-1 Off-Site Habitat Baseline'!$D$1:$O$258,11,FALSE))))</f>
        <v/>
      </c>
      <c r="M181" s="295" t="str">
        <f>IF(E181="","",IF(ISNA(VLOOKUP($E181,'D-1 Off-Site Habitat Baseline'!$D$1:$O$258,12,FALSE)),"",(VLOOKUP($E181,'D-1 Off-Site Habitat Baseline'!$D$1:$O$258,12,FALSE))))</f>
        <v/>
      </c>
      <c r="N181" s="295" t="str">
        <f>IF(E181="","",IF(ISNA(VLOOKUP($E181,'D-1 Off-Site Habitat Baseline'!$D$1:$AA$258,17,FALSE)),"",(VLOOKUP($E181,'D-1 Off-Site Habitat Baseline'!$D$1:$AA$258,17,FALSE))))</f>
        <v/>
      </c>
      <c r="O181" s="299" t="str">
        <f>IF(E181="","",IF(ISNA(VLOOKUP($E181,'D-1 Off-Site Habitat Baseline'!$D$1:$AA$258,13,FALSE)),"",(VLOOKUP($E181,'D-1 Off-Site Habitat Baseline'!$D$1:$AA$258,13,FALSE))))</f>
        <v/>
      </c>
      <c r="P181" s="148" t="str">
        <f>IFERROR(INDEX('G-1 All Habitats'!$AG$49:$AG$63,MATCH(Q181,'G-1 All Habitats'!$AF$27:$AF$41,0)),"")</f>
        <v/>
      </c>
      <c r="Q181" s="149" t="str">
        <f t="shared" si="24"/>
        <v/>
      </c>
      <c r="R181" s="150"/>
      <c r="S181" s="151" t="str">
        <f>IFERROR(INDEX('G-1 All Habitats'!$B$3:$B$135,MATCH(R181,'G-1 All Habitats'!$A$3:$A$135,0)),"")</f>
        <v/>
      </c>
      <c r="T181" s="283" t="str">
        <f t="shared" si="25"/>
        <v/>
      </c>
      <c r="U181" s="276" t="str">
        <f t="shared" si="26"/>
        <v/>
      </c>
      <c r="V181" s="298" t="str">
        <f t="shared" si="22"/>
        <v/>
      </c>
      <c r="W181" s="295" t="str">
        <f>IF(S181="","",VLOOKUP(S181,'G-1 All Habitats'!$B$2:$M$135,10,FALSE))</f>
        <v/>
      </c>
      <c r="X181" s="295" t="str">
        <f>IFERROR(VLOOKUP(W181,'G-1 All Habitats'!$V$3:$W$7,2,FALSE),"")</f>
        <v/>
      </c>
      <c r="Y181" s="138"/>
      <c r="Z181" s="299" t="str">
        <f>IFERROR(INDEX('G-8 Condition Look up'!$A$3:$H$135,MATCH(S181,'G-8 Condition Look up'!$A$3:$A$135,0),MATCH(Y181,'G-8 Condition Look up'!$A$3:$H$3,0)),"")</f>
        <v/>
      </c>
      <c r="AA181" s="101"/>
      <c r="AB181" s="314" t="str">
        <f>IF(AA181="","",IF(VLOOKUP(AA181,'G-3 Multipliers'!$L$3:$N$6,2,FALSE)=0,"Spatial Data Missing ⚠",VLOOKUP(AA181,'G-3 Multipliers'!$L$3:$N$6,2,FALSE)))</f>
        <v/>
      </c>
      <c r="AC181" s="299" t="str">
        <f>IF(AA181="","",IF(VLOOKUP(AA181,'G-3 Multipliers'!$L$3:$N$6,3,FALSE)=0,"Spatial Data Missing ⚠",VLOOKUP(AA181,'G-3 Multipliers'!$L$3:$N$6,3,FALSE)))</f>
        <v/>
      </c>
      <c r="AD181" s="311" t="str">
        <f t="shared" si="23"/>
        <v/>
      </c>
      <c r="AE181" s="138"/>
      <c r="AF181" s="138"/>
      <c r="AG181" s="295" t="str">
        <f t="shared" si="27"/>
        <v/>
      </c>
      <c r="AH181" s="296" t="str">
        <f t="shared" si="28"/>
        <v/>
      </c>
      <c r="AI181" s="300" t="str">
        <f>IF(AH181="Check Data ⚠","Check Data ⚠",IFERROR(VLOOKUP(AH181,'G-4 Temporal multipliers'!$A$4:$C$36,3,FALSE),""))</f>
        <v/>
      </c>
      <c r="AJ181" s="311" t="str">
        <f>IF(S181="","",VLOOKUP(S181,'G-3 Multipliers'!$A$2:$E$134,4,FALSE))</f>
        <v/>
      </c>
      <c r="AK181" s="295" t="str">
        <f t="shared" si="29"/>
        <v/>
      </c>
      <c r="AL181" s="295" t="str">
        <f t="shared" si="30"/>
        <v/>
      </c>
      <c r="AM181" s="299" t="str">
        <f>IFERROR(IF(F181="","",IF(AH181="Check Data ⚠","Check Data ⚠",VLOOKUP(AL181,'G-3 Multipliers'!$P$2:$Q$6,2,FALSE))),"")</f>
        <v/>
      </c>
      <c r="AN181" s="712" t="str">
        <f>IF(E181="","",IF(ISNA(VLOOKUP($E181,'D-1 Off-Site Habitat Baseline'!$D$1:$Z$258,15,FALSE)),"",(VLOOKUP($E181,'D-1 Off-Site Habitat Baseline'!$D$1:$Z$258,15,FALSE))))</f>
        <v/>
      </c>
      <c r="AO181" s="329" t="str">
        <f>IF(AN181="","",IF(VLOOKUP(AN181,'G-3 Multipliers'!$S$3:$T$10,2,FALSE)=0,"Spatial Data Missing ⚠",VLOOKUP(AN181,'G-3 Multipliers'!$S$3:$T$10,2,FALSE)))</f>
        <v/>
      </c>
      <c r="AP181" s="289" t="str">
        <f t="shared" si="31"/>
        <v/>
      </c>
      <c r="AQ181" s="289" t="str">
        <f t="shared" si="32"/>
        <v/>
      </c>
      <c r="AR181" s="105"/>
      <c r="AS181" s="138"/>
      <c r="AT181" s="104"/>
      <c r="AU181" s="104"/>
      <c r="AY181" s="30" t="str">
        <f>IF(E181="","",IF(ISNA(VLOOKUP($E181,'D-1 Off-Site Habitat Baseline'!$D$1:$AV$258,4,FALSE)),"",(VLOOKUP($E181,'D-1 Off-Site Habitat Baseline'!$D$1:$AV$258,4,FALSE))))</f>
        <v/>
      </c>
    </row>
    <row r="182" spans="1:51" ht="14">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319" t="str">
        <f>'D-1 Off-Site Habitat Baseline'!AP181</f>
        <v/>
      </c>
      <c r="F182" s="283" t="str">
        <f>IF(E182="","",IF(ISNA(VLOOKUP($E182,'D-1 Off-Site Habitat Baseline'!$D$1:$ZZ$258,45,FALSE)),"",(VLOOKUP($E182,'D-1 Off-Site Habitat Baseline'!$D$1:$ZZ$258,45,FALSE))))</f>
        <v/>
      </c>
      <c r="G182" s="295" t="str">
        <f>IF(E182="","",IF(ISNA(VLOOKUP($E182,'D-1 Off-Site Habitat Baseline'!$D$1:$O$258,5,FALSE)),"",(VLOOKUP($E182,'D-1 Off-Site Habitat Baseline'!$D$1:$O$258,5,FALSE))))</f>
        <v/>
      </c>
      <c r="H182" s="295" t="str">
        <f>IF(E182="","",IF(ISNA(VLOOKUP($E182,'D-1 Off-Site Habitat Baseline'!$D$1:$O$258,6,FALSE)),"",(VLOOKUP($E182,'D-1 Off-Site Habitat Baseline'!$D$1:$O$258,6,FALSE))))</f>
        <v/>
      </c>
      <c r="I182" s="295" t="str">
        <f>IF(E182="","",IF(ISNA(VLOOKUP($E182,'D-1 Off-Site Habitat Baseline'!$D$1:$O$258,7,FALSE)),"",(VLOOKUP($E182,'D-1 Off-Site Habitat Baseline'!$D$1:$O$258,7,FALSE))))</f>
        <v/>
      </c>
      <c r="J182" s="295" t="str">
        <f>IF(E182="","",IF(ISNA(VLOOKUP($E182,'D-1 Off-Site Habitat Baseline'!$D$1:$O$258,8,FALSE)),"",(VLOOKUP($E182,'D-1 Off-Site Habitat Baseline'!$D$1:$O$258,8,FALSE))))</f>
        <v/>
      </c>
      <c r="K182" s="295" t="str">
        <f>IF(E182="","",IF(ISNA(VLOOKUP($E182,'D-1 Off-Site Habitat Baseline'!$D$1:$O$258,9,FALSE)),"",(VLOOKUP($E182,'D-1 Off-Site Habitat Baseline'!$D$1:$O$258,9,FALSE))))</f>
        <v/>
      </c>
      <c r="L182" s="295" t="str">
        <f>IF(E182="","",IF(ISNA(VLOOKUP($E182,'D-1 Off-Site Habitat Baseline'!$D$1:$O$258,11,FALSE)),"",(VLOOKUP($E182,'D-1 Off-Site Habitat Baseline'!$D$1:$O$258,11,FALSE))))</f>
        <v/>
      </c>
      <c r="M182" s="295" t="str">
        <f>IF(E182="","",IF(ISNA(VLOOKUP($E182,'D-1 Off-Site Habitat Baseline'!$D$1:$O$258,12,FALSE)),"",(VLOOKUP($E182,'D-1 Off-Site Habitat Baseline'!$D$1:$O$258,12,FALSE))))</f>
        <v/>
      </c>
      <c r="N182" s="295" t="str">
        <f>IF(E182="","",IF(ISNA(VLOOKUP($E182,'D-1 Off-Site Habitat Baseline'!$D$1:$AA$258,17,FALSE)),"",(VLOOKUP($E182,'D-1 Off-Site Habitat Baseline'!$D$1:$AA$258,17,FALSE))))</f>
        <v/>
      </c>
      <c r="O182" s="299" t="str">
        <f>IF(E182="","",IF(ISNA(VLOOKUP($E182,'D-1 Off-Site Habitat Baseline'!$D$1:$AA$258,13,FALSE)),"",(VLOOKUP($E182,'D-1 Off-Site Habitat Baseline'!$D$1:$AA$258,13,FALSE))))</f>
        <v/>
      </c>
      <c r="P182" s="148" t="str">
        <f>IFERROR(INDEX('G-1 All Habitats'!$AG$49:$AG$63,MATCH(Q182,'G-1 All Habitats'!$AF$27:$AF$41,0)),"")</f>
        <v/>
      </c>
      <c r="Q182" s="149" t="str">
        <f t="shared" si="24"/>
        <v/>
      </c>
      <c r="R182" s="150"/>
      <c r="S182" s="151" t="str">
        <f>IFERROR(INDEX('G-1 All Habitats'!$B$3:$B$135,MATCH(R182,'G-1 All Habitats'!$A$3:$A$135,0)),"")</f>
        <v/>
      </c>
      <c r="T182" s="283" t="str">
        <f t="shared" si="25"/>
        <v/>
      </c>
      <c r="U182" s="276" t="str">
        <f t="shared" si="26"/>
        <v/>
      </c>
      <c r="V182" s="298" t="str">
        <f t="shared" si="22"/>
        <v/>
      </c>
      <c r="W182" s="295" t="str">
        <f>IF(S182="","",VLOOKUP(S182,'G-1 All Habitats'!$B$2:$M$135,10,FALSE))</f>
        <v/>
      </c>
      <c r="X182" s="295" t="str">
        <f>IFERROR(VLOOKUP(W182,'G-1 All Habitats'!$V$3:$W$7,2,FALSE),"")</f>
        <v/>
      </c>
      <c r="Y182" s="138"/>
      <c r="Z182" s="299" t="str">
        <f>IFERROR(INDEX('G-8 Condition Look up'!$A$3:$H$135,MATCH(S182,'G-8 Condition Look up'!$A$3:$A$135,0),MATCH(Y182,'G-8 Condition Look up'!$A$3:$H$3,0)),"")</f>
        <v/>
      </c>
      <c r="AA182" s="101"/>
      <c r="AB182" s="314" t="str">
        <f>IF(AA182="","",IF(VLOOKUP(AA182,'G-3 Multipliers'!$L$3:$N$6,2,FALSE)=0,"Spatial Data Missing ⚠",VLOOKUP(AA182,'G-3 Multipliers'!$L$3:$N$6,2,FALSE)))</f>
        <v/>
      </c>
      <c r="AC182" s="299" t="str">
        <f>IF(AA182="","",IF(VLOOKUP(AA182,'G-3 Multipliers'!$L$3:$N$6,3,FALSE)=0,"Spatial Data Missing ⚠",VLOOKUP(AA182,'G-3 Multipliers'!$L$3:$N$6,3,FALSE)))</f>
        <v/>
      </c>
      <c r="AD182" s="311" t="str">
        <f t="shared" si="23"/>
        <v/>
      </c>
      <c r="AE182" s="138"/>
      <c r="AF182" s="138"/>
      <c r="AG182" s="295" t="str">
        <f t="shared" si="27"/>
        <v/>
      </c>
      <c r="AH182" s="296" t="str">
        <f t="shared" si="28"/>
        <v/>
      </c>
      <c r="AI182" s="300" t="str">
        <f>IF(AH182="Check Data ⚠","Check Data ⚠",IFERROR(VLOOKUP(AH182,'G-4 Temporal multipliers'!$A$4:$C$36,3,FALSE),""))</f>
        <v/>
      </c>
      <c r="AJ182" s="311" t="str">
        <f>IF(S182="","",VLOOKUP(S182,'G-3 Multipliers'!$A$2:$E$134,4,FALSE))</f>
        <v/>
      </c>
      <c r="AK182" s="295" t="str">
        <f t="shared" si="29"/>
        <v/>
      </c>
      <c r="AL182" s="295" t="str">
        <f t="shared" si="30"/>
        <v/>
      </c>
      <c r="AM182" s="299" t="str">
        <f>IFERROR(IF(F182="","",IF(AH182="Check Data ⚠","Check Data ⚠",VLOOKUP(AL182,'G-3 Multipliers'!$P$2:$Q$6,2,FALSE))),"")</f>
        <v/>
      </c>
      <c r="AN182" s="712" t="str">
        <f>IF(E182="","",IF(ISNA(VLOOKUP($E182,'D-1 Off-Site Habitat Baseline'!$D$1:$Z$258,15,FALSE)),"",(VLOOKUP($E182,'D-1 Off-Site Habitat Baseline'!$D$1:$Z$258,15,FALSE))))</f>
        <v/>
      </c>
      <c r="AO182" s="329" t="str">
        <f>IF(AN182="","",IF(VLOOKUP(AN182,'G-3 Multipliers'!$S$3:$T$10,2,FALSE)=0,"Spatial Data Missing ⚠",VLOOKUP(AN182,'G-3 Multipliers'!$S$3:$T$10,2,FALSE)))</f>
        <v/>
      </c>
      <c r="AP182" s="289" t="str">
        <f t="shared" si="31"/>
        <v/>
      </c>
      <c r="AQ182" s="289" t="str">
        <f t="shared" si="32"/>
        <v/>
      </c>
      <c r="AR182" s="105"/>
      <c r="AS182" s="138"/>
      <c r="AT182" s="104"/>
      <c r="AU182" s="104"/>
      <c r="AY182" s="30" t="str">
        <f>IF(E182="","",IF(ISNA(VLOOKUP($E182,'D-1 Off-Site Habitat Baseline'!$D$1:$AV$258,4,FALSE)),"",(VLOOKUP($E182,'D-1 Off-Site Habitat Baseline'!$D$1:$AV$258,4,FALSE))))</f>
        <v/>
      </c>
    </row>
    <row r="183" spans="1:51" ht="14">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319" t="str">
        <f>'D-1 Off-Site Habitat Baseline'!AP182</f>
        <v/>
      </c>
      <c r="F183" s="283" t="str">
        <f>IF(E183="","",IF(ISNA(VLOOKUP($E183,'D-1 Off-Site Habitat Baseline'!$D$1:$ZZ$258,45,FALSE)),"",(VLOOKUP($E183,'D-1 Off-Site Habitat Baseline'!$D$1:$ZZ$258,45,FALSE))))</f>
        <v/>
      </c>
      <c r="G183" s="295" t="str">
        <f>IF(E183="","",IF(ISNA(VLOOKUP($E183,'D-1 Off-Site Habitat Baseline'!$D$1:$O$258,5,FALSE)),"",(VLOOKUP($E183,'D-1 Off-Site Habitat Baseline'!$D$1:$O$258,5,FALSE))))</f>
        <v/>
      </c>
      <c r="H183" s="295" t="str">
        <f>IF(E183="","",IF(ISNA(VLOOKUP($E183,'D-1 Off-Site Habitat Baseline'!$D$1:$O$258,6,FALSE)),"",(VLOOKUP($E183,'D-1 Off-Site Habitat Baseline'!$D$1:$O$258,6,FALSE))))</f>
        <v/>
      </c>
      <c r="I183" s="295" t="str">
        <f>IF(E183="","",IF(ISNA(VLOOKUP($E183,'D-1 Off-Site Habitat Baseline'!$D$1:$O$258,7,FALSE)),"",(VLOOKUP($E183,'D-1 Off-Site Habitat Baseline'!$D$1:$O$258,7,FALSE))))</f>
        <v/>
      </c>
      <c r="J183" s="295" t="str">
        <f>IF(E183="","",IF(ISNA(VLOOKUP($E183,'D-1 Off-Site Habitat Baseline'!$D$1:$O$258,8,FALSE)),"",(VLOOKUP($E183,'D-1 Off-Site Habitat Baseline'!$D$1:$O$258,8,FALSE))))</f>
        <v/>
      </c>
      <c r="K183" s="295" t="str">
        <f>IF(E183="","",IF(ISNA(VLOOKUP($E183,'D-1 Off-Site Habitat Baseline'!$D$1:$O$258,9,FALSE)),"",(VLOOKUP($E183,'D-1 Off-Site Habitat Baseline'!$D$1:$O$258,9,FALSE))))</f>
        <v/>
      </c>
      <c r="L183" s="295" t="str">
        <f>IF(E183="","",IF(ISNA(VLOOKUP($E183,'D-1 Off-Site Habitat Baseline'!$D$1:$O$258,11,FALSE)),"",(VLOOKUP($E183,'D-1 Off-Site Habitat Baseline'!$D$1:$O$258,11,FALSE))))</f>
        <v/>
      </c>
      <c r="M183" s="295" t="str">
        <f>IF(E183="","",IF(ISNA(VLOOKUP($E183,'D-1 Off-Site Habitat Baseline'!$D$1:$O$258,12,FALSE)),"",(VLOOKUP($E183,'D-1 Off-Site Habitat Baseline'!$D$1:$O$258,12,FALSE))))</f>
        <v/>
      </c>
      <c r="N183" s="295" t="str">
        <f>IF(E183="","",IF(ISNA(VLOOKUP($E183,'D-1 Off-Site Habitat Baseline'!$D$1:$AA$258,17,FALSE)),"",(VLOOKUP($E183,'D-1 Off-Site Habitat Baseline'!$D$1:$AA$258,17,FALSE))))</f>
        <v/>
      </c>
      <c r="O183" s="299" t="str">
        <f>IF(E183="","",IF(ISNA(VLOOKUP($E183,'D-1 Off-Site Habitat Baseline'!$D$1:$AA$258,13,FALSE)),"",(VLOOKUP($E183,'D-1 Off-Site Habitat Baseline'!$D$1:$AA$258,13,FALSE))))</f>
        <v/>
      </c>
      <c r="P183" s="148" t="str">
        <f>IFERROR(INDEX('G-1 All Habitats'!$AG$49:$AG$63,MATCH(Q183,'G-1 All Habitats'!$AF$27:$AF$41,0)),"")</f>
        <v/>
      </c>
      <c r="Q183" s="149" t="str">
        <f t="shared" si="24"/>
        <v/>
      </c>
      <c r="R183" s="150"/>
      <c r="S183" s="151" t="str">
        <f>IFERROR(INDEX('G-1 All Habitats'!$B$3:$B$135,MATCH(R183,'G-1 All Habitats'!$A$3:$A$135,0)),"")</f>
        <v/>
      </c>
      <c r="T183" s="283" t="str">
        <f t="shared" si="25"/>
        <v/>
      </c>
      <c r="U183" s="276" t="str">
        <f t="shared" si="26"/>
        <v/>
      </c>
      <c r="V183" s="298" t="str">
        <f t="shared" si="22"/>
        <v/>
      </c>
      <c r="W183" s="295" t="str">
        <f>IF(S183="","",VLOOKUP(S183,'G-1 All Habitats'!$B$2:$M$135,10,FALSE))</f>
        <v/>
      </c>
      <c r="X183" s="295" t="str">
        <f>IFERROR(VLOOKUP(W183,'G-1 All Habitats'!$V$3:$W$7,2,FALSE),"")</f>
        <v/>
      </c>
      <c r="Y183" s="138"/>
      <c r="Z183" s="299" t="str">
        <f>IFERROR(INDEX('G-8 Condition Look up'!$A$3:$H$135,MATCH(S183,'G-8 Condition Look up'!$A$3:$A$135,0),MATCH(Y183,'G-8 Condition Look up'!$A$3:$H$3,0)),"")</f>
        <v/>
      </c>
      <c r="AA183" s="101"/>
      <c r="AB183" s="314" t="str">
        <f>IF(AA183="","",IF(VLOOKUP(AA183,'G-3 Multipliers'!$L$3:$N$6,2,FALSE)=0,"Spatial Data Missing ⚠",VLOOKUP(AA183,'G-3 Multipliers'!$L$3:$N$6,2,FALSE)))</f>
        <v/>
      </c>
      <c r="AC183" s="299" t="str">
        <f>IF(AA183="","",IF(VLOOKUP(AA183,'G-3 Multipliers'!$L$3:$N$6,3,FALSE)=0,"Spatial Data Missing ⚠",VLOOKUP(AA183,'G-3 Multipliers'!$L$3:$N$6,3,FALSE)))</f>
        <v/>
      </c>
      <c r="AD183" s="311" t="str">
        <f t="shared" si="23"/>
        <v/>
      </c>
      <c r="AE183" s="138"/>
      <c r="AF183" s="138"/>
      <c r="AG183" s="295" t="str">
        <f t="shared" si="27"/>
        <v/>
      </c>
      <c r="AH183" s="296" t="str">
        <f t="shared" si="28"/>
        <v/>
      </c>
      <c r="AI183" s="300" t="str">
        <f>IF(AH183="Check Data ⚠","Check Data ⚠",IFERROR(VLOOKUP(AH183,'G-4 Temporal multipliers'!$A$4:$C$36,3,FALSE),""))</f>
        <v/>
      </c>
      <c r="AJ183" s="311" t="str">
        <f>IF(S183="","",VLOOKUP(S183,'G-3 Multipliers'!$A$2:$E$134,4,FALSE))</f>
        <v/>
      </c>
      <c r="AK183" s="295" t="str">
        <f t="shared" si="29"/>
        <v/>
      </c>
      <c r="AL183" s="295" t="str">
        <f t="shared" si="30"/>
        <v/>
      </c>
      <c r="AM183" s="299" t="str">
        <f>IFERROR(IF(F183="","",IF(AH183="Check Data ⚠","Check Data ⚠",VLOOKUP(AL183,'G-3 Multipliers'!$P$2:$Q$6,2,FALSE))),"")</f>
        <v/>
      </c>
      <c r="AN183" s="712" t="str">
        <f>IF(E183="","",IF(ISNA(VLOOKUP($E183,'D-1 Off-Site Habitat Baseline'!$D$1:$Z$258,15,FALSE)),"",(VLOOKUP($E183,'D-1 Off-Site Habitat Baseline'!$D$1:$Z$258,15,FALSE))))</f>
        <v/>
      </c>
      <c r="AO183" s="329" t="str">
        <f>IF(AN183="","",IF(VLOOKUP(AN183,'G-3 Multipliers'!$S$3:$T$10,2,FALSE)=0,"Spatial Data Missing ⚠",VLOOKUP(AN183,'G-3 Multipliers'!$S$3:$T$10,2,FALSE)))</f>
        <v/>
      </c>
      <c r="AP183" s="289" t="str">
        <f t="shared" si="31"/>
        <v/>
      </c>
      <c r="AQ183" s="289" t="str">
        <f t="shared" si="32"/>
        <v/>
      </c>
      <c r="AR183" s="105"/>
      <c r="AS183" s="138"/>
      <c r="AT183" s="104"/>
      <c r="AU183" s="104"/>
      <c r="AY183" s="30" t="str">
        <f>IF(E183="","",IF(ISNA(VLOOKUP($E183,'D-1 Off-Site Habitat Baseline'!$D$1:$AV$258,4,FALSE)),"",(VLOOKUP($E183,'D-1 Off-Site Habitat Baseline'!$D$1:$AV$258,4,FALSE))))</f>
        <v/>
      </c>
    </row>
    <row r="184" spans="1:51" ht="14">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319" t="str">
        <f>'D-1 Off-Site Habitat Baseline'!AP183</f>
        <v/>
      </c>
      <c r="F184" s="283" t="str">
        <f>IF(E184="","",IF(ISNA(VLOOKUP($E184,'D-1 Off-Site Habitat Baseline'!$D$1:$ZZ$258,45,FALSE)),"",(VLOOKUP($E184,'D-1 Off-Site Habitat Baseline'!$D$1:$ZZ$258,45,FALSE))))</f>
        <v/>
      </c>
      <c r="G184" s="295" t="str">
        <f>IF(E184="","",IF(ISNA(VLOOKUP($E184,'D-1 Off-Site Habitat Baseline'!$D$1:$O$258,5,FALSE)),"",(VLOOKUP($E184,'D-1 Off-Site Habitat Baseline'!$D$1:$O$258,5,FALSE))))</f>
        <v/>
      </c>
      <c r="H184" s="295" t="str">
        <f>IF(E184="","",IF(ISNA(VLOOKUP($E184,'D-1 Off-Site Habitat Baseline'!$D$1:$O$258,6,FALSE)),"",(VLOOKUP($E184,'D-1 Off-Site Habitat Baseline'!$D$1:$O$258,6,FALSE))))</f>
        <v/>
      </c>
      <c r="I184" s="295" t="str">
        <f>IF(E184="","",IF(ISNA(VLOOKUP($E184,'D-1 Off-Site Habitat Baseline'!$D$1:$O$258,7,FALSE)),"",(VLOOKUP($E184,'D-1 Off-Site Habitat Baseline'!$D$1:$O$258,7,FALSE))))</f>
        <v/>
      </c>
      <c r="J184" s="295" t="str">
        <f>IF(E184="","",IF(ISNA(VLOOKUP($E184,'D-1 Off-Site Habitat Baseline'!$D$1:$O$258,8,FALSE)),"",(VLOOKUP($E184,'D-1 Off-Site Habitat Baseline'!$D$1:$O$258,8,FALSE))))</f>
        <v/>
      </c>
      <c r="K184" s="295" t="str">
        <f>IF(E184="","",IF(ISNA(VLOOKUP($E184,'D-1 Off-Site Habitat Baseline'!$D$1:$O$258,9,FALSE)),"",(VLOOKUP($E184,'D-1 Off-Site Habitat Baseline'!$D$1:$O$258,9,FALSE))))</f>
        <v/>
      </c>
      <c r="L184" s="295" t="str">
        <f>IF(E184="","",IF(ISNA(VLOOKUP($E184,'D-1 Off-Site Habitat Baseline'!$D$1:$O$258,11,FALSE)),"",(VLOOKUP($E184,'D-1 Off-Site Habitat Baseline'!$D$1:$O$258,11,FALSE))))</f>
        <v/>
      </c>
      <c r="M184" s="295" t="str">
        <f>IF(E184="","",IF(ISNA(VLOOKUP($E184,'D-1 Off-Site Habitat Baseline'!$D$1:$O$258,12,FALSE)),"",(VLOOKUP($E184,'D-1 Off-Site Habitat Baseline'!$D$1:$O$258,12,FALSE))))</f>
        <v/>
      </c>
      <c r="N184" s="295" t="str">
        <f>IF(E184="","",IF(ISNA(VLOOKUP($E184,'D-1 Off-Site Habitat Baseline'!$D$1:$AA$258,17,FALSE)),"",(VLOOKUP($E184,'D-1 Off-Site Habitat Baseline'!$D$1:$AA$258,17,FALSE))))</f>
        <v/>
      </c>
      <c r="O184" s="299" t="str">
        <f>IF(E184="","",IF(ISNA(VLOOKUP($E184,'D-1 Off-Site Habitat Baseline'!$D$1:$AA$258,13,FALSE)),"",(VLOOKUP($E184,'D-1 Off-Site Habitat Baseline'!$D$1:$AA$258,13,FALSE))))</f>
        <v/>
      </c>
      <c r="P184" s="148" t="str">
        <f>IFERROR(INDEX('G-1 All Habitats'!$AG$49:$AG$63,MATCH(Q184,'G-1 All Habitats'!$AF$27:$AF$41,0)),"")</f>
        <v/>
      </c>
      <c r="Q184" s="149" t="str">
        <f t="shared" si="24"/>
        <v/>
      </c>
      <c r="R184" s="150"/>
      <c r="S184" s="151" t="str">
        <f>IFERROR(INDEX('G-1 All Habitats'!$B$3:$B$135,MATCH(R184,'G-1 All Habitats'!$A$3:$A$135,0)),"")</f>
        <v/>
      </c>
      <c r="T184" s="283" t="str">
        <f t="shared" si="25"/>
        <v/>
      </c>
      <c r="U184" s="276" t="str">
        <f t="shared" si="26"/>
        <v/>
      </c>
      <c r="V184" s="298" t="str">
        <f t="shared" si="22"/>
        <v/>
      </c>
      <c r="W184" s="295" t="str">
        <f>IF(S184="","",VLOOKUP(S184,'G-1 All Habitats'!$B$2:$M$135,10,FALSE))</f>
        <v/>
      </c>
      <c r="X184" s="295" t="str">
        <f>IFERROR(VLOOKUP(W184,'G-1 All Habitats'!$V$3:$W$7,2,FALSE),"")</f>
        <v/>
      </c>
      <c r="Y184" s="138"/>
      <c r="Z184" s="299" t="str">
        <f>IFERROR(INDEX('G-8 Condition Look up'!$A$3:$H$135,MATCH(S184,'G-8 Condition Look up'!$A$3:$A$135,0),MATCH(Y184,'G-8 Condition Look up'!$A$3:$H$3,0)),"")</f>
        <v/>
      </c>
      <c r="AA184" s="101"/>
      <c r="AB184" s="314" t="str">
        <f>IF(AA184="","",IF(VLOOKUP(AA184,'G-3 Multipliers'!$L$3:$N$6,2,FALSE)=0,"Spatial Data Missing ⚠",VLOOKUP(AA184,'G-3 Multipliers'!$L$3:$N$6,2,FALSE)))</f>
        <v/>
      </c>
      <c r="AC184" s="299" t="str">
        <f>IF(AA184="","",IF(VLOOKUP(AA184,'G-3 Multipliers'!$L$3:$N$6,3,FALSE)=0,"Spatial Data Missing ⚠",VLOOKUP(AA184,'G-3 Multipliers'!$L$3:$N$6,3,FALSE)))</f>
        <v/>
      </c>
      <c r="AD184" s="311" t="str">
        <f t="shared" si="23"/>
        <v/>
      </c>
      <c r="AE184" s="138"/>
      <c r="AF184" s="138"/>
      <c r="AG184" s="295" t="str">
        <f t="shared" si="27"/>
        <v/>
      </c>
      <c r="AH184" s="296" t="str">
        <f t="shared" si="28"/>
        <v/>
      </c>
      <c r="AI184" s="300" t="str">
        <f>IF(AH184="Check Data ⚠","Check Data ⚠",IFERROR(VLOOKUP(AH184,'G-4 Temporal multipliers'!$A$4:$C$36,3,FALSE),""))</f>
        <v/>
      </c>
      <c r="AJ184" s="311" t="str">
        <f>IF(S184="","",VLOOKUP(S184,'G-3 Multipliers'!$A$2:$E$134,4,FALSE))</f>
        <v/>
      </c>
      <c r="AK184" s="295" t="str">
        <f t="shared" si="29"/>
        <v/>
      </c>
      <c r="AL184" s="295" t="str">
        <f t="shared" si="30"/>
        <v/>
      </c>
      <c r="AM184" s="299" t="str">
        <f>IFERROR(IF(F184="","",IF(AH184="Check Data ⚠","Check Data ⚠",VLOOKUP(AL184,'G-3 Multipliers'!$P$2:$Q$6,2,FALSE))),"")</f>
        <v/>
      </c>
      <c r="AN184" s="712" t="str">
        <f>IF(E184="","",IF(ISNA(VLOOKUP($E184,'D-1 Off-Site Habitat Baseline'!$D$1:$Z$258,15,FALSE)),"",(VLOOKUP($E184,'D-1 Off-Site Habitat Baseline'!$D$1:$Z$258,15,FALSE))))</f>
        <v/>
      </c>
      <c r="AO184" s="329" t="str">
        <f>IF(AN184="","",IF(VLOOKUP(AN184,'G-3 Multipliers'!$S$3:$T$10,2,FALSE)=0,"Spatial Data Missing ⚠",VLOOKUP(AN184,'G-3 Multipliers'!$S$3:$T$10,2,FALSE)))</f>
        <v/>
      </c>
      <c r="AP184" s="289" t="str">
        <f t="shared" si="31"/>
        <v/>
      </c>
      <c r="AQ184" s="289" t="str">
        <f t="shared" si="32"/>
        <v/>
      </c>
      <c r="AR184" s="105"/>
      <c r="AS184" s="138"/>
      <c r="AT184" s="104"/>
      <c r="AU184" s="104"/>
      <c r="AY184" s="30" t="str">
        <f>IF(E184="","",IF(ISNA(VLOOKUP($E184,'D-1 Off-Site Habitat Baseline'!$D$1:$AV$258,4,FALSE)),"",(VLOOKUP($E184,'D-1 Off-Site Habitat Baseline'!$D$1:$AV$258,4,FALSE))))</f>
        <v/>
      </c>
    </row>
    <row r="185" spans="1:51" ht="14">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319" t="str">
        <f>'D-1 Off-Site Habitat Baseline'!AP184</f>
        <v/>
      </c>
      <c r="F185" s="283" t="str">
        <f>IF(E185="","",IF(ISNA(VLOOKUP($E185,'D-1 Off-Site Habitat Baseline'!$D$1:$ZZ$258,45,FALSE)),"",(VLOOKUP($E185,'D-1 Off-Site Habitat Baseline'!$D$1:$ZZ$258,45,FALSE))))</f>
        <v/>
      </c>
      <c r="G185" s="295" t="str">
        <f>IF(E185="","",IF(ISNA(VLOOKUP($E185,'D-1 Off-Site Habitat Baseline'!$D$1:$O$258,5,FALSE)),"",(VLOOKUP($E185,'D-1 Off-Site Habitat Baseline'!$D$1:$O$258,5,FALSE))))</f>
        <v/>
      </c>
      <c r="H185" s="295" t="str">
        <f>IF(E185="","",IF(ISNA(VLOOKUP($E185,'D-1 Off-Site Habitat Baseline'!$D$1:$O$258,6,FALSE)),"",(VLOOKUP($E185,'D-1 Off-Site Habitat Baseline'!$D$1:$O$258,6,FALSE))))</f>
        <v/>
      </c>
      <c r="I185" s="295" t="str">
        <f>IF(E185="","",IF(ISNA(VLOOKUP($E185,'D-1 Off-Site Habitat Baseline'!$D$1:$O$258,7,FALSE)),"",(VLOOKUP($E185,'D-1 Off-Site Habitat Baseline'!$D$1:$O$258,7,FALSE))))</f>
        <v/>
      </c>
      <c r="J185" s="295" t="str">
        <f>IF(E185="","",IF(ISNA(VLOOKUP($E185,'D-1 Off-Site Habitat Baseline'!$D$1:$O$258,8,FALSE)),"",(VLOOKUP($E185,'D-1 Off-Site Habitat Baseline'!$D$1:$O$258,8,FALSE))))</f>
        <v/>
      </c>
      <c r="K185" s="295" t="str">
        <f>IF(E185="","",IF(ISNA(VLOOKUP($E185,'D-1 Off-Site Habitat Baseline'!$D$1:$O$258,9,FALSE)),"",(VLOOKUP($E185,'D-1 Off-Site Habitat Baseline'!$D$1:$O$258,9,FALSE))))</f>
        <v/>
      </c>
      <c r="L185" s="295" t="str">
        <f>IF(E185="","",IF(ISNA(VLOOKUP($E185,'D-1 Off-Site Habitat Baseline'!$D$1:$O$258,11,FALSE)),"",(VLOOKUP($E185,'D-1 Off-Site Habitat Baseline'!$D$1:$O$258,11,FALSE))))</f>
        <v/>
      </c>
      <c r="M185" s="295" t="str">
        <f>IF(E185="","",IF(ISNA(VLOOKUP($E185,'D-1 Off-Site Habitat Baseline'!$D$1:$O$258,12,FALSE)),"",(VLOOKUP($E185,'D-1 Off-Site Habitat Baseline'!$D$1:$O$258,12,FALSE))))</f>
        <v/>
      </c>
      <c r="N185" s="295" t="str">
        <f>IF(E185="","",IF(ISNA(VLOOKUP($E185,'D-1 Off-Site Habitat Baseline'!$D$1:$AA$258,17,FALSE)),"",(VLOOKUP($E185,'D-1 Off-Site Habitat Baseline'!$D$1:$AA$258,17,FALSE))))</f>
        <v/>
      </c>
      <c r="O185" s="299" t="str">
        <f>IF(E185="","",IF(ISNA(VLOOKUP($E185,'D-1 Off-Site Habitat Baseline'!$D$1:$AA$258,13,FALSE)),"",(VLOOKUP($E185,'D-1 Off-Site Habitat Baseline'!$D$1:$AA$258,13,FALSE))))</f>
        <v/>
      </c>
      <c r="P185" s="148" t="str">
        <f>IFERROR(INDEX('G-1 All Habitats'!$AG$49:$AG$63,MATCH(Q185,'G-1 All Habitats'!$AF$27:$AF$41,0)),"")</f>
        <v/>
      </c>
      <c r="Q185" s="149" t="str">
        <f t="shared" si="24"/>
        <v/>
      </c>
      <c r="R185" s="150"/>
      <c r="S185" s="151" t="str">
        <f>IFERROR(INDEX('G-1 All Habitats'!$B$3:$B$135,MATCH(R185,'G-1 All Habitats'!$A$3:$A$135,0)),"")</f>
        <v/>
      </c>
      <c r="T185" s="283" t="str">
        <f t="shared" si="25"/>
        <v/>
      </c>
      <c r="U185" s="276" t="str">
        <f t="shared" si="26"/>
        <v/>
      </c>
      <c r="V185" s="298" t="str">
        <f t="shared" si="22"/>
        <v/>
      </c>
      <c r="W185" s="295" t="str">
        <f>IF(S185="","",VLOOKUP(S185,'G-1 All Habitats'!$B$2:$M$135,10,FALSE))</f>
        <v/>
      </c>
      <c r="X185" s="295" t="str">
        <f>IFERROR(VLOOKUP(W185,'G-1 All Habitats'!$V$3:$W$7,2,FALSE),"")</f>
        <v/>
      </c>
      <c r="Y185" s="138"/>
      <c r="Z185" s="299" t="str">
        <f>IFERROR(INDEX('G-8 Condition Look up'!$A$3:$H$135,MATCH(S185,'G-8 Condition Look up'!$A$3:$A$135,0),MATCH(Y185,'G-8 Condition Look up'!$A$3:$H$3,0)),"")</f>
        <v/>
      </c>
      <c r="AA185" s="101"/>
      <c r="AB185" s="314" t="str">
        <f>IF(AA185="","",IF(VLOOKUP(AA185,'G-3 Multipliers'!$L$3:$N$6,2,FALSE)=0,"Spatial Data Missing ⚠",VLOOKUP(AA185,'G-3 Multipliers'!$L$3:$N$6,2,FALSE)))</f>
        <v/>
      </c>
      <c r="AC185" s="299" t="str">
        <f>IF(AA185="","",IF(VLOOKUP(AA185,'G-3 Multipliers'!$L$3:$N$6,3,FALSE)=0,"Spatial Data Missing ⚠",VLOOKUP(AA185,'G-3 Multipliers'!$L$3:$N$6,3,FALSE)))</f>
        <v/>
      </c>
      <c r="AD185" s="311" t="str">
        <f t="shared" si="23"/>
        <v/>
      </c>
      <c r="AE185" s="138"/>
      <c r="AF185" s="138"/>
      <c r="AG185" s="295" t="str">
        <f t="shared" si="27"/>
        <v/>
      </c>
      <c r="AH185" s="296" t="str">
        <f t="shared" si="28"/>
        <v/>
      </c>
      <c r="AI185" s="300" t="str">
        <f>IF(AH185="Check Data ⚠","Check Data ⚠",IFERROR(VLOOKUP(AH185,'G-4 Temporal multipliers'!$A$4:$C$36,3,FALSE),""))</f>
        <v/>
      </c>
      <c r="AJ185" s="311" t="str">
        <f>IF(S185="","",VLOOKUP(S185,'G-3 Multipliers'!$A$2:$E$134,4,FALSE))</f>
        <v/>
      </c>
      <c r="AK185" s="295" t="str">
        <f t="shared" si="29"/>
        <v/>
      </c>
      <c r="AL185" s="295" t="str">
        <f t="shared" si="30"/>
        <v/>
      </c>
      <c r="AM185" s="299" t="str">
        <f>IFERROR(IF(F185="","",IF(AH185="Check Data ⚠","Check Data ⚠",VLOOKUP(AL185,'G-3 Multipliers'!$P$2:$Q$6,2,FALSE))),"")</f>
        <v/>
      </c>
      <c r="AN185" s="712" t="str">
        <f>IF(E185="","",IF(ISNA(VLOOKUP($E185,'D-1 Off-Site Habitat Baseline'!$D$1:$Z$258,15,FALSE)),"",(VLOOKUP($E185,'D-1 Off-Site Habitat Baseline'!$D$1:$Z$258,15,FALSE))))</f>
        <v/>
      </c>
      <c r="AO185" s="329" t="str">
        <f>IF(AN185="","",IF(VLOOKUP(AN185,'G-3 Multipliers'!$S$3:$T$10,2,FALSE)=0,"Spatial Data Missing ⚠",VLOOKUP(AN185,'G-3 Multipliers'!$S$3:$T$10,2,FALSE)))</f>
        <v/>
      </c>
      <c r="AP185" s="289" t="str">
        <f t="shared" si="31"/>
        <v/>
      </c>
      <c r="AQ185" s="289" t="str">
        <f t="shared" si="32"/>
        <v/>
      </c>
      <c r="AR185" s="105"/>
      <c r="AS185" s="138"/>
      <c r="AT185" s="104"/>
      <c r="AU185" s="104"/>
      <c r="AY185" s="30" t="str">
        <f>IF(E185="","",IF(ISNA(VLOOKUP($E185,'D-1 Off-Site Habitat Baseline'!$D$1:$AV$258,4,FALSE)),"",(VLOOKUP($E185,'D-1 Off-Site Habitat Baseline'!$D$1:$AV$258,4,FALSE))))</f>
        <v/>
      </c>
    </row>
    <row r="186" spans="1:51" ht="14">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319" t="str">
        <f>'D-1 Off-Site Habitat Baseline'!AP185</f>
        <v/>
      </c>
      <c r="F186" s="283" t="str">
        <f>IF(E186="","",IF(ISNA(VLOOKUP($E186,'D-1 Off-Site Habitat Baseline'!$D$1:$ZZ$258,45,FALSE)),"",(VLOOKUP($E186,'D-1 Off-Site Habitat Baseline'!$D$1:$ZZ$258,45,FALSE))))</f>
        <v/>
      </c>
      <c r="G186" s="295" t="str">
        <f>IF(E186="","",IF(ISNA(VLOOKUP($E186,'D-1 Off-Site Habitat Baseline'!$D$1:$O$258,5,FALSE)),"",(VLOOKUP($E186,'D-1 Off-Site Habitat Baseline'!$D$1:$O$258,5,FALSE))))</f>
        <v/>
      </c>
      <c r="H186" s="295" t="str">
        <f>IF(E186="","",IF(ISNA(VLOOKUP($E186,'D-1 Off-Site Habitat Baseline'!$D$1:$O$258,6,FALSE)),"",(VLOOKUP($E186,'D-1 Off-Site Habitat Baseline'!$D$1:$O$258,6,FALSE))))</f>
        <v/>
      </c>
      <c r="I186" s="295" t="str">
        <f>IF(E186="","",IF(ISNA(VLOOKUP($E186,'D-1 Off-Site Habitat Baseline'!$D$1:$O$258,7,FALSE)),"",(VLOOKUP($E186,'D-1 Off-Site Habitat Baseline'!$D$1:$O$258,7,FALSE))))</f>
        <v/>
      </c>
      <c r="J186" s="295" t="str">
        <f>IF(E186="","",IF(ISNA(VLOOKUP($E186,'D-1 Off-Site Habitat Baseline'!$D$1:$O$258,8,FALSE)),"",(VLOOKUP($E186,'D-1 Off-Site Habitat Baseline'!$D$1:$O$258,8,FALSE))))</f>
        <v/>
      </c>
      <c r="K186" s="295" t="str">
        <f>IF(E186="","",IF(ISNA(VLOOKUP($E186,'D-1 Off-Site Habitat Baseline'!$D$1:$O$258,9,FALSE)),"",(VLOOKUP($E186,'D-1 Off-Site Habitat Baseline'!$D$1:$O$258,9,FALSE))))</f>
        <v/>
      </c>
      <c r="L186" s="295" t="str">
        <f>IF(E186="","",IF(ISNA(VLOOKUP($E186,'D-1 Off-Site Habitat Baseline'!$D$1:$O$258,11,FALSE)),"",(VLOOKUP($E186,'D-1 Off-Site Habitat Baseline'!$D$1:$O$258,11,FALSE))))</f>
        <v/>
      </c>
      <c r="M186" s="295" t="str">
        <f>IF(E186="","",IF(ISNA(VLOOKUP($E186,'D-1 Off-Site Habitat Baseline'!$D$1:$O$258,12,FALSE)),"",(VLOOKUP($E186,'D-1 Off-Site Habitat Baseline'!$D$1:$O$258,12,FALSE))))</f>
        <v/>
      </c>
      <c r="N186" s="295" t="str">
        <f>IF(E186="","",IF(ISNA(VLOOKUP($E186,'D-1 Off-Site Habitat Baseline'!$D$1:$AA$258,17,FALSE)),"",(VLOOKUP($E186,'D-1 Off-Site Habitat Baseline'!$D$1:$AA$258,17,FALSE))))</f>
        <v/>
      </c>
      <c r="O186" s="299" t="str">
        <f>IF(E186="","",IF(ISNA(VLOOKUP($E186,'D-1 Off-Site Habitat Baseline'!$D$1:$AA$258,13,FALSE)),"",(VLOOKUP($E186,'D-1 Off-Site Habitat Baseline'!$D$1:$AA$258,13,FALSE))))</f>
        <v/>
      </c>
      <c r="P186" s="148" t="str">
        <f>IFERROR(INDEX('G-1 All Habitats'!$AG$49:$AG$63,MATCH(Q186,'G-1 All Habitats'!$AF$27:$AF$41,0)),"")</f>
        <v/>
      </c>
      <c r="Q186" s="149" t="str">
        <f t="shared" si="24"/>
        <v/>
      </c>
      <c r="R186" s="150"/>
      <c r="S186" s="151" t="str">
        <f>IFERROR(INDEX('G-1 All Habitats'!$B$3:$B$135,MATCH(R186,'G-1 All Habitats'!$A$3:$A$135,0)),"")</f>
        <v/>
      </c>
      <c r="T186" s="283" t="str">
        <f t="shared" si="25"/>
        <v/>
      </c>
      <c r="U186" s="276" t="str">
        <f t="shared" si="26"/>
        <v/>
      </c>
      <c r="V186" s="298" t="str">
        <f t="shared" si="22"/>
        <v/>
      </c>
      <c r="W186" s="295" t="str">
        <f>IF(S186="","",VLOOKUP(S186,'G-1 All Habitats'!$B$2:$M$135,10,FALSE))</f>
        <v/>
      </c>
      <c r="X186" s="295" t="str">
        <f>IFERROR(VLOOKUP(W186,'G-1 All Habitats'!$V$3:$W$7,2,FALSE),"")</f>
        <v/>
      </c>
      <c r="Y186" s="138"/>
      <c r="Z186" s="299" t="str">
        <f>IFERROR(INDEX('G-8 Condition Look up'!$A$3:$H$135,MATCH(S186,'G-8 Condition Look up'!$A$3:$A$135,0),MATCH(Y186,'G-8 Condition Look up'!$A$3:$H$3,0)),"")</f>
        <v/>
      </c>
      <c r="AA186" s="101"/>
      <c r="AB186" s="314" t="str">
        <f>IF(AA186="","",IF(VLOOKUP(AA186,'G-3 Multipliers'!$L$3:$N$6,2,FALSE)=0,"Spatial Data Missing ⚠",VLOOKUP(AA186,'G-3 Multipliers'!$L$3:$N$6,2,FALSE)))</f>
        <v/>
      </c>
      <c r="AC186" s="299" t="str">
        <f>IF(AA186="","",IF(VLOOKUP(AA186,'G-3 Multipliers'!$L$3:$N$6,3,FALSE)=0,"Spatial Data Missing ⚠",VLOOKUP(AA186,'G-3 Multipliers'!$L$3:$N$6,3,FALSE)))</f>
        <v/>
      </c>
      <c r="AD186" s="311" t="str">
        <f t="shared" si="23"/>
        <v/>
      </c>
      <c r="AE186" s="138"/>
      <c r="AF186" s="138"/>
      <c r="AG186" s="295" t="str">
        <f t="shared" si="27"/>
        <v/>
      </c>
      <c r="AH186" s="296" t="str">
        <f t="shared" si="28"/>
        <v/>
      </c>
      <c r="AI186" s="300" t="str">
        <f>IF(AH186="Check Data ⚠","Check Data ⚠",IFERROR(VLOOKUP(AH186,'G-4 Temporal multipliers'!$A$4:$C$36,3,FALSE),""))</f>
        <v/>
      </c>
      <c r="AJ186" s="311" t="str">
        <f>IF(S186="","",VLOOKUP(S186,'G-3 Multipliers'!$A$2:$E$134,4,FALSE))</f>
        <v/>
      </c>
      <c r="AK186" s="295" t="str">
        <f t="shared" si="29"/>
        <v/>
      </c>
      <c r="AL186" s="295" t="str">
        <f t="shared" si="30"/>
        <v/>
      </c>
      <c r="AM186" s="299" t="str">
        <f>IFERROR(IF(F186="","",IF(AH186="Check Data ⚠","Check Data ⚠",VLOOKUP(AL186,'G-3 Multipliers'!$P$2:$Q$6,2,FALSE))),"")</f>
        <v/>
      </c>
      <c r="AN186" s="712" t="str">
        <f>IF(E186="","",IF(ISNA(VLOOKUP($E186,'D-1 Off-Site Habitat Baseline'!$D$1:$Z$258,15,FALSE)),"",(VLOOKUP($E186,'D-1 Off-Site Habitat Baseline'!$D$1:$Z$258,15,FALSE))))</f>
        <v/>
      </c>
      <c r="AO186" s="329" t="str">
        <f>IF(AN186="","",IF(VLOOKUP(AN186,'G-3 Multipliers'!$S$3:$T$10,2,FALSE)=0,"Spatial Data Missing ⚠",VLOOKUP(AN186,'G-3 Multipliers'!$S$3:$T$10,2,FALSE)))</f>
        <v/>
      </c>
      <c r="AP186" s="289" t="str">
        <f t="shared" si="31"/>
        <v/>
      </c>
      <c r="AQ186" s="289" t="str">
        <f t="shared" si="32"/>
        <v/>
      </c>
      <c r="AR186" s="105"/>
      <c r="AS186" s="138"/>
      <c r="AT186" s="104"/>
      <c r="AU186" s="104"/>
      <c r="AY186" s="30" t="str">
        <f>IF(E186="","",IF(ISNA(VLOOKUP($E186,'D-1 Off-Site Habitat Baseline'!$D$1:$AV$258,4,FALSE)),"",(VLOOKUP($E186,'D-1 Off-Site Habitat Baseline'!$D$1:$AV$258,4,FALSE))))</f>
        <v/>
      </c>
    </row>
    <row r="187" spans="1:51" ht="14">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319" t="str">
        <f>'D-1 Off-Site Habitat Baseline'!AP186</f>
        <v/>
      </c>
      <c r="F187" s="283" t="str">
        <f>IF(E187="","",IF(ISNA(VLOOKUP($E187,'D-1 Off-Site Habitat Baseline'!$D$1:$ZZ$258,45,FALSE)),"",(VLOOKUP($E187,'D-1 Off-Site Habitat Baseline'!$D$1:$ZZ$258,45,FALSE))))</f>
        <v/>
      </c>
      <c r="G187" s="295" t="str">
        <f>IF(E187="","",IF(ISNA(VLOOKUP($E187,'D-1 Off-Site Habitat Baseline'!$D$1:$O$258,5,FALSE)),"",(VLOOKUP($E187,'D-1 Off-Site Habitat Baseline'!$D$1:$O$258,5,FALSE))))</f>
        <v/>
      </c>
      <c r="H187" s="295" t="str">
        <f>IF(E187="","",IF(ISNA(VLOOKUP($E187,'D-1 Off-Site Habitat Baseline'!$D$1:$O$258,6,FALSE)),"",(VLOOKUP($E187,'D-1 Off-Site Habitat Baseline'!$D$1:$O$258,6,FALSE))))</f>
        <v/>
      </c>
      <c r="I187" s="295" t="str">
        <f>IF(E187="","",IF(ISNA(VLOOKUP($E187,'D-1 Off-Site Habitat Baseline'!$D$1:$O$258,7,FALSE)),"",(VLOOKUP($E187,'D-1 Off-Site Habitat Baseline'!$D$1:$O$258,7,FALSE))))</f>
        <v/>
      </c>
      <c r="J187" s="295" t="str">
        <f>IF(E187="","",IF(ISNA(VLOOKUP($E187,'D-1 Off-Site Habitat Baseline'!$D$1:$O$258,8,FALSE)),"",(VLOOKUP($E187,'D-1 Off-Site Habitat Baseline'!$D$1:$O$258,8,FALSE))))</f>
        <v/>
      </c>
      <c r="K187" s="295" t="str">
        <f>IF(E187="","",IF(ISNA(VLOOKUP($E187,'D-1 Off-Site Habitat Baseline'!$D$1:$O$258,9,FALSE)),"",(VLOOKUP($E187,'D-1 Off-Site Habitat Baseline'!$D$1:$O$258,9,FALSE))))</f>
        <v/>
      </c>
      <c r="L187" s="295" t="str">
        <f>IF(E187="","",IF(ISNA(VLOOKUP($E187,'D-1 Off-Site Habitat Baseline'!$D$1:$O$258,11,FALSE)),"",(VLOOKUP($E187,'D-1 Off-Site Habitat Baseline'!$D$1:$O$258,11,FALSE))))</f>
        <v/>
      </c>
      <c r="M187" s="295" t="str">
        <f>IF(E187="","",IF(ISNA(VLOOKUP($E187,'D-1 Off-Site Habitat Baseline'!$D$1:$O$258,12,FALSE)),"",(VLOOKUP($E187,'D-1 Off-Site Habitat Baseline'!$D$1:$O$258,12,FALSE))))</f>
        <v/>
      </c>
      <c r="N187" s="295" t="str">
        <f>IF(E187="","",IF(ISNA(VLOOKUP($E187,'D-1 Off-Site Habitat Baseline'!$D$1:$AA$258,17,FALSE)),"",(VLOOKUP($E187,'D-1 Off-Site Habitat Baseline'!$D$1:$AA$258,17,FALSE))))</f>
        <v/>
      </c>
      <c r="O187" s="299" t="str">
        <f>IF(E187="","",IF(ISNA(VLOOKUP($E187,'D-1 Off-Site Habitat Baseline'!$D$1:$AA$258,13,FALSE)),"",(VLOOKUP($E187,'D-1 Off-Site Habitat Baseline'!$D$1:$AA$258,13,FALSE))))</f>
        <v/>
      </c>
      <c r="P187" s="148" t="str">
        <f>IFERROR(INDEX('G-1 All Habitats'!$AG$49:$AG$63,MATCH(Q187,'G-1 All Habitats'!$AF$27:$AF$41,0)),"")</f>
        <v/>
      </c>
      <c r="Q187" s="149" t="str">
        <f t="shared" si="24"/>
        <v/>
      </c>
      <c r="R187" s="150"/>
      <c r="S187" s="151" t="str">
        <f>IFERROR(INDEX('G-1 All Habitats'!$B$3:$B$135,MATCH(R187,'G-1 All Habitats'!$A$3:$A$135,0)),"")</f>
        <v/>
      </c>
      <c r="T187" s="283" t="str">
        <f t="shared" si="25"/>
        <v/>
      </c>
      <c r="U187" s="276" t="str">
        <f t="shared" si="26"/>
        <v/>
      </c>
      <c r="V187" s="298" t="str">
        <f t="shared" si="22"/>
        <v/>
      </c>
      <c r="W187" s="295" t="str">
        <f>IF(S187="","",VLOOKUP(S187,'G-1 All Habitats'!$B$2:$M$135,10,FALSE))</f>
        <v/>
      </c>
      <c r="X187" s="295" t="str">
        <f>IFERROR(VLOOKUP(W187,'G-1 All Habitats'!$V$3:$W$7,2,FALSE),"")</f>
        <v/>
      </c>
      <c r="Y187" s="138"/>
      <c r="Z187" s="299" t="str">
        <f>IFERROR(INDEX('G-8 Condition Look up'!$A$3:$H$135,MATCH(S187,'G-8 Condition Look up'!$A$3:$A$135,0),MATCH(Y187,'G-8 Condition Look up'!$A$3:$H$3,0)),"")</f>
        <v/>
      </c>
      <c r="AA187" s="101"/>
      <c r="AB187" s="314" t="str">
        <f>IF(AA187="","",IF(VLOOKUP(AA187,'G-3 Multipliers'!$L$3:$N$6,2,FALSE)=0,"Spatial Data Missing ⚠",VLOOKUP(AA187,'G-3 Multipliers'!$L$3:$N$6,2,FALSE)))</f>
        <v/>
      </c>
      <c r="AC187" s="299" t="str">
        <f>IF(AA187="","",IF(VLOOKUP(AA187,'G-3 Multipliers'!$L$3:$N$6,3,FALSE)=0,"Spatial Data Missing ⚠",VLOOKUP(AA187,'G-3 Multipliers'!$L$3:$N$6,3,FALSE)))</f>
        <v/>
      </c>
      <c r="AD187" s="311" t="str">
        <f t="shared" si="23"/>
        <v/>
      </c>
      <c r="AE187" s="138"/>
      <c r="AF187" s="138"/>
      <c r="AG187" s="295" t="str">
        <f t="shared" si="27"/>
        <v/>
      </c>
      <c r="AH187" s="296" t="str">
        <f t="shared" si="28"/>
        <v/>
      </c>
      <c r="AI187" s="300" t="str">
        <f>IF(AH187="Check Data ⚠","Check Data ⚠",IFERROR(VLOOKUP(AH187,'G-4 Temporal multipliers'!$A$4:$C$36,3,FALSE),""))</f>
        <v/>
      </c>
      <c r="AJ187" s="311" t="str">
        <f>IF(S187="","",VLOOKUP(S187,'G-3 Multipliers'!$A$2:$E$134,4,FALSE))</f>
        <v/>
      </c>
      <c r="AK187" s="295" t="str">
        <f t="shared" si="29"/>
        <v/>
      </c>
      <c r="AL187" s="295" t="str">
        <f t="shared" si="30"/>
        <v/>
      </c>
      <c r="AM187" s="299" t="str">
        <f>IFERROR(IF(F187="","",IF(AH187="Check Data ⚠","Check Data ⚠",VLOOKUP(AL187,'G-3 Multipliers'!$P$2:$Q$6,2,FALSE))),"")</f>
        <v/>
      </c>
      <c r="AN187" s="712" t="str">
        <f>IF(E187="","",IF(ISNA(VLOOKUP($E187,'D-1 Off-Site Habitat Baseline'!$D$1:$Z$258,15,FALSE)),"",(VLOOKUP($E187,'D-1 Off-Site Habitat Baseline'!$D$1:$Z$258,15,FALSE))))</f>
        <v/>
      </c>
      <c r="AO187" s="329" t="str">
        <f>IF(AN187="","",IF(VLOOKUP(AN187,'G-3 Multipliers'!$S$3:$T$10,2,FALSE)=0,"Spatial Data Missing ⚠",VLOOKUP(AN187,'G-3 Multipliers'!$S$3:$T$10,2,FALSE)))</f>
        <v/>
      </c>
      <c r="AP187" s="289" t="str">
        <f t="shared" si="31"/>
        <v/>
      </c>
      <c r="AQ187" s="289" t="str">
        <f t="shared" si="32"/>
        <v/>
      </c>
      <c r="AR187" s="105"/>
      <c r="AS187" s="138"/>
      <c r="AT187" s="104"/>
      <c r="AU187" s="104"/>
      <c r="AY187" s="30" t="str">
        <f>IF(E187="","",IF(ISNA(VLOOKUP($E187,'D-1 Off-Site Habitat Baseline'!$D$1:$AV$258,4,FALSE)),"",(VLOOKUP($E187,'D-1 Off-Site Habitat Baseline'!$D$1:$AV$258,4,FALSE))))</f>
        <v/>
      </c>
    </row>
    <row r="188" spans="1:51" ht="14">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319" t="str">
        <f>'D-1 Off-Site Habitat Baseline'!AP187</f>
        <v/>
      </c>
      <c r="F188" s="283" t="str">
        <f>IF(E188="","",IF(ISNA(VLOOKUP($E188,'D-1 Off-Site Habitat Baseline'!$D$1:$ZZ$258,45,FALSE)),"",(VLOOKUP($E188,'D-1 Off-Site Habitat Baseline'!$D$1:$ZZ$258,45,FALSE))))</f>
        <v/>
      </c>
      <c r="G188" s="295" t="str">
        <f>IF(E188="","",IF(ISNA(VLOOKUP($E188,'D-1 Off-Site Habitat Baseline'!$D$1:$O$258,5,FALSE)),"",(VLOOKUP($E188,'D-1 Off-Site Habitat Baseline'!$D$1:$O$258,5,FALSE))))</f>
        <v/>
      </c>
      <c r="H188" s="295" t="str">
        <f>IF(E188="","",IF(ISNA(VLOOKUP($E188,'D-1 Off-Site Habitat Baseline'!$D$1:$O$258,6,FALSE)),"",(VLOOKUP($E188,'D-1 Off-Site Habitat Baseline'!$D$1:$O$258,6,FALSE))))</f>
        <v/>
      </c>
      <c r="I188" s="295" t="str">
        <f>IF(E188="","",IF(ISNA(VLOOKUP($E188,'D-1 Off-Site Habitat Baseline'!$D$1:$O$258,7,FALSE)),"",(VLOOKUP($E188,'D-1 Off-Site Habitat Baseline'!$D$1:$O$258,7,FALSE))))</f>
        <v/>
      </c>
      <c r="J188" s="295" t="str">
        <f>IF(E188="","",IF(ISNA(VLOOKUP($E188,'D-1 Off-Site Habitat Baseline'!$D$1:$O$258,8,FALSE)),"",(VLOOKUP($E188,'D-1 Off-Site Habitat Baseline'!$D$1:$O$258,8,FALSE))))</f>
        <v/>
      </c>
      <c r="K188" s="295" t="str">
        <f>IF(E188="","",IF(ISNA(VLOOKUP($E188,'D-1 Off-Site Habitat Baseline'!$D$1:$O$258,9,FALSE)),"",(VLOOKUP($E188,'D-1 Off-Site Habitat Baseline'!$D$1:$O$258,9,FALSE))))</f>
        <v/>
      </c>
      <c r="L188" s="295" t="str">
        <f>IF(E188="","",IF(ISNA(VLOOKUP($E188,'D-1 Off-Site Habitat Baseline'!$D$1:$O$258,11,FALSE)),"",(VLOOKUP($E188,'D-1 Off-Site Habitat Baseline'!$D$1:$O$258,11,FALSE))))</f>
        <v/>
      </c>
      <c r="M188" s="295" t="str">
        <f>IF(E188="","",IF(ISNA(VLOOKUP($E188,'D-1 Off-Site Habitat Baseline'!$D$1:$O$258,12,FALSE)),"",(VLOOKUP($E188,'D-1 Off-Site Habitat Baseline'!$D$1:$O$258,12,FALSE))))</f>
        <v/>
      </c>
      <c r="N188" s="295" t="str">
        <f>IF(E188="","",IF(ISNA(VLOOKUP($E188,'D-1 Off-Site Habitat Baseline'!$D$1:$AA$258,17,FALSE)),"",(VLOOKUP($E188,'D-1 Off-Site Habitat Baseline'!$D$1:$AA$258,17,FALSE))))</f>
        <v/>
      </c>
      <c r="O188" s="299" t="str">
        <f>IF(E188="","",IF(ISNA(VLOOKUP($E188,'D-1 Off-Site Habitat Baseline'!$D$1:$AA$258,13,FALSE)),"",(VLOOKUP($E188,'D-1 Off-Site Habitat Baseline'!$D$1:$AA$258,13,FALSE))))</f>
        <v/>
      </c>
      <c r="P188" s="148" t="str">
        <f>IFERROR(INDEX('G-1 All Habitats'!$AG$49:$AG$63,MATCH(Q188,'G-1 All Habitats'!$AF$27:$AF$41,0)),"")</f>
        <v/>
      </c>
      <c r="Q188" s="149" t="str">
        <f t="shared" si="24"/>
        <v/>
      </c>
      <c r="R188" s="150"/>
      <c r="S188" s="151" t="str">
        <f>IFERROR(INDEX('G-1 All Habitats'!$B$3:$B$135,MATCH(R188,'G-1 All Habitats'!$A$3:$A$135,0)),"")</f>
        <v/>
      </c>
      <c r="T188" s="283" t="str">
        <f t="shared" si="25"/>
        <v/>
      </c>
      <c r="U188" s="276" t="str">
        <f t="shared" si="26"/>
        <v/>
      </c>
      <c r="V188" s="298" t="str">
        <f t="shared" si="22"/>
        <v/>
      </c>
      <c r="W188" s="295" t="str">
        <f>IF(S188="","",VLOOKUP(S188,'G-1 All Habitats'!$B$2:$M$135,10,FALSE))</f>
        <v/>
      </c>
      <c r="X188" s="295" t="str">
        <f>IFERROR(VLOOKUP(W188,'G-1 All Habitats'!$V$3:$W$7,2,FALSE),"")</f>
        <v/>
      </c>
      <c r="Y188" s="138"/>
      <c r="Z188" s="299" t="str">
        <f>IFERROR(INDEX('G-8 Condition Look up'!$A$3:$H$135,MATCH(S188,'G-8 Condition Look up'!$A$3:$A$135,0),MATCH(Y188,'G-8 Condition Look up'!$A$3:$H$3,0)),"")</f>
        <v/>
      </c>
      <c r="AA188" s="101"/>
      <c r="AB188" s="314" t="str">
        <f>IF(AA188="","",IF(VLOOKUP(AA188,'G-3 Multipliers'!$L$3:$N$6,2,FALSE)=0,"Spatial Data Missing ⚠",VLOOKUP(AA188,'G-3 Multipliers'!$L$3:$N$6,2,FALSE)))</f>
        <v/>
      </c>
      <c r="AC188" s="299" t="str">
        <f>IF(AA188="","",IF(VLOOKUP(AA188,'G-3 Multipliers'!$L$3:$N$6,3,FALSE)=0,"Spatial Data Missing ⚠",VLOOKUP(AA188,'G-3 Multipliers'!$L$3:$N$6,3,FALSE)))</f>
        <v/>
      </c>
      <c r="AD188" s="311" t="str">
        <f t="shared" si="23"/>
        <v/>
      </c>
      <c r="AE188" s="138"/>
      <c r="AF188" s="138"/>
      <c r="AG188" s="295" t="str">
        <f t="shared" si="27"/>
        <v/>
      </c>
      <c r="AH188" s="296" t="str">
        <f t="shared" si="28"/>
        <v/>
      </c>
      <c r="AI188" s="300" t="str">
        <f>IF(AH188="Check Data ⚠","Check Data ⚠",IFERROR(VLOOKUP(AH188,'G-4 Temporal multipliers'!$A$4:$C$36,3,FALSE),""))</f>
        <v/>
      </c>
      <c r="AJ188" s="311" t="str">
        <f>IF(S188="","",VLOOKUP(S188,'G-3 Multipliers'!$A$2:$E$134,4,FALSE))</f>
        <v/>
      </c>
      <c r="AK188" s="295" t="str">
        <f t="shared" si="29"/>
        <v/>
      </c>
      <c r="AL188" s="295" t="str">
        <f t="shared" si="30"/>
        <v/>
      </c>
      <c r="AM188" s="299" t="str">
        <f>IFERROR(IF(F188="","",IF(AH188="Check Data ⚠","Check Data ⚠",VLOOKUP(AL188,'G-3 Multipliers'!$P$2:$Q$6,2,FALSE))),"")</f>
        <v/>
      </c>
      <c r="AN188" s="712" t="str">
        <f>IF(E188="","",IF(ISNA(VLOOKUP($E188,'D-1 Off-Site Habitat Baseline'!$D$1:$Z$258,15,FALSE)),"",(VLOOKUP($E188,'D-1 Off-Site Habitat Baseline'!$D$1:$Z$258,15,FALSE))))</f>
        <v/>
      </c>
      <c r="AO188" s="329" t="str">
        <f>IF(AN188="","",IF(VLOOKUP(AN188,'G-3 Multipliers'!$S$3:$T$10,2,FALSE)=0,"Spatial Data Missing ⚠",VLOOKUP(AN188,'G-3 Multipliers'!$S$3:$T$10,2,FALSE)))</f>
        <v/>
      </c>
      <c r="AP188" s="289" t="str">
        <f t="shared" si="31"/>
        <v/>
      </c>
      <c r="AQ188" s="289" t="str">
        <f t="shared" si="32"/>
        <v/>
      </c>
      <c r="AR188" s="105"/>
      <c r="AS188" s="138"/>
      <c r="AT188" s="104"/>
      <c r="AU188" s="104"/>
      <c r="AY188" s="30" t="str">
        <f>IF(E188="","",IF(ISNA(VLOOKUP($E188,'D-1 Off-Site Habitat Baseline'!$D$1:$AV$258,4,FALSE)),"",(VLOOKUP($E188,'D-1 Off-Site Habitat Baseline'!$D$1:$AV$258,4,FALSE))))</f>
        <v/>
      </c>
    </row>
    <row r="189" spans="1:51" ht="14">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319" t="str">
        <f>'D-1 Off-Site Habitat Baseline'!AP188</f>
        <v/>
      </c>
      <c r="F189" s="283" t="str">
        <f>IF(E189="","",IF(ISNA(VLOOKUP($E189,'D-1 Off-Site Habitat Baseline'!$D$1:$ZZ$258,45,FALSE)),"",(VLOOKUP($E189,'D-1 Off-Site Habitat Baseline'!$D$1:$ZZ$258,45,FALSE))))</f>
        <v/>
      </c>
      <c r="G189" s="295" t="str">
        <f>IF(E189="","",IF(ISNA(VLOOKUP($E189,'D-1 Off-Site Habitat Baseline'!$D$1:$O$258,5,FALSE)),"",(VLOOKUP($E189,'D-1 Off-Site Habitat Baseline'!$D$1:$O$258,5,FALSE))))</f>
        <v/>
      </c>
      <c r="H189" s="295" t="str">
        <f>IF(E189="","",IF(ISNA(VLOOKUP($E189,'D-1 Off-Site Habitat Baseline'!$D$1:$O$258,6,FALSE)),"",(VLOOKUP($E189,'D-1 Off-Site Habitat Baseline'!$D$1:$O$258,6,FALSE))))</f>
        <v/>
      </c>
      <c r="I189" s="295" t="str">
        <f>IF(E189="","",IF(ISNA(VLOOKUP($E189,'D-1 Off-Site Habitat Baseline'!$D$1:$O$258,7,FALSE)),"",(VLOOKUP($E189,'D-1 Off-Site Habitat Baseline'!$D$1:$O$258,7,FALSE))))</f>
        <v/>
      </c>
      <c r="J189" s="295" t="str">
        <f>IF(E189="","",IF(ISNA(VLOOKUP($E189,'D-1 Off-Site Habitat Baseline'!$D$1:$O$258,8,FALSE)),"",(VLOOKUP($E189,'D-1 Off-Site Habitat Baseline'!$D$1:$O$258,8,FALSE))))</f>
        <v/>
      </c>
      <c r="K189" s="295" t="str">
        <f>IF(E189="","",IF(ISNA(VLOOKUP($E189,'D-1 Off-Site Habitat Baseline'!$D$1:$O$258,9,FALSE)),"",(VLOOKUP($E189,'D-1 Off-Site Habitat Baseline'!$D$1:$O$258,9,FALSE))))</f>
        <v/>
      </c>
      <c r="L189" s="295" t="str">
        <f>IF(E189="","",IF(ISNA(VLOOKUP($E189,'D-1 Off-Site Habitat Baseline'!$D$1:$O$258,11,FALSE)),"",(VLOOKUP($E189,'D-1 Off-Site Habitat Baseline'!$D$1:$O$258,11,FALSE))))</f>
        <v/>
      </c>
      <c r="M189" s="295" t="str">
        <f>IF(E189="","",IF(ISNA(VLOOKUP($E189,'D-1 Off-Site Habitat Baseline'!$D$1:$O$258,12,FALSE)),"",(VLOOKUP($E189,'D-1 Off-Site Habitat Baseline'!$D$1:$O$258,12,FALSE))))</f>
        <v/>
      </c>
      <c r="N189" s="295" t="str">
        <f>IF(E189="","",IF(ISNA(VLOOKUP($E189,'D-1 Off-Site Habitat Baseline'!$D$1:$AA$258,17,FALSE)),"",(VLOOKUP($E189,'D-1 Off-Site Habitat Baseline'!$D$1:$AA$258,17,FALSE))))</f>
        <v/>
      </c>
      <c r="O189" s="299" t="str">
        <f>IF(E189="","",IF(ISNA(VLOOKUP($E189,'D-1 Off-Site Habitat Baseline'!$D$1:$AA$258,13,FALSE)),"",(VLOOKUP($E189,'D-1 Off-Site Habitat Baseline'!$D$1:$AA$258,13,FALSE))))</f>
        <v/>
      </c>
      <c r="P189" s="148" t="str">
        <f>IFERROR(INDEX('G-1 All Habitats'!$AG$49:$AG$63,MATCH(Q189,'G-1 All Habitats'!$AF$27:$AF$41,0)),"")</f>
        <v/>
      </c>
      <c r="Q189" s="149" t="str">
        <f t="shared" si="24"/>
        <v/>
      </c>
      <c r="R189" s="150"/>
      <c r="S189" s="151" t="str">
        <f>IFERROR(INDEX('G-1 All Habitats'!$B$3:$B$135,MATCH(R189,'G-1 All Habitats'!$A$3:$A$135,0)),"")</f>
        <v/>
      </c>
      <c r="T189" s="283" t="str">
        <f t="shared" si="25"/>
        <v/>
      </c>
      <c r="U189" s="276" t="str">
        <f t="shared" si="26"/>
        <v/>
      </c>
      <c r="V189" s="298" t="str">
        <f t="shared" si="22"/>
        <v/>
      </c>
      <c r="W189" s="295" t="str">
        <f>IF(S189="","",VLOOKUP(S189,'G-1 All Habitats'!$B$2:$M$135,10,FALSE))</f>
        <v/>
      </c>
      <c r="X189" s="295" t="str">
        <f>IFERROR(VLOOKUP(W189,'G-1 All Habitats'!$V$3:$W$7,2,FALSE),"")</f>
        <v/>
      </c>
      <c r="Y189" s="138"/>
      <c r="Z189" s="299" t="str">
        <f>IFERROR(INDEX('G-8 Condition Look up'!$A$3:$H$135,MATCH(S189,'G-8 Condition Look up'!$A$3:$A$135,0),MATCH(Y189,'G-8 Condition Look up'!$A$3:$H$3,0)),"")</f>
        <v/>
      </c>
      <c r="AA189" s="101"/>
      <c r="AB189" s="314" t="str">
        <f>IF(AA189="","",IF(VLOOKUP(AA189,'G-3 Multipliers'!$L$3:$N$6,2,FALSE)=0,"Spatial Data Missing ⚠",VLOOKUP(AA189,'G-3 Multipliers'!$L$3:$N$6,2,FALSE)))</f>
        <v/>
      </c>
      <c r="AC189" s="299" t="str">
        <f>IF(AA189="","",IF(VLOOKUP(AA189,'G-3 Multipliers'!$L$3:$N$6,3,FALSE)=0,"Spatial Data Missing ⚠",VLOOKUP(AA189,'G-3 Multipliers'!$L$3:$N$6,3,FALSE)))</f>
        <v/>
      </c>
      <c r="AD189" s="311" t="str">
        <f t="shared" si="23"/>
        <v/>
      </c>
      <c r="AE189" s="138"/>
      <c r="AF189" s="138"/>
      <c r="AG189" s="295" t="str">
        <f t="shared" si="27"/>
        <v/>
      </c>
      <c r="AH189" s="296" t="str">
        <f t="shared" si="28"/>
        <v/>
      </c>
      <c r="AI189" s="300" t="str">
        <f>IF(AH189="Check Data ⚠","Check Data ⚠",IFERROR(VLOOKUP(AH189,'G-4 Temporal multipliers'!$A$4:$C$36,3,FALSE),""))</f>
        <v/>
      </c>
      <c r="AJ189" s="311" t="str">
        <f>IF(S189="","",VLOOKUP(S189,'G-3 Multipliers'!$A$2:$E$134,4,FALSE))</f>
        <v/>
      </c>
      <c r="AK189" s="295" t="str">
        <f t="shared" si="29"/>
        <v/>
      </c>
      <c r="AL189" s="295" t="str">
        <f t="shared" si="30"/>
        <v/>
      </c>
      <c r="AM189" s="299" t="str">
        <f>IFERROR(IF(F189="","",IF(AH189="Check Data ⚠","Check Data ⚠",VLOOKUP(AL189,'G-3 Multipliers'!$P$2:$Q$6,2,FALSE))),"")</f>
        <v/>
      </c>
      <c r="AN189" s="712" t="str">
        <f>IF(E189="","",IF(ISNA(VLOOKUP($E189,'D-1 Off-Site Habitat Baseline'!$D$1:$Z$258,15,FALSE)),"",(VLOOKUP($E189,'D-1 Off-Site Habitat Baseline'!$D$1:$Z$258,15,FALSE))))</f>
        <v/>
      </c>
      <c r="AO189" s="329" t="str">
        <f>IF(AN189="","",IF(VLOOKUP(AN189,'G-3 Multipliers'!$S$3:$T$10,2,FALSE)=0,"Spatial Data Missing ⚠",VLOOKUP(AN189,'G-3 Multipliers'!$S$3:$T$10,2,FALSE)))</f>
        <v/>
      </c>
      <c r="AP189" s="289" t="str">
        <f t="shared" si="31"/>
        <v/>
      </c>
      <c r="AQ189" s="289" t="str">
        <f t="shared" si="32"/>
        <v/>
      </c>
      <c r="AR189" s="105"/>
      <c r="AS189" s="138"/>
      <c r="AT189" s="104"/>
      <c r="AU189" s="104"/>
      <c r="AY189" s="30" t="str">
        <f>IF(E189="","",IF(ISNA(VLOOKUP($E189,'D-1 Off-Site Habitat Baseline'!$D$1:$AV$258,4,FALSE)),"",(VLOOKUP($E189,'D-1 Off-Site Habitat Baseline'!$D$1:$AV$258,4,FALSE))))</f>
        <v/>
      </c>
    </row>
    <row r="190" spans="1:51" ht="14">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319" t="str">
        <f>'D-1 Off-Site Habitat Baseline'!AP189</f>
        <v/>
      </c>
      <c r="F190" s="283" t="str">
        <f>IF(E190="","",IF(ISNA(VLOOKUP($E190,'D-1 Off-Site Habitat Baseline'!$D$1:$ZZ$258,45,FALSE)),"",(VLOOKUP($E190,'D-1 Off-Site Habitat Baseline'!$D$1:$ZZ$258,45,FALSE))))</f>
        <v/>
      </c>
      <c r="G190" s="295" t="str">
        <f>IF(E190="","",IF(ISNA(VLOOKUP($E190,'D-1 Off-Site Habitat Baseline'!$D$1:$O$258,5,FALSE)),"",(VLOOKUP($E190,'D-1 Off-Site Habitat Baseline'!$D$1:$O$258,5,FALSE))))</f>
        <v/>
      </c>
      <c r="H190" s="295" t="str">
        <f>IF(E190="","",IF(ISNA(VLOOKUP($E190,'D-1 Off-Site Habitat Baseline'!$D$1:$O$258,6,FALSE)),"",(VLOOKUP($E190,'D-1 Off-Site Habitat Baseline'!$D$1:$O$258,6,FALSE))))</f>
        <v/>
      </c>
      <c r="I190" s="295" t="str">
        <f>IF(E190="","",IF(ISNA(VLOOKUP($E190,'D-1 Off-Site Habitat Baseline'!$D$1:$O$258,7,FALSE)),"",(VLOOKUP($E190,'D-1 Off-Site Habitat Baseline'!$D$1:$O$258,7,FALSE))))</f>
        <v/>
      </c>
      <c r="J190" s="295" t="str">
        <f>IF(E190="","",IF(ISNA(VLOOKUP($E190,'D-1 Off-Site Habitat Baseline'!$D$1:$O$258,8,FALSE)),"",(VLOOKUP($E190,'D-1 Off-Site Habitat Baseline'!$D$1:$O$258,8,FALSE))))</f>
        <v/>
      </c>
      <c r="K190" s="295" t="str">
        <f>IF(E190="","",IF(ISNA(VLOOKUP($E190,'D-1 Off-Site Habitat Baseline'!$D$1:$O$258,9,FALSE)),"",(VLOOKUP($E190,'D-1 Off-Site Habitat Baseline'!$D$1:$O$258,9,FALSE))))</f>
        <v/>
      </c>
      <c r="L190" s="295" t="str">
        <f>IF(E190="","",IF(ISNA(VLOOKUP($E190,'D-1 Off-Site Habitat Baseline'!$D$1:$O$258,11,FALSE)),"",(VLOOKUP($E190,'D-1 Off-Site Habitat Baseline'!$D$1:$O$258,11,FALSE))))</f>
        <v/>
      </c>
      <c r="M190" s="295" t="str">
        <f>IF(E190="","",IF(ISNA(VLOOKUP($E190,'D-1 Off-Site Habitat Baseline'!$D$1:$O$258,12,FALSE)),"",(VLOOKUP($E190,'D-1 Off-Site Habitat Baseline'!$D$1:$O$258,12,FALSE))))</f>
        <v/>
      </c>
      <c r="N190" s="295" t="str">
        <f>IF(E190="","",IF(ISNA(VLOOKUP($E190,'D-1 Off-Site Habitat Baseline'!$D$1:$AA$258,17,FALSE)),"",(VLOOKUP($E190,'D-1 Off-Site Habitat Baseline'!$D$1:$AA$258,17,FALSE))))</f>
        <v/>
      </c>
      <c r="O190" s="299" t="str">
        <f>IF(E190="","",IF(ISNA(VLOOKUP($E190,'D-1 Off-Site Habitat Baseline'!$D$1:$AA$258,13,FALSE)),"",(VLOOKUP($E190,'D-1 Off-Site Habitat Baseline'!$D$1:$AA$258,13,FALSE))))</f>
        <v/>
      </c>
      <c r="P190" s="148" t="str">
        <f>IFERROR(INDEX('G-1 All Habitats'!$AG$49:$AG$63,MATCH(Q190,'G-1 All Habitats'!$AF$27:$AF$41,0)),"")</f>
        <v/>
      </c>
      <c r="Q190" s="149" t="str">
        <f t="shared" si="24"/>
        <v/>
      </c>
      <c r="R190" s="150"/>
      <c r="S190" s="151" t="str">
        <f>IFERROR(INDEX('G-1 All Habitats'!$B$3:$B$135,MATCH(R190,'G-1 All Habitats'!$A$3:$A$135,0)),"")</f>
        <v/>
      </c>
      <c r="T190" s="283" t="str">
        <f t="shared" si="25"/>
        <v/>
      </c>
      <c r="U190" s="276" t="str">
        <f t="shared" si="26"/>
        <v/>
      </c>
      <c r="V190" s="298" t="str">
        <f t="shared" si="22"/>
        <v/>
      </c>
      <c r="W190" s="295" t="str">
        <f>IF(S190="","",VLOOKUP(S190,'G-1 All Habitats'!$B$2:$M$135,10,FALSE))</f>
        <v/>
      </c>
      <c r="X190" s="295" t="str">
        <f>IFERROR(VLOOKUP(W190,'G-1 All Habitats'!$V$3:$W$7,2,FALSE),"")</f>
        <v/>
      </c>
      <c r="Y190" s="138"/>
      <c r="Z190" s="299" t="str">
        <f>IFERROR(INDEX('G-8 Condition Look up'!$A$3:$H$135,MATCH(S190,'G-8 Condition Look up'!$A$3:$A$135,0),MATCH(Y190,'G-8 Condition Look up'!$A$3:$H$3,0)),"")</f>
        <v/>
      </c>
      <c r="AA190" s="101"/>
      <c r="AB190" s="314" t="str">
        <f>IF(AA190="","",IF(VLOOKUP(AA190,'G-3 Multipliers'!$L$3:$N$6,2,FALSE)=0,"Spatial Data Missing ⚠",VLOOKUP(AA190,'G-3 Multipliers'!$L$3:$N$6,2,FALSE)))</f>
        <v/>
      </c>
      <c r="AC190" s="299" t="str">
        <f>IF(AA190="","",IF(VLOOKUP(AA190,'G-3 Multipliers'!$L$3:$N$6,3,FALSE)=0,"Spatial Data Missing ⚠",VLOOKUP(AA190,'G-3 Multipliers'!$L$3:$N$6,3,FALSE)))</f>
        <v/>
      </c>
      <c r="AD190" s="311" t="str">
        <f t="shared" si="23"/>
        <v/>
      </c>
      <c r="AE190" s="138"/>
      <c r="AF190" s="138"/>
      <c r="AG190" s="295" t="str">
        <f t="shared" si="27"/>
        <v/>
      </c>
      <c r="AH190" s="296" t="str">
        <f t="shared" si="28"/>
        <v/>
      </c>
      <c r="AI190" s="300" t="str">
        <f>IF(AH190="Check Data ⚠","Check Data ⚠",IFERROR(VLOOKUP(AH190,'G-4 Temporal multipliers'!$A$4:$C$36,3,FALSE),""))</f>
        <v/>
      </c>
      <c r="AJ190" s="311" t="str">
        <f>IF(S190="","",VLOOKUP(S190,'G-3 Multipliers'!$A$2:$E$134,4,FALSE))</f>
        <v/>
      </c>
      <c r="AK190" s="295" t="str">
        <f t="shared" si="29"/>
        <v/>
      </c>
      <c r="AL190" s="295" t="str">
        <f t="shared" si="30"/>
        <v/>
      </c>
      <c r="AM190" s="299" t="str">
        <f>IFERROR(IF(F190="","",IF(AH190="Check Data ⚠","Check Data ⚠",VLOOKUP(AL190,'G-3 Multipliers'!$P$2:$Q$6,2,FALSE))),"")</f>
        <v/>
      </c>
      <c r="AN190" s="712" t="str">
        <f>IF(E190="","",IF(ISNA(VLOOKUP($E190,'D-1 Off-Site Habitat Baseline'!$D$1:$Z$258,15,FALSE)),"",(VLOOKUP($E190,'D-1 Off-Site Habitat Baseline'!$D$1:$Z$258,15,FALSE))))</f>
        <v/>
      </c>
      <c r="AO190" s="329" t="str">
        <f>IF(AN190="","",IF(VLOOKUP(AN190,'G-3 Multipliers'!$S$3:$T$10,2,FALSE)=0,"Spatial Data Missing ⚠",VLOOKUP(AN190,'G-3 Multipliers'!$S$3:$T$10,2,FALSE)))</f>
        <v/>
      </c>
      <c r="AP190" s="289" t="str">
        <f t="shared" si="31"/>
        <v/>
      </c>
      <c r="AQ190" s="289" t="str">
        <f t="shared" si="32"/>
        <v/>
      </c>
      <c r="AR190" s="105"/>
      <c r="AS190" s="138"/>
      <c r="AT190" s="104"/>
      <c r="AU190" s="104"/>
      <c r="AY190" s="30" t="str">
        <f>IF(E190="","",IF(ISNA(VLOOKUP($E190,'D-1 Off-Site Habitat Baseline'!$D$1:$AV$258,4,FALSE)),"",(VLOOKUP($E190,'D-1 Off-Site Habitat Baseline'!$D$1:$AV$258,4,FALSE))))</f>
        <v/>
      </c>
    </row>
    <row r="191" spans="1:51" ht="14">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319" t="str">
        <f>'D-1 Off-Site Habitat Baseline'!AP190</f>
        <v/>
      </c>
      <c r="F191" s="283" t="str">
        <f>IF(E191="","",IF(ISNA(VLOOKUP($E191,'D-1 Off-Site Habitat Baseline'!$D$1:$ZZ$258,45,FALSE)),"",(VLOOKUP($E191,'D-1 Off-Site Habitat Baseline'!$D$1:$ZZ$258,45,FALSE))))</f>
        <v/>
      </c>
      <c r="G191" s="295" t="str">
        <f>IF(E191="","",IF(ISNA(VLOOKUP($E191,'D-1 Off-Site Habitat Baseline'!$D$1:$O$258,5,FALSE)),"",(VLOOKUP($E191,'D-1 Off-Site Habitat Baseline'!$D$1:$O$258,5,FALSE))))</f>
        <v/>
      </c>
      <c r="H191" s="295" t="str">
        <f>IF(E191="","",IF(ISNA(VLOOKUP($E191,'D-1 Off-Site Habitat Baseline'!$D$1:$O$258,6,FALSE)),"",(VLOOKUP($E191,'D-1 Off-Site Habitat Baseline'!$D$1:$O$258,6,FALSE))))</f>
        <v/>
      </c>
      <c r="I191" s="295" t="str">
        <f>IF(E191="","",IF(ISNA(VLOOKUP($E191,'D-1 Off-Site Habitat Baseline'!$D$1:$O$258,7,FALSE)),"",(VLOOKUP($E191,'D-1 Off-Site Habitat Baseline'!$D$1:$O$258,7,FALSE))))</f>
        <v/>
      </c>
      <c r="J191" s="295" t="str">
        <f>IF(E191="","",IF(ISNA(VLOOKUP($E191,'D-1 Off-Site Habitat Baseline'!$D$1:$O$258,8,FALSE)),"",(VLOOKUP($E191,'D-1 Off-Site Habitat Baseline'!$D$1:$O$258,8,FALSE))))</f>
        <v/>
      </c>
      <c r="K191" s="295" t="str">
        <f>IF(E191="","",IF(ISNA(VLOOKUP($E191,'D-1 Off-Site Habitat Baseline'!$D$1:$O$258,9,FALSE)),"",(VLOOKUP($E191,'D-1 Off-Site Habitat Baseline'!$D$1:$O$258,9,FALSE))))</f>
        <v/>
      </c>
      <c r="L191" s="295" t="str">
        <f>IF(E191="","",IF(ISNA(VLOOKUP($E191,'D-1 Off-Site Habitat Baseline'!$D$1:$O$258,11,FALSE)),"",(VLOOKUP($E191,'D-1 Off-Site Habitat Baseline'!$D$1:$O$258,11,FALSE))))</f>
        <v/>
      </c>
      <c r="M191" s="295" t="str">
        <f>IF(E191="","",IF(ISNA(VLOOKUP($E191,'D-1 Off-Site Habitat Baseline'!$D$1:$O$258,12,FALSE)),"",(VLOOKUP($E191,'D-1 Off-Site Habitat Baseline'!$D$1:$O$258,12,FALSE))))</f>
        <v/>
      </c>
      <c r="N191" s="295" t="str">
        <f>IF(E191="","",IF(ISNA(VLOOKUP($E191,'D-1 Off-Site Habitat Baseline'!$D$1:$AA$258,17,FALSE)),"",(VLOOKUP($E191,'D-1 Off-Site Habitat Baseline'!$D$1:$AA$258,17,FALSE))))</f>
        <v/>
      </c>
      <c r="O191" s="299" t="str">
        <f>IF(E191="","",IF(ISNA(VLOOKUP($E191,'D-1 Off-Site Habitat Baseline'!$D$1:$AA$258,13,FALSE)),"",(VLOOKUP($E191,'D-1 Off-Site Habitat Baseline'!$D$1:$AA$258,13,FALSE))))</f>
        <v/>
      </c>
      <c r="P191" s="148" t="str">
        <f>IFERROR(INDEX('G-1 All Habitats'!$AG$49:$AG$63,MATCH(Q191,'G-1 All Habitats'!$AF$27:$AF$41,0)),"")</f>
        <v/>
      </c>
      <c r="Q191" s="149" t="str">
        <f t="shared" si="24"/>
        <v/>
      </c>
      <c r="R191" s="150"/>
      <c r="S191" s="151" t="str">
        <f>IFERROR(INDEX('G-1 All Habitats'!$B$3:$B$135,MATCH(R191,'G-1 All Habitats'!$A$3:$A$135,0)),"")</f>
        <v/>
      </c>
      <c r="T191" s="283" t="str">
        <f t="shared" si="25"/>
        <v/>
      </c>
      <c r="U191" s="276" t="str">
        <f t="shared" si="26"/>
        <v/>
      </c>
      <c r="V191" s="298" t="str">
        <f t="shared" si="22"/>
        <v/>
      </c>
      <c r="W191" s="295" t="str">
        <f>IF(S191="","",VLOOKUP(S191,'G-1 All Habitats'!$B$2:$M$135,10,FALSE))</f>
        <v/>
      </c>
      <c r="X191" s="295" t="str">
        <f>IFERROR(VLOOKUP(W191,'G-1 All Habitats'!$V$3:$W$7,2,FALSE),"")</f>
        <v/>
      </c>
      <c r="Y191" s="138"/>
      <c r="Z191" s="299" t="str">
        <f>IFERROR(INDEX('G-8 Condition Look up'!$A$3:$H$135,MATCH(S191,'G-8 Condition Look up'!$A$3:$A$135,0),MATCH(Y191,'G-8 Condition Look up'!$A$3:$H$3,0)),"")</f>
        <v/>
      </c>
      <c r="AA191" s="101"/>
      <c r="AB191" s="314" t="str">
        <f>IF(AA191="","",IF(VLOOKUP(AA191,'G-3 Multipliers'!$L$3:$N$6,2,FALSE)=0,"Spatial Data Missing ⚠",VLOOKUP(AA191,'G-3 Multipliers'!$L$3:$N$6,2,FALSE)))</f>
        <v/>
      </c>
      <c r="AC191" s="299" t="str">
        <f>IF(AA191="","",IF(VLOOKUP(AA191,'G-3 Multipliers'!$L$3:$N$6,3,FALSE)=0,"Spatial Data Missing ⚠",VLOOKUP(AA191,'G-3 Multipliers'!$L$3:$N$6,3,FALSE)))</f>
        <v/>
      </c>
      <c r="AD191" s="311" t="str">
        <f t="shared" si="23"/>
        <v/>
      </c>
      <c r="AE191" s="138"/>
      <c r="AF191" s="138"/>
      <c r="AG191" s="295" t="str">
        <f t="shared" si="27"/>
        <v/>
      </c>
      <c r="AH191" s="296" t="str">
        <f t="shared" si="28"/>
        <v/>
      </c>
      <c r="AI191" s="300" t="str">
        <f>IF(AH191="Check Data ⚠","Check Data ⚠",IFERROR(VLOOKUP(AH191,'G-4 Temporal multipliers'!$A$4:$C$36,3,FALSE),""))</f>
        <v/>
      </c>
      <c r="AJ191" s="311" t="str">
        <f>IF(S191="","",VLOOKUP(S191,'G-3 Multipliers'!$A$2:$E$134,4,FALSE))</f>
        <v/>
      </c>
      <c r="AK191" s="295" t="str">
        <f t="shared" si="29"/>
        <v/>
      </c>
      <c r="AL191" s="295" t="str">
        <f t="shared" si="30"/>
        <v/>
      </c>
      <c r="AM191" s="299" t="str">
        <f>IFERROR(IF(F191="","",IF(AH191="Check Data ⚠","Check Data ⚠",VLOOKUP(AL191,'G-3 Multipliers'!$P$2:$Q$6,2,FALSE))),"")</f>
        <v/>
      </c>
      <c r="AN191" s="712" t="str">
        <f>IF(E191="","",IF(ISNA(VLOOKUP($E191,'D-1 Off-Site Habitat Baseline'!$D$1:$Z$258,15,FALSE)),"",(VLOOKUP($E191,'D-1 Off-Site Habitat Baseline'!$D$1:$Z$258,15,FALSE))))</f>
        <v/>
      </c>
      <c r="AO191" s="329" t="str">
        <f>IF(AN191="","",IF(VLOOKUP(AN191,'G-3 Multipliers'!$S$3:$T$10,2,FALSE)=0,"Spatial Data Missing ⚠",VLOOKUP(AN191,'G-3 Multipliers'!$S$3:$T$10,2,FALSE)))</f>
        <v/>
      </c>
      <c r="AP191" s="289" t="str">
        <f t="shared" si="31"/>
        <v/>
      </c>
      <c r="AQ191" s="289" t="str">
        <f t="shared" si="32"/>
        <v/>
      </c>
      <c r="AR191" s="105"/>
      <c r="AS191" s="138"/>
      <c r="AT191" s="104"/>
      <c r="AU191" s="104"/>
      <c r="AY191" s="30" t="str">
        <f>IF(E191="","",IF(ISNA(VLOOKUP($E191,'D-1 Off-Site Habitat Baseline'!$D$1:$AV$258,4,FALSE)),"",(VLOOKUP($E191,'D-1 Off-Site Habitat Baseline'!$D$1:$AV$258,4,FALSE))))</f>
        <v/>
      </c>
    </row>
    <row r="192" spans="1:51" ht="14">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319" t="str">
        <f>'D-1 Off-Site Habitat Baseline'!AP191</f>
        <v/>
      </c>
      <c r="F192" s="283" t="str">
        <f>IF(E192="","",IF(ISNA(VLOOKUP($E192,'D-1 Off-Site Habitat Baseline'!$D$1:$ZZ$258,45,FALSE)),"",(VLOOKUP($E192,'D-1 Off-Site Habitat Baseline'!$D$1:$ZZ$258,45,FALSE))))</f>
        <v/>
      </c>
      <c r="G192" s="295" t="str">
        <f>IF(E192="","",IF(ISNA(VLOOKUP($E192,'D-1 Off-Site Habitat Baseline'!$D$1:$O$258,5,FALSE)),"",(VLOOKUP($E192,'D-1 Off-Site Habitat Baseline'!$D$1:$O$258,5,FALSE))))</f>
        <v/>
      </c>
      <c r="H192" s="295" t="str">
        <f>IF(E192="","",IF(ISNA(VLOOKUP($E192,'D-1 Off-Site Habitat Baseline'!$D$1:$O$258,6,FALSE)),"",(VLOOKUP($E192,'D-1 Off-Site Habitat Baseline'!$D$1:$O$258,6,FALSE))))</f>
        <v/>
      </c>
      <c r="I192" s="295" t="str">
        <f>IF(E192="","",IF(ISNA(VLOOKUP($E192,'D-1 Off-Site Habitat Baseline'!$D$1:$O$258,7,FALSE)),"",(VLOOKUP($E192,'D-1 Off-Site Habitat Baseline'!$D$1:$O$258,7,FALSE))))</f>
        <v/>
      </c>
      <c r="J192" s="295" t="str">
        <f>IF(E192="","",IF(ISNA(VLOOKUP($E192,'D-1 Off-Site Habitat Baseline'!$D$1:$O$258,8,FALSE)),"",(VLOOKUP($E192,'D-1 Off-Site Habitat Baseline'!$D$1:$O$258,8,FALSE))))</f>
        <v/>
      </c>
      <c r="K192" s="295" t="str">
        <f>IF(E192="","",IF(ISNA(VLOOKUP($E192,'D-1 Off-Site Habitat Baseline'!$D$1:$O$258,9,FALSE)),"",(VLOOKUP($E192,'D-1 Off-Site Habitat Baseline'!$D$1:$O$258,9,FALSE))))</f>
        <v/>
      </c>
      <c r="L192" s="295" t="str">
        <f>IF(E192="","",IF(ISNA(VLOOKUP($E192,'D-1 Off-Site Habitat Baseline'!$D$1:$O$258,11,FALSE)),"",(VLOOKUP($E192,'D-1 Off-Site Habitat Baseline'!$D$1:$O$258,11,FALSE))))</f>
        <v/>
      </c>
      <c r="M192" s="295" t="str">
        <f>IF(E192="","",IF(ISNA(VLOOKUP($E192,'D-1 Off-Site Habitat Baseline'!$D$1:$O$258,12,FALSE)),"",(VLOOKUP($E192,'D-1 Off-Site Habitat Baseline'!$D$1:$O$258,12,FALSE))))</f>
        <v/>
      </c>
      <c r="N192" s="295" t="str">
        <f>IF(E192="","",IF(ISNA(VLOOKUP($E192,'D-1 Off-Site Habitat Baseline'!$D$1:$AA$258,17,FALSE)),"",(VLOOKUP($E192,'D-1 Off-Site Habitat Baseline'!$D$1:$AA$258,17,FALSE))))</f>
        <v/>
      </c>
      <c r="O192" s="299" t="str">
        <f>IF(E192="","",IF(ISNA(VLOOKUP($E192,'D-1 Off-Site Habitat Baseline'!$D$1:$AA$258,13,FALSE)),"",(VLOOKUP($E192,'D-1 Off-Site Habitat Baseline'!$D$1:$AA$258,13,FALSE))))</f>
        <v/>
      </c>
      <c r="P192" s="148" t="str">
        <f>IFERROR(INDEX('G-1 All Habitats'!$AG$49:$AG$63,MATCH(Q192,'G-1 All Habitats'!$AF$27:$AF$41,0)),"")</f>
        <v/>
      </c>
      <c r="Q192" s="149" t="str">
        <f t="shared" si="24"/>
        <v/>
      </c>
      <c r="R192" s="150"/>
      <c r="S192" s="151" t="str">
        <f>IFERROR(INDEX('G-1 All Habitats'!$B$3:$B$135,MATCH(R192,'G-1 All Habitats'!$A$3:$A$135,0)),"")</f>
        <v/>
      </c>
      <c r="T192" s="283" t="str">
        <f t="shared" si="25"/>
        <v/>
      </c>
      <c r="U192" s="276" t="str">
        <f t="shared" si="26"/>
        <v/>
      </c>
      <c r="V192" s="298" t="str">
        <f t="shared" si="22"/>
        <v/>
      </c>
      <c r="W192" s="295" t="str">
        <f>IF(S192="","",VLOOKUP(S192,'G-1 All Habitats'!$B$2:$M$135,10,FALSE))</f>
        <v/>
      </c>
      <c r="X192" s="295" t="str">
        <f>IFERROR(VLOOKUP(W192,'G-1 All Habitats'!$V$3:$W$7,2,FALSE),"")</f>
        <v/>
      </c>
      <c r="Y192" s="138"/>
      <c r="Z192" s="299" t="str">
        <f>IFERROR(INDEX('G-8 Condition Look up'!$A$3:$H$135,MATCH(S192,'G-8 Condition Look up'!$A$3:$A$135,0),MATCH(Y192,'G-8 Condition Look up'!$A$3:$H$3,0)),"")</f>
        <v/>
      </c>
      <c r="AA192" s="101"/>
      <c r="AB192" s="314" t="str">
        <f>IF(AA192="","",IF(VLOOKUP(AA192,'G-3 Multipliers'!$L$3:$N$6,2,FALSE)=0,"Spatial Data Missing ⚠",VLOOKUP(AA192,'G-3 Multipliers'!$L$3:$N$6,2,FALSE)))</f>
        <v/>
      </c>
      <c r="AC192" s="299" t="str">
        <f>IF(AA192="","",IF(VLOOKUP(AA192,'G-3 Multipliers'!$L$3:$N$6,3,FALSE)=0,"Spatial Data Missing ⚠",VLOOKUP(AA192,'G-3 Multipliers'!$L$3:$N$6,3,FALSE)))</f>
        <v/>
      </c>
      <c r="AD192" s="311" t="str">
        <f t="shared" si="23"/>
        <v/>
      </c>
      <c r="AE192" s="138"/>
      <c r="AF192" s="138"/>
      <c r="AG192" s="295" t="str">
        <f t="shared" si="27"/>
        <v/>
      </c>
      <c r="AH192" s="296" t="str">
        <f t="shared" si="28"/>
        <v/>
      </c>
      <c r="AI192" s="300" t="str">
        <f>IF(AH192="Check Data ⚠","Check Data ⚠",IFERROR(VLOOKUP(AH192,'G-4 Temporal multipliers'!$A$4:$C$36,3,FALSE),""))</f>
        <v/>
      </c>
      <c r="AJ192" s="311" t="str">
        <f>IF(S192="","",VLOOKUP(S192,'G-3 Multipliers'!$A$2:$E$134,4,FALSE))</f>
        <v/>
      </c>
      <c r="AK192" s="295" t="str">
        <f t="shared" si="29"/>
        <v/>
      </c>
      <c r="AL192" s="295" t="str">
        <f t="shared" si="30"/>
        <v/>
      </c>
      <c r="AM192" s="299" t="str">
        <f>IFERROR(IF(F192="","",IF(AH192="Check Data ⚠","Check Data ⚠",VLOOKUP(AL192,'G-3 Multipliers'!$P$2:$Q$6,2,FALSE))),"")</f>
        <v/>
      </c>
      <c r="AN192" s="712" t="str">
        <f>IF(E192="","",IF(ISNA(VLOOKUP($E192,'D-1 Off-Site Habitat Baseline'!$D$1:$Z$258,15,FALSE)),"",(VLOOKUP($E192,'D-1 Off-Site Habitat Baseline'!$D$1:$Z$258,15,FALSE))))</f>
        <v/>
      </c>
      <c r="AO192" s="329" t="str">
        <f>IF(AN192="","",IF(VLOOKUP(AN192,'G-3 Multipliers'!$S$3:$T$10,2,FALSE)=0,"Spatial Data Missing ⚠",VLOOKUP(AN192,'G-3 Multipliers'!$S$3:$T$10,2,FALSE)))</f>
        <v/>
      </c>
      <c r="AP192" s="289" t="str">
        <f t="shared" si="31"/>
        <v/>
      </c>
      <c r="AQ192" s="289" t="str">
        <f t="shared" si="32"/>
        <v/>
      </c>
      <c r="AR192" s="105"/>
      <c r="AS192" s="138"/>
      <c r="AT192" s="104"/>
      <c r="AU192" s="104"/>
      <c r="AY192" s="30" t="str">
        <f>IF(E192="","",IF(ISNA(VLOOKUP($E192,'D-1 Off-Site Habitat Baseline'!$D$1:$AV$258,4,FALSE)),"",(VLOOKUP($E192,'D-1 Off-Site Habitat Baseline'!$D$1:$AV$258,4,FALSE))))</f>
        <v/>
      </c>
    </row>
    <row r="193" spans="1:51" ht="14">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319" t="str">
        <f>'D-1 Off-Site Habitat Baseline'!AP192</f>
        <v/>
      </c>
      <c r="F193" s="283" t="str">
        <f>IF(E193="","",IF(ISNA(VLOOKUP($E193,'D-1 Off-Site Habitat Baseline'!$D$1:$ZZ$258,45,FALSE)),"",(VLOOKUP($E193,'D-1 Off-Site Habitat Baseline'!$D$1:$ZZ$258,45,FALSE))))</f>
        <v/>
      </c>
      <c r="G193" s="295" t="str">
        <f>IF(E193="","",IF(ISNA(VLOOKUP($E193,'D-1 Off-Site Habitat Baseline'!$D$1:$O$258,5,FALSE)),"",(VLOOKUP($E193,'D-1 Off-Site Habitat Baseline'!$D$1:$O$258,5,FALSE))))</f>
        <v/>
      </c>
      <c r="H193" s="295" t="str">
        <f>IF(E193="","",IF(ISNA(VLOOKUP($E193,'D-1 Off-Site Habitat Baseline'!$D$1:$O$258,6,FALSE)),"",(VLOOKUP($E193,'D-1 Off-Site Habitat Baseline'!$D$1:$O$258,6,FALSE))))</f>
        <v/>
      </c>
      <c r="I193" s="295" t="str">
        <f>IF(E193="","",IF(ISNA(VLOOKUP($E193,'D-1 Off-Site Habitat Baseline'!$D$1:$O$258,7,FALSE)),"",(VLOOKUP($E193,'D-1 Off-Site Habitat Baseline'!$D$1:$O$258,7,FALSE))))</f>
        <v/>
      </c>
      <c r="J193" s="295" t="str">
        <f>IF(E193="","",IF(ISNA(VLOOKUP($E193,'D-1 Off-Site Habitat Baseline'!$D$1:$O$258,8,FALSE)),"",(VLOOKUP($E193,'D-1 Off-Site Habitat Baseline'!$D$1:$O$258,8,FALSE))))</f>
        <v/>
      </c>
      <c r="K193" s="295" t="str">
        <f>IF(E193="","",IF(ISNA(VLOOKUP($E193,'D-1 Off-Site Habitat Baseline'!$D$1:$O$258,9,FALSE)),"",(VLOOKUP($E193,'D-1 Off-Site Habitat Baseline'!$D$1:$O$258,9,FALSE))))</f>
        <v/>
      </c>
      <c r="L193" s="295" t="str">
        <f>IF(E193="","",IF(ISNA(VLOOKUP($E193,'D-1 Off-Site Habitat Baseline'!$D$1:$O$258,11,FALSE)),"",(VLOOKUP($E193,'D-1 Off-Site Habitat Baseline'!$D$1:$O$258,11,FALSE))))</f>
        <v/>
      </c>
      <c r="M193" s="295" t="str">
        <f>IF(E193="","",IF(ISNA(VLOOKUP($E193,'D-1 Off-Site Habitat Baseline'!$D$1:$O$258,12,FALSE)),"",(VLOOKUP($E193,'D-1 Off-Site Habitat Baseline'!$D$1:$O$258,12,FALSE))))</f>
        <v/>
      </c>
      <c r="N193" s="295" t="str">
        <f>IF(E193="","",IF(ISNA(VLOOKUP($E193,'D-1 Off-Site Habitat Baseline'!$D$1:$AA$258,17,FALSE)),"",(VLOOKUP($E193,'D-1 Off-Site Habitat Baseline'!$D$1:$AA$258,17,FALSE))))</f>
        <v/>
      </c>
      <c r="O193" s="299" t="str">
        <f>IF(E193="","",IF(ISNA(VLOOKUP($E193,'D-1 Off-Site Habitat Baseline'!$D$1:$AA$258,13,FALSE)),"",(VLOOKUP($E193,'D-1 Off-Site Habitat Baseline'!$D$1:$AA$258,13,FALSE))))</f>
        <v/>
      </c>
      <c r="P193" s="148" t="str">
        <f>IFERROR(INDEX('G-1 All Habitats'!$AG$49:$AG$63,MATCH(Q193,'G-1 All Habitats'!$AF$27:$AF$41,0)),"")</f>
        <v/>
      </c>
      <c r="Q193" s="149" t="str">
        <f t="shared" si="24"/>
        <v/>
      </c>
      <c r="R193" s="150"/>
      <c r="S193" s="151" t="str">
        <f>IFERROR(INDEX('G-1 All Habitats'!$B$3:$B$135,MATCH(R193,'G-1 All Habitats'!$A$3:$A$135,0)),"")</f>
        <v/>
      </c>
      <c r="T193" s="283" t="str">
        <f t="shared" si="25"/>
        <v/>
      </c>
      <c r="U193" s="276" t="str">
        <f t="shared" si="26"/>
        <v/>
      </c>
      <c r="V193" s="298" t="str">
        <f t="shared" si="22"/>
        <v/>
      </c>
      <c r="W193" s="295" t="str">
        <f>IF(S193="","",VLOOKUP(S193,'G-1 All Habitats'!$B$2:$M$135,10,FALSE))</f>
        <v/>
      </c>
      <c r="X193" s="295" t="str">
        <f>IFERROR(VLOOKUP(W193,'G-1 All Habitats'!$V$3:$W$7,2,FALSE),"")</f>
        <v/>
      </c>
      <c r="Y193" s="138"/>
      <c r="Z193" s="299" t="str">
        <f>IFERROR(INDEX('G-8 Condition Look up'!$A$3:$H$135,MATCH(S193,'G-8 Condition Look up'!$A$3:$A$135,0),MATCH(Y193,'G-8 Condition Look up'!$A$3:$H$3,0)),"")</f>
        <v/>
      </c>
      <c r="AA193" s="101"/>
      <c r="AB193" s="314" t="str">
        <f>IF(AA193="","",IF(VLOOKUP(AA193,'G-3 Multipliers'!$L$3:$N$6,2,FALSE)=0,"Spatial Data Missing ⚠",VLOOKUP(AA193,'G-3 Multipliers'!$L$3:$N$6,2,FALSE)))</f>
        <v/>
      </c>
      <c r="AC193" s="299" t="str">
        <f>IF(AA193="","",IF(VLOOKUP(AA193,'G-3 Multipliers'!$L$3:$N$6,3,FALSE)=0,"Spatial Data Missing ⚠",VLOOKUP(AA193,'G-3 Multipliers'!$L$3:$N$6,3,FALSE)))</f>
        <v/>
      </c>
      <c r="AD193" s="311" t="str">
        <f t="shared" si="23"/>
        <v/>
      </c>
      <c r="AE193" s="138"/>
      <c r="AF193" s="138"/>
      <c r="AG193" s="295" t="str">
        <f t="shared" si="27"/>
        <v/>
      </c>
      <c r="AH193" s="296" t="str">
        <f t="shared" si="28"/>
        <v/>
      </c>
      <c r="AI193" s="300" t="str">
        <f>IF(AH193="Check Data ⚠","Check Data ⚠",IFERROR(VLOOKUP(AH193,'G-4 Temporal multipliers'!$A$4:$C$36,3,FALSE),""))</f>
        <v/>
      </c>
      <c r="AJ193" s="311" t="str">
        <f>IF(S193="","",VLOOKUP(S193,'G-3 Multipliers'!$A$2:$E$134,4,FALSE))</f>
        <v/>
      </c>
      <c r="AK193" s="295" t="str">
        <f t="shared" si="29"/>
        <v/>
      </c>
      <c r="AL193" s="295" t="str">
        <f t="shared" si="30"/>
        <v/>
      </c>
      <c r="AM193" s="299" t="str">
        <f>IFERROR(IF(F193="","",IF(AH193="Check Data ⚠","Check Data ⚠",VLOOKUP(AL193,'G-3 Multipliers'!$P$2:$Q$6,2,FALSE))),"")</f>
        <v/>
      </c>
      <c r="AN193" s="712" t="str">
        <f>IF(E193="","",IF(ISNA(VLOOKUP($E193,'D-1 Off-Site Habitat Baseline'!$D$1:$Z$258,15,FALSE)),"",(VLOOKUP($E193,'D-1 Off-Site Habitat Baseline'!$D$1:$Z$258,15,FALSE))))</f>
        <v/>
      </c>
      <c r="AO193" s="329" t="str">
        <f>IF(AN193="","",IF(VLOOKUP(AN193,'G-3 Multipliers'!$S$3:$T$10,2,FALSE)=0,"Spatial Data Missing ⚠",VLOOKUP(AN193,'G-3 Multipliers'!$S$3:$T$10,2,FALSE)))</f>
        <v/>
      </c>
      <c r="AP193" s="289" t="str">
        <f t="shared" si="31"/>
        <v/>
      </c>
      <c r="AQ193" s="289" t="str">
        <f t="shared" si="32"/>
        <v/>
      </c>
      <c r="AR193" s="105"/>
      <c r="AS193" s="138"/>
      <c r="AT193" s="104"/>
      <c r="AU193" s="104"/>
      <c r="AY193" s="30" t="str">
        <f>IF(E193="","",IF(ISNA(VLOOKUP($E193,'D-1 Off-Site Habitat Baseline'!$D$1:$AV$258,4,FALSE)),"",(VLOOKUP($E193,'D-1 Off-Site Habitat Baseline'!$D$1:$AV$258,4,FALSE))))</f>
        <v/>
      </c>
    </row>
    <row r="194" spans="1:51" ht="14">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319" t="str">
        <f>'D-1 Off-Site Habitat Baseline'!AP193</f>
        <v/>
      </c>
      <c r="F194" s="283" t="str">
        <f>IF(E194="","",IF(ISNA(VLOOKUP($E194,'D-1 Off-Site Habitat Baseline'!$D$1:$ZZ$258,45,FALSE)),"",(VLOOKUP($E194,'D-1 Off-Site Habitat Baseline'!$D$1:$ZZ$258,45,FALSE))))</f>
        <v/>
      </c>
      <c r="G194" s="295" t="str">
        <f>IF(E194="","",IF(ISNA(VLOOKUP($E194,'D-1 Off-Site Habitat Baseline'!$D$1:$O$258,5,FALSE)),"",(VLOOKUP($E194,'D-1 Off-Site Habitat Baseline'!$D$1:$O$258,5,FALSE))))</f>
        <v/>
      </c>
      <c r="H194" s="295" t="str">
        <f>IF(E194="","",IF(ISNA(VLOOKUP($E194,'D-1 Off-Site Habitat Baseline'!$D$1:$O$258,6,FALSE)),"",(VLOOKUP($E194,'D-1 Off-Site Habitat Baseline'!$D$1:$O$258,6,FALSE))))</f>
        <v/>
      </c>
      <c r="I194" s="295" t="str">
        <f>IF(E194="","",IF(ISNA(VLOOKUP($E194,'D-1 Off-Site Habitat Baseline'!$D$1:$O$258,7,FALSE)),"",(VLOOKUP($E194,'D-1 Off-Site Habitat Baseline'!$D$1:$O$258,7,FALSE))))</f>
        <v/>
      </c>
      <c r="J194" s="295" t="str">
        <f>IF(E194="","",IF(ISNA(VLOOKUP($E194,'D-1 Off-Site Habitat Baseline'!$D$1:$O$258,8,FALSE)),"",(VLOOKUP($E194,'D-1 Off-Site Habitat Baseline'!$D$1:$O$258,8,FALSE))))</f>
        <v/>
      </c>
      <c r="K194" s="295" t="str">
        <f>IF(E194="","",IF(ISNA(VLOOKUP($E194,'D-1 Off-Site Habitat Baseline'!$D$1:$O$258,9,FALSE)),"",(VLOOKUP($E194,'D-1 Off-Site Habitat Baseline'!$D$1:$O$258,9,FALSE))))</f>
        <v/>
      </c>
      <c r="L194" s="295" t="str">
        <f>IF(E194="","",IF(ISNA(VLOOKUP($E194,'D-1 Off-Site Habitat Baseline'!$D$1:$O$258,11,FALSE)),"",(VLOOKUP($E194,'D-1 Off-Site Habitat Baseline'!$D$1:$O$258,11,FALSE))))</f>
        <v/>
      </c>
      <c r="M194" s="295" t="str">
        <f>IF(E194="","",IF(ISNA(VLOOKUP($E194,'D-1 Off-Site Habitat Baseline'!$D$1:$O$258,12,FALSE)),"",(VLOOKUP($E194,'D-1 Off-Site Habitat Baseline'!$D$1:$O$258,12,FALSE))))</f>
        <v/>
      </c>
      <c r="N194" s="295" t="str">
        <f>IF(E194="","",IF(ISNA(VLOOKUP($E194,'D-1 Off-Site Habitat Baseline'!$D$1:$AA$258,17,FALSE)),"",(VLOOKUP($E194,'D-1 Off-Site Habitat Baseline'!$D$1:$AA$258,17,FALSE))))</f>
        <v/>
      </c>
      <c r="O194" s="299" t="str">
        <f>IF(E194="","",IF(ISNA(VLOOKUP($E194,'D-1 Off-Site Habitat Baseline'!$D$1:$AA$258,13,FALSE)),"",(VLOOKUP($E194,'D-1 Off-Site Habitat Baseline'!$D$1:$AA$258,13,FALSE))))</f>
        <v/>
      </c>
      <c r="P194" s="148" t="str">
        <f>IFERROR(INDEX('G-1 All Habitats'!$AG$49:$AG$63,MATCH(Q194,'G-1 All Habitats'!$AF$27:$AF$41,0)),"")</f>
        <v/>
      </c>
      <c r="Q194" s="149" t="str">
        <f t="shared" si="24"/>
        <v/>
      </c>
      <c r="R194" s="150"/>
      <c r="S194" s="151" t="str">
        <f>IFERROR(INDEX('G-1 All Habitats'!$B$3:$B$135,MATCH(R194,'G-1 All Habitats'!$A$3:$A$135,0)),"")</f>
        <v/>
      </c>
      <c r="T194" s="283" t="str">
        <f t="shared" si="25"/>
        <v/>
      </c>
      <c r="U194" s="276" t="str">
        <f t="shared" si="26"/>
        <v/>
      </c>
      <c r="V194" s="298" t="str">
        <f t="shared" si="22"/>
        <v/>
      </c>
      <c r="W194" s="295" t="str">
        <f>IF(S194="","",VLOOKUP(S194,'G-1 All Habitats'!$B$2:$M$135,10,FALSE))</f>
        <v/>
      </c>
      <c r="X194" s="295" t="str">
        <f>IFERROR(VLOOKUP(W194,'G-1 All Habitats'!$V$3:$W$7,2,FALSE),"")</f>
        <v/>
      </c>
      <c r="Y194" s="138"/>
      <c r="Z194" s="299" t="str">
        <f>IFERROR(INDEX('G-8 Condition Look up'!$A$3:$H$135,MATCH(S194,'G-8 Condition Look up'!$A$3:$A$135,0),MATCH(Y194,'G-8 Condition Look up'!$A$3:$H$3,0)),"")</f>
        <v/>
      </c>
      <c r="AA194" s="101"/>
      <c r="AB194" s="314" t="str">
        <f>IF(AA194="","",IF(VLOOKUP(AA194,'G-3 Multipliers'!$L$3:$N$6,2,FALSE)=0,"Spatial Data Missing ⚠",VLOOKUP(AA194,'G-3 Multipliers'!$L$3:$N$6,2,FALSE)))</f>
        <v/>
      </c>
      <c r="AC194" s="299" t="str">
        <f>IF(AA194="","",IF(VLOOKUP(AA194,'G-3 Multipliers'!$L$3:$N$6,3,FALSE)=0,"Spatial Data Missing ⚠",VLOOKUP(AA194,'G-3 Multipliers'!$L$3:$N$6,3,FALSE)))</f>
        <v/>
      </c>
      <c r="AD194" s="311" t="str">
        <f t="shared" si="23"/>
        <v/>
      </c>
      <c r="AE194" s="138"/>
      <c r="AF194" s="138"/>
      <c r="AG194" s="295" t="str">
        <f t="shared" si="27"/>
        <v/>
      </c>
      <c r="AH194" s="296" t="str">
        <f t="shared" si="28"/>
        <v/>
      </c>
      <c r="AI194" s="300" t="str">
        <f>IF(AH194="Check Data ⚠","Check Data ⚠",IFERROR(VLOOKUP(AH194,'G-4 Temporal multipliers'!$A$4:$C$36,3,FALSE),""))</f>
        <v/>
      </c>
      <c r="AJ194" s="311" t="str">
        <f>IF(S194="","",VLOOKUP(S194,'G-3 Multipliers'!$A$2:$E$134,4,FALSE))</f>
        <v/>
      </c>
      <c r="AK194" s="295" t="str">
        <f t="shared" si="29"/>
        <v/>
      </c>
      <c r="AL194" s="295" t="str">
        <f t="shared" si="30"/>
        <v/>
      </c>
      <c r="AM194" s="299" t="str">
        <f>IFERROR(IF(F194="","",IF(AH194="Check Data ⚠","Check Data ⚠",VLOOKUP(AL194,'G-3 Multipliers'!$P$2:$Q$6,2,FALSE))),"")</f>
        <v/>
      </c>
      <c r="AN194" s="712" t="str">
        <f>IF(E194="","",IF(ISNA(VLOOKUP($E194,'D-1 Off-Site Habitat Baseline'!$D$1:$Z$258,15,FALSE)),"",(VLOOKUP($E194,'D-1 Off-Site Habitat Baseline'!$D$1:$Z$258,15,FALSE))))</f>
        <v/>
      </c>
      <c r="AO194" s="329" t="str">
        <f>IF(AN194="","",IF(VLOOKUP(AN194,'G-3 Multipliers'!$S$3:$T$10,2,FALSE)=0,"Spatial Data Missing ⚠",VLOOKUP(AN194,'G-3 Multipliers'!$S$3:$T$10,2,FALSE)))</f>
        <v/>
      </c>
      <c r="AP194" s="289" t="str">
        <f t="shared" si="31"/>
        <v/>
      </c>
      <c r="AQ194" s="289" t="str">
        <f t="shared" si="32"/>
        <v/>
      </c>
      <c r="AR194" s="105"/>
      <c r="AS194" s="138"/>
      <c r="AT194" s="104"/>
      <c r="AU194" s="104"/>
      <c r="AY194" s="30" t="str">
        <f>IF(E194="","",IF(ISNA(VLOOKUP($E194,'D-1 Off-Site Habitat Baseline'!$D$1:$AV$258,4,FALSE)),"",(VLOOKUP($E194,'D-1 Off-Site Habitat Baseline'!$D$1:$AV$258,4,FALSE))))</f>
        <v/>
      </c>
    </row>
    <row r="195" spans="1:51" ht="14">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319" t="str">
        <f>'D-1 Off-Site Habitat Baseline'!AP194</f>
        <v/>
      </c>
      <c r="F195" s="283" t="str">
        <f>IF(E195="","",IF(ISNA(VLOOKUP($E195,'D-1 Off-Site Habitat Baseline'!$D$1:$ZZ$258,45,FALSE)),"",(VLOOKUP($E195,'D-1 Off-Site Habitat Baseline'!$D$1:$ZZ$258,45,FALSE))))</f>
        <v/>
      </c>
      <c r="G195" s="295" t="str">
        <f>IF(E195="","",IF(ISNA(VLOOKUP($E195,'D-1 Off-Site Habitat Baseline'!$D$1:$O$258,5,FALSE)),"",(VLOOKUP($E195,'D-1 Off-Site Habitat Baseline'!$D$1:$O$258,5,FALSE))))</f>
        <v/>
      </c>
      <c r="H195" s="295" t="str">
        <f>IF(E195="","",IF(ISNA(VLOOKUP($E195,'D-1 Off-Site Habitat Baseline'!$D$1:$O$258,6,FALSE)),"",(VLOOKUP($E195,'D-1 Off-Site Habitat Baseline'!$D$1:$O$258,6,FALSE))))</f>
        <v/>
      </c>
      <c r="I195" s="295" t="str">
        <f>IF(E195="","",IF(ISNA(VLOOKUP($E195,'D-1 Off-Site Habitat Baseline'!$D$1:$O$258,7,FALSE)),"",(VLOOKUP($E195,'D-1 Off-Site Habitat Baseline'!$D$1:$O$258,7,FALSE))))</f>
        <v/>
      </c>
      <c r="J195" s="295" t="str">
        <f>IF(E195="","",IF(ISNA(VLOOKUP($E195,'D-1 Off-Site Habitat Baseline'!$D$1:$O$258,8,FALSE)),"",(VLOOKUP($E195,'D-1 Off-Site Habitat Baseline'!$D$1:$O$258,8,FALSE))))</f>
        <v/>
      </c>
      <c r="K195" s="295" t="str">
        <f>IF(E195="","",IF(ISNA(VLOOKUP($E195,'D-1 Off-Site Habitat Baseline'!$D$1:$O$258,9,FALSE)),"",(VLOOKUP($E195,'D-1 Off-Site Habitat Baseline'!$D$1:$O$258,9,FALSE))))</f>
        <v/>
      </c>
      <c r="L195" s="295" t="str">
        <f>IF(E195="","",IF(ISNA(VLOOKUP($E195,'D-1 Off-Site Habitat Baseline'!$D$1:$O$258,11,FALSE)),"",(VLOOKUP($E195,'D-1 Off-Site Habitat Baseline'!$D$1:$O$258,11,FALSE))))</f>
        <v/>
      </c>
      <c r="M195" s="295" t="str">
        <f>IF(E195="","",IF(ISNA(VLOOKUP($E195,'D-1 Off-Site Habitat Baseline'!$D$1:$O$258,12,FALSE)),"",(VLOOKUP($E195,'D-1 Off-Site Habitat Baseline'!$D$1:$O$258,12,FALSE))))</f>
        <v/>
      </c>
      <c r="N195" s="295" t="str">
        <f>IF(E195="","",IF(ISNA(VLOOKUP($E195,'D-1 Off-Site Habitat Baseline'!$D$1:$AA$258,17,FALSE)),"",(VLOOKUP($E195,'D-1 Off-Site Habitat Baseline'!$D$1:$AA$258,17,FALSE))))</f>
        <v/>
      </c>
      <c r="O195" s="299" t="str">
        <f>IF(E195="","",IF(ISNA(VLOOKUP($E195,'D-1 Off-Site Habitat Baseline'!$D$1:$AA$258,13,FALSE)),"",(VLOOKUP($E195,'D-1 Off-Site Habitat Baseline'!$D$1:$AA$258,13,FALSE))))</f>
        <v/>
      </c>
      <c r="P195" s="148" t="str">
        <f>IFERROR(INDEX('G-1 All Habitats'!$AG$49:$AG$63,MATCH(Q195,'G-1 All Habitats'!$AF$27:$AF$41,0)),"")</f>
        <v/>
      </c>
      <c r="Q195" s="149" t="str">
        <f t="shared" si="24"/>
        <v/>
      </c>
      <c r="R195" s="150"/>
      <c r="S195" s="151" t="str">
        <f>IFERROR(INDEX('G-1 All Habitats'!$B$3:$B$135,MATCH(R195,'G-1 All Habitats'!$A$3:$A$135,0)),"")</f>
        <v/>
      </c>
      <c r="T195" s="283" t="str">
        <f t="shared" si="25"/>
        <v/>
      </c>
      <c r="U195" s="276" t="str">
        <f t="shared" si="26"/>
        <v/>
      </c>
      <c r="V195" s="298" t="str">
        <f t="shared" si="22"/>
        <v/>
      </c>
      <c r="W195" s="295" t="str">
        <f>IF(S195="","",VLOOKUP(S195,'G-1 All Habitats'!$B$2:$M$135,10,FALSE))</f>
        <v/>
      </c>
      <c r="X195" s="295" t="str">
        <f>IFERROR(VLOOKUP(W195,'G-1 All Habitats'!$V$3:$W$7,2,FALSE),"")</f>
        <v/>
      </c>
      <c r="Y195" s="138"/>
      <c r="Z195" s="299" t="str">
        <f>IFERROR(INDEX('G-8 Condition Look up'!$A$3:$H$135,MATCH(S195,'G-8 Condition Look up'!$A$3:$A$135,0),MATCH(Y195,'G-8 Condition Look up'!$A$3:$H$3,0)),"")</f>
        <v/>
      </c>
      <c r="AA195" s="101"/>
      <c r="AB195" s="314" t="str">
        <f>IF(AA195="","",IF(VLOOKUP(AA195,'G-3 Multipliers'!$L$3:$N$6,2,FALSE)=0,"Spatial Data Missing ⚠",VLOOKUP(AA195,'G-3 Multipliers'!$L$3:$N$6,2,FALSE)))</f>
        <v/>
      </c>
      <c r="AC195" s="299" t="str">
        <f>IF(AA195="","",IF(VLOOKUP(AA195,'G-3 Multipliers'!$L$3:$N$6,3,FALSE)=0,"Spatial Data Missing ⚠",VLOOKUP(AA195,'G-3 Multipliers'!$L$3:$N$6,3,FALSE)))</f>
        <v/>
      </c>
      <c r="AD195" s="311" t="str">
        <f t="shared" si="23"/>
        <v/>
      </c>
      <c r="AE195" s="138"/>
      <c r="AF195" s="138"/>
      <c r="AG195" s="295" t="str">
        <f t="shared" si="27"/>
        <v/>
      </c>
      <c r="AH195" s="296" t="str">
        <f t="shared" si="28"/>
        <v/>
      </c>
      <c r="AI195" s="300" t="str">
        <f>IF(AH195="Check Data ⚠","Check Data ⚠",IFERROR(VLOOKUP(AH195,'G-4 Temporal multipliers'!$A$4:$C$36,3,FALSE),""))</f>
        <v/>
      </c>
      <c r="AJ195" s="311" t="str">
        <f>IF(S195="","",VLOOKUP(S195,'G-3 Multipliers'!$A$2:$E$134,4,FALSE))</f>
        <v/>
      </c>
      <c r="AK195" s="295" t="str">
        <f t="shared" si="29"/>
        <v/>
      </c>
      <c r="AL195" s="295" t="str">
        <f t="shared" si="30"/>
        <v/>
      </c>
      <c r="AM195" s="299" t="str">
        <f>IFERROR(IF(F195="","",IF(AH195="Check Data ⚠","Check Data ⚠",VLOOKUP(AL195,'G-3 Multipliers'!$P$2:$Q$6,2,FALSE))),"")</f>
        <v/>
      </c>
      <c r="AN195" s="712" t="str">
        <f>IF(E195="","",IF(ISNA(VLOOKUP($E195,'D-1 Off-Site Habitat Baseline'!$D$1:$Z$258,15,FALSE)),"",(VLOOKUP($E195,'D-1 Off-Site Habitat Baseline'!$D$1:$Z$258,15,FALSE))))</f>
        <v/>
      </c>
      <c r="AO195" s="329" t="str">
        <f>IF(AN195="","",IF(VLOOKUP(AN195,'G-3 Multipliers'!$S$3:$T$10,2,FALSE)=0,"Spatial Data Missing ⚠",VLOOKUP(AN195,'G-3 Multipliers'!$S$3:$T$10,2,FALSE)))</f>
        <v/>
      </c>
      <c r="AP195" s="289" t="str">
        <f t="shared" si="31"/>
        <v/>
      </c>
      <c r="AQ195" s="289" t="str">
        <f t="shared" si="32"/>
        <v/>
      </c>
      <c r="AR195" s="105"/>
      <c r="AS195" s="138"/>
      <c r="AT195" s="104"/>
      <c r="AU195" s="104"/>
      <c r="AY195" s="30" t="str">
        <f>IF(E195="","",IF(ISNA(VLOOKUP($E195,'D-1 Off-Site Habitat Baseline'!$D$1:$AV$258,4,FALSE)),"",(VLOOKUP($E195,'D-1 Off-Site Habitat Baseline'!$D$1:$AV$258,4,FALSE))))</f>
        <v/>
      </c>
    </row>
    <row r="196" spans="1:51" ht="14">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319" t="str">
        <f>'D-1 Off-Site Habitat Baseline'!AP195</f>
        <v/>
      </c>
      <c r="F196" s="283" t="str">
        <f>IF(E196="","",IF(ISNA(VLOOKUP($E196,'D-1 Off-Site Habitat Baseline'!$D$1:$ZZ$258,45,FALSE)),"",(VLOOKUP($E196,'D-1 Off-Site Habitat Baseline'!$D$1:$ZZ$258,45,FALSE))))</f>
        <v/>
      </c>
      <c r="G196" s="295" t="str">
        <f>IF(E196="","",IF(ISNA(VLOOKUP($E196,'D-1 Off-Site Habitat Baseline'!$D$1:$O$258,5,FALSE)),"",(VLOOKUP($E196,'D-1 Off-Site Habitat Baseline'!$D$1:$O$258,5,FALSE))))</f>
        <v/>
      </c>
      <c r="H196" s="295" t="str">
        <f>IF(E196="","",IF(ISNA(VLOOKUP($E196,'D-1 Off-Site Habitat Baseline'!$D$1:$O$258,6,FALSE)),"",(VLOOKUP($E196,'D-1 Off-Site Habitat Baseline'!$D$1:$O$258,6,FALSE))))</f>
        <v/>
      </c>
      <c r="I196" s="295" t="str">
        <f>IF(E196="","",IF(ISNA(VLOOKUP($E196,'D-1 Off-Site Habitat Baseline'!$D$1:$O$258,7,FALSE)),"",(VLOOKUP($E196,'D-1 Off-Site Habitat Baseline'!$D$1:$O$258,7,FALSE))))</f>
        <v/>
      </c>
      <c r="J196" s="295" t="str">
        <f>IF(E196="","",IF(ISNA(VLOOKUP($E196,'D-1 Off-Site Habitat Baseline'!$D$1:$O$258,8,FALSE)),"",(VLOOKUP($E196,'D-1 Off-Site Habitat Baseline'!$D$1:$O$258,8,FALSE))))</f>
        <v/>
      </c>
      <c r="K196" s="295" t="str">
        <f>IF(E196="","",IF(ISNA(VLOOKUP($E196,'D-1 Off-Site Habitat Baseline'!$D$1:$O$258,9,FALSE)),"",(VLOOKUP($E196,'D-1 Off-Site Habitat Baseline'!$D$1:$O$258,9,FALSE))))</f>
        <v/>
      </c>
      <c r="L196" s="295" t="str">
        <f>IF(E196="","",IF(ISNA(VLOOKUP($E196,'D-1 Off-Site Habitat Baseline'!$D$1:$O$258,11,FALSE)),"",(VLOOKUP($E196,'D-1 Off-Site Habitat Baseline'!$D$1:$O$258,11,FALSE))))</f>
        <v/>
      </c>
      <c r="M196" s="295" t="str">
        <f>IF(E196="","",IF(ISNA(VLOOKUP($E196,'D-1 Off-Site Habitat Baseline'!$D$1:$O$258,12,FALSE)),"",(VLOOKUP($E196,'D-1 Off-Site Habitat Baseline'!$D$1:$O$258,12,FALSE))))</f>
        <v/>
      </c>
      <c r="N196" s="295" t="str">
        <f>IF(E196="","",IF(ISNA(VLOOKUP($E196,'D-1 Off-Site Habitat Baseline'!$D$1:$AA$258,17,FALSE)),"",(VLOOKUP($E196,'D-1 Off-Site Habitat Baseline'!$D$1:$AA$258,17,FALSE))))</f>
        <v/>
      </c>
      <c r="O196" s="299" t="str">
        <f>IF(E196="","",IF(ISNA(VLOOKUP($E196,'D-1 Off-Site Habitat Baseline'!$D$1:$AA$258,13,FALSE)),"",(VLOOKUP($E196,'D-1 Off-Site Habitat Baseline'!$D$1:$AA$258,13,FALSE))))</f>
        <v/>
      </c>
      <c r="P196" s="148" t="str">
        <f>IFERROR(INDEX('G-1 All Habitats'!$AG$49:$AG$63,MATCH(Q196,'G-1 All Habitats'!$AF$27:$AF$41,0)),"")</f>
        <v/>
      </c>
      <c r="Q196" s="149" t="str">
        <f t="shared" si="24"/>
        <v/>
      </c>
      <c r="R196" s="150"/>
      <c r="S196" s="151" t="str">
        <f>IFERROR(INDEX('G-1 All Habitats'!$B$3:$B$135,MATCH(R196,'G-1 All Habitats'!$A$3:$A$135,0)),"")</f>
        <v/>
      </c>
      <c r="T196" s="283" t="str">
        <f t="shared" si="25"/>
        <v/>
      </c>
      <c r="U196" s="276" t="str">
        <f t="shared" si="26"/>
        <v/>
      </c>
      <c r="V196" s="298" t="str">
        <f t="shared" si="22"/>
        <v/>
      </c>
      <c r="W196" s="295" t="str">
        <f>IF(S196="","",VLOOKUP(S196,'G-1 All Habitats'!$B$2:$M$135,10,FALSE))</f>
        <v/>
      </c>
      <c r="X196" s="295" t="str">
        <f>IFERROR(VLOOKUP(W196,'G-1 All Habitats'!$V$3:$W$7,2,FALSE),"")</f>
        <v/>
      </c>
      <c r="Y196" s="138"/>
      <c r="Z196" s="299" t="str">
        <f>IFERROR(INDEX('G-8 Condition Look up'!$A$3:$H$135,MATCH(S196,'G-8 Condition Look up'!$A$3:$A$135,0),MATCH(Y196,'G-8 Condition Look up'!$A$3:$H$3,0)),"")</f>
        <v/>
      </c>
      <c r="AA196" s="101"/>
      <c r="AB196" s="314" t="str">
        <f>IF(AA196="","",IF(VLOOKUP(AA196,'G-3 Multipliers'!$L$3:$N$6,2,FALSE)=0,"Spatial Data Missing ⚠",VLOOKUP(AA196,'G-3 Multipliers'!$L$3:$N$6,2,FALSE)))</f>
        <v/>
      </c>
      <c r="AC196" s="299" t="str">
        <f>IF(AA196="","",IF(VLOOKUP(AA196,'G-3 Multipliers'!$L$3:$N$6,3,FALSE)=0,"Spatial Data Missing ⚠",VLOOKUP(AA196,'G-3 Multipliers'!$L$3:$N$6,3,FALSE)))</f>
        <v/>
      </c>
      <c r="AD196" s="311" t="str">
        <f t="shared" si="23"/>
        <v/>
      </c>
      <c r="AE196" s="138"/>
      <c r="AF196" s="138"/>
      <c r="AG196" s="295" t="str">
        <f t="shared" si="27"/>
        <v/>
      </c>
      <c r="AH196" s="296" t="str">
        <f t="shared" si="28"/>
        <v/>
      </c>
      <c r="AI196" s="300" t="str">
        <f>IF(AH196="Check Data ⚠","Check Data ⚠",IFERROR(VLOOKUP(AH196,'G-4 Temporal multipliers'!$A$4:$C$36,3,FALSE),""))</f>
        <v/>
      </c>
      <c r="AJ196" s="311" t="str">
        <f>IF(S196="","",VLOOKUP(S196,'G-3 Multipliers'!$A$2:$E$134,4,FALSE))</f>
        <v/>
      </c>
      <c r="AK196" s="295" t="str">
        <f t="shared" si="29"/>
        <v/>
      </c>
      <c r="AL196" s="295" t="str">
        <f t="shared" si="30"/>
        <v/>
      </c>
      <c r="AM196" s="299" t="str">
        <f>IFERROR(IF(F196="","",IF(AH196="Check Data ⚠","Check Data ⚠",VLOOKUP(AL196,'G-3 Multipliers'!$P$2:$Q$6,2,FALSE))),"")</f>
        <v/>
      </c>
      <c r="AN196" s="712" t="str">
        <f>IF(E196="","",IF(ISNA(VLOOKUP($E196,'D-1 Off-Site Habitat Baseline'!$D$1:$Z$258,15,FALSE)),"",(VLOOKUP($E196,'D-1 Off-Site Habitat Baseline'!$D$1:$Z$258,15,FALSE))))</f>
        <v/>
      </c>
      <c r="AO196" s="329" t="str">
        <f>IF(AN196="","",IF(VLOOKUP(AN196,'G-3 Multipliers'!$S$3:$T$10,2,FALSE)=0,"Spatial Data Missing ⚠",VLOOKUP(AN196,'G-3 Multipliers'!$S$3:$T$10,2,FALSE)))</f>
        <v/>
      </c>
      <c r="AP196" s="289" t="str">
        <f t="shared" si="31"/>
        <v/>
      </c>
      <c r="AQ196" s="289" t="str">
        <f t="shared" si="32"/>
        <v/>
      </c>
      <c r="AR196" s="105"/>
      <c r="AS196" s="138"/>
      <c r="AT196" s="104"/>
      <c r="AU196" s="104"/>
      <c r="AY196" s="30" t="str">
        <f>IF(E196="","",IF(ISNA(VLOOKUP($E196,'D-1 Off-Site Habitat Baseline'!$D$1:$AV$258,4,FALSE)),"",(VLOOKUP($E196,'D-1 Off-Site Habitat Baseline'!$D$1:$AV$258,4,FALSE))))</f>
        <v/>
      </c>
    </row>
    <row r="197" spans="1:51" ht="14">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319" t="str">
        <f>'D-1 Off-Site Habitat Baseline'!AP196</f>
        <v/>
      </c>
      <c r="F197" s="283" t="str">
        <f>IF(E197="","",IF(ISNA(VLOOKUP($E197,'D-1 Off-Site Habitat Baseline'!$D$1:$ZZ$258,45,FALSE)),"",(VLOOKUP($E197,'D-1 Off-Site Habitat Baseline'!$D$1:$ZZ$258,45,FALSE))))</f>
        <v/>
      </c>
      <c r="G197" s="295" t="str">
        <f>IF(E197="","",IF(ISNA(VLOOKUP($E197,'D-1 Off-Site Habitat Baseline'!$D$1:$O$258,5,FALSE)),"",(VLOOKUP($E197,'D-1 Off-Site Habitat Baseline'!$D$1:$O$258,5,FALSE))))</f>
        <v/>
      </c>
      <c r="H197" s="295" t="str">
        <f>IF(E197="","",IF(ISNA(VLOOKUP($E197,'D-1 Off-Site Habitat Baseline'!$D$1:$O$258,6,FALSE)),"",(VLOOKUP($E197,'D-1 Off-Site Habitat Baseline'!$D$1:$O$258,6,FALSE))))</f>
        <v/>
      </c>
      <c r="I197" s="295" t="str">
        <f>IF(E197="","",IF(ISNA(VLOOKUP($E197,'D-1 Off-Site Habitat Baseline'!$D$1:$O$258,7,FALSE)),"",(VLOOKUP($E197,'D-1 Off-Site Habitat Baseline'!$D$1:$O$258,7,FALSE))))</f>
        <v/>
      </c>
      <c r="J197" s="295" t="str">
        <f>IF(E197="","",IF(ISNA(VLOOKUP($E197,'D-1 Off-Site Habitat Baseline'!$D$1:$O$258,8,FALSE)),"",(VLOOKUP($E197,'D-1 Off-Site Habitat Baseline'!$D$1:$O$258,8,FALSE))))</f>
        <v/>
      </c>
      <c r="K197" s="295" t="str">
        <f>IF(E197="","",IF(ISNA(VLOOKUP($E197,'D-1 Off-Site Habitat Baseline'!$D$1:$O$258,9,FALSE)),"",(VLOOKUP($E197,'D-1 Off-Site Habitat Baseline'!$D$1:$O$258,9,FALSE))))</f>
        <v/>
      </c>
      <c r="L197" s="295" t="str">
        <f>IF(E197="","",IF(ISNA(VLOOKUP($E197,'D-1 Off-Site Habitat Baseline'!$D$1:$O$258,11,FALSE)),"",(VLOOKUP($E197,'D-1 Off-Site Habitat Baseline'!$D$1:$O$258,11,FALSE))))</f>
        <v/>
      </c>
      <c r="M197" s="295" t="str">
        <f>IF(E197="","",IF(ISNA(VLOOKUP($E197,'D-1 Off-Site Habitat Baseline'!$D$1:$O$258,12,FALSE)),"",(VLOOKUP($E197,'D-1 Off-Site Habitat Baseline'!$D$1:$O$258,12,FALSE))))</f>
        <v/>
      </c>
      <c r="N197" s="295" t="str">
        <f>IF(E197="","",IF(ISNA(VLOOKUP($E197,'D-1 Off-Site Habitat Baseline'!$D$1:$AA$258,17,FALSE)),"",(VLOOKUP($E197,'D-1 Off-Site Habitat Baseline'!$D$1:$AA$258,17,FALSE))))</f>
        <v/>
      </c>
      <c r="O197" s="299" t="str">
        <f>IF(E197="","",IF(ISNA(VLOOKUP($E197,'D-1 Off-Site Habitat Baseline'!$D$1:$AA$258,13,FALSE)),"",(VLOOKUP($E197,'D-1 Off-Site Habitat Baseline'!$D$1:$AA$258,13,FALSE))))</f>
        <v/>
      </c>
      <c r="P197" s="148" t="str">
        <f>IFERROR(INDEX('G-1 All Habitats'!$AG$49:$AG$63,MATCH(Q197,'G-1 All Habitats'!$AF$27:$AF$41,0)),"")</f>
        <v/>
      </c>
      <c r="Q197" s="149" t="str">
        <f t="shared" si="24"/>
        <v/>
      </c>
      <c r="R197" s="150"/>
      <c r="S197" s="151" t="str">
        <f>IFERROR(INDEX('G-1 All Habitats'!$B$3:$B$135,MATCH(R197,'G-1 All Habitats'!$A$3:$A$135,0)),"")</f>
        <v/>
      </c>
      <c r="T197" s="283" t="str">
        <f t="shared" si="25"/>
        <v/>
      </c>
      <c r="U197" s="276" t="str">
        <f t="shared" si="26"/>
        <v/>
      </c>
      <c r="V197" s="298" t="str">
        <f t="shared" si="22"/>
        <v/>
      </c>
      <c r="W197" s="295" t="str">
        <f>IF(S197="","",VLOOKUP(S197,'G-1 All Habitats'!$B$2:$M$135,10,FALSE))</f>
        <v/>
      </c>
      <c r="X197" s="295" t="str">
        <f>IFERROR(VLOOKUP(W197,'G-1 All Habitats'!$V$3:$W$7,2,FALSE),"")</f>
        <v/>
      </c>
      <c r="Y197" s="138"/>
      <c r="Z197" s="299" t="str">
        <f>IFERROR(INDEX('G-8 Condition Look up'!$A$3:$H$135,MATCH(S197,'G-8 Condition Look up'!$A$3:$A$135,0),MATCH(Y197,'G-8 Condition Look up'!$A$3:$H$3,0)),"")</f>
        <v/>
      </c>
      <c r="AA197" s="101"/>
      <c r="AB197" s="314" t="str">
        <f>IF(AA197="","",IF(VLOOKUP(AA197,'G-3 Multipliers'!$L$3:$N$6,2,FALSE)=0,"Spatial Data Missing ⚠",VLOOKUP(AA197,'G-3 Multipliers'!$L$3:$N$6,2,FALSE)))</f>
        <v/>
      </c>
      <c r="AC197" s="299" t="str">
        <f>IF(AA197="","",IF(VLOOKUP(AA197,'G-3 Multipliers'!$L$3:$N$6,3,FALSE)=0,"Spatial Data Missing ⚠",VLOOKUP(AA197,'G-3 Multipliers'!$L$3:$N$6,3,FALSE)))</f>
        <v/>
      </c>
      <c r="AD197" s="311" t="str">
        <f t="shared" si="23"/>
        <v/>
      </c>
      <c r="AE197" s="138"/>
      <c r="AF197" s="138"/>
      <c r="AG197" s="295" t="str">
        <f t="shared" si="27"/>
        <v/>
      </c>
      <c r="AH197" s="296" t="str">
        <f t="shared" si="28"/>
        <v/>
      </c>
      <c r="AI197" s="300" t="str">
        <f>IF(AH197="Check Data ⚠","Check Data ⚠",IFERROR(VLOOKUP(AH197,'G-4 Temporal multipliers'!$A$4:$C$36,3,FALSE),""))</f>
        <v/>
      </c>
      <c r="AJ197" s="311" t="str">
        <f>IF(S197="","",VLOOKUP(S197,'G-3 Multipliers'!$A$2:$E$134,4,FALSE))</f>
        <v/>
      </c>
      <c r="AK197" s="295" t="str">
        <f t="shared" si="29"/>
        <v/>
      </c>
      <c r="AL197" s="295" t="str">
        <f t="shared" si="30"/>
        <v/>
      </c>
      <c r="AM197" s="299" t="str">
        <f>IFERROR(IF(F197="","",IF(AH197="Check Data ⚠","Check Data ⚠",VLOOKUP(AL197,'G-3 Multipliers'!$P$2:$Q$6,2,FALSE))),"")</f>
        <v/>
      </c>
      <c r="AN197" s="712" t="str">
        <f>IF(E197="","",IF(ISNA(VLOOKUP($E197,'D-1 Off-Site Habitat Baseline'!$D$1:$Z$258,15,FALSE)),"",(VLOOKUP($E197,'D-1 Off-Site Habitat Baseline'!$D$1:$Z$258,15,FALSE))))</f>
        <v/>
      </c>
      <c r="AO197" s="329" t="str">
        <f>IF(AN197="","",IF(VLOOKUP(AN197,'G-3 Multipliers'!$S$3:$T$10,2,FALSE)=0,"Spatial Data Missing ⚠",VLOOKUP(AN197,'G-3 Multipliers'!$S$3:$T$10,2,FALSE)))</f>
        <v/>
      </c>
      <c r="AP197" s="289" t="str">
        <f t="shared" si="31"/>
        <v/>
      </c>
      <c r="AQ197" s="289" t="str">
        <f t="shared" si="32"/>
        <v/>
      </c>
      <c r="AR197" s="105"/>
      <c r="AS197" s="138"/>
      <c r="AT197" s="104"/>
      <c r="AU197" s="104"/>
      <c r="AY197" s="30" t="str">
        <f>IF(E197="","",IF(ISNA(VLOOKUP($E197,'D-1 Off-Site Habitat Baseline'!$D$1:$AV$258,4,FALSE)),"",(VLOOKUP($E197,'D-1 Off-Site Habitat Baseline'!$D$1:$AV$258,4,FALSE))))</f>
        <v/>
      </c>
    </row>
    <row r="198" spans="1:51" ht="14">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319" t="str">
        <f>'D-1 Off-Site Habitat Baseline'!AP197</f>
        <v/>
      </c>
      <c r="F198" s="283" t="str">
        <f>IF(E198="","",IF(ISNA(VLOOKUP($E198,'D-1 Off-Site Habitat Baseline'!$D$1:$ZZ$258,45,FALSE)),"",(VLOOKUP($E198,'D-1 Off-Site Habitat Baseline'!$D$1:$ZZ$258,45,FALSE))))</f>
        <v/>
      </c>
      <c r="G198" s="295" t="str">
        <f>IF(E198="","",IF(ISNA(VLOOKUP($E198,'D-1 Off-Site Habitat Baseline'!$D$1:$O$258,5,FALSE)),"",(VLOOKUP($E198,'D-1 Off-Site Habitat Baseline'!$D$1:$O$258,5,FALSE))))</f>
        <v/>
      </c>
      <c r="H198" s="295" t="str">
        <f>IF(E198="","",IF(ISNA(VLOOKUP($E198,'D-1 Off-Site Habitat Baseline'!$D$1:$O$258,6,FALSE)),"",(VLOOKUP($E198,'D-1 Off-Site Habitat Baseline'!$D$1:$O$258,6,FALSE))))</f>
        <v/>
      </c>
      <c r="I198" s="295" t="str">
        <f>IF(E198="","",IF(ISNA(VLOOKUP($E198,'D-1 Off-Site Habitat Baseline'!$D$1:$O$258,7,FALSE)),"",(VLOOKUP($E198,'D-1 Off-Site Habitat Baseline'!$D$1:$O$258,7,FALSE))))</f>
        <v/>
      </c>
      <c r="J198" s="295" t="str">
        <f>IF(E198="","",IF(ISNA(VLOOKUP($E198,'D-1 Off-Site Habitat Baseline'!$D$1:$O$258,8,FALSE)),"",(VLOOKUP($E198,'D-1 Off-Site Habitat Baseline'!$D$1:$O$258,8,FALSE))))</f>
        <v/>
      </c>
      <c r="K198" s="295" t="str">
        <f>IF(E198="","",IF(ISNA(VLOOKUP($E198,'D-1 Off-Site Habitat Baseline'!$D$1:$O$258,9,FALSE)),"",(VLOOKUP($E198,'D-1 Off-Site Habitat Baseline'!$D$1:$O$258,9,FALSE))))</f>
        <v/>
      </c>
      <c r="L198" s="295" t="str">
        <f>IF(E198="","",IF(ISNA(VLOOKUP($E198,'D-1 Off-Site Habitat Baseline'!$D$1:$O$258,11,FALSE)),"",(VLOOKUP($E198,'D-1 Off-Site Habitat Baseline'!$D$1:$O$258,11,FALSE))))</f>
        <v/>
      </c>
      <c r="M198" s="295" t="str">
        <f>IF(E198="","",IF(ISNA(VLOOKUP($E198,'D-1 Off-Site Habitat Baseline'!$D$1:$O$258,12,FALSE)),"",(VLOOKUP($E198,'D-1 Off-Site Habitat Baseline'!$D$1:$O$258,12,FALSE))))</f>
        <v/>
      </c>
      <c r="N198" s="295" t="str">
        <f>IF(E198="","",IF(ISNA(VLOOKUP($E198,'D-1 Off-Site Habitat Baseline'!$D$1:$AA$258,17,FALSE)),"",(VLOOKUP($E198,'D-1 Off-Site Habitat Baseline'!$D$1:$AA$258,17,FALSE))))</f>
        <v/>
      </c>
      <c r="O198" s="299" t="str">
        <f>IF(E198="","",IF(ISNA(VLOOKUP($E198,'D-1 Off-Site Habitat Baseline'!$D$1:$AA$258,13,FALSE)),"",(VLOOKUP($E198,'D-1 Off-Site Habitat Baseline'!$D$1:$AA$258,13,FALSE))))</f>
        <v/>
      </c>
      <c r="P198" s="148" t="str">
        <f>IFERROR(INDEX('G-1 All Habitats'!$AG$49:$AG$63,MATCH(Q198,'G-1 All Habitats'!$AF$27:$AF$41,0)),"")</f>
        <v/>
      </c>
      <c r="Q198" s="149" t="str">
        <f t="shared" si="24"/>
        <v/>
      </c>
      <c r="R198" s="150"/>
      <c r="S198" s="151" t="str">
        <f>IFERROR(INDEX('G-1 All Habitats'!$B$3:$B$135,MATCH(R198,'G-1 All Habitats'!$A$3:$A$135,0)),"")</f>
        <v/>
      </c>
      <c r="T198" s="283" t="str">
        <f t="shared" si="25"/>
        <v/>
      </c>
      <c r="U198" s="276" t="str">
        <f t="shared" si="26"/>
        <v/>
      </c>
      <c r="V198" s="298" t="str">
        <f t="shared" si="22"/>
        <v/>
      </c>
      <c r="W198" s="295" t="str">
        <f>IF(S198="","",VLOOKUP(S198,'G-1 All Habitats'!$B$2:$M$135,10,FALSE))</f>
        <v/>
      </c>
      <c r="X198" s="295" t="str">
        <f>IFERROR(VLOOKUP(W198,'G-1 All Habitats'!$V$3:$W$7,2,FALSE),"")</f>
        <v/>
      </c>
      <c r="Y198" s="138"/>
      <c r="Z198" s="299" t="str">
        <f>IFERROR(INDEX('G-8 Condition Look up'!$A$3:$H$135,MATCH(S198,'G-8 Condition Look up'!$A$3:$A$135,0),MATCH(Y198,'G-8 Condition Look up'!$A$3:$H$3,0)),"")</f>
        <v/>
      </c>
      <c r="AA198" s="101"/>
      <c r="AB198" s="314" t="str">
        <f>IF(AA198="","",IF(VLOOKUP(AA198,'G-3 Multipliers'!$L$3:$N$6,2,FALSE)=0,"Spatial Data Missing ⚠",VLOOKUP(AA198,'G-3 Multipliers'!$L$3:$N$6,2,FALSE)))</f>
        <v/>
      </c>
      <c r="AC198" s="299" t="str">
        <f>IF(AA198="","",IF(VLOOKUP(AA198,'G-3 Multipliers'!$L$3:$N$6,3,FALSE)=0,"Spatial Data Missing ⚠",VLOOKUP(AA198,'G-3 Multipliers'!$L$3:$N$6,3,FALSE)))</f>
        <v/>
      </c>
      <c r="AD198" s="311" t="str">
        <f t="shared" si="23"/>
        <v/>
      </c>
      <c r="AE198" s="138"/>
      <c r="AF198" s="138"/>
      <c r="AG198" s="295" t="str">
        <f t="shared" si="27"/>
        <v/>
      </c>
      <c r="AH198" s="296" t="str">
        <f t="shared" si="28"/>
        <v/>
      </c>
      <c r="AI198" s="300" t="str">
        <f>IF(AH198="Check Data ⚠","Check Data ⚠",IFERROR(VLOOKUP(AH198,'G-4 Temporal multipliers'!$A$4:$C$36,3,FALSE),""))</f>
        <v/>
      </c>
      <c r="AJ198" s="311" t="str">
        <f>IF(S198="","",VLOOKUP(S198,'G-3 Multipliers'!$A$2:$E$134,4,FALSE))</f>
        <v/>
      </c>
      <c r="AK198" s="295" t="str">
        <f t="shared" si="29"/>
        <v/>
      </c>
      <c r="AL198" s="295" t="str">
        <f t="shared" si="30"/>
        <v/>
      </c>
      <c r="AM198" s="299" t="str">
        <f>IFERROR(IF(F198="","",IF(AH198="Check Data ⚠","Check Data ⚠",VLOOKUP(AL198,'G-3 Multipliers'!$P$2:$Q$6,2,FALSE))),"")</f>
        <v/>
      </c>
      <c r="AN198" s="712" t="str">
        <f>IF(E198="","",IF(ISNA(VLOOKUP($E198,'D-1 Off-Site Habitat Baseline'!$D$1:$Z$258,15,FALSE)),"",(VLOOKUP($E198,'D-1 Off-Site Habitat Baseline'!$D$1:$Z$258,15,FALSE))))</f>
        <v/>
      </c>
      <c r="AO198" s="329" t="str">
        <f>IF(AN198="","",IF(VLOOKUP(AN198,'G-3 Multipliers'!$S$3:$T$10,2,FALSE)=0,"Spatial Data Missing ⚠",VLOOKUP(AN198,'G-3 Multipliers'!$S$3:$T$10,2,FALSE)))</f>
        <v/>
      </c>
      <c r="AP198" s="289" t="str">
        <f t="shared" si="31"/>
        <v/>
      </c>
      <c r="AQ198" s="289" t="str">
        <f t="shared" si="32"/>
        <v/>
      </c>
      <c r="AR198" s="105"/>
      <c r="AS198" s="138"/>
      <c r="AT198" s="104"/>
      <c r="AU198" s="104"/>
      <c r="AY198" s="30" t="str">
        <f>IF(E198="","",IF(ISNA(VLOOKUP($E198,'D-1 Off-Site Habitat Baseline'!$D$1:$AV$258,4,FALSE)),"",(VLOOKUP($E198,'D-1 Off-Site Habitat Baseline'!$D$1:$AV$258,4,FALSE))))</f>
        <v/>
      </c>
    </row>
    <row r="199" spans="1:51" ht="14">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319" t="str">
        <f>'D-1 Off-Site Habitat Baseline'!AP198</f>
        <v/>
      </c>
      <c r="F199" s="283" t="str">
        <f>IF(E199="","",IF(ISNA(VLOOKUP($E199,'D-1 Off-Site Habitat Baseline'!$D$1:$ZZ$258,45,FALSE)),"",(VLOOKUP($E199,'D-1 Off-Site Habitat Baseline'!$D$1:$ZZ$258,45,FALSE))))</f>
        <v/>
      </c>
      <c r="G199" s="295" t="str">
        <f>IF(E199="","",IF(ISNA(VLOOKUP($E199,'D-1 Off-Site Habitat Baseline'!$D$1:$O$258,5,FALSE)),"",(VLOOKUP($E199,'D-1 Off-Site Habitat Baseline'!$D$1:$O$258,5,FALSE))))</f>
        <v/>
      </c>
      <c r="H199" s="295" t="str">
        <f>IF(E199="","",IF(ISNA(VLOOKUP($E199,'D-1 Off-Site Habitat Baseline'!$D$1:$O$258,6,FALSE)),"",(VLOOKUP($E199,'D-1 Off-Site Habitat Baseline'!$D$1:$O$258,6,FALSE))))</f>
        <v/>
      </c>
      <c r="I199" s="295" t="str">
        <f>IF(E199="","",IF(ISNA(VLOOKUP($E199,'D-1 Off-Site Habitat Baseline'!$D$1:$O$258,7,FALSE)),"",(VLOOKUP($E199,'D-1 Off-Site Habitat Baseline'!$D$1:$O$258,7,FALSE))))</f>
        <v/>
      </c>
      <c r="J199" s="295" t="str">
        <f>IF(E199="","",IF(ISNA(VLOOKUP($E199,'D-1 Off-Site Habitat Baseline'!$D$1:$O$258,8,FALSE)),"",(VLOOKUP($E199,'D-1 Off-Site Habitat Baseline'!$D$1:$O$258,8,FALSE))))</f>
        <v/>
      </c>
      <c r="K199" s="295" t="str">
        <f>IF(E199="","",IF(ISNA(VLOOKUP($E199,'D-1 Off-Site Habitat Baseline'!$D$1:$O$258,9,FALSE)),"",(VLOOKUP($E199,'D-1 Off-Site Habitat Baseline'!$D$1:$O$258,9,FALSE))))</f>
        <v/>
      </c>
      <c r="L199" s="295" t="str">
        <f>IF(E199="","",IF(ISNA(VLOOKUP($E199,'D-1 Off-Site Habitat Baseline'!$D$1:$O$258,11,FALSE)),"",(VLOOKUP($E199,'D-1 Off-Site Habitat Baseline'!$D$1:$O$258,11,FALSE))))</f>
        <v/>
      </c>
      <c r="M199" s="295" t="str">
        <f>IF(E199="","",IF(ISNA(VLOOKUP($E199,'D-1 Off-Site Habitat Baseline'!$D$1:$O$258,12,FALSE)),"",(VLOOKUP($E199,'D-1 Off-Site Habitat Baseline'!$D$1:$O$258,12,FALSE))))</f>
        <v/>
      </c>
      <c r="N199" s="295" t="str">
        <f>IF(E199="","",IF(ISNA(VLOOKUP($E199,'D-1 Off-Site Habitat Baseline'!$D$1:$AA$258,17,FALSE)),"",(VLOOKUP($E199,'D-1 Off-Site Habitat Baseline'!$D$1:$AA$258,17,FALSE))))</f>
        <v/>
      </c>
      <c r="O199" s="299" t="str">
        <f>IF(E199="","",IF(ISNA(VLOOKUP($E199,'D-1 Off-Site Habitat Baseline'!$D$1:$AA$258,13,FALSE)),"",(VLOOKUP($E199,'D-1 Off-Site Habitat Baseline'!$D$1:$AA$258,13,FALSE))))</f>
        <v/>
      </c>
      <c r="P199" s="148" t="str">
        <f>IFERROR(INDEX('G-1 All Habitats'!$AG$49:$AG$63,MATCH(Q199,'G-1 All Habitats'!$AF$27:$AF$41,0)),"")</f>
        <v/>
      </c>
      <c r="Q199" s="149" t="str">
        <f t="shared" si="24"/>
        <v/>
      </c>
      <c r="R199" s="150"/>
      <c r="S199" s="151" t="str">
        <f>IFERROR(INDEX('G-1 All Habitats'!$B$3:$B$135,MATCH(R199,'G-1 All Habitats'!$A$3:$A$135,0)),"")</f>
        <v/>
      </c>
      <c r="T199" s="283" t="str">
        <f t="shared" si="25"/>
        <v/>
      </c>
      <c r="U199" s="276" t="str">
        <f t="shared" si="26"/>
        <v/>
      </c>
      <c r="V199" s="298" t="str">
        <f t="shared" si="22"/>
        <v/>
      </c>
      <c r="W199" s="295" t="str">
        <f>IF(S199="","",VLOOKUP(S199,'G-1 All Habitats'!$B$2:$M$135,10,FALSE))</f>
        <v/>
      </c>
      <c r="X199" s="295" t="str">
        <f>IFERROR(VLOOKUP(W199,'G-1 All Habitats'!$V$3:$W$7,2,FALSE),"")</f>
        <v/>
      </c>
      <c r="Y199" s="138"/>
      <c r="Z199" s="299" t="str">
        <f>IFERROR(INDEX('G-8 Condition Look up'!$A$3:$H$135,MATCH(S199,'G-8 Condition Look up'!$A$3:$A$135,0),MATCH(Y199,'G-8 Condition Look up'!$A$3:$H$3,0)),"")</f>
        <v/>
      </c>
      <c r="AA199" s="101"/>
      <c r="AB199" s="314" t="str">
        <f>IF(AA199="","",IF(VLOOKUP(AA199,'G-3 Multipliers'!$L$3:$N$6,2,FALSE)=0,"Spatial Data Missing ⚠",VLOOKUP(AA199,'G-3 Multipliers'!$L$3:$N$6,2,FALSE)))</f>
        <v/>
      </c>
      <c r="AC199" s="299" t="str">
        <f>IF(AA199="","",IF(VLOOKUP(AA199,'G-3 Multipliers'!$L$3:$N$6,3,FALSE)=0,"Spatial Data Missing ⚠",VLOOKUP(AA199,'G-3 Multipliers'!$L$3:$N$6,3,FALSE)))</f>
        <v/>
      </c>
      <c r="AD199" s="311" t="str">
        <f t="shared" si="23"/>
        <v/>
      </c>
      <c r="AE199" s="138"/>
      <c r="AF199" s="138"/>
      <c r="AG199" s="295" t="str">
        <f t="shared" si="27"/>
        <v/>
      </c>
      <c r="AH199" s="296" t="str">
        <f t="shared" si="28"/>
        <v/>
      </c>
      <c r="AI199" s="300" t="str">
        <f>IF(AH199="Check Data ⚠","Check Data ⚠",IFERROR(VLOOKUP(AH199,'G-4 Temporal multipliers'!$A$4:$C$36,3,FALSE),""))</f>
        <v/>
      </c>
      <c r="AJ199" s="311" t="str">
        <f>IF(S199="","",VLOOKUP(S199,'G-3 Multipliers'!$A$2:$E$134,4,FALSE))</f>
        <v/>
      </c>
      <c r="AK199" s="295" t="str">
        <f t="shared" si="29"/>
        <v/>
      </c>
      <c r="AL199" s="295" t="str">
        <f t="shared" si="30"/>
        <v/>
      </c>
      <c r="AM199" s="299" t="str">
        <f>IFERROR(IF(F199="","",IF(AH199="Check Data ⚠","Check Data ⚠",VLOOKUP(AL199,'G-3 Multipliers'!$P$2:$Q$6,2,FALSE))),"")</f>
        <v/>
      </c>
      <c r="AN199" s="712" t="str">
        <f>IF(E199="","",IF(ISNA(VLOOKUP($E199,'D-1 Off-Site Habitat Baseline'!$D$1:$Z$258,15,FALSE)),"",(VLOOKUP($E199,'D-1 Off-Site Habitat Baseline'!$D$1:$Z$258,15,FALSE))))</f>
        <v/>
      </c>
      <c r="AO199" s="329" t="str">
        <f>IF(AN199="","",IF(VLOOKUP(AN199,'G-3 Multipliers'!$S$3:$T$10,2,FALSE)=0,"Spatial Data Missing ⚠",VLOOKUP(AN199,'G-3 Multipliers'!$S$3:$T$10,2,FALSE)))</f>
        <v/>
      </c>
      <c r="AP199" s="289" t="str">
        <f t="shared" si="31"/>
        <v/>
      </c>
      <c r="AQ199" s="289" t="str">
        <f t="shared" si="32"/>
        <v/>
      </c>
      <c r="AR199" s="105"/>
      <c r="AS199" s="138"/>
      <c r="AT199" s="104"/>
      <c r="AU199" s="104"/>
      <c r="AY199" s="30" t="str">
        <f>IF(E199="","",IF(ISNA(VLOOKUP($E199,'D-1 Off-Site Habitat Baseline'!$D$1:$AV$258,4,FALSE)),"",(VLOOKUP($E199,'D-1 Off-Site Habitat Baseline'!$D$1:$AV$258,4,FALSE))))</f>
        <v/>
      </c>
    </row>
    <row r="200" spans="1:51" ht="14">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319" t="str">
        <f>'D-1 Off-Site Habitat Baseline'!AP199</f>
        <v/>
      </c>
      <c r="F200" s="283" t="str">
        <f>IF(E200="","",IF(ISNA(VLOOKUP($E200,'D-1 Off-Site Habitat Baseline'!$D$1:$ZZ$258,45,FALSE)),"",(VLOOKUP($E200,'D-1 Off-Site Habitat Baseline'!$D$1:$ZZ$258,45,FALSE))))</f>
        <v/>
      </c>
      <c r="G200" s="295" t="str">
        <f>IF(E200="","",IF(ISNA(VLOOKUP($E200,'D-1 Off-Site Habitat Baseline'!$D$1:$O$258,5,FALSE)),"",(VLOOKUP($E200,'D-1 Off-Site Habitat Baseline'!$D$1:$O$258,5,FALSE))))</f>
        <v/>
      </c>
      <c r="H200" s="295" t="str">
        <f>IF(E200="","",IF(ISNA(VLOOKUP($E200,'D-1 Off-Site Habitat Baseline'!$D$1:$O$258,6,FALSE)),"",(VLOOKUP($E200,'D-1 Off-Site Habitat Baseline'!$D$1:$O$258,6,FALSE))))</f>
        <v/>
      </c>
      <c r="I200" s="295" t="str">
        <f>IF(E200="","",IF(ISNA(VLOOKUP($E200,'D-1 Off-Site Habitat Baseline'!$D$1:$O$258,7,FALSE)),"",(VLOOKUP($E200,'D-1 Off-Site Habitat Baseline'!$D$1:$O$258,7,FALSE))))</f>
        <v/>
      </c>
      <c r="J200" s="295" t="str">
        <f>IF(E200="","",IF(ISNA(VLOOKUP($E200,'D-1 Off-Site Habitat Baseline'!$D$1:$O$258,8,FALSE)),"",(VLOOKUP($E200,'D-1 Off-Site Habitat Baseline'!$D$1:$O$258,8,FALSE))))</f>
        <v/>
      </c>
      <c r="K200" s="295" t="str">
        <f>IF(E200="","",IF(ISNA(VLOOKUP($E200,'D-1 Off-Site Habitat Baseline'!$D$1:$O$258,9,FALSE)),"",(VLOOKUP($E200,'D-1 Off-Site Habitat Baseline'!$D$1:$O$258,9,FALSE))))</f>
        <v/>
      </c>
      <c r="L200" s="295" t="str">
        <f>IF(E200="","",IF(ISNA(VLOOKUP($E200,'D-1 Off-Site Habitat Baseline'!$D$1:$O$258,11,FALSE)),"",(VLOOKUP($E200,'D-1 Off-Site Habitat Baseline'!$D$1:$O$258,11,FALSE))))</f>
        <v/>
      </c>
      <c r="M200" s="295" t="str">
        <f>IF(E200="","",IF(ISNA(VLOOKUP($E200,'D-1 Off-Site Habitat Baseline'!$D$1:$O$258,12,FALSE)),"",(VLOOKUP($E200,'D-1 Off-Site Habitat Baseline'!$D$1:$O$258,12,FALSE))))</f>
        <v/>
      </c>
      <c r="N200" s="295" t="str">
        <f>IF(E200="","",IF(ISNA(VLOOKUP($E200,'D-1 Off-Site Habitat Baseline'!$D$1:$AA$258,17,FALSE)),"",(VLOOKUP($E200,'D-1 Off-Site Habitat Baseline'!$D$1:$AA$258,17,FALSE))))</f>
        <v/>
      </c>
      <c r="O200" s="299" t="str">
        <f>IF(E200="","",IF(ISNA(VLOOKUP($E200,'D-1 Off-Site Habitat Baseline'!$D$1:$AA$258,13,FALSE)),"",(VLOOKUP($E200,'D-1 Off-Site Habitat Baseline'!$D$1:$AA$258,13,FALSE))))</f>
        <v/>
      </c>
      <c r="P200" s="148" t="str">
        <f>IFERROR(INDEX('G-1 All Habitats'!$AG$49:$AG$63,MATCH(Q200,'G-1 All Habitats'!$AF$27:$AF$41,0)),"")</f>
        <v/>
      </c>
      <c r="Q200" s="149" t="str">
        <f t="shared" si="24"/>
        <v/>
      </c>
      <c r="R200" s="150"/>
      <c r="S200" s="151" t="str">
        <f>IFERROR(INDEX('G-1 All Habitats'!$B$3:$B$135,MATCH(R200,'G-1 All Habitats'!$A$3:$A$135,0)),"")</f>
        <v/>
      </c>
      <c r="T200" s="283" t="str">
        <f t="shared" si="25"/>
        <v/>
      </c>
      <c r="U200" s="276" t="str">
        <f t="shared" si="26"/>
        <v/>
      </c>
      <c r="V200" s="298" t="str">
        <f t="shared" si="22"/>
        <v/>
      </c>
      <c r="W200" s="295" t="str">
        <f>IF(S200="","",VLOOKUP(S200,'G-1 All Habitats'!$B$2:$M$135,10,FALSE))</f>
        <v/>
      </c>
      <c r="X200" s="295" t="str">
        <f>IFERROR(VLOOKUP(W200,'G-1 All Habitats'!$V$3:$W$7,2,FALSE),"")</f>
        <v/>
      </c>
      <c r="Y200" s="138"/>
      <c r="Z200" s="299" t="str">
        <f>IFERROR(INDEX('G-8 Condition Look up'!$A$3:$H$135,MATCH(S200,'G-8 Condition Look up'!$A$3:$A$135,0),MATCH(Y200,'G-8 Condition Look up'!$A$3:$H$3,0)),"")</f>
        <v/>
      </c>
      <c r="AA200" s="101"/>
      <c r="AB200" s="314" t="str">
        <f>IF(AA200="","",IF(VLOOKUP(AA200,'G-3 Multipliers'!$L$3:$N$6,2,FALSE)=0,"Spatial Data Missing ⚠",VLOOKUP(AA200,'G-3 Multipliers'!$L$3:$N$6,2,FALSE)))</f>
        <v/>
      </c>
      <c r="AC200" s="299" t="str">
        <f>IF(AA200="","",IF(VLOOKUP(AA200,'G-3 Multipliers'!$L$3:$N$6,3,FALSE)=0,"Spatial Data Missing ⚠",VLOOKUP(AA200,'G-3 Multipliers'!$L$3:$N$6,3,FALSE)))</f>
        <v/>
      </c>
      <c r="AD200" s="311" t="str">
        <f t="shared" si="23"/>
        <v/>
      </c>
      <c r="AE200" s="138"/>
      <c r="AF200" s="138"/>
      <c r="AG200" s="295" t="str">
        <f t="shared" si="27"/>
        <v/>
      </c>
      <c r="AH200" s="296" t="str">
        <f t="shared" si="28"/>
        <v/>
      </c>
      <c r="AI200" s="300" t="str">
        <f>IF(AH200="Check Data ⚠","Check Data ⚠",IFERROR(VLOOKUP(AH200,'G-4 Temporal multipliers'!$A$4:$C$36,3,FALSE),""))</f>
        <v/>
      </c>
      <c r="AJ200" s="311" t="str">
        <f>IF(S200="","",VLOOKUP(S200,'G-3 Multipliers'!$A$2:$E$134,4,FALSE))</f>
        <v/>
      </c>
      <c r="AK200" s="295" t="str">
        <f t="shared" si="29"/>
        <v/>
      </c>
      <c r="AL200" s="295" t="str">
        <f t="shared" si="30"/>
        <v/>
      </c>
      <c r="AM200" s="299" t="str">
        <f>IFERROR(IF(F200="","",IF(AH200="Check Data ⚠","Check Data ⚠",VLOOKUP(AL200,'G-3 Multipliers'!$P$2:$Q$6,2,FALSE))),"")</f>
        <v/>
      </c>
      <c r="AN200" s="712" t="str">
        <f>IF(E200="","",IF(ISNA(VLOOKUP($E200,'D-1 Off-Site Habitat Baseline'!$D$1:$Z$258,15,FALSE)),"",(VLOOKUP($E200,'D-1 Off-Site Habitat Baseline'!$D$1:$Z$258,15,FALSE))))</f>
        <v/>
      </c>
      <c r="AO200" s="329" t="str">
        <f>IF(AN200="","",IF(VLOOKUP(AN200,'G-3 Multipliers'!$S$3:$T$10,2,FALSE)=0,"Spatial Data Missing ⚠",VLOOKUP(AN200,'G-3 Multipliers'!$S$3:$T$10,2,FALSE)))</f>
        <v/>
      </c>
      <c r="AP200" s="289" t="str">
        <f t="shared" si="31"/>
        <v/>
      </c>
      <c r="AQ200" s="289" t="str">
        <f t="shared" si="32"/>
        <v/>
      </c>
      <c r="AR200" s="105"/>
      <c r="AS200" s="138"/>
      <c r="AT200" s="104"/>
      <c r="AU200" s="104"/>
      <c r="AY200" s="30" t="str">
        <f>IF(E200="","",IF(ISNA(VLOOKUP($E200,'D-1 Off-Site Habitat Baseline'!$D$1:$AV$258,4,FALSE)),"",(VLOOKUP($E200,'D-1 Off-Site Habitat Baseline'!$D$1:$AV$258,4,FALSE))))</f>
        <v/>
      </c>
    </row>
    <row r="201" spans="1:51" ht="14">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319" t="str">
        <f>'D-1 Off-Site Habitat Baseline'!AP200</f>
        <v/>
      </c>
      <c r="F201" s="283" t="str">
        <f>IF(E201="","",IF(ISNA(VLOOKUP($E201,'D-1 Off-Site Habitat Baseline'!$D$1:$ZZ$258,45,FALSE)),"",(VLOOKUP($E201,'D-1 Off-Site Habitat Baseline'!$D$1:$ZZ$258,45,FALSE))))</f>
        <v/>
      </c>
      <c r="G201" s="295" t="str">
        <f>IF(E201="","",IF(ISNA(VLOOKUP($E201,'D-1 Off-Site Habitat Baseline'!$D$1:$O$258,5,FALSE)),"",(VLOOKUP($E201,'D-1 Off-Site Habitat Baseline'!$D$1:$O$258,5,FALSE))))</f>
        <v/>
      </c>
      <c r="H201" s="295" t="str">
        <f>IF(E201="","",IF(ISNA(VLOOKUP($E201,'D-1 Off-Site Habitat Baseline'!$D$1:$O$258,6,FALSE)),"",(VLOOKUP($E201,'D-1 Off-Site Habitat Baseline'!$D$1:$O$258,6,FALSE))))</f>
        <v/>
      </c>
      <c r="I201" s="295" t="str">
        <f>IF(E201="","",IF(ISNA(VLOOKUP($E201,'D-1 Off-Site Habitat Baseline'!$D$1:$O$258,7,FALSE)),"",(VLOOKUP($E201,'D-1 Off-Site Habitat Baseline'!$D$1:$O$258,7,FALSE))))</f>
        <v/>
      </c>
      <c r="J201" s="295" t="str">
        <f>IF(E201="","",IF(ISNA(VLOOKUP($E201,'D-1 Off-Site Habitat Baseline'!$D$1:$O$258,8,FALSE)),"",(VLOOKUP($E201,'D-1 Off-Site Habitat Baseline'!$D$1:$O$258,8,FALSE))))</f>
        <v/>
      </c>
      <c r="K201" s="295" t="str">
        <f>IF(E201="","",IF(ISNA(VLOOKUP($E201,'D-1 Off-Site Habitat Baseline'!$D$1:$O$258,9,FALSE)),"",(VLOOKUP($E201,'D-1 Off-Site Habitat Baseline'!$D$1:$O$258,9,FALSE))))</f>
        <v/>
      </c>
      <c r="L201" s="295" t="str">
        <f>IF(E201="","",IF(ISNA(VLOOKUP($E201,'D-1 Off-Site Habitat Baseline'!$D$1:$O$258,11,FALSE)),"",(VLOOKUP($E201,'D-1 Off-Site Habitat Baseline'!$D$1:$O$258,11,FALSE))))</f>
        <v/>
      </c>
      <c r="M201" s="295" t="str">
        <f>IF(E201="","",IF(ISNA(VLOOKUP($E201,'D-1 Off-Site Habitat Baseline'!$D$1:$O$258,12,FALSE)),"",(VLOOKUP($E201,'D-1 Off-Site Habitat Baseline'!$D$1:$O$258,12,FALSE))))</f>
        <v/>
      </c>
      <c r="N201" s="295" t="str">
        <f>IF(E201="","",IF(ISNA(VLOOKUP($E201,'D-1 Off-Site Habitat Baseline'!$D$1:$AA$258,17,FALSE)),"",(VLOOKUP($E201,'D-1 Off-Site Habitat Baseline'!$D$1:$AA$258,17,FALSE))))</f>
        <v/>
      </c>
      <c r="O201" s="299" t="str">
        <f>IF(E201="","",IF(ISNA(VLOOKUP($E201,'D-1 Off-Site Habitat Baseline'!$D$1:$AA$258,13,FALSE)),"",(VLOOKUP($E201,'D-1 Off-Site Habitat Baseline'!$D$1:$AA$258,13,FALSE))))</f>
        <v/>
      </c>
      <c r="P201" s="148" t="str">
        <f>IFERROR(INDEX('G-1 All Habitats'!$AG$49:$AG$63,MATCH(Q201,'G-1 All Habitats'!$AF$27:$AF$41,0)),"")</f>
        <v/>
      </c>
      <c r="Q201" s="149" t="str">
        <f t="shared" si="24"/>
        <v/>
      </c>
      <c r="R201" s="150"/>
      <c r="S201" s="151" t="str">
        <f>IFERROR(INDEX('G-1 All Habitats'!$B$3:$B$135,MATCH(R201,'G-1 All Habitats'!$A$3:$A$135,0)),"")</f>
        <v/>
      </c>
      <c r="T201" s="283" t="str">
        <f t="shared" si="25"/>
        <v/>
      </c>
      <c r="U201" s="276" t="str">
        <f t="shared" si="26"/>
        <v/>
      </c>
      <c r="V201" s="298" t="str">
        <f t="shared" si="22"/>
        <v/>
      </c>
      <c r="W201" s="295" t="str">
        <f>IF(S201="","",VLOOKUP(S201,'G-1 All Habitats'!$B$2:$M$135,10,FALSE))</f>
        <v/>
      </c>
      <c r="X201" s="295" t="str">
        <f>IFERROR(VLOOKUP(W201,'G-1 All Habitats'!$V$3:$W$7,2,FALSE),"")</f>
        <v/>
      </c>
      <c r="Y201" s="138"/>
      <c r="Z201" s="299" t="str">
        <f>IFERROR(INDEX('G-8 Condition Look up'!$A$3:$H$135,MATCH(S201,'G-8 Condition Look up'!$A$3:$A$135,0),MATCH(Y201,'G-8 Condition Look up'!$A$3:$H$3,0)),"")</f>
        <v/>
      </c>
      <c r="AA201" s="101"/>
      <c r="AB201" s="314" t="str">
        <f>IF(AA201="","",IF(VLOOKUP(AA201,'G-3 Multipliers'!$L$3:$N$6,2,FALSE)=0,"Spatial Data Missing ⚠",VLOOKUP(AA201,'G-3 Multipliers'!$L$3:$N$6,2,FALSE)))</f>
        <v/>
      </c>
      <c r="AC201" s="299" t="str">
        <f>IF(AA201="","",IF(VLOOKUP(AA201,'G-3 Multipliers'!$L$3:$N$6,3,FALSE)=0,"Spatial Data Missing ⚠",VLOOKUP(AA201,'G-3 Multipliers'!$L$3:$N$6,3,FALSE)))</f>
        <v/>
      </c>
      <c r="AD201" s="311" t="str">
        <f t="shared" si="23"/>
        <v/>
      </c>
      <c r="AE201" s="138"/>
      <c r="AF201" s="138"/>
      <c r="AG201" s="295" t="str">
        <f t="shared" si="27"/>
        <v/>
      </c>
      <c r="AH201" s="296" t="str">
        <f t="shared" si="28"/>
        <v/>
      </c>
      <c r="AI201" s="300" t="str">
        <f>IF(AH201="Check Data ⚠","Check Data ⚠",IFERROR(VLOOKUP(AH201,'G-4 Temporal multipliers'!$A$4:$C$36,3,FALSE),""))</f>
        <v/>
      </c>
      <c r="AJ201" s="311" t="str">
        <f>IF(S201="","",VLOOKUP(S201,'G-3 Multipliers'!$A$2:$E$134,4,FALSE))</f>
        <v/>
      </c>
      <c r="AK201" s="295" t="str">
        <f t="shared" si="29"/>
        <v/>
      </c>
      <c r="AL201" s="295" t="str">
        <f t="shared" si="30"/>
        <v/>
      </c>
      <c r="AM201" s="299" t="str">
        <f>IFERROR(IF(F201="","",IF(AH201="Check Data ⚠","Check Data ⚠",VLOOKUP(AL201,'G-3 Multipliers'!$P$2:$Q$6,2,FALSE))),"")</f>
        <v/>
      </c>
      <c r="AN201" s="712" t="str">
        <f>IF(E201="","",IF(ISNA(VLOOKUP($E201,'D-1 Off-Site Habitat Baseline'!$D$1:$Z$258,15,FALSE)),"",(VLOOKUP($E201,'D-1 Off-Site Habitat Baseline'!$D$1:$Z$258,15,FALSE))))</f>
        <v/>
      </c>
      <c r="AO201" s="329" t="str">
        <f>IF(AN201="","",IF(VLOOKUP(AN201,'G-3 Multipliers'!$S$3:$T$10,2,FALSE)=0,"Spatial Data Missing ⚠",VLOOKUP(AN201,'G-3 Multipliers'!$S$3:$T$10,2,FALSE)))</f>
        <v/>
      </c>
      <c r="AP201" s="289" t="str">
        <f t="shared" si="31"/>
        <v/>
      </c>
      <c r="AQ201" s="289" t="str">
        <f t="shared" si="32"/>
        <v/>
      </c>
      <c r="AR201" s="105"/>
      <c r="AS201" s="138"/>
      <c r="AT201" s="104"/>
      <c r="AU201" s="104"/>
      <c r="AY201" s="30" t="str">
        <f>IF(E201="","",IF(ISNA(VLOOKUP($E201,'D-1 Off-Site Habitat Baseline'!$D$1:$AV$258,4,FALSE)),"",(VLOOKUP($E201,'D-1 Off-Site Habitat Baseline'!$D$1:$AV$258,4,FALSE))))</f>
        <v/>
      </c>
    </row>
    <row r="202" spans="1:51" ht="14">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319" t="str">
        <f>'D-1 Off-Site Habitat Baseline'!AP201</f>
        <v/>
      </c>
      <c r="F202" s="283" t="str">
        <f>IF(E202="","",IF(ISNA(VLOOKUP($E202,'D-1 Off-Site Habitat Baseline'!$D$1:$ZZ$258,45,FALSE)),"",(VLOOKUP($E202,'D-1 Off-Site Habitat Baseline'!$D$1:$ZZ$258,45,FALSE))))</f>
        <v/>
      </c>
      <c r="G202" s="295" t="str">
        <f>IF(E202="","",IF(ISNA(VLOOKUP($E202,'D-1 Off-Site Habitat Baseline'!$D$1:$O$258,5,FALSE)),"",(VLOOKUP($E202,'D-1 Off-Site Habitat Baseline'!$D$1:$O$258,5,FALSE))))</f>
        <v/>
      </c>
      <c r="H202" s="295" t="str">
        <f>IF(E202="","",IF(ISNA(VLOOKUP($E202,'D-1 Off-Site Habitat Baseline'!$D$1:$O$258,6,FALSE)),"",(VLOOKUP($E202,'D-1 Off-Site Habitat Baseline'!$D$1:$O$258,6,FALSE))))</f>
        <v/>
      </c>
      <c r="I202" s="295" t="str">
        <f>IF(E202="","",IF(ISNA(VLOOKUP($E202,'D-1 Off-Site Habitat Baseline'!$D$1:$O$258,7,FALSE)),"",(VLOOKUP($E202,'D-1 Off-Site Habitat Baseline'!$D$1:$O$258,7,FALSE))))</f>
        <v/>
      </c>
      <c r="J202" s="295" t="str">
        <f>IF(E202="","",IF(ISNA(VLOOKUP($E202,'D-1 Off-Site Habitat Baseline'!$D$1:$O$258,8,FALSE)),"",(VLOOKUP($E202,'D-1 Off-Site Habitat Baseline'!$D$1:$O$258,8,FALSE))))</f>
        <v/>
      </c>
      <c r="K202" s="295" t="str">
        <f>IF(E202="","",IF(ISNA(VLOOKUP($E202,'D-1 Off-Site Habitat Baseline'!$D$1:$O$258,9,FALSE)),"",(VLOOKUP($E202,'D-1 Off-Site Habitat Baseline'!$D$1:$O$258,9,FALSE))))</f>
        <v/>
      </c>
      <c r="L202" s="295" t="str">
        <f>IF(E202="","",IF(ISNA(VLOOKUP($E202,'D-1 Off-Site Habitat Baseline'!$D$1:$O$258,11,FALSE)),"",(VLOOKUP($E202,'D-1 Off-Site Habitat Baseline'!$D$1:$O$258,11,FALSE))))</f>
        <v/>
      </c>
      <c r="M202" s="295" t="str">
        <f>IF(E202="","",IF(ISNA(VLOOKUP($E202,'D-1 Off-Site Habitat Baseline'!$D$1:$O$258,12,FALSE)),"",(VLOOKUP($E202,'D-1 Off-Site Habitat Baseline'!$D$1:$O$258,12,FALSE))))</f>
        <v/>
      </c>
      <c r="N202" s="295" t="str">
        <f>IF(E202="","",IF(ISNA(VLOOKUP($E202,'D-1 Off-Site Habitat Baseline'!$D$1:$AA$258,17,FALSE)),"",(VLOOKUP($E202,'D-1 Off-Site Habitat Baseline'!$D$1:$AA$258,17,FALSE))))</f>
        <v/>
      </c>
      <c r="O202" s="299" t="str">
        <f>IF(E202="","",IF(ISNA(VLOOKUP($E202,'D-1 Off-Site Habitat Baseline'!$D$1:$AA$258,13,FALSE)),"",(VLOOKUP($E202,'D-1 Off-Site Habitat Baseline'!$D$1:$AA$258,13,FALSE))))</f>
        <v/>
      </c>
      <c r="P202" s="148" t="str">
        <f>IFERROR(INDEX('G-1 All Habitats'!$AG$49:$AG$63,MATCH(Q202,'G-1 All Habitats'!$AF$27:$AF$41,0)),"")</f>
        <v/>
      </c>
      <c r="Q202" s="149" t="str">
        <f t="shared" si="24"/>
        <v/>
      </c>
      <c r="R202" s="150"/>
      <c r="S202" s="151" t="str">
        <f>IFERROR(INDEX('G-1 All Habitats'!$B$3:$B$135,MATCH(R202,'G-1 All Habitats'!$A$3:$A$135,0)),"")</f>
        <v/>
      </c>
      <c r="T202" s="283" t="str">
        <f t="shared" si="25"/>
        <v/>
      </c>
      <c r="U202" s="276" t="str">
        <f t="shared" si="26"/>
        <v/>
      </c>
      <c r="V202" s="298" t="str">
        <f t="shared" si="22"/>
        <v/>
      </c>
      <c r="W202" s="295" t="str">
        <f>IF(S202="","",VLOOKUP(S202,'G-1 All Habitats'!$B$2:$M$135,10,FALSE))</f>
        <v/>
      </c>
      <c r="X202" s="295" t="str">
        <f>IFERROR(VLOOKUP(W202,'G-1 All Habitats'!$V$3:$W$7,2,FALSE),"")</f>
        <v/>
      </c>
      <c r="Y202" s="138"/>
      <c r="Z202" s="299" t="str">
        <f>IFERROR(INDEX('G-8 Condition Look up'!$A$3:$H$135,MATCH(S202,'G-8 Condition Look up'!$A$3:$A$135,0),MATCH(Y202,'G-8 Condition Look up'!$A$3:$H$3,0)),"")</f>
        <v/>
      </c>
      <c r="AA202" s="101"/>
      <c r="AB202" s="314" t="str">
        <f>IF(AA202="","",IF(VLOOKUP(AA202,'G-3 Multipliers'!$L$3:$N$6,2,FALSE)=0,"Spatial Data Missing ⚠",VLOOKUP(AA202,'G-3 Multipliers'!$L$3:$N$6,2,FALSE)))</f>
        <v/>
      </c>
      <c r="AC202" s="299" t="str">
        <f>IF(AA202="","",IF(VLOOKUP(AA202,'G-3 Multipliers'!$L$3:$N$6,3,FALSE)=0,"Spatial Data Missing ⚠",VLOOKUP(AA202,'G-3 Multipliers'!$L$3:$N$6,3,FALSE)))</f>
        <v/>
      </c>
      <c r="AD202" s="311" t="str">
        <f t="shared" si="23"/>
        <v/>
      </c>
      <c r="AE202" s="138"/>
      <c r="AF202" s="138"/>
      <c r="AG202" s="295" t="str">
        <f t="shared" si="27"/>
        <v/>
      </c>
      <c r="AH202" s="296" t="str">
        <f t="shared" si="28"/>
        <v/>
      </c>
      <c r="AI202" s="300" t="str">
        <f>IF(AH202="Check Data ⚠","Check Data ⚠",IFERROR(VLOOKUP(AH202,'G-4 Temporal multipliers'!$A$4:$C$36,3,FALSE),""))</f>
        <v/>
      </c>
      <c r="AJ202" s="311" t="str">
        <f>IF(S202="","",VLOOKUP(S202,'G-3 Multipliers'!$A$2:$E$134,4,FALSE))</f>
        <v/>
      </c>
      <c r="AK202" s="295" t="str">
        <f t="shared" si="29"/>
        <v/>
      </c>
      <c r="AL202" s="295" t="str">
        <f t="shared" si="30"/>
        <v/>
      </c>
      <c r="AM202" s="299" t="str">
        <f>IFERROR(IF(F202="","",IF(AH202="Check Data ⚠","Check Data ⚠",VLOOKUP(AL202,'G-3 Multipliers'!$P$2:$Q$6,2,FALSE))),"")</f>
        <v/>
      </c>
      <c r="AN202" s="712" t="str">
        <f>IF(E202="","",IF(ISNA(VLOOKUP($E202,'D-1 Off-Site Habitat Baseline'!$D$1:$Z$258,15,FALSE)),"",(VLOOKUP($E202,'D-1 Off-Site Habitat Baseline'!$D$1:$Z$258,15,FALSE))))</f>
        <v/>
      </c>
      <c r="AO202" s="329" t="str">
        <f>IF(AN202="","",IF(VLOOKUP(AN202,'G-3 Multipliers'!$S$3:$T$10,2,FALSE)=0,"Spatial Data Missing ⚠",VLOOKUP(AN202,'G-3 Multipliers'!$S$3:$T$10,2,FALSE)))</f>
        <v/>
      </c>
      <c r="AP202" s="289" t="str">
        <f t="shared" si="31"/>
        <v/>
      </c>
      <c r="AQ202" s="289" t="str">
        <f t="shared" si="32"/>
        <v/>
      </c>
      <c r="AR202" s="105"/>
      <c r="AS202" s="138"/>
      <c r="AT202" s="104"/>
      <c r="AU202" s="104"/>
      <c r="AY202" s="30" t="str">
        <f>IF(E202="","",IF(ISNA(VLOOKUP($E202,'D-1 Off-Site Habitat Baseline'!$D$1:$AV$258,4,FALSE)),"",(VLOOKUP($E202,'D-1 Off-Site Habitat Baseline'!$D$1:$AV$258,4,FALSE))))</f>
        <v/>
      </c>
    </row>
    <row r="203" spans="1:51" ht="14">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319" t="str">
        <f>'D-1 Off-Site Habitat Baseline'!AP202</f>
        <v/>
      </c>
      <c r="F203" s="283" t="str">
        <f>IF(E203="","",IF(ISNA(VLOOKUP($E203,'D-1 Off-Site Habitat Baseline'!$D$1:$ZZ$258,45,FALSE)),"",(VLOOKUP($E203,'D-1 Off-Site Habitat Baseline'!$D$1:$ZZ$258,45,FALSE))))</f>
        <v/>
      </c>
      <c r="G203" s="295" t="str">
        <f>IF(E203="","",IF(ISNA(VLOOKUP($E203,'D-1 Off-Site Habitat Baseline'!$D$1:$O$258,5,FALSE)),"",(VLOOKUP($E203,'D-1 Off-Site Habitat Baseline'!$D$1:$O$258,5,FALSE))))</f>
        <v/>
      </c>
      <c r="H203" s="295" t="str">
        <f>IF(E203="","",IF(ISNA(VLOOKUP($E203,'D-1 Off-Site Habitat Baseline'!$D$1:$O$258,6,FALSE)),"",(VLOOKUP($E203,'D-1 Off-Site Habitat Baseline'!$D$1:$O$258,6,FALSE))))</f>
        <v/>
      </c>
      <c r="I203" s="295" t="str">
        <f>IF(E203="","",IF(ISNA(VLOOKUP($E203,'D-1 Off-Site Habitat Baseline'!$D$1:$O$258,7,FALSE)),"",(VLOOKUP($E203,'D-1 Off-Site Habitat Baseline'!$D$1:$O$258,7,FALSE))))</f>
        <v/>
      </c>
      <c r="J203" s="295" t="str">
        <f>IF(E203="","",IF(ISNA(VLOOKUP($E203,'D-1 Off-Site Habitat Baseline'!$D$1:$O$258,8,FALSE)),"",(VLOOKUP($E203,'D-1 Off-Site Habitat Baseline'!$D$1:$O$258,8,FALSE))))</f>
        <v/>
      </c>
      <c r="K203" s="295" t="str">
        <f>IF(E203="","",IF(ISNA(VLOOKUP($E203,'D-1 Off-Site Habitat Baseline'!$D$1:$O$258,9,FALSE)),"",(VLOOKUP($E203,'D-1 Off-Site Habitat Baseline'!$D$1:$O$258,9,FALSE))))</f>
        <v/>
      </c>
      <c r="L203" s="295" t="str">
        <f>IF(E203="","",IF(ISNA(VLOOKUP($E203,'D-1 Off-Site Habitat Baseline'!$D$1:$O$258,11,FALSE)),"",(VLOOKUP($E203,'D-1 Off-Site Habitat Baseline'!$D$1:$O$258,11,FALSE))))</f>
        <v/>
      </c>
      <c r="M203" s="295" t="str">
        <f>IF(E203="","",IF(ISNA(VLOOKUP($E203,'D-1 Off-Site Habitat Baseline'!$D$1:$O$258,12,FALSE)),"",(VLOOKUP($E203,'D-1 Off-Site Habitat Baseline'!$D$1:$O$258,12,FALSE))))</f>
        <v/>
      </c>
      <c r="N203" s="295" t="str">
        <f>IF(E203="","",IF(ISNA(VLOOKUP($E203,'D-1 Off-Site Habitat Baseline'!$D$1:$AA$258,17,FALSE)),"",(VLOOKUP($E203,'D-1 Off-Site Habitat Baseline'!$D$1:$AA$258,17,FALSE))))</f>
        <v/>
      </c>
      <c r="O203" s="299" t="str">
        <f>IF(E203="","",IF(ISNA(VLOOKUP($E203,'D-1 Off-Site Habitat Baseline'!$D$1:$AA$258,13,FALSE)),"",(VLOOKUP($E203,'D-1 Off-Site Habitat Baseline'!$D$1:$AA$258,13,FALSE))))</f>
        <v/>
      </c>
      <c r="P203" s="148" t="str">
        <f>IFERROR(INDEX('G-1 All Habitats'!$AG$49:$AG$63,MATCH(Q203,'G-1 All Habitats'!$AF$27:$AF$41,0)),"")</f>
        <v/>
      </c>
      <c r="Q203" s="149" t="str">
        <f t="shared" si="24"/>
        <v/>
      </c>
      <c r="R203" s="150"/>
      <c r="S203" s="151" t="str">
        <f>IFERROR(INDEX('G-1 All Habitats'!$B$3:$B$135,MATCH(R203,'G-1 All Habitats'!$A$3:$A$135,0)),"")</f>
        <v/>
      </c>
      <c r="T203" s="283" t="str">
        <f t="shared" si="25"/>
        <v/>
      </c>
      <c r="U203" s="276" t="str">
        <f t="shared" si="26"/>
        <v/>
      </c>
      <c r="V203" s="298" t="str">
        <f t="shared" si="22"/>
        <v/>
      </c>
      <c r="W203" s="295" t="str">
        <f>IF(S203="","",VLOOKUP(S203,'G-1 All Habitats'!$B$2:$M$135,10,FALSE))</f>
        <v/>
      </c>
      <c r="X203" s="295" t="str">
        <f>IFERROR(VLOOKUP(W203,'G-1 All Habitats'!$V$3:$W$7,2,FALSE),"")</f>
        <v/>
      </c>
      <c r="Y203" s="138"/>
      <c r="Z203" s="299" t="str">
        <f>IFERROR(INDEX('G-8 Condition Look up'!$A$3:$H$135,MATCH(S203,'G-8 Condition Look up'!$A$3:$A$135,0),MATCH(Y203,'G-8 Condition Look up'!$A$3:$H$3,0)),"")</f>
        <v/>
      </c>
      <c r="AA203" s="101"/>
      <c r="AB203" s="314" t="str">
        <f>IF(AA203="","",IF(VLOOKUP(AA203,'G-3 Multipliers'!$L$3:$N$6,2,FALSE)=0,"Spatial Data Missing ⚠",VLOOKUP(AA203,'G-3 Multipliers'!$L$3:$N$6,2,FALSE)))</f>
        <v/>
      </c>
      <c r="AC203" s="299" t="str">
        <f>IF(AA203="","",IF(VLOOKUP(AA203,'G-3 Multipliers'!$L$3:$N$6,3,FALSE)=0,"Spatial Data Missing ⚠",VLOOKUP(AA203,'G-3 Multipliers'!$L$3:$N$6,3,FALSE)))</f>
        <v/>
      </c>
      <c r="AD203" s="311" t="str">
        <f t="shared" si="23"/>
        <v/>
      </c>
      <c r="AE203" s="138"/>
      <c r="AF203" s="138"/>
      <c r="AG203" s="295" t="str">
        <f t="shared" si="27"/>
        <v/>
      </c>
      <c r="AH203" s="296" t="str">
        <f t="shared" si="28"/>
        <v/>
      </c>
      <c r="AI203" s="300" t="str">
        <f>IF(AH203="Check Data ⚠","Check Data ⚠",IFERROR(VLOOKUP(AH203,'G-4 Temporal multipliers'!$A$4:$C$36,3,FALSE),""))</f>
        <v/>
      </c>
      <c r="AJ203" s="311" t="str">
        <f>IF(S203="","",VLOOKUP(S203,'G-3 Multipliers'!$A$2:$E$134,4,FALSE))</f>
        <v/>
      </c>
      <c r="AK203" s="295" t="str">
        <f t="shared" si="29"/>
        <v/>
      </c>
      <c r="AL203" s="295" t="str">
        <f t="shared" si="30"/>
        <v/>
      </c>
      <c r="AM203" s="299" t="str">
        <f>IFERROR(IF(F203="","",IF(AH203="Check Data ⚠","Check Data ⚠",VLOOKUP(AL203,'G-3 Multipliers'!$P$2:$Q$6,2,FALSE))),"")</f>
        <v/>
      </c>
      <c r="AN203" s="712" t="str">
        <f>IF(E203="","",IF(ISNA(VLOOKUP($E203,'D-1 Off-Site Habitat Baseline'!$D$1:$Z$258,15,FALSE)),"",(VLOOKUP($E203,'D-1 Off-Site Habitat Baseline'!$D$1:$Z$258,15,FALSE))))</f>
        <v/>
      </c>
      <c r="AO203" s="329" t="str">
        <f>IF(AN203="","",IF(VLOOKUP(AN203,'G-3 Multipliers'!$S$3:$T$10,2,FALSE)=0,"Spatial Data Missing ⚠",VLOOKUP(AN203,'G-3 Multipliers'!$S$3:$T$10,2,FALSE)))</f>
        <v/>
      </c>
      <c r="AP203" s="289" t="str">
        <f t="shared" si="31"/>
        <v/>
      </c>
      <c r="AQ203" s="289" t="str">
        <f t="shared" si="32"/>
        <v/>
      </c>
      <c r="AR203" s="105"/>
      <c r="AS203" s="138"/>
      <c r="AT203" s="104"/>
      <c r="AU203" s="104"/>
      <c r="AY203" s="30" t="str">
        <f>IF(E203="","",IF(ISNA(VLOOKUP($E203,'D-1 Off-Site Habitat Baseline'!$D$1:$AV$258,4,FALSE)),"",(VLOOKUP($E203,'D-1 Off-Site Habitat Baseline'!$D$1:$AV$258,4,FALSE))))</f>
        <v/>
      </c>
    </row>
    <row r="204" spans="1:51" ht="14">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319" t="str">
        <f>'D-1 Off-Site Habitat Baseline'!AP203</f>
        <v/>
      </c>
      <c r="F204" s="283" t="str">
        <f>IF(E204="","",IF(ISNA(VLOOKUP($E204,'D-1 Off-Site Habitat Baseline'!$D$1:$ZZ$258,45,FALSE)),"",(VLOOKUP($E204,'D-1 Off-Site Habitat Baseline'!$D$1:$ZZ$258,45,FALSE))))</f>
        <v/>
      </c>
      <c r="G204" s="295" t="str">
        <f>IF(E204="","",IF(ISNA(VLOOKUP($E204,'D-1 Off-Site Habitat Baseline'!$D$1:$O$258,5,FALSE)),"",(VLOOKUP($E204,'D-1 Off-Site Habitat Baseline'!$D$1:$O$258,5,FALSE))))</f>
        <v/>
      </c>
      <c r="H204" s="295" t="str">
        <f>IF(E204="","",IF(ISNA(VLOOKUP($E204,'D-1 Off-Site Habitat Baseline'!$D$1:$O$258,6,FALSE)),"",(VLOOKUP($E204,'D-1 Off-Site Habitat Baseline'!$D$1:$O$258,6,FALSE))))</f>
        <v/>
      </c>
      <c r="I204" s="295" t="str">
        <f>IF(E204="","",IF(ISNA(VLOOKUP($E204,'D-1 Off-Site Habitat Baseline'!$D$1:$O$258,7,FALSE)),"",(VLOOKUP($E204,'D-1 Off-Site Habitat Baseline'!$D$1:$O$258,7,FALSE))))</f>
        <v/>
      </c>
      <c r="J204" s="295" t="str">
        <f>IF(E204="","",IF(ISNA(VLOOKUP($E204,'D-1 Off-Site Habitat Baseline'!$D$1:$O$258,8,FALSE)),"",(VLOOKUP($E204,'D-1 Off-Site Habitat Baseline'!$D$1:$O$258,8,FALSE))))</f>
        <v/>
      </c>
      <c r="K204" s="295" t="str">
        <f>IF(E204="","",IF(ISNA(VLOOKUP($E204,'D-1 Off-Site Habitat Baseline'!$D$1:$O$258,9,FALSE)),"",(VLOOKUP($E204,'D-1 Off-Site Habitat Baseline'!$D$1:$O$258,9,FALSE))))</f>
        <v/>
      </c>
      <c r="L204" s="295" t="str">
        <f>IF(E204="","",IF(ISNA(VLOOKUP($E204,'D-1 Off-Site Habitat Baseline'!$D$1:$O$258,11,FALSE)),"",(VLOOKUP($E204,'D-1 Off-Site Habitat Baseline'!$D$1:$O$258,11,FALSE))))</f>
        <v/>
      </c>
      <c r="M204" s="295" t="str">
        <f>IF(E204="","",IF(ISNA(VLOOKUP($E204,'D-1 Off-Site Habitat Baseline'!$D$1:$O$258,12,FALSE)),"",(VLOOKUP($E204,'D-1 Off-Site Habitat Baseline'!$D$1:$O$258,12,FALSE))))</f>
        <v/>
      </c>
      <c r="N204" s="295" t="str">
        <f>IF(E204="","",IF(ISNA(VLOOKUP($E204,'D-1 Off-Site Habitat Baseline'!$D$1:$AA$258,17,FALSE)),"",(VLOOKUP($E204,'D-1 Off-Site Habitat Baseline'!$D$1:$AA$258,17,FALSE))))</f>
        <v/>
      </c>
      <c r="O204" s="299" t="str">
        <f>IF(E204="","",IF(ISNA(VLOOKUP($E204,'D-1 Off-Site Habitat Baseline'!$D$1:$AA$258,13,FALSE)),"",(VLOOKUP($E204,'D-1 Off-Site Habitat Baseline'!$D$1:$AA$258,13,FALSE))))</f>
        <v/>
      </c>
      <c r="P204" s="148" t="str">
        <f>IFERROR(INDEX('G-1 All Habitats'!$AG$49:$AG$63,MATCH(Q204,'G-1 All Habitats'!$AF$27:$AF$41,0)),"")</f>
        <v/>
      </c>
      <c r="Q204" s="149" t="str">
        <f t="shared" si="24"/>
        <v/>
      </c>
      <c r="R204" s="150"/>
      <c r="S204" s="151" t="str">
        <f>IFERROR(INDEX('G-1 All Habitats'!$B$3:$B$135,MATCH(R204,'G-1 All Habitats'!$A$3:$A$135,0)),"")</f>
        <v/>
      </c>
      <c r="T204" s="283" t="str">
        <f t="shared" si="25"/>
        <v/>
      </c>
      <c r="U204" s="276" t="str">
        <f t="shared" si="26"/>
        <v/>
      </c>
      <c r="V204" s="298" t="str">
        <f t="shared" si="33" ref="V204:V258">IF(S204="","",VLOOKUP(E204,BaselineHabOffsite,20,FALSE))</f>
        <v/>
      </c>
      <c r="W204" s="295" t="str">
        <f>IF(S204="","",VLOOKUP(S204,'G-1 All Habitats'!$B$2:$M$135,10,FALSE))</f>
        <v/>
      </c>
      <c r="X204" s="295" t="str">
        <f>IFERROR(VLOOKUP(W204,'G-1 All Habitats'!$V$3:$W$7,2,FALSE),"")</f>
        <v/>
      </c>
      <c r="Y204" s="138"/>
      <c r="Z204" s="299" t="str">
        <f>IFERROR(INDEX('G-8 Condition Look up'!$A$3:$H$135,MATCH(S204,'G-8 Condition Look up'!$A$3:$A$135,0),MATCH(Y204,'G-8 Condition Look up'!$A$3:$H$3,0)),"")</f>
        <v/>
      </c>
      <c r="AA204" s="101"/>
      <c r="AB204" s="314" t="str">
        <f>IF(AA204="","",IF(VLOOKUP(AA204,'G-3 Multipliers'!$L$3:$N$6,2,FALSE)=0,"Spatial Data Missing ⚠",VLOOKUP(AA204,'G-3 Multipliers'!$L$3:$N$6,2,FALSE)))</f>
        <v/>
      </c>
      <c r="AC204" s="299" t="str">
        <f>IF(AA204="","",IF(VLOOKUP(AA204,'G-3 Multipliers'!$L$3:$N$6,3,FALSE)=0,"Spatial Data Missing ⚠",VLOOKUP(AA204,'G-3 Multipliers'!$L$3:$N$6,3,FALSE)))</f>
        <v/>
      </c>
      <c r="AD204" s="311" t="str">
        <f t="shared" si="34" ref="AD204:AD258">IFERROR(IF(OR(LEFT(U204,5)="Error",LEFT(T204,5)="Error"),"Check Data ⚠",INDEX(EnhanceTemporal,MATCH(S204,EnhanceHabitat,0),MATCH(U204,EnhanceCondition,0))),"")</f>
        <v/>
      </c>
      <c r="AE204" s="138"/>
      <c r="AF204" s="138"/>
      <c r="AG204" s="295" t="str">
        <f t="shared" si="27"/>
        <v/>
      </c>
      <c r="AH204" s="296" t="str">
        <f t="shared" si="28"/>
        <v/>
      </c>
      <c r="AI204" s="300" t="str">
        <f>IF(AH204="Check Data ⚠","Check Data ⚠",IFERROR(VLOOKUP(AH204,'G-4 Temporal multipliers'!$A$4:$C$36,3,FALSE),""))</f>
        <v/>
      </c>
      <c r="AJ204" s="311" t="str">
        <f>IF(S204="","",VLOOKUP(S204,'G-3 Multipliers'!$A$2:$E$134,4,FALSE))</f>
        <v/>
      </c>
      <c r="AK204" s="295" t="str">
        <f t="shared" si="29"/>
        <v/>
      </c>
      <c r="AL204" s="295" t="str">
        <f t="shared" si="30"/>
        <v/>
      </c>
      <c r="AM204" s="299" t="str">
        <f>IFERROR(IF(F204="","",IF(AH204="Check Data ⚠","Check Data ⚠",VLOOKUP(AL204,'G-3 Multipliers'!$P$2:$Q$6,2,FALSE))),"")</f>
        <v/>
      </c>
      <c r="AN204" s="712" t="str">
        <f>IF(E204="","",IF(ISNA(VLOOKUP($E204,'D-1 Off-Site Habitat Baseline'!$D$1:$Z$258,15,FALSE)),"",(VLOOKUP($E204,'D-1 Off-Site Habitat Baseline'!$D$1:$Z$258,15,FALSE))))</f>
        <v/>
      </c>
      <c r="AO204" s="329" t="str">
        <f>IF(AN204="","",IF(VLOOKUP(AN204,'G-3 Multipliers'!$S$3:$T$10,2,FALSE)=0,"Spatial Data Missing ⚠",VLOOKUP(AN204,'G-3 Multipliers'!$S$3:$T$10,2,FALSE)))</f>
        <v/>
      </c>
      <c r="AP204" s="289" t="str">
        <f t="shared" si="31"/>
        <v/>
      </c>
      <c r="AQ204" s="289" t="str">
        <f t="shared" si="32"/>
        <v/>
      </c>
      <c r="AR204" s="105"/>
      <c r="AS204" s="138"/>
      <c r="AT204" s="104"/>
      <c r="AU204" s="104"/>
      <c r="AY204" s="30" t="str">
        <f>IF(E204="","",IF(ISNA(VLOOKUP($E204,'D-1 Off-Site Habitat Baseline'!$D$1:$AV$258,4,FALSE)),"",(VLOOKUP($E204,'D-1 Off-Site Habitat Baseline'!$D$1:$AV$258,4,FALSE))))</f>
        <v/>
      </c>
    </row>
    <row r="205" spans="1:51" ht="14">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319" t="str">
        <f>'D-1 Off-Site Habitat Baseline'!AP204</f>
        <v/>
      </c>
      <c r="F205" s="283" t="str">
        <f>IF(E205="","",IF(ISNA(VLOOKUP($E205,'D-1 Off-Site Habitat Baseline'!$D$1:$ZZ$258,45,FALSE)),"",(VLOOKUP($E205,'D-1 Off-Site Habitat Baseline'!$D$1:$ZZ$258,45,FALSE))))</f>
        <v/>
      </c>
      <c r="G205" s="295" t="str">
        <f>IF(E205="","",IF(ISNA(VLOOKUP($E205,'D-1 Off-Site Habitat Baseline'!$D$1:$O$258,5,FALSE)),"",(VLOOKUP($E205,'D-1 Off-Site Habitat Baseline'!$D$1:$O$258,5,FALSE))))</f>
        <v/>
      </c>
      <c r="H205" s="295" t="str">
        <f>IF(E205="","",IF(ISNA(VLOOKUP($E205,'D-1 Off-Site Habitat Baseline'!$D$1:$O$258,6,FALSE)),"",(VLOOKUP($E205,'D-1 Off-Site Habitat Baseline'!$D$1:$O$258,6,FALSE))))</f>
        <v/>
      </c>
      <c r="I205" s="295" t="str">
        <f>IF(E205="","",IF(ISNA(VLOOKUP($E205,'D-1 Off-Site Habitat Baseline'!$D$1:$O$258,7,FALSE)),"",(VLOOKUP($E205,'D-1 Off-Site Habitat Baseline'!$D$1:$O$258,7,FALSE))))</f>
        <v/>
      </c>
      <c r="J205" s="295" t="str">
        <f>IF(E205="","",IF(ISNA(VLOOKUP($E205,'D-1 Off-Site Habitat Baseline'!$D$1:$O$258,8,FALSE)),"",(VLOOKUP($E205,'D-1 Off-Site Habitat Baseline'!$D$1:$O$258,8,FALSE))))</f>
        <v/>
      </c>
      <c r="K205" s="295" t="str">
        <f>IF(E205="","",IF(ISNA(VLOOKUP($E205,'D-1 Off-Site Habitat Baseline'!$D$1:$O$258,9,FALSE)),"",(VLOOKUP($E205,'D-1 Off-Site Habitat Baseline'!$D$1:$O$258,9,FALSE))))</f>
        <v/>
      </c>
      <c r="L205" s="295" t="str">
        <f>IF(E205="","",IF(ISNA(VLOOKUP($E205,'D-1 Off-Site Habitat Baseline'!$D$1:$O$258,11,FALSE)),"",(VLOOKUP($E205,'D-1 Off-Site Habitat Baseline'!$D$1:$O$258,11,FALSE))))</f>
        <v/>
      </c>
      <c r="M205" s="295" t="str">
        <f>IF(E205="","",IF(ISNA(VLOOKUP($E205,'D-1 Off-Site Habitat Baseline'!$D$1:$O$258,12,FALSE)),"",(VLOOKUP($E205,'D-1 Off-Site Habitat Baseline'!$D$1:$O$258,12,FALSE))))</f>
        <v/>
      </c>
      <c r="N205" s="295" t="str">
        <f>IF(E205="","",IF(ISNA(VLOOKUP($E205,'D-1 Off-Site Habitat Baseline'!$D$1:$AA$258,17,FALSE)),"",(VLOOKUP($E205,'D-1 Off-Site Habitat Baseline'!$D$1:$AA$258,17,FALSE))))</f>
        <v/>
      </c>
      <c r="O205" s="299" t="str">
        <f>IF(E205="","",IF(ISNA(VLOOKUP($E205,'D-1 Off-Site Habitat Baseline'!$D$1:$AA$258,13,FALSE)),"",(VLOOKUP($E205,'D-1 Off-Site Habitat Baseline'!$D$1:$AA$258,13,FALSE))))</f>
        <v/>
      </c>
      <c r="P205" s="148" t="str">
        <f>IFERROR(INDEX('G-1 All Habitats'!$AG$49:$AG$63,MATCH(Q205,'G-1 All Habitats'!$AF$27:$AF$41,0)),"")</f>
        <v/>
      </c>
      <c r="Q205" s="149" t="str">
        <f t="shared" si="35" ref="Q205:Q258">A205</f>
        <v/>
      </c>
      <c r="R205" s="150"/>
      <c r="S205" s="151" t="str">
        <f>IFERROR(INDEX('G-1 All Habitats'!$B$3:$B$135,MATCH(R205,'G-1 All Habitats'!$A$3:$A$135,0)),"")</f>
        <v/>
      </c>
      <c r="T205" s="283" t="str">
        <f t="shared" si="36" ref="T205:T258">IF(E205="","",IF(AND(LEFT(O205,6)="Same d",I205&gt;X205),"Error - Trading rules not satisfied ▲",IF(AND(LEFT(O205,6)="Same b",AND(LEFT(F205,5)&lt;&gt;LEFT(S205,5),I205&gt;X205)),"Error - Trading rules not satisfied ▲",IF(AND(LEFT(O205,6)="Same h",F205&lt;&gt;S205),"Error - Trading rules not satisfied ▲",IF(AND(LEFT(O205,6)="Bespok",F205&lt;&gt;S205,LEFT(F205,27)&lt;&gt;"Woodland and forest - Other"),"Error - Trading rules not satisfied ▲",IF(X205&lt;I205,"Error Trading Down ▲",IF(AND(R205="Littoral seagrass",F205&lt;&gt;"Intertidal sediment - Littoral seagrass",F205&lt;&gt;"Intertidal sediment - Littoral sand"),"Error - Enhancement not possible ▲",IF(AND(R205="Artificial hard structures with integrated greening of grey infrastructure (IGGI)",F205&lt;&gt;"Intertidal hard structures - Artificial hard structures with integrated greening of grey infrastructure (IGGI)",F205&lt;&gt;"Intertidal hard structures - Artificial hard structures",F205&lt;&gt;"Intertidal hard structures - Artificial features of hard structures"),"Error - Enhancement not possible ▲",H205&amp;" - "&amp;W205))))))))</f>
        <v/>
      </c>
      <c r="U205" s="276" t="str">
        <f t="shared" si="37" ref="U205:U258">IF(F205="","",IF(OR(LEFT(F205,27)&lt;&gt;"Woodland and forest - Other",LEFT(S205,8)&lt;&gt;"Woodland"),IF(AND(S205&lt;&gt;F205,AY205="Yes"),"Error you cannot replace an irreplaceable habitat ▲",IF(AND(LEFT(F205,55)&lt;&gt;LEFT(S205,55),T205="High - High"),"Error - Not like for like ▲",IF(AND(I205=X205,K205&gt;Z205),"Error - Can not reduce condition ▲",IF(K205&gt;Z205,"Error - condition cannot be reduced ▲",IF(AND(I205=X205,K205=Z205),"Error - No enhancement ▲",IF(X205&lt;I205,"Error Trading Down ▲",IF(AND(F205&lt;&gt;S205,I205&lt;X205),"Lower Distinctiveness Habitat"&amp;" - "&amp;Y205,J205&amp;" - "&amp;Y205))))))),IF(AND(LEFT(F205,55)&lt;&gt;LEFT(S205,55),T205="High - High"),"Error - Not like for like ▲",IF(AND(I205=X205,K205&gt;Z205),"Error - Can not reduce condition ▲",IF(K205&gt;Z205,"Error - condition cannot be reduced ▲",IF(AND(I205=X205,K205=Z205),"Error - No enhancement ▲",IF(X205&lt;I205,"Error Trading Down ▲",IF(AND(F205&lt;&gt;S205,I205&lt;X205),"Lower Distinctiveness Habitat"&amp;" - "&amp;Y205,J205&amp;" - "&amp;Y205))))))))</f>
        <v/>
      </c>
      <c r="V205" s="298" t="str">
        <f t="shared" si="33"/>
        <v/>
      </c>
      <c r="W205" s="295" t="str">
        <f>IF(S205="","",VLOOKUP(S205,'G-1 All Habitats'!$B$2:$M$135,10,FALSE))</f>
        <v/>
      </c>
      <c r="X205" s="295" t="str">
        <f>IFERROR(VLOOKUP(W205,'G-1 All Habitats'!$V$3:$W$7,2,FALSE),"")</f>
        <v/>
      </c>
      <c r="Y205" s="138"/>
      <c r="Z205" s="299" t="str">
        <f>IFERROR(INDEX('G-8 Condition Look up'!$A$3:$H$135,MATCH(S205,'G-8 Condition Look up'!$A$3:$A$135,0),MATCH(Y205,'G-8 Condition Look up'!$A$3:$H$3,0)),"")</f>
        <v/>
      </c>
      <c r="AA205" s="101"/>
      <c r="AB205" s="314" t="str">
        <f>IF(AA205="","",IF(VLOOKUP(AA205,'G-3 Multipliers'!$L$3:$N$6,2,FALSE)=0,"Spatial Data Missing ⚠",VLOOKUP(AA205,'G-3 Multipliers'!$L$3:$N$6,2,FALSE)))</f>
        <v/>
      </c>
      <c r="AC205" s="299" t="str">
        <f>IF(AA205="","",IF(VLOOKUP(AA205,'G-3 Multipliers'!$L$3:$N$6,3,FALSE)=0,"Spatial Data Missing ⚠",VLOOKUP(AA205,'G-3 Multipliers'!$L$3:$N$6,3,FALSE)))</f>
        <v/>
      </c>
      <c r="AD205" s="311" t="str">
        <f t="shared" si="34"/>
        <v/>
      </c>
      <c r="AE205" s="138"/>
      <c r="AF205" s="138"/>
      <c r="AG205" s="295" t="str">
        <f t="shared" si="38" ref="AG205:AG258">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296" t="str">
        <f t="shared" si="39" ref="AH205:AH258">IF(AG205="Error -both advance and delayed habitat creation ▲","Check Data ⚠",IF(AG205="Check Data ⚠","Check Data ⚠",IF(AD205="","",IF(AD205="Not Possible ▲","CheckData ⚠",IF(AND(AD205="30+",AE205=0),"30+",IF(AND(AD205="30+",AE205="30+"),0,IF(AND(AD205="30+",AE205&lt;30),30-AE205,IF(AD205="30+",30-AE205,IF(AF205="30+","30+",IF(AE205&gt;AD205,0,IF(AD205+AF205&gt;30,"30+",IF(AD205+AF205&gt;30,"30+",IF(AD205-AE205&gt;30,"30+",IF(AD205+AF205-AE205&gt;0,AD205+AF205-AE205,IF(AD205-AE205&gt;0,AD205-AE205,AD205+AF205-AE205)))))))))))))))</f>
        <v/>
      </c>
      <c r="AI205" s="300" t="str">
        <f>IF(AH205="Check Data ⚠","Check Data ⚠",IFERROR(VLOOKUP(AH205,'G-4 Temporal multipliers'!$A$4:$C$36,3,FALSE),""))</f>
        <v/>
      </c>
      <c r="AJ205" s="311" t="str">
        <f>IF(S205="","",VLOOKUP(S205,'G-3 Multipliers'!$A$2:$E$134,4,FALSE))</f>
        <v/>
      </c>
      <c r="AK205" s="295" t="str">
        <f t="shared" si="40" ref="AK205:AK258">IF(E205="","",IF(AG205="Check details - Is there evidence that habitat has reached target condition? ⚠","Low Difficulty - only applicable if all habitat created before losses ⚠","Standard difficulty applied"))</f>
        <v/>
      </c>
      <c r="AL205" s="295" t="str">
        <f t="shared" si="41" ref="AL205:AL258">(IF(AND(AK205="Standard difficulty applied",AD205&gt;AE205),AJ205,IF(AND(AK205="Low Difficulty - only applicable if all habitat created before losses ⚠",AE205&gt;=AD205),"Low",AJ205)))</f>
        <v/>
      </c>
      <c r="AM205" s="299" t="str">
        <f>IFERROR(IF(F205="","",IF(AH205="Check Data ⚠","Check Data ⚠",VLOOKUP(AL205,'G-3 Multipliers'!$P$2:$Q$6,2,FALSE))),"")</f>
        <v/>
      </c>
      <c r="AN205" s="712" t="str">
        <f>IF(E205="","",IF(ISNA(VLOOKUP($E205,'D-1 Off-Site Habitat Baseline'!$D$1:$Z$258,15,FALSE)),"",(VLOOKUP($E205,'D-1 Off-Site Habitat Baseline'!$D$1:$Z$258,15,FALSE))))</f>
        <v/>
      </c>
      <c r="AO205" s="329" t="str">
        <f>IF(AN205="","",IF(VLOOKUP(AN205,'G-3 Multipliers'!$S$3:$T$10,2,FALSE)=0,"Spatial Data Missing ⚠",VLOOKUP(AN205,'G-3 Multipliers'!$S$3:$T$10,2,FALSE)))</f>
        <v/>
      </c>
      <c r="AP205" s="289" t="str">
        <f t="shared" si="42" ref="AP205:AP258">IFERROR(IF(N205="Check Data ⚠","Check Data ⚠",(((((V205*X205*Z205)-(V205*I205*K205))*(AM205*AI205))+(V205*I205*K205))*(AC205)*AO205)),"")</f>
        <v/>
      </c>
      <c r="AQ205" s="289" t="str">
        <f t="shared" si="43" ref="AQ205:AQ258">IFERROR(IF(AN205="","",(IF(AND(AN205&lt;&gt;"",AU205=""),"Off-site reference required ▲",IF(N205="Error - you cannot enhance irreplaceable individual trees ▲","Error - you cannot enhance irreplaceable individual trees ▲",IF(N205="Check Data ⚠","Check Data ⚠",((((V205*X205*Z205)-(V205*I205*K205))*(AM205*AI205))+(V205*I205*K205))*(AC205)))))),"")</f>
        <v/>
      </c>
      <c r="AR205" s="105"/>
      <c r="AS205" s="138"/>
      <c r="AT205" s="104"/>
      <c r="AU205" s="104"/>
      <c r="AY205" s="30" t="str">
        <f>IF(E205="","",IF(ISNA(VLOOKUP($E205,'D-1 Off-Site Habitat Baseline'!$D$1:$AV$258,4,FALSE)),"",(VLOOKUP($E205,'D-1 Off-Site Habitat Baseline'!$D$1:$AV$258,4,FALSE))))</f>
        <v/>
      </c>
    </row>
    <row r="206" spans="1:51" ht="14">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319" t="str">
        <f>'D-1 Off-Site Habitat Baseline'!AP205</f>
        <v/>
      </c>
      <c r="F206" s="283" t="str">
        <f>IF(E206="","",IF(ISNA(VLOOKUP($E206,'D-1 Off-Site Habitat Baseline'!$D$1:$ZZ$258,45,FALSE)),"",(VLOOKUP($E206,'D-1 Off-Site Habitat Baseline'!$D$1:$ZZ$258,45,FALSE))))</f>
        <v/>
      </c>
      <c r="G206" s="295" t="str">
        <f>IF(E206="","",IF(ISNA(VLOOKUP($E206,'D-1 Off-Site Habitat Baseline'!$D$1:$O$258,5,FALSE)),"",(VLOOKUP($E206,'D-1 Off-Site Habitat Baseline'!$D$1:$O$258,5,FALSE))))</f>
        <v/>
      </c>
      <c r="H206" s="295" t="str">
        <f>IF(E206="","",IF(ISNA(VLOOKUP($E206,'D-1 Off-Site Habitat Baseline'!$D$1:$O$258,6,FALSE)),"",(VLOOKUP($E206,'D-1 Off-Site Habitat Baseline'!$D$1:$O$258,6,FALSE))))</f>
        <v/>
      </c>
      <c r="I206" s="295" t="str">
        <f>IF(E206="","",IF(ISNA(VLOOKUP($E206,'D-1 Off-Site Habitat Baseline'!$D$1:$O$258,7,FALSE)),"",(VLOOKUP($E206,'D-1 Off-Site Habitat Baseline'!$D$1:$O$258,7,FALSE))))</f>
        <v/>
      </c>
      <c r="J206" s="295" t="str">
        <f>IF(E206="","",IF(ISNA(VLOOKUP($E206,'D-1 Off-Site Habitat Baseline'!$D$1:$O$258,8,FALSE)),"",(VLOOKUP($E206,'D-1 Off-Site Habitat Baseline'!$D$1:$O$258,8,FALSE))))</f>
        <v/>
      </c>
      <c r="K206" s="295" t="str">
        <f>IF(E206="","",IF(ISNA(VLOOKUP($E206,'D-1 Off-Site Habitat Baseline'!$D$1:$O$258,9,FALSE)),"",(VLOOKUP($E206,'D-1 Off-Site Habitat Baseline'!$D$1:$O$258,9,FALSE))))</f>
        <v/>
      </c>
      <c r="L206" s="295" t="str">
        <f>IF(E206="","",IF(ISNA(VLOOKUP($E206,'D-1 Off-Site Habitat Baseline'!$D$1:$O$258,11,FALSE)),"",(VLOOKUP($E206,'D-1 Off-Site Habitat Baseline'!$D$1:$O$258,11,FALSE))))</f>
        <v/>
      </c>
      <c r="M206" s="295" t="str">
        <f>IF(E206="","",IF(ISNA(VLOOKUP($E206,'D-1 Off-Site Habitat Baseline'!$D$1:$O$258,12,FALSE)),"",(VLOOKUP($E206,'D-1 Off-Site Habitat Baseline'!$D$1:$O$258,12,FALSE))))</f>
        <v/>
      </c>
      <c r="N206" s="295" t="str">
        <f>IF(E206="","",IF(ISNA(VLOOKUP($E206,'D-1 Off-Site Habitat Baseline'!$D$1:$AA$258,17,FALSE)),"",(VLOOKUP($E206,'D-1 Off-Site Habitat Baseline'!$D$1:$AA$258,17,FALSE))))</f>
        <v/>
      </c>
      <c r="O206" s="299" t="str">
        <f>IF(E206="","",IF(ISNA(VLOOKUP($E206,'D-1 Off-Site Habitat Baseline'!$D$1:$AA$258,13,FALSE)),"",(VLOOKUP($E206,'D-1 Off-Site Habitat Baseline'!$D$1:$AA$258,13,FALSE))))</f>
        <v/>
      </c>
      <c r="P206" s="148" t="str">
        <f>IFERROR(INDEX('G-1 All Habitats'!$AG$49:$AG$63,MATCH(Q206,'G-1 All Habitats'!$AF$27:$AF$41,0)),"")</f>
        <v/>
      </c>
      <c r="Q206" s="149" t="str">
        <f t="shared" si="35"/>
        <v/>
      </c>
      <c r="R206" s="150"/>
      <c r="S206" s="151" t="str">
        <f>IFERROR(INDEX('G-1 All Habitats'!$B$3:$B$135,MATCH(R206,'G-1 All Habitats'!$A$3:$A$135,0)),"")</f>
        <v/>
      </c>
      <c r="T206" s="283" t="str">
        <f t="shared" si="36"/>
        <v/>
      </c>
      <c r="U206" s="276" t="str">
        <f t="shared" si="37"/>
        <v/>
      </c>
      <c r="V206" s="298" t="str">
        <f t="shared" si="33"/>
        <v/>
      </c>
      <c r="W206" s="295" t="str">
        <f>IF(S206="","",VLOOKUP(S206,'G-1 All Habitats'!$B$2:$M$135,10,FALSE))</f>
        <v/>
      </c>
      <c r="X206" s="295" t="str">
        <f>IFERROR(VLOOKUP(W206,'G-1 All Habitats'!$V$3:$W$7,2,FALSE),"")</f>
        <v/>
      </c>
      <c r="Y206" s="138"/>
      <c r="Z206" s="299" t="str">
        <f>IFERROR(INDEX('G-8 Condition Look up'!$A$3:$H$135,MATCH(S206,'G-8 Condition Look up'!$A$3:$A$135,0),MATCH(Y206,'G-8 Condition Look up'!$A$3:$H$3,0)),"")</f>
        <v/>
      </c>
      <c r="AA206" s="101"/>
      <c r="AB206" s="314" t="str">
        <f>IF(AA206="","",IF(VLOOKUP(AA206,'G-3 Multipliers'!$L$3:$N$6,2,FALSE)=0,"Spatial Data Missing ⚠",VLOOKUP(AA206,'G-3 Multipliers'!$L$3:$N$6,2,FALSE)))</f>
        <v/>
      </c>
      <c r="AC206" s="299" t="str">
        <f>IF(AA206="","",IF(VLOOKUP(AA206,'G-3 Multipliers'!$L$3:$N$6,3,FALSE)=0,"Spatial Data Missing ⚠",VLOOKUP(AA206,'G-3 Multipliers'!$L$3:$N$6,3,FALSE)))</f>
        <v/>
      </c>
      <c r="AD206" s="311" t="str">
        <f t="shared" si="34"/>
        <v/>
      </c>
      <c r="AE206" s="138"/>
      <c r="AF206" s="138"/>
      <c r="AG206" s="295" t="str">
        <f t="shared" si="38"/>
        <v/>
      </c>
      <c r="AH206" s="296" t="str">
        <f t="shared" si="39"/>
        <v/>
      </c>
      <c r="AI206" s="300" t="str">
        <f>IF(AH206="Check Data ⚠","Check Data ⚠",IFERROR(VLOOKUP(AH206,'G-4 Temporal multipliers'!$A$4:$C$36,3,FALSE),""))</f>
        <v/>
      </c>
      <c r="AJ206" s="311" t="str">
        <f>IF(S206="","",VLOOKUP(S206,'G-3 Multipliers'!$A$2:$E$134,4,FALSE))</f>
        <v/>
      </c>
      <c r="AK206" s="295" t="str">
        <f t="shared" si="40"/>
        <v/>
      </c>
      <c r="AL206" s="295" t="str">
        <f t="shared" si="41"/>
        <v/>
      </c>
      <c r="AM206" s="299" t="str">
        <f>IFERROR(IF(F206="","",IF(AH206="Check Data ⚠","Check Data ⚠",VLOOKUP(AL206,'G-3 Multipliers'!$P$2:$Q$6,2,FALSE))),"")</f>
        <v/>
      </c>
      <c r="AN206" s="712" t="str">
        <f>IF(E206="","",IF(ISNA(VLOOKUP($E206,'D-1 Off-Site Habitat Baseline'!$D$1:$Z$258,15,FALSE)),"",(VLOOKUP($E206,'D-1 Off-Site Habitat Baseline'!$D$1:$Z$258,15,FALSE))))</f>
        <v/>
      </c>
      <c r="AO206" s="329" t="str">
        <f>IF(AN206="","",IF(VLOOKUP(AN206,'G-3 Multipliers'!$S$3:$T$10,2,FALSE)=0,"Spatial Data Missing ⚠",VLOOKUP(AN206,'G-3 Multipliers'!$S$3:$T$10,2,FALSE)))</f>
        <v/>
      </c>
      <c r="AP206" s="289" t="str">
        <f t="shared" si="42"/>
        <v/>
      </c>
      <c r="AQ206" s="289" t="str">
        <f t="shared" si="43"/>
        <v/>
      </c>
      <c r="AR206" s="105"/>
      <c r="AS206" s="138"/>
      <c r="AT206" s="104"/>
      <c r="AU206" s="104"/>
      <c r="AY206" s="30" t="str">
        <f>IF(E206="","",IF(ISNA(VLOOKUP($E206,'D-1 Off-Site Habitat Baseline'!$D$1:$AV$258,4,FALSE)),"",(VLOOKUP($E206,'D-1 Off-Site Habitat Baseline'!$D$1:$AV$258,4,FALSE))))</f>
        <v/>
      </c>
    </row>
    <row r="207" spans="1:51" ht="14">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319" t="str">
        <f>'D-1 Off-Site Habitat Baseline'!AP206</f>
        <v/>
      </c>
      <c r="F207" s="283" t="str">
        <f>IF(E207="","",IF(ISNA(VLOOKUP($E207,'D-1 Off-Site Habitat Baseline'!$D$1:$ZZ$258,45,FALSE)),"",(VLOOKUP($E207,'D-1 Off-Site Habitat Baseline'!$D$1:$ZZ$258,45,FALSE))))</f>
        <v/>
      </c>
      <c r="G207" s="295" t="str">
        <f>IF(E207="","",IF(ISNA(VLOOKUP($E207,'D-1 Off-Site Habitat Baseline'!$D$1:$O$258,5,FALSE)),"",(VLOOKUP($E207,'D-1 Off-Site Habitat Baseline'!$D$1:$O$258,5,FALSE))))</f>
        <v/>
      </c>
      <c r="H207" s="295" t="str">
        <f>IF(E207="","",IF(ISNA(VLOOKUP($E207,'D-1 Off-Site Habitat Baseline'!$D$1:$O$258,6,FALSE)),"",(VLOOKUP($E207,'D-1 Off-Site Habitat Baseline'!$D$1:$O$258,6,FALSE))))</f>
        <v/>
      </c>
      <c r="I207" s="295" t="str">
        <f>IF(E207="","",IF(ISNA(VLOOKUP($E207,'D-1 Off-Site Habitat Baseline'!$D$1:$O$258,7,FALSE)),"",(VLOOKUP($E207,'D-1 Off-Site Habitat Baseline'!$D$1:$O$258,7,FALSE))))</f>
        <v/>
      </c>
      <c r="J207" s="295" t="str">
        <f>IF(E207="","",IF(ISNA(VLOOKUP($E207,'D-1 Off-Site Habitat Baseline'!$D$1:$O$258,8,FALSE)),"",(VLOOKUP($E207,'D-1 Off-Site Habitat Baseline'!$D$1:$O$258,8,FALSE))))</f>
        <v/>
      </c>
      <c r="K207" s="295" t="str">
        <f>IF(E207="","",IF(ISNA(VLOOKUP($E207,'D-1 Off-Site Habitat Baseline'!$D$1:$O$258,9,FALSE)),"",(VLOOKUP($E207,'D-1 Off-Site Habitat Baseline'!$D$1:$O$258,9,FALSE))))</f>
        <v/>
      </c>
      <c r="L207" s="295" t="str">
        <f>IF(E207="","",IF(ISNA(VLOOKUP($E207,'D-1 Off-Site Habitat Baseline'!$D$1:$O$258,11,FALSE)),"",(VLOOKUP($E207,'D-1 Off-Site Habitat Baseline'!$D$1:$O$258,11,FALSE))))</f>
        <v/>
      </c>
      <c r="M207" s="295" t="str">
        <f>IF(E207="","",IF(ISNA(VLOOKUP($E207,'D-1 Off-Site Habitat Baseline'!$D$1:$O$258,12,FALSE)),"",(VLOOKUP($E207,'D-1 Off-Site Habitat Baseline'!$D$1:$O$258,12,FALSE))))</f>
        <v/>
      </c>
      <c r="N207" s="295" t="str">
        <f>IF(E207="","",IF(ISNA(VLOOKUP($E207,'D-1 Off-Site Habitat Baseline'!$D$1:$AA$258,17,FALSE)),"",(VLOOKUP($E207,'D-1 Off-Site Habitat Baseline'!$D$1:$AA$258,17,FALSE))))</f>
        <v/>
      </c>
      <c r="O207" s="299" t="str">
        <f>IF(E207="","",IF(ISNA(VLOOKUP($E207,'D-1 Off-Site Habitat Baseline'!$D$1:$AA$258,13,FALSE)),"",(VLOOKUP($E207,'D-1 Off-Site Habitat Baseline'!$D$1:$AA$258,13,FALSE))))</f>
        <v/>
      </c>
      <c r="P207" s="148" t="str">
        <f>IFERROR(INDEX('G-1 All Habitats'!$AG$49:$AG$63,MATCH(Q207,'G-1 All Habitats'!$AF$27:$AF$41,0)),"")</f>
        <v/>
      </c>
      <c r="Q207" s="149" t="str">
        <f t="shared" si="35"/>
        <v/>
      </c>
      <c r="R207" s="150"/>
      <c r="S207" s="151" t="str">
        <f>IFERROR(INDEX('G-1 All Habitats'!$B$3:$B$135,MATCH(R207,'G-1 All Habitats'!$A$3:$A$135,0)),"")</f>
        <v/>
      </c>
      <c r="T207" s="283" t="str">
        <f t="shared" si="36"/>
        <v/>
      </c>
      <c r="U207" s="276" t="str">
        <f t="shared" si="37"/>
        <v/>
      </c>
      <c r="V207" s="298" t="str">
        <f t="shared" si="33"/>
        <v/>
      </c>
      <c r="W207" s="295" t="str">
        <f>IF(S207="","",VLOOKUP(S207,'G-1 All Habitats'!$B$2:$M$135,10,FALSE))</f>
        <v/>
      </c>
      <c r="X207" s="295" t="str">
        <f>IFERROR(VLOOKUP(W207,'G-1 All Habitats'!$V$3:$W$7,2,FALSE),"")</f>
        <v/>
      </c>
      <c r="Y207" s="138"/>
      <c r="Z207" s="299" t="str">
        <f>IFERROR(INDEX('G-8 Condition Look up'!$A$3:$H$135,MATCH(S207,'G-8 Condition Look up'!$A$3:$A$135,0),MATCH(Y207,'G-8 Condition Look up'!$A$3:$H$3,0)),"")</f>
        <v/>
      </c>
      <c r="AA207" s="101"/>
      <c r="AB207" s="314" t="str">
        <f>IF(AA207="","",IF(VLOOKUP(AA207,'G-3 Multipliers'!$L$3:$N$6,2,FALSE)=0,"Spatial Data Missing ⚠",VLOOKUP(AA207,'G-3 Multipliers'!$L$3:$N$6,2,FALSE)))</f>
        <v/>
      </c>
      <c r="AC207" s="299" t="str">
        <f>IF(AA207="","",IF(VLOOKUP(AA207,'G-3 Multipliers'!$L$3:$N$6,3,FALSE)=0,"Spatial Data Missing ⚠",VLOOKUP(AA207,'G-3 Multipliers'!$L$3:$N$6,3,FALSE)))</f>
        <v/>
      </c>
      <c r="AD207" s="311" t="str">
        <f t="shared" si="34"/>
        <v/>
      </c>
      <c r="AE207" s="138"/>
      <c r="AF207" s="138"/>
      <c r="AG207" s="295" t="str">
        <f t="shared" si="38"/>
        <v/>
      </c>
      <c r="AH207" s="296" t="str">
        <f t="shared" si="39"/>
        <v/>
      </c>
      <c r="AI207" s="300" t="str">
        <f>IF(AH207="Check Data ⚠","Check Data ⚠",IFERROR(VLOOKUP(AH207,'G-4 Temporal multipliers'!$A$4:$C$36,3,FALSE),""))</f>
        <v/>
      </c>
      <c r="AJ207" s="311" t="str">
        <f>IF(S207="","",VLOOKUP(S207,'G-3 Multipliers'!$A$2:$E$134,4,FALSE))</f>
        <v/>
      </c>
      <c r="AK207" s="295" t="str">
        <f t="shared" si="40"/>
        <v/>
      </c>
      <c r="AL207" s="295" t="str">
        <f t="shared" si="41"/>
        <v/>
      </c>
      <c r="AM207" s="299" t="str">
        <f>IFERROR(IF(F207="","",IF(AH207="Check Data ⚠","Check Data ⚠",VLOOKUP(AL207,'G-3 Multipliers'!$P$2:$Q$6,2,FALSE))),"")</f>
        <v/>
      </c>
      <c r="AN207" s="712" t="str">
        <f>IF(E207="","",IF(ISNA(VLOOKUP($E207,'D-1 Off-Site Habitat Baseline'!$D$1:$Z$258,15,FALSE)),"",(VLOOKUP($E207,'D-1 Off-Site Habitat Baseline'!$D$1:$Z$258,15,FALSE))))</f>
        <v/>
      </c>
      <c r="AO207" s="329" t="str">
        <f>IF(AN207="","",IF(VLOOKUP(AN207,'G-3 Multipliers'!$S$3:$T$10,2,FALSE)=0,"Spatial Data Missing ⚠",VLOOKUP(AN207,'G-3 Multipliers'!$S$3:$T$10,2,FALSE)))</f>
        <v/>
      </c>
      <c r="AP207" s="289" t="str">
        <f t="shared" si="42"/>
        <v/>
      </c>
      <c r="AQ207" s="289" t="str">
        <f t="shared" si="43"/>
        <v/>
      </c>
      <c r="AR207" s="105"/>
      <c r="AS207" s="138"/>
      <c r="AT207" s="104"/>
      <c r="AU207" s="104"/>
      <c r="AY207" s="30" t="str">
        <f>IF(E207="","",IF(ISNA(VLOOKUP($E207,'D-1 Off-Site Habitat Baseline'!$D$1:$AV$258,4,FALSE)),"",(VLOOKUP($E207,'D-1 Off-Site Habitat Baseline'!$D$1:$AV$258,4,FALSE))))</f>
        <v/>
      </c>
    </row>
    <row r="208" spans="1:51" ht="14">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319" t="str">
        <f>'D-1 Off-Site Habitat Baseline'!AP207</f>
        <v/>
      </c>
      <c r="F208" s="283" t="str">
        <f>IF(E208="","",IF(ISNA(VLOOKUP($E208,'D-1 Off-Site Habitat Baseline'!$D$1:$ZZ$258,45,FALSE)),"",(VLOOKUP($E208,'D-1 Off-Site Habitat Baseline'!$D$1:$ZZ$258,45,FALSE))))</f>
        <v/>
      </c>
      <c r="G208" s="295" t="str">
        <f>IF(E208="","",IF(ISNA(VLOOKUP($E208,'D-1 Off-Site Habitat Baseline'!$D$1:$O$258,5,FALSE)),"",(VLOOKUP($E208,'D-1 Off-Site Habitat Baseline'!$D$1:$O$258,5,FALSE))))</f>
        <v/>
      </c>
      <c r="H208" s="295" t="str">
        <f>IF(E208="","",IF(ISNA(VLOOKUP($E208,'D-1 Off-Site Habitat Baseline'!$D$1:$O$258,6,FALSE)),"",(VLOOKUP($E208,'D-1 Off-Site Habitat Baseline'!$D$1:$O$258,6,FALSE))))</f>
        <v/>
      </c>
      <c r="I208" s="295" t="str">
        <f>IF(E208="","",IF(ISNA(VLOOKUP($E208,'D-1 Off-Site Habitat Baseline'!$D$1:$O$258,7,FALSE)),"",(VLOOKUP($E208,'D-1 Off-Site Habitat Baseline'!$D$1:$O$258,7,FALSE))))</f>
        <v/>
      </c>
      <c r="J208" s="295" t="str">
        <f>IF(E208="","",IF(ISNA(VLOOKUP($E208,'D-1 Off-Site Habitat Baseline'!$D$1:$O$258,8,FALSE)),"",(VLOOKUP($E208,'D-1 Off-Site Habitat Baseline'!$D$1:$O$258,8,FALSE))))</f>
        <v/>
      </c>
      <c r="K208" s="295" t="str">
        <f>IF(E208="","",IF(ISNA(VLOOKUP($E208,'D-1 Off-Site Habitat Baseline'!$D$1:$O$258,9,FALSE)),"",(VLOOKUP($E208,'D-1 Off-Site Habitat Baseline'!$D$1:$O$258,9,FALSE))))</f>
        <v/>
      </c>
      <c r="L208" s="295" t="str">
        <f>IF(E208="","",IF(ISNA(VLOOKUP($E208,'D-1 Off-Site Habitat Baseline'!$D$1:$O$258,11,FALSE)),"",(VLOOKUP($E208,'D-1 Off-Site Habitat Baseline'!$D$1:$O$258,11,FALSE))))</f>
        <v/>
      </c>
      <c r="M208" s="295" t="str">
        <f>IF(E208="","",IF(ISNA(VLOOKUP($E208,'D-1 Off-Site Habitat Baseline'!$D$1:$O$258,12,FALSE)),"",(VLOOKUP($E208,'D-1 Off-Site Habitat Baseline'!$D$1:$O$258,12,FALSE))))</f>
        <v/>
      </c>
      <c r="N208" s="295" t="str">
        <f>IF(E208="","",IF(ISNA(VLOOKUP($E208,'D-1 Off-Site Habitat Baseline'!$D$1:$AA$258,17,FALSE)),"",(VLOOKUP($E208,'D-1 Off-Site Habitat Baseline'!$D$1:$AA$258,17,FALSE))))</f>
        <v/>
      </c>
      <c r="O208" s="299" t="str">
        <f>IF(E208="","",IF(ISNA(VLOOKUP($E208,'D-1 Off-Site Habitat Baseline'!$D$1:$AA$258,13,FALSE)),"",(VLOOKUP($E208,'D-1 Off-Site Habitat Baseline'!$D$1:$AA$258,13,FALSE))))</f>
        <v/>
      </c>
      <c r="P208" s="148" t="str">
        <f>IFERROR(INDEX('G-1 All Habitats'!$AG$49:$AG$63,MATCH(Q208,'G-1 All Habitats'!$AF$27:$AF$41,0)),"")</f>
        <v/>
      </c>
      <c r="Q208" s="149" t="str">
        <f t="shared" si="35"/>
        <v/>
      </c>
      <c r="R208" s="150"/>
      <c r="S208" s="151" t="str">
        <f>IFERROR(INDEX('G-1 All Habitats'!$B$3:$B$135,MATCH(R208,'G-1 All Habitats'!$A$3:$A$135,0)),"")</f>
        <v/>
      </c>
      <c r="T208" s="283" t="str">
        <f t="shared" si="36"/>
        <v/>
      </c>
      <c r="U208" s="276" t="str">
        <f t="shared" si="37"/>
        <v/>
      </c>
      <c r="V208" s="298" t="str">
        <f t="shared" si="33"/>
        <v/>
      </c>
      <c r="W208" s="295" t="str">
        <f>IF(S208="","",VLOOKUP(S208,'G-1 All Habitats'!$B$2:$M$135,10,FALSE))</f>
        <v/>
      </c>
      <c r="X208" s="295" t="str">
        <f>IFERROR(VLOOKUP(W208,'G-1 All Habitats'!$V$3:$W$7,2,FALSE),"")</f>
        <v/>
      </c>
      <c r="Y208" s="138"/>
      <c r="Z208" s="299" t="str">
        <f>IFERROR(INDEX('G-8 Condition Look up'!$A$3:$H$135,MATCH(S208,'G-8 Condition Look up'!$A$3:$A$135,0),MATCH(Y208,'G-8 Condition Look up'!$A$3:$H$3,0)),"")</f>
        <v/>
      </c>
      <c r="AA208" s="101"/>
      <c r="AB208" s="314" t="str">
        <f>IF(AA208="","",IF(VLOOKUP(AA208,'G-3 Multipliers'!$L$3:$N$6,2,FALSE)=0,"Spatial Data Missing ⚠",VLOOKUP(AA208,'G-3 Multipliers'!$L$3:$N$6,2,FALSE)))</f>
        <v/>
      </c>
      <c r="AC208" s="299" t="str">
        <f>IF(AA208="","",IF(VLOOKUP(AA208,'G-3 Multipliers'!$L$3:$N$6,3,FALSE)=0,"Spatial Data Missing ⚠",VLOOKUP(AA208,'G-3 Multipliers'!$L$3:$N$6,3,FALSE)))</f>
        <v/>
      </c>
      <c r="AD208" s="311" t="str">
        <f t="shared" si="34"/>
        <v/>
      </c>
      <c r="AE208" s="138"/>
      <c r="AF208" s="138"/>
      <c r="AG208" s="295" t="str">
        <f t="shared" si="38"/>
        <v/>
      </c>
      <c r="AH208" s="296" t="str">
        <f t="shared" si="39"/>
        <v/>
      </c>
      <c r="AI208" s="300" t="str">
        <f>IF(AH208="Check Data ⚠","Check Data ⚠",IFERROR(VLOOKUP(AH208,'G-4 Temporal multipliers'!$A$4:$C$36,3,FALSE),""))</f>
        <v/>
      </c>
      <c r="AJ208" s="311" t="str">
        <f>IF(S208="","",VLOOKUP(S208,'G-3 Multipliers'!$A$2:$E$134,4,FALSE))</f>
        <v/>
      </c>
      <c r="AK208" s="295" t="str">
        <f t="shared" si="40"/>
        <v/>
      </c>
      <c r="AL208" s="295" t="str">
        <f t="shared" si="41"/>
        <v/>
      </c>
      <c r="AM208" s="299" t="str">
        <f>IFERROR(IF(F208="","",IF(AH208="Check Data ⚠","Check Data ⚠",VLOOKUP(AL208,'G-3 Multipliers'!$P$2:$Q$6,2,FALSE))),"")</f>
        <v/>
      </c>
      <c r="AN208" s="712" t="str">
        <f>IF(E208="","",IF(ISNA(VLOOKUP($E208,'D-1 Off-Site Habitat Baseline'!$D$1:$Z$258,15,FALSE)),"",(VLOOKUP($E208,'D-1 Off-Site Habitat Baseline'!$D$1:$Z$258,15,FALSE))))</f>
        <v/>
      </c>
      <c r="AO208" s="329" t="str">
        <f>IF(AN208="","",IF(VLOOKUP(AN208,'G-3 Multipliers'!$S$3:$T$10,2,FALSE)=0,"Spatial Data Missing ⚠",VLOOKUP(AN208,'G-3 Multipliers'!$S$3:$T$10,2,FALSE)))</f>
        <v/>
      </c>
      <c r="AP208" s="289" t="str">
        <f t="shared" si="42"/>
        <v/>
      </c>
      <c r="AQ208" s="289" t="str">
        <f t="shared" si="43"/>
        <v/>
      </c>
      <c r="AR208" s="105"/>
      <c r="AS208" s="138"/>
      <c r="AT208" s="104"/>
      <c r="AU208" s="104"/>
      <c r="AY208" s="30" t="str">
        <f>IF(E208="","",IF(ISNA(VLOOKUP($E208,'D-1 Off-Site Habitat Baseline'!$D$1:$AV$258,4,FALSE)),"",(VLOOKUP($E208,'D-1 Off-Site Habitat Baseline'!$D$1:$AV$258,4,FALSE))))</f>
        <v/>
      </c>
    </row>
    <row r="209" spans="1:51" ht="14">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319" t="str">
        <f>'D-1 Off-Site Habitat Baseline'!AP208</f>
        <v/>
      </c>
      <c r="F209" s="283" t="str">
        <f>IF(E209="","",IF(ISNA(VLOOKUP($E209,'D-1 Off-Site Habitat Baseline'!$D$1:$ZZ$258,45,FALSE)),"",(VLOOKUP($E209,'D-1 Off-Site Habitat Baseline'!$D$1:$ZZ$258,45,FALSE))))</f>
        <v/>
      </c>
      <c r="G209" s="295" t="str">
        <f>IF(E209="","",IF(ISNA(VLOOKUP($E209,'D-1 Off-Site Habitat Baseline'!$D$1:$O$258,5,FALSE)),"",(VLOOKUP($E209,'D-1 Off-Site Habitat Baseline'!$D$1:$O$258,5,FALSE))))</f>
        <v/>
      </c>
      <c r="H209" s="295" t="str">
        <f>IF(E209="","",IF(ISNA(VLOOKUP($E209,'D-1 Off-Site Habitat Baseline'!$D$1:$O$258,6,FALSE)),"",(VLOOKUP($E209,'D-1 Off-Site Habitat Baseline'!$D$1:$O$258,6,FALSE))))</f>
        <v/>
      </c>
      <c r="I209" s="295" t="str">
        <f>IF(E209="","",IF(ISNA(VLOOKUP($E209,'D-1 Off-Site Habitat Baseline'!$D$1:$O$258,7,FALSE)),"",(VLOOKUP($E209,'D-1 Off-Site Habitat Baseline'!$D$1:$O$258,7,FALSE))))</f>
        <v/>
      </c>
      <c r="J209" s="295" t="str">
        <f>IF(E209="","",IF(ISNA(VLOOKUP($E209,'D-1 Off-Site Habitat Baseline'!$D$1:$O$258,8,FALSE)),"",(VLOOKUP($E209,'D-1 Off-Site Habitat Baseline'!$D$1:$O$258,8,FALSE))))</f>
        <v/>
      </c>
      <c r="K209" s="295" t="str">
        <f>IF(E209="","",IF(ISNA(VLOOKUP($E209,'D-1 Off-Site Habitat Baseline'!$D$1:$O$258,9,FALSE)),"",(VLOOKUP($E209,'D-1 Off-Site Habitat Baseline'!$D$1:$O$258,9,FALSE))))</f>
        <v/>
      </c>
      <c r="L209" s="295" t="str">
        <f>IF(E209="","",IF(ISNA(VLOOKUP($E209,'D-1 Off-Site Habitat Baseline'!$D$1:$O$258,11,FALSE)),"",(VLOOKUP($E209,'D-1 Off-Site Habitat Baseline'!$D$1:$O$258,11,FALSE))))</f>
        <v/>
      </c>
      <c r="M209" s="295" t="str">
        <f>IF(E209="","",IF(ISNA(VLOOKUP($E209,'D-1 Off-Site Habitat Baseline'!$D$1:$O$258,12,FALSE)),"",(VLOOKUP($E209,'D-1 Off-Site Habitat Baseline'!$D$1:$O$258,12,FALSE))))</f>
        <v/>
      </c>
      <c r="N209" s="295" t="str">
        <f>IF(E209="","",IF(ISNA(VLOOKUP($E209,'D-1 Off-Site Habitat Baseline'!$D$1:$AA$258,17,FALSE)),"",(VLOOKUP($E209,'D-1 Off-Site Habitat Baseline'!$D$1:$AA$258,17,FALSE))))</f>
        <v/>
      </c>
      <c r="O209" s="299" t="str">
        <f>IF(E209="","",IF(ISNA(VLOOKUP($E209,'D-1 Off-Site Habitat Baseline'!$D$1:$AA$258,13,FALSE)),"",(VLOOKUP($E209,'D-1 Off-Site Habitat Baseline'!$D$1:$AA$258,13,FALSE))))</f>
        <v/>
      </c>
      <c r="P209" s="148" t="str">
        <f>IFERROR(INDEX('G-1 All Habitats'!$AG$49:$AG$63,MATCH(Q209,'G-1 All Habitats'!$AF$27:$AF$41,0)),"")</f>
        <v/>
      </c>
      <c r="Q209" s="149" t="str">
        <f t="shared" si="35"/>
        <v/>
      </c>
      <c r="R209" s="150"/>
      <c r="S209" s="151" t="str">
        <f>IFERROR(INDEX('G-1 All Habitats'!$B$3:$B$135,MATCH(R209,'G-1 All Habitats'!$A$3:$A$135,0)),"")</f>
        <v/>
      </c>
      <c r="T209" s="283" t="str">
        <f t="shared" si="36"/>
        <v/>
      </c>
      <c r="U209" s="276" t="str">
        <f t="shared" si="37"/>
        <v/>
      </c>
      <c r="V209" s="298" t="str">
        <f t="shared" si="33"/>
        <v/>
      </c>
      <c r="W209" s="295" t="str">
        <f>IF(S209="","",VLOOKUP(S209,'G-1 All Habitats'!$B$2:$M$135,10,FALSE))</f>
        <v/>
      </c>
      <c r="X209" s="295" t="str">
        <f>IFERROR(VLOOKUP(W209,'G-1 All Habitats'!$V$3:$W$7,2,FALSE),"")</f>
        <v/>
      </c>
      <c r="Y209" s="138"/>
      <c r="Z209" s="299" t="str">
        <f>IFERROR(INDEX('G-8 Condition Look up'!$A$3:$H$135,MATCH(S209,'G-8 Condition Look up'!$A$3:$A$135,0),MATCH(Y209,'G-8 Condition Look up'!$A$3:$H$3,0)),"")</f>
        <v/>
      </c>
      <c r="AA209" s="101"/>
      <c r="AB209" s="314" t="str">
        <f>IF(AA209="","",IF(VLOOKUP(AA209,'G-3 Multipliers'!$L$3:$N$6,2,FALSE)=0,"Spatial Data Missing ⚠",VLOOKUP(AA209,'G-3 Multipliers'!$L$3:$N$6,2,FALSE)))</f>
        <v/>
      </c>
      <c r="AC209" s="299" t="str">
        <f>IF(AA209="","",IF(VLOOKUP(AA209,'G-3 Multipliers'!$L$3:$N$6,3,FALSE)=0,"Spatial Data Missing ⚠",VLOOKUP(AA209,'G-3 Multipliers'!$L$3:$N$6,3,FALSE)))</f>
        <v/>
      </c>
      <c r="AD209" s="311" t="str">
        <f t="shared" si="34"/>
        <v/>
      </c>
      <c r="AE209" s="138"/>
      <c r="AF209" s="138"/>
      <c r="AG209" s="295" t="str">
        <f t="shared" si="38"/>
        <v/>
      </c>
      <c r="AH209" s="296" t="str">
        <f t="shared" si="39"/>
        <v/>
      </c>
      <c r="AI209" s="300" t="str">
        <f>IF(AH209="Check Data ⚠","Check Data ⚠",IFERROR(VLOOKUP(AH209,'G-4 Temporal multipliers'!$A$4:$C$36,3,FALSE),""))</f>
        <v/>
      </c>
      <c r="AJ209" s="311" t="str">
        <f>IF(S209="","",VLOOKUP(S209,'G-3 Multipliers'!$A$2:$E$134,4,FALSE))</f>
        <v/>
      </c>
      <c r="AK209" s="295" t="str">
        <f t="shared" si="40"/>
        <v/>
      </c>
      <c r="AL209" s="295" t="str">
        <f t="shared" si="41"/>
        <v/>
      </c>
      <c r="AM209" s="299" t="str">
        <f>IFERROR(IF(F209="","",IF(AH209="Check Data ⚠","Check Data ⚠",VLOOKUP(AL209,'G-3 Multipliers'!$P$2:$Q$6,2,FALSE))),"")</f>
        <v/>
      </c>
      <c r="AN209" s="712" t="str">
        <f>IF(E209="","",IF(ISNA(VLOOKUP($E209,'D-1 Off-Site Habitat Baseline'!$D$1:$Z$258,15,FALSE)),"",(VLOOKUP($E209,'D-1 Off-Site Habitat Baseline'!$D$1:$Z$258,15,FALSE))))</f>
        <v/>
      </c>
      <c r="AO209" s="329" t="str">
        <f>IF(AN209="","",IF(VLOOKUP(AN209,'G-3 Multipliers'!$S$3:$T$10,2,FALSE)=0,"Spatial Data Missing ⚠",VLOOKUP(AN209,'G-3 Multipliers'!$S$3:$T$10,2,FALSE)))</f>
        <v/>
      </c>
      <c r="AP209" s="289" t="str">
        <f t="shared" si="42"/>
        <v/>
      </c>
      <c r="AQ209" s="289" t="str">
        <f t="shared" si="43"/>
        <v/>
      </c>
      <c r="AR209" s="105"/>
      <c r="AS209" s="138"/>
      <c r="AT209" s="104"/>
      <c r="AU209" s="104"/>
      <c r="AY209" s="30" t="str">
        <f>IF(E209="","",IF(ISNA(VLOOKUP($E209,'D-1 Off-Site Habitat Baseline'!$D$1:$AV$258,4,FALSE)),"",(VLOOKUP($E209,'D-1 Off-Site Habitat Baseline'!$D$1:$AV$258,4,FALSE))))</f>
        <v/>
      </c>
    </row>
    <row r="210" spans="1:51" ht="14">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319" t="str">
        <f>'D-1 Off-Site Habitat Baseline'!AP209</f>
        <v/>
      </c>
      <c r="F210" s="283" t="str">
        <f>IF(E210="","",IF(ISNA(VLOOKUP($E210,'D-1 Off-Site Habitat Baseline'!$D$1:$ZZ$258,45,FALSE)),"",(VLOOKUP($E210,'D-1 Off-Site Habitat Baseline'!$D$1:$ZZ$258,45,FALSE))))</f>
        <v/>
      </c>
      <c r="G210" s="295" t="str">
        <f>IF(E210="","",IF(ISNA(VLOOKUP($E210,'D-1 Off-Site Habitat Baseline'!$D$1:$O$258,5,FALSE)),"",(VLOOKUP($E210,'D-1 Off-Site Habitat Baseline'!$D$1:$O$258,5,FALSE))))</f>
        <v/>
      </c>
      <c r="H210" s="295" t="str">
        <f>IF(E210="","",IF(ISNA(VLOOKUP($E210,'D-1 Off-Site Habitat Baseline'!$D$1:$O$258,6,FALSE)),"",(VLOOKUP($E210,'D-1 Off-Site Habitat Baseline'!$D$1:$O$258,6,FALSE))))</f>
        <v/>
      </c>
      <c r="I210" s="295" t="str">
        <f>IF(E210="","",IF(ISNA(VLOOKUP($E210,'D-1 Off-Site Habitat Baseline'!$D$1:$O$258,7,FALSE)),"",(VLOOKUP($E210,'D-1 Off-Site Habitat Baseline'!$D$1:$O$258,7,FALSE))))</f>
        <v/>
      </c>
      <c r="J210" s="295" t="str">
        <f>IF(E210="","",IF(ISNA(VLOOKUP($E210,'D-1 Off-Site Habitat Baseline'!$D$1:$O$258,8,FALSE)),"",(VLOOKUP($E210,'D-1 Off-Site Habitat Baseline'!$D$1:$O$258,8,FALSE))))</f>
        <v/>
      </c>
      <c r="K210" s="295" t="str">
        <f>IF(E210="","",IF(ISNA(VLOOKUP($E210,'D-1 Off-Site Habitat Baseline'!$D$1:$O$258,9,FALSE)),"",(VLOOKUP($E210,'D-1 Off-Site Habitat Baseline'!$D$1:$O$258,9,FALSE))))</f>
        <v/>
      </c>
      <c r="L210" s="295" t="str">
        <f>IF(E210="","",IF(ISNA(VLOOKUP($E210,'D-1 Off-Site Habitat Baseline'!$D$1:$O$258,11,FALSE)),"",(VLOOKUP($E210,'D-1 Off-Site Habitat Baseline'!$D$1:$O$258,11,FALSE))))</f>
        <v/>
      </c>
      <c r="M210" s="295" t="str">
        <f>IF(E210="","",IF(ISNA(VLOOKUP($E210,'D-1 Off-Site Habitat Baseline'!$D$1:$O$258,12,FALSE)),"",(VLOOKUP($E210,'D-1 Off-Site Habitat Baseline'!$D$1:$O$258,12,FALSE))))</f>
        <v/>
      </c>
      <c r="N210" s="295" t="str">
        <f>IF(E210="","",IF(ISNA(VLOOKUP($E210,'D-1 Off-Site Habitat Baseline'!$D$1:$AA$258,17,FALSE)),"",(VLOOKUP($E210,'D-1 Off-Site Habitat Baseline'!$D$1:$AA$258,17,FALSE))))</f>
        <v/>
      </c>
      <c r="O210" s="299" t="str">
        <f>IF(E210="","",IF(ISNA(VLOOKUP($E210,'D-1 Off-Site Habitat Baseline'!$D$1:$AA$258,13,FALSE)),"",(VLOOKUP($E210,'D-1 Off-Site Habitat Baseline'!$D$1:$AA$258,13,FALSE))))</f>
        <v/>
      </c>
      <c r="P210" s="148" t="str">
        <f>IFERROR(INDEX('G-1 All Habitats'!$AG$49:$AG$63,MATCH(Q210,'G-1 All Habitats'!$AF$27:$AF$41,0)),"")</f>
        <v/>
      </c>
      <c r="Q210" s="149" t="str">
        <f t="shared" si="35"/>
        <v/>
      </c>
      <c r="R210" s="150"/>
      <c r="S210" s="151" t="str">
        <f>IFERROR(INDEX('G-1 All Habitats'!$B$3:$B$135,MATCH(R210,'G-1 All Habitats'!$A$3:$A$135,0)),"")</f>
        <v/>
      </c>
      <c r="T210" s="283" t="str">
        <f t="shared" si="36"/>
        <v/>
      </c>
      <c r="U210" s="276" t="str">
        <f t="shared" si="37"/>
        <v/>
      </c>
      <c r="V210" s="298" t="str">
        <f t="shared" si="33"/>
        <v/>
      </c>
      <c r="W210" s="295" t="str">
        <f>IF(S210="","",VLOOKUP(S210,'G-1 All Habitats'!$B$2:$M$135,10,FALSE))</f>
        <v/>
      </c>
      <c r="X210" s="295" t="str">
        <f>IFERROR(VLOOKUP(W210,'G-1 All Habitats'!$V$3:$W$7,2,FALSE),"")</f>
        <v/>
      </c>
      <c r="Y210" s="138"/>
      <c r="Z210" s="299" t="str">
        <f>IFERROR(INDEX('G-8 Condition Look up'!$A$3:$H$135,MATCH(S210,'G-8 Condition Look up'!$A$3:$A$135,0),MATCH(Y210,'G-8 Condition Look up'!$A$3:$H$3,0)),"")</f>
        <v/>
      </c>
      <c r="AA210" s="101"/>
      <c r="AB210" s="314" t="str">
        <f>IF(AA210="","",IF(VLOOKUP(AA210,'G-3 Multipliers'!$L$3:$N$6,2,FALSE)=0,"Spatial Data Missing ⚠",VLOOKUP(AA210,'G-3 Multipliers'!$L$3:$N$6,2,FALSE)))</f>
        <v/>
      </c>
      <c r="AC210" s="299" t="str">
        <f>IF(AA210="","",IF(VLOOKUP(AA210,'G-3 Multipliers'!$L$3:$N$6,3,FALSE)=0,"Spatial Data Missing ⚠",VLOOKUP(AA210,'G-3 Multipliers'!$L$3:$N$6,3,FALSE)))</f>
        <v/>
      </c>
      <c r="AD210" s="311" t="str">
        <f t="shared" si="34"/>
        <v/>
      </c>
      <c r="AE210" s="138"/>
      <c r="AF210" s="138"/>
      <c r="AG210" s="295" t="str">
        <f t="shared" si="38"/>
        <v/>
      </c>
      <c r="AH210" s="296" t="str">
        <f t="shared" si="39"/>
        <v/>
      </c>
      <c r="AI210" s="300" t="str">
        <f>IF(AH210="Check Data ⚠","Check Data ⚠",IFERROR(VLOOKUP(AH210,'G-4 Temporal multipliers'!$A$4:$C$36,3,FALSE),""))</f>
        <v/>
      </c>
      <c r="AJ210" s="311" t="str">
        <f>IF(S210="","",VLOOKUP(S210,'G-3 Multipliers'!$A$2:$E$134,4,FALSE))</f>
        <v/>
      </c>
      <c r="AK210" s="295" t="str">
        <f t="shared" si="40"/>
        <v/>
      </c>
      <c r="AL210" s="295" t="str">
        <f t="shared" si="41"/>
        <v/>
      </c>
      <c r="AM210" s="299" t="str">
        <f>IFERROR(IF(F210="","",IF(AH210="Check Data ⚠","Check Data ⚠",VLOOKUP(AL210,'G-3 Multipliers'!$P$2:$Q$6,2,FALSE))),"")</f>
        <v/>
      </c>
      <c r="AN210" s="712" t="str">
        <f>IF(E210="","",IF(ISNA(VLOOKUP($E210,'D-1 Off-Site Habitat Baseline'!$D$1:$Z$258,15,FALSE)),"",(VLOOKUP($E210,'D-1 Off-Site Habitat Baseline'!$D$1:$Z$258,15,FALSE))))</f>
        <v/>
      </c>
      <c r="AO210" s="329" t="str">
        <f>IF(AN210="","",IF(VLOOKUP(AN210,'G-3 Multipliers'!$S$3:$T$10,2,FALSE)=0,"Spatial Data Missing ⚠",VLOOKUP(AN210,'G-3 Multipliers'!$S$3:$T$10,2,FALSE)))</f>
        <v/>
      </c>
      <c r="AP210" s="289" t="str">
        <f t="shared" si="42"/>
        <v/>
      </c>
      <c r="AQ210" s="289" t="str">
        <f t="shared" si="43"/>
        <v/>
      </c>
      <c r="AR210" s="105"/>
      <c r="AS210" s="138"/>
      <c r="AT210" s="104"/>
      <c r="AU210" s="104"/>
      <c r="AY210" s="30" t="str">
        <f>IF(E210="","",IF(ISNA(VLOOKUP($E210,'D-1 Off-Site Habitat Baseline'!$D$1:$AV$258,4,FALSE)),"",(VLOOKUP($E210,'D-1 Off-Site Habitat Baseline'!$D$1:$AV$258,4,FALSE))))</f>
        <v/>
      </c>
    </row>
    <row r="211" spans="1:51" ht="14">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319" t="str">
        <f>'D-1 Off-Site Habitat Baseline'!AP210</f>
        <v/>
      </c>
      <c r="F211" s="283" t="str">
        <f>IF(E211="","",IF(ISNA(VLOOKUP($E211,'D-1 Off-Site Habitat Baseline'!$D$1:$ZZ$258,45,FALSE)),"",(VLOOKUP($E211,'D-1 Off-Site Habitat Baseline'!$D$1:$ZZ$258,45,FALSE))))</f>
        <v/>
      </c>
      <c r="G211" s="295" t="str">
        <f>IF(E211="","",IF(ISNA(VLOOKUP($E211,'D-1 Off-Site Habitat Baseline'!$D$1:$O$258,5,FALSE)),"",(VLOOKUP($E211,'D-1 Off-Site Habitat Baseline'!$D$1:$O$258,5,FALSE))))</f>
        <v/>
      </c>
      <c r="H211" s="295" t="str">
        <f>IF(E211="","",IF(ISNA(VLOOKUP($E211,'D-1 Off-Site Habitat Baseline'!$D$1:$O$258,6,FALSE)),"",(VLOOKUP($E211,'D-1 Off-Site Habitat Baseline'!$D$1:$O$258,6,FALSE))))</f>
        <v/>
      </c>
      <c r="I211" s="295" t="str">
        <f>IF(E211="","",IF(ISNA(VLOOKUP($E211,'D-1 Off-Site Habitat Baseline'!$D$1:$O$258,7,FALSE)),"",(VLOOKUP($E211,'D-1 Off-Site Habitat Baseline'!$D$1:$O$258,7,FALSE))))</f>
        <v/>
      </c>
      <c r="J211" s="295" t="str">
        <f>IF(E211="","",IF(ISNA(VLOOKUP($E211,'D-1 Off-Site Habitat Baseline'!$D$1:$O$258,8,FALSE)),"",(VLOOKUP($E211,'D-1 Off-Site Habitat Baseline'!$D$1:$O$258,8,FALSE))))</f>
        <v/>
      </c>
      <c r="K211" s="295" t="str">
        <f>IF(E211="","",IF(ISNA(VLOOKUP($E211,'D-1 Off-Site Habitat Baseline'!$D$1:$O$258,9,FALSE)),"",(VLOOKUP($E211,'D-1 Off-Site Habitat Baseline'!$D$1:$O$258,9,FALSE))))</f>
        <v/>
      </c>
      <c r="L211" s="295" t="str">
        <f>IF(E211="","",IF(ISNA(VLOOKUP($E211,'D-1 Off-Site Habitat Baseline'!$D$1:$O$258,11,FALSE)),"",(VLOOKUP($E211,'D-1 Off-Site Habitat Baseline'!$D$1:$O$258,11,FALSE))))</f>
        <v/>
      </c>
      <c r="M211" s="295" t="str">
        <f>IF(E211="","",IF(ISNA(VLOOKUP($E211,'D-1 Off-Site Habitat Baseline'!$D$1:$O$258,12,FALSE)),"",(VLOOKUP($E211,'D-1 Off-Site Habitat Baseline'!$D$1:$O$258,12,FALSE))))</f>
        <v/>
      </c>
      <c r="N211" s="295" t="str">
        <f>IF(E211="","",IF(ISNA(VLOOKUP($E211,'D-1 Off-Site Habitat Baseline'!$D$1:$AA$258,17,FALSE)),"",(VLOOKUP($E211,'D-1 Off-Site Habitat Baseline'!$D$1:$AA$258,17,FALSE))))</f>
        <v/>
      </c>
      <c r="O211" s="299" t="str">
        <f>IF(E211="","",IF(ISNA(VLOOKUP($E211,'D-1 Off-Site Habitat Baseline'!$D$1:$AA$258,13,FALSE)),"",(VLOOKUP($E211,'D-1 Off-Site Habitat Baseline'!$D$1:$AA$258,13,FALSE))))</f>
        <v/>
      </c>
      <c r="P211" s="148" t="str">
        <f>IFERROR(INDEX('G-1 All Habitats'!$AG$49:$AG$63,MATCH(Q211,'G-1 All Habitats'!$AF$27:$AF$41,0)),"")</f>
        <v/>
      </c>
      <c r="Q211" s="149" t="str">
        <f t="shared" si="35"/>
        <v/>
      </c>
      <c r="R211" s="150"/>
      <c r="S211" s="151" t="str">
        <f>IFERROR(INDEX('G-1 All Habitats'!$B$3:$B$135,MATCH(R211,'G-1 All Habitats'!$A$3:$A$135,0)),"")</f>
        <v/>
      </c>
      <c r="T211" s="283" t="str">
        <f t="shared" si="36"/>
        <v/>
      </c>
      <c r="U211" s="276" t="str">
        <f t="shared" si="37"/>
        <v/>
      </c>
      <c r="V211" s="298" t="str">
        <f t="shared" si="33"/>
        <v/>
      </c>
      <c r="W211" s="295" t="str">
        <f>IF(S211="","",VLOOKUP(S211,'G-1 All Habitats'!$B$2:$M$135,10,FALSE))</f>
        <v/>
      </c>
      <c r="X211" s="295" t="str">
        <f>IFERROR(VLOOKUP(W211,'G-1 All Habitats'!$V$3:$W$7,2,FALSE),"")</f>
        <v/>
      </c>
      <c r="Y211" s="138"/>
      <c r="Z211" s="299" t="str">
        <f>IFERROR(INDEX('G-8 Condition Look up'!$A$3:$H$135,MATCH(S211,'G-8 Condition Look up'!$A$3:$A$135,0),MATCH(Y211,'G-8 Condition Look up'!$A$3:$H$3,0)),"")</f>
        <v/>
      </c>
      <c r="AA211" s="101"/>
      <c r="AB211" s="314" t="str">
        <f>IF(AA211="","",IF(VLOOKUP(AA211,'G-3 Multipliers'!$L$3:$N$6,2,FALSE)=0,"Spatial Data Missing ⚠",VLOOKUP(AA211,'G-3 Multipliers'!$L$3:$N$6,2,FALSE)))</f>
        <v/>
      </c>
      <c r="AC211" s="299" t="str">
        <f>IF(AA211="","",IF(VLOOKUP(AA211,'G-3 Multipliers'!$L$3:$N$6,3,FALSE)=0,"Spatial Data Missing ⚠",VLOOKUP(AA211,'G-3 Multipliers'!$L$3:$N$6,3,FALSE)))</f>
        <v/>
      </c>
      <c r="AD211" s="311" t="str">
        <f t="shared" si="34"/>
        <v/>
      </c>
      <c r="AE211" s="138"/>
      <c r="AF211" s="138"/>
      <c r="AG211" s="295" t="str">
        <f t="shared" si="38"/>
        <v/>
      </c>
      <c r="AH211" s="296" t="str">
        <f t="shared" si="39"/>
        <v/>
      </c>
      <c r="AI211" s="300" t="str">
        <f>IF(AH211="Check Data ⚠","Check Data ⚠",IFERROR(VLOOKUP(AH211,'G-4 Temporal multipliers'!$A$4:$C$36,3,FALSE),""))</f>
        <v/>
      </c>
      <c r="AJ211" s="311" t="str">
        <f>IF(S211="","",VLOOKUP(S211,'G-3 Multipliers'!$A$2:$E$134,4,FALSE))</f>
        <v/>
      </c>
      <c r="AK211" s="295" t="str">
        <f t="shared" si="40"/>
        <v/>
      </c>
      <c r="AL211" s="295" t="str">
        <f t="shared" si="41"/>
        <v/>
      </c>
      <c r="AM211" s="299" t="str">
        <f>IFERROR(IF(F211="","",IF(AH211="Check Data ⚠","Check Data ⚠",VLOOKUP(AL211,'G-3 Multipliers'!$P$2:$Q$6,2,FALSE))),"")</f>
        <v/>
      </c>
      <c r="AN211" s="712" t="str">
        <f>IF(E211="","",IF(ISNA(VLOOKUP($E211,'D-1 Off-Site Habitat Baseline'!$D$1:$Z$258,15,FALSE)),"",(VLOOKUP($E211,'D-1 Off-Site Habitat Baseline'!$D$1:$Z$258,15,FALSE))))</f>
        <v/>
      </c>
      <c r="AO211" s="329" t="str">
        <f>IF(AN211="","",IF(VLOOKUP(AN211,'G-3 Multipliers'!$S$3:$T$10,2,FALSE)=0,"Spatial Data Missing ⚠",VLOOKUP(AN211,'G-3 Multipliers'!$S$3:$T$10,2,FALSE)))</f>
        <v/>
      </c>
      <c r="AP211" s="289" t="str">
        <f t="shared" si="42"/>
        <v/>
      </c>
      <c r="AQ211" s="289" t="str">
        <f t="shared" si="43"/>
        <v/>
      </c>
      <c r="AR211" s="105"/>
      <c r="AS211" s="138"/>
      <c r="AT211" s="104"/>
      <c r="AU211" s="104"/>
      <c r="AY211" s="30" t="str">
        <f>IF(E211="","",IF(ISNA(VLOOKUP($E211,'D-1 Off-Site Habitat Baseline'!$D$1:$AV$258,4,FALSE)),"",(VLOOKUP($E211,'D-1 Off-Site Habitat Baseline'!$D$1:$AV$258,4,FALSE))))</f>
        <v/>
      </c>
    </row>
    <row r="212" spans="1:51" ht="14">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319" t="str">
        <f>'D-1 Off-Site Habitat Baseline'!AP211</f>
        <v/>
      </c>
      <c r="F212" s="283" t="str">
        <f>IF(E212="","",IF(ISNA(VLOOKUP($E212,'D-1 Off-Site Habitat Baseline'!$D$1:$ZZ$258,45,FALSE)),"",(VLOOKUP($E212,'D-1 Off-Site Habitat Baseline'!$D$1:$ZZ$258,45,FALSE))))</f>
        <v/>
      </c>
      <c r="G212" s="295" t="str">
        <f>IF(E212="","",IF(ISNA(VLOOKUP($E212,'D-1 Off-Site Habitat Baseline'!$D$1:$O$258,5,FALSE)),"",(VLOOKUP($E212,'D-1 Off-Site Habitat Baseline'!$D$1:$O$258,5,FALSE))))</f>
        <v/>
      </c>
      <c r="H212" s="295" t="str">
        <f>IF(E212="","",IF(ISNA(VLOOKUP($E212,'D-1 Off-Site Habitat Baseline'!$D$1:$O$258,6,FALSE)),"",(VLOOKUP($E212,'D-1 Off-Site Habitat Baseline'!$D$1:$O$258,6,FALSE))))</f>
        <v/>
      </c>
      <c r="I212" s="295" t="str">
        <f>IF(E212="","",IF(ISNA(VLOOKUP($E212,'D-1 Off-Site Habitat Baseline'!$D$1:$O$258,7,FALSE)),"",(VLOOKUP($E212,'D-1 Off-Site Habitat Baseline'!$D$1:$O$258,7,FALSE))))</f>
        <v/>
      </c>
      <c r="J212" s="295" t="str">
        <f>IF(E212="","",IF(ISNA(VLOOKUP($E212,'D-1 Off-Site Habitat Baseline'!$D$1:$O$258,8,FALSE)),"",(VLOOKUP($E212,'D-1 Off-Site Habitat Baseline'!$D$1:$O$258,8,FALSE))))</f>
        <v/>
      </c>
      <c r="K212" s="295" t="str">
        <f>IF(E212="","",IF(ISNA(VLOOKUP($E212,'D-1 Off-Site Habitat Baseline'!$D$1:$O$258,9,FALSE)),"",(VLOOKUP($E212,'D-1 Off-Site Habitat Baseline'!$D$1:$O$258,9,FALSE))))</f>
        <v/>
      </c>
      <c r="L212" s="295" t="str">
        <f>IF(E212="","",IF(ISNA(VLOOKUP($E212,'D-1 Off-Site Habitat Baseline'!$D$1:$O$258,11,FALSE)),"",(VLOOKUP($E212,'D-1 Off-Site Habitat Baseline'!$D$1:$O$258,11,FALSE))))</f>
        <v/>
      </c>
      <c r="M212" s="295" t="str">
        <f>IF(E212="","",IF(ISNA(VLOOKUP($E212,'D-1 Off-Site Habitat Baseline'!$D$1:$O$258,12,FALSE)),"",(VLOOKUP($E212,'D-1 Off-Site Habitat Baseline'!$D$1:$O$258,12,FALSE))))</f>
        <v/>
      </c>
      <c r="N212" s="295" t="str">
        <f>IF(E212="","",IF(ISNA(VLOOKUP($E212,'D-1 Off-Site Habitat Baseline'!$D$1:$AA$258,17,FALSE)),"",(VLOOKUP($E212,'D-1 Off-Site Habitat Baseline'!$D$1:$AA$258,17,FALSE))))</f>
        <v/>
      </c>
      <c r="O212" s="299" t="str">
        <f>IF(E212="","",IF(ISNA(VLOOKUP($E212,'D-1 Off-Site Habitat Baseline'!$D$1:$AA$258,13,FALSE)),"",(VLOOKUP($E212,'D-1 Off-Site Habitat Baseline'!$D$1:$AA$258,13,FALSE))))</f>
        <v/>
      </c>
      <c r="P212" s="148" t="str">
        <f>IFERROR(INDEX('G-1 All Habitats'!$AG$49:$AG$63,MATCH(Q212,'G-1 All Habitats'!$AF$27:$AF$41,0)),"")</f>
        <v/>
      </c>
      <c r="Q212" s="149" t="str">
        <f t="shared" si="35"/>
        <v/>
      </c>
      <c r="R212" s="150"/>
      <c r="S212" s="151" t="str">
        <f>IFERROR(INDEX('G-1 All Habitats'!$B$3:$B$135,MATCH(R212,'G-1 All Habitats'!$A$3:$A$135,0)),"")</f>
        <v/>
      </c>
      <c r="T212" s="283" t="str">
        <f t="shared" si="36"/>
        <v/>
      </c>
      <c r="U212" s="276" t="str">
        <f t="shared" si="37"/>
        <v/>
      </c>
      <c r="V212" s="298" t="str">
        <f t="shared" si="33"/>
        <v/>
      </c>
      <c r="W212" s="295" t="str">
        <f>IF(S212="","",VLOOKUP(S212,'G-1 All Habitats'!$B$2:$M$135,10,FALSE))</f>
        <v/>
      </c>
      <c r="X212" s="295" t="str">
        <f>IFERROR(VLOOKUP(W212,'G-1 All Habitats'!$V$3:$W$7,2,FALSE),"")</f>
        <v/>
      </c>
      <c r="Y212" s="138"/>
      <c r="Z212" s="299" t="str">
        <f>IFERROR(INDEX('G-8 Condition Look up'!$A$3:$H$135,MATCH(S212,'G-8 Condition Look up'!$A$3:$A$135,0),MATCH(Y212,'G-8 Condition Look up'!$A$3:$H$3,0)),"")</f>
        <v/>
      </c>
      <c r="AA212" s="101"/>
      <c r="AB212" s="314" t="str">
        <f>IF(AA212="","",IF(VLOOKUP(AA212,'G-3 Multipliers'!$L$3:$N$6,2,FALSE)=0,"Spatial Data Missing ⚠",VLOOKUP(AA212,'G-3 Multipliers'!$L$3:$N$6,2,FALSE)))</f>
        <v/>
      </c>
      <c r="AC212" s="299" t="str">
        <f>IF(AA212="","",IF(VLOOKUP(AA212,'G-3 Multipliers'!$L$3:$N$6,3,FALSE)=0,"Spatial Data Missing ⚠",VLOOKUP(AA212,'G-3 Multipliers'!$L$3:$N$6,3,FALSE)))</f>
        <v/>
      </c>
      <c r="AD212" s="311" t="str">
        <f t="shared" si="34"/>
        <v/>
      </c>
      <c r="AE212" s="138"/>
      <c r="AF212" s="138"/>
      <c r="AG212" s="295" t="str">
        <f t="shared" si="38"/>
        <v/>
      </c>
      <c r="AH212" s="296" t="str">
        <f t="shared" si="39"/>
        <v/>
      </c>
      <c r="AI212" s="300" t="str">
        <f>IF(AH212="Check Data ⚠","Check Data ⚠",IFERROR(VLOOKUP(AH212,'G-4 Temporal multipliers'!$A$4:$C$36,3,FALSE),""))</f>
        <v/>
      </c>
      <c r="AJ212" s="311" t="str">
        <f>IF(S212="","",VLOOKUP(S212,'G-3 Multipliers'!$A$2:$E$134,4,FALSE))</f>
        <v/>
      </c>
      <c r="AK212" s="295" t="str">
        <f t="shared" si="40"/>
        <v/>
      </c>
      <c r="AL212" s="295" t="str">
        <f t="shared" si="41"/>
        <v/>
      </c>
      <c r="AM212" s="299" t="str">
        <f>IFERROR(IF(F212="","",IF(AH212="Check Data ⚠","Check Data ⚠",VLOOKUP(AL212,'G-3 Multipliers'!$P$2:$Q$6,2,FALSE))),"")</f>
        <v/>
      </c>
      <c r="AN212" s="712" t="str">
        <f>IF(E212="","",IF(ISNA(VLOOKUP($E212,'D-1 Off-Site Habitat Baseline'!$D$1:$Z$258,15,FALSE)),"",(VLOOKUP($E212,'D-1 Off-Site Habitat Baseline'!$D$1:$Z$258,15,FALSE))))</f>
        <v/>
      </c>
      <c r="AO212" s="329" t="str">
        <f>IF(AN212="","",IF(VLOOKUP(AN212,'G-3 Multipliers'!$S$3:$T$10,2,FALSE)=0,"Spatial Data Missing ⚠",VLOOKUP(AN212,'G-3 Multipliers'!$S$3:$T$10,2,FALSE)))</f>
        <v/>
      </c>
      <c r="AP212" s="289" t="str">
        <f t="shared" si="42"/>
        <v/>
      </c>
      <c r="AQ212" s="289" t="str">
        <f t="shared" si="43"/>
        <v/>
      </c>
      <c r="AR212" s="105"/>
      <c r="AS212" s="138"/>
      <c r="AT212" s="104"/>
      <c r="AU212" s="104"/>
      <c r="AY212" s="30" t="str">
        <f>IF(E212="","",IF(ISNA(VLOOKUP($E212,'D-1 Off-Site Habitat Baseline'!$D$1:$AV$258,4,FALSE)),"",(VLOOKUP($E212,'D-1 Off-Site Habitat Baseline'!$D$1:$AV$258,4,FALSE))))</f>
        <v/>
      </c>
    </row>
    <row r="213" spans="1:51" ht="14">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319" t="str">
        <f>'D-1 Off-Site Habitat Baseline'!AP212</f>
        <v/>
      </c>
      <c r="F213" s="283" t="str">
        <f>IF(E213="","",IF(ISNA(VLOOKUP($E213,'D-1 Off-Site Habitat Baseline'!$D$1:$ZZ$258,45,FALSE)),"",(VLOOKUP($E213,'D-1 Off-Site Habitat Baseline'!$D$1:$ZZ$258,45,FALSE))))</f>
        <v/>
      </c>
      <c r="G213" s="295" t="str">
        <f>IF(E213="","",IF(ISNA(VLOOKUP($E213,'D-1 Off-Site Habitat Baseline'!$D$1:$O$258,5,FALSE)),"",(VLOOKUP($E213,'D-1 Off-Site Habitat Baseline'!$D$1:$O$258,5,FALSE))))</f>
        <v/>
      </c>
      <c r="H213" s="295" t="str">
        <f>IF(E213="","",IF(ISNA(VLOOKUP($E213,'D-1 Off-Site Habitat Baseline'!$D$1:$O$258,6,FALSE)),"",(VLOOKUP($E213,'D-1 Off-Site Habitat Baseline'!$D$1:$O$258,6,FALSE))))</f>
        <v/>
      </c>
      <c r="I213" s="295" t="str">
        <f>IF(E213="","",IF(ISNA(VLOOKUP($E213,'D-1 Off-Site Habitat Baseline'!$D$1:$O$258,7,FALSE)),"",(VLOOKUP($E213,'D-1 Off-Site Habitat Baseline'!$D$1:$O$258,7,FALSE))))</f>
        <v/>
      </c>
      <c r="J213" s="295" t="str">
        <f>IF(E213="","",IF(ISNA(VLOOKUP($E213,'D-1 Off-Site Habitat Baseline'!$D$1:$O$258,8,FALSE)),"",(VLOOKUP($E213,'D-1 Off-Site Habitat Baseline'!$D$1:$O$258,8,FALSE))))</f>
        <v/>
      </c>
      <c r="K213" s="295" t="str">
        <f>IF(E213="","",IF(ISNA(VLOOKUP($E213,'D-1 Off-Site Habitat Baseline'!$D$1:$O$258,9,FALSE)),"",(VLOOKUP($E213,'D-1 Off-Site Habitat Baseline'!$D$1:$O$258,9,FALSE))))</f>
        <v/>
      </c>
      <c r="L213" s="295" t="str">
        <f>IF(E213="","",IF(ISNA(VLOOKUP($E213,'D-1 Off-Site Habitat Baseline'!$D$1:$O$258,11,FALSE)),"",(VLOOKUP($E213,'D-1 Off-Site Habitat Baseline'!$D$1:$O$258,11,FALSE))))</f>
        <v/>
      </c>
      <c r="M213" s="295" t="str">
        <f>IF(E213="","",IF(ISNA(VLOOKUP($E213,'D-1 Off-Site Habitat Baseline'!$D$1:$O$258,12,FALSE)),"",(VLOOKUP($E213,'D-1 Off-Site Habitat Baseline'!$D$1:$O$258,12,FALSE))))</f>
        <v/>
      </c>
      <c r="N213" s="295" t="str">
        <f>IF(E213="","",IF(ISNA(VLOOKUP($E213,'D-1 Off-Site Habitat Baseline'!$D$1:$AA$258,17,FALSE)),"",(VLOOKUP($E213,'D-1 Off-Site Habitat Baseline'!$D$1:$AA$258,17,FALSE))))</f>
        <v/>
      </c>
      <c r="O213" s="299" t="str">
        <f>IF(E213="","",IF(ISNA(VLOOKUP($E213,'D-1 Off-Site Habitat Baseline'!$D$1:$AA$258,13,FALSE)),"",(VLOOKUP($E213,'D-1 Off-Site Habitat Baseline'!$D$1:$AA$258,13,FALSE))))</f>
        <v/>
      </c>
      <c r="P213" s="148" t="str">
        <f>IFERROR(INDEX('G-1 All Habitats'!$AG$49:$AG$63,MATCH(Q213,'G-1 All Habitats'!$AF$27:$AF$41,0)),"")</f>
        <v/>
      </c>
      <c r="Q213" s="149" t="str">
        <f t="shared" si="35"/>
        <v/>
      </c>
      <c r="R213" s="150"/>
      <c r="S213" s="151" t="str">
        <f>IFERROR(INDEX('G-1 All Habitats'!$B$3:$B$135,MATCH(R213,'G-1 All Habitats'!$A$3:$A$135,0)),"")</f>
        <v/>
      </c>
      <c r="T213" s="283" t="str">
        <f t="shared" si="36"/>
        <v/>
      </c>
      <c r="U213" s="276" t="str">
        <f t="shared" si="37"/>
        <v/>
      </c>
      <c r="V213" s="298" t="str">
        <f t="shared" si="33"/>
        <v/>
      </c>
      <c r="W213" s="295" t="str">
        <f>IF(S213="","",VLOOKUP(S213,'G-1 All Habitats'!$B$2:$M$135,10,FALSE))</f>
        <v/>
      </c>
      <c r="X213" s="295" t="str">
        <f>IFERROR(VLOOKUP(W213,'G-1 All Habitats'!$V$3:$W$7,2,FALSE),"")</f>
        <v/>
      </c>
      <c r="Y213" s="138"/>
      <c r="Z213" s="299" t="str">
        <f>IFERROR(INDEX('G-8 Condition Look up'!$A$3:$H$135,MATCH(S213,'G-8 Condition Look up'!$A$3:$A$135,0),MATCH(Y213,'G-8 Condition Look up'!$A$3:$H$3,0)),"")</f>
        <v/>
      </c>
      <c r="AA213" s="101"/>
      <c r="AB213" s="314" t="str">
        <f>IF(AA213="","",IF(VLOOKUP(AA213,'G-3 Multipliers'!$L$3:$N$6,2,FALSE)=0,"Spatial Data Missing ⚠",VLOOKUP(AA213,'G-3 Multipliers'!$L$3:$N$6,2,FALSE)))</f>
        <v/>
      </c>
      <c r="AC213" s="299" t="str">
        <f>IF(AA213="","",IF(VLOOKUP(AA213,'G-3 Multipliers'!$L$3:$N$6,3,FALSE)=0,"Spatial Data Missing ⚠",VLOOKUP(AA213,'G-3 Multipliers'!$L$3:$N$6,3,FALSE)))</f>
        <v/>
      </c>
      <c r="AD213" s="311" t="str">
        <f t="shared" si="34"/>
        <v/>
      </c>
      <c r="AE213" s="138"/>
      <c r="AF213" s="138"/>
      <c r="AG213" s="295" t="str">
        <f t="shared" si="38"/>
        <v/>
      </c>
      <c r="AH213" s="296" t="str">
        <f t="shared" si="39"/>
        <v/>
      </c>
      <c r="AI213" s="300" t="str">
        <f>IF(AH213="Check Data ⚠","Check Data ⚠",IFERROR(VLOOKUP(AH213,'G-4 Temporal multipliers'!$A$4:$C$36,3,FALSE),""))</f>
        <v/>
      </c>
      <c r="AJ213" s="311" t="str">
        <f>IF(S213="","",VLOOKUP(S213,'G-3 Multipliers'!$A$2:$E$134,4,FALSE))</f>
        <v/>
      </c>
      <c r="AK213" s="295" t="str">
        <f t="shared" si="40"/>
        <v/>
      </c>
      <c r="AL213" s="295" t="str">
        <f t="shared" si="41"/>
        <v/>
      </c>
      <c r="AM213" s="299" t="str">
        <f>IFERROR(IF(F213="","",IF(AH213="Check Data ⚠","Check Data ⚠",VLOOKUP(AL213,'G-3 Multipliers'!$P$2:$Q$6,2,FALSE))),"")</f>
        <v/>
      </c>
      <c r="AN213" s="712" t="str">
        <f>IF(E213="","",IF(ISNA(VLOOKUP($E213,'D-1 Off-Site Habitat Baseline'!$D$1:$Z$258,15,FALSE)),"",(VLOOKUP($E213,'D-1 Off-Site Habitat Baseline'!$D$1:$Z$258,15,FALSE))))</f>
        <v/>
      </c>
      <c r="AO213" s="329" t="str">
        <f>IF(AN213="","",IF(VLOOKUP(AN213,'G-3 Multipliers'!$S$3:$T$10,2,FALSE)=0,"Spatial Data Missing ⚠",VLOOKUP(AN213,'G-3 Multipliers'!$S$3:$T$10,2,FALSE)))</f>
        <v/>
      </c>
      <c r="AP213" s="289" t="str">
        <f t="shared" si="42"/>
        <v/>
      </c>
      <c r="AQ213" s="289" t="str">
        <f t="shared" si="43"/>
        <v/>
      </c>
      <c r="AR213" s="105"/>
      <c r="AS213" s="138"/>
      <c r="AT213" s="104"/>
      <c r="AU213" s="104"/>
      <c r="AY213" s="30" t="str">
        <f>IF(E213="","",IF(ISNA(VLOOKUP($E213,'D-1 Off-Site Habitat Baseline'!$D$1:$AV$258,4,FALSE)),"",(VLOOKUP($E213,'D-1 Off-Site Habitat Baseline'!$D$1:$AV$258,4,FALSE))))</f>
        <v/>
      </c>
    </row>
    <row r="214" spans="1:51" ht="14">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319" t="str">
        <f>'D-1 Off-Site Habitat Baseline'!AP213</f>
        <v/>
      </c>
      <c r="F214" s="283" t="str">
        <f>IF(E214="","",IF(ISNA(VLOOKUP($E214,'D-1 Off-Site Habitat Baseline'!$D$1:$ZZ$258,45,FALSE)),"",(VLOOKUP($E214,'D-1 Off-Site Habitat Baseline'!$D$1:$ZZ$258,45,FALSE))))</f>
        <v/>
      </c>
      <c r="G214" s="295" t="str">
        <f>IF(E214="","",IF(ISNA(VLOOKUP($E214,'D-1 Off-Site Habitat Baseline'!$D$1:$O$258,5,FALSE)),"",(VLOOKUP($E214,'D-1 Off-Site Habitat Baseline'!$D$1:$O$258,5,FALSE))))</f>
        <v/>
      </c>
      <c r="H214" s="295" t="str">
        <f>IF(E214="","",IF(ISNA(VLOOKUP($E214,'D-1 Off-Site Habitat Baseline'!$D$1:$O$258,6,FALSE)),"",(VLOOKUP($E214,'D-1 Off-Site Habitat Baseline'!$D$1:$O$258,6,FALSE))))</f>
        <v/>
      </c>
      <c r="I214" s="295" t="str">
        <f>IF(E214="","",IF(ISNA(VLOOKUP($E214,'D-1 Off-Site Habitat Baseline'!$D$1:$O$258,7,FALSE)),"",(VLOOKUP($E214,'D-1 Off-Site Habitat Baseline'!$D$1:$O$258,7,FALSE))))</f>
        <v/>
      </c>
      <c r="J214" s="295" t="str">
        <f>IF(E214="","",IF(ISNA(VLOOKUP($E214,'D-1 Off-Site Habitat Baseline'!$D$1:$O$258,8,FALSE)),"",(VLOOKUP($E214,'D-1 Off-Site Habitat Baseline'!$D$1:$O$258,8,FALSE))))</f>
        <v/>
      </c>
      <c r="K214" s="295" t="str">
        <f>IF(E214="","",IF(ISNA(VLOOKUP($E214,'D-1 Off-Site Habitat Baseline'!$D$1:$O$258,9,FALSE)),"",(VLOOKUP($E214,'D-1 Off-Site Habitat Baseline'!$D$1:$O$258,9,FALSE))))</f>
        <v/>
      </c>
      <c r="L214" s="295" t="str">
        <f>IF(E214="","",IF(ISNA(VLOOKUP($E214,'D-1 Off-Site Habitat Baseline'!$D$1:$O$258,11,FALSE)),"",(VLOOKUP($E214,'D-1 Off-Site Habitat Baseline'!$D$1:$O$258,11,FALSE))))</f>
        <v/>
      </c>
      <c r="M214" s="295" t="str">
        <f>IF(E214="","",IF(ISNA(VLOOKUP($E214,'D-1 Off-Site Habitat Baseline'!$D$1:$O$258,12,FALSE)),"",(VLOOKUP($E214,'D-1 Off-Site Habitat Baseline'!$D$1:$O$258,12,FALSE))))</f>
        <v/>
      </c>
      <c r="N214" s="295" t="str">
        <f>IF(E214="","",IF(ISNA(VLOOKUP($E214,'D-1 Off-Site Habitat Baseline'!$D$1:$AA$258,17,FALSE)),"",(VLOOKUP($E214,'D-1 Off-Site Habitat Baseline'!$D$1:$AA$258,17,FALSE))))</f>
        <v/>
      </c>
      <c r="O214" s="299" t="str">
        <f>IF(E214="","",IF(ISNA(VLOOKUP($E214,'D-1 Off-Site Habitat Baseline'!$D$1:$AA$258,13,FALSE)),"",(VLOOKUP($E214,'D-1 Off-Site Habitat Baseline'!$D$1:$AA$258,13,FALSE))))</f>
        <v/>
      </c>
      <c r="P214" s="148" t="str">
        <f>IFERROR(INDEX('G-1 All Habitats'!$AG$49:$AG$63,MATCH(Q214,'G-1 All Habitats'!$AF$27:$AF$41,0)),"")</f>
        <v/>
      </c>
      <c r="Q214" s="149" t="str">
        <f t="shared" si="35"/>
        <v/>
      </c>
      <c r="R214" s="150"/>
      <c r="S214" s="151" t="str">
        <f>IFERROR(INDEX('G-1 All Habitats'!$B$3:$B$135,MATCH(R214,'G-1 All Habitats'!$A$3:$A$135,0)),"")</f>
        <v/>
      </c>
      <c r="T214" s="283" t="str">
        <f t="shared" si="36"/>
        <v/>
      </c>
      <c r="U214" s="276" t="str">
        <f t="shared" si="37"/>
        <v/>
      </c>
      <c r="V214" s="298" t="str">
        <f t="shared" si="33"/>
        <v/>
      </c>
      <c r="W214" s="295" t="str">
        <f>IF(S214="","",VLOOKUP(S214,'G-1 All Habitats'!$B$2:$M$135,10,FALSE))</f>
        <v/>
      </c>
      <c r="X214" s="295" t="str">
        <f>IFERROR(VLOOKUP(W214,'G-1 All Habitats'!$V$3:$W$7,2,FALSE),"")</f>
        <v/>
      </c>
      <c r="Y214" s="138"/>
      <c r="Z214" s="299" t="str">
        <f>IFERROR(INDEX('G-8 Condition Look up'!$A$3:$H$135,MATCH(S214,'G-8 Condition Look up'!$A$3:$A$135,0),MATCH(Y214,'G-8 Condition Look up'!$A$3:$H$3,0)),"")</f>
        <v/>
      </c>
      <c r="AA214" s="101"/>
      <c r="AB214" s="314" t="str">
        <f>IF(AA214="","",IF(VLOOKUP(AA214,'G-3 Multipliers'!$L$3:$N$6,2,FALSE)=0,"Spatial Data Missing ⚠",VLOOKUP(AA214,'G-3 Multipliers'!$L$3:$N$6,2,FALSE)))</f>
        <v/>
      </c>
      <c r="AC214" s="299" t="str">
        <f>IF(AA214="","",IF(VLOOKUP(AA214,'G-3 Multipliers'!$L$3:$N$6,3,FALSE)=0,"Spatial Data Missing ⚠",VLOOKUP(AA214,'G-3 Multipliers'!$L$3:$N$6,3,FALSE)))</f>
        <v/>
      </c>
      <c r="AD214" s="311" t="str">
        <f t="shared" si="34"/>
        <v/>
      </c>
      <c r="AE214" s="138"/>
      <c r="AF214" s="138"/>
      <c r="AG214" s="295" t="str">
        <f t="shared" si="38"/>
        <v/>
      </c>
      <c r="AH214" s="296" t="str">
        <f t="shared" si="39"/>
        <v/>
      </c>
      <c r="AI214" s="300" t="str">
        <f>IF(AH214="Check Data ⚠","Check Data ⚠",IFERROR(VLOOKUP(AH214,'G-4 Temporal multipliers'!$A$4:$C$36,3,FALSE),""))</f>
        <v/>
      </c>
      <c r="AJ214" s="311" t="str">
        <f>IF(S214="","",VLOOKUP(S214,'G-3 Multipliers'!$A$2:$E$134,4,FALSE))</f>
        <v/>
      </c>
      <c r="AK214" s="295" t="str">
        <f t="shared" si="40"/>
        <v/>
      </c>
      <c r="AL214" s="295" t="str">
        <f t="shared" si="41"/>
        <v/>
      </c>
      <c r="AM214" s="299" t="str">
        <f>IFERROR(IF(F214="","",IF(AH214="Check Data ⚠","Check Data ⚠",VLOOKUP(AL214,'G-3 Multipliers'!$P$2:$Q$6,2,FALSE))),"")</f>
        <v/>
      </c>
      <c r="AN214" s="712" t="str">
        <f>IF(E214="","",IF(ISNA(VLOOKUP($E214,'D-1 Off-Site Habitat Baseline'!$D$1:$Z$258,15,FALSE)),"",(VLOOKUP($E214,'D-1 Off-Site Habitat Baseline'!$D$1:$Z$258,15,FALSE))))</f>
        <v/>
      </c>
      <c r="AO214" s="329" t="str">
        <f>IF(AN214="","",IF(VLOOKUP(AN214,'G-3 Multipliers'!$S$3:$T$10,2,FALSE)=0,"Spatial Data Missing ⚠",VLOOKUP(AN214,'G-3 Multipliers'!$S$3:$T$10,2,FALSE)))</f>
        <v/>
      </c>
      <c r="AP214" s="289" t="str">
        <f t="shared" si="42"/>
        <v/>
      </c>
      <c r="AQ214" s="289" t="str">
        <f t="shared" si="43"/>
        <v/>
      </c>
      <c r="AR214" s="105"/>
      <c r="AS214" s="138"/>
      <c r="AT214" s="104"/>
      <c r="AU214" s="104"/>
      <c r="AY214" s="30" t="str">
        <f>IF(E214="","",IF(ISNA(VLOOKUP($E214,'D-1 Off-Site Habitat Baseline'!$D$1:$AV$258,4,FALSE)),"",(VLOOKUP($E214,'D-1 Off-Site Habitat Baseline'!$D$1:$AV$258,4,FALSE))))</f>
        <v/>
      </c>
    </row>
    <row r="215" spans="1:51" ht="14">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319" t="str">
        <f>'D-1 Off-Site Habitat Baseline'!AP214</f>
        <v/>
      </c>
      <c r="F215" s="283" t="str">
        <f>IF(E215="","",IF(ISNA(VLOOKUP($E215,'D-1 Off-Site Habitat Baseline'!$D$1:$ZZ$258,45,FALSE)),"",(VLOOKUP($E215,'D-1 Off-Site Habitat Baseline'!$D$1:$ZZ$258,45,FALSE))))</f>
        <v/>
      </c>
      <c r="G215" s="295" t="str">
        <f>IF(E215="","",IF(ISNA(VLOOKUP($E215,'D-1 Off-Site Habitat Baseline'!$D$1:$O$258,5,FALSE)),"",(VLOOKUP($E215,'D-1 Off-Site Habitat Baseline'!$D$1:$O$258,5,FALSE))))</f>
        <v/>
      </c>
      <c r="H215" s="295" t="str">
        <f>IF(E215="","",IF(ISNA(VLOOKUP($E215,'D-1 Off-Site Habitat Baseline'!$D$1:$O$258,6,FALSE)),"",(VLOOKUP($E215,'D-1 Off-Site Habitat Baseline'!$D$1:$O$258,6,FALSE))))</f>
        <v/>
      </c>
      <c r="I215" s="295" t="str">
        <f>IF(E215="","",IF(ISNA(VLOOKUP($E215,'D-1 Off-Site Habitat Baseline'!$D$1:$O$258,7,FALSE)),"",(VLOOKUP($E215,'D-1 Off-Site Habitat Baseline'!$D$1:$O$258,7,FALSE))))</f>
        <v/>
      </c>
      <c r="J215" s="295" t="str">
        <f>IF(E215="","",IF(ISNA(VLOOKUP($E215,'D-1 Off-Site Habitat Baseline'!$D$1:$O$258,8,FALSE)),"",(VLOOKUP($E215,'D-1 Off-Site Habitat Baseline'!$D$1:$O$258,8,FALSE))))</f>
        <v/>
      </c>
      <c r="K215" s="295" t="str">
        <f>IF(E215="","",IF(ISNA(VLOOKUP($E215,'D-1 Off-Site Habitat Baseline'!$D$1:$O$258,9,FALSE)),"",(VLOOKUP($E215,'D-1 Off-Site Habitat Baseline'!$D$1:$O$258,9,FALSE))))</f>
        <v/>
      </c>
      <c r="L215" s="295" t="str">
        <f>IF(E215="","",IF(ISNA(VLOOKUP($E215,'D-1 Off-Site Habitat Baseline'!$D$1:$O$258,11,FALSE)),"",(VLOOKUP($E215,'D-1 Off-Site Habitat Baseline'!$D$1:$O$258,11,FALSE))))</f>
        <v/>
      </c>
      <c r="M215" s="295" t="str">
        <f>IF(E215="","",IF(ISNA(VLOOKUP($E215,'D-1 Off-Site Habitat Baseline'!$D$1:$O$258,12,FALSE)),"",(VLOOKUP($E215,'D-1 Off-Site Habitat Baseline'!$D$1:$O$258,12,FALSE))))</f>
        <v/>
      </c>
      <c r="N215" s="295" t="str">
        <f>IF(E215="","",IF(ISNA(VLOOKUP($E215,'D-1 Off-Site Habitat Baseline'!$D$1:$AA$258,17,FALSE)),"",(VLOOKUP($E215,'D-1 Off-Site Habitat Baseline'!$D$1:$AA$258,17,FALSE))))</f>
        <v/>
      </c>
      <c r="O215" s="299" t="str">
        <f>IF(E215="","",IF(ISNA(VLOOKUP($E215,'D-1 Off-Site Habitat Baseline'!$D$1:$AA$258,13,FALSE)),"",(VLOOKUP($E215,'D-1 Off-Site Habitat Baseline'!$D$1:$AA$258,13,FALSE))))</f>
        <v/>
      </c>
      <c r="P215" s="148" t="str">
        <f>IFERROR(INDEX('G-1 All Habitats'!$AG$49:$AG$63,MATCH(Q215,'G-1 All Habitats'!$AF$27:$AF$41,0)),"")</f>
        <v/>
      </c>
      <c r="Q215" s="149" t="str">
        <f t="shared" si="35"/>
        <v/>
      </c>
      <c r="R215" s="150"/>
      <c r="S215" s="151" t="str">
        <f>IFERROR(INDEX('G-1 All Habitats'!$B$3:$B$135,MATCH(R215,'G-1 All Habitats'!$A$3:$A$135,0)),"")</f>
        <v/>
      </c>
      <c r="T215" s="283" t="str">
        <f t="shared" si="36"/>
        <v/>
      </c>
      <c r="U215" s="276" t="str">
        <f t="shared" si="37"/>
        <v/>
      </c>
      <c r="V215" s="298" t="str">
        <f t="shared" si="33"/>
        <v/>
      </c>
      <c r="W215" s="295" t="str">
        <f>IF(S215="","",VLOOKUP(S215,'G-1 All Habitats'!$B$2:$M$135,10,FALSE))</f>
        <v/>
      </c>
      <c r="X215" s="295" t="str">
        <f>IFERROR(VLOOKUP(W215,'G-1 All Habitats'!$V$3:$W$7,2,FALSE),"")</f>
        <v/>
      </c>
      <c r="Y215" s="138"/>
      <c r="Z215" s="299" t="str">
        <f>IFERROR(INDEX('G-8 Condition Look up'!$A$3:$H$135,MATCH(S215,'G-8 Condition Look up'!$A$3:$A$135,0),MATCH(Y215,'G-8 Condition Look up'!$A$3:$H$3,0)),"")</f>
        <v/>
      </c>
      <c r="AA215" s="101"/>
      <c r="AB215" s="314" t="str">
        <f>IF(AA215="","",IF(VLOOKUP(AA215,'G-3 Multipliers'!$L$3:$N$6,2,FALSE)=0,"Spatial Data Missing ⚠",VLOOKUP(AA215,'G-3 Multipliers'!$L$3:$N$6,2,FALSE)))</f>
        <v/>
      </c>
      <c r="AC215" s="299" t="str">
        <f>IF(AA215="","",IF(VLOOKUP(AA215,'G-3 Multipliers'!$L$3:$N$6,3,FALSE)=0,"Spatial Data Missing ⚠",VLOOKUP(AA215,'G-3 Multipliers'!$L$3:$N$6,3,FALSE)))</f>
        <v/>
      </c>
      <c r="AD215" s="311" t="str">
        <f t="shared" si="34"/>
        <v/>
      </c>
      <c r="AE215" s="138"/>
      <c r="AF215" s="138"/>
      <c r="AG215" s="295" t="str">
        <f t="shared" si="38"/>
        <v/>
      </c>
      <c r="AH215" s="296" t="str">
        <f t="shared" si="39"/>
        <v/>
      </c>
      <c r="AI215" s="300" t="str">
        <f>IF(AH215="Check Data ⚠","Check Data ⚠",IFERROR(VLOOKUP(AH215,'G-4 Temporal multipliers'!$A$4:$C$36,3,FALSE),""))</f>
        <v/>
      </c>
      <c r="AJ215" s="311" t="str">
        <f>IF(S215="","",VLOOKUP(S215,'G-3 Multipliers'!$A$2:$E$134,4,FALSE))</f>
        <v/>
      </c>
      <c r="AK215" s="295" t="str">
        <f t="shared" si="40"/>
        <v/>
      </c>
      <c r="AL215" s="295" t="str">
        <f t="shared" si="41"/>
        <v/>
      </c>
      <c r="AM215" s="299" t="str">
        <f>IFERROR(IF(F215="","",IF(AH215="Check Data ⚠","Check Data ⚠",VLOOKUP(AL215,'G-3 Multipliers'!$P$2:$Q$6,2,FALSE))),"")</f>
        <v/>
      </c>
      <c r="AN215" s="712" t="str">
        <f>IF(E215="","",IF(ISNA(VLOOKUP($E215,'D-1 Off-Site Habitat Baseline'!$D$1:$Z$258,15,FALSE)),"",(VLOOKUP($E215,'D-1 Off-Site Habitat Baseline'!$D$1:$Z$258,15,FALSE))))</f>
        <v/>
      </c>
      <c r="AO215" s="329" t="str">
        <f>IF(AN215="","",IF(VLOOKUP(AN215,'G-3 Multipliers'!$S$3:$T$10,2,FALSE)=0,"Spatial Data Missing ⚠",VLOOKUP(AN215,'G-3 Multipliers'!$S$3:$T$10,2,FALSE)))</f>
        <v/>
      </c>
      <c r="AP215" s="289" t="str">
        <f t="shared" si="42"/>
        <v/>
      </c>
      <c r="AQ215" s="289" t="str">
        <f t="shared" si="43"/>
        <v/>
      </c>
      <c r="AR215" s="105"/>
      <c r="AS215" s="138"/>
      <c r="AT215" s="104"/>
      <c r="AU215" s="104"/>
      <c r="AY215" s="30" t="str">
        <f>IF(E215="","",IF(ISNA(VLOOKUP($E215,'D-1 Off-Site Habitat Baseline'!$D$1:$AV$258,4,FALSE)),"",(VLOOKUP($E215,'D-1 Off-Site Habitat Baseline'!$D$1:$AV$258,4,FALSE))))</f>
        <v/>
      </c>
    </row>
    <row r="216" spans="1:51" ht="14">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319" t="str">
        <f>'D-1 Off-Site Habitat Baseline'!AP215</f>
        <v/>
      </c>
      <c r="F216" s="283" t="str">
        <f>IF(E216="","",IF(ISNA(VLOOKUP($E216,'D-1 Off-Site Habitat Baseline'!$D$1:$ZZ$258,45,FALSE)),"",(VLOOKUP($E216,'D-1 Off-Site Habitat Baseline'!$D$1:$ZZ$258,45,FALSE))))</f>
        <v/>
      </c>
      <c r="G216" s="295" t="str">
        <f>IF(E216="","",IF(ISNA(VLOOKUP($E216,'D-1 Off-Site Habitat Baseline'!$D$1:$O$258,5,FALSE)),"",(VLOOKUP($E216,'D-1 Off-Site Habitat Baseline'!$D$1:$O$258,5,FALSE))))</f>
        <v/>
      </c>
      <c r="H216" s="295" t="str">
        <f>IF(E216="","",IF(ISNA(VLOOKUP($E216,'D-1 Off-Site Habitat Baseline'!$D$1:$O$258,6,FALSE)),"",(VLOOKUP($E216,'D-1 Off-Site Habitat Baseline'!$D$1:$O$258,6,FALSE))))</f>
        <v/>
      </c>
      <c r="I216" s="295" t="str">
        <f>IF(E216="","",IF(ISNA(VLOOKUP($E216,'D-1 Off-Site Habitat Baseline'!$D$1:$O$258,7,FALSE)),"",(VLOOKUP($E216,'D-1 Off-Site Habitat Baseline'!$D$1:$O$258,7,FALSE))))</f>
        <v/>
      </c>
      <c r="J216" s="295" t="str">
        <f>IF(E216="","",IF(ISNA(VLOOKUP($E216,'D-1 Off-Site Habitat Baseline'!$D$1:$O$258,8,FALSE)),"",(VLOOKUP($E216,'D-1 Off-Site Habitat Baseline'!$D$1:$O$258,8,FALSE))))</f>
        <v/>
      </c>
      <c r="K216" s="295" t="str">
        <f>IF(E216="","",IF(ISNA(VLOOKUP($E216,'D-1 Off-Site Habitat Baseline'!$D$1:$O$258,9,FALSE)),"",(VLOOKUP($E216,'D-1 Off-Site Habitat Baseline'!$D$1:$O$258,9,FALSE))))</f>
        <v/>
      </c>
      <c r="L216" s="295" t="str">
        <f>IF(E216="","",IF(ISNA(VLOOKUP($E216,'D-1 Off-Site Habitat Baseline'!$D$1:$O$258,11,FALSE)),"",(VLOOKUP($E216,'D-1 Off-Site Habitat Baseline'!$D$1:$O$258,11,FALSE))))</f>
        <v/>
      </c>
      <c r="M216" s="295" t="str">
        <f>IF(E216="","",IF(ISNA(VLOOKUP($E216,'D-1 Off-Site Habitat Baseline'!$D$1:$O$258,12,FALSE)),"",(VLOOKUP($E216,'D-1 Off-Site Habitat Baseline'!$D$1:$O$258,12,FALSE))))</f>
        <v/>
      </c>
      <c r="N216" s="295" t="str">
        <f>IF(E216="","",IF(ISNA(VLOOKUP($E216,'D-1 Off-Site Habitat Baseline'!$D$1:$AA$258,17,FALSE)),"",(VLOOKUP($E216,'D-1 Off-Site Habitat Baseline'!$D$1:$AA$258,17,FALSE))))</f>
        <v/>
      </c>
      <c r="O216" s="299" t="str">
        <f>IF(E216="","",IF(ISNA(VLOOKUP($E216,'D-1 Off-Site Habitat Baseline'!$D$1:$AA$258,13,FALSE)),"",(VLOOKUP($E216,'D-1 Off-Site Habitat Baseline'!$D$1:$AA$258,13,FALSE))))</f>
        <v/>
      </c>
      <c r="P216" s="148" t="str">
        <f>IFERROR(INDEX('G-1 All Habitats'!$AG$49:$AG$63,MATCH(Q216,'G-1 All Habitats'!$AF$27:$AF$41,0)),"")</f>
        <v/>
      </c>
      <c r="Q216" s="149" t="str">
        <f t="shared" si="35"/>
        <v/>
      </c>
      <c r="R216" s="150"/>
      <c r="S216" s="151" t="str">
        <f>IFERROR(INDEX('G-1 All Habitats'!$B$3:$B$135,MATCH(R216,'G-1 All Habitats'!$A$3:$A$135,0)),"")</f>
        <v/>
      </c>
      <c r="T216" s="283" t="str">
        <f t="shared" si="36"/>
        <v/>
      </c>
      <c r="U216" s="276" t="str">
        <f t="shared" si="37"/>
        <v/>
      </c>
      <c r="V216" s="298" t="str">
        <f t="shared" si="33"/>
        <v/>
      </c>
      <c r="W216" s="295" t="str">
        <f>IF(S216="","",VLOOKUP(S216,'G-1 All Habitats'!$B$2:$M$135,10,FALSE))</f>
        <v/>
      </c>
      <c r="X216" s="295" t="str">
        <f>IFERROR(VLOOKUP(W216,'G-1 All Habitats'!$V$3:$W$7,2,FALSE),"")</f>
        <v/>
      </c>
      <c r="Y216" s="138"/>
      <c r="Z216" s="299" t="str">
        <f>IFERROR(INDEX('G-8 Condition Look up'!$A$3:$H$135,MATCH(S216,'G-8 Condition Look up'!$A$3:$A$135,0),MATCH(Y216,'G-8 Condition Look up'!$A$3:$H$3,0)),"")</f>
        <v/>
      </c>
      <c r="AA216" s="101"/>
      <c r="AB216" s="314" t="str">
        <f>IF(AA216="","",IF(VLOOKUP(AA216,'G-3 Multipliers'!$L$3:$N$6,2,FALSE)=0,"Spatial Data Missing ⚠",VLOOKUP(AA216,'G-3 Multipliers'!$L$3:$N$6,2,FALSE)))</f>
        <v/>
      </c>
      <c r="AC216" s="299" t="str">
        <f>IF(AA216="","",IF(VLOOKUP(AA216,'G-3 Multipliers'!$L$3:$N$6,3,FALSE)=0,"Spatial Data Missing ⚠",VLOOKUP(AA216,'G-3 Multipliers'!$L$3:$N$6,3,FALSE)))</f>
        <v/>
      </c>
      <c r="AD216" s="311" t="str">
        <f t="shared" si="34"/>
        <v/>
      </c>
      <c r="AE216" s="138"/>
      <c r="AF216" s="138"/>
      <c r="AG216" s="295" t="str">
        <f t="shared" si="38"/>
        <v/>
      </c>
      <c r="AH216" s="296" t="str">
        <f t="shared" si="39"/>
        <v/>
      </c>
      <c r="AI216" s="300" t="str">
        <f>IF(AH216="Check Data ⚠","Check Data ⚠",IFERROR(VLOOKUP(AH216,'G-4 Temporal multipliers'!$A$4:$C$36,3,FALSE),""))</f>
        <v/>
      </c>
      <c r="AJ216" s="311" t="str">
        <f>IF(S216="","",VLOOKUP(S216,'G-3 Multipliers'!$A$2:$E$134,4,FALSE))</f>
        <v/>
      </c>
      <c r="AK216" s="295" t="str">
        <f t="shared" si="40"/>
        <v/>
      </c>
      <c r="AL216" s="295" t="str">
        <f t="shared" si="41"/>
        <v/>
      </c>
      <c r="AM216" s="299" t="str">
        <f>IFERROR(IF(F216="","",IF(AH216="Check Data ⚠","Check Data ⚠",VLOOKUP(AL216,'G-3 Multipliers'!$P$2:$Q$6,2,FALSE))),"")</f>
        <v/>
      </c>
      <c r="AN216" s="712" t="str">
        <f>IF(E216="","",IF(ISNA(VLOOKUP($E216,'D-1 Off-Site Habitat Baseline'!$D$1:$Z$258,15,FALSE)),"",(VLOOKUP($E216,'D-1 Off-Site Habitat Baseline'!$D$1:$Z$258,15,FALSE))))</f>
        <v/>
      </c>
      <c r="AO216" s="329" t="str">
        <f>IF(AN216="","",IF(VLOOKUP(AN216,'G-3 Multipliers'!$S$3:$T$10,2,FALSE)=0,"Spatial Data Missing ⚠",VLOOKUP(AN216,'G-3 Multipliers'!$S$3:$T$10,2,FALSE)))</f>
        <v/>
      </c>
      <c r="AP216" s="289" t="str">
        <f t="shared" si="42"/>
        <v/>
      </c>
      <c r="AQ216" s="289" t="str">
        <f t="shared" si="43"/>
        <v/>
      </c>
      <c r="AR216" s="105"/>
      <c r="AS216" s="138"/>
      <c r="AT216" s="104"/>
      <c r="AU216" s="104"/>
      <c r="AY216" s="30" t="str">
        <f>IF(E216="","",IF(ISNA(VLOOKUP($E216,'D-1 Off-Site Habitat Baseline'!$D$1:$AV$258,4,FALSE)),"",(VLOOKUP($E216,'D-1 Off-Site Habitat Baseline'!$D$1:$AV$258,4,FALSE))))</f>
        <v/>
      </c>
    </row>
    <row r="217" spans="1:51" ht="14">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319" t="str">
        <f>'D-1 Off-Site Habitat Baseline'!AP216</f>
        <v/>
      </c>
      <c r="F217" s="283" t="str">
        <f>IF(E217="","",IF(ISNA(VLOOKUP($E217,'D-1 Off-Site Habitat Baseline'!$D$1:$ZZ$258,45,FALSE)),"",(VLOOKUP($E217,'D-1 Off-Site Habitat Baseline'!$D$1:$ZZ$258,45,FALSE))))</f>
        <v/>
      </c>
      <c r="G217" s="295" t="str">
        <f>IF(E217="","",IF(ISNA(VLOOKUP($E217,'D-1 Off-Site Habitat Baseline'!$D$1:$O$258,5,FALSE)),"",(VLOOKUP($E217,'D-1 Off-Site Habitat Baseline'!$D$1:$O$258,5,FALSE))))</f>
        <v/>
      </c>
      <c r="H217" s="295" t="str">
        <f>IF(E217="","",IF(ISNA(VLOOKUP($E217,'D-1 Off-Site Habitat Baseline'!$D$1:$O$258,6,FALSE)),"",(VLOOKUP($E217,'D-1 Off-Site Habitat Baseline'!$D$1:$O$258,6,FALSE))))</f>
        <v/>
      </c>
      <c r="I217" s="295" t="str">
        <f>IF(E217="","",IF(ISNA(VLOOKUP($E217,'D-1 Off-Site Habitat Baseline'!$D$1:$O$258,7,FALSE)),"",(VLOOKUP($E217,'D-1 Off-Site Habitat Baseline'!$D$1:$O$258,7,FALSE))))</f>
        <v/>
      </c>
      <c r="J217" s="295" t="str">
        <f>IF(E217="","",IF(ISNA(VLOOKUP($E217,'D-1 Off-Site Habitat Baseline'!$D$1:$O$258,8,FALSE)),"",(VLOOKUP($E217,'D-1 Off-Site Habitat Baseline'!$D$1:$O$258,8,FALSE))))</f>
        <v/>
      </c>
      <c r="K217" s="295" t="str">
        <f>IF(E217="","",IF(ISNA(VLOOKUP($E217,'D-1 Off-Site Habitat Baseline'!$D$1:$O$258,9,FALSE)),"",(VLOOKUP($E217,'D-1 Off-Site Habitat Baseline'!$D$1:$O$258,9,FALSE))))</f>
        <v/>
      </c>
      <c r="L217" s="295" t="str">
        <f>IF(E217="","",IF(ISNA(VLOOKUP($E217,'D-1 Off-Site Habitat Baseline'!$D$1:$O$258,11,FALSE)),"",(VLOOKUP($E217,'D-1 Off-Site Habitat Baseline'!$D$1:$O$258,11,FALSE))))</f>
        <v/>
      </c>
      <c r="M217" s="295" t="str">
        <f>IF(E217="","",IF(ISNA(VLOOKUP($E217,'D-1 Off-Site Habitat Baseline'!$D$1:$O$258,12,FALSE)),"",(VLOOKUP($E217,'D-1 Off-Site Habitat Baseline'!$D$1:$O$258,12,FALSE))))</f>
        <v/>
      </c>
      <c r="N217" s="295" t="str">
        <f>IF(E217="","",IF(ISNA(VLOOKUP($E217,'D-1 Off-Site Habitat Baseline'!$D$1:$AA$258,17,FALSE)),"",(VLOOKUP($E217,'D-1 Off-Site Habitat Baseline'!$D$1:$AA$258,17,FALSE))))</f>
        <v/>
      </c>
      <c r="O217" s="299" t="str">
        <f>IF(E217="","",IF(ISNA(VLOOKUP($E217,'D-1 Off-Site Habitat Baseline'!$D$1:$AA$258,13,FALSE)),"",(VLOOKUP($E217,'D-1 Off-Site Habitat Baseline'!$D$1:$AA$258,13,FALSE))))</f>
        <v/>
      </c>
      <c r="P217" s="148" t="str">
        <f>IFERROR(INDEX('G-1 All Habitats'!$AG$49:$AG$63,MATCH(Q217,'G-1 All Habitats'!$AF$27:$AF$41,0)),"")</f>
        <v/>
      </c>
      <c r="Q217" s="149" t="str">
        <f t="shared" si="35"/>
        <v/>
      </c>
      <c r="R217" s="150"/>
      <c r="S217" s="151" t="str">
        <f>IFERROR(INDEX('G-1 All Habitats'!$B$3:$B$135,MATCH(R217,'G-1 All Habitats'!$A$3:$A$135,0)),"")</f>
        <v/>
      </c>
      <c r="T217" s="283" t="str">
        <f t="shared" si="36"/>
        <v/>
      </c>
      <c r="U217" s="276" t="str">
        <f t="shared" si="37"/>
        <v/>
      </c>
      <c r="V217" s="298" t="str">
        <f t="shared" si="33"/>
        <v/>
      </c>
      <c r="W217" s="295" t="str">
        <f>IF(S217="","",VLOOKUP(S217,'G-1 All Habitats'!$B$2:$M$135,10,FALSE))</f>
        <v/>
      </c>
      <c r="X217" s="295" t="str">
        <f>IFERROR(VLOOKUP(W217,'G-1 All Habitats'!$V$3:$W$7,2,FALSE),"")</f>
        <v/>
      </c>
      <c r="Y217" s="138"/>
      <c r="Z217" s="299" t="str">
        <f>IFERROR(INDEX('G-8 Condition Look up'!$A$3:$H$135,MATCH(S217,'G-8 Condition Look up'!$A$3:$A$135,0),MATCH(Y217,'G-8 Condition Look up'!$A$3:$H$3,0)),"")</f>
        <v/>
      </c>
      <c r="AA217" s="101"/>
      <c r="AB217" s="314" t="str">
        <f>IF(AA217="","",IF(VLOOKUP(AA217,'G-3 Multipliers'!$L$3:$N$6,2,FALSE)=0,"Spatial Data Missing ⚠",VLOOKUP(AA217,'G-3 Multipliers'!$L$3:$N$6,2,FALSE)))</f>
        <v/>
      </c>
      <c r="AC217" s="299" t="str">
        <f>IF(AA217="","",IF(VLOOKUP(AA217,'G-3 Multipliers'!$L$3:$N$6,3,FALSE)=0,"Spatial Data Missing ⚠",VLOOKUP(AA217,'G-3 Multipliers'!$L$3:$N$6,3,FALSE)))</f>
        <v/>
      </c>
      <c r="AD217" s="311" t="str">
        <f t="shared" si="34"/>
        <v/>
      </c>
      <c r="AE217" s="138"/>
      <c r="AF217" s="138"/>
      <c r="AG217" s="295" t="str">
        <f t="shared" si="38"/>
        <v/>
      </c>
      <c r="AH217" s="296" t="str">
        <f t="shared" si="39"/>
        <v/>
      </c>
      <c r="AI217" s="300" t="str">
        <f>IF(AH217="Check Data ⚠","Check Data ⚠",IFERROR(VLOOKUP(AH217,'G-4 Temporal multipliers'!$A$4:$C$36,3,FALSE),""))</f>
        <v/>
      </c>
      <c r="AJ217" s="311" t="str">
        <f>IF(S217="","",VLOOKUP(S217,'G-3 Multipliers'!$A$2:$E$134,4,FALSE))</f>
        <v/>
      </c>
      <c r="AK217" s="295" t="str">
        <f t="shared" si="40"/>
        <v/>
      </c>
      <c r="AL217" s="295" t="str">
        <f t="shared" si="41"/>
        <v/>
      </c>
      <c r="AM217" s="299" t="str">
        <f>IFERROR(IF(F217="","",IF(AH217="Check Data ⚠","Check Data ⚠",VLOOKUP(AL217,'G-3 Multipliers'!$P$2:$Q$6,2,FALSE))),"")</f>
        <v/>
      </c>
      <c r="AN217" s="712" t="str">
        <f>IF(E217="","",IF(ISNA(VLOOKUP($E217,'D-1 Off-Site Habitat Baseline'!$D$1:$Z$258,15,FALSE)),"",(VLOOKUP($E217,'D-1 Off-Site Habitat Baseline'!$D$1:$Z$258,15,FALSE))))</f>
        <v/>
      </c>
      <c r="AO217" s="329" t="str">
        <f>IF(AN217="","",IF(VLOOKUP(AN217,'G-3 Multipliers'!$S$3:$T$10,2,FALSE)=0,"Spatial Data Missing ⚠",VLOOKUP(AN217,'G-3 Multipliers'!$S$3:$T$10,2,FALSE)))</f>
        <v/>
      </c>
      <c r="AP217" s="289" t="str">
        <f t="shared" si="42"/>
        <v/>
      </c>
      <c r="AQ217" s="289" t="str">
        <f t="shared" si="43"/>
        <v/>
      </c>
      <c r="AR217" s="105"/>
      <c r="AS217" s="138"/>
      <c r="AT217" s="104"/>
      <c r="AU217" s="104"/>
      <c r="AY217" s="30" t="str">
        <f>IF(E217="","",IF(ISNA(VLOOKUP($E217,'D-1 Off-Site Habitat Baseline'!$D$1:$AV$258,4,FALSE)),"",(VLOOKUP($E217,'D-1 Off-Site Habitat Baseline'!$D$1:$AV$258,4,FALSE))))</f>
        <v/>
      </c>
    </row>
    <row r="218" spans="1:51" ht="14">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319" t="str">
        <f>'D-1 Off-Site Habitat Baseline'!AP217</f>
        <v/>
      </c>
      <c r="F218" s="283" t="str">
        <f>IF(E218="","",IF(ISNA(VLOOKUP($E218,'D-1 Off-Site Habitat Baseline'!$D$1:$ZZ$258,45,FALSE)),"",(VLOOKUP($E218,'D-1 Off-Site Habitat Baseline'!$D$1:$ZZ$258,45,FALSE))))</f>
        <v/>
      </c>
      <c r="G218" s="295" t="str">
        <f>IF(E218="","",IF(ISNA(VLOOKUP($E218,'D-1 Off-Site Habitat Baseline'!$D$1:$O$258,5,FALSE)),"",(VLOOKUP($E218,'D-1 Off-Site Habitat Baseline'!$D$1:$O$258,5,FALSE))))</f>
        <v/>
      </c>
      <c r="H218" s="295" t="str">
        <f>IF(E218="","",IF(ISNA(VLOOKUP($E218,'D-1 Off-Site Habitat Baseline'!$D$1:$O$258,6,FALSE)),"",(VLOOKUP($E218,'D-1 Off-Site Habitat Baseline'!$D$1:$O$258,6,FALSE))))</f>
        <v/>
      </c>
      <c r="I218" s="295" t="str">
        <f>IF(E218="","",IF(ISNA(VLOOKUP($E218,'D-1 Off-Site Habitat Baseline'!$D$1:$O$258,7,FALSE)),"",(VLOOKUP($E218,'D-1 Off-Site Habitat Baseline'!$D$1:$O$258,7,FALSE))))</f>
        <v/>
      </c>
      <c r="J218" s="295" t="str">
        <f>IF(E218="","",IF(ISNA(VLOOKUP($E218,'D-1 Off-Site Habitat Baseline'!$D$1:$O$258,8,FALSE)),"",(VLOOKUP($E218,'D-1 Off-Site Habitat Baseline'!$D$1:$O$258,8,FALSE))))</f>
        <v/>
      </c>
      <c r="K218" s="295" t="str">
        <f>IF(E218="","",IF(ISNA(VLOOKUP($E218,'D-1 Off-Site Habitat Baseline'!$D$1:$O$258,9,FALSE)),"",(VLOOKUP($E218,'D-1 Off-Site Habitat Baseline'!$D$1:$O$258,9,FALSE))))</f>
        <v/>
      </c>
      <c r="L218" s="295" t="str">
        <f>IF(E218="","",IF(ISNA(VLOOKUP($E218,'D-1 Off-Site Habitat Baseline'!$D$1:$O$258,11,FALSE)),"",(VLOOKUP($E218,'D-1 Off-Site Habitat Baseline'!$D$1:$O$258,11,FALSE))))</f>
        <v/>
      </c>
      <c r="M218" s="295" t="str">
        <f>IF(E218="","",IF(ISNA(VLOOKUP($E218,'D-1 Off-Site Habitat Baseline'!$D$1:$O$258,12,FALSE)),"",(VLOOKUP($E218,'D-1 Off-Site Habitat Baseline'!$D$1:$O$258,12,FALSE))))</f>
        <v/>
      </c>
      <c r="N218" s="295" t="str">
        <f>IF(E218="","",IF(ISNA(VLOOKUP($E218,'D-1 Off-Site Habitat Baseline'!$D$1:$AA$258,17,FALSE)),"",(VLOOKUP($E218,'D-1 Off-Site Habitat Baseline'!$D$1:$AA$258,17,FALSE))))</f>
        <v/>
      </c>
      <c r="O218" s="299" t="str">
        <f>IF(E218="","",IF(ISNA(VLOOKUP($E218,'D-1 Off-Site Habitat Baseline'!$D$1:$AA$258,13,FALSE)),"",(VLOOKUP($E218,'D-1 Off-Site Habitat Baseline'!$D$1:$AA$258,13,FALSE))))</f>
        <v/>
      </c>
      <c r="P218" s="148" t="str">
        <f>IFERROR(INDEX('G-1 All Habitats'!$AG$49:$AG$63,MATCH(Q218,'G-1 All Habitats'!$AF$27:$AF$41,0)),"")</f>
        <v/>
      </c>
      <c r="Q218" s="149" t="str">
        <f t="shared" si="35"/>
        <v/>
      </c>
      <c r="R218" s="150"/>
      <c r="S218" s="151" t="str">
        <f>IFERROR(INDEX('G-1 All Habitats'!$B$3:$B$135,MATCH(R218,'G-1 All Habitats'!$A$3:$A$135,0)),"")</f>
        <v/>
      </c>
      <c r="T218" s="283" t="str">
        <f t="shared" si="36"/>
        <v/>
      </c>
      <c r="U218" s="276" t="str">
        <f t="shared" si="37"/>
        <v/>
      </c>
      <c r="V218" s="298" t="str">
        <f t="shared" si="33"/>
        <v/>
      </c>
      <c r="W218" s="295" t="str">
        <f>IF(S218="","",VLOOKUP(S218,'G-1 All Habitats'!$B$2:$M$135,10,FALSE))</f>
        <v/>
      </c>
      <c r="X218" s="295" t="str">
        <f>IFERROR(VLOOKUP(W218,'G-1 All Habitats'!$V$3:$W$7,2,FALSE),"")</f>
        <v/>
      </c>
      <c r="Y218" s="138"/>
      <c r="Z218" s="299" t="str">
        <f>IFERROR(INDEX('G-8 Condition Look up'!$A$3:$H$135,MATCH(S218,'G-8 Condition Look up'!$A$3:$A$135,0),MATCH(Y218,'G-8 Condition Look up'!$A$3:$H$3,0)),"")</f>
        <v/>
      </c>
      <c r="AA218" s="101"/>
      <c r="AB218" s="314" t="str">
        <f>IF(AA218="","",IF(VLOOKUP(AA218,'G-3 Multipliers'!$L$3:$N$6,2,FALSE)=0,"Spatial Data Missing ⚠",VLOOKUP(AA218,'G-3 Multipliers'!$L$3:$N$6,2,FALSE)))</f>
        <v/>
      </c>
      <c r="AC218" s="299" t="str">
        <f>IF(AA218="","",IF(VLOOKUP(AA218,'G-3 Multipliers'!$L$3:$N$6,3,FALSE)=0,"Spatial Data Missing ⚠",VLOOKUP(AA218,'G-3 Multipliers'!$L$3:$N$6,3,FALSE)))</f>
        <v/>
      </c>
      <c r="AD218" s="311" t="str">
        <f t="shared" si="34"/>
        <v/>
      </c>
      <c r="AE218" s="138"/>
      <c r="AF218" s="138"/>
      <c r="AG218" s="295" t="str">
        <f t="shared" si="38"/>
        <v/>
      </c>
      <c r="AH218" s="296" t="str">
        <f t="shared" si="39"/>
        <v/>
      </c>
      <c r="AI218" s="300" t="str">
        <f>IF(AH218="Check Data ⚠","Check Data ⚠",IFERROR(VLOOKUP(AH218,'G-4 Temporal multipliers'!$A$4:$C$36,3,FALSE),""))</f>
        <v/>
      </c>
      <c r="AJ218" s="311" t="str">
        <f>IF(S218="","",VLOOKUP(S218,'G-3 Multipliers'!$A$2:$E$134,4,FALSE))</f>
        <v/>
      </c>
      <c r="AK218" s="295" t="str">
        <f t="shared" si="40"/>
        <v/>
      </c>
      <c r="AL218" s="295" t="str">
        <f t="shared" si="41"/>
        <v/>
      </c>
      <c r="AM218" s="299" t="str">
        <f>IFERROR(IF(F218="","",IF(AH218="Check Data ⚠","Check Data ⚠",VLOOKUP(AL218,'G-3 Multipliers'!$P$2:$Q$6,2,FALSE))),"")</f>
        <v/>
      </c>
      <c r="AN218" s="712" t="str">
        <f>IF(E218="","",IF(ISNA(VLOOKUP($E218,'D-1 Off-Site Habitat Baseline'!$D$1:$Z$258,15,FALSE)),"",(VLOOKUP($E218,'D-1 Off-Site Habitat Baseline'!$D$1:$Z$258,15,FALSE))))</f>
        <v/>
      </c>
      <c r="AO218" s="329" t="str">
        <f>IF(AN218="","",IF(VLOOKUP(AN218,'G-3 Multipliers'!$S$3:$T$10,2,FALSE)=0,"Spatial Data Missing ⚠",VLOOKUP(AN218,'G-3 Multipliers'!$S$3:$T$10,2,FALSE)))</f>
        <v/>
      </c>
      <c r="AP218" s="289" t="str">
        <f t="shared" si="42"/>
        <v/>
      </c>
      <c r="AQ218" s="289" t="str">
        <f t="shared" si="43"/>
        <v/>
      </c>
      <c r="AR218" s="105"/>
      <c r="AS218" s="138"/>
      <c r="AT218" s="104"/>
      <c r="AU218" s="104"/>
      <c r="AY218" s="30" t="str">
        <f>IF(E218="","",IF(ISNA(VLOOKUP($E218,'D-1 Off-Site Habitat Baseline'!$D$1:$AV$258,4,FALSE)),"",(VLOOKUP($E218,'D-1 Off-Site Habitat Baseline'!$D$1:$AV$258,4,FALSE))))</f>
        <v/>
      </c>
    </row>
    <row r="219" spans="1:51" ht="14">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319" t="str">
        <f>'D-1 Off-Site Habitat Baseline'!AP218</f>
        <v/>
      </c>
      <c r="F219" s="283" t="str">
        <f>IF(E219="","",IF(ISNA(VLOOKUP($E219,'D-1 Off-Site Habitat Baseline'!$D$1:$ZZ$258,45,FALSE)),"",(VLOOKUP($E219,'D-1 Off-Site Habitat Baseline'!$D$1:$ZZ$258,45,FALSE))))</f>
        <v/>
      </c>
      <c r="G219" s="295" t="str">
        <f>IF(E219="","",IF(ISNA(VLOOKUP($E219,'D-1 Off-Site Habitat Baseline'!$D$1:$O$258,5,FALSE)),"",(VLOOKUP($E219,'D-1 Off-Site Habitat Baseline'!$D$1:$O$258,5,FALSE))))</f>
        <v/>
      </c>
      <c r="H219" s="295" t="str">
        <f>IF(E219="","",IF(ISNA(VLOOKUP($E219,'D-1 Off-Site Habitat Baseline'!$D$1:$O$258,6,FALSE)),"",(VLOOKUP($E219,'D-1 Off-Site Habitat Baseline'!$D$1:$O$258,6,FALSE))))</f>
        <v/>
      </c>
      <c r="I219" s="295" t="str">
        <f>IF(E219="","",IF(ISNA(VLOOKUP($E219,'D-1 Off-Site Habitat Baseline'!$D$1:$O$258,7,FALSE)),"",(VLOOKUP($E219,'D-1 Off-Site Habitat Baseline'!$D$1:$O$258,7,FALSE))))</f>
        <v/>
      </c>
      <c r="J219" s="295" t="str">
        <f>IF(E219="","",IF(ISNA(VLOOKUP($E219,'D-1 Off-Site Habitat Baseline'!$D$1:$O$258,8,FALSE)),"",(VLOOKUP($E219,'D-1 Off-Site Habitat Baseline'!$D$1:$O$258,8,FALSE))))</f>
        <v/>
      </c>
      <c r="K219" s="295" t="str">
        <f>IF(E219="","",IF(ISNA(VLOOKUP($E219,'D-1 Off-Site Habitat Baseline'!$D$1:$O$258,9,FALSE)),"",(VLOOKUP($E219,'D-1 Off-Site Habitat Baseline'!$D$1:$O$258,9,FALSE))))</f>
        <v/>
      </c>
      <c r="L219" s="295" t="str">
        <f>IF(E219="","",IF(ISNA(VLOOKUP($E219,'D-1 Off-Site Habitat Baseline'!$D$1:$O$258,11,FALSE)),"",(VLOOKUP($E219,'D-1 Off-Site Habitat Baseline'!$D$1:$O$258,11,FALSE))))</f>
        <v/>
      </c>
      <c r="M219" s="295" t="str">
        <f>IF(E219="","",IF(ISNA(VLOOKUP($E219,'D-1 Off-Site Habitat Baseline'!$D$1:$O$258,12,FALSE)),"",(VLOOKUP($E219,'D-1 Off-Site Habitat Baseline'!$D$1:$O$258,12,FALSE))))</f>
        <v/>
      </c>
      <c r="N219" s="295" t="str">
        <f>IF(E219="","",IF(ISNA(VLOOKUP($E219,'D-1 Off-Site Habitat Baseline'!$D$1:$AA$258,17,FALSE)),"",(VLOOKUP($E219,'D-1 Off-Site Habitat Baseline'!$D$1:$AA$258,17,FALSE))))</f>
        <v/>
      </c>
      <c r="O219" s="299" t="str">
        <f>IF(E219="","",IF(ISNA(VLOOKUP($E219,'D-1 Off-Site Habitat Baseline'!$D$1:$AA$258,13,FALSE)),"",(VLOOKUP($E219,'D-1 Off-Site Habitat Baseline'!$D$1:$AA$258,13,FALSE))))</f>
        <v/>
      </c>
      <c r="P219" s="148" t="str">
        <f>IFERROR(INDEX('G-1 All Habitats'!$AG$49:$AG$63,MATCH(Q219,'G-1 All Habitats'!$AF$27:$AF$41,0)),"")</f>
        <v/>
      </c>
      <c r="Q219" s="149" t="str">
        <f t="shared" si="35"/>
        <v/>
      </c>
      <c r="R219" s="150"/>
      <c r="S219" s="151" t="str">
        <f>IFERROR(INDEX('G-1 All Habitats'!$B$3:$B$135,MATCH(R219,'G-1 All Habitats'!$A$3:$A$135,0)),"")</f>
        <v/>
      </c>
      <c r="T219" s="283" t="str">
        <f t="shared" si="36"/>
        <v/>
      </c>
      <c r="U219" s="276" t="str">
        <f t="shared" si="37"/>
        <v/>
      </c>
      <c r="V219" s="298" t="str">
        <f t="shared" si="33"/>
        <v/>
      </c>
      <c r="W219" s="295" t="str">
        <f>IF(S219="","",VLOOKUP(S219,'G-1 All Habitats'!$B$2:$M$135,10,FALSE))</f>
        <v/>
      </c>
      <c r="X219" s="295" t="str">
        <f>IFERROR(VLOOKUP(W219,'G-1 All Habitats'!$V$3:$W$7,2,FALSE),"")</f>
        <v/>
      </c>
      <c r="Y219" s="138"/>
      <c r="Z219" s="299" t="str">
        <f>IFERROR(INDEX('G-8 Condition Look up'!$A$3:$H$135,MATCH(S219,'G-8 Condition Look up'!$A$3:$A$135,0),MATCH(Y219,'G-8 Condition Look up'!$A$3:$H$3,0)),"")</f>
        <v/>
      </c>
      <c r="AA219" s="101"/>
      <c r="AB219" s="314" t="str">
        <f>IF(AA219="","",IF(VLOOKUP(AA219,'G-3 Multipliers'!$L$3:$N$6,2,FALSE)=0,"Spatial Data Missing ⚠",VLOOKUP(AA219,'G-3 Multipliers'!$L$3:$N$6,2,FALSE)))</f>
        <v/>
      </c>
      <c r="AC219" s="299" t="str">
        <f>IF(AA219="","",IF(VLOOKUP(AA219,'G-3 Multipliers'!$L$3:$N$6,3,FALSE)=0,"Spatial Data Missing ⚠",VLOOKUP(AA219,'G-3 Multipliers'!$L$3:$N$6,3,FALSE)))</f>
        <v/>
      </c>
      <c r="AD219" s="311" t="str">
        <f t="shared" si="34"/>
        <v/>
      </c>
      <c r="AE219" s="138"/>
      <c r="AF219" s="138"/>
      <c r="AG219" s="295" t="str">
        <f t="shared" si="38"/>
        <v/>
      </c>
      <c r="AH219" s="296" t="str">
        <f t="shared" si="39"/>
        <v/>
      </c>
      <c r="AI219" s="300" t="str">
        <f>IF(AH219="Check Data ⚠","Check Data ⚠",IFERROR(VLOOKUP(AH219,'G-4 Temporal multipliers'!$A$4:$C$36,3,FALSE),""))</f>
        <v/>
      </c>
      <c r="AJ219" s="311" t="str">
        <f>IF(S219="","",VLOOKUP(S219,'G-3 Multipliers'!$A$2:$E$134,4,FALSE))</f>
        <v/>
      </c>
      <c r="AK219" s="295" t="str">
        <f t="shared" si="40"/>
        <v/>
      </c>
      <c r="AL219" s="295" t="str">
        <f t="shared" si="41"/>
        <v/>
      </c>
      <c r="AM219" s="299" t="str">
        <f>IFERROR(IF(F219="","",IF(AH219="Check Data ⚠","Check Data ⚠",VLOOKUP(AL219,'G-3 Multipliers'!$P$2:$Q$6,2,FALSE))),"")</f>
        <v/>
      </c>
      <c r="AN219" s="712" t="str">
        <f>IF(E219="","",IF(ISNA(VLOOKUP($E219,'D-1 Off-Site Habitat Baseline'!$D$1:$Z$258,15,FALSE)),"",(VLOOKUP($E219,'D-1 Off-Site Habitat Baseline'!$D$1:$Z$258,15,FALSE))))</f>
        <v/>
      </c>
      <c r="AO219" s="329" t="str">
        <f>IF(AN219="","",IF(VLOOKUP(AN219,'G-3 Multipliers'!$S$3:$T$10,2,FALSE)=0,"Spatial Data Missing ⚠",VLOOKUP(AN219,'G-3 Multipliers'!$S$3:$T$10,2,FALSE)))</f>
        <v/>
      </c>
      <c r="AP219" s="289" t="str">
        <f t="shared" si="42"/>
        <v/>
      </c>
      <c r="AQ219" s="289" t="str">
        <f t="shared" si="43"/>
        <v/>
      </c>
      <c r="AR219" s="105"/>
      <c r="AS219" s="138"/>
      <c r="AT219" s="104"/>
      <c r="AU219" s="104"/>
      <c r="AY219" s="30" t="str">
        <f>IF(E219="","",IF(ISNA(VLOOKUP($E219,'D-1 Off-Site Habitat Baseline'!$D$1:$AV$258,4,FALSE)),"",(VLOOKUP($E219,'D-1 Off-Site Habitat Baseline'!$D$1:$AV$258,4,FALSE))))</f>
        <v/>
      </c>
    </row>
    <row r="220" spans="1:51" ht="14">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319" t="str">
        <f>'D-1 Off-Site Habitat Baseline'!AP219</f>
        <v/>
      </c>
      <c r="F220" s="283" t="str">
        <f>IF(E220="","",IF(ISNA(VLOOKUP($E220,'D-1 Off-Site Habitat Baseline'!$D$1:$ZZ$258,45,FALSE)),"",(VLOOKUP($E220,'D-1 Off-Site Habitat Baseline'!$D$1:$ZZ$258,45,FALSE))))</f>
        <v/>
      </c>
      <c r="G220" s="295" t="str">
        <f>IF(E220="","",IF(ISNA(VLOOKUP($E220,'D-1 Off-Site Habitat Baseline'!$D$1:$O$258,5,FALSE)),"",(VLOOKUP($E220,'D-1 Off-Site Habitat Baseline'!$D$1:$O$258,5,FALSE))))</f>
        <v/>
      </c>
      <c r="H220" s="295" t="str">
        <f>IF(E220="","",IF(ISNA(VLOOKUP($E220,'D-1 Off-Site Habitat Baseline'!$D$1:$O$258,6,FALSE)),"",(VLOOKUP($E220,'D-1 Off-Site Habitat Baseline'!$D$1:$O$258,6,FALSE))))</f>
        <v/>
      </c>
      <c r="I220" s="295" t="str">
        <f>IF(E220="","",IF(ISNA(VLOOKUP($E220,'D-1 Off-Site Habitat Baseline'!$D$1:$O$258,7,FALSE)),"",(VLOOKUP($E220,'D-1 Off-Site Habitat Baseline'!$D$1:$O$258,7,FALSE))))</f>
        <v/>
      </c>
      <c r="J220" s="295" t="str">
        <f>IF(E220="","",IF(ISNA(VLOOKUP($E220,'D-1 Off-Site Habitat Baseline'!$D$1:$O$258,8,FALSE)),"",(VLOOKUP($E220,'D-1 Off-Site Habitat Baseline'!$D$1:$O$258,8,FALSE))))</f>
        <v/>
      </c>
      <c r="K220" s="295" t="str">
        <f>IF(E220="","",IF(ISNA(VLOOKUP($E220,'D-1 Off-Site Habitat Baseline'!$D$1:$O$258,9,FALSE)),"",(VLOOKUP($E220,'D-1 Off-Site Habitat Baseline'!$D$1:$O$258,9,FALSE))))</f>
        <v/>
      </c>
      <c r="L220" s="295" t="str">
        <f>IF(E220="","",IF(ISNA(VLOOKUP($E220,'D-1 Off-Site Habitat Baseline'!$D$1:$O$258,11,FALSE)),"",(VLOOKUP($E220,'D-1 Off-Site Habitat Baseline'!$D$1:$O$258,11,FALSE))))</f>
        <v/>
      </c>
      <c r="M220" s="295" t="str">
        <f>IF(E220="","",IF(ISNA(VLOOKUP($E220,'D-1 Off-Site Habitat Baseline'!$D$1:$O$258,12,FALSE)),"",(VLOOKUP($E220,'D-1 Off-Site Habitat Baseline'!$D$1:$O$258,12,FALSE))))</f>
        <v/>
      </c>
      <c r="N220" s="295" t="str">
        <f>IF(E220="","",IF(ISNA(VLOOKUP($E220,'D-1 Off-Site Habitat Baseline'!$D$1:$AA$258,17,FALSE)),"",(VLOOKUP($E220,'D-1 Off-Site Habitat Baseline'!$D$1:$AA$258,17,FALSE))))</f>
        <v/>
      </c>
      <c r="O220" s="299" t="str">
        <f>IF(E220="","",IF(ISNA(VLOOKUP($E220,'D-1 Off-Site Habitat Baseline'!$D$1:$AA$258,13,FALSE)),"",(VLOOKUP($E220,'D-1 Off-Site Habitat Baseline'!$D$1:$AA$258,13,FALSE))))</f>
        <v/>
      </c>
      <c r="P220" s="148" t="str">
        <f>IFERROR(INDEX('G-1 All Habitats'!$AG$49:$AG$63,MATCH(Q220,'G-1 All Habitats'!$AF$27:$AF$41,0)),"")</f>
        <v/>
      </c>
      <c r="Q220" s="149" t="str">
        <f t="shared" si="35"/>
        <v/>
      </c>
      <c r="R220" s="150"/>
      <c r="S220" s="151" t="str">
        <f>IFERROR(INDEX('G-1 All Habitats'!$B$3:$B$135,MATCH(R220,'G-1 All Habitats'!$A$3:$A$135,0)),"")</f>
        <v/>
      </c>
      <c r="T220" s="283" t="str">
        <f t="shared" si="36"/>
        <v/>
      </c>
      <c r="U220" s="276" t="str">
        <f t="shared" si="37"/>
        <v/>
      </c>
      <c r="V220" s="298" t="str">
        <f t="shared" si="33"/>
        <v/>
      </c>
      <c r="W220" s="295" t="str">
        <f>IF(S220="","",VLOOKUP(S220,'G-1 All Habitats'!$B$2:$M$135,10,FALSE))</f>
        <v/>
      </c>
      <c r="X220" s="295" t="str">
        <f>IFERROR(VLOOKUP(W220,'G-1 All Habitats'!$V$3:$W$7,2,FALSE),"")</f>
        <v/>
      </c>
      <c r="Y220" s="138"/>
      <c r="Z220" s="299" t="str">
        <f>IFERROR(INDEX('G-8 Condition Look up'!$A$3:$H$135,MATCH(S220,'G-8 Condition Look up'!$A$3:$A$135,0),MATCH(Y220,'G-8 Condition Look up'!$A$3:$H$3,0)),"")</f>
        <v/>
      </c>
      <c r="AA220" s="101"/>
      <c r="AB220" s="314" t="str">
        <f>IF(AA220="","",IF(VLOOKUP(AA220,'G-3 Multipliers'!$L$3:$N$6,2,FALSE)=0,"Spatial Data Missing ⚠",VLOOKUP(AA220,'G-3 Multipliers'!$L$3:$N$6,2,FALSE)))</f>
        <v/>
      </c>
      <c r="AC220" s="299" t="str">
        <f>IF(AA220="","",IF(VLOOKUP(AA220,'G-3 Multipliers'!$L$3:$N$6,3,FALSE)=0,"Spatial Data Missing ⚠",VLOOKUP(AA220,'G-3 Multipliers'!$L$3:$N$6,3,FALSE)))</f>
        <v/>
      </c>
      <c r="AD220" s="311" t="str">
        <f t="shared" si="34"/>
        <v/>
      </c>
      <c r="AE220" s="138"/>
      <c r="AF220" s="138"/>
      <c r="AG220" s="295" t="str">
        <f t="shared" si="38"/>
        <v/>
      </c>
      <c r="AH220" s="296" t="str">
        <f t="shared" si="39"/>
        <v/>
      </c>
      <c r="AI220" s="300" t="str">
        <f>IF(AH220="Check Data ⚠","Check Data ⚠",IFERROR(VLOOKUP(AH220,'G-4 Temporal multipliers'!$A$4:$C$36,3,FALSE),""))</f>
        <v/>
      </c>
      <c r="AJ220" s="311" t="str">
        <f>IF(S220="","",VLOOKUP(S220,'G-3 Multipliers'!$A$2:$E$134,4,FALSE))</f>
        <v/>
      </c>
      <c r="AK220" s="295" t="str">
        <f t="shared" si="40"/>
        <v/>
      </c>
      <c r="AL220" s="295" t="str">
        <f t="shared" si="41"/>
        <v/>
      </c>
      <c r="AM220" s="299" t="str">
        <f>IFERROR(IF(F220="","",IF(AH220="Check Data ⚠","Check Data ⚠",VLOOKUP(AL220,'G-3 Multipliers'!$P$2:$Q$6,2,FALSE))),"")</f>
        <v/>
      </c>
      <c r="AN220" s="712" t="str">
        <f>IF(E220="","",IF(ISNA(VLOOKUP($E220,'D-1 Off-Site Habitat Baseline'!$D$1:$Z$258,15,FALSE)),"",(VLOOKUP($E220,'D-1 Off-Site Habitat Baseline'!$D$1:$Z$258,15,FALSE))))</f>
        <v/>
      </c>
      <c r="AO220" s="329" t="str">
        <f>IF(AN220="","",IF(VLOOKUP(AN220,'G-3 Multipliers'!$S$3:$T$10,2,FALSE)=0,"Spatial Data Missing ⚠",VLOOKUP(AN220,'G-3 Multipliers'!$S$3:$T$10,2,FALSE)))</f>
        <v/>
      </c>
      <c r="AP220" s="289" t="str">
        <f t="shared" si="42"/>
        <v/>
      </c>
      <c r="AQ220" s="289" t="str">
        <f t="shared" si="43"/>
        <v/>
      </c>
      <c r="AR220" s="105"/>
      <c r="AS220" s="138"/>
      <c r="AT220" s="104"/>
      <c r="AU220" s="104"/>
      <c r="AY220" s="30" t="str">
        <f>IF(E220="","",IF(ISNA(VLOOKUP($E220,'D-1 Off-Site Habitat Baseline'!$D$1:$AV$258,4,FALSE)),"",(VLOOKUP($E220,'D-1 Off-Site Habitat Baseline'!$D$1:$AV$258,4,FALSE))))</f>
        <v/>
      </c>
    </row>
    <row r="221" spans="1:51" ht="14">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319" t="str">
        <f>'D-1 Off-Site Habitat Baseline'!AP220</f>
        <v/>
      </c>
      <c r="F221" s="283" t="str">
        <f>IF(E221="","",IF(ISNA(VLOOKUP($E221,'D-1 Off-Site Habitat Baseline'!$D$1:$ZZ$258,45,FALSE)),"",(VLOOKUP($E221,'D-1 Off-Site Habitat Baseline'!$D$1:$ZZ$258,45,FALSE))))</f>
        <v/>
      </c>
      <c r="G221" s="295" t="str">
        <f>IF(E221="","",IF(ISNA(VLOOKUP($E221,'D-1 Off-Site Habitat Baseline'!$D$1:$O$258,5,FALSE)),"",(VLOOKUP($E221,'D-1 Off-Site Habitat Baseline'!$D$1:$O$258,5,FALSE))))</f>
        <v/>
      </c>
      <c r="H221" s="295" t="str">
        <f>IF(E221="","",IF(ISNA(VLOOKUP($E221,'D-1 Off-Site Habitat Baseline'!$D$1:$O$258,6,FALSE)),"",(VLOOKUP($E221,'D-1 Off-Site Habitat Baseline'!$D$1:$O$258,6,FALSE))))</f>
        <v/>
      </c>
      <c r="I221" s="295" t="str">
        <f>IF(E221="","",IF(ISNA(VLOOKUP($E221,'D-1 Off-Site Habitat Baseline'!$D$1:$O$258,7,FALSE)),"",(VLOOKUP($E221,'D-1 Off-Site Habitat Baseline'!$D$1:$O$258,7,FALSE))))</f>
        <v/>
      </c>
      <c r="J221" s="295" t="str">
        <f>IF(E221="","",IF(ISNA(VLOOKUP($E221,'D-1 Off-Site Habitat Baseline'!$D$1:$O$258,8,FALSE)),"",(VLOOKUP($E221,'D-1 Off-Site Habitat Baseline'!$D$1:$O$258,8,FALSE))))</f>
        <v/>
      </c>
      <c r="K221" s="295" t="str">
        <f>IF(E221="","",IF(ISNA(VLOOKUP($E221,'D-1 Off-Site Habitat Baseline'!$D$1:$O$258,9,FALSE)),"",(VLOOKUP($E221,'D-1 Off-Site Habitat Baseline'!$D$1:$O$258,9,FALSE))))</f>
        <v/>
      </c>
      <c r="L221" s="295" t="str">
        <f>IF(E221="","",IF(ISNA(VLOOKUP($E221,'D-1 Off-Site Habitat Baseline'!$D$1:$O$258,11,FALSE)),"",(VLOOKUP($E221,'D-1 Off-Site Habitat Baseline'!$D$1:$O$258,11,FALSE))))</f>
        <v/>
      </c>
      <c r="M221" s="295" t="str">
        <f>IF(E221="","",IF(ISNA(VLOOKUP($E221,'D-1 Off-Site Habitat Baseline'!$D$1:$O$258,12,FALSE)),"",(VLOOKUP($E221,'D-1 Off-Site Habitat Baseline'!$D$1:$O$258,12,FALSE))))</f>
        <v/>
      </c>
      <c r="N221" s="295" t="str">
        <f>IF(E221="","",IF(ISNA(VLOOKUP($E221,'D-1 Off-Site Habitat Baseline'!$D$1:$AA$258,17,FALSE)),"",(VLOOKUP($E221,'D-1 Off-Site Habitat Baseline'!$D$1:$AA$258,17,FALSE))))</f>
        <v/>
      </c>
      <c r="O221" s="299" t="str">
        <f>IF(E221="","",IF(ISNA(VLOOKUP($E221,'D-1 Off-Site Habitat Baseline'!$D$1:$AA$258,13,FALSE)),"",(VLOOKUP($E221,'D-1 Off-Site Habitat Baseline'!$D$1:$AA$258,13,FALSE))))</f>
        <v/>
      </c>
      <c r="P221" s="148" t="str">
        <f>IFERROR(INDEX('G-1 All Habitats'!$AG$49:$AG$63,MATCH(Q221,'G-1 All Habitats'!$AF$27:$AF$41,0)),"")</f>
        <v/>
      </c>
      <c r="Q221" s="149" t="str">
        <f t="shared" si="35"/>
        <v/>
      </c>
      <c r="R221" s="150"/>
      <c r="S221" s="151" t="str">
        <f>IFERROR(INDEX('G-1 All Habitats'!$B$3:$B$135,MATCH(R221,'G-1 All Habitats'!$A$3:$A$135,0)),"")</f>
        <v/>
      </c>
      <c r="T221" s="283" t="str">
        <f t="shared" si="36"/>
        <v/>
      </c>
      <c r="U221" s="276" t="str">
        <f t="shared" si="37"/>
        <v/>
      </c>
      <c r="V221" s="298" t="str">
        <f t="shared" si="33"/>
        <v/>
      </c>
      <c r="W221" s="295" t="str">
        <f>IF(S221="","",VLOOKUP(S221,'G-1 All Habitats'!$B$2:$M$135,10,FALSE))</f>
        <v/>
      </c>
      <c r="X221" s="295" t="str">
        <f>IFERROR(VLOOKUP(W221,'G-1 All Habitats'!$V$3:$W$7,2,FALSE),"")</f>
        <v/>
      </c>
      <c r="Y221" s="138"/>
      <c r="Z221" s="299" t="str">
        <f>IFERROR(INDEX('G-8 Condition Look up'!$A$3:$H$135,MATCH(S221,'G-8 Condition Look up'!$A$3:$A$135,0),MATCH(Y221,'G-8 Condition Look up'!$A$3:$H$3,0)),"")</f>
        <v/>
      </c>
      <c r="AA221" s="101"/>
      <c r="AB221" s="314" t="str">
        <f>IF(AA221="","",IF(VLOOKUP(AA221,'G-3 Multipliers'!$L$3:$N$6,2,FALSE)=0,"Spatial Data Missing ⚠",VLOOKUP(AA221,'G-3 Multipliers'!$L$3:$N$6,2,FALSE)))</f>
        <v/>
      </c>
      <c r="AC221" s="299" t="str">
        <f>IF(AA221="","",IF(VLOOKUP(AA221,'G-3 Multipliers'!$L$3:$N$6,3,FALSE)=0,"Spatial Data Missing ⚠",VLOOKUP(AA221,'G-3 Multipliers'!$L$3:$N$6,3,FALSE)))</f>
        <v/>
      </c>
      <c r="AD221" s="311" t="str">
        <f t="shared" si="34"/>
        <v/>
      </c>
      <c r="AE221" s="138"/>
      <c r="AF221" s="138"/>
      <c r="AG221" s="295" t="str">
        <f t="shared" si="38"/>
        <v/>
      </c>
      <c r="AH221" s="296" t="str">
        <f t="shared" si="39"/>
        <v/>
      </c>
      <c r="AI221" s="300" t="str">
        <f>IF(AH221="Check Data ⚠","Check Data ⚠",IFERROR(VLOOKUP(AH221,'G-4 Temporal multipliers'!$A$4:$C$36,3,FALSE),""))</f>
        <v/>
      </c>
      <c r="AJ221" s="311" t="str">
        <f>IF(S221="","",VLOOKUP(S221,'G-3 Multipliers'!$A$2:$E$134,4,FALSE))</f>
        <v/>
      </c>
      <c r="AK221" s="295" t="str">
        <f t="shared" si="40"/>
        <v/>
      </c>
      <c r="AL221" s="295" t="str">
        <f t="shared" si="41"/>
        <v/>
      </c>
      <c r="AM221" s="299" t="str">
        <f>IFERROR(IF(F221="","",IF(AH221="Check Data ⚠","Check Data ⚠",VLOOKUP(AL221,'G-3 Multipliers'!$P$2:$Q$6,2,FALSE))),"")</f>
        <v/>
      </c>
      <c r="AN221" s="712" t="str">
        <f>IF(E221="","",IF(ISNA(VLOOKUP($E221,'D-1 Off-Site Habitat Baseline'!$D$1:$Z$258,15,FALSE)),"",(VLOOKUP($E221,'D-1 Off-Site Habitat Baseline'!$D$1:$Z$258,15,FALSE))))</f>
        <v/>
      </c>
      <c r="AO221" s="329" t="str">
        <f>IF(AN221="","",IF(VLOOKUP(AN221,'G-3 Multipliers'!$S$3:$T$10,2,FALSE)=0,"Spatial Data Missing ⚠",VLOOKUP(AN221,'G-3 Multipliers'!$S$3:$T$10,2,FALSE)))</f>
        <v/>
      </c>
      <c r="AP221" s="289" t="str">
        <f t="shared" si="42"/>
        <v/>
      </c>
      <c r="AQ221" s="289" t="str">
        <f t="shared" si="43"/>
        <v/>
      </c>
      <c r="AR221" s="105"/>
      <c r="AS221" s="138"/>
      <c r="AT221" s="104"/>
      <c r="AU221" s="104"/>
      <c r="AY221" s="30" t="str">
        <f>IF(E221="","",IF(ISNA(VLOOKUP($E221,'D-1 Off-Site Habitat Baseline'!$D$1:$AV$258,4,FALSE)),"",(VLOOKUP($E221,'D-1 Off-Site Habitat Baseline'!$D$1:$AV$258,4,FALSE))))</f>
        <v/>
      </c>
    </row>
    <row r="222" spans="1:51" ht="14">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319" t="str">
        <f>'D-1 Off-Site Habitat Baseline'!AP221</f>
        <v/>
      </c>
      <c r="F222" s="283" t="str">
        <f>IF(E222="","",IF(ISNA(VLOOKUP($E222,'D-1 Off-Site Habitat Baseline'!$D$1:$ZZ$258,45,FALSE)),"",(VLOOKUP($E222,'D-1 Off-Site Habitat Baseline'!$D$1:$ZZ$258,45,FALSE))))</f>
        <v/>
      </c>
      <c r="G222" s="295" t="str">
        <f>IF(E222="","",IF(ISNA(VLOOKUP($E222,'D-1 Off-Site Habitat Baseline'!$D$1:$O$258,5,FALSE)),"",(VLOOKUP($E222,'D-1 Off-Site Habitat Baseline'!$D$1:$O$258,5,FALSE))))</f>
        <v/>
      </c>
      <c r="H222" s="295" t="str">
        <f>IF(E222="","",IF(ISNA(VLOOKUP($E222,'D-1 Off-Site Habitat Baseline'!$D$1:$O$258,6,FALSE)),"",(VLOOKUP($E222,'D-1 Off-Site Habitat Baseline'!$D$1:$O$258,6,FALSE))))</f>
        <v/>
      </c>
      <c r="I222" s="295" t="str">
        <f>IF(E222="","",IF(ISNA(VLOOKUP($E222,'D-1 Off-Site Habitat Baseline'!$D$1:$O$258,7,FALSE)),"",(VLOOKUP($E222,'D-1 Off-Site Habitat Baseline'!$D$1:$O$258,7,FALSE))))</f>
        <v/>
      </c>
      <c r="J222" s="295" t="str">
        <f>IF(E222="","",IF(ISNA(VLOOKUP($E222,'D-1 Off-Site Habitat Baseline'!$D$1:$O$258,8,FALSE)),"",(VLOOKUP($E222,'D-1 Off-Site Habitat Baseline'!$D$1:$O$258,8,FALSE))))</f>
        <v/>
      </c>
      <c r="K222" s="295" t="str">
        <f>IF(E222="","",IF(ISNA(VLOOKUP($E222,'D-1 Off-Site Habitat Baseline'!$D$1:$O$258,9,FALSE)),"",(VLOOKUP($E222,'D-1 Off-Site Habitat Baseline'!$D$1:$O$258,9,FALSE))))</f>
        <v/>
      </c>
      <c r="L222" s="295" t="str">
        <f>IF(E222="","",IF(ISNA(VLOOKUP($E222,'D-1 Off-Site Habitat Baseline'!$D$1:$O$258,11,FALSE)),"",(VLOOKUP($E222,'D-1 Off-Site Habitat Baseline'!$D$1:$O$258,11,FALSE))))</f>
        <v/>
      </c>
      <c r="M222" s="295" t="str">
        <f>IF(E222="","",IF(ISNA(VLOOKUP($E222,'D-1 Off-Site Habitat Baseline'!$D$1:$O$258,12,FALSE)),"",(VLOOKUP($E222,'D-1 Off-Site Habitat Baseline'!$D$1:$O$258,12,FALSE))))</f>
        <v/>
      </c>
      <c r="N222" s="295" t="str">
        <f>IF(E222="","",IF(ISNA(VLOOKUP($E222,'D-1 Off-Site Habitat Baseline'!$D$1:$AA$258,17,FALSE)),"",(VLOOKUP($E222,'D-1 Off-Site Habitat Baseline'!$D$1:$AA$258,17,FALSE))))</f>
        <v/>
      </c>
      <c r="O222" s="299" t="str">
        <f>IF(E222="","",IF(ISNA(VLOOKUP($E222,'D-1 Off-Site Habitat Baseline'!$D$1:$AA$258,13,FALSE)),"",(VLOOKUP($E222,'D-1 Off-Site Habitat Baseline'!$D$1:$AA$258,13,FALSE))))</f>
        <v/>
      </c>
      <c r="P222" s="148" t="str">
        <f>IFERROR(INDEX('G-1 All Habitats'!$AG$49:$AG$63,MATCH(Q222,'G-1 All Habitats'!$AF$27:$AF$41,0)),"")</f>
        <v/>
      </c>
      <c r="Q222" s="149" t="str">
        <f t="shared" si="35"/>
        <v/>
      </c>
      <c r="R222" s="150"/>
      <c r="S222" s="151" t="str">
        <f>IFERROR(INDEX('G-1 All Habitats'!$B$3:$B$135,MATCH(R222,'G-1 All Habitats'!$A$3:$A$135,0)),"")</f>
        <v/>
      </c>
      <c r="T222" s="283" t="str">
        <f t="shared" si="36"/>
        <v/>
      </c>
      <c r="U222" s="276" t="str">
        <f t="shared" si="37"/>
        <v/>
      </c>
      <c r="V222" s="298" t="str">
        <f t="shared" si="33"/>
        <v/>
      </c>
      <c r="W222" s="295" t="str">
        <f>IF(S222="","",VLOOKUP(S222,'G-1 All Habitats'!$B$2:$M$135,10,FALSE))</f>
        <v/>
      </c>
      <c r="X222" s="295" t="str">
        <f>IFERROR(VLOOKUP(W222,'G-1 All Habitats'!$V$3:$W$7,2,FALSE),"")</f>
        <v/>
      </c>
      <c r="Y222" s="138"/>
      <c r="Z222" s="299" t="str">
        <f>IFERROR(INDEX('G-8 Condition Look up'!$A$3:$H$135,MATCH(S222,'G-8 Condition Look up'!$A$3:$A$135,0),MATCH(Y222,'G-8 Condition Look up'!$A$3:$H$3,0)),"")</f>
        <v/>
      </c>
      <c r="AA222" s="101"/>
      <c r="AB222" s="314" t="str">
        <f>IF(AA222="","",IF(VLOOKUP(AA222,'G-3 Multipliers'!$L$3:$N$6,2,FALSE)=0,"Spatial Data Missing ⚠",VLOOKUP(AA222,'G-3 Multipliers'!$L$3:$N$6,2,FALSE)))</f>
        <v/>
      </c>
      <c r="AC222" s="299" t="str">
        <f>IF(AA222="","",IF(VLOOKUP(AA222,'G-3 Multipliers'!$L$3:$N$6,3,FALSE)=0,"Spatial Data Missing ⚠",VLOOKUP(AA222,'G-3 Multipliers'!$L$3:$N$6,3,FALSE)))</f>
        <v/>
      </c>
      <c r="AD222" s="311" t="str">
        <f t="shared" si="34"/>
        <v/>
      </c>
      <c r="AE222" s="138"/>
      <c r="AF222" s="138"/>
      <c r="AG222" s="295" t="str">
        <f t="shared" si="38"/>
        <v/>
      </c>
      <c r="AH222" s="296" t="str">
        <f t="shared" si="39"/>
        <v/>
      </c>
      <c r="AI222" s="300" t="str">
        <f>IF(AH222="Check Data ⚠","Check Data ⚠",IFERROR(VLOOKUP(AH222,'G-4 Temporal multipliers'!$A$4:$C$36,3,FALSE),""))</f>
        <v/>
      </c>
      <c r="AJ222" s="311" t="str">
        <f>IF(S222="","",VLOOKUP(S222,'G-3 Multipliers'!$A$2:$E$134,4,FALSE))</f>
        <v/>
      </c>
      <c r="AK222" s="295" t="str">
        <f t="shared" si="40"/>
        <v/>
      </c>
      <c r="AL222" s="295" t="str">
        <f t="shared" si="41"/>
        <v/>
      </c>
      <c r="AM222" s="299" t="str">
        <f>IFERROR(IF(F222="","",IF(AH222="Check Data ⚠","Check Data ⚠",VLOOKUP(AL222,'G-3 Multipliers'!$P$2:$Q$6,2,FALSE))),"")</f>
        <v/>
      </c>
      <c r="AN222" s="712" t="str">
        <f>IF(E222="","",IF(ISNA(VLOOKUP($E222,'D-1 Off-Site Habitat Baseline'!$D$1:$Z$258,15,FALSE)),"",(VLOOKUP($E222,'D-1 Off-Site Habitat Baseline'!$D$1:$Z$258,15,FALSE))))</f>
        <v/>
      </c>
      <c r="AO222" s="329" t="str">
        <f>IF(AN222="","",IF(VLOOKUP(AN222,'G-3 Multipliers'!$S$3:$T$10,2,FALSE)=0,"Spatial Data Missing ⚠",VLOOKUP(AN222,'G-3 Multipliers'!$S$3:$T$10,2,FALSE)))</f>
        <v/>
      </c>
      <c r="AP222" s="289" t="str">
        <f t="shared" si="42"/>
        <v/>
      </c>
      <c r="AQ222" s="289" t="str">
        <f t="shared" si="43"/>
        <v/>
      </c>
      <c r="AR222" s="105"/>
      <c r="AS222" s="138"/>
      <c r="AT222" s="104"/>
      <c r="AU222" s="104"/>
      <c r="AY222" s="30" t="str">
        <f>IF(E222="","",IF(ISNA(VLOOKUP($E222,'D-1 Off-Site Habitat Baseline'!$D$1:$AV$258,4,FALSE)),"",(VLOOKUP($E222,'D-1 Off-Site Habitat Baseline'!$D$1:$AV$258,4,FALSE))))</f>
        <v/>
      </c>
    </row>
    <row r="223" spans="1:51" ht="14">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319" t="str">
        <f>'D-1 Off-Site Habitat Baseline'!AP222</f>
        <v/>
      </c>
      <c r="F223" s="283" t="str">
        <f>IF(E223="","",IF(ISNA(VLOOKUP($E223,'D-1 Off-Site Habitat Baseline'!$D$1:$ZZ$258,45,FALSE)),"",(VLOOKUP($E223,'D-1 Off-Site Habitat Baseline'!$D$1:$ZZ$258,45,FALSE))))</f>
        <v/>
      </c>
      <c r="G223" s="295" t="str">
        <f>IF(E223="","",IF(ISNA(VLOOKUP($E223,'D-1 Off-Site Habitat Baseline'!$D$1:$O$258,5,FALSE)),"",(VLOOKUP($E223,'D-1 Off-Site Habitat Baseline'!$D$1:$O$258,5,FALSE))))</f>
        <v/>
      </c>
      <c r="H223" s="295" t="str">
        <f>IF(E223="","",IF(ISNA(VLOOKUP($E223,'D-1 Off-Site Habitat Baseline'!$D$1:$O$258,6,FALSE)),"",(VLOOKUP($E223,'D-1 Off-Site Habitat Baseline'!$D$1:$O$258,6,FALSE))))</f>
        <v/>
      </c>
      <c r="I223" s="295" t="str">
        <f>IF(E223="","",IF(ISNA(VLOOKUP($E223,'D-1 Off-Site Habitat Baseline'!$D$1:$O$258,7,FALSE)),"",(VLOOKUP($E223,'D-1 Off-Site Habitat Baseline'!$D$1:$O$258,7,FALSE))))</f>
        <v/>
      </c>
      <c r="J223" s="295" t="str">
        <f>IF(E223="","",IF(ISNA(VLOOKUP($E223,'D-1 Off-Site Habitat Baseline'!$D$1:$O$258,8,FALSE)),"",(VLOOKUP($E223,'D-1 Off-Site Habitat Baseline'!$D$1:$O$258,8,FALSE))))</f>
        <v/>
      </c>
      <c r="K223" s="295" t="str">
        <f>IF(E223="","",IF(ISNA(VLOOKUP($E223,'D-1 Off-Site Habitat Baseline'!$D$1:$O$258,9,FALSE)),"",(VLOOKUP($E223,'D-1 Off-Site Habitat Baseline'!$D$1:$O$258,9,FALSE))))</f>
        <v/>
      </c>
      <c r="L223" s="295" t="str">
        <f>IF(E223="","",IF(ISNA(VLOOKUP($E223,'D-1 Off-Site Habitat Baseline'!$D$1:$O$258,11,FALSE)),"",(VLOOKUP($E223,'D-1 Off-Site Habitat Baseline'!$D$1:$O$258,11,FALSE))))</f>
        <v/>
      </c>
      <c r="M223" s="295" t="str">
        <f>IF(E223="","",IF(ISNA(VLOOKUP($E223,'D-1 Off-Site Habitat Baseline'!$D$1:$O$258,12,FALSE)),"",(VLOOKUP($E223,'D-1 Off-Site Habitat Baseline'!$D$1:$O$258,12,FALSE))))</f>
        <v/>
      </c>
      <c r="N223" s="295" t="str">
        <f>IF(E223="","",IF(ISNA(VLOOKUP($E223,'D-1 Off-Site Habitat Baseline'!$D$1:$AA$258,17,FALSE)),"",(VLOOKUP($E223,'D-1 Off-Site Habitat Baseline'!$D$1:$AA$258,17,FALSE))))</f>
        <v/>
      </c>
      <c r="O223" s="299" t="str">
        <f>IF(E223="","",IF(ISNA(VLOOKUP($E223,'D-1 Off-Site Habitat Baseline'!$D$1:$AA$258,13,FALSE)),"",(VLOOKUP($E223,'D-1 Off-Site Habitat Baseline'!$D$1:$AA$258,13,FALSE))))</f>
        <v/>
      </c>
      <c r="P223" s="148" t="str">
        <f>IFERROR(INDEX('G-1 All Habitats'!$AG$49:$AG$63,MATCH(Q223,'G-1 All Habitats'!$AF$27:$AF$41,0)),"")</f>
        <v/>
      </c>
      <c r="Q223" s="149" t="str">
        <f t="shared" si="35"/>
        <v/>
      </c>
      <c r="R223" s="150"/>
      <c r="S223" s="151" t="str">
        <f>IFERROR(INDEX('G-1 All Habitats'!$B$3:$B$135,MATCH(R223,'G-1 All Habitats'!$A$3:$A$135,0)),"")</f>
        <v/>
      </c>
      <c r="T223" s="283" t="str">
        <f t="shared" si="36"/>
        <v/>
      </c>
      <c r="U223" s="276" t="str">
        <f t="shared" si="37"/>
        <v/>
      </c>
      <c r="V223" s="298" t="str">
        <f t="shared" si="33"/>
        <v/>
      </c>
      <c r="W223" s="295" t="str">
        <f>IF(S223="","",VLOOKUP(S223,'G-1 All Habitats'!$B$2:$M$135,10,FALSE))</f>
        <v/>
      </c>
      <c r="X223" s="295" t="str">
        <f>IFERROR(VLOOKUP(W223,'G-1 All Habitats'!$V$3:$W$7,2,FALSE),"")</f>
        <v/>
      </c>
      <c r="Y223" s="138"/>
      <c r="Z223" s="299" t="str">
        <f>IFERROR(INDEX('G-8 Condition Look up'!$A$3:$H$135,MATCH(S223,'G-8 Condition Look up'!$A$3:$A$135,0),MATCH(Y223,'G-8 Condition Look up'!$A$3:$H$3,0)),"")</f>
        <v/>
      </c>
      <c r="AA223" s="101"/>
      <c r="AB223" s="314" t="str">
        <f>IF(AA223="","",IF(VLOOKUP(AA223,'G-3 Multipliers'!$L$3:$N$6,2,FALSE)=0,"Spatial Data Missing ⚠",VLOOKUP(AA223,'G-3 Multipliers'!$L$3:$N$6,2,FALSE)))</f>
        <v/>
      </c>
      <c r="AC223" s="299" t="str">
        <f>IF(AA223="","",IF(VLOOKUP(AA223,'G-3 Multipliers'!$L$3:$N$6,3,FALSE)=0,"Spatial Data Missing ⚠",VLOOKUP(AA223,'G-3 Multipliers'!$L$3:$N$6,3,FALSE)))</f>
        <v/>
      </c>
      <c r="AD223" s="311" t="str">
        <f t="shared" si="34"/>
        <v/>
      </c>
      <c r="AE223" s="138"/>
      <c r="AF223" s="138"/>
      <c r="AG223" s="295" t="str">
        <f t="shared" si="38"/>
        <v/>
      </c>
      <c r="AH223" s="296" t="str">
        <f t="shared" si="39"/>
        <v/>
      </c>
      <c r="AI223" s="300" t="str">
        <f>IF(AH223="Check Data ⚠","Check Data ⚠",IFERROR(VLOOKUP(AH223,'G-4 Temporal multipliers'!$A$4:$C$36,3,FALSE),""))</f>
        <v/>
      </c>
      <c r="AJ223" s="311" t="str">
        <f>IF(S223="","",VLOOKUP(S223,'G-3 Multipliers'!$A$2:$E$134,4,FALSE))</f>
        <v/>
      </c>
      <c r="AK223" s="295" t="str">
        <f t="shared" si="40"/>
        <v/>
      </c>
      <c r="AL223" s="295" t="str">
        <f t="shared" si="41"/>
        <v/>
      </c>
      <c r="AM223" s="299" t="str">
        <f>IFERROR(IF(F223="","",IF(AH223="Check Data ⚠","Check Data ⚠",VLOOKUP(AL223,'G-3 Multipliers'!$P$2:$Q$6,2,FALSE))),"")</f>
        <v/>
      </c>
      <c r="AN223" s="712" t="str">
        <f>IF(E223="","",IF(ISNA(VLOOKUP($E223,'D-1 Off-Site Habitat Baseline'!$D$1:$Z$258,15,FALSE)),"",(VLOOKUP($E223,'D-1 Off-Site Habitat Baseline'!$D$1:$Z$258,15,FALSE))))</f>
        <v/>
      </c>
      <c r="AO223" s="329" t="str">
        <f>IF(AN223="","",IF(VLOOKUP(AN223,'G-3 Multipliers'!$S$3:$T$10,2,FALSE)=0,"Spatial Data Missing ⚠",VLOOKUP(AN223,'G-3 Multipliers'!$S$3:$T$10,2,FALSE)))</f>
        <v/>
      </c>
      <c r="AP223" s="289" t="str">
        <f t="shared" si="42"/>
        <v/>
      </c>
      <c r="AQ223" s="289" t="str">
        <f t="shared" si="43"/>
        <v/>
      </c>
      <c r="AR223" s="105"/>
      <c r="AS223" s="138"/>
      <c r="AT223" s="104"/>
      <c r="AU223" s="104"/>
      <c r="AY223" s="30" t="str">
        <f>IF(E223="","",IF(ISNA(VLOOKUP($E223,'D-1 Off-Site Habitat Baseline'!$D$1:$AV$258,4,FALSE)),"",(VLOOKUP($E223,'D-1 Off-Site Habitat Baseline'!$D$1:$AV$258,4,FALSE))))</f>
        <v/>
      </c>
    </row>
    <row r="224" spans="1:51" ht="14">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319" t="str">
        <f>'D-1 Off-Site Habitat Baseline'!AP223</f>
        <v/>
      </c>
      <c r="F224" s="283" t="str">
        <f>IF(E224="","",IF(ISNA(VLOOKUP($E224,'D-1 Off-Site Habitat Baseline'!$D$1:$ZZ$258,45,FALSE)),"",(VLOOKUP($E224,'D-1 Off-Site Habitat Baseline'!$D$1:$ZZ$258,45,FALSE))))</f>
        <v/>
      </c>
      <c r="G224" s="295" t="str">
        <f>IF(E224="","",IF(ISNA(VLOOKUP($E224,'D-1 Off-Site Habitat Baseline'!$D$1:$O$258,5,FALSE)),"",(VLOOKUP($E224,'D-1 Off-Site Habitat Baseline'!$D$1:$O$258,5,FALSE))))</f>
        <v/>
      </c>
      <c r="H224" s="295" t="str">
        <f>IF(E224="","",IF(ISNA(VLOOKUP($E224,'D-1 Off-Site Habitat Baseline'!$D$1:$O$258,6,FALSE)),"",(VLOOKUP($E224,'D-1 Off-Site Habitat Baseline'!$D$1:$O$258,6,FALSE))))</f>
        <v/>
      </c>
      <c r="I224" s="295" t="str">
        <f>IF(E224="","",IF(ISNA(VLOOKUP($E224,'D-1 Off-Site Habitat Baseline'!$D$1:$O$258,7,FALSE)),"",(VLOOKUP($E224,'D-1 Off-Site Habitat Baseline'!$D$1:$O$258,7,FALSE))))</f>
        <v/>
      </c>
      <c r="J224" s="295" t="str">
        <f>IF(E224="","",IF(ISNA(VLOOKUP($E224,'D-1 Off-Site Habitat Baseline'!$D$1:$O$258,8,FALSE)),"",(VLOOKUP($E224,'D-1 Off-Site Habitat Baseline'!$D$1:$O$258,8,FALSE))))</f>
        <v/>
      </c>
      <c r="K224" s="295" t="str">
        <f>IF(E224="","",IF(ISNA(VLOOKUP($E224,'D-1 Off-Site Habitat Baseline'!$D$1:$O$258,9,FALSE)),"",(VLOOKUP($E224,'D-1 Off-Site Habitat Baseline'!$D$1:$O$258,9,FALSE))))</f>
        <v/>
      </c>
      <c r="L224" s="295" t="str">
        <f>IF(E224="","",IF(ISNA(VLOOKUP($E224,'D-1 Off-Site Habitat Baseline'!$D$1:$O$258,11,FALSE)),"",(VLOOKUP($E224,'D-1 Off-Site Habitat Baseline'!$D$1:$O$258,11,FALSE))))</f>
        <v/>
      </c>
      <c r="M224" s="295" t="str">
        <f>IF(E224="","",IF(ISNA(VLOOKUP($E224,'D-1 Off-Site Habitat Baseline'!$D$1:$O$258,12,FALSE)),"",(VLOOKUP($E224,'D-1 Off-Site Habitat Baseline'!$D$1:$O$258,12,FALSE))))</f>
        <v/>
      </c>
      <c r="N224" s="295" t="str">
        <f>IF(E224="","",IF(ISNA(VLOOKUP($E224,'D-1 Off-Site Habitat Baseline'!$D$1:$AA$258,17,FALSE)),"",(VLOOKUP($E224,'D-1 Off-Site Habitat Baseline'!$D$1:$AA$258,17,FALSE))))</f>
        <v/>
      </c>
      <c r="O224" s="299" t="str">
        <f>IF(E224="","",IF(ISNA(VLOOKUP($E224,'D-1 Off-Site Habitat Baseline'!$D$1:$AA$258,13,FALSE)),"",(VLOOKUP($E224,'D-1 Off-Site Habitat Baseline'!$D$1:$AA$258,13,FALSE))))</f>
        <v/>
      </c>
      <c r="P224" s="148" t="str">
        <f>IFERROR(INDEX('G-1 All Habitats'!$AG$49:$AG$63,MATCH(Q224,'G-1 All Habitats'!$AF$27:$AF$41,0)),"")</f>
        <v/>
      </c>
      <c r="Q224" s="149" t="str">
        <f t="shared" si="35"/>
        <v/>
      </c>
      <c r="R224" s="150"/>
      <c r="S224" s="151" t="str">
        <f>IFERROR(INDEX('G-1 All Habitats'!$B$3:$B$135,MATCH(R224,'G-1 All Habitats'!$A$3:$A$135,0)),"")</f>
        <v/>
      </c>
      <c r="T224" s="283" t="str">
        <f t="shared" si="36"/>
        <v/>
      </c>
      <c r="U224" s="276" t="str">
        <f t="shared" si="37"/>
        <v/>
      </c>
      <c r="V224" s="298" t="str">
        <f t="shared" si="33"/>
        <v/>
      </c>
      <c r="W224" s="295" t="str">
        <f>IF(S224="","",VLOOKUP(S224,'G-1 All Habitats'!$B$2:$M$135,10,FALSE))</f>
        <v/>
      </c>
      <c r="X224" s="295" t="str">
        <f>IFERROR(VLOOKUP(W224,'G-1 All Habitats'!$V$3:$W$7,2,FALSE),"")</f>
        <v/>
      </c>
      <c r="Y224" s="138"/>
      <c r="Z224" s="299" t="str">
        <f>IFERROR(INDEX('G-8 Condition Look up'!$A$3:$H$135,MATCH(S224,'G-8 Condition Look up'!$A$3:$A$135,0),MATCH(Y224,'G-8 Condition Look up'!$A$3:$H$3,0)),"")</f>
        <v/>
      </c>
      <c r="AA224" s="101"/>
      <c r="AB224" s="314" t="str">
        <f>IF(AA224="","",IF(VLOOKUP(AA224,'G-3 Multipliers'!$L$3:$N$6,2,FALSE)=0,"Spatial Data Missing ⚠",VLOOKUP(AA224,'G-3 Multipliers'!$L$3:$N$6,2,FALSE)))</f>
        <v/>
      </c>
      <c r="AC224" s="299" t="str">
        <f>IF(AA224="","",IF(VLOOKUP(AA224,'G-3 Multipliers'!$L$3:$N$6,3,FALSE)=0,"Spatial Data Missing ⚠",VLOOKUP(AA224,'G-3 Multipliers'!$L$3:$N$6,3,FALSE)))</f>
        <v/>
      </c>
      <c r="AD224" s="311" t="str">
        <f t="shared" si="34"/>
        <v/>
      </c>
      <c r="AE224" s="138"/>
      <c r="AF224" s="138"/>
      <c r="AG224" s="295" t="str">
        <f t="shared" si="38"/>
        <v/>
      </c>
      <c r="AH224" s="296" t="str">
        <f t="shared" si="39"/>
        <v/>
      </c>
      <c r="AI224" s="300" t="str">
        <f>IF(AH224="Check Data ⚠","Check Data ⚠",IFERROR(VLOOKUP(AH224,'G-4 Temporal multipliers'!$A$4:$C$36,3,FALSE),""))</f>
        <v/>
      </c>
      <c r="AJ224" s="311" t="str">
        <f>IF(S224="","",VLOOKUP(S224,'G-3 Multipliers'!$A$2:$E$134,4,FALSE))</f>
        <v/>
      </c>
      <c r="AK224" s="295" t="str">
        <f t="shared" si="40"/>
        <v/>
      </c>
      <c r="AL224" s="295" t="str">
        <f t="shared" si="41"/>
        <v/>
      </c>
      <c r="AM224" s="299" t="str">
        <f>IFERROR(IF(F224="","",IF(AH224="Check Data ⚠","Check Data ⚠",VLOOKUP(AL224,'G-3 Multipliers'!$P$2:$Q$6,2,FALSE))),"")</f>
        <v/>
      </c>
      <c r="AN224" s="712" t="str">
        <f>IF(E224="","",IF(ISNA(VLOOKUP($E224,'D-1 Off-Site Habitat Baseline'!$D$1:$Z$258,15,FALSE)),"",(VLOOKUP($E224,'D-1 Off-Site Habitat Baseline'!$D$1:$Z$258,15,FALSE))))</f>
        <v/>
      </c>
      <c r="AO224" s="329" t="str">
        <f>IF(AN224="","",IF(VLOOKUP(AN224,'G-3 Multipliers'!$S$3:$T$10,2,FALSE)=0,"Spatial Data Missing ⚠",VLOOKUP(AN224,'G-3 Multipliers'!$S$3:$T$10,2,FALSE)))</f>
        <v/>
      </c>
      <c r="AP224" s="289" t="str">
        <f t="shared" si="42"/>
        <v/>
      </c>
      <c r="AQ224" s="289" t="str">
        <f t="shared" si="43"/>
        <v/>
      </c>
      <c r="AR224" s="105"/>
      <c r="AS224" s="138"/>
      <c r="AT224" s="104"/>
      <c r="AU224" s="104"/>
      <c r="AY224" s="30" t="str">
        <f>IF(E224="","",IF(ISNA(VLOOKUP($E224,'D-1 Off-Site Habitat Baseline'!$D$1:$AV$258,4,FALSE)),"",(VLOOKUP($E224,'D-1 Off-Site Habitat Baseline'!$D$1:$AV$258,4,FALSE))))</f>
        <v/>
      </c>
    </row>
    <row r="225" spans="1:51" ht="14">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319" t="str">
        <f>'D-1 Off-Site Habitat Baseline'!AP224</f>
        <v/>
      </c>
      <c r="F225" s="283" t="str">
        <f>IF(E225="","",IF(ISNA(VLOOKUP($E225,'D-1 Off-Site Habitat Baseline'!$D$1:$ZZ$258,45,FALSE)),"",(VLOOKUP($E225,'D-1 Off-Site Habitat Baseline'!$D$1:$ZZ$258,45,FALSE))))</f>
        <v/>
      </c>
      <c r="G225" s="295" t="str">
        <f>IF(E225="","",IF(ISNA(VLOOKUP($E225,'D-1 Off-Site Habitat Baseline'!$D$1:$O$258,5,FALSE)),"",(VLOOKUP($E225,'D-1 Off-Site Habitat Baseline'!$D$1:$O$258,5,FALSE))))</f>
        <v/>
      </c>
      <c r="H225" s="295" t="str">
        <f>IF(E225="","",IF(ISNA(VLOOKUP($E225,'D-1 Off-Site Habitat Baseline'!$D$1:$O$258,6,FALSE)),"",(VLOOKUP($E225,'D-1 Off-Site Habitat Baseline'!$D$1:$O$258,6,FALSE))))</f>
        <v/>
      </c>
      <c r="I225" s="295" t="str">
        <f>IF(E225="","",IF(ISNA(VLOOKUP($E225,'D-1 Off-Site Habitat Baseline'!$D$1:$O$258,7,FALSE)),"",(VLOOKUP($E225,'D-1 Off-Site Habitat Baseline'!$D$1:$O$258,7,FALSE))))</f>
        <v/>
      </c>
      <c r="J225" s="295" t="str">
        <f>IF(E225="","",IF(ISNA(VLOOKUP($E225,'D-1 Off-Site Habitat Baseline'!$D$1:$O$258,8,FALSE)),"",(VLOOKUP($E225,'D-1 Off-Site Habitat Baseline'!$D$1:$O$258,8,FALSE))))</f>
        <v/>
      </c>
      <c r="K225" s="295" t="str">
        <f>IF(E225="","",IF(ISNA(VLOOKUP($E225,'D-1 Off-Site Habitat Baseline'!$D$1:$O$258,9,FALSE)),"",(VLOOKUP($E225,'D-1 Off-Site Habitat Baseline'!$D$1:$O$258,9,FALSE))))</f>
        <v/>
      </c>
      <c r="L225" s="295" t="str">
        <f>IF(E225="","",IF(ISNA(VLOOKUP($E225,'D-1 Off-Site Habitat Baseline'!$D$1:$O$258,11,FALSE)),"",(VLOOKUP($E225,'D-1 Off-Site Habitat Baseline'!$D$1:$O$258,11,FALSE))))</f>
        <v/>
      </c>
      <c r="M225" s="295" t="str">
        <f>IF(E225="","",IF(ISNA(VLOOKUP($E225,'D-1 Off-Site Habitat Baseline'!$D$1:$O$258,12,FALSE)),"",(VLOOKUP($E225,'D-1 Off-Site Habitat Baseline'!$D$1:$O$258,12,FALSE))))</f>
        <v/>
      </c>
      <c r="N225" s="295" t="str">
        <f>IF(E225="","",IF(ISNA(VLOOKUP($E225,'D-1 Off-Site Habitat Baseline'!$D$1:$AA$258,17,FALSE)),"",(VLOOKUP($E225,'D-1 Off-Site Habitat Baseline'!$D$1:$AA$258,17,FALSE))))</f>
        <v/>
      </c>
      <c r="O225" s="299" t="str">
        <f>IF(E225="","",IF(ISNA(VLOOKUP($E225,'D-1 Off-Site Habitat Baseline'!$D$1:$AA$258,13,FALSE)),"",(VLOOKUP($E225,'D-1 Off-Site Habitat Baseline'!$D$1:$AA$258,13,FALSE))))</f>
        <v/>
      </c>
      <c r="P225" s="148" t="str">
        <f>IFERROR(INDEX('G-1 All Habitats'!$AG$49:$AG$63,MATCH(Q225,'G-1 All Habitats'!$AF$27:$AF$41,0)),"")</f>
        <v/>
      </c>
      <c r="Q225" s="149" t="str">
        <f t="shared" si="35"/>
        <v/>
      </c>
      <c r="R225" s="150"/>
      <c r="S225" s="151" t="str">
        <f>IFERROR(INDEX('G-1 All Habitats'!$B$3:$B$135,MATCH(R225,'G-1 All Habitats'!$A$3:$A$135,0)),"")</f>
        <v/>
      </c>
      <c r="T225" s="283" t="str">
        <f t="shared" si="36"/>
        <v/>
      </c>
      <c r="U225" s="276" t="str">
        <f t="shared" si="37"/>
        <v/>
      </c>
      <c r="V225" s="298" t="str">
        <f t="shared" si="33"/>
        <v/>
      </c>
      <c r="W225" s="295" t="str">
        <f>IF(S225="","",VLOOKUP(S225,'G-1 All Habitats'!$B$2:$M$135,10,FALSE))</f>
        <v/>
      </c>
      <c r="X225" s="295" t="str">
        <f>IFERROR(VLOOKUP(W225,'G-1 All Habitats'!$V$3:$W$7,2,FALSE),"")</f>
        <v/>
      </c>
      <c r="Y225" s="138"/>
      <c r="Z225" s="299" t="str">
        <f>IFERROR(INDEX('G-8 Condition Look up'!$A$3:$H$135,MATCH(S225,'G-8 Condition Look up'!$A$3:$A$135,0),MATCH(Y225,'G-8 Condition Look up'!$A$3:$H$3,0)),"")</f>
        <v/>
      </c>
      <c r="AA225" s="101"/>
      <c r="AB225" s="314" t="str">
        <f>IF(AA225="","",IF(VLOOKUP(AA225,'G-3 Multipliers'!$L$3:$N$6,2,FALSE)=0,"Spatial Data Missing ⚠",VLOOKUP(AA225,'G-3 Multipliers'!$L$3:$N$6,2,FALSE)))</f>
        <v/>
      </c>
      <c r="AC225" s="299" t="str">
        <f>IF(AA225="","",IF(VLOOKUP(AA225,'G-3 Multipliers'!$L$3:$N$6,3,FALSE)=0,"Spatial Data Missing ⚠",VLOOKUP(AA225,'G-3 Multipliers'!$L$3:$N$6,3,FALSE)))</f>
        <v/>
      </c>
      <c r="AD225" s="311" t="str">
        <f t="shared" si="34"/>
        <v/>
      </c>
      <c r="AE225" s="138"/>
      <c r="AF225" s="138"/>
      <c r="AG225" s="295" t="str">
        <f t="shared" si="38"/>
        <v/>
      </c>
      <c r="AH225" s="296" t="str">
        <f t="shared" si="39"/>
        <v/>
      </c>
      <c r="AI225" s="300" t="str">
        <f>IF(AH225="Check Data ⚠","Check Data ⚠",IFERROR(VLOOKUP(AH225,'G-4 Temporal multipliers'!$A$4:$C$36,3,FALSE),""))</f>
        <v/>
      </c>
      <c r="AJ225" s="311" t="str">
        <f>IF(S225="","",VLOOKUP(S225,'G-3 Multipliers'!$A$2:$E$134,4,FALSE))</f>
        <v/>
      </c>
      <c r="AK225" s="295" t="str">
        <f t="shared" si="40"/>
        <v/>
      </c>
      <c r="AL225" s="295" t="str">
        <f t="shared" si="41"/>
        <v/>
      </c>
      <c r="AM225" s="299" t="str">
        <f>IFERROR(IF(F225="","",IF(AH225="Check Data ⚠","Check Data ⚠",VLOOKUP(AL225,'G-3 Multipliers'!$P$2:$Q$6,2,FALSE))),"")</f>
        <v/>
      </c>
      <c r="AN225" s="712" t="str">
        <f>IF(E225="","",IF(ISNA(VLOOKUP($E225,'D-1 Off-Site Habitat Baseline'!$D$1:$Z$258,15,FALSE)),"",(VLOOKUP($E225,'D-1 Off-Site Habitat Baseline'!$D$1:$Z$258,15,FALSE))))</f>
        <v/>
      </c>
      <c r="AO225" s="329" t="str">
        <f>IF(AN225="","",IF(VLOOKUP(AN225,'G-3 Multipliers'!$S$3:$T$10,2,FALSE)=0,"Spatial Data Missing ⚠",VLOOKUP(AN225,'G-3 Multipliers'!$S$3:$T$10,2,FALSE)))</f>
        <v/>
      </c>
      <c r="AP225" s="289" t="str">
        <f t="shared" si="42"/>
        <v/>
      </c>
      <c r="AQ225" s="289" t="str">
        <f t="shared" si="43"/>
        <v/>
      </c>
      <c r="AR225" s="105"/>
      <c r="AS225" s="138"/>
      <c r="AT225" s="104"/>
      <c r="AU225" s="104"/>
      <c r="AY225" s="30" t="str">
        <f>IF(E225="","",IF(ISNA(VLOOKUP($E225,'D-1 Off-Site Habitat Baseline'!$D$1:$AV$258,4,FALSE)),"",(VLOOKUP($E225,'D-1 Off-Site Habitat Baseline'!$D$1:$AV$258,4,FALSE))))</f>
        <v/>
      </c>
    </row>
    <row r="226" spans="1:51" ht="14">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319" t="str">
        <f>'D-1 Off-Site Habitat Baseline'!AP225</f>
        <v/>
      </c>
      <c r="F226" s="283" t="str">
        <f>IF(E226="","",IF(ISNA(VLOOKUP($E226,'D-1 Off-Site Habitat Baseline'!$D$1:$ZZ$258,45,FALSE)),"",(VLOOKUP($E226,'D-1 Off-Site Habitat Baseline'!$D$1:$ZZ$258,45,FALSE))))</f>
        <v/>
      </c>
      <c r="G226" s="295" t="str">
        <f>IF(E226="","",IF(ISNA(VLOOKUP($E226,'D-1 Off-Site Habitat Baseline'!$D$1:$O$258,5,FALSE)),"",(VLOOKUP($E226,'D-1 Off-Site Habitat Baseline'!$D$1:$O$258,5,FALSE))))</f>
        <v/>
      </c>
      <c r="H226" s="295" t="str">
        <f>IF(E226="","",IF(ISNA(VLOOKUP($E226,'D-1 Off-Site Habitat Baseline'!$D$1:$O$258,6,FALSE)),"",(VLOOKUP($E226,'D-1 Off-Site Habitat Baseline'!$D$1:$O$258,6,FALSE))))</f>
        <v/>
      </c>
      <c r="I226" s="295" t="str">
        <f>IF(E226="","",IF(ISNA(VLOOKUP($E226,'D-1 Off-Site Habitat Baseline'!$D$1:$O$258,7,FALSE)),"",(VLOOKUP($E226,'D-1 Off-Site Habitat Baseline'!$D$1:$O$258,7,FALSE))))</f>
        <v/>
      </c>
      <c r="J226" s="295" t="str">
        <f>IF(E226="","",IF(ISNA(VLOOKUP($E226,'D-1 Off-Site Habitat Baseline'!$D$1:$O$258,8,FALSE)),"",(VLOOKUP($E226,'D-1 Off-Site Habitat Baseline'!$D$1:$O$258,8,FALSE))))</f>
        <v/>
      </c>
      <c r="K226" s="295" t="str">
        <f>IF(E226="","",IF(ISNA(VLOOKUP($E226,'D-1 Off-Site Habitat Baseline'!$D$1:$O$258,9,FALSE)),"",(VLOOKUP($E226,'D-1 Off-Site Habitat Baseline'!$D$1:$O$258,9,FALSE))))</f>
        <v/>
      </c>
      <c r="L226" s="295" t="str">
        <f>IF(E226="","",IF(ISNA(VLOOKUP($E226,'D-1 Off-Site Habitat Baseline'!$D$1:$O$258,11,FALSE)),"",(VLOOKUP($E226,'D-1 Off-Site Habitat Baseline'!$D$1:$O$258,11,FALSE))))</f>
        <v/>
      </c>
      <c r="M226" s="295" t="str">
        <f>IF(E226="","",IF(ISNA(VLOOKUP($E226,'D-1 Off-Site Habitat Baseline'!$D$1:$O$258,12,FALSE)),"",(VLOOKUP($E226,'D-1 Off-Site Habitat Baseline'!$D$1:$O$258,12,FALSE))))</f>
        <v/>
      </c>
      <c r="N226" s="295" t="str">
        <f>IF(E226="","",IF(ISNA(VLOOKUP($E226,'D-1 Off-Site Habitat Baseline'!$D$1:$AA$258,17,FALSE)),"",(VLOOKUP($E226,'D-1 Off-Site Habitat Baseline'!$D$1:$AA$258,17,FALSE))))</f>
        <v/>
      </c>
      <c r="O226" s="299" t="str">
        <f>IF(E226="","",IF(ISNA(VLOOKUP($E226,'D-1 Off-Site Habitat Baseline'!$D$1:$AA$258,13,FALSE)),"",(VLOOKUP($E226,'D-1 Off-Site Habitat Baseline'!$D$1:$AA$258,13,FALSE))))</f>
        <v/>
      </c>
      <c r="P226" s="148" t="str">
        <f>IFERROR(INDEX('G-1 All Habitats'!$AG$49:$AG$63,MATCH(Q226,'G-1 All Habitats'!$AF$27:$AF$41,0)),"")</f>
        <v/>
      </c>
      <c r="Q226" s="149" t="str">
        <f t="shared" si="35"/>
        <v/>
      </c>
      <c r="R226" s="150"/>
      <c r="S226" s="151" t="str">
        <f>IFERROR(INDEX('G-1 All Habitats'!$B$3:$B$135,MATCH(R226,'G-1 All Habitats'!$A$3:$A$135,0)),"")</f>
        <v/>
      </c>
      <c r="T226" s="283" t="str">
        <f t="shared" si="36"/>
        <v/>
      </c>
      <c r="U226" s="276" t="str">
        <f t="shared" si="37"/>
        <v/>
      </c>
      <c r="V226" s="298" t="str">
        <f t="shared" si="33"/>
        <v/>
      </c>
      <c r="W226" s="295" t="str">
        <f>IF(S226="","",VLOOKUP(S226,'G-1 All Habitats'!$B$2:$M$135,10,FALSE))</f>
        <v/>
      </c>
      <c r="X226" s="295" t="str">
        <f>IFERROR(VLOOKUP(W226,'G-1 All Habitats'!$V$3:$W$7,2,FALSE),"")</f>
        <v/>
      </c>
      <c r="Y226" s="138"/>
      <c r="Z226" s="299" t="str">
        <f>IFERROR(INDEX('G-8 Condition Look up'!$A$3:$H$135,MATCH(S226,'G-8 Condition Look up'!$A$3:$A$135,0),MATCH(Y226,'G-8 Condition Look up'!$A$3:$H$3,0)),"")</f>
        <v/>
      </c>
      <c r="AA226" s="101"/>
      <c r="AB226" s="314" t="str">
        <f>IF(AA226="","",IF(VLOOKUP(AA226,'G-3 Multipliers'!$L$3:$N$6,2,FALSE)=0,"Spatial Data Missing ⚠",VLOOKUP(AA226,'G-3 Multipliers'!$L$3:$N$6,2,FALSE)))</f>
        <v/>
      </c>
      <c r="AC226" s="299" t="str">
        <f>IF(AA226="","",IF(VLOOKUP(AA226,'G-3 Multipliers'!$L$3:$N$6,3,FALSE)=0,"Spatial Data Missing ⚠",VLOOKUP(AA226,'G-3 Multipliers'!$L$3:$N$6,3,FALSE)))</f>
        <v/>
      </c>
      <c r="AD226" s="311" t="str">
        <f t="shared" si="34"/>
        <v/>
      </c>
      <c r="AE226" s="138"/>
      <c r="AF226" s="138"/>
      <c r="AG226" s="295" t="str">
        <f t="shared" si="38"/>
        <v/>
      </c>
      <c r="AH226" s="296" t="str">
        <f t="shared" si="39"/>
        <v/>
      </c>
      <c r="AI226" s="300" t="str">
        <f>IF(AH226="Check Data ⚠","Check Data ⚠",IFERROR(VLOOKUP(AH226,'G-4 Temporal multipliers'!$A$4:$C$36,3,FALSE),""))</f>
        <v/>
      </c>
      <c r="AJ226" s="311" t="str">
        <f>IF(S226="","",VLOOKUP(S226,'G-3 Multipliers'!$A$2:$E$134,4,FALSE))</f>
        <v/>
      </c>
      <c r="AK226" s="295" t="str">
        <f t="shared" si="40"/>
        <v/>
      </c>
      <c r="AL226" s="295" t="str">
        <f t="shared" si="41"/>
        <v/>
      </c>
      <c r="AM226" s="299" t="str">
        <f>IFERROR(IF(F226="","",IF(AH226="Check Data ⚠","Check Data ⚠",VLOOKUP(AL226,'G-3 Multipliers'!$P$2:$Q$6,2,FALSE))),"")</f>
        <v/>
      </c>
      <c r="AN226" s="712" t="str">
        <f>IF(E226="","",IF(ISNA(VLOOKUP($E226,'D-1 Off-Site Habitat Baseline'!$D$1:$Z$258,15,FALSE)),"",(VLOOKUP($E226,'D-1 Off-Site Habitat Baseline'!$D$1:$Z$258,15,FALSE))))</f>
        <v/>
      </c>
      <c r="AO226" s="329" t="str">
        <f>IF(AN226="","",IF(VLOOKUP(AN226,'G-3 Multipliers'!$S$3:$T$10,2,FALSE)=0,"Spatial Data Missing ⚠",VLOOKUP(AN226,'G-3 Multipliers'!$S$3:$T$10,2,FALSE)))</f>
        <v/>
      </c>
      <c r="AP226" s="289" t="str">
        <f t="shared" si="42"/>
        <v/>
      </c>
      <c r="AQ226" s="289" t="str">
        <f t="shared" si="43"/>
        <v/>
      </c>
      <c r="AR226" s="105"/>
      <c r="AS226" s="138"/>
      <c r="AT226" s="104"/>
      <c r="AU226" s="104"/>
      <c r="AY226" s="30" t="str">
        <f>IF(E226="","",IF(ISNA(VLOOKUP($E226,'D-1 Off-Site Habitat Baseline'!$D$1:$AV$258,4,FALSE)),"",(VLOOKUP($E226,'D-1 Off-Site Habitat Baseline'!$D$1:$AV$258,4,FALSE))))</f>
        <v/>
      </c>
    </row>
    <row r="227" spans="1:51" ht="14">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319" t="str">
        <f>'D-1 Off-Site Habitat Baseline'!AP226</f>
        <v/>
      </c>
      <c r="F227" s="283" t="str">
        <f>IF(E227="","",IF(ISNA(VLOOKUP($E227,'D-1 Off-Site Habitat Baseline'!$D$1:$ZZ$258,45,FALSE)),"",(VLOOKUP($E227,'D-1 Off-Site Habitat Baseline'!$D$1:$ZZ$258,45,FALSE))))</f>
        <v/>
      </c>
      <c r="G227" s="295" t="str">
        <f>IF(E227="","",IF(ISNA(VLOOKUP($E227,'D-1 Off-Site Habitat Baseline'!$D$1:$O$258,5,FALSE)),"",(VLOOKUP($E227,'D-1 Off-Site Habitat Baseline'!$D$1:$O$258,5,FALSE))))</f>
        <v/>
      </c>
      <c r="H227" s="295" t="str">
        <f>IF(E227="","",IF(ISNA(VLOOKUP($E227,'D-1 Off-Site Habitat Baseline'!$D$1:$O$258,6,FALSE)),"",(VLOOKUP($E227,'D-1 Off-Site Habitat Baseline'!$D$1:$O$258,6,FALSE))))</f>
        <v/>
      </c>
      <c r="I227" s="295" t="str">
        <f>IF(E227="","",IF(ISNA(VLOOKUP($E227,'D-1 Off-Site Habitat Baseline'!$D$1:$O$258,7,FALSE)),"",(VLOOKUP($E227,'D-1 Off-Site Habitat Baseline'!$D$1:$O$258,7,FALSE))))</f>
        <v/>
      </c>
      <c r="J227" s="295" t="str">
        <f>IF(E227="","",IF(ISNA(VLOOKUP($E227,'D-1 Off-Site Habitat Baseline'!$D$1:$O$258,8,FALSE)),"",(VLOOKUP($E227,'D-1 Off-Site Habitat Baseline'!$D$1:$O$258,8,FALSE))))</f>
        <v/>
      </c>
      <c r="K227" s="295" t="str">
        <f>IF(E227="","",IF(ISNA(VLOOKUP($E227,'D-1 Off-Site Habitat Baseline'!$D$1:$O$258,9,FALSE)),"",(VLOOKUP($E227,'D-1 Off-Site Habitat Baseline'!$D$1:$O$258,9,FALSE))))</f>
        <v/>
      </c>
      <c r="L227" s="295" t="str">
        <f>IF(E227="","",IF(ISNA(VLOOKUP($E227,'D-1 Off-Site Habitat Baseline'!$D$1:$O$258,11,FALSE)),"",(VLOOKUP($E227,'D-1 Off-Site Habitat Baseline'!$D$1:$O$258,11,FALSE))))</f>
        <v/>
      </c>
      <c r="M227" s="295" t="str">
        <f>IF(E227="","",IF(ISNA(VLOOKUP($E227,'D-1 Off-Site Habitat Baseline'!$D$1:$O$258,12,FALSE)),"",(VLOOKUP($E227,'D-1 Off-Site Habitat Baseline'!$D$1:$O$258,12,FALSE))))</f>
        <v/>
      </c>
      <c r="N227" s="295" t="str">
        <f>IF(E227="","",IF(ISNA(VLOOKUP($E227,'D-1 Off-Site Habitat Baseline'!$D$1:$AA$258,17,FALSE)),"",(VLOOKUP($E227,'D-1 Off-Site Habitat Baseline'!$D$1:$AA$258,17,FALSE))))</f>
        <v/>
      </c>
      <c r="O227" s="299" t="str">
        <f>IF(E227="","",IF(ISNA(VLOOKUP($E227,'D-1 Off-Site Habitat Baseline'!$D$1:$AA$258,13,FALSE)),"",(VLOOKUP($E227,'D-1 Off-Site Habitat Baseline'!$D$1:$AA$258,13,FALSE))))</f>
        <v/>
      </c>
      <c r="P227" s="148" t="str">
        <f>IFERROR(INDEX('G-1 All Habitats'!$AG$49:$AG$63,MATCH(Q227,'G-1 All Habitats'!$AF$27:$AF$41,0)),"")</f>
        <v/>
      </c>
      <c r="Q227" s="149" t="str">
        <f t="shared" si="35"/>
        <v/>
      </c>
      <c r="R227" s="150"/>
      <c r="S227" s="151" t="str">
        <f>IFERROR(INDEX('G-1 All Habitats'!$B$3:$B$135,MATCH(R227,'G-1 All Habitats'!$A$3:$A$135,0)),"")</f>
        <v/>
      </c>
      <c r="T227" s="283" t="str">
        <f t="shared" si="36"/>
        <v/>
      </c>
      <c r="U227" s="276" t="str">
        <f t="shared" si="37"/>
        <v/>
      </c>
      <c r="V227" s="298" t="str">
        <f t="shared" si="33"/>
        <v/>
      </c>
      <c r="W227" s="295" t="str">
        <f>IF(S227="","",VLOOKUP(S227,'G-1 All Habitats'!$B$2:$M$135,10,FALSE))</f>
        <v/>
      </c>
      <c r="X227" s="295" t="str">
        <f>IFERROR(VLOOKUP(W227,'G-1 All Habitats'!$V$3:$W$7,2,FALSE),"")</f>
        <v/>
      </c>
      <c r="Y227" s="138"/>
      <c r="Z227" s="299" t="str">
        <f>IFERROR(INDEX('G-8 Condition Look up'!$A$3:$H$135,MATCH(S227,'G-8 Condition Look up'!$A$3:$A$135,0),MATCH(Y227,'G-8 Condition Look up'!$A$3:$H$3,0)),"")</f>
        <v/>
      </c>
      <c r="AA227" s="101"/>
      <c r="AB227" s="314" t="str">
        <f>IF(AA227="","",IF(VLOOKUP(AA227,'G-3 Multipliers'!$L$3:$N$6,2,FALSE)=0,"Spatial Data Missing ⚠",VLOOKUP(AA227,'G-3 Multipliers'!$L$3:$N$6,2,FALSE)))</f>
        <v/>
      </c>
      <c r="AC227" s="299" t="str">
        <f>IF(AA227="","",IF(VLOOKUP(AA227,'G-3 Multipliers'!$L$3:$N$6,3,FALSE)=0,"Spatial Data Missing ⚠",VLOOKUP(AA227,'G-3 Multipliers'!$L$3:$N$6,3,FALSE)))</f>
        <v/>
      </c>
      <c r="AD227" s="311" t="str">
        <f t="shared" si="34"/>
        <v/>
      </c>
      <c r="AE227" s="138"/>
      <c r="AF227" s="138"/>
      <c r="AG227" s="295" t="str">
        <f t="shared" si="38"/>
        <v/>
      </c>
      <c r="AH227" s="296" t="str">
        <f t="shared" si="39"/>
        <v/>
      </c>
      <c r="AI227" s="300" t="str">
        <f>IF(AH227="Check Data ⚠","Check Data ⚠",IFERROR(VLOOKUP(AH227,'G-4 Temporal multipliers'!$A$4:$C$36,3,FALSE),""))</f>
        <v/>
      </c>
      <c r="AJ227" s="311" t="str">
        <f>IF(S227="","",VLOOKUP(S227,'G-3 Multipliers'!$A$2:$E$134,4,FALSE))</f>
        <v/>
      </c>
      <c r="AK227" s="295" t="str">
        <f t="shared" si="40"/>
        <v/>
      </c>
      <c r="AL227" s="295" t="str">
        <f t="shared" si="41"/>
        <v/>
      </c>
      <c r="AM227" s="299" t="str">
        <f>IFERROR(IF(F227="","",IF(AH227="Check Data ⚠","Check Data ⚠",VLOOKUP(AL227,'G-3 Multipliers'!$P$2:$Q$6,2,FALSE))),"")</f>
        <v/>
      </c>
      <c r="AN227" s="712" t="str">
        <f>IF(E227="","",IF(ISNA(VLOOKUP($E227,'D-1 Off-Site Habitat Baseline'!$D$1:$Z$258,15,FALSE)),"",(VLOOKUP($E227,'D-1 Off-Site Habitat Baseline'!$D$1:$Z$258,15,FALSE))))</f>
        <v/>
      </c>
      <c r="AO227" s="329" t="str">
        <f>IF(AN227="","",IF(VLOOKUP(AN227,'G-3 Multipliers'!$S$3:$T$10,2,FALSE)=0,"Spatial Data Missing ⚠",VLOOKUP(AN227,'G-3 Multipliers'!$S$3:$T$10,2,FALSE)))</f>
        <v/>
      </c>
      <c r="AP227" s="289" t="str">
        <f t="shared" si="42"/>
        <v/>
      </c>
      <c r="AQ227" s="289" t="str">
        <f t="shared" si="43"/>
        <v/>
      </c>
      <c r="AR227" s="105"/>
      <c r="AS227" s="138"/>
      <c r="AT227" s="104"/>
      <c r="AU227" s="104"/>
      <c r="AY227" s="30" t="str">
        <f>IF(E227="","",IF(ISNA(VLOOKUP($E227,'D-1 Off-Site Habitat Baseline'!$D$1:$AV$258,4,FALSE)),"",(VLOOKUP($E227,'D-1 Off-Site Habitat Baseline'!$D$1:$AV$258,4,FALSE))))</f>
        <v/>
      </c>
    </row>
    <row r="228" spans="1:51" ht="14">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319" t="str">
        <f>'D-1 Off-Site Habitat Baseline'!AP227</f>
        <v/>
      </c>
      <c r="F228" s="283" t="str">
        <f>IF(E228="","",IF(ISNA(VLOOKUP($E228,'D-1 Off-Site Habitat Baseline'!$D$1:$ZZ$258,45,FALSE)),"",(VLOOKUP($E228,'D-1 Off-Site Habitat Baseline'!$D$1:$ZZ$258,45,FALSE))))</f>
        <v/>
      </c>
      <c r="G228" s="295" t="str">
        <f>IF(E228="","",IF(ISNA(VLOOKUP($E228,'D-1 Off-Site Habitat Baseline'!$D$1:$O$258,5,FALSE)),"",(VLOOKUP($E228,'D-1 Off-Site Habitat Baseline'!$D$1:$O$258,5,FALSE))))</f>
        <v/>
      </c>
      <c r="H228" s="295" t="str">
        <f>IF(E228="","",IF(ISNA(VLOOKUP($E228,'D-1 Off-Site Habitat Baseline'!$D$1:$O$258,6,FALSE)),"",(VLOOKUP($E228,'D-1 Off-Site Habitat Baseline'!$D$1:$O$258,6,FALSE))))</f>
        <v/>
      </c>
      <c r="I228" s="295" t="str">
        <f>IF(E228="","",IF(ISNA(VLOOKUP($E228,'D-1 Off-Site Habitat Baseline'!$D$1:$O$258,7,FALSE)),"",(VLOOKUP($E228,'D-1 Off-Site Habitat Baseline'!$D$1:$O$258,7,FALSE))))</f>
        <v/>
      </c>
      <c r="J228" s="295" t="str">
        <f>IF(E228="","",IF(ISNA(VLOOKUP($E228,'D-1 Off-Site Habitat Baseline'!$D$1:$O$258,8,FALSE)),"",(VLOOKUP($E228,'D-1 Off-Site Habitat Baseline'!$D$1:$O$258,8,FALSE))))</f>
        <v/>
      </c>
      <c r="K228" s="295" t="str">
        <f>IF(E228="","",IF(ISNA(VLOOKUP($E228,'D-1 Off-Site Habitat Baseline'!$D$1:$O$258,9,FALSE)),"",(VLOOKUP($E228,'D-1 Off-Site Habitat Baseline'!$D$1:$O$258,9,FALSE))))</f>
        <v/>
      </c>
      <c r="L228" s="295" t="str">
        <f>IF(E228="","",IF(ISNA(VLOOKUP($E228,'D-1 Off-Site Habitat Baseline'!$D$1:$O$258,11,FALSE)),"",(VLOOKUP($E228,'D-1 Off-Site Habitat Baseline'!$D$1:$O$258,11,FALSE))))</f>
        <v/>
      </c>
      <c r="M228" s="295" t="str">
        <f>IF(E228="","",IF(ISNA(VLOOKUP($E228,'D-1 Off-Site Habitat Baseline'!$D$1:$O$258,12,FALSE)),"",(VLOOKUP($E228,'D-1 Off-Site Habitat Baseline'!$D$1:$O$258,12,FALSE))))</f>
        <v/>
      </c>
      <c r="N228" s="295" t="str">
        <f>IF(E228="","",IF(ISNA(VLOOKUP($E228,'D-1 Off-Site Habitat Baseline'!$D$1:$AA$258,17,FALSE)),"",(VLOOKUP($E228,'D-1 Off-Site Habitat Baseline'!$D$1:$AA$258,17,FALSE))))</f>
        <v/>
      </c>
      <c r="O228" s="299" t="str">
        <f>IF(E228="","",IF(ISNA(VLOOKUP($E228,'D-1 Off-Site Habitat Baseline'!$D$1:$AA$258,13,FALSE)),"",(VLOOKUP($E228,'D-1 Off-Site Habitat Baseline'!$D$1:$AA$258,13,FALSE))))</f>
        <v/>
      </c>
      <c r="P228" s="148" t="str">
        <f>IFERROR(INDEX('G-1 All Habitats'!$AG$49:$AG$63,MATCH(Q228,'G-1 All Habitats'!$AF$27:$AF$41,0)),"")</f>
        <v/>
      </c>
      <c r="Q228" s="149" t="str">
        <f t="shared" si="35"/>
        <v/>
      </c>
      <c r="R228" s="150"/>
      <c r="S228" s="151" t="str">
        <f>IFERROR(INDEX('G-1 All Habitats'!$B$3:$B$135,MATCH(R228,'G-1 All Habitats'!$A$3:$A$135,0)),"")</f>
        <v/>
      </c>
      <c r="T228" s="283" t="str">
        <f t="shared" si="36"/>
        <v/>
      </c>
      <c r="U228" s="276" t="str">
        <f t="shared" si="37"/>
        <v/>
      </c>
      <c r="V228" s="298" t="str">
        <f t="shared" si="33"/>
        <v/>
      </c>
      <c r="W228" s="295" t="str">
        <f>IF(S228="","",VLOOKUP(S228,'G-1 All Habitats'!$B$2:$M$135,10,FALSE))</f>
        <v/>
      </c>
      <c r="X228" s="295" t="str">
        <f>IFERROR(VLOOKUP(W228,'G-1 All Habitats'!$V$3:$W$7,2,FALSE),"")</f>
        <v/>
      </c>
      <c r="Y228" s="138"/>
      <c r="Z228" s="299" t="str">
        <f>IFERROR(INDEX('G-8 Condition Look up'!$A$3:$H$135,MATCH(S228,'G-8 Condition Look up'!$A$3:$A$135,0),MATCH(Y228,'G-8 Condition Look up'!$A$3:$H$3,0)),"")</f>
        <v/>
      </c>
      <c r="AA228" s="101"/>
      <c r="AB228" s="314" t="str">
        <f>IF(AA228="","",IF(VLOOKUP(AA228,'G-3 Multipliers'!$L$3:$N$6,2,FALSE)=0,"Spatial Data Missing ⚠",VLOOKUP(AA228,'G-3 Multipliers'!$L$3:$N$6,2,FALSE)))</f>
        <v/>
      </c>
      <c r="AC228" s="299" t="str">
        <f>IF(AA228="","",IF(VLOOKUP(AA228,'G-3 Multipliers'!$L$3:$N$6,3,FALSE)=0,"Spatial Data Missing ⚠",VLOOKUP(AA228,'G-3 Multipliers'!$L$3:$N$6,3,FALSE)))</f>
        <v/>
      </c>
      <c r="AD228" s="311" t="str">
        <f t="shared" si="34"/>
        <v/>
      </c>
      <c r="AE228" s="138"/>
      <c r="AF228" s="138"/>
      <c r="AG228" s="295" t="str">
        <f t="shared" si="38"/>
        <v/>
      </c>
      <c r="AH228" s="296" t="str">
        <f t="shared" si="39"/>
        <v/>
      </c>
      <c r="AI228" s="300" t="str">
        <f>IF(AH228="Check Data ⚠","Check Data ⚠",IFERROR(VLOOKUP(AH228,'G-4 Temporal multipliers'!$A$4:$C$36,3,FALSE),""))</f>
        <v/>
      </c>
      <c r="AJ228" s="311" t="str">
        <f>IF(S228="","",VLOOKUP(S228,'G-3 Multipliers'!$A$2:$E$134,4,FALSE))</f>
        <v/>
      </c>
      <c r="AK228" s="295" t="str">
        <f t="shared" si="40"/>
        <v/>
      </c>
      <c r="AL228" s="295" t="str">
        <f t="shared" si="41"/>
        <v/>
      </c>
      <c r="AM228" s="299" t="str">
        <f>IFERROR(IF(F228="","",IF(AH228="Check Data ⚠","Check Data ⚠",VLOOKUP(AL228,'G-3 Multipliers'!$P$2:$Q$6,2,FALSE))),"")</f>
        <v/>
      </c>
      <c r="AN228" s="712" t="str">
        <f>IF(E228="","",IF(ISNA(VLOOKUP($E228,'D-1 Off-Site Habitat Baseline'!$D$1:$Z$258,15,FALSE)),"",(VLOOKUP($E228,'D-1 Off-Site Habitat Baseline'!$D$1:$Z$258,15,FALSE))))</f>
        <v/>
      </c>
      <c r="AO228" s="329" t="str">
        <f>IF(AN228="","",IF(VLOOKUP(AN228,'G-3 Multipliers'!$S$3:$T$10,2,FALSE)=0,"Spatial Data Missing ⚠",VLOOKUP(AN228,'G-3 Multipliers'!$S$3:$T$10,2,FALSE)))</f>
        <v/>
      </c>
      <c r="AP228" s="289" t="str">
        <f t="shared" si="42"/>
        <v/>
      </c>
      <c r="AQ228" s="289" t="str">
        <f t="shared" si="43"/>
        <v/>
      </c>
      <c r="AR228" s="105"/>
      <c r="AS228" s="138"/>
      <c r="AT228" s="104"/>
      <c r="AU228" s="104"/>
      <c r="AY228" s="30" t="str">
        <f>IF(E228="","",IF(ISNA(VLOOKUP($E228,'D-1 Off-Site Habitat Baseline'!$D$1:$AV$258,4,FALSE)),"",(VLOOKUP($E228,'D-1 Off-Site Habitat Baseline'!$D$1:$AV$258,4,FALSE))))</f>
        <v/>
      </c>
    </row>
    <row r="229" spans="1:51" ht="14">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319" t="str">
        <f>'D-1 Off-Site Habitat Baseline'!AP228</f>
        <v/>
      </c>
      <c r="F229" s="283" t="str">
        <f>IF(E229="","",IF(ISNA(VLOOKUP($E229,'D-1 Off-Site Habitat Baseline'!$D$1:$ZZ$258,45,FALSE)),"",(VLOOKUP($E229,'D-1 Off-Site Habitat Baseline'!$D$1:$ZZ$258,45,FALSE))))</f>
        <v/>
      </c>
      <c r="G229" s="295" t="str">
        <f>IF(E229="","",IF(ISNA(VLOOKUP($E229,'D-1 Off-Site Habitat Baseline'!$D$1:$O$258,5,FALSE)),"",(VLOOKUP($E229,'D-1 Off-Site Habitat Baseline'!$D$1:$O$258,5,FALSE))))</f>
        <v/>
      </c>
      <c r="H229" s="295" t="str">
        <f>IF(E229="","",IF(ISNA(VLOOKUP($E229,'D-1 Off-Site Habitat Baseline'!$D$1:$O$258,6,FALSE)),"",(VLOOKUP($E229,'D-1 Off-Site Habitat Baseline'!$D$1:$O$258,6,FALSE))))</f>
        <v/>
      </c>
      <c r="I229" s="295" t="str">
        <f>IF(E229="","",IF(ISNA(VLOOKUP($E229,'D-1 Off-Site Habitat Baseline'!$D$1:$O$258,7,FALSE)),"",(VLOOKUP($E229,'D-1 Off-Site Habitat Baseline'!$D$1:$O$258,7,FALSE))))</f>
        <v/>
      </c>
      <c r="J229" s="295" t="str">
        <f>IF(E229="","",IF(ISNA(VLOOKUP($E229,'D-1 Off-Site Habitat Baseline'!$D$1:$O$258,8,FALSE)),"",(VLOOKUP($E229,'D-1 Off-Site Habitat Baseline'!$D$1:$O$258,8,FALSE))))</f>
        <v/>
      </c>
      <c r="K229" s="295" t="str">
        <f>IF(E229="","",IF(ISNA(VLOOKUP($E229,'D-1 Off-Site Habitat Baseline'!$D$1:$O$258,9,FALSE)),"",(VLOOKUP($E229,'D-1 Off-Site Habitat Baseline'!$D$1:$O$258,9,FALSE))))</f>
        <v/>
      </c>
      <c r="L229" s="295" t="str">
        <f>IF(E229="","",IF(ISNA(VLOOKUP($E229,'D-1 Off-Site Habitat Baseline'!$D$1:$O$258,11,FALSE)),"",(VLOOKUP($E229,'D-1 Off-Site Habitat Baseline'!$D$1:$O$258,11,FALSE))))</f>
        <v/>
      </c>
      <c r="M229" s="295" t="str">
        <f>IF(E229="","",IF(ISNA(VLOOKUP($E229,'D-1 Off-Site Habitat Baseline'!$D$1:$O$258,12,FALSE)),"",(VLOOKUP($E229,'D-1 Off-Site Habitat Baseline'!$D$1:$O$258,12,FALSE))))</f>
        <v/>
      </c>
      <c r="N229" s="295" t="str">
        <f>IF(E229="","",IF(ISNA(VLOOKUP($E229,'D-1 Off-Site Habitat Baseline'!$D$1:$AA$258,17,FALSE)),"",(VLOOKUP($E229,'D-1 Off-Site Habitat Baseline'!$D$1:$AA$258,17,FALSE))))</f>
        <v/>
      </c>
      <c r="O229" s="299" t="str">
        <f>IF(E229="","",IF(ISNA(VLOOKUP($E229,'D-1 Off-Site Habitat Baseline'!$D$1:$AA$258,13,FALSE)),"",(VLOOKUP($E229,'D-1 Off-Site Habitat Baseline'!$D$1:$AA$258,13,FALSE))))</f>
        <v/>
      </c>
      <c r="P229" s="148" t="str">
        <f>IFERROR(INDEX('G-1 All Habitats'!$AG$49:$AG$63,MATCH(Q229,'G-1 All Habitats'!$AF$27:$AF$41,0)),"")</f>
        <v/>
      </c>
      <c r="Q229" s="149" t="str">
        <f t="shared" si="35"/>
        <v/>
      </c>
      <c r="R229" s="150"/>
      <c r="S229" s="151" t="str">
        <f>IFERROR(INDEX('G-1 All Habitats'!$B$3:$B$135,MATCH(R229,'G-1 All Habitats'!$A$3:$A$135,0)),"")</f>
        <v/>
      </c>
      <c r="T229" s="283" t="str">
        <f t="shared" si="36"/>
        <v/>
      </c>
      <c r="U229" s="276" t="str">
        <f t="shared" si="37"/>
        <v/>
      </c>
      <c r="V229" s="298" t="str">
        <f t="shared" si="33"/>
        <v/>
      </c>
      <c r="W229" s="295" t="str">
        <f>IF(S229="","",VLOOKUP(S229,'G-1 All Habitats'!$B$2:$M$135,10,FALSE))</f>
        <v/>
      </c>
      <c r="X229" s="295" t="str">
        <f>IFERROR(VLOOKUP(W229,'G-1 All Habitats'!$V$3:$W$7,2,FALSE),"")</f>
        <v/>
      </c>
      <c r="Y229" s="138"/>
      <c r="Z229" s="299" t="str">
        <f>IFERROR(INDEX('G-8 Condition Look up'!$A$3:$H$135,MATCH(S229,'G-8 Condition Look up'!$A$3:$A$135,0),MATCH(Y229,'G-8 Condition Look up'!$A$3:$H$3,0)),"")</f>
        <v/>
      </c>
      <c r="AA229" s="101"/>
      <c r="AB229" s="314" t="str">
        <f>IF(AA229="","",IF(VLOOKUP(AA229,'G-3 Multipliers'!$L$3:$N$6,2,FALSE)=0,"Spatial Data Missing ⚠",VLOOKUP(AA229,'G-3 Multipliers'!$L$3:$N$6,2,FALSE)))</f>
        <v/>
      </c>
      <c r="AC229" s="299" t="str">
        <f>IF(AA229="","",IF(VLOOKUP(AA229,'G-3 Multipliers'!$L$3:$N$6,3,FALSE)=0,"Spatial Data Missing ⚠",VLOOKUP(AA229,'G-3 Multipliers'!$L$3:$N$6,3,FALSE)))</f>
        <v/>
      </c>
      <c r="AD229" s="311" t="str">
        <f t="shared" si="34"/>
        <v/>
      </c>
      <c r="AE229" s="138"/>
      <c r="AF229" s="138"/>
      <c r="AG229" s="295" t="str">
        <f t="shared" si="38"/>
        <v/>
      </c>
      <c r="AH229" s="296" t="str">
        <f t="shared" si="39"/>
        <v/>
      </c>
      <c r="AI229" s="300" t="str">
        <f>IF(AH229="Check Data ⚠","Check Data ⚠",IFERROR(VLOOKUP(AH229,'G-4 Temporal multipliers'!$A$4:$C$36,3,FALSE),""))</f>
        <v/>
      </c>
      <c r="AJ229" s="311" t="str">
        <f>IF(S229="","",VLOOKUP(S229,'G-3 Multipliers'!$A$2:$E$134,4,FALSE))</f>
        <v/>
      </c>
      <c r="AK229" s="295" t="str">
        <f t="shared" si="40"/>
        <v/>
      </c>
      <c r="AL229" s="295" t="str">
        <f t="shared" si="41"/>
        <v/>
      </c>
      <c r="AM229" s="299" t="str">
        <f>IFERROR(IF(F229="","",IF(AH229="Check Data ⚠","Check Data ⚠",VLOOKUP(AL229,'G-3 Multipliers'!$P$2:$Q$6,2,FALSE))),"")</f>
        <v/>
      </c>
      <c r="AN229" s="712" t="str">
        <f>IF(E229="","",IF(ISNA(VLOOKUP($E229,'D-1 Off-Site Habitat Baseline'!$D$1:$Z$258,15,FALSE)),"",(VLOOKUP($E229,'D-1 Off-Site Habitat Baseline'!$D$1:$Z$258,15,FALSE))))</f>
        <v/>
      </c>
      <c r="AO229" s="329" t="str">
        <f>IF(AN229="","",IF(VLOOKUP(AN229,'G-3 Multipliers'!$S$3:$T$10,2,FALSE)=0,"Spatial Data Missing ⚠",VLOOKUP(AN229,'G-3 Multipliers'!$S$3:$T$10,2,FALSE)))</f>
        <v/>
      </c>
      <c r="AP229" s="289" t="str">
        <f t="shared" si="42"/>
        <v/>
      </c>
      <c r="AQ229" s="289" t="str">
        <f t="shared" si="43"/>
        <v/>
      </c>
      <c r="AR229" s="105"/>
      <c r="AS229" s="138"/>
      <c r="AT229" s="104"/>
      <c r="AU229" s="104"/>
      <c r="AY229" s="30" t="str">
        <f>IF(E229="","",IF(ISNA(VLOOKUP($E229,'D-1 Off-Site Habitat Baseline'!$D$1:$AV$258,4,FALSE)),"",(VLOOKUP($E229,'D-1 Off-Site Habitat Baseline'!$D$1:$AV$258,4,FALSE))))</f>
        <v/>
      </c>
    </row>
    <row r="230" spans="1:51" ht="14">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319" t="str">
        <f>'D-1 Off-Site Habitat Baseline'!AP229</f>
        <v/>
      </c>
      <c r="F230" s="283" t="str">
        <f>IF(E230="","",IF(ISNA(VLOOKUP($E230,'D-1 Off-Site Habitat Baseline'!$D$1:$ZZ$258,45,FALSE)),"",(VLOOKUP($E230,'D-1 Off-Site Habitat Baseline'!$D$1:$ZZ$258,45,FALSE))))</f>
        <v/>
      </c>
      <c r="G230" s="295" t="str">
        <f>IF(E230="","",IF(ISNA(VLOOKUP($E230,'D-1 Off-Site Habitat Baseline'!$D$1:$O$258,5,FALSE)),"",(VLOOKUP($E230,'D-1 Off-Site Habitat Baseline'!$D$1:$O$258,5,FALSE))))</f>
        <v/>
      </c>
      <c r="H230" s="295" t="str">
        <f>IF(E230="","",IF(ISNA(VLOOKUP($E230,'D-1 Off-Site Habitat Baseline'!$D$1:$O$258,6,FALSE)),"",(VLOOKUP($E230,'D-1 Off-Site Habitat Baseline'!$D$1:$O$258,6,FALSE))))</f>
        <v/>
      </c>
      <c r="I230" s="295" t="str">
        <f>IF(E230="","",IF(ISNA(VLOOKUP($E230,'D-1 Off-Site Habitat Baseline'!$D$1:$O$258,7,FALSE)),"",(VLOOKUP($E230,'D-1 Off-Site Habitat Baseline'!$D$1:$O$258,7,FALSE))))</f>
        <v/>
      </c>
      <c r="J230" s="295" t="str">
        <f>IF(E230="","",IF(ISNA(VLOOKUP($E230,'D-1 Off-Site Habitat Baseline'!$D$1:$O$258,8,FALSE)),"",(VLOOKUP($E230,'D-1 Off-Site Habitat Baseline'!$D$1:$O$258,8,FALSE))))</f>
        <v/>
      </c>
      <c r="K230" s="295" t="str">
        <f>IF(E230="","",IF(ISNA(VLOOKUP($E230,'D-1 Off-Site Habitat Baseline'!$D$1:$O$258,9,FALSE)),"",(VLOOKUP($E230,'D-1 Off-Site Habitat Baseline'!$D$1:$O$258,9,FALSE))))</f>
        <v/>
      </c>
      <c r="L230" s="295" t="str">
        <f>IF(E230="","",IF(ISNA(VLOOKUP($E230,'D-1 Off-Site Habitat Baseline'!$D$1:$O$258,11,FALSE)),"",(VLOOKUP($E230,'D-1 Off-Site Habitat Baseline'!$D$1:$O$258,11,FALSE))))</f>
        <v/>
      </c>
      <c r="M230" s="295" t="str">
        <f>IF(E230="","",IF(ISNA(VLOOKUP($E230,'D-1 Off-Site Habitat Baseline'!$D$1:$O$258,12,FALSE)),"",(VLOOKUP($E230,'D-1 Off-Site Habitat Baseline'!$D$1:$O$258,12,FALSE))))</f>
        <v/>
      </c>
      <c r="N230" s="295" t="str">
        <f>IF(E230="","",IF(ISNA(VLOOKUP($E230,'D-1 Off-Site Habitat Baseline'!$D$1:$AA$258,17,FALSE)),"",(VLOOKUP($E230,'D-1 Off-Site Habitat Baseline'!$D$1:$AA$258,17,FALSE))))</f>
        <v/>
      </c>
      <c r="O230" s="299" t="str">
        <f>IF(E230="","",IF(ISNA(VLOOKUP($E230,'D-1 Off-Site Habitat Baseline'!$D$1:$AA$258,13,FALSE)),"",(VLOOKUP($E230,'D-1 Off-Site Habitat Baseline'!$D$1:$AA$258,13,FALSE))))</f>
        <v/>
      </c>
      <c r="P230" s="148" t="str">
        <f>IFERROR(INDEX('G-1 All Habitats'!$AG$49:$AG$63,MATCH(Q230,'G-1 All Habitats'!$AF$27:$AF$41,0)),"")</f>
        <v/>
      </c>
      <c r="Q230" s="149" t="str">
        <f t="shared" si="35"/>
        <v/>
      </c>
      <c r="R230" s="150"/>
      <c r="S230" s="151" t="str">
        <f>IFERROR(INDEX('G-1 All Habitats'!$B$3:$B$135,MATCH(R230,'G-1 All Habitats'!$A$3:$A$135,0)),"")</f>
        <v/>
      </c>
      <c r="T230" s="283" t="str">
        <f t="shared" si="36"/>
        <v/>
      </c>
      <c r="U230" s="276" t="str">
        <f t="shared" si="37"/>
        <v/>
      </c>
      <c r="V230" s="298" t="str">
        <f t="shared" si="33"/>
        <v/>
      </c>
      <c r="W230" s="295" t="str">
        <f>IF(S230="","",VLOOKUP(S230,'G-1 All Habitats'!$B$2:$M$135,10,FALSE))</f>
        <v/>
      </c>
      <c r="X230" s="295" t="str">
        <f>IFERROR(VLOOKUP(W230,'G-1 All Habitats'!$V$3:$W$7,2,FALSE),"")</f>
        <v/>
      </c>
      <c r="Y230" s="138"/>
      <c r="Z230" s="299" t="str">
        <f>IFERROR(INDEX('G-8 Condition Look up'!$A$3:$H$135,MATCH(S230,'G-8 Condition Look up'!$A$3:$A$135,0),MATCH(Y230,'G-8 Condition Look up'!$A$3:$H$3,0)),"")</f>
        <v/>
      </c>
      <c r="AA230" s="101"/>
      <c r="AB230" s="314" t="str">
        <f>IF(AA230="","",IF(VLOOKUP(AA230,'G-3 Multipliers'!$L$3:$N$6,2,FALSE)=0,"Spatial Data Missing ⚠",VLOOKUP(AA230,'G-3 Multipliers'!$L$3:$N$6,2,FALSE)))</f>
        <v/>
      </c>
      <c r="AC230" s="299" t="str">
        <f>IF(AA230="","",IF(VLOOKUP(AA230,'G-3 Multipliers'!$L$3:$N$6,3,FALSE)=0,"Spatial Data Missing ⚠",VLOOKUP(AA230,'G-3 Multipliers'!$L$3:$N$6,3,FALSE)))</f>
        <v/>
      </c>
      <c r="AD230" s="311" t="str">
        <f t="shared" si="34"/>
        <v/>
      </c>
      <c r="AE230" s="138"/>
      <c r="AF230" s="138"/>
      <c r="AG230" s="295" t="str">
        <f t="shared" si="38"/>
        <v/>
      </c>
      <c r="AH230" s="296" t="str">
        <f t="shared" si="39"/>
        <v/>
      </c>
      <c r="AI230" s="300" t="str">
        <f>IF(AH230="Check Data ⚠","Check Data ⚠",IFERROR(VLOOKUP(AH230,'G-4 Temporal multipliers'!$A$4:$C$36,3,FALSE),""))</f>
        <v/>
      </c>
      <c r="AJ230" s="311" t="str">
        <f>IF(S230="","",VLOOKUP(S230,'G-3 Multipliers'!$A$2:$E$134,4,FALSE))</f>
        <v/>
      </c>
      <c r="AK230" s="295" t="str">
        <f t="shared" si="40"/>
        <v/>
      </c>
      <c r="AL230" s="295" t="str">
        <f t="shared" si="41"/>
        <v/>
      </c>
      <c r="AM230" s="299" t="str">
        <f>IFERROR(IF(F230="","",IF(AH230="Check Data ⚠","Check Data ⚠",VLOOKUP(AL230,'G-3 Multipliers'!$P$2:$Q$6,2,FALSE))),"")</f>
        <v/>
      </c>
      <c r="AN230" s="712" t="str">
        <f>IF(E230="","",IF(ISNA(VLOOKUP($E230,'D-1 Off-Site Habitat Baseline'!$D$1:$Z$258,15,FALSE)),"",(VLOOKUP($E230,'D-1 Off-Site Habitat Baseline'!$D$1:$Z$258,15,FALSE))))</f>
        <v/>
      </c>
      <c r="AO230" s="329" t="str">
        <f>IF(AN230="","",IF(VLOOKUP(AN230,'G-3 Multipliers'!$S$3:$T$10,2,FALSE)=0,"Spatial Data Missing ⚠",VLOOKUP(AN230,'G-3 Multipliers'!$S$3:$T$10,2,FALSE)))</f>
        <v/>
      </c>
      <c r="AP230" s="289" t="str">
        <f t="shared" si="42"/>
        <v/>
      </c>
      <c r="AQ230" s="289" t="str">
        <f t="shared" si="43"/>
        <v/>
      </c>
      <c r="AR230" s="105"/>
      <c r="AS230" s="138"/>
      <c r="AT230" s="104"/>
      <c r="AU230" s="104"/>
      <c r="AY230" s="30" t="str">
        <f>IF(E230="","",IF(ISNA(VLOOKUP($E230,'D-1 Off-Site Habitat Baseline'!$D$1:$AV$258,4,FALSE)),"",(VLOOKUP($E230,'D-1 Off-Site Habitat Baseline'!$D$1:$AV$258,4,FALSE))))</f>
        <v/>
      </c>
    </row>
    <row r="231" spans="1:51" ht="14">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319" t="str">
        <f>'D-1 Off-Site Habitat Baseline'!AP230</f>
        <v/>
      </c>
      <c r="F231" s="283" t="str">
        <f>IF(E231="","",IF(ISNA(VLOOKUP($E231,'D-1 Off-Site Habitat Baseline'!$D$1:$ZZ$258,45,FALSE)),"",(VLOOKUP($E231,'D-1 Off-Site Habitat Baseline'!$D$1:$ZZ$258,45,FALSE))))</f>
        <v/>
      </c>
      <c r="G231" s="295" t="str">
        <f>IF(E231="","",IF(ISNA(VLOOKUP($E231,'D-1 Off-Site Habitat Baseline'!$D$1:$O$258,5,FALSE)),"",(VLOOKUP($E231,'D-1 Off-Site Habitat Baseline'!$D$1:$O$258,5,FALSE))))</f>
        <v/>
      </c>
      <c r="H231" s="295" t="str">
        <f>IF(E231="","",IF(ISNA(VLOOKUP($E231,'D-1 Off-Site Habitat Baseline'!$D$1:$O$258,6,FALSE)),"",(VLOOKUP($E231,'D-1 Off-Site Habitat Baseline'!$D$1:$O$258,6,FALSE))))</f>
        <v/>
      </c>
      <c r="I231" s="295" t="str">
        <f>IF(E231="","",IF(ISNA(VLOOKUP($E231,'D-1 Off-Site Habitat Baseline'!$D$1:$O$258,7,FALSE)),"",(VLOOKUP($E231,'D-1 Off-Site Habitat Baseline'!$D$1:$O$258,7,FALSE))))</f>
        <v/>
      </c>
      <c r="J231" s="295" t="str">
        <f>IF(E231="","",IF(ISNA(VLOOKUP($E231,'D-1 Off-Site Habitat Baseline'!$D$1:$O$258,8,FALSE)),"",(VLOOKUP($E231,'D-1 Off-Site Habitat Baseline'!$D$1:$O$258,8,FALSE))))</f>
        <v/>
      </c>
      <c r="K231" s="295" t="str">
        <f>IF(E231="","",IF(ISNA(VLOOKUP($E231,'D-1 Off-Site Habitat Baseline'!$D$1:$O$258,9,FALSE)),"",(VLOOKUP($E231,'D-1 Off-Site Habitat Baseline'!$D$1:$O$258,9,FALSE))))</f>
        <v/>
      </c>
      <c r="L231" s="295" t="str">
        <f>IF(E231="","",IF(ISNA(VLOOKUP($E231,'D-1 Off-Site Habitat Baseline'!$D$1:$O$258,11,FALSE)),"",(VLOOKUP($E231,'D-1 Off-Site Habitat Baseline'!$D$1:$O$258,11,FALSE))))</f>
        <v/>
      </c>
      <c r="M231" s="295" t="str">
        <f>IF(E231="","",IF(ISNA(VLOOKUP($E231,'D-1 Off-Site Habitat Baseline'!$D$1:$O$258,12,FALSE)),"",(VLOOKUP($E231,'D-1 Off-Site Habitat Baseline'!$D$1:$O$258,12,FALSE))))</f>
        <v/>
      </c>
      <c r="N231" s="295" t="str">
        <f>IF(E231="","",IF(ISNA(VLOOKUP($E231,'D-1 Off-Site Habitat Baseline'!$D$1:$AA$258,17,FALSE)),"",(VLOOKUP($E231,'D-1 Off-Site Habitat Baseline'!$D$1:$AA$258,17,FALSE))))</f>
        <v/>
      </c>
      <c r="O231" s="299" t="str">
        <f>IF(E231="","",IF(ISNA(VLOOKUP($E231,'D-1 Off-Site Habitat Baseline'!$D$1:$AA$258,13,FALSE)),"",(VLOOKUP($E231,'D-1 Off-Site Habitat Baseline'!$D$1:$AA$258,13,FALSE))))</f>
        <v/>
      </c>
      <c r="P231" s="148" t="str">
        <f>IFERROR(INDEX('G-1 All Habitats'!$AG$49:$AG$63,MATCH(Q231,'G-1 All Habitats'!$AF$27:$AF$41,0)),"")</f>
        <v/>
      </c>
      <c r="Q231" s="149" t="str">
        <f t="shared" si="35"/>
        <v/>
      </c>
      <c r="R231" s="150"/>
      <c r="S231" s="151" t="str">
        <f>IFERROR(INDEX('G-1 All Habitats'!$B$3:$B$135,MATCH(R231,'G-1 All Habitats'!$A$3:$A$135,0)),"")</f>
        <v/>
      </c>
      <c r="T231" s="283" t="str">
        <f t="shared" si="36"/>
        <v/>
      </c>
      <c r="U231" s="276" t="str">
        <f t="shared" si="37"/>
        <v/>
      </c>
      <c r="V231" s="298" t="str">
        <f t="shared" si="33"/>
        <v/>
      </c>
      <c r="W231" s="295" t="str">
        <f>IF(S231="","",VLOOKUP(S231,'G-1 All Habitats'!$B$2:$M$135,10,FALSE))</f>
        <v/>
      </c>
      <c r="X231" s="295" t="str">
        <f>IFERROR(VLOOKUP(W231,'G-1 All Habitats'!$V$3:$W$7,2,FALSE),"")</f>
        <v/>
      </c>
      <c r="Y231" s="138"/>
      <c r="Z231" s="299" t="str">
        <f>IFERROR(INDEX('G-8 Condition Look up'!$A$3:$H$135,MATCH(S231,'G-8 Condition Look up'!$A$3:$A$135,0),MATCH(Y231,'G-8 Condition Look up'!$A$3:$H$3,0)),"")</f>
        <v/>
      </c>
      <c r="AA231" s="101"/>
      <c r="AB231" s="314" t="str">
        <f>IF(AA231="","",IF(VLOOKUP(AA231,'G-3 Multipliers'!$L$3:$N$6,2,FALSE)=0,"Spatial Data Missing ⚠",VLOOKUP(AA231,'G-3 Multipliers'!$L$3:$N$6,2,FALSE)))</f>
        <v/>
      </c>
      <c r="AC231" s="299" t="str">
        <f>IF(AA231="","",IF(VLOOKUP(AA231,'G-3 Multipliers'!$L$3:$N$6,3,FALSE)=0,"Spatial Data Missing ⚠",VLOOKUP(AA231,'G-3 Multipliers'!$L$3:$N$6,3,FALSE)))</f>
        <v/>
      </c>
      <c r="AD231" s="311" t="str">
        <f t="shared" si="34"/>
        <v/>
      </c>
      <c r="AE231" s="138"/>
      <c r="AF231" s="138"/>
      <c r="AG231" s="295" t="str">
        <f t="shared" si="38"/>
        <v/>
      </c>
      <c r="AH231" s="296" t="str">
        <f t="shared" si="39"/>
        <v/>
      </c>
      <c r="AI231" s="300" t="str">
        <f>IF(AH231="Check Data ⚠","Check Data ⚠",IFERROR(VLOOKUP(AH231,'G-4 Temporal multipliers'!$A$4:$C$36,3,FALSE),""))</f>
        <v/>
      </c>
      <c r="AJ231" s="311" t="str">
        <f>IF(S231="","",VLOOKUP(S231,'G-3 Multipliers'!$A$2:$E$134,4,FALSE))</f>
        <v/>
      </c>
      <c r="AK231" s="295" t="str">
        <f t="shared" si="40"/>
        <v/>
      </c>
      <c r="AL231" s="295" t="str">
        <f t="shared" si="41"/>
        <v/>
      </c>
      <c r="AM231" s="299" t="str">
        <f>IFERROR(IF(F231="","",IF(AH231="Check Data ⚠","Check Data ⚠",VLOOKUP(AL231,'G-3 Multipliers'!$P$2:$Q$6,2,FALSE))),"")</f>
        <v/>
      </c>
      <c r="AN231" s="712" t="str">
        <f>IF(E231="","",IF(ISNA(VLOOKUP($E231,'D-1 Off-Site Habitat Baseline'!$D$1:$Z$258,15,FALSE)),"",(VLOOKUP($E231,'D-1 Off-Site Habitat Baseline'!$D$1:$Z$258,15,FALSE))))</f>
        <v/>
      </c>
      <c r="AO231" s="329" t="str">
        <f>IF(AN231="","",IF(VLOOKUP(AN231,'G-3 Multipliers'!$S$3:$T$10,2,FALSE)=0,"Spatial Data Missing ⚠",VLOOKUP(AN231,'G-3 Multipliers'!$S$3:$T$10,2,FALSE)))</f>
        <v/>
      </c>
      <c r="AP231" s="289" t="str">
        <f t="shared" si="42"/>
        <v/>
      </c>
      <c r="AQ231" s="289" t="str">
        <f t="shared" si="43"/>
        <v/>
      </c>
      <c r="AR231" s="105"/>
      <c r="AS231" s="138"/>
      <c r="AT231" s="104"/>
      <c r="AU231" s="104"/>
      <c r="AY231" s="30" t="str">
        <f>IF(E231="","",IF(ISNA(VLOOKUP($E231,'D-1 Off-Site Habitat Baseline'!$D$1:$AV$258,4,FALSE)),"",(VLOOKUP($E231,'D-1 Off-Site Habitat Baseline'!$D$1:$AV$258,4,FALSE))))</f>
        <v/>
      </c>
    </row>
    <row r="232" spans="1:51" ht="14">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319" t="str">
        <f>'D-1 Off-Site Habitat Baseline'!AP231</f>
        <v/>
      </c>
      <c r="F232" s="283" t="str">
        <f>IF(E232="","",IF(ISNA(VLOOKUP($E232,'D-1 Off-Site Habitat Baseline'!$D$1:$ZZ$258,45,FALSE)),"",(VLOOKUP($E232,'D-1 Off-Site Habitat Baseline'!$D$1:$ZZ$258,45,FALSE))))</f>
        <v/>
      </c>
      <c r="G232" s="295" t="str">
        <f>IF(E232="","",IF(ISNA(VLOOKUP($E232,'D-1 Off-Site Habitat Baseline'!$D$1:$O$258,5,FALSE)),"",(VLOOKUP($E232,'D-1 Off-Site Habitat Baseline'!$D$1:$O$258,5,FALSE))))</f>
        <v/>
      </c>
      <c r="H232" s="295" t="str">
        <f>IF(E232="","",IF(ISNA(VLOOKUP($E232,'D-1 Off-Site Habitat Baseline'!$D$1:$O$258,6,FALSE)),"",(VLOOKUP($E232,'D-1 Off-Site Habitat Baseline'!$D$1:$O$258,6,FALSE))))</f>
        <v/>
      </c>
      <c r="I232" s="295" t="str">
        <f>IF(E232="","",IF(ISNA(VLOOKUP($E232,'D-1 Off-Site Habitat Baseline'!$D$1:$O$258,7,FALSE)),"",(VLOOKUP($E232,'D-1 Off-Site Habitat Baseline'!$D$1:$O$258,7,FALSE))))</f>
        <v/>
      </c>
      <c r="J232" s="295" t="str">
        <f>IF(E232="","",IF(ISNA(VLOOKUP($E232,'D-1 Off-Site Habitat Baseline'!$D$1:$O$258,8,FALSE)),"",(VLOOKUP($E232,'D-1 Off-Site Habitat Baseline'!$D$1:$O$258,8,FALSE))))</f>
        <v/>
      </c>
      <c r="K232" s="295" t="str">
        <f>IF(E232="","",IF(ISNA(VLOOKUP($E232,'D-1 Off-Site Habitat Baseline'!$D$1:$O$258,9,FALSE)),"",(VLOOKUP($E232,'D-1 Off-Site Habitat Baseline'!$D$1:$O$258,9,FALSE))))</f>
        <v/>
      </c>
      <c r="L232" s="295" t="str">
        <f>IF(E232="","",IF(ISNA(VLOOKUP($E232,'D-1 Off-Site Habitat Baseline'!$D$1:$O$258,11,FALSE)),"",(VLOOKUP($E232,'D-1 Off-Site Habitat Baseline'!$D$1:$O$258,11,FALSE))))</f>
        <v/>
      </c>
      <c r="M232" s="295" t="str">
        <f>IF(E232="","",IF(ISNA(VLOOKUP($E232,'D-1 Off-Site Habitat Baseline'!$D$1:$O$258,12,FALSE)),"",(VLOOKUP($E232,'D-1 Off-Site Habitat Baseline'!$D$1:$O$258,12,FALSE))))</f>
        <v/>
      </c>
      <c r="N232" s="295" t="str">
        <f>IF(E232="","",IF(ISNA(VLOOKUP($E232,'D-1 Off-Site Habitat Baseline'!$D$1:$AA$258,17,FALSE)),"",(VLOOKUP($E232,'D-1 Off-Site Habitat Baseline'!$D$1:$AA$258,17,FALSE))))</f>
        <v/>
      </c>
      <c r="O232" s="299" t="str">
        <f>IF(E232="","",IF(ISNA(VLOOKUP($E232,'D-1 Off-Site Habitat Baseline'!$D$1:$AA$258,13,FALSE)),"",(VLOOKUP($E232,'D-1 Off-Site Habitat Baseline'!$D$1:$AA$258,13,FALSE))))</f>
        <v/>
      </c>
      <c r="P232" s="148" t="str">
        <f>IFERROR(INDEX('G-1 All Habitats'!$AG$49:$AG$63,MATCH(Q232,'G-1 All Habitats'!$AF$27:$AF$41,0)),"")</f>
        <v/>
      </c>
      <c r="Q232" s="149" t="str">
        <f t="shared" si="35"/>
        <v/>
      </c>
      <c r="R232" s="150"/>
      <c r="S232" s="151" t="str">
        <f>IFERROR(INDEX('G-1 All Habitats'!$B$3:$B$135,MATCH(R232,'G-1 All Habitats'!$A$3:$A$135,0)),"")</f>
        <v/>
      </c>
      <c r="T232" s="283" t="str">
        <f t="shared" si="36"/>
        <v/>
      </c>
      <c r="U232" s="276" t="str">
        <f t="shared" si="37"/>
        <v/>
      </c>
      <c r="V232" s="298" t="str">
        <f t="shared" si="33"/>
        <v/>
      </c>
      <c r="W232" s="295" t="str">
        <f>IF(S232="","",VLOOKUP(S232,'G-1 All Habitats'!$B$2:$M$135,10,FALSE))</f>
        <v/>
      </c>
      <c r="X232" s="295" t="str">
        <f>IFERROR(VLOOKUP(W232,'G-1 All Habitats'!$V$3:$W$7,2,FALSE),"")</f>
        <v/>
      </c>
      <c r="Y232" s="138"/>
      <c r="Z232" s="299" t="str">
        <f>IFERROR(INDEX('G-8 Condition Look up'!$A$3:$H$135,MATCH(S232,'G-8 Condition Look up'!$A$3:$A$135,0),MATCH(Y232,'G-8 Condition Look up'!$A$3:$H$3,0)),"")</f>
        <v/>
      </c>
      <c r="AA232" s="101"/>
      <c r="AB232" s="314" t="str">
        <f>IF(AA232="","",IF(VLOOKUP(AA232,'G-3 Multipliers'!$L$3:$N$6,2,FALSE)=0,"Spatial Data Missing ⚠",VLOOKUP(AA232,'G-3 Multipliers'!$L$3:$N$6,2,FALSE)))</f>
        <v/>
      </c>
      <c r="AC232" s="299" t="str">
        <f>IF(AA232="","",IF(VLOOKUP(AA232,'G-3 Multipliers'!$L$3:$N$6,3,FALSE)=0,"Spatial Data Missing ⚠",VLOOKUP(AA232,'G-3 Multipliers'!$L$3:$N$6,3,FALSE)))</f>
        <v/>
      </c>
      <c r="AD232" s="311" t="str">
        <f t="shared" si="34"/>
        <v/>
      </c>
      <c r="AE232" s="138"/>
      <c r="AF232" s="138"/>
      <c r="AG232" s="295" t="str">
        <f t="shared" si="38"/>
        <v/>
      </c>
      <c r="AH232" s="296" t="str">
        <f t="shared" si="39"/>
        <v/>
      </c>
      <c r="AI232" s="300" t="str">
        <f>IF(AH232="Check Data ⚠","Check Data ⚠",IFERROR(VLOOKUP(AH232,'G-4 Temporal multipliers'!$A$4:$C$36,3,FALSE),""))</f>
        <v/>
      </c>
      <c r="AJ232" s="311" t="str">
        <f>IF(S232="","",VLOOKUP(S232,'G-3 Multipliers'!$A$2:$E$134,4,FALSE))</f>
        <v/>
      </c>
      <c r="AK232" s="295" t="str">
        <f t="shared" si="40"/>
        <v/>
      </c>
      <c r="AL232" s="295" t="str">
        <f t="shared" si="41"/>
        <v/>
      </c>
      <c r="AM232" s="299" t="str">
        <f>IFERROR(IF(F232="","",IF(AH232="Check Data ⚠","Check Data ⚠",VLOOKUP(AL232,'G-3 Multipliers'!$P$2:$Q$6,2,FALSE))),"")</f>
        <v/>
      </c>
      <c r="AN232" s="712" t="str">
        <f>IF(E232="","",IF(ISNA(VLOOKUP($E232,'D-1 Off-Site Habitat Baseline'!$D$1:$Z$258,15,FALSE)),"",(VLOOKUP($E232,'D-1 Off-Site Habitat Baseline'!$D$1:$Z$258,15,FALSE))))</f>
        <v/>
      </c>
      <c r="AO232" s="329" t="str">
        <f>IF(AN232="","",IF(VLOOKUP(AN232,'G-3 Multipliers'!$S$3:$T$10,2,FALSE)=0,"Spatial Data Missing ⚠",VLOOKUP(AN232,'G-3 Multipliers'!$S$3:$T$10,2,FALSE)))</f>
        <v/>
      </c>
      <c r="AP232" s="289" t="str">
        <f t="shared" si="42"/>
        <v/>
      </c>
      <c r="AQ232" s="289" t="str">
        <f t="shared" si="43"/>
        <v/>
      </c>
      <c r="AR232" s="105"/>
      <c r="AS232" s="138"/>
      <c r="AT232" s="104"/>
      <c r="AU232" s="104"/>
      <c r="AY232" s="30" t="str">
        <f>IF(E232="","",IF(ISNA(VLOOKUP($E232,'D-1 Off-Site Habitat Baseline'!$D$1:$AV$258,4,FALSE)),"",(VLOOKUP($E232,'D-1 Off-Site Habitat Baseline'!$D$1:$AV$258,4,FALSE))))</f>
        <v/>
      </c>
    </row>
    <row r="233" spans="1:51" ht="14">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319" t="str">
        <f>'D-1 Off-Site Habitat Baseline'!AP232</f>
        <v/>
      </c>
      <c r="F233" s="283" t="str">
        <f>IF(E233="","",IF(ISNA(VLOOKUP($E233,'D-1 Off-Site Habitat Baseline'!$D$1:$ZZ$258,45,FALSE)),"",(VLOOKUP($E233,'D-1 Off-Site Habitat Baseline'!$D$1:$ZZ$258,45,FALSE))))</f>
        <v/>
      </c>
      <c r="G233" s="295" t="str">
        <f>IF(E233="","",IF(ISNA(VLOOKUP($E233,'D-1 Off-Site Habitat Baseline'!$D$1:$O$258,5,FALSE)),"",(VLOOKUP($E233,'D-1 Off-Site Habitat Baseline'!$D$1:$O$258,5,FALSE))))</f>
        <v/>
      </c>
      <c r="H233" s="295" t="str">
        <f>IF(E233="","",IF(ISNA(VLOOKUP($E233,'D-1 Off-Site Habitat Baseline'!$D$1:$O$258,6,FALSE)),"",(VLOOKUP($E233,'D-1 Off-Site Habitat Baseline'!$D$1:$O$258,6,FALSE))))</f>
        <v/>
      </c>
      <c r="I233" s="295" t="str">
        <f>IF(E233="","",IF(ISNA(VLOOKUP($E233,'D-1 Off-Site Habitat Baseline'!$D$1:$O$258,7,FALSE)),"",(VLOOKUP($E233,'D-1 Off-Site Habitat Baseline'!$D$1:$O$258,7,FALSE))))</f>
        <v/>
      </c>
      <c r="J233" s="295" t="str">
        <f>IF(E233="","",IF(ISNA(VLOOKUP($E233,'D-1 Off-Site Habitat Baseline'!$D$1:$O$258,8,FALSE)),"",(VLOOKUP($E233,'D-1 Off-Site Habitat Baseline'!$D$1:$O$258,8,FALSE))))</f>
        <v/>
      </c>
      <c r="K233" s="295" t="str">
        <f>IF(E233="","",IF(ISNA(VLOOKUP($E233,'D-1 Off-Site Habitat Baseline'!$D$1:$O$258,9,FALSE)),"",(VLOOKUP($E233,'D-1 Off-Site Habitat Baseline'!$D$1:$O$258,9,FALSE))))</f>
        <v/>
      </c>
      <c r="L233" s="295" t="str">
        <f>IF(E233="","",IF(ISNA(VLOOKUP($E233,'D-1 Off-Site Habitat Baseline'!$D$1:$O$258,11,FALSE)),"",(VLOOKUP($E233,'D-1 Off-Site Habitat Baseline'!$D$1:$O$258,11,FALSE))))</f>
        <v/>
      </c>
      <c r="M233" s="295" t="str">
        <f>IF(E233="","",IF(ISNA(VLOOKUP($E233,'D-1 Off-Site Habitat Baseline'!$D$1:$O$258,12,FALSE)),"",(VLOOKUP($E233,'D-1 Off-Site Habitat Baseline'!$D$1:$O$258,12,FALSE))))</f>
        <v/>
      </c>
      <c r="N233" s="295" t="str">
        <f>IF(E233="","",IF(ISNA(VLOOKUP($E233,'D-1 Off-Site Habitat Baseline'!$D$1:$AA$258,17,FALSE)),"",(VLOOKUP($E233,'D-1 Off-Site Habitat Baseline'!$D$1:$AA$258,17,FALSE))))</f>
        <v/>
      </c>
      <c r="O233" s="299" t="str">
        <f>IF(E233="","",IF(ISNA(VLOOKUP($E233,'D-1 Off-Site Habitat Baseline'!$D$1:$AA$258,13,FALSE)),"",(VLOOKUP($E233,'D-1 Off-Site Habitat Baseline'!$D$1:$AA$258,13,FALSE))))</f>
        <v/>
      </c>
      <c r="P233" s="148" t="str">
        <f>IFERROR(INDEX('G-1 All Habitats'!$AG$49:$AG$63,MATCH(Q233,'G-1 All Habitats'!$AF$27:$AF$41,0)),"")</f>
        <v/>
      </c>
      <c r="Q233" s="149" t="str">
        <f t="shared" si="35"/>
        <v/>
      </c>
      <c r="R233" s="150"/>
      <c r="S233" s="151" t="str">
        <f>IFERROR(INDEX('G-1 All Habitats'!$B$3:$B$135,MATCH(R233,'G-1 All Habitats'!$A$3:$A$135,0)),"")</f>
        <v/>
      </c>
      <c r="T233" s="283" t="str">
        <f t="shared" si="36"/>
        <v/>
      </c>
      <c r="U233" s="276" t="str">
        <f t="shared" si="37"/>
        <v/>
      </c>
      <c r="V233" s="298" t="str">
        <f t="shared" si="33"/>
        <v/>
      </c>
      <c r="W233" s="295" t="str">
        <f>IF(S233="","",VLOOKUP(S233,'G-1 All Habitats'!$B$2:$M$135,10,FALSE))</f>
        <v/>
      </c>
      <c r="X233" s="295" t="str">
        <f>IFERROR(VLOOKUP(W233,'G-1 All Habitats'!$V$3:$W$7,2,FALSE),"")</f>
        <v/>
      </c>
      <c r="Y233" s="138"/>
      <c r="Z233" s="299" t="str">
        <f>IFERROR(INDEX('G-8 Condition Look up'!$A$3:$H$135,MATCH(S233,'G-8 Condition Look up'!$A$3:$A$135,0),MATCH(Y233,'G-8 Condition Look up'!$A$3:$H$3,0)),"")</f>
        <v/>
      </c>
      <c r="AA233" s="101"/>
      <c r="AB233" s="314" t="str">
        <f>IF(AA233="","",IF(VLOOKUP(AA233,'G-3 Multipliers'!$L$3:$N$6,2,FALSE)=0,"Spatial Data Missing ⚠",VLOOKUP(AA233,'G-3 Multipliers'!$L$3:$N$6,2,FALSE)))</f>
        <v/>
      </c>
      <c r="AC233" s="299" t="str">
        <f>IF(AA233="","",IF(VLOOKUP(AA233,'G-3 Multipliers'!$L$3:$N$6,3,FALSE)=0,"Spatial Data Missing ⚠",VLOOKUP(AA233,'G-3 Multipliers'!$L$3:$N$6,3,FALSE)))</f>
        <v/>
      </c>
      <c r="AD233" s="311" t="str">
        <f t="shared" si="34"/>
        <v/>
      </c>
      <c r="AE233" s="138"/>
      <c r="AF233" s="138"/>
      <c r="AG233" s="295" t="str">
        <f t="shared" si="38"/>
        <v/>
      </c>
      <c r="AH233" s="296" t="str">
        <f t="shared" si="39"/>
        <v/>
      </c>
      <c r="AI233" s="300" t="str">
        <f>IF(AH233="Check Data ⚠","Check Data ⚠",IFERROR(VLOOKUP(AH233,'G-4 Temporal multipliers'!$A$4:$C$36,3,FALSE),""))</f>
        <v/>
      </c>
      <c r="AJ233" s="311" t="str">
        <f>IF(S233="","",VLOOKUP(S233,'G-3 Multipliers'!$A$2:$E$134,4,FALSE))</f>
        <v/>
      </c>
      <c r="AK233" s="295" t="str">
        <f t="shared" si="40"/>
        <v/>
      </c>
      <c r="AL233" s="295" t="str">
        <f t="shared" si="41"/>
        <v/>
      </c>
      <c r="AM233" s="299" t="str">
        <f>IFERROR(IF(F233="","",IF(AH233="Check Data ⚠","Check Data ⚠",VLOOKUP(AL233,'G-3 Multipliers'!$P$2:$Q$6,2,FALSE))),"")</f>
        <v/>
      </c>
      <c r="AN233" s="712" t="str">
        <f>IF(E233="","",IF(ISNA(VLOOKUP($E233,'D-1 Off-Site Habitat Baseline'!$D$1:$Z$258,15,FALSE)),"",(VLOOKUP($E233,'D-1 Off-Site Habitat Baseline'!$D$1:$Z$258,15,FALSE))))</f>
        <v/>
      </c>
      <c r="AO233" s="329" t="str">
        <f>IF(AN233="","",IF(VLOOKUP(AN233,'G-3 Multipliers'!$S$3:$T$10,2,FALSE)=0,"Spatial Data Missing ⚠",VLOOKUP(AN233,'G-3 Multipliers'!$S$3:$T$10,2,FALSE)))</f>
        <v/>
      </c>
      <c r="AP233" s="289" t="str">
        <f t="shared" si="42"/>
        <v/>
      </c>
      <c r="AQ233" s="289" t="str">
        <f t="shared" si="43"/>
        <v/>
      </c>
      <c r="AR233" s="105"/>
      <c r="AS233" s="138"/>
      <c r="AT233" s="104"/>
      <c r="AU233" s="104"/>
      <c r="AY233" s="30" t="str">
        <f>IF(E233="","",IF(ISNA(VLOOKUP($E233,'D-1 Off-Site Habitat Baseline'!$D$1:$AV$258,4,FALSE)),"",(VLOOKUP($E233,'D-1 Off-Site Habitat Baseline'!$D$1:$AV$258,4,FALSE))))</f>
        <v/>
      </c>
    </row>
    <row r="234" spans="1:51" ht="14">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319" t="str">
        <f>'D-1 Off-Site Habitat Baseline'!AP233</f>
        <v/>
      </c>
      <c r="F234" s="283" t="str">
        <f>IF(E234="","",IF(ISNA(VLOOKUP($E234,'D-1 Off-Site Habitat Baseline'!$D$1:$ZZ$258,45,FALSE)),"",(VLOOKUP($E234,'D-1 Off-Site Habitat Baseline'!$D$1:$ZZ$258,45,FALSE))))</f>
        <v/>
      </c>
      <c r="G234" s="295" t="str">
        <f>IF(E234="","",IF(ISNA(VLOOKUP($E234,'D-1 Off-Site Habitat Baseline'!$D$1:$O$258,5,FALSE)),"",(VLOOKUP($E234,'D-1 Off-Site Habitat Baseline'!$D$1:$O$258,5,FALSE))))</f>
        <v/>
      </c>
      <c r="H234" s="295" t="str">
        <f>IF(E234="","",IF(ISNA(VLOOKUP($E234,'D-1 Off-Site Habitat Baseline'!$D$1:$O$258,6,FALSE)),"",(VLOOKUP($E234,'D-1 Off-Site Habitat Baseline'!$D$1:$O$258,6,FALSE))))</f>
        <v/>
      </c>
      <c r="I234" s="295" t="str">
        <f>IF(E234="","",IF(ISNA(VLOOKUP($E234,'D-1 Off-Site Habitat Baseline'!$D$1:$O$258,7,FALSE)),"",(VLOOKUP($E234,'D-1 Off-Site Habitat Baseline'!$D$1:$O$258,7,FALSE))))</f>
        <v/>
      </c>
      <c r="J234" s="295" t="str">
        <f>IF(E234="","",IF(ISNA(VLOOKUP($E234,'D-1 Off-Site Habitat Baseline'!$D$1:$O$258,8,FALSE)),"",(VLOOKUP($E234,'D-1 Off-Site Habitat Baseline'!$D$1:$O$258,8,FALSE))))</f>
        <v/>
      </c>
      <c r="K234" s="295" t="str">
        <f>IF(E234="","",IF(ISNA(VLOOKUP($E234,'D-1 Off-Site Habitat Baseline'!$D$1:$O$258,9,FALSE)),"",(VLOOKUP($E234,'D-1 Off-Site Habitat Baseline'!$D$1:$O$258,9,FALSE))))</f>
        <v/>
      </c>
      <c r="L234" s="295" t="str">
        <f>IF(E234="","",IF(ISNA(VLOOKUP($E234,'D-1 Off-Site Habitat Baseline'!$D$1:$O$258,11,FALSE)),"",(VLOOKUP($E234,'D-1 Off-Site Habitat Baseline'!$D$1:$O$258,11,FALSE))))</f>
        <v/>
      </c>
      <c r="M234" s="295" t="str">
        <f>IF(E234="","",IF(ISNA(VLOOKUP($E234,'D-1 Off-Site Habitat Baseline'!$D$1:$O$258,12,FALSE)),"",(VLOOKUP($E234,'D-1 Off-Site Habitat Baseline'!$D$1:$O$258,12,FALSE))))</f>
        <v/>
      </c>
      <c r="N234" s="295" t="str">
        <f>IF(E234="","",IF(ISNA(VLOOKUP($E234,'D-1 Off-Site Habitat Baseline'!$D$1:$AA$258,17,FALSE)),"",(VLOOKUP($E234,'D-1 Off-Site Habitat Baseline'!$D$1:$AA$258,17,FALSE))))</f>
        <v/>
      </c>
      <c r="O234" s="299" t="str">
        <f>IF(E234="","",IF(ISNA(VLOOKUP($E234,'D-1 Off-Site Habitat Baseline'!$D$1:$AA$258,13,FALSE)),"",(VLOOKUP($E234,'D-1 Off-Site Habitat Baseline'!$D$1:$AA$258,13,FALSE))))</f>
        <v/>
      </c>
      <c r="P234" s="148" t="str">
        <f>IFERROR(INDEX('G-1 All Habitats'!$AG$49:$AG$63,MATCH(Q234,'G-1 All Habitats'!$AF$27:$AF$41,0)),"")</f>
        <v/>
      </c>
      <c r="Q234" s="149" t="str">
        <f t="shared" si="35"/>
        <v/>
      </c>
      <c r="R234" s="150"/>
      <c r="S234" s="151" t="str">
        <f>IFERROR(INDEX('G-1 All Habitats'!$B$3:$B$135,MATCH(R234,'G-1 All Habitats'!$A$3:$A$135,0)),"")</f>
        <v/>
      </c>
      <c r="T234" s="283" t="str">
        <f t="shared" si="36"/>
        <v/>
      </c>
      <c r="U234" s="276" t="str">
        <f t="shared" si="37"/>
        <v/>
      </c>
      <c r="V234" s="298" t="str">
        <f t="shared" si="33"/>
        <v/>
      </c>
      <c r="W234" s="295" t="str">
        <f>IF(S234="","",VLOOKUP(S234,'G-1 All Habitats'!$B$2:$M$135,10,FALSE))</f>
        <v/>
      </c>
      <c r="X234" s="295" t="str">
        <f>IFERROR(VLOOKUP(W234,'G-1 All Habitats'!$V$3:$W$7,2,FALSE),"")</f>
        <v/>
      </c>
      <c r="Y234" s="138"/>
      <c r="Z234" s="299" t="str">
        <f>IFERROR(INDEX('G-8 Condition Look up'!$A$3:$H$135,MATCH(S234,'G-8 Condition Look up'!$A$3:$A$135,0),MATCH(Y234,'G-8 Condition Look up'!$A$3:$H$3,0)),"")</f>
        <v/>
      </c>
      <c r="AA234" s="101"/>
      <c r="AB234" s="314" t="str">
        <f>IF(AA234="","",IF(VLOOKUP(AA234,'G-3 Multipliers'!$L$3:$N$6,2,FALSE)=0,"Spatial Data Missing ⚠",VLOOKUP(AA234,'G-3 Multipliers'!$L$3:$N$6,2,FALSE)))</f>
        <v/>
      </c>
      <c r="AC234" s="299" t="str">
        <f>IF(AA234="","",IF(VLOOKUP(AA234,'G-3 Multipliers'!$L$3:$N$6,3,FALSE)=0,"Spatial Data Missing ⚠",VLOOKUP(AA234,'G-3 Multipliers'!$L$3:$N$6,3,FALSE)))</f>
        <v/>
      </c>
      <c r="AD234" s="311" t="str">
        <f t="shared" si="34"/>
        <v/>
      </c>
      <c r="AE234" s="138"/>
      <c r="AF234" s="138"/>
      <c r="AG234" s="295" t="str">
        <f t="shared" si="38"/>
        <v/>
      </c>
      <c r="AH234" s="296" t="str">
        <f t="shared" si="39"/>
        <v/>
      </c>
      <c r="AI234" s="300" t="str">
        <f>IF(AH234="Check Data ⚠","Check Data ⚠",IFERROR(VLOOKUP(AH234,'G-4 Temporal multipliers'!$A$4:$C$36,3,FALSE),""))</f>
        <v/>
      </c>
      <c r="AJ234" s="311" t="str">
        <f>IF(S234="","",VLOOKUP(S234,'G-3 Multipliers'!$A$2:$E$134,4,FALSE))</f>
        <v/>
      </c>
      <c r="AK234" s="295" t="str">
        <f t="shared" si="40"/>
        <v/>
      </c>
      <c r="AL234" s="295" t="str">
        <f t="shared" si="41"/>
        <v/>
      </c>
      <c r="AM234" s="299" t="str">
        <f>IFERROR(IF(F234="","",IF(AH234="Check Data ⚠","Check Data ⚠",VLOOKUP(AL234,'G-3 Multipliers'!$P$2:$Q$6,2,FALSE))),"")</f>
        <v/>
      </c>
      <c r="AN234" s="712" t="str">
        <f>IF(E234="","",IF(ISNA(VLOOKUP($E234,'D-1 Off-Site Habitat Baseline'!$D$1:$Z$258,15,FALSE)),"",(VLOOKUP($E234,'D-1 Off-Site Habitat Baseline'!$D$1:$Z$258,15,FALSE))))</f>
        <v/>
      </c>
      <c r="AO234" s="329" t="str">
        <f>IF(AN234="","",IF(VLOOKUP(AN234,'G-3 Multipliers'!$S$3:$T$10,2,FALSE)=0,"Spatial Data Missing ⚠",VLOOKUP(AN234,'G-3 Multipliers'!$S$3:$T$10,2,FALSE)))</f>
        <v/>
      </c>
      <c r="AP234" s="289" t="str">
        <f t="shared" si="42"/>
        <v/>
      </c>
      <c r="AQ234" s="289" t="str">
        <f t="shared" si="43"/>
        <v/>
      </c>
      <c r="AR234" s="105"/>
      <c r="AS234" s="138"/>
      <c r="AT234" s="104"/>
      <c r="AU234" s="104"/>
      <c r="AY234" s="30" t="str">
        <f>IF(E234="","",IF(ISNA(VLOOKUP($E234,'D-1 Off-Site Habitat Baseline'!$D$1:$AV$258,4,FALSE)),"",(VLOOKUP($E234,'D-1 Off-Site Habitat Baseline'!$D$1:$AV$258,4,FALSE))))</f>
        <v/>
      </c>
    </row>
    <row r="235" spans="1:51" ht="14">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319" t="str">
        <f>'D-1 Off-Site Habitat Baseline'!AP234</f>
        <v/>
      </c>
      <c r="F235" s="283" t="str">
        <f>IF(E235="","",IF(ISNA(VLOOKUP($E235,'D-1 Off-Site Habitat Baseline'!$D$1:$ZZ$258,45,FALSE)),"",(VLOOKUP($E235,'D-1 Off-Site Habitat Baseline'!$D$1:$ZZ$258,45,FALSE))))</f>
        <v/>
      </c>
      <c r="G235" s="295" t="str">
        <f>IF(E235="","",IF(ISNA(VLOOKUP($E235,'D-1 Off-Site Habitat Baseline'!$D$1:$O$258,5,FALSE)),"",(VLOOKUP($E235,'D-1 Off-Site Habitat Baseline'!$D$1:$O$258,5,FALSE))))</f>
        <v/>
      </c>
      <c r="H235" s="295" t="str">
        <f>IF(E235="","",IF(ISNA(VLOOKUP($E235,'D-1 Off-Site Habitat Baseline'!$D$1:$O$258,6,FALSE)),"",(VLOOKUP($E235,'D-1 Off-Site Habitat Baseline'!$D$1:$O$258,6,FALSE))))</f>
        <v/>
      </c>
      <c r="I235" s="295" t="str">
        <f>IF(E235="","",IF(ISNA(VLOOKUP($E235,'D-1 Off-Site Habitat Baseline'!$D$1:$O$258,7,FALSE)),"",(VLOOKUP($E235,'D-1 Off-Site Habitat Baseline'!$D$1:$O$258,7,FALSE))))</f>
        <v/>
      </c>
      <c r="J235" s="295" t="str">
        <f>IF(E235="","",IF(ISNA(VLOOKUP($E235,'D-1 Off-Site Habitat Baseline'!$D$1:$O$258,8,FALSE)),"",(VLOOKUP($E235,'D-1 Off-Site Habitat Baseline'!$D$1:$O$258,8,FALSE))))</f>
        <v/>
      </c>
      <c r="K235" s="295" t="str">
        <f>IF(E235="","",IF(ISNA(VLOOKUP($E235,'D-1 Off-Site Habitat Baseline'!$D$1:$O$258,9,FALSE)),"",(VLOOKUP($E235,'D-1 Off-Site Habitat Baseline'!$D$1:$O$258,9,FALSE))))</f>
        <v/>
      </c>
      <c r="L235" s="295" t="str">
        <f>IF(E235="","",IF(ISNA(VLOOKUP($E235,'D-1 Off-Site Habitat Baseline'!$D$1:$O$258,11,FALSE)),"",(VLOOKUP($E235,'D-1 Off-Site Habitat Baseline'!$D$1:$O$258,11,FALSE))))</f>
        <v/>
      </c>
      <c r="M235" s="295" t="str">
        <f>IF(E235="","",IF(ISNA(VLOOKUP($E235,'D-1 Off-Site Habitat Baseline'!$D$1:$O$258,12,FALSE)),"",(VLOOKUP($E235,'D-1 Off-Site Habitat Baseline'!$D$1:$O$258,12,FALSE))))</f>
        <v/>
      </c>
      <c r="N235" s="295" t="str">
        <f>IF(E235="","",IF(ISNA(VLOOKUP($E235,'D-1 Off-Site Habitat Baseline'!$D$1:$AA$258,17,FALSE)),"",(VLOOKUP($E235,'D-1 Off-Site Habitat Baseline'!$D$1:$AA$258,17,FALSE))))</f>
        <v/>
      </c>
      <c r="O235" s="299" t="str">
        <f>IF(E235="","",IF(ISNA(VLOOKUP($E235,'D-1 Off-Site Habitat Baseline'!$D$1:$AA$258,13,FALSE)),"",(VLOOKUP($E235,'D-1 Off-Site Habitat Baseline'!$D$1:$AA$258,13,FALSE))))</f>
        <v/>
      </c>
      <c r="P235" s="148" t="str">
        <f>IFERROR(INDEX('G-1 All Habitats'!$AG$49:$AG$63,MATCH(Q235,'G-1 All Habitats'!$AF$27:$AF$41,0)),"")</f>
        <v/>
      </c>
      <c r="Q235" s="149" t="str">
        <f t="shared" si="35"/>
        <v/>
      </c>
      <c r="R235" s="150"/>
      <c r="S235" s="151" t="str">
        <f>IFERROR(INDEX('G-1 All Habitats'!$B$3:$B$135,MATCH(R235,'G-1 All Habitats'!$A$3:$A$135,0)),"")</f>
        <v/>
      </c>
      <c r="T235" s="283" t="str">
        <f t="shared" si="36"/>
        <v/>
      </c>
      <c r="U235" s="276" t="str">
        <f t="shared" si="37"/>
        <v/>
      </c>
      <c r="V235" s="298" t="str">
        <f t="shared" si="33"/>
        <v/>
      </c>
      <c r="W235" s="295" t="str">
        <f>IF(S235="","",VLOOKUP(S235,'G-1 All Habitats'!$B$2:$M$135,10,FALSE))</f>
        <v/>
      </c>
      <c r="X235" s="295" t="str">
        <f>IFERROR(VLOOKUP(W235,'G-1 All Habitats'!$V$3:$W$7,2,FALSE),"")</f>
        <v/>
      </c>
      <c r="Y235" s="138"/>
      <c r="Z235" s="299" t="str">
        <f>IFERROR(INDEX('G-8 Condition Look up'!$A$3:$H$135,MATCH(S235,'G-8 Condition Look up'!$A$3:$A$135,0),MATCH(Y235,'G-8 Condition Look up'!$A$3:$H$3,0)),"")</f>
        <v/>
      </c>
      <c r="AA235" s="101"/>
      <c r="AB235" s="314" t="str">
        <f>IF(AA235="","",IF(VLOOKUP(AA235,'G-3 Multipliers'!$L$3:$N$6,2,FALSE)=0,"Spatial Data Missing ⚠",VLOOKUP(AA235,'G-3 Multipliers'!$L$3:$N$6,2,FALSE)))</f>
        <v/>
      </c>
      <c r="AC235" s="299" t="str">
        <f>IF(AA235="","",IF(VLOOKUP(AA235,'G-3 Multipliers'!$L$3:$N$6,3,FALSE)=0,"Spatial Data Missing ⚠",VLOOKUP(AA235,'G-3 Multipliers'!$L$3:$N$6,3,FALSE)))</f>
        <v/>
      </c>
      <c r="AD235" s="311" t="str">
        <f t="shared" si="34"/>
        <v/>
      </c>
      <c r="AE235" s="138"/>
      <c r="AF235" s="138"/>
      <c r="AG235" s="295" t="str">
        <f t="shared" si="38"/>
        <v/>
      </c>
      <c r="AH235" s="296" t="str">
        <f t="shared" si="39"/>
        <v/>
      </c>
      <c r="AI235" s="300" t="str">
        <f>IF(AH235="Check Data ⚠","Check Data ⚠",IFERROR(VLOOKUP(AH235,'G-4 Temporal multipliers'!$A$4:$C$36,3,FALSE),""))</f>
        <v/>
      </c>
      <c r="AJ235" s="311" t="str">
        <f>IF(S235="","",VLOOKUP(S235,'G-3 Multipliers'!$A$2:$E$134,4,FALSE))</f>
        <v/>
      </c>
      <c r="AK235" s="295" t="str">
        <f t="shared" si="40"/>
        <v/>
      </c>
      <c r="AL235" s="295" t="str">
        <f t="shared" si="41"/>
        <v/>
      </c>
      <c r="AM235" s="299" t="str">
        <f>IFERROR(IF(F235="","",IF(AH235="Check Data ⚠","Check Data ⚠",VLOOKUP(AL235,'G-3 Multipliers'!$P$2:$Q$6,2,FALSE))),"")</f>
        <v/>
      </c>
      <c r="AN235" s="712" t="str">
        <f>IF(E235="","",IF(ISNA(VLOOKUP($E235,'D-1 Off-Site Habitat Baseline'!$D$1:$Z$258,15,FALSE)),"",(VLOOKUP($E235,'D-1 Off-Site Habitat Baseline'!$D$1:$Z$258,15,FALSE))))</f>
        <v/>
      </c>
      <c r="AO235" s="329" t="str">
        <f>IF(AN235="","",IF(VLOOKUP(AN235,'G-3 Multipliers'!$S$3:$T$10,2,FALSE)=0,"Spatial Data Missing ⚠",VLOOKUP(AN235,'G-3 Multipliers'!$S$3:$T$10,2,FALSE)))</f>
        <v/>
      </c>
      <c r="AP235" s="289" t="str">
        <f t="shared" si="42"/>
        <v/>
      </c>
      <c r="AQ235" s="289" t="str">
        <f t="shared" si="43"/>
        <v/>
      </c>
      <c r="AR235" s="105"/>
      <c r="AS235" s="138"/>
      <c r="AT235" s="104"/>
      <c r="AU235" s="104"/>
      <c r="AY235" s="30" t="str">
        <f>IF(E235="","",IF(ISNA(VLOOKUP($E235,'D-1 Off-Site Habitat Baseline'!$D$1:$AV$258,4,FALSE)),"",(VLOOKUP($E235,'D-1 Off-Site Habitat Baseline'!$D$1:$AV$258,4,FALSE))))</f>
        <v/>
      </c>
    </row>
    <row r="236" spans="1:51" ht="14">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319" t="str">
        <f>'D-1 Off-Site Habitat Baseline'!AP235</f>
        <v/>
      </c>
      <c r="F236" s="283" t="str">
        <f>IF(E236="","",IF(ISNA(VLOOKUP($E236,'D-1 Off-Site Habitat Baseline'!$D$1:$ZZ$258,45,FALSE)),"",(VLOOKUP($E236,'D-1 Off-Site Habitat Baseline'!$D$1:$ZZ$258,45,FALSE))))</f>
        <v/>
      </c>
      <c r="G236" s="295" t="str">
        <f>IF(E236="","",IF(ISNA(VLOOKUP($E236,'D-1 Off-Site Habitat Baseline'!$D$1:$O$258,5,FALSE)),"",(VLOOKUP($E236,'D-1 Off-Site Habitat Baseline'!$D$1:$O$258,5,FALSE))))</f>
        <v/>
      </c>
      <c r="H236" s="295" t="str">
        <f>IF(E236="","",IF(ISNA(VLOOKUP($E236,'D-1 Off-Site Habitat Baseline'!$D$1:$O$258,6,FALSE)),"",(VLOOKUP($E236,'D-1 Off-Site Habitat Baseline'!$D$1:$O$258,6,FALSE))))</f>
        <v/>
      </c>
      <c r="I236" s="295" t="str">
        <f>IF(E236="","",IF(ISNA(VLOOKUP($E236,'D-1 Off-Site Habitat Baseline'!$D$1:$O$258,7,FALSE)),"",(VLOOKUP($E236,'D-1 Off-Site Habitat Baseline'!$D$1:$O$258,7,FALSE))))</f>
        <v/>
      </c>
      <c r="J236" s="295" t="str">
        <f>IF(E236="","",IF(ISNA(VLOOKUP($E236,'D-1 Off-Site Habitat Baseline'!$D$1:$O$258,8,FALSE)),"",(VLOOKUP($E236,'D-1 Off-Site Habitat Baseline'!$D$1:$O$258,8,FALSE))))</f>
        <v/>
      </c>
      <c r="K236" s="295" t="str">
        <f>IF(E236="","",IF(ISNA(VLOOKUP($E236,'D-1 Off-Site Habitat Baseline'!$D$1:$O$258,9,FALSE)),"",(VLOOKUP($E236,'D-1 Off-Site Habitat Baseline'!$D$1:$O$258,9,FALSE))))</f>
        <v/>
      </c>
      <c r="L236" s="295" t="str">
        <f>IF(E236="","",IF(ISNA(VLOOKUP($E236,'D-1 Off-Site Habitat Baseline'!$D$1:$O$258,11,FALSE)),"",(VLOOKUP($E236,'D-1 Off-Site Habitat Baseline'!$D$1:$O$258,11,FALSE))))</f>
        <v/>
      </c>
      <c r="M236" s="295" t="str">
        <f>IF(E236="","",IF(ISNA(VLOOKUP($E236,'D-1 Off-Site Habitat Baseline'!$D$1:$O$258,12,FALSE)),"",(VLOOKUP($E236,'D-1 Off-Site Habitat Baseline'!$D$1:$O$258,12,FALSE))))</f>
        <v/>
      </c>
      <c r="N236" s="295" t="str">
        <f>IF(E236="","",IF(ISNA(VLOOKUP($E236,'D-1 Off-Site Habitat Baseline'!$D$1:$AA$258,17,FALSE)),"",(VLOOKUP($E236,'D-1 Off-Site Habitat Baseline'!$D$1:$AA$258,17,FALSE))))</f>
        <v/>
      </c>
      <c r="O236" s="299" t="str">
        <f>IF(E236="","",IF(ISNA(VLOOKUP($E236,'D-1 Off-Site Habitat Baseline'!$D$1:$AA$258,13,FALSE)),"",(VLOOKUP($E236,'D-1 Off-Site Habitat Baseline'!$D$1:$AA$258,13,FALSE))))</f>
        <v/>
      </c>
      <c r="P236" s="148" t="str">
        <f>IFERROR(INDEX('G-1 All Habitats'!$AG$49:$AG$63,MATCH(Q236,'G-1 All Habitats'!$AF$27:$AF$41,0)),"")</f>
        <v/>
      </c>
      <c r="Q236" s="149" t="str">
        <f t="shared" si="35"/>
        <v/>
      </c>
      <c r="R236" s="150"/>
      <c r="S236" s="151" t="str">
        <f>IFERROR(INDEX('G-1 All Habitats'!$B$3:$B$135,MATCH(R236,'G-1 All Habitats'!$A$3:$A$135,0)),"")</f>
        <v/>
      </c>
      <c r="T236" s="283" t="str">
        <f t="shared" si="36"/>
        <v/>
      </c>
      <c r="U236" s="276" t="str">
        <f t="shared" si="37"/>
        <v/>
      </c>
      <c r="V236" s="298" t="str">
        <f t="shared" si="33"/>
        <v/>
      </c>
      <c r="W236" s="295" t="str">
        <f>IF(S236="","",VLOOKUP(S236,'G-1 All Habitats'!$B$2:$M$135,10,FALSE))</f>
        <v/>
      </c>
      <c r="X236" s="295" t="str">
        <f>IFERROR(VLOOKUP(W236,'G-1 All Habitats'!$V$3:$W$7,2,FALSE),"")</f>
        <v/>
      </c>
      <c r="Y236" s="138"/>
      <c r="Z236" s="299" t="str">
        <f>IFERROR(INDEX('G-8 Condition Look up'!$A$3:$H$135,MATCH(S236,'G-8 Condition Look up'!$A$3:$A$135,0),MATCH(Y236,'G-8 Condition Look up'!$A$3:$H$3,0)),"")</f>
        <v/>
      </c>
      <c r="AA236" s="101"/>
      <c r="AB236" s="314" t="str">
        <f>IF(AA236="","",IF(VLOOKUP(AA236,'G-3 Multipliers'!$L$3:$N$6,2,FALSE)=0,"Spatial Data Missing ⚠",VLOOKUP(AA236,'G-3 Multipliers'!$L$3:$N$6,2,FALSE)))</f>
        <v/>
      </c>
      <c r="AC236" s="299" t="str">
        <f>IF(AA236="","",IF(VLOOKUP(AA236,'G-3 Multipliers'!$L$3:$N$6,3,FALSE)=0,"Spatial Data Missing ⚠",VLOOKUP(AA236,'G-3 Multipliers'!$L$3:$N$6,3,FALSE)))</f>
        <v/>
      </c>
      <c r="AD236" s="311" t="str">
        <f t="shared" si="34"/>
        <v/>
      </c>
      <c r="AE236" s="138"/>
      <c r="AF236" s="138"/>
      <c r="AG236" s="295" t="str">
        <f t="shared" si="38"/>
        <v/>
      </c>
      <c r="AH236" s="296" t="str">
        <f t="shared" si="39"/>
        <v/>
      </c>
      <c r="AI236" s="300" t="str">
        <f>IF(AH236="Check Data ⚠","Check Data ⚠",IFERROR(VLOOKUP(AH236,'G-4 Temporal multipliers'!$A$4:$C$36,3,FALSE),""))</f>
        <v/>
      </c>
      <c r="AJ236" s="311" t="str">
        <f>IF(S236="","",VLOOKUP(S236,'G-3 Multipliers'!$A$2:$E$134,4,FALSE))</f>
        <v/>
      </c>
      <c r="AK236" s="295" t="str">
        <f t="shared" si="40"/>
        <v/>
      </c>
      <c r="AL236" s="295" t="str">
        <f t="shared" si="41"/>
        <v/>
      </c>
      <c r="AM236" s="299" t="str">
        <f>IFERROR(IF(F236="","",IF(AH236="Check Data ⚠","Check Data ⚠",VLOOKUP(AL236,'G-3 Multipliers'!$P$2:$Q$6,2,FALSE))),"")</f>
        <v/>
      </c>
      <c r="AN236" s="712" t="str">
        <f>IF(E236="","",IF(ISNA(VLOOKUP($E236,'D-1 Off-Site Habitat Baseline'!$D$1:$Z$258,15,FALSE)),"",(VLOOKUP($E236,'D-1 Off-Site Habitat Baseline'!$D$1:$Z$258,15,FALSE))))</f>
        <v/>
      </c>
      <c r="AO236" s="329" t="str">
        <f>IF(AN236="","",IF(VLOOKUP(AN236,'G-3 Multipliers'!$S$3:$T$10,2,FALSE)=0,"Spatial Data Missing ⚠",VLOOKUP(AN236,'G-3 Multipliers'!$S$3:$T$10,2,FALSE)))</f>
        <v/>
      </c>
      <c r="AP236" s="289" t="str">
        <f t="shared" si="42"/>
        <v/>
      </c>
      <c r="AQ236" s="289" t="str">
        <f t="shared" si="43"/>
        <v/>
      </c>
      <c r="AR236" s="105"/>
      <c r="AS236" s="138"/>
      <c r="AT236" s="104"/>
      <c r="AU236" s="104"/>
      <c r="AY236" s="30" t="str">
        <f>IF(E236="","",IF(ISNA(VLOOKUP($E236,'D-1 Off-Site Habitat Baseline'!$D$1:$AV$258,4,FALSE)),"",(VLOOKUP($E236,'D-1 Off-Site Habitat Baseline'!$D$1:$AV$258,4,FALSE))))</f>
        <v/>
      </c>
    </row>
    <row r="237" spans="1:51" ht="14">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319" t="str">
        <f>'D-1 Off-Site Habitat Baseline'!AP236</f>
        <v/>
      </c>
      <c r="F237" s="283" t="str">
        <f>IF(E237="","",IF(ISNA(VLOOKUP($E237,'D-1 Off-Site Habitat Baseline'!$D$1:$ZZ$258,45,FALSE)),"",(VLOOKUP($E237,'D-1 Off-Site Habitat Baseline'!$D$1:$ZZ$258,45,FALSE))))</f>
        <v/>
      </c>
      <c r="G237" s="295" t="str">
        <f>IF(E237="","",IF(ISNA(VLOOKUP($E237,'D-1 Off-Site Habitat Baseline'!$D$1:$O$258,5,FALSE)),"",(VLOOKUP($E237,'D-1 Off-Site Habitat Baseline'!$D$1:$O$258,5,FALSE))))</f>
        <v/>
      </c>
      <c r="H237" s="295" t="str">
        <f>IF(E237="","",IF(ISNA(VLOOKUP($E237,'D-1 Off-Site Habitat Baseline'!$D$1:$O$258,6,FALSE)),"",(VLOOKUP($E237,'D-1 Off-Site Habitat Baseline'!$D$1:$O$258,6,FALSE))))</f>
        <v/>
      </c>
      <c r="I237" s="295" t="str">
        <f>IF(E237="","",IF(ISNA(VLOOKUP($E237,'D-1 Off-Site Habitat Baseline'!$D$1:$O$258,7,FALSE)),"",(VLOOKUP($E237,'D-1 Off-Site Habitat Baseline'!$D$1:$O$258,7,FALSE))))</f>
        <v/>
      </c>
      <c r="J237" s="295" t="str">
        <f>IF(E237="","",IF(ISNA(VLOOKUP($E237,'D-1 Off-Site Habitat Baseline'!$D$1:$O$258,8,FALSE)),"",(VLOOKUP($E237,'D-1 Off-Site Habitat Baseline'!$D$1:$O$258,8,FALSE))))</f>
        <v/>
      </c>
      <c r="K237" s="295" t="str">
        <f>IF(E237="","",IF(ISNA(VLOOKUP($E237,'D-1 Off-Site Habitat Baseline'!$D$1:$O$258,9,FALSE)),"",(VLOOKUP($E237,'D-1 Off-Site Habitat Baseline'!$D$1:$O$258,9,FALSE))))</f>
        <v/>
      </c>
      <c r="L237" s="295" t="str">
        <f>IF(E237="","",IF(ISNA(VLOOKUP($E237,'D-1 Off-Site Habitat Baseline'!$D$1:$O$258,11,FALSE)),"",(VLOOKUP($E237,'D-1 Off-Site Habitat Baseline'!$D$1:$O$258,11,FALSE))))</f>
        <v/>
      </c>
      <c r="M237" s="295" t="str">
        <f>IF(E237="","",IF(ISNA(VLOOKUP($E237,'D-1 Off-Site Habitat Baseline'!$D$1:$O$258,12,FALSE)),"",(VLOOKUP($E237,'D-1 Off-Site Habitat Baseline'!$D$1:$O$258,12,FALSE))))</f>
        <v/>
      </c>
      <c r="N237" s="295" t="str">
        <f>IF(E237="","",IF(ISNA(VLOOKUP($E237,'D-1 Off-Site Habitat Baseline'!$D$1:$AA$258,17,FALSE)),"",(VLOOKUP($E237,'D-1 Off-Site Habitat Baseline'!$D$1:$AA$258,17,FALSE))))</f>
        <v/>
      </c>
      <c r="O237" s="299" t="str">
        <f>IF(E237="","",IF(ISNA(VLOOKUP($E237,'D-1 Off-Site Habitat Baseline'!$D$1:$AA$258,13,FALSE)),"",(VLOOKUP($E237,'D-1 Off-Site Habitat Baseline'!$D$1:$AA$258,13,FALSE))))</f>
        <v/>
      </c>
      <c r="P237" s="148" t="str">
        <f>IFERROR(INDEX('G-1 All Habitats'!$AG$49:$AG$63,MATCH(Q237,'G-1 All Habitats'!$AF$27:$AF$41,0)),"")</f>
        <v/>
      </c>
      <c r="Q237" s="149" t="str">
        <f t="shared" si="35"/>
        <v/>
      </c>
      <c r="R237" s="150"/>
      <c r="S237" s="151" t="str">
        <f>IFERROR(INDEX('G-1 All Habitats'!$B$3:$B$135,MATCH(R237,'G-1 All Habitats'!$A$3:$A$135,0)),"")</f>
        <v/>
      </c>
      <c r="T237" s="283" t="str">
        <f t="shared" si="36"/>
        <v/>
      </c>
      <c r="U237" s="276" t="str">
        <f t="shared" si="37"/>
        <v/>
      </c>
      <c r="V237" s="298" t="str">
        <f t="shared" si="33"/>
        <v/>
      </c>
      <c r="W237" s="295" t="str">
        <f>IF(S237="","",VLOOKUP(S237,'G-1 All Habitats'!$B$2:$M$135,10,FALSE))</f>
        <v/>
      </c>
      <c r="X237" s="295" t="str">
        <f>IFERROR(VLOOKUP(W237,'G-1 All Habitats'!$V$3:$W$7,2,FALSE),"")</f>
        <v/>
      </c>
      <c r="Y237" s="138"/>
      <c r="Z237" s="299" t="str">
        <f>IFERROR(INDEX('G-8 Condition Look up'!$A$3:$H$135,MATCH(S237,'G-8 Condition Look up'!$A$3:$A$135,0),MATCH(Y237,'G-8 Condition Look up'!$A$3:$H$3,0)),"")</f>
        <v/>
      </c>
      <c r="AA237" s="101"/>
      <c r="AB237" s="314" t="str">
        <f>IF(AA237="","",IF(VLOOKUP(AA237,'G-3 Multipliers'!$L$3:$N$6,2,FALSE)=0,"Spatial Data Missing ⚠",VLOOKUP(AA237,'G-3 Multipliers'!$L$3:$N$6,2,FALSE)))</f>
        <v/>
      </c>
      <c r="AC237" s="299" t="str">
        <f>IF(AA237="","",IF(VLOOKUP(AA237,'G-3 Multipliers'!$L$3:$N$6,3,FALSE)=0,"Spatial Data Missing ⚠",VLOOKUP(AA237,'G-3 Multipliers'!$L$3:$N$6,3,FALSE)))</f>
        <v/>
      </c>
      <c r="AD237" s="311" t="str">
        <f t="shared" si="34"/>
        <v/>
      </c>
      <c r="AE237" s="138"/>
      <c r="AF237" s="138"/>
      <c r="AG237" s="295" t="str">
        <f t="shared" si="38"/>
        <v/>
      </c>
      <c r="AH237" s="296" t="str">
        <f t="shared" si="39"/>
        <v/>
      </c>
      <c r="AI237" s="300" t="str">
        <f>IF(AH237="Check Data ⚠","Check Data ⚠",IFERROR(VLOOKUP(AH237,'G-4 Temporal multipliers'!$A$4:$C$36,3,FALSE),""))</f>
        <v/>
      </c>
      <c r="AJ237" s="311" t="str">
        <f>IF(S237="","",VLOOKUP(S237,'G-3 Multipliers'!$A$2:$E$134,4,FALSE))</f>
        <v/>
      </c>
      <c r="AK237" s="295" t="str">
        <f t="shared" si="40"/>
        <v/>
      </c>
      <c r="AL237" s="295" t="str">
        <f t="shared" si="41"/>
        <v/>
      </c>
      <c r="AM237" s="299" t="str">
        <f>IFERROR(IF(F237="","",IF(AH237="Check Data ⚠","Check Data ⚠",VLOOKUP(AL237,'G-3 Multipliers'!$P$2:$Q$6,2,FALSE))),"")</f>
        <v/>
      </c>
      <c r="AN237" s="712" t="str">
        <f>IF(E237="","",IF(ISNA(VLOOKUP($E237,'D-1 Off-Site Habitat Baseline'!$D$1:$Z$258,15,FALSE)),"",(VLOOKUP($E237,'D-1 Off-Site Habitat Baseline'!$D$1:$Z$258,15,FALSE))))</f>
        <v/>
      </c>
      <c r="AO237" s="329" t="str">
        <f>IF(AN237="","",IF(VLOOKUP(AN237,'G-3 Multipliers'!$S$3:$T$10,2,FALSE)=0,"Spatial Data Missing ⚠",VLOOKUP(AN237,'G-3 Multipliers'!$S$3:$T$10,2,FALSE)))</f>
        <v/>
      </c>
      <c r="AP237" s="289" t="str">
        <f t="shared" si="42"/>
        <v/>
      </c>
      <c r="AQ237" s="289" t="str">
        <f t="shared" si="43"/>
        <v/>
      </c>
      <c r="AR237" s="105"/>
      <c r="AS237" s="138"/>
      <c r="AT237" s="104"/>
      <c r="AU237" s="104"/>
      <c r="AY237" s="30" t="str">
        <f>IF(E237="","",IF(ISNA(VLOOKUP($E237,'D-1 Off-Site Habitat Baseline'!$D$1:$AV$258,4,FALSE)),"",(VLOOKUP($E237,'D-1 Off-Site Habitat Baseline'!$D$1:$AV$258,4,FALSE))))</f>
        <v/>
      </c>
    </row>
    <row r="238" spans="1:51" ht="14">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319" t="str">
        <f>'D-1 Off-Site Habitat Baseline'!AP237</f>
        <v/>
      </c>
      <c r="F238" s="283" t="str">
        <f>IF(E238="","",IF(ISNA(VLOOKUP($E238,'D-1 Off-Site Habitat Baseline'!$D$1:$ZZ$258,45,FALSE)),"",(VLOOKUP($E238,'D-1 Off-Site Habitat Baseline'!$D$1:$ZZ$258,45,FALSE))))</f>
        <v/>
      </c>
      <c r="G238" s="295" t="str">
        <f>IF(E238="","",IF(ISNA(VLOOKUP($E238,'D-1 Off-Site Habitat Baseline'!$D$1:$O$258,5,FALSE)),"",(VLOOKUP($E238,'D-1 Off-Site Habitat Baseline'!$D$1:$O$258,5,FALSE))))</f>
        <v/>
      </c>
      <c r="H238" s="295" t="str">
        <f>IF(E238="","",IF(ISNA(VLOOKUP($E238,'D-1 Off-Site Habitat Baseline'!$D$1:$O$258,6,FALSE)),"",(VLOOKUP($E238,'D-1 Off-Site Habitat Baseline'!$D$1:$O$258,6,FALSE))))</f>
        <v/>
      </c>
      <c r="I238" s="295" t="str">
        <f>IF(E238="","",IF(ISNA(VLOOKUP($E238,'D-1 Off-Site Habitat Baseline'!$D$1:$O$258,7,FALSE)),"",(VLOOKUP($E238,'D-1 Off-Site Habitat Baseline'!$D$1:$O$258,7,FALSE))))</f>
        <v/>
      </c>
      <c r="J238" s="295" t="str">
        <f>IF(E238="","",IF(ISNA(VLOOKUP($E238,'D-1 Off-Site Habitat Baseline'!$D$1:$O$258,8,FALSE)),"",(VLOOKUP($E238,'D-1 Off-Site Habitat Baseline'!$D$1:$O$258,8,FALSE))))</f>
        <v/>
      </c>
      <c r="K238" s="295" t="str">
        <f>IF(E238="","",IF(ISNA(VLOOKUP($E238,'D-1 Off-Site Habitat Baseline'!$D$1:$O$258,9,FALSE)),"",(VLOOKUP($E238,'D-1 Off-Site Habitat Baseline'!$D$1:$O$258,9,FALSE))))</f>
        <v/>
      </c>
      <c r="L238" s="295" t="str">
        <f>IF(E238="","",IF(ISNA(VLOOKUP($E238,'D-1 Off-Site Habitat Baseline'!$D$1:$O$258,11,FALSE)),"",(VLOOKUP($E238,'D-1 Off-Site Habitat Baseline'!$D$1:$O$258,11,FALSE))))</f>
        <v/>
      </c>
      <c r="M238" s="295" t="str">
        <f>IF(E238="","",IF(ISNA(VLOOKUP($E238,'D-1 Off-Site Habitat Baseline'!$D$1:$O$258,12,FALSE)),"",(VLOOKUP($E238,'D-1 Off-Site Habitat Baseline'!$D$1:$O$258,12,FALSE))))</f>
        <v/>
      </c>
      <c r="N238" s="295" t="str">
        <f>IF(E238="","",IF(ISNA(VLOOKUP($E238,'D-1 Off-Site Habitat Baseline'!$D$1:$AA$258,17,FALSE)),"",(VLOOKUP($E238,'D-1 Off-Site Habitat Baseline'!$D$1:$AA$258,17,FALSE))))</f>
        <v/>
      </c>
      <c r="O238" s="299" t="str">
        <f>IF(E238="","",IF(ISNA(VLOOKUP($E238,'D-1 Off-Site Habitat Baseline'!$D$1:$AA$258,13,FALSE)),"",(VLOOKUP($E238,'D-1 Off-Site Habitat Baseline'!$D$1:$AA$258,13,FALSE))))</f>
        <v/>
      </c>
      <c r="P238" s="148" t="str">
        <f>IFERROR(INDEX('G-1 All Habitats'!$AG$49:$AG$63,MATCH(Q238,'G-1 All Habitats'!$AF$27:$AF$41,0)),"")</f>
        <v/>
      </c>
      <c r="Q238" s="149" t="str">
        <f t="shared" si="35"/>
        <v/>
      </c>
      <c r="R238" s="150"/>
      <c r="S238" s="151" t="str">
        <f>IFERROR(INDEX('G-1 All Habitats'!$B$3:$B$135,MATCH(R238,'G-1 All Habitats'!$A$3:$A$135,0)),"")</f>
        <v/>
      </c>
      <c r="T238" s="283" t="str">
        <f t="shared" si="36"/>
        <v/>
      </c>
      <c r="U238" s="276" t="str">
        <f t="shared" si="37"/>
        <v/>
      </c>
      <c r="V238" s="298" t="str">
        <f t="shared" si="33"/>
        <v/>
      </c>
      <c r="W238" s="295" t="str">
        <f>IF(S238="","",VLOOKUP(S238,'G-1 All Habitats'!$B$2:$M$135,10,FALSE))</f>
        <v/>
      </c>
      <c r="X238" s="295" t="str">
        <f>IFERROR(VLOOKUP(W238,'G-1 All Habitats'!$V$3:$W$7,2,FALSE),"")</f>
        <v/>
      </c>
      <c r="Y238" s="138"/>
      <c r="Z238" s="299" t="str">
        <f>IFERROR(INDEX('G-8 Condition Look up'!$A$3:$H$135,MATCH(S238,'G-8 Condition Look up'!$A$3:$A$135,0),MATCH(Y238,'G-8 Condition Look up'!$A$3:$H$3,0)),"")</f>
        <v/>
      </c>
      <c r="AA238" s="101"/>
      <c r="AB238" s="314" t="str">
        <f>IF(AA238="","",IF(VLOOKUP(AA238,'G-3 Multipliers'!$L$3:$N$6,2,FALSE)=0,"Spatial Data Missing ⚠",VLOOKUP(AA238,'G-3 Multipliers'!$L$3:$N$6,2,FALSE)))</f>
        <v/>
      </c>
      <c r="AC238" s="299" t="str">
        <f>IF(AA238="","",IF(VLOOKUP(AA238,'G-3 Multipliers'!$L$3:$N$6,3,FALSE)=0,"Spatial Data Missing ⚠",VLOOKUP(AA238,'G-3 Multipliers'!$L$3:$N$6,3,FALSE)))</f>
        <v/>
      </c>
      <c r="AD238" s="311" t="str">
        <f t="shared" si="34"/>
        <v/>
      </c>
      <c r="AE238" s="138"/>
      <c r="AF238" s="138"/>
      <c r="AG238" s="295" t="str">
        <f t="shared" si="38"/>
        <v/>
      </c>
      <c r="AH238" s="296" t="str">
        <f t="shared" si="39"/>
        <v/>
      </c>
      <c r="AI238" s="300" t="str">
        <f>IF(AH238="Check Data ⚠","Check Data ⚠",IFERROR(VLOOKUP(AH238,'G-4 Temporal multipliers'!$A$4:$C$36,3,FALSE),""))</f>
        <v/>
      </c>
      <c r="AJ238" s="311" t="str">
        <f>IF(S238="","",VLOOKUP(S238,'G-3 Multipliers'!$A$2:$E$134,4,FALSE))</f>
        <v/>
      </c>
      <c r="AK238" s="295" t="str">
        <f t="shared" si="40"/>
        <v/>
      </c>
      <c r="AL238" s="295" t="str">
        <f t="shared" si="41"/>
        <v/>
      </c>
      <c r="AM238" s="299" t="str">
        <f>IFERROR(IF(F238="","",IF(AH238="Check Data ⚠","Check Data ⚠",VLOOKUP(AL238,'G-3 Multipliers'!$P$2:$Q$6,2,FALSE))),"")</f>
        <v/>
      </c>
      <c r="AN238" s="712" t="str">
        <f>IF(E238="","",IF(ISNA(VLOOKUP($E238,'D-1 Off-Site Habitat Baseline'!$D$1:$Z$258,15,FALSE)),"",(VLOOKUP($E238,'D-1 Off-Site Habitat Baseline'!$D$1:$Z$258,15,FALSE))))</f>
        <v/>
      </c>
      <c r="AO238" s="329" t="str">
        <f>IF(AN238="","",IF(VLOOKUP(AN238,'G-3 Multipliers'!$S$3:$T$10,2,FALSE)=0,"Spatial Data Missing ⚠",VLOOKUP(AN238,'G-3 Multipliers'!$S$3:$T$10,2,FALSE)))</f>
        <v/>
      </c>
      <c r="AP238" s="289" t="str">
        <f t="shared" si="42"/>
        <v/>
      </c>
      <c r="AQ238" s="289" t="str">
        <f t="shared" si="43"/>
        <v/>
      </c>
      <c r="AR238" s="105"/>
      <c r="AS238" s="138"/>
      <c r="AT238" s="104"/>
      <c r="AU238" s="104"/>
      <c r="AY238" s="30" t="str">
        <f>IF(E238="","",IF(ISNA(VLOOKUP($E238,'D-1 Off-Site Habitat Baseline'!$D$1:$AV$258,4,FALSE)),"",(VLOOKUP($E238,'D-1 Off-Site Habitat Baseline'!$D$1:$AV$258,4,FALSE))))</f>
        <v/>
      </c>
    </row>
    <row r="239" spans="1:51" ht="14">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319" t="str">
        <f>'D-1 Off-Site Habitat Baseline'!AP238</f>
        <v/>
      </c>
      <c r="F239" s="283" t="str">
        <f>IF(E239="","",IF(ISNA(VLOOKUP($E239,'D-1 Off-Site Habitat Baseline'!$D$1:$ZZ$258,45,FALSE)),"",(VLOOKUP($E239,'D-1 Off-Site Habitat Baseline'!$D$1:$ZZ$258,45,FALSE))))</f>
        <v/>
      </c>
      <c r="G239" s="295" t="str">
        <f>IF(E239="","",IF(ISNA(VLOOKUP($E239,'D-1 Off-Site Habitat Baseline'!$D$1:$O$258,5,FALSE)),"",(VLOOKUP($E239,'D-1 Off-Site Habitat Baseline'!$D$1:$O$258,5,FALSE))))</f>
        <v/>
      </c>
      <c r="H239" s="295" t="str">
        <f>IF(E239="","",IF(ISNA(VLOOKUP($E239,'D-1 Off-Site Habitat Baseline'!$D$1:$O$258,6,FALSE)),"",(VLOOKUP($E239,'D-1 Off-Site Habitat Baseline'!$D$1:$O$258,6,FALSE))))</f>
        <v/>
      </c>
      <c r="I239" s="295" t="str">
        <f>IF(E239="","",IF(ISNA(VLOOKUP($E239,'D-1 Off-Site Habitat Baseline'!$D$1:$O$258,7,FALSE)),"",(VLOOKUP($E239,'D-1 Off-Site Habitat Baseline'!$D$1:$O$258,7,FALSE))))</f>
        <v/>
      </c>
      <c r="J239" s="295" t="str">
        <f>IF(E239="","",IF(ISNA(VLOOKUP($E239,'D-1 Off-Site Habitat Baseline'!$D$1:$O$258,8,FALSE)),"",(VLOOKUP($E239,'D-1 Off-Site Habitat Baseline'!$D$1:$O$258,8,FALSE))))</f>
        <v/>
      </c>
      <c r="K239" s="295" t="str">
        <f>IF(E239="","",IF(ISNA(VLOOKUP($E239,'D-1 Off-Site Habitat Baseline'!$D$1:$O$258,9,FALSE)),"",(VLOOKUP($E239,'D-1 Off-Site Habitat Baseline'!$D$1:$O$258,9,FALSE))))</f>
        <v/>
      </c>
      <c r="L239" s="295" t="str">
        <f>IF(E239="","",IF(ISNA(VLOOKUP($E239,'D-1 Off-Site Habitat Baseline'!$D$1:$O$258,11,FALSE)),"",(VLOOKUP($E239,'D-1 Off-Site Habitat Baseline'!$D$1:$O$258,11,FALSE))))</f>
        <v/>
      </c>
      <c r="M239" s="295" t="str">
        <f>IF(E239="","",IF(ISNA(VLOOKUP($E239,'D-1 Off-Site Habitat Baseline'!$D$1:$O$258,12,FALSE)),"",(VLOOKUP($E239,'D-1 Off-Site Habitat Baseline'!$D$1:$O$258,12,FALSE))))</f>
        <v/>
      </c>
      <c r="N239" s="295" t="str">
        <f>IF(E239="","",IF(ISNA(VLOOKUP($E239,'D-1 Off-Site Habitat Baseline'!$D$1:$AA$258,17,FALSE)),"",(VLOOKUP($E239,'D-1 Off-Site Habitat Baseline'!$D$1:$AA$258,17,FALSE))))</f>
        <v/>
      </c>
      <c r="O239" s="299" t="str">
        <f>IF(E239="","",IF(ISNA(VLOOKUP($E239,'D-1 Off-Site Habitat Baseline'!$D$1:$AA$258,13,FALSE)),"",(VLOOKUP($E239,'D-1 Off-Site Habitat Baseline'!$D$1:$AA$258,13,FALSE))))</f>
        <v/>
      </c>
      <c r="P239" s="148" t="str">
        <f>IFERROR(INDEX('G-1 All Habitats'!$AG$49:$AG$63,MATCH(Q239,'G-1 All Habitats'!$AF$27:$AF$41,0)),"")</f>
        <v/>
      </c>
      <c r="Q239" s="149" t="str">
        <f t="shared" si="35"/>
        <v/>
      </c>
      <c r="R239" s="150"/>
      <c r="S239" s="151" t="str">
        <f>IFERROR(INDEX('G-1 All Habitats'!$B$3:$B$135,MATCH(R239,'G-1 All Habitats'!$A$3:$A$135,0)),"")</f>
        <v/>
      </c>
      <c r="T239" s="283" t="str">
        <f t="shared" si="36"/>
        <v/>
      </c>
      <c r="U239" s="276" t="str">
        <f t="shared" si="37"/>
        <v/>
      </c>
      <c r="V239" s="298" t="str">
        <f t="shared" si="33"/>
        <v/>
      </c>
      <c r="W239" s="295" t="str">
        <f>IF(S239="","",VLOOKUP(S239,'G-1 All Habitats'!$B$2:$M$135,10,FALSE))</f>
        <v/>
      </c>
      <c r="X239" s="295" t="str">
        <f>IFERROR(VLOOKUP(W239,'G-1 All Habitats'!$V$3:$W$7,2,FALSE),"")</f>
        <v/>
      </c>
      <c r="Y239" s="138"/>
      <c r="Z239" s="299" t="str">
        <f>IFERROR(INDEX('G-8 Condition Look up'!$A$3:$H$135,MATCH(S239,'G-8 Condition Look up'!$A$3:$A$135,0),MATCH(Y239,'G-8 Condition Look up'!$A$3:$H$3,0)),"")</f>
        <v/>
      </c>
      <c r="AA239" s="101"/>
      <c r="AB239" s="314" t="str">
        <f>IF(AA239="","",IF(VLOOKUP(AA239,'G-3 Multipliers'!$L$3:$N$6,2,FALSE)=0,"Spatial Data Missing ⚠",VLOOKUP(AA239,'G-3 Multipliers'!$L$3:$N$6,2,FALSE)))</f>
        <v/>
      </c>
      <c r="AC239" s="299" t="str">
        <f>IF(AA239="","",IF(VLOOKUP(AA239,'G-3 Multipliers'!$L$3:$N$6,3,FALSE)=0,"Spatial Data Missing ⚠",VLOOKUP(AA239,'G-3 Multipliers'!$L$3:$N$6,3,FALSE)))</f>
        <v/>
      </c>
      <c r="AD239" s="311" t="str">
        <f t="shared" si="34"/>
        <v/>
      </c>
      <c r="AE239" s="138"/>
      <c r="AF239" s="138"/>
      <c r="AG239" s="295" t="str">
        <f t="shared" si="38"/>
        <v/>
      </c>
      <c r="AH239" s="296" t="str">
        <f t="shared" si="39"/>
        <v/>
      </c>
      <c r="AI239" s="300" t="str">
        <f>IF(AH239="Check Data ⚠","Check Data ⚠",IFERROR(VLOOKUP(AH239,'G-4 Temporal multipliers'!$A$4:$C$36,3,FALSE),""))</f>
        <v/>
      </c>
      <c r="AJ239" s="311" t="str">
        <f>IF(S239="","",VLOOKUP(S239,'G-3 Multipliers'!$A$2:$E$134,4,FALSE))</f>
        <v/>
      </c>
      <c r="AK239" s="295" t="str">
        <f t="shared" si="40"/>
        <v/>
      </c>
      <c r="AL239" s="295" t="str">
        <f t="shared" si="41"/>
        <v/>
      </c>
      <c r="AM239" s="299" t="str">
        <f>IFERROR(IF(F239="","",IF(AH239="Check Data ⚠","Check Data ⚠",VLOOKUP(AL239,'G-3 Multipliers'!$P$2:$Q$6,2,FALSE))),"")</f>
        <v/>
      </c>
      <c r="AN239" s="712" t="str">
        <f>IF(E239="","",IF(ISNA(VLOOKUP($E239,'D-1 Off-Site Habitat Baseline'!$D$1:$Z$258,15,FALSE)),"",(VLOOKUP($E239,'D-1 Off-Site Habitat Baseline'!$D$1:$Z$258,15,FALSE))))</f>
        <v/>
      </c>
      <c r="AO239" s="329" t="str">
        <f>IF(AN239="","",IF(VLOOKUP(AN239,'G-3 Multipliers'!$S$3:$T$10,2,FALSE)=0,"Spatial Data Missing ⚠",VLOOKUP(AN239,'G-3 Multipliers'!$S$3:$T$10,2,FALSE)))</f>
        <v/>
      </c>
      <c r="AP239" s="289" t="str">
        <f t="shared" si="42"/>
        <v/>
      </c>
      <c r="AQ239" s="289" t="str">
        <f t="shared" si="43"/>
        <v/>
      </c>
      <c r="AR239" s="105"/>
      <c r="AS239" s="138"/>
      <c r="AT239" s="104"/>
      <c r="AU239" s="104"/>
      <c r="AY239" s="30" t="str">
        <f>IF(E239="","",IF(ISNA(VLOOKUP($E239,'D-1 Off-Site Habitat Baseline'!$D$1:$AV$258,4,FALSE)),"",(VLOOKUP($E239,'D-1 Off-Site Habitat Baseline'!$D$1:$AV$258,4,FALSE))))</f>
        <v/>
      </c>
    </row>
    <row r="240" spans="1:51" ht="14">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319" t="str">
        <f>'D-1 Off-Site Habitat Baseline'!AP239</f>
        <v/>
      </c>
      <c r="F240" s="283" t="str">
        <f>IF(E240="","",IF(ISNA(VLOOKUP($E240,'D-1 Off-Site Habitat Baseline'!$D$1:$ZZ$258,45,FALSE)),"",(VLOOKUP($E240,'D-1 Off-Site Habitat Baseline'!$D$1:$ZZ$258,45,FALSE))))</f>
        <v/>
      </c>
      <c r="G240" s="295" t="str">
        <f>IF(E240="","",IF(ISNA(VLOOKUP($E240,'D-1 Off-Site Habitat Baseline'!$D$1:$O$258,5,FALSE)),"",(VLOOKUP($E240,'D-1 Off-Site Habitat Baseline'!$D$1:$O$258,5,FALSE))))</f>
        <v/>
      </c>
      <c r="H240" s="295" t="str">
        <f>IF(E240="","",IF(ISNA(VLOOKUP($E240,'D-1 Off-Site Habitat Baseline'!$D$1:$O$258,6,FALSE)),"",(VLOOKUP($E240,'D-1 Off-Site Habitat Baseline'!$D$1:$O$258,6,FALSE))))</f>
        <v/>
      </c>
      <c r="I240" s="295" t="str">
        <f>IF(E240="","",IF(ISNA(VLOOKUP($E240,'D-1 Off-Site Habitat Baseline'!$D$1:$O$258,7,FALSE)),"",(VLOOKUP($E240,'D-1 Off-Site Habitat Baseline'!$D$1:$O$258,7,FALSE))))</f>
        <v/>
      </c>
      <c r="J240" s="295" t="str">
        <f>IF(E240="","",IF(ISNA(VLOOKUP($E240,'D-1 Off-Site Habitat Baseline'!$D$1:$O$258,8,FALSE)),"",(VLOOKUP($E240,'D-1 Off-Site Habitat Baseline'!$D$1:$O$258,8,FALSE))))</f>
        <v/>
      </c>
      <c r="K240" s="295" t="str">
        <f>IF(E240="","",IF(ISNA(VLOOKUP($E240,'D-1 Off-Site Habitat Baseline'!$D$1:$O$258,9,FALSE)),"",(VLOOKUP($E240,'D-1 Off-Site Habitat Baseline'!$D$1:$O$258,9,FALSE))))</f>
        <v/>
      </c>
      <c r="L240" s="295" t="str">
        <f>IF(E240="","",IF(ISNA(VLOOKUP($E240,'D-1 Off-Site Habitat Baseline'!$D$1:$O$258,11,FALSE)),"",(VLOOKUP($E240,'D-1 Off-Site Habitat Baseline'!$D$1:$O$258,11,FALSE))))</f>
        <v/>
      </c>
      <c r="M240" s="295" t="str">
        <f>IF(E240="","",IF(ISNA(VLOOKUP($E240,'D-1 Off-Site Habitat Baseline'!$D$1:$O$258,12,FALSE)),"",(VLOOKUP($E240,'D-1 Off-Site Habitat Baseline'!$D$1:$O$258,12,FALSE))))</f>
        <v/>
      </c>
      <c r="N240" s="295" t="str">
        <f>IF(E240="","",IF(ISNA(VLOOKUP($E240,'D-1 Off-Site Habitat Baseline'!$D$1:$AA$258,17,FALSE)),"",(VLOOKUP($E240,'D-1 Off-Site Habitat Baseline'!$D$1:$AA$258,17,FALSE))))</f>
        <v/>
      </c>
      <c r="O240" s="299" t="str">
        <f>IF(E240="","",IF(ISNA(VLOOKUP($E240,'D-1 Off-Site Habitat Baseline'!$D$1:$AA$258,13,FALSE)),"",(VLOOKUP($E240,'D-1 Off-Site Habitat Baseline'!$D$1:$AA$258,13,FALSE))))</f>
        <v/>
      </c>
      <c r="P240" s="148" t="str">
        <f>IFERROR(INDEX('G-1 All Habitats'!$AG$49:$AG$63,MATCH(Q240,'G-1 All Habitats'!$AF$27:$AF$41,0)),"")</f>
        <v/>
      </c>
      <c r="Q240" s="149" t="str">
        <f t="shared" si="35"/>
        <v/>
      </c>
      <c r="R240" s="150"/>
      <c r="S240" s="151" t="str">
        <f>IFERROR(INDEX('G-1 All Habitats'!$B$3:$B$135,MATCH(R240,'G-1 All Habitats'!$A$3:$A$135,0)),"")</f>
        <v/>
      </c>
      <c r="T240" s="283" t="str">
        <f t="shared" si="36"/>
        <v/>
      </c>
      <c r="U240" s="276" t="str">
        <f t="shared" si="37"/>
        <v/>
      </c>
      <c r="V240" s="298" t="str">
        <f t="shared" si="33"/>
        <v/>
      </c>
      <c r="W240" s="295" t="str">
        <f>IF(S240="","",VLOOKUP(S240,'G-1 All Habitats'!$B$2:$M$135,10,FALSE))</f>
        <v/>
      </c>
      <c r="X240" s="295" t="str">
        <f>IFERROR(VLOOKUP(W240,'G-1 All Habitats'!$V$3:$W$7,2,FALSE),"")</f>
        <v/>
      </c>
      <c r="Y240" s="138"/>
      <c r="Z240" s="299" t="str">
        <f>IFERROR(INDEX('G-8 Condition Look up'!$A$3:$H$135,MATCH(S240,'G-8 Condition Look up'!$A$3:$A$135,0),MATCH(Y240,'G-8 Condition Look up'!$A$3:$H$3,0)),"")</f>
        <v/>
      </c>
      <c r="AA240" s="101"/>
      <c r="AB240" s="314" t="str">
        <f>IF(AA240="","",IF(VLOOKUP(AA240,'G-3 Multipliers'!$L$3:$N$6,2,FALSE)=0,"Spatial Data Missing ⚠",VLOOKUP(AA240,'G-3 Multipliers'!$L$3:$N$6,2,FALSE)))</f>
        <v/>
      </c>
      <c r="AC240" s="299" t="str">
        <f>IF(AA240="","",IF(VLOOKUP(AA240,'G-3 Multipliers'!$L$3:$N$6,3,FALSE)=0,"Spatial Data Missing ⚠",VLOOKUP(AA240,'G-3 Multipliers'!$L$3:$N$6,3,FALSE)))</f>
        <v/>
      </c>
      <c r="AD240" s="311" t="str">
        <f t="shared" si="34"/>
        <v/>
      </c>
      <c r="AE240" s="138"/>
      <c r="AF240" s="138"/>
      <c r="AG240" s="295" t="str">
        <f t="shared" si="38"/>
        <v/>
      </c>
      <c r="AH240" s="296" t="str">
        <f t="shared" si="39"/>
        <v/>
      </c>
      <c r="AI240" s="300" t="str">
        <f>IF(AH240="Check Data ⚠","Check Data ⚠",IFERROR(VLOOKUP(AH240,'G-4 Temporal multipliers'!$A$4:$C$36,3,FALSE),""))</f>
        <v/>
      </c>
      <c r="AJ240" s="311" t="str">
        <f>IF(S240="","",VLOOKUP(S240,'G-3 Multipliers'!$A$2:$E$134,4,FALSE))</f>
        <v/>
      </c>
      <c r="AK240" s="295" t="str">
        <f t="shared" si="40"/>
        <v/>
      </c>
      <c r="AL240" s="295" t="str">
        <f t="shared" si="41"/>
        <v/>
      </c>
      <c r="AM240" s="299" t="str">
        <f>IFERROR(IF(F240="","",IF(AH240="Check Data ⚠","Check Data ⚠",VLOOKUP(AL240,'G-3 Multipliers'!$P$2:$Q$6,2,FALSE))),"")</f>
        <v/>
      </c>
      <c r="AN240" s="712" t="str">
        <f>IF(E240="","",IF(ISNA(VLOOKUP($E240,'D-1 Off-Site Habitat Baseline'!$D$1:$Z$258,15,FALSE)),"",(VLOOKUP($E240,'D-1 Off-Site Habitat Baseline'!$D$1:$Z$258,15,FALSE))))</f>
        <v/>
      </c>
      <c r="AO240" s="329" t="str">
        <f>IF(AN240="","",IF(VLOOKUP(AN240,'G-3 Multipliers'!$S$3:$T$10,2,FALSE)=0,"Spatial Data Missing ⚠",VLOOKUP(AN240,'G-3 Multipliers'!$S$3:$T$10,2,FALSE)))</f>
        <v/>
      </c>
      <c r="AP240" s="289" t="str">
        <f t="shared" si="42"/>
        <v/>
      </c>
      <c r="AQ240" s="289" t="str">
        <f t="shared" si="43"/>
        <v/>
      </c>
      <c r="AR240" s="105"/>
      <c r="AS240" s="138"/>
      <c r="AT240" s="104"/>
      <c r="AU240" s="104"/>
      <c r="AY240" s="30" t="str">
        <f>IF(E240="","",IF(ISNA(VLOOKUP($E240,'D-1 Off-Site Habitat Baseline'!$D$1:$AV$258,4,FALSE)),"",(VLOOKUP($E240,'D-1 Off-Site Habitat Baseline'!$D$1:$AV$258,4,FALSE))))</f>
        <v/>
      </c>
    </row>
    <row r="241" spans="1:51" ht="14">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319" t="str">
        <f>'D-1 Off-Site Habitat Baseline'!AP240</f>
        <v/>
      </c>
      <c r="F241" s="283" t="str">
        <f>IF(E241="","",IF(ISNA(VLOOKUP($E241,'D-1 Off-Site Habitat Baseline'!$D$1:$ZZ$258,45,FALSE)),"",(VLOOKUP($E241,'D-1 Off-Site Habitat Baseline'!$D$1:$ZZ$258,45,FALSE))))</f>
        <v/>
      </c>
      <c r="G241" s="295" t="str">
        <f>IF(E241="","",IF(ISNA(VLOOKUP($E241,'D-1 Off-Site Habitat Baseline'!$D$1:$O$258,5,FALSE)),"",(VLOOKUP($E241,'D-1 Off-Site Habitat Baseline'!$D$1:$O$258,5,FALSE))))</f>
        <v/>
      </c>
      <c r="H241" s="295" t="str">
        <f>IF(E241="","",IF(ISNA(VLOOKUP($E241,'D-1 Off-Site Habitat Baseline'!$D$1:$O$258,6,FALSE)),"",(VLOOKUP($E241,'D-1 Off-Site Habitat Baseline'!$D$1:$O$258,6,FALSE))))</f>
        <v/>
      </c>
      <c r="I241" s="295" t="str">
        <f>IF(E241="","",IF(ISNA(VLOOKUP($E241,'D-1 Off-Site Habitat Baseline'!$D$1:$O$258,7,FALSE)),"",(VLOOKUP($E241,'D-1 Off-Site Habitat Baseline'!$D$1:$O$258,7,FALSE))))</f>
        <v/>
      </c>
      <c r="J241" s="295" t="str">
        <f>IF(E241="","",IF(ISNA(VLOOKUP($E241,'D-1 Off-Site Habitat Baseline'!$D$1:$O$258,8,FALSE)),"",(VLOOKUP($E241,'D-1 Off-Site Habitat Baseline'!$D$1:$O$258,8,FALSE))))</f>
        <v/>
      </c>
      <c r="K241" s="295" t="str">
        <f>IF(E241="","",IF(ISNA(VLOOKUP($E241,'D-1 Off-Site Habitat Baseline'!$D$1:$O$258,9,FALSE)),"",(VLOOKUP($E241,'D-1 Off-Site Habitat Baseline'!$D$1:$O$258,9,FALSE))))</f>
        <v/>
      </c>
      <c r="L241" s="295" t="str">
        <f>IF(E241="","",IF(ISNA(VLOOKUP($E241,'D-1 Off-Site Habitat Baseline'!$D$1:$O$258,11,FALSE)),"",(VLOOKUP($E241,'D-1 Off-Site Habitat Baseline'!$D$1:$O$258,11,FALSE))))</f>
        <v/>
      </c>
      <c r="M241" s="295" t="str">
        <f>IF(E241="","",IF(ISNA(VLOOKUP($E241,'D-1 Off-Site Habitat Baseline'!$D$1:$O$258,12,FALSE)),"",(VLOOKUP($E241,'D-1 Off-Site Habitat Baseline'!$D$1:$O$258,12,FALSE))))</f>
        <v/>
      </c>
      <c r="N241" s="295" t="str">
        <f>IF(E241="","",IF(ISNA(VLOOKUP($E241,'D-1 Off-Site Habitat Baseline'!$D$1:$AA$258,17,FALSE)),"",(VLOOKUP($E241,'D-1 Off-Site Habitat Baseline'!$D$1:$AA$258,17,FALSE))))</f>
        <v/>
      </c>
      <c r="O241" s="299" t="str">
        <f>IF(E241="","",IF(ISNA(VLOOKUP($E241,'D-1 Off-Site Habitat Baseline'!$D$1:$AA$258,13,FALSE)),"",(VLOOKUP($E241,'D-1 Off-Site Habitat Baseline'!$D$1:$AA$258,13,FALSE))))</f>
        <v/>
      </c>
      <c r="P241" s="148" t="str">
        <f>IFERROR(INDEX('G-1 All Habitats'!$AG$49:$AG$63,MATCH(Q241,'G-1 All Habitats'!$AF$27:$AF$41,0)),"")</f>
        <v/>
      </c>
      <c r="Q241" s="149" t="str">
        <f t="shared" si="35"/>
        <v/>
      </c>
      <c r="R241" s="150"/>
      <c r="S241" s="151" t="str">
        <f>IFERROR(INDEX('G-1 All Habitats'!$B$3:$B$135,MATCH(R241,'G-1 All Habitats'!$A$3:$A$135,0)),"")</f>
        <v/>
      </c>
      <c r="T241" s="283" t="str">
        <f t="shared" si="36"/>
        <v/>
      </c>
      <c r="U241" s="276" t="str">
        <f t="shared" si="37"/>
        <v/>
      </c>
      <c r="V241" s="298" t="str">
        <f t="shared" si="33"/>
        <v/>
      </c>
      <c r="W241" s="295" t="str">
        <f>IF(S241="","",VLOOKUP(S241,'G-1 All Habitats'!$B$2:$M$135,10,FALSE))</f>
        <v/>
      </c>
      <c r="X241" s="295" t="str">
        <f>IFERROR(VLOOKUP(W241,'G-1 All Habitats'!$V$3:$W$7,2,FALSE),"")</f>
        <v/>
      </c>
      <c r="Y241" s="138"/>
      <c r="Z241" s="299" t="str">
        <f>IFERROR(INDEX('G-8 Condition Look up'!$A$3:$H$135,MATCH(S241,'G-8 Condition Look up'!$A$3:$A$135,0),MATCH(Y241,'G-8 Condition Look up'!$A$3:$H$3,0)),"")</f>
        <v/>
      </c>
      <c r="AA241" s="101"/>
      <c r="AB241" s="314" t="str">
        <f>IF(AA241="","",IF(VLOOKUP(AA241,'G-3 Multipliers'!$L$3:$N$6,2,FALSE)=0,"Spatial Data Missing ⚠",VLOOKUP(AA241,'G-3 Multipliers'!$L$3:$N$6,2,FALSE)))</f>
        <v/>
      </c>
      <c r="AC241" s="299" t="str">
        <f>IF(AA241="","",IF(VLOOKUP(AA241,'G-3 Multipliers'!$L$3:$N$6,3,FALSE)=0,"Spatial Data Missing ⚠",VLOOKUP(AA241,'G-3 Multipliers'!$L$3:$N$6,3,FALSE)))</f>
        <v/>
      </c>
      <c r="AD241" s="311" t="str">
        <f t="shared" si="34"/>
        <v/>
      </c>
      <c r="AE241" s="138"/>
      <c r="AF241" s="138"/>
      <c r="AG241" s="295" t="str">
        <f t="shared" si="38"/>
        <v/>
      </c>
      <c r="AH241" s="296" t="str">
        <f t="shared" si="39"/>
        <v/>
      </c>
      <c r="AI241" s="300" t="str">
        <f>IF(AH241="Check Data ⚠","Check Data ⚠",IFERROR(VLOOKUP(AH241,'G-4 Temporal multipliers'!$A$4:$C$36,3,FALSE),""))</f>
        <v/>
      </c>
      <c r="AJ241" s="311" t="str">
        <f>IF(S241="","",VLOOKUP(S241,'G-3 Multipliers'!$A$2:$E$134,4,FALSE))</f>
        <v/>
      </c>
      <c r="AK241" s="295" t="str">
        <f t="shared" si="40"/>
        <v/>
      </c>
      <c r="AL241" s="295" t="str">
        <f t="shared" si="41"/>
        <v/>
      </c>
      <c r="AM241" s="299" t="str">
        <f>IFERROR(IF(F241="","",IF(AH241="Check Data ⚠","Check Data ⚠",VLOOKUP(AL241,'G-3 Multipliers'!$P$2:$Q$6,2,FALSE))),"")</f>
        <v/>
      </c>
      <c r="AN241" s="712" t="str">
        <f>IF(E241="","",IF(ISNA(VLOOKUP($E241,'D-1 Off-Site Habitat Baseline'!$D$1:$Z$258,15,FALSE)),"",(VLOOKUP($E241,'D-1 Off-Site Habitat Baseline'!$D$1:$Z$258,15,FALSE))))</f>
        <v/>
      </c>
      <c r="AO241" s="329" t="str">
        <f>IF(AN241="","",IF(VLOOKUP(AN241,'G-3 Multipliers'!$S$3:$T$10,2,FALSE)=0,"Spatial Data Missing ⚠",VLOOKUP(AN241,'G-3 Multipliers'!$S$3:$T$10,2,FALSE)))</f>
        <v/>
      </c>
      <c r="AP241" s="289" t="str">
        <f t="shared" si="42"/>
        <v/>
      </c>
      <c r="AQ241" s="289" t="str">
        <f t="shared" si="43"/>
        <v/>
      </c>
      <c r="AR241" s="105"/>
      <c r="AS241" s="138"/>
      <c r="AT241" s="104"/>
      <c r="AU241" s="104"/>
      <c r="AY241" s="30" t="str">
        <f>IF(E241="","",IF(ISNA(VLOOKUP($E241,'D-1 Off-Site Habitat Baseline'!$D$1:$AV$258,4,FALSE)),"",(VLOOKUP($E241,'D-1 Off-Site Habitat Baseline'!$D$1:$AV$258,4,FALSE))))</f>
        <v/>
      </c>
    </row>
    <row r="242" spans="1:51" ht="14">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319" t="str">
        <f>'D-1 Off-Site Habitat Baseline'!AP241</f>
        <v/>
      </c>
      <c r="F242" s="283" t="str">
        <f>IF(E242="","",IF(ISNA(VLOOKUP($E242,'D-1 Off-Site Habitat Baseline'!$D$1:$ZZ$258,45,FALSE)),"",(VLOOKUP($E242,'D-1 Off-Site Habitat Baseline'!$D$1:$ZZ$258,45,FALSE))))</f>
        <v/>
      </c>
      <c r="G242" s="295" t="str">
        <f>IF(E242="","",IF(ISNA(VLOOKUP($E242,'D-1 Off-Site Habitat Baseline'!$D$1:$O$258,5,FALSE)),"",(VLOOKUP($E242,'D-1 Off-Site Habitat Baseline'!$D$1:$O$258,5,FALSE))))</f>
        <v/>
      </c>
      <c r="H242" s="295" t="str">
        <f>IF(E242="","",IF(ISNA(VLOOKUP($E242,'D-1 Off-Site Habitat Baseline'!$D$1:$O$258,6,FALSE)),"",(VLOOKUP($E242,'D-1 Off-Site Habitat Baseline'!$D$1:$O$258,6,FALSE))))</f>
        <v/>
      </c>
      <c r="I242" s="295" t="str">
        <f>IF(E242="","",IF(ISNA(VLOOKUP($E242,'D-1 Off-Site Habitat Baseline'!$D$1:$O$258,7,FALSE)),"",(VLOOKUP($E242,'D-1 Off-Site Habitat Baseline'!$D$1:$O$258,7,FALSE))))</f>
        <v/>
      </c>
      <c r="J242" s="295" t="str">
        <f>IF(E242="","",IF(ISNA(VLOOKUP($E242,'D-1 Off-Site Habitat Baseline'!$D$1:$O$258,8,FALSE)),"",(VLOOKUP($E242,'D-1 Off-Site Habitat Baseline'!$D$1:$O$258,8,FALSE))))</f>
        <v/>
      </c>
      <c r="K242" s="295" t="str">
        <f>IF(E242="","",IF(ISNA(VLOOKUP($E242,'D-1 Off-Site Habitat Baseline'!$D$1:$O$258,9,FALSE)),"",(VLOOKUP($E242,'D-1 Off-Site Habitat Baseline'!$D$1:$O$258,9,FALSE))))</f>
        <v/>
      </c>
      <c r="L242" s="295" t="str">
        <f>IF(E242="","",IF(ISNA(VLOOKUP($E242,'D-1 Off-Site Habitat Baseline'!$D$1:$O$258,11,FALSE)),"",(VLOOKUP($E242,'D-1 Off-Site Habitat Baseline'!$D$1:$O$258,11,FALSE))))</f>
        <v/>
      </c>
      <c r="M242" s="295" t="str">
        <f>IF(E242="","",IF(ISNA(VLOOKUP($E242,'D-1 Off-Site Habitat Baseline'!$D$1:$O$258,12,FALSE)),"",(VLOOKUP($E242,'D-1 Off-Site Habitat Baseline'!$D$1:$O$258,12,FALSE))))</f>
        <v/>
      </c>
      <c r="N242" s="295" t="str">
        <f>IF(E242="","",IF(ISNA(VLOOKUP($E242,'D-1 Off-Site Habitat Baseline'!$D$1:$AA$258,17,FALSE)),"",(VLOOKUP($E242,'D-1 Off-Site Habitat Baseline'!$D$1:$AA$258,17,FALSE))))</f>
        <v/>
      </c>
      <c r="O242" s="299" t="str">
        <f>IF(E242="","",IF(ISNA(VLOOKUP($E242,'D-1 Off-Site Habitat Baseline'!$D$1:$AA$258,13,FALSE)),"",(VLOOKUP($E242,'D-1 Off-Site Habitat Baseline'!$D$1:$AA$258,13,FALSE))))</f>
        <v/>
      </c>
      <c r="P242" s="148" t="str">
        <f>IFERROR(INDEX('G-1 All Habitats'!$AG$49:$AG$63,MATCH(Q242,'G-1 All Habitats'!$AF$27:$AF$41,0)),"")</f>
        <v/>
      </c>
      <c r="Q242" s="149" t="str">
        <f t="shared" si="35"/>
        <v/>
      </c>
      <c r="R242" s="150"/>
      <c r="S242" s="151" t="str">
        <f>IFERROR(INDEX('G-1 All Habitats'!$B$3:$B$135,MATCH(R242,'G-1 All Habitats'!$A$3:$A$135,0)),"")</f>
        <v/>
      </c>
      <c r="T242" s="283" t="str">
        <f t="shared" si="36"/>
        <v/>
      </c>
      <c r="U242" s="276" t="str">
        <f t="shared" si="37"/>
        <v/>
      </c>
      <c r="V242" s="298" t="str">
        <f t="shared" si="33"/>
        <v/>
      </c>
      <c r="W242" s="295" t="str">
        <f>IF(S242="","",VLOOKUP(S242,'G-1 All Habitats'!$B$2:$M$135,10,FALSE))</f>
        <v/>
      </c>
      <c r="X242" s="295" t="str">
        <f>IFERROR(VLOOKUP(W242,'G-1 All Habitats'!$V$3:$W$7,2,FALSE),"")</f>
        <v/>
      </c>
      <c r="Y242" s="138"/>
      <c r="Z242" s="299" t="str">
        <f>IFERROR(INDEX('G-8 Condition Look up'!$A$3:$H$135,MATCH(S242,'G-8 Condition Look up'!$A$3:$A$135,0),MATCH(Y242,'G-8 Condition Look up'!$A$3:$H$3,0)),"")</f>
        <v/>
      </c>
      <c r="AA242" s="101"/>
      <c r="AB242" s="314" t="str">
        <f>IF(AA242="","",IF(VLOOKUP(AA242,'G-3 Multipliers'!$L$3:$N$6,2,FALSE)=0,"Spatial Data Missing ⚠",VLOOKUP(AA242,'G-3 Multipliers'!$L$3:$N$6,2,FALSE)))</f>
        <v/>
      </c>
      <c r="AC242" s="299" t="str">
        <f>IF(AA242="","",IF(VLOOKUP(AA242,'G-3 Multipliers'!$L$3:$N$6,3,FALSE)=0,"Spatial Data Missing ⚠",VLOOKUP(AA242,'G-3 Multipliers'!$L$3:$N$6,3,FALSE)))</f>
        <v/>
      </c>
      <c r="AD242" s="311" t="str">
        <f t="shared" si="34"/>
        <v/>
      </c>
      <c r="AE242" s="138"/>
      <c r="AF242" s="138"/>
      <c r="AG242" s="295" t="str">
        <f t="shared" si="38"/>
        <v/>
      </c>
      <c r="AH242" s="296" t="str">
        <f t="shared" si="39"/>
        <v/>
      </c>
      <c r="AI242" s="300" t="str">
        <f>IF(AH242="Check Data ⚠","Check Data ⚠",IFERROR(VLOOKUP(AH242,'G-4 Temporal multipliers'!$A$4:$C$36,3,FALSE),""))</f>
        <v/>
      </c>
      <c r="AJ242" s="311" t="str">
        <f>IF(S242="","",VLOOKUP(S242,'G-3 Multipliers'!$A$2:$E$134,4,FALSE))</f>
        <v/>
      </c>
      <c r="AK242" s="295" t="str">
        <f t="shared" si="40"/>
        <v/>
      </c>
      <c r="AL242" s="295" t="str">
        <f t="shared" si="41"/>
        <v/>
      </c>
      <c r="AM242" s="299" t="str">
        <f>IFERROR(IF(F242="","",IF(AH242="Check Data ⚠","Check Data ⚠",VLOOKUP(AL242,'G-3 Multipliers'!$P$2:$Q$6,2,FALSE))),"")</f>
        <v/>
      </c>
      <c r="AN242" s="712" t="str">
        <f>IF(E242="","",IF(ISNA(VLOOKUP($E242,'D-1 Off-Site Habitat Baseline'!$D$1:$Z$258,15,FALSE)),"",(VLOOKUP($E242,'D-1 Off-Site Habitat Baseline'!$D$1:$Z$258,15,FALSE))))</f>
        <v/>
      </c>
      <c r="AO242" s="329" t="str">
        <f>IF(AN242="","",IF(VLOOKUP(AN242,'G-3 Multipliers'!$S$3:$T$10,2,FALSE)=0,"Spatial Data Missing ⚠",VLOOKUP(AN242,'G-3 Multipliers'!$S$3:$T$10,2,FALSE)))</f>
        <v/>
      </c>
      <c r="AP242" s="289" t="str">
        <f t="shared" si="42"/>
        <v/>
      </c>
      <c r="AQ242" s="289" t="str">
        <f t="shared" si="43"/>
        <v/>
      </c>
      <c r="AR242" s="105"/>
      <c r="AS242" s="138"/>
      <c r="AT242" s="104"/>
      <c r="AU242" s="104"/>
      <c r="AY242" s="30" t="str">
        <f>IF(E242="","",IF(ISNA(VLOOKUP($E242,'D-1 Off-Site Habitat Baseline'!$D$1:$AV$258,4,FALSE)),"",(VLOOKUP($E242,'D-1 Off-Site Habitat Baseline'!$D$1:$AV$258,4,FALSE))))</f>
        <v/>
      </c>
    </row>
    <row r="243" spans="1:51" ht="14">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319" t="str">
        <f>'D-1 Off-Site Habitat Baseline'!AP242</f>
        <v/>
      </c>
      <c r="F243" s="283" t="str">
        <f>IF(E243="","",IF(ISNA(VLOOKUP($E243,'D-1 Off-Site Habitat Baseline'!$D$1:$ZZ$258,45,FALSE)),"",(VLOOKUP($E243,'D-1 Off-Site Habitat Baseline'!$D$1:$ZZ$258,45,FALSE))))</f>
        <v/>
      </c>
      <c r="G243" s="295" t="str">
        <f>IF(E243="","",IF(ISNA(VLOOKUP($E243,'D-1 Off-Site Habitat Baseline'!$D$1:$O$258,5,FALSE)),"",(VLOOKUP($E243,'D-1 Off-Site Habitat Baseline'!$D$1:$O$258,5,FALSE))))</f>
        <v/>
      </c>
      <c r="H243" s="295" t="str">
        <f>IF(E243="","",IF(ISNA(VLOOKUP($E243,'D-1 Off-Site Habitat Baseline'!$D$1:$O$258,6,FALSE)),"",(VLOOKUP($E243,'D-1 Off-Site Habitat Baseline'!$D$1:$O$258,6,FALSE))))</f>
        <v/>
      </c>
      <c r="I243" s="295" t="str">
        <f>IF(E243="","",IF(ISNA(VLOOKUP($E243,'D-1 Off-Site Habitat Baseline'!$D$1:$O$258,7,FALSE)),"",(VLOOKUP($E243,'D-1 Off-Site Habitat Baseline'!$D$1:$O$258,7,FALSE))))</f>
        <v/>
      </c>
      <c r="J243" s="295" t="str">
        <f>IF(E243="","",IF(ISNA(VLOOKUP($E243,'D-1 Off-Site Habitat Baseline'!$D$1:$O$258,8,FALSE)),"",(VLOOKUP($E243,'D-1 Off-Site Habitat Baseline'!$D$1:$O$258,8,FALSE))))</f>
        <v/>
      </c>
      <c r="K243" s="295" t="str">
        <f>IF(E243="","",IF(ISNA(VLOOKUP($E243,'D-1 Off-Site Habitat Baseline'!$D$1:$O$258,9,FALSE)),"",(VLOOKUP($E243,'D-1 Off-Site Habitat Baseline'!$D$1:$O$258,9,FALSE))))</f>
        <v/>
      </c>
      <c r="L243" s="295" t="str">
        <f>IF(E243="","",IF(ISNA(VLOOKUP($E243,'D-1 Off-Site Habitat Baseline'!$D$1:$O$258,11,FALSE)),"",(VLOOKUP($E243,'D-1 Off-Site Habitat Baseline'!$D$1:$O$258,11,FALSE))))</f>
        <v/>
      </c>
      <c r="M243" s="295" t="str">
        <f>IF(E243="","",IF(ISNA(VLOOKUP($E243,'D-1 Off-Site Habitat Baseline'!$D$1:$O$258,12,FALSE)),"",(VLOOKUP($E243,'D-1 Off-Site Habitat Baseline'!$D$1:$O$258,12,FALSE))))</f>
        <v/>
      </c>
      <c r="N243" s="295" t="str">
        <f>IF(E243="","",IF(ISNA(VLOOKUP($E243,'D-1 Off-Site Habitat Baseline'!$D$1:$AA$258,17,FALSE)),"",(VLOOKUP($E243,'D-1 Off-Site Habitat Baseline'!$D$1:$AA$258,17,FALSE))))</f>
        <v/>
      </c>
      <c r="O243" s="299" t="str">
        <f>IF(E243="","",IF(ISNA(VLOOKUP($E243,'D-1 Off-Site Habitat Baseline'!$D$1:$AA$258,13,FALSE)),"",(VLOOKUP($E243,'D-1 Off-Site Habitat Baseline'!$D$1:$AA$258,13,FALSE))))</f>
        <v/>
      </c>
      <c r="P243" s="148" t="str">
        <f>IFERROR(INDEX('G-1 All Habitats'!$AG$49:$AG$63,MATCH(Q243,'G-1 All Habitats'!$AF$27:$AF$41,0)),"")</f>
        <v/>
      </c>
      <c r="Q243" s="149" t="str">
        <f t="shared" si="35"/>
        <v/>
      </c>
      <c r="R243" s="150"/>
      <c r="S243" s="151" t="str">
        <f>IFERROR(INDEX('G-1 All Habitats'!$B$3:$B$135,MATCH(R243,'G-1 All Habitats'!$A$3:$A$135,0)),"")</f>
        <v/>
      </c>
      <c r="T243" s="283" t="str">
        <f t="shared" si="36"/>
        <v/>
      </c>
      <c r="U243" s="276" t="str">
        <f t="shared" si="37"/>
        <v/>
      </c>
      <c r="V243" s="298" t="str">
        <f t="shared" si="33"/>
        <v/>
      </c>
      <c r="W243" s="295" t="str">
        <f>IF(S243="","",VLOOKUP(S243,'G-1 All Habitats'!$B$2:$M$135,10,FALSE))</f>
        <v/>
      </c>
      <c r="X243" s="295" t="str">
        <f>IFERROR(VLOOKUP(W243,'G-1 All Habitats'!$V$3:$W$7,2,FALSE),"")</f>
        <v/>
      </c>
      <c r="Y243" s="138"/>
      <c r="Z243" s="299" t="str">
        <f>IFERROR(INDEX('G-8 Condition Look up'!$A$3:$H$135,MATCH(S243,'G-8 Condition Look up'!$A$3:$A$135,0),MATCH(Y243,'G-8 Condition Look up'!$A$3:$H$3,0)),"")</f>
        <v/>
      </c>
      <c r="AA243" s="101"/>
      <c r="AB243" s="314" t="str">
        <f>IF(AA243="","",IF(VLOOKUP(AA243,'G-3 Multipliers'!$L$3:$N$6,2,FALSE)=0,"Spatial Data Missing ⚠",VLOOKUP(AA243,'G-3 Multipliers'!$L$3:$N$6,2,FALSE)))</f>
        <v/>
      </c>
      <c r="AC243" s="299" t="str">
        <f>IF(AA243="","",IF(VLOOKUP(AA243,'G-3 Multipliers'!$L$3:$N$6,3,FALSE)=0,"Spatial Data Missing ⚠",VLOOKUP(AA243,'G-3 Multipliers'!$L$3:$N$6,3,FALSE)))</f>
        <v/>
      </c>
      <c r="AD243" s="311" t="str">
        <f t="shared" si="34"/>
        <v/>
      </c>
      <c r="AE243" s="138"/>
      <c r="AF243" s="138"/>
      <c r="AG243" s="295" t="str">
        <f t="shared" si="38"/>
        <v/>
      </c>
      <c r="AH243" s="296" t="str">
        <f t="shared" si="39"/>
        <v/>
      </c>
      <c r="AI243" s="300" t="str">
        <f>IF(AH243="Check Data ⚠","Check Data ⚠",IFERROR(VLOOKUP(AH243,'G-4 Temporal multipliers'!$A$4:$C$36,3,FALSE),""))</f>
        <v/>
      </c>
      <c r="AJ243" s="311" t="str">
        <f>IF(S243="","",VLOOKUP(S243,'G-3 Multipliers'!$A$2:$E$134,4,FALSE))</f>
        <v/>
      </c>
      <c r="AK243" s="295" t="str">
        <f t="shared" si="40"/>
        <v/>
      </c>
      <c r="AL243" s="295" t="str">
        <f t="shared" si="41"/>
        <v/>
      </c>
      <c r="AM243" s="299" t="str">
        <f>IFERROR(IF(F243="","",IF(AH243="Check Data ⚠","Check Data ⚠",VLOOKUP(AL243,'G-3 Multipliers'!$P$2:$Q$6,2,FALSE))),"")</f>
        <v/>
      </c>
      <c r="AN243" s="712" t="str">
        <f>IF(E243="","",IF(ISNA(VLOOKUP($E243,'D-1 Off-Site Habitat Baseline'!$D$1:$Z$258,15,FALSE)),"",(VLOOKUP($E243,'D-1 Off-Site Habitat Baseline'!$D$1:$Z$258,15,FALSE))))</f>
        <v/>
      </c>
      <c r="AO243" s="329" t="str">
        <f>IF(AN243="","",IF(VLOOKUP(AN243,'G-3 Multipliers'!$S$3:$T$10,2,FALSE)=0,"Spatial Data Missing ⚠",VLOOKUP(AN243,'G-3 Multipliers'!$S$3:$T$10,2,FALSE)))</f>
        <v/>
      </c>
      <c r="AP243" s="289" t="str">
        <f t="shared" si="42"/>
        <v/>
      </c>
      <c r="AQ243" s="289" t="str">
        <f t="shared" si="43"/>
        <v/>
      </c>
      <c r="AR243" s="105"/>
      <c r="AS243" s="138"/>
      <c r="AT243" s="104"/>
      <c r="AU243" s="104"/>
      <c r="AY243" s="30" t="str">
        <f>IF(E243="","",IF(ISNA(VLOOKUP($E243,'D-1 Off-Site Habitat Baseline'!$D$1:$AV$258,4,FALSE)),"",(VLOOKUP($E243,'D-1 Off-Site Habitat Baseline'!$D$1:$AV$258,4,FALSE))))</f>
        <v/>
      </c>
    </row>
    <row r="244" spans="1:51" ht="14">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319" t="str">
        <f>'D-1 Off-Site Habitat Baseline'!AP243</f>
        <v/>
      </c>
      <c r="F244" s="283" t="str">
        <f>IF(E244="","",IF(ISNA(VLOOKUP($E244,'D-1 Off-Site Habitat Baseline'!$D$1:$ZZ$258,45,FALSE)),"",(VLOOKUP($E244,'D-1 Off-Site Habitat Baseline'!$D$1:$ZZ$258,45,FALSE))))</f>
        <v/>
      </c>
      <c r="G244" s="295" t="str">
        <f>IF(E244="","",IF(ISNA(VLOOKUP($E244,'D-1 Off-Site Habitat Baseline'!$D$1:$O$258,5,FALSE)),"",(VLOOKUP($E244,'D-1 Off-Site Habitat Baseline'!$D$1:$O$258,5,FALSE))))</f>
        <v/>
      </c>
      <c r="H244" s="295" t="str">
        <f>IF(E244="","",IF(ISNA(VLOOKUP($E244,'D-1 Off-Site Habitat Baseline'!$D$1:$O$258,6,FALSE)),"",(VLOOKUP($E244,'D-1 Off-Site Habitat Baseline'!$D$1:$O$258,6,FALSE))))</f>
        <v/>
      </c>
      <c r="I244" s="295" t="str">
        <f>IF(E244="","",IF(ISNA(VLOOKUP($E244,'D-1 Off-Site Habitat Baseline'!$D$1:$O$258,7,FALSE)),"",(VLOOKUP($E244,'D-1 Off-Site Habitat Baseline'!$D$1:$O$258,7,FALSE))))</f>
        <v/>
      </c>
      <c r="J244" s="295" t="str">
        <f>IF(E244="","",IF(ISNA(VLOOKUP($E244,'D-1 Off-Site Habitat Baseline'!$D$1:$O$258,8,FALSE)),"",(VLOOKUP($E244,'D-1 Off-Site Habitat Baseline'!$D$1:$O$258,8,FALSE))))</f>
        <v/>
      </c>
      <c r="K244" s="295" t="str">
        <f>IF(E244="","",IF(ISNA(VLOOKUP($E244,'D-1 Off-Site Habitat Baseline'!$D$1:$O$258,9,FALSE)),"",(VLOOKUP($E244,'D-1 Off-Site Habitat Baseline'!$D$1:$O$258,9,FALSE))))</f>
        <v/>
      </c>
      <c r="L244" s="295" t="str">
        <f>IF(E244="","",IF(ISNA(VLOOKUP($E244,'D-1 Off-Site Habitat Baseline'!$D$1:$O$258,11,FALSE)),"",(VLOOKUP($E244,'D-1 Off-Site Habitat Baseline'!$D$1:$O$258,11,FALSE))))</f>
        <v/>
      </c>
      <c r="M244" s="295" t="str">
        <f>IF(E244="","",IF(ISNA(VLOOKUP($E244,'D-1 Off-Site Habitat Baseline'!$D$1:$O$258,12,FALSE)),"",(VLOOKUP($E244,'D-1 Off-Site Habitat Baseline'!$D$1:$O$258,12,FALSE))))</f>
        <v/>
      </c>
      <c r="N244" s="295" t="str">
        <f>IF(E244="","",IF(ISNA(VLOOKUP($E244,'D-1 Off-Site Habitat Baseline'!$D$1:$AA$258,17,FALSE)),"",(VLOOKUP($E244,'D-1 Off-Site Habitat Baseline'!$D$1:$AA$258,17,FALSE))))</f>
        <v/>
      </c>
      <c r="O244" s="299" t="str">
        <f>IF(E244="","",IF(ISNA(VLOOKUP($E244,'D-1 Off-Site Habitat Baseline'!$D$1:$AA$258,13,FALSE)),"",(VLOOKUP($E244,'D-1 Off-Site Habitat Baseline'!$D$1:$AA$258,13,FALSE))))</f>
        <v/>
      </c>
      <c r="P244" s="148" t="str">
        <f>IFERROR(INDEX('G-1 All Habitats'!$AG$49:$AG$63,MATCH(Q244,'G-1 All Habitats'!$AF$27:$AF$41,0)),"")</f>
        <v/>
      </c>
      <c r="Q244" s="149" t="str">
        <f t="shared" si="35"/>
        <v/>
      </c>
      <c r="R244" s="150"/>
      <c r="S244" s="151" t="str">
        <f>IFERROR(INDEX('G-1 All Habitats'!$B$3:$B$135,MATCH(R244,'G-1 All Habitats'!$A$3:$A$135,0)),"")</f>
        <v/>
      </c>
      <c r="T244" s="283" t="str">
        <f t="shared" si="36"/>
        <v/>
      </c>
      <c r="U244" s="276" t="str">
        <f t="shared" si="37"/>
        <v/>
      </c>
      <c r="V244" s="298" t="str">
        <f t="shared" si="33"/>
        <v/>
      </c>
      <c r="W244" s="295" t="str">
        <f>IF(S244="","",VLOOKUP(S244,'G-1 All Habitats'!$B$2:$M$135,10,FALSE))</f>
        <v/>
      </c>
      <c r="X244" s="295" t="str">
        <f>IFERROR(VLOOKUP(W244,'G-1 All Habitats'!$V$3:$W$7,2,FALSE),"")</f>
        <v/>
      </c>
      <c r="Y244" s="138"/>
      <c r="Z244" s="299" t="str">
        <f>IFERROR(INDEX('G-8 Condition Look up'!$A$3:$H$135,MATCH(S244,'G-8 Condition Look up'!$A$3:$A$135,0),MATCH(Y244,'G-8 Condition Look up'!$A$3:$H$3,0)),"")</f>
        <v/>
      </c>
      <c r="AA244" s="101"/>
      <c r="AB244" s="314" t="str">
        <f>IF(AA244="","",IF(VLOOKUP(AA244,'G-3 Multipliers'!$L$3:$N$6,2,FALSE)=0,"Spatial Data Missing ⚠",VLOOKUP(AA244,'G-3 Multipliers'!$L$3:$N$6,2,FALSE)))</f>
        <v/>
      </c>
      <c r="AC244" s="299" t="str">
        <f>IF(AA244="","",IF(VLOOKUP(AA244,'G-3 Multipliers'!$L$3:$N$6,3,FALSE)=0,"Spatial Data Missing ⚠",VLOOKUP(AA244,'G-3 Multipliers'!$L$3:$N$6,3,FALSE)))</f>
        <v/>
      </c>
      <c r="AD244" s="311" t="str">
        <f t="shared" si="34"/>
        <v/>
      </c>
      <c r="AE244" s="138"/>
      <c r="AF244" s="138"/>
      <c r="AG244" s="295" t="str">
        <f t="shared" si="38"/>
        <v/>
      </c>
      <c r="AH244" s="296" t="str">
        <f t="shared" si="39"/>
        <v/>
      </c>
      <c r="AI244" s="300" t="str">
        <f>IF(AH244="Check Data ⚠","Check Data ⚠",IFERROR(VLOOKUP(AH244,'G-4 Temporal multipliers'!$A$4:$C$36,3,FALSE),""))</f>
        <v/>
      </c>
      <c r="AJ244" s="311" t="str">
        <f>IF(S244="","",VLOOKUP(S244,'G-3 Multipliers'!$A$2:$E$134,4,FALSE))</f>
        <v/>
      </c>
      <c r="AK244" s="295" t="str">
        <f t="shared" si="40"/>
        <v/>
      </c>
      <c r="AL244" s="295" t="str">
        <f t="shared" si="41"/>
        <v/>
      </c>
      <c r="AM244" s="299" t="str">
        <f>IFERROR(IF(F244="","",IF(AH244="Check Data ⚠","Check Data ⚠",VLOOKUP(AL244,'G-3 Multipliers'!$P$2:$Q$6,2,FALSE))),"")</f>
        <v/>
      </c>
      <c r="AN244" s="712" t="str">
        <f>IF(E244="","",IF(ISNA(VLOOKUP($E244,'D-1 Off-Site Habitat Baseline'!$D$1:$Z$258,15,FALSE)),"",(VLOOKUP($E244,'D-1 Off-Site Habitat Baseline'!$D$1:$Z$258,15,FALSE))))</f>
        <v/>
      </c>
      <c r="AO244" s="329" t="str">
        <f>IF(AN244="","",IF(VLOOKUP(AN244,'G-3 Multipliers'!$S$3:$T$10,2,FALSE)=0,"Spatial Data Missing ⚠",VLOOKUP(AN244,'G-3 Multipliers'!$S$3:$T$10,2,FALSE)))</f>
        <v/>
      </c>
      <c r="AP244" s="289" t="str">
        <f t="shared" si="42"/>
        <v/>
      </c>
      <c r="AQ244" s="289" t="str">
        <f t="shared" si="43"/>
        <v/>
      </c>
      <c r="AR244" s="105"/>
      <c r="AS244" s="138"/>
      <c r="AT244" s="104"/>
      <c r="AU244" s="104"/>
      <c r="AY244" s="30" t="str">
        <f>IF(E244="","",IF(ISNA(VLOOKUP($E244,'D-1 Off-Site Habitat Baseline'!$D$1:$AV$258,4,FALSE)),"",(VLOOKUP($E244,'D-1 Off-Site Habitat Baseline'!$D$1:$AV$258,4,FALSE))))</f>
        <v/>
      </c>
    </row>
    <row r="245" spans="1:51" ht="14">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319" t="str">
        <f>'D-1 Off-Site Habitat Baseline'!AP244</f>
        <v/>
      </c>
      <c r="F245" s="283" t="str">
        <f>IF(E245="","",IF(ISNA(VLOOKUP($E245,'D-1 Off-Site Habitat Baseline'!$D$1:$ZZ$258,45,FALSE)),"",(VLOOKUP($E245,'D-1 Off-Site Habitat Baseline'!$D$1:$ZZ$258,45,FALSE))))</f>
        <v/>
      </c>
      <c r="G245" s="295" t="str">
        <f>IF(E245="","",IF(ISNA(VLOOKUP($E245,'D-1 Off-Site Habitat Baseline'!$D$1:$O$258,5,FALSE)),"",(VLOOKUP($E245,'D-1 Off-Site Habitat Baseline'!$D$1:$O$258,5,FALSE))))</f>
        <v/>
      </c>
      <c r="H245" s="295" t="str">
        <f>IF(E245="","",IF(ISNA(VLOOKUP($E245,'D-1 Off-Site Habitat Baseline'!$D$1:$O$258,6,FALSE)),"",(VLOOKUP($E245,'D-1 Off-Site Habitat Baseline'!$D$1:$O$258,6,FALSE))))</f>
        <v/>
      </c>
      <c r="I245" s="295" t="str">
        <f>IF(E245="","",IF(ISNA(VLOOKUP($E245,'D-1 Off-Site Habitat Baseline'!$D$1:$O$258,7,FALSE)),"",(VLOOKUP($E245,'D-1 Off-Site Habitat Baseline'!$D$1:$O$258,7,FALSE))))</f>
        <v/>
      </c>
      <c r="J245" s="295" t="str">
        <f>IF(E245="","",IF(ISNA(VLOOKUP($E245,'D-1 Off-Site Habitat Baseline'!$D$1:$O$258,8,FALSE)),"",(VLOOKUP($E245,'D-1 Off-Site Habitat Baseline'!$D$1:$O$258,8,FALSE))))</f>
        <v/>
      </c>
      <c r="K245" s="295" t="str">
        <f>IF(E245="","",IF(ISNA(VLOOKUP($E245,'D-1 Off-Site Habitat Baseline'!$D$1:$O$258,9,FALSE)),"",(VLOOKUP($E245,'D-1 Off-Site Habitat Baseline'!$D$1:$O$258,9,FALSE))))</f>
        <v/>
      </c>
      <c r="L245" s="295" t="str">
        <f>IF(E245="","",IF(ISNA(VLOOKUP($E245,'D-1 Off-Site Habitat Baseline'!$D$1:$O$258,11,FALSE)),"",(VLOOKUP($E245,'D-1 Off-Site Habitat Baseline'!$D$1:$O$258,11,FALSE))))</f>
        <v/>
      </c>
      <c r="M245" s="295" t="str">
        <f>IF(E245="","",IF(ISNA(VLOOKUP($E245,'D-1 Off-Site Habitat Baseline'!$D$1:$O$258,12,FALSE)),"",(VLOOKUP($E245,'D-1 Off-Site Habitat Baseline'!$D$1:$O$258,12,FALSE))))</f>
        <v/>
      </c>
      <c r="N245" s="295" t="str">
        <f>IF(E245="","",IF(ISNA(VLOOKUP($E245,'D-1 Off-Site Habitat Baseline'!$D$1:$AA$258,17,FALSE)),"",(VLOOKUP($E245,'D-1 Off-Site Habitat Baseline'!$D$1:$AA$258,17,FALSE))))</f>
        <v/>
      </c>
      <c r="O245" s="299" t="str">
        <f>IF(E245="","",IF(ISNA(VLOOKUP($E245,'D-1 Off-Site Habitat Baseline'!$D$1:$AA$258,13,FALSE)),"",(VLOOKUP($E245,'D-1 Off-Site Habitat Baseline'!$D$1:$AA$258,13,FALSE))))</f>
        <v/>
      </c>
      <c r="P245" s="148" t="str">
        <f>IFERROR(INDEX('G-1 All Habitats'!$AG$49:$AG$63,MATCH(Q245,'G-1 All Habitats'!$AF$27:$AF$41,0)),"")</f>
        <v/>
      </c>
      <c r="Q245" s="149" t="str">
        <f t="shared" si="35"/>
        <v/>
      </c>
      <c r="R245" s="150"/>
      <c r="S245" s="151" t="str">
        <f>IFERROR(INDEX('G-1 All Habitats'!$B$3:$B$135,MATCH(R245,'G-1 All Habitats'!$A$3:$A$135,0)),"")</f>
        <v/>
      </c>
      <c r="T245" s="283" t="str">
        <f t="shared" si="36"/>
        <v/>
      </c>
      <c r="U245" s="276" t="str">
        <f t="shared" si="37"/>
        <v/>
      </c>
      <c r="V245" s="298" t="str">
        <f t="shared" si="33"/>
        <v/>
      </c>
      <c r="W245" s="295" t="str">
        <f>IF(S245="","",VLOOKUP(S245,'G-1 All Habitats'!$B$2:$M$135,10,FALSE))</f>
        <v/>
      </c>
      <c r="X245" s="295" t="str">
        <f>IFERROR(VLOOKUP(W245,'G-1 All Habitats'!$V$3:$W$7,2,FALSE),"")</f>
        <v/>
      </c>
      <c r="Y245" s="138"/>
      <c r="Z245" s="299" t="str">
        <f>IFERROR(INDEX('G-8 Condition Look up'!$A$3:$H$135,MATCH(S245,'G-8 Condition Look up'!$A$3:$A$135,0),MATCH(Y245,'G-8 Condition Look up'!$A$3:$H$3,0)),"")</f>
        <v/>
      </c>
      <c r="AA245" s="101"/>
      <c r="AB245" s="314" t="str">
        <f>IF(AA245="","",IF(VLOOKUP(AA245,'G-3 Multipliers'!$L$3:$N$6,2,FALSE)=0,"Spatial Data Missing ⚠",VLOOKUP(AA245,'G-3 Multipliers'!$L$3:$N$6,2,FALSE)))</f>
        <v/>
      </c>
      <c r="AC245" s="299" t="str">
        <f>IF(AA245="","",IF(VLOOKUP(AA245,'G-3 Multipliers'!$L$3:$N$6,3,FALSE)=0,"Spatial Data Missing ⚠",VLOOKUP(AA245,'G-3 Multipliers'!$L$3:$N$6,3,FALSE)))</f>
        <v/>
      </c>
      <c r="AD245" s="311" t="str">
        <f t="shared" si="34"/>
        <v/>
      </c>
      <c r="AE245" s="138"/>
      <c r="AF245" s="138"/>
      <c r="AG245" s="295" t="str">
        <f t="shared" si="38"/>
        <v/>
      </c>
      <c r="AH245" s="296" t="str">
        <f t="shared" si="39"/>
        <v/>
      </c>
      <c r="AI245" s="300" t="str">
        <f>IF(AH245="Check Data ⚠","Check Data ⚠",IFERROR(VLOOKUP(AH245,'G-4 Temporal multipliers'!$A$4:$C$36,3,FALSE),""))</f>
        <v/>
      </c>
      <c r="AJ245" s="311" t="str">
        <f>IF(S245="","",VLOOKUP(S245,'G-3 Multipliers'!$A$2:$E$134,4,FALSE))</f>
        <v/>
      </c>
      <c r="AK245" s="295" t="str">
        <f t="shared" si="40"/>
        <v/>
      </c>
      <c r="AL245" s="295" t="str">
        <f t="shared" si="41"/>
        <v/>
      </c>
      <c r="AM245" s="299" t="str">
        <f>IFERROR(IF(F245="","",IF(AH245="Check Data ⚠","Check Data ⚠",VLOOKUP(AL245,'G-3 Multipliers'!$P$2:$Q$6,2,FALSE))),"")</f>
        <v/>
      </c>
      <c r="AN245" s="712" t="str">
        <f>IF(E245="","",IF(ISNA(VLOOKUP($E245,'D-1 Off-Site Habitat Baseline'!$D$1:$Z$258,15,FALSE)),"",(VLOOKUP($E245,'D-1 Off-Site Habitat Baseline'!$D$1:$Z$258,15,FALSE))))</f>
        <v/>
      </c>
      <c r="AO245" s="329" t="str">
        <f>IF(AN245="","",IF(VLOOKUP(AN245,'G-3 Multipliers'!$S$3:$T$10,2,FALSE)=0,"Spatial Data Missing ⚠",VLOOKUP(AN245,'G-3 Multipliers'!$S$3:$T$10,2,FALSE)))</f>
        <v/>
      </c>
      <c r="AP245" s="289" t="str">
        <f t="shared" si="42"/>
        <v/>
      </c>
      <c r="AQ245" s="289" t="str">
        <f t="shared" si="43"/>
        <v/>
      </c>
      <c r="AR245" s="105"/>
      <c r="AS245" s="138"/>
      <c r="AT245" s="104"/>
      <c r="AU245" s="104"/>
      <c r="AY245" s="30" t="str">
        <f>IF(E245="","",IF(ISNA(VLOOKUP($E245,'D-1 Off-Site Habitat Baseline'!$D$1:$AV$258,4,FALSE)),"",(VLOOKUP($E245,'D-1 Off-Site Habitat Baseline'!$D$1:$AV$258,4,FALSE))))</f>
        <v/>
      </c>
    </row>
    <row r="246" spans="1:51" ht="14">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319" t="str">
        <f>'D-1 Off-Site Habitat Baseline'!AP245</f>
        <v/>
      </c>
      <c r="F246" s="283" t="str">
        <f>IF(E246="","",IF(ISNA(VLOOKUP($E246,'D-1 Off-Site Habitat Baseline'!$D$1:$ZZ$258,45,FALSE)),"",(VLOOKUP($E246,'D-1 Off-Site Habitat Baseline'!$D$1:$ZZ$258,45,FALSE))))</f>
        <v/>
      </c>
      <c r="G246" s="295" t="str">
        <f>IF(E246="","",IF(ISNA(VLOOKUP($E246,'D-1 Off-Site Habitat Baseline'!$D$1:$O$258,5,FALSE)),"",(VLOOKUP($E246,'D-1 Off-Site Habitat Baseline'!$D$1:$O$258,5,FALSE))))</f>
        <v/>
      </c>
      <c r="H246" s="295" t="str">
        <f>IF(E246="","",IF(ISNA(VLOOKUP($E246,'D-1 Off-Site Habitat Baseline'!$D$1:$O$258,6,FALSE)),"",(VLOOKUP($E246,'D-1 Off-Site Habitat Baseline'!$D$1:$O$258,6,FALSE))))</f>
        <v/>
      </c>
      <c r="I246" s="295" t="str">
        <f>IF(E246="","",IF(ISNA(VLOOKUP($E246,'D-1 Off-Site Habitat Baseline'!$D$1:$O$258,7,FALSE)),"",(VLOOKUP($E246,'D-1 Off-Site Habitat Baseline'!$D$1:$O$258,7,FALSE))))</f>
        <v/>
      </c>
      <c r="J246" s="295" t="str">
        <f>IF(E246="","",IF(ISNA(VLOOKUP($E246,'D-1 Off-Site Habitat Baseline'!$D$1:$O$258,8,FALSE)),"",(VLOOKUP($E246,'D-1 Off-Site Habitat Baseline'!$D$1:$O$258,8,FALSE))))</f>
        <v/>
      </c>
      <c r="K246" s="295" t="str">
        <f>IF(E246="","",IF(ISNA(VLOOKUP($E246,'D-1 Off-Site Habitat Baseline'!$D$1:$O$258,9,FALSE)),"",(VLOOKUP($E246,'D-1 Off-Site Habitat Baseline'!$D$1:$O$258,9,FALSE))))</f>
        <v/>
      </c>
      <c r="L246" s="295" t="str">
        <f>IF(E246="","",IF(ISNA(VLOOKUP($E246,'D-1 Off-Site Habitat Baseline'!$D$1:$O$258,11,FALSE)),"",(VLOOKUP($E246,'D-1 Off-Site Habitat Baseline'!$D$1:$O$258,11,FALSE))))</f>
        <v/>
      </c>
      <c r="M246" s="295" t="str">
        <f>IF(E246="","",IF(ISNA(VLOOKUP($E246,'D-1 Off-Site Habitat Baseline'!$D$1:$O$258,12,FALSE)),"",(VLOOKUP($E246,'D-1 Off-Site Habitat Baseline'!$D$1:$O$258,12,FALSE))))</f>
        <v/>
      </c>
      <c r="N246" s="295" t="str">
        <f>IF(E246="","",IF(ISNA(VLOOKUP($E246,'D-1 Off-Site Habitat Baseline'!$D$1:$AA$258,17,FALSE)),"",(VLOOKUP($E246,'D-1 Off-Site Habitat Baseline'!$D$1:$AA$258,17,FALSE))))</f>
        <v/>
      </c>
      <c r="O246" s="299" t="str">
        <f>IF(E246="","",IF(ISNA(VLOOKUP($E246,'D-1 Off-Site Habitat Baseline'!$D$1:$AA$258,13,FALSE)),"",(VLOOKUP($E246,'D-1 Off-Site Habitat Baseline'!$D$1:$AA$258,13,FALSE))))</f>
        <v/>
      </c>
      <c r="P246" s="148" t="str">
        <f>IFERROR(INDEX('G-1 All Habitats'!$AG$49:$AG$63,MATCH(Q246,'G-1 All Habitats'!$AF$27:$AF$41,0)),"")</f>
        <v/>
      </c>
      <c r="Q246" s="149" t="str">
        <f t="shared" si="35"/>
        <v/>
      </c>
      <c r="R246" s="150"/>
      <c r="S246" s="151" t="str">
        <f>IFERROR(INDEX('G-1 All Habitats'!$B$3:$B$135,MATCH(R246,'G-1 All Habitats'!$A$3:$A$135,0)),"")</f>
        <v/>
      </c>
      <c r="T246" s="283" t="str">
        <f t="shared" si="36"/>
        <v/>
      </c>
      <c r="U246" s="276" t="str">
        <f t="shared" si="37"/>
        <v/>
      </c>
      <c r="V246" s="298" t="str">
        <f t="shared" si="33"/>
        <v/>
      </c>
      <c r="W246" s="295" t="str">
        <f>IF(S246="","",VLOOKUP(S246,'G-1 All Habitats'!$B$2:$M$135,10,FALSE))</f>
        <v/>
      </c>
      <c r="X246" s="295" t="str">
        <f>IFERROR(VLOOKUP(W246,'G-1 All Habitats'!$V$3:$W$7,2,FALSE),"")</f>
        <v/>
      </c>
      <c r="Y246" s="138"/>
      <c r="Z246" s="299" t="str">
        <f>IFERROR(INDEX('G-8 Condition Look up'!$A$3:$H$135,MATCH(S246,'G-8 Condition Look up'!$A$3:$A$135,0),MATCH(Y246,'G-8 Condition Look up'!$A$3:$H$3,0)),"")</f>
        <v/>
      </c>
      <c r="AA246" s="101"/>
      <c r="AB246" s="314" t="str">
        <f>IF(AA246="","",IF(VLOOKUP(AA246,'G-3 Multipliers'!$L$3:$N$6,2,FALSE)=0,"Spatial Data Missing ⚠",VLOOKUP(AA246,'G-3 Multipliers'!$L$3:$N$6,2,FALSE)))</f>
        <v/>
      </c>
      <c r="AC246" s="299" t="str">
        <f>IF(AA246="","",IF(VLOOKUP(AA246,'G-3 Multipliers'!$L$3:$N$6,3,FALSE)=0,"Spatial Data Missing ⚠",VLOOKUP(AA246,'G-3 Multipliers'!$L$3:$N$6,3,FALSE)))</f>
        <v/>
      </c>
      <c r="AD246" s="311" t="str">
        <f t="shared" si="34"/>
        <v/>
      </c>
      <c r="AE246" s="138"/>
      <c r="AF246" s="138"/>
      <c r="AG246" s="295" t="str">
        <f t="shared" si="38"/>
        <v/>
      </c>
      <c r="AH246" s="296" t="str">
        <f t="shared" si="39"/>
        <v/>
      </c>
      <c r="AI246" s="300" t="str">
        <f>IF(AH246="Check Data ⚠","Check Data ⚠",IFERROR(VLOOKUP(AH246,'G-4 Temporal multipliers'!$A$4:$C$36,3,FALSE),""))</f>
        <v/>
      </c>
      <c r="AJ246" s="311" t="str">
        <f>IF(S246="","",VLOOKUP(S246,'G-3 Multipliers'!$A$2:$E$134,4,FALSE))</f>
        <v/>
      </c>
      <c r="AK246" s="295" t="str">
        <f t="shared" si="40"/>
        <v/>
      </c>
      <c r="AL246" s="295" t="str">
        <f t="shared" si="41"/>
        <v/>
      </c>
      <c r="AM246" s="299" t="str">
        <f>IFERROR(IF(F246="","",IF(AH246="Check Data ⚠","Check Data ⚠",VLOOKUP(AL246,'G-3 Multipliers'!$P$2:$Q$6,2,FALSE))),"")</f>
        <v/>
      </c>
      <c r="AN246" s="712" t="str">
        <f>IF(E246="","",IF(ISNA(VLOOKUP($E246,'D-1 Off-Site Habitat Baseline'!$D$1:$Z$258,15,FALSE)),"",(VLOOKUP($E246,'D-1 Off-Site Habitat Baseline'!$D$1:$Z$258,15,FALSE))))</f>
        <v/>
      </c>
      <c r="AO246" s="329" t="str">
        <f>IF(AN246="","",IF(VLOOKUP(AN246,'G-3 Multipliers'!$S$3:$T$10,2,FALSE)=0,"Spatial Data Missing ⚠",VLOOKUP(AN246,'G-3 Multipliers'!$S$3:$T$10,2,FALSE)))</f>
        <v/>
      </c>
      <c r="AP246" s="289" t="str">
        <f t="shared" si="42"/>
        <v/>
      </c>
      <c r="AQ246" s="289" t="str">
        <f t="shared" si="43"/>
        <v/>
      </c>
      <c r="AR246" s="105"/>
      <c r="AS246" s="138"/>
      <c r="AT246" s="104"/>
      <c r="AU246" s="104"/>
      <c r="AY246" s="30" t="str">
        <f>IF(E246="","",IF(ISNA(VLOOKUP($E246,'D-1 Off-Site Habitat Baseline'!$D$1:$AV$258,4,FALSE)),"",(VLOOKUP($E246,'D-1 Off-Site Habitat Baseline'!$D$1:$AV$258,4,FALSE))))</f>
        <v/>
      </c>
    </row>
    <row r="247" spans="1:51" ht="14">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319" t="str">
        <f>'D-1 Off-Site Habitat Baseline'!AP246</f>
        <v/>
      </c>
      <c r="F247" s="283" t="str">
        <f>IF(E247="","",IF(ISNA(VLOOKUP($E247,'D-1 Off-Site Habitat Baseline'!$D$1:$ZZ$258,45,FALSE)),"",(VLOOKUP($E247,'D-1 Off-Site Habitat Baseline'!$D$1:$ZZ$258,45,FALSE))))</f>
        <v/>
      </c>
      <c r="G247" s="295" t="str">
        <f>IF(E247="","",IF(ISNA(VLOOKUP($E247,'D-1 Off-Site Habitat Baseline'!$D$1:$O$258,5,FALSE)),"",(VLOOKUP($E247,'D-1 Off-Site Habitat Baseline'!$D$1:$O$258,5,FALSE))))</f>
        <v/>
      </c>
      <c r="H247" s="295" t="str">
        <f>IF(E247="","",IF(ISNA(VLOOKUP($E247,'D-1 Off-Site Habitat Baseline'!$D$1:$O$258,6,FALSE)),"",(VLOOKUP($E247,'D-1 Off-Site Habitat Baseline'!$D$1:$O$258,6,FALSE))))</f>
        <v/>
      </c>
      <c r="I247" s="295" t="str">
        <f>IF(E247="","",IF(ISNA(VLOOKUP($E247,'D-1 Off-Site Habitat Baseline'!$D$1:$O$258,7,FALSE)),"",(VLOOKUP($E247,'D-1 Off-Site Habitat Baseline'!$D$1:$O$258,7,FALSE))))</f>
        <v/>
      </c>
      <c r="J247" s="295" t="str">
        <f>IF(E247="","",IF(ISNA(VLOOKUP($E247,'D-1 Off-Site Habitat Baseline'!$D$1:$O$258,8,FALSE)),"",(VLOOKUP($E247,'D-1 Off-Site Habitat Baseline'!$D$1:$O$258,8,FALSE))))</f>
        <v/>
      </c>
      <c r="K247" s="295" t="str">
        <f>IF(E247="","",IF(ISNA(VLOOKUP($E247,'D-1 Off-Site Habitat Baseline'!$D$1:$O$258,9,FALSE)),"",(VLOOKUP($E247,'D-1 Off-Site Habitat Baseline'!$D$1:$O$258,9,FALSE))))</f>
        <v/>
      </c>
      <c r="L247" s="295" t="str">
        <f>IF(E247="","",IF(ISNA(VLOOKUP($E247,'D-1 Off-Site Habitat Baseline'!$D$1:$O$258,11,FALSE)),"",(VLOOKUP($E247,'D-1 Off-Site Habitat Baseline'!$D$1:$O$258,11,FALSE))))</f>
        <v/>
      </c>
      <c r="M247" s="295" t="str">
        <f>IF(E247="","",IF(ISNA(VLOOKUP($E247,'D-1 Off-Site Habitat Baseline'!$D$1:$O$258,12,FALSE)),"",(VLOOKUP($E247,'D-1 Off-Site Habitat Baseline'!$D$1:$O$258,12,FALSE))))</f>
        <v/>
      </c>
      <c r="N247" s="295" t="str">
        <f>IF(E247="","",IF(ISNA(VLOOKUP($E247,'D-1 Off-Site Habitat Baseline'!$D$1:$AA$258,17,FALSE)),"",(VLOOKUP($E247,'D-1 Off-Site Habitat Baseline'!$D$1:$AA$258,17,FALSE))))</f>
        <v/>
      </c>
      <c r="O247" s="299" t="str">
        <f>IF(E247="","",IF(ISNA(VLOOKUP($E247,'D-1 Off-Site Habitat Baseline'!$D$1:$AA$258,13,FALSE)),"",(VLOOKUP($E247,'D-1 Off-Site Habitat Baseline'!$D$1:$AA$258,13,FALSE))))</f>
        <v/>
      </c>
      <c r="P247" s="148" t="str">
        <f>IFERROR(INDEX('G-1 All Habitats'!$AG$49:$AG$63,MATCH(Q247,'G-1 All Habitats'!$AF$27:$AF$41,0)),"")</f>
        <v/>
      </c>
      <c r="Q247" s="149" t="str">
        <f t="shared" si="35"/>
        <v/>
      </c>
      <c r="R247" s="150"/>
      <c r="S247" s="151" t="str">
        <f>IFERROR(INDEX('G-1 All Habitats'!$B$3:$B$135,MATCH(R247,'G-1 All Habitats'!$A$3:$A$135,0)),"")</f>
        <v/>
      </c>
      <c r="T247" s="283" t="str">
        <f t="shared" si="36"/>
        <v/>
      </c>
      <c r="U247" s="276" t="str">
        <f t="shared" si="37"/>
        <v/>
      </c>
      <c r="V247" s="298" t="str">
        <f t="shared" si="33"/>
        <v/>
      </c>
      <c r="W247" s="295" t="str">
        <f>IF(S247="","",VLOOKUP(S247,'G-1 All Habitats'!$B$2:$M$135,10,FALSE))</f>
        <v/>
      </c>
      <c r="X247" s="295" t="str">
        <f>IFERROR(VLOOKUP(W247,'G-1 All Habitats'!$V$3:$W$7,2,FALSE),"")</f>
        <v/>
      </c>
      <c r="Y247" s="138"/>
      <c r="Z247" s="299" t="str">
        <f>IFERROR(INDEX('G-8 Condition Look up'!$A$3:$H$135,MATCH(S247,'G-8 Condition Look up'!$A$3:$A$135,0),MATCH(Y247,'G-8 Condition Look up'!$A$3:$H$3,0)),"")</f>
        <v/>
      </c>
      <c r="AA247" s="101"/>
      <c r="AB247" s="314" t="str">
        <f>IF(AA247="","",IF(VLOOKUP(AA247,'G-3 Multipliers'!$L$3:$N$6,2,FALSE)=0,"Spatial Data Missing ⚠",VLOOKUP(AA247,'G-3 Multipliers'!$L$3:$N$6,2,FALSE)))</f>
        <v/>
      </c>
      <c r="AC247" s="299" t="str">
        <f>IF(AA247="","",IF(VLOOKUP(AA247,'G-3 Multipliers'!$L$3:$N$6,3,FALSE)=0,"Spatial Data Missing ⚠",VLOOKUP(AA247,'G-3 Multipliers'!$L$3:$N$6,3,FALSE)))</f>
        <v/>
      </c>
      <c r="AD247" s="311" t="str">
        <f t="shared" si="34"/>
        <v/>
      </c>
      <c r="AE247" s="138"/>
      <c r="AF247" s="138"/>
      <c r="AG247" s="295" t="str">
        <f t="shared" si="38"/>
        <v/>
      </c>
      <c r="AH247" s="296" t="str">
        <f t="shared" si="39"/>
        <v/>
      </c>
      <c r="AI247" s="300" t="str">
        <f>IF(AH247="Check Data ⚠","Check Data ⚠",IFERROR(VLOOKUP(AH247,'G-4 Temporal multipliers'!$A$4:$C$36,3,FALSE),""))</f>
        <v/>
      </c>
      <c r="AJ247" s="311" t="str">
        <f>IF(S247="","",VLOOKUP(S247,'G-3 Multipliers'!$A$2:$E$134,4,FALSE))</f>
        <v/>
      </c>
      <c r="AK247" s="295" t="str">
        <f t="shared" si="40"/>
        <v/>
      </c>
      <c r="AL247" s="295" t="str">
        <f t="shared" si="41"/>
        <v/>
      </c>
      <c r="AM247" s="299" t="str">
        <f>IFERROR(IF(F247="","",IF(AH247="Check Data ⚠","Check Data ⚠",VLOOKUP(AL247,'G-3 Multipliers'!$P$2:$Q$6,2,FALSE))),"")</f>
        <v/>
      </c>
      <c r="AN247" s="712" t="str">
        <f>IF(E247="","",IF(ISNA(VLOOKUP($E247,'D-1 Off-Site Habitat Baseline'!$D$1:$Z$258,15,FALSE)),"",(VLOOKUP($E247,'D-1 Off-Site Habitat Baseline'!$D$1:$Z$258,15,FALSE))))</f>
        <v/>
      </c>
      <c r="AO247" s="329" t="str">
        <f>IF(AN247="","",IF(VLOOKUP(AN247,'G-3 Multipliers'!$S$3:$T$10,2,FALSE)=0,"Spatial Data Missing ⚠",VLOOKUP(AN247,'G-3 Multipliers'!$S$3:$T$10,2,FALSE)))</f>
        <v/>
      </c>
      <c r="AP247" s="289" t="str">
        <f t="shared" si="42"/>
        <v/>
      </c>
      <c r="AQ247" s="289" t="str">
        <f t="shared" si="43"/>
        <v/>
      </c>
      <c r="AR247" s="105"/>
      <c r="AS247" s="138"/>
      <c r="AT247" s="104"/>
      <c r="AU247" s="104"/>
      <c r="AY247" s="30" t="str">
        <f>IF(E247="","",IF(ISNA(VLOOKUP($E247,'D-1 Off-Site Habitat Baseline'!$D$1:$AV$258,4,FALSE)),"",(VLOOKUP($E247,'D-1 Off-Site Habitat Baseline'!$D$1:$AV$258,4,FALSE))))</f>
        <v/>
      </c>
    </row>
    <row r="248" spans="1:51" ht="14">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319" t="str">
        <f>'D-1 Off-Site Habitat Baseline'!AP247</f>
        <v/>
      </c>
      <c r="F248" s="283" t="str">
        <f>IF(E248="","",IF(ISNA(VLOOKUP($E248,'D-1 Off-Site Habitat Baseline'!$D$1:$ZZ$258,45,FALSE)),"",(VLOOKUP($E248,'D-1 Off-Site Habitat Baseline'!$D$1:$ZZ$258,45,FALSE))))</f>
        <v/>
      </c>
      <c r="G248" s="295" t="str">
        <f>IF(E248="","",IF(ISNA(VLOOKUP($E248,'D-1 Off-Site Habitat Baseline'!$D$1:$O$258,5,FALSE)),"",(VLOOKUP($E248,'D-1 Off-Site Habitat Baseline'!$D$1:$O$258,5,FALSE))))</f>
        <v/>
      </c>
      <c r="H248" s="295" t="str">
        <f>IF(E248="","",IF(ISNA(VLOOKUP($E248,'D-1 Off-Site Habitat Baseline'!$D$1:$O$258,6,FALSE)),"",(VLOOKUP($E248,'D-1 Off-Site Habitat Baseline'!$D$1:$O$258,6,FALSE))))</f>
        <v/>
      </c>
      <c r="I248" s="295" t="str">
        <f>IF(E248="","",IF(ISNA(VLOOKUP($E248,'D-1 Off-Site Habitat Baseline'!$D$1:$O$258,7,FALSE)),"",(VLOOKUP($E248,'D-1 Off-Site Habitat Baseline'!$D$1:$O$258,7,FALSE))))</f>
        <v/>
      </c>
      <c r="J248" s="295" t="str">
        <f>IF(E248="","",IF(ISNA(VLOOKUP($E248,'D-1 Off-Site Habitat Baseline'!$D$1:$O$258,8,FALSE)),"",(VLOOKUP($E248,'D-1 Off-Site Habitat Baseline'!$D$1:$O$258,8,FALSE))))</f>
        <v/>
      </c>
      <c r="K248" s="295" t="str">
        <f>IF(E248="","",IF(ISNA(VLOOKUP($E248,'D-1 Off-Site Habitat Baseline'!$D$1:$O$258,9,FALSE)),"",(VLOOKUP($E248,'D-1 Off-Site Habitat Baseline'!$D$1:$O$258,9,FALSE))))</f>
        <v/>
      </c>
      <c r="L248" s="295" t="str">
        <f>IF(E248="","",IF(ISNA(VLOOKUP($E248,'D-1 Off-Site Habitat Baseline'!$D$1:$O$258,11,FALSE)),"",(VLOOKUP($E248,'D-1 Off-Site Habitat Baseline'!$D$1:$O$258,11,FALSE))))</f>
        <v/>
      </c>
      <c r="M248" s="295" t="str">
        <f>IF(E248="","",IF(ISNA(VLOOKUP($E248,'D-1 Off-Site Habitat Baseline'!$D$1:$O$258,12,FALSE)),"",(VLOOKUP($E248,'D-1 Off-Site Habitat Baseline'!$D$1:$O$258,12,FALSE))))</f>
        <v/>
      </c>
      <c r="N248" s="295" t="str">
        <f>IF(E248="","",IF(ISNA(VLOOKUP($E248,'D-1 Off-Site Habitat Baseline'!$D$1:$AA$258,17,FALSE)),"",(VLOOKUP($E248,'D-1 Off-Site Habitat Baseline'!$D$1:$AA$258,17,FALSE))))</f>
        <v/>
      </c>
      <c r="O248" s="299" t="str">
        <f>IF(E248="","",IF(ISNA(VLOOKUP($E248,'D-1 Off-Site Habitat Baseline'!$D$1:$AA$258,13,FALSE)),"",(VLOOKUP($E248,'D-1 Off-Site Habitat Baseline'!$D$1:$AA$258,13,FALSE))))</f>
        <v/>
      </c>
      <c r="P248" s="148" t="str">
        <f>IFERROR(INDEX('G-1 All Habitats'!$AG$49:$AG$63,MATCH(Q248,'G-1 All Habitats'!$AF$27:$AF$41,0)),"")</f>
        <v/>
      </c>
      <c r="Q248" s="149" t="str">
        <f t="shared" si="35"/>
        <v/>
      </c>
      <c r="R248" s="150"/>
      <c r="S248" s="151" t="str">
        <f>IFERROR(INDEX('G-1 All Habitats'!$B$3:$B$135,MATCH(R248,'G-1 All Habitats'!$A$3:$A$135,0)),"")</f>
        <v/>
      </c>
      <c r="T248" s="283" t="str">
        <f t="shared" si="36"/>
        <v/>
      </c>
      <c r="U248" s="276" t="str">
        <f t="shared" si="37"/>
        <v/>
      </c>
      <c r="V248" s="298" t="str">
        <f t="shared" si="33"/>
        <v/>
      </c>
      <c r="W248" s="295" t="str">
        <f>IF(S248="","",VLOOKUP(S248,'G-1 All Habitats'!$B$2:$M$135,10,FALSE))</f>
        <v/>
      </c>
      <c r="X248" s="295" t="str">
        <f>IFERROR(VLOOKUP(W248,'G-1 All Habitats'!$V$3:$W$7,2,FALSE),"")</f>
        <v/>
      </c>
      <c r="Y248" s="138"/>
      <c r="Z248" s="299" t="str">
        <f>IFERROR(INDEX('G-8 Condition Look up'!$A$3:$H$135,MATCH(S248,'G-8 Condition Look up'!$A$3:$A$135,0),MATCH(Y248,'G-8 Condition Look up'!$A$3:$H$3,0)),"")</f>
        <v/>
      </c>
      <c r="AA248" s="101"/>
      <c r="AB248" s="314" t="str">
        <f>IF(AA248="","",IF(VLOOKUP(AA248,'G-3 Multipliers'!$L$3:$N$6,2,FALSE)=0,"Spatial Data Missing ⚠",VLOOKUP(AA248,'G-3 Multipliers'!$L$3:$N$6,2,FALSE)))</f>
        <v/>
      </c>
      <c r="AC248" s="299" t="str">
        <f>IF(AA248="","",IF(VLOOKUP(AA248,'G-3 Multipliers'!$L$3:$N$6,3,FALSE)=0,"Spatial Data Missing ⚠",VLOOKUP(AA248,'G-3 Multipliers'!$L$3:$N$6,3,FALSE)))</f>
        <v/>
      </c>
      <c r="AD248" s="311" t="str">
        <f t="shared" si="34"/>
        <v/>
      </c>
      <c r="AE248" s="138"/>
      <c r="AF248" s="138"/>
      <c r="AG248" s="295" t="str">
        <f t="shared" si="38"/>
        <v/>
      </c>
      <c r="AH248" s="296" t="str">
        <f t="shared" si="39"/>
        <v/>
      </c>
      <c r="AI248" s="300" t="str">
        <f>IF(AH248="Check Data ⚠","Check Data ⚠",IFERROR(VLOOKUP(AH248,'G-4 Temporal multipliers'!$A$4:$C$36,3,FALSE),""))</f>
        <v/>
      </c>
      <c r="AJ248" s="311" t="str">
        <f>IF(S248="","",VLOOKUP(S248,'G-3 Multipliers'!$A$2:$E$134,4,FALSE))</f>
        <v/>
      </c>
      <c r="AK248" s="295" t="str">
        <f t="shared" si="40"/>
        <v/>
      </c>
      <c r="AL248" s="295" t="str">
        <f t="shared" si="41"/>
        <v/>
      </c>
      <c r="AM248" s="299" t="str">
        <f>IFERROR(IF(F248="","",IF(AH248="Check Data ⚠","Check Data ⚠",VLOOKUP(AL248,'G-3 Multipliers'!$P$2:$Q$6,2,FALSE))),"")</f>
        <v/>
      </c>
      <c r="AN248" s="712" t="str">
        <f>IF(E248="","",IF(ISNA(VLOOKUP($E248,'D-1 Off-Site Habitat Baseline'!$D$1:$Z$258,15,FALSE)),"",(VLOOKUP($E248,'D-1 Off-Site Habitat Baseline'!$D$1:$Z$258,15,FALSE))))</f>
        <v/>
      </c>
      <c r="AO248" s="329" t="str">
        <f>IF(AN248="","",IF(VLOOKUP(AN248,'G-3 Multipliers'!$S$3:$T$10,2,FALSE)=0,"Spatial Data Missing ⚠",VLOOKUP(AN248,'G-3 Multipliers'!$S$3:$T$10,2,FALSE)))</f>
        <v/>
      </c>
      <c r="AP248" s="289" t="str">
        <f t="shared" si="42"/>
        <v/>
      </c>
      <c r="AQ248" s="289" t="str">
        <f t="shared" si="43"/>
        <v/>
      </c>
      <c r="AR248" s="105"/>
      <c r="AS248" s="138"/>
      <c r="AT248" s="104"/>
      <c r="AU248" s="104"/>
      <c r="AY248" s="30" t="str">
        <f>IF(E248="","",IF(ISNA(VLOOKUP($E248,'D-1 Off-Site Habitat Baseline'!$D$1:$AV$258,4,FALSE)),"",(VLOOKUP($E248,'D-1 Off-Site Habitat Baseline'!$D$1:$AV$258,4,FALSE))))</f>
        <v/>
      </c>
    </row>
    <row r="249" spans="1:51" ht="14">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319" t="str">
        <f>'D-1 Off-Site Habitat Baseline'!AP248</f>
        <v/>
      </c>
      <c r="F249" s="283" t="str">
        <f>IF(E249="","",IF(ISNA(VLOOKUP($E249,'D-1 Off-Site Habitat Baseline'!$D$1:$ZZ$258,45,FALSE)),"",(VLOOKUP($E249,'D-1 Off-Site Habitat Baseline'!$D$1:$ZZ$258,45,FALSE))))</f>
        <v/>
      </c>
      <c r="G249" s="295" t="str">
        <f>IF(E249="","",IF(ISNA(VLOOKUP($E249,'D-1 Off-Site Habitat Baseline'!$D$1:$O$258,5,FALSE)),"",(VLOOKUP($E249,'D-1 Off-Site Habitat Baseline'!$D$1:$O$258,5,FALSE))))</f>
        <v/>
      </c>
      <c r="H249" s="295" t="str">
        <f>IF(E249="","",IF(ISNA(VLOOKUP($E249,'D-1 Off-Site Habitat Baseline'!$D$1:$O$258,6,FALSE)),"",(VLOOKUP($E249,'D-1 Off-Site Habitat Baseline'!$D$1:$O$258,6,FALSE))))</f>
        <v/>
      </c>
      <c r="I249" s="295" t="str">
        <f>IF(E249="","",IF(ISNA(VLOOKUP($E249,'D-1 Off-Site Habitat Baseline'!$D$1:$O$258,7,FALSE)),"",(VLOOKUP($E249,'D-1 Off-Site Habitat Baseline'!$D$1:$O$258,7,FALSE))))</f>
        <v/>
      </c>
      <c r="J249" s="295" t="str">
        <f>IF(E249="","",IF(ISNA(VLOOKUP($E249,'D-1 Off-Site Habitat Baseline'!$D$1:$O$258,8,FALSE)),"",(VLOOKUP($E249,'D-1 Off-Site Habitat Baseline'!$D$1:$O$258,8,FALSE))))</f>
        <v/>
      </c>
      <c r="K249" s="295" t="str">
        <f>IF(E249="","",IF(ISNA(VLOOKUP($E249,'D-1 Off-Site Habitat Baseline'!$D$1:$O$258,9,FALSE)),"",(VLOOKUP($E249,'D-1 Off-Site Habitat Baseline'!$D$1:$O$258,9,FALSE))))</f>
        <v/>
      </c>
      <c r="L249" s="295" t="str">
        <f>IF(E249="","",IF(ISNA(VLOOKUP($E249,'D-1 Off-Site Habitat Baseline'!$D$1:$O$258,11,FALSE)),"",(VLOOKUP($E249,'D-1 Off-Site Habitat Baseline'!$D$1:$O$258,11,FALSE))))</f>
        <v/>
      </c>
      <c r="M249" s="295" t="str">
        <f>IF(E249="","",IF(ISNA(VLOOKUP($E249,'D-1 Off-Site Habitat Baseline'!$D$1:$O$258,12,FALSE)),"",(VLOOKUP($E249,'D-1 Off-Site Habitat Baseline'!$D$1:$O$258,12,FALSE))))</f>
        <v/>
      </c>
      <c r="N249" s="295" t="str">
        <f>IF(E249="","",IF(ISNA(VLOOKUP($E249,'D-1 Off-Site Habitat Baseline'!$D$1:$AA$258,17,FALSE)),"",(VLOOKUP($E249,'D-1 Off-Site Habitat Baseline'!$D$1:$AA$258,17,FALSE))))</f>
        <v/>
      </c>
      <c r="O249" s="299" t="str">
        <f>IF(E249="","",IF(ISNA(VLOOKUP($E249,'D-1 Off-Site Habitat Baseline'!$D$1:$AA$258,13,FALSE)),"",(VLOOKUP($E249,'D-1 Off-Site Habitat Baseline'!$D$1:$AA$258,13,FALSE))))</f>
        <v/>
      </c>
      <c r="P249" s="148" t="str">
        <f>IFERROR(INDEX('G-1 All Habitats'!$AG$49:$AG$63,MATCH(Q249,'G-1 All Habitats'!$AF$27:$AF$41,0)),"")</f>
        <v/>
      </c>
      <c r="Q249" s="149" t="str">
        <f t="shared" si="35"/>
        <v/>
      </c>
      <c r="R249" s="150"/>
      <c r="S249" s="151" t="str">
        <f>IFERROR(INDEX('G-1 All Habitats'!$B$3:$B$135,MATCH(R249,'G-1 All Habitats'!$A$3:$A$135,0)),"")</f>
        <v/>
      </c>
      <c r="T249" s="283" t="str">
        <f t="shared" si="36"/>
        <v/>
      </c>
      <c r="U249" s="276" t="str">
        <f t="shared" si="37"/>
        <v/>
      </c>
      <c r="V249" s="298" t="str">
        <f t="shared" si="33"/>
        <v/>
      </c>
      <c r="W249" s="295" t="str">
        <f>IF(S249="","",VLOOKUP(S249,'G-1 All Habitats'!$B$2:$M$135,10,FALSE))</f>
        <v/>
      </c>
      <c r="X249" s="295" t="str">
        <f>IFERROR(VLOOKUP(W249,'G-1 All Habitats'!$V$3:$W$7,2,FALSE),"")</f>
        <v/>
      </c>
      <c r="Y249" s="138"/>
      <c r="Z249" s="299" t="str">
        <f>IFERROR(INDEX('G-8 Condition Look up'!$A$3:$H$135,MATCH(S249,'G-8 Condition Look up'!$A$3:$A$135,0),MATCH(Y249,'G-8 Condition Look up'!$A$3:$H$3,0)),"")</f>
        <v/>
      </c>
      <c r="AA249" s="101"/>
      <c r="AB249" s="314" t="str">
        <f>IF(AA249="","",IF(VLOOKUP(AA249,'G-3 Multipliers'!$L$3:$N$6,2,FALSE)=0,"Spatial Data Missing ⚠",VLOOKUP(AA249,'G-3 Multipliers'!$L$3:$N$6,2,FALSE)))</f>
        <v/>
      </c>
      <c r="AC249" s="299" t="str">
        <f>IF(AA249="","",IF(VLOOKUP(AA249,'G-3 Multipliers'!$L$3:$N$6,3,FALSE)=0,"Spatial Data Missing ⚠",VLOOKUP(AA249,'G-3 Multipliers'!$L$3:$N$6,3,FALSE)))</f>
        <v/>
      </c>
      <c r="AD249" s="311" t="str">
        <f t="shared" si="34"/>
        <v/>
      </c>
      <c r="AE249" s="138"/>
      <c r="AF249" s="138"/>
      <c r="AG249" s="295" t="str">
        <f t="shared" si="38"/>
        <v/>
      </c>
      <c r="AH249" s="296" t="str">
        <f t="shared" si="39"/>
        <v/>
      </c>
      <c r="AI249" s="300" t="str">
        <f>IF(AH249="Check Data ⚠","Check Data ⚠",IFERROR(VLOOKUP(AH249,'G-4 Temporal multipliers'!$A$4:$C$36,3,FALSE),""))</f>
        <v/>
      </c>
      <c r="AJ249" s="311" t="str">
        <f>IF(S249="","",VLOOKUP(S249,'G-3 Multipliers'!$A$2:$E$134,4,FALSE))</f>
        <v/>
      </c>
      <c r="AK249" s="295" t="str">
        <f t="shared" si="40"/>
        <v/>
      </c>
      <c r="AL249" s="295" t="str">
        <f t="shared" si="41"/>
        <v/>
      </c>
      <c r="AM249" s="299" t="str">
        <f>IFERROR(IF(F249="","",IF(AH249="Check Data ⚠","Check Data ⚠",VLOOKUP(AL249,'G-3 Multipliers'!$P$2:$Q$6,2,FALSE))),"")</f>
        <v/>
      </c>
      <c r="AN249" s="712" t="str">
        <f>IF(E249="","",IF(ISNA(VLOOKUP($E249,'D-1 Off-Site Habitat Baseline'!$D$1:$Z$258,15,FALSE)),"",(VLOOKUP($E249,'D-1 Off-Site Habitat Baseline'!$D$1:$Z$258,15,FALSE))))</f>
        <v/>
      </c>
      <c r="AO249" s="329" t="str">
        <f>IF(AN249="","",IF(VLOOKUP(AN249,'G-3 Multipliers'!$S$3:$T$10,2,FALSE)=0,"Spatial Data Missing ⚠",VLOOKUP(AN249,'G-3 Multipliers'!$S$3:$T$10,2,FALSE)))</f>
        <v/>
      </c>
      <c r="AP249" s="289" t="str">
        <f t="shared" si="42"/>
        <v/>
      </c>
      <c r="AQ249" s="289" t="str">
        <f t="shared" si="43"/>
        <v/>
      </c>
      <c r="AR249" s="105"/>
      <c r="AS249" s="138"/>
      <c r="AT249" s="104"/>
      <c r="AU249" s="104"/>
      <c r="AY249" s="30" t="str">
        <f>IF(E249="","",IF(ISNA(VLOOKUP($E249,'D-1 Off-Site Habitat Baseline'!$D$1:$AV$258,4,FALSE)),"",(VLOOKUP($E249,'D-1 Off-Site Habitat Baseline'!$D$1:$AV$258,4,FALSE))))</f>
        <v/>
      </c>
    </row>
    <row r="250" spans="1:51" ht="14">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319" t="str">
        <f>'D-1 Off-Site Habitat Baseline'!AP249</f>
        <v/>
      </c>
      <c r="F250" s="283" t="str">
        <f>IF(E250="","",IF(ISNA(VLOOKUP($E250,'D-1 Off-Site Habitat Baseline'!$D$1:$ZZ$258,45,FALSE)),"",(VLOOKUP($E250,'D-1 Off-Site Habitat Baseline'!$D$1:$ZZ$258,45,FALSE))))</f>
        <v/>
      </c>
      <c r="G250" s="295" t="str">
        <f>IF(E250="","",IF(ISNA(VLOOKUP($E250,'D-1 Off-Site Habitat Baseline'!$D$1:$O$258,5,FALSE)),"",(VLOOKUP($E250,'D-1 Off-Site Habitat Baseline'!$D$1:$O$258,5,FALSE))))</f>
        <v/>
      </c>
      <c r="H250" s="295" t="str">
        <f>IF(E250="","",IF(ISNA(VLOOKUP($E250,'D-1 Off-Site Habitat Baseline'!$D$1:$O$258,6,FALSE)),"",(VLOOKUP($E250,'D-1 Off-Site Habitat Baseline'!$D$1:$O$258,6,FALSE))))</f>
        <v/>
      </c>
      <c r="I250" s="295" t="str">
        <f>IF(E250="","",IF(ISNA(VLOOKUP($E250,'D-1 Off-Site Habitat Baseline'!$D$1:$O$258,7,FALSE)),"",(VLOOKUP($E250,'D-1 Off-Site Habitat Baseline'!$D$1:$O$258,7,FALSE))))</f>
        <v/>
      </c>
      <c r="J250" s="295" t="str">
        <f>IF(E250="","",IF(ISNA(VLOOKUP($E250,'D-1 Off-Site Habitat Baseline'!$D$1:$O$258,8,FALSE)),"",(VLOOKUP($E250,'D-1 Off-Site Habitat Baseline'!$D$1:$O$258,8,FALSE))))</f>
        <v/>
      </c>
      <c r="K250" s="295" t="str">
        <f>IF(E250="","",IF(ISNA(VLOOKUP($E250,'D-1 Off-Site Habitat Baseline'!$D$1:$O$258,9,FALSE)),"",(VLOOKUP($E250,'D-1 Off-Site Habitat Baseline'!$D$1:$O$258,9,FALSE))))</f>
        <v/>
      </c>
      <c r="L250" s="295" t="str">
        <f>IF(E250="","",IF(ISNA(VLOOKUP($E250,'D-1 Off-Site Habitat Baseline'!$D$1:$O$258,11,FALSE)),"",(VLOOKUP($E250,'D-1 Off-Site Habitat Baseline'!$D$1:$O$258,11,FALSE))))</f>
        <v/>
      </c>
      <c r="M250" s="295" t="str">
        <f>IF(E250="","",IF(ISNA(VLOOKUP($E250,'D-1 Off-Site Habitat Baseline'!$D$1:$O$258,12,FALSE)),"",(VLOOKUP($E250,'D-1 Off-Site Habitat Baseline'!$D$1:$O$258,12,FALSE))))</f>
        <v/>
      </c>
      <c r="N250" s="295" t="str">
        <f>IF(E250="","",IF(ISNA(VLOOKUP($E250,'D-1 Off-Site Habitat Baseline'!$D$1:$AA$258,17,FALSE)),"",(VLOOKUP($E250,'D-1 Off-Site Habitat Baseline'!$D$1:$AA$258,17,FALSE))))</f>
        <v/>
      </c>
      <c r="O250" s="299" t="str">
        <f>IF(E250="","",IF(ISNA(VLOOKUP($E250,'D-1 Off-Site Habitat Baseline'!$D$1:$AA$258,13,FALSE)),"",(VLOOKUP($E250,'D-1 Off-Site Habitat Baseline'!$D$1:$AA$258,13,FALSE))))</f>
        <v/>
      </c>
      <c r="P250" s="148" t="str">
        <f>IFERROR(INDEX('G-1 All Habitats'!$AG$49:$AG$63,MATCH(Q250,'G-1 All Habitats'!$AF$27:$AF$41,0)),"")</f>
        <v/>
      </c>
      <c r="Q250" s="149" t="str">
        <f t="shared" si="35"/>
        <v/>
      </c>
      <c r="R250" s="150"/>
      <c r="S250" s="151" t="str">
        <f>IFERROR(INDEX('G-1 All Habitats'!$B$3:$B$135,MATCH(R250,'G-1 All Habitats'!$A$3:$A$135,0)),"")</f>
        <v/>
      </c>
      <c r="T250" s="283" t="str">
        <f t="shared" si="36"/>
        <v/>
      </c>
      <c r="U250" s="276" t="str">
        <f t="shared" si="37"/>
        <v/>
      </c>
      <c r="V250" s="298" t="str">
        <f t="shared" si="33"/>
        <v/>
      </c>
      <c r="W250" s="295" t="str">
        <f>IF(S250="","",VLOOKUP(S250,'G-1 All Habitats'!$B$2:$M$135,10,FALSE))</f>
        <v/>
      </c>
      <c r="X250" s="295" t="str">
        <f>IFERROR(VLOOKUP(W250,'G-1 All Habitats'!$V$3:$W$7,2,FALSE),"")</f>
        <v/>
      </c>
      <c r="Y250" s="138"/>
      <c r="Z250" s="299" t="str">
        <f>IFERROR(INDEX('G-8 Condition Look up'!$A$3:$H$135,MATCH(S250,'G-8 Condition Look up'!$A$3:$A$135,0),MATCH(Y250,'G-8 Condition Look up'!$A$3:$H$3,0)),"")</f>
        <v/>
      </c>
      <c r="AA250" s="101"/>
      <c r="AB250" s="314" t="str">
        <f>IF(AA250="","",IF(VLOOKUP(AA250,'G-3 Multipliers'!$L$3:$N$6,2,FALSE)=0,"Spatial Data Missing ⚠",VLOOKUP(AA250,'G-3 Multipliers'!$L$3:$N$6,2,FALSE)))</f>
        <v/>
      </c>
      <c r="AC250" s="299" t="str">
        <f>IF(AA250="","",IF(VLOOKUP(AA250,'G-3 Multipliers'!$L$3:$N$6,3,FALSE)=0,"Spatial Data Missing ⚠",VLOOKUP(AA250,'G-3 Multipliers'!$L$3:$N$6,3,FALSE)))</f>
        <v/>
      </c>
      <c r="AD250" s="311" t="str">
        <f t="shared" si="34"/>
        <v/>
      </c>
      <c r="AE250" s="138"/>
      <c r="AF250" s="138"/>
      <c r="AG250" s="295" t="str">
        <f t="shared" si="38"/>
        <v/>
      </c>
      <c r="AH250" s="296" t="str">
        <f t="shared" si="39"/>
        <v/>
      </c>
      <c r="AI250" s="300" t="str">
        <f>IF(AH250="Check Data ⚠","Check Data ⚠",IFERROR(VLOOKUP(AH250,'G-4 Temporal multipliers'!$A$4:$C$36,3,FALSE),""))</f>
        <v/>
      </c>
      <c r="AJ250" s="311" t="str">
        <f>IF(S250="","",VLOOKUP(S250,'G-3 Multipliers'!$A$2:$E$134,4,FALSE))</f>
        <v/>
      </c>
      <c r="AK250" s="295" t="str">
        <f t="shared" si="40"/>
        <v/>
      </c>
      <c r="AL250" s="295" t="str">
        <f t="shared" si="41"/>
        <v/>
      </c>
      <c r="AM250" s="299" t="str">
        <f>IFERROR(IF(F250="","",IF(AH250="Check Data ⚠","Check Data ⚠",VLOOKUP(AL250,'G-3 Multipliers'!$P$2:$Q$6,2,FALSE))),"")</f>
        <v/>
      </c>
      <c r="AN250" s="712" t="str">
        <f>IF(E250="","",IF(ISNA(VLOOKUP($E250,'D-1 Off-Site Habitat Baseline'!$D$1:$Z$258,15,FALSE)),"",(VLOOKUP($E250,'D-1 Off-Site Habitat Baseline'!$D$1:$Z$258,15,FALSE))))</f>
        <v/>
      </c>
      <c r="AO250" s="329" t="str">
        <f>IF(AN250="","",IF(VLOOKUP(AN250,'G-3 Multipliers'!$S$3:$T$10,2,FALSE)=0,"Spatial Data Missing ⚠",VLOOKUP(AN250,'G-3 Multipliers'!$S$3:$T$10,2,FALSE)))</f>
        <v/>
      </c>
      <c r="AP250" s="289" t="str">
        <f t="shared" si="42"/>
        <v/>
      </c>
      <c r="AQ250" s="289" t="str">
        <f t="shared" si="43"/>
        <v/>
      </c>
      <c r="AR250" s="105"/>
      <c r="AS250" s="138"/>
      <c r="AT250" s="104"/>
      <c r="AU250" s="104"/>
      <c r="AY250" s="30" t="str">
        <f>IF(E250="","",IF(ISNA(VLOOKUP($E250,'D-1 Off-Site Habitat Baseline'!$D$1:$AV$258,4,FALSE)),"",(VLOOKUP($E250,'D-1 Off-Site Habitat Baseline'!$D$1:$AV$258,4,FALSE))))</f>
        <v/>
      </c>
    </row>
    <row r="251" spans="1:51" ht="14">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319" t="str">
        <f>'D-1 Off-Site Habitat Baseline'!AP250</f>
        <v/>
      </c>
      <c r="F251" s="283" t="str">
        <f>IF(E251="","",IF(ISNA(VLOOKUP($E251,'D-1 Off-Site Habitat Baseline'!$D$1:$ZZ$258,45,FALSE)),"",(VLOOKUP($E251,'D-1 Off-Site Habitat Baseline'!$D$1:$ZZ$258,45,FALSE))))</f>
        <v/>
      </c>
      <c r="G251" s="295" t="str">
        <f>IF(E251="","",IF(ISNA(VLOOKUP($E251,'D-1 Off-Site Habitat Baseline'!$D$1:$O$258,5,FALSE)),"",(VLOOKUP($E251,'D-1 Off-Site Habitat Baseline'!$D$1:$O$258,5,FALSE))))</f>
        <v/>
      </c>
      <c r="H251" s="295" t="str">
        <f>IF(E251="","",IF(ISNA(VLOOKUP($E251,'D-1 Off-Site Habitat Baseline'!$D$1:$O$258,6,FALSE)),"",(VLOOKUP($E251,'D-1 Off-Site Habitat Baseline'!$D$1:$O$258,6,FALSE))))</f>
        <v/>
      </c>
      <c r="I251" s="295" t="str">
        <f>IF(E251="","",IF(ISNA(VLOOKUP($E251,'D-1 Off-Site Habitat Baseline'!$D$1:$O$258,7,FALSE)),"",(VLOOKUP($E251,'D-1 Off-Site Habitat Baseline'!$D$1:$O$258,7,FALSE))))</f>
        <v/>
      </c>
      <c r="J251" s="295" t="str">
        <f>IF(E251="","",IF(ISNA(VLOOKUP($E251,'D-1 Off-Site Habitat Baseline'!$D$1:$O$258,8,FALSE)),"",(VLOOKUP($E251,'D-1 Off-Site Habitat Baseline'!$D$1:$O$258,8,FALSE))))</f>
        <v/>
      </c>
      <c r="K251" s="295" t="str">
        <f>IF(E251="","",IF(ISNA(VLOOKUP($E251,'D-1 Off-Site Habitat Baseline'!$D$1:$O$258,9,FALSE)),"",(VLOOKUP($E251,'D-1 Off-Site Habitat Baseline'!$D$1:$O$258,9,FALSE))))</f>
        <v/>
      </c>
      <c r="L251" s="295" t="str">
        <f>IF(E251="","",IF(ISNA(VLOOKUP($E251,'D-1 Off-Site Habitat Baseline'!$D$1:$O$258,11,FALSE)),"",(VLOOKUP($E251,'D-1 Off-Site Habitat Baseline'!$D$1:$O$258,11,FALSE))))</f>
        <v/>
      </c>
      <c r="M251" s="295" t="str">
        <f>IF(E251="","",IF(ISNA(VLOOKUP($E251,'D-1 Off-Site Habitat Baseline'!$D$1:$O$258,12,FALSE)),"",(VLOOKUP($E251,'D-1 Off-Site Habitat Baseline'!$D$1:$O$258,12,FALSE))))</f>
        <v/>
      </c>
      <c r="N251" s="295" t="str">
        <f>IF(E251="","",IF(ISNA(VLOOKUP($E251,'D-1 Off-Site Habitat Baseline'!$D$1:$AA$258,17,FALSE)),"",(VLOOKUP($E251,'D-1 Off-Site Habitat Baseline'!$D$1:$AA$258,17,FALSE))))</f>
        <v/>
      </c>
      <c r="O251" s="299" t="str">
        <f>IF(E251="","",IF(ISNA(VLOOKUP($E251,'D-1 Off-Site Habitat Baseline'!$D$1:$AA$258,13,FALSE)),"",(VLOOKUP($E251,'D-1 Off-Site Habitat Baseline'!$D$1:$AA$258,13,FALSE))))</f>
        <v/>
      </c>
      <c r="P251" s="148" t="str">
        <f>IFERROR(INDEX('G-1 All Habitats'!$AG$49:$AG$63,MATCH(Q251,'G-1 All Habitats'!$AF$27:$AF$41,0)),"")</f>
        <v/>
      </c>
      <c r="Q251" s="149" t="str">
        <f t="shared" si="35"/>
        <v/>
      </c>
      <c r="R251" s="150"/>
      <c r="S251" s="151" t="str">
        <f>IFERROR(INDEX('G-1 All Habitats'!$B$3:$B$135,MATCH(R251,'G-1 All Habitats'!$A$3:$A$135,0)),"")</f>
        <v/>
      </c>
      <c r="T251" s="283" t="str">
        <f t="shared" si="36"/>
        <v/>
      </c>
      <c r="U251" s="276" t="str">
        <f t="shared" si="37"/>
        <v/>
      </c>
      <c r="V251" s="298" t="str">
        <f t="shared" si="33"/>
        <v/>
      </c>
      <c r="W251" s="295" t="str">
        <f>IF(S251="","",VLOOKUP(S251,'G-1 All Habitats'!$B$2:$M$135,10,FALSE))</f>
        <v/>
      </c>
      <c r="X251" s="295" t="str">
        <f>IFERROR(VLOOKUP(W251,'G-1 All Habitats'!$V$3:$W$7,2,FALSE),"")</f>
        <v/>
      </c>
      <c r="Y251" s="138"/>
      <c r="Z251" s="299" t="str">
        <f>IFERROR(INDEX('G-8 Condition Look up'!$A$3:$H$135,MATCH(S251,'G-8 Condition Look up'!$A$3:$A$135,0),MATCH(Y251,'G-8 Condition Look up'!$A$3:$H$3,0)),"")</f>
        <v/>
      </c>
      <c r="AA251" s="101"/>
      <c r="AB251" s="314" t="str">
        <f>IF(AA251="","",IF(VLOOKUP(AA251,'G-3 Multipliers'!$L$3:$N$6,2,FALSE)=0,"Spatial Data Missing ⚠",VLOOKUP(AA251,'G-3 Multipliers'!$L$3:$N$6,2,FALSE)))</f>
        <v/>
      </c>
      <c r="AC251" s="299" t="str">
        <f>IF(AA251="","",IF(VLOOKUP(AA251,'G-3 Multipliers'!$L$3:$N$6,3,FALSE)=0,"Spatial Data Missing ⚠",VLOOKUP(AA251,'G-3 Multipliers'!$L$3:$N$6,3,FALSE)))</f>
        <v/>
      </c>
      <c r="AD251" s="311" t="str">
        <f t="shared" si="34"/>
        <v/>
      </c>
      <c r="AE251" s="138"/>
      <c r="AF251" s="138"/>
      <c r="AG251" s="295" t="str">
        <f t="shared" si="38"/>
        <v/>
      </c>
      <c r="AH251" s="296" t="str">
        <f t="shared" si="39"/>
        <v/>
      </c>
      <c r="AI251" s="300" t="str">
        <f>IF(AH251="Check Data ⚠","Check Data ⚠",IFERROR(VLOOKUP(AH251,'G-4 Temporal multipliers'!$A$4:$C$36,3,FALSE),""))</f>
        <v/>
      </c>
      <c r="AJ251" s="311" t="str">
        <f>IF(S251="","",VLOOKUP(S251,'G-3 Multipliers'!$A$2:$E$134,4,FALSE))</f>
        <v/>
      </c>
      <c r="AK251" s="295" t="str">
        <f t="shared" si="40"/>
        <v/>
      </c>
      <c r="AL251" s="295" t="str">
        <f t="shared" si="41"/>
        <v/>
      </c>
      <c r="AM251" s="299" t="str">
        <f>IFERROR(IF(F251="","",IF(AH251="Check Data ⚠","Check Data ⚠",VLOOKUP(AL251,'G-3 Multipliers'!$P$2:$Q$6,2,FALSE))),"")</f>
        <v/>
      </c>
      <c r="AN251" s="712" t="str">
        <f>IF(E251="","",IF(ISNA(VLOOKUP($E251,'D-1 Off-Site Habitat Baseline'!$D$1:$Z$258,15,FALSE)),"",(VLOOKUP($E251,'D-1 Off-Site Habitat Baseline'!$D$1:$Z$258,15,FALSE))))</f>
        <v/>
      </c>
      <c r="AO251" s="329" t="str">
        <f>IF(AN251="","",IF(VLOOKUP(AN251,'G-3 Multipliers'!$S$3:$T$10,2,FALSE)=0,"Spatial Data Missing ⚠",VLOOKUP(AN251,'G-3 Multipliers'!$S$3:$T$10,2,FALSE)))</f>
        <v/>
      </c>
      <c r="AP251" s="289" t="str">
        <f t="shared" si="42"/>
        <v/>
      </c>
      <c r="AQ251" s="289" t="str">
        <f t="shared" si="43"/>
        <v/>
      </c>
      <c r="AR251" s="105"/>
      <c r="AS251" s="138"/>
      <c r="AT251" s="104"/>
      <c r="AU251" s="104"/>
      <c r="AY251" s="30" t="str">
        <f>IF(E251="","",IF(ISNA(VLOOKUP($E251,'D-1 Off-Site Habitat Baseline'!$D$1:$AV$258,4,FALSE)),"",(VLOOKUP($E251,'D-1 Off-Site Habitat Baseline'!$D$1:$AV$258,4,FALSE))))</f>
        <v/>
      </c>
    </row>
    <row r="252" spans="1:51" ht="14">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319" t="str">
        <f>'D-1 Off-Site Habitat Baseline'!AP251</f>
        <v/>
      </c>
      <c r="F252" s="283" t="str">
        <f>IF(E252="","",IF(ISNA(VLOOKUP($E252,'D-1 Off-Site Habitat Baseline'!$D$1:$ZZ$258,45,FALSE)),"",(VLOOKUP($E252,'D-1 Off-Site Habitat Baseline'!$D$1:$ZZ$258,45,FALSE))))</f>
        <v/>
      </c>
      <c r="G252" s="295" t="str">
        <f>IF(E252="","",IF(ISNA(VLOOKUP($E252,'D-1 Off-Site Habitat Baseline'!$D$1:$O$258,5,FALSE)),"",(VLOOKUP($E252,'D-1 Off-Site Habitat Baseline'!$D$1:$O$258,5,FALSE))))</f>
        <v/>
      </c>
      <c r="H252" s="295" t="str">
        <f>IF(E252="","",IF(ISNA(VLOOKUP($E252,'D-1 Off-Site Habitat Baseline'!$D$1:$O$258,6,FALSE)),"",(VLOOKUP($E252,'D-1 Off-Site Habitat Baseline'!$D$1:$O$258,6,FALSE))))</f>
        <v/>
      </c>
      <c r="I252" s="295" t="str">
        <f>IF(E252="","",IF(ISNA(VLOOKUP($E252,'D-1 Off-Site Habitat Baseline'!$D$1:$O$258,7,FALSE)),"",(VLOOKUP($E252,'D-1 Off-Site Habitat Baseline'!$D$1:$O$258,7,FALSE))))</f>
        <v/>
      </c>
      <c r="J252" s="295" t="str">
        <f>IF(E252="","",IF(ISNA(VLOOKUP($E252,'D-1 Off-Site Habitat Baseline'!$D$1:$O$258,8,FALSE)),"",(VLOOKUP($E252,'D-1 Off-Site Habitat Baseline'!$D$1:$O$258,8,FALSE))))</f>
        <v/>
      </c>
      <c r="K252" s="295" t="str">
        <f>IF(E252="","",IF(ISNA(VLOOKUP($E252,'D-1 Off-Site Habitat Baseline'!$D$1:$O$258,9,FALSE)),"",(VLOOKUP($E252,'D-1 Off-Site Habitat Baseline'!$D$1:$O$258,9,FALSE))))</f>
        <v/>
      </c>
      <c r="L252" s="295" t="str">
        <f>IF(E252="","",IF(ISNA(VLOOKUP($E252,'D-1 Off-Site Habitat Baseline'!$D$1:$O$258,11,FALSE)),"",(VLOOKUP($E252,'D-1 Off-Site Habitat Baseline'!$D$1:$O$258,11,FALSE))))</f>
        <v/>
      </c>
      <c r="M252" s="295" t="str">
        <f>IF(E252="","",IF(ISNA(VLOOKUP($E252,'D-1 Off-Site Habitat Baseline'!$D$1:$O$258,12,FALSE)),"",(VLOOKUP($E252,'D-1 Off-Site Habitat Baseline'!$D$1:$O$258,12,FALSE))))</f>
        <v/>
      </c>
      <c r="N252" s="295" t="str">
        <f>IF(E252="","",IF(ISNA(VLOOKUP($E252,'D-1 Off-Site Habitat Baseline'!$D$1:$AA$258,17,FALSE)),"",(VLOOKUP($E252,'D-1 Off-Site Habitat Baseline'!$D$1:$AA$258,17,FALSE))))</f>
        <v/>
      </c>
      <c r="O252" s="299" t="str">
        <f>IF(E252="","",IF(ISNA(VLOOKUP($E252,'D-1 Off-Site Habitat Baseline'!$D$1:$AA$258,13,FALSE)),"",(VLOOKUP($E252,'D-1 Off-Site Habitat Baseline'!$D$1:$AA$258,13,FALSE))))</f>
        <v/>
      </c>
      <c r="P252" s="148" t="str">
        <f>IFERROR(INDEX('G-1 All Habitats'!$AG$49:$AG$63,MATCH(Q252,'G-1 All Habitats'!$AF$27:$AF$41,0)),"")</f>
        <v/>
      </c>
      <c r="Q252" s="149" t="str">
        <f t="shared" si="35"/>
        <v/>
      </c>
      <c r="R252" s="150"/>
      <c r="S252" s="151" t="str">
        <f>IFERROR(INDEX('G-1 All Habitats'!$B$3:$B$135,MATCH(R252,'G-1 All Habitats'!$A$3:$A$135,0)),"")</f>
        <v/>
      </c>
      <c r="T252" s="283" t="str">
        <f t="shared" si="36"/>
        <v/>
      </c>
      <c r="U252" s="276" t="str">
        <f t="shared" si="37"/>
        <v/>
      </c>
      <c r="V252" s="298" t="str">
        <f t="shared" si="33"/>
        <v/>
      </c>
      <c r="W252" s="295" t="str">
        <f>IF(S252="","",VLOOKUP(S252,'G-1 All Habitats'!$B$2:$M$135,10,FALSE))</f>
        <v/>
      </c>
      <c r="X252" s="295" t="str">
        <f>IFERROR(VLOOKUP(W252,'G-1 All Habitats'!$V$3:$W$7,2,FALSE),"")</f>
        <v/>
      </c>
      <c r="Y252" s="138"/>
      <c r="Z252" s="299" t="str">
        <f>IFERROR(INDEX('G-8 Condition Look up'!$A$3:$H$135,MATCH(S252,'G-8 Condition Look up'!$A$3:$A$135,0),MATCH(Y252,'G-8 Condition Look up'!$A$3:$H$3,0)),"")</f>
        <v/>
      </c>
      <c r="AA252" s="101"/>
      <c r="AB252" s="314" t="str">
        <f>IF(AA252="","",IF(VLOOKUP(AA252,'G-3 Multipliers'!$L$3:$N$6,2,FALSE)=0,"Spatial Data Missing ⚠",VLOOKUP(AA252,'G-3 Multipliers'!$L$3:$N$6,2,FALSE)))</f>
        <v/>
      </c>
      <c r="AC252" s="299" t="str">
        <f>IF(AA252="","",IF(VLOOKUP(AA252,'G-3 Multipliers'!$L$3:$N$6,3,FALSE)=0,"Spatial Data Missing ⚠",VLOOKUP(AA252,'G-3 Multipliers'!$L$3:$N$6,3,FALSE)))</f>
        <v/>
      </c>
      <c r="AD252" s="311" t="str">
        <f t="shared" si="34"/>
        <v/>
      </c>
      <c r="AE252" s="138"/>
      <c r="AF252" s="138"/>
      <c r="AG252" s="295" t="str">
        <f t="shared" si="38"/>
        <v/>
      </c>
      <c r="AH252" s="296" t="str">
        <f t="shared" si="39"/>
        <v/>
      </c>
      <c r="AI252" s="300" t="str">
        <f>IF(AH252="Check Data ⚠","Check Data ⚠",IFERROR(VLOOKUP(AH252,'G-4 Temporal multipliers'!$A$4:$C$36,3,FALSE),""))</f>
        <v/>
      </c>
      <c r="AJ252" s="311" t="str">
        <f>IF(S252="","",VLOOKUP(S252,'G-3 Multipliers'!$A$2:$E$134,4,FALSE))</f>
        <v/>
      </c>
      <c r="AK252" s="295" t="str">
        <f t="shared" si="40"/>
        <v/>
      </c>
      <c r="AL252" s="295" t="str">
        <f t="shared" si="41"/>
        <v/>
      </c>
      <c r="AM252" s="299" t="str">
        <f>IFERROR(IF(F252="","",IF(AH252="Check Data ⚠","Check Data ⚠",VLOOKUP(AL252,'G-3 Multipliers'!$P$2:$Q$6,2,FALSE))),"")</f>
        <v/>
      </c>
      <c r="AN252" s="712" t="str">
        <f>IF(E252="","",IF(ISNA(VLOOKUP($E252,'D-1 Off-Site Habitat Baseline'!$D$1:$Z$258,15,FALSE)),"",(VLOOKUP($E252,'D-1 Off-Site Habitat Baseline'!$D$1:$Z$258,15,FALSE))))</f>
        <v/>
      </c>
      <c r="AO252" s="329" t="str">
        <f>IF(AN252="","",IF(VLOOKUP(AN252,'G-3 Multipliers'!$S$3:$T$10,2,FALSE)=0,"Spatial Data Missing ⚠",VLOOKUP(AN252,'G-3 Multipliers'!$S$3:$T$10,2,FALSE)))</f>
        <v/>
      </c>
      <c r="AP252" s="289" t="str">
        <f t="shared" si="42"/>
        <v/>
      </c>
      <c r="AQ252" s="289" t="str">
        <f t="shared" si="43"/>
        <v/>
      </c>
      <c r="AR252" s="105"/>
      <c r="AS252" s="138"/>
      <c r="AT252" s="104"/>
      <c r="AU252" s="104"/>
      <c r="AY252" s="30" t="str">
        <f>IF(E252="","",IF(ISNA(VLOOKUP($E252,'D-1 Off-Site Habitat Baseline'!$D$1:$AV$258,4,FALSE)),"",(VLOOKUP($E252,'D-1 Off-Site Habitat Baseline'!$D$1:$AV$258,4,FALSE))))</f>
        <v/>
      </c>
    </row>
    <row r="253" spans="1:51" ht="14">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319" t="str">
        <f>'D-1 Off-Site Habitat Baseline'!AP252</f>
        <v/>
      </c>
      <c r="F253" s="283" t="str">
        <f>IF(E253="","",IF(ISNA(VLOOKUP($E253,'D-1 Off-Site Habitat Baseline'!$D$1:$ZZ$258,45,FALSE)),"",(VLOOKUP($E253,'D-1 Off-Site Habitat Baseline'!$D$1:$ZZ$258,45,FALSE))))</f>
        <v/>
      </c>
      <c r="G253" s="295" t="str">
        <f>IF(E253="","",IF(ISNA(VLOOKUP($E253,'D-1 Off-Site Habitat Baseline'!$D$1:$O$258,5,FALSE)),"",(VLOOKUP($E253,'D-1 Off-Site Habitat Baseline'!$D$1:$O$258,5,FALSE))))</f>
        <v/>
      </c>
      <c r="H253" s="295" t="str">
        <f>IF(E253="","",IF(ISNA(VLOOKUP($E253,'D-1 Off-Site Habitat Baseline'!$D$1:$O$258,6,FALSE)),"",(VLOOKUP($E253,'D-1 Off-Site Habitat Baseline'!$D$1:$O$258,6,FALSE))))</f>
        <v/>
      </c>
      <c r="I253" s="295" t="str">
        <f>IF(E253="","",IF(ISNA(VLOOKUP($E253,'D-1 Off-Site Habitat Baseline'!$D$1:$O$258,7,FALSE)),"",(VLOOKUP($E253,'D-1 Off-Site Habitat Baseline'!$D$1:$O$258,7,FALSE))))</f>
        <v/>
      </c>
      <c r="J253" s="295" t="str">
        <f>IF(E253="","",IF(ISNA(VLOOKUP($E253,'D-1 Off-Site Habitat Baseline'!$D$1:$O$258,8,FALSE)),"",(VLOOKUP($E253,'D-1 Off-Site Habitat Baseline'!$D$1:$O$258,8,FALSE))))</f>
        <v/>
      </c>
      <c r="K253" s="295" t="str">
        <f>IF(E253="","",IF(ISNA(VLOOKUP($E253,'D-1 Off-Site Habitat Baseline'!$D$1:$O$258,9,FALSE)),"",(VLOOKUP($E253,'D-1 Off-Site Habitat Baseline'!$D$1:$O$258,9,FALSE))))</f>
        <v/>
      </c>
      <c r="L253" s="295" t="str">
        <f>IF(E253="","",IF(ISNA(VLOOKUP($E253,'D-1 Off-Site Habitat Baseline'!$D$1:$O$258,11,FALSE)),"",(VLOOKUP($E253,'D-1 Off-Site Habitat Baseline'!$D$1:$O$258,11,FALSE))))</f>
        <v/>
      </c>
      <c r="M253" s="295" t="str">
        <f>IF(E253="","",IF(ISNA(VLOOKUP($E253,'D-1 Off-Site Habitat Baseline'!$D$1:$O$258,12,FALSE)),"",(VLOOKUP($E253,'D-1 Off-Site Habitat Baseline'!$D$1:$O$258,12,FALSE))))</f>
        <v/>
      </c>
      <c r="N253" s="295" t="str">
        <f>IF(E253="","",IF(ISNA(VLOOKUP($E253,'D-1 Off-Site Habitat Baseline'!$D$1:$AA$258,17,FALSE)),"",(VLOOKUP($E253,'D-1 Off-Site Habitat Baseline'!$D$1:$AA$258,17,FALSE))))</f>
        <v/>
      </c>
      <c r="O253" s="299" t="str">
        <f>IF(E253="","",IF(ISNA(VLOOKUP($E253,'D-1 Off-Site Habitat Baseline'!$D$1:$AA$258,13,FALSE)),"",(VLOOKUP($E253,'D-1 Off-Site Habitat Baseline'!$D$1:$AA$258,13,FALSE))))</f>
        <v/>
      </c>
      <c r="P253" s="148" t="str">
        <f>IFERROR(INDEX('G-1 All Habitats'!$AG$49:$AG$63,MATCH(Q253,'G-1 All Habitats'!$AF$27:$AF$41,0)),"")</f>
        <v/>
      </c>
      <c r="Q253" s="149" t="str">
        <f t="shared" si="35"/>
        <v/>
      </c>
      <c r="R253" s="150"/>
      <c r="S253" s="151" t="str">
        <f>IFERROR(INDEX('G-1 All Habitats'!$B$3:$B$135,MATCH(R253,'G-1 All Habitats'!$A$3:$A$135,0)),"")</f>
        <v/>
      </c>
      <c r="T253" s="283" t="str">
        <f t="shared" si="36"/>
        <v/>
      </c>
      <c r="U253" s="276" t="str">
        <f t="shared" si="37"/>
        <v/>
      </c>
      <c r="V253" s="298" t="str">
        <f t="shared" si="33"/>
        <v/>
      </c>
      <c r="W253" s="295" t="str">
        <f>IF(S253="","",VLOOKUP(S253,'G-1 All Habitats'!$B$2:$M$135,10,FALSE))</f>
        <v/>
      </c>
      <c r="X253" s="295" t="str">
        <f>IFERROR(VLOOKUP(W253,'G-1 All Habitats'!$V$3:$W$7,2,FALSE),"")</f>
        <v/>
      </c>
      <c r="Y253" s="138"/>
      <c r="Z253" s="299" t="str">
        <f>IFERROR(INDEX('G-8 Condition Look up'!$A$3:$H$135,MATCH(S253,'G-8 Condition Look up'!$A$3:$A$135,0),MATCH(Y253,'G-8 Condition Look up'!$A$3:$H$3,0)),"")</f>
        <v/>
      </c>
      <c r="AA253" s="101"/>
      <c r="AB253" s="314" t="str">
        <f>IF(AA253="","",IF(VLOOKUP(AA253,'G-3 Multipliers'!$L$3:$N$6,2,FALSE)=0,"Spatial Data Missing ⚠",VLOOKUP(AA253,'G-3 Multipliers'!$L$3:$N$6,2,FALSE)))</f>
        <v/>
      </c>
      <c r="AC253" s="299" t="str">
        <f>IF(AA253="","",IF(VLOOKUP(AA253,'G-3 Multipliers'!$L$3:$N$6,3,FALSE)=0,"Spatial Data Missing ⚠",VLOOKUP(AA253,'G-3 Multipliers'!$L$3:$N$6,3,FALSE)))</f>
        <v/>
      </c>
      <c r="AD253" s="311" t="str">
        <f t="shared" si="34"/>
        <v/>
      </c>
      <c r="AE253" s="138"/>
      <c r="AF253" s="138"/>
      <c r="AG253" s="295" t="str">
        <f t="shared" si="38"/>
        <v/>
      </c>
      <c r="AH253" s="296" t="str">
        <f t="shared" si="39"/>
        <v/>
      </c>
      <c r="AI253" s="300" t="str">
        <f>IF(AH253="Check Data ⚠","Check Data ⚠",IFERROR(VLOOKUP(AH253,'G-4 Temporal multipliers'!$A$4:$C$36,3,FALSE),""))</f>
        <v/>
      </c>
      <c r="AJ253" s="311" t="str">
        <f>IF(S253="","",VLOOKUP(S253,'G-3 Multipliers'!$A$2:$E$134,4,FALSE))</f>
        <v/>
      </c>
      <c r="AK253" s="295" t="str">
        <f t="shared" si="40"/>
        <v/>
      </c>
      <c r="AL253" s="295" t="str">
        <f t="shared" si="41"/>
        <v/>
      </c>
      <c r="AM253" s="299" t="str">
        <f>IFERROR(IF(F253="","",IF(AH253="Check Data ⚠","Check Data ⚠",VLOOKUP(AL253,'G-3 Multipliers'!$P$2:$Q$6,2,FALSE))),"")</f>
        <v/>
      </c>
      <c r="AN253" s="712" t="str">
        <f>IF(E253="","",IF(ISNA(VLOOKUP($E253,'D-1 Off-Site Habitat Baseline'!$D$1:$Z$258,15,FALSE)),"",(VLOOKUP($E253,'D-1 Off-Site Habitat Baseline'!$D$1:$Z$258,15,FALSE))))</f>
        <v/>
      </c>
      <c r="AO253" s="329" t="str">
        <f>IF(AN253="","",IF(VLOOKUP(AN253,'G-3 Multipliers'!$S$3:$T$10,2,FALSE)=0,"Spatial Data Missing ⚠",VLOOKUP(AN253,'G-3 Multipliers'!$S$3:$T$10,2,FALSE)))</f>
        <v/>
      </c>
      <c r="AP253" s="289" t="str">
        <f t="shared" si="42"/>
        <v/>
      </c>
      <c r="AQ253" s="289" t="str">
        <f t="shared" si="43"/>
        <v/>
      </c>
      <c r="AR253" s="105"/>
      <c r="AS253" s="138"/>
      <c r="AT253" s="104"/>
      <c r="AU253" s="104"/>
      <c r="AY253" s="30" t="str">
        <f>IF(E253="","",IF(ISNA(VLOOKUP($E253,'D-1 Off-Site Habitat Baseline'!$D$1:$AV$258,4,FALSE)),"",(VLOOKUP($E253,'D-1 Off-Site Habitat Baseline'!$D$1:$AV$258,4,FALSE))))</f>
        <v/>
      </c>
    </row>
    <row r="254" spans="1:51" ht="14">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319" t="str">
        <f>'D-1 Off-Site Habitat Baseline'!AP253</f>
        <v/>
      </c>
      <c r="F254" s="283" t="str">
        <f>IF(E254="","",IF(ISNA(VLOOKUP($E254,'D-1 Off-Site Habitat Baseline'!$D$1:$ZZ$258,45,FALSE)),"",(VLOOKUP($E254,'D-1 Off-Site Habitat Baseline'!$D$1:$ZZ$258,45,FALSE))))</f>
        <v/>
      </c>
      <c r="G254" s="295" t="str">
        <f>IF(E254="","",IF(ISNA(VLOOKUP($E254,'D-1 Off-Site Habitat Baseline'!$D$1:$O$258,5,FALSE)),"",(VLOOKUP($E254,'D-1 Off-Site Habitat Baseline'!$D$1:$O$258,5,FALSE))))</f>
        <v/>
      </c>
      <c r="H254" s="295" t="str">
        <f>IF(E254="","",IF(ISNA(VLOOKUP($E254,'D-1 Off-Site Habitat Baseline'!$D$1:$O$258,6,FALSE)),"",(VLOOKUP($E254,'D-1 Off-Site Habitat Baseline'!$D$1:$O$258,6,FALSE))))</f>
        <v/>
      </c>
      <c r="I254" s="295" t="str">
        <f>IF(E254="","",IF(ISNA(VLOOKUP($E254,'D-1 Off-Site Habitat Baseline'!$D$1:$O$258,7,FALSE)),"",(VLOOKUP($E254,'D-1 Off-Site Habitat Baseline'!$D$1:$O$258,7,FALSE))))</f>
        <v/>
      </c>
      <c r="J254" s="295" t="str">
        <f>IF(E254="","",IF(ISNA(VLOOKUP($E254,'D-1 Off-Site Habitat Baseline'!$D$1:$O$258,8,FALSE)),"",(VLOOKUP($E254,'D-1 Off-Site Habitat Baseline'!$D$1:$O$258,8,FALSE))))</f>
        <v/>
      </c>
      <c r="K254" s="295" t="str">
        <f>IF(E254="","",IF(ISNA(VLOOKUP($E254,'D-1 Off-Site Habitat Baseline'!$D$1:$O$258,9,FALSE)),"",(VLOOKUP($E254,'D-1 Off-Site Habitat Baseline'!$D$1:$O$258,9,FALSE))))</f>
        <v/>
      </c>
      <c r="L254" s="295" t="str">
        <f>IF(E254="","",IF(ISNA(VLOOKUP($E254,'D-1 Off-Site Habitat Baseline'!$D$1:$O$258,11,FALSE)),"",(VLOOKUP($E254,'D-1 Off-Site Habitat Baseline'!$D$1:$O$258,11,FALSE))))</f>
        <v/>
      </c>
      <c r="M254" s="295" t="str">
        <f>IF(E254="","",IF(ISNA(VLOOKUP($E254,'D-1 Off-Site Habitat Baseline'!$D$1:$O$258,12,FALSE)),"",(VLOOKUP($E254,'D-1 Off-Site Habitat Baseline'!$D$1:$O$258,12,FALSE))))</f>
        <v/>
      </c>
      <c r="N254" s="295" t="str">
        <f>IF(E254="","",IF(ISNA(VLOOKUP($E254,'D-1 Off-Site Habitat Baseline'!$D$1:$AA$258,17,FALSE)),"",(VLOOKUP($E254,'D-1 Off-Site Habitat Baseline'!$D$1:$AA$258,17,FALSE))))</f>
        <v/>
      </c>
      <c r="O254" s="299" t="str">
        <f>IF(E254="","",IF(ISNA(VLOOKUP($E254,'D-1 Off-Site Habitat Baseline'!$D$1:$AA$258,13,FALSE)),"",(VLOOKUP($E254,'D-1 Off-Site Habitat Baseline'!$D$1:$AA$258,13,FALSE))))</f>
        <v/>
      </c>
      <c r="P254" s="148" t="str">
        <f>IFERROR(INDEX('G-1 All Habitats'!$AG$49:$AG$63,MATCH(Q254,'G-1 All Habitats'!$AF$27:$AF$41,0)),"")</f>
        <v/>
      </c>
      <c r="Q254" s="149" t="str">
        <f t="shared" si="35"/>
        <v/>
      </c>
      <c r="R254" s="150"/>
      <c r="S254" s="151" t="str">
        <f>IFERROR(INDEX('G-1 All Habitats'!$B$3:$B$135,MATCH(R254,'G-1 All Habitats'!$A$3:$A$135,0)),"")</f>
        <v/>
      </c>
      <c r="T254" s="283" t="str">
        <f t="shared" si="36"/>
        <v/>
      </c>
      <c r="U254" s="276" t="str">
        <f t="shared" si="37"/>
        <v/>
      </c>
      <c r="V254" s="298" t="str">
        <f t="shared" si="33"/>
        <v/>
      </c>
      <c r="W254" s="295" t="str">
        <f>IF(S254="","",VLOOKUP(S254,'G-1 All Habitats'!$B$2:$M$135,10,FALSE))</f>
        <v/>
      </c>
      <c r="X254" s="295" t="str">
        <f>IFERROR(VLOOKUP(W254,'G-1 All Habitats'!$V$3:$W$7,2,FALSE),"")</f>
        <v/>
      </c>
      <c r="Y254" s="138"/>
      <c r="Z254" s="299" t="str">
        <f>IFERROR(INDEX('G-8 Condition Look up'!$A$3:$H$135,MATCH(S254,'G-8 Condition Look up'!$A$3:$A$135,0),MATCH(Y254,'G-8 Condition Look up'!$A$3:$H$3,0)),"")</f>
        <v/>
      </c>
      <c r="AA254" s="101"/>
      <c r="AB254" s="314" t="str">
        <f>IF(AA254="","",IF(VLOOKUP(AA254,'G-3 Multipliers'!$L$3:$N$6,2,FALSE)=0,"Spatial Data Missing ⚠",VLOOKUP(AA254,'G-3 Multipliers'!$L$3:$N$6,2,FALSE)))</f>
        <v/>
      </c>
      <c r="AC254" s="299" t="str">
        <f>IF(AA254="","",IF(VLOOKUP(AA254,'G-3 Multipliers'!$L$3:$N$6,3,FALSE)=0,"Spatial Data Missing ⚠",VLOOKUP(AA254,'G-3 Multipliers'!$L$3:$N$6,3,FALSE)))</f>
        <v/>
      </c>
      <c r="AD254" s="311" t="str">
        <f t="shared" si="34"/>
        <v/>
      </c>
      <c r="AE254" s="138"/>
      <c r="AF254" s="138"/>
      <c r="AG254" s="295" t="str">
        <f t="shared" si="38"/>
        <v/>
      </c>
      <c r="AH254" s="296" t="str">
        <f t="shared" si="39"/>
        <v/>
      </c>
      <c r="AI254" s="300" t="str">
        <f>IF(AH254="Check Data ⚠","Check Data ⚠",IFERROR(VLOOKUP(AH254,'G-4 Temporal multipliers'!$A$4:$C$36,3,FALSE),""))</f>
        <v/>
      </c>
      <c r="AJ254" s="311" t="str">
        <f>IF(S254="","",VLOOKUP(S254,'G-3 Multipliers'!$A$2:$E$134,4,FALSE))</f>
        <v/>
      </c>
      <c r="AK254" s="295" t="str">
        <f t="shared" si="40"/>
        <v/>
      </c>
      <c r="AL254" s="295" t="str">
        <f t="shared" si="41"/>
        <v/>
      </c>
      <c r="AM254" s="299" t="str">
        <f>IFERROR(IF(F254="","",IF(AH254="Check Data ⚠","Check Data ⚠",VLOOKUP(AL254,'G-3 Multipliers'!$P$2:$Q$6,2,FALSE))),"")</f>
        <v/>
      </c>
      <c r="AN254" s="712" t="str">
        <f>IF(E254="","",IF(ISNA(VLOOKUP($E254,'D-1 Off-Site Habitat Baseline'!$D$1:$Z$258,15,FALSE)),"",(VLOOKUP($E254,'D-1 Off-Site Habitat Baseline'!$D$1:$Z$258,15,FALSE))))</f>
        <v/>
      </c>
      <c r="AO254" s="329" t="str">
        <f>IF(AN254="","",IF(VLOOKUP(AN254,'G-3 Multipliers'!$S$3:$T$10,2,FALSE)=0,"Spatial Data Missing ⚠",VLOOKUP(AN254,'G-3 Multipliers'!$S$3:$T$10,2,FALSE)))</f>
        <v/>
      </c>
      <c r="AP254" s="289" t="str">
        <f t="shared" si="42"/>
        <v/>
      </c>
      <c r="AQ254" s="289" t="str">
        <f t="shared" si="43"/>
        <v/>
      </c>
      <c r="AR254" s="105"/>
      <c r="AS254" s="138"/>
      <c r="AT254" s="104"/>
      <c r="AU254" s="104"/>
      <c r="AY254" s="30" t="str">
        <f>IF(E254="","",IF(ISNA(VLOOKUP($E254,'D-1 Off-Site Habitat Baseline'!$D$1:$AV$258,4,FALSE)),"",(VLOOKUP($E254,'D-1 Off-Site Habitat Baseline'!$D$1:$AV$258,4,FALSE))))</f>
        <v/>
      </c>
    </row>
    <row r="255" spans="1:51" ht="14">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319" t="str">
        <f>'D-1 Off-Site Habitat Baseline'!AP254</f>
        <v/>
      </c>
      <c r="F255" s="283" t="str">
        <f>IF(E255="","",IF(ISNA(VLOOKUP($E255,'D-1 Off-Site Habitat Baseline'!$D$1:$ZZ$258,45,FALSE)),"",(VLOOKUP($E255,'D-1 Off-Site Habitat Baseline'!$D$1:$ZZ$258,45,FALSE))))</f>
        <v/>
      </c>
      <c r="G255" s="295" t="str">
        <f>IF(E255="","",IF(ISNA(VLOOKUP($E255,'D-1 Off-Site Habitat Baseline'!$D$1:$O$258,5,FALSE)),"",(VLOOKUP($E255,'D-1 Off-Site Habitat Baseline'!$D$1:$O$258,5,FALSE))))</f>
        <v/>
      </c>
      <c r="H255" s="295" t="str">
        <f>IF(E255="","",IF(ISNA(VLOOKUP($E255,'D-1 Off-Site Habitat Baseline'!$D$1:$O$258,6,FALSE)),"",(VLOOKUP($E255,'D-1 Off-Site Habitat Baseline'!$D$1:$O$258,6,FALSE))))</f>
        <v/>
      </c>
      <c r="I255" s="295" t="str">
        <f>IF(E255="","",IF(ISNA(VLOOKUP($E255,'D-1 Off-Site Habitat Baseline'!$D$1:$O$258,7,FALSE)),"",(VLOOKUP($E255,'D-1 Off-Site Habitat Baseline'!$D$1:$O$258,7,FALSE))))</f>
        <v/>
      </c>
      <c r="J255" s="295" t="str">
        <f>IF(E255="","",IF(ISNA(VLOOKUP($E255,'D-1 Off-Site Habitat Baseline'!$D$1:$O$258,8,FALSE)),"",(VLOOKUP($E255,'D-1 Off-Site Habitat Baseline'!$D$1:$O$258,8,FALSE))))</f>
        <v/>
      </c>
      <c r="K255" s="295" t="str">
        <f>IF(E255="","",IF(ISNA(VLOOKUP($E255,'D-1 Off-Site Habitat Baseline'!$D$1:$O$258,9,FALSE)),"",(VLOOKUP($E255,'D-1 Off-Site Habitat Baseline'!$D$1:$O$258,9,FALSE))))</f>
        <v/>
      </c>
      <c r="L255" s="295" t="str">
        <f>IF(E255="","",IF(ISNA(VLOOKUP($E255,'D-1 Off-Site Habitat Baseline'!$D$1:$O$258,11,FALSE)),"",(VLOOKUP($E255,'D-1 Off-Site Habitat Baseline'!$D$1:$O$258,11,FALSE))))</f>
        <v/>
      </c>
      <c r="M255" s="295" t="str">
        <f>IF(E255="","",IF(ISNA(VLOOKUP($E255,'D-1 Off-Site Habitat Baseline'!$D$1:$O$258,12,FALSE)),"",(VLOOKUP($E255,'D-1 Off-Site Habitat Baseline'!$D$1:$O$258,12,FALSE))))</f>
        <v/>
      </c>
      <c r="N255" s="295" t="str">
        <f>IF(E255="","",IF(ISNA(VLOOKUP($E255,'D-1 Off-Site Habitat Baseline'!$D$1:$AA$258,17,FALSE)),"",(VLOOKUP($E255,'D-1 Off-Site Habitat Baseline'!$D$1:$AA$258,17,FALSE))))</f>
        <v/>
      </c>
      <c r="O255" s="299" t="str">
        <f>IF(E255="","",IF(ISNA(VLOOKUP($E255,'D-1 Off-Site Habitat Baseline'!$D$1:$AA$258,13,FALSE)),"",(VLOOKUP($E255,'D-1 Off-Site Habitat Baseline'!$D$1:$AA$258,13,FALSE))))</f>
        <v/>
      </c>
      <c r="P255" s="148" t="str">
        <f>IFERROR(INDEX('G-1 All Habitats'!$AG$49:$AG$63,MATCH(Q255,'G-1 All Habitats'!$AF$27:$AF$41,0)),"")</f>
        <v/>
      </c>
      <c r="Q255" s="149" t="str">
        <f t="shared" si="35"/>
        <v/>
      </c>
      <c r="R255" s="150"/>
      <c r="S255" s="151" t="str">
        <f>IFERROR(INDEX('G-1 All Habitats'!$B$3:$B$135,MATCH(R255,'G-1 All Habitats'!$A$3:$A$135,0)),"")</f>
        <v/>
      </c>
      <c r="T255" s="283" t="str">
        <f t="shared" si="36"/>
        <v/>
      </c>
      <c r="U255" s="276" t="str">
        <f t="shared" si="37"/>
        <v/>
      </c>
      <c r="V255" s="298" t="str">
        <f t="shared" si="33"/>
        <v/>
      </c>
      <c r="W255" s="295" t="str">
        <f>IF(S255="","",VLOOKUP(S255,'G-1 All Habitats'!$B$2:$M$135,10,FALSE))</f>
        <v/>
      </c>
      <c r="X255" s="295" t="str">
        <f>IFERROR(VLOOKUP(W255,'G-1 All Habitats'!$V$3:$W$7,2,FALSE),"")</f>
        <v/>
      </c>
      <c r="Y255" s="138"/>
      <c r="Z255" s="299" t="str">
        <f>IFERROR(INDEX('G-8 Condition Look up'!$A$3:$H$135,MATCH(S255,'G-8 Condition Look up'!$A$3:$A$135,0),MATCH(Y255,'G-8 Condition Look up'!$A$3:$H$3,0)),"")</f>
        <v/>
      </c>
      <c r="AA255" s="101"/>
      <c r="AB255" s="314" t="str">
        <f>IF(AA255="","",IF(VLOOKUP(AA255,'G-3 Multipliers'!$L$3:$N$6,2,FALSE)=0,"Spatial Data Missing ⚠",VLOOKUP(AA255,'G-3 Multipliers'!$L$3:$N$6,2,FALSE)))</f>
        <v/>
      </c>
      <c r="AC255" s="299" t="str">
        <f>IF(AA255="","",IF(VLOOKUP(AA255,'G-3 Multipliers'!$L$3:$N$6,3,FALSE)=0,"Spatial Data Missing ⚠",VLOOKUP(AA255,'G-3 Multipliers'!$L$3:$N$6,3,FALSE)))</f>
        <v/>
      </c>
      <c r="AD255" s="311" t="str">
        <f t="shared" si="34"/>
        <v/>
      </c>
      <c r="AE255" s="138"/>
      <c r="AF255" s="138"/>
      <c r="AG255" s="295" t="str">
        <f t="shared" si="38"/>
        <v/>
      </c>
      <c r="AH255" s="296" t="str">
        <f t="shared" si="39"/>
        <v/>
      </c>
      <c r="AI255" s="300" t="str">
        <f>IF(AH255="Check Data ⚠","Check Data ⚠",IFERROR(VLOOKUP(AH255,'G-4 Temporal multipliers'!$A$4:$C$36,3,FALSE),""))</f>
        <v/>
      </c>
      <c r="AJ255" s="311" t="str">
        <f>IF(S255="","",VLOOKUP(S255,'G-3 Multipliers'!$A$2:$E$134,4,FALSE))</f>
        <v/>
      </c>
      <c r="AK255" s="295" t="str">
        <f t="shared" si="40"/>
        <v/>
      </c>
      <c r="AL255" s="295" t="str">
        <f t="shared" si="41"/>
        <v/>
      </c>
      <c r="AM255" s="299" t="str">
        <f>IFERROR(IF(F255="","",IF(AH255="Check Data ⚠","Check Data ⚠",VLOOKUP(AL255,'G-3 Multipliers'!$P$2:$Q$6,2,FALSE))),"")</f>
        <v/>
      </c>
      <c r="AN255" s="712" t="str">
        <f>IF(E255="","",IF(ISNA(VLOOKUP($E255,'D-1 Off-Site Habitat Baseline'!$D$1:$Z$258,15,FALSE)),"",(VLOOKUP($E255,'D-1 Off-Site Habitat Baseline'!$D$1:$Z$258,15,FALSE))))</f>
        <v/>
      </c>
      <c r="AO255" s="329" t="str">
        <f>IF(AN255="","",IF(VLOOKUP(AN255,'G-3 Multipliers'!$S$3:$T$10,2,FALSE)=0,"Spatial Data Missing ⚠",VLOOKUP(AN255,'G-3 Multipliers'!$S$3:$T$10,2,FALSE)))</f>
        <v/>
      </c>
      <c r="AP255" s="289" t="str">
        <f t="shared" si="42"/>
        <v/>
      </c>
      <c r="AQ255" s="289" t="str">
        <f t="shared" si="43"/>
        <v/>
      </c>
      <c r="AR255" s="105"/>
      <c r="AS255" s="138"/>
      <c r="AT255" s="104"/>
      <c r="AU255" s="104"/>
      <c r="AY255" s="30" t="str">
        <f>IF(E255="","",IF(ISNA(VLOOKUP($E255,'D-1 Off-Site Habitat Baseline'!$D$1:$AV$258,4,FALSE)),"",(VLOOKUP($E255,'D-1 Off-Site Habitat Baseline'!$D$1:$AV$258,4,FALSE))))</f>
        <v/>
      </c>
    </row>
    <row r="256" spans="1:51" ht="14">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319" t="str">
        <f>'D-1 Off-Site Habitat Baseline'!AP255</f>
        <v/>
      </c>
      <c r="F256" s="283" t="str">
        <f>IF(E256="","",IF(ISNA(VLOOKUP($E256,'D-1 Off-Site Habitat Baseline'!$D$1:$ZZ$258,45,FALSE)),"",(VLOOKUP($E256,'D-1 Off-Site Habitat Baseline'!$D$1:$ZZ$258,45,FALSE))))</f>
        <v/>
      </c>
      <c r="G256" s="295" t="str">
        <f>IF(E256="","",IF(ISNA(VLOOKUP($E256,'D-1 Off-Site Habitat Baseline'!$D$1:$O$258,5,FALSE)),"",(VLOOKUP($E256,'D-1 Off-Site Habitat Baseline'!$D$1:$O$258,5,FALSE))))</f>
        <v/>
      </c>
      <c r="H256" s="295" t="str">
        <f>IF(E256="","",IF(ISNA(VLOOKUP($E256,'D-1 Off-Site Habitat Baseline'!$D$1:$O$258,6,FALSE)),"",(VLOOKUP($E256,'D-1 Off-Site Habitat Baseline'!$D$1:$O$258,6,FALSE))))</f>
        <v/>
      </c>
      <c r="I256" s="295" t="str">
        <f>IF(E256="","",IF(ISNA(VLOOKUP($E256,'D-1 Off-Site Habitat Baseline'!$D$1:$O$258,7,FALSE)),"",(VLOOKUP($E256,'D-1 Off-Site Habitat Baseline'!$D$1:$O$258,7,FALSE))))</f>
        <v/>
      </c>
      <c r="J256" s="295" t="str">
        <f>IF(E256="","",IF(ISNA(VLOOKUP($E256,'D-1 Off-Site Habitat Baseline'!$D$1:$O$258,8,FALSE)),"",(VLOOKUP($E256,'D-1 Off-Site Habitat Baseline'!$D$1:$O$258,8,FALSE))))</f>
        <v/>
      </c>
      <c r="K256" s="295" t="str">
        <f>IF(E256="","",IF(ISNA(VLOOKUP($E256,'D-1 Off-Site Habitat Baseline'!$D$1:$O$258,9,FALSE)),"",(VLOOKUP($E256,'D-1 Off-Site Habitat Baseline'!$D$1:$O$258,9,FALSE))))</f>
        <v/>
      </c>
      <c r="L256" s="295" t="str">
        <f>IF(E256="","",IF(ISNA(VLOOKUP($E256,'D-1 Off-Site Habitat Baseline'!$D$1:$O$258,11,FALSE)),"",(VLOOKUP($E256,'D-1 Off-Site Habitat Baseline'!$D$1:$O$258,11,FALSE))))</f>
        <v/>
      </c>
      <c r="M256" s="295" t="str">
        <f>IF(E256="","",IF(ISNA(VLOOKUP($E256,'D-1 Off-Site Habitat Baseline'!$D$1:$O$258,12,FALSE)),"",(VLOOKUP($E256,'D-1 Off-Site Habitat Baseline'!$D$1:$O$258,12,FALSE))))</f>
        <v/>
      </c>
      <c r="N256" s="295" t="str">
        <f>IF(E256="","",IF(ISNA(VLOOKUP($E256,'D-1 Off-Site Habitat Baseline'!$D$1:$AA$258,17,FALSE)),"",(VLOOKUP($E256,'D-1 Off-Site Habitat Baseline'!$D$1:$AA$258,17,FALSE))))</f>
        <v/>
      </c>
      <c r="O256" s="299" t="str">
        <f>IF(E256="","",IF(ISNA(VLOOKUP($E256,'D-1 Off-Site Habitat Baseline'!$D$1:$AA$258,13,FALSE)),"",(VLOOKUP($E256,'D-1 Off-Site Habitat Baseline'!$D$1:$AA$258,13,FALSE))))</f>
        <v/>
      </c>
      <c r="P256" s="148" t="str">
        <f>IFERROR(INDEX('G-1 All Habitats'!$AG$49:$AG$63,MATCH(Q256,'G-1 All Habitats'!$AF$27:$AF$41,0)),"")</f>
        <v/>
      </c>
      <c r="Q256" s="149" t="str">
        <f t="shared" si="35"/>
        <v/>
      </c>
      <c r="R256" s="150"/>
      <c r="S256" s="151" t="str">
        <f>IFERROR(INDEX('G-1 All Habitats'!$B$3:$B$135,MATCH(R256,'G-1 All Habitats'!$A$3:$A$135,0)),"")</f>
        <v/>
      </c>
      <c r="T256" s="283" t="str">
        <f t="shared" si="36"/>
        <v/>
      </c>
      <c r="U256" s="276" t="str">
        <f t="shared" si="37"/>
        <v/>
      </c>
      <c r="V256" s="298" t="str">
        <f t="shared" si="33"/>
        <v/>
      </c>
      <c r="W256" s="295" t="str">
        <f>IF(S256="","",VLOOKUP(S256,'G-1 All Habitats'!$B$2:$M$135,10,FALSE))</f>
        <v/>
      </c>
      <c r="X256" s="295" t="str">
        <f>IFERROR(VLOOKUP(W256,'G-1 All Habitats'!$V$3:$W$7,2,FALSE),"")</f>
        <v/>
      </c>
      <c r="Y256" s="138"/>
      <c r="Z256" s="299" t="str">
        <f>IFERROR(INDEX('G-8 Condition Look up'!$A$3:$H$135,MATCH(S256,'G-8 Condition Look up'!$A$3:$A$135,0),MATCH(Y256,'G-8 Condition Look up'!$A$3:$H$3,0)),"")</f>
        <v/>
      </c>
      <c r="AA256" s="101"/>
      <c r="AB256" s="314" t="str">
        <f>IF(AA256="","",IF(VLOOKUP(AA256,'G-3 Multipliers'!$L$3:$N$6,2,FALSE)=0,"Spatial Data Missing ⚠",VLOOKUP(AA256,'G-3 Multipliers'!$L$3:$N$6,2,FALSE)))</f>
        <v/>
      </c>
      <c r="AC256" s="299" t="str">
        <f>IF(AA256="","",IF(VLOOKUP(AA256,'G-3 Multipliers'!$L$3:$N$6,3,FALSE)=0,"Spatial Data Missing ⚠",VLOOKUP(AA256,'G-3 Multipliers'!$L$3:$N$6,3,FALSE)))</f>
        <v/>
      </c>
      <c r="AD256" s="311" t="str">
        <f t="shared" si="34"/>
        <v/>
      </c>
      <c r="AE256" s="138"/>
      <c r="AF256" s="138"/>
      <c r="AG256" s="295" t="str">
        <f t="shared" si="38"/>
        <v/>
      </c>
      <c r="AH256" s="296" t="str">
        <f t="shared" si="39"/>
        <v/>
      </c>
      <c r="AI256" s="300" t="str">
        <f>IF(AH256="Check Data ⚠","Check Data ⚠",IFERROR(VLOOKUP(AH256,'G-4 Temporal multipliers'!$A$4:$C$36,3,FALSE),""))</f>
        <v/>
      </c>
      <c r="AJ256" s="311" t="str">
        <f>IF(S256="","",VLOOKUP(S256,'G-3 Multipliers'!$A$2:$E$134,4,FALSE))</f>
        <v/>
      </c>
      <c r="AK256" s="295" t="str">
        <f t="shared" si="40"/>
        <v/>
      </c>
      <c r="AL256" s="295" t="str">
        <f t="shared" si="41"/>
        <v/>
      </c>
      <c r="AM256" s="299" t="str">
        <f>IFERROR(IF(F256="","",IF(AH256="Check Data ⚠","Check Data ⚠",VLOOKUP(AL256,'G-3 Multipliers'!$P$2:$Q$6,2,FALSE))),"")</f>
        <v/>
      </c>
      <c r="AN256" s="712" t="str">
        <f>IF(E256="","",IF(ISNA(VLOOKUP($E256,'D-1 Off-Site Habitat Baseline'!$D$1:$Z$258,15,FALSE)),"",(VLOOKUP($E256,'D-1 Off-Site Habitat Baseline'!$D$1:$Z$258,15,FALSE))))</f>
        <v/>
      </c>
      <c r="AO256" s="329" t="str">
        <f>IF(AN256="","",IF(VLOOKUP(AN256,'G-3 Multipliers'!$S$3:$T$10,2,FALSE)=0,"Spatial Data Missing ⚠",VLOOKUP(AN256,'G-3 Multipliers'!$S$3:$T$10,2,FALSE)))</f>
        <v/>
      </c>
      <c r="AP256" s="289" t="str">
        <f t="shared" si="42"/>
        <v/>
      </c>
      <c r="AQ256" s="289" t="str">
        <f t="shared" si="43"/>
        <v/>
      </c>
      <c r="AR256" s="105"/>
      <c r="AS256" s="138"/>
      <c r="AT256" s="104"/>
      <c r="AU256" s="104"/>
      <c r="AY256" s="30" t="str">
        <f>IF(E256="","",IF(ISNA(VLOOKUP($E256,'D-1 Off-Site Habitat Baseline'!$D$1:$AV$258,4,FALSE)),"",(VLOOKUP($E256,'D-1 Off-Site Habitat Baseline'!$D$1:$AV$258,4,FALSE))))</f>
        <v/>
      </c>
    </row>
    <row r="257" spans="1:51" ht="14">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319" t="str">
        <f>'D-1 Off-Site Habitat Baseline'!AP256</f>
        <v/>
      </c>
      <c r="F257" s="283" t="str">
        <f>IF(E257="","",IF(ISNA(VLOOKUP($E257,'D-1 Off-Site Habitat Baseline'!$D$1:$ZZ$258,45,FALSE)),"",(VLOOKUP($E257,'D-1 Off-Site Habitat Baseline'!$D$1:$ZZ$258,45,FALSE))))</f>
        <v/>
      </c>
      <c r="G257" s="295" t="str">
        <f>IF(E257="","",IF(ISNA(VLOOKUP($E257,'D-1 Off-Site Habitat Baseline'!$D$1:$O$258,5,FALSE)),"",(VLOOKUP($E257,'D-1 Off-Site Habitat Baseline'!$D$1:$O$258,5,FALSE))))</f>
        <v/>
      </c>
      <c r="H257" s="295" t="str">
        <f>IF(E257="","",IF(ISNA(VLOOKUP($E257,'D-1 Off-Site Habitat Baseline'!$D$1:$O$258,6,FALSE)),"",(VLOOKUP($E257,'D-1 Off-Site Habitat Baseline'!$D$1:$O$258,6,FALSE))))</f>
        <v/>
      </c>
      <c r="I257" s="295" t="str">
        <f>IF(E257="","",IF(ISNA(VLOOKUP($E257,'D-1 Off-Site Habitat Baseline'!$D$1:$O$258,7,FALSE)),"",(VLOOKUP($E257,'D-1 Off-Site Habitat Baseline'!$D$1:$O$258,7,FALSE))))</f>
        <v/>
      </c>
      <c r="J257" s="295" t="str">
        <f>IF(E257="","",IF(ISNA(VLOOKUP($E257,'D-1 Off-Site Habitat Baseline'!$D$1:$O$258,8,FALSE)),"",(VLOOKUP($E257,'D-1 Off-Site Habitat Baseline'!$D$1:$O$258,8,FALSE))))</f>
        <v/>
      </c>
      <c r="K257" s="295" t="str">
        <f>IF(E257="","",IF(ISNA(VLOOKUP($E257,'D-1 Off-Site Habitat Baseline'!$D$1:$O$258,9,FALSE)),"",(VLOOKUP($E257,'D-1 Off-Site Habitat Baseline'!$D$1:$O$258,9,FALSE))))</f>
        <v/>
      </c>
      <c r="L257" s="295" t="str">
        <f>IF(E257="","",IF(ISNA(VLOOKUP($E257,'D-1 Off-Site Habitat Baseline'!$D$1:$O$258,11,FALSE)),"",(VLOOKUP($E257,'D-1 Off-Site Habitat Baseline'!$D$1:$O$258,11,FALSE))))</f>
        <v/>
      </c>
      <c r="M257" s="295" t="str">
        <f>IF(E257="","",IF(ISNA(VLOOKUP($E257,'D-1 Off-Site Habitat Baseline'!$D$1:$O$258,12,FALSE)),"",(VLOOKUP($E257,'D-1 Off-Site Habitat Baseline'!$D$1:$O$258,12,FALSE))))</f>
        <v/>
      </c>
      <c r="N257" s="295" t="str">
        <f>IF(E257="","",IF(ISNA(VLOOKUP($E257,'D-1 Off-Site Habitat Baseline'!$D$1:$AA$258,17,FALSE)),"",(VLOOKUP($E257,'D-1 Off-Site Habitat Baseline'!$D$1:$AA$258,17,FALSE))))</f>
        <v/>
      </c>
      <c r="O257" s="299" t="str">
        <f>IF(E257="","",IF(ISNA(VLOOKUP($E257,'D-1 Off-Site Habitat Baseline'!$D$1:$AA$258,13,FALSE)),"",(VLOOKUP($E257,'D-1 Off-Site Habitat Baseline'!$D$1:$AA$258,13,FALSE))))</f>
        <v/>
      </c>
      <c r="P257" s="148" t="str">
        <f>IFERROR(INDEX('G-1 All Habitats'!$AG$49:$AG$63,MATCH(Q257,'G-1 All Habitats'!$AF$27:$AF$41,0)),"")</f>
        <v/>
      </c>
      <c r="Q257" s="149" t="str">
        <f t="shared" si="35"/>
        <v/>
      </c>
      <c r="R257" s="150"/>
      <c r="S257" s="151" t="str">
        <f>IFERROR(INDEX('G-1 All Habitats'!$B$3:$B$135,MATCH(R257,'G-1 All Habitats'!$A$3:$A$135,0)),"")</f>
        <v/>
      </c>
      <c r="T257" s="283" t="str">
        <f t="shared" si="36"/>
        <v/>
      </c>
      <c r="U257" s="276" t="str">
        <f t="shared" si="37"/>
        <v/>
      </c>
      <c r="V257" s="298" t="str">
        <f t="shared" si="33"/>
        <v/>
      </c>
      <c r="W257" s="295" t="str">
        <f>IF(S257="","",VLOOKUP(S257,'G-1 All Habitats'!$B$2:$M$135,10,FALSE))</f>
        <v/>
      </c>
      <c r="X257" s="295" t="str">
        <f>IFERROR(VLOOKUP(W257,'G-1 All Habitats'!$V$3:$W$7,2,FALSE),"")</f>
        <v/>
      </c>
      <c r="Y257" s="138"/>
      <c r="Z257" s="299" t="str">
        <f>IFERROR(INDEX('G-8 Condition Look up'!$A$3:$H$135,MATCH(S257,'G-8 Condition Look up'!$A$3:$A$135,0),MATCH(Y257,'G-8 Condition Look up'!$A$3:$H$3,0)),"")</f>
        <v/>
      </c>
      <c r="AA257" s="101"/>
      <c r="AB257" s="314" t="str">
        <f>IF(AA257="","",IF(VLOOKUP(AA257,'G-3 Multipliers'!$L$3:$N$6,2,FALSE)=0,"Spatial Data Missing ⚠",VLOOKUP(AA257,'G-3 Multipliers'!$L$3:$N$6,2,FALSE)))</f>
        <v/>
      </c>
      <c r="AC257" s="299" t="str">
        <f>IF(AA257="","",IF(VLOOKUP(AA257,'G-3 Multipliers'!$L$3:$N$6,3,FALSE)=0,"Spatial Data Missing ⚠",VLOOKUP(AA257,'G-3 Multipliers'!$L$3:$N$6,3,FALSE)))</f>
        <v/>
      </c>
      <c r="AD257" s="311" t="str">
        <f t="shared" si="34"/>
        <v/>
      </c>
      <c r="AE257" s="138"/>
      <c r="AF257" s="138"/>
      <c r="AG257" s="295" t="str">
        <f t="shared" si="38"/>
        <v/>
      </c>
      <c r="AH257" s="296" t="str">
        <f t="shared" si="39"/>
        <v/>
      </c>
      <c r="AI257" s="300" t="str">
        <f>IF(AH257="Check Data ⚠","Check Data ⚠",IFERROR(VLOOKUP(AH257,'G-4 Temporal multipliers'!$A$4:$C$36,3,FALSE),""))</f>
        <v/>
      </c>
      <c r="AJ257" s="311" t="str">
        <f>IF(S257="","",VLOOKUP(S257,'G-3 Multipliers'!$A$2:$E$134,4,FALSE))</f>
        <v/>
      </c>
      <c r="AK257" s="295" t="str">
        <f t="shared" si="40"/>
        <v/>
      </c>
      <c r="AL257" s="295" t="str">
        <f t="shared" si="41"/>
        <v/>
      </c>
      <c r="AM257" s="299" t="str">
        <f>IFERROR(IF(F257="","",IF(AH257="Check Data ⚠","Check Data ⚠",VLOOKUP(AL257,'G-3 Multipliers'!$P$2:$Q$6,2,FALSE))),"")</f>
        <v/>
      </c>
      <c r="AN257" s="712" t="str">
        <f>IF(E257="","",IF(ISNA(VLOOKUP($E257,'D-1 Off-Site Habitat Baseline'!$D$1:$Z$258,15,FALSE)),"",(VLOOKUP($E257,'D-1 Off-Site Habitat Baseline'!$D$1:$Z$258,15,FALSE))))</f>
        <v/>
      </c>
      <c r="AO257" s="329" t="str">
        <f>IF(AN257="","",IF(VLOOKUP(AN257,'G-3 Multipliers'!$S$3:$T$10,2,FALSE)=0,"Spatial Data Missing ⚠",VLOOKUP(AN257,'G-3 Multipliers'!$S$3:$T$10,2,FALSE)))</f>
        <v/>
      </c>
      <c r="AP257" s="289" t="str">
        <f t="shared" si="42"/>
        <v/>
      </c>
      <c r="AQ257" s="289" t="str">
        <f t="shared" si="43"/>
        <v/>
      </c>
      <c r="AR257" s="105"/>
      <c r="AS257" s="138"/>
      <c r="AT257" s="104"/>
      <c r="AU257" s="104"/>
      <c r="AY257" s="30" t="str">
        <f>IF(E257="","",IF(ISNA(VLOOKUP($E257,'D-1 Off-Site Habitat Baseline'!$D$1:$AV$258,4,FALSE)),"",(VLOOKUP($E257,'D-1 Off-Site Habitat Baseline'!$D$1:$AV$258,4,FALSE))))</f>
        <v/>
      </c>
    </row>
    <row r="258" spans="1:51" ht="14.5" thickBot="1">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320" t="str">
        <f>'D-1 Off-Site Habitat Baseline'!AP257</f>
        <v/>
      </c>
      <c r="F258" s="283" t="str">
        <f>IF(E258="","",IF(ISNA(VLOOKUP($E258,'D-1 Off-Site Habitat Baseline'!$D$1:$ZZ$258,45,FALSE)),"",(VLOOKUP($E258,'D-1 Off-Site Habitat Baseline'!$D$1:$ZZ$258,45,FALSE))))</f>
        <v/>
      </c>
      <c r="G258" s="308" t="str">
        <f>IF(E258="","",IF(ISNA(VLOOKUP($E258,'D-1 Off-Site Habitat Baseline'!$D$1:$O$258,5,FALSE)),"",(VLOOKUP($E258,'D-1 Off-Site Habitat Baseline'!$D$1:$O$258,5,FALSE))))</f>
        <v/>
      </c>
      <c r="H258" s="308" t="str">
        <f>IF(E258="","",IF(ISNA(VLOOKUP($E258,'D-1 Off-Site Habitat Baseline'!$D$1:$O$258,6,FALSE)),"",(VLOOKUP($E258,'D-1 Off-Site Habitat Baseline'!$D$1:$O$258,6,FALSE))))</f>
        <v/>
      </c>
      <c r="I258" s="308" t="str">
        <f>IF(E258="","",IF(ISNA(VLOOKUP($E258,'D-1 Off-Site Habitat Baseline'!$D$1:$O$258,7,FALSE)),"",(VLOOKUP($E258,'D-1 Off-Site Habitat Baseline'!$D$1:$O$258,7,FALSE))))</f>
        <v/>
      </c>
      <c r="J258" s="308" t="str">
        <f>IF(E258="","",IF(ISNA(VLOOKUP($E258,'D-1 Off-Site Habitat Baseline'!$D$1:$O$258,8,FALSE)),"",(VLOOKUP($E258,'D-1 Off-Site Habitat Baseline'!$D$1:$O$258,8,FALSE))))</f>
        <v/>
      </c>
      <c r="K258" s="308" t="str">
        <f>IF(E258="","",IF(ISNA(VLOOKUP($E258,'D-1 Off-Site Habitat Baseline'!$D$1:$O$258,9,FALSE)),"",(VLOOKUP($E258,'D-1 Off-Site Habitat Baseline'!$D$1:$O$258,9,FALSE))))</f>
        <v/>
      </c>
      <c r="L258" s="308" t="str">
        <f>IF(E258="","",IF(ISNA(VLOOKUP($E258,'D-1 Off-Site Habitat Baseline'!$D$1:$O$258,11,FALSE)),"",(VLOOKUP($E258,'D-1 Off-Site Habitat Baseline'!$D$1:$O$258,11,FALSE))))</f>
        <v/>
      </c>
      <c r="M258" s="308" t="str">
        <f>IF(E258="","",IF(ISNA(VLOOKUP($E258,'D-1 Off-Site Habitat Baseline'!$D$1:$O$258,12,FALSE)),"",(VLOOKUP($E258,'D-1 Off-Site Habitat Baseline'!$D$1:$O$258,12,FALSE))))</f>
        <v/>
      </c>
      <c r="N258" s="295" t="str">
        <f>IF(E258="","",IF(ISNA(VLOOKUP($E258,'D-1 Off-Site Habitat Baseline'!$D$1:$AA$258,17,FALSE)),"",(VLOOKUP($E258,'D-1 Off-Site Habitat Baseline'!$D$1:$AA$258,17,FALSE))))</f>
        <v/>
      </c>
      <c r="O258" s="299" t="str">
        <f>IF(E258="","",IF(ISNA(VLOOKUP($E258,'D-1 Off-Site Habitat Baseline'!$D$1:$AA$258,13,FALSE)),"",(VLOOKUP($E258,'D-1 Off-Site Habitat Baseline'!$D$1:$AA$258,13,FALSE))))</f>
        <v/>
      </c>
      <c r="P258" s="148" t="str">
        <f>IFERROR(INDEX('G-1 All Habitats'!$AG$49:$AG$63,MATCH(Q258,'G-1 All Habitats'!$AF$27:$AF$41,0)),"")</f>
        <v/>
      </c>
      <c r="Q258" s="149" t="str">
        <f t="shared" si="35"/>
        <v/>
      </c>
      <c r="R258" s="150"/>
      <c r="S258" s="151" t="str">
        <f>IFERROR(INDEX('G-1 All Habitats'!$B$3:$B$135,MATCH(R258,'G-1 All Habitats'!$A$3:$A$135,0)),"")</f>
        <v/>
      </c>
      <c r="T258" s="283" t="str">
        <f t="shared" si="36"/>
        <v/>
      </c>
      <c r="U258" s="276" t="str">
        <f t="shared" si="37"/>
        <v/>
      </c>
      <c r="V258" s="298" t="str">
        <f t="shared" si="33"/>
        <v/>
      </c>
      <c r="W258" s="295" t="str">
        <f>IF(S258="","",VLOOKUP(S258,'G-1 All Habitats'!$B$2:$M$135,10,FALSE))</f>
        <v/>
      </c>
      <c r="X258" s="308" t="str">
        <f>IFERROR(VLOOKUP(W258,'G-1 All Habitats'!$V$3:$W$7,2,FALSE),"")</f>
        <v/>
      </c>
      <c r="Y258" s="144"/>
      <c r="Z258" s="299" t="str">
        <f>IFERROR(INDEX('G-8 Condition Look up'!$A$3:$H$135,MATCH(S258,'G-8 Condition Look up'!$A$3:$A$135,0),MATCH(Y258,'G-8 Condition Look up'!$A$3:$H$3,0)),"")</f>
        <v/>
      </c>
      <c r="AA258" s="143"/>
      <c r="AB258" s="314" t="str">
        <f>IF(AA258="","",IF(VLOOKUP(AA258,'G-3 Multipliers'!$L$3:$N$6,2,FALSE)=0,"Spatial Data Missing ⚠",VLOOKUP(AA258,'G-3 Multipliers'!$L$3:$N$6,2,FALSE)))</f>
        <v/>
      </c>
      <c r="AC258" s="299" t="str">
        <f>IF(AA258="","",IF(VLOOKUP(AA258,'G-3 Multipliers'!$L$3:$N$6,3,FALSE)=0,"Spatial Data Missing ⚠",VLOOKUP(AA258,'G-3 Multipliers'!$L$3:$N$6,3,FALSE)))</f>
        <v/>
      </c>
      <c r="AD258" s="311" t="str">
        <f t="shared" si="34"/>
        <v/>
      </c>
      <c r="AE258" s="144"/>
      <c r="AF258" s="144"/>
      <c r="AG258" s="295" t="str">
        <f t="shared" si="38"/>
        <v/>
      </c>
      <c r="AH258" s="296" t="str">
        <f t="shared" si="39"/>
        <v/>
      </c>
      <c r="AI258" s="300" t="str">
        <f>IF(AH258="Check Data ⚠","Check Data ⚠",IFERROR(VLOOKUP(AH258,'G-4 Temporal multipliers'!$A$4:$C$36,3,FALSE),""))</f>
        <v/>
      </c>
      <c r="AJ258" s="311" t="str">
        <f>IF(S258="","",VLOOKUP(S258,'G-3 Multipliers'!$A$2:$E$134,4,FALSE))</f>
        <v/>
      </c>
      <c r="AK258" s="295" t="str">
        <f t="shared" si="40"/>
        <v/>
      </c>
      <c r="AL258" s="308" t="str">
        <f t="shared" si="41"/>
        <v/>
      </c>
      <c r="AM258" s="299" t="str">
        <f>IFERROR(IF(F258="","",IF(AH258="Check Data ⚠","Check Data ⚠",VLOOKUP(AL258,'G-3 Multipliers'!$P$2:$Q$6,2,FALSE))),"")</f>
        <v/>
      </c>
      <c r="AN258" s="712" t="str">
        <f>IF(E258="","",IF(ISNA(VLOOKUP($E258,'D-1 Off-Site Habitat Baseline'!$D$1:$Z$258,15,FALSE)),"",(VLOOKUP($E258,'D-1 Off-Site Habitat Baseline'!$D$1:$Z$258,15,FALSE))))</f>
        <v/>
      </c>
      <c r="AO258" s="329" t="str">
        <f>IF(AN258="","",IF(VLOOKUP(AN258,'G-3 Multipliers'!$S$3:$T$10,2,FALSE)=0,"Spatial Data Missing ⚠",VLOOKUP(AN258,'G-3 Multipliers'!$S$3:$T$10,2,FALSE)))</f>
        <v/>
      </c>
      <c r="AP258" s="289" t="str">
        <f t="shared" si="42"/>
        <v/>
      </c>
      <c r="AQ258" s="289" t="str">
        <f t="shared" si="43"/>
        <v/>
      </c>
      <c r="AR258" s="111"/>
      <c r="AS258" s="141"/>
      <c r="AT258" s="110"/>
      <c r="AU258" s="110"/>
      <c r="AY258" s="30" t="str">
        <f>IF(E258="","",IF(ISNA(VLOOKUP($E258,'D-1 Off-Site Habitat Baseline'!$D$1:$AV$258,4,FALSE)),"",(VLOOKUP($E258,'D-1 Off-Site Habitat Baseline'!$D$1:$AV$258,4,FALSE))))</f>
        <v/>
      </c>
    </row>
    <row r="259" spans="5:43" ht="21.65" customHeight="1" thickBot="1">
      <c r="E259" s="34"/>
      <c r="F259" s="34"/>
      <c r="G259" s="34"/>
      <c r="H259" s="34"/>
      <c r="I259" s="34"/>
      <c r="J259" s="34"/>
      <c r="K259" s="34"/>
      <c r="L259" s="34"/>
      <c r="M259" s="34"/>
      <c r="N259" s="34"/>
      <c r="O259" s="34"/>
      <c r="P259" s="34"/>
      <c r="Q259" s="34"/>
      <c r="R259" s="34"/>
      <c r="S259" s="34"/>
      <c r="T259" s="34"/>
      <c r="U259" s="632" t="s">
        <v>406</v>
      </c>
      <c r="V259" s="321">
        <f>SUM(V12:V258)</f>
        <v>0</v>
      </c>
      <c r="W259" s="34"/>
      <c r="X259" s="34"/>
      <c r="Y259" s="34"/>
      <c r="Z259" s="34"/>
      <c r="AA259" s="34"/>
      <c r="AB259" s="34"/>
      <c r="AC259" s="34"/>
      <c r="AD259" s="34"/>
      <c r="AE259" s="34"/>
      <c r="AF259" s="34"/>
      <c r="AG259" s="34"/>
      <c r="AH259" s="34"/>
      <c r="AI259" s="34"/>
      <c r="AJ259" s="34"/>
      <c r="AK259" s="34"/>
      <c r="AL259" s="34"/>
      <c r="AM259" s="34"/>
      <c r="AN259" s="250"/>
      <c r="AO259" s="250"/>
      <c r="AP259" s="322">
        <f>SUM(AP12:AP258)</f>
        <v>0</v>
      </c>
      <c r="AQ259" s="322">
        <f>SUM(AQ12:AQ258)</f>
        <v>0</v>
      </c>
    </row>
    <row r="260" spans="22:22" ht="14">
      <c r="V260" s="30" t="str">
        <f>IF(V259&lt;&gt;'D-1 Off-Site Habitat Baseline'!W259,"Error - Area of habitat enhancement must match the area from sheet D1 ▲","")</f>
        <v/>
      </c>
    </row>
    <row r="261" ht="14"/>
    <row r="262" ht="14"/>
    <row r="263" ht="14"/>
    <row r="264" ht="14"/>
    <row r="265" ht="14"/>
    <row r="266" ht="14"/>
    <row r="267" ht="14"/>
    <row r="268" ht="14"/>
    <row r="269" ht="14"/>
  </sheetData>
  <sheetProtection algorithmName="SHA-512" hashValue="XtPkWi1xOicHOXqeQOvKirw4XKsCpIEpKTRbY+hOpUdVGGzYqIYZOC3+9Se9Kg9XqfPI+Rl9SewDJAaJeQcIFA==" saltValue="Oif+hGxkZphsqIGuEnTCkw==" spinCount="100000" sheet="1" objects="1" scenarios="1"/>
  <customSheetViews>
    <customSheetView guid="{8bda793c-c9c5-4fc6-a0a5-f1109f6d4f22}" topLeftCell="D1">
      <pane ySplit="11" topLeftCell="A12" activePane="bottomLeft" state="frozen"/>
      <selection pane="bottomLeft" activeCell="A1" sqref="A1"/>
      <pageMargins left="0.75" right="0.75" top="1" bottom="1" header="0.5" footer="0.5"/>
    </customSheetView>
  </customSheetViews>
  <mergeCells count="27">
    <mergeCell ref="H5:L6"/>
    <mergeCell ref="T3:U3"/>
    <mergeCell ref="T4:U4"/>
    <mergeCell ref="T5:U5"/>
    <mergeCell ref="R2:U2"/>
    <mergeCell ref="R6:T8"/>
    <mergeCell ref="V10:V11"/>
    <mergeCell ref="AD10:AI10"/>
    <mergeCell ref="AJ10:AM10"/>
    <mergeCell ref="AP10:AP11"/>
    <mergeCell ref="W10:W11"/>
    <mergeCell ref="AR10:AU10"/>
    <mergeCell ref="V2:AA5"/>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Z12:Z258">
    <cfRule type="containsText" priority="69" dxfId="970" operator="containsText" text="Not Possible">
      <formula>NOT(ISERROR(SEARCH("Not Possible",Z12)))</formula>
    </cfRule>
  </conditionalFormatting>
  <conditionalFormatting sqref="AN12:AN258">
    <cfRule type="containsText" priority="66" dxfId="970" operator="containsText" text="Existing Value Not Required">
      <formula>NOT(ISERROR(SEARCH("Existing Value Not Required",AN12)))</formula>
    </cfRule>
    <cfRule type="containsText" priority="67" dxfId="970" operator="containsText" text="Existing Value Required">
      <formula>NOT(ISERROR(SEARCH("Existing Value Required",AN12)))</formula>
    </cfRule>
  </conditionalFormatting>
  <conditionalFormatting sqref="Z13">
    <cfRule type="containsText" priority="48" dxfId="747" operator="containsText" text="Not Possible">
      <formula>NOT(ISERROR(SEARCH("Not Possible",Z13)))</formula>
    </cfRule>
  </conditionalFormatting>
  <conditionalFormatting sqref="AN13">
    <cfRule type="containsText" priority="46" dxfId="1279" operator="containsText" text="Existing Value Not Required">
      <formula>NOT(ISERROR(SEARCH("Existing Value Not Required",AN13)))</formula>
    </cfRule>
    <cfRule type="containsText" priority="47" dxfId="1279" operator="containsText" text="Existing Value Required">
      <formula>NOT(ISERROR(SEARCH("Existing Value Required",AN13)))</formula>
    </cfRule>
  </conditionalFormatting>
  <conditionalFormatting sqref="AN14:AN258">
    <cfRule type="containsText" priority="43" dxfId="1279" operator="containsText" text="Existing Value Not Required">
      <formula>NOT(ISERROR(SEARCH("Existing Value Not Required",AN14)))</formula>
    </cfRule>
    <cfRule type="containsText" priority="44" dxfId="1279" operator="containsText" text="Existing Value Required">
      <formula>NOT(ISERROR(SEARCH("Existing Value Required",AN14)))</formula>
    </cfRule>
  </conditionalFormatting>
  <conditionalFormatting sqref="Z14:Z258">
    <cfRule type="containsText" priority="45" dxfId="747" operator="containsText" text="Not Possible">
      <formula>NOT(ISERROR(SEARCH("Not Possible",Z14)))</formula>
    </cfRule>
  </conditionalFormatting>
  <conditionalFormatting sqref="AP12:AP258">
    <cfRule type="containsText" priority="41" dxfId="970" operator="containsText" text="Existing Value Not Required">
      <formula>NOT(ISERROR(SEARCH("Existing Value Not Required",AP12)))</formula>
    </cfRule>
    <cfRule type="containsText" priority="42" dxfId="1283" operator="containsText" text="Existing Value Required">
      <formula>NOT(ISERROR(SEARCH("Existing Value Required",AP12)))</formula>
    </cfRule>
  </conditionalFormatting>
  <conditionalFormatting sqref="O12:O258">
    <cfRule type="beginsWith" priority="37" dxfId="896" operator="beginsWith" text="Bespoke">
      <formula>LEFT(O12,LEN("Bespoke"))="Bespoke"</formula>
    </cfRule>
    <cfRule type="beginsWith" priority="38" dxfId="922" operator="beginsWith" text="Same distinctiveness">
      <formula>LEFT(O12,LEN("Same distinctiveness"))="Same distinctiveness"</formula>
    </cfRule>
    <cfRule type="beginsWith" priority="39" dxfId="921" operator="beginsWith" text="Same broad">
      <formula>LEFT(O12,LEN("Same broad"))="Same broad"</formula>
    </cfRule>
    <cfRule type="beginsWith" priority="40" dxfId="920" operator="beginsWith" text="Same Habitat">
      <formula>LEFT(O12,LEN("Same Habitat"))="Same Habitat"</formula>
    </cfRule>
  </conditionalFormatting>
  <conditionalFormatting sqref="T12:AP258">
    <cfRule type="containsText" priority="36" dxfId="970" operator="containsText" text="Error">
      <formula>NOT(ISERROR(SEARCH("Error",T12)))</formula>
    </cfRule>
  </conditionalFormatting>
  <conditionalFormatting sqref="AB12:AC258">
    <cfRule type="containsText" priority="35" dxfId="1281" operator="containsText" text="Spatial">
      <formula>NOT(ISERROR(SEARCH("Spatial",AB12)))</formula>
    </cfRule>
  </conditionalFormatting>
  <conditionalFormatting sqref="AD2">
    <cfRule type="containsText" priority="34" dxfId="1281" operator="containsText" text="Note">
      <formula>NOT(ISERROR(SEARCH("Note",AD2)))</formula>
    </cfRule>
  </conditionalFormatting>
  <conditionalFormatting sqref="AD12:AP258">
    <cfRule type="containsText" priority="33" dxfId="1267" operator="containsText" text="Check">
      <formula>NOT(ISERROR(SEARCH("Check",AD12)))</formula>
    </cfRule>
  </conditionalFormatting>
  <conditionalFormatting sqref="AO12:AO258">
    <cfRule type="containsText" priority="32" dxfId="1281" operator="containsText" text="Spatial">
      <formula>NOT(ISERROR(SEARCH("Spatial",AO12)))</formula>
    </cfRule>
  </conditionalFormatting>
  <conditionalFormatting sqref="V260">
    <cfRule type="containsText" priority="31" dxfId="1279" operator="containsText" text="Error">
      <formula>NOT(ISERROR(SEARCH("Error",V260)))</formula>
    </cfRule>
  </conditionalFormatting>
  <conditionalFormatting sqref="AD5">
    <cfRule type="containsText" priority="30" dxfId="1281" operator="containsText" text="Change">
      <formula>NOT(ISERROR(SEARCH("Change",AD5)))</formula>
    </cfRule>
  </conditionalFormatting>
  <conditionalFormatting sqref="T3">
    <cfRule type="containsText" priority="28" dxfId="1283" operator="containsText" text="Error">
      <formula>NOT(ISERROR(SEARCH("Error",T3)))</formula>
    </cfRule>
    <cfRule type="containsText" priority="29" dxfId="1267" operator="containsText" text="Check">
      <formula>NOT(ISERROR(SEARCH("Check",T3)))</formula>
    </cfRule>
  </conditionalFormatting>
  <conditionalFormatting sqref="T4">
    <cfRule type="containsText" priority="9" dxfId="970" operator="containsText" text="Error">
      <formula>NOT(ISERROR(SEARCH("Error",T4)))</formula>
    </cfRule>
    <cfRule type="containsText" priority="16" dxfId="1267" operator="containsText" text="Check">
      <formula>NOT(ISERROR(SEARCH("Check",T4)))</formula>
    </cfRule>
  </conditionalFormatting>
  <conditionalFormatting sqref="T5">
    <cfRule type="containsText" priority="24" dxfId="970" operator="containsText" text="No">
      <formula>NOT(ISERROR(SEARCH("No",T5)))</formula>
    </cfRule>
    <cfRule type="containsText" priority="25" dxfId="1253" operator="containsText" text="Yes">
      <formula>NOT(ISERROR(SEARCH("Yes",T5)))</formula>
    </cfRule>
  </conditionalFormatting>
  <conditionalFormatting sqref="V2:AA5">
    <cfRule type="containsText" priority="23" dxfId="1281" operator="containsText" text="Check">
      <formula>NOT(ISERROR(SEARCH("Check",V2)))</formula>
    </cfRule>
  </conditionalFormatting>
  <conditionalFormatting sqref="AQ12:AQ258">
    <cfRule type="containsText" priority="21" dxfId="970" operator="containsText" text="Existing Value Not Required">
      <formula>NOT(ISERROR(SEARCH("Existing Value Not Required",AQ12)))</formula>
    </cfRule>
    <cfRule type="containsText" priority="22" dxfId="970" operator="containsText" text="Existing Value Required">
      <formula>NOT(ISERROR(SEARCH("Existing Value Required",AQ12)))</formula>
    </cfRule>
  </conditionalFormatting>
  <conditionalFormatting sqref="AQ12:AQ258">
    <cfRule type="containsText" priority="20" dxfId="970" operator="containsText" text="Error">
      <formula>NOT(ISERROR(SEARCH("Error",AQ12)))</formula>
    </cfRule>
  </conditionalFormatting>
  <conditionalFormatting sqref="AQ12:AQ258">
    <cfRule type="containsText" priority="19" dxfId="1267" operator="containsText" text="Check">
      <formula>NOT(ISERROR(SEARCH("Check",AQ12)))</formula>
    </cfRule>
  </conditionalFormatting>
  <conditionalFormatting sqref="R6:T8">
    <cfRule type="containsText" priority="18" dxfId="1281" operator="containsText" text="⚠">
      <formula>NOT(ISERROR(SEARCH("⚠",R6)))</formula>
    </cfRule>
  </conditionalFormatting>
  <conditionalFormatting sqref="T4:U4">
    <cfRule type="cellIs" priority="17" dxfId="881" operator="equal">
      <formula>0</formula>
    </cfRule>
    <cfRule type="cellIs" priority="444" dxfId="970" operator="lessThan">
      <formula>0</formula>
    </cfRule>
  </conditionalFormatting>
  <conditionalFormatting sqref="T3:U5">
    <cfRule type="containsText" priority="15" dxfId="932" operator="containsText" text="N/A">
      <formula>NOT(ISERROR(SEARCH("N/A",T3)))</formula>
    </cfRule>
  </conditionalFormatting>
  <conditionalFormatting sqref="F12:F257">
    <cfRule type="expression" priority="12" dxfId="877">
      <formula>$AY12="Yes"</formula>
    </cfRule>
  </conditionalFormatting>
  <conditionalFormatting sqref="H5:L6">
    <cfRule type="containsText" priority="11" dxfId="877" operator="containsText" text="Enhanced">
      <formula>NOT(ISERROR(SEARCH("Enhanced",H5)))</formula>
    </cfRule>
  </conditionalFormatting>
  <conditionalFormatting sqref="N12:N258">
    <cfRule type="containsText" priority="10" dxfId="1281" operator="containsText" text="Check">
      <formula>NOT(ISERROR(SEARCH("Check",N12)))</formula>
    </cfRule>
  </conditionalFormatting>
  <conditionalFormatting sqref="N1:N1048576">
    <cfRule type="containsText" priority="8" dxfId="1273" operator="containsText" text="Error">
      <formula>NOT(ISERROR(SEARCH("Error",N1)))</formula>
    </cfRule>
  </conditionalFormatting>
  <conditionalFormatting sqref="K1:K1048576">
    <cfRule type="containsText" priority="7" dxfId="1273" operator="containsText" text="Not Possible">
      <formula>NOT(ISERROR(SEARCH("Not Possible",K1)))</formula>
    </cfRule>
  </conditionalFormatting>
  <conditionalFormatting sqref="AK1:AK1048576">
    <cfRule type="containsText" priority="6" dxfId="1281" operator="containsText" text="⚠">
      <formula>NOT(ISERROR(SEARCH("⚠",AK1)))</formula>
    </cfRule>
  </conditionalFormatting>
  <conditionalFormatting sqref="O1:O1048576">
    <cfRule type="containsText" priority="5" dxfId="1281" operator="containsText" text=" ⚠">
      <formula>NOT(ISERROR(SEARCH(" ⚠",O1)))</formula>
    </cfRule>
  </conditionalFormatting>
  <conditionalFormatting sqref="AQ1:AQ1048576">
    <cfRule type="containsText" priority="4" dxfId="1273" operator="containsText" text="▲">
      <formula>NOT(ISERROR(SEARCH("▲",AQ1)))</formula>
    </cfRule>
  </conditionalFormatting>
  <conditionalFormatting sqref="AU12:AU258">
    <cfRule type="expression" priority="3" dxfId="1275">
      <formula>$AQ12="Off-site reference required ▲"</formula>
    </cfRule>
  </conditionalFormatting>
  <conditionalFormatting sqref="AH1:AH1048576">
    <cfRule type="containsText" priority="2" dxfId="1281" operator="containsText" text="30+">
      <formula>NOT(ISERROR(SEARCH("30+",AH1)))</formula>
    </cfRule>
  </conditionalFormatting>
  <conditionalFormatting sqref="AD1:AD1048576">
    <cfRule type="containsText" priority="1" dxfId="1273" operator="containsText" text="▲">
      <formula>NOT(ISERROR(SEARCH("▲",AD1)))</formula>
    </cfRule>
  </conditionalFormatting>
  <conditionalFormatting sqref="T4:U4">
    <cfRule type="expression" priority="13" dxfId="1289">
      <formula>'Headline Results'!$H$8:$I$8=0</formula>
    </cfRule>
  </conditionalFormatting>
  <conditionalFormatting sqref="T4:U4">
    <cfRule type="cellIs" priority="14" dxfId="1294" operator="lessThan">
      <formula>Start!$F$22</formula>
    </cfRule>
    <cfRule type="cellIs" priority="445" dxfId="1282" operator="greaterThanOrEqual">
      <formula>Start!$F$22</formula>
    </cfRule>
  </conditionalFormatting>
  <dataValidations count="6">
    <dataValidation allowBlank="1" showErrorMessage="1" errorTitle="Invalid Habitat" error="Select from List" sqref="S12:S258"/>
    <dataValidation type="list" allowBlank="1" showInputMessage="1" showErrorMessage="1" sqref="Y12:Y258">
      <formula1>INDIRECT(C12)</formula1>
    </dataValidation>
    <dataValidation type="list" allowBlank="1" showInputMessage="1" showErrorMessage="1" sqref="R12:R258">
      <formula1>INDIRECT(P12)</formula1>
    </dataValidation>
    <dataValidation type="list" allowBlank="1" showInputMessage="1" showErrorMessage="1" sqref="AA12:AA258">
      <formula1>'G-3 Multipliers'!$L$4:$L$6</formula1>
    </dataValidation>
    <dataValidation type="list" allowBlank="1" showInputMessage="1" showErrorMessage="1" sqref="AE12:AF258">
      <formula1>'G-4 Temporal multipliers'!$A$42:$A$73</formula1>
    </dataValidation>
    <dataValidation type="list" allowBlank="1" showInputMessage="1" showErrorMessage="1" sqref="Q12:Q258">
      <formula1>'G-1 All Habitats'!$AF$3:$AF$17</formula1>
    </dataValidation>
  </dataValidations>
  <pageMargins left="0.7" right="0.7" top="0.75" bottom="0.75" header="0.3" footer="0.3"/>
  <pageSetup horizontalDpi="90" verticalDpi="90" orientation="portrait" paperSize="9"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2:AH266"/>
  <sheetViews>
    <sheetView tabSelected="1" zoomScale="55" zoomScaleNormal="55" workbookViewId="0" topLeftCell="B1">
      <pane ySplit="10" topLeftCell="A11" activePane="bottomLeft" state="frozen"/>
      <selection pane="topLeft" activeCell="E1" sqref="E1"/>
      <selection pane="bottomLeft" activeCell="E13" sqref="E13"/>
    </sheetView>
  </sheetViews>
  <sheetFormatPr defaultColWidth="18.4542857142857" defaultRowHeight="14" zeroHeight="1"/>
  <cols>
    <col min="1" max="1" width="19.5714285714286" style="35" hidden="1" customWidth="1"/>
    <col min="2" max="2" width="10.5714285714286" style="35" customWidth="1"/>
    <col min="3" max="3" width="25.4285714285714" style="35" hidden="1" customWidth="1"/>
    <col min="4" max="4" width="27.4285714285714" style="35" customWidth="1"/>
    <col min="5" max="5" width="75" style="37" customWidth="1"/>
    <col min="6" max="6" width="24.4285714285714" style="35" hidden="1" customWidth="1"/>
    <col min="7" max="7" width="14.5714285714286" style="35" customWidth="1"/>
    <col min="8" max="8" width="18" style="35" customWidth="1"/>
    <col min="9" max="9" width="14.4285714285714" style="35" customWidth="1"/>
    <col min="10" max="11" width="12.5714285714286" style="35" customWidth="1"/>
    <col min="12" max="12" width="42.4285714285714" style="35" customWidth="1"/>
    <col min="13" max="13" width="19.5714285714286" style="35" customWidth="1"/>
    <col min="14" max="14" width="16.4285714285714" style="35" customWidth="1"/>
    <col min="15" max="15" width="18" style="35" customWidth="1"/>
    <col min="16" max="17" width="17.5714285714286" style="35" customWidth="1"/>
    <col min="18" max="18" width="49.5714285714286" style="35" customWidth="1"/>
    <col min="19" max="19" width="18.4285714285714" style="35" customWidth="1"/>
    <col min="20" max="20" width="15.4285714285714" style="35" customWidth="1"/>
    <col min="21" max="21" width="13.5714285714286" style="35" customWidth="1"/>
    <col min="22" max="22" width="36.5714285714286" style="35" customWidth="1"/>
    <col min="23" max="23" width="15.4285714285714" style="35" customWidth="1"/>
    <col min="24" max="24" width="14.4285714285714" style="35" customWidth="1"/>
    <col min="25" max="25" width="12.5714285714286" style="35" customWidth="1"/>
    <col min="26" max="26" width="39.5714285714286" style="35" customWidth="1"/>
    <col min="27" max="27" width="43.4285714285714" style="35" customWidth="1"/>
    <col min="28" max="28" width="16.4285714285714" style="35" customWidth="1"/>
    <col min="29" max="29" width="11.5714285714286" style="35" customWidth="1"/>
    <col min="30" max="30" width="18.4285714285714" style="35" hidden="1" customWidth="1"/>
    <col min="31" max="57" width="0" style="35" hidden="1" customWidth="1"/>
    <col min="58" max="60" width="18.4285714285714" style="35" hidden="1" customWidth="1"/>
    <col min="61" max="16381" width="0" style="35" hidden="1" customWidth="1"/>
    <col min="16382" max="16384" width="18.4285714285714" style="35"/>
  </cols>
  <sheetData>
    <row r="1" ht="14.5" thickBot="1"/>
    <row r="2" spans="4:24" ht="18.75" customHeight="1" thickBot="1">
      <c r="D2" s="1644" t="str">
        <f>CONCATENATE("Project Name:"," ",Start!F12,"     ","Map Reference:"," ",Start!K55)</f>
        <v xml:space="preserve">Project Name: Land east of Calne Road, Lyneham     Map Reference: </v>
      </c>
      <c r="E2" s="1646"/>
      <c r="G2" s="635">
        <v>0.01</v>
      </c>
      <c r="H2" s="1597" t="s">
        <v>305</v>
      </c>
      <c r="I2" s="1598"/>
      <c r="J2" s="1598"/>
      <c r="K2" s="1598"/>
      <c r="L2" s="1599"/>
      <c r="N2" s="1715" t="str">
        <f>IF(OR(COUNTIF($O$11:O256,"*30+*")&gt;0,COUNTIF($S$11:S256,"*30+*")&gt;0),"Note; Habitat selected has a time to target condition greater than 30 years. Non standard agreement may be required.","")</f>
        <v>Note; Habitat selected has a time to target condition greater than 30 years. Non standard agreement may be required.</v>
      </c>
      <c r="O2" s="1715"/>
      <c r="P2" s="1715"/>
      <c r="Q2" s="1715"/>
      <c r="R2" s="1715"/>
      <c r="S2" s="1667" t="str" cm="1">
        <f t="array" ref="S2">IF(OR(J11:J256="Fairly Good",J11:J256="Fairly Poor"),"A 'Fairly' Category has been used - check evidence to ensure this is appropriate ⚠","")</f>
        <v/>
      </c>
      <c r="T2" s="1667"/>
      <c r="U2" s="1667"/>
      <c r="V2" s="1667"/>
      <c r="W2" s="1667"/>
      <c r="X2" s="1667"/>
    </row>
    <row r="3" spans="4:24" ht="24" customHeight="1" thickBot="1">
      <c r="D3" s="1650" t="str">
        <f ca="1">MID(CELL("filename",D1),FIND("]",CELL("filename",D1))+1,256)</f>
        <v>A-2 On-Site Habitat Creation</v>
      </c>
      <c r="E3" s="1652"/>
      <c r="H3" s="1610" t="s">
        <v>306</v>
      </c>
      <c r="I3" s="1653"/>
      <c r="J3" s="1685"/>
      <c r="K3" s="1763">
        <f>'Headline Results'!H47</f>
        <v>6.227824005922471</v>
      </c>
      <c r="L3" s="1764"/>
      <c r="N3" s="1715"/>
      <c r="O3" s="1715"/>
      <c r="P3" s="1715"/>
      <c r="Q3" s="1715"/>
      <c r="R3" s="1715"/>
      <c r="S3" s="1667"/>
      <c r="T3" s="1667"/>
      <c r="U3" s="1667"/>
      <c r="V3" s="1667"/>
      <c r="W3" s="1667"/>
      <c r="X3" s="1667"/>
    </row>
    <row r="4" spans="8:24" ht="20.15" customHeight="1">
      <c r="H4" s="1686" t="s">
        <v>308</v>
      </c>
      <c r="I4" s="1687"/>
      <c r="J4" s="1688"/>
      <c r="K4" s="1765">
        <f>'Headline Results'!H51</f>
        <v>0.3109272967693436</v>
      </c>
      <c r="L4" s="1766"/>
      <c r="N4" s="1735"/>
      <c r="O4" s="1735"/>
      <c r="P4" s="1735"/>
      <c r="Q4" s="1735"/>
      <c r="R4" s="1735"/>
      <c r="S4" s="1667"/>
      <c r="T4" s="1667"/>
      <c r="U4" s="1667"/>
      <c r="V4" s="1667"/>
      <c r="W4" s="1667"/>
      <c r="X4" s="1667"/>
    </row>
    <row r="5" spans="8:24" ht="19.5" customHeight="1">
      <c r="H5" s="1686" t="s">
        <v>310</v>
      </c>
      <c r="I5" s="1687"/>
      <c r="J5" s="1688"/>
      <c r="K5" s="1767" t="str" cm="1">
        <f t="array" ref="K5">IF(OR('Trading Summary Area Habitats'!G5:G8="No ▲"),"No - check trading summaries ▲","Yes ✓")</f>
        <v>Yes ✓</v>
      </c>
      <c r="L5" s="1768"/>
      <c r="M5" s="159"/>
      <c r="N5" s="1735"/>
      <c r="O5" s="1735"/>
      <c r="P5" s="1735"/>
      <c r="Q5" s="1735"/>
      <c r="R5" s="1735"/>
      <c r="S5" s="1667"/>
      <c r="T5" s="1667"/>
      <c r="U5" s="1667"/>
      <c r="V5" s="1667"/>
      <c r="W5" s="1667"/>
      <c r="X5" s="1667"/>
    </row>
    <row r="6" spans="8:18" ht="36" customHeight="1" thickBot="1">
      <c r="H6" s="1720" t="s">
        <v>416</v>
      </c>
      <c r="I6" s="1721"/>
      <c r="J6" s="1722"/>
      <c r="K6" s="1769" t="str">
        <f>IF(ABS('A-1 On-Site Habitat Baseline'!W261-G259)&lt;=G2,"Area Acceptable ✓","Error - Area created does not equal area lost ▲")</f>
        <v>Area Acceptable ✓</v>
      </c>
      <c r="L6" s="1770"/>
      <c r="N6" s="1735"/>
      <c r="O6" s="1735"/>
      <c r="P6" s="1735"/>
      <c r="Q6" s="1735"/>
      <c r="R6" s="1735"/>
    </row>
    <row r="7" spans="5:23" ht="39" customHeight="1" thickBot="1">
      <c r="E7" s="38"/>
      <c r="H7" s="1771" t="str" cm="1">
        <f t="array" ref="H7">IF(OR(E11:E258="watercourse footprint"),"Please ensure the watercourse details for any watercourse footprints recorded are included in the watercourse tabs ⚠","")</f>
        <v/>
      </c>
      <c r="I7" s="1771"/>
      <c r="J7" s="1771"/>
      <c r="K7" s="1771"/>
      <c r="L7" s="1771"/>
      <c r="P7" s="714"/>
      <c r="Q7" s="714"/>
      <c r="R7" s="714"/>
      <c r="S7" s="239"/>
      <c r="T7" s="239"/>
      <c r="U7" s="239"/>
      <c r="V7" s="239"/>
      <c r="W7" s="239"/>
    </row>
    <row r="8" spans="4:31" ht="15" customHeight="1" thickBot="1">
      <c r="D8" s="1463" t="s">
        <v>371</v>
      </c>
      <c r="E8" s="1464"/>
      <c r="F8" s="1464"/>
      <c r="G8" s="1464"/>
      <c r="H8" s="1464"/>
      <c r="I8" s="1464"/>
      <c r="J8" s="1464"/>
      <c r="K8" s="1464"/>
      <c r="L8" s="1464"/>
      <c r="M8" s="1464"/>
      <c r="N8" s="1464"/>
      <c r="O8" s="1464"/>
      <c r="P8" s="1464"/>
      <c r="Q8" s="1464"/>
      <c r="R8" s="1464"/>
      <c r="S8" s="1464"/>
      <c r="T8" s="1464"/>
      <c r="U8" s="1464"/>
      <c r="V8" s="1464"/>
      <c r="W8" s="1464"/>
      <c r="X8" s="1464"/>
      <c r="Y8" s="1464"/>
      <c r="Z8" s="1464"/>
      <c r="AA8" s="1464"/>
      <c r="AB8" s="1465"/>
      <c r="AE8" s="1704" t="s">
        <v>417</v>
      </c>
    </row>
    <row r="9" spans="2:34" s="37" customFormat="1" ht="15" customHeight="1" thickBot="1">
      <c r="B9" s="35"/>
      <c r="D9" s="1758" t="s">
        <v>324</v>
      </c>
      <c r="E9" s="1753" t="s">
        <v>392</v>
      </c>
      <c r="F9" s="1753" t="s">
        <v>392</v>
      </c>
      <c r="G9" s="1757" t="s">
        <v>327</v>
      </c>
      <c r="H9" s="1754" t="s">
        <v>312</v>
      </c>
      <c r="I9" s="1756"/>
      <c r="J9" s="1754" t="s">
        <v>313</v>
      </c>
      <c r="K9" s="1756"/>
      <c r="L9" s="1754" t="s">
        <v>314</v>
      </c>
      <c r="M9" s="1755"/>
      <c r="N9" s="1756"/>
      <c r="O9" s="1754" t="s">
        <v>428</v>
      </c>
      <c r="P9" s="1755"/>
      <c r="Q9" s="1755"/>
      <c r="R9" s="1755"/>
      <c r="S9" s="1755"/>
      <c r="T9" s="1756"/>
      <c r="U9" s="1760" t="s">
        <v>429</v>
      </c>
      <c r="V9" s="1761"/>
      <c r="W9" s="1761"/>
      <c r="X9" s="1762"/>
      <c r="Y9" s="1759" t="s">
        <v>378</v>
      </c>
      <c r="Z9" s="1603" t="s">
        <v>318</v>
      </c>
      <c r="AA9" s="1604"/>
      <c r="AB9" s="1605"/>
      <c r="AC9" s="35"/>
      <c r="AD9" s="35"/>
      <c r="AE9" s="1704"/>
      <c r="AF9" s="35"/>
      <c r="AG9" s="35"/>
      <c r="AH9" s="35"/>
    </row>
    <row r="10" spans="1:31" ht="66" customHeight="1" thickBot="1">
      <c r="A10" s="41" t="s">
        <v>322</v>
      </c>
      <c r="B10" s="44" t="s">
        <v>323</v>
      </c>
      <c r="D10" s="1758"/>
      <c r="E10" s="1753"/>
      <c r="F10" s="1753"/>
      <c r="G10" s="1757"/>
      <c r="H10" s="560" t="s">
        <v>312</v>
      </c>
      <c r="I10" s="236" t="s">
        <v>328</v>
      </c>
      <c r="J10" s="561" t="s">
        <v>313</v>
      </c>
      <c r="K10" s="562" t="s">
        <v>328</v>
      </c>
      <c r="L10" s="45" t="s">
        <v>314</v>
      </c>
      <c r="M10" s="46" t="s">
        <v>314</v>
      </c>
      <c r="N10" s="47" t="s">
        <v>329</v>
      </c>
      <c r="O10" s="48" t="s">
        <v>395</v>
      </c>
      <c r="P10" s="531" t="s">
        <v>436</v>
      </c>
      <c r="Q10" s="531" t="s">
        <v>421</v>
      </c>
      <c r="R10" s="531" t="s">
        <v>398</v>
      </c>
      <c r="S10" s="531" t="s">
        <v>399</v>
      </c>
      <c r="T10" s="563" t="s">
        <v>400</v>
      </c>
      <c r="U10" s="525" t="s">
        <v>422</v>
      </c>
      <c r="V10" s="524" t="s">
        <v>402</v>
      </c>
      <c r="W10" s="524" t="s">
        <v>423</v>
      </c>
      <c r="X10" s="494" t="s">
        <v>404</v>
      </c>
      <c r="Y10" s="1607"/>
      <c r="Z10" s="614" t="s">
        <v>302</v>
      </c>
      <c r="AA10" s="617" t="s">
        <v>279</v>
      </c>
      <c r="AB10" s="617" t="s">
        <v>280</v>
      </c>
      <c r="AE10" s="35" t="s">
        <v>345</v>
      </c>
    </row>
    <row r="11" spans="1:31" ht="28">
      <c r="A11" s="35" t="str">
        <f>IFERROR(INDEX('G-8 Condition Look up'!$I$4:$I$135,MATCH(F11,'G-8 Condition Look up'!$A$4:$A$135,0)),"")</f>
        <v>Cond4</v>
      </c>
      <c r="B11" s="541">
        <v>1</v>
      </c>
      <c r="C11" s="232" t="str">
        <f>IFERROR(INDEX('G-1 All Habitats'!$AG$25:$AG$41,MATCH(D11,'G-1 All Habitats'!AF$25:AF$41,0)),"")</f>
        <v>Grassland</v>
      </c>
      <c r="D11" s="545" t="s">
        <v>106</v>
      </c>
      <c r="E11" s="565" t="s">
        <v>343</v>
      </c>
      <c r="F11" s="566" t="str">
        <f>IFERROR(INDEX('G-1 All Habitats'!$B$3:$B$135,MATCH(E11,'G-1 All Habitats'!$A$3:$A$135,0)),"")</f>
        <v>Grassland - Modified grassland</v>
      </c>
      <c r="G11" s="543">
        <v>0.118</v>
      </c>
      <c r="H11" s="346" t="str">
        <f>IF(F11="","",VLOOKUP(F11,'G-1 All Habitats'!$B$2:$M$135,10,FALSE))</f>
        <v>Low</v>
      </c>
      <c r="I11" s="544">
        <f>IFERROR(VLOOKUP(H11,'G-1 All Habitats'!$V$3:$W$7,2,FALSE),"")</f>
        <v>2</v>
      </c>
      <c r="J11" s="545" t="s">
        <v>345</v>
      </c>
      <c r="K11" s="544">
        <f>IFERROR(INDEX('G-8 Condition Look up'!$A$3:$H$135,MATCH(F11,'G-8 Condition Look up'!$A$3:$A$135,0),MATCH(J11,'G-8 Condition Look up'!$A$3:$H$3,0)),"")</f>
        <v>1</v>
      </c>
      <c r="L11" s="52" t="s">
        <v>346</v>
      </c>
      <c r="M11" s="283" t="str">
        <f>IF(L11="","",IF(VLOOKUP(L11,'G-3 Multipliers'!$L$3:$N$6,2,FALSE)=0,"Spatial Data Missing",VLOOKUP(L11,'G-3 Multipliers'!$L$3:$N$6,2,FALSE)))</f>
        <v>Low Strategic Significance</v>
      </c>
      <c r="N11" s="281">
        <f>IF(L11="","",IF(VLOOKUP(L11,'G-3 Multipliers'!$L$3:$N$6,3,FALSE)=0,"Spatial Data Missing",VLOOKUP(L11,'G-3 Multipliers'!$L$3:$N$6,3,FALSE)))</f>
        <v>1</v>
      </c>
      <c r="O11" s="346">
        <f>IFERROR(INDEX(TemporalData,MATCH(F11,TemporalHabitats,0),MATCH(J11,TemporalConditions,0)),"")</f>
        <v>1</v>
      </c>
      <c r="P11" s="565">
        <v>0</v>
      </c>
      <c r="Q11" s="565">
        <v>0</v>
      </c>
      <c r="R11" s="280" t="str">
        <f>IF(E11="","",IF(AND(P11&gt;0,Q11&gt;0),"Error -both advance and delayed habitat creation ▲",IF(I11=0,"Standard time to target condition applied",IF(O11&lt;=P11,"Check details - Is there evidence that habitat has reached target condition? ⚠",IF(O11="","",IF(AND(P11&gt;=AE11,P11&gt;0),"Check details - Is there evidence habitat creation started and the threshold for Poor condition reached? ⚠",IF(AND(O11&gt;P11,P11&gt;0),"Check details - Is there evidence habitat creation in place? ⚠",IF(Q11&gt;0,"Check details- Delay in starting habitat in required condition? ⚠",IF(P11&gt;0,"Check details - Is there evidence habitat creation started/in place? ⚠","Standard time to target condition applied")))))))))</f>
        <v>Standard time to target condition applied</v>
      </c>
      <c r="S11" s="349">
        <f>IF(R11="Error -both advance and delayed habitat creation ▲","Check Data ⚠",IF(O11="Not Possible ▲","Check Data ⚠",IF(O11="","",IF(AND(O11="30+",P11=0),"30+",IF(AND(O11="30+",P11="30+"),0,IF(AND(O11="30+",P11&lt;32),30-P11,IF(O11="30+",30-P11,IF(P11&gt;O11,0,IF(Q11="30+","30+",IF(O11+Q11&gt;30,"30+",IF(O11+Q11&gt;30,"30+",IF(O11-P11&gt;30,"30+",IF(O11+Q11-P11&gt;0,O11+Q11-P11,IF(O11-P11&gt;0,O11-P11,O11+Q11-P11))))))))))))))</f>
        <v>1</v>
      </c>
      <c r="T11" s="567">
        <f>IFERROR(IF(S11="Check Data ⚠","Check Data ⚠",VLOOKUP(S11,'G-4 Temporal multipliers'!$A$4:$C$37,3,FALSE)),"")</f>
        <v>0.965</v>
      </c>
      <c r="U11" s="568" t="str">
        <f>IF(F11="","",VLOOKUP(F11,'G-3 Multipliers'!$A$2:$E$134,2,FALSE))</f>
        <v>Low</v>
      </c>
      <c r="V11" s="280" t="str">
        <f>IF(F11="","",IF($R11="Check details - Is there evidence that habitat has reached target condition? ⚠","Low Difficulty - only applicable if all habitat created before losses ⚠",IF(AND($R11="Check details - Is there evidence habitat creation started and the threshold for Poor condition reached? ⚠",$E11&lt;&gt;"Traditional orchards",$E11&lt;&gt;"Ornamental lake or pond",$E11&lt;&gt;"Ponds (non-priority habitat)",$E11&lt;&gt;"Ruderal/Ephemeral",$E11&lt;&gt;"Tall forbs",$E11&lt;&gt;"Developed land; sealed surface"),"Enhancement difficulty applied","Standard difficulty applied")))</f>
        <v>Standard difficulty applied</v>
      </c>
      <c r="W11" s="280" t="str">
        <f>IF(E11="","",IF(AND(V11="Standard difficulty applied",O11&gt;P11),U11,IF(AND(V11="Low Difficulty - only applicable if all habitat created before losses ⚠",P11&gt;=O11),"Low",VLOOKUP(F11,'G-3 Multipliers'!$A$2:$E$134,4,FALSE))))</f>
        <v>Low</v>
      </c>
      <c r="X11" s="544">
        <f>IFERROR(IF(E11="","",VLOOKUP(W11,'G-3 Multipliers'!$P$2:$Q$6,2,FALSE)),"")</f>
        <v>1</v>
      </c>
      <c r="Y11" s="303">
        <f>IFERROR(G11*I11*K11*N11*T11*X11,"")</f>
        <v>0.22773999999999997</v>
      </c>
      <c r="Z11" s="52" t="s">
        <v>437</v>
      </c>
      <c r="AA11" s="51"/>
      <c r="AB11" s="115"/>
      <c r="AE11" s="40">
        <f t="shared" si="0" ref="AE11:AE74">IFERROR(INDEX(TemporalData,MATCH(F11,TemporalHabitats,0),MATCH($AE$10,TemporalConditions,0)),"")</f>
        <v>1</v>
      </c>
    </row>
    <row r="12" spans="1:31" ht="14">
      <c r="A12" s="35" t="str">
        <f>IFERROR(INDEX('G-8 Condition Look up'!$I$4:$I$135,MATCH(F12,'G-8 Condition Look up'!$A$4:$A$135,0)),"")</f>
        <v/>
      </c>
      <c r="B12" s="225">
        <v>2</v>
      </c>
      <c r="C12" s="232" t="str">
        <f>IFERROR(INDEX('G-1 All Habitats'!$AG$25:$AG$41,MATCH(D12,'G-1 All Habitats'!AF$25:AF$41,0)),"")</f>
        <v/>
      </c>
      <c r="D12" s="52"/>
      <c r="E12" s="57"/>
      <c r="F12" s="231" t="str">
        <f>IFERROR(INDEX('G-1 All Habitats'!$B$3:$B$135,MATCH(E12,'G-1 All Habitats'!$A$3:$A$135,0)),"")</f>
        <v/>
      </c>
      <c r="G12" s="51"/>
      <c r="H12" s="275" t="str">
        <f>IF(F12="","",VLOOKUP(F12,'G-1 All Habitats'!$B$2:$M$135,10,FALSE))</f>
        <v/>
      </c>
      <c r="I12" s="276" t="str">
        <f>IFERROR(VLOOKUP(H12,'G-1 All Habitats'!$V$3:$W$7,2,FALSE),"")</f>
        <v/>
      </c>
      <c r="J12" s="52" t="s">
        <v>43</v>
      </c>
      <c r="K12" s="276" t="str">
        <f>IFERROR(INDEX('G-8 Condition Look up'!$A$3:$H$135,MATCH(F12,'G-8 Condition Look up'!$A$3:$A$135,0),MATCH(J12,'G-8 Condition Look up'!$A$3:$H$3,0)),"")</f>
        <v/>
      </c>
      <c r="L12" s="52"/>
      <c r="M12" s="283" t="str">
        <f>IF(L12="","",IF(VLOOKUP(L12,'G-3 Multipliers'!$L$3:$N$6,2,FALSE)=0,"Spatial Data Missing",VLOOKUP(L12,'G-3 Multipliers'!$L$3:$N$6,2,FALSE)))</f>
        <v/>
      </c>
      <c r="N12" s="281" t="str">
        <f>IF(L12="","",IF(VLOOKUP(L12,'G-3 Multipliers'!$L$3:$N$6,3,FALSE)=0,"Spatial Data Missing",VLOOKUP(L12,'G-3 Multipliers'!$L$3:$N$6,3,FALSE)))</f>
        <v/>
      </c>
      <c r="O12" s="275" t="str">
        <f t="shared" si="1" ref="O12:O74">IFERROR(INDEX(TemporalData,MATCH(F12,TemporalHabitats,0),MATCH(J12,TemporalConditions,0)),"")</f>
        <v/>
      </c>
      <c r="P12" s="58"/>
      <c r="Q12" s="58"/>
      <c r="R12" s="283" t="str">
        <f t="shared" si="2" ref="R12:R75">IF(E12="","",IF(AND(P12&gt;0,Q12&gt;0),"Error -both advance and delayed habitat creation ▲",IF(I12=0,"Standard time to target condition applied",IF(O12&lt;=P12,"Check details - Is there evidence that habitat has reached target condition? ⚠",IF(O12="","",IF(AND(P12&gt;=AE12,P12&gt;0),"Check details - Is there evidence habitat creation started and the threshold for Poor condition reached? ⚠",IF(AND(O12&gt;P12,P12&gt;0),"Check details - Is there evidence habitat creation in place? ⚠",IF(Q12&gt;0,"Check details- Delay in starting habitat in required condition? ⚠",IF(P12&gt;0,"Check details - Is there evidence habitat creation started/in place? ⚠","Standard time to target condition applied")))))))))</f>
        <v/>
      </c>
      <c r="S12" s="296" t="str">
        <f t="shared" si="3" ref="S12:S75">IF(R12="Error -both advance and delayed habitat creation ▲","Check Data ⚠",IF(O12="Not Possible ▲","Check Data ⚠",IF(O12="","",IF(AND(O12="30+",P12=0),"30+",IF(AND(O12="30+",P12="30+"),0,IF(AND(O12="30+",P12&lt;32),30-P12,IF(O12="30+",30-P12,IF(P12&gt;O12,0,IF(Q12="30+","30+",IF(O12+Q12&gt;30,"30+",IF(O12+Q12&gt;30,"30+",IF(O12-P12&gt;30,"30+",IF(O12+Q12-P12&gt;0,O12+Q12-P12,IF(O12-P12&gt;0,O12-P12,O12+Q12-P12))))))))))))))</f>
        <v/>
      </c>
      <c r="T12" s="297" t="str">
        <f>IFERROR(IF(S12="Check Data ⚠","Check Data ⚠",VLOOKUP(S12,'G-4 Temporal multipliers'!$A$4:$C$37,3,FALSE)),"")</f>
        <v/>
      </c>
      <c r="U12" s="298" t="str">
        <f>IF(F12="","",VLOOKUP(F12,'G-3 Multipliers'!$A$2:$E$134,2,FALSE))</f>
        <v/>
      </c>
      <c r="V12" s="295" t="str">
        <f t="shared" si="4" ref="V12:V75">IF(F12="","",IF($R12="Check details - Is there evidence that habitat has reached target condition? ⚠","Low Difficulty - only applicable if all habitat created before losses ⚠",IF(AND($R12="Check details - Is there evidence habitat creation started and the threshold for Poor condition reached? ⚠",$E12&lt;&gt;"Traditional orchards",$E12&lt;&gt;"Ornamental lake or pond",$E12&lt;&gt;"Ponds (non-priority habitat)",$E12&lt;&gt;"Ruderal/Ephemeral",$E12&lt;&gt;"Tall forbs",$E12&lt;&gt;"Developed land; sealed surface"),"Enhancement difficulty applied","Standard difficulty applied")))</f>
        <v/>
      </c>
      <c r="W12" s="295" t="str">
        <f>IF(E12="","",IF(AND(V12="Standard difficulty applied",O12&gt;P12),U12,IF(AND(V12="Low Difficulty - only applicable if all habitat created before losses ⚠",P12&gt;=O12),"Low",VLOOKUP(F12,'G-3 Multipliers'!$A$2:$E$134,4,FALSE))))</f>
        <v/>
      </c>
      <c r="X12" s="299" t="str">
        <f>IFERROR(IF(E12="","",VLOOKUP(W12,'G-3 Multipliers'!$P$2:$Q$6,2,FALSE)),"")</f>
        <v/>
      </c>
      <c r="Y12" s="303" t="str">
        <f t="shared" si="5" ref="Y12:Y75">IFERROR(G12*I12*K12*N12*T12*X12,"")</f>
        <v/>
      </c>
      <c r="Z12" s="52"/>
      <c r="AA12" s="51"/>
      <c r="AB12" s="104"/>
      <c r="AE12" s="40" t="str">
        <f t="shared" si="0"/>
        <v/>
      </c>
    </row>
    <row r="13" spans="1:31" ht="28">
      <c r="A13" s="35" t="str">
        <f>IFERROR(INDEX('G-8 Condition Look up'!$I$4:$I$135,MATCH(F13,'G-8 Condition Look up'!$A$4:$A$135,0)),"")</f>
        <v>Cond4</v>
      </c>
      <c r="B13" s="225">
        <v>3</v>
      </c>
      <c r="C13" s="232" t="str">
        <f>IFERROR(INDEX('G-1 All Habitats'!$AG$25:$AG$41,MATCH(D13,'G-1 All Habitats'!AF$25:AF$41,0)),"")</f>
        <v>Urban</v>
      </c>
      <c r="D13" s="52" t="s">
        <v>110</v>
      </c>
      <c r="E13" s="57" t="s">
        <v>438</v>
      </c>
      <c r="F13" s="231" t="str">
        <f>IFERROR(INDEX('G-1 All Habitats'!$B$3:$B$135,MATCH(E13,'G-1 All Habitats'!$A$3:$A$135,0)),"")</f>
        <v>Urban - Sustainable drainage system</v>
      </c>
      <c r="G13" s="51">
        <v>0.63</v>
      </c>
      <c r="H13" s="275" t="str">
        <f>IF(F13="","",VLOOKUP(F13,'G-1 All Habitats'!$B$2:$M$135,10,FALSE))</f>
        <v>Low</v>
      </c>
      <c r="I13" s="276">
        <f>IFERROR(VLOOKUP(H13,'G-1 All Habitats'!$V$3:$W$7,2,FALSE),"")</f>
        <v>2</v>
      </c>
      <c r="J13" s="52" t="s">
        <v>43</v>
      </c>
      <c r="K13" s="276">
        <f>IFERROR(INDEX('G-8 Condition Look up'!$A$3:$H$135,MATCH(F13,'G-8 Condition Look up'!$A$3:$A$135,0),MATCH(J13,'G-8 Condition Look up'!$A$3:$H$3,0)),"")</f>
        <v>2</v>
      </c>
      <c r="L13" s="52" t="s">
        <v>346</v>
      </c>
      <c r="M13" s="283" t="str">
        <f>IF(L13="","",IF(VLOOKUP(L13,'G-3 Multipliers'!$L$3:$N$6,2,FALSE)=0,"Spatial Data Missing",VLOOKUP(L13,'G-3 Multipliers'!$L$3:$N$6,2,FALSE)))</f>
        <v>Low Strategic Significance</v>
      </c>
      <c r="N13" s="281">
        <f>IF(L13="","",IF(VLOOKUP(L13,'G-3 Multipliers'!$L$3:$N$6,3,FALSE)=0,"Spatial Data Missing",VLOOKUP(L13,'G-3 Multipliers'!$L$3:$N$6,3,FALSE)))</f>
        <v>1</v>
      </c>
      <c r="O13" s="275">
        <f t="shared" si="1"/>
        <v>3</v>
      </c>
      <c r="P13" s="58">
        <v>0</v>
      </c>
      <c r="Q13" s="58">
        <v>0</v>
      </c>
      <c r="R13" s="283" t="str">
        <f t="shared" si="2"/>
        <v>Standard time to target condition applied</v>
      </c>
      <c r="S13" s="296">
        <f t="shared" si="3"/>
        <v>3</v>
      </c>
      <c r="T13" s="297">
        <f>IFERROR(IF(S13="Check Data ⚠","Check Data ⚠",VLOOKUP(S13,'G-4 Temporal multipliers'!$A$4:$C$37,3,FALSE)),"")</f>
        <v>0.898632125</v>
      </c>
      <c r="U13" s="298" t="str">
        <f>IF(F13="","",VLOOKUP(F13,'G-3 Multipliers'!$A$2:$E$134,2,FALSE))</f>
        <v>Medium</v>
      </c>
      <c r="V13" s="295" t="str">
        <f t="shared" si="4"/>
        <v>Standard difficulty applied</v>
      </c>
      <c r="W13" s="295" t="str">
        <f>IF(E13="","",IF(AND(V13="Standard difficulty applied",O13&gt;P13),U13,IF(AND(V13="Low Difficulty - only applicable if all habitat created before losses ⚠",P13&gt;=O13),"Low",VLOOKUP(F13,'G-3 Multipliers'!$A$2:$E$134,4,FALSE))))</f>
        <v>Medium</v>
      </c>
      <c r="X13" s="299">
        <f>IFERROR(IF(E13="","",VLOOKUP(W13,'G-3 Multipliers'!$P$2:$Q$6,2,FALSE)),"")</f>
        <v>0.67</v>
      </c>
      <c r="Y13" s="303">
        <f t="shared" si="5"/>
        <v>1.5172504798500002</v>
      </c>
      <c r="Z13" s="52" t="s">
        <v>439</v>
      </c>
      <c r="AA13" s="51"/>
      <c r="AB13" s="104"/>
      <c r="AE13" s="40">
        <f t="shared" si="0"/>
        <v>1</v>
      </c>
    </row>
    <row r="14" spans="1:31" ht="14.15" customHeight="1">
      <c r="A14" s="35" t="str">
        <f>IFERROR(INDEX('G-8 Condition Look up'!$I$4:$I$135,MATCH(F14,'G-8 Condition Look up'!$A$4:$A$135,0)),"")</f>
        <v>Cond2</v>
      </c>
      <c r="B14" s="225">
        <v>4</v>
      </c>
      <c r="C14" s="232" t="str">
        <f>IFERROR(INDEX('G-1 All Habitats'!$AG$25:$AG$41,MATCH(D14,'G-1 All Habitats'!AF$25:AF$41,0)),"")</f>
        <v>Urban</v>
      </c>
      <c r="D14" s="52" t="s">
        <v>110</v>
      </c>
      <c r="E14" s="57" t="s">
        <v>361</v>
      </c>
      <c r="F14" s="231" t="str">
        <f>IFERROR(INDEX('G-1 All Habitats'!$B$3:$B$135,MATCH(E14,'G-1 All Habitats'!$A$3:$A$135,0)),"")</f>
        <v>Urban - Developed land; sealed surface</v>
      </c>
      <c r="G14" s="51">
        <v>2.15</v>
      </c>
      <c r="H14" s="275" t="str">
        <f>IF(F14="","",VLOOKUP(F14,'G-1 All Habitats'!$B$2:$M$135,10,FALSE))</f>
        <v>V.Low</v>
      </c>
      <c r="I14" s="276">
        <f>IFERROR(VLOOKUP(H14,'G-1 All Habitats'!$V$3:$W$7,2,FALSE),"")</f>
        <v>0</v>
      </c>
      <c r="J14" s="52" t="s">
        <v>362</v>
      </c>
      <c r="K14" s="276">
        <f>IFERROR(INDEX('G-8 Condition Look up'!$A$3:$H$135,MATCH(F14,'G-8 Condition Look up'!$A$3:$A$135,0),MATCH(J14,'G-8 Condition Look up'!$A$3:$H$3,0)),"")</f>
        <v>0</v>
      </c>
      <c r="L14" s="52" t="s">
        <v>346</v>
      </c>
      <c r="M14" s="283" t="str">
        <f>IF(L14="","",IF(VLOOKUP(L14,'G-3 Multipliers'!$L$3:$N$6,2,FALSE)=0,"Spatial Data Missing",VLOOKUP(L14,'G-3 Multipliers'!$L$3:$N$6,2,FALSE)))</f>
        <v>Low Strategic Significance</v>
      </c>
      <c r="N14" s="281">
        <f>IF(L14="","",IF(VLOOKUP(L14,'G-3 Multipliers'!$L$3:$N$6,3,FALSE)=0,"Spatial Data Missing",VLOOKUP(L14,'G-3 Multipliers'!$L$3:$N$6,3,FALSE)))</f>
        <v>1</v>
      </c>
      <c r="O14" s="275">
        <f t="shared" si="1"/>
        <v>0</v>
      </c>
      <c r="P14" s="58">
        <v>0</v>
      </c>
      <c r="Q14" s="58">
        <v>0</v>
      </c>
      <c r="R14" s="283" t="str">
        <f t="shared" si="2"/>
        <v>Standard time to target condition applied</v>
      </c>
      <c r="S14" s="296">
        <f t="shared" si="3"/>
        <v>0</v>
      </c>
      <c r="T14" s="297">
        <f>IFERROR(IF(S14="Check Data ⚠","Check Data ⚠",VLOOKUP(S14,'G-4 Temporal multipliers'!$A$4:$C$37,3,FALSE)),"")</f>
        <v>1</v>
      </c>
      <c r="U14" s="298" t="str">
        <f>IF(F14="","",VLOOKUP(F14,'G-3 Multipliers'!$A$2:$E$134,2,FALSE))</f>
        <v>Low</v>
      </c>
      <c r="V14" s="295" t="str">
        <f t="shared" si="4"/>
        <v>Standard difficulty applied</v>
      </c>
      <c r="W14" s="295" t="str">
        <f>IF(E14="","",IF(AND(V14="Standard difficulty applied",O14&gt;P14),U14,IF(AND(V14="Low Difficulty - only applicable if all habitat created before losses ⚠",P14&gt;=O14),"Low",VLOOKUP(F14,'G-3 Multipliers'!$A$2:$E$134,4,FALSE))))</f>
        <v>Low</v>
      </c>
      <c r="X14" s="299">
        <f>IFERROR(IF(E14="","",VLOOKUP(W14,'G-3 Multipliers'!$P$2:$Q$6,2,FALSE)),"")</f>
        <v>1</v>
      </c>
      <c r="Y14" s="303">
        <f t="shared" si="5"/>
        <v>0</v>
      </c>
      <c r="Z14" s="52" t="s">
        <v>440</v>
      </c>
      <c r="AA14" s="51"/>
      <c r="AB14" s="104"/>
      <c r="AE14" s="40" t="str">
        <f t="shared" si="0"/>
        <v>Not Possible ▲</v>
      </c>
    </row>
    <row r="15" spans="1:31" ht="42">
      <c r="A15" s="35" t="str">
        <f>IFERROR(INDEX('G-8 Condition Look up'!$I$4:$I$135,MATCH(F15,'G-8 Condition Look up'!$A$4:$A$135,0)),"")</f>
        <v>Cond2</v>
      </c>
      <c r="B15" s="225">
        <v>5</v>
      </c>
      <c r="C15" s="232" t="str">
        <f>IFERROR(INDEX('G-1 All Habitats'!$AG$25:$AG$41,MATCH(D15,'G-1 All Habitats'!AF$25:AF$41,0)),"")</f>
        <v>Urban</v>
      </c>
      <c r="D15" s="52" t="s">
        <v>110</v>
      </c>
      <c r="E15" s="57" t="s">
        <v>441</v>
      </c>
      <c r="F15" s="231" t="str">
        <f>IFERROR(INDEX('G-1 All Habitats'!$B$3:$B$135,MATCH(E15,'G-1 All Habitats'!$A$3:$A$135,0)),"")</f>
        <v>Urban - Artificial unvegetated, unsealed surface</v>
      </c>
      <c r="G15" s="51">
        <v>0.201</v>
      </c>
      <c r="H15" s="275" t="str">
        <f>IF(F15="","",VLOOKUP(F15,'G-1 All Habitats'!$B$2:$M$135,10,FALSE))</f>
        <v>V.Low</v>
      </c>
      <c r="I15" s="276">
        <f>IFERROR(VLOOKUP(H15,'G-1 All Habitats'!$V$3:$W$7,2,FALSE),"")</f>
        <v>0</v>
      </c>
      <c r="J15" s="52" t="s">
        <v>362</v>
      </c>
      <c r="K15" s="276">
        <f>IFERROR(INDEX('G-8 Condition Look up'!$A$3:$H$135,MATCH(F15,'G-8 Condition Look up'!$A$3:$A$135,0),MATCH(J15,'G-8 Condition Look up'!$A$3:$H$3,0)),"")</f>
        <v>0</v>
      </c>
      <c r="L15" s="52" t="s">
        <v>346</v>
      </c>
      <c r="M15" s="283" t="str">
        <f>IF(L15="","",IF(VLOOKUP(L15,'G-3 Multipliers'!$L$3:$N$6,2,FALSE)=0,"Spatial Data Missing",VLOOKUP(L15,'G-3 Multipliers'!$L$3:$N$6,2,FALSE)))</f>
        <v>Low Strategic Significance</v>
      </c>
      <c r="N15" s="281">
        <f>IF(L15="","",IF(VLOOKUP(L15,'G-3 Multipliers'!$L$3:$N$6,3,FALSE)=0,"Spatial Data Missing",VLOOKUP(L15,'G-3 Multipliers'!$L$3:$N$6,3,FALSE)))</f>
        <v>1</v>
      </c>
      <c r="O15" s="275">
        <f t="shared" si="1"/>
        <v>0</v>
      </c>
      <c r="P15" s="58">
        <v>0</v>
      </c>
      <c r="Q15" s="58">
        <v>0</v>
      </c>
      <c r="R15" s="283" t="str">
        <f t="shared" si="2"/>
        <v>Standard time to target condition applied</v>
      </c>
      <c r="S15" s="296">
        <f t="shared" si="3"/>
        <v>0</v>
      </c>
      <c r="T15" s="297">
        <f>IFERROR(IF(S15="Check Data ⚠","Check Data ⚠",VLOOKUP(S15,'G-4 Temporal multipliers'!$A$4:$C$37,3,FALSE)),"")</f>
        <v>1</v>
      </c>
      <c r="U15" s="298" t="str">
        <f>IF(F15="","",VLOOKUP(F15,'G-3 Multipliers'!$A$2:$E$134,2,FALSE))</f>
        <v>Low</v>
      </c>
      <c r="V15" s="295" t="str">
        <f t="shared" si="4"/>
        <v>Standard difficulty applied</v>
      </c>
      <c r="W15" s="295" t="str">
        <f>IF(E15="","",IF(AND(V15="Standard difficulty applied",O15&gt;P15),U15,IF(AND(V15="Low Difficulty - only applicable if all habitat created before losses ⚠",P15&gt;=O15),"Low",VLOOKUP(F15,'G-3 Multipliers'!$A$2:$E$134,4,FALSE))))</f>
        <v>Low</v>
      </c>
      <c r="X15" s="299">
        <f>IFERROR(IF(E15="","",VLOOKUP(W15,'G-3 Multipliers'!$P$2:$Q$6,2,FALSE)),"")</f>
        <v>1</v>
      </c>
      <c r="Y15" s="303">
        <f t="shared" si="5"/>
        <v>0</v>
      </c>
      <c r="Z15" s="52" t="s">
        <v>442</v>
      </c>
      <c r="AA15" s="51"/>
      <c r="AB15" s="104"/>
      <c r="AE15" s="40" t="str">
        <f t="shared" si="0"/>
        <v>Not Possible ▲</v>
      </c>
    </row>
    <row r="16" spans="1:31" ht="28">
      <c r="A16" s="35" t="str">
        <f>IFERROR(INDEX('G-8 Condition Look up'!$I$4:$I$135,MATCH(F16,'G-8 Condition Look up'!$A$4:$A$135,0)),"")</f>
        <v>Cond4</v>
      </c>
      <c r="B16" s="225">
        <v>6</v>
      </c>
      <c r="C16" s="232" t="str">
        <f>IFERROR(INDEX('G-1 All Habitats'!$AG$25:$AG$41,MATCH(D16,'G-1 All Habitats'!AF$25:AF$41,0)),"")</f>
        <v>Grassland</v>
      </c>
      <c r="D16" s="52" t="s">
        <v>106</v>
      </c>
      <c r="E16" s="57" t="s">
        <v>350</v>
      </c>
      <c r="F16" s="231" t="str">
        <f>IFERROR(INDEX('G-1 All Habitats'!$B$3:$B$135,MATCH(E16,'G-1 All Habitats'!$A$3:$A$135,0)),"")</f>
        <v>Grassland - Other neutral grassland</v>
      </c>
      <c r="G16" s="51">
        <v>2.35</v>
      </c>
      <c r="H16" s="275" t="str">
        <f>IF(F16="","",VLOOKUP(F16,'G-1 All Habitats'!$B$2:$M$135,10,FALSE))</f>
        <v>Medium</v>
      </c>
      <c r="I16" s="276">
        <f>IFERROR(VLOOKUP(H16,'G-1 All Habitats'!$V$3:$W$7,2,FALSE),"")</f>
        <v>4</v>
      </c>
      <c r="J16" s="52" t="s">
        <v>43</v>
      </c>
      <c r="K16" s="276">
        <f>IFERROR(INDEX('G-8 Condition Look up'!$A$3:$H$135,MATCH(F16,'G-8 Condition Look up'!$A$3:$A$135,0),MATCH(J16,'G-8 Condition Look up'!$A$3:$H$3,0)),"")</f>
        <v>2</v>
      </c>
      <c r="L16" s="52" t="s">
        <v>351</v>
      </c>
      <c r="M16" s="283" t="str">
        <f>IF(L16="","",IF(VLOOKUP(L16,'G-3 Multipliers'!$L$3:$N$6,2,FALSE)=0,"Spatial Data Missing",VLOOKUP(L16,'G-3 Multipliers'!$L$3:$N$6,2,FALSE)))</f>
        <v xml:space="preserve">Medium strategic significance </v>
      </c>
      <c r="N16" s="281">
        <f>IF(L16="","",IF(VLOOKUP(L16,'G-3 Multipliers'!$L$3:$N$6,3,FALSE)=0,"Spatial Data Missing",VLOOKUP(L16,'G-3 Multipliers'!$L$3:$N$6,3,FALSE)))</f>
        <v>1.1</v>
      </c>
      <c r="O16" s="275">
        <f t="shared" si="1"/>
        <v>5</v>
      </c>
      <c r="P16" s="58">
        <v>0</v>
      </c>
      <c r="Q16" s="58">
        <v>0</v>
      </c>
      <c r="R16" s="283" t="str">
        <f t="shared" si="2"/>
        <v>Standard time to target condition applied</v>
      </c>
      <c r="S16" s="296">
        <f t="shared" si="3"/>
        <v>5</v>
      </c>
      <c r="T16" s="297">
        <f>IFERROR(IF(S16="Check Data ⚠","Check Data ⚠",VLOOKUP(S16,'G-4 Temporal multipliers'!$A$4:$C$37,3,FALSE)),"")</f>
        <v>0.8368287006</v>
      </c>
      <c r="U16" s="298" t="str">
        <f>IF(F16="","",VLOOKUP(F16,'G-3 Multipliers'!$A$2:$E$134,2,FALSE))</f>
        <v>Low</v>
      </c>
      <c r="V16" s="295" t="str">
        <f t="shared" si="4"/>
        <v>Standard difficulty applied</v>
      </c>
      <c r="W16" s="295" t="str">
        <f>IF(E16="","",IF(AND(V16="Standard difficulty applied",O16&gt;P16),U16,IF(AND(V16="Low Difficulty - only applicable if all habitat created before losses ⚠",P16&gt;=O16),"Low",VLOOKUP(F16,'G-3 Multipliers'!$A$2:$E$134,4,FALSE))))</f>
        <v>Low</v>
      </c>
      <c r="X16" s="299">
        <f>IFERROR(IF(E16="","",VLOOKUP(W16,'G-3 Multipliers'!$P$2:$Q$6,2,FALSE)),"")</f>
        <v>1</v>
      </c>
      <c r="Y16" s="303">
        <f t="shared" si="5"/>
        <v>17.305617528408003</v>
      </c>
      <c r="Z16" s="52" t="s">
        <v>443</v>
      </c>
      <c r="AA16" s="51"/>
      <c r="AB16" s="104"/>
      <c r="AE16" s="40">
        <f t="shared" si="0"/>
        <v>2</v>
      </c>
    </row>
    <row r="17" spans="1:31" ht="28">
      <c r="A17" s="35" t="str">
        <f>IFERROR(INDEX('G-8 Condition Look up'!$I$4:$I$135,MATCH(F17,'G-8 Condition Look up'!$A$4:$A$135,0)),"")</f>
        <v>Cond2</v>
      </c>
      <c r="B17" s="225">
        <v>7</v>
      </c>
      <c r="C17" s="232" t="str">
        <f>IFERROR(INDEX('G-1 All Habitats'!$AG$25:$AG$41,MATCH(D17,'G-1 All Habitats'!AF$25:AF$41,0)),"")</f>
        <v>Urban</v>
      </c>
      <c r="D17" s="52" t="s">
        <v>110</v>
      </c>
      <c r="E17" s="57" t="s">
        <v>361</v>
      </c>
      <c r="F17" s="231" t="str">
        <f>IFERROR(INDEX('G-1 All Habitats'!$B$3:$B$135,MATCH(E17,'G-1 All Habitats'!$A$3:$A$135,0)),"")</f>
        <v>Urban - Developed land; sealed surface</v>
      </c>
      <c r="G17" s="51">
        <v>0.893</v>
      </c>
      <c r="H17" s="275" t="str">
        <f>IF(F17="","",VLOOKUP(F17,'G-1 All Habitats'!$B$2:$M$135,10,FALSE))</f>
        <v>V.Low</v>
      </c>
      <c r="I17" s="276">
        <f>IFERROR(VLOOKUP(H17,'G-1 All Habitats'!$V$3:$W$7,2,FALSE),"")</f>
        <v>0</v>
      </c>
      <c r="J17" s="52" t="s">
        <v>362</v>
      </c>
      <c r="K17" s="276">
        <f>IFERROR(INDEX('G-8 Condition Look up'!$A$3:$H$135,MATCH(F17,'G-8 Condition Look up'!$A$3:$A$135,0),MATCH(J17,'G-8 Condition Look up'!$A$3:$H$3,0)),"")</f>
        <v>0</v>
      </c>
      <c r="L17" s="52" t="s">
        <v>346</v>
      </c>
      <c r="M17" s="283" t="str">
        <f>IF(L17="","",IF(VLOOKUP(L17,'G-3 Multipliers'!$L$3:$N$6,2,FALSE)=0,"Spatial Data Missing",VLOOKUP(L17,'G-3 Multipliers'!$L$3:$N$6,2,FALSE)))</f>
        <v>Low Strategic Significance</v>
      </c>
      <c r="N17" s="281">
        <f>IF(L17="","",IF(VLOOKUP(L17,'G-3 Multipliers'!$L$3:$N$6,3,FALSE)=0,"Spatial Data Missing",VLOOKUP(L17,'G-3 Multipliers'!$L$3:$N$6,3,FALSE)))</f>
        <v>1</v>
      </c>
      <c r="O17" s="275">
        <f t="shared" si="1"/>
        <v>0</v>
      </c>
      <c r="P17" s="58">
        <v>0</v>
      </c>
      <c r="Q17" s="58">
        <v>0</v>
      </c>
      <c r="R17" s="283" t="str">
        <f t="shared" si="2"/>
        <v>Standard time to target condition applied</v>
      </c>
      <c r="S17" s="296">
        <f t="shared" si="3"/>
        <v>0</v>
      </c>
      <c r="T17" s="297">
        <f>IFERROR(IF(S17="Check Data ⚠","Check Data ⚠",VLOOKUP(S17,'G-4 Temporal multipliers'!$A$4:$C$37,3,FALSE)),"")</f>
        <v>1</v>
      </c>
      <c r="U17" s="298" t="str">
        <f>IF(F17="","",VLOOKUP(F17,'G-3 Multipliers'!$A$2:$E$134,2,FALSE))</f>
        <v>Low</v>
      </c>
      <c r="V17" s="295" t="str">
        <f t="shared" si="4"/>
        <v>Standard difficulty applied</v>
      </c>
      <c r="W17" s="295" t="str">
        <f>IF(E17="","",IF(AND(V17="Standard difficulty applied",O17&gt;P17),U17,IF(AND(V17="Low Difficulty - only applicable if all habitat created before losses ⚠",P17&gt;=O17),"Low",VLOOKUP(F17,'G-3 Multipliers'!$A$2:$E$134,4,FALSE))))</f>
        <v>Low</v>
      </c>
      <c r="X17" s="299">
        <f>IFERROR(IF(E17="","",VLOOKUP(W17,'G-3 Multipliers'!$P$2:$Q$6,2,FALSE)),"")</f>
        <v>1</v>
      </c>
      <c r="Y17" s="303">
        <f t="shared" si="5"/>
        <v>0</v>
      </c>
      <c r="Z17" s="52" t="s">
        <v>440</v>
      </c>
      <c r="AA17" s="51"/>
      <c r="AB17" s="104"/>
      <c r="AE17" s="40" t="str">
        <f t="shared" si="0"/>
        <v>Not Possible ▲</v>
      </c>
    </row>
    <row r="18" spans="1:31" ht="14.15" customHeight="1">
      <c r="A18" s="35" t="str">
        <f>IFERROR(INDEX('G-8 Condition Look up'!$I$4:$I$135,MATCH(F18,'G-8 Condition Look up'!$A$4:$A$135,0)),"")</f>
        <v>Cond1</v>
      </c>
      <c r="B18" s="225">
        <v>8</v>
      </c>
      <c r="C18" s="232" t="str">
        <f>IFERROR(INDEX('G-1 All Habitats'!$AG$25:$AG$41,MATCH(D18,'G-1 All Habitats'!AF$25:AF$41,0)),"")</f>
        <v>Urban</v>
      </c>
      <c r="D18" s="52" t="s">
        <v>110</v>
      </c>
      <c r="E18" s="57" t="s">
        <v>444</v>
      </c>
      <c r="F18" s="231" t="str">
        <f>IFERROR(INDEX('G-1 All Habitats'!$B$3:$B$135,MATCH(E18,'G-1 All Habitats'!$A$3:$A$135,0)),"")</f>
        <v>Urban - Vegetated garden</v>
      </c>
      <c r="G18" s="51">
        <v>1.88</v>
      </c>
      <c r="H18" s="275" t="str">
        <f>IF(F18="","",VLOOKUP(F18,'G-1 All Habitats'!$B$2:$M$135,10,FALSE))</f>
        <v>Low</v>
      </c>
      <c r="I18" s="276">
        <f>IFERROR(VLOOKUP(H18,'G-1 All Habitats'!$V$3:$W$7,2,FALSE),"")</f>
        <v>2</v>
      </c>
      <c r="J18" s="52" t="s">
        <v>445</v>
      </c>
      <c r="K18" s="276">
        <f>IFERROR(INDEX('G-8 Condition Look up'!$A$3:$H$135,MATCH(F18,'G-8 Condition Look up'!$A$3:$A$135,0),MATCH(J18,'G-8 Condition Look up'!$A$3:$H$3,0)),"")</f>
        <v>1</v>
      </c>
      <c r="L18" s="52" t="s">
        <v>346</v>
      </c>
      <c r="M18" s="283" t="str">
        <f>IF(L18="","",IF(VLOOKUP(L18,'G-3 Multipliers'!$L$3:$N$6,2,FALSE)=0,"Spatial Data Missing",VLOOKUP(L18,'G-3 Multipliers'!$L$3:$N$6,2,FALSE)))</f>
        <v>Low Strategic Significance</v>
      </c>
      <c r="N18" s="281">
        <f>IF(L18="","",IF(VLOOKUP(L18,'G-3 Multipliers'!$L$3:$N$6,3,FALSE)=0,"Spatial Data Missing",VLOOKUP(L18,'G-3 Multipliers'!$L$3:$N$6,3,FALSE)))</f>
        <v>1</v>
      </c>
      <c r="O18" s="275">
        <f t="shared" si="1"/>
        <v>1</v>
      </c>
      <c r="P18" s="58">
        <v>0</v>
      </c>
      <c r="Q18" s="58">
        <v>0</v>
      </c>
      <c r="R18" s="283" t="str">
        <f t="shared" si="2"/>
        <v>Standard time to target condition applied</v>
      </c>
      <c r="S18" s="296">
        <f t="shared" si="3"/>
        <v>1</v>
      </c>
      <c r="T18" s="297">
        <f>IFERROR(IF(S18="Check Data ⚠","Check Data ⚠",VLOOKUP(S18,'G-4 Temporal multipliers'!$A$4:$C$37,3,FALSE)),"")</f>
        <v>0.965</v>
      </c>
      <c r="U18" s="298" t="str">
        <f>IF(F18="","",VLOOKUP(F18,'G-3 Multipliers'!$A$2:$E$134,2,FALSE))</f>
        <v>Low</v>
      </c>
      <c r="V18" s="295" t="str">
        <f t="shared" si="4"/>
        <v>Standard difficulty applied</v>
      </c>
      <c r="W18" s="295" t="str">
        <f>IF(E18="","",IF(AND(V18="Standard difficulty applied",O18&gt;P18),U18,IF(AND(V18="Low Difficulty - only applicable if all habitat created before losses ⚠",P18&gt;=O18),"Low",VLOOKUP(F18,'G-3 Multipliers'!$A$2:$E$134,4,FALSE))))</f>
        <v>Low</v>
      </c>
      <c r="X18" s="299">
        <f>IFERROR(IF(E18="","",VLOOKUP(W18,'G-3 Multipliers'!$P$2:$Q$6,2,FALSE)),"")</f>
        <v>1</v>
      </c>
      <c r="Y18" s="303">
        <f t="shared" si="5"/>
        <v>3.6283999999999996</v>
      </c>
      <c r="Z18" s="52" t="s">
        <v>446</v>
      </c>
      <c r="AA18" s="51"/>
      <c r="AB18" s="104"/>
      <c r="AE18" s="40" t="str">
        <f t="shared" si="0"/>
        <v>Not Possible ▲</v>
      </c>
    </row>
    <row r="19" spans="1:31" ht="28">
      <c r="A19" s="35" t="str">
        <f>IFERROR(INDEX('G-8 Condition Look up'!$I$4:$I$135,MATCH(F19,'G-8 Condition Look up'!$A$4:$A$135,0)),"")</f>
        <v>Cond4</v>
      </c>
      <c r="B19" s="225">
        <v>9</v>
      </c>
      <c r="C19" s="232" t="str">
        <f>IFERROR(INDEX('G-1 All Habitats'!$AG$25:$AG$41,MATCH(D19,'G-1 All Habitats'!AF$25:AF$41,0)),"")</f>
        <v>Individual_trees</v>
      </c>
      <c r="D19" s="52" t="s">
        <v>119</v>
      </c>
      <c r="E19" s="57" t="s">
        <v>353</v>
      </c>
      <c r="F19" s="231" t="str">
        <f>IFERROR(INDEX('G-1 All Habitats'!$B$3:$B$135,MATCH(E19,'G-1 All Habitats'!$A$3:$A$135,0)),"")</f>
        <v>Individual trees - Rural tree</v>
      </c>
      <c r="G19" s="51">
        <v>0.0164</v>
      </c>
      <c r="H19" s="275" t="str">
        <f>IF(F19="","",VLOOKUP(F19,'G-1 All Habitats'!$B$2:$M$135,10,FALSE))</f>
        <v>Medium</v>
      </c>
      <c r="I19" s="276">
        <f>IFERROR(VLOOKUP(H19,'G-1 All Habitats'!$V$3:$W$7,2,FALSE),"")</f>
        <v>4</v>
      </c>
      <c r="J19" s="52" t="s">
        <v>44</v>
      </c>
      <c r="K19" s="276">
        <f>IFERROR(INDEX('G-8 Condition Look up'!$A$3:$H$135,MATCH(F19,'G-8 Condition Look up'!$A$3:$A$135,0),MATCH(J19,'G-8 Condition Look up'!$A$3:$H$3,0)),"")</f>
        <v>3</v>
      </c>
      <c r="L19" s="52" t="s">
        <v>346</v>
      </c>
      <c r="M19" s="283" t="str">
        <f>IF(L19="","",IF(VLOOKUP(L19,'G-3 Multipliers'!$L$3:$N$6,2,FALSE)=0,"Spatial Data Missing",VLOOKUP(L19,'G-3 Multipliers'!$L$3:$N$6,2,FALSE)))</f>
        <v>Low Strategic Significance</v>
      </c>
      <c r="N19" s="281">
        <f>IF(L19="","",IF(VLOOKUP(L19,'G-3 Multipliers'!$L$3:$N$6,3,FALSE)=0,"Spatial Data Missing",VLOOKUP(L19,'G-3 Multipliers'!$L$3:$N$6,3,FALSE)))</f>
        <v>1</v>
      </c>
      <c r="O19" s="275" t="str">
        <f t="shared" si="1"/>
        <v>30+</v>
      </c>
      <c r="P19" s="58">
        <v>0</v>
      </c>
      <c r="Q19" s="58">
        <v>0</v>
      </c>
      <c r="R19" s="283" t="str">
        <f t="shared" si="2"/>
        <v>Standard time to target condition applied</v>
      </c>
      <c r="S19" s="296" t="str">
        <f t="shared" si="3"/>
        <v>30+</v>
      </c>
      <c r="T19" s="297">
        <f>IFERROR(IF(S19="Check Data ⚠","Check Data ⚠",VLOOKUP(S19,'G-4 Temporal multipliers'!$A$4:$C$37,3,FALSE)),"")</f>
        <v>0.3197967361</v>
      </c>
      <c r="U19" s="298" t="str">
        <f>IF(F19="","",VLOOKUP(F19,'G-3 Multipliers'!$A$2:$E$134,2,FALSE))</f>
        <v>Low</v>
      </c>
      <c r="V19" s="295" t="str">
        <f t="shared" si="4"/>
        <v>Standard difficulty applied</v>
      </c>
      <c r="W19" s="295" t="str">
        <f>IF(E19="","",IF(AND(V19="Standard difficulty applied",O19&gt;P19),U19,IF(AND(V19="Low Difficulty - only applicable if all habitat created before losses ⚠",P19&gt;=O19),"Low",VLOOKUP(F19,'G-3 Multipliers'!$A$2:$E$134,4,FALSE))))</f>
        <v>Low</v>
      </c>
      <c r="X19" s="299">
        <f>IFERROR(IF(E19="","",VLOOKUP(W19,'G-3 Multipliers'!$P$2:$Q$6,2,FALSE)),"")</f>
        <v>1</v>
      </c>
      <c r="Y19" s="303">
        <f t="shared" si="5"/>
        <v>0.06293599766448</v>
      </c>
      <c r="Z19" s="52" t="s">
        <v>447</v>
      </c>
      <c r="AA19" s="51"/>
      <c r="AB19" s="104"/>
      <c r="AE19" s="40">
        <f t="shared" si="0"/>
        <v>10</v>
      </c>
    </row>
    <row r="20" spans="1:31" ht="14">
      <c r="A20" s="35" t="str">
        <f>IFERROR(INDEX('G-8 Condition Look up'!$I$4:$I$135,MATCH(F20,'G-8 Condition Look up'!$A$4:$A$135,0)),"")</f>
        <v/>
      </c>
      <c r="B20" s="225">
        <v>10</v>
      </c>
      <c r="C20" s="232" t="str">
        <f>IFERROR(INDEX('G-1 All Habitats'!$AG$25:$AG$41,MATCH(D20,'G-1 All Habitats'!AF$25:AF$41,0)),"")</f>
        <v/>
      </c>
      <c r="D20" s="52"/>
      <c r="E20" s="57"/>
      <c r="F20" s="231" t="str">
        <f>IFERROR(INDEX('G-1 All Habitats'!$B$3:$B$135,MATCH(E20,'G-1 All Habitats'!$A$3:$A$135,0)),"")</f>
        <v/>
      </c>
      <c r="G20" s="51"/>
      <c r="H20" s="275" t="str">
        <f>IF(F20="","",VLOOKUP(F20,'G-1 All Habitats'!$B$2:$M$135,10,FALSE))</f>
        <v/>
      </c>
      <c r="I20" s="276" t="str">
        <f>IFERROR(VLOOKUP(H20,'G-1 All Habitats'!$V$3:$W$7,2,FALSE),"")</f>
        <v/>
      </c>
      <c r="J20" s="52"/>
      <c r="K20" s="276" t="str">
        <f>IFERROR(INDEX('G-8 Condition Look up'!$A$3:$H$135,MATCH(F20,'G-8 Condition Look up'!$A$3:$A$135,0),MATCH(J20,'G-8 Condition Look up'!$A$3:$H$3,0)),"")</f>
        <v/>
      </c>
      <c r="L20" s="52"/>
      <c r="M20" s="283" t="str">
        <f>IF(L20="","",IF(VLOOKUP(L20,'G-3 Multipliers'!$L$3:$N$6,2,FALSE)=0,"Spatial Data Missing",VLOOKUP(L20,'G-3 Multipliers'!$L$3:$N$6,2,FALSE)))</f>
        <v/>
      </c>
      <c r="N20" s="281" t="str">
        <f>IF(L20="","",IF(VLOOKUP(L20,'G-3 Multipliers'!$L$3:$N$6,3,FALSE)=0,"Spatial Data Missing",VLOOKUP(L20,'G-3 Multipliers'!$L$3:$N$6,3,FALSE)))</f>
        <v/>
      </c>
      <c r="O20" s="275" t="str">
        <f t="shared" si="1"/>
        <v/>
      </c>
      <c r="P20" s="58"/>
      <c r="Q20" s="58"/>
      <c r="R20" s="283" t="str">
        <f t="shared" si="2"/>
        <v/>
      </c>
      <c r="S20" s="296" t="str">
        <f t="shared" si="3"/>
        <v/>
      </c>
      <c r="T20" s="297" t="str">
        <f>IFERROR(IF(S20="Check Data ⚠","Check Data ⚠",VLOOKUP(S20,'G-4 Temporal multipliers'!$A$4:$C$37,3,FALSE)),"")</f>
        <v/>
      </c>
      <c r="U20" s="298" t="str">
        <f>IF(F20="","",VLOOKUP(F20,'G-3 Multipliers'!$A$2:$E$134,2,FALSE))</f>
        <v/>
      </c>
      <c r="V20" s="295" t="str">
        <f t="shared" si="4"/>
        <v/>
      </c>
      <c r="W20" s="295" t="str">
        <f>IF(E20="","",IF(AND(V20="Standard difficulty applied",O20&gt;P20),U20,IF(AND(V20="Low Difficulty - only applicable if all habitat created before losses ⚠",P20&gt;=O20),"Low",VLOOKUP(F20,'G-3 Multipliers'!$A$2:$E$134,4,FALSE))))</f>
        <v/>
      </c>
      <c r="X20" s="299" t="str">
        <f>IFERROR(IF(E20="","",VLOOKUP(W20,'G-3 Multipliers'!$P$2:$Q$6,2,FALSE)),"")</f>
        <v/>
      </c>
      <c r="Y20" s="303" t="str">
        <f t="shared" si="5"/>
        <v/>
      </c>
      <c r="Z20" s="52"/>
      <c r="AA20" s="51"/>
      <c r="AB20" s="104"/>
      <c r="AE20" s="40" t="str">
        <f t="shared" si="0"/>
        <v/>
      </c>
    </row>
    <row r="21" spans="1:31" ht="14">
      <c r="A21" s="35" t="str">
        <f>IFERROR(INDEX('G-8 Condition Look up'!$I$4:$I$135,MATCH(F21,'G-8 Condition Look up'!$A$4:$A$135,0)),"")</f>
        <v/>
      </c>
      <c r="B21" s="225">
        <v>11</v>
      </c>
      <c r="C21" s="232" t="str">
        <f>IFERROR(INDEX('G-1 All Habitats'!$AG$25:$AG$41,MATCH(D21,'G-1 All Habitats'!AF$25:AF$41,0)),"")</f>
        <v/>
      </c>
      <c r="D21" s="52"/>
      <c r="E21" s="57"/>
      <c r="F21" s="231" t="str">
        <f>IFERROR(INDEX('G-1 All Habitats'!$B$3:$B$135,MATCH(E21,'G-1 All Habitats'!$A$3:$A$135,0)),"")</f>
        <v/>
      </c>
      <c r="G21" s="51"/>
      <c r="H21" s="275" t="str">
        <f>IF(F21="","",VLOOKUP(F21,'G-1 All Habitats'!$B$2:$M$135,10,FALSE))</f>
        <v/>
      </c>
      <c r="I21" s="276" t="str">
        <f>IFERROR(VLOOKUP(H21,'G-1 All Habitats'!$V$3:$W$7,2,FALSE),"")</f>
        <v/>
      </c>
      <c r="J21" s="52"/>
      <c r="K21" s="276" t="str">
        <f>IFERROR(INDEX('G-8 Condition Look up'!$A$3:$H$135,MATCH(F21,'G-8 Condition Look up'!$A$3:$A$135,0),MATCH(J21,'G-8 Condition Look up'!$A$3:$H$3,0)),"")</f>
        <v/>
      </c>
      <c r="L21" s="52"/>
      <c r="M21" s="283" t="str">
        <f>IF(L21="","",IF(VLOOKUP(L21,'G-3 Multipliers'!$L$3:$N$6,2,FALSE)=0,"Spatial Data Missing",VLOOKUP(L21,'G-3 Multipliers'!$L$3:$N$6,2,FALSE)))</f>
        <v/>
      </c>
      <c r="N21" s="281" t="str">
        <f>IF(L21="","",IF(VLOOKUP(L21,'G-3 Multipliers'!$L$3:$N$6,3,FALSE)=0,"Spatial Data Missing",VLOOKUP(L21,'G-3 Multipliers'!$L$3:$N$6,3,FALSE)))</f>
        <v/>
      </c>
      <c r="O21" s="275" t="str">
        <f t="shared" si="1"/>
        <v/>
      </c>
      <c r="P21" s="58"/>
      <c r="Q21" s="58"/>
      <c r="R21" s="283" t="str">
        <f t="shared" si="2"/>
        <v/>
      </c>
      <c r="S21" s="296" t="str">
        <f t="shared" si="3"/>
        <v/>
      </c>
      <c r="T21" s="297" t="str">
        <f>IFERROR(IF(S21="Check Data ⚠","Check Data ⚠",VLOOKUP(S21,'G-4 Temporal multipliers'!$A$4:$C$37,3,FALSE)),"")</f>
        <v/>
      </c>
      <c r="U21" s="298" t="str">
        <f>IF(F21="","",VLOOKUP(F21,'G-3 Multipliers'!$A$2:$E$134,2,FALSE))</f>
        <v/>
      </c>
      <c r="V21" s="295" t="str">
        <f t="shared" si="4"/>
        <v/>
      </c>
      <c r="W21" s="295" t="str">
        <f>IF(E21="","",IF(AND(V21="Standard difficulty applied",O21&gt;P21),U21,IF(AND(V21="Low Difficulty - only applicable if all habitat created before losses ⚠",P21&gt;=O21),"Low",VLOOKUP(F21,'G-3 Multipliers'!$A$2:$E$134,4,FALSE))))</f>
        <v/>
      </c>
      <c r="X21" s="299" t="str">
        <f>IFERROR(IF(E21="","",VLOOKUP(W21,'G-3 Multipliers'!$P$2:$Q$6,2,FALSE)),"")</f>
        <v/>
      </c>
      <c r="Y21" s="303" t="str">
        <f t="shared" si="5"/>
        <v/>
      </c>
      <c r="Z21" s="52"/>
      <c r="AA21" s="51"/>
      <c r="AB21" s="104"/>
      <c r="AE21" s="40" t="str">
        <f t="shared" si="0"/>
        <v/>
      </c>
    </row>
    <row r="22" spans="1:31" ht="14">
      <c r="A22" s="35" t="str">
        <f>IFERROR(INDEX('G-8 Condition Look up'!$I$4:$I$135,MATCH(F22,'G-8 Condition Look up'!$A$4:$A$135,0)),"")</f>
        <v/>
      </c>
      <c r="B22" s="225">
        <v>12</v>
      </c>
      <c r="C22" s="232" t="str">
        <f>IFERROR(INDEX('G-1 All Habitats'!$AG$25:$AG$41,MATCH(D22,'G-1 All Habitats'!AF$25:AF$41,0)),"")</f>
        <v/>
      </c>
      <c r="D22" s="52"/>
      <c r="E22" s="57"/>
      <c r="F22" s="231" t="str">
        <f>IFERROR(INDEX('G-1 All Habitats'!$B$3:$B$135,MATCH(E22,'G-1 All Habitats'!$A$3:$A$135,0)),"")</f>
        <v/>
      </c>
      <c r="G22" s="51"/>
      <c r="H22" s="275" t="str">
        <f>IF(F22="","",VLOOKUP(F22,'G-1 All Habitats'!$B$2:$M$135,10,FALSE))</f>
        <v/>
      </c>
      <c r="I22" s="276" t="str">
        <f>IFERROR(VLOOKUP(H22,'G-1 All Habitats'!$V$3:$W$7,2,FALSE),"")</f>
        <v/>
      </c>
      <c r="J22" s="52"/>
      <c r="K22" s="276" t="str">
        <f>IFERROR(INDEX('G-8 Condition Look up'!$A$3:$H$135,MATCH(F22,'G-8 Condition Look up'!$A$3:$A$135,0),MATCH(J22,'G-8 Condition Look up'!$A$3:$H$3,0)),"")</f>
        <v/>
      </c>
      <c r="L22" s="52"/>
      <c r="M22" s="283" t="str">
        <f>IF(L22="","",IF(VLOOKUP(L22,'G-3 Multipliers'!$L$3:$N$6,2,FALSE)=0,"Spatial Data Missing",VLOOKUP(L22,'G-3 Multipliers'!$L$3:$N$6,2,FALSE)))</f>
        <v/>
      </c>
      <c r="N22" s="281" t="str">
        <f>IF(L22="","",IF(VLOOKUP(L22,'G-3 Multipliers'!$L$3:$N$6,3,FALSE)=0,"Spatial Data Missing",VLOOKUP(L22,'G-3 Multipliers'!$L$3:$N$6,3,FALSE)))</f>
        <v/>
      </c>
      <c r="O22" s="275" t="str">
        <f t="shared" si="1"/>
        <v/>
      </c>
      <c r="P22" s="58"/>
      <c r="Q22" s="58"/>
      <c r="R22" s="283" t="str">
        <f t="shared" si="2"/>
        <v/>
      </c>
      <c r="S22" s="296" t="str">
        <f t="shared" si="3"/>
        <v/>
      </c>
      <c r="T22" s="297" t="str">
        <f>IFERROR(IF(S22="Check Data ⚠","Check Data ⚠",VLOOKUP(S22,'G-4 Temporal multipliers'!$A$4:$C$37,3,FALSE)),"")</f>
        <v/>
      </c>
      <c r="U22" s="298" t="str">
        <f>IF(F22="","",VLOOKUP(F22,'G-3 Multipliers'!$A$2:$E$134,2,FALSE))</f>
        <v/>
      </c>
      <c r="V22" s="295" t="str">
        <f t="shared" si="4"/>
        <v/>
      </c>
      <c r="W22" s="295" t="str">
        <f>IF(E22="","",IF(AND(V22="Standard difficulty applied",O22&gt;P22),U22,IF(AND(V22="Low Difficulty - only applicable if all habitat created before losses ⚠",P22&gt;=O22),"Low",VLOOKUP(F22,'G-3 Multipliers'!$A$2:$E$134,4,FALSE))))</f>
        <v/>
      </c>
      <c r="X22" s="299" t="str">
        <f>IFERROR(IF(E22="","",VLOOKUP(W22,'G-3 Multipliers'!$P$2:$Q$6,2,FALSE)),"")</f>
        <v/>
      </c>
      <c r="Y22" s="303" t="str">
        <f t="shared" si="5"/>
        <v/>
      </c>
      <c r="Z22" s="52"/>
      <c r="AA22" s="51"/>
      <c r="AB22" s="104"/>
      <c r="AE22" s="40" t="str">
        <f t="shared" si="0"/>
        <v/>
      </c>
    </row>
    <row r="23" spans="1:31" ht="14">
      <c r="A23" s="35" t="str">
        <f>IFERROR(INDEX('G-8 Condition Look up'!$I$4:$I$135,MATCH(F23,'G-8 Condition Look up'!$A$4:$A$135,0)),"")</f>
        <v/>
      </c>
      <c r="B23" s="225">
        <v>13</v>
      </c>
      <c r="C23" s="232" t="str">
        <f>IFERROR(INDEX('G-1 All Habitats'!$AG$25:$AG$41,MATCH(D23,'G-1 All Habitats'!AF$25:AF$41,0)),"")</f>
        <v/>
      </c>
      <c r="D23" s="52"/>
      <c r="E23" s="57"/>
      <c r="F23" s="231" t="str">
        <f>IFERROR(INDEX('G-1 All Habitats'!$B$3:$B$135,MATCH(E23,'G-1 All Habitats'!$A$3:$A$135,0)),"")</f>
        <v/>
      </c>
      <c r="G23" s="51"/>
      <c r="H23" s="275" t="str">
        <f>IF(F23="","",VLOOKUP(F23,'G-1 All Habitats'!$B$2:$M$135,10,FALSE))</f>
        <v/>
      </c>
      <c r="I23" s="276" t="str">
        <f>IFERROR(VLOOKUP(H23,'G-1 All Habitats'!$V$3:$W$7,2,FALSE),"")</f>
        <v/>
      </c>
      <c r="J23" s="52"/>
      <c r="K23" s="276" t="str">
        <f>IFERROR(INDEX('G-8 Condition Look up'!$A$3:$H$135,MATCH(F23,'G-8 Condition Look up'!$A$3:$A$135,0),MATCH(J23,'G-8 Condition Look up'!$A$3:$H$3,0)),"")</f>
        <v/>
      </c>
      <c r="L23" s="52"/>
      <c r="M23" s="283" t="str">
        <f>IF(L23="","",IF(VLOOKUP(L23,'G-3 Multipliers'!$L$3:$N$6,2,FALSE)=0,"Spatial Data Missing",VLOOKUP(L23,'G-3 Multipliers'!$L$3:$N$6,2,FALSE)))</f>
        <v/>
      </c>
      <c r="N23" s="281" t="str">
        <f>IF(L23="","",IF(VLOOKUP(L23,'G-3 Multipliers'!$L$3:$N$6,3,FALSE)=0,"Spatial Data Missing",VLOOKUP(L23,'G-3 Multipliers'!$L$3:$N$6,3,FALSE)))</f>
        <v/>
      </c>
      <c r="O23" s="275" t="str">
        <f t="shared" si="1"/>
        <v/>
      </c>
      <c r="P23" s="58"/>
      <c r="Q23" s="58"/>
      <c r="R23" s="283" t="str">
        <f t="shared" si="2"/>
        <v/>
      </c>
      <c r="S23" s="296" t="str">
        <f t="shared" si="3"/>
        <v/>
      </c>
      <c r="T23" s="297" t="str">
        <f>IFERROR(IF(S23="Check Data ⚠","Check Data ⚠",VLOOKUP(S23,'G-4 Temporal multipliers'!$A$4:$C$37,3,FALSE)),"")</f>
        <v/>
      </c>
      <c r="U23" s="298" t="str">
        <f>IF(F23="","",VLOOKUP(F23,'G-3 Multipliers'!$A$2:$E$134,2,FALSE))</f>
        <v/>
      </c>
      <c r="V23" s="295" t="str">
        <f t="shared" si="4"/>
        <v/>
      </c>
      <c r="W23" s="295" t="str">
        <f>IF(E23="","",IF(AND(V23="Standard difficulty applied",O23&gt;P23),U23,IF(AND(V23="Low Difficulty - only applicable if all habitat created before losses ⚠",P23&gt;=O23),"Low",VLOOKUP(F23,'G-3 Multipliers'!$A$2:$E$134,4,FALSE))))</f>
        <v/>
      </c>
      <c r="X23" s="299" t="str">
        <f>IFERROR(IF(E23="","",VLOOKUP(W23,'G-3 Multipliers'!$P$2:$Q$6,2,FALSE)),"")</f>
        <v/>
      </c>
      <c r="Y23" s="303" t="str">
        <f t="shared" si="5"/>
        <v/>
      </c>
      <c r="Z23" s="52"/>
      <c r="AA23" s="51"/>
      <c r="AB23" s="104"/>
      <c r="AE23" s="40" t="str">
        <f t="shared" si="0"/>
        <v/>
      </c>
    </row>
    <row r="24" spans="1:31" ht="14">
      <c r="A24" s="35" t="str">
        <f>IFERROR(INDEX('G-8 Condition Look up'!$I$4:$I$135,MATCH(F24,'G-8 Condition Look up'!$A$4:$A$135,0)),"")</f>
        <v/>
      </c>
      <c r="B24" s="225">
        <v>14</v>
      </c>
      <c r="C24" s="232" t="str">
        <f>IFERROR(INDEX('G-1 All Habitats'!$AG$25:$AG$41,MATCH(D24,'G-1 All Habitats'!AF$25:AF$41,0)),"")</f>
        <v/>
      </c>
      <c r="D24" s="52"/>
      <c r="E24" s="57"/>
      <c r="F24" s="231" t="str">
        <f>IFERROR(INDEX('G-1 All Habitats'!$B$3:$B$135,MATCH(E24,'G-1 All Habitats'!$A$3:$A$135,0)),"")</f>
        <v/>
      </c>
      <c r="G24" s="51"/>
      <c r="H24" s="275" t="str">
        <f>IF(F24="","",VLOOKUP(F24,'G-1 All Habitats'!$B$2:$M$135,10,FALSE))</f>
        <v/>
      </c>
      <c r="I24" s="276" t="str">
        <f>IFERROR(VLOOKUP(H24,'G-1 All Habitats'!$V$3:$W$7,2,FALSE),"")</f>
        <v/>
      </c>
      <c r="J24" s="52"/>
      <c r="K24" s="276" t="str">
        <f>IFERROR(INDEX('G-8 Condition Look up'!$A$3:$H$135,MATCH(F24,'G-8 Condition Look up'!$A$3:$A$135,0),MATCH(J24,'G-8 Condition Look up'!$A$3:$H$3,0)),"")</f>
        <v/>
      </c>
      <c r="L24" s="52"/>
      <c r="M24" s="283" t="str">
        <f>IF(L24="","",IF(VLOOKUP(L24,'G-3 Multipliers'!$L$3:$N$6,2,FALSE)=0,"Spatial Data Missing",VLOOKUP(L24,'G-3 Multipliers'!$L$3:$N$6,2,FALSE)))</f>
        <v/>
      </c>
      <c r="N24" s="281" t="str">
        <f>IF(L24="","",IF(VLOOKUP(L24,'G-3 Multipliers'!$L$3:$N$6,3,FALSE)=0,"Spatial Data Missing",VLOOKUP(L24,'G-3 Multipliers'!$L$3:$N$6,3,FALSE)))</f>
        <v/>
      </c>
      <c r="O24" s="275" t="str">
        <f t="shared" si="1"/>
        <v/>
      </c>
      <c r="P24" s="58"/>
      <c r="Q24" s="58"/>
      <c r="R24" s="283" t="str">
        <f t="shared" si="2"/>
        <v/>
      </c>
      <c r="S24" s="296" t="str">
        <f t="shared" si="3"/>
        <v/>
      </c>
      <c r="T24" s="297" t="str">
        <f>IFERROR(IF(S24="Check Data ⚠","Check Data ⚠",VLOOKUP(S24,'G-4 Temporal multipliers'!$A$4:$C$37,3,FALSE)),"")</f>
        <v/>
      </c>
      <c r="U24" s="298" t="str">
        <f>IF(F24="","",VLOOKUP(F24,'G-3 Multipliers'!$A$2:$E$134,2,FALSE))</f>
        <v/>
      </c>
      <c r="V24" s="295" t="str">
        <f t="shared" si="4"/>
        <v/>
      </c>
      <c r="W24" s="295" t="str">
        <f>IF(E24="","",IF(AND(V24="Standard difficulty applied",O24&gt;P24),U24,IF(AND(V24="Low Difficulty - only applicable if all habitat created before losses ⚠",P24&gt;=O24),"Low",VLOOKUP(F24,'G-3 Multipliers'!$A$2:$E$134,4,FALSE))))</f>
        <v/>
      </c>
      <c r="X24" s="299" t="str">
        <f>IFERROR(IF(E24="","",VLOOKUP(W24,'G-3 Multipliers'!$P$2:$Q$6,2,FALSE)),"")</f>
        <v/>
      </c>
      <c r="Y24" s="303" t="str">
        <f t="shared" si="5"/>
        <v/>
      </c>
      <c r="Z24" s="52"/>
      <c r="AA24" s="51"/>
      <c r="AB24" s="104"/>
      <c r="AE24" s="40" t="str">
        <f t="shared" si="0"/>
        <v/>
      </c>
    </row>
    <row r="25" spans="1:31" ht="14">
      <c r="A25" s="35" t="str">
        <f>IFERROR(INDEX('G-8 Condition Look up'!$I$4:$I$135,MATCH(F25,'G-8 Condition Look up'!$A$4:$A$135,0)),"")</f>
        <v/>
      </c>
      <c r="B25" s="225">
        <v>15</v>
      </c>
      <c r="C25" s="232" t="str">
        <f>IFERROR(INDEX('G-1 All Habitats'!$AG$25:$AG$41,MATCH(D25,'G-1 All Habitats'!AF$25:AF$41,0)),"")</f>
        <v/>
      </c>
      <c r="D25" s="52"/>
      <c r="E25" s="57"/>
      <c r="F25" s="231" t="str">
        <f>IFERROR(INDEX('G-1 All Habitats'!$B$3:$B$135,MATCH(E25,'G-1 All Habitats'!$A$3:$A$135,0)),"")</f>
        <v/>
      </c>
      <c r="G25" s="51"/>
      <c r="H25" s="275" t="str">
        <f>IF(F25="","",VLOOKUP(F25,'G-1 All Habitats'!$B$2:$M$135,10,FALSE))</f>
        <v/>
      </c>
      <c r="I25" s="276" t="str">
        <f>IFERROR(VLOOKUP(H25,'G-1 All Habitats'!$V$3:$W$7,2,FALSE),"")</f>
        <v/>
      </c>
      <c r="J25" s="52"/>
      <c r="K25" s="276" t="str">
        <f>IFERROR(INDEX('G-8 Condition Look up'!$A$3:$H$135,MATCH(F25,'G-8 Condition Look up'!$A$3:$A$135,0),MATCH(J25,'G-8 Condition Look up'!$A$3:$H$3,0)),"")</f>
        <v/>
      </c>
      <c r="L25" s="52"/>
      <c r="M25" s="283" t="str">
        <f>IF(L25="","",IF(VLOOKUP(L25,'G-3 Multipliers'!$L$3:$N$6,2,FALSE)=0,"Spatial Data Missing",VLOOKUP(L25,'G-3 Multipliers'!$L$3:$N$6,2,FALSE)))</f>
        <v/>
      </c>
      <c r="N25" s="281" t="str">
        <f>IF(L25="","",IF(VLOOKUP(L25,'G-3 Multipliers'!$L$3:$N$6,3,FALSE)=0,"Spatial Data Missing",VLOOKUP(L25,'G-3 Multipliers'!$L$3:$N$6,3,FALSE)))</f>
        <v/>
      </c>
      <c r="O25" s="275" t="str">
        <f t="shared" si="1"/>
        <v/>
      </c>
      <c r="P25" s="58"/>
      <c r="Q25" s="58"/>
      <c r="R25" s="283" t="str">
        <f t="shared" si="2"/>
        <v/>
      </c>
      <c r="S25" s="296" t="str">
        <f t="shared" si="3"/>
        <v/>
      </c>
      <c r="T25" s="297" t="str">
        <f>IFERROR(IF(S25="Check Data ⚠","Check Data ⚠",VLOOKUP(S25,'G-4 Temporal multipliers'!$A$4:$C$37,3,FALSE)),"")</f>
        <v/>
      </c>
      <c r="U25" s="298" t="str">
        <f>IF(F25="","",VLOOKUP(F25,'G-3 Multipliers'!$A$2:$E$134,2,FALSE))</f>
        <v/>
      </c>
      <c r="V25" s="295" t="str">
        <f t="shared" si="4"/>
        <v/>
      </c>
      <c r="W25" s="295" t="str">
        <f>IF(E25="","",IF(AND(V25="Standard difficulty applied",O25&gt;P25),U25,IF(AND(V25="Low Difficulty - only applicable if all habitat created before losses ⚠",P25&gt;=O25),"Low",VLOOKUP(F25,'G-3 Multipliers'!$A$2:$E$134,4,FALSE))))</f>
        <v/>
      </c>
      <c r="X25" s="299" t="str">
        <f>IFERROR(IF(E25="","",VLOOKUP(W25,'G-3 Multipliers'!$P$2:$Q$6,2,FALSE)),"")</f>
        <v/>
      </c>
      <c r="Y25" s="303" t="str">
        <f t="shared" si="5"/>
        <v/>
      </c>
      <c r="Z25" s="52"/>
      <c r="AA25" s="51"/>
      <c r="AB25" s="104"/>
      <c r="AE25" s="40" t="str">
        <f t="shared" si="0"/>
        <v/>
      </c>
    </row>
    <row r="26" spans="1:31" ht="14">
      <c r="A26" s="35" t="str">
        <f>IFERROR(INDEX('G-8 Condition Look up'!$I$4:$I$135,MATCH(F26,'G-8 Condition Look up'!$A$4:$A$135,0)),"")</f>
        <v/>
      </c>
      <c r="B26" s="225">
        <v>16</v>
      </c>
      <c r="C26" s="232" t="str">
        <f>IFERROR(INDEX('G-1 All Habitats'!$AG$25:$AG$41,MATCH(D26,'G-1 All Habitats'!AF$25:AF$41,0)),"")</f>
        <v/>
      </c>
      <c r="D26" s="52"/>
      <c r="E26" s="57"/>
      <c r="F26" s="231" t="str">
        <f>IFERROR(INDEX('G-1 All Habitats'!$B$3:$B$135,MATCH(E26,'G-1 All Habitats'!$A$3:$A$135,0)),"")</f>
        <v/>
      </c>
      <c r="G26" s="51"/>
      <c r="H26" s="275" t="str">
        <f>IF(F26="","",VLOOKUP(F26,'G-1 All Habitats'!$B$2:$M$135,10,FALSE))</f>
        <v/>
      </c>
      <c r="I26" s="276" t="str">
        <f>IFERROR(VLOOKUP(H26,'G-1 All Habitats'!$V$3:$W$7,2,FALSE),"")</f>
        <v/>
      </c>
      <c r="J26" s="52"/>
      <c r="K26" s="276" t="str">
        <f>IFERROR(INDEX('G-8 Condition Look up'!$A$3:$H$135,MATCH(F26,'G-8 Condition Look up'!$A$3:$A$135,0),MATCH(J26,'G-8 Condition Look up'!$A$3:$H$3,0)),"")</f>
        <v/>
      </c>
      <c r="L26" s="52"/>
      <c r="M26" s="283" t="str">
        <f>IF(L26="","",IF(VLOOKUP(L26,'G-3 Multipliers'!$L$3:$N$6,2,FALSE)=0,"Spatial Data Missing",VLOOKUP(L26,'G-3 Multipliers'!$L$3:$N$6,2,FALSE)))</f>
        <v/>
      </c>
      <c r="N26" s="281" t="str">
        <f>IF(L26="","",IF(VLOOKUP(L26,'G-3 Multipliers'!$L$3:$N$6,3,FALSE)=0,"Spatial Data Missing",VLOOKUP(L26,'G-3 Multipliers'!$L$3:$N$6,3,FALSE)))</f>
        <v/>
      </c>
      <c r="O26" s="275" t="str">
        <f t="shared" si="1"/>
        <v/>
      </c>
      <c r="P26" s="58"/>
      <c r="Q26" s="58"/>
      <c r="R26" s="283" t="str">
        <f t="shared" si="2"/>
        <v/>
      </c>
      <c r="S26" s="296" t="str">
        <f t="shared" si="3"/>
        <v/>
      </c>
      <c r="T26" s="297" t="str">
        <f>IFERROR(IF(S26="Check Data ⚠","Check Data ⚠",VLOOKUP(S26,'G-4 Temporal multipliers'!$A$4:$C$37,3,FALSE)),"")</f>
        <v/>
      </c>
      <c r="U26" s="298" t="str">
        <f>IF(F26="","",VLOOKUP(F26,'G-3 Multipliers'!$A$2:$E$134,2,FALSE))</f>
        <v/>
      </c>
      <c r="V26" s="295" t="str">
        <f t="shared" si="4"/>
        <v/>
      </c>
      <c r="W26" s="295" t="str">
        <f>IF(E26="","",IF(AND(V26="Standard difficulty applied",O26&gt;P26),U26,IF(AND(V26="Low Difficulty - only applicable if all habitat created before losses ⚠",P26&gt;=O26),"Low",VLOOKUP(F26,'G-3 Multipliers'!$A$2:$E$134,4,FALSE))))</f>
        <v/>
      </c>
      <c r="X26" s="299" t="str">
        <f>IFERROR(IF(E26="","",VLOOKUP(W26,'G-3 Multipliers'!$P$2:$Q$6,2,FALSE)),"")</f>
        <v/>
      </c>
      <c r="Y26" s="303" t="str">
        <f t="shared" si="5"/>
        <v/>
      </c>
      <c r="Z26" s="52"/>
      <c r="AA26" s="51"/>
      <c r="AB26" s="104"/>
      <c r="AE26" s="40" t="str">
        <f t="shared" si="0"/>
        <v/>
      </c>
    </row>
    <row r="27" spans="1:31" ht="14">
      <c r="A27" s="35" t="str">
        <f>IFERROR(INDEX('G-8 Condition Look up'!$I$4:$I$135,MATCH(F27,'G-8 Condition Look up'!$A$4:$A$135,0)),"")</f>
        <v/>
      </c>
      <c r="B27" s="225">
        <v>17</v>
      </c>
      <c r="C27" s="232" t="str">
        <f>IFERROR(INDEX('G-1 All Habitats'!$AG$25:$AG$41,MATCH(D27,'G-1 All Habitats'!AF$25:AF$41,0)),"")</f>
        <v/>
      </c>
      <c r="D27" s="52"/>
      <c r="E27" s="57"/>
      <c r="F27" s="231" t="str">
        <f>IFERROR(INDEX('G-1 All Habitats'!$B$3:$B$135,MATCH(E27,'G-1 All Habitats'!$A$3:$A$135,0)),"")</f>
        <v/>
      </c>
      <c r="G27" s="51"/>
      <c r="H27" s="275" t="str">
        <f>IF(F27="","",VLOOKUP(F27,'G-1 All Habitats'!$B$2:$M$135,10,FALSE))</f>
        <v/>
      </c>
      <c r="I27" s="276" t="str">
        <f>IFERROR(VLOOKUP(H27,'G-1 All Habitats'!$V$3:$W$7,2,FALSE),"")</f>
        <v/>
      </c>
      <c r="J27" s="52"/>
      <c r="K27" s="276" t="str">
        <f>IFERROR(INDEX('G-8 Condition Look up'!$A$3:$H$135,MATCH(F27,'G-8 Condition Look up'!$A$3:$A$135,0),MATCH(J27,'G-8 Condition Look up'!$A$3:$H$3,0)),"")</f>
        <v/>
      </c>
      <c r="L27" s="52"/>
      <c r="M27" s="283" t="str">
        <f>IF(L27="","",IF(VLOOKUP(L27,'G-3 Multipliers'!$L$3:$N$6,2,FALSE)=0,"Spatial Data Missing",VLOOKUP(L27,'G-3 Multipliers'!$L$3:$N$6,2,FALSE)))</f>
        <v/>
      </c>
      <c r="N27" s="281" t="str">
        <f>IF(L27="","",IF(VLOOKUP(L27,'G-3 Multipliers'!$L$3:$N$6,3,FALSE)=0,"Spatial Data Missing",VLOOKUP(L27,'G-3 Multipliers'!$L$3:$N$6,3,FALSE)))</f>
        <v/>
      </c>
      <c r="O27" s="275" t="str">
        <f t="shared" si="1"/>
        <v/>
      </c>
      <c r="P27" s="58"/>
      <c r="Q27" s="58"/>
      <c r="R27" s="283" t="str">
        <f t="shared" si="2"/>
        <v/>
      </c>
      <c r="S27" s="296" t="str">
        <f t="shared" si="3"/>
        <v/>
      </c>
      <c r="T27" s="297" t="str">
        <f>IFERROR(IF(S27="Check Data ⚠","Check Data ⚠",VLOOKUP(S27,'G-4 Temporal multipliers'!$A$4:$C$37,3,FALSE)),"")</f>
        <v/>
      </c>
      <c r="U27" s="298" t="str">
        <f>IF(F27="","",VLOOKUP(F27,'G-3 Multipliers'!$A$2:$E$134,2,FALSE))</f>
        <v/>
      </c>
      <c r="V27" s="295" t="str">
        <f t="shared" si="4"/>
        <v/>
      </c>
      <c r="W27" s="295" t="str">
        <f>IF(E27="","",IF(AND(V27="Standard difficulty applied",O27&gt;P27),U27,IF(AND(V27="Low Difficulty - only applicable if all habitat created before losses ⚠",P27&gt;=O27),"Low",VLOOKUP(F27,'G-3 Multipliers'!$A$2:$E$134,4,FALSE))))</f>
        <v/>
      </c>
      <c r="X27" s="299" t="str">
        <f>IFERROR(IF(E27="","",VLOOKUP(W27,'G-3 Multipliers'!$P$2:$Q$6,2,FALSE)),"")</f>
        <v/>
      </c>
      <c r="Y27" s="303" t="str">
        <f t="shared" si="5"/>
        <v/>
      </c>
      <c r="Z27" s="52"/>
      <c r="AA27" s="51"/>
      <c r="AB27" s="104"/>
      <c r="AE27" s="40" t="str">
        <f t="shared" si="0"/>
        <v/>
      </c>
    </row>
    <row r="28" spans="1:31" ht="14.5">
      <c r="A28" s="35" t="str">
        <f>IFERROR(INDEX('G-8 Condition Look up'!$I$4:$I$135,MATCH(F28,'G-8 Condition Look up'!$A$4:$A$135,0)),"")</f>
        <v/>
      </c>
      <c r="B28" s="225">
        <v>18</v>
      </c>
      <c r="C28" s="232" t="str">
        <f>IFERROR(INDEX('G-1 All Habitats'!$AG$25:$AG$41,MATCH(D28,'G-1 All Habitats'!AF$25:AF$41,0)),"")</f>
        <v/>
      </c>
      <c r="D28" s="52"/>
      <c r="E28" s="57"/>
      <c r="F28" s="231" t="str">
        <f>IFERROR(INDEX('G-1 All Habitats'!$B$3:$B$135,MATCH(E28,'G-1 All Habitats'!$A$3:$A$135,0)),"")</f>
        <v/>
      </c>
      <c r="G28" s="51"/>
      <c r="H28" s="275" t="str">
        <f>IF(F28="","",VLOOKUP(F28,'G-1 All Habitats'!$B$2:$M$135,10,FALSE))</f>
        <v/>
      </c>
      <c r="I28" s="276" t="str">
        <f>IFERROR(VLOOKUP(H28,'G-1 All Habitats'!$V$3:$W$7,2,FALSE),"")</f>
        <v/>
      </c>
      <c r="J28" s="52"/>
      <c r="K28" s="276" t="str">
        <f>IFERROR(INDEX('G-8 Condition Look up'!$A$3:$H$135,MATCH(F28,'G-8 Condition Look up'!$A$3:$A$135,0),MATCH(J28,'G-8 Condition Look up'!$A$3:$H$3,0)),"")</f>
        <v/>
      </c>
      <c r="L28" s="52"/>
      <c r="M28" s="283" t="str">
        <f>IF(L28="","",IF(VLOOKUP(L28,'G-3 Multipliers'!$L$3:$N$6,2,FALSE)=0,"Spatial Data Missing",VLOOKUP(L28,'G-3 Multipliers'!$L$3:$N$6,2,FALSE)))</f>
        <v/>
      </c>
      <c r="N28" s="281" t="str">
        <f>IF(L28="","",IF(VLOOKUP(L28,'G-3 Multipliers'!$L$3:$N$6,3,FALSE)=0,"Spatial Data Missing",VLOOKUP(L28,'G-3 Multipliers'!$L$3:$N$6,3,FALSE)))</f>
        <v/>
      </c>
      <c r="O28" s="275" t="str">
        <f t="shared" si="1"/>
        <v/>
      </c>
      <c r="P28" s="58"/>
      <c r="Q28" s="58"/>
      <c r="R28" s="283" t="str">
        <f t="shared" si="2"/>
        <v/>
      </c>
      <c r="S28" s="296" t="str">
        <f t="shared" si="3"/>
        <v/>
      </c>
      <c r="T28" s="297" t="str">
        <f>IFERROR(IF(S28="Check Data ⚠","Check Data ⚠",VLOOKUP(S28,'G-4 Temporal multipliers'!$A$4:$C$37,3,FALSE)),"")</f>
        <v/>
      </c>
      <c r="U28" s="298" t="str">
        <f>IF(F28="","",VLOOKUP(F28,'G-3 Multipliers'!$A$2:$E$134,2,FALSE))</f>
        <v/>
      </c>
      <c r="V28" s="295" t="str">
        <f t="shared" si="4"/>
        <v/>
      </c>
      <c r="W28" s="295" t="str">
        <f>IF(E28="","",IF(AND(V28="Standard difficulty applied",O28&gt;P28),U28,IF(AND(V28="Low Difficulty - only applicable if all habitat created before losses ⚠",P28&gt;=O28),"Low",VLOOKUP(F28,'G-3 Multipliers'!$A$2:$E$134,4,FALSE))))</f>
        <v/>
      </c>
      <c r="X28" s="299" t="str">
        <f>IFERROR(IF(E28="","",VLOOKUP(W28,'G-3 Multipliers'!$P$2:$Q$6,2,FALSE)),"")</f>
        <v/>
      </c>
      <c r="Y28" s="303" t="str">
        <f t="shared" si="5"/>
        <v/>
      </c>
      <c r="Z28" s="52"/>
      <c r="AA28" s="51"/>
      <c r="AB28" s="104"/>
      <c r="AE28" s="40" t="str">
        <f t="shared" si="0"/>
        <v/>
      </c>
    </row>
    <row r="29" spans="1:31" ht="14" hidden="1">
      <c r="A29" s="35" t="str">
        <f>IFERROR(INDEX('G-8 Condition Look up'!$I$4:$I$135,MATCH(F29,'G-8 Condition Look up'!$A$4:$A$135,0)),"")</f>
        <v/>
      </c>
      <c r="B29" s="225">
        <v>19</v>
      </c>
      <c r="C29" s="232" t="str">
        <f>IFERROR(INDEX('G-1 All Habitats'!$AG$25:$AG$41,MATCH(D29,'G-1 All Habitats'!AF$25:AF$41,0)),"")</f>
        <v/>
      </c>
      <c r="D29" s="52"/>
      <c r="E29" s="57"/>
      <c r="F29" s="231" t="str">
        <f>IFERROR(INDEX('G-1 All Habitats'!$B$3:$B$135,MATCH(E29,'G-1 All Habitats'!$A$3:$A$135,0)),"")</f>
        <v/>
      </c>
      <c r="G29" s="51"/>
      <c r="H29" s="275" t="str">
        <f>IF(F29="","",VLOOKUP(F29,'G-1 All Habitats'!$B$2:$M$135,10,FALSE))</f>
        <v/>
      </c>
      <c r="I29" s="276" t="str">
        <f>IFERROR(VLOOKUP(H29,'G-1 All Habitats'!$V$3:$W$7,2,FALSE),"")</f>
        <v/>
      </c>
      <c r="J29" s="52"/>
      <c r="K29" s="276" t="str">
        <f>IFERROR(INDEX('G-8 Condition Look up'!$A$3:$H$135,MATCH(F29,'G-8 Condition Look up'!$A$3:$A$135,0),MATCH(J29,'G-8 Condition Look up'!$A$3:$H$3,0)),"")</f>
        <v/>
      </c>
      <c r="L29" s="52"/>
      <c r="M29" s="283" t="str">
        <f>IF(L29="","",IF(VLOOKUP(L29,'G-3 Multipliers'!$L$3:$N$6,2,FALSE)=0,"Spatial Data Missing",VLOOKUP(L29,'G-3 Multipliers'!$L$3:$N$6,2,FALSE)))</f>
        <v/>
      </c>
      <c r="N29" s="281" t="str">
        <f>IF(L29="","",IF(VLOOKUP(L29,'G-3 Multipliers'!$L$3:$N$6,3,FALSE)=0,"Spatial Data Missing",VLOOKUP(L29,'G-3 Multipliers'!$L$3:$N$6,3,FALSE)))</f>
        <v/>
      </c>
      <c r="O29" s="275" t="str">
        <f t="shared" si="1"/>
        <v/>
      </c>
      <c r="P29" s="58"/>
      <c r="Q29" s="58"/>
      <c r="R29" s="283" t="str">
        <f t="shared" si="2"/>
        <v/>
      </c>
      <c r="S29" s="296" t="str">
        <f t="shared" si="3"/>
        <v/>
      </c>
      <c r="T29" s="297" t="str">
        <f>IFERROR(IF(S29="Check Data ⚠","Check Data ⚠",VLOOKUP(S29,'G-4 Temporal multipliers'!$A$4:$C$37,3,FALSE)),"")</f>
        <v/>
      </c>
      <c r="U29" s="298" t="str">
        <f>IF(F29="","",VLOOKUP(F29,'G-3 Multipliers'!$A$2:$E$134,2,FALSE))</f>
        <v/>
      </c>
      <c r="V29" s="295" t="str">
        <f t="shared" si="4"/>
        <v/>
      </c>
      <c r="W29" s="295" t="str">
        <f>IF(E29="","",IF(AND(V29="Standard difficulty applied",O29&gt;P29),U29,IF(AND(V29="Low Difficulty - only applicable if all habitat created before losses ⚠",P29&gt;=O29),"Low",VLOOKUP(F29,'G-3 Multipliers'!$A$2:$E$134,4,FALSE))))</f>
        <v/>
      </c>
      <c r="X29" s="299" t="str">
        <f>IFERROR(IF(E29="","",VLOOKUP(W29,'G-3 Multipliers'!$P$2:$Q$6,2,FALSE)),"")</f>
        <v/>
      </c>
      <c r="Y29" s="303" t="str">
        <f t="shared" si="5"/>
        <v/>
      </c>
      <c r="Z29" s="52"/>
      <c r="AA29" s="51"/>
      <c r="AB29" s="104"/>
      <c r="AE29" s="40" t="str">
        <f t="shared" si="0"/>
        <v/>
      </c>
    </row>
    <row r="30" spans="1:31" ht="14" hidden="1">
      <c r="A30" s="35" t="str">
        <f>IFERROR(INDEX('G-8 Condition Look up'!$I$4:$I$135,MATCH(F30,'G-8 Condition Look up'!$A$4:$A$135,0)),"")</f>
        <v/>
      </c>
      <c r="B30" s="225">
        <v>20</v>
      </c>
      <c r="C30" s="232" t="str">
        <f>IFERROR(INDEX('G-1 All Habitats'!$AG$25:$AG$41,MATCH(D30,'G-1 All Habitats'!AF$25:AF$41,0)),"")</f>
        <v/>
      </c>
      <c r="D30" s="52"/>
      <c r="E30" s="57"/>
      <c r="F30" s="231" t="str">
        <f>IFERROR(INDEX('G-1 All Habitats'!$B$3:$B$135,MATCH(E30,'G-1 All Habitats'!$A$3:$A$135,0)),"")</f>
        <v/>
      </c>
      <c r="G30" s="51"/>
      <c r="H30" s="275" t="str">
        <f>IF(F30="","",VLOOKUP(F30,'G-1 All Habitats'!$B$2:$M$135,10,FALSE))</f>
        <v/>
      </c>
      <c r="I30" s="276" t="str">
        <f>IFERROR(VLOOKUP(H30,'G-1 All Habitats'!$V$3:$W$7,2,FALSE),"")</f>
        <v/>
      </c>
      <c r="J30" s="52"/>
      <c r="K30" s="276" t="str">
        <f>IFERROR(INDEX('G-8 Condition Look up'!$A$3:$H$135,MATCH(F30,'G-8 Condition Look up'!$A$3:$A$135,0),MATCH(J30,'G-8 Condition Look up'!$A$3:$H$3,0)),"")</f>
        <v/>
      </c>
      <c r="L30" s="52"/>
      <c r="M30" s="283" t="str">
        <f>IF(L30="","",IF(VLOOKUP(L30,'G-3 Multipliers'!$L$3:$N$6,2,FALSE)=0,"Spatial Data Missing",VLOOKUP(L30,'G-3 Multipliers'!$L$3:$N$6,2,FALSE)))</f>
        <v/>
      </c>
      <c r="N30" s="281" t="str">
        <f>IF(L30="","",IF(VLOOKUP(L30,'G-3 Multipliers'!$L$3:$N$6,3,FALSE)=0,"Spatial Data Missing",VLOOKUP(L30,'G-3 Multipliers'!$L$3:$N$6,3,FALSE)))</f>
        <v/>
      </c>
      <c r="O30" s="275" t="str">
        <f t="shared" si="1"/>
        <v/>
      </c>
      <c r="P30" s="58"/>
      <c r="Q30" s="58"/>
      <c r="R30" s="283" t="str">
        <f t="shared" si="2"/>
        <v/>
      </c>
      <c r="S30" s="296" t="str">
        <f t="shared" si="3"/>
        <v/>
      </c>
      <c r="T30" s="297" t="str">
        <f>IFERROR(IF(S30="Check Data ⚠","Check Data ⚠",VLOOKUP(S30,'G-4 Temporal multipliers'!$A$4:$C$37,3,FALSE)),"")</f>
        <v/>
      </c>
      <c r="U30" s="298" t="str">
        <f>IF(F30="","",VLOOKUP(F30,'G-3 Multipliers'!$A$2:$E$134,2,FALSE))</f>
        <v/>
      </c>
      <c r="V30" s="295" t="str">
        <f t="shared" si="4"/>
        <v/>
      </c>
      <c r="W30" s="295" t="str">
        <f>IF(E30="","",IF(AND(V30="Standard difficulty applied",O30&gt;P30),U30,IF(AND(V30="Low Difficulty - only applicable if all habitat created before losses ⚠",P30&gt;=O30),"Low",VLOOKUP(F30,'G-3 Multipliers'!$A$2:$E$134,4,FALSE))))</f>
        <v/>
      </c>
      <c r="X30" s="299" t="str">
        <f>IFERROR(IF(E30="","",VLOOKUP(W30,'G-3 Multipliers'!$P$2:$Q$6,2,FALSE)),"")</f>
        <v/>
      </c>
      <c r="Y30" s="303" t="str">
        <f t="shared" si="5"/>
        <v/>
      </c>
      <c r="Z30" s="52"/>
      <c r="AA30" s="51"/>
      <c r="AB30" s="104"/>
      <c r="AE30" s="40" t="str">
        <f t="shared" si="0"/>
        <v/>
      </c>
    </row>
    <row r="31" spans="1:31" ht="14" hidden="1">
      <c r="A31" s="35" t="str">
        <f>IFERROR(INDEX('G-8 Condition Look up'!$I$4:$I$135,MATCH(F31,'G-8 Condition Look up'!$A$4:$A$135,0)),"")</f>
        <v/>
      </c>
      <c r="B31" s="225">
        <v>21</v>
      </c>
      <c r="C31" s="232" t="str">
        <f>IFERROR(INDEX('G-1 All Habitats'!$AG$25:$AG$41,MATCH(D31,'G-1 All Habitats'!AF$25:AF$41,0)),"")</f>
        <v/>
      </c>
      <c r="D31" s="52"/>
      <c r="E31" s="57"/>
      <c r="F31" s="231" t="str">
        <f>IFERROR(INDEX('G-1 All Habitats'!$B$3:$B$135,MATCH(E31,'G-1 All Habitats'!$A$3:$A$135,0)),"")</f>
        <v/>
      </c>
      <c r="G31" s="51"/>
      <c r="H31" s="275" t="str">
        <f>IF(F31="","",VLOOKUP(F31,'G-1 All Habitats'!$B$2:$M$135,10,FALSE))</f>
        <v/>
      </c>
      <c r="I31" s="276" t="str">
        <f>IFERROR(VLOOKUP(H31,'G-1 All Habitats'!$V$3:$W$7,2,FALSE),"")</f>
        <v/>
      </c>
      <c r="J31" s="52"/>
      <c r="K31" s="276" t="str">
        <f>IFERROR(INDEX('G-8 Condition Look up'!$A$3:$H$135,MATCH(F31,'G-8 Condition Look up'!$A$3:$A$135,0),MATCH(J31,'G-8 Condition Look up'!$A$3:$H$3,0)),"")</f>
        <v/>
      </c>
      <c r="L31" s="52"/>
      <c r="M31" s="283" t="str">
        <f>IF(L31="","",IF(VLOOKUP(L31,'G-3 Multipliers'!$L$3:$N$6,2,FALSE)=0,"Spatial Data Missing",VLOOKUP(L31,'G-3 Multipliers'!$L$3:$N$6,2,FALSE)))</f>
        <v/>
      </c>
      <c r="N31" s="281" t="str">
        <f>IF(L31="","",IF(VLOOKUP(L31,'G-3 Multipliers'!$L$3:$N$6,3,FALSE)=0,"Spatial Data Missing",VLOOKUP(L31,'G-3 Multipliers'!$L$3:$N$6,3,FALSE)))</f>
        <v/>
      </c>
      <c r="O31" s="275" t="str">
        <f t="shared" si="1"/>
        <v/>
      </c>
      <c r="P31" s="58"/>
      <c r="Q31" s="58"/>
      <c r="R31" s="283" t="str">
        <f t="shared" si="2"/>
        <v/>
      </c>
      <c r="S31" s="296" t="str">
        <f t="shared" si="3"/>
        <v/>
      </c>
      <c r="T31" s="297" t="str">
        <f>IFERROR(IF(S31="Check Data ⚠","Check Data ⚠",VLOOKUP(S31,'G-4 Temporal multipliers'!$A$4:$C$37,3,FALSE)),"")</f>
        <v/>
      </c>
      <c r="U31" s="298" t="str">
        <f>IF(F31="","",VLOOKUP(F31,'G-3 Multipliers'!$A$2:$E$134,2,FALSE))</f>
        <v/>
      </c>
      <c r="V31" s="295" t="str">
        <f t="shared" si="4"/>
        <v/>
      </c>
      <c r="W31" s="295" t="str">
        <f>IF(E31="","",IF(AND(V31="Standard difficulty applied",O31&gt;P31),U31,IF(AND(V31="Low Difficulty - only applicable if all habitat created before losses ⚠",P31&gt;=O31),"Low",VLOOKUP(F31,'G-3 Multipliers'!$A$2:$E$134,4,FALSE))))</f>
        <v/>
      </c>
      <c r="X31" s="299" t="str">
        <f>IFERROR(IF(E31="","",VLOOKUP(W31,'G-3 Multipliers'!$P$2:$Q$6,2,FALSE)),"")</f>
        <v/>
      </c>
      <c r="Y31" s="303" t="str">
        <f t="shared" si="5"/>
        <v/>
      </c>
      <c r="Z31" s="52"/>
      <c r="AA31" s="51"/>
      <c r="AB31" s="104"/>
      <c r="AE31" s="40" t="str">
        <f t="shared" si="0"/>
        <v/>
      </c>
    </row>
    <row r="32" spans="1:31" ht="14" hidden="1">
      <c r="A32" s="35" t="str">
        <f>IFERROR(INDEX('G-8 Condition Look up'!$I$4:$I$135,MATCH(F32,'G-8 Condition Look up'!$A$4:$A$135,0)),"")</f>
        <v/>
      </c>
      <c r="B32" s="225">
        <v>22</v>
      </c>
      <c r="C32" s="232" t="str">
        <f>IFERROR(INDEX('G-1 All Habitats'!$AG$25:$AG$41,MATCH(D32,'G-1 All Habitats'!AF$25:AF$41,0)),"")</f>
        <v/>
      </c>
      <c r="D32" s="52"/>
      <c r="E32" s="57"/>
      <c r="F32" s="231" t="str">
        <f>IFERROR(INDEX('G-1 All Habitats'!$B$3:$B$135,MATCH(E32,'G-1 All Habitats'!$A$3:$A$135,0)),"")</f>
        <v/>
      </c>
      <c r="G32" s="51"/>
      <c r="H32" s="275" t="str">
        <f>IF(F32="","",VLOOKUP(F32,'G-1 All Habitats'!$B$2:$M$135,10,FALSE))</f>
        <v/>
      </c>
      <c r="I32" s="276" t="str">
        <f>IFERROR(VLOOKUP(H32,'G-1 All Habitats'!$V$3:$W$7,2,FALSE),"")</f>
        <v/>
      </c>
      <c r="J32" s="52"/>
      <c r="K32" s="276" t="str">
        <f>IFERROR(INDEX('G-8 Condition Look up'!$A$3:$H$135,MATCH(F32,'G-8 Condition Look up'!$A$3:$A$135,0),MATCH(J32,'G-8 Condition Look up'!$A$3:$H$3,0)),"")</f>
        <v/>
      </c>
      <c r="L32" s="52"/>
      <c r="M32" s="283" t="str">
        <f>IF(L32="","",IF(VLOOKUP(L32,'G-3 Multipliers'!$L$3:$N$6,2,FALSE)=0,"Spatial Data Missing",VLOOKUP(L32,'G-3 Multipliers'!$L$3:$N$6,2,FALSE)))</f>
        <v/>
      </c>
      <c r="N32" s="281" t="str">
        <f>IF(L32="","",IF(VLOOKUP(L32,'G-3 Multipliers'!$L$3:$N$6,3,FALSE)=0,"Spatial Data Missing",VLOOKUP(L32,'G-3 Multipliers'!$L$3:$N$6,3,FALSE)))</f>
        <v/>
      </c>
      <c r="O32" s="275" t="str">
        <f t="shared" si="1"/>
        <v/>
      </c>
      <c r="P32" s="58"/>
      <c r="Q32" s="58"/>
      <c r="R32" s="283" t="str">
        <f t="shared" si="2"/>
        <v/>
      </c>
      <c r="S32" s="296" t="str">
        <f t="shared" si="3"/>
        <v/>
      </c>
      <c r="T32" s="297" t="str">
        <f>IFERROR(IF(S32="Check Data ⚠","Check Data ⚠",VLOOKUP(S32,'G-4 Temporal multipliers'!$A$4:$C$37,3,FALSE)),"")</f>
        <v/>
      </c>
      <c r="U32" s="298" t="str">
        <f>IF(F32="","",VLOOKUP(F32,'G-3 Multipliers'!$A$2:$E$134,2,FALSE))</f>
        <v/>
      </c>
      <c r="V32" s="295" t="str">
        <f t="shared" si="4"/>
        <v/>
      </c>
      <c r="W32" s="295" t="str">
        <f>IF(E32="","",IF(AND(V32="Standard difficulty applied",O32&gt;P32),U32,IF(AND(V32="Low Difficulty - only applicable if all habitat created before losses ⚠",P32&gt;=O32),"Low",VLOOKUP(F32,'G-3 Multipliers'!$A$2:$E$134,4,FALSE))))</f>
        <v/>
      </c>
      <c r="X32" s="299" t="str">
        <f>IFERROR(IF(E32="","",VLOOKUP(W32,'G-3 Multipliers'!$P$2:$Q$6,2,FALSE)),"")</f>
        <v/>
      </c>
      <c r="Y32" s="303" t="str">
        <f t="shared" si="5"/>
        <v/>
      </c>
      <c r="Z32" s="52"/>
      <c r="AA32" s="51"/>
      <c r="AB32" s="104"/>
      <c r="AE32" s="40" t="str">
        <f t="shared" si="0"/>
        <v/>
      </c>
    </row>
    <row r="33" spans="1:31" ht="14" hidden="1">
      <c r="A33" s="35" t="str">
        <f>IFERROR(INDEX('G-8 Condition Look up'!$I$4:$I$135,MATCH(F33,'G-8 Condition Look up'!$A$4:$A$135,0)),"")</f>
        <v/>
      </c>
      <c r="B33" s="225">
        <v>23</v>
      </c>
      <c r="C33" s="232" t="str">
        <f>IFERROR(INDEX('G-1 All Habitats'!$AG$25:$AG$41,MATCH(D33,'G-1 All Habitats'!AF$25:AF$41,0)),"")</f>
        <v/>
      </c>
      <c r="D33" s="52"/>
      <c r="E33" s="57"/>
      <c r="F33" s="231" t="str">
        <f>IFERROR(INDEX('G-1 All Habitats'!$B$3:$B$135,MATCH(E33,'G-1 All Habitats'!$A$3:$A$135,0)),"")</f>
        <v/>
      </c>
      <c r="G33" s="51"/>
      <c r="H33" s="275" t="str">
        <f>IF(F33="","",VLOOKUP(F33,'G-1 All Habitats'!$B$2:$M$135,10,FALSE))</f>
        <v/>
      </c>
      <c r="I33" s="276" t="str">
        <f>IFERROR(VLOOKUP(H33,'G-1 All Habitats'!$V$3:$W$7,2,FALSE),"")</f>
        <v/>
      </c>
      <c r="J33" s="52"/>
      <c r="K33" s="276" t="str">
        <f>IFERROR(INDEX('G-8 Condition Look up'!$A$3:$H$135,MATCH(F33,'G-8 Condition Look up'!$A$3:$A$135,0),MATCH(J33,'G-8 Condition Look up'!$A$3:$H$3,0)),"")</f>
        <v/>
      </c>
      <c r="L33" s="52"/>
      <c r="M33" s="283" t="str">
        <f>IF(L33="","",IF(VLOOKUP(L33,'G-3 Multipliers'!$L$3:$N$6,2,FALSE)=0,"Spatial Data Missing",VLOOKUP(L33,'G-3 Multipliers'!$L$3:$N$6,2,FALSE)))</f>
        <v/>
      </c>
      <c r="N33" s="281" t="str">
        <f>IF(L33="","",IF(VLOOKUP(L33,'G-3 Multipliers'!$L$3:$N$6,3,FALSE)=0,"Spatial Data Missing",VLOOKUP(L33,'G-3 Multipliers'!$L$3:$N$6,3,FALSE)))</f>
        <v/>
      </c>
      <c r="O33" s="275" t="str">
        <f t="shared" si="1"/>
        <v/>
      </c>
      <c r="P33" s="58"/>
      <c r="Q33" s="58"/>
      <c r="R33" s="283" t="str">
        <f t="shared" si="2"/>
        <v/>
      </c>
      <c r="S33" s="296" t="str">
        <f t="shared" si="3"/>
        <v/>
      </c>
      <c r="T33" s="297" t="str">
        <f>IFERROR(IF(S33="Check Data ⚠","Check Data ⚠",VLOOKUP(S33,'G-4 Temporal multipliers'!$A$4:$C$37,3,FALSE)),"")</f>
        <v/>
      </c>
      <c r="U33" s="298" t="str">
        <f>IF(F33="","",VLOOKUP(F33,'G-3 Multipliers'!$A$2:$E$134,2,FALSE))</f>
        <v/>
      </c>
      <c r="V33" s="295" t="str">
        <f t="shared" si="4"/>
        <v/>
      </c>
      <c r="W33" s="295" t="str">
        <f>IF(E33="","",IF(AND(V33="Standard difficulty applied",O33&gt;P33),U33,IF(AND(V33="Low Difficulty - only applicable if all habitat created before losses ⚠",P33&gt;=O33),"Low",VLOOKUP(F33,'G-3 Multipliers'!$A$2:$E$134,4,FALSE))))</f>
        <v/>
      </c>
      <c r="X33" s="299" t="str">
        <f>IFERROR(IF(E33="","",VLOOKUP(W33,'G-3 Multipliers'!$P$2:$Q$6,2,FALSE)),"")</f>
        <v/>
      </c>
      <c r="Y33" s="303" t="str">
        <f t="shared" si="5"/>
        <v/>
      </c>
      <c r="Z33" s="52"/>
      <c r="AA33" s="51"/>
      <c r="AB33" s="104"/>
      <c r="AE33" s="40" t="str">
        <f t="shared" si="0"/>
        <v/>
      </c>
    </row>
    <row r="34" spans="1:31" ht="14" hidden="1">
      <c r="A34" s="35" t="str">
        <f>IFERROR(INDEX('G-8 Condition Look up'!$I$4:$I$135,MATCH(F34,'G-8 Condition Look up'!$A$4:$A$135,0)),"")</f>
        <v/>
      </c>
      <c r="B34" s="225">
        <v>24</v>
      </c>
      <c r="C34" s="232" t="str">
        <f>IFERROR(INDEX('G-1 All Habitats'!$AG$25:$AG$41,MATCH(D34,'G-1 All Habitats'!AF$25:AF$41,0)),"")</f>
        <v/>
      </c>
      <c r="D34" s="52"/>
      <c r="E34" s="57"/>
      <c r="F34" s="231" t="str">
        <f>IFERROR(INDEX('G-1 All Habitats'!$B$3:$B$135,MATCH(E34,'G-1 All Habitats'!$A$3:$A$135,0)),"")</f>
        <v/>
      </c>
      <c r="G34" s="51"/>
      <c r="H34" s="275" t="str">
        <f>IF(F34="","",VLOOKUP(F34,'G-1 All Habitats'!$B$2:$M$135,10,FALSE))</f>
        <v/>
      </c>
      <c r="I34" s="276" t="str">
        <f>IFERROR(VLOOKUP(H34,'G-1 All Habitats'!$V$3:$W$7,2,FALSE),"")</f>
        <v/>
      </c>
      <c r="J34" s="52"/>
      <c r="K34" s="276" t="str">
        <f>IFERROR(INDEX('G-8 Condition Look up'!$A$3:$H$135,MATCH(F34,'G-8 Condition Look up'!$A$3:$A$135,0),MATCH(J34,'G-8 Condition Look up'!$A$3:$H$3,0)),"")</f>
        <v/>
      </c>
      <c r="L34" s="52"/>
      <c r="M34" s="283" t="str">
        <f>IF(L34="","",IF(VLOOKUP(L34,'G-3 Multipliers'!$L$3:$N$6,2,FALSE)=0,"Spatial Data Missing",VLOOKUP(L34,'G-3 Multipliers'!$L$3:$N$6,2,FALSE)))</f>
        <v/>
      </c>
      <c r="N34" s="281" t="str">
        <f>IF(L34="","",IF(VLOOKUP(L34,'G-3 Multipliers'!$L$3:$N$6,3,FALSE)=0,"Spatial Data Missing",VLOOKUP(L34,'G-3 Multipliers'!$L$3:$N$6,3,FALSE)))</f>
        <v/>
      </c>
      <c r="O34" s="275" t="str">
        <f t="shared" si="1"/>
        <v/>
      </c>
      <c r="P34" s="58"/>
      <c r="Q34" s="58"/>
      <c r="R34" s="283" t="str">
        <f t="shared" si="2"/>
        <v/>
      </c>
      <c r="S34" s="296" t="str">
        <f t="shared" si="3"/>
        <v/>
      </c>
      <c r="T34" s="297" t="str">
        <f>IFERROR(IF(S34="Check Data ⚠","Check Data ⚠",VLOOKUP(S34,'G-4 Temporal multipliers'!$A$4:$C$37,3,FALSE)),"")</f>
        <v/>
      </c>
      <c r="U34" s="298" t="str">
        <f>IF(F34="","",VLOOKUP(F34,'G-3 Multipliers'!$A$2:$E$134,2,FALSE))</f>
        <v/>
      </c>
      <c r="V34" s="295" t="str">
        <f t="shared" si="4"/>
        <v/>
      </c>
      <c r="W34" s="295" t="str">
        <f>IF(E34="","",IF(AND(V34="Standard difficulty applied",O34&gt;P34),U34,IF(AND(V34="Low Difficulty - only applicable if all habitat created before losses ⚠",P34&gt;=O34),"Low",VLOOKUP(F34,'G-3 Multipliers'!$A$2:$E$134,4,FALSE))))</f>
        <v/>
      </c>
      <c r="X34" s="299" t="str">
        <f>IFERROR(IF(E34="","",VLOOKUP(W34,'G-3 Multipliers'!$P$2:$Q$6,2,FALSE)),"")</f>
        <v/>
      </c>
      <c r="Y34" s="303" t="str">
        <f t="shared" si="5"/>
        <v/>
      </c>
      <c r="Z34" s="52"/>
      <c r="AA34" s="51"/>
      <c r="AB34" s="104"/>
      <c r="AE34" s="40" t="str">
        <f t="shared" si="0"/>
        <v/>
      </c>
    </row>
    <row r="35" spans="1:31" ht="14" hidden="1">
      <c r="A35" s="35" t="str">
        <f>IFERROR(INDEX('G-8 Condition Look up'!$I$4:$I$135,MATCH(F35,'G-8 Condition Look up'!$A$4:$A$135,0)),"")</f>
        <v/>
      </c>
      <c r="B35" s="225">
        <v>25</v>
      </c>
      <c r="C35" s="232" t="str">
        <f>IFERROR(INDEX('G-1 All Habitats'!$AG$25:$AG$41,MATCH(D35,'G-1 All Habitats'!AF$25:AF$41,0)),"")</f>
        <v/>
      </c>
      <c r="D35" s="52"/>
      <c r="E35" s="57"/>
      <c r="F35" s="231" t="str">
        <f>IFERROR(INDEX('G-1 All Habitats'!$B$3:$B$135,MATCH(E35,'G-1 All Habitats'!$A$3:$A$135,0)),"")</f>
        <v/>
      </c>
      <c r="G35" s="51"/>
      <c r="H35" s="275" t="str">
        <f>IF(F35="","",VLOOKUP(F35,'G-1 All Habitats'!$B$2:$M$135,10,FALSE))</f>
        <v/>
      </c>
      <c r="I35" s="276" t="str">
        <f>IFERROR(VLOOKUP(H35,'G-1 All Habitats'!$V$3:$W$7,2,FALSE),"")</f>
        <v/>
      </c>
      <c r="J35" s="52"/>
      <c r="K35" s="276" t="str">
        <f>IFERROR(INDEX('G-8 Condition Look up'!$A$3:$H$135,MATCH(F35,'G-8 Condition Look up'!$A$3:$A$135,0),MATCH(J35,'G-8 Condition Look up'!$A$3:$H$3,0)),"")</f>
        <v/>
      </c>
      <c r="L35" s="52"/>
      <c r="M35" s="283" t="str">
        <f>IF(L35="","",IF(VLOOKUP(L35,'G-3 Multipliers'!$L$3:$N$6,2,FALSE)=0,"Spatial Data Missing",VLOOKUP(L35,'G-3 Multipliers'!$L$3:$N$6,2,FALSE)))</f>
        <v/>
      </c>
      <c r="N35" s="281" t="str">
        <f>IF(L35="","",IF(VLOOKUP(L35,'G-3 Multipliers'!$L$3:$N$6,3,FALSE)=0,"Spatial Data Missing",VLOOKUP(L35,'G-3 Multipliers'!$L$3:$N$6,3,FALSE)))</f>
        <v/>
      </c>
      <c r="O35" s="275" t="str">
        <f t="shared" si="1"/>
        <v/>
      </c>
      <c r="P35" s="58"/>
      <c r="Q35" s="58"/>
      <c r="R35" s="283" t="str">
        <f t="shared" si="2"/>
        <v/>
      </c>
      <c r="S35" s="296" t="str">
        <f t="shared" si="3"/>
        <v/>
      </c>
      <c r="T35" s="297" t="str">
        <f>IFERROR(IF(S35="Check Data ⚠","Check Data ⚠",VLOOKUP(S35,'G-4 Temporal multipliers'!$A$4:$C$37,3,FALSE)),"")</f>
        <v/>
      </c>
      <c r="U35" s="298" t="str">
        <f>IF(F35="","",VLOOKUP(F35,'G-3 Multipliers'!$A$2:$E$134,2,FALSE))</f>
        <v/>
      </c>
      <c r="V35" s="295" t="str">
        <f t="shared" si="4"/>
        <v/>
      </c>
      <c r="W35" s="295" t="str">
        <f>IF(E35="","",IF(AND(V35="Standard difficulty applied",O35&gt;P35),U35,IF(AND(V35="Low Difficulty - only applicable if all habitat created before losses ⚠",P35&gt;=O35),"Low",VLOOKUP(F35,'G-3 Multipliers'!$A$2:$E$134,4,FALSE))))</f>
        <v/>
      </c>
      <c r="X35" s="299" t="str">
        <f>IFERROR(IF(E35="","",VLOOKUP(W35,'G-3 Multipliers'!$P$2:$Q$6,2,FALSE)),"")</f>
        <v/>
      </c>
      <c r="Y35" s="303" t="str">
        <f t="shared" si="5"/>
        <v/>
      </c>
      <c r="Z35" s="52"/>
      <c r="AA35" s="51"/>
      <c r="AB35" s="104"/>
      <c r="AE35" s="40" t="str">
        <f t="shared" si="0"/>
        <v/>
      </c>
    </row>
    <row r="36" spans="1:31" ht="14" hidden="1">
      <c r="A36" s="35" t="str">
        <f>IFERROR(INDEX('G-8 Condition Look up'!$I$4:$I$135,MATCH(F36,'G-8 Condition Look up'!$A$4:$A$135,0)),"")</f>
        <v/>
      </c>
      <c r="B36" s="225">
        <v>26</v>
      </c>
      <c r="C36" s="232" t="str">
        <f>IFERROR(INDEX('G-1 All Habitats'!$AG$25:$AG$41,MATCH(D36,'G-1 All Habitats'!AF$25:AF$41,0)),"")</f>
        <v/>
      </c>
      <c r="D36" s="52"/>
      <c r="E36" s="57"/>
      <c r="F36" s="231" t="str">
        <f>IFERROR(INDEX('G-1 All Habitats'!$B$3:$B$135,MATCH(E36,'G-1 All Habitats'!$A$3:$A$135,0)),"")</f>
        <v/>
      </c>
      <c r="G36" s="51"/>
      <c r="H36" s="275" t="str">
        <f>IF(F36="","",VLOOKUP(F36,'G-1 All Habitats'!$B$2:$M$135,10,FALSE))</f>
        <v/>
      </c>
      <c r="I36" s="276" t="str">
        <f>IFERROR(VLOOKUP(H36,'G-1 All Habitats'!$V$3:$W$7,2,FALSE),"")</f>
        <v/>
      </c>
      <c r="J36" s="52"/>
      <c r="K36" s="276" t="str">
        <f>IFERROR(INDEX('G-8 Condition Look up'!$A$3:$H$135,MATCH(F36,'G-8 Condition Look up'!$A$3:$A$135,0),MATCH(J36,'G-8 Condition Look up'!$A$3:$H$3,0)),"")</f>
        <v/>
      </c>
      <c r="L36" s="52"/>
      <c r="M36" s="283" t="str">
        <f>IF(L36="","",IF(VLOOKUP(L36,'G-3 Multipliers'!$L$3:$N$6,2,FALSE)=0,"Spatial Data Missing",VLOOKUP(L36,'G-3 Multipliers'!$L$3:$N$6,2,FALSE)))</f>
        <v/>
      </c>
      <c r="N36" s="281" t="str">
        <f>IF(L36="","",IF(VLOOKUP(L36,'G-3 Multipliers'!$L$3:$N$6,3,FALSE)=0,"Spatial Data Missing",VLOOKUP(L36,'G-3 Multipliers'!$L$3:$N$6,3,FALSE)))</f>
        <v/>
      </c>
      <c r="O36" s="275" t="str">
        <f t="shared" si="1"/>
        <v/>
      </c>
      <c r="P36" s="58"/>
      <c r="Q36" s="58"/>
      <c r="R36" s="283" t="str">
        <f t="shared" si="2"/>
        <v/>
      </c>
      <c r="S36" s="296" t="str">
        <f t="shared" si="3"/>
        <v/>
      </c>
      <c r="T36" s="297" t="str">
        <f>IFERROR(IF(S36="Check Data ⚠","Check Data ⚠",VLOOKUP(S36,'G-4 Temporal multipliers'!$A$4:$C$37,3,FALSE)),"")</f>
        <v/>
      </c>
      <c r="U36" s="298" t="str">
        <f>IF(F36="","",VLOOKUP(F36,'G-3 Multipliers'!$A$2:$E$134,2,FALSE))</f>
        <v/>
      </c>
      <c r="V36" s="295" t="str">
        <f t="shared" si="4"/>
        <v/>
      </c>
      <c r="W36" s="295" t="str">
        <f>IF(E36="","",IF(AND(V36="Standard difficulty applied",O36&gt;P36),U36,IF(AND(V36="Low Difficulty - only applicable if all habitat created before losses ⚠",P36&gt;=O36),"Low",VLOOKUP(F36,'G-3 Multipliers'!$A$2:$E$134,4,FALSE))))</f>
        <v/>
      </c>
      <c r="X36" s="299" t="str">
        <f>IFERROR(IF(E36="","",VLOOKUP(W36,'G-3 Multipliers'!$P$2:$Q$6,2,FALSE)),"")</f>
        <v/>
      </c>
      <c r="Y36" s="303" t="str">
        <f t="shared" si="5"/>
        <v/>
      </c>
      <c r="Z36" s="52"/>
      <c r="AA36" s="51"/>
      <c r="AB36" s="104"/>
      <c r="AE36" s="40" t="str">
        <f t="shared" si="0"/>
        <v/>
      </c>
    </row>
    <row r="37" spans="1:31" ht="14" hidden="1">
      <c r="A37" s="35" t="str">
        <f>IFERROR(INDEX('G-8 Condition Look up'!$I$4:$I$135,MATCH(F37,'G-8 Condition Look up'!$A$4:$A$135,0)),"")</f>
        <v/>
      </c>
      <c r="B37" s="225">
        <v>27</v>
      </c>
      <c r="C37" s="232" t="str">
        <f>IFERROR(INDEX('G-1 All Habitats'!$AG$25:$AG$41,MATCH(D37,'G-1 All Habitats'!AF$25:AF$41,0)),"")</f>
        <v/>
      </c>
      <c r="D37" s="52"/>
      <c r="E37" s="57"/>
      <c r="F37" s="231" t="str">
        <f>IFERROR(INDEX('G-1 All Habitats'!$B$3:$B$135,MATCH(E37,'G-1 All Habitats'!$A$3:$A$135,0)),"")</f>
        <v/>
      </c>
      <c r="G37" s="51"/>
      <c r="H37" s="275" t="str">
        <f>IF(F37="","",VLOOKUP(F37,'G-1 All Habitats'!$B$2:$M$135,10,FALSE))</f>
        <v/>
      </c>
      <c r="I37" s="276" t="str">
        <f>IFERROR(VLOOKUP(H37,'G-1 All Habitats'!$V$3:$W$7,2,FALSE),"")</f>
        <v/>
      </c>
      <c r="J37" s="52"/>
      <c r="K37" s="276" t="str">
        <f>IFERROR(INDEX('G-8 Condition Look up'!$A$3:$H$135,MATCH(F37,'G-8 Condition Look up'!$A$3:$A$135,0),MATCH(J37,'G-8 Condition Look up'!$A$3:$H$3,0)),"")</f>
        <v/>
      </c>
      <c r="L37" s="52"/>
      <c r="M37" s="283" t="str">
        <f>IF(L37="","",IF(VLOOKUP(L37,'G-3 Multipliers'!$L$3:$N$6,2,FALSE)=0,"Spatial Data Missing",VLOOKUP(L37,'G-3 Multipliers'!$L$3:$N$6,2,FALSE)))</f>
        <v/>
      </c>
      <c r="N37" s="281" t="str">
        <f>IF(L37="","",IF(VLOOKUP(L37,'G-3 Multipliers'!$L$3:$N$6,3,FALSE)=0,"Spatial Data Missing",VLOOKUP(L37,'G-3 Multipliers'!$L$3:$N$6,3,FALSE)))</f>
        <v/>
      </c>
      <c r="O37" s="275" t="str">
        <f t="shared" si="1"/>
        <v/>
      </c>
      <c r="P37" s="58"/>
      <c r="Q37" s="58"/>
      <c r="R37" s="283" t="str">
        <f t="shared" si="2"/>
        <v/>
      </c>
      <c r="S37" s="296" t="str">
        <f t="shared" si="3"/>
        <v/>
      </c>
      <c r="T37" s="297" t="str">
        <f>IFERROR(IF(S37="Check Data ⚠","Check Data ⚠",VLOOKUP(S37,'G-4 Temporal multipliers'!$A$4:$C$37,3,FALSE)),"")</f>
        <v/>
      </c>
      <c r="U37" s="298" t="str">
        <f>IF(F37="","",VLOOKUP(F37,'G-3 Multipliers'!$A$2:$E$134,2,FALSE))</f>
        <v/>
      </c>
      <c r="V37" s="295" t="str">
        <f t="shared" si="4"/>
        <v/>
      </c>
      <c r="W37" s="295" t="str">
        <f>IF(E37="","",IF(AND(V37="Standard difficulty applied",O37&gt;P37),U37,IF(AND(V37="Low Difficulty - only applicable if all habitat created before losses ⚠",P37&gt;=O37),"Low",VLOOKUP(F37,'G-3 Multipliers'!$A$2:$E$134,4,FALSE))))</f>
        <v/>
      </c>
      <c r="X37" s="299" t="str">
        <f>IFERROR(IF(E37="","",VLOOKUP(W37,'G-3 Multipliers'!$P$2:$Q$6,2,FALSE)),"")</f>
        <v/>
      </c>
      <c r="Y37" s="303" t="str">
        <f t="shared" si="5"/>
        <v/>
      </c>
      <c r="Z37" s="52"/>
      <c r="AA37" s="51"/>
      <c r="AB37" s="104"/>
      <c r="AE37" s="40" t="str">
        <f t="shared" si="0"/>
        <v/>
      </c>
    </row>
    <row r="38" spans="1:31" ht="14" hidden="1">
      <c r="A38" s="35" t="str">
        <f>IFERROR(INDEX('G-8 Condition Look up'!$I$4:$I$135,MATCH(F38,'G-8 Condition Look up'!$A$4:$A$135,0)),"")</f>
        <v/>
      </c>
      <c r="B38" s="225">
        <v>28</v>
      </c>
      <c r="C38" s="232" t="str">
        <f>IFERROR(INDEX('G-1 All Habitats'!$AG$25:$AG$41,MATCH(D38,'G-1 All Habitats'!AF$25:AF$41,0)),"")</f>
        <v/>
      </c>
      <c r="D38" s="52"/>
      <c r="E38" s="57"/>
      <c r="F38" s="231" t="str">
        <f>IFERROR(INDEX('G-1 All Habitats'!$B$3:$B$135,MATCH(E38,'G-1 All Habitats'!$A$3:$A$135,0)),"")</f>
        <v/>
      </c>
      <c r="G38" s="51"/>
      <c r="H38" s="275" t="str">
        <f>IF(F38="","",VLOOKUP(F38,'G-1 All Habitats'!$B$2:$M$135,10,FALSE))</f>
        <v/>
      </c>
      <c r="I38" s="276" t="str">
        <f>IFERROR(VLOOKUP(H38,'G-1 All Habitats'!$V$3:$W$7,2,FALSE),"")</f>
        <v/>
      </c>
      <c r="J38" s="52"/>
      <c r="K38" s="276" t="str">
        <f>IFERROR(INDEX('G-8 Condition Look up'!$A$3:$H$135,MATCH(F38,'G-8 Condition Look up'!$A$3:$A$135,0),MATCH(J38,'G-8 Condition Look up'!$A$3:$H$3,0)),"")</f>
        <v/>
      </c>
      <c r="L38" s="52"/>
      <c r="M38" s="283" t="str">
        <f>IF(L38="","",IF(VLOOKUP(L38,'G-3 Multipliers'!$L$3:$N$6,2,FALSE)=0,"Spatial Data Missing",VLOOKUP(L38,'G-3 Multipliers'!$L$3:$N$6,2,FALSE)))</f>
        <v/>
      </c>
      <c r="N38" s="281" t="str">
        <f>IF(L38="","",IF(VLOOKUP(L38,'G-3 Multipliers'!$L$3:$N$6,3,FALSE)=0,"Spatial Data Missing",VLOOKUP(L38,'G-3 Multipliers'!$L$3:$N$6,3,FALSE)))</f>
        <v/>
      </c>
      <c r="O38" s="275" t="str">
        <f t="shared" si="1"/>
        <v/>
      </c>
      <c r="P38" s="58"/>
      <c r="Q38" s="58"/>
      <c r="R38" s="283" t="str">
        <f t="shared" si="2"/>
        <v/>
      </c>
      <c r="S38" s="296" t="str">
        <f t="shared" si="3"/>
        <v/>
      </c>
      <c r="T38" s="297" t="str">
        <f>IFERROR(IF(S38="Check Data ⚠","Check Data ⚠",VLOOKUP(S38,'G-4 Temporal multipliers'!$A$4:$C$37,3,FALSE)),"")</f>
        <v/>
      </c>
      <c r="U38" s="298" t="str">
        <f>IF(F38="","",VLOOKUP(F38,'G-3 Multipliers'!$A$2:$E$134,2,FALSE))</f>
        <v/>
      </c>
      <c r="V38" s="295" t="str">
        <f t="shared" si="4"/>
        <v/>
      </c>
      <c r="W38" s="295" t="str">
        <f>IF(E38="","",IF(AND(V38="Standard difficulty applied",O38&gt;P38),U38,IF(AND(V38="Low Difficulty - only applicable if all habitat created before losses ⚠",P38&gt;=O38),"Low",VLOOKUP(F38,'G-3 Multipliers'!$A$2:$E$134,4,FALSE))))</f>
        <v/>
      </c>
      <c r="X38" s="299" t="str">
        <f>IFERROR(IF(E38="","",VLOOKUP(W38,'G-3 Multipliers'!$P$2:$Q$6,2,FALSE)),"")</f>
        <v/>
      </c>
      <c r="Y38" s="303" t="str">
        <f t="shared" si="5"/>
        <v/>
      </c>
      <c r="Z38" s="52"/>
      <c r="AA38" s="51"/>
      <c r="AB38" s="104"/>
      <c r="AE38" s="40" t="str">
        <f t="shared" si="0"/>
        <v/>
      </c>
    </row>
    <row r="39" spans="1:31" ht="14" hidden="1">
      <c r="A39" s="35" t="str">
        <f>IFERROR(INDEX('G-8 Condition Look up'!$I$4:$I$135,MATCH(F39,'G-8 Condition Look up'!$A$4:$A$135,0)),"")</f>
        <v/>
      </c>
      <c r="B39" s="225">
        <v>29</v>
      </c>
      <c r="C39" s="232" t="str">
        <f>IFERROR(INDEX('G-1 All Habitats'!$AG$25:$AG$41,MATCH(D39,'G-1 All Habitats'!AF$25:AF$41,0)),"")</f>
        <v/>
      </c>
      <c r="D39" s="52"/>
      <c r="E39" s="57"/>
      <c r="F39" s="231" t="str">
        <f>IFERROR(INDEX('G-1 All Habitats'!$B$3:$B$135,MATCH(E39,'G-1 All Habitats'!$A$3:$A$135,0)),"")</f>
        <v/>
      </c>
      <c r="G39" s="51"/>
      <c r="H39" s="275" t="str">
        <f>IF(F39="","",VLOOKUP(F39,'G-1 All Habitats'!$B$2:$M$135,10,FALSE))</f>
        <v/>
      </c>
      <c r="I39" s="276" t="str">
        <f>IFERROR(VLOOKUP(H39,'G-1 All Habitats'!$V$3:$W$7,2,FALSE),"")</f>
        <v/>
      </c>
      <c r="J39" s="52"/>
      <c r="K39" s="276" t="str">
        <f>IFERROR(INDEX('G-8 Condition Look up'!$A$3:$H$135,MATCH(F39,'G-8 Condition Look up'!$A$3:$A$135,0),MATCH(J39,'G-8 Condition Look up'!$A$3:$H$3,0)),"")</f>
        <v/>
      </c>
      <c r="L39" s="52"/>
      <c r="M39" s="283" t="str">
        <f>IF(L39="","",IF(VLOOKUP(L39,'G-3 Multipliers'!$L$3:$N$6,2,FALSE)=0,"Spatial Data Missing",VLOOKUP(L39,'G-3 Multipliers'!$L$3:$N$6,2,FALSE)))</f>
        <v/>
      </c>
      <c r="N39" s="281" t="str">
        <f>IF(L39="","",IF(VLOOKUP(L39,'G-3 Multipliers'!$L$3:$N$6,3,FALSE)=0,"Spatial Data Missing",VLOOKUP(L39,'G-3 Multipliers'!$L$3:$N$6,3,FALSE)))</f>
        <v/>
      </c>
      <c r="O39" s="275" t="str">
        <f t="shared" si="1"/>
        <v/>
      </c>
      <c r="P39" s="58"/>
      <c r="Q39" s="58"/>
      <c r="R39" s="283" t="str">
        <f t="shared" si="2"/>
        <v/>
      </c>
      <c r="S39" s="296" t="str">
        <f t="shared" si="3"/>
        <v/>
      </c>
      <c r="T39" s="297" t="str">
        <f>IFERROR(IF(S39="Check Data ⚠","Check Data ⚠",VLOOKUP(S39,'G-4 Temporal multipliers'!$A$4:$C$37,3,FALSE)),"")</f>
        <v/>
      </c>
      <c r="U39" s="298" t="str">
        <f>IF(F39="","",VLOOKUP(F39,'G-3 Multipliers'!$A$2:$E$134,2,FALSE))</f>
        <v/>
      </c>
      <c r="V39" s="295" t="str">
        <f t="shared" si="4"/>
        <v/>
      </c>
      <c r="W39" s="295" t="str">
        <f>IF(E39="","",IF(AND(V39="Standard difficulty applied",O39&gt;P39),U39,IF(AND(V39="Low Difficulty - only applicable if all habitat created before losses ⚠",P39&gt;=O39),"Low",VLOOKUP(F39,'G-3 Multipliers'!$A$2:$E$134,4,FALSE))))</f>
        <v/>
      </c>
      <c r="X39" s="299" t="str">
        <f>IFERROR(IF(E39="","",VLOOKUP(W39,'G-3 Multipliers'!$P$2:$Q$6,2,FALSE)),"")</f>
        <v/>
      </c>
      <c r="Y39" s="303" t="str">
        <f t="shared" si="5"/>
        <v/>
      </c>
      <c r="Z39" s="52"/>
      <c r="AA39" s="51"/>
      <c r="AB39" s="104"/>
      <c r="AE39" s="40" t="str">
        <f t="shared" si="0"/>
        <v/>
      </c>
    </row>
    <row r="40" spans="1:31" ht="14" hidden="1">
      <c r="A40" s="35" t="str">
        <f>IFERROR(INDEX('G-8 Condition Look up'!$I$4:$I$135,MATCH(F40,'G-8 Condition Look up'!$A$4:$A$135,0)),"")</f>
        <v/>
      </c>
      <c r="B40" s="225">
        <v>30</v>
      </c>
      <c r="C40" s="232" t="str">
        <f>IFERROR(INDEX('G-1 All Habitats'!$AG$25:$AG$41,MATCH(D40,'G-1 All Habitats'!AF$25:AF$41,0)),"")</f>
        <v/>
      </c>
      <c r="D40" s="52"/>
      <c r="E40" s="57"/>
      <c r="F40" s="231" t="str">
        <f>IFERROR(INDEX('G-1 All Habitats'!$B$3:$B$135,MATCH(E40,'G-1 All Habitats'!$A$3:$A$135,0)),"")</f>
        <v/>
      </c>
      <c r="G40" s="51"/>
      <c r="H40" s="275" t="str">
        <f>IF(F40="","",VLOOKUP(F40,'G-1 All Habitats'!$B$2:$M$135,10,FALSE))</f>
        <v/>
      </c>
      <c r="I40" s="276" t="str">
        <f>IFERROR(VLOOKUP(H40,'G-1 All Habitats'!$V$3:$W$7,2,FALSE),"")</f>
        <v/>
      </c>
      <c r="J40" s="52"/>
      <c r="K40" s="276" t="str">
        <f>IFERROR(INDEX('G-8 Condition Look up'!$A$3:$H$135,MATCH(F40,'G-8 Condition Look up'!$A$3:$A$135,0),MATCH(J40,'G-8 Condition Look up'!$A$3:$H$3,0)),"")</f>
        <v/>
      </c>
      <c r="L40" s="52"/>
      <c r="M40" s="283" t="str">
        <f>IF(L40="","",IF(VLOOKUP(L40,'G-3 Multipliers'!$L$3:$N$6,2,FALSE)=0,"Spatial Data Missing",VLOOKUP(L40,'G-3 Multipliers'!$L$3:$N$6,2,FALSE)))</f>
        <v/>
      </c>
      <c r="N40" s="281" t="str">
        <f>IF(L40="","",IF(VLOOKUP(L40,'G-3 Multipliers'!$L$3:$N$6,3,FALSE)=0,"Spatial Data Missing",VLOOKUP(L40,'G-3 Multipliers'!$L$3:$N$6,3,FALSE)))</f>
        <v/>
      </c>
      <c r="O40" s="275" t="str">
        <f t="shared" si="1"/>
        <v/>
      </c>
      <c r="P40" s="58"/>
      <c r="Q40" s="58"/>
      <c r="R40" s="283" t="str">
        <f t="shared" si="2"/>
        <v/>
      </c>
      <c r="S40" s="296" t="str">
        <f t="shared" si="3"/>
        <v/>
      </c>
      <c r="T40" s="297" t="str">
        <f>IFERROR(IF(S40="Check Data ⚠","Check Data ⚠",VLOOKUP(S40,'G-4 Temporal multipliers'!$A$4:$C$37,3,FALSE)),"")</f>
        <v/>
      </c>
      <c r="U40" s="298" t="str">
        <f>IF(F40="","",VLOOKUP(F40,'G-3 Multipliers'!$A$2:$E$134,2,FALSE))</f>
        <v/>
      </c>
      <c r="V40" s="295" t="str">
        <f t="shared" si="4"/>
        <v/>
      </c>
      <c r="W40" s="295" t="str">
        <f>IF(E40="","",IF(AND(V40="Standard difficulty applied",O40&gt;P40),U40,IF(AND(V40="Low Difficulty - only applicable if all habitat created before losses ⚠",P40&gt;=O40),"Low",VLOOKUP(F40,'G-3 Multipliers'!$A$2:$E$134,4,FALSE))))</f>
        <v/>
      </c>
      <c r="X40" s="299" t="str">
        <f>IFERROR(IF(E40="","",VLOOKUP(W40,'G-3 Multipliers'!$P$2:$Q$6,2,FALSE)),"")</f>
        <v/>
      </c>
      <c r="Y40" s="303" t="str">
        <f t="shared" si="5"/>
        <v/>
      </c>
      <c r="Z40" s="52"/>
      <c r="AA40" s="51"/>
      <c r="AB40" s="104"/>
      <c r="AE40" s="40" t="str">
        <f t="shared" si="0"/>
        <v/>
      </c>
    </row>
    <row r="41" spans="1:31" ht="14" hidden="1">
      <c r="A41" s="35" t="str">
        <f>IFERROR(INDEX('G-8 Condition Look up'!$I$4:$I$135,MATCH(F41,'G-8 Condition Look up'!$A$4:$A$135,0)),"")</f>
        <v/>
      </c>
      <c r="B41" s="225">
        <v>31</v>
      </c>
      <c r="C41" s="232" t="str">
        <f>IFERROR(INDEX('G-1 All Habitats'!$AG$25:$AG$41,MATCH(D41,'G-1 All Habitats'!AF$25:AF$41,0)),"")</f>
        <v/>
      </c>
      <c r="D41" s="52"/>
      <c r="E41" s="57"/>
      <c r="F41" s="231" t="str">
        <f>IFERROR(INDEX('G-1 All Habitats'!$B$3:$B$135,MATCH(E41,'G-1 All Habitats'!$A$3:$A$135,0)),"")</f>
        <v/>
      </c>
      <c r="G41" s="51"/>
      <c r="H41" s="275" t="str">
        <f>IF(F41="","",VLOOKUP(F41,'G-1 All Habitats'!$B$2:$M$135,10,FALSE))</f>
        <v/>
      </c>
      <c r="I41" s="276" t="str">
        <f>IFERROR(VLOOKUP(H41,'G-1 All Habitats'!$V$3:$W$7,2,FALSE),"")</f>
        <v/>
      </c>
      <c r="J41" s="52"/>
      <c r="K41" s="276" t="str">
        <f>IFERROR(INDEX('G-8 Condition Look up'!$A$3:$H$135,MATCH(F41,'G-8 Condition Look up'!$A$3:$A$135,0),MATCH(J41,'G-8 Condition Look up'!$A$3:$H$3,0)),"")</f>
        <v/>
      </c>
      <c r="L41" s="52"/>
      <c r="M41" s="283" t="str">
        <f>IF(L41="","",IF(VLOOKUP(L41,'G-3 Multipliers'!$L$3:$N$6,2,FALSE)=0,"Spatial Data Missing",VLOOKUP(L41,'G-3 Multipliers'!$L$3:$N$6,2,FALSE)))</f>
        <v/>
      </c>
      <c r="N41" s="281" t="str">
        <f>IF(L41="","",IF(VLOOKUP(L41,'G-3 Multipliers'!$L$3:$N$6,3,FALSE)=0,"Spatial Data Missing",VLOOKUP(L41,'G-3 Multipliers'!$L$3:$N$6,3,FALSE)))</f>
        <v/>
      </c>
      <c r="O41" s="275" t="str">
        <f t="shared" si="1"/>
        <v/>
      </c>
      <c r="P41" s="58"/>
      <c r="Q41" s="58"/>
      <c r="R41" s="283" t="str">
        <f t="shared" si="2"/>
        <v/>
      </c>
      <c r="S41" s="296" t="str">
        <f t="shared" si="3"/>
        <v/>
      </c>
      <c r="T41" s="297" t="str">
        <f>IFERROR(IF(S41="Check Data ⚠","Check Data ⚠",VLOOKUP(S41,'G-4 Temporal multipliers'!$A$4:$C$37,3,FALSE)),"")</f>
        <v/>
      </c>
      <c r="U41" s="298" t="str">
        <f>IF(F41="","",VLOOKUP(F41,'G-3 Multipliers'!$A$2:$E$134,2,FALSE))</f>
        <v/>
      </c>
      <c r="V41" s="295" t="str">
        <f t="shared" si="4"/>
        <v/>
      </c>
      <c r="W41" s="295" t="str">
        <f>IF(E41="","",IF(AND(V41="Standard difficulty applied",O41&gt;P41),U41,IF(AND(V41="Low Difficulty - only applicable if all habitat created before losses ⚠",P41&gt;=O41),"Low",VLOOKUP(F41,'G-3 Multipliers'!$A$2:$E$134,4,FALSE))))</f>
        <v/>
      </c>
      <c r="X41" s="299" t="str">
        <f>IFERROR(IF(E41="","",VLOOKUP(W41,'G-3 Multipliers'!$P$2:$Q$6,2,FALSE)),"")</f>
        <v/>
      </c>
      <c r="Y41" s="303" t="str">
        <f t="shared" si="5"/>
        <v/>
      </c>
      <c r="Z41" s="52"/>
      <c r="AA41" s="51"/>
      <c r="AB41" s="104"/>
      <c r="AE41" s="40" t="str">
        <f t="shared" si="0"/>
        <v/>
      </c>
    </row>
    <row r="42" spans="1:31" ht="14" hidden="1">
      <c r="A42" s="35" t="str">
        <f>IFERROR(INDEX('G-8 Condition Look up'!$I$4:$I$135,MATCH(F42,'G-8 Condition Look up'!$A$4:$A$135,0)),"")</f>
        <v/>
      </c>
      <c r="B42" s="225">
        <v>32</v>
      </c>
      <c r="C42" s="232" t="str">
        <f>IFERROR(INDEX('G-1 All Habitats'!$AG$25:$AG$41,MATCH(D42,'G-1 All Habitats'!AF$25:AF$41,0)),"")</f>
        <v/>
      </c>
      <c r="D42" s="52"/>
      <c r="E42" s="57"/>
      <c r="F42" s="231" t="str">
        <f>IFERROR(INDEX('G-1 All Habitats'!$B$3:$B$135,MATCH(E42,'G-1 All Habitats'!$A$3:$A$135,0)),"")</f>
        <v/>
      </c>
      <c r="G42" s="51"/>
      <c r="H42" s="275" t="str">
        <f>IF(F42="","",VLOOKUP(F42,'G-1 All Habitats'!$B$2:$M$135,10,FALSE))</f>
        <v/>
      </c>
      <c r="I42" s="276" t="str">
        <f>IFERROR(VLOOKUP(H42,'G-1 All Habitats'!$V$3:$W$7,2,FALSE),"")</f>
        <v/>
      </c>
      <c r="J42" s="52"/>
      <c r="K42" s="276" t="str">
        <f>IFERROR(INDEX('G-8 Condition Look up'!$A$3:$H$135,MATCH(F42,'G-8 Condition Look up'!$A$3:$A$135,0),MATCH(J42,'G-8 Condition Look up'!$A$3:$H$3,0)),"")</f>
        <v/>
      </c>
      <c r="L42" s="52"/>
      <c r="M42" s="283" t="str">
        <f>IF(L42="","",IF(VLOOKUP(L42,'G-3 Multipliers'!$L$3:$N$6,2,FALSE)=0,"Spatial Data Missing",VLOOKUP(L42,'G-3 Multipliers'!$L$3:$N$6,2,FALSE)))</f>
        <v/>
      </c>
      <c r="N42" s="281" t="str">
        <f>IF(L42="","",IF(VLOOKUP(L42,'G-3 Multipliers'!$L$3:$N$6,3,FALSE)=0,"Spatial Data Missing",VLOOKUP(L42,'G-3 Multipliers'!$L$3:$N$6,3,FALSE)))</f>
        <v/>
      </c>
      <c r="O42" s="275" t="str">
        <f t="shared" si="1"/>
        <v/>
      </c>
      <c r="P42" s="58"/>
      <c r="Q42" s="58"/>
      <c r="R42" s="283" t="str">
        <f t="shared" si="2"/>
        <v/>
      </c>
      <c r="S42" s="296" t="str">
        <f t="shared" si="3"/>
        <v/>
      </c>
      <c r="T42" s="297" t="str">
        <f>IFERROR(IF(S42="Check Data ⚠","Check Data ⚠",VLOOKUP(S42,'G-4 Temporal multipliers'!$A$4:$C$37,3,FALSE)),"")</f>
        <v/>
      </c>
      <c r="U42" s="298" t="str">
        <f>IF(F42="","",VLOOKUP(F42,'G-3 Multipliers'!$A$2:$E$134,2,FALSE))</f>
        <v/>
      </c>
      <c r="V42" s="295" t="str">
        <f t="shared" si="4"/>
        <v/>
      </c>
      <c r="W42" s="295" t="str">
        <f>IF(E42="","",IF(AND(V42="Standard difficulty applied",O42&gt;P42),U42,IF(AND(V42="Low Difficulty - only applicable if all habitat created before losses ⚠",P42&gt;=O42),"Low",VLOOKUP(F42,'G-3 Multipliers'!$A$2:$E$134,4,FALSE))))</f>
        <v/>
      </c>
      <c r="X42" s="299" t="str">
        <f>IFERROR(IF(E42="","",VLOOKUP(W42,'G-3 Multipliers'!$P$2:$Q$6,2,FALSE)),"")</f>
        <v/>
      </c>
      <c r="Y42" s="303" t="str">
        <f t="shared" si="5"/>
        <v/>
      </c>
      <c r="Z42" s="52"/>
      <c r="AA42" s="51"/>
      <c r="AB42" s="104"/>
      <c r="AE42" s="40" t="str">
        <f t="shared" si="0"/>
        <v/>
      </c>
    </row>
    <row r="43" spans="1:31" ht="14" hidden="1">
      <c r="A43" s="35" t="str">
        <f>IFERROR(INDEX('G-8 Condition Look up'!$I$4:$I$135,MATCH(F43,'G-8 Condition Look up'!$A$4:$A$135,0)),"")</f>
        <v/>
      </c>
      <c r="B43" s="225">
        <v>33</v>
      </c>
      <c r="C43" s="232" t="str">
        <f>IFERROR(INDEX('G-1 All Habitats'!$AG$25:$AG$41,MATCH(D43,'G-1 All Habitats'!AF$25:AF$41,0)),"")</f>
        <v/>
      </c>
      <c r="D43" s="52"/>
      <c r="E43" s="57"/>
      <c r="F43" s="231" t="str">
        <f>IFERROR(INDEX('G-1 All Habitats'!$B$3:$B$135,MATCH(E43,'G-1 All Habitats'!$A$3:$A$135,0)),"")</f>
        <v/>
      </c>
      <c r="G43" s="51"/>
      <c r="H43" s="275" t="str">
        <f>IF(F43="","",VLOOKUP(F43,'G-1 All Habitats'!$B$2:$M$135,10,FALSE))</f>
        <v/>
      </c>
      <c r="I43" s="276" t="str">
        <f>IFERROR(VLOOKUP(H43,'G-1 All Habitats'!$V$3:$W$7,2,FALSE),"")</f>
        <v/>
      </c>
      <c r="J43" s="52"/>
      <c r="K43" s="276" t="str">
        <f>IFERROR(INDEX('G-8 Condition Look up'!$A$3:$H$135,MATCH(F43,'G-8 Condition Look up'!$A$3:$A$135,0),MATCH(J43,'G-8 Condition Look up'!$A$3:$H$3,0)),"")</f>
        <v/>
      </c>
      <c r="L43" s="52"/>
      <c r="M43" s="283" t="str">
        <f>IF(L43="","",IF(VLOOKUP(L43,'G-3 Multipliers'!$L$3:$N$6,2,FALSE)=0,"Spatial Data Missing",VLOOKUP(L43,'G-3 Multipliers'!$L$3:$N$6,2,FALSE)))</f>
        <v/>
      </c>
      <c r="N43" s="281" t="str">
        <f>IF(L43="","",IF(VLOOKUP(L43,'G-3 Multipliers'!$L$3:$N$6,3,FALSE)=0,"Spatial Data Missing",VLOOKUP(L43,'G-3 Multipliers'!$L$3:$N$6,3,FALSE)))</f>
        <v/>
      </c>
      <c r="O43" s="275" t="str">
        <f t="shared" si="1"/>
        <v/>
      </c>
      <c r="P43" s="58"/>
      <c r="Q43" s="58"/>
      <c r="R43" s="283" t="str">
        <f t="shared" si="2"/>
        <v/>
      </c>
      <c r="S43" s="296" t="str">
        <f t="shared" si="3"/>
        <v/>
      </c>
      <c r="T43" s="297" t="str">
        <f>IFERROR(IF(S43="Check Data ⚠","Check Data ⚠",VLOOKUP(S43,'G-4 Temporal multipliers'!$A$4:$C$37,3,FALSE)),"")</f>
        <v/>
      </c>
      <c r="U43" s="298" t="str">
        <f>IF(F43="","",VLOOKUP(F43,'G-3 Multipliers'!$A$2:$E$134,2,FALSE))</f>
        <v/>
      </c>
      <c r="V43" s="295" t="str">
        <f t="shared" si="4"/>
        <v/>
      </c>
      <c r="W43" s="295" t="str">
        <f>IF(E43="","",IF(AND(V43="Standard difficulty applied",O43&gt;P43),U43,IF(AND(V43="Low Difficulty - only applicable if all habitat created before losses ⚠",P43&gt;=O43),"Low",VLOOKUP(F43,'G-3 Multipliers'!$A$2:$E$134,4,FALSE))))</f>
        <v/>
      </c>
      <c r="X43" s="299" t="str">
        <f>IFERROR(IF(E43="","",VLOOKUP(W43,'G-3 Multipliers'!$P$2:$Q$6,2,FALSE)),"")</f>
        <v/>
      </c>
      <c r="Y43" s="303" t="str">
        <f t="shared" si="5"/>
        <v/>
      </c>
      <c r="Z43" s="52"/>
      <c r="AA43" s="51"/>
      <c r="AB43" s="104"/>
      <c r="AE43" s="40" t="str">
        <f t="shared" si="0"/>
        <v/>
      </c>
    </row>
    <row r="44" spans="1:31" ht="14" hidden="1">
      <c r="A44" s="35" t="str">
        <f>IFERROR(INDEX('G-8 Condition Look up'!$I$4:$I$135,MATCH(F44,'G-8 Condition Look up'!$A$4:$A$135,0)),"")</f>
        <v/>
      </c>
      <c r="B44" s="225">
        <v>34</v>
      </c>
      <c r="C44" s="232" t="str">
        <f>IFERROR(INDEX('G-1 All Habitats'!$AG$25:$AG$41,MATCH(D44,'G-1 All Habitats'!AF$25:AF$41,0)),"")</f>
        <v/>
      </c>
      <c r="D44" s="52"/>
      <c r="E44" s="57"/>
      <c r="F44" s="231" t="str">
        <f>IFERROR(INDEX('G-1 All Habitats'!$B$3:$B$135,MATCH(E44,'G-1 All Habitats'!$A$3:$A$135,0)),"")</f>
        <v/>
      </c>
      <c r="G44" s="51"/>
      <c r="H44" s="275" t="str">
        <f>IF(F44="","",VLOOKUP(F44,'G-1 All Habitats'!$B$2:$M$135,10,FALSE))</f>
        <v/>
      </c>
      <c r="I44" s="276" t="str">
        <f>IFERROR(VLOOKUP(H44,'G-1 All Habitats'!$V$3:$W$7,2,FALSE),"")</f>
        <v/>
      </c>
      <c r="J44" s="52"/>
      <c r="K44" s="276" t="str">
        <f>IFERROR(INDEX('G-8 Condition Look up'!$A$3:$H$135,MATCH(F44,'G-8 Condition Look up'!$A$3:$A$135,0),MATCH(J44,'G-8 Condition Look up'!$A$3:$H$3,0)),"")</f>
        <v/>
      </c>
      <c r="L44" s="52"/>
      <c r="M44" s="283" t="str">
        <f>IF(L44="","",IF(VLOOKUP(L44,'G-3 Multipliers'!$L$3:$N$6,2,FALSE)=0,"Spatial Data Missing",VLOOKUP(L44,'G-3 Multipliers'!$L$3:$N$6,2,FALSE)))</f>
        <v/>
      </c>
      <c r="N44" s="281" t="str">
        <f>IF(L44="","",IF(VLOOKUP(L44,'G-3 Multipliers'!$L$3:$N$6,3,FALSE)=0,"Spatial Data Missing",VLOOKUP(L44,'G-3 Multipliers'!$L$3:$N$6,3,FALSE)))</f>
        <v/>
      </c>
      <c r="O44" s="275" t="str">
        <f t="shared" si="1"/>
        <v/>
      </c>
      <c r="P44" s="58"/>
      <c r="Q44" s="58"/>
      <c r="R44" s="283" t="str">
        <f t="shared" si="2"/>
        <v/>
      </c>
      <c r="S44" s="296" t="str">
        <f t="shared" si="3"/>
        <v/>
      </c>
      <c r="T44" s="297" t="str">
        <f>IFERROR(IF(S44="Check Data ⚠","Check Data ⚠",VLOOKUP(S44,'G-4 Temporal multipliers'!$A$4:$C$37,3,FALSE)),"")</f>
        <v/>
      </c>
      <c r="U44" s="298" t="str">
        <f>IF(F44="","",VLOOKUP(F44,'G-3 Multipliers'!$A$2:$E$134,2,FALSE))</f>
        <v/>
      </c>
      <c r="V44" s="295" t="str">
        <f t="shared" si="4"/>
        <v/>
      </c>
      <c r="W44" s="295" t="str">
        <f>IF(E44="","",IF(AND(V44="Standard difficulty applied",O44&gt;P44),U44,IF(AND(V44="Low Difficulty - only applicable if all habitat created before losses ⚠",P44&gt;=O44),"Low",VLOOKUP(F44,'G-3 Multipliers'!$A$2:$E$134,4,FALSE))))</f>
        <v/>
      </c>
      <c r="X44" s="299" t="str">
        <f>IFERROR(IF(E44="","",VLOOKUP(W44,'G-3 Multipliers'!$P$2:$Q$6,2,FALSE)),"")</f>
        <v/>
      </c>
      <c r="Y44" s="303" t="str">
        <f t="shared" si="5"/>
        <v/>
      </c>
      <c r="Z44" s="52"/>
      <c r="AA44" s="51"/>
      <c r="AB44" s="104"/>
      <c r="AE44" s="40" t="str">
        <f t="shared" si="0"/>
        <v/>
      </c>
    </row>
    <row r="45" spans="1:31" ht="14" hidden="1">
      <c r="A45" s="35" t="str">
        <f>IFERROR(INDEX('G-8 Condition Look up'!$I$4:$I$135,MATCH(F45,'G-8 Condition Look up'!$A$4:$A$135,0)),"")</f>
        <v/>
      </c>
      <c r="B45" s="225">
        <v>35</v>
      </c>
      <c r="C45" s="232" t="str">
        <f>IFERROR(INDEX('G-1 All Habitats'!$AG$25:$AG$41,MATCH(D45,'G-1 All Habitats'!AF$25:AF$41,0)),"")</f>
        <v/>
      </c>
      <c r="D45" s="52"/>
      <c r="E45" s="57"/>
      <c r="F45" s="231" t="str">
        <f>IFERROR(INDEX('G-1 All Habitats'!$B$3:$B$135,MATCH(E45,'G-1 All Habitats'!$A$3:$A$135,0)),"")</f>
        <v/>
      </c>
      <c r="G45" s="51"/>
      <c r="H45" s="275" t="str">
        <f>IF(F45="","",VLOOKUP(F45,'G-1 All Habitats'!$B$2:$M$135,10,FALSE))</f>
        <v/>
      </c>
      <c r="I45" s="276" t="str">
        <f>IFERROR(VLOOKUP(H45,'G-1 All Habitats'!$V$3:$W$7,2,FALSE),"")</f>
        <v/>
      </c>
      <c r="J45" s="52"/>
      <c r="K45" s="276" t="str">
        <f>IFERROR(INDEX('G-8 Condition Look up'!$A$3:$H$135,MATCH(F45,'G-8 Condition Look up'!$A$3:$A$135,0),MATCH(J45,'G-8 Condition Look up'!$A$3:$H$3,0)),"")</f>
        <v/>
      </c>
      <c r="L45" s="52"/>
      <c r="M45" s="283" t="str">
        <f>IF(L45="","",IF(VLOOKUP(L45,'G-3 Multipliers'!$L$3:$N$6,2,FALSE)=0,"Spatial Data Missing",VLOOKUP(L45,'G-3 Multipliers'!$L$3:$N$6,2,FALSE)))</f>
        <v/>
      </c>
      <c r="N45" s="281" t="str">
        <f>IF(L45="","",IF(VLOOKUP(L45,'G-3 Multipliers'!$L$3:$N$6,3,FALSE)=0,"Spatial Data Missing",VLOOKUP(L45,'G-3 Multipliers'!$L$3:$N$6,3,FALSE)))</f>
        <v/>
      </c>
      <c r="O45" s="275" t="str">
        <f t="shared" si="1"/>
        <v/>
      </c>
      <c r="P45" s="58"/>
      <c r="Q45" s="58"/>
      <c r="R45" s="283" t="str">
        <f t="shared" si="2"/>
        <v/>
      </c>
      <c r="S45" s="296" t="str">
        <f t="shared" si="3"/>
        <v/>
      </c>
      <c r="T45" s="297" t="str">
        <f>IFERROR(IF(S45="Check Data ⚠","Check Data ⚠",VLOOKUP(S45,'G-4 Temporal multipliers'!$A$4:$C$37,3,FALSE)),"")</f>
        <v/>
      </c>
      <c r="U45" s="298" t="str">
        <f>IF(F45="","",VLOOKUP(F45,'G-3 Multipliers'!$A$2:$E$134,2,FALSE))</f>
        <v/>
      </c>
      <c r="V45" s="295" t="str">
        <f t="shared" si="4"/>
        <v/>
      </c>
      <c r="W45" s="295" t="str">
        <f>IF(E45="","",IF(AND(V45="Standard difficulty applied",O45&gt;P45),U45,IF(AND(V45="Low Difficulty - only applicable if all habitat created before losses ⚠",P45&gt;=O45),"Low",VLOOKUP(F45,'G-3 Multipliers'!$A$2:$E$134,4,FALSE))))</f>
        <v/>
      </c>
      <c r="X45" s="299" t="str">
        <f>IFERROR(IF(E45="","",VLOOKUP(W45,'G-3 Multipliers'!$P$2:$Q$6,2,FALSE)),"")</f>
        <v/>
      </c>
      <c r="Y45" s="303" t="str">
        <f t="shared" si="5"/>
        <v/>
      </c>
      <c r="Z45" s="52"/>
      <c r="AA45" s="51"/>
      <c r="AB45" s="104"/>
      <c r="AE45" s="40" t="str">
        <f t="shared" si="0"/>
        <v/>
      </c>
    </row>
    <row r="46" spans="1:31" ht="14" hidden="1">
      <c r="A46" s="35" t="str">
        <f>IFERROR(INDEX('G-8 Condition Look up'!$I$4:$I$135,MATCH(F46,'G-8 Condition Look up'!$A$4:$A$135,0)),"")</f>
        <v/>
      </c>
      <c r="B46" s="225">
        <v>36</v>
      </c>
      <c r="C46" s="232" t="str">
        <f>IFERROR(INDEX('G-1 All Habitats'!$AG$25:$AG$41,MATCH(D46,'G-1 All Habitats'!AF$25:AF$41,0)),"")</f>
        <v/>
      </c>
      <c r="D46" s="52"/>
      <c r="E46" s="57"/>
      <c r="F46" s="231" t="str">
        <f>IFERROR(INDEX('G-1 All Habitats'!$B$3:$B$135,MATCH(E46,'G-1 All Habitats'!$A$3:$A$135,0)),"")</f>
        <v/>
      </c>
      <c r="G46" s="51"/>
      <c r="H46" s="275" t="str">
        <f>IF(F46="","",VLOOKUP(F46,'G-1 All Habitats'!$B$2:$M$135,10,FALSE))</f>
        <v/>
      </c>
      <c r="I46" s="276" t="str">
        <f>IFERROR(VLOOKUP(H46,'G-1 All Habitats'!$V$3:$W$7,2,FALSE),"")</f>
        <v/>
      </c>
      <c r="J46" s="52"/>
      <c r="K46" s="276" t="str">
        <f>IFERROR(INDEX('G-8 Condition Look up'!$A$3:$H$135,MATCH(F46,'G-8 Condition Look up'!$A$3:$A$135,0),MATCH(J46,'G-8 Condition Look up'!$A$3:$H$3,0)),"")</f>
        <v/>
      </c>
      <c r="L46" s="52"/>
      <c r="M46" s="283" t="str">
        <f>IF(L46="","",IF(VLOOKUP(L46,'G-3 Multipliers'!$L$3:$N$6,2,FALSE)=0,"Spatial Data Missing",VLOOKUP(L46,'G-3 Multipliers'!$L$3:$N$6,2,FALSE)))</f>
        <v/>
      </c>
      <c r="N46" s="281" t="str">
        <f>IF(L46="","",IF(VLOOKUP(L46,'G-3 Multipliers'!$L$3:$N$6,3,FALSE)=0,"Spatial Data Missing",VLOOKUP(L46,'G-3 Multipliers'!$L$3:$N$6,3,FALSE)))</f>
        <v/>
      </c>
      <c r="O46" s="275" t="str">
        <f t="shared" si="1"/>
        <v/>
      </c>
      <c r="P46" s="58"/>
      <c r="Q46" s="58"/>
      <c r="R46" s="283" t="str">
        <f t="shared" si="2"/>
        <v/>
      </c>
      <c r="S46" s="296" t="str">
        <f t="shared" si="3"/>
        <v/>
      </c>
      <c r="T46" s="297" t="str">
        <f>IFERROR(IF(S46="Check Data ⚠","Check Data ⚠",VLOOKUP(S46,'G-4 Temporal multipliers'!$A$4:$C$37,3,FALSE)),"")</f>
        <v/>
      </c>
      <c r="U46" s="298" t="str">
        <f>IF(F46="","",VLOOKUP(F46,'G-3 Multipliers'!$A$2:$E$134,2,FALSE))</f>
        <v/>
      </c>
      <c r="V46" s="295" t="str">
        <f t="shared" si="4"/>
        <v/>
      </c>
      <c r="W46" s="295" t="str">
        <f>IF(E46="","",IF(AND(V46="Standard difficulty applied",O46&gt;P46),U46,IF(AND(V46="Low Difficulty - only applicable if all habitat created before losses ⚠",P46&gt;=O46),"Low",VLOOKUP(F46,'G-3 Multipliers'!$A$2:$E$134,4,FALSE))))</f>
        <v/>
      </c>
      <c r="X46" s="299" t="str">
        <f>IFERROR(IF(E46="","",VLOOKUP(W46,'G-3 Multipliers'!$P$2:$Q$6,2,FALSE)),"")</f>
        <v/>
      </c>
      <c r="Y46" s="303" t="str">
        <f t="shared" si="5"/>
        <v/>
      </c>
      <c r="Z46" s="52"/>
      <c r="AA46" s="51"/>
      <c r="AB46" s="104"/>
      <c r="AE46" s="40" t="str">
        <f t="shared" si="0"/>
        <v/>
      </c>
    </row>
    <row r="47" spans="1:31" ht="14" hidden="1">
      <c r="A47" s="35" t="str">
        <f>IFERROR(INDEX('G-8 Condition Look up'!$I$4:$I$135,MATCH(F47,'G-8 Condition Look up'!$A$4:$A$135,0)),"")</f>
        <v/>
      </c>
      <c r="B47" s="225">
        <v>37</v>
      </c>
      <c r="C47" s="232" t="str">
        <f>IFERROR(INDEX('G-1 All Habitats'!$AG$25:$AG$41,MATCH(D47,'G-1 All Habitats'!AF$25:AF$41,0)),"")</f>
        <v/>
      </c>
      <c r="D47" s="52"/>
      <c r="E47" s="57"/>
      <c r="F47" s="231" t="str">
        <f>IFERROR(INDEX('G-1 All Habitats'!$B$3:$B$135,MATCH(E47,'G-1 All Habitats'!$A$3:$A$135,0)),"")</f>
        <v/>
      </c>
      <c r="G47" s="51"/>
      <c r="H47" s="275" t="str">
        <f>IF(F47="","",VLOOKUP(F47,'G-1 All Habitats'!$B$2:$M$135,10,FALSE))</f>
        <v/>
      </c>
      <c r="I47" s="276" t="str">
        <f>IFERROR(VLOOKUP(H47,'G-1 All Habitats'!$V$3:$W$7,2,FALSE),"")</f>
        <v/>
      </c>
      <c r="J47" s="52"/>
      <c r="K47" s="276" t="str">
        <f>IFERROR(INDEX('G-8 Condition Look up'!$A$3:$H$135,MATCH(F47,'G-8 Condition Look up'!$A$3:$A$135,0),MATCH(J47,'G-8 Condition Look up'!$A$3:$H$3,0)),"")</f>
        <v/>
      </c>
      <c r="L47" s="52"/>
      <c r="M47" s="283" t="str">
        <f>IF(L47="","",IF(VLOOKUP(L47,'G-3 Multipliers'!$L$3:$N$6,2,FALSE)=0,"Spatial Data Missing",VLOOKUP(L47,'G-3 Multipliers'!$L$3:$N$6,2,FALSE)))</f>
        <v/>
      </c>
      <c r="N47" s="281" t="str">
        <f>IF(L47="","",IF(VLOOKUP(L47,'G-3 Multipliers'!$L$3:$N$6,3,FALSE)=0,"Spatial Data Missing",VLOOKUP(L47,'G-3 Multipliers'!$L$3:$N$6,3,FALSE)))</f>
        <v/>
      </c>
      <c r="O47" s="275" t="str">
        <f t="shared" si="1"/>
        <v/>
      </c>
      <c r="P47" s="58"/>
      <c r="Q47" s="58"/>
      <c r="R47" s="283" t="str">
        <f t="shared" si="2"/>
        <v/>
      </c>
      <c r="S47" s="296" t="str">
        <f t="shared" si="3"/>
        <v/>
      </c>
      <c r="T47" s="297" t="str">
        <f>IFERROR(IF(S47="Check Data ⚠","Check Data ⚠",VLOOKUP(S47,'G-4 Temporal multipliers'!$A$4:$C$37,3,FALSE)),"")</f>
        <v/>
      </c>
      <c r="U47" s="298" t="str">
        <f>IF(F47="","",VLOOKUP(F47,'G-3 Multipliers'!$A$2:$E$134,2,FALSE))</f>
        <v/>
      </c>
      <c r="V47" s="295" t="str">
        <f t="shared" si="4"/>
        <v/>
      </c>
      <c r="W47" s="295" t="str">
        <f>IF(E47="","",IF(AND(V47="Standard difficulty applied",O47&gt;P47),U47,IF(AND(V47="Low Difficulty - only applicable if all habitat created before losses ⚠",P47&gt;=O47),"Low",VLOOKUP(F47,'G-3 Multipliers'!$A$2:$E$134,4,FALSE))))</f>
        <v/>
      </c>
      <c r="X47" s="299" t="str">
        <f>IFERROR(IF(E47="","",VLOOKUP(W47,'G-3 Multipliers'!$P$2:$Q$6,2,FALSE)),"")</f>
        <v/>
      </c>
      <c r="Y47" s="303" t="str">
        <f t="shared" si="5"/>
        <v/>
      </c>
      <c r="Z47" s="52"/>
      <c r="AA47" s="51"/>
      <c r="AB47" s="104"/>
      <c r="AE47" s="40" t="str">
        <f t="shared" si="0"/>
        <v/>
      </c>
    </row>
    <row r="48" spans="1:31" ht="14" hidden="1">
      <c r="A48" s="35" t="str">
        <f>IFERROR(INDEX('G-8 Condition Look up'!$I$4:$I$135,MATCH(F48,'G-8 Condition Look up'!$A$4:$A$135,0)),"")</f>
        <v/>
      </c>
      <c r="B48" s="225">
        <v>38</v>
      </c>
      <c r="C48" s="232" t="str">
        <f>IFERROR(INDEX('G-1 All Habitats'!$AG$25:$AG$41,MATCH(D48,'G-1 All Habitats'!AF$25:AF$41,0)),"")</f>
        <v/>
      </c>
      <c r="D48" s="52"/>
      <c r="E48" s="57"/>
      <c r="F48" s="231" t="str">
        <f>IFERROR(INDEX('G-1 All Habitats'!$B$3:$B$135,MATCH(E48,'G-1 All Habitats'!$A$3:$A$135,0)),"")</f>
        <v/>
      </c>
      <c r="G48" s="51"/>
      <c r="H48" s="275" t="str">
        <f>IF(F48="","",VLOOKUP(F48,'G-1 All Habitats'!$B$2:$M$135,10,FALSE))</f>
        <v/>
      </c>
      <c r="I48" s="276" t="str">
        <f>IFERROR(VLOOKUP(H48,'G-1 All Habitats'!$V$3:$W$7,2,FALSE),"")</f>
        <v/>
      </c>
      <c r="J48" s="52"/>
      <c r="K48" s="276" t="str">
        <f>IFERROR(INDEX('G-8 Condition Look up'!$A$3:$H$135,MATCH(F48,'G-8 Condition Look up'!$A$3:$A$135,0),MATCH(J48,'G-8 Condition Look up'!$A$3:$H$3,0)),"")</f>
        <v/>
      </c>
      <c r="L48" s="52"/>
      <c r="M48" s="283" t="str">
        <f>IF(L48="","",IF(VLOOKUP(L48,'G-3 Multipliers'!$L$3:$N$6,2,FALSE)=0,"Spatial Data Missing",VLOOKUP(L48,'G-3 Multipliers'!$L$3:$N$6,2,FALSE)))</f>
        <v/>
      </c>
      <c r="N48" s="281" t="str">
        <f>IF(L48="","",IF(VLOOKUP(L48,'G-3 Multipliers'!$L$3:$N$6,3,FALSE)=0,"Spatial Data Missing",VLOOKUP(L48,'G-3 Multipliers'!$L$3:$N$6,3,FALSE)))</f>
        <v/>
      </c>
      <c r="O48" s="275" t="str">
        <f t="shared" si="1"/>
        <v/>
      </c>
      <c r="P48" s="58"/>
      <c r="Q48" s="58"/>
      <c r="R48" s="283" t="str">
        <f t="shared" si="2"/>
        <v/>
      </c>
      <c r="S48" s="296" t="str">
        <f t="shared" si="3"/>
        <v/>
      </c>
      <c r="T48" s="297" t="str">
        <f>IFERROR(IF(S48="Check Data ⚠","Check Data ⚠",VLOOKUP(S48,'G-4 Temporal multipliers'!$A$4:$C$37,3,FALSE)),"")</f>
        <v/>
      </c>
      <c r="U48" s="298" t="str">
        <f>IF(F48="","",VLOOKUP(F48,'G-3 Multipliers'!$A$2:$E$134,2,FALSE))</f>
        <v/>
      </c>
      <c r="V48" s="295" t="str">
        <f t="shared" si="4"/>
        <v/>
      </c>
      <c r="W48" s="295" t="str">
        <f>IF(E48="","",IF(AND(V48="Standard difficulty applied",O48&gt;P48),U48,IF(AND(V48="Low Difficulty - only applicable if all habitat created before losses ⚠",P48&gt;=O48),"Low",VLOOKUP(F48,'G-3 Multipliers'!$A$2:$E$134,4,FALSE))))</f>
        <v/>
      </c>
      <c r="X48" s="299" t="str">
        <f>IFERROR(IF(E48="","",VLOOKUP(W48,'G-3 Multipliers'!$P$2:$Q$6,2,FALSE)),"")</f>
        <v/>
      </c>
      <c r="Y48" s="303" t="str">
        <f t="shared" si="5"/>
        <v/>
      </c>
      <c r="Z48" s="52"/>
      <c r="AA48" s="51"/>
      <c r="AB48" s="104"/>
      <c r="AE48" s="40" t="str">
        <f t="shared" si="0"/>
        <v/>
      </c>
    </row>
    <row r="49" spans="1:31" ht="14" hidden="1">
      <c r="A49" s="35" t="str">
        <f>IFERROR(INDEX('G-8 Condition Look up'!$I$4:$I$135,MATCH(F49,'G-8 Condition Look up'!$A$4:$A$135,0)),"")</f>
        <v/>
      </c>
      <c r="B49" s="225">
        <v>39</v>
      </c>
      <c r="C49" s="232" t="str">
        <f>IFERROR(INDEX('G-1 All Habitats'!$AG$25:$AG$41,MATCH(D49,'G-1 All Habitats'!AF$25:AF$41,0)),"")</f>
        <v/>
      </c>
      <c r="D49" s="52"/>
      <c r="E49" s="57"/>
      <c r="F49" s="231" t="str">
        <f>IFERROR(INDEX('G-1 All Habitats'!$B$3:$B$135,MATCH(E49,'G-1 All Habitats'!$A$3:$A$135,0)),"")</f>
        <v/>
      </c>
      <c r="G49" s="51"/>
      <c r="H49" s="275" t="str">
        <f>IF(F49="","",VLOOKUP(F49,'G-1 All Habitats'!$B$2:$M$135,10,FALSE))</f>
        <v/>
      </c>
      <c r="I49" s="276" t="str">
        <f>IFERROR(VLOOKUP(H49,'G-1 All Habitats'!$V$3:$W$7,2,FALSE),"")</f>
        <v/>
      </c>
      <c r="J49" s="52"/>
      <c r="K49" s="276" t="str">
        <f>IFERROR(INDEX('G-8 Condition Look up'!$A$3:$H$135,MATCH(F49,'G-8 Condition Look up'!$A$3:$A$135,0),MATCH(J49,'G-8 Condition Look up'!$A$3:$H$3,0)),"")</f>
        <v/>
      </c>
      <c r="L49" s="52"/>
      <c r="M49" s="283" t="str">
        <f>IF(L49="","",IF(VLOOKUP(L49,'G-3 Multipliers'!$L$3:$N$6,2,FALSE)=0,"Spatial Data Missing",VLOOKUP(L49,'G-3 Multipliers'!$L$3:$N$6,2,FALSE)))</f>
        <v/>
      </c>
      <c r="N49" s="281" t="str">
        <f>IF(L49="","",IF(VLOOKUP(L49,'G-3 Multipliers'!$L$3:$N$6,3,FALSE)=0,"Spatial Data Missing",VLOOKUP(L49,'G-3 Multipliers'!$L$3:$N$6,3,FALSE)))</f>
        <v/>
      </c>
      <c r="O49" s="275" t="str">
        <f t="shared" si="1"/>
        <v/>
      </c>
      <c r="P49" s="58"/>
      <c r="Q49" s="58"/>
      <c r="R49" s="283" t="str">
        <f t="shared" si="2"/>
        <v/>
      </c>
      <c r="S49" s="296" t="str">
        <f t="shared" si="3"/>
        <v/>
      </c>
      <c r="T49" s="297" t="str">
        <f>IFERROR(IF(S49="Check Data ⚠","Check Data ⚠",VLOOKUP(S49,'G-4 Temporal multipliers'!$A$4:$C$37,3,FALSE)),"")</f>
        <v/>
      </c>
      <c r="U49" s="298" t="str">
        <f>IF(F49="","",VLOOKUP(F49,'G-3 Multipliers'!$A$2:$E$134,2,FALSE))</f>
        <v/>
      </c>
      <c r="V49" s="295" t="str">
        <f t="shared" si="4"/>
        <v/>
      </c>
      <c r="W49" s="295" t="str">
        <f>IF(E49="","",IF(AND(V49="Standard difficulty applied",O49&gt;P49),U49,IF(AND(V49="Low Difficulty - only applicable if all habitat created before losses ⚠",P49&gt;=O49),"Low",VLOOKUP(F49,'G-3 Multipliers'!$A$2:$E$134,4,FALSE))))</f>
        <v/>
      </c>
      <c r="X49" s="299" t="str">
        <f>IFERROR(IF(E49="","",VLOOKUP(W49,'G-3 Multipliers'!$P$2:$Q$6,2,FALSE)),"")</f>
        <v/>
      </c>
      <c r="Y49" s="303" t="str">
        <f t="shared" si="5"/>
        <v/>
      </c>
      <c r="Z49" s="52"/>
      <c r="AA49" s="51"/>
      <c r="AB49" s="104"/>
      <c r="AE49" s="40" t="str">
        <f t="shared" si="0"/>
        <v/>
      </c>
    </row>
    <row r="50" spans="1:31" ht="14" hidden="1">
      <c r="A50" s="35" t="str">
        <f>IFERROR(INDEX('G-8 Condition Look up'!$I$4:$I$135,MATCH(F50,'G-8 Condition Look up'!$A$4:$A$135,0)),"")</f>
        <v/>
      </c>
      <c r="B50" s="225">
        <v>40</v>
      </c>
      <c r="C50" s="232" t="str">
        <f>IFERROR(INDEX('G-1 All Habitats'!$AG$25:$AG$41,MATCH(D50,'G-1 All Habitats'!AF$25:AF$41,0)),"")</f>
        <v/>
      </c>
      <c r="D50" s="52"/>
      <c r="E50" s="57"/>
      <c r="F50" s="231" t="str">
        <f>IFERROR(INDEX('G-1 All Habitats'!$B$3:$B$135,MATCH(E50,'G-1 All Habitats'!$A$3:$A$135,0)),"")</f>
        <v/>
      </c>
      <c r="G50" s="51"/>
      <c r="H50" s="275" t="str">
        <f>IF(F50="","",VLOOKUP(F50,'G-1 All Habitats'!$B$2:$M$135,10,FALSE))</f>
        <v/>
      </c>
      <c r="I50" s="276" t="str">
        <f>IFERROR(VLOOKUP(H50,'G-1 All Habitats'!$V$3:$W$7,2,FALSE),"")</f>
        <v/>
      </c>
      <c r="J50" s="52"/>
      <c r="K50" s="276" t="str">
        <f>IFERROR(INDEX('G-8 Condition Look up'!$A$3:$H$135,MATCH(F50,'G-8 Condition Look up'!$A$3:$A$135,0),MATCH(J50,'G-8 Condition Look up'!$A$3:$H$3,0)),"")</f>
        <v/>
      </c>
      <c r="L50" s="52"/>
      <c r="M50" s="283" t="str">
        <f>IF(L50="","",IF(VLOOKUP(L50,'G-3 Multipliers'!$L$3:$N$6,2,FALSE)=0,"Spatial Data Missing",VLOOKUP(L50,'G-3 Multipliers'!$L$3:$N$6,2,FALSE)))</f>
        <v/>
      </c>
      <c r="N50" s="281" t="str">
        <f>IF(L50="","",IF(VLOOKUP(L50,'G-3 Multipliers'!$L$3:$N$6,3,FALSE)=0,"Spatial Data Missing",VLOOKUP(L50,'G-3 Multipliers'!$L$3:$N$6,3,FALSE)))</f>
        <v/>
      </c>
      <c r="O50" s="275" t="str">
        <f t="shared" si="1"/>
        <v/>
      </c>
      <c r="P50" s="58"/>
      <c r="Q50" s="58"/>
      <c r="R50" s="283" t="str">
        <f t="shared" si="2"/>
        <v/>
      </c>
      <c r="S50" s="296" t="str">
        <f t="shared" si="3"/>
        <v/>
      </c>
      <c r="T50" s="297" t="str">
        <f>IFERROR(IF(S50="Check Data ⚠","Check Data ⚠",VLOOKUP(S50,'G-4 Temporal multipliers'!$A$4:$C$37,3,FALSE)),"")</f>
        <v/>
      </c>
      <c r="U50" s="298" t="str">
        <f>IF(F50="","",VLOOKUP(F50,'G-3 Multipliers'!$A$2:$E$134,2,FALSE))</f>
        <v/>
      </c>
      <c r="V50" s="295" t="str">
        <f t="shared" si="4"/>
        <v/>
      </c>
      <c r="W50" s="295" t="str">
        <f>IF(E50="","",IF(AND(V50="Standard difficulty applied",O50&gt;P50),U50,IF(AND(V50="Low Difficulty - only applicable if all habitat created before losses ⚠",P50&gt;=O50),"Low",VLOOKUP(F50,'G-3 Multipliers'!$A$2:$E$134,4,FALSE))))</f>
        <v/>
      </c>
      <c r="X50" s="299" t="str">
        <f>IFERROR(IF(E50="","",VLOOKUP(W50,'G-3 Multipliers'!$P$2:$Q$6,2,FALSE)),"")</f>
        <v/>
      </c>
      <c r="Y50" s="303" t="str">
        <f t="shared" si="5"/>
        <v/>
      </c>
      <c r="Z50" s="52"/>
      <c r="AA50" s="51"/>
      <c r="AB50" s="104"/>
      <c r="AE50" s="40" t="str">
        <f t="shared" si="0"/>
        <v/>
      </c>
    </row>
    <row r="51" spans="1:31" ht="14" hidden="1">
      <c r="A51" s="35" t="str">
        <f>IFERROR(INDEX('G-8 Condition Look up'!$I$4:$I$135,MATCH(F51,'G-8 Condition Look up'!$A$4:$A$135,0)),"")</f>
        <v/>
      </c>
      <c r="B51" s="225">
        <v>41</v>
      </c>
      <c r="C51" s="232" t="str">
        <f>IFERROR(INDEX('G-1 All Habitats'!$AG$25:$AG$41,MATCH(D51,'G-1 All Habitats'!AF$25:AF$41,0)),"")</f>
        <v/>
      </c>
      <c r="D51" s="52"/>
      <c r="E51" s="57"/>
      <c r="F51" s="231" t="str">
        <f>IFERROR(INDEX('G-1 All Habitats'!$B$3:$B$135,MATCH(E51,'G-1 All Habitats'!$A$3:$A$135,0)),"")</f>
        <v/>
      </c>
      <c r="G51" s="51"/>
      <c r="H51" s="275" t="str">
        <f>IF(F51="","",VLOOKUP(F51,'G-1 All Habitats'!$B$2:$M$135,10,FALSE))</f>
        <v/>
      </c>
      <c r="I51" s="276" t="str">
        <f>IFERROR(VLOOKUP(H51,'G-1 All Habitats'!$V$3:$W$7,2,FALSE),"")</f>
        <v/>
      </c>
      <c r="J51" s="52"/>
      <c r="K51" s="276" t="str">
        <f>IFERROR(INDEX('G-8 Condition Look up'!$A$3:$H$135,MATCH(F51,'G-8 Condition Look up'!$A$3:$A$135,0),MATCH(J51,'G-8 Condition Look up'!$A$3:$H$3,0)),"")</f>
        <v/>
      </c>
      <c r="L51" s="52"/>
      <c r="M51" s="283" t="str">
        <f>IF(L51="","",IF(VLOOKUP(L51,'G-3 Multipliers'!$L$3:$N$6,2,FALSE)=0,"Spatial Data Missing",VLOOKUP(L51,'G-3 Multipliers'!$L$3:$N$6,2,FALSE)))</f>
        <v/>
      </c>
      <c r="N51" s="281" t="str">
        <f>IF(L51="","",IF(VLOOKUP(L51,'G-3 Multipliers'!$L$3:$N$6,3,FALSE)=0,"Spatial Data Missing",VLOOKUP(L51,'G-3 Multipliers'!$L$3:$N$6,3,FALSE)))</f>
        <v/>
      </c>
      <c r="O51" s="275" t="str">
        <f t="shared" si="1"/>
        <v/>
      </c>
      <c r="P51" s="58"/>
      <c r="Q51" s="58"/>
      <c r="R51" s="283" t="str">
        <f t="shared" si="2"/>
        <v/>
      </c>
      <c r="S51" s="296" t="str">
        <f t="shared" si="3"/>
        <v/>
      </c>
      <c r="T51" s="297" t="str">
        <f>IFERROR(IF(S51="Check Data ⚠","Check Data ⚠",VLOOKUP(S51,'G-4 Temporal multipliers'!$A$4:$C$37,3,FALSE)),"")</f>
        <v/>
      </c>
      <c r="U51" s="298" t="str">
        <f>IF(F51="","",VLOOKUP(F51,'G-3 Multipliers'!$A$2:$E$134,2,FALSE))</f>
        <v/>
      </c>
      <c r="V51" s="295" t="str">
        <f t="shared" si="4"/>
        <v/>
      </c>
      <c r="W51" s="295" t="str">
        <f>IF(E51="","",IF(AND(V51="Standard difficulty applied",O51&gt;P51),U51,IF(AND(V51="Low Difficulty - only applicable if all habitat created before losses ⚠",P51&gt;=O51),"Low",VLOOKUP(F51,'G-3 Multipliers'!$A$2:$E$134,4,FALSE))))</f>
        <v/>
      </c>
      <c r="X51" s="299" t="str">
        <f>IFERROR(IF(E51="","",VLOOKUP(W51,'G-3 Multipliers'!$P$2:$Q$6,2,FALSE)),"")</f>
        <v/>
      </c>
      <c r="Y51" s="303" t="str">
        <f t="shared" si="5"/>
        <v/>
      </c>
      <c r="Z51" s="52"/>
      <c r="AA51" s="51"/>
      <c r="AB51" s="104"/>
      <c r="AE51" s="40" t="str">
        <f t="shared" si="0"/>
        <v/>
      </c>
    </row>
    <row r="52" spans="1:31" ht="14" hidden="1">
      <c r="A52" s="35" t="str">
        <f>IFERROR(INDEX('G-8 Condition Look up'!$I$4:$I$135,MATCH(F52,'G-8 Condition Look up'!$A$4:$A$135,0)),"")</f>
        <v/>
      </c>
      <c r="B52" s="225">
        <v>42</v>
      </c>
      <c r="C52" s="232" t="str">
        <f>IFERROR(INDEX('G-1 All Habitats'!$AG$25:$AG$41,MATCH(D52,'G-1 All Habitats'!AF$25:AF$41,0)),"")</f>
        <v/>
      </c>
      <c r="D52" s="52"/>
      <c r="E52" s="57"/>
      <c r="F52" s="231" t="str">
        <f>IFERROR(INDEX('G-1 All Habitats'!$B$3:$B$135,MATCH(E52,'G-1 All Habitats'!$A$3:$A$135,0)),"")</f>
        <v/>
      </c>
      <c r="G52" s="51"/>
      <c r="H52" s="275" t="str">
        <f>IF(F52="","",VLOOKUP(F52,'G-1 All Habitats'!$B$2:$M$135,10,FALSE))</f>
        <v/>
      </c>
      <c r="I52" s="276" t="str">
        <f>IFERROR(VLOOKUP(H52,'G-1 All Habitats'!$V$3:$W$7,2,FALSE),"")</f>
        <v/>
      </c>
      <c r="J52" s="52"/>
      <c r="K52" s="276" t="str">
        <f>IFERROR(INDEX('G-8 Condition Look up'!$A$3:$H$135,MATCH(F52,'G-8 Condition Look up'!$A$3:$A$135,0),MATCH(J52,'G-8 Condition Look up'!$A$3:$H$3,0)),"")</f>
        <v/>
      </c>
      <c r="L52" s="52"/>
      <c r="M52" s="283" t="str">
        <f>IF(L52="","",IF(VLOOKUP(L52,'G-3 Multipliers'!$L$3:$N$6,2,FALSE)=0,"Spatial Data Missing",VLOOKUP(L52,'G-3 Multipliers'!$L$3:$N$6,2,FALSE)))</f>
        <v/>
      </c>
      <c r="N52" s="281" t="str">
        <f>IF(L52="","",IF(VLOOKUP(L52,'G-3 Multipliers'!$L$3:$N$6,3,FALSE)=0,"Spatial Data Missing",VLOOKUP(L52,'G-3 Multipliers'!$L$3:$N$6,3,FALSE)))</f>
        <v/>
      </c>
      <c r="O52" s="275" t="str">
        <f t="shared" si="1"/>
        <v/>
      </c>
      <c r="P52" s="58"/>
      <c r="Q52" s="58"/>
      <c r="R52" s="283" t="str">
        <f t="shared" si="2"/>
        <v/>
      </c>
      <c r="S52" s="296" t="str">
        <f t="shared" si="3"/>
        <v/>
      </c>
      <c r="T52" s="297" t="str">
        <f>IFERROR(IF(S52="Check Data ⚠","Check Data ⚠",VLOOKUP(S52,'G-4 Temporal multipliers'!$A$4:$C$37,3,FALSE)),"")</f>
        <v/>
      </c>
      <c r="U52" s="298" t="str">
        <f>IF(F52="","",VLOOKUP(F52,'G-3 Multipliers'!$A$2:$E$134,2,FALSE))</f>
        <v/>
      </c>
      <c r="V52" s="295" t="str">
        <f t="shared" si="4"/>
        <v/>
      </c>
      <c r="W52" s="295" t="str">
        <f>IF(E52="","",IF(AND(V52="Standard difficulty applied",O52&gt;P52),U52,IF(AND(V52="Low Difficulty - only applicable if all habitat created before losses ⚠",P52&gt;=O52),"Low",VLOOKUP(F52,'G-3 Multipliers'!$A$2:$E$134,4,FALSE))))</f>
        <v/>
      </c>
      <c r="X52" s="299" t="str">
        <f>IFERROR(IF(E52="","",VLOOKUP(W52,'G-3 Multipliers'!$P$2:$Q$6,2,FALSE)),"")</f>
        <v/>
      </c>
      <c r="Y52" s="303" t="str">
        <f t="shared" si="5"/>
        <v/>
      </c>
      <c r="Z52" s="52"/>
      <c r="AA52" s="51"/>
      <c r="AB52" s="104"/>
      <c r="AE52" s="40" t="str">
        <f t="shared" si="0"/>
        <v/>
      </c>
    </row>
    <row r="53" spans="1:31" ht="14" hidden="1">
      <c r="A53" s="35" t="str">
        <f>IFERROR(INDEX('G-8 Condition Look up'!$I$4:$I$135,MATCH(F53,'G-8 Condition Look up'!$A$4:$A$135,0)),"")</f>
        <v/>
      </c>
      <c r="B53" s="225">
        <v>43</v>
      </c>
      <c r="C53" s="232" t="str">
        <f>IFERROR(INDEX('G-1 All Habitats'!$AG$25:$AG$41,MATCH(D53,'G-1 All Habitats'!AF$25:AF$41,0)),"")</f>
        <v/>
      </c>
      <c r="D53" s="52"/>
      <c r="E53" s="57"/>
      <c r="F53" s="231" t="str">
        <f>IFERROR(INDEX('G-1 All Habitats'!$B$3:$B$135,MATCH(E53,'G-1 All Habitats'!$A$3:$A$135,0)),"")</f>
        <v/>
      </c>
      <c r="G53" s="51"/>
      <c r="H53" s="275" t="str">
        <f>IF(F53="","",VLOOKUP(F53,'G-1 All Habitats'!$B$2:$M$135,10,FALSE))</f>
        <v/>
      </c>
      <c r="I53" s="276" t="str">
        <f>IFERROR(VLOOKUP(H53,'G-1 All Habitats'!$V$3:$W$7,2,FALSE),"")</f>
        <v/>
      </c>
      <c r="J53" s="52"/>
      <c r="K53" s="276" t="str">
        <f>IFERROR(INDEX('G-8 Condition Look up'!$A$3:$H$135,MATCH(F53,'G-8 Condition Look up'!$A$3:$A$135,0),MATCH(J53,'G-8 Condition Look up'!$A$3:$H$3,0)),"")</f>
        <v/>
      </c>
      <c r="L53" s="52"/>
      <c r="M53" s="283" t="str">
        <f>IF(L53="","",IF(VLOOKUP(L53,'G-3 Multipliers'!$L$3:$N$6,2,FALSE)=0,"Spatial Data Missing",VLOOKUP(L53,'G-3 Multipliers'!$L$3:$N$6,2,FALSE)))</f>
        <v/>
      </c>
      <c r="N53" s="281" t="str">
        <f>IF(L53="","",IF(VLOOKUP(L53,'G-3 Multipliers'!$L$3:$N$6,3,FALSE)=0,"Spatial Data Missing",VLOOKUP(L53,'G-3 Multipliers'!$L$3:$N$6,3,FALSE)))</f>
        <v/>
      </c>
      <c r="O53" s="275" t="str">
        <f t="shared" si="1"/>
        <v/>
      </c>
      <c r="P53" s="58"/>
      <c r="Q53" s="58"/>
      <c r="R53" s="283" t="str">
        <f t="shared" si="2"/>
        <v/>
      </c>
      <c r="S53" s="296" t="str">
        <f t="shared" si="3"/>
        <v/>
      </c>
      <c r="T53" s="297" t="str">
        <f>IFERROR(IF(S53="Check Data ⚠","Check Data ⚠",VLOOKUP(S53,'G-4 Temporal multipliers'!$A$4:$C$37,3,FALSE)),"")</f>
        <v/>
      </c>
      <c r="U53" s="298" t="str">
        <f>IF(F53="","",VLOOKUP(F53,'G-3 Multipliers'!$A$2:$E$134,2,FALSE))</f>
        <v/>
      </c>
      <c r="V53" s="295" t="str">
        <f t="shared" si="4"/>
        <v/>
      </c>
      <c r="W53" s="295" t="str">
        <f>IF(E53="","",IF(AND(V53="Standard difficulty applied",O53&gt;P53),U53,IF(AND(V53="Low Difficulty - only applicable if all habitat created before losses ⚠",P53&gt;=O53),"Low",VLOOKUP(F53,'G-3 Multipliers'!$A$2:$E$134,4,FALSE))))</f>
        <v/>
      </c>
      <c r="X53" s="299" t="str">
        <f>IFERROR(IF(E53="","",VLOOKUP(W53,'G-3 Multipliers'!$P$2:$Q$6,2,FALSE)),"")</f>
        <v/>
      </c>
      <c r="Y53" s="303" t="str">
        <f t="shared" si="5"/>
        <v/>
      </c>
      <c r="Z53" s="52"/>
      <c r="AA53" s="51"/>
      <c r="AB53" s="104"/>
      <c r="AE53" s="40" t="str">
        <f t="shared" si="0"/>
        <v/>
      </c>
    </row>
    <row r="54" spans="1:31" ht="14" hidden="1">
      <c r="A54" s="35" t="str">
        <f>IFERROR(INDEX('G-8 Condition Look up'!$I$4:$I$135,MATCH(F54,'G-8 Condition Look up'!$A$4:$A$135,0)),"")</f>
        <v/>
      </c>
      <c r="B54" s="225">
        <v>44</v>
      </c>
      <c r="C54" s="232" t="str">
        <f>IFERROR(INDEX('G-1 All Habitats'!$AG$25:$AG$41,MATCH(D54,'G-1 All Habitats'!AF$25:AF$41,0)),"")</f>
        <v/>
      </c>
      <c r="D54" s="52"/>
      <c r="E54" s="57"/>
      <c r="F54" s="231" t="str">
        <f>IFERROR(INDEX('G-1 All Habitats'!$B$3:$B$135,MATCH(E54,'G-1 All Habitats'!$A$3:$A$135,0)),"")</f>
        <v/>
      </c>
      <c r="G54" s="51"/>
      <c r="H54" s="275" t="str">
        <f>IF(F54="","",VLOOKUP(F54,'G-1 All Habitats'!$B$2:$M$135,10,FALSE))</f>
        <v/>
      </c>
      <c r="I54" s="276" t="str">
        <f>IFERROR(VLOOKUP(H54,'G-1 All Habitats'!$V$3:$W$7,2,FALSE),"")</f>
        <v/>
      </c>
      <c r="J54" s="52"/>
      <c r="K54" s="276" t="str">
        <f>IFERROR(INDEX('G-8 Condition Look up'!$A$3:$H$135,MATCH(F54,'G-8 Condition Look up'!$A$3:$A$135,0),MATCH(J54,'G-8 Condition Look up'!$A$3:$H$3,0)),"")</f>
        <v/>
      </c>
      <c r="L54" s="52"/>
      <c r="M54" s="283" t="str">
        <f>IF(L54="","",IF(VLOOKUP(L54,'G-3 Multipliers'!$L$3:$N$6,2,FALSE)=0,"Spatial Data Missing",VLOOKUP(L54,'G-3 Multipliers'!$L$3:$N$6,2,FALSE)))</f>
        <v/>
      </c>
      <c r="N54" s="281" t="str">
        <f>IF(L54="","",IF(VLOOKUP(L54,'G-3 Multipliers'!$L$3:$N$6,3,FALSE)=0,"Spatial Data Missing",VLOOKUP(L54,'G-3 Multipliers'!$L$3:$N$6,3,FALSE)))</f>
        <v/>
      </c>
      <c r="O54" s="275" t="str">
        <f t="shared" si="1"/>
        <v/>
      </c>
      <c r="P54" s="58"/>
      <c r="Q54" s="58"/>
      <c r="R54" s="283" t="str">
        <f t="shared" si="2"/>
        <v/>
      </c>
      <c r="S54" s="296" t="str">
        <f t="shared" si="3"/>
        <v/>
      </c>
      <c r="T54" s="297" t="str">
        <f>IFERROR(IF(S54="Check Data ⚠","Check Data ⚠",VLOOKUP(S54,'G-4 Temporal multipliers'!$A$4:$C$37,3,FALSE)),"")</f>
        <v/>
      </c>
      <c r="U54" s="298" t="str">
        <f>IF(F54="","",VLOOKUP(F54,'G-3 Multipliers'!$A$2:$E$134,2,FALSE))</f>
        <v/>
      </c>
      <c r="V54" s="295" t="str">
        <f t="shared" si="4"/>
        <v/>
      </c>
      <c r="W54" s="295" t="str">
        <f>IF(E54="","",IF(AND(V54="Standard difficulty applied",O54&gt;P54),U54,IF(AND(V54="Low Difficulty - only applicable if all habitat created before losses ⚠",P54&gt;=O54),"Low",VLOOKUP(F54,'G-3 Multipliers'!$A$2:$E$134,4,FALSE))))</f>
        <v/>
      </c>
      <c r="X54" s="299" t="str">
        <f>IFERROR(IF(E54="","",VLOOKUP(W54,'G-3 Multipliers'!$P$2:$Q$6,2,FALSE)),"")</f>
        <v/>
      </c>
      <c r="Y54" s="303" t="str">
        <f t="shared" si="5"/>
        <v/>
      </c>
      <c r="Z54" s="52"/>
      <c r="AA54" s="51"/>
      <c r="AB54" s="104"/>
      <c r="AE54" s="40" t="str">
        <f t="shared" si="0"/>
        <v/>
      </c>
    </row>
    <row r="55" spans="1:31" ht="14" hidden="1">
      <c r="A55" s="35" t="str">
        <f>IFERROR(INDEX('G-8 Condition Look up'!$I$4:$I$135,MATCH(F55,'G-8 Condition Look up'!$A$4:$A$135,0)),"")</f>
        <v/>
      </c>
      <c r="B55" s="225">
        <v>45</v>
      </c>
      <c r="C55" s="232" t="str">
        <f>IFERROR(INDEX('G-1 All Habitats'!$AG$25:$AG$41,MATCH(D55,'G-1 All Habitats'!AF$25:AF$41,0)),"")</f>
        <v/>
      </c>
      <c r="D55" s="52"/>
      <c r="E55" s="57"/>
      <c r="F55" s="231" t="str">
        <f>IFERROR(INDEX('G-1 All Habitats'!$B$3:$B$135,MATCH(E55,'G-1 All Habitats'!$A$3:$A$135,0)),"")</f>
        <v/>
      </c>
      <c r="G55" s="51"/>
      <c r="H55" s="275" t="str">
        <f>IF(F55="","",VLOOKUP(F55,'G-1 All Habitats'!$B$2:$M$135,10,FALSE))</f>
        <v/>
      </c>
      <c r="I55" s="276" t="str">
        <f>IFERROR(VLOOKUP(H55,'G-1 All Habitats'!$V$3:$W$7,2,FALSE),"")</f>
        <v/>
      </c>
      <c r="J55" s="52"/>
      <c r="K55" s="276" t="str">
        <f>IFERROR(INDEX('G-8 Condition Look up'!$A$3:$H$135,MATCH(F55,'G-8 Condition Look up'!$A$3:$A$135,0),MATCH(J55,'G-8 Condition Look up'!$A$3:$H$3,0)),"")</f>
        <v/>
      </c>
      <c r="L55" s="52"/>
      <c r="M55" s="283" t="str">
        <f>IF(L55="","",IF(VLOOKUP(L55,'G-3 Multipliers'!$L$3:$N$6,2,FALSE)=0,"Spatial Data Missing",VLOOKUP(L55,'G-3 Multipliers'!$L$3:$N$6,2,FALSE)))</f>
        <v/>
      </c>
      <c r="N55" s="281" t="str">
        <f>IF(L55="","",IF(VLOOKUP(L55,'G-3 Multipliers'!$L$3:$N$6,3,FALSE)=0,"Spatial Data Missing",VLOOKUP(L55,'G-3 Multipliers'!$L$3:$N$6,3,FALSE)))</f>
        <v/>
      </c>
      <c r="O55" s="275" t="str">
        <f t="shared" si="1"/>
        <v/>
      </c>
      <c r="P55" s="58"/>
      <c r="Q55" s="58"/>
      <c r="R55" s="283" t="str">
        <f t="shared" si="2"/>
        <v/>
      </c>
      <c r="S55" s="296" t="str">
        <f t="shared" si="3"/>
        <v/>
      </c>
      <c r="T55" s="297" t="str">
        <f>IFERROR(IF(S55="Check Data ⚠","Check Data ⚠",VLOOKUP(S55,'G-4 Temporal multipliers'!$A$4:$C$37,3,FALSE)),"")</f>
        <v/>
      </c>
      <c r="U55" s="298" t="str">
        <f>IF(F55="","",VLOOKUP(F55,'G-3 Multipliers'!$A$2:$E$134,2,FALSE))</f>
        <v/>
      </c>
      <c r="V55" s="295" t="str">
        <f t="shared" si="4"/>
        <v/>
      </c>
      <c r="W55" s="295" t="str">
        <f>IF(E55="","",IF(AND(V55="Standard difficulty applied",O55&gt;P55),U55,IF(AND(V55="Low Difficulty - only applicable if all habitat created before losses ⚠",P55&gt;=O55),"Low",VLOOKUP(F55,'G-3 Multipliers'!$A$2:$E$134,4,FALSE))))</f>
        <v/>
      </c>
      <c r="X55" s="299" t="str">
        <f>IFERROR(IF(E55="","",VLOOKUP(W55,'G-3 Multipliers'!$P$2:$Q$6,2,FALSE)),"")</f>
        <v/>
      </c>
      <c r="Y55" s="303" t="str">
        <f t="shared" si="5"/>
        <v/>
      </c>
      <c r="Z55" s="52"/>
      <c r="AA55" s="51"/>
      <c r="AB55" s="104"/>
      <c r="AE55" s="40" t="str">
        <f t="shared" si="0"/>
        <v/>
      </c>
    </row>
    <row r="56" spans="1:31" ht="14" hidden="1">
      <c r="A56" s="35" t="str">
        <f>IFERROR(INDEX('G-8 Condition Look up'!$I$4:$I$135,MATCH(F56,'G-8 Condition Look up'!$A$4:$A$135,0)),"")</f>
        <v/>
      </c>
      <c r="B56" s="225">
        <v>46</v>
      </c>
      <c r="C56" s="232" t="str">
        <f>IFERROR(INDEX('G-1 All Habitats'!$AG$25:$AG$41,MATCH(D56,'G-1 All Habitats'!AF$25:AF$41,0)),"")</f>
        <v/>
      </c>
      <c r="D56" s="52"/>
      <c r="E56" s="57"/>
      <c r="F56" s="231" t="str">
        <f>IFERROR(INDEX('G-1 All Habitats'!$B$3:$B$135,MATCH(E56,'G-1 All Habitats'!$A$3:$A$135,0)),"")</f>
        <v/>
      </c>
      <c r="G56" s="51"/>
      <c r="H56" s="275" t="str">
        <f>IF(F56="","",VLOOKUP(F56,'G-1 All Habitats'!$B$2:$M$135,10,FALSE))</f>
        <v/>
      </c>
      <c r="I56" s="276" t="str">
        <f>IFERROR(VLOOKUP(H56,'G-1 All Habitats'!$V$3:$W$7,2,FALSE),"")</f>
        <v/>
      </c>
      <c r="J56" s="52"/>
      <c r="K56" s="276" t="str">
        <f>IFERROR(INDEX('G-8 Condition Look up'!$A$3:$H$135,MATCH(F56,'G-8 Condition Look up'!$A$3:$A$135,0),MATCH(J56,'G-8 Condition Look up'!$A$3:$H$3,0)),"")</f>
        <v/>
      </c>
      <c r="L56" s="52"/>
      <c r="M56" s="283" t="str">
        <f>IF(L56="","",IF(VLOOKUP(L56,'G-3 Multipliers'!$L$3:$N$6,2,FALSE)=0,"Spatial Data Missing",VLOOKUP(L56,'G-3 Multipliers'!$L$3:$N$6,2,FALSE)))</f>
        <v/>
      </c>
      <c r="N56" s="281" t="str">
        <f>IF(L56="","",IF(VLOOKUP(L56,'G-3 Multipliers'!$L$3:$N$6,3,FALSE)=0,"Spatial Data Missing",VLOOKUP(L56,'G-3 Multipliers'!$L$3:$N$6,3,FALSE)))</f>
        <v/>
      </c>
      <c r="O56" s="275" t="str">
        <f t="shared" si="1"/>
        <v/>
      </c>
      <c r="P56" s="58"/>
      <c r="Q56" s="58"/>
      <c r="R56" s="283" t="str">
        <f t="shared" si="2"/>
        <v/>
      </c>
      <c r="S56" s="296" t="str">
        <f t="shared" si="3"/>
        <v/>
      </c>
      <c r="T56" s="297" t="str">
        <f>IFERROR(IF(S56="Check Data ⚠","Check Data ⚠",VLOOKUP(S56,'G-4 Temporal multipliers'!$A$4:$C$37,3,FALSE)),"")</f>
        <v/>
      </c>
      <c r="U56" s="298" t="str">
        <f>IF(F56="","",VLOOKUP(F56,'G-3 Multipliers'!$A$2:$E$134,2,FALSE))</f>
        <v/>
      </c>
      <c r="V56" s="295" t="str">
        <f t="shared" si="4"/>
        <v/>
      </c>
      <c r="W56" s="295" t="str">
        <f>IF(E56="","",IF(AND(V56="Standard difficulty applied",O56&gt;P56),U56,IF(AND(V56="Low Difficulty - only applicable if all habitat created before losses ⚠",P56&gt;=O56),"Low",VLOOKUP(F56,'G-3 Multipliers'!$A$2:$E$134,4,FALSE))))</f>
        <v/>
      </c>
      <c r="X56" s="299" t="str">
        <f>IFERROR(IF(E56="","",VLOOKUP(W56,'G-3 Multipliers'!$P$2:$Q$6,2,FALSE)),"")</f>
        <v/>
      </c>
      <c r="Y56" s="303" t="str">
        <f t="shared" si="5"/>
        <v/>
      </c>
      <c r="Z56" s="52"/>
      <c r="AA56" s="51"/>
      <c r="AB56" s="104"/>
      <c r="AE56" s="40" t="str">
        <f t="shared" si="0"/>
        <v/>
      </c>
    </row>
    <row r="57" spans="1:31" ht="14" hidden="1">
      <c r="A57" s="35" t="str">
        <f>IFERROR(INDEX('G-8 Condition Look up'!$I$4:$I$135,MATCH(F57,'G-8 Condition Look up'!$A$4:$A$135,0)),"")</f>
        <v/>
      </c>
      <c r="B57" s="225">
        <v>47</v>
      </c>
      <c r="C57" s="232" t="str">
        <f>IFERROR(INDEX('G-1 All Habitats'!$AG$25:$AG$41,MATCH(D57,'G-1 All Habitats'!AF$25:AF$41,0)),"")</f>
        <v/>
      </c>
      <c r="D57" s="52"/>
      <c r="E57" s="57"/>
      <c r="F57" s="231" t="str">
        <f>IFERROR(INDEX('G-1 All Habitats'!$B$3:$B$135,MATCH(E57,'G-1 All Habitats'!$A$3:$A$135,0)),"")</f>
        <v/>
      </c>
      <c r="G57" s="51"/>
      <c r="H57" s="275" t="str">
        <f>IF(F57="","",VLOOKUP(F57,'G-1 All Habitats'!$B$2:$M$135,10,FALSE))</f>
        <v/>
      </c>
      <c r="I57" s="276" t="str">
        <f>IFERROR(VLOOKUP(H57,'G-1 All Habitats'!$V$3:$W$7,2,FALSE),"")</f>
        <v/>
      </c>
      <c r="J57" s="52"/>
      <c r="K57" s="276" t="str">
        <f>IFERROR(INDEX('G-8 Condition Look up'!$A$3:$H$135,MATCH(F57,'G-8 Condition Look up'!$A$3:$A$135,0),MATCH(J57,'G-8 Condition Look up'!$A$3:$H$3,0)),"")</f>
        <v/>
      </c>
      <c r="L57" s="52"/>
      <c r="M57" s="283" t="str">
        <f>IF(L57="","",IF(VLOOKUP(L57,'G-3 Multipliers'!$L$3:$N$6,2,FALSE)=0,"Spatial Data Missing",VLOOKUP(L57,'G-3 Multipliers'!$L$3:$N$6,2,FALSE)))</f>
        <v/>
      </c>
      <c r="N57" s="281" t="str">
        <f>IF(L57="","",IF(VLOOKUP(L57,'G-3 Multipliers'!$L$3:$N$6,3,FALSE)=0,"Spatial Data Missing",VLOOKUP(L57,'G-3 Multipliers'!$L$3:$N$6,3,FALSE)))</f>
        <v/>
      </c>
      <c r="O57" s="275" t="str">
        <f t="shared" si="1"/>
        <v/>
      </c>
      <c r="P57" s="58"/>
      <c r="Q57" s="58"/>
      <c r="R57" s="283" t="str">
        <f t="shared" si="2"/>
        <v/>
      </c>
      <c r="S57" s="296" t="str">
        <f t="shared" si="3"/>
        <v/>
      </c>
      <c r="T57" s="297" t="str">
        <f>IFERROR(IF(S57="Check Data ⚠","Check Data ⚠",VLOOKUP(S57,'G-4 Temporal multipliers'!$A$4:$C$37,3,FALSE)),"")</f>
        <v/>
      </c>
      <c r="U57" s="298" t="str">
        <f>IF(F57="","",VLOOKUP(F57,'G-3 Multipliers'!$A$2:$E$134,2,FALSE))</f>
        <v/>
      </c>
      <c r="V57" s="295" t="str">
        <f t="shared" si="4"/>
        <v/>
      </c>
      <c r="W57" s="295" t="str">
        <f>IF(E57="","",IF(AND(V57="Standard difficulty applied",O57&gt;P57),U57,IF(AND(V57="Low Difficulty - only applicable if all habitat created before losses ⚠",P57&gt;=O57),"Low",VLOOKUP(F57,'G-3 Multipliers'!$A$2:$E$134,4,FALSE))))</f>
        <v/>
      </c>
      <c r="X57" s="299" t="str">
        <f>IFERROR(IF(E57="","",VLOOKUP(W57,'G-3 Multipliers'!$P$2:$Q$6,2,FALSE)),"")</f>
        <v/>
      </c>
      <c r="Y57" s="303" t="str">
        <f t="shared" si="5"/>
        <v/>
      </c>
      <c r="Z57" s="52"/>
      <c r="AA57" s="51"/>
      <c r="AB57" s="104"/>
      <c r="AE57" s="40" t="str">
        <f t="shared" si="0"/>
        <v/>
      </c>
    </row>
    <row r="58" spans="1:31" ht="14" hidden="1">
      <c r="A58" s="35" t="str">
        <f>IFERROR(INDEX('G-8 Condition Look up'!$I$4:$I$135,MATCH(F58,'G-8 Condition Look up'!$A$4:$A$135,0)),"")</f>
        <v/>
      </c>
      <c r="B58" s="225">
        <v>48</v>
      </c>
      <c r="C58" s="232" t="str">
        <f>IFERROR(INDEX('G-1 All Habitats'!$AG$25:$AG$41,MATCH(D58,'G-1 All Habitats'!AF$25:AF$41,0)),"")</f>
        <v/>
      </c>
      <c r="D58" s="52"/>
      <c r="E58" s="57"/>
      <c r="F58" s="231" t="str">
        <f>IFERROR(INDEX('G-1 All Habitats'!$B$3:$B$135,MATCH(E58,'G-1 All Habitats'!$A$3:$A$135,0)),"")</f>
        <v/>
      </c>
      <c r="G58" s="51"/>
      <c r="H58" s="275" t="str">
        <f>IF(F58="","",VLOOKUP(F58,'G-1 All Habitats'!$B$2:$M$135,10,FALSE))</f>
        <v/>
      </c>
      <c r="I58" s="276" t="str">
        <f>IFERROR(VLOOKUP(H58,'G-1 All Habitats'!$V$3:$W$7,2,FALSE),"")</f>
        <v/>
      </c>
      <c r="J58" s="52"/>
      <c r="K58" s="276" t="str">
        <f>IFERROR(INDEX('G-8 Condition Look up'!$A$3:$H$135,MATCH(F58,'G-8 Condition Look up'!$A$3:$A$135,0),MATCH(J58,'G-8 Condition Look up'!$A$3:$H$3,0)),"")</f>
        <v/>
      </c>
      <c r="L58" s="52"/>
      <c r="M58" s="283" t="str">
        <f>IF(L58="","",IF(VLOOKUP(L58,'G-3 Multipliers'!$L$3:$N$6,2,FALSE)=0,"Spatial Data Missing",VLOOKUP(L58,'G-3 Multipliers'!$L$3:$N$6,2,FALSE)))</f>
        <v/>
      </c>
      <c r="N58" s="281" t="str">
        <f>IF(L58="","",IF(VLOOKUP(L58,'G-3 Multipliers'!$L$3:$N$6,3,FALSE)=0,"Spatial Data Missing",VLOOKUP(L58,'G-3 Multipliers'!$L$3:$N$6,3,FALSE)))</f>
        <v/>
      </c>
      <c r="O58" s="275" t="str">
        <f t="shared" si="1"/>
        <v/>
      </c>
      <c r="P58" s="58"/>
      <c r="Q58" s="58"/>
      <c r="R58" s="283" t="str">
        <f t="shared" si="2"/>
        <v/>
      </c>
      <c r="S58" s="296" t="str">
        <f t="shared" si="3"/>
        <v/>
      </c>
      <c r="T58" s="297" t="str">
        <f>IFERROR(IF(S58="Check Data ⚠","Check Data ⚠",VLOOKUP(S58,'G-4 Temporal multipliers'!$A$4:$C$37,3,FALSE)),"")</f>
        <v/>
      </c>
      <c r="U58" s="298" t="str">
        <f>IF(F58="","",VLOOKUP(F58,'G-3 Multipliers'!$A$2:$E$134,2,FALSE))</f>
        <v/>
      </c>
      <c r="V58" s="295" t="str">
        <f t="shared" si="4"/>
        <v/>
      </c>
      <c r="W58" s="295" t="str">
        <f>IF(E58="","",IF(AND(V58="Standard difficulty applied",O58&gt;P58),U58,IF(AND(V58="Low Difficulty - only applicable if all habitat created before losses ⚠",P58&gt;=O58),"Low",VLOOKUP(F58,'G-3 Multipliers'!$A$2:$E$134,4,FALSE))))</f>
        <v/>
      </c>
      <c r="X58" s="299" t="str">
        <f>IFERROR(IF(E58="","",VLOOKUP(W58,'G-3 Multipliers'!$P$2:$Q$6,2,FALSE)),"")</f>
        <v/>
      </c>
      <c r="Y58" s="303" t="str">
        <f t="shared" si="5"/>
        <v/>
      </c>
      <c r="Z58" s="52"/>
      <c r="AA58" s="51"/>
      <c r="AB58" s="104"/>
      <c r="AE58" s="40" t="str">
        <f t="shared" si="0"/>
        <v/>
      </c>
    </row>
    <row r="59" spans="1:31" ht="14" hidden="1">
      <c r="A59" s="35" t="str">
        <f>IFERROR(INDEX('G-8 Condition Look up'!$I$4:$I$135,MATCH(F59,'G-8 Condition Look up'!$A$4:$A$135,0)),"")</f>
        <v/>
      </c>
      <c r="B59" s="225">
        <v>49</v>
      </c>
      <c r="C59" s="232" t="str">
        <f>IFERROR(INDEX('G-1 All Habitats'!$AG$25:$AG$41,MATCH(D59,'G-1 All Habitats'!AF$25:AF$41,0)),"")</f>
        <v/>
      </c>
      <c r="D59" s="52"/>
      <c r="E59" s="57"/>
      <c r="F59" s="231" t="str">
        <f>IFERROR(INDEX('G-1 All Habitats'!$B$3:$B$135,MATCH(E59,'G-1 All Habitats'!$A$3:$A$135,0)),"")</f>
        <v/>
      </c>
      <c r="G59" s="51"/>
      <c r="H59" s="275" t="str">
        <f>IF(F59="","",VLOOKUP(F59,'G-1 All Habitats'!$B$2:$M$135,10,FALSE))</f>
        <v/>
      </c>
      <c r="I59" s="276" t="str">
        <f>IFERROR(VLOOKUP(H59,'G-1 All Habitats'!$V$3:$W$7,2,FALSE),"")</f>
        <v/>
      </c>
      <c r="J59" s="52"/>
      <c r="K59" s="276" t="str">
        <f>IFERROR(INDEX('G-8 Condition Look up'!$A$3:$H$135,MATCH(F59,'G-8 Condition Look up'!$A$3:$A$135,0),MATCH(J59,'G-8 Condition Look up'!$A$3:$H$3,0)),"")</f>
        <v/>
      </c>
      <c r="L59" s="52"/>
      <c r="M59" s="283" t="str">
        <f>IF(L59="","",IF(VLOOKUP(L59,'G-3 Multipliers'!$L$3:$N$6,2,FALSE)=0,"Spatial Data Missing",VLOOKUP(L59,'G-3 Multipliers'!$L$3:$N$6,2,FALSE)))</f>
        <v/>
      </c>
      <c r="N59" s="281" t="str">
        <f>IF(L59="","",IF(VLOOKUP(L59,'G-3 Multipliers'!$L$3:$N$6,3,FALSE)=0,"Spatial Data Missing",VLOOKUP(L59,'G-3 Multipliers'!$L$3:$N$6,3,FALSE)))</f>
        <v/>
      </c>
      <c r="O59" s="275" t="str">
        <f t="shared" si="1"/>
        <v/>
      </c>
      <c r="P59" s="58"/>
      <c r="Q59" s="58"/>
      <c r="R59" s="283" t="str">
        <f t="shared" si="2"/>
        <v/>
      </c>
      <c r="S59" s="296" t="str">
        <f t="shared" si="3"/>
        <v/>
      </c>
      <c r="T59" s="297" t="str">
        <f>IFERROR(IF(S59="Check Data ⚠","Check Data ⚠",VLOOKUP(S59,'G-4 Temporal multipliers'!$A$4:$C$37,3,FALSE)),"")</f>
        <v/>
      </c>
      <c r="U59" s="298" t="str">
        <f>IF(F59="","",VLOOKUP(F59,'G-3 Multipliers'!$A$2:$E$134,2,FALSE))</f>
        <v/>
      </c>
      <c r="V59" s="295" t="str">
        <f t="shared" si="4"/>
        <v/>
      </c>
      <c r="W59" s="295" t="str">
        <f>IF(E59="","",IF(AND(V59="Standard difficulty applied",O59&gt;P59),U59,IF(AND(V59="Low Difficulty - only applicable if all habitat created before losses ⚠",P59&gt;=O59),"Low",VLOOKUP(F59,'G-3 Multipliers'!$A$2:$E$134,4,FALSE))))</f>
        <v/>
      </c>
      <c r="X59" s="299" t="str">
        <f>IFERROR(IF(E59="","",VLOOKUP(W59,'G-3 Multipliers'!$P$2:$Q$6,2,FALSE)),"")</f>
        <v/>
      </c>
      <c r="Y59" s="303" t="str">
        <f t="shared" si="5"/>
        <v/>
      </c>
      <c r="Z59" s="52"/>
      <c r="AA59" s="51"/>
      <c r="AB59" s="104"/>
      <c r="AE59" s="40" t="str">
        <f t="shared" si="0"/>
        <v/>
      </c>
    </row>
    <row r="60" spans="1:31" ht="14" hidden="1">
      <c r="A60" s="35" t="str">
        <f>IFERROR(INDEX('G-8 Condition Look up'!$I$4:$I$135,MATCH(F60,'G-8 Condition Look up'!$A$4:$A$135,0)),"")</f>
        <v/>
      </c>
      <c r="B60" s="225">
        <v>50</v>
      </c>
      <c r="C60" s="232" t="str">
        <f>IFERROR(INDEX('G-1 All Habitats'!$AG$25:$AG$41,MATCH(D60,'G-1 All Habitats'!AF$25:AF$41,0)),"")</f>
        <v/>
      </c>
      <c r="D60" s="52"/>
      <c r="E60" s="57"/>
      <c r="F60" s="231" t="str">
        <f>IFERROR(INDEX('G-1 All Habitats'!$B$3:$B$135,MATCH(E60,'G-1 All Habitats'!$A$3:$A$135,0)),"")</f>
        <v/>
      </c>
      <c r="G60" s="51"/>
      <c r="H60" s="275" t="str">
        <f>IF(F60="","",VLOOKUP(F60,'G-1 All Habitats'!$B$2:$M$135,10,FALSE))</f>
        <v/>
      </c>
      <c r="I60" s="276" t="str">
        <f>IFERROR(VLOOKUP(H60,'G-1 All Habitats'!$V$3:$W$7,2,FALSE),"")</f>
        <v/>
      </c>
      <c r="J60" s="52"/>
      <c r="K60" s="276" t="str">
        <f>IFERROR(INDEX('G-8 Condition Look up'!$A$3:$H$135,MATCH(F60,'G-8 Condition Look up'!$A$3:$A$135,0),MATCH(J60,'G-8 Condition Look up'!$A$3:$H$3,0)),"")</f>
        <v/>
      </c>
      <c r="L60" s="52"/>
      <c r="M60" s="283" t="str">
        <f>IF(L60="","",IF(VLOOKUP(L60,'G-3 Multipliers'!$L$3:$N$6,2,FALSE)=0,"Spatial Data Missing",VLOOKUP(L60,'G-3 Multipliers'!$L$3:$N$6,2,FALSE)))</f>
        <v/>
      </c>
      <c r="N60" s="281" t="str">
        <f>IF(L60="","",IF(VLOOKUP(L60,'G-3 Multipliers'!$L$3:$N$6,3,FALSE)=0,"Spatial Data Missing",VLOOKUP(L60,'G-3 Multipliers'!$L$3:$N$6,3,FALSE)))</f>
        <v/>
      </c>
      <c r="O60" s="275" t="str">
        <f t="shared" si="1"/>
        <v/>
      </c>
      <c r="P60" s="58"/>
      <c r="Q60" s="58"/>
      <c r="R60" s="283" t="str">
        <f t="shared" si="2"/>
        <v/>
      </c>
      <c r="S60" s="296" t="str">
        <f t="shared" si="3"/>
        <v/>
      </c>
      <c r="T60" s="297" t="str">
        <f>IFERROR(IF(S60="Check Data ⚠","Check Data ⚠",VLOOKUP(S60,'G-4 Temporal multipliers'!$A$4:$C$37,3,FALSE)),"")</f>
        <v/>
      </c>
      <c r="U60" s="298" t="str">
        <f>IF(F60="","",VLOOKUP(F60,'G-3 Multipliers'!$A$2:$E$134,2,FALSE))</f>
        <v/>
      </c>
      <c r="V60" s="295" t="str">
        <f t="shared" si="4"/>
        <v/>
      </c>
      <c r="W60" s="295" t="str">
        <f>IF(E60="","",IF(AND(V60="Standard difficulty applied",O60&gt;P60),U60,IF(AND(V60="Low Difficulty - only applicable if all habitat created before losses ⚠",P60&gt;=O60),"Low",VLOOKUP(F60,'G-3 Multipliers'!$A$2:$E$134,4,FALSE))))</f>
        <v/>
      </c>
      <c r="X60" s="299" t="str">
        <f>IFERROR(IF(E60="","",VLOOKUP(W60,'G-3 Multipliers'!$P$2:$Q$6,2,FALSE)),"")</f>
        <v/>
      </c>
      <c r="Y60" s="303" t="str">
        <f t="shared" si="5"/>
        <v/>
      </c>
      <c r="Z60" s="52"/>
      <c r="AA60" s="51"/>
      <c r="AB60" s="104"/>
      <c r="AE60" s="40" t="str">
        <f t="shared" si="0"/>
        <v/>
      </c>
    </row>
    <row r="61" spans="1:31" ht="14" hidden="1">
      <c r="A61" s="35" t="str">
        <f>IFERROR(INDEX('G-8 Condition Look up'!$I$4:$I$135,MATCH(F61,'G-8 Condition Look up'!$A$4:$A$135,0)),"")</f>
        <v/>
      </c>
      <c r="B61" s="225">
        <v>51</v>
      </c>
      <c r="C61" s="232" t="str">
        <f>IFERROR(INDEX('G-1 All Habitats'!$AG$25:$AG$41,MATCH(D61,'G-1 All Habitats'!AF$25:AF$41,0)),"")</f>
        <v/>
      </c>
      <c r="D61" s="52"/>
      <c r="E61" s="57"/>
      <c r="F61" s="231" t="str">
        <f>IFERROR(INDEX('G-1 All Habitats'!$B$3:$B$135,MATCH(E61,'G-1 All Habitats'!$A$3:$A$135,0)),"")</f>
        <v/>
      </c>
      <c r="G61" s="51"/>
      <c r="H61" s="275" t="str">
        <f>IF(F61="","",VLOOKUP(F61,'G-1 All Habitats'!$B$2:$M$135,10,FALSE))</f>
        <v/>
      </c>
      <c r="I61" s="276" t="str">
        <f>IFERROR(VLOOKUP(H61,'G-1 All Habitats'!$V$3:$W$7,2,FALSE),"")</f>
        <v/>
      </c>
      <c r="J61" s="52"/>
      <c r="K61" s="276" t="str">
        <f>IFERROR(INDEX('G-8 Condition Look up'!$A$3:$H$135,MATCH(F61,'G-8 Condition Look up'!$A$3:$A$135,0),MATCH(J61,'G-8 Condition Look up'!$A$3:$H$3,0)),"")</f>
        <v/>
      </c>
      <c r="L61" s="52"/>
      <c r="M61" s="283" t="str">
        <f>IF(L61="","",IF(VLOOKUP(L61,'G-3 Multipliers'!$L$3:$N$6,2,FALSE)=0,"Spatial Data Missing",VLOOKUP(L61,'G-3 Multipliers'!$L$3:$N$6,2,FALSE)))</f>
        <v/>
      </c>
      <c r="N61" s="281" t="str">
        <f>IF(L61="","",IF(VLOOKUP(L61,'G-3 Multipliers'!$L$3:$N$6,3,FALSE)=0,"Spatial Data Missing",VLOOKUP(L61,'G-3 Multipliers'!$L$3:$N$6,3,FALSE)))</f>
        <v/>
      </c>
      <c r="O61" s="275" t="str">
        <f t="shared" si="1"/>
        <v/>
      </c>
      <c r="P61" s="58"/>
      <c r="Q61" s="58"/>
      <c r="R61" s="283" t="str">
        <f t="shared" si="2"/>
        <v/>
      </c>
      <c r="S61" s="296" t="str">
        <f t="shared" si="3"/>
        <v/>
      </c>
      <c r="T61" s="297" t="str">
        <f>IFERROR(IF(S61="Check Data ⚠","Check Data ⚠",VLOOKUP(S61,'G-4 Temporal multipliers'!$A$4:$C$37,3,FALSE)),"")</f>
        <v/>
      </c>
      <c r="U61" s="298" t="str">
        <f>IF(F61="","",VLOOKUP(F61,'G-3 Multipliers'!$A$2:$E$134,2,FALSE))</f>
        <v/>
      </c>
      <c r="V61" s="295" t="str">
        <f t="shared" si="4"/>
        <v/>
      </c>
      <c r="W61" s="295" t="str">
        <f>IF(E61="","",IF(AND(V61="Standard difficulty applied",O61&gt;P61),U61,IF(AND(V61="Low Difficulty - only applicable if all habitat created before losses ⚠",P61&gt;=O61),"Low",VLOOKUP(F61,'G-3 Multipliers'!$A$2:$E$134,4,FALSE))))</f>
        <v/>
      </c>
      <c r="X61" s="299" t="str">
        <f>IFERROR(IF(E61="","",VLOOKUP(W61,'G-3 Multipliers'!$P$2:$Q$6,2,FALSE)),"")</f>
        <v/>
      </c>
      <c r="Y61" s="303" t="str">
        <f t="shared" si="5"/>
        <v/>
      </c>
      <c r="Z61" s="52"/>
      <c r="AA61" s="51"/>
      <c r="AB61" s="104"/>
      <c r="AE61" s="40" t="str">
        <f t="shared" si="0"/>
        <v/>
      </c>
    </row>
    <row r="62" spans="1:31" ht="14" hidden="1">
      <c r="A62" s="35" t="str">
        <f>IFERROR(INDEX('G-8 Condition Look up'!$I$4:$I$135,MATCH(F62,'G-8 Condition Look up'!$A$4:$A$135,0)),"")</f>
        <v/>
      </c>
      <c r="B62" s="225">
        <v>52</v>
      </c>
      <c r="C62" s="232" t="str">
        <f>IFERROR(INDEX('G-1 All Habitats'!$AG$25:$AG$41,MATCH(D62,'G-1 All Habitats'!AF$25:AF$41,0)),"")</f>
        <v/>
      </c>
      <c r="D62" s="52"/>
      <c r="E62" s="57"/>
      <c r="F62" s="231" t="str">
        <f>IFERROR(INDEX('G-1 All Habitats'!$B$3:$B$135,MATCH(E62,'G-1 All Habitats'!$A$3:$A$135,0)),"")</f>
        <v/>
      </c>
      <c r="G62" s="51"/>
      <c r="H62" s="275" t="str">
        <f>IF(F62="","",VLOOKUP(F62,'G-1 All Habitats'!$B$2:$M$135,10,FALSE))</f>
        <v/>
      </c>
      <c r="I62" s="276" t="str">
        <f>IFERROR(VLOOKUP(H62,'G-1 All Habitats'!$V$3:$W$7,2,FALSE),"")</f>
        <v/>
      </c>
      <c r="J62" s="52"/>
      <c r="K62" s="276" t="str">
        <f>IFERROR(INDEX('G-8 Condition Look up'!$A$3:$H$135,MATCH(F62,'G-8 Condition Look up'!$A$3:$A$135,0),MATCH(J62,'G-8 Condition Look up'!$A$3:$H$3,0)),"")</f>
        <v/>
      </c>
      <c r="L62" s="52"/>
      <c r="M62" s="283" t="str">
        <f>IF(L62="","",IF(VLOOKUP(L62,'G-3 Multipliers'!$L$3:$N$6,2,FALSE)=0,"Spatial Data Missing",VLOOKUP(L62,'G-3 Multipliers'!$L$3:$N$6,2,FALSE)))</f>
        <v/>
      </c>
      <c r="N62" s="281" t="str">
        <f>IF(L62="","",IF(VLOOKUP(L62,'G-3 Multipliers'!$L$3:$N$6,3,FALSE)=0,"Spatial Data Missing",VLOOKUP(L62,'G-3 Multipliers'!$L$3:$N$6,3,FALSE)))</f>
        <v/>
      </c>
      <c r="O62" s="275" t="str">
        <f t="shared" si="1"/>
        <v/>
      </c>
      <c r="P62" s="58"/>
      <c r="Q62" s="58"/>
      <c r="R62" s="283" t="str">
        <f t="shared" si="2"/>
        <v/>
      </c>
      <c r="S62" s="296" t="str">
        <f t="shared" si="3"/>
        <v/>
      </c>
      <c r="T62" s="297" t="str">
        <f>IFERROR(IF(S62="Check Data ⚠","Check Data ⚠",VLOOKUP(S62,'G-4 Temporal multipliers'!$A$4:$C$37,3,FALSE)),"")</f>
        <v/>
      </c>
      <c r="U62" s="298" t="str">
        <f>IF(F62="","",VLOOKUP(F62,'G-3 Multipliers'!$A$2:$E$134,2,FALSE))</f>
        <v/>
      </c>
      <c r="V62" s="295" t="str">
        <f t="shared" si="4"/>
        <v/>
      </c>
      <c r="W62" s="295" t="str">
        <f>IF(E62="","",IF(AND(V62="Standard difficulty applied",O62&gt;P62),U62,IF(AND(V62="Low Difficulty - only applicable if all habitat created before losses ⚠",P62&gt;=O62),"Low",VLOOKUP(F62,'G-3 Multipliers'!$A$2:$E$134,4,FALSE))))</f>
        <v/>
      </c>
      <c r="X62" s="299" t="str">
        <f>IFERROR(IF(E62="","",VLOOKUP(W62,'G-3 Multipliers'!$P$2:$Q$6,2,FALSE)),"")</f>
        <v/>
      </c>
      <c r="Y62" s="303" t="str">
        <f t="shared" si="5"/>
        <v/>
      </c>
      <c r="Z62" s="52"/>
      <c r="AA62" s="51"/>
      <c r="AB62" s="104"/>
      <c r="AE62" s="40" t="str">
        <f t="shared" si="0"/>
        <v/>
      </c>
    </row>
    <row r="63" spans="1:31" ht="14" hidden="1">
      <c r="A63" s="35" t="str">
        <f>IFERROR(INDEX('G-8 Condition Look up'!$I$4:$I$135,MATCH(F63,'G-8 Condition Look up'!$A$4:$A$135,0)),"")</f>
        <v/>
      </c>
      <c r="B63" s="225">
        <v>53</v>
      </c>
      <c r="C63" s="232" t="str">
        <f>IFERROR(INDEX('G-1 All Habitats'!$AG$25:$AG$41,MATCH(D63,'G-1 All Habitats'!AF$25:AF$41,0)),"")</f>
        <v/>
      </c>
      <c r="D63" s="52"/>
      <c r="E63" s="57"/>
      <c r="F63" s="231" t="str">
        <f>IFERROR(INDEX('G-1 All Habitats'!$B$3:$B$135,MATCH(E63,'G-1 All Habitats'!$A$3:$A$135,0)),"")</f>
        <v/>
      </c>
      <c r="G63" s="51"/>
      <c r="H63" s="275" t="str">
        <f>IF(F63="","",VLOOKUP(F63,'G-1 All Habitats'!$B$2:$M$135,10,FALSE))</f>
        <v/>
      </c>
      <c r="I63" s="276" t="str">
        <f>IFERROR(VLOOKUP(H63,'G-1 All Habitats'!$V$3:$W$7,2,FALSE),"")</f>
        <v/>
      </c>
      <c r="J63" s="52"/>
      <c r="K63" s="276" t="str">
        <f>IFERROR(INDEX('G-8 Condition Look up'!$A$3:$H$135,MATCH(F63,'G-8 Condition Look up'!$A$3:$A$135,0),MATCH(J63,'G-8 Condition Look up'!$A$3:$H$3,0)),"")</f>
        <v/>
      </c>
      <c r="L63" s="52"/>
      <c r="M63" s="283" t="str">
        <f>IF(L63="","",IF(VLOOKUP(L63,'G-3 Multipliers'!$L$3:$N$6,2,FALSE)=0,"Spatial Data Missing",VLOOKUP(L63,'G-3 Multipliers'!$L$3:$N$6,2,FALSE)))</f>
        <v/>
      </c>
      <c r="N63" s="281" t="str">
        <f>IF(L63="","",IF(VLOOKUP(L63,'G-3 Multipliers'!$L$3:$N$6,3,FALSE)=0,"Spatial Data Missing",VLOOKUP(L63,'G-3 Multipliers'!$L$3:$N$6,3,FALSE)))</f>
        <v/>
      </c>
      <c r="O63" s="275" t="str">
        <f t="shared" si="1"/>
        <v/>
      </c>
      <c r="P63" s="58"/>
      <c r="Q63" s="58"/>
      <c r="R63" s="283" t="str">
        <f t="shared" si="2"/>
        <v/>
      </c>
      <c r="S63" s="296" t="str">
        <f t="shared" si="3"/>
        <v/>
      </c>
      <c r="T63" s="297" t="str">
        <f>IFERROR(IF(S63="Check Data ⚠","Check Data ⚠",VLOOKUP(S63,'G-4 Temporal multipliers'!$A$4:$C$37,3,FALSE)),"")</f>
        <v/>
      </c>
      <c r="U63" s="298" t="str">
        <f>IF(F63="","",VLOOKUP(F63,'G-3 Multipliers'!$A$2:$E$134,2,FALSE))</f>
        <v/>
      </c>
      <c r="V63" s="295" t="str">
        <f t="shared" si="4"/>
        <v/>
      </c>
      <c r="W63" s="295" t="str">
        <f>IF(E63="","",IF(AND(V63="Standard difficulty applied",O63&gt;P63),U63,IF(AND(V63="Low Difficulty - only applicable if all habitat created before losses ⚠",P63&gt;=O63),"Low",VLOOKUP(F63,'G-3 Multipliers'!$A$2:$E$134,4,FALSE))))</f>
        <v/>
      </c>
      <c r="X63" s="299" t="str">
        <f>IFERROR(IF(E63="","",VLOOKUP(W63,'G-3 Multipliers'!$P$2:$Q$6,2,FALSE)),"")</f>
        <v/>
      </c>
      <c r="Y63" s="303" t="str">
        <f t="shared" si="5"/>
        <v/>
      </c>
      <c r="Z63" s="52"/>
      <c r="AA63" s="51"/>
      <c r="AB63" s="104"/>
      <c r="AE63" s="40" t="str">
        <f t="shared" si="0"/>
        <v/>
      </c>
    </row>
    <row r="64" spans="1:31" ht="14" hidden="1">
      <c r="A64" s="35" t="str">
        <f>IFERROR(INDEX('G-8 Condition Look up'!$I$4:$I$135,MATCH(F64,'G-8 Condition Look up'!$A$4:$A$135,0)),"")</f>
        <v/>
      </c>
      <c r="B64" s="225">
        <v>54</v>
      </c>
      <c r="C64" s="232" t="str">
        <f>IFERROR(INDEX('G-1 All Habitats'!$AG$25:$AG$41,MATCH(D64,'G-1 All Habitats'!AF$25:AF$41,0)),"")</f>
        <v/>
      </c>
      <c r="D64" s="52"/>
      <c r="E64" s="57"/>
      <c r="F64" s="231" t="str">
        <f>IFERROR(INDEX('G-1 All Habitats'!$B$3:$B$135,MATCH(E64,'G-1 All Habitats'!$A$3:$A$135,0)),"")</f>
        <v/>
      </c>
      <c r="G64" s="51"/>
      <c r="H64" s="275" t="str">
        <f>IF(F64="","",VLOOKUP(F64,'G-1 All Habitats'!$B$2:$M$135,10,FALSE))</f>
        <v/>
      </c>
      <c r="I64" s="276" t="str">
        <f>IFERROR(VLOOKUP(H64,'G-1 All Habitats'!$V$3:$W$7,2,FALSE),"")</f>
        <v/>
      </c>
      <c r="J64" s="52"/>
      <c r="K64" s="276" t="str">
        <f>IFERROR(INDEX('G-8 Condition Look up'!$A$3:$H$135,MATCH(F64,'G-8 Condition Look up'!$A$3:$A$135,0),MATCH(J64,'G-8 Condition Look up'!$A$3:$H$3,0)),"")</f>
        <v/>
      </c>
      <c r="L64" s="52"/>
      <c r="M64" s="283" t="str">
        <f>IF(L64="","",IF(VLOOKUP(L64,'G-3 Multipliers'!$L$3:$N$6,2,FALSE)=0,"Spatial Data Missing",VLOOKUP(L64,'G-3 Multipliers'!$L$3:$N$6,2,FALSE)))</f>
        <v/>
      </c>
      <c r="N64" s="281" t="str">
        <f>IF(L64="","",IF(VLOOKUP(L64,'G-3 Multipliers'!$L$3:$N$6,3,FALSE)=0,"Spatial Data Missing",VLOOKUP(L64,'G-3 Multipliers'!$L$3:$N$6,3,FALSE)))</f>
        <v/>
      </c>
      <c r="O64" s="275" t="str">
        <f t="shared" si="1"/>
        <v/>
      </c>
      <c r="P64" s="58"/>
      <c r="Q64" s="58"/>
      <c r="R64" s="283" t="str">
        <f t="shared" si="2"/>
        <v/>
      </c>
      <c r="S64" s="296" t="str">
        <f t="shared" si="3"/>
        <v/>
      </c>
      <c r="T64" s="297" t="str">
        <f>IFERROR(IF(S64="Check Data ⚠","Check Data ⚠",VLOOKUP(S64,'G-4 Temporal multipliers'!$A$4:$C$37,3,FALSE)),"")</f>
        <v/>
      </c>
      <c r="U64" s="298" t="str">
        <f>IF(F64="","",VLOOKUP(F64,'G-3 Multipliers'!$A$2:$E$134,2,FALSE))</f>
        <v/>
      </c>
      <c r="V64" s="295" t="str">
        <f t="shared" si="4"/>
        <v/>
      </c>
      <c r="W64" s="295" t="str">
        <f>IF(E64="","",IF(AND(V64="Standard difficulty applied",O64&gt;P64),U64,IF(AND(V64="Low Difficulty - only applicable if all habitat created before losses ⚠",P64&gt;=O64),"Low",VLOOKUP(F64,'G-3 Multipliers'!$A$2:$E$134,4,FALSE))))</f>
        <v/>
      </c>
      <c r="X64" s="299" t="str">
        <f>IFERROR(IF(E64="","",VLOOKUP(W64,'G-3 Multipliers'!$P$2:$Q$6,2,FALSE)),"")</f>
        <v/>
      </c>
      <c r="Y64" s="303" t="str">
        <f t="shared" si="5"/>
        <v/>
      </c>
      <c r="Z64" s="52"/>
      <c r="AA64" s="51"/>
      <c r="AB64" s="104"/>
      <c r="AE64" s="40" t="str">
        <f t="shared" si="0"/>
        <v/>
      </c>
    </row>
    <row r="65" spans="1:31" ht="14" hidden="1">
      <c r="A65" s="35" t="str">
        <f>IFERROR(INDEX('G-8 Condition Look up'!$I$4:$I$135,MATCH(F65,'G-8 Condition Look up'!$A$4:$A$135,0)),"")</f>
        <v/>
      </c>
      <c r="B65" s="225">
        <v>55</v>
      </c>
      <c r="C65" s="232" t="str">
        <f>IFERROR(INDEX('G-1 All Habitats'!$AG$25:$AG$41,MATCH(D65,'G-1 All Habitats'!AF$25:AF$41,0)),"")</f>
        <v/>
      </c>
      <c r="D65" s="52"/>
      <c r="E65" s="57"/>
      <c r="F65" s="231" t="str">
        <f>IFERROR(INDEX('G-1 All Habitats'!$B$3:$B$135,MATCH(E65,'G-1 All Habitats'!$A$3:$A$135,0)),"")</f>
        <v/>
      </c>
      <c r="G65" s="51"/>
      <c r="H65" s="275" t="str">
        <f>IF(F65="","",VLOOKUP(F65,'G-1 All Habitats'!$B$2:$M$135,10,FALSE))</f>
        <v/>
      </c>
      <c r="I65" s="276" t="str">
        <f>IFERROR(VLOOKUP(H65,'G-1 All Habitats'!$V$3:$W$7,2,FALSE),"")</f>
        <v/>
      </c>
      <c r="J65" s="52"/>
      <c r="K65" s="276" t="str">
        <f>IFERROR(INDEX('G-8 Condition Look up'!$A$3:$H$135,MATCH(F65,'G-8 Condition Look up'!$A$3:$A$135,0),MATCH(J65,'G-8 Condition Look up'!$A$3:$H$3,0)),"")</f>
        <v/>
      </c>
      <c r="L65" s="52"/>
      <c r="M65" s="283" t="str">
        <f>IF(L65="","",IF(VLOOKUP(L65,'G-3 Multipliers'!$L$3:$N$6,2,FALSE)=0,"Spatial Data Missing",VLOOKUP(L65,'G-3 Multipliers'!$L$3:$N$6,2,FALSE)))</f>
        <v/>
      </c>
      <c r="N65" s="281" t="str">
        <f>IF(L65="","",IF(VLOOKUP(L65,'G-3 Multipliers'!$L$3:$N$6,3,FALSE)=0,"Spatial Data Missing",VLOOKUP(L65,'G-3 Multipliers'!$L$3:$N$6,3,FALSE)))</f>
        <v/>
      </c>
      <c r="O65" s="275" t="str">
        <f t="shared" si="1"/>
        <v/>
      </c>
      <c r="P65" s="58"/>
      <c r="Q65" s="58"/>
      <c r="R65" s="283" t="str">
        <f t="shared" si="2"/>
        <v/>
      </c>
      <c r="S65" s="296" t="str">
        <f t="shared" si="3"/>
        <v/>
      </c>
      <c r="T65" s="297" t="str">
        <f>IFERROR(IF(S65="Check Data ⚠","Check Data ⚠",VLOOKUP(S65,'G-4 Temporal multipliers'!$A$4:$C$37,3,FALSE)),"")</f>
        <v/>
      </c>
      <c r="U65" s="298" t="str">
        <f>IF(F65="","",VLOOKUP(F65,'G-3 Multipliers'!$A$2:$E$134,2,FALSE))</f>
        <v/>
      </c>
      <c r="V65" s="295" t="str">
        <f t="shared" si="4"/>
        <v/>
      </c>
      <c r="W65" s="295" t="str">
        <f>IF(E65="","",IF(AND(V65="Standard difficulty applied",O65&gt;P65),U65,IF(AND(V65="Low Difficulty - only applicable if all habitat created before losses ⚠",P65&gt;=O65),"Low",VLOOKUP(F65,'G-3 Multipliers'!$A$2:$E$134,4,FALSE))))</f>
        <v/>
      </c>
      <c r="X65" s="299" t="str">
        <f>IFERROR(IF(E65="","",VLOOKUP(W65,'G-3 Multipliers'!$P$2:$Q$6,2,FALSE)),"")</f>
        <v/>
      </c>
      <c r="Y65" s="303" t="str">
        <f t="shared" si="5"/>
        <v/>
      </c>
      <c r="Z65" s="52"/>
      <c r="AA65" s="51"/>
      <c r="AB65" s="104"/>
      <c r="AE65" s="40" t="str">
        <f t="shared" si="0"/>
        <v/>
      </c>
    </row>
    <row r="66" spans="1:31" ht="14" hidden="1">
      <c r="A66" s="35" t="str">
        <f>IFERROR(INDEX('G-8 Condition Look up'!$I$4:$I$135,MATCH(F66,'G-8 Condition Look up'!$A$4:$A$135,0)),"")</f>
        <v/>
      </c>
      <c r="B66" s="225">
        <v>56</v>
      </c>
      <c r="C66" s="232" t="str">
        <f>IFERROR(INDEX('G-1 All Habitats'!$AG$25:$AG$41,MATCH(D66,'G-1 All Habitats'!AF$25:AF$41,0)),"")</f>
        <v/>
      </c>
      <c r="D66" s="52"/>
      <c r="E66" s="57"/>
      <c r="F66" s="231" t="str">
        <f>IFERROR(INDEX('G-1 All Habitats'!$B$3:$B$135,MATCH(E66,'G-1 All Habitats'!$A$3:$A$135,0)),"")</f>
        <v/>
      </c>
      <c r="G66" s="51"/>
      <c r="H66" s="275" t="str">
        <f>IF(F66="","",VLOOKUP(F66,'G-1 All Habitats'!$B$2:$M$135,10,FALSE))</f>
        <v/>
      </c>
      <c r="I66" s="276" t="str">
        <f>IFERROR(VLOOKUP(H66,'G-1 All Habitats'!$V$3:$W$7,2,FALSE),"")</f>
        <v/>
      </c>
      <c r="J66" s="52"/>
      <c r="K66" s="276" t="str">
        <f>IFERROR(INDEX('G-8 Condition Look up'!$A$3:$H$135,MATCH(F66,'G-8 Condition Look up'!$A$3:$A$135,0),MATCH(J66,'G-8 Condition Look up'!$A$3:$H$3,0)),"")</f>
        <v/>
      </c>
      <c r="L66" s="52"/>
      <c r="M66" s="283" t="str">
        <f>IF(L66="","",IF(VLOOKUP(L66,'G-3 Multipliers'!$L$3:$N$6,2,FALSE)=0,"Spatial Data Missing",VLOOKUP(L66,'G-3 Multipliers'!$L$3:$N$6,2,FALSE)))</f>
        <v/>
      </c>
      <c r="N66" s="281" t="str">
        <f>IF(L66="","",IF(VLOOKUP(L66,'G-3 Multipliers'!$L$3:$N$6,3,FALSE)=0,"Spatial Data Missing",VLOOKUP(L66,'G-3 Multipliers'!$L$3:$N$6,3,FALSE)))</f>
        <v/>
      </c>
      <c r="O66" s="275" t="str">
        <f t="shared" si="1"/>
        <v/>
      </c>
      <c r="P66" s="58"/>
      <c r="Q66" s="58"/>
      <c r="R66" s="283" t="str">
        <f t="shared" si="2"/>
        <v/>
      </c>
      <c r="S66" s="296" t="str">
        <f t="shared" si="3"/>
        <v/>
      </c>
      <c r="T66" s="297" t="str">
        <f>IFERROR(IF(S66="Check Data ⚠","Check Data ⚠",VLOOKUP(S66,'G-4 Temporal multipliers'!$A$4:$C$37,3,FALSE)),"")</f>
        <v/>
      </c>
      <c r="U66" s="298" t="str">
        <f>IF(F66="","",VLOOKUP(F66,'G-3 Multipliers'!$A$2:$E$134,2,FALSE))</f>
        <v/>
      </c>
      <c r="V66" s="295" t="str">
        <f t="shared" si="4"/>
        <v/>
      </c>
      <c r="W66" s="295" t="str">
        <f>IF(E66="","",IF(AND(V66="Standard difficulty applied",O66&gt;P66),U66,IF(AND(V66="Low Difficulty - only applicable if all habitat created before losses ⚠",P66&gt;=O66),"Low",VLOOKUP(F66,'G-3 Multipliers'!$A$2:$E$134,4,FALSE))))</f>
        <v/>
      </c>
      <c r="X66" s="299" t="str">
        <f>IFERROR(IF(E66="","",VLOOKUP(W66,'G-3 Multipliers'!$P$2:$Q$6,2,FALSE)),"")</f>
        <v/>
      </c>
      <c r="Y66" s="303" t="str">
        <f t="shared" si="5"/>
        <v/>
      </c>
      <c r="Z66" s="52"/>
      <c r="AA66" s="51"/>
      <c r="AB66" s="104"/>
      <c r="AE66" s="40" t="str">
        <f t="shared" si="0"/>
        <v/>
      </c>
    </row>
    <row r="67" spans="1:31" ht="14" hidden="1">
      <c r="A67" s="35" t="str">
        <f>IFERROR(INDEX('G-8 Condition Look up'!$I$4:$I$135,MATCH(F67,'G-8 Condition Look up'!$A$4:$A$135,0)),"")</f>
        <v/>
      </c>
      <c r="B67" s="225">
        <v>57</v>
      </c>
      <c r="C67" s="232" t="str">
        <f>IFERROR(INDEX('G-1 All Habitats'!$AG$25:$AG$41,MATCH(D67,'G-1 All Habitats'!AF$25:AF$41,0)),"")</f>
        <v/>
      </c>
      <c r="D67" s="52"/>
      <c r="E67" s="57"/>
      <c r="F67" s="231" t="str">
        <f>IFERROR(INDEX('G-1 All Habitats'!$B$3:$B$135,MATCH(E67,'G-1 All Habitats'!$A$3:$A$135,0)),"")</f>
        <v/>
      </c>
      <c r="G67" s="51"/>
      <c r="H67" s="275" t="str">
        <f>IF(F67="","",VLOOKUP(F67,'G-1 All Habitats'!$B$2:$M$135,10,FALSE))</f>
        <v/>
      </c>
      <c r="I67" s="276" t="str">
        <f>IFERROR(VLOOKUP(H67,'G-1 All Habitats'!$V$3:$W$7,2,FALSE),"")</f>
        <v/>
      </c>
      <c r="J67" s="52"/>
      <c r="K67" s="276" t="str">
        <f>IFERROR(INDEX('G-8 Condition Look up'!$A$3:$H$135,MATCH(F67,'G-8 Condition Look up'!$A$3:$A$135,0),MATCH(J67,'G-8 Condition Look up'!$A$3:$H$3,0)),"")</f>
        <v/>
      </c>
      <c r="L67" s="52"/>
      <c r="M67" s="283" t="str">
        <f>IF(L67="","",IF(VLOOKUP(L67,'G-3 Multipliers'!$L$3:$N$6,2,FALSE)=0,"Spatial Data Missing",VLOOKUP(L67,'G-3 Multipliers'!$L$3:$N$6,2,FALSE)))</f>
        <v/>
      </c>
      <c r="N67" s="281" t="str">
        <f>IF(L67="","",IF(VLOOKUP(L67,'G-3 Multipliers'!$L$3:$N$6,3,FALSE)=0,"Spatial Data Missing",VLOOKUP(L67,'G-3 Multipliers'!$L$3:$N$6,3,FALSE)))</f>
        <v/>
      </c>
      <c r="O67" s="275" t="str">
        <f t="shared" si="1"/>
        <v/>
      </c>
      <c r="P67" s="58"/>
      <c r="Q67" s="58"/>
      <c r="R67" s="283" t="str">
        <f t="shared" si="2"/>
        <v/>
      </c>
      <c r="S67" s="296" t="str">
        <f t="shared" si="3"/>
        <v/>
      </c>
      <c r="T67" s="297" t="str">
        <f>IFERROR(IF(S67="Check Data ⚠","Check Data ⚠",VLOOKUP(S67,'G-4 Temporal multipliers'!$A$4:$C$37,3,FALSE)),"")</f>
        <v/>
      </c>
      <c r="U67" s="298" t="str">
        <f>IF(F67="","",VLOOKUP(F67,'G-3 Multipliers'!$A$2:$E$134,2,FALSE))</f>
        <v/>
      </c>
      <c r="V67" s="295" t="str">
        <f t="shared" si="4"/>
        <v/>
      </c>
      <c r="W67" s="295" t="str">
        <f>IF(E67="","",IF(AND(V67="Standard difficulty applied",O67&gt;P67),U67,IF(AND(V67="Low Difficulty - only applicable if all habitat created before losses ⚠",P67&gt;=O67),"Low",VLOOKUP(F67,'G-3 Multipliers'!$A$2:$E$134,4,FALSE))))</f>
        <v/>
      </c>
      <c r="X67" s="299" t="str">
        <f>IFERROR(IF(E67="","",VLOOKUP(W67,'G-3 Multipliers'!$P$2:$Q$6,2,FALSE)),"")</f>
        <v/>
      </c>
      <c r="Y67" s="303" t="str">
        <f t="shared" si="5"/>
        <v/>
      </c>
      <c r="Z67" s="52"/>
      <c r="AA67" s="51"/>
      <c r="AB67" s="104"/>
      <c r="AE67" s="40" t="str">
        <f t="shared" si="0"/>
        <v/>
      </c>
    </row>
    <row r="68" spans="1:31" ht="14" hidden="1">
      <c r="A68" s="35" t="str">
        <f>IFERROR(INDEX('G-8 Condition Look up'!$I$4:$I$135,MATCH(F68,'G-8 Condition Look up'!$A$4:$A$135,0)),"")</f>
        <v/>
      </c>
      <c r="B68" s="225">
        <v>58</v>
      </c>
      <c r="C68" s="232" t="str">
        <f>IFERROR(INDEX('G-1 All Habitats'!$AG$25:$AG$41,MATCH(D68,'G-1 All Habitats'!AF$25:AF$41,0)),"")</f>
        <v/>
      </c>
      <c r="D68" s="52"/>
      <c r="E68" s="57"/>
      <c r="F68" s="231" t="str">
        <f>IFERROR(INDEX('G-1 All Habitats'!$B$3:$B$135,MATCH(E68,'G-1 All Habitats'!$A$3:$A$135,0)),"")</f>
        <v/>
      </c>
      <c r="G68" s="51"/>
      <c r="H68" s="275" t="str">
        <f>IF(F68="","",VLOOKUP(F68,'G-1 All Habitats'!$B$2:$M$135,10,FALSE))</f>
        <v/>
      </c>
      <c r="I68" s="276" t="str">
        <f>IFERROR(VLOOKUP(H68,'G-1 All Habitats'!$V$3:$W$7,2,FALSE),"")</f>
        <v/>
      </c>
      <c r="J68" s="52"/>
      <c r="K68" s="276" t="str">
        <f>IFERROR(INDEX('G-8 Condition Look up'!$A$3:$H$135,MATCH(F68,'G-8 Condition Look up'!$A$3:$A$135,0),MATCH(J68,'G-8 Condition Look up'!$A$3:$H$3,0)),"")</f>
        <v/>
      </c>
      <c r="L68" s="52"/>
      <c r="M68" s="283" t="str">
        <f>IF(L68="","",IF(VLOOKUP(L68,'G-3 Multipliers'!$L$3:$N$6,2,FALSE)=0,"Spatial Data Missing",VLOOKUP(L68,'G-3 Multipliers'!$L$3:$N$6,2,FALSE)))</f>
        <v/>
      </c>
      <c r="N68" s="281" t="str">
        <f>IF(L68="","",IF(VLOOKUP(L68,'G-3 Multipliers'!$L$3:$N$6,3,FALSE)=0,"Spatial Data Missing",VLOOKUP(L68,'G-3 Multipliers'!$L$3:$N$6,3,FALSE)))</f>
        <v/>
      </c>
      <c r="O68" s="275" t="str">
        <f t="shared" si="1"/>
        <v/>
      </c>
      <c r="P68" s="58"/>
      <c r="Q68" s="58"/>
      <c r="R68" s="283" t="str">
        <f t="shared" si="2"/>
        <v/>
      </c>
      <c r="S68" s="296" t="str">
        <f t="shared" si="3"/>
        <v/>
      </c>
      <c r="T68" s="297" t="str">
        <f>IFERROR(IF(S68="Check Data ⚠","Check Data ⚠",VLOOKUP(S68,'G-4 Temporal multipliers'!$A$4:$C$37,3,FALSE)),"")</f>
        <v/>
      </c>
      <c r="U68" s="298" t="str">
        <f>IF(F68="","",VLOOKUP(F68,'G-3 Multipliers'!$A$2:$E$134,2,FALSE))</f>
        <v/>
      </c>
      <c r="V68" s="295" t="str">
        <f t="shared" si="4"/>
        <v/>
      </c>
      <c r="W68" s="295" t="str">
        <f>IF(E68="","",IF(AND(V68="Standard difficulty applied",O68&gt;P68),U68,IF(AND(V68="Low Difficulty - only applicable if all habitat created before losses ⚠",P68&gt;=O68),"Low",VLOOKUP(F68,'G-3 Multipliers'!$A$2:$E$134,4,FALSE))))</f>
        <v/>
      </c>
      <c r="X68" s="299" t="str">
        <f>IFERROR(IF(E68="","",VLOOKUP(W68,'G-3 Multipliers'!$P$2:$Q$6,2,FALSE)),"")</f>
        <v/>
      </c>
      <c r="Y68" s="303" t="str">
        <f t="shared" si="5"/>
        <v/>
      </c>
      <c r="Z68" s="52"/>
      <c r="AA68" s="51"/>
      <c r="AB68" s="104"/>
      <c r="AE68" s="40" t="str">
        <f t="shared" si="0"/>
        <v/>
      </c>
    </row>
    <row r="69" spans="1:31" ht="14" hidden="1">
      <c r="A69" s="35" t="str">
        <f>IFERROR(INDEX('G-8 Condition Look up'!$I$4:$I$135,MATCH(F69,'G-8 Condition Look up'!$A$4:$A$135,0)),"")</f>
        <v/>
      </c>
      <c r="B69" s="225">
        <v>59</v>
      </c>
      <c r="C69" s="232" t="str">
        <f>IFERROR(INDEX('G-1 All Habitats'!$AG$25:$AG$41,MATCH(D69,'G-1 All Habitats'!AF$25:AF$41,0)),"")</f>
        <v/>
      </c>
      <c r="D69" s="52"/>
      <c r="E69" s="57"/>
      <c r="F69" s="231" t="str">
        <f>IFERROR(INDEX('G-1 All Habitats'!$B$3:$B$135,MATCH(E69,'G-1 All Habitats'!$A$3:$A$135,0)),"")</f>
        <v/>
      </c>
      <c r="G69" s="51"/>
      <c r="H69" s="275" t="str">
        <f>IF(F69="","",VLOOKUP(F69,'G-1 All Habitats'!$B$2:$M$135,10,FALSE))</f>
        <v/>
      </c>
      <c r="I69" s="276" t="str">
        <f>IFERROR(VLOOKUP(H69,'G-1 All Habitats'!$V$3:$W$7,2,FALSE),"")</f>
        <v/>
      </c>
      <c r="J69" s="52"/>
      <c r="K69" s="276" t="str">
        <f>IFERROR(INDEX('G-8 Condition Look up'!$A$3:$H$135,MATCH(F69,'G-8 Condition Look up'!$A$3:$A$135,0),MATCH(J69,'G-8 Condition Look up'!$A$3:$H$3,0)),"")</f>
        <v/>
      </c>
      <c r="L69" s="52"/>
      <c r="M69" s="283" t="str">
        <f>IF(L69="","",IF(VLOOKUP(L69,'G-3 Multipliers'!$L$3:$N$6,2,FALSE)=0,"Spatial Data Missing",VLOOKUP(L69,'G-3 Multipliers'!$L$3:$N$6,2,FALSE)))</f>
        <v/>
      </c>
      <c r="N69" s="281" t="str">
        <f>IF(L69="","",IF(VLOOKUP(L69,'G-3 Multipliers'!$L$3:$N$6,3,FALSE)=0,"Spatial Data Missing",VLOOKUP(L69,'G-3 Multipliers'!$L$3:$N$6,3,FALSE)))</f>
        <v/>
      </c>
      <c r="O69" s="275" t="str">
        <f t="shared" si="1"/>
        <v/>
      </c>
      <c r="P69" s="58"/>
      <c r="Q69" s="58"/>
      <c r="R69" s="283" t="str">
        <f t="shared" si="2"/>
        <v/>
      </c>
      <c r="S69" s="296" t="str">
        <f t="shared" si="3"/>
        <v/>
      </c>
      <c r="T69" s="297" t="str">
        <f>IFERROR(IF(S69="Check Data ⚠","Check Data ⚠",VLOOKUP(S69,'G-4 Temporal multipliers'!$A$4:$C$37,3,FALSE)),"")</f>
        <v/>
      </c>
      <c r="U69" s="298" t="str">
        <f>IF(F69="","",VLOOKUP(F69,'G-3 Multipliers'!$A$2:$E$134,2,FALSE))</f>
        <v/>
      </c>
      <c r="V69" s="295" t="str">
        <f t="shared" si="4"/>
        <v/>
      </c>
      <c r="W69" s="295" t="str">
        <f>IF(E69="","",IF(AND(V69="Standard difficulty applied",O69&gt;P69),U69,IF(AND(V69="Low Difficulty - only applicable if all habitat created before losses ⚠",P69&gt;=O69),"Low",VLOOKUP(F69,'G-3 Multipliers'!$A$2:$E$134,4,FALSE))))</f>
        <v/>
      </c>
      <c r="X69" s="299" t="str">
        <f>IFERROR(IF(E69="","",VLOOKUP(W69,'G-3 Multipliers'!$P$2:$Q$6,2,FALSE)),"")</f>
        <v/>
      </c>
      <c r="Y69" s="303" t="str">
        <f t="shared" si="5"/>
        <v/>
      </c>
      <c r="Z69" s="52"/>
      <c r="AA69" s="51"/>
      <c r="AB69" s="104"/>
      <c r="AE69" s="40" t="str">
        <f t="shared" si="0"/>
        <v/>
      </c>
    </row>
    <row r="70" spans="1:31" ht="14" hidden="1">
      <c r="A70" s="35" t="str">
        <f>IFERROR(INDEX('G-8 Condition Look up'!$I$4:$I$135,MATCH(F70,'G-8 Condition Look up'!$A$4:$A$135,0)),"")</f>
        <v/>
      </c>
      <c r="B70" s="225">
        <v>60</v>
      </c>
      <c r="C70" s="232" t="str">
        <f>IFERROR(INDEX('G-1 All Habitats'!$AG$25:$AG$41,MATCH(D70,'G-1 All Habitats'!AF$25:AF$41,0)),"")</f>
        <v/>
      </c>
      <c r="D70" s="52"/>
      <c r="E70" s="57"/>
      <c r="F70" s="231" t="str">
        <f>IFERROR(INDEX('G-1 All Habitats'!$B$3:$B$135,MATCH(E70,'G-1 All Habitats'!$A$3:$A$135,0)),"")</f>
        <v/>
      </c>
      <c r="G70" s="51"/>
      <c r="H70" s="275" t="str">
        <f>IF(F70="","",VLOOKUP(F70,'G-1 All Habitats'!$B$2:$M$135,10,FALSE))</f>
        <v/>
      </c>
      <c r="I70" s="276" t="str">
        <f>IFERROR(VLOOKUP(H70,'G-1 All Habitats'!$V$3:$W$7,2,FALSE),"")</f>
        <v/>
      </c>
      <c r="J70" s="52"/>
      <c r="K70" s="276" t="str">
        <f>IFERROR(INDEX('G-8 Condition Look up'!$A$3:$H$135,MATCH(F70,'G-8 Condition Look up'!$A$3:$A$135,0),MATCH(J70,'G-8 Condition Look up'!$A$3:$H$3,0)),"")</f>
        <v/>
      </c>
      <c r="L70" s="52"/>
      <c r="M70" s="283" t="str">
        <f>IF(L70="","",IF(VLOOKUP(L70,'G-3 Multipliers'!$L$3:$N$6,2,FALSE)=0,"Spatial Data Missing",VLOOKUP(L70,'G-3 Multipliers'!$L$3:$N$6,2,FALSE)))</f>
        <v/>
      </c>
      <c r="N70" s="281" t="str">
        <f>IF(L70="","",IF(VLOOKUP(L70,'G-3 Multipliers'!$L$3:$N$6,3,FALSE)=0,"Spatial Data Missing",VLOOKUP(L70,'G-3 Multipliers'!$L$3:$N$6,3,FALSE)))</f>
        <v/>
      </c>
      <c r="O70" s="275" t="str">
        <f t="shared" si="1"/>
        <v/>
      </c>
      <c r="P70" s="58"/>
      <c r="Q70" s="58"/>
      <c r="R70" s="283" t="str">
        <f t="shared" si="2"/>
        <v/>
      </c>
      <c r="S70" s="296" t="str">
        <f t="shared" si="3"/>
        <v/>
      </c>
      <c r="T70" s="297" t="str">
        <f>IFERROR(IF(S70="Check Data ⚠","Check Data ⚠",VLOOKUP(S70,'G-4 Temporal multipliers'!$A$4:$C$37,3,FALSE)),"")</f>
        <v/>
      </c>
      <c r="U70" s="298" t="str">
        <f>IF(F70="","",VLOOKUP(F70,'G-3 Multipliers'!$A$2:$E$134,2,FALSE))</f>
        <v/>
      </c>
      <c r="V70" s="295" t="str">
        <f t="shared" si="4"/>
        <v/>
      </c>
      <c r="W70" s="295" t="str">
        <f>IF(E70="","",IF(AND(V70="Standard difficulty applied",O70&gt;P70),U70,IF(AND(V70="Low Difficulty - only applicable if all habitat created before losses ⚠",P70&gt;=O70),"Low",VLOOKUP(F70,'G-3 Multipliers'!$A$2:$E$134,4,FALSE))))</f>
        <v/>
      </c>
      <c r="X70" s="299" t="str">
        <f>IFERROR(IF(E70="","",VLOOKUP(W70,'G-3 Multipliers'!$P$2:$Q$6,2,FALSE)),"")</f>
        <v/>
      </c>
      <c r="Y70" s="303" t="str">
        <f t="shared" si="5"/>
        <v/>
      </c>
      <c r="Z70" s="52"/>
      <c r="AA70" s="51"/>
      <c r="AB70" s="104"/>
      <c r="AE70" s="40" t="str">
        <f t="shared" si="0"/>
        <v/>
      </c>
    </row>
    <row r="71" spans="1:31" ht="14" hidden="1">
      <c r="A71" s="35" t="str">
        <f>IFERROR(INDEX('G-8 Condition Look up'!$I$4:$I$135,MATCH(F71,'G-8 Condition Look up'!$A$4:$A$135,0)),"")</f>
        <v/>
      </c>
      <c r="B71" s="225">
        <v>61</v>
      </c>
      <c r="C71" s="232" t="str">
        <f>IFERROR(INDEX('G-1 All Habitats'!$AG$25:$AG$41,MATCH(D71,'G-1 All Habitats'!AF$25:AF$41,0)),"")</f>
        <v/>
      </c>
      <c r="D71" s="52"/>
      <c r="E71" s="57"/>
      <c r="F71" s="231" t="str">
        <f>IFERROR(INDEX('G-1 All Habitats'!$B$3:$B$135,MATCH(E71,'G-1 All Habitats'!$A$3:$A$135,0)),"")</f>
        <v/>
      </c>
      <c r="G71" s="51"/>
      <c r="H71" s="275" t="str">
        <f>IF(F71="","",VLOOKUP(F71,'G-1 All Habitats'!$B$2:$M$135,10,FALSE))</f>
        <v/>
      </c>
      <c r="I71" s="276" t="str">
        <f>IFERROR(VLOOKUP(H71,'G-1 All Habitats'!$V$3:$W$7,2,FALSE),"")</f>
        <v/>
      </c>
      <c r="J71" s="52"/>
      <c r="K71" s="276" t="str">
        <f>IFERROR(INDEX('G-8 Condition Look up'!$A$3:$H$135,MATCH(F71,'G-8 Condition Look up'!$A$3:$A$135,0),MATCH(J71,'G-8 Condition Look up'!$A$3:$H$3,0)),"")</f>
        <v/>
      </c>
      <c r="L71" s="52"/>
      <c r="M71" s="283" t="str">
        <f>IF(L71="","",IF(VLOOKUP(L71,'G-3 Multipliers'!$L$3:$N$6,2,FALSE)=0,"Spatial Data Missing",VLOOKUP(L71,'G-3 Multipliers'!$L$3:$N$6,2,FALSE)))</f>
        <v/>
      </c>
      <c r="N71" s="281" t="str">
        <f>IF(L71="","",IF(VLOOKUP(L71,'G-3 Multipliers'!$L$3:$N$6,3,FALSE)=0,"Spatial Data Missing",VLOOKUP(L71,'G-3 Multipliers'!$L$3:$N$6,3,FALSE)))</f>
        <v/>
      </c>
      <c r="O71" s="275" t="str">
        <f t="shared" si="1"/>
        <v/>
      </c>
      <c r="P71" s="58"/>
      <c r="Q71" s="58"/>
      <c r="R71" s="283" t="str">
        <f t="shared" si="2"/>
        <v/>
      </c>
      <c r="S71" s="296" t="str">
        <f t="shared" si="3"/>
        <v/>
      </c>
      <c r="T71" s="297" t="str">
        <f>IFERROR(IF(S71="Check Data ⚠","Check Data ⚠",VLOOKUP(S71,'G-4 Temporal multipliers'!$A$4:$C$37,3,FALSE)),"")</f>
        <v/>
      </c>
      <c r="U71" s="298" t="str">
        <f>IF(F71="","",VLOOKUP(F71,'G-3 Multipliers'!$A$2:$E$134,2,FALSE))</f>
        <v/>
      </c>
      <c r="V71" s="295" t="str">
        <f t="shared" si="4"/>
        <v/>
      </c>
      <c r="W71" s="295" t="str">
        <f>IF(E71="","",IF(AND(V71="Standard difficulty applied",O71&gt;P71),U71,IF(AND(V71="Low Difficulty - only applicable if all habitat created before losses ⚠",P71&gt;=O71),"Low",VLOOKUP(F71,'G-3 Multipliers'!$A$2:$E$134,4,FALSE))))</f>
        <v/>
      </c>
      <c r="X71" s="299" t="str">
        <f>IFERROR(IF(E71="","",VLOOKUP(W71,'G-3 Multipliers'!$P$2:$Q$6,2,FALSE)),"")</f>
        <v/>
      </c>
      <c r="Y71" s="303" t="str">
        <f t="shared" si="5"/>
        <v/>
      </c>
      <c r="Z71" s="52"/>
      <c r="AA71" s="51"/>
      <c r="AB71" s="104"/>
      <c r="AE71" s="40" t="str">
        <f t="shared" si="0"/>
        <v/>
      </c>
    </row>
    <row r="72" spans="1:31" ht="14" hidden="1">
      <c r="A72" s="35" t="str">
        <f>IFERROR(INDEX('G-8 Condition Look up'!$I$4:$I$135,MATCH(F72,'G-8 Condition Look up'!$A$4:$A$135,0)),"")</f>
        <v/>
      </c>
      <c r="B72" s="225">
        <v>62</v>
      </c>
      <c r="C72" s="232" t="str">
        <f>IFERROR(INDEX('G-1 All Habitats'!$AG$25:$AG$41,MATCH(D72,'G-1 All Habitats'!AF$25:AF$41,0)),"")</f>
        <v/>
      </c>
      <c r="D72" s="52"/>
      <c r="E72" s="57"/>
      <c r="F72" s="231" t="str">
        <f>IFERROR(INDEX('G-1 All Habitats'!$B$3:$B$135,MATCH(E72,'G-1 All Habitats'!$A$3:$A$135,0)),"")</f>
        <v/>
      </c>
      <c r="G72" s="51"/>
      <c r="H72" s="275" t="str">
        <f>IF(F72="","",VLOOKUP(F72,'G-1 All Habitats'!$B$2:$M$135,10,FALSE))</f>
        <v/>
      </c>
      <c r="I72" s="276" t="str">
        <f>IFERROR(VLOOKUP(H72,'G-1 All Habitats'!$V$3:$W$7,2,FALSE),"")</f>
        <v/>
      </c>
      <c r="J72" s="52"/>
      <c r="K72" s="276" t="str">
        <f>IFERROR(INDEX('G-8 Condition Look up'!$A$3:$H$135,MATCH(F72,'G-8 Condition Look up'!$A$3:$A$135,0),MATCH(J72,'G-8 Condition Look up'!$A$3:$H$3,0)),"")</f>
        <v/>
      </c>
      <c r="L72" s="52"/>
      <c r="M72" s="283" t="str">
        <f>IF(L72="","",IF(VLOOKUP(L72,'G-3 Multipliers'!$L$3:$N$6,2,FALSE)=0,"Spatial Data Missing",VLOOKUP(L72,'G-3 Multipliers'!$L$3:$N$6,2,FALSE)))</f>
        <v/>
      </c>
      <c r="N72" s="281" t="str">
        <f>IF(L72="","",IF(VLOOKUP(L72,'G-3 Multipliers'!$L$3:$N$6,3,FALSE)=0,"Spatial Data Missing",VLOOKUP(L72,'G-3 Multipliers'!$L$3:$N$6,3,FALSE)))</f>
        <v/>
      </c>
      <c r="O72" s="275" t="str">
        <f t="shared" si="1"/>
        <v/>
      </c>
      <c r="P72" s="58"/>
      <c r="Q72" s="58"/>
      <c r="R72" s="283" t="str">
        <f t="shared" si="2"/>
        <v/>
      </c>
      <c r="S72" s="296" t="str">
        <f t="shared" si="3"/>
        <v/>
      </c>
      <c r="T72" s="297" t="str">
        <f>IFERROR(IF(S72="Check Data ⚠","Check Data ⚠",VLOOKUP(S72,'G-4 Temporal multipliers'!$A$4:$C$37,3,FALSE)),"")</f>
        <v/>
      </c>
      <c r="U72" s="298" t="str">
        <f>IF(F72="","",VLOOKUP(F72,'G-3 Multipliers'!$A$2:$E$134,2,FALSE))</f>
        <v/>
      </c>
      <c r="V72" s="295" t="str">
        <f t="shared" si="4"/>
        <v/>
      </c>
      <c r="W72" s="295" t="str">
        <f>IF(E72="","",IF(AND(V72="Standard difficulty applied",O72&gt;P72),U72,IF(AND(V72="Low Difficulty - only applicable if all habitat created before losses ⚠",P72&gt;=O72),"Low",VLOOKUP(F72,'G-3 Multipliers'!$A$2:$E$134,4,FALSE))))</f>
        <v/>
      </c>
      <c r="X72" s="299" t="str">
        <f>IFERROR(IF(E72="","",VLOOKUP(W72,'G-3 Multipliers'!$P$2:$Q$6,2,FALSE)),"")</f>
        <v/>
      </c>
      <c r="Y72" s="303" t="str">
        <f t="shared" si="5"/>
        <v/>
      </c>
      <c r="Z72" s="52"/>
      <c r="AA72" s="51"/>
      <c r="AB72" s="104"/>
      <c r="AE72" s="40" t="str">
        <f t="shared" si="0"/>
        <v/>
      </c>
    </row>
    <row r="73" spans="1:31" ht="14" hidden="1">
      <c r="A73" s="35" t="str">
        <f>IFERROR(INDEX('G-8 Condition Look up'!$I$4:$I$135,MATCH(F73,'G-8 Condition Look up'!$A$4:$A$135,0)),"")</f>
        <v/>
      </c>
      <c r="B73" s="225">
        <v>63</v>
      </c>
      <c r="C73" s="232" t="str">
        <f>IFERROR(INDEX('G-1 All Habitats'!$AG$25:$AG$41,MATCH(D73,'G-1 All Habitats'!AF$25:AF$41,0)),"")</f>
        <v/>
      </c>
      <c r="D73" s="52"/>
      <c r="E73" s="57"/>
      <c r="F73" s="231" t="str">
        <f>IFERROR(INDEX('G-1 All Habitats'!$B$3:$B$135,MATCH(E73,'G-1 All Habitats'!$A$3:$A$135,0)),"")</f>
        <v/>
      </c>
      <c r="G73" s="51"/>
      <c r="H73" s="275" t="str">
        <f>IF(F73="","",VLOOKUP(F73,'G-1 All Habitats'!$B$2:$M$135,10,FALSE))</f>
        <v/>
      </c>
      <c r="I73" s="276" t="str">
        <f>IFERROR(VLOOKUP(H73,'G-1 All Habitats'!$V$3:$W$7,2,FALSE),"")</f>
        <v/>
      </c>
      <c r="J73" s="52"/>
      <c r="K73" s="276" t="str">
        <f>IFERROR(INDEX('G-8 Condition Look up'!$A$3:$H$135,MATCH(F73,'G-8 Condition Look up'!$A$3:$A$135,0),MATCH(J73,'G-8 Condition Look up'!$A$3:$H$3,0)),"")</f>
        <v/>
      </c>
      <c r="L73" s="52"/>
      <c r="M73" s="283" t="str">
        <f>IF(L73="","",IF(VLOOKUP(L73,'G-3 Multipliers'!$L$3:$N$6,2,FALSE)=0,"Spatial Data Missing",VLOOKUP(L73,'G-3 Multipliers'!$L$3:$N$6,2,FALSE)))</f>
        <v/>
      </c>
      <c r="N73" s="281" t="str">
        <f>IF(L73="","",IF(VLOOKUP(L73,'G-3 Multipliers'!$L$3:$N$6,3,FALSE)=0,"Spatial Data Missing",VLOOKUP(L73,'G-3 Multipliers'!$L$3:$N$6,3,FALSE)))</f>
        <v/>
      </c>
      <c r="O73" s="275" t="str">
        <f t="shared" si="1"/>
        <v/>
      </c>
      <c r="P73" s="58"/>
      <c r="Q73" s="58"/>
      <c r="R73" s="283" t="str">
        <f t="shared" si="2"/>
        <v/>
      </c>
      <c r="S73" s="296" t="str">
        <f t="shared" si="3"/>
        <v/>
      </c>
      <c r="T73" s="297" t="str">
        <f>IFERROR(IF(S73="Check Data ⚠","Check Data ⚠",VLOOKUP(S73,'G-4 Temporal multipliers'!$A$4:$C$37,3,FALSE)),"")</f>
        <v/>
      </c>
      <c r="U73" s="298" t="str">
        <f>IF(F73="","",VLOOKUP(F73,'G-3 Multipliers'!$A$2:$E$134,2,FALSE))</f>
        <v/>
      </c>
      <c r="V73" s="295" t="str">
        <f t="shared" si="4"/>
        <v/>
      </c>
      <c r="W73" s="295" t="str">
        <f>IF(E73="","",IF(AND(V73="Standard difficulty applied",O73&gt;P73),U73,IF(AND(V73="Low Difficulty - only applicable if all habitat created before losses ⚠",P73&gt;=O73),"Low",VLOOKUP(F73,'G-3 Multipliers'!$A$2:$E$134,4,FALSE))))</f>
        <v/>
      </c>
      <c r="X73" s="299" t="str">
        <f>IFERROR(IF(E73="","",VLOOKUP(W73,'G-3 Multipliers'!$P$2:$Q$6,2,FALSE)),"")</f>
        <v/>
      </c>
      <c r="Y73" s="303" t="str">
        <f t="shared" si="5"/>
        <v/>
      </c>
      <c r="Z73" s="52"/>
      <c r="AA73" s="51"/>
      <c r="AB73" s="104"/>
      <c r="AE73" s="40" t="str">
        <f t="shared" si="0"/>
        <v/>
      </c>
    </row>
    <row r="74" spans="1:31" ht="14" hidden="1">
      <c r="A74" s="35" t="str">
        <f>IFERROR(INDEX('G-8 Condition Look up'!$I$4:$I$135,MATCH(F74,'G-8 Condition Look up'!$A$4:$A$135,0)),"")</f>
        <v/>
      </c>
      <c r="B74" s="225">
        <v>64</v>
      </c>
      <c r="C74" s="232" t="str">
        <f>IFERROR(INDEX('G-1 All Habitats'!$AG$25:$AG$41,MATCH(D74,'G-1 All Habitats'!AF$25:AF$41,0)),"")</f>
        <v/>
      </c>
      <c r="D74" s="52"/>
      <c r="E74" s="57"/>
      <c r="F74" s="231" t="str">
        <f>IFERROR(INDEX('G-1 All Habitats'!$B$3:$B$135,MATCH(E74,'G-1 All Habitats'!$A$3:$A$135,0)),"")</f>
        <v/>
      </c>
      <c r="G74" s="51"/>
      <c r="H74" s="275" t="str">
        <f>IF(F74="","",VLOOKUP(F74,'G-1 All Habitats'!$B$2:$M$135,10,FALSE))</f>
        <v/>
      </c>
      <c r="I74" s="276" t="str">
        <f>IFERROR(VLOOKUP(H74,'G-1 All Habitats'!$V$3:$W$7,2,FALSE),"")</f>
        <v/>
      </c>
      <c r="J74" s="52"/>
      <c r="K74" s="276" t="str">
        <f>IFERROR(INDEX('G-8 Condition Look up'!$A$3:$H$135,MATCH(F74,'G-8 Condition Look up'!$A$3:$A$135,0),MATCH(J74,'G-8 Condition Look up'!$A$3:$H$3,0)),"")</f>
        <v/>
      </c>
      <c r="L74" s="52"/>
      <c r="M74" s="283" t="str">
        <f>IF(L74="","",IF(VLOOKUP(L74,'G-3 Multipliers'!$L$3:$N$6,2,FALSE)=0,"Spatial Data Missing",VLOOKUP(L74,'G-3 Multipliers'!$L$3:$N$6,2,FALSE)))</f>
        <v/>
      </c>
      <c r="N74" s="281" t="str">
        <f>IF(L74="","",IF(VLOOKUP(L74,'G-3 Multipliers'!$L$3:$N$6,3,FALSE)=0,"Spatial Data Missing",VLOOKUP(L74,'G-3 Multipliers'!$L$3:$N$6,3,FALSE)))</f>
        <v/>
      </c>
      <c r="O74" s="275" t="str">
        <f t="shared" si="1"/>
        <v/>
      </c>
      <c r="P74" s="58"/>
      <c r="Q74" s="58"/>
      <c r="R74" s="283" t="str">
        <f t="shared" si="2"/>
        <v/>
      </c>
      <c r="S74" s="296" t="str">
        <f t="shared" si="3"/>
        <v/>
      </c>
      <c r="T74" s="297" t="str">
        <f>IFERROR(IF(S74="Check Data ⚠","Check Data ⚠",VLOOKUP(S74,'G-4 Temporal multipliers'!$A$4:$C$37,3,FALSE)),"")</f>
        <v/>
      </c>
      <c r="U74" s="298" t="str">
        <f>IF(F74="","",VLOOKUP(F74,'G-3 Multipliers'!$A$2:$E$134,2,FALSE))</f>
        <v/>
      </c>
      <c r="V74" s="295" t="str">
        <f t="shared" si="4"/>
        <v/>
      </c>
      <c r="W74" s="295" t="str">
        <f>IF(E74="","",IF(AND(V74="Standard difficulty applied",O74&gt;P74),U74,IF(AND(V74="Low Difficulty - only applicable if all habitat created before losses ⚠",P74&gt;=O74),"Low",VLOOKUP(F74,'G-3 Multipliers'!$A$2:$E$134,4,FALSE))))</f>
        <v/>
      </c>
      <c r="X74" s="299" t="str">
        <f>IFERROR(IF(E74="","",VLOOKUP(W74,'G-3 Multipliers'!$P$2:$Q$6,2,FALSE)),"")</f>
        <v/>
      </c>
      <c r="Y74" s="303" t="str">
        <f t="shared" si="5"/>
        <v/>
      </c>
      <c r="Z74" s="52"/>
      <c r="AA74" s="51"/>
      <c r="AB74" s="104"/>
      <c r="AE74" s="40" t="str">
        <f t="shared" si="0"/>
        <v/>
      </c>
    </row>
    <row r="75" spans="1:31" ht="14" hidden="1">
      <c r="A75" s="35" t="str">
        <f>IFERROR(INDEX('G-8 Condition Look up'!$I$4:$I$135,MATCH(F75,'G-8 Condition Look up'!$A$4:$A$135,0)),"")</f>
        <v/>
      </c>
      <c r="B75" s="225">
        <v>65</v>
      </c>
      <c r="C75" s="232" t="str">
        <f>IFERROR(INDEX('G-1 All Habitats'!$AG$25:$AG$41,MATCH(D75,'G-1 All Habitats'!AF$25:AF$41,0)),"")</f>
        <v/>
      </c>
      <c r="D75" s="52"/>
      <c r="E75" s="57"/>
      <c r="F75" s="231" t="str">
        <f>IFERROR(INDEX('G-1 All Habitats'!$B$3:$B$135,MATCH(E75,'G-1 All Habitats'!$A$3:$A$135,0)),"")</f>
        <v/>
      </c>
      <c r="G75" s="51"/>
      <c r="H75" s="275" t="str">
        <f>IF(F75="","",VLOOKUP(F75,'G-1 All Habitats'!$B$2:$M$135,10,FALSE))</f>
        <v/>
      </c>
      <c r="I75" s="276" t="str">
        <f>IFERROR(VLOOKUP(H75,'G-1 All Habitats'!$V$3:$W$7,2,FALSE),"")</f>
        <v/>
      </c>
      <c r="J75" s="52"/>
      <c r="K75" s="276" t="str">
        <f>IFERROR(INDEX('G-8 Condition Look up'!$A$3:$H$135,MATCH(F75,'G-8 Condition Look up'!$A$3:$A$135,0),MATCH(J75,'G-8 Condition Look up'!$A$3:$H$3,0)),"")</f>
        <v/>
      </c>
      <c r="L75" s="52"/>
      <c r="M75" s="283" t="str">
        <f>IF(L75="","",IF(VLOOKUP(L75,'G-3 Multipliers'!$L$3:$N$6,2,FALSE)=0,"Spatial Data Missing",VLOOKUP(L75,'G-3 Multipliers'!$L$3:$N$6,2,FALSE)))</f>
        <v/>
      </c>
      <c r="N75" s="281" t="str">
        <f>IF(L75="","",IF(VLOOKUP(L75,'G-3 Multipliers'!$L$3:$N$6,3,FALSE)=0,"Spatial Data Missing",VLOOKUP(L75,'G-3 Multipliers'!$L$3:$N$6,3,FALSE)))</f>
        <v/>
      </c>
      <c r="O75" s="275" t="str">
        <f t="shared" si="6" ref="O75:O138">IFERROR(INDEX(TemporalData,MATCH(F75,TemporalHabitats,0),MATCH(J75,TemporalConditions,0)),"")</f>
        <v/>
      </c>
      <c r="P75" s="58"/>
      <c r="Q75" s="58"/>
      <c r="R75" s="283" t="str">
        <f t="shared" si="2"/>
        <v/>
      </c>
      <c r="S75" s="296" t="str">
        <f t="shared" si="3"/>
        <v/>
      </c>
      <c r="T75" s="297" t="str">
        <f>IFERROR(IF(S75="Check Data ⚠","Check Data ⚠",VLOOKUP(S75,'G-4 Temporal multipliers'!$A$4:$C$37,3,FALSE)),"")</f>
        <v/>
      </c>
      <c r="U75" s="298" t="str">
        <f>IF(F75="","",VLOOKUP(F75,'G-3 Multipliers'!$A$2:$E$134,2,FALSE))</f>
        <v/>
      </c>
      <c r="V75" s="295" t="str">
        <f t="shared" si="4"/>
        <v/>
      </c>
      <c r="W75" s="295" t="str">
        <f>IF(E75="","",IF(AND(V75="Standard difficulty applied",O75&gt;P75),U75,IF(AND(V75="Low Difficulty - only applicable if all habitat created before losses ⚠",P75&gt;=O75),"Low",VLOOKUP(F75,'G-3 Multipliers'!$A$2:$E$134,4,FALSE))))</f>
        <v/>
      </c>
      <c r="X75" s="299" t="str">
        <f>IFERROR(IF(E75="","",VLOOKUP(W75,'G-3 Multipliers'!$P$2:$Q$6,2,FALSE)),"")</f>
        <v/>
      </c>
      <c r="Y75" s="303" t="str">
        <f t="shared" si="5"/>
        <v/>
      </c>
      <c r="Z75" s="52"/>
      <c r="AA75" s="51"/>
      <c r="AB75" s="104"/>
      <c r="AE75" s="40" t="str">
        <f t="shared" si="7" ref="AE75:AE138">IFERROR(INDEX(TemporalData,MATCH(F75,TemporalHabitats,0),MATCH($AE$10,TemporalConditions,0)),"")</f>
        <v/>
      </c>
    </row>
    <row r="76" spans="1:31" ht="14" hidden="1">
      <c r="A76" s="35" t="str">
        <f>IFERROR(INDEX('G-8 Condition Look up'!$I$4:$I$135,MATCH(F76,'G-8 Condition Look up'!$A$4:$A$135,0)),"")</f>
        <v/>
      </c>
      <c r="B76" s="225">
        <v>66</v>
      </c>
      <c r="C76" s="232" t="str">
        <f>IFERROR(INDEX('G-1 All Habitats'!$AG$25:$AG$41,MATCH(D76,'G-1 All Habitats'!AF$25:AF$41,0)),"")</f>
        <v/>
      </c>
      <c r="D76" s="52"/>
      <c r="E76" s="57"/>
      <c r="F76" s="231" t="str">
        <f>IFERROR(INDEX('G-1 All Habitats'!$B$3:$B$135,MATCH(E76,'G-1 All Habitats'!$A$3:$A$135,0)),"")</f>
        <v/>
      </c>
      <c r="G76" s="51"/>
      <c r="H76" s="275" t="str">
        <f>IF(F76="","",VLOOKUP(F76,'G-1 All Habitats'!$B$2:$M$135,10,FALSE))</f>
        <v/>
      </c>
      <c r="I76" s="276" t="str">
        <f>IFERROR(VLOOKUP(H76,'G-1 All Habitats'!$V$3:$W$7,2,FALSE),"")</f>
        <v/>
      </c>
      <c r="J76" s="52"/>
      <c r="K76" s="276" t="str">
        <f>IFERROR(INDEX('G-8 Condition Look up'!$A$3:$H$135,MATCH(F76,'G-8 Condition Look up'!$A$3:$A$135,0),MATCH(J76,'G-8 Condition Look up'!$A$3:$H$3,0)),"")</f>
        <v/>
      </c>
      <c r="L76" s="52"/>
      <c r="M76" s="283" t="str">
        <f>IF(L76="","",IF(VLOOKUP(L76,'G-3 Multipliers'!$L$3:$N$6,2,FALSE)=0,"Spatial Data Missing",VLOOKUP(L76,'G-3 Multipliers'!$L$3:$N$6,2,FALSE)))</f>
        <v/>
      </c>
      <c r="N76" s="281" t="str">
        <f>IF(L76="","",IF(VLOOKUP(L76,'G-3 Multipliers'!$L$3:$N$6,3,FALSE)=0,"Spatial Data Missing",VLOOKUP(L76,'G-3 Multipliers'!$L$3:$N$6,3,FALSE)))</f>
        <v/>
      </c>
      <c r="O76" s="275" t="str">
        <f t="shared" si="6"/>
        <v/>
      </c>
      <c r="P76" s="58"/>
      <c r="Q76" s="58"/>
      <c r="R76" s="283" t="str">
        <f t="shared" si="8" ref="R76:R139">IF(E76="","",IF(AND(P76&gt;0,Q76&gt;0),"Error -both advance and delayed habitat creation ▲",IF(I76=0,"Standard time to target condition applied",IF(O76&lt;=P76,"Check details - Is there evidence that habitat has reached target condition? ⚠",IF(O76="","",IF(AND(P76&gt;=AE76,P76&gt;0),"Check details - Is there evidence habitat creation started and the threshold for Poor condition reached? ⚠",IF(AND(O76&gt;P76,P76&gt;0),"Check details - Is there evidence habitat creation in place? ⚠",IF(Q76&gt;0,"Check details- Delay in starting habitat in required condition? ⚠",IF(P76&gt;0,"Check details - Is there evidence habitat creation started/in place? ⚠","Standard time to target condition applied")))))))))</f>
        <v/>
      </c>
      <c r="S76" s="296" t="str">
        <f t="shared" si="9" ref="S76:S139">IF(R76="Error -both advance and delayed habitat creation ▲","Check Data ⚠",IF(O76="Not Possible ▲","Check Data ⚠",IF(O76="","",IF(AND(O76="30+",P76=0),"30+",IF(AND(O76="30+",P76="30+"),0,IF(AND(O76="30+",P76&lt;32),30-P76,IF(O76="30+",30-P76,IF(P76&gt;O76,0,IF(Q76="30+","30+",IF(O76+Q76&gt;30,"30+",IF(O76+Q76&gt;30,"30+",IF(O76-P76&gt;30,"30+",IF(O76+Q76-P76&gt;0,O76+Q76-P76,IF(O76-P76&gt;0,O76-P76,O76+Q76-P76))))))))))))))</f>
        <v/>
      </c>
      <c r="T76" s="297" t="str">
        <f>IFERROR(IF(S76="Check Data ⚠","Check Data ⚠",VLOOKUP(S76,'G-4 Temporal multipliers'!$A$4:$C$37,3,FALSE)),"")</f>
        <v/>
      </c>
      <c r="U76" s="298" t="str">
        <f>IF(F76="","",VLOOKUP(F76,'G-3 Multipliers'!$A$2:$E$134,2,FALSE))</f>
        <v/>
      </c>
      <c r="V76" s="295" t="str">
        <f t="shared" si="10" ref="V76:V139">IF(F76="","",IF($R76="Check details - Is there evidence that habitat has reached target condition? ⚠","Low Difficulty - only applicable if all habitat created before losses ⚠",IF(AND($R76="Check details - Is there evidence habitat creation started and the threshold for Poor condition reached? ⚠",$E76&lt;&gt;"Traditional orchards",$E76&lt;&gt;"Ornamental lake or pond",$E76&lt;&gt;"Ponds (non-priority habitat)",$E76&lt;&gt;"Ruderal/Ephemeral",$E76&lt;&gt;"Tall forbs",$E76&lt;&gt;"Developed land; sealed surface"),"Enhancement difficulty applied","Standard difficulty applied")))</f>
        <v/>
      </c>
      <c r="W76" s="295" t="str">
        <f>IF(E76="","",IF(AND(V76="Standard difficulty applied",O76&gt;P76),U76,IF(AND(V76="Low Difficulty - only applicable if all habitat created before losses ⚠",P76&gt;=O76),"Low",VLOOKUP(F76,'G-3 Multipliers'!$A$2:$E$134,4,FALSE))))</f>
        <v/>
      </c>
      <c r="X76" s="299" t="str">
        <f>IFERROR(IF(E76="","",VLOOKUP(W76,'G-3 Multipliers'!$P$2:$Q$6,2,FALSE)),"")</f>
        <v/>
      </c>
      <c r="Y76" s="303" t="str">
        <f t="shared" si="11" ref="Y76:Y139">IFERROR(G76*I76*K76*N76*T76*X76,"")</f>
        <v/>
      </c>
      <c r="Z76" s="52"/>
      <c r="AA76" s="51"/>
      <c r="AB76" s="104"/>
      <c r="AE76" s="40" t="str">
        <f t="shared" si="7"/>
        <v/>
      </c>
    </row>
    <row r="77" spans="1:31" ht="14" hidden="1">
      <c r="A77" s="35" t="str">
        <f>IFERROR(INDEX('G-8 Condition Look up'!$I$4:$I$135,MATCH(F77,'G-8 Condition Look up'!$A$4:$A$135,0)),"")</f>
        <v/>
      </c>
      <c r="B77" s="225">
        <v>67</v>
      </c>
      <c r="C77" s="232" t="str">
        <f>IFERROR(INDEX('G-1 All Habitats'!$AG$25:$AG$41,MATCH(D77,'G-1 All Habitats'!AF$25:AF$41,0)),"")</f>
        <v/>
      </c>
      <c r="D77" s="52"/>
      <c r="E77" s="57"/>
      <c r="F77" s="231" t="str">
        <f>IFERROR(INDEX('G-1 All Habitats'!$B$3:$B$135,MATCH(E77,'G-1 All Habitats'!$A$3:$A$135,0)),"")</f>
        <v/>
      </c>
      <c r="G77" s="51"/>
      <c r="H77" s="275" t="str">
        <f>IF(F77="","",VLOOKUP(F77,'G-1 All Habitats'!$B$2:$M$135,10,FALSE))</f>
        <v/>
      </c>
      <c r="I77" s="276" t="str">
        <f>IFERROR(VLOOKUP(H77,'G-1 All Habitats'!$V$3:$W$7,2,FALSE),"")</f>
        <v/>
      </c>
      <c r="J77" s="52"/>
      <c r="K77" s="276" t="str">
        <f>IFERROR(INDEX('G-8 Condition Look up'!$A$3:$H$135,MATCH(F77,'G-8 Condition Look up'!$A$3:$A$135,0),MATCH(J77,'G-8 Condition Look up'!$A$3:$H$3,0)),"")</f>
        <v/>
      </c>
      <c r="L77" s="52"/>
      <c r="M77" s="283" t="str">
        <f>IF(L77="","",IF(VLOOKUP(L77,'G-3 Multipliers'!$L$3:$N$6,2,FALSE)=0,"Spatial Data Missing",VLOOKUP(L77,'G-3 Multipliers'!$L$3:$N$6,2,FALSE)))</f>
        <v/>
      </c>
      <c r="N77" s="281" t="str">
        <f>IF(L77="","",IF(VLOOKUP(L77,'G-3 Multipliers'!$L$3:$N$6,3,FALSE)=0,"Spatial Data Missing",VLOOKUP(L77,'G-3 Multipliers'!$L$3:$N$6,3,FALSE)))</f>
        <v/>
      </c>
      <c r="O77" s="275" t="str">
        <f t="shared" si="6"/>
        <v/>
      </c>
      <c r="P77" s="58"/>
      <c r="Q77" s="58"/>
      <c r="R77" s="283" t="str">
        <f t="shared" si="8"/>
        <v/>
      </c>
      <c r="S77" s="296" t="str">
        <f t="shared" si="9"/>
        <v/>
      </c>
      <c r="T77" s="297" t="str">
        <f>IFERROR(IF(S77="Check Data ⚠","Check Data ⚠",VLOOKUP(S77,'G-4 Temporal multipliers'!$A$4:$C$37,3,FALSE)),"")</f>
        <v/>
      </c>
      <c r="U77" s="298" t="str">
        <f>IF(F77="","",VLOOKUP(F77,'G-3 Multipliers'!$A$2:$E$134,2,FALSE))</f>
        <v/>
      </c>
      <c r="V77" s="295" t="str">
        <f t="shared" si="10"/>
        <v/>
      </c>
      <c r="W77" s="295" t="str">
        <f>IF(E77="","",IF(AND(V77="Standard difficulty applied",O77&gt;P77),U77,IF(AND(V77="Low Difficulty - only applicable if all habitat created before losses ⚠",P77&gt;=O77),"Low",VLOOKUP(F77,'G-3 Multipliers'!$A$2:$E$134,4,FALSE))))</f>
        <v/>
      </c>
      <c r="X77" s="299" t="str">
        <f>IFERROR(IF(E77="","",VLOOKUP(W77,'G-3 Multipliers'!$P$2:$Q$6,2,FALSE)),"")</f>
        <v/>
      </c>
      <c r="Y77" s="303" t="str">
        <f t="shared" si="11"/>
        <v/>
      </c>
      <c r="Z77" s="52"/>
      <c r="AA77" s="51"/>
      <c r="AB77" s="104"/>
      <c r="AE77" s="40" t="str">
        <f t="shared" si="7"/>
        <v/>
      </c>
    </row>
    <row r="78" spans="1:31" ht="14" hidden="1">
      <c r="A78" s="35" t="str">
        <f>IFERROR(INDEX('G-8 Condition Look up'!$I$4:$I$135,MATCH(F78,'G-8 Condition Look up'!$A$4:$A$135,0)),"")</f>
        <v/>
      </c>
      <c r="B78" s="225">
        <v>68</v>
      </c>
      <c r="C78" s="232" t="str">
        <f>IFERROR(INDEX('G-1 All Habitats'!$AG$25:$AG$41,MATCH(D78,'G-1 All Habitats'!AF$25:AF$41,0)),"")</f>
        <v/>
      </c>
      <c r="D78" s="52"/>
      <c r="E78" s="57"/>
      <c r="F78" s="231" t="str">
        <f>IFERROR(INDEX('G-1 All Habitats'!$B$3:$B$135,MATCH(E78,'G-1 All Habitats'!$A$3:$A$135,0)),"")</f>
        <v/>
      </c>
      <c r="G78" s="51"/>
      <c r="H78" s="275" t="str">
        <f>IF(F78="","",VLOOKUP(F78,'G-1 All Habitats'!$B$2:$M$135,10,FALSE))</f>
        <v/>
      </c>
      <c r="I78" s="276" t="str">
        <f>IFERROR(VLOOKUP(H78,'G-1 All Habitats'!$V$3:$W$7,2,FALSE),"")</f>
        <v/>
      </c>
      <c r="J78" s="52"/>
      <c r="K78" s="276" t="str">
        <f>IFERROR(INDEX('G-8 Condition Look up'!$A$3:$H$135,MATCH(F78,'G-8 Condition Look up'!$A$3:$A$135,0),MATCH(J78,'G-8 Condition Look up'!$A$3:$H$3,0)),"")</f>
        <v/>
      </c>
      <c r="L78" s="52"/>
      <c r="M78" s="283" t="str">
        <f>IF(L78="","",IF(VLOOKUP(L78,'G-3 Multipliers'!$L$3:$N$6,2,FALSE)=0,"Spatial Data Missing",VLOOKUP(L78,'G-3 Multipliers'!$L$3:$N$6,2,FALSE)))</f>
        <v/>
      </c>
      <c r="N78" s="281" t="str">
        <f>IF(L78="","",IF(VLOOKUP(L78,'G-3 Multipliers'!$L$3:$N$6,3,FALSE)=0,"Spatial Data Missing",VLOOKUP(L78,'G-3 Multipliers'!$L$3:$N$6,3,FALSE)))</f>
        <v/>
      </c>
      <c r="O78" s="275" t="str">
        <f t="shared" si="6"/>
        <v/>
      </c>
      <c r="P78" s="58"/>
      <c r="Q78" s="58"/>
      <c r="R78" s="283" t="str">
        <f t="shared" si="8"/>
        <v/>
      </c>
      <c r="S78" s="296" t="str">
        <f t="shared" si="9"/>
        <v/>
      </c>
      <c r="T78" s="297" t="str">
        <f>IFERROR(IF(S78="Check Data ⚠","Check Data ⚠",VLOOKUP(S78,'G-4 Temporal multipliers'!$A$4:$C$37,3,FALSE)),"")</f>
        <v/>
      </c>
      <c r="U78" s="298" t="str">
        <f>IF(F78="","",VLOOKUP(F78,'G-3 Multipliers'!$A$2:$E$134,2,FALSE))</f>
        <v/>
      </c>
      <c r="V78" s="295" t="str">
        <f t="shared" si="10"/>
        <v/>
      </c>
      <c r="W78" s="295" t="str">
        <f>IF(E78="","",IF(AND(V78="Standard difficulty applied",O78&gt;P78),U78,IF(AND(V78="Low Difficulty - only applicable if all habitat created before losses ⚠",P78&gt;=O78),"Low",VLOOKUP(F78,'G-3 Multipliers'!$A$2:$E$134,4,FALSE))))</f>
        <v/>
      </c>
      <c r="X78" s="299" t="str">
        <f>IFERROR(IF(E78="","",VLOOKUP(W78,'G-3 Multipliers'!$P$2:$Q$6,2,FALSE)),"")</f>
        <v/>
      </c>
      <c r="Y78" s="303" t="str">
        <f t="shared" si="11"/>
        <v/>
      </c>
      <c r="Z78" s="52"/>
      <c r="AA78" s="51"/>
      <c r="AB78" s="104"/>
      <c r="AE78" s="40" t="str">
        <f t="shared" si="7"/>
        <v/>
      </c>
    </row>
    <row r="79" spans="1:31" ht="14" hidden="1">
      <c r="A79" s="35" t="str">
        <f>IFERROR(INDEX('G-8 Condition Look up'!$I$4:$I$135,MATCH(F79,'G-8 Condition Look up'!$A$4:$A$135,0)),"")</f>
        <v/>
      </c>
      <c r="B79" s="225">
        <v>69</v>
      </c>
      <c r="C79" s="232" t="str">
        <f>IFERROR(INDEX('G-1 All Habitats'!$AG$25:$AG$41,MATCH(D79,'G-1 All Habitats'!AF$25:AF$41,0)),"")</f>
        <v/>
      </c>
      <c r="D79" s="52"/>
      <c r="E79" s="57"/>
      <c r="F79" s="231" t="str">
        <f>IFERROR(INDEX('G-1 All Habitats'!$B$3:$B$135,MATCH(E79,'G-1 All Habitats'!$A$3:$A$135,0)),"")</f>
        <v/>
      </c>
      <c r="G79" s="51"/>
      <c r="H79" s="275" t="str">
        <f>IF(F79="","",VLOOKUP(F79,'G-1 All Habitats'!$B$2:$M$135,10,FALSE))</f>
        <v/>
      </c>
      <c r="I79" s="276" t="str">
        <f>IFERROR(VLOOKUP(H79,'G-1 All Habitats'!$V$3:$W$7,2,FALSE),"")</f>
        <v/>
      </c>
      <c r="J79" s="52"/>
      <c r="K79" s="276" t="str">
        <f>IFERROR(INDEX('G-8 Condition Look up'!$A$3:$H$135,MATCH(F79,'G-8 Condition Look up'!$A$3:$A$135,0),MATCH(J79,'G-8 Condition Look up'!$A$3:$H$3,0)),"")</f>
        <v/>
      </c>
      <c r="L79" s="52"/>
      <c r="M79" s="283" t="str">
        <f>IF(L79="","",IF(VLOOKUP(L79,'G-3 Multipliers'!$L$3:$N$6,2,FALSE)=0,"Spatial Data Missing",VLOOKUP(L79,'G-3 Multipliers'!$L$3:$N$6,2,FALSE)))</f>
        <v/>
      </c>
      <c r="N79" s="281" t="str">
        <f>IF(L79="","",IF(VLOOKUP(L79,'G-3 Multipliers'!$L$3:$N$6,3,FALSE)=0,"Spatial Data Missing",VLOOKUP(L79,'G-3 Multipliers'!$L$3:$N$6,3,FALSE)))</f>
        <v/>
      </c>
      <c r="O79" s="275" t="str">
        <f t="shared" si="6"/>
        <v/>
      </c>
      <c r="P79" s="58"/>
      <c r="Q79" s="58"/>
      <c r="R79" s="283" t="str">
        <f t="shared" si="8"/>
        <v/>
      </c>
      <c r="S79" s="296" t="str">
        <f t="shared" si="9"/>
        <v/>
      </c>
      <c r="T79" s="297" t="str">
        <f>IFERROR(IF(S79="Check Data ⚠","Check Data ⚠",VLOOKUP(S79,'G-4 Temporal multipliers'!$A$4:$C$37,3,FALSE)),"")</f>
        <v/>
      </c>
      <c r="U79" s="298" t="str">
        <f>IF(F79="","",VLOOKUP(F79,'G-3 Multipliers'!$A$2:$E$134,2,FALSE))</f>
        <v/>
      </c>
      <c r="V79" s="295" t="str">
        <f t="shared" si="10"/>
        <v/>
      </c>
      <c r="W79" s="295" t="str">
        <f>IF(E79="","",IF(AND(V79="Standard difficulty applied",O79&gt;P79),U79,IF(AND(V79="Low Difficulty - only applicable if all habitat created before losses ⚠",P79&gt;=O79),"Low",VLOOKUP(F79,'G-3 Multipliers'!$A$2:$E$134,4,FALSE))))</f>
        <v/>
      </c>
      <c r="X79" s="299" t="str">
        <f>IFERROR(IF(E79="","",VLOOKUP(W79,'G-3 Multipliers'!$P$2:$Q$6,2,FALSE)),"")</f>
        <v/>
      </c>
      <c r="Y79" s="303" t="str">
        <f t="shared" si="11"/>
        <v/>
      </c>
      <c r="Z79" s="52"/>
      <c r="AA79" s="51"/>
      <c r="AB79" s="104"/>
      <c r="AE79" s="40" t="str">
        <f t="shared" si="7"/>
        <v/>
      </c>
    </row>
    <row r="80" spans="1:31" ht="14" hidden="1">
      <c r="A80" s="35" t="str">
        <f>IFERROR(INDEX('G-8 Condition Look up'!$I$4:$I$135,MATCH(F80,'G-8 Condition Look up'!$A$4:$A$135,0)),"")</f>
        <v/>
      </c>
      <c r="B80" s="225">
        <v>70</v>
      </c>
      <c r="C80" s="232" t="str">
        <f>IFERROR(INDEX('G-1 All Habitats'!$AG$25:$AG$41,MATCH(D80,'G-1 All Habitats'!AF$25:AF$41,0)),"")</f>
        <v/>
      </c>
      <c r="D80" s="52"/>
      <c r="E80" s="57"/>
      <c r="F80" s="231" t="str">
        <f>IFERROR(INDEX('G-1 All Habitats'!$B$3:$B$135,MATCH(E80,'G-1 All Habitats'!$A$3:$A$135,0)),"")</f>
        <v/>
      </c>
      <c r="G80" s="51"/>
      <c r="H80" s="275" t="str">
        <f>IF(F80="","",VLOOKUP(F80,'G-1 All Habitats'!$B$2:$M$135,10,FALSE))</f>
        <v/>
      </c>
      <c r="I80" s="276" t="str">
        <f>IFERROR(VLOOKUP(H80,'G-1 All Habitats'!$V$3:$W$7,2,FALSE),"")</f>
        <v/>
      </c>
      <c r="J80" s="52"/>
      <c r="K80" s="276" t="str">
        <f>IFERROR(INDEX('G-8 Condition Look up'!$A$3:$H$135,MATCH(F80,'G-8 Condition Look up'!$A$3:$A$135,0),MATCH(J80,'G-8 Condition Look up'!$A$3:$H$3,0)),"")</f>
        <v/>
      </c>
      <c r="L80" s="52"/>
      <c r="M80" s="283" t="str">
        <f>IF(L80="","",IF(VLOOKUP(L80,'G-3 Multipliers'!$L$3:$N$6,2,FALSE)=0,"Spatial Data Missing",VLOOKUP(L80,'G-3 Multipliers'!$L$3:$N$6,2,FALSE)))</f>
        <v/>
      </c>
      <c r="N80" s="281" t="str">
        <f>IF(L80="","",IF(VLOOKUP(L80,'G-3 Multipliers'!$L$3:$N$6,3,FALSE)=0,"Spatial Data Missing",VLOOKUP(L80,'G-3 Multipliers'!$L$3:$N$6,3,FALSE)))</f>
        <v/>
      </c>
      <c r="O80" s="275" t="str">
        <f t="shared" si="6"/>
        <v/>
      </c>
      <c r="P80" s="58"/>
      <c r="Q80" s="58"/>
      <c r="R80" s="283" t="str">
        <f t="shared" si="8"/>
        <v/>
      </c>
      <c r="S80" s="296" t="str">
        <f t="shared" si="9"/>
        <v/>
      </c>
      <c r="T80" s="297" t="str">
        <f>IFERROR(IF(S80="Check Data ⚠","Check Data ⚠",VLOOKUP(S80,'G-4 Temporal multipliers'!$A$4:$C$37,3,FALSE)),"")</f>
        <v/>
      </c>
      <c r="U80" s="298" t="str">
        <f>IF(F80="","",VLOOKUP(F80,'G-3 Multipliers'!$A$2:$E$134,2,FALSE))</f>
        <v/>
      </c>
      <c r="V80" s="295" t="str">
        <f t="shared" si="10"/>
        <v/>
      </c>
      <c r="W80" s="295" t="str">
        <f>IF(E80="","",IF(AND(V80="Standard difficulty applied",O80&gt;P80),U80,IF(AND(V80="Low Difficulty - only applicable if all habitat created before losses ⚠",P80&gt;=O80),"Low",VLOOKUP(F80,'G-3 Multipliers'!$A$2:$E$134,4,FALSE))))</f>
        <v/>
      </c>
      <c r="X80" s="299" t="str">
        <f>IFERROR(IF(E80="","",VLOOKUP(W80,'G-3 Multipliers'!$P$2:$Q$6,2,FALSE)),"")</f>
        <v/>
      </c>
      <c r="Y80" s="303" t="str">
        <f t="shared" si="11"/>
        <v/>
      </c>
      <c r="Z80" s="52"/>
      <c r="AA80" s="51"/>
      <c r="AB80" s="104"/>
      <c r="AE80" s="40" t="str">
        <f t="shared" si="7"/>
        <v/>
      </c>
    </row>
    <row r="81" spans="1:31" ht="14" hidden="1">
      <c r="A81" s="35" t="str">
        <f>IFERROR(INDEX('G-8 Condition Look up'!$I$4:$I$135,MATCH(F81,'G-8 Condition Look up'!$A$4:$A$135,0)),"")</f>
        <v/>
      </c>
      <c r="B81" s="225">
        <v>71</v>
      </c>
      <c r="C81" s="232" t="str">
        <f>IFERROR(INDEX('G-1 All Habitats'!$AG$25:$AG$41,MATCH(D81,'G-1 All Habitats'!AF$25:AF$41,0)),"")</f>
        <v/>
      </c>
      <c r="D81" s="52"/>
      <c r="E81" s="57"/>
      <c r="F81" s="231" t="str">
        <f>IFERROR(INDEX('G-1 All Habitats'!$B$3:$B$135,MATCH(E81,'G-1 All Habitats'!$A$3:$A$135,0)),"")</f>
        <v/>
      </c>
      <c r="G81" s="51"/>
      <c r="H81" s="275" t="str">
        <f>IF(F81="","",VLOOKUP(F81,'G-1 All Habitats'!$B$2:$M$135,10,FALSE))</f>
        <v/>
      </c>
      <c r="I81" s="276" t="str">
        <f>IFERROR(VLOOKUP(H81,'G-1 All Habitats'!$V$3:$W$7,2,FALSE),"")</f>
        <v/>
      </c>
      <c r="J81" s="52"/>
      <c r="K81" s="276" t="str">
        <f>IFERROR(INDEX('G-8 Condition Look up'!$A$3:$H$135,MATCH(F81,'G-8 Condition Look up'!$A$3:$A$135,0),MATCH(J81,'G-8 Condition Look up'!$A$3:$H$3,0)),"")</f>
        <v/>
      </c>
      <c r="L81" s="52"/>
      <c r="M81" s="283" t="str">
        <f>IF(L81="","",IF(VLOOKUP(L81,'G-3 Multipliers'!$L$3:$N$6,2,FALSE)=0,"Spatial Data Missing",VLOOKUP(L81,'G-3 Multipliers'!$L$3:$N$6,2,FALSE)))</f>
        <v/>
      </c>
      <c r="N81" s="281" t="str">
        <f>IF(L81="","",IF(VLOOKUP(L81,'G-3 Multipliers'!$L$3:$N$6,3,FALSE)=0,"Spatial Data Missing",VLOOKUP(L81,'G-3 Multipliers'!$L$3:$N$6,3,FALSE)))</f>
        <v/>
      </c>
      <c r="O81" s="275" t="str">
        <f t="shared" si="6"/>
        <v/>
      </c>
      <c r="P81" s="58"/>
      <c r="Q81" s="58"/>
      <c r="R81" s="283" t="str">
        <f t="shared" si="8"/>
        <v/>
      </c>
      <c r="S81" s="296" t="str">
        <f t="shared" si="9"/>
        <v/>
      </c>
      <c r="T81" s="297" t="str">
        <f>IFERROR(IF(S81="Check Data ⚠","Check Data ⚠",VLOOKUP(S81,'G-4 Temporal multipliers'!$A$4:$C$37,3,FALSE)),"")</f>
        <v/>
      </c>
      <c r="U81" s="298" t="str">
        <f>IF(F81="","",VLOOKUP(F81,'G-3 Multipliers'!$A$2:$E$134,2,FALSE))</f>
        <v/>
      </c>
      <c r="V81" s="295" t="str">
        <f t="shared" si="10"/>
        <v/>
      </c>
      <c r="W81" s="295" t="str">
        <f>IF(E81="","",IF(AND(V81="Standard difficulty applied",O81&gt;P81),U81,IF(AND(V81="Low Difficulty - only applicable if all habitat created before losses ⚠",P81&gt;=O81),"Low",VLOOKUP(F81,'G-3 Multipliers'!$A$2:$E$134,4,FALSE))))</f>
        <v/>
      </c>
      <c r="X81" s="299" t="str">
        <f>IFERROR(IF(E81="","",VLOOKUP(W81,'G-3 Multipliers'!$P$2:$Q$6,2,FALSE)),"")</f>
        <v/>
      </c>
      <c r="Y81" s="303" t="str">
        <f t="shared" si="11"/>
        <v/>
      </c>
      <c r="Z81" s="52"/>
      <c r="AA81" s="51"/>
      <c r="AB81" s="104"/>
      <c r="AE81" s="40" t="str">
        <f t="shared" si="7"/>
        <v/>
      </c>
    </row>
    <row r="82" spans="1:31" ht="14" hidden="1">
      <c r="A82" s="35" t="str">
        <f>IFERROR(INDEX('G-8 Condition Look up'!$I$4:$I$135,MATCH(F82,'G-8 Condition Look up'!$A$4:$A$135,0)),"")</f>
        <v/>
      </c>
      <c r="B82" s="225">
        <v>72</v>
      </c>
      <c r="C82" s="232" t="str">
        <f>IFERROR(INDEX('G-1 All Habitats'!$AG$25:$AG$41,MATCH(D82,'G-1 All Habitats'!AF$25:AF$41,0)),"")</f>
        <v/>
      </c>
      <c r="D82" s="52"/>
      <c r="E82" s="57"/>
      <c r="F82" s="231" t="str">
        <f>IFERROR(INDEX('G-1 All Habitats'!$B$3:$B$135,MATCH(E82,'G-1 All Habitats'!$A$3:$A$135,0)),"")</f>
        <v/>
      </c>
      <c r="G82" s="51"/>
      <c r="H82" s="275" t="str">
        <f>IF(F82="","",VLOOKUP(F82,'G-1 All Habitats'!$B$2:$M$135,10,FALSE))</f>
        <v/>
      </c>
      <c r="I82" s="276" t="str">
        <f>IFERROR(VLOOKUP(H82,'G-1 All Habitats'!$V$3:$W$7,2,FALSE),"")</f>
        <v/>
      </c>
      <c r="J82" s="52"/>
      <c r="K82" s="276" t="str">
        <f>IFERROR(INDEX('G-8 Condition Look up'!$A$3:$H$135,MATCH(F82,'G-8 Condition Look up'!$A$3:$A$135,0),MATCH(J82,'G-8 Condition Look up'!$A$3:$H$3,0)),"")</f>
        <v/>
      </c>
      <c r="L82" s="52"/>
      <c r="M82" s="283" t="str">
        <f>IF(L82="","",IF(VLOOKUP(L82,'G-3 Multipliers'!$L$3:$N$6,2,FALSE)=0,"Spatial Data Missing",VLOOKUP(L82,'G-3 Multipliers'!$L$3:$N$6,2,FALSE)))</f>
        <v/>
      </c>
      <c r="N82" s="281" t="str">
        <f>IF(L82="","",IF(VLOOKUP(L82,'G-3 Multipliers'!$L$3:$N$6,3,FALSE)=0,"Spatial Data Missing",VLOOKUP(L82,'G-3 Multipliers'!$L$3:$N$6,3,FALSE)))</f>
        <v/>
      </c>
      <c r="O82" s="275" t="str">
        <f t="shared" si="6"/>
        <v/>
      </c>
      <c r="P82" s="58"/>
      <c r="Q82" s="58"/>
      <c r="R82" s="283" t="str">
        <f t="shared" si="8"/>
        <v/>
      </c>
      <c r="S82" s="296" t="str">
        <f t="shared" si="9"/>
        <v/>
      </c>
      <c r="T82" s="297" t="str">
        <f>IFERROR(IF(S82="Check Data ⚠","Check Data ⚠",VLOOKUP(S82,'G-4 Temporal multipliers'!$A$4:$C$37,3,FALSE)),"")</f>
        <v/>
      </c>
      <c r="U82" s="298" t="str">
        <f>IF(F82="","",VLOOKUP(F82,'G-3 Multipliers'!$A$2:$E$134,2,FALSE))</f>
        <v/>
      </c>
      <c r="V82" s="295" t="str">
        <f t="shared" si="10"/>
        <v/>
      </c>
      <c r="W82" s="295" t="str">
        <f>IF(E82="","",IF(AND(V82="Standard difficulty applied",O82&gt;P82),U82,IF(AND(V82="Low Difficulty - only applicable if all habitat created before losses ⚠",P82&gt;=O82),"Low",VLOOKUP(F82,'G-3 Multipliers'!$A$2:$E$134,4,FALSE))))</f>
        <v/>
      </c>
      <c r="X82" s="299" t="str">
        <f>IFERROR(IF(E82="","",VLOOKUP(W82,'G-3 Multipliers'!$P$2:$Q$6,2,FALSE)),"")</f>
        <v/>
      </c>
      <c r="Y82" s="303" t="str">
        <f t="shared" si="11"/>
        <v/>
      </c>
      <c r="Z82" s="52"/>
      <c r="AA82" s="51"/>
      <c r="AB82" s="104"/>
      <c r="AE82" s="40" t="str">
        <f t="shared" si="7"/>
        <v/>
      </c>
    </row>
    <row r="83" spans="1:31" ht="14" hidden="1">
      <c r="A83" s="35" t="str">
        <f>IFERROR(INDEX('G-8 Condition Look up'!$I$4:$I$135,MATCH(F83,'G-8 Condition Look up'!$A$4:$A$135,0)),"")</f>
        <v/>
      </c>
      <c r="B83" s="225">
        <v>73</v>
      </c>
      <c r="C83" s="232" t="str">
        <f>IFERROR(INDEX('G-1 All Habitats'!$AG$25:$AG$41,MATCH(D83,'G-1 All Habitats'!AF$25:AF$41,0)),"")</f>
        <v/>
      </c>
      <c r="D83" s="52"/>
      <c r="E83" s="57"/>
      <c r="F83" s="231" t="str">
        <f>IFERROR(INDEX('G-1 All Habitats'!$B$3:$B$135,MATCH(E83,'G-1 All Habitats'!$A$3:$A$135,0)),"")</f>
        <v/>
      </c>
      <c r="G83" s="51"/>
      <c r="H83" s="275" t="str">
        <f>IF(F83="","",VLOOKUP(F83,'G-1 All Habitats'!$B$2:$M$135,10,FALSE))</f>
        <v/>
      </c>
      <c r="I83" s="276" t="str">
        <f>IFERROR(VLOOKUP(H83,'G-1 All Habitats'!$V$3:$W$7,2,FALSE),"")</f>
        <v/>
      </c>
      <c r="J83" s="52"/>
      <c r="K83" s="276" t="str">
        <f>IFERROR(INDEX('G-8 Condition Look up'!$A$3:$H$135,MATCH(F83,'G-8 Condition Look up'!$A$3:$A$135,0),MATCH(J83,'G-8 Condition Look up'!$A$3:$H$3,0)),"")</f>
        <v/>
      </c>
      <c r="L83" s="52"/>
      <c r="M83" s="283" t="str">
        <f>IF(L83="","",IF(VLOOKUP(L83,'G-3 Multipliers'!$L$3:$N$6,2,FALSE)=0,"Spatial Data Missing",VLOOKUP(L83,'G-3 Multipliers'!$L$3:$N$6,2,FALSE)))</f>
        <v/>
      </c>
      <c r="N83" s="281" t="str">
        <f>IF(L83="","",IF(VLOOKUP(L83,'G-3 Multipliers'!$L$3:$N$6,3,FALSE)=0,"Spatial Data Missing",VLOOKUP(L83,'G-3 Multipliers'!$L$3:$N$6,3,FALSE)))</f>
        <v/>
      </c>
      <c r="O83" s="275" t="str">
        <f t="shared" si="6"/>
        <v/>
      </c>
      <c r="P83" s="58"/>
      <c r="Q83" s="58"/>
      <c r="R83" s="283" t="str">
        <f t="shared" si="8"/>
        <v/>
      </c>
      <c r="S83" s="296" t="str">
        <f t="shared" si="9"/>
        <v/>
      </c>
      <c r="T83" s="297" t="str">
        <f>IFERROR(IF(S83="Check Data ⚠","Check Data ⚠",VLOOKUP(S83,'G-4 Temporal multipliers'!$A$4:$C$37,3,FALSE)),"")</f>
        <v/>
      </c>
      <c r="U83" s="298" t="str">
        <f>IF(F83="","",VLOOKUP(F83,'G-3 Multipliers'!$A$2:$E$134,2,FALSE))</f>
        <v/>
      </c>
      <c r="V83" s="295" t="str">
        <f t="shared" si="10"/>
        <v/>
      </c>
      <c r="W83" s="295" t="str">
        <f>IF(E83="","",IF(AND(V83="Standard difficulty applied",O83&gt;P83),U83,IF(AND(V83="Low Difficulty - only applicable if all habitat created before losses ⚠",P83&gt;=O83),"Low",VLOOKUP(F83,'G-3 Multipliers'!$A$2:$E$134,4,FALSE))))</f>
        <v/>
      </c>
      <c r="X83" s="299" t="str">
        <f>IFERROR(IF(E83="","",VLOOKUP(W83,'G-3 Multipliers'!$P$2:$Q$6,2,FALSE)),"")</f>
        <v/>
      </c>
      <c r="Y83" s="303" t="str">
        <f t="shared" si="11"/>
        <v/>
      </c>
      <c r="Z83" s="52"/>
      <c r="AA83" s="51"/>
      <c r="AB83" s="104"/>
      <c r="AE83" s="40" t="str">
        <f t="shared" si="7"/>
        <v/>
      </c>
    </row>
    <row r="84" spans="1:31" ht="14" hidden="1">
      <c r="A84" s="35" t="str">
        <f>IFERROR(INDEX('G-8 Condition Look up'!$I$4:$I$135,MATCH(F84,'G-8 Condition Look up'!$A$4:$A$135,0)),"")</f>
        <v/>
      </c>
      <c r="B84" s="225">
        <v>74</v>
      </c>
      <c r="C84" s="232" t="str">
        <f>IFERROR(INDEX('G-1 All Habitats'!$AG$25:$AG$41,MATCH(D84,'G-1 All Habitats'!AF$25:AF$41,0)),"")</f>
        <v/>
      </c>
      <c r="D84" s="52"/>
      <c r="E84" s="57"/>
      <c r="F84" s="231" t="str">
        <f>IFERROR(INDEX('G-1 All Habitats'!$B$3:$B$135,MATCH(E84,'G-1 All Habitats'!$A$3:$A$135,0)),"")</f>
        <v/>
      </c>
      <c r="G84" s="51"/>
      <c r="H84" s="275" t="str">
        <f>IF(F84="","",VLOOKUP(F84,'G-1 All Habitats'!$B$2:$M$135,10,FALSE))</f>
        <v/>
      </c>
      <c r="I84" s="276" t="str">
        <f>IFERROR(VLOOKUP(H84,'G-1 All Habitats'!$V$3:$W$7,2,FALSE),"")</f>
        <v/>
      </c>
      <c r="J84" s="52"/>
      <c r="K84" s="276" t="str">
        <f>IFERROR(INDEX('G-8 Condition Look up'!$A$3:$H$135,MATCH(F84,'G-8 Condition Look up'!$A$3:$A$135,0),MATCH(J84,'G-8 Condition Look up'!$A$3:$H$3,0)),"")</f>
        <v/>
      </c>
      <c r="L84" s="52"/>
      <c r="M84" s="283" t="str">
        <f>IF(L84="","",IF(VLOOKUP(L84,'G-3 Multipliers'!$L$3:$N$6,2,FALSE)=0,"Spatial Data Missing",VLOOKUP(L84,'G-3 Multipliers'!$L$3:$N$6,2,FALSE)))</f>
        <v/>
      </c>
      <c r="N84" s="281" t="str">
        <f>IF(L84="","",IF(VLOOKUP(L84,'G-3 Multipliers'!$L$3:$N$6,3,FALSE)=0,"Spatial Data Missing",VLOOKUP(L84,'G-3 Multipliers'!$L$3:$N$6,3,FALSE)))</f>
        <v/>
      </c>
      <c r="O84" s="275" t="str">
        <f t="shared" si="6"/>
        <v/>
      </c>
      <c r="P84" s="58"/>
      <c r="Q84" s="58"/>
      <c r="R84" s="283" t="str">
        <f t="shared" si="8"/>
        <v/>
      </c>
      <c r="S84" s="296" t="str">
        <f t="shared" si="9"/>
        <v/>
      </c>
      <c r="T84" s="297" t="str">
        <f>IFERROR(IF(S84="Check Data ⚠","Check Data ⚠",VLOOKUP(S84,'G-4 Temporal multipliers'!$A$4:$C$37,3,FALSE)),"")</f>
        <v/>
      </c>
      <c r="U84" s="298" t="str">
        <f>IF(F84="","",VLOOKUP(F84,'G-3 Multipliers'!$A$2:$E$134,2,FALSE))</f>
        <v/>
      </c>
      <c r="V84" s="295" t="str">
        <f t="shared" si="10"/>
        <v/>
      </c>
      <c r="W84" s="295" t="str">
        <f>IF(E84="","",IF(AND(V84="Standard difficulty applied",O84&gt;P84),U84,IF(AND(V84="Low Difficulty - only applicable if all habitat created before losses ⚠",P84&gt;=O84),"Low",VLOOKUP(F84,'G-3 Multipliers'!$A$2:$E$134,4,FALSE))))</f>
        <v/>
      </c>
      <c r="X84" s="299" t="str">
        <f>IFERROR(IF(E84="","",VLOOKUP(W84,'G-3 Multipliers'!$P$2:$Q$6,2,FALSE)),"")</f>
        <v/>
      </c>
      <c r="Y84" s="303" t="str">
        <f t="shared" si="11"/>
        <v/>
      </c>
      <c r="Z84" s="52"/>
      <c r="AA84" s="51"/>
      <c r="AB84" s="104"/>
      <c r="AE84" s="40" t="str">
        <f t="shared" si="7"/>
        <v/>
      </c>
    </row>
    <row r="85" spans="1:31" ht="14" hidden="1">
      <c r="A85" s="35" t="str">
        <f>IFERROR(INDEX('G-8 Condition Look up'!$I$4:$I$135,MATCH(F85,'G-8 Condition Look up'!$A$4:$A$135,0)),"")</f>
        <v/>
      </c>
      <c r="B85" s="225">
        <v>75</v>
      </c>
      <c r="C85" s="232" t="str">
        <f>IFERROR(INDEX('G-1 All Habitats'!$AG$25:$AG$41,MATCH(D85,'G-1 All Habitats'!AF$25:AF$41,0)),"")</f>
        <v/>
      </c>
      <c r="D85" s="52"/>
      <c r="E85" s="57"/>
      <c r="F85" s="231" t="str">
        <f>IFERROR(INDEX('G-1 All Habitats'!$B$3:$B$135,MATCH(E85,'G-1 All Habitats'!$A$3:$A$135,0)),"")</f>
        <v/>
      </c>
      <c r="G85" s="51"/>
      <c r="H85" s="275" t="str">
        <f>IF(F85="","",VLOOKUP(F85,'G-1 All Habitats'!$B$2:$M$135,10,FALSE))</f>
        <v/>
      </c>
      <c r="I85" s="276" t="str">
        <f>IFERROR(VLOOKUP(H85,'G-1 All Habitats'!$V$3:$W$7,2,FALSE),"")</f>
        <v/>
      </c>
      <c r="J85" s="52"/>
      <c r="K85" s="276" t="str">
        <f>IFERROR(INDEX('G-8 Condition Look up'!$A$3:$H$135,MATCH(F85,'G-8 Condition Look up'!$A$3:$A$135,0),MATCH(J85,'G-8 Condition Look up'!$A$3:$H$3,0)),"")</f>
        <v/>
      </c>
      <c r="L85" s="52"/>
      <c r="M85" s="283" t="str">
        <f>IF(L85="","",IF(VLOOKUP(L85,'G-3 Multipliers'!$L$3:$N$6,2,FALSE)=0,"Spatial Data Missing",VLOOKUP(L85,'G-3 Multipliers'!$L$3:$N$6,2,FALSE)))</f>
        <v/>
      </c>
      <c r="N85" s="281" t="str">
        <f>IF(L85="","",IF(VLOOKUP(L85,'G-3 Multipliers'!$L$3:$N$6,3,FALSE)=0,"Spatial Data Missing",VLOOKUP(L85,'G-3 Multipliers'!$L$3:$N$6,3,FALSE)))</f>
        <v/>
      </c>
      <c r="O85" s="275" t="str">
        <f t="shared" si="6"/>
        <v/>
      </c>
      <c r="P85" s="58"/>
      <c r="Q85" s="58"/>
      <c r="R85" s="283" t="str">
        <f t="shared" si="8"/>
        <v/>
      </c>
      <c r="S85" s="296" t="str">
        <f t="shared" si="9"/>
        <v/>
      </c>
      <c r="T85" s="297" t="str">
        <f>IFERROR(IF(S85="Check Data ⚠","Check Data ⚠",VLOOKUP(S85,'G-4 Temporal multipliers'!$A$4:$C$37,3,FALSE)),"")</f>
        <v/>
      </c>
      <c r="U85" s="298" t="str">
        <f>IF(F85="","",VLOOKUP(F85,'G-3 Multipliers'!$A$2:$E$134,2,FALSE))</f>
        <v/>
      </c>
      <c r="V85" s="295" t="str">
        <f t="shared" si="10"/>
        <v/>
      </c>
      <c r="W85" s="295" t="str">
        <f>IF(E85="","",IF(AND(V85="Standard difficulty applied",O85&gt;P85),U85,IF(AND(V85="Low Difficulty - only applicable if all habitat created before losses ⚠",P85&gt;=O85),"Low",VLOOKUP(F85,'G-3 Multipliers'!$A$2:$E$134,4,FALSE))))</f>
        <v/>
      </c>
      <c r="X85" s="299" t="str">
        <f>IFERROR(IF(E85="","",VLOOKUP(W85,'G-3 Multipliers'!$P$2:$Q$6,2,FALSE)),"")</f>
        <v/>
      </c>
      <c r="Y85" s="303" t="str">
        <f t="shared" si="11"/>
        <v/>
      </c>
      <c r="Z85" s="52"/>
      <c r="AA85" s="51"/>
      <c r="AB85" s="104"/>
      <c r="AE85" s="40" t="str">
        <f t="shared" si="7"/>
        <v/>
      </c>
    </row>
    <row r="86" spans="1:31" ht="14" hidden="1">
      <c r="A86" s="35" t="str">
        <f>IFERROR(INDEX('G-8 Condition Look up'!$I$4:$I$135,MATCH(F86,'G-8 Condition Look up'!$A$4:$A$135,0)),"")</f>
        <v/>
      </c>
      <c r="B86" s="225">
        <v>76</v>
      </c>
      <c r="C86" s="232" t="str">
        <f>IFERROR(INDEX('G-1 All Habitats'!$AG$25:$AG$41,MATCH(D86,'G-1 All Habitats'!AF$25:AF$41,0)),"")</f>
        <v/>
      </c>
      <c r="D86" s="52"/>
      <c r="E86" s="57"/>
      <c r="F86" s="231" t="str">
        <f>IFERROR(INDEX('G-1 All Habitats'!$B$3:$B$135,MATCH(E86,'G-1 All Habitats'!$A$3:$A$135,0)),"")</f>
        <v/>
      </c>
      <c r="G86" s="51"/>
      <c r="H86" s="275" t="str">
        <f>IF(F86="","",VLOOKUP(F86,'G-1 All Habitats'!$B$2:$M$135,10,FALSE))</f>
        <v/>
      </c>
      <c r="I86" s="276" t="str">
        <f>IFERROR(VLOOKUP(H86,'G-1 All Habitats'!$V$3:$W$7,2,FALSE),"")</f>
        <v/>
      </c>
      <c r="J86" s="52"/>
      <c r="K86" s="276" t="str">
        <f>IFERROR(INDEX('G-8 Condition Look up'!$A$3:$H$135,MATCH(F86,'G-8 Condition Look up'!$A$3:$A$135,0),MATCH(J86,'G-8 Condition Look up'!$A$3:$H$3,0)),"")</f>
        <v/>
      </c>
      <c r="L86" s="52"/>
      <c r="M86" s="283" t="str">
        <f>IF(L86="","",IF(VLOOKUP(L86,'G-3 Multipliers'!$L$3:$N$6,2,FALSE)=0,"Spatial Data Missing",VLOOKUP(L86,'G-3 Multipliers'!$L$3:$N$6,2,FALSE)))</f>
        <v/>
      </c>
      <c r="N86" s="281" t="str">
        <f>IF(L86="","",IF(VLOOKUP(L86,'G-3 Multipliers'!$L$3:$N$6,3,FALSE)=0,"Spatial Data Missing",VLOOKUP(L86,'G-3 Multipliers'!$L$3:$N$6,3,FALSE)))</f>
        <v/>
      </c>
      <c r="O86" s="275" t="str">
        <f t="shared" si="6"/>
        <v/>
      </c>
      <c r="P86" s="58"/>
      <c r="Q86" s="58"/>
      <c r="R86" s="283" t="str">
        <f t="shared" si="8"/>
        <v/>
      </c>
      <c r="S86" s="296" t="str">
        <f t="shared" si="9"/>
        <v/>
      </c>
      <c r="T86" s="297" t="str">
        <f>IFERROR(IF(S86="Check Data ⚠","Check Data ⚠",VLOOKUP(S86,'G-4 Temporal multipliers'!$A$4:$C$37,3,FALSE)),"")</f>
        <v/>
      </c>
      <c r="U86" s="298" t="str">
        <f>IF(F86="","",VLOOKUP(F86,'G-3 Multipliers'!$A$2:$E$134,2,FALSE))</f>
        <v/>
      </c>
      <c r="V86" s="295" t="str">
        <f t="shared" si="10"/>
        <v/>
      </c>
      <c r="W86" s="295" t="str">
        <f>IF(E86="","",IF(AND(V86="Standard difficulty applied",O86&gt;P86),U86,IF(AND(V86="Low Difficulty - only applicable if all habitat created before losses ⚠",P86&gt;=O86),"Low",VLOOKUP(F86,'G-3 Multipliers'!$A$2:$E$134,4,FALSE))))</f>
        <v/>
      </c>
      <c r="X86" s="299" t="str">
        <f>IFERROR(IF(E86="","",VLOOKUP(W86,'G-3 Multipliers'!$P$2:$Q$6,2,FALSE)),"")</f>
        <v/>
      </c>
      <c r="Y86" s="303" t="str">
        <f t="shared" si="11"/>
        <v/>
      </c>
      <c r="Z86" s="52"/>
      <c r="AA86" s="51"/>
      <c r="AB86" s="104"/>
      <c r="AE86" s="40" t="str">
        <f t="shared" si="7"/>
        <v/>
      </c>
    </row>
    <row r="87" spans="1:31" ht="14" hidden="1">
      <c r="A87" s="35" t="str">
        <f>IFERROR(INDEX('G-8 Condition Look up'!$I$4:$I$135,MATCH(F87,'G-8 Condition Look up'!$A$4:$A$135,0)),"")</f>
        <v/>
      </c>
      <c r="B87" s="225">
        <v>77</v>
      </c>
      <c r="C87" s="232" t="str">
        <f>IFERROR(INDEX('G-1 All Habitats'!$AG$25:$AG$41,MATCH(D87,'G-1 All Habitats'!AF$25:AF$41,0)),"")</f>
        <v/>
      </c>
      <c r="D87" s="52"/>
      <c r="E87" s="57"/>
      <c r="F87" s="231" t="str">
        <f>IFERROR(INDEX('G-1 All Habitats'!$B$3:$B$135,MATCH(E87,'G-1 All Habitats'!$A$3:$A$135,0)),"")</f>
        <v/>
      </c>
      <c r="G87" s="51"/>
      <c r="H87" s="275" t="str">
        <f>IF(F87="","",VLOOKUP(F87,'G-1 All Habitats'!$B$2:$M$135,10,FALSE))</f>
        <v/>
      </c>
      <c r="I87" s="276" t="str">
        <f>IFERROR(VLOOKUP(H87,'G-1 All Habitats'!$V$3:$W$7,2,FALSE),"")</f>
        <v/>
      </c>
      <c r="J87" s="52"/>
      <c r="K87" s="276" t="str">
        <f>IFERROR(INDEX('G-8 Condition Look up'!$A$3:$H$135,MATCH(F87,'G-8 Condition Look up'!$A$3:$A$135,0),MATCH(J87,'G-8 Condition Look up'!$A$3:$H$3,0)),"")</f>
        <v/>
      </c>
      <c r="L87" s="52"/>
      <c r="M87" s="283" t="str">
        <f>IF(L87="","",IF(VLOOKUP(L87,'G-3 Multipliers'!$L$3:$N$6,2,FALSE)=0,"Spatial Data Missing",VLOOKUP(L87,'G-3 Multipliers'!$L$3:$N$6,2,FALSE)))</f>
        <v/>
      </c>
      <c r="N87" s="281" t="str">
        <f>IF(L87="","",IF(VLOOKUP(L87,'G-3 Multipliers'!$L$3:$N$6,3,FALSE)=0,"Spatial Data Missing",VLOOKUP(L87,'G-3 Multipliers'!$L$3:$N$6,3,FALSE)))</f>
        <v/>
      </c>
      <c r="O87" s="275" t="str">
        <f t="shared" si="6"/>
        <v/>
      </c>
      <c r="P87" s="58"/>
      <c r="Q87" s="58"/>
      <c r="R87" s="283" t="str">
        <f t="shared" si="8"/>
        <v/>
      </c>
      <c r="S87" s="296" t="str">
        <f t="shared" si="9"/>
        <v/>
      </c>
      <c r="T87" s="297" t="str">
        <f>IFERROR(IF(S87="Check Data ⚠","Check Data ⚠",VLOOKUP(S87,'G-4 Temporal multipliers'!$A$4:$C$37,3,FALSE)),"")</f>
        <v/>
      </c>
      <c r="U87" s="298" t="str">
        <f>IF(F87="","",VLOOKUP(F87,'G-3 Multipliers'!$A$2:$E$134,2,FALSE))</f>
        <v/>
      </c>
      <c r="V87" s="295" t="str">
        <f t="shared" si="10"/>
        <v/>
      </c>
      <c r="W87" s="295" t="str">
        <f>IF(E87="","",IF(AND(V87="Standard difficulty applied",O87&gt;P87),U87,IF(AND(V87="Low Difficulty - only applicable if all habitat created before losses ⚠",P87&gt;=O87),"Low",VLOOKUP(F87,'G-3 Multipliers'!$A$2:$E$134,4,FALSE))))</f>
        <v/>
      </c>
      <c r="X87" s="299" t="str">
        <f>IFERROR(IF(E87="","",VLOOKUP(W87,'G-3 Multipliers'!$P$2:$Q$6,2,FALSE)),"")</f>
        <v/>
      </c>
      <c r="Y87" s="303" t="str">
        <f t="shared" si="11"/>
        <v/>
      </c>
      <c r="Z87" s="52"/>
      <c r="AA87" s="51"/>
      <c r="AB87" s="104"/>
      <c r="AE87" s="40" t="str">
        <f t="shared" si="7"/>
        <v/>
      </c>
    </row>
    <row r="88" spans="1:31" ht="14" hidden="1">
      <c r="A88" s="35" t="str">
        <f>IFERROR(INDEX('G-8 Condition Look up'!$I$4:$I$135,MATCH(F88,'G-8 Condition Look up'!$A$4:$A$135,0)),"")</f>
        <v/>
      </c>
      <c r="B88" s="225">
        <v>78</v>
      </c>
      <c r="C88" s="232" t="str">
        <f>IFERROR(INDEX('G-1 All Habitats'!$AG$25:$AG$41,MATCH(D88,'G-1 All Habitats'!AF$25:AF$41,0)),"")</f>
        <v/>
      </c>
      <c r="D88" s="52"/>
      <c r="E88" s="57"/>
      <c r="F88" s="231" t="str">
        <f>IFERROR(INDEX('G-1 All Habitats'!$B$3:$B$135,MATCH(E88,'G-1 All Habitats'!$A$3:$A$135,0)),"")</f>
        <v/>
      </c>
      <c r="G88" s="51"/>
      <c r="H88" s="275" t="str">
        <f>IF(F88="","",VLOOKUP(F88,'G-1 All Habitats'!$B$2:$M$135,10,FALSE))</f>
        <v/>
      </c>
      <c r="I88" s="276" t="str">
        <f>IFERROR(VLOOKUP(H88,'G-1 All Habitats'!$V$3:$W$7,2,FALSE),"")</f>
        <v/>
      </c>
      <c r="J88" s="52"/>
      <c r="K88" s="276" t="str">
        <f>IFERROR(INDEX('G-8 Condition Look up'!$A$3:$H$135,MATCH(F88,'G-8 Condition Look up'!$A$3:$A$135,0),MATCH(J88,'G-8 Condition Look up'!$A$3:$H$3,0)),"")</f>
        <v/>
      </c>
      <c r="L88" s="52"/>
      <c r="M88" s="283" t="str">
        <f>IF(L88="","",IF(VLOOKUP(L88,'G-3 Multipliers'!$L$3:$N$6,2,FALSE)=0,"Spatial Data Missing",VLOOKUP(L88,'G-3 Multipliers'!$L$3:$N$6,2,FALSE)))</f>
        <v/>
      </c>
      <c r="N88" s="281" t="str">
        <f>IF(L88="","",IF(VLOOKUP(L88,'G-3 Multipliers'!$L$3:$N$6,3,FALSE)=0,"Spatial Data Missing",VLOOKUP(L88,'G-3 Multipliers'!$L$3:$N$6,3,FALSE)))</f>
        <v/>
      </c>
      <c r="O88" s="275" t="str">
        <f t="shared" si="6"/>
        <v/>
      </c>
      <c r="P88" s="58"/>
      <c r="Q88" s="58"/>
      <c r="R88" s="283" t="str">
        <f t="shared" si="8"/>
        <v/>
      </c>
      <c r="S88" s="296" t="str">
        <f t="shared" si="9"/>
        <v/>
      </c>
      <c r="T88" s="297" t="str">
        <f>IFERROR(IF(S88="Check Data ⚠","Check Data ⚠",VLOOKUP(S88,'G-4 Temporal multipliers'!$A$4:$C$37,3,FALSE)),"")</f>
        <v/>
      </c>
      <c r="U88" s="298" t="str">
        <f>IF(F88="","",VLOOKUP(F88,'G-3 Multipliers'!$A$2:$E$134,2,FALSE))</f>
        <v/>
      </c>
      <c r="V88" s="295" t="str">
        <f t="shared" si="10"/>
        <v/>
      </c>
      <c r="W88" s="295" t="str">
        <f>IF(E88="","",IF(AND(V88="Standard difficulty applied",O88&gt;P88),U88,IF(AND(V88="Low Difficulty - only applicable if all habitat created before losses ⚠",P88&gt;=O88),"Low",VLOOKUP(F88,'G-3 Multipliers'!$A$2:$E$134,4,FALSE))))</f>
        <v/>
      </c>
      <c r="X88" s="299" t="str">
        <f>IFERROR(IF(E88="","",VLOOKUP(W88,'G-3 Multipliers'!$P$2:$Q$6,2,FALSE)),"")</f>
        <v/>
      </c>
      <c r="Y88" s="303" t="str">
        <f t="shared" si="11"/>
        <v/>
      </c>
      <c r="Z88" s="52"/>
      <c r="AA88" s="51"/>
      <c r="AB88" s="104"/>
      <c r="AE88" s="40" t="str">
        <f t="shared" si="7"/>
        <v/>
      </c>
    </row>
    <row r="89" spans="1:31" ht="14" hidden="1">
      <c r="A89" s="35" t="str">
        <f>IFERROR(INDEX('G-8 Condition Look up'!$I$4:$I$135,MATCH(F89,'G-8 Condition Look up'!$A$4:$A$135,0)),"")</f>
        <v/>
      </c>
      <c r="B89" s="225">
        <v>79</v>
      </c>
      <c r="C89" s="232" t="str">
        <f>IFERROR(INDEX('G-1 All Habitats'!$AG$25:$AG$41,MATCH(D89,'G-1 All Habitats'!AF$25:AF$41,0)),"")</f>
        <v/>
      </c>
      <c r="D89" s="52"/>
      <c r="E89" s="57"/>
      <c r="F89" s="231" t="str">
        <f>IFERROR(INDEX('G-1 All Habitats'!$B$3:$B$135,MATCH(E89,'G-1 All Habitats'!$A$3:$A$135,0)),"")</f>
        <v/>
      </c>
      <c r="G89" s="51"/>
      <c r="H89" s="275" t="str">
        <f>IF(F89="","",VLOOKUP(F89,'G-1 All Habitats'!$B$2:$M$135,10,FALSE))</f>
        <v/>
      </c>
      <c r="I89" s="276" t="str">
        <f>IFERROR(VLOOKUP(H89,'G-1 All Habitats'!$V$3:$W$7,2,FALSE),"")</f>
        <v/>
      </c>
      <c r="J89" s="52"/>
      <c r="K89" s="276" t="str">
        <f>IFERROR(INDEX('G-8 Condition Look up'!$A$3:$H$135,MATCH(F89,'G-8 Condition Look up'!$A$3:$A$135,0),MATCH(J89,'G-8 Condition Look up'!$A$3:$H$3,0)),"")</f>
        <v/>
      </c>
      <c r="L89" s="52"/>
      <c r="M89" s="283" t="str">
        <f>IF(L89="","",IF(VLOOKUP(L89,'G-3 Multipliers'!$L$3:$N$6,2,FALSE)=0,"Spatial Data Missing",VLOOKUP(L89,'G-3 Multipliers'!$L$3:$N$6,2,FALSE)))</f>
        <v/>
      </c>
      <c r="N89" s="281" t="str">
        <f>IF(L89="","",IF(VLOOKUP(L89,'G-3 Multipliers'!$L$3:$N$6,3,FALSE)=0,"Spatial Data Missing",VLOOKUP(L89,'G-3 Multipliers'!$L$3:$N$6,3,FALSE)))</f>
        <v/>
      </c>
      <c r="O89" s="275" t="str">
        <f t="shared" si="6"/>
        <v/>
      </c>
      <c r="P89" s="58"/>
      <c r="Q89" s="58"/>
      <c r="R89" s="283" t="str">
        <f t="shared" si="8"/>
        <v/>
      </c>
      <c r="S89" s="296" t="str">
        <f t="shared" si="9"/>
        <v/>
      </c>
      <c r="T89" s="297" t="str">
        <f>IFERROR(IF(S89="Check Data ⚠","Check Data ⚠",VLOOKUP(S89,'G-4 Temporal multipliers'!$A$4:$C$37,3,FALSE)),"")</f>
        <v/>
      </c>
      <c r="U89" s="298" t="str">
        <f>IF(F89="","",VLOOKUP(F89,'G-3 Multipliers'!$A$2:$E$134,2,FALSE))</f>
        <v/>
      </c>
      <c r="V89" s="295" t="str">
        <f t="shared" si="10"/>
        <v/>
      </c>
      <c r="W89" s="295" t="str">
        <f>IF(E89="","",IF(AND(V89="Standard difficulty applied",O89&gt;P89),U89,IF(AND(V89="Low Difficulty - only applicable if all habitat created before losses ⚠",P89&gt;=O89),"Low",VLOOKUP(F89,'G-3 Multipliers'!$A$2:$E$134,4,FALSE))))</f>
        <v/>
      </c>
      <c r="X89" s="299" t="str">
        <f>IFERROR(IF(E89="","",VLOOKUP(W89,'G-3 Multipliers'!$P$2:$Q$6,2,FALSE)),"")</f>
        <v/>
      </c>
      <c r="Y89" s="303" t="str">
        <f t="shared" si="11"/>
        <v/>
      </c>
      <c r="Z89" s="52"/>
      <c r="AA89" s="51"/>
      <c r="AB89" s="104"/>
      <c r="AE89" s="40" t="str">
        <f t="shared" si="7"/>
        <v/>
      </c>
    </row>
    <row r="90" spans="1:31" ht="14" hidden="1">
      <c r="A90" s="35" t="str">
        <f>IFERROR(INDEX('G-8 Condition Look up'!$I$4:$I$135,MATCH(F90,'G-8 Condition Look up'!$A$4:$A$135,0)),"")</f>
        <v/>
      </c>
      <c r="B90" s="225">
        <v>80</v>
      </c>
      <c r="C90" s="232" t="str">
        <f>IFERROR(INDEX('G-1 All Habitats'!$AG$25:$AG$41,MATCH(D90,'G-1 All Habitats'!AF$25:AF$41,0)),"")</f>
        <v/>
      </c>
      <c r="D90" s="52"/>
      <c r="E90" s="57"/>
      <c r="F90" s="231" t="str">
        <f>IFERROR(INDEX('G-1 All Habitats'!$B$3:$B$135,MATCH(E90,'G-1 All Habitats'!$A$3:$A$135,0)),"")</f>
        <v/>
      </c>
      <c r="G90" s="51"/>
      <c r="H90" s="275" t="str">
        <f>IF(F90="","",VLOOKUP(F90,'G-1 All Habitats'!$B$2:$M$135,10,FALSE))</f>
        <v/>
      </c>
      <c r="I90" s="276" t="str">
        <f>IFERROR(VLOOKUP(H90,'G-1 All Habitats'!$V$3:$W$7,2,FALSE),"")</f>
        <v/>
      </c>
      <c r="J90" s="52"/>
      <c r="K90" s="276" t="str">
        <f>IFERROR(INDEX('G-8 Condition Look up'!$A$3:$H$135,MATCH(F90,'G-8 Condition Look up'!$A$3:$A$135,0),MATCH(J90,'G-8 Condition Look up'!$A$3:$H$3,0)),"")</f>
        <v/>
      </c>
      <c r="L90" s="52"/>
      <c r="M90" s="283" t="str">
        <f>IF(L90="","",IF(VLOOKUP(L90,'G-3 Multipliers'!$L$3:$N$6,2,FALSE)=0,"Spatial Data Missing",VLOOKUP(L90,'G-3 Multipliers'!$L$3:$N$6,2,FALSE)))</f>
        <v/>
      </c>
      <c r="N90" s="281" t="str">
        <f>IF(L90="","",IF(VLOOKUP(L90,'G-3 Multipliers'!$L$3:$N$6,3,FALSE)=0,"Spatial Data Missing",VLOOKUP(L90,'G-3 Multipliers'!$L$3:$N$6,3,FALSE)))</f>
        <v/>
      </c>
      <c r="O90" s="275" t="str">
        <f t="shared" si="6"/>
        <v/>
      </c>
      <c r="P90" s="58"/>
      <c r="Q90" s="58"/>
      <c r="R90" s="283" t="str">
        <f t="shared" si="8"/>
        <v/>
      </c>
      <c r="S90" s="296" t="str">
        <f t="shared" si="9"/>
        <v/>
      </c>
      <c r="T90" s="297" t="str">
        <f>IFERROR(IF(S90="Check Data ⚠","Check Data ⚠",VLOOKUP(S90,'G-4 Temporal multipliers'!$A$4:$C$37,3,FALSE)),"")</f>
        <v/>
      </c>
      <c r="U90" s="298" t="str">
        <f>IF(F90="","",VLOOKUP(F90,'G-3 Multipliers'!$A$2:$E$134,2,FALSE))</f>
        <v/>
      </c>
      <c r="V90" s="295" t="str">
        <f t="shared" si="10"/>
        <v/>
      </c>
      <c r="W90" s="295" t="str">
        <f>IF(E90="","",IF(AND(V90="Standard difficulty applied",O90&gt;P90),U90,IF(AND(V90="Low Difficulty - only applicable if all habitat created before losses ⚠",P90&gt;=O90),"Low",VLOOKUP(F90,'G-3 Multipliers'!$A$2:$E$134,4,FALSE))))</f>
        <v/>
      </c>
      <c r="X90" s="299" t="str">
        <f>IFERROR(IF(E90="","",VLOOKUP(W90,'G-3 Multipliers'!$P$2:$Q$6,2,FALSE)),"")</f>
        <v/>
      </c>
      <c r="Y90" s="303" t="str">
        <f t="shared" si="11"/>
        <v/>
      </c>
      <c r="Z90" s="52"/>
      <c r="AA90" s="51"/>
      <c r="AB90" s="104"/>
      <c r="AE90" s="40" t="str">
        <f t="shared" si="7"/>
        <v/>
      </c>
    </row>
    <row r="91" spans="1:31" ht="14" hidden="1">
      <c r="A91" s="35" t="str">
        <f>IFERROR(INDEX('G-8 Condition Look up'!$I$4:$I$135,MATCH(F91,'G-8 Condition Look up'!$A$4:$A$135,0)),"")</f>
        <v/>
      </c>
      <c r="B91" s="225">
        <v>81</v>
      </c>
      <c r="C91" s="232" t="str">
        <f>IFERROR(INDEX('G-1 All Habitats'!$AG$25:$AG$41,MATCH(D91,'G-1 All Habitats'!AF$25:AF$41,0)),"")</f>
        <v/>
      </c>
      <c r="D91" s="52"/>
      <c r="E91" s="57"/>
      <c r="F91" s="231" t="str">
        <f>IFERROR(INDEX('G-1 All Habitats'!$B$3:$B$135,MATCH(E91,'G-1 All Habitats'!$A$3:$A$135,0)),"")</f>
        <v/>
      </c>
      <c r="G91" s="51"/>
      <c r="H91" s="275" t="str">
        <f>IF(F91="","",VLOOKUP(F91,'G-1 All Habitats'!$B$2:$M$135,10,FALSE))</f>
        <v/>
      </c>
      <c r="I91" s="276" t="str">
        <f>IFERROR(VLOOKUP(H91,'G-1 All Habitats'!$V$3:$W$7,2,FALSE),"")</f>
        <v/>
      </c>
      <c r="J91" s="52"/>
      <c r="K91" s="276" t="str">
        <f>IFERROR(INDEX('G-8 Condition Look up'!$A$3:$H$135,MATCH(F91,'G-8 Condition Look up'!$A$3:$A$135,0),MATCH(J91,'G-8 Condition Look up'!$A$3:$H$3,0)),"")</f>
        <v/>
      </c>
      <c r="L91" s="52"/>
      <c r="M91" s="283" t="str">
        <f>IF(L91="","",IF(VLOOKUP(L91,'G-3 Multipliers'!$L$3:$N$6,2,FALSE)=0,"Spatial Data Missing",VLOOKUP(L91,'G-3 Multipliers'!$L$3:$N$6,2,FALSE)))</f>
        <v/>
      </c>
      <c r="N91" s="281" t="str">
        <f>IF(L91="","",IF(VLOOKUP(L91,'G-3 Multipliers'!$L$3:$N$6,3,FALSE)=0,"Spatial Data Missing",VLOOKUP(L91,'G-3 Multipliers'!$L$3:$N$6,3,FALSE)))</f>
        <v/>
      </c>
      <c r="O91" s="275" t="str">
        <f t="shared" si="6"/>
        <v/>
      </c>
      <c r="P91" s="58"/>
      <c r="Q91" s="58"/>
      <c r="R91" s="283" t="str">
        <f t="shared" si="8"/>
        <v/>
      </c>
      <c r="S91" s="296" t="str">
        <f t="shared" si="9"/>
        <v/>
      </c>
      <c r="T91" s="297" t="str">
        <f>IFERROR(IF(S91="Check Data ⚠","Check Data ⚠",VLOOKUP(S91,'G-4 Temporal multipliers'!$A$4:$C$37,3,FALSE)),"")</f>
        <v/>
      </c>
      <c r="U91" s="298" t="str">
        <f>IF(F91="","",VLOOKUP(F91,'G-3 Multipliers'!$A$2:$E$134,2,FALSE))</f>
        <v/>
      </c>
      <c r="V91" s="295" t="str">
        <f t="shared" si="10"/>
        <v/>
      </c>
      <c r="W91" s="295" t="str">
        <f>IF(E91="","",IF(AND(V91="Standard difficulty applied",O91&gt;P91),U91,IF(AND(V91="Low Difficulty - only applicable if all habitat created before losses ⚠",P91&gt;=O91),"Low",VLOOKUP(F91,'G-3 Multipliers'!$A$2:$E$134,4,FALSE))))</f>
        <v/>
      </c>
      <c r="X91" s="299" t="str">
        <f>IFERROR(IF(E91="","",VLOOKUP(W91,'G-3 Multipliers'!$P$2:$Q$6,2,FALSE)),"")</f>
        <v/>
      </c>
      <c r="Y91" s="303" t="str">
        <f t="shared" si="11"/>
        <v/>
      </c>
      <c r="Z91" s="52"/>
      <c r="AA91" s="51"/>
      <c r="AB91" s="104"/>
      <c r="AE91" s="40" t="str">
        <f t="shared" si="7"/>
        <v/>
      </c>
    </row>
    <row r="92" spans="1:31" ht="14" hidden="1">
      <c r="A92" s="35" t="str">
        <f>IFERROR(INDEX('G-8 Condition Look up'!$I$4:$I$135,MATCH(F92,'G-8 Condition Look up'!$A$4:$A$135,0)),"")</f>
        <v/>
      </c>
      <c r="B92" s="225">
        <v>82</v>
      </c>
      <c r="C92" s="232" t="str">
        <f>IFERROR(INDEX('G-1 All Habitats'!$AG$25:$AG$41,MATCH(D92,'G-1 All Habitats'!AF$25:AF$41,0)),"")</f>
        <v/>
      </c>
      <c r="D92" s="52"/>
      <c r="E92" s="57"/>
      <c r="F92" s="231" t="str">
        <f>IFERROR(INDEX('G-1 All Habitats'!$B$3:$B$135,MATCH(E92,'G-1 All Habitats'!$A$3:$A$135,0)),"")</f>
        <v/>
      </c>
      <c r="G92" s="51"/>
      <c r="H92" s="275" t="str">
        <f>IF(F92="","",VLOOKUP(F92,'G-1 All Habitats'!$B$2:$M$135,10,FALSE))</f>
        <v/>
      </c>
      <c r="I92" s="276" t="str">
        <f>IFERROR(VLOOKUP(H92,'G-1 All Habitats'!$V$3:$W$7,2,FALSE),"")</f>
        <v/>
      </c>
      <c r="J92" s="52"/>
      <c r="K92" s="276" t="str">
        <f>IFERROR(INDEX('G-8 Condition Look up'!$A$3:$H$135,MATCH(F92,'G-8 Condition Look up'!$A$3:$A$135,0),MATCH(J92,'G-8 Condition Look up'!$A$3:$H$3,0)),"")</f>
        <v/>
      </c>
      <c r="L92" s="52"/>
      <c r="M92" s="283" t="str">
        <f>IF(L92="","",IF(VLOOKUP(L92,'G-3 Multipliers'!$L$3:$N$6,2,FALSE)=0,"Spatial Data Missing",VLOOKUP(L92,'G-3 Multipliers'!$L$3:$N$6,2,FALSE)))</f>
        <v/>
      </c>
      <c r="N92" s="281" t="str">
        <f>IF(L92="","",IF(VLOOKUP(L92,'G-3 Multipliers'!$L$3:$N$6,3,FALSE)=0,"Spatial Data Missing",VLOOKUP(L92,'G-3 Multipliers'!$L$3:$N$6,3,FALSE)))</f>
        <v/>
      </c>
      <c r="O92" s="275" t="str">
        <f t="shared" si="6"/>
        <v/>
      </c>
      <c r="P92" s="58"/>
      <c r="Q92" s="58"/>
      <c r="R92" s="283" t="str">
        <f t="shared" si="8"/>
        <v/>
      </c>
      <c r="S92" s="296" t="str">
        <f t="shared" si="9"/>
        <v/>
      </c>
      <c r="T92" s="297" t="str">
        <f>IFERROR(IF(S92="Check Data ⚠","Check Data ⚠",VLOOKUP(S92,'G-4 Temporal multipliers'!$A$4:$C$37,3,FALSE)),"")</f>
        <v/>
      </c>
      <c r="U92" s="298" t="str">
        <f>IF(F92="","",VLOOKUP(F92,'G-3 Multipliers'!$A$2:$E$134,2,FALSE))</f>
        <v/>
      </c>
      <c r="V92" s="295" t="str">
        <f t="shared" si="10"/>
        <v/>
      </c>
      <c r="W92" s="295" t="str">
        <f>IF(E92="","",IF(AND(V92="Standard difficulty applied",O92&gt;P92),U92,IF(AND(V92="Low Difficulty - only applicable if all habitat created before losses ⚠",P92&gt;=O92),"Low",VLOOKUP(F92,'G-3 Multipliers'!$A$2:$E$134,4,FALSE))))</f>
        <v/>
      </c>
      <c r="X92" s="299" t="str">
        <f>IFERROR(IF(E92="","",VLOOKUP(W92,'G-3 Multipliers'!$P$2:$Q$6,2,FALSE)),"")</f>
        <v/>
      </c>
      <c r="Y92" s="303" t="str">
        <f t="shared" si="11"/>
        <v/>
      </c>
      <c r="Z92" s="52"/>
      <c r="AA92" s="51"/>
      <c r="AB92" s="104"/>
      <c r="AE92" s="40" t="str">
        <f t="shared" si="7"/>
        <v/>
      </c>
    </row>
    <row r="93" spans="1:31" ht="14" hidden="1">
      <c r="A93" s="35" t="str">
        <f>IFERROR(INDEX('G-8 Condition Look up'!$I$4:$I$135,MATCH(F93,'G-8 Condition Look up'!$A$4:$A$135,0)),"")</f>
        <v/>
      </c>
      <c r="B93" s="225">
        <v>83</v>
      </c>
      <c r="C93" s="232" t="str">
        <f>IFERROR(INDEX('G-1 All Habitats'!$AG$25:$AG$41,MATCH(D93,'G-1 All Habitats'!AF$25:AF$41,0)),"")</f>
        <v/>
      </c>
      <c r="D93" s="52"/>
      <c r="E93" s="57"/>
      <c r="F93" s="231" t="str">
        <f>IFERROR(INDEX('G-1 All Habitats'!$B$3:$B$135,MATCH(E93,'G-1 All Habitats'!$A$3:$A$135,0)),"")</f>
        <v/>
      </c>
      <c r="G93" s="51"/>
      <c r="H93" s="275" t="str">
        <f>IF(F93="","",VLOOKUP(F93,'G-1 All Habitats'!$B$2:$M$135,10,FALSE))</f>
        <v/>
      </c>
      <c r="I93" s="276" t="str">
        <f>IFERROR(VLOOKUP(H93,'G-1 All Habitats'!$V$3:$W$7,2,FALSE),"")</f>
        <v/>
      </c>
      <c r="J93" s="52"/>
      <c r="K93" s="276" t="str">
        <f>IFERROR(INDEX('G-8 Condition Look up'!$A$3:$H$135,MATCH(F93,'G-8 Condition Look up'!$A$3:$A$135,0),MATCH(J93,'G-8 Condition Look up'!$A$3:$H$3,0)),"")</f>
        <v/>
      </c>
      <c r="L93" s="52"/>
      <c r="M93" s="283" t="str">
        <f>IF(L93="","",IF(VLOOKUP(L93,'G-3 Multipliers'!$L$3:$N$6,2,FALSE)=0,"Spatial Data Missing",VLOOKUP(L93,'G-3 Multipliers'!$L$3:$N$6,2,FALSE)))</f>
        <v/>
      </c>
      <c r="N93" s="281" t="str">
        <f>IF(L93="","",IF(VLOOKUP(L93,'G-3 Multipliers'!$L$3:$N$6,3,FALSE)=0,"Spatial Data Missing",VLOOKUP(L93,'G-3 Multipliers'!$L$3:$N$6,3,FALSE)))</f>
        <v/>
      </c>
      <c r="O93" s="275" t="str">
        <f t="shared" si="6"/>
        <v/>
      </c>
      <c r="P93" s="58"/>
      <c r="Q93" s="58"/>
      <c r="R93" s="283" t="str">
        <f t="shared" si="8"/>
        <v/>
      </c>
      <c r="S93" s="296" t="str">
        <f t="shared" si="9"/>
        <v/>
      </c>
      <c r="T93" s="297" t="str">
        <f>IFERROR(IF(S93="Check Data ⚠","Check Data ⚠",VLOOKUP(S93,'G-4 Temporal multipliers'!$A$4:$C$37,3,FALSE)),"")</f>
        <v/>
      </c>
      <c r="U93" s="298" t="str">
        <f>IF(F93="","",VLOOKUP(F93,'G-3 Multipliers'!$A$2:$E$134,2,FALSE))</f>
        <v/>
      </c>
      <c r="V93" s="295" t="str">
        <f t="shared" si="10"/>
        <v/>
      </c>
      <c r="W93" s="295" t="str">
        <f>IF(E93="","",IF(AND(V93="Standard difficulty applied",O93&gt;P93),U93,IF(AND(V93="Low Difficulty - only applicable if all habitat created before losses ⚠",P93&gt;=O93),"Low",VLOOKUP(F93,'G-3 Multipliers'!$A$2:$E$134,4,FALSE))))</f>
        <v/>
      </c>
      <c r="X93" s="299" t="str">
        <f>IFERROR(IF(E93="","",VLOOKUP(W93,'G-3 Multipliers'!$P$2:$Q$6,2,FALSE)),"")</f>
        <v/>
      </c>
      <c r="Y93" s="303" t="str">
        <f t="shared" si="11"/>
        <v/>
      </c>
      <c r="Z93" s="52"/>
      <c r="AA93" s="51"/>
      <c r="AB93" s="104"/>
      <c r="AE93" s="40" t="str">
        <f t="shared" si="7"/>
        <v/>
      </c>
    </row>
    <row r="94" spans="1:31" ht="14" hidden="1">
      <c r="A94" s="35" t="str">
        <f>IFERROR(INDEX('G-8 Condition Look up'!$I$4:$I$135,MATCH(F94,'G-8 Condition Look up'!$A$4:$A$135,0)),"")</f>
        <v/>
      </c>
      <c r="B94" s="225">
        <v>84</v>
      </c>
      <c r="C94" s="232" t="str">
        <f>IFERROR(INDEX('G-1 All Habitats'!$AG$25:$AG$41,MATCH(D94,'G-1 All Habitats'!AF$25:AF$41,0)),"")</f>
        <v/>
      </c>
      <c r="D94" s="52"/>
      <c r="E94" s="57"/>
      <c r="F94" s="231" t="str">
        <f>IFERROR(INDEX('G-1 All Habitats'!$B$3:$B$135,MATCH(E94,'G-1 All Habitats'!$A$3:$A$135,0)),"")</f>
        <v/>
      </c>
      <c r="G94" s="51"/>
      <c r="H94" s="275" t="str">
        <f>IF(F94="","",VLOOKUP(F94,'G-1 All Habitats'!$B$2:$M$135,10,FALSE))</f>
        <v/>
      </c>
      <c r="I94" s="276" t="str">
        <f>IFERROR(VLOOKUP(H94,'G-1 All Habitats'!$V$3:$W$7,2,FALSE),"")</f>
        <v/>
      </c>
      <c r="J94" s="52"/>
      <c r="K94" s="276" t="str">
        <f>IFERROR(INDEX('G-8 Condition Look up'!$A$3:$H$135,MATCH(F94,'G-8 Condition Look up'!$A$3:$A$135,0),MATCH(J94,'G-8 Condition Look up'!$A$3:$H$3,0)),"")</f>
        <v/>
      </c>
      <c r="L94" s="52"/>
      <c r="M94" s="283" t="str">
        <f>IF(L94="","",IF(VLOOKUP(L94,'G-3 Multipliers'!$L$3:$N$6,2,FALSE)=0,"Spatial Data Missing",VLOOKUP(L94,'G-3 Multipliers'!$L$3:$N$6,2,FALSE)))</f>
        <v/>
      </c>
      <c r="N94" s="281" t="str">
        <f>IF(L94="","",IF(VLOOKUP(L94,'G-3 Multipliers'!$L$3:$N$6,3,FALSE)=0,"Spatial Data Missing",VLOOKUP(L94,'G-3 Multipliers'!$L$3:$N$6,3,FALSE)))</f>
        <v/>
      </c>
      <c r="O94" s="275" t="str">
        <f t="shared" si="6"/>
        <v/>
      </c>
      <c r="P94" s="58"/>
      <c r="Q94" s="58"/>
      <c r="R94" s="283" t="str">
        <f t="shared" si="8"/>
        <v/>
      </c>
      <c r="S94" s="296" t="str">
        <f t="shared" si="9"/>
        <v/>
      </c>
      <c r="T94" s="297" t="str">
        <f>IFERROR(IF(S94="Check Data ⚠","Check Data ⚠",VLOOKUP(S94,'G-4 Temporal multipliers'!$A$4:$C$37,3,FALSE)),"")</f>
        <v/>
      </c>
      <c r="U94" s="298" t="str">
        <f>IF(F94="","",VLOOKUP(F94,'G-3 Multipliers'!$A$2:$E$134,2,FALSE))</f>
        <v/>
      </c>
      <c r="V94" s="295" t="str">
        <f t="shared" si="10"/>
        <v/>
      </c>
      <c r="W94" s="295" t="str">
        <f>IF(E94="","",IF(AND(V94="Standard difficulty applied",O94&gt;P94),U94,IF(AND(V94="Low Difficulty - only applicable if all habitat created before losses ⚠",P94&gt;=O94),"Low",VLOOKUP(F94,'G-3 Multipliers'!$A$2:$E$134,4,FALSE))))</f>
        <v/>
      </c>
      <c r="X94" s="299" t="str">
        <f>IFERROR(IF(E94="","",VLOOKUP(W94,'G-3 Multipliers'!$P$2:$Q$6,2,FALSE)),"")</f>
        <v/>
      </c>
      <c r="Y94" s="303" t="str">
        <f t="shared" si="11"/>
        <v/>
      </c>
      <c r="Z94" s="52"/>
      <c r="AA94" s="51"/>
      <c r="AB94" s="104"/>
      <c r="AE94" s="40" t="str">
        <f t="shared" si="7"/>
        <v/>
      </c>
    </row>
    <row r="95" spans="1:31" ht="14" hidden="1">
      <c r="A95" s="35" t="str">
        <f>IFERROR(INDEX('G-8 Condition Look up'!$I$4:$I$135,MATCH(F95,'G-8 Condition Look up'!$A$4:$A$135,0)),"")</f>
        <v/>
      </c>
      <c r="B95" s="225">
        <v>85</v>
      </c>
      <c r="C95" s="232" t="str">
        <f>IFERROR(INDEX('G-1 All Habitats'!$AG$25:$AG$41,MATCH(D95,'G-1 All Habitats'!AF$25:AF$41,0)),"")</f>
        <v/>
      </c>
      <c r="D95" s="52"/>
      <c r="E95" s="57"/>
      <c r="F95" s="231" t="str">
        <f>IFERROR(INDEX('G-1 All Habitats'!$B$3:$B$135,MATCH(E95,'G-1 All Habitats'!$A$3:$A$135,0)),"")</f>
        <v/>
      </c>
      <c r="G95" s="51"/>
      <c r="H95" s="275" t="str">
        <f>IF(F95="","",VLOOKUP(F95,'G-1 All Habitats'!$B$2:$M$135,10,FALSE))</f>
        <v/>
      </c>
      <c r="I95" s="276" t="str">
        <f>IFERROR(VLOOKUP(H95,'G-1 All Habitats'!$V$3:$W$7,2,FALSE),"")</f>
        <v/>
      </c>
      <c r="J95" s="52"/>
      <c r="K95" s="276" t="str">
        <f>IFERROR(INDEX('G-8 Condition Look up'!$A$3:$H$135,MATCH(F95,'G-8 Condition Look up'!$A$3:$A$135,0),MATCH(J95,'G-8 Condition Look up'!$A$3:$H$3,0)),"")</f>
        <v/>
      </c>
      <c r="L95" s="52"/>
      <c r="M95" s="283" t="str">
        <f>IF(L95="","",IF(VLOOKUP(L95,'G-3 Multipliers'!$L$3:$N$6,2,FALSE)=0,"Spatial Data Missing",VLOOKUP(L95,'G-3 Multipliers'!$L$3:$N$6,2,FALSE)))</f>
        <v/>
      </c>
      <c r="N95" s="281" t="str">
        <f>IF(L95="","",IF(VLOOKUP(L95,'G-3 Multipliers'!$L$3:$N$6,3,FALSE)=0,"Spatial Data Missing",VLOOKUP(L95,'G-3 Multipliers'!$L$3:$N$6,3,FALSE)))</f>
        <v/>
      </c>
      <c r="O95" s="275" t="str">
        <f t="shared" si="6"/>
        <v/>
      </c>
      <c r="P95" s="58"/>
      <c r="Q95" s="58"/>
      <c r="R95" s="283" t="str">
        <f t="shared" si="8"/>
        <v/>
      </c>
      <c r="S95" s="296" t="str">
        <f t="shared" si="9"/>
        <v/>
      </c>
      <c r="T95" s="297" t="str">
        <f>IFERROR(IF(S95="Check Data ⚠","Check Data ⚠",VLOOKUP(S95,'G-4 Temporal multipliers'!$A$4:$C$37,3,FALSE)),"")</f>
        <v/>
      </c>
      <c r="U95" s="298" t="str">
        <f>IF(F95="","",VLOOKUP(F95,'G-3 Multipliers'!$A$2:$E$134,2,FALSE))</f>
        <v/>
      </c>
      <c r="V95" s="295" t="str">
        <f t="shared" si="10"/>
        <v/>
      </c>
      <c r="W95" s="295" t="str">
        <f>IF(E95="","",IF(AND(V95="Standard difficulty applied",O95&gt;P95),U95,IF(AND(V95="Low Difficulty - only applicable if all habitat created before losses ⚠",P95&gt;=O95),"Low",VLOOKUP(F95,'G-3 Multipliers'!$A$2:$E$134,4,FALSE))))</f>
        <v/>
      </c>
      <c r="X95" s="299" t="str">
        <f>IFERROR(IF(E95="","",VLOOKUP(W95,'G-3 Multipliers'!$P$2:$Q$6,2,FALSE)),"")</f>
        <v/>
      </c>
      <c r="Y95" s="303" t="str">
        <f t="shared" si="11"/>
        <v/>
      </c>
      <c r="Z95" s="52"/>
      <c r="AA95" s="51"/>
      <c r="AB95" s="104"/>
      <c r="AE95" s="40" t="str">
        <f t="shared" si="7"/>
        <v/>
      </c>
    </row>
    <row r="96" spans="1:31" ht="14" hidden="1">
      <c r="A96" s="35" t="str">
        <f>IFERROR(INDEX('G-8 Condition Look up'!$I$4:$I$135,MATCH(F96,'G-8 Condition Look up'!$A$4:$A$135,0)),"")</f>
        <v/>
      </c>
      <c r="B96" s="225">
        <v>86</v>
      </c>
      <c r="C96" s="232" t="str">
        <f>IFERROR(INDEX('G-1 All Habitats'!$AG$25:$AG$41,MATCH(D96,'G-1 All Habitats'!AF$25:AF$41,0)),"")</f>
        <v/>
      </c>
      <c r="D96" s="52"/>
      <c r="E96" s="57"/>
      <c r="F96" s="231" t="str">
        <f>IFERROR(INDEX('G-1 All Habitats'!$B$3:$B$135,MATCH(E96,'G-1 All Habitats'!$A$3:$A$135,0)),"")</f>
        <v/>
      </c>
      <c r="G96" s="51"/>
      <c r="H96" s="275" t="str">
        <f>IF(F96="","",VLOOKUP(F96,'G-1 All Habitats'!$B$2:$M$135,10,FALSE))</f>
        <v/>
      </c>
      <c r="I96" s="276" t="str">
        <f>IFERROR(VLOOKUP(H96,'G-1 All Habitats'!$V$3:$W$7,2,FALSE),"")</f>
        <v/>
      </c>
      <c r="J96" s="52"/>
      <c r="K96" s="276" t="str">
        <f>IFERROR(INDEX('G-8 Condition Look up'!$A$3:$H$135,MATCH(F96,'G-8 Condition Look up'!$A$3:$A$135,0),MATCH(J96,'G-8 Condition Look up'!$A$3:$H$3,0)),"")</f>
        <v/>
      </c>
      <c r="L96" s="52"/>
      <c r="M96" s="283" t="str">
        <f>IF(L96="","",IF(VLOOKUP(L96,'G-3 Multipliers'!$L$3:$N$6,2,FALSE)=0,"Spatial Data Missing",VLOOKUP(L96,'G-3 Multipliers'!$L$3:$N$6,2,FALSE)))</f>
        <v/>
      </c>
      <c r="N96" s="281" t="str">
        <f>IF(L96="","",IF(VLOOKUP(L96,'G-3 Multipliers'!$L$3:$N$6,3,FALSE)=0,"Spatial Data Missing",VLOOKUP(L96,'G-3 Multipliers'!$L$3:$N$6,3,FALSE)))</f>
        <v/>
      </c>
      <c r="O96" s="275" t="str">
        <f t="shared" si="6"/>
        <v/>
      </c>
      <c r="P96" s="58"/>
      <c r="Q96" s="58"/>
      <c r="R96" s="283" t="str">
        <f t="shared" si="8"/>
        <v/>
      </c>
      <c r="S96" s="296" t="str">
        <f t="shared" si="9"/>
        <v/>
      </c>
      <c r="T96" s="297" t="str">
        <f>IFERROR(IF(S96="Check Data ⚠","Check Data ⚠",VLOOKUP(S96,'G-4 Temporal multipliers'!$A$4:$C$37,3,FALSE)),"")</f>
        <v/>
      </c>
      <c r="U96" s="298" t="str">
        <f>IF(F96="","",VLOOKUP(F96,'G-3 Multipliers'!$A$2:$E$134,2,FALSE))</f>
        <v/>
      </c>
      <c r="V96" s="295" t="str">
        <f t="shared" si="10"/>
        <v/>
      </c>
      <c r="W96" s="295" t="str">
        <f>IF(E96="","",IF(AND(V96="Standard difficulty applied",O96&gt;P96),U96,IF(AND(V96="Low Difficulty - only applicable if all habitat created before losses ⚠",P96&gt;=O96),"Low",VLOOKUP(F96,'G-3 Multipliers'!$A$2:$E$134,4,FALSE))))</f>
        <v/>
      </c>
      <c r="X96" s="299" t="str">
        <f>IFERROR(IF(E96="","",VLOOKUP(W96,'G-3 Multipliers'!$P$2:$Q$6,2,FALSE)),"")</f>
        <v/>
      </c>
      <c r="Y96" s="303" t="str">
        <f t="shared" si="11"/>
        <v/>
      </c>
      <c r="Z96" s="52"/>
      <c r="AA96" s="51"/>
      <c r="AB96" s="104"/>
      <c r="AE96" s="40" t="str">
        <f t="shared" si="7"/>
        <v/>
      </c>
    </row>
    <row r="97" spans="1:31" ht="14" hidden="1">
      <c r="A97" s="35" t="str">
        <f>IFERROR(INDEX('G-8 Condition Look up'!$I$4:$I$135,MATCH(F97,'G-8 Condition Look up'!$A$4:$A$135,0)),"")</f>
        <v/>
      </c>
      <c r="B97" s="225">
        <v>87</v>
      </c>
      <c r="C97" s="232" t="str">
        <f>IFERROR(INDEX('G-1 All Habitats'!$AG$25:$AG$41,MATCH(D97,'G-1 All Habitats'!AF$25:AF$41,0)),"")</f>
        <v/>
      </c>
      <c r="D97" s="52"/>
      <c r="E97" s="57"/>
      <c r="F97" s="231" t="str">
        <f>IFERROR(INDEX('G-1 All Habitats'!$B$3:$B$135,MATCH(E97,'G-1 All Habitats'!$A$3:$A$135,0)),"")</f>
        <v/>
      </c>
      <c r="G97" s="51"/>
      <c r="H97" s="275" t="str">
        <f>IF(F97="","",VLOOKUP(F97,'G-1 All Habitats'!$B$2:$M$135,10,FALSE))</f>
        <v/>
      </c>
      <c r="I97" s="276" t="str">
        <f>IFERROR(VLOOKUP(H97,'G-1 All Habitats'!$V$3:$W$7,2,FALSE),"")</f>
        <v/>
      </c>
      <c r="J97" s="52"/>
      <c r="K97" s="276" t="str">
        <f>IFERROR(INDEX('G-8 Condition Look up'!$A$3:$H$135,MATCH(F97,'G-8 Condition Look up'!$A$3:$A$135,0),MATCH(J97,'G-8 Condition Look up'!$A$3:$H$3,0)),"")</f>
        <v/>
      </c>
      <c r="L97" s="52"/>
      <c r="M97" s="283" t="str">
        <f>IF(L97="","",IF(VLOOKUP(L97,'G-3 Multipliers'!$L$3:$N$6,2,FALSE)=0,"Spatial Data Missing",VLOOKUP(L97,'G-3 Multipliers'!$L$3:$N$6,2,FALSE)))</f>
        <v/>
      </c>
      <c r="N97" s="281" t="str">
        <f>IF(L97="","",IF(VLOOKUP(L97,'G-3 Multipliers'!$L$3:$N$6,3,FALSE)=0,"Spatial Data Missing",VLOOKUP(L97,'G-3 Multipliers'!$L$3:$N$6,3,FALSE)))</f>
        <v/>
      </c>
      <c r="O97" s="275" t="str">
        <f t="shared" si="6"/>
        <v/>
      </c>
      <c r="P97" s="58"/>
      <c r="Q97" s="58"/>
      <c r="R97" s="283" t="str">
        <f t="shared" si="8"/>
        <v/>
      </c>
      <c r="S97" s="296" t="str">
        <f t="shared" si="9"/>
        <v/>
      </c>
      <c r="T97" s="297" t="str">
        <f>IFERROR(IF(S97="Check Data ⚠","Check Data ⚠",VLOOKUP(S97,'G-4 Temporal multipliers'!$A$4:$C$37,3,FALSE)),"")</f>
        <v/>
      </c>
      <c r="U97" s="298" t="str">
        <f>IF(F97="","",VLOOKUP(F97,'G-3 Multipliers'!$A$2:$E$134,2,FALSE))</f>
        <v/>
      </c>
      <c r="V97" s="295" t="str">
        <f t="shared" si="10"/>
        <v/>
      </c>
      <c r="W97" s="295" t="str">
        <f>IF(E97="","",IF(AND(V97="Standard difficulty applied",O97&gt;P97),U97,IF(AND(V97="Low Difficulty - only applicable if all habitat created before losses ⚠",P97&gt;=O97),"Low",VLOOKUP(F97,'G-3 Multipliers'!$A$2:$E$134,4,FALSE))))</f>
        <v/>
      </c>
      <c r="X97" s="299" t="str">
        <f>IFERROR(IF(E97="","",VLOOKUP(W97,'G-3 Multipliers'!$P$2:$Q$6,2,FALSE)),"")</f>
        <v/>
      </c>
      <c r="Y97" s="303" t="str">
        <f t="shared" si="11"/>
        <v/>
      </c>
      <c r="Z97" s="52"/>
      <c r="AA97" s="51"/>
      <c r="AB97" s="104"/>
      <c r="AE97" s="40" t="str">
        <f t="shared" si="7"/>
        <v/>
      </c>
    </row>
    <row r="98" spans="1:31" ht="14" hidden="1">
      <c r="A98" s="35" t="str">
        <f>IFERROR(INDEX('G-8 Condition Look up'!$I$4:$I$135,MATCH(F98,'G-8 Condition Look up'!$A$4:$A$135,0)),"")</f>
        <v/>
      </c>
      <c r="B98" s="225">
        <v>88</v>
      </c>
      <c r="C98" s="232" t="str">
        <f>IFERROR(INDEX('G-1 All Habitats'!$AG$25:$AG$41,MATCH(D98,'G-1 All Habitats'!AF$25:AF$41,0)),"")</f>
        <v/>
      </c>
      <c r="D98" s="52"/>
      <c r="E98" s="57"/>
      <c r="F98" s="231" t="str">
        <f>IFERROR(INDEX('G-1 All Habitats'!$B$3:$B$135,MATCH(E98,'G-1 All Habitats'!$A$3:$A$135,0)),"")</f>
        <v/>
      </c>
      <c r="G98" s="51"/>
      <c r="H98" s="275" t="str">
        <f>IF(F98="","",VLOOKUP(F98,'G-1 All Habitats'!$B$2:$M$135,10,FALSE))</f>
        <v/>
      </c>
      <c r="I98" s="276" t="str">
        <f>IFERROR(VLOOKUP(H98,'G-1 All Habitats'!$V$3:$W$7,2,FALSE),"")</f>
        <v/>
      </c>
      <c r="J98" s="52"/>
      <c r="K98" s="276" t="str">
        <f>IFERROR(INDEX('G-8 Condition Look up'!$A$3:$H$135,MATCH(F98,'G-8 Condition Look up'!$A$3:$A$135,0),MATCH(J98,'G-8 Condition Look up'!$A$3:$H$3,0)),"")</f>
        <v/>
      </c>
      <c r="L98" s="52"/>
      <c r="M98" s="283" t="str">
        <f>IF(L98="","",IF(VLOOKUP(L98,'G-3 Multipliers'!$L$3:$N$6,2,FALSE)=0,"Spatial Data Missing",VLOOKUP(L98,'G-3 Multipliers'!$L$3:$N$6,2,FALSE)))</f>
        <v/>
      </c>
      <c r="N98" s="281" t="str">
        <f>IF(L98="","",IF(VLOOKUP(L98,'G-3 Multipliers'!$L$3:$N$6,3,FALSE)=0,"Spatial Data Missing",VLOOKUP(L98,'G-3 Multipliers'!$L$3:$N$6,3,FALSE)))</f>
        <v/>
      </c>
      <c r="O98" s="275" t="str">
        <f t="shared" si="6"/>
        <v/>
      </c>
      <c r="P98" s="58"/>
      <c r="Q98" s="58"/>
      <c r="R98" s="283" t="str">
        <f t="shared" si="8"/>
        <v/>
      </c>
      <c r="S98" s="296" t="str">
        <f t="shared" si="9"/>
        <v/>
      </c>
      <c r="T98" s="297" t="str">
        <f>IFERROR(IF(S98="Check Data ⚠","Check Data ⚠",VLOOKUP(S98,'G-4 Temporal multipliers'!$A$4:$C$37,3,FALSE)),"")</f>
        <v/>
      </c>
      <c r="U98" s="298" t="str">
        <f>IF(F98="","",VLOOKUP(F98,'G-3 Multipliers'!$A$2:$E$134,2,FALSE))</f>
        <v/>
      </c>
      <c r="V98" s="295" t="str">
        <f t="shared" si="10"/>
        <v/>
      </c>
      <c r="W98" s="295" t="str">
        <f>IF(E98="","",IF(AND(V98="Standard difficulty applied",O98&gt;P98),U98,IF(AND(V98="Low Difficulty - only applicable if all habitat created before losses ⚠",P98&gt;=O98),"Low",VLOOKUP(F98,'G-3 Multipliers'!$A$2:$E$134,4,FALSE))))</f>
        <v/>
      </c>
      <c r="X98" s="299" t="str">
        <f>IFERROR(IF(E98="","",VLOOKUP(W98,'G-3 Multipliers'!$P$2:$Q$6,2,FALSE)),"")</f>
        <v/>
      </c>
      <c r="Y98" s="303" t="str">
        <f t="shared" si="11"/>
        <v/>
      </c>
      <c r="Z98" s="52"/>
      <c r="AA98" s="51"/>
      <c r="AB98" s="104"/>
      <c r="AE98" s="40" t="str">
        <f t="shared" si="7"/>
        <v/>
      </c>
    </row>
    <row r="99" spans="1:31" ht="14" hidden="1">
      <c r="A99" s="35" t="str">
        <f>IFERROR(INDEX('G-8 Condition Look up'!$I$4:$I$135,MATCH(F99,'G-8 Condition Look up'!$A$4:$A$135,0)),"")</f>
        <v/>
      </c>
      <c r="B99" s="225">
        <v>89</v>
      </c>
      <c r="C99" s="232" t="str">
        <f>IFERROR(INDEX('G-1 All Habitats'!$AG$25:$AG$41,MATCH(D99,'G-1 All Habitats'!AF$25:AF$41,0)),"")</f>
        <v/>
      </c>
      <c r="D99" s="52"/>
      <c r="E99" s="57"/>
      <c r="F99" s="231" t="str">
        <f>IFERROR(INDEX('G-1 All Habitats'!$B$3:$B$135,MATCH(E99,'G-1 All Habitats'!$A$3:$A$135,0)),"")</f>
        <v/>
      </c>
      <c r="G99" s="51"/>
      <c r="H99" s="275" t="str">
        <f>IF(F99="","",VLOOKUP(F99,'G-1 All Habitats'!$B$2:$M$135,10,FALSE))</f>
        <v/>
      </c>
      <c r="I99" s="276" t="str">
        <f>IFERROR(VLOOKUP(H99,'G-1 All Habitats'!$V$3:$W$7,2,FALSE),"")</f>
        <v/>
      </c>
      <c r="J99" s="52"/>
      <c r="K99" s="276" t="str">
        <f>IFERROR(INDEX('G-8 Condition Look up'!$A$3:$H$135,MATCH(F99,'G-8 Condition Look up'!$A$3:$A$135,0),MATCH(J99,'G-8 Condition Look up'!$A$3:$H$3,0)),"")</f>
        <v/>
      </c>
      <c r="L99" s="52"/>
      <c r="M99" s="283" t="str">
        <f>IF(L99="","",IF(VLOOKUP(L99,'G-3 Multipliers'!$L$3:$N$6,2,FALSE)=0,"Spatial Data Missing",VLOOKUP(L99,'G-3 Multipliers'!$L$3:$N$6,2,FALSE)))</f>
        <v/>
      </c>
      <c r="N99" s="281" t="str">
        <f>IF(L99="","",IF(VLOOKUP(L99,'G-3 Multipliers'!$L$3:$N$6,3,FALSE)=0,"Spatial Data Missing",VLOOKUP(L99,'G-3 Multipliers'!$L$3:$N$6,3,FALSE)))</f>
        <v/>
      </c>
      <c r="O99" s="275" t="str">
        <f t="shared" si="6"/>
        <v/>
      </c>
      <c r="P99" s="58"/>
      <c r="Q99" s="58"/>
      <c r="R99" s="283" t="str">
        <f t="shared" si="8"/>
        <v/>
      </c>
      <c r="S99" s="296" t="str">
        <f t="shared" si="9"/>
        <v/>
      </c>
      <c r="T99" s="297" t="str">
        <f>IFERROR(IF(S99="Check Data ⚠","Check Data ⚠",VLOOKUP(S99,'G-4 Temporal multipliers'!$A$4:$C$37,3,FALSE)),"")</f>
        <v/>
      </c>
      <c r="U99" s="298" t="str">
        <f>IF(F99="","",VLOOKUP(F99,'G-3 Multipliers'!$A$2:$E$134,2,FALSE))</f>
        <v/>
      </c>
      <c r="V99" s="295" t="str">
        <f t="shared" si="10"/>
        <v/>
      </c>
      <c r="W99" s="295" t="str">
        <f>IF(E99="","",IF(AND(V99="Standard difficulty applied",O99&gt;P99),U99,IF(AND(V99="Low Difficulty - only applicable if all habitat created before losses ⚠",P99&gt;=O99),"Low",VLOOKUP(F99,'G-3 Multipliers'!$A$2:$E$134,4,FALSE))))</f>
        <v/>
      </c>
      <c r="X99" s="299" t="str">
        <f>IFERROR(IF(E99="","",VLOOKUP(W99,'G-3 Multipliers'!$P$2:$Q$6,2,FALSE)),"")</f>
        <v/>
      </c>
      <c r="Y99" s="303" t="str">
        <f t="shared" si="11"/>
        <v/>
      </c>
      <c r="Z99" s="52"/>
      <c r="AA99" s="51"/>
      <c r="AB99" s="104"/>
      <c r="AE99" s="40" t="str">
        <f t="shared" si="7"/>
        <v/>
      </c>
    </row>
    <row r="100" spans="1:31" ht="14" hidden="1">
      <c r="A100" s="35" t="str">
        <f>IFERROR(INDEX('G-8 Condition Look up'!$I$4:$I$135,MATCH(F100,'G-8 Condition Look up'!$A$4:$A$135,0)),"")</f>
        <v/>
      </c>
      <c r="B100" s="225">
        <v>90</v>
      </c>
      <c r="C100" s="232" t="str">
        <f>IFERROR(INDEX('G-1 All Habitats'!$AG$25:$AG$41,MATCH(D100,'G-1 All Habitats'!AF$25:AF$41,0)),"")</f>
        <v/>
      </c>
      <c r="D100" s="52"/>
      <c r="E100" s="57"/>
      <c r="F100" s="231" t="str">
        <f>IFERROR(INDEX('G-1 All Habitats'!$B$3:$B$135,MATCH(E100,'G-1 All Habitats'!$A$3:$A$135,0)),"")</f>
        <v/>
      </c>
      <c r="G100" s="51"/>
      <c r="H100" s="275" t="str">
        <f>IF(F100="","",VLOOKUP(F100,'G-1 All Habitats'!$B$2:$M$135,10,FALSE))</f>
        <v/>
      </c>
      <c r="I100" s="276" t="str">
        <f>IFERROR(VLOOKUP(H100,'G-1 All Habitats'!$V$3:$W$7,2,FALSE),"")</f>
        <v/>
      </c>
      <c r="J100" s="52"/>
      <c r="K100" s="276" t="str">
        <f>IFERROR(INDEX('G-8 Condition Look up'!$A$3:$H$135,MATCH(F100,'G-8 Condition Look up'!$A$3:$A$135,0),MATCH(J100,'G-8 Condition Look up'!$A$3:$H$3,0)),"")</f>
        <v/>
      </c>
      <c r="L100" s="52"/>
      <c r="M100" s="283" t="str">
        <f>IF(L100="","",IF(VLOOKUP(L100,'G-3 Multipliers'!$L$3:$N$6,2,FALSE)=0,"Spatial Data Missing",VLOOKUP(L100,'G-3 Multipliers'!$L$3:$N$6,2,FALSE)))</f>
        <v/>
      </c>
      <c r="N100" s="281" t="str">
        <f>IF(L100="","",IF(VLOOKUP(L100,'G-3 Multipliers'!$L$3:$N$6,3,FALSE)=0,"Spatial Data Missing",VLOOKUP(L100,'G-3 Multipliers'!$L$3:$N$6,3,FALSE)))</f>
        <v/>
      </c>
      <c r="O100" s="275" t="str">
        <f t="shared" si="6"/>
        <v/>
      </c>
      <c r="P100" s="58"/>
      <c r="Q100" s="58"/>
      <c r="R100" s="283" t="str">
        <f t="shared" si="8"/>
        <v/>
      </c>
      <c r="S100" s="296" t="str">
        <f t="shared" si="9"/>
        <v/>
      </c>
      <c r="T100" s="297" t="str">
        <f>IFERROR(IF(S100="Check Data ⚠","Check Data ⚠",VLOOKUP(S100,'G-4 Temporal multipliers'!$A$4:$C$37,3,FALSE)),"")</f>
        <v/>
      </c>
      <c r="U100" s="298" t="str">
        <f>IF(F100="","",VLOOKUP(F100,'G-3 Multipliers'!$A$2:$E$134,2,FALSE))</f>
        <v/>
      </c>
      <c r="V100" s="295" t="str">
        <f t="shared" si="10"/>
        <v/>
      </c>
      <c r="W100" s="295" t="str">
        <f>IF(E100="","",IF(AND(V100="Standard difficulty applied",O100&gt;P100),U100,IF(AND(V100="Low Difficulty - only applicable if all habitat created before losses ⚠",P100&gt;=O100),"Low",VLOOKUP(F100,'G-3 Multipliers'!$A$2:$E$134,4,FALSE))))</f>
        <v/>
      </c>
      <c r="X100" s="299" t="str">
        <f>IFERROR(IF(E100="","",VLOOKUP(W100,'G-3 Multipliers'!$P$2:$Q$6,2,FALSE)),"")</f>
        <v/>
      </c>
      <c r="Y100" s="303" t="str">
        <f t="shared" si="11"/>
        <v/>
      </c>
      <c r="Z100" s="52"/>
      <c r="AA100" s="51"/>
      <c r="AB100" s="104"/>
      <c r="AE100" s="40" t="str">
        <f t="shared" si="7"/>
        <v/>
      </c>
    </row>
    <row r="101" spans="1:31" ht="14" hidden="1">
      <c r="A101" s="35" t="str">
        <f>IFERROR(INDEX('G-8 Condition Look up'!$I$4:$I$135,MATCH(F101,'G-8 Condition Look up'!$A$4:$A$135,0)),"")</f>
        <v/>
      </c>
      <c r="B101" s="225">
        <v>91</v>
      </c>
      <c r="C101" s="232" t="str">
        <f>IFERROR(INDEX('G-1 All Habitats'!$AG$25:$AG$41,MATCH(D101,'G-1 All Habitats'!AF$25:AF$41,0)),"")</f>
        <v/>
      </c>
      <c r="D101" s="52"/>
      <c r="E101" s="57"/>
      <c r="F101" s="231" t="str">
        <f>IFERROR(INDEX('G-1 All Habitats'!$B$3:$B$135,MATCH(E101,'G-1 All Habitats'!$A$3:$A$135,0)),"")</f>
        <v/>
      </c>
      <c r="G101" s="51"/>
      <c r="H101" s="275" t="str">
        <f>IF(F101="","",VLOOKUP(F101,'G-1 All Habitats'!$B$2:$M$135,10,FALSE))</f>
        <v/>
      </c>
      <c r="I101" s="276" t="str">
        <f>IFERROR(VLOOKUP(H101,'G-1 All Habitats'!$V$3:$W$7,2,FALSE),"")</f>
        <v/>
      </c>
      <c r="J101" s="52"/>
      <c r="K101" s="276" t="str">
        <f>IFERROR(INDEX('G-8 Condition Look up'!$A$3:$H$135,MATCH(F101,'G-8 Condition Look up'!$A$3:$A$135,0),MATCH(J101,'G-8 Condition Look up'!$A$3:$H$3,0)),"")</f>
        <v/>
      </c>
      <c r="L101" s="52"/>
      <c r="M101" s="283" t="str">
        <f>IF(L101="","",IF(VLOOKUP(L101,'G-3 Multipliers'!$L$3:$N$6,2,FALSE)=0,"Spatial Data Missing",VLOOKUP(L101,'G-3 Multipliers'!$L$3:$N$6,2,FALSE)))</f>
        <v/>
      </c>
      <c r="N101" s="281" t="str">
        <f>IF(L101="","",IF(VLOOKUP(L101,'G-3 Multipliers'!$L$3:$N$6,3,FALSE)=0,"Spatial Data Missing",VLOOKUP(L101,'G-3 Multipliers'!$L$3:$N$6,3,FALSE)))</f>
        <v/>
      </c>
      <c r="O101" s="275" t="str">
        <f t="shared" si="6"/>
        <v/>
      </c>
      <c r="P101" s="58"/>
      <c r="Q101" s="58"/>
      <c r="R101" s="283" t="str">
        <f t="shared" si="8"/>
        <v/>
      </c>
      <c r="S101" s="296" t="str">
        <f t="shared" si="9"/>
        <v/>
      </c>
      <c r="T101" s="297" t="str">
        <f>IFERROR(IF(S101="Check Data ⚠","Check Data ⚠",VLOOKUP(S101,'G-4 Temporal multipliers'!$A$4:$C$37,3,FALSE)),"")</f>
        <v/>
      </c>
      <c r="U101" s="298" t="str">
        <f>IF(F101="","",VLOOKUP(F101,'G-3 Multipliers'!$A$2:$E$134,2,FALSE))</f>
        <v/>
      </c>
      <c r="V101" s="295" t="str">
        <f t="shared" si="10"/>
        <v/>
      </c>
      <c r="W101" s="295" t="str">
        <f>IF(E101="","",IF(AND(V101="Standard difficulty applied",O101&gt;P101),U101,IF(AND(V101="Low Difficulty - only applicable if all habitat created before losses ⚠",P101&gt;=O101),"Low",VLOOKUP(F101,'G-3 Multipliers'!$A$2:$E$134,4,FALSE))))</f>
        <v/>
      </c>
      <c r="X101" s="299" t="str">
        <f>IFERROR(IF(E101="","",VLOOKUP(W101,'G-3 Multipliers'!$P$2:$Q$6,2,FALSE)),"")</f>
        <v/>
      </c>
      <c r="Y101" s="303" t="str">
        <f t="shared" si="11"/>
        <v/>
      </c>
      <c r="Z101" s="52"/>
      <c r="AA101" s="51"/>
      <c r="AB101" s="104"/>
      <c r="AE101" s="40" t="str">
        <f t="shared" si="7"/>
        <v/>
      </c>
    </row>
    <row r="102" spans="1:31" ht="14" hidden="1">
      <c r="A102" s="35" t="str">
        <f>IFERROR(INDEX('G-8 Condition Look up'!$I$4:$I$135,MATCH(F102,'G-8 Condition Look up'!$A$4:$A$135,0)),"")</f>
        <v/>
      </c>
      <c r="B102" s="225">
        <v>92</v>
      </c>
      <c r="C102" s="232" t="str">
        <f>IFERROR(INDEX('G-1 All Habitats'!$AG$25:$AG$41,MATCH(D102,'G-1 All Habitats'!AF$25:AF$41,0)),"")</f>
        <v/>
      </c>
      <c r="D102" s="52"/>
      <c r="E102" s="57"/>
      <c r="F102" s="231" t="str">
        <f>IFERROR(INDEX('G-1 All Habitats'!$B$3:$B$135,MATCH(E102,'G-1 All Habitats'!$A$3:$A$135,0)),"")</f>
        <v/>
      </c>
      <c r="G102" s="51"/>
      <c r="H102" s="275" t="str">
        <f>IF(F102="","",VLOOKUP(F102,'G-1 All Habitats'!$B$2:$M$135,10,FALSE))</f>
        <v/>
      </c>
      <c r="I102" s="276" t="str">
        <f>IFERROR(VLOOKUP(H102,'G-1 All Habitats'!$V$3:$W$7,2,FALSE),"")</f>
        <v/>
      </c>
      <c r="J102" s="52"/>
      <c r="K102" s="276" t="str">
        <f>IFERROR(INDEX('G-8 Condition Look up'!$A$3:$H$135,MATCH(F102,'G-8 Condition Look up'!$A$3:$A$135,0),MATCH(J102,'G-8 Condition Look up'!$A$3:$H$3,0)),"")</f>
        <v/>
      </c>
      <c r="L102" s="52"/>
      <c r="M102" s="283" t="str">
        <f>IF(L102="","",IF(VLOOKUP(L102,'G-3 Multipliers'!$L$3:$N$6,2,FALSE)=0,"Spatial Data Missing",VLOOKUP(L102,'G-3 Multipliers'!$L$3:$N$6,2,FALSE)))</f>
        <v/>
      </c>
      <c r="N102" s="281" t="str">
        <f>IF(L102="","",IF(VLOOKUP(L102,'G-3 Multipliers'!$L$3:$N$6,3,FALSE)=0,"Spatial Data Missing",VLOOKUP(L102,'G-3 Multipliers'!$L$3:$N$6,3,FALSE)))</f>
        <v/>
      </c>
      <c r="O102" s="275" t="str">
        <f t="shared" si="6"/>
        <v/>
      </c>
      <c r="P102" s="58"/>
      <c r="Q102" s="58"/>
      <c r="R102" s="283" t="str">
        <f t="shared" si="8"/>
        <v/>
      </c>
      <c r="S102" s="296" t="str">
        <f t="shared" si="9"/>
        <v/>
      </c>
      <c r="T102" s="297" t="str">
        <f>IFERROR(IF(S102="Check Data ⚠","Check Data ⚠",VLOOKUP(S102,'G-4 Temporal multipliers'!$A$4:$C$37,3,FALSE)),"")</f>
        <v/>
      </c>
      <c r="U102" s="298" t="str">
        <f>IF(F102="","",VLOOKUP(F102,'G-3 Multipliers'!$A$2:$E$134,2,FALSE))</f>
        <v/>
      </c>
      <c r="V102" s="295" t="str">
        <f t="shared" si="10"/>
        <v/>
      </c>
      <c r="W102" s="295" t="str">
        <f>IF(E102="","",IF(AND(V102="Standard difficulty applied",O102&gt;P102),U102,IF(AND(V102="Low Difficulty - only applicable if all habitat created before losses ⚠",P102&gt;=O102),"Low",VLOOKUP(F102,'G-3 Multipliers'!$A$2:$E$134,4,FALSE))))</f>
        <v/>
      </c>
      <c r="X102" s="299" t="str">
        <f>IFERROR(IF(E102="","",VLOOKUP(W102,'G-3 Multipliers'!$P$2:$Q$6,2,FALSE)),"")</f>
        <v/>
      </c>
      <c r="Y102" s="303" t="str">
        <f t="shared" si="11"/>
        <v/>
      </c>
      <c r="Z102" s="52"/>
      <c r="AA102" s="51"/>
      <c r="AB102" s="104"/>
      <c r="AE102" s="40" t="str">
        <f t="shared" si="7"/>
        <v/>
      </c>
    </row>
    <row r="103" spans="1:31" ht="14" hidden="1">
      <c r="A103" s="35" t="str">
        <f>IFERROR(INDEX('G-8 Condition Look up'!$I$4:$I$135,MATCH(F103,'G-8 Condition Look up'!$A$4:$A$135,0)),"")</f>
        <v/>
      </c>
      <c r="B103" s="225">
        <v>93</v>
      </c>
      <c r="C103" s="232" t="str">
        <f>IFERROR(INDEX('G-1 All Habitats'!$AG$25:$AG$41,MATCH(D103,'G-1 All Habitats'!AF$25:AF$41,0)),"")</f>
        <v/>
      </c>
      <c r="D103" s="52"/>
      <c r="E103" s="57"/>
      <c r="F103" s="231" t="str">
        <f>IFERROR(INDEX('G-1 All Habitats'!$B$3:$B$135,MATCH(E103,'G-1 All Habitats'!$A$3:$A$135,0)),"")</f>
        <v/>
      </c>
      <c r="G103" s="51"/>
      <c r="H103" s="275" t="str">
        <f>IF(F103="","",VLOOKUP(F103,'G-1 All Habitats'!$B$2:$M$135,10,FALSE))</f>
        <v/>
      </c>
      <c r="I103" s="276" t="str">
        <f>IFERROR(VLOOKUP(H103,'G-1 All Habitats'!$V$3:$W$7,2,FALSE),"")</f>
        <v/>
      </c>
      <c r="J103" s="52"/>
      <c r="K103" s="276" t="str">
        <f>IFERROR(INDEX('G-8 Condition Look up'!$A$3:$H$135,MATCH(F103,'G-8 Condition Look up'!$A$3:$A$135,0),MATCH(J103,'G-8 Condition Look up'!$A$3:$H$3,0)),"")</f>
        <v/>
      </c>
      <c r="L103" s="52"/>
      <c r="M103" s="283" t="str">
        <f>IF(L103="","",IF(VLOOKUP(L103,'G-3 Multipliers'!$L$3:$N$6,2,FALSE)=0,"Spatial Data Missing",VLOOKUP(L103,'G-3 Multipliers'!$L$3:$N$6,2,FALSE)))</f>
        <v/>
      </c>
      <c r="N103" s="281" t="str">
        <f>IF(L103="","",IF(VLOOKUP(L103,'G-3 Multipliers'!$L$3:$N$6,3,FALSE)=0,"Spatial Data Missing",VLOOKUP(L103,'G-3 Multipliers'!$L$3:$N$6,3,FALSE)))</f>
        <v/>
      </c>
      <c r="O103" s="275" t="str">
        <f t="shared" si="6"/>
        <v/>
      </c>
      <c r="P103" s="58"/>
      <c r="Q103" s="58"/>
      <c r="R103" s="283" t="str">
        <f t="shared" si="8"/>
        <v/>
      </c>
      <c r="S103" s="296" t="str">
        <f t="shared" si="9"/>
        <v/>
      </c>
      <c r="T103" s="297" t="str">
        <f>IFERROR(IF(S103="Check Data ⚠","Check Data ⚠",VLOOKUP(S103,'G-4 Temporal multipliers'!$A$4:$C$37,3,FALSE)),"")</f>
        <v/>
      </c>
      <c r="U103" s="298" t="str">
        <f>IF(F103="","",VLOOKUP(F103,'G-3 Multipliers'!$A$2:$E$134,2,FALSE))</f>
        <v/>
      </c>
      <c r="V103" s="295" t="str">
        <f t="shared" si="10"/>
        <v/>
      </c>
      <c r="W103" s="295" t="str">
        <f>IF(E103="","",IF(AND(V103="Standard difficulty applied",O103&gt;P103),U103,IF(AND(V103="Low Difficulty - only applicable if all habitat created before losses ⚠",P103&gt;=O103),"Low",VLOOKUP(F103,'G-3 Multipliers'!$A$2:$E$134,4,FALSE))))</f>
        <v/>
      </c>
      <c r="X103" s="299" t="str">
        <f>IFERROR(IF(E103="","",VLOOKUP(W103,'G-3 Multipliers'!$P$2:$Q$6,2,FALSE)),"")</f>
        <v/>
      </c>
      <c r="Y103" s="303" t="str">
        <f t="shared" si="11"/>
        <v/>
      </c>
      <c r="Z103" s="52"/>
      <c r="AA103" s="51"/>
      <c r="AB103" s="104"/>
      <c r="AE103" s="40" t="str">
        <f t="shared" si="7"/>
        <v/>
      </c>
    </row>
    <row r="104" spans="1:31" ht="14" hidden="1">
      <c r="A104" s="35" t="str">
        <f>IFERROR(INDEX('G-8 Condition Look up'!$I$4:$I$135,MATCH(F104,'G-8 Condition Look up'!$A$4:$A$135,0)),"")</f>
        <v/>
      </c>
      <c r="B104" s="225">
        <v>94</v>
      </c>
      <c r="C104" s="232" t="str">
        <f>IFERROR(INDEX('G-1 All Habitats'!$AG$25:$AG$41,MATCH(D104,'G-1 All Habitats'!AF$25:AF$41,0)),"")</f>
        <v/>
      </c>
      <c r="D104" s="52"/>
      <c r="E104" s="57"/>
      <c r="F104" s="231" t="str">
        <f>IFERROR(INDEX('G-1 All Habitats'!$B$3:$B$135,MATCH(E104,'G-1 All Habitats'!$A$3:$A$135,0)),"")</f>
        <v/>
      </c>
      <c r="G104" s="51"/>
      <c r="H104" s="275" t="str">
        <f>IF(F104="","",VLOOKUP(F104,'G-1 All Habitats'!$B$2:$M$135,10,FALSE))</f>
        <v/>
      </c>
      <c r="I104" s="276" t="str">
        <f>IFERROR(VLOOKUP(H104,'G-1 All Habitats'!$V$3:$W$7,2,FALSE),"")</f>
        <v/>
      </c>
      <c r="J104" s="52"/>
      <c r="K104" s="276" t="str">
        <f>IFERROR(INDEX('G-8 Condition Look up'!$A$3:$H$135,MATCH(F104,'G-8 Condition Look up'!$A$3:$A$135,0),MATCH(J104,'G-8 Condition Look up'!$A$3:$H$3,0)),"")</f>
        <v/>
      </c>
      <c r="L104" s="52"/>
      <c r="M104" s="283" t="str">
        <f>IF(L104="","",IF(VLOOKUP(L104,'G-3 Multipliers'!$L$3:$N$6,2,FALSE)=0,"Spatial Data Missing",VLOOKUP(L104,'G-3 Multipliers'!$L$3:$N$6,2,FALSE)))</f>
        <v/>
      </c>
      <c r="N104" s="281" t="str">
        <f>IF(L104="","",IF(VLOOKUP(L104,'G-3 Multipliers'!$L$3:$N$6,3,FALSE)=0,"Spatial Data Missing",VLOOKUP(L104,'G-3 Multipliers'!$L$3:$N$6,3,FALSE)))</f>
        <v/>
      </c>
      <c r="O104" s="275" t="str">
        <f t="shared" si="6"/>
        <v/>
      </c>
      <c r="P104" s="58"/>
      <c r="Q104" s="58"/>
      <c r="R104" s="283" t="str">
        <f t="shared" si="8"/>
        <v/>
      </c>
      <c r="S104" s="296" t="str">
        <f t="shared" si="9"/>
        <v/>
      </c>
      <c r="T104" s="297" t="str">
        <f>IFERROR(IF(S104="Check Data ⚠","Check Data ⚠",VLOOKUP(S104,'G-4 Temporal multipliers'!$A$4:$C$37,3,FALSE)),"")</f>
        <v/>
      </c>
      <c r="U104" s="298" t="str">
        <f>IF(F104="","",VLOOKUP(F104,'G-3 Multipliers'!$A$2:$E$134,2,FALSE))</f>
        <v/>
      </c>
      <c r="V104" s="295" t="str">
        <f t="shared" si="10"/>
        <v/>
      </c>
      <c r="W104" s="295" t="str">
        <f>IF(E104="","",IF(AND(V104="Standard difficulty applied",O104&gt;P104),U104,IF(AND(V104="Low Difficulty - only applicable if all habitat created before losses ⚠",P104&gt;=O104),"Low",VLOOKUP(F104,'G-3 Multipliers'!$A$2:$E$134,4,FALSE))))</f>
        <v/>
      </c>
      <c r="X104" s="299" t="str">
        <f>IFERROR(IF(E104="","",VLOOKUP(W104,'G-3 Multipliers'!$P$2:$Q$6,2,FALSE)),"")</f>
        <v/>
      </c>
      <c r="Y104" s="303" t="str">
        <f t="shared" si="11"/>
        <v/>
      </c>
      <c r="Z104" s="52"/>
      <c r="AA104" s="51"/>
      <c r="AB104" s="104"/>
      <c r="AE104" s="40" t="str">
        <f t="shared" si="7"/>
        <v/>
      </c>
    </row>
    <row r="105" spans="1:31" ht="14" hidden="1">
      <c r="A105" s="35" t="str">
        <f>IFERROR(INDEX('G-8 Condition Look up'!$I$4:$I$135,MATCH(F105,'G-8 Condition Look up'!$A$4:$A$135,0)),"")</f>
        <v/>
      </c>
      <c r="B105" s="225">
        <v>95</v>
      </c>
      <c r="C105" s="232" t="str">
        <f>IFERROR(INDEX('G-1 All Habitats'!$AG$25:$AG$41,MATCH(D105,'G-1 All Habitats'!AF$25:AF$41,0)),"")</f>
        <v/>
      </c>
      <c r="D105" s="52"/>
      <c r="E105" s="57"/>
      <c r="F105" s="231" t="str">
        <f>IFERROR(INDEX('G-1 All Habitats'!$B$3:$B$135,MATCH(E105,'G-1 All Habitats'!$A$3:$A$135,0)),"")</f>
        <v/>
      </c>
      <c r="G105" s="51"/>
      <c r="H105" s="275" t="str">
        <f>IF(F105="","",VLOOKUP(F105,'G-1 All Habitats'!$B$2:$M$135,10,FALSE))</f>
        <v/>
      </c>
      <c r="I105" s="276" t="str">
        <f>IFERROR(VLOOKUP(H105,'G-1 All Habitats'!$V$3:$W$7,2,FALSE),"")</f>
        <v/>
      </c>
      <c r="J105" s="52"/>
      <c r="K105" s="276" t="str">
        <f>IFERROR(INDEX('G-8 Condition Look up'!$A$3:$H$135,MATCH(F105,'G-8 Condition Look up'!$A$3:$A$135,0),MATCH(J105,'G-8 Condition Look up'!$A$3:$H$3,0)),"")</f>
        <v/>
      </c>
      <c r="L105" s="52"/>
      <c r="M105" s="283" t="str">
        <f>IF(L105="","",IF(VLOOKUP(L105,'G-3 Multipliers'!$L$3:$N$6,2,FALSE)=0,"Spatial Data Missing",VLOOKUP(L105,'G-3 Multipliers'!$L$3:$N$6,2,FALSE)))</f>
        <v/>
      </c>
      <c r="N105" s="281" t="str">
        <f>IF(L105="","",IF(VLOOKUP(L105,'G-3 Multipliers'!$L$3:$N$6,3,FALSE)=0,"Spatial Data Missing",VLOOKUP(L105,'G-3 Multipliers'!$L$3:$N$6,3,FALSE)))</f>
        <v/>
      </c>
      <c r="O105" s="275" t="str">
        <f t="shared" si="6"/>
        <v/>
      </c>
      <c r="P105" s="58"/>
      <c r="Q105" s="58"/>
      <c r="R105" s="283" t="str">
        <f t="shared" si="8"/>
        <v/>
      </c>
      <c r="S105" s="296" t="str">
        <f t="shared" si="9"/>
        <v/>
      </c>
      <c r="T105" s="297" t="str">
        <f>IFERROR(IF(S105="Check Data ⚠","Check Data ⚠",VLOOKUP(S105,'G-4 Temporal multipliers'!$A$4:$C$37,3,FALSE)),"")</f>
        <v/>
      </c>
      <c r="U105" s="298" t="str">
        <f>IF(F105="","",VLOOKUP(F105,'G-3 Multipliers'!$A$2:$E$134,2,FALSE))</f>
        <v/>
      </c>
      <c r="V105" s="295" t="str">
        <f t="shared" si="10"/>
        <v/>
      </c>
      <c r="W105" s="295" t="str">
        <f>IF(E105="","",IF(AND(V105="Standard difficulty applied",O105&gt;P105),U105,IF(AND(V105="Low Difficulty - only applicable if all habitat created before losses ⚠",P105&gt;=O105),"Low",VLOOKUP(F105,'G-3 Multipliers'!$A$2:$E$134,4,FALSE))))</f>
        <v/>
      </c>
      <c r="X105" s="299" t="str">
        <f>IFERROR(IF(E105="","",VLOOKUP(W105,'G-3 Multipliers'!$P$2:$Q$6,2,FALSE)),"")</f>
        <v/>
      </c>
      <c r="Y105" s="303" t="str">
        <f t="shared" si="11"/>
        <v/>
      </c>
      <c r="Z105" s="52"/>
      <c r="AA105" s="51"/>
      <c r="AB105" s="104"/>
      <c r="AE105" s="40" t="str">
        <f t="shared" si="7"/>
        <v/>
      </c>
    </row>
    <row r="106" spans="1:31" ht="14" hidden="1">
      <c r="A106" s="35" t="str">
        <f>IFERROR(INDEX('G-8 Condition Look up'!$I$4:$I$135,MATCH(F106,'G-8 Condition Look up'!$A$4:$A$135,0)),"")</f>
        <v/>
      </c>
      <c r="B106" s="225">
        <v>96</v>
      </c>
      <c r="C106" s="232" t="str">
        <f>IFERROR(INDEX('G-1 All Habitats'!$AG$25:$AG$41,MATCH(D106,'G-1 All Habitats'!AF$25:AF$41,0)),"")</f>
        <v/>
      </c>
      <c r="D106" s="52"/>
      <c r="E106" s="57"/>
      <c r="F106" s="231" t="str">
        <f>IFERROR(INDEX('G-1 All Habitats'!$B$3:$B$135,MATCH(E106,'G-1 All Habitats'!$A$3:$A$135,0)),"")</f>
        <v/>
      </c>
      <c r="G106" s="51"/>
      <c r="H106" s="275" t="str">
        <f>IF(F106="","",VLOOKUP(F106,'G-1 All Habitats'!$B$2:$M$135,10,FALSE))</f>
        <v/>
      </c>
      <c r="I106" s="276" t="str">
        <f>IFERROR(VLOOKUP(H106,'G-1 All Habitats'!$V$3:$W$7,2,FALSE),"")</f>
        <v/>
      </c>
      <c r="J106" s="52"/>
      <c r="K106" s="276" t="str">
        <f>IFERROR(INDEX('G-8 Condition Look up'!$A$3:$H$135,MATCH(F106,'G-8 Condition Look up'!$A$3:$A$135,0),MATCH(J106,'G-8 Condition Look up'!$A$3:$H$3,0)),"")</f>
        <v/>
      </c>
      <c r="L106" s="52"/>
      <c r="M106" s="283" t="str">
        <f>IF(L106="","",IF(VLOOKUP(L106,'G-3 Multipliers'!$L$3:$N$6,2,FALSE)=0,"Spatial Data Missing",VLOOKUP(L106,'G-3 Multipliers'!$L$3:$N$6,2,FALSE)))</f>
        <v/>
      </c>
      <c r="N106" s="281" t="str">
        <f>IF(L106="","",IF(VLOOKUP(L106,'G-3 Multipliers'!$L$3:$N$6,3,FALSE)=0,"Spatial Data Missing",VLOOKUP(L106,'G-3 Multipliers'!$L$3:$N$6,3,FALSE)))</f>
        <v/>
      </c>
      <c r="O106" s="275" t="str">
        <f t="shared" si="6"/>
        <v/>
      </c>
      <c r="P106" s="58"/>
      <c r="Q106" s="58"/>
      <c r="R106" s="283" t="str">
        <f t="shared" si="8"/>
        <v/>
      </c>
      <c r="S106" s="296" t="str">
        <f t="shared" si="9"/>
        <v/>
      </c>
      <c r="T106" s="297" t="str">
        <f>IFERROR(IF(S106="Check Data ⚠","Check Data ⚠",VLOOKUP(S106,'G-4 Temporal multipliers'!$A$4:$C$37,3,FALSE)),"")</f>
        <v/>
      </c>
      <c r="U106" s="298" t="str">
        <f>IF(F106="","",VLOOKUP(F106,'G-3 Multipliers'!$A$2:$E$134,2,FALSE))</f>
        <v/>
      </c>
      <c r="V106" s="295" t="str">
        <f t="shared" si="10"/>
        <v/>
      </c>
      <c r="W106" s="295" t="str">
        <f>IF(E106="","",IF(AND(V106="Standard difficulty applied",O106&gt;P106),U106,IF(AND(V106="Low Difficulty - only applicable if all habitat created before losses ⚠",P106&gt;=O106),"Low",VLOOKUP(F106,'G-3 Multipliers'!$A$2:$E$134,4,FALSE))))</f>
        <v/>
      </c>
      <c r="X106" s="299" t="str">
        <f>IFERROR(IF(E106="","",VLOOKUP(W106,'G-3 Multipliers'!$P$2:$Q$6,2,FALSE)),"")</f>
        <v/>
      </c>
      <c r="Y106" s="303" t="str">
        <f t="shared" si="11"/>
        <v/>
      </c>
      <c r="Z106" s="52"/>
      <c r="AA106" s="51"/>
      <c r="AB106" s="104"/>
      <c r="AE106" s="40" t="str">
        <f t="shared" si="7"/>
        <v/>
      </c>
    </row>
    <row r="107" spans="1:31" ht="14" hidden="1">
      <c r="A107" s="35" t="str">
        <f>IFERROR(INDEX('G-8 Condition Look up'!$I$4:$I$135,MATCH(F107,'G-8 Condition Look up'!$A$4:$A$135,0)),"")</f>
        <v/>
      </c>
      <c r="B107" s="225">
        <v>97</v>
      </c>
      <c r="C107" s="232" t="str">
        <f>IFERROR(INDEX('G-1 All Habitats'!$AG$25:$AG$41,MATCH(D107,'G-1 All Habitats'!AF$25:AF$41,0)),"")</f>
        <v/>
      </c>
      <c r="D107" s="52"/>
      <c r="E107" s="57"/>
      <c r="F107" s="231" t="str">
        <f>IFERROR(INDEX('G-1 All Habitats'!$B$3:$B$135,MATCH(E107,'G-1 All Habitats'!$A$3:$A$135,0)),"")</f>
        <v/>
      </c>
      <c r="G107" s="51"/>
      <c r="H107" s="275" t="str">
        <f>IF(F107="","",VLOOKUP(F107,'G-1 All Habitats'!$B$2:$M$135,10,FALSE))</f>
        <v/>
      </c>
      <c r="I107" s="276" t="str">
        <f>IFERROR(VLOOKUP(H107,'G-1 All Habitats'!$V$3:$W$7,2,FALSE),"")</f>
        <v/>
      </c>
      <c r="J107" s="52"/>
      <c r="K107" s="276" t="str">
        <f>IFERROR(INDEX('G-8 Condition Look up'!$A$3:$H$135,MATCH(F107,'G-8 Condition Look up'!$A$3:$A$135,0),MATCH(J107,'G-8 Condition Look up'!$A$3:$H$3,0)),"")</f>
        <v/>
      </c>
      <c r="L107" s="52"/>
      <c r="M107" s="283" t="str">
        <f>IF(L107="","",IF(VLOOKUP(L107,'G-3 Multipliers'!$L$3:$N$6,2,FALSE)=0,"Spatial Data Missing",VLOOKUP(L107,'G-3 Multipliers'!$L$3:$N$6,2,FALSE)))</f>
        <v/>
      </c>
      <c r="N107" s="281" t="str">
        <f>IF(L107="","",IF(VLOOKUP(L107,'G-3 Multipliers'!$L$3:$N$6,3,FALSE)=0,"Spatial Data Missing",VLOOKUP(L107,'G-3 Multipliers'!$L$3:$N$6,3,FALSE)))</f>
        <v/>
      </c>
      <c r="O107" s="275" t="str">
        <f t="shared" si="6"/>
        <v/>
      </c>
      <c r="P107" s="58"/>
      <c r="Q107" s="58"/>
      <c r="R107" s="283" t="str">
        <f t="shared" si="8"/>
        <v/>
      </c>
      <c r="S107" s="296" t="str">
        <f t="shared" si="9"/>
        <v/>
      </c>
      <c r="T107" s="297" t="str">
        <f>IFERROR(IF(S107="Check Data ⚠","Check Data ⚠",VLOOKUP(S107,'G-4 Temporal multipliers'!$A$4:$C$37,3,FALSE)),"")</f>
        <v/>
      </c>
      <c r="U107" s="298" t="str">
        <f>IF(F107="","",VLOOKUP(F107,'G-3 Multipliers'!$A$2:$E$134,2,FALSE))</f>
        <v/>
      </c>
      <c r="V107" s="295" t="str">
        <f t="shared" si="10"/>
        <v/>
      </c>
      <c r="W107" s="295" t="str">
        <f>IF(E107="","",IF(AND(V107="Standard difficulty applied",O107&gt;P107),U107,IF(AND(V107="Low Difficulty - only applicable if all habitat created before losses ⚠",P107&gt;=O107),"Low",VLOOKUP(F107,'G-3 Multipliers'!$A$2:$E$134,4,FALSE))))</f>
        <v/>
      </c>
      <c r="X107" s="299" t="str">
        <f>IFERROR(IF(E107="","",VLOOKUP(W107,'G-3 Multipliers'!$P$2:$Q$6,2,FALSE)),"")</f>
        <v/>
      </c>
      <c r="Y107" s="303" t="str">
        <f t="shared" si="11"/>
        <v/>
      </c>
      <c r="Z107" s="52"/>
      <c r="AA107" s="51"/>
      <c r="AB107" s="104"/>
      <c r="AE107" s="40" t="str">
        <f t="shared" si="7"/>
        <v/>
      </c>
    </row>
    <row r="108" spans="1:31" ht="14" hidden="1">
      <c r="A108" s="35" t="str">
        <f>IFERROR(INDEX('G-8 Condition Look up'!$I$4:$I$135,MATCH(F108,'G-8 Condition Look up'!$A$4:$A$135,0)),"")</f>
        <v/>
      </c>
      <c r="B108" s="225">
        <v>98</v>
      </c>
      <c r="C108" s="232" t="str">
        <f>IFERROR(INDEX('G-1 All Habitats'!$AG$25:$AG$41,MATCH(D108,'G-1 All Habitats'!AF$25:AF$41,0)),"")</f>
        <v/>
      </c>
      <c r="D108" s="52"/>
      <c r="E108" s="57"/>
      <c r="F108" s="231" t="str">
        <f>IFERROR(INDEX('G-1 All Habitats'!$B$3:$B$135,MATCH(E108,'G-1 All Habitats'!$A$3:$A$135,0)),"")</f>
        <v/>
      </c>
      <c r="G108" s="51"/>
      <c r="H108" s="275" t="str">
        <f>IF(F108="","",VLOOKUP(F108,'G-1 All Habitats'!$B$2:$M$135,10,FALSE))</f>
        <v/>
      </c>
      <c r="I108" s="276" t="str">
        <f>IFERROR(VLOOKUP(H108,'G-1 All Habitats'!$V$3:$W$7,2,FALSE),"")</f>
        <v/>
      </c>
      <c r="J108" s="52"/>
      <c r="K108" s="276" t="str">
        <f>IFERROR(INDEX('G-8 Condition Look up'!$A$3:$H$135,MATCH(F108,'G-8 Condition Look up'!$A$3:$A$135,0),MATCH(J108,'G-8 Condition Look up'!$A$3:$H$3,0)),"")</f>
        <v/>
      </c>
      <c r="L108" s="52"/>
      <c r="M108" s="283" t="str">
        <f>IF(L108="","",IF(VLOOKUP(L108,'G-3 Multipliers'!$L$3:$N$6,2,FALSE)=0,"Spatial Data Missing",VLOOKUP(L108,'G-3 Multipliers'!$L$3:$N$6,2,FALSE)))</f>
        <v/>
      </c>
      <c r="N108" s="281" t="str">
        <f>IF(L108="","",IF(VLOOKUP(L108,'G-3 Multipliers'!$L$3:$N$6,3,FALSE)=0,"Spatial Data Missing",VLOOKUP(L108,'G-3 Multipliers'!$L$3:$N$6,3,FALSE)))</f>
        <v/>
      </c>
      <c r="O108" s="275" t="str">
        <f t="shared" si="6"/>
        <v/>
      </c>
      <c r="P108" s="58"/>
      <c r="Q108" s="58"/>
      <c r="R108" s="283" t="str">
        <f t="shared" si="8"/>
        <v/>
      </c>
      <c r="S108" s="296" t="str">
        <f t="shared" si="9"/>
        <v/>
      </c>
      <c r="T108" s="297" t="str">
        <f>IFERROR(IF(S108="Check Data ⚠","Check Data ⚠",VLOOKUP(S108,'G-4 Temporal multipliers'!$A$4:$C$37,3,FALSE)),"")</f>
        <v/>
      </c>
      <c r="U108" s="298" t="str">
        <f>IF(F108="","",VLOOKUP(F108,'G-3 Multipliers'!$A$2:$E$134,2,FALSE))</f>
        <v/>
      </c>
      <c r="V108" s="295" t="str">
        <f t="shared" si="10"/>
        <v/>
      </c>
      <c r="W108" s="295" t="str">
        <f>IF(E108="","",IF(AND(V108="Standard difficulty applied",O108&gt;P108),U108,IF(AND(V108="Low Difficulty - only applicable if all habitat created before losses ⚠",P108&gt;=O108),"Low",VLOOKUP(F108,'G-3 Multipliers'!$A$2:$E$134,4,FALSE))))</f>
        <v/>
      </c>
      <c r="X108" s="299" t="str">
        <f>IFERROR(IF(E108="","",VLOOKUP(W108,'G-3 Multipliers'!$P$2:$Q$6,2,FALSE)),"")</f>
        <v/>
      </c>
      <c r="Y108" s="303" t="str">
        <f t="shared" si="11"/>
        <v/>
      </c>
      <c r="Z108" s="52"/>
      <c r="AA108" s="51"/>
      <c r="AB108" s="104"/>
      <c r="AE108" s="40" t="str">
        <f t="shared" si="7"/>
        <v/>
      </c>
    </row>
    <row r="109" spans="1:31" ht="14" hidden="1">
      <c r="A109" s="35" t="str">
        <f>IFERROR(INDEX('G-8 Condition Look up'!$I$4:$I$135,MATCH(F109,'G-8 Condition Look up'!$A$4:$A$135,0)),"")</f>
        <v/>
      </c>
      <c r="B109" s="225">
        <v>99</v>
      </c>
      <c r="C109" s="232" t="str">
        <f>IFERROR(INDEX('G-1 All Habitats'!$AG$25:$AG$41,MATCH(D109,'G-1 All Habitats'!AF$25:AF$41,0)),"")</f>
        <v/>
      </c>
      <c r="D109" s="52"/>
      <c r="E109" s="57"/>
      <c r="F109" s="231" t="str">
        <f>IFERROR(INDEX('G-1 All Habitats'!$B$3:$B$135,MATCH(E109,'G-1 All Habitats'!$A$3:$A$135,0)),"")</f>
        <v/>
      </c>
      <c r="G109" s="51"/>
      <c r="H109" s="275" t="str">
        <f>IF(F109="","",VLOOKUP(F109,'G-1 All Habitats'!$B$2:$M$135,10,FALSE))</f>
        <v/>
      </c>
      <c r="I109" s="276" t="str">
        <f>IFERROR(VLOOKUP(H109,'G-1 All Habitats'!$V$3:$W$7,2,FALSE),"")</f>
        <v/>
      </c>
      <c r="J109" s="52"/>
      <c r="K109" s="276" t="str">
        <f>IFERROR(INDEX('G-8 Condition Look up'!$A$3:$H$135,MATCH(F109,'G-8 Condition Look up'!$A$3:$A$135,0),MATCH(J109,'G-8 Condition Look up'!$A$3:$H$3,0)),"")</f>
        <v/>
      </c>
      <c r="L109" s="52"/>
      <c r="M109" s="283" t="str">
        <f>IF(L109="","",IF(VLOOKUP(L109,'G-3 Multipliers'!$L$3:$N$6,2,FALSE)=0,"Spatial Data Missing",VLOOKUP(L109,'G-3 Multipliers'!$L$3:$N$6,2,FALSE)))</f>
        <v/>
      </c>
      <c r="N109" s="281" t="str">
        <f>IF(L109="","",IF(VLOOKUP(L109,'G-3 Multipliers'!$L$3:$N$6,3,FALSE)=0,"Spatial Data Missing",VLOOKUP(L109,'G-3 Multipliers'!$L$3:$N$6,3,FALSE)))</f>
        <v/>
      </c>
      <c r="O109" s="275" t="str">
        <f t="shared" si="6"/>
        <v/>
      </c>
      <c r="P109" s="58"/>
      <c r="Q109" s="58"/>
      <c r="R109" s="283" t="str">
        <f t="shared" si="8"/>
        <v/>
      </c>
      <c r="S109" s="296" t="str">
        <f t="shared" si="9"/>
        <v/>
      </c>
      <c r="T109" s="297" t="str">
        <f>IFERROR(IF(S109="Check Data ⚠","Check Data ⚠",VLOOKUP(S109,'G-4 Temporal multipliers'!$A$4:$C$37,3,FALSE)),"")</f>
        <v/>
      </c>
      <c r="U109" s="298" t="str">
        <f>IF(F109="","",VLOOKUP(F109,'G-3 Multipliers'!$A$2:$E$134,2,FALSE))</f>
        <v/>
      </c>
      <c r="V109" s="295" t="str">
        <f t="shared" si="10"/>
        <v/>
      </c>
      <c r="W109" s="295" t="str">
        <f>IF(E109="","",IF(AND(V109="Standard difficulty applied",O109&gt;P109),U109,IF(AND(V109="Low Difficulty - only applicable if all habitat created before losses ⚠",P109&gt;=O109),"Low",VLOOKUP(F109,'G-3 Multipliers'!$A$2:$E$134,4,FALSE))))</f>
        <v/>
      </c>
      <c r="X109" s="299" t="str">
        <f>IFERROR(IF(E109="","",VLOOKUP(W109,'G-3 Multipliers'!$P$2:$Q$6,2,FALSE)),"")</f>
        <v/>
      </c>
      <c r="Y109" s="303" t="str">
        <f t="shared" si="11"/>
        <v/>
      </c>
      <c r="Z109" s="52"/>
      <c r="AA109" s="51"/>
      <c r="AB109" s="104"/>
      <c r="AE109" s="40" t="str">
        <f t="shared" si="7"/>
        <v/>
      </c>
    </row>
    <row r="110" spans="1:31" ht="14" hidden="1">
      <c r="A110" s="35" t="str">
        <f>IFERROR(INDEX('G-8 Condition Look up'!$I$4:$I$135,MATCH(F110,'G-8 Condition Look up'!$A$4:$A$135,0)),"")</f>
        <v/>
      </c>
      <c r="B110" s="225">
        <v>100</v>
      </c>
      <c r="C110" s="232" t="str">
        <f>IFERROR(INDEX('G-1 All Habitats'!$AG$25:$AG$41,MATCH(D110,'G-1 All Habitats'!AF$25:AF$41,0)),"")</f>
        <v/>
      </c>
      <c r="D110" s="52"/>
      <c r="E110" s="57"/>
      <c r="F110" s="231" t="str">
        <f>IFERROR(INDEX('G-1 All Habitats'!$B$3:$B$135,MATCH(E110,'G-1 All Habitats'!$A$3:$A$135,0)),"")</f>
        <v/>
      </c>
      <c r="G110" s="51"/>
      <c r="H110" s="275" t="str">
        <f>IF(F110="","",VLOOKUP(F110,'G-1 All Habitats'!$B$2:$M$135,10,FALSE))</f>
        <v/>
      </c>
      <c r="I110" s="276" t="str">
        <f>IFERROR(VLOOKUP(H110,'G-1 All Habitats'!$V$3:$W$7,2,FALSE),"")</f>
        <v/>
      </c>
      <c r="J110" s="52"/>
      <c r="K110" s="276" t="str">
        <f>IFERROR(INDEX('G-8 Condition Look up'!$A$3:$H$135,MATCH(F110,'G-8 Condition Look up'!$A$3:$A$135,0),MATCH(J110,'G-8 Condition Look up'!$A$3:$H$3,0)),"")</f>
        <v/>
      </c>
      <c r="L110" s="52"/>
      <c r="M110" s="283" t="str">
        <f>IF(L110="","",IF(VLOOKUP(L110,'G-3 Multipliers'!$L$3:$N$6,2,FALSE)=0,"Spatial Data Missing",VLOOKUP(L110,'G-3 Multipliers'!$L$3:$N$6,2,FALSE)))</f>
        <v/>
      </c>
      <c r="N110" s="281" t="str">
        <f>IF(L110="","",IF(VLOOKUP(L110,'G-3 Multipliers'!$L$3:$N$6,3,FALSE)=0,"Spatial Data Missing",VLOOKUP(L110,'G-3 Multipliers'!$L$3:$N$6,3,FALSE)))</f>
        <v/>
      </c>
      <c r="O110" s="275" t="str">
        <f t="shared" si="6"/>
        <v/>
      </c>
      <c r="P110" s="58"/>
      <c r="Q110" s="58"/>
      <c r="R110" s="283" t="str">
        <f t="shared" si="8"/>
        <v/>
      </c>
      <c r="S110" s="296" t="str">
        <f t="shared" si="9"/>
        <v/>
      </c>
      <c r="T110" s="297" t="str">
        <f>IFERROR(IF(S110="Check Data ⚠","Check Data ⚠",VLOOKUP(S110,'G-4 Temporal multipliers'!$A$4:$C$37,3,FALSE)),"")</f>
        <v/>
      </c>
      <c r="U110" s="298" t="str">
        <f>IF(F110="","",VLOOKUP(F110,'G-3 Multipliers'!$A$2:$E$134,2,FALSE))</f>
        <v/>
      </c>
      <c r="V110" s="295" t="str">
        <f t="shared" si="10"/>
        <v/>
      </c>
      <c r="W110" s="295" t="str">
        <f>IF(E110="","",IF(AND(V110="Standard difficulty applied",O110&gt;P110),U110,IF(AND(V110="Low Difficulty - only applicable if all habitat created before losses ⚠",P110&gt;=O110),"Low",VLOOKUP(F110,'G-3 Multipliers'!$A$2:$E$134,4,FALSE))))</f>
        <v/>
      </c>
      <c r="X110" s="299" t="str">
        <f>IFERROR(IF(E110="","",VLOOKUP(W110,'G-3 Multipliers'!$P$2:$Q$6,2,FALSE)),"")</f>
        <v/>
      </c>
      <c r="Y110" s="303" t="str">
        <f t="shared" si="11"/>
        <v/>
      </c>
      <c r="Z110" s="52"/>
      <c r="AA110" s="51"/>
      <c r="AB110" s="104"/>
      <c r="AE110" s="40" t="str">
        <f t="shared" si="7"/>
        <v/>
      </c>
    </row>
    <row r="111" spans="1:31" ht="14" hidden="1">
      <c r="A111" s="35" t="str">
        <f>IFERROR(INDEX('G-8 Condition Look up'!$I$4:$I$135,MATCH(F111,'G-8 Condition Look up'!$A$4:$A$135,0)),"")</f>
        <v/>
      </c>
      <c r="B111" s="225">
        <v>101</v>
      </c>
      <c r="C111" s="232" t="str">
        <f>IFERROR(INDEX('G-1 All Habitats'!$AG$25:$AG$41,MATCH(D111,'G-1 All Habitats'!AF$25:AF$41,0)),"")</f>
        <v/>
      </c>
      <c r="D111" s="52"/>
      <c r="E111" s="57"/>
      <c r="F111" s="231" t="str">
        <f>IFERROR(INDEX('G-1 All Habitats'!$B$3:$B$135,MATCH(E111,'G-1 All Habitats'!$A$3:$A$135,0)),"")</f>
        <v/>
      </c>
      <c r="G111" s="51"/>
      <c r="H111" s="275" t="str">
        <f>IF(F111="","",VLOOKUP(F111,'G-1 All Habitats'!$B$2:$M$135,10,FALSE))</f>
        <v/>
      </c>
      <c r="I111" s="276" t="str">
        <f>IFERROR(VLOOKUP(H111,'G-1 All Habitats'!$V$3:$W$7,2,FALSE),"")</f>
        <v/>
      </c>
      <c r="J111" s="52"/>
      <c r="K111" s="276" t="str">
        <f>IFERROR(INDEX('G-8 Condition Look up'!$A$3:$H$135,MATCH(F111,'G-8 Condition Look up'!$A$3:$A$135,0),MATCH(J111,'G-8 Condition Look up'!$A$3:$H$3,0)),"")</f>
        <v/>
      </c>
      <c r="L111" s="52"/>
      <c r="M111" s="283" t="str">
        <f>IF(L111="","",IF(VLOOKUP(L111,'G-3 Multipliers'!$L$3:$N$6,2,FALSE)=0,"Spatial Data Missing",VLOOKUP(L111,'G-3 Multipliers'!$L$3:$N$6,2,FALSE)))</f>
        <v/>
      </c>
      <c r="N111" s="281" t="str">
        <f>IF(L111="","",IF(VLOOKUP(L111,'G-3 Multipliers'!$L$3:$N$6,3,FALSE)=0,"Spatial Data Missing",VLOOKUP(L111,'G-3 Multipliers'!$L$3:$N$6,3,FALSE)))</f>
        <v/>
      </c>
      <c r="O111" s="275" t="str">
        <f t="shared" si="6"/>
        <v/>
      </c>
      <c r="P111" s="58"/>
      <c r="Q111" s="58"/>
      <c r="R111" s="283" t="str">
        <f t="shared" si="8"/>
        <v/>
      </c>
      <c r="S111" s="296" t="str">
        <f t="shared" si="9"/>
        <v/>
      </c>
      <c r="T111" s="297" t="str">
        <f>IFERROR(IF(S111="Check Data ⚠","Check Data ⚠",VLOOKUP(S111,'G-4 Temporal multipliers'!$A$4:$C$37,3,FALSE)),"")</f>
        <v/>
      </c>
      <c r="U111" s="298" t="str">
        <f>IF(F111="","",VLOOKUP(F111,'G-3 Multipliers'!$A$2:$E$134,2,FALSE))</f>
        <v/>
      </c>
      <c r="V111" s="295" t="str">
        <f t="shared" si="10"/>
        <v/>
      </c>
      <c r="W111" s="295" t="str">
        <f>IF(E111="","",IF(AND(V111="Standard difficulty applied",O111&gt;P111),U111,IF(AND(V111="Low Difficulty - only applicable if all habitat created before losses ⚠",P111&gt;=O111),"Low",VLOOKUP(F111,'G-3 Multipliers'!$A$2:$E$134,4,FALSE))))</f>
        <v/>
      </c>
      <c r="X111" s="299" t="str">
        <f>IFERROR(IF(E111="","",VLOOKUP(W111,'G-3 Multipliers'!$P$2:$Q$6,2,FALSE)),"")</f>
        <v/>
      </c>
      <c r="Y111" s="303" t="str">
        <f t="shared" si="11"/>
        <v/>
      </c>
      <c r="Z111" s="52"/>
      <c r="AA111" s="51"/>
      <c r="AB111" s="104"/>
      <c r="AE111" s="40" t="str">
        <f t="shared" si="7"/>
        <v/>
      </c>
    </row>
    <row r="112" spans="1:31" ht="14" hidden="1">
      <c r="A112" s="35" t="str">
        <f>IFERROR(INDEX('G-8 Condition Look up'!$I$4:$I$135,MATCH(F112,'G-8 Condition Look up'!$A$4:$A$135,0)),"")</f>
        <v/>
      </c>
      <c r="B112" s="225">
        <v>102</v>
      </c>
      <c r="C112" s="232" t="str">
        <f>IFERROR(INDEX('G-1 All Habitats'!$AG$25:$AG$41,MATCH(D112,'G-1 All Habitats'!AF$25:AF$41,0)),"")</f>
        <v/>
      </c>
      <c r="D112" s="52"/>
      <c r="E112" s="57"/>
      <c r="F112" s="231" t="str">
        <f>IFERROR(INDEX('G-1 All Habitats'!$B$3:$B$135,MATCH(E112,'G-1 All Habitats'!$A$3:$A$135,0)),"")</f>
        <v/>
      </c>
      <c r="G112" s="51"/>
      <c r="H112" s="275" t="str">
        <f>IF(F112="","",VLOOKUP(F112,'G-1 All Habitats'!$B$2:$M$135,10,FALSE))</f>
        <v/>
      </c>
      <c r="I112" s="276" t="str">
        <f>IFERROR(VLOOKUP(H112,'G-1 All Habitats'!$V$3:$W$7,2,FALSE),"")</f>
        <v/>
      </c>
      <c r="J112" s="52"/>
      <c r="K112" s="276" t="str">
        <f>IFERROR(INDEX('G-8 Condition Look up'!$A$3:$H$135,MATCH(F112,'G-8 Condition Look up'!$A$3:$A$135,0),MATCH(J112,'G-8 Condition Look up'!$A$3:$H$3,0)),"")</f>
        <v/>
      </c>
      <c r="L112" s="52"/>
      <c r="M112" s="283" t="str">
        <f>IF(L112="","",IF(VLOOKUP(L112,'G-3 Multipliers'!$L$3:$N$6,2,FALSE)=0,"Spatial Data Missing",VLOOKUP(L112,'G-3 Multipliers'!$L$3:$N$6,2,FALSE)))</f>
        <v/>
      </c>
      <c r="N112" s="281" t="str">
        <f>IF(L112="","",IF(VLOOKUP(L112,'G-3 Multipliers'!$L$3:$N$6,3,FALSE)=0,"Spatial Data Missing",VLOOKUP(L112,'G-3 Multipliers'!$L$3:$N$6,3,FALSE)))</f>
        <v/>
      </c>
      <c r="O112" s="275" t="str">
        <f t="shared" si="6"/>
        <v/>
      </c>
      <c r="P112" s="58"/>
      <c r="Q112" s="58"/>
      <c r="R112" s="283" t="str">
        <f t="shared" si="8"/>
        <v/>
      </c>
      <c r="S112" s="296" t="str">
        <f t="shared" si="9"/>
        <v/>
      </c>
      <c r="T112" s="297" t="str">
        <f>IFERROR(IF(S112="Check Data ⚠","Check Data ⚠",VLOOKUP(S112,'G-4 Temporal multipliers'!$A$4:$C$37,3,FALSE)),"")</f>
        <v/>
      </c>
      <c r="U112" s="298" t="str">
        <f>IF(F112="","",VLOOKUP(F112,'G-3 Multipliers'!$A$2:$E$134,2,FALSE))</f>
        <v/>
      </c>
      <c r="V112" s="295" t="str">
        <f t="shared" si="10"/>
        <v/>
      </c>
      <c r="W112" s="295" t="str">
        <f>IF(E112="","",IF(AND(V112="Standard difficulty applied",O112&gt;P112),U112,IF(AND(V112="Low Difficulty - only applicable if all habitat created before losses ⚠",P112&gt;=O112),"Low",VLOOKUP(F112,'G-3 Multipliers'!$A$2:$E$134,4,FALSE))))</f>
        <v/>
      </c>
      <c r="X112" s="299" t="str">
        <f>IFERROR(IF(E112="","",VLOOKUP(W112,'G-3 Multipliers'!$P$2:$Q$6,2,FALSE)),"")</f>
        <v/>
      </c>
      <c r="Y112" s="303" t="str">
        <f t="shared" si="11"/>
        <v/>
      </c>
      <c r="Z112" s="52"/>
      <c r="AA112" s="51"/>
      <c r="AB112" s="104"/>
      <c r="AE112" s="40" t="str">
        <f t="shared" si="7"/>
        <v/>
      </c>
    </row>
    <row r="113" spans="1:31" ht="14" hidden="1">
      <c r="A113" s="35" t="str">
        <f>IFERROR(INDEX('G-8 Condition Look up'!$I$4:$I$135,MATCH(F113,'G-8 Condition Look up'!$A$4:$A$135,0)),"")</f>
        <v/>
      </c>
      <c r="B113" s="225">
        <v>103</v>
      </c>
      <c r="C113" s="232" t="str">
        <f>IFERROR(INDEX('G-1 All Habitats'!$AG$25:$AG$41,MATCH(D113,'G-1 All Habitats'!AF$25:AF$41,0)),"")</f>
        <v/>
      </c>
      <c r="D113" s="52"/>
      <c r="E113" s="57"/>
      <c r="F113" s="231" t="str">
        <f>IFERROR(INDEX('G-1 All Habitats'!$B$3:$B$135,MATCH(E113,'G-1 All Habitats'!$A$3:$A$135,0)),"")</f>
        <v/>
      </c>
      <c r="G113" s="51"/>
      <c r="H113" s="275" t="str">
        <f>IF(F113="","",VLOOKUP(F113,'G-1 All Habitats'!$B$2:$M$135,10,FALSE))</f>
        <v/>
      </c>
      <c r="I113" s="276" t="str">
        <f>IFERROR(VLOOKUP(H113,'G-1 All Habitats'!$V$3:$W$7,2,FALSE),"")</f>
        <v/>
      </c>
      <c r="J113" s="52"/>
      <c r="K113" s="276" t="str">
        <f>IFERROR(INDEX('G-8 Condition Look up'!$A$3:$H$135,MATCH(F113,'G-8 Condition Look up'!$A$3:$A$135,0),MATCH(J113,'G-8 Condition Look up'!$A$3:$H$3,0)),"")</f>
        <v/>
      </c>
      <c r="L113" s="52"/>
      <c r="M113" s="283" t="str">
        <f>IF(L113="","",IF(VLOOKUP(L113,'G-3 Multipliers'!$L$3:$N$6,2,FALSE)=0,"Spatial Data Missing",VLOOKUP(L113,'G-3 Multipliers'!$L$3:$N$6,2,FALSE)))</f>
        <v/>
      </c>
      <c r="N113" s="281" t="str">
        <f>IF(L113="","",IF(VLOOKUP(L113,'G-3 Multipliers'!$L$3:$N$6,3,FALSE)=0,"Spatial Data Missing",VLOOKUP(L113,'G-3 Multipliers'!$L$3:$N$6,3,FALSE)))</f>
        <v/>
      </c>
      <c r="O113" s="275" t="str">
        <f t="shared" si="6"/>
        <v/>
      </c>
      <c r="P113" s="58"/>
      <c r="Q113" s="58"/>
      <c r="R113" s="283" t="str">
        <f t="shared" si="8"/>
        <v/>
      </c>
      <c r="S113" s="296" t="str">
        <f t="shared" si="9"/>
        <v/>
      </c>
      <c r="T113" s="297" t="str">
        <f>IFERROR(IF(S113="Check Data ⚠","Check Data ⚠",VLOOKUP(S113,'G-4 Temporal multipliers'!$A$4:$C$37,3,FALSE)),"")</f>
        <v/>
      </c>
      <c r="U113" s="298" t="str">
        <f>IF(F113="","",VLOOKUP(F113,'G-3 Multipliers'!$A$2:$E$134,2,FALSE))</f>
        <v/>
      </c>
      <c r="V113" s="295" t="str">
        <f t="shared" si="10"/>
        <v/>
      </c>
      <c r="W113" s="295" t="str">
        <f>IF(E113="","",IF(AND(V113="Standard difficulty applied",O113&gt;P113),U113,IF(AND(V113="Low Difficulty - only applicable if all habitat created before losses ⚠",P113&gt;=O113),"Low",VLOOKUP(F113,'G-3 Multipliers'!$A$2:$E$134,4,FALSE))))</f>
        <v/>
      </c>
      <c r="X113" s="299" t="str">
        <f>IFERROR(IF(E113="","",VLOOKUP(W113,'G-3 Multipliers'!$P$2:$Q$6,2,FALSE)),"")</f>
        <v/>
      </c>
      <c r="Y113" s="303" t="str">
        <f t="shared" si="11"/>
        <v/>
      </c>
      <c r="Z113" s="52"/>
      <c r="AA113" s="51"/>
      <c r="AB113" s="104"/>
      <c r="AE113" s="40" t="str">
        <f t="shared" si="7"/>
        <v/>
      </c>
    </row>
    <row r="114" spans="1:31" ht="14" hidden="1">
      <c r="A114" s="35" t="str">
        <f>IFERROR(INDEX('G-8 Condition Look up'!$I$4:$I$135,MATCH(F114,'G-8 Condition Look up'!$A$4:$A$135,0)),"")</f>
        <v/>
      </c>
      <c r="B114" s="225">
        <v>104</v>
      </c>
      <c r="C114" s="232" t="str">
        <f>IFERROR(INDEX('G-1 All Habitats'!$AG$25:$AG$41,MATCH(D114,'G-1 All Habitats'!AF$25:AF$41,0)),"")</f>
        <v/>
      </c>
      <c r="D114" s="52"/>
      <c r="E114" s="57"/>
      <c r="F114" s="231" t="str">
        <f>IFERROR(INDEX('G-1 All Habitats'!$B$3:$B$135,MATCH(E114,'G-1 All Habitats'!$A$3:$A$135,0)),"")</f>
        <v/>
      </c>
      <c r="G114" s="51"/>
      <c r="H114" s="275" t="str">
        <f>IF(F114="","",VLOOKUP(F114,'G-1 All Habitats'!$B$2:$M$135,10,FALSE))</f>
        <v/>
      </c>
      <c r="I114" s="276" t="str">
        <f>IFERROR(VLOOKUP(H114,'G-1 All Habitats'!$V$3:$W$7,2,FALSE),"")</f>
        <v/>
      </c>
      <c r="J114" s="52"/>
      <c r="K114" s="276" t="str">
        <f>IFERROR(INDEX('G-8 Condition Look up'!$A$3:$H$135,MATCH(F114,'G-8 Condition Look up'!$A$3:$A$135,0),MATCH(J114,'G-8 Condition Look up'!$A$3:$H$3,0)),"")</f>
        <v/>
      </c>
      <c r="L114" s="52"/>
      <c r="M114" s="283" t="str">
        <f>IF(L114="","",IF(VLOOKUP(L114,'G-3 Multipliers'!$L$3:$N$6,2,FALSE)=0,"Spatial Data Missing",VLOOKUP(L114,'G-3 Multipliers'!$L$3:$N$6,2,FALSE)))</f>
        <v/>
      </c>
      <c r="N114" s="281" t="str">
        <f>IF(L114="","",IF(VLOOKUP(L114,'G-3 Multipliers'!$L$3:$N$6,3,FALSE)=0,"Spatial Data Missing",VLOOKUP(L114,'G-3 Multipliers'!$L$3:$N$6,3,FALSE)))</f>
        <v/>
      </c>
      <c r="O114" s="275" t="str">
        <f t="shared" si="6"/>
        <v/>
      </c>
      <c r="P114" s="58"/>
      <c r="Q114" s="58"/>
      <c r="R114" s="283" t="str">
        <f t="shared" si="8"/>
        <v/>
      </c>
      <c r="S114" s="296" t="str">
        <f t="shared" si="9"/>
        <v/>
      </c>
      <c r="T114" s="297" t="str">
        <f>IFERROR(IF(S114="Check Data ⚠","Check Data ⚠",VLOOKUP(S114,'G-4 Temporal multipliers'!$A$4:$C$37,3,FALSE)),"")</f>
        <v/>
      </c>
      <c r="U114" s="298" t="str">
        <f>IF(F114="","",VLOOKUP(F114,'G-3 Multipliers'!$A$2:$E$134,2,FALSE))</f>
        <v/>
      </c>
      <c r="V114" s="295" t="str">
        <f t="shared" si="10"/>
        <v/>
      </c>
      <c r="W114" s="295" t="str">
        <f>IF(E114="","",IF(AND(V114="Standard difficulty applied",O114&gt;P114),U114,IF(AND(V114="Low Difficulty - only applicable if all habitat created before losses ⚠",P114&gt;=O114),"Low",VLOOKUP(F114,'G-3 Multipliers'!$A$2:$E$134,4,FALSE))))</f>
        <v/>
      </c>
      <c r="X114" s="299" t="str">
        <f>IFERROR(IF(E114="","",VLOOKUP(W114,'G-3 Multipliers'!$P$2:$Q$6,2,FALSE)),"")</f>
        <v/>
      </c>
      <c r="Y114" s="303" t="str">
        <f t="shared" si="11"/>
        <v/>
      </c>
      <c r="Z114" s="52"/>
      <c r="AA114" s="51"/>
      <c r="AB114" s="104"/>
      <c r="AE114" s="40" t="str">
        <f t="shared" si="7"/>
        <v/>
      </c>
    </row>
    <row r="115" spans="1:31" ht="14" hidden="1">
      <c r="A115" s="35" t="str">
        <f>IFERROR(INDEX('G-8 Condition Look up'!$I$4:$I$135,MATCH(F115,'G-8 Condition Look up'!$A$4:$A$135,0)),"")</f>
        <v/>
      </c>
      <c r="B115" s="225">
        <v>105</v>
      </c>
      <c r="C115" s="232" t="str">
        <f>IFERROR(INDEX('G-1 All Habitats'!$AG$25:$AG$41,MATCH(D115,'G-1 All Habitats'!AF$25:AF$41,0)),"")</f>
        <v/>
      </c>
      <c r="D115" s="52"/>
      <c r="E115" s="57"/>
      <c r="F115" s="231" t="str">
        <f>IFERROR(INDEX('G-1 All Habitats'!$B$3:$B$135,MATCH(E115,'G-1 All Habitats'!$A$3:$A$135,0)),"")</f>
        <v/>
      </c>
      <c r="G115" s="51"/>
      <c r="H115" s="275" t="str">
        <f>IF(F115="","",VLOOKUP(F115,'G-1 All Habitats'!$B$2:$M$135,10,FALSE))</f>
        <v/>
      </c>
      <c r="I115" s="276" t="str">
        <f>IFERROR(VLOOKUP(H115,'G-1 All Habitats'!$V$3:$W$7,2,FALSE),"")</f>
        <v/>
      </c>
      <c r="J115" s="52"/>
      <c r="K115" s="276" t="str">
        <f>IFERROR(INDEX('G-8 Condition Look up'!$A$3:$H$135,MATCH(F115,'G-8 Condition Look up'!$A$3:$A$135,0),MATCH(J115,'G-8 Condition Look up'!$A$3:$H$3,0)),"")</f>
        <v/>
      </c>
      <c r="L115" s="52"/>
      <c r="M115" s="283" t="str">
        <f>IF(L115="","",IF(VLOOKUP(L115,'G-3 Multipliers'!$L$3:$N$6,2,FALSE)=0,"Spatial Data Missing",VLOOKUP(L115,'G-3 Multipliers'!$L$3:$N$6,2,FALSE)))</f>
        <v/>
      </c>
      <c r="N115" s="281" t="str">
        <f>IF(L115="","",IF(VLOOKUP(L115,'G-3 Multipliers'!$L$3:$N$6,3,FALSE)=0,"Spatial Data Missing",VLOOKUP(L115,'G-3 Multipliers'!$L$3:$N$6,3,FALSE)))</f>
        <v/>
      </c>
      <c r="O115" s="275" t="str">
        <f t="shared" si="6"/>
        <v/>
      </c>
      <c r="P115" s="58"/>
      <c r="Q115" s="58"/>
      <c r="R115" s="283" t="str">
        <f t="shared" si="8"/>
        <v/>
      </c>
      <c r="S115" s="296" t="str">
        <f t="shared" si="9"/>
        <v/>
      </c>
      <c r="T115" s="297" t="str">
        <f>IFERROR(IF(S115="Check Data ⚠","Check Data ⚠",VLOOKUP(S115,'G-4 Temporal multipliers'!$A$4:$C$37,3,FALSE)),"")</f>
        <v/>
      </c>
      <c r="U115" s="298" t="str">
        <f>IF(F115="","",VLOOKUP(F115,'G-3 Multipliers'!$A$2:$E$134,2,FALSE))</f>
        <v/>
      </c>
      <c r="V115" s="295" t="str">
        <f t="shared" si="10"/>
        <v/>
      </c>
      <c r="W115" s="295" t="str">
        <f>IF(E115="","",IF(AND(V115="Standard difficulty applied",O115&gt;P115),U115,IF(AND(V115="Low Difficulty - only applicable if all habitat created before losses ⚠",P115&gt;=O115),"Low",VLOOKUP(F115,'G-3 Multipliers'!$A$2:$E$134,4,FALSE))))</f>
        <v/>
      </c>
      <c r="X115" s="299" t="str">
        <f>IFERROR(IF(E115="","",VLOOKUP(W115,'G-3 Multipliers'!$P$2:$Q$6,2,FALSE)),"")</f>
        <v/>
      </c>
      <c r="Y115" s="303" t="str">
        <f t="shared" si="11"/>
        <v/>
      </c>
      <c r="Z115" s="52"/>
      <c r="AA115" s="51"/>
      <c r="AB115" s="104"/>
      <c r="AE115" s="40" t="str">
        <f t="shared" si="7"/>
        <v/>
      </c>
    </row>
    <row r="116" spans="1:31" ht="14" hidden="1">
      <c r="A116" s="35" t="str">
        <f>IFERROR(INDEX('G-8 Condition Look up'!$I$4:$I$135,MATCH(F116,'G-8 Condition Look up'!$A$4:$A$135,0)),"")</f>
        <v/>
      </c>
      <c r="B116" s="225">
        <v>106</v>
      </c>
      <c r="C116" s="232" t="str">
        <f>IFERROR(INDEX('G-1 All Habitats'!$AG$25:$AG$41,MATCH(D116,'G-1 All Habitats'!AF$25:AF$41,0)),"")</f>
        <v/>
      </c>
      <c r="D116" s="52"/>
      <c r="E116" s="57"/>
      <c r="F116" s="231" t="str">
        <f>IFERROR(INDEX('G-1 All Habitats'!$B$3:$B$135,MATCH(E116,'G-1 All Habitats'!$A$3:$A$135,0)),"")</f>
        <v/>
      </c>
      <c r="G116" s="51"/>
      <c r="H116" s="275" t="str">
        <f>IF(F116="","",VLOOKUP(F116,'G-1 All Habitats'!$B$2:$M$135,10,FALSE))</f>
        <v/>
      </c>
      <c r="I116" s="276" t="str">
        <f>IFERROR(VLOOKUP(H116,'G-1 All Habitats'!$V$3:$W$7,2,FALSE),"")</f>
        <v/>
      </c>
      <c r="J116" s="52"/>
      <c r="K116" s="276" t="str">
        <f>IFERROR(INDEX('G-8 Condition Look up'!$A$3:$H$135,MATCH(F116,'G-8 Condition Look up'!$A$3:$A$135,0),MATCH(J116,'G-8 Condition Look up'!$A$3:$H$3,0)),"")</f>
        <v/>
      </c>
      <c r="L116" s="52"/>
      <c r="M116" s="283" t="str">
        <f>IF(L116="","",IF(VLOOKUP(L116,'G-3 Multipliers'!$L$3:$N$6,2,FALSE)=0,"Spatial Data Missing",VLOOKUP(L116,'G-3 Multipliers'!$L$3:$N$6,2,FALSE)))</f>
        <v/>
      </c>
      <c r="N116" s="281" t="str">
        <f>IF(L116="","",IF(VLOOKUP(L116,'G-3 Multipliers'!$L$3:$N$6,3,FALSE)=0,"Spatial Data Missing",VLOOKUP(L116,'G-3 Multipliers'!$L$3:$N$6,3,FALSE)))</f>
        <v/>
      </c>
      <c r="O116" s="275" t="str">
        <f t="shared" si="6"/>
        <v/>
      </c>
      <c r="P116" s="58"/>
      <c r="Q116" s="58"/>
      <c r="R116" s="283" t="str">
        <f t="shared" si="8"/>
        <v/>
      </c>
      <c r="S116" s="296" t="str">
        <f t="shared" si="9"/>
        <v/>
      </c>
      <c r="T116" s="297" t="str">
        <f>IFERROR(IF(S116="Check Data ⚠","Check Data ⚠",VLOOKUP(S116,'G-4 Temporal multipliers'!$A$4:$C$37,3,FALSE)),"")</f>
        <v/>
      </c>
      <c r="U116" s="298" t="str">
        <f>IF(F116="","",VLOOKUP(F116,'G-3 Multipliers'!$A$2:$E$134,2,FALSE))</f>
        <v/>
      </c>
      <c r="V116" s="295" t="str">
        <f t="shared" si="10"/>
        <v/>
      </c>
      <c r="W116" s="295" t="str">
        <f>IF(E116="","",IF(AND(V116="Standard difficulty applied",O116&gt;P116),U116,IF(AND(V116="Low Difficulty - only applicable if all habitat created before losses ⚠",P116&gt;=O116),"Low",VLOOKUP(F116,'G-3 Multipliers'!$A$2:$E$134,4,FALSE))))</f>
        <v/>
      </c>
      <c r="X116" s="299" t="str">
        <f>IFERROR(IF(E116="","",VLOOKUP(W116,'G-3 Multipliers'!$P$2:$Q$6,2,FALSE)),"")</f>
        <v/>
      </c>
      <c r="Y116" s="303" t="str">
        <f t="shared" si="11"/>
        <v/>
      </c>
      <c r="Z116" s="52"/>
      <c r="AA116" s="51"/>
      <c r="AB116" s="104"/>
      <c r="AE116" s="40" t="str">
        <f t="shared" si="7"/>
        <v/>
      </c>
    </row>
    <row r="117" spans="1:31" ht="14" hidden="1">
      <c r="A117" s="35" t="str">
        <f>IFERROR(INDEX('G-8 Condition Look up'!$I$4:$I$135,MATCH(F117,'G-8 Condition Look up'!$A$4:$A$135,0)),"")</f>
        <v/>
      </c>
      <c r="B117" s="225">
        <v>107</v>
      </c>
      <c r="C117" s="232" t="str">
        <f>IFERROR(INDEX('G-1 All Habitats'!$AG$25:$AG$41,MATCH(D117,'G-1 All Habitats'!AF$25:AF$41,0)),"")</f>
        <v/>
      </c>
      <c r="D117" s="52"/>
      <c r="E117" s="57"/>
      <c r="F117" s="231" t="str">
        <f>IFERROR(INDEX('G-1 All Habitats'!$B$3:$B$135,MATCH(E117,'G-1 All Habitats'!$A$3:$A$135,0)),"")</f>
        <v/>
      </c>
      <c r="G117" s="51"/>
      <c r="H117" s="275" t="str">
        <f>IF(F117="","",VLOOKUP(F117,'G-1 All Habitats'!$B$2:$M$135,10,FALSE))</f>
        <v/>
      </c>
      <c r="I117" s="276" t="str">
        <f>IFERROR(VLOOKUP(H117,'G-1 All Habitats'!$V$3:$W$7,2,FALSE),"")</f>
        <v/>
      </c>
      <c r="J117" s="52"/>
      <c r="K117" s="276" t="str">
        <f>IFERROR(INDEX('G-8 Condition Look up'!$A$3:$H$135,MATCH(F117,'G-8 Condition Look up'!$A$3:$A$135,0),MATCH(J117,'G-8 Condition Look up'!$A$3:$H$3,0)),"")</f>
        <v/>
      </c>
      <c r="L117" s="52"/>
      <c r="M117" s="283" t="str">
        <f>IF(L117="","",IF(VLOOKUP(L117,'G-3 Multipliers'!$L$3:$N$6,2,FALSE)=0,"Spatial Data Missing",VLOOKUP(L117,'G-3 Multipliers'!$L$3:$N$6,2,FALSE)))</f>
        <v/>
      </c>
      <c r="N117" s="281" t="str">
        <f>IF(L117="","",IF(VLOOKUP(L117,'G-3 Multipliers'!$L$3:$N$6,3,FALSE)=0,"Spatial Data Missing",VLOOKUP(L117,'G-3 Multipliers'!$L$3:$N$6,3,FALSE)))</f>
        <v/>
      </c>
      <c r="O117" s="275" t="str">
        <f t="shared" si="6"/>
        <v/>
      </c>
      <c r="P117" s="58"/>
      <c r="Q117" s="58"/>
      <c r="R117" s="283" t="str">
        <f t="shared" si="8"/>
        <v/>
      </c>
      <c r="S117" s="296" t="str">
        <f t="shared" si="9"/>
        <v/>
      </c>
      <c r="T117" s="297" t="str">
        <f>IFERROR(IF(S117="Check Data ⚠","Check Data ⚠",VLOOKUP(S117,'G-4 Temporal multipliers'!$A$4:$C$37,3,FALSE)),"")</f>
        <v/>
      </c>
      <c r="U117" s="298" t="str">
        <f>IF(F117="","",VLOOKUP(F117,'G-3 Multipliers'!$A$2:$E$134,2,FALSE))</f>
        <v/>
      </c>
      <c r="V117" s="295" t="str">
        <f t="shared" si="10"/>
        <v/>
      </c>
      <c r="W117" s="295" t="str">
        <f>IF(E117="","",IF(AND(V117="Standard difficulty applied",O117&gt;P117),U117,IF(AND(V117="Low Difficulty - only applicable if all habitat created before losses ⚠",P117&gt;=O117),"Low",VLOOKUP(F117,'G-3 Multipliers'!$A$2:$E$134,4,FALSE))))</f>
        <v/>
      </c>
      <c r="X117" s="299" t="str">
        <f>IFERROR(IF(E117="","",VLOOKUP(W117,'G-3 Multipliers'!$P$2:$Q$6,2,FALSE)),"")</f>
        <v/>
      </c>
      <c r="Y117" s="303" t="str">
        <f t="shared" si="11"/>
        <v/>
      </c>
      <c r="Z117" s="52"/>
      <c r="AA117" s="51"/>
      <c r="AB117" s="104"/>
      <c r="AE117" s="40" t="str">
        <f t="shared" si="7"/>
        <v/>
      </c>
    </row>
    <row r="118" spans="1:31" ht="14" hidden="1">
      <c r="A118" s="35" t="str">
        <f>IFERROR(INDEX('G-8 Condition Look up'!$I$4:$I$135,MATCH(F118,'G-8 Condition Look up'!$A$4:$A$135,0)),"")</f>
        <v/>
      </c>
      <c r="B118" s="225">
        <v>108</v>
      </c>
      <c r="C118" s="232" t="str">
        <f>IFERROR(INDEX('G-1 All Habitats'!$AG$25:$AG$41,MATCH(D118,'G-1 All Habitats'!AF$25:AF$41,0)),"")</f>
        <v/>
      </c>
      <c r="D118" s="52"/>
      <c r="E118" s="57"/>
      <c r="F118" s="231" t="str">
        <f>IFERROR(INDEX('G-1 All Habitats'!$B$3:$B$135,MATCH(E118,'G-1 All Habitats'!$A$3:$A$135,0)),"")</f>
        <v/>
      </c>
      <c r="G118" s="51"/>
      <c r="H118" s="275" t="str">
        <f>IF(F118="","",VLOOKUP(F118,'G-1 All Habitats'!$B$2:$M$135,10,FALSE))</f>
        <v/>
      </c>
      <c r="I118" s="276" t="str">
        <f>IFERROR(VLOOKUP(H118,'G-1 All Habitats'!$V$3:$W$7,2,FALSE),"")</f>
        <v/>
      </c>
      <c r="J118" s="52"/>
      <c r="K118" s="276" t="str">
        <f>IFERROR(INDEX('G-8 Condition Look up'!$A$3:$H$135,MATCH(F118,'G-8 Condition Look up'!$A$3:$A$135,0),MATCH(J118,'G-8 Condition Look up'!$A$3:$H$3,0)),"")</f>
        <v/>
      </c>
      <c r="L118" s="52"/>
      <c r="M118" s="283" t="str">
        <f>IF(L118="","",IF(VLOOKUP(L118,'G-3 Multipliers'!$L$3:$N$6,2,FALSE)=0,"Spatial Data Missing",VLOOKUP(L118,'G-3 Multipliers'!$L$3:$N$6,2,FALSE)))</f>
        <v/>
      </c>
      <c r="N118" s="281" t="str">
        <f>IF(L118="","",IF(VLOOKUP(L118,'G-3 Multipliers'!$L$3:$N$6,3,FALSE)=0,"Spatial Data Missing",VLOOKUP(L118,'G-3 Multipliers'!$L$3:$N$6,3,FALSE)))</f>
        <v/>
      </c>
      <c r="O118" s="275" t="str">
        <f t="shared" si="6"/>
        <v/>
      </c>
      <c r="P118" s="58"/>
      <c r="Q118" s="58"/>
      <c r="R118" s="283" t="str">
        <f t="shared" si="8"/>
        <v/>
      </c>
      <c r="S118" s="296" t="str">
        <f t="shared" si="9"/>
        <v/>
      </c>
      <c r="T118" s="297" t="str">
        <f>IFERROR(IF(S118="Check Data ⚠","Check Data ⚠",VLOOKUP(S118,'G-4 Temporal multipliers'!$A$4:$C$37,3,FALSE)),"")</f>
        <v/>
      </c>
      <c r="U118" s="298" t="str">
        <f>IF(F118="","",VLOOKUP(F118,'G-3 Multipliers'!$A$2:$E$134,2,FALSE))</f>
        <v/>
      </c>
      <c r="V118" s="295" t="str">
        <f t="shared" si="10"/>
        <v/>
      </c>
      <c r="W118" s="295" t="str">
        <f>IF(E118="","",IF(AND(V118="Standard difficulty applied",O118&gt;P118),U118,IF(AND(V118="Low Difficulty - only applicable if all habitat created before losses ⚠",P118&gt;=O118),"Low",VLOOKUP(F118,'G-3 Multipliers'!$A$2:$E$134,4,FALSE))))</f>
        <v/>
      </c>
      <c r="X118" s="299" t="str">
        <f>IFERROR(IF(E118="","",VLOOKUP(W118,'G-3 Multipliers'!$P$2:$Q$6,2,FALSE)),"")</f>
        <v/>
      </c>
      <c r="Y118" s="303" t="str">
        <f t="shared" si="11"/>
        <v/>
      </c>
      <c r="Z118" s="52"/>
      <c r="AA118" s="51"/>
      <c r="AB118" s="104"/>
      <c r="AE118" s="40" t="str">
        <f t="shared" si="7"/>
        <v/>
      </c>
    </row>
    <row r="119" spans="1:31" ht="14" hidden="1">
      <c r="A119" s="35" t="str">
        <f>IFERROR(INDEX('G-8 Condition Look up'!$I$4:$I$135,MATCH(F119,'G-8 Condition Look up'!$A$4:$A$135,0)),"")</f>
        <v/>
      </c>
      <c r="B119" s="225">
        <v>109</v>
      </c>
      <c r="C119" s="232" t="str">
        <f>IFERROR(INDEX('G-1 All Habitats'!$AG$25:$AG$41,MATCH(D119,'G-1 All Habitats'!AF$25:AF$41,0)),"")</f>
        <v/>
      </c>
      <c r="D119" s="52"/>
      <c r="E119" s="57"/>
      <c r="F119" s="231" t="str">
        <f>IFERROR(INDEX('G-1 All Habitats'!$B$3:$B$135,MATCH(E119,'G-1 All Habitats'!$A$3:$A$135,0)),"")</f>
        <v/>
      </c>
      <c r="G119" s="51"/>
      <c r="H119" s="275" t="str">
        <f>IF(F119="","",VLOOKUP(F119,'G-1 All Habitats'!$B$2:$M$135,10,FALSE))</f>
        <v/>
      </c>
      <c r="I119" s="276" t="str">
        <f>IFERROR(VLOOKUP(H119,'G-1 All Habitats'!$V$3:$W$7,2,FALSE),"")</f>
        <v/>
      </c>
      <c r="J119" s="52"/>
      <c r="K119" s="276" t="str">
        <f>IFERROR(INDEX('G-8 Condition Look up'!$A$3:$H$135,MATCH(F119,'G-8 Condition Look up'!$A$3:$A$135,0),MATCH(J119,'G-8 Condition Look up'!$A$3:$H$3,0)),"")</f>
        <v/>
      </c>
      <c r="L119" s="52"/>
      <c r="M119" s="283" t="str">
        <f>IF(L119="","",IF(VLOOKUP(L119,'G-3 Multipliers'!$L$3:$N$6,2,FALSE)=0,"Spatial Data Missing",VLOOKUP(L119,'G-3 Multipliers'!$L$3:$N$6,2,FALSE)))</f>
        <v/>
      </c>
      <c r="N119" s="281" t="str">
        <f>IF(L119="","",IF(VLOOKUP(L119,'G-3 Multipliers'!$L$3:$N$6,3,FALSE)=0,"Spatial Data Missing",VLOOKUP(L119,'G-3 Multipliers'!$L$3:$N$6,3,FALSE)))</f>
        <v/>
      </c>
      <c r="O119" s="275" t="str">
        <f t="shared" si="6"/>
        <v/>
      </c>
      <c r="P119" s="58"/>
      <c r="Q119" s="58"/>
      <c r="R119" s="283" t="str">
        <f t="shared" si="8"/>
        <v/>
      </c>
      <c r="S119" s="296" t="str">
        <f t="shared" si="9"/>
        <v/>
      </c>
      <c r="T119" s="297" t="str">
        <f>IFERROR(IF(S119="Check Data ⚠","Check Data ⚠",VLOOKUP(S119,'G-4 Temporal multipliers'!$A$4:$C$37,3,FALSE)),"")</f>
        <v/>
      </c>
      <c r="U119" s="298" t="str">
        <f>IF(F119="","",VLOOKUP(F119,'G-3 Multipliers'!$A$2:$E$134,2,FALSE))</f>
        <v/>
      </c>
      <c r="V119" s="295" t="str">
        <f t="shared" si="10"/>
        <v/>
      </c>
      <c r="W119" s="295" t="str">
        <f>IF(E119="","",IF(AND(V119="Standard difficulty applied",O119&gt;P119),U119,IF(AND(V119="Low Difficulty - only applicable if all habitat created before losses ⚠",P119&gt;=O119),"Low",VLOOKUP(F119,'G-3 Multipliers'!$A$2:$E$134,4,FALSE))))</f>
        <v/>
      </c>
      <c r="X119" s="299" t="str">
        <f>IFERROR(IF(E119="","",VLOOKUP(W119,'G-3 Multipliers'!$P$2:$Q$6,2,FALSE)),"")</f>
        <v/>
      </c>
      <c r="Y119" s="303" t="str">
        <f t="shared" si="11"/>
        <v/>
      </c>
      <c r="Z119" s="52"/>
      <c r="AA119" s="51"/>
      <c r="AB119" s="104"/>
      <c r="AE119" s="40" t="str">
        <f t="shared" si="7"/>
        <v/>
      </c>
    </row>
    <row r="120" spans="1:31" ht="14" hidden="1">
      <c r="A120" s="35" t="str">
        <f>IFERROR(INDEX('G-8 Condition Look up'!$I$4:$I$135,MATCH(F120,'G-8 Condition Look up'!$A$4:$A$135,0)),"")</f>
        <v/>
      </c>
      <c r="B120" s="225">
        <v>110</v>
      </c>
      <c r="C120" s="232" t="str">
        <f>IFERROR(INDEX('G-1 All Habitats'!$AG$25:$AG$41,MATCH(D120,'G-1 All Habitats'!AF$25:AF$41,0)),"")</f>
        <v/>
      </c>
      <c r="D120" s="52"/>
      <c r="E120" s="57"/>
      <c r="F120" s="231" t="str">
        <f>IFERROR(INDEX('G-1 All Habitats'!$B$3:$B$135,MATCH(E120,'G-1 All Habitats'!$A$3:$A$135,0)),"")</f>
        <v/>
      </c>
      <c r="G120" s="51"/>
      <c r="H120" s="275" t="str">
        <f>IF(F120="","",VLOOKUP(F120,'G-1 All Habitats'!$B$2:$M$135,10,FALSE))</f>
        <v/>
      </c>
      <c r="I120" s="276" t="str">
        <f>IFERROR(VLOOKUP(H120,'G-1 All Habitats'!$V$3:$W$7,2,FALSE),"")</f>
        <v/>
      </c>
      <c r="J120" s="52"/>
      <c r="K120" s="276" t="str">
        <f>IFERROR(INDEX('G-8 Condition Look up'!$A$3:$H$135,MATCH(F120,'G-8 Condition Look up'!$A$3:$A$135,0),MATCH(J120,'G-8 Condition Look up'!$A$3:$H$3,0)),"")</f>
        <v/>
      </c>
      <c r="L120" s="52"/>
      <c r="M120" s="283" t="str">
        <f>IF(L120="","",IF(VLOOKUP(L120,'G-3 Multipliers'!$L$3:$N$6,2,FALSE)=0,"Spatial Data Missing",VLOOKUP(L120,'G-3 Multipliers'!$L$3:$N$6,2,FALSE)))</f>
        <v/>
      </c>
      <c r="N120" s="281" t="str">
        <f>IF(L120="","",IF(VLOOKUP(L120,'G-3 Multipliers'!$L$3:$N$6,3,FALSE)=0,"Spatial Data Missing",VLOOKUP(L120,'G-3 Multipliers'!$L$3:$N$6,3,FALSE)))</f>
        <v/>
      </c>
      <c r="O120" s="275" t="str">
        <f t="shared" si="6"/>
        <v/>
      </c>
      <c r="P120" s="58"/>
      <c r="Q120" s="58"/>
      <c r="R120" s="283" t="str">
        <f t="shared" si="8"/>
        <v/>
      </c>
      <c r="S120" s="296" t="str">
        <f t="shared" si="9"/>
        <v/>
      </c>
      <c r="T120" s="297" t="str">
        <f>IFERROR(IF(S120="Check Data ⚠","Check Data ⚠",VLOOKUP(S120,'G-4 Temporal multipliers'!$A$4:$C$37,3,FALSE)),"")</f>
        <v/>
      </c>
      <c r="U120" s="298" t="str">
        <f>IF(F120="","",VLOOKUP(F120,'G-3 Multipliers'!$A$2:$E$134,2,FALSE))</f>
        <v/>
      </c>
      <c r="V120" s="295" t="str">
        <f t="shared" si="10"/>
        <v/>
      </c>
      <c r="W120" s="295" t="str">
        <f>IF(E120="","",IF(AND(V120="Standard difficulty applied",O120&gt;P120),U120,IF(AND(V120="Low Difficulty - only applicable if all habitat created before losses ⚠",P120&gt;=O120),"Low",VLOOKUP(F120,'G-3 Multipliers'!$A$2:$E$134,4,FALSE))))</f>
        <v/>
      </c>
      <c r="X120" s="299" t="str">
        <f>IFERROR(IF(E120="","",VLOOKUP(W120,'G-3 Multipliers'!$P$2:$Q$6,2,FALSE)),"")</f>
        <v/>
      </c>
      <c r="Y120" s="303" t="str">
        <f t="shared" si="11"/>
        <v/>
      </c>
      <c r="Z120" s="52"/>
      <c r="AA120" s="51"/>
      <c r="AB120" s="104"/>
      <c r="AE120" s="40" t="str">
        <f t="shared" si="7"/>
        <v/>
      </c>
    </row>
    <row r="121" spans="1:31" ht="14" hidden="1">
      <c r="A121" s="35" t="str">
        <f>IFERROR(INDEX('G-8 Condition Look up'!$I$4:$I$135,MATCH(F121,'G-8 Condition Look up'!$A$4:$A$135,0)),"")</f>
        <v/>
      </c>
      <c r="B121" s="225">
        <v>111</v>
      </c>
      <c r="C121" s="232" t="str">
        <f>IFERROR(INDEX('G-1 All Habitats'!$AG$25:$AG$41,MATCH(D121,'G-1 All Habitats'!AF$25:AF$41,0)),"")</f>
        <v/>
      </c>
      <c r="D121" s="52"/>
      <c r="E121" s="57"/>
      <c r="F121" s="231" t="str">
        <f>IFERROR(INDEX('G-1 All Habitats'!$B$3:$B$135,MATCH(E121,'G-1 All Habitats'!$A$3:$A$135,0)),"")</f>
        <v/>
      </c>
      <c r="G121" s="51"/>
      <c r="H121" s="275" t="str">
        <f>IF(F121="","",VLOOKUP(F121,'G-1 All Habitats'!$B$2:$M$135,10,FALSE))</f>
        <v/>
      </c>
      <c r="I121" s="276" t="str">
        <f>IFERROR(VLOOKUP(H121,'G-1 All Habitats'!$V$3:$W$7,2,FALSE),"")</f>
        <v/>
      </c>
      <c r="J121" s="52"/>
      <c r="K121" s="276" t="str">
        <f>IFERROR(INDEX('G-8 Condition Look up'!$A$3:$H$135,MATCH(F121,'G-8 Condition Look up'!$A$3:$A$135,0),MATCH(J121,'G-8 Condition Look up'!$A$3:$H$3,0)),"")</f>
        <v/>
      </c>
      <c r="L121" s="52"/>
      <c r="M121" s="283" t="str">
        <f>IF(L121="","",IF(VLOOKUP(L121,'G-3 Multipliers'!$L$3:$N$6,2,FALSE)=0,"Spatial Data Missing",VLOOKUP(L121,'G-3 Multipliers'!$L$3:$N$6,2,FALSE)))</f>
        <v/>
      </c>
      <c r="N121" s="281" t="str">
        <f>IF(L121="","",IF(VLOOKUP(L121,'G-3 Multipliers'!$L$3:$N$6,3,FALSE)=0,"Spatial Data Missing",VLOOKUP(L121,'G-3 Multipliers'!$L$3:$N$6,3,FALSE)))</f>
        <v/>
      </c>
      <c r="O121" s="275" t="str">
        <f t="shared" si="6"/>
        <v/>
      </c>
      <c r="P121" s="58"/>
      <c r="Q121" s="58"/>
      <c r="R121" s="283" t="str">
        <f t="shared" si="8"/>
        <v/>
      </c>
      <c r="S121" s="296" t="str">
        <f t="shared" si="9"/>
        <v/>
      </c>
      <c r="T121" s="297" t="str">
        <f>IFERROR(IF(S121="Check Data ⚠","Check Data ⚠",VLOOKUP(S121,'G-4 Temporal multipliers'!$A$4:$C$37,3,FALSE)),"")</f>
        <v/>
      </c>
      <c r="U121" s="298" t="str">
        <f>IF(F121="","",VLOOKUP(F121,'G-3 Multipliers'!$A$2:$E$134,2,FALSE))</f>
        <v/>
      </c>
      <c r="V121" s="295" t="str">
        <f t="shared" si="10"/>
        <v/>
      </c>
      <c r="W121" s="295" t="str">
        <f>IF(E121="","",IF(AND(V121="Standard difficulty applied",O121&gt;P121),U121,IF(AND(V121="Low Difficulty - only applicable if all habitat created before losses ⚠",P121&gt;=O121),"Low",VLOOKUP(F121,'G-3 Multipliers'!$A$2:$E$134,4,FALSE))))</f>
        <v/>
      </c>
      <c r="X121" s="299" t="str">
        <f>IFERROR(IF(E121="","",VLOOKUP(W121,'G-3 Multipliers'!$P$2:$Q$6,2,FALSE)),"")</f>
        <v/>
      </c>
      <c r="Y121" s="303" t="str">
        <f t="shared" si="11"/>
        <v/>
      </c>
      <c r="Z121" s="52"/>
      <c r="AA121" s="51"/>
      <c r="AB121" s="104"/>
      <c r="AE121" s="40" t="str">
        <f t="shared" si="7"/>
        <v/>
      </c>
    </row>
    <row r="122" spans="1:31" ht="14" hidden="1">
      <c r="A122" s="35" t="str">
        <f>IFERROR(INDEX('G-8 Condition Look up'!$I$4:$I$135,MATCH(F122,'G-8 Condition Look up'!$A$4:$A$135,0)),"")</f>
        <v/>
      </c>
      <c r="B122" s="225">
        <v>112</v>
      </c>
      <c r="C122" s="232" t="str">
        <f>IFERROR(INDEX('G-1 All Habitats'!$AG$25:$AG$41,MATCH(D122,'G-1 All Habitats'!AF$25:AF$41,0)),"")</f>
        <v/>
      </c>
      <c r="D122" s="52"/>
      <c r="E122" s="57"/>
      <c r="F122" s="231" t="str">
        <f>IFERROR(INDEX('G-1 All Habitats'!$B$3:$B$135,MATCH(E122,'G-1 All Habitats'!$A$3:$A$135,0)),"")</f>
        <v/>
      </c>
      <c r="G122" s="51"/>
      <c r="H122" s="275" t="str">
        <f>IF(F122="","",VLOOKUP(F122,'G-1 All Habitats'!$B$2:$M$135,10,FALSE))</f>
        <v/>
      </c>
      <c r="I122" s="276" t="str">
        <f>IFERROR(VLOOKUP(H122,'G-1 All Habitats'!$V$3:$W$7,2,FALSE),"")</f>
        <v/>
      </c>
      <c r="J122" s="52"/>
      <c r="K122" s="276" t="str">
        <f>IFERROR(INDEX('G-8 Condition Look up'!$A$3:$H$135,MATCH(F122,'G-8 Condition Look up'!$A$3:$A$135,0),MATCH(J122,'G-8 Condition Look up'!$A$3:$H$3,0)),"")</f>
        <v/>
      </c>
      <c r="L122" s="52"/>
      <c r="M122" s="283" t="str">
        <f>IF(L122="","",IF(VLOOKUP(L122,'G-3 Multipliers'!$L$3:$N$6,2,FALSE)=0,"Spatial Data Missing",VLOOKUP(L122,'G-3 Multipliers'!$L$3:$N$6,2,FALSE)))</f>
        <v/>
      </c>
      <c r="N122" s="281" t="str">
        <f>IF(L122="","",IF(VLOOKUP(L122,'G-3 Multipliers'!$L$3:$N$6,3,FALSE)=0,"Spatial Data Missing",VLOOKUP(L122,'G-3 Multipliers'!$L$3:$N$6,3,FALSE)))</f>
        <v/>
      </c>
      <c r="O122" s="275" t="str">
        <f t="shared" si="6"/>
        <v/>
      </c>
      <c r="P122" s="58"/>
      <c r="Q122" s="58"/>
      <c r="R122" s="283" t="str">
        <f t="shared" si="8"/>
        <v/>
      </c>
      <c r="S122" s="296" t="str">
        <f t="shared" si="9"/>
        <v/>
      </c>
      <c r="T122" s="297" t="str">
        <f>IFERROR(IF(S122="Check Data ⚠","Check Data ⚠",VLOOKUP(S122,'G-4 Temporal multipliers'!$A$4:$C$37,3,FALSE)),"")</f>
        <v/>
      </c>
      <c r="U122" s="298" t="str">
        <f>IF(F122="","",VLOOKUP(F122,'G-3 Multipliers'!$A$2:$E$134,2,FALSE))</f>
        <v/>
      </c>
      <c r="V122" s="295" t="str">
        <f t="shared" si="10"/>
        <v/>
      </c>
      <c r="W122" s="295" t="str">
        <f>IF(E122="","",IF(AND(V122="Standard difficulty applied",O122&gt;P122),U122,IF(AND(V122="Low Difficulty - only applicable if all habitat created before losses ⚠",P122&gt;=O122),"Low",VLOOKUP(F122,'G-3 Multipliers'!$A$2:$E$134,4,FALSE))))</f>
        <v/>
      </c>
      <c r="X122" s="299" t="str">
        <f>IFERROR(IF(E122="","",VLOOKUP(W122,'G-3 Multipliers'!$P$2:$Q$6,2,FALSE)),"")</f>
        <v/>
      </c>
      <c r="Y122" s="303" t="str">
        <f t="shared" si="11"/>
        <v/>
      </c>
      <c r="Z122" s="52"/>
      <c r="AA122" s="51"/>
      <c r="AB122" s="104"/>
      <c r="AE122" s="40" t="str">
        <f t="shared" si="7"/>
        <v/>
      </c>
    </row>
    <row r="123" spans="1:31" ht="14" hidden="1">
      <c r="A123" s="35" t="str">
        <f>IFERROR(INDEX('G-8 Condition Look up'!$I$4:$I$135,MATCH(F123,'G-8 Condition Look up'!$A$4:$A$135,0)),"")</f>
        <v/>
      </c>
      <c r="B123" s="225">
        <v>113</v>
      </c>
      <c r="C123" s="232" t="str">
        <f>IFERROR(INDEX('G-1 All Habitats'!$AG$25:$AG$41,MATCH(D123,'G-1 All Habitats'!AF$25:AF$41,0)),"")</f>
        <v/>
      </c>
      <c r="D123" s="52"/>
      <c r="E123" s="57"/>
      <c r="F123" s="231" t="str">
        <f>IFERROR(INDEX('G-1 All Habitats'!$B$3:$B$135,MATCH(E123,'G-1 All Habitats'!$A$3:$A$135,0)),"")</f>
        <v/>
      </c>
      <c r="G123" s="51"/>
      <c r="H123" s="275" t="str">
        <f>IF(F123="","",VLOOKUP(F123,'G-1 All Habitats'!$B$2:$M$135,10,FALSE))</f>
        <v/>
      </c>
      <c r="I123" s="276" t="str">
        <f>IFERROR(VLOOKUP(H123,'G-1 All Habitats'!$V$3:$W$7,2,FALSE),"")</f>
        <v/>
      </c>
      <c r="J123" s="52"/>
      <c r="K123" s="276" t="str">
        <f>IFERROR(INDEX('G-8 Condition Look up'!$A$3:$H$135,MATCH(F123,'G-8 Condition Look up'!$A$3:$A$135,0),MATCH(J123,'G-8 Condition Look up'!$A$3:$H$3,0)),"")</f>
        <v/>
      </c>
      <c r="L123" s="52"/>
      <c r="M123" s="283" t="str">
        <f>IF(L123="","",IF(VLOOKUP(L123,'G-3 Multipliers'!$L$3:$N$6,2,FALSE)=0,"Spatial Data Missing",VLOOKUP(L123,'G-3 Multipliers'!$L$3:$N$6,2,FALSE)))</f>
        <v/>
      </c>
      <c r="N123" s="281" t="str">
        <f>IF(L123="","",IF(VLOOKUP(L123,'G-3 Multipliers'!$L$3:$N$6,3,FALSE)=0,"Spatial Data Missing",VLOOKUP(L123,'G-3 Multipliers'!$L$3:$N$6,3,FALSE)))</f>
        <v/>
      </c>
      <c r="O123" s="275" t="str">
        <f t="shared" si="6"/>
        <v/>
      </c>
      <c r="P123" s="58"/>
      <c r="Q123" s="58"/>
      <c r="R123" s="283" t="str">
        <f t="shared" si="8"/>
        <v/>
      </c>
      <c r="S123" s="296" t="str">
        <f t="shared" si="9"/>
        <v/>
      </c>
      <c r="T123" s="297" t="str">
        <f>IFERROR(IF(S123="Check Data ⚠","Check Data ⚠",VLOOKUP(S123,'G-4 Temporal multipliers'!$A$4:$C$37,3,FALSE)),"")</f>
        <v/>
      </c>
      <c r="U123" s="298" t="str">
        <f>IF(F123="","",VLOOKUP(F123,'G-3 Multipliers'!$A$2:$E$134,2,FALSE))</f>
        <v/>
      </c>
      <c r="V123" s="295" t="str">
        <f t="shared" si="10"/>
        <v/>
      </c>
      <c r="W123" s="295" t="str">
        <f>IF(E123="","",IF(AND(V123="Standard difficulty applied",O123&gt;P123),U123,IF(AND(V123="Low Difficulty - only applicable if all habitat created before losses ⚠",P123&gt;=O123),"Low",VLOOKUP(F123,'G-3 Multipliers'!$A$2:$E$134,4,FALSE))))</f>
        <v/>
      </c>
      <c r="X123" s="299" t="str">
        <f>IFERROR(IF(E123="","",VLOOKUP(W123,'G-3 Multipliers'!$P$2:$Q$6,2,FALSE)),"")</f>
        <v/>
      </c>
      <c r="Y123" s="303" t="str">
        <f t="shared" si="11"/>
        <v/>
      </c>
      <c r="Z123" s="52"/>
      <c r="AA123" s="51"/>
      <c r="AB123" s="104"/>
      <c r="AE123" s="40" t="str">
        <f t="shared" si="7"/>
        <v/>
      </c>
    </row>
    <row r="124" spans="1:31" ht="14" hidden="1">
      <c r="A124" s="35" t="str">
        <f>IFERROR(INDEX('G-8 Condition Look up'!$I$4:$I$135,MATCH(F124,'G-8 Condition Look up'!$A$4:$A$135,0)),"")</f>
        <v/>
      </c>
      <c r="B124" s="225">
        <v>114</v>
      </c>
      <c r="C124" s="232" t="str">
        <f>IFERROR(INDEX('G-1 All Habitats'!$AG$25:$AG$41,MATCH(D124,'G-1 All Habitats'!AF$25:AF$41,0)),"")</f>
        <v/>
      </c>
      <c r="D124" s="52"/>
      <c r="E124" s="57"/>
      <c r="F124" s="231" t="str">
        <f>IFERROR(INDEX('G-1 All Habitats'!$B$3:$B$135,MATCH(E124,'G-1 All Habitats'!$A$3:$A$135,0)),"")</f>
        <v/>
      </c>
      <c r="G124" s="51"/>
      <c r="H124" s="275" t="str">
        <f>IF(F124="","",VLOOKUP(F124,'G-1 All Habitats'!$B$2:$M$135,10,FALSE))</f>
        <v/>
      </c>
      <c r="I124" s="276" t="str">
        <f>IFERROR(VLOOKUP(H124,'G-1 All Habitats'!$V$3:$W$7,2,FALSE),"")</f>
        <v/>
      </c>
      <c r="J124" s="52"/>
      <c r="K124" s="276" t="str">
        <f>IFERROR(INDEX('G-8 Condition Look up'!$A$3:$H$135,MATCH(F124,'G-8 Condition Look up'!$A$3:$A$135,0),MATCH(J124,'G-8 Condition Look up'!$A$3:$H$3,0)),"")</f>
        <v/>
      </c>
      <c r="L124" s="52"/>
      <c r="M124" s="283" t="str">
        <f>IF(L124="","",IF(VLOOKUP(L124,'G-3 Multipliers'!$L$3:$N$6,2,FALSE)=0,"Spatial Data Missing",VLOOKUP(L124,'G-3 Multipliers'!$L$3:$N$6,2,FALSE)))</f>
        <v/>
      </c>
      <c r="N124" s="281" t="str">
        <f>IF(L124="","",IF(VLOOKUP(L124,'G-3 Multipliers'!$L$3:$N$6,3,FALSE)=0,"Spatial Data Missing",VLOOKUP(L124,'G-3 Multipliers'!$L$3:$N$6,3,FALSE)))</f>
        <v/>
      </c>
      <c r="O124" s="275" t="str">
        <f t="shared" si="6"/>
        <v/>
      </c>
      <c r="P124" s="58"/>
      <c r="Q124" s="58"/>
      <c r="R124" s="283" t="str">
        <f t="shared" si="8"/>
        <v/>
      </c>
      <c r="S124" s="296" t="str">
        <f t="shared" si="9"/>
        <v/>
      </c>
      <c r="T124" s="297" t="str">
        <f>IFERROR(IF(S124="Check Data ⚠","Check Data ⚠",VLOOKUP(S124,'G-4 Temporal multipliers'!$A$4:$C$37,3,FALSE)),"")</f>
        <v/>
      </c>
      <c r="U124" s="298" t="str">
        <f>IF(F124="","",VLOOKUP(F124,'G-3 Multipliers'!$A$2:$E$134,2,FALSE))</f>
        <v/>
      </c>
      <c r="V124" s="295" t="str">
        <f t="shared" si="10"/>
        <v/>
      </c>
      <c r="W124" s="295" t="str">
        <f>IF(E124="","",IF(AND(V124="Standard difficulty applied",O124&gt;P124),U124,IF(AND(V124="Low Difficulty - only applicable if all habitat created before losses ⚠",P124&gt;=O124),"Low",VLOOKUP(F124,'G-3 Multipliers'!$A$2:$E$134,4,FALSE))))</f>
        <v/>
      </c>
      <c r="X124" s="299" t="str">
        <f>IFERROR(IF(E124="","",VLOOKUP(W124,'G-3 Multipliers'!$P$2:$Q$6,2,FALSE)),"")</f>
        <v/>
      </c>
      <c r="Y124" s="303" t="str">
        <f t="shared" si="11"/>
        <v/>
      </c>
      <c r="Z124" s="52"/>
      <c r="AA124" s="51"/>
      <c r="AB124" s="104"/>
      <c r="AE124" s="40" t="str">
        <f t="shared" si="7"/>
        <v/>
      </c>
    </row>
    <row r="125" spans="1:31" ht="14" hidden="1">
      <c r="A125" s="35" t="str">
        <f>IFERROR(INDEX('G-8 Condition Look up'!$I$4:$I$135,MATCH(F125,'G-8 Condition Look up'!$A$4:$A$135,0)),"")</f>
        <v/>
      </c>
      <c r="B125" s="225">
        <v>115</v>
      </c>
      <c r="C125" s="232" t="str">
        <f>IFERROR(INDEX('G-1 All Habitats'!$AG$25:$AG$41,MATCH(D125,'G-1 All Habitats'!AF$25:AF$41,0)),"")</f>
        <v/>
      </c>
      <c r="D125" s="52"/>
      <c r="E125" s="57"/>
      <c r="F125" s="231" t="str">
        <f>IFERROR(INDEX('G-1 All Habitats'!$B$3:$B$135,MATCH(E125,'G-1 All Habitats'!$A$3:$A$135,0)),"")</f>
        <v/>
      </c>
      <c r="G125" s="51"/>
      <c r="H125" s="275" t="str">
        <f>IF(F125="","",VLOOKUP(F125,'G-1 All Habitats'!$B$2:$M$135,10,FALSE))</f>
        <v/>
      </c>
      <c r="I125" s="276" t="str">
        <f>IFERROR(VLOOKUP(H125,'G-1 All Habitats'!$V$3:$W$7,2,FALSE),"")</f>
        <v/>
      </c>
      <c r="J125" s="52"/>
      <c r="K125" s="276" t="str">
        <f>IFERROR(INDEX('G-8 Condition Look up'!$A$3:$H$135,MATCH(F125,'G-8 Condition Look up'!$A$3:$A$135,0),MATCH(J125,'G-8 Condition Look up'!$A$3:$H$3,0)),"")</f>
        <v/>
      </c>
      <c r="L125" s="52"/>
      <c r="M125" s="283" t="str">
        <f>IF(L125="","",IF(VLOOKUP(L125,'G-3 Multipliers'!$L$3:$N$6,2,FALSE)=0,"Spatial Data Missing",VLOOKUP(L125,'G-3 Multipliers'!$L$3:$N$6,2,FALSE)))</f>
        <v/>
      </c>
      <c r="N125" s="281" t="str">
        <f>IF(L125="","",IF(VLOOKUP(L125,'G-3 Multipliers'!$L$3:$N$6,3,FALSE)=0,"Spatial Data Missing",VLOOKUP(L125,'G-3 Multipliers'!$L$3:$N$6,3,FALSE)))</f>
        <v/>
      </c>
      <c r="O125" s="275" t="str">
        <f t="shared" si="6"/>
        <v/>
      </c>
      <c r="P125" s="58"/>
      <c r="Q125" s="58"/>
      <c r="R125" s="283" t="str">
        <f t="shared" si="8"/>
        <v/>
      </c>
      <c r="S125" s="296" t="str">
        <f t="shared" si="9"/>
        <v/>
      </c>
      <c r="T125" s="297" t="str">
        <f>IFERROR(IF(S125="Check Data ⚠","Check Data ⚠",VLOOKUP(S125,'G-4 Temporal multipliers'!$A$4:$C$37,3,FALSE)),"")</f>
        <v/>
      </c>
      <c r="U125" s="298" t="str">
        <f>IF(F125="","",VLOOKUP(F125,'G-3 Multipliers'!$A$2:$E$134,2,FALSE))</f>
        <v/>
      </c>
      <c r="V125" s="295" t="str">
        <f t="shared" si="10"/>
        <v/>
      </c>
      <c r="W125" s="295" t="str">
        <f>IF(E125="","",IF(AND(V125="Standard difficulty applied",O125&gt;P125),U125,IF(AND(V125="Low Difficulty - only applicable if all habitat created before losses ⚠",P125&gt;=O125),"Low",VLOOKUP(F125,'G-3 Multipliers'!$A$2:$E$134,4,FALSE))))</f>
        <v/>
      </c>
      <c r="X125" s="299" t="str">
        <f>IFERROR(IF(E125="","",VLOOKUP(W125,'G-3 Multipliers'!$P$2:$Q$6,2,FALSE)),"")</f>
        <v/>
      </c>
      <c r="Y125" s="303" t="str">
        <f t="shared" si="11"/>
        <v/>
      </c>
      <c r="Z125" s="52"/>
      <c r="AA125" s="51"/>
      <c r="AB125" s="104"/>
      <c r="AE125" s="40" t="str">
        <f t="shared" si="7"/>
        <v/>
      </c>
    </row>
    <row r="126" spans="1:31" ht="14" hidden="1">
      <c r="A126" s="35" t="str">
        <f>IFERROR(INDEX('G-8 Condition Look up'!$I$4:$I$135,MATCH(F126,'G-8 Condition Look up'!$A$4:$A$135,0)),"")</f>
        <v/>
      </c>
      <c r="B126" s="225">
        <v>116</v>
      </c>
      <c r="C126" s="232" t="str">
        <f>IFERROR(INDEX('G-1 All Habitats'!$AG$25:$AG$41,MATCH(D126,'G-1 All Habitats'!AF$25:AF$41,0)),"")</f>
        <v/>
      </c>
      <c r="D126" s="52"/>
      <c r="E126" s="57"/>
      <c r="F126" s="231" t="str">
        <f>IFERROR(INDEX('G-1 All Habitats'!$B$3:$B$135,MATCH(E126,'G-1 All Habitats'!$A$3:$A$135,0)),"")</f>
        <v/>
      </c>
      <c r="G126" s="51"/>
      <c r="H126" s="275" t="str">
        <f>IF(F126="","",VLOOKUP(F126,'G-1 All Habitats'!$B$2:$M$135,10,FALSE))</f>
        <v/>
      </c>
      <c r="I126" s="276" t="str">
        <f>IFERROR(VLOOKUP(H126,'G-1 All Habitats'!$V$3:$W$7,2,FALSE),"")</f>
        <v/>
      </c>
      <c r="J126" s="52"/>
      <c r="K126" s="276" t="str">
        <f>IFERROR(INDEX('G-8 Condition Look up'!$A$3:$H$135,MATCH(F126,'G-8 Condition Look up'!$A$3:$A$135,0),MATCH(J126,'G-8 Condition Look up'!$A$3:$H$3,0)),"")</f>
        <v/>
      </c>
      <c r="L126" s="52"/>
      <c r="M126" s="283" t="str">
        <f>IF(L126="","",IF(VLOOKUP(L126,'G-3 Multipliers'!$L$3:$N$6,2,FALSE)=0,"Spatial Data Missing",VLOOKUP(L126,'G-3 Multipliers'!$L$3:$N$6,2,FALSE)))</f>
        <v/>
      </c>
      <c r="N126" s="281" t="str">
        <f>IF(L126="","",IF(VLOOKUP(L126,'G-3 Multipliers'!$L$3:$N$6,3,FALSE)=0,"Spatial Data Missing",VLOOKUP(L126,'G-3 Multipliers'!$L$3:$N$6,3,FALSE)))</f>
        <v/>
      </c>
      <c r="O126" s="275" t="str">
        <f t="shared" si="6"/>
        <v/>
      </c>
      <c r="P126" s="58"/>
      <c r="Q126" s="58"/>
      <c r="R126" s="283" t="str">
        <f t="shared" si="8"/>
        <v/>
      </c>
      <c r="S126" s="296" t="str">
        <f t="shared" si="9"/>
        <v/>
      </c>
      <c r="T126" s="297" t="str">
        <f>IFERROR(IF(S126="Check Data ⚠","Check Data ⚠",VLOOKUP(S126,'G-4 Temporal multipliers'!$A$4:$C$37,3,FALSE)),"")</f>
        <v/>
      </c>
      <c r="U126" s="298" t="str">
        <f>IF(F126="","",VLOOKUP(F126,'G-3 Multipliers'!$A$2:$E$134,2,FALSE))</f>
        <v/>
      </c>
      <c r="V126" s="295" t="str">
        <f t="shared" si="10"/>
        <v/>
      </c>
      <c r="W126" s="295" t="str">
        <f>IF(E126="","",IF(AND(V126="Standard difficulty applied",O126&gt;P126),U126,IF(AND(V126="Low Difficulty - only applicable if all habitat created before losses ⚠",P126&gt;=O126),"Low",VLOOKUP(F126,'G-3 Multipliers'!$A$2:$E$134,4,FALSE))))</f>
        <v/>
      </c>
      <c r="X126" s="299" t="str">
        <f>IFERROR(IF(E126="","",VLOOKUP(W126,'G-3 Multipliers'!$P$2:$Q$6,2,FALSE)),"")</f>
        <v/>
      </c>
      <c r="Y126" s="303" t="str">
        <f t="shared" si="11"/>
        <v/>
      </c>
      <c r="Z126" s="52"/>
      <c r="AA126" s="51"/>
      <c r="AB126" s="104"/>
      <c r="AE126" s="40" t="str">
        <f t="shared" si="7"/>
        <v/>
      </c>
    </row>
    <row r="127" spans="1:31" ht="14" hidden="1">
      <c r="A127" s="35" t="str">
        <f>IFERROR(INDEX('G-8 Condition Look up'!$I$4:$I$135,MATCH(F127,'G-8 Condition Look up'!$A$4:$A$135,0)),"")</f>
        <v/>
      </c>
      <c r="B127" s="225">
        <v>117</v>
      </c>
      <c r="C127" s="232" t="str">
        <f>IFERROR(INDEX('G-1 All Habitats'!$AG$25:$AG$41,MATCH(D127,'G-1 All Habitats'!AF$25:AF$41,0)),"")</f>
        <v/>
      </c>
      <c r="D127" s="52"/>
      <c r="E127" s="57"/>
      <c r="F127" s="231" t="str">
        <f>IFERROR(INDEX('G-1 All Habitats'!$B$3:$B$135,MATCH(E127,'G-1 All Habitats'!$A$3:$A$135,0)),"")</f>
        <v/>
      </c>
      <c r="G127" s="51"/>
      <c r="H127" s="275" t="str">
        <f>IF(F127="","",VLOOKUP(F127,'G-1 All Habitats'!$B$2:$M$135,10,FALSE))</f>
        <v/>
      </c>
      <c r="I127" s="276" t="str">
        <f>IFERROR(VLOOKUP(H127,'G-1 All Habitats'!$V$3:$W$7,2,FALSE),"")</f>
        <v/>
      </c>
      <c r="J127" s="52"/>
      <c r="K127" s="276" t="str">
        <f>IFERROR(INDEX('G-8 Condition Look up'!$A$3:$H$135,MATCH(F127,'G-8 Condition Look up'!$A$3:$A$135,0),MATCH(J127,'G-8 Condition Look up'!$A$3:$H$3,0)),"")</f>
        <v/>
      </c>
      <c r="L127" s="52"/>
      <c r="M127" s="283" t="str">
        <f>IF(L127="","",IF(VLOOKUP(L127,'G-3 Multipliers'!$L$3:$N$6,2,FALSE)=0,"Spatial Data Missing",VLOOKUP(L127,'G-3 Multipliers'!$L$3:$N$6,2,FALSE)))</f>
        <v/>
      </c>
      <c r="N127" s="281" t="str">
        <f>IF(L127="","",IF(VLOOKUP(L127,'G-3 Multipliers'!$L$3:$N$6,3,FALSE)=0,"Spatial Data Missing",VLOOKUP(L127,'G-3 Multipliers'!$L$3:$N$6,3,FALSE)))</f>
        <v/>
      </c>
      <c r="O127" s="275" t="str">
        <f t="shared" si="6"/>
        <v/>
      </c>
      <c r="P127" s="58"/>
      <c r="Q127" s="58"/>
      <c r="R127" s="283" t="str">
        <f t="shared" si="8"/>
        <v/>
      </c>
      <c r="S127" s="296" t="str">
        <f t="shared" si="9"/>
        <v/>
      </c>
      <c r="T127" s="297" t="str">
        <f>IFERROR(IF(S127="Check Data ⚠","Check Data ⚠",VLOOKUP(S127,'G-4 Temporal multipliers'!$A$4:$C$37,3,FALSE)),"")</f>
        <v/>
      </c>
      <c r="U127" s="298" t="str">
        <f>IF(F127="","",VLOOKUP(F127,'G-3 Multipliers'!$A$2:$E$134,2,FALSE))</f>
        <v/>
      </c>
      <c r="V127" s="295" t="str">
        <f t="shared" si="10"/>
        <v/>
      </c>
      <c r="W127" s="295" t="str">
        <f>IF(E127="","",IF(AND(V127="Standard difficulty applied",O127&gt;P127),U127,IF(AND(V127="Low Difficulty - only applicable if all habitat created before losses ⚠",P127&gt;=O127),"Low",VLOOKUP(F127,'G-3 Multipliers'!$A$2:$E$134,4,FALSE))))</f>
        <v/>
      </c>
      <c r="X127" s="299" t="str">
        <f>IFERROR(IF(E127="","",VLOOKUP(W127,'G-3 Multipliers'!$P$2:$Q$6,2,FALSE)),"")</f>
        <v/>
      </c>
      <c r="Y127" s="303" t="str">
        <f t="shared" si="11"/>
        <v/>
      </c>
      <c r="Z127" s="52"/>
      <c r="AA127" s="51"/>
      <c r="AB127" s="104"/>
      <c r="AE127" s="40" t="str">
        <f t="shared" si="7"/>
        <v/>
      </c>
    </row>
    <row r="128" spans="1:31" ht="14" hidden="1">
      <c r="A128" s="35" t="str">
        <f>IFERROR(INDEX('G-8 Condition Look up'!$I$4:$I$135,MATCH(F128,'G-8 Condition Look up'!$A$4:$A$135,0)),"")</f>
        <v/>
      </c>
      <c r="B128" s="225">
        <v>118</v>
      </c>
      <c r="C128" s="232" t="str">
        <f>IFERROR(INDEX('G-1 All Habitats'!$AG$25:$AG$41,MATCH(D128,'G-1 All Habitats'!AF$25:AF$41,0)),"")</f>
        <v/>
      </c>
      <c r="D128" s="52"/>
      <c r="E128" s="57"/>
      <c r="F128" s="231" t="str">
        <f>IFERROR(INDEX('G-1 All Habitats'!$B$3:$B$135,MATCH(E128,'G-1 All Habitats'!$A$3:$A$135,0)),"")</f>
        <v/>
      </c>
      <c r="G128" s="51"/>
      <c r="H128" s="275" t="str">
        <f>IF(F128="","",VLOOKUP(F128,'G-1 All Habitats'!$B$2:$M$135,10,FALSE))</f>
        <v/>
      </c>
      <c r="I128" s="276" t="str">
        <f>IFERROR(VLOOKUP(H128,'G-1 All Habitats'!$V$3:$W$7,2,FALSE),"")</f>
        <v/>
      </c>
      <c r="J128" s="52"/>
      <c r="K128" s="276" t="str">
        <f>IFERROR(INDEX('G-8 Condition Look up'!$A$3:$H$135,MATCH(F128,'G-8 Condition Look up'!$A$3:$A$135,0),MATCH(J128,'G-8 Condition Look up'!$A$3:$H$3,0)),"")</f>
        <v/>
      </c>
      <c r="L128" s="52"/>
      <c r="M128" s="283" t="str">
        <f>IF(L128="","",IF(VLOOKUP(L128,'G-3 Multipliers'!$L$3:$N$6,2,FALSE)=0,"Spatial Data Missing",VLOOKUP(L128,'G-3 Multipliers'!$L$3:$N$6,2,FALSE)))</f>
        <v/>
      </c>
      <c r="N128" s="281" t="str">
        <f>IF(L128="","",IF(VLOOKUP(L128,'G-3 Multipliers'!$L$3:$N$6,3,FALSE)=0,"Spatial Data Missing",VLOOKUP(L128,'G-3 Multipliers'!$L$3:$N$6,3,FALSE)))</f>
        <v/>
      </c>
      <c r="O128" s="275" t="str">
        <f t="shared" si="6"/>
        <v/>
      </c>
      <c r="P128" s="58"/>
      <c r="Q128" s="58"/>
      <c r="R128" s="283" t="str">
        <f t="shared" si="8"/>
        <v/>
      </c>
      <c r="S128" s="296" t="str">
        <f t="shared" si="9"/>
        <v/>
      </c>
      <c r="T128" s="297" t="str">
        <f>IFERROR(IF(S128="Check Data ⚠","Check Data ⚠",VLOOKUP(S128,'G-4 Temporal multipliers'!$A$4:$C$37,3,FALSE)),"")</f>
        <v/>
      </c>
      <c r="U128" s="298" t="str">
        <f>IF(F128="","",VLOOKUP(F128,'G-3 Multipliers'!$A$2:$E$134,2,FALSE))</f>
        <v/>
      </c>
      <c r="V128" s="295" t="str">
        <f t="shared" si="10"/>
        <v/>
      </c>
      <c r="W128" s="295" t="str">
        <f>IF(E128="","",IF(AND(V128="Standard difficulty applied",O128&gt;P128),U128,IF(AND(V128="Low Difficulty - only applicable if all habitat created before losses ⚠",P128&gt;=O128),"Low",VLOOKUP(F128,'G-3 Multipliers'!$A$2:$E$134,4,FALSE))))</f>
        <v/>
      </c>
      <c r="X128" s="299" t="str">
        <f>IFERROR(IF(E128="","",VLOOKUP(W128,'G-3 Multipliers'!$P$2:$Q$6,2,FALSE)),"")</f>
        <v/>
      </c>
      <c r="Y128" s="303" t="str">
        <f t="shared" si="11"/>
        <v/>
      </c>
      <c r="Z128" s="52"/>
      <c r="AA128" s="51"/>
      <c r="AB128" s="104"/>
      <c r="AE128" s="40" t="str">
        <f t="shared" si="7"/>
        <v/>
      </c>
    </row>
    <row r="129" spans="1:31" ht="14" hidden="1">
      <c r="A129" s="35" t="str">
        <f>IFERROR(INDEX('G-8 Condition Look up'!$I$4:$I$135,MATCH(F129,'G-8 Condition Look up'!$A$4:$A$135,0)),"")</f>
        <v/>
      </c>
      <c r="B129" s="225">
        <v>119</v>
      </c>
      <c r="C129" s="232" t="str">
        <f>IFERROR(INDEX('G-1 All Habitats'!$AG$25:$AG$41,MATCH(D129,'G-1 All Habitats'!AF$25:AF$41,0)),"")</f>
        <v/>
      </c>
      <c r="D129" s="52"/>
      <c r="E129" s="57"/>
      <c r="F129" s="231" t="str">
        <f>IFERROR(INDEX('G-1 All Habitats'!$B$3:$B$135,MATCH(E129,'G-1 All Habitats'!$A$3:$A$135,0)),"")</f>
        <v/>
      </c>
      <c r="G129" s="51"/>
      <c r="H129" s="275" t="str">
        <f>IF(F129="","",VLOOKUP(F129,'G-1 All Habitats'!$B$2:$M$135,10,FALSE))</f>
        <v/>
      </c>
      <c r="I129" s="276" t="str">
        <f>IFERROR(VLOOKUP(H129,'G-1 All Habitats'!$V$3:$W$7,2,FALSE),"")</f>
        <v/>
      </c>
      <c r="J129" s="52"/>
      <c r="K129" s="276" t="str">
        <f>IFERROR(INDEX('G-8 Condition Look up'!$A$3:$H$135,MATCH(F129,'G-8 Condition Look up'!$A$3:$A$135,0),MATCH(J129,'G-8 Condition Look up'!$A$3:$H$3,0)),"")</f>
        <v/>
      </c>
      <c r="L129" s="52"/>
      <c r="M129" s="283" t="str">
        <f>IF(L129="","",IF(VLOOKUP(L129,'G-3 Multipliers'!$L$3:$N$6,2,FALSE)=0,"Spatial Data Missing",VLOOKUP(L129,'G-3 Multipliers'!$L$3:$N$6,2,FALSE)))</f>
        <v/>
      </c>
      <c r="N129" s="281" t="str">
        <f>IF(L129="","",IF(VLOOKUP(L129,'G-3 Multipliers'!$L$3:$N$6,3,FALSE)=0,"Spatial Data Missing",VLOOKUP(L129,'G-3 Multipliers'!$L$3:$N$6,3,FALSE)))</f>
        <v/>
      </c>
      <c r="O129" s="275" t="str">
        <f t="shared" si="6"/>
        <v/>
      </c>
      <c r="P129" s="58"/>
      <c r="Q129" s="58"/>
      <c r="R129" s="283" t="str">
        <f t="shared" si="8"/>
        <v/>
      </c>
      <c r="S129" s="296" t="str">
        <f t="shared" si="9"/>
        <v/>
      </c>
      <c r="T129" s="297" t="str">
        <f>IFERROR(IF(S129="Check Data ⚠","Check Data ⚠",VLOOKUP(S129,'G-4 Temporal multipliers'!$A$4:$C$37,3,FALSE)),"")</f>
        <v/>
      </c>
      <c r="U129" s="298" t="str">
        <f>IF(F129="","",VLOOKUP(F129,'G-3 Multipliers'!$A$2:$E$134,2,FALSE))</f>
        <v/>
      </c>
      <c r="V129" s="295" t="str">
        <f t="shared" si="10"/>
        <v/>
      </c>
      <c r="W129" s="295" t="str">
        <f>IF(E129="","",IF(AND(V129="Standard difficulty applied",O129&gt;P129),U129,IF(AND(V129="Low Difficulty - only applicable if all habitat created before losses ⚠",P129&gt;=O129),"Low",VLOOKUP(F129,'G-3 Multipliers'!$A$2:$E$134,4,FALSE))))</f>
        <v/>
      </c>
      <c r="X129" s="299" t="str">
        <f>IFERROR(IF(E129="","",VLOOKUP(W129,'G-3 Multipliers'!$P$2:$Q$6,2,FALSE)),"")</f>
        <v/>
      </c>
      <c r="Y129" s="303" t="str">
        <f t="shared" si="11"/>
        <v/>
      </c>
      <c r="Z129" s="52"/>
      <c r="AA129" s="51"/>
      <c r="AB129" s="104"/>
      <c r="AE129" s="40" t="str">
        <f t="shared" si="7"/>
        <v/>
      </c>
    </row>
    <row r="130" spans="1:31" ht="14" hidden="1">
      <c r="A130" s="35" t="str">
        <f>IFERROR(INDEX('G-8 Condition Look up'!$I$4:$I$135,MATCH(F130,'G-8 Condition Look up'!$A$4:$A$135,0)),"")</f>
        <v/>
      </c>
      <c r="B130" s="225">
        <v>120</v>
      </c>
      <c r="C130" s="232" t="str">
        <f>IFERROR(INDEX('G-1 All Habitats'!$AG$25:$AG$41,MATCH(D130,'G-1 All Habitats'!AF$25:AF$41,0)),"")</f>
        <v/>
      </c>
      <c r="D130" s="52"/>
      <c r="E130" s="57"/>
      <c r="F130" s="231" t="str">
        <f>IFERROR(INDEX('G-1 All Habitats'!$B$3:$B$135,MATCH(E130,'G-1 All Habitats'!$A$3:$A$135,0)),"")</f>
        <v/>
      </c>
      <c r="G130" s="51"/>
      <c r="H130" s="275" t="str">
        <f>IF(F130="","",VLOOKUP(F130,'G-1 All Habitats'!$B$2:$M$135,10,FALSE))</f>
        <v/>
      </c>
      <c r="I130" s="276" t="str">
        <f>IFERROR(VLOOKUP(H130,'G-1 All Habitats'!$V$3:$W$7,2,FALSE),"")</f>
        <v/>
      </c>
      <c r="J130" s="52"/>
      <c r="K130" s="276" t="str">
        <f>IFERROR(INDEX('G-8 Condition Look up'!$A$3:$H$135,MATCH(F130,'G-8 Condition Look up'!$A$3:$A$135,0),MATCH(J130,'G-8 Condition Look up'!$A$3:$H$3,0)),"")</f>
        <v/>
      </c>
      <c r="L130" s="52"/>
      <c r="M130" s="283" t="str">
        <f>IF(L130="","",IF(VLOOKUP(L130,'G-3 Multipliers'!$L$3:$N$6,2,FALSE)=0,"Spatial Data Missing",VLOOKUP(L130,'G-3 Multipliers'!$L$3:$N$6,2,FALSE)))</f>
        <v/>
      </c>
      <c r="N130" s="281" t="str">
        <f>IF(L130="","",IF(VLOOKUP(L130,'G-3 Multipliers'!$L$3:$N$6,3,FALSE)=0,"Spatial Data Missing",VLOOKUP(L130,'G-3 Multipliers'!$L$3:$N$6,3,FALSE)))</f>
        <v/>
      </c>
      <c r="O130" s="275" t="str">
        <f t="shared" si="6"/>
        <v/>
      </c>
      <c r="P130" s="58"/>
      <c r="Q130" s="58"/>
      <c r="R130" s="283" t="str">
        <f t="shared" si="8"/>
        <v/>
      </c>
      <c r="S130" s="296" t="str">
        <f t="shared" si="9"/>
        <v/>
      </c>
      <c r="T130" s="297" t="str">
        <f>IFERROR(IF(S130="Check Data ⚠","Check Data ⚠",VLOOKUP(S130,'G-4 Temporal multipliers'!$A$4:$C$37,3,FALSE)),"")</f>
        <v/>
      </c>
      <c r="U130" s="298" t="str">
        <f>IF(F130="","",VLOOKUP(F130,'G-3 Multipliers'!$A$2:$E$134,2,FALSE))</f>
        <v/>
      </c>
      <c r="V130" s="295" t="str">
        <f t="shared" si="10"/>
        <v/>
      </c>
      <c r="W130" s="295" t="str">
        <f>IF(E130="","",IF(AND(V130="Standard difficulty applied",O130&gt;P130),U130,IF(AND(V130="Low Difficulty - only applicable if all habitat created before losses ⚠",P130&gt;=O130),"Low",VLOOKUP(F130,'G-3 Multipliers'!$A$2:$E$134,4,FALSE))))</f>
        <v/>
      </c>
      <c r="X130" s="299" t="str">
        <f>IFERROR(IF(E130="","",VLOOKUP(W130,'G-3 Multipliers'!$P$2:$Q$6,2,FALSE)),"")</f>
        <v/>
      </c>
      <c r="Y130" s="303" t="str">
        <f t="shared" si="11"/>
        <v/>
      </c>
      <c r="Z130" s="52"/>
      <c r="AA130" s="51"/>
      <c r="AB130" s="104"/>
      <c r="AE130" s="40" t="str">
        <f t="shared" si="7"/>
        <v/>
      </c>
    </row>
    <row r="131" spans="1:31" ht="14" hidden="1">
      <c r="A131" s="35" t="str">
        <f>IFERROR(INDEX('G-8 Condition Look up'!$I$4:$I$135,MATCH(F131,'G-8 Condition Look up'!$A$4:$A$135,0)),"")</f>
        <v/>
      </c>
      <c r="B131" s="225">
        <v>121</v>
      </c>
      <c r="C131" s="232" t="str">
        <f>IFERROR(INDEX('G-1 All Habitats'!$AG$25:$AG$41,MATCH(D131,'G-1 All Habitats'!AF$25:AF$41,0)),"")</f>
        <v/>
      </c>
      <c r="D131" s="52"/>
      <c r="E131" s="57"/>
      <c r="F131" s="231" t="str">
        <f>IFERROR(INDEX('G-1 All Habitats'!$B$3:$B$135,MATCH(E131,'G-1 All Habitats'!$A$3:$A$135,0)),"")</f>
        <v/>
      </c>
      <c r="G131" s="51"/>
      <c r="H131" s="275" t="str">
        <f>IF(F131="","",VLOOKUP(F131,'G-1 All Habitats'!$B$2:$M$135,10,FALSE))</f>
        <v/>
      </c>
      <c r="I131" s="276" t="str">
        <f>IFERROR(VLOOKUP(H131,'G-1 All Habitats'!$V$3:$W$7,2,FALSE),"")</f>
        <v/>
      </c>
      <c r="J131" s="52"/>
      <c r="K131" s="276" t="str">
        <f>IFERROR(INDEX('G-8 Condition Look up'!$A$3:$H$135,MATCH(F131,'G-8 Condition Look up'!$A$3:$A$135,0),MATCH(J131,'G-8 Condition Look up'!$A$3:$H$3,0)),"")</f>
        <v/>
      </c>
      <c r="L131" s="52"/>
      <c r="M131" s="283" t="str">
        <f>IF(L131="","",IF(VLOOKUP(L131,'G-3 Multipliers'!$L$3:$N$6,2,FALSE)=0,"Spatial Data Missing",VLOOKUP(L131,'G-3 Multipliers'!$L$3:$N$6,2,FALSE)))</f>
        <v/>
      </c>
      <c r="N131" s="281" t="str">
        <f>IF(L131="","",IF(VLOOKUP(L131,'G-3 Multipliers'!$L$3:$N$6,3,FALSE)=0,"Spatial Data Missing",VLOOKUP(L131,'G-3 Multipliers'!$L$3:$N$6,3,FALSE)))</f>
        <v/>
      </c>
      <c r="O131" s="275" t="str">
        <f t="shared" si="6"/>
        <v/>
      </c>
      <c r="P131" s="58"/>
      <c r="Q131" s="58"/>
      <c r="R131" s="283" t="str">
        <f t="shared" si="8"/>
        <v/>
      </c>
      <c r="S131" s="296" t="str">
        <f t="shared" si="9"/>
        <v/>
      </c>
      <c r="T131" s="297" t="str">
        <f>IFERROR(IF(S131="Check Data ⚠","Check Data ⚠",VLOOKUP(S131,'G-4 Temporal multipliers'!$A$4:$C$37,3,FALSE)),"")</f>
        <v/>
      </c>
      <c r="U131" s="298" t="str">
        <f>IF(F131="","",VLOOKUP(F131,'G-3 Multipliers'!$A$2:$E$134,2,FALSE))</f>
        <v/>
      </c>
      <c r="V131" s="295" t="str">
        <f t="shared" si="10"/>
        <v/>
      </c>
      <c r="W131" s="295" t="str">
        <f>IF(E131="","",IF(AND(V131="Standard difficulty applied",O131&gt;P131),U131,IF(AND(V131="Low Difficulty - only applicable if all habitat created before losses ⚠",P131&gt;=O131),"Low",VLOOKUP(F131,'G-3 Multipliers'!$A$2:$E$134,4,FALSE))))</f>
        <v/>
      </c>
      <c r="X131" s="299" t="str">
        <f>IFERROR(IF(E131="","",VLOOKUP(W131,'G-3 Multipliers'!$P$2:$Q$6,2,FALSE)),"")</f>
        <v/>
      </c>
      <c r="Y131" s="303" t="str">
        <f t="shared" si="11"/>
        <v/>
      </c>
      <c r="Z131" s="52"/>
      <c r="AA131" s="51"/>
      <c r="AB131" s="104"/>
      <c r="AE131" s="40" t="str">
        <f t="shared" si="7"/>
        <v/>
      </c>
    </row>
    <row r="132" spans="1:31" ht="14" hidden="1">
      <c r="A132" s="35" t="str">
        <f>IFERROR(INDEX('G-8 Condition Look up'!$I$4:$I$135,MATCH(F132,'G-8 Condition Look up'!$A$4:$A$135,0)),"")</f>
        <v/>
      </c>
      <c r="B132" s="225">
        <v>122</v>
      </c>
      <c r="C132" s="232" t="str">
        <f>IFERROR(INDEX('G-1 All Habitats'!$AG$25:$AG$41,MATCH(D132,'G-1 All Habitats'!AF$25:AF$41,0)),"")</f>
        <v/>
      </c>
      <c r="D132" s="52"/>
      <c r="E132" s="57"/>
      <c r="F132" s="231" t="str">
        <f>IFERROR(INDEX('G-1 All Habitats'!$B$3:$B$135,MATCH(E132,'G-1 All Habitats'!$A$3:$A$135,0)),"")</f>
        <v/>
      </c>
      <c r="G132" s="51"/>
      <c r="H132" s="275" t="str">
        <f>IF(F132="","",VLOOKUP(F132,'G-1 All Habitats'!$B$2:$M$135,10,FALSE))</f>
        <v/>
      </c>
      <c r="I132" s="276" t="str">
        <f>IFERROR(VLOOKUP(H132,'G-1 All Habitats'!$V$3:$W$7,2,FALSE),"")</f>
        <v/>
      </c>
      <c r="J132" s="52"/>
      <c r="K132" s="276" t="str">
        <f>IFERROR(INDEX('G-8 Condition Look up'!$A$3:$H$135,MATCH(F132,'G-8 Condition Look up'!$A$3:$A$135,0),MATCH(J132,'G-8 Condition Look up'!$A$3:$H$3,0)),"")</f>
        <v/>
      </c>
      <c r="L132" s="52"/>
      <c r="M132" s="283" t="str">
        <f>IF(L132="","",IF(VLOOKUP(L132,'G-3 Multipliers'!$L$3:$N$6,2,FALSE)=0,"Spatial Data Missing",VLOOKUP(L132,'G-3 Multipliers'!$L$3:$N$6,2,FALSE)))</f>
        <v/>
      </c>
      <c r="N132" s="281" t="str">
        <f>IF(L132="","",IF(VLOOKUP(L132,'G-3 Multipliers'!$L$3:$N$6,3,FALSE)=0,"Spatial Data Missing",VLOOKUP(L132,'G-3 Multipliers'!$L$3:$N$6,3,FALSE)))</f>
        <v/>
      </c>
      <c r="O132" s="275" t="str">
        <f t="shared" si="6"/>
        <v/>
      </c>
      <c r="P132" s="58"/>
      <c r="Q132" s="58"/>
      <c r="R132" s="283" t="str">
        <f t="shared" si="8"/>
        <v/>
      </c>
      <c r="S132" s="296" t="str">
        <f t="shared" si="9"/>
        <v/>
      </c>
      <c r="T132" s="297" t="str">
        <f>IFERROR(IF(S132="Check Data ⚠","Check Data ⚠",VLOOKUP(S132,'G-4 Temporal multipliers'!$A$4:$C$37,3,FALSE)),"")</f>
        <v/>
      </c>
      <c r="U132" s="298" t="str">
        <f>IF(F132="","",VLOOKUP(F132,'G-3 Multipliers'!$A$2:$E$134,2,FALSE))</f>
        <v/>
      </c>
      <c r="V132" s="295" t="str">
        <f t="shared" si="10"/>
        <v/>
      </c>
      <c r="W132" s="295" t="str">
        <f>IF(E132="","",IF(AND(V132="Standard difficulty applied",O132&gt;P132),U132,IF(AND(V132="Low Difficulty - only applicable if all habitat created before losses ⚠",P132&gt;=O132),"Low",VLOOKUP(F132,'G-3 Multipliers'!$A$2:$E$134,4,FALSE))))</f>
        <v/>
      </c>
      <c r="X132" s="299" t="str">
        <f>IFERROR(IF(E132="","",VLOOKUP(W132,'G-3 Multipliers'!$P$2:$Q$6,2,FALSE)),"")</f>
        <v/>
      </c>
      <c r="Y132" s="303" t="str">
        <f t="shared" si="11"/>
        <v/>
      </c>
      <c r="Z132" s="52"/>
      <c r="AA132" s="51"/>
      <c r="AB132" s="104"/>
      <c r="AE132" s="40" t="str">
        <f t="shared" si="7"/>
        <v/>
      </c>
    </row>
    <row r="133" spans="1:31" ht="14" hidden="1">
      <c r="A133" s="35" t="str">
        <f>IFERROR(INDEX('G-8 Condition Look up'!$I$4:$I$135,MATCH(F133,'G-8 Condition Look up'!$A$4:$A$135,0)),"")</f>
        <v/>
      </c>
      <c r="B133" s="225">
        <v>123</v>
      </c>
      <c r="C133" s="232" t="str">
        <f>IFERROR(INDEX('G-1 All Habitats'!$AG$25:$AG$41,MATCH(D133,'G-1 All Habitats'!AF$25:AF$41,0)),"")</f>
        <v/>
      </c>
      <c r="D133" s="52"/>
      <c r="E133" s="57"/>
      <c r="F133" s="231" t="str">
        <f>IFERROR(INDEX('G-1 All Habitats'!$B$3:$B$135,MATCH(E133,'G-1 All Habitats'!$A$3:$A$135,0)),"")</f>
        <v/>
      </c>
      <c r="G133" s="51"/>
      <c r="H133" s="275" t="str">
        <f>IF(F133="","",VLOOKUP(F133,'G-1 All Habitats'!$B$2:$M$135,10,FALSE))</f>
        <v/>
      </c>
      <c r="I133" s="276" t="str">
        <f>IFERROR(VLOOKUP(H133,'G-1 All Habitats'!$V$3:$W$7,2,FALSE),"")</f>
        <v/>
      </c>
      <c r="J133" s="52"/>
      <c r="K133" s="276" t="str">
        <f>IFERROR(INDEX('G-8 Condition Look up'!$A$3:$H$135,MATCH(F133,'G-8 Condition Look up'!$A$3:$A$135,0),MATCH(J133,'G-8 Condition Look up'!$A$3:$H$3,0)),"")</f>
        <v/>
      </c>
      <c r="L133" s="52"/>
      <c r="M133" s="283" t="str">
        <f>IF(L133="","",IF(VLOOKUP(L133,'G-3 Multipliers'!$L$3:$N$6,2,FALSE)=0,"Spatial Data Missing",VLOOKUP(L133,'G-3 Multipliers'!$L$3:$N$6,2,FALSE)))</f>
        <v/>
      </c>
      <c r="N133" s="281" t="str">
        <f>IF(L133="","",IF(VLOOKUP(L133,'G-3 Multipliers'!$L$3:$N$6,3,FALSE)=0,"Spatial Data Missing",VLOOKUP(L133,'G-3 Multipliers'!$L$3:$N$6,3,FALSE)))</f>
        <v/>
      </c>
      <c r="O133" s="275" t="str">
        <f t="shared" si="6"/>
        <v/>
      </c>
      <c r="P133" s="58"/>
      <c r="Q133" s="58"/>
      <c r="R133" s="283" t="str">
        <f t="shared" si="8"/>
        <v/>
      </c>
      <c r="S133" s="296" t="str">
        <f t="shared" si="9"/>
        <v/>
      </c>
      <c r="T133" s="297" t="str">
        <f>IFERROR(IF(S133="Check Data ⚠","Check Data ⚠",VLOOKUP(S133,'G-4 Temporal multipliers'!$A$4:$C$37,3,FALSE)),"")</f>
        <v/>
      </c>
      <c r="U133" s="298" t="str">
        <f>IF(F133="","",VLOOKUP(F133,'G-3 Multipliers'!$A$2:$E$134,2,FALSE))</f>
        <v/>
      </c>
      <c r="V133" s="295" t="str">
        <f t="shared" si="10"/>
        <v/>
      </c>
      <c r="W133" s="295" t="str">
        <f>IF(E133="","",IF(AND(V133="Standard difficulty applied",O133&gt;P133),U133,IF(AND(V133="Low Difficulty - only applicable if all habitat created before losses ⚠",P133&gt;=O133),"Low",VLOOKUP(F133,'G-3 Multipliers'!$A$2:$E$134,4,FALSE))))</f>
        <v/>
      </c>
      <c r="X133" s="299" t="str">
        <f>IFERROR(IF(E133="","",VLOOKUP(W133,'G-3 Multipliers'!$P$2:$Q$6,2,FALSE)),"")</f>
        <v/>
      </c>
      <c r="Y133" s="303" t="str">
        <f t="shared" si="11"/>
        <v/>
      </c>
      <c r="Z133" s="52"/>
      <c r="AA133" s="51"/>
      <c r="AB133" s="104"/>
      <c r="AE133" s="40" t="str">
        <f t="shared" si="7"/>
        <v/>
      </c>
    </row>
    <row r="134" spans="1:31" ht="14" hidden="1">
      <c r="A134" s="35" t="str">
        <f>IFERROR(INDEX('G-8 Condition Look up'!$I$4:$I$135,MATCH(F134,'G-8 Condition Look up'!$A$4:$A$135,0)),"")</f>
        <v/>
      </c>
      <c r="B134" s="225">
        <v>124</v>
      </c>
      <c r="C134" s="232" t="str">
        <f>IFERROR(INDEX('G-1 All Habitats'!$AG$25:$AG$41,MATCH(D134,'G-1 All Habitats'!AF$25:AF$41,0)),"")</f>
        <v/>
      </c>
      <c r="D134" s="52"/>
      <c r="E134" s="57"/>
      <c r="F134" s="231" t="str">
        <f>IFERROR(INDEX('G-1 All Habitats'!$B$3:$B$135,MATCH(E134,'G-1 All Habitats'!$A$3:$A$135,0)),"")</f>
        <v/>
      </c>
      <c r="G134" s="51"/>
      <c r="H134" s="275" t="str">
        <f>IF(F134="","",VLOOKUP(F134,'G-1 All Habitats'!$B$2:$M$135,10,FALSE))</f>
        <v/>
      </c>
      <c r="I134" s="276" t="str">
        <f>IFERROR(VLOOKUP(H134,'G-1 All Habitats'!$V$3:$W$7,2,FALSE),"")</f>
        <v/>
      </c>
      <c r="J134" s="52"/>
      <c r="K134" s="276" t="str">
        <f>IFERROR(INDEX('G-8 Condition Look up'!$A$3:$H$135,MATCH(F134,'G-8 Condition Look up'!$A$3:$A$135,0),MATCH(J134,'G-8 Condition Look up'!$A$3:$H$3,0)),"")</f>
        <v/>
      </c>
      <c r="L134" s="52"/>
      <c r="M134" s="283" t="str">
        <f>IF(L134="","",IF(VLOOKUP(L134,'G-3 Multipliers'!$L$3:$N$6,2,FALSE)=0,"Spatial Data Missing",VLOOKUP(L134,'G-3 Multipliers'!$L$3:$N$6,2,FALSE)))</f>
        <v/>
      </c>
      <c r="N134" s="281" t="str">
        <f>IF(L134="","",IF(VLOOKUP(L134,'G-3 Multipliers'!$L$3:$N$6,3,FALSE)=0,"Spatial Data Missing",VLOOKUP(L134,'G-3 Multipliers'!$L$3:$N$6,3,FALSE)))</f>
        <v/>
      </c>
      <c r="O134" s="275" t="str">
        <f t="shared" si="6"/>
        <v/>
      </c>
      <c r="P134" s="58"/>
      <c r="Q134" s="58"/>
      <c r="R134" s="283" t="str">
        <f t="shared" si="8"/>
        <v/>
      </c>
      <c r="S134" s="296" t="str">
        <f t="shared" si="9"/>
        <v/>
      </c>
      <c r="T134" s="297" t="str">
        <f>IFERROR(IF(S134="Check Data ⚠","Check Data ⚠",VLOOKUP(S134,'G-4 Temporal multipliers'!$A$4:$C$37,3,FALSE)),"")</f>
        <v/>
      </c>
      <c r="U134" s="298" t="str">
        <f>IF(F134="","",VLOOKUP(F134,'G-3 Multipliers'!$A$2:$E$134,2,FALSE))</f>
        <v/>
      </c>
      <c r="V134" s="295" t="str">
        <f t="shared" si="10"/>
        <v/>
      </c>
      <c r="W134" s="295" t="str">
        <f>IF(E134="","",IF(AND(V134="Standard difficulty applied",O134&gt;P134),U134,IF(AND(V134="Low Difficulty - only applicable if all habitat created before losses ⚠",P134&gt;=O134),"Low",VLOOKUP(F134,'G-3 Multipliers'!$A$2:$E$134,4,FALSE))))</f>
        <v/>
      </c>
      <c r="X134" s="299" t="str">
        <f>IFERROR(IF(E134="","",VLOOKUP(W134,'G-3 Multipliers'!$P$2:$Q$6,2,FALSE)),"")</f>
        <v/>
      </c>
      <c r="Y134" s="303" t="str">
        <f t="shared" si="11"/>
        <v/>
      </c>
      <c r="Z134" s="52"/>
      <c r="AA134" s="51"/>
      <c r="AB134" s="104"/>
      <c r="AE134" s="40" t="str">
        <f t="shared" si="7"/>
        <v/>
      </c>
    </row>
    <row r="135" spans="1:31" ht="14" hidden="1">
      <c r="A135" s="35" t="str">
        <f>IFERROR(INDEX('G-8 Condition Look up'!$I$4:$I$135,MATCH(F135,'G-8 Condition Look up'!$A$4:$A$135,0)),"")</f>
        <v/>
      </c>
      <c r="B135" s="225">
        <v>125</v>
      </c>
      <c r="C135" s="232" t="str">
        <f>IFERROR(INDEX('G-1 All Habitats'!$AG$25:$AG$41,MATCH(D135,'G-1 All Habitats'!AF$25:AF$41,0)),"")</f>
        <v/>
      </c>
      <c r="D135" s="52"/>
      <c r="E135" s="57"/>
      <c r="F135" s="231" t="str">
        <f>IFERROR(INDEX('G-1 All Habitats'!$B$3:$B$135,MATCH(E135,'G-1 All Habitats'!$A$3:$A$135,0)),"")</f>
        <v/>
      </c>
      <c r="G135" s="51"/>
      <c r="H135" s="275" t="str">
        <f>IF(F135="","",VLOOKUP(F135,'G-1 All Habitats'!$B$2:$M$135,10,FALSE))</f>
        <v/>
      </c>
      <c r="I135" s="276" t="str">
        <f>IFERROR(VLOOKUP(H135,'G-1 All Habitats'!$V$3:$W$7,2,FALSE),"")</f>
        <v/>
      </c>
      <c r="J135" s="52"/>
      <c r="K135" s="276" t="str">
        <f>IFERROR(INDEX('G-8 Condition Look up'!$A$3:$H$135,MATCH(F135,'G-8 Condition Look up'!$A$3:$A$135,0),MATCH(J135,'G-8 Condition Look up'!$A$3:$H$3,0)),"")</f>
        <v/>
      </c>
      <c r="L135" s="52"/>
      <c r="M135" s="283" t="str">
        <f>IF(L135="","",IF(VLOOKUP(L135,'G-3 Multipliers'!$L$3:$N$6,2,FALSE)=0,"Spatial Data Missing",VLOOKUP(L135,'G-3 Multipliers'!$L$3:$N$6,2,FALSE)))</f>
        <v/>
      </c>
      <c r="N135" s="281" t="str">
        <f>IF(L135="","",IF(VLOOKUP(L135,'G-3 Multipliers'!$L$3:$N$6,3,FALSE)=0,"Spatial Data Missing",VLOOKUP(L135,'G-3 Multipliers'!$L$3:$N$6,3,FALSE)))</f>
        <v/>
      </c>
      <c r="O135" s="275" t="str">
        <f t="shared" si="6"/>
        <v/>
      </c>
      <c r="P135" s="58"/>
      <c r="Q135" s="58"/>
      <c r="R135" s="283" t="str">
        <f t="shared" si="8"/>
        <v/>
      </c>
      <c r="S135" s="296" t="str">
        <f t="shared" si="9"/>
        <v/>
      </c>
      <c r="T135" s="297" t="str">
        <f>IFERROR(IF(S135="Check Data ⚠","Check Data ⚠",VLOOKUP(S135,'G-4 Temporal multipliers'!$A$4:$C$37,3,FALSE)),"")</f>
        <v/>
      </c>
      <c r="U135" s="298" t="str">
        <f>IF(F135="","",VLOOKUP(F135,'G-3 Multipliers'!$A$2:$E$134,2,FALSE))</f>
        <v/>
      </c>
      <c r="V135" s="295" t="str">
        <f t="shared" si="10"/>
        <v/>
      </c>
      <c r="W135" s="295" t="str">
        <f>IF(E135="","",IF(AND(V135="Standard difficulty applied",O135&gt;P135),U135,IF(AND(V135="Low Difficulty - only applicable if all habitat created before losses ⚠",P135&gt;=O135),"Low",VLOOKUP(F135,'G-3 Multipliers'!$A$2:$E$134,4,FALSE))))</f>
        <v/>
      </c>
      <c r="X135" s="299" t="str">
        <f>IFERROR(IF(E135="","",VLOOKUP(W135,'G-3 Multipliers'!$P$2:$Q$6,2,FALSE)),"")</f>
        <v/>
      </c>
      <c r="Y135" s="303" t="str">
        <f t="shared" si="11"/>
        <v/>
      </c>
      <c r="Z135" s="52"/>
      <c r="AA135" s="51"/>
      <c r="AB135" s="104"/>
      <c r="AE135" s="40" t="str">
        <f t="shared" si="7"/>
        <v/>
      </c>
    </row>
    <row r="136" spans="1:31" ht="14" hidden="1">
      <c r="A136" s="35" t="str">
        <f>IFERROR(INDEX('G-8 Condition Look up'!$I$4:$I$135,MATCH(F136,'G-8 Condition Look up'!$A$4:$A$135,0)),"")</f>
        <v/>
      </c>
      <c r="B136" s="225">
        <v>126</v>
      </c>
      <c r="C136" s="232" t="str">
        <f>IFERROR(INDEX('G-1 All Habitats'!$AG$25:$AG$41,MATCH(D136,'G-1 All Habitats'!AF$25:AF$41,0)),"")</f>
        <v/>
      </c>
      <c r="D136" s="52"/>
      <c r="E136" s="57"/>
      <c r="F136" s="231" t="str">
        <f>IFERROR(INDEX('G-1 All Habitats'!$B$3:$B$135,MATCH(E136,'G-1 All Habitats'!$A$3:$A$135,0)),"")</f>
        <v/>
      </c>
      <c r="G136" s="51"/>
      <c r="H136" s="275" t="str">
        <f>IF(F136="","",VLOOKUP(F136,'G-1 All Habitats'!$B$2:$M$135,10,FALSE))</f>
        <v/>
      </c>
      <c r="I136" s="276" t="str">
        <f>IFERROR(VLOOKUP(H136,'G-1 All Habitats'!$V$3:$W$7,2,FALSE),"")</f>
        <v/>
      </c>
      <c r="J136" s="52"/>
      <c r="K136" s="276" t="str">
        <f>IFERROR(INDEX('G-8 Condition Look up'!$A$3:$H$135,MATCH(F136,'G-8 Condition Look up'!$A$3:$A$135,0),MATCH(J136,'G-8 Condition Look up'!$A$3:$H$3,0)),"")</f>
        <v/>
      </c>
      <c r="L136" s="52"/>
      <c r="M136" s="283" t="str">
        <f>IF(L136="","",IF(VLOOKUP(L136,'G-3 Multipliers'!$L$3:$N$6,2,FALSE)=0,"Spatial Data Missing",VLOOKUP(L136,'G-3 Multipliers'!$L$3:$N$6,2,FALSE)))</f>
        <v/>
      </c>
      <c r="N136" s="281" t="str">
        <f>IF(L136="","",IF(VLOOKUP(L136,'G-3 Multipliers'!$L$3:$N$6,3,FALSE)=0,"Spatial Data Missing",VLOOKUP(L136,'G-3 Multipliers'!$L$3:$N$6,3,FALSE)))</f>
        <v/>
      </c>
      <c r="O136" s="275" t="str">
        <f t="shared" si="6"/>
        <v/>
      </c>
      <c r="P136" s="58"/>
      <c r="Q136" s="58"/>
      <c r="R136" s="283" t="str">
        <f t="shared" si="8"/>
        <v/>
      </c>
      <c r="S136" s="296" t="str">
        <f t="shared" si="9"/>
        <v/>
      </c>
      <c r="T136" s="297" t="str">
        <f>IFERROR(IF(S136="Check Data ⚠","Check Data ⚠",VLOOKUP(S136,'G-4 Temporal multipliers'!$A$4:$C$37,3,FALSE)),"")</f>
        <v/>
      </c>
      <c r="U136" s="298" t="str">
        <f>IF(F136="","",VLOOKUP(F136,'G-3 Multipliers'!$A$2:$E$134,2,FALSE))</f>
        <v/>
      </c>
      <c r="V136" s="295" t="str">
        <f t="shared" si="10"/>
        <v/>
      </c>
      <c r="W136" s="295" t="str">
        <f>IF(E136="","",IF(AND(V136="Standard difficulty applied",O136&gt;P136),U136,IF(AND(V136="Low Difficulty - only applicable if all habitat created before losses ⚠",P136&gt;=O136),"Low",VLOOKUP(F136,'G-3 Multipliers'!$A$2:$E$134,4,FALSE))))</f>
        <v/>
      </c>
      <c r="X136" s="299" t="str">
        <f>IFERROR(IF(E136="","",VLOOKUP(W136,'G-3 Multipliers'!$P$2:$Q$6,2,FALSE)),"")</f>
        <v/>
      </c>
      <c r="Y136" s="303" t="str">
        <f t="shared" si="11"/>
        <v/>
      </c>
      <c r="Z136" s="52"/>
      <c r="AA136" s="51"/>
      <c r="AB136" s="104"/>
      <c r="AE136" s="40" t="str">
        <f t="shared" si="7"/>
        <v/>
      </c>
    </row>
    <row r="137" spans="1:31" ht="14" hidden="1">
      <c r="A137" s="35" t="str">
        <f>IFERROR(INDEX('G-8 Condition Look up'!$I$4:$I$135,MATCH(F137,'G-8 Condition Look up'!$A$4:$A$135,0)),"")</f>
        <v/>
      </c>
      <c r="B137" s="225">
        <v>127</v>
      </c>
      <c r="C137" s="232" t="str">
        <f>IFERROR(INDEX('G-1 All Habitats'!$AG$25:$AG$41,MATCH(D137,'G-1 All Habitats'!AF$25:AF$41,0)),"")</f>
        <v/>
      </c>
      <c r="D137" s="52"/>
      <c r="E137" s="57"/>
      <c r="F137" s="231" t="str">
        <f>IFERROR(INDEX('G-1 All Habitats'!$B$3:$B$135,MATCH(E137,'G-1 All Habitats'!$A$3:$A$135,0)),"")</f>
        <v/>
      </c>
      <c r="G137" s="51"/>
      <c r="H137" s="275" t="str">
        <f>IF(F137="","",VLOOKUP(F137,'G-1 All Habitats'!$B$2:$M$135,10,FALSE))</f>
        <v/>
      </c>
      <c r="I137" s="276" t="str">
        <f>IFERROR(VLOOKUP(H137,'G-1 All Habitats'!$V$3:$W$7,2,FALSE),"")</f>
        <v/>
      </c>
      <c r="J137" s="52"/>
      <c r="K137" s="276" t="str">
        <f>IFERROR(INDEX('G-8 Condition Look up'!$A$3:$H$135,MATCH(F137,'G-8 Condition Look up'!$A$3:$A$135,0),MATCH(J137,'G-8 Condition Look up'!$A$3:$H$3,0)),"")</f>
        <v/>
      </c>
      <c r="L137" s="52"/>
      <c r="M137" s="283" t="str">
        <f>IF(L137="","",IF(VLOOKUP(L137,'G-3 Multipliers'!$L$3:$N$6,2,FALSE)=0,"Spatial Data Missing",VLOOKUP(L137,'G-3 Multipliers'!$L$3:$N$6,2,FALSE)))</f>
        <v/>
      </c>
      <c r="N137" s="281" t="str">
        <f>IF(L137="","",IF(VLOOKUP(L137,'G-3 Multipliers'!$L$3:$N$6,3,FALSE)=0,"Spatial Data Missing",VLOOKUP(L137,'G-3 Multipliers'!$L$3:$N$6,3,FALSE)))</f>
        <v/>
      </c>
      <c r="O137" s="275" t="str">
        <f t="shared" si="6"/>
        <v/>
      </c>
      <c r="P137" s="58"/>
      <c r="Q137" s="58"/>
      <c r="R137" s="283" t="str">
        <f t="shared" si="8"/>
        <v/>
      </c>
      <c r="S137" s="296" t="str">
        <f t="shared" si="9"/>
        <v/>
      </c>
      <c r="T137" s="297" t="str">
        <f>IFERROR(IF(S137="Check Data ⚠","Check Data ⚠",VLOOKUP(S137,'G-4 Temporal multipliers'!$A$4:$C$37,3,FALSE)),"")</f>
        <v/>
      </c>
      <c r="U137" s="298" t="str">
        <f>IF(F137="","",VLOOKUP(F137,'G-3 Multipliers'!$A$2:$E$134,2,FALSE))</f>
        <v/>
      </c>
      <c r="V137" s="295" t="str">
        <f t="shared" si="10"/>
        <v/>
      </c>
      <c r="W137" s="295" t="str">
        <f>IF(E137="","",IF(AND(V137="Standard difficulty applied",O137&gt;P137),U137,IF(AND(V137="Low Difficulty - only applicable if all habitat created before losses ⚠",P137&gt;=O137),"Low",VLOOKUP(F137,'G-3 Multipliers'!$A$2:$E$134,4,FALSE))))</f>
        <v/>
      </c>
      <c r="X137" s="299" t="str">
        <f>IFERROR(IF(E137="","",VLOOKUP(W137,'G-3 Multipliers'!$P$2:$Q$6,2,FALSE)),"")</f>
        <v/>
      </c>
      <c r="Y137" s="303" t="str">
        <f t="shared" si="11"/>
        <v/>
      </c>
      <c r="Z137" s="52"/>
      <c r="AA137" s="51"/>
      <c r="AB137" s="104"/>
      <c r="AE137" s="40" t="str">
        <f t="shared" si="7"/>
        <v/>
      </c>
    </row>
    <row r="138" spans="1:31" ht="14" hidden="1">
      <c r="A138" s="35" t="str">
        <f>IFERROR(INDEX('G-8 Condition Look up'!$I$4:$I$135,MATCH(F138,'G-8 Condition Look up'!$A$4:$A$135,0)),"")</f>
        <v/>
      </c>
      <c r="B138" s="225">
        <v>128</v>
      </c>
      <c r="C138" s="232" t="str">
        <f>IFERROR(INDEX('G-1 All Habitats'!$AG$25:$AG$41,MATCH(D138,'G-1 All Habitats'!AF$25:AF$41,0)),"")</f>
        <v/>
      </c>
      <c r="D138" s="52"/>
      <c r="E138" s="57"/>
      <c r="F138" s="231" t="str">
        <f>IFERROR(INDEX('G-1 All Habitats'!$B$3:$B$135,MATCH(E138,'G-1 All Habitats'!$A$3:$A$135,0)),"")</f>
        <v/>
      </c>
      <c r="G138" s="51"/>
      <c r="H138" s="275" t="str">
        <f>IF(F138="","",VLOOKUP(F138,'G-1 All Habitats'!$B$2:$M$135,10,FALSE))</f>
        <v/>
      </c>
      <c r="I138" s="276" t="str">
        <f>IFERROR(VLOOKUP(H138,'G-1 All Habitats'!$V$3:$W$7,2,FALSE),"")</f>
        <v/>
      </c>
      <c r="J138" s="52"/>
      <c r="K138" s="276" t="str">
        <f>IFERROR(INDEX('G-8 Condition Look up'!$A$3:$H$135,MATCH(F138,'G-8 Condition Look up'!$A$3:$A$135,0),MATCH(J138,'G-8 Condition Look up'!$A$3:$H$3,0)),"")</f>
        <v/>
      </c>
      <c r="L138" s="52"/>
      <c r="M138" s="283" t="str">
        <f>IF(L138="","",IF(VLOOKUP(L138,'G-3 Multipliers'!$L$3:$N$6,2,FALSE)=0,"Spatial Data Missing",VLOOKUP(L138,'G-3 Multipliers'!$L$3:$N$6,2,FALSE)))</f>
        <v/>
      </c>
      <c r="N138" s="281" t="str">
        <f>IF(L138="","",IF(VLOOKUP(L138,'G-3 Multipliers'!$L$3:$N$6,3,FALSE)=0,"Spatial Data Missing",VLOOKUP(L138,'G-3 Multipliers'!$L$3:$N$6,3,FALSE)))</f>
        <v/>
      </c>
      <c r="O138" s="275" t="str">
        <f t="shared" si="6"/>
        <v/>
      </c>
      <c r="P138" s="58"/>
      <c r="Q138" s="58"/>
      <c r="R138" s="283" t="str">
        <f t="shared" si="8"/>
        <v/>
      </c>
      <c r="S138" s="296" t="str">
        <f t="shared" si="9"/>
        <v/>
      </c>
      <c r="T138" s="297" t="str">
        <f>IFERROR(IF(S138="Check Data ⚠","Check Data ⚠",VLOOKUP(S138,'G-4 Temporal multipliers'!$A$4:$C$37,3,FALSE)),"")</f>
        <v/>
      </c>
      <c r="U138" s="298" t="str">
        <f>IF(F138="","",VLOOKUP(F138,'G-3 Multipliers'!$A$2:$E$134,2,FALSE))</f>
        <v/>
      </c>
      <c r="V138" s="295" t="str">
        <f t="shared" si="10"/>
        <v/>
      </c>
      <c r="W138" s="295" t="str">
        <f>IF(E138="","",IF(AND(V138="Standard difficulty applied",O138&gt;P138),U138,IF(AND(V138="Low Difficulty - only applicable if all habitat created before losses ⚠",P138&gt;=O138),"Low",VLOOKUP(F138,'G-3 Multipliers'!$A$2:$E$134,4,FALSE))))</f>
        <v/>
      </c>
      <c r="X138" s="299" t="str">
        <f>IFERROR(IF(E138="","",VLOOKUP(W138,'G-3 Multipliers'!$P$2:$Q$6,2,FALSE)),"")</f>
        <v/>
      </c>
      <c r="Y138" s="303" t="str">
        <f t="shared" si="11"/>
        <v/>
      </c>
      <c r="Z138" s="52"/>
      <c r="AA138" s="51"/>
      <c r="AB138" s="104"/>
      <c r="AE138" s="40" t="str">
        <f t="shared" si="7"/>
        <v/>
      </c>
    </row>
    <row r="139" spans="1:31" ht="14" hidden="1">
      <c r="A139" s="35" t="str">
        <f>IFERROR(INDEX('G-8 Condition Look up'!$I$4:$I$135,MATCH(F139,'G-8 Condition Look up'!$A$4:$A$135,0)),"")</f>
        <v/>
      </c>
      <c r="B139" s="225">
        <v>129</v>
      </c>
      <c r="C139" s="232" t="str">
        <f>IFERROR(INDEX('G-1 All Habitats'!$AG$25:$AG$41,MATCH(D139,'G-1 All Habitats'!AF$25:AF$41,0)),"")</f>
        <v/>
      </c>
      <c r="D139" s="52"/>
      <c r="E139" s="57"/>
      <c r="F139" s="231" t="str">
        <f>IFERROR(INDEX('G-1 All Habitats'!$B$3:$B$135,MATCH(E139,'G-1 All Habitats'!$A$3:$A$135,0)),"")</f>
        <v/>
      </c>
      <c r="G139" s="51"/>
      <c r="H139" s="275" t="str">
        <f>IF(F139="","",VLOOKUP(F139,'G-1 All Habitats'!$B$2:$M$135,10,FALSE))</f>
        <v/>
      </c>
      <c r="I139" s="276" t="str">
        <f>IFERROR(VLOOKUP(H139,'G-1 All Habitats'!$V$3:$W$7,2,FALSE),"")</f>
        <v/>
      </c>
      <c r="J139" s="52"/>
      <c r="K139" s="276" t="str">
        <f>IFERROR(INDEX('G-8 Condition Look up'!$A$3:$H$135,MATCH(F139,'G-8 Condition Look up'!$A$3:$A$135,0),MATCH(J139,'G-8 Condition Look up'!$A$3:$H$3,0)),"")</f>
        <v/>
      </c>
      <c r="L139" s="52"/>
      <c r="M139" s="283" t="str">
        <f>IF(L139="","",IF(VLOOKUP(L139,'G-3 Multipliers'!$L$3:$N$6,2,FALSE)=0,"Spatial Data Missing",VLOOKUP(L139,'G-3 Multipliers'!$L$3:$N$6,2,FALSE)))</f>
        <v/>
      </c>
      <c r="N139" s="281" t="str">
        <f>IF(L139="","",IF(VLOOKUP(L139,'G-3 Multipliers'!$L$3:$N$6,3,FALSE)=0,"Spatial Data Missing",VLOOKUP(L139,'G-3 Multipliers'!$L$3:$N$6,3,FALSE)))</f>
        <v/>
      </c>
      <c r="O139" s="275" t="str">
        <f t="shared" si="12" ref="O139:O202">IFERROR(INDEX(TemporalData,MATCH(F139,TemporalHabitats,0),MATCH(J139,TemporalConditions,0)),"")</f>
        <v/>
      </c>
      <c r="P139" s="58"/>
      <c r="Q139" s="58"/>
      <c r="R139" s="283" t="str">
        <f t="shared" si="8"/>
        <v/>
      </c>
      <c r="S139" s="296" t="str">
        <f t="shared" si="9"/>
        <v/>
      </c>
      <c r="T139" s="297" t="str">
        <f>IFERROR(IF(S139="Check Data ⚠","Check Data ⚠",VLOOKUP(S139,'G-4 Temporal multipliers'!$A$4:$C$37,3,FALSE)),"")</f>
        <v/>
      </c>
      <c r="U139" s="298" t="str">
        <f>IF(F139="","",VLOOKUP(F139,'G-3 Multipliers'!$A$2:$E$134,2,FALSE))</f>
        <v/>
      </c>
      <c r="V139" s="295" t="str">
        <f t="shared" si="10"/>
        <v/>
      </c>
      <c r="W139" s="295" t="str">
        <f>IF(E139="","",IF(AND(V139="Standard difficulty applied",O139&gt;P139),U139,IF(AND(V139="Low Difficulty - only applicable if all habitat created before losses ⚠",P139&gt;=O139),"Low",VLOOKUP(F139,'G-3 Multipliers'!$A$2:$E$134,4,FALSE))))</f>
        <v/>
      </c>
      <c r="X139" s="299" t="str">
        <f>IFERROR(IF(E139="","",VLOOKUP(W139,'G-3 Multipliers'!$P$2:$Q$6,2,FALSE)),"")</f>
        <v/>
      </c>
      <c r="Y139" s="303" t="str">
        <f t="shared" si="11"/>
        <v/>
      </c>
      <c r="Z139" s="52"/>
      <c r="AA139" s="51"/>
      <c r="AB139" s="104"/>
      <c r="AE139" s="40" t="str">
        <f t="shared" si="13" ref="AE139:AE202">IFERROR(INDEX(TemporalData,MATCH(F139,TemporalHabitats,0),MATCH($AE$10,TemporalConditions,0)),"")</f>
        <v/>
      </c>
    </row>
    <row r="140" spans="1:31" ht="14" hidden="1">
      <c r="A140" s="35" t="str">
        <f>IFERROR(INDEX('G-8 Condition Look up'!$I$4:$I$135,MATCH(F140,'G-8 Condition Look up'!$A$4:$A$135,0)),"")</f>
        <v/>
      </c>
      <c r="B140" s="225">
        <v>130</v>
      </c>
      <c r="C140" s="232" t="str">
        <f>IFERROR(INDEX('G-1 All Habitats'!$AG$25:$AG$41,MATCH(D140,'G-1 All Habitats'!AF$25:AF$41,0)),"")</f>
        <v/>
      </c>
      <c r="D140" s="52"/>
      <c r="E140" s="57"/>
      <c r="F140" s="231" t="str">
        <f>IFERROR(INDEX('G-1 All Habitats'!$B$3:$B$135,MATCH(E140,'G-1 All Habitats'!$A$3:$A$135,0)),"")</f>
        <v/>
      </c>
      <c r="G140" s="51"/>
      <c r="H140" s="275" t="str">
        <f>IF(F140="","",VLOOKUP(F140,'G-1 All Habitats'!$B$2:$M$135,10,FALSE))</f>
        <v/>
      </c>
      <c r="I140" s="276" t="str">
        <f>IFERROR(VLOOKUP(H140,'G-1 All Habitats'!$V$3:$W$7,2,FALSE),"")</f>
        <v/>
      </c>
      <c r="J140" s="52"/>
      <c r="K140" s="276" t="str">
        <f>IFERROR(INDEX('G-8 Condition Look up'!$A$3:$H$135,MATCH(F140,'G-8 Condition Look up'!$A$3:$A$135,0),MATCH(J140,'G-8 Condition Look up'!$A$3:$H$3,0)),"")</f>
        <v/>
      </c>
      <c r="L140" s="52"/>
      <c r="M140" s="283" t="str">
        <f>IF(L140="","",IF(VLOOKUP(L140,'G-3 Multipliers'!$L$3:$N$6,2,FALSE)=0,"Spatial Data Missing",VLOOKUP(L140,'G-3 Multipliers'!$L$3:$N$6,2,FALSE)))</f>
        <v/>
      </c>
      <c r="N140" s="281" t="str">
        <f>IF(L140="","",IF(VLOOKUP(L140,'G-3 Multipliers'!$L$3:$N$6,3,FALSE)=0,"Spatial Data Missing",VLOOKUP(L140,'G-3 Multipliers'!$L$3:$N$6,3,FALSE)))</f>
        <v/>
      </c>
      <c r="O140" s="275" t="str">
        <f t="shared" si="12"/>
        <v/>
      </c>
      <c r="P140" s="58"/>
      <c r="Q140" s="58"/>
      <c r="R140" s="283" t="str">
        <f t="shared" si="14" ref="R140:R203">IF(E140="","",IF(AND(P140&gt;0,Q140&gt;0),"Error -both advance and delayed habitat creation ▲",IF(I140=0,"Standard time to target condition applied",IF(O140&lt;=P140,"Check details - Is there evidence that habitat has reached target condition? ⚠",IF(O140="","",IF(AND(P140&gt;=AE140,P140&gt;0),"Check details - Is there evidence habitat creation started and the threshold for Poor condition reached? ⚠",IF(AND(O140&gt;P140,P140&gt;0),"Check details - Is there evidence habitat creation in place? ⚠",IF(Q140&gt;0,"Check details- Delay in starting habitat in required condition? ⚠",IF(P140&gt;0,"Check details - Is there evidence habitat creation started/in place? ⚠","Standard time to target condition applied")))))))))</f>
        <v/>
      </c>
      <c r="S140" s="296" t="str">
        <f t="shared" si="15" ref="S140:S203">IF(R140="Error -both advance and delayed habitat creation ▲","Check Data ⚠",IF(O140="Not Possible ▲","Check Data ⚠",IF(O140="","",IF(AND(O140="30+",P140=0),"30+",IF(AND(O140="30+",P140="30+"),0,IF(AND(O140="30+",P140&lt;32),30-P140,IF(O140="30+",30-P140,IF(P140&gt;O140,0,IF(Q140="30+","30+",IF(O140+Q140&gt;30,"30+",IF(O140+Q140&gt;30,"30+",IF(O140-P140&gt;30,"30+",IF(O140+Q140-P140&gt;0,O140+Q140-P140,IF(O140-P140&gt;0,O140-P140,O140+Q140-P140))))))))))))))</f>
        <v/>
      </c>
      <c r="T140" s="297" t="str">
        <f>IFERROR(IF(S140="Check Data ⚠","Check Data ⚠",VLOOKUP(S140,'G-4 Temporal multipliers'!$A$4:$C$37,3,FALSE)),"")</f>
        <v/>
      </c>
      <c r="U140" s="298" t="str">
        <f>IF(F140="","",VLOOKUP(F140,'G-3 Multipliers'!$A$2:$E$134,2,FALSE))</f>
        <v/>
      </c>
      <c r="V140" s="295" t="str">
        <f t="shared" si="16" ref="V140:V203">IF(F140="","",IF($R140="Check details - Is there evidence that habitat has reached target condition? ⚠","Low Difficulty - only applicable if all habitat created before losses ⚠",IF(AND($R140="Check details - Is there evidence habitat creation started and the threshold for Poor condition reached? ⚠",$E140&lt;&gt;"Traditional orchards",$E140&lt;&gt;"Ornamental lake or pond",$E140&lt;&gt;"Ponds (non-priority habitat)",$E140&lt;&gt;"Ruderal/Ephemeral",$E140&lt;&gt;"Tall forbs",$E140&lt;&gt;"Developed land; sealed surface"),"Enhancement difficulty applied","Standard difficulty applied")))</f>
        <v/>
      </c>
      <c r="W140" s="295" t="str">
        <f>IF(E140="","",IF(AND(V140="Standard difficulty applied",O140&gt;P140),U140,IF(AND(V140="Low Difficulty - only applicable if all habitat created before losses ⚠",P140&gt;=O140),"Low",VLOOKUP(F140,'G-3 Multipliers'!$A$2:$E$134,4,FALSE))))</f>
        <v/>
      </c>
      <c r="X140" s="299" t="str">
        <f>IFERROR(IF(E140="","",VLOOKUP(W140,'G-3 Multipliers'!$P$2:$Q$6,2,FALSE)),"")</f>
        <v/>
      </c>
      <c r="Y140" s="303" t="str">
        <f t="shared" si="17" ref="Y140:Y203">IFERROR(G140*I140*K140*N140*T140*X140,"")</f>
        <v/>
      </c>
      <c r="Z140" s="52"/>
      <c r="AA140" s="51"/>
      <c r="AB140" s="104"/>
      <c r="AE140" s="40" t="str">
        <f t="shared" si="13"/>
        <v/>
      </c>
    </row>
    <row r="141" spans="1:31" ht="14" hidden="1">
      <c r="A141" s="35" t="str">
        <f>IFERROR(INDEX('G-8 Condition Look up'!$I$4:$I$135,MATCH(F141,'G-8 Condition Look up'!$A$4:$A$135,0)),"")</f>
        <v/>
      </c>
      <c r="B141" s="225">
        <v>131</v>
      </c>
      <c r="C141" s="232" t="str">
        <f>IFERROR(INDEX('G-1 All Habitats'!$AG$25:$AG$41,MATCH(D141,'G-1 All Habitats'!AF$25:AF$41,0)),"")</f>
        <v/>
      </c>
      <c r="D141" s="52"/>
      <c r="E141" s="57"/>
      <c r="F141" s="231" t="str">
        <f>IFERROR(INDEX('G-1 All Habitats'!$B$3:$B$135,MATCH(E141,'G-1 All Habitats'!$A$3:$A$135,0)),"")</f>
        <v/>
      </c>
      <c r="G141" s="51"/>
      <c r="H141" s="275" t="str">
        <f>IF(F141="","",VLOOKUP(F141,'G-1 All Habitats'!$B$2:$M$135,10,FALSE))</f>
        <v/>
      </c>
      <c r="I141" s="276" t="str">
        <f>IFERROR(VLOOKUP(H141,'G-1 All Habitats'!$V$3:$W$7,2,FALSE),"")</f>
        <v/>
      </c>
      <c r="J141" s="52"/>
      <c r="K141" s="276" t="str">
        <f>IFERROR(INDEX('G-8 Condition Look up'!$A$3:$H$135,MATCH(F141,'G-8 Condition Look up'!$A$3:$A$135,0),MATCH(J141,'G-8 Condition Look up'!$A$3:$H$3,0)),"")</f>
        <v/>
      </c>
      <c r="L141" s="52"/>
      <c r="M141" s="283" t="str">
        <f>IF(L141="","",IF(VLOOKUP(L141,'G-3 Multipliers'!$L$3:$N$6,2,FALSE)=0,"Spatial Data Missing",VLOOKUP(L141,'G-3 Multipliers'!$L$3:$N$6,2,FALSE)))</f>
        <v/>
      </c>
      <c r="N141" s="281" t="str">
        <f>IF(L141="","",IF(VLOOKUP(L141,'G-3 Multipliers'!$L$3:$N$6,3,FALSE)=0,"Spatial Data Missing",VLOOKUP(L141,'G-3 Multipliers'!$L$3:$N$6,3,FALSE)))</f>
        <v/>
      </c>
      <c r="O141" s="275" t="str">
        <f t="shared" si="12"/>
        <v/>
      </c>
      <c r="P141" s="58"/>
      <c r="Q141" s="58"/>
      <c r="R141" s="283" t="str">
        <f t="shared" si="14"/>
        <v/>
      </c>
      <c r="S141" s="296" t="str">
        <f t="shared" si="15"/>
        <v/>
      </c>
      <c r="T141" s="297" t="str">
        <f>IFERROR(IF(S141="Check Data ⚠","Check Data ⚠",VLOOKUP(S141,'G-4 Temporal multipliers'!$A$4:$C$37,3,FALSE)),"")</f>
        <v/>
      </c>
      <c r="U141" s="298" t="str">
        <f>IF(F141="","",VLOOKUP(F141,'G-3 Multipliers'!$A$2:$E$134,2,FALSE))</f>
        <v/>
      </c>
      <c r="V141" s="295" t="str">
        <f t="shared" si="16"/>
        <v/>
      </c>
      <c r="W141" s="295" t="str">
        <f>IF(E141="","",IF(AND(V141="Standard difficulty applied",O141&gt;P141),U141,IF(AND(V141="Low Difficulty - only applicable if all habitat created before losses ⚠",P141&gt;=O141),"Low",VLOOKUP(F141,'G-3 Multipliers'!$A$2:$E$134,4,FALSE))))</f>
        <v/>
      </c>
      <c r="X141" s="299" t="str">
        <f>IFERROR(IF(E141="","",VLOOKUP(W141,'G-3 Multipliers'!$P$2:$Q$6,2,FALSE)),"")</f>
        <v/>
      </c>
      <c r="Y141" s="303" t="str">
        <f t="shared" si="17"/>
        <v/>
      </c>
      <c r="Z141" s="52"/>
      <c r="AA141" s="51"/>
      <c r="AB141" s="104"/>
      <c r="AE141" s="40" t="str">
        <f t="shared" si="13"/>
        <v/>
      </c>
    </row>
    <row r="142" spans="1:31" ht="14" hidden="1">
      <c r="A142" s="35" t="str">
        <f>IFERROR(INDEX('G-8 Condition Look up'!$I$4:$I$135,MATCH(F142,'G-8 Condition Look up'!$A$4:$A$135,0)),"")</f>
        <v/>
      </c>
      <c r="B142" s="225">
        <v>132</v>
      </c>
      <c r="C142" s="232" t="str">
        <f>IFERROR(INDEX('G-1 All Habitats'!$AG$25:$AG$41,MATCH(D142,'G-1 All Habitats'!AF$25:AF$41,0)),"")</f>
        <v/>
      </c>
      <c r="D142" s="52"/>
      <c r="E142" s="57"/>
      <c r="F142" s="231" t="str">
        <f>IFERROR(INDEX('G-1 All Habitats'!$B$3:$B$135,MATCH(E142,'G-1 All Habitats'!$A$3:$A$135,0)),"")</f>
        <v/>
      </c>
      <c r="G142" s="51"/>
      <c r="H142" s="275" t="str">
        <f>IF(F142="","",VLOOKUP(F142,'G-1 All Habitats'!$B$2:$M$135,10,FALSE))</f>
        <v/>
      </c>
      <c r="I142" s="276" t="str">
        <f>IFERROR(VLOOKUP(H142,'G-1 All Habitats'!$V$3:$W$7,2,FALSE),"")</f>
        <v/>
      </c>
      <c r="J142" s="52"/>
      <c r="K142" s="276" t="str">
        <f>IFERROR(INDEX('G-8 Condition Look up'!$A$3:$H$135,MATCH(F142,'G-8 Condition Look up'!$A$3:$A$135,0),MATCH(J142,'G-8 Condition Look up'!$A$3:$H$3,0)),"")</f>
        <v/>
      </c>
      <c r="L142" s="52"/>
      <c r="M142" s="283" t="str">
        <f>IF(L142="","",IF(VLOOKUP(L142,'G-3 Multipliers'!$L$3:$N$6,2,FALSE)=0,"Spatial Data Missing",VLOOKUP(L142,'G-3 Multipliers'!$L$3:$N$6,2,FALSE)))</f>
        <v/>
      </c>
      <c r="N142" s="281" t="str">
        <f>IF(L142="","",IF(VLOOKUP(L142,'G-3 Multipliers'!$L$3:$N$6,3,FALSE)=0,"Spatial Data Missing",VLOOKUP(L142,'G-3 Multipliers'!$L$3:$N$6,3,FALSE)))</f>
        <v/>
      </c>
      <c r="O142" s="275" t="str">
        <f t="shared" si="12"/>
        <v/>
      </c>
      <c r="P142" s="58"/>
      <c r="Q142" s="58"/>
      <c r="R142" s="283" t="str">
        <f t="shared" si="14"/>
        <v/>
      </c>
      <c r="S142" s="296" t="str">
        <f t="shared" si="15"/>
        <v/>
      </c>
      <c r="T142" s="297" t="str">
        <f>IFERROR(IF(S142="Check Data ⚠","Check Data ⚠",VLOOKUP(S142,'G-4 Temporal multipliers'!$A$4:$C$37,3,FALSE)),"")</f>
        <v/>
      </c>
      <c r="U142" s="298" t="str">
        <f>IF(F142="","",VLOOKUP(F142,'G-3 Multipliers'!$A$2:$E$134,2,FALSE))</f>
        <v/>
      </c>
      <c r="V142" s="295" t="str">
        <f t="shared" si="16"/>
        <v/>
      </c>
      <c r="W142" s="295" t="str">
        <f>IF(E142="","",IF(AND(V142="Standard difficulty applied",O142&gt;P142),U142,IF(AND(V142="Low Difficulty - only applicable if all habitat created before losses ⚠",P142&gt;=O142),"Low",VLOOKUP(F142,'G-3 Multipliers'!$A$2:$E$134,4,FALSE))))</f>
        <v/>
      </c>
      <c r="X142" s="299" t="str">
        <f>IFERROR(IF(E142="","",VLOOKUP(W142,'G-3 Multipliers'!$P$2:$Q$6,2,FALSE)),"")</f>
        <v/>
      </c>
      <c r="Y142" s="303" t="str">
        <f t="shared" si="17"/>
        <v/>
      </c>
      <c r="Z142" s="52"/>
      <c r="AA142" s="51"/>
      <c r="AB142" s="104"/>
      <c r="AE142" s="40" t="str">
        <f t="shared" si="13"/>
        <v/>
      </c>
    </row>
    <row r="143" spans="1:31" ht="14" hidden="1">
      <c r="A143" s="35" t="str">
        <f>IFERROR(INDEX('G-8 Condition Look up'!$I$4:$I$135,MATCH(F143,'G-8 Condition Look up'!$A$4:$A$135,0)),"")</f>
        <v/>
      </c>
      <c r="B143" s="225">
        <v>133</v>
      </c>
      <c r="C143" s="232" t="str">
        <f>IFERROR(INDEX('G-1 All Habitats'!$AG$25:$AG$41,MATCH(D143,'G-1 All Habitats'!AF$25:AF$41,0)),"")</f>
        <v/>
      </c>
      <c r="D143" s="52"/>
      <c r="E143" s="57"/>
      <c r="F143" s="231" t="str">
        <f>IFERROR(INDEX('G-1 All Habitats'!$B$3:$B$135,MATCH(E143,'G-1 All Habitats'!$A$3:$A$135,0)),"")</f>
        <v/>
      </c>
      <c r="G143" s="51"/>
      <c r="H143" s="275" t="str">
        <f>IF(F143="","",VLOOKUP(F143,'G-1 All Habitats'!$B$2:$M$135,10,FALSE))</f>
        <v/>
      </c>
      <c r="I143" s="276" t="str">
        <f>IFERROR(VLOOKUP(H143,'G-1 All Habitats'!$V$3:$W$7,2,FALSE),"")</f>
        <v/>
      </c>
      <c r="J143" s="52"/>
      <c r="K143" s="276" t="str">
        <f>IFERROR(INDEX('G-8 Condition Look up'!$A$3:$H$135,MATCH(F143,'G-8 Condition Look up'!$A$3:$A$135,0),MATCH(J143,'G-8 Condition Look up'!$A$3:$H$3,0)),"")</f>
        <v/>
      </c>
      <c r="L143" s="52"/>
      <c r="M143" s="283" t="str">
        <f>IF(L143="","",IF(VLOOKUP(L143,'G-3 Multipliers'!$L$3:$N$6,2,FALSE)=0,"Spatial Data Missing",VLOOKUP(L143,'G-3 Multipliers'!$L$3:$N$6,2,FALSE)))</f>
        <v/>
      </c>
      <c r="N143" s="281" t="str">
        <f>IF(L143="","",IF(VLOOKUP(L143,'G-3 Multipliers'!$L$3:$N$6,3,FALSE)=0,"Spatial Data Missing",VLOOKUP(L143,'G-3 Multipliers'!$L$3:$N$6,3,FALSE)))</f>
        <v/>
      </c>
      <c r="O143" s="275" t="str">
        <f t="shared" si="12"/>
        <v/>
      </c>
      <c r="P143" s="58"/>
      <c r="Q143" s="58"/>
      <c r="R143" s="283" t="str">
        <f t="shared" si="14"/>
        <v/>
      </c>
      <c r="S143" s="296" t="str">
        <f t="shared" si="15"/>
        <v/>
      </c>
      <c r="T143" s="297" t="str">
        <f>IFERROR(IF(S143="Check Data ⚠","Check Data ⚠",VLOOKUP(S143,'G-4 Temporal multipliers'!$A$4:$C$37,3,FALSE)),"")</f>
        <v/>
      </c>
      <c r="U143" s="298" t="str">
        <f>IF(F143="","",VLOOKUP(F143,'G-3 Multipliers'!$A$2:$E$134,2,FALSE))</f>
        <v/>
      </c>
      <c r="V143" s="295" t="str">
        <f t="shared" si="16"/>
        <v/>
      </c>
      <c r="W143" s="295" t="str">
        <f>IF(E143="","",IF(AND(V143="Standard difficulty applied",O143&gt;P143),U143,IF(AND(V143="Low Difficulty - only applicable if all habitat created before losses ⚠",P143&gt;=O143),"Low",VLOOKUP(F143,'G-3 Multipliers'!$A$2:$E$134,4,FALSE))))</f>
        <v/>
      </c>
      <c r="X143" s="299" t="str">
        <f>IFERROR(IF(E143="","",VLOOKUP(W143,'G-3 Multipliers'!$P$2:$Q$6,2,FALSE)),"")</f>
        <v/>
      </c>
      <c r="Y143" s="303" t="str">
        <f t="shared" si="17"/>
        <v/>
      </c>
      <c r="Z143" s="52"/>
      <c r="AA143" s="51"/>
      <c r="AB143" s="104"/>
      <c r="AE143" s="40" t="str">
        <f t="shared" si="13"/>
        <v/>
      </c>
    </row>
    <row r="144" spans="1:31" ht="14" hidden="1">
      <c r="A144" s="35" t="str">
        <f>IFERROR(INDEX('G-8 Condition Look up'!$I$4:$I$135,MATCH(F144,'G-8 Condition Look up'!$A$4:$A$135,0)),"")</f>
        <v/>
      </c>
      <c r="B144" s="225">
        <v>134</v>
      </c>
      <c r="C144" s="232" t="str">
        <f>IFERROR(INDEX('G-1 All Habitats'!$AG$25:$AG$41,MATCH(D144,'G-1 All Habitats'!AF$25:AF$41,0)),"")</f>
        <v/>
      </c>
      <c r="D144" s="52"/>
      <c r="E144" s="57"/>
      <c r="F144" s="231" t="str">
        <f>IFERROR(INDEX('G-1 All Habitats'!$B$3:$B$135,MATCH(E144,'G-1 All Habitats'!$A$3:$A$135,0)),"")</f>
        <v/>
      </c>
      <c r="G144" s="51"/>
      <c r="H144" s="275" t="str">
        <f>IF(F144="","",VLOOKUP(F144,'G-1 All Habitats'!$B$2:$M$135,10,FALSE))</f>
        <v/>
      </c>
      <c r="I144" s="276" t="str">
        <f>IFERROR(VLOOKUP(H144,'G-1 All Habitats'!$V$3:$W$7,2,FALSE),"")</f>
        <v/>
      </c>
      <c r="J144" s="52"/>
      <c r="K144" s="276" t="str">
        <f>IFERROR(INDEX('G-8 Condition Look up'!$A$3:$H$135,MATCH(F144,'G-8 Condition Look up'!$A$3:$A$135,0),MATCH(J144,'G-8 Condition Look up'!$A$3:$H$3,0)),"")</f>
        <v/>
      </c>
      <c r="L144" s="52"/>
      <c r="M144" s="283" t="str">
        <f>IF(L144="","",IF(VLOOKUP(L144,'G-3 Multipliers'!$L$3:$N$6,2,FALSE)=0,"Spatial Data Missing",VLOOKUP(L144,'G-3 Multipliers'!$L$3:$N$6,2,FALSE)))</f>
        <v/>
      </c>
      <c r="N144" s="281" t="str">
        <f>IF(L144="","",IF(VLOOKUP(L144,'G-3 Multipliers'!$L$3:$N$6,3,FALSE)=0,"Spatial Data Missing",VLOOKUP(L144,'G-3 Multipliers'!$L$3:$N$6,3,FALSE)))</f>
        <v/>
      </c>
      <c r="O144" s="275" t="str">
        <f t="shared" si="12"/>
        <v/>
      </c>
      <c r="P144" s="58"/>
      <c r="Q144" s="58"/>
      <c r="R144" s="283" t="str">
        <f t="shared" si="14"/>
        <v/>
      </c>
      <c r="S144" s="296" t="str">
        <f t="shared" si="15"/>
        <v/>
      </c>
      <c r="T144" s="297" t="str">
        <f>IFERROR(IF(S144="Check Data ⚠","Check Data ⚠",VLOOKUP(S144,'G-4 Temporal multipliers'!$A$4:$C$37,3,FALSE)),"")</f>
        <v/>
      </c>
      <c r="U144" s="298" t="str">
        <f>IF(F144="","",VLOOKUP(F144,'G-3 Multipliers'!$A$2:$E$134,2,FALSE))</f>
        <v/>
      </c>
      <c r="V144" s="295" t="str">
        <f t="shared" si="16"/>
        <v/>
      </c>
      <c r="W144" s="295" t="str">
        <f>IF(E144="","",IF(AND(V144="Standard difficulty applied",O144&gt;P144),U144,IF(AND(V144="Low Difficulty - only applicable if all habitat created before losses ⚠",P144&gt;=O144),"Low",VLOOKUP(F144,'G-3 Multipliers'!$A$2:$E$134,4,FALSE))))</f>
        <v/>
      </c>
      <c r="X144" s="299" t="str">
        <f>IFERROR(IF(E144="","",VLOOKUP(W144,'G-3 Multipliers'!$P$2:$Q$6,2,FALSE)),"")</f>
        <v/>
      </c>
      <c r="Y144" s="303" t="str">
        <f t="shared" si="17"/>
        <v/>
      </c>
      <c r="Z144" s="52"/>
      <c r="AA144" s="51"/>
      <c r="AB144" s="104"/>
      <c r="AE144" s="40" t="str">
        <f t="shared" si="13"/>
        <v/>
      </c>
    </row>
    <row r="145" spans="1:31" ht="14" hidden="1">
      <c r="A145" s="35" t="str">
        <f>IFERROR(INDEX('G-8 Condition Look up'!$I$4:$I$135,MATCH(F145,'G-8 Condition Look up'!$A$4:$A$135,0)),"")</f>
        <v/>
      </c>
      <c r="B145" s="225">
        <v>135</v>
      </c>
      <c r="C145" s="232" t="str">
        <f>IFERROR(INDEX('G-1 All Habitats'!$AG$25:$AG$41,MATCH(D145,'G-1 All Habitats'!AF$25:AF$41,0)),"")</f>
        <v/>
      </c>
      <c r="D145" s="52"/>
      <c r="E145" s="57"/>
      <c r="F145" s="231" t="str">
        <f>IFERROR(INDEX('G-1 All Habitats'!$B$3:$B$135,MATCH(E145,'G-1 All Habitats'!$A$3:$A$135,0)),"")</f>
        <v/>
      </c>
      <c r="G145" s="51"/>
      <c r="H145" s="275" t="str">
        <f>IF(F145="","",VLOOKUP(F145,'G-1 All Habitats'!$B$2:$M$135,10,FALSE))</f>
        <v/>
      </c>
      <c r="I145" s="276" t="str">
        <f>IFERROR(VLOOKUP(H145,'G-1 All Habitats'!$V$3:$W$7,2,FALSE),"")</f>
        <v/>
      </c>
      <c r="J145" s="52"/>
      <c r="K145" s="276" t="str">
        <f>IFERROR(INDEX('G-8 Condition Look up'!$A$3:$H$135,MATCH(F145,'G-8 Condition Look up'!$A$3:$A$135,0),MATCH(J145,'G-8 Condition Look up'!$A$3:$H$3,0)),"")</f>
        <v/>
      </c>
      <c r="L145" s="52"/>
      <c r="M145" s="283" t="str">
        <f>IF(L145="","",IF(VLOOKUP(L145,'G-3 Multipliers'!$L$3:$N$6,2,FALSE)=0,"Spatial Data Missing",VLOOKUP(L145,'G-3 Multipliers'!$L$3:$N$6,2,FALSE)))</f>
        <v/>
      </c>
      <c r="N145" s="281" t="str">
        <f>IF(L145="","",IF(VLOOKUP(L145,'G-3 Multipliers'!$L$3:$N$6,3,FALSE)=0,"Spatial Data Missing",VLOOKUP(L145,'G-3 Multipliers'!$L$3:$N$6,3,FALSE)))</f>
        <v/>
      </c>
      <c r="O145" s="275" t="str">
        <f t="shared" si="12"/>
        <v/>
      </c>
      <c r="P145" s="58"/>
      <c r="Q145" s="58"/>
      <c r="R145" s="283" t="str">
        <f t="shared" si="14"/>
        <v/>
      </c>
      <c r="S145" s="296" t="str">
        <f t="shared" si="15"/>
        <v/>
      </c>
      <c r="T145" s="297" t="str">
        <f>IFERROR(IF(S145="Check Data ⚠","Check Data ⚠",VLOOKUP(S145,'G-4 Temporal multipliers'!$A$4:$C$37,3,FALSE)),"")</f>
        <v/>
      </c>
      <c r="U145" s="298" t="str">
        <f>IF(F145="","",VLOOKUP(F145,'G-3 Multipliers'!$A$2:$E$134,2,FALSE))</f>
        <v/>
      </c>
      <c r="V145" s="295" t="str">
        <f t="shared" si="16"/>
        <v/>
      </c>
      <c r="W145" s="295" t="str">
        <f>IF(E145="","",IF(AND(V145="Standard difficulty applied",O145&gt;P145),U145,IF(AND(V145="Low Difficulty - only applicable if all habitat created before losses ⚠",P145&gt;=O145),"Low",VLOOKUP(F145,'G-3 Multipliers'!$A$2:$E$134,4,FALSE))))</f>
        <v/>
      </c>
      <c r="X145" s="299" t="str">
        <f>IFERROR(IF(E145="","",VLOOKUP(W145,'G-3 Multipliers'!$P$2:$Q$6,2,FALSE)),"")</f>
        <v/>
      </c>
      <c r="Y145" s="303" t="str">
        <f t="shared" si="17"/>
        <v/>
      </c>
      <c r="Z145" s="52"/>
      <c r="AA145" s="51"/>
      <c r="AB145" s="104"/>
      <c r="AE145" s="40" t="str">
        <f t="shared" si="13"/>
        <v/>
      </c>
    </row>
    <row r="146" spans="1:31" ht="14" hidden="1">
      <c r="A146" s="35" t="str">
        <f>IFERROR(INDEX('G-8 Condition Look up'!$I$4:$I$135,MATCH(F146,'G-8 Condition Look up'!$A$4:$A$135,0)),"")</f>
        <v/>
      </c>
      <c r="B146" s="225">
        <v>136</v>
      </c>
      <c r="C146" s="232" t="str">
        <f>IFERROR(INDEX('G-1 All Habitats'!$AG$25:$AG$41,MATCH(D146,'G-1 All Habitats'!AF$25:AF$41,0)),"")</f>
        <v/>
      </c>
      <c r="D146" s="52"/>
      <c r="E146" s="57"/>
      <c r="F146" s="231" t="str">
        <f>IFERROR(INDEX('G-1 All Habitats'!$B$3:$B$135,MATCH(E146,'G-1 All Habitats'!$A$3:$A$135,0)),"")</f>
        <v/>
      </c>
      <c r="G146" s="51"/>
      <c r="H146" s="275" t="str">
        <f>IF(F146="","",VLOOKUP(F146,'G-1 All Habitats'!$B$2:$M$135,10,FALSE))</f>
        <v/>
      </c>
      <c r="I146" s="276" t="str">
        <f>IFERROR(VLOOKUP(H146,'G-1 All Habitats'!$V$3:$W$7,2,FALSE),"")</f>
        <v/>
      </c>
      <c r="J146" s="52"/>
      <c r="K146" s="276" t="str">
        <f>IFERROR(INDEX('G-8 Condition Look up'!$A$3:$H$135,MATCH(F146,'G-8 Condition Look up'!$A$3:$A$135,0),MATCH(J146,'G-8 Condition Look up'!$A$3:$H$3,0)),"")</f>
        <v/>
      </c>
      <c r="L146" s="52"/>
      <c r="M146" s="283" t="str">
        <f>IF(L146="","",IF(VLOOKUP(L146,'G-3 Multipliers'!$L$3:$N$6,2,FALSE)=0,"Spatial Data Missing",VLOOKUP(L146,'G-3 Multipliers'!$L$3:$N$6,2,FALSE)))</f>
        <v/>
      </c>
      <c r="N146" s="281" t="str">
        <f>IF(L146="","",IF(VLOOKUP(L146,'G-3 Multipliers'!$L$3:$N$6,3,FALSE)=0,"Spatial Data Missing",VLOOKUP(L146,'G-3 Multipliers'!$L$3:$N$6,3,FALSE)))</f>
        <v/>
      </c>
      <c r="O146" s="275" t="str">
        <f t="shared" si="12"/>
        <v/>
      </c>
      <c r="P146" s="58"/>
      <c r="Q146" s="58"/>
      <c r="R146" s="283" t="str">
        <f t="shared" si="14"/>
        <v/>
      </c>
      <c r="S146" s="296" t="str">
        <f t="shared" si="15"/>
        <v/>
      </c>
      <c r="T146" s="297" t="str">
        <f>IFERROR(IF(S146="Check Data ⚠","Check Data ⚠",VLOOKUP(S146,'G-4 Temporal multipliers'!$A$4:$C$37,3,FALSE)),"")</f>
        <v/>
      </c>
      <c r="U146" s="298" t="str">
        <f>IF(F146="","",VLOOKUP(F146,'G-3 Multipliers'!$A$2:$E$134,2,FALSE))</f>
        <v/>
      </c>
      <c r="V146" s="295" t="str">
        <f t="shared" si="16"/>
        <v/>
      </c>
      <c r="W146" s="295" t="str">
        <f>IF(E146="","",IF(AND(V146="Standard difficulty applied",O146&gt;P146),U146,IF(AND(V146="Low Difficulty - only applicable if all habitat created before losses ⚠",P146&gt;=O146),"Low",VLOOKUP(F146,'G-3 Multipliers'!$A$2:$E$134,4,FALSE))))</f>
        <v/>
      </c>
      <c r="X146" s="299" t="str">
        <f>IFERROR(IF(E146="","",VLOOKUP(W146,'G-3 Multipliers'!$P$2:$Q$6,2,FALSE)),"")</f>
        <v/>
      </c>
      <c r="Y146" s="303" t="str">
        <f t="shared" si="17"/>
        <v/>
      </c>
      <c r="Z146" s="52"/>
      <c r="AA146" s="51"/>
      <c r="AB146" s="104"/>
      <c r="AE146" s="40" t="str">
        <f t="shared" si="13"/>
        <v/>
      </c>
    </row>
    <row r="147" spans="1:31" ht="14" hidden="1">
      <c r="A147" s="35" t="str">
        <f>IFERROR(INDEX('G-8 Condition Look up'!$I$4:$I$135,MATCH(F147,'G-8 Condition Look up'!$A$4:$A$135,0)),"")</f>
        <v/>
      </c>
      <c r="B147" s="225">
        <v>137</v>
      </c>
      <c r="C147" s="232" t="str">
        <f>IFERROR(INDEX('G-1 All Habitats'!$AG$25:$AG$41,MATCH(D147,'G-1 All Habitats'!AF$25:AF$41,0)),"")</f>
        <v/>
      </c>
      <c r="D147" s="52"/>
      <c r="E147" s="57"/>
      <c r="F147" s="231" t="str">
        <f>IFERROR(INDEX('G-1 All Habitats'!$B$3:$B$135,MATCH(E147,'G-1 All Habitats'!$A$3:$A$135,0)),"")</f>
        <v/>
      </c>
      <c r="G147" s="51"/>
      <c r="H147" s="275" t="str">
        <f>IF(F147="","",VLOOKUP(F147,'G-1 All Habitats'!$B$2:$M$135,10,FALSE))</f>
        <v/>
      </c>
      <c r="I147" s="276" t="str">
        <f>IFERROR(VLOOKUP(H147,'G-1 All Habitats'!$V$3:$W$7,2,FALSE),"")</f>
        <v/>
      </c>
      <c r="J147" s="52"/>
      <c r="K147" s="276" t="str">
        <f>IFERROR(INDEX('G-8 Condition Look up'!$A$3:$H$135,MATCH(F147,'G-8 Condition Look up'!$A$3:$A$135,0),MATCH(J147,'G-8 Condition Look up'!$A$3:$H$3,0)),"")</f>
        <v/>
      </c>
      <c r="L147" s="52"/>
      <c r="M147" s="283" t="str">
        <f>IF(L147="","",IF(VLOOKUP(L147,'G-3 Multipliers'!$L$3:$N$6,2,FALSE)=0,"Spatial Data Missing",VLOOKUP(L147,'G-3 Multipliers'!$L$3:$N$6,2,FALSE)))</f>
        <v/>
      </c>
      <c r="N147" s="281" t="str">
        <f>IF(L147="","",IF(VLOOKUP(L147,'G-3 Multipliers'!$L$3:$N$6,3,FALSE)=0,"Spatial Data Missing",VLOOKUP(L147,'G-3 Multipliers'!$L$3:$N$6,3,FALSE)))</f>
        <v/>
      </c>
      <c r="O147" s="275" t="str">
        <f t="shared" si="12"/>
        <v/>
      </c>
      <c r="P147" s="58"/>
      <c r="Q147" s="58"/>
      <c r="R147" s="283" t="str">
        <f t="shared" si="14"/>
        <v/>
      </c>
      <c r="S147" s="296" t="str">
        <f t="shared" si="15"/>
        <v/>
      </c>
      <c r="T147" s="297" t="str">
        <f>IFERROR(IF(S147="Check Data ⚠","Check Data ⚠",VLOOKUP(S147,'G-4 Temporal multipliers'!$A$4:$C$37,3,FALSE)),"")</f>
        <v/>
      </c>
      <c r="U147" s="298" t="str">
        <f>IF(F147="","",VLOOKUP(F147,'G-3 Multipliers'!$A$2:$E$134,2,FALSE))</f>
        <v/>
      </c>
      <c r="V147" s="295" t="str">
        <f t="shared" si="16"/>
        <v/>
      </c>
      <c r="W147" s="295" t="str">
        <f>IF(E147="","",IF(AND(V147="Standard difficulty applied",O147&gt;P147),U147,IF(AND(V147="Low Difficulty - only applicable if all habitat created before losses ⚠",P147&gt;=O147),"Low",VLOOKUP(F147,'G-3 Multipliers'!$A$2:$E$134,4,FALSE))))</f>
        <v/>
      </c>
      <c r="X147" s="299" t="str">
        <f>IFERROR(IF(E147="","",VLOOKUP(W147,'G-3 Multipliers'!$P$2:$Q$6,2,FALSE)),"")</f>
        <v/>
      </c>
      <c r="Y147" s="303" t="str">
        <f t="shared" si="17"/>
        <v/>
      </c>
      <c r="Z147" s="52"/>
      <c r="AA147" s="51"/>
      <c r="AB147" s="104"/>
      <c r="AE147" s="40" t="str">
        <f t="shared" si="13"/>
        <v/>
      </c>
    </row>
    <row r="148" spans="1:31" ht="14" hidden="1">
      <c r="A148" s="35" t="str">
        <f>IFERROR(INDEX('G-8 Condition Look up'!$I$4:$I$135,MATCH(F148,'G-8 Condition Look up'!$A$4:$A$135,0)),"")</f>
        <v/>
      </c>
      <c r="B148" s="225">
        <v>138</v>
      </c>
      <c r="C148" s="232" t="str">
        <f>IFERROR(INDEX('G-1 All Habitats'!$AG$25:$AG$41,MATCH(D148,'G-1 All Habitats'!AF$25:AF$41,0)),"")</f>
        <v/>
      </c>
      <c r="D148" s="52"/>
      <c r="E148" s="57"/>
      <c r="F148" s="231" t="str">
        <f>IFERROR(INDEX('G-1 All Habitats'!$B$3:$B$135,MATCH(E148,'G-1 All Habitats'!$A$3:$A$135,0)),"")</f>
        <v/>
      </c>
      <c r="G148" s="51"/>
      <c r="H148" s="275" t="str">
        <f>IF(F148="","",VLOOKUP(F148,'G-1 All Habitats'!$B$2:$M$135,10,FALSE))</f>
        <v/>
      </c>
      <c r="I148" s="276" t="str">
        <f>IFERROR(VLOOKUP(H148,'G-1 All Habitats'!$V$3:$W$7,2,FALSE),"")</f>
        <v/>
      </c>
      <c r="J148" s="52"/>
      <c r="K148" s="276" t="str">
        <f>IFERROR(INDEX('G-8 Condition Look up'!$A$3:$H$135,MATCH(F148,'G-8 Condition Look up'!$A$3:$A$135,0),MATCH(J148,'G-8 Condition Look up'!$A$3:$H$3,0)),"")</f>
        <v/>
      </c>
      <c r="L148" s="52"/>
      <c r="M148" s="283" t="str">
        <f>IF(L148="","",IF(VLOOKUP(L148,'G-3 Multipliers'!$L$3:$N$6,2,FALSE)=0,"Spatial Data Missing",VLOOKUP(L148,'G-3 Multipliers'!$L$3:$N$6,2,FALSE)))</f>
        <v/>
      </c>
      <c r="N148" s="281" t="str">
        <f>IF(L148="","",IF(VLOOKUP(L148,'G-3 Multipliers'!$L$3:$N$6,3,FALSE)=0,"Spatial Data Missing",VLOOKUP(L148,'G-3 Multipliers'!$L$3:$N$6,3,FALSE)))</f>
        <v/>
      </c>
      <c r="O148" s="275" t="str">
        <f t="shared" si="12"/>
        <v/>
      </c>
      <c r="P148" s="58"/>
      <c r="Q148" s="58"/>
      <c r="R148" s="283" t="str">
        <f t="shared" si="14"/>
        <v/>
      </c>
      <c r="S148" s="296" t="str">
        <f t="shared" si="15"/>
        <v/>
      </c>
      <c r="T148" s="297" t="str">
        <f>IFERROR(IF(S148="Check Data ⚠","Check Data ⚠",VLOOKUP(S148,'G-4 Temporal multipliers'!$A$4:$C$37,3,FALSE)),"")</f>
        <v/>
      </c>
      <c r="U148" s="298" t="str">
        <f>IF(F148="","",VLOOKUP(F148,'G-3 Multipliers'!$A$2:$E$134,2,FALSE))</f>
        <v/>
      </c>
      <c r="V148" s="295" t="str">
        <f t="shared" si="16"/>
        <v/>
      </c>
      <c r="W148" s="295" t="str">
        <f>IF(E148="","",IF(AND(V148="Standard difficulty applied",O148&gt;P148),U148,IF(AND(V148="Low Difficulty - only applicable if all habitat created before losses ⚠",P148&gt;=O148),"Low",VLOOKUP(F148,'G-3 Multipliers'!$A$2:$E$134,4,FALSE))))</f>
        <v/>
      </c>
      <c r="X148" s="299" t="str">
        <f>IFERROR(IF(E148="","",VLOOKUP(W148,'G-3 Multipliers'!$P$2:$Q$6,2,FALSE)),"")</f>
        <v/>
      </c>
      <c r="Y148" s="303" t="str">
        <f t="shared" si="17"/>
        <v/>
      </c>
      <c r="Z148" s="52"/>
      <c r="AA148" s="51"/>
      <c r="AB148" s="104"/>
      <c r="AE148" s="40" t="str">
        <f t="shared" si="13"/>
        <v/>
      </c>
    </row>
    <row r="149" spans="1:31" ht="14" hidden="1">
      <c r="A149" s="35" t="str">
        <f>IFERROR(INDEX('G-8 Condition Look up'!$I$4:$I$135,MATCH(F149,'G-8 Condition Look up'!$A$4:$A$135,0)),"")</f>
        <v/>
      </c>
      <c r="B149" s="225">
        <v>139</v>
      </c>
      <c r="C149" s="232" t="str">
        <f>IFERROR(INDEX('G-1 All Habitats'!$AG$25:$AG$41,MATCH(D149,'G-1 All Habitats'!AF$25:AF$41,0)),"")</f>
        <v/>
      </c>
      <c r="D149" s="52"/>
      <c r="E149" s="57"/>
      <c r="F149" s="231" t="str">
        <f>IFERROR(INDEX('G-1 All Habitats'!$B$3:$B$135,MATCH(E149,'G-1 All Habitats'!$A$3:$A$135,0)),"")</f>
        <v/>
      </c>
      <c r="G149" s="51"/>
      <c r="H149" s="275" t="str">
        <f>IF(F149="","",VLOOKUP(F149,'G-1 All Habitats'!$B$2:$M$135,10,FALSE))</f>
        <v/>
      </c>
      <c r="I149" s="276" t="str">
        <f>IFERROR(VLOOKUP(H149,'G-1 All Habitats'!$V$3:$W$7,2,FALSE),"")</f>
        <v/>
      </c>
      <c r="J149" s="52"/>
      <c r="K149" s="276" t="str">
        <f>IFERROR(INDEX('G-8 Condition Look up'!$A$3:$H$135,MATCH(F149,'G-8 Condition Look up'!$A$3:$A$135,0),MATCH(J149,'G-8 Condition Look up'!$A$3:$H$3,0)),"")</f>
        <v/>
      </c>
      <c r="L149" s="52"/>
      <c r="M149" s="283" t="str">
        <f>IF(L149="","",IF(VLOOKUP(L149,'G-3 Multipliers'!$L$3:$N$6,2,FALSE)=0,"Spatial Data Missing",VLOOKUP(L149,'G-3 Multipliers'!$L$3:$N$6,2,FALSE)))</f>
        <v/>
      </c>
      <c r="N149" s="281" t="str">
        <f>IF(L149="","",IF(VLOOKUP(L149,'G-3 Multipliers'!$L$3:$N$6,3,FALSE)=0,"Spatial Data Missing",VLOOKUP(L149,'G-3 Multipliers'!$L$3:$N$6,3,FALSE)))</f>
        <v/>
      </c>
      <c r="O149" s="275" t="str">
        <f t="shared" si="12"/>
        <v/>
      </c>
      <c r="P149" s="58"/>
      <c r="Q149" s="58"/>
      <c r="R149" s="283" t="str">
        <f t="shared" si="14"/>
        <v/>
      </c>
      <c r="S149" s="296" t="str">
        <f t="shared" si="15"/>
        <v/>
      </c>
      <c r="T149" s="297" t="str">
        <f>IFERROR(IF(S149="Check Data ⚠","Check Data ⚠",VLOOKUP(S149,'G-4 Temporal multipliers'!$A$4:$C$37,3,FALSE)),"")</f>
        <v/>
      </c>
      <c r="U149" s="298" t="str">
        <f>IF(F149="","",VLOOKUP(F149,'G-3 Multipliers'!$A$2:$E$134,2,FALSE))</f>
        <v/>
      </c>
      <c r="V149" s="295" t="str">
        <f t="shared" si="16"/>
        <v/>
      </c>
      <c r="W149" s="295" t="str">
        <f>IF(E149="","",IF(AND(V149="Standard difficulty applied",O149&gt;P149),U149,IF(AND(V149="Low Difficulty - only applicable if all habitat created before losses ⚠",P149&gt;=O149),"Low",VLOOKUP(F149,'G-3 Multipliers'!$A$2:$E$134,4,FALSE))))</f>
        <v/>
      </c>
      <c r="X149" s="299" t="str">
        <f>IFERROR(IF(E149="","",VLOOKUP(W149,'G-3 Multipliers'!$P$2:$Q$6,2,FALSE)),"")</f>
        <v/>
      </c>
      <c r="Y149" s="303" t="str">
        <f t="shared" si="17"/>
        <v/>
      </c>
      <c r="Z149" s="52"/>
      <c r="AA149" s="51"/>
      <c r="AB149" s="104"/>
      <c r="AE149" s="40" t="str">
        <f t="shared" si="13"/>
        <v/>
      </c>
    </row>
    <row r="150" spans="1:31" ht="14" hidden="1">
      <c r="A150" s="35" t="str">
        <f>IFERROR(INDEX('G-8 Condition Look up'!$I$4:$I$135,MATCH(F150,'G-8 Condition Look up'!$A$4:$A$135,0)),"")</f>
        <v/>
      </c>
      <c r="B150" s="225">
        <v>140</v>
      </c>
      <c r="C150" s="232" t="str">
        <f>IFERROR(INDEX('G-1 All Habitats'!$AG$25:$AG$41,MATCH(D150,'G-1 All Habitats'!AF$25:AF$41,0)),"")</f>
        <v/>
      </c>
      <c r="D150" s="52"/>
      <c r="E150" s="57"/>
      <c r="F150" s="231" t="str">
        <f>IFERROR(INDEX('G-1 All Habitats'!$B$3:$B$135,MATCH(E150,'G-1 All Habitats'!$A$3:$A$135,0)),"")</f>
        <v/>
      </c>
      <c r="G150" s="51"/>
      <c r="H150" s="275" t="str">
        <f>IF(F150="","",VLOOKUP(F150,'G-1 All Habitats'!$B$2:$M$135,10,FALSE))</f>
        <v/>
      </c>
      <c r="I150" s="276" t="str">
        <f>IFERROR(VLOOKUP(H150,'G-1 All Habitats'!$V$3:$W$7,2,FALSE),"")</f>
        <v/>
      </c>
      <c r="J150" s="52"/>
      <c r="K150" s="276" t="str">
        <f>IFERROR(INDEX('G-8 Condition Look up'!$A$3:$H$135,MATCH(F150,'G-8 Condition Look up'!$A$3:$A$135,0),MATCH(J150,'G-8 Condition Look up'!$A$3:$H$3,0)),"")</f>
        <v/>
      </c>
      <c r="L150" s="52"/>
      <c r="M150" s="283" t="str">
        <f>IF(L150="","",IF(VLOOKUP(L150,'G-3 Multipliers'!$L$3:$N$6,2,FALSE)=0,"Spatial Data Missing",VLOOKUP(L150,'G-3 Multipliers'!$L$3:$N$6,2,FALSE)))</f>
        <v/>
      </c>
      <c r="N150" s="281" t="str">
        <f>IF(L150="","",IF(VLOOKUP(L150,'G-3 Multipliers'!$L$3:$N$6,3,FALSE)=0,"Spatial Data Missing",VLOOKUP(L150,'G-3 Multipliers'!$L$3:$N$6,3,FALSE)))</f>
        <v/>
      </c>
      <c r="O150" s="275" t="str">
        <f t="shared" si="12"/>
        <v/>
      </c>
      <c r="P150" s="58"/>
      <c r="Q150" s="58"/>
      <c r="R150" s="283" t="str">
        <f t="shared" si="14"/>
        <v/>
      </c>
      <c r="S150" s="296" t="str">
        <f t="shared" si="15"/>
        <v/>
      </c>
      <c r="T150" s="297" t="str">
        <f>IFERROR(IF(S150="Check Data ⚠","Check Data ⚠",VLOOKUP(S150,'G-4 Temporal multipliers'!$A$4:$C$37,3,FALSE)),"")</f>
        <v/>
      </c>
      <c r="U150" s="298" t="str">
        <f>IF(F150="","",VLOOKUP(F150,'G-3 Multipliers'!$A$2:$E$134,2,FALSE))</f>
        <v/>
      </c>
      <c r="V150" s="295" t="str">
        <f t="shared" si="16"/>
        <v/>
      </c>
      <c r="W150" s="295" t="str">
        <f>IF(E150="","",IF(AND(V150="Standard difficulty applied",O150&gt;P150),U150,IF(AND(V150="Low Difficulty - only applicable if all habitat created before losses ⚠",P150&gt;=O150),"Low",VLOOKUP(F150,'G-3 Multipliers'!$A$2:$E$134,4,FALSE))))</f>
        <v/>
      </c>
      <c r="X150" s="299" t="str">
        <f>IFERROR(IF(E150="","",VLOOKUP(W150,'G-3 Multipliers'!$P$2:$Q$6,2,FALSE)),"")</f>
        <v/>
      </c>
      <c r="Y150" s="303" t="str">
        <f t="shared" si="17"/>
        <v/>
      </c>
      <c r="Z150" s="52"/>
      <c r="AA150" s="51"/>
      <c r="AB150" s="104"/>
      <c r="AE150" s="40" t="str">
        <f t="shared" si="13"/>
        <v/>
      </c>
    </row>
    <row r="151" spans="1:31" ht="14" hidden="1">
      <c r="A151" s="35" t="str">
        <f>IFERROR(INDEX('G-8 Condition Look up'!$I$4:$I$135,MATCH(F151,'G-8 Condition Look up'!$A$4:$A$135,0)),"")</f>
        <v/>
      </c>
      <c r="B151" s="225">
        <v>141</v>
      </c>
      <c r="C151" s="232" t="str">
        <f>IFERROR(INDEX('G-1 All Habitats'!$AG$25:$AG$41,MATCH(D151,'G-1 All Habitats'!AF$25:AF$41,0)),"")</f>
        <v/>
      </c>
      <c r="D151" s="52"/>
      <c r="E151" s="57"/>
      <c r="F151" s="231" t="str">
        <f>IFERROR(INDEX('G-1 All Habitats'!$B$3:$B$135,MATCH(E151,'G-1 All Habitats'!$A$3:$A$135,0)),"")</f>
        <v/>
      </c>
      <c r="G151" s="51"/>
      <c r="H151" s="275" t="str">
        <f>IF(F151="","",VLOOKUP(F151,'G-1 All Habitats'!$B$2:$M$135,10,FALSE))</f>
        <v/>
      </c>
      <c r="I151" s="276" t="str">
        <f>IFERROR(VLOOKUP(H151,'G-1 All Habitats'!$V$3:$W$7,2,FALSE),"")</f>
        <v/>
      </c>
      <c r="J151" s="52"/>
      <c r="K151" s="276" t="str">
        <f>IFERROR(INDEX('G-8 Condition Look up'!$A$3:$H$135,MATCH(F151,'G-8 Condition Look up'!$A$3:$A$135,0),MATCH(J151,'G-8 Condition Look up'!$A$3:$H$3,0)),"")</f>
        <v/>
      </c>
      <c r="L151" s="52"/>
      <c r="M151" s="283" t="str">
        <f>IF(L151="","",IF(VLOOKUP(L151,'G-3 Multipliers'!$L$3:$N$6,2,FALSE)=0,"Spatial Data Missing",VLOOKUP(L151,'G-3 Multipliers'!$L$3:$N$6,2,FALSE)))</f>
        <v/>
      </c>
      <c r="N151" s="281" t="str">
        <f>IF(L151="","",IF(VLOOKUP(L151,'G-3 Multipliers'!$L$3:$N$6,3,FALSE)=0,"Spatial Data Missing",VLOOKUP(L151,'G-3 Multipliers'!$L$3:$N$6,3,FALSE)))</f>
        <v/>
      </c>
      <c r="O151" s="275" t="str">
        <f t="shared" si="12"/>
        <v/>
      </c>
      <c r="P151" s="58"/>
      <c r="Q151" s="58"/>
      <c r="R151" s="283" t="str">
        <f t="shared" si="14"/>
        <v/>
      </c>
      <c r="S151" s="296" t="str">
        <f t="shared" si="15"/>
        <v/>
      </c>
      <c r="T151" s="297" t="str">
        <f>IFERROR(IF(S151="Check Data ⚠","Check Data ⚠",VLOOKUP(S151,'G-4 Temporal multipliers'!$A$4:$C$37,3,FALSE)),"")</f>
        <v/>
      </c>
      <c r="U151" s="298" t="str">
        <f>IF(F151="","",VLOOKUP(F151,'G-3 Multipliers'!$A$2:$E$134,2,FALSE))</f>
        <v/>
      </c>
      <c r="V151" s="295" t="str">
        <f t="shared" si="16"/>
        <v/>
      </c>
      <c r="W151" s="295" t="str">
        <f>IF(E151="","",IF(AND(V151="Standard difficulty applied",O151&gt;P151),U151,IF(AND(V151="Low Difficulty - only applicable if all habitat created before losses ⚠",P151&gt;=O151),"Low",VLOOKUP(F151,'G-3 Multipliers'!$A$2:$E$134,4,FALSE))))</f>
        <v/>
      </c>
      <c r="X151" s="299" t="str">
        <f>IFERROR(IF(E151="","",VLOOKUP(W151,'G-3 Multipliers'!$P$2:$Q$6,2,FALSE)),"")</f>
        <v/>
      </c>
      <c r="Y151" s="303" t="str">
        <f t="shared" si="17"/>
        <v/>
      </c>
      <c r="Z151" s="52"/>
      <c r="AA151" s="51"/>
      <c r="AB151" s="104"/>
      <c r="AE151" s="40" t="str">
        <f t="shared" si="13"/>
        <v/>
      </c>
    </row>
    <row r="152" spans="1:31" ht="14" hidden="1">
      <c r="A152" s="35" t="str">
        <f>IFERROR(INDEX('G-8 Condition Look up'!$I$4:$I$135,MATCH(F152,'G-8 Condition Look up'!$A$4:$A$135,0)),"")</f>
        <v/>
      </c>
      <c r="B152" s="225">
        <v>142</v>
      </c>
      <c r="C152" s="232" t="str">
        <f>IFERROR(INDEX('G-1 All Habitats'!$AG$25:$AG$41,MATCH(D152,'G-1 All Habitats'!AF$25:AF$41,0)),"")</f>
        <v/>
      </c>
      <c r="D152" s="52"/>
      <c r="E152" s="57"/>
      <c r="F152" s="231" t="str">
        <f>IFERROR(INDEX('G-1 All Habitats'!$B$3:$B$135,MATCH(E152,'G-1 All Habitats'!$A$3:$A$135,0)),"")</f>
        <v/>
      </c>
      <c r="G152" s="51"/>
      <c r="H152" s="275" t="str">
        <f>IF(F152="","",VLOOKUP(F152,'G-1 All Habitats'!$B$2:$M$135,10,FALSE))</f>
        <v/>
      </c>
      <c r="I152" s="276" t="str">
        <f>IFERROR(VLOOKUP(H152,'G-1 All Habitats'!$V$3:$W$7,2,FALSE),"")</f>
        <v/>
      </c>
      <c r="J152" s="52"/>
      <c r="K152" s="276" t="str">
        <f>IFERROR(INDEX('G-8 Condition Look up'!$A$3:$H$135,MATCH(F152,'G-8 Condition Look up'!$A$3:$A$135,0),MATCH(J152,'G-8 Condition Look up'!$A$3:$H$3,0)),"")</f>
        <v/>
      </c>
      <c r="L152" s="52"/>
      <c r="M152" s="283" t="str">
        <f>IF(L152="","",IF(VLOOKUP(L152,'G-3 Multipliers'!$L$3:$N$6,2,FALSE)=0,"Spatial Data Missing",VLOOKUP(L152,'G-3 Multipliers'!$L$3:$N$6,2,FALSE)))</f>
        <v/>
      </c>
      <c r="N152" s="281" t="str">
        <f>IF(L152="","",IF(VLOOKUP(L152,'G-3 Multipliers'!$L$3:$N$6,3,FALSE)=0,"Spatial Data Missing",VLOOKUP(L152,'G-3 Multipliers'!$L$3:$N$6,3,FALSE)))</f>
        <v/>
      </c>
      <c r="O152" s="275" t="str">
        <f t="shared" si="12"/>
        <v/>
      </c>
      <c r="P152" s="58"/>
      <c r="Q152" s="58"/>
      <c r="R152" s="283" t="str">
        <f t="shared" si="14"/>
        <v/>
      </c>
      <c r="S152" s="296" t="str">
        <f t="shared" si="15"/>
        <v/>
      </c>
      <c r="T152" s="297" t="str">
        <f>IFERROR(IF(S152="Check Data ⚠","Check Data ⚠",VLOOKUP(S152,'G-4 Temporal multipliers'!$A$4:$C$37,3,FALSE)),"")</f>
        <v/>
      </c>
      <c r="U152" s="298" t="str">
        <f>IF(F152="","",VLOOKUP(F152,'G-3 Multipliers'!$A$2:$E$134,2,FALSE))</f>
        <v/>
      </c>
      <c r="V152" s="295" t="str">
        <f t="shared" si="16"/>
        <v/>
      </c>
      <c r="W152" s="295" t="str">
        <f>IF(E152="","",IF(AND(V152="Standard difficulty applied",O152&gt;P152),U152,IF(AND(V152="Low Difficulty - only applicable if all habitat created before losses ⚠",P152&gt;=O152),"Low",VLOOKUP(F152,'G-3 Multipliers'!$A$2:$E$134,4,FALSE))))</f>
        <v/>
      </c>
      <c r="X152" s="299" t="str">
        <f>IFERROR(IF(E152="","",VLOOKUP(W152,'G-3 Multipliers'!$P$2:$Q$6,2,FALSE)),"")</f>
        <v/>
      </c>
      <c r="Y152" s="303" t="str">
        <f t="shared" si="17"/>
        <v/>
      </c>
      <c r="Z152" s="52"/>
      <c r="AA152" s="51"/>
      <c r="AB152" s="104"/>
      <c r="AE152" s="40" t="str">
        <f t="shared" si="13"/>
        <v/>
      </c>
    </row>
    <row r="153" spans="1:31" ht="14" hidden="1">
      <c r="A153" s="35" t="str">
        <f>IFERROR(INDEX('G-8 Condition Look up'!$I$4:$I$135,MATCH(F153,'G-8 Condition Look up'!$A$4:$A$135,0)),"")</f>
        <v/>
      </c>
      <c r="B153" s="225">
        <v>143</v>
      </c>
      <c r="C153" s="232" t="str">
        <f>IFERROR(INDEX('G-1 All Habitats'!$AG$25:$AG$41,MATCH(D153,'G-1 All Habitats'!AF$25:AF$41,0)),"")</f>
        <v/>
      </c>
      <c r="D153" s="52"/>
      <c r="E153" s="57"/>
      <c r="F153" s="231" t="str">
        <f>IFERROR(INDEX('G-1 All Habitats'!$B$3:$B$135,MATCH(E153,'G-1 All Habitats'!$A$3:$A$135,0)),"")</f>
        <v/>
      </c>
      <c r="G153" s="51"/>
      <c r="H153" s="275" t="str">
        <f>IF(F153="","",VLOOKUP(F153,'G-1 All Habitats'!$B$2:$M$135,10,FALSE))</f>
        <v/>
      </c>
      <c r="I153" s="276" t="str">
        <f>IFERROR(VLOOKUP(H153,'G-1 All Habitats'!$V$3:$W$7,2,FALSE),"")</f>
        <v/>
      </c>
      <c r="J153" s="52"/>
      <c r="K153" s="276" t="str">
        <f>IFERROR(INDEX('G-8 Condition Look up'!$A$3:$H$135,MATCH(F153,'G-8 Condition Look up'!$A$3:$A$135,0),MATCH(J153,'G-8 Condition Look up'!$A$3:$H$3,0)),"")</f>
        <v/>
      </c>
      <c r="L153" s="52"/>
      <c r="M153" s="283" t="str">
        <f>IF(L153="","",IF(VLOOKUP(L153,'G-3 Multipliers'!$L$3:$N$6,2,FALSE)=0,"Spatial Data Missing",VLOOKUP(L153,'G-3 Multipliers'!$L$3:$N$6,2,FALSE)))</f>
        <v/>
      </c>
      <c r="N153" s="281" t="str">
        <f>IF(L153="","",IF(VLOOKUP(L153,'G-3 Multipliers'!$L$3:$N$6,3,FALSE)=0,"Spatial Data Missing",VLOOKUP(L153,'G-3 Multipliers'!$L$3:$N$6,3,FALSE)))</f>
        <v/>
      </c>
      <c r="O153" s="275" t="str">
        <f t="shared" si="12"/>
        <v/>
      </c>
      <c r="P153" s="58"/>
      <c r="Q153" s="58"/>
      <c r="R153" s="283" t="str">
        <f t="shared" si="14"/>
        <v/>
      </c>
      <c r="S153" s="296" t="str">
        <f t="shared" si="15"/>
        <v/>
      </c>
      <c r="T153" s="297" t="str">
        <f>IFERROR(IF(S153="Check Data ⚠","Check Data ⚠",VLOOKUP(S153,'G-4 Temporal multipliers'!$A$4:$C$37,3,FALSE)),"")</f>
        <v/>
      </c>
      <c r="U153" s="298" t="str">
        <f>IF(F153="","",VLOOKUP(F153,'G-3 Multipliers'!$A$2:$E$134,2,FALSE))</f>
        <v/>
      </c>
      <c r="V153" s="295" t="str">
        <f t="shared" si="16"/>
        <v/>
      </c>
      <c r="W153" s="295" t="str">
        <f>IF(E153="","",IF(AND(V153="Standard difficulty applied",O153&gt;P153),U153,IF(AND(V153="Low Difficulty - only applicable if all habitat created before losses ⚠",P153&gt;=O153),"Low",VLOOKUP(F153,'G-3 Multipliers'!$A$2:$E$134,4,FALSE))))</f>
        <v/>
      </c>
      <c r="X153" s="299" t="str">
        <f>IFERROR(IF(E153="","",VLOOKUP(W153,'G-3 Multipliers'!$P$2:$Q$6,2,FALSE)),"")</f>
        <v/>
      </c>
      <c r="Y153" s="303" t="str">
        <f t="shared" si="17"/>
        <v/>
      </c>
      <c r="Z153" s="52"/>
      <c r="AA153" s="51"/>
      <c r="AB153" s="104"/>
      <c r="AE153" s="40" t="str">
        <f t="shared" si="13"/>
        <v/>
      </c>
    </row>
    <row r="154" spans="1:31" ht="14" hidden="1">
      <c r="A154" s="35" t="str">
        <f>IFERROR(INDEX('G-8 Condition Look up'!$I$4:$I$135,MATCH(F154,'G-8 Condition Look up'!$A$4:$A$135,0)),"")</f>
        <v/>
      </c>
      <c r="B154" s="225">
        <v>144</v>
      </c>
      <c r="C154" s="232" t="str">
        <f>IFERROR(INDEX('G-1 All Habitats'!$AG$25:$AG$41,MATCH(D154,'G-1 All Habitats'!AF$25:AF$41,0)),"")</f>
        <v/>
      </c>
      <c r="D154" s="52"/>
      <c r="E154" s="57"/>
      <c r="F154" s="231" t="str">
        <f>IFERROR(INDEX('G-1 All Habitats'!$B$3:$B$135,MATCH(E154,'G-1 All Habitats'!$A$3:$A$135,0)),"")</f>
        <v/>
      </c>
      <c r="G154" s="51"/>
      <c r="H154" s="275" t="str">
        <f>IF(F154="","",VLOOKUP(F154,'G-1 All Habitats'!$B$2:$M$135,10,FALSE))</f>
        <v/>
      </c>
      <c r="I154" s="276" t="str">
        <f>IFERROR(VLOOKUP(H154,'G-1 All Habitats'!$V$3:$W$7,2,FALSE),"")</f>
        <v/>
      </c>
      <c r="J154" s="52"/>
      <c r="K154" s="276" t="str">
        <f>IFERROR(INDEX('G-8 Condition Look up'!$A$3:$H$135,MATCH(F154,'G-8 Condition Look up'!$A$3:$A$135,0),MATCH(J154,'G-8 Condition Look up'!$A$3:$H$3,0)),"")</f>
        <v/>
      </c>
      <c r="L154" s="52"/>
      <c r="M154" s="283" t="str">
        <f>IF(L154="","",IF(VLOOKUP(L154,'G-3 Multipliers'!$L$3:$N$6,2,FALSE)=0,"Spatial Data Missing",VLOOKUP(L154,'G-3 Multipliers'!$L$3:$N$6,2,FALSE)))</f>
        <v/>
      </c>
      <c r="N154" s="281" t="str">
        <f>IF(L154="","",IF(VLOOKUP(L154,'G-3 Multipliers'!$L$3:$N$6,3,FALSE)=0,"Spatial Data Missing",VLOOKUP(L154,'G-3 Multipliers'!$L$3:$N$6,3,FALSE)))</f>
        <v/>
      </c>
      <c r="O154" s="275" t="str">
        <f t="shared" si="12"/>
        <v/>
      </c>
      <c r="P154" s="58"/>
      <c r="Q154" s="58"/>
      <c r="R154" s="283" t="str">
        <f t="shared" si="14"/>
        <v/>
      </c>
      <c r="S154" s="296" t="str">
        <f t="shared" si="15"/>
        <v/>
      </c>
      <c r="T154" s="297" t="str">
        <f>IFERROR(IF(S154="Check Data ⚠","Check Data ⚠",VLOOKUP(S154,'G-4 Temporal multipliers'!$A$4:$C$37,3,FALSE)),"")</f>
        <v/>
      </c>
      <c r="U154" s="298" t="str">
        <f>IF(F154="","",VLOOKUP(F154,'G-3 Multipliers'!$A$2:$E$134,2,FALSE))</f>
        <v/>
      </c>
      <c r="V154" s="295" t="str">
        <f t="shared" si="16"/>
        <v/>
      </c>
      <c r="W154" s="295" t="str">
        <f>IF(E154="","",IF(AND(V154="Standard difficulty applied",O154&gt;P154),U154,IF(AND(V154="Low Difficulty - only applicable if all habitat created before losses ⚠",P154&gt;=O154),"Low",VLOOKUP(F154,'G-3 Multipliers'!$A$2:$E$134,4,FALSE))))</f>
        <v/>
      </c>
      <c r="X154" s="299" t="str">
        <f>IFERROR(IF(E154="","",VLOOKUP(W154,'G-3 Multipliers'!$P$2:$Q$6,2,FALSE)),"")</f>
        <v/>
      </c>
      <c r="Y154" s="303" t="str">
        <f t="shared" si="17"/>
        <v/>
      </c>
      <c r="Z154" s="52"/>
      <c r="AA154" s="51"/>
      <c r="AB154" s="104"/>
      <c r="AE154" s="40" t="str">
        <f t="shared" si="13"/>
        <v/>
      </c>
    </row>
    <row r="155" spans="1:31" ht="14" hidden="1">
      <c r="A155" s="35" t="str">
        <f>IFERROR(INDEX('G-8 Condition Look up'!$I$4:$I$135,MATCH(F155,'G-8 Condition Look up'!$A$4:$A$135,0)),"")</f>
        <v/>
      </c>
      <c r="B155" s="225">
        <v>145</v>
      </c>
      <c r="C155" s="232" t="str">
        <f>IFERROR(INDEX('G-1 All Habitats'!$AG$25:$AG$41,MATCH(D155,'G-1 All Habitats'!AF$25:AF$41,0)),"")</f>
        <v/>
      </c>
      <c r="D155" s="52"/>
      <c r="E155" s="57"/>
      <c r="F155" s="231" t="str">
        <f>IFERROR(INDEX('G-1 All Habitats'!$B$3:$B$135,MATCH(E155,'G-1 All Habitats'!$A$3:$A$135,0)),"")</f>
        <v/>
      </c>
      <c r="G155" s="51"/>
      <c r="H155" s="275" t="str">
        <f>IF(F155="","",VLOOKUP(F155,'G-1 All Habitats'!$B$2:$M$135,10,FALSE))</f>
        <v/>
      </c>
      <c r="I155" s="276" t="str">
        <f>IFERROR(VLOOKUP(H155,'G-1 All Habitats'!$V$3:$W$7,2,FALSE),"")</f>
        <v/>
      </c>
      <c r="J155" s="52"/>
      <c r="K155" s="276" t="str">
        <f>IFERROR(INDEX('G-8 Condition Look up'!$A$3:$H$135,MATCH(F155,'G-8 Condition Look up'!$A$3:$A$135,0),MATCH(J155,'G-8 Condition Look up'!$A$3:$H$3,0)),"")</f>
        <v/>
      </c>
      <c r="L155" s="52"/>
      <c r="M155" s="283" t="str">
        <f>IF(L155="","",IF(VLOOKUP(L155,'G-3 Multipliers'!$L$3:$N$6,2,FALSE)=0,"Spatial Data Missing",VLOOKUP(L155,'G-3 Multipliers'!$L$3:$N$6,2,FALSE)))</f>
        <v/>
      </c>
      <c r="N155" s="281" t="str">
        <f>IF(L155="","",IF(VLOOKUP(L155,'G-3 Multipliers'!$L$3:$N$6,3,FALSE)=0,"Spatial Data Missing",VLOOKUP(L155,'G-3 Multipliers'!$L$3:$N$6,3,FALSE)))</f>
        <v/>
      </c>
      <c r="O155" s="275" t="str">
        <f t="shared" si="12"/>
        <v/>
      </c>
      <c r="P155" s="58"/>
      <c r="Q155" s="58"/>
      <c r="R155" s="283" t="str">
        <f t="shared" si="14"/>
        <v/>
      </c>
      <c r="S155" s="296" t="str">
        <f t="shared" si="15"/>
        <v/>
      </c>
      <c r="T155" s="297" t="str">
        <f>IFERROR(IF(S155="Check Data ⚠","Check Data ⚠",VLOOKUP(S155,'G-4 Temporal multipliers'!$A$4:$C$37,3,FALSE)),"")</f>
        <v/>
      </c>
      <c r="U155" s="298" t="str">
        <f>IF(F155="","",VLOOKUP(F155,'G-3 Multipliers'!$A$2:$E$134,2,FALSE))</f>
        <v/>
      </c>
      <c r="V155" s="295" t="str">
        <f t="shared" si="16"/>
        <v/>
      </c>
      <c r="W155" s="295" t="str">
        <f>IF(E155="","",IF(AND(V155="Standard difficulty applied",O155&gt;P155),U155,IF(AND(V155="Low Difficulty - only applicable if all habitat created before losses ⚠",P155&gt;=O155),"Low",VLOOKUP(F155,'G-3 Multipliers'!$A$2:$E$134,4,FALSE))))</f>
        <v/>
      </c>
      <c r="X155" s="299" t="str">
        <f>IFERROR(IF(E155="","",VLOOKUP(W155,'G-3 Multipliers'!$P$2:$Q$6,2,FALSE)),"")</f>
        <v/>
      </c>
      <c r="Y155" s="303" t="str">
        <f t="shared" si="17"/>
        <v/>
      </c>
      <c r="Z155" s="52"/>
      <c r="AA155" s="51"/>
      <c r="AB155" s="104"/>
      <c r="AE155" s="40" t="str">
        <f t="shared" si="13"/>
        <v/>
      </c>
    </row>
    <row r="156" spans="1:31" ht="14" hidden="1">
      <c r="A156" s="35" t="str">
        <f>IFERROR(INDEX('G-8 Condition Look up'!$I$4:$I$135,MATCH(F156,'G-8 Condition Look up'!$A$4:$A$135,0)),"")</f>
        <v/>
      </c>
      <c r="B156" s="225">
        <v>146</v>
      </c>
      <c r="C156" s="232" t="str">
        <f>IFERROR(INDEX('G-1 All Habitats'!$AG$25:$AG$41,MATCH(D156,'G-1 All Habitats'!AF$25:AF$41,0)),"")</f>
        <v/>
      </c>
      <c r="D156" s="52"/>
      <c r="E156" s="57"/>
      <c r="F156" s="231" t="str">
        <f>IFERROR(INDEX('G-1 All Habitats'!$B$3:$B$135,MATCH(E156,'G-1 All Habitats'!$A$3:$A$135,0)),"")</f>
        <v/>
      </c>
      <c r="G156" s="51"/>
      <c r="H156" s="275" t="str">
        <f>IF(F156="","",VLOOKUP(F156,'G-1 All Habitats'!$B$2:$M$135,10,FALSE))</f>
        <v/>
      </c>
      <c r="I156" s="276" t="str">
        <f>IFERROR(VLOOKUP(H156,'G-1 All Habitats'!$V$3:$W$7,2,FALSE),"")</f>
        <v/>
      </c>
      <c r="J156" s="52"/>
      <c r="K156" s="276" t="str">
        <f>IFERROR(INDEX('G-8 Condition Look up'!$A$3:$H$135,MATCH(F156,'G-8 Condition Look up'!$A$3:$A$135,0),MATCH(J156,'G-8 Condition Look up'!$A$3:$H$3,0)),"")</f>
        <v/>
      </c>
      <c r="L156" s="52"/>
      <c r="M156" s="283" t="str">
        <f>IF(L156="","",IF(VLOOKUP(L156,'G-3 Multipliers'!$L$3:$N$6,2,FALSE)=0,"Spatial Data Missing",VLOOKUP(L156,'G-3 Multipliers'!$L$3:$N$6,2,FALSE)))</f>
        <v/>
      </c>
      <c r="N156" s="281" t="str">
        <f>IF(L156="","",IF(VLOOKUP(L156,'G-3 Multipliers'!$L$3:$N$6,3,FALSE)=0,"Spatial Data Missing",VLOOKUP(L156,'G-3 Multipliers'!$L$3:$N$6,3,FALSE)))</f>
        <v/>
      </c>
      <c r="O156" s="275" t="str">
        <f t="shared" si="12"/>
        <v/>
      </c>
      <c r="P156" s="58"/>
      <c r="Q156" s="58"/>
      <c r="R156" s="283" t="str">
        <f t="shared" si="14"/>
        <v/>
      </c>
      <c r="S156" s="296" t="str">
        <f t="shared" si="15"/>
        <v/>
      </c>
      <c r="T156" s="297" t="str">
        <f>IFERROR(IF(S156="Check Data ⚠","Check Data ⚠",VLOOKUP(S156,'G-4 Temporal multipliers'!$A$4:$C$37,3,FALSE)),"")</f>
        <v/>
      </c>
      <c r="U156" s="298" t="str">
        <f>IF(F156="","",VLOOKUP(F156,'G-3 Multipliers'!$A$2:$E$134,2,FALSE))</f>
        <v/>
      </c>
      <c r="V156" s="295" t="str">
        <f t="shared" si="16"/>
        <v/>
      </c>
      <c r="W156" s="295" t="str">
        <f>IF(E156="","",IF(AND(V156="Standard difficulty applied",O156&gt;P156),U156,IF(AND(V156="Low Difficulty - only applicable if all habitat created before losses ⚠",P156&gt;=O156),"Low",VLOOKUP(F156,'G-3 Multipliers'!$A$2:$E$134,4,FALSE))))</f>
        <v/>
      </c>
      <c r="X156" s="299" t="str">
        <f>IFERROR(IF(E156="","",VLOOKUP(W156,'G-3 Multipliers'!$P$2:$Q$6,2,FALSE)),"")</f>
        <v/>
      </c>
      <c r="Y156" s="303" t="str">
        <f t="shared" si="17"/>
        <v/>
      </c>
      <c r="Z156" s="52"/>
      <c r="AA156" s="51"/>
      <c r="AB156" s="104"/>
      <c r="AE156" s="40" t="str">
        <f t="shared" si="13"/>
        <v/>
      </c>
    </row>
    <row r="157" spans="1:31" ht="14" hidden="1">
      <c r="A157" s="35" t="str">
        <f>IFERROR(INDEX('G-8 Condition Look up'!$I$4:$I$135,MATCH(F157,'G-8 Condition Look up'!$A$4:$A$135,0)),"")</f>
        <v/>
      </c>
      <c r="B157" s="225">
        <v>147</v>
      </c>
      <c r="C157" s="232" t="str">
        <f>IFERROR(INDEX('G-1 All Habitats'!$AG$25:$AG$41,MATCH(D157,'G-1 All Habitats'!AF$25:AF$41,0)),"")</f>
        <v/>
      </c>
      <c r="D157" s="52"/>
      <c r="E157" s="57"/>
      <c r="F157" s="231" t="str">
        <f>IFERROR(INDEX('G-1 All Habitats'!$B$3:$B$135,MATCH(E157,'G-1 All Habitats'!$A$3:$A$135,0)),"")</f>
        <v/>
      </c>
      <c r="G157" s="51"/>
      <c r="H157" s="275" t="str">
        <f>IF(F157="","",VLOOKUP(F157,'G-1 All Habitats'!$B$2:$M$135,10,FALSE))</f>
        <v/>
      </c>
      <c r="I157" s="276" t="str">
        <f>IFERROR(VLOOKUP(H157,'G-1 All Habitats'!$V$3:$W$7,2,FALSE),"")</f>
        <v/>
      </c>
      <c r="J157" s="52"/>
      <c r="K157" s="276" t="str">
        <f>IFERROR(INDEX('G-8 Condition Look up'!$A$3:$H$135,MATCH(F157,'G-8 Condition Look up'!$A$3:$A$135,0),MATCH(J157,'G-8 Condition Look up'!$A$3:$H$3,0)),"")</f>
        <v/>
      </c>
      <c r="L157" s="52"/>
      <c r="M157" s="283" t="str">
        <f>IF(L157="","",IF(VLOOKUP(L157,'G-3 Multipliers'!$L$3:$N$6,2,FALSE)=0,"Spatial Data Missing",VLOOKUP(L157,'G-3 Multipliers'!$L$3:$N$6,2,FALSE)))</f>
        <v/>
      </c>
      <c r="N157" s="281" t="str">
        <f>IF(L157="","",IF(VLOOKUP(L157,'G-3 Multipliers'!$L$3:$N$6,3,FALSE)=0,"Spatial Data Missing",VLOOKUP(L157,'G-3 Multipliers'!$L$3:$N$6,3,FALSE)))</f>
        <v/>
      </c>
      <c r="O157" s="275" t="str">
        <f t="shared" si="12"/>
        <v/>
      </c>
      <c r="P157" s="58"/>
      <c r="Q157" s="58"/>
      <c r="R157" s="283" t="str">
        <f t="shared" si="14"/>
        <v/>
      </c>
      <c r="S157" s="296" t="str">
        <f t="shared" si="15"/>
        <v/>
      </c>
      <c r="T157" s="297" t="str">
        <f>IFERROR(IF(S157="Check Data ⚠","Check Data ⚠",VLOOKUP(S157,'G-4 Temporal multipliers'!$A$4:$C$37,3,FALSE)),"")</f>
        <v/>
      </c>
      <c r="U157" s="298" t="str">
        <f>IF(F157="","",VLOOKUP(F157,'G-3 Multipliers'!$A$2:$E$134,2,FALSE))</f>
        <v/>
      </c>
      <c r="V157" s="295" t="str">
        <f t="shared" si="16"/>
        <v/>
      </c>
      <c r="W157" s="295" t="str">
        <f>IF(E157="","",IF(AND(V157="Standard difficulty applied",O157&gt;P157),U157,IF(AND(V157="Low Difficulty - only applicable if all habitat created before losses ⚠",P157&gt;=O157),"Low",VLOOKUP(F157,'G-3 Multipliers'!$A$2:$E$134,4,FALSE))))</f>
        <v/>
      </c>
      <c r="X157" s="299" t="str">
        <f>IFERROR(IF(E157="","",VLOOKUP(W157,'G-3 Multipliers'!$P$2:$Q$6,2,FALSE)),"")</f>
        <v/>
      </c>
      <c r="Y157" s="303" t="str">
        <f t="shared" si="17"/>
        <v/>
      </c>
      <c r="Z157" s="52"/>
      <c r="AA157" s="51"/>
      <c r="AB157" s="104"/>
      <c r="AE157" s="40" t="str">
        <f t="shared" si="13"/>
        <v/>
      </c>
    </row>
    <row r="158" spans="1:31" ht="14" hidden="1">
      <c r="A158" s="35" t="str">
        <f>IFERROR(INDEX('G-8 Condition Look up'!$I$4:$I$135,MATCH(F158,'G-8 Condition Look up'!$A$4:$A$135,0)),"")</f>
        <v/>
      </c>
      <c r="B158" s="225">
        <v>148</v>
      </c>
      <c r="C158" s="232" t="str">
        <f>IFERROR(INDEX('G-1 All Habitats'!$AG$25:$AG$41,MATCH(D158,'G-1 All Habitats'!AF$25:AF$41,0)),"")</f>
        <v/>
      </c>
      <c r="D158" s="52"/>
      <c r="E158" s="57"/>
      <c r="F158" s="231" t="str">
        <f>IFERROR(INDEX('G-1 All Habitats'!$B$3:$B$135,MATCH(E158,'G-1 All Habitats'!$A$3:$A$135,0)),"")</f>
        <v/>
      </c>
      <c r="G158" s="51"/>
      <c r="H158" s="275" t="str">
        <f>IF(F158="","",VLOOKUP(F158,'G-1 All Habitats'!$B$2:$M$135,10,FALSE))</f>
        <v/>
      </c>
      <c r="I158" s="276" t="str">
        <f>IFERROR(VLOOKUP(H158,'G-1 All Habitats'!$V$3:$W$7,2,FALSE),"")</f>
        <v/>
      </c>
      <c r="J158" s="52"/>
      <c r="K158" s="276" t="str">
        <f>IFERROR(INDEX('G-8 Condition Look up'!$A$3:$H$135,MATCH(F158,'G-8 Condition Look up'!$A$3:$A$135,0),MATCH(J158,'G-8 Condition Look up'!$A$3:$H$3,0)),"")</f>
        <v/>
      </c>
      <c r="L158" s="52"/>
      <c r="M158" s="283" t="str">
        <f>IF(L158="","",IF(VLOOKUP(L158,'G-3 Multipliers'!$L$3:$N$6,2,FALSE)=0,"Spatial Data Missing",VLOOKUP(L158,'G-3 Multipliers'!$L$3:$N$6,2,FALSE)))</f>
        <v/>
      </c>
      <c r="N158" s="281" t="str">
        <f>IF(L158="","",IF(VLOOKUP(L158,'G-3 Multipliers'!$L$3:$N$6,3,FALSE)=0,"Spatial Data Missing",VLOOKUP(L158,'G-3 Multipliers'!$L$3:$N$6,3,FALSE)))</f>
        <v/>
      </c>
      <c r="O158" s="275" t="str">
        <f t="shared" si="12"/>
        <v/>
      </c>
      <c r="P158" s="58"/>
      <c r="Q158" s="58"/>
      <c r="R158" s="283" t="str">
        <f t="shared" si="14"/>
        <v/>
      </c>
      <c r="S158" s="296" t="str">
        <f t="shared" si="15"/>
        <v/>
      </c>
      <c r="T158" s="297" t="str">
        <f>IFERROR(IF(S158="Check Data ⚠","Check Data ⚠",VLOOKUP(S158,'G-4 Temporal multipliers'!$A$4:$C$37,3,FALSE)),"")</f>
        <v/>
      </c>
      <c r="U158" s="298" t="str">
        <f>IF(F158="","",VLOOKUP(F158,'G-3 Multipliers'!$A$2:$E$134,2,FALSE))</f>
        <v/>
      </c>
      <c r="V158" s="295" t="str">
        <f t="shared" si="16"/>
        <v/>
      </c>
      <c r="W158" s="295" t="str">
        <f>IF(E158="","",IF(AND(V158="Standard difficulty applied",O158&gt;P158),U158,IF(AND(V158="Low Difficulty - only applicable if all habitat created before losses ⚠",P158&gt;=O158),"Low",VLOOKUP(F158,'G-3 Multipliers'!$A$2:$E$134,4,FALSE))))</f>
        <v/>
      </c>
      <c r="X158" s="299" t="str">
        <f>IFERROR(IF(E158="","",VLOOKUP(W158,'G-3 Multipliers'!$P$2:$Q$6,2,FALSE)),"")</f>
        <v/>
      </c>
      <c r="Y158" s="303" t="str">
        <f t="shared" si="17"/>
        <v/>
      </c>
      <c r="Z158" s="52"/>
      <c r="AA158" s="51"/>
      <c r="AB158" s="104"/>
      <c r="AE158" s="40" t="str">
        <f t="shared" si="13"/>
        <v/>
      </c>
    </row>
    <row r="159" spans="1:31" ht="14" hidden="1">
      <c r="A159" s="35" t="str">
        <f>IFERROR(INDEX('G-8 Condition Look up'!$I$4:$I$135,MATCH(F159,'G-8 Condition Look up'!$A$4:$A$135,0)),"")</f>
        <v/>
      </c>
      <c r="B159" s="225">
        <v>149</v>
      </c>
      <c r="C159" s="232" t="str">
        <f>IFERROR(INDEX('G-1 All Habitats'!$AG$25:$AG$41,MATCH(D159,'G-1 All Habitats'!AF$25:AF$41,0)),"")</f>
        <v/>
      </c>
      <c r="D159" s="52"/>
      <c r="E159" s="57"/>
      <c r="F159" s="231" t="str">
        <f>IFERROR(INDEX('G-1 All Habitats'!$B$3:$B$135,MATCH(E159,'G-1 All Habitats'!$A$3:$A$135,0)),"")</f>
        <v/>
      </c>
      <c r="G159" s="51"/>
      <c r="H159" s="275" t="str">
        <f>IF(F159="","",VLOOKUP(F159,'G-1 All Habitats'!$B$2:$M$135,10,FALSE))</f>
        <v/>
      </c>
      <c r="I159" s="276" t="str">
        <f>IFERROR(VLOOKUP(H159,'G-1 All Habitats'!$V$3:$W$7,2,FALSE),"")</f>
        <v/>
      </c>
      <c r="J159" s="52"/>
      <c r="K159" s="276" t="str">
        <f>IFERROR(INDEX('G-8 Condition Look up'!$A$3:$H$135,MATCH(F159,'G-8 Condition Look up'!$A$3:$A$135,0),MATCH(J159,'G-8 Condition Look up'!$A$3:$H$3,0)),"")</f>
        <v/>
      </c>
      <c r="L159" s="52"/>
      <c r="M159" s="283" t="str">
        <f>IF(L159="","",IF(VLOOKUP(L159,'G-3 Multipliers'!$L$3:$N$6,2,FALSE)=0,"Spatial Data Missing",VLOOKUP(L159,'G-3 Multipliers'!$L$3:$N$6,2,FALSE)))</f>
        <v/>
      </c>
      <c r="N159" s="281" t="str">
        <f>IF(L159="","",IF(VLOOKUP(L159,'G-3 Multipliers'!$L$3:$N$6,3,FALSE)=0,"Spatial Data Missing",VLOOKUP(L159,'G-3 Multipliers'!$L$3:$N$6,3,FALSE)))</f>
        <v/>
      </c>
      <c r="O159" s="275" t="str">
        <f t="shared" si="12"/>
        <v/>
      </c>
      <c r="P159" s="58"/>
      <c r="Q159" s="58"/>
      <c r="R159" s="283" t="str">
        <f t="shared" si="14"/>
        <v/>
      </c>
      <c r="S159" s="296" t="str">
        <f t="shared" si="15"/>
        <v/>
      </c>
      <c r="T159" s="297" t="str">
        <f>IFERROR(IF(S159="Check Data ⚠","Check Data ⚠",VLOOKUP(S159,'G-4 Temporal multipliers'!$A$4:$C$37,3,FALSE)),"")</f>
        <v/>
      </c>
      <c r="U159" s="298" t="str">
        <f>IF(F159="","",VLOOKUP(F159,'G-3 Multipliers'!$A$2:$E$134,2,FALSE))</f>
        <v/>
      </c>
      <c r="V159" s="295" t="str">
        <f t="shared" si="16"/>
        <v/>
      </c>
      <c r="W159" s="295" t="str">
        <f>IF(E159="","",IF(AND(V159="Standard difficulty applied",O159&gt;P159),U159,IF(AND(V159="Low Difficulty - only applicable if all habitat created before losses ⚠",P159&gt;=O159),"Low",VLOOKUP(F159,'G-3 Multipliers'!$A$2:$E$134,4,FALSE))))</f>
        <v/>
      </c>
      <c r="X159" s="299" t="str">
        <f>IFERROR(IF(E159="","",VLOOKUP(W159,'G-3 Multipliers'!$P$2:$Q$6,2,FALSE)),"")</f>
        <v/>
      </c>
      <c r="Y159" s="303" t="str">
        <f t="shared" si="17"/>
        <v/>
      </c>
      <c r="Z159" s="52"/>
      <c r="AA159" s="51"/>
      <c r="AB159" s="104"/>
      <c r="AE159" s="40" t="str">
        <f t="shared" si="13"/>
        <v/>
      </c>
    </row>
    <row r="160" spans="1:31" ht="14" hidden="1">
      <c r="A160" s="35" t="str">
        <f>IFERROR(INDEX('G-8 Condition Look up'!$I$4:$I$135,MATCH(F160,'G-8 Condition Look up'!$A$4:$A$135,0)),"")</f>
        <v/>
      </c>
      <c r="B160" s="225">
        <v>150</v>
      </c>
      <c r="C160" s="232" t="str">
        <f>IFERROR(INDEX('G-1 All Habitats'!$AG$25:$AG$41,MATCH(D160,'G-1 All Habitats'!AF$25:AF$41,0)),"")</f>
        <v/>
      </c>
      <c r="D160" s="52"/>
      <c r="E160" s="57"/>
      <c r="F160" s="231" t="str">
        <f>IFERROR(INDEX('G-1 All Habitats'!$B$3:$B$135,MATCH(E160,'G-1 All Habitats'!$A$3:$A$135,0)),"")</f>
        <v/>
      </c>
      <c r="G160" s="51"/>
      <c r="H160" s="275" t="str">
        <f>IF(F160="","",VLOOKUP(F160,'G-1 All Habitats'!$B$2:$M$135,10,FALSE))</f>
        <v/>
      </c>
      <c r="I160" s="276" t="str">
        <f>IFERROR(VLOOKUP(H160,'G-1 All Habitats'!$V$3:$W$7,2,FALSE),"")</f>
        <v/>
      </c>
      <c r="J160" s="52"/>
      <c r="K160" s="276" t="str">
        <f>IFERROR(INDEX('G-8 Condition Look up'!$A$3:$H$135,MATCH(F160,'G-8 Condition Look up'!$A$3:$A$135,0),MATCH(J160,'G-8 Condition Look up'!$A$3:$H$3,0)),"")</f>
        <v/>
      </c>
      <c r="L160" s="52"/>
      <c r="M160" s="283" t="str">
        <f>IF(L160="","",IF(VLOOKUP(L160,'G-3 Multipliers'!$L$3:$N$6,2,FALSE)=0,"Spatial Data Missing",VLOOKUP(L160,'G-3 Multipliers'!$L$3:$N$6,2,FALSE)))</f>
        <v/>
      </c>
      <c r="N160" s="281" t="str">
        <f>IF(L160="","",IF(VLOOKUP(L160,'G-3 Multipliers'!$L$3:$N$6,3,FALSE)=0,"Spatial Data Missing",VLOOKUP(L160,'G-3 Multipliers'!$L$3:$N$6,3,FALSE)))</f>
        <v/>
      </c>
      <c r="O160" s="275" t="str">
        <f t="shared" si="12"/>
        <v/>
      </c>
      <c r="P160" s="58"/>
      <c r="Q160" s="58"/>
      <c r="R160" s="283" t="str">
        <f t="shared" si="14"/>
        <v/>
      </c>
      <c r="S160" s="296" t="str">
        <f t="shared" si="15"/>
        <v/>
      </c>
      <c r="T160" s="297" t="str">
        <f>IFERROR(IF(S160="Check Data ⚠","Check Data ⚠",VLOOKUP(S160,'G-4 Temporal multipliers'!$A$4:$C$37,3,FALSE)),"")</f>
        <v/>
      </c>
      <c r="U160" s="298" t="str">
        <f>IF(F160="","",VLOOKUP(F160,'G-3 Multipliers'!$A$2:$E$134,2,FALSE))</f>
        <v/>
      </c>
      <c r="V160" s="295" t="str">
        <f t="shared" si="16"/>
        <v/>
      </c>
      <c r="W160" s="295" t="str">
        <f>IF(E160="","",IF(AND(V160="Standard difficulty applied",O160&gt;P160),U160,IF(AND(V160="Low Difficulty - only applicable if all habitat created before losses ⚠",P160&gt;=O160),"Low",VLOOKUP(F160,'G-3 Multipliers'!$A$2:$E$134,4,FALSE))))</f>
        <v/>
      </c>
      <c r="X160" s="299" t="str">
        <f>IFERROR(IF(E160="","",VLOOKUP(W160,'G-3 Multipliers'!$P$2:$Q$6,2,FALSE)),"")</f>
        <v/>
      </c>
      <c r="Y160" s="303" t="str">
        <f t="shared" si="17"/>
        <v/>
      </c>
      <c r="Z160" s="52"/>
      <c r="AA160" s="51"/>
      <c r="AB160" s="104"/>
      <c r="AE160" s="40" t="str">
        <f t="shared" si="13"/>
        <v/>
      </c>
    </row>
    <row r="161" spans="1:31" ht="14" hidden="1">
      <c r="A161" s="35" t="str">
        <f>IFERROR(INDEX('G-8 Condition Look up'!$I$4:$I$135,MATCH(F161,'G-8 Condition Look up'!$A$4:$A$135,0)),"")</f>
        <v/>
      </c>
      <c r="B161" s="225">
        <v>151</v>
      </c>
      <c r="C161" s="232" t="str">
        <f>IFERROR(INDEX('G-1 All Habitats'!$AG$25:$AG$41,MATCH(D161,'G-1 All Habitats'!AF$25:AF$41,0)),"")</f>
        <v/>
      </c>
      <c r="D161" s="52"/>
      <c r="E161" s="57"/>
      <c r="F161" s="231" t="str">
        <f>IFERROR(INDEX('G-1 All Habitats'!$B$3:$B$135,MATCH(E161,'G-1 All Habitats'!$A$3:$A$135,0)),"")</f>
        <v/>
      </c>
      <c r="G161" s="51"/>
      <c r="H161" s="275" t="str">
        <f>IF(F161="","",VLOOKUP(F161,'G-1 All Habitats'!$B$2:$M$135,10,FALSE))</f>
        <v/>
      </c>
      <c r="I161" s="276" t="str">
        <f>IFERROR(VLOOKUP(H161,'G-1 All Habitats'!$V$3:$W$7,2,FALSE),"")</f>
        <v/>
      </c>
      <c r="J161" s="52"/>
      <c r="K161" s="276" t="str">
        <f>IFERROR(INDEX('G-8 Condition Look up'!$A$3:$H$135,MATCH(F161,'G-8 Condition Look up'!$A$3:$A$135,0),MATCH(J161,'G-8 Condition Look up'!$A$3:$H$3,0)),"")</f>
        <v/>
      </c>
      <c r="L161" s="52"/>
      <c r="M161" s="283" t="str">
        <f>IF(L161="","",IF(VLOOKUP(L161,'G-3 Multipliers'!$L$3:$N$6,2,FALSE)=0,"Spatial Data Missing",VLOOKUP(L161,'G-3 Multipliers'!$L$3:$N$6,2,FALSE)))</f>
        <v/>
      </c>
      <c r="N161" s="281" t="str">
        <f>IF(L161="","",IF(VLOOKUP(L161,'G-3 Multipliers'!$L$3:$N$6,3,FALSE)=0,"Spatial Data Missing",VLOOKUP(L161,'G-3 Multipliers'!$L$3:$N$6,3,FALSE)))</f>
        <v/>
      </c>
      <c r="O161" s="275" t="str">
        <f t="shared" si="12"/>
        <v/>
      </c>
      <c r="P161" s="58"/>
      <c r="Q161" s="58"/>
      <c r="R161" s="283" t="str">
        <f t="shared" si="14"/>
        <v/>
      </c>
      <c r="S161" s="296" t="str">
        <f t="shared" si="15"/>
        <v/>
      </c>
      <c r="T161" s="297" t="str">
        <f>IFERROR(IF(S161="Check Data ⚠","Check Data ⚠",VLOOKUP(S161,'G-4 Temporal multipliers'!$A$4:$C$37,3,FALSE)),"")</f>
        <v/>
      </c>
      <c r="U161" s="298" t="str">
        <f>IF(F161="","",VLOOKUP(F161,'G-3 Multipliers'!$A$2:$E$134,2,FALSE))</f>
        <v/>
      </c>
      <c r="V161" s="295" t="str">
        <f t="shared" si="16"/>
        <v/>
      </c>
      <c r="W161" s="295" t="str">
        <f>IF(E161="","",IF(AND(V161="Standard difficulty applied",O161&gt;P161),U161,IF(AND(V161="Low Difficulty - only applicable if all habitat created before losses ⚠",P161&gt;=O161),"Low",VLOOKUP(F161,'G-3 Multipliers'!$A$2:$E$134,4,FALSE))))</f>
        <v/>
      </c>
      <c r="X161" s="299" t="str">
        <f>IFERROR(IF(E161="","",VLOOKUP(W161,'G-3 Multipliers'!$P$2:$Q$6,2,FALSE)),"")</f>
        <v/>
      </c>
      <c r="Y161" s="303" t="str">
        <f t="shared" si="17"/>
        <v/>
      </c>
      <c r="Z161" s="52"/>
      <c r="AA161" s="51"/>
      <c r="AB161" s="104"/>
      <c r="AE161" s="40" t="str">
        <f t="shared" si="13"/>
        <v/>
      </c>
    </row>
    <row r="162" spans="1:31" ht="14" hidden="1">
      <c r="A162" s="35" t="str">
        <f>IFERROR(INDEX('G-8 Condition Look up'!$I$4:$I$135,MATCH(F162,'G-8 Condition Look up'!$A$4:$A$135,0)),"")</f>
        <v/>
      </c>
      <c r="B162" s="225">
        <v>152</v>
      </c>
      <c r="C162" s="232" t="str">
        <f>IFERROR(INDEX('G-1 All Habitats'!$AG$25:$AG$41,MATCH(D162,'G-1 All Habitats'!AF$25:AF$41,0)),"")</f>
        <v/>
      </c>
      <c r="D162" s="52"/>
      <c r="E162" s="57"/>
      <c r="F162" s="231" t="str">
        <f>IFERROR(INDEX('G-1 All Habitats'!$B$3:$B$135,MATCH(E162,'G-1 All Habitats'!$A$3:$A$135,0)),"")</f>
        <v/>
      </c>
      <c r="G162" s="51"/>
      <c r="H162" s="275" t="str">
        <f>IF(F162="","",VLOOKUP(F162,'G-1 All Habitats'!$B$2:$M$135,10,FALSE))</f>
        <v/>
      </c>
      <c r="I162" s="276" t="str">
        <f>IFERROR(VLOOKUP(H162,'G-1 All Habitats'!$V$3:$W$7,2,FALSE),"")</f>
        <v/>
      </c>
      <c r="J162" s="52"/>
      <c r="K162" s="276" t="str">
        <f>IFERROR(INDEX('G-8 Condition Look up'!$A$3:$H$135,MATCH(F162,'G-8 Condition Look up'!$A$3:$A$135,0),MATCH(J162,'G-8 Condition Look up'!$A$3:$H$3,0)),"")</f>
        <v/>
      </c>
      <c r="L162" s="52"/>
      <c r="M162" s="283" t="str">
        <f>IF(L162="","",IF(VLOOKUP(L162,'G-3 Multipliers'!$L$3:$N$6,2,FALSE)=0,"Spatial Data Missing",VLOOKUP(L162,'G-3 Multipliers'!$L$3:$N$6,2,FALSE)))</f>
        <v/>
      </c>
      <c r="N162" s="281" t="str">
        <f>IF(L162="","",IF(VLOOKUP(L162,'G-3 Multipliers'!$L$3:$N$6,3,FALSE)=0,"Spatial Data Missing",VLOOKUP(L162,'G-3 Multipliers'!$L$3:$N$6,3,FALSE)))</f>
        <v/>
      </c>
      <c r="O162" s="275" t="str">
        <f t="shared" si="12"/>
        <v/>
      </c>
      <c r="P162" s="58"/>
      <c r="Q162" s="58"/>
      <c r="R162" s="283" t="str">
        <f t="shared" si="14"/>
        <v/>
      </c>
      <c r="S162" s="296" t="str">
        <f t="shared" si="15"/>
        <v/>
      </c>
      <c r="T162" s="297" t="str">
        <f>IFERROR(IF(S162="Check Data ⚠","Check Data ⚠",VLOOKUP(S162,'G-4 Temporal multipliers'!$A$4:$C$37,3,FALSE)),"")</f>
        <v/>
      </c>
      <c r="U162" s="298" t="str">
        <f>IF(F162="","",VLOOKUP(F162,'G-3 Multipliers'!$A$2:$E$134,2,FALSE))</f>
        <v/>
      </c>
      <c r="V162" s="295" t="str">
        <f t="shared" si="16"/>
        <v/>
      </c>
      <c r="W162" s="295" t="str">
        <f>IF(E162="","",IF(AND(V162="Standard difficulty applied",O162&gt;P162),U162,IF(AND(V162="Low Difficulty - only applicable if all habitat created before losses ⚠",P162&gt;=O162),"Low",VLOOKUP(F162,'G-3 Multipliers'!$A$2:$E$134,4,FALSE))))</f>
        <v/>
      </c>
      <c r="X162" s="299" t="str">
        <f>IFERROR(IF(E162="","",VLOOKUP(W162,'G-3 Multipliers'!$P$2:$Q$6,2,FALSE)),"")</f>
        <v/>
      </c>
      <c r="Y162" s="303" t="str">
        <f t="shared" si="17"/>
        <v/>
      </c>
      <c r="Z162" s="52"/>
      <c r="AA162" s="51"/>
      <c r="AB162" s="104"/>
      <c r="AE162" s="40" t="str">
        <f t="shared" si="13"/>
        <v/>
      </c>
    </row>
    <row r="163" spans="1:31" ht="14" hidden="1">
      <c r="A163" s="35" t="str">
        <f>IFERROR(INDEX('G-8 Condition Look up'!$I$4:$I$135,MATCH(F163,'G-8 Condition Look up'!$A$4:$A$135,0)),"")</f>
        <v/>
      </c>
      <c r="B163" s="225">
        <v>153</v>
      </c>
      <c r="C163" s="232" t="str">
        <f>IFERROR(INDEX('G-1 All Habitats'!$AG$25:$AG$41,MATCH(D163,'G-1 All Habitats'!AF$25:AF$41,0)),"")</f>
        <v/>
      </c>
      <c r="D163" s="52"/>
      <c r="E163" s="57"/>
      <c r="F163" s="231" t="str">
        <f>IFERROR(INDEX('G-1 All Habitats'!$B$3:$B$135,MATCH(E163,'G-1 All Habitats'!$A$3:$A$135,0)),"")</f>
        <v/>
      </c>
      <c r="G163" s="51"/>
      <c r="H163" s="275" t="str">
        <f>IF(F163="","",VLOOKUP(F163,'G-1 All Habitats'!$B$2:$M$135,10,FALSE))</f>
        <v/>
      </c>
      <c r="I163" s="276" t="str">
        <f>IFERROR(VLOOKUP(H163,'G-1 All Habitats'!$V$3:$W$7,2,FALSE),"")</f>
        <v/>
      </c>
      <c r="J163" s="52"/>
      <c r="K163" s="276" t="str">
        <f>IFERROR(INDEX('G-8 Condition Look up'!$A$3:$H$135,MATCH(F163,'G-8 Condition Look up'!$A$3:$A$135,0),MATCH(J163,'G-8 Condition Look up'!$A$3:$H$3,0)),"")</f>
        <v/>
      </c>
      <c r="L163" s="52"/>
      <c r="M163" s="283" t="str">
        <f>IF(L163="","",IF(VLOOKUP(L163,'G-3 Multipliers'!$L$3:$N$6,2,FALSE)=0,"Spatial Data Missing",VLOOKUP(L163,'G-3 Multipliers'!$L$3:$N$6,2,FALSE)))</f>
        <v/>
      </c>
      <c r="N163" s="281" t="str">
        <f>IF(L163="","",IF(VLOOKUP(L163,'G-3 Multipliers'!$L$3:$N$6,3,FALSE)=0,"Spatial Data Missing",VLOOKUP(L163,'G-3 Multipliers'!$L$3:$N$6,3,FALSE)))</f>
        <v/>
      </c>
      <c r="O163" s="275" t="str">
        <f t="shared" si="12"/>
        <v/>
      </c>
      <c r="P163" s="58"/>
      <c r="Q163" s="58"/>
      <c r="R163" s="283" t="str">
        <f t="shared" si="14"/>
        <v/>
      </c>
      <c r="S163" s="296" t="str">
        <f t="shared" si="15"/>
        <v/>
      </c>
      <c r="T163" s="297" t="str">
        <f>IFERROR(IF(S163="Check Data ⚠","Check Data ⚠",VLOOKUP(S163,'G-4 Temporal multipliers'!$A$4:$C$37,3,FALSE)),"")</f>
        <v/>
      </c>
      <c r="U163" s="298" t="str">
        <f>IF(F163="","",VLOOKUP(F163,'G-3 Multipliers'!$A$2:$E$134,2,FALSE))</f>
        <v/>
      </c>
      <c r="V163" s="295" t="str">
        <f t="shared" si="16"/>
        <v/>
      </c>
      <c r="W163" s="295" t="str">
        <f>IF(E163="","",IF(AND(V163="Standard difficulty applied",O163&gt;P163),U163,IF(AND(V163="Low Difficulty - only applicable if all habitat created before losses ⚠",P163&gt;=O163),"Low",VLOOKUP(F163,'G-3 Multipliers'!$A$2:$E$134,4,FALSE))))</f>
        <v/>
      </c>
      <c r="X163" s="299" t="str">
        <f>IFERROR(IF(E163="","",VLOOKUP(W163,'G-3 Multipliers'!$P$2:$Q$6,2,FALSE)),"")</f>
        <v/>
      </c>
      <c r="Y163" s="303" t="str">
        <f t="shared" si="17"/>
        <v/>
      </c>
      <c r="Z163" s="52"/>
      <c r="AA163" s="51"/>
      <c r="AB163" s="104"/>
      <c r="AE163" s="40" t="str">
        <f t="shared" si="13"/>
        <v/>
      </c>
    </row>
    <row r="164" spans="1:31" ht="14" hidden="1">
      <c r="A164" s="35" t="str">
        <f>IFERROR(INDEX('G-8 Condition Look up'!$I$4:$I$135,MATCH(F164,'G-8 Condition Look up'!$A$4:$A$135,0)),"")</f>
        <v/>
      </c>
      <c r="B164" s="225">
        <v>154</v>
      </c>
      <c r="C164" s="232" t="str">
        <f>IFERROR(INDEX('G-1 All Habitats'!$AG$25:$AG$41,MATCH(D164,'G-1 All Habitats'!AF$25:AF$41,0)),"")</f>
        <v/>
      </c>
      <c r="D164" s="52"/>
      <c r="E164" s="57"/>
      <c r="F164" s="231" t="str">
        <f>IFERROR(INDEX('G-1 All Habitats'!$B$3:$B$135,MATCH(E164,'G-1 All Habitats'!$A$3:$A$135,0)),"")</f>
        <v/>
      </c>
      <c r="G164" s="51"/>
      <c r="H164" s="275" t="str">
        <f>IF(F164="","",VLOOKUP(F164,'G-1 All Habitats'!$B$2:$M$135,10,FALSE))</f>
        <v/>
      </c>
      <c r="I164" s="276" t="str">
        <f>IFERROR(VLOOKUP(H164,'G-1 All Habitats'!$V$3:$W$7,2,FALSE),"")</f>
        <v/>
      </c>
      <c r="J164" s="52"/>
      <c r="K164" s="276" t="str">
        <f>IFERROR(INDEX('G-8 Condition Look up'!$A$3:$H$135,MATCH(F164,'G-8 Condition Look up'!$A$3:$A$135,0),MATCH(J164,'G-8 Condition Look up'!$A$3:$H$3,0)),"")</f>
        <v/>
      </c>
      <c r="L164" s="52"/>
      <c r="M164" s="283" t="str">
        <f>IF(L164="","",IF(VLOOKUP(L164,'G-3 Multipliers'!$L$3:$N$6,2,FALSE)=0,"Spatial Data Missing",VLOOKUP(L164,'G-3 Multipliers'!$L$3:$N$6,2,FALSE)))</f>
        <v/>
      </c>
      <c r="N164" s="281" t="str">
        <f>IF(L164="","",IF(VLOOKUP(L164,'G-3 Multipliers'!$L$3:$N$6,3,FALSE)=0,"Spatial Data Missing",VLOOKUP(L164,'G-3 Multipliers'!$L$3:$N$6,3,FALSE)))</f>
        <v/>
      </c>
      <c r="O164" s="275" t="str">
        <f t="shared" si="12"/>
        <v/>
      </c>
      <c r="P164" s="58"/>
      <c r="Q164" s="58"/>
      <c r="R164" s="283" t="str">
        <f t="shared" si="14"/>
        <v/>
      </c>
      <c r="S164" s="296" t="str">
        <f t="shared" si="15"/>
        <v/>
      </c>
      <c r="T164" s="297" t="str">
        <f>IFERROR(IF(S164="Check Data ⚠","Check Data ⚠",VLOOKUP(S164,'G-4 Temporal multipliers'!$A$4:$C$37,3,FALSE)),"")</f>
        <v/>
      </c>
      <c r="U164" s="298" t="str">
        <f>IF(F164="","",VLOOKUP(F164,'G-3 Multipliers'!$A$2:$E$134,2,FALSE))</f>
        <v/>
      </c>
      <c r="V164" s="295" t="str">
        <f t="shared" si="16"/>
        <v/>
      </c>
      <c r="W164" s="295" t="str">
        <f>IF(E164="","",IF(AND(V164="Standard difficulty applied",O164&gt;P164),U164,IF(AND(V164="Low Difficulty - only applicable if all habitat created before losses ⚠",P164&gt;=O164),"Low",VLOOKUP(F164,'G-3 Multipliers'!$A$2:$E$134,4,FALSE))))</f>
        <v/>
      </c>
      <c r="X164" s="299" t="str">
        <f>IFERROR(IF(E164="","",VLOOKUP(W164,'G-3 Multipliers'!$P$2:$Q$6,2,FALSE)),"")</f>
        <v/>
      </c>
      <c r="Y164" s="303" t="str">
        <f t="shared" si="17"/>
        <v/>
      </c>
      <c r="Z164" s="52"/>
      <c r="AA164" s="51"/>
      <c r="AB164" s="104"/>
      <c r="AE164" s="40" t="str">
        <f t="shared" si="13"/>
        <v/>
      </c>
    </row>
    <row r="165" spans="1:31" ht="14" hidden="1">
      <c r="A165" s="35" t="str">
        <f>IFERROR(INDEX('G-8 Condition Look up'!$I$4:$I$135,MATCH(F165,'G-8 Condition Look up'!$A$4:$A$135,0)),"")</f>
        <v/>
      </c>
      <c r="B165" s="225">
        <v>155</v>
      </c>
      <c r="C165" s="232" t="str">
        <f>IFERROR(INDEX('G-1 All Habitats'!$AG$25:$AG$41,MATCH(D165,'G-1 All Habitats'!AF$25:AF$41,0)),"")</f>
        <v/>
      </c>
      <c r="D165" s="52"/>
      <c r="E165" s="57"/>
      <c r="F165" s="231" t="str">
        <f>IFERROR(INDEX('G-1 All Habitats'!$B$3:$B$135,MATCH(E165,'G-1 All Habitats'!$A$3:$A$135,0)),"")</f>
        <v/>
      </c>
      <c r="G165" s="51"/>
      <c r="H165" s="275" t="str">
        <f>IF(F165="","",VLOOKUP(F165,'G-1 All Habitats'!$B$2:$M$135,10,FALSE))</f>
        <v/>
      </c>
      <c r="I165" s="276" t="str">
        <f>IFERROR(VLOOKUP(H165,'G-1 All Habitats'!$V$3:$W$7,2,FALSE),"")</f>
        <v/>
      </c>
      <c r="J165" s="52"/>
      <c r="K165" s="276" t="str">
        <f>IFERROR(INDEX('G-8 Condition Look up'!$A$3:$H$135,MATCH(F165,'G-8 Condition Look up'!$A$3:$A$135,0),MATCH(J165,'G-8 Condition Look up'!$A$3:$H$3,0)),"")</f>
        <v/>
      </c>
      <c r="L165" s="52"/>
      <c r="M165" s="283" t="str">
        <f>IF(L165="","",IF(VLOOKUP(L165,'G-3 Multipliers'!$L$3:$N$6,2,FALSE)=0,"Spatial Data Missing",VLOOKUP(L165,'G-3 Multipliers'!$L$3:$N$6,2,FALSE)))</f>
        <v/>
      </c>
      <c r="N165" s="281" t="str">
        <f>IF(L165="","",IF(VLOOKUP(L165,'G-3 Multipliers'!$L$3:$N$6,3,FALSE)=0,"Spatial Data Missing",VLOOKUP(L165,'G-3 Multipliers'!$L$3:$N$6,3,FALSE)))</f>
        <v/>
      </c>
      <c r="O165" s="275" t="str">
        <f t="shared" si="12"/>
        <v/>
      </c>
      <c r="P165" s="58"/>
      <c r="Q165" s="58"/>
      <c r="R165" s="283" t="str">
        <f t="shared" si="14"/>
        <v/>
      </c>
      <c r="S165" s="296" t="str">
        <f t="shared" si="15"/>
        <v/>
      </c>
      <c r="T165" s="297" t="str">
        <f>IFERROR(IF(S165="Check Data ⚠","Check Data ⚠",VLOOKUP(S165,'G-4 Temporal multipliers'!$A$4:$C$37,3,FALSE)),"")</f>
        <v/>
      </c>
      <c r="U165" s="298" t="str">
        <f>IF(F165="","",VLOOKUP(F165,'G-3 Multipliers'!$A$2:$E$134,2,FALSE))</f>
        <v/>
      </c>
      <c r="V165" s="295" t="str">
        <f t="shared" si="16"/>
        <v/>
      </c>
      <c r="W165" s="295" t="str">
        <f>IF(E165="","",IF(AND(V165="Standard difficulty applied",O165&gt;P165),U165,IF(AND(V165="Low Difficulty - only applicable if all habitat created before losses ⚠",P165&gt;=O165),"Low",VLOOKUP(F165,'G-3 Multipliers'!$A$2:$E$134,4,FALSE))))</f>
        <v/>
      </c>
      <c r="X165" s="299" t="str">
        <f>IFERROR(IF(E165="","",VLOOKUP(W165,'G-3 Multipliers'!$P$2:$Q$6,2,FALSE)),"")</f>
        <v/>
      </c>
      <c r="Y165" s="303" t="str">
        <f t="shared" si="17"/>
        <v/>
      </c>
      <c r="Z165" s="52"/>
      <c r="AA165" s="51"/>
      <c r="AB165" s="104"/>
      <c r="AE165" s="40" t="str">
        <f t="shared" si="13"/>
        <v/>
      </c>
    </row>
    <row r="166" spans="1:31" ht="14" hidden="1">
      <c r="A166" s="35" t="str">
        <f>IFERROR(INDEX('G-8 Condition Look up'!$I$4:$I$135,MATCH(F166,'G-8 Condition Look up'!$A$4:$A$135,0)),"")</f>
        <v/>
      </c>
      <c r="B166" s="225">
        <v>156</v>
      </c>
      <c r="C166" s="232" t="str">
        <f>IFERROR(INDEX('G-1 All Habitats'!$AG$25:$AG$41,MATCH(D166,'G-1 All Habitats'!AF$25:AF$41,0)),"")</f>
        <v/>
      </c>
      <c r="D166" s="52"/>
      <c r="E166" s="57"/>
      <c r="F166" s="231" t="str">
        <f>IFERROR(INDEX('G-1 All Habitats'!$B$3:$B$135,MATCH(E166,'G-1 All Habitats'!$A$3:$A$135,0)),"")</f>
        <v/>
      </c>
      <c r="G166" s="51"/>
      <c r="H166" s="275" t="str">
        <f>IF(F166="","",VLOOKUP(F166,'G-1 All Habitats'!$B$2:$M$135,10,FALSE))</f>
        <v/>
      </c>
      <c r="I166" s="276" t="str">
        <f>IFERROR(VLOOKUP(H166,'G-1 All Habitats'!$V$3:$W$7,2,FALSE),"")</f>
        <v/>
      </c>
      <c r="J166" s="52"/>
      <c r="K166" s="276" t="str">
        <f>IFERROR(INDEX('G-8 Condition Look up'!$A$3:$H$135,MATCH(F166,'G-8 Condition Look up'!$A$3:$A$135,0),MATCH(J166,'G-8 Condition Look up'!$A$3:$H$3,0)),"")</f>
        <v/>
      </c>
      <c r="L166" s="52"/>
      <c r="M166" s="283" t="str">
        <f>IF(L166="","",IF(VLOOKUP(L166,'G-3 Multipliers'!$L$3:$N$6,2,FALSE)=0,"Spatial Data Missing",VLOOKUP(L166,'G-3 Multipliers'!$L$3:$N$6,2,FALSE)))</f>
        <v/>
      </c>
      <c r="N166" s="281" t="str">
        <f>IF(L166="","",IF(VLOOKUP(L166,'G-3 Multipliers'!$L$3:$N$6,3,FALSE)=0,"Spatial Data Missing",VLOOKUP(L166,'G-3 Multipliers'!$L$3:$N$6,3,FALSE)))</f>
        <v/>
      </c>
      <c r="O166" s="275" t="str">
        <f t="shared" si="12"/>
        <v/>
      </c>
      <c r="P166" s="58"/>
      <c r="Q166" s="58"/>
      <c r="R166" s="283" t="str">
        <f t="shared" si="14"/>
        <v/>
      </c>
      <c r="S166" s="296" t="str">
        <f t="shared" si="15"/>
        <v/>
      </c>
      <c r="T166" s="297" t="str">
        <f>IFERROR(IF(S166="Check Data ⚠","Check Data ⚠",VLOOKUP(S166,'G-4 Temporal multipliers'!$A$4:$C$37,3,FALSE)),"")</f>
        <v/>
      </c>
      <c r="U166" s="298" t="str">
        <f>IF(F166="","",VLOOKUP(F166,'G-3 Multipliers'!$A$2:$E$134,2,FALSE))</f>
        <v/>
      </c>
      <c r="V166" s="295" t="str">
        <f t="shared" si="16"/>
        <v/>
      </c>
      <c r="W166" s="295" t="str">
        <f>IF(E166="","",IF(AND(V166="Standard difficulty applied",O166&gt;P166),U166,IF(AND(V166="Low Difficulty - only applicable if all habitat created before losses ⚠",P166&gt;=O166),"Low",VLOOKUP(F166,'G-3 Multipliers'!$A$2:$E$134,4,FALSE))))</f>
        <v/>
      </c>
      <c r="X166" s="299" t="str">
        <f>IFERROR(IF(E166="","",VLOOKUP(W166,'G-3 Multipliers'!$P$2:$Q$6,2,FALSE)),"")</f>
        <v/>
      </c>
      <c r="Y166" s="303" t="str">
        <f t="shared" si="17"/>
        <v/>
      </c>
      <c r="Z166" s="52"/>
      <c r="AA166" s="51"/>
      <c r="AB166" s="104"/>
      <c r="AE166" s="40" t="str">
        <f t="shared" si="13"/>
        <v/>
      </c>
    </row>
    <row r="167" spans="1:31" ht="14" hidden="1">
      <c r="A167" s="35" t="str">
        <f>IFERROR(INDEX('G-8 Condition Look up'!$I$4:$I$135,MATCH(F167,'G-8 Condition Look up'!$A$4:$A$135,0)),"")</f>
        <v/>
      </c>
      <c r="B167" s="225">
        <v>157</v>
      </c>
      <c r="C167" s="232" t="str">
        <f>IFERROR(INDEX('G-1 All Habitats'!$AG$25:$AG$41,MATCH(D167,'G-1 All Habitats'!AF$25:AF$41,0)),"")</f>
        <v/>
      </c>
      <c r="D167" s="52"/>
      <c r="E167" s="57"/>
      <c r="F167" s="231" t="str">
        <f>IFERROR(INDEX('G-1 All Habitats'!$B$3:$B$135,MATCH(E167,'G-1 All Habitats'!$A$3:$A$135,0)),"")</f>
        <v/>
      </c>
      <c r="G167" s="51"/>
      <c r="H167" s="275" t="str">
        <f>IF(F167="","",VLOOKUP(F167,'G-1 All Habitats'!$B$2:$M$135,10,FALSE))</f>
        <v/>
      </c>
      <c r="I167" s="276" t="str">
        <f>IFERROR(VLOOKUP(H167,'G-1 All Habitats'!$V$3:$W$7,2,FALSE),"")</f>
        <v/>
      </c>
      <c r="J167" s="52"/>
      <c r="K167" s="276" t="str">
        <f>IFERROR(INDEX('G-8 Condition Look up'!$A$3:$H$135,MATCH(F167,'G-8 Condition Look up'!$A$3:$A$135,0),MATCH(J167,'G-8 Condition Look up'!$A$3:$H$3,0)),"")</f>
        <v/>
      </c>
      <c r="L167" s="52"/>
      <c r="M167" s="283" t="str">
        <f>IF(L167="","",IF(VLOOKUP(L167,'G-3 Multipliers'!$L$3:$N$6,2,FALSE)=0,"Spatial Data Missing",VLOOKUP(L167,'G-3 Multipliers'!$L$3:$N$6,2,FALSE)))</f>
        <v/>
      </c>
      <c r="N167" s="281" t="str">
        <f>IF(L167="","",IF(VLOOKUP(L167,'G-3 Multipliers'!$L$3:$N$6,3,FALSE)=0,"Spatial Data Missing",VLOOKUP(L167,'G-3 Multipliers'!$L$3:$N$6,3,FALSE)))</f>
        <v/>
      </c>
      <c r="O167" s="275" t="str">
        <f t="shared" si="12"/>
        <v/>
      </c>
      <c r="P167" s="58"/>
      <c r="Q167" s="58"/>
      <c r="R167" s="283" t="str">
        <f t="shared" si="14"/>
        <v/>
      </c>
      <c r="S167" s="296" t="str">
        <f t="shared" si="15"/>
        <v/>
      </c>
      <c r="T167" s="297" t="str">
        <f>IFERROR(IF(S167="Check Data ⚠","Check Data ⚠",VLOOKUP(S167,'G-4 Temporal multipliers'!$A$4:$C$37,3,FALSE)),"")</f>
        <v/>
      </c>
      <c r="U167" s="298" t="str">
        <f>IF(F167="","",VLOOKUP(F167,'G-3 Multipliers'!$A$2:$E$134,2,FALSE))</f>
        <v/>
      </c>
      <c r="V167" s="295" t="str">
        <f t="shared" si="16"/>
        <v/>
      </c>
      <c r="W167" s="295" t="str">
        <f>IF(E167="","",IF(AND(V167="Standard difficulty applied",O167&gt;P167),U167,IF(AND(V167="Low Difficulty - only applicable if all habitat created before losses ⚠",P167&gt;=O167),"Low",VLOOKUP(F167,'G-3 Multipliers'!$A$2:$E$134,4,FALSE))))</f>
        <v/>
      </c>
      <c r="X167" s="299" t="str">
        <f>IFERROR(IF(E167="","",VLOOKUP(W167,'G-3 Multipliers'!$P$2:$Q$6,2,FALSE)),"")</f>
        <v/>
      </c>
      <c r="Y167" s="303" t="str">
        <f t="shared" si="17"/>
        <v/>
      </c>
      <c r="Z167" s="52"/>
      <c r="AA167" s="51"/>
      <c r="AB167" s="104"/>
      <c r="AE167" s="40" t="str">
        <f t="shared" si="13"/>
        <v/>
      </c>
    </row>
    <row r="168" spans="1:31" ht="14" hidden="1">
      <c r="A168" s="35" t="str">
        <f>IFERROR(INDEX('G-8 Condition Look up'!$I$4:$I$135,MATCH(F168,'G-8 Condition Look up'!$A$4:$A$135,0)),"")</f>
        <v/>
      </c>
      <c r="B168" s="225">
        <v>158</v>
      </c>
      <c r="C168" s="232" t="str">
        <f>IFERROR(INDEX('G-1 All Habitats'!$AG$25:$AG$41,MATCH(D168,'G-1 All Habitats'!AF$25:AF$41,0)),"")</f>
        <v/>
      </c>
      <c r="D168" s="52"/>
      <c r="E168" s="57"/>
      <c r="F168" s="231" t="str">
        <f>IFERROR(INDEX('G-1 All Habitats'!$B$3:$B$135,MATCH(E168,'G-1 All Habitats'!$A$3:$A$135,0)),"")</f>
        <v/>
      </c>
      <c r="G168" s="51"/>
      <c r="H168" s="275" t="str">
        <f>IF(F168="","",VLOOKUP(F168,'G-1 All Habitats'!$B$2:$M$135,10,FALSE))</f>
        <v/>
      </c>
      <c r="I168" s="276" t="str">
        <f>IFERROR(VLOOKUP(H168,'G-1 All Habitats'!$V$3:$W$7,2,FALSE),"")</f>
        <v/>
      </c>
      <c r="J168" s="52"/>
      <c r="K168" s="276" t="str">
        <f>IFERROR(INDEX('G-8 Condition Look up'!$A$3:$H$135,MATCH(F168,'G-8 Condition Look up'!$A$3:$A$135,0),MATCH(J168,'G-8 Condition Look up'!$A$3:$H$3,0)),"")</f>
        <v/>
      </c>
      <c r="L168" s="52"/>
      <c r="M168" s="283" t="str">
        <f>IF(L168="","",IF(VLOOKUP(L168,'G-3 Multipliers'!$L$3:$N$6,2,FALSE)=0,"Spatial Data Missing",VLOOKUP(L168,'G-3 Multipliers'!$L$3:$N$6,2,FALSE)))</f>
        <v/>
      </c>
      <c r="N168" s="281" t="str">
        <f>IF(L168="","",IF(VLOOKUP(L168,'G-3 Multipliers'!$L$3:$N$6,3,FALSE)=0,"Spatial Data Missing",VLOOKUP(L168,'G-3 Multipliers'!$L$3:$N$6,3,FALSE)))</f>
        <v/>
      </c>
      <c r="O168" s="275" t="str">
        <f t="shared" si="12"/>
        <v/>
      </c>
      <c r="P168" s="58"/>
      <c r="Q168" s="58"/>
      <c r="R168" s="283" t="str">
        <f t="shared" si="14"/>
        <v/>
      </c>
      <c r="S168" s="296" t="str">
        <f t="shared" si="15"/>
        <v/>
      </c>
      <c r="T168" s="297" t="str">
        <f>IFERROR(IF(S168="Check Data ⚠","Check Data ⚠",VLOOKUP(S168,'G-4 Temporal multipliers'!$A$4:$C$37,3,FALSE)),"")</f>
        <v/>
      </c>
      <c r="U168" s="298" t="str">
        <f>IF(F168="","",VLOOKUP(F168,'G-3 Multipliers'!$A$2:$E$134,2,FALSE))</f>
        <v/>
      </c>
      <c r="V168" s="295" t="str">
        <f t="shared" si="16"/>
        <v/>
      </c>
      <c r="W168" s="295" t="str">
        <f>IF(E168="","",IF(AND(V168="Standard difficulty applied",O168&gt;P168),U168,IF(AND(V168="Low Difficulty - only applicable if all habitat created before losses ⚠",P168&gt;=O168),"Low",VLOOKUP(F168,'G-3 Multipliers'!$A$2:$E$134,4,FALSE))))</f>
        <v/>
      </c>
      <c r="X168" s="299" t="str">
        <f>IFERROR(IF(E168="","",VLOOKUP(W168,'G-3 Multipliers'!$P$2:$Q$6,2,FALSE)),"")</f>
        <v/>
      </c>
      <c r="Y168" s="303" t="str">
        <f t="shared" si="17"/>
        <v/>
      </c>
      <c r="Z168" s="52"/>
      <c r="AA168" s="51"/>
      <c r="AB168" s="104"/>
      <c r="AE168" s="40" t="str">
        <f t="shared" si="13"/>
        <v/>
      </c>
    </row>
    <row r="169" spans="1:31" ht="14" hidden="1">
      <c r="A169" s="35" t="str">
        <f>IFERROR(INDEX('G-8 Condition Look up'!$I$4:$I$135,MATCH(F169,'G-8 Condition Look up'!$A$4:$A$135,0)),"")</f>
        <v/>
      </c>
      <c r="B169" s="225">
        <v>159</v>
      </c>
      <c r="C169" s="232" t="str">
        <f>IFERROR(INDEX('G-1 All Habitats'!$AG$25:$AG$41,MATCH(D169,'G-1 All Habitats'!AF$25:AF$41,0)),"")</f>
        <v/>
      </c>
      <c r="D169" s="52"/>
      <c r="E169" s="57"/>
      <c r="F169" s="231" t="str">
        <f>IFERROR(INDEX('G-1 All Habitats'!$B$3:$B$135,MATCH(E169,'G-1 All Habitats'!$A$3:$A$135,0)),"")</f>
        <v/>
      </c>
      <c r="G169" s="51"/>
      <c r="H169" s="275" t="str">
        <f>IF(F169="","",VLOOKUP(F169,'G-1 All Habitats'!$B$2:$M$135,10,FALSE))</f>
        <v/>
      </c>
      <c r="I169" s="276" t="str">
        <f>IFERROR(VLOOKUP(H169,'G-1 All Habitats'!$V$3:$W$7,2,FALSE),"")</f>
        <v/>
      </c>
      <c r="J169" s="52"/>
      <c r="K169" s="276" t="str">
        <f>IFERROR(INDEX('G-8 Condition Look up'!$A$3:$H$135,MATCH(F169,'G-8 Condition Look up'!$A$3:$A$135,0),MATCH(J169,'G-8 Condition Look up'!$A$3:$H$3,0)),"")</f>
        <v/>
      </c>
      <c r="L169" s="52"/>
      <c r="M169" s="283" t="str">
        <f>IF(L169="","",IF(VLOOKUP(L169,'G-3 Multipliers'!$L$3:$N$6,2,FALSE)=0,"Spatial Data Missing",VLOOKUP(L169,'G-3 Multipliers'!$L$3:$N$6,2,FALSE)))</f>
        <v/>
      </c>
      <c r="N169" s="281" t="str">
        <f>IF(L169="","",IF(VLOOKUP(L169,'G-3 Multipliers'!$L$3:$N$6,3,FALSE)=0,"Spatial Data Missing",VLOOKUP(L169,'G-3 Multipliers'!$L$3:$N$6,3,FALSE)))</f>
        <v/>
      </c>
      <c r="O169" s="275" t="str">
        <f t="shared" si="12"/>
        <v/>
      </c>
      <c r="P169" s="58"/>
      <c r="Q169" s="58"/>
      <c r="R169" s="283" t="str">
        <f t="shared" si="14"/>
        <v/>
      </c>
      <c r="S169" s="296" t="str">
        <f t="shared" si="15"/>
        <v/>
      </c>
      <c r="T169" s="297" t="str">
        <f>IFERROR(IF(S169="Check Data ⚠","Check Data ⚠",VLOOKUP(S169,'G-4 Temporal multipliers'!$A$4:$C$37,3,FALSE)),"")</f>
        <v/>
      </c>
      <c r="U169" s="298" t="str">
        <f>IF(F169="","",VLOOKUP(F169,'G-3 Multipliers'!$A$2:$E$134,2,FALSE))</f>
        <v/>
      </c>
      <c r="V169" s="295" t="str">
        <f t="shared" si="16"/>
        <v/>
      </c>
      <c r="W169" s="295" t="str">
        <f>IF(E169="","",IF(AND(V169="Standard difficulty applied",O169&gt;P169),U169,IF(AND(V169="Low Difficulty - only applicable if all habitat created before losses ⚠",P169&gt;=O169),"Low",VLOOKUP(F169,'G-3 Multipliers'!$A$2:$E$134,4,FALSE))))</f>
        <v/>
      </c>
      <c r="X169" s="299" t="str">
        <f>IFERROR(IF(E169="","",VLOOKUP(W169,'G-3 Multipliers'!$P$2:$Q$6,2,FALSE)),"")</f>
        <v/>
      </c>
      <c r="Y169" s="303" t="str">
        <f t="shared" si="17"/>
        <v/>
      </c>
      <c r="Z169" s="52"/>
      <c r="AA169" s="51"/>
      <c r="AB169" s="104"/>
      <c r="AE169" s="40" t="str">
        <f t="shared" si="13"/>
        <v/>
      </c>
    </row>
    <row r="170" spans="1:31" ht="14" hidden="1">
      <c r="A170" s="35" t="str">
        <f>IFERROR(INDEX('G-8 Condition Look up'!$I$4:$I$135,MATCH(F170,'G-8 Condition Look up'!$A$4:$A$135,0)),"")</f>
        <v/>
      </c>
      <c r="B170" s="225">
        <v>160</v>
      </c>
      <c r="C170" s="232" t="str">
        <f>IFERROR(INDEX('G-1 All Habitats'!$AG$25:$AG$41,MATCH(D170,'G-1 All Habitats'!AF$25:AF$41,0)),"")</f>
        <v/>
      </c>
      <c r="D170" s="52"/>
      <c r="E170" s="57"/>
      <c r="F170" s="231" t="str">
        <f>IFERROR(INDEX('G-1 All Habitats'!$B$3:$B$135,MATCH(E170,'G-1 All Habitats'!$A$3:$A$135,0)),"")</f>
        <v/>
      </c>
      <c r="G170" s="51"/>
      <c r="H170" s="275" t="str">
        <f>IF(F170="","",VLOOKUP(F170,'G-1 All Habitats'!$B$2:$M$135,10,FALSE))</f>
        <v/>
      </c>
      <c r="I170" s="276" t="str">
        <f>IFERROR(VLOOKUP(H170,'G-1 All Habitats'!$V$3:$W$7,2,FALSE),"")</f>
        <v/>
      </c>
      <c r="J170" s="52"/>
      <c r="K170" s="276" t="str">
        <f>IFERROR(INDEX('G-8 Condition Look up'!$A$3:$H$135,MATCH(F170,'G-8 Condition Look up'!$A$3:$A$135,0),MATCH(J170,'G-8 Condition Look up'!$A$3:$H$3,0)),"")</f>
        <v/>
      </c>
      <c r="L170" s="52"/>
      <c r="M170" s="283" t="str">
        <f>IF(L170="","",IF(VLOOKUP(L170,'G-3 Multipliers'!$L$3:$N$6,2,FALSE)=0,"Spatial Data Missing",VLOOKUP(L170,'G-3 Multipliers'!$L$3:$N$6,2,FALSE)))</f>
        <v/>
      </c>
      <c r="N170" s="281" t="str">
        <f>IF(L170="","",IF(VLOOKUP(L170,'G-3 Multipliers'!$L$3:$N$6,3,FALSE)=0,"Spatial Data Missing",VLOOKUP(L170,'G-3 Multipliers'!$L$3:$N$6,3,FALSE)))</f>
        <v/>
      </c>
      <c r="O170" s="275" t="str">
        <f t="shared" si="12"/>
        <v/>
      </c>
      <c r="P170" s="58"/>
      <c r="Q170" s="58"/>
      <c r="R170" s="283" t="str">
        <f t="shared" si="14"/>
        <v/>
      </c>
      <c r="S170" s="296" t="str">
        <f t="shared" si="15"/>
        <v/>
      </c>
      <c r="T170" s="297" t="str">
        <f>IFERROR(IF(S170="Check Data ⚠","Check Data ⚠",VLOOKUP(S170,'G-4 Temporal multipliers'!$A$4:$C$37,3,FALSE)),"")</f>
        <v/>
      </c>
      <c r="U170" s="298" t="str">
        <f>IF(F170="","",VLOOKUP(F170,'G-3 Multipliers'!$A$2:$E$134,2,FALSE))</f>
        <v/>
      </c>
      <c r="V170" s="295" t="str">
        <f t="shared" si="16"/>
        <v/>
      </c>
      <c r="W170" s="295" t="str">
        <f>IF(E170="","",IF(AND(V170="Standard difficulty applied",O170&gt;P170),U170,IF(AND(V170="Low Difficulty - only applicable if all habitat created before losses ⚠",P170&gt;=O170),"Low",VLOOKUP(F170,'G-3 Multipliers'!$A$2:$E$134,4,FALSE))))</f>
        <v/>
      </c>
      <c r="X170" s="299" t="str">
        <f>IFERROR(IF(E170="","",VLOOKUP(W170,'G-3 Multipliers'!$P$2:$Q$6,2,FALSE)),"")</f>
        <v/>
      </c>
      <c r="Y170" s="303" t="str">
        <f t="shared" si="17"/>
        <v/>
      </c>
      <c r="Z170" s="52"/>
      <c r="AA170" s="51"/>
      <c r="AB170" s="104"/>
      <c r="AE170" s="40" t="str">
        <f t="shared" si="13"/>
        <v/>
      </c>
    </row>
    <row r="171" spans="1:31" ht="14" hidden="1">
      <c r="A171" s="35" t="str">
        <f>IFERROR(INDEX('G-8 Condition Look up'!$I$4:$I$135,MATCH(F171,'G-8 Condition Look up'!$A$4:$A$135,0)),"")</f>
        <v/>
      </c>
      <c r="B171" s="225">
        <v>161</v>
      </c>
      <c r="C171" s="232" t="str">
        <f>IFERROR(INDEX('G-1 All Habitats'!$AG$25:$AG$41,MATCH(D171,'G-1 All Habitats'!AF$25:AF$41,0)),"")</f>
        <v/>
      </c>
      <c r="D171" s="52"/>
      <c r="E171" s="57"/>
      <c r="F171" s="231" t="str">
        <f>IFERROR(INDEX('G-1 All Habitats'!$B$3:$B$135,MATCH(E171,'G-1 All Habitats'!$A$3:$A$135,0)),"")</f>
        <v/>
      </c>
      <c r="G171" s="51"/>
      <c r="H171" s="275" t="str">
        <f>IF(F171="","",VLOOKUP(F171,'G-1 All Habitats'!$B$2:$M$135,10,FALSE))</f>
        <v/>
      </c>
      <c r="I171" s="276" t="str">
        <f>IFERROR(VLOOKUP(H171,'G-1 All Habitats'!$V$3:$W$7,2,FALSE),"")</f>
        <v/>
      </c>
      <c r="J171" s="52"/>
      <c r="K171" s="276" t="str">
        <f>IFERROR(INDEX('G-8 Condition Look up'!$A$3:$H$135,MATCH(F171,'G-8 Condition Look up'!$A$3:$A$135,0),MATCH(J171,'G-8 Condition Look up'!$A$3:$H$3,0)),"")</f>
        <v/>
      </c>
      <c r="L171" s="52"/>
      <c r="M171" s="283" t="str">
        <f>IF(L171="","",IF(VLOOKUP(L171,'G-3 Multipliers'!$L$3:$N$6,2,FALSE)=0,"Spatial Data Missing",VLOOKUP(L171,'G-3 Multipliers'!$L$3:$N$6,2,FALSE)))</f>
        <v/>
      </c>
      <c r="N171" s="281" t="str">
        <f>IF(L171="","",IF(VLOOKUP(L171,'G-3 Multipliers'!$L$3:$N$6,3,FALSE)=0,"Spatial Data Missing",VLOOKUP(L171,'G-3 Multipliers'!$L$3:$N$6,3,FALSE)))</f>
        <v/>
      </c>
      <c r="O171" s="275" t="str">
        <f t="shared" si="12"/>
        <v/>
      </c>
      <c r="P171" s="58"/>
      <c r="Q171" s="58"/>
      <c r="R171" s="283" t="str">
        <f t="shared" si="14"/>
        <v/>
      </c>
      <c r="S171" s="296" t="str">
        <f t="shared" si="15"/>
        <v/>
      </c>
      <c r="T171" s="297" t="str">
        <f>IFERROR(IF(S171="Check Data ⚠","Check Data ⚠",VLOOKUP(S171,'G-4 Temporal multipliers'!$A$4:$C$37,3,FALSE)),"")</f>
        <v/>
      </c>
      <c r="U171" s="298" t="str">
        <f>IF(F171="","",VLOOKUP(F171,'G-3 Multipliers'!$A$2:$E$134,2,FALSE))</f>
        <v/>
      </c>
      <c r="V171" s="295" t="str">
        <f t="shared" si="16"/>
        <v/>
      </c>
      <c r="W171" s="295" t="str">
        <f>IF(E171="","",IF(AND(V171="Standard difficulty applied",O171&gt;P171),U171,IF(AND(V171="Low Difficulty - only applicable if all habitat created before losses ⚠",P171&gt;=O171),"Low",VLOOKUP(F171,'G-3 Multipliers'!$A$2:$E$134,4,FALSE))))</f>
        <v/>
      </c>
      <c r="X171" s="299" t="str">
        <f>IFERROR(IF(E171="","",VLOOKUP(W171,'G-3 Multipliers'!$P$2:$Q$6,2,FALSE)),"")</f>
        <v/>
      </c>
      <c r="Y171" s="303" t="str">
        <f t="shared" si="17"/>
        <v/>
      </c>
      <c r="Z171" s="52"/>
      <c r="AA171" s="51"/>
      <c r="AB171" s="104"/>
      <c r="AE171" s="40" t="str">
        <f t="shared" si="13"/>
        <v/>
      </c>
    </row>
    <row r="172" spans="1:31" ht="14" hidden="1">
      <c r="A172" s="35" t="str">
        <f>IFERROR(INDEX('G-8 Condition Look up'!$I$4:$I$135,MATCH(F172,'G-8 Condition Look up'!$A$4:$A$135,0)),"")</f>
        <v/>
      </c>
      <c r="B172" s="225">
        <v>162</v>
      </c>
      <c r="C172" s="232" t="str">
        <f>IFERROR(INDEX('G-1 All Habitats'!$AG$25:$AG$41,MATCH(D172,'G-1 All Habitats'!AF$25:AF$41,0)),"")</f>
        <v/>
      </c>
      <c r="D172" s="52"/>
      <c r="E172" s="57"/>
      <c r="F172" s="231" t="str">
        <f>IFERROR(INDEX('G-1 All Habitats'!$B$3:$B$135,MATCH(E172,'G-1 All Habitats'!$A$3:$A$135,0)),"")</f>
        <v/>
      </c>
      <c r="G172" s="51"/>
      <c r="H172" s="275" t="str">
        <f>IF(F172="","",VLOOKUP(F172,'G-1 All Habitats'!$B$2:$M$135,10,FALSE))</f>
        <v/>
      </c>
      <c r="I172" s="276" t="str">
        <f>IFERROR(VLOOKUP(H172,'G-1 All Habitats'!$V$3:$W$7,2,FALSE),"")</f>
        <v/>
      </c>
      <c r="J172" s="52"/>
      <c r="K172" s="276" t="str">
        <f>IFERROR(INDEX('G-8 Condition Look up'!$A$3:$H$135,MATCH(F172,'G-8 Condition Look up'!$A$3:$A$135,0),MATCH(J172,'G-8 Condition Look up'!$A$3:$H$3,0)),"")</f>
        <v/>
      </c>
      <c r="L172" s="52"/>
      <c r="M172" s="283" t="str">
        <f>IF(L172="","",IF(VLOOKUP(L172,'G-3 Multipliers'!$L$3:$N$6,2,FALSE)=0,"Spatial Data Missing",VLOOKUP(L172,'G-3 Multipliers'!$L$3:$N$6,2,FALSE)))</f>
        <v/>
      </c>
      <c r="N172" s="281" t="str">
        <f>IF(L172="","",IF(VLOOKUP(L172,'G-3 Multipliers'!$L$3:$N$6,3,FALSE)=0,"Spatial Data Missing",VLOOKUP(L172,'G-3 Multipliers'!$L$3:$N$6,3,FALSE)))</f>
        <v/>
      </c>
      <c r="O172" s="275" t="str">
        <f t="shared" si="12"/>
        <v/>
      </c>
      <c r="P172" s="58"/>
      <c r="Q172" s="58"/>
      <c r="R172" s="283" t="str">
        <f t="shared" si="14"/>
        <v/>
      </c>
      <c r="S172" s="296" t="str">
        <f t="shared" si="15"/>
        <v/>
      </c>
      <c r="T172" s="297" t="str">
        <f>IFERROR(IF(S172="Check Data ⚠","Check Data ⚠",VLOOKUP(S172,'G-4 Temporal multipliers'!$A$4:$C$37,3,FALSE)),"")</f>
        <v/>
      </c>
      <c r="U172" s="298" t="str">
        <f>IF(F172="","",VLOOKUP(F172,'G-3 Multipliers'!$A$2:$E$134,2,FALSE))</f>
        <v/>
      </c>
      <c r="V172" s="295" t="str">
        <f t="shared" si="16"/>
        <v/>
      </c>
      <c r="W172" s="295" t="str">
        <f>IF(E172="","",IF(AND(V172="Standard difficulty applied",O172&gt;P172),U172,IF(AND(V172="Low Difficulty - only applicable if all habitat created before losses ⚠",P172&gt;=O172),"Low",VLOOKUP(F172,'G-3 Multipliers'!$A$2:$E$134,4,FALSE))))</f>
        <v/>
      </c>
      <c r="X172" s="299" t="str">
        <f>IFERROR(IF(E172="","",VLOOKUP(W172,'G-3 Multipliers'!$P$2:$Q$6,2,FALSE)),"")</f>
        <v/>
      </c>
      <c r="Y172" s="303" t="str">
        <f t="shared" si="17"/>
        <v/>
      </c>
      <c r="Z172" s="52"/>
      <c r="AA172" s="51"/>
      <c r="AB172" s="104"/>
      <c r="AE172" s="40" t="str">
        <f t="shared" si="13"/>
        <v/>
      </c>
    </row>
    <row r="173" spans="1:31" ht="14" hidden="1">
      <c r="A173" s="35" t="str">
        <f>IFERROR(INDEX('G-8 Condition Look up'!$I$4:$I$135,MATCH(F173,'G-8 Condition Look up'!$A$4:$A$135,0)),"")</f>
        <v/>
      </c>
      <c r="B173" s="225">
        <v>163</v>
      </c>
      <c r="C173" s="232" t="str">
        <f>IFERROR(INDEX('G-1 All Habitats'!$AG$25:$AG$41,MATCH(D173,'G-1 All Habitats'!AF$25:AF$41,0)),"")</f>
        <v/>
      </c>
      <c r="D173" s="52"/>
      <c r="E173" s="57"/>
      <c r="F173" s="231" t="str">
        <f>IFERROR(INDEX('G-1 All Habitats'!$B$3:$B$135,MATCH(E173,'G-1 All Habitats'!$A$3:$A$135,0)),"")</f>
        <v/>
      </c>
      <c r="G173" s="51"/>
      <c r="H173" s="275" t="str">
        <f>IF(F173="","",VLOOKUP(F173,'G-1 All Habitats'!$B$2:$M$135,10,FALSE))</f>
        <v/>
      </c>
      <c r="I173" s="276" t="str">
        <f>IFERROR(VLOOKUP(H173,'G-1 All Habitats'!$V$3:$W$7,2,FALSE),"")</f>
        <v/>
      </c>
      <c r="J173" s="52"/>
      <c r="K173" s="276" t="str">
        <f>IFERROR(INDEX('G-8 Condition Look up'!$A$3:$H$135,MATCH(F173,'G-8 Condition Look up'!$A$3:$A$135,0),MATCH(J173,'G-8 Condition Look up'!$A$3:$H$3,0)),"")</f>
        <v/>
      </c>
      <c r="L173" s="52"/>
      <c r="M173" s="283" t="str">
        <f>IF(L173="","",IF(VLOOKUP(L173,'G-3 Multipliers'!$L$3:$N$6,2,FALSE)=0,"Spatial Data Missing",VLOOKUP(L173,'G-3 Multipliers'!$L$3:$N$6,2,FALSE)))</f>
        <v/>
      </c>
      <c r="N173" s="281" t="str">
        <f>IF(L173="","",IF(VLOOKUP(L173,'G-3 Multipliers'!$L$3:$N$6,3,FALSE)=0,"Spatial Data Missing",VLOOKUP(L173,'G-3 Multipliers'!$L$3:$N$6,3,FALSE)))</f>
        <v/>
      </c>
      <c r="O173" s="275" t="str">
        <f t="shared" si="12"/>
        <v/>
      </c>
      <c r="P173" s="58"/>
      <c r="Q173" s="58"/>
      <c r="R173" s="283" t="str">
        <f t="shared" si="14"/>
        <v/>
      </c>
      <c r="S173" s="296" t="str">
        <f t="shared" si="15"/>
        <v/>
      </c>
      <c r="T173" s="297" t="str">
        <f>IFERROR(IF(S173="Check Data ⚠","Check Data ⚠",VLOOKUP(S173,'G-4 Temporal multipliers'!$A$4:$C$37,3,FALSE)),"")</f>
        <v/>
      </c>
      <c r="U173" s="298" t="str">
        <f>IF(F173="","",VLOOKUP(F173,'G-3 Multipliers'!$A$2:$E$134,2,FALSE))</f>
        <v/>
      </c>
      <c r="V173" s="295" t="str">
        <f t="shared" si="16"/>
        <v/>
      </c>
      <c r="W173" s="295" t="str">
        <f>IF(E173="","",IF(AND(V173="Standard difficulty applied",O173&gt;P173),U173,IF(AND(V173="Low Difficulty - only applicable if all habitat created before losses ⚠",P173&gt;=O173),"Low",VLOOKUP(F173,'G-3 Multipliers'!$A$2:$E$134,4,FALSE))))</f>
        <v/>
      </c>
      <c r="X173" s="299" t="str">
        <f>IFERROR(IF(E173="","",VLOOKUP(W173,'G-3 Multipliers'!$P$2:$Q$6,2,FALSE)),"")</f>
        <v/>
      </c>
      <c r="Y173" s="303" t="str">
        <f t="shared" si="17"/>
        <v/>
      </c>
      <c r="Z173" s="52"/>
      <c r="AA173" s="51"/>
      <c r="AB173" s="104"/>
      <c r="AE173" s="40" t="str">
        <f t="shared" si="13"/>
        <v/>
      </c>
    </row>
    <row r="174" spans="1:31" ht="14" hidden="1">
      <c r="A174" s="35" t="str">
        <f>IFERROR(INDEX('G-8 Condition Look up'!$I$4:$I$135,MATCH(F174,'G-8 Condition Look up'!$A$4:$A$135,0)),"")</f>
        <v/>
      </c>
      <c r="B174" s="225">
        <v>164</v>
      </c>
      <c r="C174" s="232" t="str">
        <f>IFERROR(INDEX('G-1 All Habitats'!$AG$25:$AG$41,MATCH(D174,'G-1 All Habitats'!AF$25:AF$41,0)),"")</f>
        <v/>
      </c>
      <c r="D174" s="52"/>
      <c r="E174" s="57"/>
      <c r="F174" s="231" t="str">
        <f>IFERROR(INDEX('G-1 All Habitats'!$B$3:$B$135,MATCH(E174,'G-1 All Habitats'!$A$3:$A$135,0)),"")</f>
        <v/>
      </c>
      <c r="G174" s="51"/>
      <c r="H174" s="275" t="str">
        <f>IF(F174="","",VLOOKUP(F174,'G-1 All Habitats'!$B$2:$M$135,10,FALSE))</f>
        <v/>
      </c>
      <c r="I174" s="276" t="str">
        <f>IFERROR(VLOOKUP(H174,'G-1 All Habitats'!$V$3:$W$7,2,FALSE),"")</f>
        <v/>
      </c>
      <c r="J174" s="52"/>
      <c r="K174" s="276" t="str">
        <f>IFERROR(INDEX('G-8 Condition Look up'!$A$3:$H$135,MATCH(F174,'G-8 Condition Look up'!$A$3:$A$135,0),MATCH(J174,'G-8 Condition Look up'!$A$3:$H$3,0)),"")</f>
        <v/>
      </c>
      <c r="L174" s="52"/>
      <c r="M174" s="283" t="str">
        <f>IF(L174="","",IF(VLOOKUP(L174,'G-3 Multipliers'!$L$3:$N$6,2,FALSE)=0,"Spatial Data Missing",VLOOKUP(L174,'G-3 Multipliers'!$L$3:$N$6,2,FALSE)))</f>
        <v/>
      </c>
      <c r="N174" s="281" t="str">
        <f>IF(L174="","",IF(VLOOKUP(L174,'G-3 Multipliers'!$L$3:$N$6,3,FALSE)=0,"Spatial Data Missing",VLOOKUP(L174,'G-3 Multipliers'!$L$3:$N$6,3,FALSE)))</f>
        <v/>
      </c>
      <c r="O174" s="275" t="str">
        <f t="shared" si="12"/>
        <v/>
      </c>
      <c r="P174" s="58"/>
      <c r="Q174" s="58"/>
      <c r="R174" s="283" t="str">
        <f t="shared" si="14"/>
        <v/>
      </c>
      <c r="S174" s="296" t="str">
        <f t="shared" si="15"/>
        <v/>
      </c>
      <c r="T174" s="297" t="str">
        <f>IFERROR(IF(S174="Check Data ⚠","Check Data ⚠",VLOOKUP(S174,'G-4 Temporal multipliers'!$A$4:$C$37,3,FALSE)),"")</f>
        <v/>
      </c>
      <c r="U174" s="298" t="str">
        <f>IF(F174="","",VLOOKUP(F174,'G-3 Multipliers'!$A$2:$E$134,2,FALSE))</f>
        <v/>
      </c>
      <c r="V174" s="295" t="str">
        <f t="shared" si="16"/>
        <v/>
      </c>
      <c r="W174" s="295" t="str">
        <f>IF(E174="","",IF(AND(V174="Standard difficulty applied",O174&gt;P174),U174,IF(AND(V174="Low Difficulty - only applicable if all habitat created before losses ⚠",P174&gt;=O174),"Low",VLOOKUP(F174,'G-3 Multipliers'!$A$2:$E$134,4,FALSE))))</f>
        <v/>
      </c>
      <c r="X174" s="299" t="str">
        <f>IFERROR(IF(E174="","",VLOOKUP(W174,'G-3 Multipliers'!$P$2:$Q$6,2,FALSE)),"")</f>
        <v/>
      </c>
      <c r="Y174" s="303" t="str">
        <f t="shared" si="17"/>
        <v/>
      </c>
      <c r="Z174" s="52"/>
      <c r="AA174" s="51"/>
      <c r="AB174" s="104"/>
      <c r="AE174" s="40" t="str">
        <f t="shared" si="13"/>
        <v/>
      </c>
    </row>
    <row r="175" spans="1:31" ht="14" hidden="1">
      <c r="A175" s="35" t="str">
        <f>IFERROR(INDEX('G-8 Condition Look up'!$I$4:$I$135,MATCH(F175,'G-8 Condition Look up'!$A$4:$A$135,0)),"")</f>
        <v/>
      </c>
      <c r="B175" s="225">
        <v>165</v>
      </c>
      <c r="C175" s="232" t="str">
        <f>IFERROR(INDEX('G-1 All Habitats'!$AG$25:$AG$41,MATCH(D175,'G-1 All Habitats'!AF$25:AF$41,0)),"")</f>
        <v/>
      </c>
      <c r="D175" s="52"/>
      <c r="E175" s="57"/>
      <c r="F175" s="231" t="str">
        <f>IFERROR(INDEX('G-1 All Habitats'!$B$3:$B$135,MATCH(E175,'G-1 All Habitats'!$A$3:$A$135,0)),"")</f>
        <v/>
      </c>
      <c r="G175" s="51"/>
      <c r="H175" s="275" t="str">
        <f>IF(F175="","",VLOOKUP(F175,'G-1 All Habitats'!$B$2:$M$135,10,FALSE))</f>
        <v/>
      </c>
      <c r="I175" s="276" t="str">
        <f>IFERROR(VLOOKUP(H175,'G-1 All Habitats'!$V$3:$W$7,2,FALSE),"")</f>
        <v/>
      </c>
      <c r="J175" s="52"/>
      <c r="K175" s="276" t="str">
        <f>IFERROR(INDEX('G-8 Condition Look up'!$A$3:$H$135,MATCH(F175,'G-8 Condition Look up'!$A$3:$A$135,0),MATCH(J175,'G-8 Condition Look up'!$A$3:$H$3,0)),"")</f>
        <v/>
      </c>
      <c r="L175" s="52"/>
      <c r="M175" s="283" t="str">
        <f>IF(L175="","",IF(VLOOKUP(L175,'G-3 Multipliers'!$L$3:$N$6,2,FALSE)=0,"Spatial Data Missing",VLOOKUP(L175,'G-3 Multipliers'!$L$3:$N$6,2,FALSE)))</f>
        <v/>
      </c>
      <c r="N175" s="281" t="str">
        <f>IF(L175="","",IF(VLOOKUP(L175,'G-3 Multipliers'!$L$3:$N$6,3,FALSE)=0,"Spatial Data Missing",VLOOKUP(L175,'G-3 Multipliers'!$L$3:$N$6,3,FALSE)))</f>
        <v/>
      </c>
      <c r="O175" s="275" t="str">
        <f t="shared" si="12"/>
        <v/>
      </c>
      <c r="P175" s="58"/>
      <c r="Q175" s="58"/>
      <c r="R175" s="283" t="str">
        <f t="shared" si="14"/>
        <v/>
      </c>
      <c r="S175" s="296" t="str">
        <f t="shared" si="15"/>
        <v/>
      </c>
      <c r="T175" s="297" t="str">
        <f>IFERROR(IF(S175="Check Data ⚠","Check Data ⚠",VLOOKUP(S175,'G-4 Temporal multipliers'!$A$4:$C$37,3,FALSE)),"")</f>
        <v/>
      </c>
      <c r="U175" s="298" t="str">
        <f>IF(F175="","",VLOOKUP(F175,'G-3 Multipliers'!$A$2:$E$134,2,FALSE))</f>
        <v/>
      </c>
      <c r="V175" s="295" t="str">
        <f t="shared" si="16"/>
        <v/>
      </c>
      <c r="W175" s="295" t="str">
        <f>IF(E175="","",IF(AND(V175="Standard difficulty applied",O175&gt;P175),U175,IF(AND(V175="Low Difficulty - only applicable if all habitat created before losses ⚠",P175&gt;=O175),"Low",VLOOKUP(F175,'G-3 Multipliers'!$A$2:$E$134,4,FALSE))))</f>
        <v/>
      </c>
      <c r="X175" s="299" t="str">
        <f>IFERROR(IF(E175="","",VLOOKUP(W175,'G-3 Multipliers'!$P$2:$Q$6,2,FALSE)),"")</f>
        <v/>
      </c>
      <c r="Y175" s="303" t="str">
        <f t="shared" si="17"/>
        <v/>
      </c>
      <c r="Z175" s="52"/>
      <c r="AA175" s="51"/>
      <c r="AB175" s="104"/>
      <c r="AE175" s="40" t="str">
        <f t="shared" si="13"/>
        <v/>
      </c>
    </row>
    <row r="176" spans="1:31" ht="14" hidden="1">
      <c r="A176" s="35" t="str">
        <f>IFERROR(INDEX('G-8 Condition Look up'!$I$4:$I$135,MATCH(F176,'G-8 Condition Look up'!$A$4:$A$135,0)),"")</f>
        <v/>
      </c>
      <c r="B176" s="225">
        <v>166</v>
      </c>
      <c r="C176" s="232" t="str">
        <f>IFERROR(INDEX('G-1 All Habitats'!$AG$25:$AG$41,MATCH(D176,'G-1 All Habitats'!AF$25:AF$41,0)),"")</f>
        <v/>
      </c>
      <c r="D176" s="52"/>
      <c r="E176" s="57"/>
      <c r="F176" s="231" t="str">
        <f>IFERROR(INDEX('G-1 All Habitats'!$B$3:$B$135,MATCH(E176,'G-1 All Habitats'!$A$3:$A$135,0)),"")</f>
        <v/>
      </c>
      <c r="G176" s="51"/>
      <c r="H176" s="275" t="str">
        <f>IF(F176="","",VLOOKUP(F176,'G-1 All Habitats'!$B$2:$M$135,10,FALSE))</f>
        <v/>
      </c>
      <c r="I176" s="276" t="str">
        <f>IFERROR(VLOOKUP(H176,'G-1 All Habitats'!$V$3:$W$7,2,FALSE),"")</f>
        <v/>
      </c>
      <c r="J176" s="52"/>
      <c r="K176" s="276" t="str">
        <f>IFERROR(INDEX('G-8 Condition Look up'!$A$3:$H$135,MATCH(F176,'G-8 Condition Look up'!$A$3:$A$135,0),MATCH(J176,'G-8 Condition Look up'!$A$3:$H$3,0)),"")</f>
        <v/>
      </c>
      <c r="L176" s="52"/>
      <c r="M176" s="283" t="str">
        <f>IF(L176="","",IF(VLOOKUP(L176,'G-3 Multipliers'!$L$3:$N$6,2,FALSE)=0,"Spatial Data Missing",VLOOKUP(L176,'G-3 Multipliers'!$L$3:$N$6,2,FALSE)))</f>
        <v/>
      </c>
      <c r="N176" s="281" t="str">
        <f>IF(L176="","",IF(VLOOKUP(L176,'G-3 Multipliers'!$L$3:$N$6,3,FALSE)=0,"Spatial Data Missing",VLOOKUP(L176,'G-3 Multipliers'!$L$3:$N$6,3,FALSE)))</f>
        <v/>
      </c>
      <c r="O176" s="275" t="str">
        <f t="shared" si="12"/>
        <v/>
      </c>
      <c r="P176" s="58"/>
      <c r="Q176" s="58"/>
      <c r="R176" s="283" t="str">
        <f t="shared" si="14"/>
        <v/>
      </c>
      <c r="S176" s="296" t="str">
        <f t="shared" si="15"/>
        <v/>
      </c>
      <c r="T176" s="297" t="str">
        <f>IFERROR(IF(S176="Check Data ⚠","Check Data ⚠",VLOOKUP(S176,'G-4 Temporal multipliers'!$A$4:$C$37,3,FALSE)),"")</f>
        <v/>
      </c>
      <c r="U176" s="298" t="str">
        <f>IF(F176="","",VLOOKUP(F176,'G-3 Multipliers'!$A$2:$E$134,2,FALSE))</f>
        <v/>
      </c>
      <c r="V176" s="295" t="str">
        <f t="shared" si="16"/>
        <v/>
      </c>
      <c r="W176" s="295" t="str">
        <f>IF(E176="","",IF(AND(V176="Standard difficulty applied",O176&gt;P176),U176,IF(AND(V176="Low Difficulty - only applicable if all habitat created before losses ⚠",P176&gt;=O176),"Low",VLOOKUP(F176,'G-3 Multipliers'!$A$2:$E$134,4,FALSE))))</f>
        <v/>
      </c>
      <c r="X176" s="299" t="str">
        <f>IFERROR(IF(E176="","",VLOOKUP(W176,'G-3 Multipliers'!$P$2:$Q$6,2,FALSE)),"")</f>
        <v/>
      </c>
      <c r="Y176" s="303" t="str">
        <f t="shared" si="17"/>
        <v/>
      </c>
      <c r="Z176" s="52"/>
      <c r="AA176" s="51"/>
      <c r="AB176" s="104"/>
      <c r="AE176" s="40" t="str">
        <f t="shared" si="13"/>
        <v/>
      </c>
    </row>
    <row r="177" spans="1:31" ht="14" hidden="1">
      <c r="A177" s="35" t="str">
        <f>IFERROR(INDEX('G-8 Condition Look up'!$I$4:$I$135,MATCH(F177,'G-8 Condition Look up'!$A$4:$A$135,0)),"")</f>
        <v/>
      </c>
      <c r="B177" s="225">
        <v>167</v>
      </c>
      <c r="C177" s="232" t="str">
        <f>IFERROR(INDEX('G-1 All Habitats'!$AG$25:$AG$41,MATCH(D177,'G-1 All Habitats'!AF$25:AF$41,0)),"")</f>
        <v/>
      </c>
      <c r="D177" s="52"/>
      <c r="E177" s="57"/>
      <c r="F177" s="231" t="str">
        <f>IFERROR(INDEX('G-1 All Habitats'!$B$3:$B$135,MATCH(E177,'G-1 All Habitats'!$A$3:$A$135,0)),"")</f>
        <v/>
      </c>
      <c r="G177" s="51"/>
      <c r="H177" s="275" t="str">
        <f>IF(F177="","",VLOOKUP(F177,'G-1 All Habitats'!$B$2:$M$135,10,FALSE))</f>
        <v/>
      </c>
      <c r="I177" s="276" t="str">
        <f>IFERROR(VLOOKUP(H177,'G-1 All Habitats'!$V$3:$W$7,2,FALSE),"")</f>
        <v/>
      </c>
      <c r="J177" s="52"/>
      <c r="K177" s="276" t="str">
        <f>IFERROR(INDEX('G-8 Condition Look up'!$A$3:$H$135,MATCH(F177,'G-8 Condition Look up'!$A$3:$A$135,0),MATCH(J177,'G-8 Condition Look up'!$A$3:$H$3,0)),"")</f>
        <v/>
      </c>
      <c r="L177" s="52"/>
      <c r="M177" s="283" t="str">
        <f>IF(L177="","",IF(VLOOKUP(L177,'G-3 Multipliers'!$L$3:$N$6,2,FALSE)=0,"Spatial Data Missing",VLOOKUP(L177,'G-3 Multipliers'!$L$3:$N$6,2,FALSE)))</f>
        <v/>
      </c>
      <c r="N177" s="281" t="str">
        <f>IF(L177="","",IF(VLOOKUP(L177,'G-3 Multipliers'!$L$3:$N$6,3,FALSE)=0,"Spatial Data Missing",VLOOKUP(L177,'G-3 Multipliers'!$L$3:$N$6,3,FALSE)))</f>
        <v/>
      </c>
      <c r="O177" s="275" t="str">
        <f t="shared" si="12"/>
        <v/>
      </c>
      <c r="P177" s="58"/>
      <c r="Q177" s="58"/>
      <c r="R177" s="283" t="str">
        <f t="shared" si="14"/>
        <v/>
      </c>
      <c r="S177" s="296" t="str">
        <f t="shared" si="15"/>
        <v/>
      </c>
      <c r="T177" s="297" t="str">
        <f>IFERROR(IF(S177="Check Data ⚠","Check Data ⚠",VLOOKUP(S177,'G-4 Temporal multipliers'!$A$4:$C$37,3,FALSE)),"")</f>
        <v/>
      </c>
      <c r="U177" s="298" t="str">
        <f>IF(F177="","",VLOOKUP(F177,'G-3 Multipliers'!$A$2:$E$134,2,FALSE))</f>
        <v/>
      </c>
      <c r="V177" s="295" t="str">
        <f t="shared" si="16"/>
        <v/>
      </c>
      <c r="W177" s="295" t="str">
        <f>IF(E177="","",IF(AND(V177="Standard difficulty applied",O177&gt;P177),U177,IF(AND(V177="Low Difficulty - only applicable if all habitat created before losses ⚠",P177&gt;=O177),"Low",VLOOKUP(F177,'G-3 Multipliers'!$A$2:$E$134,4,FALSE))))</f>
        <v/>
      </c>
      <c r="X177" s="299" t="str">
        <f>IFERROR(IF(E177="","",VLOOKUP(W177,'G-3 Multipliers'!$P$2:$Q$6,2,FALSE)),"")</f>
        <v/>
      </c>
      <c r="Y177" s="303" t="str">
        <f t="shared" si="17"/>
        <v/>
      </c>
      <c r="Z177" s="52"/>
      <c r="AA177" s="51"/>
      <c r="AB177" s="104"/>
      <c r="AE177" s="40" t="str">
        <f t="shared" si="13"/>
        <v/>
      </c>
    </row>
    <row r="178" spans="1:31" ht="14" hidden="1">
      <c r="A178" s="35" t="str">
        <f>IFERROR(INDEX('G-8 Condition Look up'!$I$4:$I$135,MATCH(F178,'G-8 Condition Look up'!$A$4:$A$135,0)),"")</f>
        <v/>
      </c>
      <c r="B178" s="225">
        <v>168</v>
      </c>
      <c r="C178" s="232" t="str">
        <f>IFERROR(INDEX('G-1 All Habitats'!$AG$25:$AG$41,MATCH(D178,'G-1 All Habitats'!AF$25:AF$41,0)),"")</f>
        <v/>
      </c>
      <c r="D178" s="52"/>
      <c r="E178" s="57"/>
      <c r="F178" s="231" t="str">
        <f>IFERROR(INDEX('G-1 All Habitats'!$B$3:$B$135,MATCH(E178,'G-1 All Habitats'!$A$3:$A$135,0)),"")</f>
        <v/>
      </c>
      <c r="G178" s="51"/>
      <c r="H178" s="275" t="str">
        <f>IF(F178="","",VLOOKUP(F178,'G-1 All Habitats'!$B$2:$M$135,10,FALSE))</f>
        <v/>
      </c>
      <c r="I178" s="276" t="str">
        <f>IFERROR(VLOOKUP(H178,'G-1 All Habitats'!$V$3:$W$7,2,FALSE),"")</f>
        <v/>
      </c>
      <c r="J178" s="52"/>
      <c r="K178" s="276" t="str">
        <f>IFERROR(INDEX('G-8 Condition Look up'!$A$3:$H$135,MATCH(F178,'G-8 Condition Look up'!$A$3:$A$135,0),MATCH(J178,'G-8 Condition Look up'!$A$3:$H$3,0)),"")</f>
        <v/>
      </c>
      <c r="L178" s="52"/>
      <c r="M178" s="283" t="str">
        <f>IF(L178="","",IF(VLOOKUP(L178,'G-3 Multipliers'!$L$3:$N$6,2,FALSE)=0,"Spatial Data Missing",VLOOKUP(L178,'G-3 Multipliers'!$L$3:$N$6,2,FALSE)))</f>
        <v/>
      </c>
      <c r="N178" s="281" t="str">
        <f>IF(L178="","",IF(VLOOKUP(L178,'G-3 Multipliers'!$L$3:$N$6,3,FALSE)=0,"Spatial Data Missing",VLOOKUP(L178,'G-3 Multipliers'!$L$3:$N$6,3,FALSE)))</f>
        <v/>
      </c>
      <c r="O178" s="275" t="str">
        <f t="shared" si="12"/>
        <v/>
      </c>
      <c r="P178" s="58"/>
      <c r="Q178" s="58"/>
      <c r="R178" s="283" t="str">
        <f t="shared" si="14"/>
        <v/>
      </c>
      <c r="S178" s="296" t="str">
        <f t="shared" si="15"/>
        <v/>
      </c>
      <c r="T178" s="297" t="str">
        <f>IFERROR(IF(S178="Check Data ⚠","Check Data ⚠",VLOOKUP(S178,'G-4 Temporal multipliers'!$A$4:$C$37,3,FALSE)),"")</f>
        <v/>
      </c>
      <c r="U178" s="298" t="str">
        <f>IF(F178="","",VLOOKUP(F178,'G-3 Multipliers'!$A$2:$E$134,2,FALSE))</f>
        <v/>
      </c>
      <c r="V178" s="295" t="str">
        <f t="shared" si="16"/>
        <v/>
      </c>
      <c r="W178" s="295" t="str">
        <f>IF(E178="","",IF(AND(V178="Standard difficulty applied",O178&gt;P178),U178,IF(AND(V178="Low Difficulty - only applicable if all habitat created before losses ⚠",P178&gt;=O178),"Low",VLOOKUP(F178,'G-3 Multipliers'!$A$2:$E$134,4,FALSE))))</f>
        <v/>
      </c>
      <c r="X178" s="299" t="str">
        <f>IFERROR(IF(E178="","",VLOOKUP(W178,'G-3 Multipliers'!$P$2:$Q$6,2,FALSE)),"")</f>
        <v/>
      </c>
      <c r="Y178" s="303" t="str">
        <f t="shared" si="17"/>
        <v/>
      </c>
      <c r="Z178" s="52"/>
      <c r="AA178" s="51"/>
      <c r="AB178" s="104"/>
      <c r="AE178" s="40" t="str">
        <f t="shared" si="13"/>
        <v/>
      </c>
    </row>
    <row r="179" spans="1:31" ht="14" hidden="1">
      <c r="A179" s="35" t="str">
        <f>IFERROR(INDEX('G-8 Condition Look up'!$I$4:$I$135,MATCH(F179,'G-8 Condition Look up'!$A$4:$A$135,0)),"")</f>
        <v/>
      </c>
      <c r="B179" s="225">
        <v>169</v>
      </c>
      <c r="C179" s="232" t="str">
        <f>IFERROR(INDEX('G-1 All Habitats'!$AG$25:$AG$41,MATCH(D179,'G-1 All Habitats'!AF$25:AF$41,0)),"")</f>
        <v/>
      </c>
      <c r="D179" s="52"/>
      <c r="E179" s="57"/>
      <c r="F179" s="231" t="str">
        <f>IFERROR(INDEX('G-1 All Habitats'!$B$3:$B$135,MATCH(E179,'G-1 All Habitats'!$A$3:$A$135,0)),"")</f>
        <v/>
      </c>
      <c r="G179" s="51"/>
      <c r="H179" s="275" t="str">
        <f>IF(F179="","",VLOOKUP(F179,'G-1 All Habitats'!$B$2:$M$135,10,FALSE))</f>
        <v/>
      </c>
      <c r="I179" s="276" t="str">
        <f>IFERROR(VLOOKUP(H179,'G-1 All Habitats'!$V$3:$W$7,2,FALSE),"")</f>
        <v/>
      </c>
      <c r="J179" s="52"/>
      <c r="K179" s="276" t="str">
        <f>IFERROR(INDEX('G-8 Condition Look up'!$A$3:$H$135,MATCH(F179,'G-8 Condition Look up'!$A$3:$A$135,0),MATCH(J179,'G-8 Condition Look up'!$A$3:$H$3,0)),"")</f>
        <v/>
      </c>
      <c r="L179" s="52"/>
      <c r="M179" s="283" t="str">
        <f>IF(L179="","",IF(VLOOKUP(L179,'G-3 Multipliers'!$L$3:$N$6,2,FALSE)=0,"Spatial Data Missing",VLOOKUP(L179,'G-3 Multipliers'!$L$3:$N$6,2,FALSE)))</f>
        <v/>
      </c>
      <c r="N179" s="281" t="str">
        <f>IF(L179="","",IF(VLOOKUP(L179,'G-3 Multipliers'!$L$3:$N$6,3,FALSE)=0,"Spatial Data Missing",VLOOKUP(L179,'G-3 Multipliers'!$L$3:$N$6,3,FALSE)))</f>
        <v/>
      </c>
      <c r="O179" s="275" t="str">
        <f t="shared" si="12"/>
        <v/>
      </c>
      <c r="P179" s="58"/>
      <c r="Q179" s="58"/>
      <c r="R179" s="283" t="str">
        <f t="shared" si="14"/>
        <v/>
      </c>
      <c r="S179" s="296" t="str">
        <f t="shared" si="15"/>
        <v/>
      </c>
      <c r="T179" s="297" t="str">
        <f>IFERROR(IF(S179="Check Data ⚠","Check Data ⚠",VLOOKUP(S179,'G-4 Temporal multipliers'!$A$4:$C$37,3,FALSE)),"")</f>
        <v/>
      </c>
      <c r="U179" s="298" t="str">
        <f>IF(F179="","",VLOOKUP(F179,'G-3 Multipliers'!$A$2:$E$134,2,FALSE))</f>
        <v/>
      </c>
      <c r="V179" s="295" t="str">
        <f t="shared" si="16"/>
        <v/>
      </c>
      <c r="W179" s="295" t="str">
        <f>IF(E179="","",IF(AND(V179="Standard difficulty applied",O179&gt;P179),U179,IF(AND(V179="Low Difficulty - only applicable if all habitat created before losses ⚠",P179&gt;=O179),"Low",VLOOKUP(F179,'G-3 Multipliers'!$A$2:$E$134,4,FALSE))))</f>
        <v/>
      </c>
      <c r="X179" s="299" t="str">
        <f>IFERROR(IF(E179="","",VLOOKUP(W179,'G-3 Multipliers'!$P$2:$Q$6,2,FALSE)),"")</f>
        <v/>
      </c>
      <c r="Y179" s="303" t="str">
        <f t="shared" si="17"/>
        <v/>
      </c>
      <c r="Z179" s="52"/>
      <c r="AA179" s="51"/>
      <c r="AB179" s="104"/>
      <c r="AE179" s="40" t="str">
        <f t="shared" si="13"/>
        <v/>
      </c>
    </row>
    <row r="180" spans="1:31" ht="14" hidden="1">
      <c r="A180" s="35" t="str">
        <f>IFERROR(INDEX('G-8 Condition Look up'!$I$4:$I$135,MATCH(F180,'G-8 Condition Look up'!$A$4:$A$135,0)),"")</f>
        <v/>
      </c>
      <c r="B180" s="225">
        <v>170</v>
      </c>
      <c r="C180" s="232" t="str">
        <f>IFERROR(INDEX('G-1 All Habitats'!$AG$25:$AG$41,MATCH(D180,'G-1 All Habitats'!AF$25:AF$41,0)),"")</f>
        <v/>
      </c>
      <c r="D180" s="52"/>
      <c r="E180" s="57"/>
      <c r="F180" s="231" t="str">
        <f>IFERROR(INDEX('G-1 All Habitats'!$B$3:$B$135,MATCH(E180,'G-1 All Habitats'!$A$3:$A$135,0)),"")</f>
        <v/>
      </c>
      <c r="G180" s="51"/>
      <c r="H180" s="275" t="str">
        <f>IF(F180="","",VLOOKUP(F180,'G-1 All Habitats'!$B$2:$M$135,10,FALSE))</f>
        <v/>
      </c>
      <c r="I180" s="276" t="str">
        <f>IFERROR(VLOOKUP(H180,'G-1 All Habitats'!$V$3:$W$7,2,FALSE),"")</f>
        <v/>
      </c>
      <c r="J180" s="52"/>
      <c r="K180" s="276" t="str">
        <f>IFERROR(INDEX('G-8 Condition Look up'!$A$3:$H$135,MATCH(F180,'G-8 Condition Look up'!$A$3:$A$135,0),MATCH(J180,'G-8 Condition Look up'!$A$3:$H$3,0)),"")</f>
        <v/>
      </c>
      <c r="L180" s="52"/>
      <c r="M180" s="283" t="str">
        <f>IF(L180="","",IF(VLOOKUP(L180,'G-3 Multipliers'!$L$3:$N$6,2,FALSE)=0,"Spatial Data Missing",VLOOKUP(L180,'G-3 Multipliers'!$L$3:$N$6,2,FALSE)))</f>
        <v/>
      </c>
      <c r="N180" s="281" t="str">
        <f>IF(L180="","",IF(VLOOKUP(L180,'G-3 Multipliers'!$L$3:$N$6,3,FALSE)=0,"Spatial Data Missing",VLOOKUP(L180,'G-3 Multipliers'!$L$3:$N$6,3,FALSE)))</f>
        <v/>
      </c>
      <c r="O180" s="275" t="str">
        <f t="shared" si="12"/>
        <v/>
      </c>
      <c r="P180" s="58"/>
      <c r="Q180" s="58"/>
      <c r="R180" s="283" t="str">
        <f t="shared" si="14"/>
        <v/>
      </c>
      <c r="S180" s="296" t="str">
        <f t="shared" si="15"/>
        <v/>
      </c>
      <c r="T180" s="297" t="str">
        <f>IFERROR(IF(S180="Check Data ⚠","Check Data ⚠",VLOOKUP(S180,'G-4 Temporal multipliers'!$A$4:$C$37,3,FALSE)),"")</f>
        <v/>
      </c>
      <c r="U180" s="298" t="str">
        <f>IF(F180="","",VLOOKUP(F180,'G-3 Multipliers'!$A$2:$E$134,2,FALSE))</f>
        <v/>
      </c>
      <c r="V180" s="295" t="str">
        <f t="shared" si="16"/>
        <v/>
      </c>
      <c r="W180" s="295" t="str">
        <f>IF(E180="","",IF(AND(V180="Standard difficulty applied",O180&gt;P180),U180,IF(AND(V180="Low Difficulty - only applicable if all habitat created before losses ⚠",P180&gt;=O180),"Low",VLOOKUP(F180,'G-3 Multipliers'!$A$2:$E$134,4,FALSE))))</f>
        <v/>
      </c>
      <c r="X180" s="299" t="str">
        <f>IFERROR(IF(E180="","",VLOOKUP(W180,'G-3 Multipliers'!$P$2:$Q$6,2,FALSE)),"")</f>
        <v/>
      </c>
      <c r="Y180" s="303" t="str">
        <f t="shared" si="17"/>
        <v/>
      </c>
      <c r="Z180" s="52"/>
      <c r="AA180" s="51"/>
      <c r="AB180" s="104"/>
      <c r="AE180" s="40" t="str">
        <f t="shared" si="13"/>
        <v/>
      </c>
    </row>
    <row r="181" spans="1:31" ht="14" hidden="1">
      <c r="A181" s="35" t="str">
        <f>IFERROR(INDEX('G-8 Condition Look up'!$I$4:$I$135,MATCH(F181,'G-8 Condition Look up'!$A$4:$A$135,0)),"")</f>
        <v/>
      </c>
      <c r="B181" s="225">
        <v>171</v>
      </c>
      <c r="C181" s="232" t="str">
        <f>IFERROR(INDEX('G-1 All Habitats'!$AG$25:$AG$41,MATCH(D181,'G-1 All Habitats'!AF$25:AF$41,0)),"")</f>
        <v/>
      </c>
      <c r="D181" s="52"/>
      <c r="E181" s="57"/>
      <c r="F181" s="231" t="str">
        <f>IFERROR(INDEX('G-1 All Habitats'!$B$3:$B$135,MATCH(E181,'G-1 All Habitats'!$A$3:$A$135,0)),"")</f>
        <v/>
      </c>
      <c r="G181" s="51"/>
      <c r="H181" s="275" t="str">
        <f>IF(F181="","",VLOOKUP(F181,'G-1 All Habitats'!$B$2:$M$135,10,FALSE))</f>
        <v/>
      </c>
      <c r="I181" s="276" t="str">
        <f>IFERROR(VLOOKUP(H181,'G-1 All Habitats'!$V$3:$W$7,2,FALSE),"")</f>
        <v/>
      </c>
      <c r="J181" s="52"/>
      <c r="K181" s="276" t="str">
        <f>IFERROR(INDEX('G-8 Condition Look up'!$A$3:$H$135,MATCH(F181,'G-8 Condition Look up'!$A$3:$A$135,0),MATCH(J181,'G-8 Condition Look up'!$A$3:$H$3,0)),"")</f>
        <v/>
      </c>
      <c r="L181" s="52"/>
      <c r="M181" s="283" t="str">
        <f>IF(L181="","",IF(VLOOKUP(L181,'G-3 Multipliers'!$L$3:$N$6,2,FALSE)=0,"Spatial Data Missing",VLOOKUP(L181,'G-3 Multipliers'!$L$3:$N$6,2,FALSE)))</f>
        <v/>
      </c>
      <c r="N181" s="281" t="str">
        <f>IF(L181="","",IF(VLOOKUP(L181,'G-3 Multipliers'!$L$3:$N$6,3,FALSE)=0,"Spatial Data Missing",VLOOKUP(L181,'G-3 Multipliers'!$L$3:$N$6,3,FALSE)))</f>
        <v/>
      </c>
      <c r="O181" s="275" t="str">
        <f t="shared" si="12"/>
        <v/>
      </c>
      <c r="P181" s="58"/>
      <c r="Q181" s="58"/>
      <c r="R181" s="283" t="str">
        <f t="shared" si="14"/>
        <v/>
      </c>
      <c r="S181" s="296" t="str">
        <f t="shared" si="15"/>
        <v/>
      </c>
      <c r="T181" s="297" t="str">
        <f>IFERROR(IF(S181="Check Data ⚠","Check Data ⚠",VLOOKUP(S181,'G-4 Temporal multipliers'!$A$4:$C$37,3,FALSE)),"")</f>
        <v/>
      </c>
      <c r="U181" s="298" t="str">
        <f>IF(F181="","",VLOOKUP(F181,'G-3 Multipliers'!$A$2:$E$134,2,FALSE))</f>
        <v/>
      </c>
      <c r="V181" s="295" t="str">
        <f t="shared" si="16"/>
        <v/>
      </c>
      <c r="W181" s="295" t="str">
        <f>IF(E181="","",IF(AND(V181="Standard difficulty applied",O181&gt;P181),U181,IF(AND(V181="Low Difficulty - only applicable if all habitat created before losses ⚠",P181&gt;=O181),"Low",VLOOKUP(F181,'G-3 Multipliers'!$A$2:$E$134,4,FALSE))))</f>
        <v/>
      </c>
      <c r="X181" s="299" t="str">
        <f>IFERROR(IF(E181="","",VLOOKUP(W181,'G-3 Multipliers'!$P$2:$Q$6,2,FALSE)),"")</f>
        <v/>
      </c>
      <c r="Y181" s="303" t="str">
        <f t="shared" si="17"/>
        <v/>
      </c>
      <c r="Z181" s="52"/>
      <c r="AA181" s="51"/>
      <c r="AB181" s="104"/>
      <c r="AE181" s="40" t="str">
        <f t="shared" si="13"/>
        <v/>
      </c>
    </row>
    <row r="182" spans="1:31" ht="14" hidden="1">
      <c r="A182" s="35" t="str">
        <f>IFERROR(INDEX('G-8 Condition Look up'!$I$4:$I$135,MATCH(F182,'G-8 Condition Look up'!$A$4:$A$135,0)),"")</f>
        <v/>
      </c>
      <c r="B182" s="225">
        <v>172</v>
      </c>
      <c r="C182" s="232" t="str">
        <f>IFERROR(INDEX('G-1 All Habitats'!$AG$25:$AG$41,MATCH(D182,'G-1 All Habitats'!AF$25:AF$41,0)),"")</f>
        <v/>
      </c>
      <c r="D182" s="52"/>
      <c r="E182" s="57"/>
      <c r="F182" s="231" t="str">
        <f>IFERROR(INDEX('G-1 All Habitats'!$B$3:$B$135,MATCH(E182,'G-1 All Habitats'!$A$3:$A$135,0)),"")</f>
        <v/>
      </c>
      <c r="G182" s="51"/>
      <c r="H182" s="275" t="str">
        <f>IF(F182="","",VLOOKUP(F182,'G-1 All Habitats'!$B$2:$M$135,10,FALSE))</f>
        <v/>
      </c>
      <c r="I182" s="276" t="str">
        <f>IFERROR(VLOOKUP(H182,'G-1 All Habitats'!$V$3:$W$7,2,FALSE),"")</f>
        <v/>
      </c>
      <c r="J182" s="52"/>
      <c r="K182" s="276" t="str">
        <f>IFERROR(INDEX('G-8 Condition Look up'!$A$3:$H$135,MATCH(F182,'G-8 Condition Look up'!$A$3:$A$135,0),MATCH(J182,'G-8 Condition Look up'!$A$3:$H$3,0)),"")</f>
        <v/>
      </c>
      <c r="L182" s="52"/>
      <c r="M182" s="283" t="str">
        <f>IF(L182="","",IF(VLOOKUP(L182,'G-3 Multipliers'!$L$3:$N$6,2,FALSE)=0,"Spatial Data Missing",VLOOKUP(L182,'G-3 Multipliers'!$L$3:$N$6,2,FALSE)))</f>
        <v/>
      </c>
      <c r="N182" s="281" t="str">
        <f>IF(L182="","",IF(VLOOKUP(L182,'G-3 Multipliers'!$L$3:$N$6,3,FALSE)=0,"Spatial Data Missing",VLOOKUP(L182,'G-3 Multipliers'!$L$3:$N$6,3,FALSE)))</f>
        <v/>
      </c>
      <c r="O182" s="275" t="str">
        <f t="shared" si="12"/>
        <v/>
      </c>
      <c r="P182" s="58"/>
      <c r="Q182" s="58"/>
      <c r="R182" s="283" t="str">
        <f t="shared" si="14"/>
        <v/>
      </c>
      <c r="S182" s="296" t="str">
        <f t="shared" si="15"/>
        <v/>
      </c>
      <c r="T182" s="297" t="str">
        <f>IFERROR(IF(S182="Check Data ⚠","Check Data ⚠",VLOOKUP(S182,'G-4 Temporal multipliers'!$A$4:$C$37,3,FALSE)),"")</f>
        <v/>
      </c>
      <c r="U182" s="298" t="str">
        <f>IF(F182="","",VLOOKUP(F182,'G-3 Multipliers'!$A$2:$E$134,2,FALSE))</f>
        <v/>
      </c>
      <c r="V182" s="295" t="str">
        <f t="shared" si="16"/>
        <v/>
      </c>
      <c r="W182" s="295" t="str">
        <f>IF(E182="","",IF(AND(V182="Standard difficulty applied",O182&gt;P182),U182,IF(AND(V182="Low Difficulty - only applicable if all habitat created before losses ⚠",P182&gt;=O182),"Low",VLOOKUP(F182,'G-3 Multipliers'!$A$2:$E$134,4,FALSE))))</f>
        <v/>
      </c>
      <c r="X182" s="299" t="str">
        <f>IFERROR(IF(E182="","",VLOOKUP(W182,'G-3 Multipliers'!$P$2:$Q$6,2,FALSE)),"")</f>
        <v/>
      </c>
      <c r="Y182" s="303" t="str">
        <f t="shared" si="17"/>
        <v/>
      </c>
      <c r="Z182" s="52"/>
      <c r="AA182" s="51"/>
      <c r="AB182" s="104"/>
      <c r="AE182" s="40" t="str">
        <f t="shared" si="13"/>
        <v/>
      </c>
    </row>
    <row r="183" spans="1:31" ht="14" hidden="1">
      <c r="A183" s="35" t="str">
        <f>IFERROR(INDEX('G-8 Condition Look up'!$I$4:$I$135,MATCH(F183,'G-8 Condition Look up'!$A$4:$A$135,0)),"")</f>
        <v/>
      </c>
      <c r="B183" s="225">
        <v>173</v>
      </c>
      <c r="C183" s="232" t="str">
        <f>IFERROR(INDEX('G-1 All Habitats'!$AG$25:$AG$41,MATCH(D183,'G-1 All Habitats'!AF$25:AF$41,0)),"")</f>
        <v/>
      </c>
      <c r="D183" s="52"/>
      <c r="E183" s="57"/>
      <c r="F183" s="231" t="str">
        <f>IFERROR(INDEX('G-1 All Habitats'!$B$3:$B$135,MATCH(E183,'G-1 All Habitats'!$A$3:$A$135,0)),"")</f>
        <v/>
      </c>
      <c r="G183" s="51"/>
      <c r="H183" s="275" t="str">
        <f>IF(F183="","",VLOOKUP(F183,'G-1 All Habitats'!$B$2:$M$135,10,FALSE))</f>
        <v/>
      </c>
      <c r="I183" s="276" t="str">
        <f>IFERROR(VLOOKUP(H183,'G-1 All Habitats'!$V$3:$W$7,2,FALSE),"")</f>
        <v/>
      </c>
      <c r="J183" s="52"/>
      <c r="K183" s="276" t="str">
        <f>IFERROR(INDEX('G-8 Condition Look up'!$A$3:$H$135,MATCH(F183,'G-8 Condition Look up'!$A$3:$A$135,0),MATCH(J183,'G-8 Condition Look up'!$A$3:$H$3,0)),"")</f>
        <v/>
      </c>
      <c r="L183" s="52"/>
      <c r="M183" s="283" t="str">
        <f>IF(L183="","",IF(VLOOKUP(L183,'G-3 Multipliers'!$L$3:$N$6,2,FALSE)=0,"Spatial Data Missing",VLOOKUP(L183,'G-3 Multipliers'!$L$3:$N$6,2,FALSE)))</f>
        <v/>
      </c>
      <c r="N183" s="281" t="str">
        <f>IF(L183="","",IF(VLOOKUP(L183,'G-3 Multipliers'!$L$3:$N$6,3,FALSE)=0,"Spatial Data Missing",VLOOKUP(L183,'G-3 Multipliers'!$L$3:$N$6,3,FALSE)))</f>
        <v/>
      </c>
      <c r="O183" s="275" t="str">
        <f t="shared" si="12"/>
        <v/>
      </c>
      <c r="P183" s="58"/>
      <c r="Q183" s="58"/>
      <c r="R183" s="283" t="str">
        <f t="shared" si="14"/>
        <v/>
      </c>
      <c r="S183" s="296" t="str">
        <f t="shared" si="15"/>
        <v/>
      </c>
      <c r="T183" s="297" t="str">
        <f>IFERROR(IF(S183="Check Data ⚠","Check Data ⚠",VLOOKUP(S183,'G-4 Temporal multipliers'!$A$4:$C$37,3,FALSE)),"")</f>
        <v/>
      </c>
      <c r="U183" s="298" t="str">
        <f>IF(F183="","",VLOOKUP(F183,'G-3 Multipliers'!$A$2:$E$134,2,FALSE))</f>
        <v/>
      </c>
      <c r="V183" s="295" t="str">
        <f t="shared" si="16"/>
        <v/>
      </c>
      <c r="W183" s="295" t="str">
        <f>IF(E183="","",IF(AND(V183="Standard difficulty applied",O183&gt;P183),U183,IF(AND(V183="Low Difficulty - only applicable if all habitat created before losses ⚠",P183&gt;=O183),"Low",VLOOKUP(F183,'G-3 Multipliers'!$A$2:$E$134,4,FALSE))))</f>
        <v/>
      </c>
      <c r="X183" s="299" t="str">
        <f>IFERROR(IF(E183="","",VLOOKUP(W183,'G-3 Multipliers'!$P$2:$Q$6,2,FALSE)),"")</f>
        <v/>
      </c>
      <c r="Y183" s="303" t="str">
        <f t="shared" si="17"/>
        <v/>
      </c>
      <c r="Z183" s="52"/>
      <c r="AA183" s="51"/>
      <c r="AB183" s="104"/>
      <c r="AE183" s="40" t="str">
        <f t="shared" si="13"/>
        <v/>
      </c>
    </row>
    <row r="184" spans="1:31" ht="14" hidden="1">
      <c r="A184" s="35" t="str">
        <f>IFERROR(INDEX('G-8 Condition Look up'!$I$4:$I$135,MATCH(F184,'G-8 Condition Look up'!$A$4:$A$135,0)),"")</f>
        <v/>
      </c>
      <c r="B184" s="225">
        <v>174</v>
      </c>
      <c r="C184" s="232" t="str">
        <f>IFERROR(INDEX('G-1 All Habitats'!$AG$25:$AG$41,MATCH(D184,'G-1 All Habitats'!AF$25:AF$41,0)),"")</f>
        <v/>
      </c>
      <c r="D184" s="52"/>
      <c r="E184" s="57"/>
      <c r="F184" s="231" t="str">
        <f>IFERROR(INDEX('G-1 All Habitats'!$B$3:$B$135,MATCH(E184,'G-1 All Habitats'!$A$3:$A$135,0)),"")</f>
        <v/>
      </c>
      <c r="G184" s="51"/>
      <c r="H184" s="275" t="str">
        <f>IF(F184="","",VLOOKUP(F184,'G-1 All Habitats'!$B$2:$M$135,10,FALSE))</f>
        <v/>
      </c>
      <c r="I184" s="276" t="str">
        <f>IFERROR(VLOOKUP(H184,'G-1 All Habitats'!$V$3:$W$7,2,FALSE),"")</f>
        <v/>
      </c>
      <c r="J184" s="52"/>
      <c r="K184" s="276" t="str">
        <f>IFERROR(INDEX('G-8 Condition Look up'!$A$3:$H$135,MATCH(F184,'G-8 Condition Look up'!$A$3:$A$135,0),MATCH(J184,'G-8 Condition Look up'!$A$3:$H$3,0)),"")</f>
        <v/>
      </c>
      <c r="L184" s="52"/>
      <c r="M184" s="283" t="str">
        <f>IF(L184="","",IF(VLOOKUP(L184,'G-3 Multipliers'!$L$3:$N$6,2,FALSE)=0,"Spatial Data Missing",VLOOKUP(L184,'G-3 Multipliers'!$L$3:$N$6,2,FALSE)))</f>
        <v/>
      </c>
      <c r="N184" s="281" t="str">
        <f>IF(L184="","",IF(VLOOKUP(L184,'G-3 Multipliers'!$L$3:$N$6,3,FALSE)=0,"Spatial Data Missing",VLOOKUP(L184,'G-3 Multipliers'!$L$3:$N$6,3,FALSE)))</f>
        <v/>
      </c>
      <c r="O184" s="275" t="str">
        <f t="shared" si="12"/>
        <v/>
      </c>
      <c r="P184" s="58"/>
      <c r="Q184" s="58"/>
      <c r="R184" s="283" t="str">
        <f t="shared" si="14"/>
        <v/>
      </c>
      <c r="S184" s="296" t="str">
        <f t="shared" si="15"/>
        <v/>
      </c>
      <c r="T184" s="297" t="str">
        <f>IFERROR(IF(S184="Check Data ⚠","Check Data ⚠",VLOOKUP(S184,'G-4 Temporal multipliers'!$A$4:$C$37,3,FALSE)),"")</f>
        <v/>
      </c>
      <c r="U184" s="298" t="str">
        <f>IF(F184="","",VLOOKUP(F184,'G-3 Multipliers'!$A$2:$E$134,2,FALSE))</f>
        <v/>
      </c>
      <c r="V184" s="295" t="str">
        <f t="shared" si="16"/>
        <v/>
      </c>
      <c r="W184" s="295" t="str">
        <f>IF(E184="","",IF(AND(V184="Standard difficulty applied",O184&gt;P184),U184,IF(AND(V184="Low Difficulty - only applicable if all habitat created before losses ⚠",P184&gt;=O184),"Low",VLOOKUP(F184,'G-3 Multipliers'!$A$2:$E$134,4,FALSE))))</f>
        <v/>
      </c>
      <c r="X184" s="299" t="str">
        <f>IFERROR(IF(E184="","",VLOOKUP(W184,'G-3 Multipliers'!$P$2:$Q$6,2,FALSE)),"")</f>
        <v/>
      </c>
      <c r="Y184" s="303" t="str">
        <f t="shared" si="17"/>
        <v/>
      </c>
      <c r="Z184" s="52"/>
      <c r="AA184" s="51"/>
      <c r="AB184" s="104"/>
      <c r="AE184" s="40" t="str">
        <f t="shared" si="13"/>
        <v/>
      </c>
    </row>
    <row r="185" spans="1:31" ht="14" hidden="1">
      <c r="A185" s="35" t="str">
        <f>IFERROR(INDEX('G-8 Condition Look up'!$I$4:$I$135,MATCH(F185,'G-8 Condition Look up'!$A$4:$A$135,0)),"")</f>
        <v/>
      </c>
      <c r="B185" s="225">
        <v>175</v>
      </c>
      <c r="C185" s="232" t="str">
        <f>IFERROR(INDEX('G-1 All Habitats'!$AG$25:$AG$41,MATCH(D185,'G-1 All Habitats'!AF$25:AF$41,0)),"")</f>
        <v/>
      </c>
      <c r="D185" s="52"/>
      <c r="E185" s="57"/>
      <c r="F185" s="231" t="str">
        <f>IFERROR(INDEX('G-1 All Habitats'!$B$3:$B$135,MATCH(E185,'G-1 All Habitats'!$A$3:$A$135,0)),"")</f>
        <v/>
      </c>
      <c r="G185" s="51"/>
      <c r="H185" s="275" t="str">
        <f>IF(F185="","",VLOOKUP(F185,'G-1 All Habitats'!$B$2:$M$135,10,FALSE))</f>
        <v/>
      </c>
      <c r="I185" s="276" t="str">
        <f>IFERROR(VLOOKUP(H185,'G-1 All Habitats'!$V$3:$W$7,2,FALSE),"")</f>
        <v/>
      </c>
      <c r="J185" s="52"/>
      <c r="K185" s="276" t="str">
        <f>IFERROR(INDEX('G-8 Condition Look up'!$A$3:$H$135,MATCH(F185,'G-8 Condition Look up'!$A$3:$A$135,0),MATCH(J185,'G-8 Condition Look up'!$A$3:$H$3,0)),"")</f>
        <v/>
      </c>
      <c r="L185" s="52"/>
      <c r="M185" s="283" t="str">
        <f>IF(L185="","",IF(VLOOKUP(L185,'G-3 Multipliers'!$L$3:$N$6,2,FALSE)=0,"Spatial Data Missing",VLOOKUP(L185,'G-3 Multipliers'!$L$3:$N$6,2,FALSE)))</f>
        <v/>
      </c>
      <c r="N185" s="281" t="str">
        <f>IF(L185="","",IF(VLOOKUP(L185,'G-3 Multipliers'!$L$3:$N$6,3,FALSE)=0,"Spatial Data Missing",VLOOKUP(L185,'G-3 Multipliers'!$L$3:$N$6,3,FALSE)))</f>
        <v/>
      </c>
      <c r="O185" s="275" t="str">
        <f t="shared" si="12"/>
        <v/>
      </c>
      <c r="P185" s="58"/>
      <c r="Q185" s="58"/>
      <c r="R185" s="283" t="str">
        <f t="shared" si="14"/>
        <v/>
      </c>
      <c r="S185" s="296" t="str">
        <f t="shared" si="15"/>
        <v/>
      </c>
      <c r="T185" s="297" t="str">
        <f>IFERROR(IF(S185="Check Data ⚠","Check Data ⚠",VLOOKUP(S185,'G-4 Temporal multipliers'!$A$4:$C$37,3,FALSE)),"")</f>
        <v/>
      </c>
      <c r="U185" s="298" t="str">
        <f>IF(F185="","",VLOOKUP(F185,'G-3 Multipliers'!$A$2:$E$134,2,FALSE))</f>
        <v/>
      </c>
      <c r="V185" s="295" t="str">
        <f t="shared" si="16"/>
        <v/>
      </c>
      <c r="W185" s="295" t="str">
        <f>IF(E185="","",IF(AND(V185="Standard difficulty applied",O185&gt;P185),U185,IF(AND(V185="Low Difficulty - only applicable if all habitat created before losses ⚠",P185&gt;=O185),"Low",VLOOKUP(F185,'G-3 Multipliers'!$A$2:$E$134,4,FALSE))))</f>
        <v/>
      </c>
      <c r="X185" s="299" t="str">
        <f>IFERROR(IF(E185="","",VLOOKUP(W185,'G-3 Multipliers'!$P$2:$Q$6,2,FALSE)),"")</f>
        <v/>
      </c>
      <c r="Y185" s="303" t="str">
        <f t="shared" si="17"/>
        <v/>
      </c>
      <c r="Z185" s="52"/>
      <c r="AA185" s="51"/>
      <c r="AB185" s="104"/>
      <c r="AE185" s="40" t="str">
        <f t="shared" si="13"/>
        <v/>
      </c>
    </row>
    <row r="186" spans="1:31" ht="14" hidden="1">
      <c r="A186" s="35" t="str">
        <f>IFERROR(INDEX('G-8 Condition Look up'!$I$4:$I$135,MATCH(F186,'G-8 Condition Look up'!$A$4:$A$135,0)),"")</f>
        <v/>
      </c>
      <c r="B186" s="225">
        <v>176</v>
      </c>
      <c r="C186" s="232" t="str">
        <f>IFERROR(INDEX('G-1 All Habitats'!$AG$25:$AG$41,MATCH(D186,'G-1 All Habitats'!AF$25:AF$41,0)),"")</f>
        <v/>
      </c>
      <c r="D186" s="52"/>
      <c r="E186" s="57"/>
      <c r="F186" s="231" t="str">
        <f>IFERROR(INDEX('G-1 All Habitats'!$B$3:$B$135,MATCH(E186,'G-1 All Habitats'!$A$3:$A$135,0)),"")</f>
        <v/>
      </c>
      <c r="G186" s="51"/>
      <c r="H186" s="275" t="str">
        <f>IF(F186="","",VLOOKUP(F186,'G-1 All Habitats'!$B$2:$M$135,10,FALSE))</f>
        <v/>
      </c>
      <c r="I186" s="276" t="str">
        <f>IFERROR(VLOOKUP(H186,'G-1 All Habitats'!$V$3:$W$7,2,FALSE),"")</f>
        <v/>
      </c>
      <c r="J186" s="52"/>
      <c r="K186" s="276" t="str">
        <f>IFERROR(INDEX('G-8 Condition Look up'!$A$3:$H$135,MATCH(F186,'G-8 Condition Look up'!$A$3:$A$135,0),MATCH(J186,'G-8 Condition Look up'!$A$3:$H$3,0)),"")</f>
        <v/>
      </c>
      <c r="L186" s="52"/>
      <c r="M186" s="283" t="str">
        <f>IF(L186="","",IF(VLOOKUP(L186,'G-3 Multipliers'!$L$3:$N$6,2,FALSE)=0,"Spatial Data Missing",VLOOKUP(L186,'G-3 Multipliers'!$L$3:$N$6,2,FALSE)))</f>
        <v/>
      </c>
      <c r="N186" s="281" t="str">
        <f>IF(L186="","",IF(VLOOKUP(L186,'G-3 Multipliers'!$L$3:$N$6,3,FALSE)=0,"Spatial Data Missing",VLOOKUP(L186,'G-3 Multipliers'!$L$3:$N$6,3,FALSE)))</f>
        <v/>
      </c>
      <c r="O186" s="275" t="str">
        <f t="shared" si="12"/>
        <v/>
      </c>
      <c r="P186" s="58"/>
      <c r="Q186" s="58"/>
      <c r="R186" s="283" t="str">
        <f t="shared" si="14"/>
        <v/>
      </c>
      <c r="S186" s="296" t="str">
        <f t="shared" si="15"/>
        <v/>
      </c>
      <c r="T186" s="297" t="str">
        <f>IFERROR(IF(S186="Check Data ⚠","Check Data ⚠",VLOOKUP(S186,'G-4 Temporal multipliers'!$A$4:$C$37,3,FALSE)),"")</f>
        <v/>
      </c>
      <c r="U186" s="298" t="str">
        <f>IF(F186="","",VLOOKUP(F186,'G-3 Multipliers'!$A$2:$E$134,2,FALSE))</f>
        <v/>
      </c>
      <c r="V186" s="295" t="str">
        <f t="shared" si="16"/>
        <v/>
      </c>
      <c r="W186" s="295" t="str">
        <f>IF(E186="","",IF(AND(V186="Standard difficulty applied",O186&gt;P186),U186,IF(AND(V186="Low Difficulty - only applicable if all habitat created before losses ⚠",P186&gt;=O186),"Low",VLOOKUP(F186,'G-3 Multipliers'!$A$2:$E$134,4,FALSE))))</f>
        <v/>
      </c>
      <c r="X186" s="299" t="str">
        <f>IFERROR(IF(E186="","",VLOOKUP(W186,'G-3 Multipliers'!$P$2:$Q$6,2,FALSE)),"")</f>
        <v/>
      </c>
      <c r="Y186" s="303" t="str">
        <f t="shared" si="17"/>
        <v/>
      </c>
      <c r="Z186" s="52"/>
      <c r="AA186" s="51"/>
      <c r="AB186" s="104"/>
      <c r="AE186" s="40" t="str">
        <f t="shared" si="13"/>
        <v/>
      </c>
    </row>
    <row r="187" spans="1:31" ht="14" hidden="1">
      <c r="A187" s="35" t="str">
        <f>IFERROR(INDEX('G-8 Condition Look up'!$I$4:$I$135,MATCH(F187,'G-8 Condition Look up'!$A$4:$A$135,0)),"")</f>
        <v/>
      </c>
      <c r="B187" s="225">
        <v>177</v>
      </c>
      <c r="C187" s="232" t="str">
        <f>IFERROR(INDEX('G-1 All Habitats'!$AG$25:$AG$41,MATCH(D187,'G-1 All Habitats'!AF$25:AF$41,0)),"")</f>
        <v/>
      </c>
      <c r="D187" s="52"/>
      <c r="E187" s="57"/>
      <c r="F187" s="231" t="str">
        <f>IFERROR(INDEX('G-1 All Habitats'!$B$3:$B$135,MATCH(E187,'G-1 All Habitats'!$A$3:$A$135,0)),"")</f>
        <v/>
      </c>
      <c r="G187" s="51"/>
      <c r="H187" s="275" t="str">
        <f>IF(F187="","",VLOOKUP(F187,'G-1 All Habitats'!$B$2:$M$135,10,FALSE))</f>
        <v/>
      </c>
      <c r="I187" s="276" t="str">
        <f>IFERROR(VLOOKUP(H187,'G-1 All Habitats'!$V$3:$W$7,2,FALSE),"")</f>
        <v/>
      </c>
      <c r="J187" s="52"/>
      <c r="K187" s="276" t="str">
        <f>IFERROR(INDEX('G-8 Condition Look up'!$A$3:$H$135,MATCH(F187,'G-8 Condition Look up'!$A$3:$A$135,0),MATCH(J187,'G-8 Condition Look up'!$A$3:$H$3,0)),"")</f>
        <v/>
      </c>
      <c r="L187" s="52"/>
      <c r="M187" s="283" t="str">
        <f>IF(L187="","",IF(VLOOKUP(L187,'G-3 Multipliers'!$L$3:$N$6,2,FALSE)=0,"Spatial Data Missing",VLOOKUP(L187,'G-3 Multipliers'!$L$3:$N$6,2,FALSE)))</f>
        <v/>
      </c>
      <c r="N187" s="281" t="str">
        <f>IF(L187="","",IF(VLOOKUP(L187,'G-3 Multipliers'!$L$3:$N$6,3,FALSE)=0,"Spatial Data Missing",VLOOKUP(L187,'G-3 Multipliers'!$L$3:$N$6,3,FALSE)))</f>
        <v/>
      </c>
      <c r="O187" s="275" t="str">
        <f t="shared" si="12"/>
        <v/>
      </c>
      <c r="P187" s="58"/>
      <c r="Q187" s="58"/>
      <c r="R187" s="283" t="str">
        <f t="shared" si="14"/>
        <v/>
      </c>
      <c r="S187" s="296" t="str">
        <f t="shared" si="15"/>
        <v/>
      </c>
      <c r="T187" s="297" t="str">
        <f>IFERROR(IF(S187="Check Data ⚠","Check Data ⚠",VLOOKUP(S187,'G-4 Temporal multipliers'!$A$4:$C$37,3,FALSE)),"")</f>
        <v/>
      </c>
      <c r="U187" s="298" t="str">
        <f>IF(F187="","",VLOOKUP(F187,'G-3 Multipliers'!$A$2:$E$134,2,FALSE))</f>
        <v/>
      </c>
      <c r="V187" s="295" t="str">
        <f t="shared" si="16"/>
        <v/>
      </c>
      <c r="W187" s="295" t="str">
        <f>IF(E187="","",IF(AND(V187="Standard difficulty applied",O187&gt;P187),U187,IF(AND(V187="Low Difficulty - only applicable if all habitat created before losses ⚠",P187&gt;=O187),"Low",VLOOKUP(F187,'G-3 Multipliers'!$A$2:$E$134,4,FALSE))))</f>
        <v/>
      </c>
      <c r="X187" s="299" t="str">
        <f>IFERROR(IF(E187="","",VLOOKUP(W187,'G-3 Multipliers'!$P$2:$Q$6,2,FALSE)),"")</f>
        <v/>
      </c>
      <c r="Y187" s="303" t="str">
        <f t="shared" si="17"/>
        <v/>
      </c>
      <c r="Z187" s="52"/>
      <c r="AA187" s="51"/>
      <c r="AB187" s="104"/>
      <c r="AE187" s="40" t="str">
        <f t="shared" si="13"/>
        <v/>
      </c>
    </row>
    <row r="188" spans="1:31" ht="14" hidden="1">
      <c r="A188" s="35" t="str">
        <f>IFERROR(INDEX('G-8 Condition Look up'!$I$4:$I$135,MATCH(F188,'G-8 Condition Look up'!$A$4:$A$135,0)),"")</f>
        <v/>
      </c>
      <c r="B188" s="225">
        <v>178</v>
      </c>
      <c r="C188" s="232" t="str">
        <f>IFERROR(INDEX('G-1 All Habitats'!$AG$25:$AG$41,MATCH(D188,'G-1 All Habitats'!AF$25:AF$41,0)),"")</f>
        <v/>
      </c>
      <c r="D188" s="52"/>
      <c r="E188" s="57"/>
      <c r="F188" s="231" t="str">
        <f>IFERROR(INDEX('G-1 All Habitats'!$B$3:$B$135,MATCH(E188,'G-1 All Habitats'!$A$3:$A$135,0)),"")</f>
        <v/>
      </c>
      <c r="G188" s="51"/>
      <c r="H188" s="275" t="str">
        <f>IF(F188="","",VLOOKUP(F188,'G-1 All Habitats'!$B$2:$M$135,10,FALSE))</f>
        <v/>
      </c>
      <c r="I188" s="276" t="str">
        <f>IFERROR(VLOOKUP(H188,'G-1 All Habitats'!$V$3:$W$7,2,FALSE),"")</f>
        <v/>
      </c>
      <c r="J188" s="52"/>
      <c r="K188" s="276" t="str">
        <f>IFERROR(INDEX('G-8 Condition Look up'!$A$3:$H$135,MATCH(F188,'G-8 Condition Look up'!$A$3:$A$135,0),MATCH(J188,'G-8 Condition Look up'!$A$3:$H$3,0)),"")</f>
        <v/>
      </c>
      <c r="L188" s="52"/>
      <c r="M188" s="283" t="str">
        <f>IF(L188="","",IF(VLOOKUP(L188,'G-3 Multipliers'!$L$3:$N$6,2,FALSE)=0,"Spatial Data Missing",VLOOKUP(L188,'G-3 Multipliers'!$L$3:$N$6,2,FALSE)))</f>
        <v/>
      </c>
      <c r="N188" s="281" t="str">
        <f>IF(L188="","",IF(VLOOKUP(L188,'G-3 Multipliers'!$L$3:$N$6,3,FALSE)=0,"Spatial Data Missing",VLOOKUP(L188,'G-3 Multipliers'!$L$3:$N$6,3,FALSE)))</f>
        <v/>
      </c>
      <c r="O188" s="275" t="str">
        <f t="shared" si="12"/>
        <v/>
      </c>
      <c r="P188" s="58"/>
      <c r="Q188" s="58"/>
      <c r="R188" s="283" t="str">
        <f t="shared" si="14"/>
        <v/>
      </c>
      <c r="S188" s="296" t="str">
        <f t="shared" si="15"/>
        <v/>
      </c>
      <c r="T188" s="297" t="str">
        <f>IFERROR(IF(S188="Check Data ⚠","Check Data ⚠",VLOOKUP(S188,'G-4 Temporal multipliers'!$A$4:$C$37,3,FALSE)),"")</f>
        <v/>
      </c>
      <c r="U188" s="298" t="str">
        <f>IF(F188="","",VLOOKUP(F188,'G-3 Multipliers'!$A$2:$E$134,2,FALSE))</f>
        <v/>
      </c>
      <c r="V188" s="295" t="str">
        <f t="shared" si="16"/>
        <v/>
      </c>
      <c r="W188" s="295" t="str">
        <f>IF(E188="","",IF(AND(V188="Standard difficulty applied",O188&gt;P188),U188,IF(AND(V188="Low Difficulty - only applicable if all habitat created before losses ⚠",P188&gt;=O188),"Low",VLOOKUP(F188,'G-3 Multipliers'!$A$2:$E$134,4,FALSE))))</f>
        <v/>
      </c>
      <c r="X188" s="299" t="str">
        <f>IFERROR(IF(E188="","",VLOOKUP(W188,'G-3 Multipliers'!$P$2:$Q$6,2,FALSE)),"")</f>
        <v/>
      </c>
      <c r="Y188" s="303" t="str">
        <f t="shared" si="17"/>
        <v/>
      </c>
      <c r="Z188" s="52"/>
      <c r="AA188" s="51"/>
      <c r="AB188" s="104"/>
      <c r="AE188" s="40" t="str">
        <f t="shared" si="13"/>
        <v/>
      </c>
    </row>
    <row r="189" spans="1:31" ht="14" hidden="1">
      <c r="A189" s="35" t="str">
        <f>IFERROR(INDEX('G-8 Condition Look up'!$I$4:$I$135,MATCH(F189,'G-8 Condition Look up'!$A$4:$A$135,0)),"")</f>
        <v/>
      </c>
      <c r="B189" s="225">
        <v>179</v>
      </c>
      <c r="C189" s="232" t="str">
        <f>IFERROR(INDEX('G-1 All Habitats'!$AG$25:$AG$41,MATCH(D189,'G-1 All Habitats'!AF$25:AF$41,0)),"")</f>
        <v/>
      </c>
      <c r="D189" s="52"/>
      <c r="E189" s="57"/>
      <c r="F189" s="231" t="str">
        <f>IFERROR(INDEX('G-1 All Habitats'!$B$3:$B$135,MATCH(E189,'G-1 All Habitats'!$A$3:$A$135,0)),"")</f>
        <v/>
      </c>
      <c r="G189" s="51"/>
      <c r="H189" s="275" t="str">
        <f>IF(F189="","",VLOOKUP(F189,'G-1 All Habitats'!$B$2:$M$135,10,FALSE))</f>
        <v/>
      </c>
      <c r="I189" s="276" t="str">
        <f>IFERROR(VLOOKUP(H189,'G-1 All Habitats'!$V$3:$W$7,2,FALSE),"")</f>
        <v/>
      </c>
      <c r="J189" s="52"/>
      <c r="K189" s="276" t="str">
        <f>IFERROR(INDEX('G-8 Condition Look up'!$A$3:$H$135,MATCH(F189,'G-8 Condition Look up'!$A$3:$A$135,0),MATCH(J189,'G-8 Condition Look up'!$A$3:$H$3,0)),"")</f>
        <v/>
      </c>
      <c r="L189" s="52"/>
      <c r="M189" s="283" t="str">
        <f>IF(L189="","",IF(VLOOKUP(L189,'G-3 Multipliers'!$L$3:$N$6,2,FALSE)=0,"Spatial Data Missing",VLOOKUP(L189,'G-3 Multipliers'!$L$3:$N$6,2,FALSE)))</f>
        <v/>
      </c>
      <c r="N189" s="281" t="str">
        <f>IF(L189="","",IF(VLOOKUP(L189,'G-3 Multipliers'!$L$3:$N$6,3,FALSE)=0,"Spatial Data Missing",VLOOKUP(L189,'G-3 Multipliers'!$L$3:$N$6,3,FALSE)))</f>
        <v/>
      </c>
      <c r="O189" s="275" t="str">
        <f t="shared" si="12"/>
        <v/>
      </c>
      <c r="P189" s="58"/>
      <c r="Q189" s="58"/>
      <c r="R189" s="283" t="str">
        <f t="shared" si="14"/>
        <v/>
      </c>
      <c r="S189" s="296" t="str">
        <f t="shared" si="15"/>
        <v/>
      </c>
      <c r="T189" s="297" t="str">
        <f>IFERROR(IF(S189="Check Data ⚠","Check Data ⚠",VLOOKUP(S189,'G-4 Temporal multipliers'!$A$4:$C$37,3,FALSE)),"")</f>
        <v/>
      </c>
      <c r="U189" s="298" t="str">
        <f>IF(F189="","",VLOOKUP(F189,'G-3 Multipliers'!$A$2:$E$134,2,FALSE))</f>
        <v/>
      </c>
      <c r="V189" s="295" t="str">
        <f t="shared" si="16"/>
        <v/>
      </c>
      <c r="W189" s="295" t="str">
        <f>IF(E189="","",IF(AND(V189="Standard difficulty applied",O189&gt;P189),U189,IF(AND(V189="Low Difficulty - only applicable if all habitat created before losses ⚠",P189&gt;=O189),"Low",VLOOKUP(F189,'G-3 Multipliers'!$A$2:$E$134,4,FALSE))))</f>
        <v/>
      </c>
      <c r="X189" s="299" t="str">
        <f>IFERROR(IF(E189="","",VLOOKUP(W189,'G-3 Multipliers'!$P$2:$Q$6,2,FALSE)),"")</f>
        <v/>
      </c>
      <c r="Y189" s="303" t="str">
        <f t="shared" si="17"/>
        <v/>
      </c>
      <c r="Z189" s="52"/>
      <c r="AA189" s="51"/>
      <c r="AB189" s="104"/>
      <c r="AE189" s="40" t="str">
        <f t="shared" si="13"/>
        <v/>
      </c>
    </row>
    <row r="190" spans="1:31" ht="14" hidden="1">
      <c r="A190" s="35" t="str">
        <f>IFERROR(INDEX('G-8 Condition Look up'!$I$4:$I$135,MATCH(F190,'G-8 Condition Look up'!$A$4:$A$135,0)),"")</f>
        <v/>
      </c>
      <c r="B190" s="225">
        <v>180</v>
      </c>
      <c r="C190" s="232" t="str">
        <f>IFERROR(INDEX('G-1 All Habitats'!$AG$25:$AG$41,MATCH(D190,'G-1 All Habitats'!AF$25:AF$41,0)),"")</f>
        <v/>
      </c>
      <c r="D190" s="52"/>
      <c r="E190" s="57"/>
      <c r="F190" s="231" t="str">
        <f>IFERROR(INDEX('G-1 All Habitats'!$B$3:$B$135,MATCH(E190,'G-1 All Habitats'!$A$3:$A$135,0)),"")</f>
        <v/>
      </c>
      <c r="G190" s="51"/>
      <c r="H190" s="275" t="str">
        <f>IF(F190="","",VLOOKUP(F190,'G-1 All Habitats'!$B$2:$M$135,10,FALSE))</f>
        <v/>
      </c>
      <c r="I190" s="276" t="str">
        <f>IFERROR(VLOOKUP(H190,'G-1 All Habitats'!$V$3:$W$7,2,FALSE),"")</f>
        <v/>
      </c>
      <c r="J190" s="52"/>
      <c r="K190" s="276" t="str">
        <f>IFERROR(INDEX('G-8 Condition Look up'!$A$3:$H$135,MATCH(F190,'G-8 Condition Look up'!$A$3:$A$135,0),MATCH(J190,'G-8 Condition Look up'!$A$3:$H$3,0)),"")</f>
        <v/>
      </c>
      <c r="L190" s="52"/>
      <c r="M190" s="283" t="str">
        <f>IF(L190="","",IF(VLOOKUP(L190,'G-3 Multipliers'!$L$3:$N$6,2,FALSE)=0,"Spatial Data Missing",VLOOKUP(L190,'G-3 Multipliers'!$L$3:$N$6,2,FALSE)))</f>
        <v/>
      </c>
      <c r="N190" s="281" t="str">
        <f>IF(L190="","",IF(VLOOKUP(L190,'G-3 Multipliers'!$L$3:$N$6,3,FALSE)=0,"Spatial Data Missing",VLOOKUP(L190,'G-3 Multipliers'!$L$3:$N$6,3,FALSE)))</f>
        <v/>
      </c>
      <c r="O190" s="275" t="str">
        <f t="shared" si="12"/>
        <v/>
      </c>
      <c r="P190" s="58"/>
      <c r="Q190" s="58"/>
      <c r="R190" s="283" t="str">
        <f t="shared" si="14"/>
        <v/>
      </c>
      <c r="S190" s="296" t="str">
        <f t="shared" si="15"/>
        <v/>
      </c>
      <c r="T190" s="297" t="str">
        <f>IFERROR(IF(S190="Check Data ⚠","Check Data ⚠",VLOOKUP(S190,'G-4 Temporal multipliers'!$A$4:$C$37,3,FALSE)),"")</f>
        <v/>
      </c>
      <c r="U190" s="298" t="str">
        <f>IF(F190="","",VLOOKUP(F190,'G-3 Multipliers'!$A$2:$E$134,2,FALSE))</f>
        <v/>
      </c>
      <c r="V190" s="295" t="str">
        <f t="shared" si="16"/>
        <v/>
      </c>
      <c r="W190" s="295" t="str">
        <f>IF(E190="","",IF(AND(V190="Standard difficulty applied",O190&gt;P190),U190,IF(AND(V190="Low Difficulty - only applicable if all habitat created before losses ⚠",P190&gt;=O190),"Low",VLOOKUP(F190,'G-3 Multipliers'!$A$2:$E$134,4,FALSE))))</f>
        <v/>
      </c>
      <c r="X190" s="299" t="str">
        <f>IFERROR(IF(E190="","",VLOOKUP(W190,'G-3 Multipliers'!$P$2:$Q$6,2,FALSE)),"")</f>
        <v/>
      </c>
      <c r="Y190" s="303" t="str">
        <f t="shared" si="17"/>
        <v/>
      </c>
      <c r="Z190" s="52"/>
      <c r="AA190" s="51"/>
      <c r="AB190" s="104"/>
      <c r="AE190" s="40" t="str">
        <f t="shared" si="13"/>
        <v/>
      </c>
    </row>
    <row r="191" spans="1:31" ht="14" hidden="1">
      <c r="A191" s="35" t="str">
        <f>IFERROR(INDEX('G-8 Condition Look up'!$I$4:$I$135,MATCH(F191,'G-8 Condition Look up'!$A$4:$A$135,0)),"")</f>
        <v/>
      </c>
      <c r="B191" s="225">
        <v>181</v>
      </c>
      <c r="C191" s="232" t="str">
        <f>IFERROR(INDEX('G-1 All Habitats'!$AG$25:$AG$41,MATCH(D191,'G-1 All Habitats'!AF$25:AF$41,0)),"")</f>
        <v/>
      </c>
      <c r="D191" s="52"/>
      <c r="E191" s="57"/>
      <c r="F191" s="231" t="str">
        <f>IFERROR(INDEX('G-1 All Habitats'!$B$3:$B$135,MATCH(E191,'G-1 All Habitats'!$A$3:$A$135,0)),"")</f>
        <v/>
      </c>
      <c r="G191" s="51"/>
      <c r="H191" s="275" t="str">
        <f>IF(F191="","",VLOOKUP(F191,'G-1 All Habitats'!$B$2:$M$135,10,FALSE))</f>
        <v/>
      </c>
      <c r="I191" s="276" t="str">
        <f>IFERROR(VLOOKUP(H191,'G-1 All Habitats'!$V$3:$W$7,2,FALSE),"")</f>
        <v/>
      </c>
      <c r="J191" s="52"/>
      <c r="K191" s="276" t="str">
        <f>IFERROR(INDEX('G-8 Condition Look up'!$A$3:$H$135,MATCH(F191,'G-8 Condition Look up'!$A$3:$A$135,0),MATCH(J191,'G-8 Condition Look up'!$A$3:$H$3,0)),"")</f>
        <v/>
      </c>
      <c r="L191" s="52"/>
      <c r="M191" s="283" t="str">
        <f>IF(L191="","",IF(VLOOKUP(L191,'G-3 Multipliers'!$L$3:$N$6,2,FALSE)=0,"Spatial Data Missing",VLOOKUP(L191,'G-3 Multipliers'!$L$3:$N$6,2,FALSE)))</f>
        <v/>
      </c>
      <c r="N191" s="281" t="str">
        <f>IF(L191="","",IF(VLOOKUP(L191,'G-3 Multipliers'!$L$3:$N$6,3,FALSE)=0,"Spatial Data Missing",VLOOKUP(L191,'G-3 Multipliers'!$L$3:$N$6,3,FALSE)))</f>
        <v/>
      </c>
      <c r="O191" s="275" t="str">
        <f t="shared" si="12"/>
        <v/>
      </c>
      <c r="P191" s="58"/>
      <c r="Q191" s="58"/>
      <c r="R191" s="283" t="str">
        <f t="shared" si="14"/>
        <v/>
      </c>
      <c r="S191" s="296" t="str">
        <f t="shared" si="15"/>
        <v/>
      </c>
      <c r="T191" s="297" t="str">
        <f>IFERROR(IF(S191="Check Data ⚠","Check Data ⚠",VLOOKUP(S191,'G-4 Temporal multipliers'!$A$4:$C$37,3,FALSE)),"")</f>
        <v/>
      </c>
      <c r="U191" s="298" t="str">
        <f>IF(F191="","",VLOOKUP(F191,'G-3 Multipliers'!$A$2:$E$134,2,FALSE))</f>
        <v/>
      </c>
      <c r="V191" s="295" t="str">
        <f t="shared" si="16"/>
        <v/>
      </c>
      <c r="W191" s="295" t="str">
        <f>IF(E191="","",IF(AND(V191="Standard difficulty applied",O191&gt;P191),U191,IF(AND(V191="Low Difficulty - only applicable if all habitat created before losses ⚠",P191&gt;=O191),"Low",VLOOKUP(F191,'G-3 Multipliers'!$A$2:$E$134,4,FALSE))))</f>
        <v/>
      </c>
      <c r="X191" s="299" t="str">
        <f>IFERROR(IF(E191="","",VLOOKUP(W191,'G-3 Multipliers'!$P$2:$Q$6,2,FALSE)),"")</f>
        <v/>
      </c>
      <c r="Y191" s="303" t="str">
        <f t="shared" si="17"/>
        <v/>
      </c>
      <c r="Z191" s="52"/>
      <c r="AA191" s="51"/>
      <c r="AB191" s="104"/>
      <c r="AE191" s="40" t="str">
        <f t="shared" si="13"/>
        <v/>
      </c>
    </row>
    <row r="192" spans="1:31" ht="14" hidden="1">
      <c r="A192" s="35" t="str">
        <f>IFERROR(INDEX('G-8 Condition Look up'!$I$4:$I$135,MATCH(F192,'G-8 Condition Look up'!$A$4:$A$135,0)),"")</f>
        <v/>
      </c>
      <c r="B192" s="225">
        <v>182</v>
      </c>
      <c r="C192" s="232" t="str">
        <f>IFERROR(INDEX('G-1 All Habitats'!$AG$25:$AG$41,MATCH(D192,'G-1 All Habitats'!AF$25:AF$41,0)),"")</f>
        <v/>
      </c>
      <c r="D192" s="52"/>
      <c r="E192" s="57"/>
      <c r="F192" s="231" t="str">
        <f>IFERROR(INDEX('G-1 All Habitats'!$B$3:$B$135,MATCH(E192,'G-1 All Habitats'!$A$3:$A$135,0)),"")</f>
        <v/>
      </c>
      <c r="G192" s="51"/>
      <c r="H192" s="275" t="str">
        <f>IF(F192="","",VLOOKUP(F192,'G-1 All Habitats'!$B$2:$M$135,10,FALSE))</f>
        <v/>
      </c>
      <c r="I192" s="276" t="str">
        <f>IFERROR(VLOOKUP(H192,'G-1 All Habitats'!$V$3:$W$7,2,FALSE),"")</f>
        <v/>
      </c>
      <c r="J192" s="52"/>
      <c r="K192" s="276" t="str">
        <f>IFERROR(INDEX('G-8 Condition Look up'!$A$3:$H$135,MATCH(F192,'G-8 Condition Look up'!$A$3:$A$135,0),MATCH(J192,'G-8 Condition Look up'!$A$3:$H$3,0)),"")</f>
        <v/>
      </c>
      <c r="L192" s="52"/>
      <c r="M192" s="283" t="str">
        <f>IF(L192="","",IF(VLOOKUP(L192,'G-3 Multipliers'!$L$3:$N$6,2,FALSE)=0,"Spatial Data Missing",VLOOKUP(L192,'G-3 Multipliers'!$L$3:$N$6,2,FALSE)))</f>
        <v/>
      </c>
      <c r="N192" s="281" t="str">
        <f>IF(L192="","",IF(VLOOKUP(L192,'G-3 Multipliers'!$L$3:$N$6,3,FALSE)=0,"Spatial Data Missing",VLOOKUP(L192,'G-3 Multipliers'!$L$3:$N$6,3,FALSE)))</f>
        <v/>
      </c>
      <c r="O192" s="275" t="str">
        <f t="shared" si="12"/>
        <v/>
      </c>
      <c r="P192" s="58"/>
      <c r="Q192" s="58"/>
      <c r="R192" s="283" t="str">
        <f t="shared" si="14"/>
        <v/>
      </c>
      <c r="S192" s="296" t="str">
        <f t="shared" si="15"/>
        <v/>
      </c>
      <c r="T192" s="297" t="str">
        <f>IFERROR(IF(S192="Check Data ⚠","Check Data ⚠",VLOOKUP(S192,'G-4 Temporal multipliers'!$A$4:$C$37,3,FALSE)),"")</f>
        <v/>
      </c>
      <c r="U192" s="298" t="str">
        <f>IF(F192="","",VLOOKUP(F192,'G-3 Multipliers'!$A$2:$E$134,2,FALSE))</f>
        <v/>
      </c>
      <c r="V192" s="295" t="str">
        <f t="shared" si="16"/>
        <v/>
      </c>
      <c r="W192" s="295" t="str">
        <f>IF(E192="","",IF(AND(V192="Standard difficulty applied",O192&gt;P192),U192,IF(AND(V192="Low Difficulty - only applicable if all habitat created before losses ⚠",P192&gt;=O192),"Low",VLOOKUP(F192,'G-3 Multipliers'!$A$2:$E$134,4,FALSE))))</f>
        <v/>
      </c>
      <c r="X192" s="299" t="str">
        <f>IFERROR(IF(E192="","",VLOOKUP(W192,'G-3 Multipliers'!$P$2:$Q$6,2,FALSE)),"")</f>
        <v/>
      </c>
      <c r="Y192" s="303" t="str">
        <f t="shared" si="17"/>
        <v/>
      </c>
      <c r="Z192" s="52"/>
      <c r="AA192" s="51"/>
      <c r="AB192" s="104"/>
      <c r="AE192" s="40" t="str">
        <f t="shared" si="13"/>
        <v/>
      </c>
    </row>
    <row r="193" spans="1:31" ht="14" hidden="1">
      <c r="A193" s="35" t="str">
        <f>IFERROR(INDEX('G-8 Condition Look up'!$I$4:$I$135,MATCH(F193,'G-8 Condition Look up'!$A$4:$A$135,0)),"")</f>
        <v/>
      </c>
      <c r="B193" s="225">
        <v>183</v>
      </c>
      <c r="C193" s="232" t="str">
        <f>IFERROR(INDEX('G-1 All Habitats'!$AG$25:$AG$41,MATCH(D193,'G-1 All Habitats'!AF$25:AF$41,0)),"")</f>
        <v/>
      </c>
      <c r="D193" s="52"/>
      <c r="E193" s="57"/>
      <c r="F193" s="231" t="str">
        <f>IFERROR(INDEX('G-1 All Habitats'!$B$3:$B$135,MATCH(E193,'G-1 All Habitats'!$A$3:$A$135,0)),"")</f>
        <v/>
      </c>
      <c r="G193" s="51"/>
      <c r="H193" s="275" t="str">
        <f>IF(F193="","",VLOOKUP(F193,'G-1 All Habitats'!$B$2:$M$135,10,FALSE))</f>
        <v/>
      </c>
      <c r="I193" s="276" t="str">
        <f>IFERROR(VLOOKUP(H193,'G-1 All Habitats'!$V$3:$W$7,2,FALSE),"")</f>
        <v/>
      </c>
      <c r="J193" s="52"/>
      <c r="K193" s="276" t="str">
        <f>IFERROR(INDEX('G-8 Condition Look up'!$A$3:$H$135,MATCH(F193,'G-8 Condition Look up'!$A$3:$A$135,0),MATCH(J193,'G-8 Condition Look up'!$A$3:$H$3,0)),"")</f>
        <v/>
      </c>
      <c r="L193" s="52"/>
      <c r="M193" s="283" t="str">
        <f>IF(L193="","",IF(VLOOKUP(L193,'G-3 Multipliers'!$L$3:$N$6,2,FALSE)=0,"Spatial Data Missing",VLOOKUP(L193,'G-3 Multipliers'!$L$3:$N$6,2,FALSE)))</f>
        <v/>
      </c>
      <c r="N193" s="281" t="str">
        <f>IF(L193="","",IF(VLOOKUP(L193,'G-3 Multipliers'!$L$3:$N$6,3,FALSE)=0,"Spatial Data Missing",VLOOKUP(L193,'G-3 Multipliers'!$L$3:$N$6,3,FALSE)))</f>
        <v/>
      </c>
      <c r="O193" s="275" t="str">
        <f t="shared" si="12"/>
        <v/>
      </c>
      <c r="P193" s="58"/>
      <c r="Q193" s="58"/>
      <c r="R193" s="283" t="str">
        <f t="shared" si="14"/>
        <v/>
      </c>
      <c r="S193" s="296" t="str">
        <f t="shared" si="15"/>
        <v/>
      </c>
      <c r="T193" s="297" t="str">
        <f>IFERROR(IF(S193="Check Data ⚠","Check Data ⚠",VLOOKUP(S193,'G-4 Temporal multipliers'!$A$4:$C$37,3,FALSE)),"")</f>
        <v/>
      </c>
      <c r="U193" s="298" t="str">
        <f>IF(F193="","",VLOOKUP(F193,'G-3 Multipliers'!$A$2:$E$134,2,FALSE))</f>
        <v/>
      </c>
      <c r="V193" s="295" t="str">
        <f t="shared" si="16"/>
        <v/>
      </c>
      <c r="W193" s="295" t="str">
        <f>IF(E193="","",IF(AND(V193="Standard difficulty applied",O193&gt;P193),U193,IF(AND(V193="Low Difficulty - only applicable if all habitat created before losses ⚠",P193&gt;=O193),"Low",VLOOKUP(F193,'G-3 Multipliers'!$A$2:$E$134,4,FALSE))))</f>
        <v/>
      </c>
      <c r="X193" s="299" t="str">
        <f>IFERROR(IF(E193="","",VLOOKUP(W193,'G-3 Multipliers'!$P$2:$Q$6,2,FALSE)),"")</f>
        <v/>
      </c>
      <c r="Y193" s="303" t="str">
        <f t="shared" si="17"/>
        <v/>
      </c>
      <c r="Z193" s="52"/>
      <c r="AA193" s="51"/>
      <c r="AB193" s="104"/>
      <c r="AE193" s="40" t="str">
        <f t="shared" si="13"/>
        <v/>
      </c>
    </row>
    <row r="194" spans="1:31" ht="14" hidden="1">
      <c r="A194" s="35" t="str">
        <f>IFERROR(INDEX('G-8 Condition Look up'!$I$4:$I$135,MATCH(F194,'G-8 Condition Look up'!$A$4:$A$135,0)),"")</f>
        <v/>
      </c>
      <c r="B194" s="225">
        <v>184</v>
      </c>
      <c r="C194" s="232" t="str">
        <f>IFERROR(INDEX('G-1 All Habitats'!$AG$25:$AG$41,MATCH(D194,'G-1 All Habitats'!AF$25:AF$41,0)),"")</f>
        <v/>
      </c>
      <c r="D194" s="52"/>
      <c r="E194" s="57"/>
      <c r="F194" s="231" t="str">
        <f>IFERROR(INDEX('G-1 All Habitats'!$B$3:$B$135,MATCH(E194,'G-1 All Habitats'!$A$3:$A$135,0)),"")</f>
        <v/>
      </c>
      <c r="G194" s="51"/>
      <c r="H194" s="275" t="str">
        <f>IF(F194="","",VLOOKUP(F194,'G-1 All Habitats'!$B$2:$M$135,10,FALSE))</f>
        <v/>
      </c>
      <c r="I194" s="276" t="str">
        <f>IFERROR(VLOOKUP(H194,'G-1 All Habitats'!$V$3:$W$7,2,FALSE),"")</f>
        <v/>
      </c>
      <c r="J194" s="52"/>
      <c r="K194" s="276" t="str">
        <f>IFERROR(INDEX('G-8 Condition Look up'!$A$3:$H$135,MATCH(F194,'G-8 Condition Look up'!$A$3:$A$135,0),MATCH(J194,'G-8 Condition Look up'!$A$3:$H$3,0)),"")</f>
        <v/>
      </c>
      <c r="L194" s="52"/>
      <c r="M194" s="283" t="str">
        <f>IF(L194="","",IF(VLOOKUP(L194,'G-3 Multipliers'!$L$3:$N$6,2,FALSE)=0,"Spatial Data Missing",VLOOKUP(L194,'G-3 Multipliers'!$L$3:$N$6,2,FALSE)))</f>
        <v/>
      </c>
      <c r="N194" s="281" t="str">
        <f>IF(L194="","",IF(VLOOKUP(L194,'G-3 Multipliers'!$L$3:$N$6,3,FALSE)=0,"Spatial Data Missing",VLOOKUP(L194,'G-3 Multipliers'!$L$3:$N$6,3,FALSE)))</f>
        <v/>
      </c>
      <c r="O194" s="275" t="str">
        <f t="shared" si="12"/>
        <v/>
      </c>
      <c r="P194" s="58"/>
      <c r="Q194" s="58"/>
      <c r="R194" s="283" t="str">
        <f t="shared" si="14"/>
        <v/>
      </c>
      <c r="S194" s="296" t="str">
        <f t="shared" si="15"/>
        <v/>
      </c>
      <c r="T194" s="297" t="str">
        <f>IFERROR(IF(S194="Check Data ⚠","Check Data ⚠",VLOOKUP(S194,'G-4 Temporal multipliers'!$A$4:$C$37,3,FALSE)),"")</f>
        <v/>
      </c>
      <c r="U194" s="298" t="str">
        <f>IF(F194="","",VLOOKUP(F194,'G-3 Multipliers'!$A$2:$E$134,2,FALSE))</f>
        <v/>
      </c>
      <c r="V194" s="295" t="str">
        <f t="shared" si="16"/>
        <v/>
      </c>
      <c r="W194" s="295" t="str">
        <f>IF(E194="","",IF(AND(V194="Standard difficulty applied",O194&gt;P194),U194,IF(AND(V194="Low Difficulty - only applicable if all habitat created before losses ⚠",P194&gt;=O194),"Low",VLOOKUP(F194,'G-3 Multipliers'!$A$2:$E$134,4,FALSE))))</f>
        <v/>
      </c>
      <c r="X194" s="299" t="str">
        <f>IFERROR(IF(E194="","",VLOOKUP(W194,'G-3 Multipliers'!$P$2:$Q$6,2,FALSE)),"")</f>
        <v/>
      </c>
      <c r="Y194" s="303" t="str">
        <f t="shared" si="17"/>
        <v/>
      </c>
      <c r="Z194" s="52"/>
      <c r="AA194" s="51"/>
      <c r="AB194" s="104"/>
      <c r="AE194" s="40" t="str">
        <f t="shared" si="13"/>
        <v/>
      </c>
    </row>
    <row r="195" spans="1:31" ht="14" hidden="1">
      <c r="A195" s="35" t="str">
        <f>IFERROR(INDEX('G-8 Condition Look up'!$I$4:$I$135,MATCH(F195,'G-8 Condition Look up'!$A$4:$A$135,0)),"")</f>
        <v/>
      </c>
      <c r="B195" s="225">
        <v>185</v>
      </c>
      <c r="C195" s="232" t="str">
        <f>IFERROR(INDEX('G-1 All Habitats'!$AG$25:$AG$41,MATCH(D195,'G-1 All Habitats'!AF$25:AF$41,0)),"")</f>
        <v/>
      </c>
      <c r="D195" s="52"/>
      <c r="E195" s="57"/>
      <c r="F195" s="231" t="str">
        <f>IFERROR(INDEX('G-1 All Habitats'!$B$3:$B$135,MATCH(E195,'G-1 All Habitats'!$A$3:$A$135,0)),"")</f>
        <v/>
      </c>
      <c r="G195" s="51"/>
      <c r="H195" s="275" t="str">
        <f>IF(F195="","",VLOOKUP(F195,'G-1 All Habitats'!$B$2:$M$135,10,FALSE))</f>
        <v/>
      </c>
      <c r="I195" s="276" t="str">
        <f>IFERROR(VLOOKUP(H195,'G-1 All Habitats'!$V$3:$W$7,2,FALSE),"")</f>
        <v/>
      </c>
      <c r="J195" s="52"/>
      <c r="K195" s="276" t="str">
        <f>IFERROR(INDEX('G-8 Condition Look up'!$A$3:$H$135,MATCH(F195,'G-8 Condition Look up'!$A$3:$A$135,0),MATCH(J195,'G-8 Condition Look up'!$A$3:$H$3,0)),"")</f>
        <v/>
      </c>
      <c r="L195" s="52"/>
      <c r="M195" s="283" t="str">
        <f>IF(L195="","",IF(VLOOKUP(L195,'G-3 Multipliers'!$L$3:$N$6,2,FALSE)=0,"Spatial Data Missing",VLOOKUP(L195,'G-3 Multipliers'!$L$3:$N$6,2,FALSE)))</f>
        <v/>
      </c>
      <c r="N195" s="281" t="str">
        <f>IF(L195="","",IF(VLOOKUP(L195,'G-3 Multipliers'!$L$3:$N$6,3,FALSE)=0,"Spatial Data Missing",VLOOKUP(L195,'G-3 Multipliers'!$L$3:$N$6,3,FALSE)))</f>
        <v/>
      </c>
      <c r="O195" s="275" t="str">
        <f t="shared" si="12"/>
        <v/>
      </c>
      <c r="P195" s="58"/>
      <c r="Q195" s="58"/>
      <c r="R195" s="283" t="str">
        <f t="shared" si="14"/>
        <v/>
      </c>
      <c r="S195" s="296" t="str">
        <f t="shared" si="15"/>
        <v/>
      </c>
      <c r="T195" s="297" t="str">
        <f>IFERROR(IF(S195="Check Data ⚠","Check Data ⚠",VLOOKUP(S195,'G-4 Temporal multipliers'!$A$4:$C$37,3,FALSE)),"")</f>
        <v/>
      </c>
      <c r="U195" s="298" t="str">
        <f>IF(F195="","",VLOOKUP(F195,'G-3 Multipliers'!$A$2:$E$134,2,FALSE))</f>
        <v/>
      </c>
      <c r="V195" s="295" t="str">
        <f t="shared" si="16"/>
        <v/>
      </c>
      <c r="W195" s="295" t="str">
        <f>IF(E195="","",IF(AND(V195="Standard difficulty applied",O195&gt;P195),U195,IF(AND(V195="Low Difficulty - only applicable if all habitat created before losses ⚠",P195&gt;=O195),"Low",VLOOKUP(F195,'G-3 Multipliers'!$A$2:$E$134,4,FALSE))))</f>
        <v/>
      </c>
      <c r="X195" s="299" t="str">
        <f>IFERROR(IF(E195="","",VLOOKUP(W195,'G-3 Multipliers'!$P$2:$Q$6,2,FALSE)),"")</f>
        <v/>
      </c>
      <c r="Y195" s="303" t="str">
        <f t="shared" si="17"/>
        <v/>
      </c>
      <c r="Z195" s="52"/>
      <c r="AA195" s="51"/>
      <c r="AB195" s="104"/>
      <c r="AE195" s="40" t="str">
        <f t="shared" si="13"/>
        <v/>
      </c>
    </row>
    <row r="196" spans="1:31" ht="14" hidden="1">
      <c r="A196" s="35" t="str">
        <f>IFERROR(INDEX('G-8 Condition Look up'!$I$4:$I$135,MATCH(F196,'G-8 Condition Look up'!$A$4:$A$135,0)),"")</f>
        <v/>
      </c>
      <c r="B196" s="225">
        <v>186</v>
      </c>
      <c r="C196" s="232" t="str">
        <f>IFERROR(INDEX('G-1 All Habitats'!$AG$25:$AG$41,MATCH(D196,'G-1 All Habitats'!AF$25:AF$41,0)),"")</f>
        <v/>
      </c>
      <c r="D196" s="52"/>
      <c r="E196" s="57"/>
      <c r="F196" s="231" t="str">
        <f>IFERROR(INDEX('G-1 All Habitats'!$B$3:$B$135,MATCH(E196,'G-1 All Habitats'!$A$3:$A$135,0)),"")</f>
        <v/>
      </c>
      <c r="G196" s="51"/>
      <c r="H196" s="275" t="str">
        <f>IF(F196="","",VLOOKUP(F196,'G-1 All Habitats'!$B$2:$M$135,10,FALSE))</f>
        <v/>
      </c>
      <c r="I196" s="276" t="str">
        <f>IFERROR(VLOOKUP(H196,'G-1 All Habitats'!$V$3:$W$7,2,FALSE),"")</f>
        <v/>
      </c>
      <c r="J196" s="52"/>
      <c r="K196" s="276" t="str">
        <f>IFERROR(INDEX('G-8 Condition Look up'!$A$3:$H$135,MATCH(F196,'G-8 Condition Look up'!$A$3:$A$135,0),MATCH(J196,'G-8 Condition Look up'!$A$3:$H$3,0)),"")</f>
        <v/>
      </c>
      <c r="L196" s="52"/>
      <c r="M196" s="283" t="str">
        <f>IF(L196="","",IF(VLOOKUP(L196,'G-3 Multipliers'!$L$3:$N$6,2,FALSE)=0,"Spatial Data Missing",VLOOKUP(L196,'G-3 Multipliers'!$L$3:$N$6,2,FALSE)))</f>
        <v/>
      </c>
      <c r="N196" s="281" t="str">
        <f>IF(L196="","",IF(VLOOKUP(L196,'G-3 Multipliers'!$L$3:$N$6,3,FALSE)=0,"Spatial Data Missing",VLOOKUP(L196,'G-3 Multipliers'!$L$3:$N$6,3,FALSE)))</f>
        <v/>
      </c>
      <c r="O196" s="275" t="str">
        <f t="shared" si="12"/>
        <v/>
      </c>
      <c r="P196" s="58"/>
      <c r="Q196" s="58"/>
      <c r="R196" s="283" t="str">
        <f t="shared" si="14"/>
        <v/>
      </c>
      <c r="S196" s="296" t="str">
        <f t="shared" si="15"/>
        <v/>
      </c>
      <c r="T196" s="297" t="str">
        <f>IFERROR(IF(S196="Check Data ⚠","Check Data ⚠",VLOOKUP(S196,'G-4 Temporal multipliers'!$A$4:$C$37,3,FALSE)),"")</f>
        <v/>
      </c>
      <c r="U196" s="298" t="str">
        <f>IF(F196="","",VLOOKUP(F196,'G-3 Multipliers'!$A$2:$E$134,2,FALSE))</f>
        <v/>
      </c>
      <c r="V196" s="295" t="str">
        <f t="shared" si="16"/>
        <v/>
      </c>
      <c r="W196" s="295" t="str">
        <f>IF(E196="","",IF(AND(V196="Standard difficulty applied",O196&gt;P196),U196,IF(AND(V196="Low Difficulty - only applicable if all habitat created before losses ⚠",P196&gt;=O196),"Low",VLOOKUP(F196,'G-3 Multipliers'!$A$2:$E$134,4,FALSE))))</f>
        <v/>
      </c>
      <c r="X196" s="299" t="str">
        <f>IFERROR(IF(E196="","",VLOOKUP(W196,'G-3 Multipliers'!$P$2:$Q$6,2,FALSE)),"")</f>
        <v/>
      </c>
      <c r="Y196" s="303" t="str">
        <f t="shared" si="17"/>
        <v/>
      </c>
      <c r="Z196" s="52"/>
      <c r="AA196" s="51"/>
      <c r="AB196" s="104"/>
      <c r="AE196" s="40" t="str">
        <f t="shared" si="13"/>
        <v/>
      </c>
    </row>
    <row r="197" spans="1:31" ht="14" hidden="1">
      <c r="A197" s="35" t="str">
        <f>IFERROR(INDEX('G-8 Condition Look up'!$I$4:$I$135,MATCH(F197,'G-8 Condition Look up'!$A$4:$A$135,0)),"")</f>
        <v/>
      </c>
      <c r="B197" s="225">
        <v>187</v>
      </c>
      <c r="C197" s="232" t="str">
        <f>IFERROR(INDEX('G-1 All Habitats'!$AG$25:$AG$41,MATCH(D197,'G-1 All Habitats'!AF$25:AF$41,0)),"")</f>
        <v/>
      </c>
      <c r="D197" s="52"/>
      <c r="E197" s="57"/>
      <c r="F197" s="231" t="str">
        <f>IFERROR(INDEX('G-1 All Habitats'!$B$3:$B$135,MATCH(E197,'G-1 All Habitats'!$A$3:$A$135,0)),"")</f>
        <v/>
      </c>
      <c r="G197" s="51"/>
      <c r="H197" s="275" t="str">
        <f>IF(F197="","",VLOOKUP(F197,'G-1 All Habitats'!$B$2:$M$135,10,FALSE))</f>
        <v/>
      </c>
      <c r="I197" s="276" t="str">
        <f>IFERROR(VLOOKUP(H197,'G-1 All Habitats'!$V$3:$W$7,2,FALSE),"")</f>
        <v/>
      </c>
      <c r="J197" s="52"/>
      <c r="K197" s="276" t="str">
        <f>IFERROR(INDEX('G-8 Condition Look up'!$A$3:$H$135,MATCH(F197,'G-8 Condition Look up'!$A$3:$A$135,0),MATCH(J197,'G-8 Condition Look up'!$A$3:$H$3,0)),"")</f>
        <v/>
      </c>
      <c r="L197" s="52"/>
      <c r="M197" s="283" t="str">
        <f>IF(L197="","",IF(VLOOKUP(L197,'G-3 Multipliers'!$L$3:$N$6,2,FALSE)=0,"Spatial Data Missing",VLOOKUP(L197,'G-3 Multipliers'!$L$3:$N$6,2,FALSE)))</f>
        <v/>
      </c>
      <c r="N197" s="281" t="str">
        <f>IF(L197="","",IF(VLOOKUP(L197,'G-3 Multipliers'!$L$3:$N$6,3,FALSE)=0,"Spatial Data Missing",VLOOKUP(L197,'G-3 Multipliers'!$L$3:$N$6,3,FALSE)))</f>
        <v/>
      </c>
      <c r="O197" s="275" t="str">
        <f t="shared" si="12"/>
        <v/>
      </c>
      <c r="P197" s="58"/>
      <c r="Q197" s="58"/>
      <c r="R197" s="283" t="str">
        <f t="shared" si="14"/>
        <v/>
      </c>
      <c r="S197" s="296" t="str">
        <f t="shared" si="15"/>
        <v/>
      </c>
      <c r="T197" s="297" t="str">
        <f>IFERROR(IF(S197="Check Data ⚠","Check Data ⚠",VLOOKUP(S197,'G-4 Temporal multipliers'!$A$4:$C$37,3,FALSE)),"")</f>
        <v/>
      </c>
      <c r="U197" s="298" t="str">
        <f>IF(F197="","",VLOOKUP(F197,'G-3 Multipliers'!$A$2:$E$134,2,FALSE))</f>
        <v/>
      </c>
      <c r="V197" s="295" t="str">
        <f t="shared" si="16"/>
        <v/>
      </c>
      <c r="W197" s="295" t="str">
        <f>IF(E197="","",IF(AND(V197="Standard difficulty applied",O197&gt;P197),U197,IF(AND(V197="Low Difficulty - only applicable if all habitat created before losses ⚠",P197&gt;=O197),"Low",VLOOKUP(F197,'G-3 Multipliers'!$A$2:$E$134,4,FALSE))))</f>
        <v/>
      </c>
      <c r="X197" s="299" t="str">
        <f>IFERROR(IF(E197="","",VLOOKUP(W197,'G-3 Multipliers'!$P$2:$Q$6,2,FALSE)),"")</f>
        <v/>
      </c>
      <c r="Y197" s="303" t="str">
        <f t="shared" si="17"/>
        <v/>
      </c>
      <c r="Z197" s="52"/>
      <c r="AA197" s="51"/>
      <c r="AB197" s="104"/>
      <c r="AE197" s="40" t="str">
        <f t="shared" si="13"/>
        <v/>
      </c>
    </row>
    <row r="198" spans="1:31" ht="14" hidden="1">
      <c r="A198" s="35" t="str">
        <f>IFERROR(INDEX('G-8 Condition Look up'!$I$4:$I$135,MATCH(F198,'G-8 Condition Look up'!$A$4:$A$135,0)),"")</f>
        <v/>
      </c>
      <c r="B198" s="225">
        <v>188</v>
      </c>
      <c r="C198" s="232" t="str">
        <f>IFERROR(INDEX('G-1 All Habitats'!$AG$25:$AG$41,MATCH(D198,'G-1 All Habitats'!AF$25:AF$41,0)),"")</f>
        <v/>
      </c>
      <c r="D198" s="52"/>
      <c r="E198" s="57"/>
      <c r="F198" s="231" t="str">
        <f>IFERROR(INDEX('G-1 All Habitats'!$B$3:$B$135,MATCH(E198,'G-1 All Habitats'!$A$3:$A$135,0)),"")</f>
        <v/>
      </c>
      <c r="G198" s="51"/>
      <c r="H198" s="275" t="str">
        <f>IF(F198="","",VLOOKUP(F198,'G-1 All Habitats'!$B$2:$M$135,10,FALSE))</f>
        <v/>
      </c>
      <c r="I198" s="276" t="str">
        <f>IFERROR(VLOOKUP(H198,'G-1 All Habitats'!$V$3:$W$7,2,FALSE),"")</f>
        <v/>
      </c>
      <c r="J198" s="52"/>
      <c r="K198" s="276" t="str">
        <f>IFERROR(INDEX('G-8 Condition Look up'!$A$3:$H$135,MATCH(F198,'G-8 Condition Look up'!$A$3:$A$135,0),MATCH(J198,'G-8 Condition Look up'!$A$3:$H$3,0)),"")</f>
        <v/>
      </c>
      <c r="L198" s="52"/>
      <c r="M198" s="283" t="str">
        <f>IF(L198="","",IF(VLOOKUP(L198,'G-3 Multipliers'!$L$3:$N$6,2,FALSE)=0,"Spatial Data Missing",VLOOKUP(L198,'G-3 Multipliers'!$L$3:$N$6,2,FALSE)))</f>
        <v/>
      </c>
      <c r="N198" s="281" t="str">
        <f>IF(L198="","",IF(VLOOKUP(L198,'G-3 Multipliers'!$L$3:$N$6,3,FALSE)=0,"Spatial Data Missing",VLOOKUP(L198,'G-3 Multipliers'!$L$3:$N$6,3,FALSE)))</f>
        <v/>
      </c>
      <c r="O198" s="275" t="str">
        <f t="shared" si="12"/>
        <v/>
      </c>
      <c r="P198" s="58"/>
      <c r="Q198" s="58"/>
      <c r="R198" s="283" t="str">
        <f t="shared" si="14"/>
        <v/>
      </c>
      <c r="S198" s="296" t="str">
        <f t="shared" si="15"/>
        <v/>
      </c>
      <c r="T198" s="297" t="str">
        <f>IFERROR(IF(S198="Check Data ⚠","Check Data ⚠",VLOOKUP(S198,'G-4 Temporal multipliers'!$A$4:$C$37,3,FALSE)),"")</f>
        <v/>
      </c>
      <c r="U198" s="298" t="str">
        <f>IF(F198="","",VLOOKUP(F198,'G-3 Multipliers'!$A$2:$E$134,2,FALSE))</f>
        <v/>
      </c>
      <c r="V198" s="295" t="str">
        <f t="shared" si="16"/>
        <v/>
      </c>
      <c r="W198" s="295" t="str">
        <f>IF(E198="","",IF(AND(V198="Standard difficulty applied",O198&gt;P198),U198,IF(AND(V198="Low Difficulty - only applicable if all habitat created before losses ⚠",P198&gt;=O198),"Low",VLOOKUP(F198,'G-3 Multipliers'!$A$2:$E$134,4,FALSE))))</f>
        <v/>
      </c>
      <c r="X198" s="299" t="str">
        <f>IFERROR(IF(E198="","",VLOOKUP(W198,'G-3 Multipliers'!$P$2:$Q$6,2,FALSE)),"")</f>
        <v/>
      </c>
      <c r="Y198" s="303" t="str">
        <f t="shared" si="17"/>
        <v/>
      </c>
      <c r="Z198" s="52"/>
      <c r="AA198" s="51"/>
      <c r="AB198" s="104"/>
      <c r="AE198" s="40" t="str">
        <f t="shared" si="13"/>
        <v/>
      </c>
    </row>
    <row r="199" spans="1:31" ht="14" hidden="1">
      <c r="A199" s="35" t="str">
        <f>IFERROR(INDEX('G-8 Condition Look up'!$I$4:$I$135,MATCH(F199,'G-8 Condition Look up'!$A$4:$A$135,0)),"")</f>
        <v/>
      </c>
      <c r="B199" s="225">
        <v>189</v>
      </c>
      <c r="C199" s="232" t="str">
        <f>IFERROR(INDEX('G-1 All Habitats'!$AG$25:$AG$41,MATCH(D199,'G-1 All Habitats'!AF$25:AF$41,0)),"")</f>
        <v/>
      </c>
      <c r="D199" s="52"/>
      <c r="E199" s="57"/>
      <c r="F199" s="231" t="str">
        <f>IFERROR(INDEX('G-1 All Habitats'!$B$3:$B$135,MATCH(E199,'G-1 All Habitats'!$A$3:$A$135,0)),"")</f>
        <v/>
      </c>
      <c r="G199" s="51"/>
      <c r="H199" s="275" t="str">
        <f>IF(F199="","",VLOOKUP(F199,'G-1 All Habitats'!$B$2:$M$135,10,FALSE))</f>
        <v/>
      </c>
      <c r="I199" s="276" t="str">
        <f>IFERROR(VLOOKUP(H199,'G-1 All Habitats'!$V$3:$W$7,2,FALSE),"")</f>
        <v/>
      </c>
      <c r="J199" s="52"/>
      <c r="K199" s="276" t="str">
        <f>IFERROR(INDEX('G-8 Condition Look up'!$A$3:$H$135,MATCH(F199,'G-8 Condition Look up'!$A$3:$A$135,0),MATCH(J199,'G-8 Condition Look up'!$A$3:$H$3,0)),"")</f>
        <v/>
      </c>
      <c r="L199" s="52"/>
      <c r="M199" s="283" t="str">
        <f>IF(L199="","",IF(VLOOKUP(L199,'G-3 Multipliers'!$L$3:$N$6,2,FALSE)=0,"Spatial Data Missing",VLOOKUP(L199,'G-3 Multipliers'!$L$3:$N$6,2,FALSE)))</f>
        <v/>
      </c>
      <c r="N199" s="281" t="str">
        <f>IF(L199="","",IF(VLOOKUP(L199,'G-3 Multipliers'!$L$3:$N$6,3,FALSE)=0,"Spatial Data Missing",VLOOKUP(L199,'G-3 Multipliers'!$L$3:$N$6,3,FALSE)))</f>
        <v/>
      </c>
      <c r="O199" s="275" t="str">
        <f t="shared" si="12"/>
        <v/>
      </c>
      <c r="P199" s="58"/>
      <c r="Q199" s="58"/>
      <c r="R199" s="283" t="str">
        <f t="shared" si="14"/>
        <v/>
      </c>
      <c r="S199" s="296" t="str">
        <f t="shared" si="15"/>
        <v/>
      </c>
      <c r="T199" s="297" t="str">
        <f>IFERROR(IF(S199="Check Data ⚠","Check Data ⚠",VLOOKUP(S199,'G-4 Temporal multipliers'!$A$4:$C$37,3,FALSE)),"")</f>
        <v/>
      </c>
      <c r="U199" s="298" t="str">
        <f>IF(F199="","",VLOOKUP(F199,'G-3 Multipliers'!$A$2:$E$134,2,FALSE))</f>
        <v/>
      </c>
      <c r="V199" s="295" t="str">
        <f t="shared" si="16"/>
        <v/>
      </c>
      <c r="W199" s="295" t="str">
        <f>IF(E199="","",IF(AND(V199="Standard difficulty applied",O199&gt;P199),U199,IF(AND(V199="Low Difficulty - only applicable if all habitat created before losses ⚠",P199&gt;=O199),"Low",VLOOKUP(F199,'G-3 Multipliers'!$A$2:$E$134,4,FALSE))))</f>
        <v/>
      </c>
      <c r="X199" s="299" t="str">
        <f>IFERROR(IF(E199="","",VLOOKUP(W199,'G-3 Multipliers'!$P$2:$Q$6,2,FALSE)),"")</f>
        <v/>
      </c>
      <c r="Y199" s="303" t="str">
        <f t="shared" si="17"/>
        <v/>
      </c>
      <c r="Z199" s="52"/>
      <c r="AA199" s="51"/>
      <c r="AB199" s="104"/>
      <c r="AE199" s="40" t="str">
        <f t="shared" si="13"/>
        <v/>
      </c>
    </row>
    <row r="200" spans="1:31" ht="14" hidden="1">
      <c r="A200" s="35" t="str">
        <f>IFERROR(INDEX('G-8 Condition Look up'!$I$4:$I$135,MATCH(F200,'G-8 Condition Look up'!$A$4:$A$135,0)),"")</f>
        <v/>
      </c>
      <c r="B200" s="225">
        <v>190</v>
      </c>
      <c r="C200" s="232" t="str">
        <f>IFERROR(INDEX('G-1 All Habitats'!$AG$25:$AG$41,MATCH(D200,'G-1 All Habitats'!AF$25:AF$41,0)),"")</f>
        <v/>
      </c>
      <c r="D200" s="52"/>
      <c r="E200" s="57"/>
      <c r="F200" s="231" t="str">
        <f>IFERROR(INDEX('G-1 All Habitats'!$B$3:$B$135,MATCH(E200,'G-1 All Habitats'!$A$3:$A$135,0)),"")</f>
        <v/>
      </c>
      <c r="G200" s="51"/>
      <c r="H200" s="275" t="str">
        <f>IF(F200="","",VLOOKUP(F200,'G-1 All Habitats'!$B$2:$M$135,10,FALSE))</f>
        <v/>
      </c>
      <c r="I200" s="276" t="str">
        <f>IFERROR(VLOOKUP(H200,'G-1 All Habitats'!$V$3:$W$7,2,FALSE),"")</f>
        <v/>
      </c>
      <c r="J200" s="52"/>
      <c r="K200" s="276" t="str">
        <f>IFERROR(INDEX('G-8 Condition Look up'!$A$3:$H$135,MATCH(F200,'G-8 Condition Look up'!$A$3:$A$135,0),MATCH(J200,'G-8 Condition Look up'!$A$3:$H$3,0)),"")</f>
        <v/>
      </c>
      <c r="L200" s="52"/>
      <c r="M200" s="283" t="str">
        <f>IF(L200="","",IF(VLOOKUP(L200,'G-3 Multipliers'!$L$3:$N$6,2,FALSE)=0,"Spatial Data Missing",VLOOKUP(L200,'G-3 Multipliers'!$L$3:$N$6,2,FALSE)))</f>
        <v/>
      </c>
      <c r="N200" s="281" t="str">
        <f>IF(L200="","",IF(VLOOKUP(L200,'G-3 Multipliers'!$L$3:$N$6,3,FALSE)=0,"Spatial Data Missing",VLOOKUP(L200,'G-3 Multipliers'!$L$3:$N$6,3,FALSE)))</f>
        <v/>
      </c>
      <c r="O200" s="275" t="str">
        <f t="shared" si="12"/>
        <v/>
      </c>
      <c r="P200" s="58"/>
      <c r="Q200" s="58"/>
      <c r="R200" s="283" t="str">
        <f t="shared" si="14"/>
        <v/>
      </c>
      <c r="S200" s="296" t="str">
        <f t="shared" si="15"/>
        <v/>
      </c>
      <c r="T200" s="297" t="str">
        <f>IFERROR(IF(S200="Check Data ⚠","Check Data ⚠",VLOOKUP(S200,'G-4 Temporal multipliers'!$A$4:$C$37,3,FALSE)),"")</f>
        <v/>
      </c>
      <c r="U200" s="298" t="str">
        <f>IF(F200="","",VLOOKUP(F200,'G-3 Multipliers'!$A$2:$E$134,2,FALSE))</f>
        <v/>
      </c>
      <c r="V200" s="295" t="str">
        <f t="shared" si="16"/>
        <v/>
      </c>
      <c r="W200" s="295" t="str">
        <f>IF(E200="","",IF(AND(V200="Standard difficulty applied",O200&gt;P200),U200,IF(AND(V200="Low Difficulty - only applicable if all habitat created before losses ⚠",P200&gt;=O200),"Low",VLOOKUP(F200,'G-3 Multipliers'!$A$2:$E$134,4,FALSE))))</f>
        <v/>
      </c>
      <c r="X200" s="299" t="str">
        <f>IFERROR(IF(E200="","",VLOOKUP(W200,'G-3 Multipliers'!$P$2:$Q$6,2,FALSE)),"")</f>
        <v/>
      </c>
      <c r="Y200" s="303" t="str">
        <f t="shared" si="17"/>
        <v/>
      </c>
      <c r="Z200" s="52"/>
      <c r="AA200" s="51"/>
      <c r="AB200" s="104"/>
      <c r="AE200" s="40" t="str">
        <f t="shared" si="13"/>
        <v/>
      </c>
    </row>
    <row r="201" spans="1:31" ht="14" hidden="1">
      <c r="A201" s="35" t="str">
        <f>IFERROR(INDEX('G-8 Condition Look up'!$I$4:$I$135,MATCH(F201,'G-8 Condition Look up'!$A$4:$A$135,0)),"")</f>
        <v/>
      </c>
      <c r="B201" s="225">
        <v>191</v>
      </c>
      <c r="C201" s="232" t="str">
        <f>IFERROR(INDEX('G-1 All Habitats'!$AG$25:$AG$41,MATCH(D201,'G-1 All Habitats'!AF$25:AF$41,0)),"")</f>
        <v/>
      </c>
      <c r="D201" s="52"/>
      <c r="E201" s="57"/>
      <c r="F201" s="231" t="str">
        <f>IFERROR(INDEX('G-1 All Habitats'!$B$3:$B$135,MATCH(E201,'G-1 All Habitats'!$A$3:$A$135,0)),"")</f>
        <v/>
      </c>
      <c r="G201" s="51"/>
      <c r="H201" s="275" t="str">
        <f>IF(F201="","",VLOOKUP(F201,'G-1 All Habitats'!$B$2:$M$135,10,FALSE))</f>
        <v/>
      </c>
      <c r="I201" s="276" t="str">
        <f>IFERROR(VLOOKUP(H201,'G-1 All Habitats'!$V$3:$W$7,2,FALSE),"")</f>
        <v/>
      </c>
      <c r="J201" s="52"/>
      <c r="K201" s="276" t="str">
        <f>IFERROR(INDEX('G-8 Condition Look up'!$A$3:$H$135,MATCH(F201,'G-8 Condition Look up'!$A$3:$A$135,0),MATCH(J201,'G-8 Condition Look up'!$A$3:$H$3,0)),"")</f>
        <v/>
      </c>
      <c r="L201" s="52"/>
      <c r="M201" s="283" t="str">
        <f>IF(L201="","",IF(VLOOKUP(L201,'G-3 Multipliers'!$L$3:$N$6,2,FALSE)=0,"Spatial Data Missing",VLOOKUP(L201,'G-3 Multipliers'!$L$3:$N$6,2,FALSE)))</f>
        <v/>
      </c>
      <c r="N201" s="281" t="str">
        <f>IF(L201="","",IF(VLOOKUP(L201,'G-3 Multipliers'!$L$3:$N$6,3,FALSE)=0,"Spatial Data Missing",VLOOKUP(L201,'G-3 Multipliers'!$L$3:$N$6,3,FALSE)))</f>
        <v/>
      </c>
      <c r="O201" s="275" t="str">
        <f t="shared" si="12"/>
        <v/>
      </c>
      <c r="P201" s="58"/>
      <c r="Q201" s="58"/>
      <c r="R201" s="283" t="str">
        <f t="shared" si="14"/>
        <v/>
      </c>
      <c r="S201" s="296" t="str">
        <f t="shared" si="15"/>
        <v/>
      </c>
      <c r="T201" s="297" t="str">
        <f>IFERROR(IF(S201="Check Data ⚠","Check Data ⚠",VLOOKUP(S201,'G-4 Temporal multipliers'!$A$4:$C$37,3,FALSE)),"")</f>
        <v/>
      </c>
      <c r="U201" s="298" t="str">
        <f>IF(F201="","",VLOOKUP(F201,'G-3 Multipliers'!$A$2:$E$134,2,FALSE))</f>
        <v/>
      </c>
      <c r="V201" s="295" t="str">
        <f t="shared" si="16"/>
        <v/>
      </c>
      <c r="W201" s="295" t="str">
        <f>IF(E201="","",IF(AND(V201="Standard difficulty applied",O201&gt;P201),U201,IF(AND(V201="Low Difficulty - only applicable if all habitat created before losses ⚠",P201&gt;=O201),"Low",VLOOKUP(F201,'G-3 Multipliers'!$A$2:$E$134,4,FALSE))))</f>
        <v/>
      </c>
      <c r="X201" s="299" t="str">
        <f>IFERROR(IF(E201="","",VLOOKUP(W201,'G-3 Multipliers'!$P$2:$Q$6,2,FALSE)),"")</f>
        <v/>
      </c>
      <c r="Y201" s="303" t="str">
        <f t="shared" si="17"/>
        <v/>
      </c>
      <c r="Z201" s="52"/>
      <c r="AA201" s="51"/>
      <c r="AB201" s="104"/>
      <c r="AE201" s="40" t="str">
        <f t="shared" si="13"/>
        <v/>
      </c>
    </row>
    <row r="202" spans="1:31" ht="14" hidden="1">
      <c r="A202" s="35" t="str">
        <f>IFERROR(INDEX('G-8 Condition Look up'!$I$4:$I$135,MATCH(F202,'G-8 Condition Look up'!$A$4:$A$135,0)),"")</f>
        <v/>
      </c>
      <c r="B202" s="225">
        <v>192</v>
      </c>
      <c r="C202" s="232" t="str">
        <f>IFERROR(INDEX('G-1 All Habitats'!$AG$25:$AG$41,MATCH(D202,'G-1 All Habitats'!AF$25:AF$41,0)),"")</f>
        <v/>
      </c>
      <c r="D202" s="52"/>
      <c r="E202" s="57"/>
      <c r="F202" s="231" t="str">
        <f>IFERROR(INDEX('G-1 All Habitats'!$B$3:$B$135,MATCH(E202,'G-1 All Habitats'!$A$3:$A$135,0)),"")</f>
        <v/>
      </c>
      <c r="G202" s="51"/>
      <c r="H202" s="275" t="str">
        <f>IF(F202="","",VLOOKUP(F202,'G-1 All Habitats'!$B$2:$M$135,10,FALSE))</f>
        <v/>
      </c>
      <c r="I202" s="276" t="str">
        <f>IFERROR(VLOOKUP(H202,'G-1 All Habitats'!$V$3:$W$7,2,FALSE),"")</f>
        <v/>
      </c>
      <c r="J202" s="52"/>
      <c r="K202" s="276" t="str">
        <f>IFERROR(INDEX('G-8 Condition Look up'!$A$3:$H$135,MATCH(F202,'G-8 Condition Look up'!$A$3:$A$135,0),MATCH(J202,'G-8 Condition Look up'!$A$3:$H$3,0)),"")</f>
        <v/>
      </c>
      <c r="L202" s="52"/>
      <c r="M202" s="283" t="str">
        <f>IF(L202="","",IF(VLOOKUP(L202,'G-3 Multipliers'!$L$3:$N$6,2,FALSE)=0,"Spatial Data Missing",VLOOKUP(L202,'G-3 Multipliers'!$L$3:$N$6,2,FALSE)))</f>
        <v/>
      </c>
      <c r="N202" s="281" t="str">
        <f>IF(L202="","",IF(VLOOKUP(L202,'G-3 Multipliers'!$L$3:$N$6,3,FALSE)=0,"Spatial Data Missing",VLOOKUP(L202,'G-3 Multipliers'!$L$3:$N$6,3,FALSE)))</f>
        <v/>
      </c>
      <c r="O202" s="275" t="str">
        <f t="shared" si="12"/>
        <v/>
      </c>
      <c r="P202" s="58"/>
      <c r="Q202" s="58"/>
      <c r="R202" s="283" t="str">
        <f t="shared" si="14"/>
        <v/>
      </c>
      <c r="S202" s="296" t="str">
        <f t="shared" si="15"/>
        <v/>
      </c>
      <c r="T202" s="297" t="str">
        <f>IFERROR(IF(S202="Check Data ⚠","Check Data ⚠",VLOOKUP(S202,'G-4 Temporal multipliers'!$A$4:$C$37,3,FALSE)),"")</f>
        <v/>
      </c>
      <c r="U202" s="298" t="str">
        <f>IF(F202="","",VLOOKUP(F202,'G-3 Multipliers'!$A$2:$E$134,2,FALSE))</f>
        <v/>
      </c>
      <c r="V202" s="295" t="str">
        <f t="shared" si="16"/>
        <v/>
      </c>
      <c r="W202" s="295" t="str">
        <f>IF(E202="","",IF(AND(V202="Standard difficulty applied",O202&gt;P202),U202,IF(AND(V202="Low Difficulty - only applicable if all habitat created before losses ⚠",P202&gt;=O202),"Low",VLOOKUP(F202,'G-3 Multipliers'!$A$2:$E$134,4,FALSE))))</f>
        <v/>
      </c>
      <c r="X202" s="299" t="str">
        <f>IFERROR(IF(E202="","",VLOOKUP(W202,'G-3 Multipliers'!$P$2:$Q$6,2,FALSE)),"")</f>
        <v/>
      </c>
      <c r="Y202" s="303" t="str">
        <f t="shared" si="17"/>
        <v/>
      </c>
      <c r="Z202" s="52"/>
      <c r="AA202" s="51"/>
      <c r="AB202" s="104"/>
      <c r="AE202" s="40" t="str">
        <f t="shared" si="13"/>
        <v/>
      </c>
    </row>
    <row r="203" spans="1:31" ht="14" hidden="1">
      <c r="A203" s="35" t="str">
        <f>IFERROR(INDEX('G-8 Condition Look up'!$I$4:$I$135,MATCH(F203,'G-8 Condition Look up'!$A$4:$A$135,0)),"")</f>
        <v/>
      </c>
      <c r="B203" s="225">
        <v>193</v>
      </c>
      <c r="C203" s="232" t="str">
        <f>IFERROR(INDEX('G-1 All Habitats'!$AG$25:$AG$41,MATCH(D203,'G-1 All Habitats'!AF$25:AF$41,0)),"")</f>
        <v/>
      </c>
      <c r="D203" s="52"/>
      <c r="E203" s="57"/>
      <c r="F203" s="231" t="str">
        <f>IFERROR(INDEX('G-1 All Habitats'!$B$3:$B$135,MATCH(E203,'G-1 All Habitats'!$A$3:$A$135,0)),"")</f>
        <v/>
      </c>
      <c r="G203" s="51"/>
      <c r="H203" s="275" t="str">
        <f>IF(F203="","",VLOOKUP(F203,'G-1 All Habitats'!$B$2:$M$135,10,FALSE))</f>
        <v/>
      </c>
      <c r="I203" s="276" t="str">
        <f>IFERROR(VLOOKUP(H203,'G-1 All Habitats'!$V$3:$W$7,2,FALSE),"")</f>
        <v/>
      </c>
      <c r="J203" s="52"/>
      <c r="K203" s="276" t="str">
        <f>IFERROR(INDEX('G-8 Condition Look up'!$A$3:$H$135,MATCH(F203,'G-8 Condition Look up'!$A$3:$A$135,0),MATCH(J203,'G-8 Condition Look up'!$A$3:$H$3,0)),"")</f>
        <v/>
      </c>
      <c r="L203" s="52"/>
      <c r="M203" s="283" t="str">
        <f>IF(L203="","",IF(VLOOKUP(L203,'G-3 Multipliers'!$L$3:$N$6,2,FALSE)=0,"Spatial Data Missing",VLOOKUP(L203,'G-3 Multipliers'!$L$3:$N$6,2,FALSE)))</f>
        <v/>
      </c>
      <c r="N203" s="281" t="str">
        <f>IF(L203="","",IF(VLOOKUP(L203,'G-3 Multipliers'!$L$3:$N$6,3,FALSE)=0,"Spatial Data Missing",VLOOKUP(L203,'G-3 Multipliers'!$L$3:$N$6,3,FALSE)))</f>
        <v/>
      </c>
      <c r="O203" s="275" t="str">
        <f t="shared" si="18" ref="O203:O256">IFERROR(INDEX(TemporalData,MATCH(F203,TemporalHabitats,0),MATCH(J203,TemporalConditions,0)),"")</f>
        <v/>
      </c>
      <c r="P203" s="58"/>
      <c r="Q203" s="58"/>
      <c r="R203" s="283" t="str">
        <f t="shared" si="14"/>
        <v/>
      </c>
      <c r="S203" s="296" t="str">
        <f t="shared" si="15"/>
        <v/>
      </c>
      <c r="T203" s="297" t="str">
        <f>IFERROR(IF(S203="Check Data ⚠","Check Data ⚠",VLOOKUP(S203,'G-4 Temporal multipliers'!$A$4:$C$37,3,FALSE)),"")</f>
        <v/>
      </c>
      <c r="U203" s="298" t="str">
        <f>IF(F203="","",VLOOKUP(F203,'G-3 Multipliers'!$A$2:$E$134,2,FALSE))</f>
        <v/>
      </c>
      <c r="V203" s="295" t="str">
        <f t="shared" si="16"/>
        <v/>
      </c>
      <c r="W203" s="295" t="str">
        <f>IF(E203="","",IF(AND(V203="Standard difficulty applied",O203&gt;P203),U203,IF(AND(V203="Low Difficulty - only applicable if all habitat created before losses ⚠",P203&gt;=O203),"Low",VLOOKUP(F203,'G-3 Multipliers'!$A$2:$E$134,4,FALSE))))</f>
        <v/>
      </c>
      <c r="X203" s="299" t="str">
        <f>IFERROR(IF(E203="","",VLOOKUP(W203,'G-3 Multipliers'!$P$2:$Q$6,2,FALSE)),"")</f>
        <v/>
      </c>
      <c r="Y203" s="303" t="str">
        <f t="shared" si="17"/>
        <v/>
      </c>
      <c r="Z203" s="52"/>
      <c r="AA203" s="51"/>
      <c r="AB203" s="104"/>
      <c r="AE203" s="40" t="str">
        <f t="shared" si="19" ref="AE203:AE256">IFERROR(INDEX(TemporalData,MATCH(F203,TemporalHabitats,0),MATCH($AE$10,TemporalConditions,0)),"")</f>
        <v/>
      </c>
    </row>
    <row r="204" spans="1:31" ht="14" hidden="1">
      <c r="A204" s="35" t="str">
        <f>IFERROR(INDEX('G-8 Condition Look up'!$I$4:$I$135,MATCH(F204,'G-8 Condition Look up'!$A$4:$A$135,0)),"")</f>
        <v/>
      </c>
      <c r="B204" s="225">
        <v>194</v>
      </c>
      <c r="C204" s="232" t="str">
        <f>IFERROR(INDEX('G-1 All Habitats'!$AG$25:$AG$41,MATCH(D204,'G-1 All Habitats'!AF$25:AF$41,0)),"")</f>
        <v/>
      </c>
      <c r="D204" s="52"/>
      <c r="E204" s="57"/>
      <c r="F204" s="231" t="str">
        <f>IFERROR(INDEX('G-1 All Habitats'!$B$3:$B$135,MATCH(E204,'G-1 All Habitats'!$A$3:$A$135,0)),"")</f>
        <v/>
      </c>
      <c r="G204" s="51"/>
      <c r="H204" s="275" t="str">
        <f>IF(F204="","",VLOOKUP(F204,'G-1 All Habitats'!$B$2:$M$135,10,FALSE))</f>
        <v/>
      </c>
      <c r="I204" s="276" t="str">
        <f>IFERROR(VLOOKUP(H204,'G-1 All Habitats'!$V$3:$W$7,2,FALSE),"")</f>
        <v/>
      </c>
      <c r="J204" s="52"/>
      <c r="K204" s="276" t="str">
        <f>IFERROR(INDEX('G-8 Condition Look up'!$A$3:$H$135,MATCH(F204,'G-8 Condition Look up'!$A$3:$A$135,0),MATCH(J204,'G-8 Condition Look up'!$A$3:$H$3,0)),"")</f>
        <v/>
      </c>
      <c r="L204" s="52"/>
      <c r="M204" s="283" t="str">
        <f>IF(L204="","",IF(VLOOKUP(L204,'G-3 Multipliers'!$L$3:$N$6,2,FALSE)=0,"Spatial Data Missing",VLOOKUP(L204,'G-3 Multipliers'!$L$3:$N$6,2,FALSE)))</f>
        <v/>
      </c>
      <c r="N204" s="281" t="str">
        <f>IF(L204="","",IF(VLOOKUP(L204,'G-3 Multipliers'!$L$3:$N$6,3,FALSE)=0,"Spatial Data Missing",VLOOKUP(L204,'G-3 Multipliers'!$L$3:$N$6,3,FALSE)))</f>
        <v/>
      </c>
      <c r="O204" s="275" t="str">
        <f t="shared" si="18"/>
        <v/>
      </c>
      <c r="P204" s="58"/>
      <c r="Q204" s="58"/>
      <c r="R204" s="283" t="str">
        <f t="shared" si="20" ref="R204:R256">IF(E204="","",IF(AND(P204&gt;0,Q204&gt;0),"Error -both advance and delayed habitat creation ▲",IF(I204=0,"Standard time to target condition applied",IF(O204&lt;=P204,"Check details - Is there evidence that habitat has reached target condition? ⚠",IF(O204="","",IF(AND(P204&gt;=AE204,P204&gt;0),"Check details - Is there evidence habitat creation started and the threshold for Poor condition reached? ⚠",IF(AND(O204&gt;P204,P204&gt;0),"Check details - Is there evidence habitat creation in place? ⚠",IF(Q204&gt;0,"Check details- Delay in starting habitat in required condition? ⚠",IF(P204&gt;0,"Check details - Is there evidence habitat creation started/in place? ⚠","Standard time to target condition applied")))))))))</f>
        <v/>
      </c>
      <c r="S204" s="296" t="str">
        <f t="shared" si="21" ref="S204:S256">IF(R204="Error -both advance and delayed habitat creation ▲","Check Data ⚠",IF(O204="Not Possible ▲","Check Data ⚠",IF(O204="","",IF(AND(O204="30+",P204=0),"30+",IF(AND(O204="30+",P204="30+"),0,IF(AND(O204="30+",P204&lt;32),30-P204,IF(O204="30+",30-P204,IF(P204&gt;O204,0,IF(Q204="30+","30+",IF(O204+Q204&gt;30,"30+",IF(O204+Q204&gt;30,"30+",IF(O204-P204&gt;30,"30+",IF(O204+Q204-P204&gt;0,O204+Q204-P204,IF(O204-P204&gt;0,O204-P204,O204+Q204-P204))))))))))))))</f>
        <v/>
      </c>
      <c r="T204" s="297" t="str">
        <f>IFERROR(IF(S204="Check Data ⚠","Check Data ⚠",VLOOKUP(S204,'G-4 Temporal multipliers'!$A$4:$C$37,3,FALSE)),"")</f>
        <v/>
      </c>
      <c r="U204" s="298" t="str">
        <f>IF(F204="","",VLOOKUP(F204,'G-3 Multipliers'!$A$2:$E$134,2,FALSE))</f>
        <v/>
      </c>
      <c r="V204" s="295" t="str">
        <f t="shared" si="22" ref="V204:V256">IF(F204="","",IF($R204="Check details - Is there evidence that habitat has reached target condition? ⚠","Low Difficulty - only applicable if all habitat created before losses ⚠",IF(AND($R204="Check details - Is there evidence habitat creation started and the threshold for Poor condition reached? ⚠",$E204&lt;&gt;"Traditional orchards",$E204&lt;&gt;"Ornamental lake or pond",$E204&lt;&gt;"Ponds (non-priority habitat)",$E204&lt;&gt;"Ruderal/Ephemeral",$E204&lt;&gt;"Tall forbs",$E204&lt;&gt;"Developed land; sealed surface"),"Enhancement difficulty applied","Standard difficulty applied")))</f>
        <v/>
      </c>
      <c r="W204" s="295" t="str">
        <f>IF(E204="","",IF(AND(V204="Standard difficulty applied",O204&gt;P204),U204,IF(AND(V204="Low Difficulty - only applicable if all habitat created before losses ⚠",P204&gt;=O204),"Low",VLOOKUP(F204,'G-3 Multipliers'!$A$2:$E$134,4,FALSE))))</f>
        <v/>
      </c>
      <c r="X204" s="299" t="str">
        <f>IFERROR(IF(E204="","",VLOOKUP(W204,'G-3 Multipliers'!$P$2:$Q$6,2,FALSE)),"")</f>
        <v/>
      </c>
      <c r="Y204" s="303" t="str">
        <f t="shared" si="23" ref="Y204:Y256">IFERROR(G204*I204*K204*N204*T204*X204,"")</f>
        <v/>
      </c>
      <c r="Z204" s="52"/>
      <c r="AA204" s="51"/>
      <c r="AB204" s="104"/>
      <c r="AE204" s="40" t="str">
        <f t="shared" si="19"/>
        <v/>
      </c>
    </row>
    <row r="205" spans="1:31" ht="14" hidden="1">
      <c r="A205" s="35" t="str">
        <f>IFERROR(INDEX('G-8 Condition Look up'!$I$4:$I$135,MATCH(F205,'G-8 Condition Look up'!$A$4:$A$135,0)),"")</f>
        <v/>
      </c>
      <c r="B205" s="225">
        <v>195</v>
      </c>
      <c r="C205" s="232" t="str">
        <f>IFERROR(INDEX('G-1 All Habitats'!$AG$25:$AG$41,MATCH(D205,'G-1 All Habitats'!AF$25:AF$41,0)),"")</f>
        <v/>
      </c>
      <c r="D205" s="52"/>
      <c r="E205" s="57"/>
      <c r="F205" s="231" t="str">
        <f>IFERROR(INDEX('G-1 All Habitats'!$B$3:$B$135,MATCH(E205,'G-1 All Habitats'!$A$3:$A$135,0)),"")</f>
        <v/>
      </c>
      <c r="G205" s="51"/>
      <c r="H205" s="275" t="str">
        <f>IF(F205="","",VLOOKUP(F205,'G-1 All Habitats'!$B$2:$M$135,10,FALSE))</f>
        <v/>
      </c>
      <c r="I205" s="276" t="str">
        <f>IFERROR(VLOOKUP(H205,'G-1 All Habitats'!$V$3:$W$7,2,FALSE),"")</f>
        <v/>
      </c>
      <c r="J205" s="52"/>
      <c r="K205" s="276" t="str">
        <f>IFERROR(INDEX('G-8 Condition Look up'!$A$3:$H$135,MATCH(F205,'G-8 Condition Look up'!$A$3:$A$135,0),MATCH(J205,'G-8 Condition Look up'!$A$3:$H$3,0)),"")</f>
        <v/>
      </c>
      <c r="L205" s="52"/>
      <c r="M205" s="283" t="str">
        <f>IF(L205="","",IF(VLOOKUP(L205,'G-3 Multipliers'!$L$3:$N$6,2,FALSE)=0,"Spatial Data Missing",VLOOKUP(L205,'G-3 Multipliers'!$L$3:$N$6,2,FALSE)))</f>
        <v/>
      </c>
      <c r="N205" s="281" t="str">
        <f>IF(L205="","",IF(VLOOKUP(L205,'G-3 Multipliers'!$L$3:$N$6,3,FALSE)=0,"Spatial Data Missing",VLOOKUP(L205,'G-3 Multipliers'!$L$3:$N$6,3,FALSE)))</f>
        <v/>
      </c>
      <c r="O205" s="275" t="str">
        <f t="shared" si="18"/>
        <v/>
      </c>
      <c r="P205" s="58"/>
      <c r="Q205" s="58"/>
      <c r="R205" s="283" t="str">
        <f t="shared" si="20"/>
        <v/>
      </c>
      <c r="S205" s="296" t="str">
        <f t="shared" si="21"/>
        <v/>
      </c>
      <c r="T205" s="297" t="str">
        <f>IFERROR(IF(S205="Check Data ⚠","Check Data ⚠",VLOOKUP(S205,'G-4 Temporal multipliers'!$A$4:$C$37,3,FALSE)),"")</f>
        <v/>
      </c>
      <c r="U205" s="298" t="str">
        <f>IF(F205="","",VLOOKUP(F205,'G-3 Multipliers'!$A$2:$E$134,2,FALSE))</f>
        <v/>
      </c>
      <c r="V205" s="295" t="str">
        <f t="shared" si="22"/>
        <v/>
      </c>
      <c r="W205" s="295" t="str">
        <f>IF(E205="","",IF(AND(V205="Standard difficulty applied",O205&gt;P205),U205,IF(AND(V205="Low Difficulty - only applicable if all habitat created before losses ⚠",P205&gt;=O205),"Low",VLOOKUP(F205,'G-3 Multipliers'!$A$2:$E$134,4,FALSE))))</f>
        <v/>
      </c>
      <c r="X205" s="299" t="str">
        <f>IFERROR(IF(E205="","",VLOOKUP(W205,'G-3 Multipliers'!$P$2:$Q$6,2,FALSE)),"")</f>
        <v/>
      </c>
      <c r="Y205" s="303" t="str">
        <f t="shared" si="23"/>
        <v/>
      </c>
      <c r="Z205" s="52"/>
      <c r="AA205" s="51"/>
      <c r="AB205" s="104"/>
      <c r="AE205" s="40" t="str">
        <f t="shared" si="19"/>
        <v/>
      </c>
    </row>
    <row r="206" spans="1:31" ht="14" hidden="1">
      <c r="A206" s="35" t="str">
        <f>IFERROR(INDEX('G-8 Condition Look up'!$I$4:$I$135,MATCH(F206,'G-8 Condition Look up'!$A$4:$A$135,0)),"")</f>
        <v/>
      </c>
      <c r="B206" s="225">
        <v>196</v>
      </c>
      <c r="C206" s="232" t="str">
        <f>IFERROR(INDEX('G-1 All Habitats'!$AG$25:$AG$41,MATCH(D206,'G-1 All Habitats'!AF$25:AF$41,0)),"")</f>
        <v/>
      </c>
      <c r="D206" s="52"/>
      <c r="E206" s="57"/>
      <c r="F206" s="231" t="str">
        <f>IFERROR(INDEX('G-1 All Habitats'!$B$3:$B$135,MATCH(E206,'G-1 All Habitats'!$A$3:$A$135,0)),"")</f>
        <v/>
      </c>
      <c r="G206" s="51"/>
      <c r="H206" s="275" t="str">
        <f>IF(F206="","",VLOOKUP(F206,'G-1 All Habitats'!$B$2:$M$135,10,FALSE))</f>
        <v/>
      </c>
      <c r="I206" s="276" t="str">
        <f>IFERROR(VLOOKUP(H206,'G-1 All Habitats'!$V$3:$W$7,2,FALSE),"")</f>
        <v/>
      </c>
      <c r="J206" s="52"/>
      <c r="K206" s="276" t="str">
        <f>IFERROR(INDEX('G-8 Condition Look up'!$A$3:$H$135,MATCH(F206,'G-8 Condition Look up'!$A$3:$A$135,0),MATCH(J206,'G-8 Condition Look up'!$A$3:$H$3,0)),"")</f>
        <v/>
      </c>
      <c r="L206" s="52"/>
      <c r="M206" s="283" t="str">
        <f>IF(L206="","",IF(VLOOKUP(L206,'G-3 Multipliers'!$L$3:$N$6,2,FALSE)=0,"Spatial Data Missing",VLOOKUP(L206,'G-3 Multipliers'!$L$3:$N$6,2,FALSE)))</f>
        <v/>
      </c>
      <c r="N206" s="281" t="str">
        <f>IF(L206="","",IF(VLOOKUP(L206,'G-3 Multipliers'!$L$3:$N$6,3,FALSE)=0,"Spatial Data Missing",VLOOKUP(L206,'G-3 Multipliers'!$L$3:$N$6,3,FALSE)))</f>
        <v/>
      </c>
      <c r="O206" s="275" t="str">
        <f t="shared" si="18"/>
        <v/>
      </c>
      <c r="P206" s="58"/>
      <c r="Q206" s="58"/>
      <c r="R206" s="283" t="str">
        <f t="shared" si="20"/>
        <v/>
      </c>
      <c r="S206" s="296" t="str">
        <f t="shared" si="21"/>
        <v/>
      </c>
      <c r="T206" s="297" t="str">
        <f>IFERROR(IF(S206="Check Data ⚠","Check Data ⚠",VLOOKUP(S206,'G-4 Temporal multipliers'!$A$4:$C$37,3,FALSE)),"")</f>
        <v/>
      </c>
      <c r="U206" s="298" t="str">
        <f>IF(F206="","",VLOOKUP(F206,'G-3 Multipliers'!$A$2:$E$134,2,FALSE))</f>
        <v/>
      </c>
      <c r="V206" s="295" t="str">
        <f t="shared" si="22"/>
        <v/>
      </c>
      <c r="W206" s="295" t="str">
        <f>IF(E206="","",IF(AND(V206="Standard difficulty applied",O206&gt;P206),U206,IF(AND(V206="Low Difficulty - only applicable if all habitat created before losses ⚠",P206&gt;=O206),"Low",VLOOKUP(F206,'G-3 Multipliers'!$A$2:$E$134,4,FALSE))))</f>
        <v/>
      </c>
      <c r="X206" s="299" t="str">
        <f>IFERROR(IF(E206="","",VLOOKUP(W206,'G-3 Multipliers'!$P$2:$Q$6,2,FALSE)),"")</f>
        <v/>
      </c>
      <c r="Y206" s="303" t="str">
        <f t="shared" si="23"/>
        <v/>
      </c>
      <c r="Z206" s="52"/>
      <c r="AA206" s="51"/>
      <c r="AB206" s="104"/>
      <c r="AE206" s="40" t="str">
        <f t="shared" si="19"/>
        <v/>
      </c>
    </row>
    <row r="207" spans="1:31" ht="14" hidden="1">
      <c r="A207" s="35" t="str">
        <f>IFERROR(INDEX('G-8 Condition Look up'!$I$4:$I$135,MATCH(F207,'G-8 Condition Look up'!$A$4:$A$135,0)),"")</f>
        <v/>
      </c>
      <c r="B207" s="225">
        <v>197</v>
      </c>
      <c r="C207" s="232" t="str">
        <f>IFERROR(INDEX('G-1 All Habitats'!$AG$25:$AG$41,MATCH(D207,'G-1 All Habitats'!AF$25:AF$41,0)),"")</f>
        <v/>
      </c>
      <c r="D207" s="52"/>
      <c r="E207" s="57"/>
      <c r="F207" s="231" t="str">
        <f>IFERROR(INDEX('G-1 All Habitats'!$B$3:$B$135,MATCH(E207,'G-1 All Habitats'!$A$3:$A$135,0)),"")</f>
        <v/>
      </c>
      <c r="G207" s="51"/>
      <c r="H207" s="275" t="str">
        <f>IF(F207="","",VLOOKUP(F207,'G-1 All Habitats'!$B$2:$M$135,10,FALSE))</f>
        <v/>
      </c>
      <c r="I207" s="276" t="str">
        <f>IFERROR(VLOOKUP(H207,'G-1 All Habitats'!$V$3:$W$7,2,FALSE),"")</f>
        <v/>
      </c>
      <c r="J207" s="52"/>
      <c r="K207" s="276" t="str">
        <f>IFERROR(INDEX('G-8 Condition Look up'!$A$3:$H$135,MATCH(F207,'G-8 Condition Look up'!$A$3:$A$135,0),MATCH(J207,'G-8 Condition Look up'!$A$3:$H$3,0)),"")</f>
        <v/>
      </c>
      <c r="L207" s="52"/>
      <c r="M207" s="283" t="str">
        <f>IF(L207="","",IF(VLOOKUP(L207,'G-3 Multipliers'!$L$3:$N$6,2,FALSE)=0,"Spatial Data Missing",VLOOKUP(L207,'G-3 Multipliers'!$L$3:$N$6,2,FALSE)))</f>
        <v/>
      </c>
      <c r="N207" s="281" t="str">
        <f>IF(L207="","",IF(VLOOKUP(L207,'G-3 Multipliers'!$L$3:$N$6,3,FALSE)=0,"Spatial Data Missing",VLOOKUP(L207,'G-3 Multipliers'!$L$3:$N$6,3,FALSE)))</f>
        <v/>
      </c>
      <c r="O207" s="275" t="str">
        <f t="shared" si="18"/>
        <v/>
      </c>
      <c r="P207" s="58"/>
      <c r="Q207" s="58"/>
      <c r="R207" s="283" t="str">
        <f t="shared" si="20"/>
        <v/>
      </c>
      <c r="S207" s="296" t="str">
        <f t="shared" si="21"/>
        <v/>
      </c>
      <c r="T207" s="297" t="str">
        <f>IFERROR(IF(S207="Check Data ⚠","Check Data ⚠",VLOOKUP(S207,'G-4 Temporal multipliers'!$A$4:$C$37,3,FALSE)),"")</f>
        <v/>
      </c>
      <c r="U207" s="298" t="str">
        <f>IF(F207="","",VLOOKUP(F207,'G-3 Multipliers'!$A$2:$E$134,2,FALSE))</f>
        <v/>
      </c>
      <c r="V207" s="295" t="str">
        <f t="shared" si="22"/>
        <v/>
      </c>
      <c r="W207" s="295" t="str">
        <f>IF(E207="","",IF(AND(V207="Standard difficulty applied",O207&gt;P207),U207,IF(AND(V207="Low Difficulty - only applicable if all habitat created before losses ⚠",P207&gt;=O207),"Low",VLOOKUP(F207,'G-3 Multipliers'!$A$2:$E$134,4,FALSE))))</f>
        <v/>
      </c>
      <c r="X207" s="299" t="str">
        <f>IFERROR(IF(E207="","",VLOOKUP(W207,'G-3 Multipliers'!$P$2:$Q$6,2,FALSE)),"")</f>
        <v/>
      </c>
      <c r="Y207" s="303" t="str">
        <f t="shared" si="23"/>
        <v/>
      </c>
      <c r="Z207" s="52"/>
      <c r="AA207" s="51"/>
      <c r="AB207" s="104"/>
      <c r="AE207" s="40" t="str">
        <f t="shared" si="19"/>
        <v/>
      </c>
    </row>
    <row r="208" spans="1:31" ht="14" hidden="1">
      <c r="A208" s="35" t="str">
        <f>IFERROR(INDEX('G-8 Condition Look up'!$I$4:$I$135,MATCH(F208,'G-8 Condition Look up'!$A$4:$A$135,0)),"")</f>
        <v/>
      </c>
      <c r="B208" s="225">
        <v>198</v>
      </c>
      <c r="C208" s="232" t="str">
        <f>IFERROR(INDEX('G-1 All Habitats'!$AG$25:$AG$41,MATCH(D208,'G-1 All Habitats'!AF$25:AF$41,0)),"")</f>
        <v/>
      </c>
      <c r="D208" s="52"/>
      <c r="E208" s="57"/>
      <c r="F208" s="231" t="str">
        <f>IFERROR(INDEX('G-1 All Habitats'!$B$3:$B$135,MATCH(E208,'G-1 All Habitats'!$A$3:$A$135,0)),"")</f>
        <v/>
      </c>
      <c r="G208" s="51"/>
      <c r="H208" s="275" t="str">
        <f>IF(F208="","",VLOOKUP(F208,'G-1 All Habitats'!$B$2:$M$135,10,FALSE))</f>
        <v/>
      </c>
      <c r="I208" s="276" t="str">
        <f>IFERROR(VLOOKUP(H208,'G-1 All Habitats'!$V$3:$W$7,2,FALSE),"")</f>
        <v/>
      </c>
      <c r="J208" s="52"/>
      <c r="K208" s="276" t="str">
        <f>IFERROR(INDEX('G-8 Condition Look up'!$A$3:$H$135,MATCH(F208,'G-8 Condition Look up'!$A$3:$A$135,0),MATCH(J208,'G-8 Condition Look up'!$A$3:$H$3,0)),"")</f>
        <v/>
      </c>
      <c r="L208" s="52"/>
      <c r="M208" s="283" t="str">
        <f>IF(L208="","",IF(VLOOKUP(L208,'G-3 Multipliers'!$L$3:$N$6,2,FALSE)=0,"Spatial Data Missing",VLOOKUP(L208,'G-3 Multipliers'!$L$3:$N$6,2,FALSE)))</f>
        <v/>
      </c>
      <c r="N208" s="281" t="str">
        <f>IF(L208="","",IF(VLOOKUP(L208,'G-3 Multipliers'!$L$3:$N$6,3,FALSE)=0,"Spatial Data Missing",VLOOKUP(L208,'G-3 Multipliers'!$L$3:$N$6,3,FALSE)))</f>
        <v/>
      </c>
      <c r="O208" s="275" t="str">
        <f t="shared" si="18"/>
        <v/>
      </c>
      <c r="P208" s="58"/>
      <c r="Q208" s="58"/>
      <c r="R208" s="283" t="str">
        <f t="shared" si="20"/>
        <v/>
      </c>
      <c r="S208" s="296" t="str">
        <f t="shared" si="21"/>
        <v/>
      </c>
      <c r="T208" s="297" t="str">
        <f>IFERROR(IF(S208="Check Data ⚠","Check Data ⚠",VLOOKUP(S208,'G-4 Temporal multipliers'!$A$4:$C$37,3,FALSE)),"")</f>
        <v/>
      </c>
      <c r="U208" s="298" t="str">
        <f>IF(F208="","",VLOOKUP(F208,'G-3 Multipliers'!$A$2:$E$134,2,FALSE))</f>
        <v/>
      </c>
      <c r="V208" s="295" t="str">
        <f t="shared" si="22"/>
        <v/>
      </c>
      <c r="W208" s="295" t="str">
        <f>IF(E208="","",IF(AND(V208="Standard difficulty applied",O208&gt;P208),U208,IF(AND(V208="Low Difficulty - only applicable if all habitat created before losses ⚠",P208&gt;=O208),"Low",VLOOKUP(F208,'G-3 Multipliers'!$A$2:$E$134,4,FALSE))))</f>
        <v/>
      </c>
      <c r="X208" s="299" t="str">
        <f>IFERROR(IF(E208="","",VLOOKUP(W208,'G-3 Multipliers'!$P$2:$Q$6,2,FALSE)),"")</f>
        <v/>
      </c>
      <c r="Y208" s="303" t="str">
        <f t="shared" si="23"/>
        <v/>
      </c>
      <c r="Z208" s="52"/>
      <c r="AA208" s="51"/>
      <c r="AB208" s="104"/>
      <c r="AE208" s="40" t="str">
        <f t="shared" si="19"/>
        <v/>
      </c>
    </row>
    <row r="209" spans="1:31" ht="14" hidden="1">
      <c r="A209" s="35" t="str">
        <f>IFERROR(INDEX('G-8 Condition Look up'!$I$4:$I$135,MATCH(F209,'G-8 Condition Look up'!$A$4:$A$135,0)),"")</f>
        <v/>
      </c>
      <c r="B209" s="225">
        <v>199</v>
      </c>
      <c r="C209" s="232" t="str">
        <f>IFERROR(INDEX('G-1 All Habitats'!$AG$25:$AG$41,MATCH(D209,'G-1 All Habitats'!AF$25:AF$41,0)),"")</f>
        <v/>
      </c>
      <c r="D209" s="52"/>
      <c r="E209" s="57"/>
      <c r="F209" s="231" t="str">
        <f>IFERROR(INDEX('G-1 All Habitats'!$B$3:$B$135,MATCH(E209,'G-1 All Habitats'!$A$3:$A$135,0)),"")</f>
        <v/>
      </c>
      <c r="G209" s="51"/>
      <c r="H209" s="275" t="str">
        <f>IF(F209="","",VLOOKUP(F209,'G-1 All Habitats'!$B$2:$M$135,10,FALSE))</f>
        <v/>
      </c>
      <c r="I209" s="276" t="str">
        <f>IFERROR(VLOOKUP(H209,'G-1 All Habitats'!$V$3:$W$7,2,FALSE),"")</f>
        <v/>
      </c>
      <c r="J209" s="52"/>
      <c r="K209" s="276" t="str">
        <f>IFERROR(INDEX('G-8 Condition Look up'!$A$3:$H$135,MATCH(F209,'G-8 Condition Look up'!$A$3:$A$135,0),MATCH(J209,'G-8 Condition Look up'!$A$3:$H$3,0)),"")</f>
        <v/>
      </c>
      <c r="L209" s="52"/>
      <c r="M209" s="283" t="str">
        <f>IF(L209="","",IF(VLOOKUP(L209,'G-3 Multipliers'!$L$3:$N$6,2,FALSE)=0,"Spatial Data Missing",VLOOKUP(L209,'G-3 Multipliers'!$L$3:$N$6,2,FALSE)))</f>
        <v/>
      </c>
      <c r="N209" s="281" t="str">
        <f>IF(L209="","",IF(VLOOKUP(L209,'G-3 Multipliers'!$L$3:$N$6,3,FALSE)=0,"Spatial Data Missing",VLOOKUP(L209,'G-3 Multipliers'!$L$3:$N$6,3,FALSE)))</f>
        <v/>
      </c>
      <c r="O209" s="275" t="str">
        <f t="shared" si="18"/>
        <v/>
      </c>
      <c r="P209" s="58"/>
      <c r="Q209" s="58"/>
      <c r="R209" s="283" t="str">
        <f t="shared" si="20"/>
        <v/>
      </c>
      <c r="S209" s="296" t="str">
        <f t="shared" si="21"/>
        <v/>
      </c>
      <c r="T209" s="297" t="str">
        <f>IFERROR(IF(S209="Check Data ⚠","Check Data ⚠",VLOOKUP(S209,'G-4 Temporal multipliers'!$A$4:$C$37,3,FALSE)),"")</f>
        <v/>
      </c>
      <c r="U209" s="298" t="str">
        <f>IF(F209="","",VLOOKUP(F209,'G-3 Multipliers'!$A$2:$E$134,2,FALSE))</f>
        <v/>
      </c>
      <c r="V209" s="295" t="str">
        <f t="shared" si="22"/>
        <v/>
      </c>
      <c r="W209" s="295" t="str">
        <f>IF(E209="","",IF(AND(V209="Standard difficulty applied",O209&gt;P209),U209,IF(AND(V209="Low Difficulty - only applicable if all habitat created before losses ⚠",P209&gt;=O209),"Low",VLOOKUP(F209,'G-3 Multipliers'!$A$2:$E$134,4,FALSE))))</f>
        <v/>
      </c>
      <c r="X209" s="299" t="str">
        <f>IFERROR(IF(E209="","",VLOOKUP(W209,'G-3 Multipliers'!$P$2:$Q$6,2,FALSE)),"")</f>
        <v/>
      </c>
      <c r="Y209" s="303" t="str">
        <f t="shared" si="23"/>
        <v/>
      </c>
      <c r="Z209" s="52"/>
      <c r="AA209" s="51"/>
      <c r="AB209" s="104"/>
      <c r="AE209" s="40" t="str">
        <f t="shared" si="19"/>
        <v/>
      </c>
    </row>
    <row r="210" spans="1:31" ht="14" hidden="1">
      <c r="A210" s="35" t="str">
        <f>IFERROR(INDEX('G-8 Condition Look up'!$I$4:$I$135,MATCH(F210,'G-8 Condition Look up'!$A$4:$A$135,0)),"")</f>
        <v/>
      </c>
      <c r="B210" s="225">
        <v>200</v>
      </c>
      <c r="C210" s="232" t="str">
        <f>IFERROR(INDEX('G-1 All Habitats'!$AG$25:$AG$41,MATCH(D210,'G-1 All Habitats'!AF$25:AF$41,0)),"")</f>
        <v/>
      </c>
      <c r="D210" s="52"/>
      <c r="E210" s="57"/>
      <c r="F210" s="231" t="str">
        <f>IFERROR(INDEX('G-1 All Habitats'!$B$3:$B$135,MATCH(E210,'G-1 All Habitats'!$A$3:$A$135,0)),"")</f>
        <v/>
      </c>
      <c r="G210" s="51"/>
      <c r="H210" s="275" t="str">
        <f>IF(F210="","",VLOOKUP(F210,'G-1 All Habitats'!$B$2:$M$135,10,FALSE))</f>
        <v/>
      </c>
      <c r="I210" s="276" t="str">
        <f>IFERROR(VLOOKUP(H210,'G-1 All Habitats'!$V$3:$W$7,2,FALSE),"")</f>
        <v/>
      </c>
      <c r="J210" s="52"/>
      <c r="K210" s="276" t="str">
        <f>IFERROR(INDEX('G-8 Condition Look up'!$A$3:$H$135,MATCH(F210,'G-8 Condition Look up'!$A$3:$A$135,0),MATCH(J210,'G-8 Condition Look up'!$A$3:$H$3,0)),"")</f>
        <v/>
      </c>
      <c r="L210" s="52"/>
      <c r="M210" s="283" t="str">
        <f>IF(L210="","",IF(VLOOKUP(L210,'G-3 Multipliers'!$L$3:$N$6,2,FALSE)=0,"Spatial Data Missing",VLOOKUP(L210,'G-3 Multipliers'!$L$3:$N$6,2,FALSE)))</f>
        <v/>
      </c>
      <c r="N210" s="281" t="str">
        <f>IF(L210="","",IF(VLOOKUP(L210,'G-3 Multipliers'!$L$3:$N$6,3,FALSE)=0,"Spatial Data Missing",VLOOKUP(L210,'G-3 Multipliers'!$L$3:$N$6,3,FALSE)))</f>
        <v/>
      </c>
      <c r="O210" s="275" t="str">
        <f t="shared" si="18"/>
        <v/>
      </c>
      <c r="P210" s="58"/>
      <c r="Q210" s="58"/>
      <c r="R210" s="283" t="str">
        <f t="shared" si="20"/>
        <v/>
      </c>
      <c r="S210" s="296" t="str">
        <f t="shared" si="21"/>
        <v/>
      </c>
      <c r="T210" s="297" t="str">
        <f>IFERROR(IF(S210="Check Data ⚠","Check Data ⚠",VLOOKUP(S210,'G-4 Temporal multipliers'!$A$4:$C$37,3,FALSE)),"")</f>
        <v/>
      </c>
      <c r="U210" s="298" t="str">
        <f>IF(F210="","",VLOOKUP(F210,'G-3 Multipliers'!$A$2:$E$134,2,FALSE))</f>
        <v/>
      </c>
      <c r="V210" s="295" t="str">
        <f t="shared" si="22"/>
        <v/>
      </c>
      <c r="W210" s="295" t="str">
        <f>IF(E210="","",IF(AND(V210="Standard difficulty applied",O210&gt;P210),U210,IF(AND(V210="Low Difficulty - only applicable if all habitat created before losses ⚠",P210&gt;=O210),"Low",VLOOKUP(F210,'G-3 Multipliers'!$A$2:$E$134,4,FALSE))))</f>
        <v/>
      </c>
      <c r="X210" s="299" t="str">
        <f>IFERROR(IF(E210="","",VLOOKUP(W210,'G-3 Multipliers'!$P$2:$Q$6,2,FALSE)),"")</f>
        <v/>
      </c>
      <c r="Y210" s="303" t="str">
        <f t="shared" si="23"/>
        <v/>
      </c>
      <c r="Z210" s="52"/>
      <c r="AA210" s="51"/>
      <c r="AB210" s="104"/>
      <c r="AE210" s="40" t="str">
        <f t="shared" si="19"/>
        <v/>
      </c>
    </row>
    <row r="211" spans="1:31" ht="14" hidden="1">
      <c r="A211" s="35" t="str">
        <f>IFERROR(INDEX('G-8 Condition Look up'!$I$4:$I$135,MATCH(F211,'G-8 Condition Look up'!$A$4:$A$135,0)),"")</f>
        <v/>
      </c>
      <c r="B211" s="225">
        <v>201</v>
      </c>
      <c r="C211" s="232" t="str">
        <f>IFERROR(INDEX('G-1 All Habitats'!$AG$25:$AG$41,MATCH(D211,'G-1 All Habitats'!AF$25:AF$41,0)),"")</f>
        <v/>
      </c>
      <c r="D211" s="52"/>
      <c r="E211" s="57"/>
      <c r="F211" s="231" t="str">
        <f>IFERROR(INDEX('G-1 All Habitats'!$B$3:$B$135,MATCH(E211,'G-1 All Habitats'!$A$3:$A$135,0)),"")</f>
        <v/>
      </c>
      <c r="G211" s="51"/>
      <c r="H211" s="275" t="str">
        <f>IF(F211="","",VLOOKUP(F211,'G-1 All Habitats'!$B$2:$M$135,10,FALSE))</f>
        <v/>
      </c>
      <c r="I211" s="276" t="str">
        <f>IFERROR(VLOOKUP(H211,'G-1 All Habitats'!$V$3:$W$7,2,FALSE),"")</f>
        <v/>
      </c>
      <c r="J211" s="52"/>
      <c r="K211" s="276" t="str">
        <f>IFERROR(INDEX('G-8 Condition Look up'!$A$3:$H$135,MATCH(F211,'G-8 Condition Look up'!$A$3:$A$135,0),MATCH(J211,'G-8 Condition Look up'!$A$3:$H$3,0)),"")</f>
        <v/>
      </c>
      <c r="L211" s="52"/>
      <c r="M211" s="283" t="str">
        <f>IF(L211="","",IF(VLOOKUP(L211,'G-3 Multipliers'!$L$3:$N$6,2,FALSE)=0,"Spatial Data Missing",VLOOKUP(L211,'G-3 Multipliers'!$L$3:$N$6,2,FALSE)))</f>
        <v/>
      </c>
      <c r="N211" s="281" t="str">
        <f>IF(L211="","",IF(VLOOKUP(L211,'G-3 Multipliers'!$L$3:$N$6,3,FALSE)=0,"Spatial Data Missing",VLOOKUP(L211,'G-3 Multipliers'!$L$3:$N$6,3,FALSE)))</f>
        <v/>
      </c>
      <c r="O211" s="275" t="str">
        <f t="shared" si="18"/>
        <v/>
      </c>
      <c r="P211" s="58"/>
      <c r="Q211" s="58"/>
      <c r="R211" s="283" t="str">
        <f t="shared" si="20"/>
        <v/>
      </c>
      <c r="S211" s="296" t="str">
        <f t="shared" si="21"/>
        <v/>
      </c>
      <c r="T211" s="297" t="str">
        <f>IFERROR(IF(S211="Check Data ⚠","Check Data ⚠",VLOOKUP(S211,'G-4 Temporal multipliers'!$A$4:$C$37,3,FALSE)),"")</f>
        <v/>
      </c>
      <c r="U211" s="298" t="str">
        <f>IF(F211="","",VLOOKUP(F211,'G-3 Multipliers'!$A$2:$E$134,2,FALSE))</f>
        <v/>
      </c>
      <c r="V211" s="295" t="str">
        <f t="shared" si="22"/>
        <v/>
      </c>
      <c r="W211" s="295" t="str">
        <f>IF(E211="","",IF(AND(V211="Standard difficulty applied",O211&gt;P211),U211,IF(AND(V211="Low Difficulty - only applicable if all habitat created before losses ⚠",P211&gt;=O211),"Low",VLOOKUP(F211,'G-3 Multipliers'!$A$2:$E$134,4,FALSE))))</f>
        <v/>
      </c>
      <c r="X211" s="299" t="str">
        <f>IFERROR(IF(E211="","",VLOOKUP(W211,'G-3 Multipliers'!$P$2:$Q$6,2,FALSE)),"")</f>
        <v/>
      </c>
      <c r="Y211" s="303" t="str">
        <f t="shared" si="23"/>
        <v/>
      </c>
      <c r="Z211" s="52"/>
      <c r="AA211" s="51"/>
      <c r="AB211" s="104"/>
      <c r="AE211" s="40" t="str">
        <f t="shared" si="19"/>
        <v/>
      </c>
    </row>
    <row r="212" spans="1:31" ht="14" hidden="1">
      <c r="A212" s="35" t="str">
        <f>IFERROR(INDEX('G-8 Condition Look up'!$I$4:$I$135,MATCH(F212,'G-8 Condition Look up'!$A$4:$A$135,0)),"")</f>
        <v/>
      </c>
      <c r="B212" s="225">
        <v>202</v>
      </c>
      <c r="C212" s="232" t="str">
        <f>IFERROR(INDEX('G-1 All Habitats'!$AG$25:$AG$41,MATCH(D212,'G-1 All Habitats'!AF$25:AF$41,0)),"")</f>
        <v/>
      </c>
      <c r="D212" s="52"/>
      <c r="E212" s="57"/>
      <c r="F212" s="231" t="str">
        <f>IFERROR(INDEX('G-1 All Habitats'!$B$3:$B$135,MATCH(E212,'G-1 All Habitats'!$A$3:$A$135,0)),"")</f>
        <v/>
      </c>
      <c r="G212" s="51"/>
      <c r="H212" s="275" t="str">
        <f>IF(F212="","",VLOOKUP(F212,'G-1 All Habitats'!$B$2:$M$135,10,FALSE))</f>
        <v/>
      </c>
      <c r="I212" s="276" t="str">
        <f>IFERROR(VLOOKUP(H212,'G-1 All Habitats'!$V$3:$W$7,2,FALSE),"")</f>
        <v/>
      </c>
      <c r="J212" s="52"/>
      <c r="K212" s="276" t="str">
        <f>IFERROR(INDEX('G-8 Condition Look up'!$A$3:$H$135,MATCH(F212,'G-8 Condition Look up'!$A$3:$A$135,0),MATCH(J212,'G-8 Condition Look up'!$A$3:$H$3,0)),"")</f>
        <v/>
      </c>
      <c r="L212" s="52"/>
      <c r="M212" s="283" t="str">
        <f>IF(L212="","",IF(VLOOKUP(L212,'G-3 Multipliers'!$L$3:$N$6,2,FALSE)=0,"Spatial Data Missing",VLOOKUP(L212,'G-3 Multipliers'!$L$3:$N$6,2,FALSE)))</f>
        <v/>
      </c>
      <c r="N212" s="281" t="str">
        <f>IF(L212="","",IF(VLOOKUP(L212,'G-3 Multipliers'!$L$3:$N$6,3,FALSE)=0,"Spatial Data Missing",VLOOKUP(L212,'G-3 Multipliers'!$L$3:$N$6,3,FALSE)))</f>
        <v/>
      </c>
      <c r="O212" s="275" t="str">
        <f t="shared" si="18"/>
        <v/>
      </c>
      <c r="P212" s="58"/>
      <c r="Q212" s="58"/>
      <c r="R212" s="283" t="str">
        <f t="shared" si="20"/>
        <v/>
      </c>
      <c r="S212" s="296" t="str">
        <f t="shared" si="21"/>
        <v/>
      </c>
      <c r="T212" s="297" t="str">
        <f>IFERROR(IF(S212="Check Data ⚠","Check Data ⚠",VLOOKUP(S212,'G-4 Temporal multipliers'!$A$4:$C$37,3,FALSE)),"")</f>
        <v/>
      </c>
      <c r="U212" s="298" t="str">
        <f>IF(F212="","",VLOOKUP(F212,'G-3 Multipliers'!$A$2:$E$134,2,FALSE))</f>
        <v/>
      </c>
      <c r="V212" s="295" t="str">
        <f t="shared" si="22"/>
        <v/>
      </c>
      <c r="W212" s="295" t="str">
        <f>IF(E212="","",IF(AND(V212="Standard difficulty applied",O212&gt;P212),U212,IF(AND(V212="Low Difficulty - only applicable if all habitat created before losses ⚠",P212&gt;=O212),"Low",VLOOKUP(F212,'G-3 Multipliers'!$A$2:$E$134,4,FALSE))))</f>
        <v/>
      </c>
      <c r="X212" s="299" t="str">
        <f>IFERROR(IF(E212="","",VLOOKUP(W212,'G-3 Multipliers'!$P$2:$Q$6,2,FALSE)),"")</f>
        <v/>
      </c>
      <c r="Y212" s="303" t="str">
        <f t="shared" si="23"/>
        <v/>
      </c>
      <c r="Z212" s="52"/>
      <c r="AA212" s="51"/>
      <c r="AB212" s="104"/>
      <c r="AE212" s="40" t="str">
        <f t="shared" si="19"/>
        <v/>
      </c>
    </row>
    <row r="213" spans="1:31" ht="14" hidden="1">
      <c r="A213" s="35" t="str">
        <f>IFERROR(INDEX('G-8 Condition Look up'!$I$4:$I$135,MATCH(F213,'G-8 Condition Look up'!$A$4:$A$135,0)),"")</f>
        <v/>
      </c>
      <c r="B213" s="225">
        <v>203</v>
      </c>
      <c r="C213" s="232" t="str">
        <f>IFERROR(INDEX('G-1 All Habitats'!$AG$25:$AG$41,MATCH(D213,'G-1 All Habitats'!AF$25:AF$41,0)),"")</f>
        <v/>
      </c>
      <c r="D213" s="52"/>
      <c r="E213" s="57"/>
      <c r="F213" s="231" t="str">
        <f>IFERROR(INDEX('G-1 All Habitats'!$B$3:$B$135,MATCH(E213,'G-1 All Habitats'!$A$3:$A$135,0)),"")</f>
        <v/>
      </c>
      <c r="G213" s="51"/>
      <c r="H213" s="275" t="str">
        <f>IF(F213="","",VLOOKUP(F213,'G-1 All Habitats'!$B$2:$M$135,10,FALSE))</f>
        <v/>
      </c>
      <c r="I213" s="276" t="str">
        <f>IFERROR(VLOOKUP(H213,'G-1 All Habitats'!$V$3:$W$7,2,FALSE),"")</f>
        <v/>
      </c>
      <c r="J213" s="52"/>
      <c r="K213" s="276" t="str">
        <f>IFERROR(INDEX('G-8 Condition Look up'!$A$3:$H$135,MATCH(F213,'G-8 Condition Look up'!$A$3:$A$135,0),MATCH(J213,'G-8 Condition Look up'!$A$3:$H$3,0)),"")</f>
        <v/>
      </c>
      <c r="L213" s="52"/>
      <c r="M213" s="283" t="str">
        <f>IF(L213="","",IF(VLOOKUP(L213,'G-3 Multipliers'!$L$3:$N$6,2,FALSE)=0,"Spatial Data Missing",VLOOKUP(L213,'G-3 Multipliers'!$L$3:$N$6,2,FALSE)))</f>
        <v/>
      </c>
      <c r="N213" s="281" t="str">
        <f>IF(L213="","",IF(VLOOKUP(L213,'G-3 Multipliers'!$L$3:$N$6,3,FALSE)=0,"Spatial Data Missing",VLOOKUP(L213,'G-3 Multipliers'!$L$3:$N$6,3,FALSE)))</f>
        <v/>
      </c>
      <c r="O213" s="275" t="str">
        <f t="shared" si="18"/>
        <v/>
      </c>
      <c r="P213" s="58"/>
      <c r="Q213" s="58"/>
      <c r="R213" s="283" t="str">
        <f t="shared" si="20"/>
        <v/>
      </c>
      <c r="S213" s="296" t="str">
        <f t="shared" si="21"/>
        <v/>
      </c>
      <c r="T213" s="297" t="str">
        <f>IFERROR(IF(S213="Check Data ⚠","Check Data ⚠",VLOOKUP(S213,'G-4 Temporal multipliers'!$A$4:$C$37,3,FALSE)),"")</f>
        <v/>
      </c>
      <c r="U213" s="298" t="str">
        <f>IF(F213="","",VLOOKUP(F213,'G-3 Multipliers'!$A$2:$E$134,2,FALSE))</f>
        <v/>
      </c>
      <c r="V213" s="295" t="str">
        <f t="shared" si="22"/>
        <v/>
      </c>
      <c r="W213" s="295" t="str">
        <f>IF(E213="","",IF(AND(V213="Standard difficulty applied",O213&gt;P213),U213,IF(AND(V213="Low Difficulty - only applicable if all habitat created before losses ⚠",P213&gt;=O213),"Low",VLOOKUP(F213,'G-3 Multipliers'!$A$2:$E$134,4,FALSE))))</f>
        <v/>
      </c>
      <c r="X213" s="299" t="str">
        <f>IFERROR(IF(E213="","",VLOOKUP(W213,'G-3 Multipliers'!$P$2:$Q$6,2,FALSE)),"")</f>
        <v/>
      </c>
      <c r="Y213" s="303" t="str">
        <f t="shared" si="23"/>
        <v/>
      </c>
      <c r="Z213" s="52"/>
      <c r="AA213" s="51"/>
      <c r="AB213" s="104"/>
      <c r="AE213" s="40" t="str">
        <f t="shared" si="19"/>
        <v/>
      </c>
    </row>
    <row r="214" spans="1:31" ht="14" hidden="1">
      <c r="A214" s="35" t="str">
        <f>IFERROR(INDEX('G-8 Condition Look up'!$I$4:$I$135,MATCH(F214,'G-8 Condition Look up'!$A$4:$A$135,0)),"")</f>
        <v/>
      </c>
      <c r="B214" s="225">
        <v>204</v>
      </c>
      <c r="C214" s="232" t="str">
        <f>IFERROR(INDEX('G-1 All Habitats'!$AG$25:$AG$41,MATCH(D214,'G-1 All Habitats'!AF$25:AF$41,0)),"")</f>
        <v/>
      </c>
      <c r="D214" s="52"/>
      <c r="E214" s="57"/>
      <c r="F214" s="231" t="str">
        <f>IFERROR(INDEX('G-1 All Habitats'!$B$3:$B$135,MATCH(E214,'G-1 All Habitats'!$A$3:$A$135,0)),"")</f>
        <v/>
      </c>
      <c r="G214" s="51"/>
      <c r="H214" s="275" t="str">
        <f>IF(F214="","",VLOOKUP(F214,'G-1 All Habitats'!$B$2:$M$135,10,FALSE))</f>
        <v/>
      </c>
      <c r="I214" s="276" t="str">
        <f>IFERROR(VLOOKUP(H214,'G-1 All Habitats'!$V$3:$W$7,2,FALSE),"")</f>
        <v/>
      </c>
      <c r="J214" s="52"/>
      <c r="K214" s="276" t="str">
        <f>IFERROR(INDEX('G-8 Condition Look up'!$A$3:$H$135,MATCH(F214,'G-8 Condition Look up'!$A$3:$A$135,0),MATCH(J214,'G-8 Condition Look up'!$A$3:$H$3,0)),"")</f>
        <v/>
      </c>
      <c r="L214" s="52"/>
      <c r="M214" s="283" t="str">
        <f>IF(L214="","",IF(VLOOKUP(L214,'G-3 Multipliers'!$L$3:$N$6,2,FALSE)=0,"Spatial Data Missing",VLOOKUP(L214,'G-3 Multipliers'!$L$3:$N$6,2,FALSE)))</f>
        <v/>
      </c>
      <c r="N214" s="281" t="str">
        <f>IF(L214="","",IF(VLOOKUP(L214,'G-3 Multipliers'!$L$3:$N$6,3,FALSE)=0,"Spatial Data Missing",VLOOKUP(L214,'G-3 Multipliers'!$L$3:$N$6,3,FALSE)))</f>
        <v/>
      </c>
      <c r="O214" s="275" t="str">
        <f t="shared" si="18"/>
        <v/>
      </c>
      <c r="P214" s="58"/>
      <c r="Q214" s="58"/>
      <c r="R214" s="283" t="str">
        <f t="shared" si="20"/>
        <v/>
      </c>
      <c r="S214" s="296" t="str">
        <f t="shared" si="21"/>
        <v/>
      </c>
      <c r="T214" s="297" t="str">
        <f>IFERROR(IF(S214="Check Data ⚠","Check Data ⚠",VLOOKUP(S214,'G-4 Temporal multipliers'!$A$4:$C$37,3,FALSE)),"")</f>
        <v/>
      </c>
      <c r="U214" s="298" t="str">
        <f>IF(F214="","",VLOOKUP(F214,'G-3 Multipliers'!$A$2:$E$134,2,FALSE))</f>
        <v/>
      </c>
      <c r="V214" s="295" t="str">
        <f t="shared" si="22"/>
        <v/>
      </c>
      <c r="W214" s="295" t="str">
        <f>IF(E214="","",IF(AND(V214="Standard difficulty applied",O214&gt;P214),U214,IF(AND(V214="Low Difficulty - only applicable if all habitat created before losses ⚠",P214&gt;=O214),"Low",VLOOKUP(F214,'G-3 Multipliers'!$A$2:$E$134,4,FALSE))))</f>
        <v/>
      </c>
      <c r="X214" s="299" t="str">
        <f>IFERROR(IF(E214="","",VLOOKUP(W214,'G-3 Multipliers'!$P$2:$Q$6,2,FALSE)),"")</f>
        <v/>
      </c>
      <c r="Y214" s="303" t="str">
        <f t="shared" si="23"/>
        <v/>
      </c>
      <c r="Z214" s="52"/>
      <c r="AA214" s="51"/>
      <c r="AB214" s="104"/>
      <c r="AE214" s="40" t="str">
        <f t="shared" si="19"/>
        <v/>
      </c>
    </row>
    <row r="215" spans="1:31" ht="14" hidden="1">
      <c r="A215" s="35" t="str">
        <f>IFERROR(INDEX('G-8 Condition Look up'!$I$4:$I$135,MATCH(F215,'G-8 Condition Look up'!$A$4:$A$135,0)),"")</f>
        <v/>
      </c>
      <c r="B215" s="225">
        <v>205</v>
      </c>
      <c r="C215" s="232" t="str">
        <f>IFERROR(INDEX('G-1 All Habitats'!$AG$25:$AG$41,MATCH(D215,'G-1 All Habitats'!AF$25:AF$41,0)),"")</f>
        <v/>
      </c>
      <c r="D215" s="52"/>
      <c r="E215" s="57"/>
      <c r="F215" s="231" t="str">
        <f>IFERROR(INDEX('G-1 All Habitats'!$B$3:$B$135,MATCH(E215,'G-1 All Habitats'!$A$3:$A$135,0)),"")</f>
        <v/>
      </c>
      <c r="G215" s="51"/>
      <c r="H215" s="275" t="str">
        <f>IF(F215="","",VLOOKUP(F215,'G-1 All Habitats'!$B$2:$M$135,10,FALSE))</f>
        <v/>
      </c>
      <c r="I215" s="276" t="str">
        <f>IFERROR(VLOOKUP(H215,'G-1 All Habitats'!$V$3:$W$7,2,FALSE),"")</f>
        <v/>
      </c>
      <c r="J215" s="52"/>
      <c r="K215" s="276" t="str">
        <f>IFERROR(INDEX('G-8 Condition Look up'!$A$3:$H$135,MATCH(F215,'G-8 Condition Look up'!$A$3:$A$135,0),MATCH(J215,'G-8 Condition Look up'!$A$3:$H$3,0)),"")</f>
        <v/>
      </c>
      <c r="L215" s="52"/>
      <c r="M215" s="283" t="str">
        <f>IF(L215="","",IF(VLOOKUP(L215,'G-3 Multipliers'!$L$3:$N$6,2,FALSE)=0,"Spatial Data Missing",VLOOKUP(L215,'G-3 Multipliers'!$L$3:$N$6,2,FALSE)))</f>
        <v/>
      </c>
      <c r="N215" s="281" t="str">
        <f>IF(L215="","",IF(VLOOKUP(L215,'G-3 Multipliers'!$L$3:$N$6,3,FALSE)=0,"Spatial Data Missing",VLOOKUP(L215,'G-3 Multipliers'!$L$3:$N$6,3,FALSE)))</f>
        <v/>
      </c>
      <c r="O215" s="275" t="str">
        <f t="shared" si="18"/>
        <v/>
      </c>
      <c r="P215" s="58"/>
      <c r="Q215" s="58"/>
      <c r="R215" s="283" t="str">
        <f t="shared" si="20"/>
        <v/>
      </c>
      <c r="S215" s="296" t="str">
        <f t="shared" si="21"/>
        <v/>
      </c>
      <c r="T215" s="297" t="str">
        <f>IFERROR(IF(S215="Check Data ⚠","Check Data ⚠",VLOOKUP(S215,'G-4 Temporal multipliers'!$A$4:$C$37,3,FALSE)),"")</f>
        <v/>
      </c>
      <c r="U215" s="298" t="str">
        <f>IF(F215="","",VLOOKUP(F215,'G-3 Multipliers'!$A$2:$E$134,2,FALSE))</f>
        <v/>
      </c>
      <c r="V215" s="295" t="str">
        <f t="shared" si="22"/>
        <v/>
      </c>
      <c r="W215" s="295" t="str">
        <f>IF(E215="","",IF(AND(V215="Standard difficulty applied",O215&gt;P215),U215,IF(AND(V215="Low Difficulty - only applicable if all habitat created before losses ⚠",P215&gt;=O215),"Low",VLOOKUP(F215,'G-3 Multipliers'!$A$2:$E$134,4,FALSE))))</f>
        <v/>
      </c>
      <c r="X215" s="299" t="str">
        <f>IFERROR(IF(E215="","",VLOOKUP(W215,'G-3 Multipliers'!$P$2:$Q$6,2,FALSE)),"")</f>
        <v/>
      </c>
      <c r="Y215" s="303" t="str">
        <f t="shared" si="23"/>
        <v/>
      </c>
      <c r="Z215" s="52"/>
      <c r="AA215" s="51"/>
      <c r="AB215" s="104"/>
      <c r="AE215" s="40" t="str">
        <f t="shared" si="19"/>
        <v/>
      </c>
    </row>
    <row r="216" spans="1:31" ht="14" hidden="1">
      <c r="A216" s="35" t="str">
        <f>IFERROR(INDEX('G-8 Condition Look up'!$I$4:$I$135,MATCH(F216,'G-8 Condition Look up'!$A$4:$A$135,0)),"")</f>
        <v/>
      </c>
      <c r="B216" s="225">
        <v>206</v>
      </c>
      <c r="C216" s="232" t="str">
        <f>IFERROR(INDEX('G-1 All Habitats'!$AG$25:$AG$41,MATCH(D216,'G-1 All Habitats'!AF$25:AF$41,0)),"")</f>
        <v/>
      </c>
      <c r="D216" s="52"/>
      <c r="E216" s="57"/>
      <c r="F216" s="231" t="str">
        <f>IFERROR(INDEX('G-1 All Habitats'!$B$3:$B$135,MATCH(E216,'G-1 All Habitats'!$A$3:$A$135,0)),"")</f>
        <v/>
      </c>
      <c r="G216" s="51"/>
      <c r="H216" s="275" t="str">
        <f>IF(F216="","",VLOOKUP(F216,'G-1 All Habitats'!$B$2:$M$135,10,FALSE))</f>
        <v/>
      </c>
      <c r="I216" s="276" t="str">
        <f>IFERROR(VLOOKUP(H216,'G-1 All Habitats'!$V$3:$W$7,2,FALSE),"")</f>
        <v/>
      </c>
      <c r="J216" s="52"/>
      <c r="K216" s="276" t="str">
        <f>IFERROR(INDEX('G-8 Condition Look up'!$A$3:$H$135,MATCH(F216,'G-8 Condition Look up'!$A$3:$A$135,0),MATCH(J216,'G-8 Condition Look up'!$A$3:$H$3,0)),"")</f>
        <v/>
      </c>
      <c r="L216" s="52"/>
      <c r="M216" s="283" t="str">
        <f>IF(L216="","",IF(VLOOKUP(L216,'G-3 Multipliers'!$L$3:$N$6,2,FALSE)=0,"Spatial Data Missing",VLOOKUP(L216,'G-3 Multipliers'!$L$3:$N$6,2,FALSE)))</f>
        <v/>
      </c>
      <c r="N216" s="281" t="str">
        <f>IF(L216="","",IF(VLOOKUP(L216,'G-3 Multipliers'!$L$3:$N$6,3,FALSE)=0,"Spatial Data Missing",VLOOKUP(L216,'G-3 Multipliers'!$L$3:$N$6,3,FALSE)))</f>
        <v/>
      </c>
      <c r="O216" s="275" t="str">
        <f t="shared" si="18"/>
        <v/>
      </c>
      <c r="P216" s="58"/>
      <c r="Q216" s="58"/>
      <c r="R216" s="283" t="str">
        <f t="shared" si="20"/>
        <v/>
      </c>
      <c r="S216" s="296" t="str">
        <f t="shared" si="21"/>
        <v/>
      </c>
      <c r="T216" s="297" t="str">
        <f>IFERROR(IF(S216="Check Data ⚠","Check Data ⚠",VLOOKUP(S216,'G-4 Temporal multipliers'!$A$4:$C$37,3,FALSE)),"")</f>
        <v/>
      </c>
      <c r="U216" s="298" t="str">
        <f>IF(F216="","",VLOOKUP(F216,'G-3 Multipliers'!$A$2:$E$134,2,FALSE))</f>
        <v/>
      </c>
      <c r="V216" s="295" t="str">
        <f t="shared" si="22"/>
        <v/>
      </c>
      <c r="W216" s="295" t="str">
        <f>IF(E216="","",IF(AND(V216="Standard difficulty applied",O216&gt;P216),U216,IF(AND(V216="Low Difficulty - only applicable if all habitat created before losses ⚠",P216&gt;=O216),"Low",VLOOKUP(F216,'G-3 Multipliers'!$A$2:$E$134,4,FALSE))))</f>
        <v/>
      </c>
      <c r="X216" s="299" t="str">
        <f>IFERROR(IF(E216="","",VLOOKUP(W216,'G-3 Multipliers'!$P$2:$Q$6,2,FALSE)),"")</f>
        <v/>
      </c>
      <c r="Y216" s="303" t="str">
        <f t="shared" si="23"/>
        <v/>
      </c>
      <c r="Z216" s="52"/>
      <c r="AA216" s="51"/>
      <c r="AB216" s="104"/>
      <c r="AE216" s="40" t="str">
        <f t="shared" si="19"/>
        <v/>
      </c>
    </row>
    <row r="217" spans="1:31" ht="14" hidden="1">
      <c r="A217" s="35" t="str">
        <f>IFERROR(INDEX('G-8 Condition Look up'!$I$4:$I$135,MATCH(F217,'G-8 Condition Look up'!$A$4:$A$135,0)),"")</f>
        <v/>
      </c>
      <c r="B217" s="225">
        <v>207</v>
      </c>
      <c r="C217" s="232" t="str">
        <f>IFERROR(INDEX('G-1 All Habitats'!$AG$25:$AG$41,MATCH(D217,'G-1 All Habitats'!AF$25:AF$41,0)),"")</f>
        <v/>
      </c>
      <c r="D217" s="52"/>
      <c r="E217" s="57"/>
      <c r="F217" s="231" t="str">
        <f>IFERROR(INDEX('G-1 All Habitats'!$B$3:$B$135,MATCH(E217,'G-1 All Habitats'!$A$3:$A$135,0)),"")</f>
        <v/>
      </c>
      <c r="G217" s="51"/>
      <c r="H217" s="275" t="str">
        <f>IF(F217="","",VLOOKUP(F217,'G-1 All Habitats'!$B$2:$M$135,10,FALSE))</f>
        <v/>
      </c>
      <c r="I217" s="276" t="str">
        <f>IFERROR(VLOOKUP(H217,'G-1 All Habitats'!$V$3:$W$7,2,FALSE),"")</f>
        <v/>
      </c>
      <c r="J217" s="52"/>
      <c r="K217" s="276" t="str">
        <f>IFERROR(INDEX('G-8 Condition Look up'!$A$3:$H$135,MATCH(F217,'G-8 Condition Look up'!$A$3:$A$135,0),MATCH(J217,'G-8 Condition Look up'!$A$3:$H$3,0)),"")</f>
        <v/>
      </c>
      <c r="L217" s="52"/>
      <c r="M217" s="283" t="str">
        <f>IF(L217="","",IF(VLOOKUP(L217,'G-3 Multipliers'!$L$3:$N$6,2,FALSE)=0,"Spatial Data Missing",VLOOKUP(L217,'G-3 Multipliers'!$L$3:$N$6,2,FALSE)))</f>
        <v/>
      </c>
      <c r="N217" s="281" t="str">
        <f>IF(L217="","",IF(VLOOKUP(L217,'G-3 Multipliers'!$L$3:$N$6,3,FALSE)=0,"Spatial Data Missing",VLOOKUP(L217,'G-3 Multipliers'!$L$3:$N$6,3,FALSE)))</f>
        <v/>
      </c>
      <c r="O217" s="275" t="str">
        <f t="shared" si="18"/>
        <v/>
      </c>
      <c r="P217" s="58"/>
      <c r="Q217" s="58"/>
      <c r="R217" s="283" t="str">
        <f t="shared" si="20"/>
        <v/>
      </c>
      <c r="S217" s="296" t="str">
        <f t="shared" si="21"/>
        <v/>
      </c>
      <c r="T217" s="297" t="str">
        <f>IFERROR(IF(S217="Check Data ⚠","Check Data ⚠",VLOOKUP(S217,'G-4 Temporal multipliers'!$A$4:$C$37,3,FALSE)),"")</f>
        <v/>
      </c>
      <c r="U217" s="298" t="str">
        <f>IF(F217="","",VLOOKUP(F217,'G-3 Multipliers'!$A$2:$E$134,2,FALSE))</f>
        <v/>
      </c>
      <c r="V217" s="295" t="str">
        <f t="shared" si="22"/>
        <v/>
      </c>
      <c r="W217" s="295" t="str">
        <f>IF(E217="","",IF(AND(V217="Standard difficulty applied",O217&gt;P217),U217,IF(AND(V217="Low Difficulty - only applicable if all habitat created before losses ⚠",P217&gt;=O217),"Low",VLOOKUP(F217,'G-3 Multipliers'!$A$2:$E$134,4,FALSE))))</f>
        <v/>
      </c>
      <c r="X217" s="299" t="str">
        <f>IFERROR(IF(E217="","",VLOOKUP(W217,'G-3 Multipliers'!$P$2:$Q$6,2,FALSE)),"")</f>
        <v/>
      </c>
      <c r="Y217" s="303" t="str">
        <f t="shared" si="23"/>
        <v/>
      </c>
      <c r="Z217" s="52"/>
      <c r="AA217" s="51"/>
      <c r="AB217" s="104"/>
      <c r="AE217" s="40" t="str">
        <f t="shared" si="19"/>
        <v/>
      </c>
    </row>
    <row r="218" spans="1:31" ht="14" hidden="1">
      <c r="A218" s="35" t="str">
        <f>IFERROR(INDEX('G-8 Condition Look up'!$I$4:$I$135,MATCH(F218,'G-8 Condition Look up'!$A$4:$A$135,0)),"")</f>
        <v/>
      </c>
      <c r="B218" s="225">
        <v>208</v>
      </c>
      <c r="C218" s="232" t="str">
        <f>IFERROR(INDEX('G-1 All Habitats'!$AG$25:$AG$41,MATCH(D218,'G-1 All Habitats'!AF$25:AF$41,0)),"")</f>
        <v/>
      </c>
      <c r="D218" s="52"/>
      <c r="E218" s="57"/>
      <c r="F218" s="231" t="str">
        <f>IFERROR(INDEX('G-1 All Habitats'!$B$3:$B$135,MATCH(E218,'G-1 All Habitats'!$A$3:$A$135,0)),"")</f>
        <v/>
      </c>
      <c r="G218" s="51"/>
      <c r="H218" s="275" t="str">
        <f>IF(F218="","",VLOOKUP(F218,'G-1 All Habitats'!$B$2:$M$135,10,FALSE))</f>
        <v/>
      </c>
      <c r="I218" s="276" t="str">
        <f>IFERROR(VLOOKUP(H218,'G-1 All Habitats'!$V$3:$W$7,2,FALSE),"")</f>
        <v/>
      </c>
      <c r="J218" s="52"/>
      <c r="K218" s="276" t="str">
        <f>IFERROR(INDEX('G-8 Condition Look up'!$A$3:$H$135,MATCH(F218,'G-8 Condition Look up'!$A$3:$A$135,0),MATCH(J218,'G-8 Condition Look up'!$A$3:$H$3,0)),"")</f>
        <v/>
      </c>
      <c r="L218" s="52"/>
      <c r="M218" s="283" t="str">
        <f>IF(L218="","",IF(VLOOKUP(L218,'G-3 Multipliers'!$L$3:$N$6,2,FALSE)=0,"Spatial Data Missing",VLOOKUP(L218,'G-3 Multipliers'!$L$3:$N$6,2,FALSE)))</f>
        <v/>
      </c>
      <c r="N218" s="281" t="str">
        <f>IF(L218="","",IF(VLOOKUP(L218,'G-3 Multipliers'!$L$3:$N$6,3,FALSE)=0,"Spatial Data Missing",VLOOKUP(L218,'G-3 Multipliers'!$L$3:$N$6,3,FALSE)))</f>
        <v/>
      </c>
      <c r="O218" s="275" t="str">
        <f t="shared" si="18"/>
        <v/>
      </c>
      <c r="P218" s="58"/>
      <c r="Q218" s="58"/>
      <c r="R218" s="283" t="str">
        <f t="shared" si="20"/>
        <v/>
      </c>
      <c r="S218" s="296" t="str">
        <f t="shared" si="21"/>
        <v/>
      </c>
      <c r="T218" s="297" t="str">
        <f>IFERROR(IF(S218="Check Data ⚠","Check Data ⚠",VLOOKUP(S218,'G-4 Temporal multipliers'!$A$4:$C$37,3,FALSE)),"")</f>
        <v/>
      </c>
      <c r="U218" s="298" t="str">
        <f>IF(F218="","",VLOOKUP(F218,'G-3 Multipliers'!$A$2:$E$134,2,FALSE))</f>
        <v/>
      </c>
      <c r="V218" s="295" t="str">
        <f t="shared" si="22"/>
        <v/>
      </c>
      <c r="W218" s="295" t="str">
        <f>IF(E218="","",IF(AND(V218="Standard difficulty applied",O218&gt;P218),U218,IF(AND(V218="Low Difficulty - only applicable if all habitat created before losses ⚠",P218&gt;=O218),"Low",VLOOKUP(F218,'G-3 Multipliers'!$A$2:$E$134,4,FALSE))))</f>
        <v/>
      </c>
      <c r="X218" s="299" t="str">
        <f>IFERROR(IF(E218="","",VLOOKUP(W218,'G-3 Multipliers'!$P$2:$Q$6,2,FALSE)),"")</f>
        <v/>
      </c>
      <c r="Y218" s="303" t="str">
        <f t="shared" si="23"/>
        <v/>
      </c>
      <c r="Z218" s="52"/>
      <c r="AA218" s="51"/>
      <c r="AB218" s="104"/>
      <c r="AE218" s="40" t="str">
        <f t="shared" si="19"/>
        <v/>
      </c>
    </row>
    <row r="219" spans="1:31" ht="14" hidden="1">
      <c r="A219" s="35" t="str">
        <f>IFERROR(INDEX('G-8 Condition Look up'!$I$4:$I$135,MATCH(F219,'G-8 Condition Look up'!$A$4:$A$135,0)),"")</f>
        <v/>
      </c>
      <c r="B219" s="225">
        <v>209</v>
      </c>
      <c r="C219" s="232" t="str">
        <f>IFERROR(INDEX('G-1 All Habitats'!$AG$25:$AG$41,MATCH(D219,'G-1 All Habitats'!AF$25:AF$41,0)),"")</f>
        <v/>
      </c>
      <c r="D219" s="52"/>
      <c r="E219" s="57"/>
      <c r="F219" s="231" t="str">
        <f>IFERROR(INDEX('G-1 All Habitats'!$B$3:$B$135,MATCH(E219,'G-1 All Habitats'!$A$3:$A$135,0)),"")</f>
        <v/>
      </c>
      <c r="G219" s="51"/>
      <c r="H219" s="275" t="str">
        <f>IF(F219="","",VLOOKUP(F219,'G-1 All Habitats'!$B$2:$M$135,10,FALSE))</f>
        <v/>
      </c>
      <c r="I219" s="276" t="str">
        <f>IFERROR(VLOOKUP(H219,'G-1 All Habitats'!$V$3:$W$7,2,FALSE),"")</f>
        <v/>
      </c>
      <c r="J219" s="52"/>
      <c r="K219" s="276" t="str">
        <f>IFERROR(INDEX('G-8 Condition Look up'!$A$3:$H$135,MATCH(F219,'G-8 Condition Look up'!$A$3:$A$135,0),MATCH(J219,'G-8 Condition Look up'!$A$3:$H$3,0)),"")</f>
        <v/>
      </c>
      <c r="L219" s="52"/>
      <c r="M219" s="283" t="str">
        <f>IF(L219="","",IF(VLOOKUP(L219,'G-3 Multipliers'!$L$3:$N$6,2,FALSE)=0,"Spatial Data Missing",VLOOKUP(L219,'G-3 Multipliers'!$L$3:$N$6,2,FALSE)))</f>
        <v/>
      </c>
      <c r="N219" s="281" t="str">
        <f>IF(L219="","",IF(VLOOKUP(L219,'G-3 Multipliers'!$L$3:$N$6,3,FALSE)=0,"Spatial Data Missing",VLOOKUP(L219,'G-3 Multipliers'!$L$3:$N$6,3,FALSE)))</f>
        <v/>
      </c>
      <c r="O219" s="275" t="str">
        <f t="shared" si="18"/>
        <v/>
      </c>
      <c r="P219" s="58"/>
      <c r="Q219" s="58"/>
      <c r="R219" s="283" t="str">
        <f t="shared" si="20"/>
        <v/>
      </c>
      <c r="S219" s="296" t="str">
        <f t="shared" si="21"/>
        <v/>
      </c>
      <c r="T219" s="297" t="str">
        <f>IFERROR(IF(S219="Check Data ⚠","Check Data ⚠",VLOOKUP(S219,'G-4 Temporal multipliers'!$A$4:$C$37,3,FALSE)),"")</f>
        <v/>
      </c>
      <c r="U219" s="298" t="str">
        <f>IF(F219="","",VLOOKUP(F219,'G-3 Multipliers'!$A$2:$E$134,2,FALSE))</f>
        <v/>
      </c>
      <c r="V219" s="295" t="str">
        <f t="shared" si="22"/>
        <v/>
      </c>
      <c r="W219" s="295" t="str">
        <f>IF(E219="","",IF(AND(V219="Standard difficulty applied",O219&gt;P219),U219,IF(AND(V219="Low Difficulty - only applicable if all habitat created before losses ⚠",P219&gt;=O219),"Low",VLOOKUP(F219,'G-3 Multipliers'!$A$2:$E$134,4,FALSE))))</f>
        <v/>
      </c>
      <c r="X219" s="299" t="str">
        <f>IFERROR(IF(E219="","",VLOOKUP(W219,'G-3 Multipliers'!$P$2:$Q$6,2,FALSE)),"")</f>
        <v/>
      </c>
      <c r="Y219" s="303" t="str">
        <f t="shared" si="23"/>
        <v/>
      </c>
      <c r="Z219" s="52"/>
      <c r="AA219" s="51"/>
      <c r="AB219" s="104"/>
      <c r="AE219" s="40" t="str">
        <f t="shared" si="19"/>
        <v/>
      </c>
    </row>
    <row r="220" spans="1:31" ht="14" hidden="1">
      <c r="A220" s="35" t="str">
        <f>IFERROR(INDEX('G-8 Condition Look up'!$I$4:$I$135,MATCH(F220,'G-8 Condition Look up'!$A$4:$A$135,0)),"")</f>
        <v/>
      </c>
      <c r="B220" s="225">
        <v>210</v>
      </c>
      <c r="C220" s="232" t="str">
        <f>IFERROR(INDEX('G-1 All Habitats'!$AG$25:$AG$41,MATCH(D220,'G-1 All Habitats'!AF$25:AF$41,0)),"")</f>
        <v/>
      </c>
      <c r="D220" s="52"/>
      <c r="E220" s="57"/>
      <c r="F220" s="231" t="str">
        <f>IFERROR(INDEX('G-1 All Habitats'!$B$3:$B$135,MATCH(E220,'G-1 All Habitats'!$A$3:$A$135,0)),"")</f>
        <v/>
      </c>
      <c r="G220" s="51"/>
      <c r="H220" s="275" t="str">
        <f>IF(F220="","",VLOOKUP(F220,'G-1 All Habitats'!$B$2:$M$135,10,FALSE))</f>
        <v/>
      </c>
      <c r="I220" s="276" t="str">
        <f>IFERROR(VLOOKUP(H220,'G-1 All Habitats'!$V$3:$W$7,2,FALSE),"")</f>
        <v/>
      </c>
      <c r="J220" s="52"/>
      <c r="K220" s="276" t="str">
        <f>IFERROR(INDEX('G-8 Condition Look up'!$A$3:$H$135,MATCH(F220,'G-8 Condition Look up'!$A$3:$A$135,0),MATCH(J220,'G-8 Condition Look up'!$A$3:$H$3,0)),"")</f>
        <v/>
      </c>
      <c r="L220" s="52"/>
      <c r="M220" s="283" t="str">
        <f>IF(L220="","",IF(VLOOKUP(L220,'G-3 Multipliers'!$L$3:$N$6,2,FALSE)=0,"Spatial Data Missing",VLOOKUP(L220,'G-3 Multipliers'!$L$3:$N$6,2,FALSE)))</f>
        <v/>
      </c>
      <c r="N220" s="281" t="str">
        <f>IF(L220="","",IF(VLOOKUP(L220,'G-3 Multipliers'!$L$3:$N$6,3,FALSE)=0,"Spatial Data Missing",VLOOKUP(L220,'G-3 Multipliers'!$L$3:$N$6,3,FALSE)))</f>
        <v/>
      </c>
      <c r="O220" s="275" t="str">
        <f t="shared" si="18"/>
        <v/>
      </c>
      <c r="P220" s="58"/>
      <c r="Q220" s="58"/>
      <c r="R220" s="283" t="str">
        <f t="shared" si="20"/>
        <v/>
      </c>
      <c r="S220" s="296" t="str">
        <f t="shared" si="21"/>
        <v/>
      </c>
      <c r="T220" s="297" t="str">
        <f>IFERROR(IF(S220="Check Data ⚠","Check Data ⚠",VLOOKUP(S220,'G-4 Temporal multipliers'!$A$4:$C$37,3,FALSE)),"")</f>
        <v/>
      </c>
      <c r="U220" s="298" t="str">
        <f>IF(F220="","",VLOOKUP(F220,'G-3 Multipliers'!$A$2:$E$134,2,FALSE))</f>
        <v/>
      </c>
      <c r="V220" s="295" t="str">
        <f t="shared" si="22"/>
        <v/>
      </c>
      <c r="W220" s="295" t="str">
        <f>IF(E220="","",IF(AND(V220="Standard difficulty applied",O220&gt;P220),U220,IF(AND(V220="Low Difficulty - only applicable if all habitat created before losses ⚠",P220&gt;=O220),"Low",VLOOKUP(F220,'G-3 Multipliers'!$A$2:$E$134,4,FALSE))))</f>
        <v/>
      </c>
      <c r="X220" s="299" t="str">
        <f>IFERROR(IF(E220="","",VLOOKUP(W220,'G-3 Multipliers'!$P$2:$Q$6,2,FALSE)),"")</f>
        <v/>
      </c>
      <c r="Y220" s="303" t="str">
        <f t="shared" si="23"/>
        <v/>
      </c>
      <c r="Z220" s="52"/>
      <c r="AA220" s="51"/>
      <c r="AB220" s="104"/>
      <c r="AE220" s="40" t="str">
        <f t="shared" si="19"/>
        <v/>
      </c>
    </row>
    <row r="221" spans="1:31" ht="14" hidden="1">
      <c r="A221" s="35" t="str">
        <f>IFERROR(INDEX('G-8 Condition Look up'!$I$4:$I$135,MATCH(F221,'G-8 Condition Look up'!$A$4:$A$135,0)),"")</f>
        <v/>
      </c>
      <c r="B221" s="225">
        <v>211</v>
      </c>
      <c r="C221" s="232" t="str">
        <f>IFERROR(INDEX('G-1 All Habitats'!$AG$25:$AG$41,MATCH(D221,'G-1 All Habitats'!AF$25:AF$41,0)),"")</f>
        <v/>
      </c>
      <c r="D221" s="52"/>
      <c r="E221" s="57"/>
      <c r="F221" s="231" t="str">
        <f>IFERROR(INDEX('G-1 All Habitats'!$B$3:$B$135,MATCH(E221,'G-1 All Habitats'!$A$3:$A$135,0)),"")</f>
        <v/>
      </c>
      <c r="G221" s="51"/>
      <c r="H221" s="275" t="str">
        <f>IF(F221="","",VLOOKUP(F221,'G-1 All Habitats'!$B$2:$M$135,10,FALSE))</f>
        <v/>
      </c>
      <c r="I221" s="276" t="str">
        <f>IFERROR(VLOOKUP(H221,'G-1 All Habitats'!$V$3:$W$7,2,FALSE),"")</f>
        <v/>
      </c>
      <c r="J221" s="52"/>
      <c r="K221" s="276" t="str">
        <f>IFERROR(INDEX('G-8 Condition Look up'!$A$3:$H$135,MATCH(F221,'G-8 Condition Look up'!$A$3:$A$135,0),MATCH(J221,'G-8 Condition Look up'!$A$3:$H$3,0)),"")</f>
        <v/>
      </c>
      <c r="L221" s="52"/>
      <c r="M221" s="283" t="str">
        <f>IF(L221="","",IF(VLOOKUP(L221,'G-3 Multipliers'!$L$3:$N$6,2,FALSE)=0,"Spatial Data Missing",VLOOKUP(L221,'G-3 Multipliers'!$L$3:$N$6,2,FALSE)))</f>
        <v/>
      </c>
      <c r="N221" s="281" t="str">
        <f>IF(L221="","",IF(VLOOKUP(L221,'G-3 Multipliers'!$L$3:$N$6,3,FALSE)=0,"Spatial Data Missing",VLOOKUP(L221,'G-3 Multipliers'!$L$3:$N$6,3,FALSE)))</f>
        <v/>
      </c>
      <c r="O221" s="275" t="str">
        <f t="shared" si="18"/>
        <v/>
      </c>
      <c r="P221" s="58"/>
      <c r="Q221" s="58"/>
      <c r="R221" s="283" t="str">
        <f t="shared" si="20"/>
        <v/>
      </c>
      <c r="S221" s="296" t="str">
        <f t="shared" si="21"/>
        <v/>
      </c>
      <c r="T221" s="297" t="str">
        <f>IFERROR(IF(S221="Check Data ⚠","Check Data ⚠",VLOOKUP(S221,'G-4 Temporal multipliers'!$A$4:$C$37,3,FALSE)),"")</f>
        <v/>
      </c>
      <c r="U221" s="298" t="str">
        <f>IF(F221="","",VLOOKUP(F221,'G-3 Multipliers'!$A$2:$E$134,2,FALSE))</f>
        <v/>
      </c>
      <c r="V221" s="295" t="str">
        <f t="shared" si="22"/>
        <v/>
      </c>
      <c r="W221" s="295" t="str">
        <f>IF(E221="","",IF(AND(V221="Standard difficulty applied",O221&gt;P221),U221,IF(AND(V221="Low Difficulty - only applicable if all habitat created before losses ⚠",P221&gt;=O221),"Low",VLOOKUP(F221,'G-3 Multipliers'!$A$2:$E$134,4,FALSE))))</f>
        <v/>
      </c>
      <c r="X221" s="299" t="str">
        <f>IFERROR(IF(E221="","",VLOOKUP(W221,'G-3 Multipliers'!$P$2:$Q$6,2,FALSE)),"")</f>
        <v/>
      </c>
      <c r="Y221" s="303" t="str">
        <f t="shared" si="23"/>
        <v/>
      </c>
      <c r="Z221" s="52"/>
      <c r="AA221" s="51"/>
      <c r="AB221" s="104"/>
      <c r="AE221" s="40" t="str">
        <f t="shared" si="19"/>
        <v/>
      </c>
    </row>
    <row r="222" spans="1:31" ht="14" hidden="1">
      <c r="A222" s="35" t="str">
        <f>IFERROR(INDEX('G-8 Condition Look up'!$I$4:$I$135,MATCH(F222,'G-8 Condition Look up'!$A$4:$A$135,0)),"")</f>
        <v/>
      </c>
      <c r="B222" s="225">
        <v>212</v>
      </c>
      <c r="C222" s="232" t="str">
        <f>IFERROR(INDEX('G-1 All Habitats'!$AG$25:$AG$41,MATCH(D222,'G-1 All Habitats'!AF$25:AF$41,0)),"")</f>
        <v/>
      </c>
      <c r="D222" s="52"/>
      <c r="E222" s="57"/>
      <c r="F222" s="231" t="str">
        <f>IFERROR(INDEX('G-1 All Habitats'!$B$3:$B$135,MATCH(E222,'G-1 All Habitats'!$A$3:$A$135,0)),"")</f>
        <v/>
      </c>
      <c r="G222" s="51"/>
      <c r="H222" s="275" t="str">
        <f>IF(F222="","",VLOOKUP(F222,'G-1 All Habitats'!$B$2:$M$135,10,FALSE))</f>
        <v/>
      </c>
      <c r="I222" s="276" t="str">
        <f>IFERROR(VLOOKUP(H222,'G-1 All Habitats'!$V$3:$W$7,2,FALSE),"")</f>
        <v/>
      </c>
      <c r="J222" s="52"/>
      <c r="K222" s="276" t="str">
        <f>IFERROR(INDEX('G-8 Condition Look up'!$A$3:$H$135,MATCH(F222,'G-8 Condition Look up'!$A$3:$A$135,0),MATCH(J222,'G-8 Condition Look up'!$A$3:$H$3,0)),"")</f>
        <v/>
      </c>
      <c r="L222" s="52"/>
      <c r="M222" s="283" t="str">
        <f>IF(L222="","",IF(VLOOKUP(L222,'G-3 Multipliers'!$L$3:$N$6,2,FALSE)=0,"Spatial Data Missing",VLOOKUP(L222,'G-3 Multipliers'!$L$3:$N$6,2,FALSE)))</f>
        <v/>
      </c>
      <c r="N222" s="281" t="str">
        <f>IF(L222="","",IF(VLOOKUP(L222,'G-3 Multipliers'!$L$3:$N$6,3,FALSE)=0,"Spatial Data Missing",VLOOKUP(L222,'G-3 Multipliers'!$L$3:$N$6,3,FALSE)))</f>
        <v/>
      </c>
      <c r="O222" s="275" t="str">
        <f t="shared" si="18"/>
        <v/>
      </c>
      <c r="P222" s="58"/>
      <c r="Q222" s="58"/>
      <c r="R222" s="283" t="str">
        <f t="shared" si="20"/>
        <v/>
      </c>
      <c r="S222" s="296" t="str">
        <f t="shared" si="21"/>
        <v/>
      </c>
      <c r="T222" s="297" t="str">
        <f>IFERROR(IF(S222="Check Data ⚠","Check Data ⚠",VLOOKUP(S222,'G-4 Temporal multipliers'!$A$4:$C$37,3,FALSE)),"")</f>
        <v/>
      </c>
      <c r="U222" s="298" t="str">
        <f>IF(F222="","",VLOOKUP(F222,'G-3 Multipliers'!$A$2:$E$134,2,FALSE))</f>
        <v/>
      </c>
      <c r="V222" s="295" t="str">
        <f t="shared" si="22"/>
        <v/>
      </c>
      <c r="W222" s="295" t="str">
        <f>IF(E222="","",IF(AND(V222="Standard difficulty applied",O222&gt;P222),U222,IF(AND(V222="Low Difficulty - only applicable if all habitat created before losses ⚠",P222&gt;=O222),"Low",VLOOKUP(F222,'G-3 Multipliers'!$A$2:$E$134,4,FALSE))))</f>
        <v/>
      </c>
      <c r="X222" s="299" t="str">
        <f>IFERROR(IF(E222="","",VLOOKUP(W222,'G-3 Multipliers'!$P$2:$Q$6,2,FALSE)),"")</f>
        <v/>
      </c>
      <c r="Y222" s="303" t="str">
        <f t="shared" si="23"/>
        <v/>
      </c>
      <c r="Z222" s="52"/>
      <c r="AA222" s="51"/>
      <c r="AB222" s="104"/>
      <c r="AE222" s="40" t="str">
        <f t="shared" si="19"/>
        <v/>
      </c>
    </row>
    <row r="223" spans="1:31" ht="14" hidden="1">
      <c r="A223" s="35" t="str">
        <f>IFERROR(INDEX('G-8 Condition Look up'!$I$4:$I$135,MATCH(F223,'G-8 Condition Look up'!$A$4:$A$135,0)),"")</f>
        <v/>
      </c>
      <c r="B223" s="225">
        <v>213</v>
      </c>
      <c r="C223" s="232" t="str">
        <f>IFERROR(INDEX('G-1 All Habitats'!$AG$25:$AG$41,MATCH(D223,'G-1 All Habitats'!AF$25:AF$41,0)),"")</f>
        <v/>
      </c>
      <c r="D223" s="52"/>
      <c r="E223" s="57"/>
      <c r="F223" s="231" t="str">
        <f>IFERROR(INDEX('G-1 All Habitats'!$B$3:$B$135,MATCH(E223,'G-1 All Habitats'!$A$3:$A$135,0)),"")</f>
        <v/>
      </c>
      <c r="G223" s="51"/>
      <c r="H223" s="275" t="str">
        <f>IF(F223="","",VLOOKUP(F223,'G-1 All Habitats'!$B$2:$M$135,10,FALSE))</f>
        <v/>
      </c>
      <c r="I223" s="276" t="str">
        <f>IFERROR(VLOOKUP(H223,'G-1 All Habitats'!$V$3:$W$7,2,FALSE),"")</f>
        <v/>
      </c>
      <c r="J223" s="52"/>
      <c r="K223" s="276" t="str">
        <f>IFERROR(INDEX('G-8 Condition Look up'!$A$3:$H$135,MATCH(F223,'G-8 Condition Look up'!$A$3:$A$135,0),MATCH(J223,'G-8 Condition Look up'!$A$3:$H$3,0)),"")</f>
        <v/>
      </c>
      <c r="L223" s="52"/>
      <c r="M223" s="283" t="str">
        <f>IF(L223="","",IF(VLOOKUP(L223,'G-3 Multipliers'!$L$3:$N$6,2,FALSE)=0,"Spatial Data Missing",VLOOKUP(L223,'G-3 Multipliers'!$L$3:$N$6,2,FALSE)))</f>
        <v/>
      </c>
      <c r="N223" s="281" t="str">
        <f>IF(L223="","",IF(VLOOKUP(L223,'G-3 Multipliers'!$L$3:$N$6,3,FALSE)=0,"Spatial Data Missing",VLOOKUP(L223,'G-3 Multipliers'!$L$3:$N$6,3,FALSE)))</f>
        <v/>
      </c>
      <c r="O223" s="275" t="str">
        <f t="shared" si="18"/>
        <v/>
      </c>
      <c r="P223" s="58"/>
      <c r="Q223" s="58"/>
      <c r="R223" s="283" t="str">
        <f t="shared" si="20"/>
        <v/>
      </c>
      <c r="S223" s="296" t="str">
        <f t="shared" si="21"/>
        <v/>
      </c>
      <c r="T223" s="297" t="str">
        <f>IFERROR(IF(S223="Check Data ⚠","Check Data ⚠",VLOOKUP(S223,'G-4 Temporal multipliers'!$A$4:$C$37,3,FALSE)),"")</f>
        <v/>
      </c>
      <c r="U223" s="298" t="str">
        <f>IF(F223="","",VLOOKUP(F223,'G-3 Multipliers'!$A$2:$E$134,2,FALSE))</f>
        <v/>
      </c>
      <c r="V223" s="295" t="str">
        <f t="shared" si="22"/>
        <v/>
      </c>
      <c r="W223" s="295" t="str">
        <f>IF(E223="","",IF(AND(V223="Standard difficulty applied",O223&gt;P223),U223,IF(AND(V223="Low Difficulty - only applicable if all habitat created before losses ⚠",P223&gt;=O223),"Low",VLOOKUP(F223,'G-3 Multipliers'!$A$2:$E$134,4,FALSE))))</f>
        <v/>
      </c>
      <c r="X223" s="299" t="str">
        <f>IFERROR(IF(E223="","",VLOOKUP(W223,'G-3 Multipliers'!$P$2:$Q$6,2,FALSE)),"")</f>
        <v/>
      </c>
      <c r="Y223" s="303" t="str">
        <f t="shared" si="23"/>
        <v/>
      </c>
      <c r="Z223" s="52"/>
      <c r="AA223" s="51"/>
      <c r="AB223" s="104"/>
      <c r="AE223" s="40" t="str">
        <f t="shared" si="19"/>
        <v/>
      </c>
    </row>
    <row r="224" spans="1:31" ht="14" hidden="1">
      <c r="A224" s="35" t="str">
        <f>IFERROR(INDEX('G-8 Condition Look up'!$I$4:$I$135,MATCH(F224,'G-8 Condition Look up'!$A$4:$A$135,0)),"")</f>
        <v/>
      </c>
      <c r="B224" s="225">
        <v>214</v>
      </c>
      <c r="C224" s="232" t="str">
        <f>IFERROR(INDEX('G-1 All Habitats'!$AG$25:$AG$41,MATCH(D224,'G-1 All Habitats'!AF$25:AF$41,0)),"")</f>
        <v/>
      </c>
      <c r="D224" s="52"/>
      <c r="E224" s="57"/>
      <c r="F224" s="231" t="str">
        <f>IFERROR(INDEX('G-1 All Habitats'!$B$3:$B$135,MATCH(E224,'G-1 All Habitats'!$A$3:$A$135,0)),"")</f>
        <v/>
      </c>
      <c r="G224" s="51"/>
      <c r="H224" s="275" t="str">
        <f>IF(F224="","",VLOOKUP(F224,'G-1 All Habitats'!$B$2:$M$135,10,FALSE))</f>
        <v/>
      </c>
      <c r="I224" s="276" t="str">
        <f>IFERROR(VLOOKUP(H224,'G-1 All Habitats'!$V$3:$W$7,2,FALSE),"")</f>
        <v/>
      </c>
      <c r="J224" s="52"/>
      <c r="K224" s="276" t="str">
        <f>IFERROR(INDEX('G-8 Condition Look up'!$A$3:$H$135,MATCH(F224,'G-8 Condition Look up'!$A$3:$A$135,0),MATCH(J224,'G-8 Condition Look up'!$A$3:$H$3,0)),"")</f>
        <v/>
      </c>
      <c r="L224" s="52"/>
      <c r="M224" s="283" t="str">
        <f>IF(L224="","",IF(VLOOKUP(L224,'G-3 Multipliers'!$L$3:$N$6,2,FALSE)=0,"Spatial Data Missing",VLOOKUP(L224,'G-3 Multipliers'!$L$3:$N$6,2,FALSE)))</f>
        <v/>
      </c>
      <c r="N224" s="281" t="str">
        <f>IF(L224="","",IF(VLOOKUP(L224,'G-3 Multipliers'!$L$3:$N$6,3,FALSE)=0,"Spatial Data Missing",VLOOKUP(L224,'G-3 Multipliers'!$L$3:$N$6,3,FALSE)))</f>
        <v/>
      </c>
      <c r="O224" s="275" t="str">
        <f t="shared" si="18"/>
        <v/>
      </c>
      <c r="P224" s="58"/>
      <c r="Q224" s="58"/>
      <c r="R224" s="283" t="str">
        <f t="shared" si="20"/>
        <v/>
      </c>
      <c r="S224" s="296" t="str">
        <f t="shared" si="21"/>
        <v/>
      </c>
      <c r="T224" s="297" t="str">
        <f>IFERROR(IF(S224="Check Data ⚠","Check Data ⚠",VLOOKUP(S224,'G-4 Temporal multipliers'!$A$4:$C$37,3,FALSE)),"")</f>
        <v/>
      </c>
      <c r="U224" s="298" t="str">
        <f>IF(F224="","",VLOOKUP(F224,'G-3 Multipliers'!$A$2:$E$134,2,FALSE))</f>
        <v/>
      </c>
      <c r="V224" s="295" t="str">
        <f t="shared" si="22"/>
        <v/>
      </c>
      <c r="W224" s="295" t="str">
        <f>IF(E224="","",IF(AND(V224="Standard difficulty applied",O224&gt;P224),U224,IF(AND(V224="Low Difficulty - only applicable if all habitat created before losses ⚠",P224&gt;=O224),"Low",VLOOKUP(F224,'G-3 Multipliers'!$A$2:$E$134,4,FALSE))))</f>
        <v/>
      </c>
      <c r="X224" s="299" t="str">
        <f>IFERROR(IF(E224="","",VLOOKUP(W224,'G-3 Multipliers'!$P$2:$Q$6,2,FALSE)),"")</f>
        <v/>
      </c>
      <c r="Y224" s="303" t="str">
        <f t="shared" si="23"/>
        <v/>
      </c>
      <c r="Z224" s="52"/>
      <c r="AA224" s="51"/>
      <c r="AB224" s="104"/>
      <c r="AE224" s="40" t="str">
        <f t="shared" si="19"/>
        <v/>
      </c>
    </row>
    <row r="225" spans="1:31" ht="14" hidden="1">
      <c r="A225" s="35" t="str">
        <f>IFERROR(INDEX('G-8 Condition Look up'!$I$4:$I$135,MATCH(F225,'G-8 Condition Look up'!$A$4:$A$135,0)),"")</f>
        <v/>
      </c>
      <c r="B225" s="225">
        <v>215</v>
      </c>
      <c r="C225" s="232" t="str">
        <f>IFERROR(INDEX('G-1 All Habitats'!$AG$25:$AG$41,MATCH(D225,'G-1 All Habitats'!AF$25:AF$41,0)),"")</f>
        <v/>
      </c>
      <c r="D225" s="52"/>
      <c r="E225" s="57"/>
      <c r="F225" s="231" t="str">
        <f>IFERROR(INDEX('G-1 All Habitats'!$B$3:$B$135,MATCH(E225,'G-1 All Habitats'!$A$3:$A$135,0)),"")</f>
        <v/>
      </c>
      <c r="G225" s="51"/>
      <c r="H225" s="275" t="str">
        <f>IF(F225="","",VLOOKUP(F225,'G-1 All Habitats'!$B$2:$M$135,10,FALSE))</f>
        <v/>
      </c>
      <c r="I225" s="276" t="str">
        <f>IFERROR(VLOOKUP(H225,'G-1 All Habitats'!$V$3:$W$7,2,FALSE),"")</f>
        <v/>
      </c>
      <c r="J225" s="52"/>
      <c r="K225" s="276" t="str">
        <f>IFERROR(INDEX('G-8 Condition Look up'!$A$3:$H$135,MATCH(F225,'G-8 Condition Look up'!$A$3:$A$135,0),MATCH(J225,'G-8 Condition Look up'!$A$3:$H$3,0)),"")</f>
        <v/>
      </c>
      <c r="L225" s="52"/>
      <c r="M225" s="283" t="str">
        <f>IF(L225="","",IF(VLOOKUP(L225,'G-3 Multipliers'!$L$3:$N$6,2,FALSE)=0,"Spatial Data Missing",VLOOKUP(L225,'G-3 Multipliers'!$L$3:$N$6,2,FALSE)))</f>
        <v/>
      </c>
      <c r="N225" s="281" t="str">
        <f>IF(L225="","",IF(VLOOKUP(L225,'G-3 Multipliers'!$L$3:$N$6,3,FALSE)=0,"Spatial Data Missing",VLOOKUP(L225,'G-3 Multipliers'!$L$3:$N$6,3,FALSE)))</f>
        <v/>
      </c>
      <c r="O225" s="275" t="str">
        <f t="shared" si="18"/>
        <v/>
      </c>
      <c r="P225" s="58"/>
      <c r="Q225" s="58"/>
      <c r="R225" s="283" t="str">
        <f t="shared" si="20"/>
        <v/>
      </c>
      <c r="S225" s="296" t="str">
        <f t="shared" si="21"/>
        <v/>
      </c>
      <c r="T225" s="297" t="str">
        <f>IFERROR(IF(S225="Check Data ⚠","Check Data ⚠",VLOOKUP(S225,'G-4 Temporal multipliers'!$A$4:$C$37,3,FALSE)),"")</f>
        <v/>
      </c>
      <c r="U225" s="298" t="str">
        <f>IF(F225="","",VLOOKUP(F225,'G-3 Multipliers'!$A$2:$E$134,2,FALSE))</f>
        <v/>
      </c>
      <c r="V225" s="295" t="str">
        <f t="shared" si="22"/>
        <v/>
      </c>
      <c r="W225" s="295" t="str">
        <f>IF(E225="","",IF(AND(V225="Standard difficulty applied",O225&gt;P225),U225,IF(AND(V225="Low Difficulty - only applicable if all habitat created before losses ⚠",P225&gt;=O225),"Low",VLOOKUP(F225,'G-3 Multipliers'!$A$2:$E$134,4,FALSE))))</f>
        <v/>
      </c>
      <c r="X225" s="299" t="str">
        <f>IFERROR(IF(E225="","",VLOOKUP(W225,'G-3 Multipliers'!$P$2:$Q$6,2,FALSE)),"")</f>
        <v/>
      </c>
      <c r="Y225" s="303" t="str">
        <f t="shared" si="23"/>
        <v/>
      </c>
      <c r="Z225" s="52"/>
      <c r="AA225" s="51"/>
      <c r="AB225" s="104"/>
      <c r="AE225" s="40" t="str">
        <f t="shared" si="19"/>
        <v/>
      </c>
    </row>
    <row r="226" spans="1:31" ht="14" hidden="1">
      <c r="A226" s="35" t="str">
        <f>IFERROR(INDEX('G-8 Condition Look up'!$I$4:$I$135,MATCH(F226,'G-8 Condition Look up'!$A$4:$A$135,0)),"")</f>
        <v/>
      </c>
      <c r="B226" s="225">
        <v>216</v>
      </c>
      <c r="C226" s="232" t="str">
        <f>IFERROR(INDEX('G-1 All Habitats'!$AG$25:$AG$41,MATCH(D226,'G-1 All Habitats'!AF$25:AF$41,0)),"")</f>
        <v/>
      </c>
      <c r="D226" s="52"/>
      <c r="E226" s="57"/>
      <c r="F226" s="231" t="str">
        <f>IFERROR(INDEX('G-1 All Habitats'!$B$3:$B$135,MATCH(E226,'G-1 All Habitats'!$A$3:$A$135,0)),"")</f>
        <v/>
      </c>
      <c r="G226" s="51"/>
      <c r="H226" s="275" t="str">
        <f>IF(F226="","",VLOOKUP(F226,'G-1 All Habitats'!$B$2:$M$135,10,FALSE))</f>
        <v/>
      </c>
      <c r="I226" s="276" t="str">
        <f>IFERROR(VLOOKUP(H226,'G-1 All Habitats'!$V$3:$W$7,2,FALSE),"")</f>
        <v/>
      </c>
      <c r="J226" s="52"/>
      <c r="K226" s="276" t="str">
        <f>IFERROR(INDEX('G-8 Condition Look up'!$A$3:$H$135,MATCH(F226,'G-8 Condition Look up'!$A$3:$A$135,0),MATCH(J226,'G-8 Condition Look up'!$A$3:$H$3,0)),"")</f>
        <v/>
      </c>
      <c r="L226" s="52"/>
      <c r="M226" s="283" t="str">
        <f>IF(L226="","",IF(VLOOKUP(L226,'G-3 Multipliers'!$L$3:$N$6,2,FALSE)=0,"Spatial Data Missing",VLOOKUP(L226,'G-3 Multipliers'!$L$3:$N$6,2,FALSE)))</f>
        <v/>
      </c>
      <c r="N226" s="281" t="str">
        <f>IF(L226="","",IF(VLOOKUP(L226,'G-3 Multipliers'!$L$3:$N$6,3,FALSE)=0,"Spatial Data Missing",VLOOKUP(L226,'G-3 Multipliers'!$L$3:$N$6,3,FALSE)))</f>
        <v/>
      </c>
      <c r="O226" s="275" t="str">
        <f t="shared" si="18"/>
        <v/>
      </c>
      <c r="P226" s="58"/>
      <c r="Q226" s="58"/>
      <c r="R226" s="283" t="str">
        <f t="shared" si="20"/>
        <v/>
      </c>
      <c r="S226" s="296" t="str">
        <f t="shared" si="21"/>
        <v/>
      </c>
      <c r="T226" s="297" t="str">
        <f>IFERROR(IF(S226="Check Data ⚠","Check Data ⚠",VLOOKUP(S226,'G-4 Temporal multipliers'!$A$4:$C$37,3,FALSE)),"")</f>
        <v/>
      </c>
      <c r="U226" s="298" t="str">
        <f>IF(F226="","",VLOOKUP(F226,'G-3 Multipliers'!$A$2:$E$134,2,FALSE))</f>
        <v/>
      </c>
      <c r="V226" s="295" t="str">
        <f t="shared" si="22"/>
        <v/>
      </c>
      <c r="W226" s="295" t="str">
        <f>IF(E226="","",IF(AND(V226="Standard difficulty applied",O226&gt;P226),U226,IF(AND(V226="Low Difficulty - only applicable if all habitat created before losses ⚠",P226&gt;=O226),"Low",VLOOKUP(F226,'G-3 Multipliers'!$A$2:$E$134,4,FALSE))))</f>
        <v/>
      </c>
      <c r="X226" s="299" t="str">
        <f>IFERROR(IF(E226="","",VLOOKUP(W226,'G-3 Multipliers'!$P$2:$Q$6,2,FALSE)),"")</f>
        <v/>
      </c>
      <c r="Y226" s="303" t="str">
        <f t="shared" si="23"/>
        <v/>
      </c>
      <c r="Z226" s="52"/>
      <c r="AA226" s="51"/>
      <c r="AB226" s="104"/>
      <c r="AE226" s="40" t="str">
        <f t="shared" si="19"/>
        <v/>
      </c>
    </row>
    <row r="227" spans="1:31" ht="14" hidden="1">
      <c r="A227" s="35" t="str">
        <f>IFERROR(INDEX('G-8 Condition Look up'!$I$4:$I$135,MATCH(F227,'G-8 Condition Look up'!$A$4:$A$135,0)),"")</f>
        <v/>
      </c>
      <c r="B227" s="225">
        <v>217</v>
      </c>
      <c r="C227" s="232" t="str">
        <f>IFERROR(INDEX('G-1 All Habitats'!$AG$25:$AG$41,MATCH(D227,'G-1 All Habitats'!AF$25:AF$41,0)),"")</f>
        <v/>
      </c>
      <c r="D227" s="52"/>
      <c r="E227" s="57"/>
      <c r="F227" s="231" t="str">
        <f>IFERROR(INDEX('G-1 All Habitats'!$B$3:$B$135,MATCH(E227,'G-1 All Habitats'!$A$3:$A$135,0)),"")</f>
        <v/>
      </c>
      <c r="G227" s="51"/>
      <c r="H227" s="275" t="str">
        <f>IF(F227="","",VLOOKUP(F227,'G-1 All Habitats'!$B$2:$M$135,10,FALSE))</f>
        <v/>
      </c>
      <c r="I227" s="276" t="str">
        <f>IFERROR(VLOOKUP(H227,'G-1 All Habitats'!$V$3:$W$7,2,FALSE),"")</f>
        <v/>
      </c>
      <c r="J227" s="52"/>
      <c r="K227" s="276" t="str">
        <f>IFERROR(INDEX('G-8 Condition Look up'!$A$3:$H$135,MATCH(F227,'G-8 Condition Look up'!$A$3:$A$135,0),MATCH(J227,'G-8 Condition Look up'!$A$3:$H$3,0)),"")</f>
        <v/>
      </c>
      <c r="L227" s="52"/>
      <c r="M227" s="283" t="str">
        <f>IF(L227="","",IF(VLOOKUP(L227,'G-3 Multipliers'!$L$3:$N$6,2,FALSE)=0,"Spatial Data Missing",VLOOKUP(L227,'G-3 Multipliers'!$L$3:$N$6,2,FALSE)))</f>
        <v/>
      </c>
      <c r="N227" s="281" t="str">
        <f>IF(L227="","",IF(VLOOKUP(L227,'G-3 Multipliers'!$L$3:$N$6,3,FALSE)=0,"Spatial Data Missing",VLOOKUP(L227,'G-3 Multipliers'!$L$3:$N$6,3,FALSE)))</f>
        <v/>
      </c>
      <c r="O227" s="275" t="str">
        <f t="shared" si="18"/>
        <v/>
      </c>
      <c r="P227" s="58"/>
      <c r="Q227" s="58"/>
      <c r="R227" s="283" t="str">
        <f t="shared" si="20"/>
        <v/>
      </c>
      <c r="S227" s="296" t="str">
        <f t="shared" si="21"/>
        <v/>
      </c>
      <c r="T227" s="297" t="str">
        <f>IFERROR(IF(S227="Check Data ⚠","Check Data ⚠",VLOOKUP(S227,'G-4 Temporal multipliers'!$A$4:$C$37,3,FALSE)),"")</f>
        <v/>
      </c>
      <c r="U227" s="298" t="str">
        <f>IF(F227="","",VLOOKUP(F227,'G-3 Multipliers'!$A$2:$E$134,2,FALSE))</f>
        <v/>
      </c>
      <c r="V227" s="295" t="str">
        <f t="shared" si="22"/>
        <v/>
      </c>
      <c r="W227" s="295" t="str">
        <f>IF(E227="","",IF(AND(V227="Standard difficulty applied",O227&gt;P227),U227,IF(AND(V227="Low Difficulty - only applicable if all habitat created before losses ⚠",P227&gt;=O227),"Low",VLOOKUP(F227,'G-3 Multipliers'!$A$2:$E$134,4,FALSE))))</f>
        <v/>
      </c>
      <c r="X227" s="299" t="str">
        <f>IFERROR(IF(E227="","",VLOOKUP(W227,'G-3 Multipliers'!$P$2:$Q$6,2,FALSE)),"")</f>
        <v/>
      </c>
      <c r="Y227" s="303" t="str">
        <f t="shared" si="23"/>
        <v/>
      </c>
      <c r="Z227" s="52"/>
      <c r="AA227" s="51"/>
      <c r="AB227" s="104"/>
      <c r="AE227" s="40" t="str">
        <f t="shared" si="19"/>
        <v/>
      </c>
    </row>
    <row r="228" spans="1:31" ht="14" hidden="1">
      <c r="A228" s="35" t="str">
        <f>IFERROR(INDEX('G-8 Condition Look up'!$I$4:$I$135,MATCH(F228,'G-8 Condition Look up'!$A$4:$A$135,0)),"")</f>
        <v/>
      </c>
      <c r="B228" s="225">
        <v>218</v>
      </c>
      <c r="C228" s="232" t="str">
        <f>IFERROR(INDEX('G-1 All Habitats'!$AG$25:$AG$41,MATCH(D228,'G-1 All Habitats'!AF$25:AF$41,0)),"")</f>
        <v/>
      </c>
      <c r="D228" s="52"/>
      <c r="E228" s="57"/>
      <c r="F228" s="231" t="str">
        <f>IFERROR(INDEX('G-1 All Habitats'!$B$3:$B$135,MATCH(E228,'G-1 All Habitats'!$A$3:$A$135,0)),"")</f>
        <v/>
      </c>
      <c r="G228" s="51"/>
      <c r="H228" s="275" t="str">
        <f>IF(F228="","",VLOOKUP(F228,'G-1 All Habitats'!$B$2:$M$135,10,FALSE))</f>
        <v/>
      </c>
      <c r="I228" s="276" t="str">
        <f>IFERROR(VLOOKUP(H228,'G-1 All Habitats'!$V$3:$W$7,2,FALSE),"")</f>
        <v/>
      </c>
      <c r="J228" s="52"/>
      <c r="K228" s="276" t="str">
        <f>IFERROR(INDEX('G-8 Condition Look up'!$A$3:$H$135,MATCH(F228,'G-8 Condition Look up'!$A$3:$A$135,0),MATCH(J228,'G-8 Condition Look up'!$A$3:$H$3,0)),"")</f>
        <v/>
      </c>
      <c r="L228" s="52"/>
      <c r="M228" s="283" t="str">
        <f>IF(L228="","",IF(VLOOKUP(L228,'G-3 Multipliers'!$L$3:$N$6,2,FALSE)=0,"Spatial Data Missing",VLOOKUP(L228,'G-3 Multipliers'!$L$3:$N$6,2,FALSE)))</f>
        <v/>
      </c>
      <c r="N228" s="281" t="str">
        <f>IF(L228="","",IF(VLOOKUP(L228,'G-3 Multipliers'!$L$3:$N$6,3,FALSE)=0,"Spatial Data Missing",VLOOKUP(L228,'G-3 Multipliers'!$L$3:$N$6,3,FALSE)))</f>
        <v/>
      </c>
      <c r="O228" s="275" t="str">
        <f t="shared" si="18"/>
        <v/>
      </c>
      <c r="P228" s="58"/>
      <c r="Q228" s="58"/>
      <c r="R228" s="283" t="str">
        <f t="shared" si="20"/>
        <v/>
      </c>
      <c r="S228" s="296" t="str">
        <f t="shared" si="21"/>
        <v/>
      </c>
      <c r="T228" s="297" t="str">
        <f>IFERROR(IF(S228="Check Data ⚠","Check Data ⚠",VLOOKUP(S228,'G-4 Temporal multipliers'!$A$4:$C$37,3,FALSE)),"")</f>
        <v/>
      </c>
      <c r="U228" s="298" t="str">
        <f>IF(F228="","",VLOOKUP(F228,'G-3 Multipliers'!$A$2:$E$134,2,FALSE))</f>
        <v/>
      </c>
      <c r="V228" s="295" t="str">
        <f t="shared" si="22"/>
        <v/>
      </c>
      <c r="W228" s="295" t="str">
        <f>IF(E228="","",IF(AND(V228="Standard difficulty applied",O228&gt;P228),U228,IF(AND(V228="Low Difficulty - only applicable if all habitat created before losses ⚠",P228&gt;=O228),"Low",VLOOKUP(F228,'G-3 Multipliers'!$A$2:$E$134,4,FALSE))))</f>
        <v/>
      </c>
      <c r="X228" s="299" t="str">
        <f>IFERROR(IF(E228="","",VLOOKUP(W228,'G-3 Multipliers'!$P$2:$Q$6,2,FALSE)),"")</f>
        <v/>
      </c>
      <c r="Y228" s="303" t="str">
        <f t="shared" si="23"/>
        <v/>
      </c>
      <c r="Z228" s="52"/>
      <c r="AA228" s="51"/>
      <c r="AB228" s="104"/>
      <c r="AE228" s="40" t="str">
        <f t="shared" si="19"/>
        <v/>
      </c>
    </row>
    <row r="229" spans="1:31" ht="14" hidden="1">
      <c r="A229" s="35" t="str">
        <f>IFERROR(INDEX('G-8 Condition Look up'!$I$4:$I$135,MATCH(F229,'G-8 Condition Look up'!$A$4:$A$135,0)),"")</f>
        <v/>
      </c>
      <c r="B229" s="225">
        <v>219</v>
      </c>
      <c r="C229" s="232" t="str">
        <f>IFERROR(INDEX('G-1 All Habitats'!$AG$25:$AG$41,MATCH(D229,'G-1 All Habitats'!AF$25:AF$41,0)),"")</f>
        <v/>
      </c>
      <c r="D229" s="52"/>
      <c r="E229" s="57"/>
      <c r="F229" s="231" t="str">
        <f>IFERROR(INDEX('G-1 All Habitats'!$B$3:$B$135,MATCH(E229,'G-1 All Habitats'!$A$3:$A$135,0)),"")</f>
        <v/>
      </c>
      <c r="G229" s="51"/>
      <c r="H229" s="275" t="str">
        <f>IF(F229="","",VLOOKUP(F229,'G-1 All Habitats'!$B$2:$M$135,10,FALSE))</f>
        <v/>
      </c>
      <c r="I229" s="276" t="str">
        <f>IFERROR(VLOOKUP(H229,'G-1 All Habitats'!$V$3:$W$7,2,FALSE),"")</f>
        <v/>
      </c>
      <c r="J229" s="52"/>
      <c r="K229" s="276" t="str">
        <f>IFERROR(INDEX('G-8 Condition Look up'!$A$3:$H$135,MATCH(F229,'G-8 Condition Look up'!$A$3:$A$135,0),MATCH(J229,'G-8 Condition Look up'!$A$3:$H$3,0)),"")</f>
        <v/>
      </c>
      <c r="L229" s="52"/>
      <c r="M229" s="283" t="str">
        <f>IF(L229="","",IF(VLOOKUP(L229,'G-3 Multipliers'!$L$3:$N$6,2,FALSE)=0,"Spatial Data Missing",VLOOKUP(L229,'G-3 Multipliers'!$L$3:$N$6,2,FALSE)))</f>
        <v/>
      </c>
      <c r="N229" s="281" t="str">
        <f>IF(L229="","",IF(VLOOKUP(L229,'G-3 Multipliers'!$L$3:$N$6,3,FALSE)=0,"Spatial Data Missing",VLOOKUP(L229,'G-3 Multipliers'!$L$3:$N$6,3,FALSE)))</f>
        <v/>
      </c>
      <c r="O229" s="275" t="str">
        <f t="shared" si="18"/>
        <v/>
      </c>
      <c r="P229" s="58"/>
      <c r="Q229" s="58"/>
      <c r="R229" s="283" t="str">
        <f t="shared" si="20"/>
        <v/>
      </c>
      <c r="S229" s="296" t="str">
        <f t="shared" si="21"/>
        <v/>
      </c>
      <c r="T229" s="297" t="str">
        <f>IFERROR(IF(S229="Check Data ⚠","Check Data ⚠",VLOOKUP(S229,'G-4 Temporal multipliers'!$A$4:$C$37,3,FALSE)),"")</f>
        <v/>
      </c>
      <c r="U229" s="298" t="str">
        <f>IF(F229="","",VLOOKUP(F229,'G-3 Multipliers'!$A$2:$E$134,2,FALSE))</f>
        <v/>
      </c>
      <c r="V229" s="295" t="str">
        <f t="shared" si="22"/>
        <v/>
      </c>
      <c r="W229" s="295" t="str">
        <f>IF(E229="","",IF(AND(V229="Standard difficulty applied",O229&gt;P229),U229,IF(AND(V229="Low Difficulty - only applicable if all habitat created before losses ⚠",P229&gt;=O229),"Low",VLOOKUP(F229,'G-3 Multipliers'!$A$2:$E$134,4,FALSE))))</f>
        <v/>
      </c>
      <c r="X229" s="299" t="str">
        <f>IFERROR(IF(E229="","",VLOOKUP(W229,'G-3 Multipliers'!$P$2:$Q$6,2,FALSE)),"")</f>
        <v/>
      </c>
      <c r="Y229" s="303" t="str">
        <f t="shared" si="23"/>
        <v/>
      </c>
      <c r="Z229" s="52"/>
      <c r="AA229" s="51"/>
      <c r="AB229" s="104"/>
      <c r="AE229" s="40" t="str">
        <f t="shared" si="19"/>
        <v/>
      </c>
    </row>
    <row r="230" spans="1:31" ht="14" hidden="1">
      <c r="A230" s="35" t="str">
        <f>IFERROR(INDEX('G-8 Condition Look up'!$I$4:$I$135,MATCH(F230,'G-8 Condition Look up'!$A$4:$A$135,0)),"")</f>
        <v/>
      </c>
      <c r="B230" s="225">
        <v>220</v>
      </c>
      <c r="C230" s="232" t="str">
        <f>IFERROR(INDEX('G-1 All Habitats'!$AG$25:$AG$41,MATCH(D230,'G-1 All Habitats'!AF$25:AF$41,0)),"")</f>
        <v/>
      </c>
      <c r="D230" s="52"/>
      <c r="E230" s="57"/>
      <c r="F230" s="231" t="str">
        <f>IFERROR(INDEX('G-1 All Habitats'!$B$3:$B$135,MATCH(E230,'G-1 All Habitats'!$A$3:$A$135,0)),"")</f>
        <v/>
      </c>
      <c r="G230" s="51"/>
      <c r="H230" s="275" t="str">
        <f>IF(F230="","",VLOOKUP(F230,'G-1 All Habitats'!$B$2:$M$135,10,FALSE))</f>
        <v/>
      </c>
      <c r="I230" s="276" t="str">
        <f>IFERROR(VLOOKUP(H230,'G-1 All Habitats'!$V$3:$W$7,2,FALSE),"")</f>
        <v/>
      </c>
      <c r="J230" s="52"/>
      <c r="K230" s="276" t="str">
        <f>IFERROR(INDEX('G-8 Condition Look up'!$A$3:$H$135,MATCH(F230,'G-8 Condition Look up'!$A$3:$A$135,0),MATCH(J230,'G-8 Condition Look up'!$A$3:$H$3,0)),"")</f>
        <v/>
      </c>
      <c r="L230" s="52"/>
      <c r="M230" s="283" t="str">
        <f>IF(L230="","",IF(VLOOKUP(L230,'G-3 Multipliers'!$L$3:$N$6,2,FALSE)=0,"Spatial Data Missing",VLOOKUP(L230,'G-3 Multipliers'!$L$3:$N$6,2,FALSE)))</f>
        <v/>
      </c>
      <c r="N230" s="281" t="str">
        <f>IF(L230="","",IF(VLOOKUP(L230,'G-3 Multipliers'!$L$3:$N$6,3,FALSE)=0,"Spatial Data Missing",VLOOKUP(L230,'G-3 Multipliers'!$L$3:$N$6,3,FALSE)))</f>
        <v/>
      </c>
      <c r="O230" s="275" t="str">
        <f t="shared" si="18"/>
        <v/>
      </c>
      <c r="P230" s="58"/>
      <c r="Q230" s="58"/>
      <c r="R230" s="283" t="str">
        <f t="shared" si="20"/>
        <v/>
      </c>
      <c r="S230" s="296" t="str">
        <f t="shared" si="21"/>
        <v/>
      </c>
      <c r="T230" s="297" t="str">
        <f>IFERROR(IF(S230="Check Data ⚠","Check Data ⚠",VLOOKUP(S230,'G-4 Temporal multipliers'!$A$4:$C$37,3,FALSE)),"")</f>
        <v/>
      </c>
      <c r="U230" s="298" t="str">
        <f>IF(F230="","",VLOOKUP(F230,'G-3 Multipliers'!$A$2:$E$134,2,FALSE))</f>
        <v/>
      </c>
      <c r="V230" s="295" t="str">
        <f t="shared" si="22"/>
        <v/>
      </c>
      <c r="W230" s="295" t="str">
        <f>IF(E230="","",IF(AND(V230="Standard difficulty applied",O230&gt;P230),U230,IF(AND(V230="Low Difficulty - only applicable if all habitat created before losses ⚠",P230&gt;=O230),"Low",VLOOKUP(F230,'G-3 Multipliers'!$A$2:$E$134,4,FALSE))))</f>
        <v/>
      </c>
      <c r="X230" s="299" t="str">
        <f>IFERROR(IF(E230="","",VLOOKUP(W230,'G-3 Multipliers'!$P$2:$Q$6,2,FALSE)),"")</f>
        <v/>
      </c>
      <c r="Y230" s="303" t="str">
        <f t="shared" si="23"/>
        <v/>
      </c>
      <c r="Z230" s="52"/>
      <c r="AA230" s="51"/>
      <c r="AB230" s="104"/>
      <c r="AE230" s="40" t="str">
        <f t="shared" si="19"/>
        <v/>
      </c>
    </row>
    <row r="231" spans="1:31" ht="14" hidden="1">
      <c r="A231" s="35" t="str">
        <f>IFERROR(INDEX('G-8 Condition Look up'!$I$4:$I$135,MATCH(F231,'G-8 Condition Look up'!$A$4:$A$135,0)),"")</f>
        <v/>
      </c>
      <c r="B231" s="225">
        <v>221</v>
      </c>
      <c r="C231" s="232" t="str">
        <f>IFERROR(INDEX('G-1 All Habitats'!$AG$25:$AG$41,MATCH(D231,'G-1 All Habitats'!AF$25:AF$41,0)),"")</f>
        <v/>
      </c>
      <c r="D231" s="52"/>
      <c r="E231" s="57"/>
      <c r="F231" s="231" t="str">
        <f>IFERROR(INDEX('G-1 All Habitats'!$B$3:$B$135,MATCH(E231,'G-1 All Habitats'!$A$3:$A$135,0)),"")</f>
        <v/>
      </c>
      <c r="G231" s="51"/>
      <c r="H231" s="275" t="str">
        <f>IF(F231="","",VLOOKUP(F231,'G-1 All Habitats'!$B$2:$M$135,10,FALSE))</f>
        <v/>
      </c>
      <c r="I231" s="276" t="str">
        <f>IFERROR(VLOOKUP(H231,'G-1 All Habitats'!$V$3:$W$7,2,FALSE),"")</f>
        <v/>
      </c>
      <c r="J231" s="52"/>
      <c r="K231" s="276" t="str">
        <f>IFERROR(INDEX('G-8 Condition Look up'!$A$3:$H$135,MATCH(F231,'G-8 Condition Look up'!$A$3:$A$135,0),MATCH(J231,'G-8 Condition Look up'!$A$3:$H$3,0)),"")</f>
        <v/>
      </c>
      <c r="L231" s="52"/>
      <c r="M231" s="283" t="str">
        <f>IF(L231="","",IF(VLOOKUP(L231,'G-3 Multipliers'!$L$3:$N$6,2,FALSE)=0,"Spatial Data Missing",VLOOKUP(L231,'G-3 Multipliers'!$L$3:$N$6,2,FALSE)))</f>
        <v/>
      </c>
      <c r="N231" s="281" t="str">
        <f>IF(L231="","",IF(VLOOKUP(L231,'G-3 Multipliers'!$L$3:$N$6,3,FALSE)=0,"Spatial Data Missing",VLOOKUP(L231,'G-3 Multipliers'!$L$3:$N$6,3,FALSE)))</f>
        <v/>
      </c>
      <c r="O231" s="275" t="str">
        <f t="shared" si="18"/>
        <v/>
      </c>
      <c r="P231" s="58"/>
      <c r="Q231" s="58"/>
      <c r="R231" s="283" t="str">
        <f t="shared" si="20"/>
        <v/>
      </c>
      <c r="S231" s="296" t="str">
        <f t="shared" si="21"/>
        <v/>
      </c>
      <c r="T231" s="297" t="str">
        <f>IFERROR(IF(S231="Check Data ⚠","Check Data ⚠",VLOOKUP(S231,'G-4 Temporal multipliers'!$A$4:$C$37,3,FALSE)),"")</f>
        <v/>
      </c>
      <c r="U231" s="298" t="str">
        <f>IF(F231="","",VLOOKUP(F231,'G-3 Multipliers'!$A$2:$E$134,2,FALSE))</f>
        <v/>
      </c>
      <c r="V231" s="295" t="str">
        <f t="shared" si="22"/>
        <v/>
      </c>
      <c r="W231" s="295" t="str">
        <f>IF(E231="","",IF(AND(V231="Standard difficulty applied",O231&gt;P231),U231,IF(AND(V231="Low Difficulty - only applicable if all habitat created before losses ⚠",P231&gt;=O231),"Low",VLOOKUP(F231,'G-3 Multipliers'!$A$2:$E$134,4,FALSE))))</f>
        <v/>
      </c>
      <c r="X231" s="299" t="str">
        <f>IFERROR(IF(E231="","",VLOOKUP(W231,'G-3 Multipliers'!$P$2:$Q$6,2,FALSE)),"")</f>
        <v/>
      </c>
      <c r="Y231" s="303" t="str">
        <f t="shared" si="23"/>
        <v/>
      </c>
      <c r="Z231" s="52"/>
      <c r="AA231" s="51"/>
      <c r="AB231" s="104"/>
      <c r="AE231" s="40" t="str">
        <f t="shared" si="19"/>
        <v/>
      </c>
    </row>
    <row r="232" spans="1:31" ht="14" hidden="1">
      <c r="A232" s="35" t="str">
        <f>IFERROR(INDEX('G-8 Condition Look up'!$I$4:$I$135,MATCH(F232,'G-8 Condition Look up'!$A$4:$A$135,0)),"")</f>
        <v/>
      </c>
      <c r="B232" s="225">
        <v>222</v>
      </c>
      <c r="C232" s="232" t="str">
        <f>IFERROR(INDEX('G-1 All Habitats'!$AG$25:$AG$41,MATCH(D232,'G-1 All Habitats'!AF$25:AF$41,0)),"")</f>
        <v/>
      </c>
      <c r="D232" s="52"/>
      <c r="E232" s="57"/>
      <c r="F232" s="231" t="str">
        <f>IFERROR(INDEX('G-1 All Habitats'!$B$3:$B$135,MATCH(E232,'G-1 All Habitats'!$A$3:$A$135,0)),"")</f>
        <v/>
      </c>
      <c r="G232" s="51"/>
      <c r="H232" s="275" t="str">
        <f>IF(F232="","",VLOOKUP(F232,'G-1 All Habitats'!$B$2:$M$135,10,FALSE))</f>
        <v/>
      </c>
      <c r="I232" s="276" t="str">
        <f>IFERROR(VLOOKUP(H232,'G-1 All Habitats'!$V$3:$W$7,2,FALSE),"")</f>
        <v/>
      </c>
      <c r="J232" s="52"/>
      <c r="K232" s="276" t="str">
        <f>IFERROR(INDEX('G-8 Condition Look up'!$A$3:$H$135,MATCH(F232,'G-8 Condition Look up'!$A$3:$A$135,0),MATCH(J232,'G-8 Condition Look up'!$A$3:$H$3,0)),"")</f>
        <v/>
      </c>
      <c r="L232" s="52"/>
      <c r="M232" s="283" t="str">
        <f>IF(L232="","",IF(VLOOKUP(L232,'G-3 Multipliers'!$L$3:$N$6,2,FALSE)=0,"Spatial Data Missing",VLOOKUP(L232,'G-3 Multipliers'!$L$3:$N$6,2,FALSE)))</f>
        <v/>
      </c>
      <c r="N232" s="281" t="str">
        <f>IF(L232="","",IF(VLOOKUP(L232,'G-3 Multipliers'!$L$3:$N$6,3,FALSE)=0,"Spatial Data Missing",VLOOKUP(L232,'G-3 Multipliers'!$L$3:$N$6,3,FALSE)))</f>
        <v/>
      </c>
      <c r="O232" s="275" t="str">
        <f t="shared" si="18"/>
        <v/>
      </c>
      <c r="P232" s="58"/>
      <c r="Q232" s="58"/>
      <c r="R232" s="283" t="str">
        <f t="shared" si="20"/>
        <v/>
      </c>
      <c r="S232" s="296" t="str">
        <f t="shared" si="21"/>
        <v/>
      </c>
      <c r="T232" s="297" t="str">
        <f>IFERROR(IF(S232="Check Data ⚠","Check Data ⚠",VLOOKUP(S232,'G-4 Temporal multipliers'!$A$4:$C$37,3,FALSE)),"")</f>
        <v/>
      </c>
      <c r="U232" s="298" t="str">
        <f>IF(F232="","",VLOOKUP(F232,'G-3 Multipliers'!$A$2:$E$134,2,FALSE))</f>
        <v/>
      </c>
      <c r="V232" s="295" t="str">
        <f t="shared" si="22"/>
        <v/>
      </c>
      <c r="W232" s="295" t="str">
        <f>IF(E232="","",IF(AND(V232="Standard difficulty applied",O232&gt;P232),U232,IF(AND(V232="Low Difficulty - only applicable if all habitat created before losses ⚠",P232&gt;=O232),"Low",VLOOKUP(F232,'G-3 Multipliers'!$A$2:$E$134,4,FALSE))))</f>
        <v/>
      </c>
      <c r="X232" s="299" t="str">
        <f>IFERROR(IF(E232="","",VLOOKUP(W232,'G-3 Multipliers'!$P$2:$Q$6,2,FALSE)),"")</f>
        <v/>
      </c>
      <c r="Y232" s="303" t="str">
        <f t="shared" si="23"/>
        <v/>
      </c>
      <c r="Z232" s="52"/>
      <c r="AA232" s="51"/>
      <c r="AB232" s="104"/>
      <c r="AE232" s="40" t="str">
        <f t="shared" si="19"/>
        <v/>
      </c>
    </row>
    <row r="233" spans="1:31" ht="14" hidden="1">
      <c r="A233" s="35" t="str">
        <f>IFERROR(INDEX('G-8 Condition Look up'!$I$4:$I$135,MATCH(F233,'G-8 Condition Look up'!$A$4:$A$135,0)),"")</f>
        <v/>
      </c>
      <c r="B233" s="225">
        <v>223</v>
      </c>
      <c r="C233" s="232" t="str">
        <f>IFERROR(INDEX('G-1 All Habitats'!$AG$25:$AG$41,MATCH(D233,'G-1 All Habitats'!AF$25:AF$41,0)),"")</f>
        <v/>
      </c>
      <c r="D233" s="52"/>
      <c r="E233" s="57"/>
      <c r="F233" s="231" t="str">
        <f>IFERROR(INDEX('G-1 All Habitats'!$B$3:$B$135,MATCH(E233,'G-1 All Habitats'!$A$3:$A$135,0)),"")</f>
        <v/>
      </c>
      <c r="G233" s="51"/>
      <c r="H233" s="275" t="str">
        <f>IF(F233="","",VLOOKUP(F233,'G-1 All Habitats'!$B$2:$M$135,10,FALSE))</f>
        <v/>
      </c>
      <c r="I233" s="276" t="str">
        <f>IFERROR(VLOOKUP(H233,'G-1 All Habitats'!$V$3:$W$7,2,FALSE),"")</f>
        <v/>
      </c>
      <c r="J233" s="52"/>
      <c r="K233" s="276" t="str">
        <f>IFERROR(INDEX('G-8 Condition Look up'!$A$3:$H$135,MATCH(F233,'G-8 Condition Look up'!$A$3:$A$135,0),MATCH(J233,'G-8 Condition Look up'!$A$3:$H$3,0)),"")</f>
        <v/>
      </c>
      <c r="L233" s="52"/>
      <c r="M233" s="283" t="str">
        <f>IF(L233="","",IF(VLOOKUP(L233,'G-3 Multipliers'!$L$3:$N$6,2,FALSE)=0,"Spatial Data Missing",VLOOKUP(L233,'G-3 Multipliers'!$L$3:$N$6,2,FALSE)))</f>
        <v/>
      </c>
      <c r="N233" s="281" t="str">
        <f>IF(L233="","",IF(VLOOKUP(L233,'G-3 Multipliers'!$L$3:$N$6,3,FALSE)=0,"Spatial Data Missing",VLOOKUP(L233,'G-3 Multipliers'!$L$3:$N$6,3,FALSE)))</f>
        <v/>
      </c>
      <c r="O233" s="275" t="str">
        <f t="shared" si="18"/>
        <v/>
      </c>
      <c r="P233" s="58"/>
      <c r="Q233" s="58"/>
      <c r="R233" s="283" t="str">
        <f t="shared" si="20"/>
        <v/>
      </c>
      <c r="S233" s="296" t="str">
        <f t="shared" si="21"/>
        <v/>
      </c>
      <c r="T233" s="297" t="str">
        <f>IFERROR(IF(S233="Check Data ⚠","Check Data ⚠",VLOOKUP(S233,'G-4 Temporal multipliers'!$A$4:$C$37,3,FALSE)),"")</f>
        <v/>
      </c>
      <c r="U233" s="298" t="str">
        <f>IF(F233="","",VLOOKUP(F233,'G-3 Multipliers'!$A$2:$E$134,2,FALSE))</f>
        <v/>
      </c>
      <c r="V233" s="295" t="str">
        <f t="shared" si="22"/>
        <v/>
      </c>
      <c r="W233" s="295" t="str">
        <f>IF(E233="","",IF(AND(V233="Standard difficulty applied",O233&gt;P233),U233,IF(AND(V233="Low Difficulty - only applicable if all habitat created before losses ⚠",P233&gt;=O233),"Low",VLOOKUP(F233,'G-3 Multipliers'!$A$2:$E$134,4,FALSE))))</f>
        <v/>
      </c>
      <c r="X233" s="299" t="str">
        <f>IFERROR(IF(E233="","",VLOOKUP(W233,'G-3 Multipliers'!$P$2:$Q$6,2,FALSE)),"")</f>
        <v/>
      </c>
      <c r="Y233" s="303" t="str">
        <f t="shared" si="23"/>
        <v/>
      </c>
      <c r="Z233" s="52"/>
      <c r="AA233" s="51"/>
      <c r="AB233" s="104"/>
      <c r="AE233" s="40" t="str">
        <f t="shared" si="19"/>
        <v/>
      </c>
    </row>
    <row r="234" spans="1:31" ht="14" hidden="1">
      <c r="A234" s="35" t="str">
        <f>IFERROR(INDEX('G-8 Condition Look up'!$I$4:$I$135,MATCH(F234,'G-8 Condition Look up'!$A$4:$A$135,0)),"")</f>
        <v/>
      </c>
      <c r="B234" s="225">
        <v>224</v>
      </c>
      <c r="C234" s="232" t="str">
        <f>IFERROR(INDEX('G-1 All Habitats'!$AG$25:$AG$41,MATCH(D234,'G-1 All Habitats'!AF$25:AF$41,0)),"")</f>
        <v/>
      </c>
      <c r="D234" s="52"/>
      <c r="E234" s="57"/>
      <c r="F234" s="231" t="str">
        <f>IFERROR(INDEX('G-1 All Habitats'!$B$3:$B$135,MATCH(E234,'G-1 All Habitats'!$A$3:$A$135,0)),"")</f>
        <v/>
      </c>
      <c r="G234" s="51"/>
      <c r="H234" s="275" t="str">
        <f>IF(F234="","",VLOOKUP(F234,'G-1 All Habitats'!$B$2:$M$135,10,FALSE))</f>
        <v/>
      </c>
      <c r="I234" s="276" t="str">
        <f>IFERROR(VLOOKUP(H234,'G-1 All Habitats'!$V$3:$W$7,2,FALSE),"")</f>
        <v/>
      </c>
      <c r="J234" s="52"/>
      <c r="K234" s="276" t="str">
        <f>IFERROR(INDEX('G-8 Condition Look up'!$A$3:$H$135,MATCH(F234,'G-8 Condition Look up'!$A$3:$A$135,0),MATCH(J234,'G-8 Condition Look up'!$A$3:$H$3,0)),"")</f>
        <v/>
      </c>
      <c r="L234" s="52"/>
      <c r="M234" s="283" t="str">
        <f>IF(L234="","",IF(VLOOKUP(L234,'G-3 Multipliers'!$L$3:$N$6,2,FALSE)=0,"Spatial Data Missing",VLOOKUP(L234,'G-3 Multipliers'!$L$3:$N$6,2,FALSE)))</f>
        <v/>
      </c>
      <c r="N234" s="281" t="str">
        <f>IF(L234="","",IF(VLOOKUP(L234,'G-3 Multipliers'!$L$3:$N$6,3,FALSE)=0,"Spatial Data Missing",VLOOKUP(L234,'G-3 Multipliers'!$L$3:$N$6,3,FALSE)))</f>
        <v/>
      </c>
      <c r="O234" s="275" t="str">
        <f t="shared" si="18"/>
        <v/>
      </c>
      <c r="P234" s="58"/>
      <c r="Q234" s="58"/>
      <c r="R234" s="283" t="str">
        <f t="shared" si="20"/>
        <v/>
      </c>
      <c r="S234" s="296" t="str">
        <f t="shared" si="21"/>
        <v/>
      </c>
      <c r="T234" s="297" t="str">
        <f>IFERROR(IF(S234="Check Data ⚠","Check Data ⚠",VLOOKUP(S234,'G-4 Temporal multipliers'!$A$4:$C$37,3,FALSE)),"")</f>
        <v/>
      </c>
      <c r="U234" s="298" t="str">
        <f>IF(F234="","",VLOOKUP(F234,'G-3 Multipliers'!$A$2:$E$134,2,FALSE))</f>
        <v/>
      </c>
      <c r="V234" s="295" t="str">
        <f t="shared" si="22"/>
        <v/>
      </c>
      <c r="W234" s="295" t="str">
        <f>IF(E234="","",IF(AND(V234="Standard difficulty applied",O234&gt;P234),U234,IF(AND(V234="Low Difficulty - only applicable if all habitat created before losses ⚠",P234&gt;=O234),"Low",VLOOKUP(F234,'G-3 Multipliers'!$A$2:$E$134,4,FALSE))))</f>
        <v/>
      </c>
      <c r="X234" s="299" t="str">
        <f>IFERROR(IF(E234="","",VLOOKUP(W234,'G-3 Multipliers'!$P$2:$Q$6,2,FALSE)),"")</f>
        <v/>
      </c>
      <c r="Y234" s="303" t="str">
        <f t="shared" si="23"/>
        <v/>
      </c>
      <c r="Z234" s="52"/>
      <c r="AA234" s="51"/>
      <c r="AB234" s="104"/>
      <c r="AE234" s="40" t="str">
        <f t="shared" si="19"/>
        <v/>
      </c>
    </row>
    <row r="235" spans="1:31" ht="14" hidden="1">
      <c r="A235" s="35" t="str">
        <f>IFERROR(INDEX('G-8 Condition Look up'!$I$4:$I$135,MATCH(F235,'G-8 Condition Look up'!$A$4:$A$135,0)),"")</f>
        <v/>
      </c>
      <c r="B235" s="225">
        <v>225</v>
      </c>
      <c r="C235" s="232" t="str">
        <f>IFERROR(INDEX('G-1 All Habitats'!$AG$25:$AG$41,MATCH(D235,'G-1 All Habitats'!AF$25:AF$41,0)),"")</f>
        <v/>
      </c>
      <c r="D235" s="52"/>
      <c r="E235" s="57"/>
      <c r="F235" s="231" t="str">
        <f>IFERROR(INDEX('G-1 All Habitats'!$B$3:$B$135,MATCH(E235,'G-1 All Habitats'!$A$3:$A$135,0)),"")</f>
        <v/>
      </c>
      <c r="G235" s="51"/>
      <c r="H235" s="275" t="str">
        <f>IF(F235="","",VLOOKUP(F235,'G-1 All Habitats'!$B$2:$M$135,10,FALSE))</f>
        <v/>
      </c>
      <c r="I235" s="276" t="str">
        <f>IFERROR(VLOOKUP(H235,'G-1 All Habitats'!$V$3:$W$7,2,FALSE),"")</f>
        <v/>
      </c>
      <c r="J235" s="52"/>
      <c r="K235" s="276" t="str">
        <f>IFERROR(INDEX('G-8 Condition Look up'!$A$3:$H$135,MATCH(F235,'G-8 Condition Look up'!$A$3:$A$135,0),MATCH(J235,'G-8 Condition Look up'!$A$3:$H$3,0)),"")</f>
        <v/>
      </c>
      <c r="L235" s="52"/>
      <c r="M235" s="283" t="str">
        <f>IF(L235="","",IF(VLOOKUP(L235,'G-3 Multipliers'!$L$3:$N$6,2,FALSE)=0,"Spatial Data Missing",VLOOKUP(L235,'G-3 Multipliers'!$L$3:$N$6,2,FALSE)))</f>
        <v/>
      </c>
      <c r="N235" s="281" t="str">
        <f>IF(L235="","",IF(VLOOKUP(L235,'G-3 Multipliers'!$L$3:$N$6,3,FALSE)=0,"Spatial Data Missing",VLOOKUP(L235,'G-3 Multipliers'!$L$3:$N$6,3,FALSE)))</f>
        <v/>
      </c>
      <c r="O235" s="275" t="str">
        <f t="shared" si="18"/>
        <v/>
      </c>
      <c r="P235" s="58"/>
      <c r="Q235" s="58"/>
      <c r="R235" s="283" t="str">
        <f t="shared" si="20"/>
        <v/>
      </c>
      <c r="S235" s="296" t="str">
        <f t="shared" si="21"/>
        <v/>
      </c>
      <c r="T235" s="297" t="str">
        <f>IFERROR(IF(S235="Check Data ⚠","Check Data ⚠",VLOOKUP(S235,'G-4 Temporal multipliers'!$A$4:$C$37,3,FALSE)),"")</f>
        <v/>
      </c>
      <c r="U235" s="298" t="str">
        <f>IF(F235="","",VLOOKUP(F235,'G-3 Multipliers'!$A$2:$E$134,2,FALSE))</f>
        <v/>
      </c>
      <c r="V235" s="295" t="str">
        <f t="shared" si="22"/>
        <v/>
      </c>
      <c r="W235" s="295" t="str">
        <f>IF(E235="","",IF(AND(V235="Standard difficulty applied",O235&gt;P235),U235,IF(AND(V235="Low Difficulty - only applicable if all habitat created before losses ⚠",P235&gt;=O235),"Low",VLOOKUP(F235,'G-3 Multipliers'!$A$2:$E$134,4,FALSE))))</f>
        <v/>
      </c>
      <c r="X235" s="299" t="str">
        <f>IFERROR(IF(E235="","",VLOOKUP(W235,'G-3 Multipliers'!$P$2:$Q$6,2,FALSE)),"")</f>
        <v/>
      </c>
      <c r="Y235" s="303" t="str">
        <f t="shared" si="23"/>
        <v/>
      </c>
      <c r="Z235" s="52"/>
      <c r="AA235" s="51"/>
      <c r="AB235" s="104"/>
      <c r="AE235" s="40" t="str">
        <f t="shared" si="19"/>
        <v/>
      </c>
    </row>
    <row r="236" spans="1:31" ht="14" hidden="1">
      <c r="A236" s="35" t="str">
        <f>IFERROR(INDEX('G-8 Condition Look up'!$I$4:$I$135,MATCH(F236,'G-8 Condition Look up'!$A$4:$A$135,0)),"")</f>
        <v/>
      </c>
      <c r="B236" s="225">
        <v>226</v>
      </c>
      <c r="C236" s="232" t="str">
        <f>IFERROR(INDEX('G-1 All Habitats'!$AG$25:$AG$41,MATCH(D236,'G-1 All Habitats'!AF$25:AF$41,0)),"")</f>
        <v/>
      </c>
      <c r="D236" s="52"/>
      <c r="E236" s="57"/>
      <c r="F236" s="231" t="str">
        <f>IFERROR(INDEX('G-1 All Habitats'!$B$3:$B$135,MATCH(E236,'G-1 All Habitats'!$A$3:$A$135,0)),"")</f>
        <v/>
      </c>
      <c r="G236" s="51"/>
      <c r="H236" s="275" t="str">
        <f>IF(F236="","",VLOOKUP(F236,'G-1 All Habitats'!$B$2:$M$135,10,FALSE))</f>
        <v/>
      </c>
      <c r="I236" s="276" t="str">
        <f>IFERROR(VLOOKUP(H236,'G-1 All Habitats'!$V$3:$W$7,2,FALSE),"")</f>
        <v/>
      </c>
      <c r="J236" s="52"/>
      <c r="K236" s="276" t="str">
        <f>IFERROR(INDEX('G-8 Condition Look up'!$A$3:$H$135,MATCH(F236,'G-8 Condition Look up'!$A$3:$A$135,0),MATCH(J236,'G-8 Condition Look up'!$A$3:$H$3,0)),"")</f>
        <v/>
      </c>
      <c r="L236" s="52"/>
      <c r="M236" s="283" t="str">
        <f>IF(L236="","",IF(VLOOKUP(L236,'G-3 Multipliers'!$L$3:$N$6,2,FALSE)=0,"Spatial Data Missing",VLOOKUP(L236,'G-3 Multipliers'!$L$3:$N$6,2,FALSE)))</f>
        <v/>
      </c>
      <c r="N236" s="281" t="str">
        <f>IF(L236="","",IF(VLOOKUP(L236,'G-3 Multipliers'!$L$3:$N$6,3,FALSE)=0,"Spatial Data Missing",VLOOKUP(L236,'G-3 Multipliers'!$L$3:$N$6,3,FALSE)))</f>
        <v/>
      </c>
      <c r="O236" s="275" t="str">
        <f t="shared" si="18"/>
        <v/>
      </c>
      <c r="P236" s="58"/>
      <c r="Q236" s="58"/>
      <c r="R236" s="283" t="str">
        <f t="shared" si="20"/>
        <v/>
      </c>
      <c r="S236" s="296" t="str">
        <f t="shared" si="21"/>
        <v/>
      </c>
      <c r="T236" s="297" t="str">
        <f>IFERROR(IF(S236="Check Data ⚠","Check Data ⚠",VLOOKUP(S236,'G-4 Temporal multipliers'!$A$4:$C$37,3,FALSE)),"")</f>
        <v/>
      </c>
      <c r="U236" s="298" t="str">
        <f>IF(F236="","",VLOOKUP(F236,'G-3 Multipliers'!$A$2:$E$134,2,FALSE))</f>
        <v/>
      </c>
      <c r="V236" s="295" t="str">
        <f t="shared" si="22"/>
        <v/>
      </c>
      <c r="W236" s="295" t="str">
        <f>IF(E236="","",IF(AND(V236="Standard difficulty applied",O236&gt;P236),U236,IF(AND(V236="Low Difficulty - only applicable if all habitat created before losses ⚠",P236&gt;=O236),"Low",VLOOKUP(F236,'G-3 Multipliers'!$A$2:$E$134,4,FALSE))))</f>
        <v/>
      </c>
      <c r="X236" s="299" t="str">
        <f>IFERROR(IF(E236="","",VLOOKUP(W236,'G-3 Multipliers'!$P$2:$Q$6,2,FALSE)),"")</f>
        <v/>
      </c>
      <c r="Y236" s="303" t="str">
        <f t="shared" si="23"/>
        <v/>
      </c>
      <c r="Z236" s="52"/>
      <c r="AA236" s="51"/>
      <c r="AB236" s="104"/>
      <c r="AE236" s="40" t="str">
        <f t="shared" si="19"/>
        <v/>
      </c>
    </row>
    <row r="237" spans="1:31" ht="14" hidden="1">
      <c r="A237" s="35" t="str">
        <f>IFERROR(INDEX('G-8 Condition Look up'!$I$4:$I$135,MATCH(F237,'G-8 Condition Look up'!$A$4:$A$135,0)),"")</f>
        <v/>
      </c>
      <c r="B237" s="225">
        <v>227</v>
      </c>
      <c r="C237" s="232" t="str">
        <f>IFERROR(INDEX('G-1 All Habitats'!$AG$25:$AG$41,MATCH(D237,'G-1 All Habitats'!AF$25:AF$41,0)),"")</f>
        <v/>
      </c>
      <c r="D237" s="52"/>
      <c r="E237" s="57"/>
      <c r="F237" s="231" t="str">
        <f>IFERROR(INDEX('G-1 All Habitats'!$B$3:$B$135,MATCH(E237,'G-1 All Habitats'!$A$3:$A$135,0)),"")</f>
        <v/>
      </c>
      <c r="G237" s="51"/>
      <c r="H237" s="275" t="str">
        <f>IF(F237="","",VLOOKUP(F237,'G-1 All Habitats'!$B$2:$M$135,10,FALSE))</f>
        <v/>
      </c>
      <c r="I237" s="276" t="str">
        <f>IFERROR(VLOOKUP(H237,'G-1 All Habitats'!$V$3:$W$7,2,FALSE),"")</f>
        <v/>
      </c>
      <c r="J237" s="52"/>
      <c r="K237" s="276" t="str">
        <f>IFERROR(INDEX('G-8 Condition Look up'!$A$3:$H$135,MATCH(F237,'G-8 Condition Look up'!$A$3:$A$135,0),MATCH(J237,'G-8 Condition Look up'!$A$3:$H$3,0)),"")</f>
        <v/>
      </c>
      <c r="L237" s="52"/>
      <c r="M237" s="283" t="str">
        <f>IF(L237="","",IF(VLOOKUP(L237,'G-3 Multipliers'!$L$3:$N$6,2,FALSE)=0,"Spatial Data Missing",VLOOKUP(L237,'G-3 Multipliers'!$L$3:$N$6,2,FALSE)))</f>
        <v/>
      </c>
      <c r="N237" s="281" t="str">
        <f>IF(L237="","",IF(VLOOKUP(L237,'G-3 Multipliers'!$L$3:$N$6,3,FALSE)=0,"Spatial Data Missing",VLOOKUP(L237,'G-3 Multipliers'!$L$3:$N$6,3,FALSE)))</f>
        <v/>
      </c>
      <c r="O237" s="275" t="str">
        <f t="shared" si="18"/>
        <v/>
      </c>
      <c r="P237" s="58"/>
      <c r="Q237" s="58"/>
      <c r="R237" s="283" t="str">
        <f t="shared" si="20"/>
        <v/>
      </c>
      <c r="S237" s="296" t="str">
        <f t="shared" si="21"/>
        <v/>
      </c>
      <c r="T237" s="297" t="str">
        <f>IFERROR(IF(S237="Check Data ⚠","Check Data ⚠",VLOOKUP(S237,'G-4 Temporal multipliers'!$A$4:$C$37,3,FALSE)),"")</f>
        <v/>
      </c>
      <c r="U237" s="298" t="str">
        <f>IF(F237="","",VLOOKUP(F237,'G-3 Multipliers'!$A$2:$E$134,2,FALSE))</f>
        <v/>
      </c>
      <c r="V237" s="295" t="str">
        <f t="shared" si="22"/>
        <v/>
      </c>
      <c r="W237" s="295" t="str">
        <f>IF(E237="","",IF(AND(V237="Standard difficulty applied",O237&gt;P237),U237,IF(AND(V237="Low Difficulty - only applicable if all habitat created before losses ⚠",P237&gt;=O237),"Low",VLOOKUP(F237,'G-3 Multipliers'!$A$2:$E$134,4,FALSE))))</f>
        <v/>
      </c>
      <c r="X237" s="299" t="str">
        <f>IFERROR(IF(E237="","",VLOOKUP(W237,'G-3 Multipliers'!$P$2:$Q$6,2,FALSE)),"")</f>
        <v/>
      </c>
      <c r="Y237" s="303" t="str">
        <f t="shared" si="23"/>
        <v/>
      </c>
      <c r="Z237" s="52"/>
      <c r="AA237" s="51"/>
      <c r="AB237" s="104"/>
      <c r="AE237" s="40" t="str">
        <f t="shared" si="19"/>
        <v/>
      </c>
    </row>
    <row r="238" spans="1:31" ht="14" hidden="1">
      <c r="A238" s="35" t="str">
        <f>IFERROR(INDEX('G-8 Condition Look up'!$I$4:$I$135,MATCH(F238,'G-8 Condition Look up'!$A$4:$A$135,0)),"")</f>
        <v/>
      </c>
      <c r="B238" s="225">
        <v>228</v>
      </c>
      <c r="C238" s="232" t="str">
        <f>IFERROR(INDEX('G-1 All Habitats'!$AG$25:$AG$41,MATCH(D238,'G-1 All Habitats'!AF$25:AF$41,0)),"")</f>
        <v/>
      </c>
      <c r="D238" s="52"/>
      <c r="E238" s="57"/>
      <c r="F238" s="231" t="str">
        <f>IFERROR(INDEX('G-1 All Habitats'!$B$3:$B$135,MATCH(E238,'G-1 All Habitats'!$A$3:$A$135,0)),"")</f>
        <v/>
      </c>
      <c r="G238" s="51"/>
      <c r="H238" s="275" t="str">
        <f>IF(F238="","",VLOOKUP(F238,'G-1 All Habitats'!$B$2:$M$135,10,FALSE))</f>
        <v/>
      </c>
      <c r="I238" s="276" t="str">
        <f>IFERROR(VLOOKUP(H238,'G-1 All Habitats'!$V$3:$W$7,2,FALSE),"")</f>
        <v/>
      </c>
      <c r="J238" s="52"/>
      <c r="K238" s="276" t="str">
        <f>IFERROR(INDEX('G-8 Condition Look up'!$A$3:$H$135,MATCH(F238,'G-8 Condition Look up'!$A$3:$A$135,0),MATCH(J238,'G-8 Condition Look up'!$A$3:$H$3,0)),"")</f>
        <v/>
      </c>
      <c r="L238" s="52"/>
      <c r="M238" s="283" t="str">
        <f>IF(L238="","",IF(VLOOKUP(L238,'G-3 Multipliers'!$L$3:$N$6,2,FALSE)=0,"Spatial Data Missing",VLOOKUP(L238,'G-3 Multipliers'!$L$3:$N$6,2,FALSE)))</f>
        <v/>
      </c>
      <c r="N238" s="281" t="str">
        <f>IF(L238="","",IF(VLOOKUP(L238,'G-3 Multipliers'!$L$3:$N$6,3,FALSE)=0,"Spatial Data Missing",VLOOKUP(L238,'G-3 Multipliers'!$L$3:$N$6,3,FALSE)))</f>
        <v/>
      </c>
      <c r="O238" s="275" t="str">
        <f t="shared" si="18"/>
        <v/>
      </c>
      <c r="P238" s="58"/>
      <c r="Q238" s="58"/>
      <c r="R238" s="283" t="str">
        <f t="shared" si="20"/>
        <v/>
      </c>
      <c r="S238" s="296" t="str">
        <f t="shared" si="21"/>
        <v/>
      </c>
      <c r="T238" s="297" t="str">
        <f>IFERROR(IF(S238="Check Data ⚠","Check Data ⚠",VLOOKUP(S238,'G-4 Temporal multipliers'!$A$4:$C$37,3,FALSE)),"")</f>
        <v/>
      </c>
      <c r="U238" s="298" t="str">
        <f>IF(F238="","",VLOOKUP(F238,'G-3 Multipliers'!$A$2:$E$134,2,FALSE))</f>
        <v/>
      </c>
      <c r="V238" s="295" t="str">
        <f t="shared" si="22"/>
        <v/>
      </c>
      <c r="W238" s="295" t="str">
        <f>IF(E238="","",IF(AND(V238="Standard difficulty applied",O238&gt;P238),U238,IF(AND(V238="Low Difficulty - only applicable if all habitat created before losses ⚠",P238&gt;=O238),"Low",VLOOKUP(F238,'G-3 Multipliers'!$A$2:$E$134,4,FALSE))))</f>
        <v/>
      </c>
      <c r="X238" s="299" t="str">
        <f>IFERROR(IF(E238="","",VLOOKUP(W238,'G-3 Multipliers'!$P$2:$Q$6,2,FALSE)),"")</f>
        <v/>
      </c>
      <c r="Y238" s="303" t="str">
        <f t="shared" si="23"/>
        <v/>
      </c>
      <c r="Z238" s="52"/>
      <c r="AA238" s="51"/>
      <c r="AB238" s="104"/>
      <c r="AE238" s="40" t="str">
        <f t="shared" si="19"/>
        <v/>
      </c>
    </row>
    <row r="239" spans="1:31" ht="14" hidden="1">
      <c r="A239" s="35" t="str">
        <f>IFERROR(INDEX('G-8 Condition Look up'!$I$4:$I$135,MATCH(F239,'G-8 Condition Look up'!$A$4:$A$135,0)),"")</f>
        <v/>
      </c>
      <c r="B239" s="225">
        <v>229</v>
      </c>
      <c r="C239" s="232" t="str">
        <f>IFERROR(INDEX('G-1 All Habitats'!$AG$25:$AG$41,MATCH(D239,'G-1 All Habitats'!AF$25:AF$41,0)),"")</f>
        <v/>
      </c>
      <c r="D239" s="52"/>
      <c r="E239" s="57"/>
      <c r="F239" s="231" t="str">
        <f>IFERROR(INDEX('G-1 All Habitats'!$B$3:$B$135,MATCH(E239,'G-1 All Habitats'!$A$3:$A$135,0)),"")</f>
        <v/>
      </c>
      <c r="G239" s="51"/>
      <c r="H239" s="275" t="str">
        <f>IF(F239="","",VLOOKUP(F239,'G-1 All Habitats'!$B$2:$M$135,10,FALSE))</f>
        <v/>
      </c>
      <c r="I239" s="276" t="str">
        <f>IFERROR(VLOOKUP(H239,'G-1 All Habitats'!$V$3:$W$7,2,FALSE),"")</f>
        <v/>
      </c>
      <c r="J239" s="52"/>
      <c r="K239" s="276" t="str">
        <f>IFERROR(INDEX('G-8 Condition Look up'!$A$3:$H$135,MATCH(F239,'G-8 Condition Look up'!$A$3:$A$135,0),MATCH(J239,'G-8 Condition Look up'!$A$3:$H$3,0)),"")</f>
        <v/>
      </c>
      <c r="L239" s="52"/>
      <c r="M239" s="283" t="str">
        <f>IF(L239="","",IF(VLOOKUP(L239,'G-3 Multipliers'!$L$3:$N$6,2,FALSE)=0,"Spatial Data Missing",VLOOKUP(L239,'G-3 Multipliers'!$L$3:$N$6,2,FALSE)))</f>
        <v/>
      </c>
      <c r="N239" s="281" t="str">
        <f>IF(L239="","",IF(VLOOKUP(L239,'G-3 Multipliers'!$L$3:$N$6,3,FALSE)=0,"Spatial Data Missing",VLOOKUP(L239,'G-3 Multipliers'!$L$3:$N$6,3,FALSE)))</f>
        <v/>
      </c>
      <c r="O239" s="275" t="str">
        <f t="shared" si="18"/>
        <v/>
      </c>
      <c r="P239" s="58"/>
      <c r="Q239" s="58"/>
      <c r="R239" s="283" t="str">
        <f t="shared" si="20"/>
        <v/>
      </c>
      <c r="S239" s="296" t="str">
        <f t="shared" si="21"/>
        <v/>
      </c>
      <c r="T239" s="297" t="str">
        <f>IFERROR(IF(S239="Check Data ⚠","Check Data ⚠",VLOOKUP(S239,'G-4 Temporal multipliers'!$A$4:$C$37,3,FALSE)),"")</f>
        <v/>
      </c>
      <c r="U239" s="298" t="str">
        <f>IF(F239="","",VLOOKUP(F239,'G-3 Multipliers'!$A$2:$E$134,2,FALSE))</f>
        <v/>
      </c>
      <c r="V239" s="295" t="str">
        <f t="shared" si="22"/>
        <v/>
      </c>
      <c r="W239" s="295" t="str">
        <f>IF(E239="","",IF(AND(V239="Standard difficulty applied",O239&gt;P239),U239,IF(AND(V239="Low Difficulty - only applicable if all habitat created before losses ⚠",P239&gt;=O239),"Low",VLOOKUP(F239,'G-3 Multipliers'!$A$2:$E$134,4,FALSE))))</f>
        <v/>
      </c>
      <c r="X239" s="299" t="str">
        <f>IFERROR(IF(E239="","",VLOOKUP(W239,'G-3 Multipliers'!$P$2:$Q$6,2,FALSE)),"")</f>
        <v/>
      </c>
      <c r="Y239" s="303" t="str">
        <f t="shared" si="23"/>
        <v/>
      </c>
      <c r="Z239" s="52"/>
      <c r="AA239" s="51"/>
      <c r="AB239" s="104"/>
      <c r="AE239" s="40" t="str">
        <f t="shared" si="19"/>
        <v/>
      </c>
    </row>
    <row r="240" spans="1:31" ht="14" hidden="1">
      <c r="A240" s="35" t="str">
        <f>IFERROR(INDEX('G-8 Condition Look up'!$I$4:$I$135,MATCH(F240,'G-8 Condition Look up'!$A$4:$A$135,0)),"")</f>
        <v/>
      </c>
      <c r="B240" s="225">
        <v>230</v>
      </c>
      <c r="C240" s="232" t="str">
        <f>IFERROR(INDEX('G-1 All Habitats'!$AG$25:$AG$41,MATCH(D240,'G-1 All Habitats'!AF$25:AF$41,0)),"")</f>
        <v/>
      </c>
      <c r="D240" s="52"/>
      <c r="E240" s="57"/>
      <c r="F240" s="231" t="str">
        <f>IFERROR(INDEX('G-1 All Habitats'!$B$3:$B$135,MATCH(E240,'G-1 All Habitats'!$A$3:$A$135,0)),"")</f>
        <v/>
      </c>
      <c r="G240" s="51"/>
      <c r="H240" s="275" t="str">
        <f>IF(F240="","",VLOOKUP(F240,'G-1 All Habitats'!$B$2:$M$135,10,FALSE))</f>
        <v/>
      </c>
      <c r="I240" s="276" t="str">
        <f>IFERROR(VLOOKUP(H240,'G-1 All Habitats'!$V$3:$W$7,2,FALSE),"")</f>
        <v/>
      </c>
      <c r="J240" s="52"/>
      <c r="K240" s="276" t="str">
        <f>IFERROR(INDEX('G-8 Condition Look up'!$A$3:$H$135,MATCH(F240,'G-8 Condition Look up'!$A$3:$A$135,0),MATCH(J240,'G-8 Condition Look up'!$A$3:$H$3,0)),"")</f>
        <v/>
      </c>
      <c r="L240" s="52"/>
      <c r="M240" s="283" t="str">
        <f>IF(L240="","",IF(VLOOKUP(L240,'G-3 Multipliers'!$L$3:$N$6,2,FALSE)=0,"Spatial Data Missing",VLOOKUP(L240,'G-3 Multipliers'!$L$3:$N$6,2,FALSE)))</f>
        <v/>
      </c>
      <c r="N240" s="281" t="str">
        <f>IF(L240="","",IF(VLOOKUP(L240,'G-3 Multipliers'!$L$3:$N$6,3,FALSE)=0,"Spatial Data Missing",VLOOKUP(L240,'G-3 Multipliers'!$L$3:$N$6,3,FALSE)))</f>
        <v/>
      </c>
      <c r="O240" s="275" t="str">
        <f t="shared" si="18"/>
        <v/>
      </c>
      <c r="P240" s="58"/>
      <c r="Q240" s="58"/>
      <c r="R240" s="283" t="str">
        <f t="shared" si="20"/>
        <v/>
      </c>
      <c r="S240" s="296" t="str">
        <f t="shared" si="21"/>
        <v/>
      </c>
      <c r="T240" s="297" t="str">
        <f>IFERROR(IF(S240="Check Data ⚠","Check Data ⚠",VLOOKUP(S240,'G-4 Temporal multipliers'!$A$4:$C$37,3,FALSE)),"")</f>
        <v/>
      </c>
      <c r="U240" s="298" t="str">
        <f>IF(F240="","",VLOOKUP(F240,'G-3 Multipliers'!$A$2:$E$134,2,FALSE))</f>
        <v/>
      </c>
      <c r="V240" s="295" t="str">
        <f t="shared" si="22"/>
        <v/>
      </c>
      <c r="W240" s="295" t="str">
        <f>IF(E240="","",IF(AND(V240="Standard difficulty applied",O240&gt;P240),U240,IF(AND(V240="Low Difficulty - only applicable if all habitat created before losses ⚠",P240&gt;=O240),"Low",VLOOKUP(F240,'G-3 Multipliers'!$A$2:$E$134,4,FALSE))))</f>
        <v/>
      </c>
      <c r="X240" s="299" t="str">
        <f>IFERROR(IF(E240="","",VLOOKUP(W240,'G-3 Multipliers'!$P$2:$Q$6,2,FALSE)),"")</f>
        <v/>
      </c>
      <c r="Y240" s="303" t="str">
        <f t="shared" si="23"/>
        <v/>
      </c>
      <c r="Z240" s="52"/>
      <c r="AA240" s="51"/>
      <c r="AB240" s="104"/>
      <c r="AE240" s="40" t="str">
        <f t="shared" si="19"/>
        <v/>
      </c>
    </row>
    <row r="241" spans="1:31" ht="14" hidden="1">
      <c r="A241" s="35" t="str">
        <f>IFERROR(INDEX('G-8 Condition Look up'!$I$4:$I$135,MATCH(F241,'G-8 Condition Look up'!$A$4:$A$135,0)),"")</f>
        <v/>
      </c>
      <c r="B241" s="225">
        <v>231</v>
      </c>
      <c r="C241" s="232" t="str">
        <f>IFERROR(INDEX('G-1 All Habitats'!$AG$25:$AG$41,MATCH(D241,'G-1 All Habitats'!AF$25:AF$41,0)),"")</f>
        <v/>
      </c>
      <c r="D241" s="52"/>
      <c r="E241" s="57"/>
      <c r="F241" s="231" t="str">
        <f>IFERROR(INDEX('G-1 All Habitats'!$B$3:$B$135,MATCH(E241,'G-1 All Habitats'!$A$3:$A$135,0)),"")</f>
        <v/>
      </c>
      <c r="G241" s="51"/>
      <c r="H241" s="275" t="str">
        <f>IF(F241="","",VLOOKUP(F241,'G-1 All Habitats'!$B$2:$M$135,10,FALSE))</f>
        <v/>
      </c>
      <c r="I241" s="276" t="str">
        <f>IFERROR(VLOOKUP(H241,'G-1 All Habitats'!$V$3:$W$7,2,FALSE),"")</f>
        <v/>
      </c>
      <c r="J241" s="52"/>
      <c r="K241" s="276" t="str">
        <f>IFERROR(INDEX('G-8 Condition Look up'!$A$3:$H$135,MATCH(F241,'G-8 Condition Look up'!$A$3:$A$135,0),MATCH(J241,'G-8 Condition Look up'!$A$3:$H$3,0)),"")</f>
        <v/>
      </c>
      <c r="L241" s="52"/>
      <c r="M241" s="283" t="str">
        <f>IF(L241="","",IF(VLOOKUP(L241,'G-3 Multipliers'!$L$3:$N$6,2,FALSE)=0,"Spatial Data Missing",VLOOKUP(L241,'G-3 Multipliers'!$L$3:$N$6,2,FALSE)))</f>
        <v/>
      </c>
      <c r="N241" s="281" t="str">
        <f>IF(L241="","",IF(VLOOKUP(L241,'G-3 Multipliers'!$L$3:$N$6,3,FALSE)=0,"Spatial Data Missing",VLOOKUP(L241,'G-3 Multipliers'!$L$3:$N$6,3,FALSE)))</f>
        <v/>
      </c>
      <c r="O241" s="275" t="str">
        <f t="shared" si="18"/>
        <v/>
      </c>
      <c r="P241" s="58"/>
      <c r="Q241" s="58"/>
      <c r="R241" s="283" t="str">
        <f t="shared" si="20"/>
        <v/>
      </c>
      <c r="S241" s="296" t="str">
        <f t="shared" si="21"/>
        <v/>
      </c>
      <c r="T241" s="297" t="str">
        <f>IFERROR(IF(S241="Check Data ⚠","Check Data ⚠",VLOOKUP(S241,'G-4 Temporal multipliers'!$A$4:$C$37,3,FALSE)),"")</f>
        <v/>
      </c>
      <c r="U241" s="298" t="str">
        <f>IF(F241="","",VLOOKUP(F241,'G-3 Multipliers'!$A$2:$E$134,2,FALSE))</f>
        <v/>
      </c>
      <c r="V241" s="295" t="str">
        <f t="shared" si="22"/>
        <v/>
      </c>
      <c r="W241" s="295" t="str">
        <f>IF(E241="","",IF(AND(V241="Standard difficulty applied",O241&gt;P241),U241,IF(AND(V241="Low Difficulty - only applicable if all habitat created before losses ⚠",P241&gt;=O241),"Low",VLOOKUP(F241,'G-3 Multipliers'!$A$2:$E$134,4,FALSE))))</f>
        <v/>
      </c>
      <c r="X241" s="299" t="str">
        <f>IFERROR(IF(E241="","",VLOOKUP(W241,'G-3 Multipliers'!$P$2:$Q$6,2,FALSE)),"")</f>
        <v/>
      </c>
      <c r="Y241" s="303" t="str">
        <f t="shared" si="23"/>
        <v/>
      </c>
      <c r="Z241" s="52"/>
      <c r="AA241" s="51"/>
      <c r="AB241" s="104"/>
      <c r="AE241" s="40" t="str">
        <f t="shared" si="19"/>
        <v/>
      </c>
    </row>
    <row r="242" spans="1:31" ht="14" hidden="1">
      <c r="A242" s="35" t="str">
        <f>IFERROR(INDEX('G-8 Condition Look up'!$I$4:$I$135,MATCH(F242,'G-8 Condition Look up'!$A$4:$A$135,0)),"")</f>
        <v/>
      </c>
      <c r="B242" s="225">
        <v>232</v>
      </c>
      <c r="C242" s="232" t="str">
        <f>IFERROR(INDEX('G-1 All Habitats'!$AG$25:$AG$41,MATCH(D242,'G-1 All Habitats'!AF$25:AF$41,0)),"")</f>
        <v/>
      </c>
      <c r="D242" s="52"/>
      <c r="E242" s="57"/>
      <c r="F242" s="231" t="str">
        <f>IFERROR(INDEX('G-1 All Habitats'!$B$3:$B$135,MATCH(E242,'G-1 All Habitats'!$A$3:$A$135,0)),"")</f>
        <v/>
      </c>
      <c r="G242" s="51"/>
      <c r="H242" s="275" t="str">
        <f>IF(F242="","",VLOOKUP(F242,'G-1 All Habitats'!$B$2:$M$135,10,FALSE))</f>
        <v/>
      </c>
      <c r="I242" s="276" t="str">
        <f>IFERROR(VLOOKUP(H242,'G-1 All Habitats'!$V$3:$W$7,2,FALSE),"")</f>
        <v/>
      </c>
      <c r="J242" s="52"/>
      <c r="K242" s="276" t="str">
        <f>IFERROR(INDEX('G-8 Condition Look up'!$A$3:$H$135,MATCH(F242,'G-8 Condition Look up'!$A$3:$A$135,0),MATCH(J242,'G-8 Condition Look up'!$A$3:$H$3,0)),"")</f>
        <v/>
      </c>
      <c r="L242" s="52"/>
      <c r="M242" s="283" t="str">
        <f>IF(L242="","",IF(VLOOKUP(L242,'G-3 Multipliers'!$L$3:$N$6,2,FALSE)=0,"Spatial Data Missing",VLOOKUP(L242,'G-3 Multipliers'!$L$3:$N$6,2,FALSE)))</f>
        <v/>
      </c>
      <c r="N242" s="281" t="str">
        <f>IF(L242="","",IF(VLOOKUP(L242,'G-3 Multipliers'!$L$3:$N$6,3,FALSE)=0,"Spatial Data Missing",VLOOKUP(L242,'G-3 Multipliers'!$L$3:$N$6,3,FALSE)))</f>
        <v/>
      </c>
      <c r="O242" s="275" t="str">
        <f t="shared" si="18"/>
        <v/>
      </c>
      <c r="P242" s="58"/>
      <c r="Q242" s="58"/>
      <c r="R242" s="283" t="str">
        <f t="shared" si="20"/>
        <v/>
      </c>
      <c r="S242" s="296" t="str">
        <f t="shared" si="21"/>
        <v/>
      </c>
      <c r="T242" s="297" t="str">
        <f>IFERROR(IF(S242="Check Data ⚠","Check Data ⚠",VLOOKUP(S242,'G-4 Temporal multipliers'!$A$4:$C$37,3,FALSE)),"")</f>
        <v/>
      </c>
      <c r="U242" s="298" t="str">
        <f>IF(F242="","",VLOOKUP(F242,'G-3 Multipliers'!$A$2:$E$134,2,FALSE))</f>
        <v/>
      </c>
      <c r="V242" s="295" t="str">
        <f t="shared" si="22"/>
        <v/>
      </c>
      <c r="W242" s="295" t="str">
        <f>IF(E242="","",IF(AND(V242="Standard difficulty applied",O242&gt;P242),U242,IF(AND(V242="Low Difficulty - only applicable if all habitat created before losses ⚠",P242&gt;=O242),"Low",VLOOKUP(F242,'G-3 Multipliers'!$A$2:$E$134,4,FALSE))))</f>
        <v/>
      </c>
      <c r="X242" s="299" t="str">
        <f>IFERROR(IF(E242="","",VLOOKUP(W242,'G-3 Multipliers'!$P$2:$Q$6,2,FALSE)),"")</f>
        <v/>
      </c>
      <c r="Y242" s="303" t="str">
        <f t="shared" si="23"/>
        <v/>
      </c>
      <c r="Z242" s="52"/>
      <c r="AA242" s="51"/>
      <c r="AB242" s="104"/>
      <c r="AE242" s="40" t="str">
        <f t="shared" si="19"/>
        <v/>
      </c>
    </row>
    <row r="243" spans="1:31" ht="14" hidden="1">
      <c r="A243" s="35" t="str">
        <f>IFERROR(INDEX('G-8 Condition Look up'!$I$4:$I$135,MATCH(F243,'G-8 Condition Look up'!$A$4:$A$135,0)),"")</f>
        <v/>
      </c>
      <c r="B243" s="225">
        <v>233</v>
      </c>
      <c r="C243" s="232" t="str">
        <f>IFERROR(INDEX('G-1 All Habitats'!$AG$25:$AG$41,MATCH(D243,'G-1 All Habitats'!AF$25:AF$41,0)),"")</f>
        <v/>
      </c>
      <c r="D243" s="52"/>
      <c r="E243" s="57"/>
      <c r="F243" s="231" t="str">
        <f>IFERROR(INDEX('G-1 All Habitats'!$B$3:$B$135,MATCH(E243,'G-1 All Habitats'!$A$3:$A$135,0)),"")</f>
        <v/>
      </c>
      <c r="G243" s="51"/>
      <c r="H243" s="275" t="str">
        <f>IF(F243="","",VLOOKUP(F243,'G-1 All Habitats'!$B$2:$M$135,10,FALSE))</f>
        <v/>
      </c>
      <c r="I243" s="276" t="str">
        <f>IFERROR(VLOOKUP(H243,'G-1 All Habitats'!$V$3:$W$7,2,FALSE),"")</f>
        <v/>
      </c>
      <c r="J243" s="52"/>
      <c r="K243" s="276" t="str">
        <f>IFERROR(INDEX('G-8 Condition Look up'!$A$3:$H$135,MATCH(F243,'G-8 Condition Look up'!$A$3:$A$135,0),MATCH(J243,'G-8 Condition Look up'!$A$3:$H$3,0)),"")</f>
        <v/>
      </c>
      <c r="L243" s="52"/>
      <c r="M243" s="283" t="str">
        <f>IF(L243="","",IF(VLOOKUP(L243,'G-3 Multipliers'!$L$3:$N$6,2,FALSE)=0,"Spatial Data Missing",VLOOKUP(L243,'G-3 Multipliers'!$L$3:$N$6,2,FALSE)))</f>
        <v/>
      </c>
      <c r="N243" s="281" t="str">
        <f>IF(L243="","",IF(VLOOKUP(L243,'G-3 Multipliers'!$L$3:$N$6,3,FALSE)=0,"Spatial Data Missing",VLOOKUP(L243,'G-3 Multipliers'!$L$3:$N$6,3,FALSE)))</f>
        <v/>
      </c>
      <c r="O243" s="275" t="str">
        <f t="shared" si="18"/>
        <v/>
      </c>
      <c r="P243" s="58"/>
      <c r="Q243" s="58"/>
      <c r="R243" s="283" t="str">
        <f t="shared" si="20"/>
        <v/>
      </c>
      <c r="S243" s="296" t="str">
        <f t="shared" si="21"/>
        <v/>
      </c>
      <c r="T243" s="297" t="str">
        <f>IFERROR(IF(S243="Check Data ⚠","Check Data ⚠",VLOOKUP(S243,'G-4 Temporal multipliers'!$A$4:$C$37,3,FALSE)),"")</f>
        <v/>
      </c>
      <c r="U243" s="298" t="str">
        <f>IF(F243="","",VLOOKUP(F243,'G-3 Multipliers'!$A$2:$E$134,2,FALSE))</f>
        <v/>
      </c>
      <c r="V243" s="295" t="str">
        <f t="shared" si="22"/>
        <v/>
      </c>
      <c r="W243" s="295" t="str">
        <f>IF(E243="","",IF(AND(V243="Standard difficulty applied",O243&gt;P243),U243,IF(AND(V243="Low Difficulty - only applicable if all habitat created before losses ⚠",P243&gt;=O243),"Low",VLOOKUP(F243,'G-3 Multipliers'!$A$2:$E$134,4,FALSE))))</f>
        <v/>
      </c>
      <c r="X243" s="299" t="str">
        <f>IFERROR(IF(E243="","",VLOOKUP(W243,'G-3 Multipliers'!$P$2:$Q$6,2,FALSE)),"")</f>
        <v/>
      </c>
      <c r="Y243" s="303" t="str">
        <f t="shared" si="23"/>
        <v/>
      </c>
      <c r="Z243" s="52"/>
      <c r="AA243" s="51"/>
      <c r="AB243" s="104"/>
      <c r="AE243" s="40" t="str">
        <f t="shared" si="19"/>
        <v/>
      </c>
    </row>
    <row r="244" spans="1:31" ht="14" hidden="1">
      <c r="A244" s="35" t="str">
        <f>IFERROR(INDEX('G-8 Condition Look up'!$I$4:$I$135,MATCH(F244,'G-8 Condition Look up'!$A$4:$A$135,0)),"")</f>
        <v/>
      </c>
      <c r="B244" s="225">
        <v>234</v>
      </c>
      <c r="C244" s="232" t="str">
        <f>IFERROR(INDEX('G-1 All Habitats'!$AG$25:$AG$41,MATCH(D244,'G-1 All Habitats'!AF$25:AF$41,0)),"")</f>
        <v/>
      </c>
      <c r="D244" s="52"/>
      <c r="E244" s="57"/>
      <c r="F244" s="231" t="str">
        <f>IFERROR(INDEX('G-1 All Habitats'!$B$3:$B$135,MATCH(E244,'G-1 All Habitats'!$A$3:$A$135,0)),"")</f>
        <v/>
      </c>
      <c r="G244" s="51"/>
      <c r="H244" s="275" t="str">
        <f>IF(F244="","",VLOOKUP(F244,'G-1 All Habitats'!$B$2:$M$135,10,FALSE))</f>
        <v/>
      </c>
      <c r="I244" s="276" t="str">
        <f>IFERROR(VLOOKUP(H244,'G-1 All Habitats'!$V$3:$W$7,2,FALSE),"")</f>
        <v/>
      </c>
      <c r="J244" s="52"/>
      <c r="K244" s="276" t="str">
        <f>IFERROR(INDEX('G-8 Condition Look up'!$A$3:$H$135,MATCH(F244,'G-8 Condition Look up'!$A$3:$A$135,0),MATCH(J244,'G-8 Condition Look up'!$A$3:$H$3,0)),"")</f>
        <v/>
      </c>
      <c r="L244" s="52"/>
      <c r="M244" s="283" t="str">
        <f>IF(L244="","",IF(VLOOKUP(L244,'G-3 Multipliers'!$L$3:$N$6,2,FALSE)=0,"Spatial Data Missing",VLOOKUP(L244,'G-3 Multipliers'!$L$3:$N$6,2,FALSE)))</f>
        <v/>
      </c>
      <c r="N244" s="281" t="str">
        <f>IF(L244="","",IF(VLOOKUP(L244,'G-3 Multipliers'!$L$3:$N$6,3,FALSE)=0,"Spatial Data Missing",VLOOKUP(L244,'G-3 Multipliers'!$L$3:$N$6,3,FALSE)))</f>
        <v/>
      </c>
      <c r="O244" s="275" t="str">
        <f t="shared" si="18"/>
        <v/>
      </c>
      <c r="P244" s="58"/>
      <c r="Q244" s="58"/>
      <c r="R244" s="283" t="str">
        <f t="shared" si="20"/>
        <v/>
      </c>
      <c r="S244" s="296" t="str">
        <f t="shared" si="21"/>
        <v/>
      </c>
      <c r="T244" s="297" t="str">
        <f>IFERROR(IF(S244="Check Data ⚠","Check Data ⚠",VLOOKUP(S244,'G-4 Temporal multipliers'!$A$4:$C$37,3,FALSE)),"")</f>
        <v/>
      </c>
      <c r="U244" s="298" t="str">
        <f>IF(F244="","",VLOOKUP(F244,'G-3 Multipliers'!$A$2:$E$134,2,FALSE))</f>
        <v/>
      </c>
      <c r="V244" s="295" t="str">
        <f t="shared" si="22"/>
        <v/>
      </c>
      <c r="W244" s="295" t="str">
        <f>IF(E244="","",IF(AND(V244="Standard difficulty applied",O244&gt;P244),U244,IF(AND(V244="Low Difficulty - only applicable if all habitat created before losses ⚠",P244&gt;=O244),"Low",VLOOKUP(F244,'G-3 Multipliers'!$A$2:$E$134,4,FALSE))))</f>
        <v/>
      </c>
      <c r="X244" s="299" t="str">
        <f>IFERROR(IF(E244="","",VLOOKUP(W244,'G-3 Multipliers'!$P$2:$Q$6,2,FALSE)),"")</f>
        <v/>
      </c>
      <c r="Y244" s="303" t="str">
        <f t="shared" si="23"/>
        <v/>
      </c>
      <c r="Z244" s="52"/>
      <c r="AA244" s="51"/>
      <c r="AB244" s="104"/>
      <c r="AE244" s="40" t="str">
        <f t="shared" si="19"/>
        <v/>
      </c>
    </row>
    <row r="245" spans="1:31" ht="14" hidden="1">
      <c r="A245" s="35" t="str">
        <f>IFERROR(INDEX('G-8 Condition Look up'!$I$4:$I$135,MATCH(F245,'G-8 Condition Look up'!$A$4:$A$135,0)),"")</f>
        <v/>
      </c>
      <c r="B245" s="225">
        <v>235</v>
      </c>
      <c r="C245" s="232" t="str">
        <f>IFERROR(INDEX('G-1 All Habitats'!$AG$25:$AG$41,MATCH(D245,'G-1 All Habitats'!AF$25:AF$41,0)),"")</f>
        <v/>
      </c>
      <c r="D245" s="52"/>
      <c r="E245" s="57"/>
      <c r="F245" s="231" t="str">
        <f>IFERROR(INDEX('G-1 All Habitats'!$B$3:$B$135,MATCH(E245,'G-1 All Habitats'!$A$3:$A$135,0)),"")</f>
        <v/>
      </c>
      <c r="G245" s="51"/>
      <c r="H245" s="275" t="str">
        <f>IF(F245="","",VLOOKUP(F245,'G-1 All Habitats'!$B$2:$M$135,10,FALSE))</f>
        <v/>
      </c>
      <c r="I245" s="276" t="str">
        <f>IFERROR(VLOOKUP(H245,'G-1 All Habitats'!$V$3:$W$7,2,FALSE),"")</f>
        <v/>
      </c>
      <c r="J245" s="52"/>
      <c r="K245" s="276" t="str">
        <f>IFERROR(INDEX('G-8 Condition Look up'!$A$3:$H$135,MATCH(F245,'G-8 Condition Look up'!$A$3:$A$135,0),MATCH(J245,'G-8 Condition Look up'!$A$3:$H$3,0)),"")</f>
        <v/>
      </c>
      <c r="L245" s="52"/>
      <c r="M245" s="283" t="str">
        <f>IF(L245="","",IF(VLOOKUP(L245,'G-3 Multipliers'!$L$3:$N$6,2,FALSE)=0,"Spatial Data Missing",VLOOKUP(L245,'G-3 Multipliers'!$L$3:$N$6,2,FALSE)))</f>
        <v/>
      </c>
      <c r="N245" s="281" t="str">
        <f>IF(L245="","",IF(VLOOKUP(L245,'G-3 Multipliers'!$L$3:$N$6,3,FALSE)=0,"Spatial Data Missing",VLOOKUP(L245,'G-3 Multipliers'!$L$3:$N$6,3,FALSE)))</f>
        <v/>
      </c>
      <c r="O245" s="275" t="str">
        <f t="shared" si="18"/>
        <v/>
      </c>
      <c r="P245" s="58"/>
      <c r="Q245" s="58"/>
      <c r="R245" s="283" t="str">
        <f t="shared" si="20"/>
        <v/>
      </c>
      <c r="S245" s="296" t="str">
        <f t="shared" si="21"/>
        <v/>
      </c>
      <c r="T245" s="297" t="str">
        <f>IFERROR(IF(S245="Check Data ⚠","Check Data ⚠",VLOOKUP(S245,'G-4 Temporal multipliers'!$A$4:$C$37,3,FALSE)),"")</f>
        <v/>
      </c>
      <c r="U245" s="298" t="str">
        <f>IF(F245="","",VLOOKUP(F245,'G-3 Multipliers'!$A$2:$E$134,2,FALSE))</f>
        <v/>
      </c>
      <c r="V245" s="295" t="str">
        <f t="shared" si="22"/>
        <v/>
      </c>
      <c r="W245" s="295" t="str">
        <f>IF(E245="","",IF(AND(V245="Standard difficulty applied",O245&gt;P245),U245,IF(AND(V245="Low Difficulty - only applicable if all habitat created before losses ⚠",P245&gt;=O245),"Low",VLOOKUP(F245,'G-3 Multipliers'!$A$2:$E$134,4,FALSE))))</f>
        <v/>
      </c>
      <c r="X245" s="299" t="str">
        <f>IFERROR(IF(E245="","",VLOOKUP(W245,'G-3 Multipliers'!$P$2:$Q$6,2,FALSE)),"")</f>
        <v/>
      </c>
      <c r="Y245" s="303" t="str">
        <f t="shared" si="23"/>
        <v/>
      </c>
      <c r="Z245" s="52"/>
      <c r="AA245" s="51"/>
      <c r="AB245" s="104"/>
      <c r="AE245" s="40" t="str">
        <f t="shared" si="19"/>
        <v/>
      </c>
    </row>
    <row r="246" spans="1:31" ht="14" hidden="1">
      <c r="A246" s="35" t="str">
        <f>IFERROR(INDEX('G-8 Condition Look up'!$I$4:$I$135,MATCH(F246,'G-8 Condition Look up'!$A$4:$A$135,0)),"")</f>
        <v/>
      </c>
      <c r="B246" s="225">
        <v>236</v>
      </c>
      <c r="C246" s="232" t="str">
        <f>IFERROR(INDEX('G-1 All Habitats'!$AG$25:$AG$41,MATCH(D246,'G-1 All Habitats'!AF$25:AF$41,0)),"")</f>
        <v/>
      </c>
      <c r="D246" s="52"/>
      <c r="E246" s="57"/>
      <c r="F246" s="231" t="str">
        <f>IFERROR(INDEX('G-1 All Habitats'!$B$3:$B$135,MATCH(E246,'G-1 All Habitats'!$A$3:$A$135,0)),"")</f>
        <v/>
      </c>
      <c r="G246" s="51"/>
      <c r="H246" s="275" t="str">
        <f>IF(F246="","",VLOOKUP(F246,'G-1 All Habitats'!$B$2:$M$135,10,FALSE))</f>
        <v/>
      </c>
      <c r="I246" s="276" t="str">
        <f>IFERROR(VLOOKUP(H246,'G-1 All Habitats'!$V$3:$W$7,2,FALSE),"")</f>
        <v/>
      </c>
      <c r="J246" s="52"/>
      <c r="K246" s="276" t="str">
        <f>IFERROR(INDEX('G-8 Condition Look up'!$A$3:$H$135,MATCH(F246,'G-8 Condition Look up'!$A$3:$A$135,0),MATCH(J246,'G-8 Condition Look up'!$A$3:$H$3,0)),"")</f>
        <v/>
      </c>
      <c r="L246" s="52"/>
      <c r="M246" s="283" t="str">
        <f>IF(L246="","",IF(VLOOKUP(L246,'G-3 Multipliers'!$L$3:$N$6,2,FALSE)=0,"Spatial Data Missing",VLOOKUP(L246,'G-3 Multipliers'!$L$3:$N$6,2,FALSE)))</f>
        <v/>
      </c>
      <c r="N246" s="281" t="str">
        <f>IF(L246="","",IF(VLOOKUP(L246,'G-3 Multipliers'!$L$3:$N$6,3,FALSE)=0,"Spatial Data Missing",VLOOKUP(L246,'G-3 Multipliers'!$L$3:$N$6,3,FALSE)))</f>
        <v/>
      </c>
      <c r="O246" s="275" t="str">
        <f t="shared" si="18"/>
        <v/>
      </c>
      <c r="P246" s="58"/>
      <c r="Q246" s="58"/>
      <c r="R246" s="283" t="str">
        <f t="shared" si="20"/>
        <v/>
      </c>
      <c r="S246" s="296" t="str">
        <f t="shared" si="21"/>
        <v/>
      </c>
      <c r="T246" s="297" t="str">
        <f>IFERROR(IF(S246="Check Data ⚠","Check Data ⚠",VLOOKUP(S246,'G-4 Temporal multipliers'!$A$4:$C$37,3,FALSE)),"")</f>
        <v/>
      </c>
      <c r="U246" s="298" t="str">
        <f>IF(F246="","",VLOOKUP(F246,'G-3 Multipliers'!$A$2:$E$134,2,FALSE))</f>
        <v/>
      </c>
      <c r="V246" s="295" t="str">
        <f t="shared" si="22"/>
        <v/>
      </c>
      <c r="W246" s="295" t="str">
        <f>IF(E246="","",IF(AND(V246="Standard difficulty applied",O246&gt;P246),U246,IF(AND(V246="Low Difficulty - only applicable if all habitat created before losses ⚠",P246&gt;=O246),"Low",VLOOKUP(F246,'G-3 Multipliers'!$A$2:$E$134,4,FALSE))))</f>
        <v/>
      </c>
      <c r="X246" s="299" t="str">
        <f>IFERROR(IF(E246="","",VLOOKUP(W246,'G-3 Multipliers'!$P$2:$Q$6,2,FALSE)),"")</f>
        <v/>
      </c>
      <c r="Y246" s="303" t="str">
        <f t="shared" si="23"/>
        <v/>
      </c>
      <c r="Z246" s="52"/>
      <c r="AA246" s="51"/>
      <c r="AB246" s="104"/>
      <c r="AE246" s="40" t="str">
        <f t="shared" si="19"/>
        <v/>
      </c>
    </row>
    <row r="247" spans="1:31" ht="14" hidden="1">
      <c r="A247" s="35" t="str">
        <f>IFERROR(INDEX('G-8 Condition Look up'!$I$4:$I$135,MATCH(F247,'G-8 Condition Look up'!$A$4:$A$135,0)),"")</f>
        <v/>
      </c>
      <c r="B247" s="225">
        <v>237</v>
      </c>
      <c r="C247" s="232" t="str">
        <f>IFERROR(INDEX('G-1 All Habitats'!$AG$25:$AG$41,MATCH(D247,'G-1 All Habitats'!AF$25:AF$41,0)),"")</f>
        <v/>
      </c>
      <c r="D247" s="52"/>
      <c r="E247" s="57"/>
      <c r="F247" s="231" t="str">
        <f>IFERROR(INDEX('G-1 All Habitats'!$B$3:$B$135,MATCH(E247,'G-1 All Habitats'!$A$3:$A$135,0)),"")</f>
        <v/>
      </c>
      <c r="G247" s="51"/>
      <c r="H247" s="275" t="str">
        <f>IF(F247="","",VLOOKUP(F247,'G-1 All Habitats'!$B$2:$M$135,10,FALSE))</f>
        <v/>
      </c>
      <c r="I247" s="276" t="str">
        <f>IFERROR(VLOOKUP(H247,'G-1 All Habitats'!$V$3:$W$7,2,FALSE),"")</f>
        <v/>
      </c>
      <c r="J247" s="52"/>
      <c r="K247" s="276" t="str">
        <f>IFERROR(INDEX('G-8 Condition Look up'!$A$3:$H$135,MATCH(F247,'G-8 Condition Look up'!$A$3:$A$135,0),MATCH(J247,'G-8 Condition Look up'!$A$3:$H$3,0)),"")</f>
        <v/>
      </c>
      <c r="L247" s="52"/>
      <c r="M247" s="283" t="str">
        <f>IF(L247="","",IF(VLOOKUP(L247,'G-3 Multipliers'!$L$3:$N$6,2,FALSE)=0,"Spatial Data Missing",VLOOKUP(L247,'G-3 Multipliers'!$L$3:$N$6,2,FALSE)))</f>
        <v/>
      </c>
      <c r="N247" s="281" t="str">
        <f>IF(L247="","",IF(VLOOKUP(L247,'G-3 Multipliers'!$L$3:$N$6,3,FALSE)=0,"Spatial Data Missing",VLOOKUP(L247,'G-3 Multipliers'!$L$3:$N$6,3,FALSE)))</f>
        <v/>
      </c>
      <c r="O247" s="275" t="str">
        <f t="shared" si="18"/>
        <v/>
      </c>
      <c r="P247" s="58"/>
      <c r="Q247" s="58"/>
      <c r="R247" s="283" t="str">
        <f t="shared" si="20"/>
        <v/>
      </c>
      <c r="S247" s="296" t="str">
        <f t="shared" si="21"/>
        <v/>
      </c>
      <c r="T247" s="297" t="str">
        <f>IFERROR(IF(S247="Check Data ⚠","Check Data ⚠",VLOOKUP(S247,'G-4 Temporal multipliers'!$A$4:$C$37,3,FALSE)),"")</f>
        <v/>
      </c>
      <c r="U247" s="298" t="str">
        <f>IF(F247="","",VLOOKUP(F247,'G-3 Multipliers'!$A$2:$E$134,2,FALSE))</f>
        <v/>
      </c>
      <c r="V247" s="295" t="str">
        <f t="shared" si="22"/>
        <v/>
      </c>
      <c r="W247" s="295" t="str">
        <f>IF(E247="","",IF(AND(V247="Standard difficulty applied",O247&gt;P247),U247,IF(AND(V247="Low Difficulty - only applicable if all habitat created before losses ⚠",P247&gt;=O247),"Low",VLOOKUP(F247,'G-3 Multipliers'!$A$2:$E$134,4,FALSE))))</f>
        <v/>
      </c>
      <c r="X247" s="299" t="str">
        <f>IFERROR(IF(E247="","",VLOOKUP(W247,'G-3 Multipliers'!$P$2:$Q$6,2,FALSE)),"")</f>
        <v/>
      </c>
      <c r="Y247" s="303" t="str">
        <f t="shared" si="23"/>
        <v/>
      </c>
      <c r="Z247" s="52"/>
      <c r="AA247" s="51"/>
      <c r="AB247" s="104"/>
      <c r="AE247" s="40" t="str">
        <f t="shared" si="19"/>
        <v/>
      </c>
    </row>
    <row r="248" spans="1:31" ht="14" hidden="1">
      <c r="A248" s="35" t="str">
        <f>IFERROR(INDEX('G-8 Condition Look up'!$I$4:$I$135,MATCH(F248,'G-8 Condition Look up'!$A$4:$A$135,0)),"")</f>
        <v/>
      </c>
      <c r="B248" s="225">
        <v>238</v>
      </c>
      <c r="C248" s="232" t="str">
        <f>IFERROR(INDEX('G-1 All Habitats'!$AG$25:$AG$41,MATCH(D248,'G-1 All Habitats'!AF$25:AF$41,0)),"")</f>
        <v/>
      </c>
      <c r="D248" s="52"/>
      <c r="E248" s="57"/>
      <c r="F248" s="231" t="str">
        <f>IFERROR(INDEX('G-1 All Habitats'!$B$3:$B$135,MATCH(E248,'G-1 All Habitats'!$A$3:$A$135,0)),"")</f>
        <v/>
      </c>
      <c r="G248" s="51"/>
      <c r="H248" s="275" t="str">
        <f>IF(F248="","",VLOOKUP(F248,'G-1 All Habitats'!$B$2:$M$135,10,FALSE))</f>
        <v/>
      </c>
      <c r="I248" s="276" t="str">
        <f>IFERROR(VLOOKUP(H248,'G-1 All Habitats'!$V$3:$W$7,2,FALSE),"")</f>
        <v/>
      </c>
      <c r="J248" s="52"/>
      <c r="K248" s="276" t="str">
        <f>IFERROR(INDEX('G-8 Condition Look up'!$A$3:$H$135,MATCH(F248,'G-8 Condition Look up'!$A$3:$A$135,0),MATCH(J248,'G-8 Condition Look up'!$A$3:$H$3,0)),"")</f>
        <v/>
      </c>
      <c r="L248" s="52"/>
      <c r="M248" s="283" t="str">
        <f>IF(L248="","",IF(VLOOKUP(L248,'G-3 Multipliers'!$L$3:$N$6,2,FALSE)=0,"Spatial Data Missing",VLOOKUP(L248,'G-3 Multipliers'!$L$3:$N$6,2,FALSE)))</f>
        <v/>
      </c>
      <c r="N248" s="281" t="str">
        <f>IF(L248="","",IF(VLOOKUP(L248,'G-3 Multipliers'!$L$3:$N$6,3,FALSE)=0,"Spatial Data Missing",VLOOKUP(L248,'G-3 Multipliers'!$L$3:$N$6,3,FALSE)))</f>
        <v/>
      </c>
      <c r="O248" s="275" t="str">
        <f t="shared" si="18"/>
        <v/>
      </c>
      <c r="P248" s="58"/>
      <c r="Q248" s="58"/>
      <c r="R248" s="283" t="str">
        <f t="shared" si="20"/>
        <v/>
      </c>
      <c r="S248" s="296" t="str">
        <f t="shared" si="21"/>
        <v/>
      </c>
      <c r="T248" s="297" t="str">
        <f>IFERROR(IF(S248="Check Data ⚠","Check Data ⚠",VLOOKUP(S248,'G-4 Temporal multipliers'!$A$4:$C$37,3,FALSE)),"")</f>
        <v/>
      </c>
      <c r="U248" s="298" t="str">
        <f>IF(F248="","",VLOOKUP(F248,'G-3 Multipliers'!$A$2:$E$134,2,FALSE))</f>
        <v/>
      </c>
      <c r="V248" s="295" t="str">
        <f t="shared" si="22"/>
        <v/>
      </c>
      <c r="W248" s="295" t="str">
        <f>IF(E248="","",IF(AND(V248="Standard difficulty applied",O248&gt;P248),U248,IF(AND(V248="Low Difficulty - only applicable if all habitat created before losses ⚠",P248&gt;=O248),"Low",VLOOKUP(F248,'G-3 Multipliers'!$A$2:$E$134,4,FALSE))))</f>
        <v/>
      </c>
      <c r="X248" s="299" t="str">
        <f>IFERROR(IF(E248="","",VLOOKUP(W248,'G-3 Multipliers'!$P$2:$Q$6,2,FALSE)),"")</f>
        <v/>
      </c>
      <c r="Y248" s="303" t="str">
        <f t="shared" si="23"/>
        <v/>
      </c>
      <c r="Z248" s="52"/>
      <c r="AA248" s="51"/>
      <c r="AB248" s="104"/>
      <c r="AE248" s="40" t="str">
        <f t="shared" si="19"/>
        <v/>
      </c>
    </row>
    <row r="249" spans="1:31" ht="14" hidden="1">
      <c r="A249" s="35" t="str">
        <f>IFERROR(INDEX('G-8 Condition Look up'!$I$4:$I$135,MATCH(F249,'G-8 Condition Look up'!$A$4:$A$135,0)),"")</f>
        <v/>
      </c>
      <c r="B249" s="225">
        <v>239</v>
      </c>
      <c r="C249" s="232" t="str">
        <f>IFERROR(INDEX('G-1 All Habitats'!$AG$25:$AG$41,MATCH(D249,'G-1 All Habitats'!AF$25:AF$41,0)),"")</f>
        <v/>
      </c>
      <c r="D249" s="52"/>
      <c r="E249" s="57"/>
      <c r="F249" s="231" t="str">
        <f>IFERROR(INDEX('G-1 All Habitats'!$B$3:$B$135,MATCH(E249,'G-1 All Habitats'!$A$3:$A$135,0)),"")</f>
        <v/>
      </c>
      <c r="G249" s="51"/>
      <c r="H249" s="275" t="str">
        <f>IF(F249="","",VLOOKUP(F249,'G-1 All Habitats'!$B$2:$M$135,10,FALSE))</f>
        <v/>
      </c>
      <c r="I249" s="276" t="str">
        <f>IFERROR(VLOOKUP(H249,'G-1 All Habitats'!$V$3:$W$7,2,FALSE),"")</f>
        <v/>
      </c>
      <c r="J249" s="52"/>
      <c r="K249" s="276" t="str">
        <f>IFERROR(INDEX('G-8 Condition Look up'!$A$3:$H$135,MATCH(F249,'G-8 Condition Look up'!$A$3:$A$135,0),MATCH(J249,'G-8 Condition Look up'!$A$3:$H$3,0)),"")</f>
        <v/>
      </c>
      <c r="L249" s="52"/>
      <c r="M249" s="283" t="str">
        <f>IF(L249="","",IF(VLOOKUP(L249,'G-3 Multipliers'!$L$3:$N$6,2,FALSE)=0,"Spatial Data Missing",VLOOKUP(L249,'G-3 Multipliers'!$L$3:$N$6,2,FALSE)))</f>
        <v/>
      </c>
      <c r="N249" s="281" t="str">
        <f>IF(L249="","",IF(VLOOKUP(L249,'G-3 Multipliers'!$L$3:$N$6,3,FALSE)=0,"Spatial Data Missing",VLOOKUP(L249,'G-3 Multipliers'!$L$3:$N$6,3,FALSE)))</f>
        <v/>
      </c>
      <c r="O249" s="275" t="str">
        <f t="shared" si="18"/>
        <v/>
      </c>
      <c r="P249" s="58"/>
      <c r="Q249" s="58"/>
      <c r="R249" s="283" t="str">
        <f t="shared" si="20"/>
        <v/>
      </c>
      <c r="S249" s="296" t="str">
        <f t="shared" si="21"/>
        <v/>
      </c>
      <c r="T249" s="297" t="str">
        <f>IFERROR(IF(S249="Check Data ⚠","Check Data ⚠",VLOOKUP(S249,'G-4 Temporal multipliers'!$A$4:$C$37,3,FALSE)),"")</f>
        <v/>
      </c>
      <c r="U249" s="298" t="str">
        <f>IF(F249="","",VLOOKUP(F249,'G-3 Multipliers'!$A$2:$E$134,2,FALSE))</f>
        <v/>
      </c>
      <c r="V249" s="295" t="str">
        <f t="shared" si="22"/>
        <v/>
      </c>
      <c r="W249" s="295" t="str">
        <f>IF(E249="","",IF(AND(V249="Standard difficulty applied",O249&gt;P249),U249,IF(AND(V249="Low Difficulty - only applicable if all habitat created before losses ⚠",P249&gt;=O249),"Low",VLOOKUP(F249,'G-3 Multipliers'!$A$2:$E$134,4,FALSE))))</f>
        <v/>
      </c>
      <c r="X249" s="299" t="str">
        <f>IFERROR(IF(E249="","",VLOOKUP(W249,'G-3 Multipliers'!$P$2:$Q$6,2,FALSE)),"")</f>
        <v/>
      </c>
      <c r="Y249" s="303" t="str">
        <f t="shared" si="23"/>
        <v/>
      </c>
      <c r="Z249" s="52"/>
      <c r="AA249" s="51"/>
      <c r="AB249" s="104"/>
      <c r="AE249" s="40" t="str">
        <f t="shared" si="19"/>
        <v/>
      </c>
    </row>
    <row r="250" spans="1:31" ht="14" hidden="1">
      <c r="A250" s="35" t="str">
        <f>IFERROR(INDEX('G-8 Condition Look up'!$I$4:$I$135,MATCH(F250,'G-8 Condition Look up'!$A$4:$A$135,0)),"")</f>
        <v/>
      </c>
      <c r="B250" s="225">
        <v>240</v>
      </c>
      <c r="C250" s="232" t="str">
        <f>IFERROR(INDEX('G-1 All Habitats'!$AG$25:$AG$41,MATCH(D250,'G-1 All Habitats'!AF$25:AF$41,0)),"")</f>
        <v/>
      </c>
      <c r="D250" s="52"/>
      <c r="E250" s="57"/>
      <c r="F250" s="231" t="str">
        <f>IFERROR(INDEX('G-1 All Habitats'!$B$3:$B$135,MATCH(E250,'G-1 All Habitats'!$A$3:$A$135,0)),"")</f>
        <v/>
      </c>
      <c r="G250" s="51"/>
      <c r="H250" s="275" t="str">
        <f>IF(F250="","",VLOOKUP(F250,'G-1 All Habitats'!$B$2:$M$135,10,FALSE))</f>
        <v/>
      </c>
      <c r="I250" s="276" t="str">
        <f>IFERROR(VLOOKUP(H250,'G-1 All Habitats'!$V$3:$W$7,2,FALSE),"")</f>
        <v/>
      </c>
      <c r="J250" s="52"/>
      <c r="K250" s="276" t="str">
        <f>IFERROR(INDEX('G-8 Condition Look up'!$A$3:$H$135,MATCH(F250,'G-8 Condition Look up'!$A$3:$A$135,0),MATCH(J250,'G-8 Condition Look up'!$A$3:$H$3,0)),"")</f>
        <v/>
      </c>
      <c r="L250" s="52"/>
      <c r="M250" s="283" t="str">
        <f>IF(L250="","",IF(VLOOKUP(L250,'G-3 Multipliers'!$L$3:$N$6,2,FALSE)=0,"Spatial Data Missing",VLOOKUP(L250,'G-3 Multipliers'!$L$3:$N$6,2,FALSE)))</f>
        <v/>
      </c>
      <c r="N250" s="281" t="str">
        <f>IF(L250="","",IF(VLOOKUP(L250,'G-3 Multipliers'!$L$3:$N$6,3,FALSE)=0,"Spatial Data Missing",VLOOKUP(L250,'G-3 Multipliers'!$L$3:$N$6,3,FALSE)))</f>
        <v/>
      </c>
      <c r="O250" s="275" t="str">
        <f t="shared" si="18"/>
        <v/>
      </c>
      <c r="P250" s="58"/>
      <c r="Q250" s="58"/>
      <c r="R250" s="283" t="str">
        <f t="shared" si="20"/>
        <v/>
      </c>
      <c r="S250" s="296" t="str">
        <f t="shared" si="21"/>
        <v/>
      </c>
      <c r="T250" s="297" t="str">
        <f>IFERROR(IF(S250="Check Data ⚠","Check Data ⚠",VLOOKUP(S250,'G-4 Temporal multipliers'!$A$4:$C$37,3,FALSE)),"")</f>
        <v/>
      </c>
      <c r="U250" s="298" t="str">
        <f>IF(F250="","",VLOOKUP(F250,'G-3 Multipliers'!$A$2:$E$134,2,FALSE))</f>
        <v/>
      </c>
      <c r="V250" s="295" t="str">
        <f t="shared" si="22"/>
        <v/>
      </c>
      <c r="W250" s="295" t="str">
        <f>IF(E250="","",IF(AND(V250="Standard difficulty applied",O250&gt;P250),U250,IF(AND(V250="Low Difficulty - only applicable if all habitat created before losses ⚠",P250&gt;=O250),"Low",VLOOKUP(F250,'G-3 Multipliers'!$A$2:$E$134,4,FALSE))))</f>
        <v/>
      </c>
      <c r="X250" s="299" t="str">
        <f>IFERROR(IF(E250="","",VLOOKUP(W250,'G-3 Multipliers'!$P$2:$Q$6,2,FALSE)),"")</f>
        <v/>
      </c>
      <c r="Y250" s="303" t="str">
        <f t="shared" si="23"/>
        <v/>
      </c>
      <c r="Z250" s="52"/>
      <c r="AA250" s="51"/>
      <c r="AB250" s="104"/>
      <c r="AE250" s="40" t="str">
        <f t="shared" si="19"/>
        <v/>
      </c>
    </row>
    <row r="251" spans="1:31" ht="14" hidden="1">
      <c r="A251" s="35" t="str">
        <f>IFERROR(INDEX('G-8 Condition Look up'!$I$4:$I$135,MATCH(F251,'G-8 Condition Look up'!$A$4:$A$135,0)),"")</f>
        <v/>
      </c>
      <c r="B251" s="225">
        <v>241</v>
      </c>
      <c r="C251" s="232" t="str">
        <f>IFERROR(INDEX('G-1 All Habitats'!$AG$25:$AG$41,MATCH(D251,'G-1 All Habitats'!AF$25:AF$41,0)),"")</f>
        <v/>
      </c>
      <c r="D251" s="52"/>
      <c r="E251" s="57"/>
      <c r="F251" s="231" t="str">
        <f>IFERROR(INDEX('G-1 All Habitats'!$B$3:$B$135,MATCH(E251,'G-1 All Habitats'!$A$3:$A$135,0)),"")</f>
        <v/>
      </c>
      <c r="G251" s="51"/>
      <c r="H251" s="275" t="str">
        <f>IF(F251="","",VLOOKUP(F251,'G-1 All Habitats'!$B$2:$M$135,10,FALSE))</f>
        <v/>
      </c>
      <c r="I251" s="276" t="str">
        <f>IFERROR(VLOOKUP(H251,'G-1 All Habitats'!$V$3:$W$7,2,FALSE),"")</f>
        <v/>
      </c>
      <c r="J251" s="52"/>
      <c r="K251" s="276" t="str">
        <f>IFERROR(INDEX('G-8 Condition Look up'!$A$3:$H$135,MATCH(F251,'G-8 Condition Look up'!$A$3:$A$135,0),MATCH(J251,'G-8 Condition Look up'!$A$3:$H$3,0)),"")</f>
        <v/>
      </c>
      <c r="L251" s="52"/>
      <c r="M251" s="283" t="str">
        <f>IF(L251="","",IF(VLOOKUP(L251,'G-3 Multipliers'!$L$3:$N$6,2,FALSE)=0,"Spatial Data Missing",VLOOKUP(L251,'G-3 Multipliers'!$L$3:$N$6,2,FALSE)))</f>
        <v/>
      </c>
      <c r="N251" s="281" t="str">
        <f>IF(L251="","",IF(VLOOKUP(L251,'G-3 Multipliers'!$L$3:$N$6,3,FALSE)=0,"Spatial Data Missing",VLOOKUP(L251,'G-3 Multipliers'!$L$3:$N$6,3,FALSE)))</f>
        <v/>
      </c>
      <c r="O251" s="275" t="str">
        <f t="shared" si="18"/>
        <v/>
      </c>
      <c r="P251" s="58"/>
      <c r="Q251" s="58"/>
      <c r="R251" s="283" t="str">
        <f t="shared" si="20"/>
        <v/>
      </c>
      <c r="S251" s="296" t="str">
        <f t="shared" si="21"/>
        <v/>
      </c>
      <c r="T251" s="297" t="str">
        <f>IFERROR(IF(S251="Check Data ⚠","Check Data ⚠",VLOOKUP(S251,'G-4 Temporal multipliers'!$A$4:$C$37,3,FALSE)),"")</f>
        <v/>
      </c>
      <c r="U251" s="298" t="str">
        <f>IF(F251="","",VLOOKUP(F251,'G-3 Multipliers'!$A$2:$E$134,2,FALSE))</f>
        <v/>
      </c>
      <c r="V251" s="295" t="str">
        <f t="shared" si="22"/>
        <v/>
      </c>
      <c r="W251" s="295" t="str">
        <f>IF(E251="","",IF(AND(V251="Standard difficulty applied",O251&gt;P251),U251,IF(AND(V251="Low Difficulty - only applicable if all habitat created before losses ⚠",P251&gt;=O251),"Low",VLOOKUP(F251,'G-3 Multipliers'!$A$2:$E$134,4,FALSE))))</f>
        <v/>
      </c>
      <c r="X251" s="299" t="str">
        <f>IFERROR(IF(E251="","",VLOOKUP(W251,'G-3 Multipliers'!$P$2:$Q$6,2,FALSE)),"")</f>
        <v/>
      </c>
      <c r="Y251" s="303" t="str">
        <f t="shared" si="23"/>
        <v/>
      </c>
      <c r="Z251" s="52"/>
      <c r="AA251" s="51"/>
      <c r="AB251" s="104"/>
      <c r="AE251" s="40" t="str">
        <f t="shared" si="19"/>
        <v/>
      </c>
    </row>
    <row r="252" spans="1:31" ht="14" hidden="1">
      <c r="A252" s="35" t="str">
        <f>IFERROR(INDEX('G-8 Condition Look up'!$I$4:$I$135,MATCH(F252,'G-8 Condition Look up'!$A$4:$A$135,0)),"")</f>
        <v/>
      </c>
      <c r="B252" s="225">
        <v>242</v>
      </c>
      <c r="C252" s="232" t="str">
        <f>IFERROR(INDEX('G-1 All Habitats'!$AG$25:$AG$41,MATCH(D252,'G-1 All Habitats'!AF$25:AF$41,0)),"")</f>
        <v/>
      </c>
      <c r="D252" s="52"/>
      <c r="E252" s="57"/>
      <c r="F252" s="231" t="str">
        <f>IFERROR(INDEX('G-1 All Habitats'!$B$3:$B$135,MATCH(E252,'G-1 All Habitats'!$A$3:$A$135,0)),"")</f>
        <v/>
      </c>
      <c r="G252" s="51"/>
      <c r="H252" s="275" t="str">
        <f>IF(F252="","",VLOOKUP(F252,'G-1 All Habitats'!$B$2:$M$135,10,FALSE))</f>
        <v/>
      </c>
      <c r="I252" s="276" t="str">
        <f>IFERROR(VLOOKUP(H252,'G-1 All Habitats'!$V$3:$W$7,2,FALSE),"")</f>
        <v/>
      </c>
      <c r="J252" s="52"/>
      <c r="K252" s="276" t="str">
        <f>IFERROR(INDEX('G-8 Condition Look up'!$A$3:$H$135,MATCH(F252,'G-8 Condition Look up'!$A$3:$A$135,0),MATCH(J252,'G-8 Condition Look up'!$A$3:$H$3,0)),"")</f>
        <v/>
      </c>
      <c r="L252" s="52"/>
      <c r="M252" s="283" t="str">
        <f>IF(L252="","",IF(VLOOKUP(L252,'G-3 Multipliers'!$L$3:$N$6,2,FALSE)=0,"Spatial Data Missing",VLOOKUP(L252,'G-3 Multipliers'!$L$3:$N$6,2,FALSE)))</f>
        <v/>
      </c>
      <c r="N252" s="281" t="str">
        <f>IF(L252="","",IF(VLOOKUP(L252,'G-3 Multipliers'!$L$3:$N$6,3,FALSE)=0,"Spatial Data Missing",VLOOKUP(L252,'G-3 Multipliers'!$L$3:$N$6,3,FALSE)))</f>
        <v/>
      </c>
      <c r="O252" s="275" t="str">
        <f t="shared" si="18"/>
        <v/>
      </c>
      <c r="P252" s="58"/>
      <c r="Q252" s="58"/>
      <c r="R252" s="283" t="str">
        <f t="shared" si="20"/>
        <v/>
      </c>
      <c r="S252" s="296" t="str">
        <f t="shared" si="21"/>
        <v/>
      </c>
      <c r="T252" s="297" t="str">
        <f>IFERROR(IF(S252="Check Data ⚠","Check Data ⚠",VLOOKUP(S252,'G-4 Temporal multipliers'!$A$4:$C$37,3,FALSE)),"")</f>
        <v/>
      </c>
      <c r="U252" s="298" t="str">
        <f>IF(F252="","",VLOOKUP(F252,'G-3 Multipliers'!$A$2:$E$134,2,FALSE))</f>
        <v/>
      </c>
      <c r="V252" s="295" t="str">
        <f t="shared" si="22"/>
        <v/>
      </c>
      <c r="W252" s="295" t="str">
        <f>IF(E252="","",IF(AND(V252="Standard difficulty applied",O252&gt;P252),U252,IF(AND(V252="Low Difficulty - only applicable if all habitat created before losses ⚠",P252&gt;=O252),"Low",VLOOKUP(F252,'G-3 Multipliers'!$A$2:$E$134,4,FALSE))))</f>
        <v/>
      </c>
      <c r="X252" s="299" t="str">
        <f>IFERROR(IF(E252="","",VLOOKUP(W252,'G-3 Multipliers'!$P$2:$Q$6,2,FALSE)),"")</f>
        <v/>
      </c>
      <c r="Y252" s="303" t="str">
        <f t="shared" si="23"/>
        <v/>
      </c>
      <c r="Z252" s="52"/>
      <c r="AA252" s="51"/>
      <c r="AB252" s="104"/>
      <c r="AE252" s="40" t="str">
        <f t="shared" si="19"/>
        <v/>
      </c>
    </row>
    <row r="253" spans="1:31" ht="14" hidden="1">
      <c r="A253" s="35" t="str">
        <f>IFERROR(INDEX('G-8 Condition Look up'!$I$4:$I$135,MATCH(F253,'G-8 Condition Look up'!$A$4:$A$135,0)),"")</f>
        <v/>
      </c>
      <c r="B253" s="225">
        <v>243</v>
      </c>
      <c r="C253" s="232" t="str">
        <f>IFERROR(INDEX('G-1 All Habitats'!$AG$25:$AG$41,MATCH(D253,'G-1 All Habitats'!AF$25:AF$41,0)),"")</f>
        <v/>
      </c>
      <c r="D253" s="52"/>
      <c r="E253" s="57"/>
      <c r="F253" s="231" t="str">
        <f>IFERROR(INDEX('G-1 All Habitats'!$B$3:$B$135,MATCH(E253,'G-1 All Habitats'!$A$3:$A$135,0)),"")</f>
        <v/>
      </c>
      <c r="G253" s="51"/>
      <c r="H253" s="275" t="str">
        <f>IF(F253="","",VLOOKUP(F253,'G-1 All Habitats'!$B$2:$M$135,10,FALSE))</f>
        <v/>
      </c>
      <c r="I253" s="276" t="str">
        <f>IFERROR(VLOOKUP(H253,'G-1 All Habitats'!$V$3:$W$7,2,FALSE),"")</f>
        <v/>
      </c>
      <c r="J253" s="52"/>
      <c r="K253" s="276" t="str">
        <f>IFERROR(INDEX('G-8 Condition Look up'!$A$3:$H$135,MATCH(F253,'G-8 Condition Look up'!$A$3:$A$135,0),MATCH(J253,'G-8 Condition Look up'!$A$3:$H$3,0)),"")</f>
        <v/>
      </c>
      <c r="L253" s="52"/>
      <c r="M253" s="283" t="str">
        <f>IF(L253="","",IF(VLOOKUP(L253,'G-3 Multipliers'!$L$3:$N$6,2,FALSE)=0,"Spatial Data Missing",VLOOKUP(L253,'G-3 Multipliers'!$L$3:$N$6,2,FALSE)))</f>
        <v/>
      </c>
      <c r="N253" s="281" t="str">
        <f>IF(L253="","",IF(VLOOKUP(L253,'G-3 Multipliers'!$L$3:$N$6,3,FALSE)=0,"Spatial Data Missing",VLOOKUP(L253,'G-3 Multipliers'!$L$3:$N$6,3,FALSE)))</f>
        <v/>
      </c>
      <c r="O253" s="275" t="str">
        <f t="shared" si="18"/>
        <v/>
      </c>
      <c r="P253" s="58"/>
      <c r="Q253" s="58"/>
      <c r="R253" s="283" t="str">
        <f t="shared" si="20"/>
        <v/>
      </c>
      <c r="S253" s="296" t="str">
        <f t="shared" si="21"/>
        <v/>
      </c>
      <c r="T253" s="297" t="str">
        <f>IFERROR(IF(S253="Check Data ⚠","Check Data ⚠",VLOOKUP(S253,'G-4 Temporal multipliers'!$A$4:$C$37,3,FALSE)),"")</f>
        <v/>
      </c>
      <c r="U253" s="298" t="str">
        <f>IF(F253="","",VLOOKUP(F253,'G-3 Multipliers'!$A$2:$E$134,2,FALSE))</f>
        <v/>
      </c>
      <c r="V253" s="295" t="str">
        <f t="shared" si="22"/>
        <v/>
      </c>
      <c r="W253" s="295" t="str">
        <f>IF(E253="","",IF(AND(V253="Standard difficulty applied",O253&gt;P253),U253,IF(AND(V253="Low Difficulty - only applicable if all habitat created before losses ⚠",P253&gt;=O253),"Low",VLOOKUP(F253,'G-3 Multipliers'!$A$2:$E$134,4,FALSE))))</f>
        <v/>
      </c>
      <c r="X253" s="299" t="str">
        <f>IFERROR(IF(E253="","",VLOOKUP(W253,'G-3 Multipliers'!$P$2:$Q$6,2,FALSE)),"")</f>
        <v/>
      </c>
      <c r="Y253" s="303" t="str">
        <f t="shared" si="23"/>
        <v/>
      </c>
      <c r="Z253" s="52"/>
      <c r="AA253" s="51"/>
      <c r="AB253" s="104"/>
      <c r="AE253" s="40" t="str">
        <f t="shared" si="19"/>
        <v/>
      </c>
    </row>
    <row r="254" spans="1:31" ht="14" hidden="1">
      <c r="A254" s="35" t="str">
        <f>IFERROR(INDEX('G-8 Condition Look up'!$I$4:$I$135,MATCH(F254,'G-8 Condition Look up'!$A$4:$A$135,0)),"")</f>
        <v/>
      </c>
      <c r="B254" s="225">
        <v>244</v>
      </c>
      <c r="C254" s="232" t="str">
        <f>IFERROR(INDEX('G-1 All Habitats'!$AG$25:$AG$41,MATCH(D254,'G-1 All Habitats'!AF$25:AF$41,0)),"")</f>
        <v/>
      </c>
      <c r="D254" s="52"/>
      <c r="E254" s="57"/>
      <c r="F254" s="231" t="str">
        <f>IFERROR(INDEX('G-1 All Habitats'!$B$3:$B$135,MATCH(E254,'G-1 All Habitats'!$A$3:$A$135,0)),"")</f>
        <v/>
      </c>
      <c r="G254" s="51"/>
      <c r="H254" s="275" t="str">
        <f>IF(F254="","",VLOOKUP(F254,'G-1 All Habitats'!$B$2:$M$135,10,FALSE))</f>
        <v/>
      </c>
      <c r="I254" s="276" t="str">
        <f>IFERROR(VLOOKUP(H254,'G-1 All Habitats'!$V$3:$W$7,2,FALSE),"")</f>
        <v/>
      </c>
      <c r="J254" s="52"/>
      <c r="K254" s="276" t="str">
        <f>IFERROR(INDEX('G-8 Condition Look up'!$A$3:$H$135,MATCH(F254,'G-8 Condition Look up'!$A$3:$A$135,0),MATCH(J254,'G-8 Condition Look up'!$A$3:$H$3,0)),"")</f>
        <v/>
      </c>
      <c r="L254" s="52"/>
      <c r="M254" s="283" t="str">
        <f>IF(L254="","",IF(VLOOKUP(L254,'G-3 Multipliers'!$L$3:$N$6,2,FALSE)=0,"Spatial Data Missing",VLOOKUP(L254,'G-3 Multipliers'!$L$3:$N$6,2,FALSE)))</f>
        <v/>
      </c>
      <c r="N254" s="281" t="str">
        <f>IF(L254="","",IF(VLOOKUP(L254,'G-3 Multipliers'!$L$3:$N$6,3,FALSE)=0,"Spatial Data Missing",VLOOKUP(L254,'G-3 Multipliers'!$L$3:$N$6,3,FALSE)))</f>
        <v/>
      </c>
      <c r="O254" s="275" t="str">
        <f t="shared" si="18"/>
        <v/>
      </c>
      <c r="P254" s="58"/>
      <c r="Q254" s="58"/>
      <c r="R254" s="283" t="str">
        <f t="shared" si="20"/>
        <v/>
      </c>
      <c r="S254" s="296" t="str">
        <f t="shared" si="21"/>
        <v/>
      </c>
      <c r="T254" s="297" t="str">
        <f>IFERROR(IF(S254="Check Data ⚠","Check Data ⚠",VLOOKUP(S254,'G-4 Temporal multipliers'!$A$4:$C$37,3,FALSE)),"")</f>
        <v/>
      </c>
      <c r="U254" s="298" t="str">
        <f>IF(F254="","",VLOOKUP(F254,'G-3 Multipliers'!$A$2:$E$134,2,FALSE))</f>
        <v/>
      </c>
      <c r="V254" s="295" t="str">
        <f t="shared" si="22"/>
        <v/>
      </c>
      <c r="W254" s="295" t="str">
        <f>IF(E254="","",IF(AND(V254="Standard difficulty applied",O254&gt;P254),U254,IF(AND(V254="Low Difficulty - only applicable if all habitat created before losses ⚠",P254&gt;=O254),"Low",VLOOKUP(F254,'G-3 Multipliers'!$A$2:$E$134,4,FALSE))))</f>
        <v/>
      </c>
      <c r="X254" s="299" t="str">
        <f>IFERROR(IF(E254="","",VLOOKUP(W254,'G-3 Multipliers'!$P$2:$Q$6,2,FALSE)),"")</f>
        <v/>
      </c>
      <c r="Y254" s="303" t="str">
        <f t="shared" si="23"/>
        <v/>
      </c>
      <c r="Z254" s="52"/>
      <c r="AA254" s="51"/>
      <c r="AB254" s="104"/>
      <c r="AE254" s="40" t="str">
        <f t="shared" si="19"/>
        <v/>
      </c>
    </row>
    <row r="255" spans="1:31" ht="14" hidden="1">
      <c r="A255" s="35" t="str">
        <f>IFERROR(INDEX('G-8 Condition Look up'!$I$4:$I$135,MATCH(F255,'G-8 Condition Look up'!$A$4:$A$135,0)),"")</f>
        <v/>
      </c>
      <c r="B255" s="225">
        <v>245</v>
      </c>
      <c r="C255" s="232" t="str">
        <f>IFERROR(INDEX('G-1 All Habitats'!$AG$25:$AG$41,MATCH(D255,'G-1 All Habitats'!AF$25:AF$41,0)),"")</f>
        <v/>
      </c>
      <c r="D255" s="52"/>
      <c r="E255" s="57"/>
      <c r="F255" s="231" t="str">
        <f>IFERROR(INDEX('G-1 All Habitats'!$B$3:$B$135,MATCH(E255,'G-1 All Habitats'!$A$3:$A$135,0)),"")</f>
        <v/>
      </c>
      <c r="G255" s="51"/>
      <c r="H255" s="275" t="str">
        <f>IF(F255="","",VLOOKUP(F255,'G-1 All Habitats'!$B$2:$M$135,10,FALSE))</f>
        <v/>
      </c>
      <c r="I255" s="276" t="str">
        <f>IFERROR(VLOOKUP(H255,'G-1 All Habitats'!$V$3:$W$7,2,FALSE),"")</f>
        <v/>
      </c>
      <c r="J255" s="52"/>
      <c r="K255" s="276" t="str">
        <f>IFERROR(INDEX('G-8 Condition Look up'!$A$3:$H$135,MATCH(F255,'G-8 Condition Look up'!$A$3:$A$135,0),MATCH(J255,'G-8 Condition Look up'!$A$3:$H$3,0)),"")</f>
        <v/>
      </c>
      <c r="L255" s="52"/>
      <c r="M255" s="283" t="str">
        <f>IF(L255="","",IF(VLOOKUP(L255,'G-3 Multipliers'!$L$3:$N$6,2,FALSE)=0,"Spatial Data Missing",VLOOKUP(L255,'G-3 Multipliers'!$L$3:$N$6,2,FALSE)))</f>
        <v/>
      </c>
      <c r="N255" s="281" t="str">
        <f>IF(L255="","",IF(VLOOKUP(L255,'G-3 Multipliers'!$L$3:$N$6,3,FALSE)=0,"Spatial Data Missing",VLOOKUP(L255,'G-3 Multipliers'!$L$3:$N$6,3,FALSE)))</f>
        <v/>
      </c>
      <c r="O255" s="275" t="str">
        <f t="shared" si="18"/>
        <v/>
      </c>
      <c r="P255" s="58"/>
      <c r="Q255" s="58"/>
      <c r="R255" s="283" t="str">
        <f t="shared" si="20"/>
        <v/>
      </c>
      <c r="S255" s="296" t="str">
        <f t="shared" si="21"/>
        <v/>
      </c>
      <c r="T255" s="297" t="str">
        <f>IFERROR(IF(S255="Check Data ⚠","Check Data ⚠",VLOOKUP(S255,'G-4 Temporal multipliers'!$A$4:$C$37,3,FALSE)),"")</f>
        <v/>
      </c>
      <c r="U255" s="298" t="str">
        <f>IF(F255="","",VLOOKUP(F255,'G-3 Multipliers'!$A$2:$E$134,2,FALSE))</f>
        <v/>
      </c>
      <c r="V255" s="295" t="str">
        <f t="shared" si="22"/>
        <v/>
      </c>
      <c r="W255" s="295" t="str">
        <f>IF(E255="","",IF(AND(V255="Standard difficulty applied",O255&gt;P255),U255,IF(AND(V255="Low Difficulty - only applicable if all habitat created before losses ⚠",P255&gt;=O255),"Low",VLOOKUP(F255,'G-3 Multipliers'!$A$2:$E$134,4,FALSE))))</f>
        <v/>
      </c>
      <c r="X255" s="299" t="str">
        <f>IFERROR(IF(E255="","",VLOOKUP(W255,'G-3 Multipliers'!$P$2:$Q$6,2,FALSE)),"")</f>
        <v/>
      </c>
      <c r="Y255" s="303" t="str">
        <f t="shared" si="23"/>
        <v/>
      </c>
      <c r="Z255" s="52"/>
      <c r="AA255" s="51"/>
      <c r="AB255" s="104"/>
      <c r="AE255" s="40" t="str">
        <f t="shared" si="19"/>
        <v/>
      </c>
    </row>
    <row r="256" spans="1:31" ht="14.5" hidden="1" thickBot="1">
      <c r="A256" s="35" t="str">
        <f>IFERROR(INDEX('G-8 Condition Look up'!$I$4:$I$135,MATCH(F256,'G-8 Condition Look up'!$A$4:$A$135,0)),"")</f>
        <v/>
      </c>
      <c r="B256" s="45">
        <v>246</v>
      </c>
      <c r="C256" s="232" t="str">
        <f>IFERROR(INDEX('G-1 All Habitats'!$AG$25:$AG$41,MATCH(D256,'G-1 All Habitats'!AF$25:AF$41,0)),"")</f>
        <v/>
      </c>
      <c r="D256" s="569"/>
      <c r="E256" s="156"/>
      <c r="F256" s="570" t="str">
        <f>IFERROR(INDEX('G-1 All Habitats'!$B$3:$B$135,MATCH(E256,'G-1 All Habitats'!$A$3:$A$135,0)),"")</f>
        <v/>
      </c>
      <c r="G256" s="206"/>
      <c r="H256" s="549" t="str">
        <f>IF(F256="","",VLOOKUP(F256,'G-1 All Habitats'!$B$2:$M$135,10,FALSE))</f>
        <v/>
      </c>
      <c r="I256" s="278" t="str">
        <f>IFERROR(VLOOKUP(H256,'G-1 All Habitats'!$V$3:$W$7,2,FALSE),"")</f>
        <v/>
      </c>
      <c r="J256" s="204"/>
      <c r="K256" s="550" t="str">
        <f>IFERROR(INDEX('G-8 Condition Look up'!$A$3:$H$135,MATCH(F256,'G-8 Condition Look up'!$A$3:$A$135,0),MATCH(J256,'G-8 Condition Look up'!$A$3:$H$3,0)),"")</f>
        <v/>
      </c>
      <c r="L256" s="204"/>
      <c r="M256" s="284" t="str">
        <f>IF(L256="","",IF(VLOOKUP(L256,'G-3 Multipliers'!$L$3:$N$6,2,FALSE)=0,"Spatial Data Missing",VLOOKUP(L256,'G-3 Multipliers'!$L$3:$N$6,2,FALSE)))</f>
        <v/>
      </c>
      <c r="N256" s="571" t="str">
        <f>IF(L256="","",IF(VLOOKUP(L256,'G-3 Multipliers'!$L$3:$N$6,3,FALSE)=0,"Spatial Data Missing",VLOOKUP(L256,'G-3 Multipliers'!$L$3:$N$6,3,FALSE)))</f>
        <v/>
      </c>
      <c r="O256" s="277" t="str">
        <f t="shared" si="18"/>
        <v/>
      </c>
      <c r="P256" s="156"/>
      <c r="Q256" s="156"/>
      <c r="R256" s="551" t="str">
        <f t="shared" si="20"/>
        <v/>
      </c>
      <c r="S256" s="572" t="str">
        <f t="shared" si="21"/>
        <v/>
      </c>
      <c r="T256" s="573" t="str">
        <f>IFERROR(IF(S256="Check Data ⚠","Check Data ⚠",VLOOKUP(S256,'G-4 Temporal multipliers'!$A$4:$C$37,3,FALSE)),"")</f>
        <v/>
      </c>
      <c r="U256" s="302" t="str">
        <f>IF(F256="","",VLOOKUP(F256,'G-3 Multipliers'!$A$2:$E$134,2,FALSE))</f>
        <v/>
      </c>
      <c r="V256" s="284" t="str">
        <f t="shared" si="22"/>
        <v/>
      </c>
      <c r="W256" s="284" t="str">
        <f>IF(E256="","",IF(AND(V256="Standard difficulty applied",O256&gt;P256),U256,IF(AND(V256="Low Difficulty - only applicable if all habitat created before losses ⚠",P256&gt;=O256),"Low",VLOOKUP(F256,'G-3 Multipliers'!$A$2:$E$134,4,FALSE))))</f>
        <v/>
      </c>
      <c r="X256" s="278" t="str">
        <f>IFERROR(IF(E256="","",VLOOKUP(W256,'G-3 Multipliers'!$P$2:$Q$6,2,FALSE)),"")</f>
        <v/>
      </c>
      <c r="Y256" s="304" t="str">
        <f t="shared" si="23"/>
        <v/>
      </c>
      <c r="Z256" s="204"/>
      <c r="AA256" s="206"/>
      <c r="AB256" s="929"/>
      <c r="AE256" s="40" t="str">
        <f t="shared" si="19"/>
        <v/>
      </c>
    </row>
    <row r="257" spans="2:25" ht="14.5" thickBot="1">
      <c r="B257" s="60"/>
      <c r="E257" s="796" t="s">
        <v>406</v>
      </c>
      <c r="F257" s="210" t="s">
        <v>425</v>
      </c>
      <c r="G257" s="315">
        <f>SUM(G11:G256)</f>
        <v>8.2384</v>
      </c>
      <c r="T257" s="60"/>
      <c r="U257" s="60"/>
      <c r="V257" s="60"/>
      <c r="W257" s="60"/>
      <c r="X257" s="112" t="s">
        <v>426</v>
      </c>
      <c r="Y257" s="294">
        <f>SUM(Y11:Y256)</f>
        <v>22.74194400592248</v>
      </c>
    </row>
    <row r="258" spans="2:2" ht="14.5" thickBot="1">
      <c r="B258" s="60"/>
    </row>
    <row r="259" spans="5:7" ht="33.65" customHeight="1" thickBot="1">
      <c r="E259" s="632" t="s">
        <v>365</v>
      </c>
      <c r="G259" s="279">
        <f>SUMIFS($G$11:$G$256,$F$11:$F$256,"&lt;&gt;"&amp;'G-1 All Habitats'!B80,$F$11:$F$256,"&lt;&gt;"&amp;'G-1 All Habitats'!B81,$F$11:$F$256,"&lt;&gt;"&amp;'G-1 All Habitats'!B67,$F$11:$F$256,"&lt;&gt;"&amp;'G-1 All Habitats'!B68,$F$11:$F$256,"&lt;&gt;"&amp;'G-1 All Habitats'!B81,$F$11:$F$256,"&lt;&gt;"&amp;'G-1 All Habitats'!B134,$F$11:$F$256,"&lt;&gt;"&amp;'G-1 All Habitats'!B132,$F$11:$F$256,"&lt;&gt;"&amp;'G-1 All Habitats'!B133)</f>
        <v>8.222</v>
      </c>
    </row>
    <row r="260" ht="14.5" thickBot="1"/>
    <row r="261" spans="5:10" ht="14.5" thickBot="1">
      <c r="E261" s="1726" t="s">
        <v>367</v>
      </c>
      <c r="F261" s="36"/>
      <c r="G261" s="434" t="s">
        <v>368</v>
      </c>
      <c r="H261" s="1016" t="s">
        <v>369</v>
      </c>
      <c r="I261" s="1610" t="s">
        <v>370</v>
      </c>
      <c r="J261" s="1611"/>
    </row>
    <row r="262" spans="5:10" ht="15" customHeight="1" thickBot="1">
      <c r="E262" s="1727"/>
      <c r="F262" s="36"/>
      <c r="G262" s="411"/>
      <c r="H262" s="410" t="str">
        <f>IF(G261="Hectares",G262,IF(G261="M²",G262/10000,""))</f>
        <v/>
      </c>
      <c r="I262" s="1612" t="str">
        <f>IF(G261="M²",G262,IF(G261="Hectares",G262*10000,""))</f>
        <v/>
      </c>
      <c r="J262" s="1613"/>
    </row>
    <row r="263" spans="5:5" ht="14">
      <c r="E263" s="35"/>
    </row>
    <row r="264" spans="5:5" ht="14">
      <c r="E264" s="35"/>
    </row>
    <row r="265" spans="5:5" ht="14">
      <c r="E265" s="35"/>
    </row>
    <row r="266" spans="5:5" ht="14">
      <c r="E266" s="35"/>
    </row>
  </sheetData>
  <sheetProtection algorithmName="SHA-512" hashValue="CNERK2IglgWsoG56l8IdIL4VCSlVokHn57TfYIHrOA3qc46f0CWM07r9hgiBSto8meOFYaKrxI4VCTA0TGzFPQ==" saltValue="rXhTwNMUHTE1vduZpZCkcw==" spinCount="100000" sheet="1" objects="1" scenarios="1"/>
  <customSheetViews>
    <customSheetView guid="{8bda793c-c9c5-4fc6-a0a5-f1109f6d4f22}" topLeftCell="B1">
      <pane ySplit="10" topLeftCell="A11" activePane="bottomLeft" state="frozen"/>
      <selection pane="bottomLeft" activeCell="A1" sqref="A1"/>
      <pageMargins left="0.75" right="0.75" top="1" bottom="1" header="0.5" footer="0.5"/>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Z9:AB9"/>
    <mergeCell ref="D8:AB8"/>
    <mergeCell ref="AE8:AE9"/>
    <mergeCell ref="D2:E2"/>
    <mergeCell ref="D3:E3"/>
    <mergeCell ref="F9:F10"/>
    <mergeCell ref="L9:N9"/>
    <mergeCell ref="G9:G10"/>
    <mergeCell ref="D9:D10"/>
    <mergeCell ref="E9:E10"/>
    <mergeCell ref="Y9:Y10"/>
    <mergeCell ref="H9:I9"/>
    <mergeCell ref="J9:K9"/>
    <mergeCell ref="O9:T9"/>
    <mergeCell ref="N2:R3"/>
    <mergeCell ref="N4:R6"/>
  </mergeCells>
  <conditionalFormatting sqref="K11:K256">
    <cfRule type="cellIs" priority="57" dxfId="970" operator="equal">
      <formula>"Not Possible"</formula>
    </cfRule>
  </conditionalFormatting>
  <conditionalFormatting sqref="S11:S256">
    <cfRule type="containsText" priority="39" dxfId="1281" operator="containsText" text="30+">
      <formula>NOT(ISERROR(SEARCH("30+",S11)))</formula>
    </cfRule>
  </conditionalFormatting>
  <conditionalFormatting sqref="O11:O256">
    <cfRule type="containsText" priority="2" dxfId="1273" operator="containsText" text="Not Possible">
      <formula>NOT(ISERROR(SEARCH("Not Possible",O11)))</formula>
    </cfRule>
    <cfRule type="containsText" priority="38" dxfId="1281" operator="containsText" text="30+">
      <formula>NOT(ISERROR(SEARCH("30+",O11)))</formula>
    </cfRule>
  </conditionalFormatting>
  <conditionalFormatting sqref="V11:V256">
    <cfRule type="cellIs" priority="28" dxfId="1281" operator="equal">
      <formula>"No - Enhancement difficulty applied"</formula>
    </cfRule>
    <cfRule type="containsText" priority="34" dxfId="1281" operator="containsText" text="No - Low Difficulty">
      <formula>NOT(ISERROR(SEARCH("No - Low Difficulty",V11)))</formula>
    </cfRule>
  </conditionalFormatting>
  <conditionalFormatting sqref="R11:Y11 R12:W256 X12:Y257">
    <cfRule type="containsText" priority="33" dxfId="970" operator="containsText" text="Error">
      <formula>NOT(ISERROR(SEARCH("Error",R11)))</formula>
    </cfRule>
    <cfRule type="containsText" priority="36" dxfId="1267" operator="containsText" text="Check">
      <formula>NOT(ISERROR(SEARCH("Check",R11)))</formula>
    </cfRule>
  </conditionalFormatting>
  <conditionalFormatting sqref="N2">
    <cfRule type="containsText" priority="32" dxfId="1281" operator="containsText" text="Note">
      <formula>NOT(ISERROR(SEARCH("Note",N2)))</formula>
    </cfRule>
  </conditionalFormatting>
  <conditionalFormatting sqref="N4">
    <cfRule type="containsText" priority="31" dxfId="1281" operator="containsText" text="Check">
      <formula>NOT(ISERROR(SEARCH("Check",N4)))</formula>
    </cfRule>
  </conditionalFormatting>
  <conditionalFormatting sqref="T255">
    <cfRule type="containsText" priority="30" dxfId="1281" operator="containsText" text="30+">
      <formula>NOT(ISERROR(SEARCH("30+",T255)))</formula>
    </cfRule>
  </conditionalFormatting>
  <conditionalFormatting sqref="V11:V256">
    <cfRule type="cellIs" priority="29" dxfId="1281" operator="equal">
      <formula>"No - Enhancement difficulty applied"</formula>
    </cfRule>
  </conditionalFormatting>
  <conditionalFormatting sqref="E257">
    <cfRule type="containsText" priority="26" dxfId="1279" operator="containsText" text="Error">
      <formula>NOT(ISERROR(SEARCH("Error",E257)))</formula>
    </cfRule>
    <cfRule type="containsText" priority="27" dxfId="1281" operator="containsText" text="Check">
      <formula>NOT(ISERROR(SEARCH("Check",E257)))</formula>
    </cfRule>
  </conditionalFormatting>
  <conditionalFormatting sqref="K3">
    <cfRule type="containsText" priority="18" dxfId="1279" operator="containsText" text="Error">
      <formula>NOT(ISERROR(SEARCH("Error",K3)))</formula>
    </cfRule>
    <cfRule type="containsText" priority="19" dxfId="1281" operator="containsText" text="Check">
      <formula>NOT(ISERROR(SEARCH("Check",K3)))</formula>
    </cfRule>
  </conditionalFormatting>
  <conditionalFormatting sqref="K4">
    <cfRule type="containsText" priority="13" dxfId="1267" operator="containsText" text="Check">
      <formula>NOT(ISERROR(SEARCH("Check",K4)))</formula>
    </cfRule>
    <cfRule type="containsText" priority="14" dxfId="1283" operator="containsText" text="Error">
      <formula>NOT(ISERROR(SEARCH("Error",K4)))</formula>
    </cfRule>
  </conditionalFormatting>
  <conditionalFormatting sqref="K4">
    <cfRule type="cellIs" priority="15" dxfId="881" operator="equal">
      <formula>0</formula>
    </cfRule>
  </conditionalFormatting>
  <conditionalFormatting sqref="K5">
    <cfRule type="containsText" priority="11" dxfId="1283" operator="containsText" text="No">
      <formula>NOT(ISERROR(SEARCH("No",K5)))</formula>
    </cfRule>
    <cfRule type="containsText" priority="12" dxfId="1253" operator="containsText" text="Yes">
      <formula>NOT(ISERROR(SEARCH("Yes",K5)))</formula>
    </cfRule>
  </conditionalFormatting>
  <conditionalFormatting sqref="K6">
    <cfRule type="containsText" priority="9" dxfId="1253" operator="containsText" text="✓">
      <formula>NOT(ISERROR(SEARCH("✓",K6)))</formula>
    </cfRule>
    <cfRule type="containsText" priority="10" dxfId="1283" operator="containsText" text="▲">
      <formula>NOT(ISERROR(SEARCH("▲",K6)))</formula>
    </cfRule>
  </conditionalFormatting>
  <conditionalFormatting sqref="S2:X5">
    <cfRule type="containsText" priority="8" dxfId="1281" operator="containsText" text="Check">
      <formula>NOT(ISERROR(SEARCH("Check",S2)))</formula>
    </cfRule>
  </conditionalFormatting>
  <conditionalFormatting sqref="H7:L7">
    <cfRule type="containsText" priority="7" dxfId="1281" operator="containsText" text="⚠">
      <formula>NOT(ISERROR(SEARCH("⚠",H7)))</formula>
    </cfRule>
  </conditionalFormatting>
  <conditionalFormatting sqref="K4:L4">
    <cfRule type="cellIs" priority="427" dxfId="1283" operator="lessThan">
      <formula>0</formula>
    </cfRule>
  </conditionalFormatting>
  <conditionalFormatting sqref="K3:L6">
    <cfRule type="containsText" priority="6" dxfId="932" operator="containsText" text="N/A">
      <formula>NOT(ISERROR(SEARCH("N/A",K3)))</formula>
    </cfRule>
  </conditionalFormatting>
  <conditionalFormatting sqref="V1:V1048576">
    <cfRule type="containsText" priority="3" dxfId="1281" operator="containsText" text="⚠">
      <formula>NOT(ISERROR(SEARCH("⚠",V1)))</formula>
    </cfRule>
  </conditionalFormatting>
  <conditionalFormatting sqref="K1:K1048576">
    <cfRule type="containsText" priority="1" dxfId="1273" operator="containsText" text="▲">
      <formula>NOT(ISERROR(SEARCH("▲",K1)))</formula>
    </cfRule>
  </conditionalFormatting>
  <conditionalFormatting sqref="K4:L4">
    <cfRule type="expression" priority="4" dxfId="1289">
      <formula>'Headline Results'!$H$8:$I$8=0</formula>
    </cfRule>
  </conditionalFormatting>
  <conditionalFormatting sqref="K4">
    <cfRule type="cellIs" priority="5" dxfId="1294" operator="lessThan">
      <formula>Start!$F$22</formula>
    </cfRule>
    <cfRule type="cellIs" priority="428" dxfId="1284" operator="greaterThanOrEqual">
      <formula>0+Start!$F$22</formula>
    </cfRule>
  </conditionalFormatting>
  <dataValidations count="7">
    <dataValidation allowBlank="1" showErrorMessage="1" errorTitle="Invalid Habitat" error="Select from List" sqref="F11:F256"/>
    <dataValidation type="list" allowBlank="1" showInputMessage="1" showErrorMessage="1" sqref="E11:E256">
      <formula1>INDIRECT(C11)</formula1>
    </dataValidation>
    <dataValidation type="list" allowBlank="1" showInputMessage="1" showErrorMessage="1" sqref="J11:J256">
      <formula1>INDIRECT(A11)</formula1>
    </dataValidation>
    <dataValidation type="list" allowBlank="1" showInputMessage="1" showErrorMessage="1" sqref="G261">
      <formula1>"Hectares, M²"</formula1>
    </dataValidation>
    <dataValidation type="list" allowBlank="1" showInputMessage="1" showErrorMessage="1" sqref="L11:L256">
      <formula1>'G-3 Multipliers'!$L$4:$L$6</formula1>
    </dataValidation>
    <dataValidation type="list" allowBlank="1" showInputMessage="1" showErrorMessage="1" sqref="P11:Q256">
      <formula1>'G-4 Temporal multipliers'!$A$42:$A$73</formula1>
    </dataValidation>
    <dataValidation type="list" allowBlank="1" showInputMessage="1" showErrorMessage="1" sqref="D11:D256">
      <formula1>'G-1 All Habitats'!$AF$3:$AF$17</formula1>
    </dataValidation>
  </dataValidations>
  <pageMargins left="0.7" right="0.7" top="0.75" bottom="0.75" header="0.3" footer="0.3"/>
  <pageSetup horizontalDpi="90" verticalDpi="90" orientation="portrait" paperSize="9" r:id="rId2"/>
  <drawing r:id="rId1"/>
  <extLst>
    <ext xmlns:x14="http://schemas.microsoft.com/office/spreadsheetml/2009/9/main" uri="{78C0D931-6437-407d-A8EE-F0AAD7539E65}">
      <x14:conditionalFormattings>
        <x14:conditionalFormatting xmlns:xm="http://schemas.microsoft.com/office/excel/2006/main">
          <x14:cfRule type="iconSet" priority="21" id="{91e1cc8f-a074-4bf6-8b8b-b0e50a0341e4}">
            <x14:iconSet iconSet="3Symbols" custom="1">
              <x14:cfvo type="percent">
                <xm:f>0</xm:f>
              </x14:cfvo>
              <x14:cfvo gte="0" type="num">
                <xm:f>0</xm:f>
              </x14:cfvo>
              <x14:cfvo gte="0" type="num">
                <xm:f>30</xm:f>
              </x14:cfvo>
              <x14:cfIcon iconSet="NoIcons" iconId="0"/>
              <x14:cfIcon iconSet="NoIcons" iconId="0"/>
              <x14:cfIcon iconSet="3Symbols" iconId="1"/>
            </x14:iconSet>
            <x14:dxf/>
          </x14:cfRule>
          <xm:sqref>S11</xm:sqref>
        </x14:conditionalFormatting>
        <x14:conditionalFormatting xmlns:xm="http://schemas.microsoft.com/office/excel/2006/main">
          <x14:cfRule type="iconSet" priority="20" id="{f33bd3b4-d41b-4029-8606-3ef27d63a966}">
            <x14:iconSet iconSet="3Symbols" custom="1">
              <x14:cfvo type="percent">
                <xm:f>0</xm:f>
              </x14:cfvo>
              <x14:cfvo type="num">
                <xm:f>0</xm:f>
              </x14:cfvo>
              <x14:cfvo gte="0" type="num">
                <xm:f>30</xm:f>
              </x14:cfvo>
              <x14:cfIcon iconSet="NoIcons" iconId="0"/>
              <x14:cfIcon iconSet="NoIcons" iconId="0"/>
              <x14:cfIcon iconSet="3Symbols" iconId="1"/>
            </x14:iconSet>
            <x14:dxf/>
          </x14:cfRule>
          <xm:sqref>O11</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2:AL264"/>
  <sheetViews>
    <sheetView zoomScale="70" zoomScaleNormal="70" workbookViewId="0" topLeftCell="B1">
      <pane ySplit="9" topLeftCell="A10" activePane="bottomLeft" state="frozen"/>
      <selection pane="topLeft" activeCell="B1" sqref="B1"/>
      <selection pane="bottomLeft" activeCell="L272" sqref="L272"/>
    </sheetView>
  </sheetViews>
  <sheetFormatPr defaultColWidth="15.5442857142857" defaultRowHeight="14"/>
  <cols>
    <col min="1" max="1" width="3" style="30" customWidth="1"/>
    <col min="2" max="2" width="11.5714285714286" style="30" customWidth="1"/>
    <col min="3" max="3" width="12.5714285714286" style="30" customWidth="1"/>
    <col min="4" max="4" width="62.5714285714286" style="30" customWidth="1"/>
    <col min="5" max="5" width="10.5714285714286" style="30" customWidth="1"/>
    <col min="6" max="6" width="19.4285714285714" style="30" customWidth="1"/>
    <col min="7" max="7" width="8.57142857142857" style="30" customWidth="1"/>
    <col min="8" max="8" width="14.4285714285714" style="30" bestFit="1" customWidth="1"/>
    <col min="9" max="9" width="12.5714285714286" style="30" customWidth="1"/>
    <col min="10" max="10" width="52.4285714285714" style="30" customWidth="1"/>
    <col min="11" max="11" width="21.4285714285714" style="30" customWidth="1"/>
    <col min="12" max="12" width="15.4285714285714" style="30" customWidth="1"/>
    <col min="13" max="13" width="20.5714285714286" style="30" customWidth="1"/>
    <col min="14" max="14" width="13.4285714285714" style="30" customWidth="1"/>
    <col min="15" max="15" width="3.57142857142857" style="30" customWidth="1"/>
    <col min="16" max="17" width="12" style="30" customWidth="1"/>
    <col min="18" max="18" width="10.4285714285714" style="30" customWidth="1"/>
    <col min="19" max="19" width="12" style="30" customWidth="1"/>
    <col min="20" max="21" width="8.57142857142857" style="30" customWidth="1"/>
    <col min="22" max="23" width="50.4285714285714" style="30" customWidth="1"/>
    <col min="24" max="24" width="14.4285714285714" style="30" customWidth="1"/>
    <col min="25" max="25" width="15.5714285714286" style="30" customWidth="1"/>
    <col min="26" max="26" width="15.5714285714286" style="30" hidden="1" customWidth="1"/>
    <col min="27" max="16380" width="0" style="30" hidden="1" customWidth="1"/>
    <col min="16381" max="16384" width="15.5714285714286" style="30"/>
  </cols>
  <sheetData>
    <row r="1" ht="14.5" thickBot="1"/>
    <row r="2" spans="2:10" ht="18" thickBot="1">
      <c r="B2" s="1728" t="str">
        <f>CONCATENATE("Project Name:"," ",Start!F12,"     ","Map Reference:"," ",Start!F55)</f>
        <v xml:space="preserve">Project Name: Land east of Calne Road, Lyneham     Map Reference: </v>
      </c>
      <c r="C2" s="1729"/>
      <c r="D2" s="1730"/>
      <c r="F2" s="1597" t="s">
        <v>448</v>
      </c>
      <c r="G2" s="1598"/>
      <c r="H2" s="1598"/>
      <c r="I2" s="1598"/>
      <c r="J2" s="1599"/>
    </row>
    <row r="3" spans="2:10" ht="14">
      <c r="B3" s="1198" t="str">
        <f ca="1">MID(CELL("filename",A1),FIND("]",CELL("filename",A1))+1,256)</f>
        <v>B-1 On-Site Hedge Baseline</v>
      </c>
      <c r="C3" s="1199"/>
      <c r="D3" s="1200"/>
      <c r="F3" s="1663" t="s">
        <v>306</v>
      </c>
      <c r="G3" s="1664"/>
      <c r="H3" s="1664"/>
      <c r="I3" s="1664"/>
      <c r="J3" s="390">
        <f>'Headline Results'!H48</f>
        <v>6.475122960273441</v>
      </c>
    </row>
    <row r="4" spans="2:10" ht="14.5" thickBot="1">
      <c r="B4" s="1201"/>
      <c r="C4" s="1202"/>
      <c r="D4" s="1203"/>
      <c r="F4" s="1772" t="s">
        <v>308</v>
      </c>
      <c r="G4" s="1773"/>
      <c r="H4" s="1773"/>
      <c r="I4" s="1773"/>
      <c r="J4" s="391">
        <f>'Headline Results'!H52</f>
        <v>5.10093190505234</v>
      </c>
    </row>
    <row r="5" spans="6:10" ht="14.5" thickBot="1">
      <c r="F5" s="1774" t="s">
        <v>310</v>
      </c>
      <c r="G5" s="1750"/>
      <c r="H5" s="1750"/>
      <c r="I5" s="1750"/>
      <c r="J5" s="383" t="str" cm="1">
        <f t="array" ref="J5">IF(OR('Trading Summary Hedgerows'!F5:H9="No ▲"),"No - check trading summary ▲","Yes ✓")</f>
        <v>Yes ✓</v>
      </c>
    </row>
    <row r="7" spans="2:5" ht="34.4" customHeight="1" thickBot="1">
      <c r="B7" s="89"/>
      <c r="C7" s="89"/>
      <c r="E7" s="88"/>
    </row>
    <row r="8" spans="2:24" s="33" customFormat="1" ht="28.5" thickBot="1">
      <c r="B8" s="32"/>
      <c r="C8" s="1725" t="s">
        <v>449</v>
      </c>
      <c r="D8" s="1436"/>
      <c r="E8" s="1429"/>
      <c r="F8" s="1692" t="s">
        <v>312</v>
      </c>
      <c r="G8" s="1692"/>
      <c r="H8" s="1692" t="s">
        <v>407</v>
      </c>
      <c r="I8" s="1692"/>
      <c r="J8" s="1692" t="s">
        <v>314</v>
      </c>
      <c r="K8" s="1692"/>
      <c r="L8" s="1692"/>
      <c r="M8" s="1692" t="s">
        <v>315</v>
      </c>
      <c r="N8" s="114" t="s">
        <v>316</v>
      </c>
      <c r="O8" s="30"/>
      <c r="P8" s="1701"/>
      <c r="Q8" s="1702"/>
      <c r="R8" s="1702"/>
      <c r="S8" s="1702"/>
      <c r="T8" s="1702"/>
      <c r="U8" s="1703"/>
      <c r="V8" s="1701" t="s">
        <v>318</v>
      </c>
      <c r="W8" s="1702"/>
      <c r="X8" s="1703"/>
    </row>
    <row r="9" spans="2:38" ht="42.5" thickBot="1">
      <c r="B9" s="506" t="s">
        <v>323</v>
      </c>
      <c r="C9" s="116" t="s">
        <v>450</v>
      </c>
      <c r="D9" s="121" t="s">
        <v>284</v>
      </c>
      <c r="E9" s="120" t="s">
        <v>451</v>
      </c>
      <c r="F9" s="116" t="s">
        <v>312</v>
      </c>
      <c r="G9" s="120" t="s">
        <v>328</v>
      </c>
      <c r="H9" s="116" t="s">
        <v>313</v>
      </c>
      <c r="I9" s="120" t="s">
        <v>328</v>
      </c>
      <c r="J9" s="116" t="s">
        <v>314</v>
      </c>
      <c r="K9" s="121" t="s">
        <v>314</v>
      </c>
      <c r="L9" s="120" t="s">
        <v>329</v>
      </c>
      <c r="M9" s="1742"/>
      <c r="N9" s="142" t="s">
        <v>452</v>
      </c>
      <c r="P9" s="112" t="s">
        <v>453</v>
      </c>
      <c r="Q9" s="564" t="s">
        <v>454</v>
      </c>
      <c r="R9" s="564" t="s">
        <v>455</v>
      </c>
      <c r="S9" s="564" t="s">
        <v>456</v>
      </c>
      <c r="T9" s="564" t="s">
        <v>457</v>
      </c>
      <c r="U9" s="530" t="s">
        <v>334</v>
      </c>
      <c r="V9" s="489" t="s">
        <v>302</v>
      </c>
      <c r="W9" s="488" t="s">
        <v>279</v>
      </c>
      <c r="X9" s="617" t="s">
        <v>280</v>
      </c>
      <c r="AE9" s="107" t="s">
        <v>337</v>
      </c>
      <c r="AF9" s="107" t="s">
        <v>338</v>
      </c>
      <c r="AH9" s="107" t="s">
        <v>340</v>
      </c>
      <c r="AJ9" s="107" t="s">
        <v>337</v>
      </c>
      <c r="AK9" s="107" t="s">
        <v>338</v>
      </c>
      <c r="AL9" s="88" t="s">
        <v>322</v>
      </c>
    </row>
    <row r="10" spans="2:38" ht="28">
      <c r="B10" s="91">
        <v>1</v>
      </c>
      <c r="C10" s="592">
        <v>1</v>
      </c>
      <c r="D10" s="565" t="s">
        <v>151</v>
      </c>
      <c r="E10" s="607">
        <v>0.065</v>
      </c>
      <c r="F10" s="568" t="str">
        <f>IF(D10="","",VLOOKUP(D10,'G-6 Hedgerow Data'!$B$2:$AG$15,2,FALSE))</f>
        <v>High</v>
      </c>
      <c r="G10" s="544">
        <f>IF(D10="","",VLOOKUP(D10,'G-6 Hedgerow Data'!$B$2:$AG$15,3,FALSE))</f>
        <v>6</v>
      </c>
      <c r="H10" s="101" t="s">
        <v>43</v>
      </c>
      <c r="I10" s="276">
        <f>IFERROR(IF(AND(D10&lt;&gt;"",H10=""),"Check data ⚠",IF(H10="","",IF(AND(D10="Non-native and ornamental hedgerow",H10&lt;&gt;"Poor"),"Not possible ▲",(VLOOKUP(H10,'G-1 All Habitats'!$Z$2:$AA$9,2,FALSE))))),"")</f>
        <v>2</v>
      </c>
      <c r="J10" s="591" t="s">
        <v>351</v>
      </c>
      <c r="K10" s="280" t="str">
        <f>IF(AND(D10&lt;&gt;"",J10=""),"Check data ⚠",IF(J10="","",IF(VLOOKUP(J10,'G-3 Multipliers'!$L$3:$N$6,2,FALSE)=0,"Spatial Data Missing",VLOOKUP(J10,'G-3 Multipliers'!$L$3:$N$6,2,FALSE))))</f>
        <v xml:space="preserve">Medium strategic significance </v>
      </c>
      <c r="L10" s="546">
        <f>IF(J10="","",IF(VLOOKUP(J10,'G-3 Multipliers'!$L$3:$N$6,3,FALSE)=0,"Spatial Data Missing ⚠",VLOOKUP(J10,'G-3 Multipliers'!$L$3:$N$6,3,FALSE)))</f>
        <v>1.1</v>
      </c>
      <c r="M10" s="547" t="str">
        <f>IF(D10="","",VLOOKUP(D10,'G-6 Hedgerow Data'!$B$1:$AH$15,33,FALSE))</f>
        <v>Like for like or better</v>
      </c>
      <c r="N10" s="548">
        <f>IFERROR(IF(OR(K10="Check data ⚠",I10="Check data ⚠",R10="Error in lengths ▲"),"Check data ▲",(E10*G10*I10*L10)),"")</f>
        <v>0.8580000000000001</v>
      </c>
      <c r="O10" s="32"/>
      <c r="P10" s="244">
        <v>0.044</v>
      </c>
      <c r="Q10" s="133">
        <v>0</v>
      </c>
      <c r="R10" s="287">
        <f>IFERROR(P10*G10*I10*L10,"")</f>
        <v>0.5808000000000001</v>
      </c>
      <c r="S10" s="287">
        <f>IFERROR(Q10*G10*I10*L10,"")</f>
        <v>0</v>
      </c>
      <c r="T10" s="287">
        <f>IF(D10="","",IF(E10-P10-Q10=0&lt;0,"Error in lengths ▲",IF(P10+Q10&gt;E10,"Error in Lengths ▲",E10-P10-Q10)))</f>
        <v>0.021000000000000005</v>
      </c>
      <c r="U10" s="317">
        <f>IFERROR(IF(OR(E10="",N10=""),"",IF(E10-P10-Q10=0&lt;0,"Error in Lengths ▲",IF(P10+Q10&gt;E10,"Error in Lengths ▲",N10-R10-S10))),"Check data ⚠")</f>
        <v>0.2772</v>
      </c>
      <c r="V10" s="591"/>
      <c r="W10" s="607"/>
      <c r="X10" s="115">
        <v>4</v>
      </c>
      <c r="AE10" s="107" t="b">
        <f t="shared" si="0" ref="AE10:AE73">IF(D10="","",IF(P10&gt;0,TRUE,FALSE))</f>
        <v>1</v>
      </c>
      <c r="AF10" s="107" t="b">
        <f t="shared" si="1" ref="AF10:AF73">IF(D10="","",IF(Q10&gt;0,TRUE,FALSE))</f>
        <v>0</v>
      </c>
      <c r="AH10" s="107">
        <v>1</v>
      </c>
      <c r="AJ10" s="107">
        <f t="array" ref="AJ10">IFERROR(INDEX($AH$10:$AH$258,MATCH(0,IF(TRUE=$AE$10:$AE$258,COUNTIF($AJ9:$AJ$9,$AH$10:$AH$258),""),0)),"")</f>
        <v>1</v>
      </c>
      <c r="AK10" s="107" t="str">
        <f t="array" ref="AK10">IFERROR(INDEX($AH$10:$AH$258,MATCH(0,IF(TRUE=$AF$10:$AF$258,COUNTIF($AK9:$AK$9,$AH$10:$AH$258),""),0)),"")</f>
        <v/>
      </c>
      <c r="AL10" s="30" t="str">
        <f>IFERROR(INDEX('G-6 Hedgerow Data'!$BJ$3:$BJ$15,MATCH(D10,'G-6 Hedgerow Data'!$B$3:$B$15,0)),"")</f>
        <v>Hedgecond1</v>
      </c>
    </row>
    <row r="11" spans="2:38" ht="28">
      <c r="B11" s="97">
        <v>2</v>
      </c>
      <c r="C11" s="138"/>
      <c r="D11" s="58" t="s">
        <v>157</v>
      </c>
      <c r="E11" s="115">
        <v>0.01</v>
      </c>
      <c r="F11" s="323" t="str">
        <f>IF(D11="","",VLOOKUP(D11,'G-6 Hedgerow Data'!$B$2:$AG$15,2,FALSE))</f>
        <v>Low</v>
      </c>
      <c r="G11" s="276">
        <f>IF(D11="","",VLOOKUP(D11,'G-6 Hedgerow Data'!$B$2:$AG$15,3,FALSE))</f>
        <v>2</v>
      </c>
      <c r="H11" s="101" t="s">
        <v>345</v>
      </c>
      <c r="I11" s="276">
        <f>IFERROR(IF(AND(D11&lt;&gt;"",H11=""),"Check data ⚠",IF(H11="","",IF(AND(D11="Non-native and ornamental hedgerow",H11&lt;&gt;"Poor"),"Not possible ▲",(VLOOKUP(H11,'G-1 All Habitats'!$Z$2:$AA$9,2,FALSE))))),"")</f>
        <v>1</v>
      </c>
      <c r="J11" s="101" t="s">
        <v>351</v>
      </c>
      <c r="K11" s="283" t="str">
        <f>IF(AND(D11&lt;&gt;"",J11=""),"Check data ⚠",IF(J11="","",IF(VLOOKUP(J11,'G-3 Multipliers'!$L$3:$N$6,2,FALSE)=0,"Spatial Data Missing",VLOOKUP(J11,'G-3 Multipliers'!$L$3:$N$6,2,FALSE))))</f>
        <v xml:space="preserve">Medium strategic significance </v>
      </c>
      <c r="L11" s="281">
        <f>IF(J11="","",IF(VLOOKUP(J11,'G-3 Multipliers'!$L$3:$N$6,3,FALSE)=0,"Spatial Data Missing ⚠",VLOOKUP(J11,'G-3 Multipliers'!$L$3:$N$6,3,FALSE)))</f>
        <v>1.1</v>
      </c>
      <c r="M11" s="282" t="str">
        <f>IF(D11="","",VLOOKUP(D11,'G-6 Hedgerow Data'!$B$1:$AH$15,33,FALSE))</f>
        <v>Same distinctiveness band or better</v>
      </c>
      <c r="N11" s="289">
        <f t="shared" si="2" ref="N11:N74">IFERROR(IF(OR(K11="Check data ⚠",I11="Check data ⚠",R11="Error in lengths ▲"),"Check data ▲",(E11*G11*I11*L11)),"")</f>
        <v>0.022000000000000002</v>
      </c>
      <c r="O11" s="32"/>
      <c r="P11" s="432">
        <v>0.01</v>
      </c>
      <c r="Q11" s="138">
        <v>0</v>
      </c>
      <c r="R11" s="306">
        <f t="shared" si="3" ref="R11:R74">IFERROR(P11*G11*I11*L11,"")</f>
        <v>0.022000000000000002</v>
      </c>
      <c r="S11" s="306">
        <f t="shared" si="4" ref="S11:S74">IFERROR(Q11*G11*I11*L11,"")</f>
        <v>0</v>
      </c>
      <c r="T11" s="306">
        <f t="shared" si="5" ref="T11:T74">IF(D11="","",IF(E11-P11-Q11=0&lt;0,"Error in lengths ▲",IF(P11+Q11&gt;E11,"Error in Lengths ▲",E11-P11-Q11)))</f>
        <v>0</v>
      </c>
      <c r="U11" s="327">
        <f t="shared" si="6" ref="U11:U74">IFERROR(IF(OR(E11="",N11=""),"",IF(E11-P11-Q11=0&lt;0,"Error in Lengths ▲",IF(P11+Q11&gt;E11,"Error in Lengths ▲",N11-R11-S11))),"Check data ⚠")</f>
        <v>0</v>
      </c>
      <c r="V11" s="105" t="s">
        <v>458</v>
      </c>
      <c r="W11" s="104"/>
      <c r="X11" s="104"/>
      <c r="AE11" s="107" t="b">
        <f t="shared" si="0"/>
        <v>1</v>
      </c>
      <c r="AF11" s="107" t="b">
        <f t="shared" si="1"/>
        <v>0</v>
      </c>
      <c r="AH11" s="107">
        <v>2</v>
      </c>
      <c r="AJ11" s="107">
        <f t="array" ref="AJ11">IFERROR(INDEX($AH$10:$AH$258,MATCH(0,IF(TRUE=$AE$10:$AE$258,COUNTIF($AJ$9:$AJ10,$AH$10:$AH$258),""),0)),"")</f>
        <v>2</v>
      </c>
      <c r="AK11" s="107" t="str">
        <f t="array" ref="AK11">IFERROR(INDEX($AH$10:$AH$258,MATCH(0,IF(TRUE=$AF$10:$AF$258,COUNTIF($AK$9:$AK10,$AH$10:$AH$258),""),0)),"")</f>
        <v/>
      </c>
      <c r="AL11" s="30" t="str">
        <f>IFERROR(INDEX('G-6 Hedgerow Data'!$BJ$3:$BJ$15,MATCH(D11,'G-6 Hedgerow Data'!$B$3:$B$15,0)),"")</f>
        <v>Hedgecond1</v>
      </c>
    </row>
    <row r="12" spans="2:38" ht="28">
      <c r="B12" s="97">
        <v>3</v>
      </c>
      <c r="C12" s="138"/>
      <c r="D12" s="58" t="s">
        <v>152</v>
      </c>
      <c r="E12" s="115">
        <v>0.004</v>
      </c>
      <c r="F12" s="323" t="str">
        <f>IF(D12="","",VLOOKUP(D12,'G-6 Hedgerow Data'!$B$2:$AG$15,2,FALSE))</f>
        <v>Medium</v>
      </c>
      <c r="G12" s="276">
        <f>IF(D12="","",VLOOKUP(D12,'G-6 Hedgerow Data'!$B$2:$AG$15,3,FALSE))</f>
        <v>4</v>
      </c>
      <c r="H12" s="101" t="s">
        <v>44</v>
      </c>
      <c r="I12" s="276">
        <f>IFERROR(IF(AND(D12&lt;&gt;"",H12=""),"Check data ⚠",IF(H12="","",IF(AND(D12="Non-native and ornamental hedgerow",H12&lt;&gt;"Poor"),"Not possible ▲",(VLOOKUP(H12,'G-1 All Habitats'!$Z$2:$AA$9,2,FALSE))))),"")</f>
        <v>3</v>
      </c>
      <c r="J12" s="101" t="s">
        <v>351</v>
      </c>
      <c r="K12" s="283" t="str">
        <f>IF(AND(D12&lt;&gt;"",J12=""),"Check data ⚠",IF(J12="","",IF(VLOOKUP(J12,'G-3 Multipliers'!$L$3:$N$6,2,FALSE)=0,"Spatial Data Missing",VLOOKUP(J12,'G-3 Multipliers'!$L$3:$N$6,2,FALSE))))</f>
        <v xml:space="preserve">Medium strategic significance </v>
      </c>
      <c r="L12" s="281">
        <f>IF(J12="","",IF(VLOOKUP(J12,'G-3 Multipliers'!$L$3:$N$6,3,FALSE)=0,"Spatial Data Missing ⚠",VLOOKUP(J12,'G-3 Multipliers'!$L$3:$N$6,3,FALSE)))</f>
        <v>1.1</v>
      </c>
      <c r="M12" s="282" t="str">
        <f>IF(D12="","",VLOOKUP(D12,'G-6 Hedgerow Data'!$B$1:$AH$15,33,FALSE))</f>
        <v>Same distinctiveness band or better</v>
      </c>
      <c r="N12" s="289">
        <f t="shared" si="2"/>
        <v>0.05280000000000001</v>
      </c>
      <c r="O12" s="32"/>
      <c r="P12" s="432">
        <v>0.004</v>
      </c>
      <c r="Q12" s="138">
        <v>0</v>
      </c>
      <c r="R12" s="306">
        <f t="shared" si="3"/>
        <v>0.05280000000000001</v>
      </c>
      <c r="S12" s="306">
        <f t="shared" si="4"/>
        <v>0</v>
      </c>
      <c r="T12" s="306">
        <f t="shared" si="5"/>
        <v>0</v>
      </c>
      <c r="U12" s="327">
        <f t="shared" si="6"/>
        <v>0</v>
      </c>
      <c r="V12" s="105" t="s">
        <v>458</v>
      </c>
      <c r="W12" s="104"/>
      <c r="X12" s="104"/>
      <c r="AE12" s="107" t="b">
        <f t="shared" si="0"/>
        <v>1</v>
      </c>
      <c r="AF12" s="107" t="b">
        <f t="shared" si="1"/>
        <v>0</v>
      </c>
      <c r="AH12" s="107">
        <v>3</v>
      </c>
      <c r="AJ12" s="107">
        <f t="array" ref="AJ12">IFERROR(INDEX($AH$10:$AH$258,MATCH(0,IF(TRUE=$AE$10:$AE$258,COUNTIF($AJ$9:$AJ11,$AH$10:$AH$258),""),0)),"")</f>
        <v>3</v>
      </c>
      <c r="AK12" s="107" t="str">
        <f t="array" ref="AK12">IFERROR(INDEX($AH$10:$AH$258,MATCH(0,IF(TRUE=$AF$10:$AF$258,COUNTIF($AK$9:$AK11,$AH$10:$AH$258),""),0)),"")</f>
        <v/>
      </c>
      <c r="AL12" s="30" t="str">
        <f>IFERROR(INDEX('G-6 Hedgerow Data'!$BJ$3:$BJ$15,MATCH(D12,'G-6 Hedgerow Data'!$B$3:$B$15,0)),"")</f>
        <v>Hedgecond1</v>
      </c>
    </row>
    <row r="13" spans="2:38" ht="28">
      <c r="B13" s="97">
        <v>4</v>
      </c>
      <c r="C13" s="138"/>
      <c r="D13" s="58" t="s">
        <v>150</v>
      </c>
      <c r="E13" s="115">
        <v>0.017</v>
      </c>
      <c r="F13" s="323" t="str">
        <f>IF(D13="","",VLOOKUP(D13,'G-6 Hedgerow Data'!$B$2:$AG$15,2,FALSE))</f>
        <v>High</v>
      </c>
      <c r="G13" s="276">
        <f>IF(D13="","",VLOOKUP(D13,'G-6 Hedgerow Data'!$B$2:$AG$15,3,FALSE))</f>
        <v>6</v>
      </c>
      <c r="H13" s="101" t="s">
        <v>44</v>
      </c>
      <c r="I13" s="276">
        <f>IFERROR(IF(AND(D13&lt;&gt;"",H13=""),"Check data ⚠",IF(H13="","",IF(AND(D13="Non-native and ornamental hedgerow",H13&lt;&gt;"Poor"),"Not possible ▲",(VLOOKUP(H13,'G-1 All Habitats'!$Z$2:$AA$9,2,FALSE))))),"")</f>
        <v>3</v>
      </c>
      <c r="J13" s="101" t="s">
        <v>351</v>
      </c>
      <c r="K13" s="283" t="str">
        <f>IF(AND(D13&lt;&gt;"",J13=""),"Check data ⚠",IF(J13="","",IF(VLOOKUP(J13,'G-3 Multipliers'!$L$3:$N$6,2,FALSE)=0,"Spatial Data Missing",VLOOKUP(J13,'G-3 Multipliers'!$L$3:$N$6,2,FALSE))))</f>
        <v xml:space="preserve">Medium strategic significance </v>
      </c>
      <c r="L13" s="281">
        <f>IF(J13="","",IF(VLOOKUP(J13,'G-3 Multipliers'!$L$3:$N$6,3,FALSE)=0,"Spatial Data Missing ⚠",VLOOKUP(J13,'G-3 Multipliers'!$L$3:$N$6,3,FALSE)))</f>
        <v>1.1</v>
      </c>
      <c r="M13" s="282" t="str">
        <f>IF(D13="","",VLOOKUP(D13,'G-6 Hedgerow Data'!$B$1:$AH$15,33,FALSE))</f>
        <v>Like for like or better</v>
      </c>
      <c r="N13" s="289">
        <f t="shared" si="2"/>
        <v>0.33660000000000007</v>
      </c>
      <c r="O13" s="32"/>
      <c r="P13" s="432">
        <v>0.017</v>
      </c>
      <c r="Q13" s="138">
        <v>0</v>
      </c>
      <c r="R13" s="306">
        <f t="shared" si="3"/>
        <v>0.33660000000000007</v>
      </c>
      <c r="S13" s="306">
        <f t="shared" si="4"/>
        <v>0</v>
      </c>
      <c r="T13" s="306">
        <f t="shared" si="5"/>
        <v>0</v>
      </c>
      <c r="U13" s="327">
        <f t="shared" si="6"/>
        <v>0</v>
      </c>
      <c r="V13" s="105" t="s">
        <v>458</v>
      </c>
      <c r="W13" s="104"/>
      <c r="X13" s="104"/>
      <c r="AE13" s="107" t="b">
        <f t="shared" si="0"/>
        <v>1</v>
      </c>
      <c r="AF13" s="107" t="b">
        <f t="shared" si="1"/>
        <v>0</v>
      </c>
      <c r="AH13" s="107">
        <v>4</v>
      </c>
      <c r="AJ13" s="107">
        <f t="array" ref="AJ13">IFERROR(INDEX($AH$10:$AH$258,MATCH(0,IF(TRUE=$AE$10:$AE$258,COUNTIF($AJ$9:$AJ12,$AH$10:$AH$258),""),0)),"")</f>
        <v>4</v>
      </c>
      <c r="AK13" s="107" t="str">
        <f t="array" ref="AK13">IFERROR(INDEX($AH$10:$AH$258,MATCH(0,IF(TRUE=$AF$10:$AF$258,COUNTIF($AK$9:$AK12,$AH$10:$AH$258),""),0)),"")</f>
        <v/>
      </c>
      <c r="AL13" s="30" t="str">
        <f>IFERROR(INDEX('G-6 Hedgerow Data'!$BJ$3:$BJ$15,MATCH(D13,'G-6 Hedgerow Data'!$B$3:$B$15,0)),"")</f>
        <v>Hedgecond1</v>
      </c>
    </row>
    <row r="14" spans="2:38" ht="14">
      <c r="B14" s="97">
        <v>5</v>
      </c>
      <c r="C14" s="138"/>
      <c r="D14" s="133"/>
      <c r="E14" s="51"/>
      <c r="F14" s="323" t="str">
        <f>IF(D14="","",VLOOKUP(D14,'G-6 Hedgerow Data'!$B$2:$AG$15,2,FALSE))</f>
        <v/>
      </c>
      <c r="G14" s="276" t="str">
        <f>IF(D14="","",VLOOKUP(D14,'G-6 Hedgerow Data'!$B$2:$AG$15,3,FALSE))</f>
        <v/>
      </c>
      <c r="H14" s="101"/>
      <c r="I14" s="276" t="str">
        <f>IFERROR(IF(AND(D14&lt;&gt;"",H14=""),"Check data ⚠",IF(H14="","",IF(AND(D14="Non-native and ornamental hedgerow",H14&lt;&gt;"Poor"),"Not possible ▲",(VLOOKUP(H14,'G-1 All Habitats'!$Z$2:$AA$9,2,FALSE))))),"")</f>
        <v/>
      </c>
      <c r="J14" s="101"/>
      <c r="K14" s="283" t="str">
        <f>IF(AND(D14&lt;&gt;"",J14=""),"Check data ⚠",IF(J14="","",IF(VLOOKUP(J14,'G-3 Multipliers'!$L$3:$N$6,2,FALSE)=0,"Spatial Data Missing",VLOOKUP(J14,'G-3 Multipliers'!$L$3:$N$6,2,FALSE))))</f>
        <v/>
      </c>
      <c r="L14" s="281" t="str">
        <f>IF(J14="","",IF(VLOOKUP(J14,'G-3 Multipliers'!$L$3:$N$6,3,FALSE)=0,"Spatial Data Missing ⚠",VLOOKUP(J14,'G-3 Multipliers'!$L$3:$N$6,3,FALSE)))</f>
        <v/>
      </c>
      <c r="M14" s="282" t="str">
        <f>IF(D14="","",VLOOKUP(D14,'G-6 Hedgerow Data'!$B$1:$AH$15,33,FALSE))</f>
        <v/>
      </c>
      <c r="N14" s="289" t="str">
        <f t="shared" si="2"/>
        <v/>
      </c>
      <c r="O14" s="32"/>
      <c r="P14" s="432"/>
      <c r="Q14" s="138"/>
      <c r="R14" s="306" t="str">
        <f t="shared" si="3"/>
        <v/>
      </c>
      <c r="S14" s="306" t="str">
        <f t="shared" si="4"/>
        <v/>
      </c>
      <c r="T14" s="306" t="str">
        <f t="shared" si="5"/>
        <v/>
      </c>
      <c r="U14" s="327" t="str">
        <f t="shared" si="6"/>
        <v/>
      </c>
      <c r="V14" s="105"/>
      <c r="W14" s="104"/>
      <c r="X14" s="104"/>
      <c r="AE14" s="107" t="str">
        <f t="shared" si="0"/>
        <v/>
      </c>
      <c r="AF14" s="107" t="str">
        <f t="shared" si="1"/>
        <v/>
      </c>
      <c r="AH14" s="107">
        <v>5</v>
      </c>
      <c r="AJ14" s="107" t="str">
        <f t="array" ref="AJ14">IFERROR(INDEX($AH$10:$AH$258,MATCH(0,IF(TRUE=$AE$10:$AE$258,COUNTIF($AJ$9:$AJ13,$AH$10:$AH$258),""),0)),"")</f>
        <v/>
      </c>
      <c r="AK14" s="107" t="str">
        <f t="array" ref="AK14">IFERROR(INDEX($AH$10:$AH$258,MATCH(0,IF(TRUE=$AF$10:$AF$258,COUNTIF($AK$9:$AK13,$AH$10:$AH$258),""),0)),"")</f>
        <v/>
      </c>
      <c r="AL14" s="30" t="str">
        <f>IFERROR(INDEX('G-6 Hedgerow Data'!$BJ$3:$BJ$15,MATCH(D14,'G-6 Hedgerow Data'!$B$3:$B$15,0)),"")</f>
        <v/>
      </c>
    </row>
    <row r="15" spans="2:38" ht="14.5">
      <c r="B15" s="97">
        <v>6</v>
      </c>
      <c r="C15" s="138"/>
      <c r="D15" s="133"/>
      <c r="E15" s="51"/>
      <c r="F15" s="323" t="str">
        <f>IF(D15="","",VLOOKUP(D15,'G-6 Hedgerow Data'!$B$2:$AG$15,2,FALSE))</f>
        <v/>
      </c>
      <c r="G15" s="276" t="str">
        <f>IF(D15="","",VLOOKUP(D15,'G-6 Hedgerow Data'!$B$2:$AG$15,3,FALSE))</f>
        <v/>
      </c>
      <c r="H15" s="101"/>
      <c r="I15" s="276" t="str">
        <f>IFERROR(IF(AND(D15&lt;&gt;"",H15=""),"Check data ⚠",IF(H15="","",IF(AND(D15="Non-native and ornamental hedgerow",H15&lt;&gt;"Poor"),"Not possible ▲",(VLOOKUP(H15,'G-1 All Habitats'!$Z$2:$AA$9,2,FALSE))))),"")</f>
        <v/>
      </c>
      <c r="J15" s="101"/>
      <c r="K15" s="283" t="str">
        <f>IF(AND(D15&lt;&gt;"",J15=""),"Check data ⚠",IF(J15="","",IF(VLOOKUP(J15,'G-3 Multipliers'!$L$3:$N$6,2,FALSE)=0,"Spatial Data Missing",VLOOKUP(J15,'G-3 Multipliers'!$L$3:$N$6,2,FALSE))))</f>
        <v/>
      </c>
      <c r="L15" s="281" t="str">
        <f>IF(J15="","",IF(VLOOKUP(J15,'G-3 Multipliers'!$L$3:$N$6,3,FALSE)=0,"Spatial Data Missing ⚠",VLOOKUP(J15,'G-3 Multipliers'!$L$3:$N$6,3,FALSE)))</f>
        <v/>
      </c>
      <c r="M15" s="282" t="str">
        <f>IF(D15="","",VLOOKUP(D15,'G-6 Hedgerow Data'!$B$1:$AH$15,33,FALSE))</f>
        <v/>
      </c>
      <c r="N15" s="289" t="str">
        <f t="shared" si="2"/>
        <v/>
      </c>
      <c r="O15" s="32"/>
      <c r="P15" s="432"/>
      <c r="Q15" s="138"/>
      <c r="R15" s="306" t="str">
        <f t="shared" si="3"/>
        <v/>
      </c>
      <c r="S15" s="306" t="str">
        <f t="shared" si="4"/>
        <v/>
      </c>
      <c r="T15" s="306" t="str">
        <f t="shared" si="5"/>
        <v/>
      </c>
      <c r="U15" s="327" t="str">
        <f t="shared" si="6"/>
        <v/>
      </c>
      <c r="V15" s="105"/>
      <c r="W15" s="104"/>
      <c r="X15" s="104"/>
      <c r="AE15" s="107" t="str">
        <f t="shared" si="0"/>
        <v/>
      </c>
      <c r="AF15" s="107" t="str">
        <f t="shared" si="1"/>
        <v/>
      </c>
      <c r="AH15" s="107">
        <v>6</v>
      </c>
      <c r="AJ15" s="107" t="str">
        <f t="array" ref="AJ15">IFERROR(INDEX($AH$10:$AH$258,MATCH(0,IF(TRUE=$AE$10:$AE$258,COUNTIF($AJ$9:$AJ14,$AH$10:$AH$258),""),0)),"")</f>
        <v/>
      </c>
      <c r="AK15" s="107" t="str">
        <f t="array" ref="AK15">IFERROR(INDEX($AH$10:$AH$258,MATCH(0,IF(TRUE=$AF$10:$AF$258,COUNTIF($AK$9:$AK14,$AH$10:$AH$258),""),0)),"")</f>
        <v/>
      </c>
      <c r="AL15" s="30" t="str">
        <f>IFERROR(INDEX('G-6 Hedgerow Data'!$BJ$3:$BJ$15,MATCH(D15,'G-6 Hedgerow Data'!$B$3:$B$15,0)),"")</f>
        <v/>
      </c>
    </row>
    <row r="16" spans="2:38" ht="14" hidden="1">
      <c r="B16" s="97">
        <v>7</v>
      </c>
      <c r="C16" s="138"/>
      <c r="D16" s="133"/>
      <c r="E16" s="51"/>
      <c r="F16" s="323" t="str">
        <f>IF(D16="","",VLOOKUP(D16,'G-6 Hedgerow Data'!$B$2:$AG$15,2,FALSE))</f>
        <v/>
      </c>
      <c r="G16" s="276" t="str">
        <f>IF(D16="","",VLOOKUP(D16,'G-6 Hedgerow Data'!$B$2:$AG$15,3,FALSE))</f>
        <v/>
      </c>
      <c r="H16" s="101"/>
      <c r="I16" s="276" t="str">
        <f>IFERROR(IF(AND(D16&lt;&gt;"",H16=""),"Check data ⚠",IF(H16="","",IF(AND(D16="Non-native and ornamental hedgerow",H16&lt;&gt;"Poor"),"Not possible ▲",(VLOOKUP(H16,'G-1 All Habitats'!$Z$2:$AA$9,2,FALSE))))),"")</f>
        <v/>
      </c>
      <c r="J16" s="101"/>
      <c r="K16" s="283" t="str">
        <f>IF(AND(D16&lt;&gt;"",J16=""),"Check data ⚠",IF(J16="","",IF(VLOOKUP(J16,'G-3 Multipliers'!$L$3:$N$6,2,FALSE)=0,"Spatial Data Missing",VLOOKUP(J16,'G-3 Multipliers'!$L$3:$N$6,2,FALSE))))</f>
        <v/>
      </c>
      <c r="L16" s="281" t="str">
        <f>IF(J16="","",IF(VLOOKUP(J16,'G-3 Multipliers'!$L$3:$N$6,3,FALSE)=0,"Spatial Data Missing ⚠",VLOOKUP(J16,'G-3 Multipliers'!$L$3:$N$6,3,FALSE)))</f>
        <v/>
      </c>
      <c r="M16" s="282" t="str">
        <f>IF(D16="","",VLOOKUP(D16,'G-6 Hedgerow Data'!$B$1:$AH$15,33,FALSE))</f>
        <v/>
      </c>
      <c r="N16" s="289" t="str">
        <f t="shared" si="2"/>
        <v/>
      </c>
      <c r="O16" s="32"/>
      <c r="P16" s="432"/>
      <c r="Q16" s="138"/>
      <c r="R16" s="306" t="str">
        <f t="shared" si="3"/>
        <v/>
      </c>
      <c r="S16" s="306" t="str">
        <f t="shared" si="4"/>
        <v/>
      </c>
      <c r="T16" s="306" t="str">
        <f t="shared" si="5"/>
        <v/>
      </c>
      <c r="U16" s="327" t="str">
        <f t="shared" si="6"/>
        <v/>
      </c>
      <c r="V16" s="105"/>
      <c r="W16" s="104"/>
      <c r="X16" s="104"/>
      <c r="AE16" s="107" t="str">
        <f t="shared" si="0"/>
        <v/>
      </c>
      <c r="AF16" s="107" t="str">
        <f t="shared" si="1"/>
        <v/>
      </c>
      <c r="AH16" s="107">
        <v>7</v>
      </c>
      <c r="AJ16" s="107" t="str">
        <f t="array" ref="AJ16">IFERROR(INDEX($AH$10:$AH$258,MATCH(0,IF(TRUE=$AE$10:$AE$258,COUNTIF($AJ$9:$AJ15,$AH$10:$AH$258),""),0)),"")</f>
        <v/>
      </c>
      <c r="AK16" s="107" t="str">
        <f t="array" ref="AK16">IFERROR(INDEX($AH$10:$AH$258,MATCH(0,IF(TRUE=$AF$10:$AF$258,COUNTIF($AK$9:$AK15,$AH$10:$AH$258),""),0)),"")</f>
        <v/>
      </c>
      <c r="AL16" s="30" t="str">
        <f>IFERROR(INDEX('G-6 Hedgerow Data'!$BJ$3:$BJ$15,MATCH(D16,'G-6 Hedgerow Data'!$B$3:$B$15,0)),"")</f>
        <v/>
      </c>
    </row>
    <row r="17" spans="2:38" ht="14" hidden="1">
      <c r="B17" s="97">
        <v>8</v>
      </c>
      <c r="C17" s="138"/>
      <c r="D17" s="133"/>
      <c r="E17" s="51"/>
      <c r="F17" s="323" t="str">
        <f>IF(D17="","",VLOOKUP(D17,'G-6 Hedgerow Data'!$B$2:$AG$15,2,FALSE))</f>
        <v/>
      </c>
      <c r="G17" s="276" t="str">
        <f>IF(D17="","",VLOOKUP(D17,'G-6 Hedgerow Data'!$B$2:$AG$15,3,FALSE))</f>
        <v/>
      </c>
      <c r="H17" s="101"/>
      <c r="I17" s="276" t="str">
        <f>IFERROR(IF(AND(D17&lt;&gt;"",H17=""),"Check data ⚠",IF(H17="","",IF(AND(D17="Non-native and ornamental hedgerow",H17&lt;&gt;"Poor"),"Not possible ▲",(VLOOKUP(H17,'G-1 All Habitats'!$Z$2:$AA$9,2,FALSE))))),"")</f>
        <v/>
      </c>
      <c r="J17" s="101"/>
      <c r="K17" s="283" t="str">
        <f>IF(AND(D17&lt;&gt;"",J17=""),"Check data ⚠",IF(J17="","",IF(VLOOKUP(J17,'G-3 Multipliers'!$L$3:$N$6,2,FALSE)=0,"Spatial Data Missing",VLOOKUP(J17,'G-3 Multipliers'!$L$3:$N$6,2,FALSE))))</f>
        <v/>
      </c>
      <c r="L17" s="281" t="str">
        <f>IF(J17="","",IF(VLOOKUP(J17,'G-3 Multipliers'!$L$3:$N$6,3,FALSE)=0,"Spatial Data Missing ⚠",VLOOKUP(J17,'G-3 Multipliers'!$L$3:$N$6,3,FALSE)))</f>
        <v/>
      </c>
      <c r="M17" s="282" t="str">
        <f>IF(D17="","",VLOOKUP(D17,'G-6 Hedgerow Data'!$B$1:$AH$15,33,FALSE))</f>
        <v/>
      </c>
      <c r="N17" s="289" t="str">
        <f t="shared" si="2"/>
        <v/>
      </c>
      <c r="O17" s="32"/>
      <c r="P17" s="432"/>
      <c r="Q17" s="138"/>
      <c r="R17" s="306" t="str">
        <f t="shared" si="3"/>
        <v/>
      </c>
      <c r="S17" s="306" t="str">
        <f t="shared" si="4"/>
        <v/>
      </c>
      <c r="T17" s="306" t="str">
        <f t="shared" si="5"/>
        <v/>
      </c>
      <c r="U17" s="327" t="str">
        <f t="shared" si="6"/>
        <v/>
      </c>
      <c r="V17" s="105"/>
      <c r="W17" s="104"/>
      <c r="X17" s="104"/>
      <c r="AE17" s="107" t="str">
        <f t="shared" si="0"/>
        <v/>
      </c>
      <c r="AF17" s="107" t="str">
        <f t="shared" si="1"/>
        <v/>
      </c>
      <c r="AH17" s="107">
        <v>8</v>
      </c>
      <c r="AJ17" s="107" t="str">
        <f t="array" ref="AJ17">IFERROR(INDEX($AH$10:$AH$258,MATCH(0,IF(TRUE=$AE$10:$AE$258,COUNTIF($AJ$9:$AJ16,$AH$10:$AH$258),""),0)),"")</f>
        <v/>
      </c>
      <c r="AK17" s="107" t="str">
        <f t="array" ref="AK17">IFERROR(INDEX($AH$10:$AH$258,MATCH(0,IF(TRUE=$AF$10:$AF$258,COUNTIF($AK$9:$AK16,$AH$10:$AH$258),""),0)),"")</f>
        <v/>
      </c>
      <c r="AL17" s="30" t="str">
        <f>IFERROR(INDEX('G-6 Hedgerow Data'!$BJ$3:$BJ$15,MATCH(D17,'G-6 Hedgerow Data'!$B$3:$B$15,0)),"")</f>
        <v/>
      </c>
    </row>
    <row r="18" spans="2:38" ht="14" hidden="1">
      <c r="B18" s="97">
        <v>9</v>
      </c>
      <c r="C18" s="138"/>
      <c r="D18" s="133"/>
      <c r="E18" s="115"/>
      <c r="F18" s="323" t="str">
        <f>IF(D18="","",VLOOKUP(D18,'G-6 Hedgerow Data'!$B$2:$AG$15,2,FALSE))</f>
        <v/>
      </c>
      <c r="G18" s="276" t="str">
        <f>IF(D18="","",VLOOKUP(D18,'G-6 Hedgerow Data'!$B$2:$AG$15,3,FALSE))</f>
        <v/>
      </c>
      <c r="H18" s="101"/>
      <c r="I18" s="276" t="str">
        <f>IFERROR(IF(AND(D18&lt;&gt;"",H18=""),"Check data ⚠",IF(H18="","",IF(AND(D18="Non-native and ornamental hedgerow",H18&lt;&gt;"Poor"),"Not possible ▲",(VLOOKUP(H18,'G-1 All Habitats'!$Z$2:$AA$9,2,FALSE))))),"")</f>
        <v/>
      </c>
      <c r="J18" s="101"/>
      <c r="K18" s="283" t="str">
        <f>IF(AND(D18&lt;&gt;"",J18=""),"Check data ⚠",IF(J18="","",IF(VLOOKUP(J18,'G-3 Multipliers'!$L$3:$N$6,2,FALSE)=0,"Spatial Data Missing",VLOOKUP(J18,'G-3 Multipliers'!$L$3:$N$6,2,FALSE))))</f>
        <v/>
      </c>
      <c r="L18" s="281" t="str">
        <f>IF(J18="","",IF(VLOOKUP(J18,'G-3 Multipliers'!$L$3:$N$6,3,FALSE)=0,"Spatial Data Missing ⚠",VLOOKUP(J18,'G-3 Multipliers'!$L$3:$N$6,3,FALSE)))</f>
        <v/>
      </c>
      <c r="M18" s="282" t="str">
        <f>IF(D18="","",VLOOKUP(D18,'G-6 Hedgerow Data'!$B$1:$AH$15,33,FALSE))</f>
        <v/>
      </c>
      <c r="N18" s="289" t="str">
        <f t="shared" si="2"/>
        <v/>
      </c>
      <c r="O18" s="32"/>
      <c r="P18" s="432"/>
      <c r="Q18" s="138"/>
      <c r="R18" s="306" t="str">
        <f t="shared" si="3"/>
        <v/>
      </c>
      <c r="S18" s="306" t="str">
        <f t="shared" si="4"/>
        <v/>
      </c>
      <c r="T18" s="306" t="str">
        <f t="shared" si="5"/>
        <v/>
      </c>
      <c r="U18" s="327" t="str">
        <f t="shared" si="6"/>
        <v/>
      </c>
      <c r="V18" s="105"/>
      <c r="W18" s="104"/>
      <c r="X18" s="104"/>
      <c r="AE18" s="107" t="str">
        <f t="shared" si="0"/>
        <v/>
      </c>
      <c r="AF18" s="107" t="str">
        <f t="shared" si="1"/>
        <v/>
      </c>
      <c r="AH18" s="107">
        <v>9</v>
      </c>
      <c r="AJ18" s="107" t="str">
        <f t="array" ref="AJ18">IFERROR(INDEX($AH$10:$AH$258,MATCH(0,IF(TRUE=$AE$10:$AE$258,COUNTIF($AJ$9:$AJ17,$AH$10:$AH$258),""),0)),"")</f>
        <v/>
      </c>
      <c r="AK18" s="107" t="str">
        <f t="array" ref="AK18">IFERROR(INDEX($AH$10:$AH$258,MATCH(0,IF(TRUE=$AF$10:$AF$258,COUNTIF($AK$9:$AK17,$AH$10:$AH$258),""),0)),"")</f>
        <v/>
      </c>
      <c r="AL18" s="30" t="str">
        <f>IFERROR(INDEX('G-6 Hedgerow Data'!$BJ$3:$BJ$15,MATCH(D18,'G-6 Hedgerow Data'!$B$3:$B$15,0)),"")</f>
        <v/>
      </c>
    </row>
    <row r="19" spans="2:38" ht="14" hidden="1">
      <c r="B19" s="97">
        <v>10</v>
      </c>
      <c r="C19" s="138"/>
      <c r="D19" s="133"/>
      <c r="E19" s="115"/>
      <c r="F19" s="323" t="str">
        <f>IF(D19="","",VLOOKUP(D19,'G-6 Hedgerow Data'!$B$2:$AG$15,2,FALSE))</f>
        <v/>
      </c>
      <c r="G19" s="276" t="str">
        <f>IF(D19="","",VLOOKUP(D19,'G-6 Hedgerow Data'!$B$2:$AG$15,3,FALSE))</f>
        <v/>
      </c>
      <c r="H19" s="101"/>
      <c r="I19" s="276" t="str">
        <f>IFERROR(IF(AND(D19&lt;&gt;"",H19=""),"Check data ⚠",IF(H19="","",IF(AND(D19="Non-native and ornamental hedgerow",H19&lt;&gt;"Poor"),"Not possible ▲",(VLOOKUP(H19,'G-1 All Habitats'!$Z$2:$AA$9,2,FALSE))))),"")</f>
        <v/>
      </c>
      <c r="J19" s="101"/>
      <c r="K19" s="283" t="str">
        <f>IF(AND(D19&lt;&gt;"",J19=""),"Check data ⚠",IF(J19="","",IF(VLOOKUP(J19,'G-3 Multipliers'!$L$3:$N$6,2,FALSE)=0,"Spatial Data Missing",VLOOKUP(J19,'G-3 Multipliers'!$L$3:$N$6,2,FALSE))))</f>
        <v/>
      </c>
      <c r="L19" s="281" t="str">
        <f>IF(J19="","",IF(VLOOKUP(J19,'G-3 Multipliers'!$L$3:$N$6,3,FALSE)=0,"Spatial Data Missing ⚠",VLOOKUP(J19,'G-3 Multipliers'!$L$3:$N$6,3,FALSE)))</f>
        <v/>
      </c>
      <c r="M19" s="282" t="str">
        <f>IF(D19="","",VLOOKUP(D19,'G-6 Hedgerow Data'!$B$1:$AH$15,33,FALSE))</f>
        <v/>
      </c>
      <c r="N19" s="289" t="str">
        <f t="shared" si="2"/>
        <v/>
      </c>
      <c r="O19" s="32"/>
      <c r="P19" s="432"/>
      <c r="Q19" s="138"/>
      <c r="R19" s="306" t="str">
        <f t="shared" si="3"/>
        <v/>
      </c>
      <c r="S19" s="306" t="str">
        <f t="shared" si="4"/>
        <v/>
      </c>
      <c r="T19" s="306" t="str">
        <f t="shared" si="5"/>
        <v/>
      </c>
      <c r="U19" s="327" t="str">
        <f t="shared" si="6"/>
        <v/>
      </c>
      <c r="V19" s="105"/>
      <c r="W19" s="104"/>
      <c r="X19" s="104"/>
      <c r="AE19" s="107" t="str">
        <f t="shared" si="0"/>
        <v/>
      </c>
      <c r="AF19" s="107" t="str">
        <f t="shared" si="1"/>
        <v/>
      </c>
      <c r="AH19" s="107">
        <v>10</v>
      </c>
      <c r="AJ19" s="107" t="str">
        <f t="array" ref="AJ19">IFERROR(INDEX($AH$10:$AH$258,MATCH(0,IF(TRUE=$AE$10:$AE$258,COUNTIF($AJ$9:$AJ18,$AH$10:$AH$258),""),0)),"")</f>
        <v/>
      </c>
      <c r="AK19" s="107" t="str">
        <f t="array" ref="AK19">IFERROR(INDEX($AH$10:$AH$258,MATCH(0,IF(TRUE=$AF$10:$AF$258,COUNTIF($AK$9:$AK18,$AH$10:$AH$258),""),0)),"")</f>
        <v/>
      </c>
      <c r="AL19" s="30" t="str">
        <f>IFERROR(INDEX('G-6 Hedgerow Data'!$BJ$3:$BJ$15,MATCH(D19,'G-6 Hedgerow Data'!$B$3:$B$15,0)),"")</f>
        <v/>
      </c>
    </row>
    <row r="20" spans="2:38" ht="14" hidden="1">
      <c r="B20" s="97">
        <v>11</v>
      </c>
      <c r="C20" s="138"/>
      <c r="D20" s="133"/>
      <c r="E20" s="115"/>
      <c r="F20" s="323" t="str">
        <f>IF(D20="","",VLOOKUP(D20,'G-6 Hedgerow Data'!$B$2:$AG$15,2,FALSE))</f>
        <v/>
      </c>
      <c r="G20" s="276" t="str">
        <f>IF(D20="","",VLOOKUP(D20,'G-6 Hedgerow Data'!$B$2:$AG$15,3,FALSE))</f>
        <v/>
      </c>
      <c r="H20" s="101"/>
      <c r="I20" s="276" t="str">
        <f>IFERROR(IF(AND(D20&lt;&gt;"",H20=""),"Check data ⚠",IF(H20="","",IF(AND(D20="Non-native and ornamental hedgerow",H20&lt;&gt;"Poor"),"Not possible ▲",(VLOOKUP(H20,'G-1 All Habitats'!$Z$2:$AA$9,2,FALSE))))),"")</f>
        <v/>
      </c>
      <c r="J20" s="101"/>
      <c r="K20" s="283" t="str">
        <f>IF(AND(D20&lt;&gt;"",J20=""),"Check data ⚠",IF(J20="","",IF(VLOOKUP(J20,'G-3 Multipliers'!$L$3:$N$6,2,FALSE)=0,"Spatial Data Missing",VLOOKUP(J20,'G-3 Multipliers'!$L$3:$N$6,2,FALSE))))</f>
        <v/>
      </c>
      <c r="L20" s="281" t="str">
        <f>IF(J20="","",IF(VLOOKUP(J20,'G-3 Multipliers'!$L$3:$N$6,3,FALSE)=0,"Spatial Data Missing ⚠",VLOOKUP(J20,'G-3 Multipliers'!$L$3:$N$6,3,FALSE)))</f>
        <v/>
      </c>
      <c r="M20" s="282" t="str">
        <f>IF(D20="","",VLOOKUP(D20,'G-6 Hedgerow Data'!$B$1:$AH$15,33,FALSE))</f>
        <v/>
      </c>
      <c r="N20" s="289" t="str">
        <f t="shared" si="2"/>
        <v/>
      </c>
      <c r="O20" s="32"/>
      <c r="P20" s="432"/>
      <c r="Q20" s="138"/>
      <c r="R20" s="306" t="str">
        <f t="shared" si="3"/>
        <v/>
      </c>
      <c r="S20" s="306" t="str">
        <f t="shared" si="4"/>
        <v/>
      </c>
      <c r="T20" s="306" t="str">
        <f t="shared" si="5"/>
        <v/>
      </c>
      <c r="U20" s="327" t="str">
        <f t="shared" si="6"/>
        <v/>
      </c>
      <c r="V20" s="105"/>
      <c r="W20" s="104"/>
      <c r="X20" s="104"/>
      <c r="AE20" s="107" t="str">
        <f t="shared" si="0"/>
        <v/>
      </c>
      <c r="AF20" s="107" t="str">
        <f t="shared" si="1"/>
        <v/>
      </c>
      <c r="AH20" s="107">
        <v>11</v>
      </c>
      <c r="AJ20" s="107" t="str">
        <f t="array" ref="AJ20">IFERROR(INDEX($AH$10:$AH$258,MATCH(0,IF(TRUE=$AE$10:$AE$258,COUNTIF($AJ$9:$AJ19,$AH$10:$AH$258),""),0)),"")</f>
        <v/>
      </c>
      <c r="AK20" s="107" t="str">
        <f t="array" ref="AK20">IFERROR(INDEX($AH$10:$AH$258,MATCH(0,IF(TRUE=$AF$10:$AF$258,COUNTIF($AK$9:$AK19,$AH$10:$AH$258),""),0)),"")</f>
        <v/>
      </c>
      <c r="AL20" s="30" t="str">
        <f>IFERROR(INDEX('G-6 Hedgerow Data'!$BJ$3:$BJ$15,MATCH(D20,'G-6 Hedgerow Data'!$B$3:$B$15,0)),"")</f>
        <v/>
      </c>
    </row>
    <row r="21" spans="2:38" ht="14" hidden="1">
      <c r="B21" s="97">
        <v>12</v>
      </c>
      <c r="C21" s="138"/>
      <c r="D21" s="133"/>
      <c r="E21" s="115"/>
      <c r="F21" s="323" t="str">
        <f>IF(D21="","",VLOOKUP(D21,'G-6 Hedgerow Data'!$B$2:$AG$15,2,FALSE))</f>
        <v/>
      </c>
      <c r="G21" s="276" t="str">
        <f>IF(D21="","",VLOOKUP(D21,'G-6 Hedgerow Data'!$B$2:$AG$15,3,FALSE))</f>
        <v/>
      </c>
      <c r="H21" s="101"/>
      <c r="I21" s="276" t="str">
        <f>IFERROR(IF(AND(D21&lt;&gt;"",H21=""),"Check data ⚠",IF(H21="","",IF(AND(D21="Non-native and ornamental hedgerow",H21&lt;&gt;"Poor"),"Not possible ▲",(VLOOKUP(H21,'G-1 All Habitats'!$Z$2:$AA$9,2,FALSE))))),"")</f>
        <v/>
      </c>
      <c r="J21" s="101"/>
      <c r="K21" s="283" t="str">
        <f>IF(AND(D21&lt;&gt;"",J21=""),"Check data ⚠",IF(J21="","",IF(VLOOKUP(J21,'G-3 Multipliers'!$L$3:$N$6,2,FALSE)=0,"Spatial Data Missing",VLOOKUP(J21,'G-3 Multipliers'!$L$3:$N$6,2,FALSE))))</f>
        <v/>
      </c>
      <c r="L21" s="281" t="str">
        <f>IF(J21="","",IF(VLOOKUP(J21,'G-3 Multipliers'!$L$3:$N$6,3,FALSE)=0,"Spatial Data Missing ⚠",VLOOKUP(J21,'G-3 Multipliers'!$L$3:$N$6,3,FALSE)))</f>
        <v/>
      </c>
      <c r="M21" s="282" t="str">
        <f>IF(D21="","",VLOOKUP(D21,'G-6 Hedgerow Data'!$B$1:$AH$15,33,FALSE))</f>
        <v/>
      </c>
      <c r="N21" s="289" t="str">
        <f t="shared" si="2"/>
        <v/>
      </c>
      <c r="O21" s="32"/>
      <c r="P21" s="432"/>
      <c r="Q21" s="138"/>
      <c r="R21" s="306" t="str">
        <f t="shared" si="3"/>
        <v/>
      </c>
      <c r="S21" s="306" t="str">
        <f t="shared" si="4"/>
        <v/>
      </c>
      <c r="T21" s="306" t="str">
        <f t="shared" si="5"/>
        <v/>
      </c>
      <c r="U21" s="327" t="str">
        <f t="shared" si="6"/>
        <v/>
      </c>
      <c r="V21" s="105"/>
      <c r="W21" s="104"/>
      <c r="X21" s="104"/>
      <c r="AE21" s="107" t="str">
        <f t="shared" si="0"/>
        <v/>
      </c>
      <c r="AF21" s="107" t="str">
        <f t="shared" si="1"/>
        <v/>
      </c>
      <c r="AH21" s="107">
        <v>12</v>
      </c>
      <c r="AJ21" s="107" t="str">
        <f t="array" ref="AJ21">IFERROR(INDEX($AH$10:$AH$258,MATCH(0,IF(TRUE=$AE$10:$AE$258,COUNTIF($AJ$9:$AJ20,$AH$10:$AH$258),""),0)),"")</f>
        <v/>
      </c>
      <c r="AK21" s="107" t="str">
        <f t="array" ref="AK21">IFERROR(INDEX($AH$10:$AH$258,MATCH(0,IF(TRUE=$AF$10:$AF$258,COUNTIF($AK$9:$AK20,$AH$10:$AH$258),""),0)),"")</f>
        <v/>
      </c>
      <c r="AL21" s="30" t="str">
        <f>IFERROR(INDEX('G-6 Hedgerow Data'!$BJ$3:$BJ$15,MATCH(D21,'G-6 Hedgerow Data'!$B$3:$B$15,0)),"")</f>
        <v/>
      </c>
    </row>
    <row r="22" spans="2:38" ht="14" hidden="1">
      <c r="B22" s="97">
        <v>13</v>
      </c>
      <c r="C22" s="138"/>
      <c r="D22" s="133"/>
      <c r="E22" s="115"/>
      <c r="F22" s="323" t="str">
        <f>IF(D22="","",VLOOKUP(D22,'G-6 Hedgerow Data'!$B$2:$AG$15,2,FALSE))</f>
        <v/>
      </c>
      <c r="G22" s="276" t="str">
        <f>IF(D22="","",VLOOKUP(D22,'G-6 Hedgerow Data'!$B$2:$AG$15,3,FALSE))</f>
        <v/>
      </c>
      <c r="H22" s="101"/>
      <c r="I22" s="276" t="str">
        <f>IFERROR(IF(AND(D22&lt;&gt;"",H22=""),"Check data ⚠",IF(H22="","",IF(AND(D22="Non-native and ornamental hedgerow",H22&lt;&gt;"Poor"),"Not possible ▲",(VLOOKUP(H22,'G-1 All Habitats'!$Z$2:$AA$9,2,FALSE))))),"")</f>
        <v/>
      </c>
      <c r="J22" s="101"/>
      <c r="K22" s="283" t="str">
        <f>IF(AND(D22&lt;&gt;"",J22=""),"Check data ⚠",IF(J22="","",IF(VLOOKUP(J22,'G-3 Multipliers'!$L$3:$N$6,2,FALSE)=0,"Spatial Data Missing",VLOOKUP(J22,'G-3 Multipliers'!$L$3:$N$6,2,FALSE))))</f>
        <v/>
      </c>
      <c r="L22" s="281" t="str">
        <f>IF(J22="","",IF(VLOOKUP(J22,'G-3 Multipliers'!$L$3:$N$6,3,FALSE)=0,"Spatial Data Missing ⚠",VLOOKUP(J22,'G-3 Multipliers'!$L$3:$N$6,3,FALSE)))</f>
        <v/>
      </c>
      <c r="M22" s="282" t="str">
        <f>IF(D22="","",VLOOKUP(D22,'G-6 Hedgerow Data'!$B$1:$AH$15,33,FALSE))</f>
        <v/>
      </c>
      <c r="N22" s="289" t="str">
        <f t="shared" si="2"/>
        <v/>
      </c>
      <c r="O22" s="32"/>
      <c r="P22" s="432"/>
      <c r="Q22" s="138"/>
      <c r="R22" s="306" t="str">
        <f t="shared" si="3"/>
        <v/>
      </c>
      <c r="S22" s="306" t="str">
        <f t="shared" si="4"/>
        <v/>
      </c>
      <c r="T22" s="306" t="str">
        <f t="shared" si="5"/>
        <v/>
      </c>
      <c r="U22" s="327" t="str">
        <f t="shared" si="6"/>
        <v/>
      </c>
      <c r="V22" s="105"/>
      <c r="W22" s="104"/>
      <c r="X22" s="104"/>
      <c r="AE22" s="107" t="str">
        <f t="shared" si="0"/>
        <v/>
      </c>
      <c r="AF22" s="107" t="str">
        <f t="shared" si="1"/>
        <v/>
      </c>
      <c r="AH22" s="107">
        <v>13</v>
      </c>
      <c r="AJ22" s="107" t="str">
        <f t="array" ref="AJ22">IFERROR(INDEX($AH$10:$AH$258,MATCH(0,IF(TRUE=$AE$10:$AE$258,COUNTIF($AJ$9:$AJ21,$AH$10:$AH$258),""),0)),"")</f>
        <v/>
      </c>
      <c r="AK22" s="107" t="str">
        <f t="array" ref="AK22">IFERROR(INDEX($AH$10:$AH$258,MATCH(0,IF(TRUE=$AF$10:$AF$258,COUNTIF($AK$9:$AK21,$AH$10:$AH$258),""),0)),"")</f>
        <v/>
      </c>
      <c r="AL22" s="30" t="str">
        <f>IFERROR(INDEX('G-6 Hedgerow Data'!$BJ$3:$BJ$15,MATCH(D22,'G-6 Hedgerow Data'!$B$3:$B$15,0)),"")</f>
        <v/>
      </c>
    </row>
    <row r="23" spans="2:38" ht="14" hidden="1">
      <c r="B23" s="97">
        <v>14</v>
      </c>
      <c r="C23" s="138"/>
      <c r="D23" s="58"/>
      <c r="E23" s="115"/>
      <c r="F23" s="323" t="str">
        <f>IF(D23="","",VLOOKUP(D23,'G-6 Hedgerow Data'!$B$2:$AG$15,2,FALSE))</f>
        <v/>
      </c>
      <c r="G23" s="276" t="str">
        <f>IF(D23="","",VLOOKUP(D23,'G-6 Hedgerow Data'!$B$2:$AG$15,3,FALSE))</f>
        <v/>
      </c>
      <c r="H23" s="101"/>
      <c r="I23" s="276" t="str">
        <f>IFERROR(IF(AND(D23&lt;&gt;"",H23=""),"Check data ⚠",IF(H23="","",IF(AND(D23="Non-native and ornamental hedgerow",H23&lt;&gt;"Poor"),"Not possible ▲",(VLOOKUP(H23,'G-1 All Habitats'!$Z$2:$AA$9,2,FALSE))))),"")</f>
        <v/>
      </c>
      <c r="J23" s="101"/>
      <c r="K23" s="283" t="str">
        <f>IF(AND(D23&lt;&gt;"",J23=""),"Check data ⚠",IF(J23="","",IF(VLOOKUP(J23,'G-3 Multipliers'!$L$3:$N$6,2,FALSE)=0,"Spatial Data Missing",VLOOKUP(J23,'G-3 Multipliers'!$L$3:$N$6,2,FALSE))))</f>
        <v/>
      </c>
      <c r="L23" s="281" t="str">
        <f>IF(J23="","",IF(VLOOKUP(J23,'G-3 Multipliers'!$L$3:$N$6,3,FALSE)=0,"Spatial Data Missing ⚠",VLOOKUP(J23,'G-3 Multipliers'!$L$3:$N$6,3,FALSE)))</f>
        <v/>
      </c>
      <c r="M23" s="282" t="str">
        <f>IF(D23="","",VLOOKUP(D23,'G-6 Hedgerow Data'!$B$1:$AH$15,33,FALSE))</f>
        <v/>
      </c>
      <c r="N23" s="289" t="str">
        <f t="shared" si="2"/>
        <v/>
      </c>
      <c r="O23" s="32"/>
      <c r="P23" s="432"/>
      <c r="Q23" s="138"/>
      <c r="R23" s="306" t="str">
        <f t="shared" si="3"/>
        <v/>
      </c>
      <c r="S23" s="306" t="str">
        <f t="shared" si="4"/>
        <v/>
      </c>
      <c r="T23" s="306" t="str">
        <f t="shared" si="5"/>
        <v/>
      </c>
      <c r="U23" s="327" t="str">
        <f t="shared" si="6"/>
        <v/>
      </c>
      <c r="V23" s="105"/>
      <c r="W23" s="104"/>
      <c r="X23" s="104"/>
      <c r="AE23" s="107" t="str">
        <f t="shared" si="0"/>
        <v/>
      </c>
      <c r="AF23" s="107" t="str">
        <f t="shared" si="1"/>
        <v/>
      </c>
      <c r="AH23" s="107">
        <v>14</v>
      </c>
      <c r="AJ23" s="107" t="str">
        <f t="array" ref="AJ23">IFERROR(INDEX($AH$10:$AH$258,MATCH(0,IF(TRUE=$AE$10:$AE$258,COUNTIF($AJ$9:$AJ22,$AH$10:$AH$258),""),0)),"")</f>
        <v/>
      </c>
      <c r="AK23" s="107" t="str">
        <f t="array" ref="AK23">IFERROR(INDEX($AH$10:$AH$258,MATCH(0,IF(TRUE=$AF$10:$AF$258,COUNTIF($AK$9:$AK22,$AH$10:$AH$258),""),0)),"")</f>
        <v/>
      </c>
      <c r="AL23" s="30" t="str">
        <f>IFERROR(INDEX('G-6 Hedgerow Data'!$BJ$3:$BJ$15,MATCH(D23,'G-6 Hedgerow Data'!$B$3:$B$15,0)),"")</f>
        <v/>
      </c>
    </row>
    <row r="24" spans="2:38" ht="14" hidden="1">
      <c r="B24" s="97">
        <v>15</v>
      </c>
      <c r="C24" s="138"/>
      <c r="D24" s="58"/>
      <c r="E24" s="115"/>
      <c r="F24" s="323" t="str">
        <f>IF(D24="","",VLOOKUP(D24,'G-6 Hedgerow Data'!$B$2:$AG$15,2,FALSE))</f>
        <v/>
      </c>
      <c r="G24" s="276" t="str">
        <f>IF(D24="","",VLOOKUP(D24,'G-6 Hedgerow Data'!$B$2:$AG$15,3,FALSE))</f>
        <v/>
      </c>
      <c r="H24" s="101"/>
      <c r="I24" s="276" t="str">
        <f>IFERROR(IF(AND(D24&lt;&gt;"",H24=""),"Check data ⚠",IF(H24="","",IF(AND(D24="Non-native and ornamental hedgerow",H24&lt;&gt;"Poor"),"Not possible ▲",(VLOOKUP(H24,'G-1 All Habitats'!$Z$2:$AA$9,2,FALSE))))),"")</f>
        <v/>
      </c>
      <c r="J24" s="101"/>
      <c r="K24" s="283" t="str">
        <f>IF(AND(D24&lt;&gt;"",J24=""),"Check data ⚠",IF(J24="","",IF(VLOOKUP(J24,'G-3 Multipliers'!$L$3:$N$6,2,FALSE)=0,"Spatial Data Missing",VLOOKUP(J24,'G-3 Multipliers'!$L$3:$N$6,2,FALSE))))</f>
        <v/>
      </c>
      <c r="L24" s="281" t="str">
        <f>IF(J24="","",IF(VLOOKUP(J24,'G-3 Multipliers'!$L$3:$N$6,3,FALSE)=0,"Spatial Data Missing ⚠",VLOOKUP(J24,'G-3 Multipliers'!$L$3:$N$6,3,FALSE)))</f>
        <v/>
      </c>
      <c r="M24" s="282" t="str">
        <f>IF(D24="","",VLOOKUP(D24,'G-6 Hedgerow Data'!$B$1:$AH$15,33,FALSE))</f>
        <v/>
      </c>
      <c r="N24" s="289" t="str">
        <f t="shared" si="2"/>
        <v/>
      </c>
      <c r="O24" s="32"/>
      <c r="P24" s="432"/>
      <c r="Q24" s="138"/>
      <c r="R24" s="306" t="str">
        <f t="shared" si="3"/>
        <v/>
      </c>
      <c r="S24" s="306" t="str">
        <f t="shared" si="4"/>
        <v/>
      </c>
      <c r="T24" s="306" t="str">
        <f t="shared" si="5"/>
        <v/>
      </c>
      <c r="U24" s="327" t="str">
        <f t="shared" si="6"/>
        <v/>
      </c>
      <c r="V24" s="105"/>
      <c r="W24" s="104"/>
      <c r="X24" s="104"/>
      <c r="AE24" s="107" t="str">
        <f t="shared" si="0"/>
        <v/>
      </c>
      <c r="AF24" s="107" t="str">
        <f t="shared" si="1"/>
        <v/>
      </c>
      <c r="AH24" s="107">
        <v>15</v>
      </c>
      <c r="AJ24" s="107" t="str">
        <f t="array" ref="AJ24">IFERROR(INDEX($AH$10:$AH$258,MATCH(0,IF(TRUE=$AE$10:$AE$258,COUNTIF($AJ$9:$AJ23,$AH$10:$AH$258),""),0)),"")</f>
        <v/>
      </c>
      <c r="AK24" s="107" t="str">
        <f t="array" ref="AK24">IFERROR(INDEX($AH$10:$AH$258,MATCH(0,IF(TRUE=$AF$10:$AF$258,COUNTIF($AK$9:$AK23,$AH$10:$AH$258),""),0)),"")</f>
        <v/>
      </c>
      <c r="AL24" s="30" t="str">
        <f>IFERROR(INDEX('G-6 Hedgerow Data'!$BJ$3:$BJ$15,MATCH(D24,'G-6 Hedgerow Data'!$B$3:$B$15,0)),"")</f>
        <v/>
      </c>
    </row>
    <row r="25" spans="2:38" ht="14" hidden="1">
      <c r="B25" s="97">
        <v>16</v>
      </c>
      <c r="C25" s="138"/>
      <c r="D25" s="58"/>
      <c r="E25" s="115"/>
      <c r="F25" s="323" t="str">
        <f>IF(D25="","",VLOOKUP(D25,'G-6 Hedgerow Data'!$B$2:$AG$15,2,FALSE))</f>
        <v/>
      </c>
      <c r="G25" s="276" t="str">
        <f>IF(D25="","",VLOOKUP(D25,'G-6 Hedgerow Data'!$B$2:$AG$15,3,FALSE))</f>
        <v/>
      </c>
      <c r="H25" s="101"/>
      <c r="I25" s="276" t="str">
        <f>IFERROR(IF(AND(D25&lt;&gt;"",H25=""),"Check data ⚠",IF(H25="","",IF(AND(D25="Non-native and ornamental hedgerow",H25&lt;&gt;"Poor"),"Not possible ▲",(VLOOKUP(H25,'G-1 All Habitats'!$Z$2:$AA$9,2,FALSE))))),"")</f>
        <v/>
      </c>
      <c r="J25" s="101"/>
      <c r="K25" s="283" t="str">
        <f>IF(AND(D25&lt;&gt;"",J25=""),"Check data ⚠",IF(J25="","",IF(VLOOKUP(J25,'G-3 Multipliers'!$L$3:$N$6,2,FALSE)=0,"Spatial Data Missing",VLOOKUP(J25,'G-3 Multipliers'!$L$3:$N$6,2,FALSE))))</f>
        <v/>
      </c>
      <c r="L25" s="281" t="str">
        <f>IF(J25="","",IF(VLOOKUP(J25,'G-3 Multipliers'!$L$3:$N$6,3,FALSE)=0,"Spatial Data Missing ⚠",VLOOKUP(J25,'G-3 Multipliers'!$L$3:$N$6,3,FALSE)))</f>
        <v/>
      </c>
      <c r="M25" s="282" t="str">
        <f>IF(D25="","",VLOOKUP(D25,'G-6 Hedgerow Data'!$B$1:$AH$15,33,FALSE))</f>
        <v/>
      </c>
      <c r="N25" s="289" t="str">
        <f t="shared" si="2"/>
        <v/>
      </c>
      <c r="O25" s="32"/>
      <c r="P25" s="432"/>
      <c r="Q25" s="138"/>
      <c r="R25" s="306" t="str">
        <f t="shared" si="3"/>
        <v/>
      </c>
      <c r="S25" s="306" t="str">
        <f t="shared" si="4"/>
        <v/>
      </c>
      <c r="T25" s="306" t="str">
        <f t="shared" si="5"/>
        <v/>
      </c>
      <c r="U25" s="327" t="str">
        <f t="shared" si="6"/>
        <v/>
      </c>
      <c r="V25" s="105"/>
      <c r="W25" s="104"/>
      <c r="X25" s="104"/>
      <c r="AE25" s="107" t="str">
        <f t="shared" si="0"/>
        <v/>
      </c>
      <c r="AF25" s="107" t="str">
        <f t="shared" si="1"/>
        <v/>
      </c>
      <c r="AH25" s="107">
        <v>16</v>
      </c>
      <c r="AJ25" s="107" t="str">
        <f t="array" ref="AJ25">IFERROR(INDEX($AH$10:$AH$258,MATCH(0,IF(TRUE=$AE$10:$AE$258,COUNTIF($AJ$9:$AJ24,$AH$10:$AH$258),""),0)),"")</f>
        <v/>
      </c>
      <c r="AK25" s="107" t="str">
        <f t="array" ref="AK25">IFERROR(INDEX($AH$10:$AH$258,MATCH(0,IF(TRUE=$AF$10:$AF$258,COUNTIF($AK$9:$AK24,$AH$10:$AH$258),""),0)),"")</f>
        <v/>
      </c>
      <c r="AL25" s="30" t="str">
        <f>IFERROR(INDEX('G-6 Hedgerow Data'!$BJ$3:$BJ$15,MATCH(D25,'G-6 Hedgerow Data'!$B$3:$B$15,0)),"")</f>
        <v/>
      </c>
    </row>
    <row r="26" spans="2:38" ht="14" hidden="1">
      <c r="B26" s="97">
        <v>17</v>
      </c>
      <c r="C26" s="138"/>
      <c r="D26" s="58"/>
      <c r="E26" s="115"/>
      <c r="F26" s="323" t="str">
        <f>IF(D26="","",VLOOKUP(D26,'G-6 Hedgerow Data'!$B$2:$AG$15,2,FALSE))</f>
        <v/>
      </c>
      <c r="G26" s="276" t="str">
        <f>IF(D26="","",VLOOKUP(D26,'G-6 Hedgerow Data'!$B$2:$AG$15,3,FALSE))</f>
        <v/>
      </c>
      <c r="H26" s="101"/>
      <c r="I26" s="276" t="str">
        <f>IFERROR(IF(AND(D26&lt;&gt;"",H26=""),"Check data ⚠",IF(H26="","",IF(AND(D26="Non-native and ornamental hedgerow",H26&lt;&gt;"Poor"),"Not possible ▲",(VLOOKUP(H26,'G-1 All Habitats'!$Z$2:$AA$9,2,FALSE))))),"")</f>
        <v/>
      </c>
      <c r="J26" s="101"/>
      <c r="K26" s="283" t="str">
        <f>IF(AND(D26&lt;&gt;"",J26=""),"Check data ⚠",IF(J26="","",IF(VLOOKUP(J26,'G-3 Multipliers'!$L$3:$N$6,2,FALSE)=0,"Spatial Data Missing",VLOOKUP(J26,'G-3 Multipliers'!$L$3:$N$6,2,FALSE))))</f>
        <v/>
      </c>
      <c r="L26" s="281" t="str">
        <f>IF(J26="","",IF(VLOOKUP(J26,'G-3 Multipliers'!$L$3:$N$6,3,FALSE)=0,"Spatial Data Missing ⚠",VLOOKUP(J26,'G-3 Multipliers'!$L$3:$N$6,3,FALSE)))</f>
        <v/>
      </c>
      <c r="M26" s="282" t="str">
        <f>IF(D26="","",VLOOKUP(D26,'G-6 Hedgerow Data'!$B$1:$AH$15,33,FALSE))</f>
        <v/>
      </c>
      <c r="N26" s="289" t="str">
        <f t="shared" si="2"/>
        <v/>
      </c>
      <c r="O26" s="32"/>
      <c r="P26" s="432"/>
      <c r="Q26" s="138"/>
      <c r="R26" s="306" t="str">
        <f t="shared" si="3"/>
        <v/>
      </c>
      <c r="S26" s="306" t="str">
        <f t="shared" si="4"/>
        <v/>
      </c>
      <c r="T26" s="306" t="str">
        <f t="shared" si="5"/>
        <v/>
      </c>
      <c r="U26" s="327" t="str">
        <f t="shared" si="6"/>
        <v/>
      </c>
      <c r="V26" s="105"/>
      <c r="W26" s="104"/>
      <c r="X26" s="104"/>
      <c r="AE26" s="107" t="str">
        <f t="shared" si="0"/>
        <v/>
      </c>
      <c r="AF26" s="107" t="str">
        <f t="shared" si="1"/>
        <v/>
      </c>
      <c r="AH26" s="107">
        <v>17</v>
      </c>
      <c r="AJ26" s="107" t="str">
        <f t="array" ref="AJ26">IFERROR(INDEX($AH$10:$AH$258,MATCH(0,IF(TRUE=$AE$10:$AE$258,COUNTIF($AJ$9:$AJ25,$AH$10:$AH$258),""),0)),"")</f>
        <v/>
      </c>
      <c r="AK26" s="107" t="str">
        <f t="array" ref="AK26">IFERROR(INDEX($AH$10:$AH$258,MATCH(0,IF(TRUE=$AF$10:$AF$258,COUNTIF($AK$9:$AK25,$AH$10:$AH$258),""),0)),"")</f>
        <v/>
      </c>
      <c r="AL26" s="30" t="str">
        <f>IFERROR(INDEX('G-6 Hedgerow Data'!$BJ$3:$BJ$15,MATCH(D26,'G-6 Hedgerow Data'!$B$3:$B$15,0)),"")</f>
        <v/>
      </c>
    </row>
    <row r="27" spans="2:38" ht="14" hidden="1">
      <c r="B27" s="97">
        <v>18</v>
      </c>
      <c r="C27" s="138"/>
      <c r="D27" s="133"/>
      <c r="E27" s="115"/>
      <c r="F27" s="323" t="str">
        <f>IF(D27="","",VLOOKUP(D27,'G-6 Hedgerow Data'!$B$2:$AG$15,2,FALSE))</f>
        <v/>
      </c>
      <c r="G27" s="276" t="str">
        <f>IF(D27="","",VLOOKUP(D27,'G-6 Hedgerow Data'!$B$2:$AG$15,3,FALSE))</f>
        <v/>
      </c>
      <c r="H27" s="101"/>
      <c r="I27" s="276" t="str">
        <f>IFERROR(IF(AND(D27&lt;&gt;"",H27=""),"Check data ⚠",IF(H27="","",IF(AND(D27="Non-native and ornamental hedgerow",H27&lt;&gt;"Poor"),"Not possible ▲",(VLOOKUP(H27,'G-1 All Habitats'!$Z$2:$AA$9,2,FALSE))))),"")</f>
        <v/>
      </c>
      <c r="J27" s="101"/>
      <c r="K27" s="283" t="str">
        <f>IF(AND(D27&lt;&gt;"",J27=""),"Check data ⚠",IF(J27="","",IF(VLOOKUP(J27,'G-3 Multipliers'!$L$3:$N$6,2,FALSE)=0,"Spatial Data Missing",VLOOKUP(J27,'G-3 Multipliers'!$L$3:$N$6,2,FALSE))))</f>
        <v/>
      </c>
      <c r="L27" s="281" t="str">
        <f>IF(J27="","",IF(VLOOKUP(J27,'G-3 Multipliers'!$L$3:$N$6,3,FALSE)=0,"Spatial Data Missing ⚠",VLOOKUP(J27,'G-3 Multipliers'!$L$3:$N$6,3,FALSE)))</f>
        <v/>
      </c>
      <c r="M27" s="282" t="str">
        <f>IF(D27="","",VLOOKUP(D27,'G-6 Hedgerow Data'!$B$1:$AH$15,33,FALSE))</f>
        <v/>
      </c>
      <c r="N27" s="289" t="str">
        <f t="shared" si="2"/>
        <v/>
      </c>
      <c r="O27" s="32"/>
      <c r="P27" s="432"/>
      <c r="Q27" s="138"/>
      <c r="R27" s="306" t="str">
        <f t="shared" si="3"/>
        <v/>
      </c>
      <c r="S27" s="306" t="str">
        <f t="shared" si="4"/>
        <v/>
      </c>
      <c r="T27" s="306" t="str">
        <f t="shared" si="5"/>
        <v/>
      </c>
      <c r="U27" s="327" t="str">
        <f t="shared" si="6"/>
        <v/>
      </c>
      <c r="V27" s="105"/>
      <c r="W27" s="104"/>
      <c r="X27" s="104"/>
      <c r="AE27" s="107" t="str">
        <f t="shared" si="0"/>
        <v/>
      </c>
      <c r="AF27" s="107" t="str">
        <f t="shared" si="1"/>
        <v/>
      </c>
      <c r="AH27" s="107">
        <v>18</v>
      </c>
      <c r="AJ27" s="107" t="str">
        <f t="array" ref="AJ27">IFERROR(INDEX($AH$10:$AH$258,MATCH(0,IF(TRUE=$AE$10:$AE$258,COUNTIF($AJ$9:$AJ26,$AH$10:$AH$258),""),0)),"")</f>
        <v/>
      </c>
      <c r="AK27" s="107" t="str">
        <f t="array" ref="AK27">IFERROR(INDEX($AH$10:$AH$258,MATCH(0,IF(TRUE=$AF$10:$AF$258,COUNTIF($AK$9:$AK26,$AH$10:$AH$258),""),0)),"")</f>
        <v/>
      </c>
      <c r="AL27" s="30" t="str">
        <f>IFERROR(INDEX('G-6 Hedgerow Data'!$BJ$3:$BJ$15,MATCH(D27,'G-6 Hedgerow Data'!$B$3:$B$15,0)),"")</f>
        <v/>
      </c>
    </row>
    <row r="28" spans="2:38" ht="14" hidden="1">
      <c r="B28" s="97">
        <v>19</v>
      </c>
      <c r="C28" s="138"/>
      <c r="D28" s="133"/>
      <c r="E28" s="115"/>
      <c r="F28" s="323" t="str">
        <f>IF(D28="","",VLOOKUP(D28,'G-6 Hedgerow Data'!$B$2:$AG$15,2,FALSE))</f>
        <v/>
      </c>
      <c r="G28" s="276" t="str">
        <f>IF(D28="","",VLOOKUP(D28,'G-6 Hedgerow Data'!$B$2:$AG$15,3,FALSE))</f>
        <v/>
      </c>
      <c r="H28" s="101"/>
      <c r="I28" s="276" t="str">
        <f>IFERROR(IF(AND(D28&lt;&gt;"",H28=""),"Check data ⚠",IF(H28="","",IF(AND(D28="Non-native and ornamental hedgerow",H28&lt;&gt;"Poor"),"Not possible ▲",(VLOOKUP(H28,'G-1 All Habitats'!$Z$2:$AA$9,2,FALSE))))),"")</f>
        <v/>
      </c>
      <c r="J28" s="101"/>
      <c r="K28" s="283" t="str">
        <f>IF(AND(D28&lt;&gt;"",J28=""),"Check data ⚠",IF(J28="","",IF(VLOOKUP(J28,'G-3 Multipliers'!$L$3:$N$6,2,FALSE)=0,"Spatial Data Missing",VLOOKUP(J28,'G-3 Multipliers'!$L$3:$N$6,2,FALSE))))</f>
        <v/>
      </c>
      <c r="L28" s="281" t="str">
        <f>IF(J28="","",IF(VLOOKUP(J28,'G-3 Multipliers'!$L$3:$N$6,3,FALSE)=0,"Spatial Data Missing ⚠",VLOOKUP(J28,'G-3 Multipliers'!$L$3:$N$6,3,FALSE)))</f>
        <v/>
      </c>
      <c r="M28" s="282" t="str">
        <f>IF(D28="","",VLOOKUP(D28,'G-6 Hedgerow Data'!$B$1:$AH$15,33,FALSE))</f>
        <v/>
      </c>
      <c r="N28" s="289" t="str">
        <f t="shared" si="2"/>
        <v/>
      </c>
      <c r="O28" s="32"/>
      <c r="P28" s="432"/>
      <c r="Q28" s="138"/>
      <c r="R28" s="306" t="str">
        <f t="shared" si="3"/>
        <v/>
      </c>
      <c r="S28" s="306" t="str">
        <f t="shared" si="4"/>
        <v/>
      </c>
      <c r="T28" s="306" t="str">
        <f t="shared" si="5"/>
        <v/>
      </c>
      <c r="U28" s="327" t="str">
        <f t="shared" si="6"/>
        <v/>
      </c>
      <c r="V28" s="105"/>
      <c r="W28" s="104"/>
      <c r="X28" s="104"/>
      <c r="AE28" s="107" t="str">
        <f t="shared" si="0"/>
        <v/>
      </c>
      <c r="AF28" s="107" t="str">
        <f t="shared" si="1"/>
        <v/>
      </c>
      <c r="AH28" s="107">
        <v>19</v>
      </c>
      <c r="AJ28" s="107" t="str">
        <f t="array" ref="AJ28">IFERROR(INDEX($AH$10:$AH$258,MATCH(0,IF(TRUE=$AE$10:$AE$258,COUNTIF($AJ$9:$AJ27,$AH$10:$AH$258),""),0)),"")</f>
        <v/>
      </c>
      <c r="AK28" s="107" t="str">
        <f t="array" ref="AK28">IFERROR(INDEX($AH$10:$AH$258,MATCH(0,IF(TRUE=$AF$10:$AF$258,COUNTIF($AK$9:$AK27,$AH$10:$AH$258),""),0)),"")</f>
        <v/>
      </c>
      <c r="AL28" s="30" t="str">
        <f>IFERROR(INDEX('G-6 Hedgerow Data'!$BJ$3:$BJ$15,MATCH(D28,'G-6 Hedgerow Data'!$B$3:$B$15,0)),"")</f>
        <v/>
      </c>
    </row>
    <row r="29" spans="2:38" ht="14" hidden="1">
      <c r="B29" s="97">
        <v>20</v>
      </c>
      <c r="C29" s="138"/>
      <c r="D29" s="133"/>
      <c r="E29" s="115"/>
      <c r="F29" s="323" t="str">
        <f>IF(D29="","",VLOOKUP(D29,'G-6 Hedgerow Data'!$B$2:$AG$15,2,FALSE))</f>
        <v/>
      </c>
      <c r="G29" s="276" t="str">
        <f>IF(D29="","",VLOOKUP(D29,'G-6 Hedgerow Data'!$B$2:$AG$15,3,FALSE))</f>
        <v/>
      </c>
      <c r="H29" s="101"/>
      <c r="I29" s="276" t="str">
        <f>IFERROR(IF(AND(D29&lt;&gt;"",H29=""),"Check data ⚠",IF(H29="","",IF(AND(D29="Non-native and ornamental hedgerow",H29&lt;&gt;"Poor"),"Not possible ▲",(VLOOKUP(H29,'G-1 All Habitats'!$Z$2:$AA$9,2,FALSE))))),"")</f>
        <v/>
      </c>
      <c r="J29" s="101"/>
      <c r="K29" s="283" t="str">
        <f>IF(AND(D29&lt;&gt;"",J29=""),"Check data ⚠",IF(J29="","",IF(VLOOKUP(J29,'G-3 Multipliers'!$L$3:$N$6,2,FALSE)=0,"Spatial Data Missing",VLOOKUP(J29,'G-3 Multipliers'!$L$3:$N$6,2,FALSE))))</f>
        <v/>
      </c>
      <c r="L29" s="281" t="str">
        <f>IF(J29="","",IF(VLOOKUP(J29,'G-3 Multipliers'!$L$3:$N$6,3,FALSE)=0,"Spatial Data Missing ⚠",VLOOKUP(J29,'G-3 Multipliers'!$L$3:$N$6,3,FALSE)))</f>
        <v/>
      </c>
      <c r="M29" s="282" t="str">
        <f>IF(D29="","",VLOOKUP(D29,'G-6 Hedgerow Data'!$B$1:$AH$15,33,FALSE))</f>
        <v/>
      </c>
      <c r="N29" s="289" t="str">
        <f t="shared" si="2"/>
        <v/>
      </c>
      <c r="O29" s="32"/>
      <c r="P29" s="432"/>
      <c r="Q29" s="138"/>
      <c r="R29" s="306" t="str">
        <f t="shared" si="3"/>
        <v/>
      </c>
      <c r="S29" s="306" t="str">
        <f t="shared" si="4"/>
        <v/>
      </c>
      <c r="T29" s="306" t="str">
        <f t="shared" si="5"/>
        <v/>
      </c>
      <c r="U29" s="327" t="str">
        <f t="shared" si="6"/>
        <v/>
      </c>
      <c r="V29" s="105"/>
      <c r="W29" s="104"/>
      <c r="X29" s="104"/>
      <c r="AE29" s="107" t="str">
        <f t="shared" si="0"/>
        <v/>
      </c>
      <c r="AF29" s="107" t="str">
        <f t="shared" si="1"/>
        <v/>
      </c>
      <c r="AH29" s="107">
        <v>20</v>
      </c>
      <c r="AJ29" s="107" t="str">
        <f t="array" ref="AJ29">IFERROR(INDEX($AH$10:$AH$258,MATCH(0,IF(TRUE=$AE$10:$AE$258,COUNTIF($AJ$9:$AJ28,$AH$10:$AH$258),""),0)),"")</f>
        <v/>
      </c>
      <c r="AK29" s="107" t="str">
        <f t="array" ref="AK29">IFERROR(INDEX($AH$10:$AH$258,MATCH(0,IF(TRUE=$AF$10:$AF$258,COUNTIF($AK$9:$AK28,$AH$10:$AH$258),""),0)),"")</f>
        <v/>
      </c>
      <c r="AL29" s="30" t="str">
        <f>IFERROR(INDEX('G-6 Hedgerow Data'!$BJ$3:$BJ$15,MATCH(D29,'G-6 Hedgerow Data'!$B$3:$B$15,0)),"")</f>
        <v/>
      </c>
    </row>
    <row r="30" spans="2:38" ht="14" hidden="1">
      <c r="B30" s="97">
        <v>21</v>
      </c>
      <c r="C30" s="138"/>
      <c r="D30" s="133"/>
      <c r="E30" s="115"/>
      <c r="F30" s="323" t="str">
        <f>IF(D30="","",VLOOKUP(D30,'G-6 Hedgerow Data'!$B$2:$AG$15,2,FALSE))</f>
        <v/>
      </c>
      <c r="G30" s="276" t="str">
        <f>IF(D30="","",VLOOKUP(D30,'G-6 Hedgerow Data'!$B$2:$AG$15,3,FALSE))</f>
        <v/>
      </c>
      <c r="H30" s="101"/>
      <c r="I30" s="276" t="str">
        <f>IFERROR(IF(AND(D30&lt;&gt;"",H30=""),"Check data ⚠",IF(H30="","",IF(AND(D30="Non-native and ornamental hedgerow",H30&lt;&gt;"Poor"),"Not possible ▲",(VLOOKUP(H30,'G-1 All Habitats'!$Z$2:$AA$9,2,FALSE))))),"")</f>
        <v/>
      </c>
      <c r="J30" s="101"/>
      <c r="K30" s="283" t="str">
        <f>IF(AND(D30&lt;&gt;"",J30=""),"Check data ⚠",IF(J30="","",IF(VLOOKUP(J30,'G-3 Multipliers'!$L$3:$N$6,2,FALSE)=0,"Spatial Data Missing",VLOOKUP(J30,'G-3 Multipliers'!$L$3:$N$6,2,FALSE))))</f>
        <v/>
      </c>
      <c r="L30" s="281" t="str">
        <f>IF(J30="","",IF(VLOOKUP(J30,'G-3 Multipliers'!$L$3:$N$6,3,FALSE)=0,"Spatial Data Missing ⚠",VLOOKUP(J30,'G-3 Multipliers'!$L$3:$N$6,3,FALSE)))</f>
        <v/>
      </c>
      <c r="M30" s="282" t="str">
        <f>IF(D30="","",VLOOKUP(D30,'G-6 Hedgerow Data'!$B$1:$AH$15,33,FALSE))</f>
        <v/>
      </c>
      <c r="N30" s="289" t="str">
        <f t="shared" si="2"/>
        <v/>
      </c>
      <c r="O30" s="32"/>
      <c r="P30" s="432"/>
      <c r="Q30" s="138"/>
      <c r="R30" s="306" t="str">
        <f t="shared" si="3"/>
        <v/>
      </c>
      <c r="S30" s="306" t="str">
        <f t="shared" si="4"/>
        <v/>
      </c>
      <c r="T30" s="306" t="str">
        <f t="shared" si="5"/>
        <v/>
      </c>
      <c r="U30" s="327" t="str">
        <f t="shared" si="6"/>
        <v/>
      </c>
      <c r="V30" s="105"/>
      <c r="W30" s="104"/>
      <c r="X30" s="104"/>
      <c r="AE30" s="107" t="str">
        <f t="shared" si="0"/>
        <v/>
      </c>
      <c r="AF30" s="107" t="str">
        <f t="shared" si="1"/>
        <v/>
      </c>
      <c r="AH30" s="107">
        <v>21</v>
      </c>
      <c r="AJ30" s="107" t="str">
        <f t="array" ref="AJ30">IFERROR(INDEX($AH$10:$AH$258,MATCH(0,IF(TRUE=$AE$10:$AE$258,COUNTIF($AJ$9:$AJ29,$AH$10:$AH$258),""),0)),"")</f>
        <v/>
      </c>
      <c r="AK30" s="107" t="str">
        <f t="array" ref="AK30">IFERROR(INDEX($AH$10:$AH$258,MATCH(0,IF(TRUE=$AF$10:$AF$258,COUNTIF($AK$9:$AK29,$AH$10:$AH$258),""),0)),"")</f>
        <v/>
      </c>
      <c r="AL30" s="30" t="str">
        <f>IFERROR(INDEX('G-6 Hedgerow Data'!$BJ$3:$BJ$15,MATCH(D30,'G-6 Hedgerow Data'!$B$3:$B$15,0)),"")</f>
        <v/>
      </c>
    </row>
    <row r="31" spans="2:38" ht="14" hidden="1">
      <c r="B31" s="97">
        <v>22</v>
      </c>
      <c r="C31" s="138"/>
      <c r="D31" s="133"/>
      <c r="E31" s="51"/>
      <c r="F31" s="323" t="str">
        <f>IF(D31="","",VLOOKUP(D31,'G-6 Hedgerow Data'!$B$2:$AG$15,2,FALSE))</f>
        <v/>
      </c>
      <c r="G31" s="276" t="str">
        <f>IF(D31="","",VLOOKUP(D31,'G-6 Hedgerow Data'!$B$2:$AG$15,3,FALSE))</f>
        <v/>
      </c>
      <c r="H31" s="101"/>
      <c r="I31" s="276" t="str">
        <f>IFERROR(IF(AND(D31&lt;&gt;"",H31=""),"Check data ⚠",IF(H31="","",IF(AND(D31="Non-native and ornamental hedgerow",H31&lt;&gt;"Poor"),"Not possible ▲",(VLOOKUP(H31,'G-1 All Habitats'!$Z$2:$AA$9,2,FALSE))))),"")</f>
        <v/>
      </c>
      <c r="J31" s="101"/>
      <c r="K31" s="283" t="str">
        <f>IF(AND(D31&lt;&gt;"",J31=""),"Check data ⚠",IF(J31="","",IF(VLOOKUP(J31,'G-3 Multipliers'!$L$3:$N$6,2,FALSE)=0,"Spatial Data Missing",VLOOKUP(J31,'G-3 Multipliers'!$L$3:$N$6,2,FALSE))))</f>
        <v/>
      </c>
      <c r="L31" s="281" t="str">
        <f>IF(J31="","",IF(VLOOKUP(J31,'G-3 Multipliers'!$L$3:$N$6,3,FALSE)=0,"Spatial Data Missing ⚠",VLOOKUP(J31,'G-3 Multipliers'!$L$3:$N$6,3,FALSE)))</f>
        <v/>
      </c>
      <c r="M31" s="282" t="str">
        <f>IF(D31="","",VLOOKUP(D31,'G-6 Hedgerow Data'!$B$1:$AH$15,33,FALSE))</f>
        <v/>
      </c>
      <c r="N31" s="289" t="str">
        <f t="shared" si="2"/>
        <v/>
      </c>
      <c r="O31" s="32"/>
      <c r="P31" s="432"/>
      <c r="Q31" s="138"/>
      <c r="R31" s="306" t="str">
        <f t="shared" si="3"/>
        <v/>
      </c>
      <c r="S31" s="306" t="str">
        <f t="shared" si="4"/>
        <v/>
      </c>
      <c r="T31" s="306" t="str">
        <f t="shared" si="5"/>
        <v/>
      </c>
      <c r="U31" s="327" t="str">
        <f t="shared" si="6"/>
        <v/>
      </c>
      <c r="V31" s="105"/>
      <c r="W31" s="104"/>
      <c r="X31" s="104"/>
      <c r="AE31" s="107" t="str">
        <f t="shared" si="0"/>
        <v/>
      </c>
      <c r="AF31" s="107" t="str">
        <f t="shared" si="1"/>
        <v/>
      </c>
      <c r="AH31" s="107">
        <v>22</v>
      </c>
      <c r="AJ31" s="107" t="str">
        <f t="array" ref="AJ31">IFERROR(INDEX($AH$10:$AH$258,MATCH(0,IF(TRUE=$AE$10:$AE$258,COUNTIF($AJ$9:$AJ30,$AH$10:$AH$258),""),0)),"")</f>
        <v/>
      </c>
      <c r="AK31" s="107" t="str">
        <f t="array" ref="AK31">IFERROR(INDEX($AH$10:$AH$258,MATCH(0,IF(TRUE=$AF$10:$AF$258,COUNTIF($AK$9:$AK30,$AH$10:$AH$258),""),0)),"")</f>
        <v/>
      </c>
      <c r="AL31" s="30" t="str">
        <f>IFERROR(INDEX('G-6 Hedgerow Data'!$BJ$3:$BJ$15,MATCH(D31,'G-6 Hedgerow Data'!$B$3:$B$15,0)),"")</f>
        <v/>
      </c>
    </row>
    <row r="32" spans="2:38" ht="14" hidden="1">
      <c r="B32" s="97">
        <v>23</v>
      </c>
      <c r="C32" s="138"/>
      <c r="D32" s="133"/>
      <c r="E32" s="51"/>
      <c r="F32" s="323" t="str">
        <f>IF(D32="","",VLOOKUP(D32,'G-6 Hedgerow Data'!$B$2:$AG$15,2,FALSE))</f>
        <v/>
      </c>
      <c r="G32" s="276" t="str">
        <f>IF(D32="","",VLOOKUP(D32,'G-6 Hedgerow Data'!$B$2:$AG$15,3,FALSE))</f>
        <v/>
      </c>
      <c r="H32" s="101"/>
      <c r="I32" s="276" t="str">
        <f>IFERROR(IF(AND(D32&lt;&gt;"",H32=""),"Check data ⚠",IF(H32="","",IF(AND(D32="Non-native and ornamental hedgerow",H32&lt;&gt;"Poor"),"Not possible ▲",(VLOOKUP(H32,'G-1 All Habitats'!$Z$2:$AA$9,2,FALSE))))),"")</f>
        <v/>
      </c>
      <c r="J32" s="101"/>
      <c r="K32" s="283" t="str">
        <f>IF(AND(D32&lt;&gt;"",J32=""),"Check data ⚠",IF(J32="","",IF(VLOOKUP(J32,'G-3 Multipliers'!$L$3:$N$6,2,FALSE)=0,"Spatial Data Missing",VLOOKUP(J32,'G-3 Multipliers'!$L$3:$N$6,2,FALSE))))</f>
        <v/>
      </c>
      <c r="L32" s="281" t="str">
        <f>IF(J32="","",IF(VLOOKUP(J32,'G-3 Multipliers'!$L$3:$N$6,3,FALSE)=0,"Spatial Data Missing ⚠",VLOOKUP(J32,'G-3 Multipliers'!$L$3:$N$6,3,FALSE)))</f>
        <v/>
      </c>
      <c r="M32" s="282" t="str">
        <f>IF(D32="","",VLOOKUP(D32,'G-6 Hedgerow Data'!$B$1:$AH$15,33,FALSE))</f>
        <v/>
      </c>
      <c r="N32" s="289" t="str">
        <f t="shared" si="2"/>
        <v/>
      </c>
      <c r="O32" s="32"/>
      <c r="P32" s="432"/>
      <c r="Q32" s="138"/>
      <c r="R32" s="306" t="str">
        <f t="shared" si="3"/>
        <v/>
      </c>
      <c r="S32" s="306" t="str">
        <f t="shared" si="4"/>
        <v/>
      </c>
      <c r="T32" s="306" t="str">
        <f t="shared" si="5"/>
        <v/>
      </c>
      <c r="U32" s="327" t="str">
        <f t="shared" si="6"/>
        <v/>
      </c>
      <c r="V32" s="105"/>
      <c r="W32" s="104"/>
      <c r="X32" s="104"/>
      <c r="AE32" s="107" t="str">
        <f t="shared" si="0"/>
        <v/>
      </c>
      <c r="AF32" s="107" t="str">
        <f t="shared" si="1"/>
        <v/>
      </c>
      <c r="AH32" s="107">
        <v>23</v>
      </c>
      <c r="AJ32" s="107" t="str">
        <f t="array" ref="AJ32">IFERROR(INDEX($AH$10:$AH$258,MATCH(0,IF(TRUE=$AE$10:$AE$258,COUNTIF($AJ$9:$AJ31,$AH$10:$AH$258),""),0)),"")</f>
        <v/>
      </c>
      <c r="AK32" s="107" t="str">
        <f t="array" ref="AK32">IFERROR(INDEX($AH$10:$AH$258,MATCH(0,IF(TRUE=$AF$10:$AF$258,COUNTIF($AK$9:$AK31,$AH$10:$AH$258),""),0)),"")</f>
        <v/>
      </c>
      <c r="AL32" s="30" t="str">
        <f>IFERROR(INDEX('G-6 Hedgerow Data'!$BJ$3:$BJ$15,MATCH(D32,'G-6 Hedgerow Data'!$B$3:$B$15,0)),"")</f>
        <v/>
      </c>
    </row>
    <row r="33" spans="2:38" ht="14" hidden="1">
      <c r="B33" s="97">
        <v>24</v>
      </c>
      <c r="C33" s="138"/>
      <c r="D33" s="133"/>
      <c r="E33" s="51"/>
      <c r="F33" s="323" t="str">
        <f>IF(D33="","",VLOOKUP(D33,'G-6 Hedgerow Data'!$B$2:$AG$15,2,FALSE))</f>
        <v/>
      </c>
      <c r="G33" s="276" t="str">
        <f>IF(D33="","",VLOOKUP(D33,'G-6 Hedgerow Data'!$B$2:$AG$15,3,FALSE))</f>
        <v/>
      </c>
      <c r="H33" s="101"/>
      <c r="I33" s="276" t="str">
        <f>IFERROR(IF(AND(D33&lt;&gt;"",H33=""),"Check data ⚠",IF(H33="","",IF(AND(D33="Non-native and ornamental hedgerow",H33&lt;&gt;"Poor"),"Not possible ▲",(VLOOKUP(H33,'G-1 All Habitats'!$Z$2:$AA$9,2,FALSE))))),"")</f>
        <v/>
      </c>
      <c r="J33" s="101"/>
      <c r="K33" s="283" t="str">
        <f>IF(AND(D33&lt;&gt;"",J33=""),"Check data ⚠",IF(J33="","",IF(VLOOKUP(J33,'G-3 Multipliers'!$L$3:$N$6,2,FALSE)=0,"Spatial Data Missing",VLOOKUP(J33,'G-3 Multipliers'!$L$3:$N$6,2,FALSE))))</f>
        <v/>
      </c>
      <c r="L33" s="281" t="str">
        <f>IF(J33="","",IF(VLOOKUP(J33,'G-3 Multipliers'!$L$3:$N$6,3,FALSE)=0,"Spatial Data Missing ⚠",VLOOKUP(J33,'G-3 Multipliers'!$L$3:$N$6,3,FALSE)))</f>
        <v/>
      </c>
      <c r="M33" s="282" t="str">
        <f>IF(D33="","",VLOOKUP(D33,'G-6 Hedgerow Data'!$B$1:$AH$15,33,FALSE))</f>
        <v/>
      </c>
      <c r="N33" s="289" t="str">
        <f t="shared" si="2"/>
        <v/>
      </c>
      <c r="O33" s="32"/>
      <c r="P33" s="432"/>
      <c r="Q33" s="138"/>
      <c r="R33" s="306" t="str">
        <f t="shared" si="3"/>
        <v/>
      </c>
      <c r="S33" s="306" t="str">
        <f t="shared" si="4"/>
        <v/>
      </c>
      <c r="T33" s="306" t="str">
        <f t="shared" si="5"/>
        <v/>
      </c>
      <c r="U33" s="327" t="str">
        <f t="shared" si="6"/>
        <v/>
      </c>
      <c r="V33" s="105"/>
      <c r="W33" s="104"/>
      <c r="X33" s="104"/>
      <c r="AE33" s="107" t="str">
        <f t="shared" si="0"/>
        <v/>
      </c>
      <c r="AF33" s="107" t="str">
        <f t="shared" si="1"/>
        <v/>
      </c>
      <c r="AH33" s="107">
        <v>24</v>
      </c>
      <c r="AJ33" s="107" t="str">
        <f t="array" ref="AJ33">IFERROR(INDEX($AH$10:$AH$258,MATCH(0,IF(TRUE=$AE$10:$AE$258,COUNTIF($AJ$9:$AJ32,$AH$10:$AH$258),""),0)),"")</f>
        <v/>
      </c>
      <c r="AK33" s="107" t="str">
        <f t="array" ref="AK33">IFERROR(INDEX($AH$10:$AH$258,MATCH(0,IF(TRUE=$AF$10:$AF$258,COUNTIF($AK$9:$AK32,$AH$10:$AH$258),""),0)),"")</f>
        <v/>
      </c>
      <c r="AL33" s="30" t="str">
        <f>IFERROR(INDEX('G-6 Hedgerow Data'!$BJ$3:$BJ$15,MATCH(D33,'G-6 Hedgerow Data'!$B$3:$B$15,0)),"")</f>
        <v/>
      </c>
    </row>
    <row r="34" spans="2:38" ht="14" hidden="1">
      <c r="B34" s="97">
        <v>25</v>
      </c>
      <c r="C34" s="138"/>
      <c r="D34" s="133"/>
      <c r="E34" s="51"/>
      <c r="F34" s="323" t="str">
        <f>IF(D34="","",VLOOKUP(D34,'G-6 Hedgerow Data'!$B$2:$AG$15,2,FALSE))</f>
        <v/>
      </c>
      <c r="G34" s="276" t="str">
        <f>IF(D34="","",VLOOKUP(D34,'G-6 Hedgerow Data'!$B$2:$AG$15,3,FALSE))</f>
        <v/>
      </c>
      <c r="H34" s="101"/>
      <c r="I34" s="276" t="str">
        <f>IFERROR(IF(AND(D34&lt;&gt;"",H34=""),"Check data ⚠",IF(H34="","",IF(AND(D34="Non-native and ornamental hedgerow",H34&lt;&gt;"Poor"),"Not possible ▲",(VLOOKUP(H34,'G-1 All Habitats'!$Z$2:$AA$9,2,FALSE))))),"")</f>
        <v/>
      </c>
      <c r="J34" s="101"/>
      <c r="K34" s="283" t="str">
        <f>IF(AND(D34&lt;&gt;"",J34=""),"Check data ⚠",IF(J34="","",IF(VLOOKUP(J34,'G-3 Multipliers'!$L$3:$N$6,2,FALSE)=0,"Spatial Data Missing",VLOOKUP(J34,'G-3 Multipliers'!$L$3:$N$6,2,FALSE))))</f>
        <v/>
      </c>
      <c r="L34" s="281" t="str">
        <f>IF(J34="","",IF(VLOOKUP(J34,'G-3 Multipliers'!$L$3:$N$6,3,FALSE)=0,"Spatial Data Missing ⚠",VLOOKUP(J34,'G-3 Multipliers'!$L$3:$N$6,3,FALSE)))</f>
        <v/>
      </c>
      <c r="M34" s="282" t="str">
        <f>IF(D34="","",VLOOKUP(D34,'G-6 Hedgerow Data'!$B$1:$AH$15,33,FALSE))</f>
        <v/>
      </c>
      <c r="N34" s="289" t="str">
        <f t="shared" si="2"/>
        <v/>
      </c>
      <c r="O34" s="32"/>
      <c r="P34" s="432"/>
      <c r="Q34" s="138"/>
      <c r="R34" s="306" t="str">
        <f t="shared" si="3"/>
        <v/>
      </c>
      <c r="S34" s="306" t="str">
        <f t="shared" si="4"/>
        <v/>
      </c>
      <c r="T34" s="306" t="str">
        <f t="shared" si="5"/>
        <v/>
      </c>
      <c r="U34" s="327" t="str">
        <f t="shared" si="6"/>
        <v/>
      </c>
      <c r="V34" s="105"/>
      <c r="W34" s="104"/>
      <c r="X34" s="104"/>
      <c r="AE34" s="107" t="str">
        <f t="shared" si="0"/>
        <v/>
      </c>
      <c r="AF34" s="107" t="str">
        <f t="shared" si="1"/>
        <v/>
      </c>
      <c r="AH34" s="107">
        <v>25</v>
      </c>
      <c r="AJ34" s="107" t="str">
        <f t="array" ref="AJ34">IFERROR(INDEX($AH$10:$AH$258,MATCH(0,IF(TRUE=$AE$10:$AE$258,COUNTIF($AJ$9:$AJ33,$AH$10:$AH$258),""),0)),"")</f>
        <v/>
      </c>
      <c r="AK34" s="107" t="str">
        <f t="array" ref="AK34">IFERROR(INDEX($AH$10:$AH$258,MATCH(0,IF(TRUE=$AF$10:$AF$258,COUNTIF($AK$9:$AK33,$AH$10:$AH$258),""),0)),"")</f>
        <v/>
      </c>
      <c r="AL34" s="30" t="str">
        <f>IFERROR(INDEX('G-6 Hedgerow Data'!$BJ$3:$BJ$15,MATCH(D34,'G-6 Hedgerow Data'!$B$3:$B$15,0)),"")</f>
        <v/>
      </c>
    </row>
    <row r="35" spans="2:38" ht="14" hidden="1">
      <c r="B35" s="97">
        <v>26</v>
      </c>
      <c r="C35" s="138"/>
      <c r="D35" s="133"/>
      <c r="E35" s="115"/>
      <c r="F35" s="323" t="str">
        <f>IF(D35="","",VLOOKUP(D35,'G-6 Hedgerow Data'!$B$2:$AG$15,2,FALSE))</f>
        <v/>
      </c>
      <c r="G35" s="276" t="str">
        <f>IF(D35="","",VLOOKUP(D35,'G-6 Hedgerow Data'!$B$2:$AG$15,3,FALSE))</f>
        <v/>
      </c>
      <c r="H35" s="101"/>
      <c r="I35" s="276" t="str">
        <f>IFERROR(IF(AND(D35&lt;&gt;"",H35=""),"Check data ⚠",IF(H35="","",IF(AND(D35="Non-native and ornamental hedgerow",H35&lt;&gt;"Poor"),"Not possible ▲",(VLOOKUP(H35,'G-1 All Habitats'!$Z$2:$AA$9,2,FALSE))))),"")</f>
        <v/>
      </c>
      <c r="J35" s="101"/>
      <c r="K35" s="283" t="str">
        <f>IF(AND(D35&lt;&gt;"",J35=""),"Check data ⚠",IF(J35="","",IF(VLOOKUP(J35,'G-3 Multipliers'!$L$3:$N$6,2,FALSE)=0,"Spatial Data Missing",VLOOKUP(J35,'G-3 Multipliers'!$L$3:$N$6,2,FALSE))))</f>
        <v/>
      </c>
      <c r="L35" s="281" t="str">
        <f>IF(J35="","",IF(VLOOKUP(J35,'G-3 Multipliers'!$L$3:$N$6,3,FALSE)=0,"Spatial Data Missing ⚠",VLOOKUP(J35,'G-3 Multipliers'!$L$3:$N$6,3,FALSE)))</f>
        <v/>
      </c>
      <c r="M35" s="282" t="str">
        <f>IF(D35="","",VLOOKUP(D35,'G-6 Hedgerow Data'!$B$1:$AH$15,33,FALSE))</f>
        <v/>
      </c>
      <c r="N35" s="289" t="str">
        <f t="shared" si="2"/>
        <v/>
      </c>
      <c r="O35" s="32"/>
      <c r="P35" s="432"/>
      <c r="Q35" s="138"/>
      <c r="R35" s="306" t="str">
        <f t="shared" si="3"/>
        <v/>
      </c>
      <c r="S35" s="306" t="str">
        <f t="shared" si="4"/>
        <v/>
      </c>
      <c r="T35" s="306" t="str">
        <f t="shared" si="5"/>
        <v/>
      </c>
      <c r="U35" s="327" t="str">
        <f t="shared" si="6"/>
        <v/>
      </c>
      <c r="V35" s="105"/>
      <c r="W35" s="104"/>
      <c r="X35" s="104"/>
      <c r="AE35" s="107" t="str">
        <f t="shared" si="0"/>
        <v/>
      </c>
      <c r="AF35" s="107" t="str">
        <f t="shared" si="1"/>
        <v/>
      </c>
      <c r="AH35" s="107">
        <v>26</v>
      </c>
      <c r="AJ35" s="107" t="str">
        <f t="array" ref="AJ35">IFERROR(INDEX($AH$10:$AH$258,MATCH(0,IF(TRUE=$AE$10:$AE$258,COUNTIF($AJ$9:$AJ34,$AH$10:$AH$258),""),0)),"")</f>
        <v/>
      </c>
      <c r="AK35" s="107" t="str">
        <f t="array" ref="AK35">IFERROR(INDEX($AH$10:$AH$258,MATCH(0,IF(TRUE=$AF$10:$AF$258,COUNTIF($AK$9:$AK34,$AH$10:$AH$258),""),0)),"")</f>
        <v/>
      </c>
      <c r="AL35" s="30" t="str">
        <f>IFERROR(INDEX('G-6 Hedgerow Data'!$BJ$3:$BJ$15,MATCH(D35,'G-6 Hedgerow Data'!$B$3:$B$15,0)),"")</f>
        <v/>
      </c>
    </row>
    <row r="36" spans="2:38" ht="14" hidden="1">
      <c r="B36" s="97">
        <v>27</v>
      </c>
      <c r="C36" s="138"/>
      <c r="D36" s="138"/>
      <c r="E36" s="115"/>
      <c r="F36" s="323" t="str">
        <f>IF(D36="","",VLOOKUP(D36,'G-6 Hedgerow Data'!$B$2:$AG$15,2,FALSE))</f>
        <v/>
      </c>
      <c r="G36" s="276" t="str">
        <f>IF(D36="","",VLOOKUP(D36,'G-6 Hedgerow Data'!$B$2:$AG$15,3,FALSE))</f>
        <v/>
      </c>
      <c r="H36" s="101"/>
      <c r="I36" s="276" t="str">
        <f>IFERROR(IF(AND(D36&lt;&gt;"",H36=""),"Check data ⚠",IF(H36="","",IF(AND(D36="Non-native and ornamental hedgerow",H36&lt;&gt;"Poor"),"Not possible ▲",(VLOOKUP(H36,'G-1 All Habitats'!$Z$2:$AA$9,2,FALSE))))),"")</f>
        <v/>
      </c>
      <c r="J36" s="101"/>
      <c r="K36" s="283" t="str">
        <f>IF(AND(D36&lt;&gt;"",J36=""),"Check data ⚠",IF(J36="","",IF(VLOOKUP(J36,'G-3 Multipliers'!$L$3:$N$6,2,FALSE)=0,"Spatial Data Missing",VLOOKUP(J36,'G-3 Multipliers'!$L$3:$N$6,2,FALSE))))</f>
        <v/>
      </c>
      <c r="L36" s="281" t="str">
        <f>IF(J36="","",IF(VLOOKUP(J36,'G-3 Multipliers'!$L$3:$N$6,3,FALSE)=0,"Spatial Data Missing ⚠",VLOOKUP(J36,'G-3 Multipliers'!$L$3:$N$6,3,FALSE)))</f>
        <v/>
      </c>
      <c r="M36" s="282" t="str">
        <f>IF(D36="","",VLOOKUP(D36,'G-6 Hedgerow Data'!$B$1:$AH$15,33,FALSE))</f>
        <v/>
      </c>
      <c r="N36" s="289" t="str">
        <f t="shared" si="2"/>
        <v/>
      </c>
      <c r="O36" s="32"/>
      <c r="P36" s="432"/>
      <c r="Q36" s="138"/>
      <c r="R36" s="306" t="str">
        <f t="shared" si="3"/>
        <v/>
      </c>
      <c r="S36" s="306" t="str">
        <f t="shared" si="4"/>
        <v/>
      </c>
      <c r="T36" s="306" t="str">
        <f t="shared" si="5"/>
        <v/>
      </c>
      <c r="U36" s="327" t="str">
        <f t="shared" si="6"/>
        <v/>
      </c>
      <c r="V36" s="105"/>
      <c r="W36" s="104"/>
      <c r="X36" s="104"/>
      <c r="AE36" s="107" t="str">
        <f t="shared" si="0"/>
        <v/>
      </c>
      <c r="AF36" s="107" t="str">
        <f t="shared" si="1"/>
        <v/>
      </c>
      <c r="AH36" s="107">
        <v>27</v>
      </c>
      <c r="AJ36" s="107" t="str">
        <f t="array" ref="AJ36">IFERROR(INDEX($AH$10:$AH$258,MATCH(0,IF(TRUE=$AE$10:$AE$258,COUNTIF($AJ$9:$AJ35,$AH$10:$AH$258),""),0)),"")</f>
        <v/>
      </c>
      <c r="AK36" s="107" t="str">
        <f t="array" ref="AK36">IFERROR(INDEX($AH$10:$AH$258,MATCH(0,IF(TRUE=$AF$10:$AF$258,COUNTIF($AK$9:$AK35,$AH$10:$AH$258),""),0)),"")</f>
        <v/>
      </c>
      <c r="AL36" s="30" t="str">
        <f>IFERROR(INDEX('G-6 Hedgerow Data'!$BJ$3:$BJ$15,MATCH(D36,'G-6 Hedgerow Data'!$B$3:$B$15,0)),"")</f>
        <v/>
      </c>
    </row>
    <row r="37" spans="2:38" ht="14" hidden="1">
      <c r="B37" s="97">
        <v>28</v>
      </c>
      <c r="C37" s="138"/>
      <c r="D37" s="138"/>
      <c r="E37" s="115"/>
      <c r="F37" s="323" t="str">
        <f>IF(D37="","",VLOOKUP(D37,'G-6 Hedgerow Data'!$B$2:$AG$15,2,FALSE))</f>
        <v/>
      </c>
      <c r="G37" s="276" t="str">
        <f>IF(D37="","",VLOOKUP(D37,'G-6 Hedgerow Data'!$B$2:$AG$15,3,FALSE))</f>
        <v/>
      </c>
      <c r="H37" s="101"/>
      <c r="I37" s="276" t="str">
        <f>IFERROR(IF(AND(D37&lt;&gt;"",H37=""),"Check data ⚠",IF(H37="","",IF(AND(D37="Non-native and ornamental hedgerow",H37&lt;&gt;"Poor"),"Not possible ▲",(VLOOKUP(H37,'G-1 All Habitats'!$Z$2:$AA$9,2,FALSE))))),"")</f>
        <v/>
      </c>
      <c r="J37" s="101"/>
      <c r="K37" s="283" t="str">
        <f>IF(AND(D37&lt;&gt;"",J37=""),"Check data ⚠",IF(J37="","",IF(VLOOKUP(J37,'G-3 Multipliers'!$L$3:$N$6,2,FALSE)=0,"Spatial Data Missing",VLOOKUP(J37,'G-3 Multipliers'!$L$3:$N$6,2,FALSE))))</f>
        <v/>
      </c>
      <c r="L37" s="281" t="str">
        <f>IF(J37="","",IF(VLOOKUP(J37,'G-3 Multipliers'!$L$3:$N$6,3,FALSE)=0,"Spatial Data Missing ⚠",VLOOKUP(J37,'G-3 Multipliers'!$L$3:$N$6,3,FALSE)))</f>
        <v/>
      </c>
      <c r="M37" s="282" t="str">
        <f>IF(D37="","",VLOOKUP(D37,'G-6 Hedgerow Data'!$B$1:$AH$15,33,FALSE))</f>
        <v/>
      </c>
      <c r="N37" s="289" t="str">
        <f t="shared" si="2"/>
        <v/>
      </c>
      <c r="O37" s="32"/>
      <c r="P37" s="432"/>
      <c r="Q37" s="138"/>
      <c r="R37" s="306" t="str">
        <f t="shared" si="3"/>
        <v/>
      </c>
      <c r="S37" s="306" t="str">
        <f t="shared" si="4"/>
        <v/>
      </c>
      <c r="T37" s="306" t="str">
        <f t="shared" si="5"/>
        <v/>
      </c>
      <c r="U37" s="327" t="str">
        <f t="shared" si="6"/>
        <v/>
      </c>
      <c r="V37" s="105"/>
      <c r="W37" s="104"/>
      <c r="X37" s="104"/>
      <c r="AE37" s="107" t="str">
        <f t="shared" si="0"/>
        <v/>
      </c>
      <c r="AF37" s="107" t="str">
        <f t="shared" si="1"/>
        <v/>
      </c>
      <c r="AH37" s="107">
        <v>28</v>
      </c>
      <c r="AJ37" s="107" t="str">
        <f t="array" ref="AJ37">IFERROR(INDEX($AH$10:$AH$258,MATCH(0,IF(TRUE=$AE$10:$AE$258,COUNTIF($AJ$9:$AJ36,$AH$10:$AH$258),""),0)),"")</f>
        <v/>
      </c>
      <c r="AK37" s="107" t="str">
        <f t="array" ref="AK37">IFERROR(INDEX($AH$10:$AH$258,MATCH(0,IF(TRUE=$AF$10:$AF$258,COUNTIF($AK$9:$AK36,$AH$10:$AH$258),""),0)),"")</f>
        <v/>
      </c>
      <c r="AL37" s="30" t="str">
        <f>IFERROR(INDEX('G-6 Hedgerow Data'!$BJ$3:$BJ$15,MATCH(D37,'G-6 Hedgerow Data'!$B$3:$B$15,0)),"")</f>
        <v/>
      </c>
    </row>
    <row r="38" spans="2:38" ht="14" hidden="1">
      <c r="B38" s="97">
        <v>29</v>
      </c>
      <c r="C38" s="138"/>
      <c r="D38" s="138"/>
      <c r="E38" s="115"/>
      <c r="F38" s="323" t="str">
        <f>IF(D38="","",VLOOKUP(D38,'G-6 Hedgerow Data'!$B$2:$AG$15,2,FALSE))</f>
        <v/>
      </c>
      <c r="G38" s="276" t="str">
        <f>IF(D38="","",VLOOKUP(D38,'G-6 Hedgerow Data'!$B$2:$AG$15,3,FALSE))</f>
        <v/>
      </c>
      <c r="H38" s="101"/>
      <c r="I38" s="276" t="str">
        <f>IFERROR(IF(AND(D38&lt;&gt;"",H38=""),"Check data ⚠",IF(H38="","",IF(AND(D38="Non-native and ornamental hedgerow",H38&lt;&gt;"Poor"),"Not possible ▲",(VLOOKUP(H38,'G-1 All Habitats'!$Z$2:$AA$9,2,FALSE))))),"")</f>
        <v/>
      </c>
      <c r="J38" s="101"/>
      <c r="K38" s="283" t="str">
        <f>IF(AND(D38&lt;&gt;"",J38=""),"Check data ⚠",IF(J38="","",IF(VLOOKUP(J38,'G-3 Multipliers'!$L$3:$N$6,2,FALSE)=0,"Spatial Data Missing",VLOOKUP(J38,'G-3 Multipliers'!$L$3:$N$6,2,FALSE))))</f>
        <v/>
      </c>
      <c r="L38" s="281" t="str">
        <f>IF(J38="","",IF(VLOOKUP(J38,'G-3 Multipliers'!$L$3:$N$6,3,FALSE)=0,"Spatial Data Missing ⚠",VLOOKUP(J38,'G-3 Multipliers'!$L$3:$N$6,3,FALSE)))</f>
        <v/>
      </c>
      <c r="M38" s="282" t="str">
        <f>IF(D38="","",VLOOKUP(D38,'G-6 Hedgerow Data'!$B$1:$AH$15,33,FALSE))</f>
        <v/>
      </c>
      <c r="N38" s="289" t="str">
        <f t="shared" si="2"/>
        <v/>
      </c>
      <c r="O38" s="32"/>
      <c r="P38" s="432"/>
      <c r="Q38" s="138"/>
      <c r="R38" s="306" t="str">
        <f t="shared" si="3"/>
        <v/>
      </c>
      <c r="S38" s="306" t="str">
        <f t="shared" si="4"/>
        <v/>
      </c>
      <c r="T38" s="306" t="str">
        <f t="shared" si="5"/>
        <v/>
      </c>
      <c r="U38" s="327" t="str">
        <f t="shared" si="6"/>
        <v/>
      </c>
      <c r="V38" s="105"/>
      <c r="W38" s="104"/>
      <c r="X38" s="104"/>
      <c r="AE38" s="107" t="str">
        <f t="shared" si="0"/>
        <v/>
      </c>
      <c r="AF38" s="107" t="str">
        <f t="shared" si="1"/>
        <v/>
      </c>
      <c r="AH38" s="107">
        <v>29</v>
      </c>
      <c r="AJ38" s="107" t="str">
        <f t="array" ref="AJ38">IFERROR(INDEX($AH$10:$AH$258,MATCH(0,IF(TRUE=$AE$10:$AE$258,COUNTIF($AJ$9:$AJ37,$AH$10:$AH$258),""),0)),"")</f>
        <v/>
      </c>
      <c r="AK38" s="107" t="str">
        <f t="array" ref="AK38">IFERROR(INDEX($AH$10:$AH$258,MATCH(0,IF(TRUE=$AF$10:$AF$258,COUNTIF($AK$9:$AK37,$AH$10:$AH$258),""),0)),"")</f>
        <v/>
      </c>
      <c r="AL38" s="30" t="str">
        <f>IFERROR(INDEX('G-6 Hedgerow Data'!$BJ$3:$BJ$15,MATCH(D38,'G-6 Hedgerow Data'!$B$3:$B$15,0)),"")</f>
        <v/>
      </c>
    </row>
    <row r="39" spans="2:38" ht="14" hidden="1">
      <c r="B39" s="97">
        <v>30</v>
      </c>
      <c r="C39" s="138"/>
      <c r="D39" s="138"/>
      <c r="E39" s="115"/>
      <c r="F39" s="323" t="str">
        <f>IF(D39="","",VLOOKUP(D39,'G-6 Hedgerow Data'!$B$2:$AG$15,2,FALSE))</f>
        <v/>
      </c>
      <c r="G39" s="276" t="str">
        <f>IF(D39="","",VLOOKUP(D39,'G-6 Hedgerow Data'!$B$2:$AG$15,3,FALSE))</f>
        <v/>
      </c>
      <c r="H39" s="101"/>
      <c r="I39" s="276" t="str">
        <f>IFERROR(IF(AND(D39&lt;&gt;"",H39=""),"Check data ⚠",IF(H39="","",IF(AND(D39="Non-native and ornamental hedgerow",H39&lt;&gt;"Poor"),"Not possible ▲",(VLOOKUP(H39,'G-1 All Habitats'!$Z$2:$AA$9,2,FALSE))))),"")</f>
        <v/>
      </c>
      <c r="J39" s="101"/>
      <c r="K39" s="283" t="str">
        <f>IF(AND(D39&lt;&gt;"",J39=""),"Check data ⚠",IF(J39="","",IF(VLOOKUP(J39,'G-3 Multipliers'!$L$3:$N$6,2,FALSE)=0,"Spatial Data Missing",VLOOKUP(J39,'G-3 Multipliers'!$L$3:$N$6,2,FALSE))))</f>
        <v/>
      </c>
      <c r="L39" s="281" t="str">
        <f>IF(J39="","",IF(VLOOKUP(J39,'G-3 Multipliers'!$L$3:$N$6,3,FALSE)=0,"Spatial Data Missing ⚠",VLOOKUP(J39,'G-3 Multipliers'!$L$3:$N$6,3,FALSE)))</f>
        <v/>
      </c>
      <c r="M39" s="282" t="str">
        <f>IF(D39="","",VLOOKUP(D39,'G-6 Hedgerow Data'!$B$1:$AH$15,33,FALSE))</f>
        <v/>
      </c>
      <c r="N39" s="289" t="str">
        <f t="shared" si="2"/>
        <v/>
      </c>
      <c r="O39" s="32"/>
      <c r="P39" s="432"/>
      <c r="Q39" s="138"/>
      <c r="R39" s="306" t="str">
        <f t="shared" si="3"/>
        <v/>
      </c>
      <c r="S39" s="306" t="str">
        <f t="shared" si="4"/>
        <v/>
      </c>
      <c r="T39" s="306" t="str">
        <f t="shared" si="5"/>
        <v/>
      </c>
      <c r="U39" s="327" t="str">
        <f t="shared" si="6"/>
        <v/>
      </c>
      <c r="V39" s="105"/>
      <c r="W39" s="104"/>
      <c r="X39" s="104"/>
      <c r="AE39" s="107" t="str">
        <f t="shared" si="0"/>
        <v/>
      </c>
      <c r="AF39" s="107" t="str">
        <f t="shared" si="1"/>
        <v/>
      </c>
      <c r="AH39" s="107">
        <v>30</v>
      </c>
      <c r="AJ39" s="107" t="str">
        <f t="array" ref="AJ39">IFERROR(INDEX($AH$10:$AH$258,MATCH(0,IF(TRUE=$AE$10:$AE$258,COUNTIF($AJ$9:$AJ38,$AH$10:$AH$258),""),0)),"")</f>
        <v/>
      </c>
      <c r="AK39" s="107" t="str">
        <f t="array" ref="AK39">IFERROR(INDEX($AH$10:$AH$258,MATCH(0,IF(TRUE=$AF$10:$AF$258,COUNTIF($AK$9:$AK38,$AH$10:$AH$258),""),0)),"")</f>
        <v/>
      </c>
      <c r="AL39" s="30" t="str">
        <f>IFERROR(INDEX('G-6 Hedgerow Data'!$BJ$3:$BJ$15,MATCH(D39,'G-6 Hedgerow Data'!$B$3:$B$15,0)),"")</f>
        <v/>
      </c>
    </row>
    <row r="40" spans="2:38" ht="14" hidden="1">
      <c r="B40" s="97">
        <v>31</v>
      </c>
      <c r="C40" s="138"/>
      <c r="D40" s="138"/>
      <c r="E40" s="115"/>
      <c r="F40" s="323" t="str">
        <f>IF(D40="","",VLOOKUP(D40,'G-6 Hedgerow Data'!$B$2:$AG$15,2,FALSE))</f>
        <v/>
      </c>
      <c r="G40" s="276" t="str">
        <f>IF(D40="","",VLOOKUP(D40,'G-6 Hedgerow Data'!$B$2:$AG$15,3,FALSE))</f>
        <v/>
      </c>
      <c r="H40" s="101"/>
      <c r="I40" s="276" t="str">
        <f>IFERROR(IF(AND(D40&lt;&gt;"",H40=""),"Check data ⚠",IF(H40="","",IF(AND(D40="Non-native and ornamental hedgerow",H40&lt;&gt;"Poor"),"Not possible ▲",(VLOOKUP(H40,'G-1 All Habitats'!$Z$2:$AA$9,2,FALSE))))),"")</f>
        <v/>
      </c>
      <c r="J40" s="101"/>
      <c r="K40" s="283" t="str">
        <f>IF(AND(D40&lt;&gt;"",J40=""),"Check data ⚠",IF(J40="","",IF(VLOOKUP(J40,'G-3 Multipliers'!$L$3:$N$6,2,FALSE)=0,"Spatial Data Missing",VLOOKUP(J40,'G-3 Multipliers'!$L$3:$N$6,2,FALSE))))</f>
        <v/>
      </c>
      <c r="L40" s="281" t="str">
        <f>IF(J40="","",IF(VLOOKUP(J40,'G-3 Multipliers'!$L$3:$N$6,3,FALSE)=0,"Spatial Data Missing ⚠",VLOOKUP(J40,'G-3 Multipliers'!$L$3:$N$6,3,FALSE)))</f>
        <v/>
      </c>
      <c r="M40" s="282" t="str">
        <f>IF(D40="","",VLOOKUP(D40,'G-6 Hedgerow Data'!$B$1:$AH$15,33,FALSE))</f>
        <v/>
      </c>
      <c r="N40" s="289" t="str">
        <f t="shared" si="2"/>
        <v/>
      </c>
      <c r="O40" s="32"/>
      <c r="P40" s="432"/>
      <c r="Q40" s="138"/>
      <c r="R40" s="306" t="str">
        <f t="shared" si="3"/>
        <v/>
      </c>
      <c r="S40" s="306" t="str">
        <f t="shared" si="4"/>
        <v/>
      </c>
      <c r="T40" s="306" t="str">
        <f t="shared" si="5"/>
        <v/>
      </c>
      <c r="U40" s="327" t="str">
        <f t="shared" si="6"/>
        <v/>
      </c>
      <c r="V40" s="105"/>
      <c r="W40" s="104"/>
      <c r="X40" s="104"/>
      <c r="AE40" s="107" t="str">
        <f t="shared" si="0"/>
        <v/>
      </c>
      <c r="AF40" s="107" t="str">
        <f t="shared" si="1"/>
        <v/>
      </c>
      <c r="AH40" s="107">
        <v>31</v>
      </c>
      <c r="AJ40" s="107" t="str">
        <f t="array" ref="AJ40">IFERROR(INDEX($AH$10:$AH$258,MATCH(0,IF(TRUE=$AE$10:$AE$258,COUNTIF($AJ$9:$AJ39,$AH$10:$AH$258),""),0)),"")</f>
        <v/>
      </c>
      <c r="AK40" s="107" t="str">
        <f t="array" ref="AK40">IFERROR(INDEX($AH$10:$AH$258,MATCH(0,IF(TRUE=$AF$10:$AF$258,COUNTIF($AK$9:$AK39,$AH$10:$AH$258),""),0)),"")</f>
        <v/>
      </c>
      <c r="AL40" s="30" t="str">
        <f>IFERROR(INDEX('G-6 Hedgerow Data'!$BJ$3:$BJ$15,MATCH(D40,'G-6 Hedgerow Data'!$B$3:$B$15,0)),"")</f>
        <v/>
      </c>
    </row>
    <row r="41" spans="2:38" ht="14" hidden="1">
      <c r="B41" s="97">
        <v>32</v>
      </c>
      <c r="C41" s="138"/>
      <c r="D41" s="138"/>
      <c r="E41" s="115"/>
      <c r="F41" s="323" t="str">
        <f>IF(D41="","",VLOOKUP(D41,'G-6 Hedgerow Data'!$B$2:$AG$15,2,FALSE))</f>
        <v/>
      </c>
      <c r="G41" s="276" t="str">
        <f>IF(D41="","",VLOOKUP(D41,'G-6 Hedgerow Data'!$B$2:$AG$15,3,FALSE))</f>
        <v/>
      </c>
      <c r="H41" s="101"/>
      <c r="I41" s="276" t="str">
        <f>IFERROR(IF(AND(D41&lt;&gt;"",H41=""),"Check data ⚠",IF(H41="","",IF(AND(D41="Non-native and ornamental hedgerow",H41&lt;&gt;"Poor"),"Not possible ▲",(VLOOKUP(H41,'G-1 All Habitats'!$Z$2:$AA$9,2,FALSE))))),"")</f>
        <v/>
      </c>
      <c r="J41" s="101"/>
      <c r="K41" s="283" t="str">
        <f>IF(AND(D41&lt;&gt;"",J41=""),"Check data ⚠",IF(J41="","",IF(VLOOKUP(J41,'G-3 Multipliers'!$L$3:$N$6,2,FALSE)=0,"Spatial Data Missing",VLOOKUP(J41,'G-3 Multipliers'!$L$3:$N$6,2,FALSE))))</f>
        <v/>
      </c>
      <c r="L41" s="281" t="str">
        <f>IF(J41="","",IF(VLOOKUP(J41,'G-3 Multipliers'!$L$3:$N$6,3,FALSE)=0,"Spatial Data Missing ⚠",VLOOKUP(J41,'G-3 Multipliers'!$L$3:$N$6,3,FALSE)))</f>
        <v/>
      </c>
      <c r="M41" s="282" t="str">
        <f>IF(D41="","",VLOOKUP(D41,'G-6 Hedgerow Data'!$B$1:$AH$15,33,FALSE))</f>
        <v/>
      </c>
      <c r="N41" s="289" t="str">
        <f t="shared" si="2"/>
        <v/>
      </c>
      <c r="O41" s="32"/>
      <c r="P41" s="432"/>
      <c r="Q41" s="138"/>
      <c r="R41" s="306" t="str">
        <f t="shared" si="3"/>
        <v/>
      </c>
      <c r="S41" s="306" t="str">
        <f t="shared" si="4"/>
        <v/>
      </c>
      <c r="T41" s="306" t="str">
        <f t="shared" si="5"/>
        <v/>
      </c>
      <c r="U41" s="327" t="str">
        <f t="shared" si="6"/>
        <v/>
      </c>
      <c r="V41" s="105"/>
      <c r="W41" s="104"/>
      <c r="X41" s="104"/>
      <c r="AE41" s="107" t="str">
        <f t="shared" si="0"/>
        <v/>
      </c>
      <c r="AF41" s="107" t="str">
        <f t="shared" si="1"/>
        <v/>
      </c>
      <c r="AH41" s="107">
        <v>32</v>
      </c>
      <c r="AJ41" s="107" t="str">
        <f t="array" ref="AJ41">IFERROR(INDEX($AH$10:$AH$258,MATCH(0,IF(TRUE=$AE$10:$AE$258,COUNTIF($AJ$9:$AJ40,$AH$10:$AH$258),""),0)),"")</f>
        <v/>
      </c>
      <c r="AK41" s="107" t="str">
        <f t="array" ref="AK41">IFERROR(INDEX($AH$10:$AH$258,MATCH(0,IF(TRUE=$AF$10:$AF$258,COUNTIF($AK$9:$AK40,$AH$10:$AH$258),""),0)),"")</f>
        <v/>
      </c>
      <c r="AL41" s="30" t="str">
        <f>IFERROR(INDEX('G-6 Hedgerow Data'!$BJ$3:$BJ$15,MATCH(D41,'G-6 Hedgerow Data'!$B$3:$B$15,0)),"")</f>
        <v/>
      </c>
    </row>
    <row r="42" spans="2:38" ht="14" hidden="1">
      <c r="B42" s="97">
        <v>33</v>
      </c>
      <c r="C42" s="138"/>
      <c r="D42" s="138"/>
      <c r="E42" s="115"/>
      <c r="F42" s="323" t="str">
        <f>IF(D42="","",VLOOKUP(D42,'G-6 Hedgerow Data'!$B$2:$AG$15,2,FALSE))</f>
        <v/>
      </c>
      <c r="G42" s="276" t="str">
        <f>IF(D42="","",VLOOKUP(D42,'G-6 Hedgerow Data'!$B$2:$AG$15,3,FALSE))</f>
        <v/>
      </c>
      <c r="H42" s="101"/>
      <c r="I42" s="276" t="str">
        <f>IFERROR(IF(AND(D42&lt;&gt;"",H42=""),"Check data ⚠",IF(H42="","",IF(AND(D42="Non-native and ornamental hedgerow",H42&lt;&gt;"Poor"),"Not possible ▲",(VLOOKUP(H42,'G-1 All Habitats'!$Z$2:$AA$9,2,FALSE))))),"")</f>
        <v/>
      </c>
      <c r="J42" s="101"/>
      <c r="K42" s="283" t="str">
        <f>IF(AND(D42&lt;&gt;"",J42=""),"Check data ⚠",IF(J42="","",IF(VLOOKUP(J42,'G-3 Multipliers'!$L$3:$N$6,2,FALSE)=0,"Spatial Data Missing",VLOOKUP(J42,'G-3 Multipliers'!$L$3:$N$6,2,FALSE))))</f>
        <v/>
      </c>
      <c r="L42" s="281" t="str">
        <f>IF(J42="","",IF(VLOOKUP(J42,'G-3 Multipliers'!$L$3:$N$6,3,FALSE)=0,"Spatial Data Missing ⚠",VLOOKUP(J42,'G-3 Multipliers'!$L$3:$N$6,3,FALSE)))</f>
        <v/>
      </c>
      <c r="M42" s="282" t="str">
        <f>IF(D42="","",VLOOKUP(D42,'G-6 Hedgerow Data'!$B$1:$AH$15,33,FALSE))</f>
        <v/>
      </c>
      <c r="N42" s="289" t="str">
        <f t="shared" si="2"/>
        <v/>
      </c>
      <c r="O42" s="32"/>
      <c r="P42" s="432"/>
      <c r="Q42" s="138"/>
      <c r="R42" s="306" t="str">
        <f t="shared" si="3"/>
        <v/>
      </c>
      <c r="S42" s="306" t="str">
        <f t="shared" si="4"/>
        <v/>
      </c>
      <c r="T42" s="306" t="str">
        <f t="shared" si="5"/>
        <v/>
      </c>
      <c r="U42" s="327" t="str">
        <f t="shared" si="6"/>
        <v/>
      </c>
      <c r="V42" s="105"/>
      <c r="W42" s="104"/>
      <c r="X42" s="104"/>
      <c r="AE42" s="107" t="str">
        <f t="shared" si="0"/>
        <v/>
      </c>
      <c r="AF42" s="107" t="str">
        <f t="shared" si="1"/>
        <v/>
      </c>
      <c r="AH42" s="107">
        <v>33</v>
      </c>
      <c r="AJ42" s="107" t="str">
        <f t="array" ref="AJ42">IFERROR(INDEX($AH$10:$AH$258,MATCH(0,IF(TRUE=$AE$10:$AE$258,COUNTIF($AJ$9:$AJ41,$AH$10:$AH$258),""),0)),"")</f>
        <v/>
      </c>
      <c r="AK42" s="107" t="str">
        <f t="array" ref="AK42">IFERROR(INDEX($AH$10:$AH$258,MATCH(0,IF(TRUE=$AF$10:$AF$258,COUNTIF($AK$9:$AK41,$AH$10:$AH$258),""),0)),"")</f>
        <v/>
      </c>
      <c r="AL42" s="30" t="str">
        <f>IFERROR(INDEX('G-6 Hedgerow Data'!$BJ$3:$BJ$15,MATCH(D42,'G-6 Hedgerow Data'!$B$3:$B$15,0)),"")</f>
        <v/>
      </c>
    </row>
    <row r="43" spans="2:38" ht="14" hidden="1">
      <c r="B43" s="97">
        <v>34</v>
      </c>
      <c r="C43" s="138"/>
      <c r="D43" s="138"/>
      <c r="E43" s="115"/>
      <c r="F43" s="323" t="str">
        <f>IF(D43="","",VLOOKUP(D43,'G-6 Hedgerow Data'!$B$2:$AG$15,2,FALSE))</f>
        <v/>
      </c>
      <c r="G43" s="276" t="str">
        <f>IF(D43="","",VLOOKUP(D43,'G-6 Hedgerow Data'!$B$2:$AG$15,3,FALSE))</f>
        <v/>
      </c>
      <c r="H43" s="101"/>
      <c r="I43" s="276" t="str">
        <f>IFERROR(IF(AND(D43&lt;&gt;"",H43=""),"Check data ⚠",IF(H43="","",IF(AND(D43="Non-native and ornamental hedgerow",H43&lt;&gt;"Poor"),"Not possible ▲",(VLOOKUP(H43,'G-1 All Habitats'!$Z$2:$AA$9,2,FALSE))))),"")</f>
        <v/>
      </c>
      <c r="J43" s="101"/>
      <c r="K43" s="283" t="str">
        <f>IF(AND(D43&lt;&gt;"",J43=""),"Check data ⚠",IF(J43="","",IF(VLOOKUP(J43,'G-3 Multipliers'!$L$3:$N$6,2,FALSE)=0,"Spatial Data Missing",VLOOKUP(J43,'G-3 Multipliers'!$L$3:$N$6,2,FALSE))))</f>
        <v/>
      </c>
      <c r="L43" s="281" t="str">
        <f>IF(J43="","",IF(VLOOKUP(J43,'G-3 Multipliers'!$L$3:$N$6,3,FALSE)=0,"Spatial Data Missing ⚠",VLOOKUP(J43,'G-3 Multipliers'!$L$3:$N$6,3,FALSE)))</f>
        <v/>
      </c>
      <c r="M43" s="282" t="str">
        <f>IF(D43="","",VLOOKUP(D43,'G-6 Hedgerow Data'!$B$1:$AH$15,33,FALSE))</f>
        <v/>
      </c>
      <c r="N43" s="289" t="str">
        <f t="shared" si="2"/>
        <v/>
      </c>
      <c r="O43" s="32"/>
      <c r="P43" s="432"/>
      <c r="Q43" s="138"/>
      <c r="R43" s="306" t="str">
        <f t="shared" si="3"/>
        <v/>
      </c>
      <c r="S43" s="306" t="str">
        <f t="shared" si="4"/>
        <v/>
      </c>
      <c r="T43" s="306" t="str">
        <f t="shared" si="5"/>
        <v/>
      </c>
      <c r="U43" s="327" t="str">
        <f t="shared" si="6"/>
        <v/>
      </c>
      <c r="V43" s="105"/>
      <c r="W43" s="104"/>
      <c r="X43" s="104"/>
      <c r="AE43" s="107" t="str">
        <f t="shared" si="0"/>
        <v/>
      </c>
      <c r="AF43" s="107" t="str">
        <f t="shared" si="1"/>
        <v/>
      </c>
      <c r="AH43" s="107">
        <v>34</v>
      </c>
      <c r="AJ43" s="107" t="str">
        <f t="array" ref="AJ43">IFERROR(INDEX($AH$10:$AH$258,MATCH(0,IF(TRUE=$AE$10:$AE$258,COUNTIF($AJ$9:$AJ42,$AH$10:$AH$258),""),0)),"")</f>
        <v/>
      </c>
      <c r="AK43" s="107" t="str">
        <f t="array" ref="AK43">IFERROR(INDEX($AH$10:$AH$258,MATCH(0,IF(TRUE=$AF$10:$AF$258,COUNTIF($AK$9:$AK42,$AH$10:$AH$258),""),0)),"")</f>
        <v/>
      </c>
      <c r="AL43" s="30" t="str">
        <f>IFERROR(INDEX('G-6 Hedgerow Data'!$BJ$3:$BJ$15,MATCH(D43,'G-6 Hedgerow Data'!$B$3:$B$15,0)),"")</f>
        <v/>
      </c>
    </row>
    <row r="44" spans="2:38" ht="14" hidden="1">
      <c r="B44" s="97">
        <v>35</v>
      </c>
      <c r="C44" s="138"/>
      <c r="D44" s="138"/>
      <c r="E44" s="104"/>
      <c r="F44" s="323" t="str">
        <f>IF(D44="","",VLOOKUP(D44,'G-6 Hedgerow Data'!$B$2:$AG$15,2,FALSE))</f>
        <v/>
      </c>
      <c r="G44" s="276" t="str">
        <f>IF(D44="","",VLOOKUP(D44,'G-6 Hedgerow Data'!$B$2:$AG$15,3,FALSE))</f>
        <v/>
      </c>
      <c r="H44" s="101"/>
      <c r="I44" s="276" t="str">
        <f>IFERROR(IF(AND(D44&lt;&gt;"",H44=""),"Check data ⚠",IF(H44="","",IF(AND(D44="Non-native and ornamental hedgerow",H44&lt;&gt;"Poor"),"Not possible ▲",(VLOOKUP(H44,'G-1 All Habitats'!$Z$2:$AA$9,2,FALSE))))),"")</f>
        <v/>
      </c>
      <c r="J44" s="101"/>
      <c r="K44" s="283" t="str">
        <f>IF(AND(D44&lt;&gt;"",J44=""),"Check data ⚠",IF(J44="","",IF(VLOOKUP(J44,'G-3 Multipliers'!$L$3:$N$6,2,FALSE)=0,"Spatial Data Missing",VLOOKUP(J44,'G-3 Multipliers'!$L$3:$N$6,2,FALSE))))</f>
        <v/>
      </c>
      <c r="L44" s="281" t="str">
        <f>IF(J44="","",IF(VLOOKUP(J44,'G-3 Multipliers'!$L$3:$N$6,3,FALSE)=0,"Spatial Data Missing ⚠",VLOOKUP(J44,'G-3 Multipliers'!$L$3:$N$6,3,FALSE)))</f>
        <v/>
      </c>
      <c r="M44" s="282" t="str">
        <f>IF(D44="","",VLOOKUP(D44,'G-6 Hedgerow Data'!$B$1:$AH$15,33,FALSE))</f>
        <v/>
      </c>
      <c r="N44" s="289" t="str">
        <f t="shared" si="2"/>
        <v/>
      </c>
      <c r="O44" s="32"/>
      <c r="P44" s="432"/>
      <c r="Q44" s="138"/>
      <c r="R44" s="306" t="str">
        <f t="shared" si="3"/>
        <v/>
      </c>
      <c r="S44" s="306" t="str">
        <f t="shared" si="4"/>
        <v/>
      </c>
      <c r="T44" s="306" t="str">
        <f t="shared" si="5"/>
        <v/>
      </c>
      <c r="U44" s="327" t="str">
        <f t="shared" si="6"/>
        <v/>
      </c>
      <c r="V44" s="105"/>
      <c r="W44" s="104"/>
      <c r="X44" s="104"/>
      <c r="AE44" s="107" t="str">
        <f t="shared" si="0"/>
        <v/>
      </c>
      <c r="AF44" s="107" t="str">
        <f t="shared" si="1"/>
        <v/>
      </c>
      <c r="AH44" s="107">
        <v>35</v>
      </c>
      <c r="AJ44" s="107" t="str">
        <f t="array" ref="AJ44">IFERROR(INDEX($AH$10:$AH$258,MATCH(0,IF(TRUE=$AE$10:$AE$258,COUNTIF($AJ$9:$AJ43,$AH$10:$AH$258),""),0)),"")</f>
        <v/>
      </c>
      <c r="AK44" s="107" t="str">
        <f t="array" ref="AK44">IFERROR(INDEX($AH$10:$AH$258,MATCH(0,IF(TRUE=$AF$10:$AF$258,COUNTIF($AK$9:$AK43,$AH$10:$AH$258),""),0)),"")</f>
        <v/>
      </c>
      <c r="AL44" s="30" t="str">
        <f>IFERROR(INDEX('G-6 Hedgerow Data'!$BJ$3:$BJ$15,MATCH(D44,'G-6 Hedgerow Data'!$B$3:$B$15,0)),"")</f>
        <v/>
      </c>
    </row>
    <row r="45" spans="2:38" ht="14" hidden="1">
      <c r="B45" s="97">
        <v>36</v>
      </c>
      <c r="C45" s="138"/>
      <c r="D45" s="138"/>
      <c r="E45" s="104"/>
      <c r="F45" s="323" t="str">
        <f>IF(D45="","",VLOOKUP(D45,'G-6 Hedgerow Data'!$B$2:$AG$15,2,FALSE))</f>
        <v/>
      </c>
      <c r="G45" s="276" t="str">
        <f>IF(D45="","",VLOOKUP(D45,'G-6 Hedgerow Data'!$B$2:$AG$15,3,FALSE))</f>
        <v/>
      </c>
      <c r="H45" s="101"/>
      <c r="I45" s="276" t="str">
        <f>IFERROR(IF(AND(D45&lt;&gt;"",H45=""),"Check data ⚠",IF(H45="","",IF(AND(D45="Non-native and ornamental hedgerow",H45&lt;&gt;"Poor"),"Not possible ▲",(VLOOKUP(H45,'G-1 All Habitats'!$Z$2:$AA$9,2,FALSE))))),"")</f>
        <v/>
      </c>
      <c r="J45" s="101"/>
      <c r="K45" s="283" t="str">
        <f>IF(AND(D45&lt;&gt;"",J45=""),"Check data ⚠",IF(J45="","",IF(VLOOKUP(J45,'G-3 Multipliers'!$L$3:$N$6,2,FALSE)=0,"Spatial Data Missing",VLOOKUP(J45,'G-3 Multipliers'!$L$3:$N$6,2,FALSE))))</f>
        <v/>
      </c>
      <c r="L45" s="281" t="str">
        <f>IF(J45="","",IF(VLOOKUP(J45,'G-3 Multipliers'!$L$3:$N$6,3,FALSE)=0,"Spatial Data Missing ⚠",VLOOKUP(J45,'G-3 Multipliers'!$L$3:$N$6,3,FALSE)))</f>
        <v/>
      </c>
      <c r="M45" s="282" t="str">
        <f>IF(D45="","",VLOOKUP(D45,'G-6 Hedgerow Data'!$B$1:$AH$15,33,FALSE))</f>
        <v/>
      </c>
      <c r="N45" s="289" t="str">
        <f t="shared" si="2"/>
        <v/>
      </c>
      <c r="O45" s="32"/>
      <c r="P45" s="432"/>
      <c r="Q45" s="138"/>
      <c r="R45" s="306" t="str">
        <f t="shared" si="3"/>
        <v/>
      </c>
      <c r="S45" s="306" t="str">
        <f t="shared" si="4"/>
        <v/>
      </c>
      <c r="T45" s="306" t="str">
        <f t="shared" si="5"/>
        <v/>
      </c>
      <c r="U45" s="327" t="str">
        <f t="shared" si="6"/>
        <v/>
      </c>
      <c r="V45" s="105"/>
      <c r="W45" s="104"/>
      <c r="X45" s="104"/>
      <c r="AE45" s="107" t="str">
        <f t="shared" si="0"/>
        <v/>
      </c>
      <c r="AF45" s="107" t="str">
        <f t="shared" si="1"/>
        <v/>
      </c>
      <c r="AH45" s="107">
        <v>36</v>
      </c>
      <c r="AJ45" s="107" t="str">
        <f t="array" ref="AJ45">IFERROR(INDEX($AH$10:$AH$258,MATCH(0,IF(TRUE=$AE$10:$AE$258,COUNTIF($AJ$9:$AJ44,$AH$10:$AH$258),""),0)),"")</f>
        <v/>
      </c>
      <c r="AK45" s="107" t="str">
        <f t="array" ref="AK45">IFERROR(INDEX($AH$10:$AH$258,MATCH(0,IF(TRUE=$AF$10:$AF$258,COUNTIF($AK$9:$AK44,$AH$10:$AH$258),""),0)),"")</f>
        <v/>
      </c>
      <c r="AL45" s="30" t="str">
        <f>IFERROR(INDEX('G-6 Hedgerow Data'!$BJ$3:$BJ$15,MATCH(D45,'G-6 Hedgerow Data'!$B$3:$B$15,0)),"")</f>
        <v/>
      </c>
    </row>
    <row r="46" spans="2:38" ht="14" hidden="1">
      <c r="B46" s="97">
        <v>37</v>
      </c>
      <c r="C46" s="138"/>
      <c r="D46" s="138"/>
      <c r="E46" s="104"/>
      <c r="F46" s="323" t="str">
        <f>IF(D46="","",VLOOKUP(D46,'G-6 Hedgerow Data'!$B$2:$AG$15,2,FALSE))</f>
        <v/>
      </c>
      <c r="G46" s="276" t="str">
        <f>IF(D46="","",VLOOKUP(D46,'G-6 Hedgerow Data'!$B$2:$AG$15,3,FALSE))</f>
        <v/>
      </c>
      <c r="H46" s="101"/>
      <c r="I46" s="276" t="str">
        <f>IFERROR(IF(AND(D46&lt;&gt;"",H46=""),"Check data ⚠",IF(H46="","",IF(AND(D46="Non-native and ornamental hedgerow",H46&lt;&gt;"Poor"),"Not possible ▲",(VLOOKUP(H46,'G-1 All Habitats'!$Z$2:$AA$9,2,FALSE))))),"")</f>
        <v/>
      </c>
      <c r="J46" s="101"/>
      <c r="K46" s="283" t="str">
        <f>IF(AND(D46&lt;&gt;"",J46=""),"Check data ⚠",IF(J46="","",IF(VLOOKUP(J46,'G-3 Multipliers'!$L$3:$N$6,2,FALSE)=0,"Spatial Data Missing",VLOOKUP(J46,'G-3 Multipliers'!$L$3:$N$6,2,FALSE))))</f>
        <v/>
      </c>
      <c r="L46" s="281" t="str">
        <f>IF(J46="","",IF(VLOOKUP(J46,'G-3 Multipliers'!$L$3:$N$6,3,FALSE)=0,"Spatial Data Missing ⚠",VLOOKUP(J46,'G-3 Multipliers'!$L$3:$N$6,3,FALSE)))</f>
        <v/>
      </c>
      <c r="M46" s="282" t="str">
        <f>IF(D46="","",VLOOKUP(D46,'G-6 Hedgerow Data'!$B$1:$AH$15,33,FALSE))</f>
        <v/>
      </c>
      <c r="N46" s="289" t="str">
        <f t="shared" si="2"/>
        <v/>
      </c>
      <c r="O46" s="32"/>
      <c r="P46" s="432"/>
      <c r="Q46" s="138"/>
      <c r="R46" s="306" t="str">
        <f t="shared" si="3"/>
        <v/>
      </c>
      <c r="S46" s="306" t="str">
        <f t="shared" si="4"/>
        <v/>
      </c>
      <c r="T46" s="306" t="str">
        <f t="shared" si="5"/>
        <v/>
      </c>
      <c r="U46" s="327" t="str">
        <f t="shared" si="6"/>
        <v/>
      </c>
      <c r="V46" s="105"/>
      <c r="W46" s="104"/>
      <c r="X46" s="104"/>
      <c r="AE46" s="107" t="str">
        <f t="shared" si="0"/>
        <v/>
      </c>
      <c r="AF46" s="107" t="str">
        <f t="shared" si="1"/>
        <v/>
      </c>
      <c r="AH46" s="107">
        <v>37</v>
      </c>
      <c r="AJ46" s="107" t="str">
        <f t="array" ref="AJ46">IFERROR(INDEX($AH$10:$AH$258,MATCH(0,IF(TRUE=$AE$10:$AE$258,COUNTIF($AJ$9:$AJ45,$AH$10:$AH$258),""),0)),"")</f>
        <v/>
      </c>
      <c r="AK46" s="107" t="str">
        <f t="array" ref="AK46">IFERROR(INDEX($AH$10:$AH$258,MATCH(0,IF(TRUE=$AF$10:$AF$258,COUNTIF($AK$9:$AK45,$AH$10:$AH$258),""),0)),"")</f>
        <v/>
      </c>
      <c r="AL46" s="30" t="str">
        <f>IFERROR(INDEX('G-6 Hedgerow Data'!$BJ$3:$BJ$15,MATCH(D46,'G-6 Hedgerow Data'!$B$3:$B$15,0)),"")</f>
        <v/>
      </c>
    </row>
    <row r="47" spans="2:38" ht="14" hidden="1">
      <c r="B47" s="97">
        <v>38</v>
      </c>
      <c r="C47" s="138"/>
      <c r="D47" s="138"/>
      <c r="E47" s="104"/>
      <c r="F47" s="323" t="str">
        <f>IF(D47="","",VLOOKUP(D47,'G-6 Hedgerow Data'!$B$2:$AG$15,2,FALSE))</f>
        <v/>
      </c>
      <c r="G47" s="276" t="str">
        <f>IF(D47="","",VLOOKUP(D47,'G-6 Hedgerow Data'!$B$2:$AG$15,3,FALSE))</f>
        <v/>
      </c>
      <c r="H47" s="101"/>
      <c r="I47" s="276" t="str">
        <f>IFERROR(IF(AND(D47&lt;&gt;"",H47=""),"Check data ⚠",IF(H47="","",IF(AND(D47="Non-native and ornamental hedgerow",H47&lt;&gt;"Poor"),"Not possible ▲",(VLOOKUP(H47,'G-1 All Habitats'!$Z$2:$AA$9,2,FALSE))))),"")</f>
        <v/>
      </c>
      <c r="J47" s="101"/>
      <c r="K47" s="283" t="str">
        <f>IF(AND(D47&lt;&gt;"",J47=""),"Check data ⚠",IF(J47="","",IF(VLOOKUP(J47,'G-3 Multipliers'!$L$3:$N$6,2,FALSE)=0,"Spatial Data Missing",VLOOKUP(J47,'G-3 Multipliers'!$L$3:$N$6,2,FALSE))))</f>
        <v/>
      </c>
      <c r="L47" s="281" t="str">
        <f>IF(J47="","",IF(VLOOKUP(J47,'G-3 Multipliers'!$L$3:$N$6,3,FALSE)=0,"Spatial Data Missing ⚠",VLOOKUP(J47,'G-3 Multipliers'!$L$3:$N$6,3,FALSE)))</f>
        <v/>
      </c>
      <c r="M47" s="282" t="str">
        <f>IF(D47="","",VLOOKUP(D47,'G-6 Hedgerow Data'!$B$1:$AH$15,33,FALSE))</f>
        <v/>
      </c>
      <c r="N47" s="289" t="str">
        <f t="shared" si="2"/>
        <v/>
      </c>
      <c r="O47" s="32"/>
      <c r="P47" s="432"/>
      <c r="Q47" s="138"/>
      <c r="R47" s="306" t="str">
        <f t="shared" si="3"/>
        <v/>
      </c>
      <c r="S47" s="306" t="str">
        <f t="shared" si="4"/>
        <v/>
      </c>
      <c r="T47" s="306" t="str">
        <f t="shared" si="5"/>
        <v/>
      </c>
      <c r="U47" s="327" t="str">
        <f t="shared" si="6"/>
        <v/>
      </c>
      <c r="V47" s="105"/>
      <c r="W47" s="104"/>
      <c r="X47" s="104"/>
      <c r="AE47" s="107" t="str">
        <f t="shared" si="0"/>
        <v/>
      </c>
      <c r="AF47" s="107" t="str">
        <f t="shared" si="1"/>
        <v/>
      </c>
      <c r="AH47" s="107">
        <v>38</v>
      </c>
      <c r="AJ47" s="107" t="str">
        <f t="array" ref="AJ47">IFERROR(INDEX($AH$10:$AH$258,MATCH(0,IF(TRUE=$AE$10:$AE$258,COUNTIF($AJ$9:$AJ46,$AH$10:$AH$258),""),0)),"")</f>
        <v/>
      </c>
      <c r="AK47" s="107" t="str">
        <f t="array" ref="AK47">IFERROR(INDEX($AH$10:$AH$258,MATCH(0,IF(TRUE=$AF$10:$AF$258,COUNTIF($AK$9:$AK46,$AH$10:$AH$258),""),0)),"")</f>
        <v/>
      </c>
      <c r="AL47" s="30" t="str">
        <f>IFERROR(INDEX('G-6 Hedgerow Data'!$BJ$3:$BJ$15,MATCH(D47,'G-6 Hedgerow Data'!$B$3:$B$15,0)),"")</f>
        <v/>
      </c>
    </row>
    <row r="48" spans="2:38" ht="14" hidden="1">
      <c r="B48" s="97">
        <v>39</v>
      </c>
      <c r="C48" s="138"/>
      <c r="D48" s="138"/>
      <c r="E48" s="104"/>
      <c r="F48" s="323" t="str">
        <f>IF(D48="","",VLOOKUP(D48,'G-6 Hedgerow Data'!$B$2:$AG$15,2,FALSE))</f>
        <v/>
      </c>
      <c r="G48" s="276" t="str">
        <f>IF(D48="","",VLOOKUP(D48,'G-6 Hedgerow Data'!$B$2:$AG$15,3,FALSE))</f>
        <v/>
      </c>
      <c r="H48" s="101"/>
      <c r="I48" s="276" t="str">
        <f>IFERROR(IF(AND(D48&lt;&gt;"",H48=""),"Check data ⚠",IF(H48="","",IF(AND(D48="Non-native and ornamental hedgerow",H48&lt;&gt;"Poor"),"Not possible ▲",(VLOOKUP(H48,'G-1 All Habitats'!$Z$2:$AA$9,2,FALSE))))),"")</f>
        <v/>
      </c>
      <c r="J48" s="101"/>
      <c r="K48" s="283" t="str">
        <f>IF(AND(D48&lt;&gt;"",J48=""),"Check data ⚠",IF(J48="","",IF(VLOOKUP(J48,'G-3 Multipliers'!$L$3:$N$6,2,FALSE)=0,"Spatial Data Missing",VLOOKUP(J48,'G-3 Multipliers'!$L$3:$N$6,2,FALSE))))</f>
        <v/>
      </c>
      <c r="L48" s="281" t="str">
        <f>IF(J48="","",IF(VLOOKUP(J48,'G-3 Multipliers'!$L$3:$N$6,3,FALSE)=0,"Spatial Data Missing ⚠",VLOOKUP(J48,'G-3 Multipliers'!$L$3:$N$6,3,FALSE)))</f>
        <v/>
      </c>
      <c r="M48" s="282" t="str">
        <f>IF(D48="","",VLOOKUP(D48,'G-6 Hedgerow Data'!$B$1:$AH$15,33,FALSE))</f>
        <v/>
      </c>
      <c r="N48" s="289" t="str">
        <f t="shared" si="2"/>
        <v/>
      </c>
      <c r="O48" s="32"/>
      <c r="P48" s="105"/>
      <c r="Q48" s="138"/>
      <c r="R48" s="306" t="str">
        <f t="shared" si="3"/>
        <v/>
      </c>
      <c r="S48" s="306" t="str">
        <f t="shared" si="4"/>
        <v/>
      </c>
      <c r="T48" s="306" t="str">
        <f t="shared" si="5"/>
        <v/>
      </c>
      <c r="U48" s="327" t="str">
        <f t="shared" si="6"/>
        <v/>
      </c>
      <c r="V48" s="105"/>
      <c r="W48" s="104"/>
      <c r="X48" s="104"/>
      <c r="AE48" s="107" t="str">
        <f t="shared" si="0"/>
        <v/>
      </c>
      <c r="AF48" s="107" t="str">
        <f t="shared" si="1"/>
        <v/>
      </c>
      <c r="AH48" s="107">
        <v>39</v>
      </c>
      <c r="AJ48" s="107" t="str">
        <f t="array" ref="AJ48">IFERROR(INDEX($AH$10:$AH$258,MATCH(0,IF(TRUE=$AE$10:$AE$258,COUNTIF($AJ$9:$AJ47,$AH$10:$AH$258),""),0)),"")</f>
        <v/>
      </c>
      <c r="AK48" s="107" t="str">
        <f t="array" ref="AK48">IFERROR(INDEX($AH$10:$AH$258,MATCH(0,IF(TRUE=$AF$10:$AF$258,COUNTIF($AK$9:$AK47,$AH$10:$AH$258),""),0)),"")</f>
        <v/>
      </c>
      <c r="AL48" s="30" t="str">
        <f>IFERROR(INDEX('G-6 Hedgerow Data'!$BJ$3:$BJ$15,MATCH(D48,'G-6 Hedgerow Data'!$B$3:$B$15,0)),"")</f>
        <v/>
      </c>
    </row>
    <row r="49" spans="2:38" ht="14" hidden="1">
      <c r="B49" s="97">
        <v>40</v>
      </c>
      <c r="C49" s="138"/>
      <c r="D49" s="138"/>
      <c r="E49" s="104"/>
      <c r="F49" s="323" t="str">
        <f>IF(D49="","",VLOOKUP(D49,'G-6 Hedgerow Data'!$B$2:$AG$15,2,FALSE))</f>
        <v/>
      </c>
      <c r="G49" s="276" t="str">
        <f>IF(D49="","",VLOOKUP(D49,'G-6 Hedgerow Data'!$B$2:$AG$15,3,FALSE))</f>
        <v/>
      </c>
      <c r="H49" s="101"/>
      <c r="I49" s="276" t="str">
        <f>IFERROR(IF(AND(D49&lt;&gt;"",H49=""),"Check data ⚠",IF(H49="","",IF(AND(D49="Non-native and ornamental hedgerow",H49&lt;&gt;"Poor"),"Not possible ▲",(VLOOKUP(H49,'G-1 All Habitats'!$Z$2:$AA$9,2,FALSE))))),"")</f>
        <v/>
      </c>
      <c r="J49" s="101"/>
      <c r="K49" s="283" t="str">
        <f>IF(AND(D49&lt;&gt;"",J49=""),"Check data ⚠",IF(J49="","",IF(VLOOKUP(J49,'G-3 Multipliers'!$L$3:$N$6,2,FALSE)=0,"Spatial Data Missing",VLOOKUP(J49,'G-3 Multipliers'!$L$3:$N$6,2,FALSE))))</f>
        <v/>
      </c>
      <c r="L49" s="281" t="str">
        <f>IF(J49="","",IF(VLOOKUP(J49,'G-3 Multipliers'!$L$3:$N$6,3,FALSE)=0,"Spatial Data Missing ⚠",VLOOKUP(J49,'G-3 Multipliers'!$L$3:$N$6,3,FALSE)))</f>
        <v/>
      </c>
      <c r="M49" s="282" t="str">
        <f>IF(D49="","",VLOOKUP(D49,'G-6 Hedgerow Data'!$B$1:$AH$15,33,FALSE))</f>
        <v/>
      </c>
      <c r="N49" s="289" t="str">
        <f t="shared" si="2"/>
        <v/>
      </c>
      <c r="O49" s="32"/>
      <c r="P49" s="105"/>
      <c r="Q49" s="138"/>
      <c r="R49" s="306" t="str">
        <f t="shared" si="3"/>
        <v/>
      </c>
      <c r="S49" s="306" t="str">
        <f t="shared" si="4"/>
        <v/>
      </c>
      <c r="T49" s="306" t="str">
        <f t="shared" si="5"/>
        <v/>
      </c>
      <c r="U49" s="327" t="str">
        <f t="shared" si="6"/>
        <v/>
      </c>
      <c r="V49" s="105"/>
      <c r="W49" s="104"/>
      <c r="X49" s="104"/>
      <c r="AE49" s="107" t="str">
        <f t="shared" si="0"/>
        <v/>
      </c>
      <c r="AF49" s="107" t="str">
        <f t="shared" si="1"/>
        <v/>
      </c>
      <c r="AH49" s="107">
        <v>40</v>
      </c>
      <c r="AJ49" s="107" t="str">
        <f t="array" ref="AJ49">IFERROR(INDEX($AH$10:$AH$258,MATCH(0,IF(TRUE=$AE$10:$AE$258,COUNTIF($AJ$9:$AJ48,$AH$10:$AH$258),""),0)),"")</f>
        <v/>
      </c>
      <c r="AK49" s="107" t="str">
        <f t="array" ref="AK49">IFERROR(INDEX($AH$10:$AH$258,MATCH(0,IF(TRUE=$AF$10:$AF$258,COUNTIF($AK$9:$AK48,$AH$10:$AH$258),""),0)),"")</f>
        <v/>
      </c>
      <c r="AL49" s="30" t="str">
        <f>IFERROR(INDEX('G-6 Hedgerow Data'!$BJ$3:$BJ$15,MATCH(D49,'G-6 Hedgerow Data'!$B$3:$B$15,0)),"")</f>
        <v/>
      </c>
    </row>
    <row r="50" spans="2:38" ht="14" hidden="1">
      <c r="B50" s="97">
        <v>41</v>
      </c>
      <c r="C50" s="138"/>
      <c r="D50" s="138"/>
      <c r="E50" s="104"/>
      <c r="F50" s="323" t="str">
        <f>IF(D50="","",VLOOKUP(D50,'G-6 Hedgerow Data'!$B$2:$AG$15,2,FALSE))</f>
        <v/>
      </c>
      <c r="G50" s="276" t="str">
        <f>IF(D50="","",VLOOKUP(D50,'G-6 Hedgerow Data'!$B$2:$AG$15,3,FALSE))</f>
        <v/>
      </c>
      <c r="H50" s="101"/>
      <c r="I50" s="276" t="str">
        <f>IFERROR(IF(AND(D50&lt;&gt;"",H50=""),"Check data ⚠",IF(H50="","",IF(AND(D50="Non-native and ornamental hedgerow",H50&lt;&gt;"Poor"),"Not possible ▲",(VLOOKUP(H50,'G-1 All Habitats'!$Z$2:$AA$9,2,FALSE))))),"")</f>
        <v/>
      </c>
      <c r="J50" s="101"/>
      <c r="K50" s="283" t="str">
        <f>IF(AND(D50&lt;&gt;"",J50=""),"Check data ⚠",IF(J50="","",IF(VLOOKUP(J50,'G-3 Multipliers'!$L$3:$N$6,2,FALSE)=0,"Spatial Data Missing",VLOOKUP(J50,'G-3 Multipliers'!$L$3:$N$6,2,FALSE))))</f>
        <v/>
      </c>
      <c r="L50" s="281" t="str">
        <f>IF(J50="","",IF(VLOOKUP(J50,'G-3 Multipliers'!$L$3:$N$6,3,FALSE)=0,"Spatial Data Missing ⚠",VLOOKUP(J50,'G-3 Multipliers'!$L$3:$N$6,3,FALSE)))</f>
        <v/>
      </c>
      <c r="M50" s="282" t="str">
        <f>IF(D50="","",VLOOKUP(D50,'G-6 Hedgerow Data'!$B$1:$AH$15,33,FALSE))</f>
        <v/>
      </c>
      <c r="N50" s="289" t="str">
        <f t="shared" si="2"/>
        <v/>
      </c>
      <c r="O50" s="32"/>
      <c r="P50" s="105"/>
      <c r="Q50" s="138"/>
      <c r="R50" s="306" t="str">
        <f t="shared" si="3"/>
        <v/>
      </c>
      <c r="S50" s="306" t="str">
        <f t="shared" si="4"/>
        <v/>
      </c>
      <c r="T50" s="306" t="str">
        <f t="shared" si="5"/>
        <v/>
      </c>
      <c r="U50" s="327" t="str">
        <f t="shared" si="6"/>
        <v/>
      </c>
      <c r="V50" s="105"/>
      <c r="W50" s="104"/>
      <c r="X50" s="104"/>
      <c r="AE50" s="107" t="str">
        <f t="shared" si="0"/>
        <v/>
      </c>
      <c r="AF50" s="107" t="str">
        <f t="shared" si="1"/>
        <v/>
      </c>
      <c r="AH50" s="107">
        <v>41</v>
      </c>
      <c r="AJ50" s="107" t="str">
        <f t="array" ref="AJ50">IFERROR(INDEX($AH$10:$AH$258,MATCH(0,IF(TRUE=$AE$10:$AE$258,COUNTIF($AJ$9:$AJ49,$AH$10:$AH$258),""),0)),"")</f>
        <v/>
      </c>
      <c r="AK50" s="107" t="str">
        <f t="array" ref="AK50">IFERROR(INDEX($AH$10:$AH$258,MATCH(0,IF(TRUE=$AF$10:$AF$258,COUNTIF($AK$9:$AK49,$AH$10:$AH$258),""),0)),"")</f>
        <v/>
      </c>
      <c r="AL50" s="30" t="str">
        <f>IFERROR(INDEX('G-6 Hedgerow Data'!$BJ$3:$BJ$15,MATCH(D50,'G-6 Hedgerow Data'!$B$3:$B$15,0)),"")</f>
        <v/>
      </c>
    </row>
    <row r="51" spans="2:38" ht="14" hidden="1">
      <c r="B51" s="97">
        <v>42</v>
      </c>
      <c r="C51" s="138"/>
      <c r="D51" s="138"/>
      <c r="E51" s="104"/>
      <c r="F51" s="323" t="str">
        <f>IF(D51="","",VLOOKUP(D51,'G-6 Hedgerow Data'!$B$2:$AG$15,2,FALSE))</f>
        <v/>
      </c>
      <c r="G51" s="276" t="str">
        <f>IF(D51="","",VLOOKUP(D51,'G-6 Hedgerow Data'!$B$2:$AG$15,3,FALSE))</f>
        <v/>
      </c>
      <c r="H51" s="101"/>
      <c r="I51" s="276" t="str">
        <f>IFERROR(IF(AND(D51&lt;&gt;"",H51=""),"Check data ⚠",IF(H51="","",IF(AND(D51="Non-native and ornamental hedgerow",H51&lt;&gt;"Poor"),"Not possible ▲",(VLOOKUP(H51,'G-1 All Habitats'!$Z$2:$AA$9,2,FALSE))))),"")</f>
        <v/>
      </c>
      <c r="J51" s="101"/>
      <c r="K51" s="283" t="str">
        <f>IF(AND(D51&lt;&gt;"",J51=""),"Check data ⚠",IF(J51="","",IF(VLOOKUP(J51,'G-3 Multipliers'!$L$3:$N$6,2,FALSE)=0,"Spatial Data Missing",VLOOKUP(J51,'G-3 Multipliers'!$L$3:$N$6,2,FALSE))))</f>
        <v/>
      </c>
      <c r="L51" s="281" t="str">
        <f>IF(J51="","",IF(VLOOKUP(J51,'G-3 Multipliers'!$L$3:$N$6,3,FALSE)=0,"Spatial Data Missing ⚠",VLOOKUP(J51,'G-3 Multipliers'!$L$3:$N$6,3,FALSE)))</f>
        <v/>
      </c>
      <c r="M51" s="282" t="str">
        <f>IF(D51="","",VLOOKUP(D51,'G-6 Hedgerow Data'!$B$1:$AH$15,33,FALSE))</f>
        <v/>
      </c>
      <c r="N51" s="289" t="str">
        <f t="shared" si="2"/>
        <v/>
      </c>
      <c r="O51" s="32"/>
      <c r="P51" s="105"/>
      <c r="Q51" s="138"/>
      <c r="R51" s="306" t="str">
        <f t="shared" si="3"/>
        <v/>
      </c>
      <c r="S51" s="306" t="str">
        <f t="shared" si="4"/>
        <v/>
      </c>
      <c r="T51" s="306" t="str">
        <f t="shared" si="5"/>
        <v/>
      </c>
      <c r="U51" s="327" t="str">
        <f t="shared" si="6"/>
        <v/>
      </c>
      <c r="V51" s="105"/>
      <c r="W51" s="104"/>
      <c r="X51" s="104"/>
      <c r="AE51" s="107" t="str">
        <f t="shared" si="0"/>
        <v/>
      </c>
      <c r="AF51" s="107" t="str">
        <f t="shared" si="1"/>
        <v/>
      </c>
      <c r="AH51" s="107">
        <v>42</v>
      </c>
      <c r="AJ51" s="107" t="str">
        <f t="array" ref="AJ51">IFERROR(INDEX($AH$10:$AH$258,MATCH(0,IF(TRUE=$AE$10:$AE$258,COUNTIF($AJ$9:$AJ50,$AH$10:$AH$258),""),0)),"")</f>
        <v/>
      </c>
      <c r="AK51" s="107" t="str">
        <f t="array" ref="AK51">IFERROR(INDEX($AH$10:$AH$258,MATCH(0,IF(TRUE=$AF$10:$AF$258,COUNTIF($AK$9:$AK50,$AH$10:$AH$258),""),0)),"")</f>
        <v/>
      </c>
      <c r="AL51" s="30" t="str">
        <f>IFERROR(INDEX('G-6 Hedgerow Data'!$BJ$3:$BJ$15,MATCH(D51,'G-6 Hedgerow Data'!$B$3:$B$15,0)),"")</f>
        <v/>
      </c>
    </row>
    <row r="52" spans="2:38" ht="14" hidden="1">
      <c r="B52" s="97">
        <v>43</v>
      </c>
      <c r="C52" s="138"/>
      <c r="D52" s="138"/>
      <c r="E52" s="104"/>
      <c r="F52" s="323" t="str">
        <f>IF(D52="","",VLOOKUP(D52,'G-6 Hedgerow Data'!$B$2:$AG$15,2,FALSE))</f>
        <v/>
      </c>
      <c r="G52" s="276" t="str">
        <f>IF(D52="","",VLOOKUP(D52,'G-6 Hedgerow Data'!$B$2:$AG$15,3,FALSE))</f>
        <v/>
      </c>
      <c r="H52" s="101"/>
      <c r="I52" s="276" t="str">
        <f>IFERROR(IF(AND(D52&lt;&gt;"",H52=""),"Check data ⚠",IF(H52="","",IF(AND(D52="Non-native and ornamental hedgerow",H52&lt;&gt;"Poor"),"Not possible ▲",(VLOOKUP(H52,'G-1 All Habitats'!$Z$2:$AA$9,2,FALSE))))),"")</f>
        <v/>
      </c>
      <c r="J52" s="101"/>
      <c r="K52" s="283" t="str">
        <f>IF(AND(D52&lt;&gt;"",J52=""),"Check data ⚠",IF(J52="","",IF(VLOOKUP(J52,'G-3 Multipliers'!$L$3:$N$6,2,FALSE)=0,"Spatial Data Missing",VLOOKUP(J52,'G-3 Multipliers'!$L$3:$N$6,2,FALSE))))</f>
        <v/>
      </c>
      <c r="L52" s="281" t="str">
        <f>IF(J52="","",IF(VLOOKUP(J52,'G-3 Multipliers'!$L$3:$N$6,3,FALSE)=0,"Spatial Data Missing ⚠",VLOOKUP(J52,'G-3 Multipliers'!$L$3:$N$6,3,FALSE)))</f>
        <v/>
      </c>
      <c r="M52" s="282" t="str">
        <f>IF(D52="","",VLOOKUP(D52,'G-6 Hedgerow Data'!$B$1:$AH$15,33,FALSE))</f>
        <v/>
      </c>
      <c r="N52" s="289" t="str">
        <f t="shared" si="2"/>
        <v/>
      </c>
      <c r="O52" s="32"/>
      <c r="P52" s="105"/>
      <c r="Q52" s="138"/>
      <c r="R52" s="306" t="str">
        <f t="shared" si="3"/>
        <v/>
      </c>
      <c r="S52" s="306" t="str">
        <f t="shared" si="4"/>
        <v/>
      </c>
      <c r="T52" s="306" t="str">
        <f t="shared" si="5"/>
        <v/>
      </c>
      <c r="U52" s="327" t="str">
        <f t="shared" si="6"/>
        <v/>
      </c>
      <c r="V52" s="105"/>
      <c r="W52" s="104"/>
      <c r="X52" s="104"/>
      <c r="AE52" s="107" t="str">
        <f t="shared" si="0"/>
        <v/>
      </c>
      <c r="AF52" s="107" t="str">
        <f t="shared" si="1"/>
        <v/>
      </c>
      <c r="AH52" s="107">
        <v>43</v>
      </c>
      <c r="AJ52" s="107" t="str">
        <f t="array" ref="AJ52">IFERROR(INDEX($AH$10:$AH$258,MATCH(0,IF(TRUE=$AE$10:$AE$258,COUNTIF($AJ$9:$AJ51,$AH$10:$AH$258),""),0)),"")</f>
        <v/>
      </c>
      <c r="AK52" s="107" t="str">
        <f t="array" ref="AK52">IFERROR(INDEX($AH$10:$AH$258,MATCH(0,IF(TRUE=$AF$10:$AF$258,COUNTIF($AK$9:$AK51,$AH$10:$AH$258),""),0)),"")</f>
        <v/>
      </c>
      <c r="AL52" s="30" t="str">
        <f>IFERROR(INDEX('G-6 Hedgerow Data'!$BJ$3:$BJ$15,MATCH(D52,'G-6 Hedgerow Data'!$B$3:$B$15,0)),"")</f>
        <v/>
      </c>
    </row>
    <row r="53" spans="2:38" ht="14" hidden="1">
      <c r="B53" s="97">
        <v>44</v>
      </c>
      <c r="C53" s="138"/>
      <c r="D53" s="138"/>
      <c r="E53" s="104"/>
      <c r="F53" s="323" t="str">
        <f>IF(D53="","",VLOOKUP(D53,'G-6 Hedgerow Data'!$B$2:$AG$15,2,FALSE))</f>
        <v/>
      </c>
      <c r="G53" s="276" t="str">
        <f>IF(D53="","",VLOOKUP(D53,'G-6 Hedgerow Data'!$B$2:$AG$15,3,FALSE))</f>
        <v/>
      </c>
      <c r="H53" s="101"/>
      <c r="I53" s="276" t="str">
        <f>IFERROR(IF(AND(D53&lt;&gt;"",H53=""),"Check data ⚠",IF(H53="","",IF(AND(D53="Non-native and ornamental hedgerow",H53&lt;&gt;"Poor"),"Not possible ▲",(VLOOKUP(H53,'G-1 All Habitats'!$Z$2:$AA$9,2,FALSE))))),"")</f>
        <v/>
      </c>
      <c r="J53" s="101"/>
      <c r="K53" s="283" t="str">
        <f>IF(AND(D53&lt;&gt;"",J53=""),"Check data ⚠",IF(J53="","",IF(VLOOKUP(J53,'G-3 Multipliers'!$L$3:$N$6,2,FALSE)=0,"Spatial Data Missing",VLOOKUP(J53,'G-3 Multipliers'!$L$3:$N$6,2,FALSE))))</f>
        <v/>
      </c>
      <c r="L53" s="281" t="str">
        <f>IF(J53="","",IF(VLOOKUP(J53,'G-3 Multipliers'!$L$3:$N$6,3,FALSE)=0,"Spatial Data Missing ⚠",VLOOKUP(J53,'G-3 Multipliers'!$L$3:$N$6,3,FALSE)))</f>
        <v/>
      </c>
      <c r="M53" s="282" t="str">
        <f>IF(D53="","",VLOOKUP(D53,'G-6 Hedgerow Data'!$B$1:$AH$15,33,FALSE))</f>
        <v/>
      </c>
      <c r="N53" s="289" t="str">
        <f t="shared" si="2"/>
        <v/>
      </c>
      <c r="O53" s="32"/>
      <c r="P53" s="105"/>
      <c r="Q53" s="138"/>
      <c r="R53" s="306" t="str">
        <f t="shared" si="3"/>
        <v/>
      </c>
      <c r="S53" s="306" t="str">
        <f t="shared" si="4"/>
        <v/>
      </c>
      <c r="T53" s="306" t="str">
        <f t="shared" si="5"/>
        <v/>
      </c>
      <c r="U53" s="327" t="str">
        <f t="shared" si="6"/>
        <v/>
      </c>
      <c r="V53" s="105"/>
      <c r="W53" s="104"/>
      <c r="X53" s="104"/>
      <c r="AE53" s="107" t="str">
        <f t="shared" si="0"/>
        <v/>
      </c>
      <c r="AF53" s="107" t="str">
        <f t="shared" si="1"/>
        <v/>
      </c>
      <c r="AH53" s="107">
        <v>44</v>
      </c>
      <c r="AJ53" s="107" t="str">
        <f t="array" ref="AJ53">IFERROR(INDEX($AH$10:$AH$258,MATCH(0,IF(TRUE=$AE$10:$AE$258,COUNTIF($AJ$9:$AJ52,$AH$10:$AH$258),""),0)),"")</f>
        <v/>
      </c>
      <c r="AK53" s="107" t="str">
        <f t="array" ref="AK53">IFERROR(INDEX($AH$10:$AH$258,MATCH(0,IF(TRUE=$AF$10:$AF$258,COUNTIF($AK$9:$AK52,$AH$10:$AH$258),""),0)),"")</f>
        <v/>
      </c>
      <c r="AL53" s="30" t="str">
        <f>IFERROR(INDEX('G-6 Hedgerow Data'!$BJ$3:$BJ$15,MATCH(D53,'G-6 Hedgerow Data'!$B$3:$B$15,0)),"")</f>
        <v/>
      </c>
    </row>
    <row r="54" spans="2:38" ht="14" hidden="1">
      <c r="B54" s="97">
        <v>45</v>
      </c>
      <c r="C54" s="138"/>
      <c r="D54" s="138"/>
      <c r="E54" s="104"/>
      <c r="F54" s="323" t="str">
        <f>IF(D54="","",VLOOKUP(D54,'G-6 Hedgerow Data'!$B$2:$AG$15,2,FALSE))</f>
        <v/>
      </c>
      <c r="G54" s="276" t="str">
        <f>IF(D54="","",VLOOKUP(D54,'G-6 Hedgerow Data'!$B$2:$AG$15,3,FALSE))</f>
        <v/>
      </c>
      <c r="H54" s="101"/>
      <c r="I54" s="276" t="str">
        <f>IFERROR(IF(AND(D54&lt;&gt;"",H54=""),"Check data ⚠",IF(H54="","",IF(AND(D54="Non-native and ornamental hedgerow",H54&lt;&gt;"Poor"),"Not possible ▲",(VLOOKUP(H54,'G-1 All Habitats'!$Z$2:$AA$9,2,FALSE))))),"")</f>
        <v/>
      </c>
      <c r="J54" s="101"/>
      <c r="K54" s="283" t="str">
        <f>IF(AND(D54&lt;&gt;"",J54=""),"Check data ⚠",IF(J54="","",IF(VLOOKUP(J54,'G-3 Multipliers'!$L$3:$N$6,2,FALSE)=0,"Spatial Data Missing",VLOOKUP(J54,'G-3 Multipliers'!$L$3:$N$6,2,FALSE))))</f>
        <v/>
      </c>
      <c r="L54" s="281" t="str">
        <f>IF(J54="","",IF(VLOOKUP(J54,'G-3 Multipliers'!$L$3:$N$6,3,FALSE)=0,"Spatial Data Missing ⚠",VLOOKUP(J54,'G-3 Multipliers'!$L$3:$N$6,3,FALSE)))</f>
        <v/>
      </c>
      <c r="M54" s="282" t="str">
        <f>IF(D54="","",VLOOKUP(D54,'G-6 Hedgerow Data'!$B$1:$AH$15,33,FALSE))</f>
        <v/>
      </c>
      <c r="N54" s="289" t="str">
        <f t="shared" si="2"/>
        <v/>
      </c>
      <c r="O54" s="32"/>
      <c r="P54" s="105"/>
      <c r="Q54" s="138"/>
      <c r="R54" s="306" t="str">
        <f t="shared" si="3"/>
        <v/>
      </c>
      <c r="S54" s="306" t="str">
        <f t="shared" si="4"/>
        <v/>
      </c>
      <c r="T54" s="306" t="str">
        <f t="shared" si="5"/>
        <v/>
      </c>
      <c r="U54" s="327" t="str">
        <f t="shared" si="6"/>
        <v/>
      </c>
      <c r="V54" s="105"/>
      <c r="W54" s="104"/>
      <c r="X54" s="104"/>
      <c r="AE54" s="107" t="str">
        <f t="shared" si="0"/>
        <v/>
      </c>
      <c r="AF54" s="107" t="str">
        <f t="shared" si="1"/>
        <v/>
      </c>
      <c r="AH54" s="107">
        <v>45</v>
      </c>
      <c r="AJ54" s="107" t="str">
        <f t="array" ref="AJ54">IFERROR(INDEX($AH$10:$AH$258,MATCH(0,IF(TRUE=$AE$10:$AE$258,COUNTIF($AJ$9:$AJ53,$AH$10:$AH$258),""),0)),"")</f>
        <v/>
      </c>
      <c r="AK54" s="107" t="str">
        <f t="array" ref="AK54">IFERROR(INDEX($AH$10:$AH$258,MATCH(0,IF(TRUE=$AF$10:$AF$258,COUNTIF($AK$9:$AK53,$AH$10:$AH$258),""),0)),"")</f>
        <v/>
      </c>
      <c r="AL54" s="30" t="str">
        <f>IFERROR(INDEX('G-6 Hedgerow Data'!$BJ$3:$BJ$15,MATCH(D54,'G-6 Hedgerow Data'!$B$3:$B$15,0)),"")</f>
        <v/>
      </c>
    </row>
    <row r="55" spans="2:38" ht="14" hidden="1">
      <c r="B55" s="97">
        <v>46</v>
      </c>
      <c r="C55" s="138"/>
      <c r="D55" s="138"/>
      <c r="E55" s="104"/>
      <c r="F55" s="323" t="str">
        <f>IF(D55="","",VLOOKUP(D55,'G-6 Hedgerow Data'!$B$2:$AG$15,2,FALSE))</f>
        <v/>
      </c>
      <c r="G55" s="276" t="str">
        <f>IF(D55="","",VLOOKUP(D55,'G-6 Hedgerow Data'!$B$2:$AG$15,3,FALSE))</f>
        <v/>
      </c>
      <c r="H55" s="101"/>
      <c r="I55" s="276" t="str">
        <f>IFERROR(IF(AND(D55&lt;&gt;"",H55=""),"Check data ⚠",IF(H55="","",IF(AND(D55="Non-native and ornamental hedgerow",H55&lt;&gt;"Poor"),"Not possible ▲",(VLOOKUP(H55,'G-1 All Habitats'!$Z$2:$AA$9,2,FALSE))))),"")</f>
        <v/>
      </c>
      <c r="J55" s="101"/>
      <c r="K55" s="283" t="str">
        <f>IF(AND(D55&lt;&gt;"",J55=""),"Check data ⚠",IF(J55="","",IF(VLOOKUP(J55,'G-3 Multipliers'!$L$3:$N$6,2,FALSE)=0,"Spatial Data Missing",VLOOKUP(J55,'G-3 Multipliers'!$L$3:$N$6,2,FALSE))))</f>
        <v/>
      </c>
      <c r="L55" s="281" t="str">
        <f>IF(J55="","",IF(VLOOKUP(J55,'G-3 Multipliers'!$L$3:$N$6,3,FALSE)=0,"Spatial Data Missing ⚠",VLOOKUP(J55,'G-3 Multipliers'!$L$3:$N$6,3,FALSE)))</f>
        <v/>
      </c>
      <c r="M55" s="282" t="str">
        <f>IF(D55="","",VLOOKUP(D55,'G-6 Hedgerow Data'!$B$1:$AH$15,33,FALSE))</f>
        <v/>
      </c>
      <c r="N55" s="289" t="str">
        <f t="shared" si="2"/>
        <v/>
      </c>
      <c r="O55" s="32"/>
      <c r="P55" s="105"/>
      <c r="Q55" s="138"/>
      <c r="R55" s="306" t="str">
        <f t="shared" si="3"/>
        <v/>
      </c>
      <c r="S55" s="306" t="str">
        <f t="shared" si="4"/>
        <v/>
      </c>
      <c r="T55" s="306" t="str">
        <f t="shared" si="5"/>
        <v/>
      </c>
      <c r="U55" s="327" t="str">
        <f t="shared" si="6"/>
        <v/>
      </c>
      <c r="V55" s="105"/>
      <c r="W55" s="104"/>
      <c r="X55" s="104"/>
      <c r="AE55" s="107" t="str">
        <f t="shared" si="0"/>
        <v/>
      </c>
      <c r="AF55" s="107" t="str">
        <f t="shared" si="1"/>
        <v/>
      </c>
      <c r="AH55" s="107">
        <v>46</v>
      </c>
      <c r="AJ55" s="107" t="str">
        <f t="array" ref="AJ55">IFERROR(INDEX($AH$10:$AH$258,MATCH(0,IF(TRUE=$AE$10:$AE$258,COUNTIF($AJ$9:$AJ54,$AH$10:$AH$258),""),0)),"")</f>
        <v/>
      </c>
      <c r="AK55" s="107" t="str">
        <f t="array" ref="AK55">IFERROR(INDEX($AH$10:$AH$258,MATCH(0,IF(TRUE=$AF$10:$AF$258,COUNTIF($AK$9:$AK54,$AH$10:$AH$258),""),0)),"")</f>
        <v/>
      </c>
      <c r="AL55" s="30" t="str">
        <f>IFERROR(INDEX('G-6 Hedgerow Data'!$BJ$3:$BJ$15,MATCH(D55,'G-6 Hedgerow Data'!$B$3:$B$15,0)),"")</f>
        <v/>
      </c>
    </row>
    <row r="56" spans="2:38" ht="14" hidden="1">
      <c r="B56" s="97">
        <v>47</v>
      </c>
      <c r="C56" s="138"/>
      <c r="D56" s="138"/>
      <c r="E56" s="104"/>
      <c r="F56" s="323" t="str">
        <f>IF(D56="","",VLOOKUP(D56,'G-6 Hedgerow Data'!$B$2:$AG$15,2,FALSE))</f>
        <v/>
      </c>
      <c r="G56" s="276" t="str">
        <f>IF(D56="","",VLOOKUP(D56,'G-6 Hedgerow Data'!$B$2:$AG$15,3,FALSE))</f>
        <v/>
      </c>
      <c r="H56" s="101"/>
      <c r="I56" s="276" t="str">
        <f>IFERROR(IF(AND(D56&lt;&gt;"",H56=""),"Check data ⚠",IF(H56="","",IF(AND(D56="Non-native and ornamental hedgerow",H56&lt;&gt;"Poor"),"Not possible ▲",(VLOOKUP(H56,'G-1 All Habitats'!$Z$2:$AA$9,2,FALSE))))),"")</f>
        <v/>
      </c>
      <c r="J56" s="101"/>
      <c r="K56" s="283" t="str">
        <f>IF(AND(D56&lt;&gt;"",J56=""),"Check data ⚠",IF(J56="","",IF(VLOOKUP(J56,'G-3 Multipliers'!$L$3:$N$6,2,FALSE)=0,"Spatial Data Missing",VLOOKUP(J56,'G-3 Multipliers'!$L$3:$N$6,2,FALSE))))</f>
        <v/>
      </c>
      <c r="L56" s="281" t="str">
        <f>IF(J56="","",IF(VLOOKUP(J56,'G-3 Multipliers'!$L$3:$N$6,3,FALSE)=0,"Spatial Data Missing ⚠",VLOOKUP(J56,'G-3 Multipliers'!$L$3:$N$6,3,FALSE)))</f>
        <v/>
      </c>
      <c r="M56" s="282" t="str">
        <f>IF(D56="","",VLOOKUP(D56,'G-6 Hedgerow Data'!$B$1:$AH$15,33,FALSE))</f>
        <v/>
      </c>
      <c r="N56" s="289" t="str">
        <f t="shared" si="2"/>
        <v/>
      </c>
      <c r="O56" s="32"/>
      <c r="P56" s="105"/>
      <c r="Q56" s="138"/>
      <c r="R56" s="306" t="str">
        <f t="shared" si="3"/>
        <v/>
      </c>
      <c r="S56" s="306" t="str">
        <f t="shared" si="4"/>
        <v/>
      </c>
      <c r="T56" s="306" t="str">
        <f t="shared" si="5"/>
        <v/>
      </c>
      <c r="U56" s="327" t="str">
        <f t="shared" si="6"/>
        <v/>
      </c>
      <c r="V56" s="105"/>
      <c r="W56" s="104"/>
      <c r="X56" s="104"/>
      <c r="AE56" s="107" t="str">
        <f t="shared" si="0"/>
        <v/>
      </c>
      <c r="AF56" s="107" t="str">
        <f t="shared" si="1"/>
        <v/>
      </c>
      <c r="AH56" s="107">
        <v>47</v>
      </c>
      <c r="AJ56" s="107" t="str">
        <f t="array" ref="AJ56">IFERROR(INDEX($AH$10:$AH$258,MATCH(0,IF(TRUE=$AE$10:$AE$258,COUNTIF($AJ$9:$AJ55,$AH$10:$AH$258),""),0)),"")</f>
        <v/>
      </c>
      <c r="AK56" s="107" t="str">
        <f t="array" ref="AK56">IFERROR(INDEX($AH$10:$AH$258,MATCH(0,IF(TRUE=$AF$10:$AF$258,COUNTIF($AK$9:$AK55,$AH$10:$AH$258),""),0)),"")</f>
        <v/>
      </c>
      <c r="AL56" s="30" t="str">
        <f>IFERROR(INDEX('G-6 Hedgerow Data'!$BJ$3:$BJ$15,MATCH(D56,'G-6 Hedgerow Data'!$B$3:$B$15,0)),"")</f>
        <v/>
      </c>
    </row>
    <row r="57" spans="2:38" ht="14" hidden="1">
      <c r="B57" s="97">
        <v>48</v>
      </c>
      <c r="C57" s="138"/>
      <c r="D57" s="138"/>
      <c r="E57" s="104"/>
      <c r="F57" s="323" t="str">
        <f>IF(D57="","",VLOOKUP(D57,'G-6 Hedgerow Data'!$B$2:$AG$15,2,FALSE))</f>
        <v/>
      </c>
      <c r="G57" s="276" t="str">
        <f>IF(D57="","",VLOOKUP(D57,'G-6 Hedgerow Data'!$B$2:$AG$15,3,FALSE))</f>
        <v/>
      </c>
      <c r="H57" s="101"/>
      <c r="I57" s="276" t="str">
        <f>IFERROR(IF(AND(D57&lt;&gt;"",H57=""),"Check data ⚠",IF(H57="","",IF(AND(D57="Non-native and ornamental hedgerow",H57&lt;&gt;"Poor"),"Not possible ▲",(VLOOKUP(H57,'G-1 All Habitats'!$Z$2:$AA$9,2,FALSE))))),"")</f>
        <v/>
      </c>
      <c r="J57" s="101"/>
      <c r="K57" s="283" t="str">
        <f>IF(AND(D57&lt;&gt;"",J57=""),"Check data ⚠",IF(J57="","",IF(VLOOKUP(J57,'G-3 Multipliers'!$L$3:$N$6,2,FALSE)=0,"Spatial Data Missing",VLOOKUP(J57,'G-3 Multipliers'!$L$3:$N$6,2,FALSE))))</f>
        <v/>
      </c>
      <c r="L57" s="281" t="str">
        <f>IF(J57="","",IF(VLOOKUP(J57,'G-3 Multipliers'!$L$3:$N$6,3,FALSE)=0,"Spatial Data Missing ⚠",VLOOKUP(J57,'G-3 Multipliers'!$L$3:$N$6,3,FALSE)))</f>
        <v/>
      </c>
      <c r="M57" s="282" t="str">
        <f>IF(D57="","",VLOOKUP(D57,'G-6 Hedgerow Data'!$B$1:$AH$15,33,FALSE))</f>
        <v/>
      </c>
      <c r="N57" s="289" t="str">
        <f t="shared" si="2"/>
        <v/>
      </c>
      <c r="O57" s="32"/>
      <c r="P57" s="105"/>
      <c r="Q57" s="138"/>
      <c r="R57" s="306" t="str">
        <f t="shared" si="3"/>
        <v/>
      </c>
      <c r="S57" s="306" t="str">
        <f t="shared" si="4"/>
        <v/>
      </c>
      <c r="T57" s="306" t="str">
        <f t="shared" si="5"/>
        <v/>
      </c>
      <c r="U57" s="327" t="str">
        <f t="shared" si="6"/>
        <v/>
      </c>
      <c r="V57" s="105"/>
      <c r="W57" s="104"/>
      <c r="X57" s="104"/>
      <c r="AE57" s="107" t="str">
        <f t="shared" si="0"/>
        <v/>
      </c>
      <c r="AF57" s="107" t="str">
        <f t="shared" si="1"/>
        <v/>
      </c>
      <c r="AH57" s="107">
        <v>48</v>
      </c>
      <c r="AJ57" s="107" t="str">
        <f t="array" ref="AJ57">IFERROR(INDEX($AH$10:$AH$258,MATCH(0,IF(TRUE=$AE$10:$AE$258,COUNTIF($AJ$9:$AJ56,$AH$10:$AH$258),""),0)),"")</f>
        <v/>
      </c>
      <c r="AK57" s="107" t="str">
        <f t="array" ref="AK57">IFERROR(INDEX($AH$10:$AH$258,MATCH(0,IF(TRUE=$AF$10:$AF$258,COUNTIF($AK$9:$AK56,$AH$10:$AH$258),""),0)),"")</f>
        <v/>
      </c>
      <c r="AL57" s="30" t="str">
        <f>IFERROR(INDEX('G-6 Hedgerow Data'!$BJ$3:$BJ$15,MATCH(D57,'G-6 Hedgerow Data'!$B$3:$B$15,0)),"")</f>
        <v/>
      </c>
    </row>
    <row r="58" spans="2:38" ht="14" hidden="1">
      <c r="B58" s="97">
        <v>49</v>
      </c>
      <c r="C58" s="138"/>
      <c r="D58" s="138"/>
      <c r="E58" s="104"/>
      <c r="F58" s="323" t="str">
        <f>IF(D58="","",VLOOKUP(D58,'G-6 Hedgerow Data'!$B$2:$AG$15,2,FALSE))</f>
        <v/>
      </c>
      <c r="G58" s="276" t="str">
        <f>IF(D58="","",VLOOKUP(D58,'G-6 Hedgerow Data'!$B$2:$AG$15,3,FALSE))</f>
        <v/>
      </c>
      <c r="H58" s="101"/>
      <c r="I58" s="276" t="str">
        <f>IFERROR(IF(AND(D58&lt;&gt;"",H58=""),"Check data ⚠",IF(H58="","",IF(AND(D58="Non-native and ornamental hedgerow",H58&lt;&gt;"Poor"),"Not possible ▲",(VLOOKUP(H58,'G-1 All Habitats'!$Z$2:$AA$9,2,FALSE))))),"")</f>
        <v/>
      </c>
      <c r="J58" s="101"/>
      <c r="K58" s="283" t="str">
        <f>IF(AND(D58&lt;&gt;"",J58=""),"Check data ⚠",IF(J58="","",IF(VLOOKUP(J58,'G-3 Multipliers'!$L$3:$N$6,2,FALSE)=0,"Spatial Data Missing",VLOOKUP(J58,'G-3 Multipliers'!$L$3:$N$6,2,FALSE))))</f>
        <v/>
      </c>
      <c r="L58" s="281" t="str">
        <f>IF(J58="","",IF(VLOOKUP(J58,'G-3 Multipliers'!$L$3:$N$6,3,FALSE)=0,"Spatial Data Missing ⚠",VLOOKUP(J58,'G-3 Multipliers'!$L$3:$N$6,3,FALSE)))</f>
        <v/>
      </c>
      <c r="M58" s="282" t="str">
        <f>IF(D58="","",VLOOKUP(D58,'G-6 Hedgerow Data'!$B$1:$AH$15,33,FALSE))</f>
        <v/>
      </c>
      <c r="N58" s="289" t="str">
        <f t="shared" si="2"/>
        <v/>
      </c>
      <c r="O58" s="32"/>
      <c r="P58" s="105"/>
      <c r="Q58" s="138"/>
      <c r="R58" s="306" t="str">
        <f t="shared" si="3"/>
        <v/>
      </c>
      <c r="S58" s="306" t="str">
        <f t="shared" si="4"/>
        <v/>
      </c>
      <c r="T58" s="306" t="str">
        <f t="shared" si="5"/>
        <v/>
      </c>
      <c r="U58" s="327" t="str">
        <f t="shared" si="6"/>
        <v/>
      </c>
      <c r="V58" s="105"/>
      <c r="W58" s="104"/>
      <c r="X58" s="104"/>
      <c r="AE58" s="107" t="str">
        <f t="shared" si="0"/>
        <v/>
      </c>
      <c r="AF58" s="107" t="str">
        <f t="shared" si="1"/>
        <v/>
      </c>
      <c r="AH58" s="107">
        <v>49</v>
      </c>
      <c r="AJ58" s="107" t="str">
        <f t="array" ref="AJ58">IFERROR(INDEX($AH$10:$AH$258,MATCH(0,IF(TRUE=$AE$10:$AE$258,COUNTIF($AJ$9:$AJ57,$AH$10:$AH$258),""),0)),"")</f>
        <v/>
      </c>
      <c r="AK58" s="107" t="str">
        <f t="array" ref="AK58">IFERROR(INDEX($AH$10:$AH$258,MATCH(0,IF(TRUE=$AF$10:$AF$258,COUNTIF($AK$9:$AK57,$AH$10:$AH$258),""),0)),"")</f>
        <v/>
      </c>
      <c r="AL58" s="30" t="str">
        <f>IFERROR(INDEX('G-6 Hedgerow Data'!$BJ$3:$BJ$15,MATCH(D58,'G-6 Hedgerow Data'!$B$3:$B$15,0)),"")</f>
        <v/>
      </c>
    </row>
    <row r="59" spans="2:38" ht="14" hidden="1">
      <c r="B59" s="97">
        <v>50</v>
      </c>
      <c r="C59" s="138"/>
      <c r="D59" s="138"/>
      <c r="E59" s="104"/>
      <c r="F59" s="323" t="str">
        <f>IF(D59="","",VLOOKUP(D59,'G-6 Hedgerow Data'!$B$2:$AG$15,2,FALSE))</f>
        <v/>
      </c>
      <c r="G59" s="276" t="str">
        <f>IF(D59="","",VLOOKUP(D59,'G-6 Hedgerow Data'!$B$2:$AG$15,3,FALSE))</f>
        <v/>
      </c>
      <c r="H59" s="101"/>
      <c r="I59" s="276" t="str">
        <f>IFERROR(IF(AND(D59&lt;&gt;"",H59=""),"Check data ⚠",IF(H59="","",IF(AND(D59="Non-native and ornamental hedgerow",H59&lt;&gt;"Poor"),"Not possible ▲",(VLOOKUP(H59,'G-1 All Habitats'!$Z$2:$AA$9,2,FALSE))))),"")</f>
        <v/>
      </c>
      <c r="J59" s="101"/>
      <c r="K59" s="283" t="str">
        <f>IF(AND(D59&lt;&gt;"",J59=""),"Check data ⚠",IF(J59="","",IF(VLOOKUP(J59,'G-3 Multipliers'!$L$3:$N$6,2,FALSE)=0,"Spatial Data Missing",VLOOKUP(J59,'G-3 Multipliers'!$L$3:$N$6,2,FALSE))))</f>
        <v/>
      </c>
      <c r="L59" s="281" t="str">
        <f>IF(J59="","",IF(VLOOKUP(J59,'G-3 Multipliers'!$L$3:$N$6,3,FALSE)=0,"Spatial Data Missing ⚠",VLOOKUP(J59,'G-3 Multipliers'!$L$3:$N$6,3,FALSE)))</f>
        <v/>
      </c>
      <c r="M59" s="282" t="str">
        <f>IF(D59="","",VLOOKUP(D59,'G-6 Hedgerow Data'!$B$1:$AH$15,33,FALSE))</f>
        <v/>
      </c>
      <c r="N59" s="289" t="str">
        <f t="shared" si="2"/>
        <v/>
      </c>
      <c r="O59" s="32"/>
      <c r="P59" s="105"/>
      <c r="Q59" s="138"/>
      <c r="R59" s="306" t="str">
        <f t="shared" si="3"/>
        <v/>
      </c>
      <c r="S59" s="306" t="str">
        <f t="shared" si="4"/>
        <v/>
      </c>
      <c r="T59" s="306" t="str">
        <f t="shared" si="5"/>
        <v/>
      </c>
      <c r="U59" s="327" t="str">
        <f t="shared" si="6"/>
        <v/>
      </c>
      <c r="V59" s="105"/>
      <c r="W59" s="104"/>
      <c r="X59" s="104"/>
      <c r="AE59" s="107" t="str">
        <f t="shared" si="0"/>
        <v/>
      </c>
      <c r="AF59" s="107" t="str">
        <f t="shared" si="1"/>
        <v/>
      </c>
      <c r="AH59" s="107">
        <v>50</v>
      </c>
      <c r="AJ59" s="107" t="str">
        <f t="array" ref="AJ59">IFERROR(INDEX($AH$10:$AH$258,MATCH(0,IF(TRUE=$AE$10:$AE$258,COUNTIF($AJ$9:$AJ58,$AH$10:$AH$258),""),0)),"")</f>
        <v/>
      </c>
      <c r="AK59" s="107" t="str">
        <f t="array" ref="AK59">IFERROR(INDEX($AH$10:$AH$258,MATCH(0,IF(TRUE=$AF$10:$AF$258,COUNTIF($AK$9:$AK58,$AH$10:$AH$258),""),0)),"")</f>
        <v/>
      </c>
      <c r="AL59" s="30" t="str">
        <f>IFERROR(INDEX('G-6 Hedgerow Data'!$BJ$3:$BJ$15,MATCH(D59,'G-6 Hedgerow Data'!$B$3:$B$15,0)),"")</f>
        <v/>
      </c>
    </row>
    <row r="60" spans="2:38" ht="14" hidden="1">
      <c r="B60" s="97">
        <v>51</v>
      </c>
      <c r="C60" s="138"/>
      <c r="D60" s="138"/>
      <c r="E60" s="104"/>
      <c r="F60" s="323" t="str">
        <f>IF(D60="","",VLOOKUP(D60,'G-6 Hedgerow Data'!$B$2:$AG$15,2,FALSE))</f>
        <v/>
      </c>
      <c r="G60" s="276" t="str">
        <f>IF(D60="","",VLOOKUP(D60,'G-6 Hedgerow Data'!$B$2:$AG$15,3,FALSE))</f>
        <v/>
      </c>
      <c r="H60" s="101"/>
      <c r="I60" s="276" t="str">
        <f>IFERROR(IF(AND(D60&lt;&gt;"",H60=""),"Check data ⚠",IF(H60="","",IF(AND(D60="Non-native and ornamental hedgerow",H60&lt;&gt;"Poor"),"Not possible ▲",(VLOOKUP(H60,'G-1 All Habitats'!$Z$2:$AA$9,2,FALSE))))),"")</f>
        <v/>
      </c>
      <c r="J60" s="101"/>
      <c r="K60" s="283" t="str">
        <f>IF(AND(D60&lt;&gt;"",J60=""),"Check data ⚠",IF(J60="","",IF(VLOOKUP(J60,'G-3 Multipliers'!$L$3:$N$6,2,FALSE)=0,"Spatial Data Missing",VLOOKUP(J60,'G-3 Multipliers'!$L$3:$N$6,2,FALSE))))</f>
        <v/>
      </c>
      <c r="L60" s="281" t="str">
        <f>IF(J60="","",IF(VLOOKUP(J60,'G-3 Multipliers'!$L$3:$N$6,3,FALSE)=0,"Spatial Data Missing ⚠",VLOOKUP(J60,'G-3 Multipliers'!$L$3:$N$6,3,FALSE)))</f>
        <v/>
      </c>
      <c r="M60" s="282" t="str">
        <f>IF(D60="","",VLOOKUP(D60,'G-6 Hedgerow Data'!$B$1:$AH$15,33,FALSE))</f>
        <v/>
      </c>
      <c r="N60" s="289" t="str">
        <f t="shared" si="2"/>
        <v/>
      </c>
      <c r="O60" s="32"/>
      <c r="P60" s="105"/>
      <c r="Q60" s="138"/>
      <c r="R60" s="306" t="str">
        <f t="shared" si="3"/>
        <v/>
      </c>
      <c r="S60" s="306" t="str">
        <f t="shared" si="4"/>
        <v/>
      </c>
      <c r="T60" s="306" t="str">
        <f t="shared" si="5"/>
        <v/>
      </c>
      <c r="U60" s="327" t="str">
        <f t="shared" si="6"/>
        <v/>
      </c>
      <c r="V60" s="105"/>
      <c r="W60" s="104"/>
      <c r="X60" s="104"/>
      <c r="AE60" s="107" t="str">
        <f t="shared" si="0"/>
        <v/>
      </c>
      <c r="AF60" s="107" t="str">
        <f t="shared" si="1"/>
        <v/>
      </c>
      <c r="AH60" s="107">
        <v>51</v>
      </c>
      <c r="AJ60" s="107" t="str">
        <f t="array" ref="AJ60">IFERROR(INDEX($AH$10:$AH$258,MATCH(0,IF(TRUE=$AE$10:$AE$258,COUNTIF($AJ$9:$AJ59,$AH$10:$AH$258),""),0)),"")</f>
        <v/>
      </c>
      <c r="AK60" s="107" t="str">
        <f t="array" ref="AK60">IFERROR(INDEX($AH$10:$AH$258,MATCH(0,IF(TRUE=$AF$10:$AF$258,COUNTIF($AK$9:$AK59,$AH$10:$AH$258),""),0)),"")</f>
        <v/>
      </c>
      <c r="AL60" s="30" t="str">
        <f>IFERROR(INDEX('G-6 Hedgerow Data'!$BJ$3:$BJ$15,MATCH(D60,'G-6 Hedgerow Data'!$B$3:$B$15,0)),"")</f>
        <v/>
      </c>
    </row>
    <row r="61" spans="2:38" ht="14" hidden="1">
      <c r="B61" s="97">
        <v>52</v>
      </c>
      <c r="C61" s="138"/>
      <c r="D61" s="138"/>
      <c r="E61" s="104"/>
      <c r="F61" s="323" t="str">
        <f>IF(D61="","",VLOOKUP(D61,'G-6 Hedgerow Data'!$B$2:$AG$15,2,FALSE))</f>
        <v/>
      </c>
      <c r="G61" s="276" t="str">
        <f>IF(D61="","",VLOOKUP(D61,'G-6 Hedgerow Data'!$B$2:$AG$15,3,FALSE))</f>
        <v/>
      </c>
      <c r="H61" s="101"/>
      <c r="I61" s="276" t="str">
        <f>IFERROR(IF(AND(D61&lt;&gt;"",H61=""),"Check data ⚠",IF(H61="","",IF(AND(D61="Non-native and ornamental hedgerow",H61&lt;&gt;"Poor"),"Not possible ▲",(VLOOKUP(H61,'G-1 All Habitats'!$Z$2:$AA$9,2,FALSE))))),"")</f>
        <v/>
      </c>
      <c r="J61" s="101"/>
      <c r="K61" s="283" t="str">
        <f>IF(AND(D61&lt;&gt;"",J61=""),"Check data ⚠",IF(J61="","",IF(VLOOKUP(J61,'G-3 Multipliers'!$L$3:$N$6,2,FALSE)=0,"Spatial Data Missing",VLOOKUP(J61,'G-3 Multipliers'!$L$3:$N$6,2,FALSE))))</f>
        <v/>
      </c>
      <c r="L61" s="281" t="str">
        <f>IF(J61="","",IF(VLOOKUP(J61,'G-3 Multipliers'!$L$3:$N$6,3,FALSE)=0,"Spatial Data Missing ⚠",VLOOKUP(J61,'G-3 Multipliers'!$L$3:$N$6,3,FALSE)))</f>
        <v/>
      </c>
      <c r="M61" s="282" t="str">
        <f>IF(D61="","",VLOOKUP(D61,'G-6 Hedgerow Data'!$B$1:$AH$15,33,FALSE))</f>
        <v/>
      </c>
      <c r="N61" s="289" t="str">
        <f t="shared" si="2"/>
        <v/>
      </c>
      <c r="O61" s="32"/>
      <c r="P61" s="105"/>
      <c r="Q61" s="138"/>
      <c r="R61" s="306" t="str">
        <f t="shared" si="3"/>
        <v/>
      </c>
      <c r="S61" s="306" t="str">
        <f t="shared" si="4"/>
        <v/>
      </c>
      <c r="T61" s="306" t="str">
        <f t="shared" si="5"/>
        <v/>
      </c>
      <c r="U61" s="327" t="str">
        <f t="shared" si="6"/>
        <v/>
      </c>
      <c r="V61" s="105"/>
      <c r="W61" s="104"/>
      <c r="X61" s="104"/>
      <c r="AE61" s="107" t="str">
        <f t="shared" si="0"/>
        <v/>
      </c>
      <c r="AF61" s="107" t="str">
        <f t="shared" si="1"/>
        <v/>
      </c>
      <c r="AH61" s="107">
        <v>52</v>
      </c>
      <c r="AJ61" s="107" t="str">
        <f t="array" ref="AJ61">IFERROR(INDEX($AH$10:$AH$258,MATCH(0,IF(TRUE=$AE$10:$AE$258,COUNTIF($AJ$9:$AJ60,$AH$10:$AH$258),""),0)),"")</f>
        <v/>
      </c>
      <c r="AK61" s="107" t="str">
        <f t="array" ref="AK61">IFERROR(INDEX($AH$10:$AH$258,MATCH(0,IF(TRUE=$AF$10:$AF$258,COUNTIF($AK$9:$AK60,$AH$10:$AH$258),""),0)),"")</f>
        <v/>
      </c>
      <c r="AL61" s="30" t="str">
        <f>IFERROR(INDEX('G-6 Hedgerow Data'!$BJ$3:$BJ$15,MATCH(D61,'G-6 Hedgerow Data'!$B$3:$B$15,0)),"")</f>
        <v/>
      </c>
    </row>
    <row r="62" spans="2:38" ht="14" hidden="1">
      <c r="B62" s="97">
        <v>53</v>
      </c>
      <c r="C62" s="138"/>
      <c r="D62" s="138"/>
      <c r="E62" s="104"/>
      <c r="F62" s="323" t="str">
        <f>IF(D62="","",VLOOKUP(D62,'G-6 Hedgerow Data'!$B$2:$AG$15,2,FALSE))</f>
        <v/>
      </c>
      <c r="G62" s="276" t="str">
        <f>IF(D62="","",VLOOKUP(D62,'G-6 Hedgerow Data'!$B$2:$AG$15,3,FALSE))</f>
        <v/>
      </c>
      <c r="H62" s="101"/>
      <c r="I62" s="276" t="str">
        <f>IFERROR(IF(AND(D62&lt;&gt;"",H62=""),"Check data ⚠",IF(H62="","",IF(AND(D62="Non-native and ornamental hedgerow",H62&lt;&gt;"Poor"),"Not possible ▲",(VLOOKUP(H62,'G-1 All Habitats'!$Z$2:$AA$9,2,FALSE))))),"")</f>
        <v/>
      </c>
      <c r="J62" s="101"/>
      <c r="K62" s="283" t="str">
        <f>IF(AND(D62&lt;&gt;"",J62=""),"Check data ⚠",IF(J62="","",IF(VLOOKUP(J62,'G-3 Multipliers'!$L$3:$N$6,2,FALSE)=0,"Spatial Data Missing",VLOOKUP(J62,'G-3 Multipliers'!$L$3:$N$6,2,FALSE))))</f>
        <v/>
      </c>
      <c r="L62" s="281" t="str">
        <f>IF(J62="","",IF(VLOOKUP(J62,'G-3 Multipliers'!$L$3:$N$6,3,FALSE)=0,"Spatial Data Missing ⚠",VLOOKUP(J62,'G-3 Multipliers'!$L$3:$N$6,3,FALSE)))</f>
        <v/>
      </c>
      <c r="M62" s="282" t="str">
        <f>IF(D62="","",VLOOKUP(D62,'G-6 Hedgerow Data'!$B$1:$AH$15,33,FALSE))</f>
        <v/>
      </c>
      <c r="N62" s="289" t="str">
        <f t="shared" si="2"/>
        <v/>
      </c>
      <c r="O62" s="32"/>
      <c r="P62" s="105"/>
      <c r="Q62" s="138"/>
      <c r="R62" s="306" t="str">
        <f t="shared" si="3"/>
        <v/>
      </c>
      <c r="S62" s="306" t="str">
        <f t="shared" si="4"/>
        <v/>
      </c>
      <c r="T62" s="306" t="str">
        <f t="shared" si="5"/>
        <v/>
      </c>
      <c r="U62" s="327" t="str">
        <f t="shared" si="6"/>
        <v/>
      </c>
      <c r="V62" s="105"/>
      <c r="W62" s="104"/>
      <c r="X62" s="104"/>
      <c r="AE62" s="107" t="str">
        <f t="shared" si="0"/>
        <v/>
      </c>
      <c r="AF62" s="107" t="str">
        <f t="shared" si="1"/>
        <v/>
      </c>
      <c r="AH62" s="107">
        <v>53</v>
      </c>
      <c r="AJ62" s="107" t="str">
        <f t="array" ref="AJ62">IFERROR(INDEX($AH$10:$AH$258,MATCH(0,IF(TRUE=$AE$10:$AE$258,COUNTIF($AJ$9:$AJ61,$AH$10:$AH$258),""),0)),"")</f>
        <v/>
      </c>
      <c r="AK62" s="107" t="str">
        <f t="array" ref="AK62">IFERROR(INDEX($AH$10:$AH$258,MATCH(0,IF(TRUE=$AF$10:$AF$258,COUNTIF($AK$9:$AK61,$AH$10:$AH$258),""),0)),"")</f>
        <v/>
      </c>
      <c r="AL62" s="30" t="str">
        <f>IFERROR(INDEX('G-6 Hedgerow Data'!$BJ$3:$BJ$15,MATCH(D62,'G-6 Hedgerow Data'!$B$3:$B$15,0)),"")</f>
        <v/>
      </c>
    </row>
    <row r="63" spans="2:38" ht="14" hidden="1">
      <c r="B63" s="97">
        <v>54</v>
      </c>
      <c r="C63" s="138"/>
      <c r="D63" s="138"/>
      <c r="E63" s="104"/>
      <c r="F63" s="323" t="str">
        <f>IF(D63="","",VLOOKUP(D63,'G-6 Hedgerow Data'!$B$2:$AG$15,2,FALSE))</f>
        <v/>
      </c>
      <c r="G63" s="276" t="str">
        <f>IF(D63="","",VLOOKUP(D63,'G-6 Hedgerow Data'!$B$2:$AG$15,3,FALSE))</f>
        <v/>
      </c>
      <c r="H63" s="101"/>
      <c r="I63" s="276" t="str">
        <f>IFERROR(IF(AND(D63&lt;&gt;"",H63=""),"Check data ⚠",IF(H63="","",IF(AND(D63="Non-native and ornamental hedgerow",H63&lt;&gt;"Poor"),"Not possible ▲",(VLOOKUP(H63,'G-1 All Habitats'!$Z$2:$AA$9,2,FALSE))))),"")</f>
        <v/>
      </c>
      <c r="J63" s="101"/>
      <c r="K63" s="283" t="str">
        <f>IF(AND(D63&lt;&gt;"",J63=""),"Check data ⚠",IF(J63="","",IF(VLOOKUP(J63,'G-3 Multipliers'!$L$3:$N$6,2,FALSE)=0,"Spatial Data Missing",VLOOKUP(J63,'G-3 Multipliers'!$L$3:$N$6,2,FALSE))))</f>
        <v/>
      </c>
      <c r="L63" s="281" t="str">
        <f>IF(J63="","",IF(VLOOKUP(J63,'G-3 Multipliers'!$L$3:$N$6,3,FALSE)=0,"Spatial Data Missing ⚠",VLOOKUP(J63,'G-3 Multipliers'!$L$3:$N$6,3,FALSE)))</f>
        <v/>
      </c>
      <c r="M63" s="282" t="str">
        <f>IF(D63="","",VLOOKUP(D63,'G-6 Hedgerow Data'!$B$1:$AH$15,33,FALSE))</f>
        <v/>
      </c>
      <c r="N63" s="289" t="str">
        <f t="shared" si="2"/>
        <v/>
      </c>
      <c r="O63" s="32"/>
      <c r="P63" s="105"/>
      <c r="Q63" s="138"/>
      <c r="R63" s="306" t="str">
        <f t="shared" si="3"/>
        <v/>
      </c>
      <c r="S63" s="306" t="str">
        <f t="shared" si="4"/>
        <v/>
      </c>
      <c r="T63" s="306" t="str">
        <f t="shared" si="5"/>
        <v/>
      </c>
      <c r="U63" s="327" t="str">
        <f t="shared" si="6"/>
        <v/>
      </c>
      <c r="V63" s="105"/>
      <c r="W63" s="104"/>
      <c r="X63" s="104"/>
      <c r="AE63" s="107" t="str">
        <f t="shared" si="0"/>
        <v/>
      </c>
      <c r="AF63" s="107" t="str">
        <f t="shared" si="1"/>
        <v/>
      </c>
      <c r="AH63" s="107">
        <v>54</v>
      </c>
      <c r="AJ63" s="107" t="str">
        <f t="array" ref="AJ63">IFERROR(INDEX($AH$10:$AH$258,MATCH(0,IF(TRUE=$AE$10:$AE$258,COUNTIF($AJ$9:$AJ62,$AH$10:$AH$258),""),0)),"")</f>
        <v/>
      </c>
      <c r="AK63" s="107" t="str">
        <f t="array" ref="AK63">IFERROR(INDEX($AH$10:$AH$258,MATCH(0,IF(TRUE=$AF$10:$AF$258,COUNTIF($AK$9:$AK62,$AH$10:$AH$258),""),0)),"")</f>
        <v/>
      </c>
      <c r="AL63" s="30" t="str">
        <f>IFERROR(INDEX('G-6 Hedgerow Data'!$BJ$3:$BJ$15,MATCH(D63,'G-6 Hedgerow Data'!$B$3:$B$15,0)),"")</f>
        <v/>
      </c>
    </row>
    <row r="64" spans="2:38" ht="14" hidden="1">
      <c r="B64" s="97">
        <v>55</v>
      </c>
      <c r="C64" s="138"/>
      <c r="D64" s="138"/>
      <c r="E64" s="104"/>
      <c r="F64" s="323" t="str">
        <f>IF(D64="","",VLOOKUP(D64,'G-6 Hedgerow Data'!$B$2:$AG$15,2,FALSE))</f>
        <v/>
      </c>
      <c r="G64" s="276" t="str">
        <f>IF(D64="","",VLOOKUP(D64,'G-6 Hedgerow Data'!$B$2:$AG$15,3,FALSE))</f>
        <v/>
      </c>
      <c r="H64" s="101"/>
      <c r="I64" s="276" t="str">
        <f>IFERROR(IF(AND(D64&lt;&gt;"",H64=""),"Check data ⚠",IF(H64="","",IF(AND(D64="Non-native and ornamental hedgerow",H64&lt;&gt;"Poor"),"Not possible ▲",(VLOOKUP(H64,'G-1 All Habitats'!$Z$2:$AA$9,2,FALSE))))),"")</f>
        <v/>
      </c>
      <c r="J64" s="101"/>
      <c r="K64" s="283" t="str">
        <f>IF(AND(D64&lt;&gt;"",J64=""),"Check data ⚠",IF(J64="","",IF(VLOOKUP(J64,'G-3 Multipliers'!$L$3:$N$6,2,FALSE)=0,"Spatial Data Missing",VLOOKUP(J64,'G-3 Multipliers'!$L$3:$N$6,2,FALSE))))</f>
        <v/>
      </c>
      <c r="L64" s="281" t="str">
        <f>IF(J64="","",IF(VLOOKUP(J64,'G-3 Multipliers'!$L$3:$N$6,3,FALSE)=0,"Spatial Data Missing ⚠",VLOOKUP(J64,'G-3 Multipliers'!$L$3:$N$6,3,FALSE)))</f>
        <v/>
      </c>
      <c r="M64" s="282" t="str">
        <f>IF(D64="","",VLOOKUP(D64,'G-6 Hedgerow Data'!$B$1:$AH$15,33,FALSE))</f>
        <v/>
      </c>
      <c r="N64" s="289" t="str">
        <f t="shared" si="2"/>
        <v/>
      </c>
      <c r="O64" s="32"/>
      <c r="P64" s="105"/>
      <c r="Q64" s="138"/>
      <c r="R64" s="306" t="str">
        <f t="shared" si="3"/>
        <v/>
      </c>
      <c r="S64" s="306" t="str">
        <f t="shared" si="4"/>
        <v/>
      </c>
      <c r="T64" s="306" t="str">
        <f t="shared" si="5"/>
        <v/>
      </c>
      <c r="U64" s="327" t="str">
        <f t="shared" si="6"/>
        <v/>
      </c>
      <c r="V64" s="105"/>
      <c r="W64" s="104"/>
      <c r="X64" s="104"/>
      <c r="AE64" s="107" t="str">
        <f t="shared" si="0"/>
        <v/>
      </c>
      <c r="AF64" s="107" t="str">
        <f t="shared" si="1"/>
        <v/>
      </c>
      <c r="AH64" s="107">
        <v>55</v>
      </c>
      <c r="AJ64" s="107" t="str">
        <f t="array" ref="AJ64">IFERROR(INDEX($AH$10:$AH$258,MATCH(0,IF(TRUE=$AE$10:$AE$258,COUNTIF($AJ$9:$AJ63,$AH$10:$AH$258),""),0)),"")</f>
        <v/>
      </c>
      <c r="AK64" s="107" t="str">
        <f t="array" ref="AK64">IFERROR(INDEX($AH$10:$AH$258,MATCH(0,IF(TRUE=$AF$10:$AF$258,COUNTIF($AK$9:$AK63,$AH$10:$AH$258),""),0)),"")</f>
        <v/>
      </c>
      <c r="AL64" s="30" t="str">
        <f>IFERROR(INDEX('G-6 Hedgerow Data'!$BJ$3:$BJ$15,MATCH(D64,'G-6 Hedgerow Data'!$B$3:$B$15,0)),"")</f>
        <v/>
      </c>
    </row>
    <row r="65" spans="2:38" ht="14" hidden="1">
      <c r="B65" s="97">
        <v>56</v>
      </c>
      <c r="C65" s="138"/>
      <c r="D65" s="138"/>
      <c r="E65" s="104"/>
      <c r="F65" s="323" t="str">
        <f>IF(D65="","",VLOOKUP(D65,'G-6 Hedgerow Data'!$B$2:$AG$15,2,FALSE))</f>
        <v/>
      </c>
      <c r="G65" s="276" t="str">
        <f>IF(D65="","",VLOOKUP(D65,'G-6 Hedgerow Data'!$B$2:$AG$15,3,FALSE))</f>
        <v/>
      </c>
      <c r="H65" s="101"/>
      <c r="I65" s="276" t="str">
        <f>IFERROR(IF(AND(D65&lt;&gt;"",H65=""),"Check data ⚠",IF(H65="","",IF(AND(D65="Non-native and ornamental hedgerow",H65&lt;&gt;"Poor"),"Not possible ▲",(VLOOKUP(H65,'G-1 All Habitats'!$Z$2:$AA$9,2,FALSE))))),"")</f>
        <v/>
      </c>
      <c r="J65" s="101"/>
      <c r="K65" s="283" t="str">
        <f>IF(AND(D65&lt;&gt;"",J65=""),"Check data ⚠",IF(J65="","",IF(VLOOKUP(J65,'G-3 Multipliers'!$L$3:$N$6,2,FALSE)=0,"Spatial Data Missing",VLOOKUP(J65,'G-3 Multipliers'!$L$3:$N$6,2,FALSE))))</f>
        <v/>
      </c>
      <c r="L65" s="281" t="str">
        <f>IF(J65="","",IF(VLOOKUP(J65,'G-3 Multipliers'!$L$3:$N$6,3,FALSE)=0,"Spatial Data Missing ⚠",VLOOKUP(J65,'G-3 Multipliers'!$L$3:$N$6,3,FALSE)))</f>
        <v/>
      </c>
      <c r="M65" s="282" t="str">
        <f>IF(D65="","",VLOOKUP(D65,'G-6 Hedgerow Data'!$B$1:$AH$15,33,FALSE))</f>
        <v/>
      </c>
      <c r="N65" s="289" t="str">
        <f t="shared" si="2"/>
        <v/>
      </c>
      <c r="O65" s="32"/>
      <c r="P65" s="105"/>
      <c r="Q65" s="138"/>
      <c r="R65" s="306" t="str">
        <f t="shared" si="3"/>
        <v/>
      </c>
      <c r="S65" s="306" t="str">
        <f t="shared" si="4"/>
        <v/>
      </c>
      <c r="T65" s="306" t="str">
        <f t="shared" si="5"/>
        <v/>
      </c>
      <c r="U65" s="327" t="str">
        <f t="shared" si="6"/>
        <v/>
      </c>
      <c r="V65" s="105"/>
      <c r="W65" s="104"/>
      <c r="X65" s="104"/>
      <c r="AE65" s="107" t="str">
        <f t="shared" si="0"/>
        <v/>
      </c>
      <c r="AF65" s="107" t="str">
        <f t="shared" si="1"/>
        <v/>
      </c>
      <c r="AH65" s="107">
        <v>56</v>
      </c>
      <c r="AJ65" s="107" t="str">
        <f t="array" ref="AJ65">IFERROR(INDEX($AH$10:$AH$258,MATCH(0,IF(TRUE=$AE$10:$AE$258,COUNTIF($AJ$9:$AJ64,$AH$10:$AH$258),""),0)),"")</f>
        <v/>
      </c>
      <c r="AK65" s="107" t="str">
        <f t="array" ref="AK65">IFERROR(INDEX($AH$10:$AH$258,MATCH(0,IF(TRUE=$AF$10:$AF$258,COUNTIF($AK$9:$AK64,$AH$10:$AH$258),""),0)),"")</f>
        <v/>
      </c>
      <c r="AL65" s="30" t="str">
        <f>IFERROR(INDEX('G-6 Hedgerow Data'!$BJ$3:$BJ$15,MATCH(D65,'G-6 Hedgerow Data'!$B$3:$B$15,0)),"")</f>
        <v/>
      </c>
    </row>
    <row r="66" spans="2:38" ht="14" hidden="1">
      <c r="B66" s="97">
        <v>57</v>
      </c>
      <c r="C66" s="138"/>
      <c r="D66" s="138"/>
      <c r="E66" s="104"/>
      <c r="F66" s="323" t="str">
        <f>IF(D66="","",VLOOKUP(D66,'G-6 Hedgerow Data'!$B$2:$AG$15,2,FALSE))</f>
        <v/>
      </c>
      <c r="G66" s="276" t="str">
        <f>IF(D66="","",VLOOKUP(D66,'G-6 Hedgerow Data'!$B$2:$AG$15,3,FALSE))</f>
        <v/>
      </c>
      <c r="H66" s="101"/>
      <c r="I66" s="276" t="str">
        <f>IFERROR(IF(AND(D66&lt;&gt;"",H66=""),"Check data ⚠",IF(H66="","",IF(AND(D66="Non-native and ornamental hedgerow",H66&lt;&gt;"Poor"),"Not possible ▲",(VLOOKUP(H66,'G-1 All Habitats'!$Z$2:$AA$9,2,FALSE))))),"")</f>
        <v/>
      </c>
      <c r="J66" s="101"/>
      <c r="K66" s="283" t="str">
        <f>IF(AND(D66&lt;&gt;"",J66=""),"Check data ⚠",IF(J66="","",IF(VLOOKUP(J66,'G-3 Multipliers'!$L$3:$N$6,2,FALSE)=0,"Spatial Data Missing",VLOOKUP(J66,'G-3 Multipliers'!$L$3:$N$6,2,FALSE))))</f>
        <v/>
      </c>
      <c r="L66" s="281" t="str">
        <f>IF(J66="","",IF(VLOOKUP(J66,'G-3 Multipliers'!$L$3:$N$6,3,FALSE)=0,"Spatial Data Missing ⚠",VLOOKUP(J66,'G-3 Multipliers'!$L$3:$N$6,3,FALSE)))</f>
        <v/>
      </c>
      <c r="M66" s="282" t="str">
        <f>IF(D66="","",VLOOKUP(D66,'G-6 Hedgerow Data'!$B$1:$AH$15,33,FALSE))</f>
        <v/>
      </c>
      <c r="N66" s="289" t="str">
        <f t="shared" si="2"/>
        <v/>
      </c>
      <c r="O66" s="32"/>
      <c r="P66" s="105"/>
      <c r="Q66" s="138"/>
      <c r="R66" s="306" t="str">
        <f t="shared" si="3"/>
        <v/>
      </c>
      <c r="S66" s="306" t="str">
        <f t="shared" si="4"/>
        <v/>
      </c>
      <c r="T66" s="306" t="str">
        <f t="shared" si="5"/>
        <v/>
      </c>
      <c r="U66" s="327" t="str">
        <f t="shared" si="6"/>
        <v/>
      </c>
      <c r="V66" s="105"/>
      <c r="W66" s="104"/>
      <c r="X66" s="104"/>
      <c r="AE66" s="107" t="str">
        <f t="shared" si="0"/>
        <v/>
      </c>
      <c r="AF66" s="107" t="str">
        <f t="shared" si="1"/>
        <v/>
      </c>
      <c r="AH66" s="107">
        <v>57</v>
      </c>
      <c r="AJ66" s="107" t="str">
        <f t="array" ref="AJ66">IFERROR(INDEX($AH$10:$AH$258,MATCH(0,IF(TRUE=$AE$10:$AE$258,COUNTIF($AJ$9:$AJ65,$AH$10:$AH$258),""),0)),"")</f>
        <v/>
      </c>
      <c r="AK66" s="107" t="str">
        <f t="array" ref="AK66">IFERROR(INDEX($AH$10:$AH$258,MATCH(0,IF(TRUE=$AF$10:$AF$258,COUNTIF($AK$9:$AK65,$AH$10:$AH$258),""),0)),"")</f>
        <v/>
      </c>
      <c r="AL66" s="30" t="str">
        <f>IFERROR(INDEX('G-6 Hedgerow Data'!$BJ$3:$BJ$15,MATCH(D66,'G-6 Hedgerow Data'!$B$3:$B$15,0)),"")</f>
        <v/>
      </c>
    </row>
    <row r="67" spans="2:38" ht="14" hidden="1">
      <c r="B67" s="97">
        <v>58</v>
      </c>
      <c r="C67" s="138"/>
      <c r="D67" s="138"/>
      <c r="E67" s="104"/>
      <c r="F67" s="323" t="str">
        <f>IF(D67="","",VLOOKUP(D67,'G-6 Hedgerow Data'!$B$2:$AG$15,2,FALSE))</f>
        <v/>
      </c>
      <c r="G67" s="276" t="str">
        <f>IF(D67="","",VLOOKUP(D67,'G-6 Hedgerow Data'!$B$2:$AG$15,3,FALSE))</f>
        <v/>
      </c>
      <c r="H67" s="101"/>
      <c r="I67" s="276" t="str">
        <f>IFERROR(IF(AND(D67&lt;&gt;"",H67=""),"Check data ⚠",IF(H67="","",IF(AND(D67="Non-native and ornamental hedgerow",H67&lt;&gt;"Poor"),"Not possible ▲",(VLOOKUP(H67,'G-1 All Habitats'!$Z$2:$AA$9,2,FALSE))))),"")</f>
        <v/>
      </c>
      <c r="J67" s="101"/>
      <c r="K67" s="283" t="str">
        <f>IF(AND(D67&lt;&gt;"",J67=""),"Check data ⚠",IF(J67="","",IF(VLOOKUP(J67,'G-3 Multipliers'!$L$3:$N$6,2,FALSE)=0,"Spatial Data Missing",VLOOKUP(J67,'G-3 Multipliers'!$L$3:$N$6,2,FALSE))))</f>
        <v/>
      </c>
      <c r="L67" s="281" t="str">
        <f>IF(J67="","",IF(VLOOKUP(J67,'G-3 Multipliers'!$L$3:$N$6,3,FALSE)=0,"Spatial Data Missing ⚠",VLOOKUP(J67,'G-3 Multipliers'!$L$3:$N$6,3,FALSE)))</f>
        <v/>
      </c>
      <c r="M67" s="282" t="str">
        <f>IF(D67="","",VLOOKUP(D67,'G-6 Hedgerow Data'!$B$1:$AH$15,33,FALSE))</f>
        <v/>
      </c>
      <c r="N67" s="289" t="str">
        <f t="shared" si="2"/>
        <v/>
      </c>
      <c r="O67" s="32"/>
      <c r="P67" s="105"/>
      <c r="Q67" s="138"/>
      <c r="R67" s="306" t="str">
        <f t="shared" si="3"/>
        <v/>
      </c>
      <c r="S67" s="306" t="str">
        <f t="shared" si="4"/>
        <v/>
      </c>
      <c r="T67" s="306" t="str">
        <f t="shared" si="5"/>
        <v/>
      </c>
      <c r="U67" s="327" t="str">
        <f t="shared" si="6"/>
        <v/>
      </c>
      <c r="V67" s="105"/>
      <c r="W67" s="104"/>
      <c r="X67" s="104"/>
      <c r="AE67" s="107" t="str">
        <f t="shared" si="0"/>
        <v/>
      </c>
      <c r="AF67" s="107" t="str">
        <f t="shared" si="1"/>
        <v/>
      </c>
      <c r="AH67" s="107">
        <v>58</v>
      </c>
      <c r="AJ67" s="107" t="str">
        <f t="array" ref="AJ67">IFERROR(INDEX($AH$10:$AH$258,MATCH(0,IF(TRUE=$AE$10:$AE$258,COUNTIF($AJ$9:$AJ66,$AH$10:$AH$258),""),0)),"")</f>
        <v/>
      </c>
      <c r="AK67" s="107" t="str">
        <f t="array" ref="AK67">IFERROR(INDEX($AH$10:$AH$258,MATCH(0,IF(TRUE=$AF$10:$AF$258,COUNTIF($AK$9:$AK66,$AH$10:$AH$258),""),0)),"")</f>
        <v/>
      </c>
      <c r="AL67" s="30" t="str">
        <f>IFERROR(INDEX('G-6 Hedgerow Data'!$BJ$3:$BJ$15,MATCH(D67,'G-6 Hedgerow Data'!$B$3:$B$15,0)),"")</f>
        <v/>
      </c>
    </row>
    <row r="68" spans="2:38" ht="14" hidden="1">
      <c r="B68" s="97">
        <v>59</v>
      </c>
      <c r="C68" s="138"/>
      <c r="D68" s="138"/>
      <c r="E68" s="104"/>
      <c r="F68" s="323" t="str">
        <f>IF(D68="","",VLOOKUP(D68,'G-6 Hedgerow Data'!$B$2:$AG$15,2,FALSE))</f>
        <v/>
      </c>
      <c r="G68" s="276" t="str">
        <f>IF(D68="","",VLOOKUP(D68,'G-6 Hedgerow Data'!$B$2:$AG$15,3,FALSE))</f>
        <v/>
      </c>
      <c r="H68" s="101"/>
      <c r="I68" s="276" t="str">
        <f>IFERROR(IF(AND(D68&lt;&gt;"",H68=""),"Check data ⚠",IF(H68="","",IF(AND(D68="Non-native and ornamental hedgerow",H68&lt;&gt;"Poor"),"Not possible ▲",(VLOOKUP(H68,'G-1 All Habitats'!$Z$2:$AA$9,2,FALSE))))),"")</f>
        <v/>
      </c>
      <c r="J68" s="101"/>
      <c r="K68" s="283" t="str">
        <f>IF(AND(D68&lt;&gt;"",J68=""),"Check data ⚠",IF(J68="","",IF(VLOOKUP(J68,'G-3 Multipliers'!$L$3:$N$6,2,FALSE)=0,"Spatial Data Missing",VLOOKUP(J68,'G-3 Multipliers'!$L$3:$N$6,2,FALSE))))</f>
        <v/>
      </c>
      <c r="L68" s="281" t="str">
        <f>IF(J68="","",IF(VLOOKUP(J68,'G-3 Multipliers'!$L$3:$N$6,3,FALSE)=0,"Spatial Data Missing ⚠",VLOOKUP(J68,'G-3 Multipliers'!$L$3:$N$6,3,FALSE)))</f>
        <v/>
      </c>
      <c r="M68" s="282" t="str">
        <f>IF(D68="","",VLOOKUP(D68,'G-6 Hedgerow Data'!$B$1:$AH$15,33,FALSE))</f>
        <v/>
      </c>
      <c r="N68" s="289" t="str">
        <f t="shared" si="2"/>
        <v/>
      </c>
      <c r="O68" s="32"/>
      <c r="P68" s="105"/>
      <c r="Q68" s="138"/>
      <c r="R68" s="306" t="str">
        <f t="shared" si="3"/>
        <v/>
      </c>
      <c r="S68" s="306" t="str">
        <f t="shared" si="4"/>
        <v/>
      </c>
      <c r="T68" s="306" t="str">
        <f t="shared" si="5"/>
        <v/>
      </c>
      <c r="U68" s="327" t="str">
        <f t="shared" si="6"/>
        <v/>
      </c>
      <c r="V68" s="105"/>
      <c r="W68" s="104"/>
      <c r="X68" s="104"/>
      <c r="AE68" s="107" t="str">
        <f t="shared" si="0"/>
        <v/>
      </c>
      <c r="AF68" s="107" t="str">
        <f t="shared" si="1"/>
        <v/>
      </c>
      <c r="AH68" s="107">
        <v>59</v>
      </c>
      <c r="AJ68" s="107" t="str">
        <f t="array" ref="AJ68">IFERROR(INDEX($AH$10:$AH$258,MATCH(0,IF(TRUE=$AE$10:$AE$258,COUNTIF($AJ$9:$AJ67,$AH$10:$AH$258),""),0)),"")</f>
        <v/>
      </c>
      <c r="AK68" s="107" t="str">
        <f t="array" ref="AK68">IFERROR(INDEX($AH$10:$AH$258,MATCH(0,IF(TRUE=$AF$10:$AF$258,COUNTIF($AK$9:$AK67,$AH$10:$AH$258),""),0)),"")</f>
        <v/>
      </c>
      <c r="AL68" s="30" t="str">
        <f>IFERROR(INDEX('G-6 Hedgerow Data'!$BJ$3:$BJ$15,MATCH(D68,'G-6 Hedgerow Data'!$B$3:$B$15,0)),"")</f>
        <v/>
      </c>
    </row>
    <row r="69" spans="2:38" ht="14" hidden="1">
      <c r="B69" s="97">
        <v>60</v>
      </c>
      <c r="C69" s="138"/>
      <c r="D69" s="138"/>
      <c r="E69" s="104"/>
      <c r="F69" s="323" t="str">
        <f>IF(D69="","",VLOOKUP(D69,'G-6 Hedgerow Data'!$B$2:$AG$15,2,FALSE))</f>
        <v/>
      </c>
      <c r="G69" s="276" t="str">
        <f>IF(D69="","",VLOOKUP(D69,'G-6 Hedgerow Data'!$B$2:$AG$15,3,FALSE))</f>
        <v/>
      </c>
      <c r="H69" s="101"/>
      <c r="I69" s="276" t="str">
        <f>IFERROR(IF(AND(D69&lt;&gt;"",H69=""),"Check data ⚠",IF(H69="","",IF(AND(D69="Non-native and ornamental hedgerow",H69&lt;&gt;"Poor"),"Not possible ▲",(VLOOKUP(H69,'G-1 All Habitats'!$Z$2:$AA$9,2,FALSE))))),"")</f>
        <v/>
      </c>
      <c r="J69" s="101"/>
      <c r="K69" s="283" t="str">
        <f>IF(AND(D69&lt;&gt;"",J69=""),"Check data ⚠",IF(J69="","",IF(VLOOKUP(J69,'G-3 Multipliers'!$L$3:$N$6,2,FALSE)=0,"Spatial Data Missing",VLOOKUP(J69,'G-3 Multipliers'!$L$3:$N$6,2,FALSE))))</f>
        <v/>
      </c>
      <c r="L69" s="281" t="str">
        <f>IF(J69="","",IF(VLOOKUP(J69,'G-3 Multipliers'!$L$3:$N$6,3,FALSE)=0,"Spatial Data Missing ⚠",VLOOKUP(J69,'G-3 Multipliers'!$L$3:$N$6,3,FALSE)))</f>
        <v/>
      </c>
      <c r="M69" s="282" t="str">
        <f>IF(D69="","",VLOOKUP(D69,'G-6 Hedgerow Data'!$B$1:$AH$15,33,FALSE))</f>
        <v/>
      </c>
      <c r="N69" s="289" t="str">
        <f t="shared" si="2"/>
        <v/>
      </c>
      <c r="O69" s="32"/>
      <c r="P69" s="105"/>
      <c r="Q69" s="138"/>
      <c r="R69" s="306" t="str">
        <f t="shared" si="3"/>
        <v/>
      </c>
      <c r="S69" s="306" t="str">
        <f t="shared" si="4"/>
        <v/>
      </c>
      <c r="T69" s="306" t="str">
        <f t="shared" si="5"/>
        <v/>
      </c>
      <c r="U69" s="327" t="str">
        <f t="shared" si="6"/>
        <v/>
      </c>
      <c r="V69" s="105"/>
      <c r="W69" s="104"/>
      <c r="X69" s="104"/>
      <c r="AE69" s="107" t="str">
        <f t="shared" si="0"/>
        <v/>
      </c>
      <c r="AF69" s="107" t="str">
        <f t="shared" si="1"/>
        <v/>
      </c>
      <c r="AH69" s="107">
        <v>60</v>
      </c>
      <c r="AJ69" s="107" t="str">
        <f t="array" ref="AJ69">IFERROR(INDEX($AH$10:$AH$258,MATCH(0,IF(TRUE=$AE$10:$AE$258,COUNTIF($AJ$9:$AJ68,$AH$10:$AH$258),""),0)),"")</f>
        <v/>
      </c>
      <c r="AK69" s="107" t="str">
        <f t="array" ref="AK69">IFERROR(INDEX($AH$10:$AH$258,MATCH(0,IF(TRUE=$AF$10:$AF$258,COUNTIF($AK$9:$AK68,$AH$10:$AH$258),""),0)),"")</f>
        <v/>
      </c>
      <c r="AL69" s="30" t="str">
        <f>IFERROR(INDEX('G-6 Hedgerow Data'!$BJ$3:$BJ$15,MATCH(D69,'G-6 Hedgerow Data'!$B$3:$B$15,0)),"")</f>
        <v/>
      </c>
    </row>
    <row r="70" spans="2:38" ht="14" hidden="1">
      <c r="B70" s="97">
        <v>61</v>
      </c>
      <c r="C70" s="138"/>
      <c r="D70" s="138"/>
      <c r="E70" s="104"/>
      <c r="F70" s="323" t="str">
        <f>IF(D70="","",VLOOKUP(D70,'G-6 Hedgerow Data'!$B$2:$AG$15,2,FALSE))</f>
        <v/>
      </c>
      <c r="G70" s="276" t="str">
        <f>IF(D70="","",VLOOKUP(D70,'G-6 Hedgerow Data'!$B$2:$AG$15,3,FALSE))</f>
        <v/>
      </c>
      <c r="H70" s="101"/>
      <c r="I70" s="276" t="str">
        <f>IFERROR(IF(AND(D70&lt;&gt;"",H70=""),"Check data ⚠",IF(H70="","",IF(AND(D70="Non-native and ornamental hedgerow",H70&lt;&gt;"Poor"),"Not possible ▲",(VLOOKUP(H70,'G-1 All Habitats'!$Z$2:$AA$9,2,FALSE))))),"")</f>
        <v/>
      </c>
      <c r="J70" s="101"/>
      <c r="K70" s="283" t="str">
        <f>IF(AND(D70&lt;&gt;"",J70=""),"Check data ⚠",IF(J70="","",IF(VLOOKUP(J70,'G-3 Multipliers'!$L$3:$N$6,2,FALSE)=0,"Spatial Data Missing",VLOOKUP(J70,'G-3 Multipliers'!$L$3:$N$6,2,FALSE))))</f>
        <v/>
      </c>
      <c r="L70" s="281" t="str">
        <f>IF(J70="","",IF(VLOOKUP(J70,'G-3 Multipliers'!$L$3:$N$6,3,FALSE)=0,"Spatial Data Missing ⚠",VLOOKUP(J70,'G-3 Multipliers'!$L$3:$N$6,3,FALSE)))</f>
        <v/>
      </c>
      <c r="M70" s="282" t="str">
        <f>IF(D70="","",VLOOKUP(D70,'G-6 Hedgerow Data'!$B$1:$AH$15,33,FALSE))</f>
        <v/>
      </c>
      <c r="N70" s="289" t="str">
        <f t="shared" si="2"/>
        <v/>
      </c>
      <c r="O70" s="32"/>
      <c r="P70" s="105"/>
      <c r="Q70" s="138"/>
      <c r="R70" s="306" t="str">
        <f t="shared" si="3"/>
        <v/>
      </c>
      <c r="S70" s="306" t="str">
        <f t="shared" si="4"/>
        <v/>
      </c>
      <c r="T70" s="306" t="str">
        <f t="shared" si="5"/>
        <v/>
      </c>
      <c r="U70" s="327" t="str">
        <f t="shared" si="6"/>
        <v/>
      </c>
      <c r="V70" s="105"/>
      <c r="W70" s="104"/>
      <c r="X70" s="104"/>
      <c r="AE70" s="107" t="str">
        <f t="shared" si="0"/>
        <v/>
      </c>
      <c r="AF70" s="107" t="str">
        <f t="shared" si="1"/>
        <v/>
      </c>
      <c r="AH70" s="107">
        <v>61</v>
      </c>
      <c r="AJ70" s="107" t="str">
        <f t="array" ref="AJ70">IFERROR(INDEX($AH$10:$AH$258,MATCH(0,IF(TRUE=$AE$10:$AE$258,COUNTIF($AJ$9:$AJ69,$AH$10:$AH$258),""),0)),"")</f>
        <v/>
      </c>
      <c r="AK70" s="107" t="str">
        <f t="array" ref="AK70">IFERROR(INDEX($AH$10:$AH$258,MATCH(0,IF(TRUE=$AF$10:$AF$258,COUNTIF($AK$9:$AK69,$AH$10:$AH$258),""),0)),"")</f>
        <v/>
      </c>
      <c r="AL70" s="30" t="str">
        <f>IFERROR(INDEX('G-6 Hedgerow Data'!$BJ$3:$BJ$15,MATCH(D70,'G-6 Hedgerow Data'!$B$3:$B$15,0)),"")</f>
        <v/>
      </c>
    </row>
    <row r="71" spans="2:38" ht="14" hidden="1">
      <c r="B71" s="97">
        <v>62</v>
      </c>
      <c r="C71" s="138"/>
      <c r="D71" s="138"/>
      <c r="E71" s="104"/>
      <c r="F71" s="323" t="str">
        <f>IF(D71="","",VLOOKUP(D71,'G-6 Hedgerow Data'!$B$2:$AG$15,2,FALSE))</f>
        <v/>
      </c>
      <c r="G71" s="276" t="str">
        <f>IF(D71="","",VLOOKUP(D71,'G-6 Hedgerow Data'!$B$2:$AG$15,3,FALSE))</f>
        <v/>
      </c>
      <c r="H71" s="101"/>
      <c r="I71" s="276" t="str">
        <f>IFERROR(IF(AND(D71&lt;&gt;"",H71=""),"Check data ⚠",IF(H71="","",IF(AND(D71="Non-native and ornamental hedgerow",H71&lt;&gt;"Poor"),"Not possible ▲",(VLOOKUP(H71,'G-1 All Habitats'!$Z$2:$AA$9,2,FALSE))))),"")</f>
        <v/>
      </c>
      <c r="J71" s="101"/>
      <c r="K71" s="283" t="str">
        <f>IF(AND(D71&lt;&gt;"",J71=""),"Check data ⚠",IF(J71="","",IF(VLOOKUP(J71,'G-3 Multipliers'!$L$3:$N$6,2,FALSE)=0,"Spatial Data Missing",VLOOKUP(J71,'G-3 Multipliers'!$L$3:$N$6,2,FALSE))))</f>
        <v/>
      </c>
      <c r="L71" s="281" t="str">
        <f>IF(J71="","",IF(VLOOKUP(J71,'G-3 Multipliers'!$L$3:$N$6,3,FALSE)=0,"Spatial Data Missing ⚠",VLOOKUP(J71,'G-3 Multipliers'!$L$3:$N$6,3,FALSE)))</f>
        <v/>
      </c>
      <c r="M71" s="282" t="str">
        <f>IF(D71="","",VLOOKUP(D71,'G-6 Hedgerow Data'!$B$1:$AH$15,33,FALSE))</f>
        <v/>
      </c>
      <c r="N71" s="289" t="str">
        <f t="shared" si="2"/>
        <v/>
      </c>
      <c r="O71" s="32"/>
      <c r="P71" s="105"/>
      <c r="Q71" s="138"/>
      <c r="R71" s="306" t="str">
        <f t="shared" si="3"/>
        <v/>
      </c>
      <c r="S71" s="306" t="str">
        <f t="shared" si="4"/>
        <v/>
      </c>
      <c r="T71" s="306" t="str">
        <f t="shared" si="5"/>
        <v/>
      </c>
      <c r="U71" s="327" t="str">
        <f t="shared" si="6"/>
        <v/>
      </c>
      <c r="V71" s="105"/>
      <c r="W71" s="104"/>
      <c r="X71" s="104"/>
      <c r="AE71" s="107" t="str">
        <f t="shared" si="0"/>
        <v/>
      </c>
      <c r="AF71" s="107" t="str">
        <f t="shared" si="1"/>
        <v/>
      </c>
      <c r="AH71" s="107">
        <v>62</v>
      </c>
      <c r="AJ71" s="107" t="str">
        <f t="array" ref="AJ71">IFERROR(INDEX($AH$10:$AH$258,MATCH(0,IF(TRUE=$AE$10:$AE$258,COUNTIF($AJ$9:$AJ70,$AH$10:$AH$258),""),0)),"")</f>
        <v/>
      </c>
      <c r="AK71" s="107" t="str">
        <f t="array" ref="AK71">IFERROR(INDEX($AH$10:$AH$258,MATCH(0,IF(TRUE=$AF$10:$AF$258,COUNTIF($AK$9:$AK70,$AH$10:$AH$258),""),0)),"")</f>
        <v/>
      </c>
      <c r="AL71" s="30" t="str">
        <f>IFERROR(INDEX('G-6 Hedgerow Data'!$BJ$3:$BJ$15,MATCH(D71,'G-6 Hedgerow Data'!$B$3:$B$15,0)),"")</f>
        <v/>
      </c>
    </row>
    <row r="72" spans="2:38" ht="14" hidden="1">
      <c r="B72" s="97">
        <v>63</v>
      </c>
      <c r="C72" s="138"/>
      <c r="D72" s="138"/>
      <c r="E72" s="104"/>
      <c r="F72" s="323" t="str">
        <f>IF(D72="","",VLOOKUP(D72,'G-6 Hedgerow Data'!$B$2:$AG$15,2,FALSE))</f>
        <v/>
      </c>
      <c r="G72" s="276" t="str">
        <f>IF(D72="","",VLOOKUP(D72,'G-6 Hedgerow Data'!$B$2:$AG$15,3,FALSE))</f>
        <v/>
      </c>
      <c r="H72" s="101"/>
      <c r="I72" s="276" t="str">
        <f>IFERROR(IF(AND(D72&lt;&gt;"",H72=""),"Check data ⚠",IF(H72="","",IF(AND(D72="Non-native and ornamental hedgerow",H72&lt;&gt;"Poor"),"Not possible ▲",(VLOOKUP(H72,'G-1 All Habitats'!$Z$2:$AA$9,2,FALSE))))),"")</f>
        <v/>
      </c>
      <c r="J72" s="101"/>
      <c r="K72" s="283" t="str">
        <f>IF(AND(D72&lt;&gt;"",J72=""),"Check data ⚠",IF(J72="","",IF(VLOOKUP(J72,'G-3 Multipliers'!$L$3:$N$6,2,FALSE)=0,"Spatial Data Missing",VLOOKUP(J72,'G-3 Multipliers'!$L$3:$N$6,2,FALSE))))</f>
        <v/>
      </c>
      <c r="L72" s="281" t="str">
        <f>IF(J72="","",IF(VLOOKUP(J72,'G-3 Multipliers'!$L$3:$N$6,3,FALSE)=0,"Spatial Data Missing ⚠",VLOOKUP(J72,'G-3 Multipliers'!$L$3:$N$6,3,FALSE)))</f>
        <v/>
      </c>
      <c r="M72" s="282" t="str">
        <f>IF(D72="","",VLOOKUP(D72,'G-6 Hedgerow Data'!$B$1:$AH$15,33,FALSE))</f>
        <v/>
      </c>
      <c r="N72" s="289" t="str">
        <f t="shared" si="2"/>
        <v/>
      </c>
      <c r="O72" s="32"/>
      <c r="P72" s="105"/>
      <c r="Q72" s="138"/>
      <c r="R72" s="306" t="str">
        <f t="shared" si="3"/>
        <v/>
      </c>
      <c r="S72" s="306" t="str">
        <f t="shared" si="4"/>
        <v/>
      </c>
      <c r="T72" s="306" t="str">
        <f t="shared" si="5"/>
        <v/>
      </c>
      <c r="U72" s="327" t="str">
        <f t="shared" si="6"/>
        <v/>
      </c>
      <c r="V72" s="105"/>
      <c r="W72" s="104"/>
      <c r="X72" s="104"/>
      <c r="AE72" s="107" t="str">
        <f t="shared" si="0"/>
        <v/>
      </c>
      <c r="AF72" s="107" t="str">
        <f t="shared" si="1"/>
        <v/>
      </c>
      <c r="AH72" s="107">
        <v>63</v>
      </c>
      <c r="AJ72" s="107" t="str">
        <f t="array" ref="AJ72">IFERROR(INDEX($AH$10:$AH$258,MATCH(0,IF(TRUE=$AE$10:$AE$258,COUNTIF($AJ$9:$AJ71,$AH$10:$AH$258),""),0)),"")</f>
        <v/>
      </c>
      <c r="AK72" s="107" t="str">
        <f t="array" ref="AK72">IFERROR(INDEX($AH$10:$AH$258,MATCH(0,IF(TRUE=$AF$10:$AF$258,COUNTIF($AK$9:$AK71,$AH$10:$AH$258),""),0)),"")</f>
        <v/>
      </c>
      <c r="AL72" s="30" t="str">
        <f>IFERROR(INDEX('G-6 Hedgerow Data'!$BJ$3:$BJ$15,MATCH(D72,'G-6 Hedgerow Data'!$B$3:$B$15,0)),"")</f>
        <v/>
      </c>
    </row>
    <row r="73" spans="2:38" ht="14" hidden="1">
      <c r="B73" s="97">
        <v>64</v>
      </c>
      <c r="C73" s="138"/>
      <c r="D73" s="138"/>
      <c r="E73" s="104"/>
      <c r="F73" s="323" t="str">
        <f>IF(D73="","",VLOOKUP(D73,'G-6 Hedgerow Data'!$B$2:$AG$15,2,FALSE))</f>
        <v/>
      </c>
      <c r="G73" s="276" t="str">
        <f>IF(D73="","",VLOOKUP(D73,'G-6 Hedgerow Data'!$B$2:$AG$15,3,FALSE))</f>
        <v/>
      </c>
      <c r="H73" s="101"/>
      <c r="I73" s="276" t="str">
        <f>IFERROR(IF(AND(D73&lt;&gt;"",H73=""),"Check data ⚠",IF(H73="","",IF(AND(D73="Non-native and ornamental hedgerow",H73&lt;&gt;"Poor"),"Not possible ▲",(VLOOKUP(H73,'G-1 All Habitats'!$Z$2:$AA$9,2,FALSE))))),"")</f>
        <v/>
      </c>
      <c r="J73" s="101"/>
      <c r="K73" s="283" t="str">
        <f>IF(AND(D73&lt;&gt;"",J73=""),"Check data ⚠",IF(J73="","",IF(VLOOKUP(J73,'G-3 Multipliers'!$L$3:$N$6,2,FALSE)=0,"Spatial Data Missing",VLOOKUP(J73,'G-3 Multipliers'!$L$3:$N$6,2,FALSE))))</f>
        <v/>
      </c>
      <c r="L73" s="281" t="str">
        <f>IF(J73="","",IF(VLOOKUP(J73,'G-3 Multipliers'!$L$3:$N$6,3,FALSE)=0,"Spatial Data Missing ⚠",VLOOKUP(J73,'G-3 Multipliers'!$L$3:$N$6,3,FALSE)))</f>
        <v/>
      </c>
      <c r="M73" s="282" t="str">
        <f>IF(D73="","",VLOOKUP(D73,'G-6 Hedgerow Data'!$B$1:$AH$15,33,FALSE))</f>
        <v/>
      </c>
      <c r="N73" s="289" t="str">
        <f t="shared" si="2"/>
        <v/>
      </c>
      <c r="O73" s="32"/>
      <c r="P73" s="105"/>
      <c r="Q73" s="138"/>
      <c r="R73" s="306" t="str">
        <f t="shared" si="3"/>
        <v/>
      </c>
      <c r="S73" s="306" t="str">
        <f t="shared" si="4"/>
        <v/>
      </c>
      <c r="T73" s="306" t="str">
        <f t="shared" si="5"/>
        <v/>
      </c>
      <c r="U73" s="327" t="str">
        <f t="shared" si="6"/>
        <v/>
      </c>
      <c r="V73" s="105"/>
      <c r="W73" s="104"/>
      <c r="X73" s="104"/>
      <c r="AE73" s="107" t="str">
        <f t="shared" si="0"/>
        <v/>
      </c>
      <c r="AF73" s="107" t="str">
        <f t="shared" si="1"/>
        <v/>
      </c>
      <c r="AH73" s="107">
        <v>64</v>
      </c>
      <c r="AJ73" s="107" t="str">
        <f t="array" ref="AJ73">IFERROR(INDEX($AH$10:$AH$258,MATCH(0,IF(TRUE=$AE$10:$AE$258,COUNTIF($AJ$9:$AJ72,$AH$10:$AH$258),""),0)),"")</f>
        <v/>
      </c>
      <c r="AK73" s="107" t="str">
        <f t="array" ref="AK73">IFERROR(INDEX($AH$10:$AH$258,MATCH(0,IF(TRUE=$AF$10:$AF$258,COUNTIF($AK$9:$AK72,$AH$10:$AH$258),""),0)),"")</f>
        <v/>
      </c>
      <c r="AL73" s="30" t="str">
        <f>IFERROR(INDEX('G-6 Hedgerow Data'!$BJ$3:$BJ$15,MATCH(D73,'G-6 Hedgerow Data'!$B$3:$B$15,0)),"")</f>
        <v/>
      </c>
    </row>
    <row r="74" spans="2:38" ht="14" hidden="1">
      <c r="B74" s="97">
        <v>65</v>
      </c>
      <c r="C74" s="138"/>
      <c r="D74" s="138"/>
      <c r="E74" s="104"/>
      <c r="F74" s="323" t="str">
        <f>IF(D74="","",VLOOKUP(D74,'G-6 Hedgerow Data'!$B$2:$AG$15,2,FALSE))</f>
        <v/>
      </c>
      <c r="G74" s="276" t="str">
        <f>IF(D74="","",VLOOKUP(D74,'G-6 Hedgerow Data'!$B$2:$AG$15,3,FALSE))</f>
        <v/>
      </c>
      <c r="H74" s="101"/>
      <c r="I74" s="276" t="str">
        <f>IFERROR(IF(AND(D74&lt;&gt;"",H74=""),"Check data ⚠",IF(H74="","",IF(AND(D74="Non-native and ornamental hedgerow",H74&lt;&gt;"Poor"),"Not possible ▲",(VLOOKUP(H74,'G-1 All Habitats'!$Z$2:$AA$9,2,FALSE))))),"")</f>
        <v/>
      </c>
      <c r="J74" s="101"/>
      <c r="K74" s="283" t="str">
        <f>IF(AND(D74&lt;&gt;"",J74=""),"Check data ⚠",IF(J74="","",IF(VLOOKUP(J74,'G-3 Multipliers'!$L$3:$N$6,2,FALSE)=0,"Spatial Data Missing",VLOOKUP(J74,'G-3 Multipliers'!$L$3:$N$6,2,FALSE))))</f>
        <v/>
      </c>
      <c r="L74" s="281" t="str">
        <f>IF(J74="","",IF(VLOOKUP(J74,'G-3 Multipliers'!$L$3:$N$6,3,FALSE)=0,"Spatial Data Missing ⚠",VLOOKUP(J74,'G-3 Multipliers'!$L$3:$N$6,3,FALSE)))</f>
        <v/>
      </c>
      <c r="M74" s="282" t="str">
        <f>IF(D74="","",VLOOKUP(D74,'G-6 Hedgerow Data'!$B$1:$AH$15,33,FALSE))</f>
        <v/>
      </c>
      <c r="N74" s="289" t="str">
        <f t="shared" si="2"/>
        <v/>
      </c>
      <c r="O74" s="32"/>
      <c r="P74" s="105"/>
      <c r="Q74" s="138"/>
      <c r="R74" s="306" t="str">
        <f t="shared" si="3"/>
        <v/>
      </c>
      <c r="S74" s="306" t="str">
        <f t="shared" si="4"/>
        <v/>
      </c>
      <c r="T74" s="306" t="str">
        <f t="shared" si="5"/>
        <v/>
      </c>
      <c r="U74" s="327" t="str">
        <f t="shared" si="6"/>
        <v/>
      </c>
      <c r="V74" s="105"/>
      <c r="W74" s="104"/>
      <c r="X74" s="104"/>
      <c r="AE74" s="107" t="str">
        <f t="shared" si="7" ref="AE74:AE137">IF(D74="","",IF(P74&gt;0,TRUE,FALSE))</f>
        <v/>
      </c>
      <c r="AF74" s="107" t="str">
        <f t="shared" si="8" ref="AF74:AF137">IF(D74="","",IF(Q74&gt;0,TRUE,FALSE))</f>
        <v/>
      </c>
      <c r="AH74" s="107">
        <v>65</v>
      </c>
      <c r="AJ74" s="107" t="str">
        <f t="array" ref="AJ74">IFERROR(INDEX($AH$10:$AH$258,MATCH(0,IF(TRUE=$AE$10:$AE$258,COUNTIF($AJ$9:$AJ73,$AH$10:$AH$258),""),0)),"")</f>
        <v/>
      </c>
      <c r="AK74" s="107" t="str">
        <f t="array" ref="AK74">IFERROR(INDEX($AH$10:$AH$258,MATCH(0,IF(TRUE=$AF$10:$AF$258,COUNTIF($AK$9:$AK73,$AH$10:$AH$258),""),0)),"")</f>
        <v/>
      </c>
      <c r="AL74" s="30" t="str">
        <f>IFERROR(INDEX('G-6 Hedgerow Data'!$BJ$3:$BJ$15,MATCH(D74,'G-6 Hedgerow Data'!$B$3:$B$15,0)),"")</f>
        <v/>
      </c>
    </row>
    <row r="75" spans="2:38" ht="14" hidden="1">
      <c r="B75" s="97">
        <v>66</v>
      </c>
      <c r="C75" s="138"/>
      <c r="D75" s="138"/>
      <c r="E75" s="104"/>
      <c r="F75" s="323" t="str">
        <f>IF(D75="","",VLOOKUP(D75,'G-6 Hedgerow Data'!$B$2:$AG$15,2,FALSE))</f>
        <v/>
      </c>
      <c r="G75" s="276" t="str">
        <f>IF(D75="","",VLOOKUP(D75,'G-6 Hedgerow Data'!$B$2:$AG$15,3,FALSE))</f>
        <v/>
      </c>
      <c r="H75" s="101"/>
      <c r="I75" s="276" t="str">
        <f>IFERROR(IF(AND(D75&lt;&gt;"",H75=""),"Check data ⚠",IF(H75="","",IF(AND(D75="Non-native and ornamental hedgerow",H75&lt;&gt;"Poor"),"Not possible ▲",(VLOOKUP(H75,'G-1 All Habitats'!$Z$2:$AA$9,2,FALSE))))),"")</f>
        <v/>
      </c>
      <c r="J75" s="101"/>
      <c r="K75" s="283" t="str">
        <f>IF(AND(D75&lt;&gt;"",J75=""),"Check data ⚠",IF(J75="","",IF(VLOOKUP(J75,'G-3 Multipliers'!$L$3:$N$6,2,FALSE)=0,"Spatial Data Missing",VLOOKUP(J75,'G-3 Multipliers'!$L$3:$N$6,2,FALSE))))</f>
        <v/>
      </c>
      <c r="L75" s="281" t="str">
        <f>IF(J75="","",IF(VLOOKUP(J75,'G-3 Multipliers'!$L$3:$N$6,3,FALSE)=0,"Spatial Data Missing ⚠",VLOOKUP(J75,'G-3 Multipliers'!$L$3:$N$6,3,FALSE)))</f>
        <v/>
      </c>
      <c r="M75" s="282" t="str">
        <f>IF(D75="","",VLOOKUP(D75,'G-6 Hedgerow Data'!$B$1:$AH$15,33,FALSE))</f>
        <v/>
      </c>
      <c r="N75" s="289" t="str">
        <f t="shared" si="9" ref="N75:N138">IFERROR(IF(OR(K75="Check data ⚠",I75="Check data ⚠",R75="Error in lengths ▲"),"Check data ▲",(E75*G75*I75*L75)),"")</f>
        <v/>
      </c>
      <c r="O75" s="32"/>
      <c r="P75" s="105"/>
      <c r="Q75" s="138"/>
      <c r="R75" s="306" t="str">
        <f t="shared" si="10" ref="R75:R138">IFERROR(P75*G75*I75*L75,"")</f>
        <v/>
      </c>
      <c r="S75" s="306" t="str">
        <f t="shared" si="11" ref="S75:S138">IFERROR(Q75*G75*I75*L75,"")</f>
        <v/>
      </c>
      <c r="T75" s="306" t="str">
        <f t="shared" si="12" ref="T75:T138">IF(D75="","",IF(E75-P75-Q75=0&lt;0,"Error in lengths ▲",IF(P75+Q75&gt;E75,"Error in Lengths ▲",E75-P75-Q75)))</f>
        <v/>
      </c>
      <c r="U75" s="327" t="str">
        <f t="shared" si="13" ref="U75:U138">IFERROR(IF(OR(E75="",N75=""),"",IF(E75-P75-Q75=0&lt;0,"Error in Lengths ▲",IF(P75+Q75&gt;E75,"Error in Lengths ▲",N75-R75-S75))),"Check data ⚠")</f>
        <v/>
      </c>
      <c r="V75" s="105"/>
      <c r="W75" s="104"/>
      <c r="X75" s="104"/>
      <c r="AE75" s="107" t="str">
        <f t="shared" si="7"/>
        <v/>
      </c>
      <c r="AF75" s="107" t="str">
        <f t="shared" si="8"/>
        <v/>
      </c>
      <c r="AH75" s="107">
        <v>66</v>
      </c>
      <c r="AJ75" s="107" t="str">
        <f t="array" ref="AJ75">IFERROR(INDEX($AH$10:$AH$258,MATCH(0,IF(TRUE=$AE$10:$AE$258,COUNTIF($AJ$9:$AJ74,$AH$10:$AH$258),""),0)),"")</f>
        <v/>
      </c>
      <c r="AK75" s="107" t="str">
        <f t="array" ref="AK75">IFERROR(INDEX($AH$10:$AH$258,MATCH(0,IF(TRUE=$AF$10:$AF$258,COUNTIF($AK$9:$AK74,$AH$10:$AH$258),""),0)),"")</f>
        <v/>
      </c>
      <c r="AL75" s="30" t="str">
        <f>IFERROR(INDEX('G-6 Hedgerow Data'!$BJ$3:$BJ$15,MATCH(D75,'G-6 Hedgerow Data'!$B$3:$B$15,0)),"")</f>
        <v/>
      </c>
    </row>
    <row r="76" spans="2:38" ht="14" hidden="1">
      <c r="B76" s="97">
        <v>67</v>
      </c>
      <c r="C76" s="138"/>
      <c r="D76" s="138"/>
      <c r="E76" s="104"/>
      <c r="F76" s="323" t="str">
        <f>IF(D76="","",VLOOKUP(D76,'G-6 Hedgerow Data'!$B$2:$AG$15,2,FALSE))</f>
        <v/>
      </c>
      <c r="G76" s="276" t="str">
        <f>IF(D76="","",VLOOKUP(D76,'G-6 Hedgerow Data'!$B$2:$AG$15,3,FALSE))</f>
        <v/>
      </c>
      <c r="H76" s="101"/>
      <c r="I76" s="276" t="str">
        <f>IFERROR(IF(AND(D76&lt;&gt;"",H76=""),"Check data ⚠",IF(H76="","",IF(AND(D76="Non-native and ornamental hedgerow",H76&lt;&gt;"Poor"),"Not possible ▲",(VLOOKUP(H76,'G-1 All Habitats'!$Z$2:$AA$9,2,FALSE))))),"")</f>
        <v/>
      </c>
      <c r="J76" s="101"/>
      <c r="K76" s="283" t="str">
        <f>IF(AND(D76&lt;&gt;"",J76=""),"Check data ⚠",IF(J76="","",IF(VLOOKUP(J76,'G-3 Multipliers'!$L$3:$N$6,2,FALSE)=0,"Spatial Data Missing",VLOOKUP(J76,'G-3 Multipliers'!$L$3:$N$6,2,FALSE))))</f>
        <v/>
      </c>
      <c r="L76" s="281" t="str">
        <f>IF(J76="","",IF(VLOOKUP(J76,'G-3 Multipliers'!$L$3:$N$6,3,FALSE)=0,"Spatial Data Missing ⚠",VLOOKUP(J76,'G-3 Multipliers'!$L$3:$N$6,3,FALSE)))</f>
        <v/>
      </c>
      <c r="M76" s="282" t="str">
        <f>IF(D76="","",VLOOKUP(D76,'G-6 Hedgerow Data'!$B$1:$AH$15,33,FALSE))</f>
        <v/>
      </c>
      <c r="N76" s="289" t="str">
        <f t="shared" si="9"/>
        <v/>
      </c>
      <c r="O76" s="32"/>
      <c r="P76" s="105"/>
      <c r="Q76" s="138"/>
      <c r="R76" s="306" t="str">
        <f t="shared" si="10"/>
        <v/>
      </c>
      <c r="S76" s="306" t="str">
        <f t="shared" si="11"/>
        <v/>
      </c>
      <c r="T76" s="306" t="str">
        <f t="shared" si="12"/>
        <v/>
      </c>
      <c r="U76" s="327" t="str">
        <f t="shared" si="13"/>
        <v/>
      </c>
      <c r="V76" s="105"/>
      <c r="W76" s="104"/>
      <c r="X76" s="104"/>
      <c r="AE76" s="107" t="str">
        <f t="shared" si="7"/>
        <v/>
      </c>
      <c r="AF76" s="107" t="str">
        <f t="shared" si="8"/>
        <v/>
      </c>
      <c r="AH76" s="107">
        <v>67</v>
      </c>
      <c r="AJ76" s="107" t="str">
        <f t="array" ref="AJ76">IFERROR(INDEX($AH$10:$AH$258,MATCH(0,IF(TRUE=$AE$10:$AE$258,COUNTIF($AJ$9:$AJ75,$AH$10:$AH$258),""),0)),"")</f>
        <v/>
      </c>
      <c r="AK76" s="107" t="str">
        <f t="array" ref="AK76">IFERROR(INDEX($AH$10:$AH$258,MATCH(0,IF(TRUE=$AF$10:$AF$258,COUNTIF($AK$9:$AK75,$AH$10:$AH$258),""),0)),"")</f>
        <v/>
      </c>
      <c r="AL76" s="30" t="str">
        <f>IFERROR(INDEX('G-6 Hedgerow Data'!$BJ$3:$BJ$15,MATCH(D76,'G-6 Hedgerow Data'!$B$3:$B$15,0)),"")</f>
        <v/>
      </c>
    </row>
    <row r="77" spans="2:38" ht="14" hidden="1">
      <c r="B77" s="97">
        <v>68</v>
      </c>
      <c r="C77" s="138"/>
      <c r="D77" s="138"/>
      <c r="E77" s="104"/>
      <c r="F77" s="323" t="str">
        <f>IF(D77="","",VLOOKUP(D77,'G-6 Hedgerow Data'!$B$2:$AG$15,2,FALSE))</f>
        <v/>
      </c>
      <c r="G77" s="276" t="str">
        <f>IF(D77="","",VLOOKUP(D77,'G-6 Hedgerow Data'!$B$2:$AG$15,3,FALSE))</f>
        <v/>
      </c>
      <c r="H77" s="101"/>
      <c r="I77" s="276" t="str">
        <f>IFERROR(IF(AND(D77&lt;&gt;"",H77=""),"Check data ⚠",IF(H77="","",IF(AND(D77="Non-native and ornamental hedgerow",H77&lt;&gt;"Poor"),"Not possible ▲",(VLOOKUP(H77,'G-1 All Habitats'!$Z$2:$AA$9,2,FALSE))))),"")</f>
        <v/>
      </c>
      <c r="J77" s="101"/>
      <c r="K77" s="283" t="str">
        <f>IF(AND(D77&lt;&gt;"",J77=""),"Check data ⚠",IF(J77="","",IF(VLOOKUP(J77,'G-3 Multipliers'!$L$3:$N$6,2,FALSE)=0,"Spatial Data Missing",VLOOKUP(J77,'G-3 Multipliers'!$L$3:$N$6,2,FALSE))))</f>
        <v/>
      </c>
      <c r="L77" s="281" t="str">
        <f>IF(J77="","",IF(VLOOKUP(J77,'G-3 Multipliers'!$L$3:$N$6,3,FALSE)=0,"Spatial Data Missing ⚠",VLOOKUP(J77,'G-3 Multipliers'!$L$3:$N$6,3,FALSE)))</f>
        <v/>
      </c>
      <c r="M77" s="282" t="str">
        <f>IF(D77="","",VLOOKUP(D77,'G-6 Hedgerow Data'!$B$1:$AH$15,33,FALSE))</f>
        <v/>
      </c>
      <c r="N77" s="289" t="str">
        <f t="shared" si="9"/>
        <v/>
      </c>
      <c r="O77" s="32"/>
      <c r="P77" s="105"/>
      <c r="Q77" s="138"/>
      <c r="R77" s="306" t="str">
        <f t="shared" si="10"/>
        <v/>
      </c>
      <c r="S77" s="306" t="str">
        <f t="shared" si="11"/>
        <v/>
      </c>
      <c r="T77" s="306" t="str">
        <f t="shared" si="12"/>
        <v/>
      </c>
      <c r="U77" s="327" t="str">
        <f t="shared" si="13"/>
        <v/>
      </c>
      <c r="V77" s="105"/>
      <c r="W77" s="104"/>
      <c r="X77" s="104"/>
      <c r="AE77" s="107" t="str">
        <f t="shared" si="7"/>
        <v/>
      </c>
      <c r="AF77" s="107" t="str">
        <f t="shared" si="8"/>
        <v/>
      </c>
      <c r="AH77" s="107">
        <v>68</v>
      </c>
      <c r="AJ77" s="107" t="str">
        <f t="array" ref="AJ77">IFERROR(INDEX($AH$10:$AH$258,MATCH(0,IF(TRUE=$AE$10:$AE$258,COUNTIF($AJ$9:$AJ76,$AH$10:$AH$258),""),0)),"")</f>
        <v/>
      </c>
      <c r="AK77" s="107" t="str">
        <f t="array" ref="AK77">IFERROR(INDEX($AH$10:$AH$258,MATCH(0,IF(TRUE=$AF$10:$AF$258,COUNTIF($AK$9:$AK76,$AH$10:$AH$258),""),0)),"")</f>
        <v/>
      </c>
      <c r="AL77" s="30" t="str">
        <f>IFERROR(INDEX('G-6 Hedgerow Data'!$BJ$3:$BJ$15,MATCH(D77,'G-6 Hedgerow Data'!$B$3:$B$15,0)),"")</f>
        <v/>
      </c>
    </row>
    <row r="78" spans="2:38" ht="14" hidden="1">
      <c r="B78" s="97">
        <v>69</v>
      </c>
      <c r="C78" s="138"/>
      <c r="D78" s="138"/>
      <c r="E78" s="104"/>
      <c r="F78" s="323" t="str">
        <f>IF(D78="","",VLOOKUP(D78,'G-6 Hedgerow Data'!$B$2:$AG$15,2,FALSE))</f>
        <v/>
      </c>
      <c r="G78" s="276" t="str">
        <f>IF(D78="","",VLOOKUP(D78,'G-6 Hedgerow Data'!$B$2:$AG$15,3,FALSE))</f>
        <v/>
      </c>
      <c r="H78" s="101"/>
      <c r="I78" s="276" t="str">
        <f>IFERROR(IF(AND(D78&lt;&gt;"",H78=""),"Check data ⚠",IF(H78="","",IF(AND(D78="Non-native and ornamental hedgerow",H78&lt;&gt;"Poor"),"Not possible ▲",(VLOOKUP(H78,'G-1 All Habitats'!$Z$2:$AA$9,2,FALSE))))),"")</f>
        <v/>
      </c>
      <c r="J78" s="101"/>
      <c r="K78" s="283" t="str">
        <f>IF(AND(D78&lt;&gt;"",J78=""),"Check data ⚠",IF(J78="","",IF(VLOOKUP(J78,'G-3 Multipliers'!$L$3:$N$6,2,FALSE)=0,"Spatial Data Missing",VLOOKUP(J78,'G-3 Multipliers'!$L$3:$N$6,2,FALSE))))</f>
        <v/>
      </c>
      <c r="L78" s="281" t="str">
        <f>IF(J78="","",IF(VLOOKUP(J78,'G-3 Multipliers'!$L$3:$N$6,3,FALSE)=0,"Spatial Data Missing ⚠",VLOOKUP(J78,'G-3 Multipliers'!$L$3:$N$6,3,FALSE)))</f>
        <v/>
      </c>
      <c r="M78" s="282" t="str">
        <f>IF(D78="","",VLOOKUP(D78,'G-6 Hedgerow Data'!$B$1:$AH$15,33,FALSE))</f>
        <v/>
      </c>
      <c r="N78" s="289" t="str">
        <f t="shared" si="9"/>
        <v/>
      </c>
      <c r="O78" s="32"/>
      <c r="P78" s="105"/>
      <c r="Q78" s="138"/>
      <c r="R78" s="306" t="str">
        <f t="shared" si="10"/>
        <v/>
      </c>
      <c r="S78" s="306" t="str">
        <f t="shared" si="11"/>
        <v/>
      </c>
      <c r="T78" s="306" t="str">
        <f t="shared" si="12"/>
        <v/>
      </c>
      <c r="U78" s="327" t="str">
        <f t="shared" si="13"/>
        <v/>
      </c>
      <c r="V78" s="105"/>
      <c r="W78" s="104"/>
      <c r="X78" s="104"/>
      <c r="AE78" s="107" t="str">
        <f t="shared" si="7"/>
        <v/>
      </c>
      <c r="AF78" s="107" t="str">
        <f t="shared" si="8"/>
        <v/>
      </c>
      <c r="AH78" s="107">
        <v>69</v>
      </c>
      <c r="AJ78" s="107" t="str">
        <f t="array" ref="AJ78">IFERROR(INDEX($AH$10:$AH$258,MATCH(0,IF(TRUE=$AE$10:$AE$258,COUNTIF($AJ$9:$AJ77,$AH$10:$AH$258),""),0)),"")</f>
        <v/>
      </c>
      <c r="AK78" s="107" t="str">
        <f t="array" ref="AK78">IFERROR(INDEX($AH$10:$AH$258,MATCH(0,IF(TRUE=$AF$10:$AF$258,COUNTIF($AK$9:$AK77,$AH$10:$AH$258),""),0)),"")</f>
        <v/>
      </c>
      <c r="AL78" s="30" t="str">
        <f>IFERROR(INDEX('G-6 Hedgerow Data'!$BJ$3:$BJ$15,MATCH(D78,'G-6 Hedgerow Data'!$B$3:$B$15,0)),"")</f>
        <v/>
      </c>
    </row>
    <row r="79" spans="2:38" ht="14" hidden="1">
      <c r="B79" s="97">
        <v>70</v>
      </c>
      <c r="C79" s="138"/>
      <c r="D79" s="138"/>
      <c r="E79" s="104"/>
      <c r="F79" s="323" t="str">
        <f>IF(D79="","",VLOOKUP(D79,'G-6 Hedgerow Data'!$B$2:$AG$15,2,FALSE))</f>
        <v/>
      </c>
      <c r="G79" s="276" t="str">
        <f>IF(D79="","",VLOOKUP(D79,'G-6 Hedgerow Data'!$B$2:$AG$15,3,FALSE))</f>
        <v/>
      </c>
      <c r="H79" s="101"/>
      <c r="I79" s="276" t="str">
        <f>IFERROR(IF(AND(D79&lt;&gt;"",H79=""),"Check data ⚠",IF(H79="","",IF(AND(D79="Non-native and ornamental hedgerow",H79&lt;&gt;"Poor"),"Not possible ▲",(VLOOKUP(H79,'G-1 All Habitats'!$Z$2:$AA$9,2,FALSE))))),"")</f>
        <v/>
      </c>
      <c r="J79" s="101"/>
      <c r="K79" s="283" t="str">
        <f>IF(AND(D79&lt;&gt;"",J79=""),"Check data ⚠",IF(J79="","",IF(VLOOKUP(J79,'G-3 Multipliers'!$L$3:$N$6,2,FALSE)=0,"Spatial Data Missing",VLOOKUP(J79,'G-3 Multipliers'!$L$3:$N$6,2,FALSE))))</f>
        <v/>
      </c>
      <c r="L79" s="281" t="str">
        <f>IF(J79="","",IF(VLOOKUP(J79,'G-3 Multipliers'!$L$3:$N$6,3,FALSE)=0,"Spatial Data Missing ⚠",VLOOKUP(J79,'G-3 Multipliers'!$L$3:$N$6,3,FALSE)))</f>
        <v/>
      </c>
      <c r="M79" s="282" t="str">
        <f>IF(D79="","",VLOOKUP(D79,'G-6 Hedgerow Data'!$B$1:$AH$15,33,FALSE))</f>
        <v/>
      </c>
      <c r="N79" s="289" t="str">
        <f t="shared" si="9"/>
        <v/>
      </c>
      <c r="O79" s="32"/>
      <c r="P79" s="105"/>
      <c r="Q79" s="138"/>
      <c r="R79" s="306" t="str">
        <f t="shared" si="10"/>
        <v/>
      </c>
      <c r="S79" s="306" t="str">
        <f t="shared" si="11"/>
        <v/>
      </c>
      <c r="T79" s="306" t="str">
        <f t="shared" si="12"/>
        <v/>
      </c>
      <c r="U79" s="327" t="str">
        <f t="shared" si="13"/>
        <v/>
      </c>
      <c r="V79" s="105"/>
      <c r="W79" s="104"/>
      <c r="X79" s="104"/>
      <c r="AE79" s="107" t="str">
        <f t="shared" si="7"/>
        <v/>
      </c>
      <c r="AF79" s="107" t="str">
        <f t="shared" si="8"/>
        <v/>
      </c>
      <c r="AH79" s="107">
        <v>70</v>
      </c>
      <c r="AJ79" s="107" t="str">
        <f t="array" ref="AJ79">IFERROR(INDEX($AH$10:$AH$258,MATCH(0,IF(TRUE=$AE$10:$AE$258,COUNTIF($AJ$9:$AJ78,$AH$10:$AH$258),""),0)),"")</f>
        <v/>
      </c>
      <c r="AK79" s="107" t="str">
        <f t="array" ref="AK79">IFERROR(INDEX($AH$10:$AH$258,MATCH(0,IF(TRUE=$AF$10:$AF$258,COUNTIF($AK$9:$AK78,$AH$10:$AH$258),""),0)),"")</f>
        <v/>
      </c>
      <c r="AL79" s="30" t="str">
        <f>IFERROR(INDEX('G-6 Hedgerow Data'!$BJ$3:$BJ$15,MATCH(D79,'G-6 Hedgerow Data'!$B$3:$B$15,0)),"")</f>
        <v/>
      </c>
    </row>
    <row r="80" spans="2:38" ht="14" hidden="1">
      <c r="B80" s="97">
        <v>71</v>
      </c>
      <c r="C80" s="138"/>
      <c r="D80" s="138"/>
      <c r="E80" s="104"/>
      <c r="F80" s="323" t="str">
        <f>IF(D80="","",VLOOKUP(D80,'G-6 Hedgerow Data'!$B$2:$AG$15,2,FALSE))</f>
        <v/>
      </c>
      <c r="G80" s="276" t="str">
        <f>IF(D80="","",VLOOKUP(D80,'G-6 Hedgerow Data'!$B$2:$AG$15,3,FALSE))</f>
        <v/>
      </c>
      <c r="H80" s="101"/>
      <c r="I80" s="276" t="str">
        <f>IFERROR(IF(AND(D80&lt;&gt;"",H80=""),"Check data ⚠",IF(H80="","",IF(AND(D80="Non-native and ornamental hedgerow",H80&lt;&gt;"Poor"),"Not possible ▲",(VLOOKUP(H80,'G-1 All Habitats'!$Z$2:$AA$9,2,FALSE))))),"")</f>
        <v/>
      </c>
      <c r="J80" s="101"/>
      <c r="K80" s="283" t="str">
        <f>IF(AND(D80&lt;&gt;"",J80=""),"Check data ⚠",IF(J80="","",IF(VLOOKUP(J80,'G-3 Multipliers'!$L$3:$N$6,2,FALSE)=0,"Spatial Data Missing",VLOOKUP(J80,'G-3 Multipliers'!$L$3:$N$6,2,FALSE))))</f>
        <v/>
      </c>
      <c r="L80" s="281" t="str">
        <f>IF(J80="","",IF(VLOOKUP(J80,'G-3 Multipliers'!$L$3:$N$6,3,FALSE)=0,"Spatial Data Missing ⚠",VLOOKUP(J80,'G-3 Multipliers'!$L$3:$N$6,3,FALSE)))</f>
        <v/>
      </c>
      <c r="M80" s="282" t="str">
        <f>IF(D80="","",VLOOKUP(D80,'G-6 Hedgerow Data'!$B$1:$AH$15,33,FALSE))</f>
        <v/>
      </c>
      <c r="N80" s="289" t="str">
        <f t="shared" si="9"/>
        <v/>
      </c>
      <c r="O80" s="32"/>
      <c r="P80" s="105"/>
      <c r="Q80" s="138"/>
      <c r="R80" s="306" t="str">
        <f t="shared" si="10"/>
        <v/>
      </c>
      <c r="S80" s="306" t="str">
        <f t="shared" si="11"/>
        <v/>
      </c>
      <c r="T80" s="306" t="str">
        <f t="shared" si="12"/>
        <v/>
      </c>
      <c r="U80" s="327" t="str">
        <f t="shared" si="13"/>
        <v/>
      </c>
      <c r="V80" s="105"/>
      <c r="W80" s="104"/>
      <c r="X80" s="104"/>
      <c r="AE80" s="107" t="str">
        <f t="shared" si="7"/>
        <v/>
      </c>
      <c r="AF80" s="107" t="str">
        <f t="shared" si="8"/>
        <v/>
      </c>
      <c r="AH80" s="107">
        <v>71</v>
      </c>
      <c r="AJ80" s="107" t="str">
        <f t="array" ref="AJ80">IFERROR(INDEX($AH$10:$AH$258,MATCH(0,IF(TRUE=$AE$10:$AE$258,COUNTIF($AJ$9:$AJ79,$AH$10:$AH$258),""),0)),"")</f>
        <v/>
      </c>
      <c r="AK80" s="107" t="str">
        <f t="array" ref="AK80">IFERROR(INDEX($AH$10:$AH$258,MATCH(0,IF(TRUE=$AF$10:$AF$258,COUNTIF($AK$9:$AK79,$AH$10:$AH$258),""),0)),"")</f>
        <v/>
      </c>
      <c r="AL80" s="30" t="str">
        <f>IFERROR(INDEX('G-6 Hedgerow Data'!$BJ$3:$BJ$15,MATCH(D80,'G-6 Hedgerow Data'!$B$3:$B$15,0)),"")</f>
        <v/>
      </c>
    </row>
    <row r="81" spans="2:38" ht="14" hidden="1">
      <c r="B81" s="97">
        <v>72</v>
      </c>
      <c r="C81" s="138"/>
      <c r="D81" s="138"/>
      <c r="E81" s="104"/>
      <c r="F81" s="323" t="str">
        <f>IF(D81="","",VLOOKUP(D81,'G-6 Hedgerow Data'!$B$2:$AG$15,2,FALSE))</f>
        <v/>
      </c>
      <c r="G81" s="276" t="str">
        <f>IF(D81="","",VLOOKUP(D81,'G-6 Hedgerow Data'!$B$2:$AG$15,3,FALSE))</f>
        <v/>
      </c>
      <c r="H81" s="101"/>
      <c r="I81" s="276" t="str">
        <f>IFERROR(IF(AND(D81&lt;&gt;"",H81=""),"Check data ⚠",IF(H81="","",IF(AND(D81="Non-native and ornamental hedgerow",H81&lt;&gt;"Poor"),"Not possible ▲",(VLOOKUP(H81,'G-1 All Habitats'!$Z$2:$AA$9,2,FALSE))))),"")</f>
        <v/>
      </c>
      <c r="J81" s="101"/>
      <c r="K81" s="283" t="str">
        <f>IF(AND(D81&lt;&gt;"",J81=""),"Check data ⚠",IF(J81="","",IF(VLOOKUP(J81,'G-3 Multipliers'!$L$3:$N$6,2,FALSE)=0,"Spatial Data Missing",VLOOKUP(J81,'G-3 Multipliers'!$L$3:$N$6,2,FALSE))))</f>
        <v/>
      </c>
      <c r="L81" s="281" t="str">
        <f>IF(J81="","",IF(VLOOKUP(J81,'G-3 Multipliers'!$L$3:$N$6,3,FALSE)=0,"Spatial Data Missing ⚠",VLOOKUP(J81,'G-3 Multipliers'!$L$3:$N$6,3,FALSE)))</f>
        <v/>
      </c>
      <c r="M81" s="282" t="str">
        <f>IF(D81="","",VLOOKUP(D81,'G-6 Hedgerow Data'!$B$1:$AH$15,33,FALSE))</f>
        <v/>
      </c>
      <c r="N81" s="289" t="str">
        <f t="shared" si="9"/>
        <v/>
      </c>
      <c r="O81" s="32"/>
      <c r="P81" s="105"/>
      <c r="Q81" s="138"/>
      <c r="R81" s="306" t="str">
        <f t="shared" si="10"/>
        <v/>
      </c>
      <c r="S81" s="306" t="str">
        <f t="shared" si="11"/>
        <v/>
      </c>
      <c r="T81" s="306" t="str">
        <f t="shared" si="12"/>
        <v/>
      </c>
      <c r="U81" s="327" t="str">
        <f t="shared" si="13"/>
        <v/>
      </c>
      <c r="V81" s="105"/>
      <c r="W81" s="104"/>
      <c r="X81" s="104"/>
      <c r="AE81" s="107" t="str">
        <f t="shared" si="7"/>
        <v/>
      </c>
      <c r="AF81" s="107" t="str">
        <f t="shared" si="8"/>
        <v/>
      </c>
      <c r="AH81" s="107">
        <v>72</v>
      </c>
      <c r="AJ81" s="107" t="str">
        <f t="array" ref="AJ81">IFERROR(INDEX($AH$10:$AH$258,MATCH(0,IF(TRUE=$AE$10:$AE$258,COUNTIF($AJ$9:$AJ80,$AH$10:$AH$258),""),0)),"")</f>
        <v/>
      </c>
      <c r="AK81" s="107" t="str">
        <f t="array" ref="AK81">IFERROR(INDEX($AH$10:$AH$258,MATCH(0,IF(TRUE=$AF$10:$AF$258,COUNTIF($AK$9:$AK80,$AH$10:$AH$258),""),0)),"")</f>
        <v/>
      </c>
      <c r="AL81" s="30" t="str">
        <f>IFERROR(INDEX('G-6 Hedgerow Data'!$BJ$3:$BJ$15,MATCH(D81,'G-6 Hedgerow Data'!$B$3:$B$15,0)),"")</f>
        <v/>
      </c>
    </row>
    <row r="82" spans="2:38" ht="14" hidden="1">
      <c r="B82" s="97">
        <v>73</v>
      </c>
      <c r="C82" s="138"/>
      <c r="D82" s="138"/>
      <c r="E82" s="104"/>
      <c r="F82" s="323" t="str">
        <f>IF(D82="","",VLOOKUP(D82,'G-6 Hedgerow Data'!$B$2:$AG$15,2,FALSE))</f>
        <v/>
      </c>
      <c r="G82" s="276" t="str">
        <f>IF(D82="","",VLOOKUP(D82,'G-6 Hedgerow Data'!$B$2:$AG$15,3,FALSE))</f>
        <v/>
      </c>
      <c r="H82" s="101"/>
      <c r="I82" s="276" t="str">
        <f>IFERROR(IF(AND(D82&lt;&gt;"",H82=""),"Check data ⚠",IF(H82="","",IF(AND(D82="Non-native and ornamental hedgerow",H82&lt;&gt;"Poor"),"Not possible ▲",(VLOOKUP(H82,'G-1 All Habitats'!$Z$2:$AA$9,2,FALSE))))),"")</f>
        <v/>
      </c>
      <c r="J82" s="101"/>
      <c r="K82" s="283" t="str">
        <f>IF(AND(D82&lt;&gt;"",J82=""),"Check data ⚠",IF(J82="","",IF(VLOOKUP(J82,'G-3 Multipliers'!$L$3:$N$6,2,FALSE)=0,"Spatial Data Missing",VLOOKUP(J82,'G-3 Multipliers'!$L$3:$N$6,2,FALSE))))</f>
        <v/>
      </c>
      <c r="L82" s="281" t="str">
        <f>IF(J82="","",IF(VLOOKUP(J82,'G-3 Multipliers'!$L$3:$N$6,3,FALSE)=0,"Spatial Data Missing ⚠",VLOOKUP(J82,'G-3 Multipliers'!$L$3:$N$6,3,FALSE)))</f>
        <v/>
      </c>
      <c r="M82" s="282" t="str">
        <f>IF(D82="","",VLOOKUP(D82,'G-6 Hedgerow Data'!$B$1:$AH$15,33,FALSE))</f>
        <v/>
      </c>
      <c r="N82" s="289" t="str">
        <f t="shared" si="9"/>
        <v/>
      </c>
      <c r="O82" s="32"/>
      <c r="P82" s="105"/>
      <c r="Q82" s="138"/>
      <c r="R82" s="306" t="str">
        <f t="shared" si="10"/>
        <v/>
      </c>
      <c r="S82" s="306" t="str">
        <f t="shared" si="11"/>
        <v/>
      </c>
      <c r="T82" s="306" t="str">
        <f t="shared" si="12"/>
        <v/>
      </c>
      <c r="U82" s="327" t="str">
        <f t="shared" si="13"/>
        <v/>
      </c>
      <c r="V82" s="105"/>
      <c r="W82" s="104"/>
      <c r="X82" s="104"/>
      <c r="AE82" s="107" t="str">
        <f t="shared" si="7"/>
        <v/>
      </c>
      <c r="AF82" s="107" t="str">
        <f t="shared" si="8"/>
        <v/>
      </c>
      <c r="AH82" s="107">
        <v>73</v>
      </c>
      <c r="AJ82" s="107" t="str">
        <f t="array" ref="AJ82">IFERROR(INDEX($AH$10:$AH$258,MATCH(0,IF(TRUE=$AE$10:$AE$258,COUNTIF($AJ$9:$AJ81,$AH$10:$AH$258),""),0)),"")</f>
        <v/>
      </c>
      <c r="AK82" s="107" t="str">
        <f t="array" ref="AK82">IFERROR(INDEX($AH$10:$AH$258,MATCH(0,IF(TRUE=$AF$10:$AF$258,COUNTIF($AK$9:$AK81,$AH$10:$AH$258),""),0)),"")</f>
        <v/>
      </c>
      <c r="AL82" s="30" t="str">
        <f>IFERROR(INDEX('G-6 Hedgerow Data'!$BJ$3:$BJ$15,MATCH(D82,'G-6 Hedgerow Data'!$B$3:$B$15,0)),"")</f>
        <v/>
      </c>
    </row>
    <row r="83" spans="2:38" ht="14" hidden="1">
      <c r="B83" s="97">
        <v>74</v>
      </c>
      <c r="C83" s="138"/>
      <c r="D83" s="138"/>
      <c r="E83" s="104"/>
      <c r="F83" s="323" t="str">
        <f>IF(D83="","",VLOOKUP(D83,'G-6 Hedgerow Data'!$B$2:$AG$15,2,FALSE))</f>
        <v/>
      </c>
      <c r="G83" s="276" t="str">
        <f>IF(D83="","",VLOOKUP(D83,'G-6 Hedgerow Data'!$B$2:$AG$15,3,FALSE))</f>
        <v/>
      </c>
      <c r="H83" s="101"/>
      <c r="I83" s="276" t="str">
        <f>IFERROR(IF(AND(D83&lt;&gt;"",H83=""),"Check data ⚠",IF(H83="","",IF(AND(D83="Non-native and ornamental hedgerow",H83&lt;&gt;"Poor"),"Not possible ▲",(VLOOKUP(H83,'G-1 All Habitats'!$Z$2:$AA$9,2,FALSE))))),"")</f>
        <v/>
      </c>
      <c r="J83" s="101"/>
      <c r="K83" s="283" t="str">
        <f>IF(AND(D83&lt;&gt;"",J83=""),"Check data ⚠",IF(J83="","",IF(VLOOKUP(J83,'G-3 Multipliers'!$L$3:$N$6,2,FALSE)=0,"Spatial Data Missing",VLOOKUP(J83,'G-3 Multipliers'!$L$3:$N$6,2,FALSE))))</f>
        <v/>
      </c>
      <c r="L83" s="281" t="str">
        <f>IF(J83="","",IF(VLOOKUP(J83,'G-3 Multipliers'!$L$3:$N$6,3,FALSE)=0,"Spatial Data Missing ⚠",VLOOKUP(J83,'G-3 Multipliers'!$L$3:$N$6,3,FALSE)))</f>
        <v/>
      </c>
      <c r="M83" s="282" t="str">
        <f>IF(D83="","",VLOOKUP(D83,'G-6 Hedgerow Data'!$B$1:$AH$15,33,FALSE))</f>
        <v/>
      </c>
      <c r="N83" s="289" t="str">
        <f t="shared" si="9"/>
        <v/>
      </c>
      <c r="O83" s="32"/>
      <c r="P83" s="105"/>
      <c r="Q83" s="138"/>
      <c r="R83" s="306" t="str">
        <f t="shared" si="10"/>
        <v/>
      </c>
      <c r="S83" s="306" t="str">
        <f t="shared" si="11"/>
        <v/>
      </c>
      <c r="T83" s="306" t="str">
        <f t="shared" si="12"/>
        <v/>
      </c>
      <c r="U83" s="327" t="str">
        <f t="shared" si="13"/>
        <v/>
      </c>
      <c r="V83" s="105"/>
      <c r="W83" s="104"/>
      <c r="X83" s="104"/>
      <c r="AE83" s="107" t="str">
        <f t="shared" si="7"/>
        <v/>
      </c>
      <c r="AF83" s="107" t="str">
        <f t="shared" si="8"/>
        <v/>
      </c>
      <c r="AH83" s="107">
        <v>74</v>
      </c>
      <c r="AJ83" s="107" t="str">
        <f t="array" ref="AJ83">IFERROR(INDEX($AH$10:$AH$258,MATCH(0,IF(TRUE=$AE$10:$AE$258,COUNTIF($AJ$9:$AJ82,$AH$10:$AH$258),""),0)),"")</f>
        <v/>
      </c>
      <c r="AK83" s="107" t="str">
        <f t="array" ref="AK83">IFERROR(INDEX($AH$10:$AH$258,MATCH(0,IF(TRUE=$AF$10:$AF$258,COUNTIF($AK$9:$AK82,$AH$10:$AH$258),""),0)),"")</f>
        <v/>
      </c>
      <c r="AL83" s="30" t="str">
        <f>IFERROR(INDEX('G-6 Hedgerow Data'!$BJ$3:$BJ$15,MATCH(D83,'G-6 Hedgerow Data'!$B$3:$B$15,0)),"")</f>
        <v/>
      </c>
    </row>
    <row r="84" spans="2:38" ht="14" hidden="1">
      <c r="B84" s="97">
        <v>75</v>
      </c>
      <c r="C84" s="138"/>
      <c r="D84" s="138"/>
      <c r="E84" s="104"/>
      <c r="F84" s="323" t="str">
        <f>IF(D84="","",VLOOKUP(D84,'G-6 Hedgerow Data'!$B$2:$AG$15,2,FALSE))</f>
        <v/>
      </c>
      <c r="G84" s="276" t="str">
        <f>IF(D84="","",VLOOKUP(D84,'G-6 Hedgerow Data'!$B$2:$AG$15,3,FALSE))</f>
        <v/>
      </c>
      <c r="H84" s="101"/>
      <c r="I84" s="276" t="str">
        <f>IFERROR(IF(AND(D84&lt;&gt;"",H84=""),"Check data ⚠",IF(H84="","",IF(AND(D84="Non-native and ornamental hedgerow",H84&lt;&gt;"Poor"),"Not possible ▲",(VLOOKUP(H84,'G-1 All Habitats'!$Z$2:$AA$9,2,FALSE))))),"")</f>
        <v/>
      </c>
      <c r="J84" s="101"/>
      <c r="K84" s="283" t="str">
        <f>IF(AND(D84&lt;&gt;"",J84=""),"Check data ⚠",IF(J84="","",IF(VLOOKUP(J84,'G-3 Multipliers'!$L$3:$N$6,2,FALSE)=0,"Spatial Data Missing",VLOOKUP(J84,'G-3 Multipliers'!$L$3:$N$6,2,FALSE))))</f>
        <v/>
      </c>
      <c r="L84" s="281" t="str">
        <f>IF(J84="","",IF(VLOOKUP(J84,'G-3 Multipliers'!$L$3:$N$6,3,FALSE)=0,"Spatial Data Missing ⚠",VLOOKUP(J84,'G-3 Multipliers'!$L$3:$N$6,3,FALSE)))</f>
        <v/>
      </c>
      <c r="M84" s="282" t="str">
        <f>IF(D84="","",VLOOKUP(D84,'G-6 Hedgerow Data'!$B$1:$AH$15,33,FALSE))</f>
        <v/>
      </c>
      <c r="N84" s="289" t="str">
        <f t="shared" si="9"/>
        <v/>
      </c>
      <c r="O84" s="32"/>
      <c r="P84" s="105"/>
      <c r="Q84" s="138"/>
      <c r="R84" s="306" t="str">
        <f t="shared" si="10"/>
        <v/>
      </c>
      <c r="S84" s="306" t="str">
        <f t="shared" si="11"/>
        <v/>
      </c>
      <c r="T84" s="306" t="str">
        <f t="shared" si="12"/>
        <v/>
      </c>
      <c r="U84" s="327" t="str">
        <f t="shared" si="13"/>
        <v/>
      </c>
      <c r="V84" s="105"/>
      <c r="W84" s="104"/>
      <c r="X84" s="104"/>
      <c r="AE84" s="107" t="str">
        <f t="shared" si="7"/>
        <v/>
      </c>
      <c r="AF84" s="107" t="str">
        <f t="shared" si="8"/>
        <v/>
      </c>
      <c r="AH84" s="107">
        <v>75</v>
      </c>
      <c r="AJ84" s="107" t="str">
        <f t="array" ref="AJ84">IFERROR(INDEX($AH$10:$AH$258,MATCH(0,IF(TRUE=$AE$10:$AE$258,COUNTIF($AJ$9:$AJ83,$AH$10:$AH$258),""),0)),"")</f>
        <v/>
      </c>
      <c r="AK84" s="107" t="str">
        <f t="array" ref="AK84">IFERROR(INDEX($AH$10:$AH$258,MATCH(0,IF(TRUE=$AF$10:$AF$258,COUNTIF($AK$9:$AK83,$AH$10:$AH$258),""),0)),"")</f>
        <v/>
      </c>
      <c r="AL84" s="30" t="str">
        <f>IFERROR(INDEX('G-6 Hedgerow Data'!$BJ$3:$BJ$15,MATCH(D84,'G-6 Hedgerow Data'!$B$3:$B$15,0)),"")</f>
        <v/>
      </c>
    </row>
    <row r="85" spans="2:38" ht="14" hidden="1">
      <c r="B85" s="97">
        <v>76</v>
      </c>
      <c r="C85" s="138"/>
      <c r="D85" s="138"/>
      <c r="E85" s="104"/>
      <c r="F85" s="323" t="str">
        <f>IF(D85="","",VLOOKUP(D85,'G-6 Hedgerow Data'!$B$2:$AG$15,2,FALSE))</f>
        <v/>
      </c>
      <c r="G85" s="276" t="str">
        <f>IF(D85="","",VLOOKUP(D85,'G-6 Hedgerow Data'!$B$2:$AG$15,3,FALSE))</f>
        <v/>
      </c>
      <c r="H85" s="101"/>
      <c r="I85" s="276" t="str">
        <f>IFERROR(IF(AND(D85&lt;&gt;"",H85=""),"Check data ⚠",IF(H85="","",IF(AND(D85="Non-native and ornamental hedgerow",H85&lt;&gt;"Poor"),"Not possible ▲",(VLOOKUP(H85,'G-1 All Habitats'!$Z$2:$AA$9,2,FALSE))))),"")</f>
        <v/>
      </c>
      <c r="J85" s="101"/>
      <c r="K85" s="283" t="str">
        <f>IF(AND(D85&lt;&gt;"",J85=""),"Check data ⚠",IF(J85="","",IF(VLOOKUP(J85,'G-3 Multipliers'!$L$3:$N$6,2,FALSE)=0,"Spatial Data Missing",VLOOKUP(J85,'G-3 Multipliers'!$L$3:$N$6,2,FALSE))))</f>
        <v/>
      </c>
      <c r="L85" s="281" t="str">
        <f>IF(J85="","",IF(VLOOKUP(J85,'G-3 Multipliers'!$L$3:$N$6,3,FALSE)=0,"Spatial Data Missing ⚠",VLOOKUP(J85,'G-3 Multipliers'!$L$3:$N$6,3,FALSE)))</f>
        <v/>
      </c>
      <c r="M85" s="282" t="str">
        <f>IF(D85="","",VLOOKUP(D85,'G-6 Hedgerow Data'!$B$1:$AH$15,33,FALSE))</f>
        <v/>
      </c>
      <c r="N85" s="289" t="str">
        <f t="shared" si="9"/>
        <v/>
      </c>
      <c r="O85" s="32"/>
      <c r="P85" s="105"/>
      <c r="Q85" s="138"/>
      <c r="R85" s="306" t="str">
        <f t="shared" si="10"/>
        <v/>
      </c>
      <c r="S85" s="306" t="str">
        <f t="shared" si="11"/>
        <v/>
      </c>
      <c r="T85" s="306" t="str">
        <f t="shared" si="12"/>
        <v/>
      </c>
      <c r="U85" s="327" t="str">
        <f t="shared" si="13"/>
        <v/>
      </c>
      <c r="V85" s="105"/>
      <c r="W85" s="104"/>
      <c r="X85" s="104"/>
      <c r="AE85" s="107" t="str">
        <f t="shared" si="7"/>
        <v/>
      </c>
      <c r="AF85" s="107" t="str">
        <f t="shared" si="8"/>
        <v/>
      </c>
      <c r="AH85" s="107">
        <v>76</v>
      </c>
      <c r="AJ85" s="107" t="str">
        <f t="array" ref="AJ85">IFERROR(INDEX($AH$10:$AH$258,MATCH(0,IF(TRUE=$AE$10:$AE$258,COUNTIF($AJ$9:$AJ84,$AH$10:$AH$258),""),0)),"")</f>
        <v/>
      </c>
      <c r="AK85" s="107" t="str">
        <f t="array" ref="AK85">IFERROR(INDEX($AH$10:$AH$258,MATCH(0,IF(TRUE=$AF$10:$AF$258,COUNTIF($AK$9:$AK84,$AH$10:$AH$258),""),0)),"")</f>
        <v/>
      </c>
      <c r="AL85" s="30" t="str">
        <f>IFERROR(INDEX('G-6 Hedgerow Data'!$BJ$3:$BJ$15,MATCH(D85,'G-6 Hedgerow Data'!$B$3:$B$15,0)),"")</f>
        <v/>
      </c>
    </row>
    <row r="86" spans="2:38" ht="14" hidden="1">
      <c r="B86" s="97">
        <v>77</v>
      </c>
      <c r="C86" s="138"/>
      <c r="D86" s="138"/>
      <c r="E86" s="104"/>
      <c r="F86" s="323" t="str">
        <f>IF(D86="","",VLOOKUP(D86,'G-6 Hedgerow Data'!$B$2:$AG$15,2,FALSE))</f>
        <v/>
      </c>
      <c r="G86" s="276" t="str">
        <f>IF(D86="","",VLOOKUP(D86,'G-6 Hedgerow Data'!$B$2:$AG$15,3,FALSE))</f>
        <v/>
      </c>
      <c r="H86" s="101"/>
      <c r="I86" s="276" t="str">
        <f>IFERROR(IF(AND(D86&lt;&gt;"",H86=""),"Check data ⚠",IF(H86="","",IF(AND(D86="Non-native and ornamental hedgerow",H86&lt;&gt;"Poor"),"Not possible ▲",(VLOOKUP(H86,'G-1 All Habitats'!$Z$2:$AA$9,2,FALSE))))),"")</f>
        <v/>
      </c>
      <c r="J86" s="101"/>
      <c r="K86" s="283" t="str">
        <f>IF(AND(D86&lt;&gt;"",J86=""),"Check data ⚠",IF(J86="","",IF(VLOOKUP(J86,'G-3 Multipliers'!$L$3:$N$6,2,FALSE)=0,"Spatial Data Missing",VLOOKUP(J86,'G-3 Multipliers'!$L$3:$N$6,2,FALSE))))</f>
        <v/>
      </c>
      <c r="L86" s="281" t="str">
        <f>IF(J86="","",IF(VLOOKUP(J86,'G-3 Multipliers'!$L$3:$N$6,3,FALSE)=0,"Spatial Data Missing ⚠",VLOOKUP(J86,'G-3 Multipliers'!$L$3:$N$6,3,FALSE)))</f>
        <v/>
      </c>
      <c r="M86" s="282" t="str">
        <f>IF(D86="","",VLOOKUP(D86,'G-6 Hedgerow Data'!$B$1:$AH$15,33,FALSE))</f>
        <v/>
      </c>
      <c r="N86" s="289" t="str">
        <f t="shared" si="9"/>
        <v/>
      </c>
      <c r="O86" s="32"/>
      <c r="P86" s="105"/>
      <c r="Q86" s="138"/>
      <c r="R86" s="306" t="str">
        <f t="shared" si="10"/>
        <v/>
      </c>
      <c r="S86" s="306" t="str">
        <f t="shared" si="11"/>
        <v/>
      </c>
      <c r="T86" s="306" t="str">
        <f t="shared" si="12"/>
        <v/>
      </c>
      <c r="U86" s="327" t="str">
        <f t="shared" si="13"/>
        <v/>
      </c>
      <c r="V86" s="105"/>
      <c r="W86" s="104"/>
      <c r="X86" s="104"/>
      <c r="AE86" s="107" t="str">
        <f t="shared" si="7"/>
        <v/>
      </c>
      <c r="AF86" s="107" t="str">
        <f t="shared" si="8"/>
        <v/>
      </c>
      <c r="AH86" s="107">
        <v>77</v>
      </c>
      <c r="AJ86" s="107" t="str">
        <f t="array" ref="AJ86">IFERROR(INDEX($AH$10:$AH$258,MATCH(0,IF(TRUE=$AE$10:$AE$258,COUNTIF($AJ$9:$AJ85,$AH$10:$AH$258),""),0)),"")</f>
        <v/>
      </c>
      <c r="AK86" s="107" t="str">
        <f t="array" ref="AK86">IFERROR(INDEX($AH$10:$AH$258,MATCH(0,IF(TRUE=$AF$10:$AF$258,COUNTIF($AK$9:$AK85,$AH$10:$AH$258),""),0)),"")</f>
        <v/>
      </c>
      <c r="AL86" s="30" t="str">
        <f>IFERROR(INDEX('G-6 Hedgerow Data'!$BJ$3:$BJ$15,MATCH(D86,'G-6 Hedgerow Data'!$B$3:$B$15,0)),"")</f>
        <v/>
      </c>
    </row>
    <row r="87" spans="2:38" ht="14" hidden="1">
      <c r="B87" s="97">
        <v>78</v>
      </c>
      <c r="C87" s="138"/>
      <c r="D87" s="138"/>
      <c r="E87" s="104"/>
      <c r="F87" s="323" t="str">
        <f>IF(D87="","",VLOOKUP(D87,'G-6 Hedgerow Data'!$B$2:$AG$15,2,FALSE))</f>
        <v/>
      </c>
      <c r="G87" s="276" t="str">
        <f>IF(D87="","",VLOOKUP(D87,'G-6 Hedgerow Data'!$B$2:$AG$15,3,FALSE))</f>
        <v/>
      </c>
      <c r="H87" s="101"/>
      <c r="I87" s="276" t="str">
        <f>IFERROR(IF(AND(D87&lt;&gt;"",H87=""),"Check data ⚠",IF(H87="","",IF(AND(D87="Non-native and ornamental hedgerow",H87&lt;&gt;"Poor"),"Not possible ▲",(VLOOKUP(H87,'G-1 All Habitats'!$Z$2:$AA$9,2,FALSE))))),"")</f>
        <v/>
      </c>
      <c r="J87" s="101"/>
      <c r="K87" s="283" t="str">
        <f>IF(AND(D87&lt;&gt;"",J87=""),"Check data ⚠",IF(J87="","",IF(VLOOKUP(J87,'G-3 Multipliers'!$L$3:$N$6,2,FALSE)=0,"Spatial Data Missing",VLOOKUP(J87,'G-3 Multipliers'!$L$3:$N$6,2,FALSE))))</f>
        <v/>
      </c>
      <c r="L87" s="281" t="str">
        <f>IF(J87="","",IF(VLOOKUP(J87,'G-3 Multipliers'!$L$3:$N$6,3,FALSE)=0,"Spatial Data Missing ⚠",VLOOKUP(J87,'G-3 Multipliers'!$L$3:$N$6,3,FALSE)))</f>
        <v/>
      </c>
      <c r="M87" s="282" t="str">
        <f>IF(D87="","",VLOOKUP(D87,'G-6 Hedgerow Data'!$B$1:$AH$15,33,FALSE))</f>
        <v/>
      </c>
      <c r="N87" s="289" t="str">
        <f t="shared" si="9"/>
        <v/>
      </c>
      <c r="O87" s="32"/>
      <c r="P87" s="105"/>
      <c r="Q87" s="138"/>
      <c r="R87" s="306" t="str">
        <f t="shared" si="10"/>
        <v/>
      </c>
      <c r="S87" s="306" t="str">
        <f t="shared" si="11"/>
        <v/>
      </c>
      <c r="T87" s="306" t="str">
        <f t="shared" si="12"/>
        <v/>
      </c>
      <c r="U87" s="327" t="str">
        <f t="shared" si="13"/>
        <v/>
      </c>
      <c r="V87" s="105"/>
      <c r="W87" s="104"/>
      <c r="X87" s="104"/>
      <c r="AE87" s="107" t="str">
        <f t="shared" si="7"/>
        <v/>
      </c>
      <c r="AF87" s="107" t="str">
        <f t="shared" si="8"/>
        <v/>
      </c>
      <c r="AH87" s="107">
        <v>78</v>
      </c>
      <c r="AJ87" s="107" t="str">
        <f t="array" ref="AJ87">IFERROR(INDEX($AH$10:$AH$258,MATCH(0,IF(TRUE=$AE$10:$AE$258,COUNTIF($AJ$9:$AJ86,$AH$10:$AH$258),""),0)),"")</f>
        <v/>
      </c>
      <c r="AK87" s="107" t="str">
        <f t="array" ref="AK87">IFERROR(INDEX($AH$10:$AH$258,MATCH(0,IF(TRUE=$AF$10:$AF$258,COUNTIF($AK$9:$AK86,$AH$10:$AH$258),""),0)),"")</f>
        <v/>
      </c>
      <c r="AL87" s="30" t="str">
        <f>IFERROR(INDEX('G-6 Hedgerow Data'!$BJ$3:$BJ$15,MATCH(D87,'G-6 Hedgerow Data'!$B$3:$B$15,0)),"")</f>
        <v/>
      </c>
    </row>
    <row r="88" spans="2:38" ht="14" hidden="1">
      <c r="B88" s="97">
        <v>79</v>
      </c>
      <c r="C88" s="138"/>
      <c r="D88" s="138"/>
      <c r="E88" s="104"/>
      <c r="F88" s="323" t="str">
        <f>IF(D88="","",VLOOKUP(D88,'G-6 Hedgerow Data'!$B$2:$AG$15,2,FALSE))</f>
        <v/>
      </c>
      <c r="G88" s="276" t="str">
        <f>IF(D88="","",VLOOKUP(D88,'G-6 Hedgerow Data'!$B$2:$AG$15,3,FALSE))</f>
        <v/>
      </c>
      <c r="H88" s="101"/>
      <c r="I88" s="276" t="str">
        <f>IFERROR(IF(AND(D88&lt;&gt;"",H88=""),"Check data ⚠",IF(H88="","",IF(AND(D88="Non-native and ornamental hedgerow",H88&lt;&gt;"Poor"),"Not possible ▲",(VLOOKUP(H88,'G-1 All Habitats'!$Z$2:$AA$9,2,FALSE))))),"")</f>
        <v/>
      </c>
      <c r="J88" s="101"/>
      <c r="K88" s="283" t="str">
        <f>IF(AND(D88&lt;&gt;"",J88=""),"Check data ⚠",IF(J88="","",IF(VLOOKUP(J88,'G-3 Multipliers'!$L$3:$N$6,2,FALSE)=0,"Spatial Data Missing",VLOOKUP(J88,'G-3 Multipliers'!$L$3:$N$6,2,FALSE))))</f>
        <v/>
      </c>
      <c r="L88" s="281" t="str">
        <f>IF(J88="","",IF(VLOOKUP(J88,'G-3 Multipliers'!$L$3:$N$6,3,FALSE)=0,"Spatial Data Missing ⚠",VLOOKUP(J88,'G-3 Multipliers'!$L$3:$N$6,3,FALSE)))</f>
        <v/>
      </c>
      <c r="M88" s="282" t="str">
        <f>IF(D88="","",VLOOKUP(D88,'G-6 Hedgerow Data'!$B$1:$AH$15,33,FALSE))</f>
        <v/>
      </c>
      <c r="N88" s="289" t="str">
        <f t="shared" si="9"/>
        <v/>
      </c>
      <c r="O88" s="32"/>
      <c r="P88" s="105"/>
      <c r="Q88" s="138"/>
      <c r="R88" s="306" t="str">
        <f t="shared" si="10"/>
        <v/>
      </c>
      <c r="S88" s="306" t="str">
        <f t="shared" si="11"/>
        <v/>
      </c>
      <c r="T88" s="306" t="str">
        <f t="shared" si="12"/>
        <v/>
      </c>
      <c r="U88" s="327" t="str">
        <f t="shared" si="13"/>
        <v/>
      </c>
      <c r="V88" s="105"/>
      <c r="W88" s="104"/>
      <c r="X88" s="104"/>
      <c r="AE88" s="107" t="str">
        <f t="shared" si="7"/>
        <v/>
      </c>
      <c r="AF88" s="107" t="str">
        <f t="shared" si="8"/>
        <v/>
      </c>
      <c r="AH88" s="107">
        <v>79</v>
      </c>
      <c r="AJ88" s="107" t="str">
        <f t="array" ref="AJ88">IFERROR(INDEX($AH$10:$AH$258,MATCH(0,IF(TRUE=$AE$10:$AE$258,COUNTIF($AJ$9:$AJ87,$AH$10:$AH$258),""),0)),"")</f>
        <v/>
      </c>
      <c r="AK88" s="107" t="str">
        <f t="array" ref="AK88">IFERROR(INDEX($AH$10:$AH$258,MATCH(0,IF(TRUE=$AF$10:$AF$258,COUNTIF($AK$9:$AK87,$AH$10:$AH$258),""),0)),"")</f>
        <v/>
      </c>
      <c r="AL88" s="30" t="str">
        <f>IFERROR(INDEX('G-6 Hedgerow Data'!$BJ$3:$BJ$15,MATCH(D88,'G-6 Hedgerow Data'!$B$3:$B$15,0)),"")</f>
        <v/>
      </c>
    </row>
    <row r="89" spans="2:38" ht="14" hidden="1">
      <c r="B89" s="97">
        <v>80</v>
      </c>
      <c r="C89" s="138"/>
      <c r="D89" s="138"/>
      <c r="E89" s="104"/>
      <c r="F89" s="323" t="str">
        <f>IF(D89="","",VLOOKUP(D89,'G-6 Hedgerow Data'!$B$2:$AG$15,2,FALSE))</f>
        <v/>
      </c>
      <c r="G89" s="276" t="str">
        <f>IF(D89="","",VLOOKUP(D89,'G-6 Hedgerow Data'!$B$2:$AG$15,3,FALSE))</f>
        <v/>
      </c>
      <c r="H89" s="101"/>
      <c r="I89" s="276" t="str">
        <f>IFERROR(IF(AND(D89&lt;&gt;"",H89=""),"Check data ⚠",IF(H89="","",IF(AND(D89="Non-native and ornamental hedgerow",H89&lt;&gt;"Poor"),"Not possible ▲",(VLOOKUP(H89,'G-1 All Habitats'!$Z$2:$AA$9,2,FALSE))))),"")</f>
        <v/>
      </c>
      <c r="J89" s="101"/>
      <c r="K89" s="283" t="str">
        <f>IF(AND(D89&lt;&gt;"",J89=""),"Check data ⚠",IF(J89="","",IF(VLOOKUP(J89,'G-3 Multipliers'!$L$3:$N$6,2,FALSE)=0,"Spatial Data Missing",VLOOKUP(J89,'G-3 Multipliers'!$L$3:$N$6,2,FALSE))))</f>
        <v/>
      </c>
      <c r="L89" s="281" t="str">
        <f>IF(J89="","",IF(VLOOKUP(J89,'G-3 Multipliers'!$L$3:$N$6,3,FALSE)=0,"Spatial Data Missing ⚠",VLOOKUP(J89,'G-3 Multipliers'!$L$3:$N$6,3,FALSE)))</f>
        <v/>
      </c>
      <c r="M89" s="282" t="str">
        <f>IF(D89="","",VLOOKUP(D89,'G-6 Hedgerow Data'!$B$1:$AH$15,33,FALSE))</f>
        <v/>
      </c>
      <c r="N89" s="289" t="str">
        <f t="shared" si="9"/>
        <v/>
      </c>
      <c r="O89" s="32"/>
      <c r="P89" s="105"/>
      <c r="Q89" s="138"/>
      <c r="R89" s="306" t="str">
        <f t="shared" si="10"/>
        <v/>
      </c>
      <c r="S89" s="306" t="str">
        <f t="shared" si="11"/>
        <v/>
      </c>
      <c r="T89" s="306" t="str">
        <f t="shared" si="12"/>
        <v/>
      </c>
      <c r="U89" s="327" t="str">
        <f t="shared" si="13"/>
        <v/>
      </c>
      <c r="V89" s="105"/>
      <c r="W89" s="104"/>
      <c r="X89" s="104"/>
      <c r="AE89" s="107" t="str">
        <f t="shared" si="7"/>
        <v/>
      </c>
      <c r="AF89" s="107" t="str">
        <f t="shared" si="8"/>
        <v/>
      </c>
      <c r="AH89" s="107">
        <v>80</v>
      </c>
      <c r="AJ89" s="107" t="str">
        <f t="array" ref="AJ89">IFERROR(INDEX($AH$10:$AH$258,MATCH(0,IF(TRUE=$AE$10:$AE$258,COUNTIF($AJ$9:$AJ88,$AH$10:$AH$258),""),0)),"")</f>
        <v/>
      </c>
      <c r="AK89" s="107" t="str">
        <f t="array" ref="AK89">IFERROR(INDEX($AH$10:$AH$258,MATCH(0,IF(TRUE=$AF$10:$AF$258,COUNTIF($AK$9:$AK88,$AH$10:$AH$258),""),0)),"")</f>
        <v/>
      </c>
      <c r="AL89" s="30" t="str">
        <f>IFERROR(INDEX('G-6 Hedgerow Data'!$BJ$3:$BJ$15,MATCH(D89,'G-6 Hedgerow Data'!$B$3:$B$15,0)),"")</f>
        <v/>
      </c>
    </row>
    <row r="90" spans="2:38" ht="14" hidden="1">
      <c r="B90" s="97">
        <v>81</v>
      </c>
      <c r="C90" s="138"/>
      <c r="D90" s="138"/>
      <c r="E90" s="104"/>
      <c r="F90" s="323" t="str">
        <f>IF(D90="","",VLOOKUP(D90,'G-6 Hedgerow Data'!$B$2:$AG$15,2,FALSE))</f>
        <v/>
      </c>
      <c r="G90" s="276" t="str">
        <f>IF(D90="","",VLOOKUP(D90,'G-6 Hedgerow Data'!$B$2:$AG$15,3,FALSE))</f>
        <v/>
      </c>
      <c r="H90" s="101"/>
      <c r="I90" s="276" t="str">
        <f>IFERROR(IF(AND(D90&lt;&gt;"",H90=""),"Check data ⚠",IF(H90="","",IF(AND(D90="Non-native and ornamental hedgerow",H90&lt;&gt;"Poor"),"Not possible ▲",(VLOOKUP(H90,'G-1 All Habitats'!$Z$2:$AA$9,2,FALSE))))),"")</f>
        <v/>
      </c>
      <c r="J90" s="101"/>
      <c r="K90" s="283" t="str">
        <f>IF(AND(D90&lt;&gt;"",J90=""),"Check data ⚠",IF(J90="","",IF(VLOOKUP(J90,'G-3 Multipliers'!$L$3:$N$6,2,FALSE)=0,"Spatial Data Missing",VLOOKUP(J90,'G-3 Multipliers'!$L$3:$N$6,2,FALSE))))</f>
        <v/>
      </c>
      <c r="L90" s="281" t="str">
        <f>IF(J90="","",IF(VLOOKUP(J90,'G-3 Multipliers'!$L$3:$N$6,3,FALSE)=0,"Spatial Data Missing ⚠",VLOOKUP(J90,'G-3 Multipliers'!$L$3:$N$6,3,FALSE)))</f>
        <v/>
      </c>
      <c r="M90" s="282" t="str">
        <f>IF(D90="","",VLOOKUP(D90,'G-6 Hedgerow Data'!$B$1:$AH$15,33,FALSE))</f>
        <v/>
      </c>
      <c r="N90" s="289" t="str">
        <f t="shared" si="9"/>
        <v/>
      </c>
      <c r="O90" s="32"/>
      <c r="P90" s="105"/>
      <c r="Q90" s="138"/>
      <c r="R90" s="306" t="str">
        <f t="shared" si="10"/>
        <v/>
      </c>
      <c r="S90" s="306" t="str">
        <f t="shared" si="11"/>
        <v/>
      </c>
      <c r="T90" s="306" t="str">
        <f t="shared" si="12"/>
        <v/>
      </c>
      <c r="U90" s="327" t="str">
        <f t="shared" si="13"/>
        <v/>
      </c>
      <c r="V90" s="105"/>
      <c r="W90" s="104"/>
      <c r="X90" s="104"/>
      <c r="AE90" s="107" t="str">
        <f t="shared" si="7"/>
        <v/>
      </c>
      <c r="AF90" s="107" t="str">
        <f t="shared" si="8"/>
        <v/>
      </c>
      <c r="AH90" s="107">
        <v>81</v>
      </c>
      <c r="AJ90" s="107" t="str">
        <f t="array" ref="AJ90">IFERROR(INDEX($AH$10:$AH$258,MATCH(0,IF(TRUE=$AE$10:$AE$258,COUNTIF($AJ$9:$AJ89,$AH$10:$AH$258),""),0)),"")</f>
        <v/>
      </c>
      <c r="AK90" s="107" t="str">
        <f t="array" ref="AK90">IFERROR(INDEX($AH$10:$AH$258,MATCH(0,IF(TRUE=$AF$10:$AF$258,COUNTIF($AK$9:$AK89,$AH$10:$AH$258),""),0)),"")</f>
        <v/>
      </c>
      <c r="AL90" s="30" t="str">
        <f>IFERROR(INDEX('G-6 Hedgerow Data'!$BJ$3:$BJ$15,MATCH(D90,'G-6 Hedgerow Data'!$B$3:$B$15,0)),"")</f>
        <v/>
      </c>
    </row>
    <row r="91" spans="2:38" ht="14" hidden="1">
      <c r="B91" s="97">
        <v>82</v>
      </c>
      <c r="C91" s="138"/>
      <c r="D91" s="138"/>
      <c r="E91" s="104"/>
      <c r="F91" s="323" t="str">
        <f>IF(D91="","",VLOOKUP(D91,'G-6 Hedgerow Data'!$B$2:$AG$15,2,FALSE))</f>
        <v/>
      </c>
      <c r="G91" s="276" t="str">
        <f>IF(D91="","",VLOOKUP(D91,'G-6 Hedgerow Data'!$B$2:$AG$15,3,FALSE))</f>
        <v/>
      </c>
      <c r="H91" s="101"/>
      <c r="I91" s="276" t="str">
        <f>IFERROR(IF(AND(D91&lt;&gt;"",H91=""),"Check data ⚠",IF(H91="","",IF(AND(D91="Non-native and ornamental hedgerow",H91&lt;&gt;"Poor"),"Not possible ▲",(VLOOKUP(H91,'G-1 All Habitats'!$Z$2:$AA$9,2,FALSE))))),"")</f>
        <v/>
      </c>
      <c r="J91" s="101"/>
      <c r="K91" s="283" t="str">
        <f>IF(AND(D91&lt;&gt;"",J91=""),"Check data ⚠",IF(J91="","",IF(VLOOKUP(J91,'G-3 Multipliers'!$L$3:$N$6,2,FALSE)=0,"Spatial Data Missing",VLOOKUP(J91,'G-3 Multipliers'!$L$3:$N$6,2,FALSE))))</f>
        <v/>
      </c>
      <c r="L91" s="281" t="str">
        <f>IF(J91="","",IF(VLOOKUP(J91,'G-3 Multipliers'!$L$3:$N$6,3,FALSE)=0,"Spatial Data Missing ⚠",VLOOKUP(J91,'G-3 Multipliers'!$L$3:$N$6,3,FALSE)))</f>
        <v/>
      </c>
      <c r="M91" s="282" t="str">
        <f>IF(D91="","",VLOOKUP(D91,'G-6 Hedgerow Data'!$B$1:$AH$15,33,FALSE))</f>
        <v/>
      </c>
      <c r="N91" s="289" t="str">
        <f t="shared" si="9"/>
        <v/>
      </c>
      <c r="O91" s="32"/>
      <c r="P91" s="105"/>
      <c r="Q91" s="138"/>
      <c r="R91" s="306" t="str">
        <f t="shared" si="10"/>
        <v/>
      </c>
      <c r="S91" s="306" t="str">
        <f t="shared" si="11"/>
        <v/>
      </c>
      <c r="T91" s="306" t="str">
        <f t="shared" si="12"/>
        <v/>
      </c>
      <c r="U91" s="327" t="str">
        <f t="shared" si="13"/>
        <v/>
      </c>
      <c r="V91" s="105"/>
      <c r="W91" s="104"/>
      <c r="X91" s="104"/>
      <c r="AE91" s="107" t="str">
        <f t="shared" si="7"/>
        <v/>
      </c>
      <c r="AF91" s="107" t="str">
        <f t="shared" si="8"/>
        <v/>
      </c>
      <c r="AH91" s="107">
        <v>82</v>
      </c>
      <c r="AJ91" s="107" t="str">
        <f t="array" ref="AJ91">IFERROR(INDEX($AH$10:$AH$258,MATCH(0,IF(TRUE=$AE$10:$AE$258,COUNTIF($AJ$9:$AJ90,$AH$10:$AH$258),""),0)),"")</f>
        <v/>
      </c>
      <c r="AK91" s="107" t="str">
        <f t="array" ref="AK91">IFERROR(INDEX($AH$10:$AH$258,MATCH(0,IF(TRUE=$AF$10:$AF$258,COUNTIF($AK$9:$AK90,$AH$10:$AH$258),""),0)),"")</f>
        <v/>
      </c>
      <c r="AL91" s="30" t="str">
        <f>IFERROR(INDEX('G-6 Hedgerow Data'!$BJ$3:$BJ$15,MATCH(D91,'G-6 Hedgerow Data'!$B$3:$B$15,0)),"")</f>
        <v/>
      </c>
    </row>
    <row r="92" spans="2:38" ht="14" hidden="1">
      <c r="B92" s="97">
        <v>83</v>
      </c>
      <c r="C92" s="138"/>
      <c r="D92" s="138"/>
      <c r="E92" s="104"/>
      <c r="F92" s="323" t="str">
        <f>IF(D92="","",VLOOKUP(D92,'G-6 Hedgerow Data'!$B$2:$AG$15,2,FALSE))</f>
        <v/>
      </c>
      <c r="G92" s="276" t="str">
        <f>IF(D92="","",VLOOKUP(D92,'G-6 Hedgerow Data'!$B$2:$AG$15,3,FALSE))</f>
        <v/>
      </c>
      <c r="H92" s="101"/>
      <c r="I92" s="276" t="str">
        <f>IFERROR(IF(AND(D92&lt;&gt;"",H92=""),"Check data ⚠",IF(H92="","",IF(AND(D92="Non-native and ornamental hedgerow",H92&lt;&gt;"Poor"),"Not possible ▲",(VLOOKUP(H92,'G-1 All Habitats'!$Z$2:$AA$9,2,FALSE))))),"")</f>
        <v/>
      </c>
      <c r="J92" s="101"/>
      <c r="K92" s="283" t="str">
        <f>IF(AND(D92&lt;&gt;"",J92=""),"Check data ⚠",IF(J92="","",IF(VLOOKUP(J92,'G-3 Multipliers'!$L$3:$N$6,2,FALSE)=0,"Spatial Data Missing",VLOOKUP(J92,'G-3 Multipliers'!$L$3:$N$6,2,FALSE))))</f>
        <v/>
      </c>
      <c r="L92" s="281" t="str">
        <f>IF(J92="","",IF(VLOOKUP(J92,'G-3 Multipliers'!$L$3:$N$6,3,FALSE)=0,"Spatial Data Missing ⚠",VLOOKUP(J92,'G-3 Multipliers'!$L$3:$N$6,3,FALSE)))</f>
        <v/>
      </c>
      <c r="M92" s="282" t="str">
        <f>IF(D92="","",VLOOKUP(D92,'G-6 Hedgerow Data'!$B$1:$AH$15,33,FALSE))</f>
        <v/>
      </c>
      <c r="N92" s="289" t="str">
        <f t="shared" si="9"/>
        <v/>
      </c>
      <c r="O92" s="32"/>
      <c r="P92" s="105"/>
      <c r="Q92" s="138"/>
      <c r="R92" s="306" t="str">
        <f t="shared" si="10"/>
        <v/>
      </c>
      <c r="S92" s="306" t="str">
        <f t="shared" si="11"/>
        <v/>
      </c>
      <c r="T92" s="306" t="str">
        <f t="shared" si="12"/>
        <v/>
      </c>
      <c r="U92" s="327" t="str">
        <f t="shared" si="13"/>
        <v/>
      </c>
      <c r="V92" s="105"/>
      <c r="W92" s="104"/>
      <c r="X92" s="104"/>
      <c r="AE92" s="107" t="str">
        <f t="shared" si="7"/>
        <v/>
      </c>
      <c r="AF92" s="107" t="str">
        <f t="shared" si="8"/>
        <v/>
      </c>
      <c r="AH92" s="107">
        <v>83</v>
      </c>
      <c r="AJ92" s="107" t="str">
        <f t="array" ref="AJ92">IFERROR(INDEX($AH$10:$AH$258,MATCH(0,IF(TRUE=$AE$10:$AE$258,COUNTIF($AJ$9:$AJ91,$AH$10:$AH$258),""),0)),"")</f>
        <v/>
      </c>
      <c r="AK92" s="107" t="str">
        <f t="array" ref="AK92">IFERROR(INDEX($AH$10:$AH$258,MATCH(0,IF(TRUE=$AF$10:$AF$258,COUNTIF($AK$9:$AK91,$AH$10:$AH$258),""),0)),"")</f>
        <v/>
      </c>
      <c r="AL92" s="30" t="str">
        <f>IFERROR(INDEX('G-6 Hedgerow Data'!$BJ$3:$BJ$15,MATCH(D92,'G-6 Hedgerow Data'!$B$3:$B$15,0)),"")</f>
        <v/>
      </c>
    </row>
    <row r="93" spans="2:38" ht="14" hidden="1">
      <c r="B93" s="97">
        <v>84</v>
      </c>
      <c r="C93" s="138"/>
      <c r="D93" s="138"/>
      <c r="E93" s="104"/>
      <c r="F93" s="323" t="str">
        <f>IF(D93="","",VLOOKUP(D93,'G-6 Hedgerow Data'!$B$2:$AG$15,2,FALSE))</f>
        <v/>
      </c>
      <c r="G93" s="276" t="str">
        <f>IF(D93="","",VLOOKUP(D93,'G-6 Hedgerow Data'!$B$2:$AG$15,3,FALSE))</f>
        <v/>
      </c>
      <c r="H93" s="101"/>
      <c r="I93" s="276" t="str">
        <f>IFERROR(IF(AND(D93&lt;&gt;"",H93=""),"Check data ⚠",IF(H93="","",IF(AND(D93="Non-native and ornamental hedgerow",H93&lt;&gt;"Poor"),"Not possible ▲",(VLOOKUP(H93,'G-1 All Habitats'!$Z$2:$AA$9,2,FALSE))))),"")</f>
        <v/>
      </c>
      <c r="J93" s="101"/>
      <c r="K93" s="283" t="str">
        <f>IF(AND(D93&lt;&gt;"",J93=""),"Check data ⚠",IF(J93="","",IF(VLOOKUP(J93,'G-3 Multipliers'!$L$3:$N$6,2,FALSE)=0,"Spatial Data Missing",VLOOKUP(J93,'G-3 Multipliers'!$L$3:$N$6,2,FALSE))))</f>
        <v/>
      </c>
      <c r="L93" s="281" t="str">
        <f>IF(J93="","",IF(VLOOKUP(J93,'G-3 Multipliers'!$L$3:$N$6,3,FALSE)=0,"Spatial Data Missing ⚠",VLOOKUP(J93,'G-3 Multipliers'!$L$3:$N$6,3,FALSE)))</f>
        <v/>
      </c>
      <c r="M93" s="282" t="str">
        <f>IF(D93="","",VLOOKUP(D93,'G-6 Hedgerow Data'!$B$1:$AH$15,33,FALSE))</f>
        <v/>
      </c>
      <c r="N93" s="289" t="str">
        <f t="shared" si="9"/>
        <v/>
      </c>
      <c r="O93" s="32"/>
      <c r="P93" s="105"/>
      <c r="Q93" s="138"/>
      <c r="R93" s="306" t="str">
        <f t="shared" si="10"/>
        <v/>
      </c>
      <c r="S93" s="306" t="str">
        <f t="shared" si="11"/>
        <v/>
      </c>
      <c r="T93" s="306" t="str">
        <f t="shared" si="12"/>
        <v/>
      </c>
      <c r="U93" s="327" t="str">
        <f t="shared" si="13"/>
        <v/>
      </c>
      <c r="V93" s="105"/>
      <c r="W93" s="104"/>
      <c r="X93" s="104"/>
      <c r="AE93" s="107" t="str">
        <f t="shared" si="7"/>
        <v/>
      </c>
      <c r="AF93" s="107" t="str">
        <f t="shared" si="8"/>
        <v/>
      </c>
      <c r="AH93" s="107">
        <v>84</v>
      </c>
      <c r="AJ93" s="107" t="str">
        <f t="array" ref="AJ93">IFERROR(INDEX($AH$10:$AH$258,MATCH(0,IF(TRUE=$AE$10:$AE$258,COUNTIF($AJ$9:$AJ92,$AH$10:$AH$258),""),0)),"")</f>
        <v/>
      </c>
      <c r="AK93" s="107" t="str">
        <f t="array" ref="AK93">IFERROR(INDEX($AH$10:$AH$258,MATCH(0,IF(TRUE=$AF$10:$AF$258,COUNTIF($AK$9:$AK92,$AH$10:$AH$258),""),0)),"")</f>
        <v/>
      </c>
      <c r="AL93" s="30" t="str">
        <f>IFERROR(INDEX('G-6 Hedgerow Data'!$BJ$3:$BJ$15,MATCH(D93,'G-6 Hedgerow Data'!$B$3:$B$15,0)),"")</f>
        <v/>
      </c>
    </row>
    <row r="94" spans="2:38" ht="14" hidden="1">
      <c r="B94" s="97">
        <v>85</v>
      </c>
      <c r="C94" s="138"/>
      <c r="D94" s="138"/>
      <c r="E94" s="104"/>
      <c r="F94" s="323" t="str">
        <f>IF(D94="","",VLOOKUP(D94,'G-6 Hedgerow Data'!$B$2:$AG$15,2,FALSE))</f>
        <v/>
      </c>
      <c r="G94" s="276" t="str">
        <f>IF(D94="","",VLOOKUP(D94,'G-6 Hedgerow Data'!$B$2:$AG$15,3,FALSE))</f>
        <v/>
      </c>
      <c r="H94" s="101"/>
      <c r="I94" s="276" t="str">
        <f>IFERROR(IF(AND(D94&lt;&gt;"",H94=""),"Check data ⚠",IF(H94="","",IF(AND(D94="Non-native and ornamental hedgerow",H94&lt;&gt;"Poor"),"Not possible ▲",(VLOOKUP(H94,'G-1 All Habitats'!$Z$2:$AA$9,2,FALSE))))),"")</f>
        <v/>
      </c>
      <c r="J94" s="101"/>
      <c r="K94" s="283" t="str">
        <f>IF(AND(D94&lt;&gt;"",J94=""),"Check data ⚠",IF(J94="","",IF(VLOOKUP(J94,'G-3 Multipliers'!$L$3:$N$6,2,FALSE)=0,"Spatial Data Missing",VLOOKUP(J94,'G-3 Multipliers'!$L$3:$N$6,2,FALSE))))</f>
        <v/>
      </c>
      <c r="L94" s="281" t="str">
        <f>IF(J94="","",IF(VLOOKUP(J94,'G-3 Multipliers'!$L$3:$N$6,3,FALSE)=0,"Spatial Data Missing ⚠",VLOOKUP(J94,'G-3 Multipliers'!$L$3:$N$6,3,FALSE)))</f>
        <v/>
      </c>
      <c r="M94" s="282" t="str">
        <f>IF(D94="","",VLOOKUP(D94,'G-6 Hedgerow Data'!$B$1:$AH$15,33,FALSE))</f>
        <v/>
      </c>
      <c r="N94" s="289" t="str">
        <f t="shared" si="9"/>
        <v/>
      </c>
      <c r="O94" s="32"/>
      <c r="P94" s="105"/>
      <c r="Q94" s="138"/>
      <c r="R94" s="306" t="str">
        <f t="shared" si="10"/>
        <v/>
      </c>
      <c r="S94" s="306" t="str">
        <f t="shared" si="11"/>
        <v/>
      </c>
      <c r="T94" s="306" t="str">
        <f t="shared" si="12"/>
        <v/>
      </c>
      <c r="U94" s="327" t="str">
        <f t="shared" si="13"/>
        <v/>
      </c>
      <c r="V94" s="105"/>
      <c r="W94" s="104"/>
      <c r="X94" s="104"/>
      <c r="AE94" s="107" t="str">
        <f t="shared" si="7"/>
        <v/>
      </c>
      <c r="AF94" s="107" t="str">
        <f t="shared" si="8"/>
        <v/>
      </c>
      <c r="AH94" s="107">
        <v>85</v>
      </c>
      <c r="AJ94" s="107" t="str">
        <f t="array" ref="AJ94">IFERROR(INDEX($AH$10:$AH$258,MATCH(0,IF(TRUE=$AE$10:$AE$258,COUNTIF($AJ$9:$AJ93,$AH$10:$AH$258),""),0)),"")</f>
        <v/>
      </c>
      <c r="AK94" s="107" t="str">
        <f t="array" ref="AK94">IFERROR(INDEX($AH$10:$AH$258,MATCH(0,IF(TRUE=$AF$10:$AF$258,COUNTIF($AK$9:$AK93,$AH$10:$AH$258),""),0)),"")</f>
        <v/>
      </c>
      <c r="AL94" s="30" t="str">
        <f>IFERROR(INDEX('G-6 Hedgerow Data'!$BJ$3:$BJ$15,MATCH(D94,'G-6 Hedgerow Data'!$B$3:$B$15,0)),"")</f>
        <v/>
      </c>
    </row>
    <row r="95" spans="2:38" ht="14" hidden="1">
      <c r="B95" s="97">
        <v>86</v>
      </c>
      <c r="C95" s="138"/>
      <c r="D95" s="138"/>
      <c r="E95" s="104"/>
      <c r="F95" s="323" t="str">
        <f>IF(D95="","",VLOOKUP(D95,'G-6 Hedgerow Data'!$B$2:$AG$15,2,FALSE))</f>
        <v/>
      </c>
      <c r="G95" s="276" t="str">
        <f>IF(D95="","",VLOOKUP(D95,'G-6 Hedgerow Data'!$B$2:$AG$15,3,FALSE))</f>
        <v/>
      </c>
      <c r="H95" s="101"/>
      <c r="I95" s="276" t="str">
        <f>IFERROR(IF(AND(D95&lt;&gt;"",H95=""),"Check data ⚠",IF(H95="","",IF(AND(D95="Non-native and ornamental hedgerow",H95&lt;&gt;"Poor"),"Not possible ▲",(VLOOKUP(H95,'G-1 All Habitats'!$Z$2:$AA$9,2,FALSE))))),"")</f>
        <v/>
      </c>
      <c r="J95" s="101"/>
      <c r="K95" s="283" t="str">
        <f>IF(AND(D95&lt;&gt;"",J95=""),"Check data ⚠",IF(J95="","",IF(VLOOKUP(J95,'G-3 Multipliers'!$L$3:$N$6,2,FALSE)=0,"Spatial Data Missing",VLOOKUP(J95,'G-3 Multipliers'!$L$3:$N$6,2,FALSE))))</f>
        <v/>
      </c>
      <c r="L95" s="281" t="str">
        <f>IF(J95="","",IF(VLOOKUP(J95,'G-3 Multipliers'!$L$3:$N$6,3,FALSE)=0,"Spatial Data Missing ⚠",VLOOKUP(J95,'G-3 Multipliers'!$L$3:$N$6,3,FALSE)))</f>
        <v/>
      </c>
      <c r="M95" s="282" t="str">
        <f>IF(D95="","",VLOOKUP(D95,'G-6 Hedgerow Data'!$B$1:$AH$15,33,FALSE))</f>
        <v/>
      </c>
      <c r="N95" s="289" t="str">
        <f t="shared" si="9"/>
        <v/>
      </c>
      <c r="O95" s="32"/>
      <c r="P95" s="105"/>
      <c r="Q95" s="138"/>
      <c r="R95" s="306" t="str">
        <f t="shared" si="10"/>
        <v/>
      </c>
      <c r="S95" s="306" t="str">
        <f t="shared" si="11"/>
        <v/>
      </c>
      <c r="T95" s="306" t="str">
        <f t="shared" si="12"/>
        <v/>
      </c>
      <c r="U95" s="327" t="str">
        <f t="shared" si="13"/>
        <v/>
      </c>
      <c r="V95" s="105"/>
      <c r="W95" s="104"/>
      <c r="X95" s="104"/>
      <c r="AE95" s="107" t="str">
        <f t="shared" si="7"/>
        <v/>
      </c>
      <c r="AF95" s="107" t="str">
        <f t="shared" si="8"/>
        <v/>
      </c>
      <c r="AH95" s="107">
        <v>86</v>
      </c>
      <c r="AJ95" s="107" t="str">
        <f t="array" ref="AJ95">IFERROR(INDEX($AH$10:$AH$258,MATCH(0,IF(TRUE=$AE$10:$AE$258,COUNTIF($AJ$9:$AJ94,$AH$10:$AH$258),""),0)),"")</f>
        <v/>
      </c>
      <c r="AK95" s="107" t="str">
        <f t="array" ref="AK95">IFERROR(INDEX($AH$10:$AH$258,MATCH(0,IF(TRUE=$AF$10:$AF$258,COUNTIF($AK$9:$AK94,$AH$10:$AH$258),""),0)),"")</f>
        <v/>
      </c>
      <c r="AL95" s="30" t="str">
        <f>IFERROR(INDEX('G-6 Hedgerow Data'!$BJ$3:$BJ$15,MATCH(D95,'G-6 Hedgerow Data'!$B$3:$B$15,0)),"")</f>
        <v/>
      </c>
    </row>
    <row r="96" spans="2:38" ht="14" hidden="1">
      <c r="B96" s="97">
        <v>87</v>
      </c>
      <c r="C96" s="138"/>
      <c r="D96" s="138"/>
      <c r="E96" s="104"/>
      <c r="F96" s="323" t="str">
        <f>IF(D96="","",VLOOKUP(D96,'G-6 Hedgerow Data'!$B$2:$AG$15,2,FALSE))</f>
        <v/>
      </c>
      <c r="G96" s="276" t="str">
        <f>IF(D96="","",VLOOKUP(D96,'G-6 Hedgerow Data'!$B$2:$AG$15,3,FALSE))</f>
        <v/>
      </c>
      <c r="H96" s="101"/>
      <c r="I96" s="276" t="str">
        <f>IFERROR(IF(AND(D96&lt;&gt;"",H96=""),"Check data ⚠",IF(H96="","",IF(AND(D96="Non-native and ornamental hedgerow",H96&lt;&gt;"Poor"),"Not possible ▲",(VLOOKUP(H96,'G-1 All Habitats'!$Z$2:$AA$9,2,FALSE))))),"")</f>
        <v/>
      </c>
      <c r="J96" s="101"/>
      <c r="K96" s="283" t="str">
        <f>IF(AND(D96&lt;&gt;"",J96=""),"Check data ⚠",IF(J96="","",IF(VLOOKUP(J96,'G-3 Multipliers'!$L$3:$N$6,2,FALSE)=0,"Spatial Data Missing",VLOOKUP(J96,'G-3 Multipliers'!$L$3:$N$6,2,FALSE))))</f>
        <v/>
      </c>
      <c r="L96" s="281" t="str">
        <f>IF(J96="","",IF(VLOOKUP(J96,'G-3 Multipliers'!$L$3:$N$6,3,FALSE)=0,"Spatial Data Missing ⚠",VLOOKUP(J96,'G-3 Multipliers'!$L$3:$N$6,3,FALSE)))</f>
        <v/>
      </c>
      <c r="M96" s="282" t="str">
        <f>IF(D96="","",VLOOKUP(D96,'G-6 Hedgerow Data'!$B$1:$AH$15,33,FALSE))</f>
        <v/>
      </c>
      <c r="N96" s="289" t="str">
        <f t="shared" si="9"/>
        <v/>
      </c>
      <c r="O96" s="32"/>
      <c r="P96" s="105"/>
      <c r="Q96" s="138"/>
      <c r="R96" s="306" t="str">
        <f t="shared" si="10"/>
        <v/>
      </c>
      <c r="S96" s="306" t="str">
        <f t="shared" si="11"/>
        <v/>
      </c>
      <c r="T96" s="306" t="str">
        <f t="shared" si="12"/>
        <v/>
      </c>
      <c r="U96" s="327" t="str">
        <f t="shared" si="13"/>
        <v/>
      </c>
      <c r="V96" s="105"/>
      <c r="W96" s="104"/>
      <c r="X96" s="104"/>
      <c r="AE96" s="107" t="str">
        <f t="shared" si="7"/>
        <v/>
      </c>
      <c r="AF96" s="107" t="str">
        <f t="shared" si="8"/>
        <v/>
      </c>
      <c r="AH96" s="107">
        <v>87</v>
      </c>
      <c r="AJ96" s="107" t="str">
        <f t="array" ref="AJ96">IFERROR(INDEX($AH$10:$AH$258,MATCH(0,IF(TRUE=$AE$10:$AE$258,COUNTIF($AJ$9:$AJ95,$AH$10:$AH$258),""),0)),"")</f>
        <v/>
      </c>
      <c r="AK96" s="107" t="str">
        <f t="array" ref="AK96">IFERROR(INDEX($AH$10:$AH$258,MATCH(0,IF(TRUE=$AF$10:$AF$258,COUNTIF($AK$9:$AK95,$AH$10:$AH$258),""),0)),"")</f>
        <v/>
      </c>
      <c r="AL96" s="30" t="str">
        <f>IFERROR(INDEX('G-6 Hedgerow Data'!$BJ$3:$BJ$15,MATCH(D96,'G-6 Hedgerow Data'!$B$3:$B$15,0)),"")</f>
        <v/>
      </c>
    </row>
    <row r="97" spans="2:38" ht="14" hidden="1">
      <c r="B97" s="97">
        <v>88</v>
      </c>
      <c r="C97" s="138"/>
      <c r="D97" s="138"/>
      <c r="E97" s="104"/>
      <c r="F97" s="323" t="str">
        <f>IF(D97="","",VLOOKUP(D97,'G-6 Hedgerow Data'!$B$2:$AG$15,2,FALSE))</f>
        <v/>
      </c>
      <c r="G97" s="276" t="str">
        <f>IF(D97="","",VLOOKUP(D97,'G-6 Hedgerow Data'!$B$2:$AG$15,3,FALSE))</f>
        <v/>
      </c>
      <c r="H97" s="101"/>
      <c r="I97" s="276" t="str">
        <f>IFERROR(IF(AND(D97&lt;&gt;"",H97=""),"Check data ⚠",IF(H97="","",IF(AND(D97="Non-native and ornamental hedgerow",H97&lt;&gt;"Poor"),"Not possible ▲",(VLOOKUP(H97,'G-1 All Habitats'!$Z$2:$AA$9,2,FALSE))))),"")</f>
        <v/>
      </c>
      <c r="J97" s="101"/>
      <c r="K97" s="283" t="str">
        <f>IF(AND(D97&lt;&gt;"",J97=""),"Check data ⚠",IF(J97="","",IF(VLOOKUP(J97,'G-3 Multipliers'!$L$3:$N$6,2,FALSE)=0,"Spatial Data Missing",VLOOKUP(J97,'G-3 Multipliers'!$L$3:$N$6,2,FALSE))))</f>
        <v/>
      </c>
      <c r="L97" s="281" t="str">
        <f>IF(J97="","",IF(VLOOKUP(J97,'G-3 Multipliers'!$L$3:$N$6,3,FALSE)=0,"Spatial Data Missing ⚠",VLOOKUP(J97,'G-3 Multipliers'!$L$3:$N$6,3,FALSE)))</f>
        <v/>
      </c>
      <c r="M97" s="282" t="str">
        <f>IF(D97="","",VLOOKUP(D97,'G-6 Hedgerow Data'!$B$1:$AH$15,33,FALSE))</f>
        <v/>
      </c>
      <c r="N97" s="289" t="str">
        <f t="shared" si="9"/>
        <v/>
      </c>
      <c r="O97" s="32"/>
      <c r="P97" s="105"/>
      <c r="Q97" s="138"/>
      <c r="R97" s="306" t="str">
        <f t="shared" si="10"/>
        <v/>
      </c>
      <c r="S97" s="306" t="str">
        <f t="shared" si="11"/>
        <v/>
      </c>
      <c r="T97" s="306" t="str">
        <f t="shared" si="12"/>
        <v/>
      </c>
      <c r="U97" s="327" t="str">
        <f t="shared" si="13"/>
        <v/>
      </c>
      <c r="V97" s="105"/>
      <c r="W97" s="104"/>
      <c r="X97" s="104"/>
      <c r="AE97" s="107" t="str">
        <f t="shared" si="7"/>
        <v/>
      </c>
      <c r="AF97" s="107" t="str">
        <f t="shared" si="8"/>
        <v/>
      </c>
      <c r="AH97" s="107">
        <v>88</v>
      </c>
      <c r="AJ97" s="107" t="str">
        <f t="array" ref="AJ97">IFERROR(INDEX($AH$10:$AH$258,MATCH(0,IF(TRUE=$AE$10:$AE$258,COUNTIF($AJ$9:$AJ96,$AH$10:$AH$258),""),0)),"")</f>
        <v/>
      </c>
      <c r="AK97" s="107" t="str">
        <f t="array" ref="AK97">IFERROR(INDEX($AH$10:$AH$258,MATCH(0,IF(TRUE=$AF$10:$AF$258,COUNTIF($AK$9:$AK96,$AH$10:$AH$258),""),0)),"")</f>
        <v/>
      </c>
      <c r="AL97" s="30" t="str">
        <f>IFERROR(INDEX('G-6 Hedgerow Data'!$BJ$3:$BJ$15,MATCH(D97,'G-6 Hedgerow Data'!$B$3:$B$15,0)),"")</f>
        <v/>
      </c>
    </row>
    <row r="98" spans="2:38" ht="14" hidden="1">
      <c r="B98" s="97">
        <v>89</v>
      </c>
      <c r="C98" s="138"/>
      <c r="D98" s="138"/>
      <c r="E98" s="104"/>
      <c r="F98" s="323" t="str">
        <f>IF(D98="","",VLOOKUP(D98,'G-6 Hedgerow Data'!$B$2:$AG$15,2,FALSE))</f>
        <v/>
      </c>
      <c r="G98" s="276" t="str">
        <f>IF(D98="","",VLOOKUP(D98,'G-6 Hedgerow Data'!$B$2:$AG$15,3,FALSE))</f>
        <v/>
      </c>
      <c r="H98" s="101"/>
      <c r="I98" s="276" t="str">
        <f>IFERROR(IF(AND(D98&lt;&gt;"",H98=""),"Check data ⚠",IF(H98="","",IF(AND(D98="Non-native and ornamental hedgerow",H98&lt;&gt;"Poor"),"Not possible ▲",(VLOOKUP(H98,'G-1 All Habitats'!$Z$2:$AA$9,2,FALSE))))),"")</f>
        <v/>
      </c>
      <c r="J98" s="101"/>
      <c r="K98" s="283" t="str">
        <f>IF(AND(D98&lt;&gt;"",J98=""),"Check data ⚠",IF(J98="","",IF(VLOOKUP(J98,'G-3 Multipliers'!$L$3:$N$6,2,FALSE)=0,"Spatial Data Missing",VLOOKUP(J98,'G-3 Multipliers'!$L$3:$N$6,2,FALSE))))</f>
        <v/>
      </c>
      <c r="L98" s="281" t="str">
        <f>IF(J98="","",IF(VLOOKUP(J98,'G-3 Multipliers'!$L$3:$N$6,3,FALSE)=0,"Spatial Data Missing ⚠",VLOOKUP(J98,'G-3 Multipliers'!$L$3:$N$6,3,FALSE)))</f>
        <v/>
      </c>
      <c r="M98" s="282" t="str">
        <f>IF(D98="","",VLOOKUP(D98,'G-6 Hedgerow Data'!$B$1:$AH$15,33,FALSE))</f>
        <v/>
      </c>
      <c r="N98" s="289" t="str">
        <f t="shared" si="9"/>
        <v/>
      </c>
      <c r="O98" s="32"/>
      <c r="P98" s="105"/>
      <c r="Q98" s="138"/>
      <c r="R98" s="306" t="str">
        <f t="shared" si="10"/>
        <v/>
      </c>
      <c r="S98" s="306" t="str">
        <f t="shared" si="11"/>
        <v/>
      </c>
      <c r="T98" s="306" t="str">
        <f t="shared" si="12"/>
        <v/>
      </c>
      <c r="U98" s="327" t="str">
        <f t="shared" si="13"/>
        <v/>
      </c>
      <c r="V98" s="105"/>
      <c r="W98" s="104"/>
      <c r="X98" s="104"/>
      <c r="AE98" s="107" t="str">
        <f t="shared" si="7"/>
        <v/>
      </c>
      <c r="AF98" s="107" t="str">
        <f t="shared" si="8"/>
        <v/>
      </c>
      <c r="AH98" s="107">
        <v>89</v>
      </c>
      <c r="AJ98" s="107" t="str">
        <f t="array" ref="AJ98">IFERROR(INDEX($AH$10:$AH$258,MATCH(0,IF(TRUE=$AE$10:$AE$258,COUNTIF($AJ$9:$AJ97,$AH$10:$AH$258),""),0)),"")</f>
        <v/>
      </c>
      <c r="AK98" s="107" t="str">
        <f t="array" ref="AK98">IFERROR(INDEX($AH$10:$AH$258,MATCH(0,IF(TRUE=$AF$10:$AF$258,COUNTIF($AK$9:$AK97,$AH$10:$AH$258),""),0)),"")</f>
        <v/>
      </c>
      <c r="AL98" s="30" t="str">
        <f>IFERROR(INDEX('G-6 Hedgerow Data'!$BJ$3:$BJ$15,MATCH(D98,'G-6 Hedgerow Data'!$B$3:$B$15,0)),"")</f>
        <v/>
      </c>
    </row>
    <row r="99" spans="2:38" ht="14" hidden="1">
      <c r="B99" s="97">
        <v>90</v>
      </c>
      <c r="C99" s="138"/>
      <c r="D99" s="138"/>
      <c r="E99" s="104"/>
      <c r="F99" s="323" t="str">
        <f>IF(D99="","",VLOOKUP(D99,'G-6 Hedgerow Data'!$B$2:$AG$15,2,FALSE))</f>
        <v/>
      </c>
      <c r="G99" s="276" t="str">
        <f>IF(D99="","",VLOOKUP(D99,'G-6 Hedgerow Data'!$B$2:$AG$15,3,FALSE))</f>
        <v/>
      </c>
      <c r="H99" s="101"/>
      <c r="I99" s="276" t="str">
        <f>IFERROR(IF(AND(D99&lt;&gt;"",H99=""),"Check data ⚠",IF(H99="","",IF(AND(D99="Non-native and ornamental hedgerow",H99&lt;&gt;"Poor"),"Not possible ▲",(VLOOKUP(H99,'G-1 All Habitats'!$Z$2:$AA$9,2,FALSE))))),"")</f>
        <v/>
      </c>
      <c r="J99" s="101"/>
      <c r="K99" s="283" t="str">
        <f>IF(AND(D99&lt;&gt;"",J99=""),"Check data ⚠",IF(J99="","",IF(VLOOKUP(J99,'G-3 Multipliers'!$L$3:$N$6,2,FALSE)=0,"Spatial Data Missing",VLOOKUP(J99,'G-3 Multipliers'!$L$3:$N$6,2,FALSE))))</f>
        <v/>
      </c>
      <c r="L99" s="281" t="str">
        <f>IF(J99="","",IF(VLOOKUP(J99,'G-3 Multipliers'!$L$3:$N$6,3,FALSE)=0,"Spatial Data Missing ⚠",VLOOKUP(J99,'G-3 Multipliers'!$L$3:$N$6,3,FALSE)))</f>
        <v/>
      </c>
      <c r="M99" s="282" t="str">
        <f>IF(D99="","",VLOOKUP(D99,'G-6 Hedgerow Data'!$B$1:$AH$15,33,FALSE))</f>
        <v/>
      </c>
      <c r="N99" s="289" t="str">
        <f t="shared" si="9"/>
        <v/>
      </c>
      <c r="O99" s="32"/>
      <c r="P99" s="105"/>
      <c r="Q99" s="138"/>
      <c r="R99" s="306" t="str">
        <f t="shared" si="10"/>
        <v/>
      </c>
      <c r="S99" s="306" t="str">
        <f t="shared" si="11"/>
        <v/>
      </c>
      <c r="T99" s="306" t="str">
        <f t="shared" si="12"/>
        <v/>
      </c>
      <c r="U99" s="327" t="str">
        <f t="shared" si="13"/>
        <v/>
      </c>
      <c r="V99" s="105"/>
      <c r="W99" s="104"/>
      <c r="X99" s="104"/>
      <c r="AE99" s="107" t="str">
        <f t="shared" si="7"/>
        <v/>
      </c>
      <c r="AF99" s="107" t="str">
        <f t="shared" si="8"/>
        <v/>
      </c>
      <c r="AH99" s="107">
        <v>90</v>
      </c>
      <c r="AJ99" s="107" t="str">
        <f t="array" ref="AJ99">IFERROR(INDEX($AH$10:$AH$258,MATCH(0,IF(TRUE=$AE$10:$AE$258,COUNTIF($AJ$9:$AJ98,$AH$10:$AH$258),""),0)),"")</f>
        <v/>
      </c>
      <c r="AK99" s="107" t="str">
        <f t="array" ref="AK99">IFERROR(INDEX($AH$10:$AH$258,MATCH(0,IF(TRUE=$AF$10:$AF$258,COUNTIF($AK$9:$AK98,$AH$10:$AH$258),""),0)),"")</f>
        <v/>
      </c>
      <c r="AL99" s="30" t="str">
        <f>IFERROR(INDEX('G-6 Hedgerow Data'!$BJ$3:$BJ$15,MATCH(D99,'G-6 Hedgerow Data'!$B$3:$B$15,0)),"")</f>
        <v/>
      </c>
    </row>
    <row r="100" spans="2:38" ht="14" hidden="1">
      <c r="B100" s="97">
        <v>91</v>
      </c>
      <c r="C100" s="138"/>
      <c r="D100" s="138"/>
      <c r="E100" s="104"/>
      <c r="F100" s="323" t="str">
        <f>IF(D100="","",VLOOKUP(D100,'G-6 Hedgerow Data'!$B$2:$AG$15,2,FALSE))</f>
        <v/>
      </c>
      <c r="G100" s="276" t="str">
        <f>IF(D100="","",VLOOKUP(D100,'G-6 Hedgerow Data'!$B$2:$AG$15,3,FALSE))</f>
        <v/>
      </c>
      <c r="H100" s="101"/>
      <c r="I100" s="276" t="str">
        <f>IFERROR(IF(AND(D100&lt;&gt;"",H100=""),"Check data ⚠",IF(H100="","",IF(AND(D100="Non-native and ornamental hedgerow",H100&lt;&gt;"Poor"),"Not possible ▲",(VLOOKUP(H100,'G-1 All Habitats'!$Z$2:$AA$9,2,FALSE))))),"")</f>
        <v/>
      </c>
      <c r="J100" s="101"/>
      <c r="K100" s="283" t="str">
        <f>IF(AND(D100&lt;&gt;"",J100=""),"Check data ⚠",IF(J100="","",IF(VLOOKUP(J100,'G-3 Multipliers'!$L$3:$N$6,2,FALSE)=0,"Spatial Data Missing",VLOOKUP(J100,'G-3 Multipliers'!$L$3:$N$6,2,FALSE))))</f>
        <v/>
      </c>
      <c r="L100" s="281" t="str">
        <f>IF(J100="","",IF(VLOOKUP(J100,'G-3 Multipliers'!$L$3:$N$6,3,FALSE)=0,"Spatial Data Missing ⚠",VLOOKUP(J100,'G-3 Multipliers'!$L$3:$N$6,3,FALSE)))</f>
        <v/>
      </c>
      <c r="M100" s="282" t="str">
        <f>IF(D100="","",VLOOKUP(D100,'G-6 Hedgerow Data'!$B$1:$AH$15,33,FALSE))</f>
        <v/>
      </c>
      <c r="N100" s="289" t="str">
        <f t="shared" si="9"/>
        <v/>
      </c>
      <c r="O100" s="32"/>
      <c r="P100" s="105"/>
      <c r="Q100" s="138"/>
      <c r="R100" s="306" t="str">
        <f t="shared" si="10"/>
        <v/>
      </c>
      <c r="S100" s="306" t="str">
        <f t="shared" si="11"/>
        <v/>
      </c>
      <c r="T100" s="306" t="str">
        <f t="shared" si="12"/>
        <v/>
      </c>
      <c r="U100" s="327" t="str">
        <f t="shared" si="13"/>
        <v/>
      </c>
      <c r="V100" s="105"/>
      <c r="W100" s="104"/>
      <c r="X100" s="104"/>
      <c r="AE100" s="107" t="str">
        <f t="shared" si="7"/>
        <v/>
      </c>
      <c r="AF100" s="107" t="str">
        <f t="shared" si="8"/>
        <v/>
      </c>
      <c r="AH100" s="107">
        <v>91</v>
      </c>
      <c r="AJ100" s="107" t="str">
        <f t="array" ref="AJ100">IFERROR(INDEX($AH$10:$AH$258,MATCH(0,IF(TRUE=$AE$10:$AE$258,COUNTIF($AJ$9:$AJ99,$AH$10:$AH$258),""),0)),"")</f>
        <v/>
      </c>
      <c r="AK100" s="107" t="str">
        <f t="array" ref="AK100">IFERROR(INDEX($AH$10:$AH$258,MATCH(0,IF(TRUE=$AF$10:$AF$258,COUNTIF($AK$9:$AK99,$AH$10:$AH$258),""),0)),"")</f>
        <v/>
      </c>
      <c r="AL100" s="30" t="str">
        <f>IFERROR(INDEX('G-6 Hedgerow Data'!$BJ$3:$BJ$15,MATCH(D100,'G-6 Hedgerow Data'!$B$3:$B$15,0)),"")</f>
        <v/>
      </c>
    </row>
    <row r="101" spans="2:38" ht="14" hidden="1">
      <c r="B101" s="97">
        <v>92</v>
      </c>
      <c r="C101" s="138"/>
      <c r="D101" s="138"/>
      <c r="E101" s="104"/>
      <c r="F101" s="323" t="str">
        <f>IF(D101="","",VLOOKUP(D101,'G-6 Hedgerow Data'!$B$2:$AG$15,2,FALSE))</f>
        <v/>
      </c>
      <c r="G101" s="276" t="str">
        <f>IF(D101="","",VLOOKUP(D101,'G-6 Hedgerow Data'!$B$2:$AG$15,3,FALSE))</f>
        <v/>
      </c>
      <c r="H101" s="101"/>
      <c r="I101" s="276" t="str">
        <f>IFERROR(IF(AND(D101&lt;&gt;"",H101=""),"Check data ⚠",IF(H101="","",IF(AND(D101="Non-native and ornamental hedgerow",H101&lt;&gt;"Poor"),"Not possible ▲",(VLOOKUP(H101,'G-1 All Habitats'!$Z$2:$AA$9,2,FALSE))))),"")</f>
        <v/>
      </c>
      <c r="J101" s="101"/>
      <c r="K101" s="283" t="str">
        <f>IF(AND(D101&lt;&gt;"",J101=""),"Check data ⚠",IF(J101="","",IF(VLOOKUP(J101,'G-3 Multipliers'!$L$3:$N$6,2,FALSE)=0,"Spatial Data Missing",VLOOKUP(J101,'G-3 Multipliers'!$L$3:$N$6,2,FALSE))))</f>
        <v/>
      </c>
      <c r="L101" s="281" t="str">
        <f>IF(J101="","",IF(VLOOKUP(J101,'G-3 Multipliers'!$L$3:$N$6,3,FALSE)=0,"Spatial Data Missing ⚠",VLOOKUP(J101,'G-3 Multipliers'!$L$3:$N$6,3,FALSE)))</f>
        <v/>
      </c>
      <c r="M101" s="282" t="str">
        <f>IF(D101="","",VLOOKUP(D101,'G-6 Hedgerow Data'!$B$1:$AH$15,33,FALSE))</f>
        <v/>
      </c>
      <c r="N101" s="289" t="str">
        <f t="shared" si="9"/>
        <v/>
      </c>
      <c r="O101" s="32"/>
      <c r="P101" s="105"/>
      <c r="Q101" s="138"/>
      <c r="R101" s="306" t="str">
        <f t="shared" si="10"/>
        <v/>
      </c>
      <c r="S101" s="306" t="str">
        <f t="shared" si="11"/>
        <v/>
      </c>
      <c r="T101" s="306" t="str">
        <f t="shared" si="12"/>
        <v/>
      </c>
      <c r="U101" s="327" t="str">
        <f t="shared" si="13"/>
        <v/>
      </c>
      <c r="V101" s="105"/>
      <c r="W101" s="104"/>
      <c r="X101" s="104"/>
      <c r="AE101" s="107" t="str">
        <f t="shared" si="7"/>
        <v/>
      </c>
      <c r="AF101" s="107" t="str">
        <f t="shared" si="8"/>
        <v/>
      </c>
      <c r="AH101" s="107">
        <v>92</v>
      </c>
      <c r="AJ101" s="107" t="str">
        <f t="array" ref="AJ101">IFERROR(INDEX($AH$10:$AH$258,MATCH(0,IF(TRUE=$AE$10:$AE$258,COUNTIF($AJ$9:$AJ100,$AH$10:$AH$258),""),0)),"")</f>
        <v/>
      </c>
      <c r="AK101" s="107" t="str">
        <f t="array" ref="AK101">IFERROR(INDEX($AH$10:$AH$258,MATCH(0,IF(TRUE=$AF$10:$AF$258,COUNTIF($AK$9:$AK100,$AH$10:$AH$258),""),0)),"")</f>
        <v/>
      </c>
      <c r="AL101" s="30" t="str">
        <f>IFERROR(INDEX('G-6 Hedgerow Data'!$BJ$3:$BJ$15,MATCH(D101,'G-6 Hedgerow Data'!$B$3:$B$15,0)),"")</f>
        <v/>
      </c>
    </row>
    <row r="102" spans="2:38" ht="14" hidden="1">
      <c r="B102" s="97">
        <v>93</v>
      </c>
      <c r="C102" s="138"/>
      <c r="D102" s="138"/>
      <c r="E102" s="104"/>
      <c r="F102" s="323" t="str">
        <f>IF(D102="","",VLOOKUP(D102,'G-6 Hedgerow Data'!$B$2:$AG$15,2,FALSE))</f>
        <v/>
      </c>
      <c r="G102" s="276" t="str">
        <f>IF(D102="","",VLOOKUP(D102,'G-6 Hedgerow Data'!$B$2:$AG$15,3,FALSE))</f>
        <v/>
      </c>
      <c r="H102" s="101"/>
      <c r="I102" s="276" t="str">
        <f>IFERROR(IF(AND(D102&lt;&gt;"",H102=""),"Check data ⚠",IF(H102="","",IF(AND(D102="Non-native and ornamental hedgerow",H102&lt;&gt;"Poor"),"Not possible ▲",(VLOOKUP(H102,'G-1 All Habitats'!$Z$2:$AA$9,2,FALSE))))),"")</f>
        <v/>
      </c>
      <c r="J102" s="101"/>
      <c r="K102" s="283" t="str">
        <f>IF(AND(D102&lt;&gt;"",J102=""),"Check data ⚠",IF(J102="","",IF(VLOOKUP(J102,'G-3 Multipliers'!$L$3:$N$6,2,FALSE)=0,"Spatial Data Missing",VLOOKUP(J102,'G-3 Multipliers'!$L$3:$N$6,2,FALSE))))</f>
        <v/>
      </c>
      <c r="L102" s="281" t="str">
        <f>IF(J102="","",IF(VLOOKUP(J102,'G-3 Multipliers'!$L$3:$N$6,3,FALSE)=0,"Spatial Data Missing ⚠",VLOOKUP(J102,'G-3 Multipliers'!$L$3:$N$6,3,FALSE)))</f>
        <v/>
      </c>
      <c r="M102" s="282" t="str">
        <f>IF(D102="","",VLOOKUP(D102,'G-6 Hedgerow Data'!$B$1:$AH$15,33,FALSE))</f>
        <v/>
      </c>
      <c r="N102" s="289" t="str">
        <f t="shared" si="9"/>
        <v/>
      </c>
      <c r="O102" s="32"/>
      <c r="P102" s="105"/>
      <c r="Q102" s="138"/>
      <c r="R102" s="306" t="str">
        <f t="shared" si="10"/>
        <v/>
      </c>
      <c r="S102" s="306" t="str">
        <f t="shared" si="11"/>
        <v/>
      </c>
      <c r="T102" s="306" t="str">
        <f t="shared" si="12"/>
        <v/>
      </c>
      <c r="U102" s="327" t="str">
        <f t="shared" si="13"/>
        <v/>
      </c>
      <c r="V102" s="105"/>
      <c r="W102" s="104"/>
      <c r="X102" s="104"/>
      <c r="AE102" s="107" t="str">
        <f t="shared" si="7"/>
        <v/>
      </c>
      <c r="AF102" s="107" t="str">
        <f t="shared" si="8"/>
        <v/>
      </c>
      <c r="AH102" s="107">
        <v>93</v>
      </c>
      <c r="AJ102" s="107" t="str">
        <f t="array" ref="AJ102">IFERROR(INDEX($AH$10:$AH$258,MATCH(0,IF(TRUE=$AE$10:$AE$258,COUNTIF($AJ$9:$AJ101,$AH$10:$AH$258),""),0)),"")</f>
        <v/>
      </c>
      <c r="AK102" s="107" t="str">
        <f t="array" ref="AK102">IFERROR(INDEX($AH$10:$AH$258,MATCH(0,IF(TRUE=$AF$10:$AF$258,COUNTIF($AK$9:$AK101,$AH$10:$AH$258),""),0)),"")</f>
        <v/>
      </c>
      <c r="AL102" s="30" t="str">
        <f>IFERROR(INDEX('G-6 Hedgerow Data'!$BJ$3:$BJ$15,MATCH(D102,'G-6 Hedgerow Data'!$B$3:$B$15,0)),"")</f>
        <v/>
      </c>
    </row>
    <row r="103" spans="2:38" ht="14" hidden="1">
      <c r="B103" s="97">
        <v>94</v>
      </c>
      <c r="C103" s="138"/>
      <c r="D103" s="138"/>
      <c r="E103" s="104"/>
      <c r="F103" s="323" t="str">
        <f>IF(D103="","",VLOOKUP(D103,'G-6 Hedgerow Data'!$B$2:$AG$15,2,FALSE))</f>
        <v/>
      </c>
      <c r="G103" s="276" t="str">
        <f>IF(D103="","",VLOOKUP(D103,'G-6 Hedgerow Data'!$B$2:$AG$15,3,FALSE))</f>
        <v/>
      </c>
      <c r="H103" s="101"/>
      <c r="I103" s="276" t="str">
        <f>IFERROR(IF(AND(D103&lt;&gt;"",H103=""),"Check data ⚠",IF(H103="","",IF(AND(D103="Non-native and ornamental hedgerow",H103&lt;&gt;"Poor"),"Not possible ▲",(VLOOKUP(H103,'G-1 All Habitats'!$Z$2:$AA$9,2,FALSE))))),"")</f>
        <v/>
      </c>
      <c r="J103" s="101"/>
      <c r="K103" s="283" t="str">
        <f>IF(AND(D103&lt;&gt;"",J103=""),"Check data ⚠",IF(J103="","",IF(VLOOKUP(J103,'G-3 Multipliers'!$L$3:$N$6,2,FALSE)=0,"Spatial Data Missing",VLOOKUP(J103,'G-3 Multipliers'!$L$3:$N$6,2,FALSE))))</f>
        <v/>
      </c>
      <c r="L103" s="281" t="str">
        <f>IF(J103="","",IF(VLOOKUP(J103,'G-3 Multipliers'!$L$3:$N$6,3,FALSE)=0,"Spatial Data Missing ⚠",VLOOKUP(J103,'G-3 Multipliers'!$L$3:$N$6,3,FALSE)))</f>
        <v/>
      </c>
      <c r="M103" s="282" t="str">
        <f>IF(D103="","",VLOOKUP(D103,'G-6 Hedgerow Data'!$B$1:$AH$15,33,FALSE))</f>
        <v/>
      </c>
      <c r="N103" s="289" t="str">
        <f t="shared" si="9"/>
        <v/>
      </c>
      <c r="O103" s="32"/>
      <c r="P103" s="105"/>
      <c r="Q103" s="138"/>
      <c r="R103" s="306" t="str">
        <f t="shared" si="10"/>
        <v/>
      </c>
      <c r="S103" s="306" t="str">
        <f t="shared" si="11"/>
        <v/>
      </c>
      <c r="T103" s="306" t="str">
        <f t="shared" si="12"/>
        <v/>
      </c>
      <c r="U103" s="327" t="str">
        <f t="shared" si="13"/>
        <v/>
      </c>
      <c r="V103" s="105"/>
      <c r="W103" s="104"/>
      <c r="X103" s="104"/>
      <c r="AE103" s="107" t="str">
        <f t="shared" si="7"/>
        <v/>
      </c>
      <c r="AF103" s="107" t="str">
        <f t="shared" si="8"/>
        <v/>
      </c>
      <c r="AH103" s="107">
        <v>94</v>
      </c>
      <c r="AJ103" s="107" t="str">
        <f t="array" ref="AJ103">IFERROR(INDEX($AH$10:$AH$258,MATCH(0,IF(TRUE=$AE$10:$AE$258,COUNTIF($AJ$9:$AJ102,$AH$10:$AH$258),""),0)),"")</f>
        <v/>
      </c>
      <c r="AK103" s="107" t="str">
        <f t="array" ref="AK103">IFERROR(INDEX($AH$10:$AH$258,MATCH(0,IF(TRUE=$AF$10:$AF$258,COUNTIF($AK$9:$AK102,$AH$10:$AH$258),""),0)),"")</f>
        <v/>
      </c>
      <c r="AL103" s="30" t="str">
        <f>IFERROR(INDEX('G-6 Hedgerow Data'!$BJ$3:$BJ$15,MATCH(D103,'G-6 Hedgerow Data'!$B$3:$B$15,0)),"")</f>
        <v/>
      </c>
    </row>
    <row r="104" spans="2:38" ht="14" hidden="1">
      <c r="B104" s="97">
        <v>95</v>
      </c>
      <c r="C104" s="138"/>
      <c r="D104" s="138"/>
      <c r="E104" s="104"/>
      <c r="F104" s="323" t="str">
        <f>IF(D104="","",VLOOKUP(D104,'G-6 Hedgerow Data'!$B$2:$AG$15,2,FALSE))</f>
        <v/>
      </c>
      <c r="G104" s="276" t="str">
        <f>IF(D104="","",VLOOKUP(D104,'G-6 Hedgerow Data'!$B$2:$AG$15,3,FALSE))</f>
        <v/>
      </c>
      <c r="H104" s="101"/>
      <c r="I104" s="276" t="str">
        <f>IFERROR(IF(AND(D104&lt;&gt;"",H104=""),"Check data ⚠",IF(H104="","",IF(AND(D104="Non-native and ornamental hedgerow",H104&lt;&gt;"Poor"),"Not possible ▲",(VLOOKUP(H104,'G-1 All Habitats'!$Z$2:$AA$9,2,FALSE))))),"")</f>
        <v/>
      </c>
      <c r="J104" s="101"/>
      <c r="K104" s="283" t="str">
        <f>IF(AND(D104&lt;&gt;"",J104=""),"Check data ⚠",IF(J104="","",IF(VLOOKUP(J104,'G-3 Multipliers'!$L$3:$N$6,2,FALSE)=0,"Spatial Data Missing",VLOOKUP(J104,'G-3 Multipliers'!$L$3:$N$6,2,FALSE))))</f>
        <v/>
      </c>
      <c r="L104" s="281" t="str">
        <f>IF(J104="","",IF(VLOOKUP(J104,'G-3 Multipliers'!$L$3:$N$6,3,FALSE)=0,"Spatial Data Missing ⚠",VLOOKUP(J104,'G-3 Multipliers'!$L$3:$N$6,3,FALSE)))</f>
        <v/>
      </c>
      <c r="M104" s="282" t="str">
        <f>IF(D104="","",VLOOKUP(D104,'G-6 Hedgerow Data'!$B$1:$AH$15,33,FALSE))</f>
        <v/>
      </c>
      <c r="N104" s="289" t="str">
        <f t="shared" si="9"/>
        <v/>
      </c>
      <c r="O104" s="32"/>
      <c r="P104" s="105"/>
      <c r="Q104" s="138"/>
      <c r="R104" s="306" t="str">
        <f t="shared" si="10"/>
        <v/>
      </c>
      <c r="S104" s="306" t="str">
        <f t="shared" si="11"/>
        <v/>
      </c>
      <c r="T104" s="306" t="str">
        <f t="shared" si="12"/>
        <v/>
      </c>
      <c r="U104" s="327" t="str">
        <f t="shared" si="13"/>
        <v/>
      </c>
      <c r="V104" s="105"/>
      <c r="W104" s="104"/>
      <c r="X104" s="104"/>
      <c r="AE104" s="107" t="str">
        <f t="shared" si="7"/>
        <v/>
      </c>
      <c r="AF104" s="107" t="str">
        <f t="shared" si="8"/>
        <v/>
      </c>
      <c r="AH104" s="107">
        <v>95</v>
      </c>
      <c r="AJ104" s="107" t="str">
        <f t="array" ref="AJ104">IFERROR(INDEX($AH$10:$AH$258,MATCH(0,IF(TRUE=$AE$10:$AE$258,COUNTIF($AJ$9:$AJ103,$AH$10:$AH$258),""),0)),"")</f>
        <v/>
      </c>
      <c r="AK104" s="107" t="str">
        <f t="array" ref="AK104">IFERROR(INDEX($AH$10:$AH$258,MATCH(0,IF(TRUE=$AF$10:$AF$258,COUNTIF($AK$9:$AK103,$AH$10:$AH$258),""),0)),"")</f>
        <v/>
      </c>
      <c r="AL104" s="30" t="str">
        <f>IFERROR(INDEX('G-6 Hedgerow Data'!$BJ$3:$BJ$15,MATCH(D104,'G-6 Hedgerow Data'!$B$3:$B$15,0)),"")</f>
        <v/>
      </c>
    </row>
    <row r="105" spans="2:38" ht="14" hidden="1">
      <c r="B105" s="97">
        <v>96</v>
      </c>
      <c r="C105" s="138"/>
      <c r="D105" s="138"/>
      <c r="E105" s="104"/>
      <c r="F105" s="323" t="str">
        <f>IF(D105="","",VLOOKUP(D105,'G-6 Hedgerow Data'!$B$2:$AG$15,2,FALSE))</f>
        <v/>
      </c>
      <c r="G105" s="276" t="str">
        <f>IF(D105="","",VLOOKUP(D105,'G-6 Hedgerow Data'!$B$2:$AG$15,3,FALSE))</f>
        <v/>
      </c>
      <c r="H105" s="101"/>
      <c r="I105" s="276" t="str">
        <f>IFERROR(IF(AND(D105&lt;&gt;"",H105=""),"Check data ⚠",IF(H105="","",IF(AND(D105="Non-native and ornamental hedgerow",H105&lt;&gt;"Poor"),"Not possible ▲",(VLOOKUP(H105,'G-1 All Habitats'!$Z$2:$AA$9,2,FALSE))))),"")</f>
        <v/>
      </c>
      <c r="J105" s="101"/>
      <c r="K105" s="283" t="str">
        <f>IF(AND(D105&lt;&gt;"",J105=""),"Check data ⚠",IF(J105="","",IF(VLOOKUP(J105,'G-3 Multipliers'!$L$3:$N$6,2,FALSE)=0,"Spatial Data Missing",VLOOKUP(J105,'G-3 Multipliers'!$L$3:$N$6,2,FALSE))))</f>
        <v/>
      </c>
      <c r="L105" s="281" t="str">
        <f>IF(J105="","",IF(VLOOKUP(J105,'G-3 Multipliers'!$L$3:$N$6,3,FALSE)=0,"Spatial Data Missing ⚠",VLOOKUP(J105,'G-3 Multipliers'!$L$3:$N$6,3,FALSE)))</f>
        <v/>
      </c>
      <c r="M105" s="282" t="str">
        <f>IF(D105="","",VLOOKUP(D105,'G-6 Hedgerow Data'!$B$1:$AH$15,33,FALSE))</f>
        <v/>
      </c>
      <c r="N105" s="289" t="str">
        <f t="shared" si="9"/>
        <v/>
      </c>
      <c r="O105" s="32"/>
      <c r="P105" s="105"/>
      <c r="Q105" s="138"/>
      <c r="R105" s="306" t="str">
        <f t="shared" si="10"/>
        <v/>
      </c>
      <c r="S105" s="306" t="str">
        <f t="shared" si="11"/>
        <v/>
      </c>
      <c r="T105" s="306" t="str">
        <f t="shared" si="12"/>
        <v/>
      </c>
      <c r="U105" s="327" t="str">
        <f t="shared" si="13"/>
        <v/>
      </c>
      <c r="V105" s="105"/>
      <c r="W105" s="104"/>
      <c r="X105" s="104"/>
      <c r="AE105" s="107" t="str">
        <f t="shared" si="7"/>
        <v/>
      </c>
      <c r="AF105" s="107" t="str">
        <f t="shared" si="8"/>
        <v/>
      </c>
      <c r="AH105" s="107">
        <v>96</v>
      </c>
      <c r="AJ105" s="107" t="str">
        <f t="array" ref="AJ105">IFERROR(INDEX($AH$10:$AH$258,MATCH(0,IF(TRUE=$AE$10:$AE$258,COUNTIF($AJ$9:$AJ104,$AH$10:$AH$258),""),0)),"")</f>
        <v/>
      </c>
      <c r="AK105" s="107" t="str">
        <f t="array" ref="AK105">IFERROR(INDEX($AH$10:$AH$258,MATCH(0,IF(TRUE=$AF$10:$AF$258,COUNTIF($AK$9:$AK104,$AH$10:$AH$258),""),0)),"")</f>
        <v/>
      </c>
      <c r="AL105" s="30" t="str">
        <f>IFERROR(INDEX('G-6 Hedgerow Data'!$BJ$3:$BJ$15,MATCH(D105,'G-6 Hedgerow Data'!$B$3:$B$15,0)),"")</f>
        <v/>
      </c>
    </row>
    <row r="106" spans="2:38" ht="14" hidden="1">
      <c r="B106" s="97">
        <v>97</v>
      </c>
      <c r="C106" s="138"/>
      <c r="D106" s="138"/>
      <c r="E106" s="104"/>
      <c r="F106" s="323" t="str">
        <f>IF(D106="","",VLOOKUP(D106,'G-6 Hedgerow Data'!$B$2:$AG$15,2,FALSE))</f>
        <v/>
      </c>
      <c r="G106" s="276" t="str">
        <f>IF(D106="","",VLOOKUP(D106,'G-6 Hedgerow Data'!$B$2:$AG$15,3,FALSE))</f>
        <v/>
      </c>
      <c r="H106" s="101"/>
      <c r="I106" s="276" t="str">
        <f>IFERROR(IF(AND(D106&lt;&gt;"",H106=""),"Check data ⚠",IF(H106="","",IF(AND(D106="Non-native and ornamental hedgerow",H106&lt;&gt;"Poor"),"Not possible ▲",(VLOOKUP(H106,'G-1 All Habitats'!$Z$2:$AA$9,2,FALSE))))),"")</f>
        <v/>
      </c>
      <c r="J106" s="101"/>
      <c r="K106" s="283" t="str">
        <f>IF(AND(D106&lt;&gt;"",J106=""),"Check data ⚠",IF(J106="","",IF(VLOOKUP(J106,'G-3 Multipliers'!$L$3:$N$6,2,FALSE)=0,"Spatial Data Missing",VLOOKUP(J106,'G-3 Multipliers'!$L$3:$N$6,2,FALSE))))</f>
        <v/>
      </c>
      <c r="L106" s="281" t="str">
        <f>IF(J106="","",IF(VLOOKUP(J106,'G-3 Multipliers'!$L$3:$N$6,3,FALSE)=0,"Spatial Data Missing ⚠",VLOOKUP(J106,'G-3 Multipliers'!$L$3:$N$6,3,FALSE)))</f>
        <v/>
      </c>
      <c r="M106" s="282" t="str">
        <f>IF(D106="","",VLOOKUP(D106,'G-6 Hedgerow Data'!$B$1:$AH$15,33,FALSE))</f>
        <v/>
      </c>
      <c r="N106" s="289" t="str">
        <f t="shared" si="9"/>
        <v/>
      </c>
      <c r="O106" s="32"/>
      <c r="P106" s="105"/>
      <c r="Q106" s="138"/>
      <c r="R106" s="306" t="str">
        <f t="shared" si="10"/>
        <v/>
      </c>
      <c r="S106" s="306" t="str">
        <f t="shared" si="11"/>
        <v/>
      </c>
      <c r="T106" s="306" t="str">
        <f t="shared" si="12"/>
        <v/>
      </c>
      <c r="U106" s="327" t="str">
        <f t="shared" si="13"/>
        <v/>
      </c>
      <c r="V106" s="105"/>
      <c r="W106" s="104"/>
      <c r="X106" s="104"/>
      <c r="AE106" s="107" t="str">
        <f t="shared" si="7"/>
        <v/>
      </c>
      <c r="AF106" s="107" t="str">
        <f t="shared" si="8"/>
        <v/>
      </c>
      <c r="AH106" s="107">
        <v>97</v>
      </c>
      <c r="AJ106" s="107" t="str">
        <f t="array" ref="AJ106">IFERROR(INDEX($AH$10:$AH$258,MATCH(0,IF(TRUE=$AE$10:$AE$258,COUNTIF($AJ$9:$AJ105,$AH$10:$AH$258),""),0)),"")</f>
        <v/>
      </c>
      <c r="AK106" s="107" t="str">
        <f t="array" ref="AK106">IFERROR(INDEX($AH$10:$AH$258,MATCH(0,IF(TRUE=$AF$10:$AF$258,COUNTIF($AK$9:$AK105,$AH$10:$AH$258),""),0)),"")</f>
        <v/>
      </c>
      <c r="AL106" s="30" t="str">
        <f>IFERROR(INDEX('G-6 Hedgerow Data'!$BJ$3:$BJ$15,MATCH(D106,'G-6 Hedgerow Data'!$B$3:$B$15,0)),"")</f>
        <v/>
      </c>
    </row>
    <row r="107" spans="2:38" ht="14" hidden="1">
      <c r="B107" s="97">
        <v>98</v>
      </c>
      <c r="C107" s="138"/>
      <c r="D107" s="138"/>
      <c r="E107" s="104"/>
      <c r="F107" s="323" t="str">
        <f>IF(D107="","",VLOOKUP(D107,'G-6 Hedgerow Data'!$B$2:$AG$15,2,FALSE))</f>
        <v/>
      </c>
      <c r="G107" s="276" t="str">
        <f>IF(D107="","",VLOOKUP(D107,'G-6 Hedgerow Data'!$B$2:$AG$15,3,FALSE))</f>
        <v/>
      </c>
      <c r="H107" s="101"/>
      <c r="I107" s="276" t="str">
        <f>IFERROR(IF(AND(D107&lt;&gt;"",H107=""),"Check data ⚠",IF(H107="","",IF(AND(D107="Non-native and ornamental hedgerow",H107&lt;&gt;"Poor"),"Not possible ▲",(VLOOKUP(H107,'G-1 All Habitats'!$Z$2:$AA$9,2,FALSE))))),"")</f>
        <v/>
      </c>
      <c r="J107" s="101"/>
      <c r="K107" s="283" t="str">
        <f>IF(AND(D107&lt;&gt;"",J107=""),"Check data ⚠",IF(J107="","",IF(VLOOKUP(J107,'G-3 Multipliers'!$L$3:$N$6,2,FALSE)=0,"Spatial Data Missing",VLOOKUP(J107,'G-3 Multipliers'!$L$3:$N$6,2,FALSE))))</f>
        <v/>
      </c>
      <c r="L107" s="281" t="str">
        <f>IF(J107="","",IF(VLOOKUP(J107,'G-3 Multipliers'!$L$3:$N$6,3,FALSE)=0,"Spatial Data Missing ⚠",VLOOKUP(J107,'G-3 Multipliers'!$L$3:$N$6,3,FALSE)))</f>
        <v/>
      </c>
      <c r="M107" s="282" t="str">
        <f>IF(D107="","",VLOOKUP(D107,'G-6 Hedgerow Data'!$B$1:$AH$15,33,FALSE))</f>
        <v/>
      </c>
      <c r="N107" s="289" t="str">
        <f t="shared" si="9"/>
        <v/>
      </c>
      <c r="O107" s="32"/>
      <c r="P107" s="105"/>
      <c r="Q107" s="138"/>
      <c r="R107" s="306" t="str">
        <f t="shared" si="10"/>
        <v/>
      </c>
      <c r="S107" s="306" t="str">
        <f t="shared" si="11"/>
        <v/>
      </c>
      <c r="T107" s="306" t="str">
        <f t="shared" si="12"/>
        <v/>
      </c>
      <c r="U107" s="327" t="str">
        <f t="shared" si="13"/>
        <v/>
      </c>
      <c r="V107" s="105"/>
      <c r="W107" s="104"/>
      <c r="X107" s="104"/>
      <c r="AE107" s="107" t="str">
        <f t="shared" si="7"/>
        <v/>
      </c>
      <c r="AF107" s="107" t="str">
        <f t="shared" si="8"/>
        <v/>
      </c>
      <c r="AH107" s="107">
        <v>98</v>
      </c>
      <c r="AJ107" s="107" t="str">
        <f t="array" ref="AJ107">IFERROR(INDEX($AH$10:$AH$258,MATCH(0,IF(TRUE=$AE$10:$AE$258,COUNTIF($AJ$9:$AJ106,$AH$10:$AH$258),""),0)),"")</f>
        <v/>
      </c>
      <c r="AK107" s="107" t="str">
        <f t="array" ref="AK107">IFERROR(INDEX($AH$10:$AH$258,MATCH(0,IF(TRUE=$AF$10:$AF$258,COUNTIF($AK$9:$AK106,$AH$10:$AH$258),""),0)),"")</f>
        <v/>
      </c>
      <c r="AL107" s="30" t="str">
        <f>IFERROR(INDEX('G-6 Hedgerow Data'!$BJ$3:$BJ$15,MATCH(D107,'G-6 Hedgerow Data'!$B$3:$B$15,0)),"")</f>
        <v/>
      </c>
    </row>
    <row r="108" spans="2:38" ht="14" hidden="1">
      <c r="B108" s="97">
        <v>99</v>
      </c>
      <c r="C108" s="138"/>
      <c r="D108" s="138"/>
      <c r="E108" s="104"/>
      <c r="F108" s="323" t="str">
        <f>IF(D108="","",VLOOKUP(D108,'G-6 Hedgerow Data'!$B$2:$AG$15,2,FALSE))</f>
        <v/>
      </c>
      <c r="G108" s="276" t="str">
        <f>IF(D108="","",VLOOKUP(D108,'G-6 Hedgerow Data'!$B$2:$AG$15,3,FALSE))</f>
        <v/>
      </c>
      <c r="H108" s="101"/>
      <c r="I108" s="276" t="str">
        <f>IFERROR(IF(AND(D108&lt;&gt;"",H108=""),"Check data ⚠",IF(H108="","",IF(AND(D108="Non-native and ornamental hedgerow",H108&lt;&gt;"Poor"),"Not possible ▲",(VLOOKUP(H108,'G-1 All Habitats'!$Z$2:$AA$9,2,FALSE))))),"")</f>
        <v/>
      </c>
      <c r="J108" s="101"/>
      <c r="K108" s="283" t="str">
        <f>IF(AND(D108&lt;&gt;"",J108=""),"Check data ⚠",IF(J108="","",IF(VLOOKUP(J108,'G-3 Multipliers'!$L$3:$N$6,2,FALSE)=0,"Spatial Data Missing",VLOOKUP(J108,'G-3 Multipliers'!$L$3:$N$6,2,FALSE))))</f>
        <v/>
      </c>
      <c r="L108" s="281" t="str">
        <f>IF(J108="","",IF(VLOOKUP(J108,'G-3 Multipliers'!$L$3:$N$6,3,FALSE)=0,"Spatial Data Missing ⚠",VLOOKUP(J108,'G-3 Multipliers'!$L$3:$N$6,3,FALSE)))</f>
        <v/>
      </c>
      <c r="M108" s="282" t="str">
        <f>IF(D108="","",VLOOKUP(D108,'G-6 Hedgerow Data'!$B$1:$AH$15,33,FALSE))</f>
        <v/>
      </c>
      <c r="N108" s="289" t="str">
        <f t="shared" si="9"/>
        <v/>
      </c>
      <c r="O108" s="32"/>
      <c r="P108" s="105"/>
      <c r="Q108" s="138"/>
      <c r="R108" s="306" t="str">
        <f t="shared" si="10"/>
        <v/>
      </c>
      <c r="S108" s="306" t="str">
        <f t="shared" si="11"/>
        <v/>
      </c>
      <c r="T108" s="306" t="str">
        <f t="shared" si="12"/>
        <v/>
      </c>
      <c r="U108" s="327" t="str">
        <f t="shared" si="13"/>
        <v/>
      </c>
      <c r="V108" s="105"/>
      <c r="W108" s="104"/>
      <c r="X108" s="104"/>
      <c r="AE108" s="107" t="str">
        <f t="shared" si="7"/>
        <v/>
      </c>
      <c r="AF108" s="107" t="str">
        <f t="shared" si="8"/>
        <v/>
      </c>
      <c r="AH108" s="107">
        <v>99</v>
      </c>
      <c r="AJ108" s="107" t="str">
        <f t="array" ref="AJ108">IFERROR(INDEX($AH$10:$AH$258,MATCH(0,IF(TRUE=$AE$10:$AE$258,COUNTIF($AJ$9:$AJ107,$AH$10:$AH$258),""),0)),"")</f>
        <v/>
      </c>
      <c r="AK108" s="107" t="str">
        <f t="array" ref="AK108">IFERROR(INDEX($AH$10:$AH$258,MATCH(0,IF(TRUE=$AF$10:$AF$258,COUNTIF($AK$9:$AK107,$AH$10:$AH$258),""),0)),"")</f>
        <v/>
      </c>
      <c r="AL108" s="30" t="str">
        <f>IFERROR(INDEX('G-6 Hedgerow Data'!$BJ$3:$BJ$15,MATCH(D108,'G-6 Hedgerow Data'!$B$3:$B$15,0)),"")</f>
        <v/>
      </c>
    </row>
    <row r="109" spans="2:38" ht="14" hidden="1">
      <c r="B109" s="97">
        <v>100</v>
      </c>
      <c r="C109" s="138"/>
      <c r="D109" s="138"/>
      <c r="E109" s="104"/>
      <c r="F109" s="323" t="str">
        <f>IF(D109="","",VLOOKUP(D109,'G-6 Hedgerow Data'!$B$2:$AG$15,2,FALSE))</f>
        <v/>
      </c>
      <c r="G109" s="276" t="str">
        <f>IF(D109="","",VLOOKUP(D109,'G-6 Hedgerow Data'!$B$2:$AG$15,3,FALSE))</f>
        <v/>
      </c>
      <c r="H109" s="101"/>
      <c r="I109" s="276" t="str">
        <f>IFERROR(IF(AND(D109&lt;&gt;"",H109=""),"Check data ⚠",IF(H109="","",IF(AND(D109="Non-native and ornamental hedgerow",H109&lt;&gt;"Poor"),"Not possible ▲",(VLOOKUP(H109,'G-1 All Habitats'!$Z$2:$AA$9,2,FALSE))))),"")</f>
        <v/>
      </c>
      <c r="J109" s="101"/>
      <c r="K109" s="283" t="str">
        <f>IF(AND(D109&lt;&gt;"",J109=""),"Check data ⚠",IF(J109="","",IF(VLOOKUP(J109,'G-3 Multipliers'!$L$3:$N$6,2,FALSE)=0,"Spatial Data Missing",VLOOKUP(J109,'G-3 Multipliers'!$L$3:$N$6,2,FALSE))))</f>
        <v/>
      </c>
      <c r="L109" s="281" t="str">
        <f>IF(J109="","",IF(VLOOKUP(J109,'G-3 Multipliers'!$L$3:$N$6,3,FALSE)=0,"Spatial Data Missing ⚠",VLOOKUP(J109,'G-3 Multipliers'!$L$3:$N$6,3,FALSE)))</f>
        <v/>
      </c>
      <c r="M109" s="282" t="str">
        <f>IF(D109="","",VLOOKUP(D109,'G-6 Hedgerow Data'!$B$1:$AH$15,33,FALSE))</f>
        <v/>
      </c>
      <c r="N109" s="289" t="str">
        <f t="shared" si="9"/>
        <v/>
      </c>
      <c r="O109" s="32"/>
      <c r="P109" s="105"/>
      <c r="Q109" s="138"/>
      <c r="R109" s="306" t="str">
        <f t="shared" si="10"/>
        <v/>
      </c>
      <c r="S109" s="306" t="str">
        <f t="shared" si="11"/>
        <v/>
      </c>
      <c r="T109" s="306" t="str">
        <f t="shared" si="12"/>
        <v/>
      </c>
      <c r="U109" s="327" t="str">
        <f t="shared" si="13"/>
        <v/>
      </c>
      <c r="V109" s="105"/>
      <c r="W109" s="104"/>
      <c r="X109" s="104"/>
      <c r="AE109" s="107" t="str">
        <f t="shared" si="7"/>
        <v/>
      </c>
      <c r="AF109" s="107" t="str">
        <f t="shared" si="8"/>
        <v/>
      </c>
      <c r="AH109" s="107">
        <v>100</v>
      </c>
      <c r="AJ109" s="107" t="str">
        <f t="array" ref="AJ109">IFERROR(INDEX($AH$10:$AH$258,MATCH(0,IF(TRUE=$AE$10:$AE$258,COUNTIF($AJ$9:$AJ108,$AH$10:$AH$258),""),0)),"")</f>
        <v/>
      </c>
      <c r="AK109" s="107" t="str">
        <f t="array" ref="AK109">IFERROR(INDEX($AH$10:$AH$258,MATCH(0,IF(TRUE=$AF$10:$AF$258,COUNTIF($AK$9:$AK108,$AH$10:$AH$258),""),0)),"")</f>
        <v/>
      </c>
      <c r="AL109" s="30" t="str">
        <f>IFERROR(INDEX('G-6 Hedgerow Data'!$BJ$3:$BJ$15,MATCH(D109,'G-6 Hedgerow Data'!$B$3:$B$15,0)),"")</f>
        <v/>
      </c>
    </row>
    <row r="110" spans="2:38" ht="14" hidden="1">
      <c r="B110" s="97">
        <v>101</v>
      </c>
      <c r="C110" s="138"/>
      <c r="D110" s="138"/>
      <c r="E110" s="104"/>
      <c r="F110" s="323" t="str">
        <f>IF(D110="","",VLOOKUP(D110,'G-6 Hedgerow Data'!$B$2:$AG$15,2,FALSE))</f>
        <v/>
      </c>
      <c r="G110" s="276" t="str">
        <f>IF(D110="","",VLOOKUP(D110,'G-6 Hedgerow Data'!$B$2:$AG$15,3,FALSE))</f>
        <v/>
      </c>
      <c r="H110" s="101"/>
      <c r="I110" s="276" t="str">
        <f>IFERROR(IF(AND(D110&lt;&gt;"",H110=""),"Check data ⚠",IF(H110="","",IF(AND(D110="Non-native and ornamental hedgerow",H110&lt;&gt;"Poor"),"Not possible ▲",(VLOOKUP(H110,'G-1 All Habitats'!$Z$2:$AA$9,2,FALSE))))),"")</f>
        <v/>
      </c>
      <c r="J110" s="101"/>
      <c r="K110" s="283" t="str">
        <f>IF(AND(D110&lt;&gt;"",J110=""),"Check data ⚠",IF(J110="","",IF(VLOOKUP(J110,'G-3 Multipliers'!$L$3:$N$6,2,FALSE)=0,"Spatial Data Missing",VLOOKUP(J110,'G-3 Multipliers'!$L$3:$N$6,2,FALSE))))</f>
        <v/>
      </c>
      <c r="L110" s="281" t="str">
        <f>IF(J110="","",IF(VLOOKUP(J110,'G-3 Multipliers'!$L$3:$N$6,3,FALSE)=0,"Spatial Data Missing ⚠",VLOOKUP(J110,'G-3 Multipliers'!$L$3:$N$6,3,FALSE)))</f>
        <v/>
      </c>
      <c r="M110" s="282" t="str">
        <f>IF(D110="","",VLOOKUP(D110,'G-6 Hedgerow Data'!$B$1:$AH$15,33,FALSE))</f>
        <v/>
      </c>
      <c r="N110" s="289" t="str">
        <f t="shared" si="9"/>
        <v/>
      </c>
      <c r="O110" s="32"/>
      <c r="P110" s="105"/>
      <c r="Q110" s="138"/>
      <c r="R110" s="306" t="str">
        <f t="shared" si="10"/>
        <v/>
      </c>
      <c r="S110" s="306" t="str">
        <f t="shared" si="11"/>
        <v/>
      </c>
      <c r="T110" s="306" t="str">
        <f t="shared" si="12"/>
        <v/>
      </c>
      <c r="U110" s="327" t="str">
        <f t="shared" si="13"/>
        <v/>
      </c>
      <c r="V110" s="105"/>
      <c r="W110" s="104"/>
      <c r="X110" s="104"/>
      <c r="AE110" s="107" t="str">
        <f t="shared" si="7"/>
        <v/>
      </c>
      <c r="AF110" s="107" t="str">
        <f t="shared" si="8"/>
        <v/>
      </c>
      <c r="AH110" s="107">
        <v>101</v>
      </c>
      <c r="AJ110" s="107" t="str">
        <f t="array" ref="AJ110">IFERROR(INDEX($AH$10:$AH$258,MATCH(0,IF(TRUE=$AE$10:$AE$258,COUNTIF($AJ$9:$AJ109,$AH$10:$AH$258),""),0)),"")</f>
        <v/>
      </c>
      <c r="AK110" s="107" t="str">
        <f t="array" ref="AK110">IFERROR(INDEX($AH$10:$AH$258,MATCH(0,IF(TRUE=$AF$10:$AF$258,COUNTIF($AK$9:$AK109,$AH$10:$AH$258),""),0)),"")</f>
        <v/>
      </c>
      <c r="AL110" s="30" t="str">
        <f>IFERROR(INDEX('G-6 Hedgerow Data'!$BJ$3:$BJ$15,MATCH(D110,'G-6 Hedgerow Data'!$B$3:$B$15,0)),"")</f>
        <v/>
      </c>
    </row>
    <row r="111" spans="2:38" ht="14" hidden="1">
      <c r="B111" s="97">
        <v>102</v>
      </c>
      <c r="C111" s="138"/>
      <c r="D111" s="138"/>
      <c r="E111" s="104"/>
      <c r="F111" s="323" t="str">
        <f>IF(D111="","",VLOOKUP(D111,'G-6 Hedgerow Data'!$B$2:$AG$15,2,FALSE))</f>
        <v/>
      </c>
      <c r="G111" s="276" t="str">
        <f>IF(D111="","",VLOOKUP(D111,'G-6 Hedgerow Data'!$B$2:$AG$15,3,FALSE))</f>
        <v/>
      </c>
      <c r="H111" s="101"/>
      <c r="I111" s="276" t="str">
        <f>IFERROR(IF(AND(D111&lt;&gt;"",H111=""),"Check data ⚠",IF(H111="","",IF(AND(D111="Non-native and ornamental hedgerow",H111&lt;&gt;"Poor"),"Not possible ▲",(VLOOKUP(H111,'G-1 All Habitats'!$Z$2:$AA$9,2,FALSE))))),"")</f>
        <v/>
      </c>
      <c r="J111" s="101"/>
      <c r="K111" s="283" t="str">
        <f>IF(AND(D111&lt;&gt;"",J111=""),"Check data ⚠",IF(J111="","",IF(VLOOKUP(J111,'G-3 Multipliers'!$L$3:$N$6,2,FALSE)=0,"Spatial Data Missing",VLOOKUP(J111,'G-3 Multipliers'!$L$3:$N$6,2,FALSE))))</f>
        <v/>
      </c>
      <c r="L111" s="281" t="str">
        <f>IF(J111="","",IF(VLOOKUP(J111,'G-3 Multipliers'!$L$3:$N$6,3,FALSE)=0,"Spatial Data Missing ⚠",VLOOKUP(J111,'G-3 Multipliers'!$L$3:$N$6,3,FALSE)))</f>
        <v/>
      </c>
      <c r="M111" s="282" t="str">
        <f>IF(D111="","",VLOOKUP(D111,'G-6 Hedgerow Data'!$B$1:$AH$15,33,FALSE))</f>
        <v/>
      </c>
      <c r="N111" s="289" t="str">
        <f t="shared" si="9"/>
        <v/>
      </c>
      <c r="O111" s="32"/>
      <c r="P111" s="105"/>
      <c r="Q111" s="138"/>
      <c r="R111" s="306" t="str">
        <f t="shared" si="10"/>
        <v/>
      </c>
      <c r="S111" s="306" t="str">
        <f t="shared" si="11"/>
        <v/>
      </c>
      <c r="T111" s="306" t="str">
        <f t="shared" si="12"/>
        <v/>
      </c>
      <c r="U111" s="327" t="str">
        <f t="shared" si="13"/>
        <v/>
      </c>
      <c r="V111" s="105"/>
      <c r="W111" s="104"/>
      <c r="X111" s="104"/>
      <c r="AE111" s="107" t="str">
        <f t="shared" si="7"/>
        <v/>
      </c>
      <c r="AF111" s="107" t="str">
        <f t="shared" si="8"/>
        <v/>
      </c>
      <c r="AH111" s="107">
        <v>102</v>
      </c>
      <c r="AJ111" s="107" t="str">
        <f t="array" ref="AJ111">IFERROR(INDEX($AH$10:$AH$258,MATCH(0,IF(TRUE=$AE$10:$AE$258,COUNTIF($AJ$9:$AJ110,$AH$10:$AH$258),""),0)),"")</f>
        <v/>
      </c>
      <c r="AK111" s="107" t="str">
        <f t="array" ref="AK111">IFERROR(INDEX($AH$10:$AH$258,MATCH(0,IF(TRUE=$AF$10:$AF$258,COUNTIF($AK$9:$AK110,$AH$10:$AH$258),""),0)),"")</f>
        <v/>
      </c>
      <c r="AL111" s="30" t="str">
        <f>IFERROR(INDEX('G-6 Hedgerow Data'!$BJ$3:$BJ$15,MATCH(D111,'G-6 Hedgerow Data'!$B$3:$B$15,0)),"")</f>
        <v/>
      </c>
    </row>
    <row r="112" spans="2:38" ht="14" hidden="1">
      <c r="B112" s="97">
        <v>103</v>
      </c>
      <c r="C112" s="138"/>
      <c r="D112" s="138"/>
      <c r="E112" s="104"/>
      <c r="F112" s="323" t="str">
        <f>IF(D112="","",VLOOKUP(D112,'G-6 Hedgerow Data'!$B$2:$AG$15,2,FALSE))</f>
        <v/>
      </c>
      <c r="G112" s="276" t="str">
        <f>IF(D112="","",VLOOKUP(D112,'G-6 Hedgerow Data'!$B$2:$AG$15,3,FALSE))</f>
        <v/>
      </c>
      <c r="H112" s="101"/>
      <c r="I112" s="276" t="str">
        <f>IFERROR(IF(AND(D112&lt;&gt;"",H112=""),"Check data ⚠",IF(H112="","",IF(AND(D112="Non-native and ornamental hedgerow",H112&lt;&gt;"Poor"),"Not possible ▲",(VLOOKUP(H112,'G-1 All Habitats'!$Z$2:$AA$9,2,FALSE))))),"")</f>
        <v/>
      </c>
      <c r="J112" s="101"/>
      <c r="K112" s="283" t="str">
        <f>IF(AND(D112&lt;&gt;"",J112=""),"Check data ⚠",IF(J112="","",IF(VLOOKUP(J112,'G-3 Multipliers'!$L$3:$N$6,2,FALSE)=0,"Spatial Data Missing",VLOOKUP(J112,'G-3 Multipliers'!$L$3:$N$6,2,FALSE))))</f>
        <v/>
      </c>
      <c r="L112" s="281" t="str">
        <f>IF(J112="","",IF(VLOOKUP(J112,'G-3 Multipliers'!$L$3:$N$6,3,FALSE)=0,"Spatial Data Missing ⚠",VLOOKUP(J112,'G-3 Multipliers'!$L$3:$N$6,3,FALSE)))</f>
        <v/>
      </c>
      <c r="M112" s="282" t="str">
        <f>IF(D112="","",VLOOKUP(D112,'G-6 Hedgerow Data'!$B$1:$AH$15,33,FALSE))</f>
        <v/>
      </c>
      <c r="N112" s="289" t="str">
        <f t="shared" si="9"/>
        <v/>
      </c>
      <c r="O112" s="32"/>
      <c r="P112" s="105"/>
      <c r="Q112" s="138"/>
      <c r="R112" s="306" t="str">
        <f t="shared" si="10"/>
        <v/>
      </c>
      <c r="S112" s="306" t="str">
        <f t="shared" si="11"/>
        <v/>
      </c>
      <c r="T112" s="306" t="str">
        <f t="shared" si="12"/>
        <v/>
      </c>
      <c r="U112" s="327" t="str">
        <f t="shared" si="13"/>
        <v/>
      </c>
      <c r="V112" s="105"/>
      <c r="W112" s="104"/>
      <c r="X112" s="104"/>
      <c r="AE112" s="107" t="str">
        <f t="shared" si="7"/>
        <v/>
      </c>
      <c r="AF112" s="107" t="str">
        <f t="shared" si="8"/>
        <v/>
      </c>
      <c r="AH112" s="107">
        <v>103</v>
      </c>
      <c r="AJ112" s="107" t="str">
        <f t="array" ref="AJ112">IFERROR(INDEX($AH$10:$AH$258,MATCH(0,IF(TRUE=$AE$10:$AE$258,COUNTIF($AJ$9:$AJ111,$AH$10:$AH$258),""),0)),"")</f>
        <v/>
      </c>
      <c r="AK112" s="107" t="str">
        <f t="array" ref="AK112">IFERROR(INDEX($AH$10:$AH$258,MATCH(0,IF(TRUE=$AF$10:$AF$258,COUNTIF($AK$9:$AK111,$AH$10:$AH$258),""),0)),"")</f>
        <v/>
      </c>
      <c r="AL112" s="30" t="str">
        <f>IFERROR(INDEX('G-6 Hedgerow Data'!$BJ$3:$BJ$15,MATCH(D112,'G-6 Hedgerow Data'!$B$3:$B$15,0)),"")</f>
        <v/>
      </c>
    </row>
    <row r="113" spans="2:38" ht="14" hidden="1">
      <c r="B113" s="97">
        <v>104</v>
      </c>
      <c r="C113" s="138"/>
      <c r="D113" s="138"/>
      <c r="E113" s="104"/>
      <c r="F113" s="323" t="str">
        <f>IF(D113="","",VLOOKUP(D113,'G-6 Hedgerow Data'!$B$2:$AG$15,2,FALSE))</f>
        <v/>
      </c>
      <c r="G113" s="276" t="str">
        <f>IF(D113="","",VLOOKUP(D113,'G-6 Hedgerow Data'!$B$2:$AG$15,3,FALSE))</f>
        <v/>
      </c>
      <c r="H113" s="101"/>
      <c r="I113" s="276" t="str">
        <f>IFERROR(IF(AND(D113&lt;&gt;"",H113=""),"Check data ⚠",IF(H113="","",IF(AND(D113="Non-native and ornamental hedgerow",H113&lt;&gt;"Poor"),"Not possible ▲",(VLOOKUP(H113,'G-1 All Habitats'!$Z$2:$AA$9,2,FALSE))))),"")</f>
        <v/>
      </c>
      <c r="J113" s="101"/>
      <c r="K113" s="283" t="str">
        <f>IF(AND(D113&lt;&gt;"",J113=""),"Check data ⚠",IF(J113="","",IF(VLOOKUP(J113,'G-3 Multipliers'!$L$3:$N$6,2,FALSE)=0,"Spatial Data Missing",VLOOKUP(J113,'G-3 Multipliers'!$L$3:$N$6,2,FALSE))))</f>
        <v/>
      </c>
      <c r="L113" s="281" t="str">
        <f>IF(J113="","",IF(VLOOKUP(J113,'G-3 Multipliers'!$L$3:$N$6,3,FALSE)=0,"Spatial Data Missing ⚠",VLOOKUP(J113,'G-3 Multipliers'!$L$3:$N$6,3,FALSE)))</f>
        <v/>
      </c>
      <c r="M113" s="282" t="str">
        <f>IF(D113="","",VLOOKUP(D113,'G-6 Hedgerow Data'!$B$1:$AH$15,33,FALSE))</f>
        <v/>
      </c>
      <c r="N113" s="289" t="str">
        <f t="shared" si="9"/>
        <v/>
      </c>
      <c r="O113" s="32"/>
      <c r="P113" s="105"/>
      <c r="Q113" s="138"/>
      <c r="R113" s="306" t="str">
        <f t="shared" si="10"/>
        <v/>
      </c>
      <c r="S113" s="306" t="str">
        <f t="shared" si="11"/>
        <v/>
      </c>
      <c r="T113" s="306" t="str">
        <f t="shared" si="12"/>
        <v/>
      </c>
      <c r="U113" s="327" t="str">
        <f t="shared" si="13"/>
        <v/>
      </c>
      <c r="V113" s="105"/>
      <c r="W113" s="104"/>
      <c r="X113" s="104"/>
      <c r="AE113" s="107" t="str">
        <f t="shared" si="7"/>
        <v/>
      </c>
      <c r="AF113" s="107" t="str">
        <f t="shared" si="8"/>
        <v/>
      </c>
      <c r="AH113" s="107">
        <v>104</v>
      </c>
      <c r="AJ113" s="107" t="str">
        <f t="array" ref="AJ113">IFERROR(INDEX($AH$10:$AH$258,MATCH(0,IF(TRUE=$AE$10:$AE$258,COUNTIF($AJ$9:$AJ112,$AH$10:$AH$258),""),0)),"")</f>
        <v/>
      </c>
      <c r="AK113" s="107" t="str">
        <f t="array" ref="AK113">IFERROR(INDEX($AH$10:$AH$258,MATCH(0,IF(TRUE=$AF$10:$AF$258,COUNTIF($AK$9:$AK112,$AH$10:$AH$258),""),0)),"")</f>
        <v/>
      </c>
      <c r="AL113" s="30" t="str">
        <f>IFERROR(INDEX('G-6 Hedgerow Data'!$BJ$3:$BJ$15,MATCH(D113,'G-6 Hedgerow Data'!$B$3:$B$15,0)),"")</f>
        <v/>
      </c>
    </row>
    <row r="114" spans="2:38" ht="14" hidden="1">
      <c r="B114" s="97">
        <v>105</v>
      </c>
      <c r="C114" s="138"/>
      <c r="D114" s="138"/>
      <c r="E114" s="104"/>
      <c r="F114" s="323" t="str">
        <f>IF(D114="","",VLOOKUP(D114,'G-6 Hedgerow Data'!$B$2:$AG$15,2,FALSE))</f>
        <v/>
      </c>
      <c r="G114" s="276" t="str">
        <f>IF(D114="","",VLOOKUP(D114,'G-6 Hedgerow Data'!$B$2:$AG$15,3,FALSE))</f>
        <v/>
      </c>
      <c r="H114" s="101"/>
      <c r="I114" s="276" t="str">
        <f>IFERROR(IF(AND(D114&lt;&gt;"",H114=""),"Check data ⚠",IF(H114="","",IF(AND(D114="Non-native and ornamental hedgerow",H114&lt;&gt;"Poor"),"Not possible ▲",(VLOOKUP(H114,'G-1 All Habitats'!$Z$2:$AA$9,2,FALSE))))),"")</f>
        <v/>
      </c>
      <c r="J114" s="101"/>
      <c r="K114" s="283" t="str">
        <f>IF(AND(D114&lt;&gt;"",J114=""),"Check data ⚠",IF(J114="","",IF(VLOOKUP(J114,'G-3 Multipliers'!$L$3:$N$6,2,FALSE)=0,"Spatial Data Missing",VLOOKUP(J114,'G-3 Multipliers'!$L$3:$N$6,2,FALSE))))</f>
        <v/>
      </c>
      <c r="L114" s="281" t="str">
        <f>IF(J114="","",IF(VLOOKUP(J114,'G-3 Multipliers'!$L$3:$N$6,3,FALSE)=0,"Spatial Data Missing ⚠",VLOOKUP(J114,'G-3 Multipliers'!$L$3:$N$6,3,FALSE)))</f>
        <v/>
      </c>
      <c r="M114" s="282" t="str">
        <f>IF(D114="","",VLOOKUP(D114,'G-6 Hedgerow Data'!$B$1:$AH$15,33,FALSE))</f>
        <v/>
      </c>
      <c r="N114" s="289" t="str">
        <f t="shared" si="9"/>
        <v/>
      </c>
      <c r="O114" s="32"/>
      <c r="P114" s="105"/>
      <c r="Q114" s="138"/>
      <c r="R114" s="306" t="str">
        <f t="shared" si="10"/>
        <v/>
      </c>
      <c r="S114" s="306" t="str">
        <f t="shared" si="11"/>
        <v/>
      </c>
      <c r="T114" s="306" t="str">
        <f t="shared" si="12"/>
        <v/>
      </c>
      <c r="U114" s="327" t="str">
        <f t="shared" si="13"/>
        <v/>
      </c>
      <c r="V114" s="105"/>
      <c r="W114" s="104"/>
      <c r="X114" s="104"/>
      <c r="AE114" s="107" t="str">
        <f t="shared" si="7"/>
        <v/>
      </c>
      <c r="AF114" s="107" t="str">
        <f t="shared" si="8"/>
        <v/>
      </c>
      <c r="AH114" s="107">
        <v>105</v>
      </c>
      <c r="AJ114" s="107" t="str">
        <f t="array" ref="AJ114">IFERROR(INDEX($AH$10:$AH$258,MATCH(0,IF(TRUE=$AE$10:$AE$258,COUNTIF($AJ$9:$AJ113,$AH$10:$AH$258),""),0)),"")</f>
        <v/>
      </c>
      <c r="AK114" s="107" t="str">
        <f t="array" ref="AK114">IFERROR(INDEX($AH$10:$AH$258,MATCH(0,IF(TRUE=$AF$10:$AF$258,COUNTIF($AK$9:$AK113,$AH$10:$AH$258),""),0)),"")</f>
        <v/>
      </c>
      <c r="AL114" s="30" t="str">
        <f>IFERROR(INDEX('G-6 Hedgerow Data'!$BJ$3:$BJ$15,MATCH(D114,'G-6 Hedgerow Data'!$B$3:$B$15,0)),"")</f>
        <v/>
      </c>
    </row>
    <row r="115" spans="2:38" ht="14" hidden="1">
      <c r="B115" s="97">
        <v>106</v>
      </c>
      <c r="C115" s="138"/>
      <c r="D115" s="138"/>
      <c r="E115" s="104"/>
      <c r="F115" s="323" t="str">
        <f>IF(D115="","",VLOOKUP(D115,'G-6 Hedgerow Data'!$B$2:$AG$15,2,FALSE))</f>
        <v/>
      </c>
      <c r="G115" s="276" t="str">
        <f>IF(D115="","",VLOOKUP(D115,'G-6 Hedgerow Data'!$B$2:$AG$15,3,FALSE))</f>
        <v/>
      </c>
      <c r="H115" s="101"/>
      <c r="I115" s="276" t="str">
        <f>IFERROR(IF(AND(D115&lt;&gt;"",H115=""),"Check data ⚠",IF(H115="","",IF(AND(D115="Non-native and ornamental hedgerow",H115&lt;&gt;"Poor"),"Not possible ▲",(VLOOKUP(H115,'G-1 All Habitats'!$Z$2:$AA$9,2,FALSE))))),"")</f>
        <v/>
      </c>
      <c r="J115" s="101"/>
      <c r="K115" s="283" t="str">
        <f>IF(AND(D115&lt;&gt;"",J115=""),"Check data ⚠",IF(J115="","",IF(VLOOKUP(J115,'G-3 Multipliers'!$L$3:$N$6,2,FALSE)=0,"Spatial Data Missing",VLOOKUP(J115,'G-3 Multipliers'!$L$3:$N$6,2,FALSE))))</f>
        <v/>
      </c>
      <c r="L115" s="281" t="str">
        <f>IF(J115="","",IF(VLOOKUP(J115,'G-3 Multipliers'!$L$3:$N$6,3,FALSE)=0,"Spatial Data Missing ⚠",VLOOKUP(J115,'G-3 Multipliers'!$L$3:$N$6,3,FALSE)))</f>
        <v/>
      </c>
      <c r="M115" s="282" t="str">
        <f>IF(D115="","",VLOOKUP(D115,'G-6 Hedgerow Data'!$B$1:$AH$15,33,FALSE))</f>
        <v/>
      </c>
      <c r="N115" s="289" t="str">
        <f t="shared" si="9"/>
        <v/>
      </c>
      <c r="O115" s="32"/>
      <c r="P115" s="105"/>
      <c r="Q115" s="138"/>
      <c r="R115" s="306" t="str">
        <f t="shared" si="10"/>
        <v/>
      </c>
      <c r="S115" s="306" t="str">
        <f t="shared" si="11"/>
        <v/>
      </c>
      <c r="T115" s="306" t="str">
        <f t="shared" si="12"/>
        <v/>
      </c>
      <c r="U115" s="327" t="str">
        <f t="shared" si="13"/>
        <v/>
      </c>
      <c r="V115" s="105"/>
      <c r="W115" s="104"/>
      <c r="X115" s="104"/>
      <c r="AE115" s="107" t="str">
        <f t="shared" si="7"/>
        <v/>
      </c>
      <c r="AF115" s="107" t="str">
        <f t="shared" si="8"/>
        <v/>
      </c>
      <c r="AH115" s="107">
        <v>106</v>
      </c>
      <c r="AJ115" s="107" t="str">
        <f t="array" ref="AJ115">IFERROR(INDEX($AH$10:$AH$258,MATCH(0,IF(TRUE=$AE$10:$AE$258,COUNTIF($AJ$9:$AJ114,$AH$10:$AH$258),""),0)),"")</f>
        <v/>
      </c>
      <c r="AK115" s="107" t="str">
        <f t="array" ref="AK115">IFERROR(INDEX($AH$10:$AH$258,MATCH(0,IF(TRUE=$AF$10:$AF$258,COUNTIF($AK$9:$AK114,$AH$10:$AH$258),""),0)),"")</f>
        <v/>
      </c>
      <c r="AL115" s="30" t="str">
        <f>IFERROR(INDEX('G-6 Hedgerow Data'!$BJ$3:$BJ$15,MATCH(D115,'G-6 Hedgerow Data'!$B$3:$B$15,0)),"")</f>
        <v/>
      </c>
    </row>
    <row r="116" spans="2:38" ht="14" hidden="1">
      <c r="B116" s="97">
        <v>107</v>
      </c>
      <c r="C116" s="138"/>
      <c r="D116" s="138"/>
      <c r="E116" s="104"/>
      <c r="F116" s="323" t="str">
        <f>IF(D116="","",VLOOKUP(D116,'G-6 Hedgerow Data'!$B$2:$AG$15,2,FALSE))</f>
        <v/>
      </c>
      <c r="G116" s="276" t="str">
        <f>IF(D116="","",VLOOKUP(D116,'G-6 Hedgerow Data'!$B$2:$AG$15,3,FALSE))</f>
        <v/>
      </c>
      <c r="H116" s="101"/>
      <c r="I116" s="276" t="str">
        <f>IFERROR(IF(AND(D116&lt;&gt;"",H116=""),"Check data ⚠",IF(H116="","",IF(AND(D116="Non-native and ornamental hedgerow",H116&lt;&gt;"Poor"),"Not possible ▲",(VLOOKUP(H116,'G-1 All Habitats'!$Z$2:$AA$9,2,FALSE))))),"")</f>
        <v/>
      </c>
      <c r="J116" s="101"/>
      <c r="K116" s="283" t="str">
        <f>IF(AND(D116&lt;&gt;"",J116=""),"Check data ⚠",IF(J116="","",IF(VLOOKUP(J116,'G-3 Multipliers'!$L$3:$N$6,2,FALSE)=0,"Spatial Data Missing",VLOOKUP(J116,'G-3 Multipliers'!$L$3:$N$6,2,FALSE))))</f>
        <v/>
      </c>
      <c r="L116" s="281" t="str">
        <f>IF(J116="","",IF(VLOOKUP(J116,'G-3 Multipliers'!$L$3:$N$6,3,FALSE)=0,"Spatial Data Missing ⚠",VLOOKUP(J116,'G-3 Multipliers'!$L$3:$N$6,3,FALSE)))</f>
        <v/>
      </c>
      <c r="M116" s="282" t="str">
        <f>IF(D116="","",VLOOKUP(D116,'G-6 Hedgerow Data'!$B$1:$AH$15,33,FALSE))</f>
        <v/>
      </c>
      <c r="N116" s="289" t="str">
        <f t="shared" si="9"/>
        <v/>
      </c>
      <c r="O116" s="32"/>
      <c r="P116" s="105"/>
      <c r="Q116" s="138"/>
      <c r="R116" s="306" t="str">
        <f t="shared" si="10"/>
        <v/>
      </c>
      <c r="S116" s="306" t="str">
        <f t="shared" si="11"/>
        <v/>
      </c>
      <c r="T116" s="306" t="str">
        <f t="shared" si="12"/>
        <v/>
      </c>
      <c r="U116" s="327" t="str">
        <f t="shared" si="13"/>
        <v/>
      </c>
      <c r="V116" s="105"/>
      <c r="W116" s="104"/>
      <c r="X116" s="104"/>
      <c r="AE116" s="107" t="str">
        <f t="shared" si="7"/>
        <v/>
      </c>
      <c r="AF116" s="107" t="str">
        <f t="shared" si="8"/>
        <v/>
      </c>
      <c r="AH116" s="107">
        <v>107</v>
      </c>
      <c r="AJ116" s="107" t="str">
        <f t="array" ref="AJ116">IFERROR(INDEX($AH$10:$AH$258,MATCH(0,IF(TRUE=$AE$10:$AE$258,COUNTIF($AJ$9:$AJ115,$AH$10:$AH$258),""),0)),"")</f>
        <v/>
      </c>
      <c r="AK116" s="107" t="str">
        <f t="array" ref="AK116">IFERROR(INDEX($AH$10:$AH$258,MATCH(0,IF(TRUE=$AF$10:$AF$258,COUNTIF($AK$9:$AK115,$AH$10:$AH$258),""),0)),"")</f>
        <v/>
      </c>
      <c r="AL116" s="30" t="str">
        <f>IFERROR(INDEX('G-6 Hedgerow Data'!$BJ$3:$BJ$15,MATCH(D116,'G-6 Hedgerow Data'!$B$3:$B$15,0)),"")</f>
        <v/>
      </c>
    </row>
    <row r="117" spans="2:38" ht="14" hidden="1">
      <c r="B117" s="97">
        <v>108</v>
      </c>
      <c r="C117" s="138"/>
      <c r="D117" s="138"/>
      <c r="E117" s="104"/>
      <c r="F117" s="323" t="str">
        <f>IF(D117="","",VLOOKUP(D117,'G-6 Hedgerow Data'!$B$2:$AG$15,2,FALSE))</f>
        <v/>
      </c>
      <c r="G117" s="276" t="str">
        <f>IF(D117="","",VLOOKUP(D117,'G-6 Hedgerow Data'!$B$2:$AG$15,3,FALSE))</f>
        <v/>
      </c>
      <c r="H117" s="101"/>
      <c r="I117" s="276" t="str">
        <f>IFERROR(IF(AND(D117&lt;&gt;"",H117=""),"Check data ⚠",IF(H117="","",IF(AND(D117="Non-native and ornamental hedgerow",H117&lt;&gt;"Poor"),"Not possible ▲",(VLOOKUP(H117,'G-1 All Habitats'!$Z$2:$AA$9,2,FALSE))))),"")</f>
        <v/>
      </c>
      <c r="J117" s="101"/>
      <c r="K117" s="283" t="str">
        <f>IF(AND(D117&lt;&gt;"",J117=""),"Check data ⚠",IF(J117="","",IF(VLOOKUP(J117,'G-3 Multipliers'!$L$3:$N$6,2,FALSE)=0,"Spatial Data Missing",VLOOKUP(J117,'G-3 Multipliers'!$L$3:$N$6,2,FALSE))))</f>
        <v/>
      </c>
      <c r="L117" s="281" t="str">
        <f>IF(J117="","",IF(VLOOKUP(J117,'G-3 Multipliers'!$L$3:$N$6,3,FALSE)=0,"Spatial Data Missing ⚠",VLOOKUP(J117,'G-3 Multipliers'!$L$3:$N$6,3,FALSE)))</f>
        <v/>
      </c>
      <c r="M117" s="282" t="str">
        <f>IF(D117="","",VLOOKUP(D117,'G-6 Hedgerow Data'!$B$1:$AH$15,33,FALSE))</f>
        <v/>
      </c>
      <c r="N117" s="289" t="str">
        <f t="shared" si="9"/>
        <v/>
      </c>
      <c r="O117" s="32"/>
      <c r="P117" s="105"/>
      <c r="Q117" s="138"/>
      <c r="R117" s="306" t="str">
        <f t="shared" si="10"/>
        <v/>
      </c>
      <c r="S117" s="306" t="str">
        <f t="shared" si="11"/>
        <v/>
      </c>
      <c r="T117" s="306" t="str">
        <f t="shared" si="12"/>
        <v/>
      </c>
      <c r="U117" s="327" t="str">
        <f t="shared" si="13"/>
        <v/>
      </c>
      <c r="V117" s="105"/>
      <c r="W117" s="104"/>
      <c r="X117" s="104"/>
      <c r="AE117" s="107" t="str">
        <f t="shared" si="7"/>
        <v/>
      </c>
      <c r="AF117" s="107" t="str">
        <f t="shared" si="8"/>
        <v/>
      </c>
      <c r="AH117" s="107">
        <v>108</v>
      </c>
      <c r="AJ117" s="107" t="str">
        <f t="array" ref="AJ117">IFERROR(INDEX($AH$10:$AH$258,MATCH(0,IF(TRUE=$AE$10:$AE$258,COUNTIF($AJ$9:$AJ116,$AH$10:$AH$258),""),0)),"")</f>
        <v/>
      </c>
      <c r="AK117" s="107" t="str">
        <f t="array" ref="AK117">IFERROR(INDEX($AH$10:$AH$258,MATCH(0,IF(TRUE=$AF$10:$AF$258,COUNTIF($AK$9:$AK116,$AH$10:$AH$258),""),0)),"")</f>
        <v/>
      </c>
      <c r="AL117" s="30" t="str">
        <f>IFERROR(INDEX('G-6 Hedgerow Data'!$BJ$3:$BJ$15,MATCH(D117,'G-6 Hedgerow Data'!$B$3:$B$15,0)),"")</f>
        <v/>
      </c>
    </row>
    <row r="118" spans="2:38" ht="14" hidden="1">
      <c r="B118" s="97">
        <v>109</v>
      </c>
      <c r="C118" s="138"/>
      <c r="D118" s="138"/>
      <c r="E118" s="104"/>
      <c r="F118" s="323" t="str">
        <f>IF(D118="","",VLOOKUP(D118,'G-6 Hedgerow Data'!$B$2:$AG$15,2,FALSE))</f>
        <v/>
      </c>
      <c r="G118" s="276" t="str">
        <f>IF(D118="","",VLOOKUP(D118,'G-6 Hedgerow Data'!$B$2:$AG$15,3,FALSE))</f>
        <v/>
      </c>
      <c r="H118" s="101"/>
      <c r="I118" s="276" t="str">
        <f>IFERROR(IF(AND(D118&lt;&gt;"",H118=""),"Check data ⚠",IF(H118="","",IF(AND(D118="Non-native and ornamental hedgerow",H118&lt;&gt;"Poor"),"Not possible ▲",(VLOOKUP(H118,'G-1 All Habitats'!$Z$2:$AA$9,2,FALSE))))),"")</f>
        <v/>
      </c>
      <c r="J118" s="101"/>
      <c r="K118" s="283" t="str">
        <f>IF(AND(D118&lt;&gt;"",J118=""),"Check data ⚠",IF(J118="","",IF(VLOOKUP(J118,'G-3 Multipliers'!$L$3:$N$6,2,FALSE)=0,"Spatial Data Missing",VLOOKUP(J118,'G-3 Multipliers'!$L$3:$N$6,2,FALSE))))</f>
        <v/>
      </c>
      <c r="L118" s="281" t="str">
        <f>IF(J118="","",IF(VLOOKUP(J118,'G-3 Multipliers'!$L$3:$N$6,3,FALSE)=0,"Spatial Data Missing ⚠",VLOOKUP(J118,'G-3 Multipliers'!$L$3:$N$6,3,FALSE)))</f>
        <v/>
      </c>
      <c r="M118" s="282" t="str">
        <f>IF(D118="","",VLOOKUP(D118,'G-6 Hedgerow Data'!$B$1:$AH$15,33,FALSE))</f>
        <v/>
      </c>
      <c r="N118" s="289" t="str">
        <f t="shared" si="9"/>
        <v/>
      </c>
      <c r="O118" s="32"/>
      <c r="P118" s="105"/>
      <c r="Q118" s="138"/>
      <c r="R118" s="306" t="str">
        <f t="shared" si="10"/>
        <v/>
      </c>
      <c r="S118" s="306" t="str">
        <f t="shared" si="11"/>
        <v/>
      </c>
      <c r="T118" s="306" t="str">
        <f t="shared" si="12"/>
        <v/>
      </c>
      <c r="U118" s="327" t="str">
        <f t="shared" si="13"/>
        <v/>
      </c>
      <c r="V118" s="105"/>
      <c r="W118" s="104"/>
      <c r="X118" s="104"/>
      <c r="AE118" s="107" t="str">
        <f t="shared" si="7"/>
        <v/>
      </c>
      <c r="AF118" s="107" t="str">
        <f t="shared" si="8"/>
        <v/>
      </c>
      <c r="AH118" s="107">
        <v>109</v>
      </c>
      <c r="AJ118" s="107" t="str">
        <f t="array" ref="AJ118">IFERROR(INDEX($AH$10:$AH$258,MATCH(0,IF(TRUE=$AE$10:$AE$258,COUNTIF($AJ$9:$AJ117,$AH$10:$AH$258),""),0)),"")</f>
        <v/>
      </c>
      <c r="AK118" s="107" t="str">
        <f t="array" ref="AK118">IFERROR(INDEX($AH$10:$AH$258,MATCH(0,IF(TRUE=$AF$10:$AF$258,COUNTIF($AK$9:$AK117,$AH$10:$AH$258),""),0)),"")</f>
        <v/>
      </c>
      <c r="AL118" s="30" t="str">
        <f>IFERROR(INDEX('G-6 Hedgerow Data'!$BJ$3:$BJ$15,MATCH(D118,'G-6 Hedgerow Data'!$B$3:$B$15,0)),"")</f>
        <v/>
      </c>
    </row>
    <row r="119" spans="2:38" ht="14" hidden="1">
      <c r="B119" s="97">
        <v>110</v>
      </c>
      <c r="C119" s="138"/>
      <c r="D119" s="138"/>
      <c r="E119" s="104"/>
      <c r="F119" s="323" t="str">
        <f>IF(D119="","",VLOOKUP(D119,'G-6 Hedgerow Data'!$B$2:$AG$15,2,FALSE))</f>
        <v/>
      </c>
      <c r="G119" s="276" t="str">
        <f>IF(D119="","",VLOOKUP(D119,'G-6 Hedgerow Data'!$B$2:$AG$15,3,FALSE))</f>
        <v/>
      </c>
      <c r="H119" s="101"/>
      <c r="I119" s="276" t="str">
        <f>IFERROR(IF(AND(D119&lt;&gt;"",H119=""),"Check data ⚠",IF(H119="","",IF(AND(D119="Non-native and ornamental hedgerow",H119&lt;&gt;"Poor"),"Not possible ▲",(VLOOKUP(H119,'G-1 All Habitats'!$Z$2:$AA$9,2,FALSE))))),"")</f>
        <v/>
      </c>
      <c r="J119" s="101"/>
      <c r="K119" s="283" t="str">
        <f>IF(AND(D119&lt;&gt;"",J119=""),"Check data ⚠",IF(J119="","",IF(VLOOKUP(J119,'G-3 Multipliers'!$L$3:$N$6,2,FALSE)=0,"Spatial Data Missing",VLOOKUP(J119,'G-3 Multipliers'!$L$3:$N$6,2,FALSE))))</f>
        <v/>
      </c>
      <c r="L119" s="281" t="str">
        <f>IF(J119="","",IF(VLOOKUP(J119,'G-3 Multipliers'!$L$3:$N$6,3,FALSE)=0,"Spatial Data Missing ⚠",VLOOKUP(J119,'G-3 Multipliers'!$L$3:$N$6,3,FALSE)))</f>
        <v/>
      </c>
      <c r="M119" s="282" t="str">
        <f>IF(D119="","",VLOOKUP(D119,'G-6 Hedgerow Data'!$B$1:$AH$15,33,FALSE))</f>
        <v/>
      </c>
      <c r="N119" s="289" t="str">
        <f t="shared" si="9"/>
        <v/>
      </c>
      <c r="O119" s="32"/>
      <c r="P119" s="105"/>
      <c r="Q119" s="138"/>
      <c r="R119" s="306" t="str">
        <f t="shared" si="10"/>
        <v/>
      </c>
      <c r="S119" s="306" t="str">
        <f t="shared" si="11"/>
        <v/>
      </c>
      <c r="T119" s="306" t="str">
        <f t="shared" si="12"/>
        <v/>
      </c>
      <c r="U119" s="327" t="str">
        <f t="shared" si="13"/>
        <v/>
      </c>
      <c r="V119" s="105"/>
      <c r="W119" s="104"/>
      <c r="X119" s="104"/>
      <c r="AE119" s="107" t="str">
        <f t="shared" si="7"/>
        <v/>
      </c>
      <c r="AF119" s="107" t="str">
        <f t="shared" si="8"/>
        <v/>
      </c>
      <c r="AH119" s="107">
        <v>110</v>
      </c>
      <c r="AJ119" s="107" t="str">
        <f t="array" ref="AJ119">IFERROR(INDEX($AH$10:$AH$258,MATCH(0,IF(TRUE=$AE$10:$AE$258,COUNTIF($AJ$9:$AJ118,$AH$10:$AH$258),""),0)),"")</f>
        <v/>
      </c>
      <c r="AK119" s="107" t="str">
        <f t="array" ref="AK119">IFERROR(INDEX($AH$10:$AH$258,MATCH(0,IF(TRUE=$AF$10:$AF$258,COUNTIF($AK$9:$AK118,$AH$10:$AH$258),""),0)),"")</f>
        <v/>
      </c>
      <c r="AL119" s="30" t="str">
        <f>IFERROR(INDEX('G-6 Hedgerow Data'!$BJ$3:$BJ$15,MATCH(D119,'G-6 Hedgerow Data'!$B$3:$B$15,0)),"")</f>
        <v/>
      </c>
    </row>
    <row r="120" spans="2:38" ht="14" hidden="1">
      <c r="B120" s="97">
        <v>111</v>
      </c>
      <c r="C120" s="138"/>
      <c r="D120" s="138"/>
      <c r="E120" s="104"/>
      <c r="F120" s="323" t="str">
        <f>IF(D120="","",VLOOKUP(D120,'G-6 Hedgerow Data'!$B$2:$AG$15,2,FALSE))</f>
        <v/>
      </c>
      <c r="G120" s="276" t="str">
        <f>IF(D120="","",VLOOKUP(D120,'G-6 Hedgerow Data'!$B$2:$AG$15,3,FALSE))</f>
        <v/>
      </c>
      <c r="H120" s="101"/>
      <c r="I120" s="276" t="str">
        <f>IFERROR(IF(AND(D120&lt;&gt;"",H120=""),"Check data ⚠",IF(H120="","",IF(AND(D120="Non-native and ornamental hedgerow",H120&lt;&gt;"Poor"),"Not possible ▲",(VLOOKUP(H120,'G-1 All Habitats'!$Z$2:$AA$9,2,FALSE))))),"")</f>
        <v/>
      </c>
      <c r="J120" s="101"/>
      <c r="K120" s="283" t="str">
        <f>IF(AND(D120&lt;&gt;"",J120=""),"Check data ⚠",IF(J120="","",IF(VLOOKUP(J120,'G-3 Multipliers'!$L$3:$N$6,2,FALSE)=0,"Spatial Data Missing",VLOOKUP(J120,'G-3 Multipliers'!$L$3:$N$6,2,FALSE))))</f>
        <v/>
      </c>
      <c r="L120" s="281" t="str">
        <f>IF(J120="","",IF(VLOOKUP(J120,'G-3 Multipliers'!$L$3:$N$6,3,FALSE)=0,"Spatial Data Missing ⚠",VLOOKUP(J120,'G-3 Multipliers'!$L$3:$N$6,3,FALSE)))</f>
        <v/>
      </c>
      <c r="M120" s="282" t="str">
        <f>IF(D120="","",VLOOKUP(D120,'G-6 Hedgerow Data'!$B$1:$AH$15,33,FALSE))</f>
        <v/>
      </c>
      <c r="N120" s="289" t="str">
        <f t="shared" si="9"/>
        <v/>
      </c>
      <c r="O120" s="32"/>
      <c r="P120" s="105"/>
      <c r="Q120" s="138"/>
      <c r="R120" s="306" t="str">
        <f t="shared" si="10"/>
        <v/>
      </c>
      <c r="S120" s="306" t="str">
        <f t="shared" si="11"/>
        <v/>
      </c>
      <c r="T120" s="306" t="str">
        <f t="shared" si="12"/>
        <v/>
      </c>
      <c r="U120" s="327" t="str">
        <f t="shared" si="13"/>
        <v/>
      </c>
      <c r="V120" s="105"/>
      <c r="W120" s="104"/>
      <c r="X120" s="104"/>
      <c r="AE120" s="107" t="str">
        <f t="shared" si="7"/>
        <v/>
      </c>
      <c r="AF120" s="107" t="str">
        <f t="shared" si="8"/>
        <v/>
      </c>
      <c r="AH120" s="107">
        <v>111</v>
      </c>
      <c r="AJ120" s="107" t="str">
        <f t="array" ref="AJ120">IFERROR(INDEX($AH$10:$AH$258,MATCH(0,IF(TRUE=$AE$10:$AE$258,COUNTIF($AJ$9:$AJ119,$AH$10:$AH$258),""),0)),"")</f>
        <v/>
      </c>
      <c r="AK120" s="107" t="str">
        <f t="array" ref="AK120">IFERROR(INDEX($AH$10:$AH$258,MATCH(0,IF(TRUE=$AF$10:$AF$258,COUNTIF($AK$9:$AK119,$AH$10:$AH$258),""),0)),"")</f>
        <v/>
      </c>
      <c r="AL120" s="30" t="str">
        <f>IFERROR(INDEX('G-6 Hedgerow Data'!$BJ$3:$BJ$15,MATCH(D120,'G-6 Hedgerow Data'!$B$3:$B$15,0)),"")</f>
        <v/>
      </c>
    </row>
    <row r="121" spans="2:38" ht="14" hidden="1">
      <c r="B121" s="97">
        <v>112</v>
      </c>
      <c r="C121" s="138"/>
      <c r="D121" s="138"/>
      <c r="E121" s="104"/>
      <c r="F121" s="323" t="str">
        <f>IF(D121="","",VLOOKUP(D121,'G-6 Hedgerow Data'!$B$2:$AG$15,2,FALSE))</f>
        <v/>
      </c>
      <c r="G121" s="276" t="str">
        <f>IF(D121="","",VLOOKUP(D121,'G-6 Hedgerow Data'!$B$2:$AG$15,3,FALSE))</f>
        <v/>
      </c>
      <c r="H121" s="101"/>
      <c r="I121" s="276" t="str">
        <f>IFERROR(IF(AND(D121&lt;&gt;"",H121=""),"Check data ⚠",IF(H121="","",IF(AND(D121="Non-native and ornamental hedgerow",H121&lt;&gt;"Poor"),"Not possible ▲",(VLOOKUP(H121,'G-1 All Habitats'!$Z$2:$AA$9,2,FALSE))))),"")</f>
        <v/>
      </c>
      <c r="J121" s="101"/>
      <c r="K121" s="283" t="str">
        <f>IF(AND(D121&lt;&gt;"",J121=""),"Check data ⚠",IF(J121="","",IF(VLOOKUP(J121,'G-3 Multipliers'!$L$3:$N$6,2,FALSE)=0,"Spatial Data Missing",VLOOKUP(J121,'G-3 Multipliers'!$L$3:$N$6,2,FALSE))))</f>
        <v/>
      </c>
      <c r="L121" s="281" t="str">
        <f>IF(J121="","",IF(VLOOKUP(J121,'G-3 Multipliers'!$L$3:$N$6,3,FALSE)=0,"Spatial Data Missing ⚠",VLOOKUP(J121,'G-3 Multipliers'!$L$3:$N$6,3,FALSE)))</f>
        <v/>
      </c>
      <c r="M121" s="282" t="str">
        <f>IF(D121="","",VLOOKUP(D121,'G-6 Hedgerow Data'!$B$1:$AH$15,33,FALSE))</f>
        <v/>
      </c>
      <c r="N121" s="289" t="str">
        <f t="shared" si="9"/>
        <v/>
      </c>
      <c r="O121" s="32"/>
      <c r="P121" s="105"/>
      <c r="Q121" s="138"/>
      <c r="R121" s="306" t="str">
        <f t="shared" si="10"/>
        <v/>
      </c>
      <c r="S121" s="306" t="str">
        <f t="shared" si="11"/>
        <v/>
      </c>
      <c r="T121" s="306" t="str">
        <f t="shared" si="12"/>
        <v/>
      </c>
      <c r="U121" s="327" t="str">
        <f t="shared" si="13"/>
        <v/>
      </c>
      <c r="V121" s="105"/>
      <c r="W121" s="104"/>
      <c r="X121" s="104"/>
      <c r="AE121" s="107" t="str">
        <f t="shared" si="7"/>
        <v/>
      </c>
      <c r="AF121" s="107" t="str">
        <f t="shared" si="8"/>
        <v/>
      </c>
      <c r="AH121" s="107">
        <v>112</v>
      </c>
      <c r="AJ121" s="107" t="str">
        <f t="array" ref="AJ121">IFERROR(INDEX($AH$10:$AH$258,MATCH(0,IF(TRUE=$AE$10:$AE$258,COUNTIF($AJ$9:$AJ120,$AH$10:$AH$258),""),0)),"")</f>
        <v/>
      </c>
      <c r="AK121" s="107" t="str">
        <f t="array" ref="AK121">IFERROR(INDEX($AH$10:$AH$258,MATCH(0,IF(TRUE=$AF$10:$AF$258,COUNTIF($AK$9:$AK120,$AH$10:$AH$258),""),0)),"")</f>
        <v/>
      </c>
      <c r="AL121" s="30" t="str">
        <f>IFERROR(INDEX('G-6 Hedgerow Data'!$BJ$3:$BJ$15,MATCH(D121,'G-6 Hedgerow Data'!$B$3:$B$15,0)),"")</f>
        <v/>
      </c>
    </row>
    <row r="122" spans="2:38" ht="14" hidden="1">
      <c r="B122" s="97">
        <v>113</v>
      </c>
      <c r="C122" s="138"/>
      <c r="D122" s="138"/>
      <c r="E122" s="104"/>
      <c r="F122" s="323" t="str">
        <f>IF(D122="","",VLOOKUP(D122,'G-6 Hedgerow Data'!$B$2:$AG$15,2,FALSE))</f>
        <v/>
      </c>
      <c r="G122" s="276" t="str">
        <f>IF(D122="","",VLOOKUP(D122,'G-6 Hedgerow Data'!$B$2:$AG$15,3,FALSE))</f>
        <v/>
      </c>
      <c r="H122" s="101"/>
      <c r="I122" s="276" t="str">
        <f>IFERROR(IF(AND(D122&lt;&gt;"",H122=""),"Check data ⚠",IF(H122="","",IF(AND(D122="Non-native and ornamental hedgerow",H122&lt;&gt;"Poor"),"Not possible ▲",(VLOOKUP(H122,'G-1 All Habitats'!$Z$2:$AA$9,2,FALSE))))),"")</f>
        <v/>
      </c>
      <c r="J122" s="101"/>
      <c r="K122" s="283" t="str">
        <f>IF(AND(D122&lt;&gt;"",J122=""),"Check data ⚠",IF(J122="","",IF(VLOOKUP(J122,'G-3 Multipliers'!$L$3:$N$6,2,FALSE)=0,"Spatial Data Missing",VLOOKUP(J122,'G-3 Multipliers'!$L$3:$N$6,2,FALSE))))</f>
        <v/>
      </c>
      <c r="L122" s="281" t="str">
        <f>IF(J122="","",IF(VLOOKUP(J122,'G-3 Multipliers'!$L$3:$N$6,3,FALSE)=0,"Spatial Data Missing ⚠",VLOOKUP(J122,'G-3 Multipliers'!$L$3:$N$6,3,FALSE)))</f>
        <v/>
      </c>
      <c r="M122" s="282" t="str">
        <f>IF(D122="","",VLOOKUP(D122,'G-6 Hedgerow Data'!$B$1:$AH$15,33,FALSE))</f>
        <v/>
      </c>
      <c r="N122" s="289" t="str">
        <f t="shared" si="9"/>
        <v/>
      </c>
      <c r="O122" s="32"/>
      <c r="P122" s="105"/>
      <c r="Q122" s="138"/>
      <c r="R122" s="306" t="str">
        <f t="shared" si="10"/>
        <v/>
      </c>
      <c r="S122" s="306" t="str">
        <f t="shared" si="11"/>
        <v/>
      </c>
      <c r="T122" s="306" t="str">
        <f t="shared" si="12"/>
        <v/>
      </c>
      <c r="U122" s="327" t="str">
        <f t="shared" si="13"/>
        <v/>
      </c>
      <c r="V122" s="105"/>
      <c r="W122" s="104"/>
      <c r="X122" s="104"/>
      <c r="AE122" s="107" t="str">
        <f t="shared" si="7"/>
        <v/>
      </c>
      <c r="AF122" s="107" t="str">
        <f t="shared" si="8"/>
        <v/>
      </c>
      <c r="AH122" s="107">
        <v>113</v>
      </c>
      <c r="AJ122" s="107" t="str">
        <f t="array" ref="AJ122">IFERROR(INDEX($AH$10:$AH$258,MATCH(0,IF(TRUE=$AE$10:$AE$258,COUNTIF($AJ$9:$AJ121,$AH$10:$AH$258),""),0)),"")</f>
        <v/>
      </c>
      <c r="AK122" s="107" t="str">
        <f t="array" ref="AK122">IFERROR(INDEX($AH$10:$AH$258,MATCH(0,IF(TRUE=$AF$10:$AF$258,COUNTIF($AK$9:$AK121,$AH$10:$AH$258),""),0)),"")</f>
        <v/>
      </c>
      <c r="AL122" s="30" t="str">
        <f>IFERROR(INDEX('G-6 Hedgerow Data'!$BJ$3:$BJ$15,MATCH(D122,'G-6 Hedgerow Data'!$B$3:$B$15,0)),"")</f>
        <v/>
      </c>
    </row>
    <row r="123" spans="2:38" ht="14" hidden="1">
      <c r="B123" s="97">
        <v>114</v>
      </c>
      <c r="C123" s="138"/>
      <c r="D123" s="138"/>
      <c r="E123" s="104"/>
      <c r="F123" s="323" t="str">
        <f>IF(D123="","",VLOOKUP(D123,'G-6 Hedgerow Data'!$B$2:$AG$15,2,FALSE))</f>
        <v/>
      </c>
      <c r="G123" s="276" t="str">
        <f>IF(D123="","",VLOOKUP(D123,'G-6 Hedgerow Data'!$B$2:$AG$15,3,FALSE))</f>
        <v/>
      </c>
      <c r="H123" s="101"/>
      <c r="I123" s="276" t="str">
        <f>IFERROR(IF(AND(D123&lt;&gt;"",H123=""),"Check data ⚠",IF(H123="","",IF(AND(D123="Non-native and ornamental hedgerow",H123&lt;&gt;"Poor"),"Not possible ▲",(VLOOKUP(H123,'G-1 All Habitats'!$Z$2:$AA$9,2,FALSE))))),"")</f>
        <v/>
      </c>
      <c r="J123" s="101"/>
      <c r="K123" s="283" t="str">
        <f>IF(AND(D123&lt;&gt;"",J123=""),"Check data ⚠",IF(J123="","",IF(VLOOKUP(J123,'G-3 Multipliers'!$L$3:$N$6,2,FALSE)=0,"Spatial Data Missing",VLOOKUP(J123,'G-3 Multipliers'!$L$3:$N$6,2,FALSE))))</f>
        <v/>
      </c>
      <c r="L123" s="281" t="str">
        <f>IF(J123="","",IF(VLOOKUP(J123,'G-3 Multipliers'!$L$3:$N$6,3,FALSE)=0,"Spatial Data Missing ⚠",VLOOKUP(J123,'G-3 Multipliers'!$L$3:$N$6,3,FALSE)))</f>
        <v/>
      </c>
      <c r="M123" s="282" t="str">
        <f>IF(D123="","",VLOOKUP(D123,'G-6 Hedgerow Data'!$B$1:$AH$15,33,FALSE))</f>
        <v/>
      </c>
      <c r="N123" s="289" t="str">
        <f t="shared" si="9"/>
        <v/>
      </c>
      <c r="O123" s="32"/>
      <c r="P123" s="105"/>
      <c r="Q123" s="138"/>
      <c r="R123" s="306" t="str">
        <f t="shared" si="10"/>
        <v/>
      </c>
      <c r="S123" s="306" t="str">
        <f t="shared" si="11"/>
        <v/>
      </c>
      <c r="T123" s="306" t="str">
        <f t="shared" si="12"/>
        <v/>
      </c>
      <c r="U123" s="327" t="str">
        <f t="shared" si="13"/>
        <v/>
      </c>
      <c r="V123" s="105"/>
      <c r="W123" s="104"/>
      <c r="X123" s="104"/>
      <c r="AE123" s="107" t="str">
        <f t="shared" si="7"/>
        <v/>
      </c>
      <c r="AF123" s="107" t="str">
        <f t="shared" si="8"/>
        <v/>
      </c>
      <c r="AH123" s="107">
        <v>114</v>
      </c>
      <c r="AJ123" s="107" t="str">
        <f t="array" ref="AJ123">IFERROR(INDEX($AH$10:$AH$258,MATCH(0,IF(TRUE=$AE$10:$AE$258,COUNTIF($AJ$9:$AJ122,$AH$10:$AH$258),""),0)),"")</f>
        <v/>
      </c>
      <c r="AK123" s="107" t="str">
        <f t="array" ref="AK123">IFERROR(INDEX($AH$10:$AH$258,MATCH(0,IF(TRUE=$AF$10:$AF$258,COUNTIF($AK$9:$AK122,$AH$10:$AH$258),""),0)),"")</f>
        <v/>
      </c>
      <c r="AL123" s="30" t="str">
        <f>IFERROR(INDEX('G-6 Hedgerow Data'!$BJ$3:$BJ$15,MATCH(D123,'G-6 Hedgerow Data'!$B$3:$B$15,0)),"")</f>
        <v/>
      </c>
    </row>
    <row r="124" spans="2:38" ht="14" hidden="1">
      <c r="B124" s="97">
        <v>115</v>
      </c>
      <c r="C124" s="138"/>
      <c r="D124" s="138"/>
      <c r="E124" s="104"/>
      <c r="F124" s="323" t="str">
        <f>IF(D124="","",VLOOKUP(D124,'G-6 Hedgerow Data'!$B$2:$AG$15,2,FALSE))</f>
        <v/>
      </c>
      <c r="G124" s="276" t="str">
        <f>IF(D124="","",VLOOKUP(D124,'G-6 Hedgerow Data'!$B$2:$AG$15,3,FALSE))</f>
        <v/>
      </c>
      <c r="H124" s="101"/>
      <c r="I124" s="276" t="str">
        <f>IFERROR(IF(AND(D124&lt;&gt;"",H124=""),"Check data ⚠",IF(H124="","",IF(AND(D124="Non-native and ornamental hedgerow",H124&lt;&gt;"Poor"),"Not possible ▲",(VLOOKUP(H124,'G-1 All Habitats'!$Z$2:$AA$9,2,FALSE))))),"")</f>
        <v/>
      </c>
      <c r="J124" s="101"/>
      <c r="K124" s="283" t="str">
        <f>IF(AND(D124&lt;&gt;"",J124=""),"Check data ⚠",IF(J124="","",IF(VLOOKUP(J124,'G-3 Multipliers'!$L$3:$N$6,2,FALSE)=0,"Spatial Data Missing",VLOOKUP(J124,'G-3 Multipliers'!$L$3:$N$6,2,FALSE))))</f>
        <v/>
      </c>
      <c r="L124" s="281" t="str">
        <f>IF(J124="","",IF(VLOOKUP(J124,'G-3 Multipliers'!$L$3:$N$6,3,FALSE)=0,"Spatial Data Missing ⚠",VLOOKUP(J124,'G-3 Multipliers'!$L$3:$N$6,3,FALSE)))</f>
        <v/>
      </c>
      <c r="M124" s="282" t="str">
        <f>IF(D124="","",VLOOKUP(D124,'G-6 Hedgerow Data'!$B$1:$AH$15,33,FALSE))</f>
        <v/>
      </c>
      <c r="N124" s="289" t="str">
        <f t="shared" si="9"/>
        <v/>
      </c>
      <c r="O124" s="32"/>
      <c r="P124" s="105"/>
      <c r="Q124" s="138"/>
      <c r="R124" s="306" t="str">
        <f t="shared" si="10"/>
        <v/>
      </c>
      <c r="S124" s="306" t="str">
        <f t="shared" si="11"/>
        <v/>
      </c>
      <c r="T124" s="306" t="str">
        <f t="shared" si="12"/>
        <v/>
      </c>
      <c r="U124" s="327" t="str">
        <f t="shared" si="13"/>
        <v/>
      </c>
      <c r="V124" s="105"/>
      <c r="W124" s="104"/>
      <c r="X124" s="104"/>
      <c r="AE124" s="107" t="str">
        <f t="shared" si="7"/>
        <v/>
      </c>
      <c r="AF124" s="107" t="str">
        <f t="shared" si="8"/>
        <v/>
      </c>
      <c r="AH124" s="107">
        <v>115</v>
      </c>
      <c r="AJ124" s="107" t="str">
        <f t="array" ref="AJ124">IFERROR(INDEX($AH$10:$AH$258,MATCH(0,IF(TRUE=$AE$10:$AE$258,COUNTIF($AJ$9:$AJ123,$AH$10:$AH$258),""),0)),"")</f>
        <v/>
      </c>
      <c r="AK124" s="107" t="str">
        <f t="array" ref="AK124">IFERROR(INDEX($AH$10:$AH$258,MATCH(0,IF(TRUE=$AF$10:$AF$258,COUNTIF($AK$9:$AK123,$AH$10:$AH$258),""),0)),"")</f>
        <v/>
      </c>
      <c r="AL124" s="30" t="str">
        <f>IFERROR(INDEX('G-6 Hedgerow Data'!$BJ$3:$BJ$15,MATCH(D124,'G-6 Hedgerow Data'!$B$3:$B$15,0)),"")</f>
        <v/>
      </c>
    </row>
    <row r="125" spans="2:38" ht="14" hidden="1">
      <c r="B125" s="97">
        <v>116</v>
      </c>
      <c r="C125" s="138"/>
      <c r="D125" s="138"/>
      <c r="E125" s="104"/>
      <c r="F125" s="323" t="str">
        <f>IF(D125="","",VLOOKUP(D125,'G-6 Hedgerow Data'!$B$2:$AG$15,2,FALSE))</f>
        <v/>
      </c>
      <c r="G125" s="276" t="str">
        <f>IF(D125="","",VLOOKUP(D125,'G-6 Hedgerow Data'!$B$2:$AG$15,3,FALSE))</f>
        <v/>
      </c>
      <c r="H125" s="101"/>
      <c r="I125" s="276" t="str">
        <f>IFERROR(IF(AND(D125&lt;&gt;"",H125=""),"Check data ⚠",IF(H125="","",IF(AND(D125="Non-native and ornamental hedgerow",H125&lt;&gt;"Poor"),"Not possible ▲",(VLOOKUP(H125,'G-1 All Habitats'!$Z$2:$AA$9,2,FALSE))))),"")</f>
        <v/>
      </c>
      <c r="J125" s="101"/>
      <c r="K125" s="283" t="str">
        <f>IF(AND(D125&lt;&gt;"",J125=""),"Check data ⚠",IF(J125="","",IF(VLOOKUP(J125,'G-3 Multipliers'!$L$3:$N$6,2,FALSE)=0,"Spatial Data Missing",VLOOKUP(J125,'G-3 Multipliers'!$L$3:$N$6,2,FALSE))))</f>
        <v/>
      </c>
      <c r="L125" s="281" t="str">
        <f>IF(J125="","",IF(VLOOKUP(J125,'G-3 Multipliers'!$L$3:$N$6,3,FALSE)=0,"Spatial Data Missing ⚠",VLOOKUP(J125,'G-3 Multipliers'!$L$3:$N$6,3,FALSE)))</f>
        <v/>
      </c>
      <c r="M125" s="282" t="str">
        <f>IF(D125="","",VLOOKUP(D125,'G-6 Hedgerow Data'!$B$1:$AH$15,33,FALSE))</f>
        <v/>
      </c>
      <c r="N125" s="289" t="str">
        <f t="shared" si="9"/>
        <v/>
      </c>
      <c r="O125" s="32"/>
      <c r="P125" s="105"/>
      <c r="Q125" s="138"/>
      <c r="R125" s="306" t="str">
        <f t="shared" si="10"/>
        <v/>
      </c>
      <c r="S125" s="306" t="str">
        <f t="shared" si="11"/>
        <v/>
      </c>
      <c r="T125" s="306" t="str">
        <f t="shared" si="12"/>
        <v/>
      </c>
      <c r="U125" s="327" t="str">
        <f t="shared" si="13"/>
        <v/>
      </c>
      <c r="V125" s="105"/>
      <c r="W125" s="104"/>
      <c r="X125" s="104"/>
      <c r="AE125" s="107" t="str">
        <f t="shared" si="7"/>
        <v/>
      </c>
      <c r="AF125" s="107" t="str">
        <f t="shared" si="8"/>
        <v/>
      </c>
      <c r="AH125" s="107">
        <v>116</v>
      </c>
      <c r="AJ125" s="107" t="str">
        <f t="array" ref="AJ125">IFERROR(INDEX($AH$10:$AH$258,MATCH(0,IF(TRUE=$AE$10:$AE$258,COUNTIF($AJ$9:$AJ124,$AH$10:$AH$258),""),0)),"")</f>
        <v/>
      </c>
      <c r="AK125" s="107" t="str">
        <f t="array" ref="AK125">IFERROR(INDEX($AH$10:$AH$258,MATCH(0,IF(TRUE=$AF$10:$AF$258,COUNTIF($AK$9:$AK124,$AH$10:$AH$258),""),0)),"")</f>
        <v/>
      </c>
      <c r="AL125" s="30" t="str">
        <f>IFERROR(INDEX('G-6 Hedgerow Data'!$BJ$3:$BJ$15,MATCH(D125,'G-6 Hedgerow Data'!$B$3:$B$15,0)),"")</f>
        <v/>
      </c>
    </row>
    <row r="126" spans="2:38" ht="14" hidden="1">
      <c r="B126" s="97">
        <v>117</v>
      </c>
      <c r="C126" s="138"/>
      <c r="D126" s="138"/>
      <c r="E126" s="104"/>
      <c r="F126" s="323" t="str">
        <f>IF(D126="","",VLOOKUP(D126,'G-6 Hedgerow Data'!$B$2:$AG$15,2,FALSE))</f>
        <v/>
      </c>
      <c r="G126" s="276" t="str">
        <f>IF(D126="","",VLOOKUP(D126,'G-6 Hedgerow Data'!$B$2:$AG$15,3,FALSE))</f>
        <v/>
      </c>
      <c r="H126" s="101"/>
      <c r="I126" s="276" t="str">
        <f>IFERROR(IF(AND(D126&lt;&gt;"",H126=""),"Check data ⚠",IF(H126="","",IF(AND(D126="Non-native and ornamental hedgerow",H126&lt;&gt;"Poor"),"Not possible ▲",(VLOOKUP(H126,'G-1 All Habitats'!$Z$2:$AA$9,2,FALSE))))),"")</f>
        <v/>
      </c>
      <c r="J126" s="101"/>
      <c r="K126" s="283" t="str">
        <f>IF(AND(D126&lt;&gt;"",J126=""),"Check data ⚠",IF(J126="","",IF(VLOOKUP(J126,'G-3 Multipliers'!$L$3:$N$6,2,FALSE)=0,"Spatial Data Missing",VLOOKUP(J126,'G-3 Multipliers'!$L$3:$N$6,2,FALSE))))</f>
        <v/>
      </c>
      <c r="L126" s="281" t="str">
        <f>IF(J126="","",IF(VLOOKUP(J126,'G-3 Multipliers'!$L$3:$N$6,3,FALSE)=0,"Spatial Data Missing ⚠",VLOOKUP(J126,'G-3 Multipliers'!$L$3:$N$6,3,FALSE)))</f>
        <v/>
      </c>
      <c r="M126" s="282" t="str">
        <f>IF(D126="","",VLOOKUP(D126,'G-6 Hedgerow Data'!$B$1:$AH$15,33,FALSE))</f>
        <v/>
      </c>
      <c r="N126" s="289" t="str">
        <f t="shared" si="9"/>
        <v/>
      </c>
      <c r="O126" s="32"/>
      <c r="P126" s="105"/>
      <c r="Q126" s="138"/>
      <c r="R126" s="306" t="str">
        <f t="shared" si="10"/>
        <v/>
      </c>
      <c r="S126" s="306" t="str">
        <f t="shared" si="11"/>
        <v/>
      </c>
      <c r="T126" s="306" t="str">
        <f t="shared" si="12"/>
        <v/>
      </c>
      <c r="U126" s="327" t="str">
        <f t="shared" si="13"/>
        <v/>
      </c>
      <c r="V126" s="105"/>
      <c r="W126" s="104"/>
      <c r="X126" s="104"/>
      <c r="AE126" s="107" t="str">
        <f t="shared" si="7"/>
        <v/>
      </c>
      <c r="AF126" s="107" t="str">
        <f t="shared" si="8"/>
        <v/>
      </c>
      <c r="AH126" s="107">
        <v>117</v>
      </c>
      <c r="AJ126" s="107" t="str">
        <f t="array" ref="AJ126">IFERROR(INDEX($AH$10:$AH$258,MATCH(0,IF(TRUE=$AE$10:$AE$258,COUNTIF($AJ$9:$AJ125,$AH$10:$AH$258),""),0)),"")</f>
        <v/>
      </c>
      <c r="AK126" s="107" t="str">
        <f t="array" ref="AK126">IFERROR(INDEX($AH$10:$AH$258,MATCH(0,IF(TRUE=$AF$10:$AF$258,COUNTIF($AK$9:$AK125,$AH$10:$AH$258),""),0)),"")</f>
        <v/>
      </c>
      <c r="AL126" s="30" t="str">
        <f>IFERROR(INDEX('G-6 Hedgerow Data'!$BJ$3:$BJ$15,MATCH(D126,'G-6 Hedgerow Data'!$B$3:$B$15,0)),"")</f>
        <v/>
      </c>
    </row>
    <row r="127" spans="2:38" ht="14" hidden="1">
      <c r="B127" s="97">
        <v>118</v>
      </c>
      <c r="C127" s="138"/>
      <c r="D127" s="138"/>
      <c r="E127" s="104"/>
      <c r="F127" s="323" t="str">
        <f>IF(D127="","",VLOOKUP(D127,'G-6 Hedgerow Data'!$B$2:$AG$15,2,FALSE))</f>
        <v/>
      </c>
      <c r="G127" s="276" t="str">
        <f>IF(D127="","",VLOOKUP(D127,'G-6 Hedgerow Data'!$B$2:$AG$15,3,FALSE))</f>
        <v/>
      </c>
      <c r="H127" s="101"/>
      <c r="I127" s="276" t="str">
        <f>IFERROR(IF(AND(D127&lt;&gt;"",H127=""),"Check data ⚠",IF(H127="","",IF(AND(D127="Non-native and ornamental hedgerow",H127&lt;&gt;"Poor"),"Not possible ▲",(VLOOKUP(H127,'G-1 All Habitats'!$Z$2:$AA$9,2,FALSE))))),"")</f>
        <v/>
      </c>
      <c r="J127" s="101"/>
      <c r="K127" s="283" t="str">
        <f>IF(AND(D127&lt;&gt;"",J127=""),"Check data ⚠",IF(J127="","",IF(VLOOKUP(J127,'G-3 Multipliers'!$L$3:$N$6,2,FALSE)=0,"Spatial Data Missing",VLOOKUP(J127,'G-3 Multipliers'!$L$3:$N$6,2,FALSE))))</f>
        <v/>
      </c>
      <c r="L127" s="281" t="str">
        <f>IF(J127="","",IF(VLOOKUP(J127,'G-3 Multipliers'!$L$3:$N$6,3,FALSE)=0,"Spatial Data Missing ⚠",VLOOKUP(J127,'G-3 Multipliers'!$L$3:$N$6,3,FALSE)))</f>
        <v/>
      </c>
      <c r="M127" s="282" t="str">
        <f>IF(D127="","",VLOOKUP(D127,'G-6 Hedgerow Data'!$B$1:$AH$15,33,FALSE))</f>
        <v/>
      </c>
      <c r="N127" s="289" t="str">
        <f t="shared" si="9"/>
        <v/>
      </c>
      <c r="O127" s="32"/>
      <c r="P127" s="105"/>
      <c r="Q127" s="138"/>
      <c r="R127" s="306" t="str">
        <f t="shared" si="10"/>
        <v/>
      </c>
      <c r="S127" s="306" t="str">
        <f t="shared" si="11"/>
        <v/>
      </c>
      <c r="T127" s="306" t="str">
        <f t="shared" si="12"/>
        <v/>
      </c>
      <c r="U127" s="327" t="str">
        <f t="shared" si="13"/>
        <v/>
      </c>
      <c r="V127" s="105"/>
      <c r="W127" s="104"/>
      <c r="X127" s="104"/>
      <c r="AE127" s="107" t="str">
        <f t="shared" si="7"/>
        <v/>
      </c>
      <c r="AF127" s="107" t="str">
        <f t="shared" si="8"/>
        <v/>
      </c>
      <c r="AH127" s="107">
        <v>118</v>
      </c>
      <c r="AJ127" s="107" t="str">
        <f t="array" ref="AJ127">IFERROR(INDEX($AH$10:$AH$258,MATCH(0,IF(TRUE=$AE$10:$AE$258,COUNTIF($AJ$9:$AJ126,$AH$10:$AH$258),""),0)),"")</f>
        <v/>
      </c>
      <c r="AK127" s="107" t="str">
        <f t="array" ref="AK127">IFERROR(INDEX($AH$10:$AH$258,MATCH(0,IF(TRUE=$AF$10:$AF$258,COUNTIF($AK$9:$AK126,$AH$10:$AH$258),""),0)),"")</f>
        <v/>
      </c>
      <c r="AL127" s="30" t="str">
        <f>IFERROR(INDEX('G-6 Hedgerow Data'!$BJ$3:$BJ$15,MATCH(D127,'G-6 Hedgerow Data'!$B$3:$B$15,0)),"")</f>
        <v/>
      </c>
    </row>
    <row r="128" spans="2:38" ht="14" hidden="1">
      <c r="B128" s="97">
        <v>119</v>
      </c>
      <c r="C128" s="138"/>
      <c r="D128" s="138"/>
      <c r="E128" s="104"/>
      <c r="F128" s="323" t="str">
        <f>IF(D128="","",VLOOKUP(D128,'G-6 Hedgerow Data'!$B$2:$AG$15,2,FALSE))</f>
        <v/>
      </c>
      <c r="G128" s="276" t="str">
        <f>IF(D128="","",VLOOKUP(D128,'G-6 Hedgerow Data'!$B$2:$AG$15,3,FALSE))</f>
        <v/>
      </c>
      <c r="H128" s="101"/>
      <c r="I128" s="276" t="str">
        <f>IFERROR(IF(AND(D128&lt;&gt;"",H128=""),"Check data ⚠",IF(H128="","",IF(AND(D128="Non-native and ornamental hedgerow",H128&lt;&gt;"Poor"),"Not possible ▲",(VLOOKUP(H128,'G-1 All Habitats'!$Z$2:$AA$9,2,FALSE))))),"")</f>
        <v/>
      </c>
      <c r="J128" s="101"/>
      <c r="K128" s="283" t="str">
        <f>IF(AND(D128&lt;&gt;"",J128=""),"Check data ⚠",IF(J128="","",IF(VLOOKUP(J128,'G-3 Multipliers'!$L$3:$N$6,2,FALSE)=0,"Spatial Data Missing",VLOOKUP(J128,'G-3 Multipliers'!$L$3:$N$6,2,FALSE))))</f>
        <v/>
      </c>
      <c r="L128" s="281" t="str">
        <f>IF(J128="","",IF(VLOOKUP(J128,'G-3 Multipliers'!$L$3:$N$6,3,FALSE)=0,"Spatial Data Missing ⚠",VLOOKUP(J128,'G-3 Multipliers'!$L$3:$N$6,3,FALSE)))</f>
        <v/>
      </c>
      <c r="M128" s="282" t="str">
        <f>IF(D128="","",VLOOKUP(D128,'G-6 Hedgerow Data'!$B$1:$AH$15,33,FALSE))</f>
        <v/>
      </c>
      <c r="N128" s="289" t="str">
        <f t="shared" si="9"/>
        <v/>
      </c>
      <c r="O128" s="32"/>
      <c r="P128" s="105"/>
      <c r="Q128" s="138"/>
      <c r="R128" s="306" t="str">
        <f t="shared" si="10"/>
        <v/>
      </c>
      <c r="S128" s="306" t="str">
        <f t="shared" si="11"/>
        <v/>
      </c>
      <c r="T128" s="306" t="str">
        <f t="shared" si="12"/>
        <v/>
      </c>
      <c r="U128" s="327" t="str">
        <f t="shared" si="13"/>
        <v/>
      </c>
      <c r="V128" s="105"/>
      <c r="W128" s="104"/>
      <c r="X128" s="104"/>
      <c r="AE128" s="107" t="str">
        <f t="shared" si="7"/>
        <v/>
      </c>
      <c r="AF128" s="107" t="str">
        <f t="shared" si="8"/>
        <v/>
      </c>
      <c r="AH128" s="107">
        <v>119</v>
      </c>
      <c r="AJ128" s="107" t="str">
        <f t="array" ref="AJ128">IFERROR(INDEX($AH$10:$AH$258,MATCH(0,IF(TRUE=$AE$10:$AE$258,COUNTIF($AJ$9:$AJ127,$AH$10:$AH$258),""),0)),"")</f>
        <v/>
      </c>
      <c r="AK128" s="107" t="str">
        <f t="array" ref="AK128">IFERROR(INDEX($AH$10:$AH$258,MATCH(0,IF(TRUE=$AF$10:$AF$258,COUNTIF($AK$9:$AK127,$AH$10:$AH$258),""),0)),"")</f>
        <v/>
      </c>
      <c r="AL128" s="30" t="str">
        <f>IFERROR(INDEX('G-6 Hedgerow Data'!$BJ$3:$BJ$15,MATCH(D128,'G-6 Hedgerow Data'!$B$3:$B$15,0)),"")</f>
        <v/>
      </c>
    </row>
    <row r="129" spans="2:38" ht="14" hidden="1">
      <c r="B129" s="97">
        <v>120</v>
      </c>
      <c r="C129" s="138"/>
      <c r="D129" s="138"/>
      <c r="E129" s="104"/>
      <c r="F129" s="323" t="str">
        <f>IF(D129="","",VLOOKUP(D129,'G-6 Hedgerow Data'!$B$2:$AG$15,2,FALSE))</f>
        <v/>
      </c>
      <c r="G129" s="276" t="str">
        <f>IF(D129="","",VLOOKUP(D129,'G-6 Hedgerow Data'!$B$2:$AG$15,3,FALSE))</f>
        <v/>
      </c>
      <c r="H129" s="101"/>
      <c r="I129" s="276" t="str">
        <f>IFERROR(IF(AND(D129&lt;&gt;"",H129=""),"Check data ⚠",IF(H129="","",IF(AND(D129="Non-native and ornamental hedgerow",H129&lt;&gt;"Poor"),"Not possible ▲",(VLOOKUP(H129,'G-1 All Habitats'!$Z$2:$AA$9,2,FALSE))))),"")</f>
        <v/>
      </c>
      <c r="J129" s="101"/>
      <c r="K129" s="283" t="str">
        <f>IF(AND(D129&lt;&gt;"",J129=""),"Check data ⚠",IF(J129="","",IF(VLOOKUP(J129,'G-3 Multipliers'!$L$3:$N$6,2,FALSE)=0,"Spatial Data Missing",VLOOKUP(J129,'G-3 Multipliers'!$L$3:$N$6,2,FALSE))))</f>
        <v/>
      </c>
      <c r="L129" s="281" t="str">
        <f>IF(J129="","",IF(VLOOKUP(J129,'G-3 Multipliers'!$L$3:$N$6,3,FALSE)=0,"Spatial Data Missing ⚠",VLOOKUP(J129,'G-3 Multipliers'!$L$3:$N$6,3,FALSE)))</f>
        <v/>
      </c>
      <c r="M129" s="282" t="str">
        <f>IF(D129="","",VLOOKUP(D129,'G-6 Hedgerow Data'!$B$1:$AH$15,33,FALSE))</f>
        <v/>
      </c>
      <c r="N129" s="289" t="str">
        <f t="shared" si="9"/>
        <v/>
      </c>
      <c r="O129" s="32"/>
      <c r="P129" s="105"/>
      <c r="Q129" s="138"/>
      <c r="R129" s="306" t="str">
        <f t="shared" si="10"/>
        <v/>
      </c>
      <c r="S129" s="306" t="str">
        <f t="shared" si="11"/>
        <v/>
      </c>
      <c r="T129" s="306" t="str">
        <f t="shared" si="12"/>
        <v/>
      </c>
      <c r="U129" s="327" t="str">
        <f t="shared" si="13"/>
        <v/>
      </c>
      <c r="V129" s="105"/>
      <c r="W129" s="104"/>
      <c r="X129" s="104"/>
      <c r="AE129" s="107" t="str">
        <f t="shared" si="7"/>
        <v/>
      </c>
      <c r="AF129" s="107" t="str">
        <f t="shared" si="8"/>
        <v/>
      </c>
      <c r="AH129" s="107">
        <v>120</v>
      </c>
      <c r="AJ129" s="107" t="str">
        <f t="array" ref="AJ129">IFERROR(INDEX($AH$10:$AH$258,MATCH(0,IF(TRUE=$AE$10:$AE$258,COUNTIF($AJ$9:$AJ128,$AH$10:$AH$258),""),0)),"")</f>
        <v/>
      </c>
      <c r="AK129" s="107" t="str">
        <f t="array" ref="AK129">IFERROR(INDEX($AH$10:$AH$258,MATCH(0,IF(TRUE=$AF$10:$AF$258,COUNTIF($AK$9:$AK128,$AH$10:$AH$258),""),0)),"")</f>
        <v/>
      </c>
      <c r="AL129" s="30" t="str">
        <f>IFERROR(INDEX('G-6 Hedgerow Data'!$BJ$3:$BJ$15,MATCH(D129,'G-6 Hedgerow Data'!$B$3:$B$15,0)),"")</f>
        <v/>
      </c>
    </row>
    <row r="130" spans="2:38" ht="14" hidden="1">
      <c r="B130" s="97">
        <v>121</v>
      </c>
      <c r="C130" s="138"/>
      <c r="D130" s="138"/>
      <c r="E130" s="104"/>
      <c r="F130" s="323" t="str">
        <f>IF(D130="","",VLOOKUP(D130,'G-6 Hedgerow Data'!$B$2:$AG$15,2,FALSE))</f>
        <v/>
      </c>
      <c r="G130" s="276" t="str">
        <f>IF(D130="","",VLOOKUP(D130,'G-6 Hedgerow Data'!$B$2:$AG$15,3,FALSE))</f>
        <v/>
      </c>
      <c r="H130" s="101"/>
      <c r="I130" s="276" t="str">
        <f>IFERROR(IF(AND(D130&lt;&gt;"",H130=""),"Check data ⚠",IF(H130="","",IF(AND(D130="Non-native and ornamental hedgerow",H130&lt;&gt;"Poor"),"Not possible ▲",(VLOOKUP(H130,'G-1 All Habitats'!$Z$2:$AA$9,2,FALSE))))),"")</f>
        <v/>
      </c>
      <c r="J130" s="101"/>
      <c r="K130" s="283" t="str">
        <f>IF(AND(D130&lt;&gt;"",J130=""),"Check data ⚠",IF(J130="","",IF(VLOOKUP(J130,'G-3 Multipliers'!$L$3:$N$6,2,FALSE)=0,"Spatial Data Missing",VLOOKUP(J130,'G-3 Multipliers'!$L$3:$N$6,2,FALSE))))</f>
        <v/>
      </c>
      <c r="L130" s="281" t="str">
        <f>IF(J130="","",IF(VLOOKUP(J130,'G-3 Multipliers'!$L$3:$N$6,3,FALSE)=0,"Spatial Data Missing ⚠",VLOOKUP(J130,'G-3 Multipliers'!$L$3:$N$6,3,FALSE)))</f>
        <v/>
      </c>
      <c r="M130" s="282" t="str">
        <f>IF(D130="","",VLOOKUP(D130,'G-6 Hedgerow Data'!$B$1:$AH$15,33,FALSE))</f>
        <v/>
      </c>
      <c r="N130" s="289" t="str">
        <f t="shared" si="9"/>
        <v/>
      </c>
      <c r="O130" s="32"/>
      <c r="P130" s="105"/>
      <c r="Q130" s="138"/>
      <c r="R130" s="306" t="str">
        <f t="shared" si="10"/>
        <v/>
      </c>
      <c r="S130" s="306" t="str">
        <f t="shared" si="11"/>
        <v/>
      </c>
      <c r="T130" s="306" t="str">
        <f t="shared" si="12"/>
        <v/>
      </c>
      <c r="U130" s="327" t="str">
        <f t="shared" si="13"/>
        <v/>
      </c>
      <c r="V130" s="105"/>
      <c r="W130" s="104"/>
      <c r="X130" s="104"/>
      <c r="AE130" s="107" t="str">
        <f t="shared" si="7"/>
        <v/>
      </c>
      <c r="AF130" s="107" t="str">
        <f t="shared" si="8"/>
        <v/>
      </c>
      <c r="AH130" s="107">
        <v>121</v>
      </c>
      <c r="AJ130" s="107" t="str">
        <f t="array" ref="AJ130">IFERROR(INDEX($AH$10:$AH$258,MATCH(0,IF(TRUE=$AE$10:$AE$258,COUNTIF($AJ$9:$AJ129,$AH$10:$AH$258),""),0)),"")</f>
        <v/>
      </c>
      <c r="AK130" s="107" t="str">
        <f t="array" ref="AK130">IFERROR(INDEX($AH$10:$AH$258,MATCH(0,IF(TRUE=$AF$10:$AF$258,COUNTIF($AK$9:$AK129,$AH$10:$AH$258),""),0)),"")</f>
        <v/>
      </c>
      <c r="AL130" s="30" t="str">
        <f>IFERROR(INDEX('G-6 Hedgerow Data'!$BJ$3:$BJ$15,MATCH(D130,'G-6 Hedgerow Data'!$B$3:$B$15,0)),"")</f>
        <v/>
      </c>
    </row>
    <row r="131" spans="2:38" ht="14" hidden="1">
      <c r="B131" s="97">
        <v>122</v>
      </c>
      <c r="C131" s="138"/>
      <c r="D131" s="138"/>
      <c r="E131" s="104"/>
      <c r="F131" s="323" t="str">
        <f>IF(D131="","",VLOOKUP(D131,'G-6 Hedgerow Data'!$B$2:$AG$15,2,FALSE))</f>
        <v/>
      </c>
      <c r="G131" s="276" t="str">
        <f>IF(D131="","",VLOOKUP(D131,'G-6 Hedgerow Data'!$B$2:$AG$15,3,FALSE))</f>
        <v/>
      </c>
      <c r="H131" s="101"/>
      <c r="I131" s="276" t="str">
        <f>IFERROR(IF(AND(D131&lt;&gt;"",H131=""),"Check data ⚠",IF(H131="","",IF(AND(D131="Non-native and ornamental hedgerow",H131&lt;&gt;"Poor"),"Not possible ▲",(VLOOKUP(H131,'G-1 All Habitats'!$Z$2:$AA$9,2,FALSE))))),"")</f>
        <v/>
      </c>
      <c r="J131" s="101"/>
      <c r="K131" s="283" t="str">
        <f>IF(AND(D131&lt;&gt;"",J131=""),"Check data ⚠",IF(J131="","",IF(VLOOKUP(J131,'G-3 Multipliers'!$L$3:$N$6,2,FALSE)=0,"Spatial Data Missing",VLOOKUP(J131,'G-3 Multipliers'!$L$3:$N$6,2,FALSE))))</f>
        <v/>
      </c>
      <c r="L131" s="281" t="str">
        <f>IF(J131="","",IF(VLOOKUP(J131,'G-3 Multipliers'!$L$3:$N$6,3,FALSE)=0,"Spatial Data Missing ⚠",VLOOKUP(J131,'G-3 Multipliers'!$L$3:$N$6,3,FALSE)))</f>
        <v/>
      </c>
      <c r="M131" s="282" t="str">
        <f>IF(D131="","",VLOOKUP(D131,'G-6 Hedgerow Data'!$B$1:$AH$15,33,FALSE))</f>
        <v/>
      </c>
      <c r="N131" s="289" t="str">
        <f t="shared" si="9"/>
        <v/>
      </c>
      <c r="O131" s="32"/>
      <c r="P131" s="105"/>
      <c r="Q131" s="138"/>
      <c r="R131" s="306" t="str">
        <f t="shared" si="10"/>
        <v/>
      </c>
      <c r="S131" s="306" t="str">
        <f t="shared" si="11"/>
        <v/>
      </c>
      <c r="T131" s="306" t="str">
        <f t="shared" si="12"/>
        <v/>
      </c>
      <c r="U131" s="327" t="str">
        <f t="shared" si="13"/>
        <v/>
      </c>
      <c r="V131" s="105"/>
      <c r="W131" s="104"/>
      <c r="X131" s="104"/>
      <c r="AE131" s="107" t="str">
        <f t="shared" si="7"/>
        <v/>
      </c>
      <c r="AF131" s="107" t="str">
        <f t="shared" si="8"/>
        <v/>
      </c>
      <c r="AH131" s="107">
        <v>122</v>
      </c>
      <c r="AJ131" s="107" t="str">
        <f t="array" ref="AJ131">IFERROR(INDEX($AH$10:$AH$258,MATCH(0,IF(TRUE=$AE$10:$AE$258,COUNTIF($AJ$9:$AJ130,$AH$10:$AH$258),""),0)),"")</f>
        <v/>
      </c>
      <c r="AK131" s="107" t="str">
        <f t="array" ref="AK131">IFERROR(INDEX($AH$10:$AH$258,MATCH(0,IF(TRUE=$AF$10:$AF$258,COUNTIF($AK$9:$AK130,$AH$10:$AH$258),""),0)),"")</f>
        <v/>
      </c>
      <c r="AL131" s="30" t="str">
        <f>IFERROR(INDEX('G-6 Hedgerow Data'!$BJ$3:$BJ$15,MATCH(D131,'G-6 Hedgerow Data'!$B$3:$B$15,0)),"")</f>
        <v/>
      </c>
    </row>
    <row r="132" spans="2:38" ht="14" hidden="1">
      <c r="B132" s="97">
        <v>123</v>
      </c>
      <c r="C132" s="138"/>
      <c r="D132" s="138"/>
      <c r="E132" s="104"/>
      <c r="F132" s="323" t="str">
        <f>IF(D132="","",VLOOKUP(D132,'G-6 Hedgerow Data'!$B$2:$AG$15,2,FALSE))</f>
        <v/>
      </c>
      <c r="G132" s="276" t="str">
        <f>IF(D132="","",VLOOKUP(D132,'G-6 Hedgerow Data'!$B$2:$AG$15,3,FALSE))</f>
        <v/>
      </c>
      <c r="H132" s="101"/>
      <c r="I132" s="276" t="str">
        <f>IFERROR(IF(AND(D132&lt;&gt;"",H132=""),"Check data ⚠",IF(H132="","",IF(AND(D132="Non-native and ornamental hedgerow",H132&lt;&gt;"Poor"),"Not possible ▲",(VLOOKUP(H132,'G-1 All Habitats'!$Z$2:$AA$9,2,FALSE))))),"")</f>
        <v/>
      </c>
      <c r="J132" s="101"/>
      <c r="K132" s="283" t="str">
        <f>IF(AND(D132&lt;&gt;"",J132=""),"Check data ⚠",IF(J132="","",IF(VLOOKUP(J132,'G-3 Multipliers'!$L$3:$N$6,2,FALSE)=0,"Spatial Data Missing",VLOOKUP(J132,'G-3 Multipliers'!$L$3:$N$6,2,FALSE))))</f>
        <v/>
      </c>
      <c r="L132" s="281" t="str">
        <f>IF(J132="","",IF(VLOOKUP(J132,'G-3 Multipliers'!$L$3:$N$6,3,FALSE)=0,"Spatial Data Missing ⚠",VLOOKUP(J132,'G-3 Multipliers'!$L$3:$N$6,3,FALSE)))</f>
        <v/>
      </c>
      <c r="M132" s="282" t="str">
        <f>IF(D132="","",VLOOKUP(D132,'G-6 Hedgerow Data'!$B$1:$AH$15,33,FALSE))</f>
        <v/>
      </c>
      <c r="N132" s="289" t="str">
        <f t="shared" si="9"/>
        <v/>
      </c>
      <c r="O132" s="32"/>
      <c r="P132" s="105"/>
      <c r="Q132" s="138"/>
      <c r="R132" s="306" t="str">
        <f t="shared" si="10"/>
        <v/>
      </c>
      <c r="S132" s="306" t="str">
        <f t="shared" si="11"/>
        <v/>
      </c>
      <c r="T132" s="306" t="str">
        <f t="shared" si="12"/>
        <v/>
      </c>
      <c r="U132" s="327" t="str">
        <f t="shared" si="13"/>
        <v/>
      </c>
      <c r="V132" s="105"/>
      <c r="W132" s="104"/>
      <c r="X132" s="104"/>
      <c r="AE132" s="107" t="str">
        <f t="shared" si="7"/>
        <v/>
      </c>
      <c r="AF132" s="107" t="str">
        <f t="shared" si="8"/>
        <v/>
      </c>
      <c r="AH132" s="107">
        <v>123</v>
      </c>
      <c r="AJ132" s="107" t="str">
        <f t="array" ref="AJ132">IFERROR(INDEX($AH$10:$AH$258,MATCH(0,IF(TRUE=$AE$10:$AE$258,COUNTIF($AJ$9:$AJ131,$AH$10:$AH$258),""),0)),"")</f>
        <v/>
      </c>
      <c r="AK132" s="107" t="str">
        <f t="array" ref="AK132">IFERROR(INDEX($AH$10:$AH$258,MATCH(0,IF(TRUE=$AF$10:$AF$258,COUNTIF($AK$9:$AK131,$AH$10:$AH$258),""),0)),"")</f>
        <v/>
      </c>
      <c r="AL132" s="30" t="str">
        <f>IFERROR(INDEX('G-6 Hedgerow Data'!$BJ$3:$BJ$15,MATCH(D132,'G-6 Hedgerow Data'!$B$3:$B$15,0)),"")</f>
        <v/>
      </c>
    </row>
    <row r="133" spans="2:38" ht="14" hidden="1">
      <c r="B133" s="97">
        <v>124</v>
      </c>
      <c r="C133" s="138"/>
      <c r="D133" s="138"/>
      <c r="E133" s="104"/>
      <c r="F133" s="323" t="str">
        <f>IF(D133="","",VLOOKUP(D133,'G-6 Hedgerow Data'!$B$2:$AG$15,2,FALSE))</f>
        <v/>
      </c>
      <c r="G133" s="276" t="str">
        <f>IF(D133="","",VLOOKUP(D133,'G-6 Hedgerow Data'!$B$2:$AG$15,3,FALSE))</f>
        <v/>
      </c>
      <c r="H133" s="101"/>
      <c r="I133" s="276" t="str">
        <f>IFERROR(IF(AND(D133&lt;&gt;"",H133=""),"Check data ⚠",IF(H133="","",IF(AND(D133="Non-native and ornamental hedgerow",H133&lt;&gt;"Poor"),"Not possible ▲",(VLOOKUP(H133,'G-1 All Habitats'!$Z$2:$AA$9,2,FALSE))))),"")</f>
        <v/>
      </c>
      <c r="J133" s="101"/>
      <c r="K133" s="283" t="str">
        <f>IF(AND(D133&lt;&gt;"",J133=""),"Check data ⚠",IF(J133="","",IF(VLOOKUP(J133,'G-3 Multipliers'!$L$3:$N$6,2,FALSE)=0,"Spatial Data Missing",VLOOKUP(J133,'G-3 Multipliers'!$L$3:$N$6,2,FALSE))))</f>
        <v/>
      </c>
      <c r="L133" s="281" t="str">
        <f>IF(J133="","",IF(VLOOKUP(J133,'G-3 Multipliers'!$L$3:$N$6,3,FALSE)=0,"Spatial Data Missing ⚠",VLOOKUP(J133,'G-3 Multipliers'!$L$3:$N$6,3,FALSE)))</f>
        <v/>
      </c>
      <c r="M133" s="282" t="str">
        <f>IF(D133="","",VLOOKUP(D133,'G-6 Hedgerow Data'!$B$1:$AH$15,33,FALSE))</f>
        <v/>
      </c>
      <c r="N133" s="289" t="str">
        <f t="shared" si="9"/>
        <v/>
      </c>
      <c r="O133" s="32"/>
      <c r="P133" s="105"/>
      <c r="Q133" s="138"/>
      <c r="R133" s="306" t="str">
        <f t="shared" si="10"/>
        <v/>
      </c>
      <c r="S133" s="306" t="str">
        <f t="shared" si="11"/>
        <v/>
      </c>
      <c r="T133" s="306" t="str">
        <f t="shared" si="12"/>
        <v/>
      </c>
      <c r="U133" s="327" t="str">
        <f t="shared" si="13"/>
        <v/>
      </c>
      <c r="V133" s="105"/>
      <c r="W133" s="104"/>
      <c r="X133" s="104"/>
      <c r="AE133" s="107" t="str">
        <f t="shared" si="7"/>
        <v/>
      </c>
      <c r="AF133" s="107" t="str">
        <f t="shared" si="8"/>
        <v/>
      </c>
      <c r="AH133" s="107">
        <v>124</v>
      </c>
      <c r="AJ133" s="107" t="str">
        <f t="array" ref="AJ133">IFERROR(INDEX($AH$10:$AH$258,MATCH(0,IF(TRUE=$AE$10:$AE$258,COUNTIF($AJ$9:$AJ132,$AH$10:$AH$258),""),0)),"")</f>
        <v/>
      </c>
      <c r="AK133" s="107" t="str">
        <f t="array" ref="AK133">IFERROR(INDEX($AH$10:$AH$258,MATCH(0,IF(TRUE=$AF$10:$AF$258,COUNTIF($AK$9:$AK132,$AH$10:$AH$258),""),0)),"")</f>
        <v/>
      </c>
      <c r="AL133" s="30" t="str">
        <f>IFERROR(INDEX('G-6 Hedgerow Data'!$BJ$3:$BJ$15,MATCH(D133,'G-6 Hedgerow Data'!$B$3:$B$15,0)),"")</f>
        <v/>
      </c>
    </row>
    <row r="134" spans="2:38" ht="14" hidden="1">
      <c r="B134" s="97">
        <v>125</v>
      </c>
      <c r="C134" s="138"/>
      <c r="D134" s="138"/>
      <c r="E134" s="104"/>
      <c r="F134" s="323" t="str">
        <f>IF(D134="","",VLOOKUP(D134,'G-6 Hedgerow Data'!$B$2:$AG$15,2,FALSE))</f>
        <v/>
      </c>
      <c r="G134" s="276" t="str">
        <f>IF(D134="","",VLOOKUP(D134,'G-6 Hedgerow Data'!$B$2:$AG$15,3,FALSE))</f>
        <v/>
      </c>
      <c r="H134" s="101"/>
      <c r="I134" s="276" t="str">
        <f>IFERROR(IF(AND(D134&lt;&gt;"",H134=""),"Check data ⚠",IF(H134="","",IF(AND(D134="Non-native and ornamental hedgerow",H134&lt;&gt;"Poor"),"Not possible ▲",(VLOOKUP(H134,'G-1 All Habitats'!$Z$2:$AA$9,2,FALSE))))),"")</f>
        <v/>
      </c>
      <c r="J134" s="101"/>
      <c r="K134" s="283" t="str">
        <f>IF(AND(D134&lt;&gt;"",J134=""),"Check data ⚠",IF(J134="","",IF(VLOOKUP(J134,'G-3 Multipliers'!$L$3:$N$6,2,FALSE)=0,"Spatial Data Missing",VLOOKUP(J134,'G-3 Multipliers'!$L$3:$N$6,2,FALSE))))</f>
        <v/>
      </c>
      <c r="L134" s="281" t="str">
        <f>IF(J134="","",IF(VLOOKUP(J134,'G-3 Multipliers'!$L$3:$N$6,3,FALSE)=0,"Spatial Data Missing ⚠",VLOOKUP(J134,'G-3 Multipliers'!$L$3:$N$6,3,FALSE)))</f>
        <v/>
      </c>
      <c r="M134" s="282" t="str">
        <f>IF(D134="","",VLOOKUP(D134,'G-6 Hedgerow Data'!$B$1:$AH$15,33,FALSE))</f>
        <v/>
      </c>
      <c r="N134" s="289" t="str">
        <f t="shared" si="9"/>
        <v/>
      </c>
      <c r="O134" s="32"/>
      <c r="P134" s="105"/>
      <c r="Q134" s="138"/>
      <c r="R134" s="306" t="str">
        <f t="shared" si="10"/>
        <v/>
      </c>
      <c r="S134" s="306" t="str">
        <f t="shared" si="11"/>
        <v/>
      </c>
      <c r="T134" s="306" t="str">
        <f t="shared" si="12"/>
        <v/>
      </c>
      <c r="U134" s="327" t="str">
        <f t="shared" si="13"/>
        <v/>
      </c>
      <c r="V134" s="105"/>
      <c r="W134" s="104"/>
      <c r="X134" s="104"/>
      <c r="AE134" s="107" t="str">
        <f t="shared" si="7"/>
        <v/>
      </c>
      <c r="AF134" s="107" t="str">
        <f t="shared" si="8"/>
        <v/>
      </c>
      <c r="AH134" s="107">
        <v>125</v>
      </c>
      <c r="AJ134" s="107" t="str">
        <f t="array" ref="AJ134">IFERROR(INDEX($AH$10:$AH$258,MATCH(0,IF(TRUE=$AE$10:$AE$258,COUNTIF($AJ$9:$AJ133,$AH$10:$AH$258),""),0)),"")</f>
        <v/>
      </c>
      <c r="AK134" s="107" t="str">
        <f t="array" ref="AK134">IFERROR(INDEX($AH$10:$AH$258,MATCH(0,IF(TRUE=$AF$10:$AF$258,COUNTIF($AK$9:$AK133,$AH$10:$AH$258),""),0)),"")</f>
        <v/>
      </c>
      <c r="AL134" s="30" t="str">
        <f>IFERROR(INDEX('G-6 Hedgerow Data'!$BJ$3:$BJ$15,MATCH(D134,'G-6 Hedgerow Data'!$B$3:$B$15,0)),"")</f>
        <v/>
      </c>
    </row>
    <row r="135" spans="2:38" ht="14" hidden="1">
      <c r="B135" s="97">
        <v>126</v>
      </c>
      <c r="C135" s="138"/>
      <c r="D135" s="138"/>
      <c r="E135" s="104"/>
      <c r="F135" s="323" t="str">
        <f>IF(D135="","",VLOOKUP(D135,'G-6 Hedgerow Data'!$B$2:$AG$15,2,FALSE))</f>
        <v/>
      </c>
      <c r="G135" s="276" t="str">
        <f>IF(D135="","",VLOOKUP(D135,'G-6 Hedgerow Data'!$B$2:$AG$15,3,FALSE))</f>
        <v/>
      </c>
      <c r="H135" s="101"/>
      <c r="I135" s="276" t="str">
        <f>IFERROR(IF(AND(D135&lt;&gt;"",H135=""),"Check data ⚠",IF(H135="","",IF(AND(D135="Non-native and ornamental hedgerow",H135&lt;&gt;"Poor"),"Not possible ▲",(VLOOKUP(H135,'G-1 All Habitats'!$Z$2:$AA$9,2,FALSE))))),"")</f>
        <v/>
      </c>
      <c r="J135" s="101"/>
      <c r="K135" s="283" t="str">
        <f>IF(AND(D135&lt;&gt;"",J135=""),"Check data ⚠",IF(J135="","",IF(VLOOKUP(J135,'G-3 Multipliers'!$L$3:$N$6,2,FALSE)=0,"Spatial Data Missing",VLOOKUP(J135,'G-3 Multipliers'!$L$3:$N$6,2,FALSE))))</f>
        <v/>
      </c>
      <c r="L135" s="281" t="str">
        <f>IF(J135="","",IF(VLOOKUP(J135,'G-3 Multipliers'!$L$3:$N$6,3,FALSE)=0,"Spatial Data Missing ⚠",VLOOKUP(J135,'G-3 Multipliers'!$L$3:$N$6,3,FALSE)))</f>
        <v/>
      </c>
      <c r="M135" s="282" t="str">
        <f>IF(D135="","",VLOOKUP(D135,'G-6 Hedgerow Data'!$B$1:$AH$15,33,FALSE))</f>
        <v/>
      </c>
      <c r="N135" s="289" t="str">
        <f t="shared" si="9"/>
        <v/>
      </c>
      <c r="O135" s="32"/>
      <c r="P135" s="105"/>
      <c r="Q135" s="138"/>
      <c r="R135" s="306" t="str">
        <f t="shared" si="10"/>
        <v/>
      </c>
      <c r="S135" s="306" t="str">
        <f t="shared" si="11"/>
        <v/>
      </c>
      <c r="T135" s="306" t="str">
        <f t="shared" si="12"/>
        <v/>
      </c>
      <c r="U135" s="327" t="str">
        <f t="shared" si="13"/>
        <v/>
      </c>
      <c r="V135" s="105"/>
      <c r="W135" s="104"/>
      <c r="X135" s="104"/>
      <c r="AE135" s="107" t="str">
        <f t="shared" si="7"/>
        <v/>
      </c>
      <c r="AF135" s="107" t="str">
        <f t="shared" si="8"/>
        <v/>
      </c>
      <c r="AH135" s="107">
        <v>126</v>
      </c>
      <c r="AJ135" s="107" t="str">
        <f t="array" ref="AJ135">IFERROR(INDEX($AH$10:$AH$258,MATCH(0,IF(TRUE=$AE$10:$AE$258,COUNTIF($AJ$9:$AJ134,$AH$10:$AH$258),""),0)),"")</f>
        <v/>
      </c>
      <c r="AK135" s="107" t="str">
        <f t="array" ref="AK135">IFERROR(INDEX($AH$10:$AH$258,MATCH(0,IF(TRUE=$AF$10:$AF$258,COUNTIF($AK$9:$AK134,$AH$10:$AH$258),""),0)),"")</f>
        <v/>
      </c>
      <c r="AL135" s="30" t="str">
        <f>IFERROR(INDEX('G-6 Hedgerow Data'!$BJ$3:$BJ$15,MATCH(D135,'G-6 Hedgerow Data'!$B$3:$B$15,0)),"")</f>
        <v/>
      </c>
    </row>
    <row r="136" spans="2:38" ht="14" hidden="1">
      <c r="B136" s="97">
        <v>127</v>
      </c>
      <c r="C136" s="138"/>
      <c r="D136" s="138"/>
      <c r="E136" s="104"/>
      <c r="F136" s="323" t="str">
        <f>IF(D136="","",VLOOKUP(D136,'G-6 Hedgerow Data'!$B$2:$AG$15,2,FALSE))</f>
        <v/>
      </c>
      <c r="G136" s="276" t="str">
        <f>IF(D136="","",VLOOKUP(D136,'G-6 Hedgerow Data'!$B$2:$AG$15,3,FALSE))</f>
        <v/>
      </c>
      <c r="H136" s="101"/>
      <c r="I136" s="276" t="str">
        <f>IFERROR(IF(AND(D136&lt;&gt;"",H136=""),"Check data ⚠",IF(H136="","",IF(AND(D136="Non-native and ornamental hedgerow",H136&lt;&gt;"Poor"),"Not possible ▲",(VLOOKUP(H136,'G-1 All Habitats'!$Z$2:$AA$9,2,FALSE))))),"")</f>
        <v/>
      </c>
      <c r="J136" s="101"/>
      <c r="K136" s="283" t="str">
        <f>IF(AND(D136&lt;&gt;"",J136=""),"Check data ⚠",IF(J136="","",IF(VLOOKUP(J136,'G-3 Multipliers'!$L$3:$N$6,2,FALSE)=0,"Spatial Data Missing",VLOOKUP(J136,'G-3 Multipliers'!$L$3:$N$6,2,FALSE))))</f>
        <v/>
      </c>
      <c r="L136" s="281" t="str">
        <f>IF(J136="","",IF(VLOOKUP(J136,'G-3 Multipliers'!$L$3:$N$6,3,FALSE)=0,"Spatial Data Missing ⚠",VLOOKUP(J136,'G-3 Multipliers'!$L$3:$N$6,3,FALSE)))</f>
        <v/>
      </c>
      <c r="M136" s="282" t="str">
        <f>IF(D136="","",VLOOKUP(D136,'G-6 Hedgerow Data'!$B$1:$AH$15,33,FALSE))</f>
        <v/>
      </c>
      <c r="N136" s="289" t="str">
        <f t="shared" si="9"/>
        <v/>
      </c>
      <c r="O136" s="32"/>
      <c r="P136" s="105"/>
      <c r="Q136" s="138"/>
      <c r="R136" s="306" t="str">
        <f t="shared" si="10"/>
        <v/>
      </c>
      <c r="S136" s="306" t="str">
        <f t="shared" si="11"/>
        <v/>
      </c>
      <c r="T136" s="306" t="str">
        <f t="shared" si="12"/>
        <v/>
      </c>
      <c r="U136" s="327" t="str">
        <f t="shared" si="13"/>
        <v/>
      </c>
      <c r="V136" s="105"/>
      <c r="W136" s="104"/>
      <c r="X136" s="104"/>
      <c r="AE136" s="107" t="str">
        <f t="shared" si="7"/>
        <v/>
      </c>
      <c r="AF136" s="107" t="str">
        <f t="shared" si="8"/>
        <v/>
      </c>
      <c r="AH136" s="107">
        <v>127</v>
      </c>
      <c r="AJ136" s="107" t="str">
        <f t="array" ref="AJ136">IFERROR(INDEX($AH$10:$AH$258,MATCH(0,IF(TRUE=$AE$10:$AE$258,COUNTIF($AJ$9:$AJ135,$AH$10:$AH$258),""),0)),"")</f>
        <v/>
      </c>
      <c r="AK136" s="107" t="str">
        <f t="array" ref="AK136">IFERROR(INDEX($AH$10:$AH$258,MATCH(0,IF(TRUE=$AF$10:$AF$258,COUNTIF($AK$9:$AK135,$AH$10:$AH$258),""),0)),"")</f>
        <v/>
      </c>
      <c r="AL136" s="30" t="str">
        <f>IFERROR(INDEX('G-6 Hedgerow Data'!$BJ$3:$BJ$15,MATCH(D136,'G-6 Hedgerow Data'!$B$3:$B$15,0)),"")</f>
        <v/>
      </c>
    </row>
    <row r="137" spans="2:38" ht="14" hidden="1">
      <c r="B137" s="97">
        <v>128</v>
      </c>
      <c r="C137" s="138"/>
      <c r="D137" s="138"/>
      <c r="E137" s="104"/>
      <c r="F137" s="323" t="str">
        <f>IF(D137="","",VLOOKUP(D137,'G-6 Hedgerow Data'!$B$2:$AG$15,2,FALSE))</f>
        <v/>
      </c>
      <c r="G137" s="276" t="str">
        <f>IF(D137="","",VLOOKUP(D137,'G-6 Hedgerow Data'!$B$2:$AG$15,3,FALSE))</f>
        <v/>
      </c>
      <c r="H137" s="101"/>
      <c r="I137" s="276" t="str">
        <f>IFERROR(IF(AND(D137&lt;&gt;"",H137=""),"Check data ⚠",IF(H137="","",IF(AND(D137="Non-native and ornamental hedgerow",H137&lt;&gt;"Poor"),"Not possible ▲",(VLOOKUP(H137,'G-1 All Habitats'!$Z$2:$AA$9,2,FALSE))))),"")</f>
        <v/>
      </c>
      <c r="J137" s="101"/>
      <c r="K137" s="283" t="str">
        <f>IF(AND(D137&lt;&gt;"",J137=""),"Check data ⚠",IF(J137="","",IF(VLOOKUP(J137,'G-3 Multipliers'!$L$3:$N$6,2,FALSE)=0,"Spatial Data Missing",VLOOKUP(J137,'G-3 Multipliers'!$L$3:$N$6,2,FALSE))))</f>
        <v/>
      </c>
      <c r="L137" s="281" t="str">
        <f>IF(J137="","",IF(VLOOKUP(J137,'G-3 Multipliers'!$L$3:$N$6,3,FALSE)=0,"Spatial Data Missing ⚠",VLOOKUP(J137,'G-3 Multipliers'!$L$3:$N$6,3,FALSE)))</f>
        <v/>
      </c>
      <c r="M137" s="282" t="str">
        <f>IF(D137="","",VLOOKUP(D137,'G-6 Hedgerow Data'!$B$1:$AH$15,33,FALSE))</f>
        <v/>
      </c>
      <c r="N137" s="289" t="str">
        <f t="shared" si="9"/>
        <v/>
      </c>
      <c r="O137" s="32"/>
      <c r="P137" s="105"/>
      <c r="Q137" s="138"/>
      <c r="R137" s="306" t="str">
        <f t="shared" si="10"/>
        <v/>
      </c>
      <c r="S137" s="306" t="str">
        <f t="shared" si="11"/>
        <v/>
      </c>
      <c r="T137" s="306" t="str">
        <f t="shared" si="12"/>
        <v/>
      </c>
      <c r="U137" s="327" t="str">
        <f t="shared" si="13"/>
        <v/>
      </c>
      <c r="V137" s="105"/>
      <c r="W137" s="104"/>
      <c r="X137" s="104"/>
      <c r="AE137" s="107" t="str">
        <f t="shared" si="7"/>
        <v/>
      </c>
      <c r="AF137" s="107" t="str">
        <f t="shared" si="8"/>
        <v/>
      </c>
      <c r="AH137" s="107">
        <v>128</v>
      </c>
      <c r="AJ137" s="107" t="str">
        <f t="array" ref="AJ137">IFERROR(INDEX($AH$10:$AH$258,MATCH(0,IF(TRUE=$AE$10:$AE$258,COUNTIF($AJ$9:$AJ136,$AH$10:$AH$258),""),0)),"")</f>
        <v/>
      </c>
      <c r="AK137" s="107" t="str">
        <f t="array" ref="AK137">IFERROR(INDEX($AH$10:$AH$258,MATCH(0,IF(TRUE=$AF$10:$AF$258,COUNTIF($AK$9:$AK136,$AH$10:$AH$258),""),0)),"")</f>
        <v/>
      </c>
      <c r="AL137" s="30" t="str">
        <f>IFERROR(INDEX('G-6 Hedgerow Data'!$BJ$3:$BJ$15,MATCH(D137,'G-6 Hedgerow Data'!$B$3:$B$15,0)),"")</f>
        <v/>
      </c>
    </row>
    <row r="138" spans="2:38" ht="14" hidden="1">
      <c r="B138" s="97">
        <v>129</v>
      </c>
      <c r="C138" s="138"/>
      <c r="D138" s="138"/>
      <c r="E138" s="104"/>
      <c r="F138" s="323" t="str">
        <f>IF(D138="","",VLOOKUP(D138,'G-6 Hedgerow Data'!$B$2:$AG$15,2,FALSE))</f>
        <v/>
      </c>
      <c r="G138" s="276" t="str">
        <f>IF(D138="","",VLOOKUP(D138,'G-6 Hedgerow Data'!$B$2:$AG$15,3,FALSE))</f>
        <v/>
      </c>
      <c r="H138" s="101"/>
      <c r="I138" s="276" t="str">
        <f>IFERROR(IF(AND(D138&lt;&gt;"",H138=""),"Check data ⚠",IF(H138="","",IF(AND(D138="Non-native and ornamental hedgerow",H138&lt;&gt;"Poor"),"Not possible ▲",(VLOOKUP(H138,'G-1 All Habitats'!$Z$2:$AA$9,2,FALSE))))),"")</f>
        <v/>
      </c>
      <c r="J138" s="101"/>
      <c r="K138" s="283" t="str">
        <f>IF(AND(D138&lt;&gt;"",J138=""),"Check data ⚠",IF(J138="","",IF(VLOOKUP(J138,'G-3 Multipliers'!$L$3:$N$6,2,FALSE)=0,"Spatial Data Missing",VLOOKUP(J138,'G-3 Multipliers'!$L$3:$N$6,2,FALSE))))</f>
        <v/>
      </c>
      <c r="L138" s="281" t="str">
        <f>IF(J138="","",IF(VLOOKUP(J138,'G-3 Multipliers'!$L$3:$N$6,3,FALSE)=0,"Spatial Data Missing ⚠",VLOOKUP(J138,'G-3 Multipliers'!$L$3:$N$6,3,FALSE)))</f>
        <v/>
      </c>
      <c r="M138" s="282" t="str">
        <f>IF(D138="","",VLOOKUP(D138,'G-6 Hedgerow Data'!$B$1:$AH$15,33,FALSE))</f>
        <v/>
      </c>
      <c r="N138" s="289" t="str">
        <f t="shared" si="9"/>
        <v/>
      </c>
      <c r="O138" s="32"/>
      <c r="P138" s="105"/>
      <c r="Q138" s="138"/>
      <c r="R138" s="306" t="str">
        <f t="shared" si="10"/>
        <v/>
      </c>
      <c r="S138" s="306" t="str">
        <f t="shared" si="11"/>
        <v/>
      </c>
      <c r="T138" s="306" t="str">
        <f t="shared" si="12"/>
        <v/>
      </c>
      <c r="U138" s="327" t="str">
        <f t="shared" si="13"/>
        <v/>
      </c>
      <c r="V138" s="105"/>
      <c r="W138" s="104"/>
      <c r="X138" s="104"/>
      <c r="AE138" s="107" t="str">
        <f t="shared" si="14" ref="AE138:AE201">IF(D138="","",IF(P138&gt;0,TRUE,FALSE))</f>
        <v/>
      </c>
      <c r="AF138" s="107" t="str">
        <f t="shared" si="15" ref="AF138:AF201">IF(D138="","",IF(Q138&gt;0,TRUE,FALSE))</f>
        <v/>
      </c>
      <c r="AH138" s="107">
        <v>129</v>
      </c>
      <c r="AJ138" s="107" t="str">
        <f t="array" ref="AJ138">IFERROR(INDEX($AH$10:$AH$258,MATCH(0,IF(TRUE=$AE$10:$AE$258,COUNTIF($AJ$9:$AJ137,$AH$10:$AH$258),""),0)),"")</f>
        <v/>
      </c>
      <c r="AK138" s="107" t="str">
        <f t="array" ref="AK138">IFERROR(INDEX($AH$10:$AH$258,MATCH(0,IF(TRUE=$AF$10:$AF$258,COUNTIF($AK$9:$AK137,$AH$10:$AH$258),""),0)),"")</f>
        <v/>
      </c>
      <c r="AL138" s="30" t="str">
        <f>IFERROR(INDEX('G-6 Hedgerow Data'!$BJ$3:$BJ$15,MATCH(D138,'G-6 Hedgerow Data'!$B$3:$B$15,0)),"")</f>
        <v/>
      </c>
    </row>
    <row r="139" spans="2:38" ht="14" hidden="1">
      <c r="B139" s="97">
        <v>130</v>
      </c>
      <c r="C139" s="138"/>
      <c r="D139" s="138"/>
      <c r="E139" s="104"/>
      <c r="F139" s="323" t="str">
        <f>IF(D139="","",VLOOKUP(D139,'G-6 Hedgerow Data'!$B$2:$AG$15,2,FALSE))</f>
        <v/>
      </c>
      <c r="G139" s="276" t="str">
        <f>IF(D139="","",VLOOKUP(D139,'G-6 Hedgerow Data'!$B$2:$AG$15,3,FALSE))</f>
        <v/>
      </c>
      <c r="H139" s="101"/>
      <c r="I139" s="276" t="str">
        <f>IFERROR(IF(AND(D139&lt;&gt;"",H139=""),"Check data ⚠",IF(H139="","",IF(AND(D139="Non-native and ornamental hedgerow",H139&lt;&gt;"Poor"),"Not possible ▲",(VLOOKUP(H139,'G-1 All Habitats'!$Z$2:$AA$9,2,FALSE))))),"")</f>
        <v/>
      </c>
      <c r="J139" s="101"/>
      <c r="K139" s="283" t="str">
        <f>IF(AND(D139&lt;&gt;"",J139=""),"Check data ⚠",IF(J139="","",IF(VLOOKUP(J139,'G-3 Multipliers'!$L$3:$N$6,2,FALSE)=0,"Spatial Data Missing",VLOOKUP(J139,'G-3 Multipliers'!$L$3:$N$6,2,FALSE))))</f>
        <v/>
      </c>
      <c r="L139" s="281" t="str">
        <f>IF(J139="","",IF(VLOOKUP(J139,'G-3 Multipliers'!$L$3:$N$6,3,FALSE)=0,"Spatial Data Missing ⚠",VLOOKUP(J139,'G-3 Multipliers'!$L$3:$N$6,3,FALSE)))</f>
        <v/>
      </c>
      <c r="M139" s="282" t="str">
        <f>IF(D139="","",VLOOKUP(D139,'G-6 Hedgerow Data'!$B$1:$AH$15,33,FALSE))</f>
        <v/>
      </c>
      <c r="N139" s="289" t="str">
        <f t="shared" si="16" ref="N139:N202">IFERROR(IF(OR(K139="Check data ⚠",I139="Check data ⚠",R139="Error in lengths ▲"),"Check data ▲",(E139*G139*I139*L139)),"")</f>
        <v/>
      </c>
      <c r="O139" s="32"/>
      <c r="P139" s="105"/>
      <c r="Q139" s="138"/>
      <c r="R139" s="306" t="str">
        <f t="shared" si="17" ref="R139:R202">IFERROR(P139*G139*I139*L139,"")</f>
        <v/>
      </c>
      <c r="S139" s="306" t="str">
        <f t="shared" si="18" ref="S139:S202">IFERROR(Q139*G139*I139*L139,"")</f>
        <v/>
      </c>
      <c r="T139" s="306" t="str">
        <f t="shared" si="19" ref="T139:T202">IF(D139="","",IF(E139-P139-Q139=0&lt;0,"Error in lengths ▲",IF(P139+Q139&gt;E139,"Error in Lengths ▲",E139-P139-Q139)))</f>
        <v/>
      </c>
      <c r="U139" s="327" t="str">
        <f t="shared" si="20" ref="U139:U202">IFERROR(IF(OR(E139="",N139=""),"",IF(E139-P139-Q139=0&lt;0,"Error in Lengths ▲",IF(P139+Q139&gt;E139,"Error in Lengths ▲",N139-R139-S139))),"Check data ⚠")</f>
        <v/>
      </c>
      <c r="V139" s="105"/>
      <c r="W139" s="104"/>
      <c r="X139" s="104"/>
      <c r="AE139" s="107" t="str">
        <f t="shared" si="14"/>
        <v/>
      </c>
      <c r="AF139" s="107" t="str">
        <f t="shared" si="15"/>
        <v/>
      </c>
      <c r="AH139" s="107">
        <v>130</v>
      </c>
      <c r="AJ139" s="107" t="str">
        <f t="array" ref="AJ139">IFERROR(INDEX($AH$10:$AH$258,MATCH(0,IF(TRUE=$AE$10:$AE$258,COUNTIF($AJ$9:$AJ138,$AH$10:$AH$258),""),0)),"")</f>
        <v/>
      </c>
      <c r="AK139" s="107" t="str">
        <f t="array" ref="AK139">IFERROR(INDEX($AH$10:$AH$258,MATCH(0,IF(TRUE=$AF$10:$AF$258,COUNTIF($AK$9:$AK138,$AH$10:$AH$258),""),0)),"")</f>
        <v/>
      </c>
      <c r="AL139" s="30" t="str">
        <f>IFERROR(INDEX('G-6 Hedgerow Data'!$BJ$3:$BJ$15,MATCH(D139,'G-6 Hedgerow Data'!$B$3:$B$15,0)),"")</f>
        <v/>
      </c>
    </row>
    <row r="140" spans="2:38" ht="14" hidden="1">
      <c r="B140" s="97">
        <v>131</v>
      </c>
      <c r="C140" s="138"/>
      <c r="D140" s="138"/>
      <c r="E140" s="104"/>
      <c r="F140" s="323" t="str">
        <f>IF(D140="","",VLOOKUP(D140,'G-6 Hedgerow Data'!$B$2:$AG$15,2,FALSE))</f>
        <v/>
      </c>
      <c r="G140" s="276" t="str">
        <f>IF(D140="","",VLOOKUP(D140,'G-6 Hedgerow Data'!$B$2:$AG$15,3,FALSE))</f>
        <v/>
      </c>
      <c r="H140" s="101"/>
      <c r="I140" s="276" t="str">
        <f>IFERROR(IF(AND(D140&lt;&gt;"",H140=""),"Check data ⚠",IF(H140="","",IF(AND(D140="Non-native and ornamental hedgerow",H140&lt;&gt;"Poor"),"Not possible ▲",(VLOOKUP(H140,'G-1 All Habitats'!$Z$2:$AA$9,2,FALSE))))),"")</f>
        <v/>
      </c>
      <c r="J140" s="101"/>
      <c r="K140" s="283" t="str">
        <f>IF(AND(D140&lt;&gt;"",J140=""),"Check data ⚠",IF(J140="","",IF(VLOOKUP(J140,'G-3 Multipliers'!$L$3:$N$6,2,FALSE)=0,"Spatial Data Missing",VLOOKUP(J140,'G-3 Multipliers'!$L$3:$N$6,2,FALSE))))</f>
        <v/>
      </c>
      <c r="L140" s="281" t="str">
        <f>IF(J140="","",IF(VLOOKUP(J140,'G-3 Multipliers'!$L$3:$N$6,3,FALSE)=0,"Spatial Data Missing ⚠",VLOOKUP(J140,'G-3 Multipliers'!$L$3:$N$6,3,FALSE)))</f>
        <v/>
      </c>
      <c r="M140" s="282" t="str">
        <f>IF(D140="","",VLOOKUP(D140,'G-6 Hedgerow Data'!$B$1:$AH$15,33,FALSE))</f>
        <v/>
      </c>
      <c r="N140" s="289" t="str">
        <f t="shared" si="16"/>
        <v/>
      </c>
      <c r="O140" s="32"/>
      <c r="P140" s="105"/>
      <c r="Q140" s="138"/>
      <c r="R140" s="306" t="str">
        <f t="shared" si="17"/>
        <v/>
      </c>
      <c r="S140" s="306" t="str">
        <f t="shared" si="18"/>
        <v/>
      </c>
      <c r="T140" s="306" t="str">
        <f t="shared" si="19"/>
        <v/>
      </c>
      <c r="U140" s="327" t="str">
        <f t="shared" si="20"/>
        <v/>
      </c>
      <c r="V140" s="105"/>
      <c r="W140" s="104"/>
      <c r="X140" s="104"/>
      <c r="AE140" s="107" t="str">
        <f t="shared" si="14"/>
        <v/>
      </c>
      <c r="AF140" s="107" t="str">
        <f t="shared" si="15"/>
        <v/>
      </c>
      <c r="AH140" s="107">
        <v>131</v>
      </c>
      <c r="AJ140" s="107" t="str">
        <f t="array" ref="AJ140">IFERROR(INDEX($AH$10:$AH$258,MATCH(0,IF(TRUE=$AE$10:$AE$258,COUNTIF($AJ$9:$AJ139,$AH$10:$AH$258),""),0)),"")</f>
        <v/>
      </c>
      <c r="AK140" s="107" t="str">
        <f t="array" ref="AK140">IFERROR(INDEX($AH$10:$AH$258,MATCH(0,IF(TRUE=$AF$10:$AF$258,COUNTIF($AK$9:$AK139,$AH$10:$AH$258),""),0)),"")</f>
        <v/>
      </c>
      <c r="AL140" s="30" t="str">
        <f>IFERROR(INDEX('G-6 Hedgerow Data'!$BJ$3:$BJ$15,MATCH(D140,'G-6 Hedgerow Data'!$B$3:$B$15,0)),"")</f>
        <v/>
      </c>
    </row>
    <row r="141" spans="2:38" ht="14" hidden="1">
      <c r="B141" s="97">
        <v>132</v>
      </c>
      <c r="C141" s="138"/>
      <c r="D141" s="138"/>
      <c r="E141" s="104"/>
      <c r="F141" s="323" t="str">
        <f>IF(D141="","",VLOOKUP(D141,'G-6 Hedgerow Data'!$B$2:$AG$15,2,FALSE))</f>
        <v/>
      </c>
      <c r="G141" s="276" t="str">
        <f>IF(D141="","",VLOOKUP(D141,'G-6 Hedgerow Data'!$B$2:$AG$15,3,FALSE))</f>
        <v/>
      </c>
      <c r="H141" s="101"/>
      <c r="I141" s="276" t="str">
        <f>IFERROR(IF(AND(D141&lt;&gt;"",H141=""),"Check data ⚠",IF(H141="","",IF(AND(D141="Non-native and ornamental hedgerow",H141&lt;&gt;"Poor"),"Not possible ▲",(VLOOKUP(H141,'G-1 All Habitats'!$Z$2:$AA$9,2,FALSE))))),"")</f>
        <v/>
      </c>
      <c r="J141" s="101"/>
      <c r="K141" s="283" t="str">
        <f>IF(AND(D141&lt;&gt;"",J141=""),"Check data ⚠",IF(J141="","",IF(VLOOKUP(J141,'G-3 Multipliers'!$L$3:$N$6,2,FALSE)=0,"Spatial Data Missing",VLOOKUP(J141,'G-3 Multipliers'!$L$3:$N$6,2,FALSE))))</f>
        <v/>
      </c>
      <c r="L141" s="281" t="str">
        <f>IF(J141="","",IF(VLOOKUP(J141,'G-3 Multipliers'!$L$3:$N$6,3,FALSE)=0,"Spatial Data Missing ⚠",VLOOKUP(J141,'G-3 Multipliers'!$L$3:$N$6,3,FALSE)))</f>
        <v/>
      </c>
      <c r="M141" s="282" t="str">
        <f>IF(D141="","",VLOOKUP(D141,'G-6 Hedgerow Data'!$B$1:$AH$15,33,FALSE))</f>
        <v/>
      </c>
      <c r="N141" s="289" t="str">
        <f t="shared" si="16"/>
        <v/>
      </c>
      <c r="O141" s="32"/>
      <c r="P141" s="105"/>
      <c r="Q141" s="138"/>
      <c r="R141" s="306" t="str">
        <f t="shared" si="17"/>
        <v/>
      </c>
      <c r="S141" s="306" t="str">
        <f t="shared" si="18"/>
        <v/>
      </c>
      <c r="T141" s="306" t="str">
        <f t="shared" si="19"/>
        <v/>
      </c>
      <c r="U141" s="327" t="str">
        <f t="shared" si="20"/>
        <v/>
      </c>
      <c r="V141" s="105"/>
      <c r="W141" s="104"/>
      <c r="X141" s="104"/>
      <c r="AE141" s="107" t="str">
        <f t="shared" si="14"/>
        <v/>
      </c>
      <c r="AF141" s="107" t="str">
        <f t="shared" si="15"/>
        <v/>
      </c>
      <c r="AH141" s="107">
        <v>132</v>
      </c>
      <c r="AJ141" s="107" t="str">
        <f t="array" ref="AJ141">IFERROR(INDEX($AH$10:$AH$258,MATCH(0,IF(TRUE=$AE$10:$AE$258,COUNTIF($AJ$9:$AJ140,$AH$10:$AH$258),""),0)),"")</f>
        <v/>
      </c>
      <c r="AK141" s="107" t="str">
        <f t="array" ref="AK141">IFERROR(INDEX($AH$10:$AH$258,MATCH(0,IF(TRUE=$AF$10:$AF$258,COUNTIF($AK$9:$AK140,$AH$10:$AH$258),""),0)),"")</f>
        <v/>
      </c>
      <c r="AL141" s="30" t="str">
        <f>IFERROR(INDEX('G-6 Hedgerow Data'!$BJ$3:$BJ$15,MATCH(D141,'G-6 Hedgerow Data'!$B$3:$B$15,0)),"")</f>
        <v/>
      </c>
    </row>
    <row r="142" spans="2:38" ht="14" hidden="1">
      <c r="B142" s="97">
        <v>133</v>
      </c>
      <c r="C142" s="138"/>
      <c r="D142" s="138"/>
      <c r="E142" s="104"/>
      <c r="F142" s="323" t="str">
        <f>IF(D142="","",VLOOKUP(D142,'G-6 Hedgerow Data'!$B$2:$AG$15,2,FALSE))</f>
        <v/>
      </c>
      <c r="G142" s="276" t="str">
        <f>IF(D142="","",VLOOKUP(D142,'G-6 Hedgerow Data'!$B$2:$AG$15,3,FALSE))</f>
        <v/>
      </c>
      <c r="H142" s="101"/>
      <c r="I142" s="276" t="str">
        <f>IFERROR(IF(AND(D142&lt;&gt;"",H142=""),"Check data ⚠",IF(H142="","",IF(AND(D142="Non-native and ornamental hedgerow",H142&lt;&gt;"Poor"),"Not possible ▲",(VLOOKUP(H142,'G-1 All Habitats'!$Z$2:$AA$9,2,FALSE))))),"")</f>
        <v/>
      </c>
      <c r="J142" s="101"/>
      <c r="K142" s="283" t="str">
        <f>IF(AND(D142&lt;&gt;"",J142=""),"Check data ⚠",IF(J142="","",IF(VLOOKUP(J142,'G-3 Multipliers'!$L$3:$N$6,2,FALSE)=0,"Spatial Data Missing",VLOOKUP(J142,'G-3 Multipliers'!$L$3:$N$6,2,FALSE))))</f>
        <v/>
      </c>
      <c r="L142" s="281" t="str">
        <f>IF(J142="","",IF(VLOOKUP(J142,'G-3 Multipliers'!$L$3:$N$6,3,FALSE)=0,"Spatial Data Missing ⚠",VLOOKUP(J142,'G-3 Multipliers'!$L$3:$N$6,3,FALSE)))</f>
        <v/>
      </c>
      <c r="M142" s="282" t="str">
        <f>IF(D142="","",VLOOKUP(D142,'G-6 Hedgerow Data'!$B$1:$AH$15,33,FALSE))</f>
        <v/>
      </c>
      <c r="N142" s="289" t="str">
        <f t="shared" si="16"/>
        <v/>
      </c>
      <c r="O142" s="32"/>
      <c r="P142" s="105"/>
      <c r="Q142" s="138"/>
      <c r="R142" s="306" t="str">
        <f t="shared" si="17"/>
        <v/>
      </c>
      <c r="S142" s="306" t="str">
        <f t="shared" si="18"/>
        <v/>
      </c>
      <c r="T142" s="306" t="str">
        <f t="shared" si="19"/>
        <v/>
      </c>
      <c r="U142" s="327" t="str">
        <f t="shared" si="20"/>
        <v/>
      </c>
      <c r="V142" s="105"/>
      <c r="W142" s="104"/>
      <c r="X142" s="104"/>
      <c r="AE142" s="107" t="str">
        <f t="shared" si="14"/>
        <v/>
      </c>
      <c r="AF142" s="107" t="str">
        <f t="shared" si="15"/>
        <v/>
      </c>
      <c r="AH142" s="107">
        <v>133</v>
      </c>
      <c r="AJ142" s="107" t="str">
        <f t="array" ref="AJ142">IFERROR(INDEX($AH$10:$AH$258,MATCH(0,IF(TRUE=$AE$10:$AE$258,COUNTIF($AJ$9:$AJ141,$AH$10:$AH$258),""),0)),"")</f>
        <v/>
      </c>
      <c r="AK142" s="107" t="str">
        <f t="array" ref="AK142">IFERROR(INDEX($AH$10:$AH$258,MATCH(0,IF(TRUE=$AF$10:$AF$258,COUNTIF($AK$9:$AK141,$AH$10:$AH$258),""),0)),"")</f>
        <v/>
      </c>
      <c r="AL142" s="30" t="str">
        <f>IFERROR(INDEX('G-6 Hedgerow Data'!$BJ$3:$BJ$15,MATCH(D142,'G-6 Hedgerow Data'!$B$3:$B$15,0)),"")</f>
        <v/>
      </c>
    </row>
    <row r="143" spans="2:38" ht="14" hidden="1">
      <c r="B143" s="97">
        <v>134</v>
      </c>
      <c r="C143" s="138"/>
      <c r="D143" s="138"/>
      <c r="E143" s="104"/>
      <c r="F143" s="323" t="str">
        <f>IF(D143="","",VLOOKUP(D143,'G-6 Hedgerow Data'!$B$2:$AG$15,2,FALSE))</f>
        <v/>
      </c>
      <c r="G143" s="276" t="str">
        <f>IF(D143="","",VLOOKUP(D143,'G-6 Hedgerow Data'!$B$2:$AG$15,3,FALSE))</f>
        <v/>
      </c>
      <c r="H143" s="101"/>
      <c r="I143" s="276" t="str">
        <f>IFERROR(IF(AND(D143&lt;&gt;"",H143=""),"Check data ⚠",IF(H143="","",IF(AND(D143="Non-native and ornamental hedgerow",H143&lt;&gt;"Poor"),"Not possible ▲",(VLOOKUP(H143,'G-1 All Habitats'!$Z$2:$AA$9,2,FALSE))))),"")</f>
        <v/>
      </c>
      <c r="J143" s="101"/>
      <c r="K143" s="283" t="str">
        <f>IF(AND(D143&lt;&gt;"",J143=""),"Check data ⚠",IF(J143="","",IF(VLOOKUP(J143,'G-3 Multipliers'!$L$3:$N$6,2,FALSE)=0,"Spatial Data Missing",VLOOKUP(J143,'G-3 Multipliers'!$L$3:$N$6,2,FALSE))))</f>
        <v/>
      </c>
      <c r="L143" s="281" t="str">
        <f>IF(J143="","",IF(VLOOKUP(J143,'G-3 Multipliers'!$L$3:$N$6,3,FALSE)=0,"Spatial Data Missing ⚠",VLOOKUP(J143,'G-3 Multipliers'!$L$3:$N$6,3,FALSE)))</f>
        <v/>
      </c>
      <c r="M143" s="282" t="str">
        <f>IF(D143="","",VLOOKUP(D143,'G-6 Hedgerow Data'!$B$1:$AH$15,33,FALSE))</f>
        <v/>
      </c>
      <c r="N143" s="289" t="str">
        <f t="shared" si="16"/>
        <v/>
      </c>
      <c r="O143" s="32"/>
      <c r="P143" s="105"/>
      <c r="Q143" s="138"/>
      <c r="R143" s="306" t="str">
        <f t="shared" si="17"/>
        <v/>
      </c>
      <c r="S143" s="306" t="str">
        <f t="shared" si="18"/>
        <v/>
      </c>
      <c r="T143" s="306" t="str">
        <f t="shared" si="19"/>
        <v/>
      </c>
      <c r="U143" s="327" t="str">
        <f t="shared" si="20"/>
        <v/>
      </c>
      <c r="V143" s="105"/>
      <c r="W143" s="104"/>
      <c r="X143" s="104"/>
      <c r="AE143" s="107" t="str">
        <f t="shared" si="14"/>
        <v/>
      </c>
      <c r="AF143" s="107" t="str">
        <f t="shared" si="15"/>
        <v/>
      </c>
      <c r="AH143" s="107">
        <v>134</v>
      </c>
      <c r="AJ143" s="107" t="str">
        <f t="array" ref="AJ143">IFERROR(INDEX($AH$10:$AH$258,MATCH(0,IF(TRUE=$AE$10:$AE$258,COUNTIF($AJ$9:$AJ142,$AH$10:$AH$258),""),0)),"")</f>
        <v/>
      </c>
      <c r="AK143" s="107" t="str">
        <f t="array" ref="AK143">IFERROR(INDEX($AH$10:$AH$258,MATCH(0,IF(TRUE=$AF$10:$AF$258,COUNTIF($AK$9:$AK142,$AH$10:$AH$258),""),0)),"")</f>
        <v/>
      </c>
      <c r="AL143" s="30" t="str">
        <f>IFERROR(INDEX('G-6 Hedgerow Data'!$BJ$3:$BJ$15,MATCH(D143,'G-6 Hedgerow Data'!$B$3:$B$15,0)),"")</f>
        <v/>
      </c>
    </row>
    <row r="144" spans="2:38" ht="14" hidden="1">
      <c r="B144" s="97">
        <v>135</v>
      </c>
      <c r="C144" s="138"/>
      <c r="D144" s="138"/>
      <c r="E144" s="104"/>
      <c r="F144" s="323" t="str">
        <f>IF(D144="","",VLOOKUP(D144,'G-6 Hedgerow Data'!$B$2:$AG$15,2,FALSE))</f>
        <v/>
      </c>
      <c r="G144" s="276" t="str">
        <f>IF(D144="","",VLOOKUP(D144,'G-6 Hedgerow Data'!$B$2:$AG$15,3,FALSE))</f>
        <v/>
      </c>
      <c r="H144" s="101"/>
      <c r="I144" s="276" t="str">
        <f>IFERROR(IF(AND(D144&lt;&gt;"",H144=""),"Check data ⚠",IF(H144="","",IF(AND(D144="Non-native and ornamental hedgerow",H144&lt;&gt;"Poor"),"Not possible ▲",(VLOOKUP(H144,'G-1 All Habitats'!$Z$2:$AA$9,2,FALSE))))),"")</f>
        <v/>
      </c>
      <c r="J144" s="101"/>
      <c r="K144" s="283" t="str">
        <f>IF(AND(D144&lt;&gt;"",J144=""),"Check data ⚠",IF(J144="","",IF(VLOOKUP(J144,'G-3 Multipliers'!$L$3:$N$6,2,FALSE)=0,"Spatial Data Missing",VLOOKUP(J144,'G-3 Multipliers'!$L$3:$N$6,2,FALSE))))</f>
        <v/>
      </c>
      <c r="L144" s="281" t="str">
        <f>IF(J144="","",IF(VLOOKUP(J144,'G-3 Multipliers'!$L$3:$N$6,3,FALSE)=0,"Spatial Data Missing ⚠",VLOOKUP(J144,'G-3 Multipliers'!$L$3:$N$6,3,FALSE)))</f>
        <v/>
      </c>
      <c r="M144" s="282" t="str">
        <f>IF(D144="","",VLOOKUP(D144,'G-6 Hedgerow Data'!$B$1:$AH$15,33,FALSE))</f>
        <v/>
      </c>
      <c r="N144" s="289" t="str">
        <f t="shared" si="16"/>
        <v/>
      </c>
      <c r="O144" s="32"/>
      <c r="P144" s="105"/>
      <c r="Q144" s="138"/>
      <c r="R144" s="306" t="str">
        <f t="shared" si="17"/>
        <v/>
      </c>
      <c r="S144" s="306" t="str">
        <f t="shared" si="18"/>
        <v/>
      </c>
      <c r="T144" s="306" t="str">
        <f t="shared" si="19"/>
        <v/>
      </c>
      <c r="U144" s="327" t="str">
        <f t="shared" si="20"/>
        <v/>
      </c>
      <c r="V144" s="105"/>
      <c r="W144" s="104"/>
      <c r="X144" s="104"/>
      <c r="AE144" s="107" t="str">
        <f t="shared" si="14"/>
        <v/>
      </c>
      <c r="AF144" s="107" t="str">
        <f t="shared" si="15"/>
        <v/>
      </c>
      <c r="AH144" s="107">
        <v>135</v>
      </c>
      <c r="AJ144" s="107" t="str">
        <f t="array" ref="AJ144">IFERROR(INDEX($AH$10:$AH$258,MATCH(0,IF(TRUE=$AE$10:$AE$258,COUNTIF($AJ$9:$AJ143,$AH$10:$AH$258),""),0)),"")</f>
        <v/>
      </c>
      <c r="AK144" s="107" t="str">
        <f t="array" ref="AK144">IFERROR(INDEX($AH$10:$AH$258,MATCH(0,IF(TRUE=$AF$10:$AF$258,COUNTIF($AK$9:$AK143,$AH$10:$AH$258),""),0)),"")</f>
        <v/>
      </c>
      <c r="AL144" s="30" t="str">
        <f>IFERROR(INDEX('G-6 Hedgerow Data'!$BJ$3:$BJ$15,MATCH(D144,'G-6 Hedgerow Data'!$B$3:$B$15,0)),"")</f>
        <v/>
      </c>
    </row>
    <row r="145" spans="2:38" ht="14" hidden="1">
      <c r="B145" s="97">
        <v>136</v>
      </c>
      <c r="C145" s="138"/>
      <c r="D145" s="138"/>
      <c r="E145" s="104"/>
      <c r="F145" s="323" t="str">
        <f>IF(D145="","",VLOOKUP(D145,'G-6 Hedgerow Data'!$B$2:$AG$15,2,FALSE))</f>
        <v/>
      </c>
      <c r="G145" s="276" t="str">
        <f>IF(D145="","",VLOOKUP(D145,'G-6 Hedgerow Data'!$B$2:$AG$15,3,FALSE))</f>
        <v/>
      </c>
      <c r="H145" s="101"/>
      <c r="I145" s="276" t="str">
        <f>IFERROR(IF(AND(D145&lt;&gt;"",H145=""),"Check data ⚠",IF(H145="","",IF(AND(D145="Non-native and ornamental hedgerow",H145&lt;&gt;"Poor"),"Not possible ▲",(VLOOKUP(H145,'G-1 All Habitats'!$Z$2:$AA$9,2,FALSE))))),"")</f>
        <v/>
      </c>
      <c r="J145" s="101"/>
      <c r="K145" s="283" t="str">
        <f>IF(AND(D145&lt;&gt;"",J145=""),"Check data ⚠",IF(J145="","",IF(VLOOKUP(J145,'G-3 Multipliers'!$L$3:$N$6,2,FALSE)=0,"Spatial Data Missing",VLOOKUP(J145,'G-3 Multipliers'!$L$3:$N$6,2,FALSE))))</f>
        <v/>
      </c>
      <c r="L145" s="281" t="str">
        <f>IF(J145="","",IF(VLOOKUP(J145,'G-3 Multipliers'!$L$3:$N$6,3,FALSE)=0,"Spatial Data Missing ⚠",VLOOKUP(J145,'G-3 Multipliers'!$L$3:$N$6,3,FALSE)))</f>
        <v/>
      </c>
      <c r="M145" s="282" t="str">
        <f>IF(D145="","",VLOOKUP(D145,'G-6 Hedgerow Data'!$B$1:$AH$15,33,FALSE))</f>
        <v/>
      </c>
      <c r="N145" s="289" t="str">
        <f t="shared" si="16"/>
        <v/>
      </c>
      <c r="O145" s="32"/>
      <c r="P145" s="105"/>
      <c r="Q145" s="138"/>
      <c r="R145" s="306" t="str">
        <f t="shared" si="17"/>
        <v/>
      </c>
      <c r="S145" s="306" t="str">
        <f t="shared" si="18"/>
        <v/>
      </c>
      <c r="T145" s="306" t="str">
        <f t="shared" si="19"/>
        <v/>
      </c>
      <c r="U145" s="327" t="str">
        <f t="shared" si="20"/>
        <v/>
      </c>
      <c r="V145" s="105"/>
      <c r="W145" s="104"/>
      <c r="X145" s="104"/>
      <c r="AE145" s="107" t="str">
        <f t="shared" si="14"/>
        <v/>
      </c>
      <c r="AF145" s="107" t="str">
        <f t="shared" si="15"/>
        <v/>
      </c>
      <c r="AH145" s="107">
        <v>136</v>
      </c>
      <c r="AJ145" s="107" t="str">
        <f t="array" ref="AJ145">IFERROR(INDEX($AH$10:$AH$258,MATCH(0,IF(TRUE=$AE$10:$AE$258,COUNTIF($AJ$9:$AJ144,$AH$10:$AH$258),""),0)),"")</f>
        <v/>
      </c>
      <c r="AK145" s="107" t="str">
        <f t="array" ref="AK145">IFERROR(INDEX($AH$10:$AH$258,MATCH(0,IF(TRUE=$AF$10:$AF$258,COUNTIF($AK$9:$AK144,$AH$10:$AH$258),""),0)),"")</f>
        <v/>
      </c>
      <c r="AL145" s="30" t="str">
        <f>IFERROR(INDEX('G-6 Hedgerow Data'!$BJ$3:$BJ$15,MATCH(D145,'G-6 Hedgerow Data'!$B$3:$B$15,0)),"")</f>
        <v/>
      </c>
    </row>
    <row r="146" spans="2:38" ht="14" hidden="1">
      <c r="B146" s="97">
        <v>137</v>
      </c>
      <c r="C146" s="138"/>
      <c r="D146" s="138"/>
      <c r="E146" s="104"/>
      <c r="F146" s="323" t="str">
        <f>IF(D146="","",VLOOKUP(D146,'G-6 Hedgerow Data'!$B$2:$AG$15,2,FALSE))</f>
        <v/>
      </c>
      <c r="G146" s="276" t="str">
        <f>IF(D146="","",VLOOKUP(D146,'G-6 Hedgerow Data'!$B$2:$AG$15,3,FALSE))</f>
        <v/>
      </c>
      <c r="H146" s="101"/>
      <c r="I146" s="276" t="str">
        <f>IFERROR(IF(AND(D146&lt;&gt;"",H146=""),"Check data ⚠",IF(H146="","",IF(AND(D146="Non-native and ornamental hedgerow",H146&lt;&gt;"Poor"),"Not possible ▲",(VLOOKUP(H146,'G-1 All Habitats'!$Z$2:$AA$9,2,FALSE))))),"")</f>
        <v/>
      </c>
      <c r="J146" s="101"/>
      <c r="K146" s="283" t="str">
        <f>IF(AND(D146&lt;&gt;"",J146=""),"Check data ⚠",IF(J146="","",IF(VLOOKUP(J146,'G-3 Multipliers'!$L$3:$N$6,2,FALSE)=0,"Spatial Data Missing",VLOOKUP(J146,'G-3 Multipliers'!$L$3:$N$6,2,FALSE))))</f>
        <v/>
      </c>
      <c r="L146" s="281" t="str">
        <f>IF(J146="","",IF(VLOOKUP(J146,'G-3 Multipliers'!$L$3:$N$6,3,FALSE)=0,"Spatial Data Missing ⚠",VLOOKUP(J146,'G-3 Multipliers'!$L$3:$N$6,3,FALSE)))</f>
        <v/>
      </c>
      <c r="M146" s="282" t="str">
        <f>IF(D146="","",VLOOKUP(D146,'G-6 Hedgerow Data'!$B$1:$AH$15,33,FALSE))</f>
        <v/>
      </c>
      <c r="N146" s="289" t="str">
        <f t="shared" si="16"/>
        <v/>
      </c>
      <c r="O146" s="32"/>
      <c r="P146" s="105"/>
      <c r="Q146" s="138"/>
      <c r="R146" s="306" t="str">
        <f t="shared" si="17"/>
        <v/>
      </c>
      <c r="S146" s="306" t="str">
        <f t="shared" si="18"/>
        <v/>
      </c>
      <c r="T146" s="306" t="str">
        <f t="shared" si="19"/>
        <v/>
      </c>
      <c r="U146" s="327" t="str">
        <f t="shared" si="20"/>
        <v/>
      </c>
      <c r="V146" s="105"/>
      <c r="W146" s="104"/>
      <c r="X146" s="104"/>
      <c r="AE146" s="107" t="str">
        <f t="shared" si="14"/>
        <v/>
      </c>
      <c r="AF146" s="107" t="str">
        <f t="shared" si="15"/>
        <v/>
      </c>
      <c r="AH146" s="107">
        <v>137</v>
      </c>
      <c r="AJ146" s="107" t="str">
        <f t="array" ref="AJ146">IFERROR(INDEX($AH$10:$AH$258,MATCH(0,IF(TRUE=$AE$10:$AE$258,COUNTIF($AJ$9:$AJ145,$AH$10:$AH$258),""),0)),"")</f>
        <v/>
      </c>
      <c r="AK146" s="107" t="str">
        <f t="array" ref="AK146">IFERROR(INDEX($AH$10:$AH$258,MATCH(0,IF(TRUE=$AF$10:$AF$258,COUNTIF($AK$9:$AK145,$AH$10:$AH$258),""),0)),"")</f>
        <v/>
      </c>
      <c r="AL146" s="30" t="str">
        <f>IFERROR(INDEX('G-6 Hedgerow Data'!$BJ$3:$BJ$15,MATCH(D146,'G-6 Hedgerow Data'!$B$3:$B$15,0)),"")</f>
        <v/>
      </c>
    </row>
    <row r="147" spans="2:38" ht="14" hidden="1">
      <c r="B147" s="97">
        <v>138</v>
      </c>
      <c r="C147" s="138"/>
      <c r="D147" s="138"/>
      <c r="E147" s="104"/>
      <c r="F147" s="323" t="str">
        <f>IF(D147="","",VLOOKUP(D147,'G-6 Hedgerow Data'!$B$2:$AG$15,2,FALSE))</f>
        <v/>
      </c>
      <c r="G147" s="276" t="str">
        <f>IF(D147="","",VLOOKUP(D147,'G-6 Hedgerow Data'!$B$2:$AG$15,3,FALSE))</f>
        <v/>
      </c>
      <c r="H147" s="101"/>
      <c r="I147" s="276" t="str">
        <f>IFERROR(IF(AND(D147&lt;&gt;"",H147=""),"Check data ⚠",IF(H147="","",IF(AND(D147="Non-native and ornamental hedgerow",H147&lt;&gt;"Poor"),"Not possible ▲",(VLOOKUP(H147,'G-1 All Habitats'!$Z$2:$AA$9,2,FALSE))))),"")</f>
        <v/>
      </c>
      <c r="J147" s="101"/>
      <c r="K147" s="283" t="str">
        <f>IF(AND(D147&lt;&gt;"",J147=""),"Check data ⚠",IF(J147="","",IF(VLOOKUP(J147,'G-3 Multipliers'!$L$3:$N$6,2,FALSE)=0,"Spatial Data Missing",VLOOKUP(J147,'G-3 Multipliers'!$L$3:$N$6,2,FALSE))))</f>
        <v/>
      </c>
      <c r="L147" s="281" t="str">
        <f>IF(J147="","",IF(VLOOKUP(J147,'G-3 Multipliers'!$L$3:$N$6,3,FALSE)=0,"Spatial Data Missing ⚠",VLOOKUP(J147,'G-3 Multipliers'!$L$3:$N$6,3,FALSE)))</f>
        <v/>
      </c>
      <c r="M147" s="282" t="str">
        <f>IF(D147="","",VLOOKUP(D147,'G-6 Hedgerow Data'!$B$1:$AH$15,33,FALSE))</f>
        <v/>
      </c>
      <c r="N147" s="289" t="str">
        <f t="shared" si="16"/>
        <v/>
      </c>
      <c r="O147" s="32"/>
      <c r="P147" s="105"/>
      <c r="Q147" s="138"/>
      <c r="R147" s="306" t="str">
        <f t="shared" si="17"/>
        <v/>
      </c>
      <c r="S147" s="306" t="str">
        <f t="shared" si="18"/>
        <v/>
      </c>
      <c r="T147" s="306" t="str">
        <f t="shared" si="19"/>
        <v/>
      </c>
      <c r="U147" s="327" t="str">
        <f t="shared" si="20"/>
        <v/>
      </c>
      <c r="V147" s="105"/>
      <c r="W147" s="104"/>
      <c r="X147" s="104"/>
      <c r="AE147" s="107" t="str">
        <f t="shared" si="14"/>
        <v/>
      </c>
      <c r="AF147" s="107" t="str">
        <f t="shared" si="15"/>
        <v/>
      </c>
      <c r="AH147" s="107">
        <v>138</v>
      </c>
      <c r="AJ147" s="107" t="str">
        <f t="array" ref="AJ147">IFERROR(INDEX($AH$10:$AH$258,MATCH(0,IF(TRUE=$AE$10:$AE$258,COUNTIF($AJ$9:$AJ146,$AH$10:$AH$258),""),0)),"")</f>
        <v/>
      </c>
      <c r="AK147" s="107" t="str">
        <f t="array" ref="AK147">IFERROR(INDEX($AH$10:$AH$258,MATCH(0,IF(TRUE=$AF$10:$AF$258,COUNTIF($AK$9:$AK146,$AH$10:$AH$258),""),0)),"")</f>
        <v/>
      </c>
      <c r="AL147" s="30" t="str">
        <f>IFERROR(INDEX('G-6 Hedgerow Data'!$BJ$3:$BJ$15,MATCH(D147,'G-6 Hedgerow Data'!$B$3:$B$15,0)),"")</f>
        <v/>
      </c>
    </row>
    <row r="148" spans="2:38" ht="14" hidden="1">
      <c r="B148" s="97">
        <v>139</v>
      </c>
      <c r="C148" s="138"/>
      <c r="D148" s="138"/>
      <c r="E148" s="104"/>
      <c r="F148" s="323" t="str">
        <f>IF(D148="","",VLOOKUP(D148,'G-6 Hedgerow Data'!$B$2:$AG$15,2,FALSE))</f>
        <v/>
      </c>
      <c r="G148" s="276" t="str">
        <f>IF(D148="","",VLOOKUP(D148,'G-6 Hedgerow Data'!$B$2:$AG$15,3,FALSE))</f>
        <v/>
      </c>
      <c r="H148" s="101"/>
      <c r="I148" s="276" t="str">
        <f>IFERROR(IF(AND(D148&lt;&gt;"",H148=""),"Check data ⚠",IF(H148="","",IF(AND(D148="Non-native and ornamental hedgerow",H148&lt;&gt;"Poor"),"Not possible ▲",(VLOOKUP(H148,'G-1 All Habitats'!$Z$2:$AA$9,2,FALSE))))),"")</f>
        <v/>
      </c>
      <c r="J148" s="101"/>
      <c r="K148" s="283" t="str">
        <f>IF(AND(D148&lt;&gt;"",J148=""),"Check data ⚠",IF(J148="","",IF(VLOOKUP(J148,'G-3 Multipliers'!$L$3:$N$6,2,FALSE)=0,"Spatial Data Missing",VLOOKUP(J148,'G-3 Multipliers'!$L$3:$N$6,2,FALSE))))</f>
        <v/>
      </c>
      <c r="L148" s="281" t="str">
        <f>IF(J148="","",IF(VLOOKUP(J148,'G-3 Multipliers'!$L$3:$N$6,3,FALSE)=0,"Spatial Data Missing ⚠",VLOOKUP(J148,'G-3 Multipliers'!$L$3:$N$6,3,FALSE)))</f>
        <v/>
      </c>
      <c r="M148" s="282" t="str">
        <f>IF(D148="","",VLOOKUP(D148,'G-6 Hedgerow Data'!$B$1:$AH$15,33,FALSE))</f>
        <v/>
      </c>
      <c r="N148" s="289" t="str">
        <f t="shared" si="16"/>
        <v/>
      </c>
      <c r="O148" s="32"/>
      <c r="P148" s="105"/>
      <c r="Q148" s="138"/>
      <c r="R148" s="306" t="str">
        <f t="shared" si="17"/>
        <v/>
      </c>
      <c r="S148" s="306" t="str">
        <f t="shared" si="18"/>
        <v/>
      </c>
      <c r="T148" s="306" t="str">
        <f t="shared" si="19"/>
        <v/>
      </c>
      <c r="U148" s="327" t="str">
        <f t="shared" si="20"/>
        <v/>
      </c>
      <c r="V148" s="105"/>
      <c r="W148" s="104"/>
      <c r="X148" s="104"/>
      <c r="AE148" s="107" t="str">
        <f t="shared" si="14"/>
        <v/>
      </c>
      <c r="AF148" s="107" t="str">
        <f t="shared" si="15"/>
        <v/>
      </c>
      <c r="AH148" s="107">
        <v>139</v>
      </c>
      <c r="AJ148" s="107" t="str">
        <f t="array" ref="AJ148">IFERROR(INDEX($AH$10:$AH$258,MATCH(0,IF(TRUE=$AE$10:$AE$258,COUNTIF($AJ$9:$AJ147,$AH$10:$AH$258),""),0)),"")</f>
        <v/>
      </c>
      <c r="AK148" s="107" t="str">
        <f t="array" ref="AK148">IFERROR(INDEX($AH$10:$AH$258,MATCH(0,IF(TRUE=$AF$10:$AF$258,COUNTIF($AK$9:$AK147,$AH$10:$AH$258),""),0)),"")</f>
        <v/>
      </c>
      <c r="AL148" s="30" t="str">
        <f>IFERROR(INDEX('G-6 Hedgerow Data'!$BJ$3:$BJ$15,MATCH(D148,'G-6 Hedgerow Data'!$B$3:$B$15,0)),"")</f>
        <v/>
      </c>
    </row>
    <row r="149" spans="2:38" ht="14" hidden="1">
      <c r="B149" s="97">
        <v>140</v>
      </c>
      <c r="C149" s="138"/>
      <c r="D149" s="138"/>
      <c r="E149" s="104"/>
      <c r="F149" s="323" t="str">
        <f>IF(D149="","",VLOOKUP(D149,'G-6 Hedgerow Data'!$B$2:$AG$15,2,FALSE))</f>
        <v/>
      </c>
      <c r="G149" s="276" t="str">
        <f>IF(D149="","",VLOOKUP(D149,'G-6 Hedgerow Data'!$B$2:$AG$15,3,FALSE))</f>
        <v/>
      </c>
      <c r="H149" s="101"/>
      <c r="I149" s="276" t="str">
        <f>IFERROR(IF(AND(D149&lt;&gt;"",H149=""),"Check data ⚠",IF(H149="","",IF(AND(D149="Non-native and ornamental hedgerow",H149&lt;&gt;"Poor"),"Not possible ▲",(VLOOKUP(H149,'G-1 All Habitats'!$Z$2:$AA$9,2,FALSE))))),"")</f>
        <v/>
      </c>
      <c r="J149" s="101"/>
      <c r="K149" s="283" t="str">
        <f>IF(AND(D149&lt;&gt;"",J149=""),"Check data ⚠",IF(J149="","",IF(VLOOKUP(J149,'G-3 Multipliers'!$L$3:$N$6,2,FALSE)=0,"Spatial Data Missing",VLOOKUP(J149,'G-3 Multipliers'!$L$3:$N$6,2,FALSE))))</f>
        <v/>
      </c>
      <c r="L149" s="281" t="str">
        <f>IF(J149="","",IF(VLOOKUP(J149,'G-3 Multipliers'!$L$3:$N$6,3,FALSE)=0,"Spatial Data Missing ⚠",VLOOKUP(J149,'G-3 Multipliers'!$L$3:$N$6,3,FALSE)))</f>
        <v/>
      </c>
      <c r="M149" s="282" t="str">
        <f>IF(D149="","",VLOOKUP(D149,'G-6 Hedgerow Data'!$B$1:$AH$15,33,FALSE))</f>
        <v/>
      </c>
      <c r="N149" s="289" t="str">
        <f t="shared" si="16"/>
        <v/>
      </c>
      <c r="O149" s="32"/>
      <c r="P149" s="105"/>
      <c r="Q149" s="138"/>
      <c r="R149" s="306" t="str">
        <f t="shared" si="17"/>
        <v/>
      </c>
      <c r="S149" s="306" t="str">
        <f t="shared" si="18"/>
        <v/>
      </c>
      <c r="T149" s="306" t="str">
        <f t="shared" si="19"/>
        <v/>
      </c>
      <c r="U149" s="327" t="str">
        <f t="shared" si="20"/>
        <v/>
      </c>
      <c r="V149" s="105"/>
      <c r="W149" s="104"/>
      <c r="X149" s="104"/>
      <c r="AE149" s="107" t="str">
        <f t="shared" si="14"/>
        <v/>
      </c>
      <c r="AF149" s="107" t="str">
        <f t="shared" si="15"/>
        <v/>
      </c>
      <c r="AH149" s="107">
        <v>140</v>
      </c>
      <c r="AJ149" s="107" t="str">
        <f t="array" ref="AJ149">IFERROR(INDEX($AH$10:$AH$258,MATCH(0,IF(TRUE=$AE$10:$AE$258,COUNTIF($AJ$9:$AJ148,$AH$10:$AH$258),""),0)),"")</f>
        <v/>
      </c>
      <c r="AK149" s="107" t="str">
        <f t="array" ref="AK149">IFERROR(INDEX($AH$10:$AH$258,MATCH(0,IF(TRUE=$AF$10:$AF$258,COUNTIF($AK$9:$AK148,$AH$10:$AH$258),""),0)),"")</f>
        <v/>
      </c>
      <c r="AL149" s="30" t="str">
        <f>IFERROR(INDEX('G-6 Hedgerow Data'!$BJ$3:$BJ$15,MATCH(D149,'G-6 Hedgerow Data'!$B$3:$B$15,0)),"")</f>
        <v/>
      </c>
    </row>
    <row r="150" spans="2:38" ht="14" hidden="1">
      <c r="B150" s="97">
        <v>141</v>
      </c>
      <c r="C150" s="138"/>
      <c r="D150" s="138"/>
      <c r="E150" s="104"/>
      <c r="F150" s="323" t="str">
        <f>IF(D150="","",VLOOKUP(D150,'G-6 Hedgerow Data'!$B$2:$AG$15,2,FALSE))</f>
        <v/>
      </c>
      <c r="G150" s="276" t="str">
        <f>IF(D150="","",VLOOKUP(D150,'G-6 Hedgerow Data'!$B$2:$AG$15,3,FALSE))</f>
        <v/>
      </c>
      <c r="H150" s="101"/>
      <c r="I150" s="276" t="str">
        <f>IFERROR(IF(AND(D150&lt;&gt;"",H150=""),"Check data ⚠",IF(H150="","",IF(AND(D150="Non-native and ornamental hedgerow",H150&lt;&gt;"Poor"),"Not possible ▲",(VLOOKUP(H150,'G-1 All Habitats'!$Z$2:$AA$9,2,FALSE))))),"")</f>
        <v/>
      </c>
      <c r="J150" s="101"/>
      <c r="K150" s="283" t="str">
        <f>IF(AND(D150&lt;&gt;"",J150=""),"Check data ⚠",IF(J150="","",IF(VLOOKUP(J150,'G-3 Multipliers'!$L$3:$N$6,2,FALSE)=0,"Spatial Data Missing",VLOOKUP(J150,'G-3 Multipliers'!$L$3:$N$6,2,FALSE))))</f>
        <v/>
      </c>
      <c r="L150" s="281" t="str">
        <f>IF(J150="","",IF(VLOOKUP(J150,'G-3 Multipliers'!$L$3:$N$6,3,FALSE)=0,"Spatial Data Missing ⚠",VLOOKUP(J150,'G-3 Multipliers'!$L$3:$N$6,3,FALSE)))</f>
        <v/>
      </c>
      <c r="M150" s="282" t="str">
        <f>IF(D150="","",VLOOKUP(D150,'G-6 Hedgerow Data'!$B$1:$AH$15,33,FALSE))</f>
        <v/>
      </c>
      <c r="N150" s="289" t="str">
        <f t="shared" si="16"/>
        <v/>
      </c>
      <c r="O150" s="32"/>
      <c r="P150" s="105"/>
      <c r="Q150" s="138"/>
      <c r="R150" s="306" t="str">
        <f t="shared" si="17"/>
        <v/>
      </c>
      <c r="S150" s="306" t="str">
        <f t="shared" si="18"/>
        <v/>
      </c>
      <c r="T150" s="306" t="str">
        <f t="shared" si="19"/>
        <v/>
      </c>
      <c r="U150" s="327" t="str">
        <f t="shared" si="20"/>
        <v/>
      </c>
      <c r="V150" s="105"/>
      <c r="W150" s="104"/>
      <c r="X150" s="104"/>
      <c r="AE150" s="107" t="str">
        <f t="shared" si="14"/>
        <v/>
      </c>
      <c r="AF150" s="107" t="str">
        <f t="shared" si="15"/>
        <v/>
      </c>
      <c r="AH150" s="107">
        <v>141</v>
      </c>
      <c r="AJ150" s="107" t="str">
        <f t="array" ref="AJ150">IFERROR(INDEX($AH$10:$AH$258,MATCH(0,IF(TRUE=$AE$10:$AE$258,COUNTIF($AJ$9:$AJ149,$AH$10:$AH$258),""),0)),"")</f>
        <v/>
      </c>
      <c r="AK150" s="107" t="str">
        <f t="array" ref="AK150">IFERROR(INDEX($AH$10:$AH$258,MATCH(0,IF(TRUE=$AF$10:$AF$258,COUNTIF($AK$9:$AK149,$AH$10:$AH$258),""),0)),"")</f>
        <v/>
      </c>
      <c r="AL150" s="30" t="str">
        <f>IFERROR(INDEX('G-6 Hedgerow Data'!$BJ$3:$BJ$15,MATCH(D150,'G-6 Hedgerow Data'!$B$3:$B$15,0)),"")</f>
        <v/>
      </c>
    </row>
    <row r="151" spans="2:38" ht="14" hidden="1">
      <c r="B151" s="97">
        <v>142</v>
      </c>
      <c r="C151" s="138"/>
      <c r="D151" s="138"/>
      <c r="E151" s="104"/>
      <c r="F151" s="323" t="str">
        <f>IF(D151="","",VLOOKUP(D151,'G-6 Hedgerow Data'!$B$2:$AG$15,2,FALSE))</f>
        <v/>
      </c>
      <c r="G151" s="276" t="str">
        <f>IF(D151="","",VLOOKUP(D151,'G-6 Hedgerow Data'!$B$2:$AG$15,3,FALSE))</f>
        <v/>
      </c>
      <c r="H151" s="101"/>
      <c r="I151" s="276" t="str">
        <f>IFERROR(IF(AND(D151&lt;&gt;"",H151=""),"Check data ⚠",IF(H151="","",IF(AND(D151="Non-native and ornamental hedgerow",H151&lt;&gt;"Poor"),"Not possible ▲",(VLOOKUP(H151,'G-1 All Habitats'!$Z$2:$AA$9,2,FALSE))))),"")</f>
        <v/>
      </c>
      <c r="J151" s="101"/>
      <c r="K151" s="283" t="str">
        <f>IF(AND(D151&lt;&gt;"",J151=""),"Check data ⚠",IF(J151="","",IF(VLOOKUP(J151,'G-3 Multipliers'!$L$3:$N$6,2,FALSE)=0,"Spatial Data Missing",VLOOKUP(J151,'G-3 Multipliers'!$L$3:$N$6,2,FALSE))))</f>
        <v/>
      </c>
      <c r="L151" s="281" t="str">
        <f>IF(J151="","",IF(VLOOKUP(J151,'G-3 Multipliers'!$L$3:$N$6,3,FALSE)=0,"Spatial Data Missing ⚠",VLOOKUP(J151,'G-3 Multipliers'!$L$3:$N$6,3,FALSE)))</f>
        <v/>
      </c>
      <c r="M151" s="282" t="str">
        <f>IF(D151="","",VLOOKUP(D151,'G-6 Hedgerow Data'!$B$1:$AH$15,33,FALSE))</f>
        <v/>
      </c>
      <c r="N151" s="289" t="str">
        <f t="shared" si="16"/>
        <v/>
      </c>
      <c r="O151" s="32"/>
      <c r="P151" s="105"/>
      <c r="Q151" s="138"/>
      <c r="R151" s="306" t="str">
        <f t="shared" si="17"/>
        <v/>
      </c>
      <c r="S151" s="306" t="str">
        <f t="shared" si="18"/>
        <v/>
      </c>
      <c r="T151" s="306" t="str">
        <f t="shared" si="19"/>
        <v/>
      </c>
      <c r="U151" s="327" t="str">
        <f t="shared" si="20"/>
        <v/>
      </c>
      <c r="V151" s="105"/>
      <c r="W151" s="104"/>
      <c r="X151" s="104"/>
      <c r="AE151" s="107" t="str">
        <f t="shared" si="14"/>
        <v/>
      </c>
      <c r="AF151" s="107" t="str">
        <f t="shared" si="15"/>
        <v/>
      </c>
      <c r="AH151" s="107">
        <v>142</v>
      </c>
      <c r="AJ151" s="107" t="str">
        <f t="array" ref="AJ151">IFERROR(INDEX($AH$10:$AH$258,MATCH(0,IF(TRUE=$AE$10:$AE$258,COUNTIF($AJ$9:$AJ150,$AH$10:$AH$258),""),0)),"")</f>
        <v/>
      </c>
      <c r="AK151" s="107" t="str">
        <f t="array" ref="AK151">IFERROR(INDEX($AH$10:$AH$258,MATCH(0,IF(TRUE=$AF$10:$AF$258,COUNTIF($AK$9:$AK150,$AH$10:$AH$258),""),0)),"")</f>
        <v/>
      </c>
      <c r="AL151" s="30" t="str">
        <f>IFERROR(INDEX('G-6 Hedgerow Data'!$BJ$3:$BJ$15,MATCH(D151,'G-6 Hedgerow Data'!$B$3:$B$15,0)),"")</f>
        <v/>
      </c>
    </row>
    <row r="152" spans="2:38" ht="14" hidden="1">
      <c r="B152" s="97">
        <v>143</v>
      </c>
      <c r="C152" s="138"/>
      <c r="D152" s="138"/>
      <c r="E152" s="104"/>
      <c r="F152" s="323" t="str">
        <f>IF(D152="","",VLOOKUP(D152,'G-6 Hedgerow Data'!$B$2:$AG$15,2,FALSE))</f>
        <v/>
      </c>
      <c r="G152" s="276" t="str">
        <f>IF(D152="","",VLOOKUP(D152,'G-6 Hedgerow Data'!$B$2:$AG$15,3,FALSE))</f>
        <v/>
      </c>
      <c r="H152" s="101"/>
      <c r="I152" s="276" t="str">
        <f>IFERROR(IF(AND(D152&lt;&gt;"",H152=""),"Check data ⚠",IF(H152="","",IF(AND(D152="Non-native and ornamental hedgerow",H152&lt;&gt;"Poor"),"Not possible ▲",(VLOOKUP(H152,'G-1 All Habitats'!$Z$2:$AA$9,2,FALSE))))),"")</f>
        <v/>
      </c>
      <c r="J152" s="101"/>
      <c r="K152" s="283" t="str">
        <f>IF(AND(D152&lt;&gt;"",J152=""),"Check data ⚠",IF(J152="","",IF(VLOOKUP(J152,'G-3 Multipliers'!$L$3:$N$6,2,FALSE)=0,"Spatial Data Missing",VLOOKUP(J152,'G-3 Multipliers'!$L$3:$N$6,2,FALSE))))</f>
        <v/>
      </c>
      <c r="L152" s="281" t="str">
        <f>IF(J152="","",IF(VLOOKUP(J152,'G-3 Multipliers'!$L$3:$N$6,3,FALSE)=0,"Spatial Data Missing ⚠",VLOOKUP(J152,'G-3 Multipliers'!$L$3:$N$6,3,FALSE)))</f>
        <v/>
      </c>
      <c r="M152" s="282" t="str">
        <f>IF(D152="","",VLOOKUP(D152,'G-6 Hedgerow Data'!$B$1:$AH$15,33,FALSE))</f>
        <v/>
      </c>
      <c r="N152" s="289" t="str">
        <f t="shared" si="16"/>
        <v/>
      </c>
      <c r="O152" s="32"/>
      <c r="P152" s="105"/>
      <c r="Q152" s="138"/>
      <c r="R152" s="306" t="str">
        <f t="shared" si="17"/>
        <v/>
      </c>
      <c r="S152" s="306" t="str">
        <f t="shared" si="18"/>
        <v/>
      </c>
      <c r="T152" s="306" t="str">
        <f t="shared" si="19"/>
        <v/>
      </c>
      <c r="U152" s="327" t="str">
        <f t="shared" si="20"/>
        <v/>
      </c>
      <c r="V152" s="105"/>
      <c r="W152" s="104"/>
      <c r="X152" s="104"/>
      <c r="AE152" s="107" t="str">
        <f t="shared" si="14"/>
        <v/>
      </c>
      <c r="AF152" s="107" t="str">
        <f t="shared" si="15"/>
        <v/>
      </c>
      <c r="AH152" s="107">
        <v>143</v>
      </c>
      <c r="AJ152" s="107" t="str">
        <f t="array" ref="AJ152">IFERROR(INDEX($AH$10:$AH$258,MATCH(0,IF(TRUE=$AE$10:$AE$258,COUNTIF($AJ$9:$AJ151,$AH$10:$AH$258),""),0)),"")</f>
        <v/>
      </c>
      <c r="AK152" s="107" t="str">
        <f t="array" ref="AK152">IFERROR(INDEX($AH$10:$AH$258,MATCH(0,IF(TRUE=$AF$10:$AF$258,COUNTIF($AK$9:$AK151,$AH$10:$AH$258),""),0)),"")</f>
        <v/>
      </c>
      <c r="AL152" s="30" t="str">
        <f>IFERROR(INDEX('G-6 Hedgerow Data'!$BJ$3:$BJ$15,MATCH(D152,'G-6 Hedgerow Data'!$B$3:$B$15,0)),"")</f>
        <v/>
      </c>
    </row>
    <row r="153" spans="2:38" ht="14" hidden="1">
      <c r="B153" s="97">
        <v>144</v>
      </c>
      <c r="C153" s="138"/>
      <c r="D153" s="138"/>
      <c r="E153" s="104"/>
      <c r="F153" s="323" t="str">
        <f>IF(D153="","",VLOOKUP(D153,'G-6 Hedgerow Data'!$B$2:$AG$15,2,FALSE))</f>
        <v/>
      </c>
      <c r="G153" s="276" t="str">
        <f>IF(D153="","",VLOOKUP(D153,'G-6 Hedgerow Data'!$B$2:$AG$15,3,FALSE))</f>
        <v/>
      </c>
      <c r="H153" s="101"/>
      <c r="I153" s="276" t="str">
        <f>IFERROR(IF(AND(D153&lt;&gt;"",H153=""),"Check data ⚠",IF(H153="","",IF(AND(D153="Non-native and ornamental hedgerow",H153&lt;&gt;"Poor"),"Not possible ▲",(VLOOKUP(H153,'G-1 All Habitats'!$Z$2:$AA$9,2,FALSE))))),"")</f>
        <v/>
      </c>
      <c r="J153" s="101"/>
      <c r="K153" s="283" t="str">
        <f>IF(AND(D153&lt;&gt;"",J153=""),"Check data ⚠",IF(J153="","",IF(VLOOKUP(J153,'G-3 Multipliers'!$L$3:$N$6,2,FALSE)=0,"Spatial Data Missing",VLOOKUP(J153,'G-3 Multipliers'!$L$3:$N$6,2,FALSE))))</f>
        <v/>
      </c>
      <c r="L153" s="281" t="str">
        <f>IF(J153="","",IF(VLOOKUP(J153,'G-3 Multipliers'!$L$3:$N$6,3,FALSE)=0,"Spatial Data Missing ⚠",VLOOKUP(J153,'G-3 Multipliers'!$L$3:$N$6,3,FALSE)))</f>
        <v/>
      </c>
      <c r="M153" s="282" t="str">
        <f>IF(D153="","",VLOOKUP(D153,'G-6 Hedgerow Data'!$B$1:$AH$15,33,FALSE))</f>
        <v/>
      </c>
      <c r="N153" s="289" t="str">
        <f t="shared" si="16"/>
        <v/>
      </c>
      <c r="O153" s="32"/>
      <c r="P153" s="105"/>
      <c r="Q153" s="138"/>
      <c r="R153" s="306" t="str">
        <f t="shared" si="17"/>
        <v/>
      </c>
      <c r="S153" s="306" t="str">
        <f t="shared" si="18"/>
        <v/>
      </c>
      <c r="T153" s="306" t="str">
        <f t="shared" si="19"/>
        <v/>
      </c>
      <c r="U153" s="327" t="str">
        <f t="shared" si="20"/>
        <v/>
      </c>
      <c r="V153" s="105"/>
      <c r="W153" s="104"/>
      <c r="X153" s="104"/>
      <c r="AE153" s="107" t="str">
        <f t="shared" si="14"/>
        <v/>
      </c>
      <c r="AF153" s="107" t="str">
        <f t="shared" si="15"/>
        <v/>
      </c>
      <c r="AH153" s="107">
        <v>144</v>
      </c>
      <c r="AJ153" s="107" t="str">
        <f t="array" ref="AJ153">IFERROR(INDEX($AH$10:$AH$258,MATCH(0,IF(TRUE=$AE$10:$AE$258,COUNTIF($AJ$9:$AJ152,$AH$10:$AH$258),""),0)),"")</f>
        <v/>
      </c>
      <c r="AK153" s="107" t="str">
        <f t="array" ref="AK153">IFERROR(INDEX($AH$10:$AH$258,MATCH(0,IF(TRUE=$AF$10:$AF$258,COUNTIF($AK$9:$AK152,$AH$10:$AH$258),""),0)),"")</f>
        <v/>
      </c>
      <c r="AL153" s="30" t="str">
        <f>IFERROR(INDEX('G-6 Hedgerow Data'!$BJ$3:$BJ$15,MATCH(D153,'G-6 Hedgerow Data'!$B$3:$B$15,0)),"")</f>
        <v/>
      </c>
    </row>
    <row r="154" spans="2:38" ht="14" hidden="1">
      <c r="B154" s="97">
        <v>145</v>
      </c>
      <c r="C154" s="138"/>
      <c r="D154" s="138"/>
      <c r="E154" s="104"/>
      <c r="F154" s="323" t="str">
        <f>IF(D154="","",VLOOKUP(D154,'G-6 Hedgerow Data'!$B$2:$AG$15,2,FALSE))</f>
        <v/>
      </c>
      <c r="G154" s="276" t="str">
        <f>IF(D154="","",VLOOKUP(D154,'G-6 Hedgerow Data'!$B$2:$AG$15,3,FALSE))</f>
        <v/>
      </c>
      <c r="H154" s="101"/>
      <c r="I154" s="276" t="str">
        <f>IFERROR(IF(AND(D154&lt;&gt;"",H154=""),"Check data ⚠",IF(H154="","",IF(AND(D154="Non-native and ornamental hedgerow",H154&lt;&gt;"Poor"),"Not possible ▲",(VLOOKUP(H154,'G-1 All Habitats'!$Z$2:$AA$9,2,FALSE))))),"")</f>
        <v/>
      </c>
      <c r="J154" s="101"/>
      <c r="K154" s="283" t="str">
        <f>IF(AND(D154&lt;&gt;"",J154=""),"Check data ⚠",IF(J154="","",IF(VLOOKUP(J154,'G-3 Multipliers'!$L$3:$N$6,2,FALSE)=0,"Spatial Data Missing",VLOOKUP(J154,'G-3 Multipliers'!$L$3:$N$6,2,FALSE))))</f>
        <v/>
      </c>
      <c r="L154" s="281" t="str">
        <f>IF(J154="","",IF(VLOOKUP(J154,'G-3 Multipliers'!$L$3:$N$6,3,FALSE)=0,"Spatial Data Missing ⚠",VLOOKUP(J154,'G-3 Multipliers'!$L$3:$N$6,3,FALSE)))</f>
        <v/>
      </c>
      <c r="M154" s="282" t="str">
        <f>IF(D154="","",VLOOKUP(D154,'G-6 Hedgerow Data'!$B$1:$AH$15,33,FALSE))</f>
        <v/>
      </c>
      <c r="N154" s="289" t="str">
        <f t="shared" si="16"/>
        <v/>
      </c>
      <c r="O154" s="32"/>
      <c r="P154" s="105"/>
      <c r="Q154" s="138"/>
      <c r="R154" s="306" t="str">
        <f t="shared" si="17"/>
        <v/>
      </c>
      <c r="S154" s="306" t="str">
        <f t="shared" si="18"/>
        <v/>
      </c>
      <c r="T154" s="306" t="str">
        <f t="shared" si="19"/>
        <v/>
      </c>
      <c r="U154" s="327" t="str">
        <f t="shared" si="20"/>
        <v/>
      </c>
      <c r="V154" s="105"/>
      <c r="W154" s="104"/>
      <c r="X154" s="104"/>
      <c r="AE154" s="107" t="str">
        <f t="shared" si="14"/>
        <v/>
      </c>
      <c r="AF154" s="107" t="str">
        <f t="shared" si="15"/>
        <v/>
      </c>
      <c r="AH154" s="107">
        <v>145</v>
      </c>
      <c r="AJ154" s="107" t="str">
        <f t="array" ref="AJ154">IFERROR(INDEX($AH$10:$AH$258,MATCH(0,IF(TRUE=$AE$10:$AE$258,COUNTIF($AJ$9:$AJ153,$AH$10:$AH$258),""),0)),"")</f>
        <v/>
      </c>
      <c r="AK154" s="107" t="str">
        <f t="array" ref="AK154">IFERROR(INDEX($AH$10:$AH$258,MATCH(0,IF(TRUE=$AF$10:$AF$258,COUNTIF($AK$9:$AK153,$AH$10:$AH$258),""),0)),"")</f>
        <v/>
      </c>
      <c r="AL154" s="30" t="str">
        <f>IFERROR(INDEX('G-6 Hedgerow Data'!$BJ$3:$BJ$15,MATCH(D154,'G-6 Hedgerow Data'!$B$3:$B$15,0)),"")</f>
        <v/>
      </c>
    </row>
    <row r="155" spans="2:38" ht="14" hidden="1">
      <c r="B155" s="97">
        <v>146</v>
      </c>
      <c r="C155" s="138"/>
      <c r="D155" s="138"/>
      <c r="E155" s="104"/>
      <c r="F155" s="323" t="str">
        <f>IF(D155="","",VLOOKUP(D155,'G-6 Hedgerow Data'!$B$2:$AG$15,2,FALSE))</f>
        <v/>
      </c>
      <c r="G155" s="276" t="str">
        <f>IF(D155="","",VLOOKUP(D155,'G-6 Hedgerow Data'!$B$2:$AG$15,3,FALSE))</f>
        <v/>
      </c>
      <c r="H155" s="101"/>
      <c r="I155" s="276" t="str">
        <f>IFERROR(IF(AND(D155&lt;&gt;"",H155=""),"Check data ⚠",IF(H155="","",IF(AND(D155="Non-native and ornamental hedgerow",H155&lt;&gt;"Poor"),"Not possible ▲",(VLOOKUP(H155,'G-1 All Habitats'!$Z$2:$AA$9,2,FALSE))))),"")</f>
        <v/>
      </c>
      <c r="J155" s="101"/>
      <c r="K155" s="283" t="str">
        <f>IF(AND(D155&lt;&gt;"",J155=""),"Check data ⚠",IF(J155="","",IF(VLOOKUP(J155,'G-3 Multipliers'!$L$3:$N$6,2,FALSE)=0,"Spatial Data Missing",VLOOKUP(J155,'G-3 Multipliers'!$L$3:$N$6,2,FALSE))))</f>
        <v/>
      </c>
      <c r="L155" s="281" t="str">
        <f>IF(J155="","",IF(VLOOKUP(J155,'G-3 Multipliers'!$L$3:$N$6,3,FALSE)=0,"Spatial Data Missing ⚠",VLOOKUP(J155,'G-3 Multipliers'!$L$3:$N$6,3,FALSE)))</f>
        <v/>
      </c>
      <c r="M155" s="282" t="str">
        <f>IF(D155="","",VLOOKUP(D155,'G-6 Hedgerow Data'!$B$1:$AH$15,33,FALSE))</f>
        <v/>
      </c>
      <c r="N155" s="289" t="str">
        <f t="shared" si="16"/>
        <v/>
      </c>
      <c r="O155" s="32"/>
      <c r="P155" s="105"/>
      <c r="Q155" s="138"/>
      <c r="R155" s="306" t="str">
        <f t="shared" si="17"/>
        <v/>
      </c>
      <c r="S155" s="306" t="str">
        <f t="shared" si="18"/>
        <v/>
      </c>
      <c r="T155" s="306" t="str">
        <f t="shared" si="19"/>
        <v/>
      </c>
      <c r="U155" s="327" t="str">
        <f t="shared" si="20"/>
        <v/>
      </c>
      <c r="V155" s="105"/>
      <c r="W155" s="104"/>
      <c r="X155" s="104"/>
      <c r="AE155" s="107" t="str">
        <f t="shared" si="14"/>
        <v/>
      </c>
      <c r="AF155" s="107" t="str">
        <f t="shared" si="15"/>
        <v/>
      </c>
      <c r="AH155" s="107">
        <v>146</v>
      </c>
      <c r="AJ155" s="107" t="str">
        <f t="array" ref="AJ155">IFERROR(INDEX($AH$10:$AH$258,MATCH(0,IF(TRUE=$AE$10:$AE$258,COUNTIF($AJ$9:$AJ154,$AH$10:$AH$258),""),0)),"")</f>
        <v/>
      </c>
      <c r="AK155" s="107" t="str">
        <f t="array" ref="AK155">IFERROR(INDEX($AH$10:$AH$258,MATCH(0,IF(TRUE=$AF$10:$AF$258,COUNTIF($AK$9:$AK154,$AH$10:$AH$258),""),0)),"")</f>
        <v/>
      </c>
      <c r="AL155" s="30" t="str">
        <f>IFERROR(INDEX('G-6 Hedgerow Data'!$BJ$3:$BJ$15,MATCH(D155,'G-6 Hedgerow Data'!$B$3:$B$15,0)),"")</f>
        <v/>
      </c>
    </row>
    <row r="156" spans="2:38" ht="14" hidden="1">
      <c r="B156" s="97">
        <v>147</v>
      </c>
      <c r="C156" s="138"/>
      <c r="D156" s="138"/>
      <c r="E156" s="104"/>
      <c r="F156" s="323" t="str">
        <f>IF(D156="","",VLOOKUP(D156,'G-6 Hedgerow Data'!$B$2:$AG$15,2,FALSE))</f>
        <v/>
      </c>
      <c r="G156" s="276" t="str">
        <f>IF(D156="","",VLOOKUP(D156,'G-6 Hedgerow Data'!$B$2:$AG$15,3,FALSE))</f>
        <v/>
      </c>
      <c r="H156" s="101"/>
      <c r="I156" s="276" t="str">
        <f>IFERROR(IF(AND(D156&lt;&gt;"",H156=""),"Check data ⚠",IF(H156="","",IF(AND(D156="Non-native and ornamental hedgerow",H156&lt;&gt;"Poor"),"Not possible ▲",(VLOOKUP(H156,'G-1 All Habitats'!$Z$2:$AA$9,2,FALSE))))),"")</f>
        <v/>
      </c>
      <c r="J156" s="101"/>
      <c r="K156" s="283" t="str">
        <f>IF(AND(D156&lt;&gt;"",J156=""),"Check data ⚠",IF(J156="","",IF(VLOOKUP(J156,'G-3 Multipliers'!$L$3:$N$6,2,FALSE)=0,"Spatial Data Missing",VLOOKUP(J156,'G-3 Multipliers'!$L$3:$N$6,2,FALSE))))</f>
        <v/>
      </c>
      <c r="L156" s="281" t="str">
        <f>IF(J156="","",IF(VLOOKUP(J156,'G-3 Multipliers'!$L$3:$N$6,3,FALSE)=0,"Spatial Data Missing ⚠",VLOOKUP(J156,'G-3 Multipliers'!$L$3:$N$6,3,FALSE)))</f>
        <v/>
      </c>
      <c r="M156" s="282" t="str">
        <f>IF(D156="","",VLOOKUP(D156,'G-6 Hedgerow Data'!$B$1:$AH$15,33,FALSE))</f>
        <v/>
      </c>
      <c r="N156" s="289" t="str">
        <f t="shared" si="16"/>
        <v/>
      </c>
      <c r="O156" s="32"/>
      <c r="P156" s="105"/>
      <c r="Q156" s="138"/>
      <c r="R156" s="306" t="str">
        <f t="shared" si="17"/>
        <v/>
      </c>
      <c r="S156" s="306" t="str">
        <f t="shared" si="18"/>
        <v/>
      </c>
      <c r="T156" s="306" t="str">
        <f t="shared" si="19"/>
        <v/>
      </c>
      <c r="U156" s="327" t="str">
        <f t="shared" si="20"/>
        <v/>
      </c>
      <c r="V156" s="105"/>
      <c r="W156" s="104"/>
      <c r="X156" s="104"/>
      <c r="AE156" s="107" t="str">
        <f t="shared" si="14"/>
        <v/>
      </c>
      <c r="AF156" s="107" t="str">
        <f t="shared" si="15"/>
        <v/>
      </c>
      <c r="AH156" s="107">
        <v>147</v>
      </c>
      <c r="AJ156" s="107" t="str">
        <f t="array" ref="AJ156">IFERROR(INDEX($AH$10:$AH$258,MATCH(0,IF(TRUE=$AE$10:$AE$258,COUNTIF($AJ$9:$AJ155,$AH$10:$AH$258),""),0)),"")</f>
        <v/>
      </c>
      <c r="AK156" s="107" t="str">
        <f t="array" ref="AK156">IFERROR(INDEX($AH$10:$AH$258,MATCH(0,IF(TRUE=$AF$10:$AF$258,COUNTIF($AK$9:$AK155,$AH$10:$AH$258),""),0)),"")</f>
        <v/>
      </c>
      <c r="AL156" s="30" t="str">
        <f>IFERROR(INDEX('G-6 Hedgerow Data'!$BJ$3:$BJ$15,MATCH(D156,'G-6 Hedgerow Data'!$B$3:$B$15,0)),"")</f>
        <v/>
      </c>
    </row>
    <row r="157" spans="2:38" ht="14" hidden="1">
      <c r="B157" s="97">
        <v>148</v>
      </c>
      <c r="C157" s="138"/>
      <c r="D157" s="138"/>
      <c r="E157" s="104"/>
      <c r="F157" s="323" t="str">
        <f>IF(D157="","",VLOOKUP(D157,'G-6 Hedgerow Data'!$B$2:$AG$15,2,FALSE))</f>
        <v/>
      </c>
      <c r="G157" s="276" t="str">
        <f>IF(D157="","",VLOOKUP(D157,'G-6 Hedgerow Data'!$B$2:$AG$15,3,FALSE))</f>
        <v/>
      </c>
      <c r="H157" s="101"/>
      <c r="I157" s="276" t="str">
        <f>IFERROR(IF(AND(D157&lt;&gt;"",H157=""),"Check data ⚠",IF(H157="","",IF(AND(D157="Non-native and ornamental hedgerow",H157&lt;&gt;"Poor"),"Not possible ▲",(VLOOKUP(H157,'G-1 All Habitats'!$Z$2:$AA$9,2,FALSE))))),"")</f>
        <v/>
      </c>
      <c r="J157" s="101"/>
      <c r="K157" s="283" t="str">
        <f>IF(AND(D157&lt;&gt;"",J157=""),"Check data ⚠",IF(J157="","",IF(VLOOKUP(J157,'G-3 Multipliers'!$L$3:$N$6,2,FALSE)=0,"Spatial Data Missing",VLOOKUP(J157,'G-3 Multipliers'!$L$3:$N$6,2,FALSE))))</f>
        <v/>
      </c>
      <c r="L157" s="281" t="str">
        <f>IF(J157="","",IF(VLOOKUP(J157,'G-3 Multipliers'!$L$3:$N$6,3,FALSE)=0,"Spatial Data Missing ⚠",VLOOKUP(J157,'G-3 Multipliers'!$L$3:$N$6,3,FALSE)))</f>
        <v/>
      </c>
      <c r="M157" s="282" t="str">
        <f>IF(D157="","",VLOOKUP(D157,'G-6 Hedgerow Data'!$B$1:$AH$15,33,FALSE))</f>
        <v/>
      </c>
      <c r="N157" s="289" t="str">
        <f t="shared" si="16"/>
        <v/>
      </c>
      <c r="O157" s="32"/>
      <c r="P157" s="105"/>
      <c r="Q157" s="138"/>
      <c r="R157" s="306" t="str">
        <f t="shared" si="17"/>
        <v/>
      </c>
      <c r="S157" s="306" t="str">
        <f t="shared" si="18"/>
        <v/>
      </c>
      <c r="T157" s="306" t="str">
        <f t="shared" si="19"/>
        <v/>
      </c>
      <c r="U157" s="327" t="str">
        <f t="shared" si="20"/>
        <v/>
      </c>
      <c r="V157" s="105"/>
      <c r="W157" s="104"/>
      <c r="X157" s="104"/>
      <c r="AE157" s="107" t="str">
        <f t="shared" si="14"/>
        <v/>
      </c>
      <c r="AF157" s="107" t="str">
        <f t="shared" si="15"/>
        <v/>
      </c>
      <c r="AH157" s="107">
        <v>148</v>
      </c>
      <c r="AJ157" s="107" t="str">
        <f t="array" ref="AJ157">IFERROR(INDEX($AH$10:$AH$258,MATCH(0,IF(TRUE=$AE$10:$AE$258,COUNTIF($AJ$9:$AJ156,$AH$10:$AH$258),""),0)),"")</f>
        <v/>
      </c>
      <c r="AK157" s="107" t="str">
        <f t="array" ref="AK157">IFERROR(INDEX($AH$10:$AH$258,MATCH(0,IF(TRUE=$AF$10:$AF$258,COUNTIF($AK$9:$AK156,$AH$10:$AH$258),""),0)),"")</f>
        <v/>
      </c>
      <c r="AL157" s="30" t="str">
        <f>IFERROR(INDEX('G-6 Hedgerow Data'!$BJ$3:$BJ$15,MATCH(D157,'G-6 Hedgerow Data'!$B$3:$B$15,0)),"")</f>
        <v/>
      </c>
    </row>
    <row r="158" spans="2:38" ht="14" hidden="1">
      <c r="B158" s="97">
        <v>149</v>
      </c>
      <c r="C158" s="138"/>
      <c r="D158" s="138"/>
      <c r="E158" s="104"/>
      <c r="F158" s="323" t="str">
        <f>IF(D158="","",VLOOKUP(D158,'G-6 Hedgerow Data'!$B$2:$AG$15,2,FALSE))</f>
        <v/>
      </c>
      <c r="G158" s="276" t="str">
        <f>IF(D158="","",VLOOKUP(D158,'G-6 Hedgerow Data'!$B$2:$AG$15,3,FALSE))</f>
        <v/>
      </c>
      <c r="H158" s="101"/>
      <c r="I158" s="276" t="str">
        <f>IFERROR(IF(AND(D158&lt;&gt;"",H158=""),"Check data ⚠",IF(H158="","",IF(AND(D158="Non-native and ornamental hedgerow",H158&lt;&gt;"Poor"),"Not possible ▲",(VLOOKUP(H158,'G-1 All Habitats'!$Z$2:$AA$9,2,FALSE))))),"")</f>
        <v/>
      </c>
      <c r="J158" s="101"/>
      <c r="K158" s="283" t="str">
        <f>IF(AND(D158&lt;&gt;"",J158=""),"Check data ⚠",IF(J158="","",IF(VLOOKUP(J158,'G-3 Multipliers'!$L$3:$N$6,2,FALSE)=0,"Spatial Data Missing",VLOOKUP(J158,'G-3 Multipliers'!$L$3:$N$6,2,FALSE))))</f>
        <v/>
      </c>
      <c r="L158" s="281" t="str">
        <f>IF(J158="","",IF(VLOOKUP(J158,'G-3 Multipliers'!$L$3:$N$6,3,FALSE)=0,"Spatial Data Missing ⚠",VLOOKUP(J158,'G-3 Multipliers'!$L$3:$N$6,3,FALSE)))</f>
        <v/>
      </c>
      <c r="M158" s="282" t="str">
        <f>IF(D158="","",VLOOKUP(D158,'G-6 Hedgerow Data'!$B$1:$AH$15,33,FALSE))</f>
        <v/>
      </c>
      <c r="N158" s="289" t="str">
        <f t="shared" si="16"/>
        <v/>
      </c>
      <c r="O158" s="32"/>
      <c r="P158" s="105"/>
      <c r="Q158" s="138"/>
      <c r="R158" s="306" t="str">
        <f t="shared" si="17"/>
        <v/>
      </c>
      <c r="S158" s="306" t="str">
        <f t="shared" si="18"/>
        <v/>
      </c>
      <c r="T158" s="306" t="str">
        <f t="shared" si="19"/>
        <v/>
      </c>
      <c r="U158" s="327" t="str">
        <f t="shared" si="20"/>
        <v/>
      </c>
      <c r="V158" s="105"/>
      <c r="W158" s="104"/>
      <c r="X158" s="104"/>
      <c r="AE158" s="107" t="str">
        <f t="shared" si="14"/>
        <v/>
      </c>
      <c r="AF158" s="107" t="str">
        <f t="shared" si="15"/>
        <v/>
      </c>
      <c r="AH158" s="107">
        <v>149</v>
      </c>
      <c r="AJ158" s="107" t="str">
        <f t="array" ref="AJ158">IFERROR(INDEX($AH$10:$AH$258,MATCH(0,IF(TRUE=$AE$10:$AE$258,COUNTIF($AJ$9:$AJ157,$AH$10:$AH$258),""),0)),"")</f>
        <v/>
      </c>
      <c r="AK158" s="107" t="str">
        <f t="array" ref="AK158">IFERROR(INDEX($AH$10:$AH$258,MATCH(0,IF(TRUE=$AF$10:$AF$258,COUNTIF($AK$9:$AK157,$AH$10:$AH$258),""),0)),"")</f>
        <v/>
      </c>
      <c r="AL158" s="30" t="str">
        <f>IFERROR(INDEX('G-6 Hedgerow Data'!$BJ$3:$BJ$15,MATCH(D158,'G-6 Hedgerow Data'!$B$3:$B$15,0)),"")</f>
        <v/>
      </c>
    </row>
    <row r="159" spans="2:38" ht="14" hidden="1">
      <c r="B159" s="97">
        <v>150</v>
      </c>
      <c r="C159" s="138"/>
      <c r="D159" s="138"/>
      <c r="E159" s="104"/>
      <c r="F159" s="323" t="str">
        <f>IF(D159="","",VLOOKUP(D159,'G-6 Hedgerow Data'!$B$2:$AG$15,2,FALSE))</f>
        <v/>
      </c>
      <c r="G159" s="276" t="str">
        <f>IF(D159="","",VLOOKUP(D159,'G-6 Hedgerow Data'!$B$2:$AG$15,3,FALSE))</f>
        <v/>
      </c>
      <c r="H159" s="101"/>
      <c r="I159" s="276" t="str">
        <f>IFERROR(IF(AND(D159&lt;&gt;"",H159=""),"Check data ⚠",IF(H159="","",IF(AND(D159="Non-native and ornamental hedgerow",H159&lt;&gt;"Poor"),"Not possible ▲",(VLOOKUP(H159,'G-1 All Habitats'!$Z$2:$AA$9,2,FALSE))))),"")</f>
        <v/>
      </c>
      <c r="J159" s="101"/>
      <c r="K159" s="283" t="str">
        <f>IF(AND(D159&lt;&gt;"",J159=""),"Check data ⚠",IF(J159="","",IF(VLOOKUP(J159,'G-3 Multipliers'!$L$3:$N$6,2,FALSE)=0,"Spatial Data Missing",VLOOKUP(J159,'G-3 Multipliers'!$L$3:$N$6,2,FALSE))))</f>
        <v/>
      </c>
      <c r="L159" s="281" t="str">
        <f>IF(J159="","",IF(VLOOKUP(J159,'G-3 Multipliers'!$L$3:$N$6,3,FALSE)=0,"Spatial Data Missing ⚠",VLOOKUP(J159,'G-3 Multipliers'!$L$3:$N$6,3,FALSE)))</f>
        <v/>
      </c>
      <c r="M159" s="282" t="str">
        <f>IF(D159="","",VLOOKUP(D159,'G-6 Hedgerow Data'!$B$1:$AH$15,33,FALSE))</f>
        <v/>
      </c>
      <c r="N159" s="289" t="str">
        <f t="shared" si="16"/>
        <v/>
      </c>
      <c r="O159" s="32"/>
      <c r="P159" s="105"/>
      <c r="Q159" s="138"/>
      <c r="R159" s="306" t="str">
        <f t="shared" si="17"/>
        <v/>
      </c>
      <c r="S159" s="306" t="str">
        <f t="shared" si="18"/>
        <v/>
      </c>
      <c r="T159" s="306" t="str">
        <f t="shared" si="19"/>
        <v/>
      </c>
      <c r="U159" s="327" t="str">
        <f t="shared" si="20"/>
        <v/>
      </c>
      <c r="V159" s="105"/>
      <c r="W159" s="104"/>
      <c r="X159" s="104"/>
      <c r="AE159" s="107" t="str">
        <f t="shared" si="14"/>
        <v/>
      </c>
      <c r="AF159" s="107" t="str">
        <f t="shared" si="15"/>
        <v/>
      </c>
      <c r="AH159" s="107">
        <v>150</v>
      </c>
      <c r="AJ159" s="107" t="str">
        <f t="array" ref="AJ159">IFERROR(INDEX($AH$10:$AH$258,MATCH(0,IF(TRUE=$AE$10:$AE$258,COUNTIF($AJ$9:$AJ158,$AH$10:$AH$258),""),0)),"")</f>
        <v/>
      </c>
      <c r="AK159" s="107" t="str">
        <f t="array" ref="AK159">IFERROR(INDEX($AH$10:$AH$258,MATCH(0,IF(TRUE=$AF$10:$AF$258,COUNTIF($AK$9:$AK158,$AH$10:$AH$258),""),0)),"")</f>
        <v/>
      </c>
      <c r="AL159" s="30" t="str">
        <f>IFERROR(INDEX('G-6 Hedgerow Data'!$BJ$3:$BJ$15,MATCH(D159,'G-6 Hedgerow Data'!$B$3:$B$15,0)),"")</f>
        <v/>
      </c>
    </row>
    <row r="160" spans="2:38" ht="14" hidden="1">
      <c r="B160" s="97">
        <v>151</v>
      </c>
      <c r="C160" s="138"/>
      <c r="D160" s="138"/>
      <c r="E160" s="104"/>
      <c r="F160" s="323" t="str">
        <f>IF(D160="","",VLOOKUP(D160,'G-6 Hedgerow Data'!$B$2:$AG$15,2,FALSE))</f>
        <v/>
      </c>
      <c r="G160" s="276" t="str">
        <f>IF(D160="","",VLOOKUP(D160,'G-6 Hedgerow Data'!$B$2:$AG$15,3,FALSE))</f>
        <v/>
      </c>
      <c r="H160" s="101"/>
      <c r="I160" s="276" t="str">
        <f>IFERROR(IF(AND(D160&lt;&gt;"",H160=""),"Check data ⚠",IF(H160="","",IF(AND(D160="Non-native and ornamental hedgerow",H160&lt;&gt;"Poor"),"Not possible ▲",(VLOOKUP(H160,'G-1 All Habitats'!$Z$2:$AA$9,2,FALSE))))),"")</f>
        <v/>
      </c>
      <c r="J160" s="101"/>
      <c r="K160" s="283" t="str">
        <f>IF(AND(D160&lt;&gt;"",J160=""),"Check data ⚠",IF(J160="","",IF(VLOOKUP(J160,'G-3 Multipliers'!$L$3:$N$6,2,FALSE)=0,"Spatial Data Missing",VLOOKUP(J160,'G-3 Multipliers'!$L$3:$N$6,2,FALSE))))</f>
        <v/>
      </c>
      <c r="L160" s="281" t="str">
        <f>IF(J160="","",IF(VLOOKUP(J160,'G-3 Multipliers'!$L$3:$N$6,3,FALSE)=0,"Spatial Data Missing ⚠",VLOOKUP(J160,'G-3 Multipliers'!$L$3:$N$6,3,FALSE)))</f>
        <v/>
      </c>
      <c r="M160" s="282" t="str">
        <f>IF(D160="","",VLOOKUP(D160,'G-6 Hedgerow Data'!$B$1:$AH$15,33,FALSE))</f>
        <v/>
      </c>
      <c r="N160" s="289" t="str">
        <f t="shared" si="16"/>
        <v/>
      </c>
      <c r="O160" s="32"/>
      <c r="P160" s="105"/>
      <c r="Q160" s="138"/>
      <c r="R160" s="306" t="str">
        <f t="shared" si="17"/>
        <v/>
      </c>
      <c r="S160" s="306" t="str">
        <f t="shared" si="18"/>
        <v/>
      </c>
      <c r="T160" s="306" t="str">
        <f t="shared" si="19"/>
        <v/>
      </c>
      <c r="U160" s="327" t="str">
        <f t="shared" si="20"/>
        <v/>
      </c>
      <c r="V160" s="105"/>
      <c r="W160" s="104"/>
      <c r="X160" s="104"/>
      <c r="AE160" s="107" t="str">
        <f t="shared" si="14"/>
        <v/>
      </c>
      <c r="AF160" s="107" t="str">
        <f t="shared" si="15"/>
        <v/>
      </c>
      <c r="AH160" s="107">
        <v>151</v>
      </c>
      <c r="AJ160" s="107" t="str">
        <f t="array" ref="AJ160">IFERROR(INDEX($AH$10:$AH$258,MATCH(0,IF(TRUE=$AE$10:$AE$258,COUNTIF($AJ$9:$AJ159,$AH$10:$AH$258),""),0)),"")</f>
        <v/>
      </c>
      <c r="AK160" s="107" t="str">
        <f t="array" ref="AK160">IFERROR(INDEX($AH$10:$AH$258,MATCH(0,IF(TRUE=$AF$10:$AF$258,COUNTIF($AK$9:$AK159,$AH$10:$AH$258),""),0)),"")</f>
        <v/>
      </c>
      <c r="AL160" s="30" t="str">
        <f>IFERROR(INDEX('G-6 Hedgerow Data'!$BJ$3:$BJ$15,MATCH(D160,'G-6 Hedgerow Data'!$B$3:$B$15,0)),"")</f>
        <v/>
      </c>
    </row>
    <row r="161" spans="2:38" ht="14" hidden="1">
      <c r="B161" s="97">
        <v>152</v>
      </c>
      <c r="C161" s="138"/>
      <c r="D161" s="138"/>
      <c r="E161" s="104"/>
      <c r="F161" s="323" t="str">
        <f>IF(D161="","",VLOOKUP(D161,'G-6 Hedgerow Data'!$B$2:$AG$15,2,FALSE))</f>
        <v/>
      </c>
      <c r="G161" s="276" t="str">
        <f>IF(D161="","",VLOOKUP(D161,'G-6 Hedgerow Data'!$B$2:$AG$15,3,FALSE))</f>
        <v/>
      </c>
      <c r="H161" s="101"/>
      <c r="I161" s="276" t="str">
        <f>IFERROR(IF(AND(D161&lt;&gt;"",H161=""),"Check data ⚠",IF(H161="","",IF(AND(D161="Non-native and ornamental hedgerow",H161&lt;&gt;"Poor"),"Not possible ▲",(VLOOKUP(H161,'G-1 All Habitats'!$Z$2:$AA$9,2,FALSE))))),"")</f>
        <v/>
      </c>
      <c r="J161" s="101"/>
      <c r="K161" s="283" t="str">
        <f>IF(AND(D161&lt;&gt;"",J161=""),"Check data ⚠",IF(J161="","",IF(VLOOKUP(J161,'G-3 Multipliers'!$L$3:$N$6,2,FALSE)=0,"Spatial Data Missing",VLOOKUP(J161,'G-3 Multipliers'!$L$3:$N$6,2,FALSE))))</f>
        <v/>
      </c>
      <c r="L161" s="281" t="str">
        <f>IF(J161="","",IF(VLOOKUP(J161,'G-3 Multipliers'!$L$3:$N$6,3,FALSE)=0,"Spatial Data Missing ⚠",VLOOKUP(J161,'G-3 Multipliers'!$L$3:$N$6,3,FALSE)))</f>
        <v/>
      </c>
      <c r="M161" s="282" t="str">
        <f>IF(D161="","",VLOOKUP(D161,'G-6 Hedgerow Data'!$B$1:$AH$15,33,FALSE))</f>
        <v/>
      </c>
      <c r="N161" s="289" t="str">
        <f t="shared" si="16"/>
        <v/>
      </c>
      <c r="O161" s="32"/>
      <c r="P161" s="105"/>
      <c r="Q161" s="138"/>
      <c r="R161" s="306" t="str">
        <f t="shared" si="17"/>
        <v/>
      </c>
      <c r="S161" s="306" t="str">
        <f t="shared" si="18"/>
        <v/>
      </c>
      <c r="T161" s="306" t="str">
        <f t="shared" si="19"/>
        <v/>
      </c>
      <c r="U161" s="327" t="str">
        <f t="shared" si="20"/>
        <v/>
      </c>
      <c r="V161" s="105"/>
      <c r="W161" s="104"/>
      <c r="X161" s="104"/>
      <c r="AE161" s="107" t="str">
        <f t="shared" si="14"/>
        <v/>
      </c>
      <c r="AF161" s="107" t="str">
        <f t="shared" si="15"/>
        <v/>
      </c>
      <c r="AH161" s="107">
        <v>152</v>
      </c>
      <c r="AJ161" s="107" t="str">
        <f t="array" ref="AJ161">IFERROR(INDEX($AH$10:$AH$258,MATCH(0,IF(TRUE=$AE$10:$AE$258,COUNTIF($AJ$9:$AJ160,$AH$10:$AH$258),""),0)),"")</f>
        <v/>
      </c>
      <c r="AK161" s="107" t="str">
        <f t="array" ref="AK161">IFERROR(INDEX($AH$10:$AH$258,MATCH(0,IF(TRUE=$AF$10:$AF$258,COUNTIF($AK$9:$AK160,$AH$10:$AH$258),""),0)),"")</f>
        <v/>
      </c>
      <c r="AL161" s="30" t="str">
        <f>IFERROR(INDEX('G-6 Hedgerow Data'!$BJ$3:$BJ$15,MATCH(D161,'G-6 Hedgerow Data'!$B$3:$B$15,0)),"")</f>
        <v/>
      </c>
    </row>
    <row r="162" spans="2:38" ht="14" hidden="1">
      <c r="B162" s="97">
        <v>153</v>
      </c>
      <c r="C162" s="138"/>
      <c r="D162" s="138"/>
      <c r="E162" s="104"/>
      <c r="F162" s="323" t="str">
        <f>IF(D162="","",VLOOKUP(D162,'G-6 Hedgerow Data'!$B$2:$AG$15,2,FALSE))</f>
        <v/>
      </c>
      <c r="G162" s="276" t="str">
        <f>IF(D162="","",VLOOKUP(D162,'G-6 Hedgerow Data'!$B$2:$AG$15,3,FALSE))</f>
        <v/>
      </c>
      <c r="H162" s="101"/>
      <c r="I162" s="276" t="str">
        <f>IFERROR(IF(AND(D162&lt;&gt;"",H162=""),"Check data ⚠",IF(H162="","",IF(AND(D162="Non-native and ornamental hedgerow",H162&lt;&gt;"Poor"),"Not possible ▲",(VLOOKUP(H162,'G-1 All Habitats'!$Z$2:$AA$9,2,FALSE))))),"")</f>
        <v/>
      </c>
      <c r="J162" s="101"/>
      <c r="K162" s="283" t="str">
        <f>IF(AND(D162&lt;&gt;"",J162=""),"Check data ⚠",IF(J162="","",IF(VLOOKUP(J162,'G-3 Multipliers'!$L$3:$N$6,2,FALSE)=0,"Spatial Data Missing",VLOOKUP(J162,'G-3 Multipliers'!$L$3:$N$6,2,FALSE))))</f>
        <v/>
      </c>
      <c r="L162" s="281" t="str">
        <f>IF(J162="","",IF(VLOOKUP(J162,'G-3 Multipliers'!$L$3:$N$6,3,FALSE)=0,"Spatial Data Missing ⚠",VLOOKUP(J162,'G-3 Multipliers'!$L$3:$N$6,3,FALSE)))</f>
        <v/>
      </c>
      <c r="M162" s="282" t="str">
        <f>IF(D162="","",VLOOKUP(D162,'G-6 Hedgerow Data'!$B$1:$AH$15,33,FALSE))</f>
        <v/>
      </c>
      <c r="N162" s="289" t="str">
        <f t="shared" si="16"/>
        <v/>
      </c>
      <c r="O162" s="32"/>
      <c r="P162" s="105"/>
      <c r="Q162" s="138"/>
      <c r="R162" s="306" t="str">
        <f t="shared" si="17"/>
        <v/>
      </c>
      <c r="S162" s="306" t="str">
        <f t="shared" si="18"/>
        <v/>
      </c>
      <c r="T162" s="306" t="str">
        <f t="shared" si="19"/>
        <v/>
      </c>
      <c r="U162" s="327" t="str">
        <f t="shared" si="20"/>
        <v/>
      </c>
      <c r="V162" s="105"/>
      <c r="W162" s="104"/>
      <c r="X162" s="104"/>
      <c r="AE162" s="107" t="str">
        <f t="shared" si="14"/>
        <v/>
      </c>
      <c r="AF162" s="107" t="str">
        <f t="shared" si="15"/>
        <v/>
      </c>
      <c r="AH162" s="107">
        <v>153</v>
      </c>
      <c r="AJ162" s="107" t="str">
        <f t="array" ref="AJ162">IFERROR(INDEX($AH$10:$AH$258,MATCH(0,IF(TRUE=$AE$10:$AE$258,COUNTIF($AJ$9:$AJ161,$AH$10:$AH$258),""),0)),"")</f>
        <v/>
      </c>
      <c r="AK162" s="107" t="str">
        <f t="array" ref="AK162">IFERROR(INDEX($AH$10:$AH$258,MATCH(0,IF(TRUE=$AF$10:$AF$258,COUNTIF($AK$9:$AK161,$AH$10:$AH$258),""),0)),"")</f>
        <v/>
      </c>
      <c r="AL162" s="30" t="str">
        <f>IFERROR(INDEX('G-6 Hedgerow Data'!$BJ$3:$BJ$15,MATCH(D162,'G-6 Hedgerow Data'!$B$3:$B$15,0)),"")</f>
        <v/>
      </c>
    </row>
    <row r="163" spans="2:38" ht="14" hidden="1">
      <c r="B163" s="97">
        <v>154</v>
      </c>
      <c r="C163" s="138"/>
      <c r="D163" s="138"/>
      <c r="E163" s="104"/>
      <c r="F163" s="323" t="str">
        <f>IF(D163="","",VLOOKUP(D163,'G-6 Hedgerow Data'!$B$2:$AG$15,2,FALSE))</f>
        <v/>
      </c>
      <c r="G163" s="276" t="str">
        <f>IF(D163="","",VLOOKUP(D163,'G-6 Hedgerow Data'!$B$2:$AG$15,3,FALSE))</f>
        <v/>
      </c>
      <c r="H163" s="101"/>
      <c r="I163" s="276" t="str">
        <f>IFERROR(IF(AND(D163&lt;&gt;"",H163=""),"Check data ⚠",IF(H163="","",IF(AND(D163="Non-native and ornamental hedgerow",H163&lt;&gt;"Poor"),"Not possible ▲",(VLOOKUP(H163,'G-1 All Habitats'!$Z$2:$AA$9,2,FALSE))))),"")</f>
        <v/>
      </c>
      <c r="J163" s="101"/>
      <c r="K163" s="283" t="str">
        <f>IF(AND(D163&lt;&gt;"",J163=""),"Check data ⚠",IF(J163="","",IF(VLOOKUP(J163,'G-3 Multipliers'!$L$3:$N$6,2,FALSE)=0,"Spatial Data Missing",VLOOKUP(J163,'G-3 Multipliers'!$L$3:$N$6,2,FALSE))))</f>
        <v/>
      </c>
      <c r="L163" s="281" t="str">
        <f>IF(J163="","",IF(VLOOKUP(J163,'G-3 Multipliers'!$L$3:$N$6,3,FALSE)=0,"Spatial Data Missing ⚠",VLOOKUP(J163,'G-3 Multipliers'!$L$3:$N$6,3,FALSE)))</f>
        <v/>
      </c>
      <c r="M163" s="282" t="str">
        <f>IF(D163="","",VLOOKUP(D163,'G-6 Hedgerow Data'!$B$1:$AH$15,33,FALSE))</f>
        <v/>
      </c>
      <c r="N163" s="289" t="str">
        <f t="shared" si="16"/>
        <v/>
      </c>
      <c r="O163" s="32"/>
      <c r="P163" s="105"/>
      <c r="Q163" s="138"/>
      <c r="R163" s="306" t="str">
        <f t="shared" si="17"/>
        <v/>
      </c>
      <c r="S163" s="306" t="str">
        <f t="shared" si="18"/>
        <v/>
      </c>
      <c r="T163" s="306" t="str">
        <f t="shared" si="19"/>
        <v/>
      </c>
      <c r="U163" s="327" t="str">
        <f t="shared" si="20"/>
        <v/>
      </c>
      <c r="V163" s="105"/>
      <c r="W163" s="104"/>
      <c r="X163" s="104"/>
      <c r="AE163" s="107" t="str">
        <f t="shared" si="14"/>
        <v/>
      </c>
      <c r="AF163" s="107" t="str">
        <f t="shared" si="15"/>
        <v/>
      </c>
      <c r="AH163" s="107">
        <v>154</v>
      </c>
      <c r="AJ163" s="107" t="str">
        <f t="array" ref="AJ163">IFERROR(INDEX($AH$10:$AH$258,MATCH(0,IF(TRUE=$AE$10:$AE$258,COUNTIF($AJ$9:$AJ162,$AH$10:$AH$258),""),0)),"")</f>
        <v/>
      </c>
      <c r="AK163" s="107" t="str">
        <f t="array" ref="AK163">IFERROR(INDEX($AH$10:$AH$258,MATCH(0,IF(TRUE=$AF$10:$AF$258,COUNTIF($AK$9:$AK162,$AH$10:$AH$258),""),0)),"")</f>
        <v/>
      </c>
      <c r="AL163" s="30" t="str">
        <f>IFERROR(INDEX('G-6 Hedgerow Data'!$BJ$3:$BJ$15,MATCH(D163,'G-6 Hedgerow Data'!$B$3:$B$15,0)),"")</f>
        <v/>
      </c>
    </row>
    <row r="164" spans="2:38" ht="14" hidden="1">
      <c r="B164" s="97">
        <v>155</v>
      </c>
      <c r="C164" s="138"/>
      <c r="D164" s="138"/>
      <c r="E164" s="104"/>
      <c r="F164" s="323" t="str">
        <f>IF(D164="","",VLOOKUP(D164,'G-6 Hedgerow Data'!$B$2:$AG$15,2,FALSE))</f>
        <v/>
      </c>
      <c r="G164" s="276" t="str">
        <f>IF(D164="","",VLOOKUP(D164,'G-6 Hedgerow Data'!$B$2:$AG$15,3,FALSE))</f>
        <v/>
      </c>
      <c r="H164" s="101"/>
      <c r="I164" s="276" t="str">
        <f>IFERROR(IF(AND(D164&lt;&gt;"",H164=""),"Check data ⚠",IF(H164="","",IF(AND(D164="Non-native and ornamental hedgerow",H164&lt;&gt;"Poor"),"Not possible ▲",(VLOOKUP(H164,'G-1 All Habitats'!$Z$2:$AA$9,2,FALSE))))),"")</f>
        <v/>
      </c>
      <c r="J164" s="101"/>
      <c r="K164" s="283" t="str">
        <f>IF(AND(D164&lt;&gt;"",J164=""),"Check data ⚠",IF(J164="","",IF(VLOOKUP(J164,'G-3 Multipliers'!$L$3:$N$6,2,FALSE)=0,"Spatial Data Missing",VLOOKUP(J164,'G-3 Multipliers'!$L$3:$N$6,2,FALSE))))</f>
        <v/>
      </c>
      <c r="L164" s="281" t="str">
        <f>IF(J164="","",IF(VLOOKUP(J164,'G-3 Multipliers'!$L$3:$N$6,3,FALSE)=0,"Spatial Data Missing ⚠",VLOOKUP(J164,'G-3 Multipliers'!$L$3:$N$6,3,FALSE)))</f>
        <v/>
      </c>
      <c r="M164" s="282" t="str">
        <f>IF(D164="","",VLOOKUP(D164,'G-6 Hedgerow Data'!$B$1:$AH$15,33,FALSE))</f>
        <v/>
      </c>
      <c r="N164" s="289" t="str">
        <f t="shared" si="16"/>
        <v/>
      </c>
      <c r="O164" s="32"/>
      <c r="P164" s="105"/>
      <c r="Q164" s="138"/>
      <c r="R164" s="306" t="str">
        <f t="shared" si="17"/>
        <v/>
      </c>
      <c r="S164" s="306" t="str">
        <f t="shared" si="18"/>
        <v/>
      </c>
      <c r="T164" s="306" t="str">
        <f t="shared" si="19"/>
        <v/>
      </c>
      <c r="U164" s="327" t="str">
        <f t="shared" si="20"/>
        <v/>
      </c>
      <c r="V164" s="105"/>
      <c r="W164" s="104"/>
      <c r="X164" s="104"/>
      <c r="AE164" s="107" t="str">
        <f t="shared" si="14"/>
        <v/>
      </c>
      <c r="AF164" s="107" t="str">
        <f t="shared" si="15"/>
        <v/>
      </c>
      <c r="AH164" s="107">
        <v>155</v>
      </c>
      <c r="AJ164" s="107" t="str">
        <f t="array" ref="AJ164">IFERROR(INDEX($AH$10:$AH$258,MATCH(0,IF(TRUE=$AE$10:$AE$258,COUNTIF($AJ$9:$AJ163,$AH$10:$AH$258),""),0)),"")</f>
        <v/>
      </c>
      <c r="AK164" s="107" t="str">
        <f t="array" ref="AK164">IFERROR(INDEX($AH$10:$AH$258,MATCH(0,IF(TRUE=$AF$10:$AF$258,COUNTIF($AK$9:$AK163,$AH$10:$AH$258),""),0)),"")</f>
        <v/>
      </c>
      <c r="AL164" s="30" t="str">
        <f>IFERROR(INDEX('G-6 Hedgerow Data'!$BJ$3:$BJ$15,MATCH(D164,'G-6 Hedgerow Data'!$B$3:$B$15,0)),"")</f>
        <v/>
      </c>
    </row>
    <row r="165" spans="2:38" ht="14" hidden="1">
      <c r="B165" s="97">
        <v>156</v>
      </c>
      <c r="C165" s="138"/>
      <c r="D165" s="138"/>
      <c r="E165" s="104"/>
      <c r="F165" s="323" t="str">
        <f>IF(D165="","",VLOOKUP(D165,'G-6 Hedgerow Data'!$B$2:$AG$15,2,FALSE))</f>
        <v/>
      </c>
      <c r="G165" s="276" t="str">
        <f>IF(D165="","",VLOOKUP(D165,'G-6 Hedgerow Data'!$B$2:$AG$15,3,FALSE))</f>
        <v/>
      </c>
      <c r="H165" s="101"/>
      <c r="I165" s="276" t="str">
        <f>IFERROR(IF(AND(D165&lt;&gt;"",H165=""),"Check data ⚠",IF(H165="","",IF(AND(D165="Non-native and ornamental hedgerow",H165&lt;&gt;"Poor"),"Not possible ▲",(VLOOKUP(H165,'G-1 All Habitats'!$Z$2:$AA$9,2,FALSE))))),"")</f>
        <v/>
      </c>
      <c r="J165" s="101"/>
      <c r="K165" s="283" t="str">
        <f>IF(AND(D165&lt;&gt;"",J165=""),"Check data ⚠",IF(J165="","",IF(VLOOKUP(J165,'G-3 Multipliers'!$L$3:$N$6,2,FALSE)=0,"Spatial Data Missing",VLOOKUP(J165,'G-3 Multipliers'!$L$3:$N$6,2,FALSE))))</f>
        <v/>
      </c>
      <c r="L165" s="281" t="str">
        <f>IF(J165="","",IF(VLOOKUP(J165,'G-3 Multipliers'!$L$3:$N$6,3,FALSE)=0,"Spatial Data Missing ⚠",VLOOKUP(J165,'G-3 Multipliers'!$L$3:$N$6,3,FALSE)))</f>
        <v/>
      </c>
      <c r="M165" s="282" t="str">
        <f>IF(D165="","",VLOOKUP(D165,'G-6 Hedgerow Data'!$B$1:$AH$15,33,FALSE))</f>
        <v/>
      </c>
      <c r="N165" s="289" t="str">
        <f t="shared" si="16"/>
        <v/>
      </c>
      <c r="O165" s="32"/>
      <c r="P165" s="105"/>
      <c r="Q165" s="138"/>
      <c r="R165" s="306" t="str">
        <f t="shared" si="17"/>
        <v/>
      </c>
      <c r="S165" s="306" t="str">
        <f t="shared" si="18"/>
        <v/>
      </c>
      <c r="T165" s="306" t="str">
        <f t="shared" si="19"/>
        <v/>
      </c>
      <c r="U165" s="327" t="str">
        <f t="shared" si="20"/>
        <v/>
      </c>
      <c r="V165" s="105"/>
      <c r="W165" s="104"/>
      <c r="X165" s="104"/>
      <c r="AE165" s="107" t="str">
        <f t="shared" si="14"/>
        <v/>
      </c>
      <c r="AF165" s="107" t="str">
        <f t="shared" si="15"/>
        <v/>
      </c>
      <c r="AH165" s="107">
        <v>156</v>
      </c>
      <c r="AJ165" s="107" t="str">
        <f t="array" ref="AJ165">IFERROR(INDEX($AH$10:$AH$258,MATCH(0,IF(TRUE=$AE$10:$AE$258,COUNTIF($AJ$9:$AJ164,$AH$10:$AH$258),""),0)),"")</f>
        <v/>
      </c>
      <c r="AK165" s="107" t="str">
        <f t="array" ref="AK165">IFERROR(INDEX($AH$10:$AH$258,MATCH(0,IF(TRUE=$AF$10:$AF$258,COUNTIF($AK$9:$AK164,$AH$10:$AH$258),""),0)),"")</f>
        <v/>
      </c>
      <c r="AL165" s="30" t="str">
        <f>IFERROR(INDEX('G-6 Hedgerow Data'!$BJ$3:$BJ$15,MATCH(D165,'G-6 Hedgerow Data'!$B$3:$B$15,0)),"")</f>
        <v/>
      </c>
    </row>
    <row r="166" spans="2:38" ht="14" hidden="1">
      <c r="B166" s="97">
        <v>157</v>
      </c>
      <c r="C166" s="138"/>
      <c r="D166" s="138"/>
      <c r="E166" s="104"/>
      <c r="F166" s="323" t="str">
        <f>IF(D166="","",VLOOKUP(D166,'G-6 Hedgerow Data'!$B$2:$AG$15,2,FALSE))</f>
        <v/>
      </c>
      <c r="G166" s="276" t="str">
        <f>IF(D166="","",VLOOKUP(D166,'G-6 Hedgerow Data'!$B$2:$AG$15,3,FALSE))</f>
        <v/>
      </c>
      <c r="H166" s="101"/>
      <c r="I166" s="276" t="str">
        <f>IFERROR(IF(AND(D166&lt;&gt;"",H166=""),"Check data ⚠",IF(H166="","",IF(AND(D166="Non-native and ornamental hedgerow",H166&lt;&gt;"Poor"),"Not possible ▲",(VLOOKUP(H166,'G-1 All Habitats'!$Z$2:$AA$9,2,FALSE))))),"")</f>
        <v/>
      </c>
      <c r="J166" s="101"/>
      <c r="K166" s="283" t="str">
        <f>IF(AND(D166&lt;&gt;"",J166=""),"Check data ⚠",IF(J166="","",IF(VLOOKUP(J166,'G-3 Multipliers'!$L$3:$N$6,2,FALSE)=0,"Spatial Data Missing",VLOOKUP(J166,'G-3 Multipliers'!$L$3:$N$6,2,FALSE))))</f>
        <v/>
      </c>
      <c r="L166" s="281" t="str">
        <f>IF(J166="","",IF(VLOOKUP(J166,'G-3 Multipliers'!$L$3:$N$6,3,FALSE)=0,"Spatial Data Missing ⚠",VLOOKUP(J166,'G-3 Multipliers'!$L$3:$N$6,3,FALSE)))</f>
        <v/>
      </c>
      <c r="M166" s="282" t="str">
        <f>IF(D166="","",VLOOKUP(D166,'G-6 Hedgerow Data'!$B$1:$AH$15,33,FALSE))</f>
        <v/>
      </c>
      <c r="N166" s="289" t="str">
        <f t="shared" si="16"/>
        <v/>
      </c>
      <c r="O166" s="32"/>
      <c r="P166" s="105"/>
      <c r="Q166" s="138"/>
      <c r="R166" s="306" t="str">
        <f t="shared" si="17"/>
        <v/>
      </c>
      <c r="S166" s="306" t="str">
        <f t="shared" si="18"/>
        <v/>
      </c>
      <c r="T166" s="306" t="str">
        <f t="shared" si="19"/>
        <v/>
      </c>
      <c r="U166" s="327" t="str">
        <f t="shared" si="20"/>
        <v/>
      </c>
      <c r="V166" s="105"/>
      <c r="W166" s="104"/>
      <c r="X166" s="104"/>
      <c r="AE166" s="107" t="str">
        <f t="shared" si="14"/>
        <v/>
      </c>
      <c r="AF166" s="107" t="str">
        <f t="shared" si="15"/>
        <v/>
      </c>
      <c r="AH166" s="107">
        <v>157</v>
      </c>
      <c r="AJ166" s="107" t="str">
        <f t="array" ref="AJ166">IFERROR(INDEX($AH$10:$AH$258,MATCH(0,IF(TRUE=$AE$10:$AE$258,COUNTIF($AJ$9:$AJ165,$AH$10:$AH$258),""),0)),"")</f>
        <v/>
      </c>
      <c r="AK166" s="107" t="str">
        <f t="array" ref="AK166">IFERROR(INDEX($AH$10:$AH$258,MATCH(0,IF(TRUE=$AF$10:$AF$258,COUNTIF($AK$9:$AK165,$AH$10:$AH$258),""),0)),"")</f>
        <v/>
      </c>
      <c r="AL166" s="30" t="str">
        <f>IFERROR(INDEX('G-6 Hedgerow Data'!$BJ$3:$BJ$15,MATCH(D166,'G-6 Hedgerow Data'!$B$3:$B$15,0)),"")</f>
        <v/>
      </c>
    </row>
    <row r="167" spans="2:38" ht="14" hidden="1">
      <c r="B167" s="97">
        <v>158</v>
      </c>
      <c r="C167" s="138"/>
      <c r="D167" s="138"/>
      <c r="E167" s="104"/>
      <c r="F167" s="323" t="str">
        <f>IF(D167="","",VLOOKUP(D167,'G-6 Hedgerow Data'!$B$2:$AG$15,2,FALSE))</f>
        <v/>
      </c>
      <c r="G167" s="276" t="str">
        <f>IF(D167="","",VLOOKUP(D167,'G-6 Hedgerow Data'!$B$2:$AG$15,3,FALSE))</f>
        <v/>
      </c>
      <c r="H167" s="101"/>
      <c r="I167" s="276" t="str">
        <f>IFERROR(IF(AND(D167&lt;&gt;"",H167=""),"Check data ⚠",IF(H167="","",IF(AND(D167="Non-native and ornamental hedgerow",H167&lt;&gt;"Poor"),"Not possible ▲",(VLOOKUP(H167,'G-1 All Habitats'!$Z$2:$AA$9,2,FALSE))))),"")</f>
        <v/>
      </c>
      <c r="J167" s="101"/>
      <c r="K167" s="283" t="str">
        <f>IF(AND(D167&lt;&gt;"",J167=""),"Check data ⚠",IF(J167="","",IF(VLOOKUP(J167,'G-3 Multipliers'!$L$3:$N$6,2,FALSE)=0,"Spatial Data Missing",VLOOKUP(J167,'G-3 Multipliers'!$L$3:$N$6,2,FALSE))))</f>
        <v/>
      </c>
      <c r="L167" s="281" t="str">
        <f>IF(J167="","",IF(VLOOKUP(J167,'G-3 Multipliers'!$L$3:$N$6,3,FALSE)=0,"Spatial Data Missing ⚠",VLOOKUP(J167,'G-3 Multipliers'!$L$3:$N$6,3,FALSE)))</f>
        <v/>
      </c>
      <c r="M167" s="282" t="str">
        <f>IF(D167="","",VLOOKUP(D167,'G-6 Hedgerow Data'!$B$1:$AH$15,33,FALSE))</f>
        <v/>
      </c>
      <c r="N167" s="289" t="str">
        <f t="shared" si="16"/>
        <v/>
      </c>
      <c r="O167" s="32"/>
      <c r="P167" s="105"/>
      <c r="Q167" s="138"/>
      <c r="R167" s="306" t="str">
        <f t="shared" si="17"/>
        <v/>
      </c>
      <c r="S167" s="306" t="str">
        <f t="shared" si="18"/>
        <v/>
      </c>
      <c r="T167" s="306" t="str">
        <f t="shared" si="19"/>
        <v/>
      </c>
      <c r="U167" s="327" t="str">
        <f t="shared" si="20"/>
        <v/>
      </c>
      <c r="V167" s="105"/>
      <c r="W167" s="104"/>
      <c r="X167" s="104"/>
      <c r="AE167" s="107" t="str">
        <f t="shared" si="14"/>
        <v/>
      </c>
      <c r="AF167" s="107" t="str">
        <f t="shared" si="15"/>
        <v/>
      </c>
      <c r="AH167" s="107">
        <v>158</v>
      </c>
      <c r="AJ167" s="107" t="str">
        <f t="array" ref="AJ167">IFERROR(INDEX($AH$10:$AH$258,MATCH(0,IF(TRUE=$AE$10:$AE$258,COUNTIF($AJ$9:$AJ166,$AH$10:$AH$258),""),0)),"")</f>
        <v/>
      </c>
      <c r="AK167" s="107" t="str">
        <f t="array" ref="AK167">IFERROR(INDEX($AH$10:$AH$258,MATCH(0,IF(TRUE=$AF$10:$AF$258,COUNTIF($AK$9:$AK166,$AH$10:$AH$258),""),0)),"")</f>
        <v/>
      </c>
      <c r="AL167" s="30" t="str">
        <f>IFERROR(INDEX('G-6 Hedgerow Data'!$BJ$3:$BJ$15,MATCH(D167,'G-6 Hedgerow Data'!$B$3:$B$15,0)),"")</f>
        <v/>
      </c>
    </row>
    <row r="168" spans="2:38" ht="14" hidden="1">
      <c r="B168" s="97">
        <v>159</v>
      </c>
      <c r="C168" s="138"/>
      <c r="D168" s="138"/>
      <c r="E168" s="104"/>
      <c r="F168" s="323" t="str">
        <f>IF(D168="","",VLOOKUP(D168,'G-6 Hedgerow Data'!$B$2:$AG$15,2,FALSE))</f>
        <v/>
      </c>
      <c r="G168" s="276" t="str">
        <f>IF(D168="","",VLOOKUP(D168,'G-6 Hedgerow Data'!$B$2:$AG$15,3,FALSE))</f>
        <v/>
      </c>
      <c r="H168" s="101"/>
      <c r="I168" s="276" t="str">
        <f>IFERROR(IF(AND(D168&lt;&gt;"",H168=""),"Check data ⚠",IF(H168="","",IF(AND(D168="Non-native and ornamental hedgerow",H168&lt;&gt;"Poor"),"Not possible ▲",(VLOOKUP(H168,'G-1 All Habitats'!$Z$2:$AA$9,2,FALSE))))),"")</f>
        <v/>
      </c>
      <c r="J168" s="101"/>
      <c r="K168" s="283" t="str">
        <f>IF(AND(D168&lt;&gt;"",J168=""),"Check data ⚠",IF(J168="","",IF(VLOOKUP(J168,'G-3 Multipliers'!$L$3:$N$6,2,FALSE)=0,"Spatial Data Missing",VLOOKUP(J168,'G-3 Multipliers'!$L$3:$N$6,2,FALSE))))</f>
        <v/>
      </c>
      <c r="L168" s="281" t="str">
        <f>IF(J168="","",IF(VLOOKUP(J168,'G-3 Multipliers'!$L$3:$N$6,3,FALSE)=0,"Spatial Data Missing ⚠",VLOOKUP(J168,'G-3 Multipliers'!$L$3:$N$6,3,FALSE)))</f>
        <v/>
      </c>
      <c r="M168" s="282" t="str">
        <f>IF(D168="","",VLOOKUP(D168,'G-6 Hedgerow Data'!$B$1:$AH$15,33,FALSE))</f>
        <v/>
      </c>
      <c r="N168" s="289" t="str">
        <f t="shared" si="16"/>
        <v/>
      </c>
      <c r="O168" s="32"/>
      <c r="P168" s="105"/>
      <c r="Q168" s="138"/>
      <c r="R168" s="306" t="str">
        <f t="shared" si="17"/>
        <v/>
      </c>
      <c r="S168" s="306" t="str">
        <f t="shared" si="18"/>
        <v/>
      </c>
      <c r="T168" s="306" t="str">
        <f t="shared" si="19"/>
        <v/>
      </c>
      <c r="U168" s="327" t="str">
        <f t="shared" si="20"/>
        <v/>
      </c>
      <c r="V168" s="105"/>
      <c r="W168" s="104"/>
      <c r="X168" s="104"/>
      <c r="AE168" s="107" t="str">
        <f t="shared" si="14"/>
        <v/>
      </c>
      <c r="AF168" s="107" t="str">
        <f t="shared" si="15"/>
        <v/>
      </c>
      <c r="AH168" s="107">
        <v>159</v>
      </c>
      <c r="AJ168" s="107" t="str">
        <f t="array" ref="AJ168">IFERROR(INDEX($AH$10:$AH$258,MATCH(0,IF(TRUE=$AE$10:$AE$258,COUNTIF($AJ$9:$AJ167,$AH$10:$AH$258),""),0)),"")</f>
        <v/>
      </c>
      <c r="AK168" s="107" t="str">
        <f t="array" ref="AK168">IFERROR(INDEX($AH$10:$AH$258,MATCH(0,IF(TRUE=$AF$10:$AF$258,COUNTIF($AK$9:$AK167,$AH$10:$AH$258),""),0)),"")</f>
        <v/>
      </c>
      <c r="AL168" s="30" t="str">
        <f>IFERROR(INDEX('G-6 Hedgerow Data'!$BJ$3:$BJ$15,MATCH(D168,'G-6 Hedgerow Data'!$B$3:$B$15,0)),"")</f>
        <v/>
      </c>
    </row>
    <row r="169" spans="2:38" ht="14" hidden="1">
      <c r="B169" s="97">
        <v>160</v>
      </c>
      <c r="C169" s="138"/>
      <c r="D169" s="138"/>
      <c r="E169" s="104"/>
      <c r="F169" s="323" t="str">
        <f>IF(D169="","",VLOOKUP(D169,'G-6 Hedgerow Data'!$B$2:$AG$15,2,FALSE))</f>
        <v/>
      </c>
      <c r="G169" s="276" t="str">
        <f>IF(D169="","",VLOOKUP(D169,'G-6 Hedgerow Data'!$B$2:$AG$15,3,FALSE))</f>
        <v/>
      </c>
      <c r="H169" s="101"/>
      <c r="I169" s="276" t="str">
        <f>IFERROR(IF(AND(D169&lt;&gt;"",H169=""),"Check data ⚠",IF(H169="","",IF(AND(D169="Non-native and ornamental hedgerow",H169&lt;&gt;"Poor"),"Not possible ▲",(VLOOKUP(H169,'G-1 All Habitats'!$Z$2:$AA$9,2,FALSE))))),"")</f>
        <v/>
      </c>
      <c r="J169" s="101"/>
      <c r="K169" s="283" t="str">
        <f>IF(AND(D169&lt;&gt;"",J169=""),"Check data ⚠",IF(J169="","",IF(VLOOKUP(J169,'G-3 Multipliers'!$L$3:$N$6,2,FALSE)=0,"Spatial Data Missing",VLOOKUP(J169,'G-3 Multipliers'!$L$3:$N$6,2,FALSE))))</f>
        <v/>
      </c>
      <c r="L169" s="281" t="str">
        <f>IF(J169="","",IF(VLOOKUP(J169,'G-3 Multipliers'!$L$3:$N$6,3,FALSE)=0,"Spatial Data Missing ⚠",VLOOKUP(J169,'G-3 Multipliers'!$L$3:$N$6,3,FALSE)))</f>
        <v/>
      </c>
      <c r="M169" s="282" t="str">
        <f>IF(D169="","",VLOOKUP(D169,'G-6 Hedgerow Data'!$B$1:$AH$15,33,FALSE))</f>
        <v/>
      </c>
      <c r="N169" s="289" t="str">
        <f t="shared" si="16"/>
        <v/>
      </c>
      <c r="O169" s="32"/>
      <c r="P169" s="105"/>
      <c r="Q169" s="138"/>
      <c r="R169" s="306" t="str">
        <f t="shared" si="17"/>
        <v/>
      </c>
      <c r="S169" s="306" t="str">
        <f t="shared" si="18"/>
        <v/>
      </c>
      <c r="T169" s="306" t="str">
        <f t="shared" si="19"/>
        <v/>
      </c>
      <c r="U169" s="327" t="str">
        <f t="shared" si="20"/>
        <v/>
      </c>
      <c r="V169" s="105"/>
      <c r="W169" s="104"/>
      <c r="X169" s="104"/>
      <c r="AE169" s="107" t="str">
        <f t="shared" si="14"/>
        <v/>
      </c>
      <c r="AF169" s="107" t="str">
        <f t="shared" si="15"/>
        <v/>
      </c>
      <c r="AH169" s="107">
        <v>160</v>
      </c>
      <c r="AJ169" s="107" t="str">
        <f t="array" ref="AJ169">IFERROR(INDEX($AH$10:$AH$258,MATCH(0,IF(TRUE=$AE$10:$AE$258,COUNTIF($AJ$9:$AJ168,$AH$10:$AH$258),""),0)),"")</f>
        <v/>
      </c>
      <c r="AK169" s="107" t="str">
        <f t="array" ref="AK169">IFERROR(INDEX($AH$10:$AH$258,MATCH(0,IF(TRUE=$AF$10:$AF$258,COUNTIF($AK$9:$AK168,$AH$10:$AH$258),""),0)),"")</f>
        <v/>
      </c>
      <c r="AL169" s="30" t="str">
        <f>IFERROR(INDEX('G-6 Hedgerow Data'!$BJ$3:$BJ$15,MATCH(D169,'G-6 Hedgerow Data'!$B$3:$B$15,0)),"")</f>
        <v/>
      </c>
    </row>
    <row r="170" spans="2:38" ht="14" hidden="1">
      <c r="B170" s="97">
        <v>161</v>
      </c>
      <c r="C170" s="138"/>
      <c r="D170" s="138"/>
      <c r="E170" s="104"/>
      <c r="F170" s="323" t="str">
        <f>IF(D170="","",VLOOKUP(D170,'G-6 Hedgerow Data'!$B$2:$AG$15,2,FALSE))</f>
        <v/>
      </c>
      <c r="G170" s="276" t="str">
        <f>IF(D170="","",VLOOKUP(D170,'G-6 Hedgerow Data'!$B$2:$AG$15,3,FALSE))</f>
        <v/>
      </c>
      <c r="H170" s="101"/>
      <c r="I170" s="276" t="str">
        <f>IFERROR(IF(AND(D170&lt;&gt;"",H170=""),"Check data ⚠",IF(H170="","",IF(AND(D170="Non-native and ornamental hedgerow",H170&lt;&gt;"Poor"),"Not possible ▲",(VLOOKUP(H170,'G-1 All Habitats'!$Z$2:$AA$9,2,FALSE))))),"")</f>
        <v/>
      </c>
      <c r="J170" s="101"/>
      <c r="K170" s="283" t="str">
        <f>IF(AND(D170&lt;&gt;"",J170=""),"Check data ⚠",IF(J170="","",IF(VLOOKUP(J170,'G-3 Multipliers'!$L$3:$N$6,2,FALSE)=0,"Spatial Data Missing",VLOOKUP(J170,'G-3 Multipliers'!$L$3:$N$6,2,FALSE))))</f>
        <v/>
      </c>
      <c r="L170" s="281" t="str">
        <f>IF(J170="","",IF(VLOOKUP(J170,'G-3 Multipliers'!$L$3:$N$6,3,FALSE)=0,"Spatial Data Missing ⚠",VLOOKUP(J170,'G-3 Multipliers'!$L$3:$N$6,3,FALSE)))</f>
        <v/>
      </c>
      <c r="M170" s="282" t="str">
        <f>IF(D170="","",VLOOKUP(D170,'G-6 Hedgerow Data'!$B$1:$AH$15,33,FALSE))</f>
        <v/>
      </c>
      <c r="N170" s="289" t="str">
        <f t="shared" si="16"/>
        <v/>
      </c>
      <c r="O170" s="32"/>
      <c r="P170" s="105"/>
      <c r="Q170" s="138"/>
      <c r="R170" s="306" t="str">
        <f t="shared" si="17"/>
        <v/>
      </c>
      <c r="S170" s="306" t="str">
        <f t="shared" si="18"/>
        <v/>
      </c>
      <c r="T170" s="306" t="str">
        <f t="shared" si="19"/>
        <v/>
      </c>
      <c r="U170" s="327" t="str">
        <f t="shared" si="20"/>
        <v/>
      </c>
      <c r="V170" s="105"/>
      <c r="W170" s="104"/>
      <c r="X170" s="104"/>
      <c r="AE170" s="107" t="str">
        <f t="shared" si="14"/>
        <v/>
      </c>
      <c r="AF170" s="107" t="str">
        <f t="shared" si="15"/>
        <v/>
      </c>
      <c r="AH170" s="107">
        <v>161</v>
      </c>
      <c r="AJ170" s="107" t="str">
        <f t="array" ref="AJ170">IFERROR(INDEX($AH$10:$AH$258,MATCH(0,IF(TRUE=$AE$10:$AE$258,COUNTIF($AJ$9:$AJ169,$AH$10:$AH$258),""),0)),"")</f>
        <v/>
      </c>
      <c r="AK170" s="107" t="str">
        <f t="array" ref="AK170">IFERROR(INDEX($AH$10:$AH$258,MATCH(0,IF(TRUE=$AF$10:$AF$258,COUNTIF($AK$9:$AK169,$AH$10:$AH$258),""),0)),"")</f>
        <v/>
      </c>
      <c r="AL170" s="30" t="str">
        <f>IFERROR(INDEX('G-6 Hedgerow Data'!$BJ$3:$BJ$15,MATCH(D170,'G-6 Hedgerow Data'!$B$3:$B$15,0)),"")</f>
        <v/>
      </c>
    </row>
    <row r="171" spans="2:38" ht="14" hidden="1">
      <c r="B171" s="97">
        <v>162</v>
      </c>
      <c r="C171" s="138"/>
      <c r="D171" s="138"/>
      <c r="E171" s="104"/>
      <c r="F171" s="323" t="str">
        <f>IF(D171="","",VLOOKUP(D171,'G-6 Hedgerow Data'!$B$2:$AG$15,2,FALSE))</f>
        <v/>
      </c>
      <c r="G171" s="276" t="str">
        <f>IF(D171="","",VLOOKUP(D171,'G-6 Hedgerow Data'!$B$2:$AG$15,3,FALSE))</f>
        <v/>
      </c>
      <c r="H171" s="101"/>
      <c r="I171" s="276" t="str">
        <f>IFERROR(IF(AND(D171&lt;&gt;"",H171=""),"Check data ⚠",IF(H171="","",IF(AND(D171="Non-native and ornamental hedgerow",H171&lt;&gt;"Poor"),"Not possible ▲",(VLOOKUP(H171,'G-1 All Habitats'!$Z$2:$AA$9,2,FALSE))))),"")</f>
        <v/>
      </c>
      <c r="J171" s="101"/>
      <c r="K171" s="283" t="str">
        <f>IF(AND(D171&lt;&gt;"",J171=""),"Check data ⚠",IF(J171="","",IF(VLOOKUP(J171,'G-3 Multipliers'!$L$3:$N$6,2,FALSE)=0,"Spatial Data Missing",VLOOKUP(J171,'G-3 Multipliers'!$L$3:$N$6,2,FALSE))))</f>
        <v/>
      </c>
      <c r="L171" s="281" t="str">
        <f>IF(J171="","",IF(VLOOKUP(J171,'G-3 Multipliers'!$L$3:$N$6,3,FALSE)=0,"Spatial Data Missing ⚠",VLOOKUP(J171,'G-3 Multipliers'!$L$3:$N$6,3,FALSE)))</f>
        <v/>
      </c>
      <c r="M171" s="282" t="str">
        <f>IF(D171="","",VLOOKUP(D171,'G-6 Hedgerow Data'!$B$1:$AH$15,33,FALSE))</f>
        <v/>
      </c>
      <c r="N171" s="289" t="str">
        <f t="shared" si="16"/>
        <v/>
      </c>
      <c r="O171" s="32"/>
      <c r="P171" s="105"/>
      <c r="Q171" s="138"/>
      <c r="R171" s="306" t="str">
        <f t="shared" si="17"/>
        <v/>
      </c>
      <c r="S171" s="306" t="str">
        <f t="shared" si="18"/>
        <v/>
      </c>
      <c r="T171" s="306" t="str">
        <f t="shared" si="19"/>
        <v/>
      </c>
      <c r="U171" s="327" t="str">
        <f t="shared" si="20"/>
        <v/>
      </c>
      <c r="V171" s="105"/>
      <c r="W171" s="104"/>
      <c r="X171" s="104"/>
      <c r="AE171" s="107" t="str">
        <f t="shared" si="14"/>
        <v/>
      </c>
      <c r="AF171" s="107" t="str">
        <f t="shared" si="15"/>
        <v/>
      </c>
      <c r="AH171" s="107">
        <v>162</v>
      </c>
      <c r="AJ171" s="107" t="str">
        <f t="array" ref="AJ171">IFERROR(INDEX($AH$10:$AH$258,MATCH(0,IF(TRUE=$AE$10:$AE$258,COUNTIF($AJ$9:$AJ170,$AH$10:$AH$258),""),0)),"")</f>
        <v/>
      </c>
      <c r="AK171" s="107" t="str">
        <f t="array" ref="AK171">IFERROR(INDEX($AH$10:$AH$258,MATCH(0,IF(TRUE=$AF$10:$AF$258,COUNTIF($AK$9:$AK170,$AH$10:$AH$258),""),0)),"")</f>
        <v/>
      </c>
      <c r="AL171" s="30" t="str">
        <f>IFERROR(INDEX('G-6 Hedgerow Data'!$BJ$3:$BJ$15,MATCH(D171,'G-6 Hedgerow Data'!$B$3:$B$15,0)),"")</f>
        <v/>
      </c>
    </row>
    <row r="172" spans="2:38" ht="14" hidden="1">
      <c r="B172" s="97">
        <v>163</v>
      </c>
      <c r="C172" s="138"/>
      <c r="D172" s="138"/>
      <c r="E172" s="104"/>
      <c r="F172" s="323" t="str">
        <f>IF(D172="","",VLOOKUP(D172,'G-6 Hedgerow Data'!$B$2:$AG$15,2,FALSE))</f>
        <v/>
      </c>
      <c r="G172" s="276" t="str">
        <f>IF(D172="","",VLOOKUP(D172,'G-6 Hedgerow Data'!$B$2:$AG$15,3,FALSE))</f>
        <v/>
      </c>
      <c r="H172" s="101"/>
      <c r="I172" s="276" t="str">
        <f>IFERROR(IF(AND(D172&lt;&gt;"",H172=""),"Check data ⚠",IF(H172="","",IF(AND(D172="Non-native and ornamental hedgerow",H172&lt;&gt;"Poor"),"Not possible ▲",(VLOOKUP(H172,'G-1 All Habitats'!$Z$2:$AA$9,2,FALSE))))),"")</f>
        <v/>
      </c>
      <c r="J172" s="101"/>
      <c r="K172" s="283" t="str">
        <f>IF(AND(D172&lt;&gt;"",J172=""),"Check data ⚠",IF(J172="","",IF(VLOOKUP(J172,'G-3 Multipliers'!$L$3:$N$6,2,FALSE)=0,"Spatial Data Missing",VLOOKUP(J172,'G-3 Multipliers'!$L$3:$N$6,2,FALSE))))</f>
        <v/>
      </c>
      <c r="L172" s="281" t="str">
        <f>IF(J172="","",IF(VLOOKUP(J172,'G-3 Multipliers'!$L$3:$N$6,3,FALSE)=0,"Spatial Data Missing ⚠",VLOOKUP(J172,'G-3 Multipliers'!$L$3:$N$6,3,FALSE)))</f>
        <v/>
      </c>
      <c r="M172" s="282" t="str">
        <f>IF(D172="","",VLOOKUP(D172,'G-6 Hedgerow Data'!$B$1:$AH$15,33,FALSE))</f>
        <v/>
      </c>
      <c r="N172" s="289" t="str">
        <f t="shared" si="16"/>
        <v/>
      </c>
      <c r="O172" s="32"/>
      <c r="P172" s="105"/>
      <c r="Q172" s="138"/>
      <c r="R172" s="306" t="str">
        <f t="shared" si="17"/>
        <v/>
      </c>
      <c r="S172" s="306" t="str">
        <f t="shared" si="18"/>
        <v/>
      </c>
      <c r="T172" s="306" t="str">
        <f t="shared" si="19"/>
        <v/>
      </c>
      <c r="U172" s="327" t="str">
        <f t="shared" si="20"/>
        <v/>
      </c>
      <c r="V172" s="105"/>
      <c r="W172" s="104"/>
      <c r="X172" s="104"/>
      <c r="AE172" s="107" t="str">
        <f t="shared" si="14"/>
        <v/>
      </c>
      <c r="AF172" s="107" t="str">
        <f t="shared" si="15"/>
        <v/>
      </c>
      <c r="AH172" s="107">
        <v>163</v>
      </c>
      <c r="AJ172" s="107" t="str">
        <f t="array" ref="AJ172">IFERROR(INDEX($AH$10:$AH$258,MATCH(0,IF(TRUE=$AE$10:$AE$258,COUNTIF($AJ$9:$AJ171,$AH$10:$AH$258),""),0)),"")</f>
        <v/>
      </c>
      <c r="AK172" s="107" t="str">
        <f t="array" ref="AK172">IFERROR(INDEX($AH$10:$AH$258,MATCH(0,IF(TRUE=$AF$10:$AF$258,COUNTIF($AK$9:$AK171,$AH$10:$AH$258),""),0)),"")</f>
        <v/>
      </c>
      <c r="AL172" s="30" t="str">
        <f>IFERROR(INDEX('G-6 Hedgerow Data'!$BJ$3:$BJ$15,MATCH(D172,'G-6 Hedgerow Data'!$B$3:$B$15,0)),"")</f>
        <v/>
      </c>
    </row>
    <row r="173" spans="2:38" ht="14" hidden="1">
      <c r="B173" s="97">
        <v>164</v>
      </c>
      <c r="C173" s="138"/>
      <c r="D173" s="138"/>
      <c r="E173" s="104"/>
      <c r="F173" s="323" t="str">
        <f>IF(D173="","",VLOOKUP(D173,'G-6 Hedgerow Data'!$B$2:$AG$15,2,FALSE))</f>
        <v/>
      </c>
      <c r="G173" s="276" t="str">
        <f>IF(D173="","",VLOOKUP(D173,'G-6 Hedgerow Data'!$B$2:$AG$15,3,FALSE))</f>
        <v/>
      </c>
      <c r="H173" s="101"/>
      <c r="I173" s="276" t="str">
        <f>IFERROR(IF(AND(D173&lt;&gt;"",H173=""),"Check data ⚠",IF(H173="","",IF(AND(D173="Non-native and ornamental hedgerow",H173&lt;&gt;"Poor"),"Not possible ▲",(VLOOKUP(H173,'G-1 All Habitats'!$Z$2:$AA$9,2,FALSE))))),"")</f>
        <v/>
      </c>
      <c r="J173" s="101"/>
      <c r="K173" s="283" t="str">
        <f>IF(AND(D173&lt;&gt;"",J173=""),"Check data ⚠",IF(J173="","",IF(VLOOKUP(J173,'G-3 Multipliers'!$L$3:$N$6,2,FALSE)=0,"Spatial Data Missing",VLOOKUP(J173,'G-3 Multipliers'!$L$3:$N$6,2,FALSE))))</f>
        <v/>
      </c>
      <c r="L173" s="281" t="str">
        <f>IF(J173="","",IF(VLOOKUP(J173,'G-3 Multipliers'!$L$3:$N$6,3,FALSE)=0,"Spatial Data Missing ⚠",VLOOKUP(J173,'G-3 Multipliers'!$L$3:$N$6,3,FALSE)))</f>
        <v/>
      </c>
      <c r="M173" s="282" t="str">
        <f>IF(D173="","",VLOOKUP(D173,'G-6 Hedgerow Data'!$B$1:$AH$15,33,FALSE))</f>
        <v/>
      </c>
      <c r="N173" s="289" t="str">
        <f t="shared" si="16"/>
        <v/>
      </c>
      <c r="O173" s="32"/>
      <c r="P173" s="105"/>
      <c r="Q173" s="138"/>
      <c r="R173" s="306" t="str">
        <f t="shared" si="17"/>
        <v/>
      </c>
      <c r="S173" s="306" t="str">
        <f t="shared" si="18"/>
        <v/>
      </c>
      <c r="T173" s="306" t="str">
        <f t="shared" si="19"/>
        <v/>
      </c>
      <c r="U173" s="327" t="str">
        <f t="shared" si="20"/>
        <v/>
      </c>
      <c r="V173" s="105"/>
      <c r="W173" s="104"/>
      <c r="X173" s="104"/>
      <c r="AE173" s="107" t="str">
        <f t="shared" si="14"/>
        <v/>
      </c>
      <c r="AF173" s="107" t="str">
        <f t="shared" si="15"/>
        <v/>
      </c>
      <c r="AH173" s="107">
        <v>164</v>
      </c>
      <c r="AJ173" s="107" t="str">
        <f t="array" ref="AJ173">IFERROR(INDEX($AH$10:$AH$258,MATCH(0,IF(TRUE=$AE$10:$AE$258,COUNTIF($AJ$9:$AJ172,$AH$10:$AH$258),""),0)),"")</f>
        <v/>
      </c>
      <c r="AK173" s="107" t="str">
        <f t="array" ref="AK173">IFERROR(INDEX($AH$10:$AH$258,MATCH(0,IF(TRUE=$AF$10:$AF$258,COUNTIF($AK$9:$AK172,$AH$10:$AH$258),""),0)),"")</f>
        <v/>
      </c>
      <c r="AL173" s="30" t="str">
        <f>IFERROR(INDEX('G-6 Hedgerow Data'!$BJ$3:$BJ$15,MATCH(D173,'G-6 Hedgerow Data'!$B$3:$B$15,0)),"")</f>
        <v/>
      </c>
    </row>
    <row r="174" spans="2:38" ht="14" hidden="1">
      <c r="B174" s="97">
        <v>165</v>
      </c>
      <c r="C174" s="138"/>
      <c r="D174" s="138"/>
      <c r="E174" s="104"/>
      <c r="F174" s="323" t="str">
        <f>IF(D174="","",VLOOKUP(D174,'G-6 Hedgerow Data'!$B$2:$AG$15,2,FALSE))</f>
        <v/>
      </c>
      <c r="G174" s="276" t="str">
        <f>IF(D174="","",VLOOKUP(D174,'G-6 Hedgerow Data'!$B$2:$AG$15,3,FALSE))</f>
        <v/>
      </c>
      <c r="H174" s="101"/>
      <c r="I174" s="276" t="str">
        <f>IFERROR(IF(AND(D174&lt;&gt;"",H174=""),"Check data ⚠",IF(H174="","",IF(AND(D174="Non-native and ornamental hedgerow",H174&lt;&gt;"Poor"),"Not possible ▲",(VLOOKUP(H174,'G-1 All Habitats'!$Z$2:$AA$9,2,FALSE))))),"")</f>
        <v/>
      </c>
      <c r="J174" s="101"/>
      <c r="K174" s="283" t="str">
        <f>IF(AND(D174&lt;&gt;"",J174=""),"Check data ⚠",IF(J174="","",IF(VLOOKUP(J174,'G-3 Multipliers'!$L$3:$N$6,2,FALSE)=0,"Spatial Data Missing",VLOOKUP(J174,'G-3 Multipliers'!$L$3:$N$6,2,FALSE))))</f>
        <v/>
      </c>
      <c r="L174" s="281" t="str">
        <f>IF(J174="","",IF(VLOOKUP(J174,'G-3 Multipliers'!$L$3:$N$6,3,FALSE)=0,"Spatial Data Missing ⚠",VLOOKUP(J174,'G-3 Multipliers'!$L$3:$N$6,3,FALSE)))</f>
        <v/>
      </c>
      <c r="M174" s="282" t="str">
        <f>IF(D174="","",VLOOKUP(D174,'G-6 Hedgerow Data'!$B$1:$AH$15,33,FALSE))</f>
        <v/>
      </c>
      <c r="N174" s="289" t="str">
        <f t="shared" si="16"/>
        <v/>
      </c>
      <c r="O174" s="32"/>
      <c r="P174" s="105"/>
      <c r="Q174" s="138"/>
      <c r="R174" s="306" t="str">
        <f t="shared" si="17"/>
        <v/>
      </c>
      <c r="S174" s="306" t="str">
        <f t="shared" si="18"/>
        <v/>
      </c>
      <c r="T174" s="306" t="str">
        <f t="shared" si="19"/>
        <v/>
      </c>
      <c r="U174" s="327" t="str">
        <f t="shared" si="20"/>
        <v/>
      </c>
      <c r="V174" s="105"/>
      <c r="W174" s="104"/>
      <c r="X174" s="104"/>
      <c r="AE174" s="107" t="str">
        <f t="shared" si="14"/>
        <v/>
      </c>
      <c r="AF174" s="107" t="str">
        <f t="shared" si="15"/>
        <v/>
      </c>
      <c r="AH174" s="107">
        <v>165</v>
      </c>
      <c r="AJ174" s="107" t="str">
        <f t="array" ref="AJ174">IFERROR(INDEX($AH$10:$AH$258,MATCH(0,IF(TRUE=$AE$10:$AE$258,COUNTIF($AJ$9:$AJ173,$AH$10:$AH$258),""),0)),"")</f>
        <v/>
      </c>
      <c r="AK174" s="107" t="str">
        <f t="array" ref="AK174">IFERROR(INDEX($AH$10:$AH$258,MATCH(0,IF(TRUE=$AF$10:$AF$258,COUNTIF($AK$9:$AK173,$AH$10:$AH$258),""),0)),"")</f>
        <v/>
      </c>
      <c r="AL174" s="30" t="str">
        <f>IFERROR(INDEX('G-6 Hedgerow Data'!$BJ$3:$BJ$15,MATCH(D174,'G-6 Hedgerow Data'!$B$3:$B$15,0)),"")</f>
        <v/>
      </c>
    </row>
    <row r="175" spans="2:38" ht="14" hidden="1">
      <c r="B175" s="97">
        <v>166</v>
      </c>
      <c r="C175" s="138"/>
      <c r="D175" s="138"/>
      <c r="E175" s="104"/>
      <c r="F175" s="323" t="str">
        <f>IF(D175="","",VLOOKUP(D175,'G-6 Hedgerow Data'!$B$2:$AG$15,2,FALSE))</f>
        <v/>
      </c>
      <c r="G175" s="276" t="str">
        <f>IF(D175="","",VLOOKUP(D175,'G-6 Hedgerow Data'!$B$2:$AG$15,3,FALSE))</f>
        <v/>
      </c>
      <c r="H175" s="101"/>
      <c r="I175" s="276" t="str">
        <f>IFERROR(IF(AND(D175&lt;&gt;"",H175=""),"Check data ⚠",IF(H175="","",IF(AND(D175="Non-native and ornamental hedgerow",H175&lt;&gt;"Poor"),"Not possible ▲",(VLOOKUP(H175,'G-1 All Habitats'!$Z$2:$AA$9,2,FALSE))))),"")</f>
        <v/>
      </c>
      <c r="J175" s="101"/>
      <c r="K175" s="283" t="str">
        <f>IF(AND(D175&lt;&gt;"",J175=""),"Check data ⚠",IF(J175="","",IF(VLOOKUP(J175,'G-3 Multipliers'!$L$3:$N$6,2,FALSE)=0,"Spatial Data Missing",VLOOKUP(J175,'G-3 Multipliers'!$L$3:$N$6,2,FALSE))))</f>
        <v/>
      </c>
      <c r="L175" s="281" t="str">
        <f>IF(J175="","",IF(VLOOKUP(J175,'G-3 Multipliers'!$L$3:$N$6,3,FALSE)=0,"Spatial Data Missing ⚠",VLOOKUP(J175,'G-3 Multipliers'!$L$3:$N$6,3,FALSE)))</f>
        <v/>
      </c>
      <c r="M175" s="282" t="str">
        <f>IF(D175="","",VLOOKUP(D175,'G-6 Hedgerow Data'!$B$1:$AH$15,33,FALSE))</f>
        <v/>
      </c>
      <c r="N175" s="289" t="str">
        <f t="shared" si="16"/>
        <v/>
      </c>
      <c r="O175" s="32"/>
      <c r="P175" s="105"/>
      <c r="Q175" s="138"/>
      <c r="R175" s="306" t="str">
        <f t="shared" si="17"/>
        <v/>
      </c>
      <c r="S175" s="306" t="str">
        <f t="shared" si="18"/>
        <v/>
      </c>
      <c r="T175" s="306" t="str">
        <f t="shared" si="19"/>
        <v/>
      </c>
      <c r="U175" s="327" t="str">
        <f t="shared" si="20"/>
        <v/>
      </c>
      <c r="V175" s="105"/>
      <c r="W175" s="104"/>
      <c r="X175" s="104"/>
      <c r="AE175" s="107" t="str">
        <f t="shared" si="14"/>
        <v/>
      </c>
      <c r="AF175" s="107" t="str">
        <f t="shared" si="15"/>
        <v/>
      </c>
      <c r="AH175" s="107">
        <v>166</v>
      </c>
      <c r="AJ175" s="107" t="str">
        <f t="array" ref="AJ175">IFERROR(INDEX($AH$10:$AH$258,MATCH(0,IF(TRUE=$AE$10:$AE$258,COUNTIF($AJ$9:$AJ174,$AH$10:$AH$258),""),0)),"")</f>
        <v/>
      </c>
      <c r="AK175" s="107" t="str">
        <f t="array" ref="AK175">IFERROR(INDEX($AH$10:$AH$258,MATCH(0,IF(TRUE=$AF$10:$AF$258,COUNTIF($AK$9:$AK174,$AH$10:$AH$258),""),0)),"")</f>
        <v/>
      </c>
      <c r="AL175" s="30" t="str">
        <f>IFERROR(INDEX('G-6 Hedgerow Data'!$BJ$3:$BJ$15,MATCH(D175,'G-6 Hedgerow Data'!$B$3:$B$15,0)),"")</f>
        <v/>
      </c>
    </row>
    <row r="176" spans="2:38" ht="14" hidden="1">
      <c r="B176" s="97">
        <v>167</v>
      </c>
      <c r="C176" s="138"/>
      <c r="D176" s="138"/>
      <c r="E176" s="104"/>
      <c r="F176" s="323" t="str">
        <f>IF(D176="","",VLOOKUP(D176,'G-6 Hedgerow Data'!$B$2:$AG$15,2,FALSE))</f>
        <v/>
      </c>
      <c r="G176" s="276" t="str">
        <f>IF(D176="","",VLOOKUP(D176,'G-6 Hedgerow Data'!$B$2:$AG$15,3,FALSE))</f>
        <v/>
      </c>
      <c r="H176" s="101"/>
      <c r="I176" s="276" t="str">
        <f>IFERROR(IF(AND(D176&lt;&gt;"",H176=""),"Check data ⚠",IF(H176="","",IF(AND(D176="Non-native and ornamental hedgerow",H176&lt;&gt;"Poor"),"Not possible ▲",(VLOOKUP(H176,'G-1 All Habitats'!$Z$2:$AA$9,2,FALSE))))),"")</f>
        <v/>
      </c>
      <c r="J176" s="101"/>
      <c r="K176" s="283" t="str">
        <f>IF(AND(D176&lt;&gt;"",J176=""),"Check data ⚠",IF(J176="","",IF(VLOOKUP(J176,'G-3 Multipliers'!$L$3:$N$6,2,FALSE)=0,"Spatial Data Missing",VLOOKUP(J176,'G-3 Multipliers'!$L$3:$N$6,2,FALSE))))</f>
        <v/>
      </c>
      <c r="L176" s="281" t="str">
        <f>IF(J176="","",IF(VLOOKUP(J176,'G-3 Multipliers'!$L$3:$N$6,3,FALSE)=0,"Spatial Data Missing ⚠",VLOOKUP(J176,'G-3 Multipliers'!$L$3:$N$6,3,FALSE)))</f>
        <v/>
      </c>
      <c r="M176" s="282" t="str">
        <f>IF(D176="","",VLOOKUP(D176,'G-6 Hedgerow Data'!$B$1:$AH$15,33,FALSE))</f>
        <v/>
      </c>
      <c r="N176" s="289" t="str">
        <f t="shared" si="16"/>
        <v/>
      </c>
      <c r="O176" s="32"/>
      <c r="P176" s="105"/>
      <c r="Q176" s="138"/>
      <c r="R176" s="306" t="str">
        <f t="shared" si="17"/>
        <v/>
      </c>
      <c r="S176" s="306" t="str">
        <f t="shared" si="18"/>
        <v/>
      </c>
      <c r="T176" s="306" t="str">
        <f t="shared" si="19"/>
        <v/>
      </c>
      <c r="U176" s="327" t="str">
        <f t="shared" si="20"/>
        <v/>
      </c>
      <c r="V176" s="105"/>
      <c r="W176" s="104"/>
      <c r="X176" s="104"/>
      <c r="AE176" s="107" t="str">
        <f t="shared" si="14"/>
        <v/>
      </c>
      <c r="AF176" s="107" t="str">
        <f t="shared" si="15"/>
        <v/>
      </c>
      <c r="AH176" s="107">
        <v>167</v>
      </c>
      <c r="AJ176" s="107" t="str">
        <f t="array" ref="AJ176">IFERROR(INDEX($AH$10:$AH$258,MATCH(0,IF(TRUE=$AE$10:$AE$258,COUNTIF($AJ$9:$AJ175,$AH$10:$AH$258),""),0)),"")</f>
        <v/>
      </c>
      <c r="AK176" s="107" t="str">
        <f t="array" ref="AK176">IFERROR(INDEX($AH$10:$AH$258,MATCH(0,IF(TRUE=$AF$10:$AF$258,COUNTIF($AK$9:$AK175,$AH$10:$AH$258),""),0)),"")</f>
        <v/>
      </c>
      <c r="AL176" s="30" t="str">
        <f>IFERROR(INDEX('G-6 Hedgerow Data'!$BJ$3:$BJ$15,MATCH(D176,'G-6 Hedgerow Data'!$B$3:$B$15,0)),"")</f>
        <v/>
      </c>
    </row>
    <row r="177" spans="2:38" ht="14" hidden="1">
      <c r="B177" s="97">
        <v>168</v>
      </c>
      <c r="C177" s="138"/>
      <c r="D177" s="138"/>
      <c r="E177" s="104"/>
      <c r="F177" s="323" t="str">
        <f>IF(D177="","",VLOOKUP(D177,'G-6 Hedgerow Data'!$B$2:$AG$15,2,FALSE))</f>
        <v/>
      </c>
      <c r="G177" s="276" t="str">
        <f>IF(D177="","",VLOOKUP(D177,'G-6 Hedgerow Data'!$B$2:$AG$15,3,FALSE))</f>
        <v/>
      </c>
      <c r="H177" s="101"/>
      <c r="I177" s="276" t="str">
        <f>IFERROR(IF(AND(D177&lt;&gt;"",H177=""),"Check data ⚠",IF(H177="","",IF(AND(D177="Non-native and ornamental hedgerow",H177&lt;&gt;"Poor"),"Not possible ▲",(VLOOKUP(H177,'G-1 All Habitats'!$Z$2:$AA$9,2,FALSE))))),"")</f>
        <v/>
      </c>
      <c r="J177" s="101"/>
      <c r="K177" s="283" t="str">
        <f>IF(AND(D177&lt;&gt;"",J177=""),"Check data ⚠",IF(J177="","",IF(VLOOKUP(J177,'G-3 Multipliers'!$L$3:$N$6,2,FALSE)=0,"Spatial Data Missing",VLOOKUP(J177,'G-3 Multipliers'!$L$3:$N$6,2,FALSE))))</f>
        <v/>
      </c>
      <c r="L177" s="281" t="str">
        <f>IF(J177="","",IF(VLOOKUP(J177,'G-3 Multipliers'!$L$3:$N$6,3,FALSE)=0,"Spatial Data Missing ⚠",VLOOKUP(J177,'G-3 Multipliers'!$L$3:$N$6,3,FALSE)))</f>
        <v/>
      </c>
      <c r="M177" s="282" t="str">
        <f>IF(D177="","",VLOOKUP(D177,'G-6 Hedgerow Data'!$B$1:$AH$15,33,FALSE))</f>
        <v/>
      </c>
      <c r="N177" s="289" t="str">
        <f t="shared" si="16"/>
        <v/>
      </c>
      <c r="O177" s="32"/>
      <c r="P177" s="105"/>
      <c r="Q177" s="138"/>
      <c r="R177" s="306" t="str">
        <f t="shared" si="17"/>
        <v/>
      </c>
      <c r="S177" s="306" t="str">
        <f t="shared" si="18"/>
        <v/>
      </c>
      <c r="T177" s="306" t="str">
        <f t="shared" si="19"/>
        <v/>
      </c>
      <c r="U177" s="327" t="str">
        <f t="shared" si="20"/>
        <v/>
      </c>
      <c r="V177" s="105"/>
      <c r="W177" s="104"/>
      <c r="X177" s="104"/>
      <c r="AE177" s="107" t="str">
        <f t="shared" si="14"/>
        <v/>
      </c>
      <c r="AF177" s="107" t="str">
        <f t="shared" si="15"/>
        <v/>
      </c>
      <c r="AH177" s="107">
        <v>168</v>
      </c>
      <c r="AJ177" s="107" t="str">
        <f t="array" ref="AJ177">IFERROR(INDEX($AH$10:$AH$258,MATCH(0,IF(TRUE=$AE$10:$AE$258,COUNTIF($AJ$9:$AJ176,$AH$10:$AH$258),""),0)),"")</f>
        <v/>
      </c>
      <c r="AK177" s="107" t="str">
        <f t="array" ref="AK177">IFERROR(INDEX($AH$10:$AH$258,MATCH(0,IF(TRUE=$AF$10:$AF$258,COUNTIF($AK$9:$AK176,$AH$10:$AH$258),""),0)),"")</f>
        <v/>
      </c>
      <c r="AL177" s="30" t="str">
        <f>IFERROR(INDEX('G-6 Hedgerow Data'!$BJ$3:$BJ$15,MATCH(D177,'G-6 Hedgerow Data'!$B$3:$B$15,0)),"")</f>
        <v/>
      </c>
    </row>
    <row r="178" spans="2:38" ht="14" hidden="1">
      <c r="B178" s="97">
        <v>169</v>
      </c>
      <c r="C178" s="138"/>
      <c r="D178" s="138"/>
      <c r="E178" s="104"/>
      <c r="F178" s="323" t="str">
        <f>IF(D178="","",VLOOKUP(D178,'G-6 Hedgerow Data'!$B$2:$AG$15,2,FALSE))</f>
        <v/>
      </c>
      <c r="G178" s="276" t="str">
        <f>IF(D178="","",VLOOKUP(D178,'G-6 Hedgerow Data'!$B$2:$AG$15,3,FALSE))</f>
        <v/>
      </c>
      <c r="H178" s="101"/>
      <c r="I178" s="276" t="str">
        <f>IFERROR(IF(AND(D178&lt;&gt;"",H178=""),"Check data ⚠",IF(H178="","",IF(AND(D178="Non-native and ornamental hedgerow",H178&lt;&gt;"Poor"),"Not possible ▲",(VLOOKUP(H178,'G-1 All Habitats'!$Z$2:$AA$9,2,FALSE))))),"")</f>
        <v/>
      </c>
      <c r="J178" s="101"/>
      <c r="K178" s="283" t="str">
        <f>IF(AND(D178&lt;&gt;"",J178=""),"Check data ⚠",IF(J178="","",IF(VLOOKUP(J178,'G-3 Multipliers'!$L$3:$N$6,2,FALSE)=0,"Spatial Data Missing",VLOOKUP(J178,'G-3 Multipliers'!$L$3:$N$6,2,FALSE))))</f>
        <v/>
      </c>
      <c r="L178" s="281" t="str">
        <f>IF(J178="","",IF(VLOOKUP(J178,'G-3 Multipliers'!$L$3:$N$6,3,FALSE)=0,"Spatial Data Missing ⚠",VLOOKUP(J178,'G-3 Multipliers'!$L$3:$N$6,3,FALSE)))</f>
        <v/>
      </c>
      <c r="M178" s="282" t="str">
        <f>IF(D178="","",VLOOKUP(D178,'G-6 Hedgerow Data'!$B$1:$AH$15,33,FALSE))</f>
        <v/>
      </c>
      <c r="N178" s="289" t="str">
        <f t="shared" si="16"/>
        <v/>
      </c>
      <c r="O178" s="32"/>
      <c r="P178" s="105"/>
      <c r="Q178" s="138"/>
      <c r="R178" s="306" t="str">
        <f t="shared" si="17"/>
        <v/>
      </c>
      <c r="S178" s="306" t="str">
        <f t="shared" si="18"/>
        <v/>
      </c>
      <c r="T178" s="306" t="str">
        <f t="shared" si="19"/>
        <v/>
      </c>
      <c r="U178" s="327" t="str">
        <f t="shared" si="20"/>
        <v/>
      </c>
      <c r="V178" s="105"/>
      <c r="W178" s="104"/>
      <c r="X178" s="104"/>
      <c r="AE178" s="107" t="str">
        <f t="shared" si="14"/>
        <v/>
      </c>
      <c r="AF178" s="107" t="str">
        <f t="shared" si="15"/>
        <v/>
      </c>
      <c r="AH178" s="107">
        <v>169</v>
      </c>
      <c r="AJ178" s="107" t="str">
        <f t="array" ref="AJ178">IFERROR(INDEX($AH$10:$AH$258,MATCH(0,IF(TRUE=$AE$10:$AE$258,COUNTIF($AJ$9:$AJ177,$AH$10:$AH$258),""),0)),"")</f>
        <v/>
      </c>
      <c r="AK178" s="107" t="str">
        <f t="array" ref="AK178">IFERROR(INDEX($AH$10:$AH$258,MATCH(0,IF(TRUE=$AF$10:$AF$258,COUNTIF($AK$9:$AK177,$AH$10:$AH$258),""),0)),"")</f>
        <v/>
      </c>
      <c r="AL178" s="30" t="str">
        <f>IFERROR(INDEX('G-6 Hedgerow Data'!$BJ$3:$BJ$15,MATCH(D178,'G-6 Hedgerow Data'!$B$3:$B$15,0)),"")</f>
        <v/>
      </c>
    </row>
    <row r="179" spans="2:38" ht="14" hidden="1">
      <c r="B179" s="97">
        <v>170</v>
      </c>
      <c r="C179" s="138"/>
      <c r="D179" s="138"/>
      <c r="E179" s="104"/>
      <c r="F179" s="323" t="str">
        <f>IF(D179="","",VLOOKUP(D179,'G-6 Hedgerow Data'!$B$2:$AG$15,2,FALSE))</f>
        <v/>
      </c>
      <c r="G179" s="276" t="str">
        <f>IF(D179="","",VLOOKUP(D179,'G-6 Hedgerow Data'!$B$2:$AG$15,3,FALSE))</f>
        <v/>
      </c>
      <c r="H179" s="101"/>
      <c r="I179" s="276" t="str">
        <f>IFERROR(IF(AND(D179&lt;&gt;"",H179=""),"Check data ⚠",IF(H179="","",IF(AND(D179="Non-native and ornamental hedgerow",H179&lt;&gt;"Poor"),"Not possible ▲",(VLOOKUP(H179,'G-1 All Habitats'!$Z$2:$AA$9,2,FALSE))))),"")</f>
        <v/>
      </c>
      <c r="J179" s="101"/>
      <c r="K179" s="283" t="str">
        <f>IF(AND(D179&lt;&gt;"",J179=""),"Check data ⚠",IF(J179="","",IF(VLOOKUP(J179,'G-3 Multipliers'!$L$3:$N$6,2,FALSE)=0,"Spatial Data Missing",VLOOKUP(J179,'G-3 Multipliers'!$L$3:$N$6,2,FALSE))))</f>
        <v/>
      </c>
      <c r="L179" s="281" t="str">
        <f>IF(J179="","",IF(VLOOKUP(J179,'G-3 Multipliers'!$L$3:$N$6,3,FALSE)=0,"Spatial Data Missing ⚠",VLOOKUP(J179,'G-3 Multipliers'!$L$3:$N$6,3,FALSE)))</f>
        <v/>
      </c>
      <c r="M179" s="282" t="str">
        <f>IF(D179="","",VLOOKUP(D179,'G-6 Hedgerow Data'!$B$1:$AH$15,33,FALSE))</f>
        <v/>
      </c>
      <c r="N179" s="289" t="str">
        <f t="shared" si="16"/>
        <v/>
      </c>
      <c r="O179" s="32"/>
      <c r="P179" s="105"/>
      <c r="Q179" s="138"/>
      <c r="R179" s="306" t="str">
        <f t="shared" si="17"/>
        <v/>
      </c>
      <c r="S179" s="306" t="str">
        <f t="shared" si="18"/>
        <v/>
      </c>
      <c r="T179" s="306" t="str">
        <f t="shared" si="19"/>
        <v/>
      </c>
      <c r="U179" s="327" t="str">
        <f t="shared" si="20"/>
        <v/>
      </c>
      <c r="V179" s="105"/>
      <c r="W179" s="104"/>
      <c r="X179" s="104"/>
      <c r="AE179" s="107" t="str">
        <f t="shared" si="14"/>
        <v/>
      </c>
      <c r="AF179" s="107" t="str">
        <f t="shared" si="15"/>
        <v/>
      </c>
      <c r="AH179" s="107">
        <v>170</v>
      </c>
      <c r="AJ179" s="107" t="str">
        <f t="array" ref="AJ179">IFERROR(INDEX($AH$10:$AH$258,MATCH(0,IF(TRUE=$AE$10:$AE$258,COUNTIF($AJ$9:$AJ178,$AH$10:$AH$258),""),0)),"")</f>
        <v/>
      </c>
      <c r="AK179" s="107" t="str">
        <f t="array" ref="AK179">IFERROR(INDEX($AH$10:$AH$258,MATCH(0,IF(TRUE=$AF$10:$AF$258,COUNTIF($AK$9:$AK178,$AH$10:$AH$258),""),0)),"")</f>
        <v/>
      </c>
      <c r="AL179" s="30" t="str">
        <f>IFERROR(INDEX('G-6 Hedgerow Data'!$BJ$3:$BJ$15,MATCH(D179,'G-6 Hedgerow Data'!$B$3:$B$15,0)),"")</f>
        <v/>
      </c>
    </row>
    <row r="180" spans="2:38" ht="14" hidden="1">
      <c r="B180" s="97">
        <v>171</v>
      </c>
      <c r="C180" s="138"/>
      <c r="D180" s="138"/>
      <c r="E180" s="104"/>
      <c r="F180" s="323" t="str">
        <f>IF(D180="","",VLOOKUP(D180,'G-6 Hedgerow Data'!$B$2:$AG$15,2,FALSE))</f>
        <v/>
      </c>
      <c r="G180" s="276" t="str">
        <f>IF(D180="","",VLOOKUP(D180,'G-6 Hedgerow Data'!$B$2:$AG$15,3,FALSE))</f>
        <v/>
      </c>
      <c r="H180" s="101"/>
      <c r="I180" s="276" t="str">
        <f>IFERROR(IF(AND(D180&lt;&gt;"",H180=""),"Check data ⚠",IF(H180="","",IF(AND(D180="Non-native and ornamental hedgerow",H180&lt;&gt;"Poor"),"Not possible ▲",(VLOOKUP(H180,'G-1 All Habitats'!$Z$2:$AA$9,2,FALSE))))),"")</f>
        <v/>
      </c>
      <c r="J180" s="101"/>
      <c r="K180" s="283" t="str">
        <f>IF(AND(D180&lt;&gt;"",J180=""),"Check data ⚠",IF(J180="","",IF(VLOOKUP(J180,'G-3 Multipliers'!$L$3:$N$6,2,FALSE)=0,"Spatial Data Missing",VLOOKUP(J180,'G-3 Multipliers'!$L$3:$N$6,2,FALSE))))</f>
        <v/>
      </c>
      <c r="L180" s="281" t="str">
        <f>IF(J180="","",IF(VLOOKUP(J180,'G-3 Multipliers'!$L$3:$N$6,3,FALSE)=0,"Spatial Data Missing ⚠",VLOOKUP(J180,'G-3 Multipliers'!$L$3:$N$6,3,FALSE)))</f>
        <v/>
      </c>
      <c r="M180" s="282" t="str">
        <f>IF(D180="","",VLOOKUP(D180,'G-6 Hedgerow Data'!$B$1:$AH$15,33,FALSE))</f>
        <v/>
      </c>
      <c r="N180" s="289" t="str">
        <f t="shared" si="16"/>
        <v/>
      </c>
      <c r="O180" s="32"/>
      <c r="P180" s="105"/>
      <c r="Q180" s="138"/>
      <c r="R180" s="306" t="str">
        <f t="shared" si="17"/>
        <v/>
      </c>
      <c r="S180" s="306" t="str">
        <f t="shared" si="18"/>
        <v/>
      </c>
      <c r="T180" s="306" t="str">
        <f t="shared" si="19"/>
        <v/>
      </c>
      <c r="U180" s="327" t="str">
        <f t="shared" si="20"/>
        <v/>
      </c>
      <c r="V180" s="105"/>
      <c r="W180" s="104"/>
      <c r="X180" s="104"/>
      <c r="AE180" s="107" t="str">
        <f t="shared" si="14"/>
        <v/>
      </c>
      <c r="AF180" s="107" t="str">
        <f t="shared" si="15"/>
        <v/>
      </c>
      <c r="AH180" s="107">
        <v>171</v>
      </c>
      <c r="AJ180" s="107" t="str">
        <f t="array" ref="AJ180">IFERROR(INDEX($AH$10:$AH$258,MATCH(0,IF(TRUE=$AE$10:$AE$258,COUNTIF($AJ$9:$AJ179,$AH$10:$AH$258),""),0)),"")</f>
        <v/>
      </c>
      <c r="AK180" s="107" t="str">
        <f t="array" ref="AK180">IFERROR(INDEX($AH$10:$AH$258,MATCH(0,IF(TRUE=$AF$10:$AF$258,COUNTIF($AK$9:$AK179,$AH$10:$AH$258),""),0)),"")</f>
        <v/>
      </c>
      <c r="AL180" s="30" t="str">
        <f>IFERROR(INDEX('G-6 Hedgerow Data'!$BJ$3:$BJ$15,MATCH(D180,'G-6 Hedgerow Data'!$B$3:$B$15,0)),"")</f>
        <v/>
      </c>
    </row>
    <row r="181" spans="2:38" ht="14" hidden="1">
      <c r="B181" s="97">
        <v>172</v>
      </c>
      <c r="C181" s="138"/>
      <c r="D181" s="138"/>
      <c r="E181" s="104"/>
      <c r="F181" s="323" t="str">
        <f>IF(D181="","",VLOOKUP(D181,'G-6 Hedgerow Data'!$B$2:$AG$15,2,FALSE))</f>
        <v/>
      </c>
      <c r="G181" s="276" t="str">
        <f>IF(D181="","",VLOOKUP(D181,'G-6 Hedgerow Data'!$B$2:$AG$15,3,FALSE))</f>
        <v/>
      </c>
      <c r="H181" s="101"/>
      <c r="I181" s="276" t="str">
        <f>IFERROR(IF(AND(D181&lt;&gt;"",H181=""),"Check data ⚠",IF(H181="","",IF(AND(D181="Non-native and ornamental hedgerow",H181&lt;&gt;"Poor"),"Not possible ▲",(VLOOKUP(H181,'G-1 All Habitats'!$Z$2:$AA$9,2,FALSE))))),"")</f>
        <v/>
      </c>
      <c r="J181" s="101"/>
      <c r="K181" s="283" t="str">
        <f>IF(AND(D181&lt;&gt;"",J181=""),"Check data ⚠",IF(J181="","",IF(VLOOKUP(J181,'G-3 Multipliers'!$L$3:$N$6,2,FALSE)=0,"Spatial Data Missing",VLOOKUP(J181,'G-3 Multipliers'!$L$3:$N$6,2,FALSE))))</f>
        <v/>
      </c>
      <c r="L181" s="281" t="str">
        <f>IF(J181="","",IF(VLOOKUP(J181,'G-3 Multipliers'!$L$3:$N$6,3,FALSE)=0,"Spatial Data Missing ⚠",VLOOKUP(J181,'G-3 Multipliers'!$L$3:$N$6,3,FALSE)))</f>
        <v/>
      </c>
      <c r="M181" s="282" t="str">
        <f>IF(D181="","",VLOOKUP(D181,'G-6 Hedgerow Data'!$B$1:$AH$15,33,FALSE))</f>
        <v/>
      </c>
      <c r="N181" s="289" t="str">
        <f t="shared" si="16"/>
        <v/>
      </c>
      <c r="O181" s="32"/>
      <c r="P181" s="105"/>
      <c r="Q181" s="138"/>
      <c r="R181" s="306" t="str">
        <f t="shared" si="17"/>
        <v/>
      </c>
      <c r="S181" s="306" t="str">
        <f t="shared" si="18"/>
        <v/>
      </c>
      <c r="T181" s="306" t="str">
        <f t="shared" si="19"/>
        <v/>
      </c>
      <c r="U181" s="327" t="str">
        <f t="shared" si="20"/>
        <v/>
      </c>
      <c r="V181" s="105"/>
      <c r="W181" s="104"/>
      <c r="X181" s="104"/>
      <c r="AE181" s="107" t="str">
        <f t="shared" si="14"/>
        <v/>
      </c>
      <c r="AF181" s="107" t="str">
        <f t="shared" si="15"/>
        <v/>
      </c>
      <c r="AH181" s="107">
        <v>172</v>
      </c>
      <c r="AJ181" s="107" t="str">
        <f t="array" ref="AJ181">IFERROR(INDEX($AH$10:$AH$258,MATCH(0,IF(TRUE=$AE$10:$AE$258,COUNTIF($AJ$9:$AJ180,$AH$10:$AH$258),""),0)),"")</f>
        <v/>
      </c>
      <c r="AK181" s="107" t="str">
        <f t="array" ref="AK181">IFERROR(INDEX($AH$10:$AH$258,MATCH(0,IF(TRUE=$AF$10:$AF$258,COUNTIF($AK$9:$AK180,$AH$10:$AH$258),""),0)),"")</f>
        <v/>
      </c>
      <c r="AL181" s="30" t="str">
        <f>IFERROR(INDEX('G-6 Hedgerow Data'!$BJ$3:$BJ$15,MATCH(D181,'G-6 Hedgerow Data'!$B$3:$B$15,0)),"")</f>
        <v/>
      </c>
    </row>
    <row r="182" spans="2:38" ht="14" hidden="1">
      <c r="B182" s="97">
        <v>173</v>
      </c>
      <c r="C182" s="138"/>
      <c r="D182" s="138"/>
      <c r="E182" s="104"/>
      <c r="F182" s="323" t="str">
        <f>IF(D182="","",VLOOKUP(D182,'G-6 Hedgerow Data'!$B$2:$AG$15,2,FALSE))</f>
        <v/>
      </c>
      <c r="G182" s="276" t="str">
        <f>IF(D182="","",VLOOKUP(D182,'G-6 Hedgerow Data'!$B$2:$AG$15,3,FALSE))</f>
        <v/>
      </c>
      <c r="H182" s="101"/>
      <c r="I182" s="276" t="str">
        <f>IFERROR(IF(AND(D182&lt;&gt;"",H182=""),"Check data ⚠",IF(H182="","",IF(AND(D182="Non-native and ornamental hedgerow",H182&lt;&gt;"Poor"),"Not possible ▲",(VLOOKUP(H182,'G-1 All Habitats'!$Z$2:$AA$9,2,FALSE))))),"")</f>
        <v/>
      </c>
      <c r="J182" s="101"/>
      <c r="K182" s="283" t="str">
        <f>IF(AND(D182&lt;&gt;"",J182=""),"Check data ⚠",IF(J182="","",IF(VLOOKUP(J182,'G-3 Multipliers'!$L$3:$N$6,2,FALSE)=0,"Spatial Data Missing",VLOOKUP(J182,'G-3 Multipliers'!$L$3:$N$6,2,FALSE))))</f>
        <v/>
      </c>
      <c r="L182" s="281" t="str">
        <f>IF(J182="","",IF(VLOOKUP(J182,'G-3 Multipliers'!$L$3:$N$6,3,FALSE)=0,"Spatial Data Missing ⚠",VLOOKUP(J182,'G-3 Multipliers'!$L$3:$N$6,3,FALSE)))</f>
        <v/>
      </c>
      <c r="M182" s="282" t="str">
        <f>IF(D182="","",VLOOKUP(D182,'G-6 Hedgerow Data'!$B$1:$AH$15,33,FALSE))</f>
        <v/>
      </c>
      <c r="N182" s="289" t="str">
        <f t="shared" si="16"/>
        <v/>
      </c>
      <c r="O182" s="32"/>
      <c r="P182" s="105"/>
      <c r="Q182" s="138"/>
      <c r="R182" s="306" t="str">
        <f t="shared" si="17"/>
        <v/>
      </c>
      <c r="S182" s="306" t="str">
        <f t="shared" si="18"/>
        <v/>
      </c>
      <c r="T182" s="306" t="str">
        <f t="shared" si="19"/>
        <v/>
      </c>
      <c r="U182" s="327" t="str">
        <f t="shared" si="20"/>
        <v/>
      </c>
      <c r="V182" s="105"/>
      <c r="W182" s="104"/>
      <c r="X182" s="104"/>
      <c r="AE182" s="107" t="str">
        <f t="shared" si="14"/>
        <v/>
      </c>
      <c r="AF182" s="107" t="str">
        <f t="shared" si="15"/>
        <v/>
      </c>
      <c r="AH182" s="107">
        <v>173</v>
      </c>
      <c r="AJ182" s="107" t="str">
        <f t="array" ref="AJ182">IFERROR(INDEX($AH$10:$AH$258,MATCH(0,IF(TRUE=$AE$10:$AE$258,COUNTIF($AJ$9:$AJ181,$AH$10:$AH$258),""),0)),"")</f>
        <v/>
      </c>
      <c r="AK182" s="107" t="str">
        <f t="array" ref="AK182">IFERROR(INDEX($AH$10:$AH$258,MATCH(0,IF(TRUE=$AF$10:$AF$258,COUNTIF($AK$9:$AK181,$AH$10:$AH$258),""),0)),"")</f>
        <v/>
      </c>
      <c r="AL182" s="30" t="str">
        <f>IFERROR(INDEX('G-6 Hedgerow Data'!$BJ$3:$BJ$15,MATCH(D182,'G-6 Hedgerow Data'!$B$3:$B$15,0)),"")</f>
        <v/>
      </c>
    </row>
    <row r="183" spans="2:38" ht="14" hidden="1">
      <c r="B183" s="97">
        <v>174</v>
      </c>
      <c r="C183" s="138"/>
      <c r="D183" s="138"/>
      <c r="E183" s="104"/>
      <c r="F183" s="323" t="str">
        <f>IF(D183="","",VLOOKUP(D183,'G-6 Hedgerow Data'!$B$2:$AG$15,2,FALSE))</f>
        <v/>
      </c>
      <c r="G183" s="276" t="str">
        <f>IF(D183="","",VLOOKUP(D183,'G-6 Hedgerow Data'!$B$2:$AG$15,3,FALSE))</f>
        <v/>
      </c>
      <c r="H183" s="101"/>
      <c r="I183" s="276" t="str">
        <f>IFERROR(IF(AND(D183&lt;&gt;"",H183=""),"Check data ⚠",IF(H183="","",IF(AND(D183="Non-native and ornamental hedgerow",H183&lt;&gt;"Poor"),"Not possible ▲",(VLOOKUP(H183,'G-1 All Habitats'!$Z$2:$AA$9,2,FALSE))))),"")</f>
        <v/>
      </c>
      <c r="J183" s="101"/>
      <c r="K183" s="283" t="str">
        <f>IF(AND(D183&lt;&gt;"",J183=""),"Check data ⚠",IF(J183="","",IF(VLOOKUP(J183,'G-3 Multipliers'!$L$3:$N$6,2,FALSE)=0,"Spatial Data Missing",VLOOKUP(J183,'G-3 Multipliers'!$L$3:$N$6,2,FALSE))))</f>
        <v/>
      </c>
      <c r="L183" s="281" t="str">
        <f>IF(J183="","",IF(VLOOKUP(J183,'G-3 Multipliers'!$L$3:$N$6,3,FALSE)=0,"Spatial Data Missing ⚠",VLOOKUP(J183,'G-3 Multipliers'!$L$3:$N$6,3,FALSE)))</f>
        <v/>
      </c>
      <c r="M183" s="282" t="str">
        <f>IF(D183="","",VLOOKUP(D183,'G-6 Hedgerow Data'!$B$1:$AH$15,33,FALSE))</f>
        <v/>
      </c>
      <c r="N183" s="289" t="str">
        <f t="shared" si="16"/>
        <v/>
      </c>
      <c r="O183" s="32"/>
      <c r="P183" s="105"/>
      <c r="Q183" s="138"/>
      <c r="R183" s="306" t="str">
        <f t="shared" si="17"/>
        <v/>
      </c>
      <c r="S183" s="306" t="str">
        <f t="shared" si="18"/>
        <v/>
      </c>
      <c r="T183" s="306" t="str">
        <f t="shared" si="19"/>
        <v/>
      </c>
      <c r="U183" s="327" t="str">
        <f t="shared" si="20"/>
        <v/>
      </c>
      <c r="V183" s="105"/>
      <c r="W183" s="104"/>
      <c r="X183" s="104"/>
      <c r="AE183" s="107" t="str">
        <f t="shared" si="14"/>
        <v/>
      </c>
      <c r="AF183" s="107" t="str">
        <f t="shared" si="15"/>
        <v/>
      </c>
      <c r="AH183" s="107">
        <v>174</v>
      </c>
      <c r="AJ183" s="107" t="str">
        <f t="array" ref="AJ183">IFERROR(INDEX($AH$10:$AH$258,MATCH(0,IF(TRUE=$AE$10:$AE$258,COUNTIF($AJ$9:$AJ182,$AH$10:$AH$258),""),0)),"")</f>
        <v/>
      </c>
      <c r="AK183" s="107" t="str">
        <f t="array" ref="AK183">IFERROR(INDEX($AH$10:$AH$258,MATCH(0,IF(TRUE=$AF$10:$AF$258,COUNTIF($AK$9:$AK182,$AH$10:$AH$258),""),0)),"")</f>
        <v/>
      </c>
      <c r="AL183" s="30" t="str">
        <f>IFERROR(INDEX('G-6 Hedgerow Data'!$BJ$3:$BJ$15,MATCH(D183,'G-6 Hedgerow Data'!$B$3:$B$15,0)),"")</f>
        <v/>
      </c>
    </row>
    <row r="184" spans="2:38" ht="14" hidden="1">
      <c r="B184" s="97">
        <v>175</v>
      </c>
      <c r="C184" s="138"/>
      <c r="D184" s="138"/>
      <c r="E184" s="104"/>
      <c r="F184" s="323" t="str">
        <f>IF(D184="","",VLOOKUP(D184,'G-6 Hedgerow Data'!$B$2:$AG$15,2,FALSE))</f>
        <v/>
      </c>
      <c r="G184" s="276" t="str">
        <f>IF(D184="","",VLOOKUP(D184,'G-6 Hedgerow Data'!$B$2:$AG$15,3,FALSE))</f>
        <v/>
      </c>
      <c r="H184" s="101"/>
      <c r="I184" s="276" t="str">
        <f>IFERROR(IF(AND(D184&lt;&gt;"",H184=""),"Check data ⚠",IF(H184="","",IF(AND(D184="Non-native and ornamental hedgerow",H184&lt;&gt;"Poor"),"Not possible ▲",(VLOOKUP(H184,'G-1 All Habitats'!$Z$2:$AA$9,2,FALSE))))),"")</f>
        <v/>
      </c>
      <c r="J184" s="101"/>
      <c r="K184" s="283" t="str">
        <f>IF(AND(D184&lt;&gt;"",J184=""),"Check data ⚠",IF(J184="","",IF(VLOOKUP(J184,'G-3 Multipliers'!$L$3:$N$6,2,FALSE)=0,"Spatial Data Missing",VLOOKUP(J184,'G-3 Multipliers'!$L$3:$N$6,2,FALSE))))</f>
        <v/>
      </c>
      <c r="L184" s="281" t="str">
        <f>IF(J184="","",IF(VLOOKUP(J184,'G-3 Multipliers'!$L$3:$N$6,3,FALSE)=0,"Spatial Data Missing ⚠",VLOOKUP(J184,'G-3 Multipliers'!$L$3:$N$6,3,FALSE)))</f>
        <v/>
      </c>
      <c r="M184" s="282" t="str">
        <f>IF(D184="","",VLOOKUP(D184,'G-6 Hedgerow Data'!$B$1:$AH$15,33,FALSE))</f>
        <v/>
      </c>
      <c r="N184" s="289" t="str">
        <f t="shared" si="16"/>
        <v/>
      </c>
      <c r="O184" s="32"/>
      <c r="P184" s="105"/>
      <c r="Q184" s="138"/>
      <c r="R184" s="306" t="str">
        <f t="shared" si="17"/>
        <v/>
      </c>
      <c r="S184" s="306" t="str">
        <f t="shared" si="18"/>
        <v/>
      </c>
      <c r="T184" s="306" t="str">
        <f t="shared" si="19"/>
        <v/>
      </c>
      <c r="U184" s="327" t="str">
        <f t="shared" si="20"/>
        <v/>
      </c>
      <c r="V184" s="105"/>
      <c r="W184" s="104"/>
      <c r="X184" s="104"/>
      <c r="AE184" s="107" t="str">
        <f t="shared" si="14"/>
        <v/>
      </c>
      <c r="AF184" s="107" t="str">
        <f t="shared" si="15"/>
        <v/>
      </c>
      <c r="AH184" s="107">
        <v>175</v>
      </c>
      <c r="AJ184" s="107" t="str">
        <f t="array" ref="AJ184">IFERROR(INDEX($AH$10:$AH$258,MATCH(0,IF(TRUE=$AE$10:$AE$258,COUNTIF($AJ$9:$AJ183,$AH$10:$AH$258),""),0)),"")</f>
        <v/>
      </c>
      <c r="AK184" s="107" t="str">
        <f t="array" ref="AK184">IFERROR(INDEX($AH$10:$AH$258,MATCH(0,IF(TRUE=$AF$10:$AF$258,COUNTIF($AK$9:$AK183,$AH$10:$AH$258),""),0)),"")</f>
        <v/>
      </c>
      <c r="AL184" s="30" t="str">
        <f>IFERROR(INDEX('G-6 Hedgerow Data'!$BJ$3:$BJ$15,MATCH(D184,'G-6 Hedgerow Data'!$B$3:$B$15,0)),"")</f>
        <v/>
      </c>
    </row>
    <row r="185" spans="2:38" ht="14" hidden="1">
      <c r="B185" s="97">
        <v>176</v>
      </c>
      <c r="C185" s="138"/>
      <c r="D185" s="138"/>
      <c r="E185" s="104"/>
      <c r="F185" s="323" t="str">
        <f>IF(D185="","",VLOOKUP(D185,'G-6 Hedgerow Data'!$B$2:$AG$15,2,FALSE))</f>
        <v/>
      </c>
      <c r="G185" s="276" t="str">
        <f>IF(D185="","",VLOOKUP(D185,'G-6 Hedgerow Data'!$B$2:$AG$15,3,FALSE))</f>
        <v/>
      </c>
      <c r="H185" s="101"/>
      <c r="I185" s="276" t="str">
        <f>IFERROR(IF(AND(D185&lt;&gt;"",H185=""),"Check data ⚠",IF(H185="","",IF(AND(D185="Non-native and ornamental hedgerow",H185&lt;&gt;"Poor"),"Not possible ▲",(VLOOKUP(H185,'G-1 All Habitats'!$Z$2:$AA$9,2,FALSE))))),"")</f>
        <v/>
      </c>
      <c r="J185" s="101"/>
      <c r="K185" s="283" t="str">
        <f>IF(AND(D185&lt;&gt;"",J185=""),"Check data ⚠",IF(J185="","",IF(VLOOKUP(J185,'G-3 Multipliers'!$L$3:$N$6,2,FALSE)=0,"Spatial Data Missing",VLOOKUP(J185,'G-3 Multipliers'!$L$3:$N$6,2,FALSE))))</f>
        <v/>
      </c>
      <c r="L185" s="281" t="str">
        <f>IF(J185="","",IF(VLOOKUP(J185,'G-3 Multipliers'!$L$3:$N$6,3,FALSE)=0,"Spatial Data Missing ⚠",VLOOKUP(J185,'G-3 Multipliers'!$L$3:$N$6,3,FALSE)))</f>
        <v/>
      </c>
      <c r="M185" s="282" t="str">
        <f>IF(D185="","",VLOOKUP(D185,'G-6 Hedgerow Data'!$B$1:$AH$15,33,FALSE))</f>
        <v/>
      </c>
      <c r="N185" s="289" t="str">
        <f t="shared" si="16"/>
        <v/>
      </c>
      <c r="O185" s="32"/>
      <c r="P185" s="105"/>
      <c r="Q185" s="138"/>
      <c r="R185" s="306" t="str">
        <f t="shared" si="17"/>
        <v/>
      </c>
      <c r="S185" s="306" t="str">
        <f t="shared" si="18"/>
        <v/>
      </c>
      <c r="T185" s="306" t="str">
        <f t="shared" si="19"/>
        <v/>
      </c>
      <c r="U185" s="327" t="str">
        <f t="shared" si="20"/>
        <v/>
      </c>
      <c r="V185" s="105"/>
      <c r="W185" s="104"/>
      <c r="X185" s="104"/>
      <c r="AE185" s="107" t="str">
        <f t="shared" si="14"/>
        <v/>
      </c>
      <c r="AF185" s="107" t="str">
        <f t="shared" si="15"/>
        <v/>
      </c>
      <c r="AH185" s="107">
        <v>176</v>
      </c>
      <c r="AJ185" s="107" t="str">
        <f t="array" ref="AJ185">IFERROR(INDEX($AH$10:$AH$258,MATCH(0,IF(TRUE=$AE$10:$AE$258,COUNTIF($AJ$9:$AJ184,$AH$10:$AH$258),""),0)),"")</f>
        <v/>
      </c>
      <c r="AK185" s="107" t="str">
        <f t="array" ref="AK185">IFERROR(INDEX($AH$10:$AH$258,MATCH(0,IF(TRUE=$AF$10:$AF$258,COUNTIF($AK$9:$AK184,$AH$10:$AH$258),""),0)),"")</f>
        <v/>
      </c>
      <c r="AL185" s="30" t="str">
        <f>IFERROR(INDEX('G-6 Hedgerow Data'!$BJ$3:$BJ$15,MATCH(D185,'G-6 Hedgerow Data'!$B$3:$B$15,0)),"")</f>
        <v/>
      </c>
    </row>
    <row r="186" spans="2:38" ht="14" hidden="1">
      <c r="B186" s="97">
        <v>177</v>
      </c>
      <c r="C186" s="138"/>
      <c r="D186" s="138"/>
      <c r="E186" s="104"/>
      <c r="F186" s="323" t="str">
        <f>IF(D186="","",VLOOKUP(D186,'G-6 Hedgerow Data'!$B$2:$AG$15,2,FALSE))</f>
        <v/>
      </c>
      <c r="G186" s="276" t="str">
        <f>IF(D186="","",VLOOKUP(D186,'G-6 Hedgerow Data'!$B$2:$AG$15,3,FALSE))</f>
        <v/>
      </c>
      <c r="H186" s="101"/>
      <c r="I186" s="276" t="str">
        <f>IFERROR(IF(AND(D186&lt;&gt;"",H186=""),"Check data ⚠",IF(H186="","",IF(AND(D186="Non-native and ornamental hedgerow",H186&lt;&gt;"Poor"),"Not possible ▲",(VLOOKUP(H186,'G-1 All Habitats'!$Z$2:$AA$9,2,FALSE))))),"")</f>
        <v/>
      </c>
      <c r="J186" s="101"/>
      <c r="K186" s="283" t="str">
        <f>IF(AND(D186&lt;&gt;"",J186=""),"Check data ⚠",IF(J186="","",IF(VLOOKUP(J186,'G-3 Multipliers'!$L$3:$N$6,2,FALSE)=0,"Spatial Data Missing",VLOOKUP(J186,'G-3 Multipliers'!$L$3:$N$6,2,FALSE))))</f>
        <v/>
      </c>
      <c r="L186" s="281" t="str">
        <f>IF(J186="","",IF(VLOOKUP(J186,'G-3 Multipliers'!$L$3:$N$6,3,FALSE)=0,"Spatial Data Missing ⚠",VLOOKUP(J186,'G-3 Multipliers'!$L$3:$N$6,3,FALSE)))</f>
        <v/>
      </c>
      <c r="M186" s="282" t="str">
        <f>IF(D186="","",VLOOKUP(D186,'G-6 Hedgerow Data'!$B$1:$AH$15,33,FALSE))</f>
        <v/>
      </c>
      <c r="N186" s="289" t="str">
        <f t="shared" si="16"/>
        <v/>
      </c>
      <c r="O186" s="32"/>
      <c r="P186" s="105"/>
      <c r="Q186" s="138"/>
      <c r="R186" s="306" t="str">
        <f t="shared" si="17"/>
        <v/>
      </c>
      <c r="S186" s="306" t="str">
        <f t="shared" si="18"/>
        <v/>
      </c>
      <c r="T186" s="306" t="str">
        <f t="shared" si="19"/>
        <v/>
      </c>
      <c r="U186" s="327" t="str">
        <f t="shared" si="20"/>
        <v/>
      </c>
      <c r="V186" s="105"/>
      <c r="W186" s="104"/>
      <c r="X186" s="104"/>
      <c r="AE186" s="107" t="str">
        <f t="shared" si="14"/>
        <v/>
      </c>
      <c r="AF186" s="107" t="str">
        <f t="shared" si="15"/>
        <v/>
      </c>
      <c r="AH186" s="107">
        <v>177</v>
      </c>
      <c r="AJ186" s="107" t="str">
        <f t="array" ref="AJ186">IFERROR(INDEX($AH$10:$AH$258,MATCH(0,IF(TRUE=$AE$10:$AE$258,COUNTIF($AJ$9:$AJ185,$AH$10:$AH$258),""),0)),"")</f>
        <v/>
      </c>
      <c r="AK186" s="107" t="str">
        <f t="array" ref="AK186">IFERROR(INDEX($AH$10:$AH$258,MATCH(0,IF(TRUE=$AF$10:$AF$258,COUNTIF($AK$9:$AK185,$AH$10:$AH$258),""),0)),"")</f>
        <v/>
      </c>
      <c r="AL186" s="30" t="str">
        <f>IFERROR(INDEX('G-6 Hedgerow Data'!$BJ$3:$BJ$15,MATCH(D186,'G-6 Hedgerow Data'!$B$3:$B$15,0)),"")</f>
        <v/>
      </c>
    </row>
    <row r="187" spans="2:38" ht="14" hidden="1">
      <c r="B187" s="97">
        <v>178</v>
      </c>
      <c r="C187" s="138"/>
      <c r="D187" s="138"/>
      <c r="E187" s="104"/>
      <c r="F187" s="323" t="str">
        <f>IF(D187="","",VLOOKUP(D187,'G-6 Hedgerow Data'!$B$2:$AG$15,2,FALSE))</f>
        <v/>
      </c>
      <c r="G187" s="276" t="str">
        <f>IF(D187="","",VLOOKUP(D187,'G-6 Hedgerow Data'!$B$2:$AG$15,3,FALSE))</f>
        <v/>
      </c>
      <c r="H187" s="101"/>
      <c r="I187" s="276" t="str">
        <f>IFERROR(IF(AND(D187&lt;&gt;"",H187=""),"Check data ⚠",IF(H187="","",IF(AND(D187="Non-native and ornamental hedgerow",H187&lt;&gt;"Poor"),"Not possible ▲",(VLOOKUP(H187,'G-1 All Habitats'!$Z$2:$AA$9,2,FALSE))))),"")</f>
        <v/>
      </c>
      <c r="J187" s="101"/>
      <c r="K187" s="283" t="str">
        <f>IF(AND(D187&lt;&gt;"",J187=""),"Check data ⚠",IF(J187="","",IF(VLOOKUP(J187,'G-3 Multipliers'!$L$3:$N$6,2,FALSE)=0,"Spatial Data Missing",VLOOKUP(J187,'G-3 Multipliers'!$L$3:$N$6,2,FALSE))))</f>
        <v/>
      </c>
      <c r="L187" s="281" t="str">
        <f>IF(J187="","",IF(VLOOKUP(J187,'G-3 Multipliers'!$L$3:$N$6,3,FALSE)=0,"Spatial Data Missing ⚠",VLOOKUP(J187,'G-3 Multipliers'!$L$3:$N$6,3,FALSE)))</f>
        <v/>
      </c>
      <c r="M187" s="282" t="str">
        <f>IF(D187="","",VLOOKUP(D187,'G-6 Hedgerow Data'!$B$1:$AH$15,33,FALSE))</f>
        <v/>
      </c>
      <c r="N187" s="289" t="str">
        <f t="shared" si="16"/>
        <v/>
      </c>
      <c r="O187" s="32"/>
      <c r="P187" s="105"/>
      <c r="Q187" s="138"/>
      <c r="R187" s="306" t="str">
        <f t="shared" si="17"/>
        <v/>
      </c>
      <c r="S187" s="306" t="str">
        <f t="shared" si="18"/>
        <v/>
      </c>
      <c r="T187" s="306" t="str">
        <f t="shared" si="19"/>
        <v/>
      </c>
      <c r="U187" s="327" t="str">
        <f t="shared" si="20"/>
        <v/>
      </c>
      <c r="V187" s="105"/>
      <c r="W187" s="104"/>
      <c r="X187" s="104"/>
      <c r="AE187" s="107" t="str">
        <f t="shared" si="14"/>
        <v/>
      </c>
      <c r="AF187" s="107" t="str">
        <f t="shared" si="15"/>
        <v/>
      </c>
      <c r="AH187" s="107">
        <v>178</v>
      </c>
      <c r="AJ187" s="107" t="str">
        <f t="array" ref="AJ187">IFERROR(INDEX($AH$10:$AH$258,MATCH(0,IF(TRUE=$AE$10:$AE$258,COUNTIF($AJ$9:$AJ186,$AH$10:$AH$258),""),0)),"")</f>
        <v/>
      </c>
      <c r="AK187" s="107" t="str">
        <f t="array" ref="AK187">IFERROR(INDEX($AH$10:$AH$258,MATCH(0,IF(TRUE=$AF$10:$AF$258,COUNTIF($AK$9:$AK186,$AH$10:$AH$258),""),0)),"")</f>
        <v/>
      </c>
      <c r="AL187" s="30" t="str">
        <f>IFERROR(INDEX('G-6 Hedgerow Data'!$BJ$3:$BJ$15,MATCH(D187,'G-6 Hedgerow Data'!$B$3:$B$15,0)),"")</f>
        <v/>
      </c>
    </row>
    <row r="188" spans="2:38" ht="14" hidden="1">
      <c r="B188" s="97">
        <v>179</v>
      </c>
      <c r="C188" s="138"/>
      <c r="D188" s="138"/>
      <c r="E188" s="104"/>
      <c r="F188" s="323" t="str">
        <f>IF(D188="","",VLOOKUP(D188,'G-6 Hedgerow Data'!$B$2:$AG$15,2,FALSE))</f>
        <v/>
      </c>
      <c r="G188" s="276" t="str">
        <f>IF(D188="","",VLOOKUP(D188,'G-6 Hedgerow Data'!$B$2:$AG$15,3,FALSE))</f>
        <v/>
      </c>
      <c r="H188" s="101"/>
      <c r="I188" s="276" t="str">
        <f>IFERROR(IF(AND(D188&lt;&gt;"",H188=""),"Check data ⚠",IF(H188="","",IF(AND(D188="Non-native and ornamental hedgerow",H188&lt;&gt;"Poor"),"Not possible ▲",(VLOOKUP(H188,'G-1 All Habitats'!$Z$2:$AA$9,2,FALSE))))),"")</f>
        <v/>
      </c>
      <c r="J188" s="101"/>
      <c r="K188" s="283" t="str">
        <f>IF(AND(D188&lt;&gt;"",J188=""),"Check data ⚠",IF(J188="","",IF(VLOOKUP(J188,'G-3 Multipliers'!$L$3:$N$6,2,FALSE)=0,"Spatial Data Missing",VLOOKUP(J188,'G-3 Multipliers'!$L$3:$N$6,2,FALSE))))</f>
        <v/>
      </c>
      <c r="L188" s="281" t="str">
        <f>IF(J188="","",IF(VLOOKUP(J188,'G-3 Multipliers'!$L$3:$N$6,3,FALSE)=0,"Spatial Data Missing ⚠",VLOOKUP(J188,'G-3 Multipliers'!$L$3:$N$6,3,FALSE)))</f>
        <v/>
      </c>
      <c r="M188" s="282" t="str">
        <f>IF(D188="","",VLOOKUP(D188,'G-6 Hedgerow Data'!$B$1:$AH$15,33,FALSE))</f>
        <v/>
      </c>
      <c r="N188" s="289" t="str">
        <f t="shared" si="16"/>
        <v/>
      </c>
      <c r="O188" s="32"/>
      <c r="P188" s="105"/>
      <c r="Q188" s="138"/>
      <c r="R188" s="306" t="str">
        <f t="shared" si="17"/>
        <v/>
      </c>
      <c r="S188" s="306" t="str">
        <f t="shared" si="18"/>
        <v/>
      </c>
      <c r="T188" s="306" t="str">
        <f t="shared" si="19"/>
        <v/>
      </c>
      <c r="U188" s="327" t="str">
        <f t="shared" si="20"/>
        <v/>
      </c>
      <c r="V188" s="105"/>
      <c r="W188" s="104"/>
      <c r="X188" s="104"/>
      <c r="AE188" s="107" t="str">
        <f t="shared" si="14"/>
        <v/>
      </c>
      <c r="AF188" s="107" t="str">
        <f t="shared" si="15"/>
        <v/>
      </c>
      <c r="AH188" s="107">
        <v>179</v>
      </c>
      <c r="AJ188" s="107" t="str">
        <f t="array" ref="AJ188">IFERROR(INDEX($AH$10:$AH$258,MATCH(0,IF(TRUE=$AE$10:$AE$258,COUNTIF($AJ$9:$AJ187,$AH$10:$AH$258),""),0)),"")</f>
        <v/>
      </c>
      <c r="AK188" s="107" t="str">
        <f t="array" ref="AK188">IFERROR(INDEX($AH$10:$AH$258,MATCH(0,IF(TRUE=$AF$10:$AF$258,COUNTIF($AK$9:$AK187,$AH$10:$AH$258),""),0)),"")</f>
        <v/>
      </c>
      <c r="AL188" s="30" t="str">
        <f>IFERROR(INDEX('G-6 Hedgerow Data'!$BJ$3:$BJ$15,MATCH(D188,'G-6 Hedgerow Data'!$B$3:$B$15,0)),"")</f>
        <v/>
      </c>
    </row>
    <row r="189" spans="2:38" ht="14" hidden="1">
      <c r="B189" s="97">
        <v>180</v>
      </c>
      <c r="C189" s="138"/>
      <c r="D189" s="138"/>
      <c r="E189" s="104"/>
      <c r="F189" s="323" t="str">
        <f>IF(D189="","",VLOOKUP(D189,'G-6 Hedgerow Data'!$B$2:$AG$15,2,FALSE))</f>
        <v/>
      </c>
      <c r="G189" s="276" t="str">
        <f>IF(D189="","",VLOOKUP(D189,'G-6 Hedgerow Data'!$B$2:$AG$15,3,FALSE))</f>
        <v/>
      </c>
      <c r="H189" s="101"/>
      <c r="I189" s="276" t="str">
        <f>IFERROR(IF(AND(D189&lt;&gt;"",H189=""),"Check data ⚠",IF(H189="","",IF(AND(D189="Non-native and ornamental hedgerow",H189&lt;&gt;"Poor"),"Not possible ▲",(VLOOKUP(H189,'G-1 All Habitats'!$Z$2:$AA$9,2,FALSE))))),"")</f>
        <v/>
      </c>
      <c r="J189" s="101"/>
      <c r="K189" s="283" t="str">
        <f>IF(AND(D189&lt;&gt;"",J189=""),"Check data ⚠",IF(J189="","",IF(VLOOKUP(J189,'G-3 Multipliers'!$L$3:$N$6,2,FALSE)=0,"Spatial Data Missing",VLOOKUP(J189,'G-3 Multipliers'!$L$3:$N$6,2,FALSE))))</f>
        <v/>
      </c>
      <c r="L189" s="281" t="str">
        <f>IF(J189="","",IF(VLOOKUP(J189,'G-3 Multipliers'!$L$3:$N$6,3,FALSE)=0,"Spatial Data Missing ⚠",VLOOKUP(J189,'G-3 Multipliers'!$L$3:$N$6,3,FALSE)))</f>
        <v/>
      </c>
      <c r="M189" s="282" t="str">
        <f>IF(D189="","",VLOOKUP(D189,'G-6 Hedgerow Data'!$B$1:$AH$15,33,FALSE))</f>
        <v/>
      </c>
      <c r="N189" s="289" t="str">
        <f t="shared" si="16"/>
        <v/>
      </c>
      <c r="O189" s="32"/>
      <c r="P189" s="105"/>
      <c r="Q189" s="138"/>
      <c r="R189" s="306" t="str">
        <f t="shared" si="17"/>
        <v/>
      </c>
      <c r="S189" s="306" t="str">
        <f t="shared" si="18"/>
        <v/>
      </c>
      <c r="T189" s="306" t="str">
        <f t="shared" si="19"/>
        <v/>
      </c>
      <c r="U189" s="327" t="str">
        <f t="shared" si="20"/>
        <v/>
      </c>
      <c r="V189" s="105"/>
      <c r="W189" s="104"/>
      <c r="X189" s="104"/>
      <c r="AE189" s="107" t="str">
        <f t="shared" si="14"/>
        <v/>
      </c>
      <c r="AF189" s="107" t="str">
        <f t="shared" si="15"/>
        <v/>
      </c>
      <c r="AH189" s="107">
        <v>180</v>
      </c>
      <c r="AJ189" s="107" t="str">
        <f t="array" ref="AJ189">IFERROR(INDEX($AH$10:$AH$258,MATCH(0,IF(TRUE=$AE$10:$AE$258,COUNTIF($AJ$9:$AJ188,$AH$10:$AH$258),""),0)),"")</f>
        <v/>
      </c>
      <c r="AK189" s="107" t="str">
        <f t="array" ref="AK189">IFERROR(INDEX($AH$10:$AH$258,MATCH(0,IF(TRUE=$AF$10:$AF$258,COUNTIF($AK$9:$AK188,$AH$10:$AH$258),""),0)),"")</f>
        <v/>
      </c>
      <c r="AL189" s="30" t="str">
        <f>IFERROR(INDEX('G-6 Hedgerow Data'!$BJ$3:$BJ$15,MATCH(D189,'G-6 Hedgerow Data'!$B$3:$B$15,0)),"")</f>
        <v/>
      </c>
    </row>
    <row r="190" spans="2:38" ht="14" hidden="1">
      <c r="B190" s="97">
        <v>181</v>
      </c>
      <c r="C190" s="138"/>
      <c r="D190" s="138"/>
      <c r="E190" s="104"/>
      <c r="F190" s="323" t="str">
        <f>IF(D190="","",VLOOKUP(D190,'G-6 Hedgerow Data'!$B$2:$AG$15,2,FALSE))</f>
        <v/>
      </c>
      <c r="G190" s="276" t="str">
        <f>IF(D190="","",VLOOKUP(D190,'G-6 Hedgerow Data'!$B$2:$AG$15,3,FALSE))</f>
        <v/>
      </c>
      <c r="H190" s="101"/>
      <c r="I190" s="276" t="str">
        <f>IFERROR(IF(AND(D190&lt;&gt;"",H190=""),"Check data ⚠",IF(H190="","",IF(AND(D190="Non-native and ornamental hedgerow",H190&lt;&gt;"Poor"),"Not possible ▲",(VLOOKUP(H190,'G-1 All Habitats'!$Z$2:$AA$9,2,FALSE))))),"")</f>
        <v/>
      </c>
      <c r="J190" s="101"/>
      <c r="K190" s="283" t="str">
        <f>IF(AND(D190&lt;&gt;"",J190=""),"Check data ⚠",IF(J190="","",IF(VLOOKUP(J190,'G-3 Multipliers'!$L$3:$N$6,2,FALSE)=0,"Spatial Data Missing",VLOOKUP(J190,'G-3 Multipliers'!$L$3:$N$6,2,FALSE))))</f>
        <v/>
      </c>
      <c r="L190" s="281" t="str">
        <f>IF(J190="","",IF(VLOOKUP(J190,'G-3 Multipliers'!$L$3:$N$6,3,FALSE)=0,"Spatial Data Missing ⚠",VLOOKUP(J190,'G-3 Multipliers'!$L$3:$N$6,3,FALSE)))</f>
        <v/>
      </c>
      <c r="M190" s="282" t="str">
        <f>IF(D190="","",VLOOKUP(D190,'G-6 Hedgerow Data'!$B$1:$AH$15,33,FALSE))</f>
        <v/>
      </c>
      <c r="N190" s="289" t="str">
        <f t="shared" si="16"/>
        <v/>
      </c>
      <c r="O190" s="32"/>
      <c r="P190" s="105"/>
      <c r="Q190" s="138"/>
      <c r="R190" s="306" t="str">
        <f t="shared" si="17"/>
        <v/>
      </c>
      <c r="S190" s="306" t="str">
        <f t="shared" si="18"/>
        <v/>
      </c>
      <c r="T190" s="306" t="str">
        <f t="shared" si="19"/>
        <v/>
      </c>
      <c r="U190" s="327" t="str">
        <f t="shared" si="20"/>
        <v/>
      </c>
      <c r="V190" s="105"/>
      <c r="W190" s="104"/>
      <c r="X190" s="104"/>
      <c r="AE190" s="107" t="str">
        <f t="shared" si="14"/>
        <v/>
      </c>
      <c r="AF190" s="107" t="str">
        <f t="shared" si="15"/>
        <v/>
      </c>
      <c r="AH190" s="107">
        <v>181</v>
      </c>
      <c r="AJ190" s="107" t="str">
        <f t="array" ref="AJ190">IFERROR(INDEX($AH$10:$AH$258,MATCH(0,IF(TRUE=$AE$10:$AE$258,COUNTIF($AJ$9:$AJ189,$AH$10:$AH$258),""),0)),"")</f>
        <v/>
      </c>
      <c r="AK190" s="107" t="str">
        <f t="array" ref="AK190">IFERROR(INDEX($AH$10:$AH$258,MATCH(0,IF(TRUE=$AF$10:$AF$258,COUNTIF($AK$9:$AK189,$AH$10:$AH$258),""),0)),"")</f>
        <v/>
      </c>
      <c r="AL190" s="30" t="str">
        <f>IFERROR(INDEX('G-6 Hedgerow Data'!$BJ$3:$BJ$15,MATCH(D190,'G-6 Hedgerow Data'!$B$3:$B$15,0)),"")</f>
        <v/>
      </c>
    </row>
    <row r="191" spans="2:38" ht="14" hidden="1">
      <c r="B191" s="97">
        <v>182</v>
      </c>
      <c r="C191" s="138"/>
      <c r="D191" s="138"/>
      <c r="E191" s="104"/>
      <c r="F191" s="323" t="str">
        <f>IF(D191="","",VLOOKUP(D191,'G-6 Hedgerow Data'!$B$2:$AG$15,2,FALSE))</f>
        <v/>
      </c>
      <c r="G191" s="276" t="str">
        <f>IF(D191="","",VLOOKUP(D191,'G-6 Hedgerow Data'!$B$2:$AG$15,3,FALSE))</f>
        <v/>
      </c>
      <c r="H191" s="101"/>
      <c r="I191" s="276" t="str">
        <f>IFERROR(IF(AND(D191&lt;&gt;"",H191=""),"Check data ⚠",IF(H191="","",IF(AND(D191="Non-native and ornamental hedgerow",H191&lt;&gt;"Poor"),"Not possible ▲",(VLOOKUP(H191,'G-1 All Habitats'!$Z$2:$AA$9,2,FALSE))))),"")</f>
        <v/>
      </c>
      <c r="J191" s="101"/>
      <c r="K191" s="283" t="str">
        <f>IF(AND(D191&lt;&gt;"",J191=""),"Check data ⚠",IF(J191="","",IF(VLOOKUP(J191,'G-3 Multipliers'!$L$3:$N$6,2,FALSE)=0,"Spatial Data Missing",VLOOKUP(J191,'G-3 Multipliers'!$L$3:$N$6,2,FALSE))))</f>
        <v/>
      </c>
      <c r="L191" s="281" t="str">
        <f>IF(J191="","",IF(VLOOKUP(J191,'G-3 Multipliers'!$L$3:$N$6,3,FALSE)=0,"Spatial Data Missing ⚠",VLOOKUP(J191,'G-3 Multipliers'!$L$3:$N$6,3,FALSE)))</f>
        <v/>
      </c>
      <c r="M191" s="282" t="str">
        <f>IF(D191="","",VLOOKUP(D191,'G-6 Hedgerow Data'!$B$1:$AH$15,33,FALSE))</f>
        <v/>
      </c>
      <c r="N191" s="289" t="str">
        <f t="shared" si="16"/>
        <v/>
      </c>
      <c r="O191" s="32"/>
      <c r="P191" s="105"/>
      <c r="Q191" s="138"/>
      <c r="R191" s="306" t="str">
        <f t="shared" si="17"/>
        <v/>
      </c>
      <c r="S191" s="306" t="str">
        <f t="shared" si="18"/>
        <v/>
      </c>
      <c r="T191" s="306" t="str">
        <f t="shared" si="19"/>
        <v/>
      </c>
      <c r="U191" s="327" t="str">
        <f t="shared" si="20"/>
        <v/>
      </c>
      <c r="V191" s="105"/>
      <c r="W191" s="104"/>
      <c r="X191" s="104"/>
      <c r="AE191" s="107" t="str">
        <f t="shared" si="14"/>
        <v/>
      </c>
      <c r="AF191" s="107" t="str">
        <f t="shared" si="15"/>
        <v/>
      </c>
      <c r="AH191" s="107">
        <v>182</v>
      </c>
      <c r="AJ191" s="107" t="str">
        <f t="array" ref="AJ191">IFERROR(INDEX($AH$10:$AH$258,MATCH(0,IF(TRUE=$AE$10:$AE$258,COUNTIF($AJ$9:$AJ190,$AH$10:$AH$258),""),0)),"")</f>
        <v/>
      </c>
      <c r="AK191" s="107" t="str">
        <f t="array" ref="AK191">IFERROR(INDEX($AH$10:$AH$258,MATCH(0,IF(TRUE=$AF$10:$AF$258,COUNTIF($AK$9:$AK190,$AH$10:$AH$258),""),0)),"")</f>
        <v/>
      </c>
      <c r="AL191" s="30" t="str">
        <f>IFERROR(INDEX('G-6 Hedgerow Data'!$BJ$3:$BJ$15,MATCH(D191,'G-6 Hedgerow Data'!$B$3:$B$15,0)),"")</f>
        <v/>
      </c>
    </row>
    <row r="192" spans="2:38" ht="14" hidden="1">
      <c r="B192" s="97">
        <v>183</v>
      </c>
      <c r="C192" s="138"/>
      <c r="D192" s="138"/>
      <c r="E192" s="104"/>
      <c r="F192" s="323" t="str">
        <f>IF(D192="","",VLOOKUP(D192,'G-6 Hedgerow Data'!$B$2:$AG$15,2,FALSE))</f>
        <v/>
      </c>
      <c r="G192" s="276" t="str">
        <f>IF(D192="","",VLOOKUP(D192,'G-6 Hedgerow Data'!$B$2:$AG$15,3,FALSE))</f>
        <v/>
      </c>
      <c r="H192" s="101"/>
      <c r="I192" s="276" t="str">
        <f>IFERROR(IF(AND(D192&lt;&gt;"",H192=""),"Check data ⚠",IF(H192="","",IF(AND(D192="Non-native and ornamental hedgerow",H192&lt;&gt;"Poor"),"Not possible ▲",(VLOOKUP(H192,'G-1 All Habitats'!$Z$2:$AA$9,2,FALSE))))),"")</f>
        <v/>
      </c>
      <c r="J192" s="101"/>
      <c r="K192" s="283" t="str">
        <f>IF(AND(D192&lt;&gt;"",J192=""),"Check data ⚠",IF(J192="","",IF(VLOOKUP(J192,'G-3 Multipliers'!$L$3:$N$6,2,FALSE)=0,"Spatial Data Missing",VLOOKUP(J192,'G-3 Multipliers'!$L$3:$N$6,2,FALSE))))</f>
        <v/>
      </c>
      <c r="L192" s="281" t="str">
        <f>IF(J192="","",IF(VLOOKUP(J192,'G-3 Multipliers'!$L$3:$N$6,3,FALSE)=0,"Spatial Data Missing ⚠",VLOOKUP(J192,'G-3 Multipliers'!$L$3:$N$6,3,FALSE)))</f>
        <v/>
      </c>
      <c r="M192" s="282" t="str">
        <f>IF(D192="","",VLOOKUP(D192,'G-6 Hedgerow Data'!$B$1:$AH$15,33,FALSE))</f>
        <v/>
      </c>
      <c r="N192" s="289" t="str">
        <f t="shared" si="16"/>
        <v/>
      </c>
      <c r="O192" s="32"/>
      <c r="P192" s="105"/>
      <c r="Q192" s="138"/>
      <c r="R192" s="306" t="str">
        <f t="shared" si="17"/>
        <v/>
      </c>
      <c r="S192" s="306" t="str">
        <f t="shared" si="18"/>
        <v/>
      </c>
      <c r="T192" s="306" t="str">
        <f t="shared" si="19"/>
        <v/>
      </c>
      <c r="U192" s="327" t="str">
        <f t="shared" si="20"/>
        <v/>
      </c>
      <c r="V192" s="105"/>
      <c r="W192" s="104"/>
      <c r="X192" s="104"/>
      <c r="AE192" s="107" t="str">
        <f t="shared" si="14"/>
        <v/>
      </c>
      <c r="AF192" s="107" t="str">
        <f t="shared" si="15"/>
        <v/>
      </c>
      <c r="AH192" s="107">
        <v>183</v>
      </c>
      <c r="AJ192" s="107" t="str">
        <f t="array" ref="AJ192">IFERROR(INDEX($AH$10:$AH$258,MATCH(0,IF(TRUE=$AE$10:$AE$258,COUNTIF($AJ$9:$AJ191,$AH$10:$AH$258),""),0)),"")</f>
        <v/>
      </c>
      <c r="AK192" s="107" t="str">
        <f t="array" ref="AK192">IFERROR(INDEX($AH$10:$AH$258,MATCH(0,IF(TRUE=$AF$10:$AF$258,COUNTIF($AK$9:$AK191,$AH$10:$AH$258),""),0)),"")</f>
        <v/>
      </c>
      <c r="AL192" s="30" t="str">
        <f>IFERROR(INDEX('G-6 Hedgerow Data'!$BJ$3:$BJ$15,MATCH(D192,'G-6 Hedgerow Data'!$B$3:$B$15,0)),"")</f>
        <v/>
      </c>
    </row>
    <row r="193" spans="2:38" ht="14" hidden="1">
      <c r="B193" s="97">
        <v>184</v>
      </c>
      <c r="C193" s="138"/>
      <c r="D193" s="138"/>
      <c r="E193" s="104"/>
      <c r="F193" s="323" t="str">
        <f>IF(D193="","",VLOOKUP(D193,'G-6 Hedgerow Data'!$B$2:$AG$15,2,FALSE))</f>
        <v/>
      </c>
      <c r="G193" s="276" t="str">
        <f>IF(D193="","",VLOOKUP(D193,'G-6 Hedgerow Data'!$B$2:$AG$15,3,FALSE))</f>
        <v/>
      </c>
      <c r="H193" s="101"/>
      <c r="I193" s="276" t="str">
        <f>IFERROR(IF(AND(D193&lt;&gt;"",H193=""),"Check data ⚠",IF(H193="","",IF(AND(D193="Non-native and ornamental hedgerow",H193&lt;&gt;"Poor"),"Not possible ▲",(VLOOKUP(H193,'G-1 All Habitats'!$Z$2:$AA$9,2,FALSE))))),"")</f>
        <v/>
      </c>
      <c r="J193" s="101"/>
      <c r="K193" s="283" t="str">
        <f>IF(AND(D193&lt;&gt;"",J193=""),"Check data ⚠",IF(J193="","",IF(VLOOKUP(J193,'G-3 Multipliers'!$L$3:$N$6,2,FALSE)=0,"Spatial Data Missing",VLOOKUP(J193,'G-3 Multipliers'!$L$3:$N$6,2,FALSE))))</f>
        <v/>
      </c>
      <c r="L193" s="281" t="str">
        <f>IF(J193="","",IF(VLOOKUP(J193,'G-3 Multipliers'!$L$3:$N$6,3,FALSE)=0,"Spatial Data Missing ⚠",VLOOKUP(J193,'G-3 Multipliers'!$L$3:$N$6,3,FALSE)))</f>
        <v/>
      </c>
      <c r="M193" s="282" t="str">
        <f>IF(D193="","",VLOOKUP(D193,'G-6 Hedgerow Data'!$B$1:$AH$15,33,FALSE))</f>
        <v/>
      </c>
      <c r="N193" s="289" t="str">
        <f t="shared" si="16"/>
        <v/>
      </c>
      <c r="O193" s="32"/>
      <c r="P193" s="105"/>
      <c r="Q193" s="138"/>
      <c r="R193" s="306" t="str">
        <f t="shared" si="17"/>
        <v/>
      </c>
      <c r="S193" s="306" t="str">
        <f t="shared" si="18"/>
        <v/>
      </c>
      <c r="T193" s="306" t="str">
        <f t="shared" si="19"/>
        <v/>
      </c>
      <c r="U193" s="327" t="str">
        <f t="shared" si="20"/>
        <v/>
      </c>
      <c r="V193" s="105"/>
      <c r="W193" s="104"/>
      <c r="X193" s="104"/>
      <c r="AE193" s="107" t="str">
        <f t="shared" si="14"/>
        <v/>
      </c>
      <c r="AF193" s="107" t="str">
        <f t="shared" si="15"/>
        <v/>
      </c>
      <c r="AH193" s="107">
        <v>184</v>
      </c>
      <c r="AJ193" s="107" t="str">
        <f t="array" ref="AJ193">IFERROR(INDEX($AH$10:$AH$258,MATCH(0,IF(TRUE=$AE$10:$AE$258,COUNTIF($AJ$9:$AJ192,$AH$10:$AH$258),""),0)),"")</f>
        <v/>
      </c>
      <c r="AK193" s="107" t="str">
        <f t="array" ref="AK193">IFERROR(INDEX($AH$10:$AH$258,MATCH(0,IF(TRUE=$AF$10:$AF$258,COUNTIF($AK$9:$AK192,$AH$10:$AH$258),""),0)),"")</f>
        <v/>
      </c>
      <c r="AL193" s="30" t="str">
        <f>IFERROR(INDEX('G-6 Hedgerow Data'!$BJ$3:$BJ$15,MATCH(D193,'G-6 Hedgerow Data'!$B$3:$B$15,0)),"")</f>
        <v/>
      </c>
    </row>
    <row r="194" spans="2:38" ht="14" hidden="1">
      <c r="B194" s="97">
        <v>185</v>
      </c>
      <c r="C194" s="138"/>
      <c r="D194" s="138"/>
      <c r="E194" s="104"/>
      <c r="F194" s="323" t="str">
        <f>IF(D194="","",VLOOKUP(D194,'G-6 Hedgerow Data'!$B$2:$AG$15,2,FALSE))</f>
        <v/>
      </c>
      <c r="G194" s="276" t="str">
        <f>IF(D194="","",VLOOKUP(D194,'G-6 Hedgerow Data'!$B$2:$AG$15,3,FALSE))</f>
        <v/>
      </c>
      <c r="H194" s="101"/>
      <c r="I194" s="276" t="str">
        <f>IFERROR(IF(AND(D194&lt;&gt;"",H194=""),"Check data ⚠",IF(H194="","",IF(AND(D194="Non-native and ornamental hedgerow",H194&lt;&gt;"Poor"),"Not possible ▲",(VLOOKUP(H194,'G-1 All Habitats'!$Z$2:$AA$9,2,FALSE))))),"")</f>
        <v/>
      </c>
      <c r="J194" s="101"/>
      <c r="K194" s="283" t="str">
        <f>IF(AND(D194&lt;&gt;"",J194=""),"Check data ⚠",IF(J194="","",IF(VLOOKUP(J194,'G-3 Multipliers'!$L$3:$N$6,2,FALSE)=0,"Spatial Data Missing",VLOOKUP(J194,'G-3 Multipliers'!$L$3:$N$6,2,FALSE))))</f>
        <v/>
      </c>
      <c r="L194" s="281" t="str">
        <f>IF(J194="","",IF(VLOOKUP(J194,'G-3 Multipliers'!$L$3:$N$6,3,FALSE)=0,"Spatial Data Missing ⚠",VLOOKUP(J194,'G-3 Multipliers'!$L$3:$N$6,3,FALSE)))</f>
        <v/>
      </c>
      <c r="M194" s="282" t="str">
        <f>IF(D194="","",VLOOKUP(D194,'G-6 Hedgerow Data'!$B$1:$AH$15,33,FALSE))</f>
        <v/>
      </c>
      <c r="N194" s="289" t="str">
        <f t="shared" si="16"/>
        <v/>
      </c>
      <c r="O194" s="32"/>
      <c r="P194" s="105"/>
      <c r="Q194" s="138"/>
      <c r="R194" s="306" t="str">
        <f t="shared" si="17"/>
        <v/>
      </c>
      <c r="S194" s="306" t="str">
        <f t="shared" si="18"/>
        <v/>
      </c>
      <c r="T194" s="306" t="str">
        <f t="shared" si="19"/>
        <v/>
      </c>
      <c r="U194" s="327" t="str">
        <f t="shared" si="20"/>
        <v/>
      </c>
      <c r="V194" s="105"/>
      <c r="W194" s="104"/>
      <c r="X194" s="104"/>
      <c r="AE194" s="107" t="str">
        <f t="shared" si="14"/>
        <v/>
      </c>
      <c r="AF194" s="107" t="str">
        <f t="shared" si="15"/>
        <v/>
      </c>
      <c r="AH194" s="107">
        <v>185</v>
      </c>
      <c r="AJ194" s="107" t="str">
        <f t="array" ref="AJ194">IFERROR(INDEX($AH$10:$AH$258,MATCH(0,IF(TRUE=$AE$10:$AE$258,COUNTIF($AJ$9:$AJ193,$AH$10:$AH$258),""),0)),"")</f>
        <v/>
      </c>
      <c r="AK194" s="107" t="str">
        <f t="array" ref="AK194">IFERROR(INDEX($AH$10:$AH$258,MATCH(0,IF(TRUE=$AF$10:$AF$258,COUNTIF($AK$9:$AK193,$AH$10:$AH$258),""),0)),"")</f>
        <v/>
      </c>
      <c r="AL194" s="30" t="str">
        <f>IFERROR(INDEX('G-6 Hedgerow Data'!$BJ$3:$BJ$15,MATCH(D194,'G-6 Hedgerow Data'!$B$3:$B$15,0)),"")</f>
        <v/>
      </c>
    </row>
    <row r="195" spans="2:38" ht="14" hidden="1">
      <c r="B195" s="97">
        <v>186</v>
      </c>
      <c r="C195" s="138"/>
      <c r="D195" s="138"/>
      <c r="E195" s="104"/>
      <c r="F195" s="323" t="str">
        <f>IF(D195="","",VLOOKUP(D195,'G-6 Hedgerow Data'!$B$2:$AG$15,2,FALSE))</f>
        <v/>
      </c>
      <c r="G195" s="276" t="str">
        <f>IF(D195="","",VLOOKUP(D195,'G-6 Hedgerow Data'!$B$2:$AG$15,3,FALSE))</f>
        <v/>
      </c>
      <c r="H195" s="101"/>
      <c r="I195" s="276" t="str">
        <f>IFERROR(IF(AND(D195&lt;&gt;"",H195=""),"Check data ⚠",IF(H195="","",IF(AND(D195="Non-native and ornamental hedgerow",H195&lt;&gt;"Poor"),"Not possible ▲",(VLOOKUP(H195,'G-1 All Habitats'!$Z$2:$AA$9,2,FALSE))))),"")</f>
        <v/>
      </c>
      <c r="J195" s="101"/>
      <c r="K195" s="283" t="str">
        <f>IF(AND(D195&lt;&gt;"",J195=""),"Check data ⚠",IF(J195="","",IF(VLOOKUP(J195,'G-3 Multipliers'!$L$3:$N$6,2,FALSE)=0,"Spatial Data Missing",VLOOKUP(J195,'G-3 Multipliers'!$L$3:$N$6,2,FALSE))))</f>
        <v/>
      </c>
      <c r="L195" s="281" t="str">
        <f>IF(J195="","",IF(VLOOKUP(J195,'G-3 Multipliers'!$L$3:$N$6,3,FALSE)=0,"Spatial Data Missing ⚠",VLOOKUP(J195,'G-3 Multipliers'!$L$3:$N$6,3,FALSE)))</f>
        <v/>
      </c>
      <c r="M195" s="282" t="str">
        <f>IF(D195="","",VLOOKUP(D195,'G-6 Hedgerow Data'!$B$1:$AH$15,33,FALSE))</f>
        <v/>
      </c>
      <c r="N195" s="289" t="str">
        <f t="shared" si="16"/>
        <v/>
      </c>
      <c r="O195" s="32"/>
      <c r="P195" s="105"/>
      <c r="Q195" s="138"/>
      <c r="R195" s="306" t="str">
        <f t="shared" si="17"/>
        <v/>
      </c>
      <c r="S195" s="306" t="str">
        <f t="shared" si="18"/>
        <v/>
      </c>
      <c r="T195" s="306" t="str">
        <f t="shared" si="19"/>
        <v/>
      </c>
      <c r="U195" s="327" t="str">
        <f t="shared" si="20"/>
        <v/>
      </c>
      <c r="V195" s="105"/>
      <c r="W195" s="104"/>
      <c r="X195" s="104"/>
      <c r="AE195" s="107" t="str">
        <f t="shared" si="14"/>
        <v/>
      </c>
      <c r="AF195" s="107" t="str">
        <f t="shared" si="15"/>
        <v/>
      </c>
      <c r="AH195" s="107">
        <v>186</v>
      </c>
      <c r="AJ195" s="107" t="str">
        <f t="array" ref="AJ195">IFERROR(INDEX($AH$10:$AH$258,MATCH(0,IF(TRUE=$AE$10:$AE$258,COUNTIF($AJ$9:$AJ194,$AH$10:$AH$258),""),0)),"")</f>
        <v/>
      </c>
      <c r="AK195" s="107" t="str">
        <f t="array" ref="AK195">IFERROR(INDEX($AH$10:$AH$258,MATCH(0,IF(TRUE=$AF$10:$AF$258,COUNTIF($AK$9:$AK194,$AH$10:$AH$258),""),0)),"")</f>
        <v/>
      </c>
      <c r="AL195" s="30" t="str">
        <f>IFERROR(INDEX('G-6 Hedgerow Data'!$BJ$3:$BJ$15,MATCH(D195,'G-6 Hedgerow Data'!$B$3:$B$15,0)),"")</f>
        <v/>
      </c>
    </row>
    <row r="196" spans="2:38" ht="14" hidden="1">
      <c r="B196" s="97">
        <v>187</v>
      </c>
      <c r="C196" s="138"/>
      <c r="D196" s="138"/>
      <c r="E196" s="104"/>
      <c r="F196" s="323" t="str">
        <f>IF(D196="","",VLOOKUP(D196,'G-6 Hedgerow Data'!$B$2:$AG$15,2,FALSE))</f>
        <v/>
      </c>
      <c r="G196" s="276" t="str">
        <f>IF(D196="","",VLOOKUP(D196,'G-6 Hedgerow Data'!$B$2:$AG$15,3,FALSE))</f>
        <v/>
      </c>
      <c r="H196" s="101"/>
      <c r="I196" s="276" t="str">
        <f>IFERROR(IF(AND(D196&lt;&gt;"",H196=""),"Check data ⚠",IF(H196="","",IF(AND(D196="Non-native and ornamental hedgerow",H196&lt;&gt;"Poor"),"Not possible ▲",(VLOOKUP(H196,'G-1 All Habitats'!$Z$2:$AA$9,2,FALSE))))),"")</f>
        <v/>
      </c>
      <c r="J196" s="101"/>
      <c r="K196" s="283" t="str">
        <f>IF(AND(D196&lt;&gt;"",J196=""),"Check data ⚠",IF(J196="","",IF(VLOOKUP(J196,'G-3 Multipliers'!$L$3:$N$6,2,FALSE)=0,"Spatial Data Missing",VLOOKUP(J196,'G-3 Multipliers'!$L$3:$N$6,2,FALSE))))</f>
        <v/>
      </c>
      <c r="L196" s="281" t="str">
        <f>IF(J196="","",IF(VLOOKUP(J196,'G-3 Multipliers'!$L$3:$N$6,3,FALSE)=0,"Spatial Data Missing ⚠",VLOOKUP(J196,'G-3 Multipliers'!$L$3:$N$6,3,FALSE)))</f>
        <v/>
      </c>
      <c r="M196" s="282" t="str">
        <f>IF(D196="","",VLOOKUP(D196,'G-6 Hedgerow Data'!$B$1:$AH$15,33,FALSE))</f>
        <v/>
      </c>
      <c r="N196" s="289" t="str">
        <f t="shared" si="16"/>
        <v/>
      </c>
      <c r="O196" s="32"/>
      <c r="P196" s="105"/>
      <c r="Q196" s="138"/>
      <c r="R196" s="306" t="str">
        <f t="shared" si="17"/>
        <v/>
      </c>
      <c r="S196" s="306" t="str">
        <f t="shared" si="18"/>
        <v/>
      </c>
      <c r="T196" s="306" t="str">
        <f t="shared" si="19"/>
        <v/>
      </c>
      <c r="U196" s="327" t="str">
        <f t="shared" si="20"/>
        <v/>
      </c>
      <c r="V196" s="105"/>
      <c r="W196" s="104"/>
      <c r="X196" s="104"/>
      <c r="AE196" s="107" t="str">
        <f t="shared" si="14"/>
        <v/>
      </c>
      <c r="AF196" s="107" t="str">
        <f t="shared" si="15"/>
        <v/>
      </c>
      <c r="AH196" s="107">
        <v>187</v>
      </c>
      <c r="AJ196" s="107" t="str">
        <f t="array" ref="AJ196">IFERROR(INDEX($AH$10:$AH$258,MATCH(0,IF(TRUE=$AE$10:$AE$258,COUNTIF($AJ$9:$AJ195,$AH$10:$AH$258),""),0)),"")</f>
        <v/>
      </c>
      <c r="AK196" s="107" t="str">
        <f t="array" ref="AK196">IFERROR(INDEX($AH$10:$AH$258,MATCH(0,IF(TRUE=$AF$10:$AF$258,COUNTIF($AK$9:$AK195,$AH$10:$AH$258),""),0)),"")</f>
        <v/>
      </c>
      <c r="AL196" s="30" t="str">
        <f>IFERROR(INDEX('G-6 Hedgerow Data'!$BJ$3:$BJ$15,MATCH(D196,'G-6 Hedgerow Data'!$B$3:$B$15,0)),"")</f>
        <v/>
      </c>
    </row>
    <row r="197" spans="2:38" ht="14" hidden="1">
      <c r="B197" s="97">
        <v>188</v>
      </c>
      <c r="C197" s="138"/>
      <c r="D197" s="138"/>
      <c r="E197" s="104"/>
      <c r="F197" s="323" t="str">
        <f>IF(D197="","",VLOOKUP(D197,'G-6 Hedgerow Data'!$B$2:$AG$15,2,FALSE))</f>
        <v/>
      </c>
      <c r="G197" s="276" t="str">
        <f>IF(D197="","",VLOOKUP(D197,'G-6 Hedgerow Data'!$B$2:$AG$15,3,FALSE))</f>
        <v/>
      </c>
      <c r="H197" s="101"/>
      <c r="I197" s="276" t="str">
        <f>IFERROR(IF(AND(D197&lt;&gt;"",H197=""),"Check data ⚠",IF(H197="","",IF(AND(D197="Non-native and ornamental hedgerow",H197&lt;&gt;"Poor"),"Not possible ▲",(VLOOKUP(H197,'G-1 All Habitats'!$Z$2:$AA$9,2,FALSE))))),"")</f>
        <v/>
      </c>
      <c r="J197" s="101"/>
      <c r="K197" s="283" t="str">
        <f>IF(AND(D197&lt;&gt;"",J197=""),"Check data ⚠",IF(J197="","",IF(VLOOKUP(J197,'G-3 Multipliers'!$L$3:$N$6,2,FALSE)=0,"Spatial Data Missing",VLOOKUP(J197,'G-3 Multipliers'!$L$3:$N$6,2,FALSE))))</f>
        <v/>
      </c>
      <c r="L197" s="281" t="str">
        <f>IF(J197="","",IF(VLOOKUP(J197,'G-3 Multipliers'!$L$3:$N$6,3,FALSE)=0,"Spatial Data Missing ⚠",VLOOKUP(J197,'G-3 Multipliers'!$L$3:$N$6,3,FALSE)))</f>
        <v/>
      </c>
      <c r="M197" s="282" t="str">
        <f>IF(D197="","",VLOOKUP(D197,'G-6 Hedgerow Data'!$B$1:$AH$15,33,FALSE))</f>
        <v/>
      </c>
      <c r="N197" s="289" t="str">
        <f t="shared" si="16"/>
        <v/>
      </c>
      <c r="O197" s="32"/>
      <c r="P197" s="105"/>
      <c r="Q197" s="138"/>
      <c r="R197" s="306" t="str">
        <f t="shared" si="17"/>
        <v/>
      </c>
      <c r="S197" s="306" t="str">
        <f t="shared" si="18"/>
        <v/>
      </c>
      <c r="T197" s="306" t="str">
        <f t="shared" si="19"/>
        <v/>
      </c>
      <c r="U197" s="327" t="str">
        <f t="shared" si="20"/>
        <v/>
      </c>
      <c r="V197" s="105"/>
      <c r="W197" s="104"/>
      <c r="X197" s="104"/>
      <c r="AE197" s="107" t="str">
        <f t="shared" si="14"/>
        <v/>
      </c>
      <c r="AF197" s="107" t="str">
        <f t="shared" si="15"/>
        <v/>
      </c>
      <c r="AH197" s="107">
        <v>188</v>
      </c>
      <c r="AJ197" s="107" t="str">
        <f t="array" ref="AJ197">IFERROR(INDEX($AH$10:$AH$258,MATCH(0,IF(TRUE=$AE$10:$AE$258,COUNTIF($AJ$9:$AJ196,$AH$10:$AH$258),""),0)),"")</f>
        <v/>
      </c>
      <c r="AK197" s="107" t="str">
        <f t="array" ref="AK197">IFERROR(INDEX($AH$10:$AH$258,MATCH(0,IF(TRUE=$AF$10:$AF$258,COUNTIF($AK$9:$AK196,$AH$10:$AH$258),""),0)),"")</f>
        <v/>
      </c>
      <c r="AL197" s="30" t="str">
        <f>IFERROR(INDEX('G-6 Hedgerow Data'!$BJ$3:$BJ$15,MATCH(D197,'G-6 Hedgerow Data'!$B$3:$B$15,0)),"")</f>
        <v/>
      </c>
    </row>
    <row r="198" spans="2:38" ht="14" hidden="1">
      <c r="B198" s="97">
        <v>189</v>
      </c>
      <c r="C198" s="138"/>
      <c r="D198" s="138"/>
      <c r="E198" s="104"/>
      <c r="F198" s="323" t="str">
        <f>IF(D198="","",VLOOKUP(D198,'G-6 Hedgerow Data'!$B$2:$AG$15,2,FALSE))</f>
        <v/>
      </c>
      <c r="G198" s="276" t="str">
        <f>IF(D198="","",VLOOKUP(D198,'G-6 Hedgerow Data'!$B$2:$AG$15,3,FALSE))</f>
        <v/>
      </c>
      <c r="H198" s="101"/>
      <c r="I198" s="276" t="str">
        <f>IFERROR(IF(AND(D198&lt;&gt;"",H198=""),"Check data ⚠",IF(H198="","",IF(AND(D198="Non-native and ornamental hedgerow",H198&lt;&gt;"Poor"),"Not possible ▲",(VLOOKUP(H198,'G-1 All Habitats'!$Z$2:$AA$9,2,FALSE))))),"")</f>
        <v/>
      </c>
      <c r="J198" s="101"/>
      <c r="K198" s="283" t="str">
        <f>IF(AND(D198&lt;&gt;"",J198=""),"Check data ⚠",IF(J198="","",IF(VLOOKUP(J198,'G-3 Multipliers'!$L$3:$N$6,2,FALSE)=0,"Spatial Data Missing",VLOOKUP(J198,'G-3 Multipliers'!$L$3:$N$6,2,FALSE))))</f>
        <v/>
      </c>
      <c r="L198" s="281" t="str">
        <f>IF(J198="","",IF(VLOOKUP(J198,'G-3 Multipliers'!$L$3:$N$6,3,FALSE)=0,"Spatial Data Missing ⚠",VLOOKUP(J198,'G-3 Multipliers'!$L$3:$N$6,3,FALSE)))</f>
        <v/>
      </c>
      <c r="M198" s="282" t="str">
        <f>IF(D198="","",VLOOKUP(D198,'G-6 Hedgerow Data'!$B$1:$AH$15,33,FALSE))</f>
        <v/>
      </c>
      <c r="N198" s="289" t="str">
        <f t="shared" si="16"/>
        <v/>
      </c>
      <c r="O198" s="32"/>
      <c r="P198" s="105"/>
      <c r="Q198" s="138"/>
      <c r="R198" s="306" t="str">
        <f t="shared" si="17"/>
        <v/>
      </c>
      <c r="S198" s="306" t="str">
        <f t="shared" si="18"/>
        <v/>
      </c>
      <c r="T198" s="306" t="str">
        <f t="shared" si="19"/>
        <v/>
      </c>
      <c r="U198" s="327" t="str">
        <f t="shared" si="20"/>
        <v/>
      </c>
      <c r="V198" s="105"/>
      <c r="W198" s="104"/>
      <c r="X198" s="104"/>
      <c r="AE198" s="107" t="str">
        <f t="shared" si="14"/>
        <v/>
      </c>
      <c r="AF198" s="107" t="str">
        <f t="shared" si="15"/>
        <v/>
      </c>
      <c r="AH198" s="107">
        <v>189</v>
      </c>
      <c r="AJ198" s="107" t="str">
        <f t="array" ref="AJ198">IFERROR(INDEX($AH$10:$AH$258,MATCH(0,IF(TRUE=$AE$10:$AE$258,COUNTIF($AJ$9:$AJ197,$AH$10:$AH$258),""),0)),"")</f>
        <v/>
      </c>
      <c r="AK198" s="107" t="str">
        <f t="array" ref="AK198">IFERROR(INDEX($AH$10:$AH$258,MATCH(0,IF(TRUE=$AF$10:$AF$258,COUNTIF($AK$9:$AK197,$AH$10:$AH$258),""),0)),"")</f>
        <v/>
      </c>
      <c r="AL198" s="30" t="str">
        <f>IFERROR(INDEX('G-6 Hedgerow Data'!$BJ$3:$BJ$15,MATCH(D198,'G-6 Hedgerow Data'!$B$3:$B$15,0)),"")</f>
        <v/>
      </c>
    </row>
    <row r="199" spans="2:38" ht="14" hidden="1">
      <c r="B199" s="97">
        <v>190</v>
      </c>
      <c r="C199" s="138"/>
      <c r="D199" s="138"/>
      <c r="E199" s="104"/>
      <c r="F199" s="323" t="str">
        <f>IF(D199="","",VLOOKUP(D199,'G-6 Hedgerow Data'!$B$2:$AG$15,2,FALSE))</f>
        <v/>
      </c>
      <c r="G199" s="276" t="str">
        <f>IF(D199="","",VLOOKUP(D199,'G-6 Hedgerow Data'!$B$2:$AG$15,3,FALSE))</f>
        <v/>
      </c>
      <c r="H199" s="101"/>
      <c r="I199" s="276" t="str">
        <f>IFERROR(IF(AND(D199&lt;&gt;"",H199=""),"Check data ⚠",IF(H199="","",IF(AND(D199="Non-native and ornamental hedgerow",H199&lt;&gt;"Poor"),"Not possible ▲",(VLOOKUP(H199,'G-1 All Habitats'!$Z$2:$AA$9,2,FALSE))))),"")</f>
        <v/>
      </c>
      <c r="J199" s="101"/>
      <c r="K199" s="283" t="str">
        <f>IF(AND(D199&lt;&gt;"",J199=""),"Check data ⚠",IF(J199="","",IF(VLOOKUP(J199,'G-3 Multipliers'!$L$3:$N$6,2,FALSE)=0,"Spatial Data Missing",VLOOKUP(J199,'G-3 Multipliers'!$L$3:$N$6,2,FALSE))))</f>
        <v/>
      </c>
      <c r="L199" s="281" t="str">
        <f>IF(J199="","",IF(VLOOKUP(J199,'G-3 Multipliers'!$L$3:$N$6,3,FALSE)=0,"Spatial Data Missing ⚠",VLOOKUP(J199,'G-3 Multipliers'!$L$3:$N$6,3,FALSE)))</f>
        <v/>
      </c>
      <c r="M199" s="282" t="str">
        <f>IF(D199="","",VLOOKUP(D199,'G-6 Hedgerow Data'!$B$1:$AH$15,33,FALSE))</f>
        <v/>
      </c>
      <c r="N199" s="289" t="str">
        <f t="shared" si="16"/>
        <v/>
      </c>
      <c r="O199" s="32"/>
      <c r="P199" s="105"/>
      <c r="Q199" s="138"/>
      <c r="R199" s="306" t="str">
        <f t="shared" si="17"/>
        <v/>
      </c>
      <c r="S199" s="306" t="str">
        <f t="shared" si="18"/>
        <v/>
      </c>
      <c r="T199" s="306" t="str">
        <f t="shared" si="19"/>
        <v/>
      </c>
      <c r="U199" s="327" t="str">
        <f t="shared" si="20"/>
        <v/>
      </c>
      <c r="V199" s="105"/>
      <c r="W199" s="104"/>
      <c r="X199" s="104"/>
      <c r="AE199" s="107" t="str">
        <f t="shared" si="14"/>
        <v/>
      </c>
      <c r="AF199" s="107" t="str">
        <f t="shared" si="15"/>
        <v/>
      </c>
      <c r="AH199" s="107">
        <v>190</v>
      </c>
      <c r="AJ199" s="107" t="str">
        <f t="array" ref="AJ199">IFERROR(INDEX($AH$10:$AH$258,MATCH(0,IF(TRUE=$AE$10:$AE$258,COUNTIF($AJ$9:$AJ198,$AH$10:$AH$258),""),0)),"")</f>
        <v/>
      </c>
      <c r="AK199" s="107" t="str">
        <f t="array" ref="AK199">IFERROR(INDEX($AH$10:$AH$258,MATCH(0,IF(TRUE=$AF$10:$AF$258,COUNTIF($AK$9:$AK198,$AH$10:$AH$258),""),0)),"")</f>
        <v/>
      </c>
      <c r="AL199" s="30" t="str">
        <f>IFERROR(INDEX('G-6 Hedgerow Data'!$BJ$3:$BJ$15,MATCH(D199,'G-6 Hedgerow Data'!$B$3:$B$15,0)),"")</f>
        <v/>
      </c>
    </row>
    <row r="200" spans="2:38" ht="14" hidden="1">
      <c r="B200" s="97">
        <v>191</v>
      </c>
      <c r="C200" s="138"/>
      <c r="D200" s="138"/>
      <c r="E200" s="104"/>
      <c r="F200" s="323" t="str">
        <f>IF(D200="","",VLOOKUP(D200,'G-6 Hedgerow Data'!$B$2:$AG$15,2,FALSE))</f>
        <v/>
      </c>
      <c r="G200" s="276" t="str">
        <f>IF(D200="","",VLOOKUP(D200,'G-6 Hedgerow Data'!$B$2:$AG$15,3,FALSE))</f>
        <v/>
      </c>
      <c r="H200" s="101"/>
      <c r="I200" s="276" t="str">
        <f>IFERROR(IF(AND(D200&lt;&gt;"",H200=""),"Check data ⚠",IF(H200="","",IF(AND(D200="Non-native and ornamental hedgerow",H200&lt;&gt;"Poor"),"Not possible ▲",(VLOOKUP(H200,'G-1 All Habitats'!$Z$2:$AA$9,2,FALSE))))),"")</f>
        <v/>
      </c>
      <c r="J200" s="101"/>
      <c r="K200" s="283" t="str">
        <f>IF(AND(D200&lt;&gt;"",J200=""),"Check data ⚠",IF(J200="","",IF(VLOOKUP(J200,'G-3 Multipliers'!$L$3:$N$6,2,FALSE)=0,"Spatial Data Missing",VLOOKUP(J200,'G-3 Multipliers'!$L$3:$N$6,2,FALSE))))</f>
        <v/>
      </c>
      <c r="L200" s="281" t="str">
        <f>IF(J200="","",IF(VLOOKUP(J200,'G-3 Multipliers'!$L$3:$N$6,3,FALSE)=0,"Spatial Data Missing ⚠",VLOOKUP(J200,'G-3 Multipliers'!$L$3:$N$6,3,FALSE)))</f>
        <v/>
      </c>
      <c r="M200" s="282" t="str">
        <f>IF(D200="","",VLOOKUP(D200,'G-6 Hedgerow Data'!$B$1:$AH$15,33,FALSE))</f>
        <v/>
      </c>
      <c r="N200" s="289" t="str">
        <f t="shared" si="16"/>
        <v/>
      </c>
      <c r="O200" s="32"/>
      <c r="P200" s="105"/>
      <c r="Q200" s="138"/>
      <c r="R200" s="306" t="str">
        <f t="shared" si="17"/>
        <v/>
      </c>
      <c r="S200" s="306" t="str">
        <f t="shared" si="18"/>
        <v/>
      </c>
      <c r="T200" s="306" t="str">
        <f t="shared" si="19"/>
        <v/>
      </c>
      <c r="U200" s="327" t="str">
        <f t="shared" si="20"/>
        <v/>
      </c>
      <c r="V200" s="105"/>
      <c r="W200" s="104"/>
      <c r="X200" s="104"/>
      <c r="AE200" s="107" t="str">
        <f t="shared" si="14"/>
        <v/>
      </c>
      <c r="AF200" s="107" t="str">
        <f t="shared" si="15"/>
        <v/>
      </c>
      <c r="AH200" s="107">
        <v>191</v>
      </c>
      <c r="AJ200" s="107" t="str">
        <f t="array" ref="AJ200">IFERROR(INDEX($AH$10:$AH$258,MATCH(0,IF(TRUE=$AE$10:$AE$258,COUNTIF($AJ$9:$AJ199,$AH$10:$AH$258),""),0)),"")</f>
        <v/>
      </c>
      <c r="AK200" s="107" t="str">
        <f t="array" ref="AK200">IFERROR(INDEX($AH$10:$AH$258,MATCH(0,IF(TRUE=$AF$10:$AF$258,COUNTIF($AK$9:$AK199,$AH$10:$AH$258),""),0)),"")</f>
        <v/>
      </c>
      <c r="AL200" s="30" t="str">
        <f>IFERROR(INDEX('G-6 Hedgerow Data'!$BJ$3:$BJ$15,MATCH(D200,'G-6 Hedgerow Data'!$B$3:$B$15,0)),"")</f>
        <v/>
      </c>
    </row>
    <row r="201" spans="2:38" ht="14" hidden="1">
      <c r="B201" s="97">
        <v>192</v>
      </c>
      <c r="C201" s="138"/>
      <c r="D201" s="138"/>
      <c r="E201" s="104"/>
      <c r="F201" s="323" t="str">
        <f>IF(D201="","",VLOOKUP(D201,'G-6 Hedgerow Data'!$B$2:$AG$15,2,FALSE))</f>
        <v/>
      </c>
      <c r="G201" s="276" t="str">
        <f>IF(D201="","",VLOOKUP(D201,'G-6 Hedgerow Data'!$B$2:$AG$15,3,FALSE))</f>
        <v/>
      </c>
      <c r="H201" s="101"/>
      <c r="I201" s="276" t="str">
        <f>IFERROR(IF(AND(D201&lt;&gt;"",H201=""),"Check data ⚠",IF(H201="","",IF(AND(D201="Non-native and ornamental hedgerow",H201&lt;&gt;"Poor"),"Not possible ▲",(VLOOKUP(H201,'G-1 All Habitats'!$Z$2:$AA$9,2,FALSE))))),"")</f>
        <v/>
      </c>
      <c r="J201" s="101"/>
      <c r="K201" s="283" t="str">
        <f>IF(AND(D201&lt;&gt;"",J201=""),"Check data ⚠",IF(J201="","",IF(VLOOKUP(J201,'G-3 Multipliers'!$L$3:$N$6,2,FALSE)=0,"Spatial Data Missing",VLOOKUP(J201,'G-3 Multipliers'!$L$3:$N$6,2,FALSE))))</f>
        <v/>
      </c>
      <c r="L201" s="281" t="str">
        <f>IF(J201="","",IF(VLOOKUP(J201,'G-3 Multipliers'!$L$3:$N$6,3,FALSE)=0,"Spatial Data Missing ⚠",VLOOKUP(J201,'G-3 Multipliers'!$L$3:$N$6,3,FALSE)))</f>
        <v/>
      </c>
      <c r="M201" s="282" t="str">
        <f>IF(D201="","",VLOOKUP(D201,'G-6 Hedgerow Data'!$B$1:$AH$15,33,FALSE))</f>
        <v/>
      </c>
      <c r="N201" s="289" t="str">
        <f t="shared" si="16"/>
        <v/>
      </c>
      <c r="O201" s="32"/>
      <c r="P201" s="105"/>
      <c r="Q201" s="138"/>
      <c r="R201" s="306" t="str">
        <f t="shared" si="17"/>
        <v/>
      </c>
      <c r="S201" s="306" t="str">
        <f t="shared" si="18"/>
        <v/>
      </c>
      <c r="T201" s="306" t="str">
        <f t="shared" si="19"/>
        <v/>
      </c>
      <c r="U201" s="327" t="str">
        <f t="shared" si="20"/>
        <v/>
      </c>
      <c r="V201" s="105"/>
      <c r="W201" s="104"/>
      <c r="X201" s="104"/>
      <c r="AE201" s="107" t="str">
        <f t="shared" si="14"/>
        <v/>
      </c>
      <c r="AF201" s="107" t="str">
        <f t="shared" si="15"/>
        <v/>
      </c>
      <c r="AH201" s="107">
        <v>192</v>
      </c>
      <c r="AJ201" s="107" t="str">
        <f t="array" ref="AJ201">IFERROR(INDEX($AH$10:$AH$258,MATCH(0,IF(TRUE=$AE$10:$AE$258,COUNTIF($AJ$9:$AJ200,$AH$10:$AH$258),""),0)),"")</f>
        <v/>
      </c>
      <c r="AK201" s="107" t="str">
        <f t="array" ref="AK201">IFERROR(INDEX($AH$10:$AH$258,MATCH(0,IF(TRUE=$AF$10:$AF$258,COUNTIF($AK$9:$AK200,$AH$10:$AH$258),""),0)),"")</f>
        <v/>
      </c>
      <c r="AL201" s="30" t="str">
        <f>IFERROR(INDEX('G-6 Hedgerow Data'!$BJ$3:$BJ$15,MATCH(D201,'G-6 Hedgerow Data'!$B$3:$B$15,0)),"")</f>
        <v/>
      </c>
    </row>
    <row r="202" spans="2:38" ht="14" hidden="1">
      <c r="B202" s="97">
        <v>193</v>
      </c>
      <c r="C202" s="138"/>
      <c r="D202" s="138"/>
      <c r="E202" s="104"/>
      <c r="F202" s="323" t="str">
        <f>IF(D202="","",VLOOKUP(D202,'G-6 Hedgerow Data'!$B$2:$AG$15,2,FALSE))</f>
        <v/>
      </c>
      <c r="G202" s="276" t="str">
        <f>IF(D202="","",VLOOKUP(D202,'G-6 Hedgerow Data'!$B$2:$AG$15,3,FALSE))</f>
        <v/>
      </c>
      <c r="H202" s="101"/>
      <c r="I202" s="276" t="str">
        <f>IFERROR(IF(AND(D202&lt;&gt;"",H202=""),"Check data ⚠",IF(H202="","",IF(AND(D202="Non-native and ornamental hedgerow",H202&lt;&gt;"Poor"),"Not possible ▲",(VLOOKUP(H202,'G-1 All Habitats'!$Z$2:$AA$9,2,FALSE))))),"")</f>
        <v/>
      </c>
      <c r="J202" s="101"/>
      <c r="K202" s="283" t="str">
        <f>IF(AND(D202&lt;&gt;"",J202=""),"Check data ⚠",IF(J202="","",IF(VLOOKUP(J202,'G-3 Multipliers'!$L$3:$N$6,2,FALSE)=0,"Spatial Data Missing",VLOOKUP(J202,'G-3 Multipliers'!$L$3:$N$6,2,FALSE))))</f>
        <v/>
      </c>
      <c r="L202" s="281" t="str">
        <f>IF(J202="","",IF(VLOOKUP(J202,'G-3 Multipliers'!$L$3:$N$6,3,FALSE)=0,"Spatial Data Missing ⚠",VLOOKUP(J202,'G-3 Multipliers'!$L$3:$N$6,3,FALSE)))</f>
        <v/>
      </c>
      <c r="M202" s="282" t="str">
        <f>IF(D202="","",VLOOKUP(D202,'G-6 Hedgerow Data'!$B$1:$AH$15,33,FALSE))</f>
        <v/>
      </c>
      <c r="N202" s="289" t="str">
        <f t="shared" si="16"/>
        <v/>
      </c>
      <c r="O202" s="32"/>
      <c r="P202" s="105"/>
      <c r="Q202" s="138"/>
      <c r="R202" s="306" t="str">
        <f t="shared" si="17"/>
        <v/>
      </c>
      <c r="S202" s="306" t="str">
        <f t="shared" si="18"/>
        <v/>
      </c>
      <c r="T202" s="306" t="str">
        <f t="shared" si="19"/>
        <v/>
      </c>
      <c r="U202" s="327" t="str">
        <f t="shared" si="20"/>
        <v/>
      </c>
      <c r="V202" s="105"/>
      <c r="W202" s="104"/>
      <c r="X202" s="104"/>
      <c r="AE202" s="107" t="str">
        <f t="shared" si="21" ref="AE202:AE257">IF(D202="","",IF(P202&gt;0,TRUE,FALSE))</f>
        <v/>
      </c>
      <c r="AF202" s="107" t="str">
        <f t="shared" si="22" ref="AF202:AF257">IF(D202="","",IF(Q202&gt;0,TRUE,FALSE))</f>
        <v/>
      </c>
      <c r="AH202" s="107">
        <v>193</v>
      </c>
      <c r="AJ202" s="107" t="str">
        <f t="array" ref="AJ202">IFERROR(INDEX($AH$10:$AH$258,MATCH(0,IF(TRUE=$AE$10:$AE$258,COUNTIF($AJ$9:$AJ201,$AH$10:$AH$258),""),0)),"")</f>
        <v/>
      </c>
      <c r="AK202" s="107" t="str">
        <f t="array" ref="AK202">IFERROR(INDEX($AH$10:$AH$258,MATCH(0,IF(TRUE=$AF$10:$AF$258,COUNTIF($AK$9:$AK201,$AH$10:$AH$258),""),0)),"")</f>
        <v/>
      </c>
      <c r="AL202" s="30" t="str">
        <f>IFERROR(INDEX('G-6 Hedgerow Data'!$BJ$3:$BJ$15,MATCH(D202,'G-6 Hedgerow Data'!$B$3:$B$15,0)),"")</f>
        <v/>
      </c>
    </row>
    <row r="203" spans="2:38" ht="14" hidden="1">
      <c r="B203" s="97">
        <v>194</v>
      </c>
      <c r="C203" s="138"/>
      <c r="D203" s="138"/>
      <c r="E203" s="104"/>
      <c r="F203" s="323" t="str">
        <f>IF(D203="","",VLOOKUP(D203,'G-6 Hedgerow Data'!$B$2:$AG$15,2,FALSE))</f>
        <v/>
      </c>
      <c r="G203" s="276" t="str">
        <f>IF(D203="","",VLOOKUP(D203,'G-6 Hedgerow Data'!$B$2:$AG$15,3,FALSE))</f>
        <v/>
      </c>
      <c r="H203" s="101"/>
      <c r="I203" s="276" t="str">
        <f>IFERROR(IF(AND(D203&lt;&gt;"",H203=""),"Check data ⚠",IF(H203="","",IF(AND(D203="Non-native and ornamental hedgerow",H203&lt;&gt;"Poor"),"Not possible ▲",(VLOOKUP(H203,'G-1 All Habitats'!$Z$2:$AA$9,2,FALSE))))),"")</f>
        <v/>
      </c>
      <c r="J203" s="101"/>
      <c r="K203" s="283" t="str">
        <f>IF(AND(D203&lt;&gt;"",J203=""),"Check data ⚠",IF(J203="","",IF(VLOOKUP(J203,'G-3 Multipliers'!$L$3:$N$6,2,FALSE)=0,"Spatial Data Missing",VLOOKUP(J203,'G-3 Multipliers'!$L$3:$N$6,2,FALSE))))</f>
        <v/>
      </c>
      <c r="L203" s="281" t="str">
        <f>IF(J203="","",IF(VLOOKUP(J203,'G-3 Multipliers'!$L$3:$N$6,3,FALSE)=0,"Spatial Data Missing ⚠",VLOOKUP(J203,'G-3 Multipliers'!$L$3:$N$6,3,FALSE)))</f>
        <v/>
      </c>
      <c r="M203" s="282" t="str">
        <f>IF(D203="","",VLOOKUP(D203,'G-6 Hedgerow Data'!$B$1:$AH$15,33,FALSE))</f>
        <v/>
      </c>
      <c r="N203" s="289" t="str">
        <f t="shared" si="23" ref="N203:N257">IFERROR(IF(OR(K203="Check data ⚠",I203="Check data ⚠",R203="Error in lengths ▲"),"Check data ▲",(E203*G203*I203*L203)),"")</f>
        <v/>
      </c>
      <c r="O203" s="32"/>
      <c r="P203" s="105"/>
      <c r="Q203" s="138"/>
      <c r="R203" s="306" t="str">
        <f t="shared" si="24" ref="R203:R257">IFERROR(P203*G203*I203*L203,"")</f>
        <v/>
      </c>
      <c r="S203" s="306" t="str">
        <f t="shared" si="25" ref="S203:S257">IFERROR(Q203*G203*I203*L203,"")</f>
        <v/>
      </c>
      <c r="T203" s="306" t="str">
        <f t="shared" si="26" ref="T203:T257">IF(D203="","",IF(E203-P203-Q203=0&lt;0,"Error in lengths ▲",IF(P203+Q203&gt;E203,"Error in Lengths ▲",E203-P203-Q203)))</f>
        <v/>
      </c>
      <c r="U203" s="327" t="str">
        <f t="shared" si="27" ref="U203:U257">IFERROR(IF(OR(E203="",N203=""),"",IF(E203-P203-Q203=0&lt;0,"Error in Lengths ▲",IF(P203+Q203&gt;E203,"Error in Lengths ▲",N203-R203-S203))),"Check data ⚠")</f>
        <v/>
      </c>
      <c r="V203" s="105"/>
      <c r="W203" s="104"/>
      <c r="X203" s="104"/>
      <c r="AE203" s="107" t="str">
        <f t="shared" si="21"/>
        <v/>
      </c>
      <c r="AF203" s="107" t="str">
        <f t="shared" si="22"/>
        <v/>
      </c>
      <c r="AH203" s="107">
        <v>194</v>
      </c>
      <c r="AJ203" s="107" t="str">
        <f t="array" ref="AJ203">IFERROR(INDEX($AH$10:$AH$258,MATCH(0,IF(TRUE=$AE$10:$AE$258,COUNTIF($AJ$9:$AJ202,$AH$10:$AH$258),""),0)),"")</f>
        <v/>
      </c>
      <c r="AK203" s="107" t="str">
        <f t="array" ref="AK203">IFERROR(INDEX($AH$10:$AH$258,MATCH(0,IF(TRUE=$AF$10:$AF$258,COUNTIF($AK$9:$AK202,$AH$10:$AH$258),""),0)),"")</f>
        <v/>
      </c>
      <c r="AL203" s="30" t="str">
        <f>IFERROR(INDEX('G-6 Hedgerow Data'!$BJ$3:$BJ$15,MATCH(D203,'G-6 Hedgerow Data'!$B$3:$B$15,0)),"")</f>
        <v/>
      </c>
    </row>
    <row r="204" spans="2:38" ht="14" hidden="1">
      <c r="B204" s="97">
        <v>195</v>
      </c>
      <c r="C204" s="138"/>
      <c r="D204" s="138"/>
      <c r="E204" s="104"/>
      <c r="F204" s="323" t="str">
        <f>IF(D204="","",VLOOKUP(D204,'G-6 Hedgerow Data'!$B$2:$AG$15,2,FALSE))</f>
        <v/>
      </c>
      <c r="G204" s="276" t="str">
        <f>IF(D204="","",VLOOKUP(D204,'G-6 Hedgerow Data'!$B$2:$AG$15,3,FALSE))</f>
        <v/>
      </c>
      <c r="H204" s="101"/>
      <c r="I204" s="276" t="str">
        <f>IFERROR(IF(AND(D204&lt;&gt;"",H204=""),"Check data ⚠",IF(H204="","",IF(AND(D204="Non-native and ornamental hedgerow",H204&lt;&gt;"Poor"),"Not possible ▲",(VLOOKUP(H204,'G-1 All Habitats'!$Z$2:$AA$9,2,FALSE))))),"")</f>
        <v/>
      </c>
      <c r="J204" s="101"/>
      <c r="K204" s="283" t="str">
        <f>IF(AND(D204&lt;&gt;"",J204=""),"Check data ⚠",IF(J204="","",IF(VLOOKUP(J204,'G-3 Multipliers'!$L$3:$N$6,2,FALSE)=0,"Spatial Data Missing",VLOOKUP(J204,'G-3 Multipliers'!$L$3:$N$6,2,FALSE))))</f>
        <v/>
      </c>
      <c r="L204" s="281" t="str">
        <f>IF(J204="","",IF(VLOOKUP(J204,'G-3 Multipliers'!$L$3:$N$6,3,FALSE)=0,"Spatial Data Missing ⚠",VLOOKUP(J204,'G-3 Multipliers'!$L$3:$N$6,3,FALSE)))</f>
        <v/>
      </c>
      <c r="M204" s="282" t="str">
        <f>IF(D204="","",VLOOKUP(D204,'G-6 Hedgerow Data'!$B$1:$AH$15,33,FALSE))</f>
        <v/>
      </c>
      <c r="N204" s="289" t="str">
        <f t="shared" si="23"/>
        <v/>
      </c>
      <c r="O204" s="32"/>
      <c r="P204" s="105"/>
      <c r="Q204" s="138"/>
      <c r="R204" s="306" t="str">
        <f t="shared" si="24"/>
        <v/>
      </c>
      <c r="S204" s="306" t="str">
        <f t="shared" si="25"/>
        <v/>
      </c>
      <c r="T204" s="306" t="str">
        <f t="shared" si="26"/>
        <v/>
      </c>
      <c r="U204" s="327" t="str">
        <f t="shared" si="27"/>
        <v/>
      </c>
      <c r="V204" s="105"/>
      <c r="W204" s="104"/>
      <c r="X204" s="104"/>
      <c r="AE204" s="107" t="str">
        <f t="shared" si="21"/>
        <v/>
      </c>
      <c r="AF204" s="107" t="str">
        <f t="shared" si="22"/>
        <v/>
      </c>
      <c r="AH204" s="107">
        <v>195</v>
      </c>
      <c r="AJ204" s="107" t="str">
        <f t="array" ref="AJ204">IFERROR(INDEX($AH$10:$AH$258,MATCH(0,IF(TRUE=$AE$10:$AE$258,COUNTIF($AJ$9:$AJ203,$AH$10:$AH$258),""),0)),"")</f>
        <v/>
      </c>
      <c r="AK204" s="107" t="str">
        <f t="array" ref="AK204">IFERROR(INDEX($AH$10:$AH$258,MATCH(0,IF(TRUE=$AF$10:$AF$258,COUNTIF($AK$9:$AK203,$AH$10:$AH$258),""),0)),"")</f>
        <v/>
      </c>
      <c r="AL204" s="30" t="str">
        <f>IFERROR(INDEX('G-6 Hedgerow Data'!$BJ$3:$BJ$15,MATCH(D204,'G-6 Hedgerow Data'!$B$3:$B$15,0)),"")</f>
        <v/>
      </c>
    </row>
    <row r="205" spans="2:38" ht="14" hidden="1">
      <c r="B205" s="97">
        <v>196</v>
      </c>
      <c r="C205" s="138"/>
      <c r="D205" s="138"/>
      <c r="E205" s="104"/>
      <c r="F205" s="323" t="str">
        <f>IF(D205="","",VLOOKUP(D205,'G-6 Hedgerow Data'!$B$2:$AG$15,2,FALSE))</f>
        <v/>
      </c>
      <c r="G205" s="276" t="str">
        <f>IF(D205="","",VLOOKUP(D205,'G-6 Hedgerow Data'!$B$2:$AG$15,3,FALSE))</f>
        <v/>
      </c>
      <c r="H205" s="101"/>
      <c r="I205" s="276" t="str">
        <f>IFERROR(IF(AND(D205&lt;&gt;"",H205=""),"Check data ⚠",IF(H205="","",IF(AND(D205="Non-native and ornamental hedgerow",H205&lt;&gt;"Poor"),"Not possible ▲",(VLOOKUP(H205,'G-1 All Habitats'!$Z$2:$AA$9,2,FALSE))))),"")</f>
        <v/>
      </c>
      <c r="J205" s="101"/>
      <c r="K205" s="283" t="str">
        <f>IF(AND(D205&lt;&gt;"",J205=""),"Check data ⚠",IF(J205="","",IF(VLOOKUP(J205,'G-3 Multipliers'!$L$3:$N$6,2,FALSE)=0,"Spatial Data Missing",VLOOKUP(J205,'G-3 Multipliers'!$L$3:$N$6,2,FALSE))))</f>
        <v/>
      </c>
      <c r="L205" s="281" t="str">
        <f>IF(J205="","",IF(VLOOKUP(J205,'G-3 Multipliers'!$L$3:$N$6,3,FALSE)=0,"Spatial Data Missing ⚠",VLOOKUP(J205,'G-3 Multipliers'!$L$3:$N$6,3,FALSE)))</f>
        <v/>
      </c>
      <c r="M205" s="282" t="str">
        <f>IF(D205="","",VLOOKUP(D205,'G-6 Hedgerow Data'!$B$1:$AH$15,33,FALSE))</f>
        <v/>
      </c>
      <c r="N205" s="289" t="str">
        <f t="shared" si="23"/>
        <v/>
      </c>
      <c r="O205" s="32"/>
      <c r="P205" s="105"/>
      <c r="Q205" s="138"/>
      <c r="R205" s="306" t="str">
        <f t="shared" si="24"/>
        <v/>
      </c>
      <c r="S205" s="306" t="str">
        <f t="shared" si="25"/>
        <v/>
      </c>
      <c r="T205" s="306" t="str">
        <f t="shared" si="26"/>
        <v/>
      </c>
      <c r="U205" s="327" t="str">
        <f t="shared" si="27"/>
        <v/>
      </c>
      <c r="V205" s="105"/>
      <c r="W205" s="104"/>
      <c r="X205" s="104"/>
      <c r="AE205" s="107" t="str">
        <f t="shared" si="21"/>
        <v/>
      </c>
      <c r="AF205" s="107" t="str">
        <f t="shared" si="22"/>
        <v/>
      </c>
      <c r="AH205" s="107">
        <v>196</v>
      </c>
      <c r="AJ205" s="107" t="str">
        <f t="array" ref="AJ205">IFERROR(INDEX($AH$10:$AH$258,MATCH(0,IF(TRUE=$AE$10:$AE$258,COUNTIF($AJ$9:$AJ204,$AH$10:$AH$258),""),0)),"")</f>
        <v/>
      </c>
      <c r="AK205" s="107" t="str">
        <f t="array" ref="AK205">IFERROR(INDEX($AH$10:$AH$258,MATCH(0,IF(TRUE=$AF$10:$AF$258,COUNTIF($AK$9:$AK204,$AH$10:$AH$258),""),0)),"")</f>
        <v/>
      </c>
      <c r="AL205" s="30" t="str">
        <f>IFERROR(INDEX('G-6 Hedgerow Data'!$BJ$3:$BJ$15,MATCH(D205,'G-6 Hedgerow Data'!$B$3:$B$15,0)),"")</f>
        <v/>
      </c>
    </row>
    <row r="206" spans="2:38" ht="14" hidden="1">
      <c r="B206" s="97">
        <v>197</v>
      </c>
      <c r="C206" s="138"/>
      <c r="D206" s="138"/>
      <c r="E206" s="104"/>
      <c r="F206" s="323" t="str">
        <f>IF(D206="","",VLOOKUP(D206,'G-6 Hedgerow Data'!$B$2:$AG$15,2,FALSE))</f>
        <v/>
      </c>
      <c r="G206" s="276" t="str">
        <f>IF(D206="","",VLOOKUP(D206,'G-6 Hedgerow Data'!$B$2:$AG$15,3,FALSE))</f>
        <v/>
      </c>
      <c r="H206" s="101"/>
      <c r="I206" s="276" t="str">
        <f>IFERROR(IF(AND(D206&lt;&gt;"",H206=""),"Check data ⚠",IF(H206="","",IF(AND(D206="Non-native and ornamental hedgerow",H206&lt;&gt;"Poor"),"Not possible ▲",(VLOOKUP(H206,'G-1 All Habitats'!$Z$2:$AA$9,2,FALSE))))),"")</f>
        <v/>
      </c>
      <c r="J206" s="101"/>
      <c r="K206" s="283" t="str">
        <f>IF(AND(D206&lt;&gt;"",J206=""),"Check data ⚠",IF(J206="","",IF(VLOOKUP(J206,'G-3 Multipliers'!$L$3:$N$6,2,FALSE)=0,"Spatial Data Missing",VLOOKUP(J206,'G-3 Multipliers'!$L$3:$N$6,2,FALSE))))</f>
        <v/>
      </c>
      <c r="L206" s="281" t="str">
        <f>IF(J206="","",IF(VLOOKUP(J206,'G-3 Multipliers'!$L$3:$N$6,3,FALSE)=0,"Spatial Data Missing ⚠",VLOOKUP(J206,'G-3 Multipliers'!$L$3:$N$6,3,FALSE)))</f>
        <v/>
      </c>
      <c r="M206" s="282" t="str">
        <f>IF(D206="","",VLOOKUP(D206,'G-6 Hedgerow Data'!$B$1:$AH$15,33,FALSE))</f>
        <v/>
      </c>
      <c r="N206" s="289" t="str">
        <f t="shared" si="23"/>
        <v/>
      </c>
      <c r="O206" s="32"/>
      <c r="P206" s="105"/>
      <c r="Q206" s="138"/>
      <c r="R206" s="306" t="str">
        <f t="shared" si="24"/>
        <v/>
      </c>
      <c r="S206" s="306" t="str">
        <f t="shared" si="25"/>
        <v/>
      </c>
      <c r="T206" s="306" t="str">
        <f t="shared" si="26"/>
        <v/>
      </c>
      <c r="U206" s="327" t="str">
        <f t="shared" si="27"/>
        <v/>
      </c>
      <c r="V206" s="105"/>
      <c r="W206" s="104"/>
      <c r="X206" s="104"/>
      <c r="AE206" s="107" t="str">
        <f t="shared" si="21"/>
        <v/>
      </c>
      <c r="AF206" s="107" t="str">
        <f t="shared" si="22"/>
        <v/>
      </c>
      <c r="AH206" s="107">
        <v>197</v>
      </c>
      <c r="AJ206" s="107" t="str">
        <f t="array" ref="AJ206">IFERROR(INDEX($AH$10:$AH$258,MATCH(0,IF(TRUE=$AE$10:$AE$258,COUNTIF($AJ$9:$AJ205,$AH$10:$AH$258),""),0)),"")</f>
        <v/>
      </c>
      <c r="AK206" s="107" t="str">
        <f t="array" ref="AK206">IFERROR(INDEX($AH$10:$AH$258,MATCH(0,IF(TRUE=$AF$10:$AF$258,COUNTIF($AK$9:$AK205,$AH$10:$AH$258),""),0)),"")</f>
        <v/>
      </c>
      <c r="AL206" s="30" t="str">
        <f>IFERROR(INDEX('G-6 Hedgerow Data'!$BJ$3:$BJ$15,MATCH(D206,'G-6 Hedgerow Data'!$B$3:$B$15,0)),"")</f>
        <v/>
      </c>
    </row>
    <row r="207" spans="2:38" ht="14" hidden="1">
      <c r="B207" s="97">
        <v>198</v>
      </c>
      <c r="C207" s="138"/>
      <c r="D207" s="138"/>
      <c r="E207" s="104"/>
      <c r="F207" s="323" t="str">
        <f>IF(D207="","",VLOOKUP(D207,'G-6 Hedgerow Data'!$B$2:$AG$15,2,FALSE))</f>
        <v/>
      </c>
      <c r="G207" s="276" t="str">
        <f>IF(D207="","",VLOOKUP(D207,'G-6 Hedgerow Data'!$B$2:$AG$15,3,FALSE))</f>
        <v/>
      </c>
      <c r="H207" s="101"/>
      <c r="I207" s="276" t="str">
        <f>IFERROR(IF(AND(D207&lt;&gt;"",H207=""),"Check data ⚠",IF(H207="","",IF(AND(D207="Non-native and ornamental hedgerow",H207&lt;&gt;"Poor"),"Not possible ▲",(VLOOKUP(H207,'G-1 All Habitats'!$Z$2:$AA$9,2,FALSE))))),"")</f>
        <v/>
      </c>
      <c r="J207" s="101"/>
      <c r="K207" s="283" t="str">
        <f>IF(AND(D207&lt;&gt;"",J207=""),"Check data ⚠",IF(J207="","",IF(VLOOKUP(J207,'G-3 Multipliers'!$L$3:$N$6,2,FALSE)=0,"Spatial Data Missing",VLOOKUP(J207,'G-3 Multipliers'!$L$3:$N$6,2,FALSE))))</f>
        <v/>
      </c>
      <c r="L207" s="281" t="str">
        <f>IF(J207="","",IF(VLOOKUP(J207,'G-3 Multipliers'!$L$3:$N$6,3,FALSE)=0,"Spatial Data Missing ⚠",VLOOKUP(J207,'G-3 Multipliers'!$L$3:$N$6,3,FALSE)))</f>
        <v/>
      </c>
      <c r="M207" s="282" t="str">
        <f>IF(D207="","",VLOOKUP(D207,'G-6 Hedgerow Data'!$B$1:$AH$15,33,FALSE))</f>
        <v/>
      </c>
      <c r="N207" s="289" t="str">
        <f t="shared" si="23"/>
        <v/>
      </c>
      <c r="O207" s="32"/>
      <c r="P207" s="105"/>
      <c r="Q207" s="138"/>
      <c r="R207" s="306" t="str">
        <f t="shared" si="24"/>
        <v/>
      </c>
      <c r="S207" s="306" t="str">
        <f t="shared" si="25"/>
        <v/>
      </c>
      <c r="T207" s="306" t="str">
        <f t="shared" si="26"/>
        <v/>
      </c>
      <c r="U207" s="327" t="str">
        <f t="shared" si="27"/>
        <v/>
      </c>
      <c r="V207" s="105"/>
      <c r="W207" s="104"/>
      <c r="X207" s="104"/>
      <c r="AE207" s="107" t="str">
        <f t="shared" si="21"/>
        <v/>
      </c>
      <c r="AF207" s="107" t="str">
        <f t="shared" si="22"/>
        <v/>
      </c>
      <c r="AH207" s="107">
        <v>198</v>
      </c>
      <c r="AJ207" s="107" t="str">
        <f t="array" ref="AJ207">IFERROR(INDEX($AH$10:$AH$258,MATCH(0,IF(TRUE=$AE$10:$AE$258,COUNTIF($AJ$9:$AJ206,$AH$10:$AH$258),""),0)),"")</f>
        <v/>
      </c>
      <c r="AK207" s="107" t="str">
        <f t="array" ref="AK207">IFERROR(INDEX($AH$10:$AH$258,MATCH(0,IF(TRUE=$AF$10:$AF$258,COUNTIF($AK$9:$AK206,$AH$10:$AH$258),""),0)),"")</f>
        <v/>
      </c>
      <c r="AL207" s="30" t="str">
        <f>IFERROR(INDEX('G-6 Hedgerow Data'!$BJ$3:$BJ$15,MATCH(D207,'G-6 Hedgerow Data'!$B$3:$B$15,0)),"")</f>
        <v/>
      </c>
    </row>
    <row r="208" spans="2:38" ht="14" hidden="1">
      <c r="B208" s="97">
        <v>199</v>
      </c>
      <c r="C208" s="138"/>
      <c r="D208" s="138"/>
      <c r="E208" s="104"/>
      <c r="F208" s="323" t="str">
        <f>IF(D208="","",VLOOKUP(D208,'G-6 Hedgerow Data'!$B$2:$AG$15,2,FALSE))</f>
        <v/>
      </c>
      <c r="G208" s="276" t="str">
        <f>IF(D208="","",VLOOKUP(D208,'G-6 Hedgerow Data'!$B$2:$AG$15,3,FALSE))</f>
        <v/>
      </c>
      <c r="H208" s="101"/>
      <c r="I208" s="276" t="str">
        <f>IFERROR(IF(AND(D208&lt;&gt;"",H208=""),"Check data ⚠",IF(H208="","",IF(AND(D208="Non-native and ornamental hedgerow",H208&lt;&gt;"Poor"),"Not possible ▲",(VLOOKUP(H208,'G-1 All Habitats'!$Z$2:$AA$9,2,FALSE))))),"")</f>
        <v/>
      </c>
      <c r="J208" s="101"/>
      <c r="K208" s="283" t="str">
        <f>IF(AND(D208&lt;&gt;"",J208=""),"Check data ⚠",IF(J208="","",IF(VLOOKUP(J208,'G-3 Multipliers'!$L$3:$N$6,2,FALSE)=0,"Spatial Data Missing",VLOOKUP(J208,'G-3 Multipliers'!$L$3:$N$6,2,FALSE))))</f>
        <v/>
      </c>
      <c r="L208" s="281" t="str">
        <f>IF(J208="","",IF(VLOOKUP(J208,'G-3 Multipliers'!$L$3:$N$6,3,FALSE)=0,"Spatial Data Missing ⚠",VLOOKUP(J208,'G-3 Multipliers'!$L$3:$N$6,3,FALSE)))</f>
        <v/>
      </c>
      <c r="M208" s="282" t="str">
        <f>IF(D208="","",VLOOKUP(D208,'G-6 Hedgerow Data'!$B$1:$AH$15,33,FALSE))</f>
        <v/>
      </c>
      <c r="N208" s="289" t="str">
        <f t="shared" si="23"/>
        <v/>
      </c>
      <c r="O208" s="32"/>
      <c r="P208" s="105"/>
      <c r="Q208" s="138"/>
      <c r="R208" s="306" t="str">
        <f t="shared" si="24"/>
        <v/>
      </c>
      <c r="S208" s="306" t="str">
        <f t="shared" si="25"/>
        <v/>
      </c>
      <c r="T208" s="306" t="str">
        <f t="shared" si="26"/>
        <v/>
      </c>
      <c r="U208" s="327" t="str">
        <f t="shared" si="27"/>
        <v/>
      </c>
      <c r="V208" s="105"/>
      <c r="W208" s="104"/>
      <c r="X208" s="104"/>
      <c r="AE208" s="107" t="str">
        <f t="shared" si="21"/>
        <v/>
      </c>
      <c r="AF208" s="107" t="str">
        <f t="shared" si="22"/>
        <v/>
      </c>
      <c r="AH208" s="107">
        <v>199</v>
      </c>
      <c r="AJ208" s="107" t="str">
        <f t="array" ref="AJ208">IFERROR(INDEX($AH$10:$AH$258,MATCH(0,IF(TRUE=$AE$10:$AE$258,COUNTIF($AJ$9:$AJ207,$AH$10:$AH$258),""),0)),"")</f>
        <v/>
      </c>
      <c r="AK208" s="107" t="str">
        <f t="array" ref="AK208">IFERROR(INDEX($AH$10:$AH$258,MATCH(0,IF(TRUE=$AF$10:$AF$258,COUNTIF($AK$9:$AK207,$AH$10:$AH$258),""),0)),"")</f>
        <v/>
      </c>
      <c r="AL208" s="30" t="str">
        <f>IFERROR(INDEX('G-6 Hedgerow Data'!$BJ$3:$BJ$15,MATCH(D208,'G-6 Hedgerow Data'!$B$3:$B$15,0)),"")</f>
        <v/>
      </c>
    </row>
    <row r="209" spans="2:38" ht="14" hidden="1">
      <c r="B209" s="97">
        <v>200</v>
      </c>
      <c r="C209" s="138"/>
      <c r="D209" s="138"/>
      <c r="E209" s="104"/>
      <c r="F209" s="323" t="str">
        <f>IF(D209="","",VLOOKUP(D209,'G-6 Hedgerow Data'!$B$2:$AG$15,2,FALSE))</f>
        <v/>
      </c>
      <c r="G209" s="276" t="str">
        <f>IF(D209="","",VLOOKUP(D209,'G-6 Hedgerow Data'!$B$2:$AG$15,3,FALSE))</f>
        <v/>
      </c>
      <c r="H209" s="101"/>
      <c r="I209" s="276" t="str">
        <f>IFERROR(IF(AND(D209&lt;&gt;"",H209=""),"Check data ⚠",IF(H209="","",IF(AND(D209="Non-native and ornamental hedgerow",H209&lt;&gt;"Poor"),"Not possible ▲",(VLOOKUP(H209,'G-1 All Habitats'!$Z$2:$AA$9,2,FALSE))))),"")</f>
        <v/>
      </c>
      <c r="J209" s="101"/>
      <c r="K209" s="283" t="str">
        <f>IF(AND(D209&lt;&gt;"",J209=""),"Check data ⚠",IF(J209="","",IF(VLOOKUP(J209,'G-3 Multipliers'!$L$3:$N$6,2,FALSE)=0,"Spatial Data Missing",VLOOKUP(J209,'G-3 Multipliers'!$L$3:$N$6,2,FALSE))))</f>
        <v/>
      </c>
      <c r="L209" s="281" t="str">
        <f>IF(J209="","",IF(VLOOKUP(J209,'G-3 Multipliers'!$L$3:$N$6,3,FALSE)=0,"Spatial Data Missing ⚠",VLOOKUP(J209,'G-3 Multipliers'!$L$3:$N$6,3,FALSE)))</f>
        <v/>
      </c>
      <c r="M209" s="282" t="str">
        <f>IF(D209="","",VLOOKUP(D209,'G-6 Hedgerow Data'!$B$1:$AH$15,33,FALSE))</f>
        <v/>
      </c>
      <c r="N209" s="289" t="str">
        <f t="shared" si="23"/>
        <v/>
      </c>
      <c r="O209" s="32"/>
      <c r="P209" s="105"/>
      <c r="Q209" s="138"/>
      <c r="R209" s="306" t="str">
        <f t="shared" si="24"/>
        <v/>
      </c>
      <c r="S209" s="306" t="str">
        <f t="shared" si="25"/>
        <v/>
      </c>
      <c r="T209" s="306" t="str">
        <f t="shared" si="26"/>
        <v/>
      </c>
      <c r="U209" s="327" t="str">
        <f t="shared" si="27"/>
        <v/>
      </c>
      <c r="V209" s="105"/>
      <c r="W209" s="104"/>
      <c r="X209" s="104"/>
      <c r="AE209" s="107" t="str">
        <f t="shared" si="21"/>
        <v/>
      </c>
      <c r="AF209" s="107" t="str">
        <f t="shared" si="22"/>
        <v/>
      </c>
      <c r="AH209" s="107">
        <v>200</v>
      </c>
      <c r="AJ209" s="107" t="str">
        <f t="array" ref="AJ209">IFERROR(INDEX($AH$10:$AH$258,MATCH(0,IF(TRUE=$AE$10:$AE$258,COUNTIF($AJ$9:$AJ208,$AH$10:$AH$258),""),0)),"")</f>
        <v/>
      </c>
      <c r="AK209" s="107" t="str">
        <f t="array" ref="AK209">IFERROR(INDEX($AH$10:$AH$258,MATCH(0,IF(TRUE=$AF$10:$AF$258,COUNTIF($AK$9:$AK208,$AH$10:$AH$258),""),0)),"")</f>
        <v/>
      </c>
      <c r="AL209" s="30" t="str">
        <f>IFERROR(INDEX('G-6 Hedgerow Data'!$BJ$3:$BJ$15,MATCH(D209,'G-6 Hedgerow Data'!$B$3:$B$15,0)),"")</f>
        <v/>
      </c>
    </row>
    <row r="210" spans="2:38" ht="14" hidden="1">
      <c r="B210" s="97">
        <v>201</v>
      </c>
      <c r="C210" s="138"/>
      <c r="D210" s="138"/>
      <c r="E210" s="104"/>
      <c r="F210" s="323" t="str">
        <f>IF(D210="","",VLOOKUP(D210,'G-6 Hedgerow Data'!$B$2:$AG$15,2,FALSE))</f>
        <v/>
      </c>
      <c r="G210" s="276" t="str">
        <f>IF(D210="","",VLOOKUP(D210,'G-6 Hedgerow Data'!$B$2:$AG$15,3,FALSE))</f>
        <v/>
      </c>
      <c r="H210" s="101"/>
      <c r="I210" s="276" t="str">
        <f>IFERROR(IF(AND(D210&lt;&gt;"",H210=""),"Check data ⚠",IF(H210="","",IF(AND(D210="Non-native and ornamental hedgerow",H210&lt;&gt;"Poor"),"Not possible ▲",(VLOOKUP(H210,'G-1 All Habitats'!$Z$2:$AA$9,2,FALSE))))),"")</f>
        <v/>
      </c>
      <c r="J210" s="101"/>
      <c r="K210" s="283" t="str">
        <f>IF(AND(D210&lt;&gt;"",J210=""),"Check data ⚠",IF(J210="","",IF(VLOOKUP(J210,'G-3 Multipliers'!$L$3:$N$6,2,FALSE)=0,"Spatial Data Missing",VLOOKUP(J210,'G-3 Multipliers'!$L$3:$N$6,2,FALSE))))</f>
        <v/>
      </c>
      <c r="L210" s="281" t="str">
        <f>IF(J210="","",IF(VLOOKUP(J210,'G-3 Multipliers'!$L$3:$N$6,3,FALSE)=0,"Spatial Data Missing ⚠",VLOOKUP(J210,'G-3 Multipliers'!$L$3:$N$6,3,FALSE)))</f>
        <v/>
      </c>
      <c r="M210" s="282" t="str">
        <f>IF(D210="","",VLOOKUP(D210,'G-6 Hedgerow Data'!$B$1:$AH$15,33,FALSE))</f>
        <v/>
      </c>
      <c r="N210" s="289" t="str">
        <f t="shared" si="23"/>
        <v/>
      </c>
      <c r="O210" s="32"/>
      <c r="P210" s="105"/>
      <c r="Q210" s="138"/>
      <c r="R210" s="306" t="str">
        <f t="shared" si="24"/>
        <v/>
      </c>
      <c r="S210" s="306" t="str">
        <f t="shared" si="25"/>
        <v/>
      </c>
      <c r="T210" s="306" t="str">
        <f t="shared" si="26"/>
        <v/>
      </c>
      <c r="U210" s="327" t="str">
        <f t="shared" si="27"/>
        <v/>
      </c>
      <c r="V210" s="105"/>
      <c r="W210" s="104"/>
      <c r="X210" s="104"/>
      <c r="AE210" s="107" t="str">
        <f t="shared" si="21"/>
        <v/>
      </c>
      <c r="AF210" s="107" t="str">
        <f t="shared" si="22"/>
        <v/>
      </c>
      <c r="AH210" s="107">
        <v>201</v>
      </c>
      <c r="AJ210" s="107" t="str">
        <f t="array" ref="AJ210">IFERROR(INDEX($AH$10:$AH$258,MATCH(0,IF(TRUE=$AE$10:$AE$258,COUNTIF($AJ$9:$AJ209,$AH$10:$AH$258),""),0)),"")</f>
        <v/>
      </c>
      <c r="AK210" s="107" t="str">
        <f t="array" ref="AK210">IFERROR(INDEX($AH$10:$AH$258,MATCH(0,IF(TRUE=$AF$10:$AF$258,COUNTIF($AK$9:$AK209,$AH$10:$AH$258),""),0)),"")</f>
        <v/>
      </c>
      <c r="AL210" s="30" t="str">
        <f>IFERROR(INDEX('G-6 Hedgerow Data'!$BJ$3:$BJ$15,MATCH(D210,'G-6 Hedgerow Data'!$B$3:$B$15,0)),"")</f>
        <v/>
      </c>
    </row>
    <row r="211" spans="2:38" ht="14" hidden="1">
      <c r="B211" s="97">
        <v>202</v>
      </c>
      <c r="C211" s="138"/>
      <c r="D211" s="138"/>
      <c r="E211" s="104"/>
      <c r="F211" s="323" t="str">
        <f>IF(D211="","",VLOOKUP(D211,'G-6 Hedgerow Data'!$B$2:$AG$15,2,FALSE))</f>
        <v/>
      </c>
      <c r="G211" s="276" t="str">
        <f>IF(D211="","",VLOOKUP(D211,'G-6 Hedgerow Data'!$B$2:$AG$15,3,FALSE))</f>
        <v/>
      </c>
      <c r="H211" s="101"/>
      <c r="I211" s="276" t="str">
        <f>IFERROR(IF(AND(D211&lt;&gt;"",H211=""),"Check data ⚠",IF(H211="","",IF(AND(D211="Non-native and ornamental hedgerow",H211&lt;&gt;"Poor"),"Not possible ▲",(VLOOKUP(H211,'G-1 All Habitats'!$Z$2:$AA$9,2,FALSE))))),"")</f>
        <v/>
      </c>
      <c r="J211" s="101"/>
      <c r="K211" s="283" t="str">
        <f>IF(AND(D211&lt;&gt;"",J211=""),"Check data ⚠",IF(J211="","",IF(VLOOKUP(J211,'G-3 Multipliers'!$L$3:$N$6,2,FALSE)=0,"Spatial Data Missing",VLOOKUP(J211,'G-3 Multipliers'!$L$3:$N$6,2,FALSE))))</f>
        <v/>
      </c>
      <c r="L211" s="281" t="str">
        <f>IF(J211="","",IF(VLOOKUP(J211,'G-3 Multipliers'!$L$3:$N$6,3,FALSE)=0,"Spatial Data Missing ⚠",VLOOKUP(J211,'G-3 Multipliers'!$L$3:$N$6,3,FALSE)))</f>
        <v/>
      </c>
      <c r="M211" s="282" t="str">
        <f>IF(D211="","",VLOOKUP(D211,'G-6 Hedgerow Data'!$B$1:$AH$15,33,FALSE))</f>
        <v/>
      </c>
      <c r="N211" s="289" t="str">
        <f t="shared" si="23"/>
        <v/>
      </c>
      <c r="O211" s="32"/>
      <c r="P211" s="105"/>
      <c r="Q211" s="138"/>
      <c r="R211" s="306" t="str">
        <f t="shared" si="24"/>
        <v/>
      </c>
      <c r="S211" s="306" t="str">
        <f t="shared" si="25"/>
        <v/>
      </c>
      <c r="T211" s="306" t="str">
        <f t="shared" si="26"/>
        <v/>
      </c>
      <c r="U211" s="327" t="str">
        <f t="shared" si="27"/>
        <v/>
      </c>
      <c r="V211" s="105"/>
      <c r="W211" s="104"/>
      <c r="X211" s="104"/>
      <c r="AE211" s="107" t="str">
        <f t="shared" si="21"/>
        <v/>
      </c>
      <c r="AF211" s="107" t="str">
        <f t="shared" si="22"/>
        <v/>
      </c>
      <c r="AH211" s="107">
        <v>202</v>
      </c>
      <c r="AJ211" s="107" t="str">
        <f t="array" ref="AJ211">IFERROR(INDEX($AH$10:$AH$258,MATCH(0,IF(TRUE=$AE$10:$AE$258,COUNTIF($AJ$9:$AJ210,$AH$10:$AH$258),""),0)),"")</f>
        <v/>
      </c>
      <c r="AK211" s="107" t="str">
        <f t="array" ref="AK211">IFERROR(INDEX($AH$10:$AH$258,MATCH(0,IF(TRUE=$AF$10:$AF$258,COUNTIF($AK$9:$AK210,$AH$10:$AH$258),""),0)),"")</f>
        <v/>
      </c>
      <c r="AL211" s="30" t="str">
        <f>IFERROR(INDEX('G-6 Hedgerow Data'!$BJ$3:$BJ$15,MATCH(D211,'G-6 Hedgerow Data'!$B$3:$B$15,0)),"")</f>
        <v/>
      </c>
    </row>
    <row r="212" spans="2:38" ht="14" hidden="1">
      <c r="B212" s="97">
        <v>203</v>
      </c>
      <c r="C212" s="138"/>
      <c r="D212" s="138"/>
      <c r="E212" s="104"/>
      <c r="F212" s="323" t="str">
        <f>IF(D212="","",VLOOKUP(D212,'G-6 Hedgerow Data'!$B$2:$AG$15,2,FALSE))</f>
        <v/>
      </c>
      <c r="G212" s="276" t="str">
        <f>IF(D212="","",VLOOKUP(D212,'G-6 Hedgerow Data'!$B$2:$AG$15,3,FALSE))</f>
        <v/>
      </c>
      <c r="H212" s="101"/>
      <c r="I212" s="276" t="str">
        <f>IFERROR(IF(AND(D212&lt;&gt;"",H212=""),"Check data ⚠",IF(H212="","",IF(AND(D212="Non-native and ornamental hedgerow",H212&lt;&gt;"Poor"),"Not possible ▲",(VLOOKUP(H212,'G-1 All Habitats'!$Z$2:$AA$9,2,FALSE))))),"")</f>
        <v/>
      </c>
      <c r="J212" s="101"/>
      <c r="K212" s="283" t="str">
        <f>IF(AND(D212&lt;&gt;"",J212=""),"Check data ⚠",IF(J212="","",IF(VLOOKUP(J212,'G-3 Multipliers'!$L$3:$N$6,2,FALSE)=0,"Spatial Data Missing",VLOOKUP(J212,'G-3 Multipliers'!$L$3:$N$6,2,FALSE))))</f>
        <v/>
      </c>
      <c r="L212" s="281" t="str">
        <f>IF(J212="","",IF(VLOOKUP(J212,'G-3 Multipliers'!$L$3:$N$6,3,FALSE)=0,"Spatial Data Missing ⚠",VLOOKUP(J212,'G-3 Multipliers'!$L$3:$N$6,3,FALSE)))</f>
        <v/>
      </c>
      <c r="M212" s="282" t="str">
        <f>IF(D212="","",VLOOKUP(D212,'G-6 Hedgerow Data'!$B$1:$AH$15,33,FALSE))</f>
        <v/>
      </c>
      <c r="N212" s="289" t="str">
        <f t="shared" si="23"/>
        <v/>
      </c>
      <c r="O212" s="32"/>
      <c r="P212" s="105"/>
      <c r="Q212" s="138"/>
      <c r="R212" s="306" t="str">
        <f t="shared" si="24"/>
        <v/>
      </c>
      <c r="S212" s="306" t="str">
        <f t="shared" si="25"/>
        <v/>
      </c>
      <c r="T212" s="306" t="str">
        <f t="shared" si="26"/>
        <v/>
      </c>
      <c r="U212" s="327" t="str">
        <f t="shared" si="27"/>
        <v/>
      </c>
      <c r="V212" s="105"/>
      <c r="W212" s="104"/>
      <c r="X212" s="104"/>
      <c r="AE212" s="107" t="str">
        <f t="shared" si="21"/>
        <v/>
      </c>
      <c r="AF212" s="107" t="str">
        <f t="shared" si="22"/>
        <v/>
      </c>
      <c r="AH212" s="107">
        <v>203</v>
      </c>
      <c r="AJ212" s="107" t="str">
        <f t="array" ref="AJ212">IFERROR(INDEX($AH$10:$AH$258,MATCH(0,IF(TRUE=$AE$10:$AE$258,COUNTIF($AJ$9:$AJ211,$AH$10:$AH$258),""),0)),"")</f>
        <v/>
      </c>
      <c r="AK212" s="107" t="str">
        <f t="array" ref="AK212">IFERROR(INDEX($AH$10:$AH$258,MATCH(0,IF(TRUE=$AF$10:$AF$258,COUNTIF($AK$9:$AK211,$AH$10:$AH$258),""),0)),"")</f>
        <v/>
      </c>
      <c r="AL212" s="30" t="str">
        <f>IFERROR(INDEX('G-6 Hedgerow Data'!$BJ$3:$BJ$15,MATCH(D212,'G-6 Hedgerow Data'!$B$3:$B$15,0)),"")</f>
        <v/>
      </c>
    </row>
    <row r="213" spans="2:38" ht="14" hidden="1">
      <c r="B213" s="97">
        <v>204</v>
      </c>
      <c r="C213" s="138"/>
      <c r="D213" s="138"/>
      <c r="E213" s="104"/>
      <c r="F213" s="323" t="str">
        <f>IF(D213="","",VLOOKUP(D213,'G-6 Hedgerow Data'!$B$2:$AG$15,2,FALSE))</f>
        <v/>
      </c>
      <c r="G213" s="276" t="str">
        <f>IF(D213="","",VLOOKUP(D213,'G-6 Hedgerow Data'!$B$2:$AG$15,3,FALSE))</f>
        <v/>
      </c>
      <c r="H213" s="101"/>
      <c r="I213" s="276" t="str">
        <f>IFERROR(IF(AND(D213&lt;&gt;"",H213=""),"Check data ⚠",IF(H213="","",IF(AND(D213="Non-native and ornamental hedgerow",H213&lt;&gt;"Poor"),"Not possible ▲",(VLOOKUP(H213,'G-1 All Habitats'!$Z$2:$AA$9,2,FALSE))))),"")</f>
        <v/>
      </c>
      <c r="J213" s="101"/>
      <c r="K213" s="283" t="str">
        <f>IF(AND(D213&lt;&gt;"",J213=""),"Check data ⚠",IF(J213="","",IF(VLOOKUP(J213,'G-3 Multipliers'!$L$3:$N$6,2,FALSE)=0,"Spatial Data Missing",VLOOKUP(J213,'G-3 Multipliers'!$L$3:$N$6,2,FALSE))))</f>
        <v/>
      </c>
      <c r="L213" s="281" t="str">
        <f>IF(J213="","",IF(VLOOKUP(J213,'G-3 Multipliers'!$L$3:$N$6,3,FALSE)=0,"Spatial Data Missing ⚠",VLOOKUP(J213,'G-3 Multipliers'!$L$3:$N$6,3,FALSE)))</f>
        <v/>
      </c>
      <c r="M213" s="282" t="str">
        <f>IF(D213="","",VLOOKUP(D213,'G-6 Hedgerow Data'!$B$1:$AH$15,33,FALSE))</f>
        <v/>
      </c>
      <c r="N213" s="289" t="str">
        <f t="shared" si="23"/>
        <v/>
      </c>
      <c r="O213" s="32"/>
      <c r="P213" s="105"/>
      <c r="Q213" s="138"/>
      <c r="R213" s="306" t="str">
        <f t="shared" si="24"/>
        <v/>
      </c>
      <c r="S213" s="306" t="str">
        <f t="shared" si="25"/>
        <v/>
      </c>
      <c r="T213" s="306" t="str">
        <f t="shared" si="26"/>
        <v/>
      </c>
      <c r="U213" s="327" t="str">
        <f t="shared" si="27"/>
        <v/>
      </c>
      <c r="V213" s="105"/>
      <c r="W213" s="104"/>
      <c r="X213" s="104"/>
      <c r="AE213" s="107" t="str">
        <f t="shared" si="21"/>
        <v/>
      </c>
      <c r="AF213" s="107" t="str">
        <f t="shared" si="22"/>
        <v/>
      </c>
      <c r="AH213" s="107">
        <v>204</v>
      </c>
      <c r="AJ213" s="107" t="str">
        <f t="array" ref="AJ213">IFERROR(INDEX($AH$10:$AH$258,MATCH(0,IF(TRUE=$AE$10:$AE$258,COUNTIF($AJ$9:$AJ212,$AH$10:$AH$258),""),0)),"")</f>
        <v/>
      </c>
      <c r="AK213" s="107" t="str">
        <f t="array" ref="AK213">IFERROR(INDEX($AH$10:$AH$258,MATCH(0,IF(TRUE=$AF$10:$AF$258,COUNTIF($AK$9:$AK212,$AH$10:$AH$258),""),0)),"")</f>
        <v/>
      </c>
      <c r="AL213" s="30" t="str">
        <f>IFERROR(INDEX('G-6 Hedgerow Data'!$BJ$3:$BJ$15,MATCH(D213,'G-6 Hedgerow Data'!$B$3:$B$15,0)),"")</f>
        <v/>
      </c>
    </row>
    <row r="214" spans="2:38" ht="14" hidden="1">
      <c r="B214" s="97">
        <v>205</v>
      </c>
      <c r="C214" s="138"/>
      <c r="D214" s="138"/>
      <c r="E214" s="104"/>
      <c r="F214" s="323" t="str">
        <f>IF(D214="","",VLOOKUP(D214,'G-6 Hedgerow Data'!$B$2:$AG$15,2,FALSE))</f>
        <v/>
      </c>
      <c r="G214" s="276" t="str">
        <f>IF(D214="","",VLOOKUP(D214,'G-6 Hedgerow Data'!$B$2:$AG$15,3,FALSE))</f>
        <v/>
      </c>
      <c r="H214" s="101"/>
      <c r="I214" s="276" t="str">
        <f>IFERROR(IF(AND(D214&lt;&gt;"",H214=""),"Check data ⚠",IF(H214="","",IF(AND(D214="Non-native and ornamental hedgerow",H214&lt;&gt;"Poor"),"Not possible ▲",(VLOOKUP(H214,'G-1 All Habitats'!$Z$2:$AA$9,2,FALSE))))),"")</f>
        <v/>
      </c>
      <c r="J214" s="101"/>
      <c r="K214" s="283" t="str">
        <f>IF(AND(D214&lt;&gt;"",J214=""),"Check data ⚠",IF(J214="","",IF(VLOOKUP(J214,'G-3 Multipliers'!$L$3:$N$6,2,FALSE)=0,"Spatial Data Missing",VLOOKUP(J214,'G-3 Multipliers'!$L$3:$N$6,2,FALSE))))</f>
        <v/>
      </c>
      <c r="L214" s="281" t="str">
        <f>IF(J214="","",IF(VLOOKUP(J214,'G-3 Multipliers'!$L$3:$N$6,3,FALSE)=0,"Spatial Data Missing ⚠",VLOOKUP(J214,'G-3 Multipliers'!$L$3:$N$6,3,FALSE)))</f>
        <v/>
      </c>
      <c r="M214" s="282" t="str">
        <f>IF(D214="","",VLOOKUP(D214,'G-6 Hedgerow Data'!$B$1:$AH$15,33,FALSE))</f>
        <v/>
      </c>
      <c r="N214" s="289" t="str">
        <f t="shared" si="23"/>
        <v/>
      </c>
      <c r="O214" s="32"/>
      <c r="P214" s="105"/>
      <c r="Q214" s="138"/>
      <c r="R214" s="306" t="str">
        <f t="shared" si="24"/>
        <v/>
      </c>
      <c r="S214" s="306" t="str">
        <f t="shared" si="25"/>
        <v/>
      </c>
      <c r="T214" s="306" t="str">
        <f t="shared" si="26"/>
        <v/>
      </c>
      <c r="U214" s="327" t="str">
        <f t="shared" si="27"/>
        <v/>
      </c>
      <c r="V214" s="105"/>
      <c r="W214" s="104"/>
      <c r="X214" s="104"/>
      <c r="AE214" s="107" t="str">
        <f t="shared" si="21"/>
        <v/>
      </c>
      <c r="AF214" s="107" t="str">
        <f t="shared" si="22"/>
        <v/>
      </c>
      <c r="AH214" s="107">
        <v>205</v>
      </c>
      <c r="AJ214" s="107" t="str">
        <f t="array" ref="AJ214">IFERROR(INDEX($AH$10:$AH$258,MATCH(0,IF(TRUE=$AE$10:$AE$258,COUNTIF($AJ$9:$AJ213,$AH$10:$AH$258),""),0)),"")</f>
        <v/>
      </c>
      <c r="AK214" s="107" t="str">
        <f t="array" ref="AK214">IFERROR(INDEX($AH$10:$AH$258,MATCH(0,IF(TRUE=$AF$10:$AF$258,COUNTIF($AK$9:$AK213,$AH$10:$AH$258),""),0)),"")</f>
        <v/>
      </c>
      <c r="AL214" s="30" t="str">
        <f>IFERROR(INDEX('G-6 Hedgerow Data'!$BJ$3:$BJ$15,MATCH(D214,'G-6 Hedgerow Data'!$B$3:$B$15,0)),"")</f>
        <v/>
      </c>
    </row>
    <row r="215" spans="2:38" ht="14" hidden="1">
      <c r="B215" s="97">
        <v>206</v>
      </c>
      <c r="C215" s="138"/>
      <c r="D215" s="138"/>
      <c r="E215" s="104"/>
      <c r="F215" s="323" t="str">
        <f>IF(D215="","",VLOOKUP(D215,'G-6 Hedgerow Data'!$B$2:$AG$15,2,FALSE))</f>
        <v/>
      </c>
      <c r="G215" s="276" t="str">
        <f>IF(D215="","",VLOOKUP(D215,'G-6 Hedgerow Data'!$B$2:$AG$15,3,FALSE))</f>
        <v/>
      </c>
      <c r="H215" s="101"/>
      <c r="I215" s="276" t="str">
        <f>IFERROR(IF(AND(D215&lt;&gt;"",H215=""),"Check data ⚠",IF(H215="","",IF(AND(D215="Non-native and ornamental hedgerow",H215&lt;&gt;"Poor"),"Not possible ▲",(VLOOKUP(H215,'G-1 All Habitats'!$Z$2:$AA$9,2,FALSE))))),"")</f>
        <v/>
      </c>
      <c r="J215" s="101"/>
      <c r="K215" s="283" t="str">
        <f>IF(AND(D215&lt;&gt;"",J215=""),"Check data ⚠",IF(J215="","",IF(VLOOKUP(J215,'G-3 Multipliers'!$L$3:$N$6,2,FALSE)=0,"Spatial Data Missing",VLOOKUP(J215,'G-3 Multipliers'!$L$3:$N$6,2,FALSE))))</f>
        <v/>
      </c>
      <c r="L215" s="281" t="str">
        <f>IF(J215="","",IF(VLOOKUP(J215,'G-3 Multipliers'!$L$3:$N$6,3,FALSE)=0,"Spatial Data Missing ⚠",VLOOKUP(J215,'G-3 Multipliers'!$L$3:$N$6,3,FALSE)))</f>
        <v/>
      </c>
      <c r="M215" s="282" t="str">
        <f>IF(D215="","",VLOOKUP(D215,'G-6 Hedgerow Data'!$B$1:$AH$15,33,FALSE))</f>
        <v/>
      </c>
      <c r="N215" s="289" t="str">
        <f t="shared" si="23"/>
        <v/>
      </c>
      <c r="O215" s="32"/>
      <c r="P215" s="105"/>
      <c r="Q215" s="138"/>
      <c r="R215" s="306" t="str">
        <f t="shared" si="24"/>
        <v/>
      </c>
      <c r="S215" s="306" t="str">
        <f t="shared" si="25"/>
        <v/>
      </c>
      <c r="T215" s="306" t="str">
        <f t="shared" si="26"/>
        <v/>
      </c>
      <c r="U215" s="327" t="str">
        <f t="shared" si="27"/>
        <v/>
      </c>
      <c r="V215" s="105"/>
      <c r="W215" s="104"/>
      <c r="X215" s="104"/>
      <c r="AE215" s="107" t="str">
        <f t="shared" si="21"/>
        <v/>
      </c>
      <c r="AF215" s="107" t="str">
        <f t="shared" si="22"/>
        <v/>
      </c>
      <c r="AH215" s="107">
        <v>206</v>
      </c>
      <c r="AJ215" s="107" t="str">
        <f t="array" ref="AJ215">IFERROR(INDEX($AH$10:$AH$258,MATCH(0,IF(TRUE=$AE$10:$AE$258,COUNTIF($AJ$9:$AJ214,$AH$10:$AH$258),""),0)),"")</f>
        <v/>
      </c>
      <c r="AK215" s="107" t="str">
        <f t="array" ref="AK215">IFERROR(INDEX($AH$10:$AH$258,MATCH(0,IF(TRUE=$AF$10:$AF$258,COUNTIF($AK$9:$AK214,$AH$10:$AH$258),""),0)),"")</f>
        <v/>
      </c>
      <c r="AL215" s="30" t="str">
        <f>IFERROR(INDEX('G-6 Hedgerow Data'!$BJ$3:$BJ$15,MATCH(D215,'G-6 Hedgerow Data'!$B$3:$B$15,0)),"")</f>
        <v/>
      </c>
    </row>
    <row r="216" spans="2:38" ht="14" hidden="1">
      <c r="B216" s="97">
        <v>207</v>
      </c>
      <c r="C216" s="138"/>
      <c r="D216" s="138"/>
      <c r="E216" s="104"/>
      <c r="F216" s="323" t="str">
        <f>IF(D216="","",VLOOKUP(D216,'G-6 Hedgerow Data'!$B$2:$AG$15,2,FALSE))</f>
        <v/>
      </c>
      <c r="G216" s="276" t="str">
        <f>IF(D216="","",VLOOKUP(D216,'G-6 Hedgerow Data'!$B$2:$AG$15,3,FALSE))</f>
        <v/>
      </c>
      <c r="H216" s="101"/>
      <c r="I216" s="276" t="str">
        <f>IFERROR(IF(AND(D216&lt;&gt;"",H216=""),"Check data ⚠",IF(H216="","",IF(AND(D216="Non-native and ornamental hedgerow",H216&lt;&gt;"Poor"),"Not possible ▲",(VLOOKUP(H216,'G-1 All Habitats'!$Z$2:$AA$9,2,FALSE))))),"")</f>
        <v/>
      </c>
      <c r="J216" s="101"/>
      <c r="K216" s="283" t="str">
        <f>IF(AND(D216&lt;&gt;"",J216=""),"Check data ⚠",IF(J216="","",IF(VLOOKUP(J216,'G-3 Multipliers'!$L$3:$N$6,2,FALSE)=0,"Spatial Data Missing",VLOOKUP(J216,'G-3 Multipliers'!$L$3:$N$6,2,FALSE))))</f>
        <v/>
      </c>
      <c r="L216" s="281" t="str">
        <f>IF(J216="","",IF(VLOOKUP(J216,'G-3 Multipliers'!$L$3:$N$6,3,FALSE)=0,"Spatial Data Missing ⚠",VLOOKUP(J216,'G-3 Multipliers'!$L$3:$N$6,3,FALSE)))</f>
        <v/>
      </c>
      <c r="M216" s="282" t="str">
        <f>IF(D216="","",VLOOKUP(D216,'G-6 Hedgerow Data'!$B$1:$AH$15,33,FALSE))</f>
        <v/>
      </c>
      <c r="N216" s="289" t="str">
        <f t="shared" si="23"/>
        <v/>
      </c>
      <c r="O216" s="32"/>
      <c r="P216" s="105"/>
      <c r="Q216" s="138"/>
      <c r="R216" s="306" t="str">
        <f t="shared" si="24"/>
        <v/>
      </c>
      <c r="S216" s="306" t="str">
        <f t="shared" si="25"/>
        <v/>
      </c>
      <c r="T216" s="306" t="str">
        <f t="shared" si="26"/>
        <v/>
      </c>
      <c r="U216" s="327" t="str">
        <f t="shared" si="27"/>
        <v/>
      </c>
      <c r="V216" s="105"/>
      <c r="W216" s="104"/>
      <c r="X216" s="104"/>
      <c r="AE216" s="107" t="str">
        <f t="shared" si="21"/>
        <v/>
      </c>
      <c r="AF216" s="107" t="str">
        <f t="shared" si="22"/>
        <v/>
      </c>
      <c r="AH216" s="107">
        <v>207</v>
      </c>
      <c r="AJ216" s="107" t="str">
        <f t="array" ref="AJ216">IFERROR(INDEX($AH$10:$AH$258,MATCH(0,IF(TRUE=$AE$10:$AE$258,COUNTIF($AJ$9:$AJ215,$AH$10:$AH$258),""),0)),"")</f>
        <v/>
      </c>
      <c r="AK216" s="107" t="str">
        <f t="array" ref="AK216">IFERROR(INDEX($AH$10:$AH$258,MATCH(0,IF(TRUE=$AF$10:$AF$258,COUNTIF($AK$9:$AK215,$AH$10:$AH$258),""),0)),"")</f>
        <v/>
      </c>
      <c r="AL216" s="30" t="str">
        <f>IFERROR(INDEX('G-6 Hedgerow Data'!$BJ$3:$BJ$15,MATCH(D216,'G-6 Hedgerow Data'!$B$3:$B$15,0)),"")</f>
        <v/>
      </c>
    </row>
    <row r="217" spans="2:38" ht="14" hidden="1">
      <c r="B217" s="97">
        <v>208</v>
      </c>
      <c r="C217" s="138"/>
      <c r="D217" s="138"/>
      <c r="E217" s="104"/>
      <c r="F217" s="323" t="str">
        <f>IF(D217="","",VLOOKUP(D217,'G-6 Hedgerow Data'!$B$2:$AG$15,2,FALSE))</f>
        <v/>
      </c>
      <c r="G217" s="276" t="str">
        <f>IF(D217="","",VLOOKUP(D217,'G-6 Hedgerow Data'!$B$2:$AG$15,3,FALSE))</f>
        <v/>
      </c>
      <c r="H217" s="101"/>
      <c r="I217" s="276" t="str">
        <f>IFERROR(IF(AND(D217&lt;&gt;"",H217=""),"Check data ⚠",IF(H217="","",IF(AND(D217="Non-native and ornamental hedgerow",H217&lt;&gt;"Poor"),"Not possible ▲",(VLOOKUP(H217,'G-1 All Habitats'!$Z$2:$AA$9,2,FALSE))))),"")</f>
        <v/>
      </c>
      <c r="J217" s="101"/>
      <c r="K217" s="283" t="str">
        <f>IF(AND(D217&lt;&gt;"",J217=""),"Check data ⚠",IF(J217="","",IF(VLOOKUP(J217,'G-3 Multipliers'!$L$3:$N$6,2,FALSE)=0,"Spatial Data Missing",VLOOKUP(J217,'G-3 Multipliers'!$L$3:$N$6,2,FALSE))))</f>
        <v/>
      </c>
      <c r="L217" s="281" t="str">
        <f>IF(J217="","",IF(VLOOKUP(J217,'G-3 Multipliers'!$L$3:$N$6,3,FALSE)=0,"Spatial Data Missing ⚠",VLOOKUP(J217,'G-3 Multipliers'!$L$3:$N$6,3,FALSE)))</f>
        <v/>
      </c>
      <c r="M217" s="282" t="str">
        <f>IF(D217="","",VLOOKUP(D217,'G-6 Hedgerow Data'!$B$1:$AH$15,33,FALSE))</f>
        <v/>
      </c>
      <c r="N217" s="289" t="str">
        <f t="shared" si="23"/>
        <v/>
      </c>
      <c r="O217" s="32"/>
      <c r="P217" s="105"/>
      <c r="Q217" s="138"/>
      <c r="R217" s="306" t="str">
        <f t="shared" si="24"/>
        <v/>
      </c>
      <c r="S217" s="306" t="str">
        <f t="shared" si="25"/>
        <v/>
      </c>
      <c r="T217" s="306" t="str">
        <f t="shared" si="26"/>
        <v/>
      </c>
      <c r="U217" s="327" t="str">
        <f t="shared" si="27"/>
        <v/>
      </c>
      <c r="V217" s="105"/>
      <c r="W217" s="104"/>
      <c r="X217" s="104"/>
      <c r="AE217" s="107" t="str">
        <f t="shared" si="21"/>
        <v/>
      </c>
      <c r="AF217" s="107" t="str">
        <f t="shared" si="22"/>
        <v/>
      </c>
      <c r="AH217" s="107">
        <v>208</v>
      </c>
      <c r="AJ217" s="107" t="str">
        <f t="array" ref="AJ217">IFERROR(INDEX($AH$10:$AH$258,MATCH(0,IF(TRUE=$AE$10:$AE$258,COUNTIF($AJ$9:$AJ216,$AH$10:$AH$258),""),0)),"")</f>
        <v/>
      </c>
      <c r="AK217" s="107" t="str">
        <f t="array" ref="AK217">IFERROR(INDEX($AH$10:$AH$258,MATCH(0,IF(TRUE=$AF$10:$AF$258,COUNTIF($AK$9:$AK216,$AH$10:$AH$258),""),0)),"")</f>
        <v/>
      </c>
      <c r="AL217" s="30" t="str">
        <f>IFERROR(INDEX('G-6 Hedgerow Data'!$BJ$3:$BJ$15,MATCH(D217,'G-6 Hedgerow Data'!$B$3:$B$15,0)),"")</f>
        <v/>
      </c>
    </row>
    <row r="218" spans="2:38" ht="14" hidden="1">
      <c r="B218" s="97">
        <v>209</v>
      </c>
      <c r="C218" s="138"/>
      <c r="D218" s="138"/>
      <c r="E218" s="104"/>
      <c r="F218" s="323" t="str">
        <f>IF(D218="","",VLOOKUP(D218,'G-6 Hedgerow Data'!$B$2:$AG$15,2,FALSE))</f>
        <v/>
      </c>
      <c r="G218" s="276" t="str">
        <f>IF(D218="","",VLOOKUP(D218,'G-6 Hedgerow Data'!$B$2:$AG$15,3,FALSE))</f>
        <v/>
      </c>
      <c r="H218" s="101"/>
      <c r="I218" s="276" t="str">
        <f>IFERROR(IF(AND(D218&lt;&gt;"",H218=""),"Check data ⚠",IF(H218="","",IF(AND(D218="Non-native and ornamental hedgerow",H218&lt;&gt;"Poor"),"Not possible ▲",(VLOOKUP(H218,'G-1 All Habitats'!$Z$2:$AA$9,2,FALSE))))),"")</f>
        <v/>
      </c>
      <c r="J218" s="101"/>
      <c r="K218" s="283" t="str">
        <f>IF(AND(D218&lt;&gt;"",J218=""),"Check data ⚠",IF(J218="","",IF(VLOOKUP(J218,'G-3 Multipliers'!$L$3:$N$6,2,FALSE)=0,"Spatial Data Missing",VLOOKUP(J218,'G-3 Multipliers'!$L$3:$N$6,2,FALSE))))</f>
        <v/>
      </c>
      <c r="L218" s="281" t="str">
        <f>IF(J218="","",IF(VLOOKUP(J218,'G-3 Multipliers'!$L$3:$N$6,3,FALSE)=0,"Spatial Data Missing ⚠",VLOOKUP(J218,'G-3 Multipliers'!$L$3:$N$6,3,FALSE)))</f>
        <v/>
      </c>
      <c r="M218" s="282" t="str">
        <f>IF(D218="","",VLOOKUP(D218,'G-6 Hedgerow Data'!$B$1:$AH$15,33,FALSE))</f>
        <v/>
      </c>
      <c r="N218" s="289" t="str">
        <f t="shared" si="23"/>
        <v/>
      </c>
      <c r="O218" s="32"/>
      <c r="P218" s="105"/>
      <c r="Q218" s="138"/>
      <c r="R218" s="306" t="str">
        <f t="shared" si="24"/>
        <v/>
      </c>
      <c r="S218" s="306" t="str">
        <f t="shared" si="25"/>
        <v/>
      </c>
      <c r="T218" s="306" t="str">
        <f t="shared" si="26"/>
        <v/>
      </c>
      <c r="U218" s="327" t="str">
        <f t="shared" si="27"/>
        <v/>
      </c>
      <c r="V218" s="105"/>
      <c r="W218" s="104"/>
      <c r="X218" s="104"/>
      <c r="AE218" s="107" t="str">
        <f t="shared" si="21"/>
        <v/>
      </c>
      <c r="AF218" s="107" t="str">
        <f t="shared" si="22"/>
        <v/>
      </c>
      <c r="AH218" s="107">
        <v>209</v>
      </c>
      <c r="AJ218" s="107" t="str">
        <f t="array" ref="AJ218">IFERROR(INDEX($AH$10:$AH$258,MATCH(0,IF(TRUE=$AE$10:$AE$258,COUNTIF($AJ$9:$AJ217,$AH$10:$AH$258),""),0)),"")</f>
        <v/>
      </c>
      <c r="AK218" s="107" t="str">
        <f t="array" ref="AK218">IFERROR(INDEX($AH$10:$AH$258,MATCH(0,IF(TRUE=$AF$10:$AF$258,COUNTIF($AK$9:$AK217,$AH$10:$AH$258),""),0)),"")</f>
        <v/>
      </c>
      <c r="AL218" s="30" t="str">
        <f>IFERROR(INDEX('G-6 Hedgerow Data'!$BJ$3:$BJ$15,MATCH(D218,'G-6 Hedgerow Data'!$B$3:$B$15,0)),"")</f>
        <v/>
      </c>
    </row>
    <row r="219" spans="2:38" ht="14" hidden="1">
      <c r="B219" s="97">
        <v>210</v>
      </c>
      <c r="C219" s="138"/>
      <c r="D219" s="138"/>
      <c r="E219" s="104"/>
      <c r="F219" s="323" t="str">
        <f>IF(D219="","",VLOOKUP(D219,'G-6 Hedgerow Data'!$B$2:$AG$15,2,FALSE))</f>
        <v/>
      </c>
      <c r="G219" s="276" t="str">
        <f>IF(D219="","",VLOOKUP(D219,'G-6 Hedgerow Data'!$B$2:$AG$15,3,FALSE))</f>
        <v/>
      </c>
      <c r="H219" s="101"/>
      <c r="I219" s="276" t="str">
        <f>IFERROR(IF(AND(D219&lt;&gt;"",H219=""),"Check data ⚠",IF(H219="","",IF(AND(D219="Non-native and ornamental hedgerow",H219&lt;&gt;"Poor"),"Not possible ▲",(VLOOKUP(H219,'G-1 All Habitats'!$Z$2:$AA$9,2,FALSE))))),"")</f>
        <v/>
      </c>
      <c r="J219" s="101"/>
      <c r="K219" s="283" t="str">
        <f>IF(AND(D219&lt;&gt;"",J219=""),"Check data ⚠",IF(J219="","",IF(VLOOKUP(J219,'G-3 Multipliers'!$L$3:$N$6,2,FALSE)=0,"Spatial Data Missing",VLOOKUP(J219,'G-3 Multipliers'!$L$3:$N$6,2,FALSE))))</f>
        <v/>
      </c>
      <c r="L219" s="281" t="str">
        <f>IF(J219="","",IF(VLOOKUP(J219,'G-3 Multipliers'!$L$3:$N$6,3,FALSE)=0,"Spatial Data Missing ⚠",VLOOKUP(J219,'G-3 Multipliers'!$L$3:$N$6,3,FALSE)))</f>
        <v/>
      </c>
      <c r="M219" s="282" t="str">
        <f>IF(D219="","",VLOOKUP(D219,'G-6 Hedgerow Data'!$B$1:$AH$15,33,FALSE))</f>
        <v/>
      </c>
      <c r="N219" s="289" t="str">
        <f t="shared" si="23"/>
        <v/>
      </c>
      <c r="O219" s="32"/>
      <c r="P219" s="105"/>
      <c r="Q219" s="138"/>
      <c r="R219" s="306" t="str">
        <f t="shared" si="24"/>
        <v/>
      </c>
      <c r="S219" s="306" t="str">
        <f t="shared" si="25"/>
        <v/>
      </c>
      <c r="T219" s="306" t="str">
        <f t="shared" si="26"/>
        <v/>
      </c>
      <c r="U219" s="327" t="str">
        <f t="shared" si="27"/>
        <v/>
      </c>
      <c r="V219" s="105"/>
      <c r="W219" s="104"/>
      <c r="X219" s="104"/>
      <c r="AE219" s="107" t="str">
        <f t="shared" si="21"/>
        <v/>
      </c>
      <c r="AF219" s="107" t="str">
        <f t="shared" si="22"/>
        <v/>
      </c>
      <c r="AH219" s="107">
        <v>210</v>
      </c>
      <c r="AJ219" s="107" t="str">
        <f t="array" ref="AJ219">IFERROR(INDEX($AH$10:$AH$258,MATCH(0,IF(TRUE=$AE$10:$AE$258,COUNTIF($AJ$9:$AJ218,$AH$10:$AH$258),""),0)),"")</f>
        <v/>
      </c>
      <c r="AK219" s="107" t="str">
        <f t="array" ref="AK219">IFERROR(INDEX($AH$10:$AH$258,MATCH(0,IF(TRUE=$AF$10:$AF$258,COUNTIF($AK$9:$AK218,$AH$10:$AH$258),""),0)),"")</f>
        <v/>
      </c>
      <c r="AL219" s="30" t="str">
        <f>IFERROR(INDEX('G-6 Hedgerow Data'!$BJ$3:$BJ$15,MATCH(D219,'G-6 Hedgerow Data'!$B$3:$B$15,0)),"")</f>
        <v/>
      </c>
    </row>
    <row r="220" spans="2:38" ht="14" hidden="1">
      <c r="B220" s="97">
        <v>211</v>
      </c>
      <c r="C220" s="138"/>
      <c r="D220" s="138"/>
      <c r="E220" s="104"/>
      <c r="F220" s="323" t="str">
        <f>IF(D220="","",VLOOKUP(D220,'G-6 Hedgerow Data'!$B$2:$AG$15,2,FALSE))</f>
        <v/>
      </c>
      <c r="G220" s="276" t="str">
        <f>IF(D220="","",VLOOKUP(D220,'G-6 Hedgerow Data'!$B$2:$AG$15,3,FALSE))</f>
        <v/>
      </c>
      <c r="H220" s="101"/>
      <c r="I220" s="276" t="str">
        <f>IFERROR(IF(AND(D220&lt;&gt;"",H220=""),"Check data ⚠",IF(H220="","",IF(AND(D220="Non-native and ornamental hedgerow",H220&lt;&gt;"Poor"),"Not possible ▲",(VLOOKUP(H220,'G-1 All Habitats'!$Z$2:$AA$9,2,FALSE))))),"")</f>
        <v/>
      </c>
      <c r="J220" s="101"/>
      <c r="K220" s="283" t="str">
        <f>IF(AND(D220&lt;&gt;"",J220=""),"Check data ⚠",IF(J220="","",IF(VLOOKUP(J220,'G-3 Multipliers'!$L$3:$N$6,2,FALSE)=0,"Spatial Data Missing",VLOOKUP(J220,'G-3 Multipliers'!$L$3:$N$6,2,FALSE))))</f>
        <v/>
      </c>
      <c r="L220" s="281" t="str">
        <f>IF(J220="","",IF(VLOOKUP(J220,'G-3 Multipliers'!$L$3:$N$6,3,FALSE)=0,"Spatial Data Missing ⚠",VLOOKUP(J220,'G-3 Multipliers'!$L$3:$N$6,3,FALSE)))</f>
        <v/>
      </c>
      <c r="M220" s="282" t="str">
        <f>IF(D220="","",VLOOKUP(D220,'G-6 Hedgerow Data'!$B$1:$AH$15,33,FALSE))</f>
        <v/>
      </c>
      <c r="N220" s="289" t="str">
        <f t="shared" si="23"/>
        <v/>
      </c>
      <c r="O220" s="32"/>
      <c r="P220" s="105"/>
      <c r="Q220" s="138"/>
      <c r="R220" s="306" t="str">
        <f t="shared" si="24"/>
        <v/>
      </c>
      <c r="S220" s="306" t="str">
        <f t="shared" si="25"/>
        <v/>
      </c>
      <c r="T220" s="306" t="str">
        <f t="shared" si="26"/>
        <v/>
      </c>
      <c r="U220" s="327" t="str">
        <f t="shared" si="27"/>
        <v/>
      </c>
      <c r="V220" s="105"/>
      <c r="W220" s="104"/>
      <c r="X220" s="104"/>
      <c r="AE220" s="107" t="str">
        <f t="shared" si="21"/>
        <v/>
      </c>
      <c r="AF220" s="107" t="str">
        <f t="shared" si="22"/>
        <v/>
      </c>
      <c r="AH220" s="107">
        <v>211</v>
      </c>
      <c r="AJ220" s="107" t="str">
        <f t="array" ref="AJ220">IFERROR(INDEX($AH$10:$AH$258,MATCH(0,IF(TRUE=$AE$10:$AE$258,COUNTIF($AJ$9:$AJ219,$AH$10:$AH$258),""),0)),"")</f>
        <v/>
      </c>
      <c r="AK220" s="107" t="str">
        <f t="array" ref="AK220">IFERROR(INDEX($AH$10:$AH$258,MATCH(0,IF(TRUE=$AF$10:$AF$258,COUNTIF($AK$9:$AK219,$AH$10:$AH$258),""),0)),"")</f>
        <v/>
      </c>
      <c r="AL220" s="30" t="str">
        <f>IFERROR(INDEX('G-6 Hedgerow Data'!$BJ$3:$BJ$15,MATCH(D220,'G-6 Hedgerow Data'!$B$3:$B$15,0)),"")</f>
        <v/>
      </c>
    </row>
    <row r="221" spans="2:38" ht="14" hidden="1">
      <c r="B221" s="97">
        <v>212</v>
      </c>
      <c r="C221" s="138"/>
      <c r="D221" s="138"/>
      <c r="E221" s="104"/>
      <c r="F221" s="323" t="str">
        <f>IF(D221="","",VLOOKUP(D221,'G-6 Hedgerow Data'!$B$2:$AG$15,2,FALSE))</f>
        <v/>
      </c>
      <c r="G221" s="276" t="str">
        <f>IF(D221="","",VLOOKUP(D221,'G-6 Hedgerow Data'!$B$2:$AG$15,3,FALSE))</f>
        <v/>
      </c>
      <c r="H221" s="101"/>
      <c r="I221" s="276" t="str">
        <f>IFERROR(IF(AND(D221&lt;&gt;"",H221=""),"Check data ⚠",IF(H221="","",IF(AND(D221="Non-native and ornamental hedgerow",H221&lt;&gt;"Poor"),"Not possible ▲",(VLOOKUP(H221,'G-1 All Habitats'!$Z$2:$AA$9,2,FALSE))))),"")</f>
        <v/>
      </c>
      <c r="J221" s="101"/>
      <c r="K221" s="283" t="str">
        <f>IF(AND(D221&lt;&gt;"",J221=""),"Check data ⚠",IF(J221="","",IF(VLOOKUP(J221,'G-3 Multipliers'!$L$3:$N$6,2,FALSE)=0,"Spatial Data Missing",VLOOKUP(J221,'G-3 Multipliers'!$L$3:$N$6,2,FALSE))))</f>
        <v/>
      </c>
      <c r="L221" s="281" t="str">
        <f>IF(J221="","",IF(VLOOKUP(J221,'G-3 Multipliers'!$L$3:$N$6,3,FALSE)=0,"Spatial Data Missing ⚠",VLOOKUP(J221,'G-3 Multipliers'!$L$3:$N$6,3,FALSE)))</f>
        <v/>
      </c>
      <c r="M221" s="282" t="str">
        <f>IF(D221="","",VLOOKUP(D221,'G-6 Hedgerow Data'!$B$1:$AH$15,33,FALSE))</f>
        <v/>
      </c>
      <c r="N221" s="289" t="str">
        <f t="shared" si="23"/>
        <v/>
      </c>
      <c r="O221" s="32"/>
      <c r="P221" s="105"/>
      <c r="Q221" s="138"/>
      <c r="R221" s="306" t="str">
        <f t="shared" si="24"/>
        <v/>
      </c>
      <c r="S221" s="306" t="str">
        <f t="shared" si="25"/>
        <v/>
      </c>
      <c r="T221" s="306" t="str">
        <f t="shared" si="26"/>
        <v/>
      </c>
      <c r="U221" s="327" t="str">
        <f t="shared" si="27"/>
        <v/>
      </c>
      <c r="V221" s="105"/>
      <c r="W221" s="104"/>
      <c r="X221" s="104"/>
      <c r="AE221" s="107" t="str">
        <f t="shared" si="21"/>
        <v/>
      </c>
      <c r="AF221" s="107" t="str">
        <f t="shared" si="22"/>
        <v/>
      </c>
      <c r="AH221" s="107">
        <v>212</v>
      </c>
      <c r="AJ221" s="107" t="str">
        <f t="array" ref="AJ221">IFERROR(INDEX($AH$10:$AH$258,MATCH(0,IF(TRUE=$AE$10:$AE$258,COUNTIF($AJ$9:$AJ220,$AH$10:$AH$258),""),0)),"")</f>
        <v/>
      </c>
      <c r="AK221" s="107" t="str">
        <f t="array" ref="AK221">IFERROR(INDEX($AH$10:$AH$258,MATCH(0,IF(TRUE=$AF$10:$AF$258,COUNTIF($AK$9:$AK220,$AH$10:$AH$258),""),0)),"")</f>
        <v/>
      </c>
      <c r="AL221" s="30" t="str">
        <f>IFERROR(INDEX('G-6 Hedgerow Data'!$BJ$3:$BJ$15,MATCH(D221,'G-6 Hedgerow Data'!$B$3:$B$15,0)),"")</f>
        <v/>
      </c>
    </row>
    <row r="222" spans="2:38" ht="14" hidden="1">
      <c r="B222" s="97">
        <v>213</v>
      </c>
      <c r="C222" s="138"/>
      <c r="D222" s="138"/>
      <c r="E222" s="104"/>
      <c r="F222" s="323" t="str">
        <f>IF(D222="","",VLOOKUP(D222,'G-6 Hedgerow Data'!$B$2:$AG$15,2,FALSE))</f>
        <v/>
      </c>
      <c r="G222" s="276" t="str">
        <f>IF(D222="","",VLOOKUP(D222,'G-6 Hedgerow Data'!$B$2:$AG$15,3,FALSE))</f>
        <v/>
      </c>
      <c r="H222" s="101"/>
      <c r="I222" s="276" t="str">
        <f>IFERROR(IF(AND(D222&lt;&gt;"",H222=""),"Check data ⚠",IF(H222="","",IF(AND(D222="Non-native and ornamental hedgerow",H222&lt;&gt;"Poor"),"Not possible ▲",(VLOOKUP(H222,'G-1 All Habitats'!$Z$2:$AA$9,2,FALSE))))),"")</f>
        <v/>
      </c>
      <c r="J222" s="101"/>
      <c r="K222" s="283" t="str">
        <f>IF(AND(D222&lt;&gt;"",J222=""),"Check data ⚠",IF(J222="","",IF(VLOOKUP(J222,'G-3 Multipliers'!$L$3:$N$6,2,FALSE)=0,"Spatial Data Missing",VLOOKUP(J222,'G-3 Multipliers'!$L$3:$N$6,2,FALSE))))</f>
        <v/>
      </c>
      <c r="L222" s="281" t="str">
        <f>IF(J222="","",IF(VLOOKUP(J222,'G-3 Multipliers'!$L$3:$N$6,3,FALSE)=0,"Spatial Data Missing ⚠",VLOOKUP(J222,'G-3 Multipliers'!$L$3:$N$6,3,FALSE)))</f>
        <v/>
      </c>
      <c r="M222" s="282" t="str">
        <f>IF(D222="","",VLOOKUP(D222,'G-6 Hedgerow Data'!$B$1:$AH$15,33,FALSE))</f>
        <v/>
      </c>
      <c r="N222" s="289" t="str">
        <f t="shared" si="23"/>
        <v/>
      </c>
      <c r="O222" s="32"/>
      <c r="P222" s="105"/>
      <c r="Q222" s="138"/>
      <c r="R222" s="306" t="str">
        <f t="shared" si="24"/>
        <v/>
      </c>
      <c r="S222" s="306" t="str">
        <f t="shared" si="25"/>
        <v/>
      </c>
      <c r="T222" s="306" t="str">
        <f t="shared" si="26"/>
        <v/>
      </c>
      <c r="U222" s="327" t="str">
        <f t="shared" si="27"/>
        <v/>
      </c>
      <c r="V222" s="105"/>
      <c r="W222" s="104"/>
      <c r="X222" s="104"/>
      <c r="AE222" s="107" t="str">
        <f t="shared" si="21"/>
        <v/>
      </c>
      <c r="AF222" s="107" t="str">
        <f t="shared" si="22"/>
        <v/>
      </c>
      <c r="AH222" s="107">
        <v>213</v>
      </c>
      <c r="AJ222" s="107" t="str">
        <f t="array" ref="AJ222">IFERROR(INDEX($AH$10:$AH$258,MATCH(0,IF(TRUE=$AE$10:$AE$258,COUNTIF($AJ$9:$AJ221,$AH$10:$AH$258),""),0)),"")</f>
        <v/>
      </c>
      <c r="AK222" s="107" t="str">
        <f t="array" ref="AK222">IFERROR(INDEX($AH$10:$AH$258,MATCH(0,IF(TRUE=$AF$10:$AF$258,COUNTIF($AK$9:$AK221,$AH$10:$AH$258),""),0)),"")</f>
        <v/>
      </c>
      <c r="AL222" s="30" t="str">
        <f>IFERROR(INDEX('G-6 Hedgerow Data'!$BJ$3:$BJ$15,MATCH(D222,'G-6 Hedgerow Data'!$B$3:$B$15,0)),"")</f>
        <v/>
      </c>
    </row>
    <row r="223" spans="2:38" ht="14" hidden="1">
      <c r="B223" s="97">
        <v>214</v>
      </c>
      <c r="C223" s="138"/>
      <c r="D223" s="138"/>
      <c r="E223" s="104"/>
      <c r="F223" s="323" t="str">
        <f>IF(D223="","",VLOOKUP(D223,'G-6 Hedgerow Data'!$B$2:$AG$15,2,FALSE))</f>
        <v/>
      </c>
      <c r="G223" s="276" t="str">
        <f>IF(D223="","",VLOOKUP(D223,'G-6 Hedgerow Data'!$B$2:$AG$15,3,FALSE))</f>
        <v/>
      </c>
      <c r="H223" s="101"/>
      <c r="I223" s="276" t="str">
        <f>IFERROR(IF(AND(D223&lt;&gt;"",H223=""),"Check data ⚠",IF(H223="","",IF(AND(D223="Non-native and ornamental hedgerow",H223&lt;&gt;"Poor"),"Not possible ▲",(VLOOKUP(H223,'G-1 All Habitats'!$Z$2:$AA$9,2,FALSE))))),"")</f>
        <v/>
      </c>
      <c r="J223" s="101"/>
      <c r="K223" s="283" t="str">
        <f>IF(AND(D223&lt;&gt;"",J223=""),"Check data ⚠",IF(J223="","",IF(VLOOKUP(J223,'G-3 Multipliers'!$L$3:$N$6,2,FALSE)=0,"Spatial Data Missing",VLOOKUP(J223,'G-3 Multipliers'!$L$3:$N$6,2,FALSE))))</f>
        <v/>
      </c>
      <c r="L223" s="281" t="str">
        <f>IF(J223="","",IF(VLOOKUP(J223,'G-3 Multipliers'!$L$3:$N$6,3,FALSE)=0,"Spatial Data Missing ⚠",VLOOKUP(J223,'G-3 Multipliers'!$L$3:$N$6,3,FALSE)))</f>
        <v/>
      </c>
      <c r="M223" s="282" t="str">
        <f>IF(D223="","",VLOOKUP(D223,'G-6 Hedgerow Data'!$B$1:$AH$15,33,FALSE))</f>
        <v/>
      </c>
      <c r="N223" s="289" t="str">
        <f t="shared" si="23"/>
        <v/>
      </c>
      <c r="O223" s="32"/>
      <c r="P223" s="105"/>
      <c r="Q223" s="138"/>
      <c r="R223" s="306" t="str">
        <f t="shared" si="24"/>
        <v/>
      </c>
      <c r="S223" s="306" t="str">
        <f t="shared" si="25"/>
        <v/>
      </c>
      <c r="T223" s="306" t="str">
        <f t="shared" si="26"/>
        <v/>
      </c>
      <c r="U223" s="327" t="str">
        <f t="shared" si="27"/>
        <v/>
      </c>
      <c r="V223" s="105"/>
      <c r="W223" s="104"/>
      <c r="X223" s="104"/>
      <c r="AE223" s="107" t="str">
        <f t="shared" si="21"/>
        <v/>
      </c>
      <c r="AF223" s="107" t="str">
        <f t="shared" si="22"/>
        <v/>
      </c>
      <c r="AH223" s="107">
        <v>214</v>
      </c>
      <c r="AJ223" s="107" t="str">
        <f t="array" ref="AJ223">IFERROR(INDEX($AH$10:$AH$258,MATCH(0,IF(TRUE=$AE$10:$AE$258,COUNTIF($AJ$9:$AJ222,$AH$10:$AH$258),""),0)),"")</f>
        <v/>
      </c>
      <c r="AK223" s="107" t="str">
        <f t="array" ref="AK223">IFERROR(INDEX($AH$10:$AH$258,MATCH(0,IF(TRUE=$AF$10:$AF$258,COUNTIF($AK$9:$AK222,$AH$10:$AH$258),""),0)),"")</f>
        <v/>
      </c>
      <c r="AL223" s="30" t="str">
        <f>IFERROR(INDEX('G-6 Hedgerow Data'!$BJ$3:$BJ$15,MATCH(D223,'G-6 Hedgerow Data'!$B$3:$B$15,0)),"")</f>
        <v/>
      </c>
    </row>
    <row r="224" spans="2:38" ht="14" hidden="1">
      <c r="B224" s="97">
        <v>215</v>
      </c>
      <c r="C224" s="138"/>
      <c r="D224" s="138"/>
      <c r="E224" s="104"/>
      <c r="F224" s="323" t="str">
        <f>IF(D224="","",VLOOKUP(D224,'G-6 Hedgerow Data'!$B$2:$AG$15,2,FALSE))</f>
        <v/>
      </c>
      <c r="G224" s="276" t="str">
        <f>IF(D224="","",VLOOKUP(D224,'G-6 Hedgerow Data'!$B$2:$AG$15,3,FALSE))</f>
        <v/>
      </c>
      <c r="H224" s="101"/>
      <c r="I224" s="276" t="str">
        <f>IFERROR(IF(AND(D224&lt;&gt;"",H224=""),"Check data ⚠",IF(H224="","",IF(AND(D224="Non-native and ornamental hedgerow",H224&lt;&gt;"Poor"),"Not possible ▲",(VLOOKUP(H224,'G-1 All Habitats'!$Z$2:$AA$9,2,FALSE))))),"")</f>
        <v/>
      </c>
      <c r="J224" s="101"/>
      <c r="K224" s="283" t="str">
        <f>IF(AND(D224&lt;&gt;"",J224=""),"Check data ⚠",IF(J224="","",IF(VLOOKUP(J224,'G-3 Multipliers'!$L$3:$N$6,2,FALSE)=0,"Spatial Data Missing",VLOOKUP(J224,'G-3 Multipliers'!$L$3:$N$6,2,FALSE))))</f>
        <v/>
      </c>
      <c r="L224" s="281" t="str">
        <f>IF(J224="","",IF(VLOOKUP(J224,'G-3 Multipliers'!$L$3:$N$6,3,FALSE)=0,"Spatial Data Missing ⚠",VLOOKUP(J224,'G-3 Multipliers'!$L$3:$N$6,3,FALSE)))</f>
        <v/>
      </c>
      <c r="M224" s="282" t="str">
        <f>IF(D224="","",VLOOKUP(D224,'G-6 Hedgerow Data'!$B$1:$AH$15,33,FALSE))</f>
        <v/>
      </c>
      <c r="N224" s="289" t="str">
        <f t="shared" si="23"/>
        <v/>
      </c>
      <c r="O224" s="32"/>
      <c r="P224" s="105"/>
      <c r="Q224" s="138"/>
      <c r="R224" s="306" t="str">
        <f t="shared" si="24"/>
        <v/>
      </c>
      <c r="S224" s="306" t="str">
        <f t="shared" si="25"/>
        <v/>
      </c>
      <c r="T224" s="306" t="str">
        <f t="shared" si="26"/>
        <v/>
      </c>
      <c r="U224" s="327" t="str">
        <f t="shared" si="27"/>
        <v/>
      </c>
      <c r="V224" s="105"/>
      <c r="W224" s="104"/>
      <c r="X224" s="104"/>
      <c r="AE224" s="107" t="str">
        <f t="shared" si="21"/>
        <v/>
      </c>
      <c r="AF224" s="107" t="str">
        <f t="shared" si="22"/>
        <v/>
      </c>
      <c r="AH224" s="107">
        <v>215</v>
      </c>
      <c r="AJ224" s="107" t="str">
        <f t="array" ref="AJ224">IFERROR(INDEX($AH$10:$AH$258,MATCH(0,IF(TRUE=$AE$10:$AE$258,COUNTIF($AJ$9:$AJ223,$AH$10:$AH$258),""),0)),"")</f>
        <v/>
      </c>
      <c r="AK224" s="107" t="str">
        <f t="array" ref="AK224">IFERROR(INDEX($AH$10:$AH$258,MATCH(0,IF(TRUE=$AF$10:$AF$258,COUNTIF($AK$9:$AK223,$AH$10:$AH$258),""),0)),"")</f>
        <v/>
      </c>
      <c r="AL224" s="30" t="str">
        <f>IFERROR(INDEX('G-6 Hedgerow Data'!$BJ$3:$BJ$15,MATCH(D224,'G-6 Hedgerow Data'!$B$3:$B$15,0)),"")</f>
        <v/>
      </c>
    </row>
    <row r="225" spans="2:38" ht="14" hidden="1">
      <c r="B225" s="97">
        <v>216</v>
      </c>
      <c r="C225" s="138"/>
      <c r="D225" s="138"/>
      <c r="E225" s="104"/>
      <c r="F225" s="323" t="str">
        <f>IF(D225="","",VLOOKUP(D225,'G-6 Hedgerow Data'!$B$2:$AG$15,2,FALSE))</f>
        <v/>
      </c>
      <c r="G225" s="276" t="str">
        <f>IF(D225="","",VLOOKUP(D225,'G-6 Hedgerow Data'!$B$2:$AG$15,3,FALSE))</f>
        <v/>
      </c>
      <c r="H225" s="101"/>
      <c r="I225" s="276" t="str">
        <f>IFERROR(IF(AND(D225&lt;&gt;"",H225=""),"Check data ⚠",IF(H225="","",IF(AND(D225="Non-native and ornamental hedgerow",H225&lt;&gt;"Poor"),"Not possible ▲",(VLOOKUP(H225,'G-1 All Habitats'!$Z$2:$AA$9,2,FALSE))))),"")</f>
        <v/>
      </c>
      <c r="J225" s="101"/>
      <c r="K225" s="283" t="str">
        <f>IF(AND(D225&lt;&gt;"",J225=""),"Check data ⚠",IF(J225="","",IF(VLOOKUP(J225,'G-3 Multipliers'!$L$3:$N$6,2,FALSE)=0,"Spatial Data Missing",VLOOKUP(J225,'G-3 Multipliers'!$L$3:$N$6,2,FALSE))))</f>
        <v/>
      </c>
      <c r="L225" s="281" t="str">
        <f>IF(J225="","",IF(VLOOKUP(J225,'G-3 Multipliers'!$L$3:$N$6,3,FALSE)=0,"Spatial Data Missing ⚠",VLOOKUP(J225,'G-3 Multipliers'!$L$3:$N$6,3,FALSE)))</f>
        <v/>
      </c>
      <c r="M225" s="282" t="str">
        <f>IF(D225="","",VLOOKUP(D225,'G-6 Hedgerow Data'!$B$1:$AH$15,33,FALSE))</f>
        <v/>
      </c>
      <c r="N225" s="289" t="str">
        <f t="shared" si="23"/>
        <v/>
      </c>
      <c r="O225" s="32"/>
      <c r="P225" s="105"/>
      <c r="Q225" s="138"/>
      <c r="R225" s="306" t="str">
        <f t="shared" si="24"/>
        <v/>
      </c>
      <c r="S225" s="306" t="str">
        <f t="shared" si="25"/>
        <v/>
      </c>
      <c r="T225" s="306" t="str">
        <f t="shared" si="26"/>
        <v/>
      </c>
      <c r="U225" s="327" t="str">
        <f t="shared" si="27"/>
        <v/>
      </c>
      <c r="V225" s="105"/>
      <c r="W225" s="104"/>
      <c r="X225" s="104"/>
      <c r="AE225" s="107" t="str">
        <f t="shared" si="21"/>
        <v/>
      </c>
      <c r="AF225" s="107" t="str">
        <f t="shared" si="22"/>
        <v/>
      </c>
      <c r="AH225" s="107">
        <v>216</v>
      </c>
      <c r="AJ225" s="107" t="str">
        <f t="array" ref="AJ225">IFERROR(INDEX($AH$10:$AH$258,MATCH(0,IF(TRUE=$AE$10:$AE$258,COUNTIF($AJ$9:$AJ224,$AH$10:$AH$258),""),0)),"")</f>
        <v/>
      </c>
      <c r="AK225" s="107" t="str">
        <f t="array" ref="AK225">IFERROR(INDEX($AH$10:$AH$258,MATCH(0,IF(TRUE=$AF$10:$AF$258,COUNTIF($AK$9:$AK224,$AH$10:$AH$258),""),0)),"")</f>
        <v/>
      </c>
      <c r="AL225" s="30" t="str">
        <f>IFERROR(INDEX('G-6 Hedgerow Data'!$BJ$3:$BJ$15,MATCH(D225,'G-6 Hedgerow Data'!$B$3:$B$15,0)),"")</f>
        <v/>
      </c>
    </row>
    <row r="226" spans="2:38" ht="14" hidden="1">
      <c r="B226" s="97">
        <v>217</v>
      </c>
      <c r="C226" s="138"/>
      <c r="D226" s="138"/>
      <c r="E226" s="104"/>
      <c r="F226" s="323" t="str">
        <f>IF(D226="","",VLOOKUP(D226,'G-6 Hedgerow Data'!$B$2:$AG$15,2,FALSE))</f>
        <v/>
      </c>
      <c r="G226" s="276" t="str">
        <f>IF(D226="","",VLOOKUP(D226,'G-6 Hedgerow Data'!$B$2:$AG$15,3,FALSE))</f>
        <v/>
      </c>
      <c r="H226" s="101"/>
      <c r="I226" s="276" t="str">
        <f>IFERROR(IF(AND(D226&lt;&gt;"",H226=""),"Check data ⚠",IF(H226="","",IF(AND(D226="Non-native and ornamental hedgerow",H226&lt;&gt;"Poor"),"Not possible ▲",(VLOOKUP(H226,'G-1 All Habitats'!$Z$2:$AA$9,2,FALSE))))),"")</f>
        <v/>
      </c>
      <c r="J226" s="101"/>
      <c r="K226" s="283" t="str">
        <f>IF(AND(D226&lt;&gt;"",J226=""),"Check data ⚠",IF(J226="","",IF(VLOOKUP(J226,'G-3 Multipliers'!$L$3:$N$6,2,FALSE)=0,"Spatial Data Missing",VLOOKUP(J226,'G-3 Multipliers'!$L$3:$N$6,2,FALSE))))</f>
        <v/>
      </c>
      <c r="L226" s="281" t="str">
        <f>IF(J226="","",IF(VLOOKUP(J226,'G-3 Multipliers'!$L$3:$N$6,3,FALSE)=0,"Spatial Data Missing ⚠",VLOOKUP(J226,'G-3 Multipliers'!$L$3:$N$6,3,FALSE)))</f>
        <v/>
      </c>
      <c r="M226" s="282" t="str">
        <f>IF(D226="","",VLOOKUP(D226,'G-6 Hedgerow Data'!$B$1:$AH$15,33,FALSE))</f>
        <v/>
      </c>
      <c r="N226" s="289" t="str">
        <f t="shared" si="23"/>
        <v/>
      </c>
      <c r="O226" s="32"/>
      <c r="P226" s="105"/>
      <c r="Q226" s="138"/>
      <c r="R226" s="306" t="str">
        <f t="shared" si="24"/>
        <v/>
      </c>
      <c r="S226" s="306" t="str">
        <f t="shared" si="25"/>
        <v/>
      </c>
      <c r="T226" s="306" t="str">
        <f t="shared" si="26"/>
        <v/>
      </c>
      <c r="U226" s="327" t="str">
        <f t="shared" si="27"/>
        <v/>
      </c>
      <c r="V226" s="105"/>
      <c r="W226" s="104"/>
      <c r="X226" s="104"/>
      <c r="AE226" s="107" t="str">
        <f t="shared" si="21"/>
        <v/>
      </c>
      <c r="AF226" s="107" t="str">
        <f t="shared" si="22"/>
        <v/>
      </c>
      <c r="AH226" s="107">
        <v>217</v>
      </c>
      <c r="AJ226" s="107" t="str">
        <f t="array" ref="AJ226">IFERROR(INDEX($AH$10:$AH$258,MATCH(0,IF(TRUE=$AE$10:$AE$258,COUNTIF($AJ$9:$AJ225,$AH$10:$AH$258),""),0)),"")</f>
        <v/>
      </c>
      <c r="AK226" s="107" t="str">
        <f t="array" ref="AK226">IFERROR(INDEX($AH$10:$AH$258,MATCH(0,IF(TRUE=$AF$10:$AF$258,COUNTIF($AK$9:$AK225,$AH$10:$AH$258),""),0)),"")</f>
        <v/>
      </c>
      <c r="AL226" s="30" t="str">
        <f>IFERROR(INDEX('G-6 Hedgerow Data'!$BJ$3:$BJ$15,MATCH(D226,'G-6 Hedgerow Data'!$B$3:$B$15,0)),"")</f>
        <v/>
      </c>
    </row>
    <row r="227" spans="2:38" ht="14" hidden="1">
      <c r="B227" s="97">
        <v>218</v>
      </c>
      <c r="C227" s="138"/>
      <c r="D227" s="138"/>
      <c r="E227" s="104"/>
      <c r="F227" s="323" t="str">
        <f>IF(D227="","",VLOOKUP(D227,'G-6 Hedgerow Data'!$B$2:$AG$15,2,FALSE))</f>
        <v/>
      </c>
      <c r="G227" s="276" t="str">
        <f>IF(D227="","",VLOOKUP(D227,'G-6 Hedgerow Data'!$B$2:$AG$15,3,FALSE))</f>
        <v/>
      </c>
      <c r="H227" s="101"/>
      <c r="I227" s="276" t="str">
        <f>IFERROR(IF(AND(D227&lt;&gt;"",H227=""),"Check data ⚠",IF(H227="","",IF(AND(D227="Non-native and ornamental hedgerow",H227&lt;&gt;"Poor"),"Not possible ▲",(VLOOKUP(H227,'G-1 All Habitats'!$Z$2:$AA$9,2,FALSE))))),"")</f>
        <v/>
      </c>
      <c r="J227" s="101"/>
      <c r="K227" s="283" t="str">
        <f>IF(AND(D227&lt;&gt;"",J227=""),"Check data ⚠",IF(J227="","",IF(VLOOKUP(J227,'G-3 Multipliers'!$L$3:$N$6,2,FALSE)=0,"Spatial Data Missing",VLOOKUP(J227,'G-3 Multipliers'!$L$3:$N$6,2,FALSE))))</f>
        <v/>
      </c>
      <c r="L227" s="281" t="str">
        <f>IF(J227="","",IF(VLOOKUP(J227,'G-3 Multipliers'!$L$3:$N$6,3,FALSE)=0,"Spatial Data Missing ⚠",VLOOKUP(J227,'G-3 Multipliers'!$L$3:$N$6,3,FALSE)))</f>
        <v/>
      </c>
      <c r="M227" s="282" t="str">
        <f>IF(D227="","",VLOOKUP(D227,'G-6 Hedgerow Data'!$B$1:$AH$15,33,FALSE))</f>
        <v/>
      </c>
      <c r="N227" s="289" t="str">
        <f t="shared" si="23"/>
        <v/>
      </c>
      <c r="O227" s="32"/>
      <c r="P227" s="105"/>
      <c r="Q227" s="138"/>
      <c r="R227" s="306" t="str">
        <f t="shared" si="24"/>
        <v/>
      </c>
      <c r="S227" s="306" t="str">
        <f t="shared" si="25"/>
        <v/>
      </c>
      <c r="T227" s="306" t="str">
        <f t="shared" si="26"/>
        <v/>
      </c>
      <c r="U227" s="327" t="str">
        <f t="shared" si="27"/>
        <v/>
      </c>
      <c r="V227" s="105"/>
      <c r="W227" s="104"/>
      <c r="X227" s="104"/>
      <c r="AE227" s="107" t="str">
        <f t="shared" si="21"/>
        <v/>
      </c>
      <c r="AF227" s="107" t="str">
        <f t="shared" si="22"/>
        <v/>
      </c>
      <c r="AH227" s="107">
        <v>218</v>
      </c>
      <c r="AJ227" s="107" t="str">
        <f t="array" ref="AJ227">IFERROR(INDEX($AH$10:$AH$258,MATCH(0,IF(TRUE=$AE$10:$AE$258,COUNTIF($AJ$9:$AJ226,$AH$10:$AH$258),""),0)),"")</f>
        <v/>
      </c>
      <c r="AK227" s="107" t="str">
        <f t="array" ref="AK227">IFERROR(INDEX($AH$10:$AH$258,MATCH(0,IF(TRUE=$AF$10:$AF$258,COUNTIF($AK$9:$AK226,$AH$10:$AH$258),""),0)),"")</f>
        <v/>
      </c>
      <c r="AL227" s="30" t="str">
        <f>IFERROR(INDEX('G-6 Hedgerow Data'!$BJ$3:$BJ$15,MATCH(D227,'G-6 Hedgerow Data'!$B$3:$B$15,0)),"")</f>
        <v/>
      </c>
    </row>
    <row r="228" spans="2:38" ht="14" hidden="1">
      <c r="B228" s="97">
        <v>219</v>
      </c>
      <c r="C228" s="138"/>
      <c r="D228" s="138"/>
      <c r="E228" s="104"/>
      <c r="F228" s="323" t="str">
        <f>IF(D228="","",VLOOKUP(D228,'G-6 Hedgerow Data'!$B$2:$AG$15,2,FALSE))</f>
        <v/>
      </c>
      <c r="G228" s="276" t="str">
        <f>IF(D228="","",VLOOKUP(D228,'G-6 Hedgerow Data'!$B$2:$AG$15,3,FALSE))</f>
        <v/>
      </c>
      <c r="H228" s="101"/>
      <c r="I228" s="276" t="str">
        <f>IFERROR(IF(AND(D228&lt;&gt;"",H228=""),"Check data ⚠",IF(H228="","",IF(AND(D228="Non-native and ornamental hedgerow",H228&lt;&gt;"Poor"),"Not possible ▲",(VLOOKUP(H228,'G-1 All Habitats'!$Z$2:$AA$9,2,FALSE))))),"")</f>
        <v/>
      </c>
      <c r="J228" s="101"/>
      <c r="K228" s="283" t="str">
        <f>IF(AND(D228&lt;&gt;"",J228=""),"Check data ⚠",IF(J228="","",IF(VLOOKUP(J228,'G-3 Multipliers'!$L$3:$N$6,2,FALSE)=0,"Spatial Data Missing",VLOOKUP(J228,'G-3 Multipliers'!$L$3:$N$6,2,FALSE))))</f>
        <v/>
      </c>
      <c r="L228" s="281" t="str">
        <f>IF(J228="","",IF(VLOOKUP(J228,'G-3 Multipliers'!$L$3:$N$6,3,FALSE)=0,"Spatial Data Missing ⚠",VLOOKUP(J228,'G-3 Multipliers'!$L$3:$N$6,3,FALSE)))</f>
        <v/>
      </c>
      <c r="M228" s="282" t="str">
        <f>IF(D228="","",VLOOKUP(D228,'G-6 Hedgerow Data'!$B$1:$AH$15,33,FALSE))</f>
        <v/>
      </c>
      <c r="N228" s="289" t="str">
        <f t="shared" si="23"/>
        <v/>
      </c>
      <c r="O228" s="32"/>
      <c r="P228" s="105"/>
      <c r="Q228" s="138"/>
      <c r="R228" s="306" t="str">
        <f t="shared" si="24"/>
        <v/>
      </c>
      <c r="S228" s="306" t="str">
        <f t="shared" si="25"/>
        <v/>
      </c>
      <c r="T228" s="306" t="str">
        <f t="shared" si="26"/>
        <v/>
      </c>
      <c r="U228" s="327" t="str">
        <f t="shared" si="27"/>
        <v/>
      </c>
      <c r="V228" s="105"/>
      <c r="W228" s="104"/>
      <c r="X228" s="104"/>
      <c r="AE228" s="107" t="str">
        <f t="shared" si="21"/>
        <v/>
      </c>
      <c r="AF228" s="107" t="str">
        <f t="shared" si="22"/>
        <v/>
      </c>
      <c r="AH228" s="107">
        <v>219</v>
      </c>
      <c r="AJ228" s="107" t="str">
        <f t="array" ref="AJ228">IFERROR(INDEX($AH$10:$AH$258,MATCH(0,IF(TRUE=$AE$10:$AE$258,COUNTIF($AJ$9:$AJ227,$AH$10:$AH$258),""),0)),"")</f>
        <v/>
      </c>
      <c r="AK228" s="107" t="str">
        <f t="array" ref="AK228">IFERROR(INDEX($AH$10:$AH$258,MATCH(0,IF(TRUE=$AF$10:$AF$258,COUNTIF($AK$9:$AK227,$AH$10:$AH$258),""),0)),"")</f>
        <v/>
      </c>
      <c r="AL228" s="30" t="str">
        <f>IFERROR(INDEX('G-6 Hedgerow Data'!$BJ$3:$BJ$15,MATCH(D228,'G-6 Hedgerow Data'!$B$3:$B$15,0)),"")</f>
        <v/>
      </c>
    </row>
    <row r="229" spans="2:38" ht="14" hidden="1">
      <c r="B229" s="97">
        <v>220</v>
      </c>
      <c r="C229" s="138"/>
      <c r="D229" s="138"/>
      <c r="E229" s="104"/>
      <c r="F229" s="323" t="str">
        <f>IF(D229="","",VLOOKUP(D229,'G-6 Hedgerow Data'!$B$2:$AG$15,2,FALSE))</f>
        <v/>
      </c>
      <c r="G229" s="276" t="str">
        <f>IF(D229="","",VLOOKUP(D229,'G-6 Hedgerow Data'!$B$2:$AG$15,3,FALSE))</f>
        <v/>
      </c>
      <c r="H229" s="101"/>
      <c r="I229" s="276" t="str">
        <f>IFERROR(IF(AND(D229&lt;&gt;"",H229=""),"Check data ⚠",IF(H229="","",IF(AND(D229="Non-native and ornamental hedgerow",H229&lt;&gt;"Poor"),"Not possible ▲",(VLOOKUP(H229,'G-1 All Habitats'!$Z$2:$AA$9,2,FALSE))))),"")</f>
        <v/>
      </c>
      <c r="J229" s="101"/>
      <c r="K229" s="283" t="str">
        <f>IF(AND(D229&lt;&gt;"",J229=""),"Check data ⚠",IF(J229="","",IF(VLOOKUP(J229,'G-3 Multipliers'!$L$3:$N$6,2,FALSE)=0,"Spatial Data Missing",VLOOKUP(J229,'G-3 Multipliers'!$L$3:$N$6,2,FALSE))))</f>
        <v/>
      </c>
      <c r="L229" s="281" t="str">
        <f>IF(J229="","",IF(VLOOKUP(J229,'G-3 Multipliers'!$L$3:$N$6,3,FALSE)=0,"Spatial Data Missing ⚠",VLOOKUP(J229,'G-3 Multipliers'!$L$3:$N$6,3,FALSE)))</f>
        <v/>
      </c>
      <c r="M229" s="282" t="str">
        <f>IF(D229="","",VLOOKUP(D229,'G-6 Hedgerow Data'!$B$1:$AH$15,33,FALSE))</f>
        <v/>
      </c>
      <c r="N229" s="289" t="str">
        <f t="shared" si="23"/>
        <v/>
      </c>
      <c r="O229" s="32"/>
      <c r="P229" s="105"/>
      <c r="Q229" s="138"/>
      <c r="R229" s="306" t="str">
        <f t="shared" si="24"/>
        <v/>
      </c>
      <c r="S229" s="306" t="str">
        <f t="shared" si="25"/>
        <v/>
      </c>
      <c r="T229" s="306" t="str">
        <f t="shared" si="26"/>
        <v/>
      </c>
      <c r="U229" s="327" t="str">
        <f t="shared" si="27"/>
        <v/>
      </c>
      <c r="V229" s="105"/>
      <c r="W229" s="104"/>
      <c r="X229" s="104"/>
      <c r="AE229" s="107" t="str">
        <f t="shared" si="21"/>
        <v/>
      </c>
      <c r="AF229" s="107" t="str">
        <f t="shared" si="22"/>
        <v/>
      </c>
      <c r="AH229" s="107">
        <v>220</v>
      </c>
      <c r="AJ229" s="107" t="str">
        <f t="array" ref="AJ229">IFERROR(INDEX($AH$10:$AH$258,MATCH(0,IF(TRUE=$AE$10:$AE$258,COUNTIF($AJ$9:$AJ228,$AH$10:$AH$258),""),0)),"")</f>
        <v/>
      </c>
      <c r="AK229" s="107" t="str">
        <f t="array" ref="AK229">IFERROR(INDEX($AH$10:$AH$258,MATCH(0,IF(TRUE=$AF$10:$AF$258,COUNTIF($AK$9:$AK228,$AH$10:$AH$258),""),0)),"")</f>
        <v/>
      </c>
      <c r="AL229" s="30" t="str">
        <f>IFERROR(INDEX('G-6 Hedgerow Data'!$BJ$3:$BJ$15,MATCH(D229,'G-6 Hedgerow Data'!$B$3:$B$15,0)),"")</f>
        <v/>
      </c>
    </row>
    <row r="230" spans="2:38" ht="14" hidden="1">
      <c r="B230" s="97">
        <v>221</v>
      </c>
      <c r="C230" s="138"/>
      <c r="D230" s="138"/>
      <c r="E230" s="104"/>
      <c r="F230" s="323" t="str">
        <f>IF(D230="","",VLOOKUP(D230,'G-6 Hedgerow Data'!$B$2:$AG$15,2,FALSE))</f>
        <v/>
      </c>
      <c r="G230" s="276" t="str">
        <f>IF(D230="","",VLOOKUP(D230,'G-6 Hedgerow Data'!$B$2:$AG$15,3,FALSE))</f>
        <v/>
      </c>
      <c r="H230" s="101"/>
      <c r="I230" s="276" t="str">
        <f>IFERROR(IF(AND(D230&lt;&gt;"",H230=""),"Check data ⚠",IF(H230="","",IF(AND(D230="Non-native and ornamental hedgerow",H230&lt;&gt;"Poor"),"Not possible ▲",(VLOOKUP(H230,'G-1 All Habitats'!$Z$2:$AA$9,2,FALSE))))),"")</f>
        <v/>
      </c>
      <c r="J230" s="101"/>
      <c r="K230" s="283" t="str">
        <f>IF(AND(D230&lt;&gt;"",J230=""),"Check data ⚠",IF(J230="","",IF(VLOOKUP(J230,'G-3 Multipliers'!$L$3:$N$6,2,FALSE)=0,"Spatial Data Missing",VLOOKUP(J230,'G-3 Multipliers'!$L$3:$N$6,2,FALSE))))</f>
        <v/>
      </c>
      <c r="L230" s="281" t="str">
        <f>IF(J230="","",IF(VLOOKUP(J230,'G-3 Multipliers'!$L$3:$N$6,3,FALSE)=0,"Spatial Data Missing ⚠",VLOOKUP(J230,'G-3 Multipliers'!$L$3:$N$6,3,FALSE)))</f>
        <v/>
      </c>
      <c r="M230" s="282" t="str">
        <f>IF(D230="","",VLOOKUP(D230,'G-6 Hedgerow Data'!$B$1:$AH$15,33,FALSE))</f>
        <v/>
      </c>
      <c r="N230" s="289" t="str">
        <f t="shared" si="23"/>
        <v/>
      </c>
      <c r="O230" s="32"/>
      <c r="P230" s="105"/>
      <c r="Q230" s="138"/>
      <c r="R230" s="306" t="str">
        <f t="shared" si="24"/>
        <v/>
      </c>
      <c r="S230" s="306" t="str">
        <f t="shared" si="25"/>
        <v/>
      </c>
      <c r="T230" s="306" t="str">
        <f t="shared" si="26"/>
        <v/>
      </c>
      <c r="U230" s="327" t="str">
        <f t="shared" si="27"/>
        <v/>
      </c>
      <c r="V230" s="105"/>
      <c r="W230" s="104"/>
      <c r="X230" s="104"/>
      <c r="AE230" s="107" t="str">
        <f t="shared" si="21"/>
        <v/>
      </c>
      <c r="AF230" s="107" t="str">
        <f t="shared" si="22"/>
        <v/>
      </c>
      <c r="AH230" s="107">
        <v>221</v>
      </c>
      <c r="AJ230" s="107" t="str">
        <f t="array" ref="AJ230">IFERROR(INDEX($AH$10:$AH$258,MATCH(0,IF(TRUE=$AE$10:$AE$258,COUNTIF($AJ$9:$AJ229,$AH$10:$AH$258),""),0)),"")</f>
        <v/>
      </c>
      <c r="AK230" s="107" t="str">
        <f t="array" ref="AK230">IFERROR(INDEX($AH$10:$AH$258,MATCH(0,IF(TRUE=$AF$10:$AF$258,COUNTIF($AK$9:$AK229,$AH$10:$AH$258),""),0)),"")</f>
        <v/>
      </c>
      <c r="AL230" s="30" t="str">
        <f>IFERROR(INDEX('G-6 Hedgerow Data'!$BJ$3:$BJ$15,MATCH(D230,'G-6 Hedgerow Data'!$B$3:$B$15,0)),"")</f>
        <v/>
      </c>
    </row>
    <row r="231" spans="2:38" ht="14" hidden="1">
      <c r="B231" s="97">
        <v>222</v>
      </c>
      <c r="C231" s="138"/>
      <c r="D231" s="138"/>
      <c r="E231" s="104"/>
      <c r="F231" s="323" t="str">
        <f>IF(D231="","",VLOOKUP(D231,'G-6 Hedgerow Data'!$B$2:$AG$15,2,FALSE))</f>
        <v/>
      </c>
      <c r="G231" s="276" t="str">
        <f>IF(D231="","",VLOOKUP(D231,'G-6 Hedgerow Data'!$B$2:$AG$15,3,FALSE))</f>
        <v/>
      </c>
      <c r="H231" s="101"/>
      <c r="I231" s="276" t="str">
        <f>IFERROR(IF(AND(D231&lt;&gt;"",H231=""),"Check data ⚠",IF(H231="","",IF(AND(D231="Non-native and ornamental hedgerow",H231&lt;&gt;"Poor"),"Not possible ▲",(VLOOKUP(H231,'G-1 All Habitats'!$Z$2:$AA$9,2,FALSE))))),"")</f>
        <v/>
      </c>
      <c r="J231" s="101"/>
      <c r="K231" s="283" t="str">
        <f>IF(AND(D231&lt;&gt;"",J231=""),"Check data ⚠",IF(J231="","",IF(VLOOKUP(J231,'G-3 Multipliers'!$L$3:$N$6,2,FALSE)=0,"Spatial Data Missing",VLOOKUP(J231,'G-3 Multipliers'!$L$3:$N$6,2,FALSE))))</f>
        <v/>
      </c>
      <c r="L231" s="281" t="str">
        <f>IF(J231="","",IF(VLOOKUP(J231,'G-3 Multipliers'!$L$3:$N$6,3,FALSE)=0,"Spatial Data Missing ⚠",VLOOKUP(J231,'G-3 Multipliers'!$L$3:$N$6,3,FALSE)))</f>
        <v/>
      </c>
      <c r="M231" s="282" t="str">
        <f>IF(D231="","",VLOOKUP(D231,'G-6 Hedgerow Data'!$B$1:$AH$15,33,FALSE))</f>
        <v/>
      </c>
      <c r="N231" s="289" t="str">
        <f t="shared" si="23"/>
        <v/>
      </c>
      <c r="O231" s="32"/>
      <c r="P231" s="105"/>
      <c r="Q231" s="138"/>
      <c r="R231" s="306" t="str">
        <f t="shared" si="24"/>
        <v/>
      </c>
      <c r="S231" s="306" t="str">
        <f t="shared" si="25"/>
        <v/>
      </c>
      <c r="T231" s="306" t="str">
        <f t="shared" si="26"/>
        <v/>
      </c>
      <c r="U231" s="327" t="str">
        <f t="shared" si="27"/>
        <v/>
      </c>
      <c r="V231" s="105"/>
      <c r="W231" s="104"/>
      <c r="X231" s="104"/>
      <c r="AE231" s="107" t="str">
        <f t="shared" si="21"/>
        <v/>
      </c>
      <c r="AF231" s="107" t="str">
        <f t="shared" si="22"/>
        <v/>
      </c>
      <c r="AH231" s="107">
        <v>222</v>
      </c>
      <c r="AJ231" s="107" t="str">
        <f t="array" ref="AJ231">IFERROR(INDEX($AH$10:$AH$258,MATCH(0,IF(TRUE=$AE$10:$AE$258,COUNTIF($AJ$9:$AJ230,$AH$10:$AH$258),""),0)),"")</f>
        <v/>
      </c>
      <c r="AK231" s="107" t="str">
        <f t="array" ref="AK231">IFERROR(INDEX($AH$10:$AH$258,MATCH(0,IF(TRUE=$AF$10:$AF$258,COUNTIF($AK$9:$AK230,$AH$10:$AH$258),""),0)),"")</f>
        <v/>
      </c>
      <c r="AL231" s="30" t="str">
        <f>IFERROR(INDEX('G-6 Hedgerow Data'!$BJ$3:$BJ$15,MATCH(D231,'G-6 Hedgerow Data'!$B$3:$B$15,0)),"")</f>
        <v/>
      </c>
    </row>
    <row r="232" spans="2:38" ht="14" hidden="1">
      <c r="B232" s="97">
        <v>223</v>
      </c>
      <c r="C232" s="138"/>
      <c r="D232" s="138"/>
      <c r="E232" s="104"/>
      <c r="F232" s="323" t="str">
        <f>IF(D232="","",VLOOKUP(D232,'G-6 Hedgerow Data'!$B$2:$AG$15,2,FALSE))</f>
        <v/>
      </c>
      <c r="G232" s="276" t="str">
        <f>IF(D232="","",VLOOKUP(D232,'G-6 Hedgerow Data'!$B$2:$AG$15,3,FALSE))</f>
        <v/>
      </c>
      <c r="H232" s="101"/>
      <c r="I232" s="276" t="str">
        <f>IFERROR(IF(AND(D232&lt;&gt;"",H232=""),"Check data ⚠",IF(H232="","",IF(AND(D232="Non-native and ornamental hedgerow",H232&lt;&gt;"Poor"),"Not possible ▲",(VLOOKUP(H232,'G-1 All Habitats'!$Z$2:$AA$9,2,FALSE))))),"")</f>
        <v/>
      </c>
      <c r="J232" s="101"/>
      <c r="K232" s="283" t="str">
        <f>IF(AND(D232&lt;&gt;"",J232=""),"Check data ⚠",IF(J232="","",IF(VLOOKUP(J232,'G-3 Multipliers'!$L$3:$N$6,2,FALSE)=0,"Spatial Data Missing",VLOOKUP(J232,'G-3 Multipliers'!$L$3:$N$6,2,FALSE))))</f>
        <v/>
      </c>
      <c r="L232" s="281" t="str">
        <f>IF(J232="","",IF(VLOOKUP(J232,'G-3 Multipliers'!$L$3:$N$6,3,FALSE)=0,"Spatial Data Missing ⚠",VLOOKUP(J232,'G-3 Multipliers'!$L$3:$N$6,3,FALSE)))</f>
        <v/>
      </c>
      <c r="M232" s="282" t="str">
        <f>IF(D232="","",VLOOKUP(D232,'G-6 Hedgerow Data'!$B$1:$AH$15,33,FALSE))</f>
        <v/>
      </c>
      <c r="N232" s="289" t="str">
        <f t="shared" si="23"/>
        <v/>
      </c>
      <c r="O232" s="32"/>
      <c r="P232" s="105"/>
      <c r="Q232" s="138"/>
      <c r="R232" s="306" t="str">
        <f t="shared" si="24"/>
        <v/>
      </c>
      <c r="S232" s="306" t="str">
        <f t="shared" si="25"/>
        <v/>
      </c>
      <c r="T232" s="306" t="str">
        <f t="shared" si="26"/>
        <v/>
      </c>
      <c r="U232" s="327" t="str">
        <f t="shared" si="27"/>
        <v/>
      </c>
      <c r="V232" s="105"/>
      <c r="W232" s="104"/>
      <c r="X232" s="104"/>
      <c r="AE232" s="107" t="str">
        <f t="shared" si="21"/>
        <v/>
      </c>
      <c r="AF232" s="107" t="str">
        <f t="shared" si="22"/>
        <v/>
      </c>
      <c r="AH232" s="107">
        <v>223</v>
      </c>
      <c r="AJ232" s="107" t="str">
        <f t="array" ref="AJ232">IFERROR(INDEX($AH$10:$AH$258,MATCH(0,IF(TRUE=$AE$10:$AE$258,COUNTIF($AJ$9:$AJ231,$AH$10:$AH$258),""),0)),"")</f>
        <v/>
      </c>
      <c r="AK232" s="107" t="str">
        <f t="array" ref="AK232">IFERROR(INDEX($AH$10:$AH$258,MATCH(0,IF(TRUE=$AF$10:$AF$258,COUNTIF($AK$9:$AK231,$AH$10:$AH$258),""),0)),"")</f>
        <v/>
      </c>
      <c r="AL232" s="30" t="str">
        <f>IFERROR(INDEX('G-6 Hedgerow Data'!$BJ$3:$BJ$15,MATCH(D232,'G-6 Hedgerow Data'!$B$3:$B$15,0)),"")</f>
        <v/>
      </c>
    </row>
    <row r="233" spans="2:38" ht="14" hidden="1">
      <c r="B233" s="97">
        <v>224</v>
      </c>
      <c r="C233" s="138"/>
      <c r="D233" s="138"/>
      <c r="E233" s="104"/>
      <c r="F233" s="323" t="str">
        <f>IF(D233="","",VLOOKUP(D233,'G-6 Hedgerow Data'!$B$2:$AG$15,2,FALSE))</f>
        <v/>
      </c>
      <c r="G233" s="276" t="str">
        <f>IF(D233="","",VLOOKUP(D233,'G-6 Hedgerow Data'!$B$2:$AG$15,3,FALSE))</f>
        <v/>
      </c>
      <c r="H233" s="101"/>
      <c r="I233" s="276" t="str">
        <f>IFERROR(IF(AND(D233&lt;&gt;"",H233=""),"Check data ⚠",IF(H233="","",IF(AND(D233="Non-native and ornamental hedgerow",H233&lt;&gt;"Poor"),"Not possible ▲",(VLOOKUP(H233,'G-1 All Habitats'!$Z$2:$AA$9,2,FALSE))))),"")</f>
        <v/>
      </c>
      <c r="J233" s="101"/>
      <c r="K233" s="283" t="str">
        <f>IF(AND(D233&lt;&gt;"",J233=""),"Check data ⚠",IF(J233="","",IF(VLOOKUP(J233,'G-3 Multipliers'!$L$3:$N$6,2,FALSE)=0,"Spatial Data Missing",VLOOKUP(J233,'G-3 Multipliers'!$L$3:$N$6,2,FALSE))))</f>
        <v/>
      </c>
      <c r="L233" s="281" t="str">
        <f>IF(J233="","",IF(VLOOKUP(J233,'G-3 Multipliers'!$L$3:$N$6,3,FALSE)=0,"Spatial Data Missing ⚠",VLOOKUP(J233,'G-3 Multipliers'!$L$3:$N$6,3,FALSE)))</f>
        <v/>
      </c>
      <c r="M233" s="282" t="str">
        <f>IF(D233="","",VLOOKUP(D233,'G-6 Hedgerow Data'!$B$1:$AH$15,33,FALSE))</f>
        <v/>
      </c>
      <c r="N233" s="289" t="str">
        <f t="shared" si="23"/>
        <v/>
      </c>
      <c r="O233" s="32"/>
      <c r="P233" s="105"/>
      <c r="Q233" s="138"/>
      <c r="R233" s="306" t="str">
        <f t="shared" si="24"/>
        <v/>
      </c>
      <c r="S233" s="306" t="str">
        <f t="shared" si="25"/>
        <v/>
      </c>
      <c r="T233" s="306" t="str">
        <f t="shared" si="26"/>
        <v/>
      </c>
      <c r="U233" s="327" t="str">
        <f t="shared" si="27"/>
        <v/>
      </c>
      <c r="V233" s="105"/>
      <c r="W233" s="104"/>
      <c r="X233" s="104"/>
      <c r="AE233" s="107" t="str">
        <f t="shared" si="21"/>
        <v/>
      </c>
      <c r="AF233" s="107" t="str">
        <f t="shared" si="22"/>
        <v/>
      </c>
      <c r="AH233" s="107">
        <v>224</v>
      </c>
      <c r="AJ233" s="107" t="str">
        <f t="array" ref="AJ233">IFERROR(INDEX($AH$10:$AH$258,MATCH(0,IF(TRUE=$AE$10:$AE$258,COUNTIF($AJ$9:$AJ232,$AH$10:$AH$258),""),0)),"")</f>
        <v/>
      </c>
      <c r="AK233" s="107" t="str">
        <f t="array" ref="AK233">IFERROR(INDEX($AH$10:$AH$258,MATCH(0,IF(TRUE=$AF$10:$AF$258,COUNTIF($AK$9:$AK232,$AH$10:$AH$258),""),0)),"")</f>
        <v/>
      </c>
      <c r="AL233" s="30" t="str">
        <f>IFERROR(INDEX('G-6 Hedgerow Data'!$BJ$3:$BJ$15,MATCH(D233,'G-6 Hedgerow Data'!$B$3:$B$15,0)),"")</f>
        <v/>
      </c>
    </row>
    <row r="234" spans="2:38" ht="14" hidden="1">
      <c r="B234" s="97">
        <v>225</v>
      </c>
      <c r="C234" s="138"/>
      <c r="D234" s="138"/>
      <c r="E234" s="104"/>
      <c r="F234" s="323" t="str">
        <f>IF(D234="","",VLOOKUP(D234,'G-6 Hedgerow Data'!$B$2:$AG$15,2,FALSE))</f>
        <v/>
      </c>
      <c r="G234" s="276" t="str">
        <f>IF(D234="","",VLOOKUP(D234,'G-6 Hedgerow Data'!$B$2:$AG$15,3,FALSE))</f>
        <v/>
      </c>
      <c r="H234" s="101"/>
      <c r="I234" s="276" t="str">
        <f>IFERROR(IF(AND(D234&lt;&gt;"",H234=""),"Check data ⚠",IF(H234="","",IF(AND(D234="Non-native and ornamental hedgerow",H234&lt;&gt;"Poor"),"Not possible ▲",(VLOOKUP(H234,'G-1 All Habitats'!$Z$2:$AA$9,2,FALSE))))),"")</f>
        <v/>
      </c>
      <c r="J234" s="101"/>
      <c r="K234" s="283" t="str">
        <f>IF(AND(D234&lt;&gt;"",J234=""),"Check data ⚠",IF(J234="","",IF(VLOOKUP(J234,'G-3 Multipliers'!$L$3:$N$6,2,FALSE)=0,"Spatial Data Missing",VLOOKUP(J234,'G-3 Multipliers'!$L$3:$N$6,2,FALSE))))</f>
        <v/>
      </c>
      <c r="L234" s="281" t="str">
        <f>IF(J234="","",IF(VLOOKUP(J234,'G-3 Multipliers'!$L$3:$N$6,3,FALSE)=0,"Spatial Data Missing ⚠",VLOOKUP(J234,'G-3 Multipliers'!$L$3:$N$6,3,FALSE)))</f>
        <v/>
      </c>
      <c r="M234" s="282" t="str">
        <f>IF(D234="","",VLOOKUP(D234,'G-6 Hedgerow Data'!$B$1:$AH$15,33,FALSE))</f>
        <v/>
      </c>
      <c r="N234" s="289" t="str">
        <f t="shared" si="23"/>
        <v/>
      </c>
      <c r="O234" s="32"/>
      <c r="P234" s="105"/>
      <c r="Q234" s="138"/>
      <c r="R234" s="306" t="str">
        <f t="shared" si="24"/>
        <v/>
      </c>
      <c r="S234" s="306" t="str">
        <f t="shared" si="25"/>
        <v/>
      </c>
      <c r="T234" s="306" t="str">
        <f t="shared" si="26"/>
        <v/>
      </c>
      <c r="U234" s="327" t="str">
        <f t="shared" si="27"/>
        <v/>
      </c>
      <c r="V234" s="105"/>
      <c r="W234" s="104"/>
      <c r="X234" s="104"/>
      <c r="AE234" s="107" t="str">
        <f t="shared" si="21"/>
        <v/>
      </c>
      <c r="AF234" s="107" t="str">
        <f t="shared" si="22"/>
        <v/>
      </c>
      <c r="AH234" s="107">
        <v>225</v>
      </c>
      <c r="AJ234" s="107" t="str">
        <f t="array" ref="AJ234">IFERROR(INDEX($AH$10:$AH$258,MATCH(0,IF(TRUE=$AE$10:$AE$258,COUNTIF($AJ$9:$AJ233,$AH$10:$AH$258),""),0)),"")</f>
        <v/>
      </c>
      <c r="AK234" s="107" t="str">
        <f t="array" ref="AK234">IFERROR(INDEX($AH$10:$AH$258,MATCH(0,IF(TRUE=$AF$10:$AF$258,COUNTIF($AK$9:$AK233,$AH$10:$AH$258),""),0)),"")</f>
        <v/>
      </c>
      <c r="AL234" s="30" t="str">
        <f>IFERROR(INDEX('G-6 Hedgerow Data'!$BJ$3:$BJ$15,MATCH(D234,'G-6 Hedgerow Data'!$B$3:$B$15,0)),"")</f>
        <v/>
      </c>
    </row>
    <row r="235" spans="2:38" ht="14" hidden="1">
      <c r="B235" s="97">
        <v>226</v>
      </c>
      <c r="C235" s="138"/>
      <c r="D235" s="138"/>
      <c r="E235" s="104"/>
      <c r="F235" s="323" t="str">
        <f>IF(D235="","",VLOOKUP(D235,'G-6 Hedgerow Data'!$B$2:$AG$15,2,FALSE))</f>
        <v/>
      </c>
      <c r="G235" s="276" t="str">
        <f>IF(D235="","",VLOOKUP(D235,'G-6 Hedgerow Data'!$B$2:$AG$15,3,FALSE))</f>
        <v/>
      </c>
      <c r="H235" s="101"/>
      <c r="I235" s="276" t="str">
        <f>IFERROR(IF(AND(D235&lt;&gt;"",H235=""),"Check data ⚠",IF(H235="","",IF(AND(D235="Non-native and ornamental hedgerow",H235&lt;&gt;"Poor"),"Not possible ▲",(VLOOKUP(H235,'G-1 All Habitats'!$Z$2:$AA$9,2,FALSE))))),"")</f>
        <v/>
      </c>
      <c r="J235" s="101"/>
      <c r="K235" s="283" t="str">
        <f>IF(AND(D235&lt;&gt;"",J235=""),"Check data ⚠",IF(J235="","",IF(VLOOKUP(J235,'G-3 Multipliers'!$L$3:$N$6,2,FALSE)=0,"Spatial Data Missing",VLOOKUP(J235,'G-3 Multipliers'!$L$3:$N$6,2,FALSE))))</f>
        <v/>
      </c>
      <c r="L235" s="281" t="str">
        <f>IF(J235="","",IF(VLOOKUP(J235,'G-3 Multipliers'!$L$3:$N$6,3,FALSE)=0,"Spatial Data Missing ⚠",VLOOKUP(J235,'G-3 Multipliers'!$L$3:$N$6,3,FALSE)))</f>
        <v/>
      </c>
      <c r="M235" s="282" t="str">
        <f>IF(D235="","",VLOOKUP(D235,'G-6 Hedgerow Data'!$B$1:$AH$15,33,FALSE))</f>
        <v/>
      </c>
      <c r="N235" s="289" t="str">
        <f t="shared" si="23"/>
        <v/>
      </c>
      <c r="O235" s="32"/>
      <c r="P235" s="105"/>
      <c r="Q235" s="138"/>
      <c r="R235" s="306" t="str">
        <f t="shared" si="24"/>
        <v/>
      </c>
      <c r="S235" s="306" t="str">
        <f t="shared" si="25"/>
        <v/>
      </c>
      <c r="T235" s="306" t="str">
        <f t="shared" si="26"/>
        <v/>
      </c>
      <c r="U235" s="327" t="str">
        <f t="shared" si="27"/>
        <v/>
      </c>
      <c r="V235" s="105"/>
      <c r="W235" s="104"/>
      <c r="X235" s="104"/>
      <c r="AE235" s="107" t="str">
        <f t="shared" si="21"/>
        <v/>
      </c>
      <c r="AF235" s="107" t="str">
        <f t="shared" si="22"/>
        <v/>
      </c>
      <c r="AH235" s="107">
        <v>226</v>
      </c>
      <c r="AJ235" s="107" t="str">
        <f t="array" ref="AJ235">IFERROR(INDEX($AH$10:$AH$258,MATCH(0,IF(TRUE=$AE$10:$AE$258,COUNTIF($AJ$9:$AJ234,$AH$10:$AH$258),""),0)),"")</f>
        <v/>
      </c>
      <c r="AK235" s="107" t="str">
        <f t="array" ref="AK235">IFERROR(INDEX($AH$10:$AH$258,MATCH(0,IF(TRUE=$AF$10:$AF$258,COUNTIF($AK$9:$AK234,$AH$10:$AH$258),""),0)),"")</f>
        <v/>
      </c>
      <c r="AL235" s="30" t="str">
        <f>IFERROR(INDEX('G-6 Hedgerow Data'!$BJ$3:$BJ$15,MATCH(D235,'G-6 Hedgerow Data'!$B$3:$B$15,0)),"")</f>
        <v/>
      </c>
    </row>
    <row r="236" spans="2:38" ht="14" hidden="1">
      <c r="B236" s="97">
        <v>227</v>
      </c>
      <c r="C236" s="138"/>
      <c r="D236" s="138"/>
      <c r="E236" s="104"/>
      <c r="F236" s="323" t="str">
        <f>IF(D236="","",VLOOKUP(D236,'G-6 Hedgerow Data'!$B$2:$AG$15,2,FALSE))</f>
        <v/>
      </c>
      <c r="G236" s="276" t="str">
        <f>IF(D236="","",VLOOKUP(D236,'G-6 Hedgerow Data'!$B$2:$AG$15,3,FALSE))</f>
        <v/>
      </c>
      <c r="H236" s="101"/>
      <c r="I236" s="276" t="str">
        <f>IFERROR(IF(AND(D236&lt;&gt;"",H236=""),"Check data ⚠",IF(H236="","",IF(AND(D236="Non-native and ornamental hedgerow",H236&lt;&gt;"Poor"),"Not possible ▲",(VLOOKUP(H236,'G-1 All Habitats'!$Z$2:$AA$9,2,FALSE))))),"")</f>
        <v/>
      </c>
      <c r="J236" s="101"/>
      <c r="K236" s="283" t="str">
        <f>IF(AND(D236&lt;&gt;"",J236=""),"Check data ⚠",IF(J236="","",IF(VLOOKUP(J236,'G-3 Multipliers'!$L$3:$N$6,2,FALSE)=0,"Spatial Data Missing",VLOOKUP(J236,'G-3 Multipliers'!$L$3:$N$6,2,FALSE))))</f>
        <v/>
      </c>
      <c r="L236" s="281" t="str">
        <f>IF(J236="","",IF(VLOOKUP(J236,'G-3 Multipliers'!$L$3:$N$6,3,FALSE)=0,"Spatial Data Missing ⚠",VLOOKUP(J236,'G-3 Multipliers'!$L$3:$N$6,3,FALSE)))</f>
        <v/>
      </c>
      <c r="M236" s="282" t="str">
        <f>IF(D236="","",VLOOKUP(D236,'G-6 Hedgerow Data'!$B$1:$AH$15,33,FALSE))</f>
        <v/>
      </c>
      <c r="N236" s="289" t="str">
        <f t="shared" si="23"/>
        <v/>
      </c>
      <c r="O236" s="32"/>
      <c r="P236" s="105"/>
      <c r="Q236" s="138"/>
      <c r="R236" s="306" t="str">
        <f t="shared" si="24"/>
        <v/>
      </c>
      <c r="S236" s="306" t="str">
        <f t="shared" si="25"/>
        <v/>
      </c>
      <c r="T236" s="306" t="str">
        <f t="shared" si="26"/>
        <v/>
      </c>
      <c r="U236" s="327" t="str">
        <f t="shared" si="27"/>
        <v/>
      </c>
      <c r="V236" s="105"/>
      <c r="W236" s="104"/>
      <c r="X236" s="104"/>
      <c r="AE236" s="107" t="str">
        <f t="shared" si="21"/>
        <v/>
      </c>
      <c r="AF236" s="107" t="str">
        <f t="shared" si="22"/>
        <v/>
      </c>
      <c r="AH236" s="107">
        <v>227</v>
      </c>
      <c r="AJ236" s="107" t="str">
        <f t="array" ref="AJ236">IFERROR(INDEX($AH$10:$AH$258,MATCH(0,IF(TRUE=$AE$10:$AE$258,COUNTIF($AJ$9:$AJ235,$AH$10:$AH$258),""),0)),"")</f>
        <v/>
      </c>
      <c r="AK236" s="107" t="str">
        <f t="array" ref="AK236">IFERROR(INDEX($AH$10:$AH$258,MATCH(0,IF(TRUE=$AF$10:$AF$258,COUNTIF($AK$9:$AK235,$AH$10:$AH$258),""),0)),"")</f>
        <v/>
      </c>
      <c r="AL236" s="30" t="str">
        <f>IFERROR(INDEX('G-6 Hedgerow Data'!$BJ$3:$BJ$15,MATCH(D236,'G-6 Hedgerow Data'!$B$3:$B$15,0)),"")</f>
        <v/>
      </c>
    </row>
    <row r="237" spans="2:38" ht="14" hidden="1">
      <c r="B237" s="97">
        <v>228</v>
      </c>
      <c r="C237" s="138"/>
      <c r="D237" s="138"/>
      <c r="E237" s="104"/>
      <c r="F237" s="323" t="str">
        <f>IF(D237="","",VLOOKUP(D237,'G-6 Hedgerow Data'!$B$2:$AG$15,2,FALSE))</f>
        <v/>
      </c>
      <c r="G237" s="276" t="str">
        <f>IF(D237="","",VLOOKUP(D237,'G-6 Hedgerow Data'!$B$2:$AG$15,3,FALSE))</f>
        <v/>
      </c>
      <c r="H237" s="101"/>
      <c r="I237" s="276" t="str">
        <f>IFERROR(IF(AND(D237&lt;&gt;"",H237=""),"Check data ⚠",IF(H237="","",IF(AND(D237="Non-native and ornamental hedgerow",H237&lt;&gt;"Poor"),"Not possible ▲",(VLOOKUP(H237,'G-1 All Habitats'!$Z$2:$AA$9,2,FALSE))))),"")</f>
        <v/>
      </c>
      <c r="J237" s="101"/>
      <c r="K237" s="283" t="str">
        <f>IF(AND(D237&lt;&gt;"",J237=""),"Check data ⚠",IF(J237="","",IF(VLOOKUP(J237,'G-3 Multipliers'!$L$3:$N$6,2,FALSE)=0,"Spatial Data Missing",VLOOKUP(J237,'G-3 Multipliers'!$L$3:$N$6,2,FALSE))))</f>
        <v/>
      </c>
      <c r="L237" s="281" t="str">
        <f>IF(J237="","",IF(VLOOKUP(J237,'G-3 Multipliers'!$L$3:$N$6,3,FALSE)=0,"Spatial Data Missing ⚠",VLOOKUP(J237,'G-3 Multipliers'!$L$3:$N$6,3,FALSE)))</f>
        <v/>
      </c>
      <c r="M237" s="282" t="str">
        <f>IF(D237="","",VLOOKUP(D237,'G-6 Hedgerow Data'!$B$1:$AH$15,33,FALSE))</f>
        <v/>
      </c>
      <c r="N237" s="289" t="str">
        <f t="shared" si="23"/>
        <v/>
      </c>
      <c r="O237" s="32"/>
      <c r="P237" s="105"/>
      <c r="Q237" s="138"/>
      <c r="R237" s="306" t="str">
        <f t="shared" si="24"/>
        <v/>
      </c>
      <c r="S237" s="306" t="str">
        <f t="shared" si="25"/>
        <v/>
      </c>
      <c r="T237" s="306" t="str">
        <f t="shared" si="26"/>
        <v/>
      </c>
      <c r="U237" s="327" t="str">
        <f t="shared" si="27"/>
        <v/>
      </c>
      <c r="V237" s="105"/>
      <c r="W237" s="104"/>
      <c r="X237" s="104"/>
      <c r="AE237" s="107" t="str">
        <f t="shared" si="21"/>
        <v/>
      </c>
      <c r="AF237" s="107" t="str">
        <f t="shared" si="22"/>
        <v/>
      </c>
      <c r="AH237" s="107">
        <v>228</v>
      </c>
      <c r="AJ237" s="107" t="str">
        <f t="array" ref="AJ237">IFERROR(INDEX($AH$10:$AH$258,MATCH(0,IF(TRUE=$AE$10:$AE$258,COUNTIF($AJ$9:$AJ236,$AH$10:$AH$258),""),0)),"")</f>
        <v/>
      </c>
      <c r="AK237" s="107" t="str">
        <f t="array" ref="AK237">IFERROR(INDEX($AH$10:$AH$258,MATCH(0,IF(TRUE=$AF$10:$AF$258,COUNTIF($AK$9:$AK236,$AH$10:$AH$258),""),0)),"")</f>
        <v/>
      </c>
      <c r="AL237" s="30" t="str">
        <f>IFERROR(INDEX('G-6 Hedgerow Data'!$BJ$3:$BJ$15,MATCH(D237,'G-6 Hedgerow Data'!$B$3:$B$15,0)),"")</f>
        <v/>
      </c>
    </row>
    <row r="238" spans="2:38" ht="14" hidden="1">
      <c r="B238" s="97">
        <v>229</v>
      </c>
      <c r="C238" s="138"/>
      <c r="D238" s="138"/>
      <c r="E238" s="104"/>
      <c r="F238" s="323" t="str">
        <f>IF(D238="","",VLOOKUP(D238,'G-6 Hedgerow Data'!$B$2:$AG$15,2,FALSE))</f>
        <v/>
      </c>
      <c r="G238" s="276" t="str">
        <f>IF(D238="","",VLOOKUP(D238,'G-6 Hedgerow Data'!$B$2:$AG$15,3,FALSE))</f>
        <v/>
      </c>
      <c r="H238" s="101"/>
      <c r="I238" s="276" t="str">
        <f>IFERROR(IF(AND(D238&lt;&gt;"",H238=""),"Check data ⚠",IF(H238="","",IF(AND(D238="Non-native and ornamental hedgerow",H238&lt;&gt;"Poor"),"Not possible ▲",(VLOOKUP(H238,'G-1 All Habitats'!$Z$2:$AA$9,2,FALSE))))),"")</f>
        <v/>
      </c>
      <c r="J238" s="101"/>
      <c r="K238" s="283" t="str">
        <f>IF(AND(D238&lt;&gt;"",J238=""),"Check data ⚠",IF(J238="","",IF(VLOOKUP(J238,'G-3 Multipliers'!$L$3:$N$6,2,FALSE)=0,"Spatial Data Missing",VLOOKUP(J238,'G-3 Multipliers'!$L$3:$N$6,2,FALSE))))</f>
        <v/>
      </c>
      <c r="L238" s="281" t="str">
        <f>IF(J238="","",IF(VLOOKUP(J238,'G-3 Multipliers'!$L$3:$N$6,3,FALSE)=0,"Spatial Data Missing ⚠",VLOOKUP(J238,'G-3 Multipliers'!$L$3:$N$6,3,FALSE)))</f>
        <v/>
      </c>
      <c r="M238" s="282" t="str">
        <f>IF(D238="","",VLOOKUP(D238,'G-6 Hedgerow Data'!$B$1:$AH$15,33,FALSE))</f>
        <v/>
      </c>
      <c r="N238" s="289" t="str">
        <f t="shared" si="23"/>
        <v/>
      </c>
      <c r="O238" s="32"/>
      <c r="P238" s="105"/>
      <c r="Q238" s="138"/>
      <c r="R238" s="306" t="str">
        <f t="shared" si="24"/>
        <v/>
      </c>
      <c r="S238" s="306" t="str">
        <f t="shared" si="25"/>
        <v/>
      </c>
      <c r="T238" s="306" t="str">
        <f t="shared" si="26"/>
        <v/>
      </c>
      <c r="U238" s="327" t="str">
        <f t="shared" si="27"/>
        <v/>
      </c>
      <c r="V238" s="105"/>
      <c r="W238" s="104"/>
      <c r="X238" s="104"/>
      <c r="AE238" s="107" t="str">
        <f t="shared" si="21"/>
        <v/>
      </c>
      <c r="AF238" s="107" t="str">
        <f t="shared" si="22"/>
        <v/>
      </c>
      <c r="AH238" s="107">
        <v>229</v>
      </c>
      <c r="AJ238" s="107" t="str">
        <f t="array" ref="AJ238">IFERROR(INDEX($AH$10:$AH$258,MATCH(0,IF(TRUE=$AE$10:$AE$258,COUNTIF($AJ$9:$AJ237,$AH$10:$AH$258),""),0)),"")</f>
        <v/>
      </c>
      <c r="AK238" s="107" t="str">
        <f t="array" ref="AK238">IFERROR(INDEX($AH$10:$AH$258,MATCH(0,IF(TRUE=$AF$10:$AF$258,COUNTIF($AK$9:$AK237,$AH$10:$AH$258),""),0)),"")</f>
        <v/>
      </c>
      <c r="AL238" s="30" t="str">
        <f>IFERROR(INDEX('G-6 Hedgerow Data'!$BJ$3:$BJ$15,MATCH(D238,'G-6 Hedgerow Data'!$B$3:$B$15,0)),"")</f>
        <v/>
      </c>
    </row>
    <row r="239" spans="2:38" ht="14" hidden="1">
      <c r="B239" s="97">
        <v>230</v>
      </c>
      <c r="C239" s="138"/>
      <c r="D239" s="138"/>
      <c r="E239" s="104"/>
      <c r="F239" s="323" t="str">
        <f>IF(D239="","",VLOOKUP(D239,'G-6 Hedgerow Data'!$B$2:$AG$15,2,FALSE))</f>
        <v/>
      </c>
      <c r="G239" s="276" t="str">
        <f>IF(D239="","",VLOOKUP(D239,'G-6 Hedgerow Data'!$B$2:$AG$15,3,FALSE))</f>
        <v/>
      </c>
      <c r="H239" s="101"/>
      <c r="I239" s="276" t="str">
        <f>IFERROR(IF(AND(D239&lt;&gt;"",H239=""),"Check data ⚠",IF(H239="","",IF(AND(D239="Non-native and ornamental hedgerow",H239&lt;&gt;"Poor"),"Not possible ▲",(VLOOKUP(H239,'G-1 All Habitats'!$Z$2:$AA$9,2,FALSE))))),"")</f>
        <v/>
      </c>
      <c r="J239" s="101"/>
      <c r="K239" s="283" t="str">
        <f>IF(AND(D239&lt;&gt;"",J239=""),"Check data ⚠",IF(J239="","",IF(VLOOKUP(J239,'G-3 Multipliers'!$L$3:$N$6,2,FALSE)=0,"Spatial Data Missing",VLOOKUP(J239,'G-3 Multipliers'!$L$3:$N$6,2,FALSE))))</f>
        <v/>
      </c>
      <c r="L239" s="281" t="str">
        <f>IF(J239="","",IF(VLOOKUP(J239,'G-3 Multipliers'!$L$3:$N$6,3,FALSE)=0,"Spatial Data Missing ⚠",VLOOKUP(J239,'G-3 Multipliers'!$L$3:$N$6,3,FALSE)))</f>
        <v/>
      </c>
      <c r="M239" s="282" t="str">
        <f>IF(D239="","",VLOOKUP(D239,'G-6 Hedgerow Data'!$B$1:$AH$15,33,FALSE))</f>
        <v/>
      </c>
      <c r="N239" s="289" t="str">
        <f t="shared" si="23"/>
        <v/>
      </c>
      <c r="O239" s="32"/>
      <c r="P239" s="105"/>
      <c r="Q239" s="138"/>
      <c r="R239" s="306" t="str">
        <f t="shared" si="24"/>
        <v/>
      </c>
      <c r="S239" s="306" t="str">
        <f t="shared" si="25"/>
        <v/>
      </c>
      <c r="T239" s="306" t="str">
        <f t="shared" si="26"/>
        <v/>
      </c>
      <c r="U239" s="327" t="str">
        <f t="shared" si="27"/>
        <v/>
      </c>
      <c r="V239" s="105"/>
      <c r="W239" s="104"/>
      <c r="X239" s="104"/>
      <c r="AE239" s="107" t="str">
        <f t="shared" si="21"/>
        <v/>
      </c>
      <c r="AF239" s="107" t="str">
        <f t="shared" si="22"/>
        <v/>
      </c>
      <c r="AH239" s="107">
        <v>230</v>
      </c>
      <c r="AJ239" s="107" t="str">
        <f t="array" ref="AJ239">IFERROR(INDEX($AH$10:$AH$258,MATCH(0,IF(TRUE=$AE$10:$AE$258,COUNTIF($AJ$9:$AJ238,$AH$10:$AH$258),""),0)),"")</f>
        <v/>
      </c>
      <c r="AK239" s="107" t="str">
        <f t="array" ref="AK239">IFERROR(INDEX($AH$10:$AH$258,MATCH(0,IF(TRUE=$AF$10:$AF$258,COUNTIF($AK$9:$AK238,$AH$10:$AH$258),""),0)),"")</f>
        <v/>
      </c>
      <c r="AL239" s="30" t="str">
        <f>IFERROR(INDEX('G-6 Hedgerow Data'!$BJ$3:$BJ$15,MATCH(D239,'G-6 Hedgerow Data'!$B$3:$B$15,0)),"")</f>
        <v/>
      </c>
    </row>
    <row r="240" spans="2:38" ht="14" hidden="1">
      <c r="B240" s="97">
        <v>231</v>
      </c>
      <c r="C240" s="138"/>
      <c r="D240" s="138"/>
      <c r="E240" s="104"/>
      <c r="F240" s="323" t="str">
        <f>IF(D240="","",VLOOKUP(D240,'G-6 Hedgerow Data'!$B$2:$AG$15,2,FALSE))</f>
        <v/>
      </c>
      <c r="G240" s="276" t="str">
        <f>IF(D240="","",VLOOKUP(D240,'G-6 Hedgerow Data'!$B$2:$AG$15,3,FALSE))</f>
        <v/>
      </c>
      <c r="H240" s="101"/>
      <c r="I240" s="276" t="str">
        <f>IFERROR(IF(AND(D240&lt;&gt;"",H240=""),"Check data ⚠",IF(H240="","",IF(AND(D240="Non-native and ornamental hedgerow",H240&lt;&gt;"Poor"),"Not possible ▲",(VLOOKUP(H240,'G-1 All Habitats'!$Z$2:$AA$9,2,FALSE))))),"")</f>
        <v/>
      </c>
      <c r="J240" s="101"/>
      <c r="K240" s="283" t="str">
        <f>IF(AND(D240&lt;&gt;"",J240=""),"Check data ⚠",IF(J240="","",IF(VLOOKUP(J240,'G-3 Multipliers'!$L$3:$N$6,2,FALSE)=0,"Spatial Data Missing",VLOOKUP(J240,'G-3 Multipliers'!$L$3:$N$6,2,FALSE))))</f>
        <v/>
      </c>
      <c r="L240" s="281" t="str">
        <f>IF(J240="","",IF(VLOOKUP(J240,'G-3 Multipliers'!$L$3:$N$6,3,FALSE)=0,"Spatial Data Missing ⚠",VLOOKUP(J240,'G-3 Multipliers'!$L$3:$N$6,3,FALSE)))</f>
        <v/>
      </c>
      <c r="M240" s="282" t="str">
        <f>IF(D240="","",VLOOKUP(D240,'G-6 Hedgerow Data'!$B$1:$AH$15,33,FALSE))</f>
        <v/>
      </c>
      <c r="N240" s="289" t="str">
        <f t="shared" si="23"/>
        <v/>
      </c>
      <c r="O240" s="32"/>
      <c r="P240" s="105"/>
      <c r="Q240" s="138"/>
      <c r="R240" s="306" t="str">
        <f t="shared" si="24"/>
        <v/>
      </c>
      <c r="S240" s="306" t="str">
        <f t="shared" si="25"/>
        <v/>
      </c>
      <c r="T240" s="306" t="str">
        <f t="shared" si="26"/>
        <v/>
      </c>
      <c r="U240" s="327" t="str">
        <f t="shared" si="27"/>
        <v/>
      </c>
      <c r="V240" s="105"/>
      <c r="W240" s="104"/>
      <c r="X240" s="104"/>
      <c r="AE240" s="107" t="str">
        <f t="shared" si="21"/>
        <v/>
      </c>
      <c r="AF240" s="107" t="str">
        <f t="shared" si="22"/>
        <v/>
      </c>
      <c r="AH240" s="107">
        <v>231</v>
      </c>
      <c r="AJ240" s="107" t="str">
        <f t="array" ref="AJ240">IFERROR(INDEX($AH$10:$AH$258,MATCH(0,IF(TRUE=$AE$10:$AE$258,COUNTIF($AJ$9:$AJ239,$AH$10:$AH$258),""),0)),"")</f>
        <v/>
      </c>
      <c r="AK240" s="107" t="str">
        <f t="array" ref="AK240">IFERROR(INDEX($AH$10:$AH$258,MATCH(0,IF(TRUE=$AF$10:$AF$258,COUNTIF($AK$9:$AK239,$AH$10:$AH$258),""),0)),"")</f>
        <v/>
      </c>
      <c r="AL240" s="30" t="str">
        <f>IFERROR(INDEX('G-6 Hedgerow Data'!$BJ$3:$BJ$15,MATCH(D240,'G-6 Hedgerow Data'!$B$3:$B$15,0)),"")</f>
        <v/>
      </c>
    </row>
    <row r="241" spans="2:38" ht="14" hidden="1">
      <c r="B241" s="97">
        <v>232</v>
      </c>
      <c r="C241" s="138"/>
      <c r="D241" s="138"/>
      <c r="E241" s="104"/>
      <c r="F241" s="323" t="str">
        <f>IF(D241="","",VLOOKUP(D241,'G-6 Hedgerow Data'!$B$2:$AG$15,2,FALSE))</f>
        <v/>
      </c>
      <c r="G241" s="276" t="str">
        <f>IF(D241="","",VLOOKUP(D241,'G-6 Hedgerow Data'!$B$2:$AG$15,3,FALSE))</f>
        <v/>
      </c>
      <c r="H241" s="101"/>
      <c r="I241" s="276" t="str">
        <f>IFERROR(IF(AND(D241&lt;&gt;"",H241=""),"Check data ⚠",IF(H241="","",IF(AND(D241="Non-native and ornamental hedgerow",H241&lt;&gt;"Poor"),"Not possible ▲",(VLOOKUP(H241,'G-1 All Habitats'!$Z$2:$AA$9,2,FALSE))))),"")</f>
        <v/>
      </c>
      <c r="J241" s="101"/>
      <c r="K241" s="283" t="str">
        <f>IF(AND(D241&lt;&gt;"",J241=""),"Check data ⚠",IF(J241="","",IF(VLOOKUP(J241,'G-3 Multipliers'!$L$3:$N$6,2,FALSE)=0,"Spatial Data Missing",VLOOKUP(J241,'G-3 Multipliers'!$L$3:$N$6,2,FALSE))))</f>
        <v/>
      </c>
      <c r="L241" s="281" t="str">
        <f>IF(J241="","",IF(VLOOKUP(J241,'G-3 Multipliers'!$L$3:$N$6,3,FALSE)=0,"Spatial Data Missing ⚠",VLOOKUP(J241,'G-3 Multipliers'!$L$3:$N$6,3,FALSE)))</f>
        <v/>
      </c>
      <c r="M241" s="282" t="str">
        <f>IF(D241="","",VLOOKUP(D241,'G-6 Hedgerow Data'!$B$1:$AH$15,33,FALSE))</f>
        <v/>
      </c>
      <c r="N241" s="289" t="str">
        <f t="shared" si="23"/>
        <v/>
      </c>
      <c r="O241" s="32"/>
      <c r="P241" s="105"/>
      <c r="Q241" s="138"/>
      <c r="R241" s="306" t="str">
        <f t="shared" si="24"/>
        <v/>
      </c>
      <c r="S241" s="306" t="str">
        <f t="shared" si="25"/>
        <v/>
      </c>
      <c r="T241" s="306" t="str">
        <f t="shared" si="26"/>
        <v/>
      </c>
      <c r="U241" s="327" t="str">
        <f t="shared" si="27"/>
        <v/>
      </c>
      <c r="V241" s="105"/>
      <c r="W241" s="104"/>
      <c r="X241" s="104"/>
      <c r="AE241" s="107" t="str">
        <f t="shared" si="21"/>
        <v/>
      </c>
      <c r="AF241" s="107" t="str">
        <f t="shared" si="22"/>
        <v/>
      </c>
      <c r="AH241" s="107">
        <v>232</v>
      </c>
      <c r="AJ241" s="107" t="str">
        <f t="array" ref="AJ241">IFERROR(INDEX($AH$10:$AH$258,MATCH(0,IF(TRUE=$AE$10:$AE$258,COUNTIF($AJ$9:$AJ240,$AH$10:$AH$258),""),0)),"")</f>
        <v/>
      </c>
      <c r="AK241" s="107" t="str">
        <f t="array" ref="AK241">IFERROR(INDEX($AH$10:$AH$258,MATCH(0,IF(TRUE=$AF$10:$AF$258,COUNTIF($AK$9:$AK240,$AH$10:$AH$258),""),0)),"")</f>
        <v/>
      </c>
      <c r="AL241" s="30" t="str">
        <f>IFERROR(INDEX('G-6 Hedgerow Data'!$BJ$3:$BJ$15,MATCH(D241,'G-6 Hedgerow Data'!$B$3:$B$15,0)),"")</f>
        <v/>
      </c>
    </row>
    <row r="242" spans="2:38" ht="14" hidden="1">
      <c r="B242" s="97">
        <v>233</v>
      </c>
      <c r="C242" s="138"/>
      <c r="D242" s="138"/>
      <c r="E242" s="104"/>
      <c r="F242" s="323" t="str">
        <f>IF(D242="","",VLOOKUP(D242,'G-6 Hedgerow Data'!$B$2:$AG$15,2,FALSE))</f>
        <v/>
      </c>
      <c r="G242" s="276" t="str">
        <f>IF(D242="","",VLOOKUP(D242,'G-6 Hedgerow Data'!$B$2:$AG$15,3,FALSE))</f>
        <v/>
      </c>
      <c r="H242" s="101"/>
      <c r="I242" s="276" t="str">
        <f>IFERROR(IF(AND(D242&lt;&gt;"",H242=""),"Check data ⚠",IF(H242="","",IF(AND(D242="Non-native and ornamental hedgerow",H242&lt;&gt;"Poor"),"Not possible ▲",(VLOOKUP(H242,'G-1 All Habitats'!$Z$2:$AA$9,2,FALSE))))),"")</f>
        <v/>
      </c>
      <c r="J242" s="101"/>
      <c r="K242" s="283" t="str">
        <f>IF(AND(D242&lt;&gt;"",J242=""),"Check data ⚠",IF(J242="","",IF(VLOOKUP(J242,'G-3 Multipliers'!$L$3:$N$6,2,FALSE)=0,"Spatial Data Missing",VLOOKUP(J242,'G-3 Multipliers'!$L$3:$N$6,2,FALSE))))</f>
        <v/>
      </c>
      <c r="L242" s="281" t="str">
        <f>IF(J242="","",IF(VLOOKUP(J242,'G-3 Multipliers'!$L$3:$N$6,3,FALSE)=0,"Spatial Data Missing ⚠",VLOOKUP(J242,'G-3 Multipliers'!$L$3:$N$6,3,FALSE)))</f>
        <v/>
      </c>
      <c r="M242" s="282" t="str">
        <f>IF(D242="","",VLOOKUP(D242,'G-6 Hedgerow Data'!$B$1:$AH$15,33,FALSE))</f>
        <v/>
      </c>
      <c r="N242" s="289" t="str">
        <f t="shared" si="23"/>
        <v/>
      </c>
      <c r="O242" s="32"/>
      <c r="P242" s="105"/>
      <c r="Q242" s="138"/>
      <c r="R242" s="306" t="str">
        <f t="shared" si="24"/>
        <v/>
      </c>
      <c r="S242" s="306" t="str">
        <f t="shared" si="25"/>
        <v/>
      </c>
      <c r="T242" s="306" t="str">
        <f t="shared" si="26"/>
        <v/>
      </c>
      <c r="U242" s="327" t="str">
        <f t="shared" si="27"/>
        <v/>
      </c>
      <c r="V242" s="105"/>
      <c r="W242" s="104"/>
      <c r="X242" s="104"/>
      <c r="AE242" s="107" t="str">
        <f t="shared" si="21"/>
        <v/>
      </c>
      <c r="AF242" s="107" t="str">
        <f t="shared" si="22"/>
        <v/>
      </c>
      <c r="AH242" s="107">
        <v>233</v>
      </c>
      <c r="AJ242" s="107" t="str">
        <f t="array" ref="AJ242">IFERROR(INDEX($AH$10:$AH$258,MATCH(0,IF(TRUE=$AE$10:$AE$258,COUNTIF($AJ$9:$AJ241,$AH$10:$AH$258),""),0)),"")</f>
        <v/>
      </c>
      <c r="AK242" s="107" t="str">
        <f t="array" ref="AK242">IFERROR(INDEX($AH$10:$AH$258,MATCH(0,IF(TRUE=$AF$10:$AF$258,COUNTIF($AK$9:$AK241,$AH$10:$AH$258),""),0)),"")</f>
        <v/>
      </c>
      <c r="AL242" s="30" t="str">
        <f>IFERROR(INDEX('G-6 Hedgerow Data'!$BJ$3:$BJ$15,MATCH(D242,'G-6 Hedgerow Data'!$B$3:$B$15,0)),"")</f>
        <v/>
      </c>
    </row>
    <row r="243" spans="2:38" ht="14" hidden="1">
      <c r="B243" s="97">
        <v>234</v>
      </c>
      <c r="C243" s="138"/>
      <c r="D243" s="138"/>
      <c r="E243" s="104"/>
      <c r="F243" s="323" t="str">
        <f>IF(D243="","",VLOOKUP(D243,'G-6 Hedgerow Data'!$B$2:$AG$15,2,FALSE))</f>
        <v/>
      </c>
      <c r="G243" s="276" t="str">
        <f>IF(D243="","",VLOOKUP(D243,'G-6 Hedgerow Data'!$B$2:$AG$15,3,FALSE))</f>
        <v/>
      </c>
      <c r="H243" s="101"/>
      <c r="I243" s="276" t="str">
        <f>IFERROR(IF(AND(D243&lt;&gt;"",H243=""),"Check data ⚠",IF(H243="","",IF(AND(D243="Non-native and ornamental hedgerow",H243&lt;&gt;"Poor"),"Not possible ▲",(VLOOKUP(H243,'G-1 All Habitats'!$Z$2:$AA$9,2,FALSE))))),"")</f>
        <v/>
      </c>
      <c r="J243" s="101"/>
      <c r="K243" s="283" t="str">
        <f>IF(AND(D243&lt;&gt;"",J243=""),"Check data ⚠",IF(J243="","",IF(VLOOKUP(J243,'G-3 Multipliers'!$L$3:$N$6,2,FALSE)=0,"Spatial Data Missing",VLOOKUP(J243,'G-3 Multipliers'!$L$3:$N$6,2,FALSE))))</f>
        <v/>
      </c>
      <c r="L243" s="281" t="str">
        <f>IF(J243="","",IF(VLOOKUP(J243,'G-3 Multipliers'!$L$3:$N$6,3,FALSE)=0,"Spatial Data Missing ⚠",VLOOKUP(J243,'G-3 Multipliers'!$L$3:$N$6,3,FALSE)))</f>
        <v/>
      </c>
      <c r="M243" s="282" t="str">
        <f>IF(D243="","",VLOOKUP(D243,'G-6 Hedgerow Data'!$B$1:$AH$15,33,FALSE))</f>
        <v/>
      </c>
      <c r="N243" s="289" t="str">
        <f t="shared" si="23"/>
        <v/>
      </c>
      <c r="O243" s="32"/>
      <c r="P243" s="105"/>
      <c r="Q243" s="138"/>
      <c r="R243" s="306" t="str">
        <f t="shared" si="24"/>
        <v/>
      </c>
      <c r="S243" s="306" t="str">
        <f t="shared" si="25"/>
        <v/>
      </c>
      <c r="T243" s="306" t="str">
        <f t="shared" si="26"/>
        <v/>
      </c>
      <c r="U243" s="327" t="str">
        <f t="shared" si="27"/>
        <v/>
      </c>
      <c r="V243" s="105"/>
      <c r="W243" s="104"/>
      <c r="X243" s="104"/>
      <c r="AE243" s="107" t="str">
        <f t="shared" si="21"/>
        <v/>
      </c>
      <c r="AF243" s="107" t="str">
        <f t="shared" si="22"/>
        <v/>
      </c>
      <c r="AH243" s="107">
        <v>234</v>
      </c>
      <c r="AJ243" s="107" t="str">
        <f t="array" ref="AJ243">IFERROR(INDEX($AH$10:$AH$258,MATCH(0,IF(TRUE=$AE$10:$AE$258,COUNTIF($AJ$9:$AJ242,$AH$10:$AH$258),""),0)),"")</f>
        <v/>
      </c>
      <c r="AK243" s="107" t="str">
        <f t="array" ref="AK243">IFERROR(INDEX($AH$10:$AH$258,MATCH(0,IF(TRUE=$AF$10:$AF$258,COUNTIF($AK$9:$AK242,$AH$10:$AH$258),""),0)),"")</f>
        <v/>
      </c>
      <c r="AL243" s="30" t="str">
        <f>IFERROR(INDEX('G-6 Hedgerow Data'!$BJ$3:$BJ$15,MATCH(D243,'G-6 Hedgerow Data'!$B$3:$B$15,0)),"")</f>
        <v/>
      </c>
    </row>
    <row r="244" spans="2:38" ht="14" hidden="1">
      <c r="B244" s="97">
        <v>235</v>
      </c>
      <c r="C244" s="138"/>
      <c r="D244" s="138"/>
      <c r="E244" s="104"/>
      <c r="F244" s="323" t="str">
        <f>IF(D244="","",VLOOKUP(D244,'G-6 Hedgerow Data'!$B$2:$AG$15,2,FALSE))</f>
        <v/>
      </c>
      <c r="G244" s="276" t="str">
        <f>IF(D244="","",VLOOKUP(D244,'G-6 Hedgerow Data'!$B$2:$AG$15,3,FALSE))</f>
        <v/>
      </c>
      <c r="H244" s="101"/>
      <c r="I244" s="276" t="str">
        <f>IFERROR(IF(AND(D244&lt;&gt;"",H244=""),"Check data ⚠",IF(H244="","",IF(AND(D244="Non-native and ornamental hedgerow",H244&lt;&gt;"Poor"),"Not possible ▲",(VLOOKUP(H244,'G-1 All Habitats'!$Z$2:$AA$9,2,FALSE))))),"")</f>
        <v/>
      </c>
      <c r="J244" s="101"/>
      <c r="K244" s="283" t="str">
        <f>IF(AND(D244&lt;&gt;"",J244=""),"Check data ⚠",IF(J244="","",IF(VLOOKUP(J244,'G-3 Multipliers'!$L$3:$N$6,2,FALSE)=0,"Spatial Data Missing",VLOOKUP(J244,'G-3 Multipliers'!$L$3:$N$6,2,FALSE))))</f>
        <v/>
      </c>
      <c r="L244" s="281" t="str">
        <f>IF(J244="","",IF(VLOOKUP(J244,'G-3 Multipliers'!$L$3:$N$6,3,FALSE)=0,"Spatial Data Missing ⚠",VLOOKUP(J244,'G-3 Multipliers'!$L$3:$N$6,3,FALSE)))</f>
        <v/>
      </c>
      <c r="M244" s="282" t="str">
        <f>IF(D244="","",VLOOKUP(D244,'G-6 Hedgerow Data'!$B$1:$AH$15,33,FALSE))</f>
        <v/>
      </c>
      <c r="N244" s="289" t="str">
        <f t="shared" si="23"/>
        <v/>
      </c>
      <c r="O244" s="32"/>
      <c r="P244" s="105"/>
      <c r="Q244" s="138"/>
      <c r="R244" s="306" t="str">
        <f t="shared" si="24"/>
        <v/>
      </c>
      <c r="S244" s="306" t="str">
        <f t="shared" si="25"/>
        <v/>
      </c>
      <c r="T244" s="306" t="str">
        <f t="shared" si="26"/>
        <v/>
      </c>
      <c r="U244" s="327" t="str">
        <f t="shared" si="27"/>
        <v/>
      </c>
      <c r="V244" s="105"/>
      <c r="W244" s="104"/>
      <c r="X244" s="104"/>
      <c r="AE244" s="107" t="str">
        <f t="shared" si="21"/>
        <v/>
      </c>
      <c r="AF244" s="107" t="str">
        <f t="shared" si="22"/>
        <v/>
      </c>
      <c r="AH244" s="107">
        <v>235</v>
      </c>
      <c r="AJ244" s="107" t="str">
        <f t="array" ref="AJ244">IFERROR(INDEX($AH$10:$AH$258,MATCH(0,IF(TRUE=$AE$10:$AE$258,COUNTIF($AJ$9:$AJ243,$AH$10:$AH$258),""),0)),"")</f>
        <v/>
      </c>
      <c r="AK244" s="107" t="str">
        <f t="array" ref="AK244">IFERROR(INDEX($AH$10:$AH$258,MATCH(0,IF(TRUE=$AF$10:$AF$258,COUNTIF($AK$9:$AK243,$AH$10:$AH$258),""),0)),"")</f>
        <v/>
      </c>
      <c r="AL244" s="30" t="str">
        <f>IFERROR(INDEX('G-6 Hedgerow Data'!$BJ$3:$BJ$15,MATCH(D244,'G-6 Hedgerow Data'!$B$3:$B$15,0)),"")</f>
        <v/>
      </c>
    </row>
    <row r="245" spans="2:38" ht="14" hidden="1">
      <c r="B245" s="97">
        <v>236</v>
      </c>
      <c r="C245" s="138"/>
      <c r="D245" s="138"/>
      <c r="E245" s="104"/>
      <c r="F245" s="323" t="str">
        <f>IF(D245="","",VLOOKUP(D245,'G-6 Hedgerow Data'!$B$2:$AG$15,2,FALSE))</f>
        <v/>
      </c>
      <c r="G245" s="276" t="str">
        <f>IF(D245="","",VLOOKUP(D245,'G-6 Hedgerow Data'!$B$2:$AG$15,3,FALSE))</f>
        <v/>
      </c>
      <c r="H245" s="101"/>
      <c r="I245" s="276" t="str">
        <f>IFERROR(IF(AND(D245&lt;&gt;"",H245=""),"Check data ⚠",IF(H245="","",IF(AND(D245="Non-native and ornamental hedgerow",H245&lt;&gt;"Poor"),"Not possible ▲",(VLOOKUP(H245,'G-1 All Habitats'!$Z$2:$AA$9,2,FALSE))))),"")</f>
        <v/>
      </c>
      <c r="J245" s="101"/>
      <c r="K245" s="283" t="str">
        <f>IF(AND(D245&lt;&gt;"",J245=""),"Check data ⚠",IF(J245="","",IF(VLOOKUP(J245,'G-3 Multipliers'!$L$3:$N$6,2,FALSE)=0,"Spatial Data Missing",VLOOKUP(J245,'G-3 Multipliers'!$L$3:$N$6,2,FALSE))))</f>
        <v/>
      </c>
      <c r="L245" s="281" t="str">
        <f>IF(J245="","",IF(VLOOKUP(J245,'G-3 Multipliers'!$L$3:$N$6,3,FALSE)=0,"Spatial Data Missing ⚠",VLOOKUP(J245,'G-3 Multipliers'!$L$3:$N$6,3,FALSE)))</f>
        <v/>
      </c>
      <c r="M245" s="282" t="str">
        <f>IF(D245="","",VLOOKUP(D245,'G-6 Hedgerow Data'!$B$1:$AH$15,33,FALSE))</f>
        <v/>
      </c>
      <c r="N245" s="289" t="str">
        <f t="shared" si="23"/>
        <v/>
      </c>
      <c r="O245" s="32"/>
      <c r="P245" s="105"/>
      <c r="Q245" s="138"/>
      <c r="R245" s="306" t="str">
        <f t="shared" si="24"/>
        <v/>
      </c>
      <c r="S245" s="306" t="str">
        <f t="shared" si="25"/>
        <v/>
      </c>
      <c r="T245" s="306" t="str">
        <f t="shared" si="26"/>
        <v/>
      </c>
      <c r="U245" s="327" t="str">
        <f t="shared" si="27"/>
        <v/>
      </c>
      <c r="V245" s="105"/>
      <c r="W245" s="104"/>
      <c r="X245" s="104"/>
      <c r="AE245" s="107" t="str">
        <f t="shared" si="21"/>
        <v/>
      </c>
      <c r="AF245" s="107" t="str">
        <f t="shared" si="22"/>
        <v/>
      </c>
      <c r="AH245" s="107">
        <v>236</v>
      </c>
      <c r="AJ245" s="107" t="str">
        <f t="array" ref="AJ245">IFERROR(INDEX($AH$10:$AH$258,MATCH(0,IF(TRUE=$AE$10:$AE$258,COUNTIF($AJ$9:$AJ244,$AH$10:$AH$258),""),0)),"")</f>
        <v/>
      </c>
      <c r="AK245" s="107" t="str">
        <f t="array" ref="AK245">IFERROR(INDEX($AH$10:$AH$258,MATCH(0,IF(TRUE=$AF$10:$AF$258,COUNTIF($AK$9:$AK244,$AH$10:$AH$258),""),0)),"")</f>
        <v/>
      </c>
      <c r="AL245" s="30" t="str">
        <f>IFERROR(INDEX('G-6 Hedgerow Data'!$BJ$3:$BJ$15,MATCH(D245,'G-6 Hedgerow Data'!$B$3:$B$15,0)),"")</f>
        <v/>
      </c>
    </row>
    <row r="246" spans="2:38" ht="14" hidden="1">
      <c r="B246" s="97">
        <v>237</v>
      </c>
      <c r="C246" s="138"/>
      <c r="D246" s="138"/>
      <c r="E246" s="104"/>
      <c r="F246" s="323" t="str">
        <f>IF(D246="","",VLOOKUP(D246,'G-6 Hedgerow Data'!$B$2:$AG$15,2,FALSE))</f>
        <v/>
      </c>
      <c r="G246" s="276" t="str">
        <f>IF(D246="","",VLOOKUP(D246,'G-6 Hedgerow Data'!$B$2:$AG$15,3,FALSE))</f>
        <v/>
      </c>
      <c r="H246" s="101"/>
      <c r="I246" s="276" t="str">
        <f>IFERROR(IF(AND(D246&lt;&gt;"",H246=""),"Check data ⚠",IF(H246="","",IF(AND(D246="Non-native and ornamental hedgerow",H246&lt;&gt;"Poor"),"Not possible ▲",(VLOOKUP(H246,'G-1 All Habitats'!$Z$2:$AA$9,2,FALSE))))),"")</f>
        <v/>
      </c>
      <c r="J246" s="101"/>
      <c r="K246" s="283" t="str">
        <f>IF(AND(D246&lt;&gt;"",J246=""),"Check data ⚠",IF(J246="","",IF(VLOOKUP(J246,'G-3 Multipliers'!$L$3:$N$6,2,FALSE)=0,"Spatial Data Missing",VLOOKUP(J246,'G-3 Multipliers'!$L$3:$N$6,2,FALSE))))</f>
        <v/>
      </c>
      <c r="L246" s="281" t="str">
        <f>IF(J246="","",IF(VLOOKUP(J246,'G-3 Multipliers'!$L$3:$N$6,3,FALSE)=0,"Spatial Data Missing ⚠",VLOOKUP(J246,'G-3 Multipliers'!$L$3:$N$6,3,FALSE)))</f>
        <v/>
      </c>
      <c r="M246" s="282" t="str">
        <f>IF(D246="","",VLOOKUP(D246,'G-6 Hedgerow Data'!$B$1:$AH$15,33,FALSE))</f>
        <v/>
      </c>
      <c r="N246" s="289" t="str">
        <f t="shared" si="23"/>
        <v/>
      </c>
      <c r="O246" s="32"/>
      <c r="P246" s="105"/>
      <c r="Q246" s="138"/>
      <c r="R246" s="306" t="str">
        <f t="shared" si="24"/>
        <v/>
      </c>
      <c r="S246" s="306" t="str">
        <f t="shared" si="25"/>
        <v/>
      </c>
      <c r="T246" s="306" t="str">
        <f t="shared" si="26"/>
        <v/>
      </c>
      <c r="U246" s="327" t="str">
        <f t="shared" si="27"/>
        <v/>
      </c>
      <c r="V246" s="105"/>
      <c r="W246" s="104"/>
      <c r="X246" s="104"/>
      <c r="AE246" s="107" t="str">
        <f t="shared" si="21"/>
        <v/>
      </c>
      <c r="AF246" s="107" t="str">
        <f t="shared" si="22"/>
        <v/>
      </c>
      <c r="AH246" s="107">
        <v>237</v>
      </c>
      <c r="AJ246" s="107" t="str">
        <f t="array" ref="AJ246">IFERROR(INDEX($AH$10:$AH$258,MATCH(0,IF(TRUE=$AE$10:$AE$258,COUNTIF($AJ$9:$AJ245,$AH$10:$AH$258),""),0)),"")</f>
        <v/>
      </c>
      <c r="AK246" s="107" t="str">
        <f t="array" ref="AK246">IFERROR(INDEX($AH$10:$AH$258,MATCH(0,IF(TRUE=$AF$10:$AF$258,COUNTIF($AK$9:$AK245,$AH$10:$AH$258),""),0)),"")</f>
        <v/>
      </c>
      <c r="AL246" s="30" t="str">
        <f>IFERROR(INDEX('G-6 Hedgerow Data'!$BJ$3:$BJ$15,MATCH(D246,'G-6 Hedgerow Data'!$B$3:$B$15,0)),"")</f>
        <v/>
      </c>
    </row>
    <row r="247" spans="2:38" ht="14" hidden="1">
      <c r="B247" s="97">
        <v>238</v>
      </c>
      <c r="C247" s="138"/>
      <c r="D247" s="138"/>
      <c r="E247" s="104"/>
      <c r="F247" s="323" t="str">
        <f>IF(D247="","",VLOOKUP(D247,'G-6 Hedgerow Data'!$B$2:$AG$15,2,FALSE))</f>
        <v/>
      </c>
      <c r="G247" s="276" t="str">
        <f>IF(D247="","",VLOOKUP(D247,'G-6 Hedgerow Data'!$B$2:$AG$15,3,FALSE))</f>
        <v/>
      </c>
      <c r="H247" s="101"/>
      <c r="I247" s="276" t="str">
        <f>IFERROR(IF(AND(D247&lt;&gt;"",H247=""),"Check data ⚠",IF(H247="","",IF(AND(D247="Non-native and ornamental hedgerow",H247&lt;&gt;"Poor"),"Not possible ▲",(VLOOKUP(H247,'G-1 All Habitats'!$Z$2:$AA$9,2,FALSE))))),"")</f>
        <v/>
      </c>
      <c r="J247" s="101"/>
      <c r="K247" s="283" t="str">
        <f>IF(AND(D247&lt;&gt;"",J247=""),"Check data ⚠",IF(J247="","",IF(VLOOKUP(J247,'G-3 Multipliers'!$L$3:$N$6,2,FALSE)=0,"Spatial Data Missing",VLOOKUP(J247,'G-3 Multipliers'!$L$3:$N$6,2,FALSE))))</f>
        <v/>
      </c>
      <c r="L247" s="281" t="str">
        <f>IF(J247="","",IF(VLOOKUP(J247,'G-3 Multipliers'!$L$3:$N$6,3,FALSE)=0,"Spatial Data Missing ⚠",VLOOKUP(J247,'G-3 Multipliers'!$L$3:$N$6,3,FALSE)))</f>
        <v/>
      </c>
      <c r="M247" s="282" t="str">
        <f>IF(D247="","",VLOOKUP(D247,'G-6 Hedgerow Data'!$B$1:$AH$15,33,FALSE))</f>
        <v/>
      </c>
      <c r="N247" s="289" t="str">
        <f t="shared" si="23"/>
        <v/>
      </c>
      <c r="O247" s="32"/>
      <c r="P247" s="105"/>
      <c r="Q247" s="138"/>
      <c r="R247" s="306" t="str">
        <f t="shared" si="24"/>
        <v/>
      </c>
      <c r="S247" s="306" t="str">
        <f t="shared" si="25"/>
        <v/>
      </c>
      <c r="T247" s="306" t="str">
        <f t="shared" si="26"/>
        <v/>
      </c>
      <c r="U247" s="327" t="str">
        <f t="shared" si="27"/>
        <v/>
      </c>
      <c r="V247" s="105"/>
      <c r="W247" s="104"/>
      <c r="X247" s="104"/>
      <c r="AE247" s="107" t="str">
        <f t="shared" si="21"/>
        <v/>
      </c>
      <c r="AF247" s="107" t="str">
        <f t="shared" si="22"/>
        <v/>
      </c>
      <c r="AH247" s="107">
        <v>238</v>
      </c>
      <c r="AJ247" s="107" t="str">
        <f t="array" ref="AJ247">IFERROR(INDEX($AH$10:$AH$258,MATCH(0,IF(TRUE=$AE$10:$AE$258,COUNTIF($AJ$9:$AJ246,$AH$10:$AH$258),""),0)),"")</f>
        <v/>
      </c>
      <c r="AK247" s="107" t="str">
        <f t="array" ref="AK247">IFERROR(INDEX($AH$10:$AH$258,MATCH(0,IF(TRUE=$AF$10:$AF$258,COUNTIF($AK$9:$AK246,$AH$10:$AH$258),""),0)),"")</f>
        <v/>
      </c>
      <c r="AL247" s="30" t="str">
        <f>IFERROR(INDEX('G-6 Hedgerow Data'!$BJ$3:$BJ$15,MATCH(D247,'G-6 Hedgerow Data'!$B$3:$B$15,0)),"")</f>
        <v/>
      </c>
    </row>
    <row r="248" spans="2:38" ht="14" hidden="1">
      <c r="B248" s="97">
        <v>239</v>
      </c>
      <c r="C248" s="138"/>
      <c r="D248" s="138"/>
      <c r="E248" s="104"/>
      <c r="F248" s="323" t="str">
        <f>IF(D248="","",VLOOKUP(D248,'G-6 Hedgerow Data'!$B$2:$AG$15,2,FALSE))</f>
        <v/>
      </c>
      <c r="G248" s="276" t="str">
        <f>IF(D248="","",VLOOKUP(D248,'G-6 Hedgerow Data'!$B$2:$AG$15,3,FALSE))</f>
        <v/>
      </c>
      <c r="H248" s="101"/>
      <c r="I248" s="276" t="str">
        <f>IFERROR(IF(AND(D248&lt;&gt;"",H248=""),"Check data ⚠",IF(H248="","",IF(AND(D248="Non-native and ornamental hedgerow",H248&lt;&gt;"Poor"),"Not possible ▲",(VLOOKUP(H248,'G-1 All Habitats'!$Z$2:$AA$9,2,FALSE))))),"")</f>
        <v/>
      </c>
      <c r="J248" s="101"/>
      <c r="K248" s="283" t="str">
        <f>IF(AND(D248&lt;&gt;"",J248=""),"Check data ⚠",IF(J248="","",IF(VLOOKUP(J248,'G-3 Multipliers'!$L$3:$N$6,2,FALSE)=0,"Spatial Data Missing",VLOOKUP(J248,'G-3 Multipliers'!$L$3:$N$6,2,FALSE))))</f>
        <v/>
      </c>
      <c r="L248" s="281" t="str">
        <f>IF(J248="","",IF(VLOOKUP(J248,'G-3 Multipliers'!$L$3:$N$6,3,FALSE)=0,"Spatial Data Missing ⚠",VLOOKUP(J248,'G-3 Multipliers'!$L$3:$N$6,3,FALSE)))</f>
        <v/>
      </c>
      <c r="M248" s="282" t="str">
        <f>IF(D248="","",VLOOKUP(D248,'G-6 Hedgerow Data'!$B$1:$AH$15,33,FALSE))</f>
        <v/>
      </c>
      <c r="N248" s="289" t="str">
        <f t="shared" si="23"/>
        <v/>
      </c>
      <c r="O248" s="32"/>
      <c r="P248" s="105"/>
      <c r="Q248" s="138"/>
      <c r="R248" s="306" t="str">
        <f t="shared" si="24"/>
        <v/>
      </c>
      <c r="S248" s="306" t="str">
        <f t="shared" si="25"/>
        <v/>
      </c>
      <c r="T248" s="306" t="str">
        <f t="shared" si="26"/>
        <v/>
      </c>
      <c r="U248" s="327" t="str">
        <f t="shared" si="27"/>
        <v/>
      </c>
      <c r="V248" s="105"/>
      <c r="W248" s="104"/>
      <c r="X248" s="104"/>
      <c r="AE248" s="107" t="str">
        <f t="shared" si="21"/>
        <v/>
      </c>
      <c r="AF248" s="107" t="str">
        <f t="shared" si="22"/>
        <v/>
      </c>
      <c r="AH248" s="107">
        <v>239</v>
      </c>
      <c r="AJ248" s="107" t="str">
        <f t="array" ref="AJ248">IFERROR(INDEX($AH$10:$AH$258,MATCH(0,IF(TRUE=$AE$10:$AE$258,COUNTIF($AJ$9:$AJ247,$AH$10:$AH$258),""),0)),"")</f>
        <v/>
      </c>
      <c r="AK248" s="107" t="str">
        <f t="array" ref="AK248">IFERROR(INDEX($AH$10:$AH$258,MATCH(0,IF(TRUE=$AF$10:$AF$258,COUNTIF($AK$9:$AK247,$AH$10:$AH$258),""),0)),"")</f>
        <v/>
      </c>
      <c r="AL248" s="30" t="str">
        <f>IFERROR(INDEX('G-6 Hedgerow Data'!$BJ$3:$BJ$15,MATCH(D248,'G-6 Hedgerow Data'!$B$3:$B$15,0)),"")</f>
        <v/>
      </c>
    </row>
    <row r="249" spans="2:38" ht="14" hidden="1">
      <c r="B249" s="97">
        <v>240</v>
      </c>
      <c r="C249" s="138"/>
      <c r="D249" s="138"/>
      <c r="E249" s="104"/>
      <c r="F249" s="323" t="str">
        <f>IF(D249="","",VLOOKUP(D249,'G-6 Hedgerow Data'!$B$2:$AG$15,2,FALSE))</f>
        <v/>
      </c>
      <c r="G249" s="276" t="str">
        <f>IF(D249="","",VLOOKUP(D249,'G-6 Hedgerow Data'!$B$2:$AG$15,3,FALSE))</f>
        <v/>
      </c>
      <c r="H249" s="101"/>
      <c r="I249" s="276" t="str">
        <f>IFERROR(IF(AND(D249&lt;&gt;"",H249=""),"Check data ⚠",IF(H249="","",IF(AND(D249="Non-native and ornamental hedgerow",H249&lt;&gt;"Poor"),"Not possible ▲",(VLOOKUP(H249,'G-1 All Habitats'!$Z$2:$AA$9,2,FALSE))))),"")</f>
        <v/>
      </c>
      <c r="J249" s="101"/>
      <c r="K249" s="283" t="str">
        <f>IF(AND(D249&lt;&gt;"",J249=""),"Check data ⚠",IF(J249="","",IF(VLOOKUP(J249,'G-3 Multipliers'!$L$3:$N$6,2,FALSE)=0,"Spatial Data Missing",VLOOKUP(J249,'G-3 Multipliers'!$L$3:$N$6,2,FALSE))))</f>
        <v/>
      </c>
      <c r="L249" s="281" t="str">
        <f>IF(J249="","",IF(VLOOKUP(J249,'G-3 Multipliers'!$L$3:$N$6,3,FALSE)=0,"Spatial Data Missing ⚠",VLOOKUP(J249,'G-3 Multipliers'!$L$3:$N$6,3,FALSE)))</f>
        <v/>
      </c>
      <c r="M249" s="282" t="str">
        <f>IF(D249="","",VLOOKUP(D249,'G-6 Hedgerow Data'!$B$1:$AH$15,33,FALSE))</f>
        <v/>
      </c>
      <c r="N249" s="289" t="str">
        <f t="shared" si="23"/>
        <v/>
      </c>
      <c r="O249" s="32"/>
      <c r="P249" s="105"/>
      <c r="Q249" s="138"/>
      <c r="R249" s="306" t="str">
        <f t="shared" si="24"/>
        <v/>
      </c>
      <c r="S249" s="306" t="str">
        <f t="shared" si="25"/>
        <v/>
      </c>
      <c r="T249" s="306" t="str">
        <f t="shared" si="26"/>
        <v/>
      </c>
      <c r="U249" s="327" t="str">
        <f t="shared" si="27"/>
        <v/>
      </c>
      <c r="V249" s="105"/>
      <c r="W249" s="104"/>
      <c r="X249" s="104"/>
      <c r="AE249" s="107" t="str">
        <f t="shared" si="21"/>
        <v/>
      </c>
      <c r="AF249" s="107" t="str">
        <f t="shared" si="22"/>
        <v/>
      </c>
      <c r="AH249" s="107">
        <v>240</v>
      </c>
      <c r="AJ249" s="107" t="str">
        <f t="array" ref="AJ249">IFERROR(INDEX($AH$10:$AH$258,MATCH(0,IF(TRUE=$AE$10:$AE$258,COUNTIF($AJ$9:$AJ248,$AH$10:$AH$258),""),0)),"")</f>
        <v/>
      </c>
      <c r="AK249" s="107" t="str">
        <f t="array" ref="AK249">IFERROR(INDEX($AH$10:$AH$258,MATCH(0,IF(TRUE=$AF$10:$AF$258,COUNTIF($AK$9:$AK248,$AH$10:$AH$258),""),0)),"")</f>
        <v/>
      </c>
      <c r="AL249" s="30" t="str">
        <f>IFERROR(INDEX('G-6 Hedgerow Data'!$BJ$3:$BJ$15,MATCH(D249,'G-6 Hedgerow Data'!$B$3:$B$15,0)),"")</f>
        <v/>
      </c>
    </row>
    <row r="250" spans="2:38" ht="14" hidden="1">
      <c r="B250" s="97">
        <v>241</v>
      </c>
      <c r="C250" s="138"/>
      <c r="D250" s="138"/>
      <c r="E250" s="104"/>
      <c r="F250" s="323" t="str">
        <f>IF(D250="","",VLOOKUP(D250,'G-6 Hedgerow Data'!$B$2:$AG$15,2,FALSE))</f>
        <v/>
      </c>
      <c r="G250" s="276" t="str">
        <f>IF(D250="","",VLOOKUP(D250,'G-6 Hedgerow Data'!$B$2:$AG$15,3,FALSE))</f>
        <v/>
      </c>
      <c r="H250" s="101"/>
      <c r="I250" s="276" t="str">
        <f>IFERROR(IF(AND(D250&lt;&gt;"",H250=""),"Check data ⚠",IF(H250="","",IF(AND(D250="Non-native and ornamental hedgerow",H250&lt;&gt;"Poor"),"Not possible ▲",(VLOOKUP(H250,'G-1 All Habitats'!$Z$2:$AA$9,2,FALSE))))),"")</f>
        <v/>
      </c>
      <c r="J250" s="101"/>
      <c r="K250" s="283" t="str">
        <f>IF(AND(D250&lt;&gt;"",J250=""),"Check data ⚠",IF(J250="","",IF(VLOOKUP(J250,'G-3 Multipliers'!$L$3:$N$6,2,FALSE)=0,"Spatial Data Missing",VLOOKUP(J250,'G-3 Multipliers'!$L$3:$N$6,2,FALSE))))</f>
        <v/>
      </c>
      <c r="L250" s="281" t="str">
        <f>IF(J250="","",IF(VLOOKUP(J250,'G-3 Multipliers'!$L$3:$N$6,3,FALSE)=0,"Spatial Data Missing ⚠",VLOOKUP(J250,'G-3 Multipliers'!$L$3:$N$6,3,FALSE)))</f>
        <v/>
      </c>
      <c r="M250" s="282" t="str">
        <f>IF(D250="","",VLOOKUP(D250,'G-6 Hedgerow Data'!$B$1:$AH$15,33,FALSE))</f>
        <v/>
      </c>
      <c r="N250" s="289" t="str">
        <f t="shared" si="23"/>
        <v/>
      </c>
      <c r="O250" s="32"/>
      <c r="P250" s="105"/>
      <c r="Q250" s="138"/>
      <c r="R250" s="306" t="str">
        <f t="shared" si="24"/>
        <v/>
      </c>
      <c r="S250" s="306" t="str">
        <f t="shared" si="25"/>
        <v/>
      </c>
      <c r="T250" s="306" t="str">
        <f t="shared" si="26"/>
        <v/>
      </c>
      <c r="U250" s="327" t="str">
        <f t="shared" si="27"/>
        <v/>
      </c>
      <c r="V250" s="105"/>
      <c r="W250" s="104"/>
      <c r="X250" s="104"/>
      <c r="AE250" s="107" t="str">
        <f t="shared" si="21"/>
        <v/>
      </c>
      <c r="AF250" s="107" t="str">
        <f t="shared" si="22"/>
        <v/>
      </c>
      <c r="AH250" s="107">
        <v>241</v>
      </c>
      <c r="AJ250" s="107" t="str">
        <f t="array" ref="AJ250">IFERROR(INDEX($AH$10:$AH$258,MATCH(0,IF(TRUE=$AE$10:$AE$258,COUNTIF($AJ$9:$AJ249,$AH$10:$AH$258),""),0)),"")</f>
        <v/>
      </c>
      <c r="AK250" s="107" t="str">
        <f t="array" ref="AK250">IFERROR(INDEX($AH$10:$AH$258,MATCH(0,IF(TRUE=$AF$10:$AF$258,COUNTIF($AK$9:$AK249,$AH$10:$AH$258),""),0)),"")</f>
        <v/>
      </c>
      <c r="AL250" s="30" t="str">
        <f>IFERROR(INDEX('G-6 Hedgerow Data'!$BJ$3:$BJ$15,MATCH(D250,'G-6 Hedgerow Data'!$B$3:$B$15,0)),"")</f>
        <v/>
      </c>
    </row>
    <row r="251" spans="2:38" ht="14" hidden="1">
      <c r="B251" s="97">
        <v>242</v>
      </c>
      <c r="C251" s="138"/>
      <c r="D251" s="138"/>
      <c r="E251" s="104"/>
      <c r="F251" s="323" t="str">
        <f>IF(D251="","",VLOOKUP(D251,'G-6 Hedgerow Data'!$B$2:$AG$15,2,FALSE))</f>
        <v/>
      </c>
      <c r="G251" s="276" t="str">
        <f>IF(D251="","",VLOOKUP(D251,'G-6 Hedgerow Data'!$B$2:$AG$15,3,FALSE))</f>
        <v/>
      </c>
      <c r="H251" s="101"/>
      <c r="I251" s="276" t="str">
        <f>IFERROR(IF(AND(D251&lt;&gt;"",H251=""),"Check data ⚠",IF(H251="","",IF(AND(D251="Non-native and ornamental hedgerow",H251&lt;&gt;"Poor"),"Not possible ▲",(VLOOKUP(H251,'G-1 All Habitats'!$Z$2:$AA$9,2,FALSE))))),"")</f>
        <v/>
      </c>
      <c r="J251" s="101"/>
      <c r="K251" s="283" t="str">
        <f>IF(AND(D251&lt;&gt;"",J251=""),"Check data ⚠",IF(J251="","",IF(VLOOKUP(J251,'G-3 Multipliers'!$L$3:$N$6,2,FALSE)=0,"Spatial Data Missing",VLOOKUP(J251,'G-3 Multipliers'!$L$3:$N$6,2,FALSE))))</f>
        <v/>
      </c>
      <c r="L251" s="281" t="str">
        <f>IF(J251="","",IF(VLOOKUP(J251,'G-3 Multipliers'!$L$3:$N$6,3,FALSE)=0,"Spatial Data Missing ⚠",VLOOKUP(J251,'G-3 Multipliers'!$L$3:$N$6,3,FALSE)))</f>
        <v/>
      </c>
      <c r="M251" s="282" t="str">
        <f>IF(D251="","",VLOOKUP(D251,'G-6 Hedgerow Data'!$B$1:$AH$15,33,FALSE))</f>
        <v/>
      </c>
      <c r="N251" s="289" t="str">
        <f t="shared" si="23"/>
        <v/>
      </c>
      <c r="O251" s="32"/>
      <c r="P251" s="105"/>
      <c r="Q251" s="138"/>
      <c r="R251" s="306" t="str">
        <f t="shared" si="24"/>
        <v/>
      </c>
      <c r="S251" s="306" t="str">
        <f t="shared" si="25"/>
        <v/>
      </c>
      <c r="T251" s="306" t="str">
        <f t="shared" si="26"/>
        <v/>
      </c>
      <c r="U251" s="327" t="str">
        <f t="shared" si="27"/>
        <v/>
      </c>
      <c r="V251" s="105"/>
      <c r="W251" s="104"/>
      <c r="X251" s="104"/>
      <c r="AE251" s="107" t="str">
        <f t="shared" si="21"/>
        <v/>
      </c>
      <c r="AF251" s="107" t="str">
        <f t="shared" si="22"/>
        <v/>
      </c>
      <c r="AH251" s="107">
        <v>242</v>
      </c>
      <c r="AJ251" s="107" t="str">
        <f t="array" ref="AJ251">IFERROR(INDEX($AH$10:$AH$258,MATCH(0,IF(TRUE=$AE$10:$AE$258,COUNTIF($AJ$9:$AJ250,$AH$10:$AH$258),""),0)),"")</f>
        <v/>
      </c>
      <c r="AK251" s="107" t="str">
        <f t="array" ref="AK251">IFERROR(INDEX($AH$10:$AH$258,MATCH(0,IF(TRUE=$AF$10:$AF$258,COUNTIF($AK$9:$AK250,$AH$10:$AH$258),""),0)),"")</f>
        <v/>
      </c>
      <c r="AL251" s="30" t="str">
        <f>IFERROR(INDEX('G-6 Hedgerow Data'!$BJ$3:$BJ$15,MATCH(D251,'G-6 Hedgerow Data'!$B$3:$B$15,0)),"")</f>
        <v/>
      </c>
    </row>
    <row r="252" spans="2:38" ht="14" hidden="1">
      <c r="B252" s="97">
        <v>243</v>
      </c>
      <c r="C252" s="138"/>
      <c r="D252" s="138"/>
      <c r="E252" s="104"/>
      <c r="F252" s="323" t="str">
        <f>IF(D252="","",VLOOKUP(D252,'G-6 Hedgerow Data'!$B$2:$AG$15,2,FALSE))</f>
        <v/>
      </c>
      <c r="G252" s="276" t="str">
        <f>IF(D252="","",VLOOKUP(D252,'G-6 Hedgerow Data'!$B$2:$AG$15,3,FALSE))</f>
        <v/>
      </c>
      <c r="H252" s="101"/>
      <c r="I252" s="276" t="str">
        <f>IFERROR(IF(AND(D252&lt;&gt;"",H252=""),"Check data ⚠",IF(H252="","",IF(AND(D252="Non-native and ornamental hedgerow",H252&lt;&gt;"Poor"),"Not possible ▲",(VLOOKUP(H252,'G-1 All Habitats'!$Z$2:$AA$9,2,FALSE))))),"")</f>
        <v/>
      </c>
      <c r="J252" s="101"/>
      <c r="K252" s="283" t="str">
        <f>IF(AND(D252&lt;&gt;"",J252=""),"Check data ⚠",IF(J252="","",IF(VLOOKUP(J252,'G-3 Multipliers'!$L$3:$N$6,2,FALSE)=0,"Spatial Data Missing",VLOOKUP(J252,'G-3 Multipliers'!$L$3:$N$6,2,FALSE))))</f>
        <v/>
      </c>
      <c r="L252" s="281" t="str">
        <f>IF(J252="","",IF(VLOOKUP(J252,'G-3 Multipliers'!$L$3:$N$6,3,FALSE)=0,"Spatial Data Missing ⚠",VLOOKUP(J252,'G-3 Multipliers'!$L$3:$N$6,3,FALSE)))</f>
        <v/>
      </c>
      <c r="M252" s="282" t="str">
        <f>IF(D252="","",VLOOKUP(D252,'G-6 Hedgerow Data'!$B$1:$AH$15,33,FALSE))</f>
        <v/>
      </c>
      <c r="N252" s="289" t="str">
        <f t="shared" si="23"/>
        <v/>
      </c>
      <c r="O252" s="32"/>
      <c r="P252" s="105"/>
      <c r="Q252" s="138"/>
      <c r="R252" s="306" t="str">
        <f t="shared" si="24"/>
        <v/>
      </c>
      <c r="S252" s="306" t="str">
        <f t="shared" si="25"/>
        <v/>
      </c>
      <c r="T252" s="306" t="str">
        <f t="shared" si="26"/>
        <v/>
      </c>
      <c r="U252" s="327" t="str">
        <f t="shared" si="27"/>
        <v/>
      </c>
      <c r="V252" s="105"/>
      <c r="W252" s="104"/>
      <c r="X252" s="104"/>
      <c r="AE252" s="107" t="str">
        <f t="shared" si="21"/>
        <v/>
      </c>
      <c r="AF252" s="107" t="str">
        <f t="shared" si="22"/>
        <v/>
      </c>
      <c r="AH252" s="107">
        <v>243</v>
      </c>
      <c r="AJ252" s="107" t="str">
        <f t="array" ref="AJ252">IFERROR(INDEX($AH$10:$AH$258,MATCH(0,IF(TRUE=$AE$10:$AE$258,COUNTIF($AJ$9:$AJ251,$AH$10:$AH$258),""),0)),"")</f>
        <v/>
      </c>
      <c r="AK252" s="107" t="str">
        <f t="array" ref="AK252">IFERROR(INDEX($AH$10:$AH$258,MATCH(0,IF(TRUE=$AF$10:$AF$258,COUNTIF($AK$9:$AK251,$AH$10:$AH$258),""),0)),"")</f>
        <v/>
      </c>
      <c r="AL252" s="30" t="str">
        <f>IFERROR(INDEX('G-6 Hedgerow Data'!$BJ$3:$BJ$15,MATCH(D252,'G-6 Hedgerow Data'!$B$3:$B$15,0)),"")</f>
        <v/>
      </c>
    </row>
    <row r="253" spans="2:38" ht="14" hidden="1">
      <c r="B253" s="97">
        <v>244</v>
      </c>
      <c r="C253" s="138"/>
      <c r="D253" s="138"/>
      <c r="E253" s="104"/>
      <c r="F253" s="323" t="str">
        <f>IF(D253="","",VLOOKUP(D253,'G-6 Hedgerow Data'!$B$2:$AG$15,2,FALSE))</f>
        <v/>
      </c>
      <c r="G253" s="276" t="str">
        <f>IF(D253="","",VLOOKUP(D253,'G-6 Hedgerow Data'!$B$2:$AG$15,3,FALSE))</f>
        <v/>
      </c>
      <c r="H253" s="101"/>
      <c r="I253" s="276" t="str">
        <f>IFERROR(IF(AND(D253&lt;&gt;"",H253=""),"Check data ⚠",IF(H253="","",IF(AND(D253="Non-native and ornamental hedgerow",H253&lt;&gt;"Poor"),"Not possible ▲",(VLOOKUP(H253,'G-1 All Habitats'!$Z$2:$AA$9,2,FALSE))))),"")</f>
        <v/>
      </c>
      <c r="J253" s="101"/>
      <c r="K253" s="283" t="str">
        <f>IF(AND(D253&lt;&gt;"",J253=""),"Check data ⚠",IF(J253="","",IF(VLOOKUP(J253,'G-3 Multipliers'!$L$3:$N$6,2,FALSE)=0,"Spatial Data Missing",VLOOKUP(J253,'G-3 Multipliers'!$L$3:$N$6,2,FALSE))))</f>
        <v/>
      </c>
      <c r="L253" s="281" t="str">
        <f>IF(J253="","",IF(VLOOKUP(J253,'G-3 Multipliers'!$L$3:$N$6,3,FALSE)=0,"Spatial Data Missing ⚠",VLOOKUP(J253,'G-3 Multipliers'!$L$3:$N$6,3,FALSE)))</f>
        <v/>
      </c>
      <c r="M253" s="282" t="str">
        <f>IF(D253="","",VLOOKUP(D253,'G-6 Hedgerow Data'!$B$1:$AH$15,33,FALSE))</f>
        <v/>
      </c>
      <c r="N253" s="289" t="str">
        <f t="shared" si="23"/>
        <v/>
      </c>
      <c r="O253" s="32"/>
      <c r="P253" s="105"/>
      <c r="Q253" s="138"/>
      <c r="R253" s="306" t="str">
        <f t="shared" si="24"/>
        <v/>
      </c>
      <c r="S253" s="306" t="str">
        <f t="shared" si="25"/>
        <v/>
      </c>
      <c r="T253" s="306" t="str">
        <f t="shared" si="26"/>
        <v/>
      </c>
      <c r="U253" s="327" t="str">
        <f t="shared" si="27"/>
        <v/>
      </c>
      <c r="V253" s="105"/>
      <c r="W253" s="104"/>
      <c r="X253" s="104"/>
      <c r="AE253" s="107" t="str">
        <f t="shared" si="21"/>
        <v/>
      </c>
      <c r="AF253" s="107" t="str">
        <f t="shared" si="22"/>
        <v/>
      </c>
      <c r="AH253" s="107">
        <v>244</v>
      </c>
      <c r="AJ253" s="107" t="str">
        <f t="array" ref="AJ253">IFERROR(INDEX($AH$10:$AH$258,MATCH(0,IF(TRUE=$AE$10:$AE$258,COUNTIF($AJ$9:$AJ252,$AH$10:$AH$258),""),0)),"")</f>
        <v/>
      </c>
      <c r="AK253" s="107" t="str">
        <f t="array" ref="AK253">IFERROR(INDEX($AH$10:$AH$258,MATCH(0,IF(TRUE=$AF$10:$AF$258,COUNTIF($AK$9:$AK252,$AH$10:$AH$258),""),0)),"")</f>
        <v/>
      </c>
      <c r="AL253" s="30" t="str">
        <f>IFERROR(INDEX('G-6 Hedgerow Data'!$BJ$3:$BJ$15,MATCH(D253,'G-6 Hedgerow Data'!$B$3:$B$15,0)),"")</f>
        <v/>
      </c>
    </row>
    <row r="254" spans="2:38" ht="14" hidden="1">
      <c r="B254" s="97">
        <v>245</v>
      </c>
      <c r="C254" s="138"/>
      <c r="D254" s="138"/>
      <c r="E254" s="104"/>
      <c r="F254" s="323" t="str">
        <f>IF(D254="","",VLOOKUP(D254,'G-6 Hedgerow Data'!$B$2:$AG$15,2,FALSE))</f>
        <v/>
      </c>
      <c r="G254" s="276" t="str">
        <f>IF(D254="","",VLOOKUP(D254,'G-6 Hedgerow Data'!$B$2:$AG$15,3,FALSE))</f>
        <v/>
      </c>
      <c r="H254" s="101"/>
      <c r="I254" s="276" t="str">
        <f>IFERROR(IF(AND(D254&lt;&gt;"",H254=""),"Check data ⚠",IF(H254="","",IF(AND(D254="Non-native and ornamental hedgerow",H254&lt;&gt;"Poor"),"Not possible ▲",(VLOOKUP(H254,'G-1 All Habitats'!$Z$2:$AA$9,2,FALSE))))),"")</f>
        <v/>
      </c>
      <c r="J254" s="101"/>
      <c r="K254" s="283" t="str">
        <f>IF(AND(D254&lt;&gt;"",J254=""),"Check data ⚠",IF(J254="","",IF(VLOOKUP(J254,'G-3 Multipliers'!$L$3:$N$6,2,FALSE)=0,"Spatial Data Missing",VLOOKUP(J254,'G-3 Multipliers'!$L$3:$N$6,2,FALSE))))</f>
        <v/>
      </c>
      <c r="L254" s="281" t="str">
        <f>IF(J254="","",IF(VLOOKUP(J254,'G-3 Multipliers'!$L$3:$N$6,3,FALSE)=0,"Spatial Data Missing ⚠",VLOOKUP(J254,'G-3 Multipliers'!$L$3:$N$6,3,FALSE)))</f>
        <v/>
      </c>
      <c r="M254" s="282" t="str">
        <f>IF(D254="","",VLOOKUP(D254,'G-6 Hedgerow Data'!$B$1:$AH$15,33,FALSE))</f>
        <v/>
      </c>
      <c r="N254" s="289" t="str">
        <f t="shared" si="23"/>
        <v/>
      </c>
      <c r="O254" s="32"/>
      <c r="P254" s="105"/>
      <c r="Q254" s="138"/>
      <c r="R254" s="306" t="str">
        <f t="shared" si="24"/>
        <v/>
      </c>
      <c r="S254" s="306" t="str">
        <f t="shared" si="25"/>
        <v/>
      </c>
      <c r="T254" s="306" t="str">
        <f t="shared" si="26"/>
        <v/>
      </c>
      <c r="U254" s="327" t="str">
        <f t="shared" si="27"/>
        <v/>
      </c>
      <c r="V254" s="105"/>
      <c r="W254" s="104"/>
      <c r="X254" s="104"/>
      <c r="AE254" s="107" t="str">
        <f t="shared" si="21"/>
        <v/>
      </c>
      <c r="AF254" s="107" t="str">
        <f t="shared" si="22"/>
        <v/>
      </c>
      <c r="AH254" s="107">
        <v>245</v>
      </c>
      <c r="AJ254" s="107" t="str">
        <f t="array" ref="AJ254">IFERROR(INDEX($AH$10:$AH$258,MATCH(0,IF(TRUE=$AE$10:$AE$258,COUNTIF($AJ$9:$AJ253,$AH$10:$AH$258),""),0)),"")</f>
        <v/>
      </c>
      <c r="AK254" s="107" t="str">
        <f t="array" ref="AK254">IFERROR(INDEX($AH$10:$AH$258,MATCH(0,IF(TRUE=$AF$10:$AF$258,COUNTIF($AK$9:$AK253,$AH$10:$AH$258),""),0)),"")</f>
        <v/>
      </c>
      <c r="AL254" s="30" t="str">
        <f>IFERROR(INDEX('G-6 Hedgerow Data'!$BJ$3:$BJ$15,MATCH(D254,'G-6 Hedgerow Data'!$B$3:$B$15,0)),"")</f>
        <v/>
      </c>
    </row>
    <row r="255" spans="2:38" ht="14" hidden="1">
      <c r="B255" s="97">
        <v>246</v>
      </c>
      <c r="C255" s="138"/>
      <c r="D255" s="138"/>
      <c r="E255" s="104"/>
      <c r="F255" s="323" t="str">
        <f>IF(D255="","",VLOOKUP(D255,'G-6 Hedgerow Data'!$B$2:$AG$15,2,FALSE))</f>
        <v/>
      </c>
      <c r="G255" s="276" t="str">
        <f>IF(D255="","",VLOOKUP(D255,'G-6 Hedgerow Data'!$B$2:$AG$15,3,FALSE))</f>
        <v/>
      </c>
      <c r="H255" s="101"/>
      <c r="I255" s="276" t="str">
        <f>IFERROR(IF(AND(D255&lt;&gt;"",H255=""),"Check data ⚠",IF(H255="","",IF(AND(D255="Non-native and ornamental hedgerow",H255&lt;&gt;"Poor"),"Not possible ▲",(VLOOKUP(H255,'G-1 All Habitats'!$Z$2:$AA$9,2,FALSE))))),"")</f>
        <v/>
      </c>
      <c r="J255" s="101"/>
      <c r="K255" s="283" t="str">
        <f>IF(AND(D255&lt;&gt;"",J255=""),"Check data ⚠",IF(J255="","",IF(VLOOKUP(J255,'G-3 Multipliers'!$L$3:$N$6,2,FALSE)=0,"Spatial Data Missing",VLOOKUP(J255,'G-3 Multipliers'!$L$3:$N$6,2,FALSE))))</f>
        <v/>
      </c>
      <c r="L255" s="281" t="str">
        <f>IF(J255="","",IF(VLOOKUP(J255,'G-3 Multipliers'!$L$3:$N$6,3,FALSE)=0,"Spatial Data Missing ⚠",VLOOKUP(J255,'G-3 Multipliers'!$L$3:$N$6,3,FALSE)))</f>
        <v/>
      </c>
      <c r="M255" s="282" t="str">
        <f>IF(D255="","",VLOOKUP(D255,'G-6 Hedgerow Data'!$B$1:$AH$15,33,FALSE))</f>
        <v/>
      </c>
      <c r="N255" s="289" t="str">
        <f t="shared" si="23"/>
        <v/>
      </c>
      <c r="O255" s="32"/>
      <c r="P255" s="105"/>
      <c r="Q255" s="138"/>
      <c r="R255" s="306" t="str">
        <f t="shared" si="24"/>
        <v/>
      </c>
      <c r="S255" s="306" t="str">
        <f t="shared" si="25"/>
        <v/>
      </c>
      <c r="T255" s="306" t="str">
        <f t="shared" si="26"/>
        <v/>
      </c>
      <c r="U255" s="327" t="str">
        <f t="shared" si="27"/>
        <v/>
      </c>
      <c r="V255" s="105"/>
      <c r="W255" s="104"/>
      <c r="X255" s="104"/>
      <c r="AE255" s="107" t="str">
        <f t="shared" si="21"/>
        <v/>
      </c>
      <c r="AF255" s="107" t="str">
        <f t="shared" si="22"/>
        <v/>
      </c>
      <c r="AH255" s="107">
        <v>246</v>
      </c>
      <c r="AJ255" s="107" t="str">
        <f t="array" ref="AJ255">IFERROR(INDEX($AH$10:$AH$258,MATCH(0,IF(TRUE=$AE$10:$AE$258,COUNTIF($AJ$9:$AJ254,$AH$10:$AH$258),""),0)),"")</f>
        <v/>
      </c>
      <c r="AK255" s="107" t="str">
        <f t="array" ref="AK255">IFERROR(INDEX($AH$10:$AH$258,MATCH(0,IF(TRUE=$AF$10:$AF$258,COUNTIF($AK$9:$AK254,$AH$10:$AH$258),""),0)),"")</f>
        <v/>
      </c>
      <c r="AL255" s="30" t="str">
        <f>IFERROR(INDEX('G-6 Hedgerow Data'!$BJ$3:$BJ$15,MATCH(D255,'G-6 Hedgerow Data'!$B$3:$B$15,0)),"")</f>
        <v/>
      </c>
    </row>
    <row r="256" spans="2:38" ht="14" hidden="1">
      <c r="B256" s="97">
        <v>247</v>
      </c>
      <c r="C256" s="138"/>
      <c r="D256" s="138"/>
      <c r="E256" s="104"/>
      <c r="F256" s="323" t="str">
        <f>IF(D256="","",VLOOKUP(D256,'G-6 Hedgerow Data'!$B$2:$AG$15,2,FALSE))</f>
        <v/>
      </c>
      <c r="G256" s="276" t="str">
        <f>IF(D256="","",VLOOKUP(D256,'G-6 Hedgerow Data'!$B$2:$AG$15,3,FALSE))</f>
        <v/>
      </c>
      <c r="H256" s="101"/>
      <c r="I256" s="276" t="str">
        <f>IFERROR(IF(AND(D256&lt;&gt;"",H256=""),"Check data ⚠",IF(H256="","",IF(AND(D256="Non-native and ornamental hedgerow",H256&lt;&gt;"Poor"),"Not possible ▲",(VLOOKUP(H256,'G-1 All Habitats'!$Z$2:$AA$9,2,FALSE))))),"")</f>
        <v/>
      </c>
      <c r="J256" s="101"/>
      <c r="K256" s="283" t="str">
        <f>IF(AND(D256&lt;&gt;"",J256=""),"Check data ⚠",IF(J256="","",IF(VLOOKUP(J256,'G-3 Multipliers'!$L$3:$N$6,2,FALSE)=0,"Spatial Data Missing",VLOOKUP(J256,'G-3 Multipliers'!$L$3:$N$6,2,FALSE))))</f>
        <v/>
      </c>
      <c r="L256" s="281" t="str">
        <f>IF(J256="","",IF(VLOOKUP(J256,'G-3 Multipliers'!$L$3:$N$6,3,FALSE)=0,"Spatial Data Missing ⚠",VLOOKUP(J256,'G-3 Multipliers'!$L$3:$N$6,3,FALSE)))</f>
        <v/>
      </c>
      <c r="M256" s="282" t="str">
        <f>IF(D256="","",VLOOKUP(D256,'G-6 Hedgerow Data'!$B$1:$AH$15,33,FALSE))</f>
        <v/>
      </c>
      <c r="N256" s="289" t="str">
        <f t="shared" si="23"/>
        <v/>
      </c>
      <c r="O256" s="32"/>
      <c r="P256" s="105"/>
      <c r="Q256" s="138"/>
      <c r="R256" s="306" t="str">
        <f t="shared" si="24"/>
        <v/>
      </c>
      <c r="S256" s="306" t="str">
        <f t="shared" si="25"/>
        <v/>
      </c>
      <c r="T256" s="306" t="str">
        <f t="shared" si="26"/>
        <v/>
      </c>
      <c r="U256" s="327" t="str">
        <f t="shared" si="27"/>
        <v/>
      </c>
      <c r="V256" s="105"/>
      <c r="W256" s="104"/>
      <c r="X256" s="104"/>
      <c r="AE256" s="107" t="str">
        <f t="shared" si="21"/>
        <v/>
      </c>
      <c r="AF256" s="107" t="str">
        <f t="shared" si="22"/>
        <v/>
      </c>
      <c r="AH256" s="107">
        <v>247</v>
      </c>
      <c r="AJ256" s="107" t="str">
        <f t="array" ref="AJ256">IFERROR(INDEX($AH$10:$AH$258,MATCH(0,IF(TRUE=$AE$10:$AE$258,COUNTIF($AJ$9:$AJ255,$AH$10:$AH$258),""),0)),"")</f>
        <v/>
      </c>
      <c r="AK256" s="107" t="str">
        <f t="array" ref="AK256">IFERROR(INDEX($AH$10:$AH$258,MATCH(0,IF(TRUE=$AF$10:$AF$258,COUNTIF($AK$9:$AK255,$AH$10:$AH$258),""),0)),"")</f>
        <v/>
      </c>
      <c r="AL256" s="30" t="str">
        <f>IFERROR(INDEX('G-6 Hedgerow Data'!$BJ$3:$BJ$15,MATCH(D256,'G-6 Hedgerow Data'!$B$3:$B$15,0)),"")</f>
        <v/>
      </c>
    </row>
    <row r="257" spans="2:38" ht="14.5" hidden="1" thickBot="1">
      <c r="B257" s="109">
        <v>248</v>
      </c>
      <c r="C257" s="141"/>
      <c r="D257" s="141"/>
      <c r="E257" s="110"/>
      <c r="F257" s="302" t="str">
        <f>IF(D257="","",VLOOKUP(D257,'G-6 Hedgerow Data'!$B$2:$AG$15,2,FALSE))</f>
        <v/>
      </c>
      <c r="G257" s="550" t="str">
        <f>IF(D257="","",VLOOKUP(D257,'G-6 Hedgerow Data'!$B$2:$AG$15,3,FALSE))</f>
        <v/>
      </c>
      <c r="H257" s="111"/>
      <c r="I257" s="550" t="str">
        <f>IFERROR(IF(AND(D257&lt;&gt;"",H257=""),"Check data ⚠",IF(H257="","",IF(AND(D257="Non-native and ornamental hedgerow",H257&lt;&gt;"Poor"),"Not possible ▲",(VLOOKUP(H257,'G-1 All Habitats'!$Z$2:$AA$9,2,FALSE))))),"")</f>
        <v/>
      </c>
      <c r="J257" s="111"/>
      <c r="K257" s="284" t="str">
        <f>IF(AND(D257&lt;&gt;"",J257=""),"Check data ⚠",IF(J257="","",IF(VLOOKUP(J257,'G-3 Multipliers'!$L$3:$N$6,2,FALSE)=0,"Spatial Data Missing",VLOOKUP(J257,'G-3 Multipliers'!$L$3:$N$6,2,FALSE))))</f>
        <v/>
      </c>
      <c r="L257" s="285" t="str">
        <f>IF(J257="","",IF(VLOOKUP(J257,'G-3 Multipliers'!$L$3:$N$6,3,FALSE)=0,"Spatial Data Missing ⚠",VLOOKUP(J257,'G-3 Multipliers'!$L$3:$N$6,3,FALSE)))</f>
        <v/>
      </c>
      <c r="M257" s="286" t="str">
        <f>IF(D257="","",VLOOKUP(D257,'G-6 Hedgerow Data'!$B$1:$AH$15,33,FALSE))</f>
        <v/>
      </c>
      <c r="N257" s="325" t="str">
        <f t="shared" si="23"/>
        <v/>
      </c>
      <c r="O257" s="32"/>
      <c r="P257" s="143"/>
      <c r="Q257" s="144"/>
      <c r="R257" s="309" t="str">
        <f t="shared" si="24"/>
        <v/>
      </c>
      <c r="S257" s="309" t="str">
        <f t="shared" si="25"/>
        <v/>
      </c>
      <c r="T257" s="306" t="str">
        <f t="shared" si="26"/>
        <v/>
      </c>
      <c r="U257" s="327" t="str">
        <f t="shared" si="27"/>
        <v/>
      </c>
      <c r="V257" s="111"/>
      <c r="W257" s="110"/>
      <c r="X257" s="110"/>
      <c r="AE257" s="107" t="str">
        <f t="shared" si="21"/>
        <v/>
      </c>
      <c r="AF257" s="107" t="str">
        <f t="shared" si="22"/>
        <v/>
      </c>
      <c r="AH257" s="107">
        <v>248</v>
      </c>
      <c r="AJ257" s="107" t="str">
        <f t="array" ref="AJ257">IFERROR(INDEX($AH$10:$AH$258,MATCH(0,IF(TRUE=$AE$10:$AE$258,COUNTIF($AJ$9:$AJ256,$AH$10:$AH$258),""),0)),"")</f>
        <v/>
      </c>
      <c r="AK257" s="107" t="str">
        <f t="array" ref="AK257">IFERROR(INDEX($AH$10:$AH$258,MATCH(0,IF(TRUE=$AF$10:$AF$258,COUNTIF($AK$9:$AK256,$AH$10:$AH$258),""),0)),"")</f>
        <v/>
      </c>
      <c r="AL257" s="30" t="str">
        <f>IFERROR(INDEX('G-6 Hedgerow Data'!$BJ$3:$BJ$15,MATCH(D257,'G-6 Hedgerow Data'!$B$3:$B$15,0)),"")</f>
        <v/>
      </c>
    </row>
    <row r="258" spans="4:21" ht="14.5" thickBot="1">
      <c r="D258" s="606"/>
      <c r="E258" s="324">
        <f>SUM(E10:E257)</f>
        <v>0.096</v>
      </c>
      <c r="M258" s="606"/>
      <c r="N258" s="326">
        <f>SUM(N10:N257)</f>
        <v>1.2694</v>
      </c>
      <c r="O258" s="113"/>
      <c r="P258" s="292">
        <f t="shared" si="28" ref="P258:U258">SUM(P10:P257)</f>
        <v>0.075</v>
      </c>
      <c r="Q258" s="293">
        <f t="shared" si="28"/>
        <v>0</v>
      </c>
      <c r="R258" s="293" cm="1">
        <f t="array" ref="R258">IF(OR(T10:T257="Error in Lengths ▲",R10:R27="Error"),"Error ▲",SUM(R10:R257))</f>
        <v>0.9922000000000002</v>
      </c>
      <c r="S258" s="293" cm="1">
        <f t="array" ref="S258">IF(OR(T10:T257="Error in lengths ▲",S10:S257="Error"),"Error ▲",SUM(S10:S257))</f>
        <v>0</v>
      </c>
      <c r="T258" s="293">
        <f t="shared" si="28"/>
        <v>0.021000000000000005</v>
      </c>
      <c r="U258" s="290">
        <f t="shared" si="28"/>
        <v>0.2772</v>
      </c>
    </row>
    <row r="259" spans="15:21" ht="14">
      <c r="O259" s="113"/>
      <c r="P259" s="113"/>
      <c r="Q259" s="113"/>
      <c r="R259" s="113"/>
      <c r="S259" s="113"/>
      <c r="T259" s="113"/>
      <c r="U259" s="113"/>
    </row>
    <row r="260" spans="2:3" ht="14">
      <c r="B260" s="89"/>
      <c r="C260" s="89"/>
    </row>
    <row r="261" spans="2:3" ht="14">
      <c r="B261" s="89"/>
      <c r="C261" s="89"/>
    </row>
    <row r="262" spans="2:3" ht="14">
      <c r="B262" s="89"/>
      <c r="C262" s="89"/>
    </row>
    <row r="263" spans="2:3" ht="14">
      <c r="B263" s="89"/>
      <c r="C263" s="89"/>
    </row>
    <row r="264" spans="2:3" ht="14">
      <c r="B264" s="89"/>
      <c r="C264" s="89"/>
    </row>
  </sheetData>
  <sheetProtection algorithmName="SHA-512" hashValue="4kUpIaEbv0mFsbGYuMTMRqAoDvJmdGXiPsUTE4QhSnEolg2pxdWKF2OAqipbtKL+q95euMP8fISxS1075HXuBw==" saltValue="Q72lwrRJZb17ke0HTEfnTg==" spinCount="100000" sheet="1" objects="1" scenarios="1"/>
  <customSheetViews>
    <customSheetView guid="{8bda793c-c9c5-4fc6-a0a5-f1109f6d4f22}" state="hidden" topLeftCell="A1">
      <pane ySplit="9" topLeftCell="A10" activePane="bottomLeft" state="frozen"/>
      <selection pane="bottomLeft" activeCell="D14" sqref="D14"/>
      <pageMargins left="0.75" right="0.75" top="1" bottom="1" header="0.5" footer="0.5"/>
    </customSheetView>
  </customSheetViews>
  <mergeCells count="13">
    <mergeCell ref="V8:X8"/>
    <mergeCell ref="J8:L8"/>
    <mergeCell ref="P8:U8"/>
    <mergeCell ref="M8:M9"/>
    <mergeCell ref="B3:D4"/>
    <mergeCell ref="C8:E8"/>
    <mergeCell ref="F8:G8"/>
    <mergeCell ref="H8:I8"/>
    <mergeCell ref="F2:J2"/>
    <mergeCell ref="F4:I4"/>
    <mergeCell ref="F5:I5"/>
    <mergeCell ref="F3:I3"/>
    <mergeCell ref="B2:D2"/>
  </mergeCells>
  <conditionalFormatting sqref="M10:M257">
    <cfRule type="cellIs" priority="31" dxfId="667" operator="equal">
      <formula>"Like for like or better"</formula>
    </cfRule>
    <cfRule type="cellIs" priority="32" dxfId="666" operator="equal">
      <formula>"Like for like"</formula>
    </cfRule>
    <cfRule type="containsText" priority="33" dxfId="665" operator="containsText" text="Same distinctiveness">
      <formula>NOT(ISERROR(SEARCH("Same distinctiveness",M10)))</formula>
    </cfRule>
  </conditionalFormatting>
  <conditionalFormatting sqref="K10:K257">
    <cfRule type="containsText" priority="29" dxfId="1281" operator="containsText" text="Spatial">
      <formula>NOT(ISERROR(SEARCH("Spatial",K10)))</formula>
    </cfRule>
  </conditionalFormatting>
  <conditionalFormatting sqref="L10:L257">
    <cfRule type="containsText" priority="28" dxfId="1281" operator="containsText" text="Spatial">
      <formula>NOT(ISERROR(SEARCH("Spatial",L10)))</formula>
    </cfRule>
  </conditionalFormatting>
  <conditionalFormatting sqref="T10:T257">
    <cfRule type="containsText" priority="27" dxfId="970" operator="containsText" text="Error">
      <formula>NOT(ISERROR(SEARCH("Error",T10)))</formula>
    </cfRule>
  </conditionalFormatting>
  <conditionalFormatting sqref="U10:U257">
    <cfRule type="containsText" priority="26" dxfId="970" operator="containsText" text="Error">
      <formula>NOT(ISERROR(SEARCH("Error",U10)))</formula>
    </cfRule>
  </conditionalFormatting>
  <conditionalFormatting sqref="J3">
    <cfRule type="containsText" priority="20" dxfId="970" operator="containsText" text="Error">
      <formula>NOT(ISERROR(SEARCH("Error",J3)))</formula>
    </cfRule>
    <cfRule type="containsText" priority="21" dxfId="1267" operator="containsText" text="Check">
      <formula>NOT(ISERROR(SEARCH("Check",J3)))</formula>
    </cfRule>
  </conditionalFormatting>
  <conditionalFormatting sqref="J4">
    <cfRule type="containsText" priority="2" dxfId="970" operator="containsText" text="Error">
      <formula>NOT(ISERROR(SEARCH("Error",J4)))</formula>
    </cfRule>
    <cfRule type="containsText" priority="10" dxfId="1267" operator="containsText" text="Check">
      <formula>NOT(ISERROR(SEARCH("Check",J4)))</formula>
    </cfRule>
    <cfRule type="cellIs" priority="11" dxfId="881" operator="equal">
      <formula>0</formula>
    </cfRule>
    <cfRule type="cellIs" priority="440" dxfId="970" operator="lessThan">
      <formula>0</formula>
    </cfRule>
  </conditionalFormatting>
  <conditionalFormatting sqref="J5">
    <cfRule type="containsText" priority="14" dxfId="970" operator="containsText" text="No">
      <formula>NOT(ISERROR(SEARCH("No",J5)))</formula>
    </cfRule>
    <cfRule type="containsText" priority="15" dxfId="1253" operator="containsText" text="Yes">
      <formula>NOT(ISERROR(SEARCH("Yes",J5)))</formula>
    </cfRule>
  </conditionalFormatting>
  <conditionalFormatting sqref="I10:I257">
    <cfRule type="containsText" priority="13" dxfId="970" operator="containsText" text="Not possible">
      <formula>NOT(ISERROR(SEARCH("Not possible",I10)))</formula>
    </cfRule>
  </conditionalFormatting>
  <conditionalFormatting sqref="R258:S258">
    <cfRule type="containsText" priority="12" dxfId="970" operator="containsText" text="Error">
      <formula>NOT(ISERROR(SEARCH("Error",R258)))</formula>
    </cfRule>
  </conditionalFormatting>
  <conditionalFormatting sqref="J3:J5">
    <cfRule type="containsText" priority="9" dxfId="932" operator="containsText" text="N/A">
      <formula>NOT(ISERROR(SEARCH("N/A",J3)))</formula>
    </cfRule>
  </conditionalFormatting>
  <conditionalFormatting sqref="K1:K1048576">
    <cfRule type="containsText" priority="6" dxfId="1281" operator="containsText" text="Check">
      <formula>NOT(ISERROR(SEARCH("Check",K1)))</formula>
    </cfRule>
  </conditionalFormatting>
  <conditionalFormatting sqref="I1:I1048576">
    <cfRule type="containsText" priority="5" dxfId="1281" operator="containsText" text="Check">
      <formula>NOT(ISERROR(SEARCH("Check",I1)))</formula>
    </cfRule>
  </conditionalFormatting>
  <conditionalFormatting sqref="N1:N1048576">
    <cfRule type="containsText" priority="1" dxfId="1273" operator="containsText" text="▲">
      <formula>NOT(ISERROR(SEARCH("▲",N1)))</formula>
    </cfRule>
    <cfRule type="containsText" priority="4" dxfId="1257" operator="containsText" text="Check">
      <formula>NOT(ISERROR(SEARCH("Check",N1)))</formula>
    </cfRule>
  </conditionalFormatting>
  <conditionalFormatting sqref="U1:U1048576">
    <cfRule type="containsText" priority="3" dxfId="1257" operator="containsText" text="Check">
      <formula>NOT(ISERROR(SEARCH("Check",U1)))</formula>
    </cfRule>
  </conditionalFormatting>
  <conditionalFormatting sqref="J4">
    <cfRule type="expression" priority="7" dxfId="1289">
      <formula>'Headline Results'!$H$9:$I$9=0</formula>
    </cfRule>
  </conditionalFormatting>
  <conditionalFormatting sqref="J4">
    <cfRule type="cellIs" priority="8" dxfId="1294" operator="lessThan">
      <formula>Start!$F$22</formula>
    </cfRule>
    <cfRule type="cellIs" priority="441" dxfId="1284" operator="greaterThanOrEqual">
      <formula>Start!$F$22</formula>
    </cfRule>
  </conditionalFormatting>
  <dataValidations count="3">
    <dataValidation type="list" allowBlank="1" showInputMessage="1" showErrorMessage="1" sqref="H10:H257">
      <formula1>INDIRECT(AL10)</formula1>
    </dataValidation>
    <dataValidation type="list" allowBlank="1" showInputMessage="1" showErrorMessage="1" sqref="D10:D257">
      <formula1>'G-6 Hedgerow Data'!$B$3:$B$15</formula1>
    </dataValidation>
    <dataValidation type="list" allowBlank="1" showErrorMessage="1" prompt=" _x000a_" sqref="J10:J257">
      <formula1>'G-3 Multipliers'!$L$4:$L$6</formula1>
    </dataValidation>
  </dataValidations>
  <pageMargins left="0.7" right="0.7" top="0.75" bottom="0.75" header="0.3" footer="0.3"/>
  <pageSetup horizontalDpi="90" verticalDpi="90" orientation="portrait" paperSize="9"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B2:AG261"/>
  <sheetViews>
    <sheetView zoomScale="85" zoomScaleNormal="85" workbookViewId="0" topLeftCell="A1">
      <pane ySplit="11" topLeftCell="A12" activePane="bottomLeft" state="frozen"/>
      <selection pane="topLeft" activeCell="A1" sqref="A1"/>
      <selection pane="bottomLeft" activeCell="E13" sqref="E13"/>
    </sheetView>
  </sheetViews>
  <sheetFormatPr defaultColWidth="11.5442857142857" defaultRowHeight="61.5" customHeight="1" zeroHeight="1"/>
  <cols>
    <col min="1" max="1" width="2.57142857142857" style="30" customWidth="1"/>
    <col min="2" max="2" width="14.4285714285714" style="30" customWidth="1"/>
    <col min="3" max="3" width="10.5714285714286" style="30" customWidth="1"/>
    <col min="4" max="4" width="62.5714285714286" style="30" customWidth="1"/>
    <col min="5" max="5" width="10.4285714285714" style="30" customWidth="1"/>
    <col min="6" max="6" width="18.5714285714286" style="30" customWidth="1"/>
    <col min="7" max="7" width="10.5714285714286" style="30" hidden="1" customWidth="1"/>
    <col min="8" max="8" width="12.5714285714286" style="30" bestFit="1" customWidth="1"/>
    <col min="9" max="9" width="8.57142857142857" style="30" hidden="1" customWidth="1"/>
    <col min="10" max="10" width="41.5714285714286" style="30" customWidth="1"/>
    <col min="11" max="11" width="16.5714285714286" style="30" hidden="1" customWidth="1"/>
    <col min="12" max="12" width="13.5714285714286" style="30" hidden="1" customWidth="1"/>
    <col min="13" max="14" width="19.4285714285714" style="30" hidden="1" customWidth="1"/>
    <col min="15" max="15" width="21.5714285714286" style="30" hidden="1" customWidth="1"/>
    <col min="16" max="16" width="33.4285714285714" style="30" customWidth="1"/>
    <col min="17" max="17" width="19.4285714285714" style="30" customWidth="1"/>
    <col min="18" max="18" width="15.4285714285714" style="30" hidden="1" customWidth="1"/>
    <col min="19" max="19" width="13.4285714285714" style="30" hidden="1" customWidth="1"/>
    <col min="20" max="20" width="18.4285714285714" style="30" hidden="1" customWidth="1"/>
    <col min="21" max="21" width="13.5714285714286" style="30" customWidth="1"/>
    <col min="22" max="22" width="11.5714285714286" style="30" hidden="1" customWidth="1"/>
    <col min="23" max="23" width="12.5714285714286" style="30" customWidth="1"/>
    <col min="24" max="24" width="42.4285714285714" style="30" customWidth="1"/>
    <col min="25" max="25" width="43.4285714285714" style="30" customWidth="1"/>
    <col min="26" max="26" width="12.5714285714286" style="30" customWidth="1"/>
    <col min="27" max="27" width="11.5714285714286" style="30" customWidth="1"/>
    <col min="28" max="28" width="11.5714285714286" style="30" hidden="1" customWidth="1"/>
    <col min="29" max="16380" width="0" style="30" hidden="1" customWidth="1"/>
    <col min="16381" max="16384" width="11.5714285714286" style="30"/>
  </cols>
  <sheetData>
    <row r="1" ht="15.75" customHeight="1" thickBot="1"/>
    <row r="2" spans="2:10" ht="21.65" customHeight="1" thickBot="1">
      <c r="B2" s="1728" t="str">
        <f>CONCATENATE("Project Name:"," ",Start!F12,"     ","Map Reference:"," ",Start!K55)</f>
        <v xml:space="preserve">Project Name: Land east of Calne Road, Lyneham     Map Reference: </v>
      </c>
      <c r="C2" s="1729"/>
      <c r="D2" s="1730"/>
      <c r="F2" s="1597" t="s">
        <v>448</v>
      </c>
      <c r="G2" s="1598"/>
      <c r="H2" s="1598"/>
      <c r="I2" s="1598"/>
      <c r="J2" s="1599"/>
    </row>
    <row r="3" spans="2:18" ht="15" customHeight="1">
      <c r="B3" s="1198" t="str">
        <f ca="1">MID(CELL("filename",A1),FIND("]",CELL("filename",A1))+1,256)</f>
        <v>B-2 On-Site Hedge Creation</v>
      </c>
      <c r="C3" s="1199"/>
      <c r="D3" s="1200"/>
      <c r="F3" s="1663" t="s">
        <v>306</v>
      </c>
      <c r="G3" s="1664"/>
      <c r="H3" s="1664"/>
      <c r="I3" s="1658">
        <f>'Headline Results'!H48</f>
        <v>6.475122960273441</v>
      </c>
      <c r="J3" s="1659"/>
      <c r="M3" s="1715" t="str">
        <f>IF(OR(COUNTIF($M$12:M259,"*30+*")&gt;0,COUNTIF($Q$12:Q259,"*30+*")&gt;0),"Note; Habitat selected has a time to target condition greater than 30 years. Non standard agreement may be required. ⚠","")</f>
        <v/>
      </c>
      <c r="N3" s="1715"/>
      <c r="O3" s="1715"/>
      <c r="P3" s="1715"/>
      <c r="Q3" s="1715"/>
      <c r="R3" s="1715"/>
    </row>
    <row r="4" spans="2:18" ht="15.75" customHeight="1" thickBot="1">
      <c r="B4" s="1201"/>
      <c r="C4" s="1202"/>
      <c r="D4" s="1203"/>
      <c r="F4" s="1772" t="s">
        <v>308</v>
      </c>
      <c r="G4" s="1773"/>
      <c r="H4" s="1773"/>
      <c r="I4" s="1660">
        <f>'Headline Results'!H52</f>
        <v>5.10093190505234</v>
      </c>
      <c r="J4" s="1661"/>
      <c r="M4" s="1715"/>
      <c r="N4" s="1715"/>
      <c r="O4" s="1715"/>
      <c r="P4" s="1715"/>
      <c r="Q4" s="1715"/>
      <c r="R4" s="1715"/>
    </row>
    <row r="5" spans="6:18" ht="15.75" customHeight="1" thickBot="1">
      <c r="F5" s="1774" t="s">
        <v>310</v>
      </c>
      <c r="G5" s="1750"/>
      <c r="H5" s="1750"/>
      <c r="I5" s="1750" t="str" cm="1">
        <f t="array" ref="I5">IF(OR('Trading Summary Hedgerows'!F5:H9="No ▲"),"No - check trading summary ▲","Yes ✓")</f>
        <v>Yes ✓</v>
      </c>
      <c r="J5" s="1751"/>
      <c r="M5" s="1715"/>
      <c r="N5" s="1715"/>
      <c r="O5" s="1715"/>
      <c r="P5" s="1715"/>
      <c r="Q5" s="1715"/>
      <c r="R5" s="1715"/>
    </row>
    <row r="6" spans="13:17" ht="15.75" customHeight="1">
      <c r="M6" s="241"/>
      <c r="N6" s="241"/>
      <c r="O6" s="241"/>
      <c r="P6" s="241"/>
      <c r="Q6" s="241"/>
    </row>
    <row r="7" spans="2:17" ht="15.75" customHeight="1">
      <c r="B7" s="89"/>
      <c r="C7" s="89"/>
      <c r="M7" s="241"/>
      <c r="N7" s="241"/>
      <c r="O7" s="241"/>
      <c r="P7" s="241"/>
      <c r="Q7" s="241"/>
    </row>
    <row r="8" ht="14"/>
    <row r="9" ht="20.15" customHeight="1" thickBot="1"/>
    <row r="10" spans="2:26" ht="44.15" customHeight="1" thickBot="1">
      <c r="B10" s="89"/>
      <c r="C10" s="89"/>
      <c r="D10" s="1725" t="s">
        <v>459</v>
      </c>
      <c r="E10" s="1429"/>
      <c r="F10" s="1725" t="s">
        <v>312</v>
      </c>
      <c r="G10" s="1429"/>
      <c r="H10" s="1725" t="s">
        <v>407</v>
      </c>
      <c r="I10" s="1429"/>
      <c r="J10" s="1725" t="s">
        <v>314</v>
      </c>
      <c r="K10" s="1436"/>
      <c r="L10" s="1429"/>
      <c r="M10" s="1725" t="s">
        <v>428</v>
      </c>
      <c r="N10" s="1436"/>
      <c r="O10" s="1436"/>
      <c r="P10" s="1436"/>
      <c r="Q10" s="1436"/>
      <c r="R10" s="1429"/>
      <c r="S10" s="1725" t="s">
        <v>377</v>
      </c>
      <c r="T10" s="1436"/>
      <c r="U10" s="1436"/>
      <c r="V10" s="1429"/>
      <c r="W10" s="1692" t="s">
        <v>460</v>
      </c>
      <c r="X10" s="1709" t="s">
        <v>318</v>
      </c>
      <c r="Y10" s="1710"/>
      <c r="Z10" s="1711"/>
    </row>
    <row r="11" spans="2:33" ht="42.5" thickBot="1">
      <c r="B11" s="506" t="s">
        <v>323</v>
      </c>
      <c r="C11" s="506" t="s">
        <v>461</v>
      </c>
      <c r="D11" s="116" t="s">
        <v>284</v>
      </c>
      <c r="E11" s="120" t="s">
        <v>451</v>
      </c>
      <c r="F11" s="949" t="s">
        <v>312</v>
      </c>
      <c r="G11" s="120" t="s">
        <v>328</v>
      </c>
      <c r="H11" s="116" t="s">
        <v>313</v>
      </c>
      <c r="I11" s="120" t="s">
        <v>328</v>
      </c>
      <c r="J11" s="116" t="s">
        <v>314</v>
      </c>
      <c r="K11" s="121" t="s">
        <v>314</v>
      </c>
      <c r="L11" s="120" t="s">
        <v>329</v>
      </c>
      <c r="M11" s="116" t="s">
        <v>462</v>
      </c>
      <c r="N11" s="121" t="s">
        <v>436</v>
      </c>
      <c r="O11" s="121" t="s">
        <v>421</v>
      </c>
      <c r="P11" s="121" t="s">
        <v>398</v>
      </c>
      <c r="Q11" s="121" t="s">
        <v>399</v>
      </c>
      <c r="R11" s="120" t="s">
        <v>400</v>
      </c>
      <c r="S11" s="116" t="s">
        <v>422</v>
      </c>
      <c r="T11" s="121" t="s">
        <v>463</v>
      </c>
      <c r="U11" s="121" t="s">
        <v>423</v>
      </c>
      <c r="V11" s="120" t="s">
        <v>404</v>
      </c>
      <c r="W11" s="1742"/>
      <c r="X11" s="112" t="s">
        <v>302</v>
      </c>
      <c r="Y11" s="530" t="s">
        <v>279</v>
      </c>
      <c r="Z11" s="617" t="s">
        <v>280</v>
      </c>
      <c r="AG11" s="88" t="s">
        <v>322</v>
      </c>
    </row>
    <row r="12" spans="2:33" ht="42">
      <c r="B12" s="226">
        <v>1</v>
      </c>
      <c r="C12" s="139"/>
      <c r="D12" s="58" t="s">
        <v>152</v>
      </c>
      <c r="E12" s="51">
        <v>0.855</v>
      </c>
      <c r="F12" s="323" t="str">
        <f>IF(D12="","",VLOOKUP(D12,'G-6 Hedgerow Data'!$B$2:$AG$15,2,FALSE))</f>
        <v>Medium</v>
      </c>
      <c r="G12" s="276">
        <f>IF(D12="","",VLOOKUP(D12,'G-6 Hedgerow Data'!$B$2:$AG$15,3,FALSE))</f>
        <v>4</v>
      </c>
      <c r="H12" s="101" t="s">
        <v>43</v>
      </c>
      <c r="I12" s="276">
        <f>IFERROR(IF(H12="","",IF(AND(D12="Non-native and ornamental hedgerow",H12&lt;&gt;"Poor"),"Not possible ▲",(VLOOKUP(H12,'G-1 All Habitats'!$Z$2:$AA$9,2,FALSE)))),"")</f>
        <v>2</v>
      </c>
      <c r="J12" s="101" t="s">
        <v>351</v>
      </c>
      <c r="K12" s="283" t="str">
        <f>IF(J12="","",IF(VLOOKUP(J12,'G-3 Multipliers'!$L$3:$N$6,2,FALSE)=0,"Spatial Data Missing ⚠",VLOOKUP(J12,'G-3 Multipliers'!$L$3:$N$6,2,FALSE)))</f>
        <v xml:space="preserve">Medium strategic significance </v>
      </c>
      <c r="L12" s="281">
        <f>IF(J12="","",IF(VLOOKUP(J12,'G-3 Multipliers'!$L$3:$N$6,3,FALSE)=0,"Spatial Data Missing ⚠",VLOOKUP(J12,'G-3 Multipliers'!$L$3:$N$6,3,FALSE)))</f>
        <v>1.1</v>
      </c>
      <c r="M12" s="275">
        <f>IF(OR(D12="",H12=""),"",(INDEX('G-6 Hedgerow Data'!$E$3:$I$15,MATCH(D12,'G-6 Hedgerow Data'!$B$3:$B$15,0),MATCH(H12,'G-6 Hedgerow Data'!$E$2:$I$2,0))))</f>
        <v>5</v>
      </c>
      <c r="N12" s="133">
        <v>0</v>
      </c>
      <c r="O12" s="133">
        <v>0</v>
      </c>
      <c r="P12" s="283"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296">
        <f>IF(M12="","",IF(P12="Error -both advance and delayed habitat creation ▲","Check Data ⚠",IF(M12="Not possible ▲","Check Data ⚠",IF(OR(N12="30+",N12="Habitat already in target condition"),0,IF(O12="30+","30+",IF(AND(M12="30+",OR(N12="",N12=0)),"30+",IF(AND(M12="30+",N12&gt;0),30-N12,IF(M12+O12&gt;30,"30+",IF(M12+O12-N12&gt;0,M12+O12-N12,IF(M12-N12&lt;0,0,M12+O12-N12))))))))))</f>
        <v>5</v>
      </c>
      <c r="R12" s="297">
        <f t="shared" si="0" ref="R12:R75">IF(M12="","",IF(Q12="Check Data ⚠","Check Data ⚠",VLOOKUP(Q12,TemporalMultipliers,3,FALSE)))</f>
        <v>0.8368287006</v>
      </c>
      <c r="S12" s="275" t="str">
        <f>IF(D12="","",VLOOKUP(D12,'G-6 Hedgerow Data'!$B$3:$AG$15,31,FALSE))</f>
        <v>Low</v>
      </c>
      <c r="T12" s="283" t="str">
        <f>IF(D12="","",IF(Q12="Check Data ⚠","Check Data ⚠",IF(H12="","",IF($P12="Check details - Is there evidence that habitat has reached target condition? ⚠","Low Difficulty - only applicable if all habitat created before losses ⚠","Standard difficulty applied"))))</f>
        <v>Standard difficulty applied</v>
      </c>
      <c r="U12" s="283" t="str">
        <f>(IF(AND(T12="Standard difficulty applied",M12&gt;N12),S12,IF(Q12="Check data ⚠","Check data ⚠",IF(AND(T12="Low Difficulty - only applicable if all habitat created before losses ⚠",Q12&lt;=0),"Low",S12))))</f>
        <v>Low</v>
      </c>
      <c r="V12" s="276">
        <f>IF(D12="","",VLOOKUP(S12,'G-3 Multipliers'!$P$3:$Q$6,2,FALSE))</f>
        <v>1</v>
      </c>
      <c r="W12" s="303">
        <f>IFERROR(E12*G12*I12*L12*R12*V12,"")</f>
        <v>6.296299143314401</v>
      </c>
      <c r="X12" s="101" t="s">
        <v>464</v>
      </c>
      <c r="Y12" s="115"/>
      <c r="Z12" s="115"/>
      <c r="AG12" s="30" t="str">
        <f>IFERROR(INDEX('G-6 Hedgerow Data'!$BJ$3:$BJ$15,MATCH(D12,'G-6 Hedgerow Data'!$B$3:$B$15,0)),"")</f>
        <v>Hedgecond1</v>
      </c>
    </row>
    <row r="13" spans="2:33" ht="42">
      <c r="B13" s="97">
        <v>2</v>
      </c>
      <c r="C13" s="139"/>
      <c r="D13" s="58" t="s">
        <v>148</v>
      </c>
      <c r="E13" s="51">
        <v>0.037</v>
      </c>
      <c r="F13" s="323" t="str">
        <f>IF(D13="","",VLOOKUP(D13,'G-6 Hedgerow Data'!$B$2:$AG$15,2,FALSE))</f>
        <v>V.High</v>
      </c>
      <c r="G13" s="276">
        <f>IF(D13="","",VLOOKUP(D13,'G-6 Hedgerow Data'!$B$2:$AG$15,3,FALSE))</f>
        <v>8</v>
      </c>
      <c r="H13" s="101" t="s">
        <v>43</v>
      </c>
      <c r="I13" s="276">
        <f>IFERROR(IF(H13="","",IF(AND(D13="Non-native and ornamental hedgerow",H13&lt;&gt;"Poor"),"Not possible ▲",(VLOOKUP(H13,'G-1 All Habitats'!$Z$2:$AA$9,2,FALSE)))),"")</f>
        <v>2</v>
      </c>
      <c r="J13" s="101" t="s">
        <v>351</v>
      </c>
      <c r="K13" s="295" t="str">
        <f>IF(J13="","",IF(VLOOKUP(J13,'G-3 Multipliers'!$L$3:$N$6,2,FALSE)=0,"Spatial Data Missing ⚠",VLOOKUP(J13,'G-3 Multipliers'!$L$3:$N$6,2,FALSE)))</f>
        <v xml:space="preserve">Medium strategic significance </v>
      </c>
      <c r="L13" s="281">
        <f>IF(J13="","",IF(VLOOKUP(J13,'G-3 Multipliers'!$L$3:$N$6,3,FALSE)=0,"Spatial Data Missing ⚠",VLOOKUP(J13,'G-3 Multipliers'!$L$3:$N$6,3,FALSE)))</f>
        <v>1.1</v>
      </c>
      <c r="M13" s="275">
        <f>IF(OR(D13="",H13=""),"",(INDEX('G-6 Hedgerow Data'!$E$3:$I$15,MATCH(D13,'G-6 Hedgerow Data'!$B$3:$B$15,0),MATCH(H13,'G-6 Hedgerow Data'!$E$2:$I$2,0))))</f>
        <v>10</v>
      </c>
      <c r="N13" s="133">
        <v>0</v>
      </c>
      <c r="O13" s="133">
        <v>0</v>
      </c>
      <c r="P13" s="283" t="str">
        <f t="shared" si="1" ref="P13:P76">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296">
        <f t="shared" si="2" ref="Q13:Q76">IF(M13="","",IF(P13="Error -both advance and delayed habitat creation ▲","Check Data ⚠",IF(M13="Not possible ▲","Check Data ⚠",IF(OR(N13="30+",N13="Habitat already in target condition"),0,IF(O13="30+","30+",IF(AND(M13="30+",OR(N13="",N13=0)),"30+",IF(AND(M13="30+",N13&gt;0),30-N13,IF(M13+O13&gt;30,"30+",IF(M13+O13-N13&gt;0,M13+O13-N13,IF(M13-N13&lt;0,0,M13+O13-N13))))))))))</f>
        <v>10</v>
      </c>
      <c r="R13" s="297">
        <f t="shared" si="0"/>
        <v>0.7002822741999999</v>
      </c>
      <c r="S13" s="311" t="str">
        <f>IF(D13="","",VLOOKUP(D13,'G-6 Hedgerow Data'!$B$3:$AG$15,31,FALSE))</f>
        <v>Low</v>
      </c>
      <c r="T13" s="283" t="str">
        <f t="shared" si="3" ref="T13:T76">IF(D13="","",IF(Q13="Check Data ⚠","Check Data ⚠",IF(H13="","",IF($P13="Check details - Is there evidence that habitat has reached target condition? ⚠","Low Difficulty - only applicable if all habitat created before losses ⚠","Standard difficulty applied"))))</f>
        <v>Standard difficulty applied</v>
      </c>
      <c r="U13" s="283" t="str">
        <f t="shared" si="4" ref="U13:U76">(IF(AND(T13="Standard difficulty applied",M13&gt;N13),S13,IF(Q13="Check data ⚠","Check data ⚠",IF(AND(T13="Low Difficulty - only applicable if all habitat created before losses ⚠",Q13&lt;=0),"Low",S13))))</f>
        <v>Low</v>
      </c>
      <c r="V13" s="299">
        <f>IF(D13="","",VLOOKUP(S13,'G-3 Multipliers'!$P$3:$Q$6,2,FALSE))</f>
        <v>1</v>
      </c>
      <c r="W13" s="303">
        <f t="shared" si="5" ref="W13:W76">IFERROR(E13*G13*I13*L13*R13*V13,"")</f>
        <v>0.45602381695903993</v>
      </c>
      <c r="X13" s="101" t="s">
        <v>465</v>
      </c>
      <c r="Y13" s="115"/>
      <c r="Z13" s="104"/>
      <c r="AG13" s="30" t="str">
        <f>IFERROR(INDEX('G-6 Hedgerow Data'!$BJ$3:$BJ$15,MATCH(D13,'G-6 Hedgerow Data'!$B$3:$B$15,0)),"")</f>
        <v>Hedgecond1</v>
      </c>
    </row>
    <row r="14" spans="2:33" ht="14">
      <c r="B14" s="97">
        <v>3</v>
      </c>
      <c r="C14" s="139"/>
      <c r="D14" s="58"/>
      <c r="E14" s="51"/>
      <c r="F14" s="323" t="str">
        <f>IF(D14="","",VLOOKUP(D14,'G-6 Hedgerow Data'!$B$2:$AG$15,2,FALSE))</f>
        <v/>
      </c>
      <c r="G14" s="276" t="str">
        <f>IF(D14="","",VLOOKUP(D14,'G-6 Hedgerow Data'!$B$2:$AG$15,3,FALSE))</f>
        <v/>
      </c>
      <c r="H14" s="101"/>
      <c r="I14" s="276" t="str">
        <f>IFERROR(IF(H14="","",IF(AND(D14="Non-native and ornamental hedgerow",H14&lt;&gt;"Poor"),"Not possible ▲",(VLOOKUP(H14,'G-1 All Habitats'!$Z$2:$AA$9,2,FALSE)))),"")</f>
        <v/>
      </c>
      <c r="J14" s="101"/>
      <c r="K14" s="295" t="str">
        <f>IF(J14="","",IF(VLOOKUP(J14,'G-3 Multipliers'!$L$3:$N$6,2,FALSE)=0,"Spatial Data Missing ⚠",VLOOKUP(J14,'G-3 Multipliers'!$L$3:$N$6,2,FALSE)))</f>
        <v/>
      </c>
      <c r="L14" s="281" t="str">
        <f>IF(J14="","",IF(VLOOKUP(J14,'G-3 Multipliers'!$L$3:$N$6,3,FALSE)=0,"Spatial Data Missing ⚠",VLOOKUP(J14,'G-3 Multipliers'!$L$3:$N$6,3,FALSE)))</f>
        <v/>
      </c>
      <c r="M14" s="275" t="str">
        <f>IF(OR(D14="",H14=""),"",(INDEX('G-6 Hedgerow Data'!$E$3:$I$15,MATCH(D14,'G-6 Hedgerow Data'!$B$3:$B$15,0),MATCH(H14,'G-6 Hedgerow Data'!$E$2:$I$2,0))))</f>
        <v/>
      </c>
      <c r="N14" s="133"/>
      <c r="O14" s="133"/>
      <c r="P14" s="283" t="str">
        <f t="shared" si="1"/>
        <v/>
      </c>
      <c r="Q14" s="296" t="str">
        <f t="shared" si="2"/>
        <v/>
      </c>
      <c r="R14" s="297" t="str">
        <f t="shared" si="0"/>
        <v/>
      </c>
      <c r="S14" s="311" t="str">
        <f>IF(D14="","",VLOOKUP(D14,'G-6 Hedgerow Data'!$B$3:$AG$15,31,FALSE))</f>
        <v/>
      </c>
      <c r="T14" s="283" t="str">
        <f t="shared" si="3"/>
        <v/>
      </c>
      <c r="U14" s="283" t="str">
        <f t="shared" si="4"/>
        <v/>
      </c>
      <c r="V14" s="299" t="str">
        <f>IF(D14="","",VLOOKUP(S14,'G-3 Multipliers'!$P$3:$Q$6,2,FALSE))</f>
        <v/>
      </c>
      <c r="W14" s="303" t="str">
        <f t="shared" si="5"/>
        <v/>
      </c>
      <c r="X14" s="101"/>
      <c r="Y14" s="115"/>
      <c r="Z14" s="104"/>
      <c r="AG14" s="30" t="str">
        <f>IFERROR(INDEX('G-6 Hedgerow Data'!$BJ$3:$BJ$15,MATCH(D14,'G-6 Hedgerow Data'!$B$3:$B$15,0)),"")</f>
        <v/>
      </c>
    </row>
    <row r="15" spans="2:33" ht="14">
      <c r="B15" s="97">
        <v>4</v>
      </c>
      <c r="C15" s="139"/>
      <c r="D15" s="58"/>
      <c r="E15" s="51"/>
      <c r="F15" s="323" t="str">
        <f>IF(D15="","",VLOOKUP(D15,'G-6 Hedgerow Data'!$B$2:$AG$15,2,FALSE))</f>
        <v/>
      </c>
      <c r="G15" s="276" t="str">
        <f>IF(D15="","",VLOOKUP(D15,'G-6 Hedgerow Data'!$B$2:$AG$15,3,FALSE))</f>
        <v/>
      </c>
      <c r="H15" s="101"/>
      <c r="I15" s="276" t="str">
        <f>IFERROR(IF(H15="","",IF(AND(D15="Non-native and ornamental hedgerow",H15&lt;&gt;"Poor"),"Not possible ▲",(VLOOKUP(H15,'G-1 All Habitats'!$Z$2:$AA$9,2,FALSE)))),"")</f>
        <v/>
      </c>
      <c r="J15" s="101"/>
      <c r="K15" s="295" t="str">
        <f>IF(J15="","",IF(VLOOKUP(J15,'G-3 Multipliers'!$L$3:$N$6,2,FALSE)=0,"Spatial Data Missing ⚠",VLOOKUP(J15,'G-3 Multipliers'!$L$3:$N$6,2,FALSE)))</f>
        <v/>
      </c>
      <c r="L15" s="281" t="str">
        <f>IF(J15="","",IF(VLOOKUP(J15,'G-3 Multipliers'!$L$3:$N$6,3,FALSE)=0,"Spatial Data Missing ⚠",VLOOKUP(J15,'G-3 Multipliers'!$L$3:$N$6,3,FALSE)))</f>
        <v/>
      </c>
      <c r="M15" s="275" t="str">
        <f>IF(OR(D15="",H15=""),"",(INDEX('G-6 Hedgerow Data'!$E$3:$I$15,MATCH(D15,'G-6 Hedgerow Data'!$B$3:$B$15,0),MATCH(H15,'G-6 Hedgerow Data'!$E$2:$I$2,0))))</f>
        <v/>
      </c>
      <c r="N15" s="133"/>
      <c r="O15" s="133"/>
      <c r="P15" s="283" t="str">
        <f t="shared" si="1"/>
        <v/>
      </c>
      <c r="Q15" s="296" t="str">
        <f t="shared" si="2"/>
        <v/>
      </c>
      <c r="R15" s="297" t="str">
        <f t="shared" si="0"/>
        <v/>
      </c>
      <c r="S15" s="311" t="str">
        <f>IF(D15="","",VLOOKUP(D15,'G-6 Hedgerow Data'!$B$3:$AG$15,31,FALSE))</f>
        <v/>
      </c>
      <c r="T15" s="283" t="str">
        <f t="shared" si="3"/>
        <v/>
      </c>
      <c r="U15" s="283" t="str">
        <f t="shared" si="4"/>
        <v/>
      </c>
      <c r="V15" s="299" t="str">
        <f>IF(D15="","",VLOOKUP(S15,'G-3 Multipliers'!$P$3:$Q$6,2,FALSE))</f>
        <v/>
      </c>
      <c r="W15" s="303" t="str">
        <f t="shared" si="5"/>
        <v/>
      </c>
      <c r="X15" s="101"/>
      <c r="Y15" s="115"/>
      <c r="Z15" s="104"/>
      <c r="AG15" s="30" t="str">
        <f>IFERROR(INDEX('G-6 Hedgerow Data'!$BJ$3:$BJ$15,MATCH(D15,'G-6 Hedgerow Data'!$B$3:$B$15,0)),"")</f>
        <v/>
      </c>
    </row>
    <row r="16" spans="2:33" ht="14">
      <c r="B16" s="97">
        <v>5</v>
      </c>
      <c r="C16" s="140"/>
      <c r="D16" s="133"/>
      <c r="E16" s="115"/>
      <c r="F16" s="323" t="str">
        <f>IF(D16="","",VLOOKUP(D16,'G-6 Hedgerow Data'!$B$2:$AG$15,2,FALSE))</f>
        <v/>
      </c>
      <c r="G16" s="276" t="str">
        <f>IF(D16="","",VLOOKUP(D16,'G-6 Hedgerow Data'!$B$2:$AG$15,3,FALSE))</f>
        <v/>
      </c>
      <c r="H16" s="105"/>
      <c r="I16" s="276" t="str">
        <f>IFERROR(IF(H16="","",IF(AND(D16="Non-native and ornamental hedgerow",H16&lt;&gt;"Poor"),"Not possible ▲",(VLOOKUP(H16,'G-1 All Habitats'!$Z$2:$AA$9,2,FALSE)))),"")</f>
        <v/>
      </c>
      <c r="J16" s="101"/>
      <c r="K16" s="295" t="str">
        <f>IF(J16="","",IF(VLOOKUP(J16,'G-3 Multipliers'!$L$3:$N$6,2,FALSE)=0,"Spatial Data Missing ⚠",VLOOKUP(J16,'G-3 Multipliers'!$L$3:$N$6,2,FALSE)))</f>
        <v/>
      </c>
      <c r="L16" s="281" t="str">
        <f>IF(J16="","",IF(VLOOKUP(J16,'G-3 Multipliers'!$L$3:$N$6,3,FALSE)=0,"Spatial Data Missing ⚠",VLOOKUP(J16,'G-3 Multipliers'!$L$3:$N$6,3,FALSE)))</f>
        <v/>
      </c>
      <c r="M16" s="275" t="str">
        <f>IF(OR(D16="",H16=""),"",(INDEX('G-6 Hedgerow Data'!$E$3:$I$15,MATCH(D16,'G-6 Hedgerow Data'!$B$3:$B$15,0),MATCH(H16,'G-6 Hedgerow Data'!$E$2:$I$2,0))))</f>
        <v/>
      </c>
      <c r="N16" s="133"/>
      <c r="O16" s="133"/>
      <c r="P16" s="283" t="str">
        <f t="shared" si="1"/>
        <v/>
      </c>
      <c r="Q16" s="296" t="str">
        <f t="shared" si="2"/>
        <v/>
      </c>
      <c r="R16" s="297" t="str">
        <f t="shared" si="0"/>
        <v/>
      </c>
      <c r="S16" s="311" t="str">
        <f>IF(D16="","",VLOOKUP(D16,'G-6 Hedgerow Data'!$B$3:$AG$15,31,FALSE))</f>
        <v/>
      </c>
      <c r="T16" s="283" t="str">
        <f t="shared" si="3"/>
        <v/>
      </c>
      <c r="U16" s="283" t="str">
        <f t="shared" si="4"/>
        <v/>
      </c>
      <c r="V16" s="299" t="str">
        <f>IF(D16="","",VLOOKUP(S16,'G-3 Multipliers'!$P$3:$Q$6,2,FALSE))</f>
        <v/>
      </c>
      <c r="W16" s="303" t="str">
        <f t="shared" si="5"/>
        <v/>
      </c>
      <c r="X16" s="101"/>
      <c r="Y16" s="115"/>
      <c r="Z16" s="104"/>
      <c r="AG16" s="30" t="str">
        <f>IFERROR(INDEX('G-6 Hedgerow Data'!$BJ$3:$BJ$15,MATCH(D16,'G-6 Hedgerow Data'!$B$3:$B$15,0)),"")</f>
        <v/>
      </c>
    </row>
    <row r="17" spans="2:33" ht="14">
      <c r="B17" s="97">
        <v>6</v>
      </c>
      <c r="C17" s="140"/>
      <c r="D17" s="133"/>
      <c r="E17" s="115"/>
      <c r="F17" s="311" t="str">
        <f>IF(D17="","",VLOOKUP(D17,'G-6 Hedgerow Data'!$B$2:$AG$15,2,FALSE))</f>
        <v/>
      </c>
      <c r="G17" s="281" t="str">
        <f>IF(D17="","",VLOOKUP(D17,'G-6 Hedgerow Data'!$B$2:$AG$15,3,FALSE))</f>
        <v/>
      </c>
      <c r="H17" s="52"/>
      <c r="I17" s="276" t="str">
        <f>IFERROR(IF(H17="","",IF(AND(D17="Non-native and ornamental hedgerow",H17&lt;&gt;"Poor"),"Not possible ▲",(VLOOKUP(H17,'G-1 All Habitats'!$Z$2:$AA$9,2,FALSE)))),"")</f>
        <v/>
      </c>
      <c r="J17" s="101"/>
      <c r="K17" s="295" t="str">
        <f>IF(J17="","",IF(VLOOKUP(J17,'G-3 Multipliers'!$L$3:$N$6,2,FALSE)=0,"Spatial Data Missing ⚠",VLOOKUP(J17,'G-3 Multipliers'!$L$3:$N$6,2,FALSE)))</f>
        <v/>
      </c>
      <c r="L17" s="281" t="str">
        <f>IF(J17="","",IF(VLOOKUP(J17,'G-3 Multipliers'!$L$3:$N$6,3,FALSE)=0,"Spatial Data Missing ⚠",VLOOKUP(J17,'G-3 Multipliers'!$L$3:$N$6,3,FALSE)))</f>
        <v/>
      </c>
      <c r="M17" s="275" t="str">
        <f>IF(OR(D17="",H17=""),"",(INDEX('G-6 Hedgerow Data'!$E$3:$I$15,MATCH(D17,'G-6 Hedgerow Data'!$B$3:$B$15,0),MATCH(H17,'G-6 Hedgerow Data'!$E$2:$I$2,0))))</f>
        <v/>
      </c>
      <c r="N17" s="133"/>
      <c r="O17" s="133"/>
      <c r="P17" s="283" t="str">
        <f t="shared" si="1"/>
        <v/>
      </c>
      <c r="Q17" s="296" t="str">
        <f t="shared" si="2"/>
        <v/>
      </c>
      <c r="R17" s="297" t="str">
        <f t="shared" si="0"/>
        <v/>
      </c>
      <c r="S17" s="311" t="str">
        <f>IF(D17="","",VLOOKUP(D17,'G-6 Hedgerow Data'!$B$3:$AG$15,31,FALSE))</f>
        <v/>
      </c>
      <c r="T17" s="283" t="str">
        <f t="shared" si="3"/>
        <v/>
      </c>
      <c r="U17" s="283" t="str">
        <f t="shared" si="4"/>
        <v/>
      </c>
      <c r="V17" s="299" t="str">
        <f>IF(D17="","",VLOOKUP(S17,'G-3 Multipliers'!$P$3:$Q$6,2,FALSE))</f>
        <v/>
      </c>
      <c r="W17" s="303" t="str">
        <f t="shared" si="5"/>
        <v/>
      </c>
      <c r="X17" s="101"/>
      <c r="Y17" s="115"/>
      <c r="Z17" s="104"/>
      <c r="AG17" s="30" t="str">
        <f>IFERROR(INDEX('G-6 Hedgerow Data'!$BJ$3:$BJ$15,MATCH(D17,'G-6 Hedgerow Data'!$B$3:$B$15,0)),"")</f>
        <v/>
      </c>
    </row>
    <row r="18" spans="2:33" ht="14.5">
      <c r="B18" s="97">
        <v>7</v>
      </c>
      <c r="C18" s="140"/>
      <c r="D18" s="133"/>
      <c r="E18" s="115"/>
      <c r="F18" s="275" t="str">
        <f>IF(D18="","",VLOOKUP(D18,'G-6 Hedgerow Data'!$B$2:$AG$15,2,FALSE))</f>
        <v/>
      </c>
      <c r="G18" s="281" t="str">
        <f>IF(D18="","",VLOOKUP(D18,'G-6 Hedgerow Data'!$B$2:$AG$15,3,FALSE))</f>
        <v/>
      </c>
      <c r="H18" s="52"/>
      <c r="I18" s="276" t="str">
        <f>IFERROR(IF(H18="","",IF(AND(D18="Non-native and ornamental hedgerow",H18&lt;&gt;"Poor"),"Not possible ▲",(VLOOKUP(H18,'G-1 All Habitats'!$Z$2:$AA$9,2,FALSE)))),"")</f>
        <v/>
      </c>
      <c r="J18" s="101"/>
      <c r="K18" s="295" t="str">
        <f>IF(J18="","",IF(VLOOKUP(J18,'G-3 Multipliers'!$L$3:$N$6,2,FALSE)=0,"Spatial Data Missing ⚠",VLOOKUP(J18,'G-3 Multipliers'!$L$3:$N$6,2,FALSE)))</f>
        <v/>
      </c>
      <c r="L18" s="281" t="str">
        <f>IF(J18="","",IF(VLOOKUP(J18,'G-3 Multipliers'!$L$3:$N$6,3,FALSE)=0,"Spatial Data Missing ⚠",VLOOKUP(J18,'G-3 Multipliers'!$L$3:$N$6,3,FALSE)))</f>
        <v/>
      </c>
      <c r="M18" s="275" t="str">
        <f>IF(OR(D18="",H18=""),"",(INDEX('G-6 Hedgerow Data'!$E$3:$I$15,MATCH(D18,'G-6 Hedgerow Data'!$B$3:$B$15,0),MATCH(H18,'G-6 Hedgerow Data'!$E$2:$I$2,0))))</f>
        <v/>
      </c>
      <c r="N18" s="133"/>
      <c r="O18" s="133"/>
      <c r="P18" s="283" t="str">
        <f t="shared" si="1"/>
        <v/>
      </c>
      <c r="Q18" s="296" t="str">
        <f t="shared" si="2"/>
        <v/>
      </c>
      <c r="R18" s="297" t="str">
        <f t="shared" si="0"/>
        <v/>
      </c>
      <c r="S18" s="311" t="str">
        <f>IF(D18="","",VLOOKUP(D18,'G-6 Hedgerow Data'!$B$3:$AG$15,31,FALSE))</f>
        <v/>
      </c>
      <c r="T18" s="283" t="str">
        <f t="shared" si="3"/>
        <v/>
      </c>
      <c r="U18" s="283" t="str">
        <f t="shared" si="4"/>
        <v/>
      </c>
      <c r="V18" s="299" t="str">
        <f>IF(D18="","",VLOOKUP(S18,'G-3 Multipliers'!$P$3:$Q$6,2,FALSE))</f>
        <v/>
      </c>
      <c r="W18" s="303" t="str">
        <f t="shared" si="5"/>
        <v/>
      </c>
      <c r="X18" s="101"/>
      <c r="Y18" s="115"/>
      <c r="Z18" s="104"/>
      <c r="AG18" s="30" t="str">
        <f>IFERROR(INDEX('G-6 Hedgerow Data'!$BJ$3:$BJ$15,MATCH(D18,'G-6 Hedgerow Data'!$B$3:$B$15,0)),"")</f>
        <v/>
      </c>
    </row>
    <row r="19" spans="2:33" ht="14" hidden="1">
      <c r="B19" s="97">
        <v>8</v>
      </c>
      <c r="C19" s="140"/>
      <c r="D19" s="133"/>
      <c r="E19" s="115"/>
      <c r="F19" s="275" t="str">
        <f>IF(D19="","",VLOOKUP(D19,'G-6 Hedgerow Data'!$B$2:$AG$15,2,FALSE))</f>
        <v/>
      </c>
      <c r="G19" s="281" t="str">
        <f>IF(D19="","",VLOOKUP(D19,'G-6 Hedgerow Data'!$B$2:$AG$15,3,FALSE))</f>
        <v/>
      </c>
      <c r="H19" s="52"/>
      <c r="I19" s="276" t="str">
        <f>IFERROR(IF(H19="","",IF(AND(D19="Non-native and ornamental hedgerow",H19&lt;&gt;"Poor"),"Not possible ▲",(VLOOKUP(H19,'G-1 All Habitats'!$Z$2:$AA$9,2,FALSE)))),"")</f>
        <v/>
      </c>
      <c r="J19" s="101"/>
      <c r="K19" s="295" t="str">
        <f>IF(J19="","",IF(VLOOKUP(J19,'G-3 Multipliers'!$L$3:$N$6,2,FALSE)=0,"Spatial Data Missing ⚠",VLOOKUP(J19,'G-3 Multipliers'!$L$3:$N$6,2,FALSE)))</f>
        <v/>
      </c>
      <c r="L19" s="281" t="str">
        <f>IF(J19="","",IF(VLOOKUP(J19,'G-3 Multipliers'!$L$3:$N$6,3,FALSE)=0,"Spatial Data Missing ⚠",VLOOKUP(J19,'G-3 Multipliers'!$L$3:$N$6,3,FALSE)))</f>
        <v/>
      </c>
      <c r="M19" s="275" t="str">
        <f>IF(OR(D19="",H19=""),"",(INDEX('G-6 Hedgerow Data'!$E$3:$I$15,MATCH(D19,'G-6 Hedgerow Data'!$B$3:$B$15,0),MATCH(H19,'G-6 Hedgerow Data'!$E$2:$I$2,0))))</f>
        <v/>
      </c>
      <c r="N19" s="133"/>
      <c r="O19" s="133"/>
      <c r="P19" s="283" t="str">
        <f t="shared" si="1"/>
        <v/>
      </c>
      <c r="Q19" s="296" t="str">
        <f t="shared" si="2"/>
        <v/>
      </c>
      <c r="R19" s="297" t="str">
        <f t="shared" si="0"/>
        <v/>
      </c>
      <c r="S19" s="311" t="str">
        <f>IF(D19="","",VLOOKUP(D19,'G-6 Hedgerow Data'!$B$3:$AG$15,31,FALSE))</f>
        <v/>
      </c>
      <c r="T19" s="283" t="str">
        <f t="shared" si="3"/>
        <v/>
      </c>
      <c r="U19" s="283" t="str">
        <f t="shared" si="4"/>
        <v/>
      </c>
      <c r="V19" s="299" t="str">
        <f>IF(D19="","",VLOOKUP(S19,'G-3 Multipliers'!$P$3:$Q$6,2,FALSE))</f>
        <v/>
      </c>
      <c r="W19" s="303" t="str">
        <f t="shared" si="5"/>
        <v/>
      </c>
      <c r="X19" s="101"/>
      <c r="Y19" s="115"/>
      <c r="Z19" s="104"/>
      <c r="AG19" s="30" t="str">
        <f>IFERROR(INDEX('G-6 Hedgerow Data'!$BJ$3:$BJ$15,MATCH(D19,'G-6 Hedgerow Data'!$B$3:$B$15,0)),"")</f>
        <v/>
      </c>
    </row>
    <row r="20" spans="2:33" ht="14" hidden="1">
      <c r="B20" s="97">
        <v>9</v>
      </c>
      <c r="C20" s="140"/>
      <c r="D20" s="133"/>
      <c r="E20" s="115"/>
      <c r="F20" s="275" t="str">
        <f>IF(D20="","",VLOOKUP(D20,'G-6 Hedgerow Data'!$B$2:$AG$15,2,FALSE))</f>
        <v/>
      </c>
      <c r="G20" s="281" t="str">
        <f>IF(D20="","",VLOOKUP(D20,'G-6 Hedgerow Data'!$B$2:$AG$15,3,FALSE))</f>
        <v/>
      </c>
      <c r="H20" s="52"/>
      <c r="I20" s="276" t="str">
        <f>IFERROR(IF(H20="","",IF(AND(D20="Non-native and ornamental hedgerow",H20&lt;&gt;"Poor"),"Not possible ▲",(VLOOKUP(H20,'G-1 All Habitats'!$Z$2:$AA$9,2,FALSE)))),"")</f>
        <v/>
      </c>
      <c r="J20" s="101"/>
      <c r="K20" s="295" t="str">
        <f>IF(J20="","",IF(VLOOKUP(J20,'G-3 Multipliers'!$L$3:$N$6,2,FALSE)=0,"Spatial Data Missing ⚠",VLOOKUP(J20,'G-3 Multipliers'!$L$3:$N$6,2,FALSE)))</f>
        <v/>
      </c>
      <c r="L20" s="281" t="str">
        <f>IF(J20="","",IF(VLOOKUP(J20,'G-3 Multipliers'!$L$3:$N$6,3,FALSE)=0,"Spatial Data Missing ⚠",VLOOKUP(J20,'G-3 Multipliers'!$L$3:$N$6,3,FALSE)))</f>
        <v/>
      </c>
      <c r="M20" s="275" t="str">
        <f>IF(OR(D20="",H20=""),"",(INDEX('G-6 Hedgerow Data'!$E$3:$I$15,MATCH(D20,'G-6 Hedgerow Data'!$B$3:$B$15,0),MATCH(H20,'G-6 Hedgerow Data'!$E$2:$I$2,0))))</f>
        <v/>
      </c>
      <c r="N20" s="133"/>
      <c r="O20" s="133"/>
      <c r="P20" s="283" t="str">
        <f t="shared" si="1"/>
        <v/>
      </c>
      <c r="Q20" s="296" t="str">
        <f t="shared" si="2"/>
        <v/>
      </c>
      <c r="R20" s="297" t="str">
        <f t="shared" si="0"/>
        <v/>
      </c>
      <c r="S20" s="311" t="str">
        <f>IF(D20="","",VLOOKUP(D20,'G-6 Hedgerow Data'!$B$3:$AG$15,31,FALSE))</f>
        <v/>
      </c>
      <c r="T20" s="283" t="str">
        <f t="shared" si="3"/>
        <v/>
      </c>
      <c r="U20" s="283" t="str">
        <f t="shared" si="4"/>
        <v/>
      </c>
      <c r="V20" s="299" t="str">
        <f>IF(D20="","",VLOOKUP(S20,'G-3 Multipliers'!$P$3:$Q$6,2,FALSE))</f>
        <v/>
      </c>
      <c r="W20" s="303" t="str">
        <f t="shared" si="5"/>
        <v/>
      </c>
      <c r="X20" s="101"/>
      <c r="Y20" s="115"/>
      <c r="Z20" s="104"/>
      <c r="AG20" s="30" t="str">
        <f>IFERROR(INDEX('G-6 Hedgerow Data'!$BJ$3:$BJ$15,MATCH(D20,'G-6 Hedgerow Data'!$B$3:$B$15,0)),"")</f>
        <v/>
      </c>
    </row>
    <row r="21" spans="2:33" ht="14" hidden="1">
      <c r="B21" s="97">
        <v>10</v>
      </c>
      <c r="C21" s="140"/>
      <c r="D21" s="133"/>
      <c r="E21" s="115"/>
      <c r="F21" s="275" t="str">
        <f>IF(D21="","",VLOOKUP(D21,'G-6 Hedgerow Data'!$B$2:$AG$15,2,FALSE))</f>
        <v/>
      </c>
      <c r="G21" s="281" t="str">
        <f>IF(D21="","",VLOOKUP(D21,'G-6 Hedgerow Data'!$B$2:$AG$15,3,FALSE))</f>
        <v/>
      </c>
      <c r="H21" s="52"/>
      <c r="I21" s="276" t="str">
        <f>IFERROR(IF(H21="","",IF(AND(D21="Non-native and ornamental hedgerow",H21&lt;&gt;"Poor"),"Not possible ▲",(VLOOKUP(H21,'G-1 All Habitats'!$Z$2:$AA$9,2,FALSE)))),"")</f>
        <v/>
      </c>
      <c r="J21" s="101"/>
      <c r="K21" s="295" t="str">
        <f>IF(J21="","",IF(VLOOKUP(J21,'G-3 Multipliers'!$L$3:$N$6,2,FALSE)=0,"Spatial Data Missing ⚠",VLOOKUP(J21,'G-3 Multipliers'!$L$3:$N$6,2,FALSE)))</f>
        <v/>
      </c>
      <c r="L21" s="281" t="str">
        <f>IF(J21="","",IF(VLOOKUP(J21,'G-3 Multipliers'!$L$3:$N$6,3,FALSE)=0,"Spatial Data Missing ⚠",VLOOKUP(J21,'G-3 Multipliers'!$L$3:$N$6,3,FALSE)))</f>
        <v/>
      </c>
      <c r="M21" s="275" t="str">
        <f>IF(OR(D21="",H21=""),"",(INDEX('G-6 Hedgerow Data'!$E$3:$I$15,MATCH(D21,'G-6 Hedgerow Data'!$B$3:$B$15,0),MATCH(H21,'G-6 Hedgerow Data'!$E$2:$I$2,0))))</f>
        <v/>
      </c>
      <c r="N21" s="133"/>
      <c r="O21" s="133"/>
      <c r="P21" s="283" t="str">
        <f t="shared" si="1"/>
        <v/>
      </c>
      <c r="Q21" s="296" t="str">
        <f t="shared" si="2"/>
        <v/>
      </c>
      <c r="R21" s="297" t="str">
        <f t="shared" si="0"/>
        <v/>
      </c>
      <c r="S21" s="311" t="str">
        <f>IF(D21="","",VLOOKUP(D21,'G-6 Hedgerow Data'!$B$3:$AG$15,31,FALSE))</f>
        <v/>
      </c>
      <c r="T21" s="283" t="str">
        <f t="shared" si="3"/>
        <v/>
      </c>
      <c r="U21" s="283" t="str">
        <f t="shared" si="4"/>
        <v/>
      </c>
      <c r="V21" s="299" t="str">
        <f>IF(D21="","",VLOOKUP(S21,'G-3 Multipliers'!$P$3:$Q$6,2,FALSE))</f>
        <v/>
      </c>
      <c r="W21" s="303" t="str">
        <f t="shared" si="5"/>
        <v/>
      </c>
      <c r="X21" s="101"/>
      <c r="Y21" s="115"/>
      <c r="Z21" s="104"/>
      <c r="AG21" s="30" t="str">
        <f>IFERROR(INDEX('G-6 Hedgerow Data'!$BJ$3:$BJ$15,MATCH(D21,'G-6 Hedgerow Data'!$B$3:$B$15,0)),"")</f>
        <v/>
      </c>
    </row>
    <row r="22" spans="2:33" ht="14" hidden="1">
      <c r="B22" s="97">
        <v>11</v>
      </c>
      <c r="C22" s="140"/>
      <c r="D22" s="133"/>
      <c r="E22" s="115"/>
      <c r="F22" s="275" t="str">
        <f>IF(D22="","",VLOOKUP(D22,'G-6 Hedgerow Data'!$B$2:$AG$15,2,FALSE))</f>
        <v/>
      </c>
      <c r="G22" s="281" t="str">
        <f>IF(D22="","",VLOOKUP(D22,'G-6 Hedgerow Data'!$B$2:$AG$15,3,FALSE))</f>
        <v/>
      </c>
      <c r="H22" s="52"/>
      <c r="I22" s="276" t="str">
        <f>IFERROR(IF(H22="","",IF(AND(D22="Non-native and ornamental hedgerow",H22&lt;&gt;"Poor"),"Not possible ▲",(VLOOKUP(H22,'G-1 All Habitats'!$Z$2:$AA$9,2,FALSE)))),"")</f>
        <v/>
      </c>
      <c r="J22" s="101"/>
      <c r="K22" s="295" t="str">
        <f>IF(J22="","",IF(VLOOKUP(J22,'G-3 Multipliers'!$L$3:$N$6,2,FALSE)=0,"Spatial Data Missing ⚠",VLOOKUP(J22,'G-3 Multipliers'!$L$3:$N$6,2,FALSE)))</f>
        <v/>
      </c>
      <c r="L22" s="281" t="str">
        <f>IF(J22="","",IF(VLOOKUP(J22,'G-3 Multipliers'!$L$3:$N$6,3,FALSE)=0,"Spatial Data Missing ⚠",VLOOKUP(J22,'G-3 Multipliers'!$L$3:$N$6,3,FALSE)))</f>
        <v/>
      </c>
      <c r="M22" s="275" t="str">
        <f>IF(OR(D22="",H22=""),"",(INDEX('G-6 Hedgerow Data'!$E$3:$I$15,MATCH(D22,'G-6 Hedgerow Data'!$B$3:$B$15,0),MATCH(H22,'G-6 Hedgerow Data'!$E$2:$I$2,0))))</f>
        <v/>
      </c>
      <c r="N22" s="133"/>
      <c r="O22" s="133"/>
      <c r="P22" s="283" t="str">
        <f t="shared" si="1"/>
        <v/>
      </c>
      <c r="Q22" s="296" t="str">
        <f t="shared" si="2"/>
        <v/>
      </c>
      <c r="R22" s="297" t="str">
        <f t="shared" si="0"/>
        <v/>
      </c>
      <c r="S22" s="311" t="str">
        <f>IF(D22="","",VLOOKUP(D22,'G-6 Hedgerow Data'!$B$3:$AG$15,31,FALSE))</f>
        <v/>
      </c>
      <c r="T22" s="283" t="str">
        <f t="shared" si="3"/>
        <v/>
      </c>
      <c r="U22" s="283" t="str">
        <f t="shared" si="4"/>
        <v/>
      </c>
      <c r="V22" s="299" t="str">
        <f>IF(D22="","",VLOOKUP(S22,'G-3 Multipliers'!$P$3:$Q$6,2,FALSE))</f>
        <v/>
      </c>
      <c r="W22" s="303" t="str">
        <f t="shared" si="5"/>
        <v/>
      </c>
      <c r="X22" s="101"/>
      <c r="Y22" s="115"/>
      <c r="Z22" s="104"/>
      <c r="AG22" s="30" t="str">
        <f>IFERROR(INDEX('G-6 Hedgerow Data'!$BJ$3:$BJ$15,MATCH(D22,'G-6 Hedgerow Data'!$B$3:$B$15,0)),"")</f>
        <v/>
      </c>
    </row>
    <row r="23" spans="2:33" ht="14" hidden="1">
      <c r="B23" s="97">
        <v>12</v>
      </c>
      <c r="C23" s="140"/>
      <c r="D23" s="133"/>
      <c r="E23" s="115"/>
      <c r="F23" s="275" t="str">
        <f>IF(D23="","",VLOOKUP(D23,'G-6 Hedgerow Data'!$B$2:$AG$15,2,FALSE))</f>
        <v/>
      </c>
      <c r="G23" s="281" t="str">
        <f>IF(D23="","",VLOOKUP(D23,'G-6 Hedgerow Data'!$B$2:$AG$15,3,FALSE))</f>
        <v/>
      </c>
      <c r="H23" s="52"/>
      <c r="I23" s="276" t="str">
        <f>IFERROR(IF(H23="","",IF(AND(D23="Non-native and ornamental hedgerow",H23&lt;&gt;"Poor"),"Not possible ▲",(VLOOKUP(H23,'G-1 All Habitats'!$Z$2:$AA$9,2,FALSE)))),"")</f>
        <v/>
      </c>
      <c r="J23" s="101"/>
      <c r="K23" s="295" t="str">
        <f>IF(J23="","",IF(VLOOKUP(J23,'G-3 Multipliers'!$L$3:$N$6,2,FALSE)=0,"Spatial Data Missing ⚠",VLOOKUP(J23,'G-3 Multipliers'!$L$3:$N$6,2,FALSE)))</f>
        <v/>
      </c>
      <c r="L23" s="281" t="str">
        <f>IF(J23="","",IF(VLOOKUP(J23,'G-3 Multipliers'!$L$3:$N$6,3,FALSE)=0,"Spatial Data Missing ⚠",VLOOKUP(J23,'G-3 Multipliers'!$L$3:$N$6,3,FALSE)))</f>
        <v/>
      </c>
      <c r="M23" s="275" t="str">
        <f>IF(OR(D23="",H23=""),"",(INDEX('G-6 Hedgerow Data'!$E$3:$I$15,MATCH(D23,'G-6 Hedgerow Data'!$B$3:$B$15,0),MATCH(H23,'G-6 Hedgerow Data'!$E$2:$I$2,0))))</f>
        <v/>
      </c>
      <c r="N23" s="133"/>
      <c r="O23" s="133"/>
      <c r="P23" s="283" t="str">
        <f t="shared" si="1"/>
        <v/>
      </c>
      <c r="Q23" s="296" t="str">
        <f t="shared" si="2"/>
        <v/>
      </c>
      <c r="R23" s="297" t="str">
        <f t="shared" si="0"/>
        <v/>
      </c>
      <c r="S23" s="311" t="str">
        <f>IF(D23="","",VLOOKUP(D23,'G-6 Hedgerow Data'!$B$3:$AG$15,31,FALSE))</f>
        <v/>
      </c>
      <c r="T23" s="283" t="str">
        <f t="shared" si="3"/>
        <v/>
      </c>
      <c r="U23" s="283" t="str">
        <f t="shared" si="4"/>
        <v/>
      </c>
      <c r="V23" s="299" t="str">
        <f>IF(D23="","",VLOOKUP(S23,'G-3 Multipliers'!$P$3:$Q$6,2,FALSE))</f>
        <v/>
      </c>
      <c r="W23" s="303" t="str">
        <f t="shared" si="5"/>
        <v/>
      </c>
      <c r="X23" s="101"/>
      <c r="Y23" s="115"/>
      <c r="Z23" s="104"/>
      <c r="AG23" s="30" t="str">
        <f>IFERROR(INDEX('G-6 Hedgerow Data'!$BJ$3:$BJ$15,MATCH(D23,'G-6 Hedgerow Data'!$B$3:$B$15,0)),"")</f>
        <v/>
      </c>
    </row>
    <row r="24" spans="2:33" ht="14" hidden="1">
      <c r="B24" s="97">
        <v>13</v>
      </c>
      <c r="C24" s="140"/>
      <c r="D24" s="133"/>
      <c r="E24" s="115"/>
      <c r="F24" s="275" t="str">
        <f>IF(D24="","",VLOOKUP(D24,'G-6 Hedgerow Data'!$B$2:$AG$15,2,FALSE))</f>
        <v/>
      </c>
      <c r="G24" s="281" t="str">
        <f>IF(D24="","",VLOOKUP(D24,'G-6 Hedgerow Data'!$B$2:$AG$15,3,FALSE))</f>
        <v/>
      </c>
      <c r="H24" s="101"/>
      <c r="I24" s="276" t="str">
        <f>IFERROR(IF(H24="","",IF(AND(D24="Non-native and ornamental hedgerow",H24&lt;&gt;"Poor"),"Not possible ▲",(VLOOKUP(H24,'G-1 All Habitats'!$Z$2:$AA$9,2,FALSE)))),"")</f>
        <v/>
      </c>
      <c r="J24" s="101"/>
      <c r="K24" s="295" t="str">
        <f>IF(J24="","",IF(VLOOKUP(J24,'G-3 Multipliers'!$L$3:$N$6,2,FALSE)=0,"Spatial Data Missing ⚠",VLOOKUP(J24,'G-3 Multipliers'!$L$3:$N$6,2,FALSE)))</f>
        <v/>
      </c>
      <c r="L24" s="281" t="str">
        <f>IF(J24="","",IF(VLOOKUP(J24,'G-3 Multipliers'!$L$3:$N$6,3,FALSE)=0,"Spatial Data Missing ⚠",VLOOKUP(J24,'G-3 Multipliers'!$L$3:$N$6,3,FALSE)))</f>
        <v/>
      </c>
      <c r="M24" s="275" t="str">
        <f>IF(OR(D24="",H24=""),"",(INDEX('G-6 Hedgerow Data'!$E$3:$I$15,MATCH(D24,'G-6 Hedgerow Data'!$B$3:$B$15,0),MATCH(H24,'G-6 Hedgerow Data'!$E$2:$I$2,0))))</f>
        <v/>
      </c>
      <c r="N24" s="133"/>
      <c r="O24" s="133"/>
      <c r="P24" s="283" t="str">
        <f t="shared" si="1"/>
        <v/>
      </c>
      <c r="Q24" s="296" t="str">
        <f t="shared" si="2"/>
        <v/>
      </c>
      <c r="R24" s="297" t="str">
        <f t="shared" si="0"/>
        <v/>
      </c>
      <c r="S24" s="311" t="str">
        <f>IF(D24="","",VLOOKUP(D24,'G-6 Hedgerow Data'!$B$3:$AG$15,31,FALSE))</f>
        <v/>
      </c>
      <c r="T24" s="283" t="str">
        <f t="shared" si="3"/>
        <v/>
      </c>
      <c r="U24" s="283" t="str">
        <f t="shared" si="4"/>
        <v/>
      </c>
      <c r="V24" s="299" t="str">
        <f>IF(D24="","",VLOOKUP(S24,'G-3 Multipliers'!$P$3:$Q$6,2,FALSE))</f>
        <v/>
      </c>
      <c r="W24" s="303" t="str">
        <f t="shared" si="5"/>
        <v/>
      </c>
      <c r="X24" s="101"/>
      <c r="Y24" s="115"/>
      <c r="Z24" s="104"/>
      <c r="AG24" s="30" t="str">
        <f>IFERROR(INDEX('G-6 Hedgerow Data'!$BJ$3:$BJ$15,MATCH(D24,'G-6 Hedgerow Data'!$B$3:$B$15,0)),"")</f>
        <v/>
      </c>
    </row>
    <row r="25" spans="2:33" ht="14" hidden="1">
      <c r="B25" s="97">
        <v>14</v>
      </c>
      <c r="C25" s="140"/>
      <c r="D25" s="58"/>
      <c r="E25" s="51"/>
      <c r="F25" s="323" t="str">
        <f>IF(D25="","",VLOOKUP(D25,'G-6 Hedgerow Data'!$B$2:$AG$15,2,FALSE))</f>
        <v/>
      </c>
      <c r="G25" s="276" t="str">
        <f>IF(D25="","",VLOOKUP(D25,'G-6 Hedgerow Data'!$B$2:$AG$15,3,FALSE))</f>
        <v/>
      </c>
      <c r="H25" s="101"/>
      <c r="I25" s="276" t="str">
        <f>IFERROR(IF(H25="","",IF(AND(D25="Non-native and ornamental hedgerow",H25&lt;&gt;"Poor"),"Not possible ▲",(VLOOKUP(H25,'G-1 All Habitats'!$Z$2:$AA$9,2,FALSE)))),"")</f>
        <v/>
      </c>
      <c r="J25" s="101"/>
      <c r="K25" s="295" t="str">
        <f>IF(J25="","",IF(VLOOKUP(J25,'G-3 Multipliers'!$L$3:$N$6,2,FALSE)=0,"Spatial Data Missing ⚠",VLOOKUP(J25,'G-3 Multipliers'!$L$3:$N$6,2,FALSE)))</f>
        <v/>
      </c>
      <c r="L25" s="281" t="str">
        <f>IF(J25="","",IF(VLOOKUP(J25,'G-3 Multipliers'!$L$3:$N$6,3,FALSE)=0,"Spatial Data Missing ⚠",VLOOKUP(J25,'G-3 Multipliers'!$L$3:$N$6,3,FALSE)))</f>
        <v/>
      </c>
      <c r="M25" s="275" t="str">
        <f>IF(OR(D25="",H25=""),"",(INDEX('G-6 Hedgerow Data'!$E$3:$I$15,MATCH(D25,'G-6 Hedgerow Data'!$B$3:$B$15,0),MATCH(H25,'G-6 Hedgerow Data'!$E$2:$I$2,0))))</f>
        <v/>
      </c>
      <c r="N25" s="133"/>
      <c r="O25" s="133"/>
      <c r="P25" s="283" t="str">
        <f t="shared" si="1"/>
        <v/>
      </c>
      <c r="Q25" s="296" t="str">
        <f t="shared" si="2"/>
        <v/>
      </c>
      <c r="R25" s="297" t="str">
        <f t="shared" si="0"/>
        <v/>
      </c>
      <c r="S25" s="311" t="str">
        <f>IF(D25="","",VLOOKUP(D25,'G-6 Hedgerow Data'!$B$3:$AG$15,31,FALSE))</f>
        <v/>
      </c>
      <c r="T25" s="283" t="str">
        <f t="shared" si="3"/>
        <v/>
      </c>
      <c r="U25" s="283" t="str">
        <f t="shared" si="4"/>
        <v/>
      </c>
      <c r="V25" s="299" t="str">
        <f>IF(D25="","",VLOOKUP(S25,'G-3 Multipliers'!$P$3:$Q$6,2,FALSE))</f>
        <v/>
      </c>
      <c r="W25" s="303" t="str">
        <f t="shared" si="5"/>
        <v/>
      </c>
      <c r="X25" s="101"/>
      <c r="Y25" s="115"/>
      <c r="Z25" s="104"/>
      <c r="AG25" s="30" t="str">
        <f>IFERROR(INDEX('G-6 Hedgerow Data'!$BJ$3:$BJ$15,MATCH(D25,'G-6 Hedgerow Data'!$B$3:$B$15,0)),"")</f>
        <v/>
      </c>
    </row>
    <row r="26" spans="2:33" ht="14" hidden="1">
      <c r="B26" s="97">
        <v>15</v>
      </c>
      <c r="C26" s="140"/>
      <c r="D26" s="58"/>
      <c r="E26" s="51"/>
      <c r="F26" s="323" t="str">
        <f>IF(D26="","",VLOOKUP(D26,'G-6 Hedgerow Data'!$B$2:$AG$15,2,FALSE))</f>
        <v/>
      </c>
      <c r="G26" s="276" t="str">
        <f>IF(D26="","",VLOOKUP(D26,'G-6 Hedgerow Data'!$B$2:$AG$15,3,FALSE))</f>
        <v/>
      </c>
      <c r="H26" s="101"/>
      <c r="I26" s="276" t="str">
        <f>IFERROR(IF(H26="","",IF(AND(D26="Non-native and ornamental hedgerow",H26&lt;&gt;"Poor"),"Not possible ▲",(VLOOKUP(H26,'G-1 All Habitats'!$Z$2:$AA$9,2,FALSE)))),"")</f>
        <v/>
      </c>
      <c r="J26" s="101"/>
      <c r="K26" s="295" t="str">
        <f>IF(J26="","",IF(VLOOKUP(J26,'G-3 Multipliers'!$L$3:$N$6,2,FALSE)=0,"Spatial Data Missing ⚠",VLOOKUP(J26,'G-3 Multipliers'!$L$3:$N$6,2,FALSE)))</f>
        <v/>
      </c>
      <c r="L26" s="281" t="str">
        <f>IF(J26="","",IF(VLOOKUP(J26,'G-3 Multipliers'!$L$3:$N$6,3,FALSE)=0,"Spatial Data Missing ⚠",VLOOKUP(J26,'G-3 Multipliers'!$L$3:$N$6,3,FALSE)))</f>
        <v/>
      </c>
      <c r="M26" s="275" t="str">
        <f>IF(OR(D26="",H26=""),"",(INDEX('G-6 Hedgerow Data'!$E$3:$I$15,MATCH(D26,'G-6 Hedgerow Data'!$B$3:$B$15,0),MATCH(H26,'G-6 Hedgerow Data'!$E$2:$I$2,0))))</f>
        <v/>
      </c>
      <c r="N26" s="133"/>
      <c r="O26" s="133"/>
      <c r="P26" s="283" t="str">
        <f t="shared" si="1"/>
        <v/>
      </c>
      <c r="Q26" s="296" t="str">
        <f t="shared" si="2"/>
        <v/>
      </c>
      <c r="R26" s="297" t="str">
        <f t="shared" si="0"/>
        <v/>
      </c>
      <c r="S26" s="311" t="str">
        <f>IF(D26="","",VLOOKUP(D26,'G-6 Hedgerow Data'!$B$3:$AG$15,31,FALSE))</f>
        <v/>
      </c>
      <c r="T26" s="283" t="str">
        <f t="shared" si="3"/>
        <v/>
      </c>
      <c r="U26" s="283" t="str">
        <f t="shared" si="4"/>
        <v/>
      </c>
      <c r="V26" s="299" t="str">
        <f>IF(D26="","",VLOOKUP(S26,'G-3 Multipliers'!$P$3:$Q$6,2,FALSE))</f>
        <v/>
      </c>
      <c r="W26" s="303" t="str">
        <f t="shared" si="5"/>
        <v/>
      </c>
      <c r="X26" s="101"/>
      <c r="Y26" s="115"/>
      <c r="Z26" s="104"/>
      <c r="AG26" s="30" t="str">
        <f>IFERROR(INDEX('G-6 Hedgerow Data'!$BJ$3:$BJ$15,MATCH(D26,'G-6 Hedgerow Data'!$B$3:$B$15,0)),"")</f>
        <v/>
      </c>
    </row>
    <row r="27" spans="2:33" ht="14" hidden="1">
      <c r="B27" s="97">
        <v>16</v>
      </c>
      <c r="C27" s="140"/>
      <c r="D27" s="58"/>
      <c r="E27" s="51"/>
      <c r="F27" s="323" t="str">
        <f>IF(D27="","",VLOOKUP(D27,'G-6 Hedgerow Data'!$B$2:$AG$15,2,FALSE))</f>
        <v/>
      </c>
      <c r="G27" s="276" t="str">
        <f>IF(D27="","",VLOOKUP(D27,'G-6 Hedgerow Data'!$B$2:$AG$15,3,FALSE))</f>
        <v/>
      </c>
      <c r="H27" s="101"/>
      <c r="I27" s="276" t="str">
        <f>IFERROR(IF(H27="","",IF(AND(D27="Non-native and ornamental hedgerow",H27&lt;&gt;"Poor"),"Not possible ▲",(VLOOKUP(H27,'G-1 All Habitats'!$Z$2:$AA$9,2,FALSE)))),"")</f>
        <v/>
      </c>
      <c r="J27" s="101"/>
      <c r="K27" s="295" t="str">
        <f>IF(J27="","",IF(VLOOKUP(J27,'G-3 Multipliers'!$L$3:$N$6,2,FALSE)=0,"Spatial Data Missing ⚠",VLOOKUP(J27,'G-3 Multipliers'!$L$3:$N$6,2,FALSE)))</f>
        <v/>
      </c>
      <c r="L27" s="281" t="str">
        <f>IF(J27="","",IF(VLOOKUP(J27,'G-3 Multipliers'!$L$3:$N$6,3,FALSE)=0,"Spatial Data Missing ⚠",VLOOKUP(J27,'G-3 Multipliers'!$L$3:$N$6,3,FALSE)))</f>
        <v/>
      </c>
      <c r="M27" s="275" t="str">
        <f>IF(OR(D27="",H27=""),"",(INDEX('G-6 Hedgerow Data'!$E$3:$I$15,MATCH(D27,'G-6 Hedgerow Data'!$B$3:$B$15,0),MATCH(H27,'G-6 Hedgerow Data'!$E$2:$I$2,0))))</f>
        <v/>
      </c>
      <c r="N27" s="133"/>
      <c r="O27" s="133"/>
      <c r="P27" s="283" t="str">
        <f t="shared" si="1"/>
        <v/>
      </c>
      <c r="Q27" s="296" t="str">
        <f t="shared" si="2"/>
        <v/>
      </c>
      <c r="R27" s="297" t="str">
        <f t="shared" si="0"/>
        <v/>
      </c>
      <c r="S27" s="311" t="str">
        <f>IF(D27="","",VLOOKUP(D27,'G-6 Hedgerow Data'!$B$3:$AG$15,31,FALSE))</f>
        <v/>
      </c>
      <c r="T27" s="283" t="str">
        <f t="shared" si="3"/>
        <v/>
      </c>
      <c r="U27" s="283" t="str">
        <f t="shared" si="4"/>
        <v/>
      </c>
      <c r="V27" s="299" t="str">
        <f>IF(D27="","",VLOOKUP(S27,'G-3 Multipliers'!$P$3:$Q$6,2,FALSE))</f>
        <v/>
      </c>
      <c r="W27" s="303" t="str">
        <f t="shared" si="5"/>
        <v/>
      </c>
      <c r="X27" s="101"/>
      <c r="Y27" s="115"/>
      <c r="Z27" s="104"/>
      <c r="AG27" s="30" t="str">
        <f>IFERROR(INDEX('G-6 Hedgerow Data'!$BJ$3:$BJ$15,MATCH(D27,'G-6 Hedgerow Data'!$B$3:$B$15,0)),"")</f>
        <v/>
      </c>
    </row>
    <row r="28" spans="2:33" ht="14" hidden="1">
      <c r="B28" s="97">
        <v>17</v>
      </c>
      <c r="C28" s="140"/>
      <c r="D28" s="58"/>
      <c r="E28" s="51"/>
      <c r="F28" s="323" t="str">
        <f>IF(D28="","",VLOOKUP(D28,'G-6 Hedgerow Data'!$B$2:$AG$15,2,FALSE))</f>
        <v/>
      </c>
      <c r="G28" s="276" t="str">
        <f>IF(D28="","",VLOOKUP(D28,'G-6 Hedgerow Data'!$B$2:$AG$15,3,FALSE))</f>
        <v/>
      </c>
      <c r="H28" s="101"/>
      <c r="I28" s="276" t="str">
        <f>IFERROR(IF(H28="","",IF(AND(D28="Non-native and ornamental hedgerow",H28&lt;&gt;"Poor"),"Not possible ▲",(VLOOKUP(H28,'G-1 All Habitats'!$Z$2:$AA$9,2,FALSE)))),"")</f>
        <v/>
      </c>
      <c r="J28" s="101"/>
      <c r="K28" s="295" t="str">
        <f>IF(J28="","",IF(VLOOKUP(J28,'G-3 Multipliers'!$L$3:$N$6,2,FALSE)=0,"Spatial Data Missing ⚠",VLOOKUP(J28,'G-3 Multipliers'!$L$3:$N$6,2,FALSE)))</f>
        <v/>
      </c>
      <c r="L28" s="281" t="str">
        <f>IF(J28="","",IF(VLOOKUP(J28,'G-3 Multipliers'!$L$3:$N$6,3,FALSE)=0,"Spatial Data Missing ⚠",VLOOKUP(J28,'G-3 Multipliers'!$L$3:$N$6,3,FALSE)))</f>
        <v/>
      </c>
      <c r="M28" s="275" t="str">
        <f>IF(OR(D28="",H28=""),"",(INDEX('G-6 Hedgerow Data'!$E$3:$I$15,MATCH(D28,'G-6 Hedgerow Data'!$B$3:$B$15,0),MATCH(H28,'G-6 Hedgerow Data'!$E$2:$I$2,0))))</f>
        <v/>
      </c>
      <c r="N28" s="133"/>
      <c r="O28" s="133"/>
      <c r="P28" s="283" t="str">
        <f t="shared" si="1"/>
        <v/>
      </c>
      <c r="Q28" s="296" t="str">
        <f t="shared" si="2"/>
        <v/>
      </c>
      <c r="R28" s="297" t="str">
        <f t="shared" si="0"/>
        <v/>
      </c>
      <c r="S28" s="311" t="str">
        <f>IF(D28="","",VLOOKUP(D28,'G-6 Hedgerow Data'!$B$3:$AG$15,31,FALSE))</f>
        <v/>
      </c>
      <c r="T28" s="283" t="str">
        <f t="shared" si="3"/>
        <v/>
      </c>
      <c r="U28" s="283" t="str">
        <f t="shared" si="4"/>
        <v/>
      </c>
      <c r="V28" s="299" t="str">
        <f>IF(D28="","",VLOOKUP(S28,'G-3 Multipliers'!$P$3:$Q$6,2,FALSE))</f>
        <v/>
      </c>
      <c r="W28" s="303" t="str">
        <f t="shared" si="5"/>
        <v/>
      </c>
      <c r="X28" s="101"/>
      <c r="Y28" s="115"/>
      <c r="Z28" s="104"/>
      <c r="AG28" s="30" t="str">
        <f>IFERROR(INDEX('G-6 Hedgerow Data'!$BJ$3:$BJ$15,MATCH(D28,'G-6 Hedgerow Data'!$B$3:$B$15,0)),"")</f>
        <v/>
      </c>
    </row>
    <row r="29" spans="2:33" ht="14" hidden="1">
      <c r="B29" s="97">
        <v>18</v>
      </c>
      <c r="C29" s="140"/>
      <c r="D29" s="133"/>
      <c r="E29" s="115"/>
      <c r="F29" s="323" t="str">
        <f>IF(D29="","",VLOOKUP(D29,'G-6 Hedgerow Data'!$B$2:$AG$15,2,FALSE))</f>
        <v/>
      </c>
      <c r="G29" s="276" t="str">
        <f>IF(D29="","",VLOOKUP(D29,'G-6 Hedgerow Data'!$B$2:$AG$15,3,FALSE))</f>
        <v/>
      </c>
      <c r="H29" s="101"/>
      <c r="I29" s="276" t="str">
        <f>IFERROR(IF(H29="","",IF(AND(D29="Non-native and ornamental hedgerow",H29&lt;&gt;"Poor"),"Not possible ▲",(VLOOKUP(H29,'G-1 All Habitats'!$Z$2:$AA$9,2,FALSE)))),"")</f>
        <v/>
      </c>
      <c r="J29" s="101"/>
      <c r="K29" s="295" t="str">
        <f>IF(J29="","",IF(VLOOKUP(J29,'G-3 Multipliers'!$L$3:$N$6,2,FALSE)=0,"Spatial Data Missing ⚠",VLOOKUP(J29,'G-3 Multipliers'!$L$3:$N$6,2,FALSE)))</f>
        <v/>
      </c>
      <c r="L29" s="281" t="str">
        <f>IF(J29="","",IF(VLOOKUP(J29,'G-3 Multipliers'!$L$3:$N$6,3,FALSE)=0,"Spatial Data Missing ⚠",VLOOKUP(J29,'G-3 Multipliers'!$L$3:$N$6,3,FALSE)))</f>
        <v/>
      </c>
      <c r="M29" s="275" t="str">
        <f>IF(OR(D29="",H29=""),"",(INDEX('G-6 Hedgerow Data'!$E$3:$I$15,MATCH(D29,'G-6 Hedgerow Data'!$B$3:$B$15,0),MATCH(H29,'G-6 Hedgerow Data'!$E$2:$I$2,0))))</f>
        <v/>
      </c>
      <c r="N29" s="133"/>
      <c r="O29" s="133"/>
      <c r="P29" s="283" t="str">
        <f t="shared" si="1"/>
        <v/>
      </c>
      <c r="Q29" s="296" t="str">
        <f t="shared" si="2"/>
        <v/>
      </c>
      <c r="R29" s="297" t="str">
        <f t="shared" si="0"/>
        <v/>
      </c>
      <c r="S29" s="311" t="str">
        <f>IF(D29="","",VLOOKUP(D29,'G-6 Hedgerow Data'!$B$3:$AG$15,31,FALSE))</f>
        <v/>
      </c>
      <c r="T29" s="283" t="str">
        <f t="shared" si="3"/>
        <v/>
      </c>
      <c r="U29" s="283" t="str">
        <f t="shared" si="4"/>
        <v/>
      </c>
      <c r="V29" s="299" t="str">
        <f>IF(D29="","",VLOOKUP(S29,'G-3 Multipliers'!$P$3:$Q$6,2,FALSE))</f>
        <v/>
      </c>
      <c r="W29" s="303" t="str">
        <f t="shared" si="5"/>
        <v/>
      </c>
      <c r="X29" s="101"/>
      <c r="Y29" s="115"/>
      <c r="Z29" s="104"/>
      <c r="AG29" s="30" t="str">
        <f>IFERROR(INDEX('G-6 Hedgerow Data'!$BJ$3:$BJ$15,MATCH(D29,'G-6 Hedgerow Data'!$B$3:$B$15,0)),"")</f>
        <v/>
      </c>
    </row>
    <row r="30" spans="2:33" ht="14" hidden="1">
      <c r="B30" s="97">
        <v>19</v>
      </c>
      <c r="C30" s="140"/>
      <c r="D30" s="133"/>
      <c r="E30" s="115"/>
      <c r="F30" s="311" t="str">
        <f>IF(D30="","",VLOOKUP(D30,'G-6 Hedgerow Data'!$B$2:$AG$15,2,FALSE))</f>
        <v/>
      </c>
      <c r="G30" s="281" t="str">
        <f>IF(D30="","",VLOOKUP(D30,'G-6 Hedgerow Data'!$B$2:$AG$15,3,FALSE))</f>
        <v/>
      </c>
      <c r="H30" s="102"/>
      <c r="I30" s="276" t="str">
        <f>IFERROR(IF(H30="","",IF(AND(D30="Non-native and ornamental hedgerow",H30&lt;&gt;"Poor"),"Not possible ▲",(VLOOKUP(H30,'G-1 All Habitats'!$Z$2:$AA$9,2,FALSE)))),"")</f>
        <v/>
      </c>
      <c r="J30" s="101"/>
      <c r="K30" s="295" t="str">
        <f>IF(J30="","",IF(VLOOKUP(J30,'G-3 Multipliers'!$L$3:$N$6,2,FALSE)=0,"Spatial Data Missing ⚠",VLOOKUP(J30,'G-3 Multipliers'!$L$3:$N$6,2,FALSE)))</f>
        <v/>
      </c>
      <c r="L30" s="281" t="str">
        <f>IF(J30="","",IF(VLOOKUP(J30,'G-3 Multipliers'!$L$3:$N$6,3,FALSE)=0,"Spatial Data Missing ⚠",VLOOKUP(J30,'G-3 Multipliers'!$L$3:$N$6,3,FALSE)))</f>
        <v/>
      </c>
      <c r="M30" s="275" t="str">
        <f>IF(OR(D30="",H30=""),"",(INDEX('G-6 Hedgerow Data'!$E$3:$I$15,MATCH(D30,'G-6 Hedgerow Data'!$B$3:$B$15,0),MATCH(H30,'G-6 Hedgerow Data'!$E$2:$I$2,0))))</f>
        <v/>
      </c>
      <c r="N30" s="133"/>
      <c r="O30" s="133"/>
      <c r="P30" s="283" t="str">
        <f t="shared" si="1"/>
        <v/>
      </c>
      <c r="Q30" s="296" t="str">
        <f t="shared" si="2"/>
        <v/>
      </c>
      <c r="R30" s="297" t="str">
        <f t="shared" si="0"/>
        <v/>
      </c>
      <c r="S30" s="311" t="str">
        <f>IF(D30="","",VLOOKUP(D30,'G-6 Hedgerow Data'!$B$3:$AG$15,31,FALSE))</f>
        <v/>
      </c>
      <c r="T30" s="283" t="str">
        <f t="shared" si="3"/>
        <v/>
      </c>
      <c r="U30" s="283" t="str">
        <f t="shared" si="4"/>
        <v/>
      </c>
      <c r="V30" s="299" t="str">
        <f>IF(D30="","",VLOOKUP(S30,'G-3 Multipliers'!$P$3:$Q$6,2,FALSE))</f>
        <v/>
      </c>
      <c r="W30" s="303" t="str">
        <f t="shared" si="5"/>
        <v/>
      </c>
      <c r="X30" s="101"/>
      <c r="Y30" s="115"/>
      <c r="Z30" s="104"/>
      <c r="AG30" s="30" t="str">
        <f>IFERROR(INDEX('G-6 Hedgerow Data'!$BJ$3:$BJ$15,MATCH(D30,'G-6 Hedgerow Data'!$B$3:$B$15,0)),"")</f>
        <v/>
      </c>
    </row>
    <row r="31" spans="2:33" ht="14" hidden="1">
      <c r="B31" s="97">
        <v>20</v>
      </c>
      <c r="C31" s="140"/>
      <c r="D31" s="133"/>
      <c r="E31" s="115"/>
      <c r="F31" s="275" t="str">
        <f>IF(D31="","",VLOOKUP(D31,'G-6 Hedgerow Data'!$B$2:$AG$15,2,FALSE))</f>
        <v/>
      </c>
      <c r="G31" s="281" t="str">
        <f>IF(D31="","",VLOOKUP(D31,'G-6 Hedgerow Data'!$B$2:$AG$15,3,FALSE))</f>
        <v/>
      </c>
      <c r="H31" s="52"/>
      <c r="I31" s="276" t="str">
        <f>IFERROR(IF(H31="","",IF(AND(D31="Non-native and ornamental hedgerow",H31&lt;&gt;"Poor"),"Not possible ▲",(VLOOKUP(H31,'G-1 All Habitats'!$Z$2:$AA$9,2,FALSE)))),"")</f>
        <v/>
      </c>
      <c r="J31" s="101"/>
      <c r="K31" s="295" t="str">
        <f>IF(J31="","",IF(VLOOKUP(J31,'G-3 Multipliers'!$L$3:$N$6,2,FALSE)=0,"Spatial Data Missing ⚠",VLOOKUP(J31,'G-3 Multipliers'!$L$3:$N$6,2,FALSE)))</f>
        <v/>
      </c>
      <c r="L31" s="281" t="str">
        <f>IF(J31="","",IF(VLOOKUP(J31,'G-3 Multipliers'!$L$3:$N$6,3,FALSE)=0,"Spatial Data Missing ⚠",VLOOKUP(J31,'G-3 Multipliers'!$L$3:$N$6,3,FALSE)))</f>
        <v/>
      </c>
      <c r="M31" s="275" t="str">
        <f>IF(OR(D31="",H31=""),"",(INDEX('G-6 Hedgerow Data'!$E$3:$I$15,MATCH(D31,'G-6 Hedgerow Data'!$B$3:$B$15,0),MATCH(H31,'G-6 Hedgerow Data'!$E$2:$I$2,0))))</f>
        <v/>
      </c>
      <c r="N31" s="133"/>
      <c r="O31" s="133"/>
      <c r="P31" s="283" t="str">
        <f t="shared" si="1"/>
        <v/>
      </c>
      <c r="Q31" s="296" t="str">
        <f t="shared" si="2"/>
        <v/>
      </c>
      <c r="R31" s="297" t="str">
        <f t="shared" si="0"/>
        <v/>
      </c>
      <c r="S31" s="311" t="str">
        <f>IF(D31="","",VLOOKUP(D31,'G-6 Hedgerow Data'!$B$3:$AG$15,31,FALSE))</f>
        <v/>
      </c>
      <c r="T31" s="283" t="str">
        <f t="shared" si="3"/>
        <v/>
      </c>
      <c r="U31" s="283" t="str">
        <f t="shared" si="4"/>
        <v/>
      </c>
      <c r="V31" s="299" t="str">
        <f>IF(D31="","",VLOOKUP(S31,'G-3 Multipliers'!$P$3:$Q$6,2,FALSE))</f>
        <v/>
      </c>
      <c r="W31" s="303" t="str">
        <f t="shared" si="5"/>
        <v/>
      </c>
      <c r="X31" s="101"/>
      <c r="Y31" s="115"/>
      <c r="Z31" s="104"/>
      <c r="AG31" s="30" t="str">
        <f>IFERROR(INDEX('G-6 Hedgerow Data'!$BJ$3:$BJ$15,MATCH(D31,'G-6 Hedgerow Data'!$B$3:$B$15,0)),"")</f>
        <v/>
      </c>
    </row>
    <row r="32" spans="2:33" ht="14" hidden="1">
      <c r="B32" s="97">
        <v>21</v>
      </c>
      <c r="C32" s="140"/>
      <c r="D32" s="133"/>
      <c r="E32" s="115"/>
      <c r="F32" s="275" t="str">
        <f>IF(D32="","",VLOOKUP(D32,'G-6 Hedgerow Data'!$B$2:$AG$15,2,FALSE))</f>
        <v/>
      </c>
      <c r="G32" s="281" t="str">
        <f>IF(D32="","",VLOOKUP(D32,'G-6 Hedgerow Data'!$B$2:$AG$15,3,FALSE))</f>
        <v/>
      </c>
      <c r="H32" s="52"/>
      <c r="I32" s="276" t="str">
        <f>IFERROR(IF(H32="","",IF(AND(D32="Non-native and ornamental hedgerow",H32&lt;&gt;"Poor"),"Not possible ▲",(VLOOKUP(H32,'G-1 All Habitats'!$Z$2:$AA$9,2,FALSE)))),"")</f>
        <v/>
      </c>
      <c r="J32" s="101"/>
      <c r="K32" s="295" t="str">
        <f>IF(J32="","",IF(VLOOKUP(J32,'G-3 Multipliers'!$L$3:$N$6,2,FALSE)=0,"Spatial Data Missing ⚠",VLOOKUP(J32,'G-3 Multipliers'!$L$3:$N$6,2,FALSE)))</f>
        <v/>
      </c>
      <c r="L32" s="281" t="str">
        <f>IF(J32="","",IF(VLOOKUP(J32,'G-3 Multipliers'!$L$3:$N$6,3,FALSE)=0,"Spatial Data Missing ⚠",VLOOKUP(J32,'G-3 Multipliers'!$L$3:$N$6,3,FALSE)))</f>
        <v/>
      </c>
      <c r="M32" s="275" t="str">
        <f>IF(OR(D32="",H32=""),"",(INDEX('G-6 Hedgerow Data'!$E$3:$I$15,MATCH(D32,'G-6 Hedgerow Data'!$B$3:$B$15,0),MATCH(H32,'G-6 Hedgerow Data'!$E$2:$I$2,0))))</f>
        <v/>
      </c>
      <c r="N32" s="133"/>
      <c r="O32" s="133"/>
      <c r="P32" s="283" t="str">
        <f t="shared" si="1"/>
        <v/>
      </c>
      <c r="Q32" s="296" t="str">
        <f t="shared" si="2"/>
        <v/>
      </c>
      <c r="R32" s="297" t="str">
        <f t="shared" si="0"/>
        <v/>
      </c>
      <c r="S32" s="311" t="str">
        <f>IF(D32="","",VLOOKUP(D32,'G-6 Hedgerow Data'!$B$3:$AG$15,31,FALSE))</f>
        <v/>
      </c>
      <c r="T32" s="283" t="str">
        <f t="shared" si="3"/>
        <v/>
      </c>
      <c r="U32" s="283" t="str">
        <f t="shared" si="4"/>
        <v/>
      </c>
      <c r="V32" s="299" t="str">
        <f>IF(D32="","",VLOOKUP(S32,'G-3 Multipliers'!$P$3:$Q$6,2,FALSE))</f>
        <v/>
      </c>
      <c r="W32" s="303" t="str">
        <f t="shared" si="5"/>
        <v/>
      </c>
      <c r="X32" s="101"/>
      <c r="Y32" s="115"/>
      <c r="Z32" s="104"/>
      <c r="AG32" s="30" t="str">
        <f>IFERROR(INDEX('G-6 Hedgerow Data'!$BJ$3:$BJ$15,MATCH(D32,'G-6 Hedgerow Data'!$B$3:$B$15,0)),"")</f>
        <v/>
      </c>
    </row>
    <row r="33" spans="2:33" ht="14" hidden="1">
      <c r="B33" s="97">
        <v>22</v>
      </c>
      <c r="C33" s="140"/>
      <c r="D33" s="133"/>
      <c r="E33" s="115"/>
      <c r="F33" s="275" t="str">
        <f>IF(D33="","",VLOOKUP(D33,'G-6 Hedgerow Data'!$B$2:$AG$15,2,FALSE))</f>
        <v/>
      </c>
      <c r="G33" s="281" t="str">
        <f>IF(D33="","",VLOOKUP(D33,'G-6 Hedgerow Data'!$B$2:$AG$15,3,FALSE))</f>
        <v/>
      </c>
      <c r="H33" s="52"/>
      <c r="I33" s="276" t="str">
        <f>IFERROR(IF(H33="","",IF(AND(D33="Non-native and ornamental hedgerow",H33&lt;&gt;"Poor"),"Not possible ▲",(VLOOKUP(H33,'G-1 All Habitats'!$Z$2:$AA$9,2,FALSE)))),"")</f>
        <v/>
      </c>
      <c r="J33" s="101"/>
      <c r="K33" s="295" t="str">
        <f>IF(J33="","",IF(VLOOKUP(J33,'G-3 Multipliers'!$L$3:$N$6,2,FALSE)=0,"Spatial Data Missing ⚠",VLOOKUP(J33,'G-3 Multipliers'!$L$3:$N$6,2,FALSE)))</f>
        <v/>
      </c>
      <c r="L33" s="281" t="str">
        <f>IF(J33="","",IF(VLOOKUP(J33,'G-3 Multipliers'!$L$3:$N$6,3,FALSE)=0,"Spatial Data Missing ⚠",VLOOKUP(J33,'G-3 Multipliers'!$L$3:$N$6,3,FALSE)))</f>
        <v/>
      </c>
      <c r="M33" s="275" t="str">
        <f>IF(OR(D33="",H33=""),"",(INDEX('G-6 Hedgerow Data'!$E$3:$I$15,MATCH(D33,'G-6 Hedgerow Data'!$B$3:$B$15,0),MATCH(H33,'G-6 Hedgerow Data'!$E$2:$I$2,0))))</f>
        <v/>
      </c>
      <c r="N33" s="133"/>
      <c r="O33" s="133"/>
      <c r="P33" s="283" t="str">
        <f t="shared" si="1"/>
        <v/>
      </c>
      <c r="Q33" s="296" t="str">
        <f t="shared" si="2"/>
        <v/>
      </c>
      <c r="R33" s="297" t="str">
        <f t="shared" si="0"/>
        <v/>
      </c>
      <c r="S33" s="311" t="str">
        <f>IF(D33="","",VLOOKUP(D33,'G-6 Hedgerow Data'!$B$3:$AG$15,31,FALSE))</f>
        <v/>
      </c>
      <c r="T33" s="283" t="str">
        <f t="shared" si="3"/>
        <v/>
      </c>
      <c r="U33" s="283" t="str">
        <f t="shared" si="4"/>
        <v/>
      </c>
      <c r="V33" s="299" t="str">
        <f>IF(D33="","",VLOOKUP(S33,'G-3 Multipliers'!$P$3:$Q$6,2,FALSE))</f>
        <v/>
      </c>
      <c r="W33" s="303" t="str">
        <f t="shared" si="5"/>
        <v/>
      </c>
      <c r="X33" s="101"/>
      <c r="Y33" s="115"/>
      <c r="Z33" s="104"/>
      <c r="AG33" s="30" t="str">
        <f>IFERROR(INDEX('G-6 Hedgerow Data'!$BJ$3:$BJ$15,MATCH(D33,'G-6 Hedgerow Data'!$B$3:$B$15,0)),"")</f>
        <v/>
      </c>
    </row>
    <row r="34" spans="2:33" ht="14" hidden="1">
      <c r="B34" s="97">
        <v>23</v>
      </c>
      <c r="C34" s="140"/>
      <c r="D34" s="133"/>
      <c r="E34" s="115"/>
      <c r="F34" s="275" t="str">
        <f>IF(D34="","",VLOOKUP(D34,'G-6 Hedgerow Data'!$B$2:$AG$15,2,FALSE))</f>
        <v/>
      </c>
      <c r="G34" s="281" t="str">
        <f>IF(D34="","",VLOOKUP(D34,'G-6 Hedgerow Data'!$B$2:$AG$15,3,FALSE))</f>
        <v/>
      </c>
      <c r="H34" s="52"/>
      <c r="I34" s="276" t="str">
        <f>IFERROR(IF(H34="","",IF(AND(D34="Non-native and ornamental hedgerow",H34&lt;&gt;"Poor"),"Not possible ▲",(VLOOKUP(H34,'G-1 All Habitats'!$Z$2:$AA$9,2,FALSE)))),"")</f>
        <v/>
      </c>
      <c r="J34" s="101"/>
      <c r="K34" s="295" t="str">
        <f>IF(J34="","",IF(VLOOKUP(J34,'G-3 Multipliers'!$L$3:$N$6,2,FALSE)=0,"Spatial Data Missing ⚠",VLOOKUP(J34,'G-3 Multipliers'!$L$3:$N$6,2,FALSE)))</f>
        <v/>
      </c>
      <c r="L34" s="281" t="str">
        <f>IF(J34="","",IF(VLOOKUP(J34,'G-3 Multipliers'!$L$3:$N$6,3,FALSE)=0,"Spatial Data Missing ⚠",VLOOKUP(J34,'G-3 Multipliers'!$L$3:$N$6,3,FALSE)))</f>
        <v/>
      </c>
      <c r="M34" s="275" t="str">
        <f>IF(OR(D34="",H34=""),"",(INDEX('G-6 Hedgerow Data'!$E$3:$I$15,MATCH(D34,'G-6 Hedgerow Data'!$B$3:$B$15,0),MATCH(H34,'G-6 Hedgerow Data'!$E$2:$I$2,0))))</f>
        <v/>
      </c>
      <c r="N34" s="133"/>
      <c r="O34" s="133"/>
      <c r="P34" s="283" t="str">
        <f t="shared" si="1"/>
        <v/>
      </c>
      <c r="Q34" s="296" t="str">
        <f t="shared" si="2"/>
        <v/>
      </c>
      <c r="R34" s="297" t="str">
        <f t="shared" si="0"/>
        <v/>
      </c>
      <c r="S34" s="311" t="str">
        <f>IF(D34="","",VLOOKUP(D34,'G-6 Hedgerow Data'!$B$3:$AG$15,31,FALSE))</f>
        <v/>
      </c>
      <c r="T34" s="283" t="str">
        <f t="shared" si="3"/>
        <v/>
      </c>
      <c r="U34" s="283" t="str">
        <f t="shared" si="4"/>
        <v/>
      </c>
      <c r="V34" s="299" t="str">
        <f>IF(D34="","",VLOOKUP(S34,'G-3 Multipliers'!$P$3:$Q$6,2,FALSE))</f>
        <v/>
      </c>
      <c r="W34" s="303" t="str">
        <f t="shared" si="5"/>
        <v/>
      </c>
      <c r="X34" s="101"/>
      <c r="Y34" s="115"/>
      <c r="Z34" s="104"/>
      <c r="AG34" s="30" t="str">
        <f>IFERROR(INDEX('G-6 Hedgerow Data'!$BJ$3:$BJ$15,MATCH(D34,'G-6 Hedgerow Data'!$B$3:$B$15,0)),"")</f>
        <v/>
      </c>
    </row>
    <row r="35" spans="2:33" ht="14" hidden="1">
      <c r="B35" s="97">
        <v>24</v>
      </c>
      <c r="C35" s="140"/>
      <c r="D35" s="133"/>
      <c r="E35" s="115"/>
      <c r="F35" s="275" t="str">
        <f>IF(D35="","",VLOOKUP(D35,'G-6 Hedgerow Data'!$B$2:$AG$15,2,FALSE))</f>
        <v/>
      </c>
      <c r="G35" s="281" t="str">
        <f>IF(D35="","",VLOOKUP(D35,'G-6 Hedgerow Data'!$B$2:$AG$15,3,FALSE))</f>
        <v/>
      </c>
      <c r="H35" s="52"/>
      <c r="I35" s="276" t="str">
        <f>IFERROR(IF(H35="","",IF(AND(D35="Non-native and ornamental hedgerow",H35&lt;&gt;"Poor"),"Not possible ▲",(VLOOKUP(H35,'G-1 All Habitats'!$Z$2:$AA$9,2,FALSE)))),"")</f>
        <v/>
      </c>
      <c r="J35" s="101"/>
      <c r="K35" s="295" t="str">
        <f>IF(J35="","",IF(VLOOKUP(J35,'G-3 Multipliers'!$L$3:$N$6,2,FALSE)=0,"Spatial Data Missing ⚠",VLOOKUP(J35,'G-3 Multipliers'!$L$3:$N$6,2,FALSE)))</f>
        <v/>
      </c>
      <c r="L35" s="281" t="str">
        <f>IF(J35="","",IF(VLOOKUP(J35,'G-3 Multipliers'!$L$3:$N$6,3,FALSE)=0,"Spatial Data Missing ⚠",VLOOKUP(J35,'G-3 Multipliers'!$L$3:$N$6,3,FALSE)))</f>
        <v/>
      </c>
      <c r="M35" s="275" t="str">
        <f>IF(OR(D35="",H35=""),"",(INDEX('G-6 Hedgerow Data'!$E$3:$I$15,MATCH(D35,'G-6 Hedgerow Data'!$B$3:$B$15,0),MATCH(H35,'G-6 Hedgerow Data'!$E$2:$I$2,0))))</f>
        <v/>
      </c>
      <c r="N35" s="133"/>
      <c r="O35" s="133"/>
      <c r="P35" s="283" t="str">
        <f t="shared" si="1"/>
        <v/>
      </c>
      <c r="Q35" s="296" t="str">
        <f t="shared" si="2"/>
        <v/>
      </c>
      <c r="R35" s="297" t="str">
        <f t="shared" si="0"/>
        <v/>
      </c>
      <c r="S35" s="311" t="str">
        <f>IF(D35="","",VLOOKUP(D35,'G-6 Hedgerow Data'!$B$3:$AG$15,31,FALSE))</f>
        <v/>
      </c>
      <c r="T35" s="283" t="str">
        <f t="shared" si="3"/>
        <v/>
      </c>
      <c r="U35" s="283" t="str">
        <f t="shared" si="4"/>
        <v/>
      </c>
      <c r="V35" s="299" t="str">
        <f>IF(D35="","",VLOOKUP(S35,'G-3 Multipliers'!$P$3:$Q$6,2,FALSE))</f>
        <v/>
      </c>
      <c r="W35" s="303" t="str">
        <f t="shared" si="5"/>
        <v/>
      </c>
      <c r="X35" s="101"/>
      <c r="Y35" s="115"/>
      <c r="Z35" s="104"/>
      <c r="AG35" s="30" t="str">
        <f>IFERROR(INDEX('G-6 Hedgerow Data'!$BJ$3:$BJ$15,MATCH(D35,'G-6 Hedgerow Data'!$B$3:$B$15,0)),"")</f>
        <v/>
      </c>
    </row>
    <row r="36" spans="2:33" ht="14" hidden="1">
      <c r="B36" s="97">
        <v>25</v>
      </c>
      <c r="C36" s="140"/>
      <c r="D36" s="133"/>
      <c r="E36" s="115"/>
      <c r="F36" s="275" t="str">
        <f>IF(D36="","",VLOOKUP(D36,'G-6 Hedgerow Data'!$B$2:$AG$15,2,FALSE))</f>
        <v/>
      </c>
      <c r="G36" s="281" t="str">
        <f>IF(D36="","",VLOOKUP(D36,'G-6 Hedgerow Data'!$B$2:$AG$15,3,FALSE))</f>
        <v/>
      </c>
      <c r="H36" s="52"/>
      <c r="I36" s="276" t="str">
        <f>IFERROR(IF(H36="","",IF(AND(D36="Non-native and ornamental hedgerow",H36&lt;&gt;"Poor"),"Not possible ▲",(VLOOKUP(H36,'G-1 All Habitats'!$Z$2:$AA$9,2,FALSE)))),"")</f>
        <v/>
      </c>
      <c r="J36" s="101"/>
      <c r="K36" s="295" t="str">
        <f>IF(J36="","",IF(VLOOKUP(J36,'G-3 Multipliers'!$L$3:$N$6,2,FALSE)=0,"Spatial Data Missing ⚠",VLOOKUP(J36,'G-3 Multipliers'!$L$3:$N$6,2,FALSE)))</f>
        <v/>
      </c>
      <c r="L36" s="281" t="str">
        <f>IF(J36="","",IF(VLOOKUP(J36,'G-3 Multipliers'!$L$3:$N$6,3,FALSE)=0,"Spatial Data Missing ⚠",VLOOKUP(J36,'G-3 Multipliers'!$L$3:$N$6,3,FALSE)))</f>
        <v/>
      </c>
      <c r="M36" s="275" t="str">
        <f>IF(OR(D36="",H36=""),"",(INDEX('G-6 Hedgerow Data'!$E$3:$I$15,MATCH(D36,'G-6 Hedgerow Data'!$B$3:$B$15,0),MATCH(H36,'G-6 Hedgerow Data'!$E$2:$I$2,0))))</f>
        <v/>
      </c>
      <c r="N36" s="133"/>
      <c r="O36" s="133"/>
      <c r="P36" s="283" t="str">
        <f t="shared" si="1"/>
        <v/>
      </c>
      <c r="Q36" s="296" t="str">
        <f t="shared" si="2"/>
        <v/>
      </c>
      <c r="R36" s="297" t="str">
        <f t="shared" si="0"/>
        <v/>
      </c>
      <c r="S36" s="311" t="str">
        <f>IF(D36="","",VLOOKUP(D36,'G-6 Hedgerow Data'!$B$3:$AG$15,31,FALSE))</f>
        <v/>
      </c>
      <c r="T36" s="283" t="str">
        <f t="shared" si="3"/>
        <v/>
      </c>
      <c r="U36" s="283" t="str">
        <f t="shared" si="4"/>
        <v/>
      </c>
      <c r="V36" s="299" t="str">
        <f>IF(D36="","",VLOOKUP(S36,'G-3 Multipliers'!$P$3:$Q$6,2,FALSE))</f>
        <v/>
      </c>
      <c r="W36" s="303" t="str">
        <f t="shared" si="5"/>
        <v/>
      </c>
      <c r="X36" s="101"/>
      <c r="Y36" s="115"/>
      <c r="Z36" s="104"/>
      <c r="AG36" s="30" t="str">
        <f>IFERROR(INDEX('G-6 Hedgerow Data'!$BJ$3:$BJ$15,MATCH(D36,'G-6 Hedgerow Data'!$B$3:$B$15,0)),"")</f>
        <v/>
      </c>
    </row>
    <row r="37" spans="2:33" ht="14" hidden="1">
      <c r="B37" s="97">
        <v>26</v>
      </c>
      <c r="C37" s="140"/>
      <c r="D37" s="133"/>
      <c r="E37" s="115"/>
      <c r="F37" s="323" t="str">
        <f>IF(D37="","",VLOOKUP(D37,'G-6 Hedgerow Data'!$B$2:$AG$15,2,FALSE))</f>
        <v/>
      </c>
      <c r="G37" s="276" t="str">
        <f>IF(D37="","",VLOOKUP(D37,'G-6 Hedgerow Data'!$B$2:$AG$15,3,FALSE))</f>
        <v/>
      </c>
      <c r="H37" s="101"/>
      <c r="I37" s="276" t="str">
        <f>IFERROR(IF(H37="","",IF(AND(D37="Non-native and ornamental hedgerow",H37&lt;&gt;"Poor"),"Not possible ▲",(VLOOKUP(H37,'G-1 All Habitats'!$Z$2:$AA$9,2,FALSE)))),"")</f>
        <v/>
      </c>
      <c r="J37" s="101"/>
      <c r="K37" s="295" t="str">
        <f>IF(J37="","",IF(VLOOKUP(J37,'G-3 Multipliers'!$L$3:$N$6,2,FALSE)=0,"Spatial Data Missing ⚠",VLOOKUP(J37,'G-3 Multipliers'!$L$3:$N$6,2,FALSE)))</f>
        <v/>
      </c>
      <c r="L37" s="281" t="str">
        <f>IF(J37="","",IF(VLOOKUP(J37,'G-3 Multipliers'!$L$3:$N$6,3,FALSE)=0,"Spatial Data Missing ⚠",VLOOKUP(J37,'G-3 Multipliers'!$L$3:$N$6,3,FALSE)))</f>
        <v/>
      </c>
      <c r="M37" s="275" t="str">
        <f>IF(OR(D37="",H37=""),"",(INDEX('G-6 Hedgerow Data'!$E$3:$I$15,MATCH(D37,'G-6 Hedgerow Data'!$B$3:$B$15,0),MATCH(H37,'G-6 Hedgerow Data'!$E$2:$I$2,0))))</f>
        <v/>
      </c>
      <c r="N37" s="133"/>
      <c r="O37" s="133"/>
      <c r="P37" s="283" t="str">
        <f t="shared" si="1"/>
        <v/>
      </c>
      <c r="Q37" s="296" t="str">
        <f t="shared" si="2"/>
        <v/>
      </c>
      <c r="R37" s="297" t="str">
        <f t="shared" si="0"/>
        <v/>
      </c>
      <c r="S37" s="311" t="str">
        <f>IF(D37="","",VLOOKUP(D37,'G-6 Hedgerow Data'!$B$3:$AG$15,31,FALSE))</f>
        <v/>
      </c>
      <c r="T37" s="283" t="str">
        <f t="shared" si="3"/>
        <v/>
      </c>
      <c r="U37" s="283" t="str">
        <f t="shared" si="4"/>
        <v/>
      </c>
      <c r="V37" s="299" t="str">
        <f>IF(D37="","",VLOOKUP(S37,'G-3 Multipliers'!$P$3:$Q$6,2,FALSE))</f>
        <v/>
      </c>
      <c r="W37" s="303" t="str">
        <f t="shared" si="5"/>
        <v/>
      </c>
      <c r="X37" s="101"/>
      <c r="Y37" s="115"/>
      <c r="Z37" s="104"/>
      <c r="AG37" s="30" t="str">
        <f>IFERROR(INDEX('G-6 Hedgerow Data'!$BJ$3:$BJ$15,MATCH(D37,'G-6 Hedgerow Data'!$B$3:$B$15,0)),"")</f>
        <v/>
      </c>
    </row>
    <row r="38" spans="2:33" ht="14" hidden="1">
      <c r="B38" s="97">
        <v>27</v>
      </c>
      <c r="C38" s="140"/>
      <c r="D38" s="133"/>
      <c r="E38" s="115"/>
      <c r="F38" s="323" t="str">
        <f>IF(D38="","",VLOOKUP(D38,'G-6 Hedgerow Data'!$B$2:$AG$15,2,FALSE))</f>
        <v/>
      </c>
      <c r="G38" s="276" t="str">
        <f>IF(D38="","",VLOOKUP(D38,'G-6 Hedgerow Data'!$B$2:$AG$15,3,FALSE))</f>
        <v/>
      </c>
      <c r="H38" s="101"/>
      <c r="I38" s="276" t="str">
        <f>IFERROR(IF(H38="","",IF(AND(D38="Non-native and ornamental hedgerow",H38&lt;&gt;"Poor"),"Not possible ▲",(VLOOKUP(H38,'G-1 All Habitats'!$Z$2:$AA$9,2,FALSE)))),"")</f>
        <v/>
      </c>
      <c r="J38" s="101"/>
      <c r="K38" s="295" t="str">
        <f>IF(J38="","",IF(VLOOKUP(J38,'G-3 Multipliers'!$L$3:$N$6,2,FALSE)=0,"Spatial Data Missing ⚠",VLOOKUP(J38,'G-3 Multipliers'!$L$3:$N$6,2,FALSE)))</f>
        <v/>
      </c>
      <c r="L38" s="281" t="str">
        <f>IF(J38="","",IF(VLOOKUP(J38,'G-3 Multipliers'!$L$3:$N$6,3,FALSE)=0,"Spatial Data Missing ⚠",VLOOKUP(J38,'G-3 Multipliers'!$L$3:$N$6,3,FALSE)))</f>
        <v/>
      </c>
      <c r="M38" s="275" t="str">
        <f>IF(OR(D38="",H38=""),"",(INDEX('G-6 Hedgerow Data'!$E$3:$I$15,MATCH(D38,'G-6 Hedgerow Data'!$B$3:$B$15,0),MATCH(H38,'G-6 Hedgerow Data'!$E$2:$I$2,0))))</f>
        <v/>
      </c>
      <c r="N38" s="133"/>
      <c r="O38" s="133"/>
      <c r="P38" s="283" t="str">
        <f t="shared" si="1"/>
        <v/>
      </c>
      <c r="Q38" s="296" t="str">
        <f t="shared" si="2"/>
        <v/>
      </c>
      <c r="R38" s="297" t="str">
        <f t="shared" si="0"/>
        <v/>
      </c>
      <c r="S38" s="311" t="str">
        <f>IF(D38="","",VLOOKUP(D38,'G-6 Hedgerow Data'!$B$3:$AG$15,31,FALSE))</f>
        <v/>
      </c>
      <c r="T38" s="283" t="str">
        <f t="shared" si="3"/>
        <v/>
      </c>
      <c r="U38" s="283" t="str">
        <f t="shared" si="4"/>
        <v/>
      </c>
      <c r="V38" s="299" t="str">
        <f>IF(D38="","",VLOOKUP(S38,'G-3 Multipliers'!$P$3:$Q$6,2,FALSE))</f>
        <v/>
      </c>
      <c r="W38" s="303" t="str">
        <f t="shared" si="5"/>
        <v/>
      </c>
      <c r="X38" s="101"/>
      <c r="Y38" s="115"/>
      <c r="Z38" s="104"/>
      <c r="AG38" s="30" t="str">
        <f>IFERROR(INDEX('G-6 Hedgerow Data'!$BJ$3:$BJ$15,MATCH(D38,'G-6 Hedgerow Data'!$B$3:$B$15,0)),"")</f>
        <v/>
      </c>
    </row>
    <row r="39" spans="2:33" ht="14" hidden="1">
      <c r="B39" s="97">
        <v>28</v>
      </c>
      <c r="C39" s="140"/>
      <c r="D39" s="133"/>
      <c r="E39" s="115"/>
      <c r="F39" s="323" t="str">
        <f>IF(D39="","",VLOOKUP(D39,'G-6 Hedgerow Data'!$B$2:$AG$15,2,FALSE))</f>
        <v/>
      </c>
      <c r="G39" s="276" t="str">
        <f>IF(D39="","",VLOOKUP(D39,'G-6 Hedgerow Data'!$B$2:$AG$15,3,FALSE))</f>
        <v/>
      </c>
      <c r="H39" s="101"/>
      <c r="I39" s="276" t="str">
        <f>IFERROR(IF(H39="","",IF(AND(D39="Non-native and ornamental hedgerow",H39&lt;&gt;"Poor"),"Not possible ▲",(VLOOKUP(H39,'G-1 All Habitats'!$Z$2:$AA$9,2,FALSE)))),"")</f>
        <v/>
      </c>
      <c r="J39" s="101"/>
      <c r="K39" s="295" t="str">
        <f>IF(J39="","",IF(VLOOKUP(J39,'G-3 Multipliers'!$L$3:$N$6,2,FALSE)=0,"Spatial Data Missing ⚠",VLOOKUP(J39,'G-3 Multipliers'!$L$3:$N$6,2,FALSE)))</f>
        <v/>
      </c>
      <c r="L39" s="281" t="str">
        <f>IF(J39="","",IF(VLOOKUP(J39,'G-3 Multipliers'!$L$3:$N$6,3,FALSE)=0,"Spatial Data Missing ⚠",VLOOKUP(J39,'G-3 Multipliers'!$L$3:$N$6,3,FALSE)))</f>
        <v/>
      </c>
      <c r="M39" s="275" t="str">
        <f>IF(OR(D39="",H39=""),"",(INDEX('G-6 Hedgerow Data'!$E$3:$I$15,MATCH(D39,'G-6 Hedgerow Data'!$B$3:$B$15,0),MATCH(H39,'G-6 Hedgerow Data'!$E$2:$I$2,0))))</f>
        <v/>
      </c>
      <c r="N39" s="133"/>
      <c r="O39" s="133"/>
      <c r="P39" s="283" t="str">
        <f t="shared" si="1"/>
        <v/>
      </c>
      <c r="Q39" s="296" t="str">
        <f t="shared" si="2"/>
        <v/>
      </c>
      <c r="R39" s="297" t="str">
        <f t="shared" si="0"/>
        <v/>
      </c>
      <c r="S39" s="311" t="str">
        <f>IF(D39="","",VLOOKUP(D39,'G-6 Hedgerow Data'!$B$3:$AG$15,31,FALSE))</f>
        <v/>
      </c>
      <c r="T39" s="283" t="str">
        <f t="shared" si="3"/>
        <v/>
      </c>
      <c r="U39" s="283" t="str">
        <f t="shared" si="4"/>
        <v/>
      </c>
      <c r="V39" s="299" t="str">
        <f>IF(D39="","",VLOOKUP(S39,'G-3 Multipliers'!$P$3:$Q$6,2,FALSE))</f>
        <v/>
      </c>
      <c r="W39" s="303" t="str">
        <f t="shared" si="5"/>
        <v/>
      </c>
      <c r="X39" s="101"/>
      <c r="Y39" s="115"/>
      <c r="Z39" s="104"/>
      <c r="AG39" s="30" t="str">
        <f>IFERROR(INDEX('G-6 Hedgerow Data'!$BJ$3:$BJ$15,MATCH(D39,'G-6 Hedgerow Data'!$B$3:$B$15,0)),"")</f>
        <v/>
      </c>
    </row>
    <row r="40" spans="2:33" ht="14" hidden="1">
      <c r="B40" s="97">
        <v>29</v>
      </c>
      <c r="C40" s="140"/>
      <c r="D40" s="133"/>
      <c r="E40" s="115"/>
      <c r="F40" s="323" t="str">
        <f>IF(D40="","",VLOOKUP(D40,'G-6 Hedgerow Data'!$B$2:$AG$15,2,FALSE))</f>
        <v/>
      </c>
      <c r="G40" s="276" t="str">
        <f>IF(D40="","",VLOOKUP(D40,'G-6 Hedgerow Data'!$B$2:$AG$15,3,FALSE))</f>
        <v/>
      </c>
      <c r="H40" s="101"/>
      <c r="I40" s="276" t="str">
        <f>IFERROR(IF(H40="","",IF(AND(D40="Non-native and ornamental hedgerow",H40&lt;&gt;"Poor"),"Not possible ▲",(VLOOKUP(H40,'G-1 All Habitats'!$Z$2:$AA$9,2,FALSE)))),"")</f>
        <v/>
      </c>
      <c r="J40" s="101"/>
      <c r="K40" s="295" t="str">
        <f>IF(J40="","",IF(VLOOKUP(J40,'G-3 Multipliers'!$L$3:$N$6,2,FALSE)=0,"Spatial Data Missing ⚠",VLOOKUP(J40,'G-3 Multipliers'!$L$3:$N$6,2,FALSE)))</f>
        <v/>
      </c>
      <c r="L40" s="281" t="str">
        <f>IF(J40="","",IF(VLOOKUP(J40,'G-3 Multipliers'!$L$3:$N$6,3,FALSE)=0,"Spatial Data Missing ⚠",VLOOKUP(J40,'G-3 Multipliers'!$L$3:$N$6,3,FALSE)))</f>
        <v/>
      </c>
      <c r="M40" s="275" t="str">
        <f>IF(OR(D40="",H40=""),"",(INDEX('G-6 Hedgerow Data'!$E$3:$I$15,MATCH(D40,'G-6 Hedgerow Data'!$B$3:$B$15,0),MATCH(H40,'G-6 Hedgerow Data'!$E$2:$I$2,0))))</f>
        <v/>
      </c>
      <c r="N40" s="133"/>
      <c r="O40" s="133"/>
      <c r="P40" s="283" t="str">
        <f t="shared" si="1"/>
        <v/>
      </c>
      <c r="Q40" s="296" t="str">
        <f t="shared" si="2"/>
        <v/>
      </c>
      <c r="R40" s="297" t="str">
        <f t="shared" si="0"/>
        <v/>
      </c>
      <c r="S40" s="311" t="str">
        <f>IF(D40="","",VLOOKUP(D40,'G-6 Hedgerow Data'!$B$3:$AG$15,31,FALSE))</f>
        <v/>
      </c>
      <c r="T40" s="283" t="str">
        <f t="shared" si="3"/>
        <v/>
      </c>
      <c r="U40" s="283" t="str">
        <f t="shared" si="4"/>
        <v/>
      </c>
      <c r="V40" s="299" t="str">
        <f>IF(D40="","",VLOOKUP(S40,'G-3 Multipliers'!$P$3:$Q$6,2,FALSE))</f>
        <v/>
      </c>
      <c r="W40" s="303" t="str">
        <f t="shared" si="5"/>
        <v/>
      </c>
      <c r="X40" s="101"/>
      <c r="Y40" s="115"/>
      <c r="Z40" s="104"/>
      <c r="AG40" s="30" t="str">
        <f>IFERROR(INDEX('G-6 Hedgerow Data'!$BJ$3:$BJ$15,MATCH(D40,'G-6 Hedgerow Data'!$B$3:$B$15,0)),"")</f>
        <v/>
      </c>
    </row>
    <row r="41" spans="2:33" ht="14" hidden="1">
      <c r="B41" s="97">
        <v>30</v>
      </c>
      <c r="C41" s="140"/>
      <c r="D41" s="133"/>
      <c r="E41" s="115"/>
      <c r="F41" s="323" t="str">
        <f>IF(D41="","",VLOOKUP(D41,'G-6 Hedgerow Data'!$B$2:$AG$15,2,FALSE))</f>
        <v/>
      </c>
      <c r="G41" s="276" t="str">
        <f>IF(D41="","",VLOOKUP(D41,'G-6 Hedgerow Data'!$B$2:$AG$15,3,FALSE))</f>
        <v/>
      </c>
      <c r="H41" s="101"/>
      <c r="I41" s="276" t="str">
        <f>IFERROR(IF(H41="","",IF(AND(D41="Non-native and ornamental hedgerow",H41&lt;&gt;"Poor"),"Not possible ▲",(VLOOKUP(H41,'G-1 All Habitats'!$Z$2:$AA$9,2,FALSE)))),"")</f>
        <v/>
      </c>
      <c r="J41" s="101"/>
      <c r="K41" s="295" t="str">
        <f>IF(J41="","",IF(VLOOKUP(J41,'G-3 Multipliers'!$L$3:$N$6,2,FALSE)=0,"Spatial Data Missing ⚠",VLOOKUP(J41,'G-3 Multipliers'!$L$3:$N$6,2,FALSE)))</f>
        <v/>
      </c>
      <c r="L41" s="281" t="str">
        <f>IF(J41="","",IF(VLOOKUP(J41,'G-3 Multipliers'!$L$3:$N$6,3,FALSE)=0,"Spatial Data Missing ⚠",VLOOKUP(J41,'G-3 Multipliers'!$L$3:$N$6,3,FALSE)))</f>
        <v/>
      </c>
      <c r="M41" s="275" t="str">
        <f>IF(OR(D41="",H41=""),"",(INDEX('G-6 Hedgerow Data'!$E$3:$I$15,MATCH(D41,'G-6 Hedgerow Data'!$B$3:$B$15,0),MATCH(H41,'G-6 Hedgerow Data'!$E$2:$I$2,0))))</f>
        <v/>
      </c>
      <c r="N41" s="133"/>
      <c r="O41" s="133"/>
      <c r="P41" s="283" t="str">
        <f t="shared" si="1"/>
        <v/>
      </c>
      <c r="Q41" s="296" t="str">
        <f t="shared" si="2"/>
        <v/>
      </c>
      <c r="R41" s="297" t="str">
        <f t="shared" si="0"/>
        <v/>
      </c>
      <c r="S41" s="311" t="str">
        <f>IF(D41="","",VLOOKUP(D41,'G-6 Hedgerow Data'!$B$3:$AG$15,31,FALSE))</f>
        <v/>
      </c>
      <c r="T41" s="283" t="str">
        <f t="shared" si="3"/>
        <v/>
      </c>
      <c r="U41" s="283" t="str">
        <f t="shared" si="4"/>
        <v/>
      </c>
      <c r="V41" s="299" t="str">
        <f>IF(D41="","",VLOOKUP(S41,'G-3 Multipliers'!$P$3:$Q$6,2,FALSE))</f>
        <v/>
      </c>
      <c r="W41" s="303" t="str">
        <f t="shared" si="5"/>
        <v/>
      </c>
      <c r="X41" s="101"/>
      <c r="Y41" s="115"/>
      <c r="Z41" s="104"/>
      <c r="AG41" s="30" t="str">
        <f>IFERROR(INDEX('G-6 Hedgerow Data'!$BJ$3:$BJ$15,MATCH(D41,'G-6 Hedgerow Data'!$B$3:$B$15,0)),"")</f>
        <v/>
      </c>
    </row>
    <row r="42" spans="2:33" ht="14" hidden="1">
      <c r="B42" s="97">
        <v>31</v>
      </c>
      <c r="C42" s="140"/>
      <c r="D42" s="133"/>
      <c r="E42" s="115"/>
      <c r="F42" s="323" t="str">
        <f>IF(D42="","",VLOOKUP(D42,'G-6 Hedgerow Data'!$B$2:$AG$15,2,FALSE))</f>
        <v/>
      </c>
      <c r="G42" s="276" t="str">
        <f>IF(D42="","",VLOOKUP(D42,'G-6 Hedgerow Data'!$B$2:$AG$15,3,FALSE))</f>
        <v/>
      </c>
      <c r="H42" s="101"/>
      <c r="I42" s="276" t="str">
        <f>IFERROR(IF(H42="","",IF(AND(D42="Non-native and ornamental hedgerow",H42&lt;&gt;"Poor"),"Not possible ▲",(VLOOKUP(H42,'G-1 All Habitats'!$Z$2:$AA$9,2,FALSE)))),"")</f>
        <v/>
      </c>
      <c r="J42" s="101"/>
      <c r="K42" s="295" t="str">
        <f>IF(J42="","",IF(VLOOKUP(J42,'G-3 Multipliers'!$L$3:$N$6,2,FALSE)=0,"Spatial Data Missing ⚠",VLOOKUP(J42,'G-3 Multipliers'!$L$3:$N$6,2,FALSE)))</f>
        <v/>
      </c>
      <c r="L42" s="281" t="str">
        <f>IF(J42="","",IF(VLOOKUP(J42,'G-3 Multipliers'!$L$3:$N$6,3,FALSE)=0,"Spatial Data Missing ⚠",VLOOKUP(J42,'G-3 Multipliers'!$L$3:$N$6,3,FALSE)))</f>
        <v/>
      </c>
      <c r="M42" s="275" t="str">
        <f>IF(OR(D42="",H42=""),"",(INDEX('G-6 Hedgerow Data'!$E$3:$I$15,MATCH(D42,'G-6 Hedgerow Data'!$B$3:$B$15,0),MATCH(H42,'G-6 Hedgerow Data'!$E$2:$I$2,0))))</f>
        <v/>
      </c>
      <c r="N42" s="133"/>
      <c r="O42" s="133"/>
      <c r="P42" s="283" t="str">
        <f t="shared" si="1"/>
        <v/>
      </c>
      <c r="Q42" s="296" t="str">
        <f t="shared" si="2"/>
        <v/>
      </c>
      <c r="R42" s="297" t="str">
        <f t="shared" si="0"/>
        <v/>
      </c>
      <c r="S42" s="311" t="str">
        <f>IF(D42="","",VLOOKUP(D42,'G-6 Hedgerow Data'!$B$3:$AG$15,31,FALSE))</f>
        <v/>
      </c>
      <c r="T42" s="283" t="str">
        <f t="shared" si="3"/>
        <v/>
      </c>
      <c r="U42" s="283" t="str">
        <f t="shared" si="4"/>
        <v/>
      </c>
      <c r="V42" s="299" t="str">
        <f>IF(D42="","",VLOOKUP(S42,'G-3 Multipliers'!$P$3:$Q$6,2,FALSE))</f>
        <v/>
      </c>
      <c r="W42" s="303" t="str">
        <f t="shared" si="5"/>
        <v/>
      </c>
      <c r="X42" s="101"/>
      <c r="Y42" s="115"/>
      <c r="Z42" s="104"/>
      <c r="AG42" s="30" t="str">
        <f>IFERROR(INDEX('G-6 Hedgerow Data'!$BJ$3:$BJ$15,MATCH(D42,'G-6 Hedgerow Data'!$B$3:$B$15,0)),"")</f>
        <v/>
      </c>
    </row>
    <row r="43" spans="2:33" ht="14" hidden="1">
      <c r="B43" s="97">
        <v>32</v>
      </c>
      <c r="C43" s="140"/>
      <c r="D43" s="133"/>
      <c r="E43" s="115"/>
      <c r="F43" s="323" t="str">
        <f>IF(D43="","",VLOOKUP(D43,'G-6 Hedgerow Data'!$B$2:$AG$15,2,FALSE))</f>
        <v/>
      </c>
      <c r="G43" s="276" t="str">
        <f>IF(D43="","",VLOOKUP(D43,'G-6 Hedgerow Data'!$B$2:$AG$15,3,FALSE))</f>
        <v/>
      </c>
      <c r="H43" s="101"/>
      <c r="I43" s="276" t="str">
        <f>IFERROR(IF(H43="","",IF(AND(D43="Non-native and ornamental hedgerow",H43&lt;&gt;"Poor"),"Not possible ▲",(VLOOKUP(H43,'G-1 All Habitats'!$Z$2:$AA$9,2,FALSE)))),"")</f>
        <v/>
      </c>
      <c r="J43" s="101"/>
      <c r="K43" s="295" t="str">
        <f>IF(J43="","",IF(VLOOKUP(J43,'G-3 Multipliers'!$L$3:$N$6,2,FALSE)=0,"Spatial Data Missing ⚠",VLOOKUP(J43,'G-3 Multipliers'!$L$3:$N$6,2,FALSE)))</f>
        <v/>
      </c>
      <c r="L43" s="281" t="str">
        <f>IF(J43="","",IF(VLOOKUP(J43,'G-3 Multipliers'!$L$3:$N$6,3,FALSE)=0,"Spatial Data Missing ⚠",VLOOKUP(J43,'G-3 Multipliers'!$L$3:$N$6,3,FALSE)))</f>
        <v/>
      </c>
      <c r="M43" s="275" t="str">
        <f>IF(OR(D43="",H43=""),"",(INDEX('G-6 Hedgerow Data'!$E$3:$I$15,MATCH(D43,'G-6 Hedgerow Data'!$B$3:$B$15,0),MATCH(H43,'G-6 Hedgerow Data'!$E$2:$I$2,0))))</f>
        <v/>
      </c>
      <c r="N43" s="133"/>
      <c r="O43" s="133"/>
      <c r="P43" s="283" t="str">
        <f t="shared" si="1"/>
        <v/>
      </c>
      <c r="Q43" s="296" t="str">
        <f t="shared" si="2"/>
        <v/>
      </c>
      <c r="R43" s="297" t="str">
        <f t="shared" si="0"/>
        <v/>
      </c>
      <c r="S43" s="311" t="str">
        <f>IF(D43="","",VLOOKUP(D43,'G-6 Hedgerow Data'!$B$3:$AG$15,31,FALSE))</f>
        <v/>
      </c>
      <c r="T43" s="283" t="str">
        <f t="shared" si="3"/>
        <v/>
      </c>
      <c r="U43" s="283" t="str">
        <f t="shared" si="4"/>
        <v/>
      </c>
      <c r="V43" s="299" t="str">
        <f>IF(D43="","",VLOOKUP(S43,'G-3 Multipliers'!$P$3:$Q$6,2,FALSE))</f>
        <v/>
      </c>
      <c r="W43" s="303" t="str">
        <f t="shared" si="5"/>
        <v/>
      </c>
      <c r="X43" s="101"/>
      <c r="Y43" s="115"/>
      <c r="Z43" s="104"/>
      <c r="AG43" s="30" t="str">
        <f>IFERROR(INDEX('G-6 Hedgerow Data'!$BJ$3:$BJ$15,MATCH(D43,'G-6 Hedgerow Data'!$B$3:$B$15,0)),"")</f>
        <v/>
      </c>
    </row>
    <row r="44" spans="2:33" ht="14" hidden="1">
      <c r="B44" s="97">
        <v>33</v>
      </c>
      <c r="C44" s="140"/>
      <c r="D44" s="133"/>
      <c r="E44" s="115"/>
      <c r="F44" s="323" t="str">
        <f>IF(D44="","",VLOOKUP(D44,'G-6 Hedgerow Data'!$B$2:$AG$15,2,FALSE))</f>
        <v/>
      </c>
      <c r="G44" s="276" t="str">
        <f>IF(D44="","",VLOOKUP(D44,'G-6 Hedgerow Data'!$B$2:$AG$15,3,FALSE))</f>
        <v/>
      </c>
      <c r="H44" s="101"/>
      <c r="I44" s="276" t="str">
        <f>IFERROR(IF(H44="","",IF(AND(D44="Non-native and ornamental hedgerow",H44&lt;&gt;"Poor"),"Not possible ▲",(VLOOKUP(H44,'G-1 All Habitats'!$Z$2:$AA$9,2,FALSE)))),"")</f>
        <v/>
      </c>
      <c r="J44" s="101"/>
      <c r="K44" s="295" t="str">
        <f>IF(J44="","",IF(VLOOKUP(J44,'G-3 Multipliers'!$L$3:$N$6,2,FALSE)=0,"Spatial Data Missing ⚠",VLOOKUP(J44,'G-3 Multipliers'!$L$3:$N$6,2,FALSE)))</f>
        <v/>
      </c>
      <c r="L44" s="281" t="str">
        <f>IF(J44="","",IF(VLOOKUP(J44,'G-3 Multipliers'!$L$3:$N$6,3,FALSE)=0,"Spatial Data Missing ⚠",VLOOKUP(J44,'G-3 Multipliers'!$L$3:$N$6,3,FALSE)))</f>
        <v/>
      </c>
      <c r="M44" s="275" t="str">
        <f>IF(OR(D44="",H44=""),"",(INDEX('G-6 Hedgerow Data'!$E$3:$I$15,MATCH(D44,'G-6 Hedgerow Data'!$B$3:$B$15,0),MATCH(H44,'G-6 Hedgerow Data'!$E$2:$I$2,0))))</f>
        <v/>
      </c>
      <c r="N44" s="133"/>
      <c r="O44" s="133"/>
      <c r="P44" s="283" t="str">
        <f t="shared" si="1"/>
        <v/>
      </c>
      <c r="Q44" s="296" t="str">
        <f t="shared" si="2"/>
        <v/>
      </c>
      <c r="R44" s="297" t="str">
        <f t="shared" si="0"/>
        <v/>
      </c>
      <c r="S44" s="311" t="str">
        <f>IF(D44="","",VLOOKUP(D44,'G-6 Hedgerow Data'!$B$3:$AG$15,31,FALSE))</f>
        <v/>
      </c>
      <c r="T44" s="283" t="str">
        <f t="shared" si="3"/>
        <v/>
      </c>
      <c r="U44" s="283" t="str">
        <f t="shared" si="4"/>
        <v/>
      </c>
      <c r="V44" s="299" t="str">
        <f>IF(D44="","",VLOOKUP(S44,'G-3 Multipliers'!$P$3:$Q$6,2,FALSE))</f>
        <v/>
      </c>
      <c r="W44" s="303" t="str">
        <f t="shared" si="5"/>
        <v/>
      </c>
      <c r="X44" s="101"/>
      <c r="Y44" s="115"/>
      <c r="Z44" s="104"/>
      <c r="AG44" s="30" t="str">
        <f>IFERROR(INDEX('G-6 Hedgerow Data'!$BJ$3:$BJ$15,MATCH(D44,'G-6 Hedgerow Data'!$B$3:$B$15,0)),"")</f>
        <v/>
      </c>
    </row>
    <row r="45" spans="2:33" ht="14" hidden="1">
      <c r="B45" s="97">
        <v>34</v>
      </c>
      <c r="C45" s="140"/>
      <c r="D45" s="133"/>
      <c r="E45" s="115"/>
      <c r="F45" s="323" t="str">
        <f>IF(D45="","",VLOOKUP(D45,'G-6 Hedgerow Data'!$B$2:$AG$15,2,FALSE))</f>
        <v/>
      </c>
      <c r="G45" s="276" t="str">
        <f>IF(D45="","",VLOOKUP(D45,'G-6 Hedgerow Data'!$B$2:$AG$15,3,FALSE))</f>
        <v/>
      </c>
      <c r="H45" s="101"/>
      <c r="I45" s="276" t="str">
        <f>IFERROR(IF(H45="","",IF(AND(D45="Non-native and ornamental hedgerow",H45&lt;&gt;"Poor"),"Not possible ▲",(VLOOKUP(H45,'G-1 All Habitats'!$Z$2:$AA$9,2,FALSE)))),"")</f>
        <v/>
      </c>
      <c r="J45" s="101"/>
      <c r="K45" s="295" t="str">
        <f>IF(J45="","",IF(VLOOKUP(J45,'G-3 Multipliers'!$L$3:$N$6,2,FALSE)=0,"Spatial Data Missing ⚠",VLOOKUP(J45,'G-3 Multipliers'!$L$3:$N$6,2,FALSE)))</f>
        <v/>
      </c>
      <c r="L45" s="281" t="str">
        <f>IF(J45="","",IF(VLOOKUP(J45,'G-3 Multipliers'!$L$3:$N$6,3,FALSE)=0,"Spatial Data Missing ⚠",VLOOKUP(J45,'G-3 Multipliers'!$L$3:$N$6,3,FALSE)))</f>
        <v/>
      </c>
      <c r="M45" s="275" t="str">
        <f>IF(OR(D45="",H45=""),"",(INDEX('G-6 Hedgerow Data'!$E$3:$I$15,MATCH(D45,'G-6 Hedgerow Data'!$B$3:$B$15,0),MATCH(H45,'G-6 Hedgerow Data'!$E$2:$I$2,0))))</f>
        <v/>
      </c>
      <c r="N45" s="133"/>
      <c r="O45" s="133"/>
      <c r="P45" s="283" t="str">
        <f t="shared" si="1"/>
        <v/>
      </c>
      <c r="Q45" s="296" t="str">
        <f t="shared" si="2"/>
        <v/>
      </c>
      <c r="R45" s="297" t="str">
        <f t="shared" si="0"/>
        <v/>
      </c>
      <c r="S45" s="311" t="str">
        <f>IF(D45="","",VLOOKUP(D45,'G-6 Hedgerow Data'!$B$3:$AG$15,31,FALSE))</f>
        <v/>
      </c>
      <c r="T45" s="283" t="str">
        <f t="shared" si="3"/>
        <v/>
      </c>
      <c r="U45" s="283" t="str">
        <f t="shared" si="4"/>
        <v/>
      </c>
      <c r="V45" s="299" t="str">
        <f>IF(D45="","",VLOOKUP(S45,'G-3 Multipliers'!$P$3:$Q$6,2,FALSE))</f>
        <v/>
      </c>
      <c r="W45" s="303" t="str">
        <f t="shared" si="5"/>
        <v/>
      </c>
      <c r="X45" s="101"/>
      <c r="Y45" s="115"/>
      <c r="Z45" s="104"/>
      <c r="AG45" s="30" t="str">
        <f>IFERROR(INDEX('G-6 Hedgerow Data'!$BJ$3:$BJ$15,MATCH(D45,'G-6 Hedgerow Data'!$B$3:$B$15,0)),"")</f>
        <v/>
      </c>
    </row>
    <row r="46" spans="2:33" ht="14" hidden="1">
      <c r="B46" s="97">
        <v>35</v>
      </c>
      <c r="C46" s="140"/>
      <c r="D46" s="133"/>
      <c r="E46" s="115"/>
      <c r="F46" s="323" t="str">
        <f>IF(D46="","",VLOOKUP(D46,'G-6 Hedgerow Data'!$B$2:$AG$15,2,FALSE))</f>
        <v/>
      </c>
      <c r="G46" s="276" t="str">
        <f>IF(D46="","",VLOOKUP(D46,'G-6 Hedgerow Data'!$B$2:$AG$15,3,FALSE))</f>
        <v/>
      </c>
      <c r="H46" s="101"/>
      <c r="I46" s="276" t="str">
        <f>IFERROR(IF(H46="","",IF(AND(D46="Non-native and ornamental hedgerow",H46&lt;&gt;"Poor"),"Not possible ▲",(VLOOKUP(H46,'G-1 All Habitats'!$Z$2:$AA$9,2,FALSE)))),"")</f>
        <v/>
      </c>
      <c r="J46" s="101"/>
      <c r="K46" s="295" t="str">
        <f>IF(J46="","",IF(VLOOKUP(J46,'G-3 Multipliers'!$L$3:$N$6,2,FALSE)=0,"Spatial Data Missing ⚠",VLOOKUP(J46,'G-3 Multipliers'!$L$3:$N$6,2,FALSE)))</f>
        <v/>
      </c>
      <c r="L46" s="281" t="str">
        <f>IF(J46="","",IF(VLOOKUP(J46,'G-3 Multipliers'!$L$3:$N$6,3,FALSE)=0,"Spatial Data Missing ⚠",VLOOKUP(J46,'G-3 Multipliers'!$L$3:$N$6,3,FALSE)))</f>
        <v/>
      </c>
      <c r="M46" s="275" t="str">
        <f>IF(OR(D46="",H46=""),"",(INDEX('G-6 Hedgerow Data'!$E$3:$I$15,MATCH(D46,'G-6 Hedgerow Data'!$B$3:$B$15,0),MATCH(H46,'G-6 Hedgerow Data'!$E$2:$I$2,0))))</f>
        <v/>
      </c>
      <c r="N46" s="133"/>
      <c r="O46" s="133"/>
      <c r="P46" s="283" t="str">
        <f t="shared" si="1"/>
        <v/>
      </c>
      <c r="Q46" s="296" t="str">
        <f t="shared" si="2"/>
        <v/>
      </c>
      <c r="R46" s="297" t="str">
        <f t="shared" si="0"/>
        <v/>
      </c>
      <c r="S46" s="311" t="str">
        <f>IF(D46="","",VLOOKUP(D46,'G-6 Hedgerow Data'!$B$3:$AG$15,31,FALSE))</f>
        <v/>
      </c>
      <c r="T46" s="283" t="str">
        <f t="shared" si="3"/>
        <v/>
      </c>
      <c r="U46" s="283" t="str">
        <f t="shared" si="4"/>
        <v/>
      </c>
      <c r="V46" s="299" t="str">
        <f>IF(D46="","",VLOOKUP(S46,'G-3 Multipliers'!$P$3:$Q$6,2,FALSE))</f>
        <v/>
      </c>
      <c r="W46" s="303" t="str">
        <f t="shared" si="5"/>
        <v/>
      </c>
      <c r="X46" s="101"/>
      <c r="Y46" s="115"/>
      <c r="Z46" s="104"/>
      <c r="AG46" s="30" t="str">
        <f>IFERROR(INDEX('G-6 Hedgerow Data'!$BJ$3:$BJ$15,MATCH(D46,'G-6 Hedgerow Data'!$B$3:$B$15,0)),"")</f>
        <v/>
      </c>
    </row>
    <row r="47" spans="2:33" ht="14" hidden="1">
      <c r="B47" s="97">
        <v>36</v>
      </c>
      <c r="C47" s="140"/>
      <c r="D47" s="133"/>
      <c r="E47" s="115"/>
      <c r="F47" s="323" t="str">
        <f>IF(D47="","",VLOOKUP(D47,'G-6 Hedgerow Data'!$B$2:$AG$15,2,FALSE))</f>
        <v/>
      </c>
      <c r="G47" s="276" t="str">
        <f>IF(D47="","",VLOOKUP(D47,'G-6 Hedgerow Data'!$B$2:$AG$15,3,FALSE))</f>
        <v/>
      </c>
      <c r="H47" s="101"/>
      <c r="I47" s="276" t="str">
        <f>IFERROR(IF(H47="","",IF(AND(D47="Non-native and ornamental hedgerow",H47&lt;&gt;"Poor"),"Not possible ▲",(VLOOKUP(H47,'G-1 All Habitats'!$Z$2:$AA$9,2,FALSE)))),"")</f>
        <v/>
      </c>
      <c r="J47" s="101"/>
      <c r="K47" s="295" t="str">
        <f>IF(J47="","",IF(VLOOKUP(J47,'G-3 Multipliers'!$L$3:$N$6,2,FALSE)=0,"Spatial Data Missing ⚠",VLOOKUP(J47,'G-3 Multipliers'!$L$3:$N$6,2,FALSE)))</f>
        <v/>
      </c>
      <c r="L47" s="281" t="str">
        <f>IF(J47="","",IF(VLOOKUP(J47,'G-3 Multipliers'!$L$3:$N$6,3,FALSE)=0,"Spatial Data Missing ⚠",VLOOKUP(J47,'G-3 Multipliers'!$L$3:$N$6,3,FALSE)))</f>
        <v/>
      </c>
      <c r="M47" s="275" t="str">
        <f>IF(OR(D47="",H47=""),"",(INDEX('G-6 Hedgerow Data'!$E$3:$I$15,MATCH(D47,'G-6 Hedgerow Data'!$B$3:$B$15,0),MATCH(H47,'G-6 Hedgerow Data'!$E$2:$I$2,0))))</f>
        <v/>
      </c>
      <c r="N47" s="133"/>
      <c r="O47" s="133"/>
      <c r="P47" s="283" t="str">
        <f t="shared" si="1"/>
        <v/>
      </c>
      <c r="Q47" s="296" t="str">
        <f t="shared" si="2"/>
        <v/>
      </c>
      <c r="R47" s="297" t="str">
        <f t="shared" si="0"/>
        <v/>
      </c>
      <c r="S47" s="311" t="str">
        <f>IF(D47="","",VLOOKUP(D47,'G-6 Hedgerow Data'!$B$3:$AG$15,31,FALSE))</f>
        <v/>
      </c>
      <c r="T47" s="283" t="str">
        <f t="shared" si="3"/>
        <v/>
      </c>
      <c r="U47" s="283" t="str">
        <f t="shared" si="4"/>
        <v/>
      </c>
      <c r="V47" s="299" t="str">
        <f>IF(D47="","",VLOOKUP(S47,'G-3 Multipliers'!$P$3:$Q$6,2,FALSE))</f>
        <v/>
      </c>
      <c r="W47" s="303" t="str">
        <f t="shared" si="5"/>
        <v/>
      </c>
      <c r="X47" s="101"/>
      <c r="Y47" s="115"/>
      <c r="Z47" s="104"/>
      <c r="AG47" s="30" t="str">
        <f>IFERROR(INDEX('G-6 Hedgerow Data'!$BJ$3:$BJ$15,MATCH(D47,'G-6 Hedgerow Data'!$B$3:$B$15,0)),"")</f>
        <v/>
      </c>
    </row>
    <row r="48" spans="2:33" ht="14" hidden="1">
      <c r="B48" s="97">
        <v>37</v>
      </c>
      <c r="C48" s="140"/>
      <c r="D48" s="133"/>
      <c r="E48" s="115"/>
      <c r="F48" s="323" t="str">
        <f>IF(D48="","",VLOOKUP(D48,'G-6 Hedgerow Data'!$B$2:$AG$15,2,FALSE))</f>
        <v/>
      </c>
      <c r="G48" s="276" t="str">
        <f>IF(D48="","",VLOOKUP(D48,'G-6 Hedgerow Data'!$B$2:$AG$15,3,FALSE))</f>
        <v/>
      </c>
      <c r="H48" s="101"/>
      <c r="I48" s="276" t="str">
        <f>IFERROR(IF(H48="","",IF(AND(D48="Non-native and ornamental hedgerow",H48&lt;&gt;"Poor"),"Not possible ▲",(VLOOKUP(H48,'G-1 All Habitats'!$Z$2:$AA$9,2,FALSE)))),"")</f>
        <v/>
      </c>
      <c r="J48" s="101"/>
      <c r="K48" s="295" t="str">
        <f>IF(J48="","",IF(VLOOKUP(J48,'G-3 Multipliers'!$L$3:$N$6,2,FALSE)=0,"Spatial Data Missing ⚠",VLOOKUP(J48,'G-3 Multipliers'!$L$3:$N$6,2,FALSE)))</f>
        <v/>
      </c>
      <c r="L48" s="281" t="str">
        <f>IF(J48="","",IF(VLOOKUP(J48,'G-3 Multipliers'!$L$3:$N$6,3,FALSE)=0,"Spatial Data Missing ⚠",VLOOKUP(J48,'G-3 Multipliers'!$L$3:$N$6,3,FALSE)))</f>
        <v/>
      </c>
      <c r="M48" s="275" t="str">
        <f>IF(OR(D48="",H48=""),"",(INDEX('G-6 Hedgerow Data'!$E$3:$I$15,MATCH(D48,'G-6 Hedgerow Data'!$B$3:$B$15,0),MATCH(H48,'G-6 Hedgerow Data'!$E$2:$I$2,0))))</f>
        <v/>
      </c>
      <c r="N48" s="133"/>
      <c r="O48" s="133"/>
      <c r="P48" s="283" t="str">
        <f t="shared" si="1"/>
        <v/>
      </c>
      <c r="Q48" s="296" t="str">
        <f t="shared" si="2"/>
        <v/>
      </c>
      <c r="R48" s="297" t="str">
        <f t="shared" si="0"/>
        <v/>
      </c>
      <c r="S48" s="311" t="str">
        <f>IF(D48="","",VLOOKUP(D48,'G-6 Hedgerow Data'!$B$3:$AG$15,31,FALSE))</f>
        <v/>
      </c>
      <c r="T48" s="283" t="str">
        <f t="shared" si="3"/>
        <v/>
      </c>
      <c r="U48" s="283" t="str">
        <f t="shared" si="4"/>
        <v/>
      </c>
      <c r="V48" s="299" t="str">
        <f>IF(D48="","",VLOOKUP(S48,'G-3 Multipliers'!$P$3:$Q$6,2,FALSE))</f>
        <v/>
      </c>
      <c r="W48" s="303" t="str">
        <f t="shared" si="5"/>
        <v/>
      </c>
      <c r="X48" s="101"/>
      <c r="Y48" s="115"/>
      <c r="Z48" s="104"/>
      <c r="AG48" s="30" t="str">
        <f>IFERROR(INDEX('G-6 Hedgerow Data'!$BJ$3:$BJ$15,MATCH(D48,'G-6 Hedgerow Data'!$B$3:$B$15,0)),"")</f>
        <v/>
      </c>
    </row>
    <row r="49" spans="2:33" ht="14" hidden="1">
      <c r="B49" s="97">
        <v>38</v>
      </c>
      <c r="C49" s="140"/>
      <c r="D49" s="133"/>
      <c r="E49" s="115"/>
      <c r="F49" s="323" t="str">
        <f>IF(D49="","",VLOOKUP(D49,'G-6 Hedgerow Data'!$B$2:$AG$15,2,FALSE))</f>
        <v/>
      </c>
      <c r="G49" s="276" t="str">
        <f>IF(D49="","",VLOOKUP(D49,'G-6 Hedgerow Data'!$B$2:$AG$15,3,FALSE))</f>
        <v/>
      </c>
      <c r="H49" s="101"/>
      <c r="I49" s="276" t="str">
        <f>IFERROR(IF(H49="","",IF(AND(D49="Non-native and ornamental hedgerow",H49&lt;&gt;"Poor"),"Not possible ▲",(VLOOKUP(H49,'G-1 All Habitats'!$Z$2:$AA$9,2,FALSE)))),"")</f>
        <v/>
      </c>
      <c r="J49" s="101"/>
      <c r="K49" s="295" t="str">
        <f>IF(J49="","",IF(VLOOKUP(J49,'G-3 Multipliers'!$L$3:$N$6,2,FALSE)=0,"Spatial Data Missing ⚠",VLOOKUP(J49,'G-3 Multipliers'!$L$3:$N$6,2,FALSE)))</f>
        <v/>
      </c>
      <c r="L49" s="281" t="str">
        <f>IF(J49="","",IF(VLOOKUP(J49,'G-3 Multipliers'!$L$3:$N$6,3,FALSE)=0,"Spatial Data Missing ⚠",VLOOKUP(J49,'G-3 Multipliers'!$L$3:$N$6,3,FALSE)))</f>
        <v/>
      </c>
      <c r="M49" s="275" t="str">
        <f>IF(OR(D49="",H49=""),"",(INDEX('G-6 Hedgerow Data'!$E$3:$I$15,MATCH(D49,'G-6 Hedgerow Data'!$B$3:$B$15,0),MATCH(H49,'G-6 Hedgerow Data'!$E$2:$I$2,0))))</f>
        <v/>
      </c>
      <c r="N49" s="133"/>
      <c r="O49" s="133"/>
      <c r="P49" s="283" t="str">
        <f t="shared" si="1"/>
        <v/>
      </c>
      <c r="Q49" s="296" t="str">
        <f t="shared" si="2"/>
        <v/>
      </c>
      <c r="R49" s="297" t="str">
        <f t="shared" si="0"/>
        <v/>
      </c>
      <c r="S49" s="311" t="str">
        <f>IF(D49="","",VLOOKUP(D49,'G-6 Hedgerow Data'!$B$3:$AG$15,31,FALSE))</f>
        <v/>
      </c>
      <c r="T49" s="283" t="str">
        <f t="shared" si="3"/>
        <v/>
      </c>
      <c r="U49" s="283" t="str">
        <f t="shared" si="4"/>
        <v/>
      </c>
      <c r="V49" s="299" t="str">
        <f>IF(D49="","",VLOOKUP(S49,'G-3 Multipliers'!$P$3:$Q$6,2,FALSE))</f>
        <v/>
      </c>
      <c r="W49" s="303" t="str">
        <f t="shared" si="5"/>
        <v/>
      </c>
      <c r="X49" s="101"/>
      <c r="Y49" s="115"/>
      <c r="Z49" s="104"/>
      <c r="AG49" s="30" t="str">
        <f>IFERROR(INDEX('G-6 Hedgerow Data'!$BJ$3:$BJ$15,MATCH(D49,'G-6 Hedgerow Data'!$B$3:$B$15,0)),"")</f>
        <v/>
      </c>
    </row>
    <row r="50" spans="2:33" ht="14" hidden="1">
      <c r="B50" s="97">
        <v>39</v>
      </c>
      <c r="C50" s="140"/>
      <c r="D50" s="133"/>
      <c r="E50" s="115"/>
      <c r="F50" s="323" t="str">
        <f>IF(D50="","",VLOOKUP(D50,'G-6 Hedgerow Data'!$B$2:$AG$15,2,FALSE))</f>
        <v/>
      </c>
      <c r="G50" s="276" t="str">
        <f>IF(D50="","",VLOOKUP(D50,'G-6 Hedgerow Data'!$B$2:$AG$15,3,FALSE))</f>
        <v/>
      </c>
      <c r="H50" s="101"/>
      <c r="I50" s="276" t="str">
        <f>IFERROR(IF(H50="","",IF(AND(D50="Non-native and ornamental hedgerow",H50&lt;&gt;"Poor"),"Not possible ▲",(VLOOKUP(H50,'G-1 All Habitats'!$Z$2:$AA$9,2,FALSE)))),"")</f>
        <v/>
      </c>
      <c r="J50" s="101"/>
      <c r="K50" s="295" t="str">
        <f>IF(J50="","",IF(VLOOKUP(J50,'G-3 Multipliers'!$L$3:$N$6,2,FALSE)=0,"Spatial Data Missing ⚠",VLOOKUP(J50,'G-3 Multipliers'!$L$3:$N$6,2,FALSE)))</f>
        <v/>
      </c>
      <c r="L50" s="281" t="str">
        <f>IF(J50="","",IF(VLOOKUP(J50,'G-3 Multipliers'!$L$3:$N$6,3,FALSE)=0,"Spatial Data Missing ⚠",VLOOKUP(J50,'G-3 Multipliers'!$L$3:$N$6,3,FALSE)))</f>
        <v/>
      </c>
      <c r="M50" s="275" t="str">
        <f>IF(OR(D50="",H50=""),"",(INDEX('G-6 Hedgerow Data'!$E$3:$I$15,MATCH(D50,'G-6 Hedgerow Data'!$B$3:$B$15,0),MATCH(H50,'G-6 Hedgerow Data'!$E$2:$I$2,0))))</f>
        <v/>
      </c>
      <c r="N50" s="133"/>
      <c r="O50" s="133"/>
      <c r="P50" s="283" t="str">
        <f t="shared" si="1"/>
        <v/>
      </c>
      <c r="Q50" s="296" t="str">
        <f t="shared" si="2"/>
        <v/>
      </c>
      <c r="R50" s="297" t="str">
        <f t="shared" si="0"/>
        <v/>
      </c>
      <c r="S50" s="311" t="str">
        <f>IF(D50="","",VLOOKUP(D50,'G-6 Hedgerow Data'!$B$3:$AG$15,31,FALSE))</f>
        <v/>
      </c>
      <c r="T50" s="283" t="str">
        <f t="shared" si="3"/>
        <v/>
      </c>
      <c r="U50" s="283" t="str">
        <f t="shared" si="4"/>
        <v/>
      </c>
      <c r="V50" s="299" t="str">
        <f>IF(D50="","",VLOOKUP(S50,'G-3 Multipliers'!$P$3:$Q$6,2,FALSE))</f>
        <v/>
      </c>
      <c r="W50" s="303" t="str">
        <f t="shared" si="5"/>
        <v/>
      </c>
      <c r="X50" s="101"/>
      <c r="Y50" s="115"/>
      <c r="Z50" s="104"/>
      <c r="AG50" s="30" t="str">
        <f>IFERROR(INDEX('G-6 Hedgerow Data'!$BJ$3:$BJ$15,MATCH(D50,'G-6 Hedgerow Data'!$B$3:$B$15,0)),"")</f>
        <v/>
      </c>
    </row>
    <row r="51" spans="2:33" ht="14" hidden="1">
      <c r="B51" s="97">
        <v>40</v>
      </c>
      <c r="C51" s="140"/>
      <c r="D51" s="133"/>
      <c r="E51" s="115"/>
      <c r="F51" s="323" t="str">
        <f>IF(D51="","",VLOOKUP(D51,'G-6 Hedgerow Data'!$B$2:$AG$15,2,FALSE))</f>
        <v/>
      </c>
      <c r="G51" s="276" t="str">
        <f>IF(D51="","",VLOOKUP(D51,'G-6 Hedgerow Data'!$B$2:$AG$15,3,FALSE))</f>
        <v/>
      </c>
      <c r="H51" s="101"/>
      <c r="I51" s="276" t="str">
        <f>IFERROR(IF(H51="","",IF(AND(D51="Non-native and ornamental hedgerow",H51&lt;&gt;"Poor"),"Not possible ▲",(VLOOKUP(H51,'G-1 All Habitats'!$Z$2:$AA$9,2,FALSE)))),"")</f>
        <v/>
      </c>
      <c r="J51" s="101"/>
      <c r="K51" s="295" t="str">
        <f>IF(J51="","",IF(VLOOKUP(J51,'G-3 Multipliers'!$L$3:$N$6,2,FALSE)=0,"Spatial Data Missing ⚠",VLOOKUP(J51,'G-3 Multipliers'!$L$3:$N$6,2,FALSE)))</f>
        <v/>
      </c>
      <c r="L51" s="281" t="str">
        <f>IF(J51="","",IF(VLOOKUP(J51,'G-3 Multipliers'!$L$3:$N$6,3,FALSE)=0,"Spatial Data Missing ⚠",VLOOKUP(J51,'G-3 Multipliers'!$L$3:$N$6,3,FALSE)))</f>
        <v/>
      </c>
      <c r="M51" s="275" t="str">
        <f>IF(OR(D51="",H51=""),"",(INDEX('G-6 Hedgerow Data'!$E$3:$I$15,MATCH(D51,'G-6 Hedgerow Data'!$B$3:$B$15,0),MATCH(H51,'G-6 Hedgerow Data'!$E$2:$I$2,0))))</f>
        <v/>
      </c>
      <c r="N51" s="133"/>
      <c r="O51" s="133"/>
      <c r="P51" s="283" t="str">
        <f t="shared" si="1"/>
        <v/>
      </c>
      <c r="Q51" s="296" t="str">
        <f t="shared" si="2"/>
        <v/>
      </c>
      <c r="R51" s="297" t="str">
        <f t="shared" si="0"/>
        <v/>
      </c>
      <c r="S51" s="311" t="str">
        <f>IF(D51="","",VLOOKUP(D51,'G-6 Hedgerow Data'!$B$3:$AG$15,31,FALSE))</f>
        <v/>
      </c>
      <c r="T51" s="283" t="str">
        <f t="shared" si="3"/>
        <v/>
      </c>
      <c r="U51" s="283" t="str">
        <f t="shared" si="4"/>
        <v/>
      </c>
      <c r="V51" s="299" t="str">
        <f>IF(D51="","",VLOOKUP(S51,'G-3 Multipliers'!$P$3:$Q$6,2,FALSE))</f>
        <v/>
      </c>
      <c r="W51" s="303" t="str">
        <f t="shared" si="5"/>
        <v/>
      </c>
      <c r="X51" s="101"/>
      <c r="Y51" s="115"/>
      <c r="Z51" s="104"/>
      <c r="AG51" s="30" t="str">
        <f>IFERROR(INDEX('G-6 Hedgerow Data'!$BJ$3:$BJ$15,MATCH(D51,'G-6 Hedgerow Data'!$B$3:$B$15,0)),"")</f>
        <v/>
      </c>
    </row>
    <row r="52" spans="2:33" ht="14" hidden="1">
      <c r="B52" s="97">
        <v>41</v>
      </c>
      <c r="C52" s="140"/>
      <c r="D52" s="133"/>
      <c r="E52" s="115"/>
      <c r="F52" s="323" t="str">
        <f>IF(D52="","",VLOOKUP(D52,'G-6 Hedgerow Data'!$B$2:$AG$15,2,FALSE))</f>
        <v/>
      </c>
      <c r="G52" s="276" t="str">
        <f>IF(D52="","",VLOOKUP(D52,'G-6 Hedgerow Data'!$B$2:$AG$15,3,FALSE))</f>
        <v/>
      </c>
      <c r="H52" s="101"/>
      <c r="I52" s="276" t="str">
        <f>IFERROR(IF(H52="","",IF(AND(D52="Non-native and ornamental hedgerow",H52&lt;&gt;"Poor"),"Not possible ▲",(VLOOKUP(H52,'G-1 All Habitats'!$Z$2:$AA$9,2,FALSE)))),"")</f>
        <v/>
      </c>
      <c r="J52" s="101"/>
      <c r="K52" s="295" t="str">
        <f>IF(J52="","",IF(VLOOKUP(J52,'G-3 Multipliers'!$L$3:$N$6,2,FALSE)=0,"Spatial Data Missing ⚠",VLOOKUP(J52,'G-3 Multipliers'!$L$3:$N$6,2,FALSE)))</f>
        <v/>
      </c>
      <c r="L52" s="281" t="str">
        <f>IF(J52="","",IF(VLOOKUP(J52,'G-3 Multipliers'!$L$3:$N$6,3,FALSE)=0,"Spatial Data Missing ⚠",VLOOKUP(J52,'G-3 Multipliers'!$L$3:$N$6,3,FALSE)))</f>
        <v/>
      </c>
      <c r="M52" s="275" t="str">
        <f>IF(OR(D52="",H52=""),"",(INDEX('G-6 Hedgerow Data'!$E$3:$I$15,MATCH(D52,'G-6 Hedgerow Data'!$B$3:$B$15,0),MATCH(H52,'G-6 Hedgerow Data'!$E$2:$I$2,0))))</f>
        <v/>
      </c>
      <c r="N52" s="133"/>
      <c r="O52" s="133"/>
      <c r="P52" s="283" t="str">
        <f t="shared" si="1"/>
        <v/>
      </c>
      <c r="Q52" s="296" t="str">
        <f t="shared" si="2"/>
        <v/>
      </c>
      <c r="R52" s="297" t="str">
        <f t="shared" si="0"/>
        <v/>
      </c>
      <c r="S52" s="311" t="str">
        <f>IF(D52="","",VLOOKUP(D52,'G-6 Hedgerow Data'!$B$3:$AG$15,31,FALSE))</f>
        <v/>
      </c>
      <c r="T52" s="283" t="str">
        <f t="shared" si="3"/>
        <v/>
      </c>
      <c r="U52" s="283" t="str">
        <f t="shared" si="4"/>
        <v/>
      </c>
      <c r="V52" s="299" t="str">
        <f>IF(D52="","",VLOOKUP(S52,'G-3 Multipliers'!$P$3:$Q$6,2,FALSE))</f>
        <v/>
      </c>
      <c r="W52" s="303" t="str">
        <f t="shared" si="5"/>
        <v/>
      </c>
      <c r="X52" s="101"/>
      <c r="Y52" s="115"/>
      <c r="Z52" s="104"/>
      <c r="AG52" s="30" t="str">
        <f>IFERROR(INDEX('G-6 Hedgerow Data'!$BJ$3:$BJ$15,MATCH(D52,'G-6 Hedgerow Data'!$B$3:$B$15,0)),"")</f>
        <v/>
      </c>
    </row>
    <row r="53" spans="2:33" ht="14" hidden="1">
      <c r="B53" s="97">
        <v>42</v>
      </c>
      <c r="C53" s="140"/>
      <c r="D53" s="133"/>
      <c r="E53" s="115"/>
      <c r="F53" s="323" t="str">
        <f>IF(D53="","",VLOOKUP(D53,'G-6 Hedgerow Data'!$B$2:$AG$15,2,FALSE))</f>
        <v/>
      </c>
      <c r="G53" s="276" t="str">
        <f>IF(D53="","",VLOOKUP(D53,'G-6 Hedgerow Data'!$B$2:$AG$15,3,FALSE))</f>
        <v/>
      </c>
      <c r="H53" s="101"/>
      <c r="I53" s="276" t="str">
        <f>IFERROR(IF(H53="","",IF(AND(D53="Non-native and ornamental hedgerow",H53&lt;&gt;"Poor"),"Not possible ▲",(VLOOKUP(H53,'G-1 All Habitats'!$Z$2:$AA$9,2,FALSE)))),"")</f>
        <v/>
      </c>
      <c r="J53" s="101"/>
      <c r="K53" s="295" t="str">
        <f>IF(J53="","",IF(VLOOKUP(J53,'G-3 Multipliers'!$L$3:$N$6,2,FALSE)=0,"Spatial Data Missing ⚠",VLOOKUP(J53,'G-3 Multipliers'!$L$3:$N$6,2,FALSE)))</f>
        <v/>
      </c>
      <c r="L53" s="281" t="str">
        <f>IF(J53="","",IF(VLOOKUP(J53,'G-3 Multipliers'!$L$3:$N$6,3,FALSE)=0,"Spatial Data Missing ⚠",VLOOKUP(J53,'G-3 Multipliers'!$L$3:$N$6,3,FALSE)))</f>
        <v/>
      </c>
      <c r="M53" s="275" t="str">
        <f>IF(OR(D53="",H53=""),"",(INDEX('G-6 Hedgerow Data'!$E$3:$I$15,MATCH(D53,'G-6 Hedgerow Data'!$B$3:$B$15,0),MATCH(H53,'G-6 Hedgerow Data'!$E$2:$I$2,0))))</f>
        <v/>
      </c>
      <c r="N53" s="133"/>
      <c r="O53" s="133"/>
      <c r="P53" s="283" t="str">
        <f t="shared" si="1"/>
        <v/>
      </c>
      <c r="Q53" s="296" t="str">
        <f t="shared" si="2"/>
        <v/>
      </c>
      <c r="R53" s="297" t="str">
        <f t="shared" si="0"/>
        <v/>
      </c>
      <c r="S53" s="311" t="str">
        <f>IF(D53="","",VLOOKUP(D53,'G-6 Hedgerow Data'!$B$3:$AG$15,31,FALSE))</f>
        <v/>
      </c>
      <c r="T53" s="283" t="str">
        <f t="shared" si="3"/>
        <v/>
      </c>
      <c r="U53" s="283" t="str">
        <f t="shared" si="4"/>
        <v/>
      </c>
      <c r="V53" s="299" t="str">
        <f>IF(D53="","",VLOOKUP(S53,'G-3 Multipliers'!$P$3:$Q$6,2,FALSE))</f>
        <v/>
      </c>
      <c r="W53" s="303" t="str">
        <f t="shared" si="5"/>
        <v/>
      </c>
      <c r="X53" s="101"/>
      <c r="Y53" s="115"/>
      <c r="Z53" s="104"/>
      <c r="AG53" s="30" t="str">
        <f>IFERROR(INDEX('G-6 Hedgerow Data'!$BJ$3:$BJ$15,MATCH(D53,'G-6 Hedgerow Data'!$B$3:$B$15,0)),"")</f>
        <v/>
      </c>
    </row>
    <row r="54" spans="2:33" ht="14" hidden="1">
      <c r="B54" s="97">
        <v>43</v>
      </c>
      <c r="C54" s="140"/>
      <c r="D54" s="133"/>
      <c r="E54" s="115"/>
      <c r="F54" s="323" t="str">
        <f>IF(D54="","",VLOOKUP(D54,'G-6 Hedgerow Data'!$B$2:$AG$15,2,FALSE))</f>
        <v/>
      </c>
      <c r="G54" s="276" t="str">
        <f>IF(D54="","",VLOOKUP(D54,'G-6 Hedgerow Data'!$B$2:$AG$15,3,FALSE))</f>
        <v/>
      </c>
      <c r="H54" s="101"/>
      <c r="I54" s="276" t="str">
        <f>IFERROR(IF(H54="","",IF(AND(D54="Non-native and ornamental hedgerow",H54&lt;&gt;"Poor"),"Not possible ▲",(VLOOKUP(H54,'G-1 All Habitats'!$Z$2:$AA$9,2,FALSE)))),"")</f>
        <v/>
      </c>
      <c r="J54" s="101"/>
      <c r="K54" s="295" t="str">
        <f>IF(J54="","",IF(VLOOKUP(J54,'G-3 Multipliers'!$L$3:$N$6,2,FALSE)=0,"Spatial Data Missing ⚠",VLOOKUP(J54,'G-3 Multipliers'!$L$3:$N$6,2,FALSE)))</f>
        <v/>
      </c>
      <c r="L54" s="281" t="str">
        <f>IF(J54="","",IF(VLOOKUP(J54,'G-3 Multipliers'!$L$3:$N$6,3,FALSE)=0,"Spatial Data Missing ⚠",VLOOKUP(J54,'G-3 Multipliers'!$L$3:$N$6,3,FALSE)))</f>
        <v/>
      </c>
      <c r="M54" s="275" t="str">
        <f>IF(OR(D54="",H54=""),"",(INDEX('G-6 Hedgerow Data'!$E$3:$I$15,MATCH(D54,'G-6 Hedgerow Data'!$B$3:$B$15,0),MATCH(H54,'G-6 Hedgerow Data'!$E$2:$I$2,0))))</f>
        <v/>
      </c>
      <c r="N54" s="133"/>
      <c r="O54" s="133"/>
      <c r="P54" s="283" t="str">
        <f t="shared" si="1"/>
        <v/>
      </c>
      <c r="Q54" s="296" t="str">
        <f t="shared" si="2"/>
        <v/>
      </c>
      <c r="R54" s="297" t="str">
        <f t="shared" si="0"/>
        <v/>
      </c>
      <c r="S54" s="311" t="str">
        <f>IF(D54="","",VLOOKUP(D54,'G-6 Hedgerow Data'!$B$3:$AG$15,31,FALSE))</f>
        <v/>
      </c>
      <c r="T54" s="283" t="str">
        <f t="shared" si="3"/>
        <v/>
      </c>
      <c r="U54" s="283" t="str">
        <f t="shared" si="4"/>
        <v/>
      </c>
      <c r="V54" s="299" t="str">
        <f>IF(D54="","",VLOOKUP(S54,'G-3 Multipliers'!$P$3:$Q$6,2,FALSE))</f>
        <v/>
      </c>
      <c r="W54" s="303" t="str">
        <f t="shared" si="5"/>
        <v/>
      </c>
      <c r="X54" s="101"/>
      <c r="Y54" s="115"/>
      <c r="Z54" s="104"/>
      <c r="AG54" s="30" t="str">
        <f>IFERROR(INDEX('G-6 Hedgerow Data'!$BJ$3:$BJ$15,MATCH(D54,'G-6 Hedgerow Data'!$B$3:$B$15,0)),"")</f>
        <v/>
      </c>
    </row>
    <row r="55" spans="2:33" ht="14" hidden="1">
      <c r="B55" s="97">
        <v>44</v>
      </c>
      <c r="C55" s="140"/>
      <c r="D55" s="133"/>
      <c r="E55" s="115"/>
      <c r="F55" s="323" t="str">
        <f>IF(D55="","",VLOOKUP(D55,'G-6 Hedgerow Data'!$B$2:$AG$15,2,FALSE))</f>
        <v/>
      </c>
      <c r="G55" s="276" t="str">
        <f>IF(D55="","",VLOOKUP(D55,'G-6 Hedgerow Data'!$B$2:$AG$15,3,FALSE))</f>
        <v/>
      </c>
      <c r="H55" s="101"/>
      <c r="I55" s="276" t="str">
        <f>IFERROR(IF(H55="","",IF(AND(D55="Non-native and ornamental hedgerow",H55&lt;&gt;"Poor"),"Not possible ▲",(VLOOKUP(H55,'G-1 All Habitats'!$Z$2:$AA$9,2,FALSE)))),"")</f>
        <v/>
      </c>
      <c r="J55" s="101"/>
      <c r="K55" s="295" t="str">
        <f>IF(J55="","",IF(VLOOKUP(J55,'G-3 Multipliers'!$L$3:$N$6,2,FALSE)=0,"Spatial Data Missing ⚠",VLOOKUP(J55,'G-3 Multipliers'!$L$3:$N$6,2,FALSE)))</f>
        <v/>
      </c>
      <c r="L55" s="281" t="str">
        <f>IF(J55="","",IF(VLOOKUP(J55,'G-3 Multipliers'!$L$3:$N$6,3,FALSE)=0,"Spatial Data Missing ⚠",VLOOKUP(J55,'G-3 Multipliers'!$L$3:$N$6,3,FALSE)))</f>
        <v/>
      </c>
      <c r="M55" s="275" t="str">
        <f>IF(OR(D55="",H55=""),"",(INDEX('G-6 Hedgerow Data'!$E$3:$I$15,MATCH(D55,'G-6 Hedgerow Data'!$B$3:$B$15,0),MATCH(H55,'G-6 Hedgerow Data'!$E$2:$I$2,0))))</f>
        <v/>
      </c>
      <c r="N55" s="133"/>
      <c r="O55" s="133"/>
      <c r="P55" s="283" t="str">
        <f t="shared" si="1"/>
        <v/>
      </c>
      <c r="Q55" s="296" t="str">
        <f t="shared" si="2"/>
        <v/>
      </c>
      <c r="R55" s="297" t="str">
        <f t="shared" si="0"/>
        <v/>
      </c>
      <c r="S55" s="311" t="str">
        <f>IF(D55="","",VLOOKUP(D55,'G-6 Hedgerow Data'!$B$3:$AG$15,31,FALSE))</f>
        <v/>
      </c>
      <c r="T55" s="283" t="str">
        <f t="shared" si="3"/>
        <v/>
      </c>
      <c r="U55" s="283" t="str">
        <f t="shared" si="4"/>
        <v/>
      </c>
      <c r="V55" s="299" t="str">
        <f>IF(D55="","",VLOOKUP(S55,'G-3 Multipliers'!$P$3:$Q$6,2,FALSE))</f>
        <v/>
      </c>
      <c r="W55" s="303" t="str">
        <f t="shared" si="5"/>
        <v/>
      </c>
      <c r="X55" s="101"/>
      <c r="Y55" s="115"/>
      <c r="Z55" s="104"/>
      <c r="AG55" s="30" t="str">
        <f>IFERROR(INDEX('G-6 Hedgerow Data'!$BJ$3:$BJ$15,MATCH(D55,'G-6 Hedgerow Data'!$B$3:$B$15,0)),"")</f>
        <v/>
      </c>
    </row>
    <row r="56" spans="2:33" ht="14" hidden="1">
      <c r="B56" s="97">
        <v>45</v>
      </c>
      <c r="C56" s="140"/>
      <c r="D56" s="133"/>
      <c r="E56" s="115"/>
      <c r="F56" s="323" t="str">
        <f>IF(D56="","",VLOOKUP(D56,'G-6 Hedgerow Data'!$B$2:$AG$15,2,FALSE))</f>
        <v/>
      </c>
      <c r="G56" s="276" t="str">
        <f>IF(D56="","",VLOOKUP(D56,'G-6 Hedgerow Data'!$B$2:$AG$15,3,FALSE))</f>
        <v/>
      </c>
      <c r="H56" s="101"/>
      <c r="I56" s="276" t="str">
        <f>IFERROR(IF(H56="","",IF(AND(D56="Non-native and ornamental hedgerow",H56&lt;&gt;"Poor"),"Not possible ▲",(VLOOKUP(H56,'G-1 All Habitats'!$Z$2:$AA$9,2,FALSE)))),"")</f>
        <v/>
      </c>
      <c r="J56" s="101"/>
      <c r="K56" s="295" t="str">
        <f>IF(J56="","",IF(VLOOKUP(J56,'G-3 Multipliers'!$L$3:$N$6,2,FALSE)=0,"Spatial Data Missing ⚠",VLOOKUP(J56,'G-3 Multipliers'!$L$3:$N$6,2,FALSE)))</f>
        <v/>
      </c>
      <c r="L56" s="281" t="str">
        <f>IF(J56="","",IF(VLOOKUP(J56,'G-3 Multipliers'!$L$3:$N$6,3,FALSE)=0,"Spatial Data Missing ⚠",VLOOKUP(J56,'G-3 Multipliers'!$L$3:$N$6,3,FALSE)))</f>
        <v/>
      </c>
      <c r="M56" s="275" t="str">
        <f>IF(OR(D56="",H56=""),"",(INDEX('G-6 Hedgerow Data'!$E$3:$I$15,MATCH(D56,'G-6 Hedgerow Data'!$B$3:$B$15,0),MATCH(H56,'G-6 Hedgerow Data'!$E$2:$I$2,0))))</f>
        <v/>
      </c>
      <c r="N56" s="133"/>
      <c r="O56" s="133"/>
      <c r="P56" s="283" t="str">
        <f t="shared" si="1"/>
        <v/>
      </c>
      <c r="Q56" s="296" t="str">
        <f t="shared" si="2"/>
        <v/>
      </c>
      <c r="R56" s="297" t="str">
        <f t="shared" si="0"/>
        <v/>
      </c>
      <c r="S56" s="311" t="str">
        <f>IF(D56="","",VLOOKUP(D56,'G-6 Hedgerow Data'!$B$3:$AG$15,31,FALSE))</f>
        <v/>
      </c>
      <c r="T56" s="283" t="str">
        <f t="shared" si="3"/>
        <v/>
      </c>
      <c r="U56" s="283" t="str">
        <f t="shared" si="4"/>
        <v/>
      </c>
      <c r="V56" s="299" t="str">
        <f>IF(D56="","",VLOOKUP(S56,'G-3 Multipliers'!$P$3:$Q$6,2,FALSE))</f>
        <v/>
      </c>
      <c r="W56" s="303" t="str">
        <f t="shared" si="5"/>
        <v/>
      </c>
      <c r="X56" s="101"/>
      <c r="Y56" s="115"/>
      <c r="Z56" s="104"/>
      <c r="AG56" s="30" t="str">
        <f>IFERROR(INDEX('G-6 Hedgerow Data'!$BJ$3:$BJ$15,MATCH(D56,'G-6 Hedgerow Data'!$B$3:$B$15,0)),"")</f>
        <v/>
      </c>
    </row>
    <row r="57" spans="2:33" ht="14" hidden="1">
      <c r="B57" s="97">
        <v>46</v>
      </c>
      <c r="C57" s="140"/>
      <c r="D57" s="133"/>
      <c r="E57" s="115"/>
      <c r="F57" s="323" t="str">
        <f>IF(D57="","",VLOOKUP(D57,'G-6 Hedgerow Data'!$B$2:$AG$15,2,FALSE))</f>
        <v/>
      </c>
      <c r="G57" s="276" t="str">
        <f>IF(D57="","",VLOOKUP(D57,'G-6 Hedgerow Data'!$B$2:$AG$15,3,FALSE))</f>
        <v/>
      </c>
      <c r="H57" s="101"/>
      <c r="I57" s="276" t="str">
        <f>IFERROR(IF(H57="","",IF(AND(D57="Non-native and ornamental hedgerow",H57&lt;&gt;"Poor"),"Not possible ▲",(VLOOKUP(H57,'G-1 All Habitats'!$Z$2:$AA$9,2,FALSE)))),"")</f>
        <v/>
      </c>
      <c r="J57" s="101"/>
      <c r="K57" s="295" t="str">
        <f>IF(J57="","",IF(VLOOKUP(J57,'G-3 Multipliers'!$L$3:$N$6,2,FALSE)=0,"Spatial Data Missing ⚠",VLOOKUP(J57,'G-3 Multipliers'!$L$3:$N$6,2,FALSE)))</f>
        <v/>
      </c>
      <c r="L57" s="281" t="str">
        <f>IF(J57="","",IF(VLOOKUP(J57,'G-3 Multipliers'!$L$3:$N$6,3,FALSE)=0,"Spatial Data Missing ⚠",VLOOKUP(J57,'G-3 Multipliers'!$L$3:$N$6,3,FALSE)))</f>
        <v/>
      </c>
      <c r="M57" s="275" t="str">
        <f>IF(OR(D57="",H57=""),"",(INDEX('G-6 Hedgerow Data'!$E$3:$I$15,MATCH(D57,'G-6 Hedgerow Data'!$B$3:$B$15,0),MATCH(H57,'G-6 Hedgerow Data'!$E$2:$I$2,0))))</f>
        <v/>
      </c>
      <c r="N57" s="133"/>
      <c r="O57" s="133"/>
      <c r="P57" s="283" t="str">
        <f t="shared" si="1"/>
        <v/>
      </c>
      <c r="Q57" s="296" t="str">
        <f t="shared" si="2"/>
        <v/>
      </c>
      <c r="R57" s="297" t="str">
        <f t="shared" si="0"/>
        <v/>
      </c>
      <c r="S57" s="311" t="str">
        <f>IF(D57="","",VLOOKUP(D57,'G-6 Hedgerow Data'!$B$3:$AG$15,31,FALSE))</f>
        <v/>
      </c>
      <c r="T57" s="283" t="str">
        <f t="shared" si="3"/>
        <v/>
      </c>
      <c r="U57" s="283" t="str">
        <f t="shared" si="4"/>
        <v/>
      </c>
      <c r="V57" s="299" t="str">
        <f>IF(D57="","",VLOOKUP(S57,'G-3 Multipliers'!$P$3:$Q$6,2,FALSE))</f>
        <v/>
      </c>
      <c r="W57" s="303" t="str">
        <f t="shared" si="5"/>
        <v/>
      </c>
      <c r="X57" s="101"/>
      <c r="Y57" s="115"/>
      <c r="Z57" s="104"/>
      <c r="AG57" s="30" t="str">
        <f>IFERROR(INDEX('G-6 Hedgerow Data'!$BJ$3:$BJ$15,MATCH(D57,'G-6 Hedgerow Data'!$B$3:$B$15,0)),"")</f>
        <v/>
      </c>
    </row>
    <row r="58" spans="2:33" ht="14" hidden="1">
      <c r="B58" s="97">
        <v>47</v>
      </c>
      <c r="C58" s="140"/>
      <c r="D58" s="133"/>
      <c r="E58" s="115"/>
      <c r="F58" s="323" t="str">
        <f>IF(D58="","",VLOOKUP(D58,'G-6 Hedgerow Data'!$B$2:$AG$15,2,FALSE))</f>
        <v/>
      </c>
      <c r="G58" s="276" t="str">
        <f>IF(D58="","",VLOOKUP(D58,'G-6 Hedgerow Data'!$B$2:$AG$15,3,FALSE))</f>
        <v/>
      </c>
      <c r="H58" s="101"/>
      <c r="I58" s="276" t="str">
        <f>IFERROR(IF(H58="","",IF(AND(D58="Non-native and ornamental hedgerow",H58&lt;&gt;"Poor"),"Not possible ▲",(VLOOKUP(H58,'G-1 All Habitats'!$Z$2:$AA$9,2,FALSE)))),"")</f>
        <v/>
      </c>
      <c r="J58" s="101"/>
      <c r="K58" s="295" t="str">
        <f>IF(J58="","",IF(VLOOKUP(J58,'G-3 Multipliers'!$L$3:$N$6,2,FALSE)=0,"Spatial Data Missing ⚠",VLOOKUP(J58,'G-3 Multipliers'!$L$3:$N$6,2,FALSE)))</f>
        <v/>
      </c>
      <c r="L58" s="281" t="str">
        <f>IF(J58="","",IF(VLOOKUP(J58,'G-3 Multipliers'!$L$3:$N$6,3,FALSE)=0,"Spatial Data Missing ⚠",VLOOKUP(J58,'G-3 Multipliers'!$L$3:$N$6,3,FALSE)))</f>
        <v/>
      </c>
      <c r="M58" s="275" t="str">
        <f>IF(OR(D58="",H58=""),"",(INDEX('G-6 Hedgerow Data'!$E$3:$I$15,MATCH(D58,'G-6 Hedgerow Data'!$B$3:$B$15,0),MATCH(H58,'G-6 Hedgerow Data'!$E$2:$I$2,0))))</f>
        <v/>
      </c>
      <c r="N58" s="133"/>
      <c r="O58" s="133"/>
      <c r="P58" s="283" t="str">
        <f t="shared" si="1"/>
        <v/>
      </c>
      <c r="Q58" s="296" t="str">
        <f t="shared" si="2"/>
        <v/>
      </c>
      <c r="R58" s="297" t="str">
        <f t="shared" si="0"/>
        <v/>
      </c>
      <c r="S58" s="311" t="str">
        <f>IF(D58="","",VLOOKUP(D58,'G-6 Hedgerow Data'!$B$3:$AG$15,31,FALSE))</f>
        <v/>
      </c>
      <c r="T58" s="283" t="str">
        <f t="shared" si="3"/>
        <v/>
      </c>
      <c r="U58" s="283" t="str">
        <f t="shared" si="4"/>
        <v/>
      </c>
      <c r="V58" s="299" t="str">
        <f>IF(D58="","",VLOOKUP(S58,'G-3 Multipliers'!$P$3:$Q$6,2,FALSE))</f>
        <v/>
      </c>
      <c r="W58" s="303" t="str">
        <f t="shared" si="5"/>
        <v/>
      </c>
      <c r="X58" s="101"/>
      <c r="Y58" s="115"/>
      <c r="Z58" s="104"/>
      <c r="AG58" s="30" t="str">
        <f>IFERROR(INDEX('G-6 Hedgerow Data'!$BJ$3:$BJ$15,MATCH(D58,'G-6 Hedgerow Data'!$B$3:$B$15,0)),"")</f>
        <v/>
      </c>
    </row>
    <row r="59" spans="2:33" ht="14" hidden="1">
      <c r="B59" s="97">
        <v>48</v>
      </c>
      <c r="C59" s="140"/>
      <c r="D59" s="133"/>
      <c r="E59" s="115"/>
      <c r="F59" s="323" t="str">
        <f>IF(D59="","",VLOOKUP(D59,'G-6 Hedgerow Data'!$B$2:$AG$15,2,FALSE))</f>
        <v/>
      </c>
      <c r="G59" s="276" t="str">
        <f>IF(D59="","",VLOOKUP(D59,'G-6 Hedgerow Data'!$B$2:$AG$15,3,FALSE))</f>
        <v/>
      </c>
      <c r="H59" s="101"/>
      <c r="I59" s="276" t="str">
        <f>IFERROR(IF(H59="","",IF(AND(D59="Non-native and ornamental hedgerow",H59&lt;&gt;"Poor"),"Not possible ▲",(VLOOKUP(H59,'G-1 All Habitats'!$Z$2:$AA$9,2,FALSE)))),"")</f>
        <v/>
      </c>
      <c r="J59" s="101"/>
      <c r="K59" s="295" t="str">
        <f>IF(J59="","",IF(VLOOKUP(J59,'G-3 Multipliers'!$L$3:$N$6,2,FALSE)=0,"Spatial Data Missing ⚠",VLOOKUP(J59,'G-3 Multipliers'!$L$3:$N$6,2,FALSE)))</f>
        <v/>
      </c>
      <c r="L59" s="281" t="str">
        <f>IF(J59="","",IF(VLOOKUP(J59,'G-3 Multipliers'!$L$3:$N$6,3,FALSE)=0,"Spatial Data Missing ⚠",VLOOKUP(J59,'G-3 Multipliers'!$L$3:$N$6,3,FALSE)))</f>
        <v/>
      </c>
      <c r="M59" s="275" t="str">
        <f>IF(OR(D59="",H59=""),"",(INDEX('G-6 Hedgerow Data'!$E$3:$I$15,MATCH(D59,'G-6 Hedgerow Data'!$B$3:$B$15,0),MATCH(H59,'G-6 Hedgerow Data'!$E$2:$I$2,0))))</f>
        <v/>
      </c>
      <c r="N59" s="133"/>
      <c r="O59" s="133"/>
      <c r="P59" s="283" t="str">
        <f t="shared" si="1"/>
        <v/>
      </c>
      <c r="Q59" s="296" t="str">
        <f t="shared" si="2"/>
        <v/>
      </c>
      <c r="R59" s="297" t="str">
        <f t="shared" si="0"/>
        <v/>
      </c>
      <c r="S59" s="311" t="str">
        <f>IF(D59="","",VLOOKUP(D59,'G-6 Hedgerow Data'!$B$3:$AG$15,31,FALSE))</f>
        <v/>
      </c>
      <c r="T59" s="283" t="str">
        <f t="shared" si="3"/>
        <v/>
      </c>
      <c r="U59" s="283" t="str">
        <f t="shared" si="4"/>
        <v/>
      </c>
      <c r="V59" s="299" t="str">
        <f>IF(D59="","",VLOOKUP(S59,'G-3 Multipliers'!$P$3:$Q$6,2,FALSE))</f>
        <v/>
      </c>
      <c r="W59" s="303" t="str">
        <f t="shared" si="5"/>
        <v/>
      </c>
      <c r="X59" s="101"/>
      <c r="Y59" s="115"/>
      <c r="Z59" s="104"/>
      <c r="AG59" s="30" t="str">
        <f>IFERROR(INDEX('G-6 Hedgerow Data'!$BJ$3:$BJ$15,MATCH(D59,'G-6 Hedgerow Data'!$B$3:$B$15,0)),"")</f>
        <v/>
      </c>
    </row>
    <row r="60" spans="2:33" ht="14" hidden="1">
      <c r="B60" s="97">
        <v>49</v>
      </c>
      <c r="C60" s="140"/>
      <c r="D60" s="133"/>
      <c r="E60" s="115"/>
      <c r="F60" s="323" t="str">
        <f>IF(D60="","",VLOOKUP(D60,'G-6 Hedgerow Data'!$B$2:$AG$15,2,FALSE))</f>
        <v/>
      </c>
      <c r="G60" s="276" t="str">
        <f>IF(D60="","",VLOOKUP(D60,'G-6 Hedgerow Data'!$B$2:$AG$15,3,FALSE))</f>
        <v/>
      </c>
      <c r="H60" s="101"/>
      <c r="I60" s="276" t="str">
        <f>IFERROR(IF(H60="","",IF(AND(D60="Non-native and ornamental hedgerow",H60&lt;&gt;"Poor"),"Not possible ▲",(VLOOKUP(H60,'G-1 All Habitats'!$Z$2:$AA$9,2,FALSE)))),"")</f>
        <v/>
      </c>
      <c r="J60" s="101"/>
      <c r="K60" s="295" t="str">
        <f>IF(J60="","",IF(VLOOKUP(J60,'G-3 Multipliers'!$L$3:$N$6,2,FALSE)=0,"Spatial Data Missing ⚠",VLOOKUP(J60,'G-3 Multipliers'!$L$3:$N$6,2,FALSE)))</f>
        <v/>
      </c>
      <c r="L60" s="281" t="str">
        <f>IF(J60="","",IF(VLOOKUP(J60,'G-3 Multipliers'!$L$3:$N$6,3,FALSE)=0,"Spatial Data Missing ⚠",VLOOKUP(J60,'G-3 Multipliers'!$L$3:$N$6,3,FALSE)))</f>
        <v/>
      </c>
      <c r="M60" s="275" t="str">
        <f>IF(OR(D60="",H60=""),"",(INDEX('G-6 Hedgerow Data'!$E$3:$I$15,MATCH(D60,'G-6 Hedgerow Data'!$B$3:$B$15,0),MATCH(H60,'G-6 Hedgerow Data'!$E$2:$I$2,0))))</f>
        <v/>
      </c>
      <c r="N60" s="133"/>
      <c r="O60" s="133"/>
      <c r="P60" s="283" t="str">
        <f t="shared" si="1"/>
        <v/>
      </c>
      <c r="Q60" s="296" t="str">
        <f t="shared" si="2"/>
        <v/>
      </c>
      <c r="R60" s="297" t="str">
        <f t="shared" si="0"/>
        <v/>
      </c>
      <c r="S60" s="311" t="str">
        <f>IF(D60="","",VLOOKUP(D60,'G-6 Hedgerow Data'!$B$3:$AG$15,31,FALSE))</f>
        <v/>
      </c>
      <c r="T60" s="283" t="str">
        <f t="shared" si="3"/>
        <v/>
      </c>
      <c r="U60" s="283" t="str">
        <f t="shared" si="4"/>
        <v/>
      </c>
      <c r="V60" s="299" t="str">
        <f>IF(D60="","",VLOOKUP(S60,'G-3 Multipliers'!$P$3:$Q$6,2,FALSE))</f>
        <v/>
      </c>
      <c r="W60" s="303" t="str">
        <f t="shared" si="5"/>
        <v/>
      </c>
      <c r="X60" s="101"/>
      <c r="Y60" s="115"/>
      <c r="Z60" s="104"/>
      <c r="AG60" s="30" t="str">
        <f>IFERROR(INDEX('G-6 Hedgerow Data'!$BJ$3:$BJ$15,MATCH(D60,'G-6 Hedgerow Data'!$B$3:$B$15,0)),"")</f>
        <v/>
      </c>
    </row>
    <row r="61" spans="2:33" ht="14" hidden="1">
      <c r="B61" s="97">
        <v>50</v>
      </c>
      <c r="C61" s="140"/>
      <c r="D61" s="133"/>
      <c r="E61" s="115"/>
      <c r="F61" s="323" t="str">
        <f>IF(D61="","",VLOOKUP(D61,'G-6 Hedgerow Data'!$B$2:$AG$15,2,FALSE))</f>
        <v/>
      </c>
      <c r="G61" s="276" t="str">
        <f>IF(D61="","",VLOOKUP(D61,'G-6 Hedgerow Data'!$B$2:$AG$15,3,FALSE))</f>
        <v/>
      </c>
      <c r="H61" s="101"/>
      <c r="I61" s="276" t="str">
        <f>IFERROR(IF(H61="","",IF(AND(D61="Non-native and ornamental hedgerow",H61&lt;&gt;"Poor"),"Not possible ▲",(VLOOKUP(H61,'G-1 All Habitats'!$Z$2:$AA$9,2,FALSE)))),"")</f>
        <v/>
      </c>
      <c r="J61" s="101"/>
      <c r="K61" s="295" t="str">
        <f>IF(J61="","",IF(VLOOKUP(J61,'G-3 Multipliers'!$L$3:$N$6,2,FALSE)=0,"Spatial Data Missing ⚠",VLOOKUP(J61,'G-3 Multipliers'!$L$3:$N$6,2,FALSE)))</f>
        <v/>
      </c>
      <c r="L61" s="281" t="str">
        <f>IF(J61="","",IF(VLOOKUP(J61,'G-3 Multipliers'!$L$3:$N$6,3,FALSE)=0,"Spatial Data Missing ⚠",VLOOKUP(J61,'G-3 Multipliers'!$L$3:$N$6,3,FALSE)))</f>
        <v/>
      </c>
      <c r="M61" s="275" t="str">
        <f>IF(OR(D61="",H61=""),"",(INDEX('G-6 Hedgerow Data'!$E$3:$I$15,MATCH(D61,'G-6 Hedgerow Data'!$B$3:$B$15,0),MATCH(H61,'G-6 Hedgerow Data'!$E$2:$I$2,0))))</f>
        <v/>
      </c>
      <c r="N61" s="133"/>
      <c r="O61" s="133"/>
      <c r="P61" s="283" t="str">
        <f t="shared" si="1"/>
        <v/>
      </c>
      <c r="Q61" s="296" t="str">
        <f t="shared" si="2"/>
        <v/>
      </c>
      <c r="R61" s="297" t="str">
        <f t="shared" si="0"/>
        <v/>
      </c>
      <c r="S61" s="311" t="str">
        <f>IF(D61="","",VLOOKUP(D61,'G-6 Hedgerow Data'!$B$3:$AG$15,31,FALSE))</f>
        <v/>
      </c>
      <c r="T61" s="283" t="str">
        <f t="shared" si="3"/>
        <v/>
      </c>
      <c r="U61" s="283" t="str">
        <f t="shared" si="4"/>
        <v/>
      </c>
      <c r="V61" s="299" t="str">
        <f>IF(D61="","",VLOOKUP(S61,'G-3 Multipliers'!$P$3:$Q$6,2,FALSE))</f>
        <v/>
      </c>
      <c r="W61" s="303" t="str">
        <f t="shared" si="5"/>
        <v/>
      </c>
      <c r="X61" s="101"/>
      <c r="Y61" s="115"/>
      <c r="Z61" s="104"/>
      <c r="AG61" s="30" t="str">
        <f>IFERROR(INDEX('G-6 Hedgerow Data'!$BJ$3:$BJ$15,MATCH(D61,'G-6 Hedgerow Data'!$B$3:$B$15,0)),"")</f>
        <v/>
      </c>
    </row>
    <row r="62" spans="2:33" ht="14" hidden="1">
      <c r="B62" s="97">
        <v>51</v>
      </c>
      <c r="C62" s="140"/>
      <c r="D62" s="133"/>
      <c r="E62" s="115"/>
      <c r="F62" s="323" t="str">
        <f>IF(D62="","",VLOOKUP(D62,'G-6 Hedgerow Data'!$B$2:$AG$15,2,FALSE))</f>
        <v/>
      </c>
      <c r="G62" s="276" t="str">
        <f>IF(D62="","",VLOOKUP(D62,'G-6 Hedgerow Data'!$B$2:$AG$15,3,FALSE))</f>
        <v/>
      </c>
      <c r="H62" s="101"/>
      <c r="I62" s="276" t="str">
        <f>IFERROR(IF(H62="","",IF(AND(D62="Non-native and ornamental hedgerow",H62&lt;&gt;"Poor"),"Not possible ▲",(VLOOKUP(H62,'G-1 All Habitats'!$Z$2:$AA$9,2,FALSE)))),"")</f>
        <v/>
      </c>
      <c r="J62" s="101"/>
      <c r="K62" s="295" t="str">
        <f>IF(J62="","",IF(VLOOKUP(J62,'G-3 Multipliers'!$L$3:$N$6,2,FALSE)=0,"Spatial Data Missing ⚠",VLOOKUP(J62,'G-3 Multipliers'!$L$3:$N$6,2,FALSE)))</f>
        <v/>
      </c>
      <c r="L62" s="281" t="str">
        <f>IF(J62="","",IF(VLOOKUP(J62,'G-3 Multipliers'!$L$3:$N$6,3,FALSE)=0,"Spatial Data Missing ⚠",VLOOKUP(J62,'G-3 Multipliers'!$L$3:$N$6,3,FALSE)))</f>
        <v/>
      </c>
      <c r="M62" s="275" t="str">
        <f>IF(OR(D62="",H62=""),"",(INDEX('G-6 Hedgerow Data'!$E$3:$I$15,MATCH(D62,'G-6 Hedgerow Data'!$B$3:$B$15,0),MATCH(H62,'G-6 Hedgerow Data'!$E$2:$I$2,0))))</f>
        <v/>
      </c>
      <c r="N62" s="133"/>
      <c r="O62" s="133"/>
      <c r="P62" s="283" t="str">
        <f t="shared" si="1"/>
        <v/>
      </c>
      <c r="Q62" s="296" t="str">
        <f t="shared" si="2"/>
        <v/>
      </c>
      <c r="R62" s="297" t="str">
        <f t="shared" si="0"/>
        <v/>
      </c>
      <c r="S62" s="311" t="str">
        <f>IF(D62="","",VLOOKUP(D62,'G-6 Hedgerow Data'!$B$3:$AG$15,31,FALSE))</f>
        <v/>
      </c>
      <c r="T62" s="283" t="str">
        <f t="shared" si="3"/>
        <v/>
      </c>
      <c r="U62" s="283" t="str">
        <f t="shared" si="4"/>
        <v/>
      </c>
      <c r="V62" s="299" t="str">
        <f>IF(D62="","",VLOOKUP(S62,'G-3 Multipliers'!$P$3:$Q$6,2,FALSE))</f>
        <v/>
      </c>
      <c r="W62" s="303" t="str">
        <f t="shared" si="5"/>
        <v/>
      </c>
      <c r="X62" s="101"/>
      <c r="Y62" s="115"/>
      <c r="Z62" s="104"/>
      <c r="AG62" s="30" t="str">
        <f>IFERROR(INDEX('G-6 Hedgerow Data'!$BJ$3:$BJ$15,MATCH(D62,'G-6 Hedgerow Data'!$B$3:$B$15,0)),"")</f>
        <v/>
      </c>
    </row>
    <row r="63" spans="2:33" ht="14" hidden="1">
      <c r="B63" s="97">
        <v>52</v>
      </c>
      <c r="C63" s="140"/>
      <c r="D63" s="133"/>
      <c r="E63" s="115"/>
      <c r="F63" s="323" t="str">
        <f>IF(D63="","",VLOOKUP(D63,'G-6 Hedgerow Data'!$B$2:$AG$15,2,FALSE))</f>
        <v/>
      </c>
      <c r="G63" s="276" t="str">
        <f>IF(D63="","",VLOOKUP(D63,'G-6 Hedgerow Data'!$B$2:$AG$15,3,FALSE))</f>
        <v/>
      </c>
      <c r="H63" s="101"/>
      <c r="I63" s="276" t="str">
        <f>IFERROR(IF(H63="","",IF(AND(D63="Non-native and ornamental hedgerow",H63&lt;&gt;"Poor"),"Not possible ▲",(VLOOKUP(H63,'G-1 All Habitats'!$Z$2:$AA$9,2,FALSE)))),"")</f>
        <v/>
      </c>
      <c r="J63" s="101"/>
      <c r="K63" s="295" t="str">
        <f>IF(J63="","",IF(VLOOKUP(J63,'G-3 Multipliers'!$L$3:$N$6,2,FALSE)=0,"Spatial Data Missing ⚠",VLOOKUP(J63,'G-3 Multipliers'!$L$3:$N$6,2,FALSE)))</f>
        <v/>
      </c>
      <c r="L63" s="281" t="str">
        <f>IF(J63="","",IF(VLOOKUP(J63,'G-3 Multipliers'!$L$3:$N$6,3,FALSE)=0,"Spatial Data Missing ⚠",VLOOKUP(J63,'G-3 Multipliers'!$L$3:$N$6,3,FALSE)))</f>
        <v/>
      </c>
      <c r="M63" s="275" t="str">
        <f>IF(OR(D63="",H63=""),"",(INDEX('G-6 Hedgerow Data'!$E$3:$I$15,MATCH(D63,'G-6 Hedgerow Data'!$B$3:$B$15,0),MATCH(H63,'G-6 Hedgerow Data'!$E$2:$I$2,0))))</f>
        <v/>
      </c>
      <c r="N63" s="133"/>
      <c r="O63" s="133"/>
      <c r="P63" s="283" t="str">
        <f t="shared" si="1"/>
        <v/>
      </c>
      <c r="Q63" s="296" t="str">
        <f t="shared" si="2"/>
        <v/>
      </c>
      <c r="R63" s="297" t="str">
        <f t="shared" si="0"/>
        <v/>
      </c>
      <c r="S63" s="311" t="str">
        <f>IF(D63="","",VLOOKUP(D63,'G-6 Hedgerow Data'!$B$3:$AG$15,31,FALSE))</f>
        <v/>
      </c>
      <c r="T63" s="283" t="str">
        <f t="shared" si="3"/>
        <v/>
      </c>
      <c r="U63" s="283" t="str">
        <f t="shared" si="4"/>
        <v/>
      </c>
      <c r="V63" s="299" t="str">
        <f>IF(D63="","",VLOOKUP(S63,'G-3 Multipliers'!$P$3:$Q$6,2,FALSE))</f>
        <v/>
      </c>
      <c r="W63" s="303" t="str">
        <f t="shared" si="5"/>
        <v/>
      </c>
      <c r="X63" s="101"/>
      <c r="Y63" s="115"/>
      <c r="Z63" s="104"/>
      <c r="AG63" s="30" t="str">
        <f>IFERROR(INDEX('G-6 Hedgerow Data'!$BJ$3:$BJ$15,MATCH(D63,'G-6 Hedgerow Data'!$B$3:$B$15,0)),"")</f>
        <v/>
      </c>
    </row>
    <row r="64" spans="2:33" ht="14" hidden="1">
      <c r="B64" s="97">
        <v>53</v>
      </c>
      <c r="C64" s="140"/>
      <c r="D64" s="133"/>
      <c r="E64" s="115"/>
      <c r="F64" s="323" t="str">
        <f>IF(D64="","",VLOOKUP(D64,'G-6 Hedgerow Data'!$B$2:$AG$15,2,FALSE))</f>
        <v/>
      </c>
      <c r="G64" s="276" t="str">
        <f>IF(D64="","",VLOOKUP(D64,'G-6 Hedgerow Data'!$B$2:$AG$15,3,FALSE))</f>
        <v/>
      </c>
      <c r="H64" s="101"/>
      <c r="I64" s="276" t="str">
        <f>IFERROR(IF(H64="","",IF(AND(D64="Non-native and ornamental hedgerow",H64&lt;&gt;"Poor"),"Not possible ▲",(VLOOKUP(H64,'G-1 All Habitats'!$Z$2:$AA$9,2,FALSE)))),"")</f>
        <v/>
      </c>
      <c r="J64" s="101"/>
      <c r="K64" s="295" t="str">
        <f>IF(J64="","",IF(VLOOKUP(J64,'G-3 Multipliers'!$L$3:$N$6,2,FALSE)=0,"Spatial Data Missing ⚠",VLOOKUP(J64,'G-3 Multipliers'!$L$3:$N$6,2,FALSE)))</f>
        <v/>
      </c>
      <c r="L64" s="281" t="str">
        <f>IF(J64="","",IF(VLOOKUP(J64,'G-3 Multipliers'!$L$3:$N$6,3,FALSE)=0,"Spatial Data Missing ⚠",VLOOKUP(J64,'G-3 Multipliers'!$L$3:$N$6,3,FALSE)))</f>
        <v/>
      </c>
      <c r="M64" s="275" t="str">
        <f>IF(OR(D64="",H64=""),"",(INDEX('G-6 Hedgerow Data'!$E$3:$I$15,MATCH(D64,'G-6 Hedgerow Data'!$B$3:$B$15,0),MATCH(H64,'G-6 Hedgerow Data'!$E$2:$I$2,0))))</f>
        <v/>
      </c>
      <c r="N64" s="133"/>
      <c r="O64" s="133"/>
      <c r="P64" s="283" t="str">
        <f t="shared" si="1"/>
        <v/>
      </c>
      <c r="Q64" s="296" t="str">
        <f t="shared" si="2"/>
        <v/>
      </c>
      <c r="R64" s="297" t="str">
        <f t="shared" si="0"/>
        <v/>
      </c>
      <c r="S64" s="311" t="str">
        <f>IF(D64="","",VLOOKUP(D64,'G-6 Hedgerow Data'!$B$3:$AG$15,31,FALSE))</f>
        <v/>
      </c>
      <c r="T64" s="283" t="str">
        <f t="shared" si="3"/>
        <v/>
      </c>
      <c r="U64" s="283" t="str">
        <f t="shared" si="4"/>
        <v/>
      </c>
      <c r="V64" s="299" t="str">
        <f>IF(D64="","",VLOOKUP(S64,'G-3 Multipliers'!$P$3:$Q$6,2,FALSE))</f>
        <v/>
      </c>
      <c r="W64" s="303" t="str">
        <f t="shared" si="5"/>
        <v/>
      </c>
      <c r="X64" s="101"/>
      <c r="Y64" s="115"/>
      <c r="Z64" s="104"/>
      <c r="AG64" s="30" t="str">
        <f>IFERROR(INDEX('G-6 Hedgerow Data'!$BJ$3:$BJ$15,MATCH(D64,'G-6 Hedgerow Data'!$B$3:$B$15,0)),"")</f>
        <v/>
      </c>
    </row>
    <row r="65" spans="2:33" ht="14" hidden="1">
      <c r="B65" s="97">
        <v>54</v>
      </c>
      <c r="C65" s="140"/>
      <c r="D65" s="133"/>
      <c r="E65" s="115"/>
      <c r="F65" s="323" t="str">
        <f>IF(D65="","",VLOOKUP(D65,'G-6 Hedgerow Data'!$B$2:$AG$15,2,FALSE))</f>
        <v/>
      </c>
      <c r="G65" s="276" t="str">
        <f>IF(D65="","",VLOOKUP(D65,'G-6 Hedgerow Data'!$B$2:$AG$15,3,FALSE))</f>
        <v/>
      </c>
      <c r="H65" s="101"/>
      <c r="I65" s="276" t="str">
        <f>IFERROR(IF(H65="","",IF(AND(D65="Non-native and ornamental hedgerow",H65&lt;&gt;"Poor"),"Not possible ▲",(VLOOKUP(H65,'G-1 All Habitats'!$Z$2:$AA$9,2,FALSE)))),"")</f>
        <v/>
      </c>
      <c r="J65" s="101"/>
      <c r="K65" s="295" t="str">
        <f>IF(J65="","",IF(VLOOKUP(J65,'G-3 Multipliers'!$L$3:$N$6,2,FALSE)=0,"Spatial Data Missing ⚠",VLOOKUP(J65,'G-3 Multipliers'!$L$3:$N$6,2,FALSE)))</f>
        <v/>
      </c>
      <c r="L65" s="281" t="str">
        <f>IF(J65="","",IF(VLOOKUP(J65,'G-3 Multipliers'!$L$3:$N$6,3,FALSE)=0,"Spatial Data Missing ⚠",VLOOKUP(J65,'G-3 Multipliers'!$L$3:$N$6,3,FALSE)))</f>
        <v/>
      </c>
      <c r="M65" s="275" t="str">
        <f>IF(OR(D65="",H65=""),"",(INDEX('G-6 Hedgerow Data'!$E$3:$I$15,MATCH(D65,'G-6 Hedgerow Data'!$B$3:$B$15,0),MATCH(H65,'G-6 Hedgerow Data'!$E$2:$I$2,0))))</f>
        <v/>
      </c>
      <c r="N65" s="133"/>
      <c r="O65" s="133"/>
      <c r="P65" s="283" t="str">
        <f t="shared" si="1"/>
        <v/>
      </c>
      <c r="Q65" s="296" t="str">
        <f t="shared" si="2"/>
        <v/>
      </c>
      <c r="R65" s="297" t="str">
        <f t="shared" si="0"/>
        <v/>
      </c>
      <c r="S65" s="311" t="str">
        <f>IF(D65="","",VLOOKUP(D65,'G-6 Hedgerow Data'!$B$3:$AG$15,31,FALSE))</f>
        <v/>
      </c>
      <c r="T65" s="283" t="str">
        <f t="shared" si="3"/>
        <v/>
      </c>
      <c r="U65" s="283" t="str">
        <f t="shared" si="4"/>
        <v/>
      </c>
      <c r="V65" s="299" t="str">
        <f>IF(D65="","",VLOOKUP(S65,'G-3 Multipliers'!$P$3:$Q$6,2,FALSE))</f>
        <v/>
      </c>
      <c r="W65" s="303" t="str">
        <f t="shared" si="5"/>
        <v/>
      </c>
      <c r="X65" s="101"/>
      <c r="Y65" s="115"/>
      <c r="Z65" s="104"/>
      <c r="AG65" s="30" t="str">
        <f>IFERROR(INDEX('G-6 Hedgerow Data'!$BJ$3:$BJ$15,MATCH(D65,'G-6 Hedgerow Data'!$B$3:$B$15,0)),"")</f>
        <v/>
      </c>
    </row>
    <row r="66" spans="2:33" ht="14" hidden="1">
      <c r="B66" s="97">
        <v>55</v>
      </c>
      <c r="C66" s="140"/>
      <c r="D66" s="133"/>
      <c r="E66" s="115"/>
      <c r="F66" s="323" t="str">
        <f>IF(D66="","",VLOOKUP(D66,'G-6 Hedgerow Data'!$B$2:$AG$15,2,FALSE))</f>
        <v/>
      </c>
      <c r="G66" s="276" t="str">
        <f>IF(D66="","",VLOOKUP(D66,'G-6 Hedgerow Data'!$B$2:$AG$15,3,FALSE))</f>
        <v/>
      </c>
      <c r="H66" s="101"/>
      <c r="I66" s="276" t="str">
        <f>IFERROR(IF(H66="","",IF(AND(D66="Non-native and ornamental hedgerow",H66&lt;&gt;"Poor"),"Not possible ▲",(VLOOKUP(H66,'G-1 All Habitats'!$Z$2:$AA$9,2,FALSE)))),"")</f>
        <v/>
      </c>
      <c r="J66" s="101"/>
      <c r="K66" s="295" t="str">
        <f>IF(J66="","",IF(VLOOKUP(J66,'G-3 Multipliers'!$L$3:$N$6,2,FALSE)=0,"Spatial Data Missing ⚠",VLOOKUP(J66,'G-3 Multipliers'!$L$3:$N$6,2,FALSE)))</f>
        <v/>
      </c>
      <c r="L66" s="281" t="str">
        <f>IF(J66="","",IF(VLOOKUP(J66,'G-3 Multipliers'!$L$3:$N$6,3,FALSE)=0,"Spatial Data Missing ⚠",VLOOKUP(J66,'G-3 Multipliers'!$L$3:$N$6,3,FALSE)))</f>
        <v/>
      </c>
      <c r="M66" s="275" t="str">
        <f>IF(OR(D66="",H66=""),"",(INDEX('G-6 Hedgerow Data'!$E$3:$I$15,MATCH(D66,'G-6 Hedgerow Data'!$B$3:$B$15,0),MATCH(H66,'G-6 Hedgerow Data'!$E$2:$I$2,0))))</f>
        <v/>
      </c>
      <c r="N66" s="133"/>
      <c r="O66" s="133"/>
      <c r="P66" s="283" t="str">
        <f t="shared" si="1"/>
        <v/>
      </c>
      <c r="Q66" s="296" t="str">
        <f t="shared" si="2"/>
        <v/>
      </c>
      <c r="R66" s="297" t="str">
        <f t="shared" si="0"/>
        <v/>
      </c>
      <c r="S66" s="311" t="str">
        <f>IF(D66="","",VLOOKUP(D66,'G-6 Hedgerow Data'!$B$3:$AG$15,31,FALSE))</f>
        <v/>
      </c>
      <c r="T66" s="283" t="str">
        <f t="shared" si="3"/>
        <v/>
      </c>
      <c r="U66" s="283" t="str">
        <f t="shared" si="4"/>
        <v/>
      </c>
      <c r="V66" s="299" t="str">
        <f>IF(D66="","",VLOOKUP(S66,'G-3 Multipliers'!$P$3:$Q$6,2,FALSE))</f>
        <v/>
      </c>
      <c r="W66" s="303" t="str">
        <f t="shared" si="5"/>
        <v/>
      </c>
      <c r="X66" s="101"/>
      <c r="Y66" s="115"/>
      <c r="Z66" s="104"/>
      <c r="AG66" s="30" t="str">
        <f>IFERROR(INDEX('G-6 Hedgerow Data'!$BJ$3:$BJ$15,MATCH(D66,'G-6 Hedgerow Data'!$B$3:$B$15,0)),"")</f>
        <v/>
      </c>
    </row>
    <row r="67" spans="2:33" ht="14" hidden="1">
      <c r="B67" s="97">
        <v>56</v>
      </c>
      <c r="C67" s="140"/>
      <c r="D67" s="133"/>
      <c r="E67" s="115"/>
      <c r="F67" s="323" t="str">
        <f>IF(D67="","",VLOOKUP(D67,'G-6 Hedgerow Data'!$B$2:$AG$15,2,FALSE))</f>
        <v/>
      </c>
      <c r="G67" s="276" t="str">
        <f>IF(D67="","",VLOOKUP(D67,'G-6 Hedgerow Data'!$B$2:$AG$15,3,FALSE))</f>
        <v/>
      </c>
      <c r="H67" s="101"/>
      <c r="I67" s="276" t="str">
        <f>IFERROR(IF(H67="","",IF(AND(D67="Non-native and ornamental hedgerow",H67&lt;&gt;"Poor"),"Not possible ▲",(VLOOKUP(H67,'G-1 All Habitats'!$Z$2:$AA$9,2,FALSE)))),"")</f>
        <v/>
      </c>
      <c r="J67" s="101"/>
      <c r="K67" s="295" t="str">
        <f>IF(J67="","",IF(VLOOKUP(J67,'G-3 Multipliers'!$L$3:$N$6,2,FALSE)=0,"Spatial Data Missing ⚠",VLOOKUP(J67,'G-3 Multipliers'!$L$3:$N$6,2,FALSE)))</f>
        <v/>
      </c>
      <c r="L67" s="281" t="str">
        <f>IF(J67="","",IF(VLOOKUP(J67,'G-3 Multipliers'!$L$3:$N$6,3,FALSE)=0,"Spatial Data Missing ⚠",VLOOKUP(J67,'G-3 Multipliers'!$L$3:$N$6,3,FALSE)))</f>
        <v/>
      </c>
      <c r="M67" s="275" t="str">
        <f>IF(OR(D67="",H67=""),"",(INDEX('G-6 Hedgerow Data'!$E$3:$I$15,MATCH(D67,'G-6 Hedgerow Data'!$B$3:$B$15,0),MATCH(H67,'G-6 Hedgerow Data'!$E$2:$I$2,0))))</f>
        <v/>
      </c>
      <c r="N67" s="133"/>
      <c r="O67" s="133"/>
      <c r="P67" s="283" t="str">
        <f t="shared" si="1"/>
        <v/>
      </c>
      <c r="Q67" s="296" t="str">
        <f t="shared" si="2"/>
        <v/>
      </c>
      <c r="R67" s="297" t="str">
        <f t="shared" si="0"/>
        <v/>
      </c>
      <c r="S67" s="311" t="str">
        <f>IF(D67="","",VLOOKUP(D67,'G-6 Hedgerow Data'!$B$3:$AG$15,31,FALSE))</f>
        <v/>
      </c>
      <c r="T67" s="283" t="str">
        <f t="shared" si="3"/>
        <v/>
      </c>
      <c r="U67" s="283" t="str">
        <f t="shared" si="4"/>
        <v/>
      </c>
      <c r="V67" s="299" t="str">
        <f>IF(D67="","",VLOOKUP(S67,'G-3 Multipliers'!$P$3:$Q$6,2,FALSE))</f>
        <v/>
      </c>
      <c r="W67" s="303" t="str">
        <f t="shared" si="5"/>
        <v/>
      </c>
      <c r="X67" s="101"/>
      <c r="Y67" s="115"/>
      <c r="Z67" s="104"/>
      <c r="AG67" s="30" t="str">
        <f>IFERROR(INDEX('G-6 Hedgerow Data'!$BJ$3:$BJ$15,MATCH(D67,'G-6 Hedgerow Data'!$B$3:$B$15,0)),"")</f>
        <v/>
      </c>
    </row>
    <row r="68" spans="2:33" ht="14" hidden="1">
      <c r="B68" s="97">
        <v>57</v>
      </c>
      <c r="C68" s="140"/>
      <c r="D68" s="133"/>
      <c r="E68" s="115"/>
      <c r="F68" s="323" t="str">
        <f>IF(D68="","",VLOOKUP(D68,'G-6 Hedgerow Data'!$B$2:$AG$15,2,FALSE))</f>
        <v/>
      </c>
      <c r="G68" s="276" t="str">
        <f>IF(D68="","",VLOOKUP(D68,'G-6 Hedgerow Data'!$B$2:$AG$15,3,FALSE))</f>
        <v/>
      </c>
      <c r="H68" s="101"/>
      <c r="I68" s="276" t="str">
        <f>IFERROR(IF(H68="","",IF(AND(D68="Non-native and ornamental hedgerow",H68&lt;&gt;"Poor"),"Not possible ▲",(VLOOKUP(H68,'G-1 All Habitats'!$Z$2:$AA$9,2,FALSE)))),"")</f>
        <v/>
      </c>
      <c r="J68" s="101"/>
      <c r="K68" s="295" t="str">
        <f>IF(J68="","",IF(VLOOKUP(J68,'G-3 Multipliers'!$L$3:$N$6,2,FALSE)=0,"Spatial Data Missing ⚠",VLOOKUP(J68,'G-3 Multipliers'!$L$3:$N$6,2,FALSE)))</f>
        <v/>
      </c>
      <c r="L68" s="281" t="str">
        <f>IF(J68="","",IF(VLOOKUP(J68,'G-3 Multipliers'!$L$3:$N$6,3,FALSE)=0,"Spatial Data Missing ⚠",VLOOKUP(J68,'G-3 Multipliers'!$L$3:$N$6,3,FALSE)))</f>
        <v/>
      </c>
      <c r="M68" s="275" t="str">
        <f>IF(OR(D68="",H68=""),"",(INDEX('G-6 Hedgerow Data'!$E$3:$I$15,MATCH(D68,'G-6 Hedgerow Data'!$B$3:$B$15,0),MATCH(H68,'G-6 Hedgerow Data'!$E$2:$I$2,0))))</f>
        <v/>
      </c>
      <c r="N68" s="133"/>
      <c r="O68" s="133"/>
      <c r="P68" s="283" t="str">
        <f t="shared" si="1"/>
        <v/>
      </c>
      <c r="Q68" s="296" t="str">
        <f t="shared" si="2"/>
        <v/>
      </c>
      <c r="R68" s="297" t="str">
        <f t="shared" si="0"/>
        <v/>
      </c>
      <c r="S68" s="311" t="str">
        <f>IF(D68="","",VLOOKUP(D68,'G-6 Hedgerow Data'!$B$3:$AG$15,31,FALSE))</f>
        <v/>
      </c>
      <c r="T68" s="283" t="str">
        <f t="shared" si="3"/>
        <v/>
      </c>
      <c r="U68" s="283" t="str">
        <f t="shared" si="4"/>
        <v/>
      </c>
      <c r="V68" s="299" t="str">
        <f>IF(D68="","",VLOOKUP(S68,'G-3 Multipliers'!$P$3:$Q$6,2,FALSE))</f>
        <v/>
      </c>
      <c r="W68" s="303" t="str">
        <f t="shared" si="5"/>
        <v/>
      </c>
      <c r="X68" s="101"/>
      <c r="Y68" s="115"/>
      <c r="Z68" s="104"/>
      <c r="AG68" s="30" t="str">
        <f>IFERROR(INDEX('G-6 Hedgerow Data'!$BJ$3:$BJ$15,MATCH(D68,'G-6 Hedgerow Data'!$B$3:$B$15,0)),"")</f>
        <v/>
      </c>
    </row>
    <row r="69" spans="2:33" ht="14" hidden="1">
      <c r="B69" s="97">
        <v>58</v>
      </c>
      <c r="C69" s="140"/>
      <c r="D69" s="133"/>
      <c r="E69" s="115"/>
      <c r="F69" s="323" t="str">
        <f>IF(D69="","",VLOOKUP(D69,'G-6 Hedgerow Data'!$B$2:$AG$15,2,FALSE))</f>
        <v/>
      </c>
      <c r="G69" s="276" t="str">
        <f>IF(D69="","",VLOOKUP(D69,'G-6 Hedgerow Data'!$B$2:$AG$15,3,FALSE))</f>
        <v/>
      </c>
      <c r="H69" s="101"/>
      <c r="I69" s="276" t="str">
        <f>IFERROR(IF(H69="","",IF(AND(D69="Non-native and ornamental hedgerow",H69&lt;&gt;"Poor"),"Not possible ▲",(VLOOKUP(H69,'G-1 All Habitats'!$Z$2:$AA$9,2,FALSE)))),"")</f>
        <v/>
      </c>
      <c r="J69" s="101"/>
      <c r="K69" s="295" t="str">
        <f>IF(J69="","",IF(VLOOKUP(J69,'G-3 Multipliers'!$L$3:$N$6,2,FALSE)=0,"Spatial Data Missing ⚠",VLOOKUP(J69,'G-3 Multipliers'!$L$3:$N$6,2,FALSE)))</f>
        <v/>
      </c>
      <c r="L69" s="281" t="str">
        <f>IF(J69="","",IF(VLOOKUP(J69,'G-3 Multipliers'!$L$3:$N$6,3,FALSE)=0,"Spatial Data Missing ⚠",VLOOKUP(J69,'G-3 Multipliers'!$L$3:$N$6,3,FALSE)))</f>
        <v/>
      </c>
      <c r="M69" s="275" t="str">
        <f>IF(OR(D69="",H69=""),"",(INDEX('G-6 Hedgerow Data'!$E$3:$I$15,MATCH(D69,'G-6 Hedgerow Data'!$B$3:$B$15,0),MATCH(H69,'G-6 Hedgerow Data'!$E$2:$I$2,0))))</f>
        <v/>
      </c>
      <c r="N69" s="133"/>
      <c r="O69" s="133"/>
      <c r="P69" s="283" t="str">
        <f t="shared" si="1"/>
        <v/>
      </c>
      <c r="Q69" s="296" t="str">
        <f t="shared" si="2"/>
        <v/>
      </c>
      <c r="R69" s="297" t="str">
        <f t="shared" si="0"/>
        <v/>
      </c>
      <c r="S69" s="311" t="str">
        <f>IF(D69="","",VLOOKUP(D69,'G-6 Hedgerow Data'!$B$3:$AG$15,31,FALSE))</f>
        <v/>
      </c>
      <c r="T69" s="283" t="str">
        <f t="shared" si="3"/>
        <v/>
      </c>
      <c r="U69" s="283" t="str">
        <f t="shared" si="4"/>
        <v/>
      </c>
      <c r="V69" s="299" t="str">
        <f>IF(D69="","",VLOOKUP(S69,'G-3 Multipliers'!$P$3:$Q$6,2,FALSE))</f>
        <v/>
      </c>
      <c r="W69" s="303" t="str">
        <f t="shared" si="5"/>
        <v/>
      </c>
      <c r="X69" s="101"/>
      <c r="Y69" s="115"/>
      <c r="Z69" s="104"/>
      <c r="AG69" s="30" t="str">
        <f>IFERROR(INDEX('G-6 Hedgerow Data'!$BJ$3:$BJ$15,MATCH(D69,'G-6 Hedgerow Data'!$B$3:$B$15,0)),"")</f>
        <v/>
      </c>
    </row>
    <row r="70" spans="2:33" ht="14" hidden="1">
      <c r="B70" s="97">
        <v>59</v>
      </c>
      <c r="C70" s="140"/>
      <c r="D70" s="133"/>
      <c r="E70" s="115"/>
      <c r="F70" s="323" t="str">
        <f>IF(D70="","",VLOOKUP(D70,'G-6 Hedgerow Data'!$B$2:$AG$15,2,FALSE))</f>
        <v/>
      </c>
      <c r="G70" s="276" t="str">
        <f>IF(D70="","",VLOOKUP(D70,'G-6 Hedgerow Data'!$B$2:$AG$15,3,FALSE))</f>
        <v/>
      </c>
      <c r="H70" s="101"/>
      <c r="I70" s="276" t="str">
        <f>IFERROR(IF(H70="","",IF(AND(D70="Non-native and ornamental hedgerow",H70&lt;&gt;"Poor"),"Not possible ▲",(VLOOKUP(H70,'G-1 All Habitats'!$Z$2:$AA$9,2,FALSE)))),"")</f>
        <v/>
      </c>
      <c r="J70" s="101"/>
      <c r="K70" s="295" t="str">
        <f>IF(J70="","",IF(VLOOKUP(J70,'G-3 Multipliers'!$L$3:$N$6,2,FALSE)=0,"Spatial Data Missing ⚠",VLOOKUP(J70,'G-3 Multipliers'!$L$3:$N$6,2,FALSE)))</f>
        <v/>
      </c>
      <c r="L70" s="281" t="str">
        <f>IF(J70="","",IF(VLOOKUP(J70,'G-3 Multipliers'!$L$3:$N$6,3,FALSE)=0,"Spatial Data Missing ⚠",VLOOKUP(J70,'G-3 Multipliers'!$L$3:$N$6,3,FALSE)))</f>
        <v/>
      </c>
      <c r="M70" s="275" t="str">
        <f>IF(OR(D70="",H70=""),"",(INDEX('G-6 Hedgerow Data'!$E$3:$I$15,MATCH(D70,'G-6 Hedgerow Data'!$B$3:$B$15,0),MATCH(H70,'G-6 Hedgerow Data'!$E$2:$I$2,0))))</f>
        <v/>
      </c>
      <c r="N70" s="133"/>
      <c r="O70" s="133"/>
      <c r="P70" s="283" t="str">
        <f t="shared" si="1"/>
        <v/>
      </c>
      <c r="Q70" s="296" t="str">
        <f t="shared" si="2"/>
        <v/>
      </c>
      <c r="R70" s="297" t="str">
        <f t="shared" si="0"/>
        <v/>
      </c>
      <c r="S70" s="311" t="str">
        <f>IF(D70="","",VLOOKUP(D70,'G-6 Hedgerow Data'!$B$3:$AG$15,31,FALSE))</f>
        <v/>
      </c>
      <c r="T70" s="283" t="str">
        <f t="shared" si="3"/>
        <v/>
      </c>
      <c r="U70" s="283" t="str">
        <f t="shared" si="4"/>
        <v/>
      </c>
      <c r="V70" s="299" t="str">
        <f>IF(D70="","",VLOOKUP(S70,'G-3 Multipliers'!$P$3:$Q$6,2,FALSE))</f>
        <v/>
      </c>
      <c r="W70" s="303" t="str">
        <f t="shared" si="5"/>
        <v/>
      </c>
      <c r="X70" s="101"/>
      <c r="Y70" s="115"/>
      <c r="Z70" s="104"/>
      <c r="AG70" s="30" t="str">
        <f>IFERROR(INDEX('G-6 Hedgerow Data'!$BJ$3:$BJ$15,MATCH(D70,'G-6 Hedgerow Data'!$B$3:$B$15,0)),"")</f>
        <v/>
      </c>
    </row>
    <row r="71" spans="2:33" ht="14" hidden="1">
      <c r="B71" s="97">
        <v>60</v>
      </c>
      <c r="C71" s="140"/>
      <c r="D71" s="133"/>
      <c r="E71" s="115"/>
      <c r="F71" s="323" t="str">
        <f>IF(D71="","",VLOOKUP(D71,'G-6 Hedgerow Data'!$B$2:$AG$15,2,FALSE))</f>
        <v/>
      </c>
      <c r="G71" s="276" t="str">
        <f>IF(D71="","",VLOOKUP(D71,'G-6 Hedgerow Data'!$B$2:$AG$15,3,FALSE))</f>
        <v/>
      </c>
      <c r="H71" s="101"/>
      <c r="I71" s="276" t="str">
        <f>IFERROR(IF(H71="","",IF(AND(D71="Non-native and ornamental hedgerow",H71&lt;&gt;"Poor"),"Not possible ▲",(VLOOKUP(H71,'G-1 All Habitats'!$Z$2:$AA$9,2,FALSE)))),"")</f>
        <v/>
      </c>
      <c r="J71" s="101"/>
      <c r="K71" s="295" t="str">
        <f>IF(J71="","",IF(VLOOKUP(J71,'G-3 Multipliers'!$L$3:$N$6,2,FALSE)=0,"Spatial Data Missing ⚠",VLOOKUP(J71,'G-3 Multipliers'!$L$3:$N$6,2,FALSE)))</f>
        <v/>
      </c>
      <c r="L71" s="281" t="str">
        <f>IF(J71="","",IF(VLOOKUP(J71,'G-3 Multipliers'!$L$3:$N$6,3,FALSE)=0,"Spatial Data Missing ⚠",VLOOKUP(J71,'G-3 Multipliers'!$L$3:$N$6,3,FALSE)))</f>
        <v/>
      </c>
      <c r="M71" s="275" t="str">
        <f>IF(OR(D71="",H71=""),"",(INDEX('G-6 Hedgerow Data'!$E$3:$I$15,MATCH(D71,'G-6 Hedgerow Data'!$B$3:$B$15,0),MATCH(H71,'G-6 Hedgerow Data'!$E$2:$I$2,0))))</f>
        <v/>
      </c>
      <c r="N71" s="133"/>
      <c r="O71" s="133"/>
      <c r="P71" s="283" t="str">
        <f t="shared" si="1"/>
        <v/>
      </c>
      <c r="Q71" s="296" t="str">
        <f t="shared" si="2"/>
        <v/>
      </c>
      <c r="R71" s="297" t="str">
        <f t="shared" si="0"/>
        <v/>
      </c>
      <c r="S71" s="311" t="str">
        <f>IF(D71="","",VLOOKUP(D71,'G-6 Hedgerow Data'!$B$3:$AG$15,31,FALSE))</f>
        <v/>
      </c>
      <c r="T71" s="283" t="str">
        <f t="shared" si="3"/>
        <v/>
      </c>
      <c r="U71" s="283" t="str">
        <f t="shared" si="4"/>
        <v/>
      </c>
      <c r="V71" s="299" t="str">
        <f>IF(D71="","",VLOOKUP(S71,'G-3 Multipliers'!$P$3:$Q$6,2,FALSE))</f>
        <v/>
      </c>
      <c r="W71" s="303" t="str">
        <f t="shared" si="5"/>
        <v/>
      </c>
      <c r="X71" s="101"/>
      <c r="Y71" s="115"/>
      <c r="Z71" s="104"/>
      <c r="AG71" s="30" t="str">
        <f>IFERROR(INDEX('G-6 Hedgerow Data'!$BJ$3:$BJ$15,MATCH(D71,'G-6 Hedgerow Data'!$B$3:$B$15,0)),"")</f>
        <v/>
      </c>
    </row>
    <row r="72" spans="2:33" ht="14" hidden="1">
      <c r="B72" s="97">
        <v>61</v>
      </c>
      <c r="C72" s="140"/>
      <c r="D72" s="133"/>
      <c r="E72" s="115"/>
      <c r="F72" s="323" t="str">
        <f>IF(D72="","",VLOOKUP(D72,'G-6 Hedgerow Data'!$B$2:$AG$15,2,FALSE))</f>
        <v/>
      </c>
      <c r="G72" s="276" t="str">
        <f>IF(D72="","",VLOOKUP(D72,'G-6 Hedgerow Data'!$B$2:$AG$15,3,FALSE))</f>
        <v/>
      </c>
      <c r="H72" s="101"/>
      <c r="I72" s="276" t="str">
        <f>IFERROR(IF(H72="","",IF(AND(D72="Non-native and ornamental hedgerow",H72&lt;&gt;"Poor"),"Not possible ▲",(VLOOKUP(H72,'G-1 All Habitats'!$Z$2:$AA$9,2,FALSE)))),"")</f>
        <v/>
      </c>
      <c r="J72" s="101"/>
      <c r="K72" s="295" t="str">
        <f>IF(J72="","",IF(VLOOKUP(J72,'G-3 Multipliers'!$L$3:$N$6,2,FALSE)=0,"Spatial Data Missing ⚠",VLOOKUP(J72,'G-3 Multipliers'!$L$3:$N$6,2,FALSE)))</f>
        <v/>
      </c>
      <c r="L72" s="281" t="str">
        <f>IF(J72="","",IF(VLOOKUP(J72,'G-3 Multipliers'!$L$3:$N$6,3,FALSE)=0,"Spatial Data Missing ⚠",VLOOKUP(J72,'G-3 Multipliers'!$L$3:$N$6,3,FALSE)))</f>
        <v/>
      </c>
      <c r="M72" s="275" t="str">
        <f>IF(OR(D72="",H72=""),"",(INDEX('G-6 Hedgerow Data'!$E$3:$I$15,MATCH(D72,'G-6 Hedgerow Data'!$B$3:$B$15,0),MATCH(H72,'G-6 Hedgerow Data'!$E$2:$I$2,0))))</f>
        <v/>
      </c>
      <c r="N72" s="133"/>
      <c r="O72" s="133"/>
      <c r="P72" s="283" t="str">
        <f t="shared" si="1"/>
        <v/>
      </c>
      <c r="Q72" s="296" t="str">
        <f t="shared" si="2"/>
        <v/>
      </c>
      <c r="R72" s="297" t="str">
        <f t="shared" si="0"/>
        <v/>
      </c>
      <c r="S72" s="311" t="str">
        <f>IF(D72="","",VLOOKUP(D72,'G-6 Hedgerow Data'!$B$3:$AG$15,31,FALSE))</f>
        <v/>
      </c>
      <c r="T72" s="283" t="str">
        <f t="shared" si="3"/>
        <v/>
      </c>
      <c r="U72" s="283" t="str">
        <f t="shared" si="4"/>
        <v/>
      </c>
      <c r="V72" s="299" t="str">
        <f>IF(D72="","",VLOOKUP(S72,'G-3 Multipliers'!$P$3:$Q$6,2,FALSE))</f>
        <v/>
      </c>
      <c r="W72" s="303" t="str">
        <f t="shared" si="5"/>
        <v/>
      </c>
      <c r="X72" s="101"/>
      <c r="Y72" s="115"/>
      <c r="Z72" s="104"/>
      <c r="AG72" s="30" t="str">
        <f>IFERROR(INDEX('G-6 Hedgerow Data'!$BJ$3:$BJ$15,MATCH(D72,'G-6 Hedgerow Data'!$B$3:$B$15,0)),"")</f>
        <v/>
      </c>
    </row>
    <row r="73" spans="2:33" ht="14" hidden="1">
      <c r="B73" s="97">
        <v>62</v>
      </c>
      <c r="C73" s="140"/>
      <c r="D73" s="133"/>
      <c r="E73" s="115"/>
      <c r="F73" s="323" t="str">
        <f>IF(D73="","",VLOOKUP(D73,'G-6 Hedgerow Data'!$B$2:$AG$15,2,FALSE))</f>
        <v/>
      </c>
      <c r="G73" s="276" t="str">
        <f>IF(D73="","",VLOOKUP(D73,'G-6 Hedgerow Data'!$B$2:$AG$15,3,FALSE))</f>
        <v/>
      </c>
      <c r="H73" s="101"/>
      <c r="I73" s="276" t="str">
        <f>IFERROR(IF(H73="","",IF(AND(D73="Non-native and ornamental hedgerow",H73&lt;&gt;"Poor"),"Not possible ▲",(VLOOKUP(H73,'G-1 All Habitats'!$Z$2:$AA$9,2,FALSE)))),"")</f>
        <v/>
      </c>
      <c r="J73" s="101"/>
      <c r="K73" s="295" t="str">
        <f>IF(J73="","",IF(VLOOKUP(J73,'G-3 Multipliers'!$L$3:$N$6,2,FALSE)=0,"Spatial Data Missing ⚠",VLOOKUP(J73,'G-3 Multipliers'!$L$3:$N$6,2,FALSE)))</f>
        <v/>
      </c>
      <c r="L73" s="281" t="str">
        <f>IF(J73="","",IF(VLOOKUP(J73,'G-3 Multipliers'!$L$3:$N$6,3,FALSE)=0,"Spatial Data Missing ⚠",VLOOKUP(J73,'G-3 Multipliers'!$L$3:$N$6,3,FALSE)))</f>
        <v/>
      </c>
      <c r="M73" s="275" t="str">
        <f>IF(OR(D73="",H73=""),"",(INDEX('G-6 Hedgerow Data'!$E$3:$I$15,MATCH(D73,'G-6 Hedgerow Data'!$B$3:$B$15,0),MATCH(H73,'G-6 Hedgerow Data'!$E$2:$I$2,0))))</f>
        <v/>
      </c>
      <c r="N73" s="133"/>
      <c r="O73" s="133"/>
      <c r="P73" s="283" t="str">
        <f t="shared" si="1"/>
        <v/>
      </c>
      <c r="Q73" s="296" t="str">
        <f t="shared" si="2"/>
        <v/>
      </c>
      <c r="R73" s="297" t="str">
        <f t="shared" si="0"/>
        <v/>
      </c>
      <c r="S73" s="311" t="str">
        <f>IF(D73="","",VLOOKUP(D73,'G-6 Hedgerow Data'!$B$3:$AG$15,31,FALSE))</f>
        <v/>
      </c>
      <c r="T73" s="283" t="str">
        <f t="shared" si="3"/>
        <v/>
      </c>
      <c r="U73" s="283" t="str">
        <f t="shared" si="4"/>
        <v/>
      </c>
      <c r="V73" s="299" t="str">
        <f>IF(D73="","",VLOOKUP(S73,'G-3 Multipliers'!$P$3:$Q$6,2,FALSE))</f>
        <v/>
      </c>
      <c r="W73" s="303" t="str">
        <f t="shared" si="5"/>
        <v/>
      </c>
      <c r="X73" s="101"/>
      <c r="Y73" s="115"/>
      <c r="Z73" s="104"/>
      <c r="AG73" s="30" t="str">
        <f>IFERROR(INDEX('G-6 Hedgerow Data'!$BJ$3:$BJ$15,MATCH(D73,'G-6 Hedgerow Data'!$B$3:$B$15,0)),"")</f>
        <v/>
      </c>
    </row>
    <row r="74" spans="2:33" ht="14" hidden="1">
      <c r="B74" s="97">
        <v>63</v>
      </c>
      <c r="C74" s="140"/>
      <c r="D74" s="133"/>
      <c r="E74" s="115"/>
      <c r="F74" s="323" t="str">
        <f>IF(D74="","",VLOOKUP(D74,'G-6 Hedgerow Data'!$B$2:$AG$15,2,FALSE))</f>
        <v/>
      </c>
      <c r="G74" s="276" t="str">
        <f>IF(D74="","",VLOOKUP(D74,'G-6 Hedgerow Data'!$B$2:$AG$15,3,FALSE))</f>
        <v/>
      </c>
      <c r="H74" s="101"/>
      <c r="I74" s="276" t="str">
        <f>IFERROR(IF(H74="","",IF(AND(D74="Non-native and ornamental hedgerow",H74&lt;&gt;"Poor"),"Not possible ▲",(VLOOKUP(H74,'G-1 All Habitats'!$Z$2:$AA$9,2,FALSE)))),"")</f>
        <v/>
      </c>
      <c r="J74" s="101"/>
      <c r="K74" s="295" t="str">
        <f>IF(J74="","",IF(VLOOKUP(J74,'G-3 Multipliers'!$L$3:$N$6,2,FALSE)=0,"Spatial Data Missing ⚠",VLOOKUP(J74,'G-3 Multipliers'!$L$3:$N$6,2,FALSE)))</f>
        <v/>
      </c>
      <c r="L74" s="281" t="str">
        <f>IF(J74="","",IF(VLOOKUP(J74,'G-3 Multipliers'!$L$3:$N$6,3,FALSE)=0,"Spatial Data Missing ⚠",VLOOKUP(J74,'G-3 Multipliers'!$L$3:$N$6,3,FALSE)))</f>
        <v/>
      </c>
      <c r="M74" s="275" t="str">
        <f>IF(OR(D74="",H74=""),"",(INDEX('G-6 Hedgerow Data'!$E$3:$I$15,MATCH(D74,'G-6 Hedgerow Data'!$B$3:$B$15,0),MATCH(H74,'G-6 Hedgerow Data'!$E$2:$I$2,0))))</f>
        <v/>
      </c>
      <c r="N74" s="133"/>
      <c r="O74" s="133"/>
      <c r="P74" s="283" t="str">
        <f t="shared" si="1"/>
        <v/>
      </c>
      <c r="Q74" s="296" t="str">
        <f t="shared" si="2"/>
        <v/>
      </c>
      <c r="R74" s="297" t="str">
        <f t="shared" si="0"/>
        <v/>
      </c>
      <c r="S74" s="311" t="str">
        <f>IF(D74="","",VLOOKUP(D74,'G-6 Hedgerow Data'!$B$3:$AG$15,31,FALSE))</f>
        <v/>
      </c>
      <c r="T74" s="283" t="str">
        <f t="shared" si="3"/>
        <v/>
      </c>
      <c r="U74" s="283" t="str">
        <f t="shared" si="4"/>
        <v/>
      </c>
      <c r="V74" s="299" t="str">
        <f>IF(D74="","",VLOOKUP(S74,'G-3 Multipliers'!$P$3:$Q$6,2,FALSE))</f>
        <v/>
      </c>
      <c r="W74" s="303" t="str">
        <f t="shared" si="5"/>
        <v/>
      </c>
      <c r="X74" s="101"/>
      <c r="Y74" s="115"/>
      <c r="Z74" s="104"/>
      <c r="AG74" s="30" t="str">
        <f>IFERROR(INDEX('G-6 Hedgerow Data'!$BJ$3:$BJ$15,MATCH(D74,'G-6 Hedgerow Data'!$B$3:$B$15,0)),"")</f>
        <v/>
      </c>
    </row>
    <row r="75" spans="2:33" ht="14" hidden="1">
      <c r="B75" s="97">
        <v>64</v>
      </c>
      <c r="C75" s="140"/>
      <c r="D75" s="133"/>
      <c r="E75" s="115"/>
      <c r="F75" s="323" t="str">
        <f>IF(D75="","",VLOOKUP(D75,'G-6 Hedgerow Data'!$B$2:$AG$15,2,FALSE))</f>
        <v/>
      </c>
      <c r="G75" s="276" t="str">
        <f>IF(D75="","",VLOOKUP(D75,'G-6 Hedgerow Data'!$B$2:$AG$15,3,FALSE))</f>
        <v/>
      </c>
      <c r="H75" s="101"/>
      <c r="I75" s="276" t="str">
        <f>IFERROR(IF(H75="","",IF(AND(D75="Non-native and ornamental hedgerow",H75&lt;&gt;"Poor"),"Not possible ▲",(VLOOKUP(H75,'G-1 All Habitats'!$Z$2:$AA$9,2,FALSE)))),"")</f>
        <v/>
      </c>
      <c r="J75" s="101"/>
      <c r="K75" s="295" t="str">
        <f>IF(J75="","",IF(VLOOKUP(J75,'G-3 Multipliers'!$L$3:$N$6,2,FALSE)=0,"Spatial Data Missing ⚠",VLOOKUP(J75,'G-3 Multipliers'!$L$3:$N$6,2,FALSE)))</f>
        <v/>
      </c>
      <c r="L75" s="281" t="str">
        <f>IF(J75="","",IF(VLOOKUP(J75,'G-3 Multipliers'!$L$3:$N$6,3,FALSE)=0,"Spatial Data Missing ⚠",VLOOKUP(J75,'G-3 Multipliers'!$L$3:$N$6,3,FALSE)))</f>
        <v/>
      </c>
      <c r="M75" s="275" t="str">
        <f>IF(OR(D75="",H75=""),"",(INDEX('G-6 Hedgerow Data'!$E$3:$I$15,MATCH(D75,'G-6 Hedgerow Data'!$B$3:$B$15,0),MATCH(H75,'G-6 Hedgerow Data'!$E$2:$I$2,0))))</f>
        <v/>
      </c>
      <c r="N75" s="133"/>
      <c r="O75" s="133"/>
      <c r="P75" s="283" t="str">
        <f t="shared" si="1"/>
        <v/>
      </c>
      <c r="Q75" s="296" t="str">
        <f t="shared" si="2"/>
        <v/>
      </c>
      <c r="R75" s="297" t="str">
        <f t="shared" si="0"/>
        <v/>
      </c>
      <c r="S75" s="311" t="str">
        <f>IF(D75="","",VLOOKUP(D75,'G-6 Hedgerow Data'!$B$3:$AG$15,31,FALSE))</f>
        <v/>
      </c>
      <c r="T75" s="283" t="str">
        <f t="shared" si="3"/>
        <v/>
      </c>
      <c r="U75" s="283" t="str">
        <f t="shared" si="4"/>
        <v/>
      </c>
      <c r="V75" s="299" t="str">
        <f>IF(D75="","",VLOOKUP(S75,'G-3 Multipliers'!$P$3:$Q$6,2,FALSE))</f>
        <v/>
      </c>
      <c r="W75" s="303" t="str">
        <f t="shared" si="5"/>
        <v/>
      </c>
      <c r="X75" s="101"/>
      <c r="Y75" s="115"/>
      <c r="Z75" s="104"/>
      <c r="AG75" s="30" t="str">
        <f>IFERROR(INDEX('G-6 Hedgerow Data'!$BJ$3:$BJ$15,MATCH(D75,'G-6 Hedgerow Data'!$B$3:$B$15,0)),"")</f>
        <v/>
      </c>
    </row>
    <row r="76" spans="2:33" ht="14" hidden="1">
      <c r="B76" s="97">
        <v>65</v>
      </c>
      <c r="C76" s="140"/>
      <c r="D76" s="133"/>
      <c r="E76" s="115"/>
      <c r="F76" s="323" t="str">
        <f>IF(D76="","",VLOOKUP(D76,'G-6 Hedgerow Data'!$B$2:$AG$15,2,FALSE))</f>
        <v/>
      </c>
      <c r="G76" s="276" t="str">
        <f>IF(D76="","",VLOOKUP(D76,'G-6 Hedgerow Data'!$B$2:$AG$15,3,FALSE))</f>
        <v/>
      </c>
      <c r="H76" s="101"/>
      <c r="I76" s="276" t="str">
        <f>IFERROR(IF(H76="","",IF(AND(D76="Non-native and ornamental hedgerow",H76&lt;&gt;"Poor"),"Not possible ▲",(VLOOKUP(H76,'G-1 All Habitats'!$Z$2:$AA$9,2,FALSE)))),"")</f>
        <v/>
      </c>
      <c r="J76" s="101"/>
      <c r="K76" s="295" t="str">
        <f>IF(J76="","",IF(VLOOKUP(J76,'G-3 Multipliers'!$L$3:$N$6,2,FALSE)=0,"Spatial Data Missing ⚠",VLOOKUP(J76,'G-3 Multipliers'!$L$3:$N$6,2,FALSE)))</f>
        <v/>
      </c>
      <c r="L76" s="281" t="str">
        <f>IF(J76="","",IF(VLOOKUP(J76,'G-3 Multipliers'!$L$3:$N$6,3,FALSE)=0,"Spatial Data Missing ⚠",VLOOKUP(J76,'G-3 Multipliers'!$L$3:$N$6,3,FALSE)))</f>
        <v/>
      </c>
      <c r="M76" s="275" t="str">
        <f>IF(OR(D76="",H76=""),"",(INDEX('G-6 Hedgerow Data'!$E$3:$I$15,MATCH(D76,'G-6 Hedgerow Data'!$B$3:$B$15,0),MATCH(H76,'G-6 Hedgerow Data'!$E$2:$I$2,0))))</f>
        <v/>
      </c>
      <c r="N76" s="133"/>
      <c r="O76" s="133"/>
      <c r="P76" s="283" t="str">
        <f t="shared" si="1"/>
        <v/>
      </c>
      <c r="Q76" s="296" t="str">
        <f t="shared" si="2"/>
        <v/>
      </c>
      <c r="R76" s="297" t="str">
        <f t="shared" si="6" ref="R76:R139">IF(M76="","",IF(Q76="Check Data ⚠","Check Data ⚠",VLOOKUP(Q76,TemporalMultipliers,3,FALSE)))</f>
        <v/>
      </c>
      <c r="S76" s="311" t="str">
        <f>IF(D76="","",VLOOKUP(D76,'G-6 Hedgerow Data'!$B$3:$AG$15,31,FALSE))</f>
        <v/>
      </c>
      <c r="T76" s="283" t="str">
        <f t="shared" si="3"/>
        <v/>
      </c>
      <c r="U76" s="283" t="str">
        <f t="shared" si="4"/>
        <v/>
      </c>
      <c r="V76" s="299" t="str">
        <f>IF(D76="","",VLOOKUP(S76,'G-3 Multipliers'!$P$3:$Q$6,2,FALSE))</f>
        <v/>
      </c>
      <c r="W76" s="303" t="str">
        <f t="shared" si="5"/>
        <v/>
      </c>
      <c r="X76" s="101"/>
      <c r="Y76" s="115"/>
      <c r="Z76" s="104"/>
      <c r="AG76" s="30" t="str">
        <f>IFERROR(INDEX('G-6 Hedgerow Data'!$BJ$3:$BJ$15,MATCH(D76,'G-6 Hedgerow Data'!$B$3:$B$15,0)),"")</f>
        <v/>
      </c>
    </row>
    <row r="77" spans="2:33" ht="14" hidden="1">
      <c r="B77" s="97">
        <v>66</v>
      </c>
      <c r="C77" s="140"/>
      <c r="D77" s="133"/>
      <c r="E77" s="115"/>
      <c r="F77" s="323" t="str">
        <f>IF(D77="","",VLOOKUP(D77,'G-6 Hedgerow Data'!$B$2:$AG$15,2,FALSE))</f>
        <v/>
      </c>
      <c r="G77" s="276" t="str">
        <f>IF(D77="","",VLOOKUP(D77,'G-6 Hedgerow Data'!$B$2:$AG$15,3,FALSE))</f>
        <v/>
      </c>
      <c r="H77" s="101"/>
      <c r="I77" s="276" t="str">
        <f>IFERROR(IF(H77="","",IF(AND(D77="Non-native and ornamental hedgerow",H77&lt;&gt;"Poor"),"Not possible ▲",(VLOOKUP(H77,'G-1 All Habitats'!$Z$2:$AA$9,2,FALSE)))),"")</f>
        <v/>
      </c>
      <c r="J77" s="101"/>
      <c r="K77" s="295" t="str">
        <f>IF(J77="","",IF(VLOOKUP(J77,'G-3 Multipliers'!$L$3:$N$6,2,FALSE)=0,"Spatial Data Missing ⚠",VLOOKUP(J77,'G-3 Multipliers'!$L$3:$N$6,2,FALSE)))</f>
        <v/>
      </c>
      <c r="L77" s="281" t="str">
        <f>IF(J77="","",IF(VLOOKUP(J77,'G-3 Multipliers'!$L$3:$N$6,3,FALSE)=0,"Spatial Data Missing ⚠",VLOOKUP(J77,'G-3 Multipliers'!$L$3:$N$6,3,FALSE)))</f>
        <v/>
      </c>
      <c r="M77" s="275" t="str">
        <f>IF(OR(D77="",H77=""),"",(INDEX('G-6 Hedgerow Data'!$E$3:$I$15,MATCH(D77,'G-6 Hedgerow Data'!$B$3:$B$15,0),MATCH(H77,'G-6 Hedgerow Data'!$E$2:$I$2,0))))</f>
        <v/>
      </c>
      <c r="N77" s="133"/>
      <c r="O77" s="133"/>
      <c r="P77" s="283" t="str">
        <f t="shared" si="7" ref="P77:P140">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296" t="str">
        <f t="shared" si="8" ref="Q77:Q140">IF(M77="","",IF(P77="Error -both advance and delayed habitat creation ▲","Check Data ⚠",IF(M77="Not possible ▲","Check Data ⚠",IF(OR(N77="30+",N77="Habitat already in target condition"),0,IF(O77="30+","30+",IF(AND(M77="30+",OR(N77="",N77=0)),"30+",IF(AND(M77="30+",N77&gt;0),30-N77,IF(M77+O77&gt;30,"30+",IF(M77+O77-N77&gt;0,M77+O77-N77,IF(M77-N77&lt;0,0,M77+O77-N77))))))))))</f>
        <v/>
      </c>
      <c r="R77" s="297" t="str">
        <f t="shared" si="6"/>
        <v/>
      </c>
      <c r="S77" s="311" t="str">
        <f>IF(D77="","",VLOOKUP(D77,'G-6 Hedgerow Data'!$B$3:$AG$15,31,FALSE))</f>
        <v/>
      </c>
      <c r="T77" s="283" t="str">
        <f t="shared" si="9" ref="T77:T140">IF(D77="","",IF(Q77="Check Data ⚠","Check Data ⚠",IF(H77="","",IF($P77="Check details - Is there evidence that habitat has reached target condition? ⚠","Low Difficulty - only applicable if all habitat created before losses ⚠","Standard difficulty applied"))))</f>
        <v/>
      </c>
      <c r="U77" s="283" t="str">
        <f t="shared" si="10" ref="U77:U140">(IF(AND(T77="Standard difficulty applied",M77&gt;N77),S77,IF(Q77="Check data ⚠","Check data ⚠",IF(AND(T77="Low Difficulty - only applicable if all habitat created before losses ⚠",Q77&lt;=0),"Low",S77))))</f>
        <v/>
      </c>
      <c r="V77" s="299" t="str">
        <f>IF(D77="","",VLOOKUP(S77,'G-3 Multipliers'!$P$3:$Q$6,2,FALSE))</f>
        <v/>
      </c>
      <c r="W77" s="303" t="str">
        <f t="shared" si="11" ref="W77:W140">IFERROR(E77*G77*I77*L77*R77*V77,"")</f>
        <v/>
      </c>
      <c r="X77" s="101"/>
      <c r="Y77" s="115"/>
      <c r="Z77" s="104"/>
      <c r="AG77" s="30" t="str">
        <f>IFERROR(INDEX('G-6 Hedgerow Data'!$BJ$3:$BJ$15,MATCH(D77,'G-6 Hedgerow Data'!$B$3:$B$15,0)),"")</f>
        <v/>
      </c>
    </row>
    <row r="78" spans="2:33" ht="14" hidden="1">
      <c r="B78" s="97">
        <v>67</v>
      </c>
      <c r="C78" s="140"/>
      <c r="D78" s="133"/>
      <c r="E78" s="115"/>
      <c r="F78" s="323" t="str">
        <f>IF(D78="","",VLOOKUP(D78,'G-6 Hedgerow Data'!$B$2:$AG$15,2,FALSE))</f>
        <v/>
      </c>
      <c r="G78" s="276" t="str">
        <f>IF(D78="","",VLOOKUP(D78,'G-6 Hedgerow Data'!$B$2:$AG$15,3,FALSE))</f>
        <v/>
      </c>
      <c r="H78" s="101"/>
      <c r="I78" s="276" t="str">
        <f>IFERROR(IF(H78="","",IF(AND(D78="Non-native and ornamental hedgerow",H78&lt;&gt;"Poor"),"Not possible ▲",(VLOOKUP(H78,'G-1 All Habitats'!$Z$2:$AA$9,2,FALSE)))),"")</f>
        <v/>
      </c>
      <c r="J78" s="101"/>
      <c r="K78" s="295" t="str">
        <f>IF(J78="","",IF(VLOOKUP(J78,'G-3 Multipliers'!$L$3:$N$6,2,FALSE)=0,"Spatial Data Missing ⚠",VLOOKUP(J78,'G-3 Multipliers'!$L$3:$N$6,2,FALSE)))</f>
        <v/>
      </c>
      <c r="L78" s="281" t="str">
        <f>IF(J78="","",IF(VLOOKUP(J78,'G-3 Multipliers'!$L$3:$N$6,3,FALSE)=0,"Spatial Data Missing ⚠",VLOOKUP(J78,'G-3 Multipliers'!$L$3:$N$6,3,FALSE)))</f>
        <v/>
      </c>
      <c r="M78" s="275" t="str">
        <f>IF(OR(D78="",H78=""),"",(INDEX('G-6 Hedgerow Data'!$E$3:$I$15,MATCH(D78,'G-6 Hedgerow Data'!$B$3:$B$15,0),MATCH(H78,'G-6 Hedgerow Data'!$E$2:$I$2,0))))</f>
        <v/>
      </c>
      <c r="N78" s="133"/>
      <c r="O78" s="133"/>
      <c r="P78" s="283" t="str">
        <f t="shared" si="7"/>
        <v/>
      </c>
      <c r="Q78" s="296" t="str">
        <f t="shared" si="8"/>
        <v/>
      </c>
      <c r="R78" s="297" t="str">
        <f t="shared" si="6"/>
        <v/>
      </c>
      <c r="S78" s="311" t="str">
        <f>IF(D78="","",VLOOKUP(D78,'G-6 Hedgerow Data'!$B$3:$AG$15,31,FALSE))</f>
        <v/>
      </c>
      <c r="T78" s="283" t="str">
        <f t="shared" si="9"/>
        <v/>
      </c>
      <c r="U78" s="283" t="str">
        <f t="shared" si="10"/>
        <v/>
      </c>
      <c r="V78" s="299" t="str">
        <f>IF(D78="","",VLOOKUP(S78,'G-3 Multipliers'!$P$3:$Q$6,2,FALSE))</f>
        <v/>
      </c>
      <c r="W78" s="303" t="str">
        <f t="shared" si="11"/>
        <v/>
      </c>
      <c r="X78" s="101"/>
      <c r="Y78" s="115"/>
      <c r="Z78" s="104"/>
      <c r="AG78" s="30" t="str">
        <f>IFERROR(INDEX('G-6 Hedgerow Data'!$BJ$3:$BJ$15,MATCH(D78,'G-6 Hedgerow Data'!$B$3:$B$15,0)),"")</f>
        <v/>
      </c>
    </row>
    <row r="79" spans="2:33" ht="14" hidden="1">
      <c r="B79" s="97">
        <v>68</v>
      </c>
      <c r="C79" s="140"/>
      <c r="D79" s="133"/>
      <c r="E79" s="115"/>
      <c r="F79" s="323" t="str">
        <f>IF(D79="","",VLOOKUP(D79,'G-6 Hedgerow Data'!$B$2:$AG$15,2,FALSE))</f>
        <v/>
      </c>
      <c r="G79" s="276" t="str">
        <f>IF(D79="","",VLOOKUP(D79,'G-6 Hedgerow Data'!$B$2:$AG$15,3,FALSE))</f>
        <v/>
      </c>
      <c r="H79" s="101"/>
      <c r="I79" s="276" t="str">
        <f>IFERROR(IF(H79="","",IF(AND(D79="Non-native and ornamental hedgerow",H79&lt;&gt;"Poor"),"Not possible ▲",(VLOOKUP(H79,'G-1 All Habitats'!$Z$2:$AA$9,2,FALSE)))),"")</f>
        <v/>
      </c>
      <c r="J79" s="101"/>
      <c r="K79" s="295" t="str">
        <f>IF(J79="","",IF(VLOOKUP(J79,'G-3 Multipliers'!$L$3:$N$6,2,FALSE)=0,"Spatial Data Missing ⚠",VLOOKUP(J79,'G-3 Multipliers'!$L$3:$N$6,2,FALSE)))</f>
        <v/>
      </c>
      <c r="L79" s="281" t="str">
        <f>IF(J79="","",IF(VLOOKUP(J79,'G-3 Multipliers'!$L$3:$N$6,3,FALSE)=0,"Spatial Data Missing ⚠",VLOOKUP(J79,'G-3 Multipliers'!$L$3:$N$6,3,FALSE)))</f>
        <v/>
      </c>
      <c r="M79" s="275" t="str">
        <f>IF(OR(D79="",H79=""),"",(INDEX('G-6 Hedgerow Data'!$E$3:$I$15,MATCH(D79,'G-6 Hedgerow Data'!$B$3:$B$15,0),MATCH(H79,'G-6 Hedgerow Data'!$E$2:$I$2,0))))</f>
        <v/>
      </c>
      <c r="N79" s="133"/>
      <c r="O79" s="133"/>
      <c r="P79" s="283" t="str">
        <f t="shared" si="7"/>
        <v/>
      </c>
      <c r="Q79" s="296" t="str">
        <f t="shared" si="8"/>
        <v/>
      </c>
      <c r="R79" s="297" t="str">
        <f t="shared" si="6"/>
        <v/>
      </c>
      <c r="S79" s="311" t="str">
        <f>IF(D79="","",VLOOKUP(D79,'G-6 Hedgerow Data'!$B$3:$AG$15,31,FALSE))</f>
        <v/>
      </c>
      <c r="T79" s="283" t="str">
        <f t="shared" si="9"/>
        <v/>
      </c>
      <c r="U79" s="283" t="str">
        <f t="shared" si="10"/>
        <v/>
      </c>
      <c r="V79" s="299" t="str">
        <f>IF(D79="","",VLOOKUP(S79,'G-3 Multipliers'!$P$3:$Q$6,2,FALSE))</f>
        <v/>
      </c>
      <c r="W79" s="303" t="str">
        <f t="shared" si="11"/>
        <v/>
      </c>
      <c r="X79" s="101"/>
      <c r="Y79" s="115"/>
      <c r="Z79" s="104"/>
      <c r="AG79" s="30" t="str">
        <f>IFERROR(INDEX('G-6 Hedgerow Data'!$BJ$3:$BJ$15,MATCH(D79,'G-6 Hedgerow Data'!$B$3:$B$15,0)),"")</f>
        <v/>
      </c>
    </row>
    <row r="80" spans="2:33" ht="14" hidden="1">
      <c r="B80" s="97">
        <v>69</v>
      </c>
      <c r="C80" s="140"/>
      <c r="D80" s="133"/>
      <c r="E80" s="115"/>
      <c r="F80" s="323" t="str">
        <f>IF(D80="","",VLOOKUP(D80,'G-6 Hedgerow Data'!$B$2:$AG$15,2,FALSE))</f>
        <v/>
      </c>
      <c r="G80" s="276" t="str">
        <f>IF(D80="","",VLOOKUP(D80,'G-6 Hedgerow Data'!$B$2:$AG$15,3,FALSE))</f>
        <v/>
      </c>
      <c r="H80" s="101"/>
      <c r="I80" s="276" t="str">
        <f>IFERROR(IF(H80="","",IF(AND(D80="Non-native and ornamental hedgerow",H80&lt;&gt;"Poor"),"Not possible ▲",(VLOOKUP(H80,'G-1 All Habitats'!$Z$2:$AA$9,2,FALSE)))),"")</f>
        <v/>
      </c>
      <c r="J80" s="101"/>
      <c r="K80" s="295" t="str">
        <f>IF(J80="","",IF(VLOOKUP(J80,'G-3 Multipliers'!$L$3:$N$6,2,FALSE)=0,"Spatial Data Missing ⚠",VLOOKUP(J80,'G-3 Multipliers'!$L$3:$N$6,2,FALSE)))</f>
        <v/>
      </c>
      <c r="L80" s="281" t="str">
        <f>IF(J80="","",IF(VLOOKUP(J80,'G-3 Multipliers'!$L$3:$N$6,3,FALSE)=0,"Spatial Data Missing ⚠",VLOOKUP(J80,'G-3 Multipliers'!$L$3:$N$6,3,FALSE)))</f>
        <v/>
      </c>
      <c r="M80" s="275" t="str">
        <f>IF(OR(D80="",H80=""),"",(INDEX('G-6 Hedgerow Data'!$E$3:$I$15,MATCH(D80,'G-6 Hedgerow Data'!$B$3:$B$15,0),MATCH(H80,'G-6 Hedgerow Data'!$E$2:$I$2,0))))</f>
        <v/>
      </c>
      <c r="N80" s="133"/>
      <c r="O80" s="133"/>
      <c r="P80" s="283" t="str">
        <f t="shared" si="7"/>
        <v/>
      </c>
      <c r="Q80" s="296" t="str">
        <f t="shared" si="8"/>
        <v/>
      </c>
      <c r="R80" s="297" t="str">
        <f t="shared" si="6"/>
        <v/>
      </c>
      <c r="S80" s="311" t="str">
        <f>IF(D80="","",VLOOKUP(D80,'G-6 Hedgerow Data'!$B$3:$AG$15,31,FALSE))</f>
        <v/>
      </c>
      <c r="T80" s="283" t="str">
        <f t="shared" si="9"/>
        <v/>
      </c>
      <c r="U80" s="283" t="str">
        <f t="shared" si="10"/>
        <v/>
      </c>
      <c r="V80" s="299" t="str">
        <f>IF(D80="","",VLOOKUP(S80,'G-3 Multipliers'!$P$3:$Q$6,2,FALSE))</f>
        <v/>
      </c>
      <c r="W80" s="303" t="str">
        <f t="shared" si="11"/>
        <v/>
      </c>
      <c r="X80" s="101"/>
      <c r="Y80" s="115"/>
      <c r="Z80" s="104"/>
      <c r="AG80" s="30" t="str">
        <f>IFERROR(INDEX('G-6 Hedgerow Data'!$BJ$3:$BJ$15,MATCH(D80,'G-6 Hedgerow Data'!$B$3:$B$15,0)),"")</f>
        <v/>
      </c>
    </row>
    <row r="81" spans="2:33" ht="14" hidden="1">
      <c r="B81" s="97">
        <v>70</v>
      </c>
      <c r="C81" s="140"/>
      <c r="D81" s="133"/>
      <c r="E81" s="115"/>
      <c r="F81" s="323" t="str">
        <f>IF(D81="","",VLOOKUP(D81,'G-6 Hedgerow Data'!$B$2:$AG$15,2,FALSE))</f>
        <v/>
      </c>
      <c r="G81" s="276" t="str">
        <f>IF(D81="","",VLOOKUP(D81,'G-6 Hedgerow Data'!$B$2:$AG$15,3,FALSE))</f>
        <v/>
      </c>
      <c r="H81" s="101"/>
      <c r="I81" s="276" t="str">
        <f>IFERROR(IF(H81="","",IF(AND(D81="Non-native and ornamental hedgerow",H81&lt;&gt;"Poor"),"Not possible ▲",(VLOOKUP(H81,'G-1 All Habitats'!$Z$2:$AA$9,2,FALSE)))),"")</f>
        <v/>
      </c>
      <c r="J81" s="101"/>
      <c r="K81" s="295" t="str">
        <f>IF(J81="","",IF(VLOOKUP(J81,'G-3 Multipliers'!$L$3:$N$6,2,FALSE)=0,"Spatial Data Missing ⚠",VLOOKUP(J81,'G-3 Multipliers'!$L$3:$N$6,2,FALSE)))</f>
        <v/>
      </c>
      <c r="L81" s="281" t="str">
        <f>IF(J81="","",IF(VLOOKUP(J81,'G-3 Multipliers'!$L$3:$N$6,3,FALSE)=0,"Spatial Data Missing ⚠",VLOOKUP(J81,'G-3 Multipliers'!$L$3:$N$6,3,FALSE)))</f>
        <v/>
      </c>
      <c r="M81" s="275" t="str">
        <f>IF(OR(D81="",H81=""),"",(INDEX('G-6 Hedgerow Data'!$E$3:$I$15,MATCH(D81,'G-6 Hedgerow Data'!$B$3:$B$15,0),MATCH(H81,'G-6 Hedgerow Data'!$E$2:$I$2,0))))</f>
        <v/>
      </c>
      <c r="N81" s="133"/>
      <c r="O81" s="133"/>
      <c r="P81" s="283" t="str">
        <f t="shared" si="7"/>
        <v/>
      </c>
      <c r="Q81" s="296" t="str">
        <f t="shared" si="8"/>
        <v/>
      </c>
      <c r="R81" s="297" t="str">
        <f t="shared" si="6"/>
        <v/>
      </c>
      <c r="S81" s="311" t="str">
        <f>IF(D81="","",VLOOKUP(D81,'G-6 Hedgerow Data'!$B$3:$AG$15,31,FALSE))</f>
        <v/>
      </c>
      <c r="T81" s="283" t="str">
        <f t="shared" si="9"/>
        <v/>
      </c>
      <c r="U81" s="283" t="str">
        <f t="shared" si="10"/>
        <v/>
      </c>
      <c r="V81" s="299" t="str">
        <f>IF(D81="","",VLOOKUP(S81,'G-3 Multipliers'!$P$3:$Q$6,2,FALSE))</f>
        <v/>
      </c>
      <c r="W81" s="303" t="str">
        <f t="shared" si="11"/>
        <v/>
      </c>
      <c r="X81" s="101"/>
      <c r="Y81" s="115"/>
      <c r="Z81" s="104"/>
      <c r="AG81" s="30" t="str">
        <f>IFERROR(INDEX('G-6 Hedgerow Data'!$BJ$3:$BJ$15,MATCH(D81,'G-6 Hedgerow Data'!$B$3:$B$15,0)),"")</f>
        <v/>
      </c>
    </row>
    <row r="82" spans="2:33" ht="14" hidden="1">
      <c r="B82" s="97">
        <v>71</v>
      </c>
      <c r="C82" s="140"/>
      <c r="D82" s="133"/>
      <c r="E82" s="115"/>
      <c r="F82" s="323" t="str">
        <f>IF(D82="","",VLOOKUP(D82,'G-6 Hedgerow Data'!$B$2:$AG$15,2,FALSE))</f>
        <v/>
      </c>
      <c r="G82" s="276" t="str">
        <f>IF(D82="","",VLOOKUP(D82,'G-6 Hedgerow Data'!$B$2:$AG$15,3,FALSE))</f>
        <v/>
      </c>
      <c r="H82" s="101"/>
      <c r="I82" s="276" t="str">
        <f>IFERROR(IF(H82="","",IF(AND(D82="Non-native and ornamental hedgerow",H82&lt;&gt;"Poor"),"Not possible ▲",(VLOOKUP(H82,'G-1 All Habitats'!$Z$2:$AA$9,2,FALSE)))),"")</f>
        <v/>
      </c>
      <c r="J82" s="101"/>
      <c r="K82" s="295" t="str">
        <f>IF(J82="","",IF(VLOOKUP(J82,'G-3 Multipliers'!$L$3:$N$6,2,FALSE)=0,"Spatial Data Missing ⚠",VLOOKUP(J82,'G-3 Multipliers'!$L$3:$N$6,2,FALSE)))</f>
        <v/>
      </c>
      <c r="L82" s="281" t="str">
        <f>IF(J82="","",IF(VLOOKUP(J82,'G-3 Multipliers'!$L$3:$N$6,3,FALSE)=0,"Spatial Data Missing ⚠",VLOOKUP(J82,'G-3 Multipliers'!$L$3:$N$6,3,FALSE)))</f>
        <v/>
      </c>
      <c r="M82" s="275" t="str">
        <f>IF(OR(D82="",H82=""),"",(INDEX('G-6 Hedgerow Data'!$E$3:$I$15,MATCH(D82,'G-6 Hedgerow Data'!$B$3:$B$15,0),MATCH(H82,'G-6 Hedgerow Data'!$E$2:$I$2,0))))</f>
        <v/>
      </c>
      <c r="N82" s="133"/>
      <c r="O82" s="133"/>
      <c r="P82" s="283" t="str">
        <f t="shared" si="7"/>
        <v/>
      </c>
      <c r="Q82" s="296" t="str">
        <f t="shared" si="8"/>
        <v/>
      </c>
      <c r="R82" s="297" t="str">
        <f t="shared" si="6"/>
        <v/>
      </c>
      <c r="S82" s="311" t="str">
        <f>IF(D82="","",VLOOKUP(D82,'G-6 Hedgerow Data'!$B$3:$AG$15,31,FALSE))</f>
        <v/>
      </c>
      <c r="T82" s="283" t="str">
        <f t="shared" si="9"/>
        <v/>
      </c>
      <c r="U82" s="283" t="str">
        <f t="shared" si="10"/>
        <v/>
      </c>
      <c r="V82" s="299" t="str">
        <f>IF(D82="","",VLOOKUP(S82,'G-3 Multipliers'!$P$3:$Q$6,2,FALSE))</f>
        <v/>
      </c>
      <c r="W82" s="303" t="str">
        <f t="shared" si="11"/>
        <v/>
      </c>
      <c r="X82" s="101"/>
      <c r="Y82" s="115"/>
      <c r="Z82" s="104"/>
      <c r="AG82" s="30" t="str">
        <f>IFERROR(INDEX('G-6 Hedgerow Data'!$BJ$3:$BJ$15,MATCH(D82,'G-6 Hedgerow Data'!$B$3:$B$15,0)),"")</f>
        <v/>
      </c>
    </row>
    <row r="83" spans="2:33" ht="14" hidden="1">
      <c r="B83" s="97">
        <v>72</v>
      </c>
      <c r="C83" s="140"/>
      <c r="D83" s="133"/>
      <c r="E83" s="115"/>
      <c r="F83" s="323" t="str">
        <f>IF(D83="","",VLOOKUP(D83,'G-6 Hedgerow Data'!$B$2:$AG$15,2,FALSE))</f>
        <v/>
      </c>
      <c r="G83" s="276" t="str">
        <f>IF(D83="","",VLOOKUP(D83,'G-6 Hedgerow Data'!$B$2:$AG$15,3,FALSE))</f>
        <v/>
      </c>
      <c r="H83" s="101"/>
      <c r="I83" s="276" t="str">
        <f>IFERROR(IF(H83="","",IF(AND(D83="Non-native and ornamental hedgerow",H83&lt;&gt;"Poor"),"Not possible ▲",(VLOOKUP(H83,'G-1 All Habitats'!$Z$2:$AA$9,2,FALSE)))),"")</f>
        <v/>
      </c>
      <c r="J83" s="101"/>
      <c r="K83" s="295" t="str">
        <f>IF(J83="","",IF(VLOOKUP(J83,'G-3 Multipliers'!$L$3:$N$6,2,FALSE)=0,"Spatial Data Missing ⚠",VLOOKUP(J83,'G-3 Multipliers'!$L$3:$N$6,2,FALSE)))</f>
        <v/>
      </c>
      <c r="L83" s="281" t="str">
        <f>IF(J83="","",IF(VLOOKUP(J83,'G-3 Multipliers'!$L$3:$N$6,3,FALSE)=0,"Spatial Data Missing ⚠",VLOOKUP(J83,'G-3 Multipliers'!$L$3:$N$6,3,FALSE)))</f>
        <v/>
      </c>
      <c r="M83" s="275" t="str">
        <f>IF(OR(D83="",H83=""),"",(INDEX('G-6 Hedgerow Data'!$E$3:$I$15,MATCH(D83,'G-6 Hedgerow Data'!$B$3:$B$15,0),MATCH(H83,'G-6 Hedgerow Data'!$E$2:$I$2,0))))</f>
        <v/>
      </c>
      <c r="N83" s="133"/>
      <c r="O83" s="133"/>
      <c r="P83" s="283" t="str">
        <f t="shared" si="7"/>
        <v/>
      </c>
      <c r="Q83" s="296" t="str">
        <f t="shared" si="8"/>
        <v/>
      </c>
      <c r="R83" s="297" t="str">
        <f t="shared" si="6"/>
        <v/>
      </c>
      <c r="S83" s="311" t="str">
        <f>IF(D83="","",VLOOKUP(D83,'G-6 Hedgerow Data'!$B$3:$AG$15,31,FALSE))</f>
        <v/>
      </c>
      <c r="T83" s="283" t="str">
        <f t="shared" si="9"/>
        <v/>
      </c>
      <c r="U83" s="283" t="str">
        <f t="shared" si="10"/>
        <v/>
      </c>
      <c r="V83" s="299" t="str">
        <f>IF(D83="","",VLOOKUP(S83,'G-3 Multipliers'!$P$3:$Q$6,2,FALSE))</f>
        <v/>
      </c>
      <c r="W83" s="303" t="str">
        <f t="shared" si="11"/>
        <v/>
      </c>
      <c r="X83" s="101"/>
      <c r="Y83" s="115"/>
      <c r="Z83" s="104"/>
      <c r="AG83" s="30" t="str">
        <f>IFERROR(INDEX('G-6 Hedgerow Data'!$BJ$3:$BJ$15,MATCH(D83,'G-6 Hedgerow Data'!$B$3:$B$15,0)),"")</f>
        <v/>
      </c>
    </row>
    <row r="84" spans="2:33" ht="14" hidden="1">
      <c r="B84" s="97">
        <v>73</v>
      </c>
      <c r="C84" s="140"/>
      <c r="D84" s="133"/>
      <c r="E84" s="115"/>
      <c r="F84" s="323" t="str">
        <f>IF(D84="","",VLOOKUP(D84,'G-6 Hedgerow Data'!$B$2:$AG$15,2,FALSE))</f>
        <v/>
      </c>
      <c r="G84" s="276" t="str">
        <f>IF(D84="","",VLOOKUP(D84,'G-6 Hedgerow Data'!$B$2:$AG$15,3,FALSE))</f>
        <v/>
      </c>
      <c r="H84" s="101"/>
      <c r="I84" s="276" t="str">
        <f>IFERROR(IF(H84="","",IF(AND(D84="Non-native and ornamental hedgerow",H84&lt;&gt;"Poor"),"Not possible ▲",(VLOOKUP(H84,'G-1 All Habitats'!$Z$2:$AA$9,2,FALSE)))),"")</f>
        <v/>
      </c>
      <c r="J84" s="101"/>
      <c r="K84" s="295" t="str">
        <f>IF(J84="","",IF(VLOOKUP(J84,'G-3 Multipliers'!$L$3:$N$6,2,FALSE)=0,"Spatial Data Missing ⚠",VLOOKUP(J84,'G-3 Multipliers'!$L$3:$N$6,2,FALSE)))</f>
        <v/>
      </c>
      <c r="L84" s="281" t="str">
        <f>IF(J84="","",IF(VLOOKUP(J84,'G-3 Multipliers'!$L$3:$N$6,3,FALSE)=0,"Spatial Data Missing ⚠",VLOOKUP(J84,'G-3 Multipliers'!$L$3:$N$6,3,FALSE)))</f>
        <v/>
      </c>
      <c r="M84" s="275" t="str">
        <f>IF(OR(D84="",H84=""),"",(INDEX('G-6 Hedgerow Data'!$E$3:$I$15,MATCH(D84,'G-6 Hedgerow Data'!$B$3:$B$15,0),MATCH(H84,'G-6 Hedgerow Data'!$E$2:$I$2,0))))</f>
        <v/>
      </c>
      <c r="N84" s="133"/>
      <c r="O84" s="133"/>
      <c r="P84" s="283" t="str">
        <f t="shared" si="7"/>
        <v/>
      </c>
      <c r="Q84" s="296" t="str">
        <f t="shared" si="8"/>
        <v/>
      </c>
      <c r="R84" s="297" t="str">
        <f t="shared" si="6"/>
        <v/>
      </c>
      <c r="S84" s="311" t="str">
        <f>IF(D84="","",VLOOKUP(D84,'G-6 Hedgerow Data'!$B$3:$AG$15,31,FALSE))</f>
        <v/>
      </c>
      <c r="T84" s="283" t="str">
        <f t="shared" si="9"/>
        <v/>
      </c>
      <c r="U84" s="283" t="str">
        <f t="shared" si="10"/>
        <v/>
      </c>
      <c r="V84" s="299" t="str">
        <f>IF(D84="","",VLOOKUP(S84,'G-3 Multipliers'!$P$3:$Q$6,2,FALSE))</f>
        <v/>
      </c>
      <c r="W84" s="303" t="str">
        <f t="shared" si="11"/>
        <v/>
      </c>
      <c r="X84" s="101"/>
      <c r="Y84" s="115"/>
      <c r="Z84" s="104"/>
      <c r="AG84" s="30" t="str">
        <f>IFERROR(INDEX('G-6 Hedgerow Data'!$BJ$3:$BJ$15,MATCH(D84,'G-6 Hedgerow Data'!$B$3:$B$15,0)),"")</f>
        <v/>
      </c>
    </row>
    <row r="85" spans="2:33" ht="14" hidden="1">
      <c r="B85" s="97">
        <v>74</v>
      </c>
      <c r="C85" s="140"/>
      <c r="D85" s="133"/>
      <c r="E85" s="115"/>
      <c r="F85" s="323" t="str">
        <f>IF(D85="","",VLOOKUP(D85,'G-6 Hedgerow Data'!$B$2:$AG$15,2,FALSE))</f>
        <v/>
      </c>
      <c r="G85" s="276" t="str">
        <f>IF(D85="","",VLOOKUP(D85,'G-6 Hedgerow Data'!$B$2:$AG$15,3,FALSE))</f>
        <v/>
      </c>
      <c r="H85" s="101"/>
      <c r="I85" s="276" t="str">
        <f>IFERROR(IF(H85="","",IF(AND(D85="Non-native and ornamental hedgerow",H85&lt;&gt;"Poor"),"Not possible ▲",(VLOOKUP(H85,'G-1 All Habitats'!$Z$2:$AA$9,2,FALSE)))),"")</f>
        <v/>
      </c>
      <c r="J85" s="101"/>
      <c r="K85" s="295" t="str">
        <f>IF(J85="","",IF(VLOOKUP(J85,'G-3 Multipliers'!$L$3:$N$6,2,FALSE)=0,"Spatial Data Missing ⚠",VLOOKUP(J85,'G-3 Multipliers'!$L$3:$N$6,2,FALSE)))</f>
        <v/>
      </c>
      <c r="L85" s="281" t="str">
        <f>IF(J85="","",IF(VLOOKUP(J85,'G-3 Multipliers'!$L$3:$N$6,3,FALSE)=0,"Spatial Data Missing ⚠",VLOOKUP(J85,'G-3 Multipliers'!$L$3:$N$6,3,FALSE)))</f>
        <v/>
      </c>
      <c r="M85" s="275" t="str">
        <f>IF(OR(D85="",H85=""),"",(INDEX('G-6 Hedgerow Data'!$E$3:$I$15,MATCH(D85,'G-6 Hedgerow Data'!$B$3:$B$15,0),MATCH(H85,'G-6 Hedgerow Data'!$E$2:$I$2,0))))</f>
        <v/>
      </c>
      <c r="N85" s="133"/>
      <c r="O85" s="133"/>
      <c r="P85" s="283" t="str">
        <f t="shared" si="7"/>
        <v/>
      </c>
      <c r="Q85" s="296" t="str">
        <f t="shared" si="8"/>
        <v/>
      </c>
      <c r="R85" s="297" t="str">
        <f t="shared" si="6"/>
        <v/>
      </c>
      <c r="S85" s="311" t="str">
        <f>IF(D85="","",VLOOKUP(D85,'G-6 Hedgerow Data'!$B$3:$AG$15,31,FALSE))</f>
        <v/>
      </c>
      <c r="T85" s="283" t="str">
        <f t="shared" si="9"/>
        <v/>
      </c>
      <c r="U85" s="283" t="str">
        <f t="shared" si="10"/>
        <v/>
      </c>
      <c r="V85" s="299" t="str">
        <f>IF(D85="","",VLOOKUP(S85,'G-3 Multipliers'!$P$3:$Q$6,2,FALSE))</f>
        <v/>
      </c>
      <c r="W85" s="303" t="str">
        <f t="shared" si="11"/>
        <v/>
      </c>
      <c r="X85" s="101"/>
      <c r="Y85" s="115"/>
      <c r="Z85" s="104"/>
      <c r="AG85" s="30" t="str">
        <f>IFERROR(INDEX('G-6 Hedgerow Data'!$BJ$3:$BJ$15,MATCH(D85,'G-6 Hedgerow Data'!$B$3:$B$15,0)),"")</f>
        <v/>
      </c>
    </row>
    <row r="86" spans="2:33" ht="14" hidden="1">
      <c r="B86" s="97">
        <v>75</v>
      </c>
      <c r="C86" s="140"/>
      <c r="D86" s="133"/>
      <c r="E86" s="115"/>
      <c r="F86" s="323" t="str">
        <f>IF(D86="","",VLOOKUP(D86,'G-6 Hedgerow Data'!$B$2:$AG$15,2,FALSE))</f>
        <v/>
      </c>
      <c r="G86" s="276" t="str">
        <f>IF(D86="","",VLOOKUP(D86,'G-6 Hedgerow Data'!$B$2:$AG$15,3,FALSE))</f>
        <v/>
      </c>
      <c r="H86" s="101"/>
      <c r="I86" s="276" t="str">
        <f>IFERROR(IF(H86="","",IF(AND(D86="Non-native and ornamental hedgerow",H86&lt;&gt;"Poor"),"Not possible ▲",(VLOOKUP(H86,'G-1 All Habitats'!$Z$2:$AA$9,2,FALSE)))),"")</f>
        <v/>
      </c>
      <c r="J86" s="101"/>
      <c r="K86" s="295" t="str">
        <f>IF(J86="","",IF(VLOOKUP(J86,'G-3 Multipliers'!$L$3:$N$6,2,FALSE)=0,"Spatial Data Missing ⚠",VLOOKUP(J86,'G-3 Multipliers'!$L$3:$N$6,2,FALSE)))</f>
        <v/>
      </c>
      <c r="L86" s="281" t="str">
        <f>IF(J86="","",IF(VLOOKUP(J86,'G-3 Multipliers'!$L$3:$N$6,3,FALSE)=0,"Spatial Data Missing ⚠",VLOOKUP(J86,'G-3 Multipliers'!$L$3:$N$6,3,FALSE)))</f>
        <v/>
      </c>
      <c r="M86" s="275" t="str">
        <f>IF(OR(D86="",H86=""),"",(INDEX('G-6 Hedgerow Data'!$E$3:$I$15,MATCH(D86,'G-6 Hedgerow Data'!$B$3:$B$15,0),MATCH(H86,'G-6 Hedgerow Data'!$E$2:$I$2,0))))</f>
        <v/>
      </c>
      <c r="N86" s="133"/>
      <c r="O86" s="133"/>
      <c r="P86" s="283" t="str">
        <f t="shared" si="7"/>
        <v/>
      </c>
      <c r="Q86" s="296" t="str">
        <f t="shared" si="8"/>
        <v/>
      </c>
      <c r="R86" s="297" t="str">
        <f t="shared" si="6"/>
        <v/>
      </c>
      <c r="S86" s="311" t="str">
        <f>IF(D86="","",VLOOKUP(D86,'G-6 Hedgerow Data'!$B$3:$AG$15,31,FALSE))</f>
        <v/>
      </c>
      <c r="T86" s="283" t="str">
        <f t="shared" si="9"/>
        <v/>
      </c>
      <c r="U86" s="283" t="str">
        <f t="shared" si="10"/>
        <v/>
      </c>
      <c r="V86" s="299" t="str">
        <f>IF(D86="","",VLOOKUP(S86,'G-3 Multipliers'!$P$3:$Q$6,2,FALSE))</f>
        <v/>
      </c>
      <c r="W86" s="303" t="str">
        <f t="shared" si="11"/>
        <v/>
      </c>
      <c r="X86" s="101"/>
      <c r="Y86" s="115"/>
      <c r="Z86" s="104"/>
      <c r="AG86" s="30" t="str">
        <f>IFERROR(INDEX('G-6 Hedgerow Data'!$BJ$3:$BJ$15,MATCH(D86,'G-6 Hedgerow Data'!$B$3:$B$15,0)),"")</f>
        <v/>
      </c>
    </row>
    <row r="87" spans="2:33" ht="14" hidden="1">
      <c r="B87" s="97">
        <v>76</v>
      </c>
      <c r="C87" s="140"/>
      <c r="D87" s="133"/>
      <c r="E87" s="115"/>
      <c r="F87" s="323" t="str">
        <f>IF(D87="","",VLOOKUP(D87,'G-6 Hedgerow Data'!$B$2:$AG$15,2,FALSE))</f>
        <v/>
      </c>
      <c r="G87" s="276" t="str">
        <f>IF(D87="","",VLOOKUP(D87,'G-6 Hedgerow Data'!$B$2:$AG$15,3,FALSE))</f>
        <v/>
      </c>
      <c r="H87" s="101"/>
      <c r="I87" s="276" t="str">
        <f>IFERROR(IF(H87="","",IF(AND(D87="Non-native and ornamental hedgerow",H87&lt;&gt;"Poor"),"Not possible ▲",(VLOOKUP(H87,'G-1 All Habitats'!$Z$2:$AA$9,2,FALSE)))),"")</f>
        <v/>
      </c>
      <c r="J87" s="101"/>
      <c r="K87" s="295" t="str">
        <f>IF(J87="","",IF(VLOOKUP(J87,'G-3 Multipliers'!$L$3:$N$6,2,FALSE)=0,"Spatial Data Missing ⚠",VLOOKUP(J87,'G-3 Multipliers'!$L$3:$N$6,2,FALSE)))</f>
        <v/>
      </c>
      <c r="L87" s="281" t="str">
        <f>IF(J87="","",IF(VLOOKUP(J87,'G-3 Multipliers'!$L$3:$N$6,3,FALSE)=0,"Spatial Data Missing ⚠",VLOOKUP(J87,'G-3 Multipliers'!$L$3:$N$6,3,FALSE)))</f>
        <v/>
      </c>
      <c r="M87" s="275" t="str">
        <f>IF(OR(D87="",H87=""),"",(INDEX('G-6 Hedgerow Data'!$E$3:$I$15,MATCH(D87,'G-6 Hedgerow Data'!$B$3:$B$15,0),MATCH(H87,'G-6 Hedgerow Data'!$E$2:$I$2,0))))</f>
        <v/>
      </c>
      <c r="N87" s="133"/>
      <c r="O87" s="133"/>
      <c r="P87" s="283" t="str">
        <f t="shared" si="7"/>
        <v/>
      </c>
      <c r="Q87" s="296" t="str">
        <f t="shared" si="8"/>
        <v/>
      </c>
      <c r="R87" s="297" t="str">
        <f t="shared" si="6"/>
        <v/>
      </c>
      <c r="S87" s="311" t="str">
        <f>IF(D87="","",VLOOKUP(D87,'G-6 Hedgerow Data'!$B$3:$AG$15,31,FALSE))</f>
        <v/>
      </c>
      <c r="T87" s="283" t="str">
        <f t="shared" si="9"/>
        <v/>
      </c>
      <c r="U87" s="283" t="str">
        <f t="shared" si="10"/>
        <v/>
      </c>
      <c r="V87" s="299" t="str">
        <f>IF(D87="","",VLOOKUP(S87,'G-3 Multipliers'!$P$3:$Q$6,2,FALSE))</f>
        <v/>
      </c>
      <c r="W87" s="303" t="str">
        <f t="shared" si="11"/>
        <v/>
      </c>
      <c r="X87" s="101"/>
      <c r="Y87" s="115"/>
      <c r="Z87" s="104"/>
      <c r="AG87" s="30" t="str">
        <f>IFERROR(INDEX('G-6 Hedgerow Data'!$BJ$3:$BJ$15,MATCH(D87,'G-6 Hedgerow Data'!$B$3:$B$15,0)),"")</f>
        <v/>
      </c>
    </row>
    <row r="88" spans="2:33" ht="14" hidden="1">
      <c r="B88" s="97">
        <v>77</v>
      </c>
      <c r="C88" s="140"/>
      <c r="D88" s="133"/>
      <c r="E88" s="115"/>
      <c r="F88" s="323" t="str">
        <f>IF(D88="","",VLOOKUP(D88,'G-6 Hedgerow Data'!$B$2:$AG$15,2,FALSE))</f>
        <v/>
      </c>
      <c r="G88" s="276" t="str">
        <f>IF(D88="","",VLOOKUP(D88,'G-6 Hedgerow Data'!$B$2:$AG$15,3,FALSE))</f>
        <v/>
      </c>
      <c r="H88" s="101"/>
      <c r="I88" s="276" t="str">
        <f>IFERROR(IF(H88="","",IF(AND(D88="Non-native and ornamental hedgerow",H88&lt;&gt;"Poor"),"Not possible ▲",(VLOOKUP(H88,'G-1 All Habitats'!$Z$2:$AA$9,2,FALSE)))),"")</f>
        <v/>
      </c>
      <c r="J88" s="101"/>
      <c r="K88" s="295" t="str">
        <f>IF(J88="","",IF(VLOOKUP(J88,'G-3 Multipliers'!$L$3:$N$6,2,FALSE)=0,"Spatial Data Missing ⚠",VLOOKUP(J88,'G-3 Multipliers'!$L$3:$N$6,2,FALSE)))</f>
        <v/>
      </c>
      <c r="L88" s="281" t="str">
        <f>IF(J88="","",IF(VLOOKUP(J88,'G-3 Multipliers'!$L$3:$N$6,3,FALSE)=0,"Spatial Data Missing ⚠",VLOOKUP(J88,'G-3 Multipliers'!$L$3:$N$6,3,FALSE)))</f>
        <v/>
      </c>
      <c r="M88" s="275" t="str">
        <f>IF(OR(D88="",H88=""),"",(INDEX('G-6 Hedgerow Data'!$E$3:$I$15,MATCH(D88,'G-6 Hedgerow Data'!$B$3:$B$15,0),MATCH(H88,'G-6 Hedgerow Data'!$E$2:$I$2,0))))</f>
        <v/>
      </c>
      <c r="N88" s="133"/>
      <c r="O88" s="133"/>
      <c r="P88" s="283" t="str">
        <f t="shared" si="7"/>
        <v/>
      </c>
      <c r="Q88" s="296" t="str">
        <f t="shared" si="8"/>
        <v/>
      </c>
      <c r="R88" s="297" t="str">
        <f t="shared" si="6"/>
        <v/>
      </c>
      <c r="S88" s="311" t="str">
        <f>IF(D88="","",VLOOKUP(D88,'G-6 Hedgerow Data'!$B$3:$AG$15,31,FALSE))</f>
        <v/>
      </c>
      <c r="T88" s="283" t="str">
        <f t="shared" si="9"/>
        <v/>
      </c>
      <c r="U88" s="283" t="str">
        <f t="shared" si="10"/>
        <v/>
      </c>
      <c r="V88" s="299" t="str">
        <f>IF(D88="","",VLOOKUP(S88,'G-3 Multipliers'!$P$3:$Q$6,2,FALSE))</f>
        <v/>
      </c>
      <c r="W88" s="303" t="str">
        <f t="shared" si="11"/>
        <v/>
      </c>
      <c r="X88" s="101"/>
      <c r="Y88" s="115"/>
      <c r="Z88" s="104"/>
      <c r="AG88" s="30" t="str">
        <f>IFERROR(INDEX('G-6 Hedgerow Data'!$BJ$3:$BJ$15,MATCH(D88,'G-6 Hedgerow Data'!$B$3:$B$15,0)),"")</f>
        <v/>
      </c>
    </row>
    <row r="89" spans="2:33" ht="14" hidden="1">
      <c r="B89" s="97">
        <v>78</v>
      </c>
      <c r="C89" s="140"/>
      <c r="D89" s="133"/>
      <c r="E89" s="115"/>
      <c r="F89" s="323" t="str">
        <f>IF(D89="","",VLOOKUP(D89,'G-6 Hedgerow Data'!$B$2:$AG$15,2,FALSE))</f>
        <v/>
      </c>
      <c r="G89" s="276" t="str">
        <f>IF(D89="","",VLOOKUP(D89,'G-6 Hedgerow Data'!$B$2:$AG$15,3,FALSE))</f>
        <v/>
      </c>
      <c r="H89" s="101"/>
      <c r="I89" s="276" t="str">
        <f>IFERROR(IF(H89="","",IF(AND(D89="Non-native and ornamental hedgerow",H89&lt;&gt;"Poor"),"Not possible ▲",(VLOOKUP(H89,'G-1 All Habitats'!$Z$2:$AA$9,2,FALSE)))),"")</f>
        <v/>
      </c>
      <c r="J89" s="101"/>
      <c r="K89" s="295" t="str">
        <f>IF(J89="","",IF(VLOOKUP(J89,'G-3 Multipliers'!$L$3:$N$6,2,FALSE)=0,"Spatial Data Missing ⚠",VLOOKUP(J89,'G-3 Multipliers'!$L$3:$N$6,2,FALSE)))</f>
        <v/>
      </c>
      <c r="L89" s="281" t="str">
        <f>IF(J89="","",IF(VLOOKUP(J89,'G-3 Multipliers'!$L$3:$N$6,3,FALSE)=0,"Spatial Data Missing ⚠",VLOOKUP(J89,'G-3 Multipliers'!$L$3:$N$6,3,FALSE)))</f>
        <v/>
      </c>
      <c r="M89" s="275" t="str">
        <f>IF(OR(D89="",H89=""),"",(INDEX('G-6 Hedgerow Data'!$E$3:$I$15,MATCH(D89,'G-6 Hedgerow Data'!$B$3:$B$15,0),MATCH(H89,'G-6 Hedgerow Data'!$E$2:$I$2,0))))</f>
        <v/>
      </c>
      <c r="N89" s="133"/>
      <c r="O89" s="133"/>
      <c r="P89" s="283" t="str">
        <f t="shared" si="7"/>
        <v/>
      </c>
      <c r="Q89" s="296" t="str">
        <f t="shared" si="8"/>
        <v/>
      </c>
      <c r="R89" s="297" t="str">
        <f t="shared" si="6"/>
        <v/>
      </c>
      <c r="S89" s="311" t="str">
        <f>IF(D89="","",VLOOKUP(D89,'G-6 Hedgerow Data'!$B$3:$AG$15,31,FALSE))</f>
        <v/>
      </c>
      <c r="T89" s="283" t="str">
        <f t="shared" si="9"/>
        <v/>
      </c>
      <c r="U89" s="283" t="str">
        <f t="shared" si="10"/>
        <v/>
      </c>
      <c r="V89" s="299" t="str">
        <f>IF(D89="","",VLOOKUP(S89,'G-3 Multipliers'!$P$3:$Q$6,2,FALSE))</f>
        <v/>
      </c>
      <c r="W89" s="303" t="str">
        <f t="shared" si="11"/>
        <v/>
      </c>
      <c r="X89" s="101"/>
      <c r="Y89" s="115"/>
      <c r="Z89" s="104"/>
      <c r="AG89" s="30" t="str">
        <f>IFERROR(INDEX('G-6 Hedgerow Data'!$BJ$3:$BJ$15,MATCH(D89,'G-6 Hedgerow Data'!$B$3:$B$15,0)),"")</f>
        <v/>
      </c>
    </row>
    <row r="90" spans="2:33" ht="14" hidden="1">
      <c r="B90" s="97">
        <v>79</v>
      </c>
      <c r="C90" s="140"/>
      <c r="D90" s="133"/>
      <c r="E90" s="115"/>
      <c r="F90" s="323" t="str">
        <f>IF(D90="","",VLOOKUP(D90,'G-6 Hedgerow Data'!$B$2:$AG$15,2,FALSE))</f>
        <v/>
      </c>
      <c r="G90" s="276" t="str">
        <f>IF(D90="","",VLOOKUP(D90,'G-6 Hedgerow Data'!$B$2:$AG$15,3,FALSE))</f>
        <v/>
      </c>
      <c r="H90" s="101"/>
      <c r="I90" s="276" t="str">
        <f>IFERROR(IF(H90="","",IF(AND(D90="Non-native and ornamental hedgerow",H90&lt;&gt;"Poor"),"Not possible ▲",(VLOOKUP(H90,'G-1 All Habitats'!$Z$2:$AA$9,2,FALSE)))),"")</f>
        <v/>
      </c>
      <c r="J90" s="101"/>
      <c r="K90" s="295" t="str">
        <f>IF(J90="","",IF(VLOOKUP(J90,'G-3 Multipliers'!$L$3:$N$6,2,FALSE)=0,"Spatial Data Missing ⚠",VLOOKUP(J90,'G-3 Multipliers'!$L$3:$N$6,2,FALSE)))</f>
        <v/>
      </c>
      <c r="L90" s="281" t="str">
        <f>IF(J90="","",IF(VLOOKUP(J90,'G-3 Multipliers'!$L$3:$N$6,3,FALSE)=0,"Spatial Data Missing ⚠",VLOOKUP(J90,'G-3 Multipliers'!$L$3:$N$6,3,FALSE)))</f>
        <v/>
      </c>
      <c r="M90" s="275" t="str">
        <f>IF(OR(D90="",H90=""),"",(INDEX('G-6 Hedgerow Data'!$E$3:$I$15,MATCH(D90,'G-6 Hedgerow Data'!$B$3:$B$15,0),MATCH(H90,'G-6 Hedgerow Data'!$E$2:$I$2,0))))</f>
        <v/>
      </c>
      <c r="N90" s="133"/>
      <c r="O90" s="133"/>
      <c r="P90" s="283" t="str">
        <f t="shared" si="7"/>
        <v/>
      </c>
      <c r="Q90" s="296" t="str">
        <f t="shared" si="8"/>
        <v/>
      </c>
      <c r="R90" s="297" t="str">
        <f t="shared" si="6"/>
        <v/>
      </c>
      <c r="S90" s="311" t="str">
        <f>IF(D90="","",VLOOKUP(D90,'G-6 Hedgerow Data'!$B$3:$AG$15,31,FALSE))</f>
        <v/>
      </c>
      <c r="T90" s="283" t="str">
        <f t="shared" si="9"/>
        <v/>
      </c>
      <c r="U90" s="283" t="str">
        <f t="shared" si="10"/>
        <v/>
      </c>
      <c r="V90" s="299" t="str">
        <f>IF(D90="","",VLOOKUP(S90,'G-3 Multipliers'!$P$3:$Q$6,2,FALSE))</f>
        <v/>
      </c>
      <c r="W90" s="303" t="str">
        <f t="shared" si="11"/>
        <v/>
      </c>
      <c r="X90" s="101"/>
      <c r="Y90" s="115"/>
      <c r="Z90" s="104"/>
      <c r="AG90" s="30" t="str">
        <f>IFERROR(INDEX('G-6 Hedgerow Data'!$BJ$3:$BJ$15,MATCH(D90,'G-6 Hedgerow Data'!$B$3:$B$15,0)),"")</f>
        <v/>
      </c>
    </row>
    <row r="91" spans="2:33" ht="14" hidden="1">
      <c r="B91" s="97">
        <v>80</v>
      </c>
      <c r="C91" s="140"/>
      <c r="D91" s="133"/>
      <c r="E91" s="115"/>
      <c r="F91" s="323" t="str">
        <f>IF(D91="","",VLOOKUP(D91,'G-6 Hedgerow Data'!$B$2:$AG$15,2,FALSE))</f>
        <v/>
      </c>
      <c r="G91" s="276" t="str">
        <f>IF(D91="","",VLOOKUP(D91,'G-6 Hedgerow Data'!$B$2:$AG$15,3,FALSE))</f>
        <v/>
      </c>
      <c r="H91" s="101"/>
      <c r="I91" s="276" t="str">
        <f>IFERROR(IF(H91="","",IF(AND(D91="Non-native and ornamental hedgerow",H91&lt;&gt;"Poor"),"Not possible ▲",(VLOOKUP(H91,'G-1 All Habitats'!$Z$2:$AA$9,2,FALSE)))),"")</f>
        <v/>
      </c>
      <c r="J91" s="101"/>
      <c r="K91" s="295" t="str">
        <f>IF(J91="","",IF(VLOOKUP(J91,'G-3 Multipliers'!$L$3:$N$6,2,FALSE)=0,"Spatial Data Missing ⚠",VLOOKUP(J91,'G-3 Multipliers'!$L$3:$N$6,2,FALSE)))</f>
        <v/>
      </c>
      <c r="L91" s="281" t="str">
        <f>IF(J91="","",IF(VLOOKUP(J91,'G-3 Multipliers'!$L$3:$N$6,3,FALSE)=0,"Spatial Data Missing ⚠",VLOOKUP(J91,'G-3 Multipliers'!$L$3:$N$6,3,FALSE)))</f>
        <v/>
      </c>
      <c r="M91" s="275" t="str">
        <f>IF(OR(D91="",H91=""),"",(INDEX('G-6 Hedgerow Data'!$E$3:$I$15,MATCH(D91,'G-6 Hedgerow Data'!$B$3:$B$15,0),MATCH(H91,'G-6 Hedgerow Data'!$E$2:$I$2,0))))</f>
        <v/>
      </c>
      <c r="N91" s="133"/>
      <c r="O91" s="133"/>
      <c r="P91" s="283" t="str">
        <f t="shared" si="7"/>
        <v/>
      </c>
      <c r="Q91" s="296" t="str">
        <f t="shared" si="8"/>
        <v/>
      </c>
      <c r="R91" s="297" t="str">
        <f t="shared" si="6"/>
        <v/>
      </c>
      <c r="S91" s="311" t="str">
        <f>IF(D91="","",VLOOKUP(D91,'G-6 Hedgerow Data'!$B$3:$AG$15,31,FALSE))</f>
        <v/>
      </c>
      <c r="T91" s="283" t="str">
        <f t="shared" si="9"/>
        <v/>
      </c>
      <c r="U91" s="283" t="str">
        <f t="shared" si="10"/>
        <v/>
      </c>
      <c r="V91" s="299" t="str">
        <f>IF(D91="","",VLOOKUP(S91,'G-3 Multipliers'!$P$3:$Q$6,2,FALSE))</f>
        <v/>
      </c>
      <c r="W91" s="303" t="str">
        <f t="shared" si="11"/>
        <v/>
      </c>
      <c r="X91" s="101"/>
      <c r="Y91" s="115"/>
      <c r="Z91" s="104"/>
      <c r="AG91" s="30" t="str">
        <f>IFERROR(INDEX('G-6 Hedgerow Data'!$BJ$3:$BJ$15,MATCH(D91,'G-6 Hedgerow Data'!$B$3:$B$15,0)),"")</f>
        <v/>
      </c>
    </row>
    <row r="92" spans="2:33" ht="14" hidden="1">
      <c r="B92" s="97">
        <v>81</v>
      </c>
      <c r="C92" s="140"/>
      <c r="D92" s="133"/>
      <c r="E92" s="115"/>
      <c r="F92" s="323" t="str">
        <f>IF(D92="","",VLOOKUP(D92,'G-6 Hedgerow Data'!$B$2:$AG$15,2,FALSE))</f>
        <v/>
      </c>
      <c r="G92" s="276" t="str">
        <f>IF(D92="","",VLOOKUP(D92,'G-6 Hedgerow Data'!$B$2:$AG$15,3,FALSE))</f>
        <v/>
      </c>
      <c r="H92" s="101"/>
      <c r="I92" s="276" t="str">
        <f>IFERROR(IF(H92="","",IF(AND(D92="Non-native and ornamental hedgerow",H92&lt;&gt;"Poor"),"Not possible ▲",(VLOOKUP(H92,'G-1 All Habitats'!$Z$2:$AA$9,2,FALSE)))),"")</f>
        <v/>
      </c>
      <c r="J92" s="101"/>
      <c r="K92" s="295" t="str">
        <f>IF(J92="","",IF(VLOOKUP(J92,'G-3 Multipliers'!$L$3:$N$6,2,FALSE)=0,"Spatial Data Missing ⚠",VLOOKUP(J92,'G-3 Multipliers'!$L$3:$N$6,2,FALSE)))</f>
        <v/>
      </c>
      <c r="L92" s="281" t="str">
        <f>IF(J92="","",IF(VLOOKUP(J92,'G-3 Multipliers'!$L$3:$N$6,3,FALSE)=0,"Spatial Data Missing ⚠",VLOOKUP(J92,'G-3 Multipliers'!$L$3:$N$6,3,FALSE)))</f>
        <v/>
      </c>
      <c r="M92" s="275" t="str">
        <f>IF(OR(D92="",H92=""),"",(INDEX('G-6 Hedgerow Data'!$E$3:$I$15,MATCH(D92,'G-6 Hedgerow Data'!$B$3:$B$15,0),MATCH(H92,'G-6 Hedgerow Data'!$E$2:$I$2,0))))</f>
        <v/>
      </c>
      <c r="N92" s="133"/>
      <c r="O92" s="133"/>
      <c r="P92" s="283" t="str">
        <f t="shared" si="7"/>
        <v/>
      </c>
      <c r="Q92" s="296" t="str">
        <f t="shared" si="8"/>
        <v/>
      </c>
      <c r="R92" s="297" t="str">
        <f t="shared" si="6"/>
        <v/>
      </c>
      <c r="S92" s="311" t="str">
        <f>IF(D92="","",VLOOKUP(D92,'G-6 Hedgerow Data'!$B$3:$AG$15,31,FALSE))</f>
        <v/>
      </c>
      <c r="T92" s="283" t="str">
        <f t="shared" si="9"/>
        <v/>
      </c>
      <c r="U92" s="283" t="str">
        <f t="shared" si="10"/>
        <v/>
      </c>
      <c r="V92" s="299" t="str">
        <f>IF(D92="","",VLOOKUP(S92,'G-3 Multipliers'!$P$3:$Q$6,2,FALSE))</f>
        <v/>
      </c>
      <c r="W92" s="303" t="str">
        <f t="shared" si="11"/>
        <v/>
      </c>
      <c r="X92" s="101"/>
      <c r="Y92" s="115"/>
      <c r="Z92" s="104"/>
      <c r="AG92" s="30" t="str">
        <f>IFERROR(INDEX('G-6 Hedgerow Data'!$BJ$3:$BJ$15,MATCH(D92,'G-6 Hedgerow Data'!$B$3:$B$15,0)),"")</f>
        <v/>
      </c>
    </row>
    <row r="93" spans="2:33" ht="14" hidden="1">
      <c r="B93" s="97">
        <v>82</v>
      </c>
      <c r="C93" s="140"/>
      <c r="D93" s="133"/>
      <c r="E93" s="115"/>
      <c r="F93" s="323" t="str">
        <f>IF(D93="","",VLOOKUP(D93,'G-6 Hedgerow Data'!$B$2:$AG$15,2,FALSE))</f>
        <v/>
      </c>
      <c r="G93" s="276" t="str">
        <f>IF(D93="","",VLOOKUP(D93,'G-6 Hedgerow Data'!$B$2:$AG$15,3,FALSE))</f>
        <v/>
      </c>
      <c r="H93" s="101"/>
      <c r="I93" s="276" t="str">
        <f>IFERROR(IF(H93="","",IF(AND(D93="Non-native and ornamental hedgerow",H93&lt;&gt;"Poor"),"Not possible ▲",(VLOOKUP(H93,'G-1 All Habitats'!$Z$2:$AA$9,2,FALSE)))),"")</f>
        <v/>
      </c>
      <c r="J93" s="101"/>
      <c r="K93" s="295" t="str">
        <f>IF(J93="","",IF(VLOOKUP(J93,'G-3 Multipliers'!$L$3:$N$6,2,FALSE)=0,"Spatial Data Missing ⚠",VLOOKUP(J93,'G-3 Multipliers'!$L$3:$N$6,2,FALSE)))</f>
        <v/>
      </c>
      <c r="L93" s="281" t="str">
        <f>IF(J93="","",IF(VLOOKUP(J93,'G-3 Multipliers'!$L$3:$N$6,3,FALSE)=0,"Spatial Data Missing ⚠",VLOOKUP(J93,'G-3 Multipliers'!$L$3:$N$6,3,FALSE)))</f>
        <v/>
      </c>
      <c r="M93" s="275" t="str">
        <f>IF(OR(D93="",H93=""),"",(INDEX('G-6 Hedgerow Data'!$E$3:$I$15,MATCH(D93,'G-6 Hedgerow Data'!$B$3:$B$15,0),MATCH(H93,'G-6 Hedgerow Data'!$E$2:$I$2,0))))</f>
        <v/>
      </c>
      <c r="N93" s="133"/>
      <c r="O93" s="133"/>
      <c r="P93" s="283" t="str">
        <f t="shared" si="7"/>
        <v/>
      </c>
      <c r="Q93" s="296" t="str">
        <f t="shared" si="8"/>
        <v/>
      </c>
      <c r="R93" s="297" t="str">
        <f t="shared" si="6"/>
        <v/>
      </c>
      <c r="S93" s="311" t="str">
        <f>IF(D93="","",VLOOKUP(D93,'G-6 Hedgerow Data'!$B$3:$AG$15,31,FALSE))</f>
        <v/>
      </c>
      <c r="T93" s="283" t="str">
        <f t="shared" si="9"/>
        <v/>
      </c>
      <c r="U93" s="283" t="str">
        <f t="shared" si="10"/>
        <v/>
      </c>
      <c r="V93" s="299" t="str">
        <f>IF(D93="","",VLOOKUP(S93,'G-3 Multipliers'!$P$3:$Q$6,2,FALSE))</f>
        <v/>
      </c>
      <c r="W93" s="303" t="str">
        <f t="shared" si="11"/>
        <v/>
      </c>
      <c r="X93" s="101"/>
      <c r="Y93" s="115"/>
      <c r="Z93" s="104"/>
      <c r="AG93" s="30" t="str">
        <f>IFERROR(INDEX('G-6 Hedgerow Data'!$BJ$3:$BJ$15,MATCH(D93,'G-6 Hedgerow Data'!$B$3:$B$15,0)),"")</f>
        <v/>
      </c>
    </row>
    <row r="94" spans="2:33" ht="14" hidden="1">
      <c r="B94" s="97">
        <v>83</v>
      </c>
      <c r="C94" s="140"/>
      <c r="D94" s="133"/>
      <c r="E94" s="115"/>
      <c r="F94" s="323" t="str">
        <f>IF(D94="","",VLOOKUP(D94,'G-6 Hedgerow Data'!$B$2:$AG$15,2,FALSE))</f>
        <v/>
      </c>
      <c r="G94" s="276" t="str">
        <f>IF(D94="","",VLOOKUP(D94,'G-6 Hedgerow Data'!$B$2:$AG$15,3,FALSE))</f>
        <v/>
      </c>
      <c r="H94" s="101"/>
      <c r="I94" s="276" t="str">
        <f>IFERROR(IF(H94="","",IF(AND(D94="Non-native and ornamental hedgerow",H94&lt;&gt;"Poor"),"Not possible ▲",(VLOOKUP(H94,'G-1 All Habitats'!$Z$2:$AA$9,2,FALSE)))),"")</f>
        <v/>
      </c>
      <c r="J94" s="101"/>
      <c r="K94" s="295" t="str">
        <f>IF(J94="","",IF(VLOOKUP(J94,'G-3 Multipliers'!$L$3:$N$6,2,FALSE)=0,"Spatial Data Missing ⚠",VLOOKUP(J94,'G-3 Multipliers'!$L$3:$N$6,2,FALSE)))</f>
        <v/>
      </c>
      <c r="L94" s="281" t="str">
        <f>IF(J94="","",IF(VLOOKUP(J94,'G-3 Multipliers'!$L$3:$N$6,3,FALSE)=0,"Spatial Data Missing ⚠",VLOOKUP(J94,'G-3 Multipliers'!$L$3:$N$6,3,FALSE)))</f>
        <v/>
      </c>
      <c r="M94" s="275" t="str">
        <f>IF(OR(D94="",H94=""),"",(INDEX('G-6 Hedgerow Data'!$E$3:$I$15,MATCH(D94,'G-6 Hedgerow Data'!$B$3:$B$15,0),MATCH(H94,'G-6 Hedgerow Data'!$E$2:$I$2,0))))</f>
        <v/>
      </c>
      <c r="N94" s="133"/>
      <c r="O94" s="133"/>
      <c r="P94" s="283" t="str">
        <f t="shared" si="7"/>
        <v/>
      </c>
      <c r="Q94" s="296" t="str">
        <f t="shared" si="8"/>
        <v/>
      </c>
      <c r="R94" s="297" t="str">
        <f t="shared" si="6"/>
        <v/>
      </c>
      <c r="S94" s="311" t="str">
        <f>IF(D94="","",VLOOKUP(D94,'G-6 Hedgerow Data'!$B$3:$AG$15,31,FALSE))</f>
        <v/>
      </c>
      <c r="T94" s="283" t="str">
        <f t="shared" si="9"/>
        <v/>
      </c>
      <c r="U94" s="283" t="str">
        <f t="shared" si="10"/>
        <v/>
      </c>
      <c r="V94" s="299" t="str">
        <f>IF(D94="","",VLOOKUP(S94,'G-3 Multipliers'!$P$3:$Q$6,2,FALSE))</f>
        <v/>
      </c>
      <c r="W94" s="303" t="str">
        <f t="shared" si="11"/>
        <v/>
      </c>
      <c r="X94" s="101"/>
      <c r="Y94" s="115"/>
      <c r="Z94" s="104"/>
      <c r="AG94" s="30" t="str">
        <f>IFERROR(INDEX('G-6 Hedgerow Data'!$BJ$3:$BJ$15,MATCH(D94,'G-6 Hedgerow Data'!$B$3:$B$15,0)),"")</f>
        <v/>
      </c>
    </row>
    <row r="95" spans="2:33" ht="14" hidden="1">
      <c r="B95" s="97">
        <v>84</v>
      </c>
      <c r="C95" s="140"/>
      <c r="D95" s="133"/>
      <c r="E95" s="115"/>
      <c r="F95" s="323" t="str">
        <f>IF(D95="","",VLOOKUP(D95,'G-6 Hedgerow Data'!$B$2:$AG$15,2,FALSE))</f>
        <v/>
      </c>
      <c r="G95" s="276" t="str">
        <f>IF(D95="","",VLOOKUP(D95,'G-6 Hedgerow Data'!$B$2:$AG$15,3,FALSE))</f>
        <v/>
      </c>
      <c r="H95" s="101"/>
      <c r="I95" s="276" t="str">
        <f>IFERROR(IF(H95="","",IF(AND(D95="Non-native and ornamental hedgerow",H95&lt;&gt;"Poor"),"Not possible ▲",(VLOOKUP(H95,'G-1 All Habitats'!$Z$2:$AA$9,2,FALSE)))),"")</f>
        <v/>
      </c>
      <c r="J95" s="101"/>
      <c r="K95" s="295" t="str">
        <f>IF(J95="","",IF(VLOOKUP(J95,'G-3 Multipliers'!$L$3:$N$6,2,FALSE)=0,"Spatial Data Missing ⚠",VLOOKUP(J95,'G-3 Multipliers'!$L$3:$N$6,2,FALSE)))</f>
        <v/>
      </c>
      <c r="L95" s="281" t="str">
        <f>IF(J95="","",IF(VLOOKUP(J95,'G-3 Multipliers'!$L$3:$N$6,3,FALSE)=0,"Spatial Data Missing ⚠",VLOOKUP(J95,'G-3 Multipliers'!$L$3:$N$6,3,FALSE)))</f>
        <v/>
      </c>
      <c r="M95" s="275" t="str">
        <f>IF(OR(D95="",H95=""),"",(INDEX('G-6 Hedgerow Data'!$E$3:$I$15,MATCH(D95,'G-6 Hedgerow Data'!$B$3:$B$15,0),MATCH(H95,'G-6 Hedgerow Data'!$E$2:$I$2,0))))</f>
        <v/>
      </c>
      <c r="N95" s="133"/>
      <c r="O95" s="133"/>
      <c r="P95" s="283" t="str">
        <f t="shared" si="7"/>
        <v/>
      </c>
      <c r="Q95" s="296" t="str">
        <f t="shared" si="8"/>
        <v/>
      </c>
      <c r="R95" s="297" t="str">
        <f t="shared" si="6"/>
        <v/>
      </c>
      <c r="S95" s="311" t="str">
        <f>IF(D95="","",VLOOKUP(D95,'G-6 Hedgerow Data'!$B$3:$AG$15,31,FALSE))</f>
        <v/>
      </c>
      <c r="T95" s="283" t="str">
        <f t="shared" si="9"/>
        <v/>
      </c>
      <c r="U95" s="283" t="str">
        <f t="shared" si="10"/>
        <v/>
      </c>
      <c r="V95" s="299" t="str">
        <f>IF(D95="","",VLOOKUP(S95,'G-3 Multipliers'!$P$3:$Q$6,2,FALSE))</f>
        <v/>
      </c>
      <c r="W95" s="303" t="str">
        <f t="shared" si="11"/>
        <v/>
      </c>
      <c r="X95" s="101"/>
      <c r="Y95" s="115"/>
      <c r="Z95" s="104"/>
      <c r="AG95" s="30" t="str">
        <f>IFERROR(INDEX('G-6 Hedgerow Data'!$BJ$3:$BJ$15,MATCH(D95,'G-6 Hedgerow Data'!$B$3:$B$15,0)),"")</f>
        <v/>
      </c>
    </row>
    <row r="96" spans="2:33" ht="14" hidden="1">
      <c r="B96" s="97">
        <v>85</v>
      </c>
      <c r="C96" s="140"/>
      <c r="D96" s="133"/>
      <c r="E96" s="115"/>
      <c r="F96" s="323" t="str">
        <f>IF(D96="","",VLOOKUP(D96,'G-6 Hedgerow Data'!$B$2:$AG$15,2,FALSE))</f>
        <v/>
      </c>
      <c r="G96" s="276" t="str">
        <f>IF(D96="","",VLOOKUP(D96,'G-6 Hedgerow Data'!$B$2:$AG$15,3,FALSE))</f>
        <v/>
      </c>
      <c r="H96" s="101"/>
      <c r="I96" s="276" t="str">
        <f>IFERROR(IF(H96="","",IF(AND(D96="Non-native and ornamental hedgerow",H96&lt;&gt;"Poor"),"Not possible ▲",(VLOOKUP(H96,'G-1 All Habitats'!$Z$2:$AA$9,2,FALSE)))),"")</f>
        <v/>
      </c>
      <c r="J96" s="101"/>
      <c r="K96" s="295" t="str">
        <f>IF(J96="","",IF(VLOOKUP(J96,'G-3 Multipliers'!$L$3:$N$6,2,FALSE)=0,"Spatial Data Missing ⚠",VLOOKUP(J96,'G-3 Multipliers'!$L$3:$N$6,2,FALSE)))</f>
        <v/>
      </c>
      <c r="L96" s="281" t="str">
        <f>IF(J96="","",IF(VLOOKUP(J96,'G-3 Multipliers'!$L$3:$N$6,3,FALSE)=0,"Spatial Data Missing ⚠",VLOOKUP(J96,'G-3 Multipliers'!$L$3:$N$6,3,FALSE)))</f>
        <v/>
      </c>
      <c r="M96" s="275" t="str">
        <f>IF(OR(D96="",H96=""),"",(INDEX('G-6 Hedgerow Data'!$E$3:$I$15,MATCH(D96,'G-6 Hedgerow Data'!$B$3:$B$15,0),MATCH(H96,'G-6 Hedgerow Data'!$E$2:$I$2,0))))</f>
        <v/>
      </c>
      <c r="N96" s="133"/>
      <c r="O96" s="133"/>
      <c r="P96" s="283" t="str">
        <f t="shared" si="7"/>
        <v/>
      </c>
      <c r="Q96" s="296" t="str">
        <f t="shared" si="8"/>
        <v/>
      </c>
      <c r="R96" s="297" t="str">
        <f t="shared" si="6"/>
        <v/>
      </c>
      <c r="S96" s="311" t="str">
        <f>IF(D96="","",VLOOKUP(D96,'G-6 Hedgerow Data'!$B$3:$AG$15,31,FALSE))</f>
        <v/>
      </c>
      <c r="T96" s="283" t="str">
        <f t="shared" si="9"/>
        <v/>
      </c>
      <c r="U96" s="283" t="str">
        <f t="shared" si="10"/>
        <v/>
      </c>
      <c r="V96" s="299" t="str">
        <f>IF(D96="","",VLOOKUP(S96,'G-3 Multipliers'!$P$3:$Q$6,2,FALSE))</f>
        <v/>
      </c>
      <c r="W96" s="303" t="str">
        <f t="shared" si="11"/>
        <v/>
      </c>
      <c r="X96" s="101"/>
      <c r="Y96" s="115"/>
      <c r="Z96" s="104"/>
      <c r="AG96" s="30" t="str">
        <f>IFERROR(INDEX('G-6 Hedgerow Data'!$BJ$3:$BJ$15,MATCH(D96,'G-6 Hedgerow Data'!$B$3:$B$15,0)),"")</f>
        <v/>
      </c>
    </row>
    <row r="97" spans="2:33" ht="14" hidden="1">
      <c r="B97" s="97">
        <v>86</v>
      </c>
      <c r="C97" s="140"/>
      <c r="D97" s="133"/>
      <c r="E97" s="115"/>
      <c r="F97" s="323" t="str">
        <f>IF(D97="","",VLOOKUP(D97,'G-6 Hedgerow Data'!$B$2:$AG$15,2,FALSE))</f>
        <v/>
      </c>
      <c r="G97" s="276" t="str">
        <f>IF(D97="","",VLOOKUP(D97,'G-6 Hedgerow Data'!$B$2:$AG$15,3,FALSE))</f>
        <v/>
      </c>
      <c r="H97" s="101"/>
      <c r="I97" s="276" t="str">
        <f>IFERROR(IF(H97="","",IF(AND(D97="Non-native and ornamental hedgerow",H97&lt;&gt;"Poor"),"Not possible ▲",(VLOOKUP(H97,'G-1 All Habitats'!$Z$2:$AA$9,2,FALSE)))),"")</f>
        <v/>
      </c>
      <c r="J97" s="101"/>
      <c r="K97" s="295" t="str">
        <f>IF(J97="","",IF(VLOOKUP(J97,'G-3 Multipliers'!$L$3:$N$6,2,FALSE)=0,"Spatial Data Missing ⚠",VLOOKUP(J97,'G-3 Multipliers'!$L$3:$N$6,2,FALSE)))</f>
        <v/>
      </c>
      <c r="L97" s="281" t="str">
        <f>IF(J97="","",IF(VLOOKUP(J97,'G-3 Multipliers'!$L$3:$N$6,3,FALSE)=0,"Spatial Data Missing ⚠",VLOOKUP(J97,'G-3 Multipliers'!$L$3:$N$6,3,FALSE)))</f>
        <v/>
      </c>
      <c r="M97" s="275" t="str">
        <f>IF(OR(D97="",H97=""),"",(INDEX('G-6 Hedgerow Data'!$E$3:$I$15,MATCH(D97,'G-6 Hedgerow Data'!$B$3:$B$15,0),MATCH(H97,'G-6 Hedgerow Data'!$E$2:$I$2,0))))</f>
        <v/>
      </c>
      <c r="N97" s="133"/>
      <c r="O97" s="133"/>
      <c r="P97" s="283" t="str">
        <f t="shared" si="7"/>
        <v/>
      </c>
      <c r="Q97" s="296" t="str">
        <f t="shared" si="8"/>
        <v/>
      </c>
      <c r="R97" s="297" t="str">
        <f t="shared" si="6"/>
        <v/>
      </c>
      <c r="S97" s="311" t="str">
        <f>IF(D97="","",VLOOKUP(D97,'G-6 Hedgerow Data'!$B$3:$AG$15,31,FALSE))</f>
        <v/>
      </c>
      <c r="T97" s="283" t="str">
        <f t="shared" si="9"/>
        <v/>
      </c>
      <c r="U97" s="283" t="str">
        <f t="shared" si="10"/>
        <v/>
      </c>
      <c r="V97" s="299" t="str">
        <f>IF(D97="","",VLOOKUP(S97,'G-3 Multipliers'!$P$3:$Q$6,2,FALSE))</f>
        <v/>
      </c>
      <c r="W97" s="303" t="str">
        <f t="shared" si="11"/>
        <v/>
      </c>
      <c r="X97" s="101"/>
      <c r="Y97" s="115"/>
      <c r="Z97" s="104"/>
      <c r="AG97" s="30" t="str">
        <f>IFERROR(INDEX('G-6 Hedgerow Data'!$BJ$3:$BJ$15,MATCH(D97,'G-6 Hedgerow Data'!$B$3:$B$15,0)),"")</f>
        <v/>
      </c>
    </row>
    <row r="98" spans="2:33" ht="14" hidden="1">
      <c r="B98" s="97">
        <v>87</v>
      </c>
      <c r="C98" s="140"/>
      <c r="D98" s="133"/>
      <c r="E98" s="115"/>
      <c r="F98" s="323" t="str">
        <f>IF(D98="","",VLOOKUP(D98,'G-6 Hedgerow Data'!$B$2:$AG$15,2,FALSE))</f>
        <v/>
      </c>
      <c r="G98" s="276" t="str">
        <f>IF(D98="","",VLOOKUP(D98,'G-6 Hedgerow Data'!$B$2:$AG$15,3,FALSE))</f>
        <v/>
      </c>
      <c r="H98" s="101"/>
      <c r="I98" s="276" t="str">
        <f>IFERROR(IF(H98="","",IF(AND(D98="Non-native and ornamental hedgerow",H98&lt;&gt;"Poor"),"Not possible ▲",(VLOOKUP(H98,'G-1 All Habitats'!$Z$2:$AA$9,2,FALSE)))),"")</f>
        <v/>
      </c>
      <c r="J98" s="101"/>
      <c r="K98" s="295" t="str">
        <f>IF(J98="","",IF(VLOOKUP(J98,'G-3 Multipliers'!$L$3:$N$6,2,FALSE)=0,"Spatial Data Missing ⚠",VLOOKUP(J98,'G-3 Multipliers'!$L$3:$N$6,2,FALSE)))</f>
        <v/>
      </c>
      <c r="L98" s="281" t="str">
        <f>IF(J98="","",IF(VLOOKUP(J98,'G-3 Multipliers'!$L$3:$N$6,3,FALSE)=0,"Spatial Data Missing ⚠",VLOOKUP(J98,'G-3 Multipliers'!$L$3:$N$6,3,FALSE)))</f>
        <v/>
      </c>
      <c r="M98" s="275" t="str">
        <f>IF(OR(D98="",H98=""),"",(INDEX('G-6 Hedgerow Data'!$E$3:$I$15,MATCH(D98,'G-6 Hedgerow Data'!$B$3:$B$15,0),MATCH(H98,'G-6 Hedgerow Data'!$E$2:$I$2,0))))</f>
        <v/>
      </c>
      <c r="N98" s="133"/>
      <c r="O98" s="133"/>
      <c r="P98" s="283" t="str">
        <f t="shared" si="7"/>
        <v/>
      </c>
      <c r="Q98" s="296" t="str">
        <f t="shared" si="8"/>
        <v/>
      </c>
      <c r="R98" s="297" t="str">
        <f t="shared" si="6"/>
        <v/>
      </c>
      <c r="S98" s="311" t="str">
        <f>IF(D98="","",VLOOKUP(D98,'G-6 Hedgerow Data'!$B$3:$AG$15,31,FALSE))</f>
        <v/>
      </c>
      <c r="T98" s="283" t="str">
        <f t="shared" si="9"/>
        <v/>
      </c>
      <c r="U98" s="283" t="str">
        <f t="shared" si="10"/>
        <v/>
      </c>
      <c r="V98" s="299" t="str">
        <f>IF(D98="","",VLOOKUP(S98,'G-3 Multipliers'!$P$3:$Q$6,2,FALSE))</f>
        <v/>
      </c>
      <c r="W98" s="303" t="str">
        <f t="shared" si="11"/>
        <v/>
      </c>
      <c r="X98" s="101"/>
      <c r="Y98" s="115"/>
      <c r="Z98" s="104"/>
      <c r="AG98" s="30" t="str">
        <f>IFERROR(INDEX('G-6 Hedgerow Data'!$BJ$3:$BJ$15,MATCH(D98,'G-6 Hedgerow Data'!$B$3:$B$15,0)),"")</f>
        <v/>
      </c>
    </row>
    <row r="99" spans="2:33" ht="14" hidden="1">
      <c r="B99" s="97">
        <v>88</v>
      </c>
      <c r="C99" s="140"/>
      <c r="D99" s="133"/>
      <c r="E99" s="115"/>
      <c r="F99" s="323" t="str">
        <f>IF(D99="","",VLOOKUP(D99,'G-6 Hedgerow Data'!$B$2:$AG$15,2,FALSE))</f>
        <v/>
      </c>
      <c r="G99" s="276" t="str">
        <f>IF(D99="","",VLOOKUP(D99,'G-6 Hedgerow Data'!$B$2:$AG$15,3,FALSE))</f>
        <v/>
      </c>
      <c r="H99" s="101"/>
      <c r="I99" s="276" t="str">
        <f>IFERROR(IF(H99="","",IF(AND(D99="Non-native and ornamental hedgerow",H99&lt;&gt;"Poor"),"Not possible ▲",(VLOOKUP(H99,'G-1 All Habitats'!$Z$2:$AA$9,2,FALSE)))),"")</f>
        <v/>
      </c>
      <c r="J99" s="101"/>
      <c r="K99" s="295" t="str">
        <f>IF(J99="","",IF(VLOOKUP(J99,'G-3 Multipliers'!$L$3:$N$6,2,FALSE)=0,"Spatial Data Missing ⚠",VLOOKUP(J99,'G-3 Multipliers'!$L$3:$N$6,2,FALSE)))</f>
        <v/>
      </c>
      <c r="L99" s="281" t="str">
        <f>IF(J99="","",IF(VLOOKUP(J99,'G-3 Multipliers'!$L$3:$N$6,3,FALSE)=0,"Spatial Data Missing ⚠",VLOOKUP(J99,'G-3 Multipliers'!$L$3:$N$6,3,FALSE)))</f>
        <v/>
      </c>
      <c r="M99" s="275" t="str">
        <f>IF(OR(D99="",H99=""),"",(INDEX('G-6 Hedgerow Data'!$E$3:$I$15,MATCH(D99,'G-6 Hedgerow Data'!$B$3:$B$15,0),MATCH(H99,'G-6 Hedgerow Data'!$E$2:$I$2,0))))</f>
        <v/>
      </c>
      <c r="N99" s="133"/>
      <c r="O99" s="133"/>
      <c r="P99" s="283" t="str">
        <f t="shared" si="7"/>
        <v/>
      </c>
      <c r="Q99" s="296" t="str">
        <f t="shared" si="8"/>
        <v/>
      </c>
      <c r="R99" s="297" t="str">
        <f t="shared" si="6"/>
        <v/>
      </c>
      <c r="S99" s="311" t="str">
        <f>IF(D99="","",VLOOKUP(D99,'G-6 Hedgerow Data'!$B$3:$AG$15,31,FALSE))</f>
        <v/>
      </c>
      <c r="T99" s="283" t="str">
        <f t="shared" si="9"/>
        <v/>
      </c>
      <c r="U99" s="283" t="str">
        <f t="shared" si="10"/>
        <v/>
      </c>
      <c r="V99" s="299" t="str">
        <f>IF(D99="","",VLOOKUP(S99,'G-3 Multipliers'!$P$3:$Q$6,2,FALSE))</f>
        <v/>
      </c>
      <c r="W99" s="303" t="str">
        <f t="shared" si="11"/>
        <v/>
      </c>
      <c r="X99" s="101"/>
      <c r="Y99" s="115"/>
      <c r="Z99" s="104"/>
      <c r="AG99" s="30" t="str">
        <f>IFERROR(INDEX('G-6 Hedgerow Data'!$BJ$3:$BJ$15,MATCH(D99,'G-6 Hedgerow Data'!$B$3:$B$15,0)),"")</f>
        <v/>
      </c>
    </row>
    <row r="100" spans="2:33" ht="14" hidden="1">
      <c r="B100" s="97">
        <v>89</v>
      </c>
      <c r="C100" s="140"/>
      <c r="D100" s="133"/>
      <c r="E100" s="115"/>
      <c r="F100" s="323" t="str">
        <f>IF(D100="","",VLOOKUP(D100,'G-6 Hedgerow Data'!$B$2:$AG$15,2,FALSE))</f>
        <v/>
      </c>
      <c r="G100" s="276" t="str">
        <f>IF(D100="","",VLOOKUP(D100,'G-6 Hedgerow Data'!$B$2:$AG$15,3,FALSE))</f>
        <v/>
      </c>
      <c r="H100" s="101"/>
      <c r="I100" s="276" t="str">
        <f>IFERROR(IF(H100="","",IF(AND(D100="Non-native and ornamental hedgerow",H100&lt;&gt;"Poor"),"Not possible ▲",(VLOOKUP(H100,'G-1 All Habitats'!$Z$2:$AA$9,2,FALSE)))),"")</f>
        <v/>
      </c>
      <c r="J100" s="101"/>
      <c r="K100" s="295" t="str">
        <f>IF(J100="","",IF(VLOOKUP(J100,'G-3 Multipliers'!$L$3:$N$6,2,FALSE)=0,"Spatial Data Missing ⚠",VLOOKUP(J100,'G-3 Multipliers'!$L$3:$N$6,2,FALSE)))</f>
        <v/>
      </c>
      <c r="L100" s="281" t="str">
        <f>IF(J100="","",IF(VLOOKUP(J100,'G-3 Multipliers'!$L$3:$N$6,3,FALSE)=0,"Spatial Data Missing ⚠",VLOOKUP(J100,'G-3 Multipliers'!$L$3:$N$6,3,FALSE)))</f>
        <v/>
      </c>
      <c r="M100" s="275" t="str">
        <f>IF(OR(D100="",H100=""),"",(INDEX('G-6 Hedgerow Data'!$E$3:$I$15,MATCH(D100,'G-6 Hedgerow Data'!$B$3:$B$15,0),MATCH(H100,'G-6 Hedgerow Data'!$E$2:$I$2,0))))</f>
        <v/>
      </c>
      <c r="N100" s="133"/>
      <c r="O100" s="133"/>
      <c r="P100" s="283" t="str">
        <f t="shared" si="7"/>
        <v/>
      </c>
      <c r="Q100" s="296" t="str">
        <f t="shared" si="8"/>
        <v/>
      </c>
      <c r="R100" s="297" t="str">
        <f t="shared" si="6"/>
        <v/>
      </c>
      <c r="S100" s="311" t="str">
        <f>IF(D100="","",VLOOKUP(D100,'G-6 Hedgerow Data'!$B$3:$AG$15,31,FALSE))</f>
        <v/>
      </c>
      <c r="T100" s="283" t="str">
        <f t="shared" si="9"/>
        <v/>
      </c>
      <c r="U100" s="283" t="str">
        <f t="shared" si="10"/>
        <v/>
      </c>
      <c r="V100" s="299" t="str">
        <f>IF(D100="","",VLOOKUP(S100,'G-3 Multipliers'!$P$3:$Q$6,2,FALSE))</f>
        <v/>
      </c>
      <c r="W100" s="303" t="str">
        <f t="shared" si="11"/>
        <v/>
      </c>
      <c r="X100" s="101"/>
      <c r="Y100" s="115"/>
      <c r="Z100" s="104"/>
      <c r="AG100" s="30" t="str">
        <f>IFERROR(INDEX('G-6 Hedgerow Data'!$BJ$3:$BJ$15,MATCH(D100,'G-6 Hedgerow Data'!$B$3:$B$15,0)),"")</f>
        <v/>
      </c>
    </row>
    <row r="101" spans="2:33" ht="14" hidden="1">
      <c r="B101" s="97">
        <v>90</v>
      </c>
      <c r="C101" s="140"/>
      <c r="D101" s="133"/>
      <c r="E101" s="115"/>
      <c r="F101" s="323" t="str">
        <f>IF(D101="","",VLOOKUP(D101,'G-6 Hedgerow Data'!$B$2:$AG$15,2,FALSE))</f>
        <v/>
      </c>
      <c r="G101" s="276" t="str">
        <f>IF(D101="","",VLOOKUP(D101,'G-6 Hedgerow Data'!$B$2:$AG$15,3,FALSE))</f>
        <v/>
      </c>
      <c r="H101" s="101"/>
      <c r="I101" s="276" t="str">
        <f>IFERROR(IF(H101="","",IF(AND(D101="Non-native and ornamental hedgerow",H101&lt;&gt;"Poor"),"Not possible ▲",(VLOOKUP(H101,'G-1 All Habitats'!$Z$2:$AA$9,2,FALSE)))),"")</f>
        <v/>
      </c>
      <c r="J101" s="101"/>
      <c r="K101" s="295" t="str">
        <f>IF(J101="","",IF(VLOOKUP(J101,'G-3 Multipliers'!$L$3:$N$6,2,FALSE)=0,"Spatial Data Missing ⚠",VLOOKUP(J101,'G-3 Multipliers'!$L$3:$N$6,2,FALSE)))</f>
        <v/>
      </c>
      <c r="L101" s="281" t="str">
        <f>IF(J101="","",IF(VLOOKUP(J101,'G-3 Multipliers'!$L$3:$N$6,3,FALSE)=0,"Spatial Data Missing ⚠",VLOOKUP(J101,'G-3 Multipliers'!$L$3:$N$6,3,FALSE)))</f>
        <v/>
      </c>
      <c r="M101" s="275" t="str">
        <f>IF(OR(D101="",H101=""),"",(INDEX('G-6 Hedgerow Data'!$E$3:$I$15,MATCH(D101,'G-6 Hedgerow Data'!$B$3:$B$15,0),MATCH(H101,'G-6 Hedgerow Data'!$E$2:$I$2,0))))</f>
        <v/>
      </c>
      <c r="N101" s="133"/>
      <c r="O101" s="133"/>
      <c r="P101" s="283" t="str">
        <f t="shared" si="7"/>
        <v/>
      </c>
      <c r="Q101" s="296" t="str">
        <f t="shared" si="8"/>
        <v/>
      </c>
      <c r="R101" s="297" t="str">
        <f t="shared" si="6"/>
        <v/>
      </c>
      <c r="S101" s="311" t="str">
        <f>IF(D101="","",VLOOKUP(D101,'G-6 Hedgerow Data'!$B$3:$AG$15,31,FALSE))</f>
        <v/>
      </c>
      <c r="T101" s="283" t="str">
        <f t="shared" si="9"/>
        <v/>
      </c>
      <c r="U101" s="283" t="str">
        <f t="shared" si="10"/>
        <v/>
      </c>
      <c r="V101" s="299" t="str">
        <f>IF(D101="","",VLOOKUP(S101,'G-3 Multipliers'!$P$3:$Q$6,2,FALSE))</f>
        <v/>
      </c>
      <c r="W101" s="303" t="str">
        <f t="shared" si="11"/>
        <v/>
      </c>
      <c r="X101" s="101"/>
      <c r="Y101" s="115"/>
      <c r="Z101" s="104"/>
      <c r="AG101" s="30" t="str">
        <f>IFERROR(INDEX('G-6 Hedgerow Data'!$BJ$3:$BJ$15,MATCH(D101,'G-6 Hedgerow Data'!$B$3:$B$15,0)),"")</f>
        <v/>
      </c>
    </row>
    <row r="102" spans="2:33" ht="14" hidden="1">
      <c r="B102" s="97">
        <v>91</v>
      </c>
      <c r="C102" s="140"/>
      <c r="D102" s="133"/>
      <c r="E102" s="115"/>
      <c r="F102" s="323" t="str">
        <f>IF(D102="","",VLOOKUP(D102,'G-6 Hedgerow Data'!$B$2:$AG$15,2,FALSE))</f>
        <v/>
      </c>
      <c r="G102" s="276" t="str">
        <f>IF(D102="","",VLOOKUP(D102,'G-6 Hedgerow Data'!$B$2:$AG$15,3,FALSE))</f>
        <v/>
      </c>
      <c r="H102" s="101"/>
      <c r="I102" s="276" t="str">
        <f>IFERROR(IF(H102="","",IF(AND(D102="Non-native and ornamental hedgerow",H102&lt;&gt;"Poor"),"Not possible ▲",(VLOOKUP(H102,'G-1 All Habitats'!$Z$2:$AA$9,2,FALSE)))),"")</f>
        <v/>
      </c>
      <c r="J102" s="101"/>
      <c r="K102" s="295" t="str">
        <f>IF(J102="","",IF(VLOOKUP(J102,'G-3 Multipliers'!$L$3:$N$6,2,FALSE)=0,"Spatial Data Missing ⚠",VLOOKUP(J102,'G-3 Multipliers'!$L$3:$N$6,2,FALSE)))</f>
        <v/>
      </c>
      <c r="L102" s="281" t="str">
        <f>IF(J102="","",IF(VLOOKUP(J102,'G-3 Multipliers'!$L$3:$N$6,3,FALSE)=0,"Spatial Data Missing ⚠",VLOOKUP(J102,'G-3 Multipliers'!$L$3:$N$6,3,FALSE)))</f>
        <v/>
      </c>
      <c r="M102" s="275" t="str">
        <f>IF(OR(D102="",H102=""),"",(INDEX('G-6 Hedgerow Data'!$E$3:$I$15,MATCH(D102,'G-6 Hedgerow Data'!$B$3:$B$15,0),MATCH(H102,'G-6 Hedgerow Data'!$E$2:$I$2,0))))</f>
        <v/>
      </c>
      <c r="N102" s="133"/>
      <c r="O102" s="133"/>
      <c r="P102" s="283" t="str">
        <f t="shared" si="7"/>
        <v/>
      </c>
      <c r="Q102" s="296" t="str">
        <f t="shared" si="8"/>
        <v/>
      </c>
      <c r="R102" s="297" t="str">
        <f t="shared" si="6"/>
        <v/>
      </c>
      <c r="S102" s="311" t="str">
        <f>IF(D102="","",VLOOKUP(D102,'G-6 Hedgerow Data'!$B$3:$AG$15,31,FALSE))</f>
        <v/>
      </c>
      <c r="T102" s="283" t="str">
        <f t="shared" si="9"/>
        <v/>
      </c>
      <c r="U102" s="283" t="str">
        <f t="shared" si="10"/>
        <v/>
      </c>
      <c r="V102" s="299" t="str">
        <f>IF(D102="","",VLOOKUP(S102,'G-3 Multipliers'!$P$3:$Q$6,2,FALSE))</f>
        <v/>
      </c>
      <c r="W102" s="303" t="str">
        <f t="shared" si="11"/>
        <v/>
      </c>
      <c r="X102" s="101"/>
      <c r="Y102" s="115"/>
      <c r="Z102" s="104"/>
      <c r="AG102" s="30" t="str">
        <f>IFERROR(INDEX('G-6 Hedgerow Data'!$BJ$3:$BJ$15,MATCH(D102,'G-6 Hedgerow Data'!$B$3:$B$15,0)),"")</f>
        <v/>
      </c>
    </row>
    <row r="103" spans="2:33" ht="14" hidden="1">
      <c r="B103" s="97">
        <v>92</v>
      </c>
      <c r="C103" s="140"/>
      <c r="D103" s="133"/>
      <c r="E103" s="115"/>
      <c r="F103" s="323" t="str">
        <f>IF(D103="","",VLOOKUP(D103,'G-6 Hedgerow Data'!$B$2:$AG$15,2,FALSE))</f>
        <v/>
      </c>
      <c r="G103" s="276" t="str">
        <f>IF(D103="","",VLOOKUP(D103,'G-6 Hedgerow Data'!$B$2:$AG$15,3,FALSE))</f>
        <v/>
      </c>
      <c r="H103" s="101"/>
      <c r="I103" s="276" t="str">
        <f>IFERROR(IF(H103="","",IF(AND(D103="Non-native and ornamental hedgerow",H103&lt;&gt;"Poor"),"Not possible ▲",(VLOOKUP(H103,'G-1 All Habitats'!$Z$2:$AA$9,2,FALSE)))),"")</f>
        <v/>
      </c>
      <c r="J103" s="101"/>
      <c r="K103" s="295" t="str">
        <f>IF(J103="","",IF(VLOOKUP(J103,'G-3 Multipliers'!$L$3:$N$6,2,FALSE)=0,"Spatial Data Missing ⚠",VLOOKUP(J103,'G-3 Multipliers'!$L$3:$N$6,2,FALSE)))</f>
        <v/>
      </c>
      <c r="L103" s="281" t="str">
        <f>IF(J103="","",IF(VLOOKUP(J103,'G-3 Multipliers'!$L$3:$N$6,3,FALSE)=0,"Spatial Data Missing ⚠",VLOOKUP(J103,'G-3 Multipliers'!$L$3:$N$6,3,FALSE)))</f>
        <v/>
      </c>
      <c r="M103" s="275" t="str">
        <f>IF(OR(D103="",H103=""),"",(INDEX('G-6 Hedgerow Data'!$E$3:$I$15,MATCH(D103,'G-6 Hedgerow Data'!$B$3:$B$15,0),MATCH(H103,'G-6 Hedgerow Data'!$E$2:$I$2,0))))</f>
        <v/>
      </c>
      <c r="N103" s="133"/>
      <c r="O103" s="133"/>
      <c r="P103" s="283" t="str">
        <f t="shared" si="7"/>
        <v/>
      </c>
      <c r="Q103" s="296" t="str">
        <f t="shared" si="8"/>
        <v/>
      </c>
      <c r="R103" s="297" t="str">
        <f t="shared" si="6"/>
        <v/>
      </c>
      <c r="S103" s="311" t="str">
        <f>IF(D103="","",VLOOKUP(D103,'G-6 Hedgerow Data'!$B$3:$AG$15,31,FALSE))</f>
        <v/>
      </c>
      <c r="T103" s="283" t="str">
        <f t="shared" si="9"/>
        <v/>
      </c>
      <c r="U103" s="283" t="str">
        <f t="shared" si="10"/>
        <v/>
      </c>
      <c r="V103" s="299" t="str">
        <f>IF(D103="","",VLOOKUP(S103,'G-3 Multipliers'!$P$3:$Q$6,2,FALSE))</f>
        <v/>
      </c>
      <c r="W103" s="303" t="str">
        <f t="shared" si="11"/>
        <v/>
      </c>
      <c r="X103" s="101"/>
      <c r="Y103" s="115"/>
      <c r="Z103" s="104"/>
      <c r="AG103" s="30" t="str">
        <f>IFERROR(INDEX('G-6 Hedgerow Data'!$BJ$3:$BJ$15,MATCH(D103,'G-6 Hedgerow Data'!$B$3:$B$15,0)),"")</f>
        <v/>
      </c>
    </row>
    <row r="104" spans="2:33" ht="14" hidden="1">
      <c r="B104" s="97">
        <v>93</v>
      </c>
      <c r="C104" s="140"/>
      <c r="D104" s="133"/>
      <c r="E104" s="115"/>
      <c r="F104" s="323" t="str">
        <f>IF(D104="","",VLOOKUP(D104,'G-6 Hedgerow Data'!$B$2:$AG$15,2,FALSE))</f>
        <v/>
      </c>
      <c r="G104" s="276" t="str">
        <f>IF(D104="","",VLOOKUP(D104,'G-6 Hedgerow Data'!$B$2:$AG$15,3,FALSE))</f>
        <v/>
      </c>
      <c r="H104" s="101"/>
      <c r="I104" s="276" t="str">
        <f>IFERROR(IF(H104="","",IF(AND(D104="Non-native and ornamental hedgerow",H104&lt;&gt;"Poor"),"Not possible ▲",(VLOOKUP(H104,'G-1 All Habitats'!$Z$2:$AA$9,2,FALSE)))),"")</f>
        <v/>
      </c>
      <c r="J104" s="101"/>
      <c r="K104" s="295" t="str">
        <f>IF(J104="","",IF(VLOOKUP(J104,'G-3 Multipliers'!$L$3:$N$6,2,FALSE)=0,"Spatial Data Missing ⚠",VLOOKUP(J104,'G-3 Multipliers'!$L$3:$N$6,2,FALSE)))</f>
        <v/>
      </c>
      <c r="L104" s="281" t="str">
        <f>IF(J104="","",IF(VLOOKUP(J104,'G-3 Multipliers'!$L$3:$N$6,3,FALSE)=0,"Spatial Data Missing ⚠",VLOOKUP(J104,'G-3 Multipliers'!$L$3:$N$6,3,FALSE)))</f>
        <v/>
      </c>
      <c r="M104" s="275" t="str">
        <f>IF(OR(D104="",H104=""),"",(INDEX('G-6 Hedgerow Data'!$E$3:$I$15,MATCH(D104,'G-6 Hedgerow Data'!$B$3:$B$15,0),MATCH(H104,'G-6 Hedgerow Data'!$E$2:$I$2,0))))</f>
        <v/>
      </c>
      <c r="N104" s="133"/>
      <c r="O104" s="133"/>
      <c r="P104" s="283" t="str">
        <f t="shared" si="7"/>
        <v/>
      </c>
      <c r="Q104" s="296" t="str">
        <f t="shared" si="8"/>
        <v/>
      </c>
      <c r="R104" s="297" t="str">
        <f t="shared" si="6"/>
        <v/>
      </c>
      <c r="S104" s="311" t="str">
        <f>IF(D104="","",VLOOKUP(D104,'G-6 Hedgerow Data'!$B$3:$AG$15,31,FALSE))</f>
        <v/>
      </c>
      <c r="T104" s="283" t="str">
        <f t="shared" si="9"/>
        <v/>
      </c>
      <c r="U104" s="283" t="str">
        <f t="shared" si="10"/>
        <v/>
      </c>
      <c r="V104" s="299" t="str">
        <f>IF(D104="","",VLOOKUP(S104,'G-3 Multipliers'!$P$3:$Q$6,2,FALSE))</f>
        <v/>
      </c>
      <c r="W104" s="303" t="str">
        <f t="shared" si="11"/>
        <v/>
      </c>
      <c r="X104" s="101"/>
      <c r="Y104" s="115"/>
      <c r="Z104" s="104"/>
      <c r="AG104" s="30" t="str">
        <f>IFERROR(INDEX('G-6 Hedgerow Data'!$BJ$3:$BJ$15,MATCH(D104,'G-6 Hedgerow Data'!$B$3:$B$15,0)),"")</f>
        <v/>
      </c>
    </row>
    <row r="105" spans="2:33" ht="14" hidden="1">
      <c r="B105" s="97">
        <v>94</v>
      </c>
      <c r="C105" s="140"/>
      <c r="D105" s="133"/>
      <c r="E105" s="115"/>
      <c r="F105" s="323" t="str">
        <f>IF(D105="","",VLOOKUP(D105,'G-6 Hedgerow Data'!$B$2:$AG$15,2,FALSE))</f>
        <v/>
      </c>
      <c r="G105" s="276" t="str">
        <f>IF(D105="","",VLOOKUP(D105,'G-6 Hedgerow Data'!$B$2:$AG$15,3,FALSE))</f>
        <v/>
      </c>
      <c r="H105" s="101"/>
      <c r="I105" s="276" t="str">
        <f>IFERROR(IF(H105="","",IF(AND(D105="Non-native and ornamental hedgerow",H105&lt;&gt;"Poor"),"Not possible ▲",(VLOOKUP(H105,'G-1 All Habitats'!$Z$2:$AA$9,2,FALSE)))),"")</f>
        <v/>
      </c>
      <c r="J105" s="101"/>
      <c r="K105" s="295" t="str">
        <f>IF(J105="","",IF(VLOOKUP(J105,'G-3 Multipliers'!$L$3:$N$6,2,FALSE)=0,"Spatial Data Missing ⚠",VLOOKUP(J105,'G-3 Multipliers'!$L$3:$N$6,2,FALSE)))</f>
        <v/>
      </c>
      <c r="L105" s="281" t="str">
        <f>IF(J105="","",IF(VLOOKUP(J105,'G-3 Multipliers'!$L$3:$N$6,3,FALSE)=0,"Spatial Data Missing ⚠",VLOOKUP(J105,'G-3 Multipliers'!$L$3:$N$6,3,FALSE)))</f>
        <v/>
      </c>
      <c r="M105" s="275" t="str">
        <f>IF(OR(D105="",H105=""),"",(INDEX('G-6 Hedgerow Data'!$E$3:$I$15,MATCH(D105,'G-6 Hedgerow Data'!$B$3:$B$15,0),MATCH(H105,'G-6 Hedgerow Data'!$E$2:$I$2,0))))</f>
        <v/>
      </c>
      <c r="N105" s="133"/>
      <c r="O105" s="133"/>
      <c r="P105" s="283" t="str">
        <f t="shared" si="7"/>
        <v/>
      </c>
      <c r="Q105" s="296" t="str">
        <f t="shared" si="8"/>
        <v/>
      </c>
      <c r="R105" s="297" t="str">
        <f t="shared" si="6"/>
        <v/>
      </c>
      <c r="S105" s="311" t="str">
        <f>IF(D105="","",VLOOKUP(D105,'G-6 Hedgerow Data'!$B$3:$AG$15,31,FALSE))</f>
        <v/>
      </c>
      <c r="T105" s="283" t="str">
        <f t="shared" si="9"/>
        <v/>
      </c>
      <c r="U105" s="283" t="str">
        <f t="shared" si="10"/>
        <v/>
      </c>
      <c r="V105" s="299" t="str">
        <f>IF(D105="","",VLOOKUP(S105,'G-3 Multipliers'!$P$3:$Q$6,2,FALSE))</f>
        <v/>
      </c>
      <c r="W105" s="303" t="str">
        <f t="shared" si="11"/>
        <v/>
      </c>
      <c r="X105" s="101"/>
      <c r="Y105" s="115"/>
      <c r="Z105" s="104"/>
      <c r="AG105" s="30" t="str">
        <f>IFERROR(INDEX('G-6 Hedgerow Data'!$BJ$3:$BJ$15,MATCH(D105,'G-6 Hedgerow Data'!$B$3:$B$15,0)),"")</f>
        <v/>
      </c>
    </row>
    <row r="106" spans="2:33" ht="14" hidden="1">
      <c r="B106" s="97">
        <v>95</v>
      </c>
      <c r="C106" s="140"/>
      <c r="D106" s="133"/>
      <c r="E106" s="115"/>
      <c r="F106" s="323" t="str">
        <f>IF(D106="","",VLOOKUP(D106,'G-6 Hedgerow Data'!$B$2:$AG$15,2,FALSE))</f>
        <v/>
      </c>
      <c r="G106" s="276" t="str">
        <f>IF(D106="","",VLOOKUP(D106,'G-6 Hedgerow Data'!$B$2:$AG$15,3,FALSE))</f>
        <v/>
      </c>
      <c r="H106" s="101"/>
      <c r="I106" s="276" t="str">
        <f>IFERROR(IF(H106="","",IF(AND(D106="Non-native and ornamental hedgerow",H106&lt;&gt;"Poor"),"Not possible ▲",(VLOOKUP(H106,'G-1 All Habitats'!$Z$2:$AA$9,2,FALSE)))),"")</f>
        <v/>
      </c>
      <c r="J106" s="101"/>
      <c r="K106" s="295" t="str">
        <f>IF(J106="","",IF(VLOOKUP(J106,'G-3 Multipliers'!$L$3:$N$6,2,FALSE)=0,"Spatial Data Missing ⚠",VLOOKUP(J106,'G-3 Multipliers'!$L$3:$N$6,2,FALSE)))</f>
        <v/>
      </c>
      <c r="L106" s="281" t="str">
        <f>IF(J106="","",IF(VLOOKUP(J106,'G-3 Multipliers'!$L$3:$N$6,3,FALSE)=0,"Spatial Data Missing ⚠",VLOOKUP(J106,'G-3 Multipliers'!$L$3:$N$6,3,FALSE)))</f>
        <v/>
      </c>
      <c r="M106" s="275" t="str">
        <f>IF(OR(D106="",H106=""),"",(INDEX('G-6 Hedgerow Data'!$E$3:$I$15,MATCH(D106,'G-6 Hedgerow Data'!$B$3:$B$15,0),MATCH(H106,'G-6 Hedgerow Data'!$E$2:$I$2,0))))</f>
        <v/>
      </c>
      <c r="N106" s="133"/>
      <c r="O106" s="133"/>
      <c r="P106" s="283" t="str">
        <f t="shared" si="7"/>
        <v/>
      </c>
      <c r="Q106" s="296" t="str">
        <f t="shared" si="8"/>
        <v/>
      </c>
      <c r="R106" s="297" t="str">
        <f t="shared" si="6"/>
        <v/>
      </c>
      <c r="S106" s="311" t="str">
        <f>IF(D106="","",VLOOKUP(D106,'G-6 Hedgerow Data'!$B$3:$AG$15,31,FALSE))</f>
        <v/>
      </c>
      <c r="T106" s="283" t="str">
        <f t="shared" si="9"/>
        <v/>
      </c>
      <c r="U106" s="283" t="str">
        <f t="shared" si="10"/>
        <v/>
      </c>
      <c r="V106" s="299" t="str">
        <f>IF(D106="","",VLOOKUP(S106,'G-3 Multipliers'!$P$3:$Q$6,2,FALSE))</f>
        <v/>
      </c>
      <c r="W106" s="303" t="str">
        <f t="shared" si="11"/>
        <v/>
      </c>
      <c r="X106" s="101"/>
      <c r="Y106" s="115"/>
      <c r="Z106" s="104"/>
      <c r="AG106" s="30" t="str">
        <f>IFERROR(INDEX('G-6 Hedgerow Data'!$BJ$3:$BJ$15,MATCH(D106,'G-6 Hedgerow Data'!$B$3:$B$15,0)),"")</f>
        <v/>
      </c>
    </row>
    <row r="107" spans="2:33" ht="14" hidden="1">
      <c r="B107" s="97">
        <v>96</v>
      </c>
      <c r="C107" s="140"/>
      <c r="D107" s="133"/>
      <c r="E107" s="115"/>
      <c r="F107" s="323" t="str">
        <f>IF(D107="","",VLOOKUP(D107,'G-6 Hedgerow Data'!$B$2:$AG$15,2,FALSE))</f>
        <v/>
      </c>
      <c r="G107" s="276" t="str">
        <f>IF(D107="","",VLOOKUP(D107,'G-6 Hedgerow Data'!$B$2:$AG$15,3,FALSE))</f>
        <v/>
      </c>
      <c r="H107" s="101"/>
      <c r="I107" s="276" t="str">
        <f>IFERROR(IF(H107="","",IF(AND(D107="Non-native and ornamental hedgerow",H107&lt;&gt;"Poor"),"Not possible ▲",(VLOOKUP(H107,'G-1 All Habitats'!$Z$2:$AA$9,2,FALSE)))),"")</f>
        <v/>
      </c>
      <c r="J107" s="101"/>
      <c r="K107" s="295" t="str">
        <f>IF(J107="","",IF(VLOOKUP(J107,'G-3 Multipliers'!$L$3:$N$6,2,FALSE)=0,"Spatial Data Missing ⚠",VLOOKUP(J107,'G-3 Multipliers'!$L$3:$N$6,2,FALSE)))</f>
        <v/>
      </c>
      <c r="L107" s="281" t="str">
        <f>IF(J107="","",IF(VLOOKUP(J107,'G-3 Multipliers'!$L$3:$N$6,3,FALSE)=0,"Spatial Data Missing ⚠",VLOOKUP(J107,'G-3 Multipliers'!$L$3:$N$6,3,FALSE)))</f>
        <v/>
      </c>
      <c r="M107" s="275" t="str">
        <f>IF(OR(D107="",H107=""),"",(INDEX('G-6 Hedgerow Data'!$E$3:$I$15,MATCH(D107,'G-6 Hedgerow Data'!$B$3:$B$15,0),MATCH(H107,'G-6 Hedgerow Data'!$E$2:$I$2,0))))</f>
        <v/>
      </c>
      <c r="N107" s="133"/>
      <c r="O107" s="133"/>
      <c r="P107" s="283" t="str">
        <f t="shared" si="7"/>
        <v/>
      </c>
      <c r="Q107" s="296" t="str">
        <f t="shared" si="8"/>
        <v/>
      </c>
      <c r="R107" s="297" t="str">
        <f t="shared" si="6"/>
        <v/>
      </c>
      <c r="S107" s="311" t="str">
        <f>IF(D107="","",VLOOKUP(D107,'G-6 Hedgerow Data'!$B$3:$AG$15,31,FALSE))</f>
        <v/>
      </c>
      <c r="T107" s="283" t="str">
        <f t="shared" si="9"/>
        <v/>
      </c>
      <c r="U107" s="283" t="str">
        <f t="shared" si="10"/>
        <v/>
      </c>
      <c r="V107" s="299" t="str">
        <f>IF(D107="","",VLOOKUP(S107,'G-3 Multipliers'!$P$3:$Q$6,2,FALSE))</f>
        <v/>
      </c>
      <c r="W107" s="303" t="str">
        <f t="shared" si="11"/>
        <v/>
      </c>
      <c r="X107" s="101"/>
      <c r="Y107" s="115"/>
      <c r="Z107" s="104"/>
      <c r="AG107" s="30" t="str">
        <f>IFERROR(INDEX('G-6 Hedgerow Data'!$BJ$3:$BJ$15,MATCH(D107,'G-6 Hedgerow Data'!$B$3:$B$15,0)),"")</f>
        <v/>
      </c>
    </row>
    <row r="108" spans="2:33" ht="14" hidden="1">
      <c r="B108" s="97">
        <v>97</v>
      </c>
      <c r="C108" s="140"/>
      <c r="D108" s="133"/>
      <c r="E108" s="115"/>
      <c r="F108" s="323" t="str">
        <f>IF(D108="","",VLOOKUP(D108,'G-6 Hedgerow Data'!$B$2:$AG$15,2,FALSE))</f>
        <v/>
      </c>
      <c r="G108" s="276" t="str">
        <f>IF(D108="","",VLOOKUP(D108,'G-6 Hedgerow Data'!$B$2:$AG$15,3,FALSE))</f>
        <v/>
      </c>
      <c r="H108" s="101"/>
      <c r="I108" s="276" t="str">
        <f>IFERROR(IF(H108="","",IF(AND(D108="Non-native and ornamental hedgerow",H108&lt;&gt;"Poor"),"Not possible ▲",(VLOOKUP(H108,'G-1 All Habitats'!$Z$2:$AA$9,2,FALSE)))),"")</f>
        <v/>
      </c>
      <c r="J108" s="101"/>
      <c r="K108" s="295" t="str">
        <f>IF(J108="","",IF(VLOOKUP(J108,'G-3 Multipliers'!$L$3:$N$6,2,FALSE)=0,"Spatial Data Missing ⚠",VLOOKUP(J108,'G-3 Multipliers'!$L$3:$N$6,2,FALSE)))</f>
        <v/>
      </c>
      <c r="L108" s="281" t="str">
        <f>IF(J108="","",IF(VLOOKUP(J108,'G-3 Multipliers'!$L$3:$N$6,3,FALSE)=0,"Spatial Data Missing ⚠",VLOOKUP(J108,'G-3 Multipliers'!$L$3:$N$6,3,FALSE)))</f>
        <v/>
      </c>
      <c r="M108" s="275" t="str">
        <f>IF(OR(D108="",H108=""),"",(INDEX('G-6 Hedgerow Data'!$E$3:$I$15,MATCH(D108,'G-6 Hedgerow Data'!$B$3:$B$15,0),MATCH(H108,'G-6 Hedgerow Data'!$E$2:$I$2,0))))</f>
        <v/>
      </c>
      <c r="N108" s="133"/>
      <c r="O108" s="133"/>
      <c r="P108" s="283" t="str">
        <f t="shared" si="7"/>
        <v/>
      </c>
      <c r="Q108" s="296" t="str">
        <f t="shared" si="8"/>
        <v/>
      </c>
      <c r="R108" s="297" t="str">
        <f t="shared" si="6"/>
        <v/>
      </c>
      <c r="S108" s="311" t="str">
        <f>IF(D108="","",VLOOKUP(D108,'G-6 Hedgerow Data'!$B$3:$AG$15,31,FALSE))</f>
        <v/>
      </c>
      <c r="T108" s="283" t="str">
        <f t="shared" si="9"/>
        <v/>
      </c>
      <c r="U108" s="283" t="str">
        <f t="shared" si="10"/>
        <v/>
      </c>
      <c r="V108" s="299" t="str">
        <f>IF(D108="","",VLOOKUP(S108,'G-3 Multipliers'!$P$3:$Q$6,2,FALSE))</f>
        <v/>
      </c>
      <c r="W108" s="303" t="str">
        <f t="shared" si="11"/>
        <v/>
      </c>
      <c r="X108" s="101"/>
      <c r="Y108" s="115"/>
      <c r="Z108" s="104"/>
      <c r="AG108" s="30" t="str">
        <f>IFERROR(INDEX('G-6 Hedgerow Data'!$BJ$3:$BJ$15,MATCH(D108,'G-6 Hedgerow Data'!$B$3:$B$15,0)),"")</f>
        <v/>
      </c>
    </row>
    <row r="109" spans="2:33" ht="14" hidden="1">
      <c r="B109" s="97">
        <v>98</v>
      </c>
      <c r="C109" s="140"/>
      <c r="D109" s="133"/>
      <c r="E109" s="115"/>
      <c r="F109" s="323" t="str">
        <f>IF(D109="","",VLOOKUP(D109,'G-6 Hedgerow Data'!$B$2:$AG$15,2,FALSE))</f>
        <v/>
      </c>
      <c r="G109" s="276" t="str">
        <f>IF(D109="","",VLOOKUP(D109,'G-6 Hedgerow Data'!$B$2:$AG$15,3,FALSE))</f>
        <v/>
      </c>
      <c r="H109" s="101"/>
      <c r="I109" s="276" t="str">
        <f>IFERROR(IF(H109="","",IF(AND(D109="Non-native and ornamental hedgerow",H109&lt;&gt;"Poor"),"Not possible ▲",(VLOOKUP(H109,'G-1 All Habitats'!$Z$2:$AA$9,2,FALSE)))),"")</f>
        <v/>
      </c>
      <c r="J109" s="101"/>
      <c r="K109" s="295" t="str">
        <f>IF(J109="","",IF(VLOOKUP(J109,'G-3 Multipliers'!$L$3:$N$6,2,FALSE)=0,"Spatial Data Missing ⚠",VLOOKUP(J109,'G-3 Multipliers'!$L$3:$N$6,2,FALSE)))</f>
        <v/>
      </c>
      <c r="L109" s="281" t="str">
        <f>IF(J109="","",IF(VLOOKUP(J109,'G-3 Multipliers'!$L$3:$N$6,3,FALSE)=0,"Spatial Data Missing ⚠",VLOOKUP(J109,'G-3 Multipliers'!$L$3:$N$6,3,FALSE)))</f>
        <v/>
      </c>
      <c r="M109" s="275" t="str">
        <f>IF(OR(D109="",H109=""),"",(INDEX('G-6 Hedgerow Data'!$E$3:$I$15,MATCH(D109,'G-6 Hedgerow Data'!$B$3:$B$15,0),MATCH(H109,'G-6 Hedgerow Data'!$E$2:$I$2,0))))</f>
        <v/>
      </c>
      <c r="N109" s="133"/>
      <c r="O109" s="133"/>
      <c r="P109" s="283" t="str">
        <f t="shared" si="7"/>
        <v/>
      </c>
      <c r="Q109" s="296" t="str">
        <f t="shared" si="8"/>
        <v/>
      </c>
      <c r="R109" s="297" t="str">
        <f t="shared" si="6"/>
        <v/>
      </c>
      <c r="S109" s="311" t="str">
        <f>IF(D109="","",VLOOKUP(D109,'G-6 Hedgerow Data'!$B$3:$AG$15,31,FALSE))</f>
        <v/>
      </c>
      <c r="T109" s="283" t="str">
        <f t="shared" si="9"/>
        <v/>
      </c>
      <c r="U109" s="283" t="str">
        <f t="shared" si="10"/>
        <v/>
      </c>
      <c r="V109" s="299" t="str">
        <f>IF(D109="","",VLOOKUP(S109,'G-3 Multipliers'!$P$3:$Q$6,2,FALSE))</f>
        <v/>
      </c>
      <c r="W109" s="303" t="str">
        <f t="shared" si="11"/>
        <v/>
      </c>
      <c r="X109" s="101"/>
      <c r="Y109" s="115"/>
      <c r="Z109" s="104"/>
      <c r="AG109" s="30" t="str">
        <f>IFERROR(INDEX('G-6 Hedgerow Data'!$BJ$3:$BJ$15,MATCH(D109,'G-6 Hedgerow Data'!$B$3:$B$15,0)),"")</f>
        <v/>
      </c>
    </row>
    <row r="110" spans="2:33" ht="14" hidden="1">
      <c r="B110" s="97">
        <v>99</v>
      </c>
      <c r="C110" s="140"/>
      <c r="D110" s="133"/>
      <c r="E110" s="115"/>
      <c r="F110" s="323" t="str">
        <f>IF(D110="","",VLOOKUP(D110,'G-6 Hedgerow Data'!$B$2:$AG$15,2,FALSE))</f>
        <v/>
      </c>
      <c r="G110" s="276" t="str">
        <f>IF(D110="","",VLOOKUP(D110,'G-6 Hedgerow Data'!$B$2:$AG$15,3,FALSE))</f>
        <v/>
      </c>
      <c r="H110" s="101"/>
      <c r="I110" s="276" t="str">
        <f>IFERROR(IF(H110="","",IF(AND(D110="Non-native and ornamental hedgerow",H110&lt;&gt;"Poor"),"Not possible ▲",(VLOOKUP(H110,'G-1 All Habitats'!$Z$2:$AA$9,2,FALSE)))),"")</f>
        <v/>
      </c>
      <c r="J110" s="101"/>
      <c r="K110" s="295" t="str">
        <f>IF(J110="","",IF(VLOOKUP(J110,'G-3 Multipliers'!$L$3:$N$6,2,FALSE)=0,"Spatial Data Missing ⚠",VLOOKUP(J110,'G-3 Multipliers'!$L$3:$N$6,2,FALSE)))</f>
        <v/>
      </c>
      <c r="L110" s="281" t="str">
        <f>IF(J110="","",IF(VLOOKUP(J110,'G-3 Multipliers'!$L$3:$N$6,3,FALSE)=0,"Spatial Data Missing ⚠",VLOOKUP(J110,'G-3 Multipliers'!$L$3:$N$6,3,FALSE)))</f>
        <v/>
      </c>
      <c r="M110" s="275" t="str">
        <f>IF(OR(D110="",H110=""),"",(INDEX('G-6 Hedgerow Data'!$E$3:$I$15,MATCH(D110,'G-6 Hedgerow Data'!$B$3:$B$15,0),MATCH(H110,'G-6 Hedgerow Data'!$E$2:$I$2,0))))</f>
        <v/>
      </c>
      <c r="N110" s="133"/>
      <c r="O110" s="133"/>
      <c r="P110" s="283" t="str">
        <f t="shared" si="7"/>
        <v/>
      </c>
      <c r="Q110" s="296" t="str">
        <f t="shared" si="8"/>
        <v/>
      </c>
      <c r="R110" s="297" t="str">
        <f t="shared" si="6"/>
        <v/>
      </c>
      <c r="S110" s="311" t="str">
        <f>IF(D110="","",VLOOKUP(D110,'G-6 Hedgerow Data'!$B$3:$AG$15,31,FALSE))</f>
        <v/>
      </c>
      <c r="T110" s="283" t="str">
        <f t="shared" si="9"/>
        <v/>
      </c>
      <c r="U110" s="283" t="str">
        <f t="shared" si="10"/>
        <v/>
      </c>
      <c r="V110" s="299" t="str">
        <f>IF(D110="","",VLOOKUP(S110,'G-3 Multipliers'!$P$3:$Q$6,2,FALSE))</f>
        <v/>
      </c>
      <c r="W110" s="303" t="str">
        <f t="shared" si="11"/>
        <v/>
      </c>
      <c r="X110" s="101"/>
      <c r="Y110" s="115"/>
      <c r="Z110" s="104"/>
      <c r="AG110" s="30" t="str">
        <f>IFERROR(INDEX('G-6 Hedgerow Data'!$BJ$3:$BJ$15,MATCH(D110,'G-6 Hedgerow Data'!$B$3:$B$15,0)),"")</f>
        <v/>
      </c>
    </row>
    <row r="111" spans="2:33" ht="14" hidden="1">
      <c r="B111" s="97">
        <v>100</v>
      </c>
      <c r="C111" s="140"/>
      <c r="D111" s="133"/>
      <c r="E111" s="115"/>
      <c r="F111" s="323" t="str">
        <f>IF(D111="","",VLOOKUP(D111,'G-6 Hedgerow Data'!$B$2:$AG$15,2,FALSE))</f>
        <v/>
      </c>
      <c r="G111" s="276" t="str">
        <f>IF(D111="","",VLOOKUP(D111,'G-6 Hedgerow Data'!$B$2:$AG$15,3,FALSE))</f>
        <v/>
      </c>
      <c r="H111" s="101"/>
      <c r="I111" s="276" t="str">
        <f>IFERROR(IF(H111="","",IF(AND(D111="Non-native and ornamental hedgerow",H111&lt;&gt;"Poor"),"Not possible ▲",(VLOOKUP(H111,'G-1 All Habitats'!$Z$2:$AA$9,2,FALSE)))),"")</f>
        <v/>
      </c>
      <c r="J111" s="101"/>
      <c r="K111" s="295" t="str">
        <f>IF(J111="","",IF(VLOOKUP(J111,'G-3 Multipliers'!$L$3:$N$6,2,FALSE)=0,"Spatial Data Missing ⚠",VLOOKUP(J111,'G-3 Multipliers'!$L$3:$N$6,2,FALSE)))</f>
        <v/>
      </c>
      <c r="L111" s="281" t="str">
        <f>IF(J111="","",IF(VLOOKUP(J111,'G-3 Multipliers'!$L$3:$N$6,3,FALSE)=0,"Spatial Data Missing ⚠",VLOOKUP(J111,'G-3 Multipliers'!$L$3:$N$6,3,FALSE)))</f>
        <v/>
      </c>
      <c r="M111" s="275" t="str">
        <f>IF(OR(D111="",H111=""),"",(INDEX('G-6 Hedgerow Data'!$E$3:$I$15,MATCH(D111,'G-6 Hedgerow Data'!$B$3:$B$15,0),MATCH(H111,'G-6 Hedgerow Data'!$E$2:$I$2,0))))</f>
        <v/>
      </c>
      <c r="N111" s="133"/>
      <c r="O111" s="133"/>
      <c r="P111" s="283" t="str">
        <f t="shared" si="7"/>
        <v/>
      </c>
      <c r="Q111" s="296" t="str">
        <f t="shared" si="8"/>
        <v/>
      </c>
      <c r="R111" s="297" t="str">
        <f t="shared" si="6"/>
        <v/>
      </c>
      <c r="S111" s="311" t="str">
        <f>IF(D111="","",VLOOKUP(D111,'G-6 Hedgerow Data'!$B$3:$AG$15,31,FALSE))</f>
        <v/>
      </c>
      <c r="T111" s="283" t="str">
        <f t="shared" si="9"/>
        <v/>
      </c>
      <c r="U111" s="283" t="str">
        <f t="shared" si="10"/>
        <v/>
      </c>
      <c r="V111" s="299" t="str">
        <f>IF(D111="","",VLOOKUP(S111,'G-3 Multipliers'!$P$3:$Q$6,2,FALSE))</f>
        <v/>
      </c>
      <c r="W111" s="303" t="str">
        <f t="shared" si="11"/>
        <v/>
      </c>
      <c r="X111" s="101"/>
      <c r="Y111" s="115"/>
      <c r="Z111" s="104"/>
      <c r="AG111" s="30" t="str">
        <f>IFERROR(INDEX('G-6 Hedgerow Data'!$BJ$3:$BJ$15,MATCH(D111,'G-6 Hedgerow Data'!$B$3:$B$15,0)),"")</f>
        <v/>
      </c>
    </row>
    <row r="112" spans="2:33" ht="14" hidden="1">
      <c r="B112" s="97">
        <v>101</v>
      </c>
      <c r="C112" s="140"/>
      <c r="D112" s="133"/>
      <c r="E112" s="115"/>
      <c r="F112" s="323" t="str">
        <f>IF(D112="","",VLOOKUP(D112,'G-6 Hedgerow Data'!$B$2:$AG$15,2,FALSE))</f>
        <v/>
      </c>
      <c r="G112" s="276" t="str">
        <f>IF(D112="","",VLOOKUP(D112,'G-6 Hedgerow Data'!$B$2:$AG$15,3,FALSE))</f>
        <v/>
      </c>
      <c r="H112" s="101"/>
      <c r="I112" s="276" t="str">
        <f>IFERROR(IF(H112="","",IF(AND(D112="Non-native and ornamental hedgerow",H112&lt;&gt;"Poor"),"Not possible ▲",(VLOOKUP(H112,'G-1 All Habitats'!$Z$2:$AA$9,2,FALSE)))),"")</f>
        <v/>
      </c>
      <c r="J112" s="101"/>
      <c r="K112" s="295" t="str">
        <f>IF(J112="","",IF(VLOOKUP(J112,'G-3 Multipliers'!$L$3:$N$6,2,FALSE)=0,"Spatial Data Missing ⚠",VLOOKUP(J112,'G-3 Multipliers'!$L$3:$N$6,2,FALSE)))</f>
        <v/>
      </c>
      <c r="L112" s="281" t="str">
        <f>IF(J112="","",IF(VLOOKUP(J112,'G-3 Multipliers'!$L$3:$N$6,3,FALSE)=0,"Spatial Data Missing ⚠",VLOOKUP(J112,'G-3 Multipliers'!$L$3:$N$6,3,FALSE)))</f>
        <v/>
      </c>
      <c r="M112" s="275" t="str">
        <f>IF(OR(D112="",H112=""),"",(INDEX('G-6 Hedgerow Data'!$E$3:$I$15,MATCH(D112,'G-6 Hedgerow Data'!$B$3:$B$15,0),MATCH(H112,'G-6 Hedgerow Data'!$E$2:$I$2,0))))</f>
        <v/>
      </c>
      <c r="N112" s="133"/>
      <c r="O112" s="133"/>
      <c r="P112" s="283" t="str">
        <f t="shared" si="7"/>
        <v/>
      </c>
      <c r="Q112" s="296" t="str">
        <f t="shared" si="8"/>
        <v/>
      </c>
      <c r="R112" s="297" t="str">
        <f t="shared" si="6"/>
        <v/>
      </c>
      <c r="S112" s="311" t="str">
        <f>IF(D112="","",VLOOKUP(D112,'G-6 Hedgerow Data'!$B$3:$AG$15,31,FALSE))</f>
        <v/>
      </c>
      <c r="T112" s="283" t="str">
        <f t="shared" si="9"/>
        <v/>
      </c>
      <c r="U112" s="283" t="str">
        <f t="shared" si="10"/>
        <v/>
      </c>
      <c r="V112" s="299" t="str">
        <f>IF(D112="","",VLOOKUP(S112,'G-3 Multipliers'!$P$3:$Q$6,2,FALSE))</f>
        <v/>
      </c>
      <c r="W112" s="303" t="str">
        <f t="shared" si="11"/>
        <v/>
      </c>
      <c r="X112" s="101"/>
      <c r="Y112" s="115"/>
      <c r="Z112" s="104"/>
      <c r="AG112" s="30" t="str">
        <f>IFERROR(INDEX('G-6 Hedgerow Data'!$BJ$3:$BJ$15,MATCH(D112,'G-6 Hedgerow Data'!$B$3:$B$15,0)),"")</f>
        <v/>
      </c>
    </row>
    <row r="113" spans="2:33" ht="14" hidden="1">
      <c r="B113" s="97">
        <v>102</v>
      </c>
      <c r="C113" s="140"/>
      <c r="D113" s="133"/>
      <c r="E113" s="115"/>
      <c r="F113" s="323" t="str">
        <f>IF(D113="","",VLOOKUP(D113,'G-6 Hedgerow Data'!$B$2:$AG$15,2,FALSE))</f>
        <v/>
      </c>
      <c r="G113" s="276" t="str">
        <f>IF(D113="","",VLOOKUP(D113,'G-6 Hedgerow Data'!$B$2:$AG$15,3,FALSE))</f>
        <v/>
      </c>
      <c r="H113" s="101"/>
      <c r="I113" s="276" t="str">
        <f>IFERROR(IF(H113="","",IF(AND(D113="Non-native and ornamental hedgerow",H113&lt;&gt;"Poor"),"Not possible ▲",(VLOOKUP(H113,'G-1 All Habitats'!$Z$2:$AA$9,2,FALSE)))),"")</f>
        <v/>
      </c>
      <c r="J113" s="101"/>
      <c r="K113" s="295" t="str">
        <f>IF(J113="","",IF(VLOOKUP(J113,'G-3 Multipliers'!$L$3:$N$6,2,FALSE)=0,"Spatial Data Missing ⚠",VLOOKUP(J113,'G-3 Multipliers'!$L$3:$N$6,2,FALSE)))</f>
        <v/>
      </c>
      <c r="L113" s="281" t="str">
        <f>IF(J113="","",IF(VLOOKUP(J113,'G-3 Multipliers'!$L$3:$N$6,3,FALSE)=0,"Spatial Data Missing ⚠",VLOOKUP(J113,'G-3 Multipliers'!$L$3:$N$6,3,FALSE)))</f>
        <v/>
      </c>
      <c r="M113" s="275" t="str">
        <f>IF(OR(D113="",H113=""),"",(INDEX('G-6 Hedgerow Data'!$E$3:$I$15,MATCH(D113,'G-6 Hedgerow Data'!$B$3:$B$15,0),MATCH(H113,'G-6 Hedgerow Data'!$E$2:$I$2,0))))</f>
        <v/>
      </c>
      <c r="N113" s="133"/>
      <c r="O113" s="133"/>
      <c r="P113" s="283" t="str">
        <f t="shared" si="7"/>
        <v/>
      </c>
      <c r="Q113" s="296" t="str">
        <f t="shared" si="8"/>
        <v/>
      </c>
      <c r="R113" s="297" t="str">
        <f t="shared" si="6"/>
        <v/>
      </c>
      <c r="S113" s="311" t="str">
        <f>IF(D113="","",VLOOKUP(D113,'G-6 Hedgerow Data'!$B$3:$AG$15,31,FALSE))</f>
        <v/>
      </c>
      <c r="T113" s="283" t="str">
        <f t="shared" si="9"/>
        <v/>
      </c>
      <c r="U113" s="283" t="str">
        <f t="shared" si="10"/>
        <v/>
      </c>
      <c r="V113" s="299" t="str">
        <f>IF(D113="","",VLOOKUP(S113,'G-3 Multipliers'!$P$3:$Q$6,2,FALSE))</f>
        <v/>
      </c>
      <c r="W113" s="303" t="str">
        <f t="shared" si="11"/>
        <v/>
      </c>
      <c r="X113" s="101"/>
      <c r="Y113" s="115"/>
      <c r="Z113" s="104"/>
      <c r="AG113" s="30" t="str">
        <f>IFERROR(INDEX('G-6 Hedgerow Data'!$BJ$3:$BJ$15,MATCH(D113,'G-6 Hedgerow Data'!$B$3:$B$15,0)),"")</f>
        <v/>
      </c>
    </row>
    <row r="114" spans="2:33" ht="14" hidden="1">
      <c r="B114" s="97">
        <v>103</v>
      </c>
      <c r="C114" s="140"/>
      <c r="D114" s="133"/>
      <c r="E114" s="115"/>
      <c r="F114" s="323" t="str">
        <f>IF(D114="","",VLOOKUP(D114,'G-6 Hedgerow Data'!$B$2:$AG$15,2,FALSE))</f>
        <v/>
      </c>
      <c r="G114" s="276" t="str">
        <f>IF(D114="","",VLOOKUP(D114,'G-6 Hedgerow Data'!$B$2:$AG$15,3,FALSE))</f>
        <v/>
      </c>
      <c r="H114" s="101"/>
      <c r="I114" s="276" t="str">
        <f>IFERROR(IF(H114="","",IF(AND(D114="Non-native and ornamental hedgerow",H114&lt;&gt;"Poor"),"Not possible ▲",(VLOOKUP(H114,'G-1 All Habitats'!$Z$2:$AA$9,2,FALSE)))),"")</f>
        <v/>
      </c>
      <c r="J114" s="101"/>
      <c r="K114" s="295" t="str">
        <f>IF(J114="","",IF(VLOOKUP(J114,'G-3 Multipliers'!$L$3:$N$6,2,FALSE)=0,"Spatial Data Missing ⚠",VLOOKUP(J114,'G-3 Multipliers'!$L$3:$N$6,2,FALSE)))</f>
        <v/>
      </c>
      <c r="L114" s="281" t="str">
        <f>IF(J114="","",IF(VLOOKUP(J114,'G-3 Multipliers'!$L$3:$N$6,3,FALSE)=0,"Spatial Data Missing ⚠",VLOOKUP(J114,'G-3 Multipliers'!$L$3:$N$6,3,FALSE)))</f>
        <v/>
      </c>
      <c r="M114" s="275" t="str">
        <f>IF(OR(D114="",H114=""),"",(INDEX('G-6 Hedgerow Data'!$E$3:$I$15,MATCH(D114,'G-6 Hedgerow Data'!$B$3:$B$15,0),MATCH(H114,'G-6 Hedgerow Data'!$E$2:$I$2,0))))</f>
        <v/>
      </c>
      <c r="N114" s="133"/>
      <c r="O114" s="133"/>
      <c r="P114" s="283" t="str">
        <f t="shared" si="7"/>
        <v/>
      </c>
      <c r="Q114" s="296" t="str">
        <f t="shared" si="8"/>
        <v/>
      </c>
      <c r="R114" s="297" t="str">
        <f t="shared" si="6"/>
        <v/>
      </c>
      <c r="S114" s="311" t="str">
        <f>IF(D114="","",VLOOKUP(D114,'G-6 Hedgerow Data'!$B$3:$AG$15,31,FALSE))</f>
        <v/>
      </c>
      <c r="T114" s="283" t="str">
        <f t="shared" si="9"/>
        <v/>
      </c>
      <c r="U114" s="283" t="str">
        <f t="shared" si="10"/>
        <v/>
      </c>
      <c r="V114" s="299" t="str">
        <f>IF(D114="","",VLOOKUP(S114,'G-3 Multipliers'!$P$3:$Q$6,2,FALSE))</f>
        <v/>
      </c>
      <c r="W114" s="303" t="str">
        <f t="shared" si="11"/>
        <v/>
      </c>
      <c r="X114" s="101"/>
      <c r="Y114" s="115"/>
      <c r="Z114" s="104"/>
      <c r="AG114" s="30" t="str">
        <f>IFERROR(INDEX('G-6 Hedgerow Data'!$BJ$3:$BJ$15,MATCH(D114,'G-6 Hedgerow Data'!$B$3:$B$15,0)),"")</f>
        <v/>
      </c>
    </row>
    <row r="115" spans="2:33" ht="14" hidden="1">
      <c r="B115" s="97">
        <v>104</v>
      </c>
      <c r="C115" s="140"/>
      <c r="D115" s="133"/>
      <c r="E115" s="115"/>
      <c r="F115" s="323" t="str">
        <f>IF(D115="","",VLOOKUP(D115,'G-6 Hedgerow Data'!$B$2:$AG$15,2,FALSE))</f>
        <v/>
      </c>
      <c r="G115" s="276" t="str">
        <f>IF(D115="","",VLOOKUP(D115,'G-6 Hedgerow Data'!$B$2:$AG$15,3,FALSE))</f>
        <v/>
      </c>
      <c r="H115" s="101"/>
      <c r="I115" s="276" t="str">
        <f>IFERROR(IF(H115="","",IF(AND(D115="Non-native and ornamental hedgerow",H115&lt;&gt;"Poor"),"Not possible ▲",(VLOOKUP(H115,'G-1 All Habitats'!$Z$2:$AA$9,2,FALSE)))),"")</f>
        <v/>
      </c>
      <c r="J115" s="101"/>
      <c r="K115" s="295" t="str">
        <f>IF(J115="","",IF(VLOOKUP(J115,'G-3 Multipliers'!$L$3:$N$6,2,FALSE)=0,"Spatial Data Missing ⚠",VLOOKUP(J115,'G-3 Multipliers'!$L$3:$N$6,2,FALSE)))</f>
        <v/>
      </c>
      <c r="L115" s="281" t="str">
        <f>IF(J115="","",IF(VLOOKUP(J115,'G-3 Multipliers'!$L$3:$N$6,3,FALSE)=0,"Spatial Data Missing ⚠",VLOOKUP(J115,'G-3 Multipliers'!$L$3:$N$6,3,FALSE)))</f>
        <v/>
      </c>
      <c r="M115" s="275" t="str">
        <f>IF(OR(D115="",H115=""),"",(INDEX('G-6 Hedgerow Data'!$E$3:$I$15,MATCH(D115,'G-6 Hedgerow Data'!$B$3:$B$15,0),MATCH(H115,'G-6 Hedgerow Data'!$E$2:$I$2,0))))</f>
        <v/>
      </c>
      <c r="N115" s="133"/>
      <c r="O115" s="133"/>
      <c r="P115" s="283" t="str">
        <f t="shared" si="7"/>
        <v/>
      </c>
      <c r="Q115" s="296" t="str">
        <f t="shared" si="8"/>
        <v/>
      </c>
      <c r="R115" s="297" t="str">
        <f t="shared" si="6"/>
        <v/>
      </c>
      <c r="S115" s="311" t="str">
        <f>IF(D115="","",VLOOKUP(D115,'G-6 Hedgerow Data'!$B$3:$AG$15,31,FALSE))</f>
        <v/>
      </c>
      <c r="T115" s="283" t="str">
        <f t="shared" si="9"/>
        <v/>
      </c>
      <c r="U115" s="283" t="str">
        <f t="shared" si="10"/>
        <v/>
      </c>
      <c r="V115" s="299" t="str">
        <f>IF(D115="","",VLOOKUP(S115,'G-3 Multipliers'!$P$3:$Q$6,2,FALSE))</f>
        <v/>
      </c>
      <c r="W115" s="303" t="str">
        <f t="shared" si="11"/>
        <v/>
      </c>
      <c r="X115" s="101"/>
      <c r="Y115" s="115"/>
      <c r="Z115" s="104"/>
      <c r="AG115" s="30" t="str">
        <f>IFERROR(INDEX('G-6 Hedgerow Data'!$BJ$3:$BJ$15,MATCH(D115,'G-6 Hedgerow Data'!$B$3:$B$15,0)),"")</f>
        <v/>
      </c>
    </row>
    <row r="116" spans="2:33" ht="14" hidden="1">
      <c r="B116" s="97">
        <v>105</v>
      </c>
      <c r="C116" s="140"/>
      <c r="D116" s="133"/>
      <c r="E116" s="115"/>
      <c r="F116" s="323" t="str">
        <f>IF(D116="","",VLOOKUP(D116,'G-6 Hedgerow Data'!$B$2:$AG$15,2,FALSE))</f>
        <v/>
      </c>
      <c r="G116" s="276" t="str">
        <f>IF(D116="","",VLOOKUP(D116,'G-6 Hedgerow Data'!$B$2:$AG$15,3,FALSE))</f>
        <v/>
      </c>
      <c r="H116" s="101"/>
      <c r="I116" s="276" t="str">
        <f>IFERROR(IF(H116="","",IF(AND(D116="Non-native and ornamental hedgerow",H116&lt;&gt;"Poor"),"Not possible ▲",(VLOOKUP(H116,'G-1 All Habitats'!$Z$2:$AA$9,2,FALSE)))),"")</f>
        <v/>
      </c>
      <c r="J116" s="101"/>
      <c r="K116" s="295" t="str">
        <f>IF(J116="","",IF(VLOOKUP(J116,'G-3 Multipliers'!$L$3:$N$6,2,FALSE)=0,"Spatial Data Missing ⚠",VLOOKUP(J116,'G-3 Multipliers'!$L$3:$N$6,2,FALSE)))</f>
        <v/>
      </c>
      <c r="L116" s="281" t="str">
        <f>IF(J116="","",IF(VLOOKUP(J116,'G-3 Multipliers'!$L$3:$N$6,3,FALSE)=0,"Spatial Data Missing ⚠",VLOOKUP(J116,'G-3 Multipliers'!$L$3:$N$6,3,FALSE)))</f>
        <v/>
      </c>
      <c r="M116" s="275" t="str">
        <f>IF(OR(D116="",H116=""),"",(INDEX('G-6 Hedgerow Data'!$E$3:$I$15,MATCH(D116,'G-6 Hedgerow Data'!$B$3:$B$15,0),MATCH(H116,'G-6 Hedgerow Data'!$E$2:$I$2,0))))</f>
        <v/>
      </c>
      <c r="N116" s="133"/>
      <c r="O116" s="133"/>
      <c r="P116" s="283" t="str">
        <f t="shared" si="7"/>
        <v/>
      </c>
      <c r="Q116" s="296" t="str">
        <f t="shared" si="8"/>
        <v/>
      </c>
      <c r="R116" s="297" t="str">
        <f t="shared" si="6"/>
        <v/>
      </c>
      <c r="S116" s="311" t="str">
        <f>IF(D116="","",VLOOKUP(D116,'G-6 Hedgerow Data'!$B$3:$AG$15,31,FALSE))</f>
        <v/>
      </c>
      <c r="T116" s="283" t="str">
        <f t="shared" si="9"/>
        <v/>
      </c>
      <c r="U116" s="283" t="str">
        <f t="shared" si="10"/>
        <v/>
      </c>
      <c r="V116" s="299" t="str">
        <f>IF(D116="","",VLOOKUP(S116,'G-3 Multipliers'!$P$3:$Q$6,2,FALSE))</f>
        <v/>
      </c>
      <c r="W116" s="303" t="str">
        <f t="shared" si="11"/>
        <v/>
      </c>
      <c r="X116" s="101"/>
      <c r="Y116" s="115"/>
      <c r="Z116" s="104"/>
      <c r="AG116" s="30" t="str">
        <f>IFERROR(INDEX('G-6 Hedgerow Data'!$BJ$3:$BJ$15,MATCH(D116,'G-6 Hedgerow Data'!$B$3:$B$15,0)),"")</f>
        <v/>
      </c>
    </row>
    <row r="117" spans="2:33" ht="14" hidden="1">
      <c r="B117" s="97">
        <v>106</v>
      </c>
      <c r="C117" s="140"/>
      <c r="D117" s="133"/>
      <c r="E117" s="115"/>
      <c r="F117" s="323" t="str">
        <f>IF(D117="","",VLOOKUP(D117,'G-6 Hedgerow Data'!$B$2:$AG$15,2,FALSE))</f>
        <v/>
      </c>
      <c r="G117" s="276" t="str">
        <f>IF(D117="","",VLOOKUP(D117,'G-6 Hedgerow Data'!$B$2:$AG$15,3,FALSE))</f>
        <v/>
      </c>
      <c r="H117" s="101"/>
      <c r="I117" s="276" t="str">
        <f>IFERROR(IF(H117="","",IF(AND(D117="Non-native and ornamental hedgerow",H117&lt;&gt;"Poor"),"Not possible ▲",(VLOOKUP(H117,'G-1 All Habitats'!$Z$2:$AA$9,2,FALSE)))),"")</f>
        <v/>
      </c>
      <c r="J117" s="101"/>
      <c r="K117" s="295" t="str">
        <f>IF(J117="","",IF(VLOOKUP(J117,'G-3 Multipliers'!$L$3:$N$6,2,FALSE)=0,"Spatial Data Missing ⚠",VLOOKUP(J117,'G-3 Multipliers'!$L$3:$N$6,2,FALSE)))</f>
        <v/>
      </c>
      <c r="L117" s="281" t="str">
        <f>IF(J117="","",IF(VLOOKUP(J117,'G-3 Multipliers'!$L$3:$N$6,3,FALSE)=0,"Spatial Data Missing ⚠",VLOOKUP(J117,'G-3 Multipliers'!$L$3:$N$6,3,FALSE)))</f>
        <v/>
      </c>
      <c r="M117" s="275" t="str">
        <f>IF(OR(D117="",H117=""),"",(INDEX('G-6 Hedgerow Data'!$E$3:$I$15,MATCH(D117,'G-6 Hedgerow Data'!$B$3:$B$15,0),MATCH(H117,'G-6 Hedgerow Data'!$E$2:$I$2,0))))</f>
        <v/>
      </c>
      <c r="N117" s="133"/>
      <c r="O117" s="133"/>
      <c r="P117" s="283" t="str">
        <f t="shared" si="7"/>
        <v/>
      </c>
      <c r="Q117" s="296" t="str">
        <f t="shared" si="8"/>
        <v/>
      </c>
      <c r="R117" s="297" t="str">
        <f t="shared" si="6"/>
        <v/>
      </c>
      <c r="S117" s="311" t="str">
        <f>IF(D117="","",VLOOKUP(D117,'G-6 Hedgerow Data'!$B$3:$AG$15,31,FALSE))</f>
        <v/>
      </c>
      <c r="T117" s="283" t="str">
        <f t="shared" si="9"/>
        <v/>
      </c>
      <c r="U117" s="283" t="str">
        <f t="shared" si="10"/>
        <v/>
      </c>
      <c r="V117" s="299" t="str">
        <f>IF(D117="","",VLOOKUP(S117,'G-3 Multipliers'!$P$3:$Q$6,2,FALSE))</f>
        <v/>
      </c>
      <c r="W117" s="303" t="str">
        <f t="shared" si="11"/>
        <v/>
      </c>
      <c r="X117" s="101"/>
      <c r="Y117" s="115"/>
      <c r="Z117" s="104"/>
      <c r="AG117" s="30" t="str">
        <f>IFERROR(INDEX('G-6 Hedgerow Data'!$BJ$3:$BJ$15,MATCH(D117,'G-6 Hedgerow Data'!$B$3:$B$15,0)),"")</f>
        <v/>
      </c>
    </row>
    <row r="118" spans="2:33" ht="14" hidden="1">
      <c r="B118" s="97">
        <v>107</v>
      </c>
      <c r="C118" s="140"/>
      <c r="D118" s="133"/>
      <c r="E118" s="115"/>
      <c r="F118" s="323" t="str">
        <f>IF(D118="","",VLOOKUP(D118,'G-6 Hedgerow Data'!$B$2:$AG$15,2,FALSE))</f>
        <v/>
      </c>
      <c r="G118" s="276" t="str">
        <f>IF(D118="","",VLOOKUP(D118,'G-6 Hedgerow Data'!$B$2:$AG$15,3,FALSE))</f>
        <v/>
      </c>
      <c r="H118" s="101"/>
      <c r="I118" s="276" t="str">
        <f>IFERROR(IF(H118="","",IF(AND(D118="Non-native and ornamental hedgerow",H118&lt;&gt;"Poor"),"Not possible ▲",(VLOOKUP(H118,'G-1 All Habitats'!$Z$2:$AA$9,2,FALSE)))),"")</f>
        <v/>
      </c>
      <c r="J118" s="101"/>
      <c r="K118" s="295" t="str">
        <f>IF(J118="","",IF(VLOOKUP(J118,'G-3 Multipliers'!$L$3:$N$6,2,FALSE)=0,"Spatial Data Missing ⚠",VLOOKUP(J118,'G-3 Multipliers'!$L$3:$N$6,2,FALSE)))</f>
        <v/>
      </c>
      <c r="L118" s="281" t="str">
        <f>IF(J118="","",IF(VLOOKUP(J118,'G-3 Multipliers'!$L$3:$N$6,3,FALSE)=0,"Spatial Data Missing ⚠",VLOOKUP(J118,'G-3 Multipliers'!$L$3:$N$6,3,FALSE)))</f>
        <v/>
      </c>
      <c r="M118" s="275" t="str">
        <f>IF(OR(D118="",H118=""),"",(INDEX('G-6 Hedgerow Data'!$E$3:$I$15,MATCH(D118,'G-6 Hedgerow Data'!$B$3:$B$15,0),MATCH(H118,'G-6 Hedgerow Data'!$E$2:$I$2,0))))</f>
        <v/>
      </c>
      <c r="N118" s="133"/>
      <c r="O118" s="133"/>
      <c r="P118" s="283" t="str">
        <f t="shared" si="7"/>
        <v/>
      </c>
      <c r="Q118" s="296" t="str">
        <f t="shared" si="8"/>
        <v/>
      </c>
      <c r="R118" s="297" t="str">
        <f t="shared" si="6"/>
        <v/>
      </c>
      <c r="S118" s="311" t="str">
        <f>IF(D118="","",VLOOKUP(D118,'G-6 Hedgerow Data'!$B$3:$AG$15,31,FALSE))</f>
        <v/>
      </c>
      <c r="T118" s="283" t="str">
        <f t="shared" si="9"/>
        <v/>
      </c>
      <c r="U118" s="283" t="str">
        <f t="shared" si="10"/>
        <v/>
      </c>
      <c r="V118" s="299" t="str">
        <f>IF(D118="","",VLOOKUP(S118,'G-3 Multipliers'!$P$3:$Q$6,2,FALSE))</f>
        <v/>
      </c>
      <c r="W118" s="303" t="str">
        <f t="shared" si="11"/>
        <v/>
      </c>
      <c r="X118" s="101"/>
      <c r="Y118" s="115"/>
      <c r="Z118" s="104"/>
      <c r="AG118" s="30" t="str">
        <f>IFERROR(INDEX('G-6 Hedgerow Data'!$BJ$3:$BJ$15,MATCH(D118,'G-6 Hedgerow Data'!$B$3:$B$15,0)),"")</f>
        <v/>
      </c>
    </row>
    <row r="119" spans="2:33" ht="14" hidden="1">
      <c r="B119" s="97">
        <v>108</v>
      </c>
      <c r="C119" s="140"/>
      <c r="D119" s="133"/>
      <c r="E119" s="115"/>
      <c r="F119" s="323" t="str">
        <f>IF(D119="","",VLOOKUP(D119,'G-6 Hedgerow Data'!$B$2:$AG$15,2,FALSE))</f>
        <v/>
      </c>
      <c r="G119" s="276" t="str">
        <f>IF(D119="","",VLOOKUP(D119,'G-6 Hedgerow Data'!$B$2:$AG$15,3,FALSE))</f>
        <v/>
      </c>
      <c r="H119" s="101"/>
      <c r="I119" s="276" t="str">
        <f>IFERROR(IF(H119="","",IF(AND(D119="Non-native and ornamental hedgerow",H119&lt;&gt;"Poor"),"Not possible ▲",(VLOOKUP(H119,'G-1 All Habitats'!$Z$2:$AA$9,2,FALSE)))),"")</f>
        <v/>
      </c>
      <c r="J119" s="101"/>
      <c r="K119" s="295" t="str">
        <f>IF(J119="","",IF(VLOOKUP(J119,'G-3 Multipliers'!$L$3:$N$6,2,FALSE)=0,"Spatial Data Missing ⚠",VLOOKUP(J119,'G-3 Multipliers'!$L$3:$N$6,2,FALSE)))</f>
        <v/>
      </c>
      <c r="L119" s="281" t="str">
        <f>IF(J119="","",IF(VLOOKUP(J119,'G-3 Multipliers'!$L$3:$N$6,3,FALSE)=0,"Spatial Data Missing ⚠",VLOOKUP(J119,'G-3 Multipliers'!$L$3:$N$6,3,FALSE)))</f>
        <v/>
      </c>
      <c r="M119" s="275" t="str">
        <f>IF(OR(D119="",H119=""),"",(INDEX('G-6 Hedgerow Data'!$E$3:$I$15,MATCH(D119,'G-6 Hedgerow Data'!$B$3:$B$15,0),MATCH(H119,'G-6 Hedgerow Data'!$E$2:$I$2,0))))</f>
        <v/>
      </c>
      <c r="N119" s="133"/>
      <c r="O119" s="133"/>
      <c r="P119" s="283" t="str">
        <f t="shared" si="7"/>
        <v/>
      </c>
      <c r="Q119" s="296" t="str">
        <f t="shared" si="8"/>
        <v/>
      </c>
      <c r="R119" s="297" t="str">
        <f t="shared" si="6"/>
        <v/>
      </c>
      <c r="S119" s="311" t="str">
        <f>IF(D119="","",VLOOKUP(D119,'G-6 Hedgerow Data'!$B$3:$AG$15,31,FALSE))</f>
        <v/>
      </c>
      <c r="T119" s="283" t="str">
        <f t="shared" si="9"/>
        <v/>
      </c>
      <c r="U119" s="283" t="str">
        <f t="shared" si="10"/>
        <v/>
      </c>
      <c r="V119" s="299" t="str">
        <f>IF(D119="","",VLOOKUP(S119,'G-3 Multipliers'!$P$3:$Q$6,2,FALSE))</f>
        <v/>
      </c>
      <c r="W119" s="303" t="str">
        <f t="shared" si="11"/>
        <v/>
      </c>
      <c r="X119" s="101"/>
      <c r="Y119" s="115"/>
      <c r="Z119" s="104"/>
      <c r="AG119" s="30" t="str">
        <f>IFERROR(INDEX('G-6 Hedgerow Data'!$BJ$3:$BJ$15,MATCH(D119,'G-6 Hedgerow Data'!$B$3:$B$15,0)),"")</f>
        <v/>
      </c>
    </row>
    <row r="120" spans="2:33" ht="14" hidden="1">
      <c r="B120" s="97">
        <v>109</v>
      </c>
      <c r="C120" s="140"/>
      <c r="D120" s="133"/>
      <c r="E120" s="115"/>
      <c r="F120" s="323" t="str">
        <f>IF(D120="","",VLOOKUP(D120,'G-6 Hedgerow Data'!$B$2:$AG$15,2,FALSE))</f>
        <v/>
      </c>
      <c r="G120" s="276" t="str">
        <f>IF(D120="","",VLOOKUP(D120,'G-6 Hedgerow Data'!$B$2:$AG$15,3,FALSE))</f>
        <v/>
      </c>
      <c r="H120" s="101"/>
      <c r="I120" s="276" t="str">
        <f>IFERROR(IF(H120="","",IF(AND(D120="Non-native and ornamental hedgerow",H120&lt;&gt;"Poor"),"Not possible ▲",(VLOOKUP(H120,'G-1 All Habitats'!$Z$2:$AA$9,2,FALSE)))),"")</f>
        <v/>
      </c>
      <c r="J120" s="101"/>
      <c r="K120" s="295" t="str">
        <f>IF(J120="","",IF(VLOOKUP(J120,'G-3 Multipliers'!$L$3:$N$6,2,FALSE)=0,"Spatial Data Missing ⚠",VLOOKUP(J120,'G-3 Multipliers'!$L$3:$N$6,2,FALSE)))</f>
        <v/>
      </c>
      <c r="L120" s="281" t="str">
        <f>IF(J120="","",IF(VLOOKUP(J120,'G-3 Multipliers'!$L$3:$N$6,3,FALSE)=0,"Spatial Data Missing ⚠",VLOOKUP(J120,'G-3 Multipliers'!$L$3:$N$6,3,FALSE)))</f>
        <v/>
      </c>
      <c r="M120" s="275" t="str">
        <f>IF(OR(D120="",H120=""),"",(INDEX('G-6 Hedgerow Data'!$E$3:$I$15,MATCH(D120,'G-6 Hedgerow Data'!$B$3:$B$15,0),MATCH(H120,'G-6 Hedgerow Data'!$E$2:$I$2,0))))</f>
        <v/>
      </c>
      <c r="N120" s="133"/>
      <c r="O120" s="133"/>
      <c r="P120" s="283" t="str">
        <f t="shared" si="7"/>
        <v/>
      </c>
      <c r="Q120" s="296" t="str">
        <f t="shared" si="8"/>
        <v/>
      </c>
      <c r="R120" s="297" t="str">
        <f t="shared" si="6"/>
        <v/>
      </c>
      <c r="S120" s="311" t="str">
        <f>IF(D120="","",VLOOKUP(D120,'G-6 Hedgerow Data'!$B$3:$AG$15,31,FALSE))</f>
        <v/>
      </c>
      <c r="T120" s="283" t="str">
        <f t="shared" si="9"/>
        <v/>
      </c>
      <c r="U120" s="283" t="str">
        <f t="shared" si="10"/>
        <v/>
      </c>
      <c r="V120" s="299" t="str">
        <f>IF(D120="","",VLOOKUP(S120,'G-3 Multipliers'!$P$3:$Q$6,2,FALSE))</f>
        <v/>
      </c>
      <c r="W120" s="303" t="str">
        <f t="shared" si="11"/>
        <v/>
      </c>
      <c r="X120" s="101"/>
      <c r="Y120" s="115"/>
      <c r="Z120" s="104"/>
      <c r="AG120" s="30" t="str">
        <f>IFERROR(INDEX('G-6 Hedgerow Data'!$BJ$3:$BJ$15,MATCH(D120,'G-6 Hedgerow Data'!$B$3:$B$15,0)),"")</f>
        <v/>
      </c>
    </row>
    <row r="121" spans="2:33" ht="14" hidden="1">
      <c r="B121" s="97">
        <v>110</v>
      </c>
      <c r="C121" s="140"/>
      <c r="D121" s="133"/>
      <c r="E121" s="115"/>
      <c r="F121" s="323" t="str">
        <f>IF(D121="","",VLOOKUP(D121,'G-6 Hedgerow Data'!$B$2:$AG$15,2,FALSE))</f>
        <v/>
      </c>
      <c r="G121" s="276" t="str">
        <f>IF(D121="","",VLOOKUP(D121,'G-6 Hedgerow Data'!$B$2:$AG$15,3,FALSE))</f>
        <v/>
      </c>
      <c r="H121" s="101"/>
      <c r="I121" s="276" t="str">
        <f>IFERROR(IF(H121="","",IF(AND(D121="Non-native and ornamental hedgerow",H121&lt;&gt;"Poor"),"Not possible ▲",(VLOOKUP(H121,'G-1 All Habitats'!$Z$2:$AA$9,2,FALSE)))),"")</f>
        <v/>
      </c>
      <c r="J121" s="101"/>
      <c r="K121" s="295" t="str">
        <f>IF(J121="","",IF(VLOOKUP(J121,'G-3 Multipliers'!$L$3:$N$6,2,FALSE)=0,"Spatial Data Missing ⚠",VLOOKUP(J121,'G-3 Multipliers'!$L$3:$N$6,2,FALSE)))</f>
        <v/>
      </c>
      <c r="L121" s="281" t="str">
        <f>IF(J121="","",IF(VLOOKUP(J121,'G-3 Multipliers'!$L$3:$N$6,3,FALSE)=0,"Spatial Data Missing ⚠",VLOOKUP(J121,'G-3 Multipliers'!$L$3:$N$6,3,FALSE)))</f>
        <v/>
      </c>
      <c r="M121" s="275" t="str">
        <f>IF(OR(D121="",H121=""),"",(INDEX('G-6 Hedgerow Data'!$E$3:$I$15,MATCH(D121,'G-6 Hedgerow Data'!$B$3:$B$15,0),MATCH(H121,'G-6 Hedgerow Data'!$E$2:$I$2,0))))</f>
        <v/>
      </c>
      <c r="N121" s="133"/>
      <c r="O121" s="133"/>
      <c r="P121" s="283" t="str">
        <f t="shared" si="7"/>
        <v/>
      </c>
      <c r="Q121" s="296" t="str">
        <f t="shared" si="8"/>
        <v/>
      </c>
      <c r="R121" s="297" t="str">
        <f t="shared" si="6"/>
        <v/>
      </c>
      <c r="S121" s="311" t="str">
        <f>IF(D121="","",VLOOKUP(D121,'G-6 Hedgerow Data'!$B$3:$AG$15,31,FALSE))</f>
        <v/>
      </c>
      <c r="T121" s="283" t="str">
        <f t="shared" si="9"/>
        <v/>
      </c>
      <c r="U121" s="283" t="str">
        <f t="shared" si="10"/>
        <v/>
      </c>
      <c r="V121" s="299" t="str">
        <f>IF(D121="","",VLOOKUP(S121,'G-3 Multipliers'!$P$3:$Q$6,2,FALSE))</f>
        <v/>
      </c>
      <c r="W121" s="303" t="str">
        <f t="shared" si="11"/>
        <v/>
      </c>
      <c r="X121" s="101"/>
      <c r="Y121" s="115"/>
      <c r="Z121" s="104"/>
      <c r="AG121" s="30" t="str">
        <f>IFERROR(INDEX('G-6 Hedgerow Data'!$BJ$3:$BJ$15,MATCH(D121,'G-6 Hedgerow Data'!$B$3:$B$15,0)),"")</f>
        <v/>
      </c>
    </row>
    <row r="122" spans="2:33" ht="14" hidden="1">
      <c r="B122" s="97">
        <v>111</v>
      </c>
      <c r="C122" s="140"/>
      <c r="D122" s="133"/>
      <c r="E122" s="115"/>
      <c r="F122" s="323" t="str">
        <f>IF(D122="","",VLOOKUP(D122,'G-6 Hedgerow Data'!$B$2:$AG$15,2,FALSE))</f>
        <v/>
      </c>
      <c r="G122" s="276" t="str">
        <f>IF(D122="","",VLOOKUP(D122,'G-6 Hedgerow Data'!$B$2:$AG$15,3,FALSE))</f>
        <v/>
      </c>
      <c r="H122" s="101"/>
      <c r="I122" s="276" t="str">
        <f>IFERROR(IF(H122="","",IF(AND(D122="Non-native and ornamental hedgerow",H122&lt;&gt;"Poor"),"Not possible ▲",(VLOOKUP(H122,'G-1 All Habitats'!$Z$2:$AA$9,2,FALSE)))),"")</f>
        <v/>
      </c>
      <c r="J122" s="101"/>
      <c r="K122" s="295" t="str">
        <f>IF(J122="","",IF(VLOOKUP(J122,'G-3 Multipliers'!$L$3:$N$6,2,FALSE)=0,"Spatial Data Missing ⚠",VLOOKUP(J122,'G-3 Multipliers'!$L$3:$N$6,2,FALSE)))</f>
        <v/>
      </c>
      <c r="L122" s="281" t="str">
        <f>IF(J122="","",IF(VLOOKUP(J122,'G-3 Multipliers'!$L$3:$N$6,3,FALSE)=0,"Spatial Data Missing ⚠",VLOOKUP(J122,'G-3 Multipliers'!$L$3:$N$6,3,FALSE)))</f>
        <v/>
      </c>
      <c r="M122" s="275" t="str">
        <f>IF(OR(D122="",H122=""),"",(INDEX('G-6 Hedgerow Data'!$E$3:$I$15,MATCH(D122,'G-6 Hedgerow Data'!$B$3:$B$15,0),MATCH(H122,'G-6 Hedgerow Data'!$E$2:$I$2,0))))</f>
        <v/>
      </c>
      <c r="N122" s="133"/>
      <c r="O122" s="133"/>
      <c r="P122" s="283" t="str">
        <f t="shared" si="7"/>
        <v/>
      </c>
      <c r="Q122" s="296" t="str">
        <f t="shared" si="8"/>
        <v/>
      </c>
      <c r="R122" s="297" t="str">
        <f t="shared" si="6"/>
        <v/>
      </c>
      <c r="S122" s="311" t="str">
        <f>IF(D122="","",VLOOKUP(D122,'G-6 Hedgerow Data'!$B$3:$AG$15,31,FALSE))</f>
        <v/>
      </c>
      <c r="T122" s="283" t="str">
        <f t="shared" si="9"/>
        <v/>
      </c>
      <c r="U122" s="283" t="str">
        <f t="shared" si="10"/>
        <v/>
      </c>
      <c r="V122" s="299" t="str">
        <f>IF(D122="","",VLOOKUP(S122,'G-3 Multipliers'!$P$3:$Q$6,2,FALSE))</f>
        <v/>
      </c>
      <c r="W122" s="303" t="str">
        <f t="shared" si="11"/>
        <v/>
      </c>
      <c r="X122" s="101"/>
      <c r="Y122" s="115"/>
      <c r="Z122" s="104"/>
      <c r="AG122" s="30" t="str">
        <f>IFERROR(INDEX('G-6 Hedgerow Data'!$BJ$3:$BJ$15,MATCH(D122,'G-6 Hedgerow Data'!$B$3:$B$15,0)),"")</f>
        <v/>
      </c>
    </row>
    <row r="123" spans="2:33" ht="14" hidden="1">
      <c r="B123" s="97">
        <v>112</v>
      </c>
      <c r="C123" s="140"/>
      <c r="D123" s="133"/>
      <c r="E123" s="115"/>
      <c r="F123" s="323" t="str">
        <f>IF(D123="","",VLOOKUP(D123,'G-6 Hedgerow Data'!$B$2:$AG$15,2,FALSE))</f>
        <v/>
      </c>
      <c r="G123" s="276" t="str">
        <f>IF(D123="","",VLOOKUP(D123,'G-6 Hedgerow Data'!$B$2:$AG$15,3,FALSE))</f>
        <v/>
      </c>
      <c r="H123" s="101"/>
      <c r="I123" s="276" t="str">
        <f>IFERROR(IF(H123="","",IF(AND(D123="Non-native and ornamental hedgerow",H123&lt;&gt;"Poor"),"Not possible ▲",(VLOOKUP(H123,'G-1 All Habitats'!$Z$2:$AA$9,2,FALSE)))),"")</f>
        <v/>
      </c>
      <c r="J123" s="101"/>
      <c r="K123" s="295" t="str">
        <f>IF(J123="","",IF(VLOOKUP(J123,'G-3 Multipliers'!$L$3:$N$6,2,FALSE)=0,"Spatial Data Missing ⚠",VLOOKUP(J123,'G-3 Multipliers'!$L$3:$N$6,2,FALSE)))</f>
        <v/>
      </c>
      <c r="L123" s="281" t="str">
        <f>IF(J123="","",IF(VLOOKUP(J123,'G-3 Multipliers'!$L$3:$N$6,3,FALSE)=0,"Spatial Data Missing ⚠",VLOOKUP(J123,'G-3 Multipliers'!$L$3:$N$6,3,FALSE)))</f>
        <v/>
      </c>
      <c r="M123" s="275" t="str">
        <f>IF(OR(D123="",H123=""),"",(INDEX('G-6 Hedgerow Data'!$E$3:$I$15,MATCH(D123,'G-6 Hedgerow Data'!$B$3:$B$15,0),MATCH(H123,'G-6 Hedgerow Data'!$E$2:$I$2,0))))</f>
        <v/>
      </c>
      <c r="N123" s="133"/>
      <c r="O123" s="133"/>
      <c r="P123" s="283" t="str">
        <f t="shared" si="7"/>
        <v/>
      </c>
      <c r="Q123" s="296" t="str">
        <f t="shared" si="8"/>
        <v/>
      </c>
      <c r="R123" s="297" t="str">
        <f t="shared" si="6"/>
        <v/>
      </c>
      <c r="S123" s="311" t="str">
        <f>IF(D123="","",VLOOKUP(D123,'G-6 Hedgerow Data'!$B$3:$AG$15,31,FALSE))</f>
        <v/>
      </c>
      <c r="T123" s="283" t="str">
        <f t="shared" si="9"/>
        <v/>
      </c>
      <c r="U123" s="283" t="str">
        <f t="shared" si="10"/>
        <v/>
      </c>
      <c r="V123" s="299" t="str">
        <f>IF(D123="","",VLOOKUP(S123,'G-3 Multipliers'!$P$3:$Q$6,2,FALSE))</f>
        <v/>
      </c>
      <c r="W123" s="303" t="str">
        <f t="shared" si="11"/>
        <v/>
      </c>
      <c r="X123" s="101"/>
      <c r="Y123" s="115"/>
      <c r="Z123" s="104"/>
      <c r="AG123" s="30" t="str">
        <f>IFERROR(INDEX('G-6 Hedgerow Data'!$BJ$3:$BJ$15,MATCH(D123,'G-6 Hedgerow Data'!$B$3:$B$15,0)),"")</f>
        <v/>
      </c>
    </row>
    <row r="124" spans="2:33" ht="14" hidden="1">
      <c r="B124" s="97">
        <v>113</v>
      </c>
      <c r="C124" s="140"/>
      <c r="D124" s="133"/>
      <c r="E124" s="115"/>
      <c r="F124" s="323" t="str">
        <f>IF(D124="","",VLOOKUP(D124,'G-6 Hedgerow Data'!$B$2:$AG$15,2,FALSE))</f>
        <v/>
      </c>
      <c r="G124" s="276" t="str">
        <f>IF(D124="","",VLOOKUP(D124,'G-6 Hedgerow Data'!$B$2:$AG$15,3,FALSE))</f>
        <v/>
      </c>
      <c r="H124" s="101"/>
      <c r="I124" s="276" t="str">
        <f>IFERROR(IF(H124="","",IF(AND(D124="Non-native and ornamental hedgerow",H124&lt;&gt;"Poor"),"Not possible ▲",(VLOOKUP(H124,'G-1 All Habitats'!$Z$2:$AA$9,2,FALSE)))),"")</f>
        <v/>
      </c>
      <c r="J124" s="101"/>
      <c r="K124" s="295" t="str">
        <f>IF(J124="","",IF(VLOOKUP(J124,'G-3 Multipliers'!$L$3:$N$6,2,FALSE)=0,"Spatial Data Missing ⚠",VLOOKUP(J124,'G-3 Multipliers'!$L$3:$N$6,2,FALSE)))</f>
        <v/>
      </c>
      <c r="L124" s="281" t="str">
        <f>IF(J124="","",IF(VLOOKUP(J124,'G-3 Multipliers'!$L$3:$N$6,3,FALSE)=0,"Spatial Data Missing ⚠",VLOOKUP(J124,'G-3 Multipliers'!$L$3:$N$6,3,FALSE)))</f>
        <v/>
      </c>
      <c r="M124" s="275" t="str">
        <f>IF(OR(D124="",H124=""),"",(INDEX('G-6 Hedgerow Data'!$E$3:$I$15,MATCH(D124,'G-6 Hedgerow Data'!$B$3:$B$15,0),MATCH(H124,'G-6 Hedgerow Data'!$E$2:$I$2,0))))</f>
        <v/>
      </c>
      <c r="N124" s="133"/>
      <c r="O124" s="133"/>
      <c r="P124" s="283" t="str">
        <f t="shared" si="7"/>
        <v/>
      </c>
      <c r="Q124" s="296" t="str">
        <f t="shared" si="8"/>
        <v/>
      </c>
      <c r="R124" s="297" t="str">
        <f t="shared" si="6"/>
        <v/>
      </c>
      <c r="S124" s="311" t="str">
        <f>IF(D124="","",VLOOKUP(D124,'G-6 Hedgerow Data'!$B$3:$AG$15,31,FALSE))</f>
        <v/>
      </c>
      <c r="T124" s="283" t="str">
        <f t="shared" si="9"/>
        <v/>
      </c>
      <c r="U124" s="283" t="str">
        <f t="shared" si="10"/>
        <v/>
      </c>
      <c r="V124" s="299" t="str">
        <f>IF(D124="","",VLOOKUP(S124,'G-3 Multipliers'!$P$3:$Q$6,2,FALSE))</f>
        <v/>
      </c>
      <c r="W124" s="303" t="str">
        <f t="shared" si="11"/>
        <v/>
      </c>
      <c r="X124" s="101"/>
      <c r="Y124" s="115"/>
      <c r="Z124" s="104"/>
      <c r="AG124" s="30" t="str">
        <f>IFERROR(INDEX('G-6 Hedgerow Data'!$BJ$3:$BJ$15,MATCH(D124,'G-6 Hedgerow Data'!$B$3:$B$15,0)),"")</f>
        <v/>
      </c>
    </row>
    <row r="125" spans="2:33" ht="14" hidden="1">
      <c r="B125" s="97">
        <v>114</v>
      </c>
      <c r="C125" s="140"/>
      <c r="D125" s="133"/>
      <c r="E125" s="115"/>
      <c r="F125" s="323" t="str">
        <f>IF(D125="","",VLOOKUP(D125,'G-6 Hedgerow Data'!$B$2:$AG$15,2,FALSE))</f>
        <v/>
      </c>
      <c r="G125" s="276" t="str">
        <f>IF(D125="","",VLOOKUP(D125,'G-6 Hedgerow Data'!$B$2:$AG$15,3,FALSE))</f>
        <v/>
      </c>
      <c r="H125" s="101"/>
      <c r="I125" s="276" t="str">
        <f>IFERROR(IF(H125="","",IF(AND(D125="Non-native and ornamental hedgerow",H125&lt;&gt;"Poor"),"Not possible ▲",(VLOOKUP(H125,'G-1 All Habitats'!$Z$2:$AA$9,2,FALSE)))),"")</f>
        <v/>
      </c>
      <c r="J125" s="101"/>
      <c r="K125" s="295" t="str">
        <f>IF(J125="","",IF(VLOOKUP(J125,'G-3 Multipliers'!$L$3:$N$6,2,FALSE)=0,"Spatial Data Missing ⚠",VLOOKUP(J125,'G-3 Multipliers'!$L$3:$N$6,2,FALSE)))</f>
        <v/>
      </c>
      <c r="L125" s="281" t="str">
        <f>IF(J125="","",IF(VLOOKUP(J125,'G-3 Multipliers'!$L$3:$N$6,3,FALSE)=0,"Spatial Data Missing ⚠",VLOOKUP(J125,'G-3 Multipliers'!$L$3:$N$6,3,FALSE)))</f>
        <v/>
      </c>
      <c r="M125" s="275" t="str">
        <f>IF(OR(D125="",H125=""),"",(INDEX('G-6 Hedgerow Data'!$E$3:$I$15,MATCH(D125,'G-6 Hedgerow Data'!$B$3:$B$15,0),MATCH(H125,'G-6 Hedgerow Data'!$E$2:$I$2,0))))</f>
        <v/>
      </c>
      <c r="N125" s="133"/>
      <c r="O125" s="133"/>
      <c r="P125" s="283" t="str">
        <f t="shared" si="7"/>
        <v/>
      </c>
      <c r="Q125" s="296" t="str">
        <f t="shared" si="8"/>
        <v/>
      </c>
      <c r="R125" s="297" t="str">
        <f t="shared" si="6"/>
        <v/>
      </c>
      <c r="S125" s="311" t="str">
        <f>IF(D125="","",VLOOKUP(D125,'G-6 Hedgerow Data'!$B$3:$AG$15,31,FALSE))</f>
        <v/>
      </c>
      <c r="T125" s="283" t="str">
        <f t="shared" si="9"/>
        <v/>
      </c>
      <c r="U125" s="283" t="str">
        <f t="shared" si="10"/>
        <v/>
      </c>
      <c r="V125" s="299" t="str">
        <f>IF(D125="","",VLOOKUP(S125,'G-3 Multipliers'!$P$3:$Q$6,2,FALSE))</f>
        <v/>
      </c>
      <c r="W125" s="303" t="str">
        <f t="shared" si="11"/>
        <v/>
      </c>
      <c r="X125" s="101"/>
      <c r="Y125" s="115"/>
      <c r="Z125" s="104"/>
      <c r="AG125" s="30" t="str">
        <f>IFERROR(INDEX('G-6 Hedgerow Data'!$BJ$3:$BJ$15,MATCH(D125,'G-6 Hedgerow Data'!$B$3:$B$15,0)),"")</f>
        <v/>
      </c>
    </row>
    <row r="126" spans="2:33" ht="14" hidden="1">
      <c r="B126" s="97">
        <v>115</v>
      </c>
      <c r="C126" s="140"/>
      <c r="D126" s="133"/>
      <c r="E126" s="115"/>
      <c r="F126" s="323" t="str">
        <f>IF(D126="","",VLOOKUP(D126,'G-6 Hedgerow Data'!$B$2:$AG$15,2,FALSE))</f>
        <v/>
      </c>
      <c r="G126" s="276" t="str">
        <f>IF(D126="","",VLOOKUP(D126,'G-6 Hedgerow Data'!$B$2:$AG$15,3,FALSE))</f>
        <v/>
      </c>
      <c r="H126" s="101"/>
      <c r="I126" s="276" t="str">
        <f>IFERROR(IF(H126="","",IF(AND(D126="Non-native and ornamental hedgerow",H126&lt;&gt;"Poor"),"Not possible ▲",(VLOOKUP(H126,'G-1 All Habitats'!$Z$2:$AA$9,2,FALSE)))),"")</f>
        <v/>
      </c>
      <c r="J126" s="101"/>
      <c r="K126" s="295" t="str">
        <f>IF(J126="","",IF(VLOOKUP(J126,'G-3 Multipliers'!$L$3:$N$6,2,FALSE)=0,"Spatial Data Missing ⚠",VLOOKUP(J126,'G-3 Multipliers'!$L$3:$N$6,2,FALSE)))</f>
        <v/>
      </c>
      <c r="L126" s="281" t="str">
        <f>IF(J126="","",IF(VLOOKUP(J126,'G-3 Multipliers'!$L$3:$N$6,3,FALSE)=0,"Spatial Data Missing ⚠",VLOOKUP(J126,'G-3 Multipliers'!$L$3:$N$6,3,FALSE)))</f>
        <v/>
      </c>
      <c r="M126" s="275" t="str">
        <f>IF(OR(D126="",H126=""),"",(INDEX('G-6 Hedgerow Data'!$E$3:$I$15,MATCH(D126,'G-6 Hedgerow Data'!$B$3:$B$15,0),MATCH(H126,'G-6 Hedgerow Data'!$E$2:$I$2,0))))</f>
        <v/>
      </c>
      <c r="N126" s="133"/>
      <c r="O126" s="133"/>
      <c r="P126" s="283" t="str">
        <f t="shared" si="7"/>
        <v/>
      </c>
      <c r="Q126" s="296" t="str">
        <f t="shared" si="8"/>
        <v/>
      </c>
      <c r="R126" s="297" t="str">
        <f t="shared" si="6"/>
        <v/>
      </c>
      <c r="S126" s="311" t="str">
        <f>IF(D126="","",VLOOKUP(D126,'G-6 Hedgerow Data'!$B$3:$AG$15,31,FALSE))</f>
        <v/>
      </c>
      <c r="T126" s="283" t="str">
        <f t="shared" si="9"/>
        <v/>
      </c>
      <c r="U126" s="283" t="str">
        <f t="shared" si="10"/>
        <v/>
      </c>
      <c r="V126" s="299" t="str">
        <f>IF(D126="","",VLOOKUP(S126,'G-3 Multipliers'!$P$3:$Q$6,2,FALSE))</f>
        <v/>
      </c>
      <c r="W126" s="303" t="str">
        <f t="shared" si="11"/>
        <v/>
      </c>
      <c r="X126" s="101"/>
      <c r="Y126" s="115"/>
      <c r="Z126" s="104"/>
      <c r="AG126" s="30" t="str">
        <f>IFERROR(INDEX('G-6 Hedgerow Data'!$BJ$3:$BJ$15,MATCH(D126,'G-6 Hedgerow Data'!$B$3:$B$15,0)),"")</f>
        <v/>
      </c>
    </row>
    <row r="127" spans="2:33" ht="14" hidden="1">
      <c r="B127" s="97">
        <v>116</v>
      </c>
      <c r="C127" s="140"/>
      <c r="D127" s="133"/>
      <c r="E127" s="115"/>
      <c r="F127" s="323" t="str">
        <f>IF(D127="","",VLOOKUP(D127,'G-6 Hedgerow Data'!$B$2:$AG$15,2,FALSE))</f>
        <v/>
      </c>
      <c r="G127" s="276" t="str">
        <f>IF(D127="","",VLOOKUP(D127,'G-6 Hedgerow Data'!$B$2:$AG$15,3,FALSE))</f>
        <v/>
      </c>
      <c r="H127" s="101"/>
      <c r="I127" s="276" t="str">
        <f>IFERROR(IF(H127="","",IF(AND(D127="Non-native and ornamental hedgerow",H127&lt;&gt;"Poor"),"Not possible ▲",(VLOOKUP(H127,'G-1 All Habitats'!$Z$2:$AA$9,2,FALSE)))),"")</f>
        <v/>
      </c>
      <c r="J127" s="101"/>
      <c r="K127" s="295" t="str">
        <f>IF(J127="","",IF(VLOOKUP(J127,'G-3 Multipliers'!$L$3:$N$6,2,FALSE)=0,"Spatial Data Missing ⚠",VLOOKUP(J127,'G-3 Multipliers'!$L$3:$N$6,2,FALSE)))</f>
        <v/>
      </c>
      <c r="L127" s="281" t="str">
        <f>IF(J127="","",IF(VLOOKUP(J127,'G-3 Multipliers'!$L$3:$N$6,3,FALSE)=0,"Spatial Data Missing ⚠",VLOOKUP(J127,'G-3 Multipliers'!$L$3:$N$6,3,FALSE)))</f>
        <v/>
      </c>
      <c r="M127" s="275" t="str">
        <f>IF(OR(D127="",H127=""),"",(INDEX('G-6 Hedgerow Data'!$E$3:$I$15,MATCH(D127,'G-6 Hedgerow Data'!$B$3:$B$15,0),MATCH(H127,'G-6 Hedgerow Data'!$E$2:$I$2,0))))</f>
        <v/>
      </c>
      <c r="N127" s="133"/>
      <c r="O127" s="133"/>
      <c r="P127" s="283" t="str">
        <f t="shared" si="7"/>
        <v/>
      </c>
      <c r="Q127" s="296" t="str">
        <f t="shared" si="8"/>
        <v/>
      </c>
      <c r="R127" s="297" t="str">
        <f t="shared" si="6"/>
        <v/>
      </c>
      <c r="S127" s="311" t="str">
        <f>IF(D127="","",VLOOKUP(D127,'G-6 Hedgerow Data'!$B$3:$AG$15,31,FALSE))</f>
        <v/>
      </c>
      <c r="T127" s="283" t="str">
        <f t="shared" si="9"/>
        <v/>
      </c>
      <c r="U127" s="283" t="str">
        <f t="shared" si="10"/>
        <v/>
      </c>
      <c r="V127" s="299" t="str">
        <f>IF(D127="","",VLOOKUP(S127,'G-3 Multipliers'!$P$3:$Q$6,2,FALSE))</f>
        <v/>
      </c>
      <c r="W127" s="303" t="str">
        <f t="shared" si="11"/>
        <v/>
      </c>
      <c r="X127" s="101"/>
      <c r="Y127" s="115"/>
      <c r="Z127" s="104"/>
      <c r="AG127" s="30" t="str">
        <f>IFERROR(INDEX('G-6 Hedgerow Data'!$BJ$3:$BJ$15,MATCH(D127,'G-6 Hedgerow Data'!$B$3:$B$15,0)),"")</f>
        <v/>
      </c>
    </row>
    <row r="128" spans="2:33" ht="14" hidden="1">
      <c r="B128" s="97">
        <v>117</v>
      </c>
      <c r="C128" s="140"/>
      <c r="D128" s="133"/>
      <c r="E128" s="115"/>
      <c r="F128" s="323" t="str">
        <f>IF(D128="","",VLOOKUP(D128,'G-6 Hedgerow Data'!$B$2:$AG$15,2,FALSE))</f>
        <v/>
      </c>
      <c r="G128" s="276" t="str">
        <f>IF(D128="","",VLOOKUP(D128,'G-6 Hedgerow Data'!$B$2:$AG$15,3,FALSE))</f>
        <v/>
      </c>
      <c r="H128" s="101"/>
      <c r="I128" s="276" t="str">
        <f>IFERROR(IF(H128="","",IF(AND(D128="Non-native and ornamental hedgerow",H128&lt;&gt;"Poor"),"Not possible ▲",(VLOOKUP(H128,'G-1 All Habitats'!$Z$2:$AA$9,2,FALSE)))),"")</f>
        <v/>
      </c>
      <c r="J128" s="101"/>
      <c r="K128" s="295" t="str">
        <f>IF(J128="","",IF(VLOOKUP(J128,'G-3 Multipliers'!$L$3:$N$6,2,FALSE)=0,"Spatial Data Missing ⚠",VLOOKUP(J128,'G-3 Multipliers'!$L$3:$N$6,2,FALSE)))</f>
        <v/>
      </c>
      <c r="L128" s="281" t="str">
        <f>IF(J128="","",IF(VLOOKUP(J128,'G-3 Multipliers'!$L$3:$N$6,3,FALSE)=0,"Spatial Data Missing ⚠",VLOOKUP(J128,'G-3 Multipliers'!$L$3:$N$6,3,FALSE)))</f>
        <v/>
      </c>
      <c r="M128" s="275" t="str">
        <f>IF(OR(D128="",H128=""),"",(INDEX('G-6 Hedgerow Data'!$E$3:$I$15,MATCH(D128,'G-6 Hedgerow Data'!$B$3:$B$15,0),MATCH(H128,'G-6 Hedgerow Data'!$E$2:$I$2,0))))</f>
        <v/>
      </c>
      <c r="N128" s="133"/>
      <c r="O128" s="133"/>
      <c r="P128" s="283" t="str">
        <f t="shared" si="7"/>
        <v/>
      </c>
      <c r="Q128" s="296" t="str">
        <f t="shared" si="8"/>
        <v/>
      </c>
      <c r="R128" s="297" t="str">
        <f t="shared" si="6"/>
        <v/>
      </c>
      <c r="S128" s="311" t="str">
        <f>IF(D128="","",VLOOKUP(D128,'G-6 Hedgerow Data'!$B$3:$AG$15,31,FALSE))</f>
        <v/>
      </c>
      <c r="T128" s="283" t="str">
        <f t="shared" si="9"/>
        <v/>
      </c>
      <c r="U128" s="283" t="str">
        <f t="shared" si="10"/>
        <v/>
      </c>
      <c r="V128" s="299" t="str">
        <f>IF(D128="","",VLOOKUP(S128,'G-3 Multipliers'!$P$3:$Q$6,2,FALSE))</f>
        <v/>
      </c>
      <c r="W128" s="303" t="str">
        <f t="shared" si="11"/>
        <v/>
      </c>
      <c r="X128" s="101"/>
      <c r="Y128" s="115"/>
      <c r="Z128" s="104"/>
      <c r="AG128" s="30" t="str">
        <f>IFERROR(INDEX('G-6 Hedgerow Data'!$BJ$3:$BJ$15,MATCH(D128,'G-6 Hedgerow Data'!$B$3:$B$15,0)),"")</f>
        <v/>
      </c>
    </row>
    <row r="129" spans="2:33" ht="14" hidden="1">
      <c r="B129" s="97">
        <v>118</v>
      </c>
      <c r="C129" s="140"/>
      <c r="D129" s="133"/>
      <c r="E129" s="115"/>
      <c r="F129" s="323" t="str">
        <f>IF(D129="","",VLOOKUP(D129,'G-6 Hedgerow Data'!$B$2:$AG$15,2,FALSE))</f>
        <v/>
      </c>
      <c r="G129" s="276" t="str">
        <f>IF(D129="","",VLOOKUP(D129,'G-6 Hedgerow Data'!$B$2:$AG$15,3,FALSE))</f>
        <v/>
      </c>
      <c r="H129" s="101"/>
      <c r="I129" s="276" t="str">
        <f>IFERROR(IF(H129="","",IF(AND(D129="Non-native and ornamental hedgerow",H129&lt;&gt;"Poor"),"Not possible ▲",(VLOOKUP(H129,'G-1 All Habitats'!$Z$2:$AA$9,2,FALSE)))),"")</f>
        <v/>
      </c>
      <c r="J129" s="101"/>
      <c r="K129" s="295" t="str">
        <f>IF(J129="","",IF(VLOOKUP(J129,'G-3 Multipliers'!$L$3:$N$6,2,FALSE)=0,"Spatial Data Missing ⚠",VLOOKUP(J129,'G-3 Multipliers'!$L$3:$N$6,2,FALSE)))</f>
        <v/>
      </c>
      <c r="L129" s="281" t="str">
        <f>IF(J129="","",IF(VLOOKUP(J129,'G-3 Multipliers'!$L$3:$N$6,3,FALSE)=0,"Spatial Data Missing ⚠",VLOOKUP(J129,'G-3 Multipliers'!$L$3:$N$6,3,FALSE)))</f>
        <v/>
      </c>
      <c r="M129" s="275" t="str">
        <f>IF(OR(D129="",H129=""),"",(INDEX('G-6 Hedgerow Data'!$E$3:$I$15,MATCH(D129,'G-6 Hedgerow Data'!$B$3:$B$15,0),MATCH(H129,'G-6 Hedgerow Data'!$E$2:$I$2,0))))</f>
        <v/>
      </c>
      <c r="N129" s="133"/>
      <c r="O129" s="133"/>
      <c r="P129" s="283" t="str">
        <f t="shared" si="7"/>
        <v/>
      </c>
      <c r="Q129" s="296" t="str">
        <f t="shared" si="8"/>
        <v/>
      </c>
      <c r="R129" s="297" t="str">
        <f t="shared" si="6"/>
        <v/>
      </c>
      <c r="S129" s="311" t="str">
        <f>IF(D129="","",VLOOKUP(D129,'G-6 Hedgerow Data'!$B$3:$AG$15,31,FALSE))</f>
        <v/>
      </c>
      <c r="T129" s="283" t="str">
        <f t="shared" si="9"/>
        <v/>
      </c>
      <c r="U129" s="283" t="str">
        <f t="shared" si="10"/>
        <v/>
      </c>
      <c r="V129" s="299" t="str">
        <f>IF(D129="","",VLOOKUP(S129,'G-3 Multipliers'!$P$3:$Q$6,2,FALSE))</f>
        <v/>
      </c>
      <c r="W129" s="303" t="str">
        <f t="shared" si="11"/>
        <v/>
      </c>
      <c r="X129" s="101"/>
      <c r="Y129" s="115"/>
      <c r="Z129" s="104"/>
      <c r="AG129" s="30" t="str">
        <f>IFERROR(INDEX('G-6 Hedgerow Data'!$BJ$3:$BJ$15,MATCH(D129,'G-6 Hedgerow Data'!$B$3:$B$15,0)),"")</f>
        <v/>
      </c>
    </row>
    <row r="130" spans="2:33" ht="14" hidden="1">
      <c r="B130" s="97">
        <v>119</v>
      </c>
      <c r="C130" s="140"/>
      <c r="D130" s="133"/>
      <c r="E130" s="115"/>
      <c r="F130" s="323" t="str">
        <f>IF(D130="","",VLOOKUP(D130,'G-6 Hedgerow Data'!$B$2:$AG$15,2,FALSE))</f>
        <v/>
      </c>
      <c r="G130" s="276" t="str">
        <f>IF(D130="","",VLOOKUP(D130,'G-6 Hedgerow Data'!$B$2:$AG$15,3,FALSE))</f>
        <v/>
      </c>
      <c r="H130" s="101"/>
      <c r="I130" s="276" t="str">
        <f>IFERROR(IF(H130="","",IF(AND(D130="Non-native and ornamental hedgerow",H130&lt;&gt;"Poor"),"Not possible ▲",(VLOOKUP(H130,'G-1 All Habitats'!$Z$2:$AA$9,2,FALSE)))),"")</f>
        <v/>
      </c>
      <c r="J130" s="101"/>
      <c r="K130" s="295" t="str">
        <f>IF(J130="","",IF(VLOOKUP(J130,'G-3 Multipliers'!$L$3:$N$6,2,FALSE)=0,"Spatial Data Missing ⚠",VLOOKUP(J130,'G-3 Multipliers'!$L$3:$N$6,2,FALSE)))</f>
        <v/>
      </c>
      <c r="L130" s="281" t="str">
        <f>IF(J130="","",IF(VLOOKUP(J130,'G-3 Multipliers'!$L$3:$N$6,3,FALSE)=0,"Spatial Data Missing ⚠",VLOOKUP(J130,'G-3 Multipliers'!$L$3:$N$6,3,FALSE)))</f>
        <v/>
      </c>
      <c r="M130" s="275" t="str">
        <f>IF(OR(D130="",H130=""),"",(INDEX('G-6 Hedgerow Data'!$E$3:$I$15,MATCH(D130,'G-6 Hedgerow Data'!$B$3:$B$15,0),MATCH(H130,'G-6 Hedgerow Data'!$E$2:$I$2,0))))</f>
        <v/>
      </c>
      <c r="N130" s="133"/>
      <c r="O130" s="133"/>
      <c r="P130" s="283" t="str">
        <f t="shared" si="7"/>
        <v/>
      </c>
      <c r="Q130" s="296" t="str">
        <f t="shared" si="8"/>
        <v/>
      </c>
      <c r="R130" s="297" t="str">
        <f t="shared" si="6"/>
        <v/>
      </c>
      <c r="S130" s="311" t="str">
        <f>IF(D130="","",VLOOKUP(D130,'G-6 Hedgerow Data'!$B$3:$AG$15,31,FALSE))</f>
        <v/>
      </c>
      <c r="T130" s="283" t="str">
        <f t="shared" si="9"/>
        <v/>
      </c>
      <c r="U130" s="283" t="str">
        <f t="shared" si="10"/>
        <v/>
      </c>
      <c r="V130" s="299" t="str">
        <f>IF(D130="","",VLOOKUP(S130,'G-3 Multipliers'!$P$3:$Q$6,2,FALSE))</f>
        <v/>
      </c>
      <c r="W130" s="303" t="str">
        <f t="shared" si="11"/>
        <v/>
      </c>
      <c r="X130" s="101"/>
      <c r="Y130" s="115"/>
      <c r="Z130" s="104"/>
      <c r="AG130" s="30" t="str">
        <f>IFERROR(INDEX('G-6 Hedgerow Data'!$BJ$3:$BJ$15,MATCH(D130,'G-6 Hedgerow Data'!$B$3:$B$15,0)),"")</f>
        <v/>
      </c>
    </row>
    <row r="131" spans="2:33" ht="14" hidden="1">
      <c r="B131" s="97">
        <v>120</v>
      </c>
      <c r="C131" s="140"/>
      <c r="D131" s="133"/>
      <c r="E131" s="115"/>
      <c r="F131" s="323" t="str">
        <f>IF(D131="","",VLOOKUP(D131,'G-6 Hedgerow Data'!$B$2:$AG$15,2,FALSE))</f>
        <v/>
      </c>
      <c r="G131" s="276" t="str">
        <f>IF(D131="","",VLOOKUP(D131,'G-6 Hedgerow Data'!$B$2:$AG$15,3,FALSE))</f>
        <v/>
      </c>
      <c r="H131" s="101"/>
      <c r="I131" s="276" t="str">
        <f>IFERROR(IF(H131="","",IF(AND(D131="Non-native and ornamental hedgerow",H131&lt;&gt;"Poor"),"Not possible ▲",(VLOOKUP(H131,'G-1 All Habitats'!$Z$2:$AA$9,2,FALSE)))),"")</f>
        <v/>
      </c>
      <c r="J131" s="101"/>
      <c r="K131" s="295" t="str">
        <f>IF(J131="","",IF(VLOOKUP(J131,'G-3 Multipliers'!$L$3:$N$6,2,FALSE)=0,"Spatial Data Missing ⚠",VLOOKUP(J131,'G-3 Multipliers'!$L$3:$N$6,2,FALSE)))</f>
        <v/>
      </c>
      <c r="L131" s="281" t="str">
        <f>IF(J131="","",IF(VLOOKUP(J131,'G-3 Multipliers'!$L$3:$N$6,3,FALSE)=0,"Spatial Data Missing ⚠",VLOOKUP(J131,'G-3 Multipliers'!$L$3:$N$6,3,FALSE)))</f>
        <v/>
      </c>
      <c r="M131" s="275" t="str">
        <f>IF(OR(D131="",H131=""),"",(INDEX('G-6 Hedgerow Data'!$E$3:$I$15,MATCH(D131,'G-6 Hedgerow Data'!$B$3:$B$15,0),MATCH(H131,'G-6 Hedgerow Data'!$E$2:$I$2,0))))</f>
        <v/>
      </c>
      <c r="N131" s="133"/>
      <c r="O131" s="133"/>
      <c r="P131" s="283" t="str">
        <f t="shared" si="7"/>
        <v/>
      </c>
      <c r="Q131" s="296" t="str">
        <f t="shared" si="8"/>
        <v/>
      </c>
      <c r="R131" s="297" t="str">
        <f t="shared" si="6"/>
        <v/>
      </c>
      <c r="S131" s="311" t="str">
        <f>IF(D131="","",VLOOKUP(D131,'G-6 Hedgerow Data'!$B$3:$AG$15,31,FALSE))</f>
        <v/>
      </c>
      <c r="T131" s="283" t="str">
        <f t="shared" si="9"/>
        <v/>
      </c>
      <c r="U131" s="283" t="str">
        <f t="shared" si="10"/>
        <v/>
      </c>
      <c r="V131" s="299" t="str">
        <f>IF(D131="","",VLOOKUP(S131,'G-3 Multipliers'!$P$3:$Q$6,2,FALSE))</f>
        <v/>
      </c>
      <c r="W131" s="303" t="str">
        <f t="shared" si="11"/>
        <v/>
      </c>
      <c r="X131" s="101"/>
      <c r="Y131" s="115"/>
      <c r="Z131" s="104"/>
      <c r="AG131" s="30" t="str">
        <f>IFERROR(INDEX('G-6 Hedgerow Data'!$BJ$3:$BJ$15,MATCH(D131,'G-6 Hedgerow Data'!$B$3:$B$15,0)),"")</f>
        <v/>
      </c>
    </row>
    <row r="132" spans="2:33" ht="14" hidden="1">
      <c r="B132" s="97">
        <v>121</v>
      </c>
      <c r="C132" s="140"/>
      <c r="D132" s="133"/>
      <c r="E132" s="115"/>
      <c r="F132" s="323" t="str">
        <f>IF(D132="","",VLOOKUP(D132,'G-6 Hedgerow Data'!$B$2:$AG$15,2,FALSE))</f>
        <v/>
      </c>
      <c r="G132" s="276" t="str">
        <f>IF(D132="","",VLOOKUP(D132,'G-6 Hedgerow Data'!$B$2:$AG$15,3,FALSE))</f>
        <v/>
      </c>
      <c r="H132" s="101"/>
      <c r="I132" s="276" t="str">
        <f>IFERROR(IF(H132="","",IF(AND(D132="Non-native and ornamental hedgerow",H132&lt;&gt;"Poor"),"Not possible ▲",(VLOOKUP(H132,'G-1 All Habitats'!$Z$2:$AA$9,2,FALSE)))),"")</f>
        <v/>
      </c>
      <c r="J132" s="101"/>
      <c r="K132" s="295" t="str">
        <f>IF(J132="","",IF(VLOOKUP(J132,'G-3 Multipliers'!$L$3:$N$6,2,FALSE)=0,"Spatial Data Missing ⚠",VLOOKUP(J132,'G-3 Multipliers'!$L$3:$N$6,2,FALSE)))</f>
        <v/>
      </c>
      <c r="L132" s="281" t="str">
        <f>IF(J132="","",IF(VLOOKUP(J132,'G-3 Multipliers'!$L$3:$N$6,3,FALSE)=0,"Spatial Data Missing ⚠",VLOOKUP(J132,'G-3 Multipliers'!$L$3:$N$6,3,FALSE)))</f>
        <v/>
      </c>
      <c r="M132" s="275" t="str">
        <f>IF(OR(D132="",H132=""),"",(INDEX('G-6 Hedgerow Data'!$E$3:$I$15,MATCH(D132,'G-6 Hedgerow Data'!$B$3:$B$15,0),MATCH(H132,'G-6 Hedgerow Data'!$E$2:$I$2,0))))</f>
        <v/>
      </c>
      <c r="N132" s="133"/>
      <c r="O132" s="133"/>
      <c r="P132" s="283" t="str">
        <f t="shared" si="7"/>
        <v/>
      </c>
      <c r="Q132" s="296" t="str">
        <f t="shared" si="8"/>
        <v/>
      </c>
      <c r="R132" s="297" t="str">
        <f t="shared" si="6"/>
        <v/>
      </c>
      <c r="S132" s="311" t="str">
        <f>IF(D132="","",VLOOKUP(D132,'G-6 Hedgerow Data'!$B$3:$AG$15,31,FALSE))</f>
        <v/>
      </c>
      <c r="T132" s="283" t="str">
        <f t="shared" si="9"/>
        <v/>
      </c>
      <c r="U132" s="283" t="str">
        <f t="shared" si="10"/>
        <v/>
      </c>
      <c r="V132" s="299" t="str">
        <f>IF(D132="","",VLOOKUP(S132,'G-3 Multipliers'!$P$3:$Q$6,2,FALSE))</f>
        <v/>
      </c>
      <c r="W132" s="303" t="str">
        <f t="shared" si="11"/>
        <v/>
      </c>
      <c r="X132" s="101"/>
      <c r="Y132" s="115"/>
      <c r="Z132" s="104"/>
      <c r="AG132" s="30" t="str">
        <f>IFERROR(INDEX('G-6 Hedgerow Data'!$BJ$3:$BJ$15,MATCH(D132,'G-6 Hedgerow Data'!$B$3:$B$15,0)),"")</f>
        <v/>
      </c>
    </row>
    <row r="133" spans="2:33" ht="14" hidden="1">
      <c r="B133" s="97">
        <v>122</v>
      </c>
      <c r="C133" s="140"/>
      <c r="D133" s="133"/>
      <c r="E133" s="115"/>
      <c r="F133" s="323" t="str">
        <f>IF(D133="","",VLOOKUP(D133,'G-6 Hedgerow Data'!$B$2:$AG$15,2,FALSE))</f>
        <v/>
      </c>
      <c r="G133" s="276" t="str">
        <f>IF(D133="","",VLOOKUP(D133,'G-6 Hedgerow Data'!$B$2:$AG$15,3,FALSE))</f>
        <v/>
      </c>
      <c r="H133" s="101"/>
      <c r="I133" s="276" t="str">
        <f>IFERROR(IF(H133="","",IF(AND(D133="Non-native and ornamental hedgerow",H133&lt;&gt;"Poor"),"Not possible ▲",(VLOOKUP(H133,'G-1 All Habitats'!$Z$2:$AA$9,2,FALSE)))),"")</f>
        <v/>
      </c>
      <c r="J133" s="101"/>
      <c r="K133" s="295" t="str">
        <f>IF(J133="","",IF(VLOOKUP(J133,'G-3 Multipliers'!$L$3:$N$6,2,FALSE)=0,"Spatial Data Missing ⚠",VLOOKUP(J133,'G-3 Multipliers'!$L$3:$N$6,2,FALSE)))</f>
        <v/>
      </c>
      <c r="L133" s="281" t="str">
        <f>IF(J133="","",IF(VLOOKUP(J133,'G-3 Multipliers'!$L$3:$N$6,3,FALSE)=0,"Spatial Data Missing ⚠",VLOOKUP(J133,'G-3 Multipliers'!$L$3:$N$6,3,FALSE)))</f>
        <v/>
      </c>
      <c r="M133" s="275" t="str">
        <f>IF(OR(D133="",H133=""),"",(INDEX('G-6 Hedgerow Data'!$E$3:$I$15,MATCH(D133,'G-6 Hedgerow Data'!$B$3:$B$15,0),MATCH(H133,'G-6 Hedgerow Data'!$E$2:$I$2,0))))</f>
        <v/>
      </c>
      <c r="N133" s="133"/>
      <c r="O133" s="133"/>
      <c r="P133" s="283" t="str">
        <f t="shared" si="7"/>
        <v/>
      </c>
      <c r="Q133" s="296" t="str">
        <f t="shared" si="8"/>
        <v/>
      </c>
      <c r="R133" s="297" t="str">
        <f t="shared" si="6"/>
        <v/>
      </c>
      <c r="S133" s="311" t="str">
        <f>IF(D133="","",VLOOKUP(D133,'G-6 Hedgerow Data'!$B$3:$AG$15,31,FALSE))</f>
        <v/>
      </c>
      <c r="T133" s="283" t="str">
        <f t="shared" si="9"/>
        <v/>
      </c>
      <c r="U133" s="283" t="str">
        <f t="shared" si="10"/>
        <v/>
      </c>
      <c r="V133" s="299" t="str">
        <f>IF(D133="","",VLOOKUP(S133,'G-3 Multipliers'!$P$3:$Q$6,2,FALSE))</f>
        <v/>
      </c>
      <c r="W133" s="303" t="str">
        <f t="shared" si="11"/>
        <v/>
      </c>
      <c r="X133" s="101"/>
      <c r="Y133" s="115"/>
      <c r="Z133" s="104"/>
      <c r="AG133" s="30" t="str">
        <f>IFERROR(INDEX('G-6 Hedgerow Data'!$BJ$3:$BJ$15,MATCH(D133,'G-6 Hedgerow Data'!$B$3:$B$15,0)),"")</f>
        <v/>
      </c>
    </row>
    <row r="134" spans="2:33" ht="14" hidden="1">
      <c r="B134" s="97">
        <v>123</v>
      </c>
      <c r="C134" s="140"/>
      <c r="D134" s="133"/>
      <c r="E134" s="115"/>
      <c r="F134" s="323" t="str">
        <f>IF(D134="","",VLOOKUP(D134,'G-6 Hedgerow Data'!$B$2:$AG$15,2,FALSE))</f>
        <v/>
      </c>
      <c r="G134" s="276" t="str">
        <f>IF(D134="","",VLOOKUP(D134,'G-6 Hedgerow Data'!$B$2:$AG$15,3,FALSE))</f>
        <v/>
      </c>
      <c r="H134" s="101"/>
      <c r="I134" s="276" t="str">
        <f>IFERROR(IF(H134="","",IF(AND(D134="Non-native and ornamental hedgerow",H134&lt;&gt;"Poor"),"Not possible ▲",(VLOOKUP(H134,'G-1 All Habitats'!$Z$2:$AA$9,2,FALSE)))),"")</f>
        <v/>
      </c>
      <c r="J134" s="101"/>
      <c r="K134" s="295" t="str">
        <f>IF(J134="","",IF(VLOOKUP(J134,'G-3 Multipliers'!$L$3:$N$6,2,FALSE)=0,"Spatial Data Missing ⚠",VLOOKUP(J134,'G-3 Multipliers'!$L$3:$N$6,2,FALSE)))</f>
        <v/>
      </c>
      <c r="L134" s="281" t="str">
        <f>IF(J134="","",IF(VLOOKUP(J134,'G-3 Multipliers'!$L$3:$N$6,3,FALSE)=0,"Spatial Data Missing ⚠",VLOOKUP(J134,'G-3 Multipliers'!$L$3:$N$6,3,FALSE)))</f>
        <v/>
      </c>
      <c r="M134" s="275" t="str">
        <f>IF(OR(D134="",H134=""),"",(INDEX('G-6 Hedgerow Data'!$E$3:$I$15,MATCH(D134,'G-6 Hedgerow Data'!$B$3:$B$15,0),MATCH(H134,'G-6 Hedgerow Data'!$E$2:$I$2,0))))</f>
        <v/>
      </c>
      <c r="N134" s="133"/>
      <c r="O134" s="133"/>
      <c r="P134" s="283" t="str">
        <f t="shared" si="7"/>
        <v/>
      </c>
      <c r="Q134" s="296" t="str">
        <f t="shared" si="8"/>
        <v/>
      </c>
      <c r="R134" s="297" t="str">
        <f t="shared" si="6"/>
        <v/>
      </c>
      <c r="S134" s="311" t="str">
        <f>IF(D134="","",VLOOKUP(D134,'G-6 Hedgerow Data'!$B$3:$AG$15,31,FALSE))</f>
        <v/>
      </c>
      <c r="T134" s="283" t="str">
        <f t="shared" si="9"/>
        <v/>
      </c>
      <c r="U134" s="283" t="str">
        <f t="shared" si="10"/>
        <v/>
      </c>
      <c r="V134" s="299" t="str">
        <f>IF(D134="","",VLOOKUP(S134,'G-3 Multipliers'!$P$3:$Q$6,2,FALSE))</f>
        <v/>
      </c>
      <c r="W134" s="303" t="str">
        <f t="shared" si="11"/>
        <v/>
      </c>
      <c r="X134" s="101"/>
      <c r="Y134" s="115"/>
      <c r="Z134" s="104"/>
      <c r="AG134" s="30" t="str">
        <f>IFERROR(INDEX('G-6 Hedgerow Data'!$BJ$3:$BJ$15,MATCH(D134,'G-6 Hedgerow Data'!$B$3:$B$15,0)),"")</f>
        <v/>
      </c>
    </row>
    <row r="135" spans="2:33" ht="14" hidden="1">
      <c r="B135" s="97">
        <v>124</v>
      </c>
      <c r="C135" s="140"/>
      <c r="D135" s="133"/>
      <c r="E135" s="115"/>
      <c r="F135" s="323" t="str">
        <f>IF(D135="","",VLOOKUP(D135,'G-6 Hedgerow Data'!$B$2:$AG$15,2,FALSE))</f>
        <v/>
      </c>
      <c r="G135" s="276" t="str">
        <f>IF(D135="","",VLOOKUP(D135,'G-6 Hedgerow Data'!$B$2:$AG$15,3,FALSE))</f>
        <v/>
      </c>
      <c r="H135" s="101"/>
      <c r="I135" s="276" t="str">
        <f>IFERROR(IF(H135="","",IF(AND(D135="Non-native and ornamental hedgerow",H135&lt;&gt;"Poor"),"Not possible ▲",(VLOOKUP(H135,'G-1 All Habitats'!$Z$2:$AA$9,2,FALSE)))),"")</f>
        <v/>
      </c>
      <c r="J135" s="101"/>
      <c r="K135" s="295" t="str">
        <f>IF(J135="","",IF(VLOOKUP(J135,'G-3 Multipliers'!$L$3:$N$6,2,FALSE)=0,"Spatial Data Missing ⚠",VLOOKUP(J135,'G-3 Multipliers'!$L$3:$N$6,2,FALSE)))</f>
        <v/>
      </c>
      <c r="L135" s="281" t="str">
        <f>IF(J135="","",IF(VLOOKUP(J135,'G-3 Multipliers'!$L$3:$N$6,3,FALSE)=0,"Spatial Data Missing ⚠",VLOOKUP(J135,'G-3 Multipliers'!$L$3:$N$6,3,FALSE)))</f>
        <v/>
      </c>
      <c r="M135" s="275" t="str">
        <f>IF(OR(D135="",H135=""),"",(INDEX('G-6 Hedgerow Data'!$E$3:$I$15,MATCH(D135,'G-6 Hedgerow Data'!$B$3:$B$15,0),MATCH(H135,'G-6 Hedgerow Data'!$E$2:$I$2,0))))</f>
        <v/>
      </c>
      <c r="N135" s="133"/>
      <c r="O135" s="133"/>
      <c r="P135" s="283" t="str">
        <f t="shared" si="7"/>
        <v/>
      </c>
      <c r="Q135" s="296" t="str">
        <f t="shared" si="8"/>
        <v/>
      </c>
      <c r="R135" s="297" t="str">
        <f t="shared" si="6"/>
        <v/>
      </c>
      <c r="S135" s="311" t="str">
        <f>IF(D135="","",VLOOKUP(D135,'G-6 Hedgerow Data'!$B$3:$AG$15,31,FALSE))</f>
        <v/>
      </c>
      <c r="T135" s="283" t="str">
        <f t="shared" si="9"/>
        <v/>
      </c>
      <c r="U135" s="283" t="str">
        <f t="shared" si="10"/>
        <v/>
      </c>
      <c r="V135" s="299" t="str">
        <f>IF(D135="","",VLOOKUP(S135,'G-3 Multipliers'!$P$3:$Q$6,2,FALSE))</f>
        <v/>
      </c>
      <c r="W135" s="303" t="str">
        <f t="shared" si="11"/>
        <v/>
      </c>
      <c r="X135" s="101"/>
      <c r="Y135" s="115"/>
      <c r="Z135" s="104"/>
      <c r="AG135" s="30" t="str">
        <f>IFERROR(INDEX('G-6 Hedgerow Data'!$BJ$3:$BJ$15,MATCH(D135,'G-6 Hedgerow Data'!$B$3:$B$15,0)),"")</f>
        <v/>
      </c>
    </row>
    <row r="136" spans="2:33" ht="14" hidden="1">
      <c r="B136" s="97">
        <v>125</v>
      </c>
      <c r="C136" s="140"/>
      <c r="D136" s="133"/>
      <c r="E136" s="115"/>
      <c r="F136" s="323" t="str">
        <f>IF(D136="","",VLOOKUP(D136,'G-6 Hedgerow Data'!$B$2:$AG$15,2,FALSE))</f>
        <v/>
      </c>
      <c r="G136" s="276" t="str">
        <f>IF(D136="","",VLOOKUP(D136,'G-6 Hedgerow Data'!$B$2:$AG$15,3,FALSE))</f>
        <v/>
      </c>
      <c r="H136" s="101"/>
      <c r="I136" s="276" t="str">
        <f>IFERROR(IF(H136="","",IF(AND(D136="Non-native and ornamental hedgerow",H136&lt;&gt;"Poor"),"Not possible ▲",(VLOOKUP(H136,'G-1 All Habitats'!$Z$2:$AA$9,2,FALSE)))),"")</f>
        <v/>
      </c>
      <c r="J136" s="101"/>
      <c r="K136" s="295" t="str">
        <f>IF(J136="","",IF(VLOOKUP(J136,'G-3 Multipliers'!$L$3:$N$6,2,FALSE)=0,"Spatial Data Missing ⚠",VLOOKUP(J136,'G-3 Multipliers'!$L$3:$N$6,2,FALSE)))</f>
        <v/>
      </c>
      <c r="L136" s="281" t="str">
        <f>IF(J136="","",IF(VLOOKUP(J136,'G-3 Multipliers'!$L$3:$N$6,3,FALSE)=0,"Spatial Data Missing ⚠",VLOOKUP(J136,'G-3 Multipliers'!$L$3:$N$6,3,FALSE)))</f>
        <v/>
      </c>
      <c r="M136" s="275" t="str">
        <f>IF(OR(D136="",H136=""),"",(INDEX('G-6 Hedgerow Data'!$E$3:$I$15,MATCH(D136,'G-6 Hedgerow Data'!$B$3:$B$15,0),MATCH(H136,'G-6 Hedgerow Data'!$E$2:$I$2,0))))</f>
        <v/>
      </c>
      <c r="N136" s="133"/>
      <c r="O136" s="133"/>
      <c r="P136" s="283" t="str">
        <f t="shared" si="7"/>
        <v/>
      </c>
      <c r="Q136" s="296" t="str">
        <f t="shared" si="8"/>
        <v/>
      </c>
      <c r="R136" s="297" t="str">
        <f t="shared" si="6"/>
        <v/>
      </c>
      <c r="S136" s="311" t="str">
        <f>IF(D136="","",VLOOKUP(D136,'G-6 Hedgerow Data'!$B$3:$AG$15,31,FALSE))</f>
        <v/>
      </c>
      <c r="T136" s="283" t="str">
        <f t="shared" si="9"/>
        <v/>
      </c>
      <c r="U136" s="283" t="str">
        <f t="shared" si="10"/>
        <v/>
      </c>
      <c r="V136" s="299" t="str">
        <f>IF(D136="","",VLOOKUP(S136,'G-3 Multipliers'!$P$3:$Q$6,2,FALSE))</f>
        <v/>
      </c>
      <c r="W136" s="303" t="str">
        <f t="shared" si="11"/>
        <v/>
      </c>
      <c r="X136" s="101"/>
      <c r="Y136" s="115"/>
      <c r="Z136" s="104"/>
      <c r="AG136" s="30" t="str">
        <f>IFERROR(INDEX('G-6 Hedgerow Data'!$BJ$3:$BJ$15,MATCH(D136,'G-6 Hedgerow Data'!$B$3:$B$15,0)),"")</f>
        <v/>
      </c>
    </row>
    <row r="137" spans="2:33" ht="14" hidden="1">
      <c r="B137" s="97">
        <v>126</v>
      </c>
      <c r="C137" s="140"/>
      <c r="D137" s="133"/>
      <c r="E137" s="115"/>
      <c r="F137" s="323" t="str">
        <f>IF(D137="","",VLOOKUP(D137,'G-6 Hedgerow Data'!$B$2:$AG$15,2,FALSE))</f>
        <v/>
      </c>
      <c r="G137" s="276" t="str">
        <f>IF(D137="","",VLOOKUP(D137,'G-6 Hedgerow Data'!$B$2:$AG$15,3,FALSE))</f>
        <v/>
      </c>
      <c r="H137" s="101"/>
      <c r="I137" s="276" t="str">
        <f>IFERROR(IF(H137="","",IF(AND(D137="Non-native and ornamental hedgerow",H137&lt;&gt;"Poor"),"Not possible ▲",(VLOOKUP(H137,'G-1 All Habitats'!$Z$2:$AA$9,2,FALSE)))),"")</f>
        <v/>
      </c>
      <c r="J137" s="101"/>
      <c r="K137" s="295" t="str">
        <f>IF(J137="","",IF(VLOOKUP(J137,'G-3 Multipliers'!$L$3:$N$6,2,FALSE)=0,"Spatial Data Missing ⚠",VLOOKUP(J137,'G-3 Multipliers'!$L$3:$N$6,2,FALSE)))</f>
        <v/>
      </c>
      <c r="L137" s="281" t="str">
        <f>IF(J137="","",IF(VLOOKUP(J137,'G-3 Multipliers'!$L$3:$N$6,3,FALSE)=0,"Spatial Data Missing ⚠",VLOOKUP(J137,'G-3 Multipliers'!$L$3:$N$6,3,FALSE)))</f>
        <v/>
      </c>
      <c r="M137" s="275" t="str">
        <f>IF(OR(D137="",H137=""),"",(INDEX('G-6 Hedgerow Data'!$E$3:$I$15,MATCH(D137,'G-6 Hedgerow Data'!$B$3:$B$15,0),MATCH(H137,'G-6 Hedgerow Data'!$E$2:$I$2,0))))</f>
        <v/>
      </c>
      <c r="N137" s="133"/>
      <c r="O137" s="133"/>
      <c r="P137" s="283" t="str">
        <f t="shared" si="7"/>
        <v/>
      </c>
      <c r="Q137" s="296" t="str">
        <f t="shared" si="8"/>
        <v/>
      </c>
      <c r="R137" s="297" t="str">
        <f t="shared" si="6"/>
        <v/>
      </c>
      <c r="S137" s="311" t="str">
        <f>IF(D137="","",VLOOKUP(D137,'G-6 Hedgerow Data'!$B$3:$AG$15,31,FALSE))</f>
        <v/>
      </c>
      <c r="T137" s="283" t="str">
        <f t="shared" si="9"/>
        <v/>
      </c>
      <c r="U137" s="283" t="str">
        <f t="shared" si="10"/>
        <v/>
      </c>
      <c r="V137" s="299" t="str">
        <f>IF(D137="","",VLOOKUP(S137,'G-3 Multipliers'!$P$3:$Q$6,2,FALSE))</f>
        <v/>
      </c>
      <c r="W137" s="303" t="str">
        <f t="shared" si="11"/>
        <v/>
      </c>
      <c r="X137" s="101"/>
      <c r="Y137" s="115"/>
      <c r="Z137" s="104"/>
      <c r="AG137" s="30" t="str">
        <f>IFERROR(INDEX('G-6 Hedgerow Data'!$BJ$3:$BJ$15,MATCH(D137,'G-6 Hedgerow Data'!$B$3:$B$15,0)),"")</f>
        <v/>
      </c>
    </row>
    <row r="138" spans="2:33" ht="14" hidden="1">
      <c r="B138" s="97">
        <v>127</v>
      </c>
      <c r="C138" s="140"/>
      <c r="D138" s="133"/>
      <c r="E138" s="115"/>
      <c r="F138" s="323" t="str">
        <f>IF(D138="","",VLOOKUP(D138,'G-6 Hedgerow Data'!$B$2:$AG$15,2,FALSE))</f>
        <v/>
      </c>
      <c r="G138" s="276" t="str">
        <f>IF(D138="","",VLOOKUP(D138,'G-6 Hedgerow Data'!$B$2:$AG$15,3,FALSE))</f>
        <v/>
      </c>
      <c r="H138" s="101"/>
      <c r="I138" s="276" t="str">
        <f>IFERROR(IF(H138="","",IF(AND(D138="Non-native and ornamental hedgerow",H138&lt;&gt;"Poor"),"Not possible ▲",(VLOOKUP(H138,'G-1 All Habitats'!$Z$2:$AA$9,2,FALSE)))),"")</f>
        <v/>
      </c>
      <c r="J138" s="101"/>
      <c r="K138" s="295" t="str">
        <f>IF(J138="","",IF(VLOOKUP(J138,'G-3 Multipliers'!$L$3:$N$6,2,FALSE)=0,"Spatial Data Missing ⚠",VLOOKUP(J138,'G-3 Multipliers'!$L$3:$N$6,2,FALSE)))</f>
        <v/>
      </c>
      <c r="L138" s="281" t="str">
        <f>IF(J138="","",IF(VLOOKUP(J138,'G-3 Multipliers'!$L$3:$N$6,3,FALSE)=0,"Spatial Data Missing ⚠",VLOOKUP(J138,'G-3 Multipliers'!$L$3:$N$6,3,FALSE)))</f>
        <v/>
      </c>
      <c r="M138" s="275" t="str">
        <f>IF(OR(D138="",H138=""),"",(INDEX('G-6 Hedgerow Data'!$E$3:$I$15,MATCH(D138,'G-6 Hedgerow Data'!$B$3:$B$15,0),MATCH(H138,'G-6 Hedgerow Data'!$E$2:$I$2,0))))</f>
        <v/>
      </c>
      <c r="N138" s="133"/>
      <c r="O138" s="133"/>
      <c r="P138" s="283" t="str">
        <f t="shared" si="7"/>
        <v/>
      </c>
      <c r="Q138" s="296" t="str">
        <f t="shared" si="8"/>
        <v/>
      </c>
      <c r="R138" s="297" t="str">
        <f t="shared" si="6"/>
        <v/>
      </c>
      <c r="S138" s="311" t="str">
        <f>IF(D138="","",VLOOKUP(D138,'G-6 Hedgerow Data'!$B$3:$AG$15,31,FALSE))</f>
        <v/>
      </c>
      <c r="T138" s="283" t="str">
        <f t="shared" si="9"/>
        <v/>
      </c>
      <c r="U138" s="283" t="str">
        <f t="shared" si="10"/>
        <v/>
      </c>
      <c r="V138" s="299" t="str">
        <f>IF(D138="","",VLOOKUP(S138,'G-3 Multipliers'!$P$3:$Q$6,2,FALSE))</f>
        <v/>
      </c>
      <c r="W138" s="303" t="str">
        <f t="shared" si="11"/>
        <v/>
      </c>
      <c r="X138" s="101"/>
      <c r="Y138" s="115"/>
      <c r="Z138" s="104"/>
      <c r="AG138" s="30" t="str">
        <f>IFERROR(INDEX('G-6 Hedgerow Data'!$BJ$3:$BJ$15,MATCH(D138,'G-6 Hedgerow Data'!$B$3:$B$15,0)),"")</f>
        <v/>
      </c>
    </row>
    <row r="139" spans="2:33" ht="14" hidden="1">
      <c r="B139" s="97">
        <v>128</v>
      </c>
      <c r="C139" s="140"/>
      <c r="D139" s="133"/>
      <c r="E139" s="115"/>
      <c r="F139" s="323" t="str">
        <f>IF(D139="","",VLOOKUP(D139,'G-6 Hedgerow Data'!$B$2:$AG$15,2,FALSE))</f>
        <v/>
      </c>
      <c r="G139" s="276" t="str">
        <f>IF(D139="","",VLOOKUP(D139,'G-6 Hedgerow Data'!$B$2:$AG$15,3,FALSE))</f>
        <v/>
      </c>
      <c r="H139" s="101"/>
      <c r="I139" s="276" t="str">
        <f>IFERROR(IF(H139="","",IF(AND(D139="Non-native and ornamental hedgerow",H139&lt;&gt;"Poor"),"Not possible ▲",(VLOOKUP(H139,'G-1 All Habitats'!$Z$2:$AA$9,2,FALSE)))),"")</f>
        <v/>
      </c>
      <c r="J139" s="101"/>
      <c r="K139" s="295" t="str">
        <f>IF(J139="","",IF(VLOOKUP(J139,'G-3 Multipliers'!$L$3:$N$6,2,FALSE)=0,"Spatial Data Missing ⚠",VLOOKUP(J139,'G-3 Multipliers'!$L$3:$N$6,2,FALSE)))</f>
        <v/>
      </c>
      <c r="L139" s="281" t="str">
        <f>IF(J139="","",IF(VLOOKUP(J139,'G-3 Multipliers'!$L$3:$N$6,3,FALSE)=0,"Spatial Data Missing ⚠",VLOOKUP(J139,'G-3 Multipliers'!$L$3:$N$6,3,FALSE)))</f>
        <v/>
      </c>
      <c r="M139" s="275" t="str">
        <f>IF(OR(D139="",H139=""),"",(INDEX('G-6 Hedgerow Data'!$E$3:$I$15,MATCH(D139,'G-6 Hedgerow Data'!$B$3:$B$15,0),MATCH(H139,'G-6 Hedgerow Data'!$E$2:$I$2,0))))</f>
        <v/>
      </c>
      <c r="N139" s="133"/>
      <c r="O139" s="133"/>
      <c r="P139" s="283" t="str">
        <f t="shared" si="7"/>
        <v/>
      </c>
      <c r="Q139" s="296" t="str">
        <f t="shared" si="8"/>
        <v/>
      </c>
      <c r="R139" s="297" t="str">
        <f t="shared" si="6"/>
        <v/>
      </c>
      <c r="S139" s="311" t="str">
        <f>IF(D139="","",VLOOKUP(D139,'G-6 Hedgerow Data'!$B$3:$AG$15,31,FALSE))</f>
        <v/>
      </c>
      <c r="T139" s="283" t="str">
        <f t="shared" si="9"/>
        <v/>
      </c>
      <c r="U139" s="283" t="str">
        <f t="shared" si="10"/>
        <v/>
      </c>
      <c r="V139" s="299" t="str">
        <f>IF(D139="","",VLOOKUP(S139,'G-3 Multipliers'!$P$3:$Q$6,2,FALSE))</f>
        <v/>
      </c>
      <c r="W139" s="303" t="str">
        <f t="shared" si="11"/>
        <v/>
      </c>
      <c r="X139" s="101"/>
      <c r="Y139" s="115"/>
      <c r="Z139" s="104"/>
      <c r="AG139" s="30" t="str">
        <f>IFERROR(INDEX('G-6 Hedgerow Data'!$BJ$3:$BJ$15,MATCH(D139,'G-6 Hedgerow Data'!$B$3:$B$15,0)),"")</f>
        <v/>
      </c>
    </row>
    <row r="140" spans="2:33" ht="14" hidden="1">
      <c r="B140" s="97">
        <v>129</v>
      </c>
      <c r="C140" s="140"/>
      <c r="D140" s="133"/>
      <c r="E140" s="115"/>
      <c r="F140" s="323" t="str">
        <f>IF(D140="","",VLOOKUP(D140,'G-6 Hedgerow Data'!$B$2:$AG$15,2,FALSE))</f>
        <v/>
      </c>
      <c r="G140" s="276" t="str">
        <f>IF(D140="","",VLOOKUP(D140,'G-6 Hedgerow Data'!$B$2:$AG$15,3,FALSE))</f>
        <v/>
      </c>
      <c r="H140" s="101"/>
      <c r="I140" s="276" t="str">
        <f>IFERROR(IF(H140="","",IF(AND(D140="Non-native and ornamental hedgerow",H140&lt;&gt;"Poor"),"Not possible ▲",(VLOOKUP(H140,'G-1 All Habitats'!$Z$2:$AA$9,2,FALSE)))),"")</f>
        <v/>
      </c>
      <c r="J140" s="101"/>
      <c r="K140" s="295" t="str">
        <f>IF(J140="","",IF(VLOOKUP(J140,'G-3 Multipliers'!$L$3:$N$6,2,FALSE)=0,"Spatial Data Missing ⚠",VLOOKUP(J140,'G-3 Multipliers'!$L$3:$N$6,2,FALSE)))</f>
        <v/>
      </c>
      <c r="L140" s="281" t="str">
        <f>IF(J140="","",IF(VLOOKUP(J140,'G-3 Multipliers'!$L$3:$N$6,3,FALSE)=0,"Spatial Data Missing ⚠",VLOOKUP(J140,'G-3 Multipliers'!$L$3:$N$6,3,FALSE)))</f>
        <v/>
      </c>
      <c r="M140" s="275" t="str">
        <f>IF(OR(D140="",H140=""),"",(INDEX('G-6 Hedgerow Data'!$E$3:$I$15,MATCH(D140,'G-6 Hedgerow Data'!$B$3:$B$15,0),MATCH(H140,'G-6 Hedgerow Data'!$E$2:$I$2,0))))</f>
        <v/>
      </c>
      <c r="N140" s="133"/>
      <c r="O140" s="133"/>
      <c r="P140" s="283" t="str">
        <f t="shared" si="7"/>
        <v/>
      </c>
      <c r="Q140" s="296" t="str">
        <f t="shared" si="8"/>
        <v/>
      </c>
      <c r="R140" s="297" t="str">
        <f t="shared" si="12" ref="R140:R203">IF(M140="","",IF(Q140="Check Data ⚠","Check Data ⚠",VLOOKUP(Q140,TemporalMultipliers,3,FALSE)))</f>
        <v/>
      </c>
      <c r="S140" s="311" t="str">
        <f>IF(D140="","",VLOOKUP(D140,'G-6 Hedgerow Data'!$B$3:$AG$15,31,FALSE))</f>
        <v/>
      </c>
      <c r="T140" s="283" t="str">
        <f t="shared" si="9"/>
        <v/>
      </c>
      <c r="U140" s="283" t="str">
        <f t="shared" si="10"/>
        <v/>
      </c>
      <c r="V140" s="299" t="str">
        <f>IF(D140="","",VLOOKUP(S140,'G-3 Multipliers'!$P$3:$Q$6,2,FALSE))</f>
        <v/>
      </c>
      <c r="W140" s="303" t="str">
        <f t="shared" si="11"/>
        <v/>
      </c>
      <c r="X140" s="101"/>
      <c r="Y140" s="115"/>
      <c r="Z140" s="104"/>
      <c r="AG140" s="30" t="str">
        <f>IFERROR(INDEX('G-6 Hedgerow Data'!$BJ$3:$BJ$15,MATCH(D140,'G-6 Hedgerow Data'!$B$3:$B$15,0)),"")</f>
        <v/>
      </c>
    </row>
    <row r="141" spans="2:33" ht="14" hidden="1">
      <c r="B141" s="97">
        <v>130</v>
      </c>
      <c r="C141" s="140"/>
      <c r="D141" s="133"/>
      <c r="E141" s="115"/>
      <c r="F141" s="323" t="str">
        <f>IF(D141="","",VLOOKUP(D141,'G-6 Hedgerow Data'!$B$2:$AG$15,2,FALSE))</f>
        <v/>
      </c>
      <c r="G141" s="276" t="str">
        <f>IF(D141="","",VLOOKUP(D141,'G-6 Hedgerow Data'!$B$2:$AG$15,3,FALSE))</f>
        <v/>
      </c>
      <c r="H141" s="101"/>
      <c r="I141" s="276" t="str">
        <f>IFERROR(IF(H141="","",IF(AND(D141="Non-native and ornamental hedgerow",H141&lt;&gt;"Poor"),"Not possible ▲",(VLOOKUP(H141,'G-1 All Habitats'!$Z$2:$AA$9,2,FALSE)))),"")</f>
        <v/>
      </c>
      <c r="J141" s="101"/>
      <c r="K141" s="295" t="str">
        <f>IF(J141="","",IF(VLOOKUP(J141,'G-3 Multipliers'!$L$3:$N$6,2,FALSE)=0,"Spatial Data Missing ⚠",VLOOKUP(J141,'G-3 Multipliers'!$L$3:$N$6,2,FALSE)))</f>
        <v/>
      </c>
      <c r="L141" s="281" t="str">
        <f>IF(J141="","",IF(VLOOKUP(J141,'G-3 Multipliers'!$L$3:$N$6,3,FALSE)=0,"Spatial Data Missing ⚠",VLOOKUP(J141,'G-3 Multipliers'!$L$3:$N$6,3,FALSE)))</f>
        <v/>
      </c>
      <c r="M141" s="275" t="str">
        <f>IF(OR(D141="",H141=""),"",(INDEX('G-6 Hedgerow Data'!$E$3:$I$15,MATCH(D141,'G-6 Hedgerow Data'!$B$3:$B$15,0),MATCH(H141,'G-6 Hedgerow Data'!$E$2:$I$2,0))))</f>
        <v/>
      </c>
      <c r="N141" s="133"/>
      <c r="O141" s="133"/>
      <c r="P141" s="283" t="str">
        <f t="shared" si="13" ref="P141:P204">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296" t="str">
        <f t="shared" si="14" ref="Q141:Q204">IF(M141="","",IF(P141="Error -both advance and delayed habitat creation ▲","Check Data ⚠",IF(M141="Not possible ▲","Check Data ⚠",IF(OR(N141="30+",N141="Habitat already in target condition"),0,IF(O141="30+","30+",IF(AND(M141="30+",OR(N141="",N141=0)),"30+",IF(AND(M141="30+",N141&gt;0),30-N141,IF(M141+O141&gt;30,"30+",IF(M141+O141-N141&gt;0,M141+O141-N141,IF(M141-N141&lt;0,0,M141+O141-N141))))))))))</f>
        <v/>
      </c>
      <c r="R141" s="297" t="str">
        <f t="shared" si="12"/>
        <v/>
      </c>
      <c r="S141" s="311" t="str">
        <f>IF(D141="","",VLOOKUP(D141,'G-6 Hedgerow Data'!$B$3:$AG$15,31,FALSE))</f>
        <v/>
      </c>
      <c r="T141" s="283" t="str">
        <f t="shared" si="15" ref="T141:T204">IF(D141="","",IF(Q141="Check Data ⚠","Check Data ⚠",IF(H141="","",IF($P141="Check details - Is there evidence that habitat has reached target condition? ⚠","Low Difficulty - only applicable if all habitat created before losses ⚠","Standard difficulty applied"))))</f>
        <v/>
      </c>
      <c r="U141" s="283" t="str">
        <f t="shared" si="16" ref="U141:U204">(IF(AND(T141="Standard difficulty applied",M141&gt;N141),S141,IF(Q141="Check data ⚠","Check data ⚠",IF(AND(T141="Low Difficulty - only applicable if all habitat created before losses ⚠",Q141&lt;=0),"Low",S141))))</f>
        <v/>
      </c>
      <c r="V141" s="299" t="str">
        <f>IF(D141="","",VLOOKUP(S141,'G-3 Multipliers'!$P$3:$Q$6,2,FALSE))</f>
        <v/>
      </c>
      <c r="W141" s="303" t="str">
        <f t="shared" si="17" ref="W141:W204">IFERROR(E141*G141*I141*L141*R141*V141,"")</f>
        <v/>
      </c>
      <c r="X141" s="101"/>
      <c r="Y141" s="115"/>
      <c r="Z141" s="104"/>
      <c r="AG141" s="30" t="str">
        <f>IFERROR(INDEX('G-6 Hedgerow Data'!$BJ$3:$BJ$15,MATCH(D141,'G-6 Hedgerow Data'!$B$3:$B$15,0)),"")</f>
        <v/>
      </c>
    </row>
    <row r="142" spans="2:33" ht="14" hidden="1">
      <c r="B142" s="97">
        <v>131</v>
      </c>
      <c r="C142" s="140"/>
      <c r="D142" s="133"/>
      <c r="E142" s="115"/>
      <c r="F142" s="323" t="str">
        <f>IF(D142="","",VLOOKUP(D142,'G-6 Hedgerow Data'!$B$2:$AG$15,2,FALSE))</f>
        <v/>
      </c>
      <c r="G142" s="276" t="str">
        <f>IF(D142="","",VLOOKUP(D142,'G-6 Hedgerow Data'!$B$2:$AG$15,3,FALSE))</f>
        <v/>
      </c>
      <c r="H142" s="101"/>
      <c r="I142" s="276" t="str">
        <f>IFERROR(IF(H142="","",IF(AND(D142="Non-native and ornamental hedgerow",H142&lt;&gt;"Poor"),"Not possible ▲",(VLOOKUP(H142,'G-1 All Habitats'!$Z$2:$AA$9,2,FALSE)))),"")</f>
        <v/>
      </c>
      <c r="J142" s="101"/>
      <c r="K142" s="295" t="str">
        <f>IF(J142="","",IF(VLOOKUP(J142,'G-3 Multipliers'!$L$3:$N$6,2,FALSE)=0,"Spatial Data Missing ⚠",VLOOKUP(J142,'G-3 Multipliers'!$L$3:$N$6,2,FALSE)))</f>
        <v/>
      </c>
      <c r="L142" s="281" t="str">
        <f>IF(J142="","",IF(VLOOKUP(J142,'G-3 Multipliers'!$L$3:$N$6,3,FALSE)=0,"Spatial Data Missing ⚠",VLOOKUP(J142,'G-3 Multipliers'!$L$3:$N$6,3,FALSE)))</f>
        <v/>
      </c>
      <c r="M142" s="275" t="str">
        <f>IF(OR(D142="",H142=""),"",(INDEX('G-6 Hedgerow Data'!$E$3:$I$15,MATCH(D142,'G-6 Hedgerow Data'!$B$3:$B$15,0),MATCH(H142,'G-6 Hedgerow Data'!$E$2:$I$2,0))))</f>
        <v/>
      </c>
      <c r="N142" s="133"/>
      <c r="O142" s="133"/>
      <c r="P142" s="283" t="str">
        <f t="shared" si="13"/>
        <v/>
      </c>
      <c r="Q142" s="296" t="str">
        <f t="shared" si="14"/>
        <v/>
      </c>
      <c r="R142" s="297" t="str">
        <f t="shared" si="12"/>
        <v/>
      </c>
      <c r="S142" s="311" t="str">
        <f>IF(D142="","",VLOOKUP(D142,'G-6 Hedgerow Data'!$B$3:$AG$15,31,FALSE))</f>
        <v/>
      </c>
      <c r="T142" s="283" t="str">
        <f t="shared" si="15"/>
        <v/>
      </c>
      <c r="U142" s="283" t="str">
        <f t="shared" si="16"/>
        <v/>
      </c>
      <c r="V142" s="299" t="str">
        <f>IF(D142="","",VLOOKUP(S142,'G-3 Multipliers'!$P$3:$Q$6,2,FALSE))</f>
        <v/>
      </c>
      <c r="W142" s="303" t="str">
        <f t="shared" si="17"/>
        <v/>
      </c>
      <c r="X142" s="101"/>
      <c r="Y142" s="115"/>
      <c r="Z142" s="104"/>
      <c r="AG142" s="30" t="str">
        <f>IFERROR(INDEX('G-6 Hedgerow Data'!$BJ$3:$BJ$15,MATCH(D142,'G-6 Hedgerow Data'!$B$3:$B$15,0)),"")</f>
        <v/>
      </c>
    </row>
    <row r="143" spans="2:33" ht="14" hidden="1">
      <c r="B143" s="97">
        <v>132</v>
      </c>
      <c r="C143" s="140"/>
      <c r="D143" s="133"/>
      <c r="E143" s="115"/>
      <c r="F143" s="323" t="str">
        <f>IF(D143="","",VLOOKUP(D143,'G-6 Hedgerow Data'!$B$2:$AG$15,2,FALSE))</f>
        <v/>
      </c>
      <c r="G143" s="276" t="str">
        <f>IF(D143="","",VLOOKUP(D143,'G-6 Hedgerow Data'!$B$2:$AG$15,3,FALSE))</f>
        <v/>
      </c>
      <c r="H143" s="101"/>
      <c r="I143" s="276" t="str">
        <f>IFERROR(IF(H143="","",IF(AND(D143="Non-native and ornamental hedgerow",H143&lt;&gt;"Poor"),"Not possible ▲",(VLOOKUP(H143,'G-1 All Habitats'!$Z$2:$AA$9,2,FALSE)))),"")</f>
        <v/>
      </c>
      <c r="J143" s="101"/>
      <c r="K143" s="295" t="str">
        <f>IF(J143="","",IF(VLOOKUP(J143,'G-3 Multipliers'!$L$3:$N$6,2,FALSE)=0,"Spatial Data Missing ⚠",VLOOKUP(J143,'G-3 Multipliers'!$L$3:$N$6,2,FALSE)))</f>
        <v/>
      </c>
      <c r="L143" s="281" t="str">
        <f>IF(J143="","",IF(VLOOKUP(J143,'G-3 Multipliers'!$L$3:$N$6,3,FALSE)=0,"Spatial Data Missing ⚠",VLOOKUP(J143,'G-3 Multipliers'!$L$3:$N$6,3,FALSE)))</f>
        <v/>
      </c>
      <c r="M143" s="275" t="str">
        <f>IF(OR(D143="",H143=""),"",(INDEX('G-6 Hedgerow Data'!$E$3:$I$15,MATCH(D143,'G-6 Hedgerow Data'!$B$3:$B$15,0),MATCH(H143,'G-6 Hedgerow Data'!$E$2:$I$2,0))))</f>
        <v/>
      </c>
      <c r="N143" s="133"/>
      <c r="O143" s="133"/>
      <c r="P143" s="283" t="str">
        <f t="shared" si="13"/>
        <v/>
      </c>
      <c r="Q143" s="296" t="str">
        <f t="shared" si="14"/>
        <v/>
      </c>
      <c r="R143" s="297" t="str">
        <f t="shared" si="12"/>
        <v/>
      </c>
      <c r="S143" s="311" t="str">
        <f>IF(D143="","",VLOOKUP(D143,'G-6 Hedgerow Data'!$B$3:$AG$15,31,FALSE))</f>
        <v/>
      </c>
      <c r="T143" s="283" t="str">
        <f t="shared" si="15"/>
        <v/>
      </c>
      <c r="U143" s="283" t="str">
        <f t="shared" si="16"/>
        <v/>
      </c>
      <c r="V143" s="299" t="str">
        <f>IF(D143="","",VLOOKUP(S143,'G-3 Multipliers'!$P$3:$Q$6,2,FALSE))</f>
        <v/>
      </c>
      <c r="W143" s="303" t="str">
        <f t="shared" si="17"/>
        <v/>
      </c>
      <c r="X143" s="101"/>
      <c r="Y143" s="115"/>
      <c r="Z143" s="104"/>
      <c r="AG143" s="30" t="str">
        <f>IFERROR(INDEX('G-6 Hedgerow Data'!$BJ$3:$BJ$15,MATCH(D143,'G-6 Hedgerow Data'!$B$3:$B$15,0)),"")</f>
        <v/>
      </c>
    </row>
    <row r="144" spans="2:33" ht="14" hidden="1">
      <c r="B144" s="97">
        <v>133</v>
      </c>
      <c r="C144" s="140"/>
      <c r="D144" s="133"/>
      <c r="E144" s="115"/>
      <c r="F144" s="323" t="str">
        <f>IF(D144="","",VLOOKUP(D144,'G-6 Hedgerow Data'!$B$2:$AG$15,2,FALSE))</f>
        <v/>
      </c>
      <c r="G144" s="276" t="str">
        <f>IF(D144="","",VLOOKUP(D144,'G-6 Hedgerow Data'!$B$2:$AG$15,3,FALSE))</f>
        <v/>
      </c>
      <c r="H144" s="101"/>
      <c r="I144" s="276" t="str">
        <f>IFERROR(IF(H144="","",IF(AND(D144="Non-native and ornamental hedgerow",H144&lt;&gt;"Poor"),"Not possible ▲",(VLOOKUP(H144,'G-1 All Habitats'!$Z$2:$AA$9,2,FALSE)))),"")</f>
        <v/>
      </c>
      <c r="J144" s="101"/>
      <c r="K144" s="295" t="str">
        <f>IF(J144="","",IF(VLOOKUP(J144,'G-3 Multipliers'!$L$3:$N$6,2,FALSE)=0,"Spatial Data Missing ⚠",VLOOKUP(J144,'G-3 Multipliers'!$L$3:$N$6,2,FALSE)))</f>
        <v/>
      </c>
      <c r="L144" s="281" t="str">
        <f>IF(J144="","",IF(VLOOKUP(J144,'G-3 Multipliers'!$L$3:$N$6,3,FALSE)=0,"Spatial Data Missing ⚠",VLOOKUP(J144,'G-3 Multipliers'!$L$3:$N$6,3,FALSE)))</f>
        <v/>
      </c>
      <c r="M144" s="275" t="str">
        <f>IF(OR(D144="",H144=""),"",(INDEX('G-6 Hedgerow Data'!$E$3:$I$15,MATCH(D144,'G-6 Hedgerow Data'!$B$3:$B$15,0),MATCH(H144,'G-6 Hedgerow Data'!$E$2:$I$2,0))))</f>
        <v/>
      </c>
      <c r="N144" s="133"/>
      <c r="O144" s="133"/>
      <c r="P144" s="283" t="str">
        <f t="shared" si="13"/>
        <v/>
      </c>
      <c r="Q144" s="296" t="str">
        <f t="shared" si="14"/>
        <v/>
      </c>
      <c r="R144" s="297" t="str">
        <f t="shared" si="12"/>
        <v/>
      </c>
      <c r="S144" s="311" t="str">
        <f>IF(D144="","",VLOOKUP(D144,'G-6 Hedgerow Data'!$B$3:$AG$15,31,FALSE))</f>
        <v/>
      </c>
      <c r="T144" s="283" t="str">
        <f t="shared" si="15"/>
        <v/>
      </c>
      <c r="U144" s="283" t="str">
        <f t="shared" si="16"/>
        <v/>
      </c>
      <c r="V144" s="299" t="str">
        <f>IF(D144="","",VLOOKUP(S144,'G-3 Multipliers'!$P$3:$Q$6,2,FALSE))</f>
        <v/>
      </c>
      <c r="W144" s="303" t="str">
        <f t="shared" si="17"/>
        <v/>
      </c>
      <c r="X144" s="101"/>
      <c r="Y144" s="115"/>
      <c r="Z144" s="104"/>
      <c r="AG144" s="30" t="str">
        <f>IFERROR(INDEX('G-6 Hedgerow Data'!$BJ$3:$BJ$15,MATCH(D144,'G-6 Hedgerow Data'!$B$3:$B$15,0)),"")</f>
        <v/>
      </c>
    </row>
    <row r="145" spans="2:33" ht="14" hidden="1">
      <c r="B145" s="97">
        <v>134</v>
      </c>
      <c r="C145" s="140"/>
      <c r="D145" s="133"/>
      <c r="E145" s="115"/>
      <c r="F145" s="323" t="str">
        <f>IF(D145="","",VLOOKUP(D145,'G-6 Hedgerow Data'!$B$2:$AG$15,2,FALSE))</f>
        <v/>
      </c>
      <c r="G145" s="276" t="str">
        <f>IF(D145="","",VLOOKUP(D145,'G-6 Hedgerow Data'!$B$2:$AG$15,3,FALSE))</f>
        <v/>
      </c>
      <c r="H145" s="101"/>
      <c r="I145" s="276" t="str">
        <f>IFERROR(IF(H145="","",IF(AND(D145="Non-native and ornamental hedgerow",H145&lt;&gt;"Poor"),"Not possible ▲",(VLOOKUP(H145,'G-1 All Habitats'!$Z$2:$AA$9,2,FALSE)))),"")</f>
        <v/>
      </c>
      <c r="J145" s="101"/>
      <c r="K145" s="295" t="str">
        <f>IF(J145="","",IF(VLOOKUP(J145,'G-3 Multipliers'!$L$3:$N$6,2,FALSE)=0,"Spatial Data Missing ⚠",VLOOKUP(J145,'G-3 Multipliers'!$L$3:$N$6,2,FALSE)))</f>
        <v/>
      </c>
      <c r="L145" s="281" t="str">
        <f>IF(J145="","",IF(VLOOKUP(J145,'G-3 Multipliers'!$L$3:$N$6,3,FALSE)=0,"Spatial Data Missing ⚠",VLOOKUP(J145,'G-3 Multipliers'!$L$3:$N$6,3,FALSE)))</f>
        <v/>
      </c>
      <c r="M145" s="275" t="str">
        <f>IF(OR(D145="",H145=""),"",(INDEX('G-6 Hedgerow Data'!$E$3:$I$15,MATCH(D145,'G-6 Hedgerow Data'!$B$3:$B$15,0),MATCH(H145,'G-6 Hedgerow Data'!$E$2:$I$2,0))))</f>
        <v/>
      </c>
      <c r="N145" s="133"/>
      <c r="O145" s="133"/>
      <c r="P145" s="283" t="str">
        <f t="shared" si="13"/>
        <v/>
      </c>
      <c r="Q145" s="296" t="str">
        <f t="shared" si="14"/>
        <v/>
      </c>
      <c r="R145" s="297" t="str">
        <f t="shared" si="12"/>
        <v/>
      </c>
      <c r="S145" s="311" t="str">
        <f>IF(D145="","",VLOOKUP(D145,'G-6 Hedgerow Data'!$B$3:$AG$15,31,FALSE))</f>
        <v/>
      </c>
      <c r="T145" s="283" t="str">
        <f t="shared" si="15"/>
        <v/>
      </c>
      <c r="U145" s="283" t="str">
        <f t="shared" si="16"/>
        <v/>
      </c>
      <c r="V145" s="299" t="str">
        <f>IF(D145="","",VLOOKUP(S145,'G-3 Multipliers'!$P$3:$Q$6,2,FALSE))</f>
        <v/>
      </c>
      <c r="W145" s="303" t="str">
        <f t="shared" si="17"/>
        <v/>
      </c>
      <c r="X145" s="101"/>
      <c r="Y145" s="115"/>
      <c r="Z145" s="104"/>
      <c r="AG145" s="30" t="str">
        <f>IFERROR(INDEX('G-6 Hedgerow Data'!$BJ$3:$BJ$15,MATCH(D145,'G-6 Hedgerow Data'!$B$3:$B$15,0)),"")</f>
        <v/>
      </c>
    </row>
    <row r="146" spans="2:33" ht="14" hidden="1">
      <c r="B146" s="97">
        <v>135</v>
      </c>
      <c r="C146" s="140"/>
      <c r="D146" s="133"/>
      <c r="E146" s="115"/>
      <c r="F146" s="323" t="str">
        <f>IF(D146="","",VLOOKUP(D146,'G-6 Hedgerow Data'!$B$2:$AG$15,2,FALSE))</f>
        <v/>
      </c>
      <c r="G146" s="276" t="str">
        <f>IF(D146="","",VLOOKUP(D146,'G-6 Hedgerow Data'!$B$2:$AG$15,3,FALSE))</f>
        <v/>
      </c>
      <c r="H146" s="101"/>
      <c r="I146" s="276" t="str">
        <f>IFERROR(IF(H146="","",IF(AND(D146="Non-native and ornamental hedgerow",H146&lt;&gt;"Poor"),"Not possible ▲",(VLOOKUP(H146,'G-1 All Habitats'!$Z$2:$AA$9,2,FALSE)))),"")</f>
        <v/>
      </c>
      <c r="J146" s="101"/>
      <c r="K146" s="295" t="str">
        <f>IF(J146="","",IF(VLOOKUP(J146,'G-3 Multipliers'!$L$3:$N$6,2,FALSE)=0,"Spatial Data Missing ⚠",VLOOKUP(J146,'G-3 Multipliers'!$L$3:$N$6,2,FALSE)))</f>
        <v/>
      </c>
      <c r="L146" s="281" t="str">
        <f>IF(J146="","",IF(VLOOKUP(J146,'G-3 Multipliers'!$L$3:$N$6,3,FALSE)=0,"Spatial Data Missing ⚠",VLOOKUP(J146,'G-3 Multipliers'!$L$3:$N$6,3,FALSE)))</f>
        <v/>
      </c>
      <c r="M146" s="275" t="str">
        <f>IF(OR(D146="",H146=""),"",(INDEX('G-6 Hedgerow Data'!$E$3:$I$15,MATCH(D146,'G-6 Hedgerow Data'!$B$3:$B$15,0),MATCH(H146,'G-6 Hedgerow Data'!$E$2:$I$2,0))))</f>
        <v/>
      </c>
      <c r="N146" s="133"/>
      <c r="O146" s="133"/>
      <c r="P146" s="283" t="str">
        <f t="shared" si="13"/>
        <v/>
      </c>
      <c r="Q146" s="296" t="str">
        <f t="shared" si="14"/>
        <v/>
      </c>
      <c r="R146" s="297" t="str">
        <f t="shared" si="12"/>
        <v/>
      </c>
      <c r="S146" s="311" t="str">
        <f>IF(D146="","",VLOOKUP(D146,'G-6 Hedgerow Data'!$B$3:$AG$15,31,FALSE))</f>
        <v/>
      </c>
      <c r="T146" s="283" t="str">
        <f t="shared" si="15"/>
        <v/>
      </c>
      <c r="U146" s="283" t="str">
        <f t="shared" si="16"/>
        <v/>
      </c>
      <c r="V146" s="299" t="str">
        <f>IF(D146="","",VLOOKUP(S146,'G-3 Multipliers'!$P$3:$Q$6,2,FALSE))</f>
        <v/>
      </c>
      <c r="W146" s="303" t="str">
        <f t="shared" si="17"/>
        <v/>
      </c>
      <c r="X146" s="101"/>
      <c r="Y146" s="115"/>
      <c r="Z146" s="104"/>
      <c r="AG146" s="30" t="str">
        <f>IFERROR(INDEX('G-6 Hedgerow Data'!$BJ$3:$BJ$15,MATCH(D146,'G-6 Hedgerow Data'!$B$3:$B$15,0)),"")</f>
        <v/>
      </c>
    </row>
    <row r="147" spans="2:33" ht="14" hidden="1">
      <c r="B147" s="97">
        <v>136</v>
      </c>
      <c r="C147" s="140"/>
      <c r="D147" s="133"/>
      <c r="E147" s="115"/>
      <c r="F147" s="323" t="str">
        <f>IF(D147="","",VLOOKUP(D147,'G-6 Hedgerow Data'!$B$2:$AG$15,2,FALSE))</f>
        <v/>
      </c>
      <c r="G147" s="276" t="str">
        <f>IF(D147="","",VLOOKUP(D147,'G-6 Hedgerow Data'!$B$2:$AG$15,3,FALSE))</f>
        <v/>
      </c>
      <c r="H147" s="101"/>
      <c r="I147" s="276" t="str">
        <f>IFERROR(IF(H147="","",IF(AND(D147="Non-native and ornamental hedgerow",H147&lt;&gt;"Poor"),"Not possible ▲",(VLOOKUP(H147,'G-1 All Habitats'!$Z$2:$AA$9,2,FALSE)))),"")</f>
        <v/>
      </c>
      <c r="J147" s="101"/>
      <c r="K147" s="295" t="str">
        <f>IF(J147="","",IF(VLOOKUP(J147,'G-3 Multipliers'!$L$3:$N$6,2,FALSE)=0,"Spatial Data Missing ⚠",VLOOKUP(J147,'G-3 Multipliers'!$L$3:$N$6,2,FALSE)))</f>
        <v/>
      </c>
      <c r="L147" s="281" t="str">
        <f>IF(J147="","",IF(VLOOKUP(J147,'G-3 Multipliers'!$L$3:$N$6,3,FALSE)=0,"Spatial Data Missing ⚠",VLOOKUP(J147,'G-3 Multipliers'!$L$3:$N$6,3,FALSE)))</f>
        <v/>
      </c>
      <c r="M147" s="275" t="str">
        <f>IF(OR(D147="",H147=""),"",(INDEX('G-6 Hedgerow Data'!$E$3:$I$15,MATCH(D147,'G-6 Hedgerow Data'!$B$3:$B$15,0),MATCH(H147,'G-6 Hedgerow Data'!$E$2:$I$2,0))))</f>
        <v/>
      </c>
      <c r="N147" s="133"/>
      <c r="O147" s="133"/>
      <c r="P147" s="283" t="str">
        <f t="shared" si="13"/>
        <v/>
      </c>
      <c r="Q147" s="296" t="str">
        <f t="shared" si="14"/>
        <v/>
      </c>
      <c r="R147" s="297" t="str">
        <f t="shared" si="12"/>
        <v/>
      </c>
      <c r="S147" s="311" t="str">
        <f>IF(D147="","",VLOOKUP(D147,'G-6 Hedgerow Data'!$B$3:$AG$15,31,FALSE))</f>
        <v/>
      </c>
      <c r="T147" s="283" t="str">
        <f t="shared" si="15"/>
        <v/>
      </c>
      <c r="U147" s="283" t="str">
        <f t="shared" si="16"/>
        <v/>
      </c>
      <c r="V147" s="299" t="str">
        <f>IF(D147="","",VLOOKUP(S147,'G-3 Multipliers'!$P$3:$Q$6,2,FALSE))</f>
        <v/>
      </c>
      <c r="W147" s="303" t="str">
        <f t="shared" si="17"/>
        <v/>
      </c>
      <c r="X147" s="101"/>
      <c r="Y147" s="115"/>
      <c r="Z147" s="104"/>
      <c r="AG147" s="30" t="str">
        <f>IFERROR(INDEX('G-6 Hedgerow Data'!$BJ$3:$BJ$15,MATCH(D147,'G-6 Hedgerow Data'!$B$3:$B$15,0)),"")</f>
        <v/>
      </c>
    </row>
    <row r="148" spans="2:33" ht="14" hidden="1">
      <c r="B148" s="97">
        <v>137</v>
      </c>
      <c r="C148" s="140"/>
      <c r="D148" s="133"/>
      <c r="E148" s="115"/>
      <c r="F148" s="323" t="str">
        <f>IF(D148="","",VLOOKUP(D148,'G-6 Hedgerow Data'!$B$2:$AG$15,2,FALSE))</f>
        <v/>
      </c>
      <c r="G148" s="276" t="str">
        <f>IF(D148="","",VLOOKUP(D148,'G-6 Hedgerow Data'!$B$2:$AG$15,3,FALSE))</f>
        <v/>
      </c>
      <c r="H148" s="101"/>
      <c r="I148" s="276" t="str">
        <f>IFERROR(IF(H148="","",IF(AND(D148="Non-native and ornamental hedgerow",H148&lt;&gt;"Poor"),"Not possible ▲",(VLOOKUP(H148,'G-1 All Habitats'!$Z$2:$AA$9,2,FALSE)))),"")</f>
        <v/>
      </c>
      <c r="J148" s="101"/>
      <c r="K148" s="295" t="str">
        <f>IF(J148="","",IF(VLOOKUP(J148,'G-3 Multipliers'!$L$3:$N$6,2,FALSE)=0,"Spatial Data Missing ⚠",VLOOKUP(J148,'G-3 Multipliers'!$L$3:$N$6,2,FALSE)))</f>
        <v/>
      </c>
      <c r="L148" s="281" t="str">
        <f>IF(J148="","",IF(VLOOKUP(J148,'G-3 Multipliers'!$L$3:$N$6,3,FALSE)=0,"Spatial Data Missing ⚠",VLOOKUP(J148,'G-3 Multipliers'!$L$3:$N$6,3,FALSE)))</f>
        <v/>
      </c>
      <c r="M148" s="275" t="str">
        <f>IF(OR(D148="",H148=""),"",(INDEX('G-6 Hedgerow Data'!$E$3:$I$15,MATCH(D148,'G-6 Hedgerow Data'!$B$3:$B$15,0),MATCH(H148,'G-6 Hedgerow Data'!$E$2:$I$2,0))))</f>
        <v/>
      </c>
      <c r="N148" s="133"/>
      <c r="O148" s="133"/>
      <c r="P148" s="283" t="str">
        <f t="shared" si="13"/>
        <v/>
      </c>
      <c r="Q148" s="296" t="str">
        <f t="shared" si="14"/>
        <v/>
      </c>
      <c r="R148" s="297" t="str">
        <f t="shared" si="12"/>
        <v/>
      </c>
      <c r="S148" s="311" t="str">
        <f>IF(D148="","",VLOOKUP(D148,'G-6 Hedgerow Data'!$B$3:$AG$15,31,FALSE))</f>
        <v/>
      </c>
      <c r="T148" s="283" t="str">
        <f t="shared" si="15"/>
        <v/>
      </c>
      <c r="U148" s="283" t="str">
        <f t="shared" si="16"/>
        <v/>
      </c>
      <c r="V148" s="299" t="str">
        <f>IF(D148="","",VLOOKUP(S148,'G-3 Multipliers'!$P$3:$Q$6,2,FALSE))</f>
        <v/>
      </c>
      <c r="W148" s="303" t="str">
        <f t="shared" si="17"/>
        <v/>
      </c>
      <c r="X148" s="101"/>
      <c r="Y148" s="115"/>
      <c r="Z148" s="104"/>
      <c r="AG148" s="30" t="str">
        <f>IFERROR(INDEX('G-6 Hedgerow Data'!$BJ$3:$BJ$15,MATCH(D148,'G-6 Hedgerow Data'!$B$3:$B$15,0)),"")</f>
        <v/>
      </c>
    </row>
    <row r="149" spans="2:33" ht="14" hidden="1">
      <c r="B149" s="97">
        <v>138</v>
      </c>
      <c r="C149" s="140"/>
      <c r="D149" s="133"/>
      <c r="E149" s="115"/>
      <c r="F149" s="323" t="str">
        <f>IF(D149="","",VLOOKUP(D149,'G-6 Hedgerow Data'!$B$2:$AG$15,2,FALSE))</f>
        <v/>
      </c>
      <c r="G149" s="276" t="str">
        <f>IF(D149="","",VLOOKUP(D149,'G-6 Hedgerow Data'!$B$2:$AG$15,3,FALSE))</f>
        <v/>
      </c>
      <c r="H149" s="101"/>
      <c r="I149" s="276" t="str">
        <f>IFERROR(IF(H149="","",IF(AND(D149="Non-native and ornamental hedgerow",H149&lt;&gt;"Poor"),"Not possible ▲",(VLOOKUP(H149,'G-1 All Habitats'!$Z$2:$AA$9,2,FALSE)))),"")</f>
        <v/>
      </c>
      <c r="J149" s="101"/>
      <c r="K149" s="295" t="str">
        <f>IF(J149="","",IF(VLOOKUP(J149,'G-3 Multipliers'!$L$3:$N$6,2,FALSE)=0,"Spatial Data Missing ⚠",VLOOKUP(J149,'G-3 Multipliers'!$L$3:$N$6,2,FALSE)))</f>
        <v/>
      </c>
      <c r="L149" s="281" t="str">
        <f>IF(J149="","",IF(VLOOKUP(J149,'G-3 Multipliers'!$L$3:$N$6,3,FALSE)=0,"Spatial Data Missing ⚠",VLOOKUP(J149,'G-3 Multipliers'!$L$3:$N$6,3,FALSE)))</f>
        <v/>
      </c>
      <c r="M149" s="275" t="str">
        <f>IF(OR(D149="",H149=""),"",(INDEX('G-6 Hedgerow Data'!$E$3:$I$15,MATCH(D149,'G-6 Hedgerow Data'!$B$3:$B$15,0),MATCH(H149,'G-6 Hedgerow Data'!$E$2:$I$2,0))))</f>
        <v/>
      </c>
      <c r="N149" s="133"/>
      <c r="O149" s="133"/>
      <c r="P149" s="283" t="str">
        <f t="shared" si="13"/>
        <v/>
      </c>
      <c r="Q149" s="296" t="str">
        <f t="shared" si="14"/>
        <v/>
      </c>
      <c r="R149" s="297" t="str">
        <f t="shared" si="12"/>
        <v/>
      </c>
      <c r="S149" s="311" t="str">
        <f>IF(D149="","",VLOOKUP(D149,'G-6 Hedgerow Data'!$B$3:$AG$15,31,FALSE))</f>
        <v/>
      </c>
      <c r="T149" s="283" t="str">
        <f t="shared" si="15"/>
        <v/>
      </c>
      <c r="U149" s="283" t="str">
        <f t="shared" si="16"/>
        <v/>
      </c>
      <c r="V149" s="299" t="str">
        <f>IF(D149="","",VLOOKUP(S149,'G-3 Multipliers'!$P$3:$Q$6,2,FALSE))</f>
        <v/>
      </c>
      <c r="W149" s="303" t="str">
        <f t="shared" si="17"/>
        <v/>
      </c>
      <c r="X149" s="101"/>
      <c r="Y149" s="115"/>
      <c r="Z149" s="104"/>
      <c r="AG149" s="30" t="str">
        <f>IFERROR(INDEX('G-6 Hedgerow Data'!$BJ$3:$BJ$15,MATCH(D149,'G-6 Hedgerow Data'!$B$3:$B$15,0)),"")</f>
        <v/>
      </c>
    </row>
    <row r="150" spans="2:33" ht="14" hidden="1">
      <c r="B150" s="97">
        <v>139</v>
      </c>
      <c r="C150" s="140"/>
      <c r="D150" s="133"/>
      <c r="E150" s="115"/>
      <c r="F150" s="323" t="str">
        <f>IF(D150="","",VLOOKUP(D150,'G-6 Hedgerow Data'!$B$2:$AG$15,2,FALSE))</f>
        <v/>
      </c>
      <c r="G150" s="276" t="str">
        <f>IF(D150="","",VLOOKUP(D150,'G-6 Hedgerow Data'!$B$2:$AG$15,3,FALSE))</f>
        <v/>
      </c>
      <c r="H150" s="101"/>
      <c r="I150" s="276" t="str">
        <f>IFERROR(IF(H150="","",IF(AND(D150="Non-native and ornamental hedgerow",H150&lt;&gt;"Poor"),"Not possible ▲",(VLOOKUP(H150,'G-1 All Habitats'!$Z$2:$AA$9,2,FALSE)))),"")</f>
        <v/>
      </c>
      <c r="J150" s="101"/>
      <c r="K150" s="295" t="str">
        <f>IF(J150="","",IF(VLOOKUP(J150,'G-3 Multipliers'!$L$3:$N$6,2,FALSE)=0,"Spatial Data Missing ⚠",VLOOKUP(J150,'G-3 Multipliers'!$L$3:$N$6,2,FALSE)))</f>
        <v/>
      </c>
      <c r="L150" s="281" t="str">
        <f>IF(J150="","",IF(VLOOKUP(J150,'G-3 Multipliers'!$L$3:$N$6,3,FALSE)=0,"Spatial Data Missing ⚠",VLOOKUP(J150,'G-3 Multipliers'!$L$3:$N$6,3,FALSE)))</f>
        <v/>
      </c>
      <c r="M150" s="275" t="str">
        <f>IF(OR(D150="",H150=""),"",(INDEX('G-6 Hedgerow Data'!$E$3:$I$15,MATCH(D150,'G-6 Hedgerow Data'!$B$3:$B$15,0),MATCH(H150,'G-6 Hedgerow Data'!$E$2:$I$2,0))))</f>
        <v/>
      </c>
      <c r="N150" s="133"/>
      <c r="O150" s="133"/>
      <c r="P150" s="283" t="str">
        <f t="shared" si="13"/>
        <v/>
      </c>
      <c r="Q150" s="296" t="str">
        <f t="shared" si="14"/>
        <v/>
      </c>
      <c r="R150" s="297" t="str">
        <f t="shared" si="12"/>
        <v/>
      </c>
      <c r="S150" s="311" t="str">
        <f>IF(D150="","",VLOOKUP(D150,'G-6 Hedgerow Data'!$B$3:$AG$15,31,FALSE))</f>
        <v/>
      </c>
      <c r="T150" s="283" t="str">
        <f t="shared" si="15"/>
        <v/>
      </c>
      <c r="U150" s="283" t="str">
        <f t="shared" si="16"/>
        <v/>
      </c>
      <c r="V150" s="299" t="str">
        <f>IF(D150="","",VLOOKUP(S150,'G-3 Multipliers'!$P$3:$Q$6,2,FALSE))</f>
        <v/>
      </c>
      <c r="W150" s="303" t="str">
        <f t="shared" si="17"/>
        <v/>
      </c>
      <c r="X150" s="101"/>
      <c r="Y150" s="115"/>
      <c r="Z150" s="104"/>
      <c r="AG150" s="30" t="str">
        <f>IFERROR(INDEX('G-6 Hedgerow Data'!$BJ$3:$BJ$15,MATCH(D150,'G-6 Hedgerow Data'!$B$3:$B$15,0)),"")</f>
        <v/>
      </c>
    </row>
    <row r="151" spans="2:33" ht="14" hidden="1">
      <c r="B151" s="97">
        <v>140</v>
      </c>
      <c r="C151" s="140"/>
      <c r="D151" s="133"/>
      <c r="E151" s="115"/>
      <c r="F151" s="323" t="str">
        <f>IF(D151="","",VLOOKUP(D151,'G-6 Hedgerow Data'!$B$2:$AG$15,2,FALSE))</f>
        <v/>
      </c>
      <c r="G151" s="276" t="str">
        <f>IF(D151="","",VLOOKUP(D151,'G-6 Hedgerow Data'!$B$2:$AG$15,3,FALSE))</f>
        <v/>
      </c>
      <c r="H151" s="101"/>
      <c r="I151" s="276" t="str">
        <f>IFERROR(IF(H151="","",IF(AND(D151="Non-native and ornamental hedgerow",H151&lt;&gt;"Poor"),"Not possible ▲",(VLOOKUP(H151,'G-1 All Habitats'!$Z$2:$AA$9,2,FALSE)))),"")</f>
        <v/>
      </c>
      <c r="J151" s="101"/>
      <c r="K151" s="295" t="str">
        <f>IF(J151="","",IF(VLOOKUP(J151,'G-3 Multipliers'!$L$3:$N$6,2,FALSE)=0,"Spatial Data Missing ⚠",VLOOKUP(J151,'G-3 Multipliers'!$L$3:$N$6,2,FALSE)))</f>
        <v/>
      </c>
      <c r="L151" s="281" t="str">
        <f>IF(J151="","",IF(VLOOKUP(J151,'G-3 Multipliers'!$L$3:$N$6,3,FALSE)=0,"Spatial Data Missing ⚠",VLOOKUP(J151,'G-3 Multipliers'!$L$3:$N$6,3,FALSE)))</f>
        <v/>
      </c>
      <c r="M151" s="275" t="str">
        <f>IF(OR(D151="",H151=""),"",(INDEX('G-6 Hedgerow Data'!$E$3:$I$15,MATCH(D151,'G-6 Hedgerow Data'!$B$3:$B$15,0),MATCH(H151,'G-6 Hedgerow Data'!$E$2:$I$2,0))))</f>
        <v/>
      </c>
      <c r="N151" s="133"/>
      <c r="O151" s="133"/>
      <c r="P151" s="283" t="str">
        <f t="shared" si="13"/>
        <v/>
      </c>
      <c r="Q151" s="296" t="str">
        <f t="shared" si="14"/>
        <v/>
      </c>
      <c r="R151" s="297" t="str">
        <f t="shared" si="12"/>
        <v/>
      </c>
      <c r="S151" s="311" t="str">
        <f>IF(D151="","",VLOOKUP(D151,'G-6 Hedgerow Data'!$B$3:$AG$15,31,FALSE))</f>
        <v/>
      </c>
      <c r="T151" s="283" t="str">
        <f t="shared" si="15"/>
        <v/>
      </c>
      <c r="U151" s="283" t="str">
        <f t="shared" si="16"/>
        <v/>
      </c>
      <c r="V151" s="299" t="str">
        <f>IF(D151="","",VLOOKUP(S151,'G-3 Multipliers'!$P$3:$Q$6,2,FALSE))</f>
        <v/>
      </c>
      <c r="W151" s="303" t="str">
        <f t="shared" si="17"/>
        <v/>
      </c>
      <c r="X151" s="101"/>
      <c r="Y151" s="115"/>
      <c r="Z151" s="104"/>
      <c r="AG151" s="30" t="str">
        <f>IFERROR(INDEX('G-6 Hedgerow Data'!$BJ$3:$BJ$15,MATCH(D151,'G-6 Hedgerow Data'!$B$3:$B$15,0)),"")</f>
        <v/>
      </c>
    </row>
    <row r="152" spans="2:33" ht="14" hidden="1">
      <c r="B152" s="97">
        <v>141</v>
      </c>
      <c r="C152" s="140"/>
      <c r="D152" s="133"/>
      <c r="E152" s="115"/>
      <c r="F152" s="323" t="str">
        <f>IF(D152="","",VLOOKUP(D152,'G-6 Hedgerow Data'!$B$2:$AG$15,2,FALSE))</f>
        <v/>
      </c>
      <c r="G152" s="276" t="str">
        <f>IF(D152="","",VLOOKUP(D152,'G-6 Hedgerow Data'!$B$2:$AG$15,3,FALSE))</f>
        <v/>
      </c>
      <c r="H152" s="101"/>
      <c r="I152" s="276" t="str">
        <f>IFERROR(IF(H152="","",IF(AND(D152="Non-native and ornamental hedgerow",H152&lt;&gt;"Poor"),"Not possible ▲",(VLOOKUP(H152,'G-1 All Habitats'!$Z$2:$AA$9,2,FALSE)))),"")</f>
        <v/>
      </c>
      <c r="J152" s="101"/>
      <c r="K152" s="295" t="str">
        <f>IF(J152="","",IF(VLOOKUP(J152,'G-3 Multipliers'!$L$3:$N$6,2,FALSE)=0,"Spatial Data Missing ⚠",VLOOKUP(J152,'G-3 Multipliers'!$L$3:$N$6,2,FALSE)))</f>
        <v/>
      </c>
      <c r="L152" s="281" t="str">
        <f>IF(J152="","",IF(VLOOKUP(J152,'G-3 Multipliers'!$L$3:$N$6,3,FALSE)=0,"Spatial Data Missing ⚠",VLOOKUP(J152,'G-3 Multipliers'!$L$3:$N$6,3,FALSE)))</f>
        <v/>
      </c>
      <c r="M152" s="275" t="str">
        <f>IF(OR(D152="",H152=""),"",(INDEX('G-6 Hedgerow Data'!$E$3:$I$15,MATCH(D152,'G-6 Hedgerow Data'!$B$3:$B$15,0),MATCH(H152,'G-6 Hedgerow Data'!$E$2:$I$2,0))))</f>
        <v/>
      </c>
      <c r="N152" s="133"/>
      <c r="O152" s="133"/>
      <c r="P152" s="283" t="str">
        <f t="shared" si="13"/>
        <v/>
      </c>
      <c r="Q152" s="296" t="str">
        <f t="shared" si="14"/>
        <v/>
      </c>
      <c r="R152" s="297" t="str">
        <f t="shared" si="12"/>
        <v/>
      </c>
      <c r="S152" s="311" t="str">
        <f>IF(D152="","",VLOOKUP(D152,'G-6 Hedgerow Data'!$B$3:$AG$15,31,FALSE))</f>
        <v/>
      </c>
      <c r="T152" s="283" t="str">
        <f t="shared" si="15"/>
        <v/>
      </c>
      <c r="U152" s="283" t="str">
        <f t="shared" si="16"/>
        <v/>
      </c>
      <c r="V152" s="299" t="str">
        <f>IF(D152="","",VLOOKUP(S152,'G-3 Multipliers'!$P$3:$Q$6,2,FALSE))</f>
        <v/>
      </c>
      <c r="W152" s="303" t="str">
        <f t="shared" si="17"/>
        <v/>
      </c>
      <c r="X152" s="101"/>
      <c r="Y152" s="115"/>
      <c r="Z152" s="104"/>
      <c r="AG152" s="30" t="str">
        <f>IFERROR(INDEX('G-6 Hedgerow Data'!$BJ$3:$BJ$15,MATCH(D152,'G-6 Hedgerow Data'!$B$3:$B$15,0)),"")</f>
        <v/>
      </c>
    </row>
    <row r="153" spans="2:33" ht="14" hidden="1">
      <c r="B153" s="97">
        <v>142</v>
      </c>
      <c r="C153" s="140"/>
      <c r="D153" s="133"/>
      <c r="E153" s="115"/>
      <c r="F153" s="323" t="str">
        <f>IF(D153="","",VLOOKUP(D153,'G-6 Hedgerow Data'!$B$2:$AG$15,2,FALSE))</f>
        <v/>
      </c>
      <c r="G153" s="276" t="str">
        <f>IF(D153="","",VLOOKUP(D153,'G-6 Hedgerow Data'!$B$2:$AG$15,3,FALSE))</f>
        <v/>
      </c>
      <c r="H153" s="101"/>
      <c r="I153" s="276" t="str">
        <f>IFERROR(IF(H153="","",IF(AND(D153="Non-native and ornamental hedgerow",H153&lt;&gt;"Poor"),"Not possible ▲",(VLOOKUP(H153,'G-1 All Habitats'!$Z$2:$AA$9,2,FALSE)))),"")</f>
        <v/>
      </c>
      <c r="J153" s="101"/>
      <c r="K153" s="295" t="str">
        <f>IF(J153="","",IF(VLOOKUP(J153,'G-3 Multipliers'!$L$3:$N$6,2,FALSE)=0,"Spatial Data Missing ⚠",VLOOKUP(J153,'G-3 Multipliers'!$L$3:$N$6,2,FALSE)))</f>
        <v/>
      </c>
      <c r="L153" s="281" t="str">
        <f>IF(J153="","",IF(VLOOKUP(J153,'G-3 Multipliers'!$L$3:$N$6,3,FALSE)=0,"Spatial Data Missing ⚠",VLOOKUP(J153,'G-3 Multipliers'!$L$3:$N$6,3,FALSE)))</f>
        <v/>
      </c>
      <c r="M153" s="275" t="str">
        <f>IF(OR(D153="",H153=""),"",(INDEX('G-6 Hedgerow Data'!$E$3:$I$15,MATCH(D153,'G-6 Hedgerow Data'!$B$3:$B$15,0),MATCH(H153,'G-6 Hedgerow Data'!$E$2:$I$2,0))))</f>
        <v/>
      </c>
      <c r="N153" s="133"/>
      <c r="O153" s="133"/>
      <c r="P153" s="283" t="str">
        <f t="shared" si="13"/>
        <v/>
      </c>
      <c r="Q153" s="296" t="str">
        <f t="shared" si="14"/>
        <v/>
      </c>
      <c r="R153" s="297" t="str">
        <f t="shared" si="12"/>
        <v/>
      </c>
      <c r="S153" s="311" t="str">
        <f>IF(D153="","",VLOOKUP(D153,'G-6 Hedgerow Data'!$B$3:$AG$15,31,FALSE))</f>
        <v/>
      </c>
      <c r="T153" s="283" t="str">
        <f t="shared" si="15"/>
        <v/>
      </c>
      <c r="U153" s="283" t="str">
        <f t="shared" si="16"/>
        <v/>
      </c>
      <c r="V153" s="299" t="str">
        <f>IF(D153="","",VLOOKUP(S153,'G-3 Multipliers'!$P$3:$Q$6,2,FALSE))</f>
        <v/>
      </c>
      <c r="W153" s="303" t="str">
        <f t="shared" si="17"/>
        <v/>
      </c>
      <c r="X153" s="101"/>
      <c r="Y153" s="115"/>
      <c r="Z153" s="104"/>
      <c r="AG153" s="30" t="str">
        <f>IFERROR(INDEX('G-6 Hedgerow Data'!$BJ$3:$BJ$15,MATCH(D153,'G-6 Hedgerow Data'!$B$3:$B$15,0)),"")</f>
        <v/>
      </c>
    </row>
    <row r="154" spans="2:33" ht="14" hidden="1">
      <c r="B154" s="97">
        <v>143</v>
      </c>
      <c r="C154" s="140"/>
      <c r="D154" s="133"/>
      <c r="E154" s="115"/>
      <c r="F154" s="323" t="str">
        <f>IF(D154="","",VLOOKUP(D154,'G-6 Hedgerow Data'!$B$2:$AG$15,2,FALSE))</f>
        <v/>
      </c>
      <c r="G154" s="276" t="str">
        <f>IF(D154="","",VLOOKUP(D154,'G-6 Hedgerow Data'!$B$2:$AG$15,3,FALSE))</f>
        <v/>
      </c>
      <c r="H154" s="101"/>
      <c r="I154" s="276" t="str">
        <f>IFERROR(IF(H154="","",IF(AND(D154="Non-native and ornamental hedgerow",H154&lt;&gt;"Poor"),"Not possible ▲",(VLOOKUP(H154,'G-1 All Habitats'!$Z$2:$AA$9,2,FALSE)))),"")</f>
        <v/>
      </c>
      <c r="J154" s="101"/>
      <c r="K154" s="295" t="str">
        <f>IF(J154="","",IF(VLOOKUP(J154,'G-3 Multipliers'!$L$3:$N$6,2,FALSE)=0,"Spatial Data Missing ⚠",VLOOKUP(J154,'G-3 Multipliers'!$L$3:$N$6,2,FALSE)))</f>
        <v/>
      </c>
      <c r="L154" s="281" t="str">
        <f>IF(J154="","",IF(VLOOKUP(J154,'G-3 Multipliers'!$L$3:$N$6,3,FALSE)=0,"Spatial Data Missing ⚠",VLOOKUP(J154,'G-3 Multipliers'!$L$3:$N$6,3,FALSE)))</f>
        <v/>
      </c>
      <c r="M154" s="275" t="str">
        <f>IF(OR(D154="",H154=""),"",(INDEX('G-6 Hedgerow Data'!$E$3:$I$15,MATCH(D154,'G-6 Hedgerow Data'!$B$3:$B$15,0),MATCH(H154,'G-6 Hedgerow Data'!$E$2:$I$2,0))))</f>
        <v/>
      </c>
      <c r="N154" s="133"/>
      <c r="O154" s="133"/>
      <c r="P154" s="283" t="str">
        <f t="shared" si="13"/>
        <v/>
      </c>
      <c r="Q154" s="296" t="str">
        <f t="shared" si="14"/>
        <v/>
      </c>
      <c r="R154" s="297" t="str">
        <f t="shared" si="12"/>
        <v/>
      </c>
      <c r="S154" s="311" t="str">
        <f>IF(D154="","",VLOOKUP(D154,'G-6 Hedgerow Data'!$B$3:$AG$15,31,FALSE))</f>
        <v/>
      </c>
      <c r="T154" s="283" t="str">
        <f t="shared" si="15"/>
        <v/>
      </c>
      <c r="U154" s="283" t="str">
        <f t="shared" si="16"/>
        <v/>
      </c>
      <c r="V154" s="299" t="str">
        <f>IF(D154="","",VLOOKUP(S154,'G-3 Multipliers'!$P$3:$Q$6,2,FALSE))</f>
        <v/>
      </c>
      <c r="W154" s="303" t="str">
        <f t="shared" si="17"/>
        <v/>
      </c>
      <c r="X154" s="101"/>
      <c r="Y154" s="115"/>
      <c r="Z154" s="104"/>
      <c r="AG154" s="30" t="str">
        <f>IFERROR(INDEX('G-6 Hedgerow Data'!$BJ$3:$BJ$15,MATCH(D154,'G-6 Hedgerow Data'!$B$3:$B$15,0)),"")</f>
        <v/>
      </c>
    </row>
    <row r="155" spans="2:33" ht="14" hidden="1">
      <c r="B155" s="97">
        <v>144</v>
      </c>
      <c r="C155" s="140"/>
      <c r="D155" s="133"/>
      <c r="E155" s="115"/>
      <c r="F155" s="323" t="str">
        <f>IF(D155="","",VLOOKUP(D155,'G-6 Hedgerow Data'!$B$2:$AG$15,2,FALSE))</f>
        <v/>
      </c>
      <c r="G155" s="276" t="str">
        <f>IF(D155="","",VLOOKUP(D155,'G-6 Hedgerow Data'!$B$2:$AG$15,3,FALSE))</f>
        <v/>
      </c>
      <c r="H155" s="101"/>
      <c r="I155" s="276" t="str">
        <f>IFERROR(IF(H155="","",IF(AND(D155="Non-native and ornamental hedgerow",H155&lt;&gt;"Poor"),"Not possible ▲",(VLOOKUP(H155,'G-1 All Habitats'!$Z$2:$AA$9,2,FALSE)))),"")</f>
        <v/>
      </c>
      <c r="J155" s="101"/>
      <c r="K155" s="295" t="str">
        <f>IF(J155="","",IF(VLOOKUP(J155,'G-3 Multipliers'!$L$3:$N$6,2,FALSE)=0,"Spatial Data Missing ⚠",VLOOKUP(J155,'G-3 Multipliers'!$L$3:$N$6,2,FALSE)))</f>
        <v/>
      </c>
      <c r="L155" s="281" t="str">
        <f>IF(J155="","",IF(VLOOKUP(J155,'G-3 Multipliers'!$L$3:$N$6,3,FALSE)=0,"Spatial Data Missing ⚠",VLOOKUP(J155,'G-3 Multipliers'!$L$3:$N$6,3,FALSE)))</f>
        <v/>
      </c>
      <c r="M155" s="275" t="str">
        <f>IF(OR(D155="",H155=""),"",(INDEX('G-6 Hedgerow Data'!$E$3:$I$15,MATCH(D155,'G-6 Hedgerow Data'!$B$3:$B$15,0),MATCH(H155,'G-6 Hedgerow Data'!$E$2:$I$2,0))))</f>
        <v/>
      </c>
      <c r="N155" s="133"/>
      <c r="O155" s="133"/>
      <c r="P155" s="283" t="str">
        <f t="shared" si="13"/>
        <v/>
      </c>
      <c r="Q155" s="296" t="str">
        <f t="shared" si="14"/>
        <v/>
      </c>
      <c r="R155" s="297" t="str">
        <f t="shared" si="12"/>
        <v/>
      </c>
      <c r="S155" s="311" t="str">
        <f>IF(D155="","",VLOOKUP(D155,'G-6 Hedgerow Data'!$B$3:$AG$15,31,FALSE))</f>
        <v/>
      </c>
      <c r="T155" s="283" t="str">
        <f t="shared" si="15"/>
        <v/>
      </c>
      <c r="U155" s="283" t="str">
        <f t="shared" si="16"/>
        <v/>
      </c>
      <c r="V155" s="299" t="str">
        <f>IF(D155="","",VLOOKUP(S155,'G-3 Multipliers'!$P$3:$Q$6,2,FALSE))</f>
        <v/>
      </c>
      <c r="W155" s="303" t="str">
        <f t="shared" si="17"/>
        <v/>
      </c>
      <c r="X155" s="101"/>
      <c r="Y155" s="115"/>
      <c r="Z155" s="104"/>
      <c r="AG155" s="30" t="str">
        <f>IFERROR(INDEX('G-6 Hedgerow Data'!$BJ$3:$BJ$15,MATCH(D155,'G-6 Hedgerow Data'!$B$3:$B$15,0)),"")</f>
        <v/>
      </c>
    </row>
    <row r="156" spans="2:33" ht="14" hidden="1">
      <c r="B156" s="97">
        <v>145</v>
      </c>
      <c r="C156" s="140"/>
      <c r="D156" s="133"/>
      <c r="E156" s="115"/>
      <c r="F156" s="323" t="str">
        <f>IF(D156="","",VLOOKUP(D156,'G-6 Hedgerow Data'!$B$2:$AG$15,2,FALSE))</f>
        <v/>
      </c>
      <c r="G156" s="276" t="str">
        <f>IF(D156="","",VLOOKUP(D156,'G-6 Hedgerow Data'!$B$2:$AG$15,3,FALSE))</f>
        <v/>
      </c>
      <c r="H156" s="101"/>
      <c r="I156" s="276" t="str">
        <f>IFERROR(IF(H156="","",IF(AND(D156="Non-native and ornamental hedgerow",H156&lt;&gt;"Poor"),"Not possible ▲",(VLOOKUP(H156,'G-1 All Habitats'!$Z$2:$AA$9,2,FALSE)))),"")</f>
        <v/>
      </c>
      <c r="J156" s="101"/>
      <c r="K156" s="295" t="str">
        <f>IF(J156="","",IF(VLOOKUP(J156,'G-3 Multipliers'!$L$3:$N$6,2,FALSE)=0,"Spatial Data Missing ⚠",VLOOKUP(J156,'G-3 Multipliers'!$L$3:$N$6,2,FALSE)))</f>
        <v/>
      </c>
      <c r="L156" s="281" t="str">
        <f>IF(J156="","",IF(VLOOKUP(J156,'G-3 Multipliers'!$L$3:$N$6,3,FALSE)=0,"Spatial Data Missing ⚠",VLOOKUP(J156,'G-3 Multipliers'!$L$3:$N$6,3,FALSE)))</f>
        <v/>
      </c>
      <c r="M156" s="275" t="str">
        <f>IF(OR(D156="",H156=""),"",(INDEX('G-6 Hedgerow Data'!$E$3:$I$15,MATCH(D156,'G-6 Hedgerow Data'!$B$3:$B$15,0),MATCH(H156,'G-6 Hedgerow Data'!$E$2:$I$2,0))))</f>
        <v/>
      </c>
      <c r="N156" s="133"/>
      <c r="O156" s="133"/>
      <c r="P156" s="283" t="str">
        <f t="shared" si="13"/>
        <v/>
      </c>
      <c r="Q156" s="296" t="str">
        <f t="shared" si="14"/>
        <v/>
      </c>
      <c r="R156" s="297" t="str">
        <f t="shared" si="12"/>
        <v/>
      </c>
      <c r="S156" s="311" t="str">
        <f>IF(D156="","",VLOOKUP(D156,'G-6 Hedgerow Data'!$B$3:$AG$15,31,FALSE))</f>
        <v/>
      </c>
      <c r="T156" s="283" t="str">
        <f t="shared" si="15"/>
        <v/>
      </c>
      <c r="U156" s="283" t="str">
        <f t="shared" si="16"/>
        <v/>
      </c>
      <c r="V156" s="299" t="str">
        <f>IF(D156="","",VLOOKUP(S156,'G-3 Multipliers'!$P$3:$Q$6,2,FALSE))</f>
        <v/>
      </c>
      <c r="W156" s="303" t="str">
        <f t="shared" si="17"/>
        <v/>
      </c>
      <c r="X156" s="101"/>
      <c r="Y156" s="115"/>
      <c r="Z156" s="104"/>
      <c r="AG156" s="30" t="str">
        <f>IFERROR(INDEX('G-6 Hedgerow Data'!$BJ$3:$BJ$15,MATCH(D156,'G-6 Hedgerow Data'!$B$3:$B$15,0)),"")</f>
        <v/>
      </c>
    </row>
    <row r="157" spans="2:33" ht="14" hidden="1">
      <c r="B157" s="97">
        <v>146</v>
      </c>
      <c r="C157" s="140"/>
      <c r="D157" s="133"/>
      <c r="E157" s="115"/>
      <c r="F157" s="323" t="str">
        <f>IF(D157="","",VLOOKUP(D157,'G-6 Hedgerow Data'!$B$2:$AG$15,2,FALSE))</f>
        <v/>
      </c>
      <c r="G157" s="276" t="str">
        <f>IF(D157="","",VLOOKUP(D157,'G-6 Hedgerow Data'!$B$2:$AG$15,3,FALSE))</f>
        <v/>
      </c>
      <c r="H157" s="101"/>
      <c r="I157" s="276" t="str">
        <f>IFERROR(IF(H157="","",IF(AND(D157="Non-native and ornamental hedgerow",H157&lt;&gt;"Poor"),"Not possible ▲",(VLOOKUP(H157,'G-1 All Habitats'!$Z$2:$AA$9,2,FALSE)))),"")</f>
        <v/>
      </c>
      <c r="J157" s="101"/>
      <c r="K157" s="295" t="str">
        <f>IF(J157="","",IF(VLOOKUP(J157,'G-3 Multipliers'!$L$3:$N$6,2,FALSE)=0,"Spatial Data Missing ⚠",VLOOKUP(J157,'G-3 Multipliers'!$L$3:$N$6,2,FALSE)))</f>
        <v/>
      </c>
      <c r="L157" s="281" t="str">
        <f>IF(J157="","",IF(VLOOKUP(J157,'G-3 Multipliers'!$L$3:$N$6,3,FALSE)=0,"Spatial Data Missing ⚠",VLOOKUP(J157,'G-3 Multipliers'!$L$3:$N$6,3,FALSE)))</f>
        <v/>
      </c>
      <c r="M157" s="275" t="str">
        <f>IF(OR(D157="",H157=""),"",(INDEX('G-6 Hedgerow Data'!$E$3:$I$15,MATCH(D157,'G-6 Hedgerow Data'!$B$3:$B$15,0),MATCH(H157,'G-6 Hedgerow Data'!$E$2:$I$2,0))))</f>
        <v/>
      </c>
      <c r="N157" s="133"/>
      <c r="O157" s="133"/>
      <c r="P157" s="283" t="str">
        <f t="shared" si="13"/>
        <v/>
      </c>
      <c r="Q157" s="296" t="str">
        <f t="shared" si="14"/>
        <v/>
      </c>
      <c r="R157" s="297" t="str">
        <f t="shared" si="12"/>
        <v/>
      </c>
      <c r="S157" s="311" t="str">
        <f>IF(D157="","",VLOOKUP(D157,'G-6 Hedgerow Data'!$B$3:$AG$15,31,FALSE))</f>
        <v/>
      </c>
      <c r="T157" s="283" t="str">
        <f t="shared" si="15"/>
        <v/>
      </c>
      <c r="U157" s="283" t="str">
        <f t="shared" si="16"/>
        <v/>
      </c>
      <c r="V157" s="299" t="str">
        <f>IF(D157="","",VLOOKUP(S157,'G-3 Multipliers'!$P$3:$Q$6,2,FALSE))</f>
        <v/>
      </c>
      <c r="W157" s="303" t="str">
        <f t="shared" si="17"/>
        <v/>
      </c>
      <c r="X157" s="101"/>
      <c r="Y157" s="115"/>
      <c r="Z157" s="104"/>
      <c r="AG157" s="30" t="str">
        <f>IFERROR(INDEX('G-6 Hedgerow Data'!$BJ$3:$BJ$15,MATCH(D157,'G-6 Hedgerow Data'!$B$3:$B$15,0)),"")</f>
        <v/>
      </c>
    </row>
    <row r="158" spans="2:33" ht="14" hidden="1">
      <c r="B158" s="97">
        <v>147</v>
      </c>
      <c r="C158" s="140"/>
      <c r="D158" s="133"/>
      <c r="E158" s="115"/>
      <c r="F158" s="323" t="str">
        <f>IF(D158="","",VLOOKUP(D158,'G-6 Hedgerow Data'!$B$2:$AG$15,2,FALSE))</f>
        <v/>
      </c>
      <c r="G158" s="276" t="str">
        <f>IF(D158="","",VLOOKUP(D158,'G-6 Hedgerow Data'!$B$2:$AG$15,3,FALSE))</f>
        <v/>
      </c>
      <c r="H158" s="101"/>
      <c r="I158" s="276" t="str">
        <f>IFERROR(IF(H158="","",IF(AND(D158="Non-native and ornamental hedgerow",H158&lt;&gt;"Poor"),"Not possible ▲",(VLOOKUP(H158,'G-1 All Habitats'!$Z$2:$AA$9,2,FALSE)))),"")</f>
        <v/>
      </c>
      <c r="J158" s="101"/>
      <c r="K158" s="295" t="str">
        <f>IF(J158="","",IF(VLOOKUP(J158,'G-3 Multipliers'!$L$3:$N$6,2,FALSE)=0,"Spatial Data Missing ⚠",VLOOKUP(J158,'G-3 Multipliers'!$L$3:$N$6,2,FALSE)))</f>
        <v/>
      </c>
      <c r="L158" s="281" t="str">
        <f>IF(J158="","",IF(VLOOKUP(J158,'G-3 Multipliers'!$L$3:$N$6,3,FALSE)=0,"Spatial Data Missing ⚠",VLOOKUP(J158,'G-3 Multipliers'!$L$3:$N$6,3,FALSE)))</f>
        <v/>
      </c>
      <c r="M158" s="275" t="str">
        <f>IF(OR(D158="",H158=""),"",(INDEX('G-6 Hedgerow Data'!$E$3:$I$15,MATCH(D158,'G-6 Hedgerow Data'!$B$3:$B$15,0),MATCH(H158,'G-6 Hedgerow Data'!$E$2:$I$2,0))))</f>
        <v/>
      </c>
      <c r="N158" s="133"/>
      <c r="O158" s="133"/>
      <c r="P158" s="283" t="str">
        <f t="shared" si="13"/>
        <v/>
      </c>
      <c r="Q158" s="296" t="str">
        <f t="shared" si="14"/>
        <v/>
      </c>
      <c r="R158" s="297" t="str">
        <f t="shared" si="12"/>
        <v/>
      </c>
      <c r="S158" s="311" t="str">
        <f>IF(D158="","",VLOOKUP(D158,'G-6 Hedgerow Data'!$B$3:$AG$15,31,FALSE))</f>
        <v/>
      </c>
      <c r="T158" s="283" t="str">
        <f t="shared" si="15"/>
        <v/>
      </c>
      <c r="U158" s="283" t="str">
        <f t="shared" si="16"/>
        <v/>
      </c>
      <c r="V158" s="299" t="str">
        <f>IF(D158="","",VLOOKUP(S158,'G-3 Multipliers'!$P$3:$Q$6,2,FALSE))</f>
        <v/>
      </c>
      <c r="W158" s="303" t="str">
        <f t="shared" si="17"/>
        <v/>
      </c>
      <c r="X158" s="101"/>
      <c r="Y158" s="115"/>
      <c r="Z158" s="104"/>
      <c r="AG158" s="30" t="str">
        <f>IFERROR(INDEX('G-6 Hedgerow Data'!$BJ$3:$BJ$15,MATCH(D158,'G-6 Hedgerow Data'!$B$3:$B$15,0)),"")</f>
        <v/>
      </c>
    </row>
    <row r="159" spans="2:33" ht="14" hidden="1">
      <c r="B159" s="97">
        <v>148</v>
      </c>
      <c r="C159" s="140"/>
      <c r="D159" s="133"/>
      <c r="E159" s="115"/>
      <c r="F159" s="323" t="str">
        <f>IF(D159="","",VLOOKUP(D159,'G-6 Hedgerow Data'!$B$2:$AG$15,2,FALSE))</f>
        <v/>
      </c>
      <c r="G159" s="276" t="str">
        <f>IF(D159="","",VLOOKUP(D159,'G-6 Hedgerow Data'!$B$2:$AG$15,3,FALSE))</f>
        <v/>
      </c>
      <c r="H159" s="101"/>
      <c r="I159" s="276" t="str">
        <f>IFERROR(IF(H159="","",IF(AND(D159="Non-native and ornamental hedgerow",H159&lt;&gt;"Poor"),"Not possible ▲",(VLOOKUP(H159,'G-1 All Habitats'!$Z$2:$AA$9,2,FALSE)))),"")</f>
        <v/>
      </c>
      <c r="J159" s="101"/>
      <c r="K159" s="295" t="str">
        <f>IF(J159="","",IF(VLOOKUP(J159,'G-3 Multipliers'!$L$3:$N$6,2,FALSE)=0,"Spatial Data Missing ⚠",VLOOKUP(J159,'G-3 Multipliers'!$L$3:$N$6,2,FALSE)))</f>
        <v/>
      </c>
      <c r="L159" s="281" t="str">
        <f>IF(J159="","",IF(VLOOKUP(J159,'G-3 Multipliers'!$L$3:$N$6,3,FALSE)=0,"Spatial Data Missing ⚠",VLOOKUP(J159,'G-3 Multipliers'!$L$3:$N$6,3,FALSE)))</f>
        <v/>
      </c>
      <c r="M159" s="275" t="str">
        <f>IF(OR(D159="",H159=""),"",(INDEX('G-6 Hedgerow Data'!$E$3:$I$15,MATCH(D159,'G-6 Hedgerow Data'!$B$3:$B$15,0),MATCH(H159,'G-6 Hedgerow Data'!$E$2:$I$2,0))))</f>
        <v/>
      </c>
      <c r="N159" s="133"/>
      <c r="O159" s="133"/>
      <c r="P159" s="283" t="str">
        <f t="shared" si="13"/>
        <v/>
      </c>
      <c r="Q159" s="296" t="str">
        <f t="shared" si="14"/>
        <v/>
      </c>
      <c r="R159" s="297" t="str">
        <f t="shared" si="12"/>
        <v/>
      </c>
      <c r="S159" s="311" t="str">
        <f>IF(D159="","",VLOOKUP(D159,'G-6 Hedgerow Data'!$B$3:$AG$15,31,FALSE))</f>
        <v/>
      </c>
      <c r="T159" s="283" t="str">
        <f t="shared" si="15"/>
        <v/>
      </c>
      <c r="U159" s="283" t="str">
        <f t="shared" si="16"/>
        <v/>
      </c>
      <c r="V159" s="299" t="str">
        <f>IF(D159="","",VLOOKUP(S159,'G-3 Multipliers'!$P$3:$Q$6,2,FALSE))</f>
        <v/>
      </c>
      <c r="W159" s="303" t="str">
        <f t="shared" si="17"/>
        <v/>
      </c>
      <c r="X159" s="101"/>
      <c r="Y159" s="115"/>
      <c r="Z159" s="104"/>
      <c r="AG159" s="30" t="str">
        <f>IFERROR(INDEX('G-6 Hedgerow Data'!$BJ$3:$BJ$15,MATCH(D159,'G-6 Hedgerow Data'!$B$3:$B$15,0)),"")</f>
        <v/>
      </c>
    </row>
    <row r="160" spans="2:33" ht="14" hidden="1">
      <c r="B160" s="97">
        <v>149</v>
      </c>
      <c r="C160" s="140"/>
      <c r="D160" s="133"/>
      <c r="E160" s="115"/>
      <c r="F160" s="323" t="str">
        <f>IF(D160="","",VLOOKUP(D160,'G-6 Hedgerow Data'!$B$2:$AG$15,2,FALSE))</f>
        <v/>
      </c>
      <c r="G160" s="276" t="str">
        <f>IF(D160="","",VLOOKUP(D160,'G-6 Hedgerow Data'!$B$2:$AG$15,3,FALSE))</f>
        <v/>
      </c>
      <c r="H160" s="101"/>
      <c r="I160" s="276" t="str">
        <f>IFERROR(IF(H160="","",IF(AND(D160="Non-native and ornamental hedgerow",H160&lt;&gt;"Poor"),"Not possible ▲",(VLOOKUP(H160,'G-1 All Habitats'!$Z$2:$AA$9,2,FALSE)))),"")</f>
        <v/>
      </c>
      <c r="J160" s="101"/>
      <c r="K160" s="295" t="str">
        <f>IF(J160="","",IF(VLOOKUP(J160,'G-3 Multipliers'!$L$3:$N$6,2,FALSE)=0,"Spatial Data Missing ⚠",VLOOKUP(J160,'G-3 Multipliers'!$L$3:$N$6,2,FALSE)))</f>
        <v/>
      </c>
      <c r="L160" s="281" t="str">
        <f>IF(J160="","",IF(VLOOKUP(J160,'G-3 Multipliers'!$L$3:$N$6,3,FALSE)=0,"Spatial Data Missing ⚠",VLOOKUP(J160,'G-3 Multipliers'!$L$3:$N$6,3,FALSE)))</f>
        <v/>
      </c>
      <c r="M160" s="275" t="str">
        <f>IF(OR(D160="",H160=""),"",(INDEX('G-6 Hedgerow Data'!$E$3:$I$15,MATCH(D160,'G-6 Hedgerow Data'!$B$3:$B$15,0),MATCH(H160,'G-6 Hedgerow Data'!$E$2:$I$2,0))))</f>
        <v/>
      </c>
      <c r="N160" s="133"/>
      <c r="O160" s="133"/>
      <c r="P160" s="283" t="str">
        <f t="shared" si="13"/>
        <v/>
      </c>
      <c r="Q160" s="296" t="str">
        <f t="shared" si="14"/>
        <v/>
      </c>
      <c r="R160" s="297" t="str">
        <f t="shared" si="12"/>
        <v/>
      </c>
      <c r="S160" s="311" t="str">
        <f>IF(D160="","",VLOOKUP(D160,'G-6 Hedgerow Data'!$B$3:$AG$15,31,FALSE))</f>
        <v/>
      </c>
      <c r="T160" s="283" t="str">
        <f t="shared" si="15"/>
        <v/>
      </c>
      <c r="U160" s="283" t="str">
        <f t="shared" si="16"/>
        <v/>
      </c>
      <c r="V160" s="299" t="str">
        <f>IF(D160="","",VLOOKUP(S160,'G-3 Multipliers'!$P$3:$Q$6,2,FALSE))</f>
        <v/>
      </c>
      <c r="W160" s="303" t="str">
        <f t="shared" si="17"/>
        <v/>
      </c>
      <c r="X160" s="101"/>
      <c r="Y160" s="115"/>
      <c r="Z160" s="104"/>
      <c r="AG160" s="30" t="str">
        <f>IFERROR(INDEX('G-6 Hedgerow Data'!$BJ$3:$BJ$15,MATCH(D160,'G-6 Hedgerow Data'!$B$3:$B$15,0)),"")</f>
        <v/>
      </c>
    </row>
    <row r="161" spans="2:33" ht="14" hidden="1">
      <c r="B161" s="97">
        <v>150</v>
      </c>
      <c r="C161" s="140"/>
      <c r="D161" s="133"/>
      <c r="E161" s="115"/>
      <c r="F161" s="323" t="str">
        <f>IF(D161="","",VLOOKUP(D161,'G-6 Hedgerow Data'!$B$2:$AG$15,2,FALSE))</f>
        <v/>
      </c>
      <c r="G161" s="276" t="str">
        <f>IF(D161="","",VLOOKUP(D161,'G-6 Hedgerow Data'!$B$2:$AG$15,3,FALSE))</f>
        <v/>
      </c>
      <c r="H161" s="101"/>
      <c r="I161" s="276" t="str">
        <f>IFERROR(IF(H161="","",IF(AND(D161="Non-native and ornamental hedgerow",H161&lt;&gt;"Poor"),"Not possible ▲",(VLOOKUP(H161,'G-1 All Habitats'!$Z$2:$AA$9,2,FALSE)))),"")</f>
        <v/>
      </c>
      <c r="J161" s="101"/>
      <c r="K161" s="295" t="str">
        <f>IF(J161="","",IF(VLOOKUP(J161,'G-3 Multipliers'!$L$3:$N$6,2,FALSE)=0,"Spatial Data Missing ⚠",VLOOKUP(J161,'G-3 Multipliers'!$L$3:$N$6,2,FALSE)))</f>
        <v/>
      </c>
      <c r="L161" s="281" t="str">
        <f>IF(J161="","",IF(VLOOKUP(J161,'G-3 Multipliers'!$L$3:$N$6,3,FALSE)=0,"Spatial Data Missing ⚠",VLOOKUP(J161,'G-3 Multipliers'!$L$3:$N$6,3,FALSE)))</f>
        <v/>
      </c>
      <c r="M161" s="275" t="str">
        <f>IF(OR(D161="",H161=""),"",(INDEX('G-6 Hedgerow Data'!$E$3:$I$15,MATCH(D161,'G-6 Hedgerow Data'!$B$3:$B$15,0),MATCH(H161,'G-6 Hedgerow Data'!$E$2:$I$2,0))))</f>
        <v/>
      </c>
      <c r="N161" s="133"/>
      <c r="O161" s="133"/>
      <c r="P161" s="283" t="str">
        <f t="shared" si="13"/>
        <v/>
      </c>
      <c r="Q161" s="296" t="str">
        <f t="shared" si="14"/>
        <v/>
      </c>
      <c r="R161" s="297" t="str">
        <f t="shared" si="12"/>
        <v/>
      </c>
      <c r="S161" s="311" t="str">
        <f>IF(D161="","",VLOOKUP(D161,'G-6 Hedgerow Data'!$B$3:$AG$15,31,FALSE))</f>
        <v/>
      </c>
      <c r="T161" s="283" t="str">
        <f t="shared" si="15"/>
        <v/>
      </c>
      <c r="U161" s="283" t="str">
        <f t="shared" si="16"/>
        <v/>
      </c>
      <c r="V161" s="299" t="str">
        <f>IF(D161="","",VLOOKUP(S161,'G-3 Multipliers'!$P$3:$Q$6,2,FALSE))</f>
        <v/>
      </c>
      <c r="W161" s="303" t="str">
        <f t="shared" si="17"/>
        <v/>
      </c>
      <c r="X161" s="101"/>
      <c r="Y161" s="115"/>
      <c r="Z161" s="104"/>
      <c r="AG161" s="30" t="str">
        <f>IFERROR(INDEX('G-6 Hedgerow Data'!$BJ$3:$BJ$15,MATCH(D161,'G-6 Hedgerow Data'!$B$3:$B$15,0)),"")</f>
        <v/>
      </c>
    </row>
    <row r="162" spans="2:33" ht="14" hidden="1">
      <c r="B162" s="97">
        <v>151</v>
      </c>
      <c r="C162" s="140"/>
      <c r="D162" s="133"/>
      <c r="E162" s="115"/>
      <c r="F162" s="323" t="str">
        <f>IF(D162="","",VLOOKUP(D162,'G-6 Hedgerow Data'!$B$2:$AG$15,2,FALSE))</f>
        <v/>
      </c>
      <c r="G162" s="276" t="str">
        <f>IF(D162="","",VLOOKUP(D162,'G-6 Hedgerow Data'!$B$2:$AG$15,3,FALSE))</f>
        <v/>
      </c>
      <c r="H162" s="101"/>
      <c r="I162" s="276" t="str">
        <f>IFERROR(IF(H162="","",IF(AND(D162="Non-native and ornamental hedgerow",H162&lt;&gt;"Poor"),"Not possible ▲",(VLOOKUP(H162,'G-1 All Habitats'!$Z$2:$AA$9,2,FALSE)))),"")</f>
        <v/>
      </c>
      <c r="J162" s="101"/>
      <c r="K162" s="295" t="str">
        <f>IF(J162="","",IF(VLOOKUP(J162,'G-3 Multipliers'!$L$3:$N$6,2,FALSE)=0,"Spatial Data Missing ⚠",VLOOKUP(J162,'G-3 Multipliers'!$L$3:$N$6,2,FALSE)))</f>
        <v/>
      </c>
      <c r="L162" s="281" t="str">
        <f>IF(J162="","",IF(VLOOKUP(J162,'G-3 Multipliers'!$L$3:$N$6,3,FALSE)=0,"Spatial Data Missing ⚠",VLOOKUP(J162,'G-3 Multipliers'!$L$3:$N$6,3,FALSE)))</f>
        <v/>
      </c>
      <c r="M162" s="275" t="str">
        <f>IF(OR(D162="",H162=""),"",(INDEX('G-6 Hedgerow Data'!$E$3:$I$15,MATCH(D162,'G-6 Hedgerow Data'!$B$3:$B$15,0),MATCH(H162,'G-6 Hedgerow Data'!$E$2:$I$2,0))))</f>
        <v/>
      </c>
      <c r="N162" s="133"/>
      <c r="O162" s="133"/>
      <c r="P162" s="283" t="str">
        <f t="shared" si="13"/>
        <v/>
      </c>
      <c r="Q162" s="296" t="str">
        <f t="shared" si="14"/>
        <v/>
      </c>
      <c r="R162" s="297" t="str">
        <f t="shared" si="12"/>
        <v/>
      </c>
      <c r="S162" s="311" t="str">
        <f>IF(D162="","",VLOOKUP(D162,'G-6 Hedgerow Data'!$B$3:$AG$15,31,FALSE))</f>
        <v/>
      </c>
      <c r="T162" s="283" t="str">
        <f t="shared" si="15"/>
        <v/>
      </c>
      <c r="U162" s="283" t="str">
        <f t="shared" si="16"/>
        <v/>
      </c>
      <c r="V162" s="299" t="str">
        <f>IF(D162="","",VLOOKUP(S162,'G-3 Multipliers'!$P$3:$Q$6,2,FALSE))</f>
        <v/>
      </c>
      <c r="W162" s="303" t="str">
        <f t="shared" si="17"/>
        <v/>
      </c>
      <c r="X162" s="101"/>
      <c r="Y162" s="115"/>
      <c r="Z162" s="104"/>
      <c r="AG162" s="30" t="str">
        <f>IFERROR(INDEX('G-6 Hedgerow Data'!$BJ$3:$BJ$15,MATCH(D162,'G-6 Hedgerow Data'!$B$3:$B$15,0)),"")</f>
        <v/>
      </c>
    </row>
    <row r="163" spans="2:33" ht="14" hidden="1">
      <c r="B163" s="97">
        <v>152</v>
      </c>
      <c r="C163" s="140"/>
      <c r="D163" s="133"/>
      <c r="E163" s="115"/>
      <c r="F163" s="323" t="str">
        <f>IF(D163="","",VLOOKUP(D163,'G-6 Hedgerow Data'!$B$2:$AG$15,2,FALSE))</f>
        <v/>
      </c>
      <c r="G163" s="276" t="str">
        <f>IF(D163="","",VLOOKUP(D163,'G-6 Hedgerow Data'!$B$2:$AG$15,3,FALSE))</f>
        <v/>
      </c>
      <c r="H163" s="101"/>
      <c r="I163" s="276" t="str">
        <f>IFERROR(IF(H163="","",IF(AND(D163="Non-native and ornamental hedgerow",H163&lt;&gt;"Poor"),"Not possible ▲",(VLOOKUP(H163,'G-1 All Habitats'!$Z$2:$AA$9,2,FALSE)))),"")</f>
        <v/>
      </c>
      <c r="J163" s="101"/>
      <c r="K163" s="295" t="str">
        <f>IF(J163="","",IF(VLOOKUP(J163,'G-3 Multipliers'!$L$3:$N$6,2,FALSE)=0,"Spatial Data Missing ⚠",VLOOKUP(J163,'G-3 Multipliers'!$L$3:$N$6,2,FALSE)))</f>
        <v/>
      </c>
      <c r="L163" s="281" t="str">
        <f>IF(J163="","",IF(VLOOKUP(J163,'G-3 Multipliers'!$L$3:$N$6,3,FALSE)=0,"Spatial Data Missing ⚠",VLOOKUP(J163,'G-3 Multipliers'!$L$3:$N$6,3,FALSE)))</f>
        <v/>
      </c>
      <c r="M163" s="275" t="str">
        <f>IF(OR(D163="",H163=""),"",(INDEX('G-6 Hedgerow Data'!$E$3:$I$15,MATCH(D163,'G-6 Hedgerow Data'!$B$3:$B$15,0),MATCH(H163,'G-6 Hedgerow Data'!$E$2:$I$2,0))))</f>
        <v/>
      </c>
      <c r="N163" s="133"/>
      <c r="O163" s="133"/>
      <c r="P163" s="283" t="str">
        <f t="shared" si="13"/>
        <v/>
      </c>
      <c r="Q163" s="296" t="str">
        <f t="shared" si="14"/>
        <v/>
      </c>
      <c r="R163" s="297" t="str">
        <f t="shared" si="12"/>
        <v/>
      </c>
      <c r="S163" s="311" t="str">
        <f>IF(D163="","",VLOOKUP(D163,'G-6 Hedgerow Data'!$B$3:$AG$15,31,FALSE))</f>
        <v/>
      </c>
      <c r="T163" s="283" t="str">
        <f t="shared" si="15"/>
        <v/>
      </c>
      <c r="U163" s="283" t="str">
        <f t="shared" si="16"/>
        <v/>
      </c>
      <c r="V163" s="299" t="str">
        <f>IF(D163="","",VLOOKUP(S163,'G-3 Multipliers'!$P$3:$Q$6,2,FALSE))</f>
        <v/>
      </c>
      <c r="W163" s="303" t="str">
        <f t="shared" si="17"/>
        <v/>
      </c>
      <c r="X163" s="101"/>
      <c r="Y163" s="115"/>
      <c r="Z163" s="104"/>
      <c r="AG163" s="30" t="str">
        <f>IFERROR(INDEX('G-6 Hedgerow Data'!$BJ$3:$BJ$15,MATCH(D163,'G-6 Hedgerow Data'!$B$3:$B$15,0)),"")</f>
        <v/>
      </c>
    </row>
    <row r="164" spans="2:33" ht="14" hidden="1">
      <c r="B164" s="97">
        <v>153</v>
      </c>
      <c r="C164" s="140"/>
      <c r="D164" s="133"/>
      <c r="E164" s="115"/>
      <c r="F164" s="323" t="str">
        <f>IF(D164="","",VLOOKUP(D164,'G-6 Hedgerow Data'!$B$2:$AG$15,2,FALSE))</f>
        <v/>
      </c>
      <c r="G164" s="276" t="str">
        <f>IF(D164="","",VLOOKUP(D164,'G-6 Hedgerow Data'!$B$2:$AG$15,3,FALSE))</f>
        <v/>
      </c>
      <c r="H164" s="101"/>
      <c r="I164" s="276" t="str">
        <f>IFERROR(IF(H164="","",IF(AND(D164="Non-native and ornamental hedgerow",H164&lt;&gt;"Poor"),"Not possible ▲",(VLOOKUP(H164,'G-1 All Habitats'!$Z$2:$AA$9,2,FALSE)))),"")</f>
        <v/>
      </c>
      <c r="J164" s="101"/>
      <c r="K164" s="295" t="str">
        <f>IF(J164="","",IF(VLOOKUP(J164,'G-3 Multipliers'!$L$3:$N$6,2,FALSE)=0,"Spatial Data Missing ⚠",VLOOKUP(J164,'G-3 Multipliers'!$L$3:$N$6,2,FALSE)))</f>
        <v/>
      </c>
      <c r="L164" s="281" t="str">
        <f>IF(J164="","",IF(VLOOKUP(J164,'G-3 Multipliers'!$L$3:$N$6,3,FALSE)=0,"Spatial Data Missing ⚠",VLOOKUP(J164,'G-3 Multipliers'!$L$3:$N$6,3,FALSE)))</f>
        <v/>
      </c>
      <c r="M164" s="275" t="str">
        <f>IF(OR(D164="",H164=""),"",(INDEX('G-6 Hedgerow Data'!$E$3:$I$15,MATCH(D164,'G-6 Hedgerow Data'!$B$3:$B$15,0),MATCH(H164,'G-6 Hedgerow Data'!$E$2:$I$2,0))))</f>
        <v/>
      </c>
      <c r="N164" s="133"/>
      <c r="O164" s="133"/>
      <c r="P164" s="283" t="str">
        <f t="shared" si="13"/>
        <v/>
      </c>
      <c r="Q164" s="296" t="str">
        <f t="shared" si="14"/>
        <v/>
      </c>
      <c r="R164" s="297" t="str">
        <f t="shared" si="12"/>
        <v/>
      </c>
      <c r="S164" s="311" t="str">
        <f>IF(D164="","",VLOOKUP(D164,'G-6 Hedgerow Data'!$B$3:$AG$15,31,FALSE))</f>
        <v/>
      </c>
      <c r="T164" s="283" t="str">
        <f t="shared" si="15"/>
        <v/>
      </c>
      <c r="U164" s="283" t="str">
        <f t="shared" si="16"/>
        <v/>
      </c>
      <c r="V164" s="299" t="str">
        <f>IF(D164="","",VLOOKUP(S164,'G-3 Multipliers'!$P$3:$Q$6,2,FALSE))</f>
        <v/>
      </c>
      <c r="W164" s="303" t="str">
        <f t="shared" si="17"/>
        <v/>
      </c>
      <c r="X164" s="101"/>
      <c r="Y164" s="115"/>
      <c r="Z164" s="104"/>
      <c r="AG164" s="30" t="str">
        <f>IFERROR(INDEX('G-6 Hedgerow Data'!$BJ$3:$BJ$15,MATCH(D164,'G-6 Hedgerow Data'!$B$3:$B$15,0)),"")</f>
        <v/>
      </c>
    </row>
    <row r="165" spans="2:33" ht="14" hidden="1">
      <c r="B165" s="97">
        <v>154</v>
      </c>
      <c r="C165" s="140"/>
      <c r="D165" s="133"/>
      <c r="E165" s="115"/>
      <c r="F165" s="323" t="str">
        <f>IF(D165="","",VLOOKUP(D165,'G-6 Hedgerow Data'!$B$2:$AG$15,2,FALSE))</f>
        <v/>
      </c>
      <c r="G165" s="276" t="str">
        <f>IF(D165="","",VLOOKUP(D165,'G-6 Hedgerow Data'!$B$2:$AG$15,3,FALSE))</f>
        <v/>
      </c>
      <c r="H165" s="101"/>
      <c r="I165" s="276" t="str">
        <f>IFERROR(IF(H165="","",IF(AND(D165="Non-native and ornamental hedgerow",H165&lt;&gt;"Poor"),"Not possible ▲",(VLOOKUP(H165,'G-1 All Habitats'!$Z$2:$AA$9,2,FALSE)))),"")</f>
        <v/>
      </c>
      <c r="J165" s="101"/>
      <c r="K165" s="295" t="str">
        <f>IF(J165="","",IF(VLOOKUP(J165,'G-3 Multipliers'!$L$3:$N$6,2,FALSE)=0,"Spatial Data Missing ⚠",VLOOKUP(J165,'G-3 Multipliers'!$L$3:$N$6,2,FALSE)))</f>
        <v/>
      </c>
      <c r="L165" s="281" t="str">
        <f>IF(J165="","",IF(VLOOKUP(J165,'G-3 Multipliers'!$L$3:$N$6,3,FALSE)=0,"Spatial Data Missing ⚠",VLOOKUP(J165,'G-3 Multipliers'!$L$3:$N$6,3,FALSE)))</f>
        <v/>
      </c>
      <c r="M165" s="275" t="str">
        <f>IF(OR(D165="",H165=""),"",(INDEX('G-6 Hedgerow Data'!$E$3:$I$15,MATCH(D165,'G-6 Hedgerow Data'!$B$3:$B$15,0),MATCH(H165,'G-6 Hedgerow Data'!$E$2:$I$2,0))))</f>
        <v/>
      </c>
      <c r="N165" s="133"/>
      <c r="O165" s="133"/>
      <c r="P165" s="283" t="str">
        <f t="shared" si="13"/>
        <v/>
      </c>
      <c r="Q165" s="296" t="str">
        <f t="shared" si="14"/>
        <v/>
      </c>
      <c r="R165" s="297" t="str">
        <f t="shared" si="12"/>
        <v/>
      </c>
      <c r="S165" s="311" t="str">
        <f>IF(D165="","",VLOOKUP(D165,'G-6 Hedgerow Data'!$B$3:$AG$15,31,FALSE))</f>
        <v/>
      </c>
      <c r="T165" s="283" t="str">
        <f t="shared" si="15"/>
        <v/>
      </c>
      <c r="U165" s="283" t="str">
        <f t="shared" si="16"/>
        <v/>
      </c>
      <c r="V165" s="299" t="str">
        <f>IF(D165="","",VLOOKUP(S165,'G-3 Multipliers'!$P$3:$Q$6,2,FALSE))</f>
        <v/>
      </c>
      <c r="W165" s="303" t="str">
        <f t="shared" si="17"/>
        <v/>
      </c>
      <c r="X165" s="101"/>
      <c r="Y165" s="115"/>
      <c r="Z165" s="104"/>
      <c r="AG165" s="30" t="str">
        <f>IFERROR(INDEX('G-6 Hedgerow Data'!$BJ$3:$BJ$15,MATCH(D165,'G-6 Hedgerow Data'!$B$3:$B$15,0)),"")</f>
        <v/>
      </c>
    </row>
    <row r="166" spans="2:33" ht="14" hidden="1">
      <c r="B166" s="97">
        <v>155</v>
      </c>
      <c r="C166" s="140"/>
      <c r="D166" s="133"/>
      <c r="E166" s="115"/>
      <c r="F166" s="323" t="str">
        <f>IF(D166="","",VLOOKUP(D166,'G-6 Hedgerow Data'!$B$2:$AG$15,2,FALSE))</f>
        <v/>
      </c>
      <c r="G166" s="276" t="str">
        <f>IF(D166="","",VLOOKUP(D166,'G-6 Hedgerow Data'!$B$2:$AG$15,3,FALSE))</f>
        <v/>
      </c>
      <c r="H166" s="101"/>
      <c r="I166" s="276" t="str">
        <f>IFERROR(IF(H166="","",IF(AND(D166="Non-native and ornamental hedgerow",H166&lt;&gt;"Poor"),"Not possible ▲",(VLOOKUP(H166,'G-1 All Habitats'!$Z$2:$AA$9,2,FALSE)))),"")</f>
        <v/>
      </c>
      <c r="J166" s="101"/>
      <c r="K166" s="295" t="str">
        <f>IF(J166="","",IF(VLOOKUP(J166,'G-3 Multipliers'!$L$3:$N$6,2,FALSE)=0,"Spatial Data Missing ⚠",VLOOKUP(J166,'G-3 Multipliers'!$L$3:$N$6,2,FALSE)))</f>
        <v/>
      </c>
      <c r="L166" s="281" t="str">
        <f>IF(J166="","",IF(VLOOKUP(J166,'G-3 Multipliers'!$L$3:$N$6,3,FALSE)=0,"Spatial Data Missing ⚠",VLOOKUP(J166,'G-3 Multipliers'!$L$3:$N$6,3,FALSE)))</f>
        <v/>
      </c>
      <c r="M166" s="275" t="str">
        <f>IF(OR(D166="",H166=""),"",(INDEX('G-6 Hedgerow Data'!$E$3:$I$15,MATCH(D166,'G-6 Hedgerow Data'!$B$3:$B$15,0),MATCH(H166,'G-6 Hedgerow Data'!$E$2:$I$2,0))))</f>
        <v/>
      </c>
      <c r="N166" s="133"/>
      <c r="O166" s="133"/>
      <c r="P166" s="283" t="str">
        <f t="shared" si="13"/>
        <v/>
      </c>
      <c r="Q166" s="296" t="str">
        <f t="shared" si="14"/>
        <v/>
      </c>
      <c r="R166" s="297" t="str">
        <f t="shared" si="12"/>
        <v/>
      </c>
      <c r="S166" s="311" t="str">
        <f>IF(D166="","",VLOOKUP(D166,'G-6 Hedgerow Data'!$B$3:$AG$15,31,FALSE))</f>
        <v/>
      </c>
      <c r="T166" s="283" t="str">
        <f t="shared" si="15"/>
        <v/>
      </c>
      <c r="U166" s="283" t="str">
        <f t="shared" si="16"/>
        <v/>
      </c>
      <c r="V166" s="299" t="str">
        <f>IF(D166="","",VLOOKUP(S166,'G-3 Multipliers'!$P$3:$Q$6,2,FALSE))</f>
        <v/>
      </c>
      <c r="W166" s="303" t="str">
        <f t="shared" si="17"/>
        <v/>
      </c>
      <c r="X166" s="101"/>
      <c r="Y166" s="115"/>
      <c r="Z166" s="104"/>
      <c r="AG166" s="30" t="str">
        <f>IFERROR(INDEX('G-6 Hedgerow Data'!$BJ$3:$BJ$15,MATCH(D166,'G-6 Hedgerow Data'!$B$3:$B$15,0)),"")</f>
        <v/>
      </c>
    </row>
    <row r="167" spans="2:33" ht="14" hidden="1">
      <c r="B167" s="97">
        <v>156</v>
      </c>
      <c r="C167" s="140"/>
      <c r="D167" s="133"/>
      <c r="E167" s="115"/>
      <c r="F167" s="323" t="str">
        <f>IF(D167="","",VLOOKUP(D167,'G-6 Hedgerow Data'!$B$2:$AG$15,2,FALSE))</f>
        <v/>
      </c>
      <c r="G167" s="276" t="str">
        <f>IF(D167="","",VLOOKUP(D167,'G-6 Hedgerow Data'!$B$2:$AG$15,3,FALSE))</f>
        <v/>
      </c>
      <c r="H167" s="101"/>
      <c r="I167" s="276" t="str">
        <f>IFERROR(IF(H167="","",IF(AND(D167="Non-native and ornamental hedgerow",H167&lt;&gt;"Poor"),"Not possible ▲",(VLOOKUP(H167,'G-1 All Habitats'!$Z$2:$AA$9,2,FALSE)))),"")</f>
        <v/>
      </c>
      <c r="J167" s="101"/>
      <c r="K167" s="295" t="str">
        <f>IF(J167="","",IF(VLOOKUP(J167,'G-3 Multipliers'!$L$3:$N$6,2,FALSE)=0,"Spatial Data Missing ⚠",VLOOKUP(J167,'G-3 Multipliers'!$L$3:$N$6,2,FALSE)))</f>
        <v/>
      </c>
      <c r="L167" s="281" t="str">
        <f>IF(J167="","",IF(VLOOKUP(J167,'G-3 Multipliers'!$L$3:$N$6,3,FALSE)=0,"Spatial Data Missing ⚠",VLOOKUP(J167,'G-3 Multipliers'!$L$3:$N$6,3,FALSE)))</f>
        <v/>
      </c>
      <c r="M167" s="275" t="str">
        <f>IF(OR(D167="",H167=""),"",(INDEX('G-6 Hedgerow Data'!$E$3:$I$15,MATCH(D167,'G-6 Hedgerow Data'!$B$3:$B$15,0),MATCH(H167,'G-6 Hedgerow Data'!$E$2:$I$2,0))))</f>
        <v/>
      </c>
      <c r="N167" s="133"/>
      <c r="O167" s="133"/>
      <c r="P167" s="283" t="str">
        <f t="shared" si="13"/>
        <v/>
      </c>
      <c r="Q167" s="296" t="str">
        <f t="shared" si="14"/>
        <v/>
      </c>
      <c r="R167" s="297" t="str">
        <f t="shared" si="12"/>
        <v/>
      </c>
      <c r="S167" s="311" t="str">
        <f>IF(D167="","",VLOOKUP(D167,'G-6 Hedgerow Data'!$B$3:$AG$15,31,FALSE))</f>
        <v/>
      </c>
      <c r="T167" s="283" t="str">
        <f t="shared" si="15"/>
        <v/>
      </c>
      <c r="U167" s="283" t="str">
        <f t="shared" si="16"/>
        <v/>
      </c>
      <c r="V167" s="299" t="str">
        <f>IF(D167="","",VLOOKUP(S167,'G-3 Multipliers'!$P$3:$Q$6,2,FALSE))</f>
        <v/>
      </c>
      <c r="W167" s="303" t="str">
        <f t="shared" si="17"/>
        <v/>
      </c>
      <c r="X167" s="101"/>
      <c r="Y167" s="115"/>
      <c r="Z167" s="104"/>
      <c r="AG167" s="30" t="str">
        <f>IFERROR(INDEX('G-6 Hedgerow Data'!$BJ$3:$BJ$15,MATCH(D167,'G-6 Hedgerow Data'!$B$3:$B$15,0)),"")</f>
        <v/>
      </c>
    </row>
    <row r="168" spans="2:33" ht="14" hidden="1">
      <c r="B168" s="97">
        <v>157</v>
      </c>
      <c r="C168" s="140"/>
      <c r="D168" s="133"/>
      <c r="E168" s="115"/>
      <c r="F168" s="323" t="str">
        <f>IF(D168="","",VLOOKUP(D168,'G-6 Hedgerow Data'!$B$2:$AG$15,2,FALSE))</f>
        <v/>
      </c>
      <c r="G168" s="276" t="str">
        <f>IF(D168="","",VLOOKUP(D168,'G-6 Hedgerow Data'!$B$2:$AG$15,3,FALSE))</f>
        <v/>
      </c>
      <c r="H168" s="101"/>
      <c r="I168" s="276" t="str">
        <f>IFERROR(IF(H168="","",IF(AND(D168="Non-native and ornamental hedgerow",H168&lt;&gt;"Poor"),"Not possible ▲",(VLOOKUP(H168,'G-1 All Habitats'!$Z$2:$AA$9,2,FALSE)))),"")</f>
        <v/>
      </c>
      <c r="J168" s="101"/>
      <c r="K168" s="295" t="str">
        <f>IF(J168="","",IF(VLOOKUP(J168,'G-3 Multipliers'!$L$3:$N$6,2,FALSE)=0,"Spatial Data Missing ⚠",VLOOKUP(J168,'G-3 Multipliers'!$L$3:$N$6,2,FALSE)))</f>
        <v/>
      </c>
      <c r="L168" s="281" t="str">
        <f>IF(J168="","",IF(VLOOKUP(J168,'G-3 Multipliers'!$L$3:$N$6,3,FALSE)=0,"Spatial Data Missing ⚠",VLOOKUP(J168,'G-3 Multipliers'!$L$3:$N$6,3,FALSE)))</f>
        <v/>
      </c>
      <c r="M168" s="275" t="str">
        <f>IF(OR(D168="",H168=""),"",(INDEX('G-6 Hedgerow Data'!$E$3:$I$15,MATCH(D168,'G-6 Hedgerow Data'!$B$3:$B$15,0),MATCH(H168,'G-6 Hedgerow Data'!$E$2:$I$2,0))))</f>
        <v/>
      </c>
      <c r="N168" s="133"/>
      <c r="O168" s="133"/>
      <c r="P168" s="283" t="str">
        <f t="shared" si="13"/>
        <v/>
      </c>
      <c r="Q168" s="296" t="str">
        <f t="shared" si="14"/>
        <v/>
      </c>
      <c r="R168" s="297" t="str">
        <f t="shared" si="12"/>
        <v/>
      </c>
      <c r="S168" s="311" t="str">
        <f>IF(D168="","",VLOOKUP(D168,'G-6 Hedgerow Data'!$B$3:$AG$15,31,FALSE))</f>
        <v/>
      </c>
      <c r="T168" s="283" t="str">
        <f t="shared" si="15"/>
        <v/>
      </c>
      <c r="U168" s="283" t="str">
        <f t="shared" si="16"/>
        <v/>
      </c>
      <c r="V168" s="299" t="str">
        <f>IF(D168="","",VLOOKUP(S168,'G-3 Multipliers'!$P$3:$Q$6,2,FALSE))</f>
        <v/>
      </c>
      <c r="W168" s="303" t="str">
        <f t="shared" si="17"/>
        <v/>
      </c>
      <c r="X168" s="101"/>
      <c r="Y168" s="115"/>
      <c r="Z168" s="104"/>
      <c r="AG168" s="30" t="str">
        <f>IFERROR(INDEX('G-6 Hedgerow Data'!$BJ$3:$BJ$15,MATCH(D168,'G-6 Hedgerow Data'!$B$3:$B$15,0)),"")</f>
        <v/>
      </c>
    </row>
    <row r="169" spans="2:33" ht="14" hidden="1">
      <c r="B169" s="97">
        <v>158</v>
      </c>
      <c r="C169" s="140"/>
      <c r="D169" s="133"/>
      <c r="E169" s="115"/>
      <c r="F169" s="323" t="str">
        <f>IF(D169="","",VLOOKUP(D169,'G-6 Hedgerow Data'!$B$2:$AG$15,2,FALSE))</f>
        <v/>
      </c>
      <c r="G169" s="276" t="str">
        <f>IF(D169="","",VLOOKUP(D169,'G-6 Hedgerow Data'!$B$2:$AG$15,3,FALSE))</f>
        <v/>
      </c>
      <c r="H169" s="101"/>
      <c r="I169" s="276" t="str">
        <f>IFERROR(IF(H169="","",IF(AND(D169="Non-native and ornamental hedgerow",H169&lt;&gt;"Poor"),"Not possible ▲",(VLOOKUP(H169,'G-1 All Habitats'!$Z$2:$AA$9,2,FALSE)))),"")</f>
        <v/>
      </c>
      <c r="J169" s="101"/>
      <c r="K169" s="295" t="str">
        <f>IF(J169="","",IF(VLOOKUP(J169,'G-3 Multipliers'!$L$3:$N$6,2,FALSE)=0,"Spatial Data Missing ⚠",VLOOKUP(J169,'G-3 Multipliers'!$L$3:$N$6,2,FALSE)))</f>
        <v/>
      </c>
      <c r="L169" s="281" t="str">
        <f>IF(J169="","",IF(VLOOKUP(J169,'G-3 Multipliers'!$L$3:$N$6,3,FALSE)=0,"Spatial Data Missing ⚠",VLOOKUP(J169,'G-3 Multipliers'!$L$3:$N$6,3,FALSE)))</f>
        <v/>
      </c>
      <c r="M169" s="275" t="str">
        <f>IF(OR(D169="",H169=""),"",(INDEX('G-6 Hedgerow Data'!$E$3:$I$15,MATCH(D169,'G-6 Hedgerow Data'!$B$3:$B$15,0),MATCH(H169,'G-6 Hedgerow Data'!$E$2:$I$2,0))))</f>
        <v/>
      </c>
      <c r="N169" s="133"/>
      <c r="O169" s="133"/>
      <c r="P169" s="283" t="str">
        <f t="shared" si="13"/>
        <v/>
      </c>
      <c r="Q169" s="296" t="str">
        <f t="shared" si="14"/>
        <v/>
      </c>
      <c r="R169" s="297" t="str">
        <f t="shared" si="12"/>
        <v/>
      </c>
      <c r="S169" s="311" t="str">
        <f>IF(D169="","",VLOOKUP(D169,'G-6 Hedgerow Data'!$B$3:$AG$15,31,FALSE))</f>
        <v/>
      </c>
      <c r="T169" s="283" t="str">
        <f t="shared" si="15"/>
        <v/>
      </c>
      <c r="U169" s="283" t="str">
        <f t="shared" si="16"/>
        <v/>
      </c>
      <c r="V169" s="299" t="str">
        <f>IF(D169="","",VLOOKUP(S169,'G-3 Multipliers'!$P$3:$Q$6,2,FALSE))</f>
        <v/>
      </c>
      <c r="W169" s="303" t="str">
        <f t="shared" si="17"/>
        <v/>
      </c>
      <c r="X169" s="101"/>
      <c r="Y169" s="115"/>
      <c r="Z169" s="104"/>
      <c r="AG169" s="30" t="str">
        <f>IFERROR(INDEX('G-6 Hedgerow Data'!$BJ$3:$BJ$15,MATCH(D169,'G-6 Hedgerow Data'!$B$3:$B$15,0)),"")</f>
        <v/>
      </c>
    </row>
    <row r="170" spans="2:33" ht="14" hidden="1">
      <c r="B170" s="97">
        <v>159</v>
      </c>
      <c r="C170" s="140"/>
      <c r="D170" s="133"/>
      <c r="E170" s="115"/>
      <c r="F170" s="323" t="str">
        <f>IF(D170="","",VLOOKUP(D170,'G-6 Hedgerow Data'!$B$2:$AG$15,2,FALSE))</f>
        <v/>
      </c>
      <c r="G170" s="276" t="str">
        <f>IF(D170="","",VLOOKUP(D170,'G-6 Hedgerow Data'!$B$2:$AG$15,3,FALSE))</f>
        <v/>
      </c>
      <c r="H170" s="101"/>
      <c r="I170" s="276" t="str">
        <f>IFERROR(IF(H170="","",IF(AND(D170="Non-native and ornamental hedgerow",H170&lt;&gt;"Poor"),"Not possible ▲",(VLOOKUP(H170,'G-1 All Habitats'!$Z$2:$AA$9,2,FALSE)))),"")</f>
        <v/>
      </c>
      <c r="J170" s="101"/>
      <c r="K170" s="295" t="str">
        <f>IF(J170="","",IF(VLOOKUP(J170,'G-3 Multipliers'!$L$3:$N$6,2,FALSE)=0,"Spatial Data Missing ⚠",VLOOKUP(J170,'G-3 Multipliers'!$L$3:$N$6,2,FALSE)))</f>
        <v/>
      </c>
      <c r="L170" s="281" t="str">
        <f>IF(J170="","",IF(VLOOKUP(J170,'G-3 Multipliers'!$L$3:$N$6,3,FALSE)=0,"Spatial Data Missing ⚠",VLOOKUP(J170,'G-3 Multipliers'!$L$3:$N$6,3,FALSE)))</f>
        <v/>
      </c>
      <c r="M170" s="275" t="str">
        <f>IF(OR(D170="",H170=""),"",(INDEX('G-6 Hedgerow Data'!$E$3:$I$15,MATCH(D170,'G-6 Hedgerow Data'!$B$3:$B$15,0),MATCH(H170,'G-6 Hedgerow Data'!$E$2:$I$2,0))))</f>
        <v/>
      </c>
      <c r="N170" s="133"/>
      <c r="O170" s="133"/>
      <c r="P170" s="283" t="str">
        <f t="shared" si="13"/>
        <v/>
      </c>
      <c r="Q170" s="296" t="str">
        <f t="shared" si="14"/>
        <v/>
      </c>
      <c r="R170" s="297" t="str">
        <f t="shared" si="12"/>
        <v/>
      </c>
      <c r="S170" s="311" t="str">
        <f>IF(D170="","",VLOOKUP(D170,'G-6 Hedgerow Data'!$B$3:$AG$15,31,FALSE))</f>
        <v/>
      </c>
      <c r="T170" s="283" t="str">
        <f t="shared" si="15"/>
        <v/>
      </c>
      <c r="U170" s="283" t="str">
        <f t="shared" si="16"/>
        <v/>
      </c>
      <c r="V170" s="299" t="str">
        <f>IF(D170="","",VLOOKUP(S170,'G-3 Multipliers'!$P$3:$Q$6,2,FALSE))</f>
        <v/>
      </c>
      <c r="W170" s="303" t="str">
        <f t="shared" si="17"/>
        <v/>
      </c>
      <c r="X170" s="101"/>
      <c r="Y170" s="115"/>
      <c r="Z170" s="104"/>
      <c r="AG170" s="30" t="str">
        <f>IFERROR(INDEX('G-6 Hedgerow Data'!$BJ$3:$BJ$15,MATCH(D170,'G-6 Hedgerow Data'!$B$3:$B$15,0)),"")</f>
        <v/>
      </c>
    </row>
    <row r="171" spans="2:33" ht="14" hidden="1">
      <c r="B171" s="97">
        <v>160</v>
      </c>
      <c r="C171" s="140"/>
      <c r="D171" s="133"/>
      <c r="E171" s="115"/>
      <c r="F171" s="323" t="str">
        <f>IF(D171="","",VLOOKUP(D171,'G-6 Hedgerow Data'!$B$2:$AG$15,2,FALSE))</f>
        <v/>
      </c>
      <c r="G171" s="276" t="str">
        <f>IF(D171="","",VLOOKUP(D171,'G-6 Hedgerow Data'!$B$2:$AG$15,3,FALSE))</f>
        <v/>
      </c>
      <c r="H171" s="101"/>
      <c r="I171" s="276" t="str">
        <f>IFERROR(IF(H171="","",IF(AND(D171="Non-native and ornamental hedgerow",H171&lt;&gt;"Poor"),"Not possible ▲",(VLOOKUP(H171,'G-1 All Habitats'!$Z$2:$AA$9,2,FALSE)))),"")</f>
        <v/>
      </c>
      <c r="J171" s="101"/>
      <c r="K171" s="295" t="str">
        <f>IF(J171="","",IF(VLOOKUP(J171,'G-3 Multipliers'!$L$3:$N$6,2,FALSE)=0,"Spatial Data Missing ⚠",VLOOKUP(J171,'G-3 Multipliers'!$L$3:$N$6,2,FALSE)))</f>
        <v/>
      </c>
      <c r="L171" s="281" t="str">
        <f>IF(J171="","",IF(VLOOKUP(J171,'G-3 Multipliers'!$L$3:$N$6,3,FALSE)=0,"Spatial Data Missing ⚠",VLOOKUP(J171,'G-3 Multipliers'!$L$3:$N$6,3,FALSE)))</f>
        <v/>
      </c>
      <c r="M171" s="275" t="str">
        <f>IF(OR(D171="",H171=""),"",(INDEX('G-6 Hedgerow Data'!$E$3:$I$15,MATCH(D171,'G-6 Hedgerow Data'!$B$3:$B$15,0),MATCH(H171,'G-6 Hedgerow Data'!$E$2:$I$2,0))))</f>
        <v/>
      </c>
      <c r="N171" s="133"/>
      <c r="O171" s="133"/>
      <c r="P171" s="283" t="str">
        <f t="shared" si="13"/>
        <v/>
      </c>
      <c r="Q171" s="296" t="str">
        <f t="shared" si="14"/>
        <v/>
      </c>
      <c r="R171" s="297" t="str">
        <f t="shared" si="12"/>
        <v/>
      </c>
      <c r="S171" s="311" t="str">
        <f>IF(D171="","",VLOOKUP(D171,'G-6 Hedgerow Data'!$B$3:$AG$15,31,FALSE))</f>
        <v/>
      </c>
      <c r="T171" s="283" t="str">
        <f t="shared" si="15"/>
        <v/>
      </c>
      <c r="U171" s="283" t="str">
        <f t="shared" si="16"/>
        <v/>
      </c>
      <c r="V171" s="299" t="str">
        <f>IF(D171="","",VLOOKUP(S171,'G-3 Multipliers'!$P$3:$Q$6,2,FALSE))</f>
        <v/>
      </c>
      <c r="W171" s="303" t="str">
        <f t="shared" si="17"/>
        <v/>
      </c>
      <c r="X171" s="101"/>
      <c r="Y171" s="115"/>
      <c r="Z171" s="104"/>
      <c r="AG171" s="30" t="str">
        <f>IFERROR(INDEX('G-6 Hedgerow Data'!$BJ$3:$BJ$15,MATCH(D171,'G-6 Hedgerow Data'!$B$3:$B$15,0)),"")</f>
        <v/>
      </c>
    </row>
    <row r="172" spans="2:33" ht="14" hidden="1">
      <c r="B172" s="97">
        <v>161</v>
      </c>
      <c r="C172" s="140"/>
      <c r="D172" s="133"/>
      <c r="E172" s="115"/>
      <c r="F172" s="323" t="str">
        <f>IF(D172="","",VLOOKUP(D172,'G-6 Hedgerow Data'!$B$2:$AG$15,2,FALSE))</f>
        <v/>
      </c>
      <c r="G172" s="276" t="str">
        <f>IF(D172="","",VLOOKUP(D172,'G-6 Hedgerow Data'!$B$2:$AG$15,3,FALSE))</f>
        <v/>
      </c>
      <c r="H172" s="101"/>
      <c r="I172" s="276" t="str">
        <f>IFERROR(IF(H172="","",IF(AND(D172="Non-native and ornamental hedgerow",H172&lt;&gt;"Poor"),"Not possible ▲",(VLOOKUP(H172,'G-1 All Habitats'!$Z$2:$AA$9,2,FALSE)))),"")</f>
        <v/>
      </c>
      <c r="J172" s="101"/>
      <c r="K172" s="295" t="str">
        <f>IF(J172="","",IF(VLOOKUP(J172,'G-3 Multipliers'!$L$3:$N$6,2,FALSE)=0,"Spatial Data Missing ⚠",VLOOKUP(J172,'G-3 Multipliers'!$L$3:$N$6,2,FALSE)))</f>
        <v/>
      </c>
      <c r="L172" s="281" t="str">
        <f>IF(J172="","",IF(VLOOKUP(J172,'G-3 Multipliers'!$L$3:$N$6,3,FALSE)=0,"Spatial Data Missing ⚠",VLOOKUP(J172,'G-3 Multipliers'!$L$3:$N$6,3,FALSE)))</f>
        <v/>
      </c>
      <c r="M172" s="275" t="str">
        <f>IF(OR(D172="",H172=""),"",(INDEX('G-6 Hedgerow Data'!$E$3:$I$15,MATCH(D172,'G-6 Hedgerow Data'!$B$3:$B$15,0),MATCH(H172,'G-6 Hedgerow Data'!$E$2:$I$2,0))))</f>
        <v/>
      </c>
      <c r="N172" s="133"/>
      <c r="O172" s="133"/>
      <c r="P172" s="283" t="str">
        <f t="shared" si="13"/>
        <v/>
      </c>
      <c r="Q172" s="296" t="str">
        <f t="shared" si="14"/>
        <v/>
      </c>
      <c r="R172" s="297" t="str">
        <f t="shared" si="12"/>
        <v/>
      </c>
      <c r="S172" s="311" t="str">
        <f>IF(D172="","",VLOOKUP(D172,'G-6 Hedgerow Data'!$B$3:$AG$15,31,FALSE))</f>
        <v/>
      </c>
      <c r="T172" s="283" t="str">
        <f t="shared" si="15"/>
        <v/>
      </c>
      <c r="U172" s="283" t="str">
        <f t="shared" si="16"/>
        <v/>
      </c>
      <c r="V172" s="299" t="str">
        <f>IF(D172="","",VLOOKUP(S172,'G-3 Multipliers'!$P$3:$Q$6,2,FALSE))</f>
        <v/>
      </c>
      <c r="W172" s="303" t="str">
        <f t="shared" si="17"/>
        <v/>
      </c>
      <c r="X172" s="101"/>
      <c r="Y172" s="115"/>
      <c r="Z172" s="104"/>
      <c r="AG172" s="30" t="str">
        <f>IFERROR(INDEX('G-6 Hedgerow Data'!$BJ$3:$BJ$15,MATCH(D172,'G-6 Hedgerow Data'!$B$3:$B$15,0)),"")</f>
        <v/>
      </c>
    </row>
    <row r="173" spans="2:33" ht="14" hidden="1">
      <c r="B173" s="97">
        <v>162</v>
      </c>
      <c r="C173" s="140"/>
      <c r="D173" s="133"/>
      <c r="E173" s="115"/>
      <c r="F173" s="323" t="str">
        <f>IF(D173="","",VLOOKUP(D173,'G-6 Hedgerow Data'!$B$2:$AG$15,2,FALSE))</f>
        <v/>
      </c>
      <c r="G173" s="276" t="str">
        <f>IF(D173="","",VLOOKUP(D173,'G-6 Hedgerow Data'!$B$2:$AG$15,3,FALSE))</f>
        <v/>
      </c>
      <c r="H173" s="101"/>
      <c r="I173" s="276" t="str">
        <f>IFERROR(IF(H173="","",IF(AND(D173="Non-native and ornamental hedgerow",H173&lt;&gt;"Poor"),"Not possible ▲",(VLOOKUP(H173,'G-1 All Habitats'!$Z$2:$AA$9,2,FALSE)))),"")</f>
        <v/>
      </c>
      <c r="J173" s="101"/>
      <c r="K173" s="295" t="str">
        <f>IF(J173="","",IF(VLOOKUP(J173,'G-3 Multipliers'!$L$3:$N$6,2,FALSE)=0,"Spatial Data Missing ⚠",VLOOKUP(J173,'G-3 Multipliers'!$L$3:$N$6,2,FALSE)))</f>
        <v/>
      </c>
      <c r="L173" s="281" t="str">
        <f>IF(J173="","",IF(VLOOKUP(J173,'G-3 Multipliers'!$L$3:$N$6,3,FALSE)=0,"Spatial Data Missing ⚠",VLOOKUP(J173,'G-3 Multipliers'!$L$3:$N$6,3,FALSE)))</f>
        <v/>
      </c>
      <c r="M173" s="275" t="str">
        <f>IF(OR(D173="",H173=""),"",(INDEX('G-6 Hedgerow Data'!$E$3:$I$15,MATCH(D173,'G-6 Hedgerow Data'!$B$3:$B$15,0),MATCH(H173,'G-6 Hedgerow Data'!$E$2:$I$2,0))))</f>
        <v/>
      </c>
      <c r="N173" s="133"/>
      <c r="O173" s="133"/>
      <c r="P173" s="283" t="str">
        <f t="shared" si="13"/>
        <v/>
      </c>
      <c r="Q173" s="296" t="str">
        <f t="shared" si="14"/>
        <v/>
      </c>
      <c r="R173" s="297" t="str">
        <f t="shared" si="12"/>
        <v/>
      </c>
      <c r="S173" s="311" t="str">
        <f>IF(D173="","",VLOOKUP(D173,'G-6 Hedgerow Data'!$B$3:$AG$15,31,FALSE))</f>
        <v/>
      </c>
      <c r="T173" s="283" t="str">
        <f t="shared" si="15"/>
        <v/>
      </c>
      <c r="U173" s="283" t="str">
        <f t="shared" si="16"/>
        <v/>
      </c>
      <c r="V173" s="299" t="str">
        <f>IF(D173="","",VLOOKUP(S173,'G-3 Multipliers'!$P$3:$Q$6,2,FALSE))</f>
        <v/>
      </c>
      <c r="W173" s="303" t="str">
        <f t="shared" si="17"/>
        <v/>
      </c>
      <c r="X173" s="101"/>
      <c r="Y173" s="115"/>
      <c r="Z173" s="104"/>
      <c r="AG173" s="30" t="str">
        <f>IFERROR(INDEX('G-6 Hedgerow Data'!$BJ$3:$BJ$15,MATCH(D173,'G-6 Hedgerow Data'!$B$3:$B$15,0)),"")</f>
        <v/>
      </c>
    </row>
    <row r="174" spans="2:33" ht="14" hidden="1">
      <c r="B174" s="97">
        <v>163</v>
      </c>
      <c r="C174" s="140"/>
      <c r="D174" s="133"/>
      <c r="E174" s="115"/>
      <c r="F174" s="323" t="str">
        <f>IF(D174="","",VLOOKUP(D174,'G-6 Hedgerow Data'!$B$2:$AG$15,2,FALSE))</f>
        <v/>
      </c>
      <c r="G174" s="276" t="str">
        <f>IF(D174="","",VLOOKUP(D174,'G-6 Hedgerow Data'!$B$2:$AG$15,3,FALSE))</f>
        <v/>
      </c>
      <c r="H174" s="101"/>
      <c r="I174" s="276" t="str">
        <f>IFERROR(IF(H174="","",IF(AND(D174="Non-native and ornamental hedgerow",H174&lt;&gt;"Poor"),"Not possible ▲",(VLOOKUP(H174,'G-1 All Habitats'!$Z$2:$AA$9,2,FALSE)))),"")</f>
        <v/>
      </c>
      <c r="J174" s="101"/>
      <c r="K174" s="295" t="str">
        <f>IF(J174="","",IF(VLOOKUP(J174,'G-3 Multipliers'!$L$3:$N$6,2,FALSE)=0,"Spatial Data Missing ⚠",VLOOKUP(J174,'G-3 Multipliers'!$L$3:$N$6,2,FALSE)))</f>
        <v/>
      </c>
      <c r="L174" s="281" t="str">
        <f>IF(J174="","",IF(VLOOKUP(J174,'G-3 Multipliers'!$L$3:$N$6,3,FALSE)=0,"Spatial Data Missing ⚠",VLOOKUP(J174,'G-3 Multipliers'!$L$3:$N$6,3,FALSE)))</f>
        <v/>
      </c>
      <c r="M174" s="275" t="str">
        <f>IF(OR(D174="",H174=""),"",(INDEX('G-6 Hedgerow Data'!$E$3:$I$15,MATCH(D174,'G-6 Hedgerow Data'!$B$3:$B$15,0),MATCH(H174,'G-6 Hedgerow Data'!$E$2:$I$2,0))))</f>
        <v/>
      </c>
      <c r="N174" s="133"/>
      <c r="O174" s="133"/>
      <c r="P174" s="283" t="str">
        <f t="shared" si="13"/>
        <v/>
      </c>
      <c r="Q174" s="296" t="str">
        <f t="shared" si="14"/>
        <v/>
      </c>
      <c r="R174" s="297" t="str">
        <f t="shared" si="12"/>
        <v/>
      </c>
      <c r="S174" s="311" t="str">
        <f>IF(D174="","",VLOOKUP(D174,'G-6 Hedgerow Data'!$B$3:$AG$15,31,FALSE))</f>
        <v/>
      </c>
      <c r="T174" s="283" t="str">
        <f t="shared" si="15"/>
        <v/>
      </c>
      <c r="U174" s="283" t="str">
        <f t="shared" si="16"/>
        <v/>
      </c>
      <c r="V174" s="299" t="str">
        <f>IF(D174="","",VLOOKUP(S174,'G-3 Multipliers'!$P$3:$Q$6,2,FALSE))</f>
        <v/>
      </c>
      <c r="W174" s="303" t="str">
        <f t="shared" si="17"/>
        <v/>
      </c>
      <c r="X174" s="101"/>
      <c r="Y174" s="115"/>
      <c r="Z174" s="104"/>
      <c r="AG174" s="30" t="str">
        <f>IFERROR(INDEX('G-6 Hedgerow Data'!$BJ$3:$BJ$15,MATCH(D174,'G-6 Hedgerow Data'!$B$3:$B$15,0)),"")</f>
        <v/>
      </c>
    </row>
    <row r="175" spans="2:33" ht="14" hidden="1">
      <c r="B175" s="97">
        <v>164</v>
      </c>
      <c r="C175" s="140"/>
      <c r="D175" s="133"/>
      <c r="E175" s="115"/>
      <c r="F175" s="323" t="str">
        <f>IF(D175="","",VLOOKUP(D175,'G-6 Hedgerow Data'!$B$2:$AG$15,2,FALSE))</f>
        <v/>
      </c>
      <c r="G175" s="276" t="str">
        <f>IF(D175="","",VLOOKUP(D175,'G-6 Hedgerow Data'!$B$2:$AG$15,3,FALSE))</f>
        <v/>
      </c>
      <c r="H175" s="101"/>
      <c r="I175" s="276" t="str">
        <f>IFERROR(IF(H175="","",IF(AND(D175="Non-native and ornamental hedgerow",H175&lt;&gt;"Poor"),"Not possible ▲",(VLOOKUP(H175,'G-1 All Habitats'!$Z$2:$AA$9,2,FALSE)))),"")</f>
        <v/>
      </c>
      <c r="J175" s="101"/>
      <c r="K175" s="295" t="str">
        <f>IF(J175="","",IF(VLOOKUP(J175,'G-3 Multipliers'!$L$3:$N$6,2,FALSE)=0,"Spatial Data Missing ⚠",VLOOKUP(J175,'G-3 Multipliers'!$L$3:$N$6,2,FALSE)))</f>
        <v/>
      </c>
      <c r="L175" s="281" t="str">
        <f>IF(J175="","",IF(VLOOKUP(J175,'G-3 Multipliers'!$L$3:$N$6,3,FALSE)=0,"Spatial Data Missing ⚠",VLOOKUP(J175,'G-3 Multipliers'!$L$3:$N$6,3,FALSE)))</f>
        <v/>
      </c>
      <c r="M175" s="275" t="str">
        <f>IF(OR(D175="",H175=""),"",(INDEX('G-6 Hedgerow Data'!$E$3:$I$15,MATCH(D175,'G-6 Hedgerow Data'!$B$3:$B$15,0),MATCH(H175,'G-6 Hedgerow Data'!$E$2:$I$2,0))))</f>
        <v/>
      </c>
      <c r="N175" s="133"/>
      <c r="O175" s="133"/>
      <c r="P175" s="283" t="str">
        <f t="shared" si="13"/>
        <v/>
      </c>
      <c r="Q175" s="296" t="str">
        <f t="shared" si="14"/>
        <v/>
      </c>
      <c r="R175" s="297" t="str">
        <f t="shared" si="12"/>
        <v/>
      </c>
      <c r="S175" s="311" t="str">
        <f>IF(D175="","",VLOOKUP(D175,'G-6 Hedgerow Data'!$B$3:$AG$15,31,FALSE))</f>
        <v/>
      </c>
      <c r="T175" s="283" t="str">
        <f t="shared" si="15"/>
        <v/>
      </c>
      <c r="U175" s="283" t="str">
        <f t="shared" si="16"/>
        <v/>
      </c>
      <c r="V175" s="299" t="str">
        <f>IF(D175="","",VLOOKUP(S175,'G-3 Multipliers'!$P$3:$Q$6,2,FALSE))</f>
        <v/>
      </c>
      <c r="W175" s="303" t="str">
        <f t="shared" si="17"/>
        <v/>
      </c>
      <c r="X175" s="101"/>
      <c r="Y175" s="115"/>
      <c r="Z175" s="104"/>
      <c r="AG175" s="30" t="str">
        <f>IFERROR(INDEX('G-6 Hedgerow Data'!$BJ$3:$BJ$15,MATCH(D175,'G-6 Hedgerow Data'!$B$3:$B$15,0)),"")</f>
        <v/>
      </c>
    </row>
    <row r="176" spans="2:33" ht="14" hidden="1">
      <c r="B176" s="97">
        <v>165</v>
      </c>
      <c r="C176" s="140"/>
      <c r="D176" s="133"/>
      <c r="E176" s="115"/>
      <c r="F176" s="323" t="str">
        <f>IF(D176="","",VLOOKUP(D176,'G-6 Hedgerow Data'!$B$2:$AG$15,2,FALSE))</f>
        <v/>
      </c>
      <c r="G176" s="276" t="str">
        <f>IF(D176="","",VLOOKUP(D176,'G-6 Hedgerow Data'!$B$2:$AG$15,3,FALSE))</f>
        <v/>
      </c>
      <c r="H176" s="101"/>
      <c r="I176" s="276" t="str">
        <f>IFERROR(IF(H176="","",IF(AND(D176="Non-native and ornamental hedgerow",H176&lt;&gt;"Poor"),"Not possible ▲",(VLOOKUP(H176,'G-1 All Habitats'!$Z$2:$AA$9,2,FALSE)))),"")</f>
        <v/>
      </c>
      <c r="J176" s="101"/>
      <c r="K176" s="295" t="str">
        <f>IF(J176="","",IF(VLOOKUP(J176,'G-3 Multipliers'!$L$3:$N$6,2,FALSE)=0,"Spatial Data Missing ⚠",VLOOKUP(J176,'G-3 Multipliers'!$L$3:$N$6,2,FALSE)))</f>
        <v/>
      </c>
      <c r="L176" s="281" t="str">
        <f>IF(J176="","",IF(VLOOKUP(J176,'G-3 Multipliers'!$L$3:$N$6,3,FALSE)=0,"Spatial Data Missing ⚠",VLOOKUP(J176,'G-3 Multipliers'!$L$3:$N$6,3,FALSE)))</f>
        <v/>
      </c>
      <c r="M176" s="275" t="str">
        <f>IF(OR(D176="",H176=""),"",(INDEX('G-6 Hedgerow Data'!$E$3:$I$15,MATCH(D176,'G-6 Hedgerow Data'!$B$3:$B$15,0),MATCH(H176,'G-6 Hedgerow Data'!$E$2:$I$2,0))))</f>
        <v/>
      </c>
      <c r="N176" s="133"/>
      <c r="O176" s="133"/>
      <c r="P176" s="283" t="str">
        <f t="shared" si="13"/>
        <v/>
      </c>
      <c r="Q176" s="296" t="str">
        <f t="shared" si="14"/>
        <v/>
      </c>
      <c r="R176" s="297" t="str">
        <f t="shared" si="12"/>
        <v/>
      </c>
      <c r="S176" s="311" t="str">
        <f>IF(D176="","",VLOOKUP(D176,'G-6 Hedgerow Data'!$B$3:$AG$15,31,FALSE))</f>
        <v/>
      </c>
      <c r="T176" s="283" t="str">
        <f t="shared" si="15"/>
        <v/>
      </c>
      <c r="U176" s="283" t="str">
        <f t="shared" si="16"/>
        <v/>
      </c>
      <c r="V176" s="299" t="str">
        <f>IF(D176="","",VLOOKUP(S176,'G-3 Multipliers'!$P$3:$Q$6,2,FALSE))</f>
        <v/>
      </c>
      <c r="W176" s="303" t="str">
        <f t="shared" si="17"/>
        <v/>
      </c>
      <c r="X176" s="101"/>
      <c r="Y176" s="115"/>
      <c r="Z176" s="104"/>
      <c r="AG176" s="30" t="str">
        <f>IFERROR(INDEX('G-6 Hedgerow Data'!$BJ$3:$BJ$15,MATCH(D176,'G-6 Hedgerow Data'!$B$3:$B$15,0)),"")</f>
        <v/>
      </c>
    </row>
    <row r="177" spans="2:33" ht="14" hidden="1">
      <c r="B177" s="97">
        <v>166</v>
      </c>
      <c r="C177" s="140"/>
      <c r="D177" s="133"/>
      <c r="E177" s="115"/>
      <c r="F177" s="323" t="str">
        <f>IF(D177="","",VLOOKUP(D177,'G-6 Hedgerow Data'!$B$2:$AG$15,2,FALSE))</f>
        <v/>
      </c>
      <c r="G177" s="276" t="str">
        <f>IF(D177="","",VLOOKUP(D177,'G-6 Hedgerow Data'!$B$2:$AG$15,3,FALSE))</f>
        <v/>
      </c>
      <c r="H177" s="101"/>
      <c r="I177" s="276" t="str">
        <f>IFERROR(IF(H177="","",IF(AND(D177="Non-native and ornamental hedgerow",H177&lt;&gt;"Poor"),"Not possible ▲",(VLOOKUP(H177,'G-1 All Habitats'!$Z$2:$AA$9,2,FALSE)))),"")</f>
        <v/>
      </c>
      <c r="J177" s="101"/>
      <c r="K177" s="295" t="str">
        <f>IF(J177="","",IF(VLOOKUP(J177,'G-3 Multipliers'!$L$3:$N$6,2,FALSE)=0,"Spatial Data Missing ⚠",VLOOKUP(J177,'G-3 Multipliers'!$L$3:$N$6,2,FALSE)))</f>
        <v/>
      </c>
      <c r="L177" s="281" t="str">
        <f>IF(J177="","",IF(VLOOKUP(J177,'G-3 Multipliers'!$L$3:$N$6,3,FALSE)=0,"Spatial Data Missing ⚠",VLOOKUP(J177,'G-3 Multipliers'!$L$3:$N$6,3,FALSE)))</f>
        <v/>
      </c>
      <c r="M177" s="275" t="str">
        <f>IF(OR(D177="",H177=""),"",(INDEX('G-6 Hedgerow Data'!$E$3:$I$15,MATCH(D177,'G-6 Hedgerow Data'!$B$3:$B$15,0),MATCH(H177,'G-6 Hedgerow Data'!$E$2:$I$2,0))))</f>
        <v/>
      </c>
      <c r="N177" s="133"/>
      <c r="O177" s="133"/>
      <c r="P177" s="283" t="str">
        <f t="shared" si="13"/>
        <v/>
      </c>
      <c r="Q177" s="296" t="str">
        <f t="shared" si="14"/>
        <v/>
      </c>
      <c r="R177" s="297" t="str">
        <f t="shared" si="12"/>
        <v/>
      </c>
      <c r="S177" s="311" t="str">
        <f>IF(D177="","",VLOOKUP(D177,'G-6 Hedgerow Data'!$B$3:$AG$15,31,FALSE))</f>
        <v/>
      </c>
      <c r="T177" s="283" t="str">
        <f t="shared" si="15"/>
        <v/>
      </c>
      <c r="U177" s="283" t="str">
        <f t="shared" si="16"/>
        <v/>
      </c>
      <c r="V177" s="299" t="str">
        <f>IF(D177="","",VLOOKUP(S177,'G-3 Multipliers'!$P$3:$Q$6,2,FALSE))</f>
        <v/>
      </c>
      <c r="W177" s="303" t="str">
        <f t="shared" si="17"/>
        <v/>
      </c>
      <c r="X177" s="101"/>
      <c r="Y177" s="115"/>
      <c r="Z177" s="104"/>
      <c r="AG177" s="30" t="str">
        <f>IFERROR(INDEX('G-6 Hedgerow Data'!$BJ$3:$BJ$15,MATCH(D177,'G-6 Hedgerow Data'!$B$3:$B$15,0)),"")</f>
        <v/>
      </c>
    </row>
    <row r="178" spans="2:33" ht="14" hidden="1">
      <c r="B178" s="97">
        <v>167</v>
      </c>
      <c r="C178" s="140"/>
      <c r="D178" s="133"/>
      <c r="E178" s="115"/>
      <c r="F178" s="323" t="str">
        <f>IF(D178="","",VLOOKUP(D178,'G-6 Hedgerow Data'!$B$2:$AG$15,2,FALSE))</f>
        <v/>
      </c>
      <c r="G178" s="276" t="str">
        <f>IF(D178="","",VLOOKUP(D178,'G-6 Hedgerow Data'!$B$2:$AG$15,3,FALSE))</f>
        <v/>
      </c>
      <c r="H178" s="101"/>
      <c r="I178" s="276" t="str">
        <f>IFERROR(IF(H178="","",IF(AND(D178="Non-native and ornamental hedgerow",H178&lt;&gt;"Poor"),"Not possible ▲",(VLOOKUP(H178,'G-1 All Habitats'!$Z$2:$AA$9,2,FALSE)))),"")</f>
        <v/>
      </c>
      <c r="J178" s="101"/>
      <c r="K178" s="295" t="str">
        <f>IF(J178="","",IF(VLOOKUP(J178,'G-3 Multipliers'!$L$3:$N$6,2,FALSE)=0,"Spatial Data Missing ⚠",VLOOKUP(J178,'G-3 Multipliers'!$L$3:$N$6,2,FALSE)))</f>
        <v/>
      </c>
      <c r="L178" s="281" t="str">
        <f>IF(J178="","",IF(VLOOKUP(J178,'G-3 Multipliers'!$L$3:$N$6,3,FALSE)=0,"Spatial Data Missing ⚠",VLOOKUP(J178,'G-3 Multipliers'!$L$3:$N$6,3,FALSE)))</f>
        <v/>
      </c>
      <c r="M178" s="275" t="str">
        <f>IF(OR(D178="",H178=""),"",(INDEX('G-6 Hedgerow Data'!$E$3:$I$15,MATCH(D178,'G-6 Hedgerow Data'!$B$3:$B$15,0),MATCH(H178,'G-6 Hedgerow Data'!$E$2:$I$2,0))))</f>
        <v/>
      </c>
      <c r="N178" s="133"/>
      <c r="O178" s="133"/>
      <c r="P178" s="283" t="str">
        <f t="shared" si="13"/>
        <v/>
      </c>
      <c r="Q178" s="296" t="str">
        <f t="shared" si="14"/>
        <v/>
      </c>
      <c r="R178" s="297" t="str">
        <f t="shared" si="12"/>
        <v/>
      </c>
      <c r="S178" s="311" t="str">
        <f>IF(D178="","",VLOOKUP(D178,'G-6 Hedgerow Data'!$B$3:$AG$15,31,FALSE))</f>
        <v/>
      </c>
      <c r="T178" s="283" t="str">
        <f t="shared" si="15"/>
        <v/>
      </c>
      <c r="U178" s="283" t="str">
        <f t="shared" si="16"/>
        <v/>
      </c>
      <c r="V178" s="299" t="str">
        <f>IF(D178="","",VLOOKUP(S178,'G-3 Multipliers'!$P$3:$Q$6,2,FALSE))</f>
        <v/>
      </c>
      <c r="W178" s="303" t="str">
        <f t="shared" si="17"/>
        <v/>
      </c>
      <c r="X178" s="101"/>
      <c r="Y178" s="115"/>
      <c r="Z178" s="104"/>
      <c r="AG178" s="30" t="str">
        <f>IFERROR(INDEX('G-6 Hedgerow Data'!$BJ$3:$BJ$15,MATCH(D178,'G-6 Hedgerow Data'!$B$3:$B$15,0)),"")</f>
        <v/>
      </c>
    </row>
    <row r="179" spans="2:33" ht="14" hidden="1">
      <c r="B179" s="97">
        <v>168</v>
      </c>
      <c r="C179" s="140"/>
      <c r="D179" s="133"/>
      <c r="E179" s="115"/>
      <c r="F179" s="323" t="str">
        <f>IF(D179="","",VLOOKUP(D179,'G-6 Hedgerow Data'!$B$2:$AG$15,2,FALSE))</f>
        <v/>
      </c>
      <c r="G179" s="276" t="str">
        <f>IF(D179="","",VLOOKUP(D179,'G-6 Hedgerow Data'!$B$2:$AG$15,3,FALSE))</f>
        <v/>
      </c>
      <c r="H179" s="101"/>
      <c r="I179" s="276" t="str">
        <f>IFERROR(IF(H179="","",IF(AND(D179="Non-native and ornamental hedgerow",H179&lt;&gt;"Poor"),"Not possible ▲",(VLOOKUP(H179,'G-1 All Habitats'!$Z$2:$AA$9,2,FALSE)))),"")</f>
        <v/>
      </c>
      <c r="J179" s="101"/>
      <c r="K179" s="295" t="str">
        <f>IF(J179="","",IF(VLOOKUP(J179,'G-3 Multipliers'!$L$3:$N$6,2,FALSE)=0,"Spatial Data Missing ⚠",VLOOKUP(J179,'G-3 Multipliers'!$L$3:$N$6,2,FALSE)))</f>
        <v/>
      </c>
      <c r="L179" s="281" t="str">
        <f>IF(J179="","",IF(VLOOKUP(J179,'G-3 Multipliers'!$L$3:$N$6,3,FALSE)=0,"Spatial Data Missing ⚠",VLOOKUP(J179,'G-3 Multipliers'!$L$3:$N$6,3,FALSE)))</f>
        <v/>
      </c>
      <c r="M179" s="275" t="str">
        <f>IF(OR(D179="",H179=""),"",(INDEX('G-6 Hedgerow Data'!$E$3:$I$15,MATCH(D179,'G-6 Hedgerow Data'!$B$3:$B$15,0),MATCH(H179,'G-6 Hedgerow Data'!$E$2:$I$2,0))))</f>
        <v/>
      </c>
      <c r="N179" s="133"/>
      <c r="O179" s="133"/>
      <c r="P179" s="283" t="str">
        <f t="shared" si="13"/>
        <v/>
      </c>
      <c r="Q179" s="296" t="str">
        <f t="shared" si="14"/>
        <v/>
      </c>
      <c r="R179" s="297" t="str">
        <f t="shared" si="12"/>
        <v/>
      </c>
      <c r="S179" s="311" t="str">
        <f>IF(D179="","",VLOOKUP(D179,'G-6 Hedgerow Data'!$B$3:$AG$15,31,FALSE))</f>
        <v/>
      </c>
      <c r="T179" s="283" t="str">
        <f t="shared" si="15"/>
        <v/>
      </c>
      <c r="U179" s="283" t="str">
        <f t="shared" si="16"/>
        <v/>
      </c>
      <c r="V179" s="299" t="str">
        <f>IF(D179="","",VLOOKUP(S179,'G-3 Multipliers'!$P$3:$Q$6,2,FALSE))</f>
        <v/>
      </c>
      <c r="W179" s="303" t="str">
        <f t="shared" si="17"/>
        <v/>
      </c>
      <c r="X179" s="101"/>
      <c r="Y179" s="115"/>
      <c r="Z179" s="104"/>
      <c r="AG179" s="30" t="str">
        <f>IFERROR(INDEX('G-6 Hedgerow Data'!$BJ$3:$BJ$15,MATCH(D179,'G-6 Hedgerow Data'!$B$3:$B$15,0)),"")</f>
        <v/>
      </c>
    </row>
    <row r="180" spans="2:33" ht="14" hidden="1">
      <c r="B180" s="97">
        <v>169</v>
      </c>
      <c r="C180" s="140"/>
      <c r="D180" s="133"/>
      <c r="E180" s="115"/>
      <c r="F180" s="323" t="str">
        <f>IF(D180="","",VLOOKUP(D180,'G-6 Hedgerow Data'!$B$2:$AG$15,2,FALSE))</f>
        <v/>
      </c>
      <c r="G180" s="276" t="str">
        <f>IF(D180="","",VLOOKUP(D180,'G-6 Hedgerow Data'!$B$2:$AG$15,3,FALSE))</f>
        <v/>
      </c>
      <c r="H180" s="101"/>
      <c r="I180" s="276" t="str">
        <f>IFERROR(IF(H180="","",IF(AND(D180="Non-native and ornamental hedgerow",H180&lt;&gt;"Poor"),"Not possible ▲",(VLOOKUP(H180,'G-1 All Habitats'!$Z$2:$AA$9,2,FALSE)))),"")</f>
        <v/>
      </c>
      <c r="J180" s="101"/>
      <c r="K180" s="295" t="str">
        <f>IF(J180="","",IF(VLOOKUP(J180,'G-3 Multipliers'!$L$3:$N$6,2,FALSE)=0,"Spatial Data Missing ⚠",VLOOKUP(J180,'G-3 Multipliers'!$L$3:$N$6,2,FALSE)))</f>
        <v/>
      </c>
      <c r="L180" s="281" t="str">
        <f>IF(J180="","",IF(VLOOKUP(J180,'G-3 Multipliers'!$L$3:$N$6,3,FALSE)=0,"Spatial Data Missing ⚠",VLOOKUP(J180,'G-3 Multipliers'!$L$3:$N$6,3,FALSE)))</f>
        <v/>
      </c>
      <c r="M180" s="275" t="str">
        <f>IF(OR(D180="",H180=""),"",(INDEX('G-6 Hedgerow Data'!$E$3:$I$15,MATCH(D180,'G-6 Hedgerow Data'!$B$3:$B$15,0),MATCH(H180,'G-6 Hedgerow Data'!$E$2:$I$2,0))))</f>
        <v/>
      </c>
      <c r="N180" s="133"/>
      <c r="O180" s="133"/>
      <c r="P180" s="283" t="str">
        <f t="shared" si="13"/>
        <v/>
      </c>
      <c r="Q180" s="296" t="str">
        <f t="shared" si="14"/>
        <v/>
      </c>
      <c r="R180" s="297" t="str">
        <f t="shared" si="12"/>
        <v/>
      </c>
      <c r="S180" s="311" t="str">
        <f>IF(D180="","",VLOOKUP(D180,'G-6 Hedgerow Data'!$B$3:$AG$15,31,FALSE))</f>
        <v/>
      </c>
      <c r="T180" s="283" t="str">
        <f t="shared" si="15"/>
        <v/>
      </c>
      <c r="U180" s="283" t="str">
        <f t="shared" si="16"/>
        <v/>
      </c>
      <c r="V180" s="299" t="str">
        <f>IF(D180="","",VLOOKUP(S180,'G-3 Multipliers'!$P$3:$Q$6,2,FALSE))</f>
        <v/>
      </c>
      <c r="W180" s="303" t="str">
        <f t="shared" si="17"/>
        <v/>
      </c>
      <c r="X180" s="101"/>
      <c r="Y180" s="115"/>
      <c r="Z180" s="104"/>
      <c r="AG180" s="30" t="str">
        <f>IFERROR(INDEX('G-6 Hedgerow Data'!$BJ$3:$BJ$15,MATCH(D180,'G-6 Hedgerow Data'!$B$3:$B$15,0)),"")</f>
        <v/>
      </c>
    </row>
    <row r="181" spans="2:33" ht="14" hidden="1">
      <c r="B181" s="97">
        <v>170</v>
      </c>
      <c r="C181" s="140"/>
      <c r="D181" s="133"/>
      <c r="E181" s="115"/>
      <c r="F181" s="323" t="str">
        <f>IF(D181="","",VLOOKUP(D181,'G-6 Hedgerow Data'!$B$2:$AG$15,2,FALSE))</f>
        <v/>
      </c>
      <c r="G181" s="276" t="str">
        <f>IF(D181="","",VLOOKUP(D181,'G-6 Hedgerow Data'!$B$2:$AG$15,3,FALSE))</f>
        <v/>
      </c>
      <c r="H181" s="101"/>
      <c r="I181" s="276" t="str">
        <f>IFERROR(IF(H181="","",IF(AND(D181="Non-native and ornamental hedgerow",H181&lt;&gt;"Poor"),"Not possible ▲",(VLOOKUP(H181,'G-1 All Habitats'!$Z$2:$AA$9,2,FALSE)))),"")</f>
        <v/>
      </c>
      <c r="J181" s="101"/>
      <c r="K181" s="295" t="str">
        <f>IF(J181="","",IF(VLOOKUP(J181,'G-3 Multipliers'!$L$3:$N$6,2,FALSE)=0,"Spatial Data Missing ⚠",VLOOKUP(J181,'G-3 Multipliers'!$L$3:$N$6,2,FALSE)))</f>
        <v/>
      </c>
      <c r="L181" s="281" t="str">
        <f>IF(J181="","",IF(VLOOKUP(J181,'G-3 Multipliers'!$L$3:$N$6,3,FALSE)=0,"Spatial Data Missing ⚠",VLOOKUP(J181,'G-3 Multipliers'!$L$3:$N$6,3,FALSE)))</f>
        <v/>
      </c>
      <c r="M181" s="275" t="str">
        <f>IF(OR(D181="",H181=""),"",(INDEX('G-6 Hedgerow Data'!$E$3:$I$15,MATCH(D181,'G-6 Hedgerow Data'!$B$3:$B$15,0),MATCH(H181,'G-6 Hedgerow Data'!$E$2:$I$2,0))))</f>
        <v/>
      </c>
      <c r="N181" s="133"/>
      <c r="O181" s="133"/>
      <c r="P181" s="283" t="str">
        <f t="shared" si="13"/>
        <v/>
      </c>
      <c r="Q181" s="296" t="str">
        <f t="shared" si="14"/>
        <v/>
      </c>
      <c r="R181" s="297" t="str">
        <f t="shared" si="12"/>
        <v/>
      </c>
      <c r="S181" s="311" t="str">
        <f>IF(D181="","",VLOOKUP(D181,'G-6 Hedgerow Data'!$B$3:$AG$15,31,FALSE))</f>
        <v/>
      </c>
      <c r="T181" s="283" t="str">
        <f t="shared" si="15"/>
        <v/>
      </c>
      <c r="U181" s="283" t="str">
        <f t="shared" si="16"/>
        <v/>
      </c>
      <c r="V181" s="299" t="str">
        <f>IF(D181="","",VLOOKUP(S181,'G-3 Multipliers'!$P$3:$Q$6,2,FALSE))</f>
        <v/>
      </c>
      <c r="W181" s="303" t="str">
        <f t="shared" si="17"/>
        <v/>
      </c>
      <c r="X181" s="101"/>
      <c r="Y181" s="115"/>
      <c r="Z181" s="104"/>
      <c r="AG181" s="30" t="str">
        <f>IFERROR(INDEX('G-6 Hedgerow Data'!$BJ$3:$BJ$15,MATCH(D181,'G-6 Hedgerow Data'!$B$3:$B$15,0)),"")</f>
        <v/>
      </c>
    </row>
    <row r="182" spans="2:33" ht="14" hidden="1">
      <c r="B182" s="97">
        <v>171</v>
      </c>
      <c r="C182" s="140"/>
      <c r="D182" s="133"/>
      <c r="E182" s="115"/>
      <c r="F182" s="323" t="str">
        <f>IF(D182="","",VLOOKUP(D182,'G-6 Hedgerow Data'!$B$2:$AG$15,2,FALSE))</f>
        <v/>
      </c>
      <c r="G182" s="276" t="str">
        <f>IF(D182="","",VLOOKUP(D182,'G-6 Hedgerow Data'!$B$2:$AG$15,3,FALSE))</f>
        <v/>
      </c>
      <c r="H182" s="101"/>
      <c r="I182" s="276" t="str">
        <f>IFERROR(IF(H182="","",IF(AND(D182="Non-native and ornamental hedgerow",H182&lt;&gt;"Poor"),"Not possible ▲",(VLOOKUP(H182,'G-1 All Habitats'!$Z$2:$AA$9,2,FALSE)))),"")</f>
        <v/>
      </c>
      <c r="J182" s="101"/>
      <c r="K182" s="295" t="str">
        <f>IF(J182="","",IF(VLOOKUP(J182,'G-3 Multipliers'!$L$3:$N$6,2,FALSE)=0,"Spatial Data Missing ⚠",VLOOKUP(J182,'G-3 Multipliers'!$L$3:$N$6,2,FALSE)))</f>
        <v/>
      </c>
      <c r="L182" s="281" t="str">
        <f>IF(J182="","",IF(VLOOKUP(J182,'G-3 Multipliers'!$L$3:$N$6,3,FALSE)=0,"Spatial Data Missing ⚠",VLOOKUP(J182,'G-3 Multipliers'!$L$3:$N$6,3,FALSE)))</f>
        <v/>
      </c>
      <c r="M182" s="275" t="str">
        <f>IF(OR(D182="",H182=""),"",(INDEX('G-6 Hedgerow Data'!$E$3:$I$15,MATCH(D182,'G-6 Hedgerow Data'!$B$3:$B$15,0),MATCH(H182,'G-6 Hedgerow Data'!$E$2:$I$2,0))))</f>
        <v/>
      </c>
      <c r="N182" s="133"/>
      <c r="O182" s="133"/>
      <c r="P182" s="283" t="str">
        <f t="shared" si="13"/>
        <v/>
      </c>
      <c r="Q182" s="296" t="str">
        <f t="shared" si="14"/>
        <v/>
      </c>
      <c r="R182" s="297" t="str">
        <f t="shared" si="12"/>
        <v/>
      </c>
      <c r="S182" s="311" t="str">
        <f>IF(D182="","",VLOOKUP(D182,'G-6 Hedgerow Data'!$B$3:$AG$15,31,FALSE))</f>
        <v/>
      </c>
      <c r="T182" s="283" t="str">
        <f t="shared" si="15"/>
        <v/>
      </c>
      <c r="U182" s="283" t="str">
        <f t="shared" si="16"/>
        <v/>
      </c>
      <c r="V182" s="299" t="str">
        <f>IF(D182="","",VLOOKUP(S182,'G-3 Multipliers'!$P$3:$Q$6,2,FALSE))</f>
        <v/>
      </c>
      <c r="W182" s="303" t="str">
        <f t="shared" si="17"/>
        <v/>
      </c>
      <c r="X182" s="101"/>
      <c r="Y182" s="115"/>
      <c r="Z182" s="104"/>
      <c r="AG182" s="30" t="str">
        <f>IFERROR(INDEX('G-6 Hedgerow Data'!$BJ$3:$BJ$15,MATCH(D182,'G-6 Hedgerow Data'!$B$3:$B$15,0)),"")</f>
        <v/>
      </c>
    </row>
    <row r="183" spans="2:33" ht="14" hidden="1">
      <c r="B183" s="97">
        <v>172</v>
      </c>
      <c r="C183" s="140"/>
      <c r="D183" s="133"/>
      <c r="E183" s="115"/>
      <c r="F183" s="323" t="str">
        <f>IF(D183="","",VLOOKUP(D183,'G-6 Hedgerow Data'!$B$2:$AG$15,2,FALSE))</f>
        <v/>
      </c>
      <c r="G183" s="276" t="str">
        <f>IF(D183="","",VLOOKUP(D183,'G-6 Hedgerow Data'!$B$2:$AG$15,3,FALSE))</f>
        <v/>
      </c>
      <c r="H183" s="101"/>
      <c r="I183" s="276" t="str">
        <f>IFERROR(IF(H183="","",IF(AND(D183="Non-native and ornamental hedgerow",H183&lt;&gt;"Poor"),"Not possible ▲",(VLOOKUP(H183,'G-1 All Habitats'!$Z$2:$AA$9,2,FALSE)))),"")</f>
        <v/>
      </c>
      <c r="J183" s="101"/>
      <c r="K183" s="295" t="str">
        <f>IF(J183="","",IF(VLOOKUP(J183,'G-3 Multipliers'!$L$3:$N$6,2,FALSE)=0,"Spatial Data Missing ⚠",VLOOKUP(J183,'G-3 Multipliers'!$L$3:$N$6,2,FALSE)))</f>
        <v/>
      </c>
      <c r="L183" s="281" t="str">
        <f>IF(J183="","",IF(VLOOKUP(J183,'G-3 Multipliers'!$L$3:$N$6,3,FALSE)=0,"Spatial Data Missing ⚠",VLOOKUP(J183,'G-3 Multipliers'!$L$3:$N$6,3,FALSE)))</f>
        <v/>
      </c>
      <c r="M183" s="275" t="str">
        <f>IF(OR(D183="",H183=""),"",(INDEX('G-6 Hedgerow Data'!$E$3:$I$15,MATCH(D183,'G-6 Hedgerow Data'!$B$3:$B$15,0),MATCH(H183,'G-6 Hedgerow Data'!$E$2:$I$2,0))))</f>
        <v/>
      </c>
      <c r="N183" s="133"/>
      <c r="O183" s="133"/>
      <c r="P183" s="283" t="str">
        <f t="shared" si="13"/>
        <v/>
      </c>
      <c r="Q183" s="296" t="str">
        <f t="shared" si="14"/>
        <v/>
      </c>
      <c r="R183" s="297" t="str">
        <f t="shared" si="12"/>
        <v/>
      </c>
      <c r="S183" s="311" t="str">
        <f>IF(D183="","",VLOOKUP(D183,'G-6 Hedgerow Data'!$B$3:$AG$15,31,FALSE))</f>
        <v/>
      </c>
      <c r="T183" s="283" t="str">
        <f t="shared" si="15"/>
        <v/>
      </c>
      <c r="U183" s="283" t="str">
        <f t="shared" si="16"/>
        <v/>
      </c>
      <c r="V183" s="299" t="str">
        <f>IF(D183="","",VLOOKUP(S183,'G-3 Multipliers'!$P$3:$Q$6,2,FALSE))</f>
        <v/>
      </c>
      <c r="W183" s="303" t="str">
        <f t="shared" si="17"/>
        <v/>
      </c>
      <c r="X183" s="101"/>
      <c r="Y183" s="115"/>
      <c r="Z183" s="104"/>
      <c r="AG183" s="30" t="str">
        <f>IFERROR(INDEX('G-6 Hedgerow Data'!$BJ$3:$BJ$15,MATCH(D183,'G-6 Hedgerow Data'!$B$3:$B$15,0)),"")</f>
        <v/>
      </c>
    </row>
    <row r="184" spans="2:33" ht="14" hidden="1">
      <c r="B184" s="97">
        <v>173</v>
      </c>
      <c r="C184" s="140"/>
      <c r="D184" s="133"/>
      <c r="E184" s="115"/>
      <c r="F184" s="323" t="str">
        <f>IF(D184="","",VLOOKUP(D184,'G-6 Hedgerow Data'!$B$2:$AG$15,2,FALSE))</f>
        <v/>
      </c>
      <c r="G184" s="276" t="str">
        <f>IF(D184="","",VLOOKUP(D184,'G-6 Hedgerow Data'!$B$2:$AG$15,3,FALSE))</f>
        <v/>
      </c>
      <c r="H184" s="101"/>
      <c r="I184" s="276" t="str">
        <f>IFERROR(IF(H184="","",IF(AND(D184="Non-native and ornamental hedgerow",H184&lt;&gt;"Poor"),"Not possible ▲",(VLOOKUP(H184,'G-1 All Habitats'!$Z$2:$AA$9,2,FALSE)))),"")</f>
        <v/>
      </c>
      <c r="J184" s="101"/>
      <c r="K184" s="295" t="str">
        <f>IF(J184="","",IF(VLOOKUP(J184,'G-3 Multipliers'!$L$3:$N$6,2,FALSE)=0,"Spatial Data Missing ⚠",VLOOKUP(J184,'G-3 Multipliers'!$L$3:$N$6,2,FALSE)))</f>
        <v/>
      </c>
      <c r="L184" s="281" t="str">
        <f>IF(J184="","",IF(VLOOKUP(J184,'G-3 Multipliers'!$L$3:$N$6,3,FALSE)=0,"Spatial Data Missing ⚠",VLOOKUP(J184,'G-3 Multipliers'!$L$3:$N$6,3,FALSE)))</f>
        <v/>
      </c>
      <c r="M184" s="275" t="str">
        <f>IF(OR(D184="",H184=""),"",(INDEX('G-6 Hedgerow Data'!$E$3:$I$15,MATCH(D184,'G-6 Hedgerow Data'!$B$3:$B$15,0),MATCH(H184,'G-6 Hedgerow Data'!$E$2:$I$2,0))))</f>
        <v/>
      </c>
      <c r="N184" s="133"/>
      <c r="O184" s="133"/>
      <c r="P184" s="283" t="str">
        <f t="shared" si="13"/>
        <v/>
      </c>
      <c r="Q184" s="296" t="str">
        <f t="shared" si="14"/>
        <v/>
      </c>
      <c r="R184" s="297" t="str">
        <f t="shared" si="12"/>
        <v/>
      </c>
      <c r="S184" s="311" t="str">
        <f>IF(D184="","",VLOOKUP(D184,'G-6 Hedgerow Data'!$B$3:$AG$15,31,FALSE))</f>
        <v/>
      </c>
      <c r="T184" s="283" t="str">
        <f t="shared" si="15"/>
        <v/>
      </c>
      <c r="U184" s="283" t="str">
        <f t="shared" si="16"/>
        <v/>
      </c>
      <c r="V184" s="299" t="str">
        <f>IF(D184="","",VLOOKUP(S184,'G-3 Multipliers'!$P$3:$Q$6,2,FALSE))</f>
        <v/>
      </c>
      <c r="W184" s="303" t="str">
        <f t="shared" si="17"/>
        <v/>
      </c>
      <c r="X184" s="101"/>
      <c r="Y184" s="115"/>
      <c r="Z184" s="104"/>
      <c r="AG184" s="30" t="str">
        <f>IFERROR(INDEX('G-6 Hedgerow Data'!$BJ$3:$BJ$15,MATCH(D184,'G-6 Hedgerow Data'!$B$3:$B$15,0)),"")</f>
        <v/>
      </c>
    </row>
    <row r="185" spans="2:33" ht="14" hidden="1">
      <c r="B185" s="97">
        <v>174</v>
      </c>
      <c r="C185" s="140"/>
      <c r="D185" s="133"/>
      <c r="E185" s="115"/>
      <c r="F185" s="323" t="str">
        <f>IF(D185="","",VLOOKUP(D185,'G-6 Hedgerow Data'!$B$2:$AG$15,2,FALSE))</f>
        <v/>
      </c>
      <c r="G185" s="276" t="str">
        <f>IF(D185="","",VLOOKUP(D185,'G-6 Hedgerow Data'!$B$2:$AG$15,3,FALSE))</f>
        <v/>
      </c>
      <c r="H185" s="101"/>
      <c r="I185" s="276" t="str">
        <f>IFERROR(IF(H185="","",IF(AND(D185="Non-native and ornamental hedgerow",H185&lt;&gt;"Poor"),"Not possible ▲",(VLOOKUP(H185,'G-1 All Habitats'!$Z$2:$AA$9,2,FALSE)))),"")</f>
        <v/>
      </c>
      <c r="J185" s="101"/>
      <c r="K185" s="295" t="str">
        <f>IF(J185="","",IF(VLOOKUP(J185,'G-3 Multipliers'!$L$3:$N$6,2,FALSE)=0,"Spatial Data Missing ⚠",VLOOKUP(J185,'G-3 Multipliers'!$L$3:$N$6,2,FALSE)))</f>
        <v/>
      </c>
      <c r="L185" s="281" t="str">
        <f>IF(J185="","",IF(VLOOKUP(J185,'G-3 Multipliers'!$L$3:$N$6,3,FALSE)=0,"Spatial Data Missing ⚠",VLOOKUP(J185,'G-3 Multipliers'!$L$3:$N$6,3,FALSE)))</f>
        <v/>
      </c>
      <c r="M185" s="275" t="str">
        <f>IF(OR(D185="",H185=""),"",(INDEX('G-6 Hedgerow Data'!$E$3:$I$15,MATCH(D185,'G-6 Hedgerow Data'!$B$3:$B$15,0),MATCH(H185,'G-6 Hedgerow Data'!$E$2:$I$2,0))))</f>
        <v/>
      </c>
      <c r="N185" s="133"/>
      <c r="O185" s="133"/>
      <c r="P185" s="283" t="str">
        <f t="shared" si="13"/>
        <v/>
      </c>
      <c r="Q185" s="296" t="str">
        <f t="shared" si="14"/>
        <v/>
      </c>
      <c r="R185" s="297" t="str">
        <f t="shared" si="12"/>
        <v/>
      </c>
      <c r="S185" s="311" t="str">
        <f>IF(D185="","",VLOOKUP(D185,'G-6 Hedgerow Data'!$B$3:$AG$15,31,FALSE))</f>
        <v/>
      </c>
      <c r="T185" s="283" t="str">
        <f t="shared" si="15"/>
        <v/>
      </c>
      <c r="U185" s="283" t="str">
        <f t="shared" si="16"/>
        <v/>
      </c>
      <c r="V185" s="299" t="str">
        <f>IF(D185="","",VLOOKUP(S185,'G-3 Multipliers'!$P$3:$Q$6,2,FALSE))</f>
        <v/>
      </c>
      <c r="W185" s="303" t="str">
        <f t="shared" si="17"/>
        <v/>
      </c>
      <c r="X185" s="101"/>
      <c r="Y185" s="115"/>
      <c r="Z185" s="104"/>
      <c r="AG185" s="30" t="str">
        <f>IFERROR(INDEX('G-6 Hedgerow Data'!$BJ$3:$BJ$15,MATCH(D185,'G-6 Hedgerow Data'!$B$3:$B$15,0)),"")</f>
        <v/>
      </c>
    </row>
    <row r="186" spans="2:33" ht="14" hidden="1">
      <c r="B186" s="97">
        <v>175</v>
      </c>
      <c r="C186" s="140"/>
      <c r="D186" s="133"/>
      <c r="E186" s="115"/>
      <c r="F186" s="323" t="str">
        <f>IF(D186="","",VLOOKUP(D186,'G-6 Hedgerow Data'!$B$2:$AG$15,2,FALSE))</f>
        <v/>
      </c>
      <c r="G186" s="276" t="str">
        <f>IF(D186="","",VLOOKUP(D186,'G-6 Hedgerow Data'!$B$2:$AG$15,3,FALSE))</f>
        <v/>
      </c>
      <c r="H186" s="101"/>
      <c r="I186" s="276" t="str">
        <f>IFERROR(IF(H186="","",IF(AND(D186="Non-native and ornamental hedgerow",H186&lt;&gt;"Poor"),"Not possible ▲",(VLOOKUP(H186,'G-1 All Habitats'!$Z$2:$AA$9,2,FALSE)))),"")</f>
        <v/>
      </c>
      <c r="J186" s="101"/>
      <c r="K186" s="295" t="str">
        <f>IF(J186="","",IF(VLOOKUP(J186,'G-3 Multipliers'!$L$3:$N$6,2,FALSE)=0,"Spatial Data Missing ⚠",VLOOKUP(J186,'G-3 Multipliers'!$L$3:$N$6,2,FALSE)))</f>
        <v/>
      </c>
      <c r="L186" s="281" t="str">
        <f>IF(J186="","",IF(VLOOKUP(J186,'G-3 Multipliers'!$L$3:$N$6,3,FALSE)=0,"Spatial Data Missing ⚠",VLOOKUP(J186,'G-3 Multipliers'!$L$3:$N$6,3,FALSE)))</f>
        <v/>
      </c>
      <c r="M186" s="275" t="str">
        <f>IF(OR(D186="",H186=""),"",(INDEX('G-6 Hedgerow Data'!$E$3:$I$15,MATCH(D186,'G-6 Hedgerow Data'!$B$3:$B$15,0),MATCH(H186,'G-6 Hedgerow Data'!$E$2:$I$2,0))))</f>
        <v/>
      </c>
      <c r="N186" s="133"/>
      <c r="O186" s="133"/>
      <c r="P186" s="283" t="str">
        <f t="shared" si="13"/>
        <v/>
      </c>
      <c r="Q186" s="296" t="str">
        <f t="shared" si="14"/>
        <v/>
      </c>
      <c r="R186" s="297" t="str">
        <f t="shared" si="12"/>
        <v/>
      </c>
      <c r="S186" s="311" t="str">
        <f>IF(D186="","",VLOOKUP(D186,'G-6 Hedgerow Data'!$B$3:$AG$15,31,FALSE))</f>
        <v/>
      </c>
      <c r="T186" s="283" t="str">
        <f t="shared" si="15"/>
        <v/>
      </c>
      <c r="U186" s="283" t="str">
        <f t="shared" si="16"/>
        <v/>
      </c>
      <c r="V186" s="299" t="str">
        <f>IF(D186="","",VLOOKUP(S186,'G-3 Multipliers'!$P$3:$Q$6,2,FALSE))</f>
        <v/>
      </c>
      <c r="W186" s="303" t="str">
        <f t="shared" si="17"/>
        <v/>
      </c>
      <c r="X186" s="101"/>
      <c r="Y186" s="115"/>
      <c r="Z186" s="104"/>
      <c r="AG186" s="30" t="str">
        <f>IFERROR(INDEX('G-6 Hedgerow Data'!$BJ$3:$BJ$15,MATCH(D186,'G-6 Hedgerow Data'!$B$3:$B$15,0)),"")</f>
        <v/>
      </c>
    </row>
    <row r="187" spans="2:33" ht="14" hidden="1">
      <c r="B187" s="97">
        <v>176</v>
      </c>
      <c r="C187" s="140"/>
      <c r="D187" s="133"/>
      <c r="E187" s="115"/>
      <c r="F187" s="323" t="str">
        <f>IF(D187="","",VLOOKUP(D187,'G-6 Hedgerow Data'!$B$2:$AG$15,2,FALSE))</f>
        <v/>
      </c>
      <c r="G187" s="276" t="str">
        <f>IF(D187="","",VLOOKUP(D187,'G-6 Hedgerow Data'!$B$2:$AG$15,3,FALSE))</f>
        <v/>
      </c>
      <c r="H187" s="101"/>
      <c r="I187" s="276" t="str">
        <f>IFERROR(IF(H187="","",IF(AND(D187="Non-native and ornamental hedgerow",H187&lt;&gt;"Poor"),"Not possible ▲",(VLOOKUP(H187,'G-1 All Habitats'!$Z$2:$AA$9,2,FALSE)))),"")</f>
        <v/>
      </c>
      <c r="J187" s="101"/>
      <c r="K187" s="295" t="str">
        <f>IF(J187="","",IF(VLOOKUP(J187,'G-3 Multipliers'!$L$3:$N$6,2,FALSE)=0,"Spatial Data Missing ⚠",VLOOKUP(J187,'G-3 Multipliers'!$L$3:$N$6,2,FALSE)))</f>
        <v/>
      </c>
      <c r="L187" s="281" t="str">
        <f>IF(J187="","",IF(VLOOKUP(J187,'G-3 Multipliers'!$L$3:$N$6,3,FALSE)=0,"Spatial Data Missing ⚠",VLOOKUP(J187,'G-3 Multipliers'!$L$3:$N$6,3,FALSE)))</f>
        <v/>
      </c>
      <c r="M187" s="275" t="str">
        <f>IF(OR(D187="",H187=""),"",(INDEX('G-6 Hedgerow Data'!$E$3:$I$15,MATCH(D187,'G-6 Hedgerow Data'!$B$3:$B$15,0),MATCH(H187,'G-6 Hedgerow Data'!$E$2:$I$2,0))))</f>
        <v/>
      </c>
      <c r="N187" s="133"/>
      <c r="O187" s="133"/>
      <c r="P187" s="283" t="str">
        <f t="shared" si="13"/>
        <v/>
      </c>
      <c r="Q187" s="296" t="str">
        <f t="shared" si="14"/>
        <v/>
      </c>
      <c r="R187" s="297" t="str">
        <f t="shared" si="12"/>
        <v/>
      </c>
      <c r="S187" s="311" t="str">
        <f>IF(D187="","",VLOOKUP(D187,'G-6 Hedgerow Data'!$B$3:$AG$15,31,FALSE))</f>
        <v/>
      </c>
      <c r="T187" s="283" t="str">
        <f t="shared" si="15"/>
        <v/>
      </c>
      <c r="U187" s="283" t="str">
        <f t="shared" si="16"/>
        <v/>
      </c>
      <c r="V187" s="299" t="str">
        <f>IF(D187="","",VLOOKUP(S187,'G-3 Multipliers'!$P$3:$Q$6,2,FALSE))</f>
        <v/>
      </c>
      <c r="W187" s="303" t="str">
        <f t="shared" si="17"/>
        <v/>
      </c>
      <c r="X187" s="101"/>
      <c r="Y187" s="115"/>
      <c r="Z187" s="104"/>
      <c r="AG187" s="30" t="str">
        <f>IFERROR(INDEX('G-6 Hedgerow Data'!$BJ$3:$BJ$15,MATCH(D187,'G-6 Hedgerow Data'!$B$3:$B$15,0)),"")</f>
        <v/>
      </c>
    </row>
    <row r="188" spans="2:33" ht="14" hidden="1">
      <c r="B188" s="97">
        <v>177</v>
      </c>
      <c r="C188" s="140"/>
      <c r="D188" s="133"/>
      <c r="E188" s="115"/>
      <c r="F188" s="323" t="str">
        <f>IF(D188="","",VLOOKUP(D188,'G-6 Hedgerow Data'!$B$2:$AG$15,2,FALSE))</f>
        <v/>
      </c>
      <c r="G188" s="276" t="str">
        <f>IF(D188="","",VLOOKUP(D188,'G-6 Hedgerow Data'!$B$2:$AG$15,3,FALSE))</f>
        <v/>
      </c>
      <c r="H188" s="101"/>
      <c r="I188" s="276" t="str">
        <f>IFERROR(IF(H188="","",IF(AND(D188="Non-native and ornamental hedgerow",H188&lt;&gt;"Poor"),"Not possible ▲",(VLOOKUP(H188,'G-1 All Habitats'!$Z$2:$AA$9,2,FALSE)))),"")</f>
        <v/>
      </c>
      <c r="J188" s="101"/>
      <c r="K188" s="295" t="str">
        <f>IF(J188="","",IF(VLOOKUP(J188,'G-3 Multipliers'!$L$3:$N$6,2,FALSE)=0,"Spatial Data Missing ⚠",VLOOKUP(J188,'G-3 Multipliers'!$L$3:$N$6,2,FALSE)))</f>
        <v/>
      </c>
      <c r="L188" s="281" t="str">
        <f>IF(J188="","",IF(VLOOKUP(J188,'G-3 Multipliers'!$L$3:$N$6,3,FALSE)=0,"Spatial Data Missing ⚠",VLOOKUP(J188,'G-3 Multipliers'!$L$3:$N$6,3,FALSE)))</f>
        <v/>
      </c>
      <c r="M188" s="275" t="str">
        <f>IF(OR(D188="",H188=""),"",(INDEX('G-6 Hedgerow Data'!$E$3:$I$15,MATCH(D188,'G-6 Hedgerow Data'!$B$3:$B$15,0),MATCH(H188,'G-6 Hedgerow Data'!$E$2:$I$2,0))))</f>
        <v/>
      </c>
      <c r="N188" s="133"/>
      <c r="O188" s="133"/>
      <c r="P188" s="283" t="str">
        <f t="shared" si="13"/>
        <v/>
      </c>
      <c r="Q188" s="296" t="str">
        <f t="shared" si="14"/>
        <v/>
      </c>
      <c r="R188" s="297" t="str">
        <f t="shared" si="12"/>
        <v/>
      </c>
      <c r="S188" s="311" t="str">
        <f>IF(D188="","",VLOOKUP(D188,'G-6 Hedgerow Data'!$B$3:$AG$15,31,FALSE))</f>
        <v/>
      </c>
      <c r="T188" s="283" t="str">
        <f t="shared" si="15"/>
        <v/>
      </c>
      <c r="U188" s="283" t="str">
        <f t="shared" si="16"/>
        <v/>
      </c>
      <c r="V188" s="299" t="str">
        <f>IF(D188="","",VLOOKUP(S188,'G-3 Multipliers'!$P$3:$Q$6,2,FALSE))</f>
        <v/>
      </c>
      <c r="W188" s="303" t="str">
        <f t="shared" si="17"/>
        <v/>
      </c>
      <c r="X188" s="101"/>
      <c r="Y188" s="115"/>
      <c r="Z188" s="104"/>
      <c r="AG188" s="30" t="str">
        <f>IFERROR(INDEX('G-6 Hedgerow Data'!$BJ$3:$BJ$15,MATCH(D188,'G-6 Hedgerow Data'!$B$3:$B$15,0)),"")</f>
        <v/>
      </c>
    </row>
    <row r="189" spans="2:33" ht="14" hidden="1">
      <c r="B189" s="97">
        <v>178</v>
      </c>
      <c r="C189" s="140"/>
      <c r="D189" s="133"/>
      <c r="E189" s="115"/>
      <c r="F189" s="323" t="str">
        <f>IF(D189="","",VLOOKUP(D189,'G-6 Hedgerow Data'!$B$2:$AG$15,2,FALSE))</f>
        <v/>
      </c>
      <c r="G189" s="276" t="str">
        <f>IF(D189="","",VLOOKUP(D189,'G-6 Hedgerow Data'!$B$2:$AG$15,3,FALSE))</f>
        <v/>
      </c>
      <c r="H189" s="101"/>
      <c r="I189" s="276" t="str">
        <f>IFERROR(IF(H189="","",IF(AND(D189="Non-native and ornamental hedgerow",H189&lt;&gt;"Poor"),"Not possible ▲",(VLOOKUP(H189,'G-1 All Habitats'!$Z$2:$AA$9,2,FALSE)))),"")</f>
        <v/>
      </c>
      <c r="J189" s="101"/>
      <c r="K189" s="295" t="str">
        <f>IF(J189="","",IF(VLOOKUP(J189,'G-3 Multipliers'!$L$3:$N$6,2,FALSE)=0,"Spatial Data Missing ⚠",VLOOKUP(J189,'G-3 Multipliers'!$L$3:$N$6,2,FALSE)))</f>
        <v/>
      </c>
      <c r="L189" s="281" t="str">
        <f>IF(J189="","",IF(VLOOKUP(J189,'G-3 Multipliers'!$L$3:$N$6,3,FALSE)=0,"Spatial Data Missing ⚠",VLOOKUP(J189,'G-3 Multipliers'!$L$3:$N$6,3,FALSE)))</f>
        <v/>
      </c>
      <c r="M189" s="275" t="str">
        <f>IF(OR(D189="",H189=""),"",(INDEX('G-6 Hedgerow Data'!$E$3:$I$15,MATCH(D189,'G-6 Hedgerow Data'!$B$3:$B$15,0),MATCH(H189,'G-6 Hedgerow Data'!$E$2:$I$2,0))))</f>
        <v/>
      </c>
      <c r="N189" s="133"/>
      <c r="O189" s="133"/>
      <c r="P189" s="283" t="str">
        <f t="shared" si="13"/>
        <v/>
      </c>
      <c r="Q189" s="296" t="str">
        <f t="shared" si="14"/>
        <v/>
      </c>
      <c r="R189" s="297" t="str">
        <f t="shared" si="12"/>
        <v/>
      </c>
      <c r="S189" s="311" t="str">
        <f>IF(D189="","",VLOOKUP(D189,'G-6 Hedgerow Data'!$B$3:$AG$15,31,FALSE))</f>
        <v/>
      </c>
      <c r="T189" s="283" t="str">
        <f t="shared" si="15"/>
        <v/>
      </c>
      <c r="U189" s="283" t="str">
        <f t="shared" si="16"/>
        <v/>
      </c>
      <c r="V189" s="299" t="str">
        <f>IF(D189="","",VLOOKUP(S189,'G-3 Multipliers'!$P$3:$Q$6,2,FALSE))</f>
        <v/>
      </c>
      <c r="W189" s="303" t="str">
        <f t="shared" si="17"/>
        <v/>
      </c>
      <c r="X189" s="101"/>
      <c r="Y189" s="115"/>
      <c r="Z189" s="104"/>
      <c r="AG189" s="30" t="str">
        <f>IFERROR(INDEX('G-6 Hedgerow Data'!$BJ$3:$BJ$15,MATCH(D189,'G-6 Hedgerow Data'!$B$3:$B$15,0)),"")</f>
        <v/>
      </c>
    </row>
    <row r="190" spans="2:33" ht="14" hidden="1">
      <c r="B190" s="97">
        <v>179</v>
      </c>
      <c r="C190" s="140"/>
      <c r="D190" s="133"/>
      <c r="E190" s="115"/>
      <c r="F190" s="323" t="str">
        <f>IF(D190="","",VLOOKUP(D190,'G-6 Hedgerow Data'!$B$2:$AG$15,2,FALSE))</f>
        <v/>
      </c>
      <c r="G190" s="276" t="str">
        <f>IF(D190="","",VLOOKUP(D190,'G-6 Hedgerow Data'!$B$2:$AG$15,3,FALSE))</f>
        <v/>
      </c>
      <c r="H190" s="101"/>
      <c r="I190" s="276" t="str">
        <f>IFERROR(IF(H190="","",IF(AND(D190="Non-native and ornamental hedgerow",H190&lt;&gt;"Poor"),"Not possible ▲",(VLOOKUP(H190,'G-1 All Habitats'!$Z$2:$AA$9,2,FALSE)))),"")</f>
        <v/>
      </c>
      <c r="J190" s="101"/>
      <c r="K190" s="295" t="str">
        <f>IF(J190="","",IF(VLOOKUP(J190,'G-3 Multipliers'!$L$3:$N$6,2,FALSE)=0,"Spatial Data Missing ⚠",VLOOKUP(J190,'G-3 Multipliers'!$L$3:$N$6,2,FALSE)))</f>
        <v/>
      </c>
      <c r="L190" s="281" t="str">
        <f>IF(J190="","",IF(VLOOKUP(J190,'G-3 Multipliers'!$L$3:$N$6,3,FALSE)=0,"Spatial Data Missing ⚠",VLOOKUP(J190,'G-3 Multipliers'!$L$3:$N$6,3,FALSE)))</f>
        <v/>
      </c>
      <c r="M190" s="275" t="str">
        <f>IF(OR(D190="",H190=""),"",(INDEX('G-6 Hedgerow Data'!$E$3:$I$15,MATCH(D190,'G-6 Hedgerow Data'!$B$3:$B$15,0),MATCH(H190,'G-6 Hedgerow Data'!$E$2:$I$2,0))))</f>
        <v/>
      </c>
      <c r="N190" s="133"/>
      <c r="O190" s="133"/>
      <c r="P190" s="283" t="str">
        <f t="shared" si="13"/>
        <v/>
      </c>
      <c r="Q190" s="296" t="str">
        <f t="shared" si="14"/>
        <v/>
      </c>
      <c r="R190" s="297" t="str">
        <f t="shared" si="12"/>
        <v/>
      </c>
      <c r="S190" s="311" t="str">
        <f>IF(D190="","",VLOOKUP(D190,'G-6 Hedgerow Data'!$B$3:$AG$15,31,FALSE))</f>
        <v/>
      </c>
      <c r="T190" s="283" t="str">
        <f t="shared" si="15"/>
        <v/>
      </c>
      <c r="U190" s="283" t="str">
        <f t="shared" si="16"/>
        <v/>
      </c>
      <c r="V190" s="299" t="str">
        <f>IF(D190="","",VLOOKUP(S190,'G-3 Multipliers'!$P$3:$Q$6,2,FALSE))</f>
        <v/>
      </c>
      <c r="W190" s="303" t="str">
        <f t="shared" si="17"/>
        <v/>
      </c>
      <c r="X190" s="101"/>
      <c r="Y190" s="115"/>
      <c r="Z190" s="104"/>
      <c r="AG190" s="30" t="str">
        <f>IFERROR(INDEX('G-6 Hedgerow Data'!$BJ$3:$BJ$15,MATCH(D190,'G-6 Hedgerow Data'!$B$3:$B$15,0)),"")</f>
        <v/>
      </c>
    </row>
    <row r="191" spans="2:33" ht="14" hidden="1">
      <c r="B191" s="97">
        <v>180</v>
      </c>
      <c r="C191" s="140"/>
      <c r="D191" s="133"/>
      <c r="E191" s="115"/>
      <c r="F191" s="323" t="str">
        <f>IF(D191="","",VLOOKUP(D191,'G-6 Hedgerow Data'!$B$2:$AG$15,2,FALSE))</f>
        <v/>
      </c>
      <c r="G191" s="276" t="str">
        <f>IF(D191="","",VLOOKUP(D191,'G-6 Hedgerow Data'!$B$2:$AG$15,3,FALSE))</f>
        <v/>
      </c>
      <c r="H191" s="101"/>
      <c r="I191" s="276" t="str">
        <f>IFERROR(IF(H191="","",IF(AND(D191="Non-native and ornamental hedgerow",H191&lt;&gt;"Poor"),"Not possible ▲",(VLOOKUP(H191,'G-1 All Habitats'!$Z$2:$AA$9,2,FALSE)))),"")</f>
        <v/>
      </c>
      <c r="J191" s="101"/>
      <c r="K191" s="295" t="str">
        <f>IF(J191="","",IF(VLOOKUP(J191,'G-3 Multipliers'!$L$3:$N$6,2,FALSE)=0,"Spatial Data Missing ⚠",VLOOKUP(J191,'G-3 Multipliers'!$L$3:$N$6,2,FALSE)))</f>
        <v/>
      </c>
      <c r="L191" s="281" t="str">
        <f>IF(J191="","",IF(VLOOKUP(J191,'G-3 Multipliers'!$L$3:$N$6,3,FALSE)=0,"Spatial Data Missing ⚠",VLOOKUP(J191,'G-3 Multipliers'!$L$3:$N$6,3,FALSE)))</f>
        <v/>
      </c>
      <c r="M191" s="275" t="str">
        <f>IF(OR(D191="",H191=""),"",(INDEX('G-6 Hedgerow Data'!$E$3:$I$15,MATCH(D191,'G-6 Hedgerow Data'!$B$3:$B$15,0),MATCH(H191,'G-6 Hedgerow Data'!$E$2:$I$2,0))))</f>
        <v/>
      </c>
      <c r="N191" s="133"/>
      <c r="O191" s="133"/>
      <c r="P191" s="283" t="str">
        <f t="shared" si="13"/>
        <v/>
      </c>
      <c r="Q191" s="296" t="str">
        <f t="shared" si="14"/>
        <v/>
      </c>
      <c r="R191" s="297" t="str">
        <f t="shared" si="12"/>
        <v/>
      </c>
      <c r="S191" s="311" t="str">
        <f>IF(D191="","",VLOOKUP(D191,'G-6 Hedgerow Data'!$B$3:$AG$15,31,FALSE))</f>
        <v/>
      </c>
      <c r="T191" s="283" t="str">
        <f t="shared" si="15"/>
        <v/>
      </c>
      <c r="U191" s="283" t="str">
        <f t="shared" si="16"/>
        <v/>
      </c>
      <c r="V191" s="299" t="str">
        <f>IF(D191="","",VLOOKUP(S191,'G-3 Multipliers'!$P$3:$Q$6,2,FALSE))</f>
        <v/>
      </c>
      <c r="W191" s="303" t="str">
        <f t="shared" si="17"/>
        <v/>
      </c>
      <c r="X191" s="101"/>
      <c r="Y191" s="115"/>
      <c r="Z191" s="104"/>
      <c r="AG191" s="30" t="str">
        <f>IFERROR(INDEX('G-6 Hedgerow Data'!$BJ$3:$BJ$15,MATCH(D191,'G-6 Hedgerow Data'!$B$3:$B$15,0)),"")</f>
        <v/>
      </c>
    </row>
    <row r="192" spans="2:33" ht="14" hidden="1">
      <c r="B192" s="97">
        <v>181</v>
      </c>
      <c r="C192" s="140"/>
      <c r="D192" s="133"/>
      <c r="E192" s="115"/>
      <c r="F192" s="323" t="str">
        <f>IF(D192="","",VLOOKUP(D192,'G-6 Hedgerow Data'!$B$2:$AG$15,2,FALSE))</f>
        <v/>
      </c>
      <c r="G192" s="276" t="str">
        <f>IF(D192="","",VLOOKUP(D192,'G-6 Hedgerow Data'!$B$2:$AG$15,3,FALSE))</f>
        <v/>
      </c>
      <c r="H192" s="101"/>
      <c r="I192" s="276" t="str">
        <f>IFERROR(IF(H192="","",IF(AND(D192="Non-native and ornamental hedgerow",H192&lt;&gt;"Poor"),"Not possible ▲",(VLOOKUP(H192,'G-1 All Habitats'!$Z$2:$AA$9,2,FALSE)))),"")</f>
        <v/>
      </c>
      <c r="J192" s="101"/>
      <c r="K192" s="295" t="str">
        <f>IF(J192="","",IF(VLOOKUP(J192,'G-3 Multipliers'!$L$3:$N$6,2,FALSE)=0,"Spatial Data Missing ⚠",VLOOKUP(J192,'G-3 Multipliers'!$L$3:$N$6,2,FALSE)))</f>
        <v/>
      </c>
      <c r="L192" s="281" t="str">
        <f>IF(J192="","",IF(VLOOKUP(J192,'G-3 Multipliers'!$L$3:$N$6,3,FALSE)=0,"Spatial Data Missing ⚠",VLOOKUP(J192,'G-3 Multipliers'!$L$3:$N$6,3,FALSE)))</f>
        <v/>
      </c>
      <c r="M192" s="275" t="str">
        <f>IF(OR(D192="",H192=""),"",(INDEX('G-6 Hedgerow Data'!$E$3:$I$15,MATCH(D192,'G-6 Hedgerow Data'!$B$3:$B$15,0),MATCH(H192,'G-6 Hedgerow Data'!$E$2:$I$2,0))))</f>
        <v/>
      </c>
      <c r="N192" s="133"/>
      <c r="O192" s="133"/>
      <c r="P192" s="283" t="str">
        <f t="shared" si="13"/>
        <v/>
      </c>
      <c r="Q192" s="296" t="str">
        <f t="shared" si="14"/>
        <v/>
      </c>
      <c r="R192" s="297" t="str">
        <f t="shared" si="12"/>
        <v/>
      </c>
      <c r="S192" s="311" t="str">
        <f>IF(D192="","",VLOOKUP(D192,'G-6 Hedgerow Data'!$B$3:$AG$15,31,FALSE))</f>
        <v/>
      </c>
      <c r="T192" s="283" t="str">
        <f t="shared" si="15"/>
        <v/>
      </c>
      <c r="U192" s="283" t="str">
        <f t="shared" si="16"/>
        <v/>
      </c>
      <c r="V192" s="299" t="str">
        <f>IF(D192="","",VLOOKUP(S192,'G-3 Multipliers'!$P$3:$Q$6,2,FALSE))</f>
        <v/>
      </c>
      <c r="W192" s="303" t="str">
        <f t="shared" si="17"/>
        <v/>
      </c>
      <c r="X192" s="101"/>
      <c r="Y192" s="115"/>
      <c r="Z192" s="104"/>
      <c r="AG192" s="30" t="str">
        <f>IFERROR(INDEX('G-6 Hedgerow Data'!$BJ$3:$BJ$15,MATCH(D192,'G-6 Hedgerow Data'!$B$3:$B$15,0)),"")</f>
        <v/>
      </c>
    </row>
    <row r="193" spans="2:33" ht="14" hidden="1">
      <c r="B193" s="97">
        <v>182</v>
      </c>
      <c r="C193" s="140"/>
      <c r="D193" s="133"/>
      <c r="E193" s="115"/>
      <c r="F193" s="323" t="str">
        <f>IF(D193="","",VLOOKUP(D193,'G-6 Hedgerow Data'!$B$2:$AG$15,2,FALSE))</f>
        <v/>
      </c>
      <c r="G193" s="276" t="str">
        <f>IF(D193="","",VLOOKUP(D193,'G-6 Hedgerow Data'!$B$2:$AG$15,3,FALSE))</f>
        <v/>
      </c>
      <c r="H193" s="101"/>
      <c r="I193" s="276" t="str">
        <f>IFERROR(IF(H193="","",IF(AND(D193="Non-native and ornamental hedgerow",H193&lt;&gt;"Poor"),"Not possible ▲",(VLOOKUP(H193,'G-1 All Habitats'!$Z$2:$AA$9,2,FALSE)))),"")</f>
        <v/>
      </c>
      <c r="J193" s="101"/>
      <c r="K193" s="295" t="str">
        <f>IF(J193="","",IF(VLOOKUP(J193,'G-3 Multipliers'!$L$3:$N$6,2,FALSE)=0,"Spatial Data Missing ⚠",VLOOKUP(J193,'G-3 Multipliers'!$L$3:$N$6,2,FALSE)))</f>
        <v/>
      </c>
      <c r="L193" s="281" t="str">
        <f>IF(J193="","",IF(VLOOKUP(J193,'G-3 Multipliers'!$L$3:$N$6,3,FALSE)=0,"Spatial Data Missing ⚠",VLOOKUP(J193,'G-3 Multipliers'!$L$3:$N$6,3,FALSE)))</f>
        <v/>
      </c>
      <c r="M193" s="275" t="str">
        <f>IF(OR(D193="",H193=""),"",(INDEX('G-6 Hedgerow Data'!$E$3:$I$15,MATCH(D193,'G-6 Hedgerow Data'!$B$3:$B$15,0),MATCH(H193,'G-6 Hedgerow Data'!$E$2:$I$2,0))))</f>
        <v/>
      </c>
      <c r="N193" s="133"/>
      <c r="O193" s="133"/>
      <c r="P193" s="283" t="str">
        <f t="shared" si="13"/>
        <v/>
      </c>
      <c r="Q193" s="296" t="str">
        <f t="shared" si="14"/>
        <v/>
      </c>
      <c r="R193" s="297" t="str">
        <f t="shared" si="12"/>
        <v/>
      </c>
      <c r="S193" s="311" t="str">
        <f>IF(D193="","",VLOOKUP(D193,'G-6 Hedgerow Data'!$B$3:$AG$15,31,FALSE))</f>
        <v/>
      </c>
      <c r="T193" s="283" t="str">
        <f t="shared" si="15"/>
        <v/>
      </c>
      <c r="U193" s="283" t="str">
        <f t="shared" si="16"/>
        <v/>
      </c>
      <c r="V193" s="299" t="str">
        <f>IF(D193="","",VLOOKUP(S193,'G-3 Multipliers'!$P$3:$Q$6,2,FALSE))</f>
        <v/>
      </c>
      <c r="W193" s="303" t="str">
        <f t="shared" si="17"/>
        <v/>
      </c>
      <c r="X193" s="101"/>
      <c r="Y193" s="115"/>
      <c r="Z193" s="104"/>
      <c r="AG193" s="30" t="str">
        <f>IFERROR(INDEX('G-6 Hedgerow Data'!$BJ$3:$BJ$15,MATCH(D193,'G-6 Hedgerow Data'!$B$3:$B$15,0)),"")</f>
        <v/>
      </c>
    </row>
    <row r="194" spans="2:33" ht="14" hidden="1">
      <c r="B194" s="97">
        <v>183</v>
      </c>
      <c r="C194" s="140"/>
      <c r="D194" s="133"/>
      <c r="E194" s="115"/>
      <c r="F194" s="323" t="str">
        <f>IF(D194="","",VLOOKUP(D194,'G-6 Hedgerow Data'!$B$2:$AG$15,2,FALSE))</f>
        <v/>
      </c>
      <c r="G194" s="276" t="str">
        <f>IF(D194="","",VLOOKUP(D194,'G-6 Hedgerow Data'!$B$2:$AG$15,3,FALSE))</f>
        <v/>
      </c>
      <c r="H194" s="101"/>
      <c r="I194" s="276" t="str">
        <f>IFERROR(IF(H194="","",IF(AND(D194="Non-native and ornamental hedgerow",H194&lt;&gt;"Poor"),"Not possible ▲",(VLOOKUP(H194,'G-1 All Habitats'!$Z$2:$AA$9,2,FALSE)))),"")</f>
        <v/>
      </c>
      <c r="J194" s="101"/>
      <c r="K194" s="295" t="str">
        <f>IF(J194="","",IF(VLOOKUP(J194,'G-3 Multipliers'!$L$3:$N$6,2,FALSE)=0,"Spatial Data Missing ⚠",VLOOKUP(J194,'G-3 Multipliers'!$L$3:$N$6,2,FALSE)))</f>
        <v/>
      </c>
      <c r="L194" s="281" t="str">
        <f>IF(J194="","",IF(VLOOKUP(J194,'G-3 Multipliers'!$L$3:$N$6,3,FALSE)=0,"Spatial Data Missing ⚠",VLOOKUP(J194,'G-3 Multipliers'!$L$3:$N$6,3,FALSE)))</f>
        <v/>
      </c>
      <c r="M194" s="275" t="str">
        <f>IF(OR(D194="",H194=""),"",(INDEX('G-6 Hedgerow Data'!$E$3:$I$15,MATCH(D194,'G-6 Hedgerow Data'!$B$3:$B$15,0),MATCH(H194,'G-6 Hedgerow Data'!$E$2:$I$2,0))))</f>
        <v/>
      </c>
      <c r="N194" s="133"/>
      <c r="O194" s="133"/>
      <c r="P194" s="283" t="str">
        <f t="shared" si="13"/>
        <v/>
      </c>
      <c r="Q194" s="296" t="str">
        <f t="shared" si="14"/>
        <v/>
      </c>
      <c r="R194" s="297" t="str">
        <f t="shared" si="12"/>
        <v/>
      </c>
      <c r="S194" s="311" t="str">
        <f>IF(D194="","",VLOOKUP(D194,'G-6 Hedgerow Data'!$B$3:$AG$15,31,FALSE))</f>
        <v/>
      </c>
      <c r="T194" s="283" t="str">
        <f t="shared" si="15"/>
        <v/>
      </c>
      <c r="U194" s="283" t="str">
        <f t="shared" si="16"/>
        <v/>
      </c>
      <c r="V194" s="299" t="str">
        <f>IF(D194="","",VLOOKUP(S194,'G-3 Multipliers'!$P$3:$Q$6,2,FALSE))</f>
        <v/>
      </c>
      <c r="W194" s="303" t="str">
        <f t="shared" si="17"/>
        <v/>
      </c>
      <c r="X194" s="101"/>
      <c r="Y194" s="115"/>
      <c r="Z194" s="104"/>
      <c r="AG194" s="30" t="str">
        <f>IFERROR(INDEX('G-6 Hedgerow Data'!$BJ$3:$BJ$15,MATCH(D194,'G-6 Hedgerow Data'!$B$3:$B$15,0)),"")</f>
        <v/>
      </c>
    </row>
    <row r="195" spans="2:33" ht="14" hidden="1">
      <c r="B195" s="97">
        <v>184</v>
      </c>
      <c r="C195" s="140"/>
      <c r="D195" s="133"/>
      <c r="E195" s="115"/>
      <c r="F195" s="323" t="str">
        <f>IF(D195="","",VLOOKUP(D195,'G-6 Hedgerow Data'!$B$2:$AG$15,2,FALSE))</f>
        <v/>
      </c>
      <c r="G195" s="276" t="str">
        <f>IF(D195="","",VLOOKUP(D195,'G-6 Hedgerow Data'!$B$2:$AG$15,3,FALSE))</f>
        <v/>
      </c>
      <c r="H195" s="101"/>
      <c r="I195" s="276" t="str">
        <f>IFERROR(IF(H195="","",IF(AND(D195="Non-native and ornamental hedgerow",H195&lt;&gt;"Poor"),"Not possible ▲",(VLOOKUP(H195,'G-1 All Habitats'!$Z$2:$AA$9,2,FALSE)))),"")</f>
        <v/>
      </c>
      <c r="J195" s="101"/>
      <c r="K195" s="295" t="str">
        <f>IF(J195="","",IF(VLOOKUP(J195,'G-3 Multipliers'!$L$3:$N$6,2,FALSE)=0,"Spatial Data Missing ⚠",VLOOKUP(J195,'G-3 Multipliers'!$L$3:$N$6,2,FALSE)))</f>
        <v/>
      </c>
      <c r="L195" s="281" t="str">
        <f>IF(J195="","",IF(VLOOKUP(J195,'G-3 Multipliers'!$L$3:$N$6,3,FALSE)=0,"Spatial Data Missing ⚠",VLOOKUP(J195,'G-3 Multipliers'!$L$3:$N$6,3,FALSE)))</f>
        <v/>
      </c>
      <c r="M195" s="275" t="str">
        <f>IF(OR(D195="",H195=""),"",(INDEX('G-6 Hedgerow Data'!$E$3:$I$15,MATCH(D195,'G-6 Hedgerow Data'!$B$3:$B$15,0),MATCH(H195,'G-6 Hedgerow Data'!$E$2:$I$2,0))))</f>
        <v/>
      </c>
      <c r="N195" s="133"/>
      <c r="O195" s="133"/>
      <c r="P195" s="283" t="str">
        <f t="shared" si="13"/>
        <v/>
      </c>
      <c r="Q195" s="296" t="str">
        <f t="shared" si="14"/>
        <v/>
      </c>
      <c r="R195" s="297" t="str">
        <f t="shared" si="12"/>
        <v/>
      </c>
      <c r="S195" s="311" t="str">
        <f>IF(D195="","",VLOOKUP(D195,'G-6 Hedgerow Data'!$B$3:$AG$15,31,FALSE))</f>
        <v/>
      </c>
      <c r="T195" s="283" t="str">
        <f t="shared" si="15"/>
        <v/>
      </c>
      <c r="U195" s="283" t="str">
        <f t="shared" si="16"/>
        <v/>
      </c>
      <c r="V195" s="299" t="str">
        <f>IF(D195="","",VLOOKUP(S195,'G-3 Multipliers'!$P$3:$Q$6,2,FALSE))</f>
        <v/>
      </c>
      <c r="W195" s="303" t="str">
        <f t="shared" si="17"/>
        <v/>
      </c>
      <c r="X195" s="101"/>
      <c r="Y195" s="115"/>
      <c r="Z195" s="104"/>
      <c r="AG195" s="30" t="str">
        <f>IFERROR(INDEX('G-6 Hedgerow Data'!$BJ$3:$BJ$15,MATCH(D195,'G-6 Hedgerow Data'!$B$3:$B$15,0)),"")</f>
        <v/>
      </c>
    </row>
    <row r="196" spans="2:33" ht="14" hidden="1">
      <c r="B196" s="97">
        <v>185</v>
      </c>
      <c r="C196" s="140"/>
      <c r="D196" s="133"/>
      <c r="E196" s="115"/>
      <c r="F196" s="323" t="str">
        <f>IF(D196="","",VLOOKUP(D196,'G-6 Hedgerow Data'!$B$2:$AG$15,2,FALSE))</f>
        <v/>
      </c>
      <c r="G196" s="276" t="str">
        <f>IF(D196="","",VLOOKUP(D196,'G-6 Hedgerow Data'!$B$2:$AG$15,3,FALSE))</f>
        <v/>
      </c>
      <c r="H196" s="101"/>
      <c r="I196" s="276" t="str">
        <f>IFERROR(IF(H196="","",IF(AND(D196="Non-native and ornamental hedgerow",H196&lt;&gt;"Poor"),"Not possible ▲",(VLOOKUP(H196,'G-1 All Habitats'!$Z$2:$AA$9,2,FALSE)))),"")</f>
        <v/>
      </c>
      <c r="J196" s="101"/>
      <c r="K196" s="295" t="str">
        <f>IF(J196="","",IF(VLOOKUP(J196,'G-3 Multipliers'!$L$3:$N$6,2,FALSE)=0,"Spatial Data Missing ⚠",VLOOKUP(J196,'G-3 Multipliers'!$L$3:$N$6,2,FALSE)))</f>
        <v/>
      </c>
      <c r="L196" s="281" t="str">
        <f>IF(J196="","",IF(VLOOKUP(J196,'G-3 Multipliers'!$L$3:$N$6,3,FALSE)=0,"Spatial Data Missing ⚠",VLOOKUP(J196,'G-3 Multipliers'!$L$3:$N$6,3,FALSE)))</f>
        <v/>
      </c>
      <c r="M196" s="275" t="str">
        <f>IF(OR(D196="",H196=""),"",(INDEX('G-6 Hedgerow Data'!$E$3:$I$15,MATCH(D196,'G-6 Hedgerow Data'!$B$3:$B$15,0),MATCH(H196,'G-6 Hedgerow Data'!$E$2:$I$2,0))))</f>
        <v/>
      </c>
      <c r="N196" s="133"/>
      <c r="O196" s="133"/>
      <c r="P196" s="283" t="str">
        <f t="shared" si="13"/>
        <v/>
      </c>
      <c r="Q196" s="296" t="str">
        <f t="shared" si="14"/>
        <v/>
      </c>
      <c r="R196" s="297" t="str">
        <f t="shared" si="12"/>
        <v/>
      </c>
      <c r="S196" s="311" t="str">
        <f>IF(D196="","",VLOOKUP(D196,'G-6 Hedgerow Data'!$B$3:$AG$15,31,FALSE))</f>
        <v/>
      </c>
      <c r="T196" s="283" t="str">
        <f t="shared" si="15"/>
        <v/>
      </c>
      <c r="U196" s="283" t="str">
        <f t="shared" si="16"/>
        <v/>
      </c>
      <c r="V196" s="299" t="str">
        <f>IF(D196="","",VLOOKUP(S196,'G-3 Multipliers'!$P$3:$Q$6,2,FALSE))</f>
        <v/>
      </c>
      <c r="W196" s="303" t="str">
        <f t="shared" si="17"/>
        <v/>
      </c>
      <c r="X196" s="101"/>
      <c r="Y196" s="115"/>
      <c r="Z196" s="104"/>
      <c r="AG196" s="30" t="str">
        <f>IFERROR(INDEX('G-6 Hedgerow Data'!$BJ$3:$BJ$15,MATCH(D196,'G-6 Hedgerow Data'!$B$3:$B$15,0)),"")</f>
        <v/>
      </c>
    </row>
    <row r="197" spans="2:33" ht="14" hidden="1">
      <c r="B197" s="97">
        <v>186</v>
      </c>
      <c r="C197" s="140"/>
      <c r="D197" s="133"/>
      <c r="E197" s="115"/>
      <c r="F197" s="323" t="str">
        <f>IF(D197="","",VLOOKUP(D197,'G-6 Hedgerow Data'!$B$2:$AG$15,2,FALSE))</f>
        <v/>
      </c>
      <c r="G197" s="276" t="str">
        <f>IF(D197="","",VLOOKUP(D197,'G-6 Hedgerow Data'!$B$2:$AG$15,3,FALSE))</f>
        <v/>
      </c>
      <c r="H197" s="101"/>
      <c r="I197" s="276" t="str">
        <f>IFERROR(IF(H197="","",IF(AND(D197="Non-native and ornamental hedgerow",H197&lt;&gt;"Poor"),"Not possible ▲",(VLOOKUP(H197,'G-1 All Habitats'!$Z$2:$AA$9,2,FALSE)))),"")</f>
        <v/>
      </c>
      <c r="J197" s="101"/>
      <c r="K197" s="295" t="str">
        <f>IF(J197="","",IF(VLOOKUP(J197,'G-3 Multipliers'!$L$3:$N$6,2,FALSE)=0,"Spatial Data Missing ⚠",VLOOKUP(J197,'G-3 Multipliers'!$L$3:$N$6,2,FALSE)))</f>
        <v/>
      </c>
      <c r="L197" s="281" t="str">
        <f>IF(J197="","",IF(VLOOKUP(J197,'G-3 Multipliers'!$L$3:$N$6,3,FALSE)=0,"Spatial Data Missing ⚠",VLOOKUP(J197,'G-3 Multipliers'!$L$3:$N$6,3,FALSE)))</f>
        <v/>
      </c>
      <c r="M197" s="275" t="str">
        <f>IF(OR(D197="",H197=""),"",(INDEX('G-6 Hedgerow Data'!$E$3:$I$15,MATCH(D197,'G-6 Hedgerow Data'!$B$3:$B$15,0),MATCH(H197,'G-6 Hedgerow Data'!$E$2:$I$2,0))))</f>
        <v/>
      </c>
      <c r="N197" s="133"/>
      <c r="O197" s="133"/>
      <c r="P197" s="283" t="str">
        <f t="shared" si="13"/>
        <v/>
      </c>
      <c r="Q197" s="296" t="str">
        <f t="shared" si="14"/>
        <v/>
      </c>
      <c r="R197" s="297" t="str">
        <f t="shared" si="12"/>
        <v/>
      </c>
      <c r="S197" s="311" t="str">
        <f>IF(D197="","",VLOOKUP(D197,'G-6 Hedgerow Data'!$B$3:$AG$15,31,FALSE))</f>
        <v/>
      </c>
      <c r="T197" s="283" t="str">
        <f t="shared" si="15"/>
        <v/>
      </c>
      <c r="U197" s="283" t="str">
        <f t="shared" si="16"/>
        <v/>
      </c>
      <c r="V197" s="299" t="str">
        <f>IF(D197="","",VLOOKUP(S197,'G-3 Multipliers'!$P$3:$Q$6,2,FALSE))</f>
        <v/>
      </c>
      <c r="W197" s="303" t="str">
        <f t="shared" si="17"/>
        <v/>
      </c>
      <c r="X197" s="101"/>
      <c r="Y197" s="115"/>
      <c r="Z197" s="104"/>
      <c r="AG197" s="30" t="str">
        <f>IFERROR(INDEX('G-6 Hedgerow Data'!$BJ$3:$BJ$15,MATCH(D197,'G-6 Hedgerow Data'!$B$3:$B$15,0)),"")</f>
        <v/>
      </c>
    </row>
    <row r="198" spans="2:33" ht="14" hidden="1">
      <c r="B198" s="97">
        <v>187</v>
      </c>
      <c r="C198" s="140"/>
      <c r="D198" s="133"/>
      <c r="E198" s="115"/>
      <c r="F198" s="323" t="str">
        <f>IF(D198="","",VLOOKUP(D198,'G-6 Hedgerow Data'!$B$2:$AG$15,2,FALSE))</f>
        <v/>
      </c>
      <c r="G198" s="276" t="str">
        <f>IF(D198="","",VLOOKUP(D198,'G-6 Hedgerow Data'!$B$2:$AG$15,3,FALSE))</f>
        <v/>
      </c>
      <c r="H198" s="101"/>
      <c r="I198" s="276" t="str">
        <f>IFERROR(IF(H198="","",IF(AND(D198="Non-native and ornamental hedgerow",H198&lt;&gt;"Poor"),"Not possible ▲",(VLOOKUP(H198,'G-1 All Habitats'!$Z$2:$AA$9,2,FALSE)))),"")</f>
        <v/>
      </c>
      <c r="J198" s="101"/>
      <c r="K198" s="295" t="str">
        <f>IF(J198="","",IF(VLOOKUP(J198,'G-3 Multipliers'!$L$3:$N$6,2,FALSE)=0,"Spatial Data Missing ⚠",VLOOKUP(J198,'G-3 Multipliers'!$L$3:$N$6,2,FALSE)))</f>
        <v/>
      </c>
      <c r="L198" s="281" t="str">
        <f>IF(J198="","",IF(VLOOKUP(J198,'G-3 Multipliers'!$L$3:$N$6,3,FALSE)=0,"Spatial Data Missing ⚠",VLOOKUP(J198,'G-3 Multipliers'!$L$3:$N$6,3,FALSE)))</f>
        <v/>
      </c>
      <c r="M198" s="275" t="str">
        <f>IF(OR(D198="",H198=""),"",(INDEX('G-6 Hedgerow Data'!$E$3:$I$15,MATCH(D198,'G-6 Hedgerow Data'!$B$3:$B$15,0),MATCH(H198,'G-6 Hedgerow Data'!$E$2:$I$2,0))))</f>
        <v/>
      </c>
      <c r="N198" s="133"/>
      <c r="O198" s="133"/>
      <c r="P198" s="283" t="str">
        <f t="shared" si="13"/>
        <v/>
      </c>
      <c r="Q198" s="296" t="str">
        <f t="shared" si="14"/>
        <v/>
      </c>
      <c r="R198" s="297" t="str">
        <f t="shared" si="12"/>
        <v/>
      </c>
      <c r="S198" s="311" t="str">
        <f>IF(D198="","",VLOOKUP(D198,'G-6 Hedgerow Data'!$B$3:$AG$15,31,FALSE))</f>
        <v/>
      </c>
      <c r="T198" s="283" t="str">
        <f t="shared" si="15"/>
        <v/>
      </c>
      <c r="U198" s="283" t="str">
        <f t="shared" si="16"/>
        <v/>
      </c>
      <c r="V198" s="299" t="str">
        <f>IF(D198="","",VLOOKUP(S198,'G-3 Multipliers'!$P$3:$Q$6,2,FALSE))</f>
        <v/>
      </c>
      <c r="W198" s="303" t="str">
        <f t="shared" si="17"/>
        <v/>
      </c>
      <c r="X198" s="101"/>
      <c r="Y198" s="115"/>
      <c r="Z198" s="104"/>
      <c r="AG198" s="30" t="str">
        <f>IFERROR(INDEX('G-6 Hedgerow Data'!$BJ$3:$BJ$15,MATCH(D198,'G-6 Hedgerow Data'!$B$3:$B$15,0)),"")</f>
        <v/>
      </c>
    </row>
    <row r="199" spans="2:33" ht="14" hidden="1">
      <c r="B199" s="97">
        <v>188</v>
      </c>
      <c r="C199" s="140"/>
      <c r="D199" s="133"/>
      <c r="E199" s="115"/>
      <c r="F199" s="323" t="str">
        <f>IF(D199="","",VLOOKUP(D199,'G-6 Hedgerow Data'!$B$2:$AG$15,2,FALSE))</f>
        <v/>
      </c>
      <c r="G199" s="276" t="str">
        <f>IF(D199="","",VLOOKUP(D199,'G-6 Hedgerow Data'!$B$2:$AG$15,3,FALSE))</f>
        <v/>
      </c>
      <c r="H199" s="101"/>
      <c r="I199" s="276" t="str">
        <f>IFERROR(IF(H199="","",IF(AND(D199="Non-native and ornamental hedgerow",H199&lt;&gt;"Poor"),"Not possible ▲",(VLOOKUP(H199,'G-1 All Habitats'!$Z$2:$AA$9,2,FALSE)))),"")</f>
        <v/>
      </c>
      <c r="J199" s="101"/>
      <c r="K199" s="295" t="str">
        <f>IF(J199="","",IF(VLOOKUP(J199,'G-3 Multipliers'!$L$3:$N$6,2,FALSE)=0,"Spatial Data Missing ⚠",VLOOKUP(J199,'G-3 Multipliers'!$L$3:$N$6,2,FALSE)))</f>
        <v/>
      </c>
      <c r="L199" s="281" t="str">
        <f>IF(J199="","",IF(VLOOKUP(J199,'G-3 Multipliers'!$L$3:$N$6,3,FALSE)=0,"Spatial Data Missing ⚠",VLOOKUP(J199,'G-3 Multipliers'!$L$3:$N$6,3,FALSE)))</f>
        <v/>
      </c>
      <c r="M199" s="275" t="str">
        <f>IF(OR(D199="",H199=""),"",(INDEX('G-6 Hedgerow Data'!$E$3:$I$15,MATCH(D199,'G-6 Hedgerow Data'!$B$3:$B$15,0),MATCH(H199,'G-6 Hedgerow Data'!$E$2:$I$2,0))))</f>
        <v/>
      </c>
      <c r="N199" s="133"/>
      <c r="O199" s="133"/>
      <c r="P199" s="283" t="str">
        <f t="shared" si="13"/>
        <v/>
      </c>
      <c r="Q199" s="296" t="str">
        <f t="shared" si="14"/>
        <v/>
      </c>
      <c r="R199" s="297" t="str">
        <f t="shared" si="12"/>
        <v/>
      </c>
      <c r="S199" s="311" t="str">
        <f>IF(D199="","",VLOOKUP(D199,'G-6 Hedgerow Data'!$B$3:$AG$15,31,FALSE))</f>
        <v/>
      </c>
      <c r="T199" s="283" t="str">
        <f t="shared" si="15"/>
        <v/>
      </c>
      <c r="U199" s="283" t="str">
        <f t="shared" si="16"/>
        <v/>
      </c>
      <c r="V199" s="299" t="str">
        <f>IF(D199="","",VLOOKUP(S199,'G-3 Multipliers'!$P$3:$Q$6,2,FALSE))</f>
        <v/>
      </c>
      <c r="W199" s="303" t="str">
        <f t="shared" si="17"/>
        <v/>
      </c>
      <c r="X199" s="101"/>
      <c r="Y199" s="115"/>
      <c r="Z199" s="104"/>
      <c r="AG199" s="30" t="str">
        <f>IFERROR(INDEX('G-6 Hedgerow Data'!$BJ$3:$BJ$15,MATCH(D199,'G-6 Hedgerow Data'!$B$3:$B$15,0)),"")</f>
        <v/>
      </c>
    </row>
    <row r="200" spans="2:33" ht="14" hidden="1">
      <c r="B200" s="97">
        <v>189</v>
      </c>
      <c r="C200" s="140"/>
      <c r="D200" s="133"/>
      <c r="E200" s="115"/>
      <c r="F200" s="323" t="str">
        <f>IF(D200="","",VLOOKUP(D200,'G-6 Hedgerow Data'!$B$2:$AG$15,2,FALSE))</f>
        <v/>
      </c>
      <c r="G200" s="276" t="str">
        <f>IF(D200="","",VLOOKUP(D200,'G-6 Hedgerow Data'!$B$2:$AG$15,3,FALSE))</f>
        <v/>
      </c>
      <c r="H200" s="101"/>
      <c r="I200" s="276" t="str">
        <f>IFERROR(IF(H200="","",IF(AND(D200="Non-native and ornamental hedgerow",H200&lt;&gt;"Poor"),"Not possible ▲",(VLOOKUP(H200,'G-1 All Habitats'!$Z$2:$AA$9,2,FALSE)))),"")</f>
        <v/>
      </c>
      <c r="J200" s="101"/>
      <c r="K200" s="295" t="str">
        <f>IF(J200="","",IF(VLOOKUP(J200,'G-3 Multipliers'!$L$3:$N$6,2,FALSE)=0,"Spatial Data Missing ⚠",VLOOKUP(J200,'G-3 Multipliers'!$L$3:$N$6,2,FALSE)))</f>
        <v/>
      </c>
      <c r="L200" s="281" t="str">
        <f>IF(J200="","",IF(VLOOKUP(J200,'G-3 Multipliers'!$L$3:$N$6,3,FALSE)=0,"Spatial Data Missing ⚠",VLOOKUP(J200,'G-3 Multipliers'!$L$3:$N$6,3,FALSE)))</f>
        <v/>
      </c>
      <c r="M200" s="275" t="str">
        <f>IF(OR(D200="",H200=""),"",(INDEX('G-6 Hedgerow Data'!$E$3:$I$15,MATCH(D200,'G-6 Hedgerow Data'!$B$3:$B$15,0),MATCH(H200,'G-6 Hedgerow Data'!$E$2:$I$2,0))))</f>
        <v/>
      </c>
      <c r="N200" s="133"/>
      <c r="O200" s="133"/>
      <c r="P200" s="283" t="str">
        <f t="shared" si="13"/>
        <v/>
      </c>
      <c r="Q200" s="296" t="str">
        <f t="shared" si="14"/>
        <v/>
      </c>
      <c r="R200" s="297" t="str">
        <f t="shared" si="12"/>
        <v/>
      </c>
      <c r="S200" s="311" t="str">
        <f>IF(D200="","",VLOOKUP(D200,'G-6 Hedgerow Data'!$B$3:$AG$15,31,FALSE))</f>
        <v/>
      </c>
      <c r="T200" s="283" t="str">
        <f t="shared" si="15"/>
        <v/>
      </c>
      <c r="U200" s="283" t="str">
        <f t="shared" si="16"/>
        <v/>
      </c>
      <c r="V200" s="299" t="str">
        <f>IF(D200="","",VLOOKUP(S200,'G-3 Multipliers'!$P$3:$Q$6,2,FALSE))</f>
        <v/>
      </c>
      <c r="W200" s="303" t="str">
        <f t="shared" si="17"/>
        <v/>
      </c>
      <c r="X200" s="101"/>
      <c r="Y200" s="115"/>
      <c r="Z200" s="104"/>
      <c r="AG200" s="30" t="str">
        <f>IFERROR(INDEX('G-6 Hedgerow Data'!$BJ$3:$BJ$15,MATCH(D200,'G-6 Hedgerow Data'!$B$3:$B$15,0)),"")</f>
        <v/>
      </c>
    </row>
    <row r="201" spans="2:33" ht="14" hidden="1">
      <c r="B201" s="97">
        <v>190</v>
      </c>
      <c r="C201" s="140"/>
      <c r="D201" s="133"/>
      <c r="E201" s="115"/>
      <c r="F201" s="323" t="str">
        <f>IF(D201="","",VLOOKUP(D201,'G-6 Hedgerow Data'!$B$2:$AG$15,2,FALSE))</f>
        <v/>
      </c>
      <c r="G201" s="276" t="str">
        <f>IF(D201="","",VLOOKUP(D201,'G-6 Hedgerow Data'!$B$2:$AG$15,3,FALSE))</f>
        <v/>
      </c>
      <c r="H201" s="101"/>
      <c r="I201" s="276" t="str">
        <f>IFERROR(IF(H201="","",IF(AND(D201="Non-native and ornamental hedgerow",H201&lt;&gt;"Poor"),"Not possible ▲",(VLOOKUP(H201,'G-1 All Habitats'!$Z$2:$AA$9,2,FALSE)))),"")</f>
        <v/>
      </c>
      <c r="J201" s="101"/>
      <c r="K201" s="295" t="str">
        <f>IF(J201="","",IF(VLOOKUP(J201,'G-3 Multipliers'!$L$3:$N$6,2,FALSE)=0,"Spatial Data Missing ⚠",VLOOKUP(J201,'G-3 Multipliers'!$L$3:$N$6,2,FALSE)))</f>
        <v/>
      </c>
      <c r="L201" s="281" t="str">
        <f>IF(J201="","",IF(VLOOKUP(J201,'G-3 Multipliers'!$L$3:$N$6,3,FALSE)=0,"Spatial Data Missing ⚠",VLOOKUP(J201,'G-3 Multipliers'!$L$3:$N$6,3,FALSE)))</f>
        <v/>
      </c>
      <c r="M201" s="275" t="str">
        <f>IF(OR(D201="",H201=""),"",(INDEX('G-6 Hedgerow Data'!$E$3:$I$15,MATCH(D201,'G-6 Hedgerow Data'!$B$3:$B$15,0),MATCH(H201,'G-6 Hedgerow Data'!$E$2:$I$2,0))))</f>
        <v/>
      </c>
      <c r="N201" s="133"/>
      <c r="O201" s="133"/>
      <c r="P201" s="283" t="str">
        <f t="shared" si="13"/>
        <v/>
      </c>
      <c r="Q201" s="296" t="str">
        <f t="shared" si="14"/>
        <v/>
      </c>
      <c r="R201" s="297" t="str">
        <f t="shared" si="12"/>
        <v/>
      </c>
      <c r="S201" s="311" t="str">
        <f>IF(D201="","",VLOOKUP(D201,'G-6 Hedgerow Data'!$B$3:$AG$15,31,FALSE))</f>
        <v/>
      </c>
      <c r="T201" s="283" t="str">
        <f t="shared" si="15"/>
        <v/>
      </c>
      <c r="U201" s="283" t="str">
        <f t="shared" si="16"/>
        <v/>
      </c>
      <c r="V201" s="299" t="str">
        <f>IF(D201="","",VLOOKUP(S201,'G-3 Multipliers'!$P$3:$Q$6,2,FALSE))</f>
        <v/>
      </c>
      <c r="W201" s="303" t="str">
        <f t="shared" si="17"/>
        <v/>
      </c>
      <c r="X201" s="101"/>
      <c r="Y201" s="115"/>
      <c r="Z201" s="104"/>
      <c r="AG201" s="30" t="str">
        <f>IFERROR(INDEX('G-6 Hedgerow Data'!$BJ$3:$BJ$15,MATCH(D201,'G-6 Hedgerow Data'!$B$3:$B$15,0)),"")</f>
        <v/>
      </c>
    </row>
    <row r="202" spans="2:33" ht="14" hidden="1">
      <c r="B202" s="97">
        <v>191</v>
      </c>
      <c r="C202" s="140"/>
      <c r="D202" s="133"/>
      <c r="E202" s="115"/>
      <c r="F202" s="323" t="str">
        <f>IF(D202="","",VLOOKUP(D202,'G-6 Hedgerow Data'!$B$2:$AG$15,2,FALSE))</f>
        <v/>
      </c>
      <c r="G202" s="276" t="str">
        <f>IF(D202="","",VLOOKUP(D202,'G-6 Hedgerow Data'!$B$2:$AG$15,3,FALSE))</f>
        <v/>
      </c>
      <c r="H202" s="101"/>
      <c r="I202" s="276" t="str">
        <f>IFERROR(IF(H202="","",IF(AND(D202="Non-native and ornamental hedgerow",H202&lt;&gt;"Poor"),"Not possible ▲",(VLOOKUP(H202,'G-1 All Habitats'!$Z$2:$AA$9,2,FALSE)))),"")</f>
        <v/>
      </c>
      <c r="J202" s="101"/>
      <c r="K202" s="295" t="str">
        <f>IF(J202="","",IF(VLOOKUP(J202,'G-3 Multipliers'!$L$3:$N$6,2,FALSE)=0,"Spatial Data Missing ⚠",VLOOKUP(J202,'G-3 Multipliers'!$L$3:$N$6,2,FALSE)))</f>
        <v/>
      </c>
      <c r="L202" s="281" t="str">
        <f>IF(J202="","",IF(VLOOKUP(J202,'G-3 Multipliers'!$L$3:$N$6,3,FALSE)=0,"Spatial Data Missing ⚠",VLOOKUP(J202,'G-3 Multipliers'!$L$3:$N$6,3,FALSE)))</f>
        <v/>
      </c>
      <c r="M202" s="275" t="str">
        <f>IF(OR(D202="",H202=""),"",(INDEX('G-6 Hedgerow Data'!$E$3:$I$15,MATCH(D202,'G-6 Hedgerow Data'!$B$3:$B$15,0),MATCH(H202,'G-6 Hedgerow Data'!$E$2:$I$2,0))))</f>
        <v/>
      </c>
      <c r="N202" s="133"/>
      <c r="O202" s="133"/>
      <c r="P202" s="283" t="str">
        <f t="shared" si="13"/>
        <v/>
      </c>
      <c r="Q202" s="296" t="str">
        <f t="shared" si="14"/>
        <v/>
      </c>
      <c r="R202" s="297" t="str">
        <f t="shared" si="12"/>
        <v/>
      </c>
      <c r="S202" s="311" t="str">
        <f>IF(D202="","",VLOOKUP(D202,'G-6 Hedgerow Data'!$B$3:$AG$15,31,FALSE))</f>
        <v/>
      </c>
      <c r="T202" s="283" t="str">
        <f t="shared" si="15"/>
        <v/>
      </c>
      <c r="U202" s="283" t="str">
        <f t="shared" si="16"/>
        <v/>
      </c>
      <c r="V202" s="299" t="str">
        <f>IF(D202="","",VLOOKUP(S202,'G-3 Multipliers'!$P$3:$Q$6,2,FALSE))</f>
        <v/>
      </c>
      <c r="W202" s="303" t="str">
        <f t="shared" si="17"/>
        <v/>
      </c>
      <c r="X202" s="101"/>
      <c r="Y202" s="115"/>
      <c r="Z202" s="104"/>
      <c r="AG202" s="30" t="str">
        <f>IFERROR(INDEX('G-6 Hedgerow Data'!$BJ$3:$BJ$15,MATCH(D202,'G-6 Hedgerow Data'!$B$3:$B$15,0)),"")</f>
        <v/>
      </c>
    </row>
    <row r="203" spans="2:33" ht="14" hidden="1">
      <c r="B203" s="97">
        <v>192</v>
      </c>
      <c r="C203" s="140"/>
      <c r="D203" s="133"/>
      <c r="E203" s="115"/>
      <c r="F203" s="323" t="str">
        <f>IF(D203="","",VLOOKUP(D203,'G-6 Hedgerow Data'!$B$2:$AG$15,2,FALSE))</f>
        <v/>
      </c>
      <c r="G203" s="276" t="str">
        <f>IF(D203="","",VLOOKUP(D203,'G-6 Hedgerow Data'!$B$2:$AG$15,3,FALSE))</f>
        <v/>
      </c>
      <c r="H203" s="101"/>
      <c r="I203" s="276" t="str">
        <f>IFERROR(IF(H203="","",IF(AND(D203="Non-native and ornamental hedgerow",H203&lt;&gt;"Poor"),"Not possible ▲",(VLOOKUP(H203,'G-1 All Habitats'!$Z$2:$AA$9,2,FALSE)))),"")</f>
        <v/>
      </c>
      <c r="J203" s="101"/>
      <c r="K203" s="295" t="str">
        <f>IF(J203="","",IF(VLOOKUP(J203,'G-3 Multipliers'!$L$3:$N$6,2,FALSE)=0,"Spatial Data Missing ⚠",VLOOKUP(J203,'G-3 Multipliers'!$L$3:$N$6,2,FALSE)))</f>
        <v/>
      </c>
      <c r="L203" s="281" t="str">
        <f>IF(J203="","",IF(VLOOKUP(J203,'G-3 Multipliers'!$L$3:$N$6,3,FALSE)=0,"Spatial Data Missing ⚠",VLOOKUP(J203,'G-3 Multipliers'!$L$3:$N$6,3,FALSE)))</f>
        <v/>
      </c>
      <c r="M203" s="275" t="str">
        <f>IF(OR(D203="",H203=""),"",(INDEX('G-6 Hedgerow Data'!$E$3:$I$15,MATCH(D203,'G-6 Hedgerow Data'!$B$3:$B$15,0),MATCH(H203,'G-6 Hedgerow Data'!$E$2:$I$2,0))))</f>
        <v/>
      </c>
      <c r="N203" s="133"/>
      <c r="O203" s="133"/>
      <c r="P203" s="283" t="str">
        <f t="shared" si="13"/>
        <v/>
      </c>
      <c r="Q203" s="296" t="str">
        <f t="shared" si="14"/>
        <v/>
      </c>
      <c r="R203" s="297" t="str">
        <f t="shared" si="12"/>
        <v/>
      </c>
      <c r="S203" s="311" t="str">
        <f>IF(D203="","",VLOOKUP(D203,'G-6 Hedgerow Data'!$B$3:$AG$15,31,FALSE))</f>
        <v/>
      </c>
      <c r="T203" s="283" t="str">
        <f t="shared" si="15"/>
        <v/>
      </c>
      <c r="U203" s="283" t="str">
        <f t="shared" si="16"/>
        <v/>
      </c>
      <c r="V203" s="299" t="str">
        <f>IF(D203="","",VLOOKUP(S203,'G-3 Multipliers'!$P$3:$Q$6,2,FALSE))</f>
        <v/>
      </c>
      <c r="W203" s="303" t="str">
        <f t="shared" si="17"/>
        <v/>
      </c>
      <c r="X203" s="101"/>
      <c r="Y203" s="115"/>
      <c r="Z203" s="104"/>
      <c r="AG203" s="30" t="str">
        <f>IFERROR(INDEX('G-6 Hedgerow Data'!$BJ$3:$BJ$15,MATCH(D203,'G-6 Hedgerow Data'!$B$3:$B$15,0)),"")</f>
        <v/>
      </c>
    </row>
    <row r="204" spans="2:33" ht="14" hidden="1">
      <c r="B204" s="97">
        <v>193</v>
      </c>
      <c r="C204" s="140"/>
      <c r="D204" s="133"/>
      <c r="E204" s="115"/>
      <c r="F204" s="323" t="str">
        <f>IF(D204="","",VLOOKUP(D204,'G-6 Hedgerow Data'!$B$2:$AG$15,2,FALSE))</f>
        <v/>
      </c>
      <c r="G204" s="276" t="str">
        <f>IF(D204="","",VLOOKUP(D204,'G-6 Hedgerow Data'!$B$2:$AG$15,3,FALSE))</f>
        <v/>
      </c>
      <c r="H204" s="101"/>
      <c r="I204" s="276" t="str">
        <f>IFERROR(IF(H204="","",IF(AND(D204="Non-native and ornamental hedgerow",H204&lt;&gt;"Poor"),"Not possible ▲",(VLOOKUP(H204,'G-1 All Habitats'!$Z$2:$AA$9,2,FALSE)))),"")</f>
        <v/>
      </c>
      <c r="J204" s="101"/>
      <c r="K204" s="295" t="str">
        <f>IF(J204="","",IF(VLOOKUP(J204,'G-3 Multipliers'!$L$3:$N$6,2,FALSE)=0,"Spatial Data Missing ⚠",VLOOKUP(J204,'G-3 Multipliers'!$L$3:$N$6,2,FALSE)))</f>
        <v/>
      </c>
      <c r="L204" s="281" t="str">
        <f>IF(J204="","",IF(VLOOKUP(J204,'G-3 Multipliers'!$L$3:$N$6,3,FALSE)=0,"Spatial Data Missing ⚠",VLOOKUP(J204,'G-3 Multipliers'!$L$3:$N$6,3,FALSE)))</f>
        <v/>
      </c>
      <c r="M204" s="275" t="str">
        <f>IF(OR(D204="",H204=""),"",(INDEX('G-6 Hedgerow Data'!$E$3:$I$15,MATCH(D204,'G-6 Hedgerow Data'!$B$3:$B$15,0),MATCH(H204,'G-6 Hedgerow Data'!$E$2:$I$2,0))))</f>
        <v/>
      </c>
      <c r="N204" s="133"/>
      <c r="O204" s="133"/>
      <c r="P204" s="283" t="str">
        <f t="shared" si="13"/>
        <v/>
      </c>
      <c r="Q204" s="296" t="str">
        <f t="shared" si="14"/>
        <v/>
      </c>
      <c r="R204" s="297" t="str">
        <f t="shared" si="18" ref="R204:R259">IF(M204="","",IF(Q204="Check Data ⚠","Check Data ⚠",VLOOKUP(Q204,TemporalMultipliers,3,FALSE)))</f>
        <v/>
      </c>
      <c r="S204" s="311" t="str">
        <f>IF(D204="","",VLOOKUP(D204,'G-6 Hedgerow Data'!$B$3:$AG$15,31,FALSE))</f>
        <v/>
      </c>
      <c r="T204" s="283" t="str">
        <f t="shared" si="15"/>
        <v/>
      </c>
      <c r="U204" s="283" t="str">
        <f t="shared" si="16"/>
        <v/>
      </c>
      <c r="V204" s="299" t="str">
        <f>IF(D204="","",VLOOKUP(S204,'G-3 Multipliers'!$P$3:$Q$6,2,FALSE))</f>
        <v/>
      </c>
      <c r="W204" s="303" t="str">
        <f t="shared" si="17"/>
        <v/>
      </c>
      <c r="X204" s="101"/>
      <c r="Y204" s="115"/>
      <c r="Z204" s="104"/>
      <c r="AG204" s="30" t="str">
        <f>IFERROR(INDEX('G-6 Hedgerow Data'!$BJ$3:$BJ$15,MATCH(D204,'G-6 Hedgerow Data'!$B$3:$B$15,0)),"")</f>
        <v/>
      </c>
    </row>
    <row r="205" spans="2:33" ht="14" hidden="1">
      <c r="B205" s="97">
        <v>194</v>
      </c>
      <c r="C205" s="140"/>
      <c r="D205" s="133"/>
      <c r="E205" s="115"/>
      <c r="F205" s="323" t="str">
        <f>IF(D205="","",VLOOKUP(D205,'G-6 Hedgerow Data'!$B$2:$AG$15,2,FALSE))</f>
        <v/>
      </c>
      <c r="G205" s="276" t="str">
        <f>IF(D205="","",VLOOKUP(D205,'G-6 Hedgerow Data'!$B$2:$AG$15,3,FALSE))</f>
        <v/>
      </c>
      <c r="H205" s="101"/>
      <c r="I205" s="276" t="str">
        <f>IFERROR(IF(H205="","",IF(AND(D205="Non-native and ornamental hedgerow",H205&lt;&gt;"Poor"),"Not possible ▲",(VLOOKUP(H205,'G-1 All Habitats'!$Z$2:$AA$9,2,FALSE)))),"")</f>
        <v/>
      </c>
      <c r="J205" s="101"/>
      <c r="K205" s="295" t="str">
        <f>IF(J205="","",IF(VLOOKUP(J205,'G-3 Multipliers'!$L$3:$N$6,2,FALSE)=0,"Spatial Data Missing ⚠",VLOOKUP(J205,'G-3 Multipliers'!$L$3:$N$6,2,FALSE)))</f>
        <v/>
      </c>
      <c r="L205" s="281" t="str">
        <f>IF(J205="","",IF(VLOOKUP(J205,'G-3 Multipliers'!$L$3:$N$6,3,FALSE)=0,"Spatial Data Missing ⚠",VLOOKUP(J205,'G-3 Multipliers'!$L$3:$N$6,3,FALSE)))</f>
        <v/>
      </c>
      <c r="M205" s="275" t="str">
        <f>IF(OR(D205="",H205=""),"",(INDEX('G-6 Hedgerow Data'!$E$3:$I$15,MATCH(D205,'G-6 Hedgerow Data'!$B$3:$B$15,0),MATCH(H205,'G-6 Hedgerow Data'!$E$2:$I$2,0))))</f>
        <v/>
      </c>
      <c r="N205" s="133"/>
      <c r="O205" s="133"/>
      <c r="P205" s="283" t="str">
        <f t="shared" si="19" ref="P205:P25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296" t="str">
        <f t="shared" si="20" ref="Q205:Q259">IF(M205="","",IF(P205="Error -both advance and delayed habitat creation ▲","Check Data ⚠",IF(M205="Not possible ▲","Check Data ⚠",IF(OR(N205="30+",N205="Habitat already in target condition"),0,IF(O205="30+","30+",IF(AND(M205="30+",OR(N205="",N205=0)),"30+",IF(AND(M205="30+",N205&gt;0),30-N205,IF(M205+O205&gt;30,"30+",IF(M205+O205-N205&gt;0,M205+O205-N205,IF(M205-N205&lt;0,0,M205+O205-N205))))))))))</f>
        <v/>
      </c>
      <c r="R205" s="297" t="str">
        <f t="shared" si="18"/>
        <v/>
      </c>
      <c r="S205" s="311" t="str">
        <f>IF(D205="","",VLOOKUP(D205,'G-6 Hedgerow Data'!$B$3:$AG$15,31,FALSE))</f>
        <v/>
      </c>
      <c r="T205" s="283" t="str">
        <f t="shared" si="21" ref="T205:T259">IF(D205="","",IF(Q205="Check Data ⚠","Check Data ⚠",IF(H205="","",IF($P205="Check details - Is there evidence that habitat has reached target condition? ⚠","Low Difficulty - only applicable if all habitat created before losses ⚠","Standard difficulty applied"))))</f>
        <v/>
      </c>
      <c r="U205" s="283" t="str">
        <f t="shared" si="22" ref="U205:U259">(IF(AND(T205="Standard difficulty applied",M205&gt;N205),S205,IF(Q205="Check data ⚠","Check data ⚠",IF(AND(T205="Low Difficulty - only applicable if all habitat created before losses ⚠",Q205&lt;=0),"Low",S205))))</f>
        <v/>
      </c>
      <c r="V205" s="299" t="str">
        <f>IF(D205="","",VLOOKUP(S205,'G-3 Multipliers'!$P$3:$Q$6,2,FALSE))</f>
        <v/>
      </c>
      <c r="W205" s="303" t="str">
        <f t="shared" si="23" ref="W205:W259">IFERROR(E205*G205*I205*L205*R205*V205,"")</f>
        <v/>
      </c>
      <c r="X205" s="101"/>
      <c r="Y205" s="115"/>
      <c r="Z205" s="104"/>
      <c r="AG205" s="30" t="str">
        <f>IFERROR(INDEX('G-6 Hedgerow Data'!$BJ$3:$BJ$15,MATCH(D205,'G-6 Hedgerow Data'!$B$3:$B$15,0)),"")</f>
        <v/>
      </c>
    </row>
    <row r="206" spans="2:33" ht="14" hidden="1">
      <c r="B206" s="97">
        <v>195</v>
      </c>
      <c r="C206" s="140"/>
      <c r="D206" s="133"/>
      <c r="E206" s="115"/>
      <c r="F206" s="323" t="str">
        <f>IF(D206="","",VLOOKUP(D206,'G-6 Hedgerow Data'!$B$2:$AG$15,2,FALSE))</f>
        <v/>
      </c>
      <c r="G206" s="276" t="str">
        <f>IF(D206="","",VLOOKUP(D206,'G-6 Hedgerow Data'!$B$2:$AG$15,3,FALSE))</f>
        <v/>
      </c>
      <c r="H206" s="101"/>
      <c r="I206" s="276" t="str">
        <f>IFERROR(IF(H206="","",IF(AND(D206="Non-native and ornamental hedgerow",H206&lt;&gt;"Poor"),"Not possible ▲",(VLOOKUP(H206,'G-1 All Habitats'!$Z$2:$AA$9,2,FALSE)))),"")</f>
        <v/>
      </c>
      <c r="J206" s="101"/>
      <c r="K206" s="295" t="str">
        <f>IF(J206="","",IF(VLOOKUP(J206,'G-3 Multipliers'!$L$3:$N$6,2,FALSE)=0,"Spatial Data Missing ⚠",VLOOKUP(J206,'G-3 Multipliers'!$L$3:$N$6,2,FALSE)))</f>
        <v/>
      </c>
      <c r="L206" s="281" t="str">
        <f>IF(J206="","",IF(VLOOKUP(J206,'G-3 Multipliers'!$L$3:$N$6,3,FALSE)=0,"Spatial Data Missing ⚠",VLOOKUP(J206,'G-3 Multipliers'!$L$3:$N$6,3,FALSE)))</f>
        <v/>
      </c>
      <c r="M206" s="275" t="str">
        <f>IF(OR(D206="",H206=""),"",(INDEX('G-6 Hedgerow Data'!$E$3:$I$15,MATCH(D206,'G-6 Hedgerow Data'!$B$3:$B$15,0),MATCH(H206,'G-6 Hedgerow Data'!$E$2:$I$2,0))))</f>
        <v/>
      </c>
      <c r="N206" s="133"/>
      <c r="O206" s="133"/>
      <c r="P206" s="283" t="str">
        <f t="shared" si="19"/>
        <v/>
      </c>
      <c r="Q206" s="296" t="str">
        <f t="shared" si="20"/>
        <v/>
      </c>
      <c r="R206" s="297" t="str">
        <f t="shared" si="18"/>
        <v/>
      </c>
      <c r="S206" s="311" t="str">
        <f>IF(D206="","",VLOOKUP(D206,'G-6 Hedgerow Data'!$B$3:$AG$15,31,FALSE))</f>
        <v/>
      </c>
      <c r="T206" s="283" t="str">
        <f t="shared" si="21"/>
        <v/>
      </c>
      <c r="U206" s="283" t="str">
        <f t="shared" si="22"/>
        <v/>
      </c>
      <c r="V206" s="299" t="str">
        <f>IF(D206="","",VLOOKUP(S206,'G-3 Multipliers'!$P$3:$Q$6,2,FALSE))</f>
        <v/>
      </c>
      <c r="W206" s="303" t="str">
        <f t="shared" si="23"/>
        <v/>
      </c>
      <c r="X206" s="101"/>
      <c r="Y206" s="115"/>
      <c r="Z206" s="104"/>
      <c r="AG206" s="30" t="str">
        <f>IFERROR(INDEX('G-6 Hedgerow Data'!$BJ$3:$BJ$15,MATCH(D206,'G-6 Hedgerow Data'!$B$3:$B$15,0)),"")</f>
        <v/>
      </c>
    </row>
    <row r="207" spans="2:33" ht="14" hidden="1">
      <c r="B207" s="97">
        <v>196</v>
      </c>
      <c r="C207" s="140"/>
      <c r="D207" s="133"/>
      <c r="E207" s="115"/>
      <c r="F207" s="323" t="str">
        <f>IF(D207="","",VLOOKUP(D207,'G-6 Hedgerow Data'!$B$2:$AG$15,2,FALSE))</f>
        <v/>
      </c>
      <c r="G207" s="276" t="str">
        <f>IF(D207="","",VLOOKUP(D207,'G-6 Hedgerow Data'!$B$2:$AG$15,3,FALSE))</f>
        <v/>
      </c>
      <c r="H207" s="101"/>
      <c r="I207" s="276" t="str">
        <f>IFERROR(IF(H207="","",IF(AND(D207="Non-native and ornamental hedgerow",H207&lt;&gt;"Poor"),"Not possible ▲",(VLOOKUP(H207,'G-1 All Habitats'!$Z$2:$AA$9,2,FALSE)))),"")</f>
        <v/>
      </c>
      <c r="J207" s="101"/>
      <c r="K207" s="295" t="str">
        <f>IF(J207="","",IF(VLOOKUP(J207,'G-3 Multipliers'!$L$3:$N$6,2,FALSE)=0,"Spatial Data Missing ⚠",VLOOKUP(J207,'G-3 Multipliers'!$L$3:$N$6,2,FALSE)))</f>
        <v/>
      </c>
      <c r="L207" s="281" t="str">
        <f>IF(J207="","",IF(VLOOKUP(J207,'G-3 Multipliers'!$L$3:$N$6,3,FALSE)=0,"Spatial Data Missing ⚠",VLOOKUP(J207,'G-3 Multipliers'!$L$3:$N$6,3,FALSE)))</f>
        <v/>
      </c>
      <c r="M207" s="275" t="str">
        <f>IF(OR(D207="",H207=""),"",(INDEX('G-6 Hedgerow Data'!$E$3:$I$15,MATCH(D207,'G-6 Hedgerow Data'!$B$3:$B$15,0),MATCH(H207,'G-6 Hedgerow Data'!$E$2:$I$2,0))))</f>
        <v/>
      </c>
      <c r="N207" s="133"/>
      <c r="O207" s="133"/>
      <c r="P207" s="283" t="str">
        <f t="shared" si="19"/>
        <v/>
      </c>
      <c r="Q207" s="296" t="str">
        <f t="shared" si="20"/>
        <v/>
      </c>
      <c r="R207" s="297" t="str">
        <f t="shared" si="18"/>
        <v/>
      </c>
      <c r="S207" s="311" t="str">
        <f>IF(D207="","",VLOOKUP(D207,'G-6 Hedgerow Data'!$B$3:$AG$15,31,FALSE))</f>
        <v/>
      </c>
      <c r="T207" s="283" t="str">
        <f t="shared" si="21"/>
        <v/>
      </c>
      <c r="U207" s="283" t="str">
        <f t="shared" si="22"/>
        <v/>
      </c>
      <c r="V207" s="299" t="str">
        <f>IF(D207="","",VLOOKUP(S207,'G-3 Multipliers'!$P$3:$Q$6,2,FALSE))</f>
        <v/>
      </c>
      <c r="W207" s="303" t="str">
        <f t="shared" si="23"/>
        <v/>
      </c>
      <c r="X207" s="101"/>
      <c r="Y207" s="115"/>
      <c r="Z207" s="104"/>
      <c r="AG207" s="30" t="str">
        <f>IFERROR(INDEX('G-6 Hedgerow Data'!$BJ$3:$BJ$15,MATCH(D207,'G-6 Hedgerow Data'!$B$3:$B$15,0)),"")</f>
        <v/>
      </c>
    </row>
    <row r="208" spans="2:33" ht="14" hidden="1">
      <c r="B208" s="97">
        <v>197</v>
      </c>
      <c r="C208" s="140"/>
      <c r="D208" s="133"/>
      <c r="E208" s="115"/>
      <c r="F208" s="323" t="str">
        <f>IF(D208="","",VLOOKUP(D208,'G-6 Hedgerow Data'!$B$2:$AG$15,2,FALSE))</f>
        <v/>
      </c>
      <c r="G208" s="276" t="str">
        <f>IF(D208="","",VLOOKUP(D208,'G-6 Hedgerow Data'!$B$2:$AG$15,3,FALSE))</f>
        <v/>
      </c>
      <c r="H208" s="101"/>
      <c r="I208" s="276" t="str">
        <f>IFERROR(IF(H208="","",IF(AND(D208="Non-native and ornamental hedgerow",H208&lt;&gt;"Poor"),"Not possible ▲",(VLOOKUP(H208,'G-1 All Habitats'!$Z$2:$AA$9,2,FALSE)))),"")</f>
        <v/>
      </c>
      <c r="J208" s="101"/>
      <c r="K208" s="295" t="str">
        <f>IF(J208="","",IF(VLOOKUP(J208,'G-3 Multipliers'!$L$3:$N$6,2,FALSE)=0,"Spatial Data Missing ⚠",VLOOKUP(J208,'G-3 Multipliers'!$L$3:$N$6,2,FALSE)))</f>
        <v/>
      </c>
      <c r="L208" s="281" t="str">
        <f>IF(J208="","",IF(VLOOKUP(J208,'G-3 Multipliers'!$L$3:$N$6,3,FALSE)=0,"Spatial Data Missing ⚠",VLOOKUP(J208,'G-3 Multipliers'!$L$3:$N$6,3,FALSE)))</f>
        <v/>
      </c>
      <c r="M208" s="275" t="str">
        <f>IF(OR(D208="",H208=""),"",(INDEX('G-6 Hedgerow Data'!$E$3:$I$15,MATCH(D208,'G-6 Hedgerow Data'!$B$3:$B$15,0),MATCH(H208,'G-6 Hedgerow Data'!$E$2:$I$2,0))))</f>
        <v/>
      </c>
      <c r="N208" s="133"/>
      <c r="O208" s="133"/>
      <c r="P208" s="283" t="str">
        <f t="shared" si="19"/>
        <v/>
      </c>
      <c r="Q208" s="296" t="str">
        <f t="shared" si="20"/>
        <v/>
      </c>
      <c r="R208" s="297" t="str">
        <f t="shared" si="18"/>
        <v/>
      </c>
      <c r="S208" s="311" t="str">
        <f>IF(D208="","",VLOOKUP(D208,'G-6 Hedgerow Data'!$B$3:$AG$15,31,FALSE))</f>
        <v/>
      </c>
      <c r="T208" s="283" t="str">
        <f t="shared" si="21"/>
        <v/>
      </c>
      <c r="U208" s="283" t="str">
        <f t="shared" si="22"/>
        <v/>
      </c>
      <c r="V208" s="299" t="str">
        <f>IF(D208="","",VLOOKUP(S208,'G-3 Multipliers'!$P$3:$Q$6,2,FALSE))</f>
        <v/>
      </c>
      <c r="W208" s="303" t="str">
        <f t="shared" si="23"/>
        <v/>
      </c>
      <c r="X208" s="101"/>
      <c r="Y208" s="115"/>
      <c r="Z208" s="104"/>
      <c r="AG208" s="30" t="str">
        <f>IFERROR(INDEX('G-6 Hedgerow Data'!$BJ$3:$BJ$15,MATCH(D208,'G-6 Hedgerow Data'!$B$3:$B$15,0)),"")</f>
        <v/>
      </c>
    </row>
    <row r="209" spans="2:33" ht="14" hidden="1">
      <c r="B209" s="97">
        <v>198</v>
      </c>
      <c r="C209" s="140"/>
      <c r="D209" s="133"/>
      <c r="E209" s="115"/>
      <c r="F209" s="323" t="str">
        <f>IF(D209="","",VLOOKUP(D209,'G-6 Hedgerow Data'!$B$2:$AG$15,2,FALSE))</f>
        <v/>
      </c>
      <c r="G209" s="276" t="str">
        <f>IF(D209="","",VLOOKUP(D209,'G-6 Hedgerow Data'!$B$2:$AG$15,3,FALSE))</f>
        <v/>
      </c>
      <c r="H209" s="101"/>
      <c r="I209" s="276" t="str">
        <f>IFERROR(IF(H209="","",IF(AND(D209="Non-native and ornamental hedgerow",H209&lt;&gt;"Poor"),"Not possible ▲",(VLOOKUP(H209,'G-1 All Habitats'!$Z$2:$AA$9,2,FALSE)))),"")</f>
        <v/>
      </c>
      <c r="J209" s="101"/>
      <c r="K209" s="295" t="str">
        <f>IF(J209="","",IF(VLOOKUP(J209,'G-3 Multipliers'!$L$3:$N$6,2,FALSE)=0,"Spatial Data Missing ⚠",VLOOKUP(J209,'G-3 Multipliers'!$L$3:$N$6,2,FALSE)))</f>
        <v/>
      </c>
      <c r="L209" s="281" t="str">
        <f>IF(J209="","",IF(VLOOKUP(J209,'G-3 Multipliers'!$L$3:$N$6,3,FALSE)=0,"Spatial Data Missing ⚠",VLOOKUP(J209,'G-3 Multipliers'!$L$3:$N$6,3,FALSE)))</f>
        <v/>
      </c>
      <c r="M209" s="275" t="str">
        <f>IF(OR(D209="",H209=""),"",(INDEX('G-6 Hedgerow Data'!$E$3:$I$15,MATCH(D209,'G-6 Hedgerow Data'!$B$3:$B$15,0),MATCH(H209,'G-6 Hedgerow Data'!$E$2:$I$2,0))))</f>
        <v/>
      </c>
      <c r="N209" s="133"/>
      <c r="O209" s="133"/>
      <c r="P209" s="283" t="str">
        <f t="shared" si="19"/>
        <v/>
      </c>
      <c r="Q209" s="296" t="str">
        <f t="shared" si="20"/>
        <v/>
      </c>
      <c r="R209" s="297" t="str">
        <f t="shared" si="18"/>
        <v/>
      </c>
      <c r="S209" s="311" t="str">
        <f>IF(D209="","",VLOOKUP(D209,'G-6 Hedgerow Data'!$B$3:$AG$15,31,FALSE))</f>
        <v/>
      </c>
      <c r="T209" s="283" t="str">
        <f t="shared" si="21"/>
        <v/>
      </c>
      <c r="U209" s="283" t="str">
        <f t="shared" si="22"/>
        <v/>
      </c>
      <c r="V209" s="299" t="str">
        <f>IF(D209="","",VLOOKUP(S209,'G-3 Multipliers'!$P$3:$Q$6,2,FALSE))</f>
        <v/>
      </c>
      <c r="W209" s="303" t="str">
        <f t="shared" si="23"/>
        <v/>
      </c>
      <c r="X209" s="101"/>
      <c r="Y209" s="115"/>
      <c r="Z209" s="104"/>
      <c r="AG209" s="30" t="str">
        <f>IFERROR(INDEX('G-6 Hedgerow Data'!$BJ$3:$BJ$15,MATCH(D209,'G-6 Hedgerow Data'!$B$3:$B$15,0)),"")</f>
        <v/>
      </c>
    </row>
    <row r="210" spans="2:33" ht="14" hidden="1">
      <c r="B210" s="97">
        <v>199</v>
      </c>
      <c r="C210" s="140"/>
      <c r="D210" s="133"/>
      <c r="E210" s="115"/>
      <c r="F210" s="323" t="str">
        <f>IF(D210="","",VLOOKUP(D210,'G-6 Hedgerow Data'!$B$2:$AG$15,2,FALSE))</f>
        <v/>
      </c>
      <c r="G210" s="276" t="str">
        <f>IF(D210="","",VLOOKUP(D210,'G-6 Hedgerow Data'!$B$2:$AG$15,3,FALSE))</f>
        <v/>
      </c>
      <c r="H210" s="101"/>
      <c r="I210" s="276" t="str">
        <f>IFERROR(IF(H210="","",IF(AND(D210="Non-native and ornamental hedgerow",H210&lt;&gt;"Poor"),"Not possible ▲",(VLOOKUP(H210,'G-1 All Habitats'!$Z$2:$AA$9,2,FALSE)))),"")</f>
        <v/>
      </c>
      <c r="J210" s="101"/>
      <c r="K210" s="295" t="str">
        <f>IF(J210="","",IF(VLOOKUP(J210,'G-3 Multipliers'!$L$3:$N$6,2,FALSE)=0,"Spatial Data Missing ⚠",VLOOKUP(J210,'G-3 Multipliers'!$L$3:$N$6,2,FALSE)))</f>
        <v/>
      </c>
      <c r="L210" s="281" t="str">
        <f>IF(J210="","",IF(VLOOKUP(J210,'G-3 Multipliers'!$L$3:$N$6,3,FALSE)=0,"Spatial Data Missing ⚠",VLOOKUP(J210,'G-3 Multipliers'!$L$3:$N$6,3,FALSE)))</f>
        <v/>
      </c>
      <c r="M210" s="275" t="str">
        <f>IF(OR(D210="",H210=""),"",(INDEX('G-6 Hedgerow Data'!$E$3:$I$15,MATCH(D210,'G-6 Hedgerow Data'!$B$3:$B$15,0),MATCH(H210,'G-6 Hedgerow Data'!$E$2:$I$2,0))))</f>
        <v/>
      </c>
      <c r="N210" s="133"/>
      <c r="O210" s="133"/>
      <c r="P210" s="283" t="str">
        <f t="shared" si="19"/>
        <v/>
      </c>
      <c r="Q210" s="296" t="str">
        <f t="shared" si="20"/>
        <v/>
      </c>
      <c r="R210" s="297" t="str">
        <f t="shared" si="18"/>
        <v/>
      </c>
      <c r="S210" s="311" t="str">
        <f>IF(D210="","",VLOOKUP(D210,'G-6 Hedgerow Data'!$B$3:$AG$15,31,FALSE))</f>
        <v/>
      </c>
      <c r="T210" s="283" t="str">
        <f t="shared" si="21"/>
        <v/>
      </c>
      <c r="U210" s="283" t="str">
        <f t="shared" si="22"/>
        <v/>
      </c>
      <c r="V210" s="299" t="str">
        <f>IF(D210="","",VLOOKUP(S210,'G-3 Multipliers'!$P$3:$Q$6,2,FALSE))</f>
        <v/>
      </c>
      <c r="W210" s="303" t="str">
        <f t="shared" si="23"/>
        <v/>
      </c>
      <c r="X210" s="101"/>
      <c r="Y210" s="115"/>
      <c r="Z210" s="104"/>
      <c r="AG210" s="30" t="str">
        <f>IFERROR(INDEX('G-6 Hedgerow Data'!$BJ$3:$BJ$15,MATCH(D210,'G-6 Hedgerow Data'!$B$3:$B$15,0)),"")</f>
        <v/>
      </c>
    </row>
    <row r="211" spans="2:33" ht="14" hidden="1">
      <c r="B211" s="97">
        <v>200</v>
      </c>
      <c r="C211" s="140"/>
      <c r="D211" s="133"/>
      <c r="E211" s="115"/>
      <c r="F211" s="323" t="str">
        <f>IF(D211="","",VLOOKUP(D211,'G-6 Hedgerow Data'!$B$2:$AG$15,2,FALSE))</f>
        <v/>
      </c>
      <c r="G211" s="276" t="str">
        <f>IF(D211="","",VLOOKUP(D211,'G-6 Hedgerow Data'!$B$2:$AG$15,3,FALSE))</f>
        <v/>
      </c>
      <c r="H211" s="101"/>
      <c r="I211" s="276" t="str">
        <f>IFERROR(IF(H211="","",IF(AND(D211="Non-native and ornamental hedgerow",H211&lt;&gt;"Poor"),"Not possible ▲",(VLOOKUP(H211,'G-1 All Habitats'!$Z$2:$AA$9,2,FALSE)))),"")</f>
        <v/>
      </c>
      <c r="J211" s="101"/>
      <c r="K211" s="295" t="str">
        <f>IF(J211="","",IF(VLOOKUP(J211,'G-3 Multipliers'!$L$3:$N$6,2,FALSE)=0,"Spatial Data Missing ⚠",VLOOKUP(J211,'G-3 Multipliers'!$L$3:$N$6,2,FALSE)))</f>
        <v/>
      </c>
      <c r="L211" s="281" t="str">
        <f>IF(J211="","",IF(VLOOKUP(J211,'G-3 Multipliers'!$L$3:$N$6,3,FALSE)=0,"Spatial Data Missing ⚠",VLOOKUP(J211,'G-3 Multipliers'!$L$3:$N$6,3,FALSE)))</f>
        <v/>
      </c>
      <c r="M211" s="275" t="str">
        <f>IF(OR(D211="",H211=""),"",(INDEX('G-6 Hedgerow Data'!$E$3:$I$15,MATCH(D211,'G-6 Hedgerow Data'!$B$3:$B$15,0),MATCH(H211,'G-6 Hedgerow Data'!$E$2:$I$2,0))))</f>
        <v/>
      </c>
      <c r="N211" s="133"/>
      <c r="O211" s="133"/>
      <c r="P211" s="283" t="str">
        <f t="shared" si="19"/>
        <v/>
      </c>
      <c r="Q211" s="296" t="str">
        <f t="shared" si="20"/>
        <v/>
      </c>
      <c r="R211" s="297" t="str">
        <f t="shared" si="18"/>
        <v/>
      </c>
      <c r="S211" s="311" t="str">
        <f>IF(D211="","",VLOOKUP(D211,'G-6 Hedgerow Data'!$B$3:$AG$15,31,FALSE))</f>
        <v/>
      </c>
      <c r="T211" s="283" t="str">
        <f t="shared" si="21"/>
        <v/>
      </c>
      <c r="U211" s="283" t="str">
        <f t="shared" si="22"/>
        <v/>
      </c>
      <c r="V211" s="299" t="str">
        <f>IF(D211="","",VLOOKUP(S211,'G-3 Multipliers'!$P$3:$Q$6,2,FALSE))</f>
        <v/>
      </c>
      <c r="W211" s="303" t="str">
        <f t="shared" si="23"/>
        <v/>
      </c>
      <c r="X211" s="101"/>
      <c r="Y211" s="115"/>
      <c r="Z211" s="104"/>
      <c r="AG211" s="30" t="str">
        <f>IFERROR(INDEX('G-6 Hedgerow Data'!$BJ$3:$BJ$15,MATCH(D211,'G-6 Hedgerow Data'!$B$3:$B$15,0)),"")</f>
        <v/>
      </c>
    </row>
    <row r="212" spans="2:33" ht="14" hidden="1">
      <c r="B212" s="97">
        <v>201</v>
      </c>
      <c r="C212" s="140"/>
      <c r="D212" s="133"/>
      <c r="E212" s="115"/>
      <c r="F212" s="323" t="str">
        <f>IF(D212="","",VLOOKUP(D212,'G-6 Hedgerow Data'!$B$2:$AG$15,2,FALSE))</f>
        <v/>
      </c>
      <c r="G212" s="276" t="str">
        <f>IF(D212="","",VLOOKUP(D212,'G-6 Hedgerow Data'!$B$2:$AG$15,3,FALSE))</f>
        <v/>
      </c>
      <c r="H212" s="101"/>
      <c r="I212" s="276" t="str">
        <f>IFERROR(IF(H212="","",IF(AND(D212="Non-native and ornamental hedgerow",H212&lt;&gt;"Poor"),"Not possible ▲",(VLOOKUP(H212,'G-1 All Habitats'!$Z$2:$AA$9,2,FALSE)))),"")</f>
        <v/>
      </c>
      <c r="J212" s="101"/>
      <c r="K212" s="295" t="str">
        <f>IF(J212="","",IF(VLOOKUP(J212,'G-3 Multipliers'!$L$3:$N$6,2,FALSE)=0,"Spatial Data Missing ⚠",VLOOKUP(J212,'G-3 Multipliers'!$L$3:$N$6,2,FALSE)))</f>
        <v/>
      </c>
      <c r="L212" s="281" t="str">
        <f>IF(J212="","",IF(VLOOKUP(J212,'G-3 Multipliers'!$L$3:$N$6,3,FALSE)=0,"Spatial Data Missing ⚠",VLOOKUP(J212,'G-3 Multipliers'!$L$3:$N$6,3,FALSE)))</f>
        <v/>
      </c>
      <c r="M212" s="275" t="str">
        <f>IF(OR(D212="",H212=""),"",(INDEX('G-6 Hedgerow Data'!$E$3:$I$15,MATCH(D212,'G-6 Hedgerow Data'!$B$3:$B$15,0),MATCH(H212,'G-6 Hedgerow Data'!$E$2:$I$2,0))))</f>
        <v/>
      </c>
      <c r="N212" s="133"/>
      <c r="O212" s="133"/>
      <c r="P212" s="283" t="str">
        <f t="shared" si="19"/>
        <v/>
      </c>
      <c r="Q212" s="296" t="str">
        <f t="shared" si="20"/>
        <v/>
      </c>
      <c r="R212" s="297" t="str">
        <f t="shared" si="18"/>
        <v/>
      </c>
      <c r="S212" s="311" t="str">
        <f>IF(D212="","",VLOOKUP(D212,'G-6 Hedgerow Data'!$B$3:$AG$15,31,FALSE))</f>
        <v/>
      </c>
      <c r="T212" s="283" t="str">
        <f t="shared" si="21"/>
        <v/>
      </c>
      <c r="U212" s="283" t="str">
        <f t="shared" si="22"/>
        <v/>
      </c>
      <c r="V212" s="299" t="str">
        <f>IF(D212="","",VLOOKUP(S212,'G-3 Multipliers'!$P$3:$Q$6,2,FALSE))</f>
        <v/>
      </c>
      <c r="W212" s="303" t="str">
        <f t="shared" si="23"/>
        <v/>
      </c>
      <c r="X212" s="101"/>
      <c r="Y212" s="115"/>
      <c r="Z212" s="104"/>
      <c r="AG212" s="30" t="str">
        <f>IFERROR(INDEX('G-6 Hedgerow Data'!$BJ$3:$BJ$15,MATCH(D212,'G-6 Hedgerow Data'!$B$3:$B$15,0)),"")</f>
        <v/>
      </c>
    </row>
    <row r="213" spans="2:33" ht="14" hidden="1">
      <c r="B213" s="97">
        <v>202</v>
      </c>
      <c r="C213" s="140"/>
      <c r="D213" s="133"/>
      <c r="E213" s="115"/>
      <c r="F213" s="323" t="str">
        <f>IF(D213="","",VLOOKUP(D213,'G-6 Hedgerow Data'!$B$2:$AG$15,2,FALSE))</f>
        <v/>
      </c>
      <c r="G213" s="276" t="str">
        <f>IF(D213="","",VLOOKUP(D213,'G-6 Hedgerow Data'!$B$2:$AG$15,3,FALSE))</f>
        <v/>
      </c>
      <c r="H213" s="101"/>
      <c r="I213" s="276" t="str">
        <f>IFERROR(IF(H213="","",IF(AND(D213="Non-native and ornamental hedgerow",H213&lt;&gt;"Poor"),"Not possible ▲",(VLOOKUP(H213,'G-1 All Habitats'!$Z$2:$AA$9,2,FALSE)))),"")</f>
        <v/>
      </c>
      <c r="J213" s="101"/>
      <c r="K213" s="295" t="str">
        <f>IF(J213="","",IF(VLOOKUP(J213,'G-3 Multipliers'!$L$3:$N$6,2,FALSE)=0,"Spatial Data Missing ⚠",VLOOKUP(J213,'G-3 Multipliers'!$L$3:$N$6,2,FALSE)))</f>
        <v/>
      </c>
      <c r="L213" s="281" t="str">
        <f>IF(J213="","",IF(VLOOKUP(J213,'G-3 Multipliers'!$L$3:$N$6,3,FALSE)=0,"Spatial Data Missing ⚠",VLOOKUP(J213,'G-3 Multipliers'!$L$3:$N$6,3,FALSE)))</f>
        <v/>
      </c>
      <c r="M213" s="275" t="str">
        <f>IF(OR(D213="",H213=""),"",(INDEX('G-6 Hedgerow Data'!$E$3:$I$15,MATCH(D213,'G-6 Hedgerow Data'!$B$3:$B$15,0),MATCH(H213,'G-6 Hedgerow Data'!$E$2:$I$2,0))))</f>
        <v/>
      </c>
      <c r="N213" s="133"/>
      <c r="O213" s="133"/>
      <c r="P213" s="283" t="str">
        <f t="shared" si="19"/>
        <v/>
      </c>
      <c r="Q213" s="296" t="str">
        <f t="shared" si="20"/>
        <v/>
      </c>
      <c r="R213" s="297" t="str">
        <f t="shared" si="18"/>
        <v/>
      </c>
      <c r="S213" s="311" t="str">
        <f>IF(D213="","",VLOOKUP(D213,'G-6 Hedgerow Data'!$B$3:$AG$15,31,FALSE))</f>
        <v/>
      </c>
      <c r="T213" s="283" t="str">
        <f t="shared" si="21"/>
        <v/>
      </c>
      <c r="U213" s="283" t="str">
        <f t="shared" si="22"/>
        <v/>
      </c>
      <c r="V213" s="299" t="str">
        <f>IF(D213="","",VLOOKUP(S213,'G-3 Multipliers'!$P$3:$Q$6,2,FALSE))</f>
        <v/>
      </c>
      <c r="W213" s="303" t="str">
        <f t="shared" si="23"/>
        <v/>
      </c>
      <c r="X213" s="101"/>
      <c r="Y213" s="115"/>
      <c r="Z213" s="104"/>
      <c r="AG213" s="30" t="str">
        <f>IFERROR(INDEX('G-6 Hedgerow Data'!$BJ$3:$BJ$15,MATCH(D213,'G-6 Hedgerow Data'!$B$3:$B$15,0)),"")</f>
        <v/>
      </c>
    </row>
    <row r="214" spans="2:33" ht="14" hidden="1">
      <c r="B214" s="97">
        <v>203</v>
      </c>
      <c r="C214" s="140"/>
      <c r="D214" s="133"/>
      <c r="E214" s="115"/>
      <c r="F214" s="323" t="str">
        <f>IF(D214="","",VLOOKUP(D214,'G-6 Hedgerow Data'!$B$2:$AG$15,2,FALSE))</f>
        <v/>
      </c>
      <c r="G214" s="276" t="str">
        <f>IF(D214="","",VLOOKUP(D214,'G-6 Hedgerow Data'!$B$2:$AG$15,3,FALSE))</f>
        <v/>
      </c>
      <c r="H214" s="101"/>
      <c r="I214" s="276" t="str">
        <f>IFERROR(IF(H214="","",IF(AND(D214="Non-native and ornamental hedgerow",H214&lt;&gt;"Poor"),"Not possible ▲",(VLOOKUP(H214,'G-1 All Habitats'!$Z$2:$AA$9,2,FALSE)))),"")</f>
        <v/>
      </c>
      <c r="J214" s="101"/>
      <c r="K214" s="295" t="str">
        <f>IF(J214="","",IF(VLOOKUP(J214,'G-3 Multipliers'!$L$3:$N$6,2,FALSE)=0,"Spatial Data Missing ⚠",VLOOKUP(J214,'G-3 Multipliers'!$L$3:$N$6,2,FALSE)))</f>
        <v/>
      </c>
      <c r="L214" s="281" t="str">
        <f>IF(J214="","",IF(VLOOKUP(J214,'G-3 Multipliers'!$L$3:$N$6,3,FALSE)=0,"Spatial Data Missing ⚠",VLOOKUP(J214,'G-3 Multipliers'!$L$3:$N$6,3,FALSE)))</f>
        <v/>
      </c>
      <c r="M214" s="275" t="str">
        <f>IF(OR(D214="",H214=""),"",(INDEX('G-6 Hedgerow Data'!$E$3:$I$15,MATCH(D214,'G-6 Hedgerow Data'!$B$3:$B$15,0),MATCH(H214,'G-6 Hedgerow Data'!$E$2:$I$2,0))))</f>
        <v/>
      </c>
      <c r="N214" s="133"/>
      <c r="O214" s="133"/>
      <c r="P214" s="283" t="str">
        <f t="shared" si="19"/>
        <v/>
      </c>
      <c r="Q214" s="296" t="str">
        <f t="shared" si="20"/>
        <v/>
      </c>
      <c r="R214" s="297" t="str">
        <f t="shared" si="18"/>
        <v/>
      </c>
      <c r="S214" s="311" t="str">
        <f>IF(D214="","",VLOOKUP(D214,'G-6 Hedgerow Data'!$B$3:$AG$15,31,FALSE))</f>
        <v/>
      </c>
      <c r="T214" s="283" t="str">
        <f t="shared" si="21"/>
        <v/>
      </c>
      <c r="U214" s="283" t="str">
        <f t="shared" si="22"/>
        <v/>
      </c>
      <c r="V214" s="299" t="str">
        <f>IF(D214="","",VLOOKUP(S214,'G-3 Multipliers'!$P$3:$Q$6,2,FALSE))</f>
        <v/>
      </c>
      <c r="W214" s="303" t="str">
        <f t="shared" si="23"/>
        <v/>
      </c>
      <c r="X214" s="101"/>
      <c r="Y214" s="115"/>
      <c r="Z214" s="104"/>
      <c r="AG214" s="30" t="str">
        <f>IFERROR(INDEX('G-6 Hedgerow Data'!$BJ$3:$BJ$15,MATCH(D214,'G-6 Hedgerow Data'!$B$3:$B$15,0)),"")</f>
        <v/>
      </c>
    </row>
    <row r="215" spans="2:33" ht="14" hidden="1">
      <c r="B215" s="97">
        <v>204</v>
      </c>
      <c r="C215" s="140"/>
      <c r="D215" s="133"/>
      <c r="E215" s="115"/>
      <c r="F215" s="323" t="str">
        <f>IF(D215="","",VLOOKUP(D215,'G-6 Hedgerow Data'!$B$2:$AG$15,2,FALSE))</f>
        <v/>
      </c>
      <c r="G215" s="276" t="str">
        <f>IF(D215="","",VLOOKUP(D215,'G-6 Hedgerow Data'!$B$2:$AG$15,3,FALSE))</f>
        <v/>
      </c>
      <c r="H215" s="101"/>
      <c r="I215" s="276" t="str">
        <f>IFERROR(IF(H215="","",IF(AND(D215="Non-native and ornamental hedgerow",H215&lt;&gt;"Poor"),"Not possible ▲",(VLOOKUP(H215,'G-1 All Habitats'!$Z$2:$AA$9,2,FALSE)))),"")</f>
        <v/>
      </c>
      <c r="J215" s="101"/>
      <c r="K215" s="295" t="str">
        <f>IF(J215="","",IF(VLOOKUP(J215,'G-3 Multipliers'!$L$3:$N$6,2,FALSE)=0,"Spatial Data Missing ⚠",VLOOKUP(J215,'G-3 Multipliers'!$L$3:$N$6,2,FALSE)))</f>
        <v/>
      </c>
      <c r="L215" s="281" t="str">
        <f>IF(J215="","",IF(VLOOKUP(J215,'G-3 Multipliers'!$L$3:$N$6,3,FALSE)=0,"Spatial Data Missing ⚠",VLOOKUP(J215,'G-3 Multipliers'!$L$3:$N$6,3,FALSE)))</f>
        <v/>
      </c>
      <c r="M215" s="275" t="str">
        <f>IF(OR(D215="",H215=""),"",(INDEX('G-6 Hedgerow Data'!$E$3:$I$15,MATCH(D215,'G-6 Hedgerow Data'!$B$3:$B$15,0),MATCH(H215,'G-6 Hedgerow Data'!$E$2:$I$2,0))))</f>
        <v/>
      </c>
      <c r="N215" s="133"/>
      <c r="O215" s="133"/>
      <c r="P215" s="283" t="str">
        <f t="shared" si="19"/>
        <v/>
      </c>
      <c r="Q215" s="296" t="str">
        <f t="shared" si="20"/>
        <v/>
      </c>
      <c r="R215" s="297" t="str">
        <f t="shared" si="18"/>
        <v/>
      </c>
      <c r="S215" s="311" t="str">
        <f>IF(D215="","",VLOOKUP(D215,'G-6 Hedgerow Data'!$B$3:$AG$15,31,FALSE))</f>
        <v/>
      </c>
      <c r="T215" s="283" t="str">
        <f t="shared" si="21"/>
        <v/>
      </c>
      <c r="U215" s="283" t="str">
        <f t="shared" si="22"/>
        <v/>
      </c>
      <c r="V215" s="299" t="str">
        <f>IF(D215="","",VLOOKUP(S215,'G-3 Multipliers'!$P$3:$Q$6,2,FALSE))</f>
        <v/>
      </c>
      <c r="W215" s="303" t="str">
        <f t="shared" si="23"/>
        <v/>
      </c>
      <c r="X215" s="101"/>
      <c r="Y215" s="115"/>
      <c r="Z215" s="104"/>
      <c r="AG215" s="30" t="str">
        <f>IFERROR(INDEX('G-6 Hedgerow Data'!$BJ$3:$BJ$15,MATCH(D215,'G-6 Hedgerow Data'!$B$3:$B$15,0)),"")</f>
        <v/>
      </c>
    </row>
    <row r="216" spans="2:33" ht="14" hidden="1">
      <c r="B216" s="97">
        <v>205</v>
      </c>
      <c r="C216" s="140"/>
      <c r="D216" s="133"/>
      <c r="E216" s="115"/>
      <c r="F216" s="323" t="str">
        <f>IF(D216="","",VLOOKUP(D216,'G-6 Hedgerow Data'!$B$2:$AG$15,2,FALSE))</f>
        <v/>
      </c>
      <c r="G216" s="276" t="str">
        <f>IF(D216="","",VLOOKUP(D216,'G-6 Hedgerow Data'!$B$2:$AG$15,3,FALSE))</f>
        <v/>
      </c>
      <c r="H216" s="101"/>
      <c r="I216" s="276" t="str">
        <f>IFERROR(IF(H216="","",IF(AND(D216="Non-native and ornamental hedgerow",H216&lt;&gt;"Poor"),"Not possible ▲",(VLOOKUP(H216,'G-1 All Habitats'!$Z$2:$AA$9,2,FALSE)))),"")</f>
        <v/>
      </c>
      <c r="J216" s="101"/>
      <c r="K216" s="295" t="str">
        <f>IF(J216="","",IF(VLOOKUP(J216,'G-3 Multipliers'!$L$3:$N$6,2,FALSE)=0,"Spatial Data Missing ⚠",VLOOKUP(J216,'G-3 Multipliers'!$L$3:$N$6,2,FALSE)))</f>
        <v/>
      </c>
      <c r="L216" s="281" t="str">
        <f>IF(J216="","",IF(VLOOKUP(J216,'G-3 Multipliers'!$L$3:$N$6,3,FALSE)=0,"Spatial Data Missing ⚠",VLOOKUP(J216,'G-3 Multipliers'!$L$3:$N$6,3,FALSE)))</f>
        <v/>
      </c>
      <c r="M216" s="275" t="str">
        <f>IF(OR(D216="",H216=""),"",(INDEX('G-6 Hedgerow Data'!$E$3:$I$15,MATCH(D216,'G-6 Hedgerow Data'!$B$3:$B$15,0),MATCH(H216,'G-6 Hedgerow Data'!$E$2:$I$2,0))))</f>
        <v/>
      </c>
      <c r="N216" s="133"/>
      <c r="O216" s="133"/>
      <c r="P216" s="283" t="str">
        <f t="shared" si="19"/>
        <v/>
      </c>
      <c r="Q216" s="296" t="str">
        <f t="shared" si="20"/>
        <v/>
      </c>
      <c r="R216" s="297" t="str">
        <f t="shared" si="18"/>
        <v/>
      </c>
      <c r="S216" s="311" t="str">
        <f>IF(D216="","",VLOOKUP(D216,'G-6 Hedgerow Data'!$B$3:$AG$15,31,FALSE))</f>
        <v/>
      </c>
      <c r="T216" s="283" t="str">
        <f t="shared" si="21"/>
        <v/>
      </c>
      <c r="U216" s="283" t="str">
        <f t="shared" si="22"/>
        <v/>
      </c>
      <c r="V216" s="299" t="str">
        <f>IF(D216="","",VLOOKUP(S216,'G-3 Multipliers'!$P$3:$Q$6,2,FALSE))</f>
        <v/>
      </c>
      <c r="W216" s="303" t="str">
        <f t="shared" si="23"/>
        <v/>
      </c>
      <c r="X216" s="101"/>
      <c r="Y216" s="115"/>
      <c r="Z216" s="104"/>
      <c r="AG216" s="30" t="str">
        <f>IFERROR(INDEX('G-6 Hedgerow Data'!$BJ$3:$BJ$15,MATCH(D216,'G-6 Hedgerow Data'!$B$3:$B$15,0)),"")</f>
        <v/>
      </c>
    </row>
    <row r="217" spans="2:33" ht="14" hidden="1">
      <c r="B217" s="97">
        <v>206</v>
      </c>
      <c r="C217" s="140"/>
      <c r="D217" s="133"/>
      <c r="E217" s="115"/>
      <c r="F217" s="323" t="str">
        <f>IF(D217="","",VLOOKUP(D217,'G-6 Hedgerow Data'!$B$2:$AG$15,2,FALSE))</f>
        <v/>
      </c>
      <c r="G217" s="276" t="str">
        <f>IF(D217="","",VLOOKUP(D217,'G-6 Hedgerow Data'!$B$2:$AG$15,3,FALSE))</f>
        <v/>
      </c>
      <c r="H217" s="101"/>
      <c r="I217" s="276" t="str">
        <f>IFERROR(IF(H217="","",IF(AND(D217="Non-native and ornamental hedgerow",H217&lt;&gt;"Poor"),"Not possible ▲",(VLOOKUP(H217,'G-1 All Habitats'!$Z$2:$AA$9,2,FALSE)))),"")</f>
        <v/>
      </c>
      <c r="J217" s="101"/>
      <c r="K217" s="295" t="str">
        <f>IF(J217="","",IF(VLOOKUP(J217,'G-3 Multipliers'!$L$3:$N$6,2,FALSE)=0,"Spatial Data Missing ⚠",VLOOKUP(J217,'G-3 Multipliers'!$L$3:$N$6,2,FALSE)))</f>
        <v/>
      </c>
      <c r="L217" s="281" t="str">
        <f>IF(J217="","",IF(VLOOKUP(J217,'G-3 Multipliers'!$L$3:$N$6,3,FALSE)=0,"Spatial Data Missing ⚠",VLOOKUP(J217,'G-3 Multipliers'!$L$3:$N$6,3,FALSE)))</f>
        <v/>
      </c>
      <c r="M217" s="275" t="str">
        <f>IF(OR(D217="",H217=""),"",(INDEX('G-6 Hedgerow Data'!$E$3:$I$15,MATCH(D217,'G-6 Hedgerow Data'!$B$3:$B$15,0),MATCH(H217,'G-6 Hedgerow Data'!$E$2:$I$2,0))))</f>
        <v/>
      </c>
      <c r="N217" s="133"/>
      <c r="O217" s="133"/>
      <c r="P217" s="283" t="str">
        <f t="shared" si="19"/>
        <v/>
      </c>
      <c r="Q217" s="296" t="str">
        <f t="shared" si="20"/>
        <v/>
      </c>
      <c r="R217" s="297" t="str">
        <f t="shared" si="18"/>
        <v/>
      </c>
      <c r="S217" s="311" t="str">
        <f>IF(D217="","",VLOOKUP(D217,'G-6 Hedgerow Data'!$B$3:$AG$15,31,FALSE))</f>
        <v/>
      </c>
      <c r="T217" s="283" t="str">
        <f t="shared" si="21"/>
        <v/>
      </c>
      <c r="U217" s="283" t="str">
        <f t="shared" si="22"/>
        <v/>
      </c>
      <c r="V217" s="299" t="str">
        <f>IF(D217="","",VLOOKUP(S217,'G-3 Multipliers'!$P$3:$Q$6,2,FALSE))</f>
        <v/>
      </c>
      <c r="W217" s="303" t="str">
        <f t="shared" si="23"/>
        <v/>
      </c>
      <c r="X217" s="101"/>
      <c r="Y217" s="115"/>
      <c r="Z217" s="104"/>
      <c r="AG217" s="30" t="str">
        <f>IFERROR(INDEX('G-6 Hedgerow Data'!$BJ$3:$BJ$15,MATCH(D217,'G-6 Hedgerow Data'!$B$3:$B$15,0)),"")</f>
        <v/>
      </c>
    </row>
    <row r="218" spans="2:33" ht="14" hidden="1">
      <c r="B218" s="97">
        <v>207</v>
      </c>
      <c r="C218" s="140"/>
      <c r="D218" s="133"/>
      <c r="E218" s="115"/>
      <c r="F218" s="323" t="str">
        <f>IF(D218="","",VLOOKUP(D218,'G-6 Hedgerow Data'!$B$2:$AG$15,2,FALSE))</f>
        <v/>
      </c>
      <c r="G218" s="276" t="str">
        <f>IF(D218="","",VLOOKUP(D218,'G-6 Hedgerow Data'!$B$2:$AG$15,3,FALSE))</f>
        <v/>
      </c>
      <c r="H218" s="101"/>
      <c r="I218" s="276" t="str">
        <f>IFERROR(IF(H218="","",IF(AND(D218="Non-native and ornamental hedgerow",H218&lt;&gt;"Poor"),"Not possible ▲",(VLOOKUP(H218,'G-1 All Habitats'!$Z$2:$AA$9,2,FALSE)))),"")</f>
        <v/>
      </c>
      <c r="J218" s="101"/>
      <c r="K218" s="295" t="str">
        <f>IF(J218="","",IF(VLOOKUP(J218,'G-3 Multipliers'!$L$3:$N$6,2,FALSE)=0,"Spatial Data Missing ⚠",VLOOKUP(J218,'G-3 Multipliers'!$L$3:$N$6,2,FALSE)))</f>
        <v/>
      </c>
      <c r="L218" s="281" t="str">
        <f>IF(J218="","",IF(VLOOKUP(J218,'G-3 Multipliers'!$L$3:$N$6,3,FALSE)=0,"Spatial Data Missing ⚠",VLOOKUP(J218,'G-3 Multipliers'!$L$3:$N$6,3,FALSE)))</f>
        <v/>
      </c>
      <c r="M218" s="275" t="str">
        <f>IF(OR(D218="",H218=""),"",(INDEX('G-6 Hedgerow Data'!$E$3:$I$15,MATCH(D218,'G-6 Hedgerow Data'!$B$3:$B$15,0),MATCH(H218,'G-6 Hedgerow Data'!$E$2:$I$2,0))))</f>
        <v/>
      </c>
      <c r="N218" s="133"/>
      <c r="O218" s="133"/>
      <c r="P218" s="283" t="str">
        <f t="shared" si="19"/>
        <v/>
      </c>
      <c r="Q218" s="296" t="str">
        <f t="shared" si="20"/>
        <v/>
      </c>
      <c r="R218" s="297" t="str">
        <f t="shared" si="18"/>
        <v/>
      </c>
      <c r="S218" s="311" t="str">
        <f>IF(D218="","",VLOOKUP(D218,'G-6 Hedgerow Data'!$B$3:$AG$15,31,FALSE))</f>
        <v/>
      </c>
      <c r="T218" s="283" t="str">
        <f t="shared" si="21"/>
        <v/>
      </c>
      <c r="U218" s="283" t="str">
        <f t="shared" si="22"/>
        <v/>
      </c>
      <c r="V218" s="299" t="str">
        <f>IF(D218="","",VLOOKUP(S218,'G-3 Multipliers'!$P$3:$Q$6,2,FALSE))</f>
        <v/>
      </c>
      <c r="W218" s="303" t="str">
        <f t="shared" si="23"/>
        <v/>
      </c>
      <c r="X218" s="101"/>
      <c r="Y218" s="115"/>
      <c r="Z218" s="104"/>
      <c r="AG218" s="30" t="str">
        <f>IFERROR(INDEX('G-6 Hedgerow Data'!$BJ$3:$BJ$15,MATCH(D218,'G-6 Hedgerow Data'!$B$3:$B$15,0)),"")</f>
        <v/>
      </c>
    </row>
    <row r="219" spans="2:33" ht="14" hidden="1">
      <c r="B219" s="97">
        <v>208</v>
      </c>
      <c r="C219" s="140"/>
      <c r="D219" s="133"/>
      <c r="E219" s="115"/>
      <c r="F219" s="323" t="str">
        <f>IF(D219="","",VLOOKUP(D219,'G-6 Hedgerow Data'!$B$2:$AG$15,2,FALSE))</f>
        <v/>
      </c>
      <c r="G219" s="276" t="str">
        <f>IF(D219="","",VLOOKUP(D219,'G-6 Hedgerow Data'!$B$2:$AG$15,3,FALSE))</f>
        <v/>
      </c>
      <c r="H219" s="101"/>
      <c r="I219" s="276" t="str">
        <f>IFERROR(IF(H219="","",IF(AND(D219="Non-native and ornamental hedgerow",H219&lt;&gt;"Poor"),"Not possible ▲",(VLOOKUP(H219,'G-1 All Habitats'!$Z$2:$AA$9,2,FALSE)))),"")</f>
        <v/>
      </c>
      <c r="J219" s="101"/>
      <c r="K219" s="295" t="str">
        <f>IF(J219="","",IF(VLOOKUP(J219,'G-3 Multipliers'!$L$3:$N$6,2,FALSE)=0,"Spatial Data Missing ⚠",VLOOKUP(J219,'G-3 Multipliers'!$L$3:$N$6,2,FALSE)))</f>
        <v/>
      </c>
      <c r="L219" s="281" t="str">
        <f>IF(J219="","",IF(VLOOKUP(J219,'G-3 Multipliers'!$L$3:$N$6,3,FALSE)=0,"Spatial Data Missing ⚠",VLOOKUP(J219,'G-3 Multipliers'!$L$3:$N$6,3,FALSE)))</f>
        <v/>
      </c>
      <c r="M219" s="275" t="str">
        <f>IF(OR(D219="",H219=""),"",(INDEX('G-6 Hedgerow Data'!$E$3:$I$15,MATCH(D219,'G-6 Hedgerow Data'!$B$3:$B$15,0),MATCH(H219,'G-6 Hedgerow Data'!$E$2:$I$2,0))))</f>
        <v/>
      </c>
      <c r="N219" s="133"/>
      <c r="O219" s="133"/>
      <c r="P219" s="283" t="str">
        <f t="shared" si="19"/>
        <v/>
      </c>
      <c r="Q219" s="296" t="str">
        <f t="shared" si="20"/>
        <v/>
      </c>
      <c r="R219" s="297" t="str">
        <f t="shared" si="18"/>
        <v/>
      </c>
      <c r="S219" s="311" t="str">
        <f>IF(D219="","",VLOOKUP(D219,'G-6 Hedgerow Data'!$B$3:$AG$15,31,FALSE))</f>
        <v/>
      </c>
      <c r="T219" s="283" t="str">
        <f t="shared" si="21"/>
        <v/>
      </c>
      <c r="U219" s="283" t="str">
        <f t="shared" si="22"/>
        <v/>
      </c>
      <c r="V219" s="299" t="str">
        <f>IF(D219="","",VLOOKUP(S219,'G-3 Multipliers'!$P$3:$Q$6,2,FALSE))</f>
        <v/>
      </c>
      <c r="W219" s="303" t="str">
        <f t="shared" si="23"/>
        <v/>
      </c>
      <c r="X219" s="101"/>
      <c r="Y219" s="115"/>
      <c r="Z219" s="104"/>
      <c r="AG219" s="30" t="str">
        <f>IFERROR(INDEX('G-6 Hedgerow Data'!$BJ$3:$BJ$15,MATCH(D219,'G-6 Hedgerow Data'!$B$3:$B$15,0)),"")</f>
        <v/>
      </c>
    </row>
    <row r="220" spans="2:33" ht="14" hidden="1">
      <c r="B220" s="97">
        <v>209</v>
      </c>
      <c r="C220" s="140"/>
      <c r="D220" s="133"/>
      <c r="E220" s="115"/>
      <c r="F220" s="323" t="str">
        <f>IF(D220="","",VLOOKUP(D220,'G-6 Hedgerow Data'!$B$2:$AG$15,2,FALSE))</f>
        <v/>
      </c>
      <c r="G220" s="276" t="str">
        <f>IF(D220="","",VLOOKUP(D220,'G-6 Hedgerow Data'!$B$2:$AG$15,3,FALSE))</f>
        <v/>
      </c>
      <c r="H220" s="101"/>
      <c r="I220" s="276" t="str">
        <f>IFERROR(IF(H220="","",IF(AND(D220="Non-native and ornamental hedgerow",H220&lt;&gt;"Poor"),"Not possible ▲",(VLOOKUP(H220,'G-1 All Habitats'!$Z$2:$AA$9,2,FALSE)))),"")</f>
        <v/>
      </c>
      <c r="J220" s="101"/>
      <c r="K220" s="295" t="str">
        <f>IF(J220="","",IF(VLOOKUP(J220,'G-3 Multipliers'!$L$3:$N$6,2,FALSE)=0,"Spatial Data Missing ⚠",VLOOKUP(J220,'G-3 Multipliers'!$L$3:$N$6,2,FALSE)))</f>
        <v/>
      </c>
      <c r="L220" s="281" t="str">
        <f>IF(J220="","",IF(VLOOKUP(J220,'G-3 Multipliers'!$L$3:$N$6,3,FALSE)=0,"Spatial Data Missing ⚠",VLOOKUP(J220,'G-3 Multipliers'!$L$3:$N$6,3,FALSE)))</f>
        <v/>
      </c>
      <c r="M220" s="275" t="str">
        <f>IF(OR(D220="",H220=""),"",(INDEX('G-6 Hedgerow Data'!$E$3:$I$15,MATCH(D220,'G-6 Hedgerow Data'!$B$3:$B$15,0),MATCH(H220,'G-6 Hedgerow Data'!$E$2:$I$2,0))))</f>
        <v/>
      </c>
      <c r="N220" s="133"/>
      <c r="O220" s="133"/>
      <c r="P220" s="283" t="str">
        <f t="shared" si="19"/>
        <v/>
      </c>
      <c r="Q220" s="296" t="str">
        <f t="shared" si="20"/>
        <v/>
      </c>
      <c r="R220" s="297" t="str">
        <f t="shared" si="18"/>
        <v/>
      </c>
      <c r="S220" s="311" t="str">
        <f>IF(D220="","",VLOOKUP(D220,'G-6 Hedgerow Data'!$B$3:$AG$15,31,FALSE))</f>
        <v/>
      </c>
      <c r="T220" s="283" t="str">
        <f t="shared" si="21"/>
        <v/>
      </c>
      <c r="U220" s="283" t="str">
        <f t="shared" si="22"/>
        <v/>
      </c>
      <c r="V220" s="299" t="str">
        <f>IF(D220="","",VLOOKUP(S220,'G-3 Multipliers'!$P$3:$Q$6,2,FALSE))</f>
        <v/>
      </c>
      <c r="W220" s="303" t="str">
        <f t="shared" si="23"/>
        <v/>
      </c>
      <c r="X220" s="101"/>
      <c r="Y220" s="115"/>
      <c r="Z220" s="104"/>
      <c r="AG220" s="30" t="str">
        <f>IFERROR(INDEX('G-6 Hedgerow Data'!$BJ$3:$BJ$15,MATCH(D220,'G-6 Hedgerow Data'!$B$3:$B$15,0)),"")</f>
        <v/>
      </c>
    </row>
    <row r="221" spans="2:33" ht="14" hidden="1">
      <c r="B221" s="97">
        <v>210</v>
      </c>
      <c r="C221" s="140"/>
      <c r="D221" s="133"/>
      <c r="E221" s="115"/>
      <c r="F221" s="323" t="str">
        <f>IF(D221="","",VLOOKUP(D221,'G-6 Hedgerow Data'!$B$2:$AG$15,2,FALSE))</f>
        <v/>
      </c>
      <c r="G221" s="276" t="str">
        <f>IF(D221="","",VLOOKUP(D221,'G-6 Hedgerow Data'!$B$2:$AG$15,3,FALSE))</f>
        <v/>
      </c>
      <c r="H221" s="101"/>
      <c r="I221" s="276" t="str">
        <f>IFERROR(IF(H221="","",IF(AND(D221="Non-native and ornamental hedgerow",H221&lt;&gt;"Poor"),"Not possible ▲",(VLOOKUP(H221,'G-1 All Habitats'!$Z$2:$AA$9,2,FALSE)))),"")</f>
        <v/>
      </c>
      <c r="J221" s="101"/>
      <c r="K221" s="295" t="str">
        <f>IF(J221="","",IF(VLOOKUP(J221,'G-3 Multipliers'!$L$3:$N$6,2,FALSE)=0,"Spatial Data Missing ⚠",VLOOKUP(J221,'G-3 Multipliers'!$L$3:$N$6,2,FALSE)))</f>
        <v/>
      </c>
      <c r="L221" s="281" t="str">
        <f>IF(J221="","",IF(VLOOKUP(J221,'G-3 Multipliers'!$L$3:$N$6,3,FALSE)=0,"Spatial Data Missing ⚠",VLOOKUP(J221,'G-3 Multipliers'!$L$3:$N$6,3,FALSE)))</f>
        <v/>
      </c>
      <c r="M221" s="275" t="str">
        <f>IF(OR(D221="",H221=""),"",(INDEX('G-6 Hedgerow Data'!$E$3:$I$15,MATCH(D221,'G-6 Hedgerow Data'!$B$3:$B$15,0),MATCH(H221,'G-6 Hedgerow Data'!$E$2:$I$2,0))))</f>
        <v/>
      </c>
      <c r="N221" s="133"/>
      <c r="O221" s="133"/>
      <c r="P221" s="283" t="str">
        <f t="shared" si="19"/>
        <v/>
      </c>
      <c r="Q221" s="296" t="str">
        <f t="shared" si="20"/>
        <v/>
      </c>
      <c r="R221" s="297" t="str">
        <f t="shared" si="18"/>
        <v/>
      </c>
      <c r="S221" s="311" t="str">
        <f>IF(D221="","",VLOOKUP(D221,'G-6 Hedgerow Data'!$B$3:$AG$15,31,FALSE))</f>
        <v/>
      </c>
      <c r="T221" s="283" t="str">
        <f t="shared" si="21"/>
        <v/>
      </c>
      <c r="U221" s="283" t="str">
        <f t="shared" si="22"/>
        <v/>
      </c>
      <c r="V221" s="299" t="str">
        <f>IF(D221="","",VLOOKUP(S221,'G-3 Multipliers'!$P$3:$Q$6,2,FALSE))</f>
        <v/>
      </c>
      <c r="W221" s="303" t="str">
        <f t="shared" si="23"/>
        <v/>
      </c>
      <c r="X221" s="101"/>
      <c r="Y221" s="115"/>
      <c r="Z221" s="104"/>
      <c r="AG221" s="30" t="str">
        <f>IFERROR(INDEX('G-6 Hedgerow Data'!$BJ$3:$BJ$15,MATCH(D221,'G-6 Hedgerow Data'!$B$3:$B$15,0)),"")</f>
        <v/>
      </c>
    </row>
    <row r="222" spans="2:33" ht="14" hidden="1">
      <c r="B222" s="97">
        <v>211</v>
      </c>
      <c r="C222" s="140"/>
      <c r="D222" s="133"/>
      <c r="E222" s="115"/>
      <c r="F222" s="323" t="str">
        <f>IF(D222="","",VLOOKUP(D222,'G-6 Hedgerow Data'!$B$2:$AG$15,2,FALSE))</f>
        <v/>
      </c>
      <c r="G222" s="276" t="str">
        <f>IF(D222="","",VLOOKUP(D222,'G-6 Hedgerow Data'!$B$2:$AG$15,3,FALSE))</f>
        <v/>
      </c>
      <c r="H222" s="101"/>
      <c r="I222" s="276" t="str">
        <f>IFERROR(IF(H222="","",IF(AND(D222="Non-native and ornamental hedgerow",H222&lt;&gt;"Poor"),"Not possible ▲",(VLOOKUP(H222,'G-1 All Habitats'!$Z$2:$AA$9,2,FALSE)))),"")</f>
        <v/>
      </c>
      <c r="J222" s="101"/>
      <c r="K222" s="295" t="str">
        <f>IF(J222="","",IF(VLOOKUP(J222,'G-3 Multipliers'!$L$3:$N$6,2,FALSE)=0,"Spatial Data Missing ⚠",VLOOKUP(J222,'G-3 Multipliers'!$L$3:$N$6,2,FALSE)))</f>
        <v/>
      </c>
      <c r="L222" s="281" t="str">
        <f>IF(J222="","",IF(VLOOKUP(J222,'G-3 Multipliers'!$L$3:$N$6,3,FALSE)=0,"Spatial Data Missing ⚠",VLOOKUP(J222,'G-3 Multipliers'!$L$3:$N$6,3,FALSE)))</f>
        <v/>
      </c>
      <c r="M222" s="275" t="str">
        <f>IF(OR(D222="",H222=""),"",(INDEX('G-6 Hedgerow Data'!$E$3:$I$15,MATCH(D222,'G-6 Hedgerow Data'!$B$3:$B$15,0),MATCH(H222,'G-6 Hedgerow Data'!$E$2:$I$2,0))))</f>
        <v/>
      </c>
      <c r="N222" s="133"/>
      <c r="O222" s="133"/>
      <c r="P222" s="283" t="str">
        <f t="shared" si="19"/>
        <v/>
      </c>
      <c r="Q222" s="296" t="str">
        <f t="shared" si="20"/>
        <v/>
      </c>
      <c r="R222" s="297" t="str">
        <f t="shared" si="18"/>
        <v/>
      </c>
      <c r="S222" s="311" t="str">
        <f>IF(D222="","",VLOOKUP(D222,'G-6 Hedgerow Data'!$B$3:$AG$15,31,FALSE))</f>
        <v/>
      </c>
      <c r="T222" s="283" t="str">
        <f t="shared" si="21"/>
        <v/>
      </c>
      <c r="U222" s="283" t="str">
        <f t="shared" si="22"/>
        <v/>
      </c>
      <c r="V222" s="299" t="str">
        <f>IF(D222="","",VLOOKUP(S222,'G-3 Multipliers'!$P$3:$Q$6,2,FALSE))</f>
        <v/>
      </c>
      <c r="W222" s="303" t="str">
        <f t="shared" si="23"/>
        <v/>
      </c>
      <c r="X222" s="101"/>
      <c r="Y222" s="115"/>
      <c r="Z222" s="104"/>
      <c r="AG222" s="30" t="str">
        <f>IFERROR(INDEX('G-6 Hedgerow Data'!$BJ$3:$BJ$15,MATCH(D222,'G-6 Hedgerow Data'!$B$3:$B$15,0)),"")</f>
        <v/>
      </c>
    </row>
    <row r="223" spans="2:33" ht="14" hidden="1">
      <c r="B223" s="97">
        <v>212</v>
      </c>
      <c r="C223" s="140"/>
      <c r="D223" s="133"/>
      <c r="E223" s="115"/>
      <c r="F223" s="323" t="str">
        <f>IF(D223="","",VLOOKUP(D223,'G-6 Hedgerow Data'!$B$2:$AG$15,2,FALSE))</f>
        <v/>
      </c>
      <c r="G223" s="276" t="str">
        <f>IF(D223="","",VLOOKUP(D223,'G-6 Hedgerow Data'!$B$2:$AG$15,3,FALSE))</f>
        <v/>
      </c>
      <c r="H223" s="101"/>
      <c r="I223" s="276" t="str">
        <f>IFERROR(IF(H223="","",IF(AND(D223="Non-native and ornamental hedgerow",H223&lt;&gt;"Poor"),"Not possible ▲",(VLOOKUP(H223,'G-1 All Habitats'!$Z$2:$AA$9,2,FALSE)))),"")</f>
        <v/>
      </c>
      <c r="J223" s="101"/>
      <c r="K223" s="295" t="str">
        <f>IF(J223="","",IF(VLOOKUP(J223,'G-3 Multipliers'!$L$3:$N$6,2,FALSE)=0,"Spatial Data Missing ⚠",VLOOKUP(J223,'G-3 Multipliers'!$L$3:$N$6,2,FALSE)))</f>
        <v/>
      </c>
      <c r="L223" s="281" t="str">
        <f>IF(J223="","",IF(VLOOKUP(J223,'G-3 Multipliers'!$L$3:$N$6,3,FALSE)=0,"Spatial Data Missing ⚠",VLOOKUP(J223,'G-3 Multipliers'!$L$3:$N$6,3,FALSE)))</f>
        <v/>
      </c>
      <c r="M223" s="275" t="str">
        <f>IF(OR(D223="",H223=""),"",(INDEX('G-6 Hedgerow Data'!$E$3:$I$15,MATCH(D223,'G-6 Hedgerow Data'!$B$3:$B$15,0),MATCH(H223,'G-6 Hedgerow Data'!$E$2:$I$2,0))))</f>
        <v/>
      </c>
      <c r="N223" s="133"/>
      <c r="O223" s="133"/>
      <c r="P223" s="283" t="str">
        <f t="shared" si="19"/>
        <v/>
      </c>
      <c r="Q223" s="296" t="str">
        <f t="shared" si="20"/>
        <v/>
      </c>
      <c r="R223" s="297" t="str">
        <f t="shared" si="18"/>
        <v/>
      </c>
      <c r="S223" s="311" t="str">
        <f>IF(D223="","",VLOOKUP(D223,'G-6 Hedgerow Data'!$B$3:$AG$15,31,FALSE))</f>
        <v/>
      </c>
      <c r="T223" s="283" t="str">
        <f t="shared" si="21"/>
        <v/>
      </c>
      <c r="U223" s="283" t="str">
        <f t="shared" si="22"/>
        <v/>
      </c>
      <c r="V223" s="299" t="str">
        <f>IF(D223="","",VLOOKUP(S223,'G-3 Multipliers'!$P$3:$Q$6,2,FALSE))</f>
        <v/>
      </c>
      <c r="W223" s="303" t="str">
        <f t="shared" si="23"/>
        <v/>
      </c>
      <c r="X223" s="101"/>
      <c r="Y223" s="115"/>
      <c r="Z223" s="104"/>
      <c r="AG223" s="30" t="str">
        <f>IFERROR(INDEX('G-6 Hedgerow Data'!$BJ$3:$BJ$15,MATCH(D223,'G-6 Hedgerow Data'!$B$3:$B$15,0)),"")</f>
        <v/>
      </c>
    </row>
    <row r="224" spans="2:33" ht="14" hidden="1">
      <c r="B224" s="97">
        <v>213</v>
      </c>
      <c r="C224" s="140"/>
      <c r="D224" s="133"/>
      <c r="E224" s="115"/>
      <c r="F224" s="323" t="str">
        <f>IF(D224="","",VLOOKUP(D224,'G-6 Hedgerow Data'!$B$2:$AG$15,2,FALSE))</f>
        <v/>
      </c>
      <c r="G224" s="276" t="str">
        <f>IF(D224="","",VLOOKUP(D224,'G-6 Hedgerow Data'!$B$2:$AG$15,3,FALSE))</f>
        <v/>
      </c>
      <c r="H224" s="101"/>
      <c r="I224" s="276" t="str">
        <f>IFERROR(IF(H224="","",IF(AND(D224="Non-native and ornamental hedgerow",H224&lt;&gt;"Poor"),"Not possible ▲",(VLOOKUP(H224,'G-1 All Habitats'!$Z$2:$AA$9,2,FALSE)))),"")</f>
        <v/>
      </c>
      <c r="J224" s="101"/>
      <c r="K224" s="295" t="str">
        <f>IF(J224="","",IF(VLOOKUP(J224,'G-3 Multipliers'!$L$3:$N$6,2,FALSE)=0,"Spatial Data Missing ⚠",VLOOKUP(J224,'G-3 Multipliers'!$L$3:$N$6,2,FALSE)))</f>
        <v/>
      </c>
      <c r="L224" s="281" t="str">
        <f>IF(J224="","",IF(VLOOKUP(J224,'G-3 Multipliers'!$L$3:$N$6,3,FALSE)=0,"Spatial Data Missing ⚠",VLOOKUP(J224,'G-3 Multipliers'!$L$3:$N$6,3,FALSE)))</f>
        <v/>
      </c>
      <c r="M224" s="275" t="str">
        <f>IF(OR(D224="",H224=""),"",(INDEX('G-6 Hedgerow Data'!$E$3:$I$15,MATCH(D224,'G-6 Hedgerow Data'!$B$3:$B$15,0),MATCH(H224,'G-6 Hedgerow Data'!$E$2:$I$2,0))))</f>
        <v/>
      </c>
      <c r="N224" s="133"/>
      <c r="O224" s="133"/>
      <c r="P224" s="283" t="str">
        <f t="shared" si="19"/>
        <v/>
      </c>
      <c r="Q224" s="296" t="str">
        <f t="shared" si="20"/>
        <v/>
      </c>
      <c r="R224" s="297" t="str">
        <f t="shared" si="18"/>
        <v/>
      </c>
      <c r="S224" s="311" t="str">
        <f>IF(D224="","",VLOOKUP(D224,'G-6 Hedgerow Data'!$B$3:$AG$15,31,FALSE))</f>
        <v/>
      </c>
      <c r="T224" s="283" t="str">
        <f t="shared" si="21"/>
        <v/>
      </c>
      <c r="U224" s="283" t="str">
        <f t="shared" si="22"/>
        <v/>
      </c>
      <c r="V224" s="299" t="str">
        <f>IF(D224="","",VLOOKUP(S224,'G-3 Multipliers'!$P$3:$Q$6,2,FALSE))</f>
        <v/>
      </c>
      <c r="W224" s="303" t="str">
        <f t="shared" si="23"/>
        <v/>
      </c>
      <c r="X224" s="101"/>
      <c r="Y224" s="115"/>
      <c r="Z224" s="104"/>
      <c r="AG224" s="30" t="str">
        <f>IFERROR(INDEX('G-6 Hedgerow Data'!$BJ$3:$BJ$15,MATCH(D224,'G-6 Hedgerow Data'!$B$3:$B$15,0)),"")</f>
        <v/>
      </c>
    </row>
    <row r="225" spans="2:33" ht="14" hidden="1">
      <c r="B225" s="97">
        <v>214</v>
      </c>
      <c r="C225" s="140"/>
      <c r="D225" s="133"/>
      <c r="E225" s="115"/>
      <c r="F225" s="323" t="str">
        <f>IF(D225="","",VLOOKUP(D225,'G-6 Hedgerow Data'!$B$2:$AG$15,2,FALSE))</f>
        <v/>
      </c>
      <c r="G225" s="276" t="str">
        <f>IF(D225="","",VLOOKUP(D225,'G-6 Hedgerow Data'!$B$2:$AG$15,3,FALSE))</f>
        <v/>
      </c>
      <c r="H225" s="101"/>
      <c r="I225" s="276" t="str">
        <f>IFERROR(IF(H225="","",IF(AND(D225="Non-native and ornamental hedgerow",H225&lt;&gt;"Poor"),"Not possible ▲",(VLOOKUP(H225,'G-1 All Habitats'!$Z$2:$AA$9,2,FALSE)))),"")</f>
        <v/>
      </c>
      <c r="J225" s="101"/>
      <c r="K225" s="295" t="str">
        <f>IF(J225="","",IF(VLOOKUP(J225,'G-3 Multipliers'!$L$3:$N$6,2,FALSE)=0,"Spatial Data Missing ⚠",VLOOKUP(J225,'G-3 Multipliers'!$L$3:$N$6,2,FALSE)))</f>
        <v/>
      </c>
      <c r="L225" s="281" t="str">
        <f>IF(J225="","",IF(VLOOKUP(J225,'G-3 Multipliers'!$L$3:$N$6,3,FALSE)=0,"Spatial Data Missing ⚠",VLOOKUP(J225,'G-3 Multipliers'!$L$3:$N$6,3,FALSE)))</f>
        <v/>
      </c>
      <c r="M225" s="275" t="str">
        <f>IF(OR(D225="",H225=""),"",(INDEX('G-6 Hedgerow Data'!$E$3:$I$15,MATCH(D225,'G-6 Hedgerow Data'!$B$3:$B$15,0),MATCH(H225,'G-6 Hedgerow Data'!$E$2:$I$2,0))))</f>
        <v/>
      </c>
      <c r="N225" s="133"/>
      <c r="O225" s="133"/>
      <c r="P225" s="283" t="str">
        <f t="shared" si="19"/>
        <v/>
      </c>
      <c r="Q225" s="296" t="str">
        <f t="shared" si="20"/>
        <v/>
      </c>
      <c r="R225" s="297" t="str">
        <f t="shared" si="18"/>
        <v/>
      </c>
      <c r="S225" s="311" t="str">
        <f>IF(D225="","",VLOOKUP(D225,'G-6 Hedgerow Data'!$B$3:$AG$15,31,FALSE))</f>
        <v/>
      </c>
      <c r="T225" s="283" t="str">
        <f t="shared" si="21"/>
        <v/>
      </c>
      <c r="U225" s="283" t="str">
        <f t="shared" si="22"/>
        <v/>
      </c>
      <c r="V225" s="299" t="str">
        <f>IF(D225="","",VLOOKUP(S225,'G-3 Multipliers'!$P$3:$Q$6,2,FALSE))</f>
        <v/>
      </c>
      <c r="W225" s="303" t="str">
        <f t="shared" si="23"/>
        <v/>
      </c>
      <c r="X225" s="101"/>
      <c r="Y225" s="115"/>
      <c r="Z225" s="104"/>
      <c r="AG225" s="30" t="str">
        <f>IFERROR(INDEX('G-6 Hedgerow Data'!$BJ$3:$BJ$15,MATCH(D225,'G-6 Hedgerow Data'!$B$3:$B$15,0)),"")</f>
        <v/>
      </c>
    </row>
    <row r="226" spans="2:33" ht="14" hidden="1">
      <c r="B226" s="97">
        <v>215</v>
      </c>
      <c r="C226" s="140"/>
      <c r="D226" s="133"/>
      <c r="E226" s="115"/>
      <c r="F226" s="323" t="str">
        <f>IF(D226="","",VLOOKUP(D226,'G-6 Hedgerow Data'!$B$2:$AG$15,2,FALSE))</f>
        <v/>
      </c>
      <c r="G226" s="276" t="str">
        <f>IF(D226="","",VLOOKUP(D226,'G-6 Hedgerow Data'!$B$2:$AG$15,3,FALSE))</f>
        <v/>
      </c>
      <c r="H226" s="101"/>
      <c r="I226" s="276" t="str">
        <f>IFERROR(IF(H226="","",IF(AND(D226="Non-native and ornamental hedgerow",H226&lt;&gt;"Poor"),"Not possible ▲",(VLOOKUP(H226,'G-1 All Habitats'!$Z$2:$AA$9,2,FALSE)))),"")</f>
        <v/>
      </c>
      <c r="J226" s="101"/>
      <c r="K226" s="295" t="str">
        <f>IF(J226="","",IF(VLOOKUP(J226,'G-3 Multipliers'!$L$3:$N$6,2,FALSE)=0,"Spatial Data Missing ⚠",VLOOKUP(J226,'G-3 Multipliers'!$L$3:$N$6,2,FALSE)))</f>
        <v/>
      </c>
      <c r="L226" s="281" t="str">
        <f>IF(J226="","",IF(VLOOKUP(J226,'G-3 Multipliers'!$L$3:$N$6,3,FALSE)=0,"Spatial Data Missing ⚠",VLOOKUP(J226,'G-3 Multipliers'!$L$3:$N$6,3,FALSE)))</f>
        <v/>
      </c>
      <c r="M226" s="275" t="str">
        <f>IF(OR(D226="",H226=""),"",(INDEX('G-6 Hedgerow Data'!$E$3:$I$15,MATCH(D226,'G-6 Hedgerow Data'!$B$3:$B$15,0),MATCH(H226,'G-6 Hedgerow Data'!$E$2:$I$2,0))))</f>
        <v/>
      </c>
      <c r="N226" s="133"/>
      <c r="O226" s="133"/>
      <c r="P226" s="283" t="str">
        <f t="shared" si="19"/>
        <v/>
      </c>
      <c r="Q226" s="296" t="str">
        <f t="shared" si="20"/>
        <v/>
      </c>
      <c r="R226" s="297" t="str">
        <f t="shared" si="18"/>
        <v/>
      </c>
      <c r="S226" s="311" t="str">
        <f>IF(D226="","",VLOOKUP(D226,'G-6 Hedgerow Data'!$B$3:$AG$15,31,FALSE))</f>
        <v/>
      </c>
      <c r="T226" s="283" t="str">
        <f t="shared" si="21"/>
        <v/>
      </c>
      <c r="U226" s="283" t="str">
        <f t="shared" si="22"/>
        <v/>
      </c>
      <c r="V226" s="299" t="str">
        <f>IF(D226="","",VLOOKUP(S226,'G-3 Multipliers'!$P$3:$Q$6,2,FALSE))</f>
        <v/>
      </c>
      <c r="W226" s="303" t="str">
        <f t="shared" si="23"/>
        <v/>
      </c>
      <c r="X226" s="101"/>
      <c r="Y226" s="115"/>
      <c r="Z226" s="104"/>
      <c r="AG226" s="30" t="str">
        <f>IFERROR(INDEX('G-6 Hedgerow Data'!$BJ$3:$BJ$15,MATCH(D226,'G-6 Hedgerow Data'!$B$3:$B$15,0)),"")</f>
        <v/>
      </c>
    </row>
    <row r="227" spans="2:33" ht="14" hidden="1">
      <c r="B227" s="97">
        <v>216</v>
      </c>
      <c r="C227" s="140"/>
      <c r="D227" s="133"/>
      <c r="E227" s="115"/>
      <c r="F227" s="323" t="str">
        <f>IF(D227="","",VLOOKUP(D227,'G-6 Hedgerow Data'!$B$2:$AG$15,2,FALSE))</f>
        <v/>
      </c>
      <c r="G227" s="276" t="str">
        <f>IF(D227="","",VLOOKUP(D227,'G-6 Hedgerow Data'!$B$2:$AG$15,3,FALSE))</f>
        <v/>
      </c>
      <c r="H227" s="101"/>
      <c r="I227" s="276" t="str">
        <f>IFERROR(IF(H227="","",IF(AND(D227="Non-native and ornamental hedgerow",H227&lt;&gt;"Poor"),"Not possible ▲",(VLOOKUP(H227,'G-1 All Habitats'!$Z$2:$AA$9,2,FALSE)))),"")</f>
        <v/>
      </c>
      <c r="J227" s="101"/>
      <c r="K227" s="295" t="str">
        <f>IF(J227="","",IF(VLOOKUP(J227,'G-3 Multipliers'!$L$3:$N$6,2,FALSE)=0,"Spatial Data Missing ⚠",VLOOKUP(J227,'G-3 Multipliers'!$L$3:$N$6,2,FALSE)))</f>
        <v/>
      </c>
      <c r="L227" s="281" t="str">
        <f>IF(J227="","",IF(VLOOKUP(J227,'G-3 Multipliers'!$L$3:$N$6,3,FALSE)=0,"Spatial Data Missing ⚠",VLOOKUP(J227,'G-3 Multipliers'!$L$3:$N$6,3,FALSE)))</f>
        <v/>
      </c>
      <c r="M227" s="275" t="str">
        <f>IF(OR(D227="",H227=""),"",(INDEX('G-6 Hedgerow Data'!$E$3:$I$15,MATCH(D227,'G-6 Hedgerow Data'!$B$3:$B$15,0),MATCH(H227,'G-6 Hedgerow Data'!$E$2:$I$2,0))))</f>
        <v/>
      </c>
      <c r="N227" s="133"/>
      <c r="O227" s="133"/>
      <c r="P227" s="283" t="str">
        <f t="shared" si="19"/>
        <v/>
      </c>
      <c r="Q227" s="296" t="str">
        <f t="shared" si="20"/>
        <v/>
      </c>
      <c r="R227" s="297" t="str">
        <f t="shared" si="18"/>
        <v/>
      </c>
      <c r="S227" s="311" t="str">
        <f>IF(D227="","",VLOOKUP(D227,'G-6 Hedgerow Data'!$B$3:$AG$15,31,FALSE))</f>
        <v/>
      </c>
      <c r="T227" s="283" t="str">
        <f t="shared" si="21"/>
        <v/>
      </c>
      <c r="U227" s="283" t="str">
        <f t="shared" si="22"/>
        <v/>
      </c>
      <c r="V227" s="299" t="str">
        <f>IF(D227="","",VLOOKUP(S227,'G-3 Multipliers'!$P$3:$Q$6,2,FALSE))</f>
        <v/>
      </c>
      <c r="W227" s="303" t="str">
        <f t="shared" si="23"/>
        <v/>
      </c>
      <c r="X227" s="101"/>
      <c r="Y227" s="115"/>
      <c r="Z227" s="104"/>
      <c r="AG227" s="30" t="str">
        <f>IFERROR(INDEX('G-6 Hedgerow Data'!$BJ$3:$BJ$15,MATCH(D227,'G-6 Hedgerow Data'!$B$3:$B$15,0)),"")</f>
        <v/>
      </c>
    </row>
    <row r="228" spans="2:33" ht="14" hidden="1">
      <c r="B228" s="97">
        <v>217</v>
      </c>
      <c r="C228" s="140"/>
      <c r="D228" s="133"/>
      <c r="E228" s="115"/>
      <c r="F228" s="323" t="str">
        <f>IF(D228="","",VLOOKUP(D228,'G-6 Hedgerow Data'!$B$2:$AG$15,2,FALSE))</f>
        <v/>
      </c>
      <c r="G228" s="276" t="str">
        <f>IF(D228="","",VLOOKUP(D228,'G-6 Hedgerow Data'!$B$2:$AG$15,3,FALSE))</f>
        <v/>
      </c>
      <c r="H228" s="101"/>
      <c r="I228" s="276" t="str">
        <f>IFERROR(IF(H228="","",IF(AND(D228="Non-native and ornamental hedgerow",H228&lt;&gt;"Poor"),"Not possible ▲",(VLOOKUP(H228,'G-1 All Habitats'!$Z$2:$AA$9,2,FALSE)))),"")</f>
        <v/>
      </c>
      <c r="J228" s="101"/>
      <c r="K228" s="295" t="str">
        <f>IF(J228="","",IF(VLOOKUP(J228,'G-3 Multipliers'!$L$3:$N$6,2,FALSE)=0,"Spatial Data Missing ⚠",VLOOKUP(J228,'G-3 Multipliers'!$L$3:$N$6,2,FALSE)))</f>
        <v/>
      </c>
      <c r="L228" s="281" t="str">
        <f>IF(J228="","",IF(VLOOKUP(J228,'G-3 Multipliers'!$L$3:$N$6,3,FALSE)=0,"Spatial Data Missing ⚠",VLOOKUP(J228,'G-3 Multipliers'!$L$3:$N$6,3,FALSE)))</f>
        <v/>
      </c>
      <c r="M228" s="275" t="str">
        <f>IF(OR(D228="",H228=""),"",(INDEX('G-6 Hedgerow Data'!$E$3:$I$15,MATCH(D228,'G-6 Hedgerow Data'!$B$3:$B$15,0),MATCH(H228,'G-6 Hedgerow Data'!$E$2:$I$2,0))))</f>
        <v/>
      </c>
      <c r="N228" s="133"/>
      <c r="O228" s="133"/>
      <c r="P228" s="283" t="str">
        <f t="shared" si="19"/>
        <v/>
      </c>
      <c r="Q228" s="296" t="str">
        <f t="shared" si="20"/>
        <v/>
      </c>
      <c r="R228" s="297" t="str">
        <f t="shared" si="18"/>
        <v/>
      </c>
      <c r="S228" s="311" t="str">
        <f>IF(D228="","",VLOOKUP(D228,'G-6 Hedgerow Data'!$B$3:$AG$15,31,FALSE))</f>
        <v/>
      </c>
      <c r="T228" s="283" t="str">
        <f t="shared" si="21"/>
        <v/>
      </c>
      <c r="U228" s="283" t="str">
        <f t="shared" si="22"/>
        <v/>
      </c>
      <c r="V228" s="299" t="str">
        <f>IF(D228="","",VLOOKUP(S228,'G-3 Multipliers'!$P$3:$Q$6,2,FALSE))</f>
        <v/>
      </c>
      <c r="W228" s="303" t="str">
        <f t="shared" si="23"/>
        <v/>
      </c>
      <c r="X228" s="101"/>
      <c r="Y228" s="115"/>
      <c r="Z228" s="104"/>
      <c r="AG228" s="30" t="str">
        <f>IFERROR(INDEX('G-6 Hedgerow Data'!$BJ$3:$BJ$15,MATCH(D228,'G-6 Hedgerow Data'!$B$3:$B$15,0)),"")</f>
        <v/>
      </c>
    </row>
    <row r="229" spans="2:33" ht="14" hidden="1">
      <c r="B229" s="97">
        <v>218</v>
      </c>
      <c r="C229" s="140"/>
      <c r="D229" s="133"/>
      <c r="E229" s="115"/>
      <c r="F229" s="323" t="str">
        <f>IF(D229="","",VLOOKUP(D229,'G-6 Hedgerow Data'!$B$2:$AG$15,2,FALSE))</f>
        <v/>
      </c>
      <c r="G229" s="276" t="str">
        <f>IF(D229="","",VLOOKUP(D229,'G-6 Hedgerow Data'!$B$2:$AG$15,3,FALSE))</f>
        <v/>
      </c>
      <c r="H229" s="101"/>
      <c r="I229" s="276" t="str">
        <f>IFERROR(IF(H229="","",IF(AND(D229="Non-native and ornamental hedgerow",H229&lt;&gt;"Poor"),"Not possible ▲",(VLOOKUP(H229,'G-1 All Habitats'!$Z$2:$AA$9,2,FALSE)))),"")</f>
        <v/>
      </c>
      <c r="J229" s="101"/>
      <c r="K229" s="295" t="str">
        <f>IF(J229="","",IF(VLOOKUP(J229,'G-3 Multipliers'!$L$3:$N$6,2,FALSE)=0,"Spatial Data Missing ⚠",VLOOKUP(J229,'G-3 Multipliers'!$L$3:$N$6,2,FALSE)))</f>
        <v/>
      </c>
      <c r="L229" s="281" t="str">
        <f>IF(J229="","",IF(VLOOKUP(J229,'G-3 Multipliers'!$L$3:$N$6,3,FALSE)=0,"Spatial Data Missing ⚠",VLOOKUP(J229,'G-3 Multipliers'!$L$3:$N$6,3,FALSE)))</f>
        <v/>
      </c>
      <c r="M229" s="275" t="str">
        <f>IF(OR(D229="",H229=""),"",(INDEX('G-6 Hedgerow Data'!$E$3:$I$15,MATCH(D229,'G-6 Hedgerow Data'!$B$3:$B$15,0),MATCH(H229,'G-6 Hedgerow Data'!$E$2:$I$2,0))))</f>
        <v/>
      </c>
      <c r="N229" s="133"/>
      <c r="O229" s="133"/>
      <c r="P229" s="283" t="str">
        <f t="shared" si="19"/>
        <v/>
      </c>
      <c r="Q229" s="296" t="str">
        <f t="shared" si="20"/>
        <v/>
      </c>
      <c r="R229" s="297" t="str">
        <f t="shared" si="18"/>
        <v/>
      </c>
      <c r="S229" s="311" t="str">
        <f>IF(D229="","",VLOOKUP(D229,'G-6 Hedgerow Data'!$B$3:$AG$15,31,FALSE))</f>
        <v/>
      </c>
      <c r="T229" s="283" t="str">
        <f t="shared" si="21"/>
        <v/>
      </c>
      <c r="U229" s="283" t="str">
        <f t="shared" si="22"/>
        <v/>
      </c>
      <c r="V229" s="299" t="str">
        <f>IF(D229="","",VLOOKUP(S229,'G-3 Multipliers'!$P$3:$Q$6,2,FALSE))</f>
        <v/>
      </c>
      <c r="W229" s="303" t="str">
        <f t="shared" si="23"/>
        <v/>
      </c>
      <c r="X229" s="101"/>
      <c r="Y229" s="115"/>
      <c r="Z229" s="104"/>
      <c r="AG229" s="30" t="str">
        <f>IFERROR(INDEX('G-6 Hedgerow Data'!$BJ$3:$BJ$15,MATCH(D229,'G-6 Hedgerow Data'!$B$3:$B$15,0)),"")</f>
        <v/>
      </c>
    </row>
    <row r="230" spans="2:33" ht="14" hidden="1">
      <c r="B230" s="97">
        <v>219</v>
      </c>
      <c r="C230" s="140"/>
      <c r="D230" s="133"/>
      <c r="E230" s="115"/>
      <c r="F230" s="323" t="str">
        <f>IF(D230="","",VLOOKUP(D230,'G-6 Hedgerow Data'!$B$2:$AG$15,2,FALSE))</f>
        <v/>
      </c>
      <c r="G230" s="276" t="str">
        <f>IF(D230="","",VLOOKUP(D230,'G-6 Hedgerow Data'!$B$2:$AG$15,3,FALSE))</f>
        <v/>
      </c>
      <c r="H230" s="101"/>
      <c r="I230" s="276" t="str">
        <f>IFERROR(IF(H230="","",IF(AND(D230="Non-native and ornamental hedgerow",H230&lt;&gt;"Poor"),"Not possible ▲",(VLOOKUP(H230,'G-1 All Habitats'!$Z$2:$AA$9,2,FALSE)))),"")</f>
        <v/>
      </c>
      <c r="J230" s="101"/>
      <c r="K230" s="295" t="str">
        <f>IF(J230="","",IF(VLOOKUP(J230,'G-3 Multipliers'!$L$3:$N$6,2,FALSE)=0,"Spatial Data Missing ⚠",VLOOKUP(J230,'G-3 Multipliers'!$L$3:$N$6,2,FALSE)))</f>
        <v/>
      </c>
      <c r="L230" s="281" t="str">
        <f>IF(J230="","",IF(VLOOKUP(J230,'G-3 Multipliers'!$L$3:$N$6,3,FALSE)=0,"Spatial Data Missing ⚠",VLOOKUP(J230,'G-3 Multipliers'!$L$3:$N$6,3,FALSE)))</f>
        <v/>
      </c>
      <c r="M230" s="275" t="str">
        <f>IF(OR(D230="",H230=""),"",(INDEX('G-6 Hedgerow Data'!$E$3:$I$15,MATCH(D230,'G-6 Hedgerow Data'!$B$3:$B$15,0),MATCH(H230,'G-6 Hedgerow Data'!$E$2:$I$2,0))))</f>
        <v/>
      </c>
      <c r="N230" s="133"/>
      <c r="O230" s="133"/>
      <c r="P230" s="283" t="str">
        <f t="shared" si="19"/>
        <v/>
      </c>
      <c r="Q230" s="296" t="str">
        <f t="shared" si="20"/>
        <v/>
      </c>
      <c r="R230" s="297" t="str">
        <f t="shared" si="18"/>
        <v/>
      </c>
      <c r="S230" s="311" t="str">
        <f>IF(D230="","",VLOOKUP(D230,'G-6 Hedgerow Data'!$B$3:$AG$15,31,FALSE))</f>
        <v/>
      </c>
      <c r="T230" s="283" t="str">
        <f t="shared" si="21"/>
        <v/>
      </c>
      <c r="U230" s="283" t="str">
        <f t="shared" si="22"/>
        <v/>
      </c>
      <c r="V230" s="299" t="str">
        <f>IF(D230="","",VLOOKUP(S230,'G-3 Multipliers'!$P$3:$Q$6,2,FALSE))</f>
        <v/>
      </c>
      <c r="W230" s="303" t="str">
        <f t="shared" si="23"/>
        <v/>
      </c>
      <c r="X230" s="101"/>
      <c r="Y230" s="115"/>
      <c r="Z230" s="104"/>
      <c r="AG230" s="30" t="str">
        <f>IFERROR(INDEX('G-6 Hedgerow Data'!$BJ$3:$BJ$15,MATCH(D230,'G-6 Hedgerow Data'!$B$3:$B$15,0)),"")</f>
        <v/>
      </c>
    </row>
    <row r="231" spans="2:33" ht="14" hidden="1">
      <c r="B231" s="97">
        <v>220</v>
      </c>
      <c r="C231" s="140"/>
      <c r="D231" s="133"/>
      <c r="E231" s="115"/>
      <c r="F231" s="323" t="str">
        <f>IF(D231="","",VLOOKUP(D231,'G-6 Hedgerow Data'!$B$2:$AG$15,2,FALSE))</f>
        <v/>
      </c>
      <c r="G231" s="276" t="str">
        <f>IF(D231="","",VLOOKUP(D231,'G-6 Hedgerow Data'!$B$2:$AG$15,3,FALSE))</f>
        <v/>
      </c>
      <c r="H231" s="101"/>
      <c r="I231" s="276" t="str">
        <f>IFERROR(IF(H231="","",IF(AND(D231="Non-native and ornamental hedgerow",H231&lt;&gt;"Poor"),"Not possible ▲",(VLOOKUP(H231,'G-1 All Habitats'!$Z$2:$AA$9,2,FALSE)))),"")</f>
        <v/>
      </c>
      <c r="J231" s="101"/>
      <c r="K231" s="295" t="str">
        <f>IF(J231="","",IF(VLOOKUP(J231,'G-3 Multipliers'!$L$3:$N$6,2,FALSE)=0,"Spatial Data Missing ⚠",VLOOKUP(J231,'G-3 Multipliers'!$L$3:$N$6,2,FALSE)))</f>
        <v/>
      </c>
      <c r="L231" s="281" t="str">
        <f>IF(J231="","",IF(VLOOKUP(J231,'G-3 Multipliers'!$L$3:$N$6,3,FALSE)=0,"Spatial Data Missing ⚠",VLOOKUP(J231,'G-3 Multipliers'!$L$3:$N$6,3,FALSE)))</f>
        <v/>
      </c>
      <c r="M231" s="275" t="str">
        <f>IF(OR(D231="",H231=""),"",(INDEX('G-6 Hedgerow Data'!$E$3:$I$15,MATCH(D231,'G-6 Hedgerow Data'!$B$3:$B$15,0),MATCH(H231,'G-6 Hedgerow Data'!$E$2:$I$2,0))))</f>
        <v/>
      </c>
      <c r="N231" s="133"/>
      <c r="O231" s="133"/>
      <c r="P231" s="283" t="str">
        <f t="shared" si="19"/>
        <v/>
      </c>
      <c r="Q231" s="296" t="str">
        <f t="shared" si="20"/>
        <v/>
      </c>
      <c r="R231" s="297" t="str">
        <f t="shared" si="18"/>
        <v/>
      </c>
      <c r="S231" s="311" t="str">
        <f>IF(D231="","",VLOOKUP(D231,'G-6 Hedgerow Data'!$B$3:$AG$15,31,FALSE))</f>
        <v/>
      </c>
      <c r="T231" s="283" t="str">
        <f t="shared" si="21"/>
        <v/>
      </c>
      <c r="U231" s="283" t="str">
        <f t="shared" si="22"/>
        <v/>
      </c>
      <c r="V231" s="299" t="str">
        <f>IF(D231="","",VLOOKUP(S231,'G-3 Multipliers'!$P$3:$Q$6,2,FALSE))</f>
        <v/>
      </c>
      <c r="W231" s="303" t="str">
        <f t="shared" si="23"/>
        <v/>
      </c>
      <c r="X231" s="101"/>
      <c r="Y231" s="115"/>
      <c r="Z231" s="104"/>
      <c r="AG231" s="30" t="str">
        <f>IFERROR(INDEX('G-6 Hedgerow Data'!$BJ$3:$BJ$15,MATCH(D231,'G-6 Hedgerow Data'!$B$3:$B$15,0)),"")</f>
        <v/>
      </c>
    </row>
    <row r="232" spans="2:33" ht="14" hidden="1">
      <c r="B232" s="97">
        <v>221</v>
      </c>
      <c r="C232" s="140"/>
      <c r="D232" s="133"/>
      <c r="E232" s="115"/>
      <c r="F232" s="323" t="str">
        <f>IF(D232="","",VLOOKUP(D232,'G-6 Hedgerow Data'!$B$2:$AG$15,2,FALSE))</f>
        <v/>
      </c>
      <c r="G232" s="276" t="str">
        <f>IF(D232="","",VLOOKUP(D232,'G-6 Hedgerow Data'!$B$2:$AG$15,3,FALSE))</f>
        <v/>
      </c>
      <c r="H232" s="101"/>
      <c r="I232" s="276" t="str">
        <f>IFERROR(IF(H232="","",IF(AND(D232="Non-native and ornamental hedgerow",H232&lt;&gt;"Poor"),"Not possible ▲",(VLOOKUP(H232,'G-1 All Habitats'!$Z$2:$AA$9,2,FALSE)))),"")</f>
        <v/>
      </c>
      <c r="J232" s="101"/>
      <c r="K232" s="295" t="str">
        <f>IF(J232="","",IF(VLOOKUP(J232,'G-3 Multipliers'!$L$3:$N$6,2,FALSE)=0,"Spatial Data Missing ⚠",VLOOKUP(J232,'G-3 Multipliers'!$L$3:$N$6,2,FALSE)))</f>
        <v/>
      </c>
      <c r="L232" s="281" t="str">
        <f>IF(J232="","",IF(VLOOKUP(J232,'G-3 Multipliers'!$L$3:$N$6,3,FALSE)=0,"Spatial Data Missing ⚠",VLOOKUP(J232,'G-3 Multipliers'!$L$3:$N$6,3,FALSE)))</f>
        <v/>
      </c>
      <c r="M232" s="275" t="str">
        <f>IF(OR(D232="",H232=""),"",(INDEX('G-6 Hedgerow Data'!$E$3:$I$15,MATCH(D232,'G-6 Hedgerow Data'!$B$3:$B$15,0),MATCH(H232,'G-6 Hedgerow Data'!$E$2:$I$2,0))))</f>
        <v/>
      </c>
      <c r="N232" s="133"/>
      <c r="O232" s="133"/>
      <c r="P232" s="283" t="str">
        <f t="shared" si="19"/>
        <v/>
      </c>
      <c r="Q232" s="296" t="str">
        <f t="shared" si="20"/>
        <v/>
      </c>
      <c r="R232" s="297" t="str">
        <f t="shared" si="18"/>
        <v/>
      </c>
      <c r="S232" s="311" t="str">
        <f>IF(D232="","",VLOOKUP(D232,'G-6 Hedgerow Data'!$B$3:$AG$15,31,FALSE))</f>
        <v/>
      </c>
      <c r="T232" s="283" t="str">
        <f t="shared" si="21"/>
        <v/>
      </c>
      <c r="U232" s="283" t="str">
        <f t="shared" si="22"/>
        <v/>
      </c>
      <c r="V232" s="299" t="str">
        <f>IF(D232="","",VLOOKUP(S232,'G-3 Multipliers'!$P$3:$Q$6,2,FALSE))</f>
        <v/>
      </c>
      <c r="W232" s="303" t="str">
        <f t="shared" si="23"/>
        <v/>
      </c>
      <c r="X232" s="101"/>
      <c r="Y232" s="115"/>
      <c r="Z232" s="104"/>
      <c r="AG232" s="30" t="str">
        <f>IFERROR(INDEX('G-6 Hedgerow Data'!$BJ$3:$BJ$15,MATCH(D232,'G-6 Hedgerow Data'!$B$3:$B$15,0)),"")</f>
        <v/>
      </c>
    </row>
    <row r="233" spans="2:33" ht="14" hidden="1">
      <c r="B233" s="97">
        <v>222</v>
      </c>
      <c r="C233" s="140"/>
      <c r="D233" s="133"/>
      <c r="E233" s="115"/>
      <c r="F233" s="323" t="str">
        <f>IF(D233="","",VLOOKUP(D233,'G-6 Hedgerow Data'!$B$2:$AG$15,2,FALSE))</f>
        <v/>
      </c>
      <c r="G233" s="276" t="str">
        <f>IF(D233="","",VLOOKUP(D233,'G-6 Hedgerow Data'!$B$2:$AG$15,3,FALSE))</f>
        <v/>
      </c>
      <c r="H233" s="101"/>
      <c r="I233" s="276" t="str">
        <f>IFERROR(IF(H233="","",IF(AND(D233="Non-native and ornamental hedgerow",H233&lt;&gt;"Poor"),"Not possible ▲",(VLOOKUP(H233,'G-1 All Habitats'!$Z$2:$AA$9,2,FALSE)))),"")</f>
        <v/>
      </c>
      <c r="J233" s="101"/>
      <c r="K233" s="295" t="str">
        <f>IF(J233="","",IF(VLOOKUP(J233,'G-3 Multipliers'!$L$3:$N$6,2,FALSE)=0,"Spatial Data Missing ⚠",VLOOKUP(J233,'G-3 Multipliers'!$L$3:$N$6,2,FALSE)))</f>
        <v/>
      </c>
      <c r="L233" s="281" t="str">
        <f>IF(J233="","",IF(VLOOKUP(J233,'G-3 Multipliers'!$L$3:$N$6,3,FALSE)=0,"Spatial Data Missing ⚠",VLOOKUP(J233,'G-3 Multipliers'!$L$3:$N$6,3,FALSE)))</f>
        <v/>
      </c>
      <c r="M233" s="275" t="str">
        <f>IF(OR(D233="",H233=""),"",(INDEX('G-6 Hedgerow Data'!$E$3:$I$15,MATCH(D233,'G-6 Hedgerow Data'!$B$3:$B$15,0),MATCH(H233,'G-6 Hedgerow Data'!$E$2:$I$2,0))))</f>
        <v/>
      </c>
      <c r="N233" s="133"/>
      <c r="O233" s="133"/>
      <c r="P233" s="283" t="str">
        <f t="shared" si="19"/>
        <v/>
      </c>
      <c r="Q233" s="296" t="str">
        <f t="shared" si="20"/>
        <v/>
      </c>
      <c r="R233" s="297" t="str">
        <f t="shared" si="18"/>
        <v/>
      </c>
      <c r="S233" s="311" t="str">
        <f>IF(D233="","",VLOOKUP(D233,'G-6 Hedgerow Data'!$B$3:$AG$15,31,FALSE))</f>
        <v/>
      </c>
      <c r="T233" s="283" t="str">
        <f t="shared" si="21"/>
        <v/>
      </c>
      <c r="U233" s="283" t="str">
        <f t="shared" si="22"/>
        <v/>
      </c>
      <c r="V233" s="299" t="str">
        <f>IF(D233="","",VLOOKUP(S233,'G-3 Multipliers'!$P$3:$Q$6,2,FALSE))</f>
        <v/>
      </c>
      <c r="W233" s="303" t="str">
        <f t="shared" si="23"/>
        <v/>
      </c>
      <c r="X233" s="101"/>
      <c r="Y233" s="115"/>
      <c r="Z233" s="104"/>
      <c r="AG233" s="30" t="str">
        <f>IFERROR(INDEX('G-6 Hedgerow Data'!$BJ$3:$BJ$15,MATCH(D233,'G-6 Hedgerow Data'!$B$3:$B$15,0)),"")</f>
        <v/>
      </c>
    </row>
    <row r="234" spans="2:33" ht="14" hidden="1">
      <c r="B234" s="97">
        <v>223</v>
      </c>
      <c r="C234" s="140"/>
      <c r="D234" s="133"/>
      <c r="E234" s="115"/>
      <c r="F234" s="323" t="str">
        <f>IF(D234="","",VLOOKUP(D234,'G-6 Hedgerow Data'!$B$2:$AG$15,2,FALSE))</f>
        <v/>
      </c>
      <c r="G234" s="276" t="str">
        <f>IF(D234="","",VLOOKUP(D234,'G-6 Hedgerow Data'!$B$2:$AG$15,3,FALSE))</f>
        <v/>
      </c>
      <c r="H234" s="101"/>
      <c r="I234" s="276" t="str">
        <f>IFERROR(IF(H234="","",IF(AND(D234="Non-native and ornamental hedgerow",H234&lt;&gt;"Poor"),"Not possible ▲",(VLOOKUP(H234,'G-1 All Habitats'!$Z$2:$AA$9,2,FALSE)))),"")</f>
        <v/>
      </c>
      <c r="J234" s="101"/>
      <c r="K234" s="295" t="str">
        <f>IF(J234="","",IF(VLOOKUP(J234,'G-3 Multipliers'!$L$3:$N$6,2,FALSE)=0,"Spatial Data Missing ⚠",VLOOKUP(J234,'G-3 Multipliers'!$L$3:$N$6,2,FALSE)))</f>
        <v/>
      </c>
      <c r="L234" s="281" t="str">
        <f>IF(J234="","",IF(VLOOKUP(J234,'G-3 Multipliers'!$L$3:$N$6,3,FALSE)=0,"Spatial Data Missing ⚠",VLOOKUP(J234,'G-3 Multipliers'!$L$3:$N$6,3,FALSE)))</f>
        <v/>
      </c>
      <c r="M234" s="275" t="str">
        <f>IF(OR(D234="",H234=""),"",(INDEX('G-6 Hedgerow Data'!$E$3:$I$15,MATCH(D234,'G-6 Hedgerow Data'!$B$3:$B$15,0),MATCH(H234,'G-6 Hedgerow Data'!$E$2:$I$2,0))))</f>
        <v/>
      </c>
      <c r="N234" s="133"/>
      <c r="O234" s="133"/>
      <c r="P234" s="283" t="str">
        <f t="shared" si="19"/>
        <v/>
      </c>
      <c r="Q234" s="296" t="str">
        <f t="shared" si="20"/>
        <v/>
      </c>
      <c r="R234" s="297" t="str">
        <f t="shared" si="18"/>
        <v/>
      </c>
      <c r="S234" s="311" t="str">
        <f>IF(D234="","",VLOOKUP(D234,'G-6 Hedgerow Data'!$B$3:$AG$15,31,FALSE))</f>
        <v/>
      </c>
      <c r="T234" s="283" t="str">
        <f t="shared" si="21"/>
        <v/>
      </c>
      <c r="U234" s="283" t="str">
        <f t="shared" si="22"/>
        <v/>
      </c>
      <c r="V234" s="299" t="str">
        <f>IF(D234="","",VLOOKUP(S234,'G-3 Multipliers'!$P$3:$Q$6,2,FALSE))</f>
        <v/>
      </c>
      <c r="W234" s="303" t="str">
        <f t="shared" si="23"/>
        <v/>
      </c>
      <c r="X234" s="101"/>
      <c r="Y234" s="115"/>
      <c r="Z234" s="104"/>
      <c r="AG234" s="30" t="str">
        <f>IFERROR(INDEX('G-6 Hedgerow Data'!$BJ$3:$BJ$15,MATCH(D234,'G-6 Hedgerow Data'!$B$3:$B$15,0)),"")</f>
        <v/>
      </c>
    </row>
    <row r="235" spans="2:33" ht="14" hidden="1">
      <c r="B235" s="97">
        <v>224</v>
      </c>
      <c r="C235" s="140"/>
      <c r="D235" s="133"/>
      <c r="E235" s="115"/>
      <c r="F235" s="323" t="str">
        <f>IF(D235="","",VLOOKUP(D235,'G-6 Hedgerow Data'!$B$2:$AG$15,2,FALSE))</f>
        <v/>
      </c>
      <c r="G235" s="276" t="str">
        <f>IF(D235="","",VLOOKUP(D235,'G-6 Hedgerow Data'!$B$2:$AG$15,3,FALSE))</f>
        <v/>
      </c>
      <c r="H235" s="101"/>
      <c r="I235" s="276" t="str">
        <f>IFERROR(IF(H235="","",IF(AND(D235="Non-native and ornamental hedgerow",H235&lt;&gt;"Poor"),"Not possible ▲",(VLOOKUP(H235,'G-1 All Habitats'!$Z$2:$AA$9,2,FALSE)))),"")</f>
        <v/>
      </c>
      <c r="J235" s="101"/>
      <c r="K235" s="295" t="str">
        <f>IF(J235="","",IF(VLOOKUP(J235,'G-3 Multipliers'!$L$3:$N$6,2,FALSE)=0,"Spatial Data Missing ⚠",VLOOKUP(J235,'G-3 Multipliers'!$L$3:$N$6,2,FALSE)))</f>
        <v/>
      </c>
      <c r="L235" s="281" t="str">
        <f>IF(J235="","",IF(VLOOKUP(J235,'G-3 Multipliers'!$L$3:$N$6,3,FALSE)=0,"Spatial Data Missing ⚠",VLOOKUP(J235,'G-3 Multipliers'!$L$3:$N$6,3,FALSE)))</f>
        <v/>
      </c>
      <c r="M235" s="275" t="str">
        <f>IF(OR(D235="",H235=""),"",(INDEX('G-6 Hedgerow Data'!$E$3:$I$15,MATCH(D235,'G-6 Hedgerow Data'!$B$3:$B$15,0),MATCH(H235,'G-6 Hedgerow Data'!$E$2:$I$2,0))))</f>
        <v/>
      </c>
      <c r="N235" s="133"/>
      <c r="O235" s="133"/>
      <c r="P235" s="283" t="str">
        <f t="shared" si="19"/>
        <v/>
      </c>
      <c r="Q235" s="296" t="str">
        <f t="shared" si="20"/>
        <v/>
      </c>
      <c r="R235" s="297" t="str">
        <f t="shared" si="18"/>
        <v/>
      </c>
      <c r="S235" s="311" t="str">
        <f>IF(D235="","",VLOOKUP(D235,'G-6 Hedgerow Data'!$B$3:$AG$15,31,FALSE))</f>
        <v/>
      </c>
      <c r="T235" s="283" t="str">
        <f t="shared" si="21"/>
        <v/>
      </c>
      <c r="U235" s="283" t="str">
        <f t="shared" si="22"/>
        <v/>
      </c>
      <c r="V235" s="299" t="str">
        <f>IF(D235="","",VLOOKUP(S235,'G-3 Multipliers'!$P$3:$Q$6,2,FALSE))</f>
        <v/>
      </c>
      <c r="W235" s="303" t="str">
        <f t="shared" si="23"/>
        <v/>
      </c>
      <c r="X235" s="101"/>
      <c r="Y235" s="115"/>
      <c r="Z235" s="104"/>
      <c r="AG235" s="30" t="str">
        <f>IFERROR(INDEX('G-6 Hedgerow Data'!$BJ$3:$BJ$15,MATCH(D235,'G-6 Hedgerow Data'!$B$3:$B$15,0)),"")</f>
        <v/>
      </c>
    </row>
    <row r="236" spans="2:33" ht="14" hidden="1">
      <c r="B236" s="97">
        <v>225</v>
      </c>
      <c r="C236" s="140"/>
      <c r="D236" s="133"/>
      <c r="E236" s="115"/>
      <c r="F236" s="323" t="str">
        <f>IF(D236="","",VLOOKUP(D236,'G-6 Hedgerow Data'!$B$2:$AG$15,2,FALSE))</f>
        <v/>
      </c>
      <c r="G236" s="276" t="str">
        <f>IF(D236="","",VLOOKUP(D236,'G-6 Hedgerow Data'!$B$2:$AG$15,3,FALSE))</f>
        <v/>
      </c>
      <c r="H236" s="101"/>
      <c r="I236" s="276" t="str">
        <f>IFERROR(IF(H236="","",IF(AND(D236="Non-native and ornamental hedgerow",H236&lt;&gt;"Poor"),"Not possible ▲",(VLOOKUP(H236,'G-1 All Habitats'!$Z$2:$AA$9,2,FALSE)))),"")</f>
        <v/>
      </c>
      <c r="J236" s="101"/>
      <c r="K236" s="295" t="str">
        <f>IF(J236="","",IF(VLOOKUP(J236,'G-3 Multipliers'!$L$3:$N$6,2,FALSE)=0,"Spatial Data Missing ⚠",VLOOKUP(J236,'G-3 Multipliers'!$L$3:$N$6,2,FALSE)))</f>
        <v/>
      </c>
      <c r="L236" s="281" t="str">
        <f>IF(J236="","",IF(VLOOKUP(J236,'G-3 Multipliers'!$L$3:$N$6,3,FALSE)=0,"Spatial Data Missing ⚠",VLOOKUP(J236,'G-3 Multipliers'!$L$3:$N$6,3,FALSE)))</f>
        <v/>
      </c>
      <c r="M236" s="275" t="str">
        <f>IF(OR(D236="",H236=""),"",(INDEX('G-6 Hedgerow Data'!$E$3:$I$15,MATCH(D236,'G-6 Hedgerow Data'!$B$3:$B$15,0),MATCH(H236,'G-6 Hedgerow Data'!$E$2:$I$2,0))))</f>
        <v/>
      </c>
      <c r="N236" s="133"/>
      <c r="O236" s="133"/>
      <c r="P236" s="283" t="str">
        <f t="shared" si="19"/>
        <v/>
      </c>
      <c r="Q236" s="296" t="str">
        <f t="shared" si="20"/>
        <v/>
      </c>
      <c r="R236" s="297" t="str">
        <f t="shared" si="18"/>
        <v/>
      </c>
      <c r="S236" s="311" t="str">
        <f>IF(D236="","",VLOOKUP(D236,'G-6 Hedgerow Data'!$B$3:$AG$15,31,FALSE))</f>
        <v/>
      </c>
      <c r="T236" s="283" t="str">
        <f t="shared" si="21"/>
        <v/>
      </c>
      <c r="U236" s="283" t="str">
        <f t="shared" si="22"/>
        <v/>
      </c>
      <c r="V236" s="299" t="str">
        <f>IF(D236="","",VLOOKUP(S236,'G-3 Multipliers'!$P$3:$Q$6,2,FALSE))</f>
        <v/>
      </c>
      <c r="W236" s="303" t="str">
        <f t="shared" si="23"/>
        <v/>
      </c>
      <c r="X236" s="101"/>
      <c r="Y236" s="115"/>
      <c r="Z236" s="104"/>
      <c r="AG236" s="30" t="str">
        <f>IFERROR(INDEX('G-6 Hedgerow Data'!$BJ$3:$BJ$15,MATCH(D236,'G-6 Hedgerow Data'!$B$3:$B$15,0)),"")</f>
        <v/>
      </c>
    </row>
    <row r="237" spans="2:33" ht="14" hidden="1">
      <c r="B237" s="97">
        <v>226</v>
      </c>
      <c r="C237" s="140"/>
      <c r="D237" s="133"/>
      <c r="E237" s="115"/>
      <c r="F237" s="323" t="str">
        <f>IF(D237="","",VLOOKUP(D237,'G-6 Hedgerow Data'!$B$2:$AG$15,2,FALSE))</f>
        <v/>
      </c>
      <c r="G237" s="276" t="str">
        <f>IF(D237="","",VLOOKUP(D237,'G-6 Hedgerow Data'!$B$2:$AG$15,3,FALSE))</f>
        <v/>
      </c>
      <c r="H237" s="101"/>
      <c r="I237" s="276" t="str">
        <f>IFERROR(IF(H237="","",IF(AND(D237="Non-native and ornamental hedgerow",H237&lt;&gt;"Poor"),"Not possible ▲",(VLOOKUP(H237,'G-1 All Habitats'!$Z$2:$AA$9,2,FALSE)))),"")</f>
        <v/>
      </c>
      <c r="J237" s="101"/>
      <c r="K237" s="295" t="str">
        <f>IF(J237="","",IF(VLOOKUP(J237,'G-3 Multipliers'!$L$3:$N$6,2,FALSE)=0,"Spatial Data Missing ⚠",VLOOKUP(J237,'G-3 Multipliers'!$L$3:$N$6,2,FALSE)))</f>
        <v/>
      </c>
      <c r="L237" s="281" t="str">
        <f>IF(J237="","",IF(VLOOKUP(J237,'G-3 Multipliers'!$L$3:$N$6,3,FALSE)=0,"Spatial Data Missing ⚠",VLOOKUP(J237,'G-3 Multipliers'!$L$3:$N$6,3,FALSE)))</f>
        <v/>
      </c>
      <c r="M237" s="275" t="str">
        <f>IF(OR(D237="",H237=""),"",(INDEX('G-6 Hedgerow Data'!$E$3:$I$15,MATCH(D237,'G-6 Hedgerow Data'!$B$3:$B$15,0),MATCH(H237,'G-6 Hedgerow Data'!$E$2:$I$2,0))))</f>
        <v/>
      </c>
      <c r="N237" s="133"/>
      <c r="O237" s="133"/>
      <c r="P237" s="283" t="str">
        <f t="shared" si="19"/>
        <v/>
      </c>
      <c r="Q237" s="296" t="str">
        <f t="shared" si="20"/>
        <v/>
      </c>
      <c r="R237" s="297" t="str">
        <f t="shared" si="18"/>
        <v/>
      </c>
      <c r="S237" s="311" t="str">
        <f>IF(D237="","",VLOOKUP(D237,'G-6 Hedgerow Data'!$B$3:$AG$15,31,FALSE))</f>
        <v/>
      </c>
      <c r="T237" s="283" t="str">
        <f t="shared" si="21"/>
        <v/>
      </c>
      <c r="U237" s="283" t="str">
        <f t="shared" si="22"/>
        <v/>
      </c>
      <c r="V237" s="299" t="str">
        <f>IF(D237="","",VLOOKUP(S237,'G-3 Multipliers'!$P$3:$Q$6,2,FALSE))</f>
        <v/>
      </c>
      <c r="W237" s="303" t="str">
        <f t="shared" si="23"/>
        <v/>
      </c>
      <c r="X237" s="101"/>
      <c r="Y237" s="115"/>
      <c r="Z237" s="104"/>
      <c r="AG237" s="30" t="str">
        <f>IFERROR(INDEX('G-6 Hedgerow Data'!$BJ$3:$BJ$15,MATCH(D237,'G-6 Hedgerow Data'!$B$3:$B$15,0)),"")</f>
        <v/>
      </c>
    </row>
    <row r="238" spans="2:33" ht="14" hidden="1">
      <c r="B238" s="97">
        <v>227</v>
      </c>
      <c r="C238" s="140"/>
      <c r="D238" s="133"/>
      <c r="E238" s="115"/>
      <c r="F238" s="323" t="str">
        <f>IF(D238="","",VLOOKUP(D238,'G-6 Hedgerow Data'!$B$2:$AG$15,2,FALSE))</f>
        <v/>
      </c>
      <c r="G238" s="276" t="str">
        <f>IF(D238="","",VLOOKUP(D238,'G-6 Hedgerow Data'!$B$2:$AG$15,3,FALSE))</f>
        <v/>
      </c>
      <c r="H238" s="101"/>
      <c r="I238" s="276" t="str">
        <f>IFERROR(IF(H238="","",IF(AND(D238="Non-native and ornamental hedgerow",H238&lt;&gt;"Poor"),"Not possible ▲",(VLOOKUP(H238,'G-1 All Habitats'!$Z$2:$AA$9,2,FALSE)))),"")</f>
        <v/>
      </c>
      <c r="J238" s="101"/>
      <c r="K238" s="295" t="str">
        <f>IF(J238="","",IF(VLOOKUP(J238,'G-3 Multipliers'!$L$3:$N$6,2,FALSE)=0,"Spatial Data Missing ⚠",VLOOKUP(J238,'G-3 Multipliers'!$L$3:$N$6,2,FALSE)))</f>
        <v/>
      </c>
      <c r="L238" s="281" t="str">
        <f>IF(J238="","",IF(VLOOKUP(J238,'G-3 Multipliers'!$L$3:$N$6,3,FALSE)=0,"Spatial Data Missing ⚠",VLOOKUP(J238,'G-3 Multipliers'!$L$3:$N$6,3,FALSE)))</f>
        <v/>
      </c>
      <c r="M238" s="275" t="str">
        <f>IF(OR(D238="",H238=""),"",(INDEX('G-6 Hedgerow Data'!$E$3:$I$15,MATCH(D238,'G-6 Hedgerow Data'!$B$3:$B$15,0),MATCH(H238,'G-6 Hedgerow Data'!$E$2:$I$2,0))))</f>
        <v/>
      </c>
      <c r="N238" s="133"/>
      <c r="O238" s="133"/>
      <c r="P238" s="283" t="str">
        <f t="shared" si="19"/>
        <v/>
      </c>
      <c r="Q238" s="296" t="str">
        <f t="shared" si="20"/>
        <v/>
      </c>
      <c r="R238" s="297" t="str">
        <f t="shared" si="18"/>
        <v/>
      </c>
      <c r="S238" s="311" t="str">
        <f>IF(D238="","",VLOOKUP(D238,'G-6 Hedgerow Data'!$B$3:$AG$15,31,FALSE))</f>
        <v/>
      </c>
      <c r="T238" s="283" t="str">
        <f t="shared" si="21"/>
        <v/>
      </c>
      <c r="U238" s="283" t="str">
        <f t="shared" si="22"/>
        <v/>
      </c>
      <c r="V238" s="299" t="str">
        <f>IF(D238="","",VLOOKUP(S238,'G-3 Multipliers'!$P$3:$Q$6,2,FALSE))</f>
        <v/>
      </c>
      <c r="W238" s="303" t="str">
        <f t="shared" si="23"/>
        <v/>
      </c>
      <c r="X238" s="101"/>
      <c r="Y238" s="115"/>
      <c r="Z238" s="104"/>
      <c r="AG238" s="30" t="str">
        <f>IFERROR(INDEX('G-6 Hedgerow Data'!$BJ$3:$BJ$15,MATCH(D238,'G-6 Hedgerow Data'!$B$3:$B$15,0)),"")</f>
        <v/>
      </c>
    </row>
    <row r="239" spans="2:33" ht="14" hidden="1">
      <c r="B239" s="97">
        <v>228</v>
      </c>
      <c r="C239" s="140"/>
      <c r="D239" s="133"/>
      <c r="E239" s="115"/>
      <c r="F239" s="323" t="str">
        <f>IF(D239="","",VLOOKUP(D239,'G-6 Hedgerow Data'!$B$2:$AG$15,2,FALSE))</f>
        <v/>
      </c>
      <c r="G239" s="276" t="str">
        <f>IF(D239="","",VLOOKUP(D239,'G-6 Hedgerow Data'!$B$2:$AG$15,3,FALSE))</f>
        <v/>
      </c>
      <c r="H239" s="101"/>
      <c r="I239" s="276" t="str">
        <f>IFERROR(IF(H239="","",IF(AND(D239="Non-native and ornamental hedgerow",H239&lt;&gt;"Poor"),"Not possible ▲",(VLOOKUP(H239,'G-1 All Habitats'!$Z$2:$AA$9,2,FALSE)))),"")</f>
        <v/>
      </c>
      <c r="J239" s="101"/>
      <c r="K239" s="295" t="str">
        <f>IF(J239="","",IF(VLOOKUP(J239,'G-3 Multipliers'!$L$3:$N$6,2,FALSE)=0,"Spatial Data Missing ⚠",VLOOKUP(J239,'G-3 Multipliers'!$L$3:$N$6,2,FALSE)))</f>
        <v/>
      </c>
      <c r="L239" s="281" t="str">
        <f>IF(J239="","",IF(VLOOKUP(J239,'G-3 Multipliers'!$L$3:$N$6,3,FALSE)=0,"Spatial Data Missing ⚠",VLOOKUP(J239,'G-3 Multipliers'!$L$3:$N$6,3,FALSE)))</f>
        <v/>
      </c>
      <c r="M239" s="275" t="str">
        <f>IF(OR(D239="",H239=""),"",(INDEX('G-6 Hedgerow Data'!$E$3:$I$15,MATCH(D239,'G-6 Hedgerow Data'!$B$3:$B$15,0),MATCH(H239,'G-6 Hedgerow Data'!$E$2:$I$2,0))))</f>
        <v/>
      </c>
      <c r="N239" s="133"/>
      <c r="O239" s="133"/>
      <c r="P239" s="283" t="str">
        <f t="shared" si="19"/>
        <v/>
      </c>
      <c r="Q239" s="296" t="str">
        <f t="shared" si="20"/>
        <v/>
      </c>
      <c r="R239" s="297" t="str">
        <f t="shared" si="18"/>
        <v/>
      </c>
      <c r="S239" s="311" t="str">
        <f>IF(D239="","",VLOOKUP(D239,'G-6 Hedgerow Data'!$B$3:$AG$15,31,FALSE))</f>
        <v/>
      </c>
      <c r="T239" s="283" t="str">
        <f t="shared" si="21"/>
        <v/>
      </c>
      <c r="U239" s="283" t="str">
        <f t="shared" si="22"/>
        <v/>
      </c>
      <c r="V239" s="299" t="str">
        <f>IF(D239="","",VLOOKUP(S239,'G-3 Multipliers'!$P$3:$Q$6,2,FALSE))</f>
        <v/>
      </c>
      <c r="W239" s="303" t="str">
        <f t="shared" si="23"/>
        <v/>
      </c>
      <c r="X239" s="101"/>
      <c r="Y239" s="115"/>
      <c r="Z239" s="104"/>
      <c r="AG239" s="30" t="str">
        <f>IFERROR(INDEX('G-6 Hedgerow Data'!$BJ$3:$BJ$15,MATCH(D239,'G-6 Hedgerow Data'!$B$3:$B$15,0)),"")</f>
        <v/>
      </c>
    </row>
    <row r="240" spans="2:33" ht="14" hidden="1">
      <c r="B240" s="97">
        <v>229</v>
      </c>
      <c r="C240" s="140"/>
      <c r="D240" s="133"/>
      <c r="E240" s="115"/>
      <c r="F240" s="323" t="str">
        <f>IF(D240="","",VLOOKUP(D240,'G-6 Hedgerow Data'!$B$2:$AG$15,2,FALSE))</f>
        <v/>
      </c>
      <c r="G240" s="276" t="str">
        <f>IF(D240="","",VLOOKUP(D240,'G-6 Hedgerow Data'!$B$2:$AG$15,3,FALSE))</f>
        <v/>
      </c>
      <c r="H240" s="101"/>
      <c r="I240" s="276" t="str">
        <f>IFERROR(IF(H240="","",IF(AND(D240="Non-native and ornamental hedgerow",H240&lt;&gt;"Poor"),"Not possible ▲",(VLOOKUP(H240,'G-1 All Habitats'!$Z$2:$AA$9,2,FALSE)))),"")</f>
        <v/>
      </c>
      <c r="J240" s="101"/>
      <c r="K240" s="295" t="str">
        <f>IF(J240="","",IF(VLOOKUP(J240,'G-3 Multipliers'!$L$3:$N$6,2,FALSE)=0,"Spatial Data Missing ⚠",VLOOKUP(J240,'G-3 Multipliers'!$L$3:$N$6,2,FALSE)))</f>
        <v/>
      </c>
      <c r="L240" s="281" t="str">
        <f>IF(J240="","",IF(VLOOKUP(J240,'G-3 Multipliers'!$L$3:$N$6,3,FALSE)=0,"Spatial Data Missing ⚠",VLOOKUP(J240,'G-3 Multipliers'!$L$3:$N$6,3,FALSE)))</f>
        <v/>
      </c>
      <c r="M240" s="275" t="str">
        <f>IF(OR(D240="",H240=""),"",(INDEX('G-6 Hedgerow Data'!$E$3:$I$15,MATCH(D240,'G-6 Hedgerow Data'!$B$3:$B$15,0),MATCH(H240,'G-6 Hedgerow Data'!$E$2:$I$2,0))))</f>
        <v/>
      </c>
      <c r="N240" s="133"/>
      <c r="O240" s="133"/>
      <c r="P240" s="283" t="str">
        <f t="shared" si="19"/>
        <v/>
      </c>
      <c r="Q240" s="296" t="str">
        <f t="shared" si="20"/>
        <v/>
      </c>
      <c r="R240" s="297" t="str">
        <f t="shared" si="18"/>
        <v/>
      </c>
      <c r="S240" s="311" t="str">
        <f>IF(D240="","",VLOOKUP(D240,'G-6 Hedgerow Data'!$B$3:$AG$15,31,FALSE))</f>
        <v/>
      </c>
      <c r="T240" s="283" t="str">
        <f t="shared" si="21"/>
        <v/>
      </c>
      <c r="U240" s="283" t="str">
        <f t="shared" si="22"/>
        <v/>
      </c>
      <c r="V240" s="299" t="str">
        <f>IF(D240="","",VLOOKUP(S240,'G-3 Multipliers'!$P$3:$Q$6,2,FALSE))</f>
        <v/>
      </c>
      <c r="W240" s="303" t="str">
        <f t="shared" si="23"/>
        <v/>
      </c>
      <c r="X240" s="101"/>
      <c r="Y240" s="115"/>
      <c r="Z240" s="104"/>
      <c r="AG240" s="30" t="str">
        <f>IFERROR(INDEX('G-6 Hedgerow Data'!$BJ$3:$BJ$15,MATCH(D240,'G-6 Hedgerow Data'!$B$3:$B$15,0)),"")</f>
        <v/>
      </c>
    </row>
    <row r="241" spans="2:33" ht="14" hidden="1">
      <c r="B241" s="97">
        <v>230</v>
      </c>
      <c r="C241" s="140"/>
      <c r="D241" s="133"/>
      <c r="E241" s="115"/>
      <c r="F241" s="323" t="str">
        <f>IF(D241="","",VLOOKUP(D241,'G-6 Hedgerow Data'!$B$2:$AG$15,2,FALSE))</f>
        <v/>
      </c>
      <c r="G241" s="276" t="str">
        <f>IF(D241="","",VLOOKUP(D241,'G-6 Hedgerow Data'!$B$2:$AG$15,3,FALSE))</f>
        <v/>
      </c>
      <c r="H241" s="101"/>
      <c r="I241" s="276" t="str">
        <f>IFERROR(IF(H241="","",IF(AND(D241="Non-native and ornamental hedgerow",H241&lt;&gt;"Poor"),"Not possible ▲",(VLOOKUP(H241,'G-1 All Habitats'!$Z$2:$AA$9,2,FALSE)))),"")</f>
        <v/>
      </c>
      <c r="J241" s="101"/>
      <c r="K241" s="295" t="str">
        <f>IF(J241="","",IF(VLOOKUP(J241,'G-3 Multipliers'!$L$3:$N$6,2,FALSE)=0,"Spatial Data Missing ⚠",VLOOKUP(J241,'G-3 Multipliers'!$L$3:$N$6,2,FALSE)))</f>
        <v/>
      </c>
      <c r="L241" s="281" t="str">
        <f>IF(J241="","",IF(VLOOKUP(J241,'G-3 Multipliers'!$L$3:$N$6,3,FALSE)=0,"Spatial Data Missing ⚠",VLOOKUP(J241,'G-3 Multipliers'!$L$3:$N$6,3,FALSE)))</f>
        <v/>
      </c>
      <c r="M241" s="275" t="str">
        <f>IF(OR(D241="",H241=""),"",(INDEX('G-6 Hedgerow Data'!$E$3:$I$15,MATCH(D241,'G-6 Hedgerow Data'!$B$3:$B$15,0),MATCH(H241,'G-6 Hedgerow Data'!$E$2:$I$2,0))))</f>
        <v/>
      </c>
      <c r="N241" s="133"/>
      <c r="O241" s="133"/>
      <c r="P241" s="283" t="str">
        <f t="shared" si="19"/>
        <v/>
      </c>
      <c r="Q241" s="296" t="str">
        <f t="shared" si="20"/>
        <v/>
      </c>
      <c r="R241" s="297" t="str">
        <f t="shared" si="18"/>
        <v/>
      </c>
      <c r="S241" s="311" t="str">
        <f>IF(D241="","",VLOOKUP(D241,'G-6 Hedgerow Data'!$B$3:$AG$15,31,FALSE))</f>
        <v/>
      </c>
      <c r="T241" s="283" t="str">
        <f t="shared" si="21"/>
        <v/>
      </c>
      <c r="U241" s="283" t="str">
        <f t="shared" si="22"/>
        <v/>
      </c>
      <c r="V241" s="299" t="str">
        <f>IF(D241="","",VLOOKUP(S241,'G-3 Multipliers'!$P$3:$Q$6,2,FALSE))</f>
        <v/>
      </c>
      <c r="W241" s="303" t="str">
        <f t="shared" si="23"/>
        <v/>
      </c>
      <c r="X241" s="101"/>
      <c r="Y241" s="115"/>
      <c r="Z241" s="104"/>
      <c r="AG241" s="30" t="str">
        <f>IFERROR(INDEX('G-6 Hedgerow Data'!$BJ$3:$BJ$15,MATCH(D241,'G-6 Hedgerow Data'!$B$3:$B$15,0)),"")</f>
        <v/>
      </c>
    </row>
    <row r="242" spans="2:33" ht="14" hidden="1">
      <c r="B242" s="97">
        <v>231</v>
      </c>
      <c r="C242" s="140"/>
      <c r="D242" s="133"/>
      <c r="E242" s="115"/>
      <c r="F242" s="323" t="str">
        <f>IF(D242="","",VLOOKUP(D242,'G-6 Hedgerow Data'!$B$2:$AG$15,2,FALSE))</f>
        <v/>
      </c>
      <c r="G242" s="276" t="str">
        <f>IF(D242="","",VLOOKUP(D242,'G-6 Hedgerow Data'!$B$2:$AG$15,3,FALSE))</f>
        <v/>
      </c>
      <c r="H242" s="101"/>
      <c r="I242" s="276" t="str">
        <f>IFERROR(IF(H242="","",IF(AND(D242="Non-native and ornamental hedgerow",H242&lt;&gt;"Poor"),"Not possible ▲",(VLOOKUP(H242,'G-1 All Habitats'!$Z$2:$AA$9,2,FALSE)))),"")</f>
        <v/>
      </c>
      <c r="J242" s="101"/>
      <c r="K242" s="295" t="str">
        <f>IF(J242="","",IF(VLOOKUP(J242,'G-3 Multipliers'!$L$3:$N$6,2,FALSE)=0,"Spatial Data Missing ⚠",VLOOKUP(J242,'G-3 Multipliers'!$L$3:$N$6,2,FALSE)))</f>
        <v/>
      </c>
      <c r="L242" s="281" t="str">
        <f>IF(J242="","",IF(VLOOKUP(J242,'G-3 Multipliers'!$L$3:$N$6,3,FALSE)=0,"Spatial Data Missing ⚠",VLOOKUP(J242,'G-3 Multipliers'!$L$3:$N$6,3,FALSE)))</f>
        <v/>
      </c>
      <c r="M242" s="275" t="str">
        <f>IF(OR(D242="",H242=""),"",(INDEX('G-6 Hedgerow Data'!$E$3:$I$15,MATCH(D242,'G-6 Hedgerow Data'!$B$3:$B$15,0),MATCH(H242,'G-6 Hedgerow Data'!$E$2:$I$2,0))))</f>
        <v/>
      </c>
      <c r="N242" s="133"/>
      <c r="O242" s="133"/>
      <c r="P242" s="283" t="str">
        <f t="shared" si="19"/>
        <v/>
      </c>
      <c r="Q242" s="296" t="str">
        <f t="shared" si="20"/>
        <v/>
      </c>
      <c r="R242" s="297" t="str">
        <f t="shared" si="18"/>
        <v/>
      </c>
      <c r="S242" s="311" t="str">
        <f>IF(D242="","",VLOOKUP(D242,'G-6 Hedgerow Data'!$B$3:$AG$15,31,FALSE))</f>
        <v/>
      </c>
      <c r="T242" s="283" t="str">
        <f t="shared" si="21"/>
        <v/>
      </c>
      <c r="U242" s="283" t="str">
        <f t="shared" si="22"/>
        <v/>
      </c>
      <c r="V242" s="299" t="str">
        <f>IF(D242="","",VLOOKUP(S242,'G-3 Multipliers'!$P$3:$Q$6,2,FALSE))</f>
        <v/>
      </c>
      <c r="W242" s="303" t="str">
        <f t="shared" si="23"/>
        <v/>
      </c>
      <c r="X242" s="101"/>
      <c r="Y242" s="115"/>
      <c r="Z242" s="104"/>
      <c r="AG242" s="30" t="str">
        <f>IFERROR(INDEX('G-6 Hedgerow Data'!$BJ$3:$BJ$15,MATCH(D242,'G-6 Hedgerow Data'!$B$3:$B$15,0)),"")</f>
        <v/>
      </c>
    </row>
    <row r="243" spans="2:33" ht="14" hidden="1">
      <c r="B243" s="97">
        <v>232</v>
      </c>
      <c r="C243" s="140"/>
      <c r="D243" s="133"/>
      <c r="E243" s="115"/>
      <c r="F243" s="323" t="str">
        <f>IF(D243="","",VLOOKUP(D243,'G-6 Hedgerow Data'!$B$2:$AG$15,2,FALSE))</f>
        <v/>
      </c>
      <c r="G243" s="276" t="str">
        <f>IF(D243="","",VLOOKUP(D243,'G-6 Hedgerow Data'!$B$2:$AG$15,3,FALSE))</f>
        <v/>
      </c>
      <c r="H243" s="101"/>
      <c r="I243" s="276" t="str">
        <f>IFERROR(IF(H243="","",IF(AND(D243="Non-native and ornamental hedgerow",H243&lt;&gt;"Poor"),"Not possible ▲",(VLOOKUP(H243,'G-1 All Habitats'!$Z$2:$AA$9,2,FALSE)))),"")</f>
        <v/>
      </c>
      <c r="J243" s="101"/>
      <c r="K243" s="295" t="str">
        <f>IF(J243="","",IF(VLOOKUP(J243,'G-3 Multipliers'!$L$3:$N$6,2,FALSE)=0,"Spatial Data Missing ⚠",VLOOKUP(J243,'G-3 Multipliers'!$L$3:$N$6,2,FALSE)))</f>
        <v/>
      </c>
      <c r="L243" s="281" t="str">
        <f>IF(J243="","",IF(VLOOKUP(J243,'G-3 Multipliers'!$L$3:$N$6,3,FALSE)=0,"Spatial Data Missing ⚠",VLOOKUP(J243,'G-3 Multipliers'!$L$3:$N$6,3,FALSE)))</f>
        <v/>
      </c>
      <c r="M243" s="275" t="str">
        <f>IF(OR(D243="",H243=""),"",(INDEX('G-6 Hedgerow Data'!$E$3:$I$15,MATCH(D243,'G-6 Hedgerow Data'!$B$3:$B$15,0),MATCH(H243,'G-6 Hedgerow Data'!$E$2:$I$2,0))))</f>
        <v/>
      </c>
      <c r="N243" s="133"/>
      <c r="O243" s="133"/>
      <c r="P243" s="283" t="str">
        <f t="shared" si="19"/>
        <v/>
      </c>
      <c r="Q243" s="296" t="str">
        <f t="shared" si="20"/>
        <v/>
      </c>
      <c r="R243" s="297" t="str">
        <f t="shared" si="18"/>
        <v/>
      </c>
      <c r="S243" s="311" t="str">
        <f>IF(D243="","",VLOOKUP(D243,'G-6 Hedgerow Data'!$B$3:$AG$15,31,FALSE))</f>
        <v/>
      </c>
      <c r="T243" s="283" t="str">
        <f t="shared" si="21"/>
        <v/>
      </c>
      <c r="U243" s="283" t="str">
        <f t="shared" si="22"/>
        <v/>
      </c>
      <c r="V243" s="299" t="str">
        <f>IF(D243="","",VLOOKUP(S243,'G-3 Multipliers'!$P$3:$Q$6,2,FALSE))</f>
        <v/>
      </c>
      <c r="W243" s="303" t="str">
        <f t="shared" si="23"/>
        <v/>
      </c>
      <c r="X243" s="101"/>
      <c r="Y243" s="115"/>
      <c r="Z243" s="104"/>
      <c r="AG243" s="30" t="str">
        <f>IFERROR(INDEX('G-6 Hedgerow Data'!$BJ$3:$BJ$15,MATCH(D243,'G-6 Hedgerow Data'!$B$3:$B$15,0)),"")</f>
        <v/>
      </c>
    </row>
    <row r="244" spans="2:33" ht="14" hidden="1">
      <c r="B244" s="97">
        <v>233</v>
      </c>
      <c r="C244" s="140"/>
      <c r="D244" s="133"/>
      <c r="E244" s="115"/>
      <c r="F244" s="323" t="str">
        <f>IF(D244="","",VLOOKUP(D244,'G-6 Hedgerow Data'!$B$2:$AG$15,2,FALSE))</f>
        <v/>
      </c>
      <c r="G244" s="276" t="str">
        <f>IF(D244="","",VLOOKUP(D244,'G-6 Hedgerow Data'!$B$2:$AG$15,3,FALSE))</f>
        <v/>
      </c>
      <c r="H244" s="101"/>
      <c r="I244" s="276" t="str">
        <f>IFERROR(IF(H244="","",IF(AND(D244="Non-native and ornamental hedgerow",H244&lt;&gt;"Poor"),"Not possible ▲",(VLOOKUP(H244,'G-1 All Habitats'!$Z$2:$AA$9,2,FALSE)))),"")</f>
        <v/>
      </c>
      <c r="J244" s="101"/>
      <c r="K244" s="295" t="str">
        <f>IF(J244="","",IF(VLOOKUP(J244,'G-3 Multipliers'!$L$3:$N$6,2,FALSE)=0,"Spatial Data Missing ⚠",VLOOKUP(J244,'G-3 Multipliers'!$L$3:$N$6,2,FALSE)))</f>
        <v/>
      </c>
      <c r="L244" s="281" t="str">
        <f>IF(J244="","",IF(VLOOKUP(J244,'G-3 Multipliers'!$L$3:$N$6,3,FALSE)=0,"Spatial Data Missing ⚠",VLOOKUP(J244,'G-3 Multipliers'!$L$3:$N$6,3,FALSE)))</f>
        <v/>
      </c>
      <c r="M244" s="275" t="str">
        <f>IF(OR(D244="",H244=""),"",(INDEX('G-6 Hedgerow Data'!$E$3:$I$15,MATCH(D244,'G-6 Hedgerow Data'!$B$3:$B$15,0),MATCH(H244,'G-6 Hedgerow Data'!$E$2:$I$2,0))))</f>
        <v/>
      </c>
      <c r="N244" s="133"/>
      <c r="O244" s="133"/>
      <c r="P244" s="283" t="str">
        <f t="shared" si="19"/>
        <v/>
      </c>
      <c r="Q244" s="296" t="str">
        <f t="shared" si="20"/>
        <v/>
      </c>
      <c r="R244" s="297" t="str">
        <f t="shared" si="18"/>
        <v/>
      </c>
      <c r="S244" s="311" t="str">
        <f>IF(D244="","",VLOOKUP(D244,'G-6 Hedgerow Data'!$B$3:$AG$15,31,FALSE))</f>
        <v/>
      </c>
      <c r="T244" s="283" t="str">
        <f t="shared" si="21"/>
        <v/>
      </c>
      <c r="U244" s="283" t="str">
        <f t="shared" si="22"/>
        <v/>
      </c>
      <c r="V244" s="299" t="str">
        <f>IF(D244="","",VLOOKUP(S244,'G-3 Multipliers'!$P$3:$Q$6,2,FALSE))</f>
        <v/>
      </c>
      <c r="W244" s="303" t="str">
        <f t="shared" si="23"/>
        <v/>
      </c>
      <c r="X244" s="101"/>
      <c r="Y244" s="115"/>
      <c r="Z244" s="104"/>
      <c r="AG244" s="30" t="str">
        <f>IFERROR(INDEX('G-6 Hedgerow Data'!$BJ$3:$BJ$15,MATCH(D244,'G-6 Hedgerow Data'!$B$3:$B$15,0)),"")</f>
        <v/>
      </c>
    </row>
    <row r="245" spans="2:33" ht="14" hidden="1">
      <c r="B245" s="97">
        <v>234</v>
      </c>
      <c r="C245" s="140"/>
      <c r="D245" s="133"/>
      <c r="E245" s="115"/>
      <c r="F245" s="323" t="str">
        <f>IF(D245="","",VLOOKUP(D245,'G-6 Hedgerow Data'!$B$2:$AG$15,2,FALSE))</f>
        <v/>
      </c>
      <c r="G245" s="276" t="str">
        <f>IF(D245="","",VLOOKUP(D245,'G-6 Hedgerow Data'!$B$2:$AG$15,3,FALSE))</f>
        <v/>
      </c>
      <c r="H245" s="101"/>
      <c r="I245" s="276" t="str">
        <f>IFERROR(IF(H245="","",IF(AND(D245="Non-native and ornamental hedgerow",H245&lt;&gt;"Poor"),"Not possible ▲",(VLOOKUP(H245,'G-1 All Habitats'!$Z$2:$AA$9,2,FALSE)))),"")</f>
        <v/>
      </c>
      <c r="J245" s="101"/>
      <c r="K245" s="295" t="str">
        <f>IF(J245="","",IF(VLOOKUP(J245,'G-3 Multipliers'!$L$3:$N$6,2,FALSE)=0,"Spatial Data Missing ⚠",VLOOKUP(J245,'G-3 Multipliers'!$L$3:$N$6,2,FALSE)))</f>
        <v/>
      </c>
      <c r="L245" s="281" t="str">
        <f>IF(J245="","",IF(VLOOKUP(J245,'G-3 Multipliers'!$L$3:$N$6,3,FALSE)=0,"Spatial Data Missing ⚠",VLOOKUP(J245,'G-3 Multipliers'!$L$3:$N$6,3,FALSE)))</f>
        <v/>
      </c>
      <c r="M245" s="275" t="str">
        <f>IF(OR(D245="",H245=""),"",(INDEX('G-6 Hedgerow Data'!$E$3:$I$15,MATCH(D245,'G-6 Hedgerow Data'!$B$3:$B$15,0),MATCH(H245,'G-6 Hedgerow Data'!$E$2:$I$2,0))))</f>
        <v/>
      </c>
      <c r="N245" s="133"/>
      <c r="O245" s="133"/>
      <c r="P245" s="283" t="str">
        <f t="shared" si="19"/>
        <v/>
      </c>
      <c r="Q245" s="296" t="str">
        <f t="shared" si="20"/>
        <v/>
      </c>
      <c r="R245" s="297" t="str">
        <f t="shared" si="18"/>
        <v/>
      </c>
      <c r="S245" s="311" t="str">
        <f>IF(D245="","",VLOOKUP(D245,'G-6 Hedgerow Data'!$B$3:$AG$15,31,FALSE))</f>
        <v/>
      </c>
      <c r="T245" s="283" t="str">
        <f t="shared" si="21"/>
        <v/>
      </c>
      <c r="U245" s="283" t="str">
        <f t="shared" si="22"/>
        <v/>
      </c>
      <c r="V245" s="299" t="str">
        <f>IF(D245="","",VLOOKUP(S245,'G-3 Multipliers'!$P$3:$Q$6,2,FALSE))</f>
        <v/>
      </c>
      <c r="W245" s="303" t="str">
        <f t="shared" si="23"/>
        <v/>
      </c>
      <c r="X245" s="101"/>
      <c r="Y245" s="115"/>
      <c r="Z245" s="104"/>
      <c r="AG245" s="30" t="str">
        <f>IFERROR(INDEX('G-6 Hedgerow Data'!$BJ$3:$BJ$15,MATCH(D245,'G-6 Hedgerow Data'!$B$3:$B$15,0)),"")</f>
        <v/>
      </c>
    </row>
    <row r="246" spans="2:33" ht="14" hidden="1">
      <c r="B246" s="97">
        <v>235</v>
      </c>
      <c r="C246" s="140"/>
      <c r="D246" s="133"/>
      <c r="E246" s="115"/>
      <c r="F246" s="323" t="str">
        <f>IF(D246="","",VLOOKUP(D246,'G-6 Hedgerow Data'!$B$2:$AG$15,2,FALSE))</f>
        <v/>
      </c>
      <c r="G246" s="276" t="str">
        <f>IF(D246="","",VLOOKUP(D246,'G-6 Hedgerow Data'!$B$2:$AG$15,3,FALSE))</f>
        <v/>
      </c>
      <c r="H246" s="101"/>
      <c r="I246" s="276" t="str">
        <f>IFERROR(IF(H246="","",IF(AND(D246="Non-native and ornamental hedgerow",H246&lt;&gt;"Poor"),"Not possible ▲",(VLOOKUP(H246,'G-1 All Habitats'!$Z$2:$AA$9,2,FALSE)))),"")</f>
        <v/>
      </c>
      <c r="J246" s="101"/>
      <c r="K246" s="295" t="str">
        <f>IF(J246="","",IF(VLOOKUP(J246,'G-3 Multipliers'!$L$3:$N$6,2,FALSE)=0,"Spatial Data Missing ⚠",VLOOKUP(J246,'G-3 Multipliers'!$L$3:$N$6,2,FALSE)))</f>
        <v/>
      </c>
      <c r="L246" s="281" t="str">
        <f>IF(J246="","",IF(VLOOKUP(J246,'G-3 Multipliers'!$L$3:$N$6,3,FALSE)=0,"Spatial Data Missing ⚠",VLOOKUP(J246,'G-3 Multipliers'!$L$3:$N$6,3,FALSE)))</f>
        <v/>
      </c>
      <c r="M246" s="275" t="str">
        <f>IF(OR(D246="",H246=""),"",(INDEX('G-6 Hedgerow Data'!$E$3:$I$15,MATCH(D246,'G-6 Hedgerow Data'!$B$3:$B$15,0),MATCH(H246,'G-6 Hedgerow Data'!$E$2:$I$2,0))))</f>
        <v/>
      </c>
      <c r="N246" s="133"/>
      <c r="O246" s="133"/>
      <c r="P246" s="283" t="str">
        <f t="shared" si="19"/>
        <v/>
      </c>
      <c r="Q246" s="296" t="str">
        <f t="shared" si="20"/>
        <v/>
      </c>
      <c r="R246" s="297" t="str">
        <f t="shared" si="18"/>
        <v/>
      </c>
      <c r="S246" s="311" t="str">
        <f>IF(D246="","",VLOOKUP(D246,'G-6 Hedgerow Data'!$B$3:$AG$15,31,FALSE))</f>
        <v/>
      </c>
      <c r="T246" s="283" t="str">
        <f t="shared" si="21"/>
        <v/>
      </c>
      <c r="U246" s="283" t="str">
        <f t="shared" si="22"/>
        <v/>
      </c>
      <c r="V246" s="299" t="str">
        <f>IF(D246="","",VLOOKUP(S246,'G-3 Multipliers'!$P$3:$Q$6,2,FALSE))</f>
        <v/>
      </c>
      <c r="W246" s="303" t="str">
        <f t="shared" si="23"/>
        <v/>
      </c>
      <c r="X246" s="101"/>
      <c r="Y246" s="115"/>
      <c r="Z246" s="104"/>
      <c r="AG246" s="30" t="str">
        <f>IFERROR(INDEX('G-6 Hedgerow Data'!$BJ$3:$BJ$15,MATCH(D246,'G-6 Hedgerow Data'!$B$3:$B$15,0)),"")</f>
        <v/>
      </c>
    </row>
    <row r="247" spans="2:33" ht="14" hidden="1">
      <c r="B247" s="97">
        <v>236</v>
      </c>
      <c r="C247" s="140"/>
      <c r="D247" s="133"/>
      <c r="E247" s="115"/>
      <c r="F247" s="323" t="str">
        <f>IF(D247="","",VLOOKUP(D247,'G-6 Hedgerow Data'!$B$2:$AG$15,2,FALSE))</f>
        <v/>
      </c>
      <c r="G247" s="276" t="str">
        <f>IF(D247="","",VLOOKUP(D247,'G-6 Hedgerow Data'!$B$2:$AG$15,3,FALSE))</f>
        <v/>
      </c>
      <c r="H247" s="101"/>
      <c r="I247" s="276" t="str">
        <f>IFERROR(IF(H247="","",IF(AND(D247="Non-native and ornamental hedgerow",H247&lt;&gt;"Poor"),"Not possible ▲",(VLOOKUP(H247,'G-1 All Habitats'!$Z$2:$AA$9,2,FALSE)))),"")</f>
        <v/>
      </c>
      <c r="J247" s="101"/>
      <c r="K247" s="295" t="str">
        <f>IF(J247="","",IF(VLOOKUP(J247,'G-3 Multipliers'!$L$3:$N$6,2,FALSE)=0,"Spatial Data Missing ⚠",VLOOKUP(J247,'G-3 Multipliers'!$L$3:$N$6,2,FALSE)))</f>
        <v/>
      </c>
      <c r="L247" s="281" t="str">
        <f>IF(J247="","",IF(VLOOKUP(J247,'G-3 Multipliers'!$L$3:$N$6,3,FALSE)=0,"Spatial Data Missing ⚠",VLOOKUP(J247,'G-3 Multipliers'!$L$3:$N$6,3,FALSE)))</f>
        <v/>
      </c>
      <c r="M247" s="275" t="str">
        <f>IF(OR(D247="",H247=""),"",(INDEX('G-6 Hedgerow Data'!$E$3:$I$15,MATCH(D247,'G-6 Hedgerow Data'!$B$3:$B$15,0),MATCH(H247,'G-6 Hedgerow Data'!$E$2:$I$2,0))))</f>
        <v/>
      </c>
      <c r="N247" s="133"/>
      <c r="O247" s="133"/>
      <c r="P247" s="283" t="str">
        <f t="shared" si="19"/>
        <v/>
      </c>
      <c r="Q247" s="296" t="str">
        <f t="shared" si="20"/>
        <v/>
      </c>
      <c r="R247" s="297" t="str">
        <f t="shared" si="18"/>
        <v/>
      </c>
      <c r="S247" s="311" t="str">
        <f>IF(D247="","",VLOOKUP(D247,'G-6 Hedgerow Data'!$B$3:$AG$15,31,FALSE))</f>
        <v/>
      </c>
      <c r="T247" s="283" t="str">
        <f t="shared" si="21"/>
        <v/>
      </c>
      <c r="U247" s="283" t="str">
        <f t="shared" si="22"/>
        <v/>
      </c>
      <c r="V247" s="299" t="str">
        <f>IF(D247="","",VLOOKUP(S247,'G-3 Multipliers'!$P$3:$Q$6,2,FALSE))</f>
        <v/>
      </c>
      <c r="W247" s="303" t="str">
        <f t="shared" si="23"/>
        <v/>
      </c>
      <c r="X247" s="101"/>
      <c r="Y247" s="115"/>
      <c r="Z247" s="104"/>
      <c r="AG247" s="30" t="str">
        <f>IFERROR(INDEX('G-6 Hedgerow Data'!$BJ$3:$BJ$15,MATCH(D247,'G-6 Hedgerow Data'!$B$3:$B$15,0)),"")</f>
        <v/>
      </c>
    </row>
    <row r="248" spans="2:33" ht="14" hidden="1">
      <c r="B248" s="97">
        <v>237</v>
      </c>
      <c r="C248" s="140"/>
      <c r="D248" s="133"/>
      <c r="E248" s="115"/>
      <c r="F248" s="323" t="str">
        <f>IF(D248="","",VLOOKUP(D248,'G-6 Hedgerow Data'!$B$2:$AG$15,2,FALSE))</f>
        <v/>
      </c>
      <c r="G248" s="276" t="str">
        <f>IF(D248="","",VLOOKUP(D248,'G-6 Hedgerow Data'!$B$2:$AG$15,3,FALSE))</f>
        <v/>
      </c>
      <c r="H248" s="101"/>
      <c r="I248" s="276" t="str">
        <f>IFERROR(IF(H248="","",IF(AND(D248="Non-native and ornamental hedgerow",H248&lt;&gt;"Poor"),"Not possible ▲",(VLOOKUP(H248,'G-1 All Habitats'!$Z$2:$AA$9,2,FALSE)))),"")</f>
        <v/>
      </c>
      <c r="J248" s="101"/>
      <c r="K248" s="295" t="str">
        <f>IF(J248="","",IF(VLOOKUP(J248,'G-3 Multipliers'!$L$3:$N$6,2,FALSE)=0,"Spatial Data Missing ⚠",VLOOKUP(J248,'G-3 Multipliers'!$L$3:$N$6,2,FALSE)))</f>
        <v/>
      </c>
      <c r="L248" s="281" t="str">
        <f>IF(J248="","",IF(VLOOKUP(J248,'G-3 Multipliers'!$L$3:$N$6,3,FALSE)=0,"Spatial Data Missing ⚠",VLOOKUP(J248,'G-3 Multipliers'!$L$3:$N$6,3,FALSE)))</f>
        <v/>
      </c>
      <c r="M248" s="275" t="str">
        <f>IF(OR(D248="",H248=""),"",(INDEX('G-6 Hedgerow Data'!$E$3:$I$15,MATCH(D248,'G-6 Hedgerow Data'!$B$3:$B$15,0),MATCH(H248,'G-6 Hedgerow Data'!$E$2:$I$2,0))))</f>
        <v/>
      </c>
      <c r="N248" s="133"/>
      <c r="O248" s="133"/>
      <c r="P248" s="283" t="str">
        <f t="shared" si="19"/>
        <v/>
      </c>
      <c r="Q248" s="296" t="str">
        <f t="shared" si="20"/>
        <v/>
      </c>
      <c r="R248" s="297" t="str">
        <f t="shared" si="18"/>
        <v/>
      </c>
      <c r="S248" s="311" t="str">
        <f>IF(D248="","",VLOOKUP(D248,'G-6 Hedgerow Data'!$B$3:$AG$15,31,FALSE))</f>
        <v/>
      </c>
      <c r="T248" s="283" t="str">
        <f t="shared" si="21"/>
        <v/>
      </c>
      <c r="U248" s="283" t="str">
        <f t="shared" si="22"/>
        <v/>
      </c>
      <c r="V248" s="299" t="str">
        <f>IF(D248="","",VLOOKUP(S248,'G-3 Multipliers'!$P$3:$Q$6,2,FALSE))</f>
        <v/>
      </c>
      <c r="W248" s="303" t="str">
        <f t="shared" si="23"/>
        <v/>
      </c>
      <c r="X248" s="101"/>
      <c r="Y248" s="115"/>
      <c r="Z248" s="104"/>
      <c r="AG248" s="30" t="str">
        <f>IFERROR(INDEX('G-6 Hedgerow Data'!$BJ$3:$BJ$15,MATCH(D248,'G-6 Hedgerow Data'!$B$3:$B$15,0)),"")</f>
        <v/>
      </c>
    </row>
    <row r="249" spans="2:33" ht="14" hidden="1">
      <c r="B249" s="97">
        <v>238</v>
      </c>
      <c r="C249" s="140"/>
      <c r="D249" s="133"/>
      <c r="E249" s="115"/>
      <c r="F249" s="323" t="str">
        <f>IF(D249="","",VLOOKUP(D249,'G-6 Hedgerow Data'!$B$2:$AG$15,2,FALSE))</f>
        <v/>
      </c>
      <c r="G249" s="276" t="str">
        <f>IF(D249="","",VLOOKUP(D249,'G-6 Hedgerow Data'!$B$2:$AG$15,3,FALSE))</f>
        <v/>
      </c>
      <c r="H249" s="101"/>
      <c r="I249" s="276" t="str">
        <f>IFERROR(IF(H249="","",IF(AND(D249="Non-native and ornamental hedgerow",H249&lt;&gt;"Poor"),"Not possible ▲",(VLOOKUP(H249,'G-1 All Habitats'!$Z$2:$AA$9,2,FALSE)))),"")</f>
        <v/>
      </c>
      <c r="J249" s="101"/>
      <c r="K249" s="295" t="str">
        <f>IF(J249="","",IF(VLOOKUP(J249,'G-3 Multipliers'!$L$3:$N$6,2,FALSE)=0,"Spatial Data Missing ⚠",VLOOKUP(J249,'G-3 Multipliers'!$L$3:$N$6,2,FALSE)))</f>
        <v/>
      </c>
      <c r="L249" s="281" t="str">
        <f>IF(J249="","",IF(VLOOKUP(J249,'G-3 Multipliers'!$L$3:$N$6,3,FALSE)=0,"Spatial Data Missing ⚠",VLOOKUP(J249,'G-3 Multipliers'!$L$3:$N$6,3,FALSE)))</f>
        <v/>
      </c>
      <c r="M249" s="275" t="str">
        <f>IF(OR(D249="",H249=""),"",(INDEX('G-6 Hedgerow Data'!$E$3:$I$15,MATCH(D249,'G-6 Hedgerow Data'!$B$3:$B$15,0),MATCH(H249,'G-6 Hedgerow Data'!$E$2:$I$2,0))))</f>
        <v/>
      </c>
      <c r="N249" s="133"/>
      <c r="O249" s="133"/>
      <c r="P249" s="283" t="str">
        <f t="shared" si="19"/>
        <v/>
      </c>
      <c r="Q249" s="296" t="str">
        <f t="shared" si="20"/>
        <v/>
      </c>
      <c r="R249" s="297" t="str">
        <f t="shared" si="18"/>
        <v/>
      </c>
      <c r="S249" s="311" t="str">
        <f>IF(D249="","",VLOOKUP(D249,'G-6 Hedgerow Data'!$B$3:$AG$15,31,FALSE))</f>
        <v/>
      </c>
      <c r="T249" s="283" t="str">
        <f t="shared" si="21"/>
        <v/>
      </c>
      <c r="U249" s="283" t="str">
        <f t="shared" si="22"/>
        <v/>
      </c>
      <c r="V249" s="299" t="str">
        <f>IF(D249="","",VLOOKUP(S249,'G-3 Multipliers'!$P$3:$Q$6,2,FALSE))</f>
        <v/>
      </c>
      <c r="W249" s="303" t="str">
        <f t="shared" si="23"/>
        <v/>
      </c>
      <c r="X249" s="101"/>
      <c r="Y249" s="115"/>
      <c r="Z249" s="104"/>
      <c r="AG249" s="30" t="str">
        <f>IFERROR(INDEX('G-6 Hedgerow Data'!$BJ$3:$BJ$15,MATCH(D249,'G-6 Hedgerow Data'!$B$3:$B$15,0)),"")</f>
        <v/>
      </c>
    </row>
    <row r="250" spans="2:33" ht="14" hidden="1">
      <c r="B250" s="97">
        <v>239</v>
      </c>
      <c r="C250" s="140"/>
      <c r="D250" s="133"/>
      <c r="E250" s="115"/>
      <c r="F250" s="323" t="str">
        <f>IF(D250="","",VLOOKUP(D250,'G-6 Hedgerow Data'!$B$2:$AG$15,2,FALSE))</f>
        <v/>
      </c>
      <c r="G250" s="276" t="str">
        <f>IF(D250="","",VLOOKUP(D250,'G-6 Hedgerow Data'!$B$2:$AG$15,3,FALSE))</f>
        <v/>
      </c>
      <c r="H250" s="101"/>
      <c r="I250" s="276" t="str">
        <f>IFERROR(IF(H250="","",IF(AND(D250="Non-native and ornamental hedgerow",H250&lt;&gt;"Poor"),"Not possible ▲",(VLOOKUP(H250,'G-1 All Habitats'!$Z$2:$AA$9,2,FALSE)))),"")</f>
        <v/>
      </c>
      <c r="J250" s="101"/>
      <c r="K250" s="295" t="str">
        <f>IF(J250="","",IF(VLOOKUP(J250,'G-3 Multipliers'!$L$3:$N$6,2,FALSE)=0,"Spatial Data Missing ⚠",VLOOKUP(J250,'G-3 Multipliers'!$L$3:$N$6,2,FALSE)))</f>
        <v/>
      </c>
      <c r="L250" s="281" t="str">
        <f>IF(J250="","",IF(VLOOKUP(J250,'G-3 Multipliers'!$L$3:$N$6,3,FALSE)=0,"Spatial Data Missing ⚠",VLOOKUP(J250,'G-3 Multipliers'!$L$3:$N$6,3,FALSE)))</f>
        <v/>
      </c>
      <c r="M250" s="275" t="str">
        <f>IF(OR(D250="",H250=""),"",(INDEX('G-6 Hedgerow Data'!$E$3:$I$15,MATCH(D250,'G-6 Hedgerow Data'!$B$3:$B$15,0),MATCH(H250,'G-6 Hedgerow Data'!$E$2:$I$2,0))))</f>
        <v/>
      </c>
      <c r="N250" s="133"/>
      <c r="O250" s="133"/>
      <c r="P250" s="283" t="str">
        <f t="shared" si="19"/>
        <v/>
      </c>
      <c r="Q250" s="296" t="str">
        <f t="shared" si="20"/>
        <v/>
      </c>
      <c r="R250" s="297" t="str">
        <f t="shared" si="18"/>
        <v/>
      </c>
      <c r="S250" s="311" t="str">
        <f>IF(D250="","",VLOOKUP(D250,'G-6 Hedgerow Data'!$B$3:$AG$15,31,FALSE))</f>
        <v/>
      </c>
      <c r="T250" s="283" t="str">
        <f t="shared" si="21"/>
        <v/>
      </c>
      <c r="U250" s="283" t="str">
        <f t="shared" si="22"/>
        <v/>
      </c>
      <c r="V250" s="299" t="str">
        <f>IF(D250="","",VLOOKUP(S250,'G-3 Multipliers'!$P$3:$Q$6,2,FALSE))</f>
        <v/>
      </c>
      <c r="W250" s="303" t="str">
        <f t="shared" si="23"/>
        <v/>
      </c>
      <c r="X250" s="101"/>
      <c r="Y250" s="115"/>
      <c r="Z250" s="104"/>
      <c r="AG250" s="30" t="str">
        <f>IFERROR(INDEX('G-6 Hedgerow Data'!$BJ$3:$BJ$15,MATCH(D250,'G-6 Hedgerow Data'!$B$3:$B$15,0)),"")</f>
        <v/>
      </c>
    </row>
    <row r="251" spans="2:33" ht="14" hidden="1">
      <c r="B251" s="97">
        <v>240</v>
      </c>
      <c r="C251" s="140"/>
      <c r="D251" s="133"/>
      <c r="E251" s="115"/>
      <c r="F251" s="323" t="str">
        <f>IF(D251="","",VLOOKUP(D251,'G-6 Hedgerow Data'!$B$2:$AG$15,2,FALSE))</f>
        <v/>
      </c>
      <c r="G251" s="276" t="str">
        <f>IF(D251="","",VLOOKUP(D251,'G-6 Hedgerow Data'!$B$2:$AG$15,3,FALSE))</f>
        <v/>
      </c>
      <c r="H251" s="101"/>
      <c r="I251" s="276" t="str">
        <f>IFERROR(IF(H251="","",IF(AND(D251="Non-native and ornamental hedgerow",H251&lt;&gt;"Poor"),"Not possible ▲",(VLOOKUP(H251,'G-1 All Habitats'!$Z$2:$AA$9,2,FALSE)))),"")</f>
        <v/>
      </c>
      <c r="J251" s="101"/>
      <c r="K251" s="295" t="str">
        <f>IF(J251="","",IF(VLOOKUP(J251,'G-3 Multipliers'!$L$3:$N$6,2,FALSE)=0,"Spatial Data Missing ⚠",VLOOKUP(J251,'G-3 Multipliers'!$L$3:$N$6,2,FALSE)))</f>
        <v/>
      </c>
      <c r="L251" s="281" t="str">
        <f>IF(J251="","",IF(VLOOKUP(J251,'G-3 Multipliers'!$L$3:$N$6,3,FALSE)=0,"Spatial Data Missing ⚠",VLOOKUP(J251,'G-3 Multipliers'!$L$3:$N$6,3,FALSE)))</f>
        <v/>
      </c>
      <c r="M251" s="275" t="str">
        <f>IF(OR(D251="",H251=""),"",(INDEX('G-6 Hedgerow Data'!$E$3:$I$15,MATCH(D251,'G-6 Hedgerow Data'!$B$3:$B$15,0),MATCH(H251,'G-6 Hedgerow Data'!$E$2:$I$2,0))))</f>
        <v/>
      </c>
      <c r="N251" s="133"/>
      <c r="O251" s="133"/>
      <c r="P251" s="283" t="str">
        <f t="shared" si="19"/>
        <v/>
      </c>
      <c r="Q251" s="296" t="str">
        <f t="shared" si="20"/>
        <v/>
      </c>
      <c r="R251" s="297" t="str">
        <f t="shared" si="18"/>
        <v/>
      </c>
      <c r="S251" s="311" t="str">
        <f>IF(D251="","",VLOOKUP(D251,'G-6 Hedgerow Data'!$B$3:$AG$15,31,FALSE))</f>
        <v/>
      </c>
      <c r="T251" s="283" t="str">
        <f t="shared" si="21"/>
        <v/>
      </c>
      <c r="U251" s="283" t="str">
        <f t="shared" si="22"/>
        <v/>
      </c>
      <c r="V251" s="299" t="str">
        <f>IF(D251="","",VLOOKUP(S251,'G-3 Multipliers'!$P$3:$Q$6,2,FALSE))</f>
        <v/>
      </c>
      <c r="W251" s="303" t="str">
        <f t="shared" si="23"/>
        <v/>
      </c>
      <c r="X251" s="101"/>
      <c r="Y251" s="115"/>
      <c r="Z251" s="104"/>
      <c r="AG251" s="30" t="str">
        <f>IFERROR(INDEX('G-6 Hedgerow Data'!$BJ$3:$BJ$15,MATCH(D251,'G-6 Hedgerow Data'!$B$3:$B$15,0)),"")</f>
        <v/>
      </c>
    </row>
    <row r="252" spans="2:33" ht="14" hidden="1">
      <c r="B252" s="97">
        <v>241</v>
      </c>
      <c r="C252" s="140"/>
      <c r="D252" s="133"/>
      <c r="E252" s="115"/>
      <c r="F252" s="323" t="str">
        <f>IF(D252="","",VLOOKUP(D252,'G-6 Hedgerow Data'!$B$2:$AG$15,2,FALSE))</f>
        <v/>
      </c>
      <c r="G252" s="276" t="str">
        <f>IF(D252="","",VLOOKUP(D252,'G-6 Hedgerow Data'!$B$2:$AG$15,3,FALSE))</f>
        <v/>
      </c>
      <c r="H252" s="101"/>
      <c r="I252" s="276" t="str">
        <f>IFERROR(IF(H252="","",IF(AND(D252="Non-native and ornamental hedgerow",H252&lt;&gt;"Poor"),"Not possible ▲",(VLOOKUP(H252,'G-1 All Habitats'!$Z$2:$AA$9,2,FALSE)))),"")</f>
        <v/>
      </c>
      <c r="J252" s="101"/>
      <c r="K252" s="295" t="str">
        <f>IF(J252="","",IF(VLOOKUP(J252,'G-3 Multipliers'!$L$3:$N$6,2,FALSE)=0,"Spatial Data Missing ⚠",VLOOKUP(J252,'G-3 Multipliers'!$L$3:$N$6,2,FALSE)))</f>
        <v/>
      </c>
      <c r="L252" s="281" t="str">
        <f>IF(J252="","",IF(VLOOKUP(J252,'G-3 Multipliers'!$L$3:$N$6,3,FALSE)=0,"Spatial Data Missing ⚠",VLOOKUP(J252,'G-3 Multipliers'!$L$3:$N$6,3,FALSE)))</f>
        <v/>
      </c>
      <c r="M252" s="275" t="str">
        <f>IF(OR(D252="",H252=""),"",(INDEX('G-6 Hedgerow Data'!$E$3:$I$15,MATCH(D252,'G-6 Hedgerow Data'!$B$3:$B$15,0),MATCH(H252,'G-6 Hedgerow Data'!$E$2:$I$2,0))))</f>
        <v/>
      </c>
      <c r="N252" s="133"/>
      <c r="O252" s="133"/>
      <c r="P252" s="283" t="str">
        <f t="shared" si="19"/>
        <v/>
      </c>
      <c r="Q252" s="296" t="str">
        <f t="shared" si="20"/>
        <v/>
      </c>
      <c r="R252" s="297" t="str">
        <f t="shared" si="18"/>
        <v/>
      </c>
      <c r="S252" s="311" t="str">
        <f>IF(D252="","",VLOOKUP(D252,'G-6 Hedgerow Data'!$B$3:$AG$15,31,FALSE))</f>
        <v/>
      </c>
      <c r="T252" s="283" t="str">
        <f t="shared" si="21"/>
        <v/>
      </c>
      <c r="U252" s="283" t="str">
        <f t="shared" si="22"/>
        <v/>
      </c>
      <c r="V252" s="299" t="str">
        <f>IF(D252="","",VLOOKUP(S252,'G-3 Multipliers'!$P$3:$Q$6,2,FALSE))</f>
        <v/>
      </c>
      <c r="W252" s="303" t="str">
        <f t="shared" si="23"/>
        <v/>
      </c>
      <c r="X252" s="101"/>
      <c r="Y252" s="115"/>
      <c r="Z252" s="104"/>
      <c r="AG252" s="30" t="str">
        <f>IFERROR(INDEX('G-6 Hedgerow Data'!$BJ$3:$BJ$15,MATCH(D252,'G-6 Hedgerow Data'!$B$3:$B$15,0)),"")</f>
        <v/>
      </c>
    </row>
    <row r="253" spans="2:33" ht="14" hidden="1">
      <c r="B253" s="97">
        <v>242</v>
      </c>
      <c r="C253" s="140"/>
      <c r="D253" s="133"/>
      <c r="E253" s="115"/>
      <c r="F253" s="323" t="str">
        <f>IF(D253="","",VLOOKUP(D253,'G-6 Hedgerow Data'!$B$2:$AG$15,2,FALSE))</f>
        <v/>
      </c>
      <c r="G253" s="276" t="str">
        <f>IF(D253="","",VLOOKUP(D253,'G-6 Hedgerow Data'!$B$2:$AG$15,3,FALSE))</f>
        <v/>
      </c>
      <c r="H253" s="101"/>
      <c r="I253" s="276" t="str">
        <f>IFERROR(IF(H253="","",IF(AND(D253="Non-native and ornamental hedgerow",H253&lt;&gt;"Poor"),"Not possible ▲",(VLOOKUP(H253,'G-1 All Habitats'!$Z$2:$AA$9,2,FALSE)))),"")</f>
        <v/>
      </c>
      <c r="J253" s="101"/>
      <c r="K253" s="295" t="str">
        <f>IF(J253="","",IF(VLOOKUP(J253,'G-3 Multipliers'!$L$3:$N$6,2,FALSE)=0,"Spatial Data Missing ⚠",VLOOKUP(J253,'G-3 Multipliers'!$L$3:$N$6,2,FALSE)))</f>
        <v/>
      </c>
      <c r="L253" s="281" t="str">
        <f>IF(J253="","",IF(VLOOKUP(J253,'G-3 Multipliers'!$L$3:$N$6,3,FALSE)=0,"Spatial Data Missing ⚠",VLOOKUP(J253,'G-3 Multipliers'!$L$3:$N$6,3,FALSE)))</f>
        <v/>
      </c>
      <c r="M253" s="275" t="str">
        <f>IF(OR(D253="",H253=""),"",(INDEX('G-6 Hedgerow Data'!$E$3:$I$15,MATCH(D253,'G-6 Hedgerow Data'!$B$3:$B$15,0),MATCH(H253,'G-6 Hedgerow Data'!$E$2:$I$2,0))))</f>
        <v/>
      </c>
      <c r="N253" s="133"/>
      <c r="O253" s="133"/>
      <c r="P253" s="283" t="str">
        <f t="shared" si="19"/>
        <v/>
      </c>
      <c r="Q253" s="296" t="str">
        <f t="shared" si="20"/>
        <v/>
      </c>
      <c r="R253" s="297" t="str">
        <f t="shared" si="18"/>
        <v/>
      </c>
      <c r="S253" s="311" t="str">
        <f>IF(D253="","",VLOOKUP(D253,'G-6 Hedgerow Data'!$B$3:$AG$15,31,FALSE))</f>
        <v/>
      </c>
      <c r="T253" s="283" t="str">
        <f t="shared" si="21"/>
        <v/>
      </c>
      <c r="U253" s="283" t="str">
        <f t="shared" si="22"/>
        <v/>
      </c>
      <c r="V253" s="299" t="str">
        <f>IF(D253="","",VLOOKUP(S253,'G-3 Multipliers'!$P$3:$Q$6,2,FALSE))</f>
        <v/>
      </c>
      <c r="W253" s="303" t="str">
        <f t="shared" si="23"/>
        <v/>
      </c>
      <c r="X253" s="101"/>
      <c r="Y253" s="115"/>
      <c r="Z253" s="104"/>
      <c r="AG253" s="30" t="str">
        <f>IFERROR(INDEX('G-6 Hedgerow Data'!$BJ$3:$BJ$15,MATCH(D253,'G-6 Hedgerow Data'!$B$3:$B$15,0)),"")</f>
        <v/>
      </c>
    </row>
    <row r="254" spans="2:33" ht="14" hidden="1">
      <c r="B254" s="97">
        <v>243</v>
      </c>
      <c r="C254" s="140"/>
      <c r="D254" s="133"/>
      <c r="E254" s="115"/>
      <c r="F254" s="323" t="str">
        <f>IF(D254="","",VLOOKUP(D254,'G-6 Hedgerow Data'!$B$2:$AG$15,2,FALSE))</f>
        <v/>
      </c>
      <c r="G254" s="276" t="str">
        <f>IF(D254="","",VLOOKUP(D254,'G-6 Hedgerow Data'!$B$2:$AG$15,3,FALSE))</f>
        <v/>
      </c>
      <c r="H254" s="101"/>
      <c r="I254" s="276" t="str">
        <f>IFERROR(IF(H254="","",IF(AND(D254="Non-native and ornamental hedgerow",H254&lt;&gt;"Poor"),"Not possible ▲",(VLOOKUP(H254,'G-1 All Habitats'!$Z$2:$AA$9,2,FALSE)))),"")</f>
        <v/>
      </c>
      <c r="J254" s="101"/>
      <c r="K254" s="295" t="str">
        <f>IF(J254="","",IF(VLOOKUP(J254,'G-3 Multipliers'!$L$3:$N$6,2,FALSE)=0,"Spatial Data Missing ⚠",VLOOKUP(J254,'G-3 Multipliers'!$L$3:$N$6,2,FALSE)))</f>
        <v/>
      </c>
      <c r="L254" s="281" t="str">
        <f>IF(J254="","",IF(VLOOKUP(J254,'G-3 Multipliers'!$L$3:$N$6,3,FALSE)=0,"Spatial Data Missing ⚠",VLOOKUP(J254,'G-3 Multipliers'!$L$3:$N$6,3,FALSE)))</f>
        <v/>
      </c>
      <c r="M254" s="275" t="str">
        <f>IF(OR(D254="",H254=""),"",(INDEX('G-6 Hedgerow Data'!$E$3:$I$15,MATCH(D254,'G-6 Hedgerow Data'!$B$3:$B$15,0),MATCH(H254,'G-6 Hedgerow Data'!$E$2:$I$2,0))))</f>
        <v/>
      </c>
      <c r="N254" s="133"/>
      <c r="O254" s="133"/>
      <c r="P254" s="283" t="str">
        <f t="shared" si="19"/>
        <v/>
      </c>
      <c r="Q254" s="296" t="str">
        <f t="shared" si="20"/>
        <v/>
      </c>
      <c r="R254" s="297" t="str">
        <f t="shared" si="18"/>
        <v/>
      </c>
      <c r="S254" s="311" t="str">
        <f>IF(D254="","",VLOOKUP(D254,'G-6 Hedgerow Data'!$B$3:$AG$15,31,FALSE))</f>
        <v/>
      </c>
      <c r="T254" s="283" t="str">
        <f t="shared" si="21"/>
        <v/>
      </c>
      <c r="U254" s="283" t="str">
        <f t="shared" si="22"/>
        <v/>
      </c>
      <c r="V254" s="299" t="str">
        <f>IF(D254="","",VLOOKUP(S254,'G-3 Multipliers'!$P$3:$Q$6,2,FALSE))</f>
        <v/>
      </c>
      <c r="W254" s="303" t="str">
        <f t="shared" si="23"/>
        <v/>
      </c>
      <c r="X254" s="101"/>
      <c r="Y254" s="115"/>
      <c r="Z254" s="104"/>
      <c r="AG254" s="30" t="str">
        <f>IFERROR(INDEX('G-6 Hedgerow Data'!$BJ$3:$BJ$15,MATCH(D254,'G-6 Hedgerow Data'!$B$3:$B$15,0)),"")</f>
        <v/>
      </c>
    </row>
    <row r="255" spans="2:33" ht="14" hidden="1">
      <c r="B255" s="97">
        <v>244</v>
      </c>
      <c r="C255" s="140"/>
      <c r="D255" s="133"/>
      <c r="E255" s="115"/>
      <c r="F255" s="323" t="str">
        <f>IF(D255="","",VLOOKUP(D255,'G-6 Hedgerow Data'!$B$2:$AG$15,2,FALSE))</f>
        <v/>
      </c>
      <c r="G255" s="276" t="str">
        <f>IF(D255="","",VLOOKUP(D255,'G-6 Hedgerow Data'!$B$2:$AG$15,3,FALSE))</f>
        <v/>
      </c>
      <c r="H255" s="101"/>
      <c r="I255" s="276" t="str">
        <f>IFERROR(IF(H255="","",IF(AND(D255="Non-native and ornamental hedgerow",H255&lt;&gt;"Poor"),"Not possible ▲",(VLOOKUP(H255,'G-1 All Habitats'!$Z$2:$AA$9,2,FALSE)))),"")</f>
        <v/>
      </c>
      <c r="J255" s="101"/>
      <c r="K255" s="295" t="str">
        <f>IF(J255="","",IF(VLOOKUP(J255,'G-3 Multipliers'!$L$3:$N$6,2,FALSE)=0,"Spatial Data Missing ⚠",VLOOKUP(J255,'G-3 Multipliers'!$L$3:$N$6,2,FALSE)))</f>
        <v/>
      </c>
      <c r="L255" s="281" t="str">
        <f>IF(J255="","",IF(VLOOKUP(J255,'G-3 Multipliers'!$L$3:$N$6,3,FALSE)=0,"Spatial Data Missing ⚠",VLOOKUP(J255,'G-3 Multipliers'!$L$3:$N$6,3,FALSE)))</f>
        <v/>
      </c>
      <c r="M255" s="275" t="str">
        <f>IF(OR(D255="",H255=""),"",(INDEX('G-6 Hedgerow Data'!$E$3:$I$15,MATCH(D255,'G-6 Hedgerow Data'!$B$3:$B$15,0),MATCH(H255,'G-6 Hedgerow Data'!$E$2:$I$2,0))))</f>
        <v/>
      </c>
      <c r="N255" s="133"/>
      <c r="O255" s="133"/>
      <c r="P255" s="283" t="str">
        <f t="shared" si="19"/>
        <v/>
      </c>
      <c r="Q255" s="296" t="str">
        <f t="shared" si="20"/>
        <v/>
      </c>
      <c r="R255" s="297" t="str">
        <f t="shared" si="18"/>
        <v/>
      </c>
      <c r="S255" s="311" t="str">
        <f>IF(D255="","",VLOOKUP(D255,'G-6 Hedgerow Data'!$B$3:$AG$15,31,FALSE))</f>
        <v/>
      </c>
      <c r="T255" s="283" t="str">
        <f t="shared" si="21"/>
        <v/>
      </c>
      <c r="U255" s="283" t="str">
        <f t="shared" si="22"/>
        <v/>
      </c>
      <c r="V255" s="299" t="str">
        <f>IF(D255="","",VLOOKUP(S255,'G-3 Multipliers'!$P$3:$Q$6,2,FALSE))</f>
        <v/>
      </c>
      <c r="W255" s="303" t="str">
        <f t="shared" si="23"/>
        <v/>
      </c>
      <c r="X255" s="101"/>
      <c r="Y255" s="115"/>
      <c r="Z255" s="104"/>
      <c r="AG255" s="30" t="str">
        <f>IFERROR(INDEX('G-6 Hedgerow Data'!$BJ$3:$BJ$15,MATCH(D255,'G-6 Hedgerow Data'!$B$3:$B$15,0)),"")</f>
        <v/>
      </c>
    </row>
    <row r="256" spans="2:33" ht="14" hidden="1">
      <c r="B256" s="97">
        <v>245</v>
      </c>
      <c r="C256" s="140"/>
      <c r="D256" s="133"/>
      <c r="E256" s="115"/>
      <c r="F256" s="323" t="str">
        <f>IF(D256="","",VLOOKUP(D256,'G-6 Hedgerow Data'!$B$2:$AG$15,2,FALSE))</f>
        <v/>
      </c>
      <c r="G256" s="276" t="str">
        <f>IF(D256="","",VLOOKUP(D256,'G-6 Hedgerow Data'!$B$2:$AG$15,3,FALSE))</f>
        <v/>
      </c>
      <c r="H256" s="101"/>
      <c r="I256" s="276" t="str">
        <f>IFERROR(IF(H256="","",IF(AND(D256="Non-native and ornamental hedgerow",H256&lt;&gt;"Poor"),"Not possible ▲",(VLOOKUP(H256,'G-1 All Habitats'!$Z$2:$AA$9,2,FALSE)))),"")</f>
        <v/>
      </c>
      <c r="J256" s="101"/>
      <c r="K256" s="295" t="str">
        <f>IF(J256="","",IF(VLOOKUP(J256,'G-3 Multipliers'!$L$3:$N$6,2,FALSE)=0,"Spatial Data Missing ⚠",VLOOKUP(J256,'G-3 Multipliers'!$L$3:$N$6,2,FALSE)))</f>
        <v/>
      </c>
      <c r="L256" s="281" t="str">
        <f>IF(J256="","",IF(VLOOKUP(J256,'G-3 Multipliers'!$L$3:$N$6,3,FALSE)=0,"Spatial Data Missing ⚠",VLOOKUP(J256,'G-3 Multipliers'!$L$3:$N$6,3,FALSE)))</f>
        <v/>
      </c>
      <c r="M256" s="275" t="str">
        <f>IF(OR(D256="",H256=""),"",(INDEX('G-6 Hedgerow Data'!$E$3:$I$15,MATCH(D256,'G-6 Hedgerow Data'!$B$3:$B$15,0),MATCH(H256,'G-6 Hedgerow Data'!$E$2:$I$2,0))))</f>
        <v/>
      </c>
      <c r="N256" s="133"/>
      <c r="O256" s="133"/>
      <c r="P256" s="283" t="str">
        <f t="shared" si="19"/>
        <v/>
      </c>
      <c r="Q256" s="296" t="str">
        <f t="shared" si="20"/>
        <v/>
      </c>
      <c r="R256" s="297" t="str">
        <f t="shared" si="18"/>
        <v/>
      </c>
      <c r="S256" s="311" t="str">
        <f>IF(D256="","",VLOOKUP(D256,'G-6 Hedgerow Data'!$B$3:$AG$15,31,FALSE))</f>
        <v/>
      </c>
      <c r="T256" s="283" t="str">
        <f t="shared" si="21"/>
        <v/>
      </c>
      <c r="U256" s="283" t="str">
        <f t="shared" si="22"/>
        <v/>
      </c>
      <c r="V256" s="299" t="str">
        <f>IF(D256="","",VLOOKUP(S256,'G-3 Multipliers'!$P$3:$Q$6,2,FALSE))</f>
        <v/>
      </c>
      <c r="W256" s="303" t="str">
        <f t="shared" si="23"/>
        <v/>
      </c>
      <c r="X256" s="101"/>
      <c r="Y256" s="115"/>
      <c r="Z256" s="104"/>
      <c r="AG256" s="30" t="str">
        <f>IFERROR(INDEX('G-6 Hedgerow Data'!$BJ$3:$BJ$15,MATCH(D256,'G-6 Hedgerow Data'!$B$3:$B$15,0)),"")</f>
        <v/>
      </c>
    </row>
    <row r="257" spans="2:33" ht="14" hidden="1">
      <c r="B257" s="97">
        <v>246</v>
      </c>
      <c r="C257" s="140"/>
      <c r="D257" s="133"/>
      <c r="E257" s="115"/>
      <c r="F257" s="323" t="str">
        <f>IF(D257="","",VLOOKUP(D257,'G-6 Hedgerow Data'!$B$2:$AG$15,2,FALSE))</f>
        <v/>
      </c>
      <c r="G257" s="276" t="str">
        <f>IF(D257="","",VLOOKUP(D257,'G-6 Hedgerow Data'!$B$2:$AG$15,3,FALSE))</f>
        <v/>
      </c>
      <c r="H257" s="101"/>
      <c r="I257" s="276" t="str">
        <f>IFERROR(IF(H257="","",IF(AND(D257="Non-native and ornamental hedgerow",H257&lt;&gt;"Poor"),"Not possible ▲",(VLOOKUP(H257,'G-1 All Habitats'!$Z$2:$AA$9,2,FALSE)))),"")</f>
        <v/>
      </c>
      <c r="J257" s="101"/>
      <c r="K257" s="295" t="str">
        <f>IF(J257="","",IF(VLOOKUP(J257,'G-3 Multipliers'!$L$3:$N$6,2,FALSE)=0,"Spatial Data Missing ⚠",VLOOKUP(J257,'G-3 Multipliers'!$L$3:$N$6,2,FALSE)))</f>
        <v/>
      </c>
      <c r="L257" s="281" t="str">
        <f>IF(J257="","",IF(VLOOKUP(J257,'G-3 Multipliers'!$L$3:$N$6,3,FALSE)=0,"Spatial Data Missing ⚠",VLOOKUP(J257,'G-3 Multipliers'!$L$3:$N$6,3,FALSE)))</f>
        <v/>
      </c>
      <c r="M257" s="275" t="str">
        <f>IF(OR(D257="",H257=""),"",(INDEX('G-6 Hedgerow Data'!$E$3:$I$15,MATCH(D257,'G-6 Hedgerow Data'!$B$3:$B$15,0),MATCH(H257,'G-6 Hedgerow Data'!$E$2:$I$2,0))))</f>
        <v/>
      </c>
      <c r="N257" s="133"/>
      <c r="O257" s="133"/>
      <c r="P257" s="283" t="str">
        <f t="shared" si="19"/>
        <v/>
      </c>
      <c r="Q257" s="296" t="str">
        <f t="shared" si="20"/>
        <v/>
      </c>
      <c r="R257" s="297" t="str">
        <f t="shared" si="18"/>
        <v/>
      </c>
      <c r="S257" s="311" t="str">
        <f>IF(D257="","",VLOOKUP(D257,'G-6 Hedgerow Data'!$B$3:$AG$15,31,FALSE))</f>
        <v/>
      </c>
      <c r="T257" s="283" t="str">
        <f t="shared" si="21"/>
        <v/>
      </c>
      <c r="U257" s="283" t="str">
        <f t="shared" si="22"/>
        <v/>
      </c>
      <c r="V257" s="299" t="str">
        <f>IF(D257="","",VLOOKUP(S257,'G-3 Multipliers'!$P$3:$Q$6,2,FALSE))</f>
        <v/>
      </c>
      <c r="W257" s="303" t="str">
        <f t="shared" si="23"/>
        <v/>
      </c>
      <c r="X257" s="101"/>
      <c r="Y257" s="115"/>
      <c r="Z257" s="104"/>
      <c r="AG257" s="30" t="str">
        <f>IFERROR(INDEX('G-6 Hedgerow Data'!$BJ$3:$BJ$15,MATCH(D257,'G-6 Hedgerow Data'!$B$3:$B$15,0)),"")</f>
        <v/>
      </c>
    </row>
    <row r="258" spans="2:33" ht="14" hidden="1">
      <c r="B258" s="97">
        <v>247</v>
      </c>
      <c r="C258" s="140"/>
      <c r="D258" s="133"/>
      <c r="E258" s="115"/>
      <c r="F258" s="323" t="str">
        <f>IF(D258="","",VLOOKUP(D258,'G-6 Hedgerow Data'!$B$2:$AG$15,2,FALSE))</f>
        <v/>
      </c>
      <c r="G258" s="276" t="str">
        <f>IF(D258="","",VLOOKUP(D258,'G-6 Hedgerow Data'!$B$2:$AG$15,3,FALSE))</f>
        <v/>
      </c>
      <c r="H258" s="101"/>
      <c r="I258" s="276" t="str">
        <f>IFERROR(IF(H258="","",IF(AND(D258="Non-native and ornamental hedgerow",H258&lt;&gt;"Poor"),"Not possible ▲",(VLOOKUP(H258,'G-1 All Habitats'!$Z$2:$AA$9,2,FALSE)))),"")</f>
        <v/>
      </c>
      <c r="J258" s="101"/>
      <c r="K258" s="295" t="str">
        <f>IF(J258="","",IF(VLOOKUP(J258,'G-3 Multipliers'!$L$3:$N$6,2,FALSE)=0,"Spatial Data Missing ⚠",VLOOKUP(J258,'G-3 Multipliers'!$L$3:$N$6,2,FALSE)))</f>
        <v/>
      </c>
      <c r="L258" s="281" t="str">
        <f>IF(J258="","",IF(VLOOKUP(J258,'G-3 Multipliers'!$L$3:$N$6,3,FALSE)=0,"Spatial Data Missing ⚠",VLOOKUP(J258,'G-3 Multipliers'!$L$3:$N$6,3,FALSE)))</f>
        <v/>
      </c>
      <c r="M258" s="275" t="str">
        <f>IF(OR(D258="",H258=""),"",(INDEX('G-6 Hedgerow Data'!$E$3:$I$15,MATCH(D258,'G-6 Hedgerow Data'!$B$3:$B$15,0),MATCH(H258,'G-6 Hedgerow Data'!$E$2:$I$2,0))))</f>
        <v/>
      </c>
      <c r="N258" s="133"/>
      <c r="O258" s="133"/>
      <c r="P258" s="283" t="str">
        <f t="shared" si="19"/>
        <v/>
      </c>
      <c r="Q258" s="296" t="str">
        <f t="shared" si="20"/>
        <v/>
      </c>
      <c r="R258" s="297" t="str">
        <f t="shared" si="18"/>
        <v/>
      </c>
      <c r="S258" s="311" t="str">
        <f>IF(D258="","",VLOOKUP(D258,'G-6 Hedgerow Data'!$B$3:$AG$15,31,FALSE))</f>
        <v/>
      </c>
      <c r="T258" s="283" t="str">
        <f t="shared" si="21"/>
        <v/>
      </c>
      <c r="U258" s="283" t="str">
        <f t="shared" si="22"/>
        <v/>
      </c>
      <c r="V258" s="299" t="str">
        <f>IF(D258="","",VLOOKUP(S258,'G-3 Multipliers'!$P$3:$Q$6,2,FALSE))</f>
        <v/>
      </c>
      <c r="W258" s="303" t="str">
        <f t="shared" si="23"/>
        <v/>
      </c>
      <c r="X258" s="101"/>
      <c r="Y258" s="115"/>
      <c r="Z258" s="104"/>
      <c r="AG258" s="30" t="str">
        <f>IFERROR(INDEX('G-6 Hedgerow Data'!$BJ$3:$BJ$15,MATCH(D258,'G-6 Hedgerow Data'!$B$3:$B$15,0)),"")</f>
        <v/>
      </c>
    </row>
    <row r="259" spans="2:33" ht="14.5" hidden="1" thickBot="1">
      <c r="B259" s="109">
        <v>248</v>
      </c>
      <c r="C259" s="202"/>
      <c r="D259" s="141"/>
      <c r="E259" s="110"/>
      <c r="F259" s="302" t="str">
        <f>IF(D259="","",VLOOKUP(D259,'G-6 Hedgerow Data'!$B$2:$AG$15,2,FALSE))</f>
        <v/>
      </c>
      <c r="G259" s="276" t="str">
        <f>IF(D259="","",VLOOKUP(D259,'G-6 Hedgerow Data'!$B$2:$AG$15,3,FALSE))</f>
        <v/>
      </c>
      <c r="H259" s="111"/>
      <c r="I259" s="276" t="str">
        <f>IFERROR(IF(H259="","",IF(AND(D259="Non-native and ornamental hedgerow",H259&lt;&gt;"Poor"),"Not possible ▲",(VLOOKUP(H259,'G-1 All Habitats'!$Z$2:$AA$9,2,FALSE)))),"")</f>
        <v/>
      </c>
      <c r="J259" s="111"/>
      <c r="K259" s="284" t="str">
        <f>IF(J259="","",IF(VLOOKUP(J259,'G-3 Multipliers'!$L$3:$N$6,2,FALSE)=0,"Spatial Data Missing ⚠",VLOOKUP(J259,'G-3 Multipliers'!$L$3:$N$6,2,FALSE)))</f>
        <v/>
      </c>
      <c r="L259" s="285" t="str">
        <f>IF(J259="","",IF(VLOOKUP(J259,'G-3 Multipliers'!$L$3:$N$6,3,FALSE)=0,"Spatial Data Missing ⚠",VLOOKUP(J259,'G-3 Multipliers'!$L$3:$N$6,3,FALSE)))</f>
        <v/>
      </c>
      <c r="M259" s="277" t="str">
        <f>IF(OR(D259="",H259=""),"",(INDEX('G-6 Hedgerow Data'!$E$3:$I$15,MATCH(D259,'G-6 Hedgerow Data'!$B$3:$B$15,0),MATCH(H259,'G-6 Hedgerow Data'!$E$2:$I$2,0))))</f>
        <v/>
      </c>
      <c r="N259" s="133"/>
      <c r="O259" s="141"/>
      <c r="P259" s="283" t="str">
        <f t="shared" si="19"/>
        <v/>
      </c>
      <c r="Q259" s="296" t="str">
        <f t="shared" si="20"/>
        <v/>
      </c>
      <c r="R259" s="297" t="str">
        <f t="shared" si="18"/>
        <v/>
      </c>
      <c r="S259" s="277" t="str">
        <f>IF(D259="","",VLOOKUP(D259,'G-6 Hedgerow Data'!$B$3:$AG$15,31,FALSE))</f>
        <v/>
      </c>
      <c r="T259" s="283" t="str">
        <f t="shared" si="21"/>
        <v/>
      </c>
      <c r="U259" s="283" t="str">
        <f t="shared" si="22"/>
        <v/>
      </c>
      <c r="V259" s="278" t="str">
        <f>IF(D259="","",VLOOKUP(S259,'G-3 Multipliers'!$P$3:$Q$6,2,FALSE))</f>
        <v/>
      </c>
      <c r="W259" s="303" t="str">
        <f t="shared" si="23"/>
        <v/>
      </c>
      <c r="X259" s="111"/>
      <c r="Y259" s="110"/>
      <c r="Z259" s="110"/>
      <c r="AG259" s="30" t="str">
        <f>IFERROR(INDEX('G-6 Hedgerow Data'!$BJ$3:$BJ$15,MATCH(D259,'G-6 Hedgerow Data'!$B$3:$B$15,0)),"")</f>
        <v/>
      </c>
    </row>
    <row r="260" spans="2:25" ht="15.75" customHeight="1" thickBot="1">
      <c r="B260" s="34"/>
      <c r="C260" s="34"/>
      <c r="D260" s="178"/>
      <c r="E260" s="279">
        <f>SUM(E12:E259)</f>
        <v>0.892</v>
      </c>
      <c r="F260" s="34"/>
      <c r="G260" s="34"/>
      <c r="H260" s="34"/>
      <c r="I260" s="34"/>
      <c r="J260" s="34"/>
      <c r="K260" s="34"/>
      <c r="L260" s="34"/>
      <c r="M260" s="34"/>
      <c r="N260" s="34"/>
      <c r="O260" s="34"/>
      <c r="P260" s="34"/>
      <c r="Q260" s="34"/>
      <c r="R260" s="34"/>
      <c r="S260" s="34"/>
      <c r="T260" s="34"/>
      <c r="U260" s="1776"/>
      <c r="V260" s="1777"/>
      <c r="W260" s="279">
        <f>SUM(W12:W259)</f>
        <v>6.752322960273441</v>
      </c>
      <c r="X260" s="34"/>
      <c r="Y260" s="34"/>
    </row>
    <row r="261" spans="5:10" ht="29.15" customHeight="1">
      <c r="E261" s="1775"/>
      <c r="F261" s="1775"/>
      <c r="G261" s="1775"/>
      <c r="H261" s="1775"/>
      <c r="I261" s="1775"/>
      <c r="J261" s="1775"/>
    </row>
    <row r="262" ht="27" customHeight="1"/>
    <row r="263" ht="14"/>
    <row r="264" ht="14"/>
    <row r="265" ht="14"/>
    <row r="266" ht="14"/>
    <row r="267" ht="14" hidden="1"/>
  </sheetData>
  <sheetProtection algorithmName="SHA-512" hashValue="FyCL08YSGMN+y6WhmIWGj2r2qFypnEAs7enmgP/FxXao+JdZTqxLguOSqAiIoXeVO75ctgIsKwH4LUaERXs/cw==" saltValue="kxDMDivH5VMSeoLsdZJjCQ=="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20">
    <mergeCell ref="X10:Z10"/>
    <mergeCell ref="U260:V260"/>
    <mergeCell ref="M3:R5"/>
    <mergeCell ref="I3:J3"/>
    <mergeCell ref="W10:W11"/>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W12:W259">
    <cfRule type="containsText" priority="30" dxfId="970" operator="containsText" text="Existing Value Not Required">
      <formula>NOT(ISERROR(SEARCH("Existing Value Not Required",W12)))</formula>
    </cfRule>
    <cfRule type="containsText" priority="31" dxfId="970" operator="containsText" text="Existing Value Required">
      <formula>NOT(ISERROR(SEARCH("Existing Value Required",W12)))</formula>
    </cfRule>
  </conditionalFormatting>
  <conditionalFormatting sqref="K12:K259">
    <cfRule type="containsText" priority="29" dxfId="1281" operator="containsText" text="Spatial">
      <formula>NOT(ISERROR(SEARCH("Spatial",K12)))</formula>
    </cfRule>
  </conditionalFormatting>
  <conditionalFormatting sqref="L12:L259">
    <cfRule type="containsText" priority="28" dxfId="1281" operator="containsText" text="Spatial">
      <formula>NOT(ISERROR(SEARCH("Spatial",L12)))</formula>
    </cfRule>
  </conditionalFormatting>
  <conditionalFormatting sqref="M3 M6:Q7">
    <cfRule type="containsText" priority="27" dxfId="1267" operator="containsText" text="Note">
      <formula>NOT(ISERROR(SEARCH("Note",M3)))</formula>
    </cfRule>
  </conditionalFormatting>
  <conditionalFormatting sqref="P12:P259">
    <cfRule type="containsText" priority="25" dxfId="1267" operator="containsText" text="Check">
      <formula>NOT(ISERROR(SEARCH("Check",P12)))</formula>
    </cfRule>
    <cfRule type="containsText" priority="26" dxfId="970" operator="containsText" text="Error">
      <formula>NOT(ISERROR(SEARCH("Error",P12)))</formula>
    </cfRule>
  </conditionalFormatting>
  <conditionalFormatting sqref="Q12:Q259">
    <cfRule type="containsText" priority="24" dxfId="1281" operator="containsText" text="Check">
      <formula>NOT(ISERROR(SEARCH("Check",Q12)))</formula>
    </cfRule>
  </conditionalFormatting>
  <conditionalFormatting sqref="R12:R259">
    <cfRule type="containsText" priority="23" dxfId="1281" operator="containsText" text="Check">
      <formula>NOT(ISERROR(SEARCH("Check",R12)))</formula>
    </cfRule>
  </conditionalFormatting>
  <conditionalFormatting sqref="T12:T259">
    <cfRule type="containsText" priority="21" dxfId="1281" operator="containsText" text="No - Low Difficulty">
      <formula>NOT(ISERROR(SEARCH("No - Low Difficulty",T12)))</formula>
    </cfRule>
    <cfRule type="containsText" priority="22" dxfId="1281" operator="containsText" text="Check">
      <formula>NOT(ISERROR(SEARCH("Check",T12)))</formula>
    </cfRule>
  </conditionalFormatting>
  <conditionalFormatting sqref="E261:J261">
    <cfRule type="containsText" priority="20" dxfId="1281" operator="containsText" text="Check">
      <formula>NOT(ISERROR(SEARCH("Check",E261)))</formula>
    </cfRule>
  </conditionalFormatting>
  <conditionalFormatting sqref="Q12:Q259">
    <cfRule type="containsText" priority="19" dxfId="1281" operator="containsText" text="30+">
      <formula>NOT(ISERROR(SEARCH("30+",Q12)))</formula>
    </cfRule>
  </conditionalFormatting>
  <conditionalFormatting sqref="I3">
    <cfRule type="containsText" priority="17" dxfId="970" operator="containsText" text="Error">
      <formula>NOT(ISERROR(SEARCH("Error",I3)))</formula>
    </cfRule>
    <cfRule type="containsText" priority="18" dxfId="1267" operator="containsText" text="Check">
      <formula>NOT(ISERROR(SEARCH("Check",I3)))</formula>
    </cfRule>
  </conditionalFormatting>
  <conditionalFormatting sqref="I4">
    <cfRule type="containsText" priority="4" dxfId="970" operator="containsText" text="Error">
      <formula>NOT(ISERROR(SEARCH("Error",I4)))</formula>
    </cfRule>
    <cfRule type="containsText" priority="9" dxfId="1267" operator="containsText" text="Check">
      <formula>NOT(ISERROR(SEARCH("Check",I4)))</formula>
    </cfRule>
  </conditionalFormatting>
  <conditionalFormatting sqref="I5">
    <cfRule type="containsText" priority="11" dxfId="970" operator="containsText" text="No">
      <formula>NOT(ISERROR(SEARCH("No",I5)))</formula>
    </cfRule>
    <cfRule type="containsText" priority="12" dxfId="1253" operator="containsText" text="Yes">
      <formula>NOT(ISERROR(SEARCH("Yes",I5)))</formula>
    </cfRule>
  </conditionalFormatting>
  <conditionalFormatting sqref="I12:I259">
    <cfRule type="containsText" priority="10" dxfId="1273" operator="containsText" text="Not possible">
      <formula>NOT(ISERROR(SEARCH("Not possible",I12)))</formula>
    </cfRule>
  </conditionalFormatting>
  <conditionalFormatting sqref="I4:J4">
    <cfRule type="cellIs" priority="8" dxfId="881" operator="equal">
      <formula>0</formula>
    </cfRule>
    <cfRule type="cellIs" priority="440" dxfId="970" operator="lessThan">
      <formula>0</formula>
    </cfRule>
  </conditionalFormatting>
  <conditionalFormatting sqref="I3:J5">
    <cfRule type="containsText" priority="7" dxfId="932" operator="containsText" text="N/A">
      <formula>NOT(ISERROR(SEARCH("N/A",I3)))</formula>
    </cfRule>
  </conditionalFormatting>
  <conditionalFormatting sqref="T1:T1048576">
    <cfRule type="containsText" priority="3" dxfId="1281" operator="containsText" text="⚠">
      <formula>NOT(ISERROR(SEARCH("⚠",T1)))</formula>
    </cfRule>
  </conditionalFormatting>
  <conditionalFormatting sqref="U1:U1048576">
    <cfRule type="containsText" priority="2" dxfId="1281" operator="containsText" text="⚠">
      <formula>NOT(ISERROR(SEARCH("⚠",U1)))</formula>
    </cfRule>
  </conditionalFormatting>
  <conditionalFormatting sqref="M1:M1048576">
    <cfRule type="containsText" priority="1" dxfId="1273" operator="containsText" text="▲">
      <formula>NOT(ISERROR(SEARCH("▲",M1)))</formula>
    </cfRule>
  </conditionalFormatting>
  <conditionalFormatting sqref="I4:J4">
    <cfRule type="expression" priority="5" dxfId="1289">
      <formula>'Headline Results'!$H$9:$I$9=0</formula>
    </cfRule>
  </conditionalFormatting>
  <conditionalFormatting sqref="I4:J4">
    <cfRule type="cellIs" priority="6" dxfId="1294" operator="lessThan">
      <formula>Start!$F$22</formula>
    </cfRule>
    <cfRule type="cellIs" priority="441" dxfId="1284" operator="greaterThanOrEqual">
      <formula>Start!$F$22</formula>
    </cfRule>
  </conditionalFormatting>
  <dataValidations count="4">
    <dataValidation type="list" allowBlank="1" showInputMessage="1" showErrorMessage="1" sqref="H12:H259">
      <formula1>INDIRECT(AG12)</formula1>
    </dataValidation>
    <dataValidation type="list" allowBlank="1" showInputMessage="1" showErrorMessage="1" sqref="D12:D259">
      <formula1>'G-6 Hedgerow Data'!$B$3:$B$15</formula1>
    </dataValidation>
    <dataValidation type="list" allowBlank="1" showInputMessage="1" showErrorMessage="1" sqref="J12:J259">
      <formula1>'G-3 Multipliers'!$L$4:$L$6</formula1>
    </dataValidation>
    <dataValidation type="list" allowBlank="1" showInputMessage="1" showErrorMessage="1" sqref="N12:O259">
      <formula1>'G-4 Temporal multipliers'!$A$42:$A$73</formula1>
    </dataValidation>
  </dataValidations>
  <pageMargins left="0.7" right="0.7" top="0.75" bottom="0.75" header="0.3" footer="0.3"/>
  <pageSetup horizontalDpi="90" verticalDpi="90" orientation="portrait" paperSize="9"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76E7279-3D41-4445-881E-5D70457DFC65}">
  <dimension ref="A1"/>
  <sheetViews>
    <sheetView workbookViewId="0" topLeftCell="A1"/>
  </sheetViews>
  <sheetFormatPr defaultRowHeight="14.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B2:AT258"/>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17.4542857142857" defaultRowHeight="30" customHeight="1" zeroHeight="1"/>
  <cols>
    <col min="1" max="1" width="2.57142857142857" style="30" customWidth="1"/>
    <col min="2" max="2" width="12.4285714285714" style="30" customWidth="1"/>
    <col min="3" max="3" width="53.4285714285714" style="30" customWidth="1"/>
    <col min="4" max="4" width="9" style="30" customWidth="1"/>
    <col min="5" max="5" width="18.5714285714286" style="30" customWidth="1"/>
    <col min="6" max="6" width="17.5714285714286" style="30" customWidth="1"/>
    <col min="7" max="7" width="18.4285714285714" style="30" customWidth="1"/>
    <col min="8" max="11" width="19.4285714285714" style="30" customWidth="1"/>
    <col min="12" max="12" width="33.4285714285714" style="30" customWidth="1"/>
    <col min="13" max="13" width="68.5714285714286" style="30" customWidth="1"/>
    <col min="14" max="15" width="34.4285714285714" style="30" customWidth="1"/>
    <col min="16" max="16" width="10.4285714285714" style="30" customWidth="1"/>
    <col min="17" max="17" width="17.5714285714286" style="30" customWidth="1"/>
    <col min="18" max="18" width="13.4285714285714" style="30" customWidth="1"/>
    <col min="19" max="19" width="12.5714285714286" style="30" bestFit="1" customWidth="1"/>
    <col min="20" max="20" width="12.5714285714286" style="30" customWidth="1"/>
    <col min="21" max="21" width="41.5714285714286" style="30" customWidth="1"/>
    <col min="22" max="22" width="15.4285714285714" style="30" customWidth="1"/>
    <col min="23" max="23" width="13.5714285714286" style="30" customWidth="1"/>
    <col min="24" max="24" width="18.5714285714286" style="30" customWidth="1"/>
    <col min="25" max="25" width="21.5714285714286" style="30" customWidth="1"/>
    <col min="26" max="26" width="22.5714285714286" style="30" customWidth="1"/>
    <col min="27" max="27" width="33.5714285714286" style="30" customWidth="1"/>
    <col min="28" max="28" width="18.5714285714286" style="30" customWidth="1"/>
    <col min="29" max="29" width="15.4285714285714" style="30" customWidth="1"/>
    <col min="30" max="30" width="15.5714285714286" style="30" customWidth="1"/>
    <col min="31" max="31" width="24" style="30" customWidth="1"/>
    <col min="32" max="32" width="22.4285714285714" style="30" customWidth="1"/>
    <col min="33" max="33" width="13.4285714285714" style="30" customWidth="1"/>
    <col min="34" max="34" width="12.5714285714286" style="30" customWidth="1"/>
    <col min="35" max="36" width="34.5714285714286" style="30" customWidth="1"/>
    <col min="37" max="37" width="13.5714285714286" style="30" customWidth="1"/>
    <col min="38" max="38" width="17.4285714285714" style="30" customWidth="1"/>
    <col min="39" max="39" width="17.4285714285714" style="30" hidden="1" customWidth="1"/>
    <col min="40" max="16380" width="0" style="30" hidden="1" customWidth="1"/>
    <col min="16381" max="16384" width="17.4285714285714" style="30"/>
  </cols>
  <sheetData>
    <row r="1" ht="15.75" customHeight="1" thickBot="1"/>
    <row r="2" spans="2:29" ht="20.15" customHeight="1" thickBot="1">
      <c r="B2" s="1728" t="str">
        <f>CONCATENATE("Project Name:"," ",Start!F12,"     ","Map Reference:"," ",Start!K55)</f>
        <v xml:space="preserve">Project Name: Land east of Calne Road, Lyneham     Map Reference: </v>
      </c>
      <c r="C2" s="1729"/>
      <c r="D2" s="1730"/>
      <c r="M2" s="382"/>
      <c r="N2" s="1716" t="s">
        <v>448</v>
      </c>
      <c r="O2" s="1717"/>
      <c r="P2" s="1718"/>
      <c r="X2" s="1715" t="str">
        <f>IF(OR(COUNTIF($X$12:X257,"*30+*")&gt;0,COUNTIF($AB$12:AB257,"*30+*")&gt;0),"Note; Habitat selected has a time to target condition greater than 30 years. Non standard agreement may be required ⚠ ","")</f>
        <v/>
      </c>
      <c r="Y2" s="1715"/>
      <c r="Z2" s="1715"/>
      <c r="AA2" s="1715"/>
      <c r="AB2" s="1715"/>
      <c r="AC2" s="1715"/>
    </row>
    <row r="3" spans="2:29" ht="21" customHeight="1">
      <c r="B3" s="1198" t="str">
        <f ca="1">MID(CELL("filename",A1),FIND("]",CELL("filename",A1))+1,256)</f>
        <v>B-3 On-Site Hedge Enhancement</v>
      </c>
      <c r="C3" s="1199"/>
      <c r="D3" s="1200"/>
      <c r="N3" s="403" t="s">
        <v>306</v>
      </c>
      <c r="O3" s="1658">
        <f>'Headline Results'!H48</f>
        <v>6.475122960273441</v>
      </c>
      <c r="P3" s="1659"/>
      <c r="X3" s="1715"/>
      <c r="Y3" s="1715"/>
      <c r="Z3" s="1715"/>
      <c r="AA3" s="1715"/>
      <c r="AB3" s="1715"/>
      <c r="AC3" s="1715"/>
    </row>
    <row r="4" spans="2:36" ht="15.75" customHeight="1" thickBot="1">
      <c r="B4" s="1201"/>
      <c r="C4" s="1202"/>
      <c r="D4" s="1203"/>
      <c r="N4" s="385" t="s">
        <v>308</v>
      </c>
      <c r="O4" s="1660">
        <f>'Headline Results'!H52</f>
        <v>5.10093190505234</v>
      </c>
      <c r="P4" s="1661"/>
      <c r="V4" s="31"/>
      <c r="W4" s="132"/>
      <c r="X4" s="1715"/>
      <c r="Y4" s="1715"/>
      <c r="Z4" s="1715"/>
      <c r="AA4" s="1715"/>
      <c r="AB4" s="1715"/>
      <c r="AC4" s="1715"/>
      <c r="AD4" s="132"/>
      <c r="AE4" s="132"/>
      <c r="AF4" s="132"/>
      <c r="AG4" s="132"/>
      <c r="AH4" s="132"/>
      <c r="AI4" s="132"/>
      <c r="AJ4" s="132"/>
    </row>
    <row r="5" spans="14:28" ht="15.75" customHeight="1" thickBot="1">
      <c r="N5" s="404" t="s">
        <v>310</v>
      </c>
      <c r="O5" s="1750" t="str" cm="1">
        <f t="array" ref="O5">IF(OR('Trading Summary Hedgerows'!F5:H9="No ▲"),"No - check trading summary ▲","Yes ✓")</f>
        <v>Yes ✓</v>
      </c>
      <c r="P5" s="1751"/>
      <c r="Q5" s="388"/>
      <c r="X5" s="241"/>
      <c r="Y5" s="241"/>
      <c r="Z5" s="241"/>
      <c r="AA5" s="241"/>
      <c r="AB5" s="241"/>
    </row>
    <row r="6" spans="24:28" ht="15.75" customHeight="1">
      <c r="X6" s="241"/>
      <c r="Y6" s="241"/>
      <c r="Z6" s="241"/>
      <c r="AA6" s="241"/>
      <c r="AB6" s="241"/>
    </row>
    <row r="7" spans="2:13" ht="14">
      <c r="B7" s="89"/>
      <c r="C7" s="89"/>
      <c r="M7" s="88"/>
    </row>
    <row r="8" ht="20.15" customHeight="1" thickBot="1"/>
    <row r="9" spans="3:33" ht="14.5" thickBot="1">
      <c r="C9" s="88"/>
      <c r="D9" s="88"/>
      <c r="E9" s="88"/>
      <c r="F9" s="88"/>
      <c r="G9" s="88"/>
      <c r="H9" s="88"/>
      <c r="I9" s="88"/>
      <c r="J9" s="88"/>
      <c r="K9" s="88"/>
      <c r="L9" s="88"/>
      <c r="M9" s="1731" t="s">
        <v>371</v>
      </c>
      <c r="N9" s="1733"/>
      <c r="O9" s="1733"/>
      <c r="P9" s="1733"/>
      <c r="Q9" s="1733"/>
      <c r="R9" s="1733"/>
      <c r="S9" s="1733"/>
      <c r="T9" s="1733"/>
      <c r="U9" s="1733"/>
      <c r="V9" s="1733"/>
      <c r="W9" s="1733"/>
      <c r="X9" s="1733"/>
      <c r="Y9" s="1733"/>
      <c r="Z9" s="1733"/>
      <c r="AA9" s="1733"/>
      <c r="AB9" s="1733"/>
      <c r="AC9" s="1733"/>
      <c r="AD9" s="1733"/>
      <c r="AE9" s="1733"/>
      <c r="AF9" s="1733"/>
      <c r="AG9" s="1734"/>
    </row>
    <row r="10" spans="2:37" ht="28.4" customHeight="1" thickBot="1">
      <c r="B10" s="135"/>
      <c r="C10" s="1719" t="s">
        <v>466</v>
      </c>
      <c r="D10" s="1719"/>
      <c r="E10" s="1719"/>
      <c r="F10" s="1719"/>
      <c r="G10" s="1719"/>
      <c r="H10" s="1719"/>
      <c r="I10" s="1719"/>
      <c r="J10" s="1719"/>
      <c r="K10" s="1719"/>
      <c r="L10" s="1719"/>
      <c r="M10" s="1698" t="s">
        <v>392</v>
      </c>
      <c r="N10" s="1700" t="s">
        <v>374</v>
      </c>
      <c r="O10" s="1700"/>
      <c r="P10" s="1698" t="s">
        <v>451</v>
      </c>
      <c r="Q10" s="1419" t="s">
        <v>312</v>
      </c>
      <c r="R10" s="1459"/>
      <c r="S10" s="1713" t="s">
        <v>313</v>
      </c>
      <c r="T10" s="1459"/>
      <c r="U10" s="1700" t="s">
        <v>314</v>
      </c>
      <c r="V10" s="1700"/>
      <c r="W10" s="1700"/>
      <c r="X10" s="1745" t="s">
        <v>428</v>
      </c>
      <c r="Y10" s="1746"/>
      <c r="Z10" s="1746"/>
      <c r="AA10" s="1746"/>
      <c r="AB10" s="1746"/>
      <c r="AC10" s="1747"/>
      <c r="AD10" s="1723" t="s">
        <v>377</v>
      </c>
      <c r="AE10" s="1723"/>
      <c r="AF10" s="1723"/>
      <c r="AG10" s="1723"/>
      <c r="AH10" s="1723" t="s">
        <v>460</v>
      </c>
      <c r="AI10" s="1709" t="s">
        <v>318</v>
      </c>
      <c r="AJ10" s="1710"/>
      <c r="AK10" s="1711"/>
    </row>
    <row r="11" spans="2:46" ht="61.5" customHeight="1" thickBot="1">
      <c r="B11" s="506" t="s">
        <v>380</v>
      </c>
      <c r="C11" s="949" t="s">
        <v>381</v>
      </c>
      <c r="D11" s="121" t="s">
        <v>451</v>
      </c>
      <c r="E11" s="121" t="s">
        <v>383</v>
      </c>
      <c r="F11" s="121" t="s">
        <v>384</v>
      </c>
      <c r="G11" s="121" t="s">
        <v>385</v>
      </c>
      <c r="H11" s="121" t="s">
        <v>386</v>
      </c>
      <c r="I11" s="121" t="s">
        <v>387</v>
      </c>
      <c r="J11" s="121" t="s">
        <v>388</v>
      </c>
      <c r="K11" s="121" t="s">
        <v>389</v>
      </c>
      <c r="L11" s="120" t="s">
        <v>315</v>
      </c>
      <c r="M11" s="1698"/>
      <c r="N11" s="112" t="s">
        <v>467</v>
      </c>
      <c r="O11" s="530" t="s">
        <v>468</v>
      </c>
      <c r="P11" s="1698"/>
      <c r="Q11" s="109" t="s">
        <v>312</v>
      </c>
      <c r="R11" s="608" t="s">
        <v>328</v>
      </c>
      <c r="S11" s="612" t="s">
        <v>313</v>
      </c>
      <c r="T11" s="608" t="s">
        <v>328</v>
      </c>
      <c r="U11" s="112" t="s">
        <v>314</v>
      </c>
      <c r="V11" s="564" t="s">
        <v>314</v>
      </c>
      <c r="W11" s="530" t="s">
        <v>329</v>
      </c>
      <c r="X11" s="112" t="s">
        <v>462</v>
      </c>
      <c r="Y11" s="564" t="s">
        <v>433</v>
      </c>
      <c r="Z11" s="564" t="s">
        <v>397</v>
      </c>
      <c r="AA11" s="564" t="s">
        <v>398</v>
      </c>
      <c r="AB11" s="564" t="s">
        <v>399</v>
      </c>
      <c r="AC11" s="530" t="s">
        <v>469</v>
      </c>
      <c r="AD11" s="112" t="s">
        <v>470</v>
      </c>
      <c r="AE11" s="564" t="s">
        <v>463</v>
      </c>
      <c r="AF11" s="564" t="s">
        <v>471</v>
      </c>
      <c r="AG11" s="530" t="s">
        <v>404</v>
      </c>
      <c r="AH11" s="1778"/>
      <c r="AI11" s="609" t="s">
        <v>302</v>
      </c>
      <c r="AJ11" s="530" t="s">
        <v>279</v>
      </c>
      <c r="AK11" s="617" t="s">
        <v>280</v>
      </c>
      <c r="AT11" s="88" t="s">
        <v>322</v>
      </c>
    </row>
    <row r="12" spans="2:46" ht="14">
      <c r="B12" s="610" t="str">
        <f>'B-1 On-Site Hedge Baseline'!AK10</f>
        <v/>
      </c>
      <c r="C12" s="283" t="str">
        <f>IF(B12="","",IF(ISNA(VLOOKUP($B12,'B-1 On-Site Hedge Baseline'!$B$1:$L$257,3,FALSE)),"",(VLOOKUP($B12,'B-1 On-Site Hedge Baseline'!$B$1:$L$257,3,FALSE))))</f>
        <v/>
      </c>
      <c r="D12" s="283" t="str">
        <f>IF(B12="","",IF(ISNA(VLOOKUP($B12,'B-1 On-Site Hedge Baseline'!$B$1:$L$257,4,FALSE)),"",(VLOOKUP($B12,'B-1 On-Site Hedge Baseline'!$B$1:$L$257,4,FALSE))))</f>
        <v/>
      </c>
      <c r="E12" s="283" t="str">
        <f>IF(B12="","",IF(ISNA(VLOOKUP($B12,'B-1 On-Site Hedge Baseline'!$B$1:$L$257,5,FALSE)),"",(VLOOKUP($B12,'B-1 On-Site Hedge Baseline'!$B$1:$L$257,5,FALSE))))</f>
        <v/>
      </c>
      <c r="F12" s="283" t="str">
        <f>IF(B12="","",IF(ISNA(VLOOKUP($B12,'B-1 On-Site Hedge Baseline'!$B$1:$L$257,6,FALSE)),"",(VLOOKUP($B12,'B-1 On-Site Hedge Baseline'!$B$1:$L$257,6,FALSE))))</f>
        <v/>
      </c>
      <c r="G12" s="283" t="str">
        <f>IF(B12="","",IF(ISNA(VLOOKUP($B12,'B-1 On-Site Hedge Baseline'!$B$1:$L$257,7,FALSE)),"",(VLOOKUP($B12,'B-1 On-Site Hedge Baseline'!$B$1:$L$257,7,FALSE))))</f>
        <v/>
      </c>
      <c r="H12" s="283" t="str">
        <f>IF(B12="","",IF(ISNA(VLOOKUP($B12,'B-1 On-Site Hedge Baseline'!$B$1:$L$257,8,FALSE)),"",(VLOOKUP($B12,'B-1 On-Site Hedge Baseline'!$B$1:$L$257,8,FALSE))))</f>
        <v/>
      </c>
      <c r="I12" s="283" t="str">
        <f>IF(B12="","",IF(ISNA(VLOOKUP($B12,'B-1 On-Site Hedge Baseline'!$B$1:$L$257,10,FALSE)),"",(VLOOKUP($B12,'B-1 On-Site Hedge Baseline'!$B$1:$L$257,10,FALSE))))</f>
        <v/>
      </c>
      <c r="J12" s="283" t="str">
        <f>IF(B12="","",IF(ISNA(VLOOKUP($B12,'B-1 On-Site Hedge Baseline'!$B$1:$L$257,11,FALSE)),"",(VLOOKUP($B12,'B-1 On-Site Hedge Baseline'!$B$1:$L$257,11,FALSE))))</f>
        <v/>
      </c>
      <c r="K12" s="283" t="str">
        <f>IF(B12="","",IF(ISNA(VLOOKUP($B12,'B-1 On-Site Hedge Baseline'!$B$1:$U$257,13,FALSE)),"",(VLOOKUP($B12,'B-1 On-Site Hedge Baseline'!$B$1:$U$257,13,FALSE))))</f>
        <v/>
      </c>
      <c r="L12" s="276" t="str">
        <f>IF(B12="","",IF(ISNA(VLOOKUP($B12,'B-1 On-Site Hedge Baseline'!$B$1:$U$257,12,FALSE)),"",(VLOOKUP($B12,'B-1 On-Site Hedge Baseline'!$B$1:$U$257,12,FALSE))))</f>
        <v/>
      </c>
      <c r="M12" s="611"/>
      <c r="N12" s="275" t="str">
        <f>IFERROR(IF(B12="","",INDEX('G-6 Hedgerow Data'!$AN$3:$AZ$15,MATCH(C12,'G-6 Hedgerow Data'!$AM$3:$AM$15,0),MATCH(M12,'G-6 Hedgerow Data'!$AN$2:$AZ$2,0))),"")</f>
        <v/>
      </c>
      <c r="O12" s="276" t="str">
        <f>IFERROR(IF(B12="","",IF(AND(LEFT(C12,55)&lt;&gt;LEFT(M12,55),N12="High - High"),"Error - Not like for like ▲",IF(H12&gt;T12,"Error - Can not reduce condition ▲",IF(AND(F12=R12,H12=T12),"Error - No enhancement ▲",IF(AND(C12&lt;&gt;M12,F12&lt;R12),"Lower Distinctiveness Habitat"&amp;" - "&amp;S12,G12&amp;" - "&amp;S12))))),"")</f>
        <v/>
      </c>
      <c r="P12" s="329" t="str">
        <f>IF(B12="","",VLOOKUP(B12,'B-1 On-Site Hedge Baseline'!$B$10:T257,16,FALSE))</f>
        <v/>
      </c>
      <c r="Q12" s="275" t="str">
        <f>IF(M12="","",VLOOKUP(M12,'G-6 Hedgerow Data'!$B$2:$AG$15,2,FALSE))</f>
        <v/>
      </c>
      <c r="R12" s="276" t="str">
        <f>IF(M12="","",VLOOKUP(M12,'G-6 Hedgerow Data'!$B$2:$AG$15,3,FALSE))</f>
        <v/>
      </c>
      <c r="S12" s="101"/>
      <c r="T12" s="314" t="str">
        <f>IFERROR(IF(S12="","",IF(AND(M12="Non-native and ornamental hedgerow",S12&lt;&gt;"Poor"),"Not possible ▲",(VLOOKUP(S12,'G-1 All Habitats'!$Z$2:$AA$9,2,FALSE)))),"")</f>
        <v/>
      </c>
      <c r="U12" s="101"/>
      <c r="V12" s="283" t="str">
        <f>IF(U12="","",IF(VLOOKUP(U12,'G-3 Multipliers'!$L$3:$N$6,2,FALSE)=0,"Spatial Data Missing ⚠",VLOOKUP(U12,'G-3 Multipliers'!$L$3:$N$6,2,FALSE)))</f>
        <v/>
      </c>
      <c r="W12" s="276" t="str">
        <f>IF(U12="","",IF(VLOOKUP(U12,'G-3 Multipliers'!$L$3:$N$6,3,FALSE)=0,"Spatial Data Missing ⚠",VLOOKUP(U12,'G-3 Multipliers'!$L$3:$N$6,3,FALSE)))</f>
        <v/>
      </c>
      <c r="X12" s="275" t="str">
        <f>IFERROR(IF(OR(LEFT(O12,5)="Error",LEFT(N12,5)="Error",T12="Error"),"Check Data ⚠",IF(F12&lt;R12,INDEX('G-6 Hedgerow Data'!$S$3:$AE$14,MATCH(C12,'G-6 Hedgerow Data'!$B$3:$B$14,0),MATCH(M12,'G-6 Hedgerow Data'!$S$2:$AE$2,0)),INDEX('G-6 Hedgerow Data'!$K$3:$Q$14,MATCH(M12,'G-6 Hedgerow Data'!$B$3:$B$14,0),MATCH(O12,'G-6 Hedgerow Data'!$K$2:$Q$2,0)))),"")</f>
        <v/>
      </c>
      <c r="Y12" s="133"/>
      <c r="Z12" s="133"/>
      <c r="AA12" s="283"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296" t="str">
        <f>IF(X12="","",IF(AA12="Check Data ⚠","Check Data ⚠",IF(Y12="30+",0,IF(X12="Not possible ▲","Check Data ⚠",IF(Z12="30+","30+",IF(X12+Z12&gt;30,"30+",IF(AA12="Error -both advance and delayed habitat creation ▲","Check Data ⚠",IF(X12+Z12-Y12&gt;0,X12+Z12-Y12,IF(X12-Y12&lt;=0,0,)))))))))</f>
        <v/>
      </c>
      <c r="AC12" s="297" t="str">
        <f t="shared" si="0" ref="AC12:AC75">IF(OR(S12="",M12=""),"",IF(LEFT(AB12,5)="Error ▲","Check Data ⚠",IF(AB12="Check Data ⚠","Check Data ⚠",VLOOKUP(AB12,TemporalMultipliers,3,FALSE))))</f>
        <v/>
      </c>
      <c r="AD12" s="275" t="str">
        <f>IF(M12="","",VLOOKUP(M12,'G-6 Hedgerow Data'!$B$3:$AG$15,31,FALSE))</f>
        <v/>
      </c>
      <c r="AE12" s="283" t="str">
        <f>IF(M12="","",IF(OR(LEFT(AA12,5)="Error ▲",AA12="Check Data ⚠"),"Check Data ⚠",IF(X12="","",IF($AA12="Check details - Is there evidence that habitat has reached target condition? ⚠","Low Difficulty - only applicable if all habitat created before losses ⚠","Standard difficulty applied"))))</f>
        <v/>
      </c>
      <c r="AF12" s="283" t="str">
        <f>(IF(AND(AE12="Standard difficulty applied",X12&gt;Y12),AD12,IF(AB12="Check data ⚠","Check data ⚠",IF(AND(AE12="Low Difficulty - only applicable if all habitat created before losses ⚠",Y12&gt;=X12),"Low",AD12))))</f>
        <v/>
      </c>
      <c r="AG12" s="276" t="str">
        <f>IFERROR(IF(O12="","",VLOOKUP(AD12,'G-3 Multipliers'!$P$3:$Q$6,2,FALSE)),"")</f>
        <v/>
      </c>
      <c r="AH12" s="289" t="str">
        <f>IFERROR(IF(K12="Check data ⚠","Check data ⚠",(IF(OR(M12="",S12="",U12=""),"",(((((P12*R12*T12)-(P12*F12*H12))*(AG12*AC12))+(P12*F12*H12))*(W12))))),"")</f>
        <v/>
      </c>
      <c r="AI12" s="53"/>
      <c r="AJ12" s="51"/>
      <c r="AK12" s="115"/>
      <c r="AT12" s="30" t="str">
        <f>IFERROR(INDEX('G-6 Hedgerow Data'!$BJ$3:$BJ$15,MATCH(M12,'G-6 Hedgerow Data'!$B$3:$B$15,0)),"")</f>
        <v/>
      </c>
    </row>
    <row r="13" spans="2:46" ht="14">
      <c r="B13" s="305" t="str">
        <f>'B-1 On-Site Hedge Baseline'!AK11</f>
        <v/>
      </c>
      <c r="C13" s="295" t="str">
        <f>IF(B13="","",IF(ISNA(VLOOKUP($B13,'B-1 On-Site Hedge Baseline'!$B$1:$L$257,3,FALSE)),"",(VLOOKUP($B13,'B-1 On-Site Hedge Baseline'!$B$1:$L$257,3,FALSE))))</f>
        <v/>
      </c>
      <c r="D13" s="295" t="str">
        <f>IF(B13="","",IF(ISNA(VLOOKUP($B13,'B-1 On-Site Hedge Baseline'!$B$1:$L$257,4,FALSE)),"",(VLOOKUP($B13,'B-1 On-Site Hedge Baseline'!$B$1:$L$257,4,FALSE))))</f>
        <v/>
      </c>
      <c r="E13" s="295" t="str">
        <f>IF(B13="","",IF(ISNA(VLOOKUP($B13,'B-1 On-Site Hedge Baseline'!$B$1:$L$257,5,FALSE)),"",(VLOOKUP($B13,'B-1 On-Site Hedge Baseline'!$B$1:$L$257,5,FALSE))))</f>
        <v/>
      </c>
      <c r="F13" s="295" t="str">
        <f>IF(B13="","",IF(ISNA(VLOOKUP($B13,'B-1 On-Site Hedge Baseline'!$B$1:$L$257,6,FALSE)),"",(VLOOKUP($B13,'B-1 On-Site Hedge Baseline'!$B$1:$L$257,6,FALSE))))</f>
        <v/>
      </c>
      <c r="G13" s="295" t="str">
        <f>IF(B13="","",IF(ISNA(VLOOKUP($B13,'B-1 On-Site Hedge Baseline'!$B$1:$L$257,7,FALSE)),"",(VLOOKUP($B13,'B-1 On-Site Hedge Baseline'!$B$1:$L$257,7,FALSE))))</f>
        <v/>
      </c>
      <c r="H13" s="295" t="str">
        <f>IF(B13="","",IF(ISNA(VLOOKUP($B13,'B-1 On-Site Hedge Baseline'!$B$1:$L$257,8,FALSE)),"",(VLOOKUP($B13,'B-1 On-Site Hedge Baseline'!$B$1:$L$257,8,FALSE))))</f>
        <v/>
      </c>
      <c r="I13" s="295" t="str">
        <f>IF(B13="","",IF(ISNA(VLOOKUP($B13,'B-1 On-Site Hedge Baseline'!$B$1:$L$257,10,FALSE)),"",(VLOOKUP($B13,'B-1 On-Site Hedge Baseline'!$B$1:$L$257,10,FALSE))))</f>
        <v/>
      </c>
      <c r="J13" s="295" t="str">
        <f>IF(B13="","",IF(ISNA(VLOOKUP($B13,'B-1 On-Site Hedge Baseline'!$B$1:$L$257,11,FALSE)),"",(VLOOKUP($B13,'B-1 On-Site Hedge Baseline'!$B$1:$L$257,11,FALSE))))</f>
        <v/>
      </c>
      <c r="K13" s="295" t="str">
        <f>IF(B13="","",IF(ISNA(VLOOKUP($B13,'B-1 On-Site Hedge Baseline'!$B$1:$U$257,13,FALSE)),"",(VLOOKUP($B13,'B-1 On-Site Hedge Baseline'!$B$1:$U$257,13,FALSE))))</f>
        <v/>
      </c>
      <c r="L13" s="299" t="str">
        <f>IF(B13="","",IF(ISNA(VLOOKUP($B13,'B-1 On-Site Hedge Baseline'!$B$1:$U$257,12,FALSE)),"",(VLOOKUP($B13,'B-1 On-Site Hedge Baseline'!$B$1:$U$257,12,FALSE))))</f>
        <v/>
      </c>
      <c r="M13" s="611"/>
      <c r="N13" s="275" t="str">
        <f>IFERROR(IF(B13="","",INDEX('G-6 Hedgerow Data'!$AN$3:$AZ$15,MATCH(C13,'G-6 Hedgerow Data'!$AM$3:$AM$15,0),MATCH(M13,'G-6 Hedgerow Data'!$AN$2:$AZ$2,0))),"")</f>
        <v/>
      </c>
      <c r="O13" s="276" t="str">
        <f t="shared" si="1" ref="O13:O76">IFERROR(IF(B13="","",IF(AND(LEFT(C13,55)&lt;&gt;LEFT(M13,55),N13="High - High"),"Error - Not like for like ▲",IF(H13&gt;T13,"Error - Can not reduce condition ▲",IF(AND(F13=R13,H13=T13),"Error - No enhancement ▲",IF(AND(C13&lt;&gt;M13,F13&lt;R13),"Lower Distinctiveness Habitat"&amp;" - "&amp;S13,G13&amp;" - "&amp;S13))))),"")</f>
        <v/>
      </c>
      <c r="P13" s="329" t="str">
        <f>IF(B13="","",VLOOKUP(B13,'B-1 On-Site Hedge Baseline'!$B$10:T258,16,FALSE))</f>
        <v/>
      </c>
      <c r="Q13" s="275" t="str">
        <f>IF(M13="","",VLOOKUP(M13,'G-6 Hedgerow Data'!$B$2:$AG$15,2,FALSE))</f>
        <v/>
      </c>
      <c r="R13" s="276" t="str">
        <f>IF(M13="","",VLOOKUP(M13,'G-6 Hedgerow Data'!$B$2:$AG$15,3,FALSE))</f>
        <v/>
      </c>
      <c r="S13" s="101"/>
      <c r="T13" s="314" t="str">
        <f>IFERROR(IF(S13="","",IF(AND(M13="Non-native and ornamental hedgerow",S13&lt;&gt;"Poor"),"Not possible ▲",(VLOOKUP(S13,'G-1 All Habitats'!$Z$2:$AA$9,2,FALSE)))),"")</f>
        <v/>
      </c>
      <c r="U13" s="101"/>
      <c r="V13" s="295" t="str">
        <f>IF(U13="","",IF(VLOOKUP(U13,'G-3 Multipliers'!$L$3:$N$6,2,FALSE)=0,"Spatial Data Missing ⚠",VLOOKUP(U13,'G-3 Multipliers'!$L$3:$N$6,2,FALSE)))</f>
        <v/>
      </c>
      <c r="W13" s="299" t="str">
        <f>IF(U13="","",IF(VLOOKUP(U13,'G-3 Multipliers'!$L$3:$N$6,3,FALSE)=0,"Spatial Data Missing ⚠",VLOOKUP(U13,'G-3 Multipliers'!$L$3:$N$6,3,FALSE)))</f>
        <v/>
      </c>
      <c r="X13" s="275" t="str">
        <f>IFERROR(IF(OR(LEFT(O13,5)="Error",LEFT(N13,5)="Error",T13="Error"),"Check Data ⚠",IF(F13&lt;R13,INDEX('G-6 Hedgerow Data'!$S$3:$AE$14,MATCH(C13,'G-6 Hedgerow Data'!$B$3:$B$14,0),MATCH(M13,'G-6 Hedgerow Data'!$S$2:$AE$2,0)),INDEX('G-6 Hedgerow Data'!$K$3:$Q$14,MATCH(M13,'G-6 Hedgerow Data'!$B$3:$B$14,0),MATCH(O13,'G-6 Hedgerow Data'!$K$2:$Q$2,0)))),"")</f>
        <v/>
      </c>
      <c r="Y13" s="133"/>
      <c r="Z13" s="133"/>
      <c r="AA13" s="283" t="str">
        <f t="shared" si="2" ref="AA13:AA76">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296" t="str">
        <f t="shared" si="3" ref="AB13:AB76">IF(X13="","",IF(AA13="Check Data ⚠","Check Data ⚠",IF(Y13="30+",0,IF(X13="Not possible ▲","Check Data ⚠",IF(Z13="30+","30+",IF(X13+Z13&gt;30,"30+",IF(AA13="Error -both advance and delayed habitat creation ▲","Check Data ⚠",IF(X13+Z13-Y13&gt;0,X13+Z13-Y13,IF(X13-Y13&lt;=0,0,)))))))))</f>
        <v/>
      </c>
      <c r="AC13" s="297" t="str">
        <f t="shared" si="0"/>
        <v/>
      </c>
      <c r="AD13" s="311" t="str">
        <f>IF(M13="","",VLOOKUP(M13,'G-6 Hedgerow Data'!$B$3:$AG$15,31,FALSE))</f>
        <v/>
      </c>
      <c r="AE13" s="283" t="str">
        <f t="shared" si="4" ref="AE13:AE76">IF(M13="","",IF(OR(LEFT(AA13,5)="Error ▲",AA13="Check Data ⚠"),"Check Data ⚠",IF(X13="","",IF($AA13="Check details - Is there evidence that habitat has reached target condition? ⚠","Low Difficulty - only applicable if all habitat created before losses ⚠","Standard difficulty applied"))))</f>
        <v/>
      </c>
      <c r="AF13" s="283" t="str">
        <f t="shared" si="5" ref="AF13:AF76">(IF(AND(AE13="Standard difficulty applied",X13&gt;Y13),AD13,IF(AB13="Check data ⚠","Check data ⚠",IF(AND(AE13="Low Difficulty - only applicable if all habitat created before losses ⚠",Y13&gt;=X13),"Low",AD13))))</f>
        <v/>
      </c>
      <c r="AG13" s="299" t="str">
        <f>IFERROR(IF(O13="","",VLOOKUP(AD13,'G-3 Multipliers'!$P$3:$Q$6,2,FALSE)),"")</f>
        <v/>
      </c>
      <c r="AH13" s="289" t="str">
        <f t="shared" si="6" ref="AH13:AH76">IFERROR(IF(K13="Check data ⚠","Check data ⚠",(IF(OR(M13="",S13="",U13=""),"",(((((P13*R13*T13)-(P13*F13*H13))*(AG13*AC13))+(P13*F13*H13))*(W13))))),"")</f>
        <v/>
      </c>
      <c r="AI13" s="53"/>
      <c r="AJ13" s="51"/>
      <c r="AK13" s="104"/>
      <c r="AT13" s="30" t="str">
        <f>IFERROR(INDEX('G-6 Hedgerow Data'!$BJ$3:$BJ$15,MATCH(M13,'G-6 Hedgerow Data'!$B$3:$B$15,0)),"")</f>
        <v/>
      </c>
    </row>
    <row r="14" spans="2:46" ht="14">
      <c r="B14" s="305" t="str">
        <f>'B-1 On-Site Hedge Baseline'!AK12</f>
        <v/>
      </c>
      <c r="C14" s="295" t="str">
        <f>IF(B14="","",IF(ISNA(VLOOKUP($B14,'B-1 On-Site Hedge Baseline'!$B$1:$L$257,3,FALSE)),"",(VLOOKUP($B14,'B-1 On-Site Hedge Baseline'!$B$1:$L$257,3,FALSE))))</f>
        <v/>
      </c>
      <c r="D14" s="295" t="str">
        <f>IF(B14="","",IF(ISNA(VLOOKUP($B14,'B-1 On-Site Hedge Baseline'!$B$1:$L$257,4,FALSE)),"",(VLOOKUP($B14,'B-1 On-Site Hedge Baseline'!$B$1:$L$257,4,FALSE))))</f>
        <v/>
      </c>
      <c r="E14" s="295" t="str">
        <f>IF(B14="","",IF(ISNA(VLOOKUP($B14,'B-1 On-Site Hedge Baseline'!$B$1:$L$257,5,FALSE)),"",(VLOOKUP($B14,'B-1 On-Site Hedge Baseline'!$B$1:$L$257,5,FALSE))))</f>
        <v/>
      </c>
      <c r="F14" s="295" t="str">
        <f>IF(B14="","",IF(ISNA(VLOOKUP($B14,'B-1 On-Site Hedge Baseline'!$B$1:$L$257,6,FALSE)),"",(VLOOKUP($B14,'B-1 On-Site Hedge Baseline'!$B$1:$L$257,6,FALSE))))</f>
        <v/>
      </c>
      <c r="G14" s="295" t="str">
        <f>IF(B14="","",IF(ISNA(VLOOKUP($B14,'B-1 On-Site Hedge Baseline'!$B$1:$L$257,7,FALSE)),"",(VLOOKUP($B14,'B-1 On-Site Hedge Baseline'!$B$1:$L$257,7,FALSE))))</f>
        <v/>
      </c>
      <c r="H14" s="295" t="str">
        <f>IF(B14="","",IF(ISNA(VLOOKUP($B14,'B-1 On-Site Hedge Baseline'!$B$1:$L$257,8,FALSE)),"",(VLOOKUP($B14,'B-1 On-Site Hedge Baseline'!$B$1:$L$257,8,FALSE))))</f>
        <v/>
      </c>
      <c r="I14" s="295" t="str">
        <f>IF(B14="","",IF(ISNA(VLOOKUP($B14,'B-1 On-Site Hedge Baseline'!$B$1:$L$257,10,FALSE)),"",(VLOOKUP($B14,'B-1 On-Site Hedge Baseline'!$B$1:$L$257,10,FALSE))))</f>
        <v/>
      </c>
      <c r="J14" s="295" t="str">
        <f>IF(B14="","",IF(ISNA(VLOOKUP($B14,'B-1 On-Site Hedge Baseline'!$B$1:$L$257,11,FALSE)),"",(VLOOKUP($B14,'B-1 On-Site Hedge Baseline'!$B$1:$L$257,11,FALSE))))</f>
        <v/>
      </c>
      <c r="K14" s="295" t="str">
        <f>IF(B14="","",IF(ISNA(VLOOKUP($B14,'B-1 On-Site Hedge Baseline'!$B$1:$U$257,13,FALSE)),"",(VLOOKUP($B14,'B-1 On-Site Hedge Baseline'!$B$1:$U$257,13,FALSE))))</f>
        <v/>
      </c>
      <c r="L14" s="299" t="str">
        <f>IF(B14="","",IF(ISNA(VLOOKUP($B14,'B-1 On-Site Hedge Baseline'!$B$1:$U$257,12,FALSE)),"",(VLOOKUP($B14,'B-1 On-Site Hedge Baseline'!$B$1:$U$257,12,FALSE))))</f>
        <v/>
      </c>
      <c r="M14" s="611"/>
      <c r="N14" s="275" t="str">
        <f>IFERROR(IF(B14="","",INDEX('G-6 Hedgerow Data'!$AN$3:$AZ$15,MATCH(C14,'G-6 Hedgerow Data'!$AM$3:$AM$15,0),MATCH(M14,'G-6 Hedgerow Data'!$AN$2:$AZ$2,0))),"")</f>
        <v/>
      </c>
      <c r="O14" s="276" t="str">
        <f t="shared" si="1"/>
        <v/>
      </c>
      <c r="P14" s="329" t="str">
        <f>IF(B14="","",VLOOKUP(B14,'B-1 On-Site Hedge Baseline'!$B$10:T259,16,FALSE))</f>
        <v/>
      </c>
      <c r="Q14" s="275" t="str">
        <f>IF(M14="","",VLOOKUP(M14,'G-6 Hedgerow Data'!$B$2:$AG$15,2,FALSE))</f>
        <v/>
      </c>
      <c r="R14" s="276" t="str">
        <f>IF(M14="","",VLOOKUP(M14,'G-6 Hedgerow Data'!$B$2:$AG$15,3,FALSE))</f>
        <v/>
      </c>
      <c r="S14" s="101"/>
      <c r="T14" s="314" t="str">
        <f>IFERROR(IF(S14="","",IF(AND(M14="Non-native and ornamental hedgerow",S14&lt;&gt;"Poor"),"Not possible ▲",(VLOOKUP(S14,'G-1 All Habitats'!$Z$2:$AA$9,2,FALSE)))),"")</f>
        <v/>
      </c>
      <c r="U14" s="101"/>
      <c r="V14" s="295" t="str">
        <f>IF(U14="","",IF(VLOOKUP(U14,'G-3 Multipliers'!$L$3:$N$6,2,FALSE)=0,"Spatial Data Missing ⚠",VLOOKUP(U14,'G-3 Multipliers'!$L$3:$N$6,2,FALSE)))</f>
        <v/>
      </c>
      <c r="W14" s="299" t="str">
        <f>IF(U14="","",IF(VLOOKUP(U14,'G-3 Multipliers'!$L$3:$N$6,3,FALSE)=0,"Spatial Data Missing ⚠",VLOOKUP(U14,'G-3 Multipliers'!$L$3:$N$6,3,FALSE)))</f>
        <v/>
      </c>
      <c r="X14" s="275" t="str">
        <f>IFERROR(IF(OR(LEFT(O14,5)="Error",LEFT(N14,5)="Error",T14="Error"),"Check Data ⚠",IF(F14&lt;R14,INDEX('G-6 Hedgerow Data'!$S$3:$AE$14,MATCH(C14,'G-6 Hedgerow Data'!$B$3:$B$14,0),MATCH(M14,'G-6 Hedgerow Data'!$S$2:$AE$2,0)),INDEX('G-6 Hedgerow Data'!$K$3:$Q$14,MATCH(M14,'G-6 Hedgerow Data'!$B$3:$B$14,0),MATCH(O14,'G-6 Hedgerow Data'!$K$2:$Q$2,0)))),"")</f>
        <v/>
      </c>
      <c r="Y14" s="133"/>
      <c r="Z14" s="133"/>
      <c r="AA14" s="283" t="str">
        <f t="shared" si="2"/>
        <v/>
      </c>
      <c r="AB14" s="296" t="str">
        <f t="shared" si="3"/>
        <v/>
      </c>
      <c r="AC14" s="297" t="str">
        <f t="shared" si="0"/>
        <v/>
      </c>
      <c r="AD14" s="311" t="str">
        <f>IF(M14="","",VLOOKUP(M14,'G-6 Hedgerow Data'!$B$3:$AG$15,31,FALSE))</f>
        <v/>
      </c>
      <c r="AE14" s="283" t="str">
        <f t="shared" si="4"/>
        <v/>
      </c>
      <c r="AF14" s="283" t="str">
        <f t="shared" si="5"/>
        <v/>
      </c>
      <c r="AG14" s="299" t="str">
        <f>IFERROR(IF(O14="","",VLOOKUP(AD14,'G-3 Multipliers'!$P$3:$Q$6,2,FALSE)),"")</f>
        <v/>
      </c>
      <c r="AH14" s="289" t="str">
        <f t="shared" si="6"/>
        <v/>
      </c>
      <c r="AI14" s="53"/>
      <c r="AJ14" s="51"/>
      <c r="AK14" s="104"/>
      <c r="AT14" s="30" t="str">
        <f>IFERROR(INDEX('G-6 Hedgerow Data'!$BJ$3:$BJ$15,MATCH(M14,'G-6 Hedgerow Data'!$B$3:$B$15,0)),"")</f>
        <v/>
      </c>
    </row>
    <row r="15" spans="2:46" ht="14">
      <c r="B15" s="305" t="str">
        <f>'B-1 On-Site Hedge Baseline'!AK13</f>
        <v/>
      </c>
      <c r="C15" s="295" t="str">
        <f>IF(B15="","",IF(ISNA(VLOOKUP($B15,'B-1 On-Site Hedge Baseline'!$B$1:$L$257,3,FALSE)),"",(VLOOKUP($B15,'B-1 On-Site Hedge Baseline'!$B$1:$L$257,3,FALSE))))</f>
        <v/>
      </c>
      <c r="D15" s="295" t="str">
        <f>IF(B15="","",IF(ISNA(VLOOKUP($B15,'B-1 On-Site Hedge Baseline'!$B$1:$L$257,4,FALSE)),"",(VLOOKUP($B15,'B-1 On-Site Hedge Baseline'!$B$1:$L$257,4,FALSE))))</f>
        <v/>
      </c>
      <c r="E15" s="295" t="str">
        <f>IF(B15="","",IF(ISNA(VLOOKUP($B15,'B-1 On-Site Hedge Baseline'!$B$1:$L$257,5,FALSE)),"",(VLOOKUP($B15,'B-1 On-Site Hedge Baseline'!$B$1:$L$257,5,FALSE))))</f>
        <v/>
      </c>
      <c r="F15" s="295" t="str">
        <f>IF(B15="","",IF(ISNA(VLOOKUP($B15,'B-1 On-Site Hedge Baseline'!$B$1:$L$257,6,FALSE)),"",(VLOOKUP($B15,'B-1 On-Site Hedge Baseline'!$B$1:$L$257,6,FALSE))))</f>
        <v/>
      </c>
      <c r="G15" s="295" t="str">
        <f>IF(B15="","",IF(ISNA(VLOOKUP($B15,'B-1 On-Site Hedge Baseline'!$B$1:$L$257,7,FALSE)),"",(VLOOKUP($B15,'B-1 On-Site Hedge Baseline'!$B$1:$L$257,7,FALSE))))</f>
        <v/>
      </c>
      <c r="H15" s="295" t="str">
        <f>IF(B15="","",IF(ISNA(VLOOKUP($B15,'B-1 On-Site Hedge Baseline'!$B$1:$L$257,8,FALSE)),"",(VLOOKUP($B15,'B-1 On-Site Hedge Baseline'!$B$1:$L$257,8,FALSE))))</f>
        <v/>
      </c>
      <c r="I15" s="295" t="str">
        <f>IF(B15="","",IF(ISNA(VLOOKUP($B15,'B-1 On-Site Hedge Baseline'!$B$1:$L$257,10,FALSE)),"",(VLOOKUP($B15,'B-1 On-Site Hedge Baseline'!$B$1:$L$257,10,FALSE))))</f>
        <v/>
      </c>
      <c r="J15" s="295" t="str">
        <f>IF(B15="","",IF(ISNA(VLOOKUP($B15,'B-1 On-Site Hedge Baseline'!$B$1:$L$257,11,FALSE)),"",(VLOOKUP($B15,'B-1 On-Site Hedge Baseline'!$B$1:$L$257,11,FALSE))))</f>
        <v/>
      </c>
      <c r="K15" s="295" t="str">
        <f>IF(B15="","",IF(ISNA(VLOOKUP($B15,'B-1 On-Site Hedge Baseline'!$B$1:$U$257,13,FALSE)),"",(VLOOKUP($B15,'B-1 On-Site Hedge Baseline'!$B$1:$U$257,13,FALSE))))</f>
        <v/>
      </c>
      <c r="L15" s="299" t="str">
        <f>IF(B15="","",IF(ISNA(VLOOKUP($B15,'B-1 On-Site Hedge Baseline'!$B$1:$U$257,12,FALSE)),"",(VLOOKUP($B15,'B-1 On-Site Hedge Baseline'!$B$1:$U$257,12,FALSE))))</f>
        <v/>
      </c>
      <c r="M15" s="611"/>
      <c r="N15" s="275" t="str">
        <f>IFERROR(IF(B15="","",INDEX('G-6 Hedgerow Data'!$AN$3:$AZ$15,MATCH(C15,'G-6 Hedgerow Data'!$AM$3:$AM$15,0),MATCH(M15,'G-6 Hedgerow Data'!$AN$2:$AZ$2,0))),"")</f>
        <v/>
      </c>
      <c r="O15" s="276" t="str">
        <f t="shared" si="1"/>
        <v/>
      </c>
      <c r="P15" s="329" t="str">
        <f>IF(B15="","",VLOOKUP(B15,'B-1 On-Site Hedge Baseline'!$B$10:T260,16,FALSE))</f>
        <v/>
      </c>
      <c r="Q15" s="275" t="str">
        <f>IF(M15="","",VLOOKUP(M15,'G-6 Hedgerow Data'!$B$2:$AG$15,2,FALSE))</f>
        <v/>
      </c>
      <c r="R15" s="276" t="str">
        <f>IF(M15="","",VLOOKUP(M15,'G-6 Hedgerow Data'!$B$2:$AG$15,3,FALSE))</f>
        <v/>
      </c>
      <c r="S15" s="101"/>
      <c r="T15" s="314" t="str">
        <f>IFERROR(IF(S15="","",IF(AND(M15="Non-native and ornamental hedgerow",S15&lt;&gt;"Poor"),"Not possible ▲",(VLOOKUP(S15,'G-1 All Habitats'!$Z$2:$AA$9,2,FALSE)))),"")</f>
        <v/>
      </c>
      <c r="U15" s="101"/>
      <c r="V15" s="295" t="str">
        <f>IF(U15="","",IF(VLOOKUP(U15,'G-3 Multipliers'!$L$3:$N$6,2,FALSE)=0,"Spatial Data Missing ⚠",VLOOKUP(U15,'G-3 Multipliers'!$L$3:$N$6,2,FALSE)))</f>
        <v/>
      </c>
      <c r="W15" s="299" t="str">
        <f>IF(U15="","",IF(VLOOKUP(U15,'G-3 Multipliers'!$L$3:$N$6,3,FALSE)=0,"Spatial Data Missing ⚠",VLOOKUP(U15,'G-3 Multipliers'!$L$3:$N$6,3,FALSE)))</f>
        <v/>
      </c>
      <c r="X15" s="275" t="str">
        <f>IFERROR(IF(OR(LEFT(O15,5)="Error",LEFT(N15,5)="Error",T15="Error"),"Check Data ⚠",IF(F15&lt;R15,INDEX('G-6 Hedgerow Data'!$S$3:$AE$14,MATCH(C15,'G-6 Hedgerow Data'!$B$3:$B$14,0),MATCH(M15,'G-6 Hedgerow Data'!$S$2:$AE$2,0)),INDEX('G-6 Hedgerow Data'!$K$3:$Q$14,MATCH(M15,'G-6 Hedgerow Data'!$B$3:$B$14,0),MATCH(O15,'G-6 Hedgerow Data'!$K$2:$Q$2,0)))),"")</f>
        <v/>
      </c>
      <c r="Y15" s="133"/>
      <c r="Z15" s="133"/>
      <c r="AA15" s="283" t="str">
        <f t="shared" si="2"/>
        <v/>
      </c>
      <c r="AB15" s="296" t="str">
        <f t="shared" si="3"/>
        <v/>
      </c>
      <c r="AC15" s="297" t="str">
        <f t="shared" si="0"/>
        <v/>
      </c>
      <c r="AD15" s="311" t="str">
        <f>IF(M15="","",VLOOKUP(M15,'G-6 Hedgerow Data'!$B$3:$AG$15,31,FALSE))</f>
        <v/>
      </c>
      <c r="AE15" s="283" t="str">
        <f t="shared" si="4"/>
        <v/>
      </c>
      <c r="AF15" s="283" t="str">
        <f t="shared" si="5"/>
        <v/>
      </c>
      <c r="AG15" s="299" t="str">
        <f>IFERROR(IF(O15="","",VLOOKUP(AD15,'G-3 Multipliers'!$P$3:$Q$6,2,FALSE)),"")</f>
        <v/>
      </c>
      <c r="AH15" s="289" t="str">
        <f t="shared" si="6"/>
        <v/>
      </c>
      <c r="AI15" s="53"/>
      <c r="AJ15" s="51"/>
      <c r="AK15" s="104"/>
      <c r="AT15" s="30" t="str">
        <f>IFERROR(INDEX('G-6 Hedgerow Data'!$BJ$3:$BJ$15,MATCH(M15,'G-6 Hedgerow Data'!$B$3:$B$15,0)),"")</f>
        <v/>
      </c>
    </row>
    <row r="16" spans="2:46" ht="14">
      <c r="B16" s="305" t="str">
        <f>'B-1 On-Site Hedge Baseline'!AK14</f>
        <v/>
      </c>
      <c r="C16" s="295" t="str">
        <f>IF(B16="","",IF(ISNA(VLOOKUP($B16,'B-1 On-Site Hedge Baseline'!$B$1:$L$257,3,FALSE)),"",(VLOOKUP($B16,'B-1 On-Site Hedge Baseline'!$B$1:$L$257,3,FALSE))))</f>
        <v/>
      </c>
      <c r="D16" s="295" t="str">
        <f>IF(B16="","",IF(ISNA(VLOOKUP($B16,'B-1 On-Site Hedge Baseline'!$B$1:$L$257,4,FALSE)),"",(VLOOKUP($B16,'B-1 On-Site Hedge Baseline'!$B$1:$L$257,4,FALSE))))</f>
        <v/>
      </c>
      <c r="E16" s="295" t="str">
        <f>IF(B16="","",IF(ISNA(VLOOKUP($B16,'B-1 On-Site Hedge Baseline'!$B$1:$L$257,5,FALSE)),"",(VLOOKUP($B16,'B-1 On-Site Hedge Baseline'!$B$1:$L$257,5,FALSE))))</f>
        <v/>
      </c>
      <c r="F16" s="295" t="str">
        <f>IF(B16="","",IF(ISNA(VLOOKUP($B16,'B-1 On-Site Hedge Baseline'!$B$1:$L$257,6,FALSE)),"",(VLOOKUP($B16,'B-1 On-Site Hedge Baseline'!$B$1:$L$257,6,FALSE))))</f>
        <v/>
      </c>
      <c r="G16" s="295" t="str">
        <f>IF(B16="","",IF(ISNA(VLOOKUP($B16,'B-1 On-Site Hedge Baseline'!$B$1:$L$257,7,FALSE)),"",(VLOOKUP($B16,'B-1 On-Site Hedge Baseline'!$B$1:$L$257,7,FALSE))))</f>
        <v/>
      </c>
      <c r="H16" s="295" t="str">
        <f>IF(B16="","",IF(ISNA(VLOOKUP($B16,'B-1 On-Site Hedge Baseline'!$B$1:$L$257,8,FALSE)),"",(VLOOKUP($B16,'B-1 On-Site Hedge Baseline'!$B$1:$L$257,8,FALSE))))</f>
        <v/>
      </c>
      <c r="I16" s="295" t="str">
        <f>IF(B16="","",IF(ISNA(VLOOKUP($B16,'B-1 On-Site Hedge Baseline'!$B$1:$L$257,10,FALSE)),"",(VLOOKUP($B16,'B-1 On-Site Hedge Baseline'!$B$1:$L$257,10,FALSE))))</f>
        <v/>
      </c>
      <c r="J16" s="295" t="str">
        <f>IF(B16="","",IF(ISNA(VLOOKUP($B16,'B-1 On-Site Hedge Baseline'!$B$1:$L$257,11,FALSE)),"",(VLOOKUP($B16,'B-1 On-Site Hedge Baseline'!$B$1:$L$257,11,FALSE))))</f>
        <v/>
      </c>
      <c r="K16" s="295" t="str">
        <f>IF(B16="","",IF(ISNA(VLOOKUP($B16,'B-1 On-Site Hedge Baseline'!$B$1:$U$257,13,FALSE)),"",(VLOOKUP($B16,'B-1 On-Site Hedge Baseline'!$B$1:$U$257,13,FALSE))))</f>
        <v/>
      </c>
      <c r="L16" s="299" t="str">
        <f>IF(B16="","",IF(ISNA(VLOOKUP($B16,'B-1 On-Site Hedge Baseline'!$B$1:$U$257,12,FALSE)),"",(VLOOKUP($B16,'B-1 On-Site Hedge Baseline'!$B$1:$U$257,12,FALSE))))</f>
        <v/>
      </c>
      <c r="M16" s="611"/>
      <c r="N16" s="275" t="str">
        <f>IFERROR(IF(B16="","",INDEX('G-6 Hedgerow Data'!$AN$3:$AZ$15,MATCH(C16,'G-6 Hedgerow Data'!$AM$3:$AM$15,0),MATCH(M16,'G-6 Hedgerow Data'!$AN$2:$AZ$2,0))),"")</f>
        <v/>
      </c>
      <c r="O16" s="276" t="str">
        <f t="shared" si="1"/>
        <v/>
      </c>
      <c r="P16" s="329" t="str">
        <f>IF(B16="","",VLOOKUP(B16,'B-1 On-Site Hedge Baseline'!$B$10:T261,16,FALSE))</f>
        <v/>
      </c>
      <c r="Q16" s="275" t="str">
        <f>IF(M16="","",VLOOKUP(M16,'G-6 Hedgerow Data'!$B$2:$AG$15,2,FALSE))</f>
        <v/>
      </c>
      <c r="R16" s="276" t="str">
        <f>IF(M16="","",VLOOKUP(M16,'G-6 Hedgerow Data'!$B$2:$AG$15,3,FALSE))</f>
        <v/>
      </c>
      <c r="S16" s="101"/>
      <c r="T16" s="314" t="str">
        <f>IFERROR(IF(S16="","",IF(AND(M16="Non-native and ornamental hedgerow",S16&lt;&gt;"Poor"),"Not possible ▲",(VLOOKUP(S16,'G-1 All Habitats'!$Z$2:$AA$9,2,FALSE)))),"")</f>
        <v/>
      </c>
      <c r="U16" s="101"/>
      <c r="V16" s="295" t="str">
        <f>IF(U16="","",IF(VLOOKUP(U16,'G-3 Multipliers'!$L$3:$N$6,2,FALSE)=0,"Spatial Data Missing ⚠",VLOOKUP(U16,'G-3 Multipliers'!$L$3:$N$6,2,FALSE)))</f>
        <v/>
      </c>
      <c r="W16" s="299" t="str">
        <f>IF(U16="","",IF(VLOOKUP(U16,'G-3 Multipliers'!$L$3:$N$6,3,FALSE)=0,"Spatial Data Missing ⚠",VLOOKUP(U16,'G-3 Multipliers'!$L$3:$N$6,3,FALSE)))</f>
        <v/>
      </c>
      <c r="X16" s="275" t="str">
        <f>IFERROR(IF(OR(LEFT(O16,5)="Error",LEFT(N16,5)="Error",T16="Error"),"Check Data ⚠",IF(F16&lt;R16,INDEX('G-6 Hedgerow Data'!$S$3:$AE$14,MATCH(C16,'G-6 Hedgerow Data'!$B$3:$B$14,0),MATCH(M16,'G-6 Hedgerow Data'!$S$2:$AE$2,0)),INDEX('G-6 Hedgerow Data'!$K$3:$Q$14,MATCH(M16,'G-6 Hedgerow Data'!$B$3:$B$14,0),MATCH(O16,'G-6 Hedgerow Data'!$K$2:$Q$2,0)))),"")</f>
        <v/>
      </c>
      <c r="Y16" s="133"/>
      <c r="Z16" s="133"/>
      <c r="AA16" s="283" t="str">
        <f t="shared" si="2"/>
        <v/>
      </c>
      <c r="AB16" s="296" t="str">
        <f t="shared" si="3"/>
        <v/>
      </c>
      <c r="AC16" s="297" t="str">
        <f t="shared" si="0"/>
        <v/>
      </c>
      <c r="AD16" s="311" t="str">
        <f>IF(M16="","",VLOOKUP(M16,'G-6 Hedgerow Data'!$B$3:$AG$15,31,FALSE))</f>
        <v/>
      </c>
      <c r="AE16" s="283" t="str">
        <f t="shared" si="4"/>
        <v/>
      </c>
      <c r="AF16" s="283" t="str">
        <f t="shared" si="5"/>
        <v/>
      </c>
      <c r="AG16" s="299" t="str">
        <f>IFERROR(IF(O16="","",VLOOKUP(AD16,'G-3 Multipliers'!$P$3:$Q$6,2,FALSE)),"")</f>
        <v/>
      </c>
      <c r="AH16" s="289" t="str">
        <f t="shared" si="6"/>
        <v/>
      </c>
      <c r="AI16" s="108"/>
      <c r="AJ16" s="115"/>
      <c r="AK16" s="104"/>
      <c r="AT16" s="30" t="str">
        <f>IFERROR(INDEX('G-6 Hedgerow Data'!$BJ$3:$BJ$15,MATCH(M16,'G-6 Hedgerow Data'!$B$3:$B$15,0)),"")</f>
        <v/>
      </c>
    </row>
    <row r="17" spans="2:46" ht="14">
      <c r="B17" s="305" t="str">
        <f>'B-1 On-Site Hedge Baseline'!AK15</f>
        <v/>
      </c>
      <c r="C17" s="295" t="str">
        <f>IF(B17="","",IF(ISNA(VLOOKUP($B17,'B-1 On-Site Hedge Baseline'!$B$1:$L$257,3,FALSE)),"",(VLOOKUP($B17,'B-1 On-Site Hedge Baseline'!$B$1:$L$257,3,FALSE))))</f>
        <v/>
      </c>
      <c r="D17" s="295" t="str">
        <f>IF(B17="","",IF(ISNA(VLOOKUP($B17,'B-1 On-Site Hedge Baseline'!$B$1:$L$257,4,FALSE)),"",(VLOOKUP($B17,'B-1 On-Site Hedge Baseline'!$B$1:$L$257,4,FALSE))))</f>
        <v/>
      </c>
      <c r="E17" s="295" t="str">
        <f>IF(B17="","",IF(ISNA(VLOOKUP($B17,'B-1 On-Site Hedge Baseline'!$B$1:$L$257,5,FALSE)),"",(VLOOKUP($B17,'B-1 On-Site Hedge Baseline'!$B$1:$L$257,5,FALSE))))</f>
        <v/>
      </c>
      <c r="F17" s="295" t="str">
        <f>IF(B17="","",IF(ISNA(VLOOKUP($B17,'B-1 On-Site Hedge Baseline'!$B$1:$L$257,6,FALSE)),"",(VLOOKUP($B17,'B-1 On-Site Hedge Baseline'!$B$1:$L$257,6,FALSE))))</f>
        <v/>
      </c>
      <c r="G17" s="295" t="str">
        <f>IF(B17="","",IF(ISNA(VLOOKUP($B17,'B-1 On-Site Hedge Baseline'!$B$1:$L$257,7,FALSE)),"",(VLOOKUP($B17,'B-1 On-Site Hedge Baseline'!$B$1:$L$257,7,FALSE))))</f>
        <v/>
      </c>
      <c r="H17" s="295" t="str">
        <f>IF(B17="","",IF(ISNA(VLOOKUP($B17,'B-1 On-Site Hedge Baseline'!$B$1:$L$257,8,FALSE)),"",(VLOOKUP($B17,'B-1 On-Site Hedge Baseline'!$B$1:$L$257,8,FALSE))))</f>
        <v/>
      </c>
      <c r="I17" s="295" t="str">
        <f>IF(B17="","",IF(ISNA(VLOOKUP($B17,'B-1 On-Site Hedge Baseline'!$B$1:$L$257,10,FALSE)),"",(VLOOKUP($B17,'B-1 On-Site Hedge Baseline'!$B$1:$L$257,10,FALSE))))</f>
        <v/>
      </c>
      <c r="J17" s="295" t="str">
        <f>IF(B17="","",IF(ISNA(VLOOKUP($B17,'B-1 On-Site Hedge Baseline'!$B$1:$L$257,11,FALSE)),"",(VLOOKUP($B17,'B-1 On-Site Hedge Baseline'!$B$1:$L$257,11,FALSE))))</f>
        <v/>
      </c>
      <c r="K17" s="295" t="str">
        <f>IF(B17="","",IF(ISNA(VLOOKUP($B17,'B-1 On-Site Hedge Baseline'!$B$1:$U$257,13,FALSE)),"",(VLOOKUP($B17,'B-1 On-Site Hedge Baseline'!$B$1:$U$257,13,FALSE))))</f>
        <v/>
      </c>
      <c r="L17" s="299" t="str">
        <f>IF(B17="","",IF(ISNA(VLOOKUP($B17,'B-1 On-Site Hedge Baseline'!$B$1:$U$257,12,FALSE)),"",(VLOOKUP($B17,'B-1 On-Site Hedge Baseline'!$B$1:$U$257,12,FALSE))))</f>
        <v/>
      </c>
      <c r="M17" s="611"/>
      <c r="N17" s="275" t="str">
        <f>IFERROR(IF(B17="","",INDEX('G-6 Hedgerow Data'!$AN$3:$AZ$15,MATCH(C17,'G-6 Hedgerow Data'!$AM$3:$AM$15,0),MATCH(M17,'G-6 Hedgerow Data'!$AN$2:$AZ$2,0))),"")</f>
        <v/>
      </c>
      <c r="O17" s="276" t="str">
        <f t="shared" si="1"/>
        <v/>
      </c>
      <c r="P17" s="329" t="str">
        <f>IF(B17="","",VLOOKUP(B17,'B-1 On-Site Hedge Baseline'!$B$10:T262,16,FALSE))</f>
        <v/>
      </c>
      <c r="Q17" s="275" t="str">
        <f>IF(M17="","",VLOOKUP(M17,'G-6 Hedgerow Data'!$B$2:$AG$15,2,FALSE))</f>
        <v/>
      </c>
      <c r="R17" s="276" t="str">
        <f>IF(M17="","",VLOOKUP(M17,'G-6 Hedgerow Data'!$B$2:$AG$15,3,FALSE))</f>
        <v/>
      </c>
      <c r="S17" s="53"/>
      <c r="T17" s="314" t="str">
        <f>IFERROR(IF(S17="","",IF(AND(M17="Non-native and ornamental hedgerow",S17&lt;&gt;"Poor"),"Not possible ▲",(VLOOKUP(S17,'G-1 All Habitats'!$Z$2:$AA$9,2,FALSE)))),"")</f>
        <v/>
      </c>
      <c r="U17" s="101"/>
      <c r="V17" s="295" t="str">
        <f>IF(U17="","",IF(VLOOKUP(U17,'G-3 Multipliers'!$L$3:$N$6,2,FALSE)=0,"Spatial Data Missing ⚠",VLOOKUP(U17,'G-3 Multipliers'!$L$3:$N$6,2,FALSE)))</f>
        <v/>
      </c>
      <c r="W17" s="299" t="str">
        <f>IF(U17="","",IF(VLOOKUP(U17,'G-3 Multipliers'!$L$3:$N$6,3,FALSE)=0,"Spatial Data Missing ⚠",VLOOKUP(U17,'G-3 Multipliers'!$L$3:$N$6,3,FALSE)))</f>
        <v/>
      </c>
      <c r="X17" s="275" t="str">
        <f>IFERROR(IF(OR(LEFT(O17,5)="Error",LEFT(N17,5)="Error",T17="Error"),"Check Data ⚠",IF(F17&lt;R17,INDEX('G-6 Hedgerow Data'!$S$3:$AE$14,MATCH(C17,'G-6 Hedgerow Data'!$B$3:$B$14,0),MATCH(M17,'G-6 Hedgerow Data'!$S$2:$AE$2,0)),INDEX('G-6 Hedgerow Data'!$K$3:$Q$14,MATCH(M17,'G-6 Hedgerow Data'!$B$3:$B$14,0),MATCH(O17,'G-6 Hedgerow Data'!$K$2:$Q$2,0)))),"")</f>
        <v/>
      </c>
      <c r="Y17" s="133"/>
      <c r="Z17" s="133"/>
      <c r="AA17" s="283" t="str">
        <f t="shared" si="2"/>
        <v/>
      </c>
      <c r="AB17" s="296" t="str">
        <f t="shared" si="3"/>
        <v/>
      </c>
      <c r="AC17" s="297" t="str">
        <f t="shared" si="0"/>
        <v/>
      </c>
      <c r="AD17" s="311" t="str">
        <f>IF(M17="","",VLOOKUP(M17,'G-6 Hedgerow Data'!$B$3:$AG$15,31,FALSE))</f>
        <v/>
      </c>
      <c r="AE17" s="283" t="str">
        <f t="shared" si="4"/>
        <v/>
      </c>
      <c r="AF17" s="283" t="str">
        <f t="shared" si="5"/>
        <v/>
      </c>
      <c r="AG17" s="299" t="str">
        <f>IFERROR(IF(O17="","",VLOOKUP(AD17,'G-3 Multipliers'!$P$3:$Q$6,2,FALSE)),"")</f>
        <v/>
      </c>
      <c r="AH17" s="289" t="str">
        <f t="shared" si="6"/>
        <v/>
      </c>
      <c r="AI17" s="108"/>
      <c r="AJ17" s="115"/>
      <c r="AK17" s="104"/>
      <c r="AT17" s="30" t="str">
        <f>IFERROR(INDEX('G-6 Hedgerow Data'!$BJ$3:$BJ$15,MATCH(M17,'G-6 Hedgerow Data'!$B$3:$B$15,0)),"")</f>
        <v/>
      </c>
    </row>
    <row r="18" spans="2:46" ht="14">
      <c r="B18" s="305" t="str">
        <f>'B-1 On-Site Hedge Baseline'!AK16</f>
        <v/>
      </c>
      <c r="C18" s="295" t="str">
        <f>IF(B18="","",IF(ISNA(VLOOKUP($B18,'B-1 On-Site Hedge Baseline'!$B$1:$L$257,3,FALSE)),"",(VLOOKUP($B18,'B-1 On-Site Hedge Baseline'!$B$1:$L$257,3,FALSE))))</f>
        <v/>
      </c>
      <c r="D18" s="295" t="str">
        <f>IF(B18="","",IF(ISNA(VLOOKUP($B18,'B-1 On-Site Hedge Baseline'!$B$1:$L$257,4,FALSE)),"",(VLOOKUP($B18,'B-1 On-Site Hedge Baseline'!$B$1:$L$257,4,FALSE))))</f>
        <v/>
      </c>
      <c r="E18" s="295" t="str">
        <f>IF(B18="","",IF(ISNA(VLOOKUP($B18,'B-1 On-Site Hedge Baseline'!$B$1:$L$257,5,FALSE)),"",(VLOOKUP($B18,'B-1 On-Site Hedge Baseline'!$B$1:$L$257,5,FALSE))))</f>
        <v/>
      </c>
      <c r="F18" s="295" t="str">
        <f>IF(B18="","",IF(ISNA(VLOOKUP($B18,'B-1 On-Site Hedge Baseline'!$B$1:$L$257,6,FALSE)),"",(VLOOKUP($B18,'B-1 On-Site Hedge Baseline'!$B$1:$L$257,6,FALSE))))</f>
        <v/>
      </c>
      <c r="G18" s="295" t="str">
        <f>IF(B18="","",IF(ISNA(VLOOKUP($B18,'B-1 On-Site Hedge Baseline'!$B$1:$L$257,7,FALSE)),"",(VLOOKUP($B18,'B-1 On-Site Hedge Baseline'!$B$1:$L$257,7,FALSE))))</f>
        <v/>
      </c>
      <c r="H18" s="295" t="str">
        <f>IF(B18="","",IF(ISNA(VLOOKUP($B18,'B-1 On-Site Hedge Baseline'!$B$1:$L$257,8,FALSE)),"",(VLOOKUP($B18,'B-1 On-Site Hedge Baseline'!$B$1:$L$257,8,FALSE))))</f>
        <v/>
      </c>
      <c r="I18" s="295" t="str">
        <f>IF(B18="","",IF(ISNA(VLOOKUP($B18,'B-1 On-Site Hedge Baseline'!$B$1:$L$257,10,FALSE)),"",(VLOOKUP($B18,'B-1 On-Site Hedge Baseline'!$B$1:$L$257,10,FALSE))))</f>
        <v/>
      </c>
      <c r="J18" s="295" t="str">
        <f>IF(B18="","",IF(ISNA(VLOOKUP($B18,'B-1 On-Site Hedge Baseline'!$B$1:$L$257,11,FALSE)),"",(VLOOKUP($B18,'B-1 On-Site Hedge Baseline'!$B$1:$L$257,11,FALSE))))</f>
        <v/>
      </c>
      <c r="K18" s="295" t="str">
        <f>IF(B18="","",IF(ISNA(VLOOKUP($B18,'B-1 On-Site Hedge Baseline'!$B$1:$U$257,13,FALSE)),"",(VLOOKUP($B18,'B-1 On-Site Hedge Baseline'!$B$1:$U$257,13,FALSE))))</f>
        <v/>
      </c>
      <c r="L18" s="299" t="str">
        <f>IF(B18="","",IF(ISNA(VLOOKUP($B18,'B-1 On-Site Hedge Baseline'!$B$1:$U$257,12,FALSE)),"",(VLOOKUP($B18,'B-1 On-Site Hedge Baseline'!$B$1:$U$257,12,FALSE))))</f>
        <v/>
      </c>
      <c r="M18" s="611"/>
      <c r="N18" s="275" t="str">
        <f>IFERROR(IF(B18="","",INDEX('G-6 Hedgerow Data'!$AN$3:$AZ$15,MATCH(C18,'G-6 Hedgerow Data'!$AM$3:$AM$15,0),MATCH(M18,'G-6 Hedgerow Data'!$AN$2:$AZ$2,0))),"")</f>
        <v/>
      </c>
      <c r="O18" s="276" t="str">
        <f t="shared" si="1"/>
        <v/>
      </c>
      <c r="P18" s="329" t="str">
        <f>IF(B18="","",VLOOKUP(B18,'B-1 On-Site Hedge Baseline'!$B$10:T263,16,FALSE))</f>
        <v/>
      </c>
      <c r="Q18" s="275" t="str">
        <f>IF(M18="","",VLOOKUP(M18,'G-6 Hedgerow Data'!$B$2:$AG$15,2,FALSE))</f>
        <v/>
      </c>
      <c r="R18" s="276" t="str">
        <f>IF(M18="","",VLOOKUP(M18,'G-6 Hedgerow Data'!$B$2:$AG$15,3,FALSE))</f>
        <v/>
      </c>
      <c r="S18" s="53"/>
      <c r="T18" s="314" t="str">
        <f>IFERROR(IF(S18="","",IF(AND(M18="Non-native and ornamental hedgerow",S18&lt;&gt;"Poor"),"Not possible ▲",(VLOOKUP(S18,'G-1 All Habitats'!$Z$2:$AA$9,2,FALSE)))),"")</f>
        <v/>
      </c>
      <c r="U18" s="101"/>
      <c r="V18" s="295" t="str">
        <f>IF(U18="","",IF(VLOOKUP(U18,'G-3 Multipliers'!$L$3:$N$6,2,FALSE)=0,"Spatial Data Missing ⚠",VLOOKUP(U18,'G-3 Multipliers'!$L$3:$N$6,2,FALSE)))</f>
        <v/>
      </c>
      <c r="W18" s="299" t="str">
        <f>IF(U18="","",IF(VLOOKUP(U18,'G-3 Multipliers'!$L$3:$N$6,3,FALSE)=0,"Spatial Data Missing ⚠",VLOOKUP(U18,'G-3 Multipliers'!$L$3:$N$6,3,FALSE)))</f>
        <v/>
      </c>
      <c r="X18" s="275" t="str">
        <f>IFERROR(IF(OR(LEFT(O18,5)="Error",LEFT(N18,5)="Error",T18="Error"),"Check Data ⚠",IF(F18&lt;R18,INDEX('G-6 Hedgerow Data'!$S$3:$AE$14,MATCH(C18,'G-6 Hedgerow Data'!$B$3:$B$14,0),MATCH(M18,'G-6 Hedgerow Data'!$S$2:$AE$2,0)),INDEX('G-6 Hedgerow Data'!$K$3:$Q$14,MATCH(M18,'G-6 Hedgerow Data'!$B$3:$B$14,0),MATCH(O18,'G-6 Hedgerow Data'!$K$2:$Q$2,0)))),"")</f>
        <v/>
      </c>
      <c r="Y18" s="133"/>
      <c r="Z18" s="133"/>
      <c r="AA18" s="283" t="str">
        <f t="shared" si="2"/>
        <v/>
      </c>
      <c r="AB18" s="296" t="str">
        <f t="shared" si="3"/>
        <v/>
      </c>
      <c r="AC18" s="297" t="str">
        <f t="shared" si="0"/>
        <v/>
      </c>
      <c r="AD18" s="311" t="str">
        <f>IF(M18="","",VLOOKUP(M18,'G-6 Hedgerow Data'!$B$3:$AG$15,31,FALSE))</f>
        <v/>
      </c>
      <c r="AE18" s="283" t="str">
        <f t="shared" si="4"/>
        <v/>
      </c>
      <c r="AF18" s="283" t="str">
        <f t="shared" si="5"/>
        <v/>
      </c>
      <c r="AG18" s="299" t="str">
        <f>IFERROR(IF(O18="","",VLOOKUP(AD18,'G-3 Multipliers'!$P$3:$Q$6,2,FALSE)),"")</f>
        <v/>
      </c>
      <c r="AH18" s="289" t="str">
        <f t="shared" si="6"/>
        <v/>
      </c>
      <c r="AI18" s="108"/>
      <c r="AJ18" s="115"/>
      <c r="AK18" s="104"/>
      <c r="AT18" s="30" t="str">
        <f>IFERROR(INDEX('G-6 Hedgerow Data'!$BJ$3:$BJ$15,MATCH(M18,'G-6 Hedgerow Data'!$B$3:$B$15,0)),"")</f>
        <v/>
      </c>
    </row>
    <row r="19" spans="2:46" ht="14">
      <c r="B19" s="305" t="str">
        <f>'B-1 On-Site Hedge Baseline'!AK17</f>
        <v/>
      </c>
      <c r="C19" s="295" t="str">
        <f>IF(B19="","",IF(ISNA(VLOOKUP($B19,'B-1 On-Site Hedge Baseline'!$B$1:$L$257,3,FALSE)),"",(VLOOKUP($B19,'B-1 On-Site Hedge Baseline'!$B$1:$L$257,3,FALSE))))</f>
        <v/>
      </c>
      <c r="D19" s="295" t="str">
        <f>IF(B19="","",IF(ISNA(VLOOKUP($B19,'B-1 On-Site Hedge Baseline'!$B$1:$L$257,4,FALSE)),"",(VLOOKUP($B19,'B-1 On-Site Hedge Baseline'!$B$1:$L$257,4,FALSE))))</f>
        <v/>
      </c>
      <c r="E19" s="295" t="str">
        <f>IF(B19="","",IF(ISNA(VLOOKUP($B19,'B-1 On-Site Hedge Baseline'!$B$1:$L$257,5,FALSE)),"",(VLOOKUP($B19,'B-1 On-Site Hedge Baseline'!$B$1:$L$257,5,FALSE))))</f>
        <v/>
      </c>
      <c r="F19" s="295" t="str">
        <f>IF(B19="","",IF(ISNA(VLOOKUP($B19,'B-1 On-Site Hedge Baseline'!$B$1:$L$257,6,FALSE)),"",(VLOOKUP($B19,'B-1 On-Site Hedge Baseline'!$B$1:$L$257,6,FALSE))))</f>
        <v/>
      </c>
      <c r="G19" s="295" t="str">
        <f>IF(B19="","",IF(ISNA(VLOOKUP($B19,'B-1 On-Site Hedge Baseline'!$B$1:$L$257,7,FALSE)),"",(VLOOKUP($B19,'B-1 On-Site Hedge Baseline'!$B$1:$L$257,7,FALSE))))</f>
        <v/>
      </c>
      <c r="H19" s="295" t="str">
        <f>IF(B19="","",IF(ISNA(VLOOKUP($B19,'B-1 On-Site Hedge Baseline'!$B$1:$L$257,8,FALSE)),"",(VLOOKUP($B19,'B-1 On-Site Hedge Baseline'!$B$1:$L$257,8,FALSE))))</f>
        <v/>
      </c>
      <c r="I19" s="295" t="str">
        <f>IF(B19="","",IF(ISNA(VLOOKUP($B19,'B-1 On-Site Hedge Baseline'!$B$1:$L$257,10,FALSE)),"",(VLOOKUP($B19,'B-1 On-Site Hedge Baseline'!$B$1:$L$257,10,FALSE))))</f>
        <v/>
      </c>
      <c r="J19" s="295" t="str">
        <f>IF(B19="","",IF(ISNA(VLOOKUP($B19,'B-1 On-Site Hedge Baseline'!$B$1:$L$257,11,FALSE)),"",(VLOOKUP($B19,'B-1 On-Site Hedge Baseline'!$B$1:$L$257,11,FALSE))))</f>
        <v/>
      </c>
      <c r="K19" s="295" t="str">
        <f>IF(B19="","",IF(ISNA(VLOOKUP($B19,'B-1 On-Site Hedge Baseline'!$B$1:$U$257,13,FALSE)),"",(VLOOKUP($B19,'B-1 On-Site Hedge Baseline'!$B$1:$U$257,13,FALSE))))</f>
        <v/>
      </c>
      <c r="L19" s="299" t="str">
        <f>IF(B19="","",IF(ISNA(VLOOKUP($B19,'B-1 On-Site Hedge Baseline'!$B$1:$U$257,12,FALSE)),"",(VLOOKUP($B19,'B-1 On-Site Hedge Baseline'!$B$1:$U$257,12,FALSE))))</f>
        <v/>
      </c>
      <c r="M19" s="611"/>
      <c r="N19" s="275" t="str">
        <f>IFERROR(IF(B19="","",INDEX('G-6 Hedgerow Data'!$AN$3:$AZ$15,MATCH(C19,'G-6 Hedgerow Data'!$AM$3:$AM$15,0),MATCH(M19,'G-6 Hedgerow Data'!$AN$2:$AZ$2,0))),"")</f>
        <v/>
      </c>
      <c r="O19" s="276" t="str">
        <f t="shared" si="1"/>
        <v/>
      </c>
      <c r="P19" s="329" t="str">
        <f>IF(B19="","",VLOOKUP(B19,'B-1 On-Site Hedge Baseline'!$B$10:T264,16,FALSE))</f>
        <v/>
      </c>
      <c r="Q19" s="275" t="str">
        <f>IF(M19="","",VLOOKUP(M19,'G-6 Hedgerow Data'!$B$2:$AG$15,2,FALSE))</f>
        <v/>
      </c>
      <c r="R19" s="276" t="str">
        <f>IF(M19="","",VLOOKUP(M19,'G-6 Hedgerow Data'!$B$2:$AG$15,3,FALSE))</f>
        <v/>
      </c>
      <c r="S19" s="53"/>
      <c r="T19" s="314" t="str">
        <f>IFERROR(IF(S19="","",IF(AND(M19="Non-native and ornamental hedgerow",S19&lt;&gt;"Poor"),"Not possible ▲",(VLOOKUP(S19,'G-1 All Habitats'!$Z$2:$AA$9,2,FALSE)))),"")</f>
        <v/>
      </c>
      <c r="U19" s="101"/>
      <c r="V19" s="295" t="str">
        <f>IF(U19="","",IF(VLOOKUP(U19,'G-3 Multipliers'!$L$3:$N$6,2,FALSE)=0,"Spatial Data Missing ⚠",VLOOKUP(U19,'G-3 Multipliers'!$L$3:$N$6,2,FALSE)))</f>
        <v/>
      </c>
      <c r="W19" s="299" t="str">
        <f>IF(U19="","",IF(VLOOKUP(U19,'G-3 Multipliers'!$L$3:$N$6,3,FALSE)=0,"Spatial Data Missing ⚠",VLOOKUP(U19,'G-3 Multipliers'!$L$3:$N$6,3,FALSE)))</f>
        <v/>
      </c>
      <c r="X19" s="275" t="str">
        <f>IFERROR(IF(OR(LEFT(O19,5)="Error",LEFT(N19,5)="Error",T19="Error"),"Check Data ⚠",IF(F19&lt;R19,INDEX('G-6 Hedgerow Data'!$S$3:$AE$14,MATCH(C19,'G-6 Hedgerow Data'!$B$3:$B$14,0),MATCH(M19,'G-6 Hedgerow Data'!$S$2:$AE$2,0)),INDEX('G-6 Hedgerow Data'!$K$3:$Q$14,MATCH(M19,'G-6 Hedgerow Data'!$B$3:$B$14,0),MATCH(O19,'G-6 Hedgerow Data'!$K$2:$Q$2,0)))),"")</f>
        <v/>
      </c>
      <c r="Y19" s="133"/>
      <c r="Z19" s="133"/>
      <c r="AA19" s="283" t="str">
        <f t="shared" si="2"/>
        <v/>
      </c>
      <c r="AB19" s="296" t="str">
        <f t="shared" si="3"/>
        <v/>
      </c>
      <c r="AC19" s="297" t="str">
        <f t="shared" si="0"/>
        <v/>
      </c>
      <c r="AD19" s="311" t="str">
        <f>IF(M19="","",VLOOKUP(M19,'G-6 Hedgerow Data'!$B$3:$AG$15,31,FALSE))</f>
        <v/>
      </c>
      <c r="AE19" s="283" t="str">
        <f t="shared" si="4"/>
        <v/>
      </c>
      <c r="AF19" s="283" t="str">
        <f t="shared" si="5"/>
        <v/>
      </c>
      <c r="AG19" s="299" t="str">
        <f>IFERROR(IF(O19="","",VLOOKUP(AD19,'G-3 Multipliers'!$P$3:$Q$6,2,FALSE)),"")</f>
        <v/>
      </c>
      <c r="AH19" s="289" t="str">
        <f t="shared" si="6"/>
        <v/>
      </c>
      <c r="AI19" s="108"/>
      <c r="AJ19" s="115"/>
      <c r="AK19" s="104"/>
      <c r="AT19" s="30" t="str">
        <f>IFERROR(INDEX('G-6 Hedgerow Data'!$BJ$3:$BJ$15,MATCH(M19,'G-6 Hedgerow Data'!$B$3:$B$15,0)),"")</f>
        <v/>
      </c>
    </row>
    <row r="20" spans="2:46" ht="14">
      <c r="B20" s="305" t="str">
        <f>'B-1 On-Site Hedge Baseline'!AK18</f>
        <v/>
      </c>
      <c r="C20" s="295" t="str">
        <f>IF(B20="","",IF(ISNA(VLOOKUP($B20,'B-1 On-Site Hedge Baseline'!$B$1:$L$257,3,FALSE)),"",(VLOOKUP($B20,'B-1 On-Site Hedge Baseline'!$B$1:$L$257,3,FALSE))))</f>
        <v/>
      </c>
      <c r="D20" s="295" t="str">
        <f>IF(B20="","",IF(ISNA(VLOOKUP($B20,'B-1 On-Site Hedge Baseline'!$B$1:$L$257,4,FALSE)),"",(VLOOKUP($B20,'B-1 On-Site Hedge Baseline'!$B$1:$L$257,4,FALSE))))</f>
        <v/>
      </c>
      <c r="E20" s="295" t="str">
        <f>IF(B20="","",IF(ISNA(VLOOKUP($B20,'B-1 On-Site Hedge Baseline'!$B$1:$L$257,5,FALSE)),"",(VLOOKUP($B20,'B-1 On-Site Hedge Baseline'!$B$1:$L$257,5,FALSE))))</f>
        <v/>
      </c>
      <c r="F20" s="295" t="str">
        <f>IF(B20="","",IF(ISNA(VLOOKUP($B20,'B-1 On-Site Hedge Baseline'!$B$1:$L$257,6,FALSE)),"",(VLOOKUP($B20,'B-1 On-Site Hedge Baseline'!$B$1:$L$257,6,FALSE))))</f>
        <v/>
      </c>
      <c r="G20" s="295" t="str">
        <f>IF(B20="","",IF(ISNA(VLOOKUP($B20,'B-1 On-Site Hedge Baseline'!$B$1:$L$257,7,FALSE)),"",(VLOOKUP($B20,'B-1 On-Site Hedge Baseline'!$B$1:$L$257,7,FALSE))))</f>
        <v/>
      </c>
      <c r="H20" s="295" t="str">
        <f>IF(B20="","",IF(ISNA(VLOOKUP($B20,'B-1 On-Site Hedge Baseline'!$B$1:$L$257,8,FALSE)),"",(VLOOKUP($B20,'B-1 On-Site Hedge Baseline'!$B$1:$L$257,8,FALSE))))</f>
        <v/>
      </c>
      <c r="I20" s="295" t="str">
        <f>IF(B20="","",IF(ISNA(VLOOKUP($B20,'B-1 On-Site Hedge Baseline'!$B$1:$L$257,10,FALSE)),"",(VLOOKUP($B20,'B-1 On-Site Hedge Baseline'!$B$1:$L$257,10,FALSE))))</f>
        <v/>
      </c>
      <c r="J20" s="295" t="str">
        <f>IF(B20="","",IF(ISNA(VLOOKUP($B20,'B-1 On-Site Hedge Baseline'!$B$1:$L$257,11,FALSE)),"",(VLOOKUP($B20,'B-1 On-Site Hedge Baseline'!$B$1:$L$257,11,FALSE))))</f>
        <v/>
      </c>
      <c r="K20" s="295" t="str">
        <f>IF(B20="","",IF(ISNA(VLOOKUP($B20,'B-1 On-Site Hedge Baseline'!$B$1:$U$257,13,FALSE)),"",(VLOOKUP($B20,'B-1 On-Site Hedge Baseline'!$B$1:$U$257,13,FALSE))))</f>
        <v/>
      </c>
      <c r="L20" s="299" t="str">
        <f>IF(B20="","",IF(ISNA(VLOOKUP($B20,'B-1 On-Site Hedge Baseline'!$B$1:$U$257,12,FALSE)),"",(VLOOKUP($B20,'B-1 On-Site Hedge Baseline'!$B$1:$U$257,12,FALSE))))</f>
        <v/>
      </c>
      <c r="M20" s="611"/>
      <c r="N20" s="275" t="str">
        <f>IFERROR(IF(B20="","",INDEX('G-6 Hedgerow Data'!$AN$3:$AZ$15,MATCH(C20,'G-6 Hedgerow Data'!$AM$3:$AM$15,0),MATCH(M20,'G-6 Hedgerow Data'!$AN$2:$AZ$2,0))),"")</f>
        <v/>
      </c>
      <c r="O20" s="276" t="str">
        <f t="shared" si="1"/>
        <v/>
      </c>
      <c r="P20" s="329" t="str">
        <f>IF(B20="","",VLOOKUP(B20,'B-1 On-Site Hedge Baseline'!$B$10:T265,16,FALSE))</f>
        <v/>
      </c>
      <c r="Q20" s="275" t="str">
        <f>IF(M20="","",VLOOKUP(M20,'G-6 Hedgerow Data'!$B$2:$AG$15,2,FALSE))</f>
        <v/>
      </c>
      <c r="R20" s="276" t="str">
        <f>IF(M20="","",VLOOKUP(M20,'G-6 Hedgerow Data'!$B$2:$AG$15,3,FALSE))</f>
        <v/>
      </c>
      <c r="S20" s="53"/>
      <c r="T20" s="314" t="str">
        <f>IFERROR(IF(S20="","",IF(AND(M20="Non-native and ornamental hedgerow",S20&lt;&gt;"Poor"),"Not possible ▲",(VLOOKUP(S20,'G-1 All Habitats'!$Z$2:$AA$9,2,FALSE)))),"")</f>
        <v/>
      </c>
      <c r="U20" s="101"/>
      <c r="V20" s="295" t="str">
        <f>IF(U20="","",IF(VLOOKUP(U20,'G-3 Multipliers'!$L$3:$N$6,2,FALSE)=0,"Spatial Data Missing ⚠",VLOOKUP(U20,'G-3 Multipliers'!$L$3:$N$6,2,FALSE)))</f>
        <v/>
      </c>
      <c r="W20" s="299" t="str">
        <f>IF(U20="","",IF(VLOOKUP(U20,'G-3 Multipliers'!$L$3:$N$6,3,FALSE)=0,"Spatial Data Missing ⚠",VLOOKUP(U20,'G-3 Multipliers'!$L$3:$N$6,3,FALSE)))</f>
        <v/>
      </c>
      <c r="X20" s="275" t="str">
        <f>IFERROR(IF(OR(LEFT(O20,5)="Error",LEFT(N20,5)="Error",T20="Error"),"Check Data ⚠",IF(F20&lt;R20,INDEX('G-6 Hedgerow Data'!$S$3:$AE$14,MATCH(C20,'G-6 Hedgerow Data'!$B$3:$B$14,0),MATCH(M20,'G-6 Hedgerow Data'!$S$2:$AE$2,0)),INDEX('G-6 Hedgerow Data'!$K$3:$Q$14,MATCH(M20,'G-6 Hedgerow Data'!$B$3:$B$14,0),MATCH(O20,'G-6 Hedgerow Data'!$K$2:$Q$2,0)))),"")</f>
        <v/>
      </c>
      <c r="Y20" s="133"/>
      <c r="Z20" s="133"/>
      <c r="AA20" s="283" t="str">
        <f t="shared" si="2"/>
        <v/>
      </c>
      <c r="AB20" s="296" t="str">
        <f t="shared" si="3"/>
        <v/>
      </c>
      <c r="AC20" s="297" t="str">
        <f t="shared" si="0"/>
        <v/>
      </c>
      <c r="AD20" s="311" t="str">
        <f>IF(M20="","",VLOOKUP(M20,'G-6 Hedgerow Data'!$B$3:$AG$15,31,FALSE))</f>
        <v/>
      </c>
      <c r="AE20" s="283" t="str">
        <f t="shared" si="4"/>
        <v/>
      </c>
      <c r="AF20" s="283" t="str">
        <f t="shared" si="5"/>
        <v/>
      </c>
      <c r="AG20" s="299" t="str">
        <f>IFERROR(IF(O20="","",VLOOKUP(AD20,'G-3 Multipliers'!$P$3:$Q$6,2,FALSE)),"")</f>
        <v/>
      </c>
      <c r="AH20" s="289" t="str">
        <f t="shared" si="6"/>
        <v/>
      </c>
      <c r="AI20" s="108"/>
      <c r="AJ20" s="115"/>
      <c r="AK20" s="104"/>
      <c r="AT20" s="30" t="str">
        <f>IFERROR(INDEX('G-6 Hedgerow Data'!$BJ$3:$BJ$15,MATCH(M20,'G-6 Hedgerow Data'!$B$3:$B$15,0)),"")</f>
        <v/>
      </c>
    </row>
    <row r="21" spans="2:46" ht="14">
      <c r="B21" s="305" t="str">
        <f>'B-1 On-Site Hedge Baseline'!AK19</f>
        <v/>
      </c>
      <c r="C21" s="295" t="str">
        <f>IF(B21="","",IF(ISNA(VLOOKUP($B21,'B-1 On-Site Hedge Baseline'!$B$1:$L$257,3,FALSE)),"",(VLOOKUP($B21,'B-1 On-Site Hedge Baseline'!$B$1:$L$257,3,FALSE))))</f>
        <v/>
      </c>
      <c r="D21" s="295" t="str">
        <f>IF(B21="","",IF(ISNA(VLOOKUP($B21,'B-1 On-Site Hedge Baseline'!$B$1:$L$257,4,FALSE)),"",(VLOOKUP($B21,'B-1 On-Site Hedge Baseline'!$B$1:$L$257,4,FALSE))))</f>
        <v/>
      </c>
      <c r="E21" s="295" t="str">
        <f>IF(B21="","",IF(ISNA(VLOOKUP($B21,'B-1 On-Site Hedge Baseline'!$B$1:$L$257,5,FALSE)),"",(VLOOKUP($B21,'B-1 On-Site Hedge Baseline'!$B$1:$L$257,5,FALSE))))</f>
        <v/>
      </c>
      <c r="F21" s="295" t="str">
        <f>IF(B21="","",IF(ISNA(VLOOKUP($B21,'B-1 On-Site Hedge Baseline'!$B$1:$L$257,6,FALSE)),"",(VLOOKUP($B21,'B-1 On-Site Hedge Baseline'!$B$1:$L$257,6,FALSE))))</f>
        <v/>
      </c>
      <c r="G21" s="295" t="str">
        <f>IF(B21="","",IF(ISNA(VLOOKUP($B21,'B-1 On-Site Hedge Baseline'!$B$1:$L$257,7,FALSE)),"",(VLOOKUP($B21,'B-1 On-Site Hedge Baseline'!$B$1:$L$257,7,FALSE))))</f>
        <v/>
      </c>
      <c r="H21" s="295" t="str">
        <f>IF(B21="","",IF(ISNA(VLOOKUP($B21,'B-1 On-Site Hedge Baseline'!$B$1:$L$257,8,FALSE)),"",(VLOOKUP($B21,'B-1 On-Site Hedge Baseline'!$B$1:$L$257,8,FALSE))))</f>
        <v/>
      </c>
      <c r="I21" s="295" t="str">
        <f>IF(B21="","",IF(ISNA(VLOOKUP($B21,'B-1 On-Site Hedge Baseline'!$B$1:$L$257,10,FALSE)),"",(VLOOKUP($B21,'B-1 On-Site Hedge Baseline'!$B$1:$L$257,10,FALSE))))</f>
        <v/>
      </c>
      <c r="J21" s="295" t="str">
        <f>IF(B21="","",IF(ISNA(VLOOKUP($B21,'B-1 On-Site Hedge Baseline'!$B$1:$L$257,11,FALSE)),"",(VLOOKUP($B21,'B-1 On-Site Hedge Baseline'!$B$1:$L$257,11,FALSE))))</f>
        <v/>
      </c>
      <c r="K21" s="295" t="str">
        <f>IF(B21="","",IF(ISNA(VLOOKUP($B21,'B-1 On-Site Hedge Baseline'!$B$1:$U$257,13,FALSE)),"",(VLOOKUP($B21,'B-1 On-Site Hedge Baseline'!$B$1:$U$257,13,FALSE))))</f>
        <v/>
      </c>
      <c r="L21" s="299" t="str">
        <f>IF(B21="","",IF(ISNA(VLOOKUP($B21,'B-1 On-Site Hedge Baseline'!$B$1:$U$257,12,FALSE)),"",(VLOOKUP($B21,'B-1 On-Site Hedge Baseline'!$B$1:$U$257,12,FALSE))))</f>
        <v/>
      </c>
      <c r="M21" s="611"/>
      <c r="N21" s="275" t="str">
        <f>IFERROR(IF(B21="","",INDEX('G-6 Hedgerow Data'!$AN$3:$AZ$15,MATCH(C21,'G-6 Hedgerow Data'!$AM$3:$AM$15,0),MATCH(M21,'G-6 Hedgerow Data'!$AN$2:$AZ$2,0))),"")</f>
        <v/>
      </c>
      <c r="O21" s="276" t="str">
        <f t="shared" si="1"/>
        <v/>
      </c>
      <c r="P21" s="329" t="str">
        <f>IF(B21="","",VLOOKUP(B21,'B-1 On-Site Hedge Baseline'!$B$10:T266,16,FALSE))</f>
        <v/>
      </c>
      <c r="Q21" s="275" t="str">
        <f>IF(M21="","",VLOOKUP(M21,'G-6 Hedgerow Data'!$B$2:$AG$15,2,FALSE))</f>
        <v/>
      </c>
      <c r="R21" s="276" t="str">
        <f>IF(M21="","",VLOOKUP(M21,'G-6 Hedgerow Data'!$B$2:$AG$15,3,FALSE))</f>
        <v/>
      </c>
      <c r="S21" s="53"/>
      <c r="T21" s="314" t="str">
        <f>IFERROR(IF(S21="","",IF(AND(M21="Non-native and ornamental hedgerow",S21&lt;&gt;"Poor"),"Not possible ▲",(VLOOKUP(S21,'G-1 All Habitats'!$Z$2:$AA$9,2,FALSE)))),"")</f>
        <v/>
      </c>
      <c r="U21" s="101"/>
      <c r="V21" s="295" t="str">
        <f>IF(U21="","",IF(VLOOKUP(U21,'G-3 Multipliers'!$L$3:$N$6,2,FALSE)=0,"Spatial Data Missing ⚠",VLOOKUP(U21,'G-3 Multipliers'!$L$3:$N$6,2,FALSE)))</f>
        <v/>
      </c>
      <c r="W21" s="299" t="str">
        <f>IF(U21="","",IF(VLOOKUP(U21,'G-3 Multipliers'!$L$3:$N$6,3,FALSE)=0,"Spatial Data Missing ⚠",VLOOKUP(U21,'G-3 Multipliers'!$L$3:$N$6,3,FALSE)))</f>
        <v/>
      </c>
      <c r="X21" s="275" t="str">
        <f>IFERROR(IF(OR(LEFT(O21,5)="Error",LEFT(N21,5)="Error",T21="Error"),"Check Data ⚠",IF(F21&lt;R21,INDEX('G-6 Hedgerow Data'!$S$3:$AE$14,MATCH(C21,'G-6 Hedgerow Data'!$B$3:$B$14,0),MATCH(M21,'G-6 Hedgerow Data'!$S$2:$AE$2,0)),INDEX('G-6 Hedgerow Data'!$K$3:$Q$14,MATCH(M21,'G-6 Hedgerow Data'!$B$3:$B$14,0),MATCH(O21,'G-6 Hedgerow Data'!$K$2:$Q$2,0)))),"")</f>
        <v/>
      </c>
      <c r="Y21" s="133"/>
      <c r="Z21" s="133"/>
      <c r="AA21" s="283" t="str">
        <f t="shared" si="2"/>
        <v/>
      </c>
      <c r="AB21" s="296" t="str">
        <f t="shared" si="3"/>
        <v/>
      </c>
      <c r="AC21" s="297" t="str">
        <f t="shared" si="0"/>
        <v/>
      </c>
      <c r="AD21" s="311" t="str">
        <f>IF(M21="","",VLOOKUP(M21,'G-6 Hedgerow Data'!$B$3:$AG$15,31,FALSE))</f>
        <v/>
      </c>
      <c r="AE21" s="283" t="str">
        <f t="shared" si="4"/>
        <v/>
      </c>
      <c r="AF21" s="283" t="str">
        <f t="shared" si="5"/>
        <v/>
      </c>
      <c r="AG21" s="299" t="str">
        <f>IFERROR(IF(O21="","",VLOOKUP(AD21,'G-3 Multipliers'!$P$3:$Q$6,2,FALSE)),"")</f>
        <v/>
      </c>
      <c r="AH21" s="289" t="str">
        <f t="shared" si="6"/>
        <v/>
      </c>
      <c r="AI21" s="108"/>
      <c r="AJ21" s="115"/>
      <c r="AK21" s="104"/>
      <c r="AT21" s="30" t="str">
        <f>IFERROR(INDEX('G-6 Hedgerow Data'!$BJ$3:$BJ$15,MATCH(M21,'G-6 Hedgerow Data'!$B$3:$B$15,0)),"")</f>
        <v/>
      </c>
    </row>
    <row r="22" spans="2:46" ht="14">
      <c r="B22" s="305" t="str">
        <f>'B-1 On-Site Hedge Baseline'!AK20</f>
        <v/>
      </c>
      <c r="C22" s="295" t="str">
        <f>IF(B22="","",IF(ISNA(VLOOKUP($B22,'B-1 On-Site Hedge Baseline'!$B$1:$L$257,3,FALSE)),"",(VLOOKUP($B22,'B-1 On-Site Hedge Baseline'!$B$1:$L$257,3,FALSE))))</f>
        <v/>
      </c>
      <c r="D22" s="295" t="str">
        <f>IF(B22="","",IF(ISNA(VLOOKUP($B22,'B-1 On-Site Hedge Baseline'!$B$1:$L$257,4,FALSE)),"",(VLOOKUP($B22,'B-1 On-Site Hedge Baseline'!$B$1:$L$257,4,FALSE))))</f>
        <v/>
      </c>
      <c r="E22" s="295" t="str">
        <f>IF(B22="","",IF(ISNA(VLOOKUP($B22,'B-1 On-Site Hedge Baseline'!$B$1:$L$257,5,FALSE)),"",(VLOOKUP($B22,'B-1 On-Site Hedge Baseline'!$B$1:$L$257,5,FALSE))))</f>
        <v/>
      </c>
      <c r="F22" s="295" t="str">
        <f>IF(B22="","",IF(ISNA(VLOOKUP($B22,'B-1 On-Site Hedge Baseline'!$B$1:$L$257,6,FALSE)),"",(VLOOKUP($B22,'B-1 On-Site Hedge Baseline'!$B$1:$L$257,6,FALSE))))</f>
        <v/>
      </c>
      <c r="G22" s="295" t="str">
        <f>IF(B22="","",IF(ISNA(VLOOKUP($B22,'B-1 On-Site Hedge Baseline'!$B$1:$L$257,7,FALSE)),"",(VLOOKUP($B22,'B-1 On-Site Hedge Baseline'!$B$1:$L$257,7,FALSE))))</f>
        <v/>
      </c>
      <c r="H22" s="295" t="str">
        <f>IF(B22="","",IF(ISNA(VLOOKUP($B22,'B-1 On-Site Hedge Baseline'!$B$1:$L$257,8,FALSE)),"",(VLOOKUP($B22,'B-1 On-Site Hedge Baseline'!$B$1:$L$257,8,FALSE))))</f>
        <v/>
      </c>
      <c r="I22" s="295" t="str">
        <f>IF(B22="","",IF(ISNA(VLOOKUP($B22,'B-1 On-Site Hedge Baseline'!$B$1:$L$257,10,FALSE)),"",(VLOOKUP($B22,'B-1 On-Site Hedge Baseline'!$B$1:$L$257,10,FALSE))))</f>
        <v/>
      </c>
      <c r="J22" s="295" t="str">
        <f>IF(B22="","",IF(ISNA(VLOOKUP($B22,'B-1 On-Site Hedge Baseline'!$B$1:$L$257,11,FALSE)),"",(VLOOKUP($B22,'B-1 On-Site Hedge Baseline'!$B$1:$L$257,11,FALSE))))</f>
        <v/>
      </c>
      <c r="K22" s="295" t="str">
        <f>IF(B22="","",IF(ISNA(VLOOKUP($B22,'B-1 On-Site Hedge Baseline'!$B$1:$U$257,13,FALSE)),"",(VLOOKUP($B22,'B-1 On-Site Hedge Baseline'!$B$1:$U$257,13,FALSE))))</f>
        <v/>
      </c>
      <c r="L22" s="299" t="str">
        <f>IF(B22="","",IF(ISNA(VLOOKUP($B22,'B-1 On-Site Hedge Baseline'!$B$1:$U$257,12,FALSE)),"",(VLOOKUP($B22,'B-1 On-Site Hedge Baseline'!$B$1:$U$257,12,FALSE))))</f>
        <v/>
      </c>
      <c r="M22" s="611"/>
      <c r="N22" s="275" t="str">
        <f>IFERROR(IF(B22="","",INDEX('G-6 Hedgerow Data'!$AN$3:$AZ$15,MATCH(C22,'G-6 Hedgerow Data'!$AM$3:$AM$15,0),MATCH(M22,'G-6 Hedgerow Data'!$AN$2:$AZ$2,0))),"")</f>
        <v/>
      </c>
      <c r="O22" s="276" t="str">
        <f t="shared" si="1"/>
        <v/>
      </c>
      <c r="P22" s="329" t="str">
        <f>IF(B22="","",VLOOKUP(B22,'B-1 On-Site Hedge Baseline'!$B$10:T267,16,FALSE))</f>
        <v/>
      </c>
      <c r="Q22" s="275" t="str">
        <f>IF(M22="","",VLOOKUP(M22,'G-6 Hedgerow Data'!$B$2:$AG$15,2,FALSE))</f>
        <v/>
      </c>
      <c r="R22" s="276" t="str">
        <f>IF(M22="","",VLOOKUP(M22,'G-6 Hedgerow Data'!$B$2:$AG$15,3,FALSE))</f>
        <v/>
      </c>
      <c r="S22" s="53"/>
      <c r="T22" s="314" t="str">
        <f>IFERROR(IF(S22="","",IF(AND(M22="Non-native and ornamental hedgerow",S22&lt;&gt;"Poor"),"Not possible ▲",(VLOOKUP(S22,'G-1 All Habitats'!$Z$2:$AA$9,2,FALSE)))),"")</f>
        <v/>
      </c>
      <c r="U22" s="101"/>
      <c r="V22" s="295" t="str">
        <f>IF(U22="","",IF(VLOOKUP(U22,'G-3 Multipliers'!$L$3:$N$6,2,FALSE)=0,"Spatial Data Missing ⚠",VLOOKUP(U22,'G-3 Multipliers'!$L$3:$N$6,2,FALSE)))</f>
        <v/>
      </c>
      <c r="W22" s="299" t="str">
        <f>IF(U22="","",IF(VLOOKUP(U22,'G-3 Multipliers'!$L$3:$N$6,3,FALSE)=0,"Spatial Data Missing ⚠",VLOOKUP(U22,'G-3 Multipliers'!$L$3:$N$6,3,FALSE)))</f>
        <v/>
      </c>
      <c r="X22" s="275" t="str">
        <f>IFERROR(IF(OR(LEFT(O22,5)="Error",LEFT(N22,5)="Error",T22="Error"),"Check Data ⚠",IF(F22&lt;R22,INDEX('G-6 Hedgerow Data'!$S$3:$AE$14,MATCH(C22,'G-6 Hedgerow Data'!$B$3:$B$14,0),MATCH(M22,'G-6 Hedgerow Data'!$S$2:$AE$2,0)),INDEX('G-6 Hedgerow Data'!$K$3:$Q$14,MATCH(M22,'G-6 Hedgerow Data'!$B$3:$B$14,0),MATCH(O22,'G-6 Hedgerow Data'!$K$2:$Q$2,0)))),"")</f>
        <v/>
      </c>
      <c r="Y22" s="133"/>
      <c r="Z22" s="133"/>
      <c r="AA22" s="283" t="str">
        <f t="shared" si="2"/>
        <v/>
      </c>
      <c r="AB22" s="296" t="str">
        <f t="shared" si="3"/>
        <v/>
      </c>
      <c r="AC22" s="297" t="str">
        <f t="shared" si="0"/>
        <v/>
      </c>
      <c r="AD22" s="311" t="str">
        <f>IF(M22="","",VLOOKUP(M22,'G-6 Hedgerow Data'!$B$3:$AG$15,31,FALSE))</f>
        <v/>
      </c>
      <c r="AE22" s="283" t="str">
        <f t="shared" si="4"/>
        <v/>
      </c>
      <c r="AF22" s="283" t="str">
        <f t="shared" si="5"/>
        <v/>
      </c>
      <c r="AG22" s="299" t="str">
        <f>IFERROR(IF(O22="","",VLOOKUP(AD22,'G-3 Multipliers'!$P$3:$Q$6,2,FALSE)),"")</f>
        <v/>
      </c>
      <c r="AH22" s="289" t="str">
        <f t="shared" si="6"/>
        <v/>
      </c>
      <c r="AI22" s="108"/>
      <c r="AJ22" s="115"/>
      <c r="AK22" s="104"/>
      <c r="AT22" s="30" t="str">
        <f>IFERROR(INDEX('G-6 Hedgerow Data'!$BJ$3:$BJ$15,MATCH(M22,'G-6 Hedgerow Data'!$B$3:$B$15,0)),"")</f>
        <v/>
      </c>
    </row>
    <row r="23" spans="2:46" ht="14">
      <c r="B23" s="305" t="str">
        <f>'B-1 On-Site Hedge Baseline'!AK21</f>
        <v/>
      </c>
      <c r="C23" s="295" t="str">
        <f>IF(B23="","",IF(ISNA(VLOOKUP($B23,'B-1 On-Site Hedge Baseline'!$B$1:$L$257,3,FALSE)),"",(VLOOKUP($B23,'B-1 On-Site Hedge Baseline'!$B$1:$L$257,3,FALSE))))</f>
        <v/>
      </c>
      <c r="D23" s="295" t="str">
        <f>IF(B23="","",IF(ISNA(VLOOKUP($B23,'B-1 On-Site Hedge Baseline'!$B$1:$L$257,4,FALSE)),"",(VLOOKUP($B23,'B-1 On-Site Hedge Baseline'!$B$1:$L$257,4,FALSE))))</f>
        <v/>
      </c>
      <c r="E23" s="295" t="str">
        <f>IF(B23="","",IF(ISNA(VLOOKUP($B23,'B-1 On-Site Hedge Baseline'!$B$1:$L$257,5,FALSE)),"",(VLOOKUP($B23,'B-1 On-Site Hedge Baseline'!$B$1:$L$257,5,FALSE))))</f>
        <v/>
      </c>
      <c r="F23" s="295" t="str">
        <f>IF(B23="","",IF(ISNA(VLOOKUP($B23,'B-1 On-Site Hedge Baseline'!$B$1:$L$257,6,FALSE)),"",(VLOOKUP($B23,'B-1 On-Site Hedge Baseline'!$B$1:$L$257,6,FALSE))))</f>
        <v/>
      </c>
      <c r="G23" s="295" t="str">
        <f>IF(B23="","",IF(ISNA(VLOOKUP($B23,'B-1 On-Site Hedge Baseline'!$B$1:$L$257,7,FALSE)),"",(VLOOKUP($B23,'B-1 On-Site Hedge Baseline'!$B$1:$L$257,7,FALSE))))</f>
        <v/>
      </c>
      <c r="H23" s="295" t="str">
        <f>IF(B23="","",IF(ISNA(VLOOKUP($B23,'B-1 On-Site Hedge Baseline'!$B$1:$L$257,8,FALSE)),"",(VLOOKUP($B23,'B-1 On-Site Hedge Baseline'!$B$1:$L$257,8,FALSE))))</f>
        <v/>
      </c>
      <c r="I23" s="295" t="str">
        <f>IF(B23="","",IF(ISNA(VLOOKUP($B23,'B-1 On-Site Hedge Baseline'!$B$1:$L$257,10,FALSE)),"",(VLOOKUP($B23,'B-1 On-Site Hedge Baseline'!$B$1:$L$257,10,FALSE))))</f>
        <v/>
      </c>
      <c r="J23" s="295" t="str">
        <f>IF(B23="","",IF(ISNA(VLOOKUP($B23,'B-1 On-Site Hedge Baseline'!$B$1:$L$257,11,FALSE)),"",(VLOOKUP($B23,'B-1 On-Site Hedge Baseline'!$B$1:$L$257,11,FALSE))))</f>
        <v/>
      </c>
      <c r="K23" s="295" t="str">
        <f>IF(B23="","",IF(ISNA(VLOOKUP($B23,'B-1 On-Site Hedge Baseline'!$B$1:$U$257,13,FALSE)),"",(VLOOKUP($B23,'B-1 On-Site Hedge Baseline'!$B$1:$U$257,13,FALSE))))</f>
        <v/>
      </c>
      <c r="L23" s="299" t="str">
        <f>IF(B23="","",IF(ISNA(VLOOKUP($B23,'B-1 On-Site Hedge Baseline'!$B$1:$U$257,12,FALSE)),"",(VLOOKUP($B23,'B-1 On-Site Hedge Baseline'!$B$1:$U$257,12,FALSE))))</f>
        <v/>
      </c>
      <c r="M23" s="611"/>
      <c r="N23" s="275" t="str">
        <f>IFERROR(IF(B23="","",INDEX('G-6 Hedgerow Data'!$AN$3:$AZ$15,MATCH(C23,'G-6 Hedgerow Data'!$AM$3:$AM$15,0),MATCH(M23,'G-6 Hedgerow Data'!$AN$2:$AZ$2,0))),"")</f>
        <v/>
      </c>
      <c r="O23" s="276" t="str">
        <f t="shared" si="1"/>
        <v/>
      </c>
      <c r="P23" s="329" t="str">
        <f>IF(B23="","",VLOOKUP(B23,'B-1 On-Site Hedge Baseline'!$B$10:T268,16,FALSE))</f>
        <v/>
      </c>
      <c r="Q23" s="275" t="str">
        <f>IF(M23="","",VLOOKUP(M23,'G-6 Hedgerow Data'!$B$2:$AG$15,2,FALSE))</f>
        <v/>
      </c>
      <c r="R23" s="276" t="str">
        <f>IF(M23="","",VLOOKUP(M23,'G-6 Hedgerow Data'!$B$2:$AG$15,3,FALSE))</f>
        <v/>
      </c>
      <c r="S23" s="53"/>
      <c r="T23" s="314" t="str">
        <f>IFERROR(IF(S23="","",IF(AND(M23="Non-native and ornamental hedgerow",S23&lt;&gt;"Poor"),"Not possible ▲",(VLOOKUP(S23,'G-1 All Habitats'!$Z$2:$AA$9,2,FALSE)))),"")</f>
        <v/>
      </c>
      <c r="U23" s="101"/>
      <c r="V23" s="295" t="str">
        <f>IF(U23="","",IF(VLOOKUP(U23,'G-3 Multipliers'!$L$3:$N$6,2,FALSE)=0,"Spatial Data Missing ⚠",VLOOKUP(U23,'G-3 Multipliers'!$L$3:$N$6,2,FALSE)))</f>
        <v/>
      </c>
      <c r="W23" s="299" t="str">
        <f>IF(U23="","",IF(VLOOKUP(U23,'G-3 Multipliers'!$L$3:$N$6,3,FALSE)=0,"Spatial Data Missing ⚠",VLOOKUP(U23,'G-3 Multipliers'!$L$3:$N$6,3,FALSE)))</f>
        <v/>
      </c>
      <c r="X23" s="275" t="str">
        <f>IFERROR(IF(OR(LEFT(O23,5)="Error",LEFT(N23,5)="Error",T23="Error"),"Check Data ⚠",IF(F23&lt;R23,INDEX('G-6 Hedgerow Data'!$S$3:$AE$14,MATCH(C23,'G-6 Hedgerow Data'!$B$3:$B$14,0),MATCH(M23,'G-6 Hedgerow Data'!$S$2:$AE$2,0)),INDEX('G-6 Hedgerow Data'!$K$3:$Q$14,MATCH(M23,'G-6 Hedgerow Data'!$B$3:$B$14,0),MATCH(O23,'G-6 Hedgerow Data'!$K$2:$Q$2,0)))),"")</f>
        <v/>
      </c>
      <c r="Y23" s="133"/>
      <c r="Z23" s="133"/>
      <c r="AA23" s="283" t="str">
        <f t="shared" si="2"/>
        <v/>
      </c>
      <c r="AB23" s="296" t="str">
        <f t="shared" si="3"/>
        <v/>
      </c>
      <c r="AC23" s="297" t="str">
        <f t="shared" si="0"/>
        <v/>
      </c>
      <c r="AD23" s="311" t="str">
        <f>IF(M23="","",VLOOKUP(M23,'G-6 Hedgerow Data'!$B$3:$AG$15,31,FALSE))</f>
        <v/>
      </c>
      <c r="AE23" s="283" t="str">
        <f t="shared" si="4"/>
        <v/>
      </c>
      <c r="AF23" s="283" t="str">
        <f t="shared" si="5"/>
        <v/>
      </c>
      <c r="AG23" s="299" t="str">
        <f>IFERROR(IF(O23="","",VLOOKUP(AD23,'G-3 Multipliers'!$P$3:$Q$6,2,FALSE)),"")</f>
        <v/>
      </c>
      <c r="AH23" s="289" t="str">
        <f t="shared" si="6"/>
        <v/>
      </c>
      <c r="AI23" s="108"/>
      <c r="AJ23" s="115"/>
      <c r="AK23" s="104"/>
      <c r="AT23" s="30" t="str">
        <f>IFERROR(INDEX('G-6 Hedgerow Data'!$BJ$3:$BJ$15,MATCH(M23,'G-6 Hedgerow Data'!$B$3:$B$15,0)),"")</f>
        <v/>
      </c>
    </row>
    <row r="24" spans="2:46" ht="14">
      <c r="B24" s="305" t="str">
        <f>'B-1 On-Site Hedge Baseline'!AK22</f>
        <v/>
      </c>
      <c r="C24" s="295" t="str">
        <f>IF(B24="","",IF(ISNA(VLOOKUP($B24,'B-1 On-Site Hedge Baseline'!$B$1:$L$257,3,FALSE)),"",(VLOOKUP($B24,'B-1 On-Site Hedge Baseline'!$B$1:$L$257,3,FALSE))))</f>
        <v/>
      </c>
      <c r="D24" s="295" t="str">
        <f>IF(B24="","",IF(ISNA(VLOOKUP($B24,'B-1 On-Site Hedge Baseline'!$B$1:$L$257,4,FALSE)),"",(VLOOKUP($B24,'B-1 On-Site Hedge Baseline'!$B$1:$L$257,4,FALSE))))</f>
        <v/>
      </c>
      <c r="E24" s="295" t="str">
        <f>IF(B24="","",IF(ISNA(VLOOKUP($B24,'B-1 On-Site Hedge Baseline'!$B$1:$L$257,5,FALSE)),"",(VLOOKUP($B24,'B-1 On-Site Hedge Baseline'!$B$1:$L$257,5,FALSE))))</f>
        <v/>
      </c>
      <c r="F24" s="295" t="str">
        <f>IF(B24="","",IF(ISNA(VLOOKUP($B24,'B-1 On-Site Hedge Baseline'!$B$1:$L$257,6,FALSE)),"",(VLOOKUP($B24,'B-1 On-Site Hedge Baseline'!$B$1:$L$257,6,FALSE))))</f>
        <v/>
      </c>
      <c r="G24" s="295" t="str">
        <f>IF(B24="","",IF(ISNA(VLOOKUP($B24,'B-1 On-Site Hedge Baseline'!$B$1:$L$257,7,FALSE)),"",(VLOOKUP($B24,'B-1 On-Site Hedge Baseline'!$B$1:$L$257,7,FALSE))))</f>
        <v/>
      </c>
      <c r="H24" s="295" t="str">
        <f>IF(B24="","",IF(ISNA(VLOOKUP($B24,'B-1 On-Site Hedge Baseline'!$B$1:$L$257,8,FALSE)),"",(VLOOKUP($B24,'B-1 On-Site Hedge Baseline'!$B$1:$L$257,8,FALSE))))</f>
        <v/>
      </c>
      <c r="I24" s="295" t="str">
        <f>IF(B24="","",IF(ISNA(VLOOKUP($B24,'B-1 On-Site Hedge Baseline'!$B$1:$L$257,10,FALSE)),"",(VLOOKUP($B24,'B-1 On-Site Hedge Baseline'!$B$1:$L$257,10,FALSE))))</f>
        <v/>
      </c>
      <c r="J24" s="295" t="str">
        <f>IF(B24="","",IF(ISNA(VLOOKUP($B24,'B-1 On-Site Hedge Baseline'!$B$1:$L$257,11,FALSE)),"",(VLOOKUP($B24,'B-1 On-Site Hedge Baseline'!$B$1:$L$257,11,FALSE))))</f>
        <v/>
      </c>
      <c r="K24" s="295" t="str">
        <f>IF(B24="","",IF(ISNA(VLOOKUP($B24,'B-1 On-Site Hedge Baseline'!$B$1:$U$257,13,FALSE)),"",(VLOOKUP($B24,'B-1 On-Site Hedge Baseline'!$B$1:$U$257,13,FALSE))))</f>
        <v/>
      </c>
      <c r="L24" s="299" t="str">
        <f>IF(B24="","",IF(ISNA(VLOOKUP($B24,'B-1 On-Site Hedge Baseline'!$B$1:$U$257,12,FALSE)),"",(VLOOKUP($B24,'B-1 On-Site Hedge Baseline'!$B$1:$U$257,12,FALSE))))</f>
        <v/>
      </c>
      <c r="M24" s="611"/>
      <c r="N24" s="275" t="str">
        <f>IFERROR(IF(B24="","",INDEX('G-6 Hedgerow Data'!$AN$3:$AZ$15,MATCH(C24,'G-6 Hedgerow Data'!$AM$3:$AM$15,0),MATCH(M24,'G-6 Hedgerow Data'!$AN$2:$AZ$2,0))),"")</f>
        <v/>
      </c>
      <c r="O24" s="276" t="str">
        <f t="shared" si="1"/>
        <v/>
      </c>
      <c r="P24" s="329" t="str">
        <f>IF(B24="","",VLOOKUP(B24,'B-1 On-Site Hedge Baseline'!$B$10:T269,16,FALSE))</f>
        <v/>
      </c>
      <c r="Q24" s="275" t="str">
        <f>IF(M24="","",VLOOKUP(M24,'G-6 Hedgerow Data'!$B$2:$AG$15,2,FALSE))</f>
        <v/>
      </c>
      <c r="R24" s="276" t="str">
        <f>IF(M24="","",VLOOKUP(M24,'G-6 Hedgerow Data'!$B$2:$AG$15,3,FALSE))</f>
        <v/>
      </c>
      <c r="S24" s="101"/>
      <c r="T24" s="314" t="str">
        <f>IFERROR(IF(S24="","",IF(AND(M24="Non-native and ornamental hedgerow",S24&lt;&gt;"Poor"),"Not possible ▲",(VLOOKUP(S24,'G-1 All Habitats'!$Z$2:$AA$9,2,FALSE)))),"")</f>
        <v/>
      </c>
      <c r="U24" s="101"/>
      <c r="V24" s="295" t="str">
        <f>IF(U24="","",IF(VLOOKUP(U24,'G-3 Multipliers'!$L$3:$N$6,2,FALSE)=0,"Spatial Data Missing ⚠",VLOOKUP(U24,'G-3 Multipliers'!$L$3:$N$6,2,FALSE)))</f>
        <v/>
      </c>
      <c r="W24" s="299" t="str">
        <f>IF(U24="","",IF(VLOOKUP(U24,'G-3 Multipliers'!$L$3:$N$6,3,FALSE)=0,"Spatial Data Missing ⚠",VLOOKUP(U24,'G-3 Multipliers'!$L$3:$N$6,3,FALSE)))</f>
        <v/>
      </c>
      <c r="X24" s="275" t="str">
        <f>IFERROR(IF(OR(LEFT(O24,5)="Error",LEFT(N24,5)="Error",T24="Error"),"Check Data ⚠",IF(F24&lt;R24,INDEX('G-6 Hedgerow Data'!$S$3:$AE$14,MATCH(C24,'G-6 Hedgerow Data'!$B$3:$B$14,0),MATCH(M24,'G-6 Hedgerow Data'!$S$2:$AE$2,0)),INDEX('G-6 Hedgerow Data'!$K$3:$Q$14,MATCH(M24,'G-6 Hedgerow Data'!$B$3:$B$14,0),MATCH(O24,'G-6 Hedgerow Data'!$K$2:$Q$2,0)))),"")</f>
        <v/>
      </c>
      <c r="Y24" s="133"/>
      <c r="Z24" s="133"/>
      <c r="AA24" s="283" t="str">
        <f t="shared" si="2"/>
        <v/>
      </c>
      <c r="AB24" s="296" t="str">
        <f t="shared" si="3"/>
        <v/>
      </c>
      <c r="AC24" s="297" t="str">
        <f t="shared" si="0"/>
        <v/>
      </c>
      <c r="AD24" s="311" t="str">
        <f>IF(M24="","",VLOOKUP(M24,'G-6 Hedgerow Data'!$B$3:$AG$15,31,FALSE))</f>
        <v/>
      </c>
      <c r="AE24" s="283" t="str">
        <f t="shared" si="4"/>
        <v/>
      </c>
      <c r="AF24" s="283" t="str">
        <f t="shared" si="5"/>
        <v/>
      </c>
      <c r="AG24" s="299" t="str">
        <f>IFERROR(IF(O24="","",VLOOKUP(AD24,'G-3 Multipliers'!$P$3:$Q$6,2,FALSE)),"")</f>
        <v/>
      </c>
      <c r="AH24" s="289" t="str">
        <f t="shared" si="6"/>
        <v/>
      </c>
      <c r="AI24" s="108"/>
      <c r="AJ24" s="115"/>
      <c r="AK24" s="104"/>
      <c r="AT24" s="30" t="str">
        <f>IFERROR(INDEX('G-6 Hedgerow Data'!$BJ$3:$BJ$15,MATCH(M24,'G-6 Hedgerow Data'!$B$3:$B$15,0)),"")</f>
        <v/>
      </c>
    </row>
    <row r="25" spans="2:46" ht="14">
      <c r="B25" s="305" t="str">
        <f>'B-1 On-Site Hedge Baseline'!AK23</f>
        <v/>
      </c>
      <c r="C25" s="295" t="str">
        <f>IF(B25="","",IF(ISNA(VLOOKUP($B25,'B-1 On-Site Hedge Baseline'!$B$1:$L$257,3,FALSE)),"",(VLOOKUP($B25,'B-1 On-Site Hedge Baseline'!$B$1:$L$257,3,FALSE))))</f>
        <v/>
      </c>
      <c r="D25" s="295" t="str">
        <f>IF(B25="","",IF(ISNA(VLOOKUP($B25,'B-1 On-Site Hedge Baseline'!$B$1:$L$257,4,FALSE)),"",(VLOOKUP($B25,'B-1 On-Site Hedge Baseline'!$B$1:$L$257,4,FALSE))))</f>
        <v/>
      </c>
      <c r="E25" s="295" t="str">
        <f>IF(B25="","",IF(ISNA(VLOOKUP($B25,'B-1 On-Site Hedge Baseline'!$B$1:$L$257,5,FALSE)),"",(VLOOKUP($B25,'B-1 On-Site Hedge Baseline'!$B$1:$L$257,5,FALSE))))</f>
        <v/>
      </c>
      <c r="F25" s="295" t="str">
        <f>IF(B25="","",IF(ISNA(VLOOKUP($B25,'B-1 On-Site Hedge Baseline'!$B$1:$L$257,6,FALSE)),"",(VLOOKUP($B25,'B-1 On-Site Hedge Baseline'!$B$1:$L$257,6,FALSE))))</f>
        <v/>
      </c>
      <c r="G25" s="295" t="str">
        <f>IF(B25="","",IF(ISNA(VLOOKUP($B25,'B-1 On-Site Hedge Baseline'!$B$1:$L$257,7,FALSE)),"",(VLOOKUP($B25,'B-1 On-Site Hedge Baseline'!$B$1:$L$257,7,FALSE))))</f>
        <v/>
      </c>
      <c r="H25" s="295" t="str">
        <f>IF(B25="","",IF(ISNA(VLOOKUP($B25,'B-1 On-Site Hedge Baseline'!$B$1:$L$257,8,FALSE)),"",(VLOOKUP($B25,'B-1 On-Site Hedge Baseline'!$B$1:$L$257,8,FALSE))))</f>
        <v/>
      </c>
      <c r="I25" s="295" t="str">
        <f>IF(B25="","",IF(ISNA(VLOOKUP($B25,'B-1 On-Site Hedge Baseline'!$B$1:$L$257,10,FALSE)),"",(VLOOKUP($B25,'B-1 On-Site Hedge Baseline'!$B$1:$L$257,10,FALSE))))</f>
        <v/>
      </c>
      <c r="J25" s="295" t="str">
        <f>IF(B25="","",IF(ISNA(VLOOKUP($B25,'B-1 On-Site Hedge Baseline'!$B$1:$L$257,11,FALSE)),"",(VLOOKUP($B25,'B-1 On-Site Hedge Baseline'!$B$1:$L$257,11,FALSE))))</f>
        <v/>
      </c>
      <c r="K25" s="295" t="str">
        <f>IF(B25="","",IF(ISNA(VLOOKUP($B25,'B-1 On-Site Hedge Baseline'!$B$1:$U$257,13,FALSE)),"",(VLOOKUP($B25,'B-1 On-Site Hedge Baseline'!$B$1:$U$257,13,FALSE))))</f>
        <v/>
      </c>
      <c r="L25" s="299" t="str">
        <f>IF(B25="","",IF(ISNA(VLOOKUP($B25,'B-1 On-Site Hedge Baseline'!$B$1:$U$257,12,FALSE)),"",(VLOOKUP($B25,'B-1 On-Site Hedge Baseline'!$B$1:$U$257,12,FALSE))))</f>
        <v/>
      </c>
      <c r="M25" s="611"/>
      <c r="N25" s="275" t="str">
        <f>IFERROR(IF(B25="","",INDEX('G-6 Hedgerow Data'!$AN$3:$AZ$15,MATCH(C25,'G-6 Hedgerow Data'!$AM$3:$AM$15,0),MATCH(M25,'G-6 Hedgerow Data'!$AN$2:$AZ$2,0))),"")</f>
        <v/>
      </c>
      <c r="O25" s="276" t="str">
        <f t="shared" si="1"/>
        <v/>
      </c>
      <c r="P25" s="329" t="str">
        <f>IF(B25="","",VLOOKUP(B25,'B-1 On-Site Hedge Baseline'!$B$10:T270,16,FALSE))</f>
        <v/>
      </c>
      <c r="Q25" s="275" t="str">
        <f>IF(M25="","",VLOOKUP(M25,'G-6 Hedgerow Data'!$B$2:$AG$15,2,FALSE))</f>
        <v/>
      </c>
      <c r="R25" s="276" t="str">
        <f>IF(M25="","",VLOOKUP(M25,'G-6 Hedgerow Data'!$B$2:$AG$15,3,FALSE))</f>
        <v/>
      </c>
      <c r="S25" s="101"/>
      <c r="T25" s="314" t="str">
        <f>IFERROR(IF(S25="","",IF(AND(M25="Non-native and ornamental hedgerow",S25&lt;&gt;"Poor"),"Not possible ▲",(VLOOKUP(S25,'G-1 All Habitats'!$Z$2:$AA$9,2,FALSE)))),"")</f>
        <v/>
      </c>
      <c r="U25" s="101"/>
      <c r="V25" s="295" t="str">
        <f>IF(U25="","",IF(VLOOKUP(U25,'G-3 Multipliers'!$L$3:$N$6,2,FALSE)=0,"Spatial Data Missing ⚠",VLOOKUP(U25,'G-3 Multipliers'!$L$3:$N$6,2,FALSE)))</f>
        <v/>
      </c>
      <c r="W25" s="299" t="str">
        <f>IF(U25="","",IF(VLOOKUP(U25,'G-3 Multipliers'!$L$3:$N$6,3,FALSE)=0,"Spatial Data Missing ⚠",VLOOKUP(U25,'G-3 Multipliers'!$L$3:$N$6,3,FALSE)))</f>
        <v/>
      </c>
      <c r="X25" s="275" t="str">
        <f>IFERROR(IF(OR(LEFT(O25,5)="Error",LEFT(N25,5)="Error",T25="Error"),"Check Data ⚠",IF(F25&lt;R25,INDEX('G-6 Hedgerow Data'!$S$3:$AE$14,MATCH(C25,'G-6 Hedgerow Data'!$B$3:$B$14,0),MATCH(M25,'G-6 Hedgerow Data'!$S$2:$AE$2,0)),INDEX('G-6 Hedgerow Data'!$K$3:$Q$14,MATCH(M25,'G-6 Hedgerow Data'!$B$3:$B$14,0),MATCH(O25,'G-6 Hedgerow Data'!$K$2:$Q$2,0)))),"")</f>
        <v/>
      </c>
      <c r="Y25" s="133"/>
      <c r="Z25" s="133"/>
      <c r="AA25" s="283" t="str">
        <f t="shared" si="2"/>
        <v/>
      </c>
      <c r="AB25" s="296" t="str">
        <f t="shared" si="3"/>
        <v/>
      </c>
      <c r="AC25" s="297" t="str">
        <f t="shared" si="0"/>
        <v/>
      </c>
      <c r="AD25" s="311" t="str">
        <f>IF(M25="","",VLOOKUP(M25,'G-6 Hedgerow Data'!$B$3:$AG$15,31,FALSE))</f>
        <v/>
      </c>
      <c r="AE25" s="283" t="str">
        <f t="shared" si="4"/>
        <v/>
      </c>
      <c r="AF25" s="283" t="str">
        <f t="shared" si="5"/>
        <v/>
      </c>
      <c r="AG25" s="299" t="str">
        <f>IFERROR(IF(O25="","",VLOOKUP(AD25,'G-3 Multipliers'!$P$3:$Q$6,2,FALSE)),"")</f>
        <v/>
      </c>
      <c r="AH25" s="289" t="str">
        <f t="shared" si="6"/>
        <v/>
      </c>
      <c r="AI25" s="108"/>
      <c r="AJ25" s="115"/>
      <c r="AK25" s="104"/>
      <c r="AT25" s="30" t="str">
        <f>IFERROR(INDEX('G-6 Hedgerow Data'!$BJ$3:$BJ$15,MATCH(M25,'G-6 Hedgerow Data'!$B$3:$B$15,0)),"")</f>
        <v/>
      </c>
    </row>
    <row r="26" spans="2:46" ht="14">
      <c r="B26" s="305" t="str">
        <f>'B-1 On-Site Hedge Baseline'!AK24</f>
        <v/>
      </c>
      <c r="C26" s="295" t="str">
        <f>IF(B26="","",IF(ISNA(VLOOKUP($B26,'B-1 On-Site Hedge Baseline'!$B$1:$L$257,3,FALSE)),"",(VLOOKUP($B26,'B-1 On-Site Hedge Baseline'!$B$1:$L$257,3,FALSE))))</f>
        <v/>
      </c>
      <c r="D26" s="295" t="str">
        <f>IF(B26="","",IF(ISNA(VLOOKUP($B26,'B-1 On-Site Hedge Baseline'!$B$1:$L$257,4,FALSE)),"",(VLOOKUP($B26,'B-1 On-Site Hedge Baseline'!$B$1:$L$257,4,FALSE))))</f>
        <v/>
      </c>
      <c r="E26" s="295" t="str">
        <f>IF(B26="","",IF(ISNA(VLOOKUP($B26,'B-1 On-Site Hedge Baseline'!$B$1:$L$257,5,FALSE)),"",(VLOOKUP($B26,'B-1 On-Site Hedge Baseline'!$B$1:$L$257,5,FALSE))))</f>
        <v/>
      </c>
      <c r="F26" s="295" t="str">
        <f>IF(B26="","",IF(ISNA(VLOOKUP($B26,'B-1 On-Site Hedge Baseline'!$B$1:$L$257,6,FALSE)),"",(VLOOKUP($B26,'B-1 On-Site Hedge Baseline'!$B$1:$L$257,6,FALSE))))</f>
        <v/>
      </c>
      <c r="G26" s="295" t="str">
        <f>IF(B26="","",IF(ISNA(VLOOKUP($B26,'B-1 On-Site Hedge Baseline'!$B$1:$L$257,7,FALSE)),"",(VLOOKUP($B26,'B-1 On-Site Hedge Baseline'!$B$1:$L$257,7,FALSE))))</f>
        <v/>
      </c>
      <c r="H26" s="295" t="str">
        <f>IF(B26="","",IF(ISNA(VLOOKUP($B26,'B-1 On-Site Hedge Baseline'!$B$1:$L$257,8,FALSE)),"",(VLOOKUP($B26,'B-1 On-Site Hedge Baseline'!$B$1:$L$257,8,FALSE))))</f>
        <v/>
      </c>
      <c r="I26" s="295" t="str">
        <f>IF(B26="","",IF(ISNA(VLOOKUP($B26,'B-1 On-Site Hedge Baseline'!$B$1:$L$257,10,FALSE)),"",(VLOOKUP($B26,'B-1 On-Site Hedge Baseline'!$B$1:$L$257,10,FALSE))))</f>
        <v/>
      </c>
      <c r="J26" s="295" t="str">
        <f>IF(B26="","",IF(ISNA(VLOOKUP($B26,'B-1 On-Site Hedge Baseline'!$B$1:$L$257,11,FALSE)),"",(VLOOKUP($B26,'B-1 On-Site Hedge Baseline'!$B$1:$L$257,11,FALSE))))</f>
        <v/>
      </c>
      <c r="K26" s="295" t="str">
        <f>IF(B26="","",IF(ISNA(VLOOKUP($B26,'B-1 On-Site Hedge Baseline'!$B$1:$U$257,13,FALSE)),"",(VLOOKUP($B26,'B-1 On-Site Hedge Baseline'!$B$1:$U$257,13,FALSE))))</f>
        <v/>
      </c>
      <c r="L26" s="299" t="str">
        <f>IF(B26="","",IF(ISNA(VLOOKUP($B26,'B-1 On-Site Hedge Baseline'!$B$1:$U$257,12,FALSE)),"",(VLOOKUP($B26,'B-1 On-Site Hedge Baseline'!$B$1:$U$257,12,FALSE))))</f>
        <v/>
      </c>
      <c r="M26" s="611"/>
      <c r="N26" s="275" t="str">
        <f>IFERROR(IF(B26="","",INDEX('G-6 Hedgerow Data'!$AN$3:$AZ$15,MATCH(C26,'G-6 Hedgerow Data'!$AM$3:$AM$15,0),MATCH(M26,'G-6 Hedgerow Data'!$AN$2:$AZ$2,0))),"")</f>
        <v/>
      </c>
      <c r="O26" s="276" t="str">
        <f t="shared" si="1"/>
        <v/>
      </c>
      <c r="P26" s="329" t="str">
        <f>IF(B26="","",VLOOKUP(B26,'B-1 On-Site Hedge Baseline'!$B$10:T271,16,FALSE))</f>
        <v/>
      </c>
      <c r="Q26" s="275" t="str">
        <f>IF(M26="","",VLOOKUP(M26,'G-6 Hedgerow Data'!$B$2:$AG$15,2,FALSE))</f>
        <v/>
      </c>
      <c r="R26" s="276" t="str">
        <f>IF(M26="","",VLOOKUP(M26,'G-6 Hedgerow Data'!$B$2:$AG$15,3,FALSE))</f>
        <v/>
      </c>
      <c r="S26" s="101"/>
      <c r="T26" s="314" t="str">
        <f>IFERROR(IF(S26="","",IF(AND(M26="Non-native and ornamental hedgerow",S26&lt;&gt;"Poor"),"Not possible ▲",(VLOOKUP(S26,'G-1 All Habitats'!$Z$2:$AA$9,2,FALSE)))),"")</f>
        <v/>
      </c>
      <c r="U26" s="101"/>
      <c r="V26" s="295" t="str">
        <f>IF(U26="","",IF(VLOOKUP(U26,'G-3 Multipliers'!$L$3:$N$6,2,FALSE)=0,"Spatial Data Missing ⚠",VLOOKUP(U26,'G-3 Multipliers'!$L$3:$N$6,2,FALSE)))</f>
        <v/>
      </c>
      <c r="W26" s="299" t="str">
        <f>IF(U26="","",IF(VLOOKUP(U26,'G-3 Multipliers'!$L$3:$N$6,3,FALSE)=0,"Spatial Data Missing ⚠",VLOOKUP(U26,'G-3 Multipliers'!$L$3:$N$6,3,FALSE)))</f>
        <v/>
      </c>
      <c r="X26" s="275" t="str">
        <f>IFERROR(IF(OR(LEFT(O26,5)="Error",LEFT(N26,5)="Error",T26="Error"),"Check Data ⚠",IF(F26&lt;R26,INDEX('G-6 Hedgerow Data'!$S$3:$AE$14,MATCH(C26,'G-6 Hedgerow Data'!$B$3:$B$14,0),MATCH(M26,'G-6 Hedgerow Data'!$S$2:$AE$2,0)),INDEX('G-6 Hedgerow Data'!$K$3:$Q$14,MATCH(M26,'G-6 Hedgerow Data'!$B$3:$B$14,0),MATCH(O26,'G-6 Hedgerow Data'!$K$2:$Q$2,0)))),"")</f>
        <v/>
      </c>
      <c r="Y26" s="133"/>
      <c r="Z26" s="133"/>
      <c r="AA26" s="283" t="str">
        <f t="shared" si="2"/>
        <v/>
      </c>
      <c r="AB26" s="296" t="str">
        <f t="shared" si="3"/>
        <v/>
      </c>
      <c r="AC26" s="297" t="str">
        <f t="shared" si="0"/>
        <v/>
      </c>
      <c r="AD26" s="311" t="str">
        <f>IF(M26="","",VLOOKUP(M26,'G-6 Hedgerow Data'!$B$3:$AG$15,31,FALSE))</f>
        <v/>
      </c>
      <c r="AE26" s="283" t="str">
        <f t="shared" si="4"/>
        <v/>
      </c>
      <c r="AF26" s="283" t="str">
        <f t="shared" si="5"/>
        <v/>
      </c>
      <c r="AG26" s="299" t="str">
        <f>IFERROR(IF(O26="","",VLOOKUP(AD26,'G-3 Multipliers'!$P$3:$Q$6,2,FALSE)),"")</f>
        <v/>
      </c>
      <c r="AH26" s="289" t="str">
        <f t="shared" si="6"/>
        <v/>
      </c>
      <c r="AI26" s="108"/>
      <c r="AJ26" s="115"/>
      <c r="AK26" s="104"/>
      <c r="AT26" s="30" t="str">
        <f>IFERROR(INDEX('G-6 Hedgerow Data'!$BJ$3:$BJ$15,MATCH(M26,'G-6 Hedgerow Data'!$B$3:$B$15,0)),"")</f>
        <v/>
      </c>
    </row>
    <row r="27" spans="2:46" ht="14">
      <c r="B27" s="305" t="str">
        <f>'B-1 On-Site Hedge Baseline'!AK25</f>
        <v/>
      </c>
      <c r="C27" s="295" t="str">
        <f>IF(B27="","",IF(ISNA(VLOOKUP($B27,'B-1 On-Site Hedge Baseline'!$B$1:$L$257,3,FALSE)),"",(VLOOKUP($B27,'B-1 On-Site Hedge Baseline'!$B$1:$L$257,3,FALSE))))</f>
        <v/>
      </c>
      <c r="D27" s="295" t="str">
        <f>IF(B27="","",IF(ISNA(VLOOKUP($B27,'B-1 On-Site Hedge Baseline'!$B$1:$L$257,4,FALSE)),"",(VLOOKUP($B27,'B-1 On-Site Hedge Baseline'!$B$1:$L$257,4,FALSE))))</f>
        <v/>
      </c>
      <c r="E27" s="295" t="str">
        <f>IF(B27="","",IF(ISNA(VLOOKUP($B27,'B-1 On-Site Hedge Baseline'!$B$1:$L$257,5,FALSE)),"",(VLOOKUP($B27,'B-1 On-Site Hedge Baseline'!$B$1:$L$257,5,FALSE))))</f>
        <v/>
      </c>
      <c r="F27" s="295" t="str">
        <f>IF(B27="","",IF(ISNA(VLOOKUP($B27,'B-1 On-Site Hedge Baseline'!$B$1:$L$257,6,FALSE)),"",(VLOOKUP($B27,'B-1 On-Site Hedge Baseline'!$B$1:$L$257,6,FALSE))))</f>
        <v/>
      </c>
      <c r="G27" s="295" t="str">
        <f>IF(B27="","",IF(ISNA(VLOOKUP($B27,'B-1 On-Site Hedge Baseline'!$B$1:$L$257,7,FALSE)),"",(VLOOKUP($B27,'B-1 On-Site Hedge Baseline'!$B$1:$L$257,7,FALSE))))</f>
        <v/>
      </c>
      <c r="H27" s="295" t="str">
        <f>IF(B27="","",IF(ISNA(VLOOKUP($B27,'B-1 On-Site Hedge Baseline'!$B$1:$L$257,8,FALSE)),"",(VLOOKUP($B27,'B-1 On-Site Hedge Baseline'!$B$1:$L$257,8,FALSE))))</f>
        <v/>
      </c>
      <c r="I27" s="295" t="str">
        <f>IF(B27="","",IF(ISNA(VLOOKUP($B27,'B-1 On-Site Hedge Baseline'!$B$1:$L$257,10,FALSE)),"",(VLOOKUP($B27,'B-1 On-Site Hedge Baseline'!$B$1:$L$257,10,FALSE))))</f>
        <v/>
      </c>
      <c r="J27" s="295" t="str">
        <f>IF(B27="","",IF(ISNA(VLOOKUP($B27,'B-1 On-Site Hedge Baseline'!$B$1:$L$257,11,FALSE)),"",(VLOOKUP($B27,'B-1 On-Site Hedge Baseline'!$B$1:$L$257,11,FALSE))))</f>
        <v/>
      </c>
      <c r="K27" s="295" t="str">
        <f>IF(B27="","",IF(ISNA(VLOOKUP($B27,'B-1 On-Site Hedge Baseline'!$B$1:$U$257,13,FALSE)),"",(VLOOKUP($B27,'B-1 On-Site Hedge Baseline'!$B$1:$U$257,13,FALSE))))</f>
        <v/>
      </c>
      <c r="L27" s="299" t="str">
        <f>IF(B27="","",IF(ISNA(VLOOKUP($B27,'B-1 On-Site Hedge Baseline'!$B$1:$U$257,12,FALSE)),"",(VLOOKUP($B27,'B-1 On-Site Hedge Baseline'!$B$1:$U$257,12,FALSE))))</f>
        <v/>
      </c>
      <c r="M27" s="611"/>
      <c r="N27" s="275" t="str">
        <f>IFERROR(IF(B27="","",INDEX('G-6 Hedgerow Data'!$AN$3:$AZ$15,MATCH(C27,'G-6 Hedgerow Data'!$AM$3:$AM$15,0),MATCH(M27,'G-6 Hedgerow Data'!$AN$2:$AZ$2,0))),"")</f>
        <v/>
      </c>
      <c r="O27" s="276" t="str">
        <f t="shared" si="1"/>
        <v/>
      </c>
      <c r="P27" s="329" t="str">
        <f>IF(B27="","",VLOOKUP(B27,'B-1 On-Site Hedge Baseline'!$B$10:T272,16,FALSE))</f>
        <v/>
      </c>
      <c r="Q27" s="275" t="str">
        <f>IF(M27="","",VLOOKUP(M27,'G-6 Hedgerow Data'!$B$2:$AG$15,2,FALSE))</f>
        <v/>
      </c>
      <c r="R27" s="276" t="str">
        <f>IF(M27="","",VLOOKUP(M27,'G-6 Hedgerow Data'!$B$2:$AG$15,3,FALSE))</f>
        <v/>
      </c>
      <c r="S27" s="101"/>
      <c r="T27" s="314" t="str">
        <f>IFERROR(IF(S27="","",IF(AND(M27="Non-native and ornamental hedgerow",S27&lt;&gt;"Poor"),"Not possible ▲",(VLOOKUP(S27,'G-1 All Habitats'!$Z$2:$AA$9,2,FALSE)))),"")</f>
        <v/>
      </c>
      <c r="U27" s="101"/>
      <c r="V27" s="295" t="str">
        <f>IF(U27="","",IF(VLOOKUP(U27,'G-3 Multipliers'!$L$3:$N$6,2,FALSE)=0,"Spatial Data Missing ⚠",VLOOKUP(U27,'G-3 Multipliers'!$L$3:$N$6,2,FALSE)))</f>
        <v/>
      </c>
      <c r="W27" s="299" t="str">
        <f>IF(U27="","",IF(VLOOKUP(U27,'G-3 Multipliers'!$L$3:$N$6,3,FALSE)=0,"Spatial Data Missing ⚠",VLOOKUP(U27,'G-3 Multipliers'!$L$3:$N$6,3,FALSE)))</f>
        <v/>
      </c>
      <c r="X27" s="275" t="str">
        <f>IFERROR(IF(OR(LEFT(O27,5)="Error",LEFT(N27,5)="Error",T27="Error"),"Check Data ⚠",IF(F27&lt;R27,INDEX('G-6 Hedgerow Data'!$S$3:$AE$14,MATCH(C27,'G-6 Hedgerow Data'!$B$3:$B$14,0),MATCH(M27,'G-6 Hedgerow Data'!$S$2:$AE$2,0)),INDEX('G-6 Hedgerow Data'!$K$3:$Q$14,MATCH(M27,'G-6 Hedgerow Data'!$B$3:$B$14,0),MATCH(O27,'G-6 Hedgerow Data'!$K$2:$Q$2,0)))),"")</f>
        <v/>
      </c>
      <c r="Y27" s="133"/>
      <c r="Z27" s="133"/>
      <c r="AA27" s="283" t="str">
        <f t="shared" si="2"/>
        <v/>
      </c>
      <c r="AB27" s="296" t="str">
        <f t="shared" si="3"/>
        <v/>
      </c>
      <c r="AC27" s="297" t="str">
        <f t="shared" si="0"/>
        <v/>
      </c>
      <c r="AD27" s="311" t="str">
        <f>IF(M27="","",VLOOKUP(M27,'G-6 Hedgerow Data'!$B$3:$AG$15,31,FALSE))</f>
        <v/>
      </c>
      <c r="AE27" s="283" t="str">
        <f t="shared" si="4"/>
        <v/>
      </c>
      <c r="AF27" s="283" t="str">
        <f t="shared" si="5"/>
        <v/>
      </c>
      <c r="AG27" s="299" t="str">
        <f>IFERROR(IF(O27="","",VLOOKUP(AD27,'G-3 Multipliers'!$P$3:$Q$6,2,FALSE)),"")</f>
        <v/>
      </c>
      <c r="AH27" s="289" t="str">
        <f t="shared" si="6"/>
        <v/>
      </c>
      <c r="AI27" s="108"/>
      <c r="AJ27" s="115"/>
      <c r="AK27" s="104"/>
      <c r="AT27" s="30" t="str">
        <f>IFERROR(INDEX('G-6 Hedgerow Data'!$BJ$3:$BJ$15,MATCH(M27,'G-6 Hedgerow Data'!$B$3:$B$15,0)),"")</f>
        <v/>
      </c>
    </row>
    <row r="28" spans="2:46" ht="14">
      <c r="B28" s="305" t="str">
        <f>'B-1 On-Site Hedge Baseline'!AK26</f>
        <v/>
      </c>
      <c r="C28" s="295" t="str">
        <f>IF(B28="","",IF(ISNA(VLOOKUP($B28,'B-1 On-Site Hedge Baseline'!$B$1:$L$257,3,FALSE)),"",(VLOOKUP($B28,'B-1 On-Site Hedge Baseline'!$B$1:$L$257,3,FALSE))))</f>
        <v/>
      </c>
      <c r="D28" s="295" t="str">
        <f>IF(B28="","",IF(ISNA(VLOOKUP($B28,'B-1 On-Site Hedge Baseline'!$B$1:$L$257,4,FALSE)),"",(VLOOKUP($B28,'B-1 On-Site Hedge Baseline'!$B$1:$L$257,4,FALSE))))</f>
        <v/>
      </c>
      <c r="E28" s="295" t="str">
        <f>IF(B28="","",IF(ISNA(VLOOKUP($B28,'B-1 On-Site Hedge Baseline'!$B$1:$L$257,5,FALSE)),"",(VLOOKUP($B28,'B-1 On-Site Hedge Baseline'!$B$1:$L$257,5,FALSE))))</f>
        <v/>
      </c>
      <c r="F28" s="295" t="str">
        <f>IF(B28="","",IF(ISNA(VLOOKUP($B28,'B-1 On-Site Hedge Baseline'!$B$1:$L$257,6,FALSE)),"",(VLOOKUP($B28,'B-1 On-Site Hedge Baseline'!$B$1:$L$257,6,FALSE))))</f>
        <v/>
      </c>
      <c r="G28" s="295" t="str">
        <f>IF(B28="","",IF(ISNA(VLOOKUP($B28,'B-1 On-Site Hedge Baseline'!$B$1:$L$257,7,FALSE)),"",(VLOOKUP($B28,'B-1 On-Site Hedge Baseline'!$B$1:$L$257,7,FALSE))))</f>
        <v/>
      </c>
      <c r="H28" s="295" t="str">
        <f>IF(B28="","",IF(ISNA(VLOOKUP($B28,'B-1 On-Site Hedge Baseline'!$B$1:$L$257,8,FALSE)),"",(VLOOKUP($B28,'B-1 On-Site Hedge Baseline'!$B$1:$L$257,8,FALSE))))</f>
        <v/>
      </c>
      <c r="I28" s="295" t="str">
        <f>IF(B28="","",IF(ISNA(VLOOKUP($B28,'B-1 On-Site Hedge Baseline'!$B$1:$L$257,10,FALSE)),"",(VLOOKUP($B28,'B-1 On-Site Hedge Baseline'!$B$1:$L$257,10,FALSE))))</f>
        <v/>
      </c>
      <c r="J28" s="295" t="str">
        <f>IF(B28="","",IF(ISNA(VLOOKUP($B28,'B-1 On-Site Hedge Baseline'!$B$1:$L$257,11,FALSE)),"",(VLOOKUP($B28,'B-1 On-Site Hedge Baseline'!$B$1:$L$257,11,FALSE))))</f>
        <v/>
      </c>
      <c r="K28" s="295" t="str">
        <f>IF(B28="","",IF(ISNA(VLOOKUP($B28,'B-1 On-Site Hedge Baseline'!$B$1:$U$257,13,FALSE)),"",(VLOOKUP($B28,'B-1 On-Site Hedge Baseline'!$B$1:$U$257,13,FALSE))))</f>
        <v/>
      </c>
      <c r="L28" s="299" t="str">
        <f>IF(B28="","",IF(ISNA(VLOOKUP($B28,'B-1 On-Site Hedge Baseline'!$B$1:$U$257,12,FALSE)),"",(VLOOKUP($B28,'B-1 On-Site Hedge Baseline'!$B$1:$U$257,12,FALSE))))</f>
        <v/>
      </c>
      <c r="M28" s="611"/>
      <c r="N28" s="275" t="str">
        <f>IFERROR(IF(B28="","",INDEX('G-6 Hedgerow Data'!$AN$3:$AZ$15,MATCH(C28,'G-6 Hedgerow Data'!$AM$3:$AM$15,0),MATCH(M28,'G-6 Hedgerow Data'!$AN$2:$AZ$2,0))),"")</f>
        <v/>
      </c>
      <c r="O28" s="276" t="str">
        <f t="shared" si="1"/>
        <v/>
      </c>
      <c r="P28" s="329" t="str">
        <f>IF(B28="","",VLOOKUP(B28,'B-1 On-Site Hedge Baseline'!$B$10:T273,16,FALSE))</f>
        <v/>
      </c>
      <c r="Q28" s="275" t="str">
        <f>IF(M28="","",VLOOKUP(M28,'G-6 Hedgerow Data'!$B$2:$AG$15,2,FALSE))</f>
        <v/>
      </c>
      <c r="R28" s="276" t="str">
        <f>IF(M28="","",VLOOKUP(M28,'G-6 Hedgerow Data'!$B$2:$AG$15,3,FALSE))</f>
        <v/>
      </c>
      <c r="S28" s="101"/>
      <c r="T28" s="314" t="str">
        <f>IFERROR(IF(S28="","",IF(AND(M28="Non-native and ornamental hedgerow",S28&lt;&gt;"Poor"),"Not possible ▲",(VLOOKUP(S28,'G-1 All Habitats'!$Z$2:$AA$9,2,FALSE)))),"")</f>
        <v/>
      </c>
      <c r="U28" s="101"/>
      <c r="V28" s="295" t="str">
        <f>IF(U28="","",IF(VLOOKUP(U28,'G-3 Multipliers'!$L$3:$N$6,2,FALSE)=0,"Spatial Data Missing ⚠",VLOOKUP(U28,'G-3 Multipliers'!$L$3:$N$6,2,FALSE)))</f>
        <v/>
      </c>
      <c r="W28" s="299" t="str">
        <f>IF(U28="","",IF(VLOOKUP(U28,'G-3 Multipliers'!$L$3:$N$6,3,FALSE)=0,"Spatial Data Missing ⚠",VLOOKUP(U28,'G-3 Multipliers'!$L$3:$N$6,3,FALSE)))</f>
        <v/>
      </c>
      <c r="X28" s="275" t="str">
        <f>IFERROR(IF(OR(LEFT(O28,5)="Error",LEFT(N28,5)="Error",T28="Error"),"Check Data ⚠",IF(F28&lt;R28,INDEX('G-6 Hedgerow Data'!$S$3:$AE$14,MATCH(C28,'G-6 Hedgerow Data'!$B$3:$B$14,0),MATCH(M28,'G-6 Hedgerow Data'!$S$2:$AE$2,0)),INDEX('G-6 Hedgerow Data'!$K$3:$Q$14,MATCH(M28,'G-6 Hedgerow Data'!$B$3:$B$14,0),MATCH(O28,'G-6 Hedgerow Data'!$K$2:$Q$2,0)))),"")</f>
        <v/>
      </c>
      <c r="Y28" s="133"/>
      <c r="Z28" s="133"/>
      <c r="AA28" s="283" t="str">
        <f t="shared" si="2"/>
        <v/>
      </c>
      <c r="AB28" s="296" t="str">
        <f t="shared" si="3"/>
        <v/>
      </c>
      <c r="AC28" s="297" t="str">
        <f t="shared" si="0"/>
        <v/>
      </c>
      <c r="AD28" s="311" t="str">
        <f>IF(M28="","",VLOOKUP(M28,'G-6 Hedgerow Data'!$B$3:$AG$15,31,FALSE))</f>
        <v/>
      </c>
      <c r="AE28" s="283" t="str">
        <f t="shared" si="4"/>
        <v/>
      </c>
      <c r="AF28" s="283" t="str">
        <f t="shared" si="5"/>
        <v/>
      </c>
      <c r="AG28" s="299" t="str">
        <f>IFERROR(IF(O28="","",VLOOKUP(AD28,'G-3 Multipliers'!$P$3:$Q$6,2,FALSE)),"")</f>
        <v/>
      </c>
      <c r="AH28" s="289" t="str">
        <f t="shared" si="6"/>
        <v/>
      </c>
      <c r="AI28" s="108"/>
      <c r="AJ28" s="115"/>
      <c r="AK28" s="104"/>
      <c r="AT28" s="30" t="str">
        <f>IFERROR(INDEX('G-6 Hedgerow Data'!$BJ$3:$BJ$15,MATCH(M28,'G-6 Hedgerow Data'!$B$3:$B$15,0)),"")</f>
        <v/>
      </c>
    </row>
    <row r="29" spans="2:46" ht="14">
      <c r="B29" s="305" t="str">
        <f>'B-1 On-Site Hedge Baseline'!AK27</f>
        <v/>
      </c>
      <c r="C29" s="295" t="str">
        <f>IF(B29="","",IF(ISNA(VLOOKUP($B29,'B-1 On-Site Hedge Baseline'!$B$1:$L$257,3,FALSE)),"",(VLOOKUP($B29,'B-1 On-Site Hedge Baseline'!$B$1:$L$257,3,FALSE))))</f>
        <v/>
      </c>
      <c r="D29" s="295" t="str">
        <f>IF(B29="","",IF(ISNA(VLOOKUP($B29,'B-1 On-Site Hedge Baseline'!$B$1:$L$257,4,FALSE)),"",(VLOOKUP($B29,'B-1 On-Site Hedge Baseline'!$B$1:$L$257,4,FALSE))))</f>
        <v/>
      </c>
      <c r="E29" s="295" t="str">
        <f>IF(B29="","",IF(ISNA(VLOOKUP($B29,'B-1 On-Site Hedge Baseline'!$B$1:$L$257,5,FALSE)),"",(VLOOKUP($B29,'B-1 On-Site Hedge Baseline'!$B$1:$L$257,5,FALSE))))</f>
        <v/>
      </c>
      <c r="F29" s="295" t="str">
        <f>IF(B29="","",IF(ISNA(VLOOKUP($B29,'B-1 On-Site Hedge Baseline'!$B$1:$L$257,6,FALSE)),"",(VLOOKUP($B29,'B-1 On-Site Hedge Baseline'!$B$1:$L$257,6,FALSE))))</f>
        <v/>
      </c>
      <c r="G29" s="295" t="str">
        <f>IF(B29="","",IF(ISNA(VLOOKUP($B29,'B-1 On-Site Hedge Baseline'!$B$1:$L$257,7,FALSE)),"",(VLOOKUP($B29,'B-1 On-Site Hedge Baseline'!$B$1:$L$257,7,FALSE))))</f>
        <v/>
      </c>
      <c r="H29" s="295" t="str">
        <f>IF(B29="","",IF(ISNA(VLOOKUP($B29,'B-1 On-Site Hedge Baseline'!$B$1:$L$257,8,FALSE)),"",(VLOOKUP($B29,'B-1 On-Site Hedge Baseline'!$B$1:$L$257,8,FALSE))))</f>
        <v/>
      </c>
      <c r="I29" s="295" t="str">
        <f>IF(B29="","",IF(ISNA(VLOOKUP($B29,'B-1 On-Site Hedge Baseline'!$B$1:$L$257,10,FALSE)),"",(VLOOKUP($B29,'B-1 On-Site Hedge Baseline'!$B$1:$L$257,10,FALSE))))</f>
        <v/>
      </c>
      <c r="J29" s="295" t="str">
        <f>IF(B29="","",IF(ISNA(VLOOKUP($B29,'B-1 On-Site Hedge Baseline'!$B$1:$L$257,11,FALSE)),"",(VLOOKUP($B29,'B-1 On-Site Hedge Baseline'!$B$1:$L$257,11,FALSE))))</f>
        <v/>
      </c>
      <c r="K29" s="295" t="str">
        <f>IF(B29="","",IF(ISNA(VLOOKUP($B29,'B-1 On-Site Hedge Baseline'!$B$1:$U$257,13,FALSE)),"",(VLOOKUP($B29,'B-1 On-Site Hedge Baseline'!$B$1:$U$257,13,FALSE))))</f>
        <v/>
      </c>
      <c r="L29" s="299" t="str">
        <f>IF(B29="","",IF(ISNA(VLOOKUP($B29,'B-1 On-Site Hedge Baseline'!$B$1:$U$257,12,FALSE)),"",(VLOOKUP($B29,'B-1 On-Site Hedge Baseline'!$B$1:$U$257,12,FALSE))))</f>
        <v/>
      </c>
      <c r="M29" s="611"/>
      <c r="N29" s="275" t="str">
        <f>IFERROR(IF(B29="","",INDEX('G-6 Hedgerow Data'!$AN$3:$AZ$15,MATCH(C29,'G-6 Hedgerow Data'!$AM$3:$AM$15,0),MATCH(M29,'G-6 Hedgerow Data'!$AN$2:$AZ$2,0))),"")</f>
        <v/>
      </c>
      <c r="O29" s="276" t="str">
        <f t="shared" si="1"/>
        <v/>
      </c>
      <c r="P29" s="329" t="str">
        <f>IF(B29="","",VLOOKUP(B29,'B-1 On-Site Hedge Baseline'!$B$10:T274,16,FALSE))</f>
        <v/>
      </c>
      <c r="Q29" s="275" t="str">
        <f>IF(M29="","",VLOOKUP(M29,'G-6 Hedgerow Data'!$B$2:$AG$15,2,FALSE))</f>
        <v/>
      </c>
      <c r="R29" s="276" t="str">
        <f>IF(M29="","",VLOOKUP(M29,'G-6 Hedgerow Data'!$B$2:$AG$15,3,FALSE))</f>
        <v/>
      </c>
      <c r="S29" s="101"/>
      <c r="T29" s="314" t="str">
        <f>IFERROR(IF(S29="","",IF(AND(M29="Non-native and ornamental hedgerow",S29&lt;&gt;"Poor"),"Not possible ▲",(VLOOKUP(S29,'G-1 All Habitats'!$Z$2:$AA$9,2,FALSE)))),"")</f>
        <v/>
      </c>
      <c r="U29" s="101"/>
      <c r="V29" s="295" t="str">
        <f>IF(U29="","",IF(VLOOKUP(U29,'G-3 Multipliers'!$L$3:$N$6,2,FALSE)=0,"Spatial Data Missing ⚠",VLOOKUP(U29,'G-3 Multipliers'!$L$3:$N$6,2,FALSE)))</f>
        <v/>
      </c>
      <c r="W29" s="299" t="str">
        <f>IF(U29="","",IF(VLOOKUP(U29,'G-3 Multipliers'!$L$3:$N$6,3,FALSE)=0,"Spatial Data Missing ⚠",VLOOKUP(U29,'G-3 Multipliers'!$L$3:$N$6,3,FALSE)))</f>
        <v/>
      </c>
      <c r="X29" s="275" t="str">
        <f>IFERROR(IF(OR(LEFT(O29,5)="Error",LEFT(N29,5)="Error",T29="Error"),"Check Data ⚠",IF(F29&lt;R29,INDEX('G-6 Hedgerow Data'!$S$3:$AE$14,MATCH(C29,'G-6 Hedgerow Data'!$B$3:$B$14,0),MATCH(M29,'G-6 Hedgerow Data'!$S$2:$AE$2,0)),INDEX('G-6 Hedgerow Data'!$K$3:$Q$14,MATCH(M29,'G-6 Hedgerow Data'!$B$3:$B$14,0),MATCH(O29,'G-6 Hedgerow Data'!$K$2:$Q$2,0)))),"")</f>
        <v/>
      </c>
      <c r="Y29" s="133"/>
      <c r="Z29" s="133"/>
      <c r="AA29" s="283" t="str">
        <f t="shared" si="2"/>
        <v/>
      </c>
      <c r="AB29" s="296" t="str">
        <f t="shared" si="3"/>
        <v/>
      </c>
      <c r="AC29" s="297" t="str">
        <f t="shared" si="0"/>
        <v/>
      </c>
      <c r="AD29" s="311" t="str">
        <f>IF(M29="","",VLOOKUP(M29,'G-6 Hedgerow Data'!$B$3:$AG$15,31,FALSE))</f>
        <v/>
      </c>
      <c r="AE29" s="283" t="str">
        <f t="shared" si="4"/>
        <v/>
      </c>
      <c r="AF29" s="283" t="str">
        <f t="shared" si="5"/>
        <v/>
      </c>
      <c r="AG29" s="299" t="str">
        <f>IFERROR(IF(O29="","",VLOOKUP(AD29,'G-3 Multipliers'!$P$3:$Q$6,2,FALSE)),"")</f>
        <v/>
      </c>
      <c r="AH29" s="289" t="str">
        <f t="shared" si="6"/>
        <v/>
      </c>
      <c r="AI29" s="108"/>
      <c r="AJ29" s="115"/>
      <c r="AK29" s="104"/>
      <c r="AT29" s="30" t="str">
        <f>IFERROR(INDEX('G-6 Hedgerow Data'!$BJ$3:$BJ$15,MATCH(M29,'G-6 Hedgerow Data'!$B$3:$B$15,0)),"")</f>
        <v/>
      </c>
    </row>
    <row r="30" spans="2:46" ht="14">
      <c r="B30" s="305" t="str">
        <f>'B-1 On-Site Hedge Baseline'!AK28</f>
        <v/>
      </c>
      <c r="C30" s="295" t="str">
        <f>IF(B30="","",IF(ISNA(VLOOKUP($B30,'B-1 On-Site Hedge Baseline'!$B$1:$L$257,3,FALSE)),"",(VLOOKUP($B30,'B-1 On-Site Hedge Baseline'!$B$1:$L$257,3,FALSE))))</f>
        <v/>
      </c>
      <c r="D30" s="295" t="str">
        <f>IF(B30="","",IF(ISNA(VLOOKUP($B30,'B-1 On-Site Hedge Baseline'!$B$1:$L$257,4,FALSE)),"",(VLOOKUP($B30,'B-1 On-Site Hedge Baseline'!$B$1:$L$257,4,FALSE))))</f>
        <v/>
      </c>
      <c r="E30" s="295" t="str">
        <f>IF(B30="","",IF(ISNA(VLOOKUP($B30,'B-1 On-Site Hedge Baseline'!$B$1:$L$257,5,FALSE)),"",(VLOOKUP($B30,'B-1 On-Site Hedge Baseline'!$B$1:$L$257,5,FALSE))))</f>
        <v/>
      </c>
      <c r="F30" s="295" t="str">
        <f>IF(B30="","",IF(ISNA(VLOOKUP($B30,'B-1 On-Site Hedge Baseline'!$B$1:$L$257,6,FALSE)),"",(VLOOKUP($B30,'B-1 On-Site Hedge Baseline'!$B$1:$L$257,6,FALSE))))</f>
        <v/>
      </c>
      <c r="G30" s="295" t="str">
        <f>IF(B30="","",IF(ISNA(VLOOKUP($B30,'B-1 On-Site Hedge Baseline'!$B$1:$L$257,7,FALSE)),"",(VLOOKUP($B30,'B-1 On-Site Hedge Baseline'!$B$1:$L$257,7,FALSE))))</f>
        <v/>
      </c>
      <c r="H30" s="295" t="str">
        <f>IF(B30="","",IF(ISNA(VLOOKUP($B30,'B-1 On-Site Hedge Baseline'!$B$1:$L$257,8,FALSE)),"",(VLOOKUP($B30,'B-1 On-Site Hedge Baseline'!$B$1:$L$257,8,FALSE))))</f>
        <v/>
      </c>
      <c r="I30" s="295" t="str">
        <f>IF(B30="","",IF(ISNA(VLOOKUP($B30,'B-1 On-Site Hedge Baseline'!$B$1:$L$257,10,FALSE)),"",(VLOOKUP($B30,'B-1 On-Site Hedge Baseline'!$B$1:$L$257,10,FALSE))))</f>
        <v/>
      </c>
      <c r="J30" s="295" t="str">
        <f>IF(B30="","",IF(ISNA(VLOOKUP($B30,'B-1 On-Site Hedge Baseline'!$B$1:$L$257,11,FALSE)),"",(VLOOKUP($B30,'B-1 On-Site Hedge Baseline'!$B$1:$L$257,11,FALSE))))</f>
        <v/>
      </c>
      <c r="K30" s="295" t="str">
        <f>IF(B30="","",IF(ISNA(VLOOKUP($B30,'B-1 On-Site Hedge Baseline'!$B$1:$U$257,13,FALSE)),"",(VLOOKUP($B30,'B-1 On-Site Hedge Baseline'!$B$1:$U$257,13,FALSE))))</f>
        <v/>
      </c>
      <c r="L30" s="299" t="str">
        <f>IF(B30="","",IF(ISNA(VLOOKUP($B30,'B-1 On-Site Hedge Baseline'!$B$1:$U$257,12,FALSE)),"",(VLOOKUP($B30,'B-1 On-Site Hedge Baseline'!$B$1:$U$257,12,FALSE))))</f>
        <v/>
      </c>
      <c r="M30" s="611"/>
      <c r="N30" s="275" t="str">
        <f>IFERROR(IF(B30="","",INDEX('G-6 Hedgerow Data'!$AN$3:$AZ$15,MATCH(C30,'G-6 Hedgerow Data'!$AM$3:$AM$15,0),MATCH(M30,'G-6 Hedgerow Data'!$AN$2:$AZ$2,0))),"")</f>
        <v/>
      </c>
      <c r="O30" s="276" t="str">
        <f t="shared" si="1"/>
        <v/>
      </c>
      <c r="P30" s="329" t="str">
        <f>IF(B30="","",VLOOKUP(B30,'B-1 On-Site Hedge Baseline'!$B$10:T275,16,FALSE))</f>
        <v/>
      </c>
      <c r="Q30" s="275" t="str">
        <f>IF(M30="","",VLOOKUP(M30,'G-6 Hedgerow Data'!$B$2:$AG$15,2,FALSE))</f>
        <v/>
      </c>
      <c r="R30" s="276" t="str">
        <f>IF(M30="","",VLOOKUP(M30,'G-6 Hedgerow Data'!$B$2:$AG$15,3,FALSE))</f>
        <v/>
      </c>
      <c r="S30" s="53"/>
      <c r="T30" s="314" t="str">
        <f>IFERROR(IF(S30="","",IF(AND(M30="Non-native and ornamental hedgerow",S30&lt;&gt;"Poor"),"Not possible ▲",(VLOOKUP(S30,'G-1 All Habitats'!$Z$2:$AA$9,2,FALSE)))),"")</f>
        <v/>
      </c>
      <c r="U30" s="101"/>
      <c r="V30" s="295" t="str">
        <f>IF(U30="","",IF(VLOOKUP(U30,'G-3 Multipliers'!$L$3:$N$6,2,FALSE)=0,"Spatial Data Missing ⚠",VLOOKUP(U30,'G-3 Multipliers'!$L$3:$N$6,2,FALSE)))</f>
        <v/>
      </c>
      <c r="W30" s="299" t="str">
        <f>IF(U30="","",IF(VLOOKUP(U30,'G-3 Multipliers'!$L$3:$N$6,3,FALSE)=0,"Spatial Data Missing ⚠",VLOOKUP(U30,'G-3 Multipliers'!$L$3:$N$6,3,FALSE)))</f>
        <v/>
      </c>
      <c r="X30" s="275" t="str">
        <f>IFERROR(IF(OR(LEFT(O30,5)="Error",LEFT(N30,5)="Error",T30="Error"),"Check Data ⚠",IF(F30&lt;R30,INDEX('G-6 Hedgerow Data'!$S$3:$AE$14,MATCH(C30,'G-6 Hedgerow Data'!$B$3:$B$14,0),MATCH(M30,'G-6 Hedgerow Data'!$S$2:$AE$2,0)),INDEX('G-6 Hedgerow Data'!$K$3:$Q$14,MATCH(M30,'G-6 Hedgerow Data'!$B$3:$B$14,0),MATCH(O30,'G-6 Hedgerow Data'!$K$2:$Q$2,0)))),"")</f>
        <v/>
      </c>
      <c r="Y30" s="133"/>
      <c r="Z30" s="133"/>
      <c r="AA30" s="283" t="str">
        <f t="shared" si="2"/>
        <v/>
      </c>
      <c r="AB30" s="296" t="str">
        <f t="shared" si="3"/>
        <v/>
      </c>
      <c r="AC30" s="297" t="str">
        <f t="shared" si="0"/>
        <v/>
      </c>
      <c r="AD30" s="311" t="str">
        <f>IF(M30="","",VLOOKUP(M30,'G-6 Hedgerow Data'!$B$3:$AG$15,31,FALSE))</f>
        <v/>
      </c>
      <c r="AE30" s="283" t="str">
        <f t="shared" si="4"/>
        <v/>
      </c>
      <c r="AF30" s="283" t="str">
        <f t="shared" si="5"/>
        <v/>
      </c>
      <c r="AG30" s="299" t="str">
        <f>IFERROR(IF(O30="","",VLOOKUP(AD30,'G-3 Multipliers'!$P$3:$Q$6,2,FALSE)),"")</f>
        <v/>
      </c>
      <c r="AH30" s="289" t="str">
        <f t="shared" si="6"/>
        <v/>
      </c>
      <c r="AI30" s="108"/>
      <c r="AJ30" s="115"/>
      <c r="AK30" s="104"/>
      <c r="AT30" s="30" t="str">
        <f>IFERROR(INDEX('G-6 Hedgerow Data'!$BJ$3:$BJ$15,MATCH(M30,'G-6 Hedgerow Data'!$B$3:$B$15,0)),"")</f>
        <v/>
      </c>
    </row>
    <row r="31" spans="2:46" ht="14">
      <c r="B31" s="305" t="str">
        <f>'B-1 On-Site Hedge Baseline'!AK29</f>
        <v/>
      </c>
      <c r="C31" s="295" t="str">
        <f>IF(B31="","",IF(ISNA(VLOOKUP($B31,'B-1 On-Site Hedge Baseline'!$B$1:$L$257,3,FALSE)),"",(VLOOKUP($B31,'B-1 On-Site Hedge Baseline'!$B$1:$L$257,3,FALSE))))</f>
        <v/>
      </c>
      <c r="D31" s="295" t="str">
        <f>IF(B31="","",IF(ISNA(VLOOKUP($B31,'B-1 On-Site Hedge Baseline'!$B$1:$L$257,4,FALSE)),"",(VLOOKUP($B31,'B-1 On-Site Hedge Baseline'!$B$1:$L$257,4,FALSE))))</f>
        <v/>
      </c>
      <c r="E31" s="295" t="str">
        <f>IF(B31="","",IF(ISNA(VLOOKUP($B31,'B-1 On-Site Hedge Baseline'!$B$1:$L$257,5,FALSE)),"",(VLOOKUP($B31,'B-1 On-Site Hedge Baseline'!$B$1:$L$257,5,FALSE))))</f>
        <v/>
      </c>
      <c r="F31" s="295" t="str">
        <f>IF(B31="","",IF(ISNA(VLOOKUP($B31,'B-1 On-Site Hedge Baseline'!$B$1:$L$257,6,FALSE)),"",(VLOOKUP($B31,'B-1 On-Site Hedge Baseline'!$B$1:$L$257,6,FALSE))))</f>
        <v/>
      </c>
      <c r="G31" s="295" t="str">
        <f>IF(B31="","",IF(ISNA(VLOOKUP($B31,'B-1 On-Site Hedge Baseline'!$B$1:$L$257,7,FALSE)),"",(VLOOKUP($B31,'B-1 On-Site Hedge Baseline'!$B$1:$L$257,7,FALSE))))</f>
        <v/>
      </c>
      <c r="H31" s="295" t="str">
        <f>IF(B31="","",IF(ISNA(VLOOKUP($B31,'B-1 On-Site Hedge Baseline'!$B$1:$L$257,8,FALSE)),"",(VLOOKUP($B31,'B-1 On-Site Hedge Baseline'!$B$1:$L$257,8,FALSE))))</f>
        <v/>
      </c>
      <c r="I31" s="295" t="str">
        <f>IF(B31="","",IF(ISNA(VLOOKUP($B31,'B-1 On-Site Hedge Baseline'!$B$1:$L$257,10,FALSE)),"",(VLOOKUP($B31,'B-1 On-Site Hedge Baseline'!$B$1:$L$257,10,FALSE))))</f>
        <v/>
      </c>
      <c r="J31" s="295" t="str">
        <f>IF(B31="","",IF(ISNA(VLOOKUP($B31,'B-1 On-Site Hedge Baseline'!$B$1:$L$257,11,FALSE)),"",(VLOOKUP($B31,'B-1 On-Site Hedge Baseline'!$B$1:$L$257,11,FALSE))))</f>
        <v/>
      </c>
      <c r="K31" s="295" t="str">
        <f>IF(B31="","",IF(ISNA(VLOOKUP($B31,'B-1 On-Site Hedge Baseline'!$B$1:$U$257,13,FALSE)),"",(VLOOKUP($B31,'B-1 On-Site Hedge Baseline'!$B$1:$U$257,13,FALSE))))</f>
        <v/>
      </c>
      <c r="L31" s="299" t="str">
        <f>IF(B31="","",IF(ISNA(VLOOKUP($B31,'B-1 On-Site Hedge Baseline'!$B$1:$U$257,12,FALSE)),"",(VLOOKUP($B31,'B-1 On-Site Hedge Baseline'!$B$1:$U$257,12,FALSE))))</f>
        <v/>
      </c>
      <c r="M31" s="611"/>
      <c r="N31" s="275" t="str">
        <f>IFERROR(IF(B31="","",INDEX('G-6 Hedgerow Data'!$AN$3:$AZ$15,MATCH(C31,'G-6 Hedgerow Data'!$AM$3:$AM$15,0),MATCH(M31,'G-6 Hedgerow Data'!$AN$2:$AZ$2,0))),"")</f>
        <v/>
      </c>
      <c r="O31" s="276" t="str">
        <f t="shared" si="1"/>
        <v/>
      </c>
      <c r="P31" s="329" t="str">
        <f>IF(B31="","",VLOOKUP(B31,'B-1 On-Site Hedge Baseline'!$B$10:T276,16,FALSE))</f>
        <v/>
      </c>
      <c r="Q31" s="275" t="str">
        <f>IF(M31="","",VLOOKUP(M31,'G-6 Hedgerow Data'!$B$2:$AG$15,2,FALSE))</f>
        <v/>
      </c>
      <c r="R31" s="276" t="str">
        <f>IF(M31="","",VLOOKUP(M31,'G-6 Hedgerow Data'!$B$2:$AG$15,3,FALSE))</f>
        <v/>
      </c>
      <c r="S31" s="53"/>
      <c r="T31" s="314" t="str">
        <f>IFERROR(IF(S31="","",IF(AND(M31="Non-native and ornamental hedgerow",S31&lt;&gt;"Poor"),"Not possible ▲",(VLOOKUP(S31,'G-1 All Habitats'!$Z$2:$AA$9,2,FALSE)))),"")</f>
        <v/>
      </c>
      <c r="U31" s="101"/>
      <c r="V31" s="295" t="str">
        <f>IF(U31="","",IF(VLOOKUP(U31,'G-3 Multipliers'!$L$3:$N$6,2,FALSE)=0,"Spatial Data Missing ⚠",VLOOKUP(U31,'G-3 Multipliers'!$L$3:$N$6,2,FALSE)))</f>
        <v/>
      </c>
      <c r="W31" s="299" t="str">
        <f>IF(U31="","",IF(VLOOKUP(U31,'G-3 Multipliers'!$L$3:$N$6,3,FALSE)=0,"Spatial Data Missing ⚠",VLOOKUP(U31,'G-3 Multipliers'!$L$3:$N$6,3,FALSE)))</f>
        <v/>
      </c>
      <c r="X31" s="275" t="str">
        <f>IFERROR(IF(OR(LEFT(O31,5)="Error",LEFT(N31,5)="Error",T31="Error"),"Check Data ⚠",IF(F31&lt;R31,INDEX('G-6 Hedgerow Data'!$S$3:$AE$14,MATCH(C31,'G-6 Hedgerow Data'!$B$3:$B$14,0),MATCH(M31,'G-6 Hedgerow Data'!$S$2:$AE$2,0)),INDEX('G-6 Hedgerow Data'!$K$3:$Q$14,MATCH(M31,'G-6 Hedgerow Data'!$B$3:$B$14,0),MATCH(O31,'G-6 Hedgerow Data'!$K$2:$Q$2,0)))),"")</f>
        <v/>
      </c>
      <c r="Y31" s="133"/>
      <c r="Z31" s="133"/>
      <c r="AA31" s="283" t="str">
        <f t="shared" si="2"/>
        <v/>
      </c>
      <c r="AB31" s="296" t="str">
        <f t="shared" si="3"/>
        <v/>
      </c>
      <c r="AC31" s="297" t="str">
        <f t="shared" si="0"/>
        <v/>
      </c>
      <c r="AD31" s="311" t="str">
        <f>IF(M31="","",VLOOKUP(M31,'G-6 Hedgerow Data'!$B$3:$AG$15,31,FALSE))</f>
        <v/>
      </c>
      <c r="AE31" s="283" t="str">
        <f t="shared" si="4"/>
        <v/>
      </c>
      <c r="AF31" s="283" t="str">
        <f t="shared" si="5"/>
        <v/>
      </c>
      <c r="AG31" s="299" t="str">
        <f>IFERROR(IF(O31="","",VLOOKUP(AD31,'G-3 Multipliers'!$P$3:$Q$6,2,FALSE)),"")</f>
        <v/>
      </c>
      <c r="AH31" s="289" t="str">
        <f t="shared" si="6"/>
        <v/>
      </c>
      <c r="AI31" s="108"/>
      <c r="AJ31" s="115"/>
      <c r="AK31" s="104"/>
      <c r="AT31" s="30" t="str">
        <f>IFERROR(INDEX('G-6 Hedgerow Data'!$BJ$3:$BJ$15,MATCH(M31,'G-6 Hedgerow Data'!$B$3:$B$15,0)),"")</f>
        <v/>
      </c>
    </row>
    <row r="32" spans="2:46" ht="14">
      <c r="B32" s="305" t="str">
        <f>'B-1 On-Site Hedge Baseline'!AK30</f>
        <v/>
      </c>
      <c r="C32" s="295" t="str">
        <f>IF(B32="","",IF(ISNA(VLOOKUP($B32,'B-1 On-Site Hedge Baseline'!$B$1:$L$257,3,FALSE)),"",(VLOOKUP($B32,'B-1 On-Site Hedge Baseline'!$B$1:$L$257,3,FALSE))))</f>
        <v/>
      </c>
      <c r="D32" s="295" t="str">
        <f>IF(B32="","",IF(ISNA(VLOOKUP($B32,'B-1 On-Site Hedge Baseline'!$B$1:$L$257,4,FALSE)),"",(VLOOKUP($B32,'B-1 On-Site Hedge Baseline'!$B$1:$L$257,4,FALSE))))</f>
        <v/>
      </c>
      <c r="E32" s="295" t="str">
        <f>IF(B32="","",IF(ISNA(VLOOKUP($B32,'B-1 On-Site Hedge Baseline'!$B$1:$L$257,5,FALSE)),"",(VLOOKUP($B32,'B-1 On-Site Hedge Baseline'!$B$1:$L$257,5,FALSE))))</f>
        <v/>
      </c>
      <c r="F32" s="295" t="str">
        <f>IF(B32="","",IF(ISNA(VLOOKUP($B32,'B-1 On-Site Hedge Baseline'!$B$1:$L$257,6,FALSE)),"",(VLOOKUP($B32,'B-1 On-Site Hedge Baseline'!$B$1:$L$257,6,FALSE))))</f>
        <v/>
      </c>
      <c r="G32" s="295" t="str">
        <f>IF(B32="","",IF(ISNA(VLOOKUP($B32,'B-1 On-Site Hedge Baseline'!$B$1:$L$257,7,FALSE)),"",(VLOOKUP($B32,'B-1 On-Site Hedge Baseline'!$B$1:$L$257,7,FALSE))))</f>
        <v/>
      </c>
      <c r="H32" s="295" t="str">
        <f>IF(B32="","",IF(ISNA(VLOOKUP($B32,'B-1 On-Site Hedge Baseline'!$B$1:$L$257,8,FALSE)),"",(VLOOKUP($B32,'B-1 On-Site Hedge Baseline'!$B$1:$L$257,8,FALSE))))</f>
        <v/>
      </c>
      <c r="I32" s="295" t="str">
        <f>IF(B32="","",IF(ISNA(VLOOKUP($B32,'B-1 On-Site Hedge Baseline'!$B$1:$L$257,10,FALSE)),"",(VLOOKUP($B32,'B-1 On-Site Hedge Baseline'!$B$1:$L$257,10,FALSE))))</f>
        <v/>
      </c>
      <c r="J32" s="295" t="str">
        <f>IF(B32="","",IF(ISNA(VLOOKUP($B32,'B-1 On-Site Hedge Baseline'!$B$1:$L$257,11,FALSE)),"",(VLOOKUP($B32,'B-1 On-Site Hedge Baseline'!$B$1:$L$257,11,FALSE))))</f>
        <v/>
      </c>
      <c r="K32" s="295" t="str">
        <f>IF(B32="","",IF(ISNA(VLOOKUP($B32,'B-1 On-Site Hedge Baseline'!$B$1:$U$257,13,FALSE)),"",(VLOOKUP($B32,'B-1 On-Site Hedge Baseline'!$B$1:$U$257,13,FALSE))))</f>
        <v/>
      </c>
      <c r="L32" s="299" t="str">
        <f>IF(B32="","",IF(ISNA(VLOOKUP($B32,'B-1 On-Site Hedge Baseline'!$B$1:$U$257,12,FALSE)),"",(VLOOKUP($B32,'B-1 On-Site Hedge Baseline'!$B$1:$U$257,12,FALSE))))</f>
        <v/>
      </c>
      <c r="M32" s="611"/>
      <c r="N32" s="275" t="str">
        <f>IFERROR(IF(B32="","",INDEX('G-6 Hedgerow Data'!$AN$3:$AZ$15,MATCH(C32,'G-6 Hedgerow Data'!$AM$3:$AM$15,0),MATCH(M32,'G-6 Hedgerow Data'!$AN$2:$AZ$2,0))),"")</f>
        <v/>
      </c>
      <c r="O32" s="276" t="str">
        <f t="shared" si="1"/>
        <v/>
      </c>
      <c r="P32" s="329" t="str">
        <f>IF(B32="","",VLOOKUP(B32,'B-1 On-Site Hedge Baseline'!$B$10:T277,16,FALSE))</f>
        <v/>
      </c>
      <c r="Q32" s="275" t="str">
        <f>IF(M32="","",VLOOKUP(M32,'G-6 Hedgerow Data'!$B$2:$AG$15,2,FALSE))</f>
        <v/>
      </c>
      <c r="R32" s="276" t="str">
        <f>IF(M32="","",VLOOKUP(M32,'G-6 Hedgerow Data'!$B$2:$AG$15,3,FALSE))</f>
        <v/>
      </c>
      <c r="S32" s="53"/>
      <c r="T32" s="314" t="str">
        <f>IFERROR(IF(S32="","",IF(AND(M32="Non-native and ornamental hedgerow",S32&lt;&gt;"Poor"),"Not possible ▲",(VLOOKUP(S32,'G-1 All Habitats'!$Z$2:$AA$9,2,FALSE)))),"")</f>
        <v/>
      </c>
      <c r="U32" s="101"/>
      <c r="V32" s="295" t="str">
        <f>IF(U32="","",IF(VLOOKUP(U32,'G-3 Multipliers'!$L$3:$N$6,2,FALSE)=0,"Spatial Data Missing ⚠",VLOOKUP(U32,'G-3 Multipliers'!$L$3:$N$6,2,FALSE)))</f>
        <v/>
      </c>
      <c r="W32" s="299" t="str">
        <f>IF(U32="","",IF(VLOOKUP(U32,'G-3 Multipliers'!$L$3:$N$6,3,FALSE)=0,"Spatial Data Missing ⚠",VLOOKUP(U32,'G-3 Multipliers'!$L$3:$N$6,3,FALSE)))</f>
        <v/>
      </c>
      <c r="X32" s="275" t="str">
        <f>IFERROR(IF(OR(LEFT(O32,5)="Error",LEFT(N32,5)="Error",T32="Error"),"Check Data ⚠",IF(F32&lt;R32,INDEX('G-6 Hedgerow Data'!$S$3:$AE$14,MATCH(C32,'G-6 Hedgerow Data'!$B$3:$B$14,0),MATCH(M32,'G-6 Hedgerow Data'!$S$2:$AE$2,0)),INDEX('G-6 Hedgerow Data'!$K$3:$Q$14,MATCH(M32,'G-6 Hedgerow Data'!$B$3:$B$14,0),MATCH(O32,'G-6 Hedgerow Data'!$K$2:$Q$2,0)))),"")</f>
        <v/>
      </c>
      <c r="Y32" s="133"/>
      <c r="Z32" s="133"/>
      <c r="AA32" s="283" t="str">
        <f t="shared" si="2"/>
        <v/>
      </c>
      <c r="AB32" s="296" t="str">
        <f t="shared" si="3"/>
        <v/>
      </c>
      <c r="AC32" s="297" t="str">
        <f t="shared" si="0"/>
        <v/>
      </c>
      <c r="AD32" s="311" t="str">
        <f>IF(M32="","",VLOOKUP(M32,'G-6 Hedgerow Data'!$B$3:$AG$15,31,FALSE))</f>
        <v/>
      </c>
      <c r="AE32" s="283" t="str">
        <f t="shared" si="4"/>
        <v/>
      </c>
      <c r="AF32" s="283" t="str">
        <f t="shared" si="5"/>
        <v/>
      </c>
      <c r="AG32" s="299" t="str">
        <f>IFERROR(IF(O32="","",VLOOKUP(AD32,'G-3 Multipliers'!$P$3:$Q$6,2,FALSE)),"")</f>
        <v/>
      </c>
      <c r="AH32" s="289" t="str">
        <f t="shared" si="6"/>
        <v/>
      </c>
      <c r="AI32" s="108"/>
      <c r="AJ32" s="115"/>
      <c r="AK32" s="104"/>
      <c r="AT32" s="30" t="str">
        <f>IFERROR(INDEX('G-6 Hedgerow Data'!$BJ$3:$BJ$15,MATCH(M32,'G-6 Hedgerow Data'!$B$3:$B$15,0)),"")</f>
        <v/>
      </c>
    </row>
    <row r="33" spans="2:46" ht="14">
      <c r="B33" s="305" t="str">
        <f>'B-1 On-Site Hedge Baseline'!AK31</f>
        <v/>
      </c>
      <c r="C33" s="295" t="str">
        <f>IF(B33="","",IF(ISNA(VLOOKUP($B33,'B-1 On-Site Hedge Baseline'!$B$1:$L$257,3,FALSE)),"",(VLOOKUP($B33,'B-1 On-Site Hedge Baseline'!$B$1:$L$257,3,FALSE))))</f>
        <v/>
      </c>
      <c r="D33" s="295" t="str">
        <f>IF(B33="","",IF(ISNA(VLOOKUP($B33,'B-1 On-Site Hedge Baseline'!$B$1:$L$257,4,FALSE)),"",(VLOOKUP($B33,'B-1 On-Site Hedge Baseline'!$B$1:$L$257,4,FALSE))))</f>
        <v/>
      </c>
      <c r="E33" s="295" t="str">
        <f>IF(B33="","",IF(ISNA(VLOOKUP($B33,'B-1 On-Site Hedge Baseline'!$B$1:$L$257,5,FALSE)),"",(VLOOKUP($B33,'B-1 On-Site Hedge Baseline'!$B$1:$L$257,5,FALSE))))</f>
        <v/>
      </c>
      <c r="F33" s="295" t="str">
        <f>IF(B33="","",IF(ISNA(VLOOKUP($B33,'B-1 On-Site Hedge Baseline'!$B$1:$L$257,6,FALSE)),"",(VLOOKUP($B33,'B-1 On-Site Hedge Baseline'!$B$1:$L$257,6,FALSE))))</f>
        <v/>
      </c>
      <c r="G33" s="295" t="str">
        <f>IF(B33="","",IF(ISNA(VLOOKUP($B33,'B-1 On-Site Hedge Baseline'!$B$1:$L$257,7,FALSE)),"",(VLOOKUP($B33,'B-1 On-Site Hedge Baseline'!$B$1:$L$257,7,FALSE))))</f>
        <v/>
      </c>
      <c r="H33" s="295" t="str">
        <f>IF(B33="","",IF(ISNA(VLOOKUP($B33,'B-1 On-Site Hedge Baseline'!$B$1:$L$257,8,FALSE)),"",(VLOOKUP($B33,'B-1 On-Site Hedge Baseline'!$B$1:$L$257,8,FALSE))))</f>
        <v/>
      </c>
      <c r="I33" s="295" t="str">
        <f>IF(B33="","",IF(ISNA(VLOOKUP($B33,'B-1 On-Site Hedge Baseline'!$B$1:$L$257,10,FALSE)),"",(VLOOKUP($B33,'B-1 On-Site Hedge Baseline'!$B$1:$L$257,10,FALSE))))</f>
        <v/>
      </c>
      <c r="J33" s="295" t="str">
        <f>IF(B33="","",IF(ISNA(VLOOKUP($B33,'B-1 On-Site Hedge Baseline'!$B$1:$L$257,11,FALSE)),"",(VLOOKUP($B33,'B-1 On-Site Hedge Baseline'!$B$1:$L$257,11,FALSE))))</f>
        <v/>
      </c>
      <c r="K33" s="295" t="str">
        <f>IF(B33="","",IF(ISNA(VLOOKUP($B33,'B-1 On-Site Hedge Baseline'!$B$1:$U$257,13,FALSE)),"",(VLOOKUP($B33,'B-1 On-Site Hedge Baseline'!$B$1:$U$257,13,FALSE))))</f>
        <v/>
      </c>
      <c r="L33" s="299" t="str">
        <f>IF(B33="","",IF(ISNA(VLOOKUP($B33,'B-1 On-Site Hedge Baseline'!$B$1:$U$257,12,FALSE)),"",(VLOOKUP($B33,'B-1 On-Site Hedge Baseline'!$B$1:$U$257,12,FALSE))))</f>
        <v/>
      </c>
      <c r="M33" s="611"/>
      <c r="N33" s="275" t="str">
        <f>IFERROR(IF(B33="","",INDEX('G-6 Hedgerow Data'!$AN$3:$AZ$15,MATCH(C33,'G-6 Hedgerow Data'!$AM$3:$AM$15,0),MATCH(M33,'G-6 Hedgerow Data'!$AN$2:$AZ$2,0))),"")</f>
        <v/>
      </c>
      <c r="O33" s="276" t="str">
        <f t="shared" si="1"/>
        <v/>
      </c>
      <c r="P33" s="329" t="str">
        <f>IF(B33="","",VLOOKUP(B33,'B-1 On-Site Hedge Baseline'!$B$10:T278,16,FALSE))</f>
        <v/>
      </c>
      <c r="Q33" s="275" t="str">
        <f>IF(M33="","",VLOOKUP(M33,'G-6 Hedgerow Data'!$B$2:$AG$15,2,FALSE))</f>
        <v/>
      </c>
      <c r="R33" s="276" t="str">
        <f>IF(M33="","",VLOOKUP(M33,'G-6 Hedgerow Data'!$B$2:$AG$15,3,FALSE))</f>
        <v/>
      </c>
      <c r="S33" s="53"/>
      <c r="T33" s="314" t="str">
        <f>IFERROR(IF(S33="","",IF(AND(M33="Non-native and ornamental hedgerow",S33&lt;&gt;"Poor"),"Not possible ▲",(VLOOKUP(S33,'G-1 All Habitats'!$Z$2:$AA$9,2,FALSE)))),"")</f>
        <v/>
      </c>
      <c r="U33" s="101"/>
      <c r="V33" s="295" t="str">
        <f>IF(U33="","",IF(VLOOKUP(U33,'G-3 Multipliers'!$L$3:$N$6,2,FALSE)=0,"Spatial Data Missing ⚠",VLOOKUP(U33,'G-3 Multipliers'!$L$3:$N$6,2,FALSE)))</f>
        <v/>
      </c>
      <c r="W33" s="299" t="str">
        <f>IF(U33="","",IF(VLOOKUP(U33,'G-3 Multipliers'!$L$3:$N$6,3,FALSE)=0,"Spatial Data Missing ⚠",VLOOKUP(U33,'G-3 Multipliers'!$L$3:$N$6,3,FALSE)))</f>
        <v/>
      </c>
      <c r="X33" s="275" t="str">
        <f>IFERROR(IF(OR(LEFT(O33,5)="Error",LEFT(N33,5)="Error",T33="Error"),"Check Data ⚠",IF(F33&lt;R33,INDEX('G-6 Hedgerow Data'!$S$3:$AE$14,MATCH(C33,'G-6 Hedgerow Data'!$B$3:$B$14,0),MATCH(M33,'G-6 Hedgerow Data'!$S$2:$AE$2,0)),INDEX('G-6 Hedgerow Data'!$K$3:$Q$14,MATCH(M33,'G-6 Hedgerow Data'!$B$3:$B$14,0),MATCH(O33,'G-6 Hedgerow Data'!$K$2:$Q$2,0)))),"")</f>
        <v/>
      </c>
      <c r="Y33" s="133"/>
      <c r="Z33" s="133"/>
      <c r="AA33" s="283" t="str">
        <f t="shared" si="2"/>
        <v/>
      </c>
      <c r="AB33" s="296" t="str">
        <f t="shared" si="3"/>
        <v/>
      </c>
      <c r="AC33" s="297" t="str">
        <f t="shared" si="0"/>
        <v/>
      </c>
      <c r="AD33" s="311" t="str">
        <f>IF(M33="","",VLOOKUP(M33,'G-6 Hedgerow Data'!$B$3:$AG$15,31,FALSE))</f>
        <v/>
      </c>
      <c r="AE33" s="283" t="str">
        <f t="shared" si="4"/>
        <v/>
      </c>
      <c r="AF33" s="283" t="str">
        <f t="shared" si="5"/>
        <v/>
      </c>
      <c r="AG33" s="299" t="str">
        <f>IFERROR(IF(O33="","",VLOOKUP(AD33,'G-3 Multipliers'!$P$3:$Q$6,2,FALSE)),"")</f>
        <v/>
      </c>
      <c r="AH33" s="289" t="str">
        <f t="shared" si="6"/>
        <v/>
      </c>
      <c r="AI33" s="108"/>
      <c r="AJ33" s="115"/>
      <c r="AK33" s="104"/>
      <c r="AT33" s="30" t="str">
        <f>IFERROR(INDEX('G-6 Hedgerow Data'!$BJ$3:$BJ$15,MATCH(M33,'G-6 Hedgerow Data'!$B$3:$B$15,0)),"")</f>
        <v/>
      </c>
    </row>
    <row r="34" spans="2:46" ht="14">
      <c r="B34" s="305" t="str">
        <f>'B-1 On-Site Hedge Baseline'!AK32</f>
        <v/>
      </c>
      <c r="C34" s="295" t="str">
        <f>IF(B34="","",IF(ISNA(VLOOKUP($B34,'B-1 On-Site Hedge Baseline'!$B$1:$L$257,3,FALSE)),"",(VLOOKUP($B34,'B-1 On-Site Hedge Baseline'!$B$1:$L$257,3,FALSE))))</f>
        <v/>
      </c>
      <c r="D34" s="295" t="str">
        <f>IF(B34="","",IF(ISNA(VLOOKUP($B34,'B-1 On-Site Hedge Baseline'!$B$1:$L$257,4,FALSE)),"",(VLOOKUP($B34,'B-1 On-Site Hedge Baseline'!$B$1:$L$257,4,FALSE))))</f>
        <v/>
      </c>
      <c r="E34" s="295" t="str">
        <f>IF(B34="","",IF(ISNA(VLOOKUP($B34,'B-1 On-Site Hedge Baseline'!$B$1:$L$257,5,FALSE)),"",(VLOOKUP($B34,'B-1 On-Site Hedge Baseline'!$B$1:$L$257,5,FALSE))))</f>
        <v/>
      </c>
      <c r="F34" s="295" t="str">
        <f>IF(B34="","",IF(ISNA(VLOOKUP($B34,'B-1 On-Site Hedge Baseline'!$B$1:$L$257,6,FALSE)),"",(VLOOKUP($B34,'B-1 On-Site Hedge Baseline'!$B$1:$L$257,6,FALSE))))</f>
        <v/>
      </c>
      <c r="G34" s="295" t="str">
        <f>IF(B34="","",IF(ISNA(VLOOKUP($B34,'B-1 On-Site Hedge Baseline'!$B$1:$L$257,7,FALSE)),"",(VLOOKUP($B34,'B-1 On-Site Hedge Baseline'!$B$1:$L$257,7,FALSE))))</f>
        <v/>
      </c>
      <c r="H34" s="295" t="str">
        <f>IF(B34="","",IF(ISNA(VLOOKUP($B34,'B-1 On-Site Hedge Baseline'!$B$1:$L$257,8,FALSE)),"",(VLOOKUP($B34,'B-1 On-Site Hedge Baseline'!$B$1:$L$257,8,FALSE))))</f>
        <v/>
      </c>
      <c r="I34" s="295" t="str">
        <f>IF(B34="","",IF(ISNA(VLOOKUP($B34,'B-1 On-Site Hedge Baseline'!$B$1:$L$257,10,FALSE)),"",(VLOOKUP($B34,'B-1 On-Site Hedge Baseline'!$B$1:$L$257,10,FALSE))))</f>
        <v/>
      </c>
      <c r="J34" s="295" t="str">
        <f>IF(B34="","",IF(ISNA(VLOOKUP($B34,'B-1 On-Site Hedge Baseline'!$B$1:$L$257,11,FALSE)),"",(VLOOKUP($B34,'B-1 On-Site Hedge Baseline'!$B$1:$L$257,11,FALSE))))</f>
        <v/>
      </c>
      <c r="K34" s="295" t="str">
        <f>IF(B34="","",IF(ISNA(VLOOKUP($B34,'B-1 On-Site Hedge Baseline'!$B$1:$U$257,13,FALSE)),"",(VLOOKUP($B34,'B-1 On-Site Hedge Baseline'!$B$1:$U$257,13,FALSE))))</f>
        <v/>
      </c>
      <c r="L34" s="299" t="str">
        <f>IF(B34="","",IF(ISNA(VLOOKUP($B34,'B-1 On-Site Hedge Baseline'!$B$1:$U$257,12,FALSE)),"",(VLOOKUP($B34,'B-1 On-Site Hedge Baseline'!$B$1:$U$257,12,FALSE))))</f>
        <v/>
      </c>
      <c r="M34" s="611"/>
      <c r="N34" s="275" t="str">
        <f>IFERROR(IF(B34="","",INDEX('G-6 Hedgerow Data'!$AN$3:$AZ$15,MATCH(C34,'G-6 Hedgerow Data'!$AM$3:$AM$15,0),MATCH(M34,'G-6 Hedgerow Data'!$AN$2:$AZ$2,0))),"")</f>
        <v/>
      </c>
      <c r="O34" s="276" t="str">
        <f t="shared" si="1"/>
        <v/>
      </c>
      <c r="P34" s="329" t="str">
        <f>IF(B34="","",VLOOKUP(B34,'B-1 On-Site Hedge Baseline'!$B$10:T279,16,FALSE))</f>
        <v/>
      </c>
      <c r="Q34" s="275" t="str">
        <f>IF(M34="","",VLOOKUP(M34,'G-6 Hedgerow Data'!$B$2:$AG$15,2,FALSE))</f>
        <v/>
      </c>
      <c r="R34" s="276" t="str">
        <f>IF(M34="","",VLOOKUP(M34,'G-6 Hedgerow Data'!$B$2:$AG$15,3,FALSE))</f>
        <v/>
      </c>
      <c r="S34" s="53"/>
      <c r="T34" s="314" t="str">
        <f>IFERROR(IF(S34="","",IF(AND(M34="Non-native and ornamental hedgerow",S34&lt;&gt;"Poor"),"Not possible ▲",(VLOOKUP(S34,'G-1 All Habitats'!$Z$2:$AA$9,2,FALSE)))),"")</f>
        <v/>
      </c>
      <c r="U34" s="101"/>
      <c r="V34" s="295" t="str">
        <f>IF(U34="","",IF(VLOOKUP(U34,'G-3 Multipliers'!$L$3:$N$6,2,FALSE)=0,"Spatial Data Missing ⚠",VLOOKUP(U34,'G-3 Multipliers'!$L$3:$N$6,2,FALSE)))</f>
        <v/>
      </c>
      <c r="W34" s="299" t="str">
        <f>IF(U34="","",IF(VLOOKUP(U34,'G-3 Multipliers'!$L$3:$N$6,3,FALSE)=0,"Spatial Data Missing ⚠",VLOOKUP(U34,'G-3 Multipliers'!$L$3:$N$6,3,FALSE)))</f>
        <v/>
      </c>
      <c r="X34" s="275" t="str">
        <f>IFERROR(IF(OR(LEFT(O34,5)="Error",LEFT(N34,5)="Error",T34="Error"),"Check Data ⚠",IF(F34&lt;R34,INDEX('G-6 Hedgerow Data'!$S$3:$AE$14,MATCH(C34,'G-6 Hedgerow Data'!$B$3:$B$14,0),MATCH(M34,'G-6 Hedgerow Data'!$S$2:$AE$2,0)),INDEX('G-6 Hedgerow Data'!$K$3:$Q$14,MATCH(M34,'G-6 Hedgerow Data'!$B$3:$B$14,0),MATCH(O34,'G-6 Hedgerow Data'!$K$2:$Q$2,0)))),"")</f>
        <v/>
      </c>
      <c r="Y34" s="133"/>
      <c r="Z34" s="133"/>
      <c r="AA34" s="283" t="str">
        <f t="shared" si="2"/>
        <v/>
      </c>
      <c r="AB34" s="296" t="str">
        <f t="shared" si="3"/>
        <v/>
      </c>
      <c r="AC34" s="297" t="str">
        <f t="shared" si="0"/>
        <v/>
      </c>
      <c r="AD34" s="311" t="str">
        <f>IF(M34="","",VLOOKUP(M34,'G-6 Hedgerow Data'!$B$3:$AG$15,31,FALSE))</f>
        <v/>
      </c>
      <c r="AE34" s="283" t="str">
        <f t="shared" si="4"/>
        <v/>
      </c>
      <c r="AF34" s="283" t="str">
        <f t="shared" si="5"/>
        <v/>
      </c>
      <c r="AG34" s="299" t="str">
        <f>IFERROR(IF(O34="","",VLOOKUP(AD34,'G-3 Multipliers'!$P$3:$Q$6,2,FALSE)),"")</f>
        <v/>
      </c>
      <c r="AH34" s="289" t="str">
        <f t="shared" si="6"/>
        <v/>
      </c>
      <c r="AI34" s="108"/>
      <c r="AJ34" s="115"/>
      <c r="AK34" s="104"/>
      <c r="AT34" s="30" t="str">
        <f>IFERROR(INDEX('G-6 Hedgerow Data'!$BJ$3:$BJ$15,MATCH(M34,'G-6 Hedgerow Data'!$B$3:$B$15,0)),"")</f>
        <v/>
      </c>
    </row>
    <row r="35" spans="2:46" ht="14">
      <c r="B35" s="305" t="str">
        <f>'B-1 On-Site Hedge Baseline'!AK33</f>
        <v/>
      </c>
      <c r="C35" s="295" t="str">
        <f>IF(B35="","",IF(ISNA(VLOOKUP($B35,'B-1 On-Site Hedge Baseline'!$B$1:$L$257,3,FALSE)),"",(VLOOKUP($B35,'B-1 On-Site Hedge Baseline'!$B$1:$L$257,3,FALSE))))</f>
        <v/>
      </c>
      <c r="D35" s="295" t="str">
        <f>IF(B35="","",IF(ISNA(VLOOKUP($B35,'B-1 On-Site Hedge Baseline'!$B$1:$L$257,4,FALSE)),"",(VLOOKUP($B35,'B-1 On-Site Hedge Baseline'!$B$1:$L$257,4,FALSE))))</f>
        <v/>
      </c>
      <c r="E35" s="295" t="str">
        <f>IF(B35="","",IF(ISNA(VLOOKUP($B35,'B-1 On-Site Hedge Baseline'!$B$1:$L$257,5,FALSE)),"",(VLOOKUP($B35,'B-1 On-Site Hedge Baseline'!$B$1:$L$257,5,FALSE))))</f>
        <v/>
      </c>
      <c r="F35" s="295" t="str">
        <f>IF(B35="","",IF(ISNA(VLOOKUP($B35,'B-1 On-Site Hedge Baseline'!$B$1:$L$257,6,FALSE)),"",(VLOOKUP($B35,'B-1 On-Site Hedge Baseline'!$B$1:$L$257,6,FALSE))))</f>
        <v/>
      </c>
      <c r="G35" s="295" t="str">
        <f>IF(B35="","",IF(ISNA(VLOOKUP($B35,'B-1 On-Site Hedge Baseline'!$B$1:$L$257,7,FALSE)),"",(VLOOKUP($B35,'B-1 On-Site Hedge Baseline'!$B$1:$L$257,7,FALSE))))</f>
        <v/>
      </c>
      <c r="H35" s="295" t="str">
        <f>IF(B35="","",IF(ISNA(VLOOKUP($B35,'B-1 On-Site Hedge Baseline'!$B$1:$L$257,8,FALSE)),"",(VLOOKUP($B35,'B-1 On-Site Hedge Baseline'!$B$1:$L$257,8,FALSE))))</f>
        <v/>
      </c>
      <c r="I35" s="295" t="str">
        <f>IF(B35="","",IF(ISNA(VLOOKUP($B35,'B-1 On-Site Hedge Baseline'!$B$1:$L$257,10,FALSE)),"",(VLOOKUP($B35,'B-1 On-Site Hedge Baseline'!$B$1:$L$257,10,FALSE))))</f>
        <v/>
      </c>
      <c r="J35" s="295" t="str">
        <f>IF(B35="","",IF(ISNA(VLOOKUP($B35,'B-1 On-Site Hedge Baseline'!$B$1:$L$257,11,FALSE)),"",(VLOOKUP($B35,'B-1 On-Site Hedge Baseline'!$B$1:$L$257,11,FALSE))))</f>
        <v/>
      </c>
      <c r="K35" s="295" t="str">
        <f>IF(B35="","",IF(ISNA(VLOOKUP($B35,'B-1 On-Site Hedge Baseline'!$B$1:$U$257,13,FALSE)),"",(VLOOKUP($B35,'B-1 On-Site Hedge Baseline'!$B$1:$U$257,13,FALSE))))</f>
        <v/>
      </c>
      <c r="L35" s="299" t="str">
        <f>IF(B35="","",IF(ISNA(VLOOKUP($B35,'B-1 On-Site Hedge Baseline'!$B$1:$U$257,12,FALSE)),"",(VLOOKUP($B35,'B-1 On-Site Hedge Baseline'!$B$1:$U$257,12,FALSE))))</f>
        <v/>
      </c>
      <c r="M35" s="611"/>
      <c r="N35" s="275" t="str">
        <f>IFERROR(IF(B35="","",INDEX('G-6 Hedgerow Data'!$AN$3:$AZ$15,MATCH(C35,'G-6 Hedgerow Data'!$AM$3:$AM$15,0),MATCH(M35,'G-6 Hedgerow Data'!$AN$2:$AZ$2,0))),"")</f>
        <v/>
      </c>
      <c r="O35" s="276" t="str">
        <f t="shared" si="1"/>
        <v/>
      </c>
      <c r="P35" s="329" t="str">
        <f>IF(B35="","",VLOOKUP(B35,'B-1 On-Site Hedge Baseline'!$B$10:T280,16,FALSE))</f>
        <v/>
      </c>
      <c r="Q35" s="275" t="str">
        <f>IF(M35="","",VLOOKUP(M35,'G-6 Hedgerow Data'!$B$2:$AG$15,2,FALSE))</f>
        <v/>
      </c>
      <c r="R35" s="276" t="str">
        <f>IF(M35="","",VLOOKUP(M35,'G-6 Hedgerow Data'!$B$2:$AG$15,3,FALSE))</f>
        <v/>
      </c>
      <c r="S35" s="53"/>
      <c r="T35" s="314" t="str">
        <f>IFERROR(IF(S35="","",IF(AND(M35="Non-native and ornamental hedgerow",S35&lt;&gt;"Poor"),"Not possible ▲",(VLOOKUP(S35,'G-1 All Habitats'!$Z$2:$AA$9,2,FALSE)))),"")</f>
        <v/>
      </c>
      <c r="U35" s="101"/>
      <c r="V35" s="295" t="str">
        <f>IF(U35="","",IF(VLOOKUP(U35,'G-3 Multipliers'!$L$3:$N$6,2,FALSE)=0,"Spatial Data Missing ⚠",VLOOKUP(U35,'G-3 Multipliers'!$L$3:$N$6,2,FALSE)))</f>
        <v/>
      </c>
      <c r="W35" s="299" t="str">
        <f>IF(U35="","",IF(VLOOKUP(U35,'G-3 Multipliers'!$L$3:$N$6,3,FALSE)=0,"Spatial Data Missing ⚠",VLOOKUP(U35,'G-3 Multipliers'!$L$3:$N$6,3,FALSE)))</f>
        <v/>
      </c>
      <c r="X35" s="275" t="str">
        <f>IFERROR(IF(OR(LEFT(O35,5)="Error",LEFT(N35,5)="Error",T35="Error"),"Check Data ⚠",IF(F35&lt;R35,INDEX('G-6 Hedgerow Data'!$S$3:$AE$14,MATCH(C35,'G-6 Hedgerow Data'!$B$3:$B$14,0),MATCH(M35,'G-6 Hedgerow Data'!$S$2:$AE$2,0)),INDEX('G-6 Hedgerow Data'!$K$3:$Q$14,MATCH(M35,'G-6 Hedgerow Data'!$B$3:$B$14,0),MATCH(O35,'G-6 Hedgerow Data'!$K$2:$Q$2,0)))),"")</f>
        <v/>
      </c>
      <c r="Y35" s="133"/>
      <c r="Z35" s="133"/>
      <c r="AA35" s="283" t="str">
        <f t="shared" si="2"/>
        <v/>
      </c>
      <c r="AB35" s="296" t="str">
        <f t="shared" si="3"/>
        <v/>
      </c>
      <c r="AC35" s="297" t="str">
        <f t="shared" si="0"/>
        <v/>
      </c>
      <c r="AD35" s="311" t="str">
        <f>IF(M35="","",VLOOKUP(M35,'G-6 Hedgerow Data'!$B$3:$AG$15,31,FALSE))</f>
        <v/>
      </c>
      <c r="AE35" s="283" t="str">
        <f t="shared" si="4"/>
        <v/>
      </c>
      <c r="AF35" s="283" t="str">
        <f t="shared" si="5"/>
        <v/>
      </c>
      <c r="AG35" s="299" t="str">
        <f>IFERROR(IF(O35="","",VLOOKUP(AD35,'G-3 Multipliers'!$P$3:$Q$6,2,FALSE)),"")</f>
        <v/>
      </c>
      <c r="AH35" s="289" t="str">
        <f t="shared" si="6"/>
        <v/>
      </c>
      <c r="AI35" s="108"/>
      <c r="AJ35" s="115"/>
      <c r="AK35" s="104"/>
      <c r="AT35" s="30" t="str">
        <f>IFERROR(INDEX('G-6 Hedgerow Data'!$BJ$3:$BJ$15,MATCH(M35,'G-6 Hedgerow Data'!$B$3:$B$15,0)),"")</f>
        <v/>
      </c>
    </row>
    <row r="36" spans="2:46" ht="14">
      <c r="B36" s="305" t="str">
        <f>'B-1 On-Site Hedge Baseline'!AK34</f>
        <v/>
      </c>
      <c r="C36" s="295" t="str">
        <f>IF(B36="","",IF(ISNA(VLOOKUP($B36,'B-1 On-Site Hedge Baseline'!$B$1:$L$257,3,FALSE)),"",(VLOOKUP($B36,'B-1 On-Site Hedge Baseline'!$B$1:$L$257,3,FALSE))))</f>
        <v/>
      </c>
      <c r="D36" s="295" t="str">
        <f>IF(B36="","",IF(ISNA(VLOOKUP($B36,'B-1 On-Site Hedge Baseline'!$B$1:$L$257,4,FALSE)),"",(VLOOKUP($B36,'B-1 On-Site Hedge Baseline'!$B$1:$L$257,4,FALSE))))</f>
        <v/>
      </c>
      <c r="E36" s="295" t="str">
        <f>IF(B36="","",IF(ISNA(VLOOKUP($B36,'B-1 On-Site Hedge Baseline'!$B$1:$L$257,5,FALSE)),"",(VLOOKUP($B36,'B-1 On-Site Hedge Baseline'!$B$1:$L$257,5,FALSE))))</f>
        <v/>
      </c>
      <c r="F36" s="295" t="str">
        <f>IF(B36="","",IF(ISNA(VLOOKUP($B36,'B-1 On-Site Hedge Baseline'!$B$1:$L$257,6,FALSE)),"",(VLOOKUP($B36,'B-1 On-Site Hedge Baseline'!$B$1:$L$257,6,FALSE))))</f>
        <v/>
      </c>
      <c r="G36" s="295" t="str">
        <f>IF(B36="","",IF(ISNA(VLOOKUP($B36,'B-1 On-Site Hedge Baseline'!$B$1:$L$257,7,FALSE)),"",(VLOOKUP($B36,'B-1 On-Site Hedge Baseline'!$B$1:$L$257,7,FALSE))))</f>
        <v/>
      </c>
      <c r="H36" s="295" t="str">
        <f>IF(B36="","",IF(ISNA(VLOOKUP($B36,'B-1 On-Site Hedge Baseline'!$B$1:$L$257,8,FALSE)),"",(VLOOKUP($B36,'B-1 On-Site Hedge Baseline'!$B$1:$L$257,8,FALSE))))</f>
        <v/>
      </c>
      <c r="I36" s="295" t="str">
        <f>IF(B36="","",IF(ISNA(VLOOKUP($B36,'B-1 On-Site Hedge Baseline'!$B$1:$L$257,10,FALSE)),"",(VLOOKUP($B36,'B-1 On-Site Hedge Baseline'!$B$1:$L$257,10,FALSE))))</f>
        <v/>
      </c>
      <c r="J36" s="295" t="str">
        <f>IF(B36="","",IF(ISNA(VLOOKUP($B36,'B-1 On-Site Hedge Baseline'!$B$1:$L$257,11,FALSE)),"",(VLOOKUP($B36,'B-1 On-Site Hedge Baseline'!$B$1:$L$257,11,FALSE))))</f>
        <v/>
      </c>
      <c r="K36" s="295" t="str">
        <f>IF(B36="","",IF(ISNA(VLOOKUP($B36,'B-1 On-Site Hedge Baseline'!$B$1:$U$257,13,FALSE)),"",(VLOOKUP($B36,'B-1 On-Site Hedge Baseline'!$B$1:$U$257,13,FALSE))))</f>
        <v/>
      </c>
      <c r="L36" s="299" t="str">
        <f>IF(B36="","",IF(ISNA(VLOOKUP($B36,'B-1 On-Site Hedge Baseline'!$B$1:$U$257,12,FALSE)),"",(VLOOKUP($B36,'B-1 On-Site Hedge Baseline'!$B$1:$U$257,12,FALSE))))</f>
        <v/>
      </c>
      <c r="M36" s="611"/>
      <c r="N36" s="275" t="str">
        <f>IFERROR(IF(B36="","",INDEX('G-6 Hedgerow Data'!$AN$3:$AZ$15,MATCH(C36,'G-6 Hedgerow Data'!$AM$3:$AM$15,0),MATCH(M36,'G-6 Hedgerow Data'!$AN$2:$AZ$2,0))),"")</f>
        <v/>
      </c>
      <c r="O36" s="276" t="str">
        <f t="shared" si="1"/>
        <v/>
      </c>
      <c r="P36" s="329" t="str">
        <f>IF(B36="","",VLOOKUP(B36,'B-1 On-Site Hedge Baseline'!$B$10:T281,16,FALSE))</f>
        <v/>
      </c>
      <c r="Q36" s="275" t="str">
        <f>IF(M36="","",VLOOKUP(M36,'G-6 Hedgerow Data'!$B$2:$AG$15,2,FALSE))</f>
        <v/>
      </c>
      <c r="R36" s="276" t="str">
        <f>IF(M36="","",VLOOKUP(M36,'G-6 Hedgerow Data'!$B$2:$AG$15,3,FALSE))</f>
        <v/>
      </c>
      <c r="S36" s="53"/>
      <c r="T36" s="314" t="str">
        <f>IFERROR(IF(S36="","",IF(AND(M36="Non-native and ornamental hedgerow",S36&lt;&gt;"Poor"),"Not possible ▲",(VLOOKUP(S36,'G-1 All Habitats'!$Z$2:$AA$9,2,FALSE)))),"")</f>
        <v/>
      </c>
      <c r="U36" s="101"/>
      <c r="V36" s="295" t="str">
        <f>IF(U36="","",IF(VLOOKUP(U36,'G-3 Multipliers'!$L$3:$N$6,2,FALSE)=0,"Spatial Data Missing ⚠",VLOOKUP(U36,'G-3 Multipliers'!$L$3:$N$6,2,FALSE)))</f>
        <v/>
      </c>
      <c r="W36" s="299" t="str">
        <f>IF(U36="","",IF(VLOOKUP(U36,'G-3 Multipliers'!$L$3:$N$6,3,FALSE)=0,"Spatial Data Missing ⚠",VLOOKUP(U36,'G-3 Multipliers'!$L$3:$N$6,3,FALSE)))</f>
        <v/>
      </c>
      <c r="X36" s="275" t="str">
        <f>IFERROR(IF(OR(LEFT(O36,5)="Error",LEFT(N36,5)="Error",T36="Error"),"Check Data ⚠",IF(F36&lt;R36,INDEX('G-6 Hedgerow Data'!$S$3:$AE$14,MATCH(C36,'G-6 Hedgerow Data'!$B$3:$B$14,0),MATCH(M36,'G-6 Hedgerow Data'!$S$2:$AE$2,0)),INDEX('G-6 Hedgerow Data'!$K$3:$Q$14,MATCH(M36,'G-6 Hedgerow Data'!$B$3:$B$14,0),MATCH(O36,'G-6 Hedgerow Data'!$K$2:$Q$2,0)))),"")</f>
        <v/>
      </c>
      <c r="Y36" s="133"/>
      <c r="Z36" s="133"/>
      <c r="AA36" s="283" t="str">
        <f t="shared" si="2"/>
        <v/>
      </c>
      <c r="AB36" s="296" t="str">
        <f t="shared" si="3"/>
        <v/>
      </c>
      <c r="AC36" s="297" t="str">
        <f t="shared" si="0"/>
        <v/>
      </c>
      <c r="AD36" s="311" t="str">
        <f>IF(M36="","",VLOOKUP(M36,'G-6 Hedgerow Data'!$B$3:$AG$15,31,FALSE))</f>
        <v/>
      </c>
      <c r="AE36" s="283" t="str">
        <f t="shared" si="4"/>
        <v/>
      </c>
      <c r="AF36" s="283" t="str">
        <f t="shared" si="5"/>
        <v/>
      </c>
      <c r="AG36" s="299" t="str">
        <f>IFERROR(IF(O36="","",VLOOKUP(AD36,'G-3 Multipliers'!$P$3:$Q$6,2,FALSE)),"")</f>
        <v/>
      </c>
      <c r="AH36" s="289" t="str">
        <f t="shared" si="6"/>
        <v/>
      </c>
      <c r="AI36" s="108"/>
      <c r="AJ36" s="115"/>
      <c r="AK36" s="104"/>
      <c r="AT36" s="30" t="str">
        <f>IFERROR(INDEX('G-6 Hedgerow Data'!$BJ$3:$BJ$15,MATCH(M36,'G-6 Hedgerow Data'!$B$3:$B$15,0)),"")</f>
        <v/>
      </c>
    </row>
    <row r="37" spans="2:46" ht="14">
      <c r="B37" s="305" t="str">
        <f>'B-1 On-Site Hedge Baseline'!AK35</f>
        <v/>
      </c>
      <c r="C37" s="295" t="str">
        <f>IF(B37="","",IF(ISNA(VLOOKUP($B37,'B-1 On-Site Hedge Baseline'!$B$1:$L$257,3,FALSE)),"",(VLOOKUP($B37,'B-1 On-Site Hedge Baseline'!$B$1:$L$257,3,FALSE))))</f>
        <v/>
      </c>
      <c r="D37" s="295" t="str">
        <f>IF(B37="","",IF(ISNA(VLOOKUP($B37,'B-1 On-Site Hedge Baseline'!$B$1:$L$257,4,FALSE)),"",(VLOOKUP($B37,'B-1 On-Site Hedge Baseline'!$B$1:$L$257,4,FALSE))))</f>
        <v/>
      </c>
      <c r="E37" s="295" t="str">
        <f>IF(B37="","",IF(ISNA(VLOOKUP($B37,'B-1 On-Site Hedge Baseline'!$B$1:$L$257,5,FALSE)),"",(VLOOKUP($B37,'B-1 On-Site Hedge Baseline'!$B$1:$L$257,5,FALSE))))</f>
        <v/>
      </c>
      <c r="F37" s="295" t="str">
        <f>IF(B37="","",IF(ISNA(VLOOKUP($B37,'B-1 On-Site Hedge Baseline'!$B$1:$L$257,6,FALSE)),"",(VLOOKUP($B37,'B-1 On-Site Hedge Baseline'!$B$1:$L$257,6,FALSE))))</f>
        <v/>
      </c>
      <c r="G37" s="295" t="str">
        <f>IF(B37="","",IF(ISNA(VLOOKUP($B37,'B-1 On-Site Hedge Baseline'!$B$1:$L$257,7,FALSE)),"",(VLOOKUP($B37,'B-1 On-Site Hedge Baseline'!$B$1:$L$257,7,FALSE))))</f>
        <v/>
      </c>
      <c r="H37" s="295" t="str">
        <f>IF(B37="","",IF(ISNA(VLOOKUP($B37,'B-1 On-Site Hedge Baseline'!$B$1:$L$257,8,FALSE)),"",(VLOOKUP($B37,'B-1 On-Site Hedge Baseline'!$B$1:$L$257,8,FALSE))))</f>
        <v/>
      </c>
      <c r="I37" s="295" t="str">
        <f>IF(B37="","",IF(ISNA(VLOOKUP($B37,'B-1 On-Site Hedge Baseline'!$B$1:$L$257,10,FALSE)),"",(VLOOKUP($B37,'B-1 On-Site Hedge Baseline'!$B$1:$L$257,10,FALSE))))</f>
        <v/>
      </c>
      <c r="J37" s="295" t="str">
        <f>IF(B37="","",IF(ISNA(VLOOKUP($B37,'B-1 On-Site Hedge Baseline'!$B$1:$L$257,11,FALSE)),"",(VLOOKUP($B37,'B-1 On-Site Hedge Baseline'!$B$1:$L$257,11,FALSE))))</f>
        <v/>
      </c>
      <c r="K37" s="295" t="str">
        <f>IF(B37="","",IF(ISNA(VLOOKUP($B37,'B-1 On-Site Hedge Baseline'!$B$1:$U$257,13,FALSE)),"",(VLOOKUP($B37,'B-1 On-Site Hedge Baseline'!$B$1:$U$257,13,FALSE))))</f>
        <v/>
      </c>
      <c r="L37" s="299" t="str">
        <f>IF(B37="","",IF(ISNA(VLOOKUP($B37,'B-1 On-Site Hedge Baseline'!$B$1:$U$257,12,FALSE)),"",(VLOOKUP($B37,'B-1 On-Site Hedge Baseline'!$B$1:$U$257,12,FALSE))))</f>
        <v/>
      </c>
      <c r="M37" s="611"/>
      <c r="N37" s="275" t="str">
        <f>IFERROR(IF(B37="","",INDEX('G-6 Hedgerow Data'!$AN$3:$AZ$15,MATCH(C37,'G-6 Hedgerow Data'!$AM$3:$AM$15,0),MATCH(M37,'G-6 Hedgerow Data'!$AN$2:$AZ$2,0))),"")</f>
        <v/>
      </c>
      <c r="O37" s="276" t="str">
        <f t="shared" si="1"/>
        <v/>
      </c>
      <c r="P37" s="329" t="str">
        <f>IF(B37="","",VLOOKUP(B37,'B-1 On-Site Hedge Baseline'!$B$10:T282,16,FALSE))</f>
        <v/>
      </c>
      <c r="Q37" s="275" t="str">
        <f>IF(M37="","",VLOOKUP(M37,'G-6 Hedgerow Data'!$B$2:$AG$15,2,FALSE))</f>
        <v/>
      </c>
      <c r="R37" s="276" t="str">
        <f>IF(M37="","",VLOOKUP(M37,'G-6 Hedgerow Data'!$B$2:$AG$15,3,FALSE))</f>
        <v/>
      </c>
      <c r="S37" s="101"/>
      <c r="T37" s="314" t="str">
        <f>IFERROR(IF(S37="","",IF(AND(M37="Non-native and ornamental hedgerow",S37&lt;&gt;"Poor"),"Not possible ▲",(VLOOKUP(S37,'G-1 All Habitats'!$Z$2:$AA$9,2,FALSE)))),"")</f>
        <v/>
      </c>
      <c r="U37" s="101"/>
      <c r="V37" s="295" t="str">
        <f>IF(U37="","",IF(VLOOKUP(U37,'G-3 Multipliers'!$L$3:$N$6,2,FALSE)=0,"Spatial Data Missing ⚠",VLOOKUP(U37,'G-3 Multipliers'!$L$3:$N$6,2,FALSE)))</f>
        <v/>
      </c>
      <c r="W37" s="299" t="str">
        <f>IF(U37="","",IF(VLOOKUP(U37,'G-3 Multipliers'!$L$3:$N$6,3,FALSE)=0,"Spatial Data Missing ⚠",VLOOKUP(U37,'G-3 Multipliers'!$L$3:$N$6,3,FALSE)))</f>
        <v/>
      </c>
      <c r="X37" s="275" t="str">
        <f>IFERROR(IF(OR(LEFT(O37,5)="Error",LEFT(N37,5)="Error",T37="Error"),"Check Data ⚠",IF(F37&lt;R37,INDEX('G-6 Hedgerow Data'!$S$3:$AE$14,MATCH(C37,'G-6 Hedgerow Data'!$B$3:$B$14,0),MATCH(M37,'G-6 Hedgerow Data'!$S$2:$AE$2,0)),INDEX('G-6 Hedgerow Data'!$K$3:$Q$14,MATCH(M37,'G-6 Hedgerow Data'!$B$3:$B$14,0),MATCH(O37,'G-6 Hedgerow Data'!$K$2:$Q$2,0)))),"")</f>
        <v/>
      </c>
      <c r="Y37" s="133"/>
      <c r="Z37" s="133"/>
      <c r="AA37" s="283" t="str">
        <f t="shared" si="2"/>
        <v/>
      </c>
      <c r="AB37" s="296" t="str">
        <f t="shared" si="3"/>
        <v/>
      </c>
      <c r="AC37" s="297" t="str">
        <f t="shared" si="0"/>
        <v/>
      </c>
      <c r="AD37" s="311" t="str">
        <f>IF(M37="","",VLOOKUP(M37,'G-6 Hedgerow Data'!$B$3:$AG$15,31,FALSE))</f>
        <v/>
      </c>
      <c r="AE37" s="283" t="str">
        <f t="shared" si="4"/>
        <v/>
      </c>
      <c r="AF37" s="283" t="str">
        <f t="shared" si="5"/>
        <v/>
      </c>
      <c r="AG37" s="299" t="str">
        <f>IFERROR(IF(O37="","",VLOOKUP(AD37,'G-3 Multipliers'!$P$3:$Q$6,2,FALSE)),"")</f>
        <v/>
      </c>
      <c r="AH37" s="289" t="str">
        <f t="shared" si="6"/>
        <v/>
      </c>
      <c r="AI37" s="108"/>
      <c r="AJ37" s="115"/>
      <c r="AK37" s="104"/>
      <c r="AT37" s="30" t="str">
        <f>IFERROR(INDEX('G-6 Hedgerow Data'!$BJ$3:$BJ$15,MATCH(M37,'G-6 Hedgerow Data'!$B$3:$B$15,0)),"")</f>
        <v/>
      </c>
    </row>
    <row r="38" spans="2:46" ht="14">
      <c r="B38" s="305" t="str">
        <f>'B-1 On-Site Hedge Baseline'!AK36</f>
        <v/>
      </c>
      <c r="C38" s="295" t="str">
        <f>IF(B38="","",IF(ISNA(VLOOKUP($B38,'B-1 On-Site Hedge Baseline'!$B$1:$L$257,3,FALSE)),"",(VLOOKUP($B38,'B-1 On-Site Hedge Baseline'!$B$1:$L$257,3,FALSE))))</f>
        <v/>
      </c>
      <c r="D38" s="295" t="str">
        <f>IF(B38="","",IF(ISNA(VLOOKUP($B38,'B-1 On-Site Hedge Baseline'!$B$1:$L$257,4,FALSE)),"",(VLOOKUP($B38,'B-1 On-Site Hedge Baseline'!$B$1:$L$257,4,FALSE))))</f>
        <v/>
      </c>
      <c r="E38" s="295" t="str">
        <f>IF(B38="","",IF(ISNA(VLOOKUP($B38,'B-1 On-Site Hedge Baseline'!$B$1:$L$257,5,FALSE)),"",(VLOOKUP($B38,'B-1 On-Site Hedge Baseline'!$B$1:$L$257,5,FALSE))))</f>
        <v/>
      </c>
      <c r="F38" s="295" t="str">
        <f>IF(B38="","",IF(ISNA(VLOOKUP($B38,'B-1 On-Site Hedge Baseline'!$B$1:$L$257,6,FALSE)),"",(VLOOKUP($B38,'B-1 On-Site Hedge Baseline'!$B$1:$L$257,6,FALSE))))</f>
        <v/>
      </c>
      <c r="G38" s="295" t="str">
        <f>IF(B38="","",IF(ISNA(VLOOKUP($B38,'B-1 On-Site Hedge Baseline'!$B$1:$L$257,7,FALSE)),"",(VLOOKUP($B38,'B-1 On-Site Hedge Baseline'!$B$1:$L$257,7,FALSE))))</f>
        <v/>
      </c>
      <c r="H38" s="295" t="str">
        <f>IF(B38="","",IF(ISNA(VLOOKUP($B38,'B-1 On-Site Hedge Baseline'!$B$1:$L$257,8,FALSE)),"",(VLOOKUP($B38,'B-1 On-Site Hedge Baseline'!$B$1:$L$257,8,FALSE))))</f>
        <v/>
      </c>
      <c r="I38" s="295" t="str">
        <f>IF(B38="","",IF(ISNA(VLOOKUP($B38,'B-1 On-Site Hedge Baseline'!$B$1:$L$257,10,FALSE)),"",(VLOOKUP($B38,'B-1 On-Site Hedge Baseline'!$B$1:$L$257,10,FALSE))))</f>
        <v/>
      </c>
      <c r="J38" s="295" t="str">
        <f>IF(B38="","",IF(ISNA(VLOOKUP($B38,'B-1 On-Site Hedge Baseline'!$B$1:$L$257,11,FALSE)),"",(VLOOKUP($B38,'B-1 On-Site Hedge Baseline'!$B$1:$L$257,11,FALSE))))</f>
        <v/>
      </c>
      <c r="K38" s="295" t="str">
        <f>IF(B38="","",IF(ISNA(VLOOKUP($B38,'B-1 On-Site Hedge Baseline'!$B$1:$U$257,13,FALSE)),"",(VLOOKUP($B38,'B-1 On-Site Hedge Baseline'!$B$1:$U$257,13,FALSE))))</f>
        <v/>
      </c>
      <c r="L38" s="299" t="str">
        <f>IF(B38="","",IF(ISNA(VLOOKUP($B38,'B-1 On-Site Hedge Baseline'!$B$1:$U$257,12,FALSE)),"",(VLOOKUP($B38,'B-1 On-Site Hedge Baseline'!$B$1:$U$257,12,FALSE))))</f>
        <v/>
      </c>
      <c r="M38" s="611"/>
      <c r="N38" s="275" t="str">
        <f>IFERROR(IF(B38="","",INDEX('G-6 Hedgerow Data'!$AN$3:$AZ$15,MATCH(C38,'G-6 Hedgerow Data'!$AM$3:$AM$15,0),MATCH(M38,'G-6 Hedgerow Data'!$AN$2:$AZ$2,0))),"")</f>
        <v/>
      </c>
      <c r="O38" s="276" t="str">
        <f t="shared" si="1"/>
        <v/>
      </c>
      <c r="P38" s="329" t="str">
        <f>IF(B38="","",VLOOKUP(B38,'B-1 On-Site Hedge Baseline'!$B$10:T283,16,FALSE))</f>
        <v/>
      </c>
      <c r="Q38" s="275" t="str">
        <f>IF(M38="","",VLOOKUP(M38,'G-6 Hedgerow Data'!$B$2:$AG$15,2,FALSE))</f>
        <v/>
      </c>
      <c r="R38" s="276" t="str">
        <f>IF(M38="","",VLOOKUP(M38,'G-6 Hedgerow Data'!$B$2:$AG$15,3,FALSE))</f>
        <v/>
      </c>
      <c r="S38" s="108"/>
      <c r="T38" s="314" t="str">
        <f>IFERROR(IF(S38="","",IF(AND(M38="Non-native and ornamental hedgerow",S38&lt;&gt;"Poor"),"Not possible ▲",(VLOOKUP(S38,'G-1 All Habitats'!$Z$2:$AA$9,2,FALSE)))),"")</f>
        <v/>
      </c>
      <c r="U38" s="105"/>
      <c r="V38" s="295" t="str">
        <f>IF(U38="","",IF(VLOOKUP(U38,'G-3 Multipliers'!$L$3:$N$6,2,FALSE)=0,"Spatial Data Missing ⚠",VLOOKUP(U38,'G-3 Multipliers'!$L$3:$N$6,2,FALSE)))</f>
        <v/>
      </c>
      <c r="W38" s="299" t="str">
        <f>IF(U38="","",IF(VLOOKUP(U38,'G-3 Multipliers'!$L$3:$N$6,3,FALSE)=0,"Spatial Data Missing ⚠",VLOOKUP(U38,'G-3 Multipliers'!$L$3:$N$6,3,FALSE)))</f>
        <v/>
      </c>
      <c r="X38" s="275" t="str">
        <f>IFERROR(IF(OR(LEFT(O38,5)="Error",LEFT(N38,5)="Error",T38="Error"),"Check Data ⚠",IF(F38&lt;R38,INDEX('G-6 Hedgerow Data'!$S$3:$AE$14,MATCH(C38,'G-6 Hedgerow Data'!$B$3:$B$14,0),MATCH(M38,'G-6 Hedgerow Data'!$S$2:$AE$2,0)),INDEX('G-6 Hedgerow Data'!$K$3:$Q$14,MATCH(M38,'G-6 Hedgerow Data'!$B$3:$B$14,0),MATCH(O38,'G-6 Hedgerow Data'!$K$2:$Q$2,0)))),"")</f>
        <v/>
      </c>
      <c r="Y38" s="133"/>
      <c r="Z38" s="133"/>
      <c r="AA38" s="283" t="str">
        <f t="shared" si="2"/>
        <v/>
      </c>
      <c r="AB38" s="296" t="str">
        <f t="shared" si="3"/>
        <v/>
      </c>
      <c r="AC38" s="297" t="str">
        <f t="shared" si="0"/>
        <v/>
      </c>
      <c r="AD38" s="311" t="str">
        <f>IF(M38="","",VLOOKUP(M38,'G-6 Hedgerow Data'!$B$3:$AG$15,31,FALSE))</f>
        <v/>
      </c>
      <c r="AE38" s="283" t="str">
        <f t="shared" si="4"/>
        <v/>
      </c>
      <c r="AF38" s="283" t="str">
        <f t="shared" si="5"/>
        <v/>
      </c>
      <c r="AG38" s="299" t="str">
        <f>IFERROR(IF(O38="","",VLOOKUP(AD38,'G-3 Multipliers'!$P$3:$Q$6,2,FALSE)),"")</f>
        <v/>
      </c>
      <c r="AH38" s="289" t="str">
        <f t="shared" si="6"/>
        <v/>
      </c>
      <c r="AI38" s="108"/>
      <c r="AJ38" s="115"/>
      <c r="AK38" s="104"/>
      <c r="AT38" s="30" t="str">
        <f>IFERROR(INDEX('G-6 Hedgerow Data'!$BJ$3:$BJ$15,MATCH(M38,'G-6 Hedgerow Data'!$B$3:$B$15,0)),"")</f>
        <v/>
      </c>
    </row>
    <row r="39" spans="2:46" ht="14">
      <c r="B39" s="305" t="str">
        <f>'B-1 On-Site Hedge Baseline'!AK37</f>
        <v/>
      </c>
      <c r="C39" s="295" t="str">
        <f>IF(B39="","",IF(ISNA(VLOOKUP($B39,'B-1 On-Site Hedge Baseline'!$B$1:$L$257,3,FALSE)),"",(VLOOKUP($B39,'B-1 On-Site Hedge Baseline'!$B$1:$L$257,3,FALSE))))</f>
        <v/>
      </c>
      <c r="D39" s="295" t="str">
        <f>IF(B39="","",IF(ISNA(VLOOKUP($B39,'B-1 On-Site Hedge Baseline'!$B$1:$L$257,4,FALSE)),"",(VLOOKUP($B39,'B-1 On-Site Hedge Baseline'!$B$1:$L$257,4,FALSE))))</f>
        <v/>
      </c>
      <c r="E39" s="295" t="str">
        <f>IF(B39="","",IF(ISNA(VLOOKUP($B39,'B-1 On-Site Hedge Baseline'!$B$1:$L$257,5,FALSE)),"",(VLOOKUP($B39,'B-1 On-Site Hedge Baseline'!$B$1:$L$257,5,FALSE))))</f>
        <v/>
      </c>
      <c r="F39" s="295" t="str">
        <f>IF(B39="","",IF(ISNA(VLOOKUP($B39,'B-1 On-Site Hedge Baseline'!$B$1:$L$257,6,FALSE)),"",(VLOOKUP($B39,'B-1 On-Site Hedge Baseline'!$B$1:$L$257,6,FALSE))))</f>
        <v/>
      </c>
      <c r="G39" s="295" t="str">
        <f>IF(B39="","",IF(ISNA(VLOOKUP($B39,'B-1 On-Site Hedge Baseline'!$B$1:$L$257,7,FALSE)),"",(VLOOKUP($B39,'B-1 On-Site Hedge Baseline'!$B$1:$L$257,7,FALSE))))</f>
        <v/>
      </c>
      <c r="H39" s="295" t="str">
        <f>IF(B39="","",IF(ISNA(VLOOKUP($B39,'B-1 On-Site Hedge Baseline'!$B$1:$L$257,8,FALSE)),"",(VLOOKUP($B39,'B-1 On-Site Hedge Baseline'!$B$1:$L$257,8,FALSE))))</f>
        <v/>
      </c>
      <c r="I39" s="295" t="str">
        <f>IF(B39="","",IF(ISNA(VLOOKUP($B39,'B-1 On-Site Hedge Baseline'!$B$1:$L$257,10,FALSE)),"",(VLOOKUP($B39,'B-1 On-Site Hedge Baseline'!$B$1:$L$257,10,FALSE))))</f>
        <v/>
      </c>
      <c r="J39" s="295" t="str">
        <f>IF(B39="","",IF(ISNA(VLOOKUP($B39,'B-1 On-Site Hedge Baseline'!$B$1:$L$257,11,FALSE)),"",(VLOOKUP($B39,'B-1 On-Site Hedge Baseline'!$B$1:$L$257,11,FALSE))))</f>
        <v/>
      </c>
      <c r="K39" s="295" t="str">
        <f>IF(B39="","",IF(ISNA(VLOOKUP($B39,'B-1 On-Site Hedge Baseline'!$B$1:$U$257,13,FALSE)),"",(VLOOKUP($B39,'B-1 On-Site Hedge Baseline'!$B$1:$U$257,13,FALSE))))</f>
        <v/>
      </c>
      <c r="L39" s="299" t="str">
        <f>IF(B39="","",IF(ISNA(VLOOKUP($B39,'B-1 On-Site Hedge Baseline'!$B$1:$U$257,12,FALSE)),"",(VLOOKUP($B39,'B-1 On-Site Hedge Baseline'!$B$1:$U$257,12,FALSE))))</f>
        <v/>
      </c>
      <c r="M39" s="611"/>
      <c r="N39" s="275" t="str">
        <f>IFERROR(IF(B39="","",INDEX('G-6 Hedgerow Data'!$AN$3:$AZ$15,MATCH(C39,'G-6 Hedgerow Data'!$AM$3:$AM$15,0),MATCH(M39,'G-6 Hedgerow Data'!$AN$2:$AZ$2,0))),"")</f>
        <v/>
      </c>
      <c r="O39" s="276" t="str">
        <f t="shared" si="1"/>
        <v/>
      </c>
      <c r="P39" s="329" t="str">
        <f>IF(B39="","",VLOOKUP(B39,'B-1 On-Site Hedge Baseline'!$B$10:T284,16,FALSE))</f>
        <v/>
      </c>
      <c r="Q39" s="275" t="str">
        <f>IF(M39="","",VLOOKUP(M39,'G-6 Hedgerow Data'!$B$2:$AG$15,2,FALSE))</f>
        <v/>
      </c>
      <c r="R39" s="276" t="str">
        <f>IF(M39="","",VLOOKUP(M39,'G-6 Hedgerow Data'!$B$2:$AG$15,3,FALSE))</f>
        <v/>
      </c>
      <c r="S39" s="108"/>
      <c r="T39" s="314" t="str">
        <f>IFERROR(IF(S39="","",IF(AND(M39="Non-native and ornamental hedgerow",S39&lt;&gt;"Poor"),"Not possible ▲",(VLOOKUP(S39,'G-1 All Habitats'!$Z$2:$AA$9,2,FALSE)))),"")</f>
        <v/>
      </c>
      <c r="U39" s="105"/>
      <c r="V39" s="295" t="str">
        <f>IF(U39="","",IF(VLOOKUP(U39,'G-3 Multipliers'!$L$3:$N$6,2,FALSE)=0,"Spatial Data Missing ⚠",VLOOKUP(U39,'G-3 Multipliers'!$L$3:$N$6,2,FALSE)))</f>
        <v/>
      </c>
      <c r="W39" s="299" t="str">
        <f>IF(U39="","",IF(VLOOKUP(U39,'G-3 Multipliers'!$L$3:$N$6,3,FALSE)=0,"Spatial Data Missing ⚠",VLOOKUP(U39,'G-3 Multipliers'!$L$3:$N$6,3,FALSE)))</f>
        <v/>
      </c>
      <c r="X39" s="275" t="str">
        <f>IFERROR(IF(OR(LEFT(O39,5)="Error",LEFT(N39,5)="Error",T39="Error"),"Check Data ⚠",IF(F39&lt;R39,INDEX('G-6 Hedgerow Data'!$S$3:$AE$14,MATCH(C39,'G-6 Hedgerow Data'!$B$3:$B$14,0),MATCH(M39,'G-6 Hedgerow Data'!$S$2:$AE$2,0)),INDEX('G-6 Hedgerow Data'!$K$3:$Q$14,MATCH(M39,'G-6 Hedgerow Data'!$B$3:$B$14,0),MATCH(O39,'G-6 Hedgerow Data'!$K$2:$Q$2,0)))),"")</f>
        <v/>
      </c>
      <c r="Y39" s="133"/>
      <c r="Z39" s="133"/>
      <c r="AA39" s="283" t="str">
        <f t="shared" si="2"/>
        <v/>
      </c>
      <c r="AB39" s="296" t="str">
        <f t="shared" si="3"/>
        <v/>
      </c>
      <c r="AC39" s="297" t="str">
        <f t="shared" si="0"/>
        <v/>
      </c>
      <c r="AD39" s="311" t="str">
        <f>IF(M39="","",VLOOKUP(M39,'G-6 Hedgerow Data'!$B$3:$AG$15,31,FALSE))</f>
        <v/>
      </c>
      <c r="AE39" s="283" t="str">
        <f t="shared" si="4"/>
        <v/>
      </c>
      <c r="AF39" s="283" t="str">
        <f t="shared" si="5"/>
        <v/>
      </c>
      <c r="AG39" s="299" t="str">
        <f>IFERROR(IF(O39="","",VLOOKUP(AD39,'G-3 Multipliers'!$P$3:$Q$6,2,FALSE)),"")</f>
        <v/>
      </c>
      <c r="AH39" s="289" t="str">
        <f t="shared" si="6"/>
        <v/>
      </c>
      <c r="AI39" s="108"/>
      <c r="AJ39" s="115"/>
      <c r="AK39" s="104"/>
      <c r="AT39" s="30" t="str">
        <f>IFERROR(INDEX('G-6 Hedgerow Data'!$BJ$3:$BJ$15,MATCH(M39,'G-6 Hedgerow Data'!$B$3:$B$15,0)),"")</f>
        <v/>
      </c>
    </row>
    <row r="40" spans="2:46" ht="14">
      <c r="B40" s="305" t="str">
        <f>'B-1 On-Site Hedge Baseline'!AK38</f>
        <v/>
      </c>
      <c r="C40" s="295" t="str">
        <f>IF(B40="","",IF(ISNA(VLOOKUP($B40,'B-1 On-Site Hedge Baseline'!$B$1:$L$257,3,FALSE)),"",(VLOOKUP($B40,'B-1 On-Site Hedge Baseline'!$B$1:$L$257,3,FALSE))))</f>
        <v/>
      </c>
      <c r="D40" s="295" t="str">
        <f>IF(B40="","",IF(ISNA(VLOOKUP($B40,'B-1 On-Site Hedge Baseline'!$B$1:$L$257,4,FALSE)),"",(VLOOKUP($B40,'B-1 On-Site Hedge Baseline'!$B$1:$L$257,4,FALSE))))</f>
        <v/>
      </c>
      <c r="E40" s="295" t="str">
        <f>IF(B40="","",IF(ISNA(VLOOKUP($B40,'B-1 On-Site Hedge Baseline'!$B$1:$L$257,5,FALSE)),"",(VLOOKUP($B40,'B-1 On-Site Hedge Baseline'!$B$1:$L$257,5,FALSE))))</f>
        <v/>
      </c>
      <c r="F40" s="295" t="str">
        <f>IF(B40="","",IF(ISNA(VLOOKUP($B40,'B-1 On-Site Hedge Baseline'!$B$1:$L$257,6,FALSE)),"",(VLOOKUP($B40,'B-1 On-Site Hedge Baseline'!$B$1:$L$257,6,FALSE))))</f>
        <v/>
      </c>
      <c r="G40" s="295" t="str">
        <f>IF(B40="","",IF(ISNA(VLOOKUP($B40,'B-1 On-Site Hedge Baseline'!$B$1:$L$257,7,FALSE)),"",(VLOOKUP($B40,'B-1 On-Site Hedge Baseline'!$B$1:$L$257,7,FALSE))))</f>
        <v/>
      </c>
      <c r="H40" s="295" t="str">
        <f>IF(B40="","",IF(ISNA(VLOOKUP($B40,'B-1 On-Site Hedge Baseline'!$B$1:$L$257,8,FALSE)),"",(VLOOKUP($B40,'B-1 On-Site Hedge Baseline'!$B$1:$L$257,8,FALSE))))</f>
        <v/>
      </c>
      <c r="I40" s="295" t="str">
        <f>IF(B40="","",IF(ISNA(VLOOKUP($B40,'B-1 On-Site Hedge Baseline'!$B$1:$L$257,10,FALSE)),"",(VLOOKUP($B40,'B-1 On-Site Hedge Baseline'!$B$1:$L$257,10,FALSE))))</f>
        <v/>
      </c>
      <c r="J40" s="295" t="str">
        <f>IF(B40="","",IF(ISNA(VLOOKUP($B40,'B-1 On-Site Hedge Baseline'!$B$1:$L$257,11,FALSE)),"",(VLOOKUP($B40,'B-1 On-Site Hedge Baseline'!$B$1:$L$257,11,FALSE))))</f>
        <v/>
      </c>
      <c r="K40" s="295" t="str">
        <f>IF(B40="","",IF(ISNA(VLOOKUP($B40,'B-1 On-Site Hedge Baseline'!$B$1:$U$257,13,FALSE)),"",(VLOOKUP($B40,'B-1 On-Site Hedge Baseline'!$B$1:$U$257,13,FALSE))))</f>
        <v/>
      </c>
      <c r="L40" s="299" t="str">
        <f>IF(B40="","",IF(ISNA(VLOOKUP($B40,'B-1 On-Site Hedge Baseline'!$B$1:$U$257,12,FALSE)),"",(VLOOKUP($B40,'B-1 On-Site Hedge Baseline'!$B$1:$U$257,12,FALSE))))</f>
        <v/>
      </c>
      <c r="M40" s="611"/>
      <c r="N40" s="275" t="str">
        <f>IFERROR(IF(B40="","",INDEX('G-6 Hedgerow Data'!$AN$3:$AZ$15,MATCH(C40,'G-6 Hedgerow Data'!$AM$3:$AM$15,0),MATCH(M40,'G-6 Hedgerow Data'!$AN$2:$AZ$2,0))),"")</f>
        <v/>
      </c>
      <c r="O40" s="276" t="str">
        <f t="shared" si="1"/>
        <v/>
      </c>
      <c r="P40" s="329" t="str">
        <f>IF(B40="","",VLOOKUP(B40,'B-1 On-Site Hedge Baseline'!$B$10:T285,16,FALSE))</f>
        <v/>
      </c>
      <c r="Q40" s="275" t="str">
        <f>IF(M40="","",VLOOKUP(M40,'G-6 Hedgerow Data'!$B$2:$AG$15,2,FALSE))</f>
        <v/>
      </c>
      <c r="R40" s="276" t="str">
        <f>IF(M40="","",VLOOKUP(M40,'G-6 Hedgerow Data'!$B$2:$AG$15,3,FALSE))</f>
        <v/>
      </c>
      <c r="S40" s="108"/>
      <c r="T40" s="314" t="str">
        <f>IFERROR(IF(S40="","",IF(AND(M40="Non-native and ornamental hedgerow",S40&lt;&gt;"Poor"),"Not possible ▲",(VLOOKUP(S40,'G-1 All Habitats'!$Z$2:$AA$9,2,FALSE)))),"")</f>
        <v/>
      </c>
      <c r="U40" s="105"/>
      <c r="V40" s="295" t="str">
        <f>IF(U40="","",IF(VLOOKUP(U40,'G-3 Multipliers'!$L$3:$N$6,2,FALSE)=0,"Spatial Data Missing ⚠",VLOOKUP(U40,'G-3 Multipliers'!$L$3:$N$6,2,FALSE)))</f>
        <v/>
      </c>
      <c r="W40" s="299" t="str">
        <f>IF(U40="","",IF(VLOOKUP(U40,'G-3 Multipliers'!$L$3:$N$6,3,FALSE)=0,"Spatial Data Missing ⚠",VLOOKUP(U40,'G-3 Multipliers'!$L$3:$N$6,3,FALSE)))</f>
        <v/>
      </c>
      <c r="X40" s="275" t="str">
        <f>IFERROR(IF(OR(LEFT(O40,5)="Error",LEFT(N40,5)="Error",T40="Error"),"Check Data ⚠",IF(F40&lt;R40,INDEX('G-6 Hedgerow Data'!$S$3:$AE$14,MATCH(C40,'G-6 Hedgerow Data'!$B$3:$B$14,0),MATCH(M40,'G-6 Hedgerow Data'!$S$2:$AE$2,0)),INDEX('G-6 Hedgerow Data'!$K$3:$Q$14,MATCH(M40,'G-6 Hedgerow Data'!$B$3:$B$14,0),MATCH(O40,'G-6 Hedgerow Data'!$K$2:$Q$2,0)))),"")</f>
        <v/>
      </c>
      <c r="Y40" s="133"/>
      <c r="Z40" s="133"/>
      <c r="AA40" s="283" t="str">
        <f t="shared" si="2"/>
        <v/>
      </c>
      <c r="AB40" s="296" t="str">
        <f t="shared" si="3"/>
        <v/>
      </c>
      <c r="AC40" s="297" t="str">
        <f t="shared" si="0"/>
        <v/>
      </c>
      <c r="AD40" s="311" t="str">
        <f>IF(M40="","",VLOOKUP(M40,'G-6 Hedgerow Data'!$B$3:$AG$15,31,FALSE))</f>
        <v/>
      </c>
      <c r="AE40" s="283" t="str">
        <f t="shared" si="4"/>
        <v/>
      </c>
      <c r="AF40" s="283" t="str">
        <f t="shared" si="5"/>
        <v/>
      </c>
      <c r="AG40" s="299" t="str">
        <f>IFERROR(IF(O40="","",VLOOKUP(AD40,'G-3 Multipliers'!$P$3:$Q$6,2,FALSE)),"")</f>
        <v/>
      </c>
      <c r="AH40" s="289" t="str">
        <f t="shared" si="6"/>
        <v/>
      </c>
      <c r="AI40" s="108"/>
      <c r="AJ40" s="115"/>
      <c r="AK40" s="104"/>
      <c r="AT40" s="30" t="str">
        <f>IFERROR(INDEX('G-6 Hedgerow Data'!$BJ$3:$BJ$15,MATCH(M40,'G-6 Hedgerow Data'!$B$3:$B$15,0)),"")</f>
        <v/>
      </c>
    </row>
    <row r="41" spans="2:46" ht="14">
      <c r="B41" s="305" t="str">
        <f>'B-1 On-Site Hedge Baseline'!AK39</f>
        <v/>
      </c>
      <c r="C41" s="295" t="str">
        <f>IF(B41="","",IF(ISNA(VLOOKUP($B41,'B-1 On-Site Hedge Baseline'!$B$1:$L$257,3,FALSE)),"",(VLOOKUP($B41,'B-1 On-Site Hedge Baseline'!$B$1:$L$257,3,FALSE))))</f>
        <v/>
      </c>
      <c r="D41" s="295" t="str">
        <f>IF(B41="","",IF(ISNA(VLOOKUP($B41,'B-1 On-Site Hedge Baseline'!$B$1:$L$257,4,FALSE)),"",(VLOOKUP($B41,'B-1 On-Site Hedge Baseline'!$B$1:$L$257,4,FALSE))))</f>
        <v/>
      </c>
      <c r="E41" s="295" t="str">
        <f>IF(B41="","",IF(ISNA(VLOOKUP($B41,'B-1 On-Site Hedge Baseline'!$B$1:$L$257,5,FALSE)),"",(VLOOKUP($B41,'B-1 On-Site Hedge Baseline'!$B$1:$L$257,5,FALSE))))</f>
        <v/>
      </c>
      <c r="F41" s="295" t="str">
        <f>IF(B41="","",IF(ISNA(VLOOKUP($B41,'B-1 On-Site Hedge Baseline'!$B$1:$L$257,6,FALSE)),"",(VLOOKUP($B41,'B-1 On-Site Hedge Baseline'!$B$1:$L$257,6,FALSE))))</f>
        <v/>
      </c>
      <c r="G41" s="295" t="str">
        <f>IF(B41="","",IF(ISNA(VLOOKUP($B41,'B-1 On-Site Hedge Baseline'!$B$1:$L$257,7,FALSE)),"",(VLOOKUP($B41,'B-1 On-Site Hedge Baseline'!$B$1:$L$257,7,FALSE))))</f>
        <v/>
      </c>
      <c r="H41" s="295" t="str">
        <f>IF(B41="","",IF(ISNA(VLOOKUP($B41,'B-1 On-Site Hedge Baseline'!$B$1:$L$257,8,FALSE)),"",(VLOOKUP($B41,'B-1 On-Site Hedge Baseline'!$B$1:$L$257,8,FALSE))))</f>
        <v/>
      </c>
      <c r="I41" s="295" t="str">
        <f>IF(B41="","",IF(ISNA(VLOOKUP($B41,'B-1 On-Site Hedge Baseline'!$B$1:$L$257,10,FALSE)),"",(VLOOKUP($B41,'B-1 On-Site Hedge Baseline'!$B$1:$L$257,10,FALSE))))</f>
        <v/>
      </c>
      <c r="J41" s="295" t="str">
        <f>IF(B41="","",IF(ISNA(VLOOKUP($B41,'B-1 On-Site Hedge Baseline'!$B$1:$L$257,11,FALSE)),"",(VLOOKUP($B41,'B-1 On-Site Hedge Baseline'!$B$1:$L$257,11,FALSE))))</f>
        <v/>
      </c>
      <c r="K41" s="295" t="str">
        <f>IF(B41="","",IF(ISNA(VLOOKUP($B41,'B-1 On-Site Hedge Baseline'!$B$1:$U$257,13,FALSE)),"",(VLOOKUP($B41,'B-1 On-Site Hedge Baseline'!$B$1:$U$257,13,FALSE))))</f>
        <v/>
      </c>
      <c r="L41" s="299" t="str">
        <f>IF(B41="","",IF(ISNA(VLOOKUP($B41,'B-1 On-Site Hedge Baseline'!$B$1:$U$257,12,FALSE)),"",(VLOOKUP($B41,'B-1 On-Site Hedge Baseline'!$B$1:$U$257,12,FALSE))))</f>
        <v/>
      </c>
      <c r="M41" s="611"/>
      <c r="N41" s="275" t="str">
        <f>IFERROR(IF(B41="","",INDEX('G-6 Hedgerow Data'!$AN$3:$AZ$15,MATCH(C41,'G-6 Hedgerow Data'!$AM$3:$AM$15,0),MATCH(M41,'G-6 Hedgerow Data'!$AN$2:$AZ$2,0))),"")</f>
        <v/>
      </c>
      <c r="O41" s="276" t="str">
        <f t="shared" si="1"/>
        <v/>
      </c>
      <c r="P41" s="329" t="str">
        <f>IF(B41="","",VLOOKUP(B41,'B-1 On-Site Hedge Baseline'!$B$10:T286,16,FALSE))</f>
        <v/>
      </c>
      <c r="Q41" s="275" t="str">
        <f>IF(M41="","",VLOOKUP(M41,'G-6 Hedgerow Data'!$B$2:$AG$15,2,FALSE))</f>
        <v/>
      </c>
      <c r="R41" s="276" t="str">
        <f>IF(M41="","",VLOOKUP(M41,'G-6 Hedgerow Data'!$B$2:$AG$15,3,FALSE))</f>
        <v/>
      </c>
      <c r="S41" s="108"/>
      <c r="T41" s="314" t="str">
        <f>IFERROR(IF(S41="","",IF(AND(M41="Non-native and ornamental hedgerow",S41&lt;&gt;"Poor"),"Not possible ▲",(VLOOKUP(S41,'G-1 All Habitats'!$Z$2:$AA$9,2,FALSE)))),"")</f>
        <v/>
      </c>
      <c r="U41" s="105"/>
      <c r="V41" s="295" t="str">
        <f>IF(U41="","",IF(VLOOKUP(U41,'G-3 Multipliers'!$L$3:$N$6,2,FALSE)=0,"Spatial Data Missing ⚠",VLOOKUP(U41,'G-3 Multipliers'!$L$3:$N$6,2,FALSE)))</f>
        <v/>
      </c>
      <c r="W41" s="299" t="str">
        <f>IF(U41="","",IF(VLOOKUP(U41,'G-3 Multipliers'!$L$3:$N$6,3,FALSE)=0,"Spatial Data Missing ⚠",VLOOKUP(U41,'G-3 Multipliers'!$L$3:$N$6,3,FALSE)))</f>
        <v/>
      </c>
      <c r="X41" s="275" t="str">
        <f>IFERROR(IF(OR(LEFT(O41,5)="Error",LEFT(N41,5)="Error",T41="Error"),"Check Data ⚠",IF(F41&lt;R41,INDEX('G-6 Hedgerow Data'!$S$3:$AE$14,MATCH(C41,'G-6 Hedgerow Data'!$B$3:$B$14,0),MATCH(M41,'G-6 Hedgerow Data'!$S$2:$AE$2,0)),INDEX('G-6 Hedgerow Data'!$K$3:$Q$14,MATCH(M41,'G-6 Hedgerow Data'!$B$3:$B$14,0),MATCH(O41,'G-6 Hedgerow Data'!$K$2:$Q$2,0)))),"")</f>
        <v/>
      </c>
      <c r="Y41" s="133"/>
      <c r="Z41" s="133"/>
      <c r="AA41" s="283" t="str">
        <f t="shared" si="2"/>
        <v/>
      </c>
      <c r="AB41" s="296" t="str">
        <f t="shared" si="3"/>
        <v/>
      </c>
      <c r="AC41" s="297" t="str">
        <f t="shared" si="0"/>
        <v/>
      </c>
      <c r="AD41" s="311" t="str">
        <f>IF(M41="","",VLOOKUP(M41,'G-6 Hedgerow Data'!$B$3:$AG$15,31,FALSE))</f>
        <v/>
      </c>
      <c r="AE41" s="283" t="str">
        <f t="shared" si="4"/>
        <v/>
      </c>
      <c r="AF41" s="283" t="str">
        <f t="shared" si="5"/>
        <v/>
      </c>
      <c r="AG41" s="299" t="str">
        <f>IFERROR(IF(O41="","",VLOOKUP(AD41,'G-3 Multipliers'!$P$3:$Q$6,2,FALSE)),"")</f>
        <v/>
      </c>
      <c r="AH41" s="289" t="str">
        <f t="shared" si="6"/>
        <v/>
      </c>
      <c r="AI41" s="108"/>
      <c r="AJ41" s="115"/>
      <c r="AK41" s="104"/>
      <c r="AT41" s="30" t="str">
        <f>IFERROR(INDEX('G-6 Hedgerow Data'!$BJ$3:$BJ$15,MATCH(M41,'G-6 Hedgerow Data'!$B$3:$B$15,0)),"")</f>
        <v/>
      </c>
    </row>
    <row r="42" spans="2:46" ht="14">
      <c r="B42" s="305" t="str">
        <f>'B-1 On-Site Hedge Baseline'!AK40</f>
        <v/>
      </c>
      <c r="C42" s="295" t="str">
        <f>IF(B42="","",IF(ISNA(VLOOKUP($B42,'B-1 On-Site Hedge Baseline'!$B$1:$L$257,3,FALSE)),"",(VLOOKUP($B42,'B-1 On-Site Hedge Baseline'!$B$1:$L$257,3,FALSE))))</f>
        <v/>
      </c>
      <c r="D42" s="295" t="str">
        <f>IF(B42="","",IF(ISNA(VLOOKUP($B42,'B-1 On-Site Hedge Baseline'!$B$1:$L$257,4,FALSE)),"",(VLOOKUP($B42,'B-1 On-Site Hedge Baseline'!$B$1:$L$257,4,FALSE))))</f>
        <v/>
      </c>
      <c r="E42" s="295" t="str">
        <f>IF(B42="","",IF(ISNA(VLOOKUP($B42,'B-1 On-Site Hedge Baseline'!$B$1:$L$257,5,FALSE)),"",(VLOOKUP($B42,'B-1 On-Site Hedge Baseline'!$B$1:$L$257,5,FALSE))))</f>
        <v/>
      </c>
      <c r="F42" s="295" t="str">
        <f>IF(B42="","",IF(ISNA(VLOOKUP($B42,'B-1 On-Site Hedge Baseline'!$B$1:$L$257,6,FALSE)),"",(VLOOKUP($B42,'B-1 On-Site Hedge Baseline'!$B$1:$L$257,6,FALSE))))</f>
        <v/>
      </c>
      <c r="G42" s="295" t="str">
        <f>IF(B42="","",IF(ISNA(VLOOKUP($B42,'B-1 On-Site Hedge Baseline'!$B$1:$L$257,7,FALSE)),"",(VLOOKUP($B42,'B-1 On-Site Hedge Baseline'!$B$1:$L$257,7,FALSE))))</f>
        <v/>
      </c>
      <c r="H42" s="295" t="str">
        <f>IF(B42="","",IF(ISNA(VLOOKUP($B42,'B-1 On-Site Hedge Baseline'!$B$1:$L$257,8,FALSE)),"",(VLOOKUP($B42,'B-1 On-Site Hedge Baseline'!$B$1:$L$257,8,FALSE))))</f>
        <v/>
      </c>
      <c r="I42" s="295" t="str">
        <f>IF(B42="","",IF(ISNA(VLOOKUP($B42,'B-1 On-Site Hedge Baseline'!$B$1:$L$257,10,FALSE)),"",(VLOOKUP($B42,'B-1 On-Site Hedge Baseline'!$B$1:$L$257,10,FALSE))))</f>
        <v/>
      </c>
      <c r="J42" s="295" t="str">
        <f>IF(B42="","",IF(ISNA(VLOOKUP($B42,'B-1 On-Site Hedge Baseline'!$B$1:$L$257,11,FALSE)),"",(VLOOKUP($B42,'B-1 On-Site Hedge Baseline'!$B$1:$L$257,11,FALSE))))</f>
        <v/>
      </c>
      <c r="K42" s="295" t="str">
        <f>IF(B42="","",IF(ISNA(VLOOKUP($B42,'B-1 On-Site Hedge Baseline'!$B$1:$U$257,13,FALSE)),"",(VLOOKUP($B42,'B-1 On-Site Hedge Baseline'!$B$1:$U$257,13,FALSE))))</f>
        <v/>
      </c>
      <c r="L42" s="299" t="str">
        <f>IF(B42="","",IF(ISNA(VLOOKUP($B42,'B-1 On-Site Hedge Baseline'!$B$1:$U$257,12,FALSE)),"",(VLOOKUP($B42,'B-1 On-Site Hedge Baseline'!$B$1:$U$257,12,FALSE))))</f>
        <v/>
      </c>
      <c r="M42" s="611"/>
      <c r="N42" s="275" t="str">
        <f>IFERROR(IF(B42="","",INDEX('G-6 Hedgerow Data'!$AN$3:$AZ$15,MATCH(C42,'G-6 Hedgerow Data'!$AM$3:$AM$15,0),MATCH(M42,'G-6 Hedgerow Data'!$AN$2:$AZ$2,0))),"")</f>
        <v/>
      </c>
      <c r="O42" s="276" t="str">
        <f t="shared" si="1"/>
        <v/>
      </c>
      <c r="P42" s="329" t="str">
        <f>IF(B42="","",VLOOKUP(B42,'B-1 On-Site Hedge Baseline'!$B$10:T287,16,FALSE))</f>
        <v/>
      </c>
      <c r="Q42" s="275" t="str">
        <f>IF(M42="","",VLOOKUP(M42,'G-6 Hedgerow Data'!$B$2:$AG$15,2,FALSE))</f>
        <v/>
      </c>
      <c r="R42" s="276" t="str">
        <f>IF(M42="","",VLOOKUP(M42,'G-6 Hedgerow Data'!$B$2:$AG$15,3,FALSE))</f>
        <v/>
      </c>
      <c r="S42" s="108"/>
      <c r="T42" s="314" t="str">
        <f>IFERROR(IF(S42="","",IF(AND(M42="Non-native and ornamental hedgerow",S42&lt;&gt;"Poor"),"Not possible ▲",(VLOOKUP(S42,'G-1 All Habitats'!$Z$2:$AA$9,2,FALSE)))),"")</f>
        <v/>
      </c>
      <c r="U42" s="105"/>
      <c r="V42" s="295" t="str">
        <f>IF(U42="","",IF(VLOOKUP(U42,'G-3 Multipliers'!$L$3:$N$6,2,FALSE)=0,"Spatial Data Missing ⚠",VLOOKUP(U42,'G-3 Multipliers'!$L$3:$N$6,2,FALSE)))</f>
        <v/>
      </c>
      <c r="W42" s="299" t="str">
        <f>IF(U42="","",IF(VLOOKUP(U42,'G-3 Multipliers'!$L$3:$N$6,3,FALSE)=0,"Spatial Data Missing ⚠",VLOOKUP(U42,'G-3 Multipliers'!$L$3:$N$6,3,FALSE)))</f>
        <v/>
      </c>
      <c r="X42" s="275" t="str">
        <f>IFERROR(IF(OR(LEFT(O42,5)="Error",LEFT(N42,5)="Error",T42="Error"),"Check Data ⚠",IF(F42&lt;R42,INDEX('G-6 Hedgerow Data'!$S$3:$AE$14,MATCH(C42,'G-6 Hedgerow Data'!$B$3:$B$14,0),MATCH(M42,'G-6 Hedgerow Data'!$S$2:$AE$2,0)),INDEX('G-6 Hedgerow Data'!$K$3:$Q$14,MATCH(M42,'G-6 Hedgerow Data'!$B$3:$B$14,0),MATCH(O42,'G-6 Hedgerow Data'!$K$2:$Q$2,0)))),"")</f>
        <v/>
      </c>
      <c r="Y42" s="133"/>
      <c r="Z42" s="133"/>
      <c r="AA42" s="283" t="str">
        <f t="shared" si="2"/>
        <v/>
      </c>
      <c r="AB42" s="296" t="str">
        <f t="shared" si="3"/>
        <v/>
      </c>
      <c r="AC42" s="297" t="str">
        <f t="shared" si="0"/>
        <v/>
      </c>
      <c r="AD42" s="311" t="str">
        <f>IF(M42="","",VLOOKUP(M42,'G-6 Hedgerow Data'!$B$3:$AG$15,31,FALSE))</f>
        <v/>
      </c>
      <c r="AE42" s="283" t="str">
        <f t="shared" si="4"/>
        <v/>
      </c>
      <c r="AF42" s="283" t="str">
        <f t="shared" si="5"/>
        <v/>
      </c>
      <c r="AG42" s="299" t="str">
        <f>IFERROR(IF(O42="","",VLOOKUP(AD42,'G-3 Multipliers'!$P$3:$Q$6,2,FALSE)),"")</f>
        <v/>
      </c>
      <c r="AH42" s="289" t="str">
        <f t="shared" si="6"/>
        <v/>
      </c>
      <c r="AI42" s="108"/>
      <c r="AJ42" s="115"/>
      <c r="AK42" s="104"/>
      <c r="AT42" s="30" t="str">
        <f>IFERROR(INDEX('G-6 Hedgerow Data'!$BJ$3:$BJ$15,MATCH(M42,'G-6 Hedgerow Data'!$B$3:$B$15,0)),"")</f>
        <v/>
      </c>
    </row>
    <row r="43" spans="2:46" ht="14">
      <c r="B43" s="305" t="str">
        <f>'B-1 On-Site Hedge Baseline'!AK41</f>
        <v/>
      </c>
      <c r="C43" s="295" t="str">
        <f>IF(B43="","",IF(ISNA(VLOOKUP($B43,'B-1 On-Site Hedge Baseline'!$B$1:$L$257,3,FALSE)),"",(VLOOKUP($B43,'B-1 On-Site Hedge Baseline'!$B$1:$L$257,3,FALSE))))</f>
        <v/>
      </c>
      <c r="D43" s="295" t="str">
        <f>IF(B43="","",IF(ISNA(VLOOKUP($B43,'B-1 On-Site Hedge Baseline'!$B$1:$L$257,4,FALSE)),"",(VLOOKUP($B43,'B-1 On-Site Hedge Baseline'!$B$1:$L$257,4,FALSE))))</f>
        <v/>
      </c>
      <c r="E43" s="295" t="str">
        <f>IF(B43="","",IF(ISNA(VLOOKUP($B43,'B-1 On-Site Hedge Baseline'!$B$1:$L$257,5,FALSE)),"",(VLOOKUP($B43,'B-1 On-Site Hedge Baseline'!$B$1:$L$257,5,FALSE))))</f>
        <v/>
      </c>
      <c r="F43" s="295" t="str">
        <f>IF(B43="","",IF(ISNA(VLOOKUP($B43,'B-1 On-Site Hedge Baseline'!$B$1:$L$257,6,FALSE)),"",(VLOOKUP($B43,'B-1 On-Site Hedge Baseline'!$B$1:$L$257,6,FALSE))))</f>
        <v/>
      </c>
      <c r="G43" s="295" t="str">
        <f>IF(B43="","",IF(ISNA(VLOOKUP($B43,'B-1 On-Site Hedge Baseline'!$B$1:$L$257,7,FALSE)),"",(VLOOKUP($B43,'B-1 On-Site Hedge Baseline'!$B$1:$L$257,7,FALSE))))</f>
        <v/>
      </c>
      <c r="H43" s="295" t="str">
        <f>IF(B43="","",IF(ISNA(VLOOKUP($B43,'B-1 On-Site Hedge Baseline'!$B$1:$L$257,8,FALSE)),"",(VLOOKUP($B43,'B-1 On-Site Hedge Baseline'!$B$1:$L$257,8,FALSE))))</f>
        <v/>
      </c>
      <c r="I43" s="295" t="str">
        <f>IF(B43="","",IF(ISNA(VLOOKUP($B43,'B-1 On-Site Hedge Baseline'!$B$1:$L$257,10,FALSE)),"",(VLOOKUP($B43,'B-1 On-Site Hedge Baseline'!$B$1:$L$257,10,FALSE))))</f>
        <v/>
      </c>
      <c r="J43" s="295" t="str">
        <f>IF(B43="","",IF(ISNA(VLOOKUP($B43,'B-1 On-Site Hedge Baseline'!$B$1:$L$257,11,FALSE)),"",(VLOOKUP($B43,'B-1 On-Site Hedge Baseline'!$B$1:$L$257,11,FALSE))))</f>
        <v/>
      </c>
      <c r="K43" s="295" t="str">
        <f>IF(B43="","",IF(ISNA(VLOOKUP($B43,'B-1 On-Site Hedge Baseline'!$B$1:$U$257,13,FALSE)),"",(VLOOKUP($B43,'B-1 On-Site Hedge Baseline'!$B$1:$U$257,13,FALSE))))</f>
        <v/>
      </c>
      <c r="L43" s="299" t="str">
        <f>IF(B43="","",IF(ISNA(VLOOKUP($B43,'B-1 On-Site Hedge Baseline'!$B$1:$U$257,12,FALSE)),"",(VLOOKUP($B43,'B-1 On-Site Hedge Baseline'!$B$1:$U$257,12,FALSE))))</f>
        <v/>
      </c>
      <c r="M43" s="611"/>
      <c r="N43" s="275" t="str">
        <f>IFERROR(IF(B43="","",INDEX('G-6 Hedgerow Data'!$AN$3:$AZ$15,MATCH(C43,'G-6 Hedgerow Data'!$AM$3:$AM$15,0),MATCH(M43,'G-6 Hedgerow Data'!$AN$2:$AZ$2,0))),"")</f>
        <v/>
      </c>
      <c r="O43" s="276" t="str">
        <f t="shared" si="1"/>
        <v/>
      </c>
      <c r="P43" s="329" t="str">
        <f>IF(B43="","",VLOOKUP(B43,'B-1 On-Site Hedge Baseline'!$B$10:T288,16,FALSE))</f>
        <v/>
      </c>
      <c r="Q43" s="275" t="str">
        <f>IF(M43="","",VLOOKUP(M43,'G-6 Hedgerow Data'!$B$2:$AG$15,2,FALSE))</f>
        <v/>
      </c>
      <c r="R43" s="276" t="str">
        <f>IF(M43="","",VLOOKUP(M43,'G-6 Hedgerow Data'!$B$2:$AG$15,3,FALSE))</f>
        <v/>
      </c>
      <c r="S43" s="108"/>
      <c r="T43" s="314" t="str">
        <f>IFERROR(IF(S43="","",IF(AND(M43="Non-native and ornamental hedgerow",S43&lt;&gt;"Poor"),"Not possible ▲",(VLOOKUP(S43,'G-1 All Habitats'!$Z$2:$AA$9,2,FALSE)))),"")</f>
        <v/>
      </c>
      <c r="U43" s="105"/>
      <c r="V43" s="295" t="str">
        <f>IF(U43="","",IF(VLOOKUP(U43,'G-3 Multipliers'!$L$3:$N$6,2,FALSE)=0,"Spatial Data Missing ⚠",VLOOKUP(U43,'G-3 Multipliers'!$L$3:$N$6,2,FALSE)))</f>
        <v/>
      </c>
      <c r="W43" s="299" t="str">
        <f>IF(U43="","",IF(VLOOKUP(U43,'G-3 Multipliers'!$L$3:$N$6,3,FALSE)=0,"Spatial Data Missing ⚠",VLOOKUP(U43,'G-3 Multipliers'!$L$3:$N$6,3,FALSE)))</f>
        <v/>
      </c>
      <c r="X43" s="275" t="str">
        <f>IFERROR(IF(OR(LEFT(O43,5)="Error",LEFT(N43,5)="Error",T43="Error"),"Check Data ⚠",IF(F43&lt;R43,INDEX('G-6 Hedgerow Data'!$S$3:$AE$14,MATCH(C43,'G-6 Hedgerow Data'!$B$3:$B$14,0),MATCH(M43,'G-6 Hedgerow Data'!$S$2:$AE$2,0)),INDEX('G-6 Hedgerow Data'!$K$3:$Q$14,MATCH(M43,'G-6 Hedgerow Data'!$B$3:$B$14,0),MATCH(O43,'G-6 Hedgerow Data'!$K$2:$Q$2,0)))),"")</f>
        <v/>
      </c>
      <c r="Y43" s="133"/>
      <c r="Z43" s="133"/>
      <c r="AA43" s="283" t="str">
        <f t="shared" si="2"/>
        <v/>
      </c>
      <c r="AB43" s="296" t="str">
        <f t="shared" si="3"/>
        <v/>
      </c>
      <c r="AC43" s="297" t="str">
        <f t="shared" si="0"/>
        <v/>
      </c>
      <c r="AD43" s="311" t="str">
        <f>IF(M43="","",VLOOKUP(M43,'G-6 Hedgerow Data'!$B$3:$AG$15,31,FALSE))</f>
        <v/>
      </c>
      <c r="AE43" s="283" t="str">
        <f t="shared" si="4"/>
        <v/>
      </c>
      <c r="AF43" s="283" t="str">
        <f t="shared" si="5"/>
        <v/>
      </c>
      <c r="AG43" s="299" t="str">
        <f>IFERROR(IF(O43="","",VLOOKUP(AD43,'G-3 Multipliers'!$P$3:$Q$6,2,FALSE)),"")</f>
        <v/>
      </c>
      <c r="AH43" s="289" t="str">
        <f t="shared" si="6"/>
        <v/>
      </c>
      <c r="AI43" s="108"/>
      <c r="AJ43" s="115"/>
      <c r="AK43" s="104"/>
      <c r="AT43" s="30" t="str">
        <f>IFERROR(INDEX('G-6 Hedgerow Data'!$BJ$3:$BJ$15,MATCH(M43,'G-6 Hedgerow Data'!$B$3:$B$15,0)),"")</f>
        <v/>
      </c>
    </row>
    <row r="44" spans="2:46" ht="14">
      <c r="B44" s="305" t="str">
        <f>'B-1 On-Site Hedge Baseline'!AK42</f>
        <v/>
      </c>
      <c r="C44" s="295" t="str">
        <f>IF(B44="","",IF(ISNA(VLOOKUP($B44,'B-1 On-Site Hedge Baseline'!$B$1:$L$257,3,FALSE)),"",(VLOOKUP($B44,'B-1 On-Site Hedge Baseline'!$B$1:$L$257,3,FALSE))))</f>
        <v/>
      </c>
      <c r="D44" s="295" t="str">
        <f>IF(B44="","",IF(ISNA(VLOOKUP($B44,'B-1 On-Site Hedge Baseline'!$B$1:$L$257,4,FALSE)),"",(VLOOKUP($B44,'B-1 On-Site Hedge Baseline'!$B$1:$L$257,4,FALSE))))</f>
        <v/>
      </c>
      <c r="E44" s="295" t="str">
        <f>IF(B44="","",IF(ISNA(VLOOKUP($B44,'B-1 On-Site Hedge Baseline'!$B$1:$L$257,5,FALSE)),"",(VLOOKUP($B44,'B-1 On-Site Hedge Baseline'!$B$1:$L$257,5,FALSE))))</f>
        <v/>
      </c>
      <c r="F44" s="295" t="str">
        <f>IF(B44="","",IF(ISNA(VLOOKUP($B44,'B-1 On-Site Hedge Baseline'!$B$1:$L$257,6,FALSE)),"",(VLOOKUP($B44,'B-1 On-Site Hedge Baseline'!$B$1:$L$257,6,FALSE))))</f>
        <v/>
      </c>
      <c r="G44" s="295" t="str">
        <f>IF(B44="","",IF(ISNA(VLOOKUP($B44,'B-1 On-Site Hedge Baseline'!$B$1:$L$257,7,FALSE)),"",(VLOOKUP($B44,'B-1 On-Site Hedge Baseline'!$B$1:$L$257,7,FALSE))))</f>
        <v/>
      </c>
      <c r="H44" s="295" t="str">
        <f>IF(B44="","",IF(ISNA(VLOOKUP($B44,'B-1 On-Site Hedge Baseline'!$B$1:$L$257,8,FALSE)),"",(VLOOKUP($B44,'B-1 On-Site Hedge Baseline'!$B$1:$L$257,8,FALSE))))</f>
        <v/>
      </c>
      <c r="I44" s="295" t="str">
        <f>IF(B44="","",IF(ISNA(VLOOKUP($B44,'B-1 On-Site Hedge Baseline'!$B$1:$L$257,10,FALSE)),"",(VLOOKUP($B44,'B-1 On-Site Hedge Baseline'!$B$1:$L$257,10,FALSE))))</f>
        <v/>
      </c>
      <c r="J44" s="295" t="str">
        <f>IF(B44="","",IF(ISNA(VLOOKUP($B44,'B-1 On-Site Hedge Baseline'!$B$1:$L$257,11,FALSE)),"",(VLOOKUP($B44,'B-1 On-Site Hedge Baseline'!$B$1:$L$257,11,FALSE))))</f>
        <v/>
      </c>
      <c r="K44" s="295" t="str">
        <f>IF(B44="","",IF(ISNA(VLOOKUP($B44,'B-1 On-Site Hedge Baseline'!$B$1:$U$257,13,FALSE)),"",(VLOOKUP($B44,'B-1 On-Site Hedge Baseline'!$B$1:$U$257,13,FALSE))))</f>
        <v/>
      </c>
      <c r="L44" s="299" t="str">
        <f>IF(B44="","",IF(ISNA(VLOOKUP($B44,'B-1 On-Site Hedge Baseline'!$B$1:$U$257,12,FALSE)),"",(VLOOKUP($B44,'B-1 On-Site Hedge Baseline'!$B$1:$U$257,12,FALSE))))</f>
        <v/>
      </c>
      <c r="M44" s="611"/>
      <c r="N44" s="275" t="str">
        <f>IFERROR(IF(B44="","",INDEX('G-6 Hedgerow Data'!$AN$3:$AZ$15,MATCH(C44,'G-6 Hedgerow Data'!$AM$3:$AM$15,0),MATCH(M44,'G-6 Hedgerow Data'!$AN$2:$AZ$2,0))),"")</f>
        <v/>
      </c>
      <c r="O44" s="276" t="str">
        <f t="shared" si="1"/>
        <v/>
      </c>
      <c r="P44" s="329" t="str">
        <f>IF(B44="","",VLOOKUP(B44,'B-1 On-Site Hedge Baseline'!$B$10:T289,16,FALSE))</f>
        <v/>
      </c>
      <c r="Q44" s="275" t="str">
        <f>IF(M44="","",VLOOKUP(M44,'G-6 Hedgerow Data'!$B$2:$AG$15,2,FALSE))</f>
        <v/>
      </c>
      <c r="R44" s="276" t="str">
        <f>IF(M44="","",VLOOKUP(M44,'G-6 Hedgerow Data'!$B$2:$AG$15,3,FALSE))</f>
        <v/>
      </c>
      <c r="S44" s="108"/>
      <c r="T44" s="314" t="str">
        <f>IFERROR(IF(S44="","",IF(AND(M44="Non-native and ornamental hedgerow",S44&lt;&gt;"Poor"),"Not possible ▲",(VLOOKUP(S44,'G-1 All Habitats'!$Z$2:$AA$9,2,FALSE)))),"")</f>
        <v/>
      </c>
      <c r="U44" s="105"/>
      <c r="V44" s="295" t="str">
        <f>IF(U44="","",IF(VLOOKUP(U44,'G-3 Multipliers'!$L$3:$N$6,2,FALSE)=0,"Spatial Data Missing ⚠",VLOOKUP(U44,'G-3 Multipliers'!$L$3:$N$6,2,FALSE)))</f>
        <v/>
      </c>
      <c r="W44" s="299" t="str">
        <f>IF(U44="","",IF(VLOOKUP(U44,'G-3 Multipliers'!$L$3:$N$6,3,FALSE)=0,"Spatial Data Missing ⚠",VLOOKUP(U44,'G-3 Multipliers'!$L$3:$N$6,3,FALSE)))</f>
        <v/>
      </c>
      <c r="X44" s="275" t="str">
        <f>IFERROR(IF(OR(LEFT(O44,5)="Error",LEFT(N44,5)="Error",T44="Error"),"Check Data ⚠",IF(F44&lt;R44,INDEX('G-6 Hedgerow Data'!$S$3:$AE$14,MATCH(C44,'G-6 Hedgerow Data'!$B$3:$B$14,0),MATCH(M44,'G-6 Hedgerow Data'!$S$2:$AE$2,0)),INDEX('G-6 Hedgerow Data'!$K$3:$Q$14,MATCH(M44,'G-6 Hedgerow Data'!$B$3:$B$14,0),MATCH(O44,'G-6 Hedgerow Data'!$K$2:$Q$2,0)))),"")</f>
        <v/>
      </c>
      <c r="Y44" s="133"/>
      <c r="Z44" s="133"/>
      <c r="AA44" s="283" t="str">
        <f t="shared" si="2"/>
        <v/>
      </c>
      <c r="AB44" s="296" t="str">
        <f t="shared" si="3"/>
        <v/>
      </c>
      <c r="AC44" s="297" t="str">
        <f t="shared" si="0"/>
        <v/>
      </c>
      <c r="AD44" s="311" t="str">
        <f>IF(M44="","",VLOOKUP(M44,'G-6 Hedgerow Data'!$B$3:$AG$15,31,FALSE))</f>
        <v/>
      </c>
      <c r="AE44" s="283" t="str">
        <f t="shared" si="4"/>
        <v/>
      </c>
      <c r="AF44" s="283" t="str">
        <f t="shared" si="5"/>
        <v/>
      </c>
      <c r="AG44" s="299" t="str">
        <f>IFERROR(IF(O44="","",VLOOKUP(AD44,'G-3 Multipliers'!$P$3:$Q$6,2,FALSE)),"")</f>
        <v/>
      </c>
      <c r="AH44" s="289" t="str">
        <f t="shared" si="6"/>
        <v/>
      </c>
      <c r="AI44" s="108"/>
      <c r="AJ44" s="115"/>
      <c r="AK44" s="104"/>
      <c r="AT44" s="30" t="str">
        <f>IFERROR(INDEX('G-6 Hedgerow Data'!$BJ$3:$BJ$15,MATCH(M44,'G-6 Hedgerow Data'!$B$3:$B$15,0)),"")</f>
        <v/>
      </c>
    </row>
    <row r="45" spans="2:46" ht="14">
      <c r="B45" s="305" t="str">
        <f>'B-1 On-Site Hedge Baseline'!AK43</f>
        <v/>
      </c>
      <c r="C45" s="295" t="str">
        <f>IF(B45="","",IF(ISNA(VLOOKUP($B45,'B-1 On-Site Hedge Baseline'!$B$1:$L$257,3,FALSE)),"",(VLOOKUP($B45,'B-1 On-Site Hedge Baseline'!$B$1:$L$257,3,FALSE))))</f>
        <v/>
      </c>
      <c r="D45" s="295" t="str">
        <f>IF(B45="","",IF(ISNA(VLOOKUP($B45,'B-1 On-Site Hedge Baseline'!$B$1:$L$257,4,FALSE)),"",(VLOOKUP($B45,'B-1 On-Site Hedge Baseline'!$B$1:$L$257,4,FALSE))))</f>
        <v/>
      </c>
      <c r="E45" s="295" t="str">
        <f>IF(B45="","",IF(ISNA(VLOOKUP($B45,'B-1 On-Site Hedge Baseline'!$B$1:$L$257,5,FALSE)),"",(VLOOKUP($B45,'B-1 On-Site Hedge Baseline'!$B$1:$L$257,5,FALSE))))</f>
        <v/>
      </c>
      <c r="F45" s="295" t="str">
        <f>IF(B45="","",IF(ISNA(VLOOKUP($B45,'B-1 On-Site Hedge Baseline'!$B$1:$L$257,6,FALSE)),"",(VLOOKUP($B45,'B-1 On-Site Hedge Baseline'!$B$1:$L$257,6,FALSE))))</f>
        <v/>
      </c>
      <c r="G45" s="295" t="str">
        <f>IF(B45="","",IF(ISNA(VLOOKUP($B45,'B-1 On-Site Hedge Baseline'!$B$1:$L$257,7,FALSE)),"",(VLOOKUP($B45,'B-1 On-Site Hedge Baseline'!$B$1:$L$257,7,FALSE))))</f>
        <v/>
      </c>
      <c r="H45" s="295" t="str">
        <f>IF(B45="","",IF(ISNA(VLOOKUP($B45,'B-1 On-Site Hedge Baseline'!$B$1:$L$257,8,FALSE)),"",(VLOOKUP($B45,'B-1 On-Site Hedge Baseline'!$B$1:$L$257,8,FALSE))))</f>
        <v/>
      </c>
      <c r="I45" s="295" t="str">
        <f>IF(B45="","",IF(ISNA(VLOOKUP($B45,'B-1 On-Site Hedge Baseline'!$B$1:$L$257,10,FALSE)),"",(VLOOKUP($B45,'B-1 On-Site Hedge Baseline'!$B$1:$L$257,10,FALSE))))</f>
        <v/>
      </c>
      <c r="J45" s="295" t="str">
        <f>IF(B45="","",IF(ISNA(VLOOKUP($B45,'B-1 On-Site Hedge Baseline'!$B$1:$L$257,11,FALSE)),"",(VLOOKUP($B45,'B-1 On-Site Hedge Baseline'!$B$1:$L$257,11,FALSE))))</f>
        <v/>
      </c>
      <c r="K45" s="295" t="str">
        <f>IF(B45="","",IF(ISNA(VLOOKUP($B45,'B-1 On-Site Hedge Baseline'!$B$1:$U$257,13,FALSE)),"",(VLOOKUP($B45,'B-1 On-Site Hedge Baseline'!$B$1:$U$257,13,FALSE))))</f>
        <v/>
      </c>
      <c r="L45" s="299" t="str">
        <f>IF(B45="","",IF(ISNA(VLOOKUP($B45,'B-1 On-Site Hedge Baseline'!$B$1:$U$257,12,FALSE)),"",(VLOOKUP($B45,'B-1 On-Site Hedge Baseline'!$B$1:$U$257,12,FALSE))))</f>
        <v/>
      </c>
      <c r="M45" s="611"/>
      <c r="N45" s="275" t="str">
        <f>IFERROR(IF(B45="","",INDEX('G-6 Hedgerow Data'!$AN$3:$AZ$15,MATCH(C45,'G-6 Hedgerow Data'!$AM$3:$AM$15,0),MATCH(M45,'G-6 Hedgerow Data'!$AN$2:$AZ$2,0))),"")</f>
        <v/>
      </c>
      <c r="O45" s="276" t="str">
        <f t="shared" si="1"/>
        <v/>
      </c>
      <c r="P45" s="329" t="str">
        <f>IF(B45="","",VLOOKUP(B45,'B-1 On-Site Hedge Baseline'!$B$10:T290,16,FALSE))</f>
        <v/>
      </c>
      <c r="Q45" s="275" t="str">
        <f>IF(M45="","",VLOOKUP(M45,'G-6 Hedgerow Data'!$B$2:$AG$15,2,FALSE))</f>
        <v/>
      </c>
      <c r="R45" s="276" t="str">
        <f>IF(M45="","",VLOOKUP(M45,'G-6 Hedgerow Data'!$B$2:$AG$15,3,FALSE))</f>
        <v/>
      </c>
      <c r="S45" s="108"/>
      <c r="T45" s="314" t="str">
        <f>IFERROR(IF(S45="","",IF(AND(M45="Non-native and ornamental hedgerow",S45&lt;&gt;"Poor"),"Not possible ▲",(VLOOKUP(S45,'G-1 All Habitats'!$Z$2:$AA$9,2,FALSE)))),"")</f>
        <v/>
      </c>
      <c r="U45" s="105"/>
      <c r="V45" s="295" t="str">
        <f>IF(U45="","",IF(VLOOKUP(U45,'G-3 Multipliers'!$L$3:$N$6,2,FALSE)=0,"Spatial Data Missing ⚠",VLOOKUP(U45,'G-3 Multipliers'!$L$3:$N$6,2,FALSE)))</f>
        <v/>
      </c>
      <c r="W45" s="299" t="str">
        <f>IF(U45="","",IF(VLOOKUP(U45,'G-3 Multipliers'!$L$3:$N$6,3,FALSE)=0,"Spatial Data Missing ⚠",VLOOKUP(U45,'G-3 Multipliers'!$L$3:$N$6,3,FALSE)))</f>
        <v/>
      </c>
      <c r="X45" s="275" t="str">
        <f>IFERROR(IF(OR(LEFT(O45,5)="Error",LEFT(N45,5)="Error",T45="Error"),"Check Data ⚠",IF(F45&lt;R45,INDEX('G-6 Hedgerow Data'!$S$3:$AE$14,MATCH(C45,'G-6 Hedgerow Data'!$B$3:$B$14,0),MATCH(M45,'G-6 Hedgerow Data'!$S$2:$AE$2,0)),INDEX('G-6 Hedgerow Data'!$K$3:$Q$14,MATCH(M45,'G-6 Hedgerow Data'!$B$3:$B$14,0),MATCH(O45,'G-6 Hedgerow Data'!$K$2:$Q$2,0)))),"")</f>
        <v/>
      </c>
      <c r="Y45" s="133"/>
      <c r="Z45" s="133"/>
      <c r="AA45" s="283" t="str">
        <f t="shared" si="2"/>
        <v/>
      </c>
      <c r="AB45" s="296" t="str">
        <f t="shared" si="3"/>
        <v/>
      </c>
      <c r="AC45" s="297" t="str">
        <f t="shared" si="0"/>
        <v/>
      </c>
      <c r="AD45" s="311" t="str">
        <f>IF(M45="","",VLOOKUP(M45,'G-6 Hedgerow Data'!$B$3:$AG$15,31,FALSE))</f>
        <v/>
      </c>
      <c r="AE45" s="283" t="str">
        <f t="shared" si="4"/>
        <v/>
      </c>
      <c r="AF45" s="283" t="str">
        <f t="shared" si="5"/>
        <v/>
      </c>
      <c r="AG45" s="299" t="str">
        <f>IFERROR(IF(O45="","",VLOOKUP(AD45,'G-3 Multipliers'!$P$3:$Q$6,2,FALSE)),"")</f>
        <v/>
      </c>
      <c r="AH45" s="289" t="str">
        <f t="shared" si="6"/>
        <v/>
      </c>
      <c r="AI45" s="108"/>
      <c r="AJ45" s="115"/>
      <c r="AK45" s="104"/>
      <c r="AT45" s="30" t="str">
        <f>IFERROR(INDEX('G-6 Hedgerow Data'!$BJ$3:$BJ$15,MATCH(M45,'G-6 Hedgerow Data'!$B$3:$B$15,0)),"")</f>
        <v/>
      </c>
    </row>
    <row r="46" spans="2:46" ht="14">
      <c r="B46" s="305" t="str">
        <f>'B-1 On-Site Hedge Baseline'!AK44</f>
        <v/>
      </c>
      <c r="C46" s="295" t="str">
        <f>IF(B46="","",IF(ISNA(VLOOKUP($B46,'B-1 On-Site Hedge Baseline'!$B$1:$L$257,3,FALSE)),"",(VLOOKUP($B46,'B-1 On-Site Hedge Baseline'!$B$1:$L$257,3,FALSE))))</f>
        <v/>
      </c>
      <c r="D46" s="295" t="str">
        <f>IF(B46="","",IF(ISNA(VLOOKUP($B46,'B-1 On-Site Hedge Baseline'!$B$1:$L$257,4,FALSE)),"",(VLOOKUP($B46,'B-1 On-Site Hedge Baseline'!$B$1:$L$257,4,FALSE))))</f>
        <v/>
      </c>
      <c r="E46" s="295" t="str">
        <f>IF(B46="","",IF(ISNA(VLOOKUP($B46,'B-1 On-Site Hedge Baseline'!$B$1:$L$257,5,FALSE)),"",(VLOOKUP($B46,'B-1 On-Site Hedge Baseline'!$B$1:$L$257,5,FALSE))))</f>
        <v/>
      </c>
      <c r="F46" s="295" t="str">
        <f>IF(B46="","",IF(ISNA(VLOOKUP($B46,'B-1 On-Site Hedge Baseline'!$B$1:$L$257,6,FALSE)),"",(VLOOKUP($B46,'B-1 On-Site Hedge Baseline'!$B$1:$L$257,6,FALSE))))</f>
        <v/>
      </c>
      <c r="G46" s="295" t="str">
        <f>IF(B46="","",IF(ISNA(VLOOKUP($B46,'B-1 On-Site Hedge Baseline'!$B$1:$L$257,7,FALSE)),"",(VLOOKUP($B46,'B-1 On-Site Hedge Baseline'!$B$1:$L$257,7,FALSE))))</f>
        <v/>
      </c>
      <c r="H46" s="295" t="str">
        <f>IF(B46="","",IF(ISNA(VLOOKUP($B46,'B-1 On-Site Hedge Baseline'!$B$1:$L$257,8,FALSE)),"",(VLOOKUP($B46,'B-1 On-Site Hedge Baseline'!$B$1:$L$257,8,FALSE))))</f>
        <v/>
      </c>
      <c r="I46" s="295" t="str">
        <f>IF(B46="","",IF(ISNA(VLOOKUP($B46,'B-1 On-Site Hedge Baseline'!$B$1:$L$257,10,FALSE)),"",(VLOOKUP($B46,'B-1 On-Site Hedge Baseline'!$B$1:$L$257,10,FALSE))))</f>
        <v/>
      </c>
      <c r="J46" s="295" t="str">
        <f>IF(B46="","",IF(ISNA(VLOOKUP($B46,'B-1 On-Site Hedge Baseline'!$B$1:$L$257,11,FALSE)),"",(VLOOKUP($B46,'B-1 On-Site Hedge Baseline'!$B$1:$L$257,11,FALSE))))</f>
        <v/>
      </c>
      <c r="K46" s="295" t="str">
        <f>IF(B46="","",IF(ISNA(VLOOKUP($B46,'B-1 On-Site Hedge Baseline'!$B$1:$U$257,13,FALSE)),"",(VLOOKUP($B46,'B-1 On-Site Hedge Baseline'!$B$1:$U$257,13,FALSE))))</f>
        <v/>
      </c>
      <c r="L46" s="299" t="str">
        <f>IF(B46="","",IF(ISNA(VLOOKUP($B46,'B-1 On-Site Hedge Baseline'!$B$1:$U$257,12,FALSE)),"",(VLOOKUP($B46,'B-1 On-Site Hedge Baseline'!$B$1:$U$257,12,FALSE))))</f>
        <v/>
      </c>
      <c r="M46" s="611"/>
      <c r="N46" s="275" t="str">
        <f>IFERROR(IF(B46="","",INDEX('G-6 Hedgerow Data'!$AN$3:$AZ$15,MATCH(C46,'G-6 Hedgerow Data'!$AM$3:$AM$15,0),MATCH(M46,'G-6 Hedgerow Data'!$AN$2:$AZ$2,0))),"")</f>
        <v/>
      </c>
      <c r="O46" s="276" t="str">
        <f t="shared" si="1"/>
        <v/>
      </c>
      <c r="P46" s="329" t="str">
        <f>IF(B46="","",VLOOKUP(B46,'B-1 On-Site Hedge Baseline'!$B$10:T291,16,FALSE))</f>
        <v/>
      </c>
      <c r="Q46" s="275" t="str">
        <f>IF(M46="","",VLOOKUP(M46,'G-6 Hedgerow Data'!$B$2:$AG$15,2,FALSE))</f>
        <v/>
      </c>
      <c r="R46" s="276" t="str">
        <f>IF(M46="","",VLOOKUP(M46,'G-6 Hedgerow Data'!$B$2:$AG$15,3,FALSE))</f>
        <v/>
      </c>
      <c r="S46" s="108"/>
      <c r="T46" s="314" t="str">
        <f>IFERROR(IF(S46="","",IF(AND(M46="Non-native and ornamental hedgerow",S46&lt;&gt;"Poor"),"Not possible ▲",(VLOOKUP(S46,'G-1 All Habitats'!$Z$2:$AA$9,2,FALSE)))),"")</f>
        <v/>
      </c>
      <c r="U46" s="105"/>
      <c r="V46" s="295" t="str">
        <f>IF(U46="","",IF(VLOOKUP(U46,'G-3 Multipliers'!$L$3:$N$6,2,FALSE)=0,"Spatial Data Missing ⚠",VLOOKUP(U46,'G-3 Multipliers'!$L$3:$N$6,2,FALSE)))</f>
        <v/>
      </c>
      <c r="W46" s="299" t="str">
        <f>IF(U46="","",IF(VLOOKUP(U46,'G-3 Multipliers'!$L$3:$N$6,3,FALSE)=0,"Spatial Data Missing ⚠",VLOOKUP(U46,'G-3 Multipliers'!$L$3:$N$6,3,FALSE)))</f>
        <v/>
      </c>
      <c r="X46" s="275" t="str">
        <f>IFERROR(IF(OR(LEFT(O46,5)="Error",LEFT(N46,5)="Error",T46="Error"),"Check Data ⚠",IF(F46&lt;R46,INDEX('G-6 Hedgerow Data'!$S$3:$AE$14,MATCH(C46,'G-6 Hedgerow Data'!$B$3:$B$14,0),MATCH(M46,'G-6 Hedgerow Data'!$S$2:$AE$2,0)),INDEX('G-6 Hedgerow Data'!$K$3:$Q$14,MATCH(M46,'G-6 Hedgerow Data'!$B$3:$B$14,0),MATCH(O46,'G-6 Hedgerow Data'!$K$2:$Q$2,0)))),"")</f>
        <v/>
      </c>
      <c r="Y46" s="133"/>
      <c r="Z46" s="133"/>
      <c r="AA46" s="283" t="str">
        <f t="shared" si="2"/>
        <v/>
      </c>
      <c r="AB46" s="296" t="str">
        <f t="shared" si="3"/>
        <v/>
      </c>
      <c r="AC46" s="297" t="str">
        <f t="shared" si="0"/>
        <v/>
      </c>
      <c r="AD46" s="311" t="str">
        <f>IF(M46="","",VLOOKUP(M46,'G-6 Hedgerow Data'!$B$3:$AG$15,31,FALSE))</f>
        <v/>
      </c>
      <c r="AE46" s="283" t="str">
        <f t="shared" si="4"/>
        <v/>
      </c>
      <c r="AF46" s="283" t="str">
        <f t="shared" si="5"/>
        <v/>
      </c>
      <c r="AG46" s="299" t="str">
        <f>IFERROR(IF(O46="","",VLOOKUP(AD46,'G-3 Multipliers'!$P$3:$Q$6,2,FALSE)),"")</f>
        <v/>
      </c>
      <c r="AH46" s="289" t="str">
        <f t="shared" si="6"/>
        <v/>
      </c>
      <c r="AI46" s="108"/>
      <c r="AJ46" s="115"/>
      <c r="AK46" s="104"/>
      <c r="AT46" s="30" t="str">
        <f>IFERROR(INDEX('G-6 Hedgerow Data'!$BJ$3:$BJ$15,MATCH(M46,'G-6 Hedgerow Data'!$B$3:$B$15,0)),"")</f>
        <v/>
      </c>
    </row>
    <row r="47" spans="2:46" ht="14">
      <c r="B47" s="305" t="str">
        <f>'B-1 On-Site Hedge Baseline'!AK45</f>
        <v/>
      </c>
      <c r="C47" s="295" t="str">
        <f>IF(B47="","",IF(ISNA(VLOOKUP($B47,'B-1 On-Site Hedge Baseline'!$B$1:$L$257,3,FALSE)),"",(VLOOKUP($B47,'B-1 On-Site Hedge Baseline'!$B$1:$L$257,3,FALSE))))</f>
        <v/>
      </c>
      <c r="D47" s="295" t="str">
        <f>IF(B47="","",IF(ISNA(VLOOKUP($B47,'B-1 On-Site Hedge Baseline'!$B$1:$L$257,4,FALSE)),"",(VLOOKUP($B47,'B-1 On-Site Hedge Baseline'!$B$1:$L$257,4,FALSE))))</f>
        <v/>
      </c>
      <c r="E47" s="295" t="str">
        <f>IF(B47="","",IF(ISNA(VLOOKUP($B47,'B-1 On-Site Hedge Baseline'!$B$1:$L$257,5,FALSE)),"",(VLOOKUP($B47,'B-1 On-Site Hedge Baseline'!$B$1:$L$257,5,FALSE))))</f>
        <v/>
      </c>
      <c r="F47" s="295" t="str">
        <f>IF(B47="","",IF(ISNA(VLOOKUP($B47,'B-1 On-Site Hedge Baseline'!$B$1:$L$257,6,FALSE)),"",(VLOOKUP($B47,'B-1 On-Site Hedge Baseline'!$B$1:$L$257,6,FALSE))))</f>
        <v/>
      </c>
      <c r="G47" s="295" t="str">
        <f>IF(B47="","",IF(ISNA(VLOOKUP($B47,'B-1 On-Site Hedge Baseline'!$B$1:$L$257,7,FALSE)),"",(VLOOKUP($B47,'B-1 On-Site Hedge Baseline'!$B$1:$L$257,7,FALSE))))</f>
        <v/>
      </c>
      <c r="H47" s="295" t="str">
        <f>IF(B47="","",IF(ISNA(VLOOKUP($B47,'B-1 On-Site Hedge Baseline'!$B$1:$L$257,8,FALSE)),"",(VLOOKUP($B47,'B-1 On-Site Hedge Baseline'!$B$1:$L$257,8,FALSE))))</f>
        <v/>
      </c>
      <c r="I47" s="295" t="str">
        <f>IF(B47="","",IF(ISNA(VLOOKUP($B47,'B-1 On-Site Hedge Baseline'!$B$1:$L$257,10,FALSE)),"",(VLOOKUP($B47,'B-1 On-Site Hedge Baseline'!$B$1:$L$257,10,FALSE))))</f>
        <v/>
      </c>
      <c r="J47" s="295" t="str">
        <f>IF(B47="","",IF(ISNA(VLOOKUP($B47,'B-1 On-Site Hedge Baseline'!$B$1:$L$257,11,FALSE)),"",(VLOOKUP($B47,'B-1 On-Site Hedge Baseline'!$B$1:$L$257,11,FALSE))))</f>
        <v/>
      </c>
      <c r="K47" s="295" t="str">
        <f>IF(B47="","",IF(ISNA(VLOOKUP($B47,'B-1 On-Site Hedge Baseline'!$B$1:$U$257,13,FALSE)),"",(VLOOKUP($B47,'B-1 On-Site Hedge Baseline'!$B$1:$U$257,13,FALSE))))</f>
        <v/>
      </c>
      <c r="L47" s="299" t="str">
        <f>IF(B47="","",IF(ISNA(VLOOKUP($B47,'B-1 On-Site Hedge Baseline'!$B$1:$U$257,12,FALSE)),"",(VLOOKUP($B47,'B-1 On-Site Hedge Baseline'!$B$1:$U$257,12,FALSE))))</f>
        <v/>
      </c>
      <c r="M47" s="611"/>
      <c r="N47" s="275" t="str">
        <f>IFERROR(IF(B47="","",INDEX('G-6 Hedgerow Data'!$AN$3:$AZ$15,MATCH(C47,'G-6 Hedgerow Data'!$AM$3:$AM$15,0),MATCH(M47,'G-6 Hedgerow Data'!$AN$2:$AZ$2,0))),"")</f>
        <v/>
      </c>
      <c r="O47" s="276" t="str">
        <f t="shared" si="1"/>
        <v/>
      </c>
      <c r="P47" s="329" t="str">
        <f>IF(B47="","",VLOOKUP(B47,'B-1 On-Site Hedge Baseline'!$B$10:T292,16,FALSE))</f>
        <v/>
      </c>
      <c r="Q47" s="275" t="str">
        <f>IF(M47="","",VLOOKUP(M47,'G-6 Hedgerow Data'!$B$2:$AG$15,2,FALSE))</f>
        <v/>
      </c>
      <c r="R47" s="276" t="str">
        <f>IF(M47="","",VLOOKUP(M47,'G-6 Hedgerow Data'!$B$2:$AG$15,3,FALSE))</f>
        <v/>
      </c>
      <c r="S47" s="108"/>
      <c r="T47" s="314" t="str">
        <f>IFERROR(IF(S47="","",IF(AND(M47="Non-native and ornamental hedgerow",S47&lt;&gt;"Poor"),"Not possible ▲",(VLOOKUP(S47,'G-1 All Habitats'!$Z$2:$AA$9,2,FALSE)))),"")</f>
        <v/>
      </c>
      <c r="U47" s="105"/>
      <c r="V47" s="295" t="str">
        <f>IF(U47="","",IF(VLOOKUP(U47,'G-3 Multipliers'!$L$3:$N$6,2,FALSE)=0,"Spatial Data Missing ⚠",VLOOKUP(U47,'G-3 Multipliers'!$L$3:$N$6,2,FALSE)))</f>
        <v/>
      </c>
      <c r="W47" s="299" t="str">
        <f>IF(U47="","",IF(VLOOKUP(U47,'G-3 Multipliers'!$L$3:$N$6,3,FALSE)=0,"Spatial Data Missing ⚠",VLOOKUP(U47,'G-3 Multipliers'!$L$3:$N$6,3,FALSE)))</f>
        <v/>
      </c>
      <c r="X47" s="275" t="str">
        <f>IFERROR(IF(OR(LEFT(O47,5)="Error",LEFT(N47,5)="Error",T47="Error"),"Check Data ⚠",IF(F47&lt;R47,INDEX('G-6 Hedgerow Data'!$S$3:$AE$14,MATCH(C47,'G-6 Hedgerow Data'!$B$3:$B$14,0),MATCH(M47,'G-6 Hedgerow Data'!$S$2:$AE$2,0)),INDEX('G-6 Hedgerow Data'!$K$3:$Q$14,MATCH(M47,'G-6 Hedgerow Data'!$B$3:$B$14,0),MATCH(O47,'G-6 Hedgerow Data'!$K$2:$Q$2,0)))),"")</f>
        <v/>
      </c>
      <c r="Y47" s="133"/>
      <c r="Z47" s="133"/>
      <c r="AA47" s="283" t="str">
        <f t="shared" si="2"/>
        <v/>
      </c>
      <c r="AB47" s="296" t="str">
        <f t="shared" si="3"/>
        <v/>
      </c>
      <c r="AC47" s="297" t="str">
        <f t="shared" si="0"/>
        <v/>
      </c>
      <c r="AD47" s="311" t="str">
        <f>IF(M47="","",VLOOKUP(M47,'G-6 Hedgerow Data'!$B$3:$AG$15,31,FALSE))</f>
        <v/>
      </c>
      <c r="AE47" s="283" t="str">
        <f t="shared" si="4"/>
        <v/>
      </c>
      <c r="AF47" s="283" t="str">
        <f t="shared" si="5"/>
        <v/>
      </c>
      <c r="AG47" s="299" t="str">
        <f>IFERROR(IF(O47="","",VLOOKUP(AD47,'G-3 Multipliers'!$P$3:$Q$6,2,FALSE)),"")</f>
        <v/>
      </c>
      <c r="AH47" s="289" t="str">
        <f t="shared" si="6"/>
        <v/>
      </c>
      <c r="AI47" s="108"/>
      <c r="AJ47" s="115"/>
      <c r="AK47" s="104"/>
      <c r="AT47" s="30" t="str">
        <f>IFERROR(INDEX('G-6 Hedgerow Data'!$BJ$3:$BJ$15,MATCH(M47,'G-6 Hedgerow Data'!$B$3:$B$15,0)),"")</f>
        <v/>
      </c>
    </row>
    <row r="48" spans="2:46" ht="14">
      <c r="B48" s="305" t="str">
        <f>'B-1 On-Site Hedge Baseline'!AK46</f>
        <v/>
      </c>
      <c r="C48" s="295" t="str">
        <f>IF(B48="","",IF(ISNA(VLOOKUP($B48,'B-1 On-Site Hedge Baseline'!$B$1:$L$257,3,FALSE)),"",(VLOOKUP($B48,'B-1 On-Site Hedge Baseline'!$B$1:$L$257,3,FALSE))))</f>
        <v/>
      </c>
      <c r="D48" s="295" t="str">
        <f>IF(B48="","",IF(ISNA(VLOOKUP($B48,'B-1 On-Site Hedge Baseline'!$B$1:$L$257,4,FALSE)),"",(VLOOKUP($B48,'B-1 On-Site Hedge Baseline'!$B$1:$L$257,4,FALSE))))</f>
        <v/>
      </c>
      <c r="E48" s="295" t="str">
        <f>IF(B48="","",IF(ISNA(VLOOKUP($B48,'B-1 On-Site Hedge Baseline'!$B$1:$L$257,5,FALSE)),"",(VLOOKUP($B48,'B-1 On-Site Hedge Baseline'!$B$1:$L$257,5,FALSE))))</f>
        <v/>
      </c>
      <c r="F48" s="295" t="str">
        <f>IF(B48="","",IF(ISNA(VLOOKUP($B48,'B-1 On-Site Hedge Baseline'!$B$1:$L$257,6,FALSE)),"",(VLOOKUP($B48,'B-1 On-Site Hedge Baseline'!$B$1:$L$257,6,FALSE))))</f>
        <v/>
      </c>
      <c r="G48" s="295" t="str">
        <f>IF(B48="","",IF(ISNA(VLOOKUP($B48,'B-1 On-Site Hedge Baseline'!$B$1:$L$257,7,FALSE)),"",(VLOOKUP($B48,'B-1 On-Site Hedge Baseline'!$B$1:$L$257,7,FALSE))))</f>
        <v/>
      </c>
      <c r="H48" s="295" t="str">
        <f>IF(B48="","",IF(ISNA(VLOOKUP($B48,'B-1 On-Site Hedge Baseline'!$B$1:$L$257,8,FALSE)),"",(VLOOKUP($B48,'B-1 On-Site Hedge Baseline'!$B$1:$L$257,8,FALSE))))</f>
        <v/>
      </c>
      <c r="I48" s="295" t="str">
        <f>IF(B48="","",IF(ISNA(VLOOKUP($B48,'B-1 On-Site Hedge Baseline'!$B$1:$L$257,10,FALSE)),"",(VLOOKUP($B48,'B-1 On-Site Hedge Baseline'!$B$1:$L$257,10,FALSE))))</f>
        <v/>
      </c>
      <c r="J48" s="295" t="str">
        <f>IF(B48="","",IF(ISNA(VLOOKUP($B48,'B-1 On-Site Hedge Baseline'!$B$1:$L$257,11,FALSE)),"",(VLOOKUP($B48,'B-1 On-Site Hedge Baseline'!$B$1:$L$257,11,FALSE))))</f>
        <v/>
      </c>
      <c r="K48" s="295" t="str">
        <f>IF(B48="","",IF(ISNA(VLOOKUP($B48,'B-1 On-Site Hedge Baseline'!$B$1:$U$257,13,FALSE)),"",(VLOOKUP($B48,'B-1 On-Site Hedge Baseline'!$B$1:$U$257,13,FALSE))))</f>
        <v/>
      </c>
      <c r="L48" s="299" t="str">
        <f>IF(B48="","",IF(ISNA(VLOOKUP($B48,'B-1 On-Site Hedge Baseline'!$B$1:$U$257,12,FALSE)),"",(VLOOKUP($B48,'B-1 On-Site Hedge Baseline'!$B$1:$U$257,12,FALSE))))</f>
        <v/>
      </c>
      <c r="M48" s="611"/>
      <c r="N48" s="275" t="str">
        <f>IFERROR(IF(B48="","",INDEX('G-6 Hedgerow Data'!$AN$3:$AZ$15,MATCH(C48,'G-6 Hedgerow Data'!$AM$3:$AM$15,0),MATCH(M48,'G-6 Hedgerow Data'!$AN$2:$AZ$2,0))),"")</f>
        <v/>
      </c>
      <c r="O48" s="276" t="str">
        <f t="shared" si="1"/>
        <v/>
      </c>
      <c r="P48" s="329" t="str">
        <f>IF(B48="","",VLOOKUP(B48,'B-1 On-Site Hedge Baseline'!$B$10:T293,16,FALSE))</f>
        <v/>
      </c>
      <c r="Q48" s="275" t="str">
        <f>IF(M48="","",VLOOKUP(M48,'G-6 Hedgerow Data'!$B$2:$AG$15,2,FALSE))</f>
        <v/>
      </c>
      <c r="R48" s="276" t="str">
        <f>IF(M48="","",VLOOKUP(M48,'G-6 Hedgerow Data'!$B$2:$AG$15,3,FALSE))</f>
        <v/>
      </c>
      <c r="S48" s="108"/>
      <c r="T48" s="314" t="str">
        <f>IFERROR(IF(S48="","",IF(AND(M48="Non-native and ornamental hedgerow",S48&lt;&gt;"Poor"),"Not possible ▲",(VLOOKUP(S48,'G-1 All Habitats'!$Z$2:$AA$9,2,FALSE)))),"")</f>
        <v/>
      </c>
      <c r="U48" s="105"/>
      <c r="V48" s="295" t="str">
        <f>IF(U48="","",IF(VLOOKUP(U48,'G-3 Multipliers'!$L$3:$N$6,2,FALSE)=0,"Spatial Data Missing ⚠",VLOOKUP(U48,'G-3 Multipliers'!$L$3:$N$6,2,FALSE)))</f>
        <v/>
      </c>
      <c r="W48" s="299" t="str">
        <f>IF(U48="","",IF(VLOOKUP(U48,'G-3 Multipliers'!$L$3:$N$6,3,FALSE)=0,"Spatial Data Missing ⚠",VLOOKUP(U48,'G-3 Multipliers'!$L$3:$N$6,3,FALSE)))</f>
        <v/>
      </c>
      <c r="X48" s="275" t="str">
        <f>IFERROR(IF(OR(LEFT(O48,5)="Error",LEFT(N48,5)="Error",T48="Error"),"Check Data ⚠",IF(F48&lt;R48,INDEX('G-6 Hedgerow Data'!$S$3:$AE$14,MATCH(C48,'G-6 Hedgerow Data'!$B$3:$B$14,0),MATCH(M48,'G-6 Hedgerow Data'!$S$2:$AE$2,0)),INDEX('G-6 Hedgerow Data'!$K$3:$Q$14,MATCH(M48,'G-6 Hedgerow Data'!$B$3:$B$14,0),MATCH(O48,'G-6 Hedgerow Data'!$K$2:$Q$2,0)))),"")</f>
        <v/>
      </c>
      <c r="Y48" s="133"/>
      <c r="Z48" s="133"/>
      <c r="AA48" s="283" t="str">
        <f t="shared" si="2"/>
        <v/>
      </c>
      <c r="AB48" s="296" t="str">
        <f t="shared" si="3"/>
        <v/>
      </c>
      <c r="AC48" s="297" t="str">
        <f t="shared" si="0"/>
        <v/>
      </c>
      <c r="AD48" s="311" t="str">
        <f>IF(M48="","",VLOOKUP(M48,'G-6 Hedgerow Data'!$B$3:$AG$15,31,FALSE))</f>
        <v/>
      </c>
      <c r="AE48" s="283" t="str">
        <f t="shared" si="4"/>
        <v/>
      </c>
      <c r="AF48" s="283" t="str">
        <f t="shared" si="5"/>
        <v/>
      </c>
      <c r="AG48" s="299" t="str">
        <f>IFERROR(IF(O48="","",VLOOKUP(AD48,'G-3 Multipliers'!$P$3:$Q$6,2,FALSE)),"")</f>
        <v/>
      </c>
      <c r="AH48" s="289" t="str">
        <f t="shared" si="6"/>
        <v/>
      </c>
      <c r="AI48" s="108"/>
      <c r="AJ48" s="115"/>
      <c r="AK48" s="104"/>
      <c r="AT48" s="30" t="str">
        <f>IFERROR(INDEX('G-6 Hedgerow Data'!$BJ$3:$BJ$15,MATCH(M48,'G-6 Hedgerow Data'!$B$3:$B$15,0)),"")</f>
        <v/>
      </c>
    </row>
    <row r="49" spans="2:46" ht="14">
      <c r="B49" s="305" t="str">
        <f>'B-1 On-Site Hedge Baseline'!AK47</f>
        <v/>
      </c>
      <c r="C49" s="295" t="str">
        <f>IF(B49="","",IF(ISNA(VLOOKUP($B49,'B-1 On-Site Hedge Baseline'!$B$1:$L$257,3,FALSE)),"",(VLOOKUP($B49,'B-1 On-Site Hedge Baseline'!$B$1:$L$257,3,FALSE))))</f>
        <v/>
      </c>
      <c r="D49" s="295" t="str">
        <f>IF(B49="","",IF(ISNA(VLOOKUP($B49,'B-1 On-Site Hedge Baseline'!$B$1:$L$257,4,FALSE)),"",(VLOOKUP($B49,'B-1 On-Site Hedge Baseline'!$B$1:$L$257,4,FALSE))))</f>
        <v/>
      </c>
      <c r="E49" s="295" t="str">
        <f>IF(B49="","",IF(ISNA(VLOOKUP($B49,'B-1 On-Site Hedge Baseline'!$B$1:$L$257,5,FALSE)),"",(VLOOKUP($B49,'B-1 On-Site Hedge Baseline'!$B$1:$L$257,5,FALSE))))</f>
        <v/>
      </c>
      <c r="F49" s="295" t="str">
        <f>IF(B49="","",IF(ISNA(VLOOKUP($B49,'B-1 On-Site Hedge Baseline'!$B$1:$L$257,6,FALSE)),"",(VLOOKUP($B49,'B-1 On-Site Hedge Baseline'!$B$1:$L$257,6,FALSE))))</f>
        <v/>
      </c>
      <c r="G49" s="295" t="str">
        <f>IF(B49="","",IF(ISNA(VLOOKUP($B49,'B-1 On-Site Hedge Baseline'!$B$1:$L$257,7,FALSE)),"",(VLOOKUP($B49,'B-1 On-Site Hedge Baseline'!$B$1:$L$257,7,FALSE))))</f>
        <v/>
      </c>
      <c r="H49" s="295" t="str">
        <f>IF(B49="","",IF(ISNA(VLOOKUP($B49,'B-1 On-Site Hedge Baseline'!$B$1:$L$257,8,FALSE)),"",(VLOOKUP($B49,'B-1 On-Site Hedge Baseline'!$B$1:$L$257,8,FALSE))))</f>
        <v/>
      </c>
      <c r="I49" s="295" t="str">
        <f>IF(B49="","",IF(ISNA(VLOOKUP($B49,'B-1 On-Site Hedge Baseline'!$B$1:$L$257,10,FALSE)),"",(VLOOKUP($B49,'B-1 On-Site Hedge Baseline'!$B$1:$L$257,10,FALSE))))</f>
        <v/>
      </c>
      <c r="J49" s="295" t="str">
        <f>IF(B49="","",IF(ISNA(VLOOKUP($B49,'B-1 On-Site Hedge Baseline'!$B$1:$L$257,11,FALSE)),"",(VLOOKUP($B49,'B-1 On-Site Hedge Baseline'!$B$1:$L$257,11,FALSE))))</f>
        <v/>
      </c>
      <c r="K49" s="295" t="str">
        <f>IF(B49="","",IF(ISNA(VLOOKUP($B49,'B-1 On-Site Hedge Baseline'!$B$1:$U$257,13,FALSE)),"",(VLOOKUP($B49,'B-1 On-Site Hedge Baseline'!$B$1:$U$257,13,FALSE))))</f>
        <v/>
      </c>
      <c r="L49" s="299" t="str">
        <f>IF(B49="","",IF(ISNA(VLOOKUP($B49,'B-1 On-Site Hedge Baseline'!$B$1:$U$257,12,FALSE)),"",(VLOOKUP($B49,'B-1 On-Site Hedge Baseline'!$B$1:$U$257,12,FALSE))))</f>
        <v/>
      </c>
      <c r="M49" s="611"/>
      <c r="N49" s="275" t="str">
        <f>IFERROR(IF(B49="","",INDEX('G-6 Hedgerow Data'!$AN$3:$AZ$15,MATCH(C49,'G-6 Hedgerow Data'!$AM$3:$AM$15,0),MATCH(M49,'G-6 Hedgerow Data'!$AN$2:$AZ$2,0))),"")</f>
        <v/>
      </c>
      <c r="O49" s="276" t="str">
        <f t="shared" si="1"/>
        <v/>
      </c>
      <c r="P49" s="329" t="str">
        <f>IF(B49="","",VLOOKUP(B49,'B-1 On-Site Hedge Baseline'!$B$10:T294,16,FALSE))</f>
        <v/>
      </c>
      <c r="Q49" s="275" t="str">
        <f>IF(M49="","",VLOOKUP(M49,'G-6 Hedgerow Data'!$B$2:$AG$15,2,FALSE))</f>
        <v/>
      </c>
      <c r="R49" s="276" t="str">
        <f>IF(M49="","",VLOOKUP(M49,'G-6 Hedgerow Data'!$B$2:$AG$15,3,FALSE))</f>
        <v/>
      </c>
      <c r="S49" s="108"/>
      <c r="T49" s="314" t="str">
        <f>IFERROR(IF(S49="","",IF(AND(M49="Non-native and ornamental hedgerow",S49&lt;&gt;"Poor"),"Not possible ▲",(VLOOKUP(S49,'G-1 All Habitats'!$Z$2:$AA$9,2,FALSE)))),"")</f>
        <v/>
      </c>
      <c r="U49" s="105"/>
      <c r="V49" s="295" t="str">
        <f>IF(U49="","",IF(VLOOKUP(U49,'G-3 Multipliers'!$L$3:$N$6,2,FALSE)=0,"Spatial Data Missing ⚠",VLOOKUP(U49,'G-3 Multipliers'!$L$3:$N$6,2,FALSE)))</f>
        <v/>
      </c>
      <c r="W49" s="299" t="str">
        <f>IF(U49="","",IF(VLOOKUP(U49,'G-3 Multipliers'!$L$3:$N$6,3,FALSE)=0,"Spatial Data Missing ⚠",VLOOKUP(U49,'G-3 Multipliers'!$L$3:$N$6,3,FALSE)))</f>
        <v/>
      </c>
      <c r="X49" s="275" t="str">
        <f>IFERROR(IF(OR(LEFT(O49,5)="Error",LEFT(N49,5)="Error",T49="Error"),"Check Data ⚠",IF(F49&lt;R49,INDEX('G-6 Hedgerow Data'!$S$3:$AE$14,MATCH(C49,'G-6 Hedgerow Data'!$B$3:$B$14,0),MATCH(M49,'G-6 Hedgerow Data'!$S$2:$AE$2,0)),INDEX('G-6 Hedgerow Data'!$K$3:$Q$14,MATCH(M49,'G-6 Hedgerow Data'!$B$3:$B$14,0),MATCH(O49,'G-6 Hedgerow Data'!$K$2:$Q$2,0)))),"")</f>
        <v/>
      </c>
      <c r="Y49" s="133"/>
      <c r="Z49" s="133"/>
      <c r="AA49" s="283" t="str">
        <f t="shared" si="2"/>
        <v/>
      </c>
      <c r="AB49" s="296" t="str">
        <f t="shared" si="3"/>
        <v/>
      </c>
      <c r="AC49" s="297" t="str">
        <f t="shared" si="0"/>
        <v/>
      </c>
      <c r="AD49" s="311" t="str">
        <f>IF(M49="","",VLOOKUP(M49,'G-6 Hedgerow Data'!$B$3:$AG$15,31,FALSE))</f>
        <v/>
      </c>
      <c r="AE49" s="283" t="str">
        <f t="shared" si="4"/>
        <v/>
      </c>
      <c r="AF49" s="283" t="str">
        <f t="shared" si="5"/>
        <v/>
      </c>
      <c r="AG49" s="299" t="str">
        <f>IFERROR(IF(O49="","",VLOOKUP(AD49,'G-3 Multipliers'!$P$3:$Q$6,2,FALSE)),"")</f>
        <v/>
      </c>
      <c r="AH49" s="289" t="str">
        <f t="shared" si="6"/>
        <v/>
      </c>
      <c r="AI49" s="108"/>
      <c r="AJ49" s="115"/>
      <c r="AK49" s="104"/>
      <c r="AT49" s="30" t="str">
        <f>IFERROR(INDEX('G-6 Hedgerow Data'!$BJ$3:$BJ$15,MATCH(M49,'G-6 Hedgerow Data'!$B$3:$B$15,0)),"")</f>
        <v/>
      </c>
    </row>
    <row r="50" spans="2:46" ht="14">
      <c r="B50" s="305" t="str">
        <f>'B-1 On-Site Hedge Baseline'!AK48</f>
        <v/>
      </c>
      <c r="C50" s="295" t="str">
        <f>IF(B50="","",IF(ISNA(VLOOKUP($B50,'B-1 On-Site Hedge Baseline'!$B$1:$L$257,3,FALSE)),"",(VLOOKUP($B50,'B-1 On-Site Hedge Baseline'!$B$1:$L$257,3,FALSE))))</f>
        <v/>
      </c>
      <c r="D50" s="295" t="str">
        <f>IF(B50="","",IF(ISNA(VLOOKUP($B50,'B-1 On-Site Hedge Baseline'!$B$1:$L$257,4,FALSE)),"",(VLOOKUP($B50,'B-1 On-Site Hedge Baseline'!$B$1:$L$257,4,FALSE))))</f>
        <v/>
      </c>
      <c r="E50" s="295" t="str">
        <f>IF(B50="","",IF(ISNA(VLOOKUP($B50,'B-1 On-Site Hedge Baseline'!$B$1:$L$257,5,FALSE)),"",(VLOOKUP($B50,'B-1 On-Site Hedge Baseline'!$B$1:$L$257,5,FALSE))))</f>
        <v/>
      </c>
      <c r="F50" s="295" t="str">
        <f>IF(B50="","",IF(ISNA(VLOOKUP($B50,'B-1 On-Site Hedge Baseline'!$B$1:$L$257,6,FALSE)),"",(VLOOKUP($B50,'B-1 On-Site Hedge Baseline'!$B$1:$L$257,6,FALSE))))</f>
        <v/>
      </c>
      <c r="G50" s="295" t="str">
        <f>IF(B50="","",IF(ISNA(VLOOKUP($B50,'B-1 On-Site Hedge Baseline'!$B$1:$L$257,7,FALSE)),"",(VLOOKUP($B50,'B-1 On-Site Hedge Baseline'!$B$1:$L$257,7,FALSE))))</f>
        <v/>
      </c>
      <c r="H50" s="295" t="str">
        <f>IF(B50="","",IF(ISNA(VLOOKUP($B50,'B-1 On-Site Hedge Baseline'!$B$1:$L$257,8,FALSE)),"",(VLOOKUP($B50,'B-1 On-Site Hedge Baseline'!$B$1:$L$257,8,FALSE))))</f>
        <v/>
      </c>
      <c r="I50" s="295" t="str">
        <f>IF(B50="","",IF(ISNA(VLOOKUP($B50,'B-1 On-Site Hedge Baseline'!$B$1:$L$257,10,FALSE)),"",(VLOOKUP($B50,'B-1 On-Site Hedge Baseline'!$B$1:$L$257,10,FALSE))))</f>
        <v/>
      </c>
      <c r="J50" s="295" t="str">
        <f>IF(B50="","",IF(ISNA(VLOOKUP($B50,'B-1 On-Site Hedge Baseline'!$B$1:$L$257,11,FALSE)),"",(VLOOKUP($B50,'B-1 On-Site Hedge Baseline'!$B$1:$L$257,11,FALSE))))</f>
        <v/>
      </c>
      <c r="K50" s="295" t="str">
        <f>IF(B50="","",IF(ISNA(VLOOKUP($B50,'B-1 On-Site Hedge Baseline'!$B$1:$U$257,13,FALSE)),"",(VLOOKUP($B50,'B-1 On-Site Hedge Baseline'!$B$1:$U$257,13,FALSE))))</f>
        <v/>
      </c>
      <c r="L50" s="299" t="str">
        <f>IF(B50="","",IF(ISNA(VLOOKUP($B50,'B-1 On-Site Hedge Baseline'!$B$1:$U$257,12,FALSE)),"",(VLOOKUP($B50,'B-1 On-Site Hedge Baseline'!$B$1:$U$257,12,FALSE))))</f>
        <v/>
      </c>
      <c r="M50" s="611"/>
      <c r="N50" s="275" t="str">
        <f>IFERROR(IF(B50="","",INDEX('G-6 Hedgerow Data'!$AN$3:$AZ$15,MATCH(C50,'G-6 Hedgerow Data'!$AM$3:$AM$15,0),MATCH(M50,'G-6 Hedgerow Data'!$AN$2:$AZ$2,0))),"")</f>
        <v/>
      </c>
      <c r="O50" s="276" t="str">
        <f t="shared" si="1"/>
        <v/>
      </c>
      <c r="P50" s="329" t="str">
        <f>IF(B50="","",VLOOKUP(B50,'B-1 On-Site Hedge Baseline'!$B$10:T295,16,FALSE))</f>
        <v/>
      </c>
      <c r="Q50" s="275" t="str">
        <f>IF(M50="","",VLOOKUP(M50,'G-6 Hedgerow Data'!$B$2:$AG$15,2,FALSE))</f>
        <v/>
      </c>
      <c r="R50" s="276" t="str">
        <f>IF(M50="","",VLOOKUP(M50,'G-6 Hedgerow Data'!$B$2:$AG$15,3,FALSE))</f>
        <v/>
      </c>
      <c r="S50" s="108"/>
      <c r="T50" s="314" t="str">
        <f>IFERROR(IF(S50="","",IF(AND(M50="Non-native and ornamental hedgerow",S50&lt;&gt;"Poor"),"Not possible ▲",(VLOOKUP(S50,'G-1 All Habitats'!$Z$2:$AA$9,2,FALSE)))),"")</f>
        <v/>
      </c>
      <c r="U50" s="105"/>
      <c r="V50" s="295" t="str">
        <f>IF(U50="","",IF(VLOOKUP(U50,'G-3 Multipliers'!$L$3:$N$6,2,FALSE)=0,"Spatial Data Missing ⚠",VLOOKUP(U50,'G-3 Multipliers'!$L$3:$N$6,2,FALSE)))</f>
        <v/>
      </c>
      <c r="W50" s="299" t="str">
        <f>IF(U50="","",IF(VLOOKUP(U50,'G-3 Multipliers'!$L$3:$N$6,3,FALSE)=0,"Spatial Data Missing ⚠",VLOOKUP(U50,'G-3 Multipliers'!$L$3:$N$6,3,FALSE)))</f>
        <v/>
      </c>
      <c r="X50" s="275" t="str">
        <f>IFERROR(IF(OR(LEFT(O50,5)="Error",LEFT(N50,5)="Error",T50="Error"),"Check Data ⚠",IF(F50&lt;R50,INDEX('G-6 Hedgerow Data'!$S$3:$AE$14,MATCH(C50,'G-6 Hedgerow Data'!$B$3:$B$14,0),MATCH(M50,'G-6 Hedgerow Data'!$S$2:$AE$2,0)),INDEX('G-6 Hedgerow Data'!$K$3:$Q$14,MATCH(M50,'G-6 Hedgerow Data'!$B$3:$B$14,0),MATCH(O50,'G-6 Hedgerow Data'!$K$2:$Q$2,0)))),"")</f>
        <v/>
      </c>
      <c r="Y50" s="133"/>
      <c r="Z50" s="133"/>
      <c r="AA50" s="283" t="str">
        <f t="shared" si="2"/>
        <v/>
      </c>
      <c r="AB50" s="296" t="str">
        <f t="shared" si="3"/>
        <v/>
      </c>
      <c r="AC50" s="297" t="str">
        <f t="shared" si="0"/>
        <v/>
      </c>
      <c r="AD50" s="311" t="str">
        <f>IF(M50="","",VLOOKUP(M50,'G-6 Hedgerow Data'!$B$3:$AG$15,31,FALSE))</f>
        <v/>
      </c>
      <c r="AE50" s="283" t="str">
        <f t="shared" si="4"/>
        <v/>
      </c>
      <c r="AF50" s="283" t="str">
        <f t="shared" si="5"/>
        <v/>
      </c>
      <c r="AG50" s="299" t="str">
        <f>IFERROR(IF(O50="","",VLOOKUP(AD50,'G-3 Multipliers'!$P$3:$Q$6,2,FALSE)),"")</f>
        <v/>
      </c>
      <c r="AH50" s="289" t="str">
        <f t="shared" si="6"/>
        <v/>
      </c>
      <c r="AI50" s="108"/>
      <c r="AJ50" s="115"/>
      <c r="AK50" s="104"/>
      <c r="AT50" s="30" t="str">
        <f>IFERROR(INDEX('G-6 Hedgerow Data'!$BJ$3:$BJ$15,MATCH(M50,'G-6 Hedgerow Data'!$B$3:$B$15,0)),"")</f>
        <v/>
      </c>
    </row>
    <row r="51" spans="2:46" ht="14">
      <c r="B51" s="305" t="str">
        <f>'B-1 On-Site Hedge Baseline'!AK49</f>
        <v/>
      </c>
      <c r="C51" s="295" t="str">
        <f>IF(B51="","",IF(ISNA(VLOOKUP($B51,'B-1 On-Site Hedge Baseline'!$B$1:$L$257,3,FALSE)),"",(VLOOKUP($B51,'B-1 On-Site Hedge Baseline'!$B$1:$L$257,3,FALSE))))</f>
        <v/>
      </c>
      <c r="D51" s="295" t="str">
        <f>IF(B51="","",IF(ISNA(VLOOKUP($B51,'B-1 On-Site Hedge Baseline'!$B$1:$L$257,4,FALSE)),"",(VLOOKUP($B51,'B-1 On-Site Hedge Baseline'!$B$1:$L$257,4,FALSE))))</f>
        <v/>
      </c>
      <c r="E51" s="295" t="str">
        <f>IF(B51="","",IF(ISNA(VLOOKUP($B51,'B-1 On-Site Hedge Baseline'!$B$1:$L$257,5,FALSE)),"",(VLOOKUP($B51,'B-1 On-Site Hedge Baseline'!$B$1:$L$257,5,FALSE))))</f>
        <v/>
      </c>
      <c r="F51" s="295" t="str">
        <f>IF(B51="","",IF(ISNA(VLOOKUP($B51,'B-1 On-Site Hedge Baseline'!$B$1:$L$257,6,FALSE)),"",(VLOOKUP($B51,'B-1 On-Site Hedge Baseline'!$B$1:$L$257,6,FALSE))))</f>
        <v/>
      </c>
      <c r="G51" s="295" t="str">
        <f>IF(B51="","",IF(ISNA(VLOOKUP($B51,'B-1 On-Site Hedge Baseline'!$B$1:$L$257,7,FALSE)),"",(VLOOKUP($B51,'B-1 On-Site Hedge Baseline'!$B$1:$L$257,7,FALSE))))</f>
        <v/>
      </c>
      <c r="H51" s="295" t="str">
        <f>IF(B51="","",IF(ISNA(VLOOKUP($B51,'B-1 On-Site Hedge Baseline'!$B$1:$L$257,8,FALSE)),"",(VLOOKUP($B51,'B-1 On-Site Hedge Baseline'!$B$1:$L$257,8,FALSE))))</f>
        <v/>
      </c>
      <c r="I51" s="295" t="str">
        <f>IF(B51="","",IF(ISNA(VLOOKUP($B51,'B-1 On-Site Hedge Baseline'!$B$1:$L$257,10,FALSE)),"",(VLOOKUP($B51,'B-1 On-Site Hedge Baseline'!$B$1:$L$257,10,FALSE))))</f>
        <v/>
      </c>
      <c r="J51" s="295" t="str">
        <f>IF(B51="","",IF(ISNA(VLOOKUP($B51,'B-1 On-Site Hedge Baseline'!$B$1:$L$257,11,FALSE)),"",(VLOOKUP($B51,'B-1 On-Site Hedge Baseline'!$B$1:$L$257,11,FALSE))))</f>
        <v/>
      </c>
      <c r="K51" s="295" t="str">
        <f>IF(B51="","",IF(ISNA(VLOOKUP($B51,'B-1 On-Site Hedge Baseline'!$B$1:$U$257,13,FALSE)),"",(VLOOKUP($B51,'B-1 On-Site Hedge Baseline'!$B$1:$U$257,13,FALSE))))</f>
        <v/>
      </c>
      <c r="L51" s="299" t="str">
        <f>IF(B51="","",IF(ISNA(VLOOKUP($B51,'B-1 On-Site Hedge Baseline'!$B$1:$U$257,12,FALSE)),"",(VLOOKUP($B51,'B-1 On-Site Hedge Baseline'!$B$1:$U$257,12,FALSE))))</f>
        <v/>
      </c>
      <c r="M51" s="611"/>
      <c r="N51" s="275" t="str">
        <f>IFERROR(IF(B51="","",INDEX('G-6 Hedgerow Data'!$AN$3:$AZ$15,MATCH(C51,'G-6 Hedgerow Data'!$AM$3:$AM$15,0),MATCH(M51,'G-6 Hedgerow Data'!$AN$2:$AZ$2,0))),"")</f>
        <v/>
      </c>
      <c r="O51" s="276" t="str">
        <f t="shared" si="1"/>
        <v/>
      </c>
      <c r="P51" s="329" t="str">
        <f>IF(B51="","",VLOOKUP(B51,'B-1 On-Site Hedge Baseline'!$B$10:T296,16,FALSE))</f>
        <v/>
      </c>
      <c r="Q51" s="275" t="str">
        <f>IF(M51="","",VLOOKUP(M51,'G-6 Hedgerow Data'!$B$2:$AG$15,2,FALSE))</f>
        <v/>
      </c>
      <c r="R51" s="276" t="str">
        <f>IF(M51="","",VLOOKUP(M51,'G-6 Hedgerow Data'!$B$2:$AG$15,3,FALSE))</f>
        <v/>
      </c>
      <c r="S51" s="108"/>
      <c r="T51" s="314" t="str">
        <f>IFERROR(IF(S51="","",IF(AND(M51="Non-native and ornamental hedgerow",S51&lt;&gt;"Poor"),"Not possible ▲",(VLOOKUP(S51,'G-1 All Habitats'!$Z$2:$AA$9,2,FALSE)))),"")</f>
        <v/>
      </c>
      <c r="U51" s="105"/>
      <c r="V51" s="295" t="str">
        <f>IF(U51="","",IF(VLOOKUP(U51,'G-3 Multipliers'!$L$3:$N$6,2,FALSE)=0,"Spatial Data Missing ⚠",VLOOKUP(U51,'G-3 Multipliers'!$L$3:$N$6,2,FALSE)))</f>
        <v/>
      </c>
      <c r="W51" s="299" t="str">
        <f>IF(U51="","",IF(VLOOKUP(U51,'G-3 Multipliers'!$L$3:$N$6,3,FALSE)=0,"Spatial Data Missing ⚠",VLOOKUP(U51,'G-3 Multipliers'!$L$3:$N$6,3,FALSE)))</f>
        <v/>
      </c>
      <c r="X51" s="275" t="str">
        <f>IFERROR(IF(OR(LEFT(O51,5)="Error",LEFT(N51,5)="Error",T51="Error"),"Check Data ⚠",IF(F51&lt;R51,INDEX('G-6 Hedgerow Data'!$S$3:$AE$14,MATCH(C51,'G-6 Hedgerow Data'!$B$3:$B$14,0),MATCH(M51,'G-6 Hedgerow Data'!$S$2:$AE$2,0)),INDEX('G-6 Hedgerow Data'!$K$3:$Q$14,MATCH(M51,'G-6 Hedgerow Data'!$B$3:$B$14,0),MATCH(O51,'G-6 Hedgerow Data'!$K$2:$Q$2,0)))),"")</f>
        <v/>
      </c>
      <c r="Y51" s="133"/>
      <c r="Z51" s="133"/>
      <c r="AA51" s="283" t="str">
        <f t="shared" si="2"/>
        <v/>
      </c>
      <c r="AB51" s="296" t="str">
        <f t="shared" si="3"/>
        <v/>
      </c>
      <c r="AC51" s="297" t="str">
        <f t="shared" si="0"/>
        <v/>
      </c>
      <c r="AD51" s="311" t="str">
        <f>IF(M51="","",VLOOKUP(M51,'G-6 Hedgerow Data'!$B$3:$AG$15,31,FALSE))</f>
        <v/>
      </c>
      <c r="AE51" s="283" t="str">
        <f t="shared" si="4"/>
        <v/>
      </c>
      <c r="AF51" s="283" t="str">
        <f t="shared" si="5"/>
        <v/>
      </c>
      <c r="AG51" s="299" t="str">
        <f>IFERROR(IF(O51="","",VLOOKUP(AD51,'G-3 Multipliers'!$P$3:$Q$6,2,FALSE)),"")</f>
        <v/>
      </c>
      <c r="AH51" s="289" t="str">
        <f t="shared" si="6"/>
        <v/>
      </c>
      <c r="AI51" s="108"/>
      <c r="AJ51" s="115"/>
      <c r="AK51" s="104"/>
      <c r="AT51" s="30" t="str">
        <f>IFERROR(INDEX('G-6 Hedgerow Data'!$BJ$3:$BJ$15,MATCH(M51,'G-6 Hedgerow Data'!$B$3:$B$15,0)),"")</f>
        <v/>
      </c>
    </row>
    <row r="52" spans="2:46" ht="14">
      <c r="B52" s="305" t="str">
        <f>'B-1 On-Site Hedge Baseline'!AK50</f>
        <v/>
      </c>
      <c r="C52" s="295" t="str">
        <f>IF(B52="","",IF(ISNA(VLOOKUP($B52,'B-1 On-Site Hedge Baseline'!$B$1:$L$257,3,FALSE)),"",(VLOOKUP($B52,'B-1 On-Site Hedge Baseline'!$B$1:$L$257,3,FALSE))))</f>
        <v/>
      </c>
      <c r="D52" s="295" t="str">
        <f>IF(B52="","",IF(ISNA(VLOOKUP($B52,'B-1 On-Site Hedge Baseline'!$B$1:$L$257,4,FALSE)),"",(VLOOKUP($B52,'B-1 On-Site Hedge Baseline'!$B$1:$L$257,4,FALSE))))</f>
        <v/>
      </c>
      <c r="E52" s="295" t="str">
        <f>IF(B52="","",IF(ISNA(VLOOKUP($B52,'B-1 On-Site Hedge Baseline'!$B$1:$L$257,5,FALSE)),"",(VLOOKUP($B52,'B-1 On-Site Hedge Baseline'!$B$1:$L$257,5,FALSE))))</f>
        <v/>
      </c>
      <c r="F52" s="295" t="str">
        <f>IF(B52="","",IF(ISNA(VLOOKUP($B52,'B-1 On-Site Hedge Baseline'!$B$1:$L$257,6,FALSE)),"",(VLOOKUP($B52,'B-1 On-Site Hedge Baseline'!$B$1:$L$257,6,FALSE))))</f>
        <v/>
      </c>
      <c r="G52" s="295" t="str">
        <f>IF(B52="","",IF(ISNA(VLOOKUP($B52,'B-1 On-Site Hedge Baseline'!$B$1:$L$257,7,FALSE)),"",(VLOOKUP($B52,'B-1 On-Site Hedge Baseline'!$B$1:$L$257,7,FALSE))))</f>
        <v/>
      </c>
      <c r="H52" s="295" t="str">
        <f>IF(B52="","",IF(ISNA(VLOOKUP($B52,'B-1 On-Site Hedge Baseline'!$B$1:$L$257,8,FALSE)),"",(VLOOKUP($B52,'B-1 On-Site Hedge Baseline'!$B$1:$L$257,8,FALSE))))</f>
        <v/>
      </c>
      <c r="I52" s="295" t="str">
        <f>IF(B52="","",IF(ISNA(VLOOKUP($B52,'B-1 On-Site Hedge Baseline'!$B$1:$L$257,10,FALSE)),"",(VLOOKUP($B52,'B-1 On-Site Hedge Baseline'!$B$1:$L$257,10,FALSE))))</f>
        <v/>
      </c>
      <c r="J52" s="295" t="str">
        <f>IF(B52="","",IF(ISNA(VLOOKUP($B52,'B-1 On-Site Hedge Baseline'!$B$1:$L$257,11,FALSE)),"",(VLOOKUP($B52,'B-1 On-Site Hedge Baseline'!$B$1:$L$257,11,FALSE))))</f>
        <v/>
      </c>
      <c r="K52" s="295" t="str">
        <f>IF(B52="","",IF(ISNA(VLOOKUP($B52,'B-1 On-Site Hedge Baseline'!$B$1:$U$257,13,FALSE)),"",(VLOOKUP($B52,'B-1 On-Site Hedge Baseline'!$B$1:$U$257,13,FALSE))))</f>
        <v/>
      </c>
      <c r="L52" s="299" t="str">
        <f>IF(B52="","",IF(ISNA(VLOOKUP($B52,'B-1 On-Site Hedge Baseline'!$B$1:$U$257,12,FALSE)),"",(VLOOKUP($B52,'B-1 On-Site Hedge Baseline'!$B$1:$U$257,12,FALSE))))</f>
        <v/>
      </c>
      <c r="M52" s="611"/>
      <c r="N52" s="275" t="str">
        <f>IFERROR(IF(B52="","",INDEX('G-6 Hedgerow Data'!$AN$3:$AZ$15,MATCH(C52,'G-6 Hedgerow Data'!$AM$3:$AM$15,0),MATCH(M52,'G-6 Hedgerow Data'!$AN$2:$AZ$2,0))),"")</f>
        <v/>
      </c>
      <c r="O52" s="276" t="str">
        <f t="shared" si="1"/>
        <v/>
      </c>
      <c r="P52" s="329" t="str">
        <f>IF(B52="","",VLOOKUP(B52,'B-1 On-Site Hedge Baseline'!$B$10:T297,16,FALSE))</f>
        <v/>
      </c>
      <c r="Q52" s="275" t="str">
        <f>IF(M52="","",VLOOKUP(M52,'G-6 Hedgerow Data'!$B$2:$AG$15,2,FALSE))</f>
        <v/>
      </c>
      <c r="R52" s="276" t="str">
        <f>IF(M52="","",VLOOKUP(M52,'G-6 Hedgerow Data'!$B$2:$AG$15,3,FALSE))</f>
        <v/>
      </c>
      <c r="S52" s="108"/>
      <c r="T52" s="314" t="str">
        <f>IFERROR(IF(S52="","",IF(AND(M52="Non-native and ornamental hedgerow",S52&lt;&gt;"Poor"),"Not possible ▲",(VLOOKUP(S52,'G-1 All Habitats'!$Z$2:$AA$9,2,FALSE)))),"")</f>
        <v/>
      </c>
      <c r="U52" s="105"/>
      <c r="V52" s="295" t="str">
        <f>IF(U52="","",IF(VLOOKUP(U52,'G-3 Multipliers'!$L$3:$N$6,2,FALSE)=0,"Spatial Data Missing ⚠",VLOOKUP(U52,'G-3 Multipliers'!$L$3:$N$6,2,FALSE)))</f>
        <v/>
      </c>
      <c r="W52" s="299" t="str">
        <f>IF(U52="","",IF(VLOOKUP(U52,'G-3 Multipliers'!$L$3:$N$6,3,FALSE)=0,"Spatial Data Missing ⚠",VLOOKUP(U52,'G-3 Multipliers'!$L$3:$N$6,3,FALSE)))</f>
        <v/>
      </c>
      <c r="X52" s="275" t="str">
        <f>IFERROR(IF(OR(LEFT(O52,5)="Error",LEFT(N52,5)="Error",T52="Error"),"Check Data ⚠",IF(F52&lt;R52,INDEX('G-6 Hedgerow Data'!$S$3:$AE$14,MATCH(C52,'G-6 Hedgerow Data'!$B$3:$B$14,0),MATCH(M52,'G-6 Hedgerow Data'!$S$2:$AE$2,0)),INDEX('G-6 Hedgerow Data'!$K$3:$Q$14,MATCH(M52,'G-6 Hedgerow Data'!$B$3:$B$14,0),MATCH(O52,'G-6 Hedgerow Data'!$K$2:$Q$2,0)))),"")</f>
        <v/>
      </c>
      <c r="Y52" s="133"/>
      <c r="Z52" s="133"/>
      <c r="AA52" s="283" t="str">
        <f t="shared" si="2"/>
        <v/>
      </c>
      <c r="AB52" s="296" t="str">
        <f t="shared" si="3"/>
        <v/>
      </c>
      <c r="AC52" s="297" t="str">
        <f t="shared" si="0"/>
        <v/>
      </c>
      <c r="AD52" s="311" t="str">
        <f>IF(M52="","",VLOOKUP(M52,'G-6 Hedgerow Data'!$B$3:$AG$15,31,FALSE))</f>
        <v/>
      </c>
      <c r="AE52" s="283" t="str">
        <f t="shared" si="4"/>
        <v/>
      </c>
      <c r="AF52" s="283" t="str">
        <f t="shared" si="5"/>
        <v/>
      </c>
      <c r="AG52" s="299" t="str">
        <f>IFERROR(IF(O52="","",VLOOKUP(AD52,'G-3 Multipliers'!$P$3:$Q$6,2,FALSE)),"")</f>
        <v/>
      </c>
      <c r="AH52" s="289" t="str">
        <f t="shared" si="6"/>
        <v/>
      </c>
      <c r="AI52" s="108"/>
      <c r="AJ52" s="115"/>
      <c r="AK52" s="104"/>
      <c r="AT52" s="30" t="str">
        <f>IFERROR(INDEX('G-6 Hedgerow Data'!$BJ$3:$BJ$15,MATCH(M52,'G-6 Hedgerow Data'!$B$3:$B$15,0)),"")</f>
        <v/>
      </c>
    </row>
    <row r="53" spans="2:46" ht="14">
      <c r="B53" s="305" t="str">
        <f>'B-1 On-Site Hedge Baseline'!AK51</f>
        <v/>
      </c>
      <c r="C53" s="295" t="str">
        <f>IF(B53="","",IF(ISNA(VLOOKUP($B53,'B-1 On-Site Hedge Baseline'!$B$1:$L$257,3,FALSE)),"",(VLOOKUP($B53,'B-1 On-Site Hedge Baseline'!$B$1:$L$257,3,FALSE))))</f>
        <v/>
      </c>
      <c r="D53" s="295" t="str">
        <f>IF(B53="","",IF(ISNA(VLOOKUP($B53,'B-1 On-Site Hedge Baseline'!$B$1:$L$257,4,FALSE)),"",(VLOOKUP($B53,'B-1 On-Site Hedge Baseline'!$B$1:$L$257,4,FALSE))))</f>
        <v/>
      </c>
      <c r="E53" s="295" t="str">
        <f>IF(B53="","",IF(ISNA(VLOOKUP($B53,'B-1 On-Site Hedge Baseline'!$B$1:$L$257,5,FALSE)),"",(VLOOKUP($B53,'B-1 On-Site Hedge Baseline'!$B$1:$L$257,5,FALSE))))</f>
        <v/>
      </c>
      <c r="F53" s="295" t="str">
        <f>IF(B53="","",IF(ISNA(VLOOKUP($B53,'B-1 On-Site Hedge Baseline'!$B$1:$L$257,6,FALSE)),"",(VLOOKUP($B53,'B-1 On-Site Hedge Baseline'!$B$1:$L$257,6,FALSE))))</f>
        <v/>
      </c>
      <c r="G53" s="295" t="str">
        <f>IF(B53="","",IF(ISNA(VLOOKUP($B53,'B-1 On-Site Hedge Baseline'!$B$1:$L$257,7,FALSE)),"",(VLOOKUP($B53,'B-1 On-Site Hedge Baseline'!$B$1:$L$257,7,FALSE))))</f>
        <v/>
      </c>
      <c r="H53" s="295" t="str">
        <f>IF(B53="","",IF(ISNA(VLOOKUP($B53,'B-1 On-Site Hedge Baseline'!$B$1:$L$257,8,FALSE)),"",(VLOOKUP($B53,'B-1 On-Site Hedge Baseline'!$B$1:$L$257,8,FALSE))))</f>
        <v/>
      </c>
      <c r="I53" s="295" t="str">
        <f>IF(B53="","",IF(ISNA(VLOOKUP($B53,'B-1 On-Site Hedge Baseline'!$B$1:$L$257,10,FALSE)),"",(VLOOKUP($B53,'B-1 On-Site Hedge Baseline'!$B$1:$L$257,10,FALSE))))</f>
        <v/>
      </c>
      <c r="J53" s="295" t="str">
        <f>IF(B53="","",IF(ISNA(VLOOKUP($B53,'B-1 On-Site Hedge Baseline'!$B$1:$L$257,11,FALSE)),"",(VLOOKUP($B53,'B-1 On-Site Hedge Baseline'!$B$1:$L$257,11,FALSE))))</f>
        <v/>
      </c>
      <c r="K53" s="295" t="str">
        <f>IF(B53="","",IF(ISNA(VLOOKUP($B53,'B-1 On-Site Hedge Baseline'!$B$1:$U$257,13,FALSE)),"",(VLOOKUP($B53,'B-1 On-Site Hedge Baseline'!$B$1:$U$257,13,FALSE))))</f>
        <v/>
      </c>
      <c r="L53" s="299" t="str">
        <f>IF(B53="","",IF(ISNA(VLOOKUP($B53,'B-1 On-Site Hedge Baseline'!$B$1:$U$257,12,FALSE)),"",(VLOOKUP($B53,'B-1 On-Site Hedge Baseline'!$B$1:$U$257,12,FALSE))))</f>
        <v/>
      </c>
      <c r="M53" s="611"/>
      <c r="N53" s="275" t="str">
        <f>IFERROR(IF(B53="","",INDEX('G-6 Hedgerow Data'!$AN$3:$AZ$15,MATCH(C53,'G-6 Hedgerow Data'!$AM$3:$AM$15,0),MATCH(M53,'G-6 Hedgerow Data'!$AN$2:$AZ$2,0))),"")</f>
        <v/>
      </c>
      <c r="O53" s="276" t="str">
        <f t="shared" si="1"/>
        <v/>
      </c>
      <c r="P53" s="329" t="str">
        <f>IF(B53="","",VLOOKUP(B53,'B-1 On-Site Hedge Baseline'!$B$10:T298,16,FALSE))</f>
        <v/>
      </c>
      <c r="Q53" s="275" t="str">
        <f>IF(M53="","",VLOOKUP(M53,'G-6 Hedgerow Data'!$B$2:$AG$15,2,FALSE))</f>
        <v/>
      </c>
      <c r="R53" s="276" t="str">
        <f>IF(M53="","",VLOOKUP(M53,'G-6 Hedgerow Data'!$B$2:$AG$15,3,FALSE))</f>
        <v/>
      </c>
      <c r="S53" s="108"/>
      <c r="T53" s="314" t="str">
        <f>IFERROR(IF(S53="","",IF(AND(M53="Non-native and ornamental hedgerow",S53&lt;&gt;"Poor"),"Not possible ▲",(VLOOKUP(S53,'G-1 All Habitats'!$Z$2:$AA$9,2,FALSE)))),"")</f>
        <v/>
      </c>
      <c r="U53" s="105"/>
      <c r="V53" s="295" t="str">
        <f>IF(U53="","",IF(VLOOKUP(U53,'G-3 Multipliers'!$L$3:$N$6,2,FALSE)=0,"Spatial Data Missing ⚠",VLOOKUP(U53,'G-3 Multipliers'!$L$3:$N$6,2,FALSE)))</f>
        <v/>
      </c>
      <c r="W53" s="299" t="str">
        <f>IF(U53="","",IF(VLOOKUP(U53,'G-3 Multipliers'!$L$3:$N$6,3,FALSE)=0,"Spatial Data Missing ⚠",VLOOKUP(U53,'G-3 Multipliers'!$L$3:$N$6,3,FALSE)))</f>
        <v/>
      </c>
      <c r="X53" s="275" t="str">
        <f>IFERROR(IF(OR(LEFT(O53,5)="Error",LEFT(N53,5)="Error",T53="Error"),"Check Data ⚠",IF(F53&lt;R53,INDEX('G-6 Hedgerow Data'!$S$3:$AE$14,MATCH(C53,'G-6 Hedgerow Data'!$B$3:$B$14,0),MATCH(M53,'G-6 Hedgerow Data'!$S$2:$AE$2,0)),INDEX('G-6 Hedgerow Data'!$K$3:$Q$14,MATCH(M53,'G-6 Hedgerow Data'!$B$3:$B$14,0),MATCH(O53,'G-6 Hedgerow Data'!$K$2:$Q$2,0)))),"")</f>
        <v/>
      </c>
      <c r="Y53" s="133"/>
      <c r="Z53" s="133"/>
      <c r="AA53" s="283" t="str">
        <f t="shared" si="2"/>
        <v/>
      </c>
      <c r="AB53" s="296" t="str">
        <f t="shared" si="3"/>
        <v/>
      </c>
      <c r="AC53" s="297" t="str">
        <f t="shared" si="0"/>
        <v/>
      </c>
      <c r="AD53" s="311" t="str">
        <f>IF(M53="","",VLOOKUP(M53,'G-6 Hedgerow Data'!$B$3:$AG$15,31,FALSE))</f>
        <v/>
      </c>
      <c r="AE53" s="283" t="str">
        <f t="shared" si="4"/>
        <v/>
      </c>
      <c r="AF53" s="283" t="str">
        <f t="shared" si="5"/>
        <v/>
      </c>
      <c r="AG53" s="299" t="str">
        <f>IFERROR(IF(O53="","",VLOOKUP(AD53,'G-3 Multipliers'!$P$3:$Q$6,2,FALSE)),"")</f>
        <v/>
      </c>
      <c r="AH53" s="289" t="str">
        <f t="shared" si="6"/>
        <v/>
      </c>
      <c r="AI53" s="108"/>
      <c r="AJ53" s="115"/>
      <c r="AK53" s="104"/>
      <c r="AT53" s="30" t="str">
        <f>IFERROR(INDEX('G-6 Hedgerow Data'!$BJ$3:$BJ$15,MATCH(M53,'G-6 Hedgerow Data'!$B$3:$B$15,0)),"")</f>
        <v/>
      </c>
    </row>
    <row r="54" spans="2:46" ht="14">
      <c r="B54" s="305" t="str">
        <f>'B-1 On-Site Hedge Baseline'!AK52</f>
        <v/>
      </c>
      <c r="C54" s="295" t="str">
        <f>IF(B54="","",IF(ISNA(VLOOKUP($B54,'B-1 On-Site Hedge Baseline'!$B$1:$L$257,3,FALSE)),"",(VLOOKUP($B54,'B-1 On-Site Hedge Baseline'!$B$1:$L$257,3,FALSE))))</f>
        <v/>
      </c>
      <c r="D54" s="295" t="str">
        <f>IF(B54="","",IF(ISNA(VLOOKUP($B54,'B-1 On-Site Hedge Baseline'!$B$1:$L$257,4,FALSE)),"",(VLOOKUP($B54,'B-1 On-Site Hedge Baseline'!$B$1:$L$257,4,FALSE))))</f>
        <v/>
      </c>
      <c r="E54" s="295" t="str">
        <f>IF(B54="","",IF(ISNA(VLOOKUP($B54,'B-1 On-Site Hedge Baseline'!$B$1:$L$257,5,FALSE)),"",(VLOOKUP($B54,'B-1 On-Site Hedge Baseline'!$B$1:$L$257,5,FALSE))))</f>
        <v/>
      </c>
      <c r="F54" s="295" t="str">
        <f>IF(B54="","",IF(ISNA(VLOOKUP($B54,'B-1 On-Site Hedge Baseline'!$B$1:$L$257,6,FALSE)),"",(VLOOKUP($B54,'B-1 On-Site Hedge Baseline'!$B$1:$L$257,6,FALSE))))</f>
        <v/>
      </c>
      <c r="G54" s="295" t="str">
        <f>IF(B54="","",IF(ISNA(VLOOKUP($B54,'B-1 On-Site Hedge Baseline'!$B$1:$L$257,7,FALSE)),"",(VLOOKUP($B54,'B-1 On-Site Hedge Baseline'!$B$1:$L$257,7,FALSE))))</f>
        <v/>
      </c>
      <c r="H54" s="295" t="str">
        <f>IF(B54="","",IF(ISNA(VLOOKUP($B54,'B-1 On-Site Hedge Baseline'!$B$1:$L$257,8,FALSE)),"",(VLOOKUP($B54,'B-1 On-Site Hedge Baseline'!$B$1:$L$257,8,FALSE))))</f>
        <v/>
      </c>
      <c r="I54" s="295" t="str">
        <f>IF(B54="","",IF(ISNA(VLOOKUP($B54,'B-1 On-Site Hedge Baseline'!$B$1:$L$257,10,FALSE)),"",(VLOOKUP($B54,'B-1 On-Site Hedge Baseline'!$B$1:$L$257,10,FALSE))))</f>
        <v/>
      </c>
      <c r="J54" s="295" t="str">
        <f>IF(B54="","",IF(ISNA(VLOOKUP($B54,'B-1 On-Site Hedge Baseline'!$B$1:$L$257,11,FALSE)),"",(VLOOKUP($B54,'B-1 On-Site Hedge Baseline'!$B$1:$L$257,11,FALSE))))</f>
        <v/>
      </c>
      <c r="K54" s="295" t="str">
        <f>IF(B54="","",IF(ISNA(VLOOKUP($B54,'B-1 On-Site Hedge Baseline'!$B$1:$U$257,13,FALSE)),"",(VLOOKUP($B54,'B-1 On-Site Hedge Baseline'!$B$1:$U$257,13,FALSE))))</f>
        <v/>
      </c>
      <c r="L54" s="299" t="str">
        <f>IF(B54="","",IF(ISNA(VLOOKUP($B54,'B-1 On-Site Hedge Baseline'!$B$1:$U$257,12,FALSE)),"",(VLOOKUP($B54,'B-1 On-Site Hedge Baseline'!$B$1:$U$257,12,FALSE))))</f>
        <v/>
      </c>
      <c r="M54" s="611"/>
      <c r="N54" s="275" t="str">
        <f>IFERROR(IF(B54="","",INDEX('G-6 Hedgerow Data'!$AN$3:$AZ$15,MATCH(C54,'G-6 Hedgerow Data'!$AM$3:$AM$15,0),MATCH(M54,'G-6 Hedgerow Data'!$AN$2:$AZ$2,0))),"")</f>
        <v/>
      </c>
      <c r="O54" s="276" t="str">
        <f t="shared" si="1"/>
        <v/>
      </c>
      <c r="P54" s="329" t="str">
        <f>IF(B54="","",VLOOKUP(B54,'B-1 On-Site Hedge Baseline'!$B$10:T299,16,FALSE))</f>
        <v/>
      </c>
      <c r="Q54" s="275" t="str">
        <f>IF(M54="","",VLOOKUP(M54,'G-6 Hedgerow Data'!$B$2:$AG$15,2,FALSE))</f>
        <v/>
      </c>
      <c r="R54" s="276" t="str">
        <f>IF(M54="","",VLOOKUP(M54,'G-6 Hedgerow Data'!$B$2:$AG$15,3,FALSE))</f>
        <v/>
      </c>
      <c r="S54" s="108"/>
      <c r="T54" s="314" t="str">
        <f>IFERROR(IF(S54="","",IF(AND(M54="Non-native and ornamental hedgerow",S54&lt;&gt;"Poor"),"Not possible ▲",(VLOOKUP(S54,'G-1 All Habitats'!$Z$2:$AA$9,2,FALSE)))),"")</f>
        <v/>
      </c>
      <c r="U54" s="105"/>
      <c r="V54" s="295" t="str">
        <f>IF(U54="","",IF(VLOOKUP(U54,'G-3 Multipliers'!$L$3:$N$6,2,FALSE)=0,"Spatial Data Missing ⚠",VLOOKUP(U54,'G-3 Multipliers'!$L$3:$N$6,2,FALSE)))</f>
        <v/>
      </c>
      <c r="W54" s="299" t="str">
        <f>IF(U54="","",IF(VLOOKUP(U54,'G-3 Multipliers'!$L$3:$N$6,3,FALSE)=0,"Spatial Data Missing ⚠",VLOOKUP(U54,'G-3 Multipliers'!$L$3:$N$6,3,FALSE)))</f>
        <v/>
      </c>
      <c r="X54" s="275" t="str">
        <f>IFERROR(IF(OR(LEFT(O54,5)="Error",LEFT(N54,5)="Error",T54="Error"),"Check Data ⚠",IF(F54&lt;R54,INDEX('G-6 Hedgerow Data'!$S$3:$AE$14,MATCH(C54,'G-6 Hedgerow Data'!$B$3:$B$14,0),MATCH(M54,'G-6 Hedgerow Data'!$S$2:$AE$2,0)),INDEX('G-6 Hedgerow Data'!$K$3:$Q$14,MATCH(M54,'G-6 Hedgerow Data'!$B$3:$B$14,0),MATCH(O54,'G-6 Hedgerow Data'!$K$2:$Q$2,0)))),"")</f>
        <v/>
      </c>
      <c r="Y54" s="133"/>
      <c r="Z54" s="133"/>
      <c r="AA54" s="283" t="str">
        <f t="shared" si="2"/>
        <v/>
      </c>
      <c r="AB54" s="296" t="str">
        <f t="shared" si="3"/>
        <v/>
      </c>
      <c r="AC54" s="297" t="str">
        <f t="shared" si="0"/>
        <v/>
      </c>
      <c r="AD54" s="311" t="str">
        <f>IF(M54="","",VLOOKUP(M54,'G-6 Hedgerow Data'!$B$3:$AG$15,31,FALSE))</f>
        <v/>
      </c>
      <c r="AE54" s="283" t="str">
        <f t="shared" si="4"/>
        <v/>
      </c>
      <c r="AF54" s="283" t="str">
        <f t="shared" si="5"/>
        <v/>
      </c>
      <c r="AG54" s="299" t="str">
        <f>IFERROR(IF(O54="","",VLOOKUP(AD54,'G-3 Multipliers'!$P$3:$Q$6,2,FALSE)),"")</f>
        <v/>
      </c>
      <c r="AH54" s="289" t="str">
        <f t="shared" si="6"/>
        <v/>
      </c>
      <c r="AI54" s="108"/>
      <c r="AJ54" s="115"/>
      <c r="AK54" s="104"/>
      <c r="AT54" s="30" t="str">
        <f>IFERROR(INDEX('G-6 Hedgerow Data'!$BJ$3:$BJ$15,MATCH(M54,'G-6 Hedgerow Data'!$B$3:$B$15,0)),"")</f>
        <v/>
      </c>
    </row>
    <row r="55" spans="2:46" ht="14">
      <c r="B55" s="305" t="str">
        <f>'B-1 On-Site Hedge Baseline'!AK53</f>
        <v/>
      </c>
      <c r="C55" s="295" t="str">
        <f>IF(B55="","",IF(ISNA(VLOOKUP($B55,'B-1 On-Site Hedge Baseline'!$B$1:$L$257,3,FALSE)),"",(VLOOKUP($B55,'B-1 On-Site Hedge Baseline'!$B$1:$L$257,3,FALSE))))</f>
        <v/>
      </c>
      <c r="D55" s="295" t="str">
        <f>IF(B55="","",IF(ISNA(VLOOKUP($B55,'B-1 On-Site Hedge Baseline'!$B$1:$L$257,4,FALSE)),"",(VLOOKUP($B55,'B-1 On-Site Hedge Baseline'!$B$1:$L$257,4,FALSE))))</f>
        <v/>
      </c>
      <c r="E55" s="295" t="str">
        <f>IF(B55="","",IF(ISNA(VLOOKUP($B55,'B-1 On-Site Hedge Baseline'!$B$1:$L$257,5,FALSE)),"",(VLOOKUP($B55,'B-1 On-Site Hedge Baseline'!$B$1:$L$257,5,FALSE))))</f>
        <v/>
      </c>
      <c r="F55" s="295" t="str">
        <f>IF(B55="","",IF(ISNA(VLOOKUP($B55,'B-1 On-Site Hedge Baseline'!$B$1:$L$257,6,FALSE)),"",(VLOOKUP($B55,'B-1 On-Site Hedge Baseline'!$B$1:$L$257,6,FALSE))))</f>
        <v/>
      </c>
      <c r="G55" s="295" t="str">
        <f>IF(B55="","",IF(ISNA(VLOOKUP($B55,'B-1 On-Site Hedge Baseline'!$B$1:$L$257,7,FALSE)),"",(VLOOKUP($B55,'B-1 On-Site Hedge Baseline'!$B$1:$L$257,7,FALSE))))</f>
        <v/>
      </c>
      <c r="H55" s="295" t="str">
        <f>IF(B55="","",IF(ISNA(VLOOKUP($B55,'B-1 On-Site Hedge Baseline'!$B$1:$L$257,8,FALSE)),"",(VLOOKUP($B55,'B-1 On-Site Hedge Baseline'!$B$1:$L$257,8,FALSE))))</f>
        <v/>
      </c>
      <c r="I55" s="295" t="str">
        <f>IF(B55="","",IF(ISNA(VLOOKUP($B55,'B-1 On-Site Hedge Baseline'!$B$1:$L$257,10,FALSE)),"",(VLOOKUP($B55,'B-1 On-Site Hedge Baseline'!$B$1:$L$257,10,FALSE))))</f>
        <v/>
      </c>
      <c r="J55" s="295" t="str">
        <f>IF(B55="","",IF(ISNA(VLOOKUP($B55,'B-1 On-Site Hedge Baseline'!$B$1:$L$257,11,FALSE)),"",(VLOOKUP($B55,'B-1 On-Site Hedge Baseline'!$B$1:$L$257,11,FALSE))))</f>
        <v/>
      </c>
      <c r="K55" s="295" t="str">
        <f>IF(B55="","",IF(ISNA(VLOOKUP($B55,'B-1 On-Site Hedge Baseline'!$B$1:$U$257,13,FALSE)),"",(VLOOKUP($B55,'B-1 On-Site Hedge Baseline'!$B$1:$U$257,13,FALSE))))</f>
        <v/>
      </c>
      <c r="L55" s="299" t="str">
        <f>IF(B55="","",IF(ISNA(VLOOKUP($B55,'B-1 On-Site Hedge Baseline'!$B$1:$U$257,12,FALSE)),"",(VLOOKUP($B55,'B-1 On-Site Hedge Baseline'!$B$1:$U$257,12,FALSE))))</f>
        <v/>
      </c>
      <c r="M55" s="611"/>
      <c r="N55" s="275" t="str">
        <f>IFERROR(IF(B55="","",INDEX('G-6 Hedgerow Data'!$AN$3:$AZ$15,MATCH(C55,'G-6 Hedgerow Data'!$AM$3:$AM$15,0),MATCH(M55,'G-6 Hedgerow Data'!$AN$2:$AZ$2,0))),"")</f>
        <v/>
      </c>
      <c r="O55" s="276" t="str">
        <f t="shared" si="1"/>
        <v/>
      </c>
      <c r="P55" s="329" t="str">
        <f>IF(B55="","",VLOOKUP(B55,'B-1 On-Site Hedge Baseline'!$B$10:T300,16,FALSE))</f>
        <v/>
      </c>
      <c r="Q55" s="275" t="str">
        <f>IF(M55="","",VLOOKUP(M55,'G-6 Hedgerow Data'!$B$2:$AG$15,2,FALSE))</f>
        <v/>
      </c>
      <c r="R55" s="276" t="str">
        <f>IF(M55="","",VLOOKUP(M55,'G-6 Hedgerow Data'!$B$2:$AG$15,3,FALSE))</f>
        <v/>
      </c>
      <c r="S55" s="108"/>
      <c r="T55" s="314" t="str">
        <f>IFERROR(IF(S55="","",IF(AND(M55="Non-native and ornamental hedgerow",S55&lt;&gt;"Poor"),"Not possible ▲",(VLOOKUP(S55,'G-1 All Habitats'!$Z$2:$AA$9,2,FALSE)))),"")</f>
        <v/>
      </c>
      <c r="U55" s="105"/>
      <c r="V55" s="295" t="str">
        <f>IF(U55="","",IF(VLOOKUP(U55,'G-3 Multipliers'!$L$3:$N$6,2,FALSE)=0,"Spatial Data Missing ⚠",VLOOKUP(U55,'G-3 Multipliers'!$L$3:$N$6,2,FALSE)))</f>
        <v/>
      </c>
      <c r="W55" s="299" t="str">
        <f>IF(U55="","",IF(VLOOKUP(U55,'G-3 Multipliers'!$L$3:$N$6,3,FALSE)=0,"Spatial Data Missing ⚠",VLOOKUP(U55,'G-3 Multipliers'!$L$3:$N$6,3,FALSE)))</f>
        <v/>
      </c>
      <c r="X55" s="275" t="str">
        <f>IFERROR(IF(OR(LEFT(O55,5)="Error",LEFT(N55,5)="Error",T55="Error"),"Check Data ⚠",IF(F55&lt;R55,INDEX('G-6 Hedgerow Data'!$S$3:$AE$14,MATCH(C55,'G-6 Hedgerow Data'!$B$3:$B$14,0),MATCH(M55,'G-6 Hedgerow Data'!$S$2:$AE$2,0)),INDEX('G-6 Hedgerow Data'!$K$3:$Q$14,MATCH(M55,'G-6 Hedgerow Data'!$B$3:$B$14,0),MATCH(O55,'G-6 Hedgerow Data'!$K$2:$Q$2,0)))),"")</f>
        <v/>
      </c>
      <c r="Y55" s="133"/>
      <c r="Z55" s="133"/>
      <c r="AA55" s="283" t="str">
        <f t="shared" si="2"/>
        <v/>
      </c>
      <c r="AB55" s="296" t="str">
        <f t="shared" si="3"/>
        <v/>
      </c>
      <c r="AC55" s="297" t="str">
        <f t="shared" si="0"/>
        <v/>
      </c>
      <c r="AD55" s="311" t="str">
        <f>IF(M55="","",VLOOKUP(M55,'G-6 Hedgerow Data'!$B$3:$AG$15,31,FALSE))</f>
        <v/>
      </c>
      <c r="AE55" s="283" t="str">
        <f t="shared" si="4"/>
        <v/>
      </c>
      <c r="AF55" s="283" t="str">
        <f t="shared" si="5"/>
        <v/>
      </c>
      <c r="AG55" s="299" t="str">
        <f>IFERROR(IF(O55="","",VLOOKUP(AD55,'G-3 Multipliers'!$P$3:$Q$6,2,FALSE)),"")</f>
        <v/>
      </c>
      <c r="AH55" s="289" t="str">
        <f t="shared" si="6"/>
        <v/>
      </c>
      <c r="AI55" s="108"/>
      <c r="AJ55" s="115"/>
      <c r="AK55" s="104"/>
      <c r="AT55" s="30" t="str">
        <f>IFERROR(INDEX('G-6 Hedgerow Data'!$BJ$3:$BJ$15,MATCH(M55,'G-6 Hedgerow Data'!$B$3:$B$15,0)),"")</f>
        <v/>
      </c>
    </row>
    <row r="56" spans="2:46" ht="14">
      <c r="B56" s="305" t="str">
        <f>'B-1 On-Site Hedge Baseline'!AK54</f>
        <v/>
      </c>
      <c r="C56" s="295" t="str">
        <f>IF(B56="","",IF(ISNA(VLOOKUP($B56,'B-1 On-Site Hedge Baseline'!$B$1:$L$257,3,FALSE)),"",(VLOOKUP($B56,'B-1 On-Site Hedge Baseline'!$B$1:$L$257,3,FALSE))))</f>
        <v/>
      </c>
      <c r="D56" s="295" t="str">
        <f>IF(B56="","",IF(ISNA(VLOOKUP($B56,'B-1 On-Site Hedge Baseline'!$B$1:$L$257,4,FALSE)),"",(VLOOKUP($B56,'B-1 On-Site Hedge Baseline'!$B$1:$L$257,4,FALSE))))</f>
        <v/>
      </c>
      <c r="E56" s="295" t="str">
        <f>IF(B56="","",IF(ISNA(VLOOKUP($B56,'B-1 On-Site Hedge Baseline'!$B$1:$L$257,5,FALSE)),"",(VLOOKUP($B56,'B-1 On-Site Hedge Baseline'!$B$1:$L$257,5,FALSE))))</f>
        <v/>
      </c>
      <c r="F56" s="295" t="str">
        <f>IF(B56="","",IF(ISNA(VLOOKUP($B56,'B-1 On-Site Hedge Baseline'!$B$1:$L$257,6,FALSE)),"",(VLOOKUP($B56,'B-1 On-Site Hedge Baseline'!$B$1:$L$257,6,FALSE))))</f>
        <v/>
      </c>
      <c r="G56" s="295" t="str">
        <f>IF(B56="","",IF(ISNA(VLOOKUP($B56,'B-1 On-Site Hedge Baseline'!$B$1:$L$257,7,FALSE)),"",(VLOOKUP($B56,'B-1 On-Site Hedge Baseline'!$B$1:$L$257,7,FALSE))))</f>
        <v/>
      </c>
      <c r="H56" s="295" t="str">
        <f>IF(B56="","",IF(ISNA(VLOOKUP($B56,'B-1 On-Site Hedge Baseline'!$B$1:$L$257,8,FALSE)),"",(VLOOKUP($B56,'B-1 On-Site Hedge Baseline'!$B$1:$L$257,8,FALSE))))</f>
        <v/>
      </c>
      <c r="I56" s="295" t="str">
        <f>IF(B56="","",IF(ISNA(VLOOKUP($B56,'B-1 On-Site Hedge Baseline'!$B$1:$L$257,10,FALSE)),"",(VLOOKUP($B56,'B-1 On-Site Hedge Baseline'!$B$1:$L$257,10,FALSE))))</f>
        <v/>
      </c>
      <c r="J56" s="295" t="str">
        <f>IF(B56="","",IF(ISNA(VLOOKUP($B56,'B-1 On-Site Hedge Baseline'!$B$1:$L$257,11,FALSE)),"",(VLOOKUP($B56,'B-1 On-Site Hedge Baseline'!$B$1:$L$257,11,FALSE))))</f>
        <v/>
      </c>
      <c r="K56" s="295" t="str">
        <f>IF(B56="","",IF(ISNA(VLOOKUP($B56,'B-1 On-Site Hedge Baseline'!$B$1:$U$257,13,FALSE)),"",(VLOOKUP($B56,'B-1 On-Site Hedge Baseline'!$B$1:$U$257,13,FALSE))))</f>
        <v/>
      </c>
      <c r="L56" s="299" t="str">
        <f>IF(B56="","",IF(ISNA(VLOOKUP($B56,'B-1 On-Site Hedge Baseline'!$B$1:$U$257,12,FALSE)),"",(VLOOKUP($B56,'B-1 On-Site Hedge Baseline'!$B$1:$U$257,12,FALSE))))</f>
        <v/>
      </c>
      <c r="M56" s="611"/>
      <c r="N56" s="275" t="str">
        <f>IFERROR(IF(B56="","",INDEX('G-6 Hedgerow Data'!$AN$3:$AZ$15,MATCH(C56,'G-6 Hedgerow Data'!$AM$3:$AM$15,0),MATCH(M56,'G-6 Hedgerow Data'!$AN$2:$AZ$2,0))),"")</f>
        <v/>
      </c>
      <c r="O56" s="276" t="str">
        <f t="shared" si="1"/>
        <v/>
      </c>
      <c r="P56" s="329" t="str">
        <f>IF(B56="","",VLOOKUP(B56,'B-1 On-Site Hedge Baseline'!$B$10:T301,16,FALSE))</f>
        <v/>
      </c>
      <c r="Q56" s="275" t="str">
        <f>IF(M56="","",VLOOKUP(M56,'G-6 Hedgerow Data'!$B$2:$AG$15,2,FALSE))</f>
        <v/>
      </c>
      <c r="R56" s="276" t="str">
        <f>IF(M56="","",VLOOKUP(M56,'G-6 Hedgerow Data'!$B$2:$AG$15,3,FALSE))</f>
        <v/>
      </c>
      <c r="S56" s="108"/>
      <c r="T56" s="314" t="str">
        <f>IFERROR(IF(S56="","",IF(AND(M56="Non-native and ornamental hedgerow",S56&lt;&gt;"Poor"),"Not possible ▲",(VLOOKUP(S56,'G-1 All Habitats'!$Z$2:$AA$9,2,FALSE)))),"")</f>
        <v/>
      </c>
      <c r="U56" s="105"/>
      <c r="V56" s="295" t="str">
        <f>IF(U56="","",IF(VLOOKUP(U56,'G-3 Multipliers'!$L$3:$N$6,2,FALSE)=0,"Spatial Data Missing ⚠",VLOOKUP(U56,'G-3 Multipliers'!$L$3:$N$6,2,FALSE)))</f>
        <v/>
      </c>
      <c r="W56" s="299" t="str">
        <f>IF(U56="","",IF(VLOOKUP(U56,'G-3 Multipliers'!$L$3:$N$6,3,FALSE)=0,"Spatial Data Missing ⚠",VLOOKUP(U56,'G-3 Multipliers'!$L$3:$N$6,3,FALSE)))</f>
        <v/>
      </c>
      <c r="X56" s="275" t="str">
        <f>IFERROR(IF(OR(LEFT(O56,5)="Error",LEFT(N56,5)="Error",T56="Error"),"Check Data ⚠",IF(F56&lt;R56,INDEX('G-6 Hedgerow Data'!$S$3:$AE$14,MATCH(C56,'G-6 Hedgerow Data'!$B$3:$B$14,0),MATCH(M56,'G-6 Hedgerow Data'!$S$2:$AE$2,0)),INDEX('G-6 Hedgerow Data'!$K$3:$Q$14,MATCH(M56,'G-6 Hedgerow Data'!$B$3:$B$14,0),MATCH(O56,'G-6 Hedgerow Data'!$K$2:$Q$2,0)))),"")</f>
        <v/>
      </c>
      <c r="Y56" s="133"/>
      <c r="Z56" s="133"/>
      <c r="AA56" s="283" t="str">
        <f t="shared" si="2"/>
        <v/>
      </c>
      <c r="AB56" s="296" t="str">
        <f t="shared" si="3"/>
        <v/>
      </c>
      <c r="AC56" s="297" t="str">
        <f t="shared" si="0"/>
        <v/>
      </c>
      <c r="AD56" s="311" t="str">
        <f>IF(M56="","",VLOOKUP(M56,'G-6 Hedgerow Data'!$B$3:$AG$15,31,FALSE))</f>
        <v/>
      </c>
      <c r="AE56" s="283" t="str">
        <f t="shared" si="4"/>
        <v/>
      </c>
      <c r="AF56" s="283" t="str">
        <f t="shared" si="5"/>
        <v/>
      </c>
      <c r="AG56" s="299" t="str">
        <f>IFERROR(IF(O56="","",VLOOKUP(AD56,'G-3 Multipliers'!$P$3:$Q$6,2,FALSE)),"")</f>
        <v/>
      </c>
      <c r="AH56" s="289" t="str">
        <f t="shared" si="6"/>
        <v/>
      </c>
      <c r="AI56" s="108"/>
      <c r="AJ56" s="115"/>
      <c r="AK56" s="104"/>
      <c r="AT56" s="30" t="str">
        <f>IFERROR(INDEX('G-6 Hedgerow Data'!$BJ$3:$BJ$15,MATCH(M56,'G-6 Hedgerow Data'!$B$3:$B$15,0)),"")</f>
        <v/>
      </c>
    </row>
    <row r="57" spans="2:46" ht="14">
      <c r="B57" s="305" t="str">
        <f>'B-1 On-Site Hedge Baseline'!AK55</f>
        <v/>
      </c>
      <c r="C57" s="295" t="str">
        <f>IF(B57="","",IF(ISNA(VLOOKUP($B57,'B-1 On-Site Hedge Baseline'!$B$1:$L$257,3,FALSE)),"",(VLOOKUP($B57,'B-1 On-Site Hedge Baseline'!$B$1:$L$257,3,FALSE))))</f>
        <v/>
      </c>
      <c r="D57" s="295" t="str">
        <f>IF(B57="","",IF(ISNA(VLOOKUP($B57,'B-1 On-Site Hedge Baseline'!$B$1:$L$257,4,FALSE)),"",(VLOOKUP($B57,'B-1 On-Site Hedge Baseline'!$B$1:$L$257,4,FALSE))))</f>
        <v/>
      </c>
      <c r="E57" s="295" t="str">
        <f>IF(B57="","",IF(ISNA(VLOOKUP($B57,'B-1 On-Site Hedge Baseline'!$B$1:$L$257,5,FALSE)),"",(VLOOKUP($B57,'B-1 On-Site Hedge Baseline'!$B$1:$L$257,5,FALSE))))</f>
        <v/>
      </c>
      <c r="F57" s="295" t="str">
        <f>IF(B57="","",IF(ISNA(VLOOKUP($B57,'B-1 On-Site Hedge Baseline'!$B$1:$L$257,6,FALSE)),"",(VLOOKUP($B57,'B-1 On-Site Hedge Baseline'!$B$1:$L$257,6,FALSE))))</f>
        <v/>
      </c>
      <c r="G57" s="295" t="str">
        <f>IF(B57="","",IF(ISNA(VLOOKUP($B57,'B-1 On-Site Hedge Baseline'!$B$1:$L$257,7,FALSE)),"",(VLOOKUP($B57,'B-1 On-Site Hedge Baseline'!$B$1:$L$257,7,FALSE))))</f>
        <v/>
      </c>
      <c r="H57" s="295" t="str">
        <f>IF(B57="","",IF(ISNA(VLOOKUP($B57,'B-1 On-Site Hedge Baseline'!$B$1:$L$257,8,FALSE)),"",(VLOOKUP($B57,'B-1 On-Site Hedge Baseline'!$B$1:$L$257,8,FALSE))))</f>
        <v/>
      </c>
      <c r="I57" s="295" t="str">
        <f>IF(B57="","",IF(ISNA(VLOOKUP($B57,'B-1 On-Site Hedge Baseline'!$B$1:$L$257,10,FALSE)),"",(VLOOKUP($B57,'B-1 On-Site Hedge Baseline'!$B$1:$L$257,10,FALSE))))</f>
        <v/>
      </c>
      <c r="J57" s="295" t="str">
        <f>IF(B57="","",IF(ISNA(VLOOKUP($B57,'B-1 On-Site Hedge Baseline'!$B$1:$L$257,11,FALSE)),"",(VLOOKUP($B57,'B-1 On-Site Hedge Baseline'!$B$1:$L$257,11,FALSE))))</f>
        <v/>
      </c>
      <c r="K57" s="295" t="str">
        <f>IF(B57="","",IF(ISNA(VLOOKUP($B57,'B-1 On-Site Hedge Baseline'!$B$1:$U$257,13,FALSE)),"",(VLOOKUP($B57,'B-1 On-Site Hedge Baseline'!$B$1:$U$257,13,FALSE))))</f>
        <v/>
      </c>
      <c r="L57" s="299" t="str">
        <f>IF(B57="","",IF(ISNA(VLOOKUP($B57,'B-1 On-Site Hedge Baseline'!$B$1:$U$257,12,FALSE)),"",(VLOOKUP($B57,'B-1 On-Site Hedge Baseline'!$B$1:$U$257,12,FALSE))))</f>
        <v/>
      </c>
      <c r="M57" s="611"/>
      <c r="N57" s="275" t="str">
        <f>IFERROR(IF(B57="","",INDEX('G-6 Hedgerow Data'!$AN$3:$AZ$15,MATCH(C57,'G-6 Hedgerow Data'!$AM$3:$AM$15,0),MATCH(M57,'G-6 Hedgerow Data'!$AN$2:$AZ$2,0))),"")</f>
        <v/>
      </c>
      <c r="O57" s="276" t="str">
        <f t="shared" si="1"/>
        <v/>
      </c>
      <c r="P57" s="329" t="str">
        <f>IF(B57="","",VLOOKUP(B57,'B-1 On-Site Hedge Baseline'!$B$10:T302,16,FALSE))</f>
        <v/>
      </c>
      <c r="Q57" s="275" t="str">
        <f>IF(M57="","",VLOOKUP(M57,'G-6 Hedgerow Data'!$B$2:$AG$15,2,FALSE))</f>
        <v/>
      </c>
      <c r="R57" s="276" t="str">
        <f>IF(M57="","",VLOOKUP(M57,'G-6 Hedgerow Data'!$B$2:$AG$15,3,FALSE))</f>
        <v/>
      </c>
      <c r="S57" s="108"/>
      <c r="T57" s="314" t="str">
        <f>IFERROR(IF(S57="","",IF(AND(M57="Non-native and ornamental hedgerow",S57&lt;&gt;"Poor"),"Not possible ▲",(VLOOKUP(S57,'G-1 All Habitats'!$Z$2:$AA$9,2,FALSE)))),"")</f>
        <v/>
      </c>
      <c r="U57" s="105"/>
      <c r="V57" s="295" t="str">
        <f>IF(U57="","",IF(VLOOKUP(U57,'G-3 Multipliers'!$L$3:$N$6,2,FALSE)=0,"Spatial Data Missing ⚠",VLOOKUP(U57,'G-3 Multipliers'!$L$3:$N$6,2,FALSE)))</f>
        <v/>
      </c>
      <c r="W57" s="299" t="str">
        <f>IF(U57="","",IF(VLOOKUP(U57,'G-3 Multipliers'!$L$3:$N$6,3,FALSE)=0,"Spatial Data Missing ⚠",VLOOKUP(U57,'G-3 Multipliers'!$L$3:$N$6,3,FALSE)))</f>
        <v/>
      </c>
      <c r="X57" s="275" t="str">
        <f>IFERROR(IF(OR(LEFT(O57,5)="Error",LEFT(N57,5)="Error",T57="Error"),"Check Data ⚠",IF(F57&lt;R57,INDEX('G-6 Hedgerow Data'!$S$3:$AE$14,MATCH(C57,'G-6 Hedgerow Data'!$B$3:$B$14,0),MATCH(M57,'G-6 Hedgerow Data'!$S$2:$AE$2,0)),INDEX('G-6 Hedgerow Data'!$K$3:$Q$14,MATCH(M57,'G-6 Hedgerow Data'!$B$3:$B$14,0),MATCH(O57,'G-6 Hedgerow Data'!$K$2:$Q$2,0)))),"")</f>
        <v/>
      </c>
      <c r="Y57" s="133"/>
      <c r="Z57" s="133"/>
      <c r="AA57" s="283" t="str">
        <f t="shared" si="2"/>
        <v/>
      </c>
      <c r="AB57" s="296" t="str">
        <f t="shared" si="3"/>
        <v/>
      </c>
      <c r="AC57" s="297" t="str">
        <f t="shared" si="0"/>
        <v/>
      </c>
      <c r="AD57" s="311" t="str">
        <f>IF(M57="","",VLOOKUP(M57,'G-6 Hedgerow Data'!$B$3:$AG$15,31,FALSE))</f>
        <v/>
      </c>
      <c r="AE57" s="283" t="str">
        <f t="shared" si="4"/>
        <v/>
      </c>
      <c r="AF57" s="283" t="str">
        <f t="shared" si="5"/>
        <v/>
      </c>
      <c r="AG57" s="299" t="str">
        <f>IFERROR(IF(O57="","",VLOOKUP(AD57,'G-3 Multipliers'!$P$3:$Q$6,2,FALSE)),"")</f>
        <v/>
      </c>
      <c r="AH57" s="289" t="str">
        <f t="shared" si="6"/>
        <v/>
      </c>
      <c r="AI57" s="108"/>
      <c r="AJ57" s="115"/>
      <c r="AK57" s="104"/>
      <c r="AT57" s="30" t="str">
        <f>IFERROR(INDEX('G-6 Hedgerow Data'!$BJ$3:$BJ$15,MATCH(M57,'G-6 Hedgerow Data'!$B$3:$B$15,0)),"")</f>
        <v/>
      </c>
    </row>
    <row r="58" spans="2:46" ht="14">
      <c r="B58" s="305" t="str">
        <f>'B-1 On-Site Hedge Baseline'!AK56</f>
        <v/>
      </c>
      <c r="C58" s="295" t="str">
        <f>IF(B58="","",IF(ISNA(VLOOKUP($B58,'B-1 On-Site Hedge Baseline'!$B$1:$L$257,3,FALSE)),"",(VLOOKUP($B58,'B-1 On-Site Hedge Baseline'!$B$1:$L$257,3,FALSE))))</f>
        <v/>
      </c>
      <c r="D58" s="295" t="str">
        <f>IF(B58="","",IF(ISNA(VLOOKUP($B58,'B-1 On-Site Hedge Baseline'!$B$1:$L$257,4,FALSE)),"",(VLOOKUP($B58,'B-1 On-Site Hedge Baseline'!$B$1:$L$257,4,FALSE))))</f>
        <v/>
      </c>
      <c r="E58" s="295" t="str">
        <f>IF(B58="","",IF(ISNA(VLOOKUP($B58,'B-1 On-Site Hedge Baseline'!$B$1:$L$257,5,FALSE)),"",(VLOOKUP($B58,'B-1 On-Site Hedge Baseline'!$B$1:$L$257,5,FALSE))))</f>
        <v/>
      </c>
      <c r="F58" s="295" t="str">
        <f>IF(B58="","",IF(ISNA(VLOOKUP($B58,'B-1 On-Site Hedge Baseline'!$B$1:$L$257,6,FALSE)),"",(VLOOKUP($B58,'B-1 On-Site Hedge Baseline'!$B$1:$L$257,6,FALSE))))</f>
        <v/>
      </c>
      <c r="G58" s="295" t="str">
        <f>IF(B58="","",IF(ISNA(VLOOKUP($B58,'B-1 On-Site Hedge Baseline'!$B$1:$L$257,7,FALSE)),"",(VLOOKUP($B58,'B-1 On-Site Hedge Baseline'!$B$1:$L$257,7,FALSE))))</f>
        <v/>
      </c>
      <c r="H58" s="295" t="str">
        <f>IF(B58="","",IF(ISNA(VLOOKUP($B58,'B-1 On-Site Hedge Baseline'!$B$1:$L$257,8,FALSE)),"",(VLOOKUP($B58,'B-1 On-Site Hedge Baseline'!$B$1:$L$257,8,FALSE))))</f>
        <v/>
      </c>
      <c r="I58" s="295" t="str">
        <f>IF(B58="","",IF(ISNA(VLOOKUP($B58,'B-1 On-Site Hedge Baseline'!$B$1:$L$257,10,FALSE)),"",(VLOOKUP($B58,'B-1 On-Site Hedge Baseline'!$B$1:$L$257,10,FALSE))))</f>
        <v/>
      </c>
      <c r="J58" s="295" t="str">
        <f>IF(B58="","",IF(ISNA(VLOOKUP($B58,'B-1 On-Site Hedge Baseline'!$B$1:$L$257,11,FALSE)),"",(VLOOKUP($B58,'B-1 On-Site Hedge Baseline'!$B$1:$L$257,11,FALSE))))</f>
        <v/>
      </c>
      <c r="K58" s="295" t="str">
        <f>IF(B58="","",IF(ISNA(VLOOKUP($B58,'B-1 On-Site Hedge Baseline'!$B$1:$U$257,13,FALSE)),"",(VLOOKUP($B58,'B-1 On-Site Hedge Baseline'!$B$1:$U$257,13,FALSE))))</f>
        <v/>
      </c>
      <c r="L58" s="299" t="str">
        <f>IF(B58="","",IF(ISNA(VLOOKUP($B58,'B-1 On-Site Hedge Baseline'!$B$1:$U$257,12,FALSE)),"",(VLOOKUP($B58,'B-1 On-Site Hedge Baseline'!$B$1:$U$257,12,FALSE))))</f>
        <v/>
      </c>
      <c r="M58" s="611"/>
      <c r="N58" s="275" t="str">
        <f>IFERROR(IF(B58="","",INDEX('G-6 Hedgerow Data'!$AN$3:$AZ$15,MATCH(C58,'G-6 Hedgerow Data'!$AM$3:$AM$15,0),MATCH(M58,'G-6 Hedgerow Data'!$AN$2:$AZ$2,0))),"")</f>
        <v/>
      </c>
      <c r="O58" s="276" t="str">
        <f t="shared" si="1"/>
        <v/>
      </c>
      <c r="P58" s="329" t="str">
        <f>IF(B58="","",VLOOKUP(B58,'B-1 On-Site Hedge Baseline'!$B$10:T303,16,FALSE))</f>
        <v/>
      </c>
      <c r="Q58" s="275" t="str">
        <f>IF(M58="","",VLOOKUP(M58,'G-6 Hedgerow Data'!$B$2:$AG$15,2,FALSE))</f>
        <v/>
      </c>
      <c r="R58" s="276" t="str">
        <f>IF(M58="","",VLOOKUP(M58,'G-6 Hedgerow Data'!$B$2:$AG$15,3,FALSE))</f>
        <v/>
      </c>
      <c r="S58" s="108"/>
      <c r="T58" s="314" t="str">
        <f>IFERROR(IF(S58="","",IF(AND(M58="Non-native and ornamental hedgerow",S58&lt;&gt;"Poor"),"Not possible ▲",(VLOOKUP(S58,'G-1 All Habitats'!$Z$2:$AA$9,2,FALSE)))),"")</f>
        <v/>
      </c>
      <c r="U58" s="105"/>
      <c r="V58" s="295" t="str">
        <f>IF(U58="","",IF(VLOOKUP(U58,'G-3 Multipliers'!$L$3:$N$6,2,FALSE)=0,"Spatial Data Missing ⚠",VLOOKUP(U58,'G-3 Multipliers'!$L$3:$N$6,2,FALSE)))</f>
        <v/>
      </c>
      <c r="W58" s="299" t="str">
        <f>IF(U58="","",IF(VLOOKUP(U58,'G-3 Multipliers'!$L$3:$N$6,3,FALSE)=0,"Spatial Data Missing ⚠",VLOOKUP(U58,'G-3 Multipliers'!$L$3:$N$6,3,FALSE)))</f>
        <v/>
      </c>
      <c r="X58" s="275" t="str">
        <f>IFERROR(IF(OR(LEFT(O58,5)="Error",LEFT(N58,5)="Error",T58="Error"),"Check Data ⚠",IF(F58&lt;R58,INDEX('G-6 Hedgerow Data'!$S$3:$AE$14,MATCH(C58,'G-6 Hedgerow Data'!$B$3:$B$14,0),MATCH(M58,'G-6 Hedgerow Data'!$S$2:$AE$2,0)),INDEX('G-6 Hedgerow Data'!$K$3:$Q$14,MATCH(M58,'G-6 Hedgerow Data'!$B$3:$B$14,0),MATCH(O58,'G-6 Hedgerow Data'!$K$2:$Q$2,0)))),"")</f>
        <v/>
      </c>
      <c r="Y58" s="133"/>
      <c r="Z58" s="133"/>
      <c r="AA58" s="283" t="str">
        <f t="shared" si="2"/>
        <v/>
      </c>
      <c r="AB58" s="296" t="str">
        <f t="shared" si="3"/>
        <v/>
      </c>
      <c r="AC58" s="297" t="str">
        <f t="shared" si="0"/>
        <v/>
      </c>
      <c r="AD58" s="311" t="str">
        <f>IF(M58="","",VLOOKUP(M58,'G-6 Hedgerow Data'!$B$3:$AG$15,31,FALSE))</f>
        <v/>
      </c>
      <c r="AE58" s="283" t="str">
        <f t="shared" si="4"/>
        <v/>
      </c>
      <c r="AF58" s="283" t="str">
        <f t="shared" si="5"/>
        <v/>
      </c>
      <c r="AG58" s="299" t="str">
        <f>IFERROR(IF(O58="","",VLOOKUP(AD58,'G-3 Multipliers'!$P$3:$Q$6,2,FALSE)),"")</f>
        <v/>
      </c>
      <c r="AH58" s="289" t="str">
        <f t="shared" si="6"/>
        <v/>
      </c>
      <c r="AI58" s="108"/>
      <c r="AJ58" s="115"/>
      <c r="AK58" s="104"/>
      <c r="AT58" s="30" t="str">
        <f>IFERROR(INDEX('G-6 Hedgerow Data'!$BJ$3:$BJ$15,MATCH(M58,'G-6 Hedgerow Data'!$B$3:$B$15,0)),"")</f>
        <v/>
      </c>
    </row>
    <row r="59" spans="2:46" ht="14">
      <c r="B59" s="305" t="str">
        <f>'B-1 On-Site Hedge Baseline'!AK57</f>
        <v/>
      </c>
      <c r="C59" s="295" t="str">
        <f>IF(B59="","",IF(ISNA(VLOOKUP($B59,'B-1 On-Site Hedge Baseline'!$B$1:$L$257,3,FALSE)),"",(VLOOKUP($B59,'B-1 On-Site Hedge Baseline'!$B$1:$L$257,3,FALSE))))</f>
        <v/>
      </c>
      <c r="D59" s="295" t="str">
        <f>IF(B59="","",IF(ISNA(VLOOKUP($B59,'B-1 On-Site Hedge Baseline'!$B$1:$L$257,4,FALSE)),"",(VLOOKUP($B59,'B-1 On-Site Hedge Baseline'!$B$1:$L$257,4,FALSE))))</f>
        <v/>
      </c>
      <c r="E59" s="295" t="str">
        <f>IF(B59="","",IF(ISNA(VLOOKUP($B59,'B-1 On-Site Hedge Baseline'!$B$1:$L$257,5,FALSE)),"",(VLOOKUP($B59,'B-1 On-Site Hedge Baseline'!$B$1:$L$257,5,FALSE))))</f>
        <v/>
      </c>
      <c r="F59" s="295" t="str">
        <f>IF(B59="","",IF(ISNA(VLOOKUP($B59,'B-1 On-Site Hedge Baseline'!$B$1:$L$257,6,FALSE)),"",(VLOOKUP($B59,'B-1 On-Site Hedge Baseline'!$B$1:$L$257,6,FALSE))))</f>
        <v/>
      </c>
      <c r="G59" s="295" t="str">
        <f>IF(B59="","",IF(ISNA(VLOOKUP($B59,'B-1 On-Site Hedge Baseline'!$B$1:$L$257,7,FALSE)),"",(VLOOKUP($B59,'B-1 On-Site Hedge Baseline'!$B$1:$L$257,7,FALSE))))</f>
        <v/>
      </c>
      <c r="H59" s="295" t="str">
        <f>IF(B59="","",IF(ISNA(VLOOKUP($B59,'B-1 On-Site Hedge Baseline'!$B$1:$L$257,8,FALSE)),"",(VLOOKUP($B59,'B-1 On-Site Hedge Baseline'!$B$1:$L$257,8,FALSE))))</f>
        <v/>
      </c>
      <c r="I59" s="295" t="str">
        <f>IF(B59="","",IF(ISNA(VLOOKUP($B59,'B-1 On-Site Hedge Baseline'!$B$1:$L$257,10,FALSE)),"",(VLOOKUP($B59,'B-1 On-Site Hedge Baseline'!$B$1:$L$257,10,FALSE))))</f>
        <v/>
      </c>
      <c r="J59" s="295" t="str">
        <f>IF(B59="","",IF(ISNA(VLOOKUP($B59,'B-1 On-Site Hedge Baseline'!$B$1:$L$257,11,FALSE)),"",(VLOOKUP($B59,'B-1 On-Site Hedge Baseline'!$B$1:$L$257,11,FALSE))))</f>
        <v/>
      </c>
      <c r="K59" s="295" t="str">
        <f>IF(B59="","",IF(ISNA(VLOOKUP($B59,'B-1 On-Site Hedge Baseline'!$B$1:$U$257,13,FALSE)),"",(VLOOKUP($B59,'B-1 On-Site Hedge Baseline'!$B$1:$U$257,13,FALSE))))</f>
        <v/>
      </c>
      <c r="L59" s="299" t="str">
        <f>IF(B59="","",IF(ISNA(VLOOKUP($B59,'B-1 On-Site Hedge Baseline'!$B$1:$U$257,12,FALSE)),"",(VLOOKUP($B59,'B-1 On-Site Hedge Baseline'!$B$1:$U$257,12,FALSE))))</f>
        <v/>
      </c>
      <c r="M59" s="611"/>
      <c r="N59" s="275" t="str">
        <f>IFERROR(IF(B59="","",INDEX('G-6 Hedgerow Data'!$AN$3:$AZ$15,MATCH(C59,'G-6 Hedgerow Data'!$AM$3:$AM$15,0),MATCH(M59,'G-6 Hedgerow Data'!$AN$2:$AZ$2,0))),"")</f>
        <v/>
      </c>
      <c r="O59" s="276" t="str">
        <f t="shared" si="1"/>
        <v/>
      </c>
      <c r="P59" s="329" t="str">
        <f>IF(B59="","",VLOOKUP(B59,'B-1 On-Site Hedge Baseline'!$B$10:T304,16,FALSE))</f>
        <v/>
      </c>
      <c r="Q59" s="275" t="str">
        <f>IF(M59="","",VLOOKUP(M59,'G-6 Hedgerow Data'!$B$2:$AG$15,2,FALSE))</f>
        <v/>
      </c>
      <c r="R59" s="276" t="str">
        <f>IF(M59="","",VLOOKUP(M59,'G-6 Hedgerow Data'!$B$2:$AG$15,3,FALSE))</f>
        <v/>
      </c>
      <c r="S59" s="108"/>
      <c r="T59" s="314" t="str">
        <f>IFERROR(IF(S59="","",IF(AND(M59="Non-native and ornamental hedgerow",S59&lt;&gt;"Poor"),"Not possible ▲",(VLOOKUP(S59,'G-1 All Habitats'!$Z$2:$AA$9,2,FALSE)))),"")</f>
        <v/>
      </c>
      <c r="U59" s="105"/>
      <c r="V59" s="295" t="str">
        <f>IF(U59="","",IF(VLOOKUP(U59,'G-3 Multipliers'!$L$3:$N$6,2,FALSE)=0,"Spatial Data Missing ⚠",VLOOKUP(U59,'G-3 Multipliers'!$L$3:$N$6,2,FALSE)))</f>
        <v/>
      </c>
      <c r="W59" s="299" t="str">
        <f>IF(U59="","",IF(VLOOKUP(U59,'G-3 Multipliers'!$L$3:$N$6,3,FALSE)=0,"Spatial Data Missing ⚠",VLOOKUP(U59,'G-3 Multipliers'!$L$3:$N$6,3,FALSE)))</f>
        <v/>
      </c>
      <c r="X59" s="275" t="str">
        <f>IFERROR(IF(OR(LEFT(O59,5)="Error",LEFT(N59,5)="Error",T59="Error"),"Check Data ⚠",IF(F59&lt;R59,INDEX('G-6 Hedgerow Data'!$S$3:$AE$14,MATCH(C59,'G-6 Hedgerow Data'!$B$3:$B$14,0),MATCH(M59,'G-6 Hedgerow Data'!$S$2:$AE$2,0)),INDEX('G-6 Hedgerow Data'!$K$3:$Q$14,MATCH(M59,'G-6 Hedgerow Data'!$B$3:$B$14,0),MATCH(O59,'G-6 Hedgerow Data'!$K$2:$Q$2,0)))),"")</f>
        <v/>
      </c>
      <c r="Y59" s="133"/>
      <c r="Z59" s="133"/>
      <c r="AA59" s="283" t="str">
        <f t="shared" si="2"/>
        <v/>
      </c>
      <c r="AB59" s="296" t="str">
        <f t="shared" si="3"/>
        <v/>
      </c>
      <c r="AC59" s="297" t="str">
        <f t="shared" si="0"/>
        <v/>
      </c>
      <c r="AD59" s="311" t="str">
        <f>IF(M59="","",VLOOKUP(M59,'G-6 Hedgerow Data'!$B$3:$AG$15,31,FALSE))</f>
        <v/>
      </c>
      <c r="AE59" s="283" t="str">
        <f t="shared" si="4"/>
        <v/>
      </c>
      <c r="AF59" s="283" t="str">
        <f t="shared" si="5"/>
        <v/>
      </c>
      <c r="AG59" s="299" t="str">
        <f>IFERROR(IF(O59="","",VLOOKUP(AD59,'G-3 Multipliers'!$P$3:$Q$6,2,FALSE)),"")</f>
        <v/>
      </c>
      <c r="AH59" s="289" t="str">
        <f t="shared" si="6"/>
        <v/>
      </c>
      <c r="AI59" s="108"/>
      <c r="AJ59" s="115"/>
      <c r="AK59" s="104"/>
      <c r="AT59" s="30" t="str">
        <f>IFERROR(INDEX('G-6 Hedgerow Data'!$BJ$3:$BJ$15,MATCH(M59,'G-6 Hedgerow Data'!$B$3:$B$15,0)),"")</f>
        <v/>
      </c>
    </row>
    <row r="60" spans="2:46" ht="14">
      <c r="B60" s="305" t="str">
        <f>'B-1 On-Site Hedge Baseline'!AK58</f>
        <v/>
      </c>
      <c r="C60" s="295" t="str">
        <f>IF(B60="","",IF(ISNA(VLOOKUP($B60,'B-1 On-Site Hedge Baseline'!$B$1:$L$257,3,FALSE)),"",(VLOOKUP($B60,'B-1 On-Site Hedge Baseline'!$B$1:$L$257,3,FALSE))))</f>
        <v/>
      </c>
      <c r="D60" s="295" t="str">
        <f>IF(B60="","",IF(ISNA(VLOOKUP($B60,'B-1 On-Site Hedge Baseline'!$B$1:$L$257,4,FALSE)),"",(VLOOKUP($B60,'B-1 On-Site Hedge Baseline'!$B$1:$L$257,4,FALSE))))</f>
        <v/>
      </c>
      <c r="E60" s="295" t="str">
        <f>IF(B60="","",IF(ISNA(VLOOKUP($B60,'B-1 On-Site Hedge Baseline'!$B$1:$L$257,5,FALSE)),"",(VLOOKUP($B60,'B-1 On-Site Hedge Baseline'!$B$1:$L$257,5,FALSE))))</f>
        <v/>
      </c>
      <c r="F60" s="295" t="str">
        <f>IF(B60="","",IF(ISNA(VLOOKUP($B60,'B-1 On-Site Hedge Baseline'!$B$1:$L$257,6,FALSE)),"",(VLOOKUP($B60,'B-1 On-Site Hedge Baseline'!$B$1:$L$257,6,FALSE))))</f>
        <v/>
      </c>
      <c r="G60" s="295" t="str">
        <f>IF(B60="","",IF(ISNA(VLOOKUP($B60,'B-1 On-Site Hedge Baseline'!$B$1:$L$257,7,FALSE)),"",(VLOOKUP($B60,'B-1 On-Site Hedge Baseline'!$B$1:$L$257,7,FALSE))))</f>
        <v/>
      </c>
      <c r="H60" s="295" t="str">
        <f>IF(B60="","",IF(ISNA(VLOOKUP($B60,'B-1 On-Site Hedge Baseline'!$B$1:$L$257,8,FALSE)),"",(VLOOKUP($B60,'B-1 On-Site Hedge Baseline'!$B$1:$L$257,8,FALSE))))</f>
        <v/>
      </c>
      <c r="I60" s="295" t="str">
        <f>IF(B60="","",IF(ISNA(VLOOKUP($B60,'B-1 On-Site Hedge Baseline'!$B$1:$L$257,10,FALSE)),"",(VLOOKUP($B60,'B-1 On-Site Hedge Baseline'!$B$1:$L$257,10,FALSE))))</f>
        <v/>
      </c>
      <c r="J60" s="295" t="str">
        <f>IF(B60="","",IF(ISNA(VLOOKUP($B60,'B-1 On-Site Hedge Baseline'!$B$1:$L$257,11,FALSE)),"",(VLOOKUP($B60,'B-1 On-Site Hedge Baseline'!$B$1:$L$257,11,FALSE))))</f>
        <v/>
      </c>
      <c r="K60" s="295" t="str">
        <f>IF(B60="","",IF(ISNA(VLOOKUP($B60,'B-1 On-Site Hedge Baseline'!$B$1:$U$257,13,FALSE)),"",(VLOOKUP($B60,'B-1 On-Site Hedge Baseline'!$B$1:$U$257,13,FALSE))))</f>
        <v/>
      </c>
      <c r="L60" s="299" t="str">
        <f>IF(B60="","",IF(ISNA(VLOOKUP($B60,'B-1 On-Site Hedge Baseline'!$B$1:$U$257,12,FALSE)),"",(VLOOKUP($B60,'B-1 On-Site Hedge Baseline'!$B$1:$U$257,12,FALSE))))</f>
        <v/>
      </c>
      <c r="M60" s="611"/>
      <c r="N60" s="275" t="str">
        <f>IFERROR(IF(B60="","",INDEX('G-6 Hedgerow Data'!$AN$3:$AZ$15,MATCH(C60,'G-6 Hedgerow Data'!$AM$3:$AM$15,0),MATCH(M60,'G-6 Hedgerow Data'!$AN$2:$AZ$2,0))),"")</f>
        <v/>
      </c>
      <c r="O60" s="276" t="str">
        <f t="shared" si="1"/>
        <v/>
      </c>
      <c r="P60" s="329" t="str">
        <f>IF(B60="","",VLOOKUP(B60,'B-1 On-Site Hedge Baseline'!$B$10:T305,16,FALSE))</f>
        <v/>
      </c>
      <c r="Q60" s="275" t="str">
        <f>IF(M60="","",VLOOKUP(M60,'G-6 Hedgerow Data'!$B$2:$AG$15,2,FALSE))</f>
        <v/>
      </c>
      <c r="R60" s="276" t="str">
        <f>IF(M60="","",VLOOKUP(M60,'G-6 Hedgerow Data'!$B$2:$AG$15,3,FALSE))</f>
        <v/>
      </c>
      <c r="S60" s="108"/>
      <c r="T60" s="314" t="str">
        <f>IFERROR(IF(S60="","",IF(AND(M60="Non-native and ornamental hedgerow",S60&lt;&gt;"Poor"),"Not possible ▲",(VLOOKUP(S60,'G-1 All Habitats'!$Z$2:$AA$9,2,FALSE)))),"")</f>
        <v/>
      </c>
      <c r="U60" s="105"/>
      <c r="V60" s="295" t="str">
        <f>IF(U60="","",IF(VLOOKUP(U60,'G-3 Multipliers'!$L$3:$N$6,2,FALSE)=0,"Spatial Data Missing ⚠",VLOOKUP(U60,'G-3 Multipliers'!$L$3:$N$6,2,FALSE)))</f>
        <v/>
      </c>
      <c r="W60" s="299" t="str">
        <f>IF(U60="","",IF(VLOOKUP(U60,'G-3 Multipliers'!$L$3:$N$6,3,FALSE)=0,"Spatial Data Missing ⚠",VLOOKUP(U60,'G-3 Multipliers'!$L$3:$N$6,3,FALSE)))</f>
        <v/>
      </c>
      <c r="X60" s="275" t="str">
        <f>IFERROR(IF(OR(LEFT(O60,5)="Error",LEFT(N60,5)="Error",T60="Error"),"Check Data ⚠",IF(F60&lt;R60,INDEX('G-6 Hedgerow Data'!$S$3:$AE$14,MATCH(C60,'G-6 Hedgerow Data'!$B$3:$B$14,0),MATCH(M60,'G-6 Hedgerow Data'!$S$2:$AE$2,0)),INDEX('G-6 Hedgerow Data'!$K$3:$Q$14,MATCH(M60,'G-6 Hedgerow Data'!$B$3:$B$14,0),MATCH(O60,'G-6 Hedgerow Data'!$K$2:$Q$2,0)))),"")</f>
        <v/>
      </c>
      <c r="Y60" s="133"/>
      <c r="Z60" s="133"/>
      <c r="AA60" s="283" t="str">
        <f t="shared" si="2"/>
        <v/>
      </c>
      <c r="AB60" s="296" t="str">
        <f t="shared" si="3"/>
        <v/>
      </c>
      <c r="AC60" s="297" t="str">
        <f t="shared" si="0"/>
        <v/>
      </c>
      <c r="AD60" s="311" t="str">
        <f>IF(M60="","",VLOOKUP(M60,'G-6 Hedgerow Data'!$B$3:$AG$15,31,FALSE))</f>
        <v/>
      </c>
      <c r="AE60" s="283" t="str">
        <f t="shared" si="4"/>
        <v/>
      </c>
      <c r="AF60" s="283" t="str">
        <f t="shared" si="5"/>
        <v/>
      </c>
      <c r="AG60" s="299" t="str">
        <f>IFERROR(IF(O60="","",VLOOKUP(AD60,'G-3 Multipliers'!$P$3:$Q$6,2,FALSE)),"")</f>
        <v/>
      </c>
      <c r="AH60" s="289" t="str">
        <f t="shared" si="6"/>
        <v/>
      </c>
      <c r="AI60" s="108"/>
      <c r="AJ60" s="115"/>
      <c r="AK60" s="104"/>
      <c r="AT60" s="30" t="str">
        <f>IFERROR(INDEX('G-6 Hedgerow Data'!$BJ$3:$BJ$15,MATCH(M60,'G-6 Hedgerow Data'!$B$3:$B$15,0)),"")</f>
        <v/>
      </c>
    </row>
    <row r="61" spans="2:46" ht="14">
      <c r="B61" s="305" t="str">
        <f>'B-1 On-Site Hedge Baseline'!AK59</f>
        <v/>
      </c>
      <c r="C61" s="295" t="str">
        <f>IF(B61="","",IF(ISNA(VLOOKUP($B61,'B-1 On-Site Hedge Baseline'!$B$1:$L$257,3,FALSE)),"",(VLOOKUP($B61,'B-1 On-Site Hedge Baseline'!$B$1:$L$257,3,FALSE))))</f>
        <v/>
      </c>
      <c r="D61" s="295" t="str">
        <f>IF(B61="","",IF(ISNA(VLOOKUP($B61,'B-1 On-Site Hedge Baseline'!$B$1:$L$257,4,FALSE)),"",(VLOOKUP($B61,'B-1 On-Site Hedge Baseline'!$B$1:$L$257,4,FALSE))))</f>
        <v/>
      </c>
      <c r="E61" s="295" t="str">
        <f>IF(B61="","",IF(ISNA(VLOOKUP($B61,'B-1 On-Site Hedge Baseline'!$B$1:$L$257,5,FALSE)),"",(VLOOKUP($B61,'B-1 On-Site Hedge Baseline'!$B$1:$L$257,5,FALSE))))</f>
        <v/>
      </c>
      <c r="F61" s="295" t="str">
        <f>IF(B61="","",IF(ISNA(VLOOKUP($B61,'B-1 On-Site Hedge Baseline'!$B$1:$L$257,6,FALSE)),"",(VLOOKUP($B61,'B-1 On-Site Hedge Baseline'!$B$1:$L$257,6,FALSE))))</f>
        <v/>
      </c>
      <c r="G61" s="295" t="str">
        <f>IF(B61="","",IF(ISNA(VLOOKUP($B61,'B-1 On-Site Hedge Baseline'!$B$1:$L$257,7,FALSE)),"",(VLOOKUP($B61,'B-1 On-Site Hedge Baseline'!$B$1:$L$257,7,FALSE))))</f>
        <v/>
      </c>
      <c r="H61" s="295" t="str">
        <f>IF(B61="","",IF(ISNA(VLOOKUP($B61,'B-1 On-Site Hedge Baseline'!$B$1:$L$257,8,FALSE)),"",(VLOOKUP($B61,'B-1 On-Site Hedge Baseline'!$B$1:$L$257,8,FALSE))))</f>
        <v/>
      </c>
      <c r="I61" s="295" t="str">
        <f>IF(B61="","",IF(ISNA(VLOOKUP($B61,'B-1 On-Site Hedge Baseline'!$B$1:$L$257,10,FALSE)),"",(VLOOKUP($B61,'B-1 On-Site Hedge Baseline'!$B$1:$L$257,10,FALSE))))</f>
        <v/>
      </c>
      <c r="J61" s="295" t="str">
        <f>IF(B61="","",IF(ISNA(VLOOKUP($B61,'B-1 On-Site Hedge Baseline'!$B$1:$L$257,11,FALSE)),"",(VLOOKUP($B61,'B-1 On-Site Hedge Baseline'!$B$1:$L$257,11,FALSE))))</f>
        <v/>
      </c>
      <c r="K61" s="295" t="str">
        <f>IF(B61="","",IF(ISNA(VLOOKUP($B61,'B-1 On-Site Hedge Baseline'!$B$1:$U$257,13,FALSE)),"",(VLOOKUP($B61,'B-1 On-Site Hedge Baseline'!$B$1:$U$257,13,FALSE))))</f>
        <v/>
      </c>
      <c r="L61" s="299" t="str">
        <f>IF(B61="","",IF(ISNA(VLOOKUP($B61,'B-1 On-Site Hedge Baseline'!$B$1:$U$257,12,FALSE)),"",(VLOOKUP($B61,'B-1 On-Site Hedge Baseline'!$B$1:$U$257,12,FALSE))))</f>
        <v/>
      </c>
      <c r="M61" s="611"/>
      <c r="N61" s="275" t="str">
        <f>IFERROR(IF(B61="","",INDEX('G-6 Hedgerow Data'!$AN$3:$AZ$15,MATCH(C61,'G-6 Hedgerow Data'!$AM$3:$AM$15,0),MATCH(M61,'G-6 Hedgerow Data'!$AN$2:$AZ$2,0))),"")</f>
        <v/>
      </c>
      <c r="O61" s="276" t="str">
        <f t="shared" si="1"/>
        <v/>
      </c>
      <c r="P61" s="329" t="str">
        <f>IF(B61="","",VLOOKUP(B61,'B-1 On-Site Hedge Baseline'!$B$10:T306,16,FALSE))</f>
        <v/>
      </c>
      <c r="Q61" s="275" t="str">
        <f>IF(M61="","",VLOOKUP(M61,'G-6 Hedgerow Data'!$B$2:$AG$15,2,FALSE))</f>
        <v/>
      </c>
      <c r="R61" s="276" t="str">
        <f>IF(M61="","",VLOOKUP(M61,'G-6 Hedgerow Data'!$B$2:$AG$15,3,FALSE))</f>
        <v/>
      </c>
      <c r="S61" s="108"/>
      <c r="T61" s="314" t="str">
        <f>IFERROR(IF(S61="","",IF(AND(M61="Non-native and ornamental hedgerow",S61&lt;&gt;"Poor"),"Not possible ▲",(VLOOKUP(S61,'G-1 All Habitats'!$Z$2:$AA$9,2,FALSE)))),"")</f>
        <v/>
      </c>
      <c r="U61" s="105"/>
      <c r="V61" s="295" t="str">
        <f>IF(U61="","",IF(VLOOKUP(U61,'G-3 Multipliers'!$L$3:$N$6,2,FALSE)=0,"Spatial Data Missing ⚠",VLOOKUP(U61,'G-3 Multipliers'!$L$3:$N$6,2,FALSE)))</f>
        <v/>
      </c>
      <c r="W61" s="299" t="str">
        <f>IF(U61="","",IF(VLOOKUP(U61,'G-3 Multipliers'!$L$3:$N$6,3,FALSE)=0,"Spatial Data Missing ⚠",VLOOKUP(U61,'G-3 Multipliers'!$L$3:$N$6,3,FALSE)))</f>
        <v/>
      </c>
      <c r="X61" s="275" t="str">
        <f>IFERROR(IF(OR(LEFT(O61,5)="Error",LEFT(N61,5)="Error",T61="Error"),"Check Data ⚠",IF(F61&lt;R61,INDEX('G-6 Hedgerow Data'!$S$3:$AE$14,MATCH(C61,'G-6 Hedgerow Data'!$B$3:$B$14,0),MATCH(M61,'G-6 Hedgerow Data'!$S$2:$AE$2,0)),INDEX('G-6 Hedgerow Data'!$K$3:$Q$14,MATCH(M61,'G-6 Hedgerow Data'!$B$3:$B$14,0),MATCH(O61,'G-6 Hedgerow Data'!$K$2:$Q$2,0)))),"")</f>
        <v/>
      </c>
      <c r="Y61" s="133"/>
      <c r="Z61" s="133"/>
      <c r="AA61" s="283" t="str">
        <f t="shared" si="2"/>
        <v/>
      </c>
      <c r="AB61" s="296" t="str">
        <f t="shared" si="3"/>
        <v/>
      </c>
      <c r="AC61" s="297" t="str">
        <f t="shared" si="0"/>
        <v/>
      </c>
      <c r="AD61" s="311" t="str">
        <f>IF(M61="","",VLOOKUP(M61,'G-6 Hedgerow Data'!$B$3:$AG$15,31,FALSE))</f>
        <v/>
      </c>
      <c r="AE61" s="283" t="str">
        <f t="shared" si="4"/>
        <v/>
      </c>
      <c r="AF61" s="283" t="str">
        <f t="shared" si="5"/>
        <v/>
      </c>
      <c r="AG61" s="299" t="str">
        <f>IFERROR(IF(O61="","",VLOOKUP(AD61,'G-3 Multipliers'!$P$3:$Q$6,2,FALSE)),"")</f>
        <v/>
      </c>
      <c r="AH61" s="289" t="str">
        <f t="shared" si="6"/>
        <v/>
      </c>
      <c r="AI61" s="108"/>
      <c r="AJ61" s="115"/>
      <c r="AK61" s="104"/>
      <c r="AT61" s="30" t="str">
        <f>IFERROR(INDEX('G-6 Hedgerow Data'!$BJ$3:$BJ$15,MATCH(M61,'G-6 Hedgerow Data'!$B$3:$B$15,0)),"")</f>
        <v/>
      </c>
    </row>
    <row r="62" spans="2:46" ht="14">
      <c r="B62" s="305" t="str">
        <f>'B-1 On-Site Hedge Baseline'!AK60</f>
        <v/>
      </c>
      <c r="C62" s="295" t="str">
        <f>IF(B62="","",IF(ISNA(VLOOKUP($B62,'B-1 On-Site Hedge Baseline'!$B$1:$L$257,3,FALSE)),"",(VLOOKUP($B62,'B-1 On-Site Hedge Baseline'!$B$1:$L$257,3,FALSE))))</f>
        <v/>
      </c>
      <c r="D62" s="295" t="str">
        <f>IF(B62="","",IF(ISNA(VLOOKUP($B62,'B-1 On-Site Hedge Baseline'!$B$1:$L$257,4,FALSE)),"",(VLOOKUP($B62,'B-1 On-Site Hedge Baseline'!$B$1:$L$257,4,FALSE))))</f>
        <v/>
      </c>
      <c r="E62" s="295" t="str">
        <f>IF(B62="","",IF(ISNA(VLOOKUP($B62,'B-1 On-Site Hedge Baseline'!$B$1:$L$257,5,FALSE)),"",(VLOOKUP($B62,'B-1 On-Site Hedge Baseline'!$B$1:$L$257,5,FALSE))))</f>
        <v/>
      </c>
      <c r="F62" s="295" t="str">
        <f>IF(B62="","",IF(ISNA(VLOOKUP($B62,'B-1 On-Site Hedge Baseline'!$B$1:$L$257,6,FALSE)),"",(VLOOKUP($B62,'B-1 On-Site Hedge Baseline'!$B$1:$L$257,6,FALSE))))</f>
        <v/>
      </c>
      <c r="G62" s="295" t="str">
        <f>IF(B62="","",IF(ISNA(VLOOKUP($B62,'B-1 On-Site Hedge Baseline'!$B$1:$L$257,7,FALSE)),"",(VLOOKUP($B62,'B-1 On-Site Hedge Baseline'!$B$1:$L$257,7,FALSE))))</f>
        <v/>
      </c>
      <c r="H62" s="295" t="str">
        <f>IF(B62="","",IF(ISNA(VLOOKUP($B62,'B-1 On-Site Hedge Baseline'!$B$1:$L$257,8,FALSE)),"",(VLOOKUP($B62,'B-1 On-Site Hedge Baseline'!$B$1:$L$257,8,FALSE))))</f>
        <v/>
      </c>
      <c r="I62" s="295" t="str">
        <f>IF(B62="","",IF(ISNA(VLOOKUP($B62,'B-1 On-Site Hedge Baseline'!$B$1:$L$257,10,FALSE)),"",(VLOOKUP($B62,'B-1 On-Site Hedge Baseline'!$B$1:$L$257,10,FALSE))))</f>
        <v/>
      </c>
      <c r="J62" s="295" t="str">
        <f>IF(B62="","",IF(ISNA(VLOOKUP($B62,'B-1 On-Site Hedge Baseline'!$B$1:$L$257,11,FALSE)),"",(VLOOKUP($B62,'B-1 On-Site Hedge Baseline'!$B$1:$L$257,11,FALSE))))</f>
        <v/>
      </c>
      <c r="K62" s="295" t="str">
        <f>IF(B62="","",IF(ISNA(VLOOKUP($B62,'B-1 On-Site Hedge Baseline'!$B$1:$U$257,13,FALSE)),"",(VLOOKUP($B62,'B-1 On-Site Hedge Baseline'!$B$1:$U$257,13,FALSE))))</f>
        <v/>
      </c>
      <c r="L62" s="299" t="str">
        <f>IF(B62="","",IF(ISNA(VLOOKUP($B62,'B-1 On-Site Hedge Baseline'!$B$1:$U$257,12,FALSE)),"",(VLOOKUP($B62,'B-1 On-Site Hedge Baseline'!$B$1:$U$257,12,FALSE))))</f>
        <v/>
      </c>
      <c r="M62" s="611"/>
      <c r="N62" s="275" t="str">
        <f>IFERROR(IF(B62="","",INDEX('G-6 Hedgerow Data'!$AN$3:$AZ$15,MATCH(C62,'G-6 Hedgerow Data'!$AM$3:$AM$15,0),MATCH(M62,'G-6 Hedgerow Data'!$AN$2:$AZ$2,0))),"")</f>
        <v/>
      </c>
      <c r="O62" s="276" t="str">
        <f t="shared" si="1"/>
        <v/>
      </c>
      <c r="P62" s="329" t="str">
        <f>IF(B62="","",VLOOKUP(B62,'B-1 On-Site Hedge Baseline'!$B$10:T307,16,FALSE))</f>
        <v/>
      </c>
      <c r="Q62" s="275" t="str">
        <f>IF(M62="","",VLOOKUP(M62,'G-6 Hedgerow Data'!$B$2:$AG$15,2,FALSE))</f>
        <v/>
      </c>
      <c r="R62" s="276" t="str">
        <f>IF(M62="","",VLOOKUP(M62,'G-6 Hedgerow Data'!$B$2:$AG$15,3,FALSE))</f>
        <v/>
      </c>
      <c r="S62" s="108"/>
      <c r="T62" s="314" t="str">
        <f>IFERROR(IF(S62="","",IF(AND(M62="Non-native and ornamental hedgerow",S62&lt;&gt;"Poor"),"Not possible ▲",(VLOOKUP(S62,'G-1 All Habitats'!$Z$2:$AA$9,2,FALSE)))),"")</f>
        <v/>
      </c>
      <c r="U62" s="105"/>
      <c r="V62" s="295" t="str">
        <f>IF(U62="","",IF(VLOOKUP(U62,'G-3 Multipliers'!$L$3:$N$6,2,FALSE)=0,"Spatial Data Missing ⚠",VLOOKUP(U62,'G-3 Multipliers'!$L$3:$N$6,2,FALSE)))</f>
        <v/>
      </c>
      <c r="W62" s="299" t="str">
        <f>IF(U62="","",IF(VLOOKUP(U62,'G-3 Multipliers'!$L$3:$N$6,3,FALSE)=0,"Spatial Data Missing ⚠",VLOOKUP(U62,'G-3 Multipliers'!$L$3:$N$6,3,FALSE)))</f>
        <v/>
      </c>
      <c r="X62" s="275" t="str">
        <f>IFERROR(IF(OR(LEFT(O62,5)="Error",LEFT(N62,5)="Error",T62="Error"),"Check Data ⚠",IF(F62&lt;R62,INDEX('G-6 Hedgerow Data'!$S$3:$AE$14,MATCH(C62,'G-6 Hedgerow Data'!$B$3:$B$14,0),MATCH(M62,'G-6 Hedgerow Data'!$S$2:$AE$2,0)),INDEX('G-6 Hedgerow Data'!$K$3:$Q$14,MATCH(M62,'G-6 Hedgerow Data'!$B$3:$B$14,0),MATCH(O62,'G-6 Hedgerow Data'!$K$2:$Q$2,0)))),"")</f>
        <v/>
      </c>
      <c r="Y62" s="133"/>
      <c r="Z62" s="133"/>
      <c r="AA62" s="283" t="str">
        <f t="shared" si="2"/>
        <v/>
      </c>
      <c r="AB62" s="296" t="str">
        <f t="shared" si="3"/>
        <v/>
      </c>
      <c r="AC62" s="297" t="str">
        <f t="shared" si="0"/>
        <v/>
      </c>
      <c r="AD62" s="311" t="str">
        <f>IF(M62="","",VLOOKUP(M62,'G-6 Hedgerow Data'!$B$3:$AG$15,31,FALSE))</f>
        <v/>
      </c>
      <c r="AE62" s="283" t="str">
        <f t="shared" si="4"/>
        <v/>
      </c>
      <c r="AF62" s="283" t="str">
        <f t="shared" si="5"/>
        <v/>
      </c>
      <c r="AG62" s="299" t="str">
        <f>IFERROR(IF(O62="","",VLOOKUP(AD62,'G-3 Multipliers'!$P$3:$Q$6,2,FALSE)),"")</f>
        <v/>
      </c>
      <c r="AH62" s="289" t="str">
        <f t="shared" si="6"/>
        <v/>
      </c>
      <c r="AI62" s="108"/>
      <c r="AJ62" s="115"/>
      <c r="AK62" s="104"/>
      <c r="AT62" s="30" t="str">
        <f>IFERROR(INDEX('G-6 Hedgerow Data'!$BJ$3:$BJ$15,MATCH(M62,'G-6 Hedgerow Data'!$B$3:$B$15,0)),"")</f>
        <v/>
      </c>
    </row>
    <row r="63" spans="2:46" ht="14">
      <c r="B63" s="305" t="str">
        <f>'B-1 On-Site Hedge Baseline'!AK61</f>
        <v/>
      </c>
      <c r="C63" s="295" t="str">
        <f>IF(B63="","",IF(ISNA(VLOOKUP($B63,'B-1 On-Site Hedge Baseline'!$B$1:$L$257,3,FALSE)),"",(VLOOKUP($B63,'B-1 On-Site Hedge Baseline'!$B$1:$L$257,3,FALSE))))</f>
        <v/>
      </c>
      <c r="D63" s="295" t="str">
        <f>IF(B63="","",IF(ISNA(VLOOKUP($B63,'B-1 On-Site Hedge Baseline'!$B$1:$L$257,4,FALSE)),"",(VLOOKUP($B63,'B-1 On-Site Hedge Baseline'!$B$1:$L$257,4,FALSE))))</f>
        <v/>
      </c>
      <c r="E63" s="295" t="str">
        <f>IF(B63="","",IF(ISNA(VLOOKUP($B63,'B-1 On-Site Hedge Baseline'!$B$1:$L$257,5,FALSE)),"",(VLOOKUP($B63,'B-1 On-Site Hedge Baseline'!$B$1:$L$257,5,FALSE))))</f>
        <v/>
      </c>
      <c r="F63" s="295" t="str">
        <f>IF(B63="","",IF(ISNA(VLOOKUP($B63,'B-1 On-Site Hedge Baseline'!$B$1:$L$257,6,FALSE)),"",(VLOOKUP($B63,'B-1 On-Site Hedge Baseline'!$B$1:$L$257,6,FALSE))))</f>
        <v/>
      </c>
      <c r="G63" s="295" t="str">
        <f>IF(B63="","",IF(ISNA(VLOOKUP($B63,'B-1 On-Site Hedge Baseline'!$B$1:$L$257,7,FALSE)),"",(VLOOKUP($B63,'B-1 On-Site Hedge Baseline'!$B$1:$L$257,7,FALSE))))</f>
        <v/>
      </c>
      <c r="H63" s="295" t="str">
        <f>IF(B63="","",IF(ISNA(VLOOKUP($B63,'B-1 On-Site Hedge Baseline'!$B$1:$L$257,8,FALSE)),"",(VLOOKUP($B63,'B-1 On-Site Hedge Baseline'!$B$1:$L$257,8,FALSE))))</f>
        <v/>
      </c>
      <c r="I63" s="295" t="str">
        <f>IF(B63="","",IF(ISNA(VLOOKUP($B63,'B-1 On-Site Hedge Baseline'!$B$1:$L$257,10,FALSE)),"",(VLOOKUP($B63,'B-1 On-Site Hedge Baseline'!$B$1:$L$257,10,FALSE))))</f>
        <v/>
      </c>
      <c r="J63" s="295" t="str">
        <f>IF(B63="","",IF(ISNA(VLOOKUP($B63,'B-1 On-Site Hedge Baseline'!$B$1:$L$257,11,FALSE)),"",(VLOOKUP($B63,'B-1 On-Site Hedge Baseline'!$B$1:$L$257,11,FALSE))))</f>
        <v/>
      </c>
      <c r="K63" s="295" t="str">
        <f>IF(B63="","",IF(ISNA(VLOOKUP($B63,'B-1 On-Site Hedge Baseline'!$B$1:$U$257,13,FALSE)),"",(VLOOKUP($B63,'B-1 On-Site Hedge Baseline'!$B$1:$U$257,13,FALSE))))</f>
        <v/>
      </c>
      <c r="L63" s="299" t="str">
        <f>IF(B63="","",IF(ISNA(VLOOKUP($B63,'B-1 On-Site Hedge Baseline'!$B$1:$U$257,12,FALSE)),"",(VLOOKUP($B63,'B-1 On-Site Hedge Baseline'!$B$1:$U$257,12,FALSE))))</f>
        <v/>
      </c>
      <c r="M63" s="611"/>
      <c r="N63" s="275" t="str">
        <f>IFERROR(IF(B63="","",INDEX('G-6 Hedgerow Data'!$AN$3:$AZ$15,MATCH(C63,'G-6 Hedgerow Data'!$AM$3:$AM$15,0),MATCH(M63,'G-6 Hedgerow Data'!$AN$2:$AZ$2,0))),"")</f>
        <v/>
      </c>
      <c r="O63" s="276" t="str">
        <f t="shared" si="1"/>
        <v/>
      </c>
      <c r="P63" s="329" t="str">
        <f>IF(B63="","",VLOOKUP(B63,'B-1 On-Site Hedge Baseline'!$B$10:T308,16,FALSE))</f>
        <v/>
      </c>
      <c r="Q63" s="275" t="str">
        <f>IF(M63="","",VLOOKUP(M63,'G-6 Hedgerow Data'!$B$2:$AG$15,2,FALSE))</f>
        <v/>
      </c>
      <c r="R63" s="276" t="str">
        <f>IF(M63="","",VLOOKUP(M63,'G-6 Hedgerow Data'!$B$2:$AG$15,3,FALSE))</f>
        <v/>
      </c>
      <c r="S63" s="108"/>
      <c r="T63" s="314" t="str">
        <f>IFERROR(IF(S63="","",IF(AND(M63="Non-native and ornamental hedgerow",S63&lt;&gt;"Poor"),"Not possible ▲",(VLOOKUP(S63,'G-1 All Habitats'!$Z$2:$AA$9,2,FALSE)))),"")</f>
        <v/>
      </c>
      <c r="U63" s="105"/>
      <c r="V63" s="295" t="str">
        <f>IF(U63="","",IF(VLOOKUP(U63,'G-3 Multipliers'!$L$3:$N$6,2,FALSE)=0,"Spatial Data Missing ⚠",VLOOKUP(U63,'G-3 Multipliers'!$L$3:$N$6,2,FALSE)))</f>
        <v/>
      </c>
      <c r="W63" s="299" t="str">
        <f>IF(U63="","",IF(VLOOKUP(U63,'G-3 Multipliers'!$L$3:$N$6,3,FALSE)=0,"Spatial Data Missing ⚠",VLOOKUP(U63,'G-3 Multipliers'!$L$3:$N$6,3,FALSE)))</f>
        <v/>
      </c>
      <c r="X63" s="275" t="str">
        <f>IFERROR(IF(OR(LEFT(O63,5)="Error",LEFT(N63,5)="Error",T63="Error"),"Check Data ⚠",IF(F63&lt;R63,INDEX('G-6 Hedgerow Data'!$S$3:$AE$14,MATCH(C63,'G-6 Hedgerow Data'!$B$3:$B$14,0),MATCH(M63,'G-6 Hedgerow Data'!$S$2:$AE$2,0)),INDEX('G-6 Hedgerow Data'!$K$3:$Q$14,MATCH(M63,'G-6 Hedgerow Data'!$B$3:$B$14,0),MATCH(O63,'G-6 Hedgerow Data'!$K$2:$Q$2,0)))),"")</f>
        <v/>
      </c>
      <c r="Y63" s="133"/>
      <c r="Z63" s="133"/>
      <c r="AA63" s="283" t="str">
        <f t="shared" si="2"/>
        <v/>
      </c>
      <c r="AB63" s="296" t="str">
        <f t="shared" si="3"/>
        <v/>
      </c>
      <c r="AC63" s="297" t="str">
        <f t="shared" si="0"/>
        <v/>
      </c>
      <c r="AD63" s="311" t="str">
        <f>IF(M63="","",VLOOKUP(M63,'G-6 Hedgerow Data'!$B$3:$AG$15,31,FALSE))</f>
        <v/>
      </c>
      <c r="AE63" s="283" t="str">
        <f t="shared" si="4"/>
        <v/>
      </c>
      <c r="AF63" s="283" t="str">
        <f t="shared" si="5"/>
        <v/>
      </c>
      <c r="AG63" s="299" t="str">
        <f>IFERROR(IF(O63="","",VLOOKUP(AD63,'G-3 Multipliers'!$P$3:$Q$6,2,FALSE)),"")</f>
        <v/>
      </c>
      <c r="AH63" s="289" t="str">
        <f t="shared" si="6"/>
        <v/>
      </c>
      <c r="AI63" s="108"/>
      <c r="AJ63" s="115"/>
      <c r="AK63" s="104"/>
      <c r="AT63" s="30" t="str">
        <f>IFERROR(INDEX('G-6 Hedgerow Data'!$BJ$3:$BJ$15,MATCH(M63,'G-6 Hedgerow Data'!$B$3:$B$15,0)),"")</f>
        <v/>
      </c>
    </row>
    <row r="64" spans="2:46" ht="14">
      <c r="B64" s="305" t="str">
        <f>'B-1 On-Site Hedge Baseline'!AK62</f>
        <v/>
      </c>
      <c r="C64" s="295" t="str">
        <f>IF(B64="","",IF(ISNA(VLOOKUP($B64,'B-1 On-Site Hedge Baseline'!$B$1:$L$257,3,FALSE)),"",(VLOOKUP($B64,'B-1 On-Site Hedge Baseline'!$B$1:$L$257,3,FALSE))))</f>
        <v/>
      </c>
      <c r="D64" s="295" t="str">
        <f>IF(B64="","",IF(ISNA(VLOOKUP($B64,'B-1 On-Site Hedge Baseline'!$B$1:$L$257,4,FALSE)),"",(VLOOKUP($B64,'B-1 On-Site Hedge Baseline'!$B$1:$L$257,4,FALSE))))</f>
        <v/>
      </c>
      <c r="E64" s="295" t="str">
        <f>IF(B64="","",IF(ISNA(VLOOKUP($B64,'B-1 On-Site Hedge Baseline'!$B$1:$L$257,5,FALSE)),"",(VLOOKUP($B64,'B-1 On-Site Hedge Baseline'!$B$1:$L$257,5,FALSE))))</f>
        <v/>
      </c>
      <c r="F64" s="295" t="str">
        <f>IF(B64="","",IF(ISNA(VLOOKUP($B64,'B-1 On-Site Hedge Baseline'!$B$1:$L$257,6,FALSE)),"",(VLOOKUP($B64,'B-1 On-Site Hedge Baseline'!$B$1:$L$257,6,FALSE))))</f>
        <v/>
      </c>
      <c r="G64" s="295" t="str">
        <f>IF(B64="","",IF(ISNA(VLOOKUP($B64,'B-1 On-Site Hedge Baseline'!$B$1:$L$257,7,FALSE)),"",(VLOOKUP($B64,'B-1 On-Site Hedge Baseline'!$B$1:$L$257,7,FALSE))))</f>
        <v/>
      </c>
      <c r="H64" s="295" t="str">
        <f>IF(B64="","",IF(ISNA(VLOOKUP($B64,'B-1 On-Site Hedge Baseline'!$B$1:$L$257,8,FALSE)),"",(VLOOKUP($B64,'B-1 On-Site Hedge Baseline'!$B$1:$L$257,8,FALSE))))</f>
        <v/>
      </c>
      <c r="I64" s="295" t="str">
        <f>IF(B64="","",IF(ISNA(VLOOKUP($B64,'B-1 On-Site Hedge Baseline'!$B$1:$L$257,10,FALSE)),"",(VLOOKUP($B64,'B-1 On-Site Hedge Baseline'!$B$1:$L$257,10,FALSE))))</f>
        <v/>
      </c>
      <c r="J64" s="295" t="str">
        <f>IF(B64="","",IF(ISNA(VLOOKUP($B64,'B-1 On-Site Hedge Baseline'!$B$1:$L$257,11,FALSE)),"",(VLOOKUP($B64,'B-1 On-Site Hedge Baseline'!$B$1:$L$257,11,FALSE))))</f>
        <v/>
      </c>
      <c r="K64" s="295" t="str">
        <f>IF(B64="","",IF(ISNA(VLOOKUP($B64,'B-1 On-Site Hedge Baseline'!$B$1:$U$257,13,FALSE)),"",(VLOOKUP($B64,'B-1 On-Site Hedge Baseline'!$B$1:$U$257,13,FALSE))))</f>
        <v/>
      </c>
      <c r="L64" s="299" t="str">
        <f>IF(B64="","",IF(ISNA(VLOOKUP($B64,'B-1 On-Site Hedge Baseline'!$B$1:$U$257,12,FALSE)),"",(VLOOKUP($B64,'B-1 On-Site Hedge Baseline'!$B$1:$U$257,12,FALSE))))</f>
        <v/>
      </c>
      <c r="M64" s="611"/>
      <c r="N64" s="275" t="str">
        <f>IFERROR(IF(B64="","",INDEX('G-6 Hedgerow Data'!$AN$3:$AZ$15,MATCH(C64,'G-6 Hedgerow Data'!$AM$3:$AM$15,0),MATCH(M64,'G-6 Hedgerow Data'!$AN$2:$AZ$2,0))),"")</f>
        <v/>
      </c>
      <c r="O64" s="276" t="str">
        <f t="shared" si="1"/>
        <v/>
      </c>
      <c r="P64" s="329" t="str">
        <f>IF(B64="","",VLOOKUP(B64,'B-1 On-Site Hedge Baseline'!$B$10:T309,16,FALSE))</f>
        <v/>
      </c>
      <c r="Q64" s="275" t="str">
        <f>IF(M64="","",VLOOKUP(M64,'G-6 Hedgerow Data'!$B$2:$AG$15,2,FALSE))</f>
        <v/>
      </c>
      <c r="R64" s="276" t="str">
        <f>IF(M64="","",VLOOKUP(M64,'G-6 Hedgerow Data'!$B$2:$AG$15,3,FALSE))</f>
        <v/>
      </c>
      <c r="S64" s="108"/>
      <c r="T64" s="314" t="str">
        <f>IFERROR(IF(S64="","",IF(AND(M64="Non-native and ornamental hedgerow",S64&lt;&gt;"Poor"),"Not possible ▲",(VLOOKUP(S64,'G-1 All Habitats'!$Z$2:$AA$9,2,FALSE)))),"")</f>
        <v/>
      </c>
      <c r="U64" s="105"/>
      <c r="V64" s="295" t="str">
        <f>IF(U64="","",IF(VLOOKUP(U64,'G-3 Multipliers'!$L$3:$N$6,2,FALSE)=0,"Spatial Data Missing ⚠",VLOOKUP(U64,'G-3 Multipliers'!$L$3:$N$6,2,FALSE)))</f>
        <v/>
      </c>
      <c r="W64" s="299" t="str">
        <f>IF(U64="","",IF(VLOOKUP(U64,'G-3 Multipliers'!$L$3:$N$6,3,FALSE)=0,"Spatial Data Missing ⚠",VLOOKUP(U64,'G-3 Multipliers'!$L$3:$N$6,3,FALSE)))</f>
        <v/>
      </c>
      <c r="X64" s="275" t="str">
        <f>IFERROR(IF(OR(LEFT(O64,5)="Error",LEFT(N64,5)="Error",T64="Error"),"Check Data ⚠",IF(F64&lt;R64,INDEX('G-6 Hedgerow Data'!$S$3:$AE$14,MATCH(C64,'G-6 Hedgerow Data'!$B$3:$B$14,0),MATCH(M64,'G-6 Hedgerow Data'!$S$2:$AE$2,0)),INDEX('G-6 Hedgerow Data'!$K$3:$Q$14,MATCH(M64,'G-6 Hedgerow Data'!$B$3:$B$14,0),MATCH(O64,'G-6 Hedgerow Data'!$K$2:$Q$2,0)))),"")</f>
        <v/>
      </c>
      <c r="Y64" s="133"/>
      <c r="Z64" s="133"/>
      <c r="AA64" s="283" t="str">
        <f t="shared" si="2"/>
        <v/>
      </c>
      <c r="AB64" s="296" t="str">
        <f t="shared" si="3"/>
        <v/>
      </c>
      <c r="AC64" s="297" t="str">
        <f t="shared" si="0"/>
        <v/>
      </c>
      <c r="AD64" s="311" t="str">
        <f>IF(M64="","",VLOOKUP(M64,'G-6 Hedgerow Data'!$B$3:$AG$15,31,FALSE))</f>
        <v/>
      </c>
      <c r="AE64" s="283" t="str">
        <f t="shared" si="4"/>
        <v/>
      </c>
      <c r="AF64" s="283" t="str">
        <f t="shared" si="5"/>
        <v/>
      </c>
      <c r="AG64" s="299" t="str">
        <f>IFERROR(IF(O64="","",VLOOKUP(AD64,'G-3 Multipliers'!$P$3:$Q$6,2,FALSE)),"")</f>
        <v/>
      </c>
      <c r="AH64" s="289" t="str">
        <f t="shared" si="6"/>
        <v/>
      </c>
      <c r="AI64" s="108"/>
      <c r="AJ64" s="115"/>
      <c r="AK64" s="104"/>
      <c r="AT64" s="30" t="str">
        <f>IFERROR(INDEX('G-6 Hedgerow Data'!$BJ$3:$BJ$15,MATCH(M64,'G-6 Hedgerow Data'!$B$3:$B$15,0)),"")</f>
        <v/>
      </c>
    </row>
    <row r="65" spans="2:46" ht="14">
      <c r="B65" s="305" t="str">
        <f>'B-1 On-Site Hedge Baseline'!AK63</f>
        <v/>
      </c>
      <c r="C65" s="295" t="str">
        <f>IF(B65="","",IF(ISNA(VLOOKUP($B65,'B-1 On-Site Hedge Baseline'!$B$1:$L$257,3,FALSE)),"",(VLOOKUP($B65,'B-1 On-Site Hedge Baseline'!$B$1:$L$257,3,FALSE))))</f>
        <v/>
      </c>
      <c r="D65" s="295" t="str">
        <f>IF(B65="","",IF(ISNA(VLOOKUP($B65,'B-1 On-Site Hedge Baseline'!$B$1:$L$257,4,FALSE)),"",(VLOOKUP($B65,'B-1 On-Site Hedge Baseline'!$B$1:$L$257,4,FALSE))))</f>
        <v/>
      </c>
      <c r="E65" s="295" t="str">
        <f>IF(B65="","",IF(ISNA(VLOOKUP($B65,'B-1 On-Site Hedge Baseline'!$B$1:$L$257,5,FALSE)),"",(VLOOKUP($B65,'B-1 On-Site Hedge Baseline'!$B$1:$L$257,5,FALSE))))</f>
        <v/>
      </c>
      <c r="F65" s="295" t="str">
        <f>IF(B65="","",IF(ISNA(VLOOKUP($B65,'B-1 On-Site Hedge Baseline'!$B$1:$L$257,6,FALSE)),"",(VLOOKUP($B65,'B-1 On-Site Hedge Baseline'!$B$1:$L$257,6,FALSE))))</f>
        <v/>
      </c>
      <c r="G65" s="295" t="str">
        <f>IF(B65="","",IF(ISNA(VLOOKUP($B65,'B-1 On-Site Hedge Baseline'!$B$1:$L$257,7,FALSE)),"",(VLOOKUP($B65,'B-1 On-Site Hedge Baseline'!$B$1:$L$257,7,FALSE))))</f>
        <v/>
      </c>
      <c r="H65" s="295" t="str">
        <f>IF(B65="","",IF(ISNA(VLOOKUP($B65,'B-1 On-Site Hedge Baseline'!$B$1:$L$257,8,FALSE)),"",(VLOOKUP($B65,'B-1 On-Site Hedge Baseline'!$B$1:$L$257,8,FALSE))))</f>
        <v/>
      </c>
      <c r="I65" s="295" t="str">
        <f>IF(B65="","",IF(ISNA(VLOOKUP($B65,'B-1 On-Site Hedge Baseline'!$B$1:$L$257,10,FALSE)),"",(VLOOKUP($B65,'B-1 On-Site Hedge Baseline'!$B$1:$L$257,10,FALSE))))</f>
        <v/>
      </c>
      <c r="J65" s="295" t="str">
        <f>IF(B65="","",IF(ISNA(VLOOKUP($B65,'B-1 On-Site Hedge Baseline'!$B$1:$L$257,11,FALSE)),"",(VLOOKUP($B65,'B-1 On-Site Hedge Baseline'!$B$1:$L$257,11,FALSE))))</f>
        <v/>
      </c>
      <c r="K65" s="295" t="str">
        <f>IF(B65="","",IF(ISNA(VLOOKUP($B65,'B-1 On-Site Hedge Baseline'!$B$1:$U$257,13,FALSE)),"",(VLOOKUP($B65,'B-1 On-Site Hedge Baseline'!$B$1:$U$257,13,FALSE))))</f>
        <v/>
      </c>
      <c r="L65" s="299" t="str">
        <f>IF(B65="","",IF(ISNA(VLOOKUP($B65,'B-1 On-Site Hedge Baseline'!$B$1:$U$257,12,FALSE)),"",(VLOOKUP($B65,'B-1 On-Site Hedge Baseline'!$B$1:$U$257,12,FALSE))))</f>
        <v/>
      </c>
      <c r="M65" s="611"/>
      <c r="N65" s="275" t="str">
        <f>IFERROR(IF(B65="","",INDEX('G-6 Hedgerow Data'!$AN$3:$AZ$15,MATCH(C65,'G-6 Hedgerow Data'!$AM$3:$AM$15,0),MATCH(M65,'G-6 Hedgerow Data'!$AN$2:$AZ$2,0))),"")</f>
        <v/>
      </c>
      <c r="O65" s="276" t="str">
        <f t="shared" si="1"/>
        <v/>
      </c>
      <c r="P65" s="329" t="str">
        <f>IF(B65="","",VLOOKUP(B65,'B-1 On-Site Hedge Baseline'!$B$10:T310,16,FALSE))</f>
        <v/>
      </c>
      <c r="Q65" s="275" t="str">
        <f>IF(M65="","",VLOOKUP(M65,'G-6 Hedgerow Data'!$B$2:$AG$15,2,FALSE))</f>
        <v/>
      </c>
      <c r="R65" s="276" t="str">
        <f>IF(M65="","",VLOOKUP(M65,'G-6 Hedgerow Data'!$B$2:$AG$15,3,FALSE))</f>
        <v/>
      </c>
      <c r="S65" s="108"/>
      <c r="T65" s="314" t="str">
        <f>IFERROR(IF(S65="","",IF(AND(M65="Non-native and ornamental hedgerow",S65&lt;&gt;"Poor"),"Not possible ▲",(VLOOKUP(S65,'G-1 All Habitats'!$Z$2:$AA$9,2,FALSE)))),"")</f>
        <v/>
      </c>
      <c r="U65" s="105"/>
      <c r="V65" s="295" t="str">
        <f>IF(U65="","",IF(VLOOKUP(U65,'G-3 Multipliers'!$L$3:$N$6,2,FALSE)=0,"Spatial Data Missing ⚠",VLOOKUP(U65,'G-3 Multipliers'!$L$3:$N$6,2,FALSE)))</f>
        <v/>
      </c>
      <c r="W65" s="299" t="str">
        <f>IF(U65="","",IF(VLOOKUP(U65,'G-3 Multipliers'!$L$3:$N$6,3,FALSE)=0,"Spatial Data Missing ⚠",VLOOKUP(U65,'G-3 Multipliers'!$L$3:$N$6,3,FALSE)))</f>
        <v/>
      </c>
      <c r="X65" s="275" t="str">
        <f>IFERROR(IF(OR(LEFT(O65,5)="Error",LEFT(N65,5)="Error",T65="Error"),"Check Data ⚠",IF(F65&lt;R65,INDEX('G-6 Hedgerow Data'!$S$3:$AE$14,MATCH(C65,'G-6 Hedgerow Data'!$B$3:$B$14,0),MATCH(M65,'G-6 Hedgerow Data'!$S$2:$AE$2,0)),INDEX('G-6 Hedgerow Data'!$K$3:$Q$14,MATCH(M65,'G-6 Hedgerow Data'!$B$3:$B$14,0),MATCH(O65,'G-6 Hedgerow Data'!$K$2:$Q$2,0)))),"")</f>
        <v/>
      </c>
      <c r="Y65" s="133"/>
      <c r="Z65" s="133"/>
      <c r="AA65" s="283" t="str">
        <f t="shared" si="2"/>
        <v/>
      </c>
      <c r="AB65" s="296" t="str">
        <f t="shared" si="3"/>
        <v/>
      </c>
      <c r="AC65" s="297" t="str">
        <f t="shared" si="0"/>
        <v/>
      </c>
      <c r="AD65" s="311" t="str">
        <f>IF(M65="","",VLOOKUP(M65,'G-6 Hedgerow Data'!$B$3:$AG$15,31,FALSE))</f>
        <v/>
      </c>
      <c r="AE65" s="283" t="str">
        <f t="shared" si="4"/>
        <v/>
      </c>
      <c r="AF65" s="283" t="str">
        <f t="shared" si="5"/>
        <v/>
      </c>
      <c r="AG65" s="299" t="str">
        <f>IFERROR(IF(O65="","",VLOOKUP(AD65,'G-3 Multipliers'!$P$3:$Q$6,2,FALSE)),"")</f>
        <v/>
      </c>
      <c r="AH65" s="289" t="str">
        <f t="shared" si="6"/>
        <v/>
      </c>
      <c r="AI65" s="108"/>
      <c r="AJ65" s="115"/>
      <c r="AK65" s="104"/>
      <c r="AT65" s="30" t="str">
        <f>IFERROR(INDEX('G-6 Hedgerow Data'!$BJ$3:$BJ$15,MATCH(M65,'G-6 Hedgerow Data'!$B$3:$B$15,0)),"")</f>
        <v/>
      </c>
    </row>
    <row r="66" spans="2:46" ht="14">
      <c r="B66" s="305" t="str">
        <f>'B-1 On-Site Hedge Baseline'!AK64</f>
        <v/>
      </c>
      <c r="C66" s="295" t="str">
        <f>IF(B66="","",IF(ISNA(VLOOKUP($B66,'B-1 On-Site Hedge Baseline'!$B$1:$L$257,3,FALSE)),"",(VLOOKUP($B66,'B-1 On-Site Hedge Baseline'!$B$1:$L$257,3,FALSE))))</f>
        <v/>
      </c>
      <c r="D66" s="295" t="str">
        <f>IF(B66="","",IF(ISNA(VLOOKUP($B66,'B-1 On-Site Hedge Baseline'!$B$1:$L$257,4,FALSE)),"",(VLOOKUP($B66,'B-1 On-Site Hedge Baseline'!$B$1:$L$257,4,FALSE))))</f>
        <v/>
      </c>
      <c r="E66" s="295" t="str">
        <f>IF(B66="","",IF(ISNA(VLOOKUP($B66,'B-1 On-Site Hedge Baseline'!$B$1:$L$257,5,FALSE)),"",(VLOOKUP($B66,'B-1 On-Site Hedge Baseline'!$B$1:$L$257,5,FALSE))))</f>
        <v/>
      </c>
      <c r="F66" s="295" t="str">
        <f>IF(B66="","",IF(ISNA(VLOOKUP($B66,'B-1 On-Site Hedge Baseline'!$B$1:$L$257,6,FALSE)),"",(VLOOKUP($B66,'B-1 On-Site Hedge Baseline'!$B$1:$L$257,6,FALSE))))</f>
        <v/>
      </c>
      <c r="G66" s="295" t="str">
        <f>IF(B66="","",IF(ISNA(VLOOKUP($B66,'B-1 On-Site Hedge Baseline'!$B$1:$L$257,7,FALSE)),"",(VLOOKUP($B66,'B-1 On-Site Hedge Baseline'!$B$1:$L$257,7,FALSE))))</f>
        <v/>
      </c>
      <c r="H66" s="295" t="str">
        <f>IF(B66="","",IF(ISNA(VLOOKUP($B66,'B-1 On-Site Hedge Baseline'!$B$1:$L$257,8,FALSE)),"",(VLOOKUP($B66,'B-1 On-Site Hedge Baseline'!$B$1:$L$257,8,FALSE))))</f>
        <v/>
      </c>
      <c r="I66" s="295" t="str">
        <f>IF(B66="","",IF(ISNA(VLOOKUP($B66,'B-1 On-Site Hedge Baseline'!$B$1:$L$257,10,FALSE)),"",(VLOOKUP($B66,'B-1 On-Site Hedge Baseline'!$B$1:$L$257,10,FALSE))))</f>
        <v/>
      </c>
      <c r="J66" s="295" t="str">
        <f>IF(B66="","",IF(ISNA(VLOOKUP($B66,'B-1 On-Site Hedge Baseline'!$B$1:$L$257,11,FALSE)),"",(VLOOKUP($B66,'B-1 On-Site Hedge Baseline'!$B$1:$L$257,11,FALSE))))</f>
        <v/>
      </c>
      <c r="K66" s="295" t="str">
        <f>IF(B66="","",IF(ISNA(VLOOKUP($B66,'B-1 On-Site Hedge Baseline'!$B$1:$U$257,13,FALSE)),"",(VLOOKUP($B66,'B-1 On-Site Hedge Baseline'!$B$1:$U$257,13,FALSE))))</f>
        <v/>
      </c>
      <c r="L66" s="299" t="str">
        <f>IF(B66="","",IF(ISNA(VLOOKUP($B66,'B-1 On-Site Hedge Baseline'!$B$1:$U$257,12,FALSE)),"",(VLOOKUP($B66,'B-1 On-Site Hedge Baseline'!$B$1:$U$257,12,FALSE))))</f>
        <v/>
      </c>
      <c r="M66" s="611"/>
      <c r="N66" s="275" t="str">
        <f>IFERROR(IF(B66="","",INDEX('G-6 Hedgerow Data'!$AN$3:$AZ$15,MATCH(C66,'G-6 Hedgerow Data'!$AM$3:$AM$15,0),MATCH(M66,'G-6 Hedgerow Data'!$AN$2:$AZ$2,0))),"")</f>
        <v/>
      </c>
      <c r="O66" s="276" t="str">
        <f t="shared" si="1"/>
        <v/>
      </c>
      <c r="P66" s="329" t="str">
        <f>IF(B66="","",VLOOKUP(B66,'B-1 On-Site Hedge Baseline'!$B$10:T311,16,FALSE))</f>
        <v/>
      </c>
      <c r="Q66" s="275" t="str">
        <f>IF(M66="","",VLOOKUP(M66,'G-6 Hedgerow Data'!$B$2:$AG$15,2,FALSE))</f>
        <v/>
      </c>
      <c r="R66" s="276" t="str">
        <f>IF(M66="","",VLOOKUP(M66,'G-6 Hedgerow Data'!$B$2:$AG$15,3,FALSE))</f>
        <v/>
      </c>
      <c r="S66" s="108"/>
      <c r="T66" s="314" t="str">
        <f>IFERROR(IF(S66="","",IF(AND(M66="Non-native and ornamental hedgerow",S66&lt;&gt;"Poor"),"Not possible ▲",(VLOOKUP(S66,'G-1 All Habitats'!$Z$2:$AA$9,2,FALSE)))),"")</f>
        <v/>
      </c>
      <c r="U66" s="105"/>
      <c r="V66" s="295" t="str">
        <f>IF(U66="","",IF(VLOOKUP(U66,'G-3 Multipliers'!$L$3:$N$6,2,FALSE)=0,"Spatial Data Missing ⚠",VLOOKUP(U66,'G-3 Multipliers'!$L$3:$N$6,2,FALSE)))</f>
        <v/>
      </c>
      <c r="W66" s="299" t="str">
        <f>IF(U66="","",IF(VLOOKUP(U66,'G-3 Multipliers'!$L$3:$N$6,3,FALSE)=0,"Spatial Data Missing ⚠",VLOOKUP(U66,'G-3 Multipliers'!$L$3:$N$6,3,FALSE)))</f>
        <v/>
      </c>
      <c r="X66" s="275" t="str">
        <f>IFERROR(IF(OR(LEFT(O66,5)="Error",LEFT(N66,5)="Error",T66="Error"),"Check Data ⚠",IF(F66&lt;R66,INDEX('G-6 Hedgerow Data'!$S$3:$AE$14,MATCH(C66,'G-6 Hedgerow Data'!$B$3:$B$14,0),MATCH(M66,'G-6 Hedgerow Data'!$S$2:$AE$2,0)),INDEX('G-6 Hedgerow Data'!$K$3:$Q$14,MATCH(M66,'G-6 Hedgerow Data'!$B$3:$B$14,0),MATCH(O66,'G-6 Hedgerow Data'!$K$2:$Q$2,0)))),"")</f>
        <v/>
      </c>
      <c r="Y66" s="133"/>
      <c r="Z66" s="133"/>
      <c r="AA66" s="283" t="str">
        <f t="shared" si="2"/>
        <v/>
      </c>
      <c r="AB66" s="296" t="str">
        <f t="shared" si="3"/>
        <v/>
      </c>
      <c r="AC66" s="297" t="str">
        <f t="shared" si="0"/>
        <v/>
      </c>
      <c r="AD66" s="311" t="str">
        <f>IF(M66="","",VLOOKUP(M66,'G-6 Hedgerow Data'!$B$3:$AG$15,31,FALSE))</f>
        <v/>
      </c>
      <c r="AE66" s="283" t="str">
        <f t="shared" si="4"/>
        <v/>
      </c>
      <c r="AF66" s="283" t="str">
        <f t="shared" si="5"/>
        <v/>
      </c>
      <c r="AG66" s="299" t="str">
        <f>IFERROR(IF(O66="","",VLOOKUP(AD66,'G-3 Multipliers'!$P$3:$Q$6,2,FALSE)),"")</f>
        <v/>
      </c>
      <c r="AH66" s="289" t="str">
        <f t="shared" si="6"/>
        <v/>
      </c>
      <c r="AI66" s="108"/>
      <c r="AJ66" s="115"/>
      <c r="AK66" s="104"/>
      <c r="AT66" s="30" t="str">
        <f>IFERROR(INDEX('G-6 Hedgerow Data'!$BJ$3:$BJ$15,MATCH(M66,'G-6 Hedgerow Data'!$B$3:$B$15,0)),"")</f>
        <v/>
      </c>
    </row>
    <row r="67" spans="2:46" ht="14">
      <c r="B67" s="305" t="str">
        <f>'B-1 On-Site Hedge Baseline'!AK65</f>
        <v/>
      </c>
      <c r="C67" s="295" t="str">
        <f>IF(B67="","",IF(ISNA(VLOOKUP($B67,'B-1 On-Site Hedge Baseline'!$B$1:$L$257,3,FALSE)),"",(VLOOKUP($B67,'B-1 On-Site Hedge Baseline'!$B$1:$L$257,3,FALSE))))</f>
        <v/>
      </c>
      <c r="D67" s="295" t="str">
        <f>IF(B67="","",IF(ISNA(VLOOKUP($B67,'B-1 On-Site Hedge Baseline'!$B$1:$L$257,4,FALSE)),"",(VLOOKUP($B67,'B-1 On-Site Hedge Baseline'!$B$1:$L$257,4,FALSE))))</f>
        <v/>
      </c>
      <c r="E67" s="295" t="str">
        <f>IF(B67="","",IF(ISNA(VLOOKUP($B67,'B-1 On-Site Hedge Baseline'!$B$1:$L$257,5,FALSE)),"",(VLOOKUP($B67,'B-1 On-Site Hedge Baseline'!$B$1:$L$257,5,FALSE))))</f>
        <v/>
      </c>
      <c r="F67" s="295" t="str">
        <f>IF(B67="","",IF(ISNA(VLOOKUP($B67,'B-1 On-Site Hedge Baseline'!$B$1:$L$257,6,FALSE)),"",(VLOOKUP($B67,'B-1 On-Site Hedge Baseline'!$B$1:$L$257,6,FALSE))))</f>
        <v/>
      </c>
      <c r="G67" s="295" t="str">
        <f>IF(B67="","",IF(ISNA(VLOOKUP($B67,'B-1 On-Site Hedge Baseline'!$B$1:$L$257,7,FALSE)),"",(VLOOKUP($B67,'B-1 On-Site Hedge Baseline'!$B$1:$L$257,7,FALSE))))</f>
        <v/>
      </c>
      <c r="H67" s="295" t="str">
        <f>IF(B67="","",IF(ISNA(VLOOKUP($B67,'B-1 On-Site Hedge Baseline'!$B$1:$L$257,8,FALSE)),"",(VLOOKUP($B67,'B-1 On-Site Hedge Baseline'!$B$1:$L$257,8,FALSE))))</f>
        <v/>
      </c>
      <c r="I67" s="295" t="str">
        <f>IF(B67="","",IF(ISNA(VLOOKUP($B67,'B-1 On-Site Hedge Baseline'!$B$1:$L$257,10,FALSE)),"",(VLOOKUP($B67,'B-1 On-Site Hedge Baseline'!$B$1:$L$257,10,FALSE))))</f>
        <v/>
      </c>
      <c r="J67" s="295" t="str">
        <f>IF(B67="","",IF(ISNA(VLOOKUP($B67,'B-1 On-Site Hedge Baseline'!$B$1:$L$257,11,FALSE)),"",(VLOOKUP($B67,'B-1 On-Site Hedge Baseline'!$B$1:$L$257,11,FALSE))))</f>
        <v/>
      </c>
      <c r="K67" s="295" t="str">
        <f>IF(B67="","",IF(ISNA(VLOOKUP($B67,'B-1 On-Site Hedge Baseline'!$B$1:$U$257,13,FALSE)),"",(VLOOKUP($B67,'B-1 On-Site Hedge Baseline'!$B$1:$U$257,13,FALSE))))</f>
        <v/>
      </c>
      <c r="L67" s="299" t="str">
        <f>IF(B67="","",IF(ISNA(VLOOKUP($B67,'B-1 On-Site Hedge Baseline'!$B$1:$U$257,12,FALSE)),"",(VLOOKUP($B67,'B-1 On-Site Hedge Baseline'!$B$1:$U$257,12,FALSE))))</f>
        <v/>
      </c>
      <c r="M67" s="611"/>
      <c r="N67" s="275" t="str">
        <f>IFERROR(IF(B67="","",INDEX('G-6 Hedgerow Data'!$AN$3:$AZ$15,MATCH(C67,'G-6 Hedgerow Data'!$AM$3:$AM$15,0),MATCH(M67,'G-6 Hedgerow Data'!$AN$2:$AZ$2,0))),"")</f>
        <v/>
      </c>
      <c r="O67" s="276" t="str">
        <f t="shared" si="1"/>
        <v/>
      </c>
      <c r="P67" s="329" t="str">
        <f>IF(B67="","",VLOOKUP(B67,'B-1 On-Site Hedge Baseline'!$B$10:T312,16,FALSE))</f>
        <v/>
      </c>
      <c r="Q67" s="275" t="str">
        <f>IF(M67="","",VLOOKUP(M67,'G-6 Hedgerow Data'!$B$2:$AG$15,2,FALSE))</f>
        <v/>
      </c>
      <c r="R67" s="276" t="str">
        <f>IF(M67="","",VLOOKUP(M67,'G-6 Hedgerow Data'!$B$2:$AG$15,3,FALSE))</f>
        <v/>
      </c>
      <c r="S67" s="108"/>
      <c r="T67" s="314" t="str">
        <f>IFERROR(IF(S67="","",IF(AND(M67="Non-native and ornamental hedgerow",S67&lt;&gt;"Poor"),"Not possible ▲",(VLOOKUP(S67,'G-1 All Habitats'!$Z$2:$AA$9,2,FALSE)))),"")</f>
        <v/>
      </c>
      <c r="U67" s="105"/>
      <c r="V67" s="295" t="str">
        <f>IF(U67="","",IF(VLOOKUP(U67,'G-3 Multipliers'!$L$3:$N$6,2,FALSE)=0,"Spatial Data Missing ⚠",VLOOKUP(U67,'G-3 Multipliers'!$L$3:$N$6,2,FALSE)))</f>
        <v/>
      </c>
      <c r="W67" s="299" t="str">
        <f>IF(U67="","",IF(VLOOKUP(U67,'G-3 Multipliers'!$L$3:$N$6,3,FALSE)=0,"Spatial Data Missing ⚠",VLOOKUP(U67,'G-3 Multipliers'!$L$3:$N$6,3,FALSE)))</f>
        <v/>
      </c>
      <c r="X67" s="275" t="str">
        <f>IFERROR(IF(OR(LEFT(O67,5)="Error",LEFT(N67,5)="Error",T67="Error"),"Check Data ⚠",IF(F67&lt;R67,INDEX('G-6 Hedgerow Data'!$S$3:$AE$14,MATCH(C67,'G-6 Hedgerow Data'!$B$3:$B$14,0),MATCH(M67,'G-6 Hedgerow Data'!$S$2:$AE$2,0)),INDEX('G-6 Hedgerow Data'!$K$3:$Q$14,MATCH(M67,'G-6 Hedgerow Data'!$B$3:$B$14,0),MATCH(O67,'G-6 Hedgerow Data'!$K$2:$Q$2,0)))),"")</f>
        <v/>
      </c>
      <c r="Y67" s="133"/>
      <c r="Z67" s="133"/>
      <c r="AA67" s="283" t="str">
        <f t="shared" si="2"/>
        <v/>
      </c>
      <c r="AB67" s="296" t="str">
        <f t="shared" si="3"/>
        <v/>
      </c>
      <c r="AC67" s="297" t="str">
        <f t="shared" si="0"/>
        <v/>
      </c>
      <c r="AD67" s="311" t="str">
        <f>IF(M67="","",VLOOKUP(M67,'G-6 Hedgerow Data'!$B$3:$AG$15,31,FALSE))</f>
        <v/>
      </c>
      <c r="AE67" s="283" t="str">
        <f t="shared" si="4"/>
        <v/>
      </c>
      <c r="AF67" s="283" t="str">
        <f t="shared" si="5"/>
        <v/>
      </c>
      <c r="AG67" s="299" t="str">
        <f>IFERROR(IF(O67="","",VLOOKUP(AD67,'G-3 Multipliers'!$P$3:$Q$6,2,FALSE)),"")</f>
        <v/>
      </c>
      <c r="AH67" s="289" t="str">
        <f t="shared" si="6"/>
        <v/>
      </c>
      <c r="AI67" s="108"/>
      <c r="AJ67" s="115"/>
      <c r="AK67" s="104"/>
      <c r="AT67" s="30" t="str">
        <f>IFERROR(INDEX('G-6 Hedgerow Data'!$BJ$3:$BJ$15,MATCH(M67,'G-6 Hedgerow Data'!$B$3:$B$15,0)),"")</f>
        <v/>
      </c>
    </row>
    <row r="68" spans="2:46" ht="14">
      <c r="B68" s="305" t="str">
        <f>'B-1 On-Site Hedge Baseline'!AK66</f>
        <v/>
      </c>
      <c r="C68" s="295" t="str">
        <f>IF(B68="","",IF(ISNA(VLOOKUP($B68,'B-1 On-Site Hedge Baseline'!$B$1:$L$257,3,FALSE)),"",(VLOOKUP($B68,'B-1 On-Site Hedge Baseline'!$B$1:$L$257,3,FALSE))))</f>
        <v/>
      </c>
      <c r="D68" s="295" t="str">
        <f>IF(B68="","",IF(ISNA(VLOOKUP($B68,'B-1 On-Site Hedge Baseline'!$B$1:$L$257,4,FALSE)),"",(VLOOKUP($B68,'B-1 On-Site Hedge Baseline'!$B$1:$L$257,4,FALSE))))</f>
        <v/>
      </c>
      <c r="E68" s="295" t="str">
        <f>IF(B68="","",IF(ISNA(VLOOKUP($B68,'B-1 On-Site Hedge Baseline'!$B$1:$L$257,5,FALSE)),"",(VLOOKUP($B68,'B-1 On-Site Hedge Baseline'!$B$1:$L$257,5,FALSE))))</f>
        <v/>
      </c>
      <c r="F68" s="295" t="str">
        <f>IF(B68="","",IF(ISNA(VLOOKUP($B68,'B-1 On-Site Hedge Baseline'!$B$1:$L$257,6,FALSE)),"",(VLOOKUP($B68,'B-1 On-Site Hedge Baseline'!$B$1:$L$257,6,FALSE))))</f>
        <v/>
      </c>
      <c r="G68" s="295" t="str">
        <f>IF(B68="","",IF(ISNA(VLOOKUP($B68,'B-1 On-Site Hedge Baseline'!$B$1:$L$257,7,FALSE)),"",(VLOOKUP($B68,'B-1 On-Site Hedge Baseline'!$B$1:$L$257,7,FALSE))))</f>
        <v/>
      </c>
      <c r="H68" s="295" t="str">
        <f>IF(B68="","",IF(ISNA(VLOOKUP($B68,'B-1 On-Site Hedge Baseline'!$B$1:$L$257,8,FALSE)),"",(VLOOKUP($B68,'B-1 On-Site Hedge Baseline'!$B$1:$L$257,8,FALSE))))</f>
        <v/>
      </c>
      <c r="I68" s="295" t="str">
        <f>IF(B68="","",IF(ISNA(VLOOKUP($B68,'B-1 On-Site Hedge Baseline'!$B$1:$L$257,10,FALSE)),"",(VLOOKUP($B68,'B-1 On-Site Hedge Baseline'!$B$1:$L$257,10,FALSE))))</f>
        <v/>
      </c>
      <c r="J68" s="295" t="str">
        <f>IF(B68="","",IF(ISNA(VLOOKUP($B68,'B-1 On-Site Hedge Baseline'!$B$1:$L$257,11,FALSE)),"",(VLOOKUP($B68,'B-1 On-Site Hedge Baseline'!$B$1:$L$257,11,FALSE))))</f>
        <v/>
      </c>
      <c r="K68" s="295" t="str">
        <f>IF(B68="","",IF(ISNA(VLOOKUP($B68,'B-1 On-Site Hedge Baseline'!$B$1:$U$257,13,FALSE)),"",(VLOOKUP($B68,'B-1 On-Site Hedge Baseline'!$B$1:$U$257,13,FALSE))))</f>
        <v/>
      </c>
      <c r="L68" s="299" t="str">
        <f>IF(B68="","",IF(ISNA(VLOOKUP($B68,'B-1 On-Site Hedge Baseline'!$B$1:$U$257,12,FALSE)),"",(VLOOKUP($B68,'B-1 On-Site Hedge Baseline'!$B$1:$U$257,12,FALSE))))</f>
        <v/>
      </c>
      <c r="M68" s="611"/>
      <c r="N68" s="275" t="str">
        <f>IFERROR(IF(B68="","",INDEX('G-6 Hedgerow Data'!$AN$3:$AZ$15,MATCH(C68,'G-6 Hedgerow Data'!$AM$3:$AM$15,0),MATCH(M68,'G-6 Hedgerow Data'!$AN$2:$AZ$2,0))),"")</f>
        <v/>
      </c>
      <c r="O68" s="276" t="str">
        <f t="shared" si="1"/>
        <v/>
      </c>
      <c r="P68" s="329" t="str">
        <f>IF(B68="","",VLOOKUP(B68,'B-1 On-Site Hedge Baseline'!$B$10:T313,16,FALSE))</f>
        <v/>
      </c>
      <c r="Q68" s="275" t="str">
        <f>IF(M68="","",VLOOKUP(M68,'G-6 Hedgerow Data'!$B$2:$AG$15,2,FALSE))</f>
        <v/>
      </c>
      <c r="R68" s="276" t="str">
        <f>IF(M68="","",VLOOKUP(M68,'G-6 Hedgerow Data'!$B$2:$AG$15,3,FALSE))</f>
        <v/>
      </c>
      <c r="S68" s="108"/>
      <c r="T68" s="314" t="str">
        <f>IFERROR(IF(S68="","",IF(AND(M68="Non-native and ornamental hedgerow",S68&lt;&gt;"Poor"),"Not possible ▲",(VLOOKUP(S68,'G-1 All Habitats'!$Z$2:$AA$9,2,FALSE)))),"")</f>
        <v/>
      </c>
      <c r="U68" s="105"/>
      <c r="V68" s="295" t="str">
        <f>IF(U68="","",IF(VLOOKUP(U68,'G-3 Multipliers'!$L$3:$N$6,2,FALSE)=0,"Spatial Data Missing ⚠",VLOOKUP(U68,'G-3 Multipliers'!$L$3:$N$6,2,FALSE)))</f>
        <v/>
      </c>
      <c r="W68" s="299" t="str">
        <f>IF(U68="","",IF(VLOOKUP(U68,'G-3 Multipliers'!$L$3:$N$6,3,FALSE)=0,"Spatial Data Missing ⚠",VLOOKUP(U68,'G-3 Multipliers'!$L$3:$N$6,3,FALSE)))</f>
        <v/>
      </c>
      <c r="X68" s="275" t="str">
        <f>IFERROR(IF(OR(LEFT(O68,5)="Error",LEFT(N68,5)="Error",T68="Error"),"Check Data ⚠",IF(F68&lt;R68,INDEX('G-6 Hedgerow Data'!$S$3:$AE$14,MATCH(C68,'G-6 Hedgerow Data'!$B$3:$B$14,0),MATCH(M68,'G-6 Hedgerow Data'!$S$2:$AE$2,0)),INDEX('G-6 Hedgerow Data'!$K$3:$Q$14,MATCH(M68,'G-6 Hedgerow Data'!$B$3:$B$14,0),MATCH(O68,'G-6 Hedgerow Data'!$K$2:$Q$2,0)))),"")</f>
        <v/>
      </c>
      <c r="Y68" s="133"/>
      <c r="Z68" s="133"/>
      <c r="AA68" s="283" t="str">
        <f t="shared" si="2"/>
        <v/>
      </c>
      <c r="AB68" s="296" t="str">
        <f t="shared" si="3"/>
        <v/>
      </c>
      <c r="AC68" s="297" t="str">
        <f t="shared" si="0"/>
        <v/>
      </c>
      <c r="AD68" s="311" t="str">
        <f>IF(M68="","",VLOOKUP(M68,'G-6 Hedgerow Data'!$B$3:$AG$15,31,FALSE))</f>
        <v/>
      </c>
      <c r="AE68" s="283" t="str">
        <f t="shared" si="4"/>
        <v/>
      </c>
      <c r="AF68" s="283" t="str">
        <f t="shared" si="5"/>
        <v/>
      </c>
      <c r="AG68" s="299" t="str">
        <f>IFERROR(IF(O68="","",VLOOKUP(AD68,'G-3 Multipliers'!$P$3:$Q$6,2,FALSE)),"")</f>
        <v/>
      </c>
      <c r="AH68" s="289" t="str">
        <f t="shared" si="6"/>
        <v/>
      </c>
      <c r="AI68" s="108"/>
      <c r="AJ68" s="115"/>
      <c r="AK68" s="104"/>
      <c r="AT68" s="30" t="str">
        <f>IFERROR(INDEX('G-6 Hedgerow Data'!$BJ$3:$BJ$15,MATCH(M68,'G-6 Hedgerow Data'!$B$3:$B$15,0)),"")</f>
        <v/>
      </c>
    </row>
    <row r="69" spans="2:46" ht="14">
      <c r="B69" s="305" t="str">
        <f>'B-1 On-Site Hedge Baseline'!AK67</f>
        <v/>
      </c>
      <c r="C69" s="295" t="str">
        <f>IF(B69="","",IF(ISNA(VLOOKUP($B69,'B-1 On-Site Hedge Baseline'!$B$1:$L$257,3,FALSE)),"",(VLOOKUP($B69,'B-1 On-Site Hedge Baseline'!$B$1:$L$257,3,FALSE))))</f>
        <v/>
      </c>
      <c r="D69" s="295" t="str">
        <f>IF(B69="","",IF(ISNA(VLOOKUP($B69,'B-1 On-Site Hedge Baseline'!$B$1:$L$257,4,FALSE)),"",(VLOOKUP($B69,'B-1 On-Site Hedge Baseline'!$B$1:$L$257,4,FALSE))))</f>
        <v/>
      </c>
      <c r="E69" s="295" t="str">
        <f>IF(B69="","",IF(ISNA(VLOOKUP($B69,'B-1 On-Site Hedge Baseline'!$B$1:$L$257,5,FALSE)),"",(VLOOKUP($B69,'B-1 On-Site Hedge Baseline'!$B$1:$L$257,5,FALSE))))</f>
        <v/>
      </c>
      <c r="F69" s="295" t="str">
        <f>IF(B69="","",IF(ISNA(VLOOKUP($B69,'B-1 On-Site Hedge Baseline'!$B$1:$L$257,6,FALSE)),"",(VLOOKUP($B69,'B-1 On-Site Hedge Baseline'!$B$1:$L$257,6,FALSE))))</f>
        <v/>
      </c>
      <c r="G69" s="295" t="str">
        <f>IF(B69="","",IF(ISNA(VLOOKUP($B69,'B-1 On-Site Hedge Baseline'!$B$1:$L$257,7,FALSE)),"",(VLOOKUP($B69,'B-1 On-Site Hedge Baseline'!$B$1:$L$257,7,FALSE))))</f>
        <v/>
      </c>
      <c r="H69" s="295" t="str">
        <f>IF(B69="","",IF(ISNA(VLOOKUP($B69,'B-1 On-Site Hedge Baseline'!$B$1:$L$257,8,FALSE)),"",(VLOOKUP($B69,'B-1 On-Site Hedge Baseline'!$B$1:$L$257,8,FALSE))))</f>
        <v/>
      </c>
      <c r="I69" s="295" t="str">
        <f>IF(B69="","",IF(ISNA(VLOOKUP($B69,'B-1 On-Site Hedge Baseline'!$B$1:$L$257,10,FALSE)),"",(VLOOKUP($B69,'B-1 On-Site Hedge Baseline'!$B$1:$L$257,10,FALSE))))</f>
        <v/>
      </c>
      <c r="J69" s="295" t="str">
        <f>IF(B69="","",IF(ISNA(VLOOKUP($B69,'B-1 On-Site Hedge Baseline'!$B$1:$L$257,11,FALSE)),"",(VLOOKUP($B69,'B-1 On-Site Hedge Baseline'!$B$1:$L$257,11,FALSE))))</f>
        <v/>
      </c>
      <c r="K69" s="295" t="str">
        <f>IF(B69="","",IF(ISNA(VLOOKUP($B69,'B-1 On-Site Hedge Baseline'!$B$1:$U$257,13,FALSE)),"",(VLOOKUP($B69,'B-1 On-Site Hedge Baseline'!$B$1:$U$257,13,FALSE))))</f>
        <v/>
      </c>
      <c r="L69" s="299" t="str">
        <f>IF(B69="","",IF(ISNA(VLOOKUP($B69,'B-1 On-Site Hedge Baseline'!$B$1:$U$257,12,FALSE)),"",(VLOOKUP($B69,'B-1 On-Site Hedge Baseline'!$B$1:$U$257,12,FALSE))))</f>
        <v/>
      </c>
      <c r="M69" s="611"/>
      <c r="N69" s="275" t="str">
        <f>IFERROR(IF(B69="","",INDEX('G-6 Hedgerow Data'!$AN$3:$AZ$15,MATCH(C69,'G-6 Hedgerow Data'!$AM$3:$AM$15,0),MATCH(M69,'G-6 Hedgerow Data'!$AN$2:$AZ$2,0))),"")</f>
        <v/>
      </c>
      <c r="O69" s="276" t="str">
        <f t="shared" si="1"/>
        <v/>
      </c>
      <c r="P69" s="329" t="str">
        <f>IF(B69="","",VLOOKUP(B69,'B-1 On-Site Hedge Baseline'!$B$10:T314,16,FALSE))</f>
        <v/>
      </c>
      <c r="Q69" s="275" t="str">
        <f>IF(M69="","",VLOOKUP(M69,'G-6 Hedgerow Data'!$B$2:$AG$15,2,FALSE))</f>
        <v/>
      </c>
      <c r="R69" s="276" t="str">
        <f>IF(M69="","",VLOOKUP(M69,'G-6 Hedgerow Data'!$B$2:$AG$15,3,FALSE))</f>
        <v/>
      </c>
      <c r="S69" s="108"/>
      <c r="T69" s="314" t="str">
        <f>IFERROR(IF(S69="","",IF(AND(M69="Non-native and ornamental hedgerow",S69&lt;&gt;"Poor"),"Not possible ▲",(VLOOKUP(S69,'G-1 All Habitats'!$Z$2:$AA$9,2,FALSE)))),"")</f>
        <v/>
      </c>
      <c r="U69" s="105"/>
      <c r="V69" s="295" t="str">
        <f>IF(U69="","",IF(VLOOKUP(U69,'G-3 Multipliers'!$L$3:$N$6,2,FALSE)=0,"Spatial Data Missing ⚠",VLOOKUP(U69,'G-3 Multipliers'!$L$3:$N$6,2,FALSE)))</f>
        <v/>
      </c>
      <c r="W69" s="299" t="str">
        <f>IF(U69="","",IF(VLOOKUP(U69,'G-3 Multipliers'!$L$3:$N$6,3,FALSE)=0,"Spatial Data Missing ⚠",VLOOKUP(U69,'G-3 Multipliers'!$L$3:$N$6,3,FALSE)))</f>
        <v/>
      </c>
      <c r="X69" s="275" t="str">
        <f>IFERROR(IF(OR(LEFT(O69,5)="Error",LEFT(N69,5)="Error",T69="Error"),"Check Data ⚠",IF(F69&lt;R69,INDEX('G-6 Hedgerow Data'!$S$3:$AE$14,MATCH(C69,'G-6 Hedgerow Data'!$B$3:$B$14,0),MATCH(M69,'G-6 Hedgerow Data'!$S$2:$AE$2,0)),INDEX('G-6 Hedgerow Data'!$K$3:$Q$14,MATCH(M69,'G-6 Hedgerow Data'!$B$3:$B$14,0),MATCH(O69,'G-6 Hedgerow Data'!$K$2:$Q$2,0)))),"")</f>
        <v/>
      </c>
      <c r="Y69" s="133"/>
      <c r="Z69" s="133"/>
      <c r="AA69" s="283" t="str">
        <f t="shared" si="2"/>
        <v/>
      </c>
      <c r="AB69" s="296" t="str">
        <f t="shared" si="3"/>
        <v/>
      </c>
      <c r="AC69" s="297" t="str">
        <f t="shared" si="0"/>
        <v/>
      </c>
      <c r="AD69" s="311" t="str">
        <f>IF(M69="","",VLOOKUP(M69,'G-6 Hedgerow Data'!$B$3:$AG$15,31,FALSE))</f>
        <v/>
      </c>
      <c r="AE69" s="283" t="str">
        <f t="shared" si="4"/>
        <v/>
      </c>
      <c r="AF69" s="283" t="str">
        <f t="shared" si="5"/>
        <v/>
      </c>
      <c r="AG69" s="299" t="str">
        <f>IFERROR(IF(O69="","",VLOOKUP(AD69,'G-3 Multipliers'!$P$3:$Q$6,2,FALSE)),"")</f>
        <v/>
      </c>
      <c r="AH69" s="289" t="str">
        <f t="shared" si="6"/>
        <v/>
      </c>
      <c r="AI69" s="108"/>
      <c r="AJ69" s="115"/>
      <c r="AK69" s="104"/>
      <c r="AT69" s="30" t="str">
        <f>IFERROR(INDEX('G-6 Hedgerow Data'!$BJ$3:$BJ$15,MATCH(M69,'G-6 Hedgerow Data'!$B$3:$B$15,0)),"")</f>
        <v/>
      </c>
    </row>
    <row r="70" spans="2:46" ht="14">
      <c r="B70" s="305" t="str">
        <f>'B-1 On-Site Hedge Baseline'!AK68</f>
        <v/>
      </c>
      <c r="C70" s="295" t="str">
        <f>IF(B70="","",IF(ISNA(VLOOKUP($B70,'B-1 On-Site Hedge Baseline'!$B$1:$L$257,3,FALSE)),"",(VLOOKUP($B70,'B-1 On-Site Hedge Baseline'!$B$1:$L$257,3,FALSE))))</f>
        <v/>
      </c>
      <c r="D70" s="295" t="str">
        <f>IF(B70="","",IF(ISNA(VLOOKUP($B70,'B-1 On-Site Hedge Baseline'!$B$1:$L$257,4,FALSE)),"",(VLOOKUP($B70,'B-1 On-Site Hedge Baseline'!$B$1:$L$257,4,FALSE))))</f>
        <v/>
      </c>
      <c r="E70" s="295" t="str">
        <f>IF(B70="","",IF(ISNA(VLOOKUP($B70,'B-1 On-Site Hedge Baseline'!$B$1:$L$257,5,FALSE)),"",(VLOOKUP($B70,'B-1 On-Site Hedge Baseline'!$B$1:$L$257,5,FALSE))))</f>
        <v/>
      </c>
      <c r="F70" s="295" t="str">
        <f>IF(B70="","",IF(ISNA(VLOOKUP($B70,'B-1 On-Site Hedge Baseline'!$B$1:$L$257,6,FALSE)),"",(VLOOKUP($B70,'B-1 On-Site Hedge Baseline'!$B$1:$L$257,6,FALSE))))</f>
        <v/>
      </c>
      <c r="G70" s="295" t="str">
        <f>IF(B70="","",IF(ISNA(VLOOKUP($B70,'B-1 On-Site Hedge Baseline'!$B$1:$L$257,7,FALSE)),"",(VLOOKUP($B70,'B-1 On-Site Hedge Baseline'!$B$1:$L$257,7,FALSE))))</f>
        <v/>
      </c>
      <c r="H70" s="295" t="str">
        <f>IF(B70="","",IF(ISNA(VLOOKUP($B70,'B-1 On-Site Hedge Baseline'!$B$1:$L$257,8,FALSE)),"",(VLOOKUP($B70,'B-1 On-Site Hedge Baseline'!$B$1:$L$257,8,FALSE))))</f>
        <v/>
      </c>
      <c r="I70" s="295" t="str">
        <f>IF(B70="","",IF(ISNA(VLOOKUP($B70,'B-1 On-Site Hedge Baseline'!$B$1:$L$257,10,FALSE)),"",(VLOOKUP($B70,'B-1 On-Site Hedge Baseline'!$B$1:$L$257,10,FALSE))))</f>
        <v/>
      </c>
      <c r="J70" s="295" t="str">
        <f>IF(B70="","",IF(ISNA(VLOOKUP($B70,'B-1 On-Site Hedge Baseline'!$B$1:$L$257,11,FALSE)),"",(VLOOKUP($B70,'B-1 On-Site Hedge Baseline'!$B$1:$L$257,11,FALSE))))</f>
        <v/>
      </c>
      <c r="K70" s="295" t="str">
        <f>IF(B70="","",IF(ISNA(VLOOKUP($B70,'B-1 On-Site Hedge Baseline'!$B$1:$U$257,13,FALSE)),"",(VLOOKUP($B70,'B-1 On-Site Hedge Baseline'!$B$1:$U$257,13,FALSE))))</f>
        <v/>
      </c>
      <c r="L70" s="299" t="str">
        <f>IF(B70="","",IF(ISNA(VLOOKUP($B70,'B-1 On-Site Hedge Baseline'!$B$1:$U$257,12,FALSE)),"",(VLOOKUP($B70,'B-1 On-Site Hedge Baseline'!$B$1:$U$257,12,FALSE))))</f>
        <v/>
      </c>
      <c r="M70" s="611"/>
      <c r="N70" s="275" t="str">
        <f>IFERROR(IF(B70="","",INDEX('G-6 Hedgerow Data'!$AN$3:$AZ$15,MATCH(C70,'G-6 Hedgerow Data'!$AM$3:$AM$15,0),MATCH(M70,'G-6 Hedgerow Data'!$AN$2:$AZ$2,0))),"")</f>
        <v/>
      </c>
      <c r="O70" s="276" t="str">
        <f t="shared" si="1"/>
        <v/>
      </c>
      <c r="P70" s="329" t="str">
        <f>IF(B70="","",VLOOKUP(B70,'B-1 On-Site Hedge Baseline'!$B$10:T315,16,FALSE))</f>
        <v/>
      </c>
      <c r="Q70" s="275" t="str">
        <f>IF(M70="","",VLOOKUP(M70,'G-6 Hedgerow Data'!$B$2:$AG$15,2,FALSE))</f>
        <v/>
      </c>
      <c r="R70" s="276" t="str">
        <f>IF(M70="","",VLOOKUP(M70,'G-6 Hedgerow Data'!$B$2:$AG$15,3,FALSE))</f>
        <v/>
      </c>
      <c r="S70" s="108"/>
      <c r="T70" s="314" t="str">
        <f>IFERROR(IF(S70="","",IF(AND(M70="Non-native and ornamental hedgerow",S70&lt;&gt;"Poor"),"Not possible ▲",(VLOOKUP(S70,'G-1 All Habitats'!$Z$2:$AA$9,2,FALSE)))),"")</f>
        <v/>
      </c>
      <c r="U70" s="105"/>
      <c r="V70" s="295" t="str">
        <f>IF(U70="","",IF(VLOOKUP(U70,'G-3 Multipliers'!$L$3:$N$6,2,FALSE)=0,"Spatial Data Missing ⚠",VLOOKUP(U70,'G-3 Multipliers'!$L$3:$N$6,2,FALSE)))</f>
        <v/>
      </c>
      <c r="W70" s="299" t="str">
        <f>IF(U70="","",IF(VLOOKUP(U70,'G-3 Multipliers'!$L$3:$N$6,3,FALSE)=0,"Spatial Data Missing ⚠",VLOOKUP(U70,'G-3 Multipliers'!$L$3:$N$6,3,FALSE)))</f>
        <v/>
      </c>
      <c r="X70" s="275" t="str">
        <f>IFERROR(IF(OR(LEFT(O70,5)="Error",LEFT(N70,5)="Error",T70="Error"),"Check Data ⚠",IF(F70&lt;R70,INDEX('G-6 Hedgerow Data'!$S$3:$AE$14,MATCH(C70,'G-6 Hedgerow Data'!$B$3:$B$14,0),MATCH(M70,'G-6 Hedgerow Data'!$S$2:$AE$2,0)),INDEX('G-6 Hedgerow Data'!$K$3:$Q$14,MATCH(M70,'G-6 Hedgerow Data'!$B$3:$B$14,0),MATCH(O70,'G-6 Hedgerow Data'!$K$2:$Q$2,0)))),"")</f>
        <v/>
      </c>
      <c r="Y70" s="133"/>
      <c r="Z70" s="133"/>
      <c r="AA70" s="283" t="str">
        <f t="shared" si="2"/>
        <v/>
      </c>
      <c r="AB70" s="296" t="str">
        <f t="shared" si="3"/>
        <v/>
      </c>
      <c r="AC70" s="297" t="str">
        <f t="shared" si="0"/>
        <v/>
      </c>
      <c r="AD70" s="311" t="str">
        <f>IF(M70="","",VLOOKUP(M70,'G-6 Hedgerow Data'!$B$3:$AG$15,31,FALSE))</f>
        <v/>
      </c>
      <c r="AE70" s="283" t="str">
        <f t="shared" si="4"/>
        <v/>
      </c>
      <c r="AF70" s="283" t="str">
        <f t="shared" si="5"/>
        <v/>
      </c>
      <c r="AG70" s="299" t="str">
        <f>IFERROR(IF(O70="","",VLOOKUP(AD70,'G-3 Multipliers'!$P$3:$Q$6,2,FALSE)),"")</f>
        <v/>
      </c>
      <c r="AH70" s="289" t="str">
        <f t="shared" si="6"/>
        <v/>
      </c>
      <c r="AI70" s="108"/>
      <c r="AJ70" s="115"/>
      <c r="AK70" s="104"/>
      <c r="AT70" s="30" t="str">
        <f>IFERROR(INDEX('G-6 Hedgerow Data'!$BJ$3:$BJ$15,MATCH(M70,'G-6 Hedgerow Data'!$B$3:$B$15,0)),"")</f>
        <v/>
      </c>
    </row>
    <row r="71" spans="2:46" ht="14">
      <c r="B71" s="305" t="str">
        <f>'B-1 On-Site Hedge Baseline'!AK69</f>
        <v/>
      </c>
      <c r="C71" s="295" t="str">
        <f>IF(B71="","",IF(ISNA(VLOOKUP($B71,'B-1 On-Site Hedge Baseline'!$B$1:$L$257,3,FALSE)),"",(VLOOKUP($B71,'B-1 On-Site Hedge Baseline'!$B$1:$L$257,3,FALSE))))</f>
        <v/>
      </c>
      <c r="D71" s="295" t="str">
        <f>IF(B71="","",IF(ISNA(VLOOKUP($B71,'B-1 On-Site Hedge Baseline'!$B$1:$L$257,4,FALSE)),"",(VLOOKUP($B71,'B-1 On-Site Hedge Baseline'!$B$1:$L$257,4,FALSE))))</f>
        <v/>
      </c>
      <c r="E71" s="295" t="str">
        <f>IF(B71="","",IF(ISNA(VLOOKUP($B71,'B-1 On-Site Hedge Baseline'!$B$1:$L$257,5,FALSE)),"",(VLOOKUP($B71,'B-1 On-Site Hedge Baseline'!$B$1:$L$257,5,FALSE))))</f>
        <v/>
      </c>
      <c r="F71" s="295" t="str">
        <f>IF(B71="","",IF(ISNA(VLOOKUP($B71,'B-1 On-Site Hedge Baseline'!$B$1:$L$257,6,FALSE)),"",(VLOOKUP($B71,'B-1 On-Site Hedge Baseline'!$B$1:$L$257,6,FALSE))))</f>
        <v/>
      </c>
      <c r="G71" s="295" t="str">
        <f>IF(B71="","",IF(ISNA(VLOOKUP($B71,'B-1 On-Site Hedge Baseline'!$B$1:$L$257,7,FALSE)),"",(VLOOKUP($B71,'B-1 On-Site Hedge Baseline'!$B$1:$L$257,7,FALSE))))</f>
        <v/>
      </c>
      <c r="H71" s="295" t="str">
        <f>IF(B71="","",IF(ISNA(VLOOKUP($B71,'B-1 On-Site Hedge Baseline'!$B$1:$L$257,8,FALSE)),"",(VLOOKUP($B71,'B-1 On-Site Hedge Baseline'!$B$1:$L$257,8,FALSE))))</f>
        <v/>
      </c>
      <c r="I71" s="295" t="str">
        <f>IF(B71="","",IF(ISNA(VLOOKUP($B71,'B-1 On-Site Hedge Baseline'!$B$1:$L$257,10,FALSE)),"",(VLOOKUP($B71,'B-1 On-Site Hedge Baseline'!$B$1:$L$257,10,FALSE))))</f>
        <v/>
      </c>
      <c r="J71" s="295" t="str">
        <f>IF(B71="","",IF(ISNA(VLOOKUP($B71,'B-1 On-Site Hedge Baseline'!$B$1:$L$257,11,FALSE)),"",(VLOOKUP($B71,'B-1 On-Site Hedge Baseline'!$B$1:$L$257,11,FALSE))))</f>
        <v/>
      </c>
      <c r="K71" s="295" t="str">
        <f>IF(B71="","",IF(ISNA(VLOOKUP($B71,'B-1 On-Site Hedge Baseline'!$B$1:$U$257,13,FALSE)),"",(VLOOKUP($B71,'B-1 On-Site Hedge Baseline'!$B$1:$U$257,13,FALSE))))</f>
        <v/>
      </c>
      <c r="L71" s="299" t="str">
        <f>IF(B71="","",IF(ISNA(VLOOKUP($B71,'B-1 On-Site Hedge Baseline'!$B$1:$U$257,12,FALSE)),"",(VLOOKUP($B71,'B-1 On-Site Hedge Baseline'!$B$1:$U$257,12,FALSE))))</f>
        <v/>
      </c>
      <c r="M71" s="611"/>
      <c r="N71" s="275" t="str">
        <f>IFERROR(IF(B71="","",INDEX('G-6 Hedgerow Data'!$AN$3:$AZ$15,MATCH(C71,'G-6 Hedgerow Data'!$AM$3:$AM$15,0),MATCH(M71,'G-6 Hedgerow Data'!$AN$2:$AZ$2,0))),"")</f>
        <v/>
      </c>
      <c r="O71" s="276" t="str">
        <f t="shared" si="1"/>
        <v/>
      </c>
      <c r="P71" s="329" t="str">
        <f>IF(B71="","",VLOOKUP(B71,'B-1 On-Site Hedge Baseline'!$B$10:T316,16,FALSE))</f>
        <v/>
      </c>
      <c r="Q71" s="275" t="str">
        <f>IF(M71="","",VLOOKUP(M71,'G-6 Hedgerow Data'!$B$2:$AG$15,2,FALSE))</f>
        <v/>
      </c>
      <c r="R71" s="276" t="str">
        <f>IF(M71="","",VLOOKUP(M71,'G-6 Hedgerow Data'!$B$2:$AG$15,3,FALSE))</f>
        <v/>
      </c>
      <c r="S71" s="108"/>
      <c r="T71" s="314" t="str">
        <f>IFERROR(IF(S71="","",IF(AND(M71="Non-native and ornamental hedgerow",S71&lt;&gt;"Poor"),"Not possible ▲",(VLOOKUP(S71,'G-1 All Habitats'!$Z$2:$AA$9,2,FALSE)))),"")</f>
        <v/>
      </c>
      <c r="U71" s="105"/>
      <c r="V71" s="295" t="str">
        <f>IF(U71="","",IF(VLOOKUP(U71,'G-3 Multipliers'!$L$3:$N$6,2,FALSE)=0,"Spatial Data Missing ⚠",VLOOKUP(U71,'G-3 Multipliers'!$L$3:$N$6,2,FALSE)))</f>
        <v/>
      </c>
      <c r="W71" s="299" t="str">
        <f>IF(U71="","",IF(VLOOKUP(U71,'G-3 Multipliers'!$L$3:$N$6,3,FALSE)=0,"Spatial Data Missing ⚠",VLOOKUP(U71,'G-3 Multipliers'!$L$3:$N$6,3,FALSE)))</f>
        <v/>
      </c>
      <c r="X71" s="275" t="str">
        <f>IFERROR(IF(OR(LEFT(O71,5)="Error",LEFT(N71,5)="Error",T71="Error"),"Check Data ⚠",IF(F71&lt;R71,INDEX('G-6 Hedgerow Data'!$S$3:$AE$14,MATCH(C71,'G-6 Hedgerow Data'!$B$3:$B$14,0),MATCH(M71,'G-6 Hedgerow Data'!$S$2:$AE$2,0)),INDEX('G-6 Hedgerow Data'!$K$3:$Q$14,MATCH(M71,'G-6 Hedgerow Data'!$B$3:$B$14,0),MATCH(O71,'G-6 Hedgerow Data'!$K$2:$Q$2,0)))),"")</f>
        <v/>
      </c>
      <c r="Y71" s="133"/>
      <c r="Z71" s="133"/>
      <c r="AA71" s="283" t="str">
        <f t="shared" si="2"/>
        <v/>
      </c>
      <c r="AB71" s="296" t="str">
        <f t="shared" si="3"/>
        <v/>
      </c>
      <c r="AC71" s="297" t="str">
        <f t="shared" si="0"/>
        <v/>
      </c>
      <c r="AD71" s="311" t="str">
        <f>IF(M71="","",VLOOKUP(M71,'G-6 Hedgerow Data'!$B$3:$AG$15,31,FALSE))</f>
        <v/>
      </c>
      <c r="AE71" s="283" t="str">
        <f t="shared" si="4"/>
        <v/>
      </c>
      <c r="AF71" s="283" t="str">
        <f t="shared" si="5"/>
        <v/>
      </c>
      <c r="AG71" s="299" t="str">
        <f>IFERROR(IF(O71="","",VLOOKUP(AD71,'G-3 Multipliers'!$P$3:$Q$6,2,FALSE)),"")</f>
        <v/>
      </c>
      <c r="AH71" s="289" t="str">
        <f t="shared" si="6"/>
        <v/>
      </c>
      <c r="AI71" s="108"/>
      <c r="AJ71" s="115"/>
      <c r="AK71" s="104"/>
      <c r="AT71" s="30" t="str">
        <f>IFERROR(INDEX('G-6 Hedgerow Data'!$BJ$3:$BJ$15,MATCH(M71,'G-6 Hedgerow Data'!$B$3:$B$15,0)),"")</f>
        <v/>
      </c>
    </row>
    <row r="72" spans="2:46" ht="14">
      <c r="B72" s="305" t="str">
        <f>'B-1 On-Site Hedge Baseline'!AK70</f>
        <v/>
      </c>
      <c r="C72" s="295" t="str">
        <f>IF(B72="","",IF(ISNA(VLOOKUP($B72,'B-1 On-Site Hedge Baseline'!$B$1:$L$257,3,FALSE)),"",(VLOOKUP($B72,'B-1 On-Site Hedge Baseline'!$B$1:$L$257,3,FALSE))))</f>
        <v/>
      </c>
      <c r="D72" s="295" t="str">
        <f>IF(B72="","",IF(ISNA(VLOOKUP($B72,'B-1 On-Site Hedge Baseline'!$B$1:$L$257,4,FALSE)),"",(VLOOKUP($B72,'B-1 On-Site Hedge Baseline'!$B$1:$L$257,4,FALSE))))</f>
        <v/>
      </c>
      <c r="E72" s="295" t="str">
        <f>IF(B72="","",IF(ISNA(VLOOKUP($B72,'B-1 On-Site Hedge Baseline'!$B$1:$L$257,5,FALSE)),"",(VLOOKUP($B72,'B-1 On-Site Hedge Baseline'!$B$1:$L$257,5,FALSE))))</f>
        <v/>
      </c>
      <c r="F72" s="295" t="str">
        <f>IF(B72="","",IF(ISNA(VLOOKUP($B72,'B-1 On-Site Hedge Baseline'!$B$1:$L$257,6,FALSE)),"",(VLOOKUP($B72,'B-1 On-Site Hedge Baseline'!$B$1:$L$257,6,FALSE))))</f>
        <v/>
      </c>
      <c r="G72" s="295" t="str">
        <f>IF(B72="","",IF(ISNA(VLOOKUP($B72,'B-1 On-Site Hedge Baseline'!$B$1:$L$257,7,FALSE)),"",(VLOOKUP($B72,'B-1 On-Site Hedge Baseline'!$B$1:$L$257,7,FALSE))))</f>
        <v/>
      </c>
      <c r="H72" s="295" t="str">
        <f>IF(B72="","",IF(ISNA(VLOOKUP($B72,'B-1 On-Site Hedge Baseline'!$B$1:$L$257,8,FALSE)),"",(VLOOKUP($B72,'B-1 On-Site Hedge Baseline'!$B$1:$L$257,8,FALSE))))</f>
        <v/>
      </c>
      <c r="I72" s="295" t="str">
        <f>IF(B72="","",IF(ISNA(VLOOKUP($B72,'B-1 On-Site Hedge Baseline'!$B$1:$L$257,10,FALSE)),"",(VLOOKUP($B72,'B-1 On-Site Hedge Baseline'!$B$1:$L$257,10,FALSE))))</f>
        <v/>
      </c>
      <c r="J72" s="295" t="str">
        <f>IF(B72="","",IF(ISNA(VLOOKUP($B72,'B-1 On-Site Hedge Baseline'!$B$1:$L$257,11,FALSE)),"",(VLOOKUP($B72,'B-1 On-Site Hedge Baseline'!$B$1:$L$257,11,FALSE))))</f>
        <v/>
      </c>
      <c r="K72" s="295" t="str">
        <f>IF(B72="","",IF(ISNA(VLOOKUP($B72,'B-1 On-Site Hedge Baseline'!$B$1:$U$257,13,FALSE)),"",(VLOOKUP($B72,'B-1 On-Site Hedge Baseline'!$B$1:$U$257,13,FALSE))))</f>
        <v/>
      </c>
      <c r="L72" s="299" t="str">
        <f>IF(B72="","",IF(ISNA(VLOOKUP($B72,'B-1 On-Site Hedge Baseline'!$B$1:$U$257,12,FALSE)),"",(VLOOKUP($B72,'B-1 On-Site Hedge Baseline'!$B$1:$U$257,12,FALSE))))</f>
        <v/>
      </c>
      <c r="M72" s="611"/>
      <c r="N72" s="275" t="str">
        <f>IFERROR(IF(B72="","",INDEX('G-6 Hedgerow Data'!$AN$3:$AZ$15,MATCH(C72,'G-6 Hedgerow Data'!$AM$3:$AM$15,0),MATCH(M72,'G-6 Hedgerow Data'!$AN$2:$AZ$2,0))),"")</f>
        <v/>
      </c>
      <c r="O72" s="276" t="str">
        <f t="shared" si="1"/>
        <v/>
      </c>
      <c r="P72" s="329" t="str">
        <f>IF(B72="","",VLOOKUP(B72,'B-1 On-Site Hedge Baseline'!$B$10:T317,16,FALSE))</f>
        <v/>
      </c>
      <c r="Q72" s="275" t="str">
        <f>IF(M72="","",VLOOKUP(M72,'G-6 Hedgerow Data'!$B$2:$AG$15,2,FALSE))</f>
        <v/>
      </c>
      <c r="R72" s="276" t="str">
        <f>IF(M72="","",VLOOKUP(M72,'G-6 Hedgerow Data'!$B$2:$AG$15,3,FALSE))</f>
        <v/>
      </c>
      <c r="S72" s="108"/>
      <c r="T72" s="314" t="str">
        <f>IFERROR(IF(S72="","",IF(AND(M72="Non-native and ornamental hedgerow",S72&lt;&gt;"Poor"),"Not possible ▲",(VLOOKUP(S72,'G-1 All Habitats'!$Z$2:$AA$9,2,FALSE)))),"")</f>
        <v/>
      </c>
      <c r="U72" s="105"/>
      <c r="V72" s="295" t="str">
        <f>IF(U72="","",IF(VLOOKUP(U72,'G-3 Multipliers'!$L$3:$N$6,2,FALSE)=0,"Spatial Data Missing ⚠",VLOOKUP(U72,'G-3 Multipliers'!$L$3:$N$6,2,FALSE)))</f>
        <v/>
      </c>
      <c r="W72" s="299" t="str">
        <f>IF(U72="","",IF(VLOOKUP(U72,'G-3 Multipliers'!$L$3:$N$6,3,FALSE)=0,"Spatial Data Missing ⚠",VLOOKUP(U72,'G-3 Multipliers'!$L$3:$N$6,3,FALSE)))</f>
        <v/>
      </c>
      <c r="X72" s="275" t="str">
        <f>IFERROR(IF(OR(LEFT(O72,5)="Error",LEFT(N72,5)="Error",T72="Error"),"Check Data ⚠",IF(F72&lt;R72,INDEX('G-6 Hedgerow Data'!$S$3:$AE$14,MATCH(C72,'G-6 Hedgerow Data'!$B$3:$B$14,0),MATCH(M72,'G-6 Hedgerow Data'!$S$2:$AE$2,0)),INDEX('G-6 Hedgerow Data'!$K$3:$Q$14,MATCH(M72,'G-6 Hedgerow Data'!$B$3:$B$14,0),MATCH(O72,'G-6 Hedgerow Data'!$K$2:$Q$2,0)))),"")</f>
        <v/>
      </c>
      <c r="Y72" s="133"/>
      <c r="Z72" s="133"/>
      <c r="AA72" s="283" t="str">
        <f t="shared" si="2"/>
        <v/>
      </c>
      <c r="AB72" s="296" t="str">
        <f t="shared" si="3"/>
        <v/>
      </c>
      <c r="AC72" s="297" t="str">
        <f t="shared" si="0"/>
        <v/>
      </c>
      <c r="AD72" s="311" t="str">
        <f>IF(M72="","",VLOOKUP(M72,'G-6 Hedgerow Data'!$B$3:$AG$15,31,FALSE))</f>
        <v/>
      </c>
      <c r="AE72" s="283" t="str">
        <f t="shared" si="4"/>
        <v/>
      </c>
      <c r="AF72" s="283" t="str">
        <f t="shared" si="5"/>
        <v/>
      </c>
      <c r="AG72" s="299" t="str">
        <f>IFERROR(IF(O72="","",VLOOKUP(AD72,'G-3 Multipliers'!$P$3:$Q$6,2,FALSE)),"")</f>
        <v/>
      </c>
      <c r="AH72" s="289" t="str">
        <f t="shared" si="6"/>
        <v/>
      </c>
      <c r="AI72" s="108"/>
      <c r="AJ72" s="115"/>
      <c r="AK72" s="104"/>
      <c r="AT72" s="30" t="str">
        <f>IFERROR(INDEX('G-6 Hedgerow Data'!$BJ$3:$BJ$15,MATCH(M72,'G-6 Hedgerow Data'!$B$3:$B$15,0)),"")</f>
        <v/>
      </c>
    </row>
    <row r="73" spans="2:46" ht="14">
      <c r="B73" s="305" t="str">
        <f>'B-1 On-Site Hedge Baseline'!AK71</f>
        <v/>
      </c>
      <c r="C73" s="295" t="str">
        <f>IF(B73="","",IF(ISNA(VLOOKUP($B73,'B-1 On-Site Hedge Baseline'!$B$1:$L$257,3,FALSE)),"",(VLOOKUP($B73,'B-1 On-Site Hedge Baseline'!$B$1:$L$257,3,FALSE))))</f>
        <v/>
      </c>
      <c r="D73" s="295" t="str">
        <f>IF(B73="","",IF(ISNA(VLOOKUP($B73,'B-1 On-Site Hedge Baseline'!$B$1:$L$257,4,FALSE)),"",(VLOOKUP($B73,'B-1 On-Site Hedge Baseline'!$B$1:$L$257,4,FALSE))))</f>
        <v/>
      </c>
      <c r="E73" s="295" t="str">
        <f>IF(B73="","",IF(ISNA(VLOOKUP($B73,'B-1 On-Site Hedge Baseline'!$B$1:$L$257,5,FALSE)),"",(VLOOKUP($B73,'B-1 On-Site Hedge Baseline'!$B$1:$L$257,5,FALSE))))</f>
        <v/>
      </c>
      <c r="F73" s="295" t="str">
        <f>IF(B73="","",IF(ISNA(VLOOKUP($B73,'B-1 On-Site Hedge Baseline'!$B$1:$L$257,6,FALSE)),"",(VLOOKUP($B73,'B-1 On-Site Hedge Baseline'!$B$1:$L$257,6,FALSE))))</f>
        <v/>
      </c>
      <c r="G73" s="295" t="str">
        <f>IF(B73="","",IF(ISNA(VLOOKUP($B73,'B-1 On-Site Hedge Baseline'!$B$1:$L$257,7,FALSE)),"",(VLOOKUP($B73,'B-1 On-Site Hedge Baseline'!$B$1:$L$257,7,FALSE))))</f>
        <v/>
      </c>
      <c r="H73" s="295" t="str">
        <f>IF(B73="","",IF(ISNA(VLOOKUP($B73,'B-1 On-Site Hedge Baseline'!$B$1:$L$257,8,FALSE)),"",(VLOOKUP($B73,'B-1 On-Site Hedge Baseline'!$B$1:$L$257,8,FALSE))))</f>
        <v/>
      </c>
      <c r="I73" s="295" t="str">
        <f>IF(B73="","",IF(ISNA(VLOOKUP($B73,'B-1 On-Site Hedge Baseline'!$B$1:$L$257,10,FALSE)),"",(VLOOKUP($B73,'B-1 On-Site Hedge Baseline'!$B$1:$L$257,10,FALSE))))</f>
        <v/>
      </c>
      <c r="J73" s="295" t="str">
        <f>IF(B73="","",IF(ISNA(VLOOKUP($B73,'B-1 On-Site Hedge Baseline'!$B$1:$L$257,11,FALSE)),"",(VLOOKUP($B73,'B-1 On-Site Hedge Baseline'!$B$1:$L$257,11,FALSE))))</f>
        <v/>
      </c>
      <c r="K73" s="295" t="str">
        <f>IF(B73="","",IF(ISNA(VLOOKUP($B73,'B-1 On-Site Hedge Baseline'!$B$1:$U$257,13,FALSE)),"",(VLOOKUP($B73,'B-1 On-Site Hedge Baseline'!$B$1:$U$257,13,FALSE))))</f>
        <v/>
      </c>
      <c r="L73" s="299" t="str">
        <f>IF(B73="","",IF(ISNA(VLOOKUP($B73,'B-1 On-Site Hedge Baseline'!$B$1:$U$257,12,FALSE)),"",(VLOOKUP($B73,'B-1 On-Site Hedge Baseline'!$B$1:$U$257,12,FALSE))))</f>
        <v/>
      </c>
      <c r="M73" s="611"/>
      <c r="N73" s="275" t="str">
        <f>IFERROR(IF(B73="","",INDEX('G-6 Hedgerow Data'!$AN$3:$AZ$15,MATCH(C73,'G-6 Hedgerow Data'!$AM$3:$AM$15,0),MATCH(M73,'G-6 Hedgerow Data'!$AN$2:$AZ$2,0))),"")</f>
        <v/>
      </c>
      <c r="O73" s="276" t="str">
        <f t="shared" si="1"/>
        <v/>
      </c>
      <c r="P73" s="329" t="str">
        <f>IF(B73="","",VLOOKUP(B73,'B-1 On-Site Hedge Baseline'!$B$10:T318,16,FALSE))</f>
        <v/>
      </c>
      <c r="Q73" s="275" t="str">
        <f>IF(M73="","",VLOOKUP(M73,'G-6 Hedgerow Data'!$B$2:$AG$15,2,FALSE))</f>
        <v/>
      </c>
      <c r="R73" s="276" t="str">
        <f>IF(M73="","",VLOOKUP(M73,'G-6 Hedgerow Data'!$B$2:$AG$15,3,FALSE))</f>
        <v/>
      </c>
      <c r="S73" s="108"/>
      <c r="T73" s="314" t="str">
        <f>IFERROR(IF(S73="","",IF(AND(M73="Non-native and ornamental hedgerow",S73&lt;&gt;"Poor"),"Not possible ▲",(VLOOKUP(S73,'G-1 All Habitats'!$Z$2:$AA$9,2,FALSE)))),"")</f>
        <v/>
      </c>
      <c r="U73" s="105"/>
      <c r="V73" s="295" t="str">
        <f>IF(U73="","",IF(VLOOKUP(U73,'G-3 Multipliers'!$L$3:$N$6,2,FALSE)=0,"Spatial Data Missing ⚠",VLOOKUP(U73,'G-3 Multipliers'!$L$3:$N$6,2,FALSE)))</f>
        <v/>
      </c>
      <c r="W73" s="299" t="str">
        <f>IF(U73="","",IF(VLOOKUP(U73,'G-3 Multipliers'!$L$3:$N$6,3,FALSE)=0,"Spatial Data Missing ⚠",VLOOKUP(U73,'G-3 Multipliers'!$L$3:$N$6,3,FALSE)))</f>
        <v/>
      </c>
      <c r="X73" s="275" t="str">
        <f>IFERROR(IF(OR(LEFT(O73,5)="Error",LEFT(N73,5)="Error",T73="Error"),"Check Data ⚠",IF(F73&lt;R73,INDEX('G-6 Hedgerow Data'!$S$3:$AE$14,MATCH(C73,'G-6 Hedgerow Data'!$B$3:$B$14,0),MATCH(M73,'G-6 Hedgerow Data'!$S$2:$AE$2,0)),INDEX('G-6 Hedgerow Data'!$K$3:$Q$14,MATCH(M73,'G-6 Hedgerow Data'!$B$3:$B$14,0),MATCH(O73,'G-6 Hedgerow Data'!$K$2:$Q$2,0)))),"")</f>
        <v/>
      </c>
      <c r="Y73" s="133"/>
      <c r="Z73" s="133"/>
      <c r="AA73" s="283" t="str">
        <f t="shared" si="2"/>
        <v/>
      </c>
      <c r="AB73" s="296" t="str">
        <f t="shared" si="3"/>
        <v/>
      </c>
      <c r="AC73" s="297" t="str">
        <f t="shared" si="0"/>
        <v/>
      </c>
      <c r="AD73" s="311" t="str">
        <f>IF(M73="","",VLOOKUP(M73,'G-6 Hedgerow Data'!$B$3:$AG$15,31,FALSE))</f>
        <v/>
      </c>
      <c r="AE73" s="283" t="str">
        <f t="shared" si="4"/>
        <v/>
      </c>
      <c r="AF73" s="283" t="str">
        <f t="shared" si="5"/>
        <v/>
      </c>
      <c r="AG73" s="299" t="str">
        <f>IFERROR(IF(O73="","",VLOOKUP(AD73,'G-3 Multipliers'!$P$3:$Q$6,2,FALSE)),"")</f>
        <v/>
      </c>
      <c r="AH73" s="289" t="str">
        <f t="shared" si="6"/>
        <v/>
      </c>
      <c r="AI73" s="108"/>
      <c r="AJ73" s="115"/>
      <c r="AK73" s="104"/>
      <c r="AT73" s="30" t="str">
        <f>IFERROR(INDEX('G-6 Hedgerow Data'!$BJ$3:$BJ$15,MATCH(M73,'G-6 Hedgerow Data'!$B$3:$B$15,0)),"")</f>
        <v/>
      </c>
    </row>
    <row r="74" spans="2:46" ht="14">
      <c r="B74" s="305" t="str">
        <f>'B-1 On-Site Hedge Baseline'!AK72</f>
        <v/>
      </c>
      <c r="C74" s="295" t="str">
        <f>IF(B74="","",IF(ISNA(VLOOKUP($B74,'B-1 On-Site Hedge Baseline'!$B$1:$L$257,3,FALSE)),"",(VLOOKUP($B74,'B-1 On-Site Hedge Baseline'!$B$1:$L$257,3,FALSE))))</f>
        <v/>
      </c>
      <c r="D74" s="295" t="str">
        <f>IF(B74="","",IF(ISNA(VLOOKUP($B74,'B-1 On-Site Hedge Baseline'!$B$1:$L$257,4,FALSE)),"",(VLOOKUP($B74,'B-1 On-Site Hedge Baseline'!$B$1:$L$257,4,FALSE))))</f>
        <v/>
      </c>
      <c r="E74" s="295" t="str">
        <f>IF(B74="","",IF(ISNA(VLOOKUP($B74,'B-1 On-Site Hedge Baseline'!$B$1:$L$257,5,FALSE)),"",(VLOOKUP($B74,'B-1 On-Site Hedge Baseline'!$B$1:$L$257,5,FALSE))))</f>
        <v/>
      </c>
      <c r="F74" s="295" t="str">
        <f>IF(B74="","",IF(ISNA(VLOOKUP($B74,'B-1 On-Site Hedge Baseline'!$B$1:$L$257,6,FALSE)),"",(VLOOKUP($B74,'B-1 On-Site Hedge Baseline'!$B$1:$L$257,6,FALSE))))</f>
        <v/>
      </c>
      <c r="G74" s="295" t="str">
        <f>IF(B74="","",IF(ISNA(VLOOKUP($B74,'B-1 On-Site Hedge Baseline'!$B$1:$L$257,7,FALSE)),"",(VLOOKUP($B74,'B-1 On-Site Hedge Baseline'!$B$1:$L$257,7,FALSE))))</f>
        <v/>
      </c>
      <c r="H74" s="295" t="str">
        <f>IF(B74="","",IF(ISNA(VLOOKUP($B74,'B-1 On-Site Hedge Baseline'!$B$1:$L$257,8,FALSE)),"",(VLOOKUP($B74,'B-1 On-Site Hedge Baseline'!$B$1:$L$257,8,FALSE))))</f>
        <v/>
      </c>
      <c r="I74" s="295" t="str">
        <f>IF(B74="","",IF(ISNA(VLOOKUP($B74,'B-1 On-Site Hedge Baseline'!$B$1:$L$257,10,FALSE)),"",(VLOOKUP($B74,'B-1 On-Site Hedge Baseline'!$B$1:$L$257,10,FALSE))))</f>
        <v/>
      </c>
      <c r="J74" s="295" t="str">
        <f>IF(B74="","",IF(ISNA(VLOOKUP($B74,'B-1 On-Site Hedge Baseline'!$B$1:$L$257,11,FALSE)),"",(VLOOKUP($B74,'B-1 On-Site Hedge Baseline'!$B$1:$L$257,11,FALSE))))</f>
        <v/>
      </c>
      <c r="K74" s="295" t="str">
        <f>IF(B74="","",IF(ISNA(VLOOKUP($B74,'B-1 On-Site Hedge Baseline'!$B$1:$U$257,13,FALSE)),"",(VLOOKUP($B74,'B-1 On-Site Hedge Baseline'!$B$1:$U$257,13,FALSE))))</f>
        <v/>
      </c>
      <c r="L74" s="299" t="str">
        <f>IF(B74="","",IF(ISNA(VLOOKUP($B74,'B-1 On-Site Hedge Baseline'!$B$1:$U$257,12,FALSE)),"",(VLOOKUP($B74,'B-1 On-Site Hedge Baseline'!$B$1:$U$257,12,FALSE))))</f>
        <v/>
      </c>
      <c r="M74" s="611"/>
      <c r="N74" s="275" t="str">
        <f>IFERROR(IF(B74="","",INDEX('G-6 Hedgerow Data'!$AN$3:$AZ$15,MATCH(C74,'G-6 Hedgerow Data'!$AM$3:$AM$15,0),MATCH(M74,'G-6 Hedgerow Data'!$AN$2:$AZ$2,0))),"")</f>
        <v/>
      </c>
      <c r="O74" s="276" t="str">
        <f t="shared" si="1"/>
        <v/>
      </c>
      <c r="P74" s="329" t="str">
        <f>IF(B74="","",VLOOKUP(B74,'B-1 On-Site Hedge Baseline'!$B$10:T319,16,FALSE))</f>
        <v/>
      </c>
      <c r="Q74" s="275" t="str">
        <f>IF(M74="","",VLOOKUP(M74,'G-6 Hedgerow Data'!$B$2:$AG$15,2,FALSE))</f>
        <v/>
      </c>
      <c r="R74" s="276" t="str">
        <f>IF(M74="","",VLOOKUP(M74,'G-6 Hedgerow Data'!$B$2:$AG$15,3,FALSE))</f>
        <v/>
      </c>
      <c r="S74" s="108"/>
      <c r="T74" s="314" t="str">
        <f>IFERROR(IF(S74="","",IF(AND(M74="Non-native and ornamental hedgerow",S74&lt;&gt;"Poor"),"Not possible ▲",(VLOOKUP(S74,'G-1 All Habitats'!$Z$2:$AA$9,2,FALSE)))),"")</f>
        <v/>
      </c>
      <c r="U74" s="105"/>
      <c r="V74" s="295" t="str">
        <f>IF(U74="","",IF(VLOOKUP(U74,'G-3 Multipliers'!$L$3:$N$6,2,FALSE)=0,"Spatial Data Missing ⚠",VLOOKUP(U74,'G-3 Multipliers'!$L$3:$N$6,2,FALSE)))</f>
        <v/>
      </c>
      <c r="W74" s="299" t="str">
        <f>IF(U74="","",IF(VLOOKUP(U74,'G-3 Multipliers'!$L$3:$N$6,3,FALSE)=0,"Spatial Data Missing ⚠",VLOOKUP(U74,'G-3 Multipliers'!$L$3:$N$6,3,FALSE)))</f>
        <v/>
      </c>
      <c r="X74" s="275" t="str">
        <f>IFERROR(IF(OR(LEFT(O74,5)="Error",LEFT(N74,5)="Error",T74="Error"),"Check Data ⚠",IF(F74&lt;R74,INDEX('G-6 Hedgerow Data'!$S$3:$AE$14,MATCH(C74,'G-6 Hedgerow Data'!$B$3:$B$14,0),MATCH(M74,'G-6 Hedgerow Data'!$S$2:$AE$2,0)),INDEX('G-6 Hedgerow Data'!$K$3:$Q$14,MATCH(M74,'G-6 Hedgerow Data'!$B$3:$B$14,0),MATCH(O74,'G-6 Hedgerow Data'!$K$2:$Q$2,0)))),"")</f>
        <v/>
      </c>
      <c r="Y74" s="133"/>
      <c r="Z74" s="133"/>
      <c r="AA74" s="283" t="str">
        <f t="shared" si="2"/>
        <v/>
      </c>
      <c r="AB74" s="296" t="str">
        <f t="shared" si="3"/>
        <v/>
      </c>
      <c r="AC74" s="297" t="str">
        <f t="shared" si="0"/>
        <v/>
      </c>
      <c r="AD74" s="311" t="str">
        <f>IF(M74="","",VLOOKUP(M74,'G-6 Hedgerow Data'!$B$3:$AG$15,31,FALSE))</f>
        <v/>
      </c>
      <c r="AE74" s="283" t="str">
        <f t="shared" si="4"/>
        <v/>
      </c>
      <c r="AF74" s="283" t="str">
        <f t="shared" si="5"/>
        <v/>
      </c>
      <c r="AG74" s="299" t="str">
        <f>IFERROR(IF(O74="","",VLOOKUP(AD74,'G-3 Multipliers'!$P$3:$Q$6,2,FALSE)),"")</f>
        <v/>
      </c>
      <c r="AH74" s="289" t="str">
        <f t="shared" si="6"/>
        <v/>
      </c>
      <c r="AI74" s="108"/>
      <c r="AJ74" s="115"/>
      <c r="AK74" s="104"/>
      <c r="AT74" s="30" t="str">
        <f>IFERROR(INDEX('G-6 Hedgerow Data'!$BJ$3:$BJ$15,MATCH(M74,'G-6 Hedgerow Data'!$B$3:$B$15,0)),"")</f>
        <v/>
      </c>
    </row>
    <row r="75" spans="2:46" ht="14">
      <c r="B75" s="305" t="str">
        <f>'B-1 On-Site Hedge Baseline'!AK73</f>
        <v/>
      </c>
      <c r="C75" s="295" t="str">
        <f>IF(B75="","",IF(ISNA(VLOOKUP($B75,'B-1 On-Site Hedge Baseline'!$B$1:$L$257,3,FALSE)),"",(VLOOKUP($B75,'B-1 On-Site Hedge Baseline'!$B$1:$L$257,3,FALSE))))</f>
        <v/>
      </c>
      <c r="D75" s="295" t="str">
        <f>IF(B75="","",IF(ISNA(VLOOKUP($B75,'B-1 On-Site Hedge Baseline'!$B$1:$L$257,4,FALSE)),"",(VLOOKUP($B75,'B-1 On-Site Hedge Baseline'!$B$1:$L$257,4,FALSE))))</f>
        <v/>
      </c>
      <c r="E75" s="295" t="str">
        <f>IF(B75="","",IF(ISNA(VLOOKUP($B75,'B-1 On-Site Hedge Baseline'!$B$1:$L$257,5,FALSE)),"",(VLOOKUP($B75,'B-1 On-Site Hedge Baseline'!$B$1:$L$257,5,FALSE))))</f>
        <v/>
      </c>
      <c r="F75" s="295" t="str">
        <f>IF(B75="","",IF(ISNA(VLOOKUP($B75,'B-1 On-Site Hedge Baseline'!$B$1:$L$257,6,FALSE)),"",(VLOOKUP($B75,'B-1 On-Site Hedge Baseline'!$B$1:$L$257,6,FALSE))))</f>
        <v/>
      </c>
      <c r="G75" s="295" t="str">
        <f>IF(B75="","",IF(ISNA(VLOOKUP($B75,'B-1 On-Site Hedge Baseline'!$B$1:$L$257,7,FALSE)),"",(VLOOKUP($B75,'B-1 On-Site Hedge Baseline'!$B$1:$L$257,7,FALSE))))</f>
        <v/>
      </c>
      <c r="H75" s="295" t="str">
        <f>IF(B75="","",IF(ISNA(VLOOKUP($B75,'B-1 On-Site Hedge Baseline'!$B$1:$L$257,8,FALSE)),"",(VLOOKUP($B75,'B-1 On-Site Hedge Baseline'!$B$1:$L$257,8,FALSE))))</f>
        <v/>
      </c>
      <c r="I75" s="295" t="str">
        <f>IF(B75="","",IF(ISNA(VLOOKUP($B75,'B-1 On-Site Hedge Baseline'!$B$1:$L$257,10,FALSE)),"",(VLOOKUP($B75,'B-1 On-Site Hedge Baseline'!$B$1:$L$257,10,FALSE))))</f>
        <v/>
      </c>
      <c r="J75" s="295" t="str">
        <f>IF(B75="","",IF(ISNA(VLOOKUP($B75,'B-1 On-Site Hedge Baseline'!$B$1:$L$257,11,FALSE)),"",(VLOOKUP($B75,'B-1 On-Site Hedge Baseline'!$B$1:$L$257,11,FALSE))))</f>
        <v/>
      </c>
      <c r="K75" s="295" t="str">
        <f>IF(B75="","",IF(ISNA(VLOOKUP($B75,'B-1 On-Site Hedge Baseline'!$B$1:$U$257,13,FALSE)),"",(VLOOKUP($B75,'B-1 On-Site Hedge Baseline'!$B$1:$U$257,13,FALSE))))</f>
        <v/>
      </c>
      <c r="L75" s="299" t="str">
        <f>IF(B75="","",IF(ISNA(VLOOKUP($B75,'B-1 On-Site Hedge Baseline'!$B$1:$U$257,12,FALSE)),"",(VLOOKUP($B75,'B-1 On-Site Hedge Baseline'!$B$1:$U$257,12,FALSE))))</f>
        <v/>
      </c>
      <c r="M75" s="611"/>
      <c r="N75" s="275" t="str">
        <f>IFERROR(IF(B75="","",INDEX('G-6 Hedgerow Data'!$AN$3:$AZ$15,MATCH(C75,'G-6 Hedgerow Data'!$AM$3:$AM$15,0),MATCH(M75,'G-6 Hedgerow Data'!$AN$2:$AZ$2,0))),"")</f>
        <v/>
      </c>
      <c r="O75" s="276" t="str">
        <f t="shared" si="1"/>
        <v/>
      </c>
      <c r="P75" s="329" t="str">
        <f>IF(B75="","",VLOOKUP(B75,'B-1 On-Site Hedge Baseline'!$B$10:T320,16,FALSE))</f>
        <v/>
      </c>
      <c r="Q75" s="275" t="str">
        <f>IF(M75="","",VLOOKUP(M75,'G-6 Hedgerow Data'!$B$2:$AG$15,2,FALSE))</f>
        <v/>
      </c>
      <c r="R75" s="276" t="str">
        <f>IF(M75="","",VLOOKUP(M75,'G-6 Hedgerow Data'!$B$2:$AG$15,3,FALSE))</f>
        <v/>
      </c>
      <c r="S75" s="108"/>
      <c r="T75" s="314" t="str">
        <f>IFERROR(IF(S75="","",IF(AND(M75="Non-native and ornamental hedgerow",S75&lt;&gt;"Poor"),"Not possible ▲",(VLOOKUP(S75,'G-1 All Habitats'!$Z$2:$AA$9,2,FALSE)))),"")</f>
        <v/>
      </c>
      <c r="U75" s="105"/>
      <c r="V75" s="295" t="str">
        <f>IF(U75="","",IF(VLOOKUP(U75,'G-3 Multipliers'!$L$3:$N$6,2,FALSE)=0,"Spatial Data Missing ⚠",VLOOKUP(U75,'G-3 Multipliers'!$L$3:$N$6,2,FALSE)))</f>
        <v/>
      </c>
      <c r="W75" s="299" t="str">
        <f>IF(U75="","",IF(VLOOKUP(U75,'G-3 Multipliers'!$L$3:$N$6,3,FALSE)=0,"Spatial Data Missing ⚠",VLOOKUP(U75,'G-3 Multipliers'!$L$3:$N$6,3,FALSE)))</f>
        <v/>
      </c>
      <c r="X75" s="275" t="str">
        <f>IFERROR(IF(OR(LEFT(O75,5)="Error",LEFT(N75,5)="Error",T75="Error"),"Check Data ⚠",IF(F75&lt;R75,INDEX('G-6 Hedgerow Data'!$S$3:$AE$14,MATCH(C75,'G-6 Hedgerow Data'!$B$3:$B$14,0),MATCH(M75,'G-6 Hedgerow Data'!$S$2:$AE$2,0)),INDEX('G-6 Hedgerow Data'!$K$3:$Q$14,MATCH(M75,'G-6 Hedgerow Data'!$B$3:$B$14,0),MATCH(O75,'G-6 Hedgerow Data'!$K$2:$Q$2,0)))),"")</f>
        <v/>
      </c>
      <c r="Y75" s="133"/>
      <c r="Z75" s="133"/>
      <c r="AA75" s="283" t="str">
        <f t="shared" si="2"/>
        <v/>
      </c>
      <c r="AB75" s="296" t="str">
        <f t="shared" si="3"/>
        <v/>
      </c>
      <c r="AC75" s="297" t="str">
        <f t="shared" si="0"/>
        <v/>
      </c>
      <c r="AD75" s="311" t="str">
        <f>IF(M75="","",VLOOKUP(M75,'G-6 Hedgerow Data'!$B$3:$AG$15,31,FALSE))</f>
        <v/>
      </c>
      <c r="AE75" s="283" t="str">
        <f t="shared" si="4"/>
        <v/>
      </c>
      <c r="AF75" s="283" t="str">
        <f t="shared" si="5"/>
        <v/>
      </c>
      <c r="AG75" s="299" t="str">
        <f>IFERROR(IF(O75="","",VLOOKUP(AD75,'G-3 Multipliers'!$P$3:$Q$6,2,FALSE)),"")</f>
        <v/>
      </c>
      <c r="AH75" s="289" t="str">
        <f t="shared" si="6"/>
        <v/>
      </c>
      <c r="AI75" s="108"/>
      <c r="AJ75" s="115"/>
      <c r="AK75" s="104"/>
      <c r="AT75" s="30" t="str">
        <f>IFERROR(INDEX('G-6 Hedgerow Data'!$BJ$3:$BJ$15,MATCH(M75,'G-6 Hedgerow Data'!$B$3:$B$15,0)),"")</f>
        <v/>
      </c>
    </row>
    <row r="76" spans="2:46" ht="14">
      <c r="B76" s="305" t="str">
        <f>'B-1 On-Site Hedge Baseline'!AK74</f>
        <v/>
      </c>
      <c r="C76" s="295" t="str">
        <f>IF(B76="","",IF(ISNA(VLOOKUP($B76,'B-1 On-Site Hedge Baseline'!$B$1:$L$257,3,FALSE)),"",(VLOOKUP($B76,'B-1 On-Site Hedge Baseline'!$B$1:$L$257,3,FALSE))))</f>
        <v/>
      </c>
      <c r="D76" s="295" t="str">
        <f>IF(B76="","",IF(ISNA(VLOOKUP($B76,'B-1 On-Site Hedge Baseline'!$B$1:$L$257,4,FALSE)),"",(VLOOKUP($B76,'B-1 On-Site Hedge Baseline'!$B$1:$L$257,4,FALSE))))</f>
        <v/>
      </c>
      <c r="E76" s="295" t="str">
        <f>IF(B76="","",IF(ISNA(VLOOKUP($B76,'B-1 On-Site Hedge Baseline'!$B$1:$L$257,5,FALSE)),"",(VLOOKUP($B76,'B-1 On-Site Hedge Baseline'!$B$1:$L$257,5,FALSE))))</f>
        <v/>
      </c>
      <c r="F76" s="295" t="str">
        <f>IF(B76="","",IF(ISNA(VLOOKUP($B76,'B-1 On-Site Hedge Baseline'!$B$1:$L$257,6,FALSE)),"",(VLOOKUP($B76,'B-1 On-Site Hedge Baseline'!$B$1:$L$257,6,FALSE))))</f>
        <v/>
      </c>
      <c r="G76" s="295" t="str">
        <f>IF(B76="","",IF(ISNA(VLOOKUP($B76,'B-1 On-Site Hedge Baseline'!$B$1:$L$257,7,FALSE)),"",(VLOOKUP($B76,'B-1 On-Site Hedge Baseline'!$B$1:$L$257,7,FALSE))))</f>
        <v/>
      </c>
      <c r="H76" s="295" t="str">
        <f>IF(B76="","",IF(ISNA(VLOOKUP($B76,'B-1 On-Site Hedge Baseline'!$B$1:$L$257,8,FALSE)),"",(VLOOKUP($B76,'B-1 On-Site Hedge Baseline'!$B$1:$L$257,8,FALSE))))</f>
        <v/>
      </c>
      <c r="I76" s="295" t="str">
        <f>IF(B76="","",IF(ISNA(VLOOKUP($B76,'B-1 On-Site Hedge Baseline'!$B$1:$L$257,10,FALSE)),"",(VLOOKUP($B76,'B-1 On-Site Hedge Baseline'!$B$1:$L$257,10,FALSE))))</f>
        <v/>
      </c>
      <c r="J76" s="295" t="str">
        <f>IF(B76="","",IF(ISNA(VLOOKUP($B76,'B-1 On-Site Hedge Baseline'!$B$1:$L$257,11,FALSE)),"",(VLOOKUP($B76,'B-1 On-Site Hedge Baseline'!$B$1:$L$257,11,FALSE))))</f>
        <v/>
      </c>
      <c r="K76" s="295" t="str">
        <f>IF(B76="","",IF(ISNA(VLOOKUP($B76,'B-1 On-Site Hedge Baseline'!$B$1:$U$257,13,FALSE)),"",(VLOOKUP($B76,'B-1 On-Site Hedge Baseline'!$B$1:$U$257,13,FALSE))))</f>
        <v/>
      </c>
      <c r="L76" s="299" t="str">
        <f>IF(B76="","",IF(ISNA(VLOOKUP($B76,'B-1 On-Site Hedge Baseline'!$B$1:$U$257,12,FALSE)),"",(VLOOKUP($B76,'B-1 On-Site Hedge Baseline'!$B$1:$U$257,12,FALSE))))</f>
        <v/>
      </c>
      <c r="M76" s="611"/>
      <c r="N76" s="275" t="str">
        <f>IFERROR(IF(B76="","",INDEX('G-6 Hedgerow Data'!$AN$3:$AZ$15,MATCH(C76,'G-6 Hedgerow Data'!$AM$3:$AM$15,0),MATCH(M76,'G-6 Hedgerow Data'!$AN$2:$AZ$2,0))),"")</f>
        <v/>
      </c>
      <c r="O76" s="276" t="str">
        <f t="shared" si="1"/>
        <v/>
      </c>
      <c r="P76" s="329" t="str">
        <f>IF(B76="","",VLOOKUP(B76,'B-1 On-Site Hedge Baseline'!$B$10:T321,16,FALSE))</f>
        <v/>
      </c>
      <c r="Q76" s="275" t="str">
        <f>IF(M76="","",VLOOKUP(M76,'G-6 Hedgerow Data'!$B$2:$AG$15,2,FALSE))</f>
        <v/>
      </c>
      <c r="R76" s="276" t="str">
        <f>IF(M76="","",VLOOKUP(M76,'G-6 Hedgerow Data'!$B$2:$AG$15,3,FALSE))</f>
        <v/>
      </c>
      <c r="S76" s="108"/>
      <c r="T76" s="314" t="str">
        <f>IFERROR(IF(S76="","",IF(AND(M76="Non-native and ornamental hedgerow",S76&lt;&gt;"Poor"),"Not possible ▲",(VLOOKUP(S76,'G-1 All Habitats'!$Z$2:$AA$9,2,FALSE)))),"")</f>
        <v/>
      </c>
      <c r="U76" s="105"/>
      <c r="V76" s="295" t="str">
        <f>IF(U76="","",IF(VLOOKUP(U76,'G-3 Multipliers'!$L$3:$N$6,2,FALSE)=0,"Spatial Data Missing ⚠",VLOOKUP(U76,'G-3 Multipliers'!$L$3:$N$6,2,FALSE)))</f>
        <v/>
      </c>
      <c r="W76" s="299" t="str">
        <f>IF(U76="","",IF(VLOOKUP(U76,'G-3 Multipliers'!$L$3:$N$6,3,FALSE)=0,"Spatial Data Missing ⚠",VLOOKUP(U76,'G-3 Multipliers'!$L$3:$N$6,3,FALSE)))</f>
        <v/>
      </c>
      <c r="X76" s="275" t="str">
        <f>IFERROR(IF(OR(LEFT(O76,5)="Error",LEFT(N76,5)="Error",T76="Error"),"Check Data ⚠",IF(F76&lt;R76,INDEX('G-6 Hedgerow Data'!$S$3:$AE$14,MATCH(C76,'G-6 Hedgerow Data'!$B$3:$B$14,0),MATCH(M76,'G-6 Hedgerow Data'!$S$2:$AE$2,0)),INDEX('G-6 Hedgerow Data'!$K$3:$Q$14,MATCH(M76,'G-6 Hedgerow Data'!$B$3:$B$14,0),MATCH(O76,'G-6 Hedgerow Data'!$K$2:$Q$2,0)))),"")</f>
        <v/>
      </c>
      <c r="Y76" s="133"/>
      <c r="Z76" s="133"/>
      <c r="AA76" s="283" t="str">
        <f t="shared" si="2"/>
        <v/>
      </c>
      <c r="AB76" s="296" t="str">
        <f t="shared" si="3"/>
        <v/>
      </c>
      <c r="AC76" s="297" t="str">
        <f t="shared" si="7" ref="AC76:AC139">IF(OR(S76="",M76=""),"",IF(LEFT(AB76,5)="Error ▲","Check Data ⚠",IF(AB76="Check Data ⚠","Check Data ⚠",VLOOKUP(AB76,TemporalMultipliers,3,FALSE))))</f>
        <v/>
      </c>
      <c r="AD76" s="311" t="str">
        <f>IF(M76="","",VLOOKUP(M76,'G-6 Hedgerow Data'!$B$3:$AG$15,31,FALSE))</f>
        <v/>
      </c>
      <c r="AE76" s="283" t="str">
        <f t="shared" si="4"/>
        <v/>
      </c>
      <c r="AF76" s="283" t="str">
        <f t="shared" si="5"/>
        <v/>
      </c>
      <c r="AG76" s="299" t="str">
        <f>IFERROR(IF(O76="","",VLOOKUP(AD76,'G-3 Multipliers'!$P$3:$Q$6,2,FALSE)),"")</f>
        <v/>
      </c>
      <c r="AH76" s="289" t="str">
        <f t="shared" si="6"/>
        <v/>
      </c>
      <c r="AI76" s="108"/>
      <c r="AJ76" s="115"/>
      <c r="AK76" s="104"/>
      <c r="AT76" s="30" t="str">
        <f>IFERROR(INDEX('G-6 Hedgerow Data'!$BJ$3:$BJ$15,MATCH(M76,'G-6 Hedgerow Data'!$B$3:$B$15,0)),"")</f>
        <v/>
      </c>
    </row>
    <row r="77" spans="2:46" ht="14">
      <c r="B77" s="305" t="str">
        <f>'B-1 On-Site Hedge Baseline'!AK75</f>
        <v/>
      </c>
      <c r="C77" s="295" t="str">
        <f>IF(B77="","",IF(ISNA(VLOOKUP($B77,'B-1 On-Site Hedge Baseline'!$B$1:$L$257,3,FALSE)),"",(VLOOKUP($B77,'B-1 On-Site Hedge Baseline'!$B$1:$L$257,3,FALSE))))</f>
        <v/>
      </c>
      <c r="D77" s="295" t="str">
        <f>IF(B77="","",IF(ISNA(VLOOKUP($B77,'B-1 On-Site Hedge Baseline'!$B$1:$L$257,4,FALSE)),"",(VLOOKUP($B77,'B-1 On-Site Hedge Baseline'!$B$1:$L$257,4,FALSE))))</f>
        <v/>
      </c>
      <c r="E77" s="295" t="str">
        <f>IF(B77="","",IF(ISNA(VLOOKUP($B77,'B-1 On-Site Hedge Baseline'!$B$1:$L$257,5,FALSE)),"",(VLOOKUP($B77,'B-1 On-Site Hedge Baseline'!$B$1:$L$257,5,FALSE))))</f>
        <v/>
      </c>
      <c r="F77" s="295" t="str">
        <f>IF(B77="","",IF(ISNA(VLOOKUP($B77,'B-1 On-Site Hedge Baseline'!$B$1:$L$257,6,FALSE)),"",(VLOOKUP($B77,'B-1 On-Site Hedge Baseline'!$B$1:$L$257,6,FALSE))))</f>
        <v/>
      </c>
      <c r="G77" s="295" t="str">
        <f>IF(B77="","",IF(ISNA(VLOOKUP($B77,'B-1 On-Site Hedge Baseline'!$B$1:$L$257,7,FALSE)),"",(VLOOKUP($B77,'B-1 On-Site Hedge Baseline'!$B$1:$L$257,7,FALSE))))</f>
        <v/>
      </c>
      <c r="H77" s="295" t="str">
        <f>IF(B77="","",IF(ISNA(VLOOKUP($B77,'B-1 On-Site Hedge Baseline'!$B$1:$L$257,8,FALSE)),"",(VLOOKUP($B77,'B-1 On-Site Hedge Baseline'!$B$1:$L$257,8,FALSE))))</f>
        <v/>
      </c>
      <c r="I77" s="295" t="str">
        <f>IF(B77="","",IF(ISNA(VLOOKUP($B77,'B-1 On-Site Hedge Baseline'!$B$1:$L$257,10,FALSE)),"",(VLOOKUP($B77,'B-1 On-Site Hedge Baseline'!$B$1:$L$257,10,FALSE))))</f>
        <v/>
      </c>
      <c r="J77" s="295" t="str">
        <f>IF(B77="","",IF(ISNA(VLOOKUP($B77,'B-1 On-Site Hedge Baseline'!$B$1:$L$257,11,FALSE)),"",(VLOOKUP($B77,'B-1 On-Site Hedge Baseline'!$B$1:$L$257,11,FALSE))))</f>
        <v/>
      </c>
      <c r="K77" s="295" t="str">
        <f>IF(B77="","",IF(ISNA(VLOOKUP($B77,'B-1 On-Site Hedge Baseline'!$B$1:$U$257,13,FALSE)),"",(VLOOKUP($B77,'B-1 On-Site Hedge Baseline'!$B$1:$U$257,13,FALSE))))</f>
        <v/>
      </c>
      <c r="L77" s="299" t="str">
        <f>IF(B77="","",IF(ISNA(VLOOKUP($B77,'B-1 On-Site Hedge Baseline'!$B$1:$U$257,12,FALSE)),"",(VLOOKUP($B77,'B-1 On-Site Hedge Baseline'!$B$1:$U$257,12,FALSE))))</f>
        <v/>
      </c>
      <c r="M77" s="611"/>
      <c r="N77" s="275" t="str">
        <f>IFERROR(IF(B77="","",INDEX('G-6 Hedgerow Data'!$AN$3:$AZ$15,MATCH(C77,'G-6 Hedgerow Data'!$AM$3:$AM$15,0),MATCH(M77,'G-6 Hedgerow Data'!$AN$2:$AZ$2,0))),"")</f>
        <v/>
      </c>
      <c r="O77" s="276" t="str">
        <f t="shared" si="8" ref="O77:O140">IFERROR(IF(B77="","",IF(AND(LEFT(C77,55)&lt;&gt;LEFT(M77,55),N77="High - High"),"Error - Not like for like ▲",IF(H77&gt;T77,"Error - Can not reduce condition ▲",IF(AND(F77=R77,H77=T77),"Error - No enhancement ▲",IF(AND(C77&lt;&gt;M77,F77&lt;R77),"Lower Distinctiveness Habitat"&amp;" - "&amp;S77,G77&amp;" - "&amp;S77))))),"")</f>
        <v/>
      </c>
      <c r="P77" s="329" t="str">
        <f>IF(B77="","",VLOOKUP(B77,'B-1 On-Site Hedge Baseline'!$B$10:T322,16,FALSE))</f>
        <v/>
      </c>
      <c r="Q77" s="275" t="str">
        <f>IF(M77="","",VLOOKUP(M77,'G-6 Hedgerow Data'!$B$2:$AG$15,2,FALSE))</f>
        <v/>
      </c>
      <c r="R77" s="276" t="str">
        <f>IF(M77="","",VLOOKUP(M77,'G-6 Hedgerow Data'!$B$2:$AG$15,3,FALSE))</f>
        <v/>
      </c>
      <c r="S77" s="108"/>
      <c r="T77" s="314" t="str">
        <f>IFERROR(IF(S77="","",IF(AND(M77="Non-native and ornamental hedgerow",S77&lt;&gt;"Poor"),"Not possible ▲",(VLOOKUP(S77,'G-1 All Habitats'!$Z$2:$AA$9,2,FALSE)))),"")</f>
        <v/>
      </c>
      <c r="U77" s="105"/>
      <c r="V77" s="295" t="str">
        <f>IF(U77="","",IF(VLOOKUP(U77,'G-3 Multipliers'!$L$3:$N$6,2,FALSE)=0,"Spatial Data Missing ⚠",VLOOKUP(U77,'G-3 Multipliers'!$L$3:$N$6,2,FALSE)))</f>
        <v/>
      </c>
      <c r="W77" s="299" t="str">
        <f>IF(U77="","",IF(VLOOKUP(U77,'G-3 Multipliers'!$L$3:$N$6,3,FALSE)=0,"Spatial Data Missing ⚠",VLOOKUP(U77,'G-3 Multipliers'!$L$3:$N$6,3,FALSE)))</f>
        <v/>
      </c>
      <c r="X77" s="275" t="str">
        <f>IFERROR(IF(OR(LEFT(O77,5)="Error",LEFT(N77,5)="Error",T77="Error"),"Check Data ⚠",IF(F77&lt;R77,INDEX('G-6 Hedgerow Data'!$S$3:$AE$14,MATCH(C77,'G-6 Hedgerow Data'!$B$3:$B$14,0),MATCH(M77,'G-6 Hedgerow Data'!$S$2:$AE$2,0)),INDEX('G-6 Hedgerow Data'!$K$3:$Q$14,MATCH(M77,'G-6 Hedgerow Data'!$B$3:$B$14,0),MATCH(O77,'G-6 Hedgerow Data'!$K$2:$Q$2,0)))),"")</f>
        <v/>
      </c>
      <c r="Y77" s="133"/>
      <c r="Z77" s="133"/>
      <c r="AA77" s="283" t="str">
        <f t="shared" si="9" ref="AA77:AA14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296" t="str">
        <f t="shared" si="10" ref="AB77:AB140">IF(X77="","",IF(AA77="Check Data ⚠","Check Data ⚠",IF(Y77="30+",0,IF(X77="Not possible ▲","Check Data ⚠",IF(Z77="30+","30+",IF(X77+Z77&gt;30,"30+",IF(AA77="Error -both advance and delayed habitat creation ▲","Check Data ⚠",IF(X77+Z77-Y77&gt;0,X77+Z77-Y77,IF(X77-Y77&lt;=0,0,)))))))))</f>
        <v/>
      </c>
      <c r="AC77" s="297" t="str">
        <f t="shared" si="7"/>
        <v/>
      </c>
      <c r="AD77" s="311" t="str">
        <f>IF(M77="","",VLOOKUP(M77,'G-6 Hedgerow Data'!$B$3:$AG$15,31,FALSE))</f>
        <v/>
      </c>
      <c r="AE77" s="283" t="str">
        <f t="shared" si="11" ref="AE77:AE140">IF(M77="","",IF(OR(LEFT(AA77,5)="Error ▲",AA77="Check Data ⚠"),"Check Data ⚠",IF(X77="","",IF($AA77="Check details - Is there evidence that habitat has reached target condition? ⚠","Low Difficulty - only applicable if all habitat created before losses ⚠","Standard difficulty applied"))))</f>
        <v/>
      </c>
      <c r="AF77" s="283" t="str">
        <f t="shared" si="12" ref="AF77:AF140">(IF(AND(AE77="Standard difficulty applied",X77&gt;Y77),AD77,IF(AB77="Check data ⚠","Check data ⚠",IF(AND(AE77="Low Difficulty - only applicable if all habitat created before losses ⚠",Y77&gt;=X77),"Low",AD77))))</f>
        <v/>
      </c>
      <c r="AG77" s="299" t="str">
        <f>IFERROR(IF(O77="","",VLOOKUP(AD77,'G-3 Multipliers'!$P$3:$Q$6,2,FALSE)),"")</f>
        <v/>
      </c>
      <c r="AH77" s="289" t="str">
        <f t="shared" si="13" ref="AH77:AH140">IFERROR(IF(K77="Check data ⚠","Check data ⚠",(IF(OR(M77="",S77="",U77=""),"",(((((P77*R77*T77)-(P77*F77*H77))*(AG77*AC77))+(P77*F77*H77))*(W77))))),"")</f>
        <v/>
      </c>
      <c r="AI77" s="108"/>
      <c r="AJ77" s="115"/>
      <c r="AK77" s="104"/>
      <c r="AT77" s="30" t="str">
        <f>IFERROR(INDEX('G-6 Hedgerow Data'!$BJ$3:$BJ$15,MATCH(M77,'G-6 Hedgerow Data'!$B$3:$B$15,0)),"")</f>
        <v/>
      </c>
    </row>
    <row r="78" spans="2:46" ht="14">
      <c r="B78" s="305" t="str">
        <f>'B-1 On-Site Hedge Baseline'!AK76</f>
        <v/>
      </c>
      <c r="C78" s="295" t="str">
        <f>IF(B78="","",IF(ISNA(VLOOKUP($B78,'B-1 On-Site Hedge Baseline'!$B$1:$L$257,3,FALSE)),"",(VLOOKUP($B78,'B-1 On-Site Hedge Baseline'!$B$1:$L$257,3,FALSE))))</f>
        <v/>
      </c>
      <c r="D78" s="295" t="str">
        <f>IF(B78="","",IF(ISNA(VLOOKUP($B78,'B-1 On-Site Hedge Baseline'!$B$1:$L$257,4,FALSE)),"",(VLOOKUP($B78,'B-1 On-Site Hedge Baseline'!$B$1:$L$257,4,FALSE))))</f>
        <v/>
      </c>
      <c r="E78" s="295" t="str">
        <f>IF(B78="","",IF(ISNA(VLOOKUP($B78,'B-1 On-Site Hedge Baseline'!$B$1:$L$257,5,FALSE)),"",(VLOOKUP($B78,'B-1 On-Site Hedge Baseline'!$B$1:$L$257,5,FALSE))))</f>
        <v/>
      </c>
      <c r="F78" s="295" t="str">
        <f>IF(B78="","",IF(ISNA(VLOOKUP($B78,'B-1 On-Site Hedge Baseline'!$B$1:$L$257,6,FALSE)),"",(VLOOKUP($B78,'B-1 On-Site Hedge Baseline'!$B$1:$L$257,6,FALSE))))</f>
        <v/>
      </c>
      <c r="G78" s="295" t="str">
        <f>IF(B78="","",IF(ISNA(VLOOKUP($B78,'B-1 On-Site Hedge Baseline'!$B$1:$L$257,7,FALSE)),"",(VLOOKUP($B78,'B-1 On-Site Hedge Baseline'!$B$1:$L$257,7,FALSE))))</f>
        <v/>
      </c>
      <c r="H78" s="295" t="str">
        <f>IF(B78="","",IF(ISNA(VLOOKUP($B78,'B-1 On-Site Hedge Baseline'!$B$1:$L$257,8,FALSE)),"",(VLOOKUP($B78,'B-1 On-Site Hedge Baseline'!$B$1:$L$257,8,FALSE))))</f>
        <v/>
      </c>
      <c r="I78" s="295" t="str">
        <f>IF(B78="","",IF(ISNA(VLOOKUP($B78,'B-1 On-Site Hedge Baseline'!$B$1:$L$257,10,FALSE)),"",(VLOOKUP($B78,'B-1 On-Site Hedge Baseline'!$B$1:$L$257,10,FALSE))))</f>
        <v/>
      </c>
      <c r="J78" s="295" t="str">
        <f>IF(B78="","",IF(ISNA(VLOOKUP($B78,'B-1 On-Site Hedge Baseline'!$B$1:$L$257,11,FALSE)),"",(VLOOKUP($B78,'B-1 On-Site Hedge Baseline'!$B$1:$L$257,11,FALSE))))</f>
        <v/>
      </c>
      <c r="K78" s="295" t="str">
        <f>IF(B78="","",IF(ISNA(VLOOKUP($B78,'B-1 On-Site Hedge Baseline'!$B$1:$U$257,13,FALSE)),"",(VLOOKUP($B78,'B-1 On-Site Hedge Baseline'!$B$1:$U$257,13,FALSE))))</f>
        <v/>
      </c>
      <c r="L78" s="299" t="str">
        <f>IF(B78="","",IF(ISNA(VLOOKUP($B78,'B-1 On-Site Hedge Baseline'!$B$1:$U$257,12,FALSE)),"",(VLOOKUP($B78,'B-1 On-Site Hedge Baseline'!$B$1:$U$257,12,FALSE))))</f>
        <v/>
      </c>
      <c r="M78" s="611"/>
      <c r="N78" s="275" t="str">
        <f>IFERROR(IF(B78="","",INDEX('G-6 Hedgerow Data'!$AN$3:$AZ$15,MATCH(C78,'G-6 Hedgerow Data'!$AM$3:$AM$15,0),MATCH(M78,'G-6 Hedgerow Data'!$AN$2:$AZ$2,0))),"")</f>
        <v/>
      </c>
      <c r="O78" s="276" t="str">
        <f t="shared" si="8"/>
        <v/>
      </c>
      <c r="P78" s="329" t="str">
        <f>IF(B78="","",VLOOKUP(B78,'B-1 On-Site Hedge Baseline'!$B$10:T323,16,FALSE))</f>
        <v/>
      </c>
      <c r="Q78" s="275" t="str">
        <f>IF(M78="","",VLOOKUP(M78,'G-6 Hedgerow Data'!$B$2:$AG$15,2,FALSE))</f>
        <v/>
      </c>
      <c r="R78" s="276" t="str">
        <f>IF(M78="","",VLOOKUP(M78,'G-6 Hedgerow Data'!$B$2:$AG$15,3,FALSE))</f>
        <v/>
      </c>
      <c r="S78" s="108"/>
      <c r="T78" s="314" t="str">
        <f>IFERROR(IF(S78="","",IF(AND(M78="Non-native and ornamental hedgerow",S78&lt;&gt;"Poor"),"Not possible ▲",(VLOOKUP(S78,'G-1 All Habitats'!$Z$2:$AA$9,2,FALSE)))),"")</f>
        <v/>
      </c>
      <c r="U78" s="105"/>
      <c r="V78" s="295" t="str">
        <f>IF(U78="","",IF(VLOOKUP(U78,'G-3 Multipliers'!$L$3:$N$6,2,FALSE)=0,"Spatial Data Missing ⚠",VLOOKUP(U78,'G-3 Multipliers'!$L$3:$N$6,2,FALSE)))</f>
        <v/>
      </c>
      <c r="W78" s="299" t="str">
        <f>IF(U78="","",IF(VLOOKUP(U78,'G-3 Multipliers'!$L$3:$N$6,3,FALSE)=0,"Spatial Data Missing ⚠",VLOOKUP(U78,'G-3 Multipliers'!$L$3:$N$6,3,FALSE)))</f>
        <v/>
      </c>
      <c r="X78" s="275" t="str">
        <f>IFERROR(IF(OR(LEFT(O78,5)="Error",LEFT(N78,5)="Error",T78="Error"),"Check Data ⚠",IF(F78&lt;R78,INDEX('G-6 Hedgerow Data'!$S$3:$AE$14,MATCH(C78,'G-6 Hedgerow Data'!$B$3:$B$14,0),MATCH(M78,'G-6 Hedgerow Data'!$S$2:$AE$2,0)),INDEX('G-6 Hedgerow Data'!$K$3:$Q$14,MATCH(M78,'G-6 Hedgerow Data'!$B$3:$B$14,0),MATCH(O78,'G-6 Hedgerow Data'!$K$2:$Q$2,0)))),"")</f>
        <v/>
      </c>
      <c r="Y78" s="133"/>
      <c r="Z78" s="133"/>
      <c r="AA78" s="283" t="str">
        <f t="shared" si="9"/>
        <v/>
      </c>
      <c r="AB78" s="296" t="str">
        <f t="shared" si="10"/>
        <v/>
      </c>
      <c r="AC78" s="297" t="str">
        <f t="shared" si="7"/>
        <v/>
      </c>
      <c r="AD78" s="311" t="str">
        <f>IF(M78="","",VLOOKUP(M78,'G-6 Hedgerow Data'!$B$3:$AG$15,31,FALSE))</f>
        <v/>
      </c>
      <c r="AE78" s="283" t="str">
        <f t="shared" si="11"/>
        <v/>
      </c>
      <c r="AF78" s="283" t="str">
        <f t="shared" si="12"/>
        <v/>
      </c>
      <c r="AG78" s="299" t="str">
        <f>IFERROR(IF(O78="","",VLOOKUP(AD78,'G-3 Multipliers'!$P$3:$Q$6,2,FALSE)),"")</f>
        <v/>
      </c>
      <c r="AH78" s="289" t="str">
        <f t="shared" si="13"/>
        <v/>
      </c>
      <c r="AI78" s="108"/>
      <c r="AJ78" s="115"/>
      <c r="AK78" s="104"/>
      <c r="AT78" s="30" t="str">
        <f>IFERROR(INDEX('G-6 Hedgerow Data'!$BJ$3:$BJ$15,MATCH(M78,'G-6 Hedgerow Data'!$B$3:$B$15,0)),"")</f>
        <v/>
      </c>
    </row>
    <row r="79" spans="2:46" ht="14">
      <c r="B79" s="305" t="str">
        <f>'B-1 On-Site Hedge Baseline'!AK77</f>
        <v/>
      </c>
      <c r="C79" s="295" t="str">
        <f>IF(B79="","",IF(ISNA(VLOOKUP($B79,'B-1 On-Site Hedge Baseline'!$B$1:$L$257,3,FALSE)),"",(VLOOKUP($B79,'B-1 On-Site Hedge Baseline'!$B$1:$L$257,3,FALSE))))</f>
        <v/>
      </c>
      <c r="D79" s="295" t="str">
        <f>IF(B79="","",IF(ISNA(VLOOKUP($B79,'B-1 On-Site Hedge Baseline'!$B$1:$L$257,4,FALSE)),"",(VLOOKUP($B79,'B-1 On-Site Hedge Baseline'!$B$1:$L$257,4,FALSE))))</f>
        <v/>
      </c>
      <c r="E79" s="295" t="str">
        <f>IF(B79="","",IF(ISNA(VLOOKUP($B79,'B-1 On-Site Hedge Baseline'!$B$1:$L$257,5,FALSE)),"",(VLOOKUP($B79,'B-1 On-Site Hedge Baseline'!$B$1:$L$257,5,FALSE))))</f>
        <v/>
      </c>
      <c r="F79" s="295" t="str">
        <f>IF(B79="","",IF(ISNA(VLOOKUP($B79,'B-1 On-Site Hedge Baseline'!$B$1:$L$257,6,FALSE)),"",(VLOOKUP($B79,'B-1 On-Site Hedge Baseline'!$B$1:$L$257,6,FALSE))))</f>
        <v/>
      </c>
      <c r="G79" s="295" t="str">
        <f>IF(B79="","",IF(ISNA(VLOOKUP($B79,'B-1 On-Site Hedge Baseline'!$B$1:$L$257,7,FALSE)),"",(VLOOKUP($B79,'B-1 On-Site Hedge Baseline'!$B$1:$L$257,7,FALSE))))</f>
        <v/>
      </c>
      <c r="H79" s="295" t="str">
        <f>IF(B79="","",IF(ISNA(VLOOKUP($B79,'B-1 On-Site Hedge Baseline'!$B$1:$L$257,8,FALSE)),"",(VLOOKUP($B79,'B-1 On-Site Hedge Baseline'!$B$1:$L$257,8,FALSE))))</f>
        <v/>
      </c>
      <c r="I79" s="295" t="str">
        <f>IF(B79="","",IF(ISNA(VLOOKUP($B79,'B-1 On-Site Hedge Baseline'!$B$1:$L$257,10,FALSE)),"",(VLOOKUP($B79,'B-1 On-Site Hedge Baseline'!$B$1:$L$257,10,FALSE))))</f>
        <v/>
      </c>
      <c r="J79" s="295" t="str">
        <f>IF(B79="","",IF(ISNA(VLOOKUP($B79,'B-1 On-Site Hedge Baseline'!$B$1:$L$257,11,FALSE)),"",(VLOOKUP($B79,'B-1 On-Site Hedge Baseline'!$B$1:$L$257,11,FALSE))))</f>
        <v/>
      </c>
      <c r="K79" s="295" t="str">
        <f>IF(B79="","",IF(ISNA(VLOOKUP($B79,'B-1 On-Site Hedge Baseline'!$B$1:$U$257,13,FALSE)),"",(VLOOKUP($B79,'B-1 On-Site Hedge Baseline'!$B$1:$U$257,13,FALSE))))</f>
        <v/>
      </c>
      <c r="L79" s="299" t="str">
        <f>IF(B79="","",IF(ISNA(VLOOKUP($B79,'B-1 On-Site Hedge Baseline'!$B$1:$U$257,12,FALSE)),"",(VLOOKUP($B79,'B-1 On-Site Hedge Baseline'!$B$1:$U$257,12,FALSE))))</f>
        <v/>
      </c>
      <c r="M79" s="611"/>
      <c r="N79" s="275" t="str">
        <f>IFERROR(IF(B79="","",INDEX('G-6 Hedgerow Data'!$AN$3:$AZ$15,MATCH(C79,'G-6 Hedgerow Data'!$AM$3:$AM$15,0),MATCH(M79,'G-6 Hedgerow Data'!$AN$2:$AZ$2,0))),"")</f>
        <v/>
      </c>
      <c r="O79" s="276" t="str">
        <f t="shared" si="8"/>
        <v/>
      </c>
      <c r="P79" s="329" t="str">
        <f>IF(B79="","",VLOOKUP(B79,'B-1 On-Site Hedge Baseline'!$B$10:T324,16,FALSE))</f>
        <v/>
      </c>
      <c r="Q79" s="275" t="str">
        <f>IF(M79="","",VLOOKUP(M79,'G-6 Hedgerow Data'!$B$2:$AG$15,2,FALSE))</f>
        <v/>
      </c>
      <c r="R79" s="276" t="str">
        <f>IF(M79="","",VLOOKUP(M79,'G-6 Hedgerow Data'!$B$2:$AG$15,3,FALSE))</f>
        <v/>
      </c>
      <c r="S79" s="108"/>
      <c r="T79" s="314" t="str">
        <f>IFERROR(IF(S79="","",IF(AND(M79="Non-native and ornamental hedgerow",S79&lt;&gt;"Poor"),"Not possible ▲",(VLOOKUP(S79,'G-1 All Habitats'!$Z$2:$AA$9,2,FALSE)))),"")</f>
        <v/>
      </c>
      <c r="U79" s="105"/>
      <c r="V79" s="295" t="str">
        <f>IF(U79="","",IF(VLOOKUP(U79,'G-3 Multipliers'!$L$3:$N$6,2,FALSE)=0,"Spatial Data Missing ⚠",VLOOKUP(U79,'G-3 Multipliers'!$L$3:$N$6,2,FALSE)))</f>
        <v/>
      </c>
      <c r="W79" s="299" t="str">
        <f>IF(U79="","",IF(VLOOKUP(U79,'G-3 Multipliers'!$L$3:$N$6,3,FALSE)=0,"Spatial Data Missing ⚠",VLOOKUP(U79,'G-3 Multipliers'!$L$3:$N$6,3,FALSE)))</f>
        <v/>
      </c>
      <c r="X79" s="275" t="str">
        <f>IFERROR(IF(OR(LEFT(O79,5)="Error",LEFT(N79,5)="Error",T79="Error"),"Check Data ⚠",IF(F79&lt;R79,INDEX('G-6 Hedgerow Data'!$S$3:$AE$14,MATCH(C79,'G-6 Hedgerow Data'!$B$3:$B$14,0),MATCH(M79,'G-6 Hedgerow Data'!$S$2:$AE$2,0)),INDEX('G-6 Hedgerow Data'!$K$3:$Q$14,MATCH(M79,'G-6 Hedgerow Data'!$B$3:$B$14,0),MATCH(O79,'G-6 Hedgerow Data'!$K$2:$Q$2,0)))),"")</f>
        <v/>
      </c>
      <c r="Y79" s="133"/>
      <c r="Z79" s="133"/>
      <c r="AA79" s="283" t="str">
        <f t="shared" si="9"/>
        <v/>
      </c>
      <c r="AB79" s="296" t="str">
        <f t="shared" si="10"/>
        <v/>
      </c>
      <c r="AC79" s="297" t="str">
        <f t="shared" si="7"/>
        <v/>
      </c>
      <c r="AD79" s="311" t="str">
        <f>IF(M79="","",VLOOKUP(M79,'G-6 Hedgerow Data'!$B$3:$AG$15,31,FALSE))</f>
        <v/>
      </c>
      <c r="AE79" s="283" t="str">
        <f t="shared" si="11"/>
        <v/>
      </c>
      <c r="AF79" s="283" t="str">
        <f t="shared" si="12"/>
        <v/>
      </c>
      <c r="AG79" s="299" t="str">
        <f>IFERROR(IF(O79="","",VLOOKUP(AD79,'G-3 Multipliers'!$P$3:$Q$6,2,FALSE)),"")</f>
        <v/>
      </c>
      <c r="AH79" s="289" t="str">
        <f t="shared" si="13"/>
        <v/>
      </c>
      <c r="AI79" s="108"/>
      <c r="AJ79" s="115"/>
      <c r="AK79" s="104"/>
      <c r="AT79" s="30" t="str">
        <f>IFERROR(INDEX('G-6 Hedgerow Data'!$BJ$3:$BJ$15,MATCH(M79,'G-6 Hedgerow Data'!$B$3:$B$15,0)),"")</f>
        <v/>
      </c>
    </row>
    <row r="80" spans="2:46" ht="14">
      <c r="B80" s="305" t="str">
        <f>'B-1 On-Site Hedge Baseline'!AK78</f>
        <v/>
      </c>
      <c r="C80" s="295" t="str">
        <f>IF(B80="","",IF(ISNA(VLOOKUP($B80,'B-1 On-Site Hedge Baseline'!$B$1:$L$257,3,FALSE)),"",(VLOOKUP($B80,'B-1 On-Site Hedge Baseline'!$B$1:$L$257,3,FALSE))))</f>
        <v/>
      </c>
      <c r="D80" s="295" t="str">
        <f>IF(B80="","",IF(ISNA(VLOOKUP($B80,'B-1 On-Site Hedge Baseline'!$B$1:$L$257,4,FALSE)),"",(VLOOKUP($B80,'B-1 On-Site Hedge Baseline'!$B$1:$L$257,4,FALSE))))</f>
        <v/>
      </c>
      <c r="E80" s="295" t="str">
        <f>IF(B80="","",IF(ISNA(VLOOKUP($B80,'B-1 On-Site Hedge Baseline'!$B$1:$L$257,5,FALSE)),"",(VLOOKUP($B80,'B-1 On-Site Hedge Baseline'!$B$1:$L$257,5,FALSE))))</f>
        <v/>
      </c>
      <c r="F80" s="295" t="str">
        <f>IF(B80="","",IF(ISNA(VLOOKUP($B80,'B-1 On-Site Hedge Baseline'!$B$1:$L$257,6,FALSE)),"",(VLOOKUP($B80,'B-1 On-Site Hedge Baseline'!$B$1:$L$257,6,FALSE))))</f>
        <v/>
      </c>
      <c r="G80" s="295" t="str">
        <f>IF(B80="","",IF(ISNA(VLOOKUP($B80,'B-1 On-Site Hedge Baseline'!$B$1:$L$257,7,FALSE)),"",(VLOOKUP($B80,'B-1 On-Site Hedge Baseline'!$B$1:$L$257,7,FALSE))))</f>
        <v/>
      </c>
      <c r="H80" s="295" t="str">
        <f>IF(B80="","",IF(ISNA(VLOOKUP($B80,'B-1 On-Site Hedge Baseline'!$B$1:$L$257,8,FALSE)),"",(VLOOKUP($B80,'B-1 On-Site Hedge Baseline'!$B$1:$L$257,8,FALSE))))</f>
        <v/>
      </c>
      <c r="I80" s="295" t="str">
        <f>IF(B80="","",IF(ISNA(VLOOKUP($B80,'B-1 On-Site Hedge Baseline'!$B$1:$L$257,10,FALSE)),"",(VLOOKUP($B80,'B-1 On-Site Hedge Baseline'!$B$1:$L$257,10,FALSE))))</f>
        <v/>
      </c>
      <c r="J80" s="295" t="str">
        <f>IF(B80="","",IF(ISNA(VLOOKUP($B80,'B-1 On-Site Hedge Baseline'!$B$1:$L$257,11,FALSE)),"",(VLOOKUP($B80,'B-1 On-Site Hedge Baseline'!$B$1:$L$257,11,FALSE))))</f>
        <v/>
      </c>
      <c r="K80" s="295" t="str">
        <f>IF(B80="","",IF(ISNA(VLOOKUP($B80,'B-1 On-Site Hedge Baseline'!$B$1:$U$257,13,FALSE)),"",(VLOOKUP($B80,'B-1 On-Site Hedge Baseline'!$B$1:$U$257,13,FALSE))))</f>
        <v/>
      </c>
      <c r="L80" s="299" t="str">
        <f>IF(B80="","",IF(ISNA(VLOOKUP($B80,'B-1 On-Site Hedge Baseline'!$B$1:$U$257,12,FALSE)),"",(VLOOKUP($B80,'B-1 On-Site Hedge Baseline'!$B$1:$U$257,12,FALSE))))</f>
        <v/>
      </c>
      <c r="M80" s="611"/>
      <c r="N80" s="275" t="str">
        <f>IFERROR(IF(B80="","",INDEX('G-6 Hedgerow Data'!$AN$3:$AZ$15,MATCH(C80,'G-6 Hedgerow Data'!$AM$3:$AM$15,0),MATCH(M80,'G-6 Hedgerow Data'!$AN$2:$AZ$2,0))),"")</f>
        <v/>
      </c>
      <c r="O80" s="276" t="str">
        <f t="shared" si="8"/>
        <v/>
      </c>
      <c r="P80" s="329" t="str">
        <f>IF(B80="","",VLOOKUP(B80,'B-1 On-Site Hedge Baseline'!$B$10:T325,16,FALSE))</f>
        <v/>
      </c>
      <c r="Q80" s="275" t="str">
        <f>IF(M80="","",VLOOKUP(M80,'G-6 Hedgerow Data'!$B$2:$AG$15,2,FALSE))</f>
        <v/>
      </c>
      <c r="R80" s="276" t="str">
        <f>IF(M80="","",VLOOKUP(M80,'G-6 Hedgerow Data'!$B$2:$AG$15,3,FALSE))</f>
        <v/>
      </c>
      <c r="S80" s="108"/>
      <c r="T80" s="314" t="str">
        <f>IFERROR(IF(S80="","",IF(AND(M80="Non-native and ornamental hedgerow",S80&lt;&gt;"Poor"),"Not possible ▲",(VLOOKUP(S80,'G-1 All Habitats'!$Z$2:$AA$9,2,FALSE)))),"")</f>
        <v/>
      </c>
      <c r="U80" s="105"/>
      <c r="V80" s="295" t="str">
        <f>IF(U80="","",IF(VLOOKUP(U80,'G-3 Multipliers'!$L$3:$N$6,2,FALSE)=0,"Spatial Data Missing ⚠",VLOOKUP(U80,'G-3 Multipliers'!$L$3:$N$6,2,FALSE)))</f>
        <v/>
      </c>
      <c r="W80" s="299" t="str">
        <f>IF(U80="","",IF(VLOOKUP(U80,'G-3 Multipliers'!$L$3:$N$6,3,FALSE)=0,"Spatial Data Missing ⚠",VLOOKUP(U80,'G-3 Multipliers'!$L$3:$N$6,3,FALSE)))</f>
        <v/>
      </c>
      <c r="X80" s="275" t="str">
        <f>IFERROR(IF(OR(LEFT(O80,5)="Error",LEFT(N80,5)="Error",T80="Error"),"Check Data ⚠",IF(F80&lt;R80,INDEX('G-6 Hedgerow Data'!$S$3:$AE$14,MATCH(C80,'G-6 Hedgerow Data'!$B$3:$B$14,0),MATCH(M80,'G-6 Hedgerow Data'!$S$2:$AE$2,0)),INDEX('G-6 Hedgerow Data'!$K$3:$Q$14,MATCH(M80,'G-6 Hedgerow Data'!$B$3:$B$14,0),MATCH(O80,'G-6 Hedgerow Data'!$K$2:$Q$2,0)))),"")</f>
        <v/>
      </c>
      <c r="Y80" s="133"/>
      <c r="Z80" s="133"/>
      <c r="AA80" s="283" t="str">
        <f t="shared" si="9"/>
        <v/>
      </c>
      <c r="AB80" s="296" t="str">
        <f t="shared" si="10"/>
        <v/>
      </c>
      <c r="AC80" s="297" t="str">
        <f t="shared" si="7"/>
        <v/>
      </c>
      <c r="AD80" s="311" t="str">
        <f>IF(M80="","",VLOOKUP(M80,'G-6 Hedgerow Data'!$B$3:$AG$15,31,FALSE))</f>
        <v/>
      </c>
      <c r="AE80" s="283" t="str">
        <f t="shared" si="11"/>
        <v/>
      </c>
      <c r="AF80" s="283" t="str">
        <f t="shared" si="12"/>
        <v/>
      </c>
      <c r="AG80" s="299" t="str">
        <f>IFERROR(IF(O80="","",VLOOKUP(AD80,'G-3 Multipliers'!$P$3:$Q$6,2,FALSE)),"")</f>
        <v/>
      </c>
      <c r="AH80" s="289" t="str">
        <f t="shared" si="13"/>
        <v/>
      </c>
      <c r="AI80" s="108"/>
      <c r="AJ80" s="115"/>
      <c r="AK80" s="104"/>
      <c r="AT80" s="30" t="str">
        <f>IFERROR(INDEX('G-6 Hedgerow Data'!$BJ$3:$BJ$15,MATCH(M80,'G-6 Hedgerow Data'!$B$3:$B$15,0)),"")</f>
        <v/>
      </c>
    </row>
    <row r="81" spans="2:46" ht="14">
      <c r="B81" s="305" t="str">
        <f>'B-1 On-Site Hedge Baseline'!AK79</f>
        <v/>
      </c>
      <c r="C81" s="295" t="str">
        <f>IF(B81="","",IF(ISNA(VLOOKUP($B81,'B-1 On-Site Hedge Baseline'!$B$1:$L$257,3,FALSE)),"",(VLOOKUP($B81,'B-1 On-Site Hedge Baseline'!$B$1:$L$257,3,FALSE))))</f>
        <v/>
      </c>
      <c r="D81" s="295" t="str">
        <f>IF(B81="","",IF(ISNA(VLOOKUP($B81,'B-1 On-Site Hedge Baseline'!$B$1:$L$257,4,FALSE)),"",(VLOOKUP($B81,'B-1 On-Site Hedge Baseline'!$B$1:$L$257,4,FALSE))))</f>
        <v/>
      </c>
      <c r="E81" s="295" t="str">
        <f>IF(B81="","",IF(ISNA(VLOOKUP($B81,'B-1 On-Site Hedge Baseline'!$B$1:$L$257,5,FALSE)),"",(VLOOKUP($B81,'B-1 On-Site Hedge Baseline'!$B$1:$L$257,5,FALSE))))</f>
        <v/>
      </c>
      <c r="F81" s="295" t="str">
        <f>IF(B81="","",IF(ISNA(VLOOKUP($B81,'B-1 On-Site Hedge Baseline'!$B$1:$L$257,6,FALSE)),"",(VLOOKUP($B81,'B-1 On-Site Hedge Baseline'!$B$1:$L$257,6,FALSE))))</f>
        <v/>
      </c>
      <c r="G81" s="295" t="str">
        <f>IF(B81="","",IF(ISNA(VLOOKUP($B81,'B-1 On-Site Hedge Baseline'!$B$1:$L$257,7,FALSE)),"",(VLOOKUP($B81,'B-1 On-Site Hedge Baseline'!$B$1:$L$257,7,FALSE))))</f>
        <v/>
      </c>
      <c r="H81" s="295" t="str">
        <f>IF(B81="","",IF(ISNA(VLOOKUP($B81,'B-1 On-Site Hedge Baseline'!$B$1:$L$257,8,FALSE)),"",(VLOOKUP($B81,'B-1 On-Site Hedge Baseline'!$B$1:$L$257,8,FALSE))))</f>
        <v/>
      </c>
      <c r="I81" s="295" t="str">
        <f>IF(B81="","",IF(ISNA(VLOOKUP($B81,'B-1 On-Site Hedge Baseline'!$B$1:$L$257,10,FALSE)),"",(VLOOKUP($B81,'B-1 On-Site Hedge Baseline'!$B$1:$L$257,10,FALSE))))</f>
        <v/>
      </c>
      <c r="J81" s="295" t="str">
        <f>IF(B81="","",IF(ISNA(VLOOKUP($B81,'B-1 On-Site Hedge Baseline'!$B$1:$L$257,11,FALSE)),"",(VLOOKUP($B81,'B-1 On-Site Hedge Baseline'!$B$1:$L$257,11,FALSE))))</f>
        <v/>
      </c>
      <c r="K81" s="295" t="str">
        <f>IF(B81="","",IF(ISNA(VLOOKUP($B81,'B-1 On-Site Hedge Baseline'!$B$1:$U$257,13,FALSE)),"",(VLOOKUP($B81,'B-1 On-Site Hedge Baseline'!$B$1:$U$257,13,FALSE))))</f>
        <v/>
      </c>
      <c r="L81" s="299" t="str">
        <f>IF(B81="","",IF(ISNA(VLOOKUP($B81,'B-1 On-Site Hedge Baseline'!$B$1:$U$257,12,FALSE)),"",(VLOOKUP($B81,'B-1 On-Site Hedge Baseline'!$B$1:$U$257,12,FALSE))))</f>
        <v/>
      </c>
      <c r="M81" s="611"/>
      <c r="N81" s="275" t="str">
        <f>IFERROR(IF(B81="","",INDEX('G-6 Hedgerow Data'!$AN$3:$AZ$15,MATCH(C81,'G-6 Hedgerow Data'!$AM$3:$AM$15,0),MATCH(M81,'G-6 Hedgerow Data'!$AN$2:$AZ$2,0))),"")</f>
        <v/>
      </c>
      <c r="O81" s="276" t="str">
        <f t="shared" si="8"/>
        <v/>
      </c>
      <c r="P81" s="329" t="str">
        <f>IF(B81="","",VLOOKUP(B81,'B-1 On-Site Hedge Baseline'!$B$10:T326,16,FALSE))</f>
        <v/>
      </c>
      <c r="Q81" s="275" t="str">
        <f>IF(M81="","",VLOOKUP(M81,'G-6 Hedgerow Data'!$B$2:$AG$15,2,FALSE))</f>
        <v/>
      </c>
      <c r="R81" s="276" t="str">
        <f>IF(M81="","",VLOOKUP(M81,'G-6 Hedgerow Data'!$B$2:$AG$15,3,FALSE))</f>
        <v/>
      </c>
      <c r="S81" s="108"/>
      <c r="T81" s="314" t="str">
        <f>IFERROR(IF(S81="","",IF(AND(M81="Non-native and ornamental hedgerow",S81&lt;&gt;"Poor"),"Not possible ▲",(VLOOKUP(S81,'G-1 All Habitats'!$Z$2:$AA$9,2,FALSE)))),"")</f>
        <v/>
      </c>
      <c r="U81" s="105"/>
      <c r="V81" s="295" t="str">
        <f>IF(U81="","",IF(VLOOKUP(U81,'G-3 Multipliers'!$L$3:$N$6,2,FALSE)=0,"Spatial Data Missing ⚠",VLOOKUP(U81,'G-3 Multipliers'!$L$3:$N$6,2,FALSE)))</f>
        <v/>
      </c>
      <c r="W81" s="299" t="str">
        <f>IF(U81="","",IF(VLOOKUP(U81,'G-3 Multipliers'!$L$3:$N$6,3,FALSE)=0,"Spatial Data Missing ⚠",VLOOKUP(U81,'G-3 Multipliers'!$L$3:$N$6,3,FALSE)))</f>
        <v/>
      </c>
      <c r="X81" s="275" t="str">
        <f>IFERROR(IF(OR(LEFT(O81,5)="Error",LEFT(N81,5)="Error",T81="Error"),"Check Data ⚠",IF(F81&lt;R81,INDEX('G-6 Hedgerow Data'!$S$3:$AE$14,MATCH(C81,'G-6 Hedgerow Data'!$B$3:$B$14,0),MATCH(M81,'G-6 Hedgerow Data'!$S$2:$AE$2,0)),INDEX('G-6 Hedgerow Data'!$K$3:$Q$14,MATCH(M81,'G-6 Hedgerow Data'!$B$3:$B$14,0),MATCH(O81,'G-6 Hedgerow Data'!$K$2:$Q$2,0)))),"")</f>
        <v/>
      </c>
      <c r="Y81" s="133"/>
      <c r="Z81" s="133"/>
      <c r="AA81" s="283" t="str">
        <f t="shared" si="9"/>
        <v/>
      </c>
      <c r="AB81" s="296" t="str">
        <f t="shared" si="10"/>
        <v/>
      </c>
      <c r="AC81" s="297" t="str">
        <f t="shared" si="7"/>
        <v/>
      </c>
      <c r="AD81" s="311" t="str">
        <f>IF(M81="","",VLOOKUP(M81,'G-6 Hedgerow Data'!$B$3:$AG$15,31,FALSE))</f>
        <v/>
      </c>
      <c r="AE81" s="283" t="str">
        <f t="shared" si="11"/>
        <v/>
      </c>
      <c r="AF81" s="283" t="str">
        <f t="shared" si="12"/>
        <v/>
      </c>
      <c r="AG81" s="299" t="str">
        <f>IFERROR(IF(O81="","",VLOOKUP(AD81,'G-3 Multipliers'!$P$3:$Q$6,2,FALSE)),"")</f>
        <v/>
      </c>
      <c r="AH81" s="289" t="str">
        <f t="shared" si="13"/>
        <v/>
      </c>
      <c r="AI81" s="108"/>
      <c r="AJ81" s="115"/>
      <c r="AK81" s="104"/>
      <c r="AT81" s="30" t="str">
        <f>IFERROR(INDEX('G-6 Hedgerow Data'!$BJ$3:$BJ$15,MATCH(M81,'G-6 Hedgerow Data'!$B$3:$B$15,0)),"")</f>
        <v/>
      </c>
    </row>
    <row r="82" spans="2:46" ht="14">
      <c r="B82" s="305" t="str">
        <f>'B-1 On-Site Hedge Baseline'!AK80</f>
        <v/>
      </c>
      <c r="C82" s="295" t="str">
        <f>IF(B82="","",IF(ISNA(VLOOKUP($B82,'B-1 On-Site Hedge Baseline'!$B$1:$L$257,3,FALSE)),"",(VLOOKUP($B82,'B-1 On-Site Hedge Baseline'!$B$1:$L$257,3,FALSE))))</f>
        <v/>
      </c>
      <c r="D82" s="295" t="str">
        <f>IF(B82="","",IF(ISNA(VLOOKUP($B82,'B-1 On-Site Hedge Baseline'!$B$1:$L$257,4,FALSE)),"",(VLOOKUP($B82,'B-1 On-Site Hedge Baseline'!$B$1:$L$257,4,FALSE))))</f>
        <v/>
      </c>
      <c r="E82" s="295" t="str">
        <f>IF(B82="","",IF(ISNA(VLOOKUP($B82,'B-1 On-Site Hedge Baseline'!$B$1:$L$257,5,FALSE)),"",(VLOOKUP($B82,'B-1 On-Site Hedge Baseline'!$B$1:$L$257,5,FALSE))))</f>
        <v/>
      </c>
      <c r="F82" s="295" t="str">
        <f>IF(B82="","",IF(ISNA(VLOOKUP($B82,'B-1 On-Site Hedge Baseline'!$B$1:$L$257,6,FALSE)),"",(VLOOKUP($B82,'B-1 On-Site Hedge Baseline'!$B$1:$L$257,6,FALSE))))</f>
        <v/>
      </c>
      <c r="G82" s="295" t="str">
        <f>IF(B82="","",IF(ISNA(VLOOKUP($B82,'B-1 On-Site Hedge Baseline'!$B$1:$L$257,7,FALSE)),"",(VLOOKUP($B82,'B-1 On-Site Hedge Baseline'!$B$1:$L$257,7,FALSE))))</f>
        <v/>
      </c>
      <c r="H82" s="295" t="str">
        <f>IF(B82="","",IF(ISNA(VLOOKUP($B82,'B-1 On-Site Hedge Baseline'!$B$1:$L$257,8,FALSE)),"",(VLOOKUP($B82,'B-1 On-Site Hedge Baseline'!$B$1:$L$257,8,FALSE))))</f>
        <v/>
      </c>
      <c r="I82" s="295" t="str">
        <f>IF(B82="","",IF(ISNA(VLOOKUP($B82,'B-1 On-Site Hedge Baseline'!$B$1:$L$257,10,FALSE)),"",(VLOOKUP($B82,'B-1 On-Site Hedge Baseline'!$B$1:$L$257,10,FALSE))))</f>
        <v/>
      </c>
      <c r="J82" s="295" t="str">
        <f>IF(B82="","",IF(ISNA(VLOOKUP($B82,'B-1 On-Site Hedge Baseline'!$B$1:$L$257,11,FALSE)),"",(VLOOKUP($B82,'B-1 On-Site Hedge Baseline'!$B$1:$L$257,11,FALSE))))</f>
        <v/>
      </c>
      <c r="K82" s="295" t="str">
        <f>IF(B82="","",IF(ISNA(VLOOKUP($B82,'B-1 On-Site Hedge Baseline'!$B$1:$U$257,13,FALSE)),"",(VLOOKUP($B82,'B-1 On-Site Hedge Baseline'!$B$1:$U$257,13,FALSE))))</f>
        <v/>
      </c>
      <c r="L82" s="299" t="str">
        <f>IF(B82="","",IF(ISNA(VLOOKUP($B82,'B-1 On-Site Hedge Baseline'!$B$1:$U$257,12,FALSE)),"",(VLOOKUP($B82,'B-1 On-Site Hedge Baseline'!$B$1:$U$257,12,FALSE))))</f>
        <v/>
      </c>
      <c r="M82" s="611"/>
      <c r="N82" s="275" t="str">
        <f>IFERROR(IF(B82="","",INDEX('G-6 Hedgerow Data'!$AN$3:$AZ$15,MATCH(C82,'G-6 Hedgerow Data'!$AM$3:$AM$15,0),MATCH(M82,'G-6 Hedgerow Data'!$AN$2:$AZ$2,0))),"")</f>
        <v/>
      </c>
      <c r="O82" s="276" t="str">
        <f t="shared" si="8"/>
        <v/>
      </c>
      <c r="P82" s="329" t="str">
        <f>IF(B82="","",VLOOKUP(B82,'B-1 On-Site Hedge Baseline'!$B$10:T327,16,FALSE))</f>
        <v/>
      </c>
      <c r="Q82" s="275" t="str">
        <f>IF(M82="","",VLOOKUP(M82,'G-6 Hedgerow Data'!$B$2:$AG$15,2,FALSE))</f>
        <v/>
      </c>
      <c r="R82" s="276" t="str">
        <f>IF(M82="","",VLOOKUP(M82,'G-6 Hedgerow Data'!$B$2:$AG$15,3,FALSE))</f>
        <v/>
      </c>
      <c r="S82" s="108"/>
      <c r="T82" s="314" t="str">
        <f>IFERROR(IF(S82="","",IF(AND(M82="Non-native and ornamental hedgerow",S82&lt;&gt;"Poor"),"Not possible ▲",(VLOOKUP(S82,'G-1 All Habitats'!$Z$2:$AA$9,2,FALSE)))),"")</f>
        <v/>
      </c>
      <c r="U82" s="105"/>
      <c r="V82" s="295" t="str">
        <f>IF(U82="","",IF(VLOOKUP(U82,'G-3 Multipliers'!$L$3:$N$6,2,FALSE)=0,"Spatial Data Missing ⚠",VLOOKUP(U82,'G-3 Multipliers'!$L$3:$N$6,2,FALSE)))</f>
        <v/>
      </c>
      <c r="W82" s="299" t="str">
        <f>IF(U82="","",IF(VLOOKUP(U82,'G-3 Multipliers'!$L$3:$N$6,3,FALSE)=0,"Spatial Data Missing ⚠",VLOOKUP(U82,'G-3 Multipliers'!$L$3:$N$6,3,FALSE)))</f>
        <v/>
      </c>
      <c r="X82" s="275" t="str">
        <f>IFERROR(IF(OR(LEFT(O82,5)="Error",LEFT(N82,5)="Error",T82="Error"),"Check Data ⚠",IF(F82&lt;R82,INDEX('G-6 Hedgerow Data'!$S$3:$AE$14,MATCH(C82,'G-6 Hedgerow Data'!$B$3:$B$14,0),MATCH(M82,'G-6 Hedgerow Data'!$S$2:$AE$2,0)),INDEX('G-6 Hedgerow Data'!$K$3:$Q$14,MATCH(M82,'G-6 Hedgerow Data'!$B$3:$B$14,0),MATCH(O82,'G-6 Hedgerow Data'!$K$2:$Q$2,0)))),"")</f>
        <v/>
      </c>
      <c r="Y82" s="133"/>
      <c r="Z82" s="133"/>
      <c r="AA82" s="283" t="str">
        <f t="shared" si="9"/>
        <v/>
      </c>
      <c r="AB82" s="296" t="str">
        <f t="shared" si="10"/>
        <v/>
      </c>
      <c r="AC82" s="297" t="str">
        <f t="shared" si="7"/>
        <v/>
      </c>
      <c r="AD82" s="311" t="str">
        <f>IF(M82="","",VLOOKUP(M82,'G-6 Hedgerow Data'!$B$3:$AG$15,31,FALSE))</f>
        <v/>
      </c>
      <c r="AE82" s="283" t="str">
        <f t="shared" si="11"/>
        <v/>
      </c>
      <c r="AF82" s="283" t="str">
        <f t="shared" si="12"/>
        <v/>
      </c>
      <c r="AG82" s="299" t="str">
        <f>IFERROR(IF(O82="","",VLOOKUP(AD82,'G-3 Multipliers'!$P$3:$Q$6,2,FALSE)),"")</f>
        <v/>
      </c>
      <c r="AH82" s="289" t="str">
        <f t="shared" si="13"/>
        <v/>
      </c>
      <c r="AI82" s="108"/>
      <c r="AJ82" s="115"/>
      <c r="AK82" s="104"/>
      <c r="AT82" s="30" t="str">
        <f>IFERROR(INDEX('G-6 Hedgerow Data'!$BJ$3:$BJ$15,MATCH(M82,'G-6 Hedgerow Data'!$B$3:$B$15,0)),"")</f>
        <v/>
      </c>
    </row>
    <row r="83" spans="2:46" ht="14">
      <c r="B83" s="305" t="str">
        <f>'B-1 On-Site Hedge Baseline'!AK81</f>
        <v/>
      </c>
      <c r="C83" s="295" t="str">
        <f>IF(B83="","",IF(ISNA(VLOOKUP($B83,'B-1 On-Site Hedge Baseline'!$B$1:$L$257,3,FALSE)),"",(VLOOKUP($B83,'B-1 On-Site Hedge Baseline'!$B$1:$L$257,3,FALSE))))</f>
        <v/>
      </c>
      <c r="D83" s="295" t="str">
        <f>IF(B83="","",IF(ISNA(VLOOKUP($B83,'B-1 On-Site Hedge Baseline'!$B$1:$L$257,4,FALSE)),"",(VLOOKUP($B83,'B-1 On-Site Hedge Baseline'!$B$1:$L$257,4,FALSE))))</f>
        <v/>
      </c>
      <c r="E83" s="295" t="str">
        <f>IF(B83="","",IF(ISNA(VLOOKUP($B83,'B-1 On-Site Hedge Baseline'!$B$1:$L$257,5,FALSE)),"",(VLOOKUP($B83,'B-1 On-Site Hedge Baseline'!$B$1:$L$257,5,FALSE))))</f>
        <v/>
      </c>
      <c r="F83" s="295" t="str">
        <f>IF(B83="","",IF(ISNA(VLOOKUP($B83,'B-1 On-Site Hedge Baseline'!$B$1:$L$257,6,FALSE)),"",(VLOOKUP($B83,'B-1 On-Site Hedge Baseline'!$B$1:$L$257,6,FALSE))))</f>
        <v/>
      </c>
      <c r="G83" s="295" t="str">
        <f>IF(B83="","",IF(ISNA(VLOOKUP($B83,'B-1 On-Site Hedge Baseline'!$B$1:$L$257,7,FALSE)),"",(VLOOKUP($B83,'B-1 On-Site Hedge Baseline'!$B$1:$L$257,7,FALSE))))</f>
        <v/>
      </c>
      <c r="H83" s="295" t="str">
        <f>IF(B83="","",IF(ISNA(VLOOKUP($B83,'B-1 On-Site Hedge Baseline'!$B$1:$L$257,8,FALSE)),"",(VLOOKUP($B83,'B-1 On-Site Hedge Baseline'!$B$1:$L$257,8,FALSE))))</f>
        <v/>
      </c>
      <c r="I83" s="295" t="str">
        <f>IF(B83="","",IF(ISNA(VLOOKUP($B83,'B-1 On-Site Hedge Baseline'!$B$1:$L$257,10,FALSE)),"",(VLOOKUP($B83,'B-1 On-Site Hedge Baseline'!$B$1:$L$257,10,FALSE))))</f>
        <v/>
      </c>
      <c r="J83" s="295" t="str">
        <f>IF(B83="","",IF(ISNA(VLOOKUP($B83,'B-1 On-Site Hedge Baseline'!$B$1:$L$257,11,FALSE)),"",(VLOOKUP($B83,'B-1 On-Site Hedge Baseline'!$B$1:$L$257,11,FALSE))))</f>
        <v/>
      </c>
      <c r="K83" s="295" t="str">
        <f>IF(B83="","",IF(ISNA(VLOOKUP($B83,'B-1 On-Site Hedge Baseline'!$B$1:$U$257,13,FALSE)),"",(VLOOKUP($B83,'B-1 On-Site Hedge Baseline'!$B$1:$U$257,13,FALSE))))</f>
        <v/>
      </c>
      <c r="L83" s="299" t="str">
        <f>IF(B83="","",IF(ISNA(VLOOKUP($B83,'B-1 On-Site Hedge Baseline'!$B$1:$U$257,12,FALSE)),"",(VLOOKUP($B83,'B-1 On-Site Hedge Baseline'!$B$1:$U$257,12,FALSE))))</f>
        <v/>
      </c>
      <c r="M83" s="611"/>
      <c r="N83" s="275" t="str">
        <f>IFERROR(IF(B83="","",INDEX('G-6 Hedgerow Data'!$AN$3:$AZ$15,MATCH(C83,'G-6 Hedgerow Data'!$AM$3:$AM$15,0),MATCH(M83,'G-6 Hedgerow Data'!$AN$2:$AZ$2,0))),"")</f>
        <v/>
      </c>
      <c r="O83" s="276" t="str">
        <f t="shared" si="8"/>
        <v/>
      </c>
      <c r="P83" s="329" t="str">
        <f>IF(B83="","",VLOOKUP(B83,'B-1 On-Site Hedge Baseline'!$B$10:T328,16,FALSE))</f>
        <v/>
      </c>
      <c r="Q83" s="275" t="str">
        <f>IF(M83="","",VLOOKUP(M83,'G-6 Hedgerow Data'!$B$2:$AG$15,2,FALSE))</f>
        <v/>
      </c>
      <c r="R83" s="276" t="str">
        <f>IF(M83="","",VLOOKUP(M83,'G-6 Hedgerow Data'!$B$2:$AG$15,3,FALSE))</f>
        <v/>
      </c>
      <c r="S83" s="108"/>
      <c r="T83" s="314" t="str">
        <f>IFERROR(IF(S83="","",IF(AND(M83="Non-native and ornamental hedgerow",S83&lt;&gt;"Poor"),"Not possible ▲",(VLOOKUP(S83,'G-1 All Habitats'!$Z$2:$AA$9,2,FALSE)))),"")</f>
        <v/>
      </c>
      <c r="U83" s="105"/>
      <c r="V83" s="295" t="str">
        <f>IF(U83="","",IF(VLOOKUP(U83,'G-3 Multipliers'!$L$3:$N$6,2,FALSE)=0,"Spatial Data Missing ⚠",VLOOKUP(U83,'G-3 Multipliers'!$L$3:$N$6,2,FALSE)))</f>
        <v/>
      </c>
      <c r="W83" s="299" t="str">
        <f>IF(U83="","",IF(VLOOKUP(U83,'G-3 Multipliers'!$L$3:$N$6,3,FALSE)=0,"Spatial Data Missing ⚠",VLOOKUP(U83,'G-3 Multipliers'!$L$3:$N$6,3,FALSE)))</f>
        <v/>
      </c>
      <c r="X83" s="275" t="str">
        <f>IFERROR(IF(OR(LEFT(O83,5)="Error",LEFT(N83,5)="Error",T83="Error"),"Check Data ⚠",IF(F83&lt;R83,INDEX('G-6 Hedgerow Data'!$S$3:$AE$14,MATCH(C83,'G-6 Hedgerow Data'!$B$3:$B$14,0),MATCH(M83,'G-6 Hedgerow Data'!$S$2:$AE$2,0)),INDEX('G-6 Hedgerow Data'!$K$3:$Q$14,MATCH(M83,'G-6 Hedgerow Data'!$B$3:$B$14,0),MATCH(O83,'G-6 Hedgerow Data'!$K$2:$Q$2,0)))),"")</f>
        <v/>
      </c>
      <c r="Y83" s="133"/>
      <c r="Z83" s="133"/>
      <c r="AA83" s="283" t="str">
        <f t="shared" si="9"/>
        <v/>
      </c>
      <c r="AB83" s="296" t="str">
        <f t="shared" si="10"/>
        <v/>
      </c>
      <c r="AC83" s="297" t="str">
        <f t="shared" si="7"/>
        <v/>
      </c>
      <c r="AD83" s="311" t="str">
        <f>IF(M83="","",VLOOKUP(M83,'G-6 Hedgerow Data'!$B$3:$AG$15,31,FALSE))</f>
        <v/>
      </c>
      <c r="AE83" s="283" t="str">
        <f t="shared" si="11"/>
        <v/>
      </c>
      <c r="AF83" s="283" t="str">
        <f t="shared" si="12"/>
        <v/>
      </c>
      <c r="AG83" s="299" t="str">
        <f>IFERROR(IF(O83="","",VLOOKUP(AD83,'G-3 Multipliers'!$P$3:$Q$6,2,FALSE)),"")</f>
        <v/>
      </c>
      <c r="AH83" s="289" t="str">
        <f t="shared" si="13"/>
        <v/>
      </c>
      <c r="AI83" s="108"/>
      <c r="AJ83" s="115"/>
      <c r="AK83" s="104"/>
      <c r="AT83" s="30" t="str">
        <f>IFERROR(INDEX('G-6 Hedgerow Data'!$BJ$3:$BJ$15,MATCH(M83,'G-6 Hedgerow Data'!$B$3:$B$15,0)),"")</f>
        <v/>
      </c>
    </row>
    <row r="84" spans="2:46" ht="14">
      <c r="B84" s="305" t="str">
        <f>'B-1 On-Site Hedge Baseline'!AK82</f>
        <v/>
      </c>
      <c r="C84" s="295" t="str">
        <f>IF(B84="","",IF(ISNA(VLOOKUP($B84,'B-1 On-Site Hedge Baseline'!$B$1:$L$257,3,FALSE)),"",(VLOOKUP($B84,'B-1 On-Site Hedge Baseline'!$B$1:$L$257,3,FALSE))))</f>
        <v/>
      </c>
      <c r="D84" s="295" t="str">
        <f>IF(B84="","",IF(ISNA(VLOOKUP($B84,'B-1 On-Site Hedge Baseline'!$B$1:$L$257,4,FALSE)),"",(VLOOKUP($B84,'B-1 On-Site Hedge Baseline'!$B$1:$L$257,4,FALSE))))</f>
        <v/>
      </c>
      <c r="E84" s="295" t="str">
        <f>IF(B84="","",IF(ISNA(VLOOKUP($B84,'B-1 On-Site Hedge Baseline'!$B$1:$L$257,5,FALSE)),"",(VLOOKUP($B84,'B-1 On-Site Hedge Baseline'!$B$1:$L$257,5,FALSE))))</f>
        <v/>
      </c>
      <c r="F84" s="295" t="str">
        <f>IF(B84="","",IF(ISNA(VLOOKUP($B84,'B-1 On-Site Hedge Baseline'!$B$1:$L$257,6,FALSE)),"",(VLOOKUP($B84,'B-1 On-Site Hedge Baseline'!$B$1:$L$257,6,FALSE))))</f>
        <v/>
      </c>
      <c r="G84" s="295" t="str">
        <f>IF(B84="","",IF(ISNA(VLOOKUP($B84,'B-1 On-Site Hedge Baseline'!$B$1:$L$257,7,FALSE)),"",(VLOOKUP($B84,'B-1 On-Site Hedge Baseline'!$B$1:$L$257,7,FALSE))))</f>
        <v/>
      </c>
      <c r="H84" s="295" t="str">
        <f>IF(B84="","",IF(ISNA(VLOOKUP($B84,'B-1 On-Site Hedge Baseline'!$B$1:$L$257,8,FALSE)),"",(VLOOKUP($B84,'B-1 On-Site Hedge Baseline'!$B$1:$L$257,8,FALSE))))</f>
        <v/>
      </c>
      <c r="I84" s="295" t="str">
        <f>IF(B84="","",IF(ISNA(VLOOKUP($B84,'B-1 On-Site Hedge Baseline'!$B$1:$L$257,10,FALSE)),"",(VLOOKUP($B84,'B-1 On-Site Hedge Baseline'!$B$1:$L$257,10,FALSE))))</f>
        <v/>
      </c>
      <c r="J84" s="295" t="str">
        <f>IF(B84="","",IF(ISNA(VLOOKUP($B84,'B-1 On-Site Hedge Baseline'!$B$1:$L$257,11,FALSE)),"",(VLOOKUP($B84,'B-1 On-Site Hedge Baseline'!$B$1:$L$257,11,FALSE))))</f>
        <v/>
      </c>
      <c r="K84" s="295" t="str">
        <f>IF(B84="","",IF(ISNA(VLOOKUP($B84,'B-1 On-Site Hedge Baseline'!$B$1:$U$257,13,FALSE)),"",(VLOOKUP($B84,'B-1 On-Site Hedge Baseline'!$B$1:$U$257,13,FALSE))))</f>
        <v/>
      </c>
      <c r="L84" s="299" t="str">
        <f>IF(B84="","",IF(ISNA(VLOOKUP($B84,'B-1 On-Site Hedge Baseline'!$B$1:$U$257,12,FALSE)),"",(VLOOKUP($B84,'B-1 On-Site Hedge Baseline'!$B$1:$U$257,12,FALSE))))</f>
        <v/>
      </c>
      <c r="M84" s="611"/>
      <c r="N84" s="275" t="str">
        <f>IFERROR(IF(B84="","",INDEX('G-6 Hedgerow Data'!$AN$3:$AZ$15,MATCH(C84,'G-6 Hedgerow Data'!$AM$3:$AM$15,0),MATCH(M84,'G-6 Hedgerow Data'!$AN$2:$AZ$2,0))),"")</f>
        <v/>
      </c>
      <c r="O84" s="276" t="str">
        <f t="shared" si="8"/>
        <v/>
      </c>
      <c r="P84" s="329" t="str">
        <f>IF(B84="","",VLOOKUP(B84,'B-1 On-Site Hedge Baseline'!$B$10:T329,16,FALSE))</f>
        <v/>
      </c>
      <c r="Q84" s="275" t="str">
        <f>IF(M84="","",VLOOKUP(M84,'G-6 Hedgerow Data'!$B$2:$AG$15,2,FALSE))</f>
        <v/>
      </c>
      <c r="R84" s="276" t="str">
        <f>IF(M84="","",VLOOKUP(M84,'G-6 Hedgerow Data'!$B$2:$AG$15,3,FALSE))</f>
        <v/>
      </c>
      <c r="S84" s="108"/>
      <c r="T84" s="314" t="str">
        <f>IFERROR(IF(S84="","",IF(AND(M84="Non-native and ornamental hedgerow",S84&lt;&gt;"Poor"),"Not possible ▲",(VLOOKUP(S84,'G-1 All Habitats'!$Z$2:$AA$9,2,FALSE)))),"")</f>
        <v/>
      </c>
      <c r="U84" s="105"/>
      <c r="V84" s="295" t="str">
        <f>IF(U84="","",IF(VLOOKUP(U84,'G-3 Multipliers'!$L$3:$N$6,2,FALSE)=0,"Spatial Data Missing ⚠",VLOOKUP(U84,'G-3 Multipliers'!$L$3:$N$6,2,FALSE)))</f>
        <v/>
      </c>
      <c r="W84" s="299" t="str">
        <f>IF(U84="","",IF(VLOOKUP(U84,'G-3 Multipliers'!$L$3:$N$6,3,FALSE)=0,"Spatial Data Missing ⚠",VLOOKUP(U84,'G-3 Multipliers'!$L$3:$N$6,3,FALSE)))</f>
        <v/>
      </c>
      <c r="X84" s="275" t="str">
        <f>IFERROR(IF(OR(LEFT(O84,5)="Error",LEFT(N84,5)="Error",T84="Error"),"Check Data ⚠",IF(F84&lt;R84,INDEX('G-6 Hedgerow Data'!$S$3:$AE$14,MATCH(C84,'G-6 Hedgerow Data'!$B$3:$B$14,0),MATCH(M84,'G-6 Hedgerow Data'!$S$2:$AE$2,0)),INDEX('G-6 Hedgerow Data'!$K$3:$Q$14,MATCH(M84,'G-6 Hedgerow Data'!$B$3:$B$14,0),MATCH(O84,'G-6 Hedgerow Data'!$K$2:$Q$2,0)))),"")</f>
        <v/>
      </c>
      <c r="Y84" s="133"/>
      <c r="Z84" s="133"/>
      <c r="AA84" s="283" t="str">
        <f t="shared" si="9"/>
        <v/>
      </c>
      <c r="AB84" s="296" t="str">
        <f t="shared" si="10"/>
        <v/>
      </c>
      <c r="AC84" s="297" t="str">
        <f t="shared" si="7"/>
        <v/>
      </c>
      <c r="AD84" s="311" t="str">
        <f>IF(M84="","",VLOOKUP(M84,'G-6 Hedgerow Data'!$B$3:$AG$15,31,FALSE))</f>
        <v/>
      </c>
      <c r="AE84" s="283" t="str">
        <f t="shared" si="11"/>
        <v/>
      </c>
      <c r="AF84" s="283" t="str">
        <f t="shared" si="12"/>
        <v/>
      </c>
      <c r="AG84" s="299" t="str">
        <f>IFERROR(IF(O84="","",VLOOKUP(AD84,'G-3 Multipliers'!$P$3:$Q$6,2,FALSE)),"")</f>
        <v/>
      </c>
      <c r="AH84" s="289" t="str">
        <f t="shared" si="13"/>
        <v/>
      </c>
      <c r="AI84" s="108"/>
      <c r="AJ84" s="115"/>
      <c r="AK84" s="104"/>
      <c r="AT84" s="30" t="str">
        <f>IFERROR(INDEX('G-6 Hedgerow Data'!$BJ$3:$BJ$15,MATCH(M84,'G-6 Hedgerow Data'!$B$3:$B$15,0)),"")</f>
        <v/>
      </c>
    </row>
    <row r="85" spans="2:46" ht="14">
      <c r="B85" s="305" t="str">
        <f>'B-1 On-Site Hedge Baseline'!AK83</f>
        <v/>
      </c>
      <c r="C85" s="295" t="str">
        <f>IF(B85="","",IF(ISNA(VLOOKUP($B85,'B-1 On-Site Hedge Baseline'!$B$1:$L$257,3,FALSE)),"",(VLOOKUP($B85,'B-1 On-Site Hedge Baseline'!$B$1:$L$257,3,FALSE))))</f>
        <v/>
      </c>
      <c r="D85" s="295" t="str">
        <f>IF(B85="","",IF(ISNA(VLOOKUP($B85,'B-1 On-Site Hedge Baseline'!$B$1:$L$257,4,FALSE)),"",(VLOOKUP($B85,'B-1 On-Site Hedge Baseline'!$B$1:$L$257,4,FALSE))))</f>
        <v/>
      </c>
      <c r="E85" s="295" t="str">
        <f>IF(B85="","",IF(ISNA(VLOOKUP($B85,'B-1 On-Site Hedge Baseline'!$B$1:$L$257,5,FALSE)),"",(VLOOKUP($B85,'B-1 On-Site Hedge Baseline'!$B$1:$L$257,5,FALSE))))</f>
        <v/>
      </c>
      <c r="F85" s="295" t="str">
        <f>IF(B85="","",IF(ISNA(VLOOKUP($B85,'B-1 On-Site Hedge Baseline'!$B$1:$L$257,6,FALSE)),"",(VLOOKUP($B85,'B-1 On-Site Hedge Baseline'!$B$1:$L$257,6,FALSE))))</f>
        <v/>
      </c>
      <c r="G85" s="295" t="str">
        <f>IF(B85="","",IF(ISNA(VLOOKUP($B85,'B-1 On-Site Hedge Baseline'!$B$1:$L$257,7,FALSE)),"",(VLOOKUP($B85,'B-1 On-Site Hedge Baseline'!$B$1:$L$257,7,FALSE))))</f>
        <v/>
      </c>
      <c r="H85" s="295" t="str">
        <f>IF(B85="","",IF(ISNA(VLOOKUP($B85,'B-1 On-Site Hedge Baseline'!$B$1:$L$257,8,FALSE)),"",(VLOOKUP($B85,'B-1 On-Site Hedge Baseline'!$B$1:$L$257,8,FALSE))))</f>
        <v/>
      </c>
      <c r="I85" s="295" t="str">
        <f>IF(B85="","",IF(ISNA(VLOOKUP($B85,'B-1 On-Site Hedge Baseline'!$B$1:$L$257,10,FALSE)),"",(VLOOKUP($B85,'B-1 On-Site Hedge Baseline'!$B$1:$L$257,10,FALSE))))</f>
        <v/>
      </c>
      <c r="J85" s="295" t="str">
        <f>IF(B85="","",IF(ISNA(VLOOKUP($B85,'B-1 On-Site Hedge Baseline'!$B$1:$L$257,11,FALSE)),"",(VLOOKUP($B85,'B-1 On-Site Hedge Baseline'!$B$1:$L$257,11,FALSE))))</f>
        <v/>
      </c>
      <c r="K85" s="295" t="str">
        <f>IF(B85="","",IF(ISNA(VLOOKUP($B85,'B-1 On-Site Hedge Baseline'!$B$1:$U$257,13,FALSE)),"",(VLOOKUP($B85,'B-1 On-Site Hedge Baseline'!$B$1:$U$257,13,FALSE))))</f>
        <v/>
      </c>
      <c r="L85" s="299" t="str">
        <f>IF(B85="","",IF(ISNA(VLOOKUP($B85,'B-1 On-Site Hedge Baseline'!$B$1:$U$257,12,FALSE)),"",(VLOOKUP($B85,'B-1 On-Site Hedge Baseline'!$B$1:$U$257,12,FALSE))))</f>
        <v/>
      </c>
      <c r="M85" s="611"/>
      <c r="N85" s="275" t="str">
        <f>IFERROR(IF(B85="","",INDEX('G-6 Hedgerow Data'!$AN$3:$AZ$15,MATCH(C85,'G-6 Hedgerow Data'!$AM$3:$AM$15,0),MATCH(M85,'G-6 Hedgerow Data'!$AN$2:$AZ$2,0))),"")</f>
        <v/>
      </c>
      <c r="O85" s="276" t="str">
        <f t="shared" si="8"/>
        <v/>
      </c>
      <c r="P85" s="329" t="str">
        <f>IF(B85="","",VLOOKUP(B85,'B-1 On-Site Hedge Baseline'!$B$10:T330,16,FALSE))</f>
        <v/>
      </c>
      <c r="Q85" s="275" t="str">
        <f>IF(M85="","",VLOOKUP(M85,'G-6 Hedgerow Data'!$B$2:$AG$15,2,FALSE))</f>
        <v/>
      </c>
      <c r="R85" s="276" t="str">
        <f>IF(M85="","",VLOOKUP(M85,'G-6 Hedgerow Data'!$B$2:$AG$15,3,FALSE))</f>
        <v/>
      </c>
      <c r="S85" s="108"/>
      <c r="T85" s="314" t="str">
        <f>IFERROR(IF(S85="","",IF(AND(M85="Non-native and ornamental hedgerow",S85&lt;&gt;"Poor"),"Not possible ▲",(VLOOKUP(S85,'G-1 All Habitats'!$Z$2:$AA$9,2,FALSE)))),"")</f>
        <v/>
      </c>
      <c r="U85" s="105"/>
      <c r="V85" s="295" t="str">
        <f>IF(U85="","",IF(VLOOKUP(U85,'G-3 Multipliers'!$L$3:$N$6,2,FALSE)=0,"Spatial Data Missing ⚠",VLOOKUP(U85,'G-3 Multipliers'!$L$3:$N$6,2,FALSE)))</f>
        <v/>
      </c>
      <c r="W85" s="299" t="str">
        <f>IF(U85="","",IF(VLOOKUP(U85,'G-3 Multipliers'!$L$3:$N$6,3,FALSE)=0,"Spatial Data Missing ⚠",VLOOKUP(U85,'G-3 Multipliers'!$L$3:$N$6,3,FALSE)))</f>
        <v/>
      </c>
      <c r="X85" s="275" t="str">
        <f>IFERROR(IF(OR(LEFT(O85,5)="Error",LEFT(N85,5)="Error",T85="Error"),"Check Data ⚠",IF(F85&lt;R85,INDEX('G-6 Hedgerow Data'!$S$3:$AE$14,MATCH(C85,'G-6 Hedgerow Data'!$B$3:$B$14,0),MATCH(M85,'G-6 Hedgerow Data'!$S$2:$AE$2,0)),INDEX('G-6 Hedgerow Data'!$K$3:$Q$14,MATCH(M85,'G-6 Hedgerow Data'!$B$3:$B$14,0),MATCH(O85,'G-6 Hedgerow Data'!$K$2:$Q$2,0)))),"")</f>
        <v/>
      </c>
      <c r="Y85" s="133"/>
      <c r="Z85" s="133"/>
      <c r="AA85" s="283" t="str">
        <f t="shared" si="9"/>
        <v/>
      </c>
      <c r="AB85" s="296" t="str">
        <f t="shared" si="10"/>
        <v/>
      </c>
      <c r="AC85" s="297" t="str">
        <f t="shared" si="7"/>
        <v/>
      </c>
      <c r="AD85" s="311" t="str">
        <f>IF(M85="","",VLOOKUP(M85,'G-6 Hedgerow Data'!$B$3:$AG$15,31,FALSE))</f>
        <v/>
      </c>
      <c r="AE85" s="283" t="str">
        <f t="shared" si="11"/>
        <v/>
      </c>
      <c r="AF85" s="283" t="str">
        <f t="shared" si="12"/>
        <v/>
      </c>
      <c r="AG85" s="299" t="str">
        <f>IFERROR(IF(O85="","",VLOOKUP(AD85,'G-3 Multipliers'!$P$3:$Q$6,2,FALSE)),"")</f>
        <v/>
      </c>
      <c r="AH85" s="289" t="str">
        <f t="shared" si="13"/>
        <v/>
      </c>
      <c r="AI85" s="108"/>
      <c r="AJ85" s="115"/>
      <c r="AK85" s="104"/>
      <c r="AT85" s="30" t="str">
        <f>IFERROR(INDEX('G-6 Hedgerow Data'!$BJ$3:$BJ$15,MATCH(M85,'G-6 Hedgerow Data'!$B$3:$B$15,0)),"")</f>
        <v/>
      </c>
    </row>
    <row r="86" spans="2:46" ht="14">
      <c r="B86" s="305" t="str">
        <f>'B-1 On-Site Hedge Baseline'!AK84</f>
        <v/>
      </c>
      <c r="C86" s="295" t="str">
        <f>IF(B86="","",IF(ISNA(VLOOKUP($B86,'B-1 On-Site Hedge Baseline'!$B$1:$L$257,3,FALSE)),"",(VLOOKUP($B86,'B-1 On-Site Hedge Baseline'!$B$1:$L$257,3,FALSE))))</f>
        <v/>
      </c>
      <c r="D86" s="295" t="str">
        <f>IF(B86="","",IF(ISNA(VLOOKUP($B86,'B-1 On-Site Hedge Baseline'!$B$1:$L$257,4,FALSE)),"",(VLOOKUP($B86,'B-1 On-Site Hedge Baseline'!$B$1:$L$257,4,FALSE))))</f>
        <v/>
      </c>
      <c r="E86" s="295" t="str">
        <f>IF(B86="","",IF(ISNA(VLOOKUP($B86,'B-1 On-Site Hedge Baseline'!$B$1:$L$257,5,FALSE)),"",(VLOOKUP($B86,'B-1 On-Site Hedge Baseline'!$B$1:$L$257,5,FALSE))))</f>
        <v/>
      </c>
      <c r="F86" s="295" t="str">
        <f>IF(B86="","",IF(ISNA(VLOOKUP($B86,'B-1 On-Site Hedge Baseline'!$B$1:$L$257,6,FALSE)),"",(VLOOKUP($B86,'B-1 On-Site Hedge Baseline'!$B$1:$L$257,6,FALSE))))</f>
        <v/>
      </c>
      <c r="G86" s="295" t="str">
        <f>IF(B86="","",IF(ISNA(VLOOKUP($B86,'B-1 On-Site Hedge Baseline'!$B$1:$L$257,7,FALSE)),"",(VLOOKUP($B86,'B-1 On-Site Hedge Baseline'!$B$1:$L$257,7,FALSE))))</f>
        <v/>
      </c>
      <c r="H86" s="295" t="str">
        <f>IF(B86="","",IF(ISNA(VLOOKUP($B86,'B-1 On-Site Hedge Baseline'!$B$1:$L$257,8,FALSE)),"",(VLOOKUP($B86,'B-1 On-Site Hedge Baseline'!$B$1:$L$257,8,FALSE))))</f>
        <v/>
      </c>
      <c r="I86" s="295" t="str">
        <f>IF(B86="","",IF(ISNA(VLOOKUP($B86,'B-1 On-Site Hedge Baseline'!$B$1:$L$257,10,FALSE)),"",(VLOOKUP($B86,'B-1 On-Site Hedge Baseline'!$B$1:$L$257,10,FALSE))))</f>
        <v/>
      </c>
      <c r="J86" s="295" t="str">
        <f>IF(B86="","",IF(ISNA(VLOOKUP($B86,'B-1 On-Site Hedge Baseline'!$B$1:$L$257,11,FALSE)),"",(VLOOKUP($B86,'B-1 On-Site Hedge Baseline'!$B$1:$L$257,11,FALSE))))</f>
        <v/>
      </c>
      <c r="K86" s="295" t="str">
        <f>IF(B86="","",IF(ISNA(VLOOKUP($B86,'B-1 On-Site Hedge Baseline'!$B$1:$U$257,13,FALSE)),"",(VLOOKUP($B86,'B-1 On-Site Hedge Baseline'!$B$1:$U$257,13,FALSE))))</f>
        <v/>
      </c>
      <c r="L86" s="299" t="str">
        <f>IF(B86="","",IF(ISNA(VLOOKUP($B86,'B-1 On-Site Hedge Baseline'!$B$1:$U$257,12,FALSE)),"",(VLOOKUP($B86,'B-1 On-Site Hedge Baseline'!$B$1:$U$257,12,FALSE))))</f>
        <v/>
      </c>
      <c r="M86" s="611"/>
      <c r="N86" s="275" t="str">
        <f>IFERROR(IF(B86="","",INDEX('G-6 Hedgerow Data'!$AN$3:$AZ$15,MATCH(C86,'G-6 Hedgerow Data'!$AM$3:$AM$15,0),MATCH(M86,'G-6 Hedgerow Data'!$AN$2:$AZ$2,0))),"")</f>
        <v/>
      </c>
      <c r="O86" s="276" t="str">
        <f t="shared" si="8"/>
        <v/>
      </c>
      <c r="P86" s="329" t="str">
        <f>IF(B86="","",VLOOKUP(B86,'B-1 On-Site Hedge Baseline'!$B$10:T331,16,FALSE))</f>
        <v/>
      </c>
      <c r="Q86" s="275" t="str">
        <f>IF(M86="","",VLOOKUP(M86,'G-6 Hedgerow Data'!$B$2:$AG$15,2,FALSE))</f>
        <v/>
      </c>
      <c r="R86" s="276" t="str">
        <f>IF(M86="","",VLOOKUP(M86,'G-6 Hedgerow Data'!$B$2:$AG$15,3,FALSE))</f>
        <v/>
      </c>
      <c r="S86" s="108"/>
      <c r="T86" s="314" t="str">
        <f>IFERROR(IF(S86="","",IF(AND(M86="Non-native and ornamental hedgerow",S86&lt;&gt;"Poor"),"Not possible ▲",(VLOOKUP(S86,'G-1 All Habitats'!$Z$2:$AA$9,2,FALSE)))),"")</f>
        <v/>
      </c>
      <c r="U86" s="105"/>
      <c r="V86" s="295" t="str">
        <f>IF(U86="","",IF(VLOOKUP(U86,'G-3 Multipliers'!$L$3:$N$6,2,FALSE)=0,"Spatial Data Missing ⚠",VLOOKUP(U86,'G-3 Multipliers'!$L$3:$N$6,2,FALSE)))</f>
        <v/>
      </c>
      <c r="W86" s="299" t="str">
        <f>IF(U86="","",IF(VLOOKUP(U86,'G-3 Multipliers'!$L$3:$N$6,3,FALSE)=0,"Spatial Data Missing ⚠",VLOOKUP(U86,'G-3 Multipliers'!$L$3:$N$6,3,FALSE)))</f>
        <v/>
      </c>
      <c r="X86" s="275" t="str">
        <f>IFERROR(IF(OR(LEFT(O86,5)="Error",LEFT(N86,5)="Error",T86="Error"),"Check Data ⚠",IF(F86&lt;R86,INDEX('G-6 Hedgerow Data'!$S$3:$AE$14,MATCH(C86,'G-6 Hedgerow Data'!$B$3:$B$14,0),MATCH(M86,'G-6 Hedgerow Data'!$S$2:$AE$2,0)),INDEX('G-6 Hedgerow Data'!$K$3:$Q$14,MATCH(M86,'G-6 Hedgerow Data'!$B$3:$B$14,0),MATCH(O86,'G-6 Hedgerow Data'!$K$2:$Q$2,0)))),"")</f>
        <v/>
      </c>
      <c r="Y86" s="133"/>
      <c r="Z86" s="133"/>
      <c r="AA86" s="283" t="str">
        <f t="shared" si="9"/>
        <v/>
      </c>
      <c r="AB86" s="296" t="str">
        <f t="shared" si="10"/>
        <v/>
      </c>
      <c r="AC86" s="297" t="str">
        <f t="shared" si="7"/>
        <v/>
      </c>
      <c r="AD86" s="311" t="str">
        <f>IF(M86="","",VLOOKUP(M86,'G-6 Hedgerow Data'!$B$3:$AG$15,31,FALSE))</f>
        <v/>
      </c>
      <c r="AE86" s="283" t="str">
        <f t="shared" si="11"/>
        <v/>
      </c>
      <c r="AF86" s="283" t="str">
        <f t="shared" si="12"/>
        <v/>
      </c>
      <c r="AG86" s="299" t="str">
        <f>IFERROR(IF(O86="","",VLOOKUP(AD86,'G-3 Multipliers'!$P$3:$Q$6,2,FALSE)),"")</f>
        <v/>
      </c>
      <c r="AH86" s="289" t="str">
        <f t="shared" si="13"/>
        <v/>
      </c>
      <c r="AI86" s="108"/>
      <c r="AJ86" s="115"/>
      <c r="AK86" s="104"/>
      <c r="AT86" s="30" t="str">
        <f>IFERROR(INDEX('G-6 Hedgerow Data'!$BJ$3:$BJ$15,MATCH(M86,'G-6 Hedgerow Data'!$B$3:$B$15,0)),"")</f>
        <v/>
      </c>
    </row>
    <row r="87" spans="2:46" ht="14">
      <c r="B87" s="305" t="str">
        <f>'B-1 On-Site Hedge Baseline'!AK85</f>
        <v/>
      </c>
      <c r="C87" s="295" t="str">
        <f>IF(B87="","",IF(ISNA(VLOOKUP($B87,'B-1 On-Site Hedge Baseline'!$B$1:$L$257,3,FALSE)),"",(VLOOKUP($B87,'B-1 On-Site Hedge Baseline'!$B$1:$L$257,3,FALSE))))</f>
        <v/>
      </c>
      <c r="D87" s="295" t="str">
        <f>IF(B87="","",IF(ISNA(VLOOKUP($B87,'B-1 On-Site Hedge Baseline'!$B$1:$L$257,4,FALSE)),"",(VLOOKUP($B87,'B-1 On-Site Hedge Baseline'!$B$1:$L$257,4,FALSE))))</f>
        <v/>
      </c>
      <c r="E87" s="295" t="str">
        <f>IF(B87="","",IF(ISNA(VLOOKUP($B87,'B-1 On-Site Hedge Baseline'!$B$1:$L$257,5,FALSE)),"",(VLOOKUP($B87,'B-1 On-Site Hedge Baseline'!$B$1:$L$257,5,FALSE))))</f>
        <v/>
      </c>
      <c r="F87" s="295" t="str">
        <f>IF(B87="","",IF(ISNA(VLOOKUP($B87,'B-1 On-Site Hedge Baseline'!$B$1:$L$257,6,FALSE)),"",(VLOOKUP($B87,'B-1 On-Site Hedge Baseline'!$B$1:$L$257,6,FALSE))))</f>
        <v/>
      </c>
      <c r="G87" s="295" t="str">
        <f>IF(B87="","",IF(ISNA(VLOOKUP($B87,'B-1 On-Site Hedge Baseline'!$B$1:$L$257,7,FALSE)),"",(VLOOKUP($B87,'B-1 On-Site Hedge Baseline'!$B$1:$L$257,7,FALSE))))</f>
        <v/>
      </c>
      <c r="H87" s="295" t="str">
        <f>IF(B87="","",IF(ISNA(VLOOKUP($B87,'B-1 On-Site Hedge Baseline'!$B$1:$L$257,8,FALSE)),"",(VLOOKUP($B87,'B-1 On-Site Hedge Baseline'!$B$1:$L$257,8,FALSE))))</f>
        <v/>
      </c>
      <c r="I87" s="295" t="str">
        <f>IF(B87="","",IF(ISNA(VLOOKUP($B87,'B-1 On-Site Hedge Baseline'!$B$1:$L$257,10,FALSE)),"",(VLOOKUP($B87,'B-1 On-Site Hedge Baseline'!$B$1:$L$257,10,FALSE))))</f>
        <v/>
      </c>
      <c r="J87" s="295" t="str">
        <f>IF(B87="","",IF(ISNA(VLOOKUP($B87,'B-1 On-Site Hedge Baseline'!$B$1:$L$257,11,FALSE)),"",(VLOOKUP($B87,'B-1 On-Site Hedge Baseline'!$B$1:$L$257,11,FALSE))))</f>
        <v/>
      </c>
      <c r="K87" s="295" t="str">
        <f>IF(B87="","",IF(ISNA(VLOOKUP($B87,'B-1 On-Site Hedge Baseline'!$B$1:$U$257,13,FALSE)),"",(VLOOKUP($B87,'B-1 On-Site Hedge Baseline'!$B$1:$U$257,13,FALSE))))</f>
        <v/>
      </c>
      <c r="L87" s="299" t="str">
        <f>IF(B87="","",IF(ISNA(VLOOKUP($B87,'B-1 On-Site Hedge Baseline'!$B$1:$U$257,12,FALSE)),"",(VLOOKUP($B87,'B-1 On-Site Hedge Baseline'!$B$1:$U$257,12,FALSE))))</f>
        <v/>
      </c>
      <c r="M87" s="611"/>
      <c r="N87" s="275" t="str">
        <f>IFERROR(IF(B87="","",INDEX('G-6 Hedgerow Data'!$AN$3:$AZ$15,MATCH(C87,'G-6 Hedgerow Data'!$AM$3:$AM$15,0),MATCH(M87,'G-6 Hedgerow Data'!$AN$2:$AZ$2,0))),"")</f>
        <v/>
      </c>
      <c r="O87" s="276" t="str">
        <f t="shared" si="8"/>
        <v/>
      </c>
      <c r="P87" s="329" t="str">
        <f>IF(B87="","",VLOOKUP(B87,'B-1 On-Site Hedge Baseline'!$B$10:T332,16,FALSE))</f>
        <v/>
      </c>
      <c r="Q87" s="275" t="str">
        <f>IF(M87="","",VLOOKUP(M87,'G-6 Hedgerow Data'!$B$2:$AG$15,2,FALSE))</f>
        <v/>
      </c>
      <c r="R87" s="276" t="str">
        <f>IF(M87="","",VLOOKUP(M87,'G-6 Hedgerow Data'!$B$2:$AG$15,3,FALSE))</f>
        <v/>
      </c>
      <c r="S87" s="108"/>
      <c r="T87" s="314" t="str">
        <f>IFERROR(IF(S87="","",IF(AND(M87="Non-native and ornamental hedgerow",S87&lt;&gt;"Poor"),"Not possible ▲",(VLOOKUP(S87,'G-1 All Habitats'!$Z$2:$AA$9,2,FALSE)))),"")</f>
        <v/>
      </c>
      <c r="U87" s="105"/>
      <c r="V87" s="295" t="str">
        <f>IF(U87="","",IF(VLOOKUP(U87,'G-3 Multipliers'!$L$3:$N$6,2,FALSE)=0,"Spatial Data Missing ⚠",VLOOKUP(U87,'G-3 Multipliers'!$L$3:$N$6,2,FALSE)))</f>
        <v/>
      </c>
      <c r="W87" s="299" t="str">
        <f>IF(U87="","",IF(VLOOKUP(U87,'G-3 Multipliers'!$L$3:$N$6,3,FALSE)=0,"Spatial Data Missing ⚠",VLOOKUP(U87,'G-3 Multipliers'!$L$3:$N$6,3,FALSE)))</f>
        <v/>
      </c>
      <c r="X87" s="275" t="str">
        <f>IFERROR(IF(OR(LEFT(O87,5)="Error",LEFT(N87,5)="Error",T87="Error"),"Check Data ⚠",IF(F87&lt;R87,INDEX('G-6 Hedgerow Data'!$S$3:$AE$14,MATCH(C87,'G-6 Hedgerow Data'!$B$3:$B$14,0),MATCH(M87,'G-6 Hedgerow Data'!$S$2:$AE$2,0)),INDEX('G-6 Hedgerow Data'!$K$3:$Q$14,MATCH(M87,'G-6 Hedgerow Data'!$B$3:$B$14,0),MATCH(O87,'G-6 Hedgerow Data'!$K$2:$Q$2,0)))),"")</f>
        <v/>
      </c>
      <c r="Y87" s="133"/>
      <c r="Z87" s="133"/>
      <c r="AA87" s="283" t="str">
        <f t="shared" si="9"/>
        <v/>
      </c>
      <c r="AB87" s="296" t="str">
        <f t="shared" si="10"/>
        <v/>
      </c>
      <c r="AC87" s="297" t="str">
        <f t="shared" si="7"/>
        <v/>
      </c>
      <c r="AD87" s="311" t="str">
        <f>IF(M87="","",VLOOKUP(M87,'G-6 Hedgerow Data'!$B$3:$AG$15,31,FALSE))</f>
        <v/>
      </c>
      <c r="AE87" s="283" t="str">
        <f t="shared" si="11"/>
        <v/>
      </c>
      <c r="AF87" s="283" t="str">
        <f t="shared" si="12"/>
        <v/>
      </c>
      <c r="AG87" s="299" t="str">
        <f>IFERROR(IF(O87="","",VLOOKUP(AD87,'G-3 Multipliers'!$P$3:$Q$6,2,FALSE)),"")</f>
        <v/>
      </c>
      <c r="AH87" s="289" t="str">
        <f t="shared" si="13"/>
        <v/>
      </c>
      <c r="AI87" s="108"/>
      <c r="AJ87" s="115"/>
      <c r="AK87" s="104"/>
      <c r="AT87" s="30" t="str">
        <f>IFERROR(INDEX('G-6 Hedgerow Data'!$BJ$3:$BJ$15,MATCH(M87,'G-6 Hedgerow Data'!$B$3:$B$15,0)),"")</f>
        <v/>
      </c>
    </row>
    <row r="88" spans="2:46" ht="14">
      <c r="B88" s="305" t="str">
        <f>'B-1 On-Site Hedge Baseline'!AK86</f>
        <v/>
      </c>
      <c r="C88" s="295" t="str">
        <f>IF(B88="","",IF(ISNA(VLOOKUP($B88,'B-1 On-Site Hedge Baseline'!$B$1:$L$257,3,FALSE)),"",(VLOOKUP($B88,'B-1 On-Site Hedge Baseline'!$B$1:$L$257,3,FALSE))))</f>
        <v/>
      </c>
      <c r="D88" s="295" t="str">
        <f>IF(B88="","",IF(ISNA(VLOOKUP($B88,'B-1 On-Site Hedge Baseline'!$B$1:$L$257,4,FALSE)),"",(VLOOKUP($B88,'B-1 On-Site Hedge Baseline'!$B$1:$L$257,4,FALSE))))</f>
        <v/>
      </c>
      <c r="E88" s="295" t="str">
        <f>IF(B88="","",IF(ISNA(VLOOKUP($B88,'B-1 On-Site Hedge Baseline'!$B$1:$L$257,5,FALSE)),"",(VLOOKUP($B88,'B-1 On-Site Hedge Baseline'!$B$1:$L$257,5,FALSE))))</f>
        <v/>
      </c>
      <c r="F88" s="295" t="str">
        <f>IF(B88="","",IF(ISNA(VLOOKUP($B88,'B-1 On-Site Hedge Baseline'!$B$1:$L$257,6,FALSE)),"",(VLOOKUP($B88,'B-1 On-Site Hedge Baseline'!$B$1:$L$257,6,FALSE))))</f>
        <v/>
      </c>
      <c r="G88" s="295" t="str">
        <f>IF(B88="","",IF(ISNA(VLOOKUP($B88,'B-1 On-Site Hedge Baseline'!$B$1:$L$257,7,FALSE)),"",(VLOOKUP($B88,'B-1 On-Site Hedge Baseline'!$B$1:$L$257,7,FALSE))))</f>
        <v/>
      </c>
      <c r="H88" s="295" t="str">
        <f>IF(B88="","",IF(ISNA(VLOOKUP($B88,'B-1 On-Site Hedge Baseline'!$B$1:$L$257,8,FALSE)),"",(VLOOKUP($B88,'B-1 On-Site Hedge Baseline'!$B$1:$L$257,8,FALSE))))</f>
        <v/>
      </c>
      <c r="I88" s="295" t="str">
        <f>IF(B88="","",IF(ISNA(VLOOKUP($B88,'B-1 On-Site Hedge Baseline'!$B$1:$L$257,10,FALSE)),"",(VLOOKUP($B88,'B-1 On-Site Hedge Baseline'!$B$1:$L$257,10,FALSE))))</f>
        <v/>
      </c>
      <c r="J88" s="295" t="str">
        <f>IF(B88="","",IF(ISNA(VLOOKUP($B88,'B-1 On-Site Hedge Baseline'!$B$1:$L$257,11,FALSE)),"",(VLOOKUP($B88,'B-1 On-Site Hedge Baseline'!$B$1:$L$257,11,FALSE))))</f>
        <v/>
      </c>
      <c r="K88" s="295" t="str">
        <f>IF(B88="","",IF(ISNA(VLOOKUP($B88,'B-1 On-Site Hedge Baseline'!$B$1:$U$257,13,FALSE)),"",(VLOOKUP($B88,'B-1 On-Site Hedge Baseline'!$B$1:$U$257,13,FALSE))))</f>
        <v/>
      </c>
      <c r="L88" s="299" t="str">
        <f>IF(B88="","",IF(ISNA(VLOOKUP($B88,'B-1 On-Site Hedge Baseline'!$B$1:$U$257,12,FALSE)),"",(VLOOKUP($B88,'B-1 On-Site Hedge Baseline'!$B$1:$U$257,12,FALSE))))</f>
        <v/>
      </c>
      <c r="M88" s="611"/>
      <c r="N88" s="275" t="str">
        <f>IFERROR(IF(B88="","",INDEX('G-6 Hedgerow Data'!$AN$3:$AZ$15,MATCH(C88,'G-6 Hedgerow Data'!$AM$3:$AM$15,0),MATCH(M88,'G-6 Hedgerow Data'!$AN$2:$AZ$2,0))),"")</f>
        <v/>
      </c>
      <c r="O88" s="276" t="str">
        <f t="shared" si="8"/>
        <v/>
      </c>
      <c r="P88" s="329" t="str">
        <f>IF(B88="","",VLOOKUP(B88,'B-1 On-Site Hedge Baseline'!$B$10:T333,16,FALSE))</f>
        <v/>
      </c>
      <c r="Q88" s="275" t="str">
        <f>IF(M88="","",VLOOKUP(M88,'G-6 Hedgerow Data'!$B$2:$AG$15,2,FALSE))</f>
        <v/>
      </c>
      <c r="R88" s="276" t="str">
        <f>IF(M88="","",VLOOKUP(M88,'G-6 Hedgerow Data'!$B$2:$AG$15,3,FALSE))</f>
        <v/>
      </c>
      <c r="S88" s="108"/>
      <c r="T88" s="314" t="str">
        <f>IFERROR(IF(S88="","",IF(AND(M88="Non-native and ornamental hedgerow",S88&lt;&gt;"Poor"),"Not possible ▲",(VLOOKUP(S88,'G-1 All Habitats'!$Z$2:$AA$9,2,FALSE)))),"")</f>
        <v/>
      </c>
      <c r="U88" s="105"/>
      <c r="V88" s="295" t="str">
        <f>IF(U88="","",IF(VLOOKUP(U88,'G-3 Multipliers'!$L$3:$N$6,2,FALSE)=0,"Spatial Data Missing ⚠",VLOOKUP(U88,'G-3 Multipliers'!$L$3:$N$6,2,FALSE)))</f>
        <v/>
      </c>
      <c r="W88" s="299" t="str">
        <f>IF(U88="","",IF(VLOOKUP(U88,'G-3 Multipliers'!$L$3:$N$6,3,FALSE)=0,"Spatial Data Missing ⚠",VLOOKUP(U88,'G-3 Multipliers'!$L$3:$N$6,3,FALSE)))</f>
        <v/>
      </c>
      <c r="X88" s="275" t="str">
        <f>IFERROR(IF(OR(LEFT(O88,5)="Error",LEFT(N88,5)="Error",T88="Error"),"Check Data ⚠",IF(F88&lt;R88,INDEX('G-6 Hedgerow Data'!$S$3:$AE$14,MATCH(C88,'G-6 Hedgerow Data'!$B$3:$B$14,0),MATCH(M88,'G-6 Hedgerow Data'!$S$2:$AE$2,0)),INDEX('G-6 Hedgerow Data'!$K$3:$Q$14,MATCH(M88,'G-6 Hedgerow Data'!$B$3:$B$14,0),MATCH(O88,'G-6 Hedgerow Data'!$K$2:$Q$2,0)))),"")</f>
        <v/>
      </c>
      <c r="Y88" s="133"/>
      <c r="Z88" s="133"/>
      <c r="AA88" s="283" t="str">
        <f t="shared" si="9"/>
        <v/>
      </c>
      <c r="AB88" s="296" t="str">
        <f t="shared" si="10"/>
        <v/>
      </c>
      <c r="AC88" s="297" t="str">
        <f t="shared" si="7"/>
        <v/>
      </c>
      <c r="AD88" s="311" t="str">
        <f>IF(M88="","",VLOOKUP(M88,'G-6 Hedgerow Data'!$B$3:$AG$15,31,FALSE))</f>
        <v/>
      </c>
      <c r="AE88" s="283" t="str">
        <f t="shared" si="11"/>
        <v/>
      </c>
      <c r="AF88" s="283" t="str">
        <f t="shared" si="12"/>
        <v/>
      </c>
      <c r="AG88" s="299" t="str">
        <f>IFERROR(IF(O88="","",VLOOKUP(AD88,'G-3 Multipliers'!$P$3:$Q$6,2,FALSE)),"")</f>
        <v/>
      </c>
      <c r="AH88" s="289" t="str">
        <f t="shared" si="13"/>
        <v/>
      </c>
      <c r="AI88" s="108"/>
      <c r="AJ88" s="115"/>
      <c r="AK88" s="104"/>
      <c r="AT88" s="30" t="str">
        <f>IFERROR(INDEX('G-6 Hedgerow Data'!$BJ$3:$BJ$15,MATCH(M88,'G-6 Hedgerow Data'!$B$3:$B$15,0)),"")</f>
        <v/>
      </c>
    </row>
    <row r="89" spans="2:46" ht="14">
      <c r="B89" s="305" t="str">
        <f>'B-1 On-Site Hedge Baseline'!AK87</f>
        <v/>
      </c>
      <c r="C89" s="295" t="str">
        <f>IF(B89="","",IF(ISNA(VLOOKUP($B89,'B-1 On-Site Hedge Baseline'!$B$1:$L$257,3,FALSE)),"",(VLOOKUP($B89,'B-1 On-Site Hedge Baseline'!$B$1:$L$257,3,FALSE))))</f>
        <v/>
      </c>
      <c r="D89" s="295" t="str">
        <f>IF(B89="","",IF(ISNA(VLOOKUP($B89,'B-1 On-Site Hedge Baseline'!$B$1:$L$257,4,FALSE)),"",(VLOOKUP($B89,'B-1 On-Site Hedge Baseline'!$B$1:$L$257,4,FALSE))))</f>
        <v/>
      </c>
      <c r="E89" s="295" t="str">
        <f>IF(B89="","",IF(ISNA(VLOOKUP($B89,'B-1 On-Site Hedge Baseline'!$B$1:$L$257,5,FALSE)),"",(VLOOKUP($B89,'B-1 On-Site Hedge Baseline'!$B$1:$L$257,5,FALSE))))</f>
        <v/>
      </c>
      <c r="F89" s="295" t="str">
        <f>IF(B89="","",IF(ISNA(VLOOKUP($B89,'B-1 On-Site Hedge Baseline'!$B$1:$L$257,6,FALSE)),"",(VLOOKUP($B89,'B-1 On-Site Hedge Baseline'!$B$1:$L$257,6,FALSE))))</f>
        <v/>
      </c>
      <c r="G89" s="295" t="str">
        <f>IF(B89="","",IF(ISNA(VLOOKUP($B89,'B-1 On-Site Hedge Baseline'!$B$1:$L$257,7,FALSE)),"",(VLOOKUP($B89,'B-1 On-Site Hedge Baseline'!$B$1:$L$257,7,FALSE))))</f>
        <v/>
      </c>
      <c r="H89" s="295" t="str">
        <f>IF(B89="","",IF(ISNA(VLOOKUP($B89,'B-1 On-Site Hedge Baseline'!$B$1:$L$257,8,FALSE)),"",(VLOOKUP($B89,'B-1 On-Site Hedge Baseline'!$B$1:$L$257,8,FALSE))))</f>
        <v/>
      </c>
      <c r="I89" s="295" t="str">
        <f>IF(B89="","",IF(ISNA(VLOOKUP($B89,'B-1 On-Site Hedge Baseline'!$B$1:$L$257,10,FALSE)),"",(VLOOKUP($B89,'B-1 On-Site Hedge Baseline'!$B$1:$L$257,10,FALSE))))</f>
        <v/>
      </c>
      <c r="J89" s="295" t="str">
        <f>IF(B89="","",IF(ISNA(VLOOKUP($B89,'B-1 On-Site Hedge Baseline'!$B$1:$L$257,11,FALSE)),"",(VLOOKUP($B89,'B-1 On-Site Hedge Baseline'!$B$1:$L$257,11,FALSE))))</f>
        <v/>
      </c>
      <c r="K89" s="295" t="str">
        <f>IF(B89="","",IF(ISNA(VLOOKUP($B89,'B-1 On-Site Hedge Baseline'!$B$1:$U$257,13,FALSE)),"",(VLOOKUP($B89,'B-1 On-Site Hedge Baseline'!$B$1:$U$257,13,FALSE))))</f>
        <v/>
      </c>
      <c r="L89" s="299" t="str">
        <f>IF(B89="","",IF(ISNA(VLOOKUP($B89,'B-1 On-Site Hedge Baseline'!$B$1:$U$257,12,FALSE)),"",(VLOOKUP($B89,'B-1 On-Site Hedge Baseline'!$B$1:$U$257,12,FALSE))))</f>
        <v/>
      </c>
      <c r="M89" s="611"/>
      <c r="N89" s="275" t="str">
        <f>IFERROR(IF(B89="","",INDEX('G-6 Hedgerow Data'!$AN$3:$AZ$15,MATCH(C89,'G-6 Hedgerow Data'!$AM$3:$AM$15,0),MATCH(M89,'G-6 Hedgerow Data'!$AN$2:$AZ$2,0))),"")</f>
        <v/>
      </c>
      <c r="O89" s="276" t="str">
        <f t="shared" si="8"/>
        <v/>
      </c>
      <c r="P89" s="329" t="str">
        <f>IF(B89="","",VLOOKUP(B89,'B-1 On-Site Hedge Baseline'!$B$10:T334,16,FALSE))</f>
        <v/>
      </c>
      <c r="Q89" s="275" t="str">
        <f>IF(M89="","",VLOOKUP(M89,'G-6 Hedgerow Data'!$B$2:$AG$15,2,FALSE))</f>
        <v/>
      </c>
      <c r="R89" s="276" t="str">
        <f>IF(M89="","",VLOOKUP(M89,'G-6 Hedgerow Data'!$B$2:$AG$15,3,FALSE))</f>
        <v/>
      </c>
      <c r="S89" s="108"/>
      <c r="T89" s="314" t="str">
        <f>IFERROR(IF(S89="","",IF(AND(M89="Non-native and ornamental hedgerow",S89&lt;&gt;"Poor"),"Not possible ▲",(VLOOKUP(S89,'G-1 All Habitats'!$Z$2:$AA$9,2,FALSE)))),"")</f>
        <v/>
      </c>
      <c r="U89" s="105"/>
      <c r="V89" s="295" t="str">
        <f>IF(U89="","",IF(VLOOKUP(U89,'G-3 Multipliers'!$L$3:$N$6,2,FALSE)=0,"Spatial Data Missing ⚠",VLOOKUP(U89,'G-3 Multipliers'!$L$3:$N$6,2,FALSE)))</f>
        <v/>
      </c>
      <c r="W89" s="299" t="str">
        <f>IF(U89="","",IF(VLOOKUP(U89,'G-3 Multipliers'!$L$3:$N$6,3,FALSE)=0,"Spatial Data Missing ⚠",VLOOKUP(U89,'G-3 Multipliers'!$L$3:$N$6,3,FALSE)))</f>
        <v/>
      </c>
      <c r="X89" s="275" t="str">
        <f>IFERROR(IF(OR(LEFT(O89,5)="Error",LEFT(N89,5)="Error",T89="Error"),"Check Data ⚠",IF(F89&lt;R89,INDEX('G-6 Hedgerow Data'!$S$3:$AE$14,MATCH(C89,'G-6 Hedgerow Data'!$B$3:$B$14,0),MATCH(M89,'G-6 Hedgerow Data'!$S$2:$AE$2,0)),INDEX('G-6 Hedgerow Data'!$K$3:$Q$14,MATCH(M89,'G-6 Hedgerow Data'!$B$3:$B$14,0),MATCH(O89,'G-6 Hedgerow Data'!$K$2:$Q$2,0)))),"")</f>
        <v/>
      </c>
      <c r="Y89" s="133"/>
      <c r="Z89" s="133"/>
      <c r="AA89" s="283" t="str">
        <f t="shared" si="9"/>
        <v/>
      </c>
      <c r="AB89" s="296" t="str">
        <f t="shared" si="10"/>
        <v/>
      </c>
      <c r="AC89" s="297" t="str">
        <f t="shared" si="7"/>
        <v/>
      </c>
      <c r="AD89" s="311" t="str">
        <f>IF(M89="","",VLOOKUP(M89,'G-6 Hedgerow Data'!$B$3:$AG$15,31,FALSE))</f>
        <v/>
      </c>
      <c r="AE89" s="283" t="str">
        <f t="shared" si="11"/>
        <v/>
      </c>
      <c r="AF89" s="283" t="str">
        <f t="shared" si="12"/>
        <v/>
      </c>
      <c r="AG89" s="299" t="str">
        <f>IFERROR(IF(O89="","",VLOOKUP(AD89,'G-3 Multipliers'!$P$3:$Q$6,2,FALSE)),"")</f>
        <v/>
      </c>
      <c r="AH89" s="289" t="str">
        <f t="shared" si="13"/>
        <v/>
      </c>
      <c r="AI89" s="108"/>
      <c r="AJ89" s="115"/>
      <c r="AK89" s="104"/>
      <c r="AT89" s="30" t="str">
        <f>IFERROR(INDEX('G-6 Hedgerow Data'!$BJ$3:$BJ$15,MATCH(M89,'G-6 Hedgerow Data'!$B$3:$B$15,0)),"")</f>
        <v/>
      </c>
    </row>
    <row r="90" spans="2:46" ht="14">
      <c r="B90" s="305" t="str">
        <f>'B-1 On-Site Hedge Baseline'!AK88</f>
        <v/>
      </c>
      <c r="C90" s="295" t="str">
        <f>IF(B90="","",IF(ISNA(VLOOKUP($B90,'B-1 On-Site Hedge Baseline'!$B$1:$L$257,3,FALSE)),"",(VLOOKUP($B90,'B-1 On-Site Hedge Baseline'!$B$1:$L$257,3,FALSE))))</f>
        <v/>
      </c>
      <c r="D90" s="295" t="str">
        <f>IF(B90="","",IF(ISNA(VLOOKUP($B90,'B-1 On-Site Hedge Baseline'!$B$1:$L$257,4,FALSE)),"",(VLOOKUP($B90,'B-1 On-Site Hedge Baseline'!$B$1:$L$257,4,FALSE))))</f>
        <v/>
      </c>
      <c r="E90" s="295" t="str">
        <f>IF(B90="","",IF(ISNA(VLOOKUP($B90,'B-1 On-Site Hedge Baseline'!$B$1:$L$257,5,FALSE)),"",(VLOOKUP($B90,'B-1 On-Site Hedge Baseline'!$B$1:$L$257,5,FALSE))))</f>
        <v/>
      </c>
      <c r="F90" s="295" t="str">
        <f>IF(B90="","",IF(ISNA(VLOOKUP($B90,'B-1 On-Site Hedge Baseline'!$B$1:$L$257,6,FALSE)),"",(VLOOKUP($B90,'B-1 On-Site Hedge Baseline'!$B$1:$L$257,6,FALSE))))</f>
        <v/>
      </c>
      <c r="G90" s="295" t="str">
        <f>IF(B90="","",IF(ISNA(VLOOKUP($B90,'B-1 On-Site Hedge Baseline'!$B$1:$L$257,7,FALSE)),"",(VLOOKUP($B90,'B-1 On-Site Hedge Baseline'!$B$1:$L$257,7,FALSE))))</f>
        <v/>
      </c>
      <c r="H90" s="295" t="str">
        <f>IF(B90="","",IF(ISNA(VLOOKUP($B90,'B-1 On-Site Hedge Baseline'!$B$1:$L$257,8,FALSE)),"",(VLOOKUP($B90,'B-1 On-Site Hedge Baseline'!$B$1:$L$257,8,FALSE))))</f>
        <v/>
      </c>
      <c r="I90" s="295" t="str">
        <f>IF(B90="","",IF(ISNA(VLOOKUP($B90,'B-1 On-Site Hedge Baseline'!$B$1:$L$257,10,FALSE)),"",(VLOOKUP($B90,'B-1 On-Site Hedge Baseline'!$B$1:$L$257,10,FALSE))))</f>
        <v/>
      </c>
      <c r="J90" s="295" t="str">
        <f>IF(B90="","",IF(ISNA(VLOOKUP($B90,'B-1 On-Site Hedge Baseline'!$B$1:$L$257,11,FALSE)),"",(VLOOKUP($B90,'B-1 On-Site Hedge Baseline'!$B$1:$L$257,11,FALSE))))</f>
        <v/>
      </c>
      <c r="K90" s="295" t="str">
        <f>IF(B90="","",IF(ISNA(VLOOKUP($B90,'B-1 On-Site Hedge Baseline'!$B$1:$U$257,13,FALSE)),"",(VLOOKUP($B90,'B-1 On-Site Hedge Baseline'!$B$1:$U$257,13,FALSE))))</f>
        <v/>
      </c>
      <c r="L90" s="299" t="str">
        <f>IF(B90="","",IF(ISNA(VLOOKUP($B90,'B-1 On-Site Hedge Baseline'!$B$1:$U$257,12,FALSE)),"",(VLOOKUP($B90,'B-1 On-Site Hedge Baseline'!$B$1:$U$257,12,FALSE))))</f>
        <v/>
      </c>
      <c r="M90" s="611"/>
      <c r="N90" s="275" t="str">
        <f>IFERROR(IF(B90="","",INDEX('G-6 Hedgerow Data'!$AN$3:$AZ$15,MATCH(C90,'G-6 Hedgerow Data'!$AM$3:$AM$15,0),MATCH(M90,'G-6 Hedgerow Data'!$AN$2:$AZ$2,0))),"")</f>
        <v/>
      </c>
      <c r="O90" s="276" t="str">
        <f t="shared" si="8"/>
        <v/>
      </c>
      <c r="P90" s="329" t="str">
        <f>IF(B90="","",VLOOKUP(B90,'B-1 On-Site Hedge Baseline'!$B$10:T335,16,FALSE))</f>
        <v/>
      </c>
      <c r="Q90" s="275" t="str">
        <f>IF(M90="","",VLOOKUP(M90,'G-6 Hedgerow Data'!$B$2:$AG$15,2,FALSE))</f>
        <v/>
      </c>
      <c r="R90" s="276" t="str">
        <f>IF(M90="","",VLOOKUP(M90,'G-6 Hedgerow Data'!$B$2:$AG$15,3,FALSE))</f>
        <v/>
      </c>
      <c r="S90" s="108"/>
      <c r="T90" s="314" t="str">
        <f>IFERROR(IF(S90="","",IF(AND(M90="Non-native and ornamental hedgerow",S90&lt;&gt;"Poor"),"Not possible ▲",(VLOOKUP(S90,'G-1 All Habitats'!$Z$2:$AA$9,2,FALSE)))),"")</f>
        <v/>
      </c>
      <c r="U90" s="105"/>
      <c r="V90" s="295" t="str">
        <f>IF(U90="","",IF(VLOOKUP(U90,'G-3 Multipliers'!$L$3:$N$6,2,FALSE)=0,"Spatial Data Missing ⚠",VLOOKUP(U90,'G-3 Multipliers'!$L$3:$N$6,2,FALSE)))</f>
        <v/>
      </c>
      <c r="W90" s="299" t="str">
        <f>IF(U90="","",IF(VLOOKUP(U90,'G-3 Multipliers'!$L$3:$N$6,3,FALSE)=0,"Spatial Data Missing ⚠",VLOOKUP(U90,'G-3 Multipliers'!$L$3:$N$6,3,FALSE)))</f>
        <v/>
      </c>
      <c r="X90" s="275" t="str">
        <f>IFERROR(IF(OR(LEFT(O90,5)="Error",LEFT(N90,5)="Error",T90="Error"),"Check Data ⚠",IF(F90&lt;R90,INDEX('G-6 Hedgerow Data'!$S$3:$AE$14,MATCH(C90,'G-6 Hedgerow Data'!$B$3:$B$14,0),MATCH(M90,'G-6 Hedgerow Data'!$S$2:$AE$2,0)),INDEX('G-6 Hedgerow Data'!$K$3:$Q$14,MATCH(M90,'G-6 Hedgerow Data'!$B$3:$B$14,0),MATCH(O90,'G-6 Hedgerow Data'!$K$2:$Q$2,0)))),"")</f>
        <v/>
      </c>
      <c r="Y90" s="133"/>
      <c r="Z90" s="133"/>
      <c r="AA90" s="283" t="str">
        <f t="shared" si="9"/>
        <v/>
      </c>
      <c r="AB90" s="296" t="str">
        <f t="shared" si="10"/>
        <v/>
      </c>
      <c r="AC90" s="297" t="str">
        <f t="shared" si="7"/>
        <v/>
      </c>
      <c r="AD90" s="311" t="str">
        <f>IF(M90="","",VLOOKUP(M90,'G-6 Hedgerow Data'!$B$3:$AG$15,31,FALSE))</f>
        <v/>
      </c>
      <c r="AE90" s="283" t="str">
        <f t="shared" si="11"/>
        <v/>
      </c>
      <c r="AF90" s="283" t="str">
        <f t="shared" si="12"/>
        <v/>
      </c>
      <c r="AG90" s="299" t="str">
        <f>IFERROR(IF(O90="","",VLOOKUP(AD90,'G-3 Multipliers'!$P$3:$Q$6,2,FALSE)),"")</f>
        <v/>
      </c>
      <c r="AH90" s="289" t="str">
        <f t="shared" si="13"/>
        <v/>
      </c>
      <c r="AI90" s="108"/>
      <c r="AJ90" s="115"/>
      <c r="AK90" s="104"/>
      <c r="AT90" s="30" t="str">
        <f>IFERROR(INDEX('G-6 Hedgerow Data'!$BJ$3:$BJ$15,MATCH(M90,'G-6 Hedgerow Data'!$B$3:$B$15,0)),"")</f>
        <v/>
      </c>
    </row>
    <row r="91" spans="2:46" ht="14">
      <c r="B91" s="305" t="str">
        <f>'B-1 On-Site Hedge Baseline'!AK89</f>
        <v/>
      </c>
      <c r="C91" s="295" t="str">
        <f>IF(B91="","",IF(ISNA(VLOOKUP($B91,'B-1 On-Site Hedge Baseline'!$B$1:$L$257,3,FALSE)),"",(VLOOKUP($B91,'B-1 On-Site Hedge Baseline'!$B$1:$L$257,3,FALSE))))</f>
        <v/>
      </c>
      <c r="D91" s="295" t="str">
        <f>IF(B91="","",IF(ISNA(VLOOKUP($B91,'B-1 On-Site Hedge Baseline'!$B$1:$L$257,4,FALSE)),"",(VLOOKUP($B91,'B-1 On-Site Hedge Baseline'!$B$1:$L$257,4,FALSE))))</f>
        <v/>
      </c>
      <c r="E91" s="295" t="str">
        <f>IF(B91="","",IF(ISNA(VLOOKUP($B91,'B-1 On-Site Hedge Baseline'!$B$1:$L$257,5,FALSE)),"",(VLOOKUP($B91,'B-1 On-Site Hedge Baseline'!$B$1:$L$257,5,FALSE))))</f>
        <v/>
      </c>
      <c r="F91" s="295" t="str">
        <f>IF(B91="","",IF(ISNA(VLOOKUP($B91,'B-1 On-Site Hedge Baseline'!$B$1:$L$257,6,FALSE)),"",(VLOOKUP($B91,'B-1 On-Site Hedge Baseline'!$B$1:$L$257,6,FALSE))))</f>
        <v/>
      </c>
      <c r="G91" s="295" t="str">
        <f>IF(B91="","",IF(ISNA(VLOOKUP($B91,'B-1 On-Site Hedge Baseline'!$B$1:$L$257,7,FALSE)),"",(VLOOKUP($B91,'B-1 On-Site Hedge Baseline'!$B$1:$L$257,7,FALSE))))</f>
        <v/>
      </c>
      <c r="H91" s="295" t="str">
        <f>IF(B91="","",IF(ISNA(VLOOKUP($B91,'B-1 On-Site Hedge Baseline'!$B$1:$L$257,8,FALSE)),"",(VLOOKUP($B91,'B-1 On-Site Hedge Baseline'!$B$1:$L$257,8,FALSE))))</f>
        <v/>
      </c>
      <c r="I91" s="295" t="str">
        <f>IF(B91="","",IF(ISNA(VLOOKUP($B91,'B-1 On-Site Hedge Baseline'!$B$1:$L$257,10,FALSE)),"",(VLOOKUP($B91,'B-1 On-Site Hedge Baseline'!$B$1:$L$257,10,FALSE))))</f>
        <v/>
      </c>
      <c r="J91" s="295" t="str">
        <f>IF(B91="","",IF(ISNA(VLOOKUP($B91,'B-1 On-Site Hedge Baseline'!$B$1:$L$257,11,FALSE)),"",(VLOOKUP($B91,'B-1 On-Site Hedge Baseline'!$B$1:$L$257,11,FALSE))))</f>
        <v/>
      </c>
      <c r="K91" s="295" t="str">
        <f>IF(B91="","",IF(ISNA(VLOOKUP($B91,'B-1 On-Site Hedge Baseline'!$B$1:$U$257,13,FALSE)),"",(VLOOKUP($B91,'B-1 On-Site Hedge Baseline'!$B$1:$U$257,13,FALSE))))</f>
        <v/>
      </c>
      <c r="L91" s="299" t="str">
        <f>IF(B91="","",IF(ISNA(VLOOKUP($B91,'B-1 On-Site Hedge Baseline'!$B$1:$U$257,12,FALSE)),"",(VLOOKUP($B91,'B-1 On-Site Hedge Baseline'!$B$1:$U$257,12,FALSE))))</f>
        <v/>
      </c>
      <c r="M91" s="611"/>
      <c r="N91" s="275" t="str">
        <f>IFERROR(IF(B91="","",INDEX('G-6 Hedgerow Data'!$AN$3:$AZ$15,MATCH(C91,'G-6 Hedgerow Data'!$AM$3:$AM$15,0),MATCH(M91,'G-6 Hedgerow Data'!$AN$2:$AZ$2,0))),"")</f>
        <v/>
      </c>
      <c r="O91" s="276" t="str">
        <f t="shared" si="8"/>
        <v/>
      </c>
      <c r="P91" s="329" t="str">
        <f>IF(B91="","",VLOOKUP(B91,'B-1 On-Site Hedge Baseline'!$B$10:T336,16,FALSE))</f>
        <v/>
      </c>
      <c r="Q91" s="275" t="str">
        <f>IF(M91="","",VLOOKUP(M91,'G-6 Hedgerow Data'!$B$2:$AG$15,2,FALSE))</f>
        <v/>
      </c>
      <c r="R91" s="276" t="str">
        <f>IF(M91="","",VLOOKUP(M91,'G-6 Hedgerow Data'!$B$2:$AG$15,3,FALSE))</f>
        <v/>
      </c>
      <c r="S91" s="108"/>
      <c r="T91" s="314" t="str">
        <f>IFERROR(IF(S91="","",IF(AND(M91="Non-native and ornamental hedgerow",S91&lt;&gt;"Poor"),"Not possible ▲",(VLOOKUP(S91,'G-1 All Habitats'!$Z$2:$AA$9,2,FALSE)))),"")</f>
        <v/>
      </c>
      <c r="U91" s="105"/>
      <c r="V91" s="295" t="str">
        <f>IF(U91="","",IF(VLOOKUP(U91,'G-3 Multipliers'!$L$3:$N$6,2,FALSE)=0,"Spatial Data Missing ⚠",VLOOKUP(U91,'G-3 Multipliers'!$L$3:$N$6,2,FALSE)))</f>
        <v/>
      </c>
      <c r="W91" s="299" t="str">
        <f>IF(U91="","",IF(VLOOKUP(U91,'G-3 Multipliers'!$L$3:$N$6,3,FALSE)=0,"Spatial Data Missing ⚠",VLOOKUP(U91,'G-3 Multipliers'!$L$3:$N$6,3,FALSE)))</f>
        <v/>
      </c>
      <c r="X91" s="275" t="str">
        <f>IFERROR(IF(OR(LEFT(O91,5)="Error",LEFT(N91,5)="Error",T91="Error"),"Check Data ⚠",IF(F91&lt;R91,INDEX('G-6 Hedgerow Data'!$S$3:$AE$14,MATCH(C91,'G-6 Hedgerow Data'!$B$3:$B$14,0),MATCH(M91,'G-6 Hedgerow Data'!$S$2:$AE$2,0)),INDEX('G-6 Hedgerow Data'!$K$3:$Q$14,MATCH(M91,'G-6 Hedgerow Data'!$B$3:$B$14,0),MATCH(O91,'G-6 Hedgerow Data'!$K$2:$Q$2,0)))),"")</f>
        <v/>
      </c>
      <c r="Y91" s="133"/>
      <c r="Z91" s="133"/>
      <c r="AA91" s="283" t="str">
        <f t="shared" si="9"/>
        <v/>
      </c>
      <c r="AB91" s="296" t="str">
        <f t="shared" si="10"/>
        <v/>
      </c>
      <c r="AC91" s="297" t="str">
        <f t="shared" si="7"/>
        <v/>
      </c>
      <c r="AD91" s="311" t="str">
        <f>IF(M91="","",VLOOKUP(M91,'G-6 Hedgerow Data'!$B$3:$AG$15,31,FALSE))</f>
        <v/>
      </c>
      <c r="AE91" s="283" t="str">
        <f t="shared" si="11"/>
        <v/>
      </c>
      <c r="AF91" s="283" t="str">
        <f t="shared" si="12"/>
        <v/>
      </c>
      <c r="AG91" s="299" t="str">
        <f>IFERROR(IF(O91="","",VLOOKUP(AD91,'G-3 Multipliers'!$P$3:$Q$6,2,FALSE)),"")</f>
        <v/>
      </c>
      <c r="AH91" s="289" t="str">
        <f t="shared" si="13"/>
        <v/>
      </c>
      <c r="AI91" s="108"/>
      <c r="AJ91" s="115"/>
      <c r="AK91" s="104"/>
      <c r="AT91" s="30" t="str">
        <f>IFERROR(INDEX('G-6 Hedgerow Data'!$BJ$3:$BJ$15,MATCH(M91,'G-6 Hedgerow Data'!$B$3:$B$15,0)),"")</f>
        <v/>
      </c>
    </row>
    <row r="92" spans="2:46" ht="14">
      <c r="B92" s="305" t="str">
        <f>'B-1 On-Site Hedge Baseline'!AK90</f>
        <v/>
      </c>
      <c r="C92" s="295" t="str">
        <f>IF(B92="","",IF(ISNA(VLOOKUP($B92,'B-1 On-Site Hedge Baseline'!$B$1:$L$257,3,FALSE)),"",(VLOOKUP($B92,'B-1 On-Site Hedge Baseline'!$B$1:$L$257,3,FALSE))))</f>
        <v/>
      </c>
      <c r="D92" s="295" t="str">
        <f>IF(B92="","",IF(ISNA(VLOOKUP($B92,'B-1 On-Site Hedge Baseline'!$B$1:$L$257,4,FALSE)),"",(VLOOKUP($B92,'B-1 On-Site Hedge Baseline'!$B$1:$L$257,4,FALSE))))</f>
        <v/>
      </c>
      <c r="E92" s="295" t="str">
        <f>IF(B92="","",IF(ISNA(VLOOKUP($B92,'B-1 On-Site Hedge Baseline'!$B$1:$L$257,5,FALSE)),"",(VLOOKUP($B92,'B-1 On-Site Hedge Baseline'!$B$1:$L$257,5,FALSE))))</f>
        <v/>
      </c>
      <c r="F92" s="295" t="str">
        <f>IF(B92="","",IF(ISNA(VLOOKUP($B92,'B-1 On-Site Hedge Baseline'!$B$1:$L$257,6,FALSE)),"",(VLOOKUP($B92,'B-1 On-Site Hedge Baseline'!$B$1:$L$257,6,FALSE))))</f>
        <v/>
      </c>
      <c r="G92" s="295" t="str">
        <f>IF(B92="","",IF(ISNA(VLOOKUP($B92,'B-1 On-Site Hedge Baseline'!$B$1:$L$257,7,FALSE)),"",(VLOOKUP($B92,'B-1 On-Site Hedge Baseline'!$B$1:$L$257,7,FALSE))))</f>
        <v/>
      </c>
      <c r="H92" s="295" t="str">
        <f>IF(B92="","",IF(ISNA(VLOOKUP($B92,'B-1 On-Site Hedge Baseline'!$B$1:$L$257,8,FALSE)),"",(VLOOKUP($B92,'B-1 On-Site Hedge Baseline'!$B$1:$L$257,8,FALSE))))</f>
        <v/>
      </c>
      <c r="I92" s="295" t="str">
        <f>IF(B92="","",IF(ISNA(VLOOKUP($B92,'B-1 On-Site Hedge Baseline'!$B$1:$L$257,10,FALSE)),"",(VLOOKUP($B92,'B-1 On-Site Hedge Baseline'!$B$1:$L$257,10,FALSE))))</f>
        <v/>
      </c>
      <c r="J92" s="295" t="str">
        <f>IF(B92="","",IF(ISNA(VLOOKUP($B92,'B-1 On-Site Hedge Baseline'!$B$1:$L$257,11,FALSE)),"",(VLOOKUP($B92,'B-1 On-Site Hedge Baseline'!$B$1:$L$257,11,FALSE))))</f>
        <v/>
      </c>
      <c r="K92" s="295" t="str">
        <f>IF(B92="","",IF(ISNA(VLOOKUP($B92,'B-1 On-Site Hedge Baseline'!$B$1:$U$257,13,FALSE)),"",(VLOOKUP($B92,'B-1 On-Site Hedge Baseline'!$B$1:$U$257,13,FALSE))))</f>
        <v/>
      </c>
      <c r="L92" s="299" t="str">
        <f>IF(B92="","",IF(ISNA(VLOOKUP($B92,'B-1 On-Site Hedge Baseline'!$B$1:$U$257,12,FALSE)),"",(VLOOKUP($B92,'B-1 On-Site Hedge Baseline'!$B$1:$U$257,12,FALSE))))</f>
        <v/>
      </c>
      <c r="M92" s="611"/>
      <c r="N92" s="275" t="str">
        <f>IFERROR(IF(B92="","",INDEX('G-6 Hedgerow Data'!$AN$3:$AZ$15,MATCH(C92,'G-6 Hedgerow Data'!$AM$3:$AM$15,0),MATCH(M92,'G-6 Hedgerow Data'!$AN$2:$AZ$2,0))),"")</f>
        <v/>
      </c>
      <c r="O92" s="276" t="str">
        <f t="shared" si="8"/>
        <v/>
      </c>
      <c r="P92" s="329" t="str">
        <f>IF(B92="","",VLOOKUP(B92,'B-1 On-Site Hedge Baseline'!$B$10:T337,16,FALSE))</f>
        <v/>
      </c>
      <c r="Q92" s="275" t="str">
        <f>IF(M92="","",VLOOKUP(M92,'G-6 Hedgerow Data'!$B$2:$AG$15,2,FALSE))</f>
        <v/>
      </c>
      <c r="R92" s="276" t="str">
        <f>IF(M92="","",VLOOKUP(M92,'G-6 Hedgerow Data'!$B$2:$AG$15,3,FALSE))</f>
        <v/>
      </c>
      <c r="S92" s="108"/>
      <c r="T92" s="314" t="str">
        <f>IFERROR(IF(S92="","",IF(AND(M92="Non-native and ornamental hedgerow",S92&lt;&gt;"Poor"),"Not possible ▲",(VLOOKUP(S92,'G-1 All Habitats'!$Z$2:$AA$9,2,FALSE)))),"")</f>
        <v/>
      </c>
      <c r="U92" s="105"/>
      <c r="V92" s="295" t="str">
        <f>IF(U92="","",IF(VLOOKUP(U92,'G-3 Multipliers'!$L$3:$N$6,2,FALSE)=0,"Spatial Data Missing ⚠",VLOOKUP(U92,'G-3 Multipliers'!$L$3:$N$6,2,FALSE)))</f>
        <v/>
      </c>
      <c r="W92" s="299" t="str">
        <f>IF(U92="","",IF(VLOOKUP(U92,'G-3 Multipliers'!$L$3:$N$6,3,FALSE)=0,"Spatial Data Missing ⚠",VLOOKUP(U92,'G-3 Multipliers'!$L$3:$N$6,3,FALSE)))</f>
        <v/>
      </c>
      <c r="X92" s="275" t="str">
        <f>IFERROR(IF(OR(LEFT(O92,5)="Error",LEFT(N92,5)="Error",T92="Error"),"Check Data ⚠",IF(F92&lt;R92,INDEX('G-6 Hedgerow Data'!$S$3:$AE$14,MATCH(C92,'G-6 Hedgerow Data'!$B$3:$B$14,0),MATCH(M92,'G-6 Hedgerow Data'!$S$2:$AE$2,0)),INDEX('G-6 Hedgerow Data'!$K$3:$Q$14,MATCH(M92,'G-6 Hedgerow Data'!$B$3:$B$14,0),MATCH(O92,'G-6 Hedgerow Data'!$K$2:$Q$2,0)))),"")</f>
        <v/>
      </c>
      <c r="Y92" s="133"/>
      <c r="Z92" s="133"/>
      <c r="AA92" s="283" t="str">
        <f t="shared" si="9"/>
        <v/>
      </c>
      <c r="AB92" s="296" t="str">
        <f t="shared" si="10"/>
        <v/>
      </c>
      <c r="AC92" s="297" t="str">
        <f t="shared" si="7"/>
        <v/>
      </c>
      <c r="AD92" s="311" t="str">
        <f>IF(M92="","",VLOOKUP(M92,'G-6 Hedgerow Data'!$B$3:$AG$15,31,FALSE))</f>
        <v/>
      </c>
      <c r="AE92" s="283" t="str">
        <f t="shared" si="11"/>
        <v/>
      </c>
      <c r="AF92" s="283" t="str">
        <f t="shared" si="12"/>
        <v/>
      </c>
      <c r="AG92" s="299" t="str">
        <f>IFERROR(IF(O92="","",VLOOKUP(AD92,'G-3 Multipliers'!$P$3:$Q$6,2,FALSE)),"")</f>
        <v/>
      </c>
      <c r="AH92" s="289" t="str">
        <f t="shared" si="13"/>
        <v/>
      </c>
      <c r="AI92" s="108"/>
      <c r="AJ92" s="115"/>
      <c r="AK92" s="104"/>
      <c r="AT92" s="30" t="str">
        <f>IFERROR(INDEX('G-6 Hedgerow Data'!$BJ$3:$BJ$15,MATCH(M92,'G-6 Hedgerow Data'!$B$3:$B$15,0)),"")</f>
        <v/>
      </c>
    </row>
    <row r="93" spans="2:46" ht="14">
      <c r="B93" s="305" t="str">
        <f>'B-1 On-Site Hedge Baseline'!AK91</f>
        <v/>
      </c>
      <c r="C93" s="295" t="str">
        <f>IF(B93="","",IF(ISNA(VLOOKUP($B93,'B-1 On-Site Hedge Baseline'!$B$1:$L$257,3,FALSE)),"",(VLOOKUP($B93,'B-1 On-Site Hedge Baseline'!$B$1:$L$257,3,FALSE))))</f>
        <v/>
      </c>
      <c r="D93" s="295" t="str">
        <f>IF(B93="","",IF(ISNA(VLOOKUP($B93,'B-1 On-Site Hedge Baseline'!$B$1:$L$257,4,FALSE)),"",(VLOOKUP($B93,'B-1 On-Site Hedge Baseline'!$B$1:$L$257,4,FALSE))))</f>
        <v/>
      </c>
      <c r="E93" s="295" t="str">
        <f>IF(B93="","",IF(ISNA(VLOOKUP($B93,'B-1 On-Site Hedge Baseline'!$B$1:$L$257,5,FALSE)),"",(VLOOKUP($B93,'B-1 On-Site Hedge Baseline'!$B$1:$L$257,5,FALSE))))</f>
        <v/>
      </c>
      <c r="F93" s="295" t="str">
        <f>IF(B93="","",IF(ISNA(VLOOKUP($B93,'B-1 On-Site Hedge Baseline'!$B$1:$L$257,6,FALSE)),"",(VLOOKUP($B93,'B-1 On-Site Hedge Baseline'!$B$1:$L$257,6,FALSE))))</f>
        <v/>
      </c>
      <c r="G93" s="295" t="str">
        <f>IF(B93="","",IF(ISNA(VLOOKUP($B93,'B-1 On-Site Hedge Baseline'!$B$1:$L$257,7,FALSE)),"",(VLOOKUP($B93,'B-1 On-Site Hedge Baseline'!$B$1:$L$257,7,FALSE))))</f>
        <v/>
      </c>
      <c r="H93" s="295" t="str">
        <f>IF(B93="","",IF(ISNA(VLOOKUP($B93,'B-1 On-Site Hedge Baseline'!$B$1:$L$257,8,FALSE)),"",(VLOOKUP($B93,'B-1 On-Site Hedge Baseline'!$B$1:$L$257,8,FALSE))))</f>
        <v/>
      </c>
      <c r="I93" s="295" t="str">
        <f>IF(B93="","",IF(ISNA(VLOOKUP($B93,'B-1 On-Site Hedge Baseline'!$B$1:$L$257,10,FALSE)),"",(VLOOKUP($B93,'B-1 On-Site Hedge Baseline'!$B$1:$L$257,10,FALSE))))</f>
        <v/>
      </c>
      <c r="J93" s="295" t="str">
        <f>IF(B93="","",IF(ISNA(VLOOKUP($B93,'B-1 On-Site Hedge Baseline'!$B$1:$L$257,11,FALSE)),"",(VLOOKUP($B93,'B-1 On-Site Hedge Baseline'!$B$1:$L$257,11,FALSE))))</f>
        <v/>
      </c>
      <c r="K93" s="295" t="str">
        <f>IF(B93="","",IF(ISNA(VLOOKUP($B93,'B-1 On-Site Hedge Baseline'!$B$1:$U$257,13,FALSE)),"",(VLOOKUP($B93,'B-1 On-Site Hedge Baseline'!$B$1:$U$257,13,FALSE))))</f>
        <v/>
      </c>
      <c r="L93" s="299" t="str">
        <f>IF(B93="","",IF(ISNA(VLOOKUP($B93,'B-1 On-Site Hedge Baseline'!$B$1:$U$257,12,FALSE)),"",(VLOOKUP($B93,'B-1 On-Site Hedge Baseline'!$B$1:$U$257,12,FALSE))))</f>
        <v/>
      </c>
      <c r="M93" s="611"/>
      <c r="N93" s="275" t="str">
        <f>IFERROR(IF(B93="","",INDEX('G-6 Hedgerow Data'!$AN$3:$AZ$15,MATCH(C93,'G-6 Hedgerow Data'!$AM$3:$AM$15,0),MATCH(M93,'G-6 Hedgerow Data'!$AN$2:$AZ$2,0))),"")</f>
        <v/>
      </c>
      <c r="O93" s="276" t="str">
        <f t="shared" si="8"/>
        <v/>
      </c>
      <c r="P93" s="329" t="str">
        <f>IF(B93="","",VLOOKUP(B93,'B-1 On-Site Hedge Baseline'!$B$10:T338,16,FALSE))</f>
        <v/>
      </c>
      <c r="Q93" s="275" t="str">
        <f>IF(M93="","",VLOOKUP(M93,'G-6 Hedgerow Data'!$B$2:$AG$15,2,FALSE))</f>
        <v/>
      </c>
      <c r="R93" s="276" t="str">
        <f>IF(M93="","",VLOOKUP(M93,'G-6 Hedgerow Data'!$B$2:$AG$15,3,FALSE))</f>
        <v/>
      </c>
      <c r="S93" s="108"/>
      <c r="T93" s="314" t="str">
        <f>IFERROR(IF(S93="","",IF(AND(M93="Non-native and ornamental hedgerow",S93&lt;&gt;"Poor"),"Not possible ▲",(VLOOKUP(S93,'G-1 All Habitats'!$Z$2:$AA$9,2,FALSE)))),"")</f>
        <v/>
      </c>
      <c r="U93" s="105"/>
      <c r="V93" s="295" t="str">
        <f>IF(U93="","",IF(VLOOKUP(U93,'G-3 Multipliers'!$L$3:$N$6,2,FALSE)=0,"Spatial Data Missing ⚠",VLOOKUP(U93,'G-3 Multipliers'!$L$3:$N$6,2,FALSE)))</f>
        <v/>
      </c>
      <c r="W93" s="299" t="str">
        <f>IF(U93="","",IF(VLOOKUP(U93,'G-3 Multipliers'!$L$3:$N$6,3,FALSE)=0,"Spatial Data Missing ⚠",VLOOKUP(U93,'G-3 Multipliers'!$L$3:$N$6,3,FALSE)))</f>
        <v/>
      </c>
      <c r="X93" s="275" t="str">
        <f>IFERROR(IF(OR(LEFT(O93,5)="Error",LEFT(N93,5)="Error",T93="Error"),"Check Data ⚠",IF(F93&lt;R93,INDEX('G-6 Hedgerow Data'!$S$3:$AE$14,MATCH(C93,'G-6 Hedgerow Data'!$B$3:$B$14,0),MATCH(M93,'G-6 Hedgerow Data'!$S$2:$AE$2,0)),INDEX('G-6 Hedgerow Data'!$K$3:$Q$14,MATCH(M93,'G-6 Hedgerow Data'!$B$3:$B$14,0),MATCH(O93,'G-6 Hedgerow Data'!$K$2:$Q$2,0)))),"")</f>
        <v/>
      </c>
      <c r="Y93" s="133"/>
      <c r="Z93" s="133"/>
      <c r="AA93" s="283" t="str">
        <f t="shared" si="9"/>
        <v/>
      </c>
      <c r="AB93" s="296" t="str">
        <f t="shared" si="10"/>
        <v/>
      </c>
      <c r="AC93" s="297" t="str">
        <f t="shared" si="7"/>
        <v/>
      </c>
      <c r="AD93" s="311" t="str">
        <f>IF(M93="","",VLOOKUP(M93,'G-6 Hedgerow Data'!$B$3:$AG$15,31,FALSE))</f>
        <v/>
      </c>
      <c r="AE93" s="283" t="str">
        <f t="shared" si="11"/>
        <v/>
      </c>
      <c r="AF93" s="283" t="str">
        <f t="shared" si="12"/>
        <v/>
      </c>
      <c r="AG93" s="299" t="str">
        <f>IFERROR(IF(O93="","",VLOOKUP(AD93,'G-3 Multipliers'!$P$3:$Q$6,2,FALSE)),"")</f>
        <v/>
      </c>
      <c r="AH93" s="289" t="str">
        <f t="shared" si="13"/>
        <v/>
      </c>
      <c r="AI93" s="108"/>
      <c r="AJ93" s="115"/>
      <c r="AK93" s="104"/>
      <c r="AT93" s="30" t="str">
        <f>IFERROR(INDEX('G-6 Hedgerow Data'!$BJ$3:$BJ$15,MATCH(M93,'G-6 Hedgerow Data'!$B$3:$B$15,0)),"")</f>
        <v/>
      </c>
    </row>
    <row r="94" spans="2:46" ht="14">
      <c r="B94" s="305" t="str">
        <f>'B-1 On-Site Hedge Baseline'!AK92</f>
        <v/>
      </c>
      <c r="C94" s="295" t="str">
        <f>IF(B94="","",IF(ISNA(VLOOKUP($B94,'B-1 On-Site Hedge Baseline'!$B$1:$L$257,3,FALSE)),"",(VLOOKUP($B94,'B-1 On-Site Hedge Baseline'!$B$1:$L$257,3,FALSE))))</f>
        <v/>
      </c>
      <c r="D94" s="295" t="str">
        <f>IF(B94="","",IF(ISNA(VLOOKUP($B94,'B-1 On-Site Hedge Baseline'!$B$1:$L$257,4,FALSE)),"",(VLOOKUP($B94,'B-1 On-Site Hedge Baseline'!$B$1:$L$257,4,FALSE))))</f>
        <v/>
      </c>
      <c r="E94" s="295" t="str">
        <f>IF(B94="","",IF(ISNA(VLOOKUP($B94,'B-1 On-Site Hedge Baseline'!$B$1:$L$257,5,FALSE)),"",(VLOOKUP($B94,'B-1 On-Site Hedge Baseline'!$B$1:$L$257,5,FALSE))))</f>
        <v/>
      </c>
      <c r="F94" s="295" t="str">
        <f>IF(B94="","",IF(ISNA(VLOOKUP($B94,'B-1 On-Site Hedge Baseline'!$B$1:$L$257,6,FALSE)),"",(VLOOKUP($B94,'B-1 On-Site Hedge Baseline'!$B$1:$L$257,6,FALSE))))</f>
        <v/>
      </c>
      <c r="G94" s="295" t="str">
        <f>IF(B94="","",IF(ISNA(VLOOKUP($B94,'B-1 On-Site Hedge Baseline'!$B$1:$L$257,7,FALSE)),"",(VLOOKUP($B94,'B-1 On-Site Hedge Baseline'!$B$1:$L$257,7,FALSE))))</f>
        <v/>
      </c>
      <c r="H94" s="295" t="str">
        <f>IF(B94="","",IF(ISNA(VLOOKUP($B94,'B-1 On-Site Hedge Baseline'!$B$1:$L$257,8,FALSE)),"",(VLOOKUP($B94,'B-1 On-Site Hedge Baseline'!$B$1:$L$257,8,FALSE))))</f>
        <v/>
      </c>
      <c r="I94" s="295" t="str">
        <f>IF(B94="","",IF(ISNA(VLOOKUP($B94,'B-1 On-Site Hedge Baseline'!$B$1:$L$257,10,FALSE)),"",(VLOOKUP($B94,'B-1 On-Site Hedge Baseline'!$B$1:$L$257,10,FALSE))))</f>
        <v/>
      </c>
      <c r="J94" s="295" t="str">
        <f>IF(B94="","",IF(ISNA(VLOOKUP($B94,'B-1 On-Site Hedge Baseline'!$B$1:$L$257,11,FALSE)),"",(VLOOKUP($B94,'B-1 On-Site Hedge Baseline'!$B$1:$L$257,11,FALSE))))</f>
        <v/>
      </c>
      <c r="K94" s="295" t="str">
        <f>IF(B94="","",IF(ISNA(VLOOKUP($B94,'B-1 On-Site Hedge Baseline'!$B$1:$U$257,13,FALSE)),"",(VLOOKUP($B94,'B-1 On-Site Hedge Baseline'!$B$1:$U$257,13,FALSE))))</f>
        <v/>
      </c>
      <c r="L94" s="299" t="str">
        <f>IF(B94="","",IF(ISNA(VLOOKUP($B94,'B-1 On-Site Hedge Baseline'!$B$1:$U$257,12,FALSE)),"",(VLOOKUP($B94,'B-1 On-Site Hedge Baseline'!$B$1:$U$257,12,FALSE))))</f>
        <v/>
      </c>
      <c r="M94" s="611"/>
      <c r="N94" s="275" t="str">
        <f>IFERROR(IF(B94="","",INDEX('G-6 Hedgerow Data'!$AN$3:$AZ$15,MATCH(C94,'G-6 Hedgerow Data'!$AM$3:$AM$15,0),MATCH(M94,'G-6 Hedgerow Data'!$AN$2:$AZ$2,0))),"")</f>
        <v/>
      </c>
      <c r="O94" s="276" t="str">
        <f t="shared" si="8"/>
        <v/>
      </c>
      <c r="P94" s="329" t="str">
        <f>IF(B94="","",VLOOKUP(B94,'B-1 On-Site Hedge Baseline'!$B$10:T339,16,FALSE))</f>
        <v/>
      </c>
      <c r="Q94" s="275" t="str">
        <f>IF(M94="","",VLOOKUP(M94,'G-6 Hedgerow Data'!$B$2:$AG$15,2,FALSE))</f>
        <v/>
      </c>
      <c r="R94" s="276" t="str">
        <f>IF(M94="","",VLOOKUP(M94,'G-6 Hedgerow Data'!$B$2:$AG$15,3,FALSE))</f>
        <v/>
      </c>
      <c r="S94" s="108"/>
      <c r="T94" s="314" t="str">
        <f>IFERROR(IF(S94="","",IF(AND(M94="Non-native and ornamental hedgerow",S94&lt;&gt;"Poor"),"Not possible ▲",(VLOOKUP(S94,'G-1 All Habitats'!$Z$2:$AA$9,2,FALSE)))),"")</f>
        <v/>
      </c>
      <c r="U94" s="105"/>
      <c r="V94" s="295" t="str">
        <f>IF(U94="","",IF(VLOOKUP(U94,'G-3 Multipliers'!$L$3:$N$6,2,FALSE)=0,"Spatial Data Missing ⚠",VLOOKUP(U94,'G-3 Multipliers'!$L$3:$N$6,2,FALSE)))</f>
        <v/>
      </c>
      <c r="W94" s="299" t="str">
        <f>IF(U94="","",IF(VLOOKUP(U94,'G-3 Multipliers'!$L$3:$N$6,3,FALSE)=0,"Spatial Data Missing ⚠",VLOOKUP(U94,'G-3 Multipliers'!$L$3:$N$6,3,FALSE)))</f>
        <v/>
      </c>
      <c r="X94" s="275" t="str">
        <f>IFERROR(IF(OR(LEFT(O94,5)="Error",LEFT(N94,5)="Error",T94="Error"),"Check Data ⚠",IF(F94&lt;R94,INDEX('G-6 Hedgerow Data'!$S$3:$AE$14,MATCH(C94,'G-6 Hedgerow Data'!$B$3:$B$14,0),MATCH(M94,'G-6 Hedgerow Data'!$S$2:$AE$2,0)),INDEX('G-6 Hedgerow Data'!$K$3:$Q$14,MATCH(M94,'G-6 Hedgerow Data'!$B$3:$B$14,0),MATCH(O94,'G-6 Hedgerow Data'!$K$2:$Q$2,0)))),"")</f>
        <v/>
      </c>
      <c r="Y94" s="133"/>
      <c r="Z94" s="133"/>
      <c r="AA94" s="283" t="str">
        <f t="shared" si="9"/>
        <v/>
      </c>
      <c r="AB94" s="296" t="str">
        <f t="shared" si="10"/>
        <v/>
      </c>
      <c r="AC94" s="297" t="str">
        <f t="shared" si="7"/>
        <v/>
      </c>
      <c r="AD94" s="311" t="str">
        <f>IF(M94="","",VLOOKUP(M94,'G-6 Hedgerow Data'!$B$3:$AG$15,31,FALSE))</f>
        <v/>
      </c>
      <c r="AE94" s="283" t="str">
        <f t="shared" si="11"/>
        <v/>
      </c>
      <c r="AF94" s="283" t="str">
        <f t="shared" si="12"/>
        <v/>
      </c>
      <c r="AG94" s="299" t="str">
        <f>IFERROR(IF(O94="","",VLOOKUP(AD94,'G-3 Multipliers'!$P$3:$Q$6,2,FALSE)),"")</f>
        <v/>
      </c>
      <c r="AH94" s="289" t="str">
        <f t="shared" si="13"/>
        <v/>
      </c>
      <c r="AI94" s="108"/>
      <c r="AJ94" s="115"/>
      <c r="AK94" s="104"/>
      <c r="AT94" s="30" t="str">
        <f>IFERROR(INDEX('G-6 Hedgerow Data'!$BJ$3:$BJ$15,MATCH(M94,'G-6 Hedgerow Data'!$B$3:$B$15,0)),"")</f>
        <v/>
      </c>
    </row>
    <row r="95" spans="2:46" ht="14">
      <c r="B95" s="305" t="str">
        <f>'B-1 On-Site Hedge Baseline'!AK93</f>
        <v/>
      </c>
      <c r="C95" s="295" t="str">
        <f>IF(B95="","",IF(ISNA(VLOOKUP($B95,'B-1 On-Site Hedge Baseline'!$B$1:$L$257,3,FALSE)),"",(VLOOKUP($B95,'B-1 On-Site Hedge Baseline'!$B$1:$L$257,3,FALSE))))</f>
        <v/>
      </c>
      <c r="D95" s="295" t="str">
        <f>IF(B95="","",IF(ISNA(VLOOKUP($B95,'B-1 On-Site Hedge Baseline'!$B$1:$L$257,4,FALSE)),"",(VLOOKUP($B95,'B-1 On-Site Hedge Baseline'!$B$1:$L$257,4,FALSE))))</f>
        <v/>
      </c>
      <c r="E95" s="295" t="str">
        <f>IF(B95="","",IF(ISNA(VLOOKUP($B95,'B-1 On-Site Hedge Baseline'!$B$1:$L$257,5,FALSE)),"",(VLOOKUP($B95,'B-1 On-Site Hedge Baseline'!$B$1:$L$257,5,FALSE))))</f>
        <v/>
      </c>
      <c r="F95" s="295" t="str">
        <f>IF(B95="","",IF(ISNA(VLOOKUP($B95,'B-1 On-Site Hedge Baseline'!$B$1:$L$257,6,FALSE)),"",(VLOOKUP($B95,'B-1 On-Site Hedge Baseline'!$B$1:$L$257,6,FALSE))))</f>
        <v/>
      </c>
      <c r="G95" s="295" t="str">
        <f>IF(B95="","",IF(ISNA(VLOOKUP($B95,'B-1 On-Site Hedge Baseline'!$B$1:$L$257,7,FALSE)),"",(VLOOKUP($B95,'B-1 On-Site Hedge Baseline'!$B$1:$L$257,7,FALSE))))</f>
        <v/>
      </c>
      <c r="H95" s="295" t="str">
        <f>IF(B95="","",IF(ISNA(VLOOKUP($B95,'B-1 On-Site Hedge Baseline'!$B$1:$L$257,8,FALSE)),"",(VLOOKUP($B95,'B-1 On-Site Hedge Baseline'!$B$1:$L$257,8,FALSE))))</f>
        <v/>
      </c>
      <c r="I95" s="295" t="str">
        <f>IF(B95="","",IF(ISNA(VLOOKUP($B95,'B-1 On-Site Hedge Baseline'!$B$1:$L$257,10,FALSE)),"",(VLOOKUP($B95,'B-1 On-Site Hedge Baseline'!$B$1:$L$257,10,FALSE))))</f>
        <v/>
      </c>
      <c r="J95" s="295" t="str">
        <f>IF(B95="","",IF(ISNA(VLOOKUP($B95,'B-1 On-Site Hedge Baseline'!$B$1:$L$257,11,FALSE)),"",(VLOOKUP($B95,'B-1 On-Site Hedge Baseline'!$B$1:$L$257,11,FALSE))))</f>
        <v/>
      </c>
      <c r="K95" s="295" t="str">
        <f>IF(B95="","",IF(ISNA(VLOOKUP($B95,'B-1 On-Site Hedge Baseline'!$B$1:$U$257,13,FALSE)),"",(VLOOKUP($B95,'B-1 On-Site Hedge Baseline'!$B$1:$U$257,13,FALSE))))</f>
        <v/>
      </c>
      <c r="L95" s="299" t="str">
        <f>IF(B95="","",IF(ISNA(VLOOKUP($B95,'B-1 On-Site Hedge Baseline'!$B$1:$U$257,12,FALSE)),"",(VLOOKUP($B95,'B-1 On-Site Hedge Baseline'!$B$1:$U$257,12,FALSE))))</f>
        <v/>
      </c>
      <c r="M95" s="611"/>
      <c r="N95" s="275" t="str">
        <f>IFERROR(IF(B95="","",INDEX('G-6 Hedgerow Data'!$AN$3:$AZ$15,MATCH(C95,'G-6 Hedgerow Data'!$AM$3:$AM$15,0),MATCH(M95,'G-6 Hedgerow Data'!$AN$2:$AZ$2,0))),"")</f>
        <v/>
      </c>
      <c r="O95" s="276" t="str">
        <f t="shared" si="8"/>
        <v/>
      </c>
      <c r="P95" s="329" t="str">
        <f>IF(B95="","",VLOOKUP(B95,'B-1 On-Site Hedge Baseline'!$B$10:T340,16,FALSE))</f>
        <v/>
      </c>
      <c r="Q95" s="275" t="str">
        <f>IF(M95="","",VLOOKUP(M95,'G-6 Hedgerow Data'!$B$2:$AG$15,2,FALSE))</f>
        <v/>
      </c>
      <c r="R95" s="276" t="str">
        <f>IF(M95="","",VLOOKUP(M95,'G-6 Hedgerow Data'!$B$2:$AG$15,3,FALSE))</f>
        <v/>
      </c>
      <c r="S95" s="108"/>
      <c r="T95" s="314" t="str">
        <f>IFERROR(IF(S95="","",IF(AND(M95="Non-native and ornamental hedgerow",S95&lt;&gt;"Poor"),"Not possible ▲",(VLOOKUP(S95,'G-1 All Habitats'!$Z$2:$AA$9,2,FALSE)))),"")</f>
        <v/>
      </c>
      <c r="U95" s="105"/>
      <c r="V95" s="295" t="str">
        <f>IF(U95="","",IF(VLOOKUP(U95,'G-3 Multipliers'!$L$3:$N$6,2,FALSE)=0,"Spatial Data Missing ⚠",VLOOKUP(U95,'G-3 Multipliers'!$L$3:$N$6,2,FALSE)))</f>
        <v/>
      </c>
      <c r="W95" s="299" t="str">
        <f>IF(U95="","",IF(VLOOKUP(U95,'G-3 Multipliers'!$L$3:$N$6,3,FALSE)=0,"Spatial Data Missing ⚠",VLOOKUP(U95,'G-3 Multipliers'!$L$3:$N$6,3,FALSE)))</f>
        <v/>
      </c>
      <c r="X95" s="275" t="str">
        <f>IFERROR(IF(OR(LEFT(O95,5)="Error",LEFT(N95,5)="Error",T95="Error"),"Check Data ⚠",IF(F95&lt;R95,INDEX('G-6 Hedgerow Data'!$S$3:$AE$14,MATCH(C95,'G-6 Hedgerow Data'!$B$3:$B$14,0),MATCH(M95,'G-6 Hedgerow Data'!$S$2:$AE$2,0)),INDEX('G-6 Hedgerow Data'!$K$3:$Q$14,MATCH(M95,'G-6 Hedgerow Data'!$B$3:$B$14,0),MATCH(O95,'G-6 Hedgerow Data'!$K$2:$Q$2,0)))),"")</f>
        <v/>
      </c>
      <c r="Y95" s="133"/>
      <c r="Z95" s="133"/>
      <c r="AA95" s="283" t="str">
        <f t="shared" si="9"/>
        <v/>
      </c>
      <c r="AB95" s="296" t="str">
        <f t="shared" si="10"/>
        <v/>
      </c>
      <c r="AC95" s="297" t="str">
        <f t="shared" si="7"/>
        <v/>
      </c>
      <c r="AD95" s="311" t="str">
        <f>IF(M95="","",VLOOKUP(M95,'G-6 Hedgerow Data'!$B$3:$AG$15,31,FALSE))</f>
        <v/>
      </c>
      <c r="AE95" s="283" t="str">
        <f t="shared" si="11"/>
        <v/>
      </c>
      <c r="AF95" s="283" t="str">
        <f t="shared" si="12"/>
        <v/>
      </c>
      <c r="AG95" s="299" t="str">
        <f>IFERROR(IF(O95="","",VLOOKUP(AD95,'G-3 Multipliers'!$P$3:$Q$6,2,FALSE)),"")</f>
        <v/>
      </c>
      <c r="AH95" s="289" t="str">
        <f t="shared" si="13"/>
        <v/>
      </c>
      <c r="AI95" s="108"/>
      <c r="AJ95" s="115"/>
      <c r="AK95" s="104"/>
      <c r="AT95" s="30" t="str">
        <f>IFERROR(INDEX('G-6 Hedgerow Data'!$BJ$3:$BJ$15,MATCH(M95,'G-6 Hedgerow Data'!$B$3:$B$15,0)),"")</f>
        <v/>
      </c>
    </row>
    <row r="96" spans="2:46" ht="14">
      <c r="B96" s="305" t="str">
        <f>'B-1 On-Site Hedge Baseline'!AK94</f>
        <v/>
      </c>
      <c r="C96" s="295" t="str">
        <f>IF(B96="","",IF(ISNA(VLOOKUP($B96,'B-1 On-Site Hedge Baseline'!$B$1:$L$257,3,FALSE)),"",(VLOOKUP($B96,'B-1 On-Site Hedge Baseline'!$B$1:$L$257,3,FALSE))))</f>
        <v/>
      </c>
      <c r="D96" s="295" t="str">
        <f>IF(B96="","",IF(ISNA(VLOOKUP($B96,'B-1 On-Site Hedge Baseline'!$B$1:$L$257,4,FALSE)),"",(VLOOKUP($B96,'B-1 On-Site Hedge Baseline'!$B$1:$L$257,4,FALSE))))</f>
        <v/>
      </c>
      <c r="E96" s="295" t="str">
        <f>IF(B96="","",IF(ISNA(VLOOKUP($B96,'B-1 On-Site Hedge Baseline'!$B$1:$L$257,5,FALSE)),"",(VLOOKUP($B96,'B-1 On-Site Hedge Baseline'!$B$1:$L$257,5,FALSE))))</f>
        <v/>
      </c>
      <c r="F96" s="295" t="str">
        <f>IF(B96="","",IF(ISNA(VLOOKUP($B96,'B-1 On-Site Hedge Baseline'!$B$1:$L$257,6,FALSE)),"",(VLOOKUP($B96,'B-1 On-Site Hedge Baseline'!$B$1:$L$257,6,FALSE))))</f>
        <v/>
      </c>
      <c r="G96" s="295" t="str">
        <f>IF(B96="","",IF(ISNA(VLOOKUP($B96,'B-1 On-Site Hedge Baseline'!$B$1:$L$257,7,FALSE)),"",(VLOOKUP($B96,'B-1 On-Site Hedge Baseline'!$B$1:$L$257,7,FALSE))))</f>
        <v/>
      </c>
      <c r="H96" s="295" t="str">
        <f>IF(B96="","",IF(ISNA(VLOOKUP($B96,'B-1 On-Site Hedge Baseline'!$B$1:$L$257,8,FALSE)),"",(VLOOKUP($B96,'B-1 On-Site Hedge Baseline'!$B$1:$L$257,8,FALSE))))</f>
        <v/>
      </c>
      <c r="I96" s="295" t="str">
        <f>IF(B96="","",IF(ISNA(VLOOKUP($B96,'B-1 On-Site Hedge Baseline'!$B$1:$L$257,10,FALSE)),"",(VLOOKUP($B96,'B-1 On-Site Hedge Baseline'!$B$1:$L$257,10,FALSE))))</f>
        <v/>
      </c>
      <c r="J96" s="295" t="str">
        <f>IF(B96="","",IF(ISNA(VLOOKUP($B96,'B-1 On-Site Hedge Baseline'!$B$1:$L$257,11,FALSE)),"",(VLOOKUP($B96,'B-1 On-Site Hedge Baseline'!$B$1:$L$257,11,FALSE))))</f>
        <v/>
      </c>
      <c r="K96" s="295" t="str">
        <f>IF(B96="","",IF(ISNA(VLOOKUP($B96,'B-1 On-Site Hedge Baseline'!$B$1:$U$257,13,FALSE)),"",(VLOOKUP($B96,'B-1 On-Site Hedge Baseline'!$B$1:$U$257,13,FALSE))))</f>
        <v/>
      </c>
      <c r="L96" s="299" t="str">
        <f>IF(B96="","",IF(ISNA(VLOOKUP($B96,'B-1 On-Site Hedge Baseline'!$B$1:$U$257,12,FALSE)),"",(VLOOKUP($B96,'B-1 On-Site Hedge Baseline'!$B$1:$U$257,12,FALSE))))</f>
        <v/>
      </c>
      <c r="M96" s="611"/>
      <c r="N96" s="275" t="str">
        <f>IFERROR(IF(B96="","",INDEX('G-6 Hedgerow Data'!$AN$3:$AZ$15,MATCH(C96,'G-6 Hedgerow Data'!$AM$3:$AM$15,0),MATCH(M96,'G-6 Hedgerow Data'!$AN$2:$AZ$2,0))),"")</f>
        <v/>
      </c>
      <c r="O96" s="276" t="str">
        <f t="shared" si="8"/>
        <v/>
      </c>
      <c r="P96" s="329" t="str">
        <f>IF(B96="","",VLOOKUP(B96,'B-1 On-Site Hedge Baseline'!$B$10:T341,16,FALSE))</f>
        <v/>
      </c>
      <c r="Q96" s="275" t="str">
        <f>IF(M96="","",VLOOKUP(M96,'G-6 Hedgerow Data'!$B$2:$AG$15,2,FALSE))</f>
        <v/>
      </c>
      <c r="R96" s="276" t="str">
        <f>IF(M96="","",VLOOKUP(M96,'G-6 Hedgerow Data'!$B$2:$AG$15,3,FALSE))</f>
        <v/>
      </c>
      <c r="S96" s="108"/>
      <c r="T96" s="314" t="str">
        <f>IFERROR(IF(S96="","",IF(AND(M96="Non-native and ornamental hedgerow",S96&lt;&gt;"Poor"),"Not possible ▲",(VLOOKUP(S96,'G-1 All Habitats'!$Z$2:$AA$9,2,FALSE)))),"")</f>
        <v/>
      </c>
      <c r="U96" s="105"/>
      <c r="V96" s="295" t="str">
        <f>IF(U96="","",IF(VLOOKUP(U96,'G-3 Multipliers'!$L$3:$N$6,2,FALSE)=0,"Spatial Data Missing ⚠",VLOOKUP(U96,'G-3 Multipliers'!$L$3:$N$6,2,FALSE)))</f>
        <v/>
      </c>
      <c r="W96" s="299" t="str">
        <f>IF(U96="","",IF(VLOOKUP(U96,'G-3 Multipliers'!$L$3:$N$6,3,FALSE)=0,"Spatial Data Missing ⚠",VLOOKUP(U96,'G-3 Multipliers'!$L$3:$N$6,3,FALSE)))</f>
        <v/>
      </c>
      <c r="X96" s="275" t="str">
        <f>IFERROR(IF(OR(LEFT(O96,5)="Error",LEFT(N96,5)="Error",T96="Error"),"Check Data ⚠",IF(F96&lt;R96,INDEX('G-6 Hedgerow Data'!$S$3:$AE$14,MATCH(C96,'G-6 Hedgerow Data'!$B$3:$B$14,0),MATCH(M96,'G-6 Hedgerow Data'!$S$2:$AE$2,0)),INDEX('G-6 Hedgerow Data'!$K$3:$Q$14,MATCH(M96,'G-6 Hedgerow Data'!$B$3:$B$14,0),MATCH(O96,'G-6 Hedgerow Data'!$K$2:$Q$2,0)))),"")</f>
        <v/>
      </c>
      <c r="Y96" s="133"/>
      <c r="Z96" s="133"/>
      <c r="AA96" s="283" t="str">
        <f t="shared" si="9"/>
        <v/>
      </c>
      <c r="AB96" s="296" t="str">
        <f t="shared" si="10"/>
        <v/>
      </c>
      <c r="AC96" s="297" t="str">
        <f t="shared" si="7"/>
        <v/>
      </c>
      <c r="AD96" s="311" t="str">
        <f>IF(M96="","",VLOOKUP(M96,'G-6 Hedgerow Data'!$B$3:$AG$15,31,FALSE))</f>
        <v/>
      </c>
      <c r="AE96" s="283" t="str">
        <f t="shared" si="11"/>
        <v/>
      </c>
      <c r="AF96" s="283" t="str">
        <f t="shared" si="12"/>
        <v/>
      </c>
      <c r="AG96" s="299" t="str">
        <f>IFERROR(IF(O96="","",VLOOKUP(AD96,'G-3 Multipliers'!$P$3:$Q$6,2,FALSE)),"")</f>
        <v/>
      </c>
      <c r="AH96" s="289" t="str">
        <f t="shared" si="13"/>
        <v/>
      </c>
      <c r="AI96" s="108"/>
      <c r="AJ96" s="115"/>
      <c r="AK96" s="104"/>
      <c r="AT96" s="30" t="str">
        <f>IFERROR(INDEX('G-6 Hedgerow Data'!$BJ$3:$BJ$15,MATCH(M96,'G-6 Hedgerow Data'!$B$3:$B$15,0)),"")</f>
        <v/>
      </c>
    </row>
    <row r="97" spans="2:46" ht="14">
      <c r="B97" s="305" t="str">
        <f>'B-1 On-Site Hedge Baseline'!AK95</f>
        <v/>
      </c>
      <c r="C97" s="295" t="str">
        <f>IF(B97="","",IF(ISNA(VLOOKUP($B97,'B-1 On-Site Hedge Baseline'!$B$1:$L$257,3,FALSE)),"",(VLOOKUP($B97,'B-1 On-Site Hedge Baseline'!$B$1:$L$257,3,FALSE))))</f>
        <v/>
      </c>
      <c r="D97" s="295" t="str">
        <f>IF(B97="","",IF(ISNA(VLOOKUP($B97,'B-1 On-Site Hedge Baseline'!$B$1:$L$257,4,FALSE)),"",(VLOOKUP($B97,'B-1 On-Site Hedge Baseline'!$B$1:$L$257,4,FALSE))))</f>
        <v/>
      </c>
      <c r="E97" s="295" t="str">
        <f>IF(B97="","",IF(ISNA(VLOOKUP($B97,'B-1 On-Site Hedge Baseline'!$B$1:$L$257,5,FALSE)),"",(VLOOKUP($B97,'B-1 On-Site Hedge Baseline'!$B$1:$L$257,5,FALSE))))</f>
        <v/>
      </c>
      <c r="F97" s="295" t="str">
        <f>IF(B97="","",IF(ISNA(VLOOKUP($B97,'B-1 On-Site Hedge Baseline'!$B$1:$L$257,6,FALSE)),"",(VLOOKUP($B97,'B-1 On-Site Hedge Baseline'!$B$1:$L$257,6,FALSE))))</f>
        <v/>
      </c>
      <c r="G97" s="295" t="str">
        <f>IF(B97="","",IF(ISNA(VLOOKUP($B97,'B-1 On-Site Hedge Baseline'!$B$1:$L$257,7,FALSE)),"",(VLOOKUP($B97,'B-1 On-Site Hedge Baseline'!$B$1:$L$257,7,FALSE))))</f>
        <v/>
      </c>
      <c r="H97" s="295" t="str">
        <f>IF(B97="","",IF(ISNA(VLOOKUP($B97,'B-1 On-Site Hedge Baseline'!$B$1:$L$257,8,FALSE)),"",(VLOOKUP($B97,'B-1 On-Site Hedge Baseline'!$B$1:$L$257,8,FALSE))))</f>
        <v/>
      </c>
      <c r="I97" s="295" t="str">
        <f>IF(B97="","",IF(ISNA(VLOOKUP($B97,'B-1 On-Site Hedge Baseline'!$B$1:$L$257,10,FALSE)),"",(VLOOKUP($B97,'B-1 On-Site Hedge Baseline'!$B$1:$L$257,10,FALSE))))</f>
        <v/>
      </c>
      <c r="J97" s="295" t="str">
        <f>IF(B97="","",IF(ISNA(VLOOKUP($B97,'B-1 On-Site Hedge Baseline'!$B$1:$L$257,11,FALSE)),"",(VLOOKUP($B97,'B-1 On-Site Hedge Baseline'!$B$1:$L$257,11,FALSE))))</f>
        <v/>
      </c>
      <c r="K97" s="295" t="str">
        <f>IF(B97="","",IF(ISNA(VLOOKUP($B97,'B-1 On-Site Hedge Baseline'!$B$1:$U$257,13,FALSE)),"",(VLOOKUP($B97,'B-1 On-Site Hedge Baseline'!$B$1:$U$257,13,FALSE))))</f>
        <v/>
      </c>
      <c r="L97" s="299" t="str">
        <f>IF(B97="","",IF(ISNA(VLOOKUP($B97,'B-1 On-Site Hedge Baseline'!$B$1:$U$257,12,FALSE)),"",(VLOOKUP($B97,'B-1 On-Site Hedge Baseline'!$B$1:$U$257,12,FALSE))))</f>
        <v/>
      </c>
      <c r="M97" s="611"/>
      <c r="N97" s="275" t="str">
        <f>IFERROR(IF(B97="","",INDEX('G-6 Hedgerow Data'!$AN$3:$AZ$15,MATCH(C97,'G-6 Hedgerow Data'!$AM$3:$AM$15,0),MATCH(M97,'G-6 Hedgerow Data'!$AN$2:$AZ$2,0))),"")</f>
        <v/>
      </c>
      <c r="O97" s="276" t="str">
        <f t="shared" si="8"/>
        <v/>
      </c>
      <c r="P97" s="329" t="str">
        <f>IF(B97="","",VLOOKUP(B97,'B-1 On-Site Hedge Baseline'!$B$10:T342,16,FALSE))</f>
        <v/>
      </c>
      <c r="Q97" s="275" t="str">
        <f>IF(M97="","",VLOOKUP(M97,'G-6 Hedgerow Data'!$B$2:$AG$15,2,FALSE))</f>
        <v/>
      </c>
      <c r="R97" s="276" t="str">
        <f>IF(M97="","",VLOOKUP(M97,'G-6 Hedgerow Data'!$B$2:$AG$15,3,FALSE))</f>
        <v/>
      </c>
      <c r="S97" s="108"/>
      <c r="T97" s="314" t="str">
        <f>IFERROR(IF(S97="","",IF(AND(M97="Non-native and ornamental hedgerow",S97&lt;&gt;"Poor"),"Not possible ▲",(VLOOKUP(S97,'G-1 All Habitats'!$Z$2:$AA$9,2,FALSE)))),"")</f>
        <v/>
      </c>
      <c r="U97" s="105"/>
      <c r="V97" s="295" t="str">
        <f>IF(U97="","",IF(VLOOKUP(U97,'G-3 Multipliers'!$L$3:$N$6,2,FALSE)=0,"Spatial Data Missing ⚠",VLOOKUP(U97,'G-3 Multipliers'!$L$3:$N$6,2,FALSE)))</f>
        <v/>
      </c>
      <c r="W97" s="299" t="str">
        <f>IF(U97="","",IF(VLOOKUP(U97,'G-3 Multipliers'!$L$3:$N$6,3,FALSE)=0,"Spatial Data Missing ⚠",VLOOKUP(U97,'G-3 Multipliers'!$L$3:$N$6,3,FALSE)))</f>
        <v/>
      </c>
      <c r="X97" s="275" t="str">
        <f>IFERROR(IF(OR(LEFT(O97,5)="Error",LEFT(N97,5)="Error",T97="Error"),"Check Data ⚠",IF(F97&lt;R97,INDEX('G-6 Hedgerow Data'!$S$3:$AE$14,MATCH(C97,'G-6 Hedgerow Data'!$B$3:$B$14,0),MATCH(M97,'G-6 Hedgerow Data'!$S$2:$AE$2,0)),INDEX('G-6 Hedgerow Data'!$K$3:$Q$14,MATCH(M97,'G-6 Hedgerow Data'!$B$3:$B$14,0),MATCH(O97,'G-6 Hedgerow Data'!$K$2:$Q$2,0)))),"")</f>
        <v/>
      </c>
      <c r="Y97" s="133"/>
      <c r="Z97" s="133"/>
      <c r="AA97" s="283" t="str">
        <f t="shared" si="9"/>
        <v/>
      </c>
      <c r="AB97" s="296" t="str">
        <f t="shared" si="10"/>
        <v/>
      </c>
      <c r="AC97" s="297" t="str">
        <f t="shared" si="7"/>
        <v/>
      </c>
      <c r="AD97" s="311" t="str">
        <f>IF(M97="","",VLOOKUP(M97,'G-6 Hedgerow Data'!$B$3:$AG$15,31,FALSE))</f>
        <v/>
      </c>
      <c r="AE97" s="283" t="str">
        <f t="shared" si="11"/>
        <v/>
      </c>
      <c r="AF97" s="283" t="str">
        <f t="shared" si="12"/>
        <v/>
      </c>
      <c r="AG97" s="299" t="str">
        <f>IFERROR(IF(O97="","",VLOOKUP(AD97,'G-3 Multipliers'!$P$3:$Q$6,2,FALSE)),"")</f>
        <v/>
      </c>
      <c r="AH97" s="289" t="str">
        <f t="shared" si="13"/>
        <v/>
      </c>
      <c r="AI97" s="108"/>
      <c r="AJ97" s="115"/>
      <c r="AK97" s="104"/>
      <c r="AT97" s="30" t="str">
        <f>IFERROR(INDEX('G-6 Hedgerow Data'!$BJ$3:$BJ$15,MATCH(M97,'G-6 Hedgerow Data'!$B$3:$B$15,0)),"")</f>
        <v/>
      </c>
    </row>
    <row r="98" spans="2:46" ht="14">
      <c r="B98" s="305" t="str">
        <f>'B-1 On-Site Hedge Baseline'!AK96</f>
        <v/>
      </c>
      <c r="C98" s="295" t="str">
        <f>IF(B98="","",IF(ISNA(VLOOKUP($B98,'B-1 On-Site Hedge Baseline'!$B$1:$L$257,3,FALSE)),"",(VLOOKUP($B98,'B-1 On-Site Hedge Baseline'!$B$1:$L$257,3,FALSE))))</f>
        <v/>
      </c>
      <c r="D98" s="295" t="str">
        <f>IF(B98="","",IF(ISNA(VLOOKUP($B98,'B-1 On-Site Hedge Baseline'!$B$1:$L$257,4,FALSE)),"",(VLOOKUP($B98,'B-1 On-Site Hedge Baseline'!$B$1:$L$257,4,FALSE))))</f>
        <v/>
      </c>
      <c r="E98" s="295" t="str">
        <f>IF(B98="","",IF(ISNA(VLOOKUP($B98,'B-1 On-Site Hedge Baseline'!$B$1:$L$257,5,FALSE)),"",(VLOOKUP($B98,'B-1 On-Site Hedge Baseline'!$B$1:$L$257,5,FALSE))))</f>
        <v/>
      </c>
      <c r="F98" s="295" t="str">
        <f>IF(B98="","",IF(ISNA(VLOOKUP($B98,'B-1 On-Site Hedge Baseline'!$B$1:$L$257,6,FALSE)),"",(VLOOKUP($B98,'B-1 On-Site Hedge Baseline'!$B$1:$L$257,6,FALSE))))</f>
        <v/>
      </c>
      <c r="G98" s="295" t="str">
        <f>IF(B98="","",IF(ISNA(VLOOKUP($B98,'B-1 On-Site Hedge Baseline'!$B$1:$L$257,7,FALSE)),"",(VLOOKUP($B98,'B-1 On-Site Hedge Baseline'!$B$1:$L$257,7,FALSE))))</f>
        <v/>
      </c>
      <c r="H98" s="295" t="str">
        <f>IF(B98="","",IF(ISNA(VLOOKUP($B98,'B-1 On-Site Hedge Baseline'!$B$1:$L$257,8,FALSE)),"",(VLOOKUP($B98,'B-1 On-Site Hedge Baseline'!$B$1:$L$257,8,FALSE))))</f>
        <v/>
      </c>
      <c r="I98" s="295" t="str">
        <f>IF(B98="","",IF(ISNA(VLOOKUP($B98,'B-1 On-Site Hedge Baseline'!$B$1:$L$257,10,FALSE)),"",(VLOOKUP($B98,'B-1 On-Site Hedge Baseline'!$B$1:$L$257,10,FALSE))))</f>
        <v/>
      </c>
      <c r="J98" s="295" t="str">
        <f>IF(B98="","",IF(ISNA(VLOOKUP($B98,'B-1 On-Site Hedge Baseline'!$B$1:$L$257,11,FALSE)),"",(VLOOKUP($B98,'B-1 On-Site Hedge Baseline'!$B$1:$L$257,11,FALSE))))</f>
        <v/>
      </c>
      <c r="K98" s="295" t="str">
        <f>IF(B98="","",IF(ISNA(VLOOKUP($B98,'B-1 On-Site Hedge Baseline'!$B$1:$U$257,13,FALSE)),"",(VLOOKUP($B98,'B-1 On-Site Hedge Baseline'!$B$1:$U$257,13,FALSE))))</f>
        <v/>
      </c>
      <c r="L98" s="299" t="str">
        <f>IF(B98="","",IF(ISNA(VLOOKUP($B98,'B-1 On-Site Hedge Baseline'!$B$1:$U$257,12,FALSE)),"",(VLOOKUP($B98,'B-1 On-Site Hedge Baseline'!$B$1:$U$257,12,FALSE))))</f>
        <v/>
      </c>
      <c r="M98" s="611"/>
      <c r="N98" s="275" t="str">
        <f>IFERROR(IF(B98="","",INDEX('G-6 Hedgerow Data'!$AN$3:$AZ$15,MATCH(C98,'G-6 Hedgerow Data'!$AM$3:$AM$15,0),MATCH(M98,'G-6 Hedgerow Data'!$AN$2:$AZ$2,0))),"")</f>
        <v/>
      </c>
      <c r="O98" s="276" t="str">
        <f t="shared" si="8"/>
        <v/>
      </c>
      <c r="P98" s="329" t="str">
        <f>IF(B98="","",VLOOKUP(B98,'B-1 On-Site Hedge Baseline'!$B$10:T343,16,FALSE))</f>
        <v/>
      </c>
      <c r="Q98" s="275" t="str">
        <f>IF(M98="","",VLOOKUP(M98,'G-6 Hedgerow Data'!$B$2:$AG$15,2,FALSE))</f>
        <v/>
      </c>
      <c r="R98" s="276" t="str">
        <f>IF(M98="","",VLOOKUP(M98,'G-6 Hedgerow Data'!$B$2:$AG$15,3,FALSE))</f>
        <v/>
      </c>
      <c r="S98" s="108"/>
      <c r="T98" s="314" t="str">
        <f>IFERROR(IF(S98="","",IF(AND(M98="Non-native and ornamental hedgerow",S98&lt;&gt;"Poor"),"Not possible ▲",(VLOOKUP(S98,'G-1 All Habitats'!$Z$2:$AA$9,2,FALSE)))),"")</f>
        <v/>
      </c>
      <c r="U98" s="105"/>
      <c r="V98" s="295" t="str">
        <f>IF(U98="","",IF(VLOOKUP(U98,'G-3 Multipliers'!$L$3:$N$6,2,FALSE)=0,"Spatial Data Missing ⚠",VLOOKUP(U98,'G-3 Multipliers'!$L$3:$N$6,2,FALSE)))</f>
        <v/>
      </c>
      <c r="W98" s="299" t="str">
        <f>IF(U98="","",IF(VLOOKUP(U98,'G-3 Multipliers'!$L$3:$N$6,3,FALSE)=0,"Spatial Data Missing ⚠",VLOOKUP(U98,'G-3 Multipliers'!$L$3:$N$6,3,FALSE)))</f>
        <v/>
      </c>
      <c r="X98" s="275" t="str">
        <f>IFERROR(IF(OR(LEFT(O98,5)="Error",LEFT(N98,5)="Error",T98="Error"),"Check Data ⚠",IF(F98&lt;R98,INDEX('G-6 Hedgerow Data'!$S$3:$AE$14,MATCH(C98,'G-6 Hedgerow Data'!$B$3:$B$14,0),MATCH(M98,'G-6 Hedgerow Data'!$S$2:$AE$2,0)),INDEX('G-6 Hedgerow Data'!$K$3:$Q$14,MATCH(M98,'G-6 Hedgerow Data'!$B$3:$B$14,0),MATCH(O98,'G-6 Hedgerow Data'!$K$2:$Q$2,0)))),"")</f>
        <v/>
      </c>
      <c r="Y98" s="133"/>
      <c r="Z98" s="133"/>
      <c r="AA98" s="283" t="str">
        <f t="shared" si="9"/>
        <v/>
      </c>
      <c r="AB98" s="296" t="str">
        <f t="shared" si="10"/>
        <v/>
      </c>
      <c r="AC98" s="297" t="str">
        <f t="shared" si="7"/>
        <v/>
      </c>
      <c r="AD98" s="311" t="str">
        <f>IF(M98="","",VLOOKUP(M98,'G-6 Hedgerow Data'!$B$3:$AG$15,31,FALSE))</f>
        <v/>
      </c>
      <c r="AE98" s="283" t="str">
        <f t="shared" si="11"/>
        <v/>
      </c>
      <c r="AF98" s="283" t="str">
        <f t="shared" si="12"/>
        <v/>
      </c>
      <c r="AG98" s="299" t="str">
        <f>IFERROR(IF(O98="","",VLOOKUP(AD98,'G-3 Multipliers'!$P$3:$Q$6,2,FALSE)),"")</f>
        <v/>
      </c>
      <c r="AH98" s="289" t="str">
        <f t="shared" si="13"/>
        <v/>
      </c>
      <c r="AI98" s="108"/>
      <c r="AJ98" s="115"/>
      <c r="AK98" s="104"/>
      <c r="AT98" s="30" t="str">
        <f>IFERROR(INDEX('G-6 Hedgerow Data'!$BJ$3:$BJ$15,MATCH(M98,'G-6 Hedgerow Data'!$B$3:$B$15,0)),"")</f>
        <v/>
      </c>
    </row>
    <row r="99" spans="2:46" ht="14">
      <c r="B99" s="305" t="str">
        <f>'B-1 On-Site Hedge Baseline'!AK97</f>
        <v/>
      </c>
      <c r="C99" s="295" t="str">
        <f>IF(B99="","",IF(ISNA(VLOOKUP($B99,'B-1 On-Site Hedge Baseline'!$B$1:$L$257,3,FALSE)),"",(VLOOKUP($B99,'B-1 On-Site Hedge Baseline'!$B$1:$L$257,3,FALSE))))</f>
        <v/>
      </c>
      <c r="D99" s="295" t="str">
        <f>IF(B99="","",IF(ISNA(VLOOKUP($B99,'B-1 On-Site Hedge Baseline'!$B$1:$L$257,4,FALSE)),"",(VLOOKUP($B99,'B-1 On-Site Hedge Baseline'!$B$1:$L$257,4,FALSE))))</f>
        <v/>
      </c>
      <c r="E99" s="295" t="str">
        <f>IF(B99="","",IF(ISNA(VLOOKUP($B99,'B-1 On-Site Hedge Baseline'!$B$1:$L$257,5,FALSE)),"",(VLOOKUP($B99,'B-1 On-Site Hedge Baseline'!$B$1:$L$257,5,FALSE))))</f>
        <v/>
      </c>
      <c r="F99" s="295" t="str">
        <f>IF(B99="","",IF(ISNA(VLOOKUP($B99,'B-1 On-Site Hedge Baseline'!$B$1:$L$257,6,FALSE)),"",(VLOOKUP($B99,'B-1 On-Site Hedge Baseline'!$B$1:$L$257,6,FALSE))))</f>
        <v/>
      </c>
      <c r="G99" s="295" t="str">
        <f>IF(B99="","",IF(ISNA(VLOOKUP($B99,'B-1 On-Site Hedge Baseline'!$B$1:$L$257,7,FALSE)),"",(VLOOKUP($B99,'B-1 On-Site Hedge Baseline'!$B$1:$L$257,7,FALSE))))</f>
        <v/>
      </c>
      <c r="H99" s="295" t="str">
        <f>IF(B99="","",IF(ISNA(VLOOKUP($B99,'B-1 On-Site Hedge Baseline'!$B$1:$L$257,8,FALSE)),"",(VLOOKUP($B99,'B-1 On-Site Hedge Baseline'!$B$1:$L$257,8,FALSE))))</f>
        <v/>
      </c>
      <c r="I99" s="295" t="str">
        <f>IF(B99="","",IF(ISNA(VLOOKUP($B99,'B-1 On-Site Hedge Baseline'!$B$1:$L$257,10,FALSE)),"",(VLOOKUP($B99,'B-1 On-Site Hedge Baseline'!$B$1:$L$257,10,FALSE))))</f>
        <v/>
      </c>
      <c r="J99" s="295" t="str">
        <f>IF(B99="","",IF(ISNA(VLOOKUP($B99,'B-1 On-Site Hedge Baseline'!$B$1:$L$257,11,FALSE)),"",(VLOOKUP($B99,'B-1 On-Site Hedge Baseline'!$B$1:$L$257,11,FALSE))))</f>
        <v/>
      </c>
      <c r="K99" s="295" t="str">
        <f>IF(B99="","",IF(ISNA(VLOOKUP($B99,'B-1 On-Site Hedge Baseline'!$B$1:$U$257,13,FALSE)),"",(VLOOKUP($B99,'B-1 On-Site Hedge Baseline'!$B$1:$U$257,13,FALSE))))</f>
        <v/>
      </c>
      <c r="L99" s="299" t="str">
        <f>IF(B99="","",IF(ISNA(VLOOKUP($B99,'B-1 On-Site Hedge Baseline'!$B$1:$U$257,12,FALSE)),"",(VLOOKUP($B99,'B-1 On-Site Hedge Baseline'!$B$1:$U$257,12,FALSE))))</f>
        <v/>
      </c>
      <c r="M99" s="611"/>
      <c r="N99" s="275" t="str">
        <f>IFERROR(IF(B99="","",INDEX('G-6 Hedgerow Data'!$AN$3:$AZ$15,MATCH(C99,'G-6 Hedgerow Data'!$AM$3:$AM$15,0),MATCH(M99,'G-6 Hedgerow Data'!$AN$2:$AZ$2,0))),"")</f>
        <v/>
      </c>
      <c r="O99" s="276" t="str">
        <f t="shared" si="8"/>
        <v/>
      </c>
      <c r="P99" s="329" t="str">
        <f>IF(B99="","",VLOOKUP(B99,'B-1 On-Site Hedge Baseline'!$B$10:T344,16,FALSE))</f>
        <v/>
      </c>
      <c r="Q99" s="275" t="str">
        <f>IF(M99="","",VLOOKUP(M99,'G-6 Hedgerow Data'!$B$2:$AG$15,2,FALSE))</f>
        <v/>
      </c>
      <c r="R99" s="276" t="str">
        <f>IF(M99="","",VLOOKUP(M99,'G-6 Hedgerow Data'!$B$2:$AG$15,3,FALSE))</f>
        <v/>
      </c>
      <c r="S99" s="108"/>
      <c r="T99" s="314" t="str">
        <f>IFERROR(IF(S99="","",IF(AND(M99="Non-native and ornamental hedgerow",S99&lt;&gt;"Poor"),"Not possible ▲",(VLOOKUP(S99,'G-1 All Habitats'!$Z$2:$AA$9,2,FALSE)))),"")</f>
        <v/>
      </c>
      <c r="U99" s="105"/>
      <c r="V99" s="295" t="str">
        <f>IF(U99="","",IF(VLOOKUP(U99,'G-3 Multipliers'!$L$3:$N$6,2,FALSE)=0,"Spatial Data Missing ⚠",VLOOKUP(U99,'G-3 Multipliers'!$L$3:$N$6,2,FALSE)))</f>
        <v/>
      </c>
      <c r="W99" s="299" t="str">
        <f>IF(U99="","",IF(VLOOKUP(U99,'G-3 Multipliers'!$L$3:$N$6,3,FALSE)=0,"Spatial Data Missing ⚠",VLOOKUP(U99,'G-3 Multipliers'!$L$3:$N$6,3,FALSE)))</f>
        <v/>
      </c>
      <c r="X99" s="275" t="str">
        <f>IFERROR(IF(OR(LEFT(O99,5)="Error",LEFT(N99,5)="Error",T99="Error"),"Check Data ⚠",IF(F99&lt;R99,INDEX('G-6 Hedgerow Data'!$S$3:$AE$14,MATCH(C99,'G-6 Hedgerow Data'!$B$3:$B$14,0),MATCH(M99,'G-6 Hedgerow Data'!$S$2:$AE$2,0)),INDEX('G-6 Hedgerow Data'!$K$3:$Q$14,MATCH(M99,'G-6 Hedgerow Data'!$B$3:$B$14,0),MATCH(O99,'G-6 Hedgerow Data'!$K$2:$Q$2,0)))),"")</f>
        <v/>
      </c>
      <c r="Y99" s="133"/>
      <c r="Z99" s="133"/>
      <c r="AA99" s="283" t="str">
        <f t="shared" si="9"/>
        <v/>
      </c>
      <c r="AB99" s="296" t="str">
        <f t="shared" si="10"/>
        <v/>
      </c>
      <c r="AC99" s="297" t="str">
        <f t="shared" si="7"/>
        <v/>
      </c>
      <c r="AD99" s="311" t="str">
        <f>IF(M99="","",VLOOKUP(M99,'G-6 Hedgerow Data'!$B$3:$AG$15,31,FALSE))</f>
        <v/>
      </c>
      <c r="AE99" s="283" t="str">
        <f t="shared" si="11"/>
        <v/>
      </c>
      <c r="AF99" s="283" t="str">
        <f t="shared" si="12"/>
        <v/>
      </c>
      <c r="AG99" s="299" t="str">
        <f>IFERROR(IF(O99="","",VLOOKUP(AD99,'G-3 Multipliers'!$P$3:$Q$6,2,FALSE)),"")</f>
        <v/>
      </c>
      <c r="AH99" s="289" t="str">
        <f t="shared" si="13"/>
        <v/>
      </c>
      <c r="AI99" s="108"/>
      <c r="AJ99" s="115"/>
      <c r="AK99" s="104"/>
      <c r="AT99" s="30" t="str">
        <f>IFERROR(INDEX('G-6 Hedgerow Data'!$BJ$3:$BJ$15,MATCH(M99,'G-6 Hedgerow Data'!$B$3:$B$15,0)),"")</f>
        <v/>
      </c>
    </row>
    <row r="100" spans="2:46" ht="14">
      <c r="B100" s="305" t="str">
        <f>'B-1 On-Site Hedge Baseline'!AK98</f>
        <v/>
      </c>
      <c r="C100" s="295" t="str">
        <f>IF(B100="","",IF(ISNA(VLOOKUP($B100,'B-1 On-Site Hedge Baseline'!$B$1:$L$257,3,FALSE)),"",(VLOOKUP($B100,'B-1 On-Site Hedge Baseline'!$B$1:$L$257,3,FALSE))))</f>
        <v/>
      </c>
      <c r="D100" s="295" t="str">
        <f>IF(B100="","",IF(ISNA(VLOOKUP($B100,'B-1 On-Site Hedge Baseline'!$B$1:$L$257,4,FALSE)),"",(VLOOKUP($B100,'B-1 On-Site Hedge Baseline'!$B$1:$L$257,4,FALSE))))</f>
        <v/>
      </c>
      <c r="E100" s="295" t="str">
        <f>IF(B100="","",IF(ISNA(VLOOKUP($B100,'B-1 On-Site Hedge Baseline'!$B$1:$L$257,5,FALSE)),"",(VLOOKUP($B100,'B-1 On-Site Hedge Baseline'!$B$1:$L$257,5,FALSE))))</f>
        <v/>
      </c>
      <c r="F100" s="295" t="str">
        <f>IF(B100="","",IF(ISNA(VLOOKUP($B100,'B-1 On-Site Hedge Baseline'!$B$1:$L$257,6,FALSE)),"",(VLOOKUP($B100,'B-1 On-Site Hedge Baseline'!$B$1:$L$257,6,FALSE))))</f>
        <v/>
      </c>
      <c r="G100" s="295" t="str">
        <f>IF(B100="","",IF(ISNA(VLOOKUP($B100,'B-1 On-Site Hedge Baseline'!$B$1:$L$257,7,FALSE)),"",(VLOOKUP($B100,'B-1 On-Site Hedge Baseline'!$B$1:$L$257,7,FALSE))))</f>
        <v/>
      </c>
      <c r="H100" s="295" t="str">
        <f>IF(B100="","",IF(ISNA(VLOOKUP($B100,'B-1 On-Site Hedge Baseline'!$B$1:$L$257,8,FALSE)),"",(VLOOKUP($B100,'B-1 On-Site Hedge Baseline'!$B$1:$L$257,8,FALSE))))</f>
        <v/>
      </c>
      <c r="I100" s="295" t="str">
        <f>IF(B100="","",IF(ISNA(VLOOKUP($B100,'B-1 On-Site Hedge Baseline'!$B$1:$L$257,10,FALSE)),"",(VLOOKUP($B100,'B-1 On-Site Hedge Baseline'!$B$1:$L$257,10,FALSE))))</f>
        <v/>
      </c>
      <c r="J100" s="295" t="str">
        <f>IF(B100="","",IF(ISNA(VLOOKUP($B100,'B-1 On-Site Hedge Baseline'!$B$1:$L$257,11,FALSE)),"",(VLOOKUP($B100,'B-1 On-Site Hedge Baseline'!$B$1:$L$257,11,FALSE))))</f>
        <v/>
      </c>
      <c r="K100" s="295" t="str">
        <f>IF(B100="","",IF(ISNA(VLOOKUP($B100,'B-1 On-Site Hedge Baseline'!$B$1:$U$257,13,FALSE)),"",(VLOOKUP($B100,'B-1 On-Site Hedge Baseline'!$B$1:$U$257,13,FALSE))))</f>
        <v/>
      </c>
      <c r="L100" s="299" t="str">
        <f>IF(B100="","",IF(ISNA(VLOOKUP($B100,'B-1 On-Site Hedge Baseline'!$B$1:$U$257,12,FALSE)),"",(VLOOKUP($B100,'B-1 On-Site Hedge Baseline'!$B$1:$U$257,12,FALSE))))</f>
        <v/>
      </c>
      <c r="M100" s="611"/>
      <c r="N100" s="275" t="str">
        <f>IFERROR(IF(B100="","",INDEX('G-6 Hedgerow Data'!$AN$3:$AZ$15,MATCH(C100,'G-6 Hedgerow Data'!$AM$3:$AM$15,0),MATCH(M100,'G-6 Hedgerow Data'!$AN$2:$AZ$2,0))),"")</f>
        <v/>
      </c>
      <c r="O100" s="276" t="str">
        <f t="shared" si="8"/>
        <v/>
      </c>
      <c r="P100" s="329" t="str">
        <f>IF(B100="","",VLOOKUP(B100,'B-1 On-Site Hedge Baseline'!$B$10:T345,16,FALSE))</f>
        <v/>
      </c>
      <c r="Q100" s="275" t="str">
        <f>IF(M100="","",VLOOKUP(M100,'G-6 Hedgerow Data'!$B$2:$AG$15,2,FALSE))</f>
        <v/>
      </c>
      <c r="R100" s="276" t="str">
        <f>IF(M100="","",VLOOKUP(M100,'G-6 Hedgerow Data'!$B$2:$AG$15,3,FALSE))</f>
        <v/>
      </c>
      <c r="S100" s="108"/>
      <c r="T100" s="314" t="str">
        <f>IFERROR(IF(S100="","",IF(AND(M100="Non-native and ornamental hedgerow",S100&lt;&gt;"Poor"),"Not possible ▲",(VLOOKUP(S100,'G-1 All Habitats'!$Z$2:$AA$9,2,FALSE)))),"")</f>
        <v/>
      </c>
      <c r="U100" s="105"/>
      <c r="V100" s="295" t="str">
        <f>IF(U100="","",IF(VLOOKUP(U100,'G-3 Multipliers'!$L$3:$N$6,2,FALSE)=0,"Spatial Data Missing ⚠",VLOOKUP(U100,'G-3 Multipliers'!$L$3:$N$6,2,FALSE)))</f>
        <v/>
      </c>
      <c r="W100" s="299" t="str">
        <f>IF(U100="","",IF(VLOOKUP(U100,'G-3 Multipliers'!$L$3:$N$6,3,FALSE)=0,"Spatial Data Missing ⚠",VLOOKUP(U100,'G-3 Multipliers'!$L$3:$N$6,3,FALSE)))</f>
        <v/>
      </c>
      <c r="X100" s="275" t="str">
        <f>IFERROR(IF(OR(LEFT(O100,5)="Error",LEFT(N100,5)="Error",T100="Error"),"Check Data ⚠",IF(F100&lt;R100,INDEX('G-6 Hedgerow Data'!$S$3:$AE$14,MATCH(C100,'G-6 Hedgerow Data'!$B$3:$B$14,0),MATCH(M100,'G-6 Hedgerow Data'!$S$2:$AE$2,0)),INDEX('G-6 Hedgerow Data'!$K$3:$Q$14,MATCH(M100,'G-6 Hedgerow Data'!$B$3:$B$14,0),MATCH(O100,'G-6 Hedgerow Data'!$K$2:$Q$2,0)))),"")</f>
        <v/>
      </c>
      <c r="Y100" s="133"/>
      <c r="Z100" s="133"/>
      <c r="AA100" s="283" t="str">
        <f t="shared" si="9"/>
        <v/>
      </c>
      <c r="AB100" s="296" t="str">
        <f t="shared" si="10"/>
        <v/>
      </c>
      <c r="AC100" s="297" t="str">
        <f t="shared" si="7"/>
        <v/>
      </c>
      <c r="AD100" s="311" t="str">
        <f>IF(M100="","",VLOOKUP(M100,'G-6 Hedgerow Data'!$B$3:$AG$15,31,FALSE))</f>
        <v/>
      </c>
      <c r="AE100" s="283" t="str">
        <f t="shared" si="11"/>
        <v/>
      </c>
      <c r="AF100" s="283" t="str">
        <f t="shared" si="12"/>
        <v/>
      </c>
      <c r="AG100" s="299" t="str">
        <f>IFERROR(IF(O100="","",VLOOKUP(AD100,'G-3 Multipliers'!$P$3:$Q$6,2,FALSE)),"")</f>
        <v/>
      </c>
      <c r="AH100" s="289" t="str">
        <f t="shared" si="13"/>
        <v/>
      </c>
      <c r="AI100" s="108"/>
      <c r="AJ100" s="115"/>
      <c r="AK100" s="104"/>
      <c r="AT100" s="30" t="str">
        <f>IFERROR(INDEX('G-6 Hedgerow Data'!$BJ$3:$BJ$15,MATCH(M100,'G-6 Hedgerow Data'!$B$3:$B$15,0)),"")</f>
        <v/>
      </c>
    </row>
    <row r="101" spans="2:46" ht="14">
      <c r="B101" s="305" t="str">
        <f>'B-1 On-Site Hedge Baseline'!AK99</f>
        <v/>
      </c>
      <c r="C101" s="295" t="str">
        <f>IF(B101="","",IF(ISNA(VLOOKUP($B101,'B-1 On-Site Hedge Baseline'!$B$1:$L$257,3,FALSE)),"",(VLOOKUP($B101,'B-1 On-Site Hedge Baseline'!$B$1:$L$257,3,FALSE))))</f>
        <v/>
      </c>
      <c r="D101" s="295" t="str">
        <f>IF(B101="","",IF(ISNA(VLOOKUP($B101,'B-1 On-Site Hedge Baseline'!$B$1:$L$257,4,FALSE)),"",(VLOOKUP($B101,'B-1 On-Site Hedge Baseline'!$B$1:$L$257,4,FALSE))))</f>
        <v/>
      </c>
      <c r="E101" s="295" t="str">
        <f>IF(B101="","",IF(ISNA(VLOOKUP($B101,'B-1 On-Site Hedge Baseline'!$B$1:$L$257,5,FALSE)),"",(VLOOKUP($B101,'B-1 On-Site Hedge Baseline'!$B$1:$L$257,5,FALSE))))</f>
        <v/>
      </c>
      <c r="F101" s="295" t="str">
        <f>IF(B101="","",IF(ISNA(VLOOKUP($B101,'B-1 On-Site Hedge Baseline'!$B$1:$L$257,6,FALSE)),"",(VLOOKUP($B101,'B-1 On-Site Hedge Baseline'!$B$1:$L$257,6,FALSE))))</f>
        <v/>
      </c>
      <c r="G101" s="295" t="str">
        <f>IF(B101="","",IF(ISNA(VLOOKUP($B101,'B-1 On-Site Hedge Baseline'!$B$1:$L$257,7,FALSE)),"",(VLOOKUP($B101,'B-1 On-Site Hedge Baseline'!$B$1:$L$257,7,FALSE))))</f>
        <v/>
      </c>
      <c r="H101" s="295" t="str">
        <f>IF(B101="","",IF(ISNA(VLOOKUP($B101,'B-1 On-Site Hedge Baseline'!$B$1:$L$257,8,FALSE)),"",(VLOOKUP($B101,'B-1 On-Site Hedge Baseline'!$B$1:$L$257,8,FALSE))))</f>
        <v/>
      </c>
      <c r="I101" s="295" t="str">
        <f>IF(B101="","",IF(ISNA(VLOOKUP($B101,'B-1 On-Site Hedge Baseline'!$B$1:$L$257,10,FALSE)),"",(VLOOKUP($B101,'B-1 On-Site Hedge Baseline'!$B$1:$L$257,10,FALSE))))</f>
        <v/>
      </c>
      <c r="J101" s="295" t="str">
        <f>IF(B101="","",IF(ISNA(VLOOKUP($B101,'B-1 On-Site Hedge Baseline'!$B$1:$L$257,11,FALSE)),"",(VLOOKUP($B101,'B-1 On-Site Hedge Baseline'!$B$1:$L$257,11,FALSE))))</f>
        <v/>
      </c>
      <c r="K101" s="295" t="str">
        <f>IF(B101="","",IF(ISNA(VLOOKUP($B101,'B-1 On-Site Hedge Baseline'!$B$1:$U$257,13,FALSE)),"",(VLOOKUP($B101,'B-1 On-Site Hedge Baseline'!$B$1:$U$257,13,FALSE))))</f>
        <v/>
      </c>
      <c r="L101" s="299" t="str">
        <f>IF(B101="","",IF(ISNA(VLOOKUP($B101,'B-1 On-Site Hedge Baseline'!$B$1:$U$257,12,FALSE)),"",(VLOOKUP($B101,'B-1 On-Site Hedge Baseline'!$B$1:$U$257,12,FALSE))))</f>
        <v/>
      </c>
      <c r="M101" s="611"/>
      <c r="N101" s="275" t="str">
        <f>IFERROR(IF(B101="","",INDEX('G-6 Hedgerow Data'!$AN$3:$AZ$15,MATCH(C101,'G-6 Hedgerow Data'!$AM$3:$AM$15,0),MATCH(M101,'G-6 Hedgerow Data'!$AN$2:$AZ$2,0))),"")</f>
        <v/>
      </c>
      <c r="O101" s="276" t="str">
        <f t="shared" si="8"/>
        <v/>
      </c>
      <c r="P101" s="329" t="str">
        <f>IF(B101="","",VLOOKUP(B101,'B-1 On-Site Hedge Baseline'!$B$10:T346,16,FALSE))</f>
        <v/>
      </c>
      <c r="Q101" s="275" t="str">
        <f>IF(M101="","",VLOOKUP(M101,'G-6 Hedgerow Data'!$B$2:$AG$15,2,FALSE))</f>
        <v/>
      </c>
      <c r="R101" s="276" t="str">
        <f>IF(M101="","",VLOOKUP(M101,'G-6 Hedgerow Data'!$B$2:$AG$15,3,FALSE))</f>
        <v/>
      </c>
      <c r="S101" s="108"/>
      <c r="T101" s="314" t="str">
        <f>IFERROR(IF(S101="","",IF(AND(M101="Non-native and ornamental hedgerow",S101&lt;&gt;"Poor"),"Not possible ▲",(VLOOKUP(S101,'G-1 All Habitats'!$Z$2:$AA$9,2,FALSE)))),"")</f>
        <v/>
      </c>
      <c r="U101" s="105"/>
      <c r="V101" s="295" t="str">
        <f>IF(U101="","",IF(VLOOKUP(U101,'G-3 Multipliers'!$L$3:$N$6,2,FALSE)=0,"Spatial Data Missing ⚠",VLOOKUP(U101,'G-3 Multipliers'!$L$3:$N$6,2,FALSE)))</f>
        <v/>
      </c>
      <c r="W101" s="299" t="str">
        <f>IF(U101="","",IF(VLOOKUP(U101,'G-3 Multipliers'!$L$3:$N$6,3,FALSE)=0,"Spatial Data Missing ⚠",VLOOKUP(U101,'G-3 Multipliers'!$L$3:$N$6,3,FALSE)))</f>
        <v/>
      </c>
      <c r="X101" s="275" t="str">
        <f>IFERROR(IF(OR(LEFT(O101,5)="Error",LEFT(N101,5)="Error",T101="Error"),"Check Data ⚠",IF(F101&lt;R101,INDEX('G-6 Hedgerow Data'!$S$3:$AE$14,MATCH(C101,'G-6 Hedgerow Data'!$B$3:$B$14,0),MATCH(M101,'G-6 Hedgerow Data'!$S$2:$AE$2,0)),INDEX('G-6 Hedgerow Data'!$K$3:$Q$14,MATCH(M101,'G-6 Hedgerow Data'!$B$3:$B$14,0),MATCH(O101,'G-6 Hedgerow Data'!$K$2:$Q$2,0)))),"")</f>
        <v/>
      </c>
      <c r="Y101" s="133"/>
      <c r="Z101" s="133"/>
      <c r="AA101" s="283" t="str">
        <f t="shared" si="9"/>
        <v/>
      </c>
      <c r="AB101" s="296" t="str">
        <f t="shared" si="10"/>
        <v/>
      </c>
      <c r="AC101" s="297" t="str">
        <f t="shared" si="7"/>
        <v/>
      </c>
      <c r="AD101" s="311" t="str">
        <f>IF(M101="","",VLOOKUP(M101,'G-6 Hedgerow Data'!$B$3:$AG$15,31,FALSE))</f>
        <v/>
      </c>
      <c r="AE101" s="283" t="str">
        <f t="shared" si="11"/>
        <v/>
      </c>
      <c r="AF101" s="283" t="str">
        <f t="shared" si="12"/>
        <v/>
      </c>
      <c r="AG101" s="299" t="str">
        <f>IFERROR(IF(O101="","",VLOOKUP(AD101,'G-3 Multipliers'!$P$3:$Q$6,2,FALSE)),"")</f>
        <v/>
      </c>
      <c r="AH101" s="289" t="str">
        <f t="shared" si="13"/>
        <v/>
      </c>
      <c r="AI101" s="108"/>
      <c r="AJ101" s="115"/>
      <c r="AK101" s="104"/>
      <c r="AT101" s="30" t="str">
        <f>IFERROR(INDEX('G-6 Hedgerow Data'!$BJ$3:$BJ$15,MATCH(M101,'G-6 Hedgerow Data'!$B$3:$B$15,0)),"")</f>
        <v/>
      </c>
    </row>
    <row r="102" spans="2:46" ht="14">
      <c r="B102" s="305" t="str">
        <f>'B-1 On-Site Hedge Baseline'!AK100</f>
        <v/>
      </c>
      <c r="C102" s="295" t="str">
        <f>IF(B102="","",IF(ISNA(VLOOKUP($B102,'B-1 On-Site Hedge Baseline'!$B$1:$L$257,3,FALSE)),"",(VLOOKUP($B102,'B-1 On-Site Hedge Baseline'!$B$1:$L$257,3,FALSE))))</f>
        <v/>
      </c>
      <c r="D102" s="295" t="str">
        <f>IF(B102="","",IF(ISNA(VLOOKUP($B102,'B-1 On-Site Hedge Baseline'!$B$1:$L$257,4,FALSE)),"",(VLOOKUP($B102,'B-1 On-Site Hedge Baseline'!$B$1:$L$257,4,FALSE))))</f>
        <v/>
      </c>
      <c r="E102" s="295" t="str">
        <f>IF(B102="","",IF(ISNA(VLOOKUP($B102,'B-1 On-Site Hedge Baseline'!$B$1:$L$257,5,FALSE)),"",(VLOOKUP($B102,'B-1 On-Site Hedge Baseline'!$B$1:$L$257,5,FALSE))))</f>
        <v/>
      </c>
      <c r="F102" s="295" t="str">
        <f>IF(B102="","",IF(ISNA(VLOOKUP($B102,'B-1 On-Site Hedge Baseline'!$B$1:$L$257,6,FALSE)),"",(VLOOKUP($B102,'B-1 On-Site Hedge Baseline'!$B$1:$L$257,6,FALSE))))</f>
        <v/>
      </c>
      <c r="G102" s="295" t="str">
        <f>IF(B102="","",IF(ISNA(VLOOKUP($B102,'B-1 On-Site Hedge Baseline'!$B$1:$L$257,7,FALSE)),"",(VLOOKUP($B102,'B-1 On-Site Hedge Baseline'!$B$1:$L$257,7,FALSE))))</f>
        <v/>
      </c>
      <c r="H102" s="295" t="str">
        <f>IF(B102="","",IF(ISNA(VLOOKUP($B102,'B-1 On-Site Hedge Baseline'!$B$1:$L$257,8,FALSE)),"",(VLOOKUP($B102,'B-1 On-Site Hedge Baseline'!$B$1:$L$257,8,FALSE))))</f>
        <v/>
      </c>
      <c r="I102" s="295" t="str">
        <f>IF(B102="","",IF(ISNA(VLOOKUP($B102,'B-1 On-Site Hedge Baseline'!$B$1:$L$257,10,FALSE)),"",(VLOOKUP($B102,'B-1 On-Site Hedge Baseline'!$B$1:$L$257,10,FALSE))))</f>
        <v/>
      </c>
      <c r="J102" s="295" t="str">
        <f>IF(B102="","",IF(ISNA(VLOOKUP($B102,'B-1 On-Site Hedge Baseline'!$B$1:$L$257,11,FALSE)),"",(VLOOKUP($B102,'B-1 On-Site Hedge Baseline'!$B$1:$L$257,11,FALSE))))</f>
        <v/>
      </c>
      <c r="K102" s="295" t="str">
        <f>IF(B102="","",IF(ISNA(VLOOKUP($B102,'B-1 On-Site Hedge Baseline'!$B$1:$U$257,13,FALSE)),"",(VLOOKUP($B102,'B-1 On-Site Hedge Baseline'!$B$1:$U$257,13,FALSE))))</f>
        <v/>
      </c>
      <c r="L102" s="299" t="str">
        <f>IF(B102="","",IF(ISNA(VLOOKUP($B102,'B-1 On-Site Hedge Baseline'!$B$1:$U$257,12,FALSE)),"",(VLOOKUP($B102,'B-1 On-Site Hedge Baseline'!$B$1:$U$257,12,FALSE))))</f>
        <v/>
      </c>
      <c r="M102" s="611"/>
      <c r="N102" s="275" t="str">
        <f>IFERROR(IF(B102="","",INDEX('G-6 Hedgerow Data'!$AN$3:$AZ$15,MATCH(C102,'G-6 Hedgerow Data'!$AM$3:$AM$15,0),MATCH(M102,'G-6 Hedgerow Data'!$AN$2:$AZ$2,0))),"")</f>
        <v/>
      </c>
      <c r="O102" s="276" t="str">
        <f t="shared" si="8"/>
        <v/>
      </c>
      <c r="P102" s="329" t="str">
        <f>IF(B102="","",VLOOKUP(B102,'B-1 On-Site Hedge Baseline'!$B$10:T347,16,FALSE))</f>
        <v/>
      </c>
      <c r="Q102" s="275" t="str">
        <f>IF(M102="","",VLOOKUP(M102,'G-6 Hedgerow Data'!$B$2:$AG$15,2,FALSE))</f>
        <v/>
      </c>
      <c r="R102" s="276" t="str">
        <f>IF(M102="","",VLOOKUP(M102,'G-6 Hedgerow Data'!$B$2:$AG$15,3,FALSE))</f>
        <v/>
      </c>
      <c r="S102" s="108"/>
      <c r="T102" s="314" t="str">
        <f>IFERROR(IF(S102="","",IF(AND(M102="Non-native and ornamental hedgerow",S102&lt;&gt;"Poor"),"Not possible ▲",(VLOOKUP(S102,'G-1 All Habitats'!$Z$2:$AA$9,2,FALSE)))),"")</f>
        <v/>
      </c>
      <c r="U102" s="105"/>
      <c r="V102" s="295" t="str">
        <f>IF(U102="","",IF(VLOOKUP(U102,'G-3 Multipliers'!$L$3:$N$6,2,FALSE)=0,"Spatial Data Missing ⚠",VLOOKUP(U102,'G-3 Multipliers'!$L$3:$N$6,2,FALSE)))</f>
        <v/>
      </c>
      <c r="W102" s="299" t="str">
        <f>IF(U102="","",IF(VLOOKUP(U102,'G-3 Multipliers'!$L$3:$N$6,3,FALSE)=0,"Spatial Data Missing ⚠",VLOOKUP(U102,'G-3 Multipliers'!$L$3:$N$6,3,FALSE)))</f>
        <v/>
      </c>
      <c r="X102" s="275" t="str">
        <f>IFERROR(IF(OR(LEFT(O102,5)="Error",LEFT(N102,5)="Error",T102="Error"),"Check Data ⚠",IF(F102&lt;R102,INDEX('G-6 Hedgerow Data'!$S$3:$AE$14,MATCH(C102,'G-6 Hedgerow Data'!$B$3:$B$14,0),MATCH(M102,'G-6 Hedgerow Data'!$S$2:$AE$2,0)),INDEX('G-6 Hedgerow Data'!$K$3:$Q$14,MATCH(M102,'G-6 Hedgerow Data'!$B$3:$B$14,0),MATCH(O102,'G-6 Hedgerow Data'!$K$2:$Q$2,0)))),"")</f>
        <v/>
      </c>
      <c r="Y102" s="133"/>
      <c r="Z102" s="133"/>
      <c r="AA102" s="283" t="str">
        <f t="shared" si="9"/>
        <v/>
      </c>
      <c r="AB102" s="296" t="str">
        <f t="shared" si="10"/>
        <v/>
      </c>
      <c r="AC102" s="297" t="str">
        <f t="shared" si="7"/>
        <v/>
      </c>
      <c r="AD102" s="311" t="str">
        <f>IF(M102="","",VLOOKUP(M102,'G-6 Hedgerow Data'!$B$3:$AG$15,31,FALSE))</f>
        <v/>
      </c>
      <c r="AE102" s="283" t="str">
        <f t="shared" si="11"/>
        <v/>
      </c>
      <c r="AF102" s="283" t="str">
        <f t="shared" si="12"/>
        <v/>
      </c>
      <c r="AG102" s="299" t="str">
        <f>IFERROR(IF(O102="","",VLOOKUP(AD102,'G-3 Multipliers'!$P$3:$Q$6,2,FALSE)),"")</f>
        <v/>
      </c>
      <c r="AH102" s="289" t="str">
        <f t="shared" si="13"/>
        <v/>
      </c>
      <c r="AI102" s="108"/>
      <c r="AJ102" s="115"/>
      <c r="AK102" s="104"/>
      <c r="AT102" s="30" t="str">
        <f>IFERROR(INDEX('G-6 Hedgerow Data'!$BJ$3:$BJ$15,MATCH(M102,'G-6 Hedgerow Data'!$B$3:$B$15,0)),"")</f>
        <v/>
      </c>
    </row>
    <row r="103" spans="2:46" ht="14">
      <c r="B103" s="305" t="str">
        <f>'B-1 On-Site Hedge Baseline'!AK101</f>
        <v/>
      </c>
      <c r="C103" s="295" t="str">
        <f>IF(B103="","",IF(ISNA(VLOOKUP($B103,'B-1 On-Site Hedge Baseline'!$B$1:$L$257,3,FALSE)),"",(VLOOKUP($B103,'B-1 On-Site Hedge Baseline'!$B$1:$L$257,3,FALSE))))</f>
        <v/>
      </c>
      <c r="D103" s="295" t="str">
        <f>IF(B103="","",IF(ISNA(VLOOKUP($B103,'B-1 On-Site Hedge Baseline'!$B$1:$L$257,4,FALSE)),"",(VLOOKUP($B103,'B-1 On-Site Hedge Baseline'!$B$1:$L$257,4,FALSE))))</f>
        <v/>
      </c>
      <c r="E103" s="295" t="str">
        <f>IF(B103="","",IF(ISNA(VLOOKUP($B103,'B-1 On-Site Hedge Baseline'!$B$1:$L$257,5,FALSE)),"",(VLOOKUP($B103,'B-1 On-Site Hedge Baseline'!$B$1:$L$257,5,FALSE))))</f>
        <v/>
      </c>
      <c r="F103" s="295" t="str">
        <f>IF(B103="","",IF(ISNA(VLOOKUP($B103,'B-1 On-Site Hedge Baseline'!$B$1:$L$257,6,FALSE)),"",(VLOOKUP($B103,'B-1 On-Site Hedge Baseline'!$B$1:$L$257,6,FALSE))))</f>
        <v/>
      </c>
      <c r="G103" s="295" t="str">
        <f>IF(B103="","",IF(ISNA(VLOOKUP($B103,'B-1 On-Site Hedge Baseline'!$B$1:$L$257,7,FALSE)),"",(VLOOKUP($B103,'B-1 On-Site Hedge Baseline'!$B$1:$L$257,7,FALSE))))</f>
        <v/>
      </c>
      <c r="H103" s="295" t="str">
        <f>IF(B103="","",IF(ISNA(VLOOKUP($B103,'B-1 On-Site Hedge Baseline'!$B$1:$L$257,8,FALSE)),"",(VLOOKUP($B103,'B-1 On-Site Hedge Baseline'!$B$1:$L$257,8,FALSE))))</f>
        <v/>
      </c>
      <c r="I103" s="295" t="str">
        <f>IF(B103="","",IF(ISNA(VLOOKUP($B103,'B-1 On-Site Hedge Baseline'!$B$1:$L$257,10,FALSE)),"",(VLOOKUP($B103,'B-1 On-Site Hedge Baseline'!$B$1:$L$257,10,FALSE))))</f>
        <v/>
      </c>
      <c r="J103" s="295" t="str">
        <f>IF(B103="","",IF(ISNA(VLOOKUP($B103,'B-1 On-Site Hedge Baseline'!$B$1:$L$257,11,FALSE)),"",(VLOOKUP($B103,'B-1 On-Site Hedge Baseline'!$B$1:$L$257,11,FALSE))))</f>
        <v/>
      </c>
      <c r="K103" s="295" t="str">
        <f>IF(B103="","",IF(ISNA(VLOOKUP($B103,'B-1 On-Site Hedge Baseline'!$B$1:$U$257,13,FALSE)),"",(VLOOKUP($B103,'B-1 On-Site Hedge Baseline'!$B$1:$U$257,13,FALSE))))</f>
        <v/>
      </c>
      <c r="L103" s="299" t="str">
        <f>IF(B103="","",IF(ISNA(VLOOKUP($B103,'B-1 On-Site Hedge Baseline'!$B$1:$U$257,12,FALSE)),"",(VLOOKUP($B103,'B-1 On-Site Hedge Baseline'!$B$1:$U$257,12,FALSE))))</f>
        <v/>
      </c>
      <c r="M103" s="611"/>
      <c r="N103" s="275" t="str">
        <f>IFERROR(IF(B103="","",INDEX('G-6 Hedgerow Data'!$AN$3:$AZ$15,MATCH(C103,'G-6 Hedgerow Data'!$AM$3:$AM$15,0),MATCH(M103,'G-6 Hedgerow Data'!$AN$2:$AZ$2,0))),"")</f>
        <v/>
      </c>
      <c r="O103" s="276" t="str">
        <f t="shared" si="8"/>
        <v/>
      </c>
      <c r="P103" s="329" t="str">
        <f>IF(B103="","",VLOOKUP(B103,'B-1 On-Site Hedge Baseline'!$B$10:T348,16,FALSE))</f>
        <v/>
      </c>
      <c r="Q103" s="275" t="str">
        <f>IF(M103="","",VLOOKUP(M103,'G-6 Hedgerow Data'!$B$2:$AG$15,2,FALSE))</f>
        <v/>
      </c>
      <c r="R103" s="276" t="str">
        <f>IF(M103="","",VLOOKUP(M103,'G-6 Hedgerow Data'!$B$2:$AG$15,3,FALSE))</f>
        <v/>
      </c>
      <c r="S103" s="108"/>
      <c r="T103" s="314" t="str">
        <f>IFERROR(IF(S103="","",IF(AND(M103="Non-native and ornamental hedgerow",S103&lt;&gt;"Poor"),"Not possible ▲",(VLOOKUP(S103,'G-1 All Habitats'!$Z$2:$AA$9,2,FALSE)))),"")</f>
        <v/>
      </c>
      <c r="U103" s="105"/>
      <c r="V103" s="295" t="str">
        <f>IF(U103="","",IF(VLOOKUP(U103,'G-3 Multipliers'!$L$3:$N$6,2,FALSE)=0,"Spatial Data Missing ⚠",VLOOKUP(U103,'G-3 Multipliers'!$L$3:$N$6,2,FALSE)))</f>
        <v/>
      </c>
      <c r="W103" s="299" t="str">
        <f>IF(U103="","",IF(VLOOKUP(U103,'G-3 Multipliers'!$L$3:$N$6,3,FALSE)=0,"Spatial Data Missing ⚠",VLOOKUP(U103,'G-3 Multipliers'!$L$3:$N$6,3,FALSE)))</f>
        <v/>
      </c>
      <c r="X103" s="275" t="str">
        <f>IFERROR(IF(OR(LEFT(O103,5)="Error",LEFT(N103,5)="Error",T103="Error"),"Check Data ⚠",IF(F103&lt;R103,INDEX('G-6 Hedgerow Data'!$S$3:$AE$14,MATCH(C103,'G-6 Hedgerow Data'!$B$3:$B$14,0),MATCH(M103,'G-6 Hedgerow Data'!$S$2:$AE$2,0)),INDEX('G-6 Hedgerow Data'!$K$3:$Q$14,MATCH(M103,'G-6 Hedgerow Data'!$B$3:$B$14,0),MATCH(O103,'G-6 Hedgerow Data'!$K$2:$Q$2,0)))),"")</f>
        <v/>
      </c>
      <c r="Y103" s="133"/>
      <c r="Z103" s="133"/>
      <c r="AA103" s="283" t="str">
        <f t="shared" si="9"/>
        <v/>
      </c>
      <c r="AB103" s="296" t="str">
        <f t="shared" si="10"/>
        <v/>
      </c>
      <c r="AC103" s="297" t="str">
        <f t="shared" si="7"/>
        <v/>
      </c>
      <c r="AD103" s="311" t="str">
        <f>IF(M103="","",VLOOKUP(M103,'G-6 Hedgerow Data'!$B$3:$AG$15,31,FALSE))</f>
        <v/>
      </c>
      <c r="AE103" s="283" t="str">
        <f t="shared" si="11"/>
        <v/>
      </c>
      <c r="AF103" s="283" t="str">
        <f t="shared" si="12"/>
        <v/>
      </c>
      <c r="AG103" s="299" t="str">
        <f>IFERROR(IF(O103="","",VLOOKUP(AD103,'G-3 Multipliers'!$P$3:$Q$6,2,FALSE)),"")</f>
        <v/>
      </c>
      <c r="AH103" s="289" t="str">
        <f t="shared" si="13"/>
        <v/>
      </c>
      <c r="AI103" s="108"/>
      <c r="AJ103" s="115"/>
      <c r="AK103" s="104"/>
      <c r="AT103" s="30" t="str">
        <f>IFERROR(INDEX('G-6 Hedgerow Data'!$BJ$3:$BJ$15,MATCH(M103,'G-6 Hedgerow Data'!$B$3:$B$15,0)),"")</f>
        <v/>
      </c>
    </row>
    <row r="104" spans="2:46" ht="14">
      <c r="B104" s="305" t="str">
        <f>'B-1 On-Site Hedge Baseline'!AK102</f>
        <v/>
      </c>
      <c r="C104" s="295" t="str">
        <f>IF(B104="","",IF(ISNA(VLOOKUP($B104,'B-1 On-Site Hedge Baseline'!$B$1:$L$257,3,FALSE)),"",(VLOOKUP($B104,'B-1 On-Site Hedge Baseline'!$B$1:$L$257,3,FALSE))))</f>
        <v/>
      </c>
      <c r="D104" s="295" t="str">
        <f>IF(B104="","",IF(ISNA(VLOOKUP($B104,'B-1 On-Site Hedge Baseline'!$B$1:$L$257,4,FALSE)),"",(VLOOKUP($B104,'B-1 On-Site Hedge Baseline'!$B$1:$L$257,4,FALSE))))</f>
        <v/>
      </c>
      <c r="E104" s="295" t="str">
        <f>IF(B104="","",IF(ISNA(VLOOKUP($B104,'B-1 On-Site Hedge Baseline'!$B$1:$L$257,5,FALSE)),"",(VLOOKUP($B104,'B-1 On-Site Hedge Baseline'!$B$1:$L$257,5,FALSE))))</f>
        <v/>
      </c>
      <c r="F104" s="295" t="str">
        <f>IF(B104="","",IF(ISNA(VLOOKUP($B104,'B-1 On-Site Hedge Baseline'!$B$1:$L$257,6,FALSE)),"",(VLOOKUP($B104,'B-1 On-Site Hedge Baseline'!$B$1:$L$257,6,FALSE))))</f>
        <v/>
      </c>
      <c r="G104" s="295" t="str">
        <f>IF(B104="","",IF(ISNA(VLOOKUP($B104,'B-1 On-Site Hedge Baseline'!$B$1:$L$257,7,FALSE)),"",(VLOOKUP($B104,'B-1 On-Site Hedge Baseline'!$B$1:$L$257,7,FALSE))))</f>
        <v/>
      </c>
      <c r="H104" s="295" t="str">
        <f>IF(B104="","",IF(ISNA(VLOOKUP($B104,'B-1 On-Site Hedge Baseline'!$B$1:$L$257,8,FALSE)),"",(VLOOKUP($B104,'B-1 On-Site Hedge Baseline'!$B$1:$L$257,8,FALSE))))</f>
        <v/>
      </c>
      <c r="I104" s="295" t="str">
        <f>IF(B104="","",IF(ISNA(VLOOKUP($B104,'B-1 On-Site Hedge Baseline'!$B$1:$L$257,10,FALSE)),"",(VLOOKUP($B104,'B-1 On-Site Hedge Baseline'!$B$1:$L$257,10,FALSE))))</f>
        <v/>
      </c>
      <c r="J104" s="295" t="str">
        <f>IF(B104="","",IF(ISNA(VLOOKUP($B104,'B-1 On-Site Hedge Baseline'!$B$1:$L$257,11,FALSE)),"",(VLOOKUP($B104,'B-1 On-Site Hedge Baseline'!$B$1:$L$257,11,FALSE))))</f>
        <v/>
      </c>
      <c r="K104" s="295" t="str">
        <f>IF(B104="","",IF(ISNA(VLOOKUP($B104,'B-1 On-Site Hedge Baseline'!$B$1:$U$257,13,FALSE)),"",(VLOOKUP($B104,'B-1 On-Site Hedge Baseline'!$B$1:$U$257,13,FALSE))))</f>
        <v/>
      </c>
      <c r="L104" s="299" t="str">
        <f>IF(B104="","",IF(ISNA(VLOOKUP($B104,'B-1 On-Site Hedge Baseline'!$B$1:$U$257,12,FALSE)),"",(VLOOKUP($B104,'B-1 On-Site Hedge Baseline'!$B$1:$U$257,12,FALSE))))</f>
        <v/>
      </c>
      <c r="M104" s="611"/>
      <c r="N104" s="275" t="str">
        <f>IFERROR(IF(B104="","",INDEX('G-6 Hedgerow Data'!$AN$3:$AZ$15,MATCH(C104,'G-6 Hedgerow Data'!$AM$3:$AM$15,0),MATCH(M104,'G-6 Hedgerow Data'!$AN$2:$AZ$2,0))),"")</f>
        <v/>
      </c>
      <c r="O104" s="276" t="str">
        <f t="shared" si="8"/>
        <v/>
      </c>
      <c r="P104" s="329" t="str">
        <f>IF(B104="","",VLOOKUP(B104,'B-1 On-Site Hedge Baseline'!$B$10:T349,16,FALSE))</f>
        <v/>
      </c>
      <c r="Q104" s="275" t="str">
        <f>IF(M104="","",VLOOKUP(M104,'G-6 Hedgerow Data'!$B$2:$AG$15,2,FALSE))</f>
        <v/>
      </c>
      <c r="R104" s="276" t="str">
        <f>IF(M104="","",VLOOKUP(M104,'G-6 Hedgerow Data'!$B$2:$AG$15,3,FALSE))</f>
        <v/>
      </c>
      <c r="S104" s="108"/>
      <c r="T104" s="314" t="str">
        <f>IFERROR(IF(S104="","",IF(AND(M104="Non-native and ornamental hedgerow",S104&lt;&gt;"Poor"),"Not possible ▲",(VLOOKUP(S104,'G-1 All Habitats'!$Z$2:$AA$9,2,FALSE)))),"")</f>
        <v/>
      </c>
      <c r="U104" s="105"/>
      <c r="V104" s="295" t="str">
        <f>IF(U104="","",IF(VLOOKUP(U104,'G-3 Multipliers'!$L$3:$N$6,2,FALSE)=0,"Spatial Data Missing ⚠",VLOOKUP(U104,'G-3 Multipliers'!$L$3:$N$6,2,FALSE)))</f>
        <v/>
      </c>
      <c r="W104" s="299" t="str">
        <f>IF(U104="","",IF(VLOOKUP(U104,'G-3 Multipliers'!$L$3:$N$6,3,FALSE)=0,"Spatial Data Missing ⚠",VLOOKUP(U104,'G-3 Multipliers'!$L$3:$N$6,3,FALSE)))</f>
        <v/>
      </c>
      <c r="X104" s="275" t="str">
        <f>IFERROR(IF(OR(LEFT(O104,5)="Error",LEFT(N104,5)="Error",T104="Error"),"Check Data ⚠",IF(F104&lt;R104,INDEX('G-6 Hedgerow Data'!$S$3:$AE$14,MATCH(C104,'G-6 Hedgerow Data'!$B$3:$B$14,0),MATCH(M104,'G-6 Hedgerow Data'!$S$2:$AE$2,0)),INDEX('G-6 Hedgerow Data'!$K$3:$Q$14,MATCH(M104,'G-6 Hedgerow Data'!$B$3:$B$14,0),MATCH(O104,'G-6 Hedgerow Data'!$K$2:$Q$2,0)))),"")</f>
        <v/>
      </c>
      <c r="Y104" s="133"/>
      <c r="Z104" s="133"/>
      <c r="AA104" s="283" t="str">
        <f t="shared" si="9"/>
        <v/>
      </c>
      <c r="AB104" s="296" t="str">
        <f t="shared" si="10"/>
        <v/>
      </c>
      <c r="AC104" s="297" t="str">
        <f t="shared" si="7"/>
        <v/>
      </c>
      <c r="AD104" s="311" t="str">
        <f>IF(M104="","",VLOOKUP(M104,'G-6 Hedgerow Data'!$B$3:$AG$15,31,FALSE))</f>
        <v/>
      </c>
      <c r="AE104" s="283" t="str">
        <f t="shared" si="11"/>
        <v/>
      </c>
      <c r="AF104" s="283" t="str">
        <f t="shared" si="12"/>
        <v/>
      </c>
      <c r="AG104" s="299" t="str">
        <f>IFERROR(IF(O104="","",VLOOKUP(AD104,'G-3 Multipliers'!$P$3:$Q$6,2,FALSE)),"")</f>
        <v/>
      </c>
      <c r="AH104" s="289" t="str">
        <f t="shared" si="13"/>
        <v/>
      </c>
      <c r="AI104" s="108"/>
      <c r="AJ104" s="115"/>
      <c r="AK104" s="104"/>
      <c r="AT104" s="30" t="str">
        <f>IFERROR(INDEX('G-6 Hedgerow Data'!$BJ$3:$BJ$15,MATCH(M104,'G-6 Hedgerow Data'!$B$3:$B$15,0)),"")</f>
        <v/>
      </c>
    </row>
    <row r="105" spans="2:46" ht="14">
      <c r="B105" s="305" t="str">
        <f>'B-1 On-Site Hedge Baseline'!AK103</f>
        <v/>
      </c>
      <c r="C105" s="295" t="str">
        <f>IF(B105="","",IF(ISNA(VLOOKUP($B105,'B-1 On-Site Hedge Baseline'!$B$1:$L$257,3,FALSE)),"",(VLOOKUP($B105,'B-1 On-Site Hedge Baseline'!$B$1:$L$257,3,FALSE))))</f>
        <v/>
      </c>
      <c r="D105" s="295" t="str">
        <f>IF(B105="","",IF(ISNA(VLOOKUP($B105,'B-1 On-Site Hedge Baseline'!$B$1:$L$257,4,FALSE)),"",(VLOOKUP($B105,'B-1 On-Site Hedge Baseline'!$B$1:$L$257,4,FALSE))))</f>
        <v/>
      </c>
      <c r="E105" s="295" t="str">
        <f>IF(B105="","",IF(ISNA(VLOOKUP($B105,'B-1 On-Site Hedge Baseline'!$B$1:$L$257,5,FALSE)),"",(VLOOKUP($B105,'B-1 On-Site Hedge Baseline'!$B$1:$L$257,5,FALSE))))</f>
        <v/>
      </c>
      <c r="F105" s="295" t="str">
        <f>IF(B105="","",IF(ISNA(VLOOKUP($B105,'B-1 On-Site Hedge Baseline'!$B$1:$L$257,6,FALSE)),"",(VLOOKUP($B105,'B-1 On-Site Hedge Baseline'!$B$1:$L$257,6,FALSE))))</f>
        <v/>
      </c>
      <c r="G105" s="295" t="str">
        <f>IF(B105="","",IF(ISNA(VLOOKUP($B105,'B-1 On-Site Hedge Baseline'!$B$1:$L$257,7,FALSE)),"",(VLOOKUP($B105,'B-1 On-Site Hedge Baseline'!$B$1:$L$257,7,FALSE))))</f>
        <v/>
      </c>
      <c r="H105" s="295" t="str">
        <f>IF(B105="","",IF(ISNA(VLOOKUP($B105,'B-1 On-Site Hedge Baseline'!$B$1:$L$257,8,FALSE)),"",(VLOOKUP($B105,'B-1 On-Site Hedge Baseline'!$B$1:$L$257,8,FALSE))))</f>
        <v/>
      </c>
      <c r="I105" s="295" t="str">
        <f>IF(B105="","",IF(ISNA(VLOOKUP($B105,'B-1 On-Site Hedge Baseline'!$B$1:$L$257,10,FALSE)),"",(VLOOKUP($B105,'B-1 On-Site Hedge Baseline'!$B$1:$L$257,10,FALSE))))</f>
        <v/>
      </c>
      <c r="J105" s="295" t="str">
        <f>IF(B105="","",IF(ISNA(VLOOKUP($B105,'B-1 On-Site Hedge Baseline'!$B$1:$L$257,11,FALSE)),"",(VLOOKUP($B105,'B-1 On-Site Hedge Baseline'!$B$1:$L$257,11,FALSE))))</f>
        <v/>
      </c>
      <c r="K105" s="295" t="str">
        <f>IF(B105="","",IF(ISNA(VLOOKUP($B105,'B-1 On-Site Hedge Baseline'!$B$1:$U$257,13,FALSE)),"",(VLOOKUP($B105,'B-1 On-Site Hedge Baseline'!$B$1:$U$257,13,FALSE))))</f>
        <v/>
      </c>
      <c r="L105" s="299" t="str">
        <f>IF(B105="","",IF(ISNA(VLOOKUP($B105,'B-1 On-Site Hedge Baseline'!$B$1:$U$257,12,FALSE)),"",(VLOOKUP($B105,'B-1 On-Site Hedge Baseline'!$B$1:$U$257,12,FALSE))))</f>
        <v/>
      </c>
      <c r="M105" s="611"/>
      <c r="N105" s="275" t="str">
        <f>IFERROR(IF(B105="","",INDEX('G-6 Hedgerow Data'!$AN$3:$AZ$15,MATCH(C105,'G-6 Hedgerow Data'!$AM$3:$AM$15,0),MATCH(M105,'G-6 Hedgerow Data'!$AN$2:$AZ$2,0))),"")</f>
        <v/>
      </c>
      <c r="O105" s="276" t="str">
        <f t="shared" si="8"/>
        <v/>
      </c>
      <c r="P105" s="329" t="str">
        <f>IF(B105="","",VLOOKUP(B105,'B-1 On-Site Hedge Baseline'!$B$10:T350,16,FALSE))</f>
        <v/>
      </c>
      <c r="Q105" s="275" t="str">
        <f>IF(M105="","",VLOOKUP(M105,'G-6 Hedgerow Data'!$B$2:$AG$15,2,FALSE))</f>
        <v/>
      </c>
      <c r="R105" s="276" t="str">
        <f>IF(M105="","",VLOOKUP(M105,'G-6 Hedgerow Data'!$B$2:$AG$15,3,FALSE))</f>
        <v/>
      </c>
      <c r="S105" s="108"/>
      <c r="T105" s="314" t="str">
        <f>IFERROR(IF(S105="","",IF(AND(M105="Non-native and ornamental hedgerow",S105&lt;&gt;"Poor"),"Not possible ▲",(VLOOKUP(S105,'G-1 All Habitats'!$Z$2:$AA$9,2,FALSE)))),"")</f>
        <v/>
      </c>
      <c r="U105" s="105"/>
      <c r="V105" s="295" t="str">
        <f>IF(U105="","",IF(VLOOKUP(U105,'G-3 Multipliers'!$L$3:$N$6,2,FALSE)=0,"Spatial Data Missing ⚠",VLOOKUP(U105,'G-3 Multipliers'!$L$3:$N$6,2,FALSE)))</f>
        <v/>
      </c>
      <c r="W105" s="299" t="str">
        <f>IF(U105="","",IF(VLOOKUP(U105,'G-3 Multipliers'!$L$3:$N$6,3,FALSE)=0,"Spatial Data Missing ⚠",VLOOKUP(U105,'G-3 Multipliers'!$L$3:$N$6,3,FALSE)))</f>
        <v/>
      </c>
      <c r="X105" s="275" t="str">
        <f>IFERROR(IF(OR(LEFT(O105,5)="Error",LEFT(N105,5)="Error",T105="Error"),"Check Data ⚠",IF(F105&lt;R105,INDEX('G-6 Hedgerow Data'!$S$3:$AE$14,MATCH(C105,'G-6 Hedgerow Data'!$B$3:$B$14,0),MATCH(M105,'G-6 Hedgerow Data'!$S$2:$AE$2,0)),INDEX('G-6 Hedgerow Data'!$K$3:$Q$14,MATCH(M105,'G-6 Hedgerow Data'!$B$3:$B$14,0),MATCH(O105,'G-6 Hedgerow Data'!$K$2:$Q$2,0)))),"")</f>
        <v/>
      </c>
      <c r="Y105" s="133"/>
      <c r="Z105" s="133"/>
      <c r="AA105" s="283" t="str">
        <f t="shared" si="9"/>
        <v/>
      </c>
      <c r="AB105" s="296" t="str">
        <f t="shared" si="10"/>
        <v/>
      </c>
      <c r="AC105" s="297" t="str">
        <f t="shared" si="7"/>
        <v/>
      </c>
      <c r="AD105" s="311" t="str">
        <f>IF(M105="","",VLOOKUP(M105,'G-6 Hedgerow Data'!$B$3:$AG$15,31,FALSE))</f>
        <v/>
      </c>
      <c r="AE105" s="283" t="str">
        <f t="shared" si="11"/>
        <v/>
      </c>
      <c r="AF105" s="283" t="str">
        <f t="shared" si="12"/>
        <v/>
      </c>
      <c r="AG105" s="299" t="str">
        <f>IFERROR(IF(O105="","",VLOOKUP(AD105,'G-3 Multipliers'!$P$3:$Q$6,2,FALSE)),"")</f>
        <v/>
      </c>
      <c r="AH105" s="289" t="str">
        <f t="shared" si="13"/>
        <v/>
      </c>
      <c r="AI105" s="108"/>
      <c r="AJ105" s="115"/>
      <c r="AK105" s="104"/>
      <c r="AT105" s="30" t="str">
        <f>IFERROR(INDEX('G-6 Hedgerow Data'!$BJ$3:$BJ$15,MATCH(M105,'G-6 Hedgerow Data'!$B$3:$B$15,0)),"")</f>
        <v/>
      </c>
    </row>
    <row r="106" spans="2:46" ht="14">
      <c r="B106" s="305" t="str">
        <f>'B-1 On-Site Hedge Baseline'!AK104</f>
        <v/>
      </c>
      <c r="C106" s="295" t="str">
        <f>IF(B106="","",IF(ISNA(VLOOKUP($B106,'B-1 On-Site Hedge Baseline'!$B$1:$L$257,3,FALSE)),"",(VLOOKUP($B106,'B-1 On-Site Hedge Baseline'!$B$1:$L$257,3,FALSE))))</f>
        <v/>
      </c>
      <c r="D106" s="295" t="str">
        <f>IF(B106="","",IF(ISNA(VLOOKUP($B106,'B-1 On-Site Hedge Baseline'!$B$1:$L$257,4,FALSE)),"",(VLOOKUP($B106,'B-1 On-Site Hedge Baseline'!$B$1:$L$257,4,FALSE))))</f>
        <v/>
      </c>
      <c r="E106" s="295" t="str">
        <f>IF(B106="","",IF(ISNA(VLOOKUP($B106,'B-1 On-Site Hedge Baseline'!$B$1:$L$257,5,FALSE)),"",(VLOOKUP($B106,'B-1 On-Site Hedge Baseline'!$B$1:$L$257,5,FALSE))))</f>
        <v/>
      </c>
      <c r="F106" s="295" t="str">
        <f>IF(B106="","",IF(ISNA(VLOOKUP($B106,'B-1 On-Site Hedge Baseline'!$B$1:$L$257,6,FALSE)),"",(VLOOKUP($B106,'B-1 On-Site Hedge Baseline'!$B$1:$L$257,6,FALSE))))</f>
        <v/>
      </c>
      <c r="G106" s="295" t="str">
        <f>IF(B106="","",IF(ISNA(VLOOKUP($B106,'B-1 On-Site Hedge Baseline'!$B$1:$L$257,7,FALSE)),"",(VLOOKUP($B106,'B-1 On-Site Hedge Baseline'!$B$1:$L$257,7,FALSE))))</f>
        <v/>
      </c>
      <c r="H106" s="295" t="str">
        <f>IF(B106="","",IF(ISNA(VLOOKUP($B106,'B-1 On-Site Hedge Baseline'!$B$1:$L$257,8,FALSE)),"",(VLOOKUP($B106,'B-1 On-Site Hedge Baseline'!$B$1:$L$257,8,FALSE))))</f>
        <v/>
      </c>
      <c r="I106" s="295" t="str">
        <f>IF(B106="","",IF(ISNA(VLOOKUP($B106,'B-1 On-Site Hedge Baseline'!$B$1:$L$257,10,FALSE)),"",(VLOOKUP($B106,'B-1 On-Site Hedge Baseline'!$B$1:$L$257,10,FALSE))))</f>
        <v/>
      </c>
      <c r="J106" s="295" t="str">
        <f>IF(B106="","",IF(ISNA(VLOOKUP($B106,'B-1 On-Site Hedge Baseline'!$B$1:$L$257,11,FALSE)),"",(VLOOKUP($B106,'B-1 On-Site Hedge Baseline'!$B$1:$L$257,11,FALSE))))</f>
        <v/>
      </c>
      <c r="K106" s="295" t="str">
        <f>IF(B106="","",IF(ISNA(VLOOKUP($B106,'B-1 On-Site Hedge Baseline'!$B$1:$U$257,13,FALSE)),"",(VLOOKUP($B106,'B-1 On-Site Hedge Baseline'!$B$1:$U$257,13,FALSE))))</f>
        <v/>
      </c>
      <c r="L106" s="299" t="str">
        <f>IF(B106="","",IF(ISNA(VLOOKUP($B106,'B-1 On-Site Hedge Baseline'!$B$1:$U$257,12,FALSE)),"",(VLOOKUP($B106,'B-1 On-Site Hedge Baseline'!$B$1:$U$257,12,FALSE))))</f>
        <v/>
      </c>
      <c r="M106" s="611"/>
      <c r="N106" s="275" t="str">
        <f>IFERROR(IF(B106="","",INDEX('G-6 Hedgerow Data'!$AN$3:$AZ$15,MATCH(C106,'G-6 Hedgerow Data'!$AM$3:$AM$15,0),MATCH(M106,'G-6 Hedgerow Data'!$AN$2:$AZ$2,0))),"")</f>
        <v/>
      </c>
      <c r="O106" s="276" t="str">
        <f t="shared" si="8"/>
        <v/>
      </c>
      <c r="P106" s="329" t="str">
        <f>IF(B106="","",VLOOKUP(B106,'B-1 On-Site Hedge Baseline'!$B$10:T351,16,FALSE))</f>
        <v/>
      </c>
      <c r="Q106" s="275" t="str">
        <f>IF(M106="","",VLOOKUP(M106,'G-6 Hedgerow Data'!$B$2:$AG$15,2,FALSE))</f>
        <v/>
      </c>
      <c r="R106" s="276" t="str">
        <f>IF(M106="","",VLOOKUP(M106,'G-6 Hedgerow Data'!$B$2:$AG$15,3,FALSE))</f>
        <v/>
      </c>
      <c r="S106" s="108"/>
      <c r="T106" s="314" t="str">
        <f>IFERROR(IF(S106="","",IF(AND(M106="Non-native and ornamental hedgerow",S106&lt;&gt;"Poor"),"Not possible ▲",(VLOOKUP(S106,'G-1 All Habitats'!$Z$2:$AA$9,2,FALSE)))),"")</f>
        <v/>
      </c>
      <c r="U106" s="105"/>
      <c r="V106" s="295" t="str">
        <f>IF(U106="","",IF(VLOOKUP(U106,'G-3 Multipliers'!$L$3:$N$6,2,FALSE)=0,"Spatial Data Missing ⚠",VLOOKUP(U106,'G-3 Multipliers'!$L$3:$N$6,2,FALSE)))</f>
        <v/>
      </c>
      <c r="W106" s="299" t="str">
        <f>IF(U106="","",IF(VLOOKUP(U106,'G-3 Multipliers'!$L$3:$N$6,3,FALSE)=0,"Spatial Data Missing ⚠",VLOOKUP(U106,'G-3 Multipliers'!$L$3:$N$6,3,FALSE)))</f>
        <v/>
      </c>
      <c r="X106" s="275" t="str">
        <f>IFERROR(IF(OR(LEFT(O106,5)="Error",LEFT(N106,5)="Error",T106="Error"),"Check Data ⚠",IF(F106&lt;R106,INDEX('G-6 Hedgerow Data'!$S$3:$AE$14,MATCH(C106,'G-6 Hedgerow Data'!$B$3:$B$14,0),MATCH(M106,'G-6 Hedgerow Data'!$S$2:$AE$2,0)),INDEX('G-6 Hedgerow Data'!$K$3:$Q$14,MATCH(M106,'G-6 Hedgerow Data'!$B$3:$B$14,0),MATCH(O106,'G-6 Hedgerow Data'!$K$2:$Q$2,0)))),"")</f>
        <v/>
      </c>
      <c r="Y106" s="133"/>
      <c r="Z106" s="133"/>
      <c r="AA106" s="283" t="str">
        <f t="shared" si="9"/>
        <v/>
      </c>
      <c r="AB106" s="296" t="str">
        <f t="shared" si="10"/>
        <v/>
      </c>
      <c r="AC106" s="297" t="str">
        <f t="shared" si="7"/>
        <v/>
      </c>
      <c r="AD106" s="311" t="str">
        <f>IF(M106="","",VLOOKUP(M106,'G-6 Hedgerow Data'!$B$3:$AG$15,31,FALSE))</f>
        <v/>
      </c>
      <c r="AE106" s="283" t="str">
        <f t="shared" si="11"/>
        <v/>
      </c>
      <c r="AF106" s="283" t="str">
        <f t="shared" si="12"/>
        <v/>
      </c>
      <c r="AG106" s="299" t="str">
        <f>IFERROR(IF(O106="","",VLOOKUP(AD106,'G-3 Multipliers'!$P$3:$Q$6,2,FALSE)),"")</f>
        <v/>
      </c>
      <c r="AH106" s="289" t="str">
        <f t="shared" si="13"/>
        <v/>
      </c>
      <c r="AI106" s="108"/>
      <c r="AJ106" s="115"/>
      <c r="AK106" s="104"/>
      <c r="AT106" s="30" t="str">
        <f>IFERROR(INDEX('G-6 Hedgerow Data'!$BJ$3:$BJ$15,MATCH(M106,'G-6 Hedgerow Data'!$B$3:$B$15,0)),"")</f>
        <v/>
      </c>
    </row>
    <row r="107" spans="2:46" ht="14">
      <c r="B107" s="305" t="str">
        <f>'B-1 On-Site Hedge Baseline'!AK105</f>
        <v/>
      </c>
      <c r="C107" s="295" t="str">
        <f>IF(B107="","",IF(ISNA(VLOOKUP($B107,'B-1 On-Site Hedge Baseline'!$B$1:$L$257,3,FALSE)),"",(VLOOKUP($B107,'B-1 On-Site Hedge Baseline'!$B$1:$L$257,3,FALSE))))</f>
        <v/>
      </c>
      <c r="D107" s="295" t="str">
        <f>IF(B107="","",IF(ISNA(VLOOKUP($B107,'B-1 On-Site Hedge Baseline'!$B$1:$L$257,4,FALSE)),"",(VLOOKUP($B107,'B-1 On-Site Hedge Baseline'!$B$1:$L$257,4,FALSE))))</f>
        <v/>
      </c>
      <c r="E107" s="295" t="str">
        <f>IF(B107="","",IF(ISNA(VLOOKUP($B107,'B-1 On-Site Hedge Baseline'!$B$1:$L$257,5,FALSE)),"",(VLOOKUP($B107,'B-1 On-Site Hedge Baseline'!$B$1:$L$257,5,FALSE))))</f>
        <v/>
      </c>
      <c r="F107" s="295" t="str">
        <f>IF(B107="","",IF(ISNA(VLOOKUP($B107,'B-1 On-Site Hedge Baseline'!$B$1:$L$257,6,FALSE)),"",(VLOOKUP($B107,'B-1 On-Site Hedge Baseline'!$B$1:$L$257,6,FALSE))))</f>
        <v/>
      </c>
      <c r="G107" s="295" t="str">
        <f>IF(B107="","",IF(ISNA(VLOOKUP($B107,'B-1 On-Site Hedge Baseline'!$B$1:$L$257,7,FALSE)),"",(VLOOKUP($B107,'B-1 On-Site Hedge Baseline'!$B$1:$L$257,7,FALSE))))</f>
        <v/>
      </c>
      <c r="H107" s="295" t="str">
        <f>IF(B107="","",IF(ISNA(VLOOKUP($B107,'B-1 On-Site Hedge Baseline'!$B$1:$L$257,8,FALSE)),"",(VLOOKUP($B107,'B-1 On-Site Hedge Baseline'!$B$1:$L$257,8,FALSE))))</f>
        <v/>
      </c>
      <c r="I107" s="295" t="str">
        <f>IF(B107="","",IF(ISNA(VLOOKUP($B107,'B-1 On-Site Hedge Baseline'!$B$1:$L$257,10,FALSE)),"",(VLOOKUP($B107,'B-1 On-Site Hedge Baseline'!$B$1:$L$257,10,FALSE))))</f>
        <v/>
      </c>
      <c r="J107" s="295" t="str">
        <f>IF(B107="","",IF(ISNA(VLOOKUP($B107,'B-1 On-Site Hedge Baseline'!$B$1:$L$257,11,FALSE)),"",(VLOOKUP($B107,'B-1 On-Site Hedge Baseline'!$B$1:$L$257,11,FALSE))))</f>
        <v/>
      </c>
      <c r="K107" s="295" t="str">
        <f>IF(B107="","",IF(ISNA(VLOOKUP($B107,'B-1 On-Site Hedge Baseline'!$B$1:$U$257,13,FALSE)),"",(VLOOKUP($B107,'B-1 On-Site Hedge Baseline'!$B$1:$U$257,13,FALSE))))</f>
        <v/>
      </c>
      <c r="L107" s="299" t="str">
        <f>IF(B107="","",IF(ISNA(VLOOKUP($B107,'B-1 On-Site Hedge Baseline'!$B$1:$U$257,12,FALSE)),"",(VLOOKUP($B107,'B-1 On-Site Hedge Baseline'!$B$1:$U$257,12,FALSE))))</f>
        <v/>
      </c>
      <c r="M107" s="611"/>
      <c r="N107" s="275" t="str">
        <f>IFERROR(IF(B107="","",INDEX('G-6 Hedgerow Data'!$AN$3:$AZ$15,MATCH(C107,'G-6 Hedgerow Data'!$AM$3:$AM$15,0),MATCH(M107,'G-6 Hedgerow Data'!$AN$2:$AZ$2,0))),"")</f>
        <v/>
      </c>
      <c r="O107" s="276" t="str">
        <f t="shared" si="8"/>
        <v/>
      </c>
      <c r="P107" s="329" t="str">
        <f>IF(B107="","",VLOOKUP(B107,'B-1 On-Site Hedge Baseline'!$B$10:T352,16,FALSE))</f>
        <v/>
      </c>
      <c r="Q107" s="275" t="str">
        <f>IF(M107="","",VLOOKUP(M107,'G-6 Hedgerow Data'!$B$2:$AG$15,2,FALSE))</f>
        <v/>
      </c>
      <c r="R107" s="276" t="str">
        <f>IF(M107="","",VLOOKUP(M107,'G-6 Hedgerow Data'!$B$2:$AG$15,3,FALSE))</f>
        <v/>
      </c>
      <c r="S107" s="108"/>
      <c r="T107" s="314" t="str">
        <f>IFERROR(IF(S107="","",IF(AND(M107="Non-native and ornamental hedgerow",S107&lt;&gt;"Poor"),"Not possible ▲",(VLOOKUP(S107,'G-1 All Habitats'!$Z$2:$AA$9,2,FALSE)))),"")</f>
        <v/>
      </c>
      <c r="U107" s="105"/>
      <c r="V107" s="295" t="str">
        <f>IF(U107="","",IF(VLOOKUP(U107,'G-3 Multipliers'!$L$3:$N$6,2,FALSE)=0,"Spatial Data Missing ⚠",VLOOKUP(U107,'G-3 Multipliers'!$L$3:$N$6,2,FALSE)))</f>
        <v/>
      </c>
      <c r="W107" s="299" t="str">
        <f>IF(U107="","",IF(VLOOKUP(U107,'G-3 Multipliers'!$L$3:$N$6,3,FALSE)=0,"Spatial Data Missing ⚠",VLOOKUP(U107,'G-3 Multipliers'!$L$3:$N$6,3,FALSE)))</f>
        <v/>
      </c>
      <c r="X107" s="275" t="str">
        <f>IFERROR(IF(OR(LEFT(O107,5)="Error",LEFT(N107,5)="Error",T107="Error"),"Check Data ⚠",IF(F107&lt;R107,INDEX('G-6 Hedgerow Data'!$S$3:$AE$14,MATCH(C107,'G-6 Hedgerow Data'!$B$3:$B$14,0),MATCH(M107,'G-6 Hedgerow Data'!$S$2:$AE$2,0)),INDEX('G-6 Hedgerow Data'!$K$3:$Q$14,MATCH(M107,'G-6 Hedgerow Data'!$B$3:$B$14,0),MATCH(O107,'G-6 Hedgerow Data'!$K$2:$Q$2,0)))),"")</f>
        <v/>
      </c>
      <c r="Y107" s="133"/>
      <c r="Z107" s="133"/>
      <c r="AA107" s="283" t="str">
        <f t="shared" si="9"/>
        <v/>
      </c>
      <c r="AB107" s="296" t="str">
        <f t="shared" si="10"/>
        <v/>
      </c>
      <c r="AC107" s="297" t="str">
        <f t="shared" si="7"/>
        <v/>
      </c>
      <c r="AD107" s="311" t="str">
        <f>IF(M107="","",VLOOKUP(M107,'G-6 Hedgerow Data'!$B$3:$AG$15,31,FALSE))</f>
        <v/>
      </c>
      <c r="AE107" s="283" t="str">
        <f t="shared" si="11"/>
        <v/>
      </c>
      <c r="AF107" s="283" t="str">
        <f t="shared" si="12"/>
        <v/>
      </c>
      <c r="AG107" s="299" t="str">
        <f>IFERROR(IF(O107="","",VLOOKUP(AD107,'G-3 Multipliers'!$P$3:$Q$6,2,FALSE)),"")</f>
        <v/>
      </c>
      <c r="AH107" s="289" t="str">
        <f t="shared" si="13"/>
        <v/>
      </c>
      <c r="AI107" s="108"/>
      <c r="AJ107" s="115"/>
      <c r="AK107" s="104"/>
      <c r="AT107" s="30" t="str">
        <f>IFERROR(INDEX('G-6 Hedgerow Data'!$BJ$3:$BJ$15,MATCH(M107,'G-6 Hedgerow Data'!$B$3:$B$15,0)),"")</f>
        <v/>
      </c>
    </row>
    <row r="108" spans="2:46" ht="14">
      <c r="B108" s="305" t="str">
        <f>'B-1 On-Site Hedge Baseline'!AK106</f>
        <v/>
      </c>
      <c r="C108" s="295" t="str">
        <f>IF(B108="","",IF(ISNA(VLOOKUP($B108,'B-1 On-Site Hedge Baseline'!$B$1:$L$257,3,FALSE)),"",(VLOOKUP($B108,'B-1 On-Site Hedge Baseline'!$B$1:$L$257,3,FALSE))))</f>
        <v/>
      </c>
      <c r="D108" s="295" t="str">
        <f>IF(B108="","",IF(ISNA(VLOOKUP($B108,'B-1 On-Site Hedge Baseline'!$B$1:$L$257,4,FALSE)),"",(VLOOKUP($B108,'B-1 On-Site Hedge Baseline'!$B$1:$L$257,4,FALSE))))</f>
        <v/>
      </c>
      <c r="E108" s="295" t="str">
        <f>IF(B108="","",IF(ISNA(VLOOKUP($B108,'B-1 On-Site Hedge Baseline'!$B$1:$L$257,5,FALSE)),"",(VLOOKUP($B108,'B-1 On-Site Hedge Baseline'!$B$1:$L$257,5,FALSE))))</f>
        <v/>
      </c>
      <c r="F108" s="295" t="str">
        <f>IF(B108="","",IF(ISNA(VLOOKUP($B108,'B-1 On-Site Hedge Baseline'!$B$1:$L$257,6,FALSE)),"",(VLOOKUP($B108,'B-1 On-Site Hedge Baseline'!$B$1:$L$257,6,FALSE))))</f>
        <v/>
      </c>
      <c r="G108" s="295" t="str">
        <f>IF(B108="","",IF(ISNA(VLOOKUP($B108,'B-1 On-Site Hedge Baseline'!$B$1:$L$257,7,FALSE)),"",(VLOOKUP($B108,'B-1 On-Site Hedge Baseline'!$B$1:$L$257,7,FALSE))))</f>
        <v/>
      </c>
      <c r="H108" s="295" t="str">
        <f>IF(B108="","",IF(ISNA(VLOOKUP($B108,'B-1 On-Site Hedge Baseline'!$B$1:$L$257,8,FALSE)),"",(VLOOKUP($B108,'B-1 On-Site Hedge Baseline'!$B$1:$L$257,8,FALSE))))</f>
        <v/>
      </c>
      <c r="I108" s="295" t="str">
        <f>IF(B108="","",IF(ISNA(VLOOKUP($B108,'B-1 On-Site Hedge Baseline'!$B$1:$L$257,10,FALSE)),"",(VLOOKUP($B108,'B-1 On-Site Hedge Baseline'!$B$1:$L$257,10,FALSE))))</f>
        <v/>
      </c>
      <c r="J108" s="295" t="str">
        <f>IF(B108="","",IF(ISNA(VLOOKUP($B108,'B-1 On-Site Hedge Baseline'!$B$1:$L$257,11,FALSE)),"",(VLOOKUP($B108,'B-1 On-Site Hedge Baseline'!$B$1:$L$257,11,FALSE))))</f>
        <v/>
      </c>
      <c r="K108" s="295" t="str">
        <f>IF(B108="","",IF(ISNA(VLOOKUP($B108,'B-1 On-Site Hedge Baseline'!$B$1:$U$257,13,FALSE)),"",(VLOOKUP($B108,'B-1 On-Site Hedge Baseline'!$B$1:$U$257,13,FALSE))))</f>
        <v/>
      </c>
      <c r="L108" s="299" t="str">
        <f>IF(B108="","",IF(ISNA(VLOOKUP($B108,'B-1 On-Site Hedge Baseline'!$B$1:$U$257,12,FALSE)),"",(VLOOKUP($B108,'B-1 On-Site Hedge Baseline'!$B$1:$U$257,12,FALSE))))</f>
        <v/>
      </c>
      <c r="M108" s="611"/>
      <c r="N108" s="275" t="str">
        <f>IFERROR(IF(B108="","",INDEX('G-6 Hedgerow Data'!$AN$3:$AZ$15,MATCH(C108,'G-6 Hedgerow Data'!$AM$3:$AM$15,0),MATCH(M108,'G-6 Hedgerow Data'!$AN$2:$AZ$2,0))),"")</f>
        <v/>
      </c>
      <c r="O108" s="276" t="str">
        <f t="shared" si="8"/>
        <v/>
      </c>
      <c r="P108" s="329" t="str">
        <f>IF(B108="","",VLOOKUP(B108,'B-1 On-Site Hedge Baseline'!$B$10:T353,16,FALSE))</f>
        <v/>
      </c>
      <c r="Q108" s="275" t="str">
        <f>IF(M108="","",VLOOKUP(M108,'G-6 Hedgerow Data'!$B$2:$AG$15,2,FALSE))</f>
        <v/>
      </c>
      <c r="R108" s="276" t="str">
        <f>IF(M108="","",VLOOKUP(M108,'G-6 Hedgerow Data'!$B$2:$AG$15,3,FALSE))</f>
        <v/>
      </c>
      <c r="S108" s="108"/>
      <c r="T108" s="314" t="str">
        <f>IFERROR(IF(S108="","",IF(AND(M108="Non-native and ornamental hedgerow",S108&lt;&gt;"Poor"),"Not possible ▲",(VLOOKUP(S108,'G-1 All Habitats'!$Z$2:$AA$9,2,FALSE)))),"")</f>
        <v/>
      </c>
      <c r="U108" s="105"/>
      <c r="V108" s="295" t="str">
        <f>IF(U108="","",IF(VLOOKUP(U108,'G-3 Multipliers'!$L$3:$N$6,2,FALSE)=0,"Spatial Data Missing ⚠",VLOOKUP(U108,'G-3 Multipliers'!$L$3:$N$6,2,FALSE)))</f>
        <v/>
      </c>
      <c r="W108" s="299" t="str">
        <f>IF(U108="","",IF(VLOOKUP(U108,'G-3 Multipliers'!$L$3:$N$6,3,FALSE)=0,"Spatial Data Missing ⚠",VLOOKUP(U108,'G-3 Multipliers'!$L$3:$N$6,3,FALSE)))</f>
        <v/>
      </c>
      <c r="X108" s="275" t="str">
        <f>IFERROR(IF(OR(LEFT(O108,5)="Error",LEFT(N108,5)="Error",T108="Error"),"Check Data ⚠",IF(F108&lt;R108,INDEX('G-6 Hedgerow Data'!$S$3:$AE$14,MATCH(C108,'G-6 Hedgerow Data'!$B$3:$B$14,0),MATCH(M108,'G-6 Hedgerow Data'!$S$2:$AE$2,0)),INDEX('G-6 Hedgerow Data'!$K$3:$Q$14,MATCH(M108,'G-6 Hedgerow Data'!$B$3:$B$14,0),MATCH(O108,'G-6 Hedgerow Data'!$K$2:$Q$2,0)))),"")</f>
        <v/>
      </c>
      <c r="Y108" s="133"/>
      <c r="Z108" s="133"/>
      <c r="AA108" s="283" t="str">
        <f t="shared" si="9"/>
        <v/>
      </c>
      <c r="AB108" s="296" t="str">
        <f t="shared" si="10"/>
        <v/>
      </c>
      <c r="AC108" s="297" t="str">
        <f t="shared" si="7"/>
        <v/>
      </c>
      <c r="AD108" s="311" t="str">
        <f>IF(M108="","",VLOOKUP(M108,'G-6 Hedgerow Data'!$B$3:$AG$15,31,FALSE))</f>
        <v/>
      </c>
      <c r="AE108" s="283" t="str">
        <f t="shared" si="11"/>
        <v/>
      </c>
      <c r="AF108" s="283" t="str">
        <f t="shared" si="12"/>
        <v/>
      </c>
      <c r="AG108" s="299" t="str">
        <f>IFERROR(IF(O108="","",VLOOKUP(AD108,'G-3 Multipliers'!$P$3:$Q$6,2,FALSE)),"")</f>
        <v/>
      </c>
      <c r="AH108" s="289" t="str">
        <f t="shared" si="13"/>
        <v/>
      </c>
      <c r="AI108" s="108"/>
      <c r="AJ108" s="115"/>
      <c r="AK108" s="104"/>
      <c r="AT108" s="30" t="str">
        <f>IFERROR(INDEX('G-6 Hedgerow Data'!$BJ$3:$BJ$15,MATCH(M108,'G-6 Hedgerow Data'!$B$3:$B$15,0)),"")</f>
        <v/>
      </c>
    </row>
    <row r="109" spans="2:46" ht="14">
      <c r="B109" s="305" t="str">
        <f>'B-1 On-Site Hedge Baseline'!AK107</f>
        <v/>
      </c>
      <c r="C109" s="295" t="str">
        <f>IF(B109="","",IF(ISNA(VLOOKUP($B109,'B-1 On-Site Hedge Baseline'!$B$1:$L$257,3,FALSE)),"",(VLOOKUP($B109,'B-1 On-Site Hedge Baseline'!$B$1:$L$257,3,FALSE))))</f>
        <v/>
      </c>
      <c r="D109" s="295" t="str">
        <f>IF(B109="","",IF(ISNA(VLOOKUP($B109,'B-1 On-Site Hedge Baseline'!$B$1:$L$257,4,FALSE)),"",(VLOOKUP($B109,'B-1 On-Site Hedge Baseline'!$B$1:$L$257,4,FALSE))))</f>
        <v/>
      </c>
      <c r="E109" s="295" t="str">
        <f>IF(B109="","",IF(ISNA(VLOOKUP($B109,'B-1 On-Site Hedge Baseline'!$B$1:$L$257,5,FALSE)),"",(VLOOKUP($B109,'B-1 On-Site Hedge Baseline'!$B$1:$L$257,5,FALSE))))</f>
        <v/>
      </c>
      <c r="F109" s="295" t="str">
        <f>IF(B109="","",IF(ISNA(VLOOKUP($B109,'B-1 On-Site Hedge Baseline'!$B$1:$L$257,6,FALSE)),"",(VLOOKUP($B109,'B-1 On-Site Hedge Baseline'!$B$1:$L$257,6,FALSE))))</f>
        <v/>
      </c>
      <c r="G109" s="295" t="str">
        <f>IF(B109="","",IF(ISNA(VLOOKUP($B109,'B-1 On-Site Hedge Baseline'!$B$1:$L$257,7,FALSE)),"",(VLOOKUP($B109,'B-1 On-Site Hedge Baseline'!$B$1:$L$257,7,FALSE))))</f>
        <v/>
      </c>
      <c r="H109" s="295" t="str">
        <f>IF(B109="","",IF(ISNA(VLOOKUP($B109,'B-1 On-Site Hedge Baseline'!$B$1:$L$257,8,FALSE)),"",(VLOOKUP($B109,'B-1 On-Site Hedge Baseline'!$B$1:$L$257,8,FALSE))))</f>
        <v/>
      </c>
      <c r="I109" s="295" t="str">
        <f>IF(B109="","",IF(ISNA(VLOOKUP($B109,'B-1 On-Site Hedge Baseline'!$B$1:$L$257,10,FALSE)),"",(VLOOKUP($B109,'B-1 On-Site Hedge Baseline'!$B$1:$L$257,10,FALSE))))</f>
        <v/>
      </c>
      <c r="J109" s="295" t="str">
        <f>IF(B109="","",IF(ISNA(VLOOKUP($B109,'B-1 On-Site Hedge Baseline'!$B$1:$L$257,11,FALSE)),"",(VLOOKUP($B109,'B-1 On-Site Hedge Baseline'!$B$1:$L$257,11,FALSE))))</f>
        <v/>
      </c>
      <c r="K109" s="295" t="str">
        <f>IF(B109="","",IF(ISNA(VLOOKUP($B109,'B-1 On-Site Hedge Baseline'!$B$1:$U$257,13,FALSE)),"",(VLOOKUP($B109,'B-1 On-Site Hedge Baseline'!$B$1:$U$257,13,FALSE))))</f>
        <v/>
      </c>
      <c r="L109" s="299" t="str">
        <f>IF(B109="","",IF(ISNA(VLOOKUP($B109,'B-1 On-Site Hedge Baseline'!$B$1:$U$257,12,FALSE)),"",(VLOOKUP($B109,'B-1 On-Site Hedge Baseline'!$B$1:$U$257,12,FALSE))))</f>
        <v/>
      </c>
      <c r="M109" s="611"/>
      <c r="N109" s="275" t="str">
        <f>IFERROR(IF(B109="","",INDEX('G-6 Hedgerow Data'!$AN$3:$AZ$15,MATCH(C109,'G-6 Hedgerow Data'!$AM$3:$AM$15,0),MATCH(M109,'G-6 Hedgerow Data'!$AN$2:$AZ$2,0))),"")</f>
        <v/>
      </c>
      <c r="O109" s="276" t="str">
        <f t="shared" si="8"/>
        <v/>
      </c>
      <c r="P109" s="329" t="str">
        <f>IF(B109="","",VLOOKUP(B109,'B-1 On-Site Hedge Baseline'!$B$10:T354,16,FALSE))</f>
        <v/>
      </c>
      <c r="Q109" s="275" t="str">
        <f>IF(M109="","",VLOOKUP(M109,'G-6 Hedgerow Data'!$B$2:$AG$15,2,FALSE))</f>
        <v/>
      </c>
      <c r="R109" s="276" t="str">
        <f>IF(M109="","",VLOOKUP(M109,'G-6 Hedgerow Data'!$B$2:$AG$15,3,FALSE))</f>
        <v/>
      </c>
      <c r="S109" s="108"/>
      <c r="T109" s="314" t="str">
        <f>IFERROR(IF(S109="","",IF(AND(M109="Non-native and ornamental hedgerow",S109&lt;&gt;"Poor"),"Not possible ▲",(VLOOKUP(S109,'G-1 All Habitats'!$Z$2:$AA$9,2,FALSE)))),"")</f>
        <v/>
      </c>
      <c r="U109" s="105"/>
      <c r="V109" s="295" t="str">
        <f>IF(U109="","",IF(VLOOKUP(U109,'G-3 Multipliers'!$L$3:$N$6,2,FALSE)=0,"Spatial Data Missing ⚠",VLOOKUP(U109,'G-3 Multipliers'!$L$3:$N$6,2,FALSE)))</f>
        <v/>
      </c>
      <c r="W109" s="299" t="str">
        <f>IF(U109="","",IF(VLOOKUP(U109,'G-3 Multipliers'!$L$3:$N$6,3,FALSE)=0,"Spatial Data Missing ⚠",VLOOKUP(U109,'G-3 Multipliers'!$L$3:$N$6,3,FALSE)))</f>
        <v/>
      </c>
      <c r="X109" s="275" t="str">
        <f>IFERROR(IF(OR(LEFT(O109,5)="Error",LEFT(N109,5)="Error",T109="Error"),"Check Data ⚠",IF(F109&lt;R109,INDEX('G-6 Hedgerow Data'!$S$3:$AE$14,MATCH(C109,'G-6 Hedgerow Data'!$B$3:$B$14,0),MATCH(M109,'G-6 Hedgerow Data'!$S$2:$AE$2,0)),INDEX('G-6 Hedgerow Data'!$K$3:$Q$14,MATCH(M109,'G-6 Hedgerow Data'!$B$3:$B$14,0),MATCH(O109,'G-6 Hedgerow Data'!$K$2:$Q$2,0)))),"")</f>
        <v/>
      </c>
      <c r="Y109" s="133"/>
      <c r="Z109" s="133"/>
      <c r="AA109" s="283" t="str">
        <f t="shared" si="9"/>
        <v/>
      </c>
      <c r="AB109" s="296" t="str">
        <f t="shared" si="10"/>
        <v/>
      </c>
      <c r="AC109" s="297" t="str">
        <f t="shared" si="7"/>
        <v/>
      </c>
      <c r="AD109" s="311" t="str">
        <f>IF(M109="","",VLOOKUP(M109,'G-6 Hedgerow Data'!$B$3:$AG$15,31,FALSE))</f>
        <v/>
      </c>
      <c r="AE109" s="283" t="str">
        <f t="shared" si="11"/>
        <v/>
      </c>
      <c r="AF109" s="283" t="str">
        <f t="shared" si="12"/>
        <v/>
      </c>
      <c r="AG109" s="299" t="str">
        <f>IFERROR(IF(O109="","",VLOOKUP(AD109,'G-3 Multipliers'!$P$3:$Q$6,2,FALSE)),"")</f>
        <v/>
      </c>
      <c r="AH109" s="289" t="str">
        <f t="shared" si="13"/>
        <v/>
      </c>
      <c r="AI109" s="108"/>
      <c r="AJ109" s="115"/>
      <c r="AK109" s="104"/>
      <c r="AT109" s="30" t="str">
        <f>IFERROR(INDEX('G-6 Hedgerow Data'!$BJ$3:$BJ$15,MATCH(M109,'G-6 Hedgerow Data'!$B$3:$B$15,0)),"")</f>
        <v/>
      </c>
    </row>
    <row r="110" spans="2:46" ht="14">
      <c r="B110" s="305" t="str">
        <f>'B-1 On-Site Hedge Baseline'!AK108</f>
        <v/>
      </c>
      <c r="C110" s="295" t="str">
        <f>IF(B110="","",IF(ISNA(VLOOKUP($B110,'B-1 On-Site Hedge Baseline'!$B$1:$L$257,3,FALSE)),"",(VLOOKUP($B110,'B-1 On-Site Hedge Baseline'!$B$1:$L$257,3,FALSE))))</f>
        <v/>
      </c>
      <c r="D110" s="295" t="str">
        <f>IF(B110="","",IF(ISNA(VLOOKUP($B110,'B-1 On-Site Hedge Baseline'!$B$1:$L$257,4,FALSE)),"",(VLOOKUP($B110,'B-1 On-Site Hedge Baseline'!$B$1:$L$257,4,FALSE))))</f>
        <v/>
      </c>
      <c r="E110" s="295" t="str">
        <f>IF(B110="","",IF(ISNA(VLOOKUP($B110,'B-1 On-Site Hedge Baseline'!$B$1:$L$257,5,FALSE)),"",(VLOOKUP($B110,'B-1 On-Site Hedge Baseline'!$B$1:$L$257,5,FALSE))))</f>
        <v/>
      </c>
      <c r="F110" s="295" t="str">
        <f>IF(B110="","",IF(ISNA(VLOOKUP($B110,'B-1 On-Site Hedge Baseline'!$B$1:$L$257,6,FALSE)),"",(VLOOKUP($B110,'B-1 On-Site Hedge Baseline'!$B$1:$L$257,6,FALSE))))</f>
        <v/>
      </c>
      <c r="G110" s="295" t="str">
        <f>IF(B110="","",IF(ISNA(VLOOKUP($B110,'B-1 On-Site Hedge Baseline'!$B$1:$L$257,7,FALSE)),"",(VLOOKUP($B110,'B-1 On-Site Hedge Baseline'!$B$1:$L$257,7,FALSE))))</f>
        <v/>
      </c>
      <c r="H110" s="295" t="str">
        <f>IF(B110="","",IF(ISNA(VLOOKUP($B110,'B-1 On-Site Hedge Baseline'!$B$1:$L$257,8,FALSE)),"",(VLOOKUP($B110,'B-1 On-Site Hedge Baseline'!$B$1:$L$257,8,FALSE))))</f>
        <v/>
      </c>
      <c r="I110" s="295" t="str">
        <f>IF(B110="","",IF(ISNA(VLOOKUP($B110,'B-1 On-Site Hedge Baseline'!$B$1:$L$257,10,FALSE)),"",(VLOOKUP($B110,'B-1 On-Site Hedge Baseline'!$B$1:$L$257,10,FALSE))))</f>
        <v/>
      </c>
      <c r="J110" s="295" t="str">
        <f>IF(B110="","",IF(ISNA(VLOOKUP($B110,'B-1 On-Site Hedge Baseline'!$B$1:$L$257,11,FALSE)),"",(VLOOKUP($B110,'B-1 On-Site Hedge Baseline'!$B$1:$L$257,11,FALSE))))</f>
        <v/>
      </c>
      <c r="K110" s="295" t="str">
        <f>IF(B110="","",IF(ISNA(VLOOKUP($B110,'B-1 On-Site Hedge Baseline'!$B$1:$U$257,13,FALSE)),"",(VLOOKUP($B110,'B-1 On-Site Hedge Baseline'!$B$1:$U$257,13,FALSE))))</f>
        <v/>
      </c>
      <c r="L110" s="299" t="str">
        <f>IF(B110="","",IF(ISNA(VLOOKUP($B110,'B-1 On-Site Hedge Baseline'!$B$1:$U$257,12,FALSE)),"",(VLOOKUP($B110,'B-1 On-Site Hedge Baseline'!$B$1:$U$257,12,FALSE))))</f>
        <v/>
      </c>
      <c r="M110" s="611"/>
      <c r="N110" s="275" t="str">
        <f>IFERROR(IF(B110="","",INDEX('G-6 Hedgerow Data'!$AN$3:$AZ$15,MATCH(C110,'G-6 Hedgerow Data'!$AM$3:$AM$15,0),MATCH(M110,'G-6 Hedgerow Data'!$AN$2:$AZ$2,0))),"")</f>
        <v/>
      </c>
      <c r="O110" s="276" t="str">
        <f t="shared" si="8"/>
        <v/>
      </c>
      <c r="P110" s="329" t="str">
        <f>IF(B110="","",VLOOKUP(B110,'B-1 On-Site Hedge Baseline'!$B$10:T355,16,FALSE))</f>
        <v/>
      </c>
      <c r="Q110" s="275" t="str">
        <f>IF(M110="","",VLOOKUP(M110,'G-6 Hedgerow Data'!$B$2:$AG$15,2,FALSE))</f>
        <v/>
      </c>
      <c r="R110" s="276" t="str">
        <f>IF(M110="","",VLOOKUP(M110,'G-6 Hedgerow Data'!$B$2:$AG$15,3,FALSE))</f>
        <v/>
      </c>
      <c r="S110" s="108"/>
      <c r="T110" s="314" t="str">
        <f>IFERROR(IF(S110="","",IF(AND(M110="Non-native and ornamental hedgerow",S110&lt;&gt;"Poor"),"Not possible ▲",(VLOOKUP(S110,'G-1 All Habitats'!$Z$2:$AA$9,2,FALSE)))),"")</f>
        <v/>
      </c>
      <c r="U110" s="105"/>
      <c r="V110" s="295" t="str">
        <f>IF(U110="","",IF(VLOOKUP(U110,'G-3 Multipliers'!$L$3:$N$6,2,FALSE)=0,"Spatial Data Missing ⚠",VLOOKUP(U110,'G-3 Multipliers'!$L$3:$N$6,2,FALSE)))</f>
        <v/>
      </c>
      <c r="W110" s="299" t="str">
        <f>IF(U110="","",IF(VLOOKUP(U110,'G-3 Multipliers'!$L$3:$N$6,3,FALSE)=0,"Spatial Data Missing ⚠",VLOOKUP(U110,'G-3 Multipliers'!$L$3:$N$6,3,FALSE)))</f>
        <v/>
      </c>
      <c r="X110" s="275" t="str">
        <f>IFERROR(IF(OR(LEFT(O110,5)="Error",LEFT(N110,5)="Error",T110="Error"),"Check Data ⚠",IF(F110&lt;R110,INDEX('G-6 Hedgerow Data'!$S$3:$AE$14,MATCH(C110,'G-6 Hedgerow Data'!$B$3:$B$14,0),MATCH(M110,'G-6 Hedgerow Data'!$S$2:$AE$2,0)),INDEX('G-6 Hedgerow Data'!$K$3:$Q$14,MATCH(M110,'G-6 Hedgerow Data'!$B$3:$B$14,0),MATCH(O110,'G-6 Hedgerow Data'!$K$2:$Q$2,0)))),"")</f>
        <v/>
      </c>
      <c r="Y110" s="133"/>
      <c r="Z110" s="133"/>
      <c r="AA110" s="283" t="str">
        <f t="shared" si="9"/>
        <v/>
      </c>
      <c r="AB110" s="296" t="str">
        <f t="shared" si="10"/>
        <v/>
      </c>
      <c r="AC110" s="297" t="str">
        <f t="shared" si="7"/>
        <v/>
      </c>
      <c r="AD110" s="311" t="str">
        <f>IF(M110="","",VLOOKUP(M110,'G-6 Hedgerow Data'!$B$3:$AG$15,31,FALSE))</f>
        <v/>
      </c>
      <c r="AE110" s="283" t="str">
        <f t="shared" si="11"/>
        <v/>
      </c>
      <c r="AF110" s="283" t="str">
        <f t="shared" si="12"/>
        <v/>
      </c>
      <c r="AG110" s="299" t="str">
        <f>IFERROR(IF(O110="","",VLOOKUP(AD110,'G-3 Multipliers'!$P$3:$Q$6,2,FALSE)),"")</f>
        <v/>
      </c>
      <c r="AH110" s="289" t="str">
        <f t="shared" si="13"/>
        <v/>
      </c>
      <c r="AI110" s="108"/>
      <c r="AJ110" s="115"/>
      <c r="AK110" s="104"/>
      <c r="AT110" s="30" t="str">
        <f>IFERROR(INDEX('G-6 Hedgerow Data'!$BJ$3:$BJ$15,MATCH(M110,'G-6 Hedgerow Data'!$B$3:$B$15,0)),"")</f>
        <v/>
      </c>
    </row>
    <row r="111" spans="2:46" ht="14">
      <c r="B111" s="305" t="str">
        <f>'B-1 On-Site Hedge Baseline'!AK109</f>
        <v/>
      </c>
      <c r="C111" s="295" t="str">
        <f>IF(B111="","",IF(ISNA(VLOOKUP($B111,'B-1 On-Site Hedge Baseline'!$B$1:$L$257,3,FALSE)),"",(VLOOKUP($B111,'B-1 On-Site Hedge Baseline'!$B$1:$L$257,3,FALSE))))</f>
        <v/>
      </c>
      <c r="D111" s="295" t="str">
        <f>IF(B111="","",IF(ISNA(VLOOKUP($B111,'B-1 On-Site Hedge Baseline'!$B$1:$L$257,4,FALSE)),"",(VLOOKUP($B111,'B-1 On-Site Hedge Baseline'!$B$1:$L$257,4,FALSE))))</f>
        <v/>
      </c>
      <c r="E111" s="295" t="str">
        <f>IF(B111="","",IF(ISNA(VLOOKUP($B111,'B-1 On-Site Hedge Baseline'!$B$1:$L$257,5,FALSE)),"",(VLOOKUP($B111,'B-1 On-Site Hedge Baseline'!$B$1:$L$257,5,FALSE))))</f>
        <v/>
      </c>
      <c r="F111" s="295" t="str">
        <f>IF(B111="","",IF(ISNA(VLOOKUP($B111,'B-1 On-Site Hedge Baseline'!$B$1:$L$257,6,FALSE)),"",(VLOOKUP($B111,'B-1 On-Site Hedge Baseline'!$B$1:$L$257,6,FALSE))))</f>
        <v/>
      </c>
      <c r="G111" s="295" t="str">
        <f>IF(B111="","",IF(ISNA(VLOOKUP($B111,'B-1 On-Site Hedge Baseline'!$B$1:$L$257,7,FALSE)),"",(VLOOKUP($B111,'B-1 On-Site Hedge Baseline'!$B$1:$L$257,7,FALSE))))</f>
        <v/>
      </c>
      <c r="H111" s="295" t="str">
        <f>IF(B111="","",IF(ISNA(VLOOKUP($B111,'B-1 On-Site Hedge Baseline'!$B$1:$L$257,8,FALSE)),"",(VLOOKUP($B111,'B-1 On-Site Hedge Baseline'!$B$1:$L$257,8,FALSE))))</f>
        <v/>
      </c>
      <c r="I111" s="295" t="str">
        <f>IF(B111="","",IF(ISNA(VLOOKUP($B111,'B-1 On-Site Hedge Baseline'!$B$1:$L$257,10,FALSE)),"",(VLOOKUP($B111,'B-1 On-Site Hedge Baseline'!$B$1:$L$257,10,FALSE))))</f>
        <v/>
      </c>
      <c r="J111" s="295" t="str">
        <f>IF(B111="","",IF(ISNA(VLOOKUP($B111,'B-1 On-Site Hedge Baseline'!$B$1:$L$257,11,FALSE)),"",(VLOOKUP($B111,'B-1 On-Site Hedge Baseline'!$B$1:$L$257,11,FALSE))))</f>
        <v/>
      </c>
      <c r="K111" s="295" t="str">
        <f>IF(B111="","",IF(ISNA(VLOOKUP($B111,'B-1 On-Site Hedge Baseline'!$B$1:$U$257,13,FALSE)),"",(VLOOKUP($B111,'B-1 On-Site Hedge Baseline'!$B$1:$U$257,13,FALSE))))</f>
        <v/>
      </c>
      <c r="L111" s="299" t="str">
        <f>IF(B111="","",IF(ISNA(VLOOKUP($B111,'B-1 On-Site Hedge Baseline'!$B$1:$U$257,12,FALSE)),"",(VLOOKUP($B111,'B-1 On-Site Hedge Baseline'!$B$1:$U$257,12,FALSE))))</f>
        <v/>
      </c>
      <c r="M111" s="611"/>
      <c r="N111" s="275" t="str">
        <f>IFERROR(IF(B111="","",INDEX('G-6 Hedgerow Data'!$AN$3:$AZ$15,MATCH(C111,'G-6 Hedgerow Data'!$AM$3:$AM$15,0),MATCH(M111,'G-6 Hedgerow Data'!$AN$2:$AZ$2,0))),"")</f>
        <v/>
      </c>
      <c r="O111" s="276" t="str">
        <f t="shared" si="8"/>
        <v/>
      </c>
      <c r="P111" s="329" t="str">
        <f>IF(B111="","",VLOOKUP(B111,'B-1 On-Site Hedge Baseline'!$B$10:T356,16,FALSE))</f>
        <v/>
      </c>
      <c r="Q111" s="275" t="str">
        <f>IF(M111="","",VLOOKUP(M111,'G-6 Hedgerow Data'!$B$2:$AG$15,2,FALSE))</f>
        <v/>
      </c>
      <c r="R111" s="276" t="str">
        <f>IF(M111="","",VLOOKUP(M111,'G-6 Hedgerow Data'!$B$2:$AG$15,3,FALSE))</f>
        <v/>
      </c>
      <c r="S111" s="108"/>
      <c r="T111" s="314" t="str">
        <f>IFERROR(IF(S111="","",IF(AND(M111="Non-native and ornamental hedgerow",S111&lt;&gt;"Poor"),"Not possible ▲",(VLOOKUP(S111,'G-1 All Habitats'!$Z$2:$AA$9,2,FALSE)))),"")</f>
        <v/>
      </c>
      <c r="U111" s="105"/>
      <c r="V111" s="295" t="str">
        <f>IF(U111="","",IF(VLOOKUP(U111,'G-3 Multipliers'!$L$3:$N$6,2,FALSE)=0,"Spatial Data Missing ⚠",VLOOKUP(U111,'G-3 Multipliers'!$L$3:$N$6,2,FALSE)))</f>
        <v/>
      </c>
      <c r="W111" s="299" t="str">
        <f>IF(U111="","",IF(VLOOKUP(U111,'G-3 Multipliers'!$L$3:$N$6,3,FALSE)=0,"Spatial Data Missing ⚠",VLOOKUP(U111,'G-3 Multipliers'!$L$3:$N$6,3,FALSE)))</f>
        <v/>
      </c>
      <c r="X111" s="275" t="str">
        <f>IFERROR(IF(OR(LEFT(O111,5)="Error",LEFT(N111,5)="Error",T111="Error"),"Check Data ⚠",IF(F111&lt;R111,INDEX('G-6 Hedgerow Data'!$S$3:$AE$14,MATCH(C111,'G-6 Hedgerow Data'!$B$3:$B$14,0),MATCH(M111,'G-6 Hedgerow Data'!$S$2:$AE$2,0)),INDEX('G-6 Hedgerow Data'!$K$3:$Q$14,MATCH(M111,'G-6 Hedgerow Data'!$B$3:$B$14,0),MATCH(O111,'G-6 Hedgerow Data'!$K$2:$Q$2,0)))),"")</f>
        <v/>
      </c>
      <c r="Y111" s="133"/>
      <c r="Z111" s="133"/>
      <c r="AA111" s="283" t="str">
        <f t="shared" si="9"/>
        <v/>
      </c>
      <c r="AB111" s="296" t="str">
        <f t="shared" si="10"/>
        <v/>
      </c>
      <c r="AC111" s="297" t="str">
        <f t="shared" si="7"/>
        <v/>
      </c>
      <c r="AD111" s="311" t="str">
        <f>IF(M111="","",VLOOKUP(M111,'G-6 Hedgerow Data'!$B$3:$AG$15,31,FALSE))</f>
        <v/>
      </c>
      <c r="AE111" s="283" t="str">
        <f t="shared" si="11"/>
        <v/>
      </c>
      <c r="AF111" s="283" t="str">
        <f t="shared" si="12"/>
        <v/>
      </c>
      <c r="AG111" s="299" t="str">
        <f>IFERROR(IF(O111="","",VLOOKUP(AD111,'G-3 Multipliers'!$P$3:$Q$6,2,FALSE)),"")</f>
        <v/>
      </c>
      <c r="AH111" s="289" t="str">
        <f t="shared" si="13"/>
        <v/>
      </c>
      <c r="AI111" s="108"/>
      <c r="AJ111" s="115"/>
      <c r="AK111" s="104"/>
      <c r="AT111" s="30" t="str">
        <f>IFERROR(INDEX('G-6 Hedgerow Data'!$BJ$3:$BJ$15,MATCH(M111,'G-6 Hedgerow Data'!$B$3:$B$15,0)),"")</f>
        <v/>
      </c>
    </row>
    <row r="112" spans="2:46" ht="14">
      <c r="B112" s="305" t="str">
        <f>'B-1 On-Site Hedge Baseline'!AK110</f>
        <v/>
      </c>
      <c r="C112" s="295" t="str">
        <f>IF(B112="","",IF(ISNA(VLOOKUP($B112,'B-1 On-Site Hedge Baseline'!$B$1:$L$257,3,FALSE)),"",(VLOOKUP($B112,'B-1 On-Site Hedge Baseline'!$B$1:$L$257,3,FALSE))))</f>
        <v/>
      </c>
      <c r="D112" s="295" t="str">
        <f>IF(B112="","",IF(ISNA(VLOOKUP($B112,'B-1 On-Site Hedge Baseline'!$B$1:$L$257,4,FALSE)),"",(VLOOKUP($B112,'B-1 On-Site Hedge Baseline'!$B$1:$L$257,4,FALSE))))</f>
        <v/>
      </c>
      <c r="E112" s="295" t="str">
        <f>IF(B112="","",IF(ISNA(VLOOKUP($B112,'B-1 On-Site Hedge Baseline'!$B$1:$L$257,5,FALSE)),"",(VLOOKUP($B112,'B-1 On-Site Hedge Baseline'!$B$1:$L$257,5,FALSE))))</f>
        <v/>
      </c>
      <c r="F112" s="295" t="str">
        <f>IF(B112="","",IF(ISNA(VLOOKUP($B112,'B-1 On-Site Hedge Baseline'!$B$1:$L$257,6,FALSE)),"",(VLOOKUP($B112,'B-1 On-Site Hedge Baseline'!$B$1:$L$257,6,FALSE))))</f>
        <v/>
      </c>
      <c r="G112" s="295" t="str">
        <f>IF(B112="","",IF(ISNA(VLOOKUP($B112,'B-1 On-Site Hedge Baseline'!$B$1:$L$257,7,FALSE)),"",(VLOOKUP($B112,'B-1 On-Site Hedge Baseline'!$B$1:$L$257,7,FALSE))))</f>
        <v/>
      </c>
      <c r="H112" s="295" t="str">
        <f>IF(B112="","",IF(ISNA(VLOOKUP($B112,'B-1 On-Site Hedge Baseline'!$B$1:$L$257,8,FALSE)),"",(VLOOKUP($B112,'B-1 On-Site Hedge Baseline'!$B$1:$L$257,8,FALSE))))</f>
        <v/>
      </c>
      <c r="I112" s="295" t="str">
        <f>IF(B112="","",IF(ISNA(VLOOKUP($B112,'B-1 On-Site Hedge Baseline'!$B$1:$L$257,10,FALSE)),"",(VLOOKUP($B112,'B-1 On-Site Hedge Baseline'!$B$1:$L$257,10,FALSE))))</f>
        <v/>
      </c>
      <c r="J112" s="295" t="str">
        <f>IF(B112="","",IF(ISNA(VLOOKUP($B112,'B-1 On-Site Hedge Baseline'!$B$1:$L$257,11,FALSE)),"",(VLOOKUP($B112,'B-1 On-Site Hedge Baseline'!$B$1:$L$257,11,FALSE))))</f>
        <v/>
      </c>
      <c r="K112" s="295" t="str">
        <f>IF(B112="","",IF(ISNA(VLOOKUP($B112,'B-1 On-Site Hedge Baseline'!$B$1:$U$257,13,FALSE)),"",(VLOOKUP($B112,'B-1 On-Site Hedge Baseline'!$B$1:$U$257,13,FALSE))))</f>
        <v/>
      </c>
      <c r="L112" s="299" t="str">
        <f>IF(B112="","",IF(ISNA(VLOOKUP($B112,'B-1 On-Site Hedge Baseline'!$B$1:$U$257,12,FALSE)),"",(VLOOKUP($B112,'B-1 On-Site Hedge Baseline'!$B$1:$U$257,12,FALSE))))</f>
        <v/>
      </c>
      <c r="M112" s="611"/>
      <c r="N112" s="275" t="str">
        <f>IFERROR(IF(B112="","",INDEX('G-6 Hedgerow Data'!$AN$3:$AZ$15,MATCH(C112,'G-6 Hedgerow Data'!$AM$3:$AM$15,0),MATCH(M112,'G-6 Hedgerow Data'!$AN$2:$AZ$2,0))),"")</f>
        <v/>
      </c>
      <c r="O112" s="276" t="str">
        <f t="shared" si="8"/>
        <v/>
      </c>
      <c r="P112" s="329" t="str">
        <f>IF(B112="","",VLOOKUP(B112,'B-1 On-Site Hedge Baseline'!$B$10:T357,16,FALSE))</f>
        <v/>
      </c>
      <c r="Q112" s="275" t="str">
        <f>IF(M112="","",VLOOKUP(M112,'G-6 Hedgerow Data'!$B$2:$AG$15,2,FALSE))</f>
        <v/>
      </c>
      <c r="R112" s="276" t="str">
        <f>IF(M112="","",VLOOKUP(M112,'G-6 Hedgerow Data'!$B$2:$AG$15,3,FALSE))</f>
        <v/>
      </c>
      <c r="S112" s="108"/>
      <c r="T112" s="314" t="str">
        <f>IFERROR(IF(S112="","",IF(AND(M112="Non-native and ornamental hedgerow",S112&lt;&gt;"Poor"),"Not possible ▲",(VLOOKUP(S112,'G-1 All Habitats'!$Z$2:$AA$9,2,FALSE)))),"")</f>
        <v/>
      </c>
      <c r="U112" s="105"/>
      <c r="V112" s="295" t="str">
        <f>IF(U112="","",IF(VLOOKUP(U112,'G-3 Multipliers'!$L$3:$N$6,2,FALSE)=0,"Spatial Data Missing ⚠",VLOOKUP(U112,'G-3 Multipliers'!$L$3:$N$6,2,FALSE)))</f>
        <v/>
      </c>
      <c r="W112" s="299" t="str">
        <f>IF(U112="","",IF(VLOOKUP(U112,'G-3 Multipliers'!$L$3:$N$6,3,FALSE)=0,"Spatial Data Missing ⚠",VLOOKUP(U112,'G-3 Multipliers'!$L$3:$N$6,3,FALSE)))</f>
        <v/>
      </c>
      <c r="X112" s="275" t="str">
        <f>IFERROR(IF(OR(LEFT(O112,5)="Error",LEFT(N112,5)="Error",T112="Error"),"Check Data ⚠",IF(F112&lt;R112,INDEX('G-6 Hedgerow Data'!$S$3:$AE$14,MATCH(C112,'G-6 Hedgerow Data'!$B$3:$B$14,0),MATCH(M112,'G-6 Hedgerow Data'!$S$2:$AE$2,0)),INDEX('G-6 Hedgerow Data'!$K$3:$Q$14,MATCH(M112,'G-6 Hedgerow Data'!$B$3:$B$14,0),MATCH(O112,'G-6 Hedgerow Data'!$K$2:$Q$2,0)))),"")</f>
        <v/>
      </c>
      <c r="Y112" s="133"/>
      <c r="Z112" s="133"/>
      <c r="AA112" s="283" t="str">
        <f t="shared" si="9"/>
        <v/>
      </c>
      <c r="AB112" s="296" t="str">
        <f t="shared" si="10"/>
        <v/>
      </c>
      <c r="AC112" s="297" t="str">
        <f t="shared" si="7"/>
        <v/>
      </c>
      <c r="AD112" s="311" t="str">
        <f>IF(M112="","",VLOOKUP(M112,'G-6 Hedgerow Data'!$B$3:$AG$15,31,FALSE))</f>
        <v/>
      </c>
      <c r="AE112" s="283" t="str">
        <f t="shared" si="11"/>
        <v/>
      </c>
      <c r="AF112" s="283" t="str">
        <f t="shared" si="12"/>
        <v/>
      </c>
      <c r="AG112" s="299" t="str">
        <f>IFERROR(IF(O112="","",VLOOKUP(AD112,'G-3 Multipliers'!$P$3:$Q$6,2,FALSE)),"")</f>
        <v/>
      </c>
      <c r="AH112" s="289" t="str">
        <f t="shared" si="13"/>
        <v/>
      </c>
      <c r="AI112" s="108"/>
      <c r="AJ112" s="115"/>
      <c r="AK112" s="104"/>
      <c r="AT112" s="30" t="str">
        <f>IFERROR(INDEX('G-6 Hedgerow Data'!$BJ$3:$BJ$15,MATCH(M112,'G-6 Hedgerow Data'!$B$3:$B$15,0)),"")</f>
        <v/>
      </c>
    </row>
    <row r="113" spans="2:46" ht="14">
      <c r="B113" s="305" t="str">
        <f>'B-1 On-Site Hedge Baseline'!AK111</f>
        <v/>
      </c>
      <c r="C113" s="295" t="str">
        <f>IF(B113="","",IF(ISNA(VLOOKUP($B113,'B-1 On-Site Hedge Baseline'!$B$1:$L$257,3,FALSE)),"",(VLOOKUP($B113,'B-1 On-Site Hedge Baseline'!$B$1:$L$257,3,FALSE))))</f>
        <v/>
      </c>
      <c r="D113" s="295" t="str">
        <f>IF(B113="","",IF(ISNA(VLOOKUP($B113,'B-1 On-Site Hedge Baseline'!$B$1:$L$257,4,FALSE)),"",(VLOOKUP($B113,'B-1 On-Site Hedge Baseline'!$B$1:$L$257,4,FALSE))))</f>
        <v/>
      </c>
      <c r="E113" s="295" t="str">
        <f>IF(B113="","",IF(ISNA(VLOOKUP($B113,'B-1 On-Site Hedge Baseline'!$B$1:$L$257,5,FALSE)),"",(VLOOKUP($B113,'B-1 On-Site Hedge Baseline'!$B$1:$L$257,5,FALSE))))</f>
        <v/>
      </c>
      <c r="F113" s="295" t="str">
        <f>IF(B113="","",IF(ISNA(VLOOKUP($B113,'B-1 On-Site Hedge Baseline'!$B$1:$L$257,6,FALSE)),"",(VLOOKUP($B113,'B-1 On-Site Hedge Baseline'!$B$1:$L$257,6,FALSE))))</f>
        <v/>
      </c>
      <c r="G113" s="295" t="str">
        <f>IF(B113="","",IF(ISNA(VLOOKUP($B113,'B-1 On-Site Hedge Baseline'!$B$1:$L$257,7,FALSE)),"",(VLOOKUP($B113,'B-1 On-Site Hedge Baseline'!$B$1:$L$257,7,FALSE))))</f>
        <v/>
      </c>
      <c r="H113" s="295" t="str">
        <f>IF(B113="","",IF(ISNA(VLOOKUP($B113,'B-1 On-Site Hedge Baseline'!$B$1:$L$257,8,FALSE)),"",(VLOOKUP($B113,'B-1 On-Site Hedge Baseline'!$B$1:$L$257,8,FALSE))))</f>
        <v/>
      </c>
      <c r="I113" s="295" t="str">
        <f>IF(B113="","",IF(ISNA(VLOOKUP($B113,'B-1 On-Site Hedge Baseline'!$B$1:$L$257,10,FALSE)),"",(VLOOKUP($B113,'B-1 On-Site Hedge Baseline'!$B$1:$L$257,10,FALSE))))</f>
        <v/>
      </c>
      <c r="J113" s="295" t="str">
        <f>IF(B113="","",IF(ISNA(VLOOKUP($B113,'B-1 On-Site Hedge Baseline'!$B$1:$L$257,11,FALSE)),"",(VLOOKUP($B113,'B-1 On-Site Hedge Baseline'!$B$1:$L$257,11,FALSE))))</f>
        <v/>
      </c>
      <c r="K113" s="295" t="str">
        <f>IF(B113="","",IF(ISNA(VLOOKUP($B113,'B-1 On-Site Hedge Baseline'!$B$1:$U$257,13,FALSE)),"",(VLOOKUP($B113,'B-1 On-Site Hedge Baseline'!$B$1:$U$257,13,FALSE))))</f>
        <v/>
      </c>
      <c r="L113" s="299" t="str">
        <f>IF(B113="","",IF(ISNA(VLOOKUP($B113,'B-1 On-Site Hedge Baseline'!$B$1:$U$257,12,FALSE)),"",(VLOOKUP($B113,'B-1 On-Site Hedge Baseline'!$B$1:$U$257,12,FALSE))))</f>
        <v/>
      </c>
      <c r="M113" s="611"/>
      <c r="N113" s="275" t="str">
        <f>IFERROR(IF(B113="","",INDEX('G-6 Hedgerow Data'!$AN$3:$AZ$15,MATCH(C113,'G-6 Hedgerow Data'!$AM$3:$AM$15,0),MATCH(M113,'G-6 Hedgerow Data'!$AN$2:$AZ$2,0))),"")</f>
        <v/>
      </c>
      <c r="O113" s="276" t="str">
        <f t="shared" si="8"/>
        <v/>
      </c>
      <c r="P113" s="329" t="str">
        <f>IF(B113="","",VLOOKUP(B113,'B-1 On-Site Hedge Baseline'!$B$10:T358,16,FALSE))</f>
        <v/>
      </c>
      <c r="Q113" s="275" t="str">
        <f>IF(M113="","",VLOOKUP(M113,'G-6 Hedgerow Data'!$B$2:$AG$15,2,FALSE))</f>
        <v/>
      </c>
      <c r="R113" s="276" t="str">
        <f>IF(M113="","",VLOOKUP(M113,'G-6 Hedgerow Data'!$B$2:$AG$15,3,FALSE))</f>
        <v/>
      </c>
      <c r="S113" s="108"/>
      <c r="T113" s="314" t="str">
        <f>IFERROR(IF(S113="","",IF(AND(M113="Non-native and ornamental hedgerow",S113&lt;&gt;"Poor"),"Not possible ▲",(VLOOKUP(S113,'G-1 All Habitats'!$Z$2:$AA$9,2,FALSE)))),"")</f>
        <v/>
      </c>
      <c r="U113" s="105"/>
      <c r="V113" s="295" t="str">
        <f>IF(U113="","",IF(VLOOKUP(U113,'G-3 Multipliers'!$L$3:$N$6,2,FALSE)=0,"Spatial Data Missing ⚠",VLOOKUP(U113,'G-3 Multipliers'!$L$3:$N$6,2,FALSE)))</f>
        <v/>
      </c>
      <c r="W113" s="299" t="str">
        <f>IF(U113="","",IF(VLOOKUP(U113,'G-3 Multipliers'!$L$3:$N$6,3,FALSE)=0,"Spatial Data Missing ⚠",VLOOKUP(U113,'G-3 Multipliers'!$L$3:$N$6,3,FALSE)))</f>
        <v/>
      </c>
      <c r="X113" s="275" t="str">
        <f>IFERROR(IF(OR(LEFT(O113,5)="Error",LEFT(N113,5)="Error",T113="Error"),"Check Data ⚠",IF(F113&lt;R113,INDEX('G-6 Hedgerow Data'!$S$3:$AE$14,MATCH(C113,'G-6 Hedgerow Data'!$B$3:$B$14,0),MATCH(M113,'G-6 Hedgerow Data'!$S$2:$AE$2,0)),INDEX('G-6 Hedgerow Data'!$K$3:$Q$14,MATCH(M113,'G-6 Hedgerow Data'!$B$3:$B$14,0),MATCH(O113,'G-6 Hedgerow Data'!$K$2:$Q$2,0)))),"")</f>
        <v/>
      </c>
      <c r="Y113" s="133"/>
      <c r="Z113" s="133"/>
      <c r="AA113" s="283" t="str">
        <f t="shared" si="9"/>
        <v/>
      </c>
      <c r="AB113" s="296" t="str">
        <f t="shared" si="10"/>
        <v/>
      </c>
      <c r="AC113" s="297" t="str">
        <f t="shared" si="7"/>
        <v/>
      </c>
      <c r="AD113" s="311" t="str">
        <f>IF(M113="","",VLOOKUP(M113,'G-6 Hedgerow Data'!$B$3:$AG$15,31,FALSE))</f>
        <v/>
      </c>
      <c r="AE113" s="283" t="str">
        <f t="shared" si="11"/>
        <v/>
      </c>
      <c r="AF113" s="283" t="str">
        <f t="shared" si="12"/>
        <v/>
      </c>
      <c r="AG113" s="299" t="str">
        <f>IFERROR(IF(O113="","",VLOOKUP(AD113,'G-3 Multipliers'!$P$3:$Q$6,2,FALSE)),"")</f>
        <v/>
      </c>
      <c r="AH113" s="289" t="str">
        <f t="shared" si="13"/>
        <v/>
      </c>
      <c r="AI113" s="108"/>
      <c r="AJ113" s="115"/>
      <c r="AK113" s="104"/>
      <c r="AT113" s="30" t="str">
        <f>IFERROR(INDEX('G-6 Hedgerow Data'!$BJ$3:$BJ$15,MATCH(M113,'G-6 Hedgerow Data'!$B$3:$B$15,0)),"")</f>
        <v/>
      </c>
    </row>
    <row r="114" spans="2:46" ht="14">
      <c r="B114" s="305" t="str">
        <f>'B-1 On-Site Hedge Baseline'!AK112</f>
        <v/>
      </c>
      <c r="C114" s="295" t="str">
        <f>IF(B114="","",IF(ISNA(VLOOKUP($B114,'B-1 On-Site Hedge Baseline'!$B$1:$L$257,3,FALSE)),"",(VLOOKUP($B114,'B-1 On-Site Hedge Baseline'!$B$1:$L$257,3,FALSE))))</f>
        <v/>
      </c>
      <c r="D114" s="295" t="str">
        <f>IF(B114="","",IF(ISNA(VLOOKUP($B114,'B-1 On-Site Hedge Baseline'!$B$1:$L$257,4,FALSE)),"",(VLOOKUP($B114,'B-1 On-Site Hedge Baseline'!$B$1:$L$257,4,FALSE))))</f>
        <v/>
      </c>
      <c r="E114" s="295" t="str">
        <f>IF(B114="","",IF(ISNA(VLOOKUP($B114,'B-1 On-Site Hedge Baseline'!$B$1:$L$257,5,FALSE)),"",(VLOOKUP($B114,'B-1 On-Site Hedge Baseline'!$B$1:$L$257,5,FALSE))))</f>
        <v/>
      </c>
      <c r="F114" s="295" t="str">
        <f>IF(B114="","",IF(ISNA(VLOOKUP($B114,'B-1 On-Site Hedge Baseline'!$B$1:$L$257,6,FALSE)),"",(VLOOKUP($B114,'B-1 On-Site Hedge Baseline'!$B$1:$L$257,6,FALSE))))</f>
        <v/>
      </c>
      <c r="G114" s="295" t="str">
        <f>IF(B114="","",IF(ISNA(VLOOKUP($B114,'B-1 On-Site Hedge Baseline'!$B$1:$L$257,7,FALSE)),"",(VLOOKUP($B114,'B-1 On-Site Hedge Baseline'!$B$1:$L$257,7,FALSE))))</f>
        <v/>
      </c>
      <c r="H114" s="295" t="str">
        <f>IF(B114="","",IF(ISNA(VLOOKUP($B114,'B-1 On-Site Hedge Baseline'!$B$1:$L$257,8,FALSE)),"",(VLOOKUP($B114,'B-1 On-Site Hedge Baseline'!$B$1:$L$257,8,FALSE))))</f>
        <v/>
      </c>
      <c r="I114" s="295" t="str">
        <f>IF(B114="","",IF(ISNA(VLOOKUP($B114,'B-1 On-Site Hedge Baseline'!$B$1:$L$257,10,FALSE)),"",(VLOOKUP($B114,'B-1 On-Site Hedge Baseline'!$B$1:$L$257,10,FALSE))))</f>
        <v/>
      </c>
      <c r="J114" s="295" t="str">
        <f>IF(B114="","",IF(ISNA(VLOOKUP($B114,'B-1 On-Site Hedge Baseline'!$B$1:$L$257,11,FALSE)),"",(VLOOKUP($B114,'B-1 On-Site Hedge Baseline'!$B$1:$L$257,11,FALSE))))</f>
        <v/>
      </c>
      <c r="K114" s="295" t="str">
        <f>IF(B114="","",IF(ISNA(VLOOKUP($B114,'B-1 On-Site Hedge Baseline'!$B$1:$U$257,13,FALSE)),"",(VLOOKUP($B114,'B-1 On-Site Hedge Baseline'!$B$1:$U$257,13,FALSE))))</f>
        <v/>
      </c>
      <c r="L114" s="299" t="str">
        <f>IF(B114="","",IF(ISNA(VLOOKUP($B114,'B-1 On-Site Hedge Baseline'!$B$1:$U$257,12,FALSE)),"",(VLOOKUP($B114,'B-1 On-Site Hedge Baseline'!$B$1:$U$257,12,FALSE))))</f>
        <v/>
      </c>
      <c r="M114" s="611"/>
      <c r="N114" s="275" t="str">
        <f>IFERROR(IF(B114="","",INDEX('G-6 Hedgerow Data'!$AN$3:$AZ$15,MATCH(C114,'G-6 Hedgerow Data'!$AM$3:$AM$15,0),MATCH(M114,'G-6 Hedgerow Data'!$AN$2:$AZ$2,0))),"")</f>
        <v/>
      </c>
      <c r="O114" s="276" t="str">
        <f t="shared" si="8"/>
        <v/>
      </c>
      <c r="P114" s="329" t="str">
        <f>IF(B114="","",VLOOKUP(B114,'B-1 On-Site Hedge Baseline'!$B$10:T359,16,FALSE))</f>
        <v/>
      </c>
      <c r="Q114" s="275" t="str">
        <f>IF(M114="","",VLOOKUP(M114,'G-6 Hedgerow Data'!$B$2:$AG$15,2,FALSE))</f>
        <v/>
      </c>
      <c r="R114" s="276" t="str">
        <f>IF(M114="","",VLOOKUP(M114,'G-6 Hedgerow Data'!$B$2:$AG$15,3,FALSE))</f>
        <v/>
      </c>
      <c r="S114" s="108"/>
      <c r="T114" s="314" t="str">
        <f>IFERROR(IF(S114="","",IF(AND(M114="Non-native and ornamental hedgerow",S114&lt;&gt;"Poor"),"Not possible ▲",(VLOOKUP(S114,'G-1 All Habitats'!$Z$2:$AA$9,2,FALSE)))),"")</f>
        <v/>
      </c>
      <c r="U114" s="105"/>
      <c r="V114" s="295" t="str">
        <f>IF(U114="","",IF(VLOOKUP(U114,'G-3 Multipliers'!$L$3:$N$6,2,FALSE)=0,"Spatial Data Missing ⚠",VLOOKUP(U114,'G-3 Multipliers'!$L$3:$N$6,2,FALSE)))</f>
        <v/>
      </c>
      <c r="W114" s="299" t="str">
        <f>IF(U114="","",IF(VLOOKUP(U114,'G-3 Multipliers'!$L$3:$N$6,3,FALSE)=0,"Spatial Data Missing ⚠",VLOOKUP(U114,'G-3 Multipliers'!$L$3:$N$6,3,FALSE)))</f>
        <v/>
      </c>
      <c r="X114" s="275" t="str">
        <f>IFERROR(IF(OR(LEFT(O114,5)="Error",LEFT(N114,5)="Error",T114="Error"),"Check Data ⚠",IF(F114&lt;R114,INDEX('G-6 Hedgerow Data'!$S$3:$AE$14,MATCH(C114,'G-6 Hedgerow Data'!$B$3:$B$14,0),MATCH(M114,'G-6 Hedgerow Data'!$S$2:$AE$2,0)),INDEX('G-6 Hedgerow Data'!$K$3:$Q$14,MATCH(M114,'G-6 Hedgerow Data'!$B$3:$B$14,0),MATCH(O114,'G-6 Hedgerow Data'!$K$2:$Q$2,0)))),"")</f>
        <v/>
      </c>
      <c r="Y114" s="133"/>
      <c r="Z114" s="133"/>
      <c r="AA114" s="283" t="str">
        <f t="shared" si="9"/>
        <v/>
      </c>
      <c r="AB114" s="296" t="str">
        <f t="shared" si="10"/>
        <v/>
      </c>
      <c r="AC114" s="297" t="str">
        <f t="shared" si="7"/>
        <v/>
      </c>
      <c r="AD114" s="311" t="str">
        <f>IF(M114="","",VLOOKUP(M114,'G-6 Hedgerow Data'!$B$3:$AG$15,31,FALSE))</f>
        <v/>
      </c>
      <c r="AE114" s="283" t="str">
        <f t="shared" si="11"/>
        <v/>
      </c>
      <c r="AF114" s="283" t="str">
        <f t="shared" si="12"/>
        <v/>
      </c>
      <c r="AG114" s="299" t="str">
        <f>IFERROR(IF(O114="","",VLOOKUP(AD114,'G-3 Multipliers'!$P$3:$Q$6,2,FALSE)),"")</f>
        <v/>
      </c>
      <c r="AH114" s="289" t="str">
        <f t="shared" si="13"/>
        <v/>
      </c>
      <c r="AI114" s="108"/>
      <c r="AJ114" s="115"/>
      <c r="AK114" s="104"/>
      <c r="AT114" s="30" t="str">
        <f>IFERROR(INDEX('G-6 Hedgerow Data'!$BJ$3:$BJ$15,MATCH(M114,'G-6 Hedgerow Data'!$B$3:$B$15,0)),"")</f>
        <v/>
      </c>
    </row>
    <row r="115" spans="2:46" ht="14">
      <c r="B115" s="305" t="str">
        <f>'B-1 On-Site Hedge Baseline'!AK113</f>
        <v/>
      </c>
      <c r="C115" s="295" t="str">
        <f>IF(B115="","",IF(ISNA(VLOOKUP($B115,'B-1 On-Site Hedge Baseline'!$B$1:$L$257,3,FALSE)),"",(VLOOKUP($B115,'B-1 On-Site Hedge Baseline'!$B$1:$L$257,3,FALSE))))</f>
        <v/>
      </c>
      <c r="D115" s="295" t="str">
        <f>IF(B115="","",IF(ISNA(VLOOKUP($B115,'B-1 On-Site Hedge Baseline'!$B$1:$L$257,4,FALSE)),"",(VLOOKUP($B115,'B-1 On-Site Hedge Baseline'!$B$1:$L$257,4,FALSE))))</f>
        <v/>
      </c>
      <c r="E115" s="295" t="str">
        <f>IF(B115="","",IF(ISNA(VLOOKUP($B115,'B-1 On-Site Hedge Baseline'!$B$1:$L$257,5,FALSE)),"",(VLOOKUP($B115,'B-1 On-Site Hedge Baseline'!$B$1:$L$257,5,FALSE))))</f>
        <v/>
      </c>
      <c r="F115" s="295" t="str">
        <f>IF(B115="","",IF(ISNA(VLOOKUP($B115,'B-1 On-Site Hedge Baseline'!$B$1:$L$257,6,FALSE)),"",(VLOOKUP($B115,'B-1 On-Site Hedge Baseline'!$B$1:$L$257,6,FALSE))))</f>
        <v/>
      </c>
      <c r="G115" s="295" t="str">
        <f>IF(B115="","",IF(ISNA(VLOOKUP($B115,'B-1 On-Site Hedge Baseline'!$B$1:$L$257,7,FALSE)),"",(VLOOKUP($B115,'B-1 On-Site Hedge Baseline'!$B$1:$L$257,7,FALSE))))</f>
        <v/>
      </c>
      <c r="H115" s="295" t="str">
        <f>IF(B115="","",IF(ISNA(VLOOKUP($B115,'B-1 On-Site Hedge Baseline'!$B$1:$L$257,8,FALSE)),"",(VLOOKUP($B115,'B-1 On-Site Hedge Baseline'!$B$1:$L$257,8,FALSE))))</f>
        <v/>
      </c>
      <c r="I115" s="295" t="str">
        <f>IF(B115="","",IF(ISNA(VLOOKUP($B115,'B-1 On-Site Hedge Baseline'!$B$1:$L$257,10,FALSE)),"",(VLOOKUP($B115,'B-1 On-Site Hedge Baseline'!$B$1:$L$257,10,FALSE))))</f>
        <v/>
      </c>
      <c r="J115" s="295" t="str">
        <f>IF(B115="","",IF(ISNA(VLOOKUP($B115,'B-1 On-Site Hedge Baseline'!$B$1:$L$257,11,FALSE)),"",(VLOOKUP($B115,'B-1 On-Site Hedge Baseline'!$B$1:$L$257,11,FALSE))))</f>
        <v/>
      </c>
      <c r="K115" s="295" t="str">
        <f>IF(B115="","",IF(ISNA(VLOOKUP($B115,'B-1 On-Site Hedge Baseline'!$B$1:$U$257,13,FALSE)),"",(VLOOKUP($B115,'B-1 On-Site Hedge Baseline'!$B$1:$U$257,13,FALSE))))</f>
        <v/>
      </c>
      <c r="L115" s="299" t="str">
        <f>IF(B115="","",IF(ISNA(VLOOKUP($B115,'B-1 On-Site Hedge Baseline'!$B$1:$U$257,12,FALSE)),"",(VLOOKUP($B115,'B-1 On-Site Hedge Baseline'!$B$1:$U$257,12,FALSE))))</f>
        <v/>
      </c>
      <c r="M115" s="611"/>
      <c r="N115" s="275" t="str">
        <f>IFERROR(IF(B115="","",INDEX('G-6 Hedgerow Data'!$AN$3:$AZ$15,MATCH(C115,'G-6 Hedgerow Data'!$AM$3:$AM$15,0),MATCH(M115,'G-6 Hedgerow Data'!$AN$2:$AZ$2,0))),"")</f>
        <v/>
      </c>
      <c r="O115" s="276" t="str">
        <f t="shared" si="8"/>
        <v/>
      </c>
      <c r="P115" s="329" t="str">
        <f>IF(B115="","",VLOOKUP(B115,'B-1 On-Site Hedge Baseline'!$B$10:T360,16,FALSE))</f>
        <v/>
      </c>
      <c r="Q115" s="275" t="str">
        <f>IF(M115="","",VLOOKUP(M115,'G-6 Hedgerow Data'!$B$2:$AG$15,2,FALSE))</f>
        <v/>
      </c>
      <c r="R115" s="276" t="str">
        <f>IF(M115="","",VLOOKUP(M115,'G-6 Hedgerow Data'!$B$2:$AG$15,3,FALSE))</f>
        <v/>
      </c>
      <c r="S115" s="108"/>
      <c r="T115" s="314" t="str">
        <f>IFERROR(IF(S115="","",IF(AND(M115="Non-native and ornamental hedgerow",S115&lt;&gt;"Poor"),"Not possible ▲",(VLOOKUP(S115,'G-1 All Habitats'!$Z$2:$AA$9,2,FALSE)))),"")</f>
        <v/>
      </c>
      <c r="U115" s="105"/>
      <c r="V115" s="295" t="str">
        <f>IF(U115="","",IF(VLOOKUP(U115,'G-3 Multipliers'!$L$3:$N$6,2,FALSE)=0,"Spatial Data Missing ⚠",VLOOKUP(U115,'G-3 Multipliers'!$L$3:$N$6,2,FALSE)))</f>
        <v/>
      </c>
      <c r="W115" s="299" t="str">
        <f>IF(U115="","",IF(VLOOKUP(U115,'G-3 Multipliers'!$L$3:$N$6,3,FALSE)=0,"Spatial Data Missing ⚠",VLOOKUP(U115,'G-3 Multipliers'!$L$3:$N$6,3,FALSE)))</f>
        <v/>
      </c>
      <c r="X115" s="275" t="str">
        <f>IFERROR(IF(OR(LEFT(O115,5)="Error",LEFT(N115,5)="Error",T115="Error"),"Check Data ⚠",IF(F115&lt;R115,INDEX('G-6 Hedgerow Data'!$S$3:$AE$14,MATCH(C115,'G-6 Hedgerow Data'!$B$3:$B$14,0),MATCH(M115,'G-6 Hedgerow Data'!$S$2:$AE$2,0)),INDEX('G-6 Hedgerow Data'!$K$3:$Q$14,MATCH(M115,'G-6 Hedgerow Data'!$B$3:$B$14,0),MATCH(O115,'G-6 Hedgerow Data'!$K$2:$Q$2,0)))),"")</f>
        <v/>
      </c>
      <c r="Y115" s="133"/>
      <c r="Z115" s="133"/>
      <c r="AA115" s="283" t="str">
        <f t="shared" si="9"/>
        <v/>
      </c>
      <c r="AB115" s="296" t="str">
        <f t="shared" si="10"/>
        <v/>
      </c>
      <c r="AC115" s="297" t="str">
        <f t="shared" si="7"/>
        <v/>
      </c>
      <c r="AD115" s="311" t="str">
        <f>IF(M115="","",VLOOKUP(M115,'G-6 Hedgerow Data'!$B$3:$AG$15,31,FALSE))</f>
        <v/>
      </c>
      <c r="AE115" s="283" t="str">
        <f t="shared" si="11"/>
        <v/>
      </c>
      <c r="AF115" s="283" t="str">
        <f t="shared" si="12"/>
        <v/>
      </c>
      <c r="AG115" s="299" t="str">
        <f>IFERROR(IF(O115="","",VLOOKUP(AD115,'G-3 Multipliers'!$P$3:$Q$6,2,FALSE)),"")</f>
        <v/>
      </c>
      <c r="AH115" s="289" t="str">
        <f t="shared" si="13"/>
        <v/>
      </c>
      <c r="AI115" s="108"/>
      <c r="AJ115" s="115"/>
      <c r="AK115" s="104"/>
      <c r="AT115" s="30" t="str">
        <f>IFERROR(INDEX('G-6 Hedgerow Data'!$BJ$3:$BJ$15,MATCH(M115,'G-6 Hedgerow Data'!$B$3:$B$15,0)),"")</f>
        <v/>
      </c>
    </row>
    <row r="116" spans="2:46" ht="14">
      <c r="B116" s="305" t="str">
        <f>'B-1 On-Site Hedge Baseline'!AK114</f>
        <v/>
      </c>
      <c r="C116" s="295" t="str">
        <f>IF(B116="","",IF(ISNA(VLOOKUP($B116,'B-1 On-Site Hedge Baseline'!$B$1:$L$257,3,FALSE)),"",(VLOOKUP($B116,'B-1 On-Site Hedge Baseline'!$B$1:$L$257,3,FALSE))))</f>
        <v/>
      </c>
      <c r="D116" s="295" t="str">
        <f>IF(B116="","",IF(ISNA(VLOOKUP($B116,'B-1 On-Site Hedge Baseline'!$B$1:$L$257,4,FALSE)),"",(VLOOKUP($B116,'B-1 On-Site Hedge Baseline'!$B$1:$L$257,4,FALSE))))</f>
        <v/>
      </c>
      <c r="E116" s="295" t="str">
        <f>IF(B116="","",IF(ISNA(VLOOKUP($B116,'B-1 On-Site Hedge Baseline'!$B$1:$L$257,5,FALSE)),"",(VLOOKUP($B116,'B-1 On-Site Hedge Baseline'!$B$1:$L$257,5,FALSE))))</f>
        <v/>
      </c>
      <c r="F116" s="295" t="str">
        <f>IF(B116="","",IF(ISNA(VLOOKUP($B116,'B-1 On-Site Hedge Baseline'!$B$1:$L$257,6,FALSE)),"",(VLOOKUP($B116,'B-1 On-Site Hedge Baseline'!$B$1:$L$257,6,FALSE))))</f>
        <v/>
      </c>
      <c r="G116" s="295" t="str">
        <f>IF(B116="","",IF(ISNA(VLOOKUP($B116,'B-1 On-Site Hedge Baseline'!$B$1:$L$257,7,FALSE)),"",(VLOOKUP($B116,'B-1 On-Site Hedge Baseline'!$B$1:$L$257,7,FALSE))))</f>
        <v/>
      </c>
      <c r="H116" s="295" t="str">
        <f>IF(B116="","",IF(ISNA(VLOOKUP($B116,'B-1 On-Site Hedge Baseline'!$B$1:$L$257,8,FALSE)),"",(VLOOKUP($B116,'B-1 On-Site Hedge Baseline'!$B$1:$L$257,8,FALSE))))</f>
        <v/>
      </c>
      <c r="I116" s="295" t="str">
        <f>IF(B116="","",IF(ISNA(VLOOKUP($B116,'B-1 On-Site Hedge Baseline'!$B$1:$L$257,10,FALSE)),"",(VLOOKUP($B116,'B-1 On-Site Hedge Baseline'!$B$1:$L$257,10,FALSE))))</f>
        <v/>
      </c>
      <c r="J116" s="295" t="str">
        <f>IF(B116="","",IF(ISNA(VLOOKUP($B116,'B-1 On-Site Hedge Baseline'!$B$1:$L$257,11,FALSE)),"",(VLOOKUP($B116,'B-1 On-Site Hedge Baseline'!$B$1:$L$257,11,FALSE))))</f>
        <v/>
      </c>
      <c r="K116" s="295" t="str">
        <f>IF(B116="","",IF(ISNA(VLOOKUP($B116,'B-1 On-Site Hedge Baseline'!$B$1:$U$257,13,FALSE)),"",(VLOOKUP($B116,'B-1 On-Site Hedge Baseline'!$B$1:$U$257,13,FALSE))))</f>
        <v/>
      </c>
      <c r="L116" s="299" t="str">
        <f>IF(B116="","",IF(ISNA(VLOOKUP($B116,'B-1 On-Site Hedge Baseline'!$B$1:$U$257,12,FALSE)),"",(VLOOKUP($B116,'B-1 On-Site Hedge Baseline'!$B$1:$U$257,12,FALSE))))</f>
        <v/>
      </c>
      <c r="M116" s="611"/>
      <c r="N116" s="275" t="str">
        <f>IFERROR(IF(B116="","",INDEX('G-6 Hedgerow Data'!$AN$3:$AZ$15,MATCH(C116,'G-6 Hedgerow Data'!$AM$3:$AM$15,0),MATCH(M116,'G-6 Hedgerow Data'!$AN$2:$AZ$2,0))),"")</f>
        <v/>
      </c>
      <c r="O116" s="276" t="str">
        <f t="shared" si="8"/>
        <v/>
      </c>
      <c r="P116" s="329" t="str">
        <f>IF(B116="","",VLOOKUP(B116,'B-1 On-Site Hedge Baseline'!$B$10:T361,16,FALSE))</f>
        <v/>
      </c>
      <c r="Q116" s="275" t="str">
        <f>IF(M116="","",VLOOKUP(M116,'G-6 Hedgerow Data'!$B$2:$AG$15,2,FALSE))</f>
        <v/>
      </c>
      <c r="R116" s="276" t="str">
        <f>IF(M116="","",VLOOKUP(M116,'G-6 Hedgerow Data'!$B$2:$AG$15,3,FALSE))</f>
        <v/>
      </c>
      <c r="S116" s="108"/>
      <c r="T116" s="314" t="str">
        <f>IFERROR(IF(S116="","",IF(AND(M116="Non-native and ornamental hedgerow",S116&lt;&gt;"Poor"),"Not possible ▲",(VLOOKUP(S116,'G-1 All Habitats'!$Z$2:$AA$9,2,FALSE)))),"")</f>
        <v/>
      </c>
      <c r="U116" s="105"/>
      <c r="V116" s="295" t="str">
        <f>IF(U116="","",IF(VLOOKUP(U116,'G-3 Multipliers'!$L$3:$N$6,2,FALSE)=0,"Spatial Data Missing ⚠",VLOOKUP(U116,'G-3 Multipliers'!$L$3:$N$6,2,FALSE)))</f>
        <v/>
      </c>
      <c r="W116" s="299" t="str">
        <f>IF(U116="","",IF(VLOOKUP(U116,'G-3 Multipliers'!$L$3:$N$6,3,FALSE)=0,"Spatial Data Missing ⚠",VLOOKUP(U116,'G-3 Multipliers'!$L$3:$N$6,3,FALSE)))</f>
        <v/>
      </c>
      <c r="X116" s="275" t="str">
        <f>IFERROR(IF(OR(LEFT(O116,5)="Error",LEFT(N116,5)="Error",T116="Error"),"Check Data ⚠",IF(F116&lt;R116,INDEX('G-6 Hedgerow Data'!$S$3:$AE$14,MATCH(C116,'G-6 Hedgerow Data'!$B$3:$B$14,0),MATCH(M116,'G-6 Hedgerow Data'!$S$2:$AE$2,0)),INDEX('G-6 Hedgerow Data'!$K$3:$Q$14,MATCH(M116,'G-6 Hedgerow Data'!$B$3:$B$14,0),MATCH(O116,'G-6 Hedgerow Data'!$K$2:$Q$2,0)))),"")</f>
        <v/>
      </c>
      <c r="Y116" s="133"/>
      <c r="Z116" s="133"/>
      <c r="AA116" s="283" t="str">
        <f t="shared" si="9"/>
        <v/>
      </c>
      <c r="AB116" s="296" t="str">
        <f t="shared" si="10"/>
        <v/>
      </c>
      <c r="AC116" s="297" t="str">
        <f t="shared" si="7"/>
        <v/>
      </c>
      <c r="AD116" s="311" t="str">
        <f>IF(M116="","",VLOOKUP(M116,'G-6 Hedgerow Data'!$B$3:$AG$15,31,FALSE))</f>
        <v/>
      </c>
      <c r="AE116" s="283" t="str">
        <f t="shared" si="11"/>
        <v/>
      </c>
      <c r="AF116" s="283" t="str">
        <f t="shared" si="12"/>
        <v/>
      </c>
      <c r="AG116" s="299" t="str">
        <f>IFERROR(IF(O116="","",VLOOKUP(AD116,'G-3 Multipliers'!$P$3:$Q$6,2,FALSE)),"")</f>
        <v/>
      </c>
      <c r="AH116" s="289" t="str">
        <f t="shared" si="13"/>
        <v/>
      </c>
      <c r="AI116" s="108"/>
      <c r="AJ116" s="115"/>
      <c r="AK116" s="104"/>
      <c r="AT116" s="30" t="str">
        <f>IFERROR(INDEX('G-6 Hedgerow Data'!$BJ$3:$BJ$15,MATCH(M116,'G-6 Hedgerow Data'!$B$3:$B$15,0)),"")</f>
        <v/>
      </c>
    </row>
    <row r="117" spans="2:46" ht="14">
      <c r="B117" s="305" t="str">
        <f>'B-1 On-Site Hedge Baseline'!AK115</f>
        <v/>
      </c>
      <c r="C117" s="295" t="str">
        <f>IF(B117="","",IF(ISNA(VLOOKUP($B117,'B-1 On-Site Hedge Baseline'!$B$1:$L$257,3,FALSE)),"",(VLOOKUP($B117,'B-1 On-Site Hedge Baseline'!$B$1:$L$257,3,FALSE))))</f>
        <v/>
      </c>
      <c r="D117" s="295" t="str">
        <f>IF(B117="","",IF(ISNA(VLOOKUP($B117,'B-1 On-Site Hedge Baseline'!$B$1:$L$257,4,FALSE)),"",(VLOOKUP($B117,'B-1 On-Site Hedge Baseline'!$B$1:$L$257,4,FALSE))))</f>
        <v/>
      </c>
      <c r="E117" s="295" t="str">
        <f>IF(B117="","",IF(ISNA(VLOOKUP($B117,'B-1 On-Site Hedge Baseline'!$B$1:$L$257,5,FALSE)),"",(VLOOKUP($B117,'B-1 On-Site Hedge Baseline'!$B$1:$L$257,5,FALSE))))</f>
        <v/>
      </c>
      <c r="F117" s="295" t="str">
        <f>IF(B117="","",IF(ISNA(VLOOKUP($B117,'B-1 On-Site Hedge Baseline'!$B$1:$L$257,6,FALSE)),"",(VLOOKUP($B117,'B-1 On-Site Hedge Baseline'!$B$1:$L$257,6,FALSE))))</f>
        <v/>
      </c>
      <c r="G117" s="295" t="str">
        <f>IF(B117="","",IF(ISNA(VLOOKUP($B117,'B-1 On-Site Hedge Baseline'!$B$1:$L$257,7,FALSE)),"",(VLOOKUP($B117,'B-1 On-Site Hedge Baseline'!$B$1:$L$257,7,FALSE))))</f>
        <v/>
      </c>
      <c r="H117" s="295" t="str">
        <f>IF(B117="","",IF(ISNA(VLOOKUP($B117,'B-1 On-Site Hedge Baseline'!$B$1:$L$257,8,FALSE)),"",(VLOOKUP($B117,'B-1 On-Site Hedge Baseline'!$B$1:$L$257,8,FALSE))))</f>
        <v/>
      </c>
      <c r="I117" s="295" t="str">
        <f>IF(B117="","",IF(ISNA(VLOOKUP($B117,'B-1 On-Site Hedge Baseline'!$B$1:$L$257,10,FALSE)),"",(VLOOKUP($B117,'B-1 On-Site Hedge Baseline'!$B$1:$L$257,10,FALSE))))</f>
        <v/>
      </c>
      <c r="J117" s="295" t="str">
        <f>IF(B117="","",IF(ISNA(VLOOKUP($B117,'B-1 On-Site Hedge Baseline'!$B$1:$L$257,11,FALSE)),"",(VLOOKUP($B117,'B-1 On-Site Hedge Baseline'!$B$1:$L$257,11,FALSE))))</f>
        <v/>
      </c>
      <c r="K117" s="295" t="str">
        <f>IF(B117="","",IF(ISNA(VLOOKUP($B117,'B-1 On-Site Hedge Baseline'!$B$1:$U$257,13,FALSE)),"",(VLOOKUP($B117,'B-1 On-Site Hedge Baseline'!$B$1:$U$257,13,FALSE))))</f>
        <v/>
      </c>
      <c r="L117" s="299" t="str">
        <f>IF(B117="","",IF(ISNA(VLOOKUP($B117,'B-1 On-Site Hedge Baseline'!$B$1:$U$257,12,FALSE)),"",(VLOOKUP($B117,'B-1 On-Site Hedge Baseline'!$B$1:$U$257,12,FALSE))))</f>
        <v/>
      </c>
      <c r="M117" s="611"/>
      <c r="N117" s="275" t="str">
        <f>IFERROR(IF(B117="","",INDEX('G-6 Hedgerow Data'!$AN$3:$AZ$15,MATCH(C117,'G-6 Hedgerow Data'!$AM$3:$AM$15,0),MATCH(M117,'G-6 Hedgerow Data'!$AN$2:$AZ$2,0))),"")</f>
        <v/>
      </c>
      <c r="O117" s="276" t="str">
        <f t="shared" si="8"/>
        <v/>
      </c>
      <c r="P117" s="329" t="str">
        <f>IF(B117="","",VLOOKUP(B117,'B-1 On-Site Hedge Baseline'!$B$10:T362,16,FALSE))</f>
        <v/>
      </c>
      <c r="Q117" s="275" t="str">
        <f>IF(M117="","",VLOOKUP(M117,'G-6 Hedgerow Data'!$B$2:$AG$15,2,FALSE))</f>
        <v/>
      </c>
      <c r="R117" s="276" t="str">
        <f>IF(M117="","",VLOOKUP(M117,'G-6 Hedgerow Data'!$B$2:$AG$15,3,FALSE))</f>
        <v/>
      </c>
      <c r="S117" s="108"/>
      <c r="T117" s="314" t="str">
        <f>IFERROR(IF(S117="","",IF(AND(M117="Non-native and ornamental hedgerow",S117&lt;&gt;"Poor"),"Not possible ▲",(VLOOKUP(S117,'G-1 All Habitats'!$Z$2:$AA$9,2,FALSE)))),"")</f>
        <v/>
      </c>
      <c r="U117" s="105"/>
      <c r="V117" s="295" t="str">
        <f>IF(U117="","",IF(VLOOKUP(U117,'G-3 Multipliers'!$L$3:$N$6,2,FALSE)=0,"Spatial Data Missing ⚠",VLOOKUP(U117,'G-3 Multipliers'!$L$3:$N$6,2,FALSE)))</f>
        <v/>
      </c>
      <c r="W117" s="299" t="str">
        <f>IF(U117="","",IF(VLOOKUP(U117,'G-3 Multipliers'!$L$3:$N$6,3,FALSE)=0,"Spatial Data Missing ⚠",VLOOKUP(U117,'G-3 Multipliers'!$L$3:$N$6,3,FALSE)))</f>
        <v/>
      </c>
      <c r="X117" s="275" t="str">
        <f>IFERROR(IF(OR(LEFT(O117,5)="Error",LEFT(N117,5)="Error",T117="Error"),"Check Data ⚠",IF(F117&lt;R117,INDEX('G-6 Hedgerow Data'!$S$3:$AE$14,MATCH(C117,'G-6 Hedgerow Data'!$B$3:$B$14,0),MATCH(M117,'G-6 Hedgerow Data'!$S$2:$AE$2,0)),INDEX('G-6 Hedgerow Data'!$K$3:$Q$14,MATCH(M117,'G-6 Hedgerow Data'!$B$3:$B$14,0),MATCH(O117,'G-6 Hedgerow Data'!$K$2:$Q$2,0)))),"")</f>
        <v/>
      </c>
      <c r="Y117" s="133"/>
      <c r="Z117" s="133"/>
      <c r="AA117" s="283" t="str">
        <f t="shared" si="9"/>
        <v/>
      </c>
      <c r="AB117" s="296" t="str">
        <f t="shared" si="10"/>
        <v/>
      </c>
      <c r="AC117" s="297" t="str">
        <f t="shared" si="7"/>
        <v/>
      </c>
      <c r="AD117" s="311" t="str">
        <f>IF(M117="","",VLOOKUP(M117,'G-6 Hedgerow Data'!$B$3:$AG$15,31,FALSE))</f>
        <v/>
      </c>
      <c r="AE117" s="283" t="str">
        <f t="shared" si="11"/>
        <v/>
      </c>
      <c r="AF117" s="283" t="str">
        <f t="shared" si="12"/>
        <v/>
      </c>
      <c r="AG117" s="299" t="str">
        <f>IFERROR(IF(O117="","",VLOOKUP(AD117,'G-3 Multipliers'!$P$3:$Q$6,2,FALSE)),"")</f>
        <v/>
      </c>
      <c r="AH117" s="289" t="str">
        <f t="shared" si="13"/>
        <v/>
      </c>
      <c r="AI117" s="108"/>
      <c r="AJ117" s="115"/>
      <c r="AK117" s="104"/>
      <c r="AT117" s="30" t="str">
        <f>IFERROR(INDEX('G-6 Hedgerow Data'!$BJ$3:$BJ$15,MATCH(M117,'G-6 Hedgerow Data'!$B$3:$B$15,0)),"")</f>
        <v/>
      </c>
    </row>
    <row r="118" spans="2:46" ht="14">
      <c r="B118" s="305" t="str">
        <f>'B-1 On-Site Hedge Baseline'!AK116</f>
        <v/>
      </c>
      <c r="C118" s="295" t="str">
        <f>IF(B118="","",IF(ISNA(VLOOKUP($B118,'B-1 On-Site Hedge Baseline'!$B$1:$L$257,3,FALSE)),"",(VLOOKUP($B118,'B-1 On-Site Hedge Baseline'!$B$1:$L$257,3,FALSE))))</f>
        <v/>
      </c>
      <c r="D118" s="295" t="str">
        <f>IF(B118="","",IF(ISNA(VLOOKUP($B118,'B-1 On-Site Hedge Baseline'!$B$1:$L$257,4,FALSE)),"",(VLOOKUP($B118,'B-1 On-Site Hedge Baseline'!$B$1:$L$257,4,FALSE))))</f>
        <v/>
      </c>
      <c r="E118" s="295" t="str">
        <f>IF(B118="","",IF(ISNA(VLOOKUP($B118,'B-1 On-Site Hedge Baseline'!$B$1:$L$257,5,FALSE)),"",(VLOOKUP($B118,'B-1 On-Site Hedge Baseline'!$B$1:$L$257,5,FALSE))))</f>
        <v/>
      </c>
      <c r="F118" s="295" t="str">
        <f>IF(B118="","",IF(ISNA(VLOOKUP($B118,'B-1 On-Site Hedge Baseline'!$B$1:$L$257,6,FALSE)),"",(VLOOKUP($B118,'B-1 On-Site Hedge Baseline'!$B$1:$L$257,6,FALSE))))</f>
        <v/>
      </c>
      <c r="G118" s="295" t="str">
        <f>IF(B118="","",IF(ISNA(VLOOKUP($B118,'B-1 On-Site Hedge Baseline'!$B$1:$L$257,7,FALSE)),"",(VLOOKUP($B118,'B-1 On-Site Hedge Baseline'!$B$1:$L$257,7,FALSE))))</f>
        <v/>
      </c>
      <c r="H118" s="295" t="str">
        <f>IF(B118="","",IF(ISNA(VLOOKUP($B118,'B-1 On-Site Hedge Baseline'!$B$1:$L$257,8,FALSE)),"",(VLOOKUP($B118,'B-1 On-Site Hedge Baseline'!$B$1:$L$257,8,FALSE))))</f>
        <v/>
      </c>
      <c r="I118" s="295" t="str">
        <f>IF(B118="","",IF(ISNA(VLOOKUP($B118,'B-1 On-Site Hedge Baseline'!$B$1:$L$257,10,FALSE)),"",(VLOOKUP($B118,'B-1 On-Site Hedge Baseline'!$B$1:$L$257,10,FALSE))))</f>
        <v/>
      </c>
      <c r="J118" s="295" t="str">
        <f>IF(B118="","",IF(ISNA(VLOOKUP($B118,'B-1 On-Site Hedge Baseline'!$B$1:$L$257,11,FALSE)),"",(VLOOKUP($B118,'B-1 On-Site Hedge Baseline'!$B$1:$L$257,11,FALSE))))</f>
        <v/>
      </c>
      <c r="K118" s="295" t="str">
        <f>IF(B118="","",IF(ISNA(VLOOKUP($B118,'B-1 On-Site Hedge Baseline'!$B$1:$U$257,13,FALSE)),"",(VLOOKUP($B118,'B-1 On-Site Hedge Baseline'!$B$1:$U$257,13,FALSE))))</f>
        <v/>
      </c>
      <c r="L118" s="299" t="str">
        <f>IF(B118="","",IF(ISNA(VLOOKUP($B118,'B-1 On-Site Hedge Baseline'!$B$1:$U$257,12,FALSE)),"",(VLOOKUP($B118,'B-1 On-Site Hedge Baseline'!$B$1:$U$257,12,FALSE))))</f>
        <v/>
      </c>
      <c r="M118" s="611"/>
      <c r="N118" s="275" t="str">
        <f>IFERROR(IF(B118="","",INDEX('G-6 Hedgerow Data'!$AN$3:$AZ$15,MATCH(C118,'G-6 Hedgerow Data'!$AM$3:$AM$15,0),MATCH(M118,'G-6 Hedgerow Data'!$AN$2:$AZ$2,0))),"")</f>
        <v/>
      </c>
      <c r="O118" s="276" t="str">
        <f t="shared" si="8"/>
        <v/>
      </c>
      <c r="P118" s="329" t="str">
        <f>IF(B118="","",VLOOKUP(B118,'B-1 On-Site Hedge Baseline'!$B$10:T363,16,FALSE))</f>
        <v/>
      </c>
      <c r="Q118" s="275" t="str">
        <f>IF(M118="","",VLOOKUP(M118,'G-6 Hedgerow Data'!$B$2:$AG$15,2,FALSE))</f>
        <v/>
      </c>
      <c r="R118" s="276" t="str">
        <f>IF(M118="","",VLOOKUP(M118,'G-6 Hedgerow Data'!$B$2:$AG$15,3,FALSE))</f>
        <v/>
      </c>
      <c r="S118" s="108"/>
      <c r="T118" s="314" t="str">
        <f>IFERROR(IF(S118="","",IF(AND(M118="Non-native and ornamental hedgerow",S118&lt;&gt;"Poor"),"Not possible ▲",(VLOOKUP(S118,'G-1 All Habitats'!$Z$2:$AA$9,2,FALSE)))),"")</f>
        <v/>
      </c>
      <c r="U118" s="105"/>
      <c r="V118" s="295" t="str">
        <f>IF(U118="","",IF(VLOOKUP(U118,'G-3 Multipliers'!$L$3:$N$6,2,FALSE)=0,"Spatial Data Missing ⚠",VLOOKUP(U118,'G-3 Multipliers'!$L$3:$N$6,2,FALSE)))</f>
        <v/>
      </c>
      <c r="W118" s="299" t="str">
        <f>IF(U118="","",IF(VLOOKUP(U118,'G-3 Multipliers'!$L$3:$N$6,3,FALSE)=0,"Spatial Data Missing ⚠",VLOOKUP(U118,'G-3 Multipliers'!$L$3:$N$6,3,FALSE)))</f>
        <v/>
      </c>
      <c r="X118" s="275" t="str">
        <f>IFERROR(IF(OR(LEFT(O118,5)="Error",LEFT(N118,5)="Error",T118="Error"),"Check Data ⚠",IF(F118&lt;R118,INDEX('G-6 Hedgerow Data'!$S$3:$AE$14,MATCH(C118,'G-6 Hedgerow Data'!$B$3:$B$14,0),MATCH(M118,'G-6 Hedgerow Data'!$S$2:$AE$2,0)),INDEX('G-6 Hedgerow Data'!$K$3:$Q$14,MATCH(M118,'G-6 Hedgerow Data'!$B$3:$B$14,0),MATCH(O118,'G-6 Hedgerow Data'!$K$2:$Q$2,0)))),"")</f>
        <v/>
      </c>
      <c r="Y118" s="133"/>
      <c r="Z118" s="133"/>
      <c r="AA118" s="283" t="str">
        <f t="shared" si="9"/>
        <v/>
      </c>
      <c r="AB118" s="296" t="str">
        <f t="shared" si="10"/>
        <v/>
      </c>
      <c r="AC118" s="297" t="str">
        <f t="shared" si="7"/>
        <v/>
      </c>
      <c r="AD118" s="311" t="str">
        <f>IF(M118="","",VLOOKUP(M118,'G-6 Hedgerow Data'!$B$3:$AG$15,31,FALSE))</f>
        <v/>
      </c>
      <c r="AE118" s="283" t="str">
        <f t="shared" si="11"/>
        <v/>
      </c>
      <c r="AF118" s="283" t="str">
        <f t="shared" si="12"/>
        <v/>
      </c>
      <c r="AG118" s="299" t="str">
        <f>IFERROR(IF(O118="","",VLOOKUP(AD118,'G-3 Multipliers'!$P$3:$Q$6,2,FALSE)),"")</f>
        <v/>
      </c>
      <c r="AH118" s="289" t="str">
        <f t="shared" si="13"/>
        <v/>
      </c>
      <c r="AI118" s="108"/>
      <c r="AJ118" s="115"/>
      <c r="AK118" s="104"/>
      <c r="AT118" s="30" t="str">
        <f>IFERROR(INDEX('G-6 Hedgerow Data'!$BJ$3:$BJ$15,MATCH(M118,'G-6 Hedgerow Data'!$B$3:$B$15,0)),"")</f>
        <v/>
      </c>
    </row>
    <row r="119" spans="2:46" ht="14">
      <c r="B119" s="305" t="str">
        <f>'B-1 On-Site Hedge Baseline'!AK117</f>
        <v/>
      </c>
      <c r="C119" s="295" t="str">
        <f>IF(B119="","",IF(ISNA(VLOOKUP($B119,'B-1 On-Site Hedge Baseline'!$B$1:$L$257,3,FALSE)),"",(VLOOKUP($B119,'B-1 On-Site Hedge Baseline'!$B$1:$L$257,3,FALSE))))</f>
        <v/>
      </c>
      <c r="D119" s="295" t="str">
        <f>IF(B119="","",IF(ISNA(VLOOKUP($B119,'B-1 On-Site Hedge Baseline'!$B$1:$L$257,4,FALSE)),"",(VLOOKUP($B119,'B-1 On-Site Hedge Baseline'!$B$1:$L$257,4,FALSE))))</f>
        <v/>
      </c>
      <c r="E119" s="295" t="str">
        <f>IF(B119="","",IF(ISNA(VLOOKUP($B119,'B-1 On-Site Hedge Baseline'!$B$1:$L$257,5,FALSE)),"",(VLOOKUP($B119,'B-1 On-Site Hedge Baseline'!$B$1:$L$257,5,FALSE))))</f>
        <v/>
      </c>
      <c r="F119" s="295" t="str">
        <f>IF(B119="","",IF(ISNA(VLOOKUP($B119,'B-1 On-Site Hedge Baseline'!$B$1:$L$257,6,FALSE)),"",(VLOOKUP($B119,'B-1 On-Site Hedge Baseline'!$B$1:$L$257,6,FALSE))))</f>
        <v/>
      </c>
      <c r="G119" s="295" t="str">
        <f>IF(B119="","",IF(ISNA(VLOOKUP($B119,'B-1 On-Site Hedge Baseline'!$B$1:$L$257,7,FALSE)),"",(VLOOKUP($B119,'B-1 On-Site Hedge Baseline'!$B$1:$L$257,7,FALSE))))</f>
        <v/>
      </c>
      <c r="H119" s="295" t="str">
        <f>IF(B119="","",IF(ISNA(VLOOKUP($B119,'B-1 On-Site Hedge Baseline'!$B$1:$L$257,8,FALSE)),"",(VLOOKUP($B119,'B-1 On-Site Hedge Baseline'!$B$1:$L$257,8,FALSE))))</f>
        <v/>
      </c>
      <c r="I119" s="295" t="str">
        <f>IF(B119="","",IF(ISNA(VLOOKUP($B119,'B-1 On-Site Hedge Baseline'!$B$1:$L$257,10,FALSE)),"",(VLOOKUP($B119,'B-1 On-Site Hedge Baseline'!$B$1:$L$257,10,FALSE))))</f>
        <v/>
      </c>
      <c r="J119" s="295" t="str">
        <f>IF(B119="","",IF(ISNA(VLOOKUP($B119,'B-1 On-Site Hedge Baseline'!$B$1:$L$257,11,FALSE)),"",(VLOOKUP($B119,'B-1 On-Site Hedge Baseline'!$B$1:$L$257,11,FALSE))))</f>
        <v/>
      </c>
      <c r="K119" s="295" t="str">
        <f>IF(B119="","",IF(ISNA(VLOOKUP($B119,'B-1 On-Site Hedge Baseline'!$B$1:$U$257,13,FALSE)),"",(VLOOKUP($B119,'B-1 On-Site Hedge Baseline'!$B$1:$U$257,13,FALSE))))</f>
        <v/>
      </c>
      <c r="L119" s="299" t="str">
        <f>IF(B119="","",IF(ISNA(VLOOKUP($B119,'B-1 On-Site Hedge Baseline'!$B$1:$U$257,12,FALSE)),"",(VLOOKUP($B119,'B-1 On-Site Hedge Baseline'!$B$1:$U$257,12,FALSE))))</f>
        <v/>
      </c>
      <c r="M119" s="611"/>
      <c r="N119" s="275" t="str">
        <f>IFERROR(IF(B119="","",INDEX('G-6 Hedgerow Data'!$AN$3:$AZ$15,MATCH(C119,'G-6 Hedgerow Data'!$AM$3:$AM$15,0),MATCH(M119,'G-6 Hedgerow Data'!$AN$2:$AZ$2,0))),"")</f>
        <v/>
      </c>
      <c r="O119" s="276" t="str">
        <f t="shared" si="8"/>
        <v/>
      </c>
      <c r="P119" s="329" t="str">
        <f>IF(B119="","",VLOOKUP(B119,'B-1 On-Site Hedge Baseline'!$B$10:T364,16,FALSE))</f>
        <v/>
      </c>
      <c r="Q119" s="275" t="str">
        <f>IF(M119="","",VLOOKUP(M119,'G-6 Hedgerow Data'!$B$2:$AG$15,2,FALSE))</f>
        <v/>
      </c>
      <c r="R119" s="276" t="str">
        <f>IF(M119="","",VLOOKUP(M119,'G-6 Hedgerow Data'!$B$2:$AG$15,3,FALSE))</f>
        <v/>
      </c>
      <c r="S119" s="108"/>
      <c r="T119" s="314" t="str">
        <f>IFERROR(IF(S119="","",IF(AND(M119="Non-native and ornamental hedgerow",S119&lt;&gt;"Poor"),"Not possible ▲",(VLOOKUP(S119,'G-1 All Habitats'!$Z$2:$AA$9,2,FALSE)))),"")</f>
        <v/>
      </c>
      <c r="U119" s="105"/>
      <c r="V119" s="295" t="str">
        <f>IF(U119="","",IF(VLOOKUP(U119,'G-3 Multipliers'!$L$3:$N$6,2,FALSE)=0,"Spatial Data Missing ⚠",VLOOKUP(U119,'G-3 Multipliers'!$L$3:$N$6,2,FALSE)))</f>
        <v/>
      </c>
      <c r="W119" s="299" t="str">
        <f>IF(U119="","",IF(VLOOKUP(U119,'G-3 Multipliers'!$L$3:$N$6,3,FALSE)=0,"Spatial Data Missing ⚠",VLOOKUP(U119,'G-3 Multipliers'!$L$3:$N$6,3,FALSE)))</f>
        <v/>
      </c>
      <c r="X119" s="275" t="str">
        <f>IFERROR(IF(OR(LEFT(O119,5)="Error",LEFT(N119,5)="Error",T119="Error"),"Check Data ⚠",IF(F119&lt;R119,INDEX('G-6 Hedgerow Data'!$S$3:$AE$14,MATCH(C119,'G-6 Hedgerow Data'!$B$3:$B$14,0),MATCH(M119,'G-6 Hedgerow Data'!$S$2:$AE$2,0)),INDEX('G-6 Hedgerow Data'!$K$3:$Q$14,MATCH(M119,'G-6 Hedgerow Data'!$B$3:$B$14,0),MATCH(O119,'G-6 Hedgerow Data'!$K$2:$Q$2,0)))),"")</f>
        <v/>
      </c>
      <c r="Y119" s="133"/>
      <c r="Z119" s="133"/>
      <c r="AA119" s="283" t="str">
        <f t="shared" si="9"/>
        <v/>
      </c>
      <c r="AB119" s="296" t="str">
        <f t="shared" si="10"/>
        <v/>
      </c>
      <c r="AC119" s="297" t="str">
        <f t="shared" si="7"/>
        <v/>
      </c>
      <c r="AD119" s="311" t="str">
        <f>IF(M119="","",VLOOKUP(M119,'G-6 Hedgerow Data'!$B$3:$AG$15,31,FALSE))</f>
        <v/>
      </c>
      <c r="AE119" s="283" t="str">
        <f t="shared" si="11"/>
        <v/>
      </c>
      <c r="AF119" s="283" t="str">
        <f t="shared" si="12"/>
        <v/>
      </c>
      <c r="AG119" s="299" t="str">
        <f>IFERROR(IF(O119="","",VLOOKUP(AD119,'G-3 Multipliers'!$P$3:$Q$6,2,FALSE)),"")</f>
        <v/>
      </c>
      <c r="AH119" s="289" t="str">
        <f t="shared" si="13"/>
        <v/>
      </c>
      <c r="AI119" s="108"/>
      <c r="AJ119" s="115"/>
      <c r="AK119" s="104"/>
      <c r="AT119" s="30" t="str">
        <f>IFERROR(INDEX('G-6 Hedgerow Data'!$BJ$3:$BJ$15,MATCH(M119,'G-6 Hedgerow Data'!$B$3:$B$15,0)),"")</f>
        <v/>
      </c>
    </row>
    <row r="120" spans="2:46" ht="14">
      <c r="B120" s="305" t="str">
        <f>'B-1 On-Site Hedge Baseline'!AK118</f>
        <v/>
      </c>
      <c r="C120" s="295" t="str">
        <f>IF(B120="","",IF(ISNA(VLOOKUP($B120,'B-1 On-Site Hedge Baseline'!$B$1:$L$257,3,FALSE)),"",(VLOOKUP($B120,'B-1 On-Site Hedge Baseline'!$B$1:$L$257,3,FALSE))))</f>
        <v/>
      </c>
      <c r="D120" s="295" t="str">
        <f>IF(B120="","",IF(ISNA(VLOOKUP($B120,'B-1 On-Site Hedge Baseline'!$B$1:$L$257,4,FALSE)),"",(VLOOKUP($B120,'B-1 On-Site Hedge Baseline'!$B$1:$L$257,4,FALSE))))</f>
        <v/>
      </c>
      <c r="E120" s="295" t="str">
        <f>IF(B120="","",IF(ISNA(VLOOKUP($B120,'B-1 On-Site Hedge Baseline'!$B$1:$L$257,5,FALSE)),"",(VLOOKUP($B120,'B-1 On-Site Hedge Baseline'!$B$1:$L$257,5,FALSE))))</f>
        <v/>
      </c>
      <c r="F120" s="295" t="str">
        <f>IF(B120="","",IF(ISNA(VLOOKUP($B120,'B-1 On-Site Hedge Baseline'!$B$1:$L$257,6,FALSE)),"",(VLOOKUP($B120,'B-1 On-Site Hedge Baseline'!$B$1:$L$257,6,FALSE))))</f>
        <v/>
      </c>
      <c r="G120" s="295" t="str">
        <f>IF(B120="","",IF(ISNA(VLOOKUP($B120,'B-1 On-Site Hedge Baseline'!$B$1:$L$257,7,FALSE)),"",(VLOOKUP($B120,'B-1 On-Site Hedge Baseline'!$B$1:$L$257,7,FALSE))))</f>
        <v/>
      </c>
      <c r="H120" s="295" t="str">
        <f>IF(B120="","",IF(ISNA(VLOOKUP($B120,'B-1 On-Site Hedge Baseline'!$B$1:$L$257,8,FALSE)),"",(VLOOKUP($B120,'B-1 On-Site Hedge Baseline'!$B$1:$L$257,8,FALSE))))</f>
        <v/>
      </c>
      <c r="I120" s="295" t="str">
        <f>IF(B120="","",IF(ISNA(VLOOKUP($B120,'B-1 On-Site Hedge Baseline'!$B$1:$L$257,10,FALSE)),"",(VLOOKUP($B120,'B-1 On-Site Hedge Baseline'!$B$1:$L$257,10,FALSE))))</f>
        <v/>
      </c>
      <c r="J120" s="295" t="str">
        <f>IF(B120="","",IF(ISNA(VLOOKUP($B120,'B-1 On-Site Hedge Baseline'!$B$1:$L$257,11,FALSE)),"",(VLOOKUP($B120,'B-1 On-Site Hedge Baseline'!$B$1:$L$257,11,FALSE))))</f>
        <v/>
      </c>
      <c r="K120" s="295" t="str">
        <f>IF(B120="","",IF(ISNA(VLOOKUP($B120,'B-1 On-Site Hedge Baseline'!$B$1:$U$257,13,FALSE)),"",(VLOOKUP($B120,'B-1 On-Site Hedge Baseline'!$B$1:$U$257,13,FALSE))))</f>
        <v/>
      </c>
      <c r="L120" s="299" t="str">
        <f>IF(B120="","",IF(ISNA(VLOOKUP($B120,'B-1 On-Site Hedge Baseline'!$B$1:$U$257,12,FALSE)),"",(VLOOKUP($B120,'B-1 On-Site Hedge Baseline'!$B$1:$U$257,12,FALSE))))</f>
        <v/>
      </c>
      <c r="M120" s="611"/>
      <c r="N120" s="275" t="str">
        <f>IFERROR(IF(B120="","",INDEX('G-6 Hedgerow Data'!$AN$3:$AZ$15,MATCH(C120,'G-6 Hedgerow Data'!$AM$3:$AM$15,0),MATCH(M120,'G-6 Hedgerow Data'!$AN$2:$AZ$2,0))),"")</f>
        <v/>
      </c>
      <c r="O120" s="276" t="str">
        <f t="shared" si="8"/>
        <v/>
      </c>
      <c r="P120" s="329" t="str">
        <f>IF(B120="","",VLOOKUP(B120,'B-1 On-Site Hedge Baseline'!$B$10:T365,16,FALSE))</f>
        <v/>
      </c>
      <c r="Q120" s="275" t="str">
        <f>IF(M120="","",VLOOKUP(M120,'G-6 Hedgerow Data'!$B$2:$AG$15,2,FALSE))</f>
        <v/>
      </c>
      <c r="R120" s="276" t="str">
        <f>IF(M120="","",VLOOKUP(M120,'G-6 Hedgerow Data'!$B$2:$AG$15,3,FALSE))</f>
        <v/>
      </c>
      <c r="S120" s="108"/>
      <c r="T120" s="314" t="str">
        <f>IFERROR(IF(S120="","",IF(AND(M120="Non-native and ornamental hedgerow",S120&lt;&gt;"Poor"),"Not possible ▲",(VLOOKUP(S120,'G-1 All Habitats'!$Z$2:$AA$9,2,FALSE)))),"")</f>
        <v/>
      </c>
      <c r="U120" s="105"/>
      <c r="V120" s="295" t="str">
        <f>IF(U120="","",IF(VLOOKUP(U120,'G-3 Multipliers'!$L$3:$N$6,2,FALSE)=0,"Spatial Data Missing ⚠",VLOOKUP(U120,'G-3 Multipliers'!$L$3:$N$6,2,FALSE)))</f>
        <v/>
      </c>
      <c r="W120" s="299" t="str">
        <f>IF(U120="","",IF(VLOOKUP(U120,'G-3 Multipliers'!$L$3:$N$6,3,FALSE)=0,"Spatial Data Missing ⚠",VLOOKUP(U120,'G-3 Multipliers'!$L$3:$N$6,3,FALSE)))</f>
        <v/>
      </c>
      <c r="X120" s="275" t="str">
        <f>IFERROR(IF(OR(LEFT(O120,5)="Error",LEFT(N120,5)="Error",T120="Error"),"Check Data ⚠",IF(F120&lt;R120,INDEX('G-6 Hedgerow Data'!$S$3:$AE$14,MATCH(C120,'G-6 Hedgerow Data'!$B$3:$B$14,0),MATCH(M120,'G-6 Hedgerow Data'!$S$2:$AE$2,0)),INDEX('G-6 Hedgerow Data'!$K$3:$Q$14,MATCH(M120,'G-6 Hedgerow Data'!$B$3:$B$14,0),MATCH(O120,'G-6 Hedgerow Data'!$K$2:$Q$2,0)))),"")</f>
        <v/>
      </c>
      <c r="Y120" s="133"/>
      <c r="Z120" s="133"/>
      <c r="AA120" s="283" t="str">
        <f t="shared" si="9"/>
        <v/>
      </c>
      <c r="AB120" s="296" t="str">
        <f t="shared" si="10"/>
        <v/>
      </c>
      <c r="AC120" s="297" t="str">
        <f t="shared" si="7"/>
        <v/>
      </c>
      <c r="AD120" s="311" t="str">
        <f>IF(M120="","",VLOOKUP(M120,'G-6 Hedgerow Data'!$B$3:$AG$15,31,FALSE))</f>
        <v/>
      </c>
      <c r="AE120" s="283" t="str">
        <f t="shared" si="11"/>
        <v/>
      </c>
      <c r="AF120" s="283" t="str">
        <f t="shared" si="12"/>
        <v/>
      </c>
      <c r="AG120" s="299" t="str">
        <f>IFERROR(IF(O120="","",VLOOKUP(AD120,'G-3 Multipliers'!$P$3:$Q$6,2,FALSE)),"")</f>
        <v/>
      </c>
      <c r="AH120" s="289" t="str">
        <f t="shared" si="13"/>
        <v/>
      </c>
      <c r="AI120" s="108"/>
      <c r="AJ120" s="115"/>
      <c r="AK120" s="104"/>
      <c r="AT120" s="30" t="str">
        <f>IFERROR(INDEX('G-6 Hedgerow Data'!$BJ$3:$BJ$15,MATCH(M120,'G-6 Hedgerow Data'!$B$3:$B$15,0)),"")</f>
        <v/>
      </c>
    </row>
    <row r="121" spans="2:46" ht="14">
      <c r="B121" s="305" t="str">
        <f>'B-1 On-Site Hedge Baseline'!AK119</f>
        <v/>
      </c>
      <c r="C121" s="295" t="str">
        <f>IF(B121="","",IF(ISNA(VLOOKUP($B121,'B-1 On-Site Hedge Baseline'!$B$1:$L$257,3,FALSE)),"",(VLOOKUP($B121,'B-1 On-Site Hedge Baseline'!$B$1:$L$257,3,FALSE))))</f>
        <v/>
      </c>
      <c r="D121" s="295" t="str">
        <f>IF(B121="","",IF(ISNA(VLOOKUP($B121,'B-1 On-Site Hedge Baseline'!$B$1:$L$257,4,FALSE)),"",(VLOOKUP($B121,'B-1 On-Site Hedge Baseline'!$B$1:$L$257,4,FALSE))))</f>
        <v/>
      </c>
      <c r="E121" s="295" t="str">
        <f>IF(B121="","",IF(ISNA(VLOOKUP($B121,'B-1 On-Site Hedge Baseline'!$B$1:$L$257,5,FALSE)),"",(VLOOKUP($B121,'B-1 On-Site Hedge Baseline'!$B$1:$L$257,5,FALSE))))</f>
        <v/>
      </c>
      <c r="F121" s="295" t="str">
        <f>IF(B121="","",IF(ISNA(VLOOKUP($B121,'B-1 On-Site Hedge Baseline'!$B$1:$L$257,6,FALSE)),"",(VLOOKUP($B121,'B-1 On-Site Hedge Baseline'!$B$1:$L$257,6,FALSE))))</f>
        <v/>
      </c>
      <c r="G121" s="295" t="str">
        <f>IF(B121="","",IF(ISNA(VLOOKUP($B121,'B-1 On-Site Hedge Baseline'!$B$1:$L$257,7,FALSE)),"",(VLOOKUP($B121,'B-1 On-Site Hedge Baseline'!$B$1:$L$257,7,FALSE))))</f>
        <v/>
      </c>
      <c r="H121" s="295" t="str">
        <f>IF(B121="","",IF(ISNA(VLOOKUP($B121,'B-1 On-Site Hedge Baseline'!$B$1:$L$257,8,FALSE)),"",(VLOOKUP($B121,'B-1 On-Site Hedge Baseline'!$B$1:$L$257,8,FALSE))))</f>
        <v/>
      </c>
      <c r="I121" s="295" t="str">
        <f>IF(B121="","",IF(ISNA(VLOOKUP($B121,'B-1 On-Site Hedge Baseline'!$B$1:$L$257,10,FALSE)),"",(VLOOKUP($B121,'B-1 On-Site Hedge Baseline'!$B$1:$L$257,10,FALSE))))</f>
        <v/>
      </c>
      <c r="J121" s="295" t="str">
        <f>IF(B121="","",IF(ISNA(VLOOKUP($B121,'B-1 On-Site Hedge Baseline'!$B$1:$L$257,11,FALSE)),"",(VLOOKUP($B121,'B-1 On-Site Hedge Baseline'!$B$1:$L$257,11,FALSE))))</f>
        <v/>
      </c>
      <c r="K121" s="295" t="str">
        <f>IF(B121="","",IF(ISNA(VLOOKUP($B121,'B-1 On-Site Hedge Baseline'!$B$1:$U$257,13,FALSE)),"",(VLOOKUP($B121,'B-1 On-Site Hedge Baseline'!$B$1:$U$257,13,FALSE))))</f>
        <v/>
      </c>
      <c r="L121" s="299" t="str">
        <f>IF(B121="","",IF(ISNA(VLOOKUP($B121,'B-1 On-Site Hedge Baseline'!$B$1:$U$257,12,FALSE)),"",(VLOOKUP($B121,'B-1 On-Site Hedge Baseline'!$B$1:$U$257,12,FALSE))))</f>
        <v/>
      </c>
      <c r="M121" s="611"/>
      <c r="N121" s="275" t="str">
        <f>IFERROR(IF(B121="","",INDEX('G-6 Hedgerow Data'!$AN$3:$AZ$15,MATCH(C121,'G-6 Hedgerow Data'!$AM$3:$AM$15,0),MATCH(M121,'G-6 Hedgerow Data'!$AN$2:$AZ$2,0))),"")</f>
        <v/>
      </c>
      <c r="O121" s="276" t="str">
        <f t="shared" si="8"/>
        <v/>
      </c>
      <c r="P121" s="329" t="str">
        <f>IF(B121="","",VLOOKUP(B121,'B-1 On-Site Hedge Baseline'!$B$10:T366,16,FALSE))</f>
        <v/>
      </c>
      <c r="Q121" s="275" t="str">
        <f>IF(M121="","",VLOOKUP(M121,'G-6 Hedgerow Data'!$B$2:$AG$15,2,FALSE))</f>
        <v/>
      </c>
      <c r="R121" s="276" t="str">
        <f>IF(M121="","",VLOOKUP(M121,'G-6 Hedgerow Data'!$B$2:$AG$15,3,FALSE))</f>
        <v/>
      </c>
      <c r="S121" s="108"/>
      <c r="T121" s="314" t="str">
        <f>IFERROR(IF(S121="","",IF(AND(M121="Non-native and ornamental hedgerow",S121&lt;&gt;"Poor"),"Not possible ▲",(VLOOKUP(S121,'G-1 All Habitats'!$Z$2:$AA$9,2,FALSE)))),"")</f>
        <v/>
      </c>
      <c r="U121" s="105"/>
      <c r="V121" s="295" t="str">
        <f>IF(U121="","",IF(VLOOKUP(U121,'G-3 Multipliers'!$L$3:$N$6,2,FALSE)=0,"Spatial Data Missing ⚠",VLOOKUP(U121,'G-3 Multipliers'!$L$3:$N$6,2,FALSE)))</f>
        <v/>
      </c>
      <c r="W121" s="299" t="str">
        <f>IF(U121="","",IF(VLOOKUP(U121,'G-3 Multipliers'!$L$3:$N$6,3,FALSE)=0,"Spatial Data Missing ⚠",VLOOKUP(U121,'G-3 Multipliers'!$L$3:$N$6,3,FALSE)))</f>
        <v/>
      </c>
      <c r="X121" s="275" t="str">
        <f>IFERROR(IF(OR(LEFT(O121,5)="Error",LEFT(N121,5)="Error",T121="Error"),"Check Data ⚠",IF(F121&lt;R121,INDEX('G-6 Hedgerow Data'!$S$3:$AE$14,MATCH(C121,'G-6 Hedgerow Data'!$B$3:$B$14,0),MATCH(M121,'G-6 Hedgerow Data'!$S$2:$AE$2,0)),INDEX('G-6 Hedgerow Data'!$K$3:$Q$14,MATCH(M121,'G-6 Hedgerow Data'!$B$3:$B$14,0),MATCH(O121,'G-6 Hedgerow Data'!$K$2:$Q$2,0)))),"")</f>
        <v/>
      </c>
      <c r="Y121" s="133"/>
      <c r="Z121" s="133"/>
      <c r="AA121" s="283" t="str">
        <f t="shared" si="9"/>
        <v/>
      </c>
      <c r="AB121" s="296" t="str">
        <f t="shared" si="10"/>
        <v/>
      </c>
      <c r="AC121" s="297" t="str">
        <f t="shared" si="7"/>
        <v/>
      </c>
      <c r="AD121" s="311" t="str">
        <f>IF(M121="","",VLOOKUP(M121,'G-6 Hedgerow Data'!$B$3:$AG$15,31,FALSE))</f>
        <v/>
      </c>
      <c r="AE121" s="283" t="str">
        <f t="shared" si="11"/>
        <v/>
      </c>
      <c r="AF121" s="283" t="str">
        <f t="shared" si="12"/>
        <v/>
      </c>
      <c r="AG121" s="299" t="str">
        <f>IFERROR(IF(O121="","",VLOOKUP(AD121,'G-3 Multipliers'!$P$3:$Q$6,2,FALSE)),"")</f>
        <v/>
      </c>
      <c r="AH121" s="289" t="str">
        <f t="shared" si="13"/>
        <v/>
      </c>
      <c r="AI121" s="108"/>
      <c r="AJ121" s="115"/>
      <c r="AK121" s="104"/>
      <c r="AT121" s="30" t="str">
        <f>IFERROR(INDEX('G-6 Hedgerow Data'!$BJ$3:$BJ$15,MATCH(M121,'G-6 Hedgerow Data'!$B$3:$B$15,0)),"")</f>
        <v/>
      </c>
    </row>
    <row r="122" spans="2:46" ht="14">
      <c r="B122" s="305" t="str">
        <f>'B-1 On-Site Hedge Baseline'!AK120</f>
        <v/>
      </c>
      <c r="C122" s="295" t="str">
        <f>IF(B122="","",IF(ISNA(VLOOKUP($B122,'B-1 On-Site Hedge Baseline'!$B$1:$L$257,3,FALSE)),"",(VLOOKUP($B122,'B-1 On-Site Hedge Baseline'!$B$1:$L$257,3,FALSE))))</f>
        <v/>
      </c>
      <c r="D122" s="295" t="str">
        <f>IF(B122="","",IF(ISNA(VLOOKUP($B122,'B-1 On-Site Hedge Baseline'!$B$1:$L$257,4,FALSE)),"",(VLOOKUP($B122,'B-1 On-Site Hedge Baseline'!$B$1:$L$257,4,FALSE))))</f>
        <v/>
      </c>
      <c r="E122" s="295" t="str">
        <f>IF(B122="","",IF(ISNA(VLOOKUP($B122,'B-1 On-Site Hedge Baseline'!$B$1:$L$257,5,FALSE)),"",(VLOOKUP($B122,'B-1 On-Site Hedge Baseline'!$B$1:$L$257,5,FALSE))))</f>
        <v/>
      </c>
      <c r="F122" s="295" t="str">
        <f>IF(B122="","",IF(ISNA(VLOOKUP($B122,'B-1 On-Site Hedge Baseline'!$B$1:$L$257,6,FALSE)),"",(VLOOKUP($B122,'B-1 On-Site Hedge Baseline'!$B$1:$L$257,6,FALSE))))</f>
        <v/>
      </c>
      <c r="G122" s="295" t="str">
        <f>IF(B122="","",IF(ISNA(VLOOKUP($B122,'B-1 On-Site Hedge Baseline'!$B$1:$L$257,7,FALSE)),"",(VLOOKUP($B122,'B-1 On-Site Hedge Baseline'!$B$1:$L$257,7,FALSE))))</f>
        <v/>
      </c>
      <c r="H122" s="295" t="str">
        <f>IF(B122="","",IF(ISNA(VLOOKUP($B122,'B-1 On-Site Hedge Baseline'!$B$1:$L$257,8,FALSE)),"",(VLOOKUP($B122,'B-1 On-Site Hedge Baseline'!$B$1:$L$257,8,FALSE))))</f>
        <v/>
      </c>
      <c r="I122" s="295" t="str">
        <f>IF(B122="","",IF(ISNA(VLOOKUP($B122,'B-1 On-Site Hedge Baseline'!$B$1:$L$257,10,FALSE)),"",(VLOOKUP($B122,'B-1 On-Site Hedge Baseline'!$B$1:$L$257,10,FALSE))))</f>
        <v/>
      </c>
      <c r="J122" s="295" t="str">
        <f>IF(B122="","",IF(ISNA(VLOOKUP($B122,'B-1 On-Site Hedge Baseline'!$B$1:$L$257,11,FALSE)),"",(VLOOKUP($B122,'B-1 On-Site Hedge Baseline'!$B$1:$L$257,11,FALSE))))</f>
        <v/>
      </c>
      <c r="K122" s="295" t="str">
        <f>IF(B122="","",IF(ISNA(VLOOKUP($B122,'B-1 On-Site Hedge Baseline'!$B$1:$U$257,13,FALSE)),"",(VLOOKUP($B122,'B-1 On-Site Hedge Baseline'!$B$1:$U$257,13,FALSE))))</f>
        <v/>
      </c>
      <c r="L122" s="299" t="str">
        <f>IF(B122="","",IF(ISNA(VLOOKUP($B122,'B-1 On-Site Hedge Baseline'!$B$1:$U$257,12,FALSE)),"",(VLOOKUP($B122,'B-1 On-Site Hedge Baseline'!$B$1:$U$257,12,FALSE))))</f>
        <v/>
      </c>
      <c r="M122" s="611"/>
      <c r="N122" s="275" t="str">
        <f>IFERROR(IF(B122="","",INDEX('G-6 Hedgerow Data'!$AN$3:$AZ$15,MATCH(C122,'G-6 Hedgerow Data'!$AM$3:$AM$15,0),MATCH(M122,'G-6 Hedgerow Data'!$AN$2:$AZ$2,0))),"")</f>
        <v/>
      </c>
      <c r="O122" s="276" t="str">
        <f t="shared" si="8"/>
        <v/>
      </c>
      <c r="P122" s="329" t="str">
        <f>IF(B122="","",VLOOKUP(B122,'B-1 On-Site Hedge Baseline'!$B$10:T367,16,FALSE))</f>
        <v/>
      </c>
      <c r="Q122" s="275" t="str">
        <f>IF(M122="","",VLOOKUP(M122,'G-6 Hedgerow Data'!$B$2:$AG$15,2,FALSE))</f>
        <v/>
      </c>
      <c r="R122" s="276" t="str">
        <f>IF(M122="","",VLOOKUP(M122,'G-6 Hedgerow Data'!$B$2:$AG$15,3,FALSE))</f>
        <v/>
      </c>
      <c r="S122" s="108"/>
      <c r="T122" s="314" t="str">
        <f>IFERROR(IF(S122="","",IF(AND(M122="Non-native and ornamental hedgerow",S122&lt;&gt;"Poor"),"Not possible ▲",(VLOOKUP(S122,'G-1 All Habitats'!$Z$2:$AA$9,2,FALSE)))),"")</f>
        <v/>
      </c>
      <c r="U122" s="105"/>
      <c r="V122" s="295" t="str">
        <f>IF(U122="","",IF(VLOOKUP(U122,'G-3 Multipliers'!$L$3:$N$6,2,FALSE)=0,"Spatial Data Missing ⚠",VLOOKUP(U122,'G-3 Multipliers'!$L$3:$N$6,2,FALSE)))</f>
        <v/>
      </c>
      <c r="W122" s="299" t="str">
        <f>IF(U122="","",IF(VLOOKUP(U122,'G-3 Multipliers'!$L$3:$N$6,3,FALSE)=0,"Spatial Data Missing ⚠",VLOOKUP(U122,'G-3 Multipliers'!$L$3:$N$6,3,FALSE)))</f>
        <v/>
      </c>
      <c r="X122" s="275" t="str">
        <f>IFERROR(IF(OR(LEFT(O122,5)="Error",LEFT(N122,5)="Error",T122="Error"),"Check Data ⚠",IF(F122&lt;R122,INDEX('G-6 Hedgerow Data'!$S$3:$AE$14,MATCH(C122,'G-6 Hedgerow Data'!$B$3:$B$14,0),MATCH(M122,'G-6 Hedgerow Data'!$S$2:$AE$2,0)),INDEX('G-6 Hedgerow Data'!$K$3:$Q$14,MATCH(M122,'G-6 Hedgerow Data'!$B$3:$B$14,0),MATCH(O122,'G-6 Hedgerow Data'!$K$2:$Q$2,0)))),"")</f>
        <v/>
      </c>
      <c r="Y122" s="133"/>
      <c r="Z122" s="133"/>
      <c r="AA122" s="283" t="str">
        <f t="shared" si="9"/>
        <v/>
      </c>
      <c r="AB122" s="296" t="str">
        <f t="shared" si="10"/>
        <v/>
      </c>
      <c r="AC122" s="297" t="str">
        <f t="shared" si="7"/>
        <v/>
      </c>
      <c r="AD122" s="311" t="str">
        <f>IF(M122="","",VLOOKUP(M122,'G-6 Hedgerow Data'!$B$3:$AG$15,31,FALSE))</f>
        <v/>
      </c>
      <c r="AE122" s="283" t="str">
        <f t="shared" si="11"/>
        <v/>
      </c>
      <c r="AF122" s="283" t="str">
        <f t="shared" si="12"/>
        <v/>
      </c>
      <c r="AG122" s="299" t="str">
        <f>IFERROR(IF(O122="","",VLOOKUP(AD122,'G-3 Multipliers'!$P$3:$Q$6,2,FALSE)),"")</f>
        <v/>
      </c>
      <c r="AH122" s="289" t="str">
        <f t="shared" si="13"/>
        <v/>
      </c>
      <c r="AI122" s="108"/>
      <c r="AJ122" s="115"/>
      <c r="AK122" s="104"/>
      <c r="AT122" s="30" t="str">
        <f>IFERROR(INDEX('G-6 Hedgerow Data'!$BJ$3:$BJ$15,MATCH(M122,'G-6 Hedgerow Data'!$B$3:$B$15,0)),"")</f>
        <v/>
      </c>
    </row>
    <row r="123" spans="2:46" ht="14">
      <c r="B123" s="305" t="str">
        <f>'B-1 On-Site Hedge Baseline'!AK121</f>
        <v/>
      </c>
      <c r="C123" s="295" t="str">
        <f>IF(B123="","",IF(ISNA(VLOOKUP($B123,'B-1 On-Site Hedge Baseline'!$B$1:$L$257,3,FALSE)),"",(VLOOKUP($B123,'B-1 On-Site Hedge Baseline'!$B$1:$L$257,3,FALSE))))</f>
        <v/>
      </c>
      <c r="D123" s="295" t="str">
        <f>IF(B123="","",IF(ISNA(VLOOKUP($B123,'B-1 On-Site Hedge Baseline'!$B$1:$L$257,4,FALSE)),"",(VLOOKUP($B123,'B-1 On-Site Hedge Baseline'!$B$1:$L$257,4,FALSE))))</f>
        <v/>
      </c>
      <c r="E123" s="295" t="str">
        <f>IF(B123="","",IF(ISNA(VLOOKUP($B123,'B-1 On-Site Hedge Baseline'!$B$1:$L$257,5,FALSE)),"",(VLOOKUP($B123,'B-1 On-Site Hedge Baseline'!$B$1:$L$257,5,FALSE))))</f>
        <v/>
      </c>
      <c r="F123" s="295" t="str">
        <f>IF(B123="","",IF(ISNA(VLOOKUP($B123,'B-1 On-Site Hedge Baseline'!$B$1:$L$257,6,FALSE)),"",(VLOOKUP($B123,'B-1 On-Site Hedge Baseline'!$B$1:$L$257,6,FALSE))))</f>
        <v/>
      </c>
      <c r="G123" s="295" t="str">
        <f>IF(B123="","",IF(ISNA(VLOOKUP($B123,'B-1 On-Site Hedge Baseline'!$B$1:$L$257,7,FALSE)),"",(VLOOKUP($B123,'B-1 On-Site Hedge Baseline'!$B$1:$L$257,7,FALSE))))</f>
        <v/>
      </c>
      <c r="H123" s="295" t="str">
        <f>IF(B123="","",IF(ISNA(VLOOKUP($B123,'B-1 On-Site Hedge Baseline'!$B$1:$L$257,8,FALSE)),"",(VLOOKUP($B123,'B-1 On-Site Hedge Baseline'!$B$1:$L$257,8,FALSE))))</f>
        <v/>
      </c>
      <c r="I123" s="295" t="str">
        <f>IF(B123="","",IF(ISNA(VLOOKUP($B123,'B-1 On-Site Hedge Baseline'!$B$1:$L$257,10,FALSE)),"",(VLOOKUP($B123,'B-1 On-Site Hedge Baseline'!$B$1:$L$257,10,FALSE))))</f>
        <v/>
      </c>
      <c r="J123" s="295" t="str">
        <f>IF(B123="","",IF(ISNA(VLOOKUP($B123,'B-1 On-Site Hedge Baseline'!$B$1:$L$257,11,FALSE)),"",(VLOOKUP($B123,'B-1 On-Site Hedge Baseline'!$B$1:$L$257,11,FALSE))))</f>
        <v/>
      </c>
      <c r="K123" s="295" t="str">
        <f>IF(B123="","",IF(ISNA(VLOOKUP($B123,'B-1 On-Site Hedge Baseline'!$B$1:$U$257,13,FALSE)),"",(VLOOKUP($B123,'B-1 On-Site Hedge Baseline'!$B$1:$U$257,13,FALSE))))</f>
        <v/>
      </c>
      <c r="L123" s="299" t="str">
        <f>IF(B123="","",IF(ISNA(VLOOKUP($B123,'B-1 On-Site Hedge Baseline'!$B$1:$U$257,12,FALSE)),"",(VLOOKUP($B123,'B-1 On-Site Hedge Baseline'!$B$1:$U$257,12,FALSE))))</f>
        <v/>
      </c>
      <c r="M123" s="611"/>
      <c r="N123" s="275" t="str">
        <f>IFERROR(IF(B123="","",INDEX('G-6 Hedgerow Data'!$AN$3:$AZ$15,MATCH(C123,'G-6 Hedgerow Data'!$AM$3:$AM$15,0),MATCH(M123,'G-6 Hedgerow Data'!$AN$2:$AZ$2,0))),"")</f>
        <v/>
      </c>
      <c r="O123" s="276" t="str">
        <f t="shared" si="8"/>
        <v/>
      </c>
      <c r="P123" s="329" t="str">
        <f>IF(B123="","",VLOOKUP(B123,'B-1 On-Site Hedge Baseline'!$B$10:T368,16,FALSE))</f>
        <v/>
      </c>
      <c r="Q123" s="275" t="str">
        <f>IF(M123="","",VLOOKUP(M123,'G-6 Hedgerow Data'!$B$2:$AG$15,2,FALSE))</f>
        <v/>
      </c>
      <c r="R123" s="276" t="str">
        <f>IF(M123="","",VLOOKUP(M123,'G-6 Hedgerow Data'!$B$2:$AG$15,3,FALSE))</f>
        <v/>
      </c>
      <c r="S123" s="108"/>
      <c r="T123" s="314" t="str">
        <f>IFERROR(IF(S123="","",IF(AND(M123="Non-native and ornamental hedgerow",S123&lt;&gt;"Poor"),"Not possible ▲",(VLOOKUP(S123,'G-1 All Habitats'!$Z$2:$AA$9,2,FALSE)))),"")</f>
        <v/>
      </c>
      <c r="U123" s="105"/>
      <c r="V123" s="295" t="str">
        <f>IF(U123="","",IF(VLOOKUP(U123,'G-3 Multipliers'!$L$3:$N$6,2,FALSE)=0,"Spatial Data Missing ⚠",VLOOKUP(U123,'G-3 Multipliers'!$L$3:$N$6,2,FALSE)))</f>
        <v/>
      </c>
      <c r="W123" s="299" t="str">
        <f>IF(U123="","",IF(VLOOKUP(U123,'G-3 Multipliers'!$L$3:$N$6,3,FALSE)=0,"Spatial Data Missing ⚠",VLOOKUP(U123,'G-3 Multipliers'!$L$3:$N$6,3,FALSE)))</f>
        <v/>
      </c>
      <c r="X123" s="275" t="str">
        <f>IFERROR(IF(OR(LEFT(O123,5)="Error",LEFT(N123,5)="Error",T123="Error"),"Check Data ⚠",IF(F123&lt;R123,INDEX('G-6 Hedgerow Data'!$S$3:$AE$14,MATCH(C123,'G-6 Hedgerow Data'!$B$3:$B$14,0),MATCH(M123,'G-6 Hedgerow Data'!$S$2:$AE$2,0)),INDEX('G-6 Hedgerow Data'!$K$3:$Q$14,MATCH(M123,'G-6 Hedgerow Data'!$B$3:$B$14,0),MATCH(O123,'G-6 Hedgerow Data'!$K$2:$Q$2,0)))),"")</f>
        <v/>
      </c>
      <c r="Y123" s="133"/>
      <c r="Z123" s="133"/>
      <c r="AA123" s="283" t="str">
        <f t="shared" si="9"/>
        <v/>
      </c>
      <c r="AB123" s="296" t="str">
        <f t="shared" si="10"/>
        <v/>
      </c>
      <c r="AC123" s="297" t="str">
        <f t="shared" si="7"/>
        <v/>
      </c>
      <c r="AD123" s="311" t="str">
        <f>IF(M123="","",VLOOKUP(M123,'G-6 Hedgerow Data'!$B$3:$AG$15,31,FALSE))</f>
        <v/>
      </c>
      <c r="AE123" s="283" t="str">
        <f t="shared" si="11"/>
        <v/>
      </c>
      <c r="AF123" s="283" t="str">
        <f t="shared" si="12"/>
        <v/>
      </c>
      <c r="AG123" s="299" t="str">
        <f>IFERROR(IF(O123="","",VLOOKUP(AD123,'G-3 Multipliers'!$P$3:$Q$6,2,FALSE)),"")</f>
        <v/>
      </c>
      <c r="AH123" s="289" t="str">
        <f t="shared" si="13"/>
        <v/>
      </c>
      <c r="AI123" s="108"/>
      <c r="AJ123" s="115"/>
      <c r="AK123" s="104"/>
      <c r="AT123" s="30" t="str">
        <f>IFERROR(INDEX('G-6 Hedgerow Data'!$BJ$3:$BJ$15,MATCH(M123,'G-6 Hedgerow Data'!$B$3:$B$15,0)),"")</f>
        <v/>
      </c>
    </row>
    <row r="124" spans="2:46" ht="14">
      <c r="B124" s="305" t="str">
        <f>'B-1 On-Site Hedge Baseline'!AK122</f>
        <v/>
      </c>
      <c r="C124" s="295" t="str">
        <f>IF(B124="","",IF(ISNA(VLOOKUP($B124,'B-1 On-Site Hedge Baseline'!$B$1:$L$257,3,FALSE)),"",(VLOOKUP($B124,'B-1 On-Site Hedge Baseline'!$B$1:$L$257,3,FALSE))))</f>
        <v/>
      </c>
      <c r="D124" s="295" t="str">
        <f>IF(B124="","",IF(ISNA(VLOOKUP($B124,'B-1 On-Site Hedge Baseline'!$B$1:$L$257,4,FALSE)),"",(VLOOKUP($B124,'B-1 On-Site Hedge Baseline'!$B$1:$L$257,4,FALSE))))</f>
        <v/>
      </c>
      <c r="E124" s="295" t="str">
        <f>IF(B124="","",IF(ISNA(VLOOKUP($B124,'B-1 On-Site Hedge Baseline'!$B$1:$L$257,5,FALSE)),"",(VLOOKUP($B124,'B-1 On-Site Hedge Baseline'!$B$1:$L$257,5,FALSE))))</f>
        <v/>
      </c>
      <c r="F124" s="295" t="str">
        <f>IF(B124="","",IF(ISNA(VLOOKUP($B124,'B-1 On-Site Hedge Baseline'!$B$1:$L$257,6,FALSE)),"",(VLOOKUP($B124,'B-1 On-Site Hedge Baseline'!$B$1:$L$257,6,FALSE))))</f>
        <v/>
      </c>
      <c r="G124" s="295" t="str">
        <f>IF(B124="","",IF(ISNA(VLOOKUP($B124,'B-1 On-Site Hedge Baseline'!$B$1:$L$257,7,FALSE)),"",(VLOOKUP($B124,'B-1 On-Site Hedge Baseline'!$B$1:$L$257,7,FALSE))))</f>
        <v/>
      </c>
      <c r="H124" s="295" t="str">
        <f>IF(B124="","",IF(ISNA(VLOOKUP($B124,'B-1 On-Site Hedge Baseline'!$B$1:$L$257,8,FALSE)),"",(VLOOKUP($B124,'B-1 On-Site Hedge Baseline'!$B$1:$L$257,8,FALSE))))</f>
        <v/>
      </c>
      <c r="I124" s="295" t="str">
        <f>IF(B124="","",IF(ISNA(VLOOKUP($B124,'B-1 On-Site Hedge Baseline'!$B$1:$L$257,10,FALSE)),"",(VLOOKUP($B124,'B-1 On-Site Hedge Baseline'!$B$1:$L$257,10,FALSE))))</f>
        <v/>
      </c>
      <c r="J124" s="295" t="str">
        <f>IF(B124="","",IF(ISNA(VLOOKUP($B124,'B-1 On-Site Hedge Baseline'!$B$1:$L$257,11,FALSE)),"",(VLOOKUP($B124,'B-1 On-Site Hedge Baseline'!$B$1:$L$257,11,FALSE))))</f>
        <v/>
      </c>
      <c r="K124" s="295" t="str">
        <f>IF(B124="","",IF(ISNA(VLOOKUP($B124,'B-1 On-Site Hedge Baseline'!$B$1:$U$257,13,FALSE)),"",(VLOOKUP($B124,'B-1 On-Site Hedge Baseline'!$B$1:$U$257,13,FALSE))))</f>
        <v/>
      </c>
      <c r="L124" s="299" t="str">
        <f>IF(B124="","",IF(ISNA(VLOOKUP($B124,'B-1 On-Site Hedge Baseline'!$B$1:$U$257,12,FALSE)),"",(VLOOKUP($B124,'B-1 On-Site Hedge Baseline'!$B$1:$U$257,12,FALSE))))</f>
        <v/>
      </c>
      <c r="M124" s="611"/>
      <c r="N124" s="275" t="str">
        <f>IFERROR(IF(B124="","",INDEX('G-6 Hedgerow Data'!$AN$3:$AZ$15,MATCH(C124,'G-6 Hedgerow Data'!$AM$3:$AM$15,0),MATCH(M124,'G-6 Hedgerow Data'!$AN$2:$AZ$2,0))),"")</f>
        <v/>
      </c>
      <c r="O124" s="276" t="str">
        <f t="shared" si="8"/>
        <v/>
      </c>
      <c r="P124" s="329" t="str">
        <f>IF(B124="","",VLOOKUP(B124,'B-1 On-Site Hedge Baseline'!$B$10:T369,16,FALSE))</f>
        <v/>
      </c>
      <c r="Q124" s="275" t="str">
        <f>IF(M124="","",VLOOKUP(M124,'G-6 Hedgerow Data'!$B$2:$AG$15,2,FALSE))</f>
        <v/>
      </c>
      <c r="R124" s="276" t="str">
        <f>IF(M124="","",VLOOKUP(M124,'G-6 Hedgerow Data'!$B$2:$AG$15,3,FALSE))</f>
        <v/>
      </c>
      <c r="S124" s="108"/>
      <c r="T124" s="314" t="str">
        <f>IFERROR(IF(S124="","",IF(AND(M124="Non-native and ornamental hedgerow",S124&lt;&gt;"Poor"),"Not possible ▲",(VLOOKUP(S124,'G-1 All Habitats'!$Z$2:$AA$9,2,FALSE)))),"")</f>
        <v/>
      </c>
      <c r="U124" s="105"/>
      <c r="V124" s="295" t="str">
        <f>IF(U124="","",IF(VLOOKUP(U124,'G-3 Multipliers'!$L$3:$N$6,2,FALSE)=0,"Spatial Data Missing ⚠",VLOOKUP(U124,'G-3 Multipliers'!$L$3:$N$6,2,FALSE)))</f>
        <v/>
      </c>
      <c r="W124" s="299" t="str">
        <f>IF(U124="","",IF(VLOOKUP(U124,'G-3 Multipliers'!$L$3:$N$6,3,FALSE)=0,"Spatial Data Missing ⚠",VLOOKUP(U124,'G-3 Multipliers'!$L$3:$N$6,3,FALSE)))</f>
        <v/>
      </c>
      <c r="X124" s="275" t="str">
        <f>IFERROR(IF(OR(LEFT(O124,5)="Error",LEFT(N124,5)="Error",T124="Error"),"Check Data ⚠",IF(F124&lt;R124,INDEX('G-6 Hedgerow Data'!$S$3:$AE$14,MATCH(C124,'G-6 Hedgerow Data'!$B$3:$B$14,0),MATCH(M124,'G-6 Hedgerow Data'!$S$2:$AE$2,0)),INDEX('G-6 Hedgerow Data'!$K$3:$Q$14,MATCH(M124,'G-6 Hedgerow Data'!$B$3:$B$14,0),MATCH(O124,'G-6 Hedgerow Data'!$K$2:$Q$2,0)))),"")</f>
        <v/>
      </c>
      <c r="Y124" s="133"/>
      <c r="Z124" s="133"/>
      <c r="AA124" s="283" t="str">
        <f t="shared" si="9"/>
        <v/>
      </c>
      <c r="AB124" s="296" t="str">
        <f t="shared" si="10"/>
        <v/>
      </c>
      <c r="AC124" s="297" t="str">
        <f t="shared" si="7"/>
        <v/>
      </c>
      <c r="AD124" s="311" t="str">
        <f>IF(M124="","",VLOOKUP(M124,'G-6 Hedgerow Data'!$B$3:$AG$15,31,FALSE))</f>
        <v/>
      </c>
      <c r="AE124" s="283" t="str">
        <f t="shared" si="11"/>
        <v/>
      </c>
      <c r="AF124" s="283" t="str">
        <f t="shared" si="12"/>
        <v/>
      </c>
      <c r="AG124" s="299" t="str">
        <f>IFERROR(IF(O124="","",VLOOKUP(AD124,'G-3 Multipliers'!$P$3:$Q$6,2,FALSE)),"")</f>
        <v/>
      </c>
      <c r="AH124" s="289" t="str">
        <f t="shared" si="13"/>
        <v/>
      </c>
      <c r="AI124" s="108"/>
      <c r="AJ124" s="115"/>
      <c r="AK124" s="104"/>
      <c r="AT124" s="30" t="str">
        <f>IFERROR(INDEX('G-6 Hedgerow Data'!$BJ$3:$BJ$15,MATCH(M124,'G-6 Hedgerow Data'!$B$3:$B$15,0)),"")</f>
        <v/>
      </c>
    </row>
    <row r="125" spans="2:46" ht="14">
      <c r="B125" s="305" t="str">
        <f>'B-1 On-Site Hedge Baseline'!AK123</f>
        <v/>
      </c>
      <c r="C125" s="295" t="str">
        <f>IF(B125="","",IF(ISNA(VLOOKUP($B125,'B-1 On-Site Hedge Baseline'!$B$1:$L$257,3,FALSE)),"",(VLOOKUP($B125,'B-1 On-Site Hedge Baseline'!$B$1:$L$257,3,FALSE))))</f>
        <v/>
      </c>
      <c r="D125" s="295" t="str">
        <f>IF(B125="","",IF(ISNA(VLOOKUP($B125,'B-1 On-Site Hedge Baseline'!$B$1:$L$257,4,FALSE)),"",(VLOOKUP($B125,'B-1 On-Site Hedge Baseline'!$B$1:$L$257,4,FALSE))))</f>
        <v/>
      </c>
      <c r="E125" s="295" t="str">
        <f>IF(B125="","",IF(ISNA(VLOOKUP($B125,'B-1 On-Site Hedge Baseline'!$B$1:$L$257,5,FALSE)),"",(VLOOKUP($B125,'B-1 On-Site Hedge Baseline'!$B$1:$L$257,5,FALSE))))</f>
        <v/>
      </c>
      <c r="F125" s="295" t="str">
        <f>IF(B125="","",IF(ISNA(VLOOKUP($B125,'B-1 On-Site Hedge Baseline'!$B$1:$L$257,6,FALSE)),"",(VLOOKUP($B125,'B-1 On-Site Hedge Baseline'!$B$1:$L$257,6,FALSE))))</f>
        <v/>
      </c>
      <c r="G125" s="295" t="str">
        <f>IF(B125="","",IF(ISNA(VLOOKUP($B125,'B-1 On-Site Hedge Baseline'!$B$1:$L$257,7,FALSE)),"",(VLOOKUP($B125,'B-1 On-Site Hedge Baseline'!$B$1:$L$257,7,FALSE))))</f>
        <v/>
      </c>
      <c r="H125" s="295" t="str">
        <f>IF(B125="","",IF(ISNA(VLOOKUP($B125,'B-1 On-Site Hedge Baseline'!$B$1:$L$257,8,FALSE)),"",(VLOOKUP($B125,'B-1 On-Site Hedge Baseline'!$B$1:$L$257,8,FALSE))))</f>
        <v/>
      </c>
      <c r="I125" s="295" t="str">
        <f>IF(B125="","",IF(ISNA(VLOOKUP($B125,'B-1 On-Site Hedge Baseline'!$B$1:$L$257,10,FALSE)),"",(VLOOKUP($B125,'B-1 On-Site Hedge Baseline'!$B$1:$L$257,10,FALSE))))</f>
        <v/>
      </c>
      <c r="J125" s="295" t="str">
        <f>IF(B125="","",IF(ISNA(VLOOKUP($B125,'B-1 On-Site Hedge Baseline'!$B$1:$L$257,11,FALSE)),"",(VLOOKUP($B125,'B-1 On-Site Hedge Baseline'!$B$1:$L$257,11,FALSE))))</f>
        <v/>
      </c>
      <c r="K125" s="295" t="str">
        <f>IF(B125="","",IF(ISNA(VLOOKUP($B125,'B-1 On-Site Hedge Baseline'!$B$1:$U$257,13,FALSE)),"",(VLOOKUP($B125,'B-1 On-Site Hedge Baseline'!$B$1:$U$257,13,FALSE))))</f>
        <v/>
      </c>
      <c r="L125" s="299" t="str">
        <f>IF(B125="","",IF(ISNA(VLOOKUP($B125,'B-1 On-Site Hedge Baseline'!$B$1:$U$257,12,FALSE)),"",(VLOOKUP($B125,'B-1 On-Site Hedge Baseline'!$B$1:$U$257,12,FALSE))))</f>
        <v/>
      </c>
      <c r="M125" s="611"/>
      <c r="N125" s="275" t="str">
        <f>IFERROR(IF(B125="","",INDEX('G-6 Hedgerow Data'!$AN$3:$AZ$15,MATCH(C125,'G-6 Hedgerow Data'!$AM$3:$AM$15,0),MATCH(M125,'G-6 Hedgerow Data'!$AN$2:$AZ$2,0))),"")</f>
        <v/>
      </c>
      <c r="O125" s="276" t="str">
        <f t="shared" si="8"/>
        <v/>
      </c>
      <c r="P125" s="329" t="str">
        <f>IF(B125="","",VLOOKUP(B125,'B-1 On-Site Hedge Baseline'!$B$10:T370,16,FALSE))</f>
        <v/>
      </c>
      <c r="Q125" s="275" t="str">
        <f>IF(M125="","",VLOOKUP(M125,'G-6 Hedgerow Data'!$B$2:$AG$15,2,FALSE))</f>
        <v/>
      </c>
      <c r="R125" s="276" t="str">
        <f>IF(M125="","",VLOOKUP(M125,'G-6 Hedgerow Data'!$B$2:$AG$15,3,FALSE))</f>
        <v/>
      </c>
      <c r="S125" s="108"/>
      <c r="T125" s="314" t="str">
        <f>IFERROR(IF(S125="","",IF(AND(M125="Non-native and ornamental hedgerow",S125&lt;&gt;"Poor"),"Not possible ▲",(VLOOKUP(S125,'G-1 All Habitats'!$Z$2:$AA$9,2,FALSE)))),"")</f>
        <v/>
      </c>
      <c r="U125" s="105"/>
      <c r="V125" s="295" t="str">
        <f>IF(U125="","",IF(VLOOKUP(U125,'G-3 Multipliers'!$L$3:$N$6,2,FALSE)=0,"Spatial Data Missing ⚠",VLOOKUP(U125,'G-3 Multipliers'!$L$3:$N$6,2,FALSE)))</f>
        <v/>
      </c>
      <c r="W125" s="299" t="str">
        <f>IF(U125="","",IF(VLOOKUP(U125,'G-3 Multipliers'!$L$3:$N$6,3,FALSE)=0,"Spatial Data Missing ⚠",VLOOKUP(U125,'G-3 Multipliers'!$L$3:$N$6,3,FALSE)))</f>
        <v/>
      </c>
      <c r="X125" s="275" t="str">
        <f>IFERROR(IF(OR(LEFT(O125,5)="Error",LEFT(N125,5)="Error",T125="Error"),"Check Data ⚠",IF(F125&lt;R125,INDEX('G-6 Hedgerow Data'!$S$3:$AE$14,MATCH(C125,'G-6 Hedgerow Data'!$B$3:$B$14,0),MATCH(M125,'G-6 Hedgerow Data'!$S$2:$AE$2,0)),INDEX('G-6 Hedgerow Data'!$K$3:$Q$14,MATCH(M125,'G-6 Hedgerow Data'!$B$3:$B$14,0),MATCH(O125,'G-6 Hedgerow Data'!$K$2:$Q$2,0)))),"")</f>
        <v/>
      </c>
      <c r="Y125" s="133"/>
      <c r="Z125" s="133"/>
      <c r="AA125" s="283" t="str">
        <f t="shared" si="9"/>
        <v/>
      </c>
      <c r="AB125" s="296" t="str">
        <f t="shared" si="10"/>
        <v/>
      </c>
      <c r="AC125" s="297" t="str">
        <f t="shared" si="7"/>
        <v/>
      </c>
      <c r="AD125" s="311" t="str">
        <f>IF(M125="","",VLOOKUP(M125,'G-6 Hedgerow Data'!$B$3:$AG$15,31,FALSE))</f>
        <v/>
      </c>
      <c r="AE125" s="283" t="str">
        <f t="shared" si="11"/>
        <v/>
      </c>
      <c r="AF125" s="283" t="str">
        <f t="shared" si="12"/>
        <v/>
      </c>
      <c r="AG125" s="299" t="str">
        <f>IFERROR(IF(O125="","",VLOOKUP(AD125,'G-3 Multipliers'!$P$3:$Q$6,2,FALSE)),"")</f>
        <v/>
      </c>
      <c r="AH125" s="289" t="str">
        <f t="shared" si="13"/>
        <v/>
      </c>
      <c r="AI125" s="108"/>
      <c r="AJ125" s="115"/>
      <c r="AK125" s="104"/>
      <c r="AT125" s="30" t="str">
        <f>IFERROR(INDEX('G-6 Hedgerow Data'!$BJ$3:$BJ$15,MATCH(M125,'G-6 Hedgerow Data'!$B$3:$B$15,0)),"")</f>
        <v/>
      </c>
    </row>
    <row r="126" spans="2:46" ht="14">
      <c r="B126" s="305" t="str">
        <f>'B-1 On-Site Hedge Baseline'!AK124</f>
        <v/>
      </c>
      <c r="C126" s="295" t="str">
        <f>IF(B126="","",IF(ISNA(VLOOKUP($B126,'B-1 On-Site Hedge Baseline'!$B$1:$L$257,3,FALSE)),"",(VLOOKUP($B126,'B-1 On-Site Hedge Baseline'!$B$1:$L$257,3,FALSE))))</f>
        <v/>
      </c>
      <c r="D126" s="295" t="str">
        <f>IF(B126="","",IF(ISNA(VLOOKUP($B126,'B-1 On-Site Hedge Baseline'!$B$1:$L$257,4,FALSE)),"",(VLOOKUP($B126,'B-1 On-Site Hedge Baseline'!$B$1:$L$257,4,FALSE))))</f>
        <v/>
      </c>
      <c r="E126" s="295" t="str">
        <f>IF(B126="","",IF(ISNA(VLOOKUP($B126,'B-1 On-Site Hedge Baseline'!$B$1:$L$257,5,FALSE)),"",(VLOOKUP($B126,'B-1 On-Site Hedge Baseline'!$B$1:$L$257,5,FALSE))))</f>
        <v/>
      </c>
      <c r="F126" s="295" t="str">
        <f>IF(B126="","",IF(ISNA(VLOOKUP($B126,'B-1 On-Site Hedge Baseline'!$B$1:$L$257,6,FALSE)),"",(VLOOKUP($B126,'B-1 On-Site Hedge Baseline'!$B$1:$L$257,6,FALSE))))</f>
        <v/>
      </c>
      <c r="G126" s="295" t="str">
        <f>IF(B126="","",IF(ISNA(VLOOKUP($B126,'B-1 On-Site Hedge Baseline'!$B$1:$L$257,7,FALSE)),"",(VLOOKUP($B126,'B-1 On-Site Hedge Baseline'!$B$1:$L$257,7,FALSE))))</f>
        <v/>
      </c>
      <c r="H126" s="295" t="str">
        <f>IF(B126="","",IF(ISNA(VLOOKUP($B126,'B-1 On-Site Hedge Baseline'!$B$1:$L$257,8,FALSE)),"",(VLOOKUP($B126,'B-1 On-Site Hedge Baseline'!$B$1:$L$257,8,FALSE))))</f>
        <v/>
      </c>
      <c r="I126" s="295" t="str">
        <f>IF(B126="","",IF(ISNA(VLOOKUP($B126,'B-1 On-Site Hedge Baseline'!$B$1:$L$257,10,FALSE)),"",(VLOOKUP($B126,'B-1 On-Site Hedge Baseline'!$B$1:$L$257,10,FALSE))))</f>
        <v/>
      </c>
      <c r="J126" s="295" t="str">
        <f>IF(B126="","",IF(ISNA(VLOOKUP($B126,'B-1 On-Site Hedge Baseline'!$B$1:$L$257,11,FALSE)),"",(VLOOKUP($B126,'B-1 On-Site Hedge Baseline'!$B$1:$L$257,11,FALSE))))</f>
        <v/>
      </c>
      <c r="K126" s="295" t="str">
        <f>IF(B126="","",IF(ISNA(VLOOKUP($B126,'B-1 On-Site Hedge Baseline'!$B$1:$U$257,13,FALSE)),"",(VLOOKUP($B126,'B-1 On-Site Hedge Baseline'!$B$1:$U$257,13,FALSE))))</f>
        <v/>
      </c>
      <c r="L126" s="299" t="str">
        <f>IF(B126="","",IF(ISNA(VLOOKUP($B126,'B-1 On-Site Hedge Baseline'!$B$1:$U$257,12,FALSE)),"",(VLOOKUP($B126,'B-1 On-Site Hedge Baseline'!$B$1:$U$257,12,FALSE))))</f>
        <v/>
      </c>
      <c r="M126" s="611"/>
      <c r="N126" s="275" t="str">
        <f>IFERROR(IF(B126="","",INDEX('G-6 Hedgerow Data'!$AN$3:$AZ$15,MATCH(C126,'G-6 Hedgerow Data'!$AM$3:$AM$15,0),MATCH(M126,'G-6 Hedgerow Data'!$AN$2:$AZ$2,0))),"")</f>
        <v/>
      </c>
      <c r="O126" s="276" t="str">
        <f t="shared" si="8"/>
        <v/>
      </c>
      <c r="P126" s="329" t="str">
        <f>IF(B126="","",VLOOKUP(B126,'B-1 On-Site Hedge Baseline'!$B$10:T371,16,FALSE))</f>
        <v/>
      </c>
      <c r="Q126" s="275" t="str">
        <f>IF(M126="","",VLOOKUP(M126,'G-6 Hedgerow Data'!$B$2:$AG$15,2,FALSE))</f>
        <v/>
      </c>
      <c r="R126" s="276" t="str">
        <f>IF(M126="","",VLOOKUP(M126,'G-6 Hedgerow Data'!$B$2:$AG$15,3,FALSE))</f>
        <v/>
      </c>
      <c r="S126" s="108"/>
      <c r="T126" s="314" t="str">
        <f>IFERROR(IF(S126="","",IF(AND(M126="Non-native and ornamental hedgerow",S126&lt;&gt;"Poor"),"Not possible ▲",(VLOOKUP(S126,'G-1 All Habitats'!$Z$2:$AA$9,2,FALSE)))),"")</f>
        <v/>
      </c>
      <c r="U126" s="105"/>
      <c r="V126" s="295" t="str">
        <f>IF(U126="","",IF(VLOOKUP(U126,'G-3 Multipliers'!$L$3:$N$6,2,FALSE)=0,"Spatial Data Missing ⚠",VLOOKUP(U126,'G-3 Multipliers'!$L$3:$N$6,2,FALSE)))</f>
        <v/>
      </c>
      <c r="W126" s="299" t="str">
        <f>IF(U126="","",IF(VLOOKUP(U126,'G-3 Multipliers'!$L$3:$N$6,3,FALSE)=0,"Spatial Data Missing ⚠",VLOOKUP(U126,'G-3 Multipliers'!$L$3:$N$6,3,FALSE)))</f>
        <v/>
      </c>
      <c r="X126" s="275" t="str">
        <f>IFERROR(IF(OR(LEFT(O126,5)="Error",LEFT(N126,5)="Error",T126="Error"),"Check Data ⚠",IF(F126&lt;R126,INDEX('G-6 Hedgerow Data'!$S$3:$AE$14,MATCH(C126,'G-6 Hedgerow Data'!$B$3:$B$14,0),MATCH(M126,'G-6 Hedgerow Data'!$S$2:$AE$2,0)),INDEX('G-6 Hedgerow Data'!$K$3:$Q$14,MATCH(M126,'G-6 Hedgerow Data'!$B$3:$B$14,0),MATCH(O126,'G-6 Hedgerow Data'!$K$2:$Q$2,0)))),"")</f>
        <v/>
      </c>
      <c r="Y126" s="133"/>
      <c r="Z126" s="133"/>
      <c r="AA126" s="283" t="str">
        <f t="shared" si="9"/>
        <v/>
      </c>
      <c r="AB126" s="296" t="str">
        <f t="shared" si="10"/>
        <v/>
      </c>
      <c r="AC126" s="297" t="str">
        <f t="shared" si="7"/>
        <v/>
      </c>
      <c r="AD126" s="311" t="str">
        <f>IF(M126="","",VLOOKUP(M126,'G-6 Hedgerow Data'!$B$3:$AG$15,31,FALSE))</f>
        <v/>
      </c>
      <c r="AE126" s="283" t="str">
        <f t="shared" si="11"/>
        <v/>
      </c>
      <c r="AF126" s="283" t="str">
        <f t="shared" si="12"/>
        <v/>
      </c>
      <c r="AG126" s="299" t="str">
        <f>IFERROR(IF(O126="","",VLOOKUP(AD126,'G-3 Multipliers'!$P$3:$Q$6,2,FALSE)),"")</f>
        <v/>
      </c>
      <c r="AH126" s="289" t="str">
        <f t="shared" si="13"/>
        <v/>
      </c>
      <c r="AI126" s="108"/>
      <c r="AJ126" s="115"/>
      <c r="AK126" s="104"/>
      <c r="AT126" s="30" t="str">
        <f>IFERROR(INDEX('G-6 Hedgerow Data'!$BJ$3:$BJ$15,MATCH(M126,'G-6 Hedgerow Data'!$B$3:$B$15,0)),"")</f>
        <v/>
      </c>
    </row>
    <row r="127" spans="2:46" ht="14">
      <c r="B127" s="305" t="str">
        <f>'B-1 On-Site Hedge Baseline'!AK125</f>
        <v/>
      </c>
      <c r="C127" s="295" t="str">
        <f>IF(B127="","",IF(ISNA(VLOOKUP($B127,'B-1 On-Site Hedge Baseline'!$B$1:$L$257,3,FALSE)),"",(VLOOKUP($B127,'B-1 On-Site Hedge Baseline'!$B$1:$L$257,3,FALSE))))</f>
        <v/>
      </c>
      <c r="D127" s="295" t="str">
        <f>IF(B127="","",IF(ISNA(VLOOKUP($B127,'B-1 On-Site Hedge Baseline'!$B$1:$L$257,4,FALSE)),"",(VLOOKUP($B127,'B-1 On-Site Hedge Baseline'!$B$1:$L$257,4,FALSE))))</f>
        <v/>
      </c>
      <c r="E127" s="295" t="str">
        <f>IF(B127="","",IF(ISNA(VLOOKUP($B127,'B-1 On-Site Hedge Baseline'!$B$1:$L$257,5,FALSE)),"",(VLOOKUP($B127,'B-1 On-Site Hedge Baseline'!$B$1:$L$257,5,FALSE))))</f>
        <v/>
      </c>
      <c r="F127" s="295" t="str">
        <f>IF(B127="","",IF(ISNA(VLOOKUP($B127,'B-1 On-Site Hedge Baseline'!$B$1:$L$257,6,FALSE)),"",(VLOOKUP($B127,'B-1 On-Site Hedge Baseline'!$B$1:$L$257,6,FALSE))))</f>
        <v/>
      </c>
      <c r="G127" s="295" t="str">
        <f>IF(B127="","",IF(ISNA(VLOOKUP($B127,'B-1 On-Site Hedge Baseline'!$B$1:$L$257,7,FALSE)),"",(VLOOKUP($B127,'B-1 On-Site Hedge Baseline'!$B$1:$L$257,7,FALSE))))</f>
        <v/>
      </c>
      <c r="H127" s="295" t="str">
        <f>IF(B127="","",IF(ISNA(VLOOKUP($B127,'B-1 On-Site Hedge Baseline'!$B$1:$L$257,8,FALSE)),"",(VLOOKUP($B127,'B-1 On-Site Hedge Baseline'!$B$1:$L$257,8,FALSE))))</f>
        <v/>
      </c>
      <c r="I127" s="295" t="str">
        <f>IF(B127="","",IF(ISNA(VLOOKUP($B127,'B-1 On-Site Hedge Baseline'!$B$1:$L$257,10,FALSE)),"",(VLOOKUP($B127,'B-1 On-Site Hedge Baseline'!$B$1:$L$257,10,FALSE))))</f>
        <v/>
      </c>
      <c r="J127" s="295" t="str">
        <f>IF(B127="","",IF(ISNA(VLOOKUP($B127,'B-1 On-Site Hedge Baseline'!$B$1:$L$257,11,FALSE)),"",(VLOOKUP($B127,'B-1 On-Site Hedge Baseline'!$B$1:$L$257,11,FALSE))))</f>
        <v/>
      </c>
      <c r="K127" s="295" t="str">
        <f>IF(B127="","",IF(ISNA(VLOOKUP($B127,'B-1 On-Site Hedge Baseline'!$B$1:$U$257,13,FALSE)),"",(VLOOKUP($B127,'B-1 On-Site Hedge Baseline'!$B$1:$U$257,13,FALSE))))</f>
        <v/>
      </c>
      <c r="L127" s="299" t="str">
        <f>IF(B127="","",IF(ISNA(VLOOKUP($B127,'B-1 On-Site Hedge Baseline'!$B$1:$U$257,12,FALSE)),"",(VLOOKUP($B127,'B-1 On-Site Hedge Baseline'!$B$1:$U$257,12,FALSE))))</f>
        <v/>
      </c>
      <c r="M127" s="611"/>
      <c r="N127" s="275" t="str">
        <f>IFERROR(IF(B127="","",INDEX('G-6 Hedgerow Data'!$AN$3:$AZ$15,MATCH(C127,'G-6 Hedgerow Data'!$AM$3:$AM$15,0),MATCH(M127,'G-6 Hedgerow Data'!$AN$2:$AZ$2,0))),"")</f>
        <v/>
      </c>
      <c r="O127" s="276" t="str">
        <f t="shared" si="8"/>
        <v/>
      </c>
      <c r="P127" s="329" t="str">
        <f>IF(B127="","",VLOOKUP(B127,'B-1 On-Site Hedge Baseline'!$B$10:T372,16,FALSE))</f>
        <v/>
      </c>
      <c r="Q127" s="275" t="str">
        <f>IF(M127="","",VLOOKUP(M127,'G-6 Hedgerow Data'!$B$2:$AG$15,2,FALSE))</f>
        <v/>
      </c>
      <c r="R127" s="276" t="str">
        <f>IF(M127="","",VLOOKUP(M127,'G-6 Hedgerow Data'!$B$2:$AG$15,3,FALSE))</f>
        <v/>
      </c>
      <c r="S127" s="108"/>
      <c r="T127" s="314" t="str">
        <f>IFERROR(IF(S127="","",IF(AND(M127="Non-native and ornamental hedgerow",S127&lt;&gt;"Poor"),"Not possible ▲",(VLOOKUP(S127,'G-1 All Habitats'!$Z$2:$AA$9,2,FALSE)))),"")</f>
        <v/>
      </c>
      <c r="U127" s="105"/>
      <c r="V127" s="295" t="str">
        <f>IF(U127="","",IF(VLOOKUP(U127,'G-3 Multipliers'!$L$3:$N$6,2,FALSE)=0,"Spatial Data Missing ⚠",VLOOKUP(U127,'G-3 Multipliers'!$L$3:$N$6,2,FALSE)))</f>
        <v/>
      </c>
      <c r="W127" s="299" t="str">
        <f>IF(U127="","",IF(VLOOKUP(U127,'G-3 Multipliers'!$L$3:$N$6,3,FALSE)=0,"Spatial Data Missing ⚠",VLOOKUP(U127,'G-3 Multipliers'!$L$3:$N$6,3,FALSE)))</f>
        <v/>
      </c>
      <c r="X127" s="275" t="str">
        <f>IFERROR(IF(OR(LEFT(O127,5)="Error",LEFT(N127,5)="Error",T127="Error"),"Check Data ⚠",IF(F127&lt;R127,INDEX('G-6 Hedgerow Data'!$S$3:$AE$14,MATCH(C127,'G-6 Hedgerow Data'!$B$3:$B$14,0),MATCH(M127,'G-6 Hedgerow Data'!$S$2:$AE$2,0)),INDEX('G-6 Hedgerow Data'!$K$3:$Q$14,MATCH(M127,'G-6 Hedgerow Data'!$B$3:$B$14,0),MATCH(O127,'G-6 Hedgerow Data'!$K$2:$Q$2,0)))),"")</f>
        <v/>
      </c>
      <c r="Y127" s="133"/>
      <c r="Z127" s="133"/>
      <c r="AA127" s="283" t="str">
        <f t="shared" si="9"/>
        <v/>
      </c>
      <c r="AB127" s="296" t="str">
        <f t="shared" si="10"/>
        <v/>
      </c>
      <c r="AC127" s="297" t="str">
        <f t="shared" si="7"/>
        <v/>
      </c>
      <c r="AD127" s="311" t="str">
        <f>IF(M127="","",VLOOKUP(M127,'G-6 Hedgerow Data'!$B$3:$AG$15,31,FALSE))</f>
        <v/>
      </c>
      <c r="AE127" s="283" t="str">
        <f t="shared" si="11"/>
        <v/>
      </c>
      <c r="AF127" s="283" t="str">
        <f t="shared" si="12"/>
        <v/>
      </c>
      <c r="AG127" s="299" t="str">
        <f>IFERROR(IF(O127="","",VLOOKUP(AD127,'G-3 Multipliers'!$P$3:$Q$6,2,FALSE)),"")</f>
        <v/>
      </c>
      <c r="AH127" s="289" t="str">
        <f t="shared" si="13"/>
        <v/>
      </c>
      <c r="AI127" s="108"/>
      <c r="AJ127" s="115"/>
      <c r="AK127" s="104"/>
      <c r="AT127" s="30" t="str">
        <f>IFERROR(INDEX('G-6 Hedgerow Data'!$BJ$3:$BJ$15,MATCH(M127,'G-6 Hedgerow Data'!$B$3:$B$15,0)),"")</f>
        <v/>
      </c>
    </row>
    <row r="128" spans="2:46" ht="14">
      <c r="B128" s="305" t="str">
        <f>'B-1 On-Site Hedge Baseline'!AK126</f>
        <v/>
      </c>
      <c r="C128" s="295" t="str">
        <f>IF(B128="","",IF(ISNA(VLOOKUP($B128,'B-1 On-Site Hedge Baseline'!$B$1:$L$257,3,FALSE)),"",(VLOOKUP($B128,'B-1 On-Site Hedge Baseline'!$B$1:$L$257,3,FALSE))))</f>
        <v/>
      </c>
      <c r="D128" s="295" t="str">
        <f>IF(B128="","",IF(ISNA(VLOOKUP($B128,'B-1 On-Site Hedge Baseline'!$B$1:$L$257,4,FALSE)),"",(VLOOKUP($B128,'B-1 On-Site Hedge Baseline'!$B$1:$L$257,4,FALSE))))</f>
        <v/>
      </c>
      <c r="E128" s="295" t="str">
        <f>IF(B128="","",IF(ISNA(VLOOKUP($B128,'B-1 On-Site Hedge Baseline'!$B$1:$L$257,5,FALSE)),"",(VLOOKUP($B128,'B-1 On-Site Hedge Baseline'!$B$1:$L$257,5,FALSE))))</f>
        <v/>
      </c>
      <c r="F128" s="295" t="str">
        <f>IF(B128="","",IF(ISNA(VLOOKUP($B128,'B-1 On-Site Hedge Baseline'!$B$1:$L$257,6,FALSE)),"",(VLOOKUP($B128,'B-1 On-Site Hedge Baseline'!$B$1:$L$257,6,FALSE))))</f>
        <v/>
      </c>
      <c r="G128" s="295" t="str">
        <f>IF(B128="","",IF(ISNA(VLOOKUP($B128,'B-1 On-Site Hedge Baseline'!$B$1:$L$257,7,FALSE)),"",(VLOOKUP($B128,'B-1 On-Site Hedge Baseline'!$B$1:$L$257,7,FALSE))))</f>
        <v/>
      </c>
      <c r="H128" s="295" t="str">
        <f>IF(B128="","",IF(ISNA(VLOOKUP($B128,'B-1 On-Site Hedge Baseline'!$B$1:$L$257,8,FALSE)),"",(VLOOKUP($B128,'B-1 On-Site Hedge Baseline'!$B$1:$L$257,8,FALSE))))</f>
        <v/>
      </c>
      <c r="I128" s="295" t="str">
        <f>IF(B128="","",IF(ISNA(VLOOKUP($B128,'B-1 On-Site Hedge Baseline'!$B$1:$L$257,10,FALSE)),"",(VLOOKUP($B128,'B-1 On-Site Hedge Baseline'!$B$1:$L$257,10,FALSE))))</f>
        <v/>
      </c>
      <c r="J128" s="295" t="str">
        <f>IF(B128="","",IF(ISNA(VLOOKUP($B128,'B-1 On-Site Hedge Baseline'!$B$1:$L$257,11,FALSE)),"",(VLOOKUP($B128,'B-1 On-Site Hedge Baseline'!$B$1:$L$257,11,FALSE))))</f>
        <v/>
      </c>
      <c r="K128" s="295" t="str">
        <f>IF(B128="","",IF(ISNA(VLOOKUP($B128,'B-1 On-Site Hedge Baseline'!$B$1:$U$257,13,FALSE)),"",(VLOOKUP($B128,'B-1 On-Site Hedge Baseline'!$B$1:$U$257,13,FALSE))))</f>
        <v/>
      </c>
      <c r="L128" s="299" t="str">
        <f>IF(B128="","",IF(ISNA(VLOOKUP($B128,'B-1 On-Site Hedge Baseline'!$B$1:$U$257,12,FALSE)),"",(VLOOKUP($B128,'B-1 On-Site Hedge Baseline'!$B$1:$U$257,12,FALSE))))</f>
        <v/>
      </c>
      <c r="M128" s="611"/>
      <c r="N128" s="275" t="str">
        <f>IFERROR(IF(B128="","",INDEX('G-6 Hedgerow Data'!$AN$3:$AZ$15,MATCH(C128,'G-6 Hedgerow Data'!$AM$3:$AM$15,0),MATCH(M128,'G-6 Hedgerow Data'!$AN$2:$AZ$2,0))),"")</f>
        <v/>
      </c>
      <c r="O128" s="276" t="str">
        <f t="shared" si="8"/>
        <v/>
      </c>
      <c r="P128" s="329" t="str">
        <f>IF(B128="","",VLOOKUP(B128,'B-1 On-Site Hedge Baseline'!$B$10:T373,16,FALSE))</f>
        <v/>
      </c>
      <c r="Q128" s="275" t="str">
        <f>IF(M128="","",VLOOKUP(M128,'G-6 Hedgerow Data'!$B$2:$AG$15,2,FALSE))</f>
        <v/>
      </c>
      <c r="R128" s="276" t="str">
        <f>IF(M128="","",VLOOKUP(M128,'G-6 Hedgerow Data'!$B$2:$AG$15,3,FALSE))</f>
        <v/>
      </c>
      <c r="S128" s="108"/>
      <c r="T128" s="314" t="str">
        <f>IFERROR(IF(S128="","",IF(AND(M128="Non-native and ornamental hedgerow",S128&lt;&gt;"Poor"),"Not possible ▲",(VLOOKUP(S128,'G-1 All Habitats'!$Z$2:$AA$9,2,FALSE)))),"")</f>
        <v/>
      </c>
      <c r="U128" s="105"/>
      <c r="V128" s="295" t="str">
        <f>IF(U128="","",IF(VLOOKUP(U128,'G-3 Multipliers'!$L$3:$N$6,2,FALSE)=0,"Spatial Data Missing ⚠",VLOOKUP(U128,'G-3 Multipliers'!$L$3:$N$6,2,FALSE)))</f>
        <v/>
      </c>
      <c r="W128" s="299" t="str">
        <f>IF(U128="","",IF(VLOOKUP(U128,'G-3 Multipliers'!$L$3:$N$6,3,FALSE)=0,"Spatial Data Missing ⚠",VLOOKUP(U128,'G-3 Multipliers'!$L$3:$N$6,3,FALSE)))</f>
        <v/>
      </c>
      <c r="X128" s="275" t="str">
        <f>IFERROR(IF(OR(LEFT(O128,5)="Error",LEFT(N128,5)="Error",T128="Error"),"Check Data ⚠",IF(F128&lt;R128,INDEX('G-6 Hedgerow Data'!$S$3:$AE$14,MATCH(C128,'G-6 Hedgerow Data'!$B$3:$B$14,0),MATCH(M128,'G-6 Hedgerow Data'!$S$2:$AE$2,0)),INDEX('G-6 Hedgerow Data'!$K$3:$Q$14,MATCH(M128,'G-6 Hedgerow Data'!$B$3:$B$14,0),MATCH(O128,'G-6 Hedgerow Data'!$K$2:$Q$2,0)))),"")</f>
        <v/>
      </c>
      <c r="Y128" s="133"/>
      <c r="Z128" s="133"/>
      <c r="AA128" s="283" t="str">
        <f t="shared" si="9"/>
        <v/>
      </c>
      <c r="AB128" s="296" t="str">
        <f t="shared" si="10"/>
        <v/>
      </c>
      <c r="AC128" s="297" t="str">
        <f t="shared" si="7"/>
        <v/>
      </c>
      <c r="AD128" s="311" t="str">
        <f>IF(M128="","",VLOOKUP(M128,'G-6 Hedgerow Data'!$B$3:$AG$15,31,FALSE))</f>
        <v/>
      </c>
      <c r="AE128" s="283" t="str">
        <f t="shared" si="11"/>
        <v/>
      </c>
      <c r="AF128" s="283" t="str">
        <f t="shared" si="12"/>
        <v/>
      </c>
      <c r="AG128" s="299" t="str">
        <f>IFERROR(IF(O128="","",VLOOKUP(AD128,'G-3 Multipliers'!$P$3:$Q$6,2,FALSE)),"")</f>
        <v/>
      </c>
      <c r="AH128" s="289" t="str">
        <f t="shared" si="13"/>
        <v/>
      </c>
      <c r="AI128" s="108"/>
      <c r="AJ128" s="115"/>
      <c r="AK128" s="104"/>
      <c r="AT128" s="30" t="str">
        <f>IFERROR(INDEX('G-6 Hedgerow Data'!$BJ$3:$BJ$15,MATCH(M128,'G-6 Hedgerow Data'!$B$3:$B$15,0)),"")</f>
        <v/>
      </c>
    </row>
    <row r="129" spans="2:46" ht="14">
      <c r="B129" s="305" t="str">
        <f>'B-1 On-Site Hedge Baseline'!AK127</f>
        <v/>
      </c>
      <c r="C129" s="295" t="str">
        <f>IF(B129="","",IF(ISNA(VLOOKUP($B129,'B-1 On-Site Hedge Baseline'!$B$1:$L$257,3,FALSE)),"",(VLOOKUP($B129,'B-1 On-Site Hedge Baseline'!$B$1:$L$257,3,FALSE))))</f>
        <v/>
      </c>
      <c r="D129" s="295" t="str">
        <f>IF(B129="","",IF(ISNA(VLOOKUP($B129,'B-1 On-Site Hedge Baseline'!$B$1:$L$257,4,FALSE)),"",(VLOOKUP($B129,'B-1 On-Site Hedge Baseline'!$B$1:$L$257,4,FALSE))))</f>
        <v/>
      </c>
      <c r="E129" s="295" t="str">
        <f>IF(B129="","",IF(ISNA(VLOOKUP($B129,'B-1 On-Site Hedge Baseline'!$B$1:$L$257,5,FALSE)),"",(VLOOKUP($B129,'B-1 On-Site Hedge Baseline'!$B$1:$L$257,5,FALSE))))</f>
        <v/>
      </c>
      <c r="F129" s="295" t="str">
        <f>IF(B129="","",IF(ISNA(VLOOKUP($B129,'B-1 On-Site Hedge Baseline'!$B$1:$L$257,6,FALSE)),"",(VLOOKUP($B129,'B-1 On-Site Hedge Baseline'!$B$1:$L$257,6,FALSE))))</f>
        <v/>
      </c>
      <c r="G129" s="295" t="str">
        <f>IF(B129="","",IF(ISNA(VLOOKUP($B129,'B-1 On-Site Hedge Baseline'!$B$1:$L$257,7,FALSE)),"",(VLOOKUP($B129,'B-1 On-Site Hedge Baseline'!$B$1:$L$257,7,FALSE))))</f>
        <v/>
      </c>
      <c r="H129" s="295" t="str">
        <f>IF(B129="","",IF(ISNA(VLOOKUP($B129,'B-1 On-Site Hedge Baseline'!$B$1:$L$257,8,FALSE)),"",(VLOOKUP($B129,'B-1 On-Site Hedge Baseline'!$B$1:$L$257,8,FALSE))))</f>
        <v/>
      </c>
      <c r="I129" s="295" t="str">
        <f>IF(B129="","",IF(ISNA(VLOOKUP($B129,'B-1 On-Site Hedge Baseline'!$B$1:$L$257,10,FALSE)),"",(VLOOKUP($B129,'B-1 On-Site Hedge Baseline'!$B$1:$L$257,10,FALSE))))</f>
        <v/>
      </c>
      <c r="J129" s="295" t="str">
        <f>IF(B129="","",IF(ISNA(VLOOKUP($B129,'B-1 On-Site Hedge Baseline'!$B$1:$L$257,11,FALSE)),"",(VLOOKUP($B129,'B-1 On-Site Hedge Baseline'!$B$1:$L$257,11,FALSE))))</f>
        <v/>
      </c>
      <c r="K129" s="295" t="str">
        <f>IF(B129="","",IF(ISNA(VLOOKUP($B129,'B-1 On-Site Hedge Baseline'!$B$1:$U$257,13,FALSE)),"",(VLOOKUP($B129,'B-1 On-Site Hedge Baseline'!$B$1:$U$257,13,FALSE))))</f>
        <v/>
      </c>
      <c r="L129" s="299" t="str">
        <f>IF(B129="","",IF(ISNA(VLOOKUP($B129,'B-1 On-Site Hedge Baseline'!$B$1:$U$257,12,FALSE)),"",(VLOOKUP($B129,'B-1 On-Site Hedge Baseline'!$B$1:$U$257,12,FALSE))))</f>
        <v/>
      </c>
      <c r="M129" s="611"/>
      <c r="N129" s="275" t="str">
        <f>IFERROR(IF(B129="","",INDEX('G-6 Hedgerow Data'!$AN$3:$AZ$15,MATCH(C129,'G-6 Hedgerow Data'!$AM$3:$AM$15,0),MATCH(M129,'G-6 Hedgerow Data'!$AN$2:$AZ$2,0))),"")</f>
        <v/>
      </c>
      <c r="O129" s="276" t="str">
        <f t="shared" si="8"/>
        <v/>
      </c>
      <c r="P129" s="329" t="str">
        <f>IF(B129="","",VLOOKUP(B129,'B-1 On-Site Hedge Baseline'!$B$10:T374,16,FALSE))</f>
        <v/>
      </c>
      <c r="Q129" s="275" t="str">
        <f>IF(M129="","",VLOOKUP(M129,'G-6 Hedgerow Data'!$B$2:$AG$15,2,FALSE))</f>
        <v/>
      </c>
      <c r="R129" s="276" t="str">
        <f>IF(M129="","",VLOOKUP(M129,'G-6 Hedgerow Data'!$B$2:$AG$15,3,FALSE))</f>
        <v/>
      </c>
      <c r="S129" s="108"/>
      <c r="T129" s="314" t="str">
        <f>IFERROR(IF(S129="","",IF(AND(M129="Non-native and ornamental hedgerow",S129&lt;&gt;"Poor"),"Not possible ▲",(VLOOKUP(S129,'G-1 All Habitats'!$Z$2:$AA$9,2,FALSE)))),"")</f>
        <v/>
      </c>
      <c r="U129" s="105"/>
      <c r="V129" s="295" t="str">
        <f>IF(U129="","",IF(VLOOKUP(U129,'G-3 Multipliers'!$L$3:$N$6,2,FALSE)=0,"Spatial Data Missing ⚠",VLOOKUP(U129,'G-3 Multipliers'!$L$3:$N$6,2,FALSE)))</f>
        <v/>
      </c>
      <c r="W129" s="299" t="str">
        <f>IF(U129="","",IF(VLOOKUP(U129,'G-3 Multipliers'!$L$3:$N$6,3,FALSE)=0,"Spatial Data Missing ⚠",VLOOKUP(U129,'G-3 Multipliers'!$L$3:$N$6,3,FALSE)))</f>
        <v/>
      </c>
      <c r="X129" s="275" t="str">
        <f>IFERROR(IF(OR(LEFT(O129,5)="Error",LEFT(N129,5)="Error",T129="Error"),"Check Data ⚠",IF(F129&lt;R129,INDEX('G-6 Hedgerow Data'!$S$3:$AE$14,MATCH(C129,'G-6 Hedgerow Data'!$B$3:$B$14,0),MATCH(M129,'G-6 Hedgerow Data'!$S$2:$AE$2,0)),INDEX('G-6 Hedgerow Data'!$K$3:$Q$14,MATCH(M129,'G-6 Hedgerow Data'!$B$3:$B$14,0),MATCH(O129,'G-6 Hedgerow Data'!$K$2:$Q$2,0)))),"")</f>
        <v/>
      </c>
      <c r="Y129" s="133"/>
      <c r="Z129" s="133"/>
      <c r="AA129" s="283" t="str">
        <f t="shared" si="9"/>
        <v/>
      </c>
      <c r="AB129" s="296" t="str">
        <f t="shared" si="10"/>
        <v/>
      </c>
      <c r="AC129" s="297" t="str">
        <f t="shared" si="7"/>
        <v/>
      </c>
      <c r="AD129" s="311" t="str">
        <f>IF(M129="","",VLOOKUP(M129,'G-6 Hedgerow Data'!$B$3:$AG$15,31,FALSE))</f>
        <v/>
      </c>
      <c r="AE129" s="283" t="str">
        <f t="shared" si="11"/>
        <v/>
      </c>
      <c r="AF129" s="283" t="str">
        <f t="shared" si="12"/>
        <v/>
      </c>
      <c r="AG129" s="299" t="str">
        <f>IFERROR(IF(O129="","",VLOOKUP(AD129,'G-3 Multipliers'!$P$3:$Q$6,2,FALSE)),"")</f>
        <v/>
      </c>
      <c r="AH129" s="289" t="str">
        <f t="shared" si="13"/>
        <v/>
      </c>
      <c r="AI129" s="108"/>
      <c r="AJ129" s="115"/>
      <c r="AK129" s="104"/>
      <c r="AT129" s="30" t="str">
        <f>IFERROR(INDEX('G-6 Hedgerow Data'!$BJ$3:$BJ$15,MATCH(M129,'G-6 Hedgerow Data'!$B$3:$B$15,0)),"")</f>
        <v/>
      </c>
    </row>
    <row r="130" spans="2:46" ht="14">
      <c r="B130" s="305" t="str">
        <f>'B-1 On-Site Hedge Baseline'!AK128</f>
        <v/>
      </c>
      <c r="C130" s="295" t="str">
        <f>IF(B130="","",IF(ISNA(VLOOKUP($B130,'B-1 On-Site Hedge Baseline'!$B$1:$L$257,3,FALSE)),"",(VLOOKUP($B130,'B-1 On-Site Hedge Baseline'!$B$1:$L$257,3,FALSE))))</f>
        <v/>
      </c>
      <c r="D130" s="295" t="str">
        <f>IF(B130="","",IF(ISNA(VLOOKUP($B130,'B-1 On-Site Hedge Baseline'!$B$1:$L$257,4,FALSE)),"",(VLOOKUP($B130,'B-1 On-Site Hedge Baseline'!$B$1:$L$257,4,FALSE))))</f>
        <v/>
      </c>
      <c r="E130" s="295" t="str">
        <f>IF(B130="","",IF(ISNA(VLOOKUP($B130,'B-1 On-Site Hedge Baseline'!$B$1:$L$257,5,FALSE)),"",(VLOOKUP($B130,'B-1 On-Site Hedge Baseline'!$B$1:$L$257,5,FALSE))))</f>
        <v/>
      </c>
      <c r="F130" s="295" t="str">
        <f>IF(B130="","",IF(ISNA(VLOOKUP($B130,'B-1 On-Site Hedge Baseline'!$B$1:$L$257,6,FALSE)),"",(VLOOKUP($B130,'B-1 On-Site Hedge Baseline'!$B$1:$L$257,6,FALSE))))</f>
        <v/>
      </c>
      <c r="G130" s="295" t="str">
        <f>IF(B130="","",IF(ISNA(VLOOKUP($B130,'B-1 On-Site Hedge Baseline'!$B$1:$L$257,7,FALSE)),"",(VLOOKUP($B130,'B-1 On-Site Hedge Baseline'!$B$1:$L$257,7,FALSE))))</f>
        <v/>
      </c>
      <c r="H130" s="295" t="str">
        <f>IF(B130="","",IF(ISNA(VLOOKUP($B130,'B-1 On-Site Hedge Baseline'!$B$1:$L$257,8,FALSE)),"",(VLOOKUP($B130,'B-1 On-Site Hedge Baseline'!$B$1:$L$257,8,FALSE))))</f>
        <v/>
      </c>
      <c r="I130" s="295" t="str">
        <f>IF(B130="","",IF(ISNA(VLOOKUP($B130,'B-1 On-Site Hedge Baseline'!$B$1:$L$257,10,FALSE)),"",(VLOOKUP($B130,'B-1 On-Site Hedge Baseline'!$B$1:$L$257,10,FALSE))))</f>
        <v/>
      </c>
      <c r="J130" s="295" t="str">
        <f>IF(B130="","",IF(ISNA(VLOOKUP($B130,'B-1 On-Site Hedge Baseline'!$B$1:$L$257,11,FALSE)),"",(VLOOKUP($B130,'B-1 On-Site Hedge Baseline'!$B$1:$L$257,11,FALSE))))</f>
        <v/>
      </c>
      <c r="K130" s="295" t="str">
        <f>IF(B130="","",IF(ISNA(VLOOKUP($B130,'B-1 On-Site Hedge Baseline'!$B$1:$U$257,13,FALSE)),"",(VLOOKUP($B130,'B-1 On-Site Hedge Baseline'!$B$1:$U$257,13,FALSE))))</f>
        <v/>
      </c>
      <c r="L130" s="299" t="str">
        <f>IF(B130="","",IF(ISNA(VLOOKUP($B130,'B-1 On-Site Hedge Baseline'!$B$1:$U$257,12,FALSE)),"",(VLOOKUP($B130,'B-1 On-Site Hedge Baseline'!$B$1:$U$257,12,FALSE))))</f>
        <v/>
      </c>
      <c r="M130" s="611"/>
      <c r="N130" s="275" t="str">
        <f>IFERROR(IF(B130="","",INDEX('G-6 Hedgerow Data'!$AN$3:$AZ$15,MATCH(C130,'G-6 Hedgerow Data'!$AM$3:$AM$15,0),MATCH(M130,'G-6 Hedgerow Data'!$AN$2:$AZ$2,0))),"")</f>
        <v/>
      </c>
      <c r="O130" s="276" t="str">
        <f t="shared" si="8"/>
        <v/>
      </c>
      <c r="P130" s="329" t="str">
        <f>IF(B130="","",VLOOKUP(B130,'B-1 On-Site Hedge Baseline'!$B$10:T375,16,FALSE))</f>
        <v/>
      </c>
      <c r="Q130" s="275" t="str">
        <f>IF(M130="","",VLOOKUP(M130,'G-6 Hedgerow Data'!$B$2:$AG$15,2,FALSE))</f>
        <v/>
      </c>
      <c r="R130" s="276" t="str">
        <f>IF(M130="","",VLOOKUP(M130,'G-6 Hedgerow Data'!$B$2:$AG$15,3,FALSE))</f>
        <v/>
      </c>
      <c r="S130" s="108"/>
      <c r="T130" s="314" t="str">
        <f>IFERROR(IF(S130="","",IF(AND(M130="Non-native and ornamental hedgerow",S130&lt;&gt;"Poor"),"Not possible ▲",(VLOOKUP(S130,'G-1 All Habitats'!$Z$2:$AA$9,2,FALSE)))),"")</f>
        <v/>
      </c>
      <c r="U130" s="105"/>
      <c r="V130" s="295" t="str">
        <f>IF(U130="","",IF(VLOOKUP(U130,'G-3 Multipliers'!$L$3:$N$6,2,FALSE)=0,"Spatial Data Missing ⚠",VLOOKUP(U130,'G-3 Multipliers'!$L$3:$N$6,2,FALSE)))</f>
        <v/>
      </c>
      <c r="W130" s="299" t="str">
        <f>IF(U130="","",IF(VLOOKUP(U130,'G-3 Multipliers'!$L$3:$N$6,3,FALSE)=0,"Spatial Data Missing ⚠",VLOOKUP(U130,'G-3 Multipliers'!$L$3:$N$6,3,FALSE)))</f>
        <v/>
      </c>
      <c r="X130" s="275" t="str">
        <f>IFERROR(IF(OR(LEFT(O130,5)="Error",LEFT(N130,5)="Error",T130="Error"),"Check Data ⚠",IF(F130&lt;R130,INDEX('G-6 Hedgerow Data'!$S$3:$AE$14,MATCH(C130,'G-6 Hedgerow Data'!$B$3:$B$14,0),MATCH(M130,'G-6 Hedgerow Data'!$S$2:$AE$2,0)),INDEX('G-6 Hedgerow Data'!$K$3:$Q$14,MATCH(M130,'G-6 Hedgerow Data'!$B$3:$B$14,0),MATCH(O130,'G-6 Hedgerow Data'!$K$2:$Q$2,0)))),"")</f>
        <v/>
      </c>
      <c r="Y130" s="133"/>
      <c r="Z130" s="133"/>
      <c r="AA130" s="283" t="str">
        <f t="shared" si="9"/>
        <v/>
      </c>
      <c r="AB130" s="296" t="str">
        <f t="shared" si="10"/>
        <v/>
      </c>
      <c r="AC130" s="297" t="str">
        <f t="shared" si="7"/>
        <v/>
      </c>
      <c r="AD130" s="311" t="str">
        <f>IF(M130="","",VLOOKUP(M130,'G-6 Hedgerow Data'!$B$3:$AG$15,31,FALSE))</f>
        <v/>
      </c>
      <c r="AE130" s="283" t="str">
        <f t="shared" si="11"/>
        <v/>
      </c>
      <c r="AF130" s="283" t="str">
        <f t="shared" si="12"/>
        <v/>
      </c>
      <c r="AG130" s="299" t="str">
        <f>IFERROR(IF(O130="","",VLOOKUP(AD130,'G-3 Multipliers'!$P$3:$Q$6,2,FALSE)),"")</f>
        <v/>
      </c>
      <c r="AH130" s="289" t="str">
        <f t="shared" si="13"/>
        <v/>
      </c>
      <c r="AI130" s="108"/>
      <c r="AJ130" s="115"/>
      <c r="AK130" s="104"/>
      <c r="AT130" s="30" t="str">
        <f>IFERROR(INDEX('G-6 Hedgerow Data'!$BJ$3:$BJ$15,MATCH(M130,'G-6 Hedgerow Data'!$B$3:$B$15,0)),"")</f>
        <v/>
      </c>
    </row>
    <row r="131" spans="2:46" ht="14">
      <c r="B131" s="305" t="str">
        <f>'B-1 On-Site Hedge Baseline'!AK129</f>
        <v/>
      </c>
      <c r="C131" s="295" t="str">
        <f>IF(B131="","",IF(ISNA(VLOOKUP($B131,'B-1 On-Site Hedge Baseline'!$B$1:$L$257,3,FALSE)),"",(VLOOKUP($B131,'B-1 On-Site Hedge Baseline'!$B$1:$L$257,3,FALSE))))</f>
        <v/>
      </c>
      <c r="D131" s="295" t="str">
        <f>IF(B131="","",IF(ISNA(VLOOKUP($B131,'B-1 On-Site Hedge Baseline'!$B$1:$L$257,4,FALSE)),"",(VLOOKUP($B131,'B-1 On-Site Hedge Baseline'!$B$1:$L$257,4,FALSE))))</f>
        <v/>
      </c>
      <c r="E131" s="295" t="str">
        <f>IF(B131="","",IF(ISNA(VLOOKUP($B131,'B-1 On-Site Hedge Baseline'!$B$1:$L$257,5,FALSE)),"",(VLOOKUP($B131,'B-1 On-Site Hedge Baseline'!$B$1:$L$257,5,FALSE))))</f>
        <v/>
      </c>
      <c r="F131" s="295" t="str">
        <f>IF(B131="","",IF(ISNA(VLOOKUP($B131,'B-1 On-Site Hedge Baseline'!$B$1:$L$257,6,FALSE)),"",(VLOOKUP($B131,'B-1 On-Site Hedge Baseline'!$B$1:$L$257,6,FALSE))))</f>
        <v/>
      </c>
      <c r="G131" s="295" t="str">
        <f>IF(B131="","",IF(ISNA(VLOOKUP($B131,'B-1 On-Site Hedge Baseline'!$B$1:$L$257,7,FALSE)),"",(VLOOKUP($B131,'B-1 On-Site Hedge Baseline'!$B$1:$L$257,7,FALSE))))</f>
        <v/>
      </c>
      <c r="H131" s="295" t="str">
        <f>IF(B131="","",IF(ISNA(VLOOKUP($B131,'B-1 On-Site Hedge Baseline'!$B$1:$L$257,8,FALSE)),"",(VLOOKUP($B131,'B-1 On-Site Hedge Baseline'!$B$1:$L$257,8,FALSE))))</f>
        <v/>
      </c>
      <c r="I131" s="295" t="str">
        <f>IF(B131="","",IF(ISNA(VLOOKUP($B131,'B-1 On-Site Hedge Baseline'!$B$1:$L$257,10,FALSE)),"",(VLOOKUP($B131,'B-1 On-Site Hedge Baseline'!$B$1:$L$257,10,FALSE))))</f>
        <v/>
      </c>
      <c r="J131" s="295" t="str">
        <f>IF(B131="","",IF(ISNA(VLOOKUP($B131,'B-1 On-Site Hedge Baseline'!$B$1:$L$257,11,FALSE)),"",(VLOOKUP($B131,'B-1 On-Site Hedge Baseline'!$B$1:$L$257,11,FALSE))))</f>
        <v/>
      </c>
      <c r="K131" s="295" t="str">
        <f>IF(B131="","",IF(ISNA(VLOOKUP($B131,'B-1 On-Site Hedge Baseline'!$B$1:$U$257,13,FALSE)),"",(VLOOKUP($B131,'B-1 On-Site Hedge Baseline'!$B$1:$U$257,13,FALSE))))</f>
        <v/>
      </c>
      <c r="L131" s="299" t="str">
        <f>IF(B131="","",IF(ISNA(VLOOKUP($B131,'B-1 On-Site Hedge Baseline'!$B$1:$U$257,12,FALSE)),"",(VLOOKUP($B131,'B-1 On-Site Hedge Baseline'!$B$1:$U$257,12,FALSE))))</f>
        <v/>
      </c>
      <c r="M131" s="611"/>
      <c r="N131" s="275" t="str">
        <f>IFERROR(IF(B131="","",INDEX('G-6 Hedgerow Data'!$AN$3:$AZ$15,MATCH(C131,'G-6 Hedgerow Data'!$AM$3:$AM$15,0),MATCH(M131,'G-6 Hedgerow Data'!$AN$2:$AZ$2,0))),"")</f>
        <v/>
      </c>
      <c r="O131" s="276" t="str">
        <f t="shared" si="8"/>
        <v/>
      </c>
      <c r="P131" s="329" t="str">
        <f>IF(B131="","",VLOOKUP(B131,'B-1 On-Site Hedge Baseline'!$B$10:T376,16,FALSE))</f>
        <v/>
      </c>
      <c r="Q131" s="275" t="str">
        <f>IF(M131="","",VLOOKUP(M131,'G-6 Hedgerow Data'!$B$2:$AG$15,2,FALSE))</f>
        <v/>
      </c>
      <c r="R131" s="276" t="str">
        <f>IF(M131="","",VLOOKUP(M131,'G-6 Hedgerow Data'!$B$2:$AG$15,3,FALSE))</f>
        <v/>
      </c>
      <c r="S131" s="108"/>
      <c r="T131" s="314" t="str">
        <f>IFERROR(IF(S131="","",IF(AND(M131="Non-native and ornamental hedgerow",S131&lt;&gt;"Poor"),"Not possible ▲",(VLOOKUP(S131,'G-1 All Habitats'!$Z$2:$AA$9,2,FALSE)))),"")</f>
        <v/>
      </c>
      <c r="U131" s="105"/>
      <c r="V131" s="295" t="str">
        <f>IF(U131="","",IF(VLOOKUP(U131,'G-3 Multipliers'!$L$3:$N$6,2,FALSE)=0,"Spatial Data Missing ⚠",VLOOKUP(U131,'G-3 Multipliers'!$L$3:$N$6,2,FALSE)))</f>
        <v/>
      </c>
      <c r="W131" s="299" t="str">
        <f>IF(U131="","",IF(VLOOKUP(U131,'G-3 Multipliers'!$L$3:$N$6,3,FALSE)=0,"Spatial Data Missing ⚠",VLOOKUP(U131,'G-3 Multipliers'!$L$3:$N$6,3,FALSE)))</f>
        <v/>
      </c>
      <c r="X131" s="275" t="str">
        <f>IFERROR(IF(OR(LEFT(O131,5)="Error",LEFT(N131,5)="Error",T131="Error"),"Check Data ⚠",IF(F131&lt;R131,INDEX('G-6 Hedgerow Data'!$S$3:$AE$14,MATCH(C131,'G-6 Hedgerow Data'!$B$3:$B$14,0),MATCH(M131,'G-6 Hedgerow Data'!$S$2:$AE$2,0)),INDEX('G-6 Hedgerow Data'!$K$3:$Q$14,MATCH(M131,'G-6 Hedgerow Data'!$B$3:$B$14,0),MATCH(O131,'G-6 Hedgerow Data'!$K$2:$Q$2,0)))),"")</f>
        <v/>
      </c>
      <c r="Y131" s="133"/>
      <c r="Z131" s="133"/>
      <c r="AA131" s="283" t="str">
        <f t="shared" si="9"/>
        <v/>
      </c>
      <c r="AB131" s="296" t="str">
        <f t="shared" si="10"/>
        <v/>
      </c>
      <c r="AC131" s="297" t="str">
        <f t="shared" si="7"/>
        <v/>
      </c>
      <c r="AD131" s="311" t="str">
        <f>IF(M131="","",VLOOKUP(M131,'G-6 Hedgerow Data'!$B$3:$AG$15,31,FALSE))</f>
        <v/>
      </c>
      <c r="AE131" s="283" t="str">
        <f t="shared" si="11"/>
        <v/>
      </c>
      <c r="AF131" s="283" t="str">
        <f t="shared" si="12"/>
        <v/>
      </c>
      <c r="AG131" s="299" t="str">
        <f>IFERROR(IF(O131="","",VLOOKUP(AD131,'G-3 Multipliers'!$P$3:$Q$6,2,FALSE)),"")</f>
        <v/>
      </c>
      <c r="AH131" s="289" t="str">
        <f t="shared" si="13"/>
        <v/>
      </c>
      <c r="AI131" s="108"/>
      <c r="AJ131" s="115"/>
      <c r="AK131" s="104"/>
      <c r="AT131" s="30" t="str">
        <f>IFERROR(INDEX('G-6 Hedgerow Data'!$BJ$3:$BJ$15,MATCH(M131,'G-6 Hedgerow Data'!$B$3:$B$15,0)),"")</f>
        <v/>
      </c>
    </row>
    <row r="132" spans="2:46" ht="14">
      <c r="B132" s="305" t="str">
        <f>'B-1 On-Site Hedge Baseline'!AK130</f>
        <v/>
      </c>
      <c r="C132" s="295" t="str">
        <f>IF(B132="","",IF(ISNA(VLOOKUP($B132,'B-1 On-Site Hedge Baseline'!$B$1:$L$257,3,FALSE)),"",(VLOOKUP($B132,'B-1 On-Site Hedge Baseline'!$B$1:$L$257,3,FALSE))))</f>
        <v/>
      </c>
      <c r="D132" s="295" t="str">
        <f>IF(B132="","",IF(ISNA(VLOOKUP($B132,'B-1 On-Site Hedge Baseline'!$B$1:$L$257,4,FALSE)),"",(VLOOKUP($B132,'B-1 On-Site Hedge Baseline'!$B$1:$L$257,4,FALSE))))</f>
        <v/>
      </c>
      <c r="E132" s="295" t="str">
        <f>IF(B132="","",IF(ISNA(VLOOKUP($B132,'B-1 On-Site Hedge Baseline'!$B$1:$L$257,5,FALSE)),"",(VLOOKUP($B132,'B-1 On-Site Hedge Baseline'!$B$1:$L$257,5,FALSE))))</f>
        <v/>
      </c>
      <c r="F132" s="295" t="str">
        <f>IF(B132="","",IF(ISNA(VLOOKUP($B132,'B-1 On-Site Hedge Baseline'!$B$1:$L$257,6,FALSE)),"",(VLOOKUP($B132,'B-1 On-Site Hedge Baseline'!$B$1:$L$257,6,FALSE))))</f>
        <v/>
      </c>
      <c r="G132" s="295" t="str">
        <f>IF(B132="","",IF(ISNA(VLOOKUP($B132,'B-1 On-Site Hedge Baseline'!$B$1:$L$257,7,FALSE)),"",(VLOOKUP($B132,'B-1 On-Site Hedge Baseline'!$B$1:$L$257,7,FALSE))))</f>
        <v/>
      </c>
      <c r="H132" s="295" t="str">
        <f>IF(B132="","",IF(ISNA(VLOOKUP($B132,'B-1 On-Site Hedge Baseline'!$B$1:$L$257,8,FALSE)),"",(VLOOKUP($B132,'B-1 On-Site Hedge Baseline'!$B$1:$L$257,8,FALSE))))</f>
        <v/>
      </c>
      <c r="I132" s="295" t="str">
        <f>IF(B132="","",IF(ISNA(VLOOKUP($B132,'B-1 On-Site Hedge Baseline'!$B$1:$L$257,10,FALSE)),"",(VLOOKUP($B132,'B-1 On-Site Hedge Baseline'!$B$1:$L$257,10,FALSE))))</f>
        <v/>
      </c>
      <c r="J132" s="295" t="str">
        <f>IF(B132="","",IF(ISNA(VLOOKUP($B132,'B-1 On-Site Hedge Baseline'!$B$1:$L$257,11,FALSE)),"",(VLOOKUP($B132,'B-1 On-Site Hedge Baseline'!$B$1:$L$257,11,FALSE))))</f>
        <v/>
      </c>
      <c r="K132" s="295" t="str">
        <f>IF(B132="","",IF(ISNA(VLOOKUP($B132,'B-1 On-Site Hedge Baseline'!$B$1:$U$257,13,FALSE)),"",(VLOOKUP($B132,'B-1 On-Site Hedge Baseline'!$B$1:$U$257,13,FALSE))))</f>
        <v/>
      </c>
      <c r="L132" s="299" t="str">
        <f>IF(B132="","",IF(ISNA(VLOOKUP($B132,'B-1 On-Site Hedge Baseline'!$B$1:$U$257,12,FALSE)),"",(VLOOKUP($B132,'B-1 On-Site Hedge Baseline'!$B$1:$U$257,12,FALSE))))</f>
        <v/>
      </c>
      <c r="M132" s="611"/>
      <c r="N132" s="275" t="str">
        <f>IFERROR(IF(B132="","",INDEX('G-6 Hedgerow Data'!$AN$3:$AZ$15,MATCH(C132,'G-6 Hedgerow Data'!$AM$3:$AM$15,0),MATCH(M132,'G-6 Hedgerow Data'!$AN$2:$AZ$2,0))),"")</f>
        <v/>
      </c>
      <c r="O132" s="276" t="str">
        <f t="shared" si="8"/>
        <v/>
      </c>
      <c r="P132" s="329" t="str">
        <f>IF(B132="","",VLOOKUP(B132,'B-1 On-Site Hedge Baseline'!$B$10:T377,16,FALSE))</f>
        <v/>
      </c>
      <c r="Q132" s="275" t="str">
        <f>IF(M132="","",VLOOKUP(M132,'G-6 Hedgerow Data'!$B$2:$AG$15,2,FALSE))</f>
        <v/>
      </c>
      <c r="R132" s="276" t="str">
        <f>IF(M132="","",VLOOKUP(M132,'G-6 Hedgerow Data'!$B$2:$AG$15,3,FALSE))</f>
        <v/>
      </c>
      <c r="S132" s="108"/>
      <c r="T132" s="314" t="str">
        <f>IFERROR(IF(S132="","",IF(AND(M132="Non-native and ornamental hedgerow",S132&lt;&gt;"Poor"),"Not possible ▲",(VLOOKUP(S132,'G-1 All Habitats'!$Z$2:$AA$9,2,FALSE)))),"")</f>
        <v/>
      </c>
      <c r="U132" s="105"/>
      <c r="V132" s="295" t="str">
        <f>IF(U132="","",IF(VLOOKUP(U132,'G-3 Multipliers'!$L$3:$N$6,2,FALSE)=0,"Spatial Data Missing ⚠",VLOOKUP(U132,'G-3 Multipliers'!$L$3:$N$6,2,FALSE)))</f>
        <v/>
      </c>
      <c r="W132" s="299" t="str">
        <f>IF(U132="","",IF(VLOOKUP(U132,'G-3 Multipliers'!$L$3:$N$6,3,FALSE)=0,"Spatial Data Missing ⚠",VLOOKUP(U132,'G-3 Multipliers'!$L$3:$N$6,3,FALSE)))</f>
        <v/>
      </c>
      <c r="X132" s="275" t="str">
        <f>IFERROR(IF(OR(LEFT(O132,5)="Error",LEFT(N132,5)="Error",T132="Error"),"Check Data ⚠",IF(F132&lt;R132,INDEX('G-6 Hedgerow Data'!$S$3:$AE$14,MATCH(C132,'G-6 Hedgerow Data'!$B$3:$B$14,0),MATCH(M132,'G-6 Hedgerow Data'!$S$2:$AE$2,0)),INDEX('G-6 Hedgerow Data'!$K$3:$Q$14,MATCH(M132,'G-6 Hedgerow Data'!$B$3:$B$14,0),MATCH(O132,'G-6 Hedgerow Data'!$K$2:$Q$2,0)))),"")</f>
        <v/>
      </c>
      <c r="Y132" s="133"/>
      <c r="Z132" s="133"/>
      <c r="AA132" s="283" t="str">
        <f t="shared" si="9"/>
        <v/>
      </c>
      <c r="AB132" s="296" t="str">
        <f t="shared" si="10"/>
        <v/>
      </c>
      <c r="AC132" s="297" t="str">
        <f t="shared" si="7"/>
        <v/>
      </c>
      <c r="AD132" s="311" t="str">
        <f>IF(M132="","",VLOOKUP(M132,'G-6 Hedgerow Data'!$B$3:$AG$15,31,FALSE))</f>
        <v/>
      </c>
      <c r="AE132" s="283" t="str">
        <f t="shared" si="11"/>
        <v/>
      </c>
      <c r="AF132" s="283" t="str">
        <f t="shared" si="12"/>
        <v/>
      </c>
      <c r="AG132" s="299" t="str">
        <f>IFERROR(IF(O132="","",VLOOKUP(AD132,'G-3 Multipliers'!$P$3:$Q$6,2,FALSE)),"")</f>
        <v/>
      </c>
      <c r="AH132" s="289" t="str">
        <f t="shared" si="13"/>
        <v/>
      </c>
      <c r="AI132" s="108"/>
      <c r="AJ132" s="115"/>
      <c r="AK132" s="104"/>
      <c r="AT132" s="30" t="str">
        <f>IFERROR(INDEX('G-6 Hedgerow Data'!$BJ$3:$BJ$15,MATCH(M132,'G-6 Hedgerow Data'!$B$3:$B$15,0)),"")</f>
        <v/>
      </c>
    </row>
    <row r="133" spans="2:46" ht="14">
      <c r="B133" s="305" t="str">
        <f>'B-1 On-Site Hedge Baseline'!AK131</f>
        <v/>
      </c>
      <c r="C133" s="295" t="str">
        <f>IF(B133="","",IF(ISNA(VLOOKUP($B133,'B-1 On-Site Hedge Baseline'!$B$1:$L$257,3,FALSE)),"",(VLOOKUP($B133,'B-1 On-Site Hedge Baseline'!$B$1:$L$257,3,FALSE))))</f>
        <v/>
      </c>
      <c r="D133" s="295" t="str">
        <f>IF(B133="","",IF(ISNA(VLOOKUP($B133,'B-1 On-Site Hedge Baseline'!$B$1:$L$257,4,FALSE)),"",(VLOOKUP($B133,'B-1 On-Site Hedge Baseline'!$B$1:$L$257,4,FALSE))))</f>
        <v/>
      </c>
      <c r="E133" s="295" t="str">
        <f>IF(B133="","",IF(ISNA(VLOOKUP($B133,'B-1 On-Site Hedge Baseline'!$B$1:$L$257,5,FALSE)),"",(VLOOKUP($B133,'B-1 On-Site Hedge Baseline'!$B$1:$L$257,5,FALSE))))</f>
        <v/>
      </c>
      <c r="F133" s="295" t="str">
        <f>IF(B133="","",IF(ISNA(VLOOKUP($B133,'B-1 On-Site Hedge Baseline'!$B$1:$L$257,6,FALSE)),"",(VLOOKUP($B133,'B-1 On-Site Hedge Baseline'!$B$1:$L$257,6,FALSE))))</f>
        <v/>
      </c>
      <c r="G133" s="295" t="str">
        <f>IF(B133="","",IF(ISNA(VLOOKUP($B133,'B-1 On-Site Hedge Baseline'!$B$1:$L$257,7,FALSE)),"",(VLOOKUP($B133,'B-1 On-Site Hedge Baseline'!$B$1:$L$257,7,FALSE))))</f>
        <v/>
      </c>
      <c r="H133" s="295" t="str">
        <f>IF(B133="","",IF(ISNA(VLOOKUP($B133,'B-1 On-Site Hedge Baseline'!$B$1:$L$257,8,FALSE)),"",(VLOOKUP($B133,'B-1 On-Site Hedge Baseline'!$B$1:$L$257,8,FALSE))))</f>
        <v/>
      </c>
      <c r="I133" s="295" t="str">
        <f>IF(B133="","",IF(ISNA(VLOOKUP($B133,'B-1 On-Site Hedge Baseline'!$B$1:$L$257,10,FALSE)),"",(VLOOKUP($B133,'B-1 On-Site Hedge Baseline'!$B$1:$L$257,10,FALSE))))</f>
        <v/>
      </c>
      <c r="J133" s="295" t="str">
        <f>IF(B133="","",IF(ISNA(VLOOKUP($B133,'B-1 On-Site Hedge Baseline'!$B$1:$L$257,11,FALSE)),"",(VLOOKUP($B133,'B-1 On-Site Hedge Baseline'!$B$1:$L$257,11,FALSE))))</f>
        <v/>
      </c>
      <c r="K133" s="295" t="str">
        <f>IF(B133="","",IF(ISNA(VLOOKUP($B133,'B-1 On-Site Hedge Baseline'!$B$1:$U$257,13,FALSE)),"",(VLOOKUP($B133,'B-1 On-Site Hedge Baseline'!$B$1:$U$257,13,FALSE))))</f>
        <v/>
      </c>
      <c r="L133" s="299" t="str">
        <f>IF(B133="","",IF(ISNA(VLOOKUP($B133,'B-1 On-Site Hedge Baseline'!$B$1:$U$257,12,FALSE)),"",(VLOOKUP($B133,'B-1 On-Site Hedge Baseline'!$B$1:$U$257,12,FALSE))))</f>
        <v/>
      </c>
      <c r="M133" s="611"/>
      <c r="N133" s="275" t="str">
        <f>IFERROR(IF(B133="","",INDEX('G-6 Hedgerow Data'!$AN$3:$AZ$15,MATCH(C133,'G-6 Hedgerow Data'!$AM$3:$AM$15,0),MATCH(M133,'G-6 Hedgerow Data'!$AN$2:$AZ$2,0))),"")</f>
        <v/>
      </c>
      <c r="O133" s="276" t="str">
        <f t="shared" si="8"/>
        <v/>
      </c>
      <c r="P133" s="329" t="str">
        <f>IF(B133="","",VLOOKUP(B133,'B-1 On-Site Hedge Baseline'!$B$10:T378,16,FALSE))</f>
        <v/>
      </c>
      <c r="Q133" s="275" t="str">
        <f>IF(M133="","",VLOOKUP(M133,'G-6 Hedgerow Data'!$B$2:$AG$15,2,FALSE))</f>
        <v/>
      </c>
      <c r="R133" s="276" t="str">
        <f>IF(M133="","",VLOOKUP(M133,'G-6 Hedgerow Data'!$B$2:$AG$15,3,FALSE))</f>
        <v/>
      </c>
      <c r="S133" s="108"/>
      <c r="T133" s="314" t="str">
        <f>IFERROR(IF(S133="","",IF(AND(M133="Non-native and ornamental hedgerow",S133&lt;&gt;"Poor"),"Not possible ▲",(VLOOKUP(S133,'G-1 All Habitats'!$Z$2:$AA$9,2,FALSE)))),"")</f>
        <v/>
      </c>
      <c r="U133" s="105"/>
      <c r="V133" s="295" t="str">
        <f>IF(U133="","",IF(VLOOKUP(U133,'G-3 Multipliers'!$L$3:$N$6,2,FALSE)=0,"Spatial Data Missing ⚠",VLOOKUP(U133,'G-3 Multipliers'!$L$3:$N$6,2,FALSE)))</f>
        <v/>
      </c>
      <c r="W133" s="299" t="str">
        <f>IF(U133="","",IF(VLOOKUP(U133,'G-3 Multipliers'!$L$3:$N$6,3,FALSE)=0,"Spatial Data Missing ⚠",VLOOKUP(U133,'G-3 Multipliers'!$L$3:$N$6,3,FALSE)))</f>
        <v/>
      </c>
      <c r="X133" s="275" t="str">
        <f>IFERROR(IF(OR(LEFT(O133,5)="Error",LEFT(N133,5)="Error",T133="Error"),"Check Data ⚠",IF(F133&lt;R133,INDEX('G-6 Hedgerow Data'!$S$3:$AE$14,MATCH(C133,'G-6 Hedgerow Data'!$B$3:$B$14,0),MATCH(M133,'G-6 Hedgerow Data'!$S$2:$AE$2,0)),INDEX('G-6 Hedgerow Data'!$K$3:$Q$14,MATCH(M133,'G-6 Hedgerow Data'!$B$3:$B$14,0),MATCH(O133,'G-6 Hedgerow Data'!$K$2:$Q$2,0)))),"")</f>
        <v/>
      </c>
      <c r="Y133" s="133"/>
      <c r="Z133" s="133"/>
      <c r="AA133" s="283" t="str">
        <f t="shared" si="9"/>
        <v/>
      </c>
      <c r="AB133" s="296" t="str">
        <f t="shared" si="10"/>
        <v/>
      </c>
      <c r="AC133" s="297" t="str">
        <f t="shared" si="7"/>
        <v/>
      </c>
      <c r="AD133" s="311" t="str">
        <f>IF(M133="","",VLOOKUP(M133,'G-6 Hedgerow Data'!$B$3:$AG$15,31,FALSE))</f>
        <v/>
      </c>
      <c r="AE133" s="283" t="str">
        <f t="shared" si="11"/>
        <v/>
      </c>
      <c r="AF133" s="283" t="str">
        <f t="shared" si="12"/>
        <v/>
      </c>
      <c r="AG133" s="299" t="str">
        <f>IFERROR(IF(O133="","",VLOOKUP(AD133,'G-3 Multipliers'!$P$3:$Q$6,2,FALSE)),"")</f>
        <v/>
      </c>
      <c r="AH133" s="289" t="str">
        <f t="shared" si="13"/>
        <v/>
      </c>
      <c r="AI133" s="108"/>
      <c r="AJ133" s="115"/>
      <c r="AK133" s="104"/>
      <c r="AT133" s="30" t="str">
        <f>IFERROR(INDEX('G-6 Hedgerow Data'!$BJ$3:$BJ$15,MATCH(M133,'G-6 Hedgerow Data'!$B$3:$B$15,0)),"")</f>
        <v/>
      </c>
    </row>
    <row r="134" spans="2:46" ht="14">
      <c r="B134" s="305" t="str">
        <f>'B-1 On-Site Hedge Baseline'!AK132</f>
        <v/>
      </c>
      <c r="C134" s="295" t="str">
        <f>IF(B134="","",IF(ISNA(VLOOKUP($B134,'B-1 On-Site Hedge Baseline'!$B$1:$L$257,3,FALSE)),"",(VLOOKUP($B134,'B-1 On-Site Hedge Baseline'!$B$1:$L$257,3,FALSE))))</f>
        <v/>
      </c>
      <c r="D134" s="295" t="str">
        <f>IF(B134="","",IF(ISNA(VLOOKUP($B134,'B-1 On-Site Hedge Baseline'!$B$1:$L$257,4,FALSE)),"",(VLOOKUP($B134,'B-1 On-Site Hedge Baseline'!$B$1:$L$257,4,FALSE))))</f>
        <v/>
      </c>
      <c r="E134" s="295" t="str">
        <f>IF(B134="","",IF(ISNA(VLOOKUP($B134,'B-1 On-Site Hedge Baseline'!$B$1:$L$257,5,FALSE)),"",(VLOOKUP($B134,'B-1 On-Site Hedge Baseline'!$B$1:$L$257,5,FALSE))))</f>
        <v/>
      </c>
      <c r="F134" s="295" t="str">
        <f>IF(B134="","",IF(ISNA(VLOOKUP($B134,'B-1 On-Site Hedge Baseline'!$B$1:$L$257,6,FALSE)),"",(VLOOKUP($B134,'B-1 On-Site Hedge Baseline'!$B$1:$L$257,6,FALSE))))</f>
        <v/>
      </c>
      <c r="G134" s="295" t="str">
        <f>IF(B134="","",IF(ISNA(VLOOKUP($B134,'B-1 On-Site Hedge Baseline'!$B$1:$L$257,7,FALSE)),"",(VLOOKUP($B134,'B-1 On-Site Hedge Baseline'!$B$1:$L$257,7,FALSE))))</f>
        <v/>
      </c>
      <c r="H134" s="295" t="str">
        <f>IF(B134="","",IF(ISNA(VLOOKUP($B134,'B-1 On-Site Hedge Baseline'!$B$1:$L$257,8,FALSE)),"",(VLOOKUP($B134,'B-1 On-Site Hedge Baseline'!$B$1:$L$257,8,FALSE))))</f>
        <v/>
      </c>
      <c r="I134" s="295" t="str">
        <f>IF(B134="","",IF(ISNA(VLOOKUP($B134,'B-1 On-Site Hedge Baseline'!$B$1:$L$257,10,FALSE)),"",(VLOOKUP($B134,'B-1 On-Site Hedge Baseline'!$B$1:$L$257,10,FALSE))))</f>
        <v/>
      </c>
      <c r="J134" s="295" t="str">
        <f>IF(B134="","",IF(ISNA(VLOOKUP($B134,'B-1 On-Site Hedge Baseline'!$B$1:$L$257,11,FALSE)),"",(VLOOKUP($B134,'B-1 On-Site Hedge Baseline'!$B$1:$L$257,11,FALSE))))</f>
        <v/>
      </c>
      <c r="K134" s="295" t="str">
        <f>IF(B134="","",IF(ISNA(VLOOKUP($B134,'B-1 On-Site Hedge Baseline'!$B$1:$U$257,13,FALSE)),"",(VLOOKUP($B134,'B-1 On-Site Hedge Baseline'!$B$1:$U$257,13,FALSE))))</f>
        <v/>
      </c>
      <c r="L134" s="299" t="str">
        <f>IF(B134="","",IF(ISNA(VLOOKUP($B134,'B-1 On-Site Hedge Baseline'!$B$1:$U$257,12,FALSE)),"",(VLOOKUP($B134,'B-1 On-Site Hedge Baseline'!$B$1:$U$257,12,FALSE))))</f>
        <v/>
      </c>
      <c r="M134" s="611"/>
      <c r="N134" s="275" t="str">
        <f>IFERROR(IF(B134="","",INDEX('G-6 Hedgerow Data'!$AN$3:$AZ$15,MATCH(C134,'G-6 Hedgerow Data'!$AM$3:$AM$15,0),MATCH(M134,'G-6 Hedgerow Data'!$AN$2:$AZ$2,0))),"")</f>
        <v/>
      </c>
      <c r="O134" s="276" t="str">
        <f t="shared" si="8"/>
        <v/>
      </c>
      <c r="P134" s="329" t="str">
        <f>IF(B134="","",VLOOKUP(B134,'B-1 On-Site Hedge Baseline'!$B$10:T379,16,FALSE))</f>
        <v/>
      </c>
      <c r="Q134" s="275" t="str">
        <f>IF(M134="","",VLOOKUP(M134,'G-6 Hedgerow Data'!$B$2:$AG$15,2,FALSE))</f>
        <v/>
      </c>
      <c r="R134" s="276" t="str">
        <f>IF(M134="","",VLOOKUP(M134,'G-6 Hedgerow Data'!$B$2:$AG$15,3,FALSE))</f>
        <v/>
      </c>
      <c r="S134" s="108"/>
      <c r="T134" s="314" t="str">
        <f>IFERROR(IF(S134="","",IF(AND(M134="Non-native and ornamental hedgerow",S134&lt;&gt;"Poor"),"Not possible ▲",(VLOOKUP(S134,'G-1 All Habitats'!$Z$2:$AA$9,2,FALSE)))),"")</f>
        <v/>
      </c>
      <c r="U134" s="105"/>
      <c r="V134" s="295" t="str">
        <f>IF(U134="","",IF(VLOOKUP(U134,'G-3 Multipliers'!$L$3:$N$6,2,FALSE)=0,"Spatial Data Missing ⚠",VLOOKUP(U134,'G-3 Multipliers'!$L$3:$N$6,2,FALSE)))</f>
        <v/>
      </c>
      <c r="W134" s="299" t="str">
        <f>IF(U134="","",IF(VLOOKUP(U134,'G-3 Multipliers'!$L$3:$N$6,3,FALSE)=0,"Spatial Data Missing ⚠",VLOOKUP(U134,'G-3 Multipliers'!$L$3:$N$6,3,FALSE)))</f>
        <v/>
      </c>
      <c r="X134" s="275" t="str">
        <f>IFERROR(IF(OR(LEFT(O134,5)="Error",LEFT(N134,5)="Error",T134="Error"),"Check Data ⚠",IF(F134&lt;R134,INDEX('G-6 Hedgerow Data'!$S$3:$AE$14,MATCH(C134,'G-6 Hedgerow Data'!$B$3:$B$14,0),MATCH(M134,'G-6 Hedgerow Data'!$S$2:$AE$2,0)),INDEX('G-6 Hedgerow Data'!$K$3:$Q$14,MATCH(M134,'G-6 Hedgerow Data'!$B$3:$B$14,0),MATCH(O134,'G-6 Hedgerow Data'!$K$2:$Q$2,0)))),"")</f>
        <v/>
      </c>
      <c r="Y134" s="133"/>
      <c r="Z134" s="133"/>
      <c r="AA134" s="283" t="str">
        <f t="shared" si="9"/>
        <v/>
      </c>
      <c r="AB134" s="296" t="str">
        <f t="shared" si="10"/>
        <v/>
      </c>
      <c r="AC134" s="297" t="str">
        <f t="shared" si="7"/>
        <v/>
      </c>
      <c r="AD134" s="311" t="str">
        <f>IF(M134="","",VLOOKUP(M134,'G-6 Hedgerow Data'!$B$3:$AG$15,31,FALSE))</f>
        <v/>
      </c>
      <c r="AE134" s="283" t="str">
        <f t="shared" si="11"/>
        <v/>
      </c>
      <c r="AF134" s="283" t="str">
        <f t="shared" si="12"/>
        <v/>
      </c>
      <c r="AG134" s="299" t="str">
        <f>IFERROR(IF(O134="","",VLOOKUP(AD134,'G-3 Multipliers'!$P$3:$Q$6,2,FALSE)),"")</f>
        <v/>
      </c>
      <c r="AH134" s="289" t="str">
        <f t="shared" si="13"/>
        <v/>
      </c>
      <c r="AI134" s="108"/>
      <c r="AJ134" s="115"/>
      <c r="AK134" s="104"/>
      <c r="AT134" s="30" t="str">
        <f>IFERROR(INDEX('G-6 Hedgerow Data'!$BJ$3:$BJ$15,MATCH(M134,'G-6 Hedgerow Data'!$B$3:$B$15,0)),"")</f>
        <v/>
      </c>
    </row>
    <row r="135" spans="2:46" ht="14">
      <c r="B135" s="305" t="str">
        <f>'B-1 On-Site Hedge Baseline'!AK133</f>
        <v/>
      </c>
      <c r="C135" s="295" t="str">
        <f>IF(B135="","",IF(ISNA(VLOOKUP($B135,'B-1 On-Site Hedge Baseline'!$B$1:$L$257,3,FALSE)),"",(VLOOKUP($B135,'B-1 On-Site Hedge Baseline'!$B$1:$L$257,3,FALSE))))</f>
        <v/>
      </c>
      <c r="D135" s="295" t="str">
        <f>IF(B135="","",IF(ISNA(VLOOKUP($B135,'B-1 On-Site Hedge Baseline'!$B$1:$L$257,4,FALSE)),"",(VLOOKUP($B135,'B-1 On-Site Hedge Baseline'!$B$1:$L$257,4,FALSE))))</f>
        <v/>
      </c>
      <c r="E135" s="295" t="str">
        <f>IF(B135="","",IF(ISNA(VLOOKUP($B135,'B-1 On-Site Hedge Baseline'!$B$1:$L$257,5,FALSE)),"",(VLOOKUP($B135,'B-1 On-Site Hedge Baseline'!$B$1:$L$257,5,FALSE))))</f>
        <v/>
      </c>
      <c r="F135" s="295" t="str">
        <f>IF(B135="","",IF(ISNA(VLOOKUP($B135,'B-1 On-Site Hedge Baseline'!$B$1:$L$257,6,FALSE)),"",(VLOOKUP($B135,'B-1 On-Site Hedge Baseline'!$B$1:$L$257,6,FALSE))))</f>
        <v/>
      </c>
      <c r="G135" s="295" t="str">
        <f>IF(B135="","",IF(ISNA(VLOOKUP($B135,'B-1 On-Site Hedge Baseline'!$B$1:$L$257,7,FALSE)),"",(VLOOKUP($B135,'B-1 On-Site Hedge Baseline'!$B$1:$L$257,7,FALSE))))</f>
        <v/>
      </c>
      <c r="H135" s="295" t="str">
        <f>IF(B135="","",IF(ISNA(VLOOKUP($B135,'B-1 On-Site Hedge Baseline'!$B$1:$L$257,8,FALSE)),"",(VLOOKUP($B135,'B-1 On-Site Hedge Baseline'!$B$1:$L$257,8,FALSE))))</f>
        <v/>
      </c>
      <c r="I135" s="295" t="str">
        <f>IF(B135="","",IF(ISNA(VLOOKUP($B135,'B-1 On-Site Hedge Baseline'!$B$1:$L$257,10,FALSE)),"",(VLOOKUP($B135,'B-1 On-Site Hedge Baseline'!$B$1:$L$257,10,FALSE))))</f>
        <v/>
      </c>
      <c r="J135" s="295" t="str">
        <f>IF(B135="","",IF(ISNA(VLOOKUP($B135,'B-1 On-Site Hedge Baseline'!$B$1:$L$257,11,FALSE)),"",(VLOOKUP($B135,'B-1 On-Site Hedge Baseline'!$B$1:$L$257,11,FALSE))))</f>
        <v/>
      </c>
      <c r="K135" s="295" t="str">
        <f>IF(B135="","",IF(ISNA(VLOOKUP($B135,'B-1 On-Site Hedge Baseline'!$B$1:$U$257,13,FALSE)),"",(VLOOKUP($B135,'B-1 On-Site Hedge Baseline'!$B$1:$U$257,13,FALSE))))</f>
        <v/>
      </c>
      <c r="L135" s="299" t="str">
        <f>IF(B135="","",IF(ISNA(VLOOKUP($B135,'B-1 On-Site Hedge Baseline'!$B$1:$U$257,12,FALSE)),"",(VLOOKUP($B135,'B-1 On-Site Hedge Baseline'!$B$1:$U$257,12,FALSE))))</f>
        <v/>
      </c>
      <c r="M135" s="611"/>
      <c r="N135" s="275" t="str">
        <f>IFERROR(IF(B135="","",INDEX('G-6 Hedgerow Data'!$AN$3:$AZ$15,MATCH(C135,'G-6 Hedgerow Data'!$AM$3:$AM$15,0),MATCH(M135,'G-6 Hedgerow Data'!$AN$2:$AZ$2,0))),"")</f>
        <v/>
      </c>
      <c r="O135" s="276" t="str">
        <f t="shared" si="8"/>
        <v/>
      </c>
      <c r="P135" s="329" t="str">
        <f>IF(B135="","",VLOOKUP(B135,'B-1 On-Site Hedge Baseline'!$B$10:T380,16,FALSE))</f>
        <v/>
      </c>
      <c r="Q135" s="275" t="str">
        <f>IF(M135="","",VLOOKUP(M135,'G-6 Hedgerow Data'!$B$2:$AG$15,2,FALSE))</f>
        <v/>
      </c>
      <c r="R135" s="276" t="str">
        <f>IF(M135="","",VLOOKUP(M135,'G-6 Hedgerow Data'!$B$2:$AG$15,3,FALSE))</f>
        <v/>
      </c>
      <c r="S135" s="108"/>
      <c r="T135" s="314" t="str">
        <f>IFERROR(IF(S135="","",IF(AND(M135="Non-native and ornamental hedgerow",S135&lt;&gt;"Poor"),"Not possible ▲",(VLOOKUP(S135,'G-1 All Habitats'!$Z$2:$AA$9,2,FALSE)))),"")</f>
        <v/>
      </c>
      <c r="U135" s="105"/>
      <c r="V135" s="295" t="str">
        <f>IF(U135="","",IF(VLOOKUP(U135,'G-3 Multipliers'!$L$3:$N$6,2,FALSE)=0,"Spatial Data Missing ⚠",VLOOKUP(U135,'G-3 Multipliers'!$L$3:$N$6,2,FALSE)))</f>
        <v/>
      </c>
      <c r="W135" s="299" t="str">
        <f>IF(U135="","",IF(VLOOKUP(U135,'G-3 Multipliers'!$L$3:$N$6,3,FALSE)=0,"Spatial Data Missing ⚠",VLOOKUP(U135,'G-3 Multipliers'!$L$3:$N$6,3,FALSE)))</f>
        <v/>
      </c>
      <c r="X135" s="275" t="str">
        <f>IFERROR(IF(OR(LEFT(O135,5)="Error",LEFT(N135,5)="Error",T135="Error"),"Check Data ⚠",IF(F135&lt;R135,INDEX('G-6 Hedgerow Data'!$S$3:$AE$14,MATCH(C135,'G-6 Hedgerow Data'!$B$3:$B$14,0),MATCH(M135,'G-6 Hedgerow Data'!$S$2:$AE$2,0)),INDEX('G-6 Hedgerow Data'!$K$3:$Q$14,MATCH(M135,'G-6 Hedgerow Data'!$B$3:$B$14,0),MATCH(O135,'G-6 Hedgerow Data'!$K$2:$Q$2,0)))),"")</f>
        <v/>
      </c>
      <c r="Y135" s="133"/>
      <c r="Z135" s="133"/>
      <c r="AA135" s="283" t="str">
        <f t="shared" si="9"/>
        <v/>
      </c>
      <c r="AB135" s="296" t="str">
        <f t="shared" si="10"/>
        <v/>
      </c>
      <c r="AC135" s="297" t="str">
        <f t="shared" si="7"/>
        <v/>
      </c>
      <c r="AD135" s="311" t="str">
        <f>IF(M135="","",VLOOKUP(M135,'G-6 Hedgerow Data'!$B$3:$AG$15,31,FALSE))</f>
        <v/>
      </c>
      <c r="AE135" s="283" t="str">
        <f t="shared" si="11"/>
        <v/>
      </c>
      <c r="AF135" s="283" t="str">
        <f t="shared" si="12"/>
        <v/>
      </c>
      <c r="AG135" s="299" t="str">
        <f>IFERROR(IF(O135="","",VLOOKUP(AD135,'G-3 Multipliers'!$P$3:$Q$6,2,FALSE)),"")</f>
        <v/>
      </c>
      <c r="AH135" s="289" t="str">
        <f t="shared" si="13"/>
        <v/>
      </c>
      <c r="AI135" s="108"/>
      <c r="AJ135" s="115"/>
      <c r="AK135" s="104"/>
      <c r="AT135" s="30" t="str">
        <f>IFERROR(INDEX('G-6 Hedgerow Data'!$BJ$3:$BJ$15,MATCH(M135,'G-6 Hedgerow Data'!$B$3:$B$15,0)),"")</f>
        <v/>
      </c>
    </row>
    <row r="136" spans="2:46" ht="14">
      <c r="B136" s="305" t="str">
        <f>'B-1 On-Site Hedge Baseline'!AK134</f>
        <v/>
      </c>
      <c r="C136" s="295" t="str">
        <f>IF(B136="","",IF(ISNA(VLOOKUP($B136,'B-1 On-Site Hedge Baseline'!$B$1:$L$257,3,FALSE)),"",(VLOOKUP($B136,'B-1 On-Site Hedge Baseline'!$B$1:$L$257,3,FALSE))))</f>
        <v/>
      </c>
      <c r="D136" s="295" t="str">
        <f>IF(B136="","",IF(ISNA(VLOOKUP($B136,'B-1 On-Site Hedge Baseline'!$B$1:$L$257,4,FALSE)),"",(VLOOKUP($B136,'B-1 On-Site Hedge Baseline'!$B$1:$L$257,4,FALSE))))</f>
        <v/>
      </c>
      <c r="E136" s="295" t="str">
        <f>IF(B136="","",IF(ISNA(VLOOKUP($B136,'B-1 On-Site Hedge Baseline'!$B$1:$L$257,5,FALSE)),"",(VLOOKUP($B136,'B-1 On-Site Hedge Baseline'!$B$1:$L$257,5,FALSE))))</f>
        <v/>
      </c>
      <c r="F136" s="295" t="str">
        <f>IF(B136="","",IF(ISNA(VLOOKUP($B136,'B-1 On-Site Hedge Baseline'!$B$1:$L$257,6,FALSE)),"",(VLOOKUP($B136,'B-1 On-Site Hedge Baseline'!$B$1:$L$257,6,FALSE))))</f>
        <v/>
      </c>
      <c r="G136" s="295" t="str">
        <f>IF(B136="","",IF(ISNA(VLOOKUP($B136,'B-1 On-Site Hedge Baseline'!$B$1:$L$257,7,FALSE)),"",(VLOOKUP($B136,'B-1 On-Site Hedge Baseline'!$B$1:$L$257,7,FALSE))))</f>
        <v/>
      </c>
      <c r="H136" s="295" t="str">
        <f>IF(B136="","",IF(ISNA(VLOOKUP($B136,'B-1 On-Site Hedge Baseline'!$B$1:$L$257,8,FALSE)),"",(VLOOKUP($B136,'B-1 On-Site Hedge Baseline'!$B$1:$L$257,8,FALSE))))</f>
        <v/>
      </c>
      <c r="I136" s="295" t="str">
        <f>IF(B136="","",IF(ISNA(VLOOKUP($B136,'B-1 On-Site Hedge Baseline'!$B$1:$L$257,10,FALSE)),"",(VLOOKUP($B136,'B-1 On-Site Hedge Baseline'!$B$1:$L$257,10,FALSE))))</f>
        <v/>
      </c>
      <c r="J136" s="295" t="str">
        <f>IF(B136="","",IF(ISNA(VLOOKUP($B136,'B-1 On-Site Hedge Baseline'!$B$1:$L$257,11,FALSE)),"",(VLOOKUP($B136,'B-1 On-Site Hedge Baseline'!$B$1:$L$257,11,FALSE))))</f>
        <v/>
      </c>
      <c r="K136" s="295" t="str">
        <f>IF(B136="","",IF(ISNA(VLOOKUP($B136,'B-1 On-Site Hedge Baseline'!$B$1:$U$257,13,FALSE)),"",(VLOOKUP($B136,'B-1 On-Site Hedge Baseline'!$B$1:$U$257,13,FALSE))))</f>
        <v/>
      </c>
      <c r="L136" s="299" t="str">
        <f>IF(B136="","",IF(ISNA(VLOOKUP($B136,'B-1 On-Site Hedge Baseline'!$B$1:$U$257,12,FALSE)),"",(VLOOKUP($B136,'B-1 On-Site Hedge Baseline'!$B$1:$U$257,12,FALSE))))</f>
        <v/>
      </c>
      <c r="M136" s="611"/>
      <c r="N136" s="275" t="str">
        <f>IFERROR(IF(B136="","",INDEX('G-6 Hedgerow Data'!$AN$3:$AZ$15,MATCH(C136,'G-6 Hedgerow Data'!$AM$3:$AM$15,0),MATCH(M136,'G-6 Hedgerow Data'!$AN$2:$AZ$2,0))),"")</f>
        <v/>
      </c>
      <c r="O136" s="276" t="str">
        <f t="shared" si="8"/>
        <v/>
      </c>
      <c r="P136" s="329" t="str">
        <f>IF(B136="","",VLOOKUP(B136,'B-1 On-Site Hedge Baseline'!$B$10:T381,16,FALSE))</f>
        <v/>
      </c>
      <c r="Q136" s="275" t="str">
        <f>IF(M136="","",VLOOKUP(M136,'G-6 Hedgerow Data'!$B$2:$AG$15,2,FALSE))</f>
        <v/>
      </c>
      <c r="R136" s="276" t="str">
        <f>IF(M136="","",VLOOKUP(M136,'G-6 Hedgerow Data'!$B$2:$AG$15,3,FALSE))</f>
        <v/>
      </c>
      <c r="S136" s="108"/>
      <c r="T136" s="314" t="str">
        <f>IFERROR(IF(S136="","",IF(AND(M136="Non-native and ornamental hedgerow",S136&lt;&gt;"Poor"),"Not possible ▲",(VLOOKUP(S136,'G-1 All Habitats'!$Z$2:$AA$9,2,FALSE)))),"")</f>
        <v/>
      </c>
      <c r="U136" s="105"/>
      <c r="V136" s="295" t="str">
        <f>IF(U136="","",IF(VLOOKUP(U136,'G-3 Multipliers'!$L$3:$N$6,2,FALSE)=0,"Spatial Data Missing ⚠",VLOOKUP(U136,'G-3 Multipliers'!$L$3:$N$6,2,FALSE)))</f>
        <v/>
      </c>
      <c r="W136" s="299" t="str">
        <f>IF(U136="","",IF(VLOOKUP(U136,'G-3 Multipliers'!$L$3:$N$6,3,FALSE)=0,"Spatial Data Missing ⚠",VLOOKUP(U136,'G-3 Multipliers'!$L$3:$N$6,3,FALSE)))</f>
        <v/>
      </c>
      <c r="X136" s="275" t="str">
        <f>IFERROR(IF(OR(LEFT(O136,5)="Error",LEFT(N136,5)="Error",T136="Error"),"Check Data ⚠",IF(F136&lt;R136,INDEX('G-6 Hedgerow Data'!$S$3:$AE$14,MATCH(C136,'G-6 Hedgerow Data'!$B$3:$B$14,0),MATCH(M136,'G-6 Hedgerow Data'!$S$2:$AE$2,0)),INDEX('G-6 Hedgerow Data'!$K$3:$Q$14,MATCH(M136,'G-6 Hedgerow Data'!$B$3:$B$14,0),MATCH(O136,'G-6 Hedgerow Data'!$K$2:$Q$2,0)))),"")</f>
        <v/>
      </c>
      <c r="Y136" s="133"/>
      <c r="Z136" s="133"/>
      <c r="AA136" s="283" t="str">
        <f t="shared" si="9"/>
        <v/>
      </c>
      <c r="AB136" s="296" t="str">
        <f t="shared" si="10"/>
        <v/>
      </c>
      <c r="AC136" s="297" t="str">
        <f t="shared" si="7"/>
        <v/>
      </c>
      <c r="AD136" s="311" t="str">
        <f>IF(M136="","",VLOOKUP(M136,'G-6 Hedgerow Data'!$B$3:$AG$15,31,FALSE))</f>
        <v/>
      </c>
      <c r="AE136" s="283" t="str">
        <f t="shared" si="11"/>
        <v/>
      </c>
      <c r="AF136" s="283" t="str">
        <f t="shared" si="12"/>
        <v/>
      </c>
      <c r="AG136" s="299" t="str">
        <f>IFERROR(IF(O136="","",VLOOKUP(AD136,'G-3 Multipliers'!$P$3:$Q$6,2,FALSE)),"")</f>
        <v/>
      </c>
      <c r="AH136" s="289" t="str">
        <f t="shared" si="13"/>
        <v/>
      </c>
      <c r="AI136" s="108"/>
      <c r="AJ136" s="115"/>
      <c r="AK136" s="104"/>
      <c r="AT136" s="30" t="str">
        <f>IFERROR(INDEX('G-6 Hedgerow Data'!$BJ$3:$BJ$15,MATCH(M136,'G-6 Hedgerow Data'!$B$3:$B$15,0)),"")</f>
        <v/>
      </c>
    </row>
    <row r="137" spans="2:46" ht="14">
      <c r="B137" s="305" t="str">
        <f>'B-1 On-Site Hedge Baseline'!AK135</f>
        <v/>
      </c>
      <c r="C137" s="295" t="str">
        <f>IF(B137="","",IF(ISNA(VLOOKUP($B137,'B-1 On-Site Hedge Baseline'!$B$1:$L$257,3,FALSE)),"",(VLOOKUP($B137,'B-1 On-Site Hedge Baseline'!$B$1:$L$257,3,FALSE))))</f>
        <v/>
      </c>
      <c r="D137" s="295" t="str">
        <f>IF(B137="","",IF(ISNA(VLOOKUP($B137,'B-1 On-Site Hedge Baseline'!$B$1:$L$257,4,FALSE)),"",(VLOOKUP($B137,'B-1 On-Site Hedge Baseline'!$B$1:$L$257,4,FALSE))))</f>
        <v/>
      </c>
      <c r="E137" s="295" t="str">
        <f>IF(B137="","",IF(ISNA(VLOOKUP($B137,'B-1 On-Site Hedge Baseline'!$B$1:$L$257,5,FALSE)),"",(VLOOKUP($B137,'B-1 On-Site Hedge Baseline'!$B$1:$L$257,5,FALSE))))</f>
        <v/>
      </c>
      <c r="F137" s="295" t="str">
        <f>IF(B137="","",IF(ISNA(VLOOKUP($B137,'B-1 On-Site Hedge Baseline'!$B$1:$L$257,6,FALSE)),"",(VLOOKUP($B137,'B-1 On-Site Hedge Baseline'!$B$1:$L$257,6,FALSE))))</f>
        <v/>
      </c>
      <c r="G137" s="295" t="str">
        <f>IF(B137="","",IF(ISNA(VLOOKUP($B137,'B-1 On-Site Hedge Baseline'!$B$1:$L$257,7,FALSE)),"",(VLOOKUP($B137,'B-1 On-Site Hedge Baseline'!$B$1:$L$257,7,FALSE))))</f>
        <v/>
      </c>
      <c r="H137" s="295" t="str">
        <f>IF(B137="","",IF(ISNA(VLOOKUP($B137,'B-1 On-Site Hedge Baseline'!$B$1:$L$257,8,FALSE)),"",(VLOOKUP($B137,'B-1 On-Site Hedge Baseline'!$B$1:$L$257,8,FALSE))))</f>
        <v/>
      </c>
      <c r="I137" s="295" t="str">
        <f>IF(B137="","",IF(ISNA(VLOOKUP($B137,'B-1 On-Site Hedge Baseline'!$B$1:$L$257,10,FALSE)),"",(VLOOKUP($B137,'B-1 On-Site Hedge Baseline'!$B$1:$L$257,10,FALSE))))</f>
        <v/>
      </c>
      <c r="J137" s="295" t="str">
        <f>IF(B137="","",IF(ISNA(VLOOKUP($B137,'B-1 On-Site Hedge Baseline'!$B$1:$L$257,11,FALSE)),"",(VLOOKUP($B137,'B-1 On-Site Hedge Baseline'!$B$1:$L$257,11,FALSE))))</f>
        <v/>
      </c>
      <c r="K137" s="295" t="str">
        <f>IF(B137="","",IF(ISNA(VLOOKUP($B137,'B-1 On-Site Hedge Baseline'!$B$1:$U$257,13,FALSE)),"",(VLOOKUP($B137,'B-1 On-Site Hedge Baseline'!$B$1:$U$257,13,FALSE))))</f>
        <v/>
      </c>
      <c r="L137" s="299" t="str">
        <f>IF(B137="","",IF(ISNA(VLOOKUP($B137,'B-1 On-Site Hedge Baseline'!$B$1:$U$257,12,FALSE)),"",(VLOOKUP($B137,'B-1 On-Site Hedge Baseline'!$B$1:$U$257,12,FALSE))))</f>
        <v/>
      </c>
      <c r="M137" s="611"/>
      <c r="N137" s="275" t="str">
        <f>IFERROR(IF(B137="","",INDEX('G-6 Hedgerow Data'!$AN$3:$AZ$15,MATCH(C137,'G-6 Hedgerow Data'!$AM$3:$AM$15,0),MATCH(M137,'G-6 Hedgerow Data'!$AN$2:$AZ$2,0))),"")</f>
        <v/>
      </c>
      <c r="O137" s="276" t="str">
        <f t="shared" si="8"/>
        <v/>
      </c>
      <c r="P137" s="329" t="str">
        <f>IF(B137="","",VLOOKUP(B137,'B-1 On-Site Hedge Baseline'!$B$10:T382,16,FALSE))</f>
        <v/>
      </c>
      <c r="Q137" s="275" t="str">
        <f>IF(M137="","",VLOOKUP(M137,'G-6 Hedgerow Data'!$B$2:$AG$15,2,FALSE))</f>
        <v/>
      </c>
      <c r="R137" s="276" t="str">
        <f>IF(M137="","",VLOOKUP(M137,'G-6 Hedgerow Data'!$B$2:$AG$15,3,FALSE))</f>
        <v/>
      </c>
      <c r="S137" s="108"/>
      <c r="T137" s="314" t="str">
        <f>IFERROR(IF(S137="","",IF(AND(M137="Non-native and ornamental hedgerow",S137&lt;&gt;"Poor"),"Not possible ▲",(VLOOKUP(S137,'G-1 All Habitats'!$Z$2:$AA$9,2,FALSE)))),"")</f>
        <v/>
      </c>
      <c r="U137" s="105"/>
      <c r="V137" s="295" t="str">
        <f>IF(U137="","",IF(VLOOKUP(U137,'G-3 Multipliers'!$L$3:$N$6,2,FALSE)=0,"Spatial Data Missing ⚠",VLOOKUP(U137,'G-3 Multipliers'!$L$3:$N$6,2,FALSE)))</f>
        <v/>
      </c>
      <c r="W137" s="299" t="str">
        <f>IF(U137="","",IF(VLOOKUP(U137,'G-3 Multipliers'!$L$3:$N$6,3,FALSE)=0,"Spatial Data Missing ⚠",VLOOKUP(U137,'G-3 Multipliers'!$L$3:$N$6,3,FALSE)))</f>
        <v/>
      </c>
      <c r="X137" s="275" t="str">
        <f>IFERROR(IF(OR(LEFT(O137,5)="Error",LEFT(N137,5)="Error",T137="Error"),"Check Data ⚠",IF(F137&lt;R137,INDEX('G-6 Hedgerow Data'!$S$3:$AE$14,MATCH(C137,'G-6 Hedgerow Data'!$B$3:$B$14,0),MATCH(M137,'G-6 Hedgerow Data'!$S$2:$AE$2,0)),INDEX('G-6 Hedgerow Data'!$K$3:$Q$14,MATCH(M137,'G-6 Hedgerow Data'!$B$3:$B$14,0),MATCH(O137,'G-6 Hedgerow Data'!$K$2:$Q$2,0)))),"")</f>
        <v/>
      </c>
      <c r="Y137" s="133"/>
      <c r="Z137" s="133"/>
      <c r="AA137" s="283" t="str">
        <f t="shared" si="9"/>
        <v/>
      </c>
      <c r="AB137" s="296" t="str">
        <f t="shared" si="10"/>
        <v/>
      </c>
      <c r="AC137" s="297" t="str">
        <f t="shared" si="7"/>
        <v/>
      </c>
      <c r="AD137" s="311" t="str">
        <f>IF(M137="","",VLOOKUP(M137,'G-6 Hedgerow Data'!$B$3:$AG$15,31,FALSE))</f>
        <v/>
      </c>
      <c r="AE137" s="283" t="str">
        <f t="shared" si="11"/>
        <v/>
      </c>
      <c r="AF137" s="283" t="str">
        <f t="shared" si="12"/>
        <v/>
      </c>
      <c r="AG137" s="299" t="str">
        <f>IFERROR(IF(O137="","",VLOOKUP(AD137,'G-3 Multipliers'!$P$3:$Q$6,2,FALSE)),"")</f>
        <v/>
      </c>
      <c r="AH137" s="289" t="str">
        <f t="shared" si="13"/>
        <v/>
      </c>
      <c r="AI137" s="108"/>
      <c r="AJ137" s="115"/>
      <c r="AK137" s="104"/>
      <c r="AT137" s="30" t="str">
        <f>IFERROR(INDEX('G-6 Hedgerow Data'!$BJ$3:$BJ$15,MATCH(M137,'G-6 Hedgerow Data'!$B$3:$B$15,0)),"")</f>
        <v/>
      </c>
    </row>
    <row r="138" spans="2:46" ht="14">
      <c r="B138" s="305" t="str">
        <f>'B-1 On-Site Hedge Baseline'!AK136</f>
        <v/>
      </c>
      <c r="C138" s="295" t="str">
        <f>IF(B138="","",IF(ISNA(VLOOKUP($B138,'B-1 On-Site Hedge Baseline'!$B$1:$L$257,3,FALSE)),"",(VLOOKUP($B138,'B-1 On-Site Hedge Baseline'!$B$1:$L$257,3,FALSE))))</f>
        <v/>
      </c>
      <c r="D138" s="295" t="str">
        <f>IF(B138="","",IF(ISNA(VLOOKUP($B138,'B-1 On-Site Hedge Baseline'!$B$1:$L$257,4,FALSE)),"",(VLOOKUP($B138,'B-1 On-Site Hedge Baseline'!$B$1:$L$257,4,FALSE))))</f>
        <v/>
      </c>
      <c r="E138" s="295" t="str">
        <f>IF(B138="","",IF(ISNA(VLOOKUP($B138,'B-1 On-Site Hedge Baseline'!$B$1:$L$257,5,FALSE)),"",(VLOOKUP($B138,'B-1 On-Site Hedge Baseline'!$B$1:$L$257,5,FALSE))))</f>
        <v/>
      </c>
      <c r="F138" s="295" t="str">
        <f>IF(B138="","",IF(ISNA(VLOOKUP($B138,'B-1 On-Site Hedge Baseline'!$B$1:$L$257,6,FALSE)),"",(VLOOKUP($B138,'B-1 On-Site Hedge Baseline'!$B$1:$L$257,6,FALSE))))</f>
        <v/>
      </c>
      <c r="G138" s="295" t="str">
        <f>IF(B138="","",IF(ISNA(VLOOKUP($B138,'B-1 On-Site Hedge Baseline'!$B$1:$L$257,7,FALSE)),"",(VLOOKUP($B138,'B-1 On-Site Hedge Baseline'!$B$1:$L$257,7,FALSE))))</f>
        <v/>
      </c>
      <c r="H138" s="295" t="str">
        <f>IF(B138="","",IF(ISNA(VLOOKUP($B138,'B-1 On-Site Hedge Baseline'!$B$1:$L$257,8,FALSE)),"",(VLOOKUP($B138,'B-1 On-Site Hedge Baseline'!$B$1:$L$257,8,FALSE))))</f>
        <v/>
      </c>
      <c r="I138" s="295" t="str">
        <f>IF(B138="","",IF(ISNA(VLOOKUP($B138,'B-1 On-Site Hedge Baseline'!$B$1:$L$257,10,FALSE)),"",(VLOOKUP($B138,'B-1 On-Site Hedge Baseline'!$B$1:$L$257,10,FALSE))))</f>
        <v/>
      </c>
      <c r="J138" s="295" t="str">
        <f>IF(B138="","",IF(ISNA(VLOOKUP($B138,'B-1 On-Site Hedge Baseline'!$B$1:$L$257,11,FALSE)),"",(VLOOKUP($B138,'B-1 On-Site Hedge Baseline'!$B$1:$L$257,11,FALSE))))</f>
        <v/>
      </c>
      <c r="K138" s="295" t="str">
        <f>IF(B138="","",IF(ISNA(VLOOKUP($B138,'B-1 On-Site Hedge Baseline'!$B$1:$U$257,13,FALSE)),"",(VLOOKUP($B138,'B-1 On-Site Hedge Baseline'!$B$1:$U$257,13,FALSE))))</f>
        <v/>
      </c>
      <c r="L138" s="299" t="str">
        <f>IF(B138="","",IF(ISNA(VLOOKUP($B138,'B-1 On-Site Hedge Baseline'!$B$1:$U$257,12,FALSE)),"",(VLOOKUP($B138,'B-1 On-Site Hedge Baseline'!$B$1:$U$257,12,FALSE))))</f>
        <v/>
      </c>
      <c r="M138" s="611"/>
      <c r="N138" s="275" t="str">
        <f>IFERROR(IF(B138="","",INDEX('G-6 Hedgerow Data'!$AN$3:$AZ$15,MATCH(C138,'G-6 Hedgerow Data'!$AM$3:$AM$15,0),MATCH(M138,'G-6 Hedgerow Data'!$AN$2:$AZ$2,0))),"")</f>
        <v/>
      </c>
      <c r="O138" s="276" t="str">
        <f t="shared" si="8"/>
        <v/>
      </c>
      <c r="P138" s="329" t="str">
        <f>IF(B138="","",VLOOKUP(B138,'B-1 On-Site Hedge Baseline'!$B$10:T383,16,FALSE))</f>
        <v/>
      </c>
      <c r="Q138" s="275" t="str">
        <f>IF(M138="","",VLOOKUP(M138,'G-6 Hedgerow Data'!$B$2:$AG$15,2,FALSE))</f>
        <v/>
      </c>
      <c r="R138" s="276" t="str">
        <f>IF(M138="","",VLOOKUP(M138,'G-6 Hedgerow Data'!$B$2:$AG$15,3,FALSE))</f>
        <v/>
      </c>
      <c r="S138" s="108"/>
      <c r="T138" s="314" t="str">
        <f>IFERROR(IF(S138="","",IF(AND(M138="Non-native and ornamental hedgerow",S138&lt;&gt;"Poor"),"Not possible ▲",(VLOOKUP(S138,'G-1 All Habitats'!$Z$2:$AA$9,2,FALSE)))),"")</f>
        <v/>
      </c>
      <c r="U138" s="105"/>
      <c r="V138" s="295" t="str">
        <f>IF(U138="","",IF(VLOOKUP(U138,'G-3 Multipliers'!$L$3:$N$6,2,FALSE)=0,"Spatial Data Missing ⚠",VLOOKUP(U138,'G-3 Multipliers'!$L$3:$N$6,2,FALSE)))</f>
        <v/>
      </c>
      <c r="W138" s="299" t="str">
        <f>IF(U138="","",IF(VLOOKUP(U138,'G-3 Multipliers'!$L$3:$N$6,3,FALSE)=0,"Spatial Data Missing ⚠",VLOOKUP(U138,'G-3 Multipliers'!$L$3:$N$6,3,FALSE)))</f>
        <v/>
      </c>
      <c r="X138" s="275" t="str">
        <f>IFERROR(IF(OR(LEFT(O138,5)="Error",LEFT(N138,5)="Error",T138="Error"),"Check Data ⚠",IF(F138&lt;R138,INDEX('G-6 Hedgerow Data'!$S$3:$AE$14,MATCH(C138,'G-6 Hedgerow Data'!$B$3:$B$14,0),MATCH(M138,'G-6 Hedgerow Data'!$S$2:$AE$2,0)),INDEX('G-6 Hedgerow Data'!$K$3:$Q$14,MATCH(M138,'G-6 Hedgerow Data'!$B$3:$B$14,0),MATCH(O138,'G-6 Hedgerow Data'!$K$2:$Q$2,0)))),"")</f>
        <v/>
      </c>
      <c r="Y138" s="133"/>
      <c r="Z138" s="133"/>
      <c r="AA138" s="283" t="str">
        <f t="shared" si="9"/>
        <v/>
      </c>
      <c r="AB138" s="296" t="str">
        <f t="shared" si="10"/>
        <v/>
      </c>
      <c r="AC138" s="297" t="str">
        <f t="shared" si="7"/>
        <v/>
      </c>
      <c r="AD138" s="311" t="str">
        <f>IF(M138="","",VLOOKUP(M138,'G-6 Hedgerow Data'!$B$3:$AG$15,31,FALSE))</f>
        <v/>
      </c>
      <c r="AE138" s="283" t="str">
        <f t="shared" si="11"/>
        <v/>
      </c>
      <c r="AF138" s="283" t="str">
        <f t="shared" si="12"/>
        <v/>
      </c>
      <c r="AG138" s="299" t="str">
        <f>IFERROR(IF(O138="","",VLOOKUP(AD138,'G-3 Multipliers'!$P$3:$Q$6,2,FALSE)),"")</f>
        <v/>
      </c>
      <c r="AH138" s="289" t="str">
        <f t="shared" si="13"/>
        <v/>
      </c>
      <c r="AI138" s="108"/>
      <c r="AJ138" s="115"/>
      <c r="AK138" s="104"/>
      <c r="AT138" s="30" t="str">
        <f>IFERROR(INDEX('G-6 Hedgerow Data'!$BJ$3:$BJ$15,MATCH(M138,'G-6 Hedgerow Data'!$B$3:$B$15,0)),"")</f>
        <v/>
      </c>
    </row>
    <row r="139" spans="2:46" ht="14">
      <c r="B139" s="305" t="str">
        <f>'B-1 On-Site Hedge Baseline'!AK137</f>
        <v/>
      </c>
      <c r="C139" s="295" t="str">
        <f>IF(B139="","",IF(ISNA(VLOOKUP($B139,'B-1 On-Site Hedge Baseline'!$B$1:$L$257,3,FALSE)),"",(VLOOKUP($B139,'B-1 On-Site Hedge Baseline'!$B$1:$L$257,3,FALSE))))</f>
        <v/>
      </c>
      <c r="D139" s="295" t="str">
        <f>IF(B139="","",IF(ISNA(VLOOKUP($B139,'B-1 On-Site Hedge Baseline'!$B$1:$L$257,4,FALSE)),"",(VLOOKUP($B139,'B-1 On-Site Hedge Baseline'!$B$1:$L$257,4,FALSE))))</f>
        <v/>
      </c>
      <c r="E139" s="295" t="str">
        <f>IF(B139="","",IF(ISNA(VLOOKUP($B139,'B-1 On-Site Hedge Baseline'!$B$1:$L$257,5,FALSE)),"",(VLOOKUP($B139,'B-1 On-Site Hedge Baseline'!$B$1:$L$257,5,FALSE))))</f>
        <v/>
      </c>
      <c r="F139" s="295" t="str">
        <f>IF(B139="","",IF(ISNA(VLOOKUP($B139,'B-1 On-Site Hedge Baseline'!$B$1:$L$257,6,FALSE)),"",(VLOOKUP($B139,'B-1 On-Site Hedge Baseline'!$B$1:$L$257,6,FALSE))))</f>
        <v/>
      </c>
      <c r="G139" s="295" t="str">
        <f>IF(B139="","",IF(ISNA(VLOOKUP($B139,'B-1 On-Site Hedge Baseline'!$B$1:$L$257,7,FALSE)),"",(VLOOKUP($B139,'B-1 On-Site Hedge Baseline'!$B$1:$L$257,7,FALSE))))</f>
        <v/>
      </c>
      <c r="H139" s="295" t="str">
        <f>IF(B139="","",IF(ISNA(VLOOKUP($B139,'B-1 On-Site Hedge Baseline'!$B$1:$L$257,8,FALSE)),"",(VLOOKUP($B139,'B-1 On-Site Hedge Baseline'!$B$1:$L$257,8,FALSE))))</f>
        <v/>
      </c>
      <c r="I139" s="295" t="str">
        <f>IF(B139="","",IF(ISNA(VLOOKUP($B139,'B-1 On-Site Hedge Baseline'!$B$1:$L$257,10,FALSE)),"",(VLOOKUP($B139,'B-1 On-Site Hedge Baseline'!$B$1:$L$257,10,FALSE))))</f>
        <v/>
      </c>
      <c r="J139" s="295" t="str">
        <f>IF(B139="","",IF(ISNA(VLOOKUP($B139,'B-1 On-Site Hedge Baseline'!$B$1:$L$257,11,FALSE)),"",(VLOOKUP($B139,'B-1 On-Site Hedge Baseline'!$B$1:$L$257,11,FALSE))))</f>
        <v/>
      </c>
      <c r="K139" s="295" t="str">
        <f>IF(B139="","",IF(ISNA(VLOOKUP($B139,'B-1 On-Site Hedge Baseline'!$B$1:$U$257,13,FALSE)),"",(VLOOKUP($B139,'B-1 On-Site Hedge Baseline'!$B$1:$U$257,13,FALSE))))</f>
        <v/>
      </c>
      <c r="L139" s="299" t="str">
        <f>IF(B139="","",IF(ISNA(VLOOKUP($B139,'B-1 On-Site Hedge Baseline'!$B$1:$U$257,12,FALSE)),"",(VLOOKUP($B139,'B-1 On-Site Hedge Baseline'!$B$1:$U$257,12,FALSE))))</f>
        <v/>
      </c>
      <c r="M139" s="611"/>
      <c r="N139" s="275" t="str">
        <f>IFERROR(IF(B139="","",INDEX('G-6 Hedgerow Data'!$AN$3:$AZ$15,MATCH(C139,'G-6 Hedgerow Data'!$AM$3:$AM$15,0),MATCH(M139,'G-6 Hedgerow Data'!$AN$2:$AZ$2,0))),"")</f>
        <v/>
      </c>
      <c r="O139" s="276" t="str">
        <f t="shared" si="8"/>
        <v/>
      </c>
      <c r="P139" s="329" t="str">
        <f>IF(B139="","",VLOOKUP(B139,'B-1 On-Site Hedge Baseline'!$B$10:T384,16,FALSE))</f>
        <v/>
      </c>
      <c r="Q139" s="275" t="str">
        <f>IF(M139="","",VLOOKUP(M139,'G-6 Hedgerow Data'!$B$2:$AG$15,2,FALSE))</f>
        <v/>
      </c>
      <c r="R139" s="276" t="str">
        <f>IF(M139="","",VLOOKUP(M139,'G-6 Hedgerow Data'!$B$2:$AG$15,3,FALSE))</f>
        <v/>
      </c>
      <c r="S139" s="108"/>
      <c r="T139" s="314" t="str">
        <f>IFERROR(IF(S139="","",IF(AND(M139="Non-native and ornamental hedgerow",S139&lt;&gt;"Poor"),"Not possible ▲",(VLOOKUP(S139,'G-1 All Habitats'!$Z$2:$AA$9,2,FALSE)))),"")</f>
        <v/>
      </c>
      <c r="U139" s="105"/>
      <c r="V139" s="295" t="str">
        <f>IF(U139="","",IF(VLOOKUP(U139,'G-3 Multipliers'!$L$3:$N$6,2,FALSE)=0,"Spatial Data Missing ⚠",VLOOKUP(U139,'G-3 Multipliers'!$L$3:$N$6,2,FALSE)))</f>
        <v/>
      </c>
      <c r="W139" s="299" t="str">
        <f>IF(U139="","",IF(VLOOKUP(U139,'G-3 Multipliers'!$L$3:$N$6,3,FALSE)=0,"Spatial Data Missing ⚠",VLOOKUP(U139,'G-3 Multipliers'!$L$3:$N$6,3,FALSE)))</f>
        <v/>
      </c>
      <c r="X139" s="275" t="str">
        <f>IFERROR(IF(OR(LEFT(O139,5)="Error",LEFT(N139,5)="Error",T139="Error"),"Check Data ⚠",IF(F139&lt;R139,INDEX('G-6 Hedgerow Data'!$S$3:$AE$14,MATCH(C139,'G-6 Hedgerow Data'!$B$3:$B$14,0),MATCH(M139,'G-6 Hedgerow Data'!$S$2:$AE$2,0)),INDEX('G-6 Hedgerow Data'!$K$3:$Q$14,MATCH(M139,'G-6 Hedgerow Data'!$B$3:$B$14,0),MATCH(O139,'G-6 Hedgerow Data'!$K$2:$Q$2,0)))),"")</f>
        <v/>
      </c>
      <c r="Y139" s="133"/>
      <c r="Z139" s="133"/>
      <c r="AA139" s="283" t="str">
        <f t="shared" si="9"/>
        <v/>
      </c>
      <c r="AB139" s="296" t="str">
        <f t="shared" si="10"/>
        <v/>
      </c>
      <c r="AC139" s="297" t="str">
        <f t="shared" si="7"/>
        <v/>
      </c>
      <c r="AD139" s="311" t="str">
        <f>IF(M139="","",VLOOKUP(M139,'G-6 Hedgerow Data'!$B$3:$AG$15,31,FALSE))</f>
        <v/>
      </c>
      <c r="AE139" s="283" t="str">
        <f t="shared" si="11"/>
        <v/>
      </c>
      <c r="AF139" s="283" t="str">
        <f t="shared" si="12"/>
        <v/>
      </c>
      <c r="AG139" s="299" t="str">
        <f>IFERROR(IF(O139="","",VLOOKUP(AD139,'G-3 Multipliers'!$P$3:$Q$6,2,FALSE)),"")</f>
        <v/>
      </c>
      <c r="AH139" s="289" t="str">
        <f t="shared" si="13"/>
        <v/>
      </c>
      <c r="AI139" s="108"/>
      <c r="AJ139" s="115"/>
      <c r="AK139" s="104"/>
      <c r="AT139" s="30" t="str">
        <f>IFERROR(INDEX('G-6 Hedgerow Data'!$BJ$3:$BJ$15,MATCH(M139,'G-6 Hedgerow Data'!$B$3:$B$15,0)),"")</f>
        <v/>
      </c>
    </row>
    <row r="140" spans="2:46" ht="14">
      <c r="B140" s="305" t="str">
        <f>'B-1 On-Site Hedge Baseline'!AK138</f>
        <v/>
      </c>
      <c r="C140" s="295" t="str">
        <f>IF(B140="","",IF(ISNA(VLOOKUP($B140,'B-1 On-Site Hedge Baseline'!$B$1:$L$257,3,FALSE)),"",(VLOOKUP($B140,'B-1 On-Site Hedge Baseline'!$B$1:$L$257,3,FALSE))))</f>
        <v/>
      </c>
      <c r="D140" s="295" t="str">
        <f>IF(B140="","",IF(ISNA(VLOOKUP($B140,'B-1 On-Site Hedge Baseline'!$B$1:$L$257,4,FALSE)),"",(VLOOKUP($B140,'B-1 On-Site Hedge Baseline'!$B$1:$L$257,4,FALSE))))</f>
        <v/>
      </c>
      <c r="E140" s="295" t="str">
        <f>IF(B140="","",IF(ISNA(VLOOKUP($B140,'B-1 On-Site Hedge Baseline'!$B$1:$L$257,5,FALSE)),"",(VLOOKUP($B140,'B-1 On-Site Hedge Baseline'!$B$1:$L$257,5,FALSE))))</f>
        <v/>
      </c>
      <c r="F140" s="295" t="str">
        <f>IF(B140="","",IF(ISNA(VLOOKUP($B140,'B-1 On-Site Hedge Baseline'!$B$1:$L$257,6,FALSE)),"",(VLOOKUP($B140,'B-1 On-Site Hedge Baseline'!$B$1:$L$257,6,FALSE))))</f>
        <v/>
      </c>
      <c r="G140" s="295" t="str">
        <f>IF(B140="","",IF(ISNA(VLOOKUP($B140,'B-1 On-Site Hedge Baseline'!$B$1:$L$257,7,FALSE)),"",(VLOOKUP($B140,'B-1 On-Site Hedge Baseline'!$B$1:$L$257,7,FALSE))))</f>
        <v/>
      </c>
      <c r="H140" s="295" t="str">
        <f>IF(B140="","",IF(ISNA(VLOOKUP($B140,'B-1 On-Site Hedge Baseline'!$B$1:$L$257,8,FALSE)),"",(VLOOKUP($B140,'B-1 On-Site Hedge Baseline'!$B$1:$L$257,8,FALSE))))</f>
        <v/>
      </c>
      <c r="I140" s="295" t="str">
        <f>IF(B140="","",IF(ISNA(VLOOKUP($B140,'B-1 On-Site Hedge Baseline'!$B$1:$L$257,10,FALSE)),"",(VLOOKUP($B140,'B-1 On-Site Hedge Baseline'!$B$1:$L$257,10,FALSE))))</f>
        <v/>
      </c>
      <c r="J140" s="295" t="str">
        <f>IF(B140="","",IF(ISNA(VLOOKUP($B140,'B-1 On-Site Hedge Baseline'!$B$1:$L$257,11,FALSE)),"",(VLOOKUP($B140,'B-1 On-Site Hedge Baseline'!$B$1:$L$257,11,FALSE))))</f>
        <v/>
      </c>
      <c r="K140" s="295" t="str">
        <f>IF(B140="","",IF(ISNA(VLOOKUP($B140,'B-1 On-Site Hedge Baseline'!$B$1:$U$257,13,FALSE)),"",(VLOOKUP($B140,'B-1 On-Site Hedge Baseline'!$B$1:$U$257,13,FALSE))))</f>
        <v/>
      </c>
      <c r="L140" s="299" t="str">
        <f>IF(B140="","",IF(ISNA(VLOOKUP($B140,'B-1 On-Site Hedge Baseline'!$B$1:$U$257,12,FALSE)),"",(VLOOKUP($B140,'B-1 On-Site Hedge Baseline'!$B$1:$U$257,12,FALSE))))</f>
        <v/>
      </c>
      <c r="M140" s="611"/>
      <c r="N140" s="275" t="str">
        <f>IFERROR(IF(B140="","",INDEX('G-6 Hedgerow Data'!$AN$3:$AZ$15,MATCH(C140,'G-6 Hedgerow Data'!$AM$3:$AM$15,0),MATCH(M140,'G-6 Hedgerow Data'!$AN$2:$AZ$2,0))),"")</f>
        <v/>
      </c>
      <c r="O140" s="276" t="str">
        <f t="shared" si="8"/>
        <v/>
      </c>
      <c r="P140" s="329" t="str">
        <f>IF(B140="","",VLOOKUP(B140,'B-1 On-Site Hedge Baseline'!$B$10:T385,16,FALSE))</f>
        <v/>
      </c>
      <c r="Q140" s="275" t="str">
        <f>IF(M140="","",VLOOKUP(M140,'G-6 Hedgerow Data'!$B$2:$AG$15,2,FALSE))</f>
        <v/>
      </c>
      <c r="R140" s="276" t="str">
        <f>IF(M140="","",VLOOKUP(M140,'G-6 Hedgerow Data'!$B$2:$AG$15,3,FALSE))</f>
        <v/>
      </c>
      <c r="S140" s="108"/>
      <c r="T140" s="314" t="str">
        <f>IFERROR(IF(S140="","",IF(AND(M140="Non-native and ornamental hedgerow",S140&lt;&gt;"Poor"),"Not possible ▲",(VLOOKUP(S140,'G-1 All Habitats'!$Z$2:$AA$9,2,FALSE)))),"")</f>
        <v/>
      </c>
      <c r="U140" s="105"/>
      <c r="V140" s="295" t="str">
        <f>IF(U140="","",IF(VLOOKUP(U140,'G-3 Multipliers'!$L$3:$N$6,2,FALSE)=0,"Spatial Data Missing ⚠",VLOOKUP(U140,'G-3 Multipliers'!$L$3:$N$6,2,FALSE)))</f>
        <v/>
      </c>
      <c r="W140" s="299" t="str">
        <f>IF(U140="","",IF(VLOOKUP(U140,'G-3 Multipliers'!$L$3:$N$6,3,FALSE)=0,"Spatial Data Missing ⚠",VLOOKUP(U140,'G-3 Multipliers'!$L$3:$N$6,3,FALSE)))</f>
        <v/>
      </c>
      <c r="X140" s="275" t="str">
        <f>IFERROR(IF(OR(LEFT(O140,5)="Error",LEFT(N140,5)="Error",T140="Error"),"Check Data ⚠",IF(F140&lt;R140,INDEX('G-6 Hedgerow Data'!$S$3:$AE$14,MATCH(C140,'G-6 Hedgerow Data'!$B$3:$B$14,0),MATCH(M140,'G-6 Hedgerow Data'!$S$2:$AE$2,0)),INDEX('G-6 Hedgerow Data'!$K$3:$Q$14,MATCH(M140,'G-6 Hedgerow Data'!$B$3:$B$14,0),MATCH(O140,'G-6 Hedgerow Data'!$K$2:$Q$2,0)))),"")</f>
        <v/>
      </c>
      <c r="Y140" s="133"/>
      <c r="Z140" s="133"/>
      <c r="AA140" s="283" t="str">
        <f t="shared" si="9"/>
        <v/>
      </c>
      <c r="AB140" s="296" t="str">
        <f t="shared" si="10"/>
        <v/>
      </c>
      <c r="AC140" s="297" t="str">
        <f t="shared" si="14" ref="AC140:AC203">IF(OR(S140="",M140=""),"",IF(LEFT(AB140,5)="Error ▲","Check Data ⚠",IF(AB140="Check Data ⚠","Check Data ⚠",VLOOKUP(AB140,TemporalMultipliers,3,FALSE))))</f>
        <v/>
      </c>
      <c r="AD140" s="311" t="str">
        <f>IF(M140="","",VLOOKUP(M140,'G-6 Hedgerow Data'!$B$3:$AG$15,31,FALSE))</f>
        <v/>
      </c>
      <c r="AE140" s="283" t="str">
        <f t="shared" si="11"/>
        <v/>
      </c>
      <c r="AF140" s="283" t="str">
        <f t="shared" si="12"/>
        <v/>
      </c>
      <c r="AG140" s="299" t="str">
        <f>IFERROR(IF(O140="","",VLOOKUP(AD140,'G-3 Multipliers'!$P$3:$Q$6,2,FALSE)),"")</f>
        <v/>
      </c>
      <c r="AH140" s="289" t="str">
        <f t="shared" si="13"/>
        <v/>
      </c>
      <c r="AI140" s="108"/>
      <c r="AJ140" s="115"/>
      <c r="AK140" s="104"/>
      <c r="AT140" s="30" t="str">
        <f>IFERROR(INDEX('G-6 Hedgerow Data'!$BJ$3:$BJ$15,MATCH(M140,'G-6 Hedgerow Data'!$B$3:$B$15,0)),"")</f>
        <v/>
      </c>
    </row>
    <row r="141" spans="2:46" ht="14">
      <c r="B141" s="305" t="str">
        <f>'B-1 On-Site Hedge Baseline'!AK139</f>
        <v/>
      </c>
      <c r="C141" s="295" t="str">
        <f>IF(B141="","",IF(ISNA(VLOOKUP($B141,'B-1 On-Site Hedge Baseline'!$B$1:$L$257,3,FALSE)),"",(VLOOKUP($B141,'B-1 On-Site Hedge Baseline'!$B$1:$L$257,3,FALSE))))</f>
        <v/>
      </c>
      <c r="D141" s="295" t="str">
        <f>IF(B141="","",IF(ISNA(VLOOKUP($B141,'B-1 On-Site Hedge Baseline'!$B$1:$L$257,4,FALSE)),"",(VLOOKUP($B141,'B-1 On-Site Hedge Baseline'!$B$1:$L$257,4,FALSE))))</f>
        <v/>
      </c>
      <c r="E141" s="295" t="str">
        <f>IF(B141="","",IF(ISNA(VLOOKUP($B141,'B-1 On-Site Hedge Baseline'!$B$1:$L$257,5,FALSE)),"",(VLOOKUP($B141,'B-1 On-Site Hedge Baseline'!$B$1:$L$257,5,FALSE))))</f>
        <v/>
      </c>
      <c r="F141" s="295" t="str">
        <f>IF(B141="","",IF(ISNA(VLOOKUP($B141,'B-1 On-Site Hedge Baseline'!$B$1:$L$257,6,FALSE)),"",(VLOOKUP($B141,'B-1 On-Site Hedge Baseline'!$B$1:$L$257,6,FALSE))))</f>
        <v/>
      </c>
      <c r="G141" s="295" t="str">
        <f>IF(B141="","",IF(ISNA(VLOOKUP($B141,'B-1 On-Site Hedge Baseline'!$B$1:$L$257,7,FALSE)),"",(VLOOKUP($B141,'B-1 On-Site Hedge Baseline'!$B$1:$L$257,7,FALSE))))</f>
        <v/>
      </c>
      <c r="H141" s="295" t="str">
        <f>IF(B141="","",IF(ISNA(VLOOKUP($B141,'B-1 On-Site Hedge Baseline'!$B$1:$L$257,8,FALSE)),"",(VLOOKUP($B141,'B-1 On-Site Hedge Baseline'!$B$1:$L$257,8,FALSE))))</f>
        <v/>
      </c>
      <c r="I141" s="295" t="str">
        <f>IF(B141="","",IF(ISNA(VLOOKUP($B141,'B-1 On-Site Hedge Baseline'!$B$1:$L$257,10,FALSE)),"",(VLOOKUP($B141,'B-1 On-Site Hedge Baseline'!$B$1:$L$257,10,FALSE))))</f>
        <v/>
      </c>
      <c r="J141" s="295" t="str">
        <f>IF(B141="","",IF(ISNA(VLOOKUP($B141,'B-1 On-Site Hedge Baseline'!$B$1:$L$257,11,FALSE)),"",(VLOOKUP($B141,'B-1 On-Site Hedge Baseline'!$B$1:$L$257,11,FALSE))))</f>
        <v/>
      </c>
      <c r="K141" s="295" t="str">
        <f>IF(B141="","",IF(ISNA(VLOOKUP($B141,'B-1 On-Site Hedge Baseline'!$B$1:$U$257,13,FALSE)),"",(VLOOKUP($B141,'B-1 On-Site Hedge Baseline'!$B$1:$U$257,13,FALSE))))</f>
        <v/>
      </c>
      <c r="L141" s="299" t="str">
        <f>IF(B141="","",IF(ISNA(VLOOKUP($B141,'B-1 On-Site Hedge Baseline'!$B$1:$U$257,12,FALSE)),"",(VLOOKUP($B141,'B-1 On-Site Hedge Baseline'!$B$1:$U$257,12,FALSE))))</f>
        <v/>
      </c>
      <c r="M141" s="611"/>
      <c r="N141" s="275" t="str">
        <f>IFERROR(IF(B141="","",INDEX('G-6 Hedgerow Data'!$AN$3:$AZ$15,MATCH(C141,'G-6 Hedgerow Data'!$AM$3:$AM$15,0),MATCH(M141,'G-6 Hedgerow Data'!$AN$2:$AZ$2,0))),"")</f>
        <v/>
      </c>
      <c r="O141" s="276" t="str">
        <f t="shared" si="15" ref="O141:O204">IFERROR(IF(B141="","",IF(AND(LEFT(C141,55)&lt;&gt;LEFT(M141,55),N141="High - High"),"Error - Not like for like ▲",IF(H141&gt;T141,"Error - Can not reduce condition ▲",IF(AND(F141=R141,H141=T141),"Error - No enhancement ▲",IF(AND(C141&lt;&gt;M141,F141&lt;R141),"Lower Distinctiveness Habitat"&amp;" - "&amp;S141,G141&amp;" - "&amp;S141))))),"")</f>
        <v/>
      </c>
      <c r="P141" s="329" t="str">
        <f>IF(B141="","",VLOOKUP(B141,'B-1 On-Site Hedge Baseline'!$B$10:T386,16,FALSE))</f>
        <v/>
      </c>
      <c r="Q141" s="275" t="str">
        <f>IF(M141="","",VLOOKUP(M141,'G-6 Hedgerow Data'!$B$2:$AG$15,2,FALSE))</f>
        <v/>
      </c>
      <c r="R141" s="276" t="str">
        <f>IF(M141="","",VLOOKUP(M141,'G-6 Hedgerow Data'!$B$2:$AG$15,3,FALSE))</f>
        <v/>
      </c>
      <c r="S141" s="108"/>
      <c r="T141" s="314" t="str">
        <f>IFERROR(IF(S141="","",IF(AND(M141="Non-native and ornamental hedgerow",S141&lt;&gt;"Poor"),"Not possible ▲",(VLOOKUP(S141,'G-1 All Habitats'!$Z$2:$AA$9,2,FALSE)))),"")</f>
        <v/>
      </c>
      <c r="U141" s="105"/>
      <c r="V141" s="295" t="str">
        <f>IF(U141="","",IF(VLOOKUP(U141,'G-3 Multipliers'!$L$3:$N$6,2,FALSE)=0,"Spatial Data Missing ⚠",VLOOKUP(U141,'G-3 Multipliers'!$L$3:$N$6,2,FALSE)))</f>
        <v/>
      </c>
      <c r="W141" s="299" t="str">
        <f>IF(U141="","",IF(VLOOKUP(U141,'G-3 Multipliers'!$L$3:$N$6,3,FALSE)=0,"Spatial Data Missing ⚠",VLOOKUP(U141,'G-3 Multipliers'!$L$3:$N$6,3,FALSE)))</f>
        <v/>
      </c>
      <c r="X141" s="275" t="str">
        <f>IFERROR(IF(OR(LEFT(O141,5)="Error",LEFT(N141,5)="Error",T141="Error"),"Check Data ⚠",IF(F141&lt;R141,INDEX('G-6 Hedgerow Data'!$S$3:$AE$14,MATCH(C141,'G-6 Hedgerow Data'!$B$3:$B$14,0),MATCH(M141,'G-6 Hedgerow Data'!$S$2:$AE$2,0)),INDEX('G-6 Hedgerow Data'!$K$3:$Q$14,MATCH(M141,'G-6 Hedgerow Data'!$B$3:$B$14,0),MATCH(O141,'G-6 Hedgerow Data'!$K$2:$Q$2,0)))),"")</f>
        <v/>
      </c>
      <c r="Y141" s="133"/>
      <c r="Z141" s="133"/>
      <c r="AA141" s="283" t="str">
        <f t="shared" si="16" ref="AA141:AA204">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296" t="str">
        <f t="shared" si="17" ref="AB141:AB204">IF(X141="","",IF(AA141="Check Data ⚠","Check Data ⚠",IF(Y141="30+",0,IF(X141="Not possible ▲","Check Data ⚠",IF(Z141="30+","30+",IF(X141+Z141&gt;30,"30+",IF(AA141="Error -both advance and delayed habitat creation ▲","Check Data ⚠",IF(X141+Z141-Y141&gt;0,X141+Z141-Y141,IF(X141-Y141&lt;=0,0,)))))))))</f>
        <v/>
      </c>
      <c r="AC141" s="297" t="str">
        <f t="shared" si="14"/>
        <v/>
      </c>
      <c r="AD141" s="311" t="str">
        <f>IF(M141="","",VLOOKUP(M141,'G-6 Hedgerow Data'!$B$3:$AG$15,31,FALSE))</f>
        <v/>
      </c>
      <c r="AE141" s="283" t="str">
        <f t="shared" si="18" ref="AE141:AE204">IF(M141="","",IF(OR(LEFT(AA141,5)="Error ▲",AA141="Check Data ⚠"),"Check Data ⚠",IF(X141="","",IF($AA141="Check details - Is there evidence that habitat has reached target condition? ⚠","Low Difficulty - only applicable if all habitat created before losses ⚠","Standard difficulty applied"))))</f>
        <v/>
      </c>
      <c r="AF141" s="283" t="str">
        <f t="shared" si="19" ref="AF141:AF204">(IF(AND(AE141="Standard difficulty applied",X141&gt;Y141),AD141,IF(AB141="Check data ⚠","Check data ⚠",IF(AND(AE141="Low Difficulty - only applicable if all habitat created before losses ⚠",Y141&gt;=X141),"Low",AD141))))</f>
        <v/>
      </c>
      <c r="AG141" s="299" t="str">
        <f>IFERROR(IF(O141="","",VLOOKUP(AD141,'G-3 Multipliers'!$P$3:$Q$6,2,FALSE)),"")</f>
        <v/>
      </c>
      <c r="AH141" s="289" t="str">
        <f t="shared" si="20" ref="AH141:AH204">IFERROR(IF(K141="Check data ⚠","Check data ⚠",(IF(OR(M141="",S141="",U141=""),"",(((((P141*R141*T141)-(P141*F141*H141))*(AG141*AC141))+(P141*F141*H141))*(W141))))),"")</f>
        <v/>
      </c>
      <c r="AI141" s="108"/>
      <c r="AJ141" s="115"/>
      <c r="AK141" s="104"/>
      <c r="AT141" s="30" t="str">
        <f>IFERROR(INDEX('G-6 Hedgerow Data'!$BJ$3:$BJ$15,MATCH(M141,'G-6 Hedgerow Data'!$B$3:$B$15,0)),"")</f>
        <v/>
      </c>
    </row>
    <row r="142" spans="2:46" ht="14">
      <c r="B142" s="305" t="str">
        <f>'B-1 On-Site Hedge Baseline'!AK140</f>
        <v/>
      </c>
      <c r="C142" s="295" t="str">
        <f>IF(B142="","",IF(ISNA(VLOOKUP($B142,'B-1 On-Site Hedge Baseline'!$B$1:$L$257,3,FALSE)),"",(VLOOKUP($B142,'B-1 On-Site Hedge Baseline'!$B$1:$L$257,3,FALSE))))</f>
        <v/>
      </c>
      <c r="D142" s="295" t="str">
        <f>IF(B142="","",IF(ISNA(VLOOKUP($B142,'B-1 On-Site Hedge Baseline'!$B$1:$L$257,4,FALSE)),"",(VLOOKUP($B142,'B-1 On-Site Hedge Baseline'!$B$1:$L$257,4,FALSE))))</f>
        <v/>
      </c>
      <c r="E142" s="295" t="str">
        <f>IF(B142="","",IF(ISNA(VLOOKUP($B142,'B-1 On-Site Hedge Baseline'!$B$1:$L$257,5,FALSE)),"",(VLOOKUP($B142,'B-1 On-Site Hedge Baseline'!$B$1:$L$257,5,FALSE))))</f>
        <v/>
      </c>
      <c r="F142" s="295" t="str">
        <f>IF(B142="","",IF(ISNA(VLOOKUP($B142,'B-1 On-Site Hedge Baseline'!$B$1:$L$257,6,FALSE)),"",(VLOOKUP($B142,'B-1 On-Site Hedge Baseline'!$B$1:$L$257,6,FALSE))))</f>
        <v/>
      </c>
      <c r="G142" s="295" t="str">
        <f>IF(B142="","",IF(ISNA(VLOOKUP($B142,'B-1 On-Site Hedge Baseline'!$B$1:$L$257,7,FALSE)),"",(VLOOKUP($B142,'B-1 On-Site Hedge Baseline'!$B$1:$L$257,7,FALSE))))</f>
        <v/>
      </c>
      <c r="H142" s="295" t="str">
        <f>IF(B142="","",IF(ISNA(VLOOKUP($B142,'B-1 On-Site Hedge Baseline'!$B$1:$L$257,8,FALSE)),"",(VLOOKUP($B142,'B-1 On-Site Hedge Baseline'!$B$1:$L$257,8,FALSE))))</f>
        <v/>
      </c>
      <c r="I142" s="295" t="str">
        <f>IF(B142="","",IF(ISNA(VLOOKUP($B142,'B-1 On-Site Hedge Baseline'!$B$1:$L$257,10,FALSE)),"",(VLOOKUP($B142,'B-1 On-Site Hedge Baseline'!$B$1:$L$257,10,FALSE))))</f>
        <v/>
      </c>
      <c r="J142" s="295" t="str">
        <f>IF(B142="","",IF(ISNA(VLOOKUP($B142,'B-1 On-Site Hedge Baseline'!$B$1:$L$257,11,FALSE)),"",(VLOOKUP($B142,'B-1 On-Site Hedge Baseline'!$B$1:$L$257,11,FALSE))))</f>
        <v/>
      </c>
      <c r="K142" s="295" t="str">
        <f>IF(B142="","",IF(ISNA(VLOOKUP($B142,'B-1 On-Site Hedge Baseline'!$B$1:$U$257,13,FALSE)),"",(VLOOKUP($B142,'B-1 On-Site Hedge Baseline'!$B$1:$U$257,13,FALSE))))</f>
        <v/>
      </c>
      <c r="L142" s="299" t="str">
        <f>IF(B142="","",IF(ISNA(VLOOKUP($B142,'B-1 On-Site Hedge Baseline'!$B$1:$U$257,12,FALSE)),"",(VLOOKUP($B142,'B-1 On-Site Hedge Baseline'!$B$1:$U$257,12,FALSE))))</f>
        <v/>
      </c>
      <c r="M142" s="611"/>
      <c r="N142" s="275" t="str">
        <f>IFERROR(IF(B142="","",INDEX('G-6 Hedgerow Data'!$AN$3:$AZ$15,MATCH(C142,'G-6 Hedgerow Data'!$AM$3:$AM$15,0),MATCH(M142,'G-6 Hedgerow Data'!$AN$2:$AZ$2,0))),"")</f>
        <v/>
      </c>
      <c r="O142" s="276" t="str">
        <f t="shared" si="15"/>
        <v/>
      </c>
      <c r="P142" s="329" t="str">
        <f>IF(B142="","",VLOOKUP(B142,'B-1 On-Site Hedge Baseline'!$B$10:T387,16,FALSE))</f>
        <v/>
      </c>
      <c r="Q142" s="275" t="str">
        <f>IF(M142="","",VLOOKUP(M142,'G-6 Hedgerow Data'!$B$2:$AG$15,2,FALSE))</f>
        <v/>
      </c>
      <c r="R142" s="276" t="str">
        <f>IF(M142="","",VLOOKUP(M142,'G-6 Hedgerow Data'!$B$2:$AG$15,3,FALSE))</f>
        <v/>
      </c>
      <c r="S142" s="108"/>
      <c r="T142" s="314" t="str">
        <f>IFERROR(IF(S142="","",IF(AND(M142="Non-native and ornamental hedgerow",S142&lt;&gt;"Poor"),"Not possible ▲",(VLOOKUP(S142,'G-1 All Habitats'!$Z$2:$AA$9,2,FALSE)))),"")</f>
        <v/>
      </c>
      <c r="U142" s="105"/>
      <c r="V142" s="295" t="str">
        <f>IF(U142="","",IF(VLOOKUP(U142,'G-3 Multipliers'!$L$3:$N$6,2,FALSE)=0,"Spatial Data Missing ⚠",VLOOKUP(U142,'G-3 Multipliers'!$L$3:$N$6,2,FALSE)))</f>
        <v/>
      </c>
      <c r="W142" s="299" t="str">
        <f>IF(U142="","",IF(VLOOKUP(U142,'G-3 Multipliers'!$L$3:$N$6,3,FALSE)=0,"Spatial Data Missing ⚠",VLOOKUP(U142,'G-3 Multipliers'!$L$3:$N$6,3,FALSE)))</f>
        <v/>
      </c>
      <c r="X142" s="275" t="str">
        <f>IFERROR(IF(OR(LEFT(O142,5)="Error",LEFT(N142,5)="Error",T142="Error"),"Check Data ⚠",IF(F142&lt;R142,INDEX('G-6 Hedgerow Data'!$S$3:$AE$14,MATCH(C142,'G-6 Hedgerow Data'!$B$3:$B$14,0),MATCH(M142,'G-6 Hedgerow Data'!$S$2:$AE$2,0)),INDEX('G-6 Hedgerow Data'!$K$3:$Q$14,MATCH(M142,'G-6 Hedgerow Data'!$B$3:$B$14,0),MATCH(O142,'G-6 Hedgerow Data'!$K$2:$Q$2,0)))),"")</f>
        <v/>
      </c>
      <c r="Y142" s="133"/>
      <c r="Z142" s="133"/>
      <c r="AA142" s="283" t="str">
        <f t="shared" si="16"/>
        <v/>
      </c>
      <c r="AB142" s="296" t="str">
        <f t="shared" si="17"/>
        <v/>
      </c>
      <c r="AC142" s="297" t="str">
        <f t="shared" si="14"/>
        <v/>
      </c>
      <c r="AD142" s="311" t="str">
        <f>IF(M142="","",VLOOKUP(M142,'G-6 Hedgerow Data'!$B$3:$AG$15,31,FALSE))</f>
        <v/>
      </c>
      <c r="AE142" s="283" t="str">
        <f t="shared" si="18"/>
        <v/>
      </c>
      <c r="AF142" s="283" t="str">
        <f t="shared" si="19"/>
        <v/>
      </c>
      <c r="AG142" s="299" t="str">
        <f>IFERROR(IF(O142="","",VLOOKUP(AD142,'G-3 Multipliers'!$P$3:$Q$6,2,FALSE)),"")</f>
        <v/>
      </c>
      <c r="AH142" s="289" t="str">
        <f t="shared" si="20"/>
        <v/>
      </c>
      <c r="AI142" s="108"/>
      <c r="AJ142" s="115"/>
      <c r="AK142" s="104"/>
      <c r="AT142" s="30" t="str">
        <f>IFERROR(INDEX('G-6 Hedgerow Data'!$BJ$3:$BJ$15,MATCH(M142,'G-6 Hedgerow Data'!$B$3:$B$15,0)),"")</f>
        <v/>
      </c>
    </row>
    <row r="143" spans="2:46" ht="14">
      <c r="B143" s="305" t="str">
        <f>'B-1 On-Site Hedge Baseline'!AK141</f>
        <v/>
      </c>
      <c r="C143" s="295" t="str">
        <f>IF(B143="","",IF(ISNA(VLOOKUP($B143,'B-1 On-Site Hedge Baseline'!$B$1:$L$257,3,FALSE)),"",(VLOOKUP($B143,'B-1 On-Site Hedge Baseline'!$B$1:$L$257,3,FALSE))))</f>
        <v/>
      </c>
      <c r="D143" s="295" t="str">
        <f>IF(B143="","",IF(ISNA(VLOOKUP($B143,'B-1 On-Site Hedge Baseline'!$B$1:$L$257,4,FALSE)),"",(VLOOKUP($B143,'B-1 On-Site Hedge Baseline'!$B$1:$L$257,4,FALSE))))</f>
        <v/>
      </c>
      <c r="E143" s="295" t="str">
        <f>IF(B143="","",IF(ISNA(VLOOKUP($B143,'B-1 On-Site Hedge Baseline'!$B$1:$L$257,5,FALSE)),"",(VLOOKUP($B143,'B-1 On-Site Hedge Baseline'!$B$1:$L$257,5,FALSE))))</f>
        <v/>
      </c>
      <c r="F143" s="295" t="str">
        <f>IF(B143="","",IF(ISNA(VLOOKUP($B143,'B-1 On-Site Hedge Baseline'!$B$1:$L$257,6,FALSE)),"",(VLOOKUP($B143,'B-1 On-Site Hedge Baseline'!$B$1:$L$257,6,FALSE))))</f>
        <v/>
      </c>
      <c r="G143" s="295" t="str">
        <f>IF(B143="","",IF(ISNA(VLOOKUP($B143,'B-1 On-Site Hedge Baseline'!$B$1:$L$257,7,FALSE)),"",(VLOOKUP($B143,'B-1 On-Site Hedge Baseline'!$B$1:$L$257,7,FALSE))))</f>
        <v/>
      </c>
      <c r="H143" s="295" t="str">
        <f>IF(B143="","",IF(ISNA(VLOOKUP($B143,'B-1 On-Site Hedge Baseline'!$B$1:$L$257,8,FALSE)),"",(VLOOKUP($B143,'B-1 On-Site Hedge Baseline'!$B$1:$L$257,8,FALSE))))</f>
        <v/>
      </c>
      <c r="I143" s="295" t="str">
        <f>IF(B143="","",IF(ISNA(VLOOKUP($B143,'B-1 On-Site Hedge Baseline'!$B$1:$L$257,10,FALSE)),"",(VLOOKUP($B143,'B-1 On-Site Hedge Baseline'!$B$1:$L$257,10,FALSE))))</f>
        <v/>
      </c>
      <c r="J143" s="295" t="str">
        <f>IF(B143="","",IF(ISNA(VLOOKUP($B143,'B-1 On-Site Hedge Baseline'!$B$1:$L$257,11,FALSE)),"",(VLOOKUP($B143,'B-1 On-Site Hedge Baseline'!$B$1:$L$257,11,FALSE))))</f>
        <v/>
      </c>
      <c r="K143" s="295" t="str">
        <f>IF(B143="","",IF(ISNA(VLOOKUP($B143,'B-1 On-Site Hedge Baseline'!$B$1:$U$257,13,FALSE)),"",(VLOOKUP($B143,'B-1 On-Site Hedge Baseline'!$B$1:$U$257,13,FALSE))))</f>
        <v/>
      </c>
      <c r="L143" s="299" t="str">
        <f>IF(B143="","",IF(ISNA(VLOOKUP($B143,'B-1 On-Site Hedge Baseline'!$B$1:$U$257,12,FALSE)),"",(VLOOKUP($B143,'B-1 On-Site Hedge Baseline'!$B$1:$U$257,12,FALSE))))</f>
        <v/>
      </c>
      <c r="M143" s="611"/>
      <c r="N143" s="275" t="str">
        <f>IFERROR(IF(B143="","",INDEX('G-6 Hedgerow Data'!$AN$3:$AZ$15,MATCH(C143,'G-6 Hedgerow Data'!$AM$3:$AM$15,0),MATCH(M143,'G-6 Hedgerow Data'!$AN$2:$AZ$2,0))),"")</f>
        <v/>
      </c>
      <c r="O143" s="276" t="str">
        <f t="shared" si="15"/>
        <v/>
      </c>
      <c r="P143" s="329" t="str">
        <f>IF(B143="","",VLOOKUP(B143,'B-1 On-Site Hedge Baseline'!$B$10:T388,16,FALSE))</f>
        <v/>
      </c>
      <c r="Q143" s="275" t="str">
        <f>IF(M143="","",VLOOKUP(M143,'G-6 Hedgerow Data'!$B$2:$AG$15,2,FALSE))</f>
        <v/>
      </c>
      <c r="R143" s="276" t="str">
        <f>IF(M143="","",VLOOKUP(M143,'G-6 Hedgerow Data'!$B$2:$AG$15,3,FALSE))</f>
        <v/>
      </c>
      <c r="S143" s="108"/>
      <c r="T143" s="314" t="str">
        <f>IFERROR(IF(S143="","",IF(AND(M143="Non-native and ornamental hedgerow",S143&lt;&gt;"Poor"),"Not possible ▲",(VLOOKUP(S143,'G-1 All Habitats'!$Z$2:$AA$9,2,FALSE)))),"")</f>
        <v/>
      </c>
      <c r="U143" s="105"/>
      <c r="V143" s="295" t="str">
        <f>IF(U143="","",IF(VLOOKUP(U143,'G-3 Multipliers'!$L$3:$N$6,2,FALSE)=0,"Spatial Data Missing ⚠",VLOOKUP(U143,'G-3 Multipliers'!$L$3:$N$6,2,FALSE)))</f>
        <v/>
      </c>
      <c r="W143" s="299" t="str">
        <f>IF(U143="","",IF(VLOOKUP(U143,'G-3 Multipliers'!$L$3:$N$6,3,FALSE)=0,"Spatial Data Missing ⚠",VLOOKUP(U143,'G-3 Multipliers'!$L$3:$N$6,3,FALSE)))</f>
        <v/>
      </c>
      <c r="X143" s="275" t="str">
        <f>IFERROR(IF(OR(LEFT(O143,5)="Error",LEFT(N143,5)="Error",T143="Error"),"Check Data ⚠",IF(F143&lt;R143,INDEX('G-6 Hedgerow Data'!$S$3:$AE$14,MATCH(C143,'G-6 Hedgerow Data'!$B$3:$B$14,0),MATCH(M143,'G-6 Hedgerow Data'!$S$2:$AE$2,0)),INDEX('G-6 Hedgerow Data'!$K$3:$Q$14,MATCH(M143,'G-6 Hedgerow Data'!$B$3:$B$14,0),MATCH(O143,'G-6 Hedgerow Data'!$K$2:$Q$2,0)))),"")</f>
        <v/>
      </c>
      <c r="Y143" s="133"/>
      <c r="Z143" s="133"/>
      <c r="AA143" s="283" t="str">
        <f t="shared" si="16"/>
        <v/>
      </c>
      <c r="AB143" s="296" t="str">
        <f t="shared" si="17"/>
        <v/>
      </c>
      <c r="AC143" s="297" t="str">
        <f t="shared" si="14"/>
        <v/>
      </c>
      <c r="AD143" s="311" t="str">
        <f>IF(M143="","",VLOOKUP(M143,'G-6 Hedgerow Data'!$B$3:$AG$15,31,FALSE))</f>
        <v/>
      </c>
      <c r="AE143" s="283" t="str">
        <f t="shared" si="18"/>
        <v/>
      </c>
      <c r="AF143" s="283" t="str">
        <f t="shared" si="19"/>
        <v/>
      </c>
      <c r="AG143" s="299" t="str">
        <f>IFERROR(IF(O143="","",VLOOKUP(AD143,'G-3 Multipliers'!$P$3:$Q$6,2,FALSE)),"")</f>
        <v/>
      </c>
      <c r="AH143" s="289" t="str">
        <f t="shared" si="20"/>
        <v/>
      </c>
      <c r="AI143" s="108"/>
      <c r="AJ143" s="115"/>
      <c r="AK143" s="104"/>
      <c r="AT143" s="30" t="str">
        <f>IFERROR(INDEX('G-6 Hedgerow Data'!$BJ$3:$BJ$15,MATCH(M143,'G-6 Hedgerow Data'!$B$3:$B$15,0)),"")</f>
        <v/>
      </c>
    </row>
    <row r="144" spans="2:46" ht="14">
      <c r="B144" s="305" t="str">
        <f>'B-1 On-Site Hedge Baseline'!AK142</f>
        <v/>
      </c>
      <c r="C144" s="295" t="str">
        <f>IF(B144="","",IF(ISNA(VLOOKUP($B144,'B-1 On-Site Hedge Baseline'!$B$1:$L$257,3,FALSE)),"",(VLOOKUP($B144,'B-1 On-Site Hedge Baseline'!$B$1:$L$257,3,FALSE))))</f>
        <v/>
      </c>
      <c r="D144" s="295" t="str">
        <f>IF(B144="","",IF(ISNA(VLOOKUP($B144,'B-1 On-Site Hedge Baseline'!$B$1:$L$257,4,FALSE)),"",(VLOOKUP($B144,'B-1 On-Site Hedge Baseline'!$B$1:$L$257,4,FALSE))))</f>
        <v/>
      </c>
      <c r="E144" s="295" t="str">
        <f>IF(B144="","",IF(ISNA(VLOOKUP($B144,'B-1 On-Site Hedge Baseline'!$B$1:$L$257,5,FALSE)),"",(VLOOKUP($B144,'B-1 On-Site Hedge Baseline'!$B$1:$L$257,5,FALSE))))</f>
        <v/>
      </c>
      <c r="F144" s="295" t="str">
        <f>IF(B144="","",IF(ISNA(VLOOKUP($B144,'B-1 On-Site Hedge Baseline'!$B$1:$L$257,6,FALSE)),"",(VLOOKUP($B144,'B-1 On-Site Hedge Baseline'!$B$1:$L$257,6,FALSE))))</f>
        <v/>
      </c>
      <c r="G144" s="295" t="str">
        <f>IF(B144="","",IF(ISNA(VLOOKUP($B144,'B-1 On-Site Hedge Baseline'!$B$1:$L$257,7,FALSE)),"",(VLOOKUP($B144,'B-1 On-Site Hedge Baseline'!$B$1:$L$257,7,FALSE))))</f>
        <v/>
      </c>
      <c r="H144" s="295" t="str">
        <f>IF(B144="","",IF(ISNA(VLOOKUP($B144,'B-1 On-Site Hedge Baseline'!$B$1:$L$257,8,FALSE)),"",(VLOOKUP($B144,'B-1 On-Site Hedge Baseline'!$B$1:$L$257,8,FALSE))))</f>
        <v/>
      </c>
      <c r="I144" s="295" t="str">
        <f>IF(B144="","",IF(ISNA(VLOOKUP($B144,'B-1 On-Site Hedge Baseline'!$B$1:$L$257,10,FALSE)),"",(VLOOKUP($B144,'B-1 On-Site Hedge Baseline'!$B$1:$L$257,10,FALSE))))</f>
        <v/>
      </c>
      <c r="J144" s="295" t="str">
        <f>IF(B144="","",IF(ISNA(VLOOKUP($B144,'B-1 On-Site Hedge Baseline'!$B$1:$L$257,11,FALSE)),"",(VLOOKUP($B144,'B-1 On-Site Hedge Baseline'!$B$1:$L$257,11,FALSE))))</f>
        <v/>
      </c>
      <c r="K144" s="295" t="str">
        <f>IF(B144="","",IF(ISNA(VLOOKUP($B144,'B-1 On-Site Hedge Baseline'!$B$1:$U$257,13,FALSE)),"",(VLOOKUP($B144,'B-1 On-Site Hedge Baseline'!$B$1:$U$257,13,FALSE))))</f>
        <v/>
      </c>
      <c r="L144" s="299" t="str">
        <f>IF(B144="","",IF(ISNA(VLOOKUP($B144,'B-1 On-Site Hedge Baseline'!$B$1:$U$257,12,FALSE)),"",(VLOOKUP($B144,'B-1 On-Site Hedge Baseline'!$B$1:$U$257,12,FALSE))))</f>
        <v/>
      </c>
      <c r="M144" s="611"/>
      <c r="N144" s="275" t="str">
        <f>IFERROR(IF(B144="","",INDEX('G-6 Hedgerow Data'!$AN$3:$AZ$15,MATCH(C144,'G-6 Hedgerow Data'!$AM$3:$AM$15,0),MATCH(M144,'G-6 Hedgerow Data'!$AN$2:$AZ$2,0))),"")</f>
        <v/>
      </c>
      <c r="O144" s="276" t="str">
        <f t="shared" si="15"/>
        <v/>
      </c>
      <c r="P144" s="329" t="str">
        <f>IF(B144="","",VLOOKUP(B144,'B-1 On-Site Hedge Baseline'!$B$10:T389,16,FALSE))</f>
        <v/>
      </c>
      <c r="Q144" s="275" t="str">
        <f>IF(M144="","",VLOOKUP(M144,'G-6 Hedgerow Data'!$B$2:$AG$15,2,FALSE))</f>
        <v/>
      </c>
      <c r="R144" s="276" t="str">
        <f>IF(M144="","",VLOOKUP(M144,'G-6 Hedgerow Data'!$B$2:$AG$15,3,FALSE))</f>
        <v/>
      </c>
      <c r="S144" s="108"/>
      <c r="T144" s="314" t="str">
        <f>IFERROR(IF(S144="","",IF(AND(M144="Non-native and ornamental hedgerow",S144&lt;&gt;"Poor"),"Not possible ▲",(VLOOKUP(S144,'G-1 All Habitats'!$Z$2:$AA$9,2,FALSE)))),"")</f>
        <v/>
      </c>
      <c r="U144" s="105"/>
      <c r="V144" s="295" t="str">
        <f>IF(U144="","",IF(VLOOKUP(U144,'G-3 Multipliers'!$L$3:$N$6,2,FALSE)=0,"Spatial Data Missing ⚠",VLOOKUP(U144,'G-3 Multipliers'!$L$3:$N$6,2,FALSE)))</f>
        <v/>
      </c>
      <c r="W144" s="299" t="str">
        <f>IF(U144="","",IF(VLOOKUP(U144,'G-3 Multipliers'!$L$3:$N$6,3,FALSE)=0,"Spatial Data Missing ⚠",VLOOKUP(U144,'G-3 Multipliers'!$L$3:$N$6,3,FALSE)))</f>
        <v/>
      </c>
      <c r="X144" s="275" t="str">
        <f>IFERROR(IF(OR(LEFT(O144,5)="Error",LEFT(N144,5)="Error",T144="Error"),"Check Data ⚠",IF(F144&lt;R144,INDEX('G-6 Hedgerow Data'!$S$3:$AE$14,MATCH(C144,'G-6 Hedgerow Data'!$B$3:$B$14,0),MATCH(M144,'G-6 Hedgerow Data'!$S$2:$AE$2,0)),INDEX('G-6 Hedgerow Data'!$K$3:$Q$14,MATCH(M144,'G-6 Hedgerow Data'!$B$3:$B$14,0),MATCH(O144,'G-6 Hedgerow Data'!$K$2:$Q$2,0)))),"")</f>
        <v/>
      </c>
      <c r="Y144" s="133"/>
      <c r="Z144" s="133"/>
      <c r="AA144" s="283" t="str">
        <f t="shared" si="16"/>
        <v/>
      </c>
      <c r="AB144" s="296" t="str">
        <f t="shared" si="17"/>
        <v/>
      </c>
      <c r="AC144" s="297" t="str">
        <f t="shared" si="14"/>
        <v/>
      </c>
      <c r="AD144" s="311" t="str">
        <f>IF(M144="","",VLOOKUP(M144,'G-6 Hedgerow Data'!$B$3:$AG$15,31,FALSE))</f>
        <v/>
      </c>
      <c r="AE144" s="283" t="str">
        <f t="shared" si="18"/>
        <v/>
      </c>
      <c r="AF144" s="283" t="str">
        <f t="shared" si="19"/>
        <v/>
      </c>
      <c r="AG144" s="299" t="str">
        <f>IFERROR(IF(O144="","",VLOOKUP(AD144,'G-3 Multipliers'!$P$3:$Q$6,2,FALSE)),"")</f>
        <v/>
      </c>
      <c r="AH144" s="289" t="str">
        <f t="shared" si="20"/>
        <v/>
      </c>
      <c r="AI144" s="108"/>
      <c r="AJ144" s="115"/>
      <c r="AK144" s="104"/>
      <c r="AT144" s="30" t="str">
        <f>IFERROR(INDEX('G-6 Hedgerow Data'!$BJ$3:$BJ$15,MATCH(M144,'G-6 Hedgerow Data'!$B$3:$B$15,0)),"")</f>
        <v/>
      </c>
    </row>
    <row r="145" spans="2:46" ht="14">
      <c r="B145" s="305" t="str">
        <f>'B-1 On-Site Hedge Baseline'!AK143</f>
        <v/>
      </c>
      <c r="C145" s="295" t="str">
        <f>IF(B145="","",IF(ISNA(VLOOKUP($B145,'B-1 On-Site Hedge Baseline'!$B$1:$L$257,3,FALSE)),"",(VLOOKUP($B145,'B-1 On-Site Hedge Baseline'!$B$1:$L$257,3,FALSE))))</f>
        <v/>
      </c>
      <c r="D145" s="295" t="str">
        <f>IF(B145="","",IF(ISNA(VLOOKUP($B145,'B-1 On-Site Hedge Baseline'!$B$1:$L$257,4,FALSE)),"",(VLOOKUP($B145,'B-1 On-Site Hedge Baseline'!$B$1:$L$257,4,FALSE))))</f>
        <v/>
      </c>
      <c r="E145" s="295" t="str">
        <f>IF(B145="","",IF(ISNA(VLOOKUP($B145,'B-1 On-Site Hedge Baseline'!$B$1:$L$257,5,FALSE)),"",(VLOOKUP($B145,'B-1 On-Site Hedge Baseline'!$B$1:$L$257,5,FALSE))))</f>
        <v/>
      </c>
      <c r="F145" s="295" t="str">
        <f>IF(B145="","",IF(ISNA(VLOOKUP($B145,'B-1 On-Site Hedge Baseline'!$B$1:$L$257,6,FALSE)),"",(VLOOKUP($B145,'B-1 On-Site Hedge Baseline'!$B$1:$L$257,6,FALSE))))</f>
        <v/>
      </c>
      <c r="G145" s="295" t="str">
        <f>IF(B145="","",IF(ISNA(VLOOKUP($B145,'B-1 On-Site Hedge Baseline'!$B$1:$L$257,7,FALSE)),"",(VLOOKUP($B145,'B-1 On-Site Hedge Baseline'!$B$1:$L$257,7,FALSE))))</f>
        <v/>
      </c>
      <c r="H145" s="295" t="str">
        <f>IF(B145="","",IF(ISNA(VLOOKUP($B145,'B-1 On-Site Hedge Baseline'!$B$1:$L$257,8,FALSE)),"",(VLOOKUP($B145,'B-1 On-Site Hedge Baseline'!$B$1:$L$257,8,FALSE))))</f>
        <v/>
      </c>
      <c r="I145" s="295" t="str">
        <f>IF(B145="","",IF(ISNA(VLOOKUP($B145,'B-1 On-Site Hedge Baseline'!$B$1:$L$257,10,FALSE)),"",(VLOOKUP($B145,'B-1 On-Site Hedge Baseline'!$B$1:$L$257,10,FALSE))))</f>
        <v/>
      </c>
      <c r="J145" s="295" t="str">
        <f>IF(B145="","",IF(ISNA(VLOOKUP($B145,'B-1 On-Site Hedge Baseline'!$B$1:$L$257,11,FALSE)),"",(VLOOKUP($B145,'B-1 On-Site Hedge Baseline'!$B$1:$L$257,11,FALSE))))</f>
        <v/>
      </c>
      <c r="K145" s="295" t="str">
        <f>IF(B145="","",IF(ISNA(VLOOKUP($B145,'B-1 On-Site Hedge Baseline'!$B$1:$U$257,13,FALSE)),"",(VLOOKUP($B145,'B-1 On-Site Hedge Baseline'!$B$1:$U$257,13,FALSE))))</f>
        <v/>
      </c>
      <c r="L145" s="299" t="str">
        <f>IF(B145="","",IF(ISNA(VLOOKUP($B145,'B-1 On-Site Hedge Baseline'!$B$1:$U$257,12,FALSE)),"",(VLOOKUP($B145,'B-1 On-Site Hedge Baseline'!$B$1:$U$257,12,FALSE))))</f>
        <v/>
      </c>
      <c r="M145" s="611"/>
      <c r="N145" s="275" t="str">
        <f>IFERROR(IF(B145="","",INDEX('G-6 Hedgerow Data'!$AN$3:$AZ$15,MATCH(C145,'G-6 Hedgerow Data'!$AM$3:$AM$15,0),MATCH(M145,'G-6 Hedgerow Data'!$AN$2:$AZ$2,0))),"")</f>
        <v/>
      </c>
      <c r="O145" s="276" t="str">
        <f t="shared" si="15"/>
        <v/>
      </c>
      <c r="P145" s="329" t="str">
        <f>IF(B145="","",VLOOKUP(B145,'B-1 On-Site Hedge Baseline'!$B$10:T390,16,FALSE))</f>
        <v/>
      </c>
      <c r="Q145" s="275" t="str">
        <f>IF(M145="","",VLOOKUP(M145,'G-6 Hedgerow Data'!$B$2:$AG$15,2,FALSE))</f>
        <v/>
      </c>
      <c r="R145" s="276" t="str">
        <f>IF(M145="","",VLOOKUP(M145,'G-6 Hedgerow Data'!$B$2:$AG$15,3,FALSE))</f>
        <v/>
      </c>
      <c r="S145" s="108"/>
      <c r="T145" s="314" t="str">
        <f>IFERROR(IF(S145="","",IF(AND(M145="Non-native and ornamental hedgerow",S145&lt;&gt;"Poor"),"Not possible ▲",(VLOOKUP(S145,'G-1 All Habitats'!$Z$2:$AA$9,2,FALSE)))),"")</f>
        <v/>
      </c>
      <c r="U145" s="105"/>
      <c r="V145" s="295" t="str">
        <f>IF(U145="","",IF(VLOOKUP(U145,'G-3 Multipliers'!$L$3:$N$6,2,FALSE)=0,"Spatial Data Missing ⚠",VLOOKUP(U145,'G-3 Multipliers'!$L$3:$N$6,2,FALSE)))</f>
        <v/>
      </c>
      <c r="W145" s="299" t="str">
        <f>IF(U145="","",IF(VLOOKUP(U145,'G-3 Multipliers'!$L$3:$N$6,3,FALSE)=0,"Spatial Data Missing ⚠",VLOOKUP(U145,'G-3 Multipliers'!$L$3:$N$6,3,FALSE)))</f>
        <v/>
      </c>
      <c r="X145" s="275" t="str">
        <f>IFERROR(IF(OR(LEFT(O145,5)="Error",LEFT(N145,5)="Error",T145="Error"),"Check Data ⚠",IF(F145&lt;R145,INDEX('G-6 Hedgerow Data'!$S$3:$AE$14,MATCH(C145,'G-6 Hedgerow Data'!$B$3:$B$14,0),MATCH(M145,'G-6 Hedgerow Data'!$S$2:$AE$2,0)),INDEX('G-6 Hedgerow Data'!$K$3:$Q$14,MATCH(M145,'G-6 Hedgerow Data'!$B$3:$B$14,0),MATCH(O145,'G-6 Hedgerow Data'!$K$2:$Q$2,0)))),"")</f>
        <v/>
      </c>
      <c r="Y145" s="133"/>
      <c r="Z145" s="133"/>
      <c r="AA145" s="283" t="str">
        <f t="shared" si="16"/>
        <v/>
      </c>
      <c r="AB145" s="296" t="str">
        <f t="shared" si="17"/>
        <v/>
      </c>
      <c r="AC145" s="297" t="str">
        <f t="shared" si="14"/>
        <v/>
      </c>
      <c r="AD145" s="311" t="str">
        <f>IF(M145="","",VLOOKUP(M145,'G-6 Hedgerow Data'!$B$3:$AG$15,31,FALSE))</f>
        <v/>
      </c>
      <c r="AE145" s="283" t="str">
        <f t="shared" si="18"/>
        <v/>
      </c>
      <c r="AF145" s="283" t="str">
        <f t="shared" si="19"/>
        <v/>
      </c>
      <c r="AG145" s="299" t="str">
        <f>IFERROR(IF(O145="","",VLOOKUP(AD145,'G-3 Multipliers'!$P$3:$Q$6,2,FALSE)),"")</f>
        <v/>
      </c>
      <c r="AH145" s="289" t="str">
        <f t="shared" si="20"/>
        <v/>
      </c>
      <c r="AI145" s="108"/>
      <c r="AJ145" s="115"/>
      <c r="AK145" s="104"/>
      <c r="AT145" s="30" t="str">
        <f>IFERROR(INDEX('G-6 Hedgerow Data'!$BJ$3:$BJ$15,MATCH(M145,'G-6 Hedgerow Data'!$B$3:$B$15,0)),"")</f>
        <v/>
      </c>
    </row>
    <row r="146" spans="2:46" ht="14">
      <c r="B146" s="305" t="str">
        <f>'B-1 On-Site Hedge Baseline'!AK144</f>
        <v/>
      </c>
      <c r="C146" s="295" t="str">
        <f>IF(B146="","",IF(ISNA(VLOOKUP($B146,'B-1 On-Site Hedge Baseline'!$B$1:$L$257,3,FALSE)),"",(VLOOKUP($B146,'B-1 On-Site Hedge Baseline'!$B$1:$L$257,3,FALSE))))</f>
        <v/>
      </c>
      <c r="D146" s="295" t="str">
        <f>IF(B146="","",IF(ISNA(VLOOKUP($B146,'B-1 On-Site Hedge Baseline'!$B$1:$L$257,4,FALSE)),"",(VLOOKUP($B146,'B-1 On-Site Hedge Baseline'!$B$1:$L$257,4,FALSE))))</f>
        <v/>
      </c>
      <c r="E146" s="295" t="str">
        <f>IF(B146="","",IF(ISNA(VLOOKUP($B146,'B-1 On-Site Hedge Baseline'!$B$1:$L$257,5,FALSE)),"",(VLOOKUP($B146,'B-1 On-Site Hedge Baseline'!$B$1:$L$257,5,FALSE))))</f>
        <v/>
      </c>
      <c r="F146" s="295" t="str">
        <f>IF(B146="","",IF(ISNA(VLOOKUP($B146,'B-1 On-Site Hedge Baseline'!$B$1:$L$257,6,FALSE)),"",(VLOOKUP($B146,'B-1 On-Site Hedge Baseline'!$B$1:$L$257,6,FALSE))))</f>
        <v/>
      </c>
      <c r="G146" s="295" t="str">
        <f>IF(B146="","",IF(ISNA(VLOOKUP($B146,'B-1 On-Site Hedge Baseline'!$B$1:$L$257,7,FALSE)),"",(VLOOKUP($B146,'B-1 On-Site Hedge Baseline'!$B$1:$L$257,7,FALSE))))</f>
        <v/>
      </c>
      <c r="H146" s="295" t="str">
        <f>IF(B146="","",IF(ISNA(VLOOKUP($B146,'B-1 On-Site Hedge Baseline'!$B$1:$L$257,8,FALSE)),"",(VLOOKUP($B146,'B-1 On-Site Hedge Baseline'!$B$1:$L$257,8,FALSE))))</f>
        <v/>
      </c>
      <c r="I146" s="295" t="str">
        <f>IF(B146="","",IF(ISNA(VLOOKUP($B146,'B-1 On-Site Hedge Baseline'!$B$1:$L$257,10,FALSE)),"",(VLOOKUP($B146,'B-1 On-Site Hedge Baseline'!$B$1:$L$257,10,FALSE))))</f>
        <v/>
      </c>
      <c r="J146" s="295" t="str">
        <f>IF(B146="","",IF(ISNA(VLOOKUP($B146,'B-1 On-Site Hedge Baseline'!$B$1:$L$257,11,FALSE)),"",(VLOOKUP($B146,'B-1 On-Site Hedge Baseline'!$B$1:$L$257,11,FALSE))))</f>
        <v/>
      </c>
      <c r="K146" s="295" t="str">
        <f>IF(B146="","",IF(ISNA(VLOOKUP($B146,'B-1 On-Site Hedge Baseline'!$B$1:$U$257,13,FALSE)),"",(VLOOKUP($B146,'B-1 On-Site Hedge Baseline'!$B$1:$U$257,13,FALSE))))</f>
        <v/>
      </c>
      <c r="L146" s="299" t="str">
        <f>IF(B146="","",IF(ISNA(VLOOKUP($B146,'B-1 On-Site Hedge Baseline'!$B$1:$U$257,12,FALSE)),"",(VLOOKUP($B146,'B-1 On-Site Hedge Baseline'!$B$1:$U$257,12,FALSE))))</f>
        <v/>
      </c>
      <c r="M146" s="611"/>
      <c r="N146" s="275" t="str">
        <f>IFERROR(IF(B146="","",INDEX('G-6 Hedgerow Data'!$AN$3:$AZ$15,MATCH(C146,'G-6 Hedgerow Data'!$AM$3:$AM$15,0),MATCH(M146,'G-6 Hedgerow Data'!$AN$2:$AZ$2,0))),"")</f>
        <v/>
      </c>
      <c r="O146" s="276" t="str">
        <f t="shared" si="15"/>
        <v/>
      </c>
      <c r="P146" s="329" t="str">
        <f>IF(B146="","",VLOOKUP(B146,'B-1 On-Site Hedge Baseline'!$B$10:T391,16,FALSE))</f>
        <v/>
      </c>
      <c r="Q146" s="275" t="str">
        <f>IF(M146="","",VLOOKUP(M146,'G-6 Hedgerow Data'!$B$2:$AG$15,2,FALSE))</f>
        <v/>
      </c>
      <c r="R146" s="276" t="str">
        <f>IF(M146="","",VLOOKUP(M146,'G-6 Hedgerow Data'!$B$2:$AG$15,3,FALSE))</f>
        <v/>
      </c>
      <c r="S146" s="108"/>
      <c r="T146" s="314" t="str">
        <f>IFERROR(IF(S146="","",IF(AND(M146="Non-native and ornamental hedgerow",S146&lt;&gt;"Poor"),"Not possible ▲",(VLOOKUP(S146,'G-1 All Habitats'!$Z$2:$AA$9,2,FALSE)))),"")</f>
        <v/>
      </c>
      <c r="U146" s="105"/>
      <c r="V146" s="295" t="str">
        <f>IF(U146="","",IF(VLOOKUP(U146,'G-3 Multipliers'!$L$3:$N$6,2,FALSE)=0,"Spatial Data Missing ⚠",VLOOKUP(U146,'G-3 Multipliers'!$L$3:$N$6,2,FALSE)))</f>
        <v/>
      </c>
      <c r="W146" s="299" t="str">
        <f>IF(U146="","",IF(VLOOKUP(U146,'G-3 Multipliers'!$L$3:$N$6,3,FALSE)=0,"Spatial Data Missing ⚠",VLOOKUP(U146,'G-3 Multipliers'!$L$3:$N$6,3,FALSE)))</f>
        <v/>
      </c>
      <c r="X146" s="275" t="str">
        <f>IFERROR(IF(OR(LEFT(O146,5)="Error",LEFT(N146,5)="Error",T146="Error"),"Check Data ⚠",IF(F146&lt;R146,INDEX('G-6 Hedgerow Data'!$S$3:$AE$14,MATCH(C146,'G-6 Hedgerow Data'!$B$3:$B$14,0),MATCH(M146,'G-6 Hedgerow Data'!$S$2:$AE$2,0)),INDEX('G-6 Hedgerow Data'!$K$3:$Q$14,MATCH(M146,'G-6 Hedgerow Data'!$B$3:$B$14,0),MATCH(O146,'G-6 Hedgerow Data'!$K$2:$Q$2,0)))),"")</f>
        <v/>
      </c>
      <c r="Y146" s="133"/>
      <c r="Z146" s="133"/>
      <c r="AA146" s="283" t="str">
        <f t="shared" si="16"/>
        <v/>
      </c>
      <c r="AB146" s="296" t="str">
        <f t="shared" si="17"/>
        <v/>
      </c>
      <c r="AC146" s="297" t="str">
        <f t="shared" si="14"/>
        <v/>
      </c>
      <c r="AD146" s="311" t="str">
        <f>IF(M146="","",VLOOKUP(M146,'G-6 Hedgerow Data'!$B$3:$AG$15,31,FALSE))</f>
        <v/>
      </c>
      <c r="AE146" s="283" t="str">
        <f t="shared" si="18"/>
        <v/>
      </c>
      <c r="AF146" s="283" t="str">
        <f t="shared" si="19"/>
        <v/>
      </c>
      <c r="AG146" s="299" t="str">
        <f>IFERROR(IF(O146="","",VLOOKUP(AD146,'G-3 Multipliers'!$P$3:$Q$6,2,FALSE)),"")</f>
        <v/>
      </c>
      <c r="AH146" s="289" t="str">
        <f t="shared" si="20"/>
        <v/>
      </c>
      <c r="AI146" s="108"/>
      <c r="AJ146" s="115"/>
      <c r="AK146" s="104"/>
      <c r="AT146" s="30" t="str">
        <f>IFERROR(INDEX('G-6 Hedgerow Data'!$BJ$3:$BJ$15,MATCH(M146,'G-6 Hedgerow Data'!$B$3:$B$15,0)),"")</f>
        <v/>
      </c>
    </row>
    <row r="147" spans="2:46" ht="14">
      <c r="B147" s="305" t="str">
        <f>'B-1 On-Site Hedge Baseline'!AK145</f>
        <v/>
      </c>
      <c r="C147" s="295" t="str">
        <f>IF(B147="","",IF(ISNA(VLOOKUP($B147,'B-1 On-Site Hedge Baseline'!$B$1:$L$257,3,FALSE)),"",(VLOOKUP($B147,'B-1 On-Site Hedge Baseline'!$B$1:$L$257,3,FALSE))))</f>
        <v/>
      </c>
      <c r="D147" s="295" t="str">
        <f>IF(B147="","",IF(ISNA(VLOOKUP($B147,'B-1 On-Site Hedge Baseline'!$B$1:$L$257,4,FALSE)),"",(VLOOKUP($B147,'B-1 On-Site Hedge Baseline'!$B$1:$L$257,4,FALSE))))</f>
        <v/>
      </c>
      <c r="E147" s="295" t="str">
        <f>IF(B147="","",IF(ISNA(VLOOKUP($B147,'B-1 On-Site Hedge Baseline'!$B$1:$L$257,5,FALSE)),"",(VLOOKUP($B147,'B-1 On-Site Hedge Baseline'!$B$1:$L$257,5,FALSE))))</f>
        <v/>
      </c>
      <c r="F147" s="295" t="str">
        <f>IF(B147="","",IF(ISNA(VLOOKUP($B147,'B-1 On-Site Hedge Baseline'!$B$1:$L$257,6,FALSE)),"",(VLOOKUP($B147,'B-1 On-Site Hedge Baseline'!$B$1:$L$257,6,FALSE))))</f>
        <v/>
      </c>
      <c r="G147" s="295" t="str">
        <f>IF(B147="","",IF(ISNA(VLOOKUP($B147,'B-1 On-Site Hedge Baseline'!$B$1:$L$257,7,FALSE)),"",(VLOOKUP($B147,'B-1 On-Site Hedge Baseline'!$B$1:$L$257,7,FALSE))))</f>
        <v/>
      </c>
      <c r="H147" s="295" t="str">
        <f>IF(B147="","",IF(ISNA(VLOOKUP($B147,'B-1 On-Site Hedge Baseline'!$B$1:$L$257,8,FALSE)),"",(VLOOKUP($B147,'B-1 On-Site Hedge Baseline'!$B$1:$L$257,8,FALSE))))</f>
        <v/>
      </c>
      <c r="I147" s="295" t="str">
        <f>IF(B147="","",IF(ISNA(VLOOKUP($B147,'B-1 On-Site Hedge Baseline'!$B$1:$L$257,10,FALSE)),"",(VLOOKUP($B147,'B-1 On-Site Hedge Baseline'!$B$1:$L$257,10,FALSE))))</f>
        <v/>
      </c>
      <c r="J147" s="295" t="str">
        <f>IF(B147="","",IF(ISNA(VLOOKUP($B147,'B-1 On-Site Hedge Baseline'!$B$1:$L$257,11,FALSE)),"",(VLOOKUP($B147,'B-1 On-Site Hedge Baseline'!$B$1:$L$257,11,FALSE))))</f>
        <v/>
      </c>
      <c r="K147" s="295" t="str">
        <f>IF(B147="","",IF(ISNA(VLOOKUP($B147,'B-1 On-Site Hedge Baseline'!$B$1:$U$257,13,FALSE)),"",(VLOOKUP($B147,'B-1 On-Site Hedge Baseline'!$B$1:$U$257,13,FALSE))))</f>
        <v/>
      </c>
      <c r="L147" s="299" t="str">
        <f>IF(B147="","",IF(ISNA(VLOOKUP($B147,'B-1 On-Site Hedge Baseline'!$B$1:$U$257,12,FALSE)),"",(VLOOKUP($B147,'B-1 On-Site Hedge Baseline'!$B$1:$U$257,12,FALSE))))</f>
        <v/>
      </c>
      <c r="M147" s="611"/>
      <c r="N147" s="275" t="str">
        <f>IFERROR(IF(B147="","",INDEX('G-6 Hedgerow Data'!$AN$3:$AZ$15,MATCH(C147,'G-6 Hedgerow Data'!$AM$3:$AM$15,0),MATCH(M147,'G-6 Hedgerow Data'!$AN$2:$AZ$2,0))),"")</f>
        <v/>
      </c>
      <c r="O147" s="276" t="str">
        <f t="shared" si="15"/>
        <v/>
      </c>
      <c r="P147" s="329" t="str">
        <f>IF(B147="","",VLOOKUP(B147,'B-1 On-Site Hedge Baseline'!$B$10:T392,16,FALSE))</f>
        <v/>
      </c>
      <c r="Q147" s="275" t="str">
        <f>IF(M147="","",VLOOKUP(M147,'G-6 Hedgerow Data'!$B$2:$AG$15,2,FALSE))</f>
        <v/>
      </c>
      <c r="R147" s="276" t="str">
        <f>IF(M147="","",VLOOKUP(M147,'G-6 Hedgerow Data'!$B$2:$AG$15,3,FALSE))</f>
        <v/>
      </c>
      <c r="S147" s="108"/>
      <c r="T147" s="314" t="str">
        <f>IFERROR(IF(S147="","",IF(AND(M147="Non-native and ornamental hedgerow",S147&lt;&gt;"Poor"),"Not possible ▲",(VLOOKUP(S147,'G-1 All Habitats'!$Z$2:$AA$9,2,FALSE)))),"")</f>
        <v/>
      </c>
      <c r="U147" s="105"/>
      <c r="V147" s="295" t="str">
        <f>IF(U147="","",IF(VLOOKUP(U147,'G-3 Multipliers'!$L$3:$N$6,2,FALSE)=0,"Spatial Data Missing ⚠",VLOOKUP(U147,'G-3 Multipliers'!$L$3:$N$6,2,FALSE)))</f>
        <v/>
      </c>
      <c r="W147" s="299" t="str">
        <f>IF(U147="","",IF(VLOOKUP(U147,'G-3 Multipliers'!$L$3:$N$6,3,FALSE)=0,"Spatial Data Missing ⚠",VLOOKUP(U147,'G-3 Multipliers'!$L$3:$N$6,3,FALSE)))</f>
        <v/>
      </c>
      <c r="X147" s="275" t="str">
        <f>IFERROR(IF(OR(LEFT(O147,5)="Error",LEFT(N147,5)="Error",T147="Error"),"Check Data ⚠",IF(F147&lt;R147,INDEX('G-6 Hedgerow Data'!$S$3:$AE$14,MATCH(C147,'G-6 Hedgerow Data'!$B$3:$B$14,0),MATCH(M147,'G-6 Hedgerow Data'!$S$2:$AE$2,0)),INDEX('G-6 Hedgerow Data'!$K$3:$Q$14,MATCH(M147,'G-6 Hedgerow Data'!$B$3:$B$14,0),MATCH(O147,'G-6 Hedgerow Data'!$K$2:$Q$2,0)))),"")</f>
        <v/>
      </c>
      <c r="Y147" s="133"/>
      <c r="Z147" s="133"/>
      <c r="AA147" s="283" t="str">
        <f t="shared" si="16"/>
        <v/>
      </c>
      <c r="AB147" s="296" t="str">
        <f t="shared" si="17"/>
        <v/>
      </c>
      <c r="AC147" s="297" t="str">
        <f t="shared" si="14"/>
        <v/>
      </c>
      <c r="AD147" s="311" t="str">
        <f>IF(M147="","",VLOOKUP(M147,'G-6 Hedgerow Data'!$B$3:$AG$15,31,FALSE))</f>
        <v/>
      </c>
      <c r="AE147" s="283" t="str">
        <f t="shared" si="18"/>
        <v/>
      </c>
      <c r="AF147" s="283" t="str">
        <f t="shared" si="19"/>
        <v/>
      </c>
      <c r="AG147" s="299" t="str">
        <f>IFERROR(IF(O147="","",VLOOKUP(AD147,'G-3 Multipliers'!$P$3:$Q$6,2,FALSE)),"")</f>
        <v/>
      </c>
      <c r="AH147" s="289" t="str">
        <f t="shared" si="20"/>
        <v/>
      </c>
      <c r="AI147" s="108"/>
      <c r="AJ147" s="115"/>
      <c r="AK147" s="104"/>
      <c r="AT147" s="30" t="str">
        <f>IFERROR(INDEX('G-6 Hedgerow Data'!$BJ$3:$BJ$15,MATCH(M147,'G-6 Hedgerow Data'!$B$3:$B$15,0)),"")</f>
        <v/>
      </c>
    </row>
    <row r="148" spans="2:46" ht="14">
      <c r="B148" s="305" t="str">
        <f>'B-1 On-Site Hedge Baseline'!AK146</f>
        <v/>
      </c>
      <c r="C148" s="295" t="str">
        <f>IF(B148="","",IF(ISNA(VLOOKUP($B148,'B-1 On-Site Hedge Baseline'!$B$1:$L$257,3,FALSE)),"",(VLOOKUP($B148,'B-1 On-Site Hedge Baseline'!$B$1:$L$257,3,FALSE))))</f>
        <v/>
      </c>
      <c r="D148" s="295" t="str">
        <f>IF(B148="","",IF(ISNA(VLOOKUP($B148,'B-1 On-Site Hedge Baseline'!$B$1:$L$257,4,FALSE)),"",(VLOOKUP($B148,'B-1 On-Site Hedge Baseline'!$B$1:$L$257,4,FALSE))))</f>
        <v/>
      </c>
      <c r="E148" s="295" t="str">
        <f>IF(B148="","",IF(ISNA(VLOOKUP($B148,'B-1 On-Site Hedge Baseline'!$B$1:$L$257,5,FALSE)),"",(VLOOKUP($B148,'B-1 On-Site Hedge Baseline'!$B$1:$L$257,5,FALSE))))</f>
        <v/>
      </c>
      <c r="F148" s="295" t="str">
        <f>IF(B148="","",IF(ISNA(VLOOKUP($B148,'B-1 On-Site Hedge Baseline'!$B$1:$L$257,6,FALSE)),"",(VLOOKUP($B148,'B-1 On-Site Hedge Baseline'!$B$1:$L$257,6,FALSE))))</f>
        <v/>
      </c>
      <c r="G148" s="295" t="str">
        <f>IF(B148="","",IF(ISNA(VLOOKUP($B148,'B-1 On-Site Hedge Baseline'!$B$1:$L$257,7,FALSE)),"",(VLOOKUP($B148,'B-1 On-Site Hedge Baseline'!$B$1:$L$257,7,FALSE))))</f>
        <v/>
      </c>
      <c r="H148" s="295" t="str">
        <f>IF(B148="","",IF(ISNA(VLOOKUP($B148,'B-1 On-Site Hedge Baseline'!$B$1:$L$257,8,FALSE)),"",(VLOOKUP($B148,'B-1 On-Site Hedge Baseline'!$B$1:$L$257,8,FALSE))))</f>
        <v/>
      </c>
      <c r="I148" s="295" t="str">
        <f>IF(B148="","",IF(ISNA(VLOOKUP($B148,'B-1 On-Site Hedge Baseline'!$B$1:$L$257,10,FALSE)),"",(VLOOKUP($B148,'B-1 On-Site Hedge Baseline'!$B$1:$L$257,10,FALSE))))</f>
        <v/>
      </c>
      <c r="J148" s="295" t="str">
        <f>IF(B148="","",IF(ISNA(VLOOKUP($B148,'B-1 On-Site Hedge Baseline'!$B$1:$L$257,11,FALSE)),"",(VLOOKUP($B148,'B-1 On-Site Hedge Baseline'!$B$1:$L$257,11,FALSE))))</f>
        <v/>
      </c>
      <c r="K148" s="295" t="str">
        <f>IF(B148="","",IF(ISNA(VLOOKUP($B148,'B-1 On-Site Hedge Baseline'!$B$1:$U$257,13,FALSE)),"",(VLOOKUP($B148,'B-1 On-Site Hedge Baseline'!$B$1:$U$257,13,FALSE))))</f>
        <v/>
      </c>
      <c r="L148" s="299" t="str">
        <f>IF(B148="","",IF(ISNA(VLOOKUP($B148,'B-1 On-Site Hedge Baseline'!$B$1:$U$257,12,FALSE)),"",(VLOOKUP($B148,'B-1 On-Site Hedge Baseline'!$B$1:$U$257,12,FALSE))))</f>
        <v/>
      </c>
      <c r="M148" s="611"/>
      <c r="N148" s="275" t="str">
        <f>IFERROR(IF(B148="","",INDEX('G-6 Hedgerow Data'!$AN$3:$AZ$15,MATCH(C148,'G-6 Hedgerow Data'!$AM$3:$AM$15,0),MATCH(M148,'G-6 Hedgerow Data'!$AN$2:$AZ$2,0))),"")</f>
        <v/>
      </c>
      <c r="O148" s="276" t="str">
        <f t="shared" si="15"/>
        <v/>
      </c>
      <c r="P148" s="329" t="str">
        <f>IF(B148="","",VLOOKUP(B148,'B-1 On-Site Hedge Baseline'!$B$10:T393,16,FALSE))</f>
        <v/>
      </c>
      <c r="Q148" s="275" t="str">
        <f>IF(M148="","",VLOOKUP(M148,'G-6 Hedgerow Data'!$B$2:$AG$15,2,FALSE))</f>
        <v/>
      </c>
      <c r="R148" s="276" t="str">
        <f>IF(M148="","",VLOOKUP(M148,'G-6 Hedgerow Data'!$B$2:$AG$15,3,FALSE))</f>
        <v/>
      </c>
      <c r="S148" s="108"/>
      <c r="T148" s="314" t="str">
        <f>IFERROR(IF(S148="","",IF(AND(M148="Non-native and ornamental hedgerow",S148&lt;&gt;"Poor"),"Not possible ▲",(VLOOKUP(S148,'G-1 All Habitats'!$Z$2:$AA$9,2,FALSE)))),"")</f>
        <v/>
      </c>
      <c r="U148" s="105"/>
      <c r="V148" s="295" t="str">
        <f>IF(U148="","",IF(VLOOKUP(U148,'G-3 Multipliers'!$L$3:$N$6,2,FALSE)=0,"Spatial Data Missing ⚠",VLOOKUP(U148,'G-3 Multipliers'!$L$3:$N$6,2,FALSE)))</f>
        <v/>
      </c>
      <c r="W148" s="299" t="str">
        <f>IF(U148="","",IF(VLOOKUP(U148,'G-3 Multipliers'!$L$3:$N$6,3,FALSE)=0,"Spatial Data Missing ⚠",VLOOKUP(U148,'G-3 Multipliers'!$L$3:$N$6,3,FALSE)))</f>
        <v/>
      </c>
      <c r="X148" s="275" t="str">
        <f>IFERROR(IF(OR(LEFT(O148,5)="Error",LEFT(N148,5)="Error",T148="Error"),"Check Data ⚠",IF(F148&lt;R148,INDEX('G-6 Hedgerow Data'!$S$3:$AE$14,MATCH(C148,'G-6 Hedgerow Data'!$B$3:$B$14,0),MATCH(M148,'G-6 Hedgerow Data'!$S$2:$AE$2,0)),INDEX('G-6 Hedgerow Data'!$K$3:$Q$14,MATCH(M148,'G-6 Hedgerow Data'!$B$3:$B$14,0),MATCH(O148,'G-6 Hedgerow Data'!$K$2:$Q$2,0)))),"")</f>
        <v/>
      </c>
      <c r="Y148" s="133"/>
      <c r="Z148" s="133"/>
      <c r="AA148" s="283" t="str">
        <f t="shared" si="16"/>
        <v/>
      </c>
      <c r="AB148" s="296" t="str">
        <f t="shared" si="17"/>
        <v/>
      </c>
      <c r="AC148" s="297" t="str">
        <f t="shared" si="14"/>
        <v/>
      </c>
      <c r="AD148" s="311" t="str">
        <f>IF(M148="","",VLOOKUP(M148,'G-6 Hedgerow Data'!$B$3:$AG$15,31,FALSE))</f>
        <v/>
      </c>
      <c r="AE148" s="283" t="str">
        <f t="shared" si="18"/>
        <v/>
      </c>
      <c r="AF148" s="283" t="str">
        <f t="shared" si="19"/>
        <v/>
      </c>
      <c r="AG148" s="299" t="str">
        <f>IFERROR(IF(O148="","",VLOOKUP(AD148,'G-3 Multipliers'!$P$3:$Q$6,2,FALSE)),"")</f>
        <v/>
      </c>
      <c r="AH148" s="289" t="str">
        <f t="shared" si="20"/>
        <v/>
      </c>
      <c r="AI148" s="108"/>
      <c r="AJ148" s="115"/>
      <c r="AK148" s="104"/>
      <c r="AT148" s="30" t="str">
        <f>IFERROR(INDEX('G-6 Hedgerow Data'!$BJ$3:$BJ$15,MATCH(M148,'G-6 Hedgerow Data'!$B$3:$B$15,0)),"")</f>
        <v/>
      </c>
    </row>
    <row r="149" spans="2:46" ht="14">
      <c r="B149" s="305" t="str">
        <f>'B-1 On-Site Hedge Baseline'!AK147</f>
        <v/>
      </c>
      <c r="C149" s="295" t="str">
        <f>IF(B149="","",IF(ISNA(VLOOKUP($B149,'B-1 On-Site Hedge Baseline'!$B$1:$L$257,3,FALSE)),"",(VLOOKUP($B149,'B-1 On-Site Hedge Baseline'!$B$1:$L$257,3,FALSE))))</f>
        <v/>
      </c>
      <c r="D149" s="295" t="str">
        <f>IF(B149="","",IF(ISNA(VLOOKUP($B149,'B-1 On-Site Hedge Baseline'!$B$1:$L$257,4,FALSE)),"",(VLOOKUP($B149,'B-1 On-Site Hedge Baseline'!$B$1:$L$257,4,FALSE))))</f>
        <v/>
      </c>
      <c r="E149" s="295" t="str">
        <f>IF(B149="","",IF(ISNA(VLOOKUP($B149,'B-1 On-Site Hedge Baseline'!$B$1:$L$257,5,FALSE)),"",(VLOOKUP($B149,'B-1 On-Site Hedge Baseline'!$B$1:$L$257,5,FALSE))))</f>
        <v/>
      </c>
      <c r="F149" s="295" t="str">
        <f>IF(B149="","",IF(ISNA(VLOOKUP($B149,'B-1 On-Site Hedge Baseline'!$B$1:$L$257,6,FALSE)),"",(VLOOKUP($B149,'B-1 On-Site Hedge Baseline'!$B$1:$L$257,6,FALSE))))</f>
        <v/>
      </c>
      <c r="G149" s="295" t="str">
        <f>IF(B149="","",IF(ISNA(VLOOKUP($B149,'B-1 On-Site Hedge Baseline'!$B$1:$L$257,7,FALSE)),"",(VLOOKUP($B149,'B-1 On-Site Hedge Baseline'!$B$1:$L$257,7,FALSE))))</f>
        <v/>
      </c>
      <c r="H149" s="295" t="str">
        <f>IF(B149="","",IF(ISNA(VLOOKUP($B149,'B-1 On-Site Hedge Baseline'!$B$1:$L$257,8,FALSE)),"",(VLOOKUP($B149,'B-1 On-Site Hedge Baseline'!$B$1:$L$257,8,FALSE))))</f>
        <v/>
      </c>
      <c r="I149" s="295" t="str">
        <f>IF(B149="","",IF(ISNA(VLOOKUP($B149,'B-1 On-Site Hedge Baseline'!$B$1:$L$257,10,FALSE)),"",(VLOOKUP($B149,'B-1 On-Site Hedge Baseline'!$B$1:$L$257,10,FALSE))))</f>
        <v/>
      </c>
      <c r="J149" s="295" t="str">
        <f>IF(B149="","",IF(ISNA(VLOOKUP($B149,'B-1 On-Site Hedge Baseline'!$B$1:$L$257,11,FALSE)),"",(VLOOKUP($B149,'B-1 On-Site Hedge Baseline'!$B$1:$L$257,11,FALSE))))</f>
        <v/>
      </c>
      <c r="K149" s="295" t="str">
        <f>IF(B149="","",IF(ISNA(VLOOKUP($B149,'B-1 On-Site Hedge Baseline'!$B$1:$U$257,13,FALSE)),"",(VLOOKUP($B149,'B-1 On-Site Hedge Baseline'!$B$1:$U$257,13,FALSE))))</f>
        <v/>
      </c>
      <c r="L149" s="299" t="str">
        <f>IF(B149="","",IF(ISNA(VLOOKUP($B149,'B-1 On-Site Hedge Baseline'!$B$1:$U$257,12,FALSE)),"",(VLOOKUP($B149,'B-1 On-Site Hedge Baseline'!$B$1:$U$257,12,FALSE))))</f>
        <v/>
      </c>
      <c r="M149" s="611"/>
      <c r="N149" s="275" t="str">
        <f>IFERROR(IF(B149="","",INDEX('G-6 Hedgerow Data'!$AN$3:$AZ$15,MATCH(C149,'G-6 Hedgerow Data'!$AM$3:$AM$15,0),MATCH(M149,'G-6 Hedgerow Data'!$AN$2:$AZ$2,0))),"")</f>
        <v/>
      </c>
      <c r="O149" s="276" t="str">
        <f t="shared" si="15"/>
        <v/>
      </c>
      <c r="P149" s="329" t="str">
        <f>IF(B149="","",VLOOKUP(B149,'B-1 On-Site Hedge Baseline'!$B$10:T394,16,FALSE))</f>
        <v/>
      </c>
      <c r="Q149" s="275" t="str">
        <f>IF(M149="","",VLOOKUP(M149,'G-6 Hedgerow Data'!$B$2:$AG$15,2,FALSE))</f>
        <v/>
      </c>
      <c r="R149" s="276" t="str">
        <f>IF(M149="","",VLOOKUP(M149,'G-6 Hedgerow Data'!$B$2:$AG$15,3,FALSE))</f>
        <v/>
      </c>
      <c r="S149" s="108"/>
      <c r="T149" s="314" t="str">
        <f>IFERROR(IF(S149="","",IF(AND(M149="Non-native and ornamental hedgerow",S149&lt;&gt;"Poor"),"Not possible ▲",(VLOOKUP(S149,'G-1 All Habitats'!$Z$2:$AA$9,2,FALSE)))),"")</f>
        <v/>
      </c>
      <c r="U149" s="105"/>
      <c r="V149" s="295" t="str">
        <f>IF(U149="","",IF(VLOOKUP(U149,'G-3 Multipliers'!$L$3:$N$6,2,FALSE)=0,"Spatial Data Missing ⚠",VLOOKUP(U149,'G-3 Multipliers'!$L$3:$N$6,2,FALSE)))</f>
        <v/>
      </c>
      <c r="W149" s="299" t="str">
        <f>IF(U149="","",IF(VLOOKUP(U149,'G-3 Multipliers'!$L$3:$N$6,3,FALSE)=0,"Spatial Data Missing ⚠",VLOOKUP(U149,'G-3 Multipliers'!$L$3:$N$6,3,FALSE)))</f>
        <v/>
      </c>
      <c r="X149" s="275" t="str">
        <f>IFERROR(IF(OR(LEFT(O149,5)="Error",LEFT(N149,5)="Error",T149="Error"),"Check Data ⚠",IF(F149&lt;R149,INDEX('G-6 Hedgerow Data'!$S$3:$AE$14,MATCH(C149,'G-6 Hedgerow Data'!$B$3:$B$14,0),MATCH(M149,'G-6 Hedgerow Data'!$S$2:$AE$2,0)),INDEX('G-6 Hedgerow Data'!$K$3:$Q$14,MATCH(M149,'G-6 Hedgerow Data'!$B$3:$B$14,0),MATCH(O149,'G-6 Hedgerow Data'!$K$2:$Q$2,0)))),"")</f>
        <v/>
      </c>
      <c r="Y149" s="133"/>
      <c r="Z149" s="133"/>
      <c r="AA149" s="283" t="str">
        <f t="shared" si="16"/>
        <v/>
      </c>
      <c r="AB149" s="296" t="str">
        <f t="shared" si="17"/>
        <v/>
      </c>
      <c r="AC149" s="297" t="str">
        <f t="shared" si="14"/>
        <v/>
      </c>
      <c r="AD149" s="311" t="str">
        <f>IF(M149="","",VLOOKUP(M149,'G-6 Hedgerow Data'!$B$3:$AG$15,31,FALSE))</f>
        <v/>
      </c>
      <c r="AE149" s="283" t="str">
        <f t="shared" si="18"/>
        <v/>
      </c>
      <c r="AF149" s="283" t="str">
        <f t="shared" si="19"/>
        <v/>
      </c>
      <c r="AG149" s="299" t="str">
        <f>IFERROR(IF(O149="","",VLOOKUP(AD149,'G-3 Multipliers'!$P$3:$Q$6,2,FALSE)),"")</f>
        <v/>
      </c>
      <c r="AH149" s="289" t="str">
        <f t="shared" si="20"/>
        <v/>
      </c>
      <c r="AI149" s="108"/>
      <c r="AJ149" s="115"/>
      <c r="AK149" s="104"/>
      <c r="AT149" s="30" t="str">
        <f>IFERROR(INDEX('G-6 Hedgerow Data'!$BJ$3:$BJ$15,MATCH(M149,'G-6 Hedgerow Data'!$B$3:$B$15,0)),"")</f>
        <v/>
      </c>
    </row>
    <row r="150" spans="2:46" ht="14">
      <c r="B150" s="305" t="str">
        <f>'B-1 On-Site Hedge Baseline'!AK148</f>
        <v/>
      </c>
      <c r="C150" s="295" t="str">
        <f>IF(B150="","",IF(ISNA(VLOOKUP($B150,'B-1 On-Site Hedge Baseline'!$B$1:$L$257,3,FALSE)),"",(VLOOKUP($B150,'B-1 On-Site Hedge Baseline'!$B$1:$L$257,3,FALSE))))</f>
        <v/>
      </c>
      <c r="D150" s="295" t="str">
        <f>IF(B150="","",IF(ISNA(VLOOKUP($B150,'B-1 On-Site Hedge Baseline'!$B$1:$L$257,4,FALSE)),"",(VLOOKUP($B150,'B-1 On-Site Hedge Baseline'!$B$1:$L$257,4,FALSE))))</f>
        <v/>
      </c>
      <c r="E150" s="295" t="str">
        <f>IF(B150="","",IF(ISNA(VLOOKUP($B150,'B-1 On-Site Hedge Baseline'!$B$1:$L$257,5,FALSE)),"",(VLOOKUP($B150,'B-1 On-Site Hedge Baseline'!$B$1:$L$257,5,FALSE))))</f>
        <v/>
      </c>
      <c r="F150" s="295" t="str">
        <f>IF(B150="","",IF(ISNA(VLOOKUP($B150,'B-1 On-Site Hedge Baseline'!$B$1:$L$257,6,FALSE)),"",(VLOOKUP($B150,'B-1 On-Site Hedge Baseline'!$B$1:$L$257,6,FALSE))))</f>
        <v/>
      </c>
      <c r="G150" s="295" t="str">
        <f>IF(B150="","",IF(ISNA(VLOOKUP($B150,'B-1 On-Site Hedge Baseline'!$B$1:$L$257,7,FALSE)),"",(VLOOKUP($B150,'B-1 On-Site Hedge Baseline'!$B$1:$L$257,7,FALSE))))</f>
        <v/>
      </c>
      <c r="H150" s="295" t="str">
        <f>IF(B150="","",IF(ISNA(VLOOKUP($B150,'B-1 On-Site Hedge Baseline'!$B$1:$L$257,8,FALSE)),"",(VLOOKUP($B150,'B-1 On-Site Hedge Baseline'!$B$1:$L$257,8,FALSE))))</f>
        <v/>
      </c>
      <c r="I150" s="295" t="str">
        <f>IF(B150="","",IF(ISNA(VLOOKUP($B150,'B-1 On-Site Hedge Baseline'!$B$1:$L$257,10,FALSE)),"",(VLOOKUP($B150,'B-1 On-Site Hedge Baseline'!$B$1:$L$257,10,FALSE))))</f>
        <v/>
      </c>
      <c r="J150" s="295" t="str">
        <f>IF(B150="","",IF(ISNA(VLOOKUP($B150,'B-1 On-Site Hedge Baseline'!$B$1:$L$257,11,FALSE)),"",(VLOOKUP($B150,'B-1 On-Site Hedge Baseline'!$B$1:$L$257,11,FALSE))))</f>
        <v/>
      </c>
      <c r="K150" s="295" t="str">
        <f>IF(B150="","",IF(ISNA(VLOOKUP($B150,'B-1 On-Site Hedge Baseline'!$B$1:$U$257,13,FALSE)),"",(VLOOKUP($B150,'B-1 On-Site Hedge Baseline'!$B$1:$U$257,13,FALSE))))</f>
        <v/>
      </c>
      <c r="L150" s="299" t="str">
        <f>IF(B150="","",IF(ISNA(VLOOKUP($B150,'B-1 On-Site Hedge Baseline'!$B$1:$U$257,12,FALSE)),"",(VLOOKUP($B150,'B-1 On-Site Hedge Baseline'!$B$1:$U$257,12,FALSE))))</f>
        <v/>
      </c>
      <c r="M150" s="611"/>
      <c r="N150" s="275" t="str">
        <f>IFERROR(IF(B150="","",INDEX('G-6 Hedgerow Data'!$AN$3:$AZ$15,MATCH(C150,'G-6 Hedgerow Data'!$AM$3:$AM$15,0),MATCH(M150,'G-6 Hedgerow Data'!$AN$2:$AZ$2,0))),"")</f>
        <v/>
      </c>
      <c r="O150" s="276" t="str">
        <f t="shared" si="15"/>
        <v/>
      </c>
      <c r="P150" s="329" t="str">
        <f>IF(B150="","",VLOOKUP(B150,'B-1 On-Site Hedge Baseline'!$B$10:T395,16,FALSE))</f>
        <v/>
      </c>
      <c r="Q150" s="275" t="str">
        <f>IF(M150="","",VLOOKUP(M150,'G-6 Hedgerow Data'!$B$2:$AG$15,2,FALSE))</f>
        <v/>
      </c>
      <c r="R150" s="276" t="str">
        <f>IF(M150="","",VLOOKUP(M150,'G-6 Hedgerow Data'!$B$2:$AG$15,3,FALSE))</f>
        <v/>
      </c>
      <c r="S150" s="108"/>
      <c r="T150" s="314" t="str">
        <f>IFERROR(IF(S150="","",IF(AND(M150="Non-native and ornamental hedgerow",S150&lt;&gt;"Poor"),"Not possible ▲",(VLOOKUP(S150,'G-1 All Habitats'!$Z$2:$AA$9,2,FALSE)))),"")</f>
        <v/>
      </c>
      <c r="U150" s="105"/>
      <c r="V150" s="295" t="str">
        <f>IF(U150="","",IF(VLOOKUP(U150,'G-3 Multipliers'!$L$3:$N$6,2,FALSE)=0,"Spatial Data Missing ⚠",VLOOKUP(U150,'G-3 Multipliers'!$L$3:$N$6,2,FALSE)))</f>
        <v/>
      </c>
      <c r="W150" s="299" t="str">
        <f>IF(U150="","",IF(VLOOKUP(U150,'G-3 Multipliers'!$L$3:$N$6,3,FALSE)=0,"Spatial Data Missing ⚠",VLOOKUP(U150,'G-3 Multipliers'!$L$3:$N$6,3,FALSE)))</f>
        <v/>
      </c>
      <c r="X150" s="275" t="str">
        <f>IFERROR(IF(OR(LEFT(O150,5)="Error",LEFT(N150,5)="Error",T150="Error"),"Check Data ⚠",IF(F150&lt;R150,INDEX('G-6 Hedgerow Data'!$S$3:$AE$14,MATCH(C150,'G-6 Hedgerow Data'!$B$3:$B$14,0),MATCH(M150,'G-6 Hedgerow Data'!$S$2:$AE$2,0)),INDEX('G-6 Hedgerow Data'!$K$3:$Q$14,MATCH(M150,'G-6 Hedgerow Data'!$B$3:$B$14,0),MATCH(O150,'G-6 Hedgerow Data'!$K$2:$Q$2,0)))),"")</f>
        <v/>
      </c>
      <c r="Y150" s="133"/>
      <c r="Z150" s="133"/>
      <c r="AA150" s="283" t="str">
        <f t="shared" si="16"/>
        <v/>
      </c>
      <c r="AB150" s="296" t="str">
        <f t="shared" si="17"/>
        <v/>
      </c>
      <c r="AC150" s="297" t="str">
        <f t="shared" si="14"/>
        <v/>
      </c>
      <c r="AD150" s="311" t="str">
        <f>IF(M150="","",VLOOKUP(M150,'G-6 Hedgerow Data'!$B$3:$AG$15,31,FALSE))</f>
        <v/>
      </c>
      <c r="AE150" s="283" t="str">
        <f t="shared" si="18"/>
        <v/>
      </c>
      <c r="AF150" s="283" t="str">
        <f t="shared" si="19"/>
        <v/>
      </c>
      <c r="AG150" s="299" t="str">
        <f>IFERROR(IF(O150="","",VLOOKUP(AD150,'G-3 Multipliers'!$P$3:$Q$6,2,FALSE)),"")</f>
        <v/>
      </c>
      <c r="AH150" s="289" t="str">
        <f t="shared" si="20"/>
        <v/>
      </c>
      <c r="AI150" s="108"/>
      <c r="AJ150" s="115"/>
      <c r="AK150" s="104"/>
      <c r="AT150" s="30" t="str">
        <f>IFERROR(INDEX('G-6 Hedgerow Data'!$BJ$3:$BJ$15,MATCH(M150,'G-6 Hedgerow Data'!$B$3:$B$15,0)),"")</f>
        <v/>
      </c>
    </row>
    <row r="151" spans="2:46" ht="14">
      <c r="B151" s="305" t="str">
        <f>'B-1 On-Site Hedge Baseline'!AK149</f>
        <v/>
      </c>
      <c r="C151" s="295" t="str">
        <f>IF(B151="","",IF(ISNA(VLOOKUP($B151,'B-1 On-Site Hedge Baseline'!$B$1:$L$257,3,FALSE)),"",(VLOOKUP($B151,'B-1 On-Site Hedge Baseline'!$B$1:$L$257,3,FALSE))))</f>
        <v/>
      </c>
      <c r="D151" s="295" t="str">
        <f>IF(B151="","",IF(ISNA(VLOOKUP($B151,'B-1 On-Site Hedge Baseline'!$B$1:$L$257,4,FALSE)),"",(VLOOKUP($B151,'B-1 On-Site Hedge Baseline'!$B$1:$L$257,4,FALSE))))</f>
        <v/>
      </c>
      <c r="E151" s="295" t="str">
        <f>IF(B151="","",IF(ISNA(VLOOKUP($B151,'B-1 On-Site Hedge Baseline'!$B$1:$L$257,5,FALSE)),"",(VLOOKUP($B151,'B-1 On-Site Hedge Baseline'!$B$1:$L$257,5,FALSE))))</f>
        <v/>
      </c>
      <c r="F151" s="295" t="str">
        <f>IF(B151="","",IF(ISNA(VLOOKUP($B151,'B-1 On-Site Hedge Baseline'!$B$1:$L$257,6,FALSE)),"",(VLOOKUP($B151,'B-1 On-Site Hedge Baseline'!$B$1:$L$257,6,FALSE))))</f>
        <v/>
      </c>
      <c r="G151" s="295" t="str">
        <f>IF(B151="","",IF(ISNA(VLOOKUP($B151,'B-1 On-Site Hedge Baseline'!$B$1:$L$257,7,FALSE)),"",(VLOOKUP($B151,'B-1 On-Site Hedge Baseline'!$B$1:$L$257,7,FALSE))))</f>
        <v/>
      </c>
      <c r="H151" s="295" t="str">
        <f>IF(B151="","",IF(ISNA(VLOOKUP($B151,'B-1 On-Site Hedge Baseline'!$B$1:$L$257,8,FALSE)),"",(VLOOKUP($B151,'B-1 On-Site Hedge Baseline'!$B$1:$L$257,8,FALSE))))</f>
        <v/>
      </c>
      <c r="I151" s="295" t="str">
        <f>IF(B151="","",IF(ISNA(VLOOKUP($B151,'B-1 On-Site Hedge Baseline'!$B$1:$L$257,10,FALSE)),"",(VLOOKUP($B151,'B-1 On-Site Hedge Baseline'!$B$1:$L$257,10,FALSE))))</f>
        <v/>
      </c>
      <c r="J151" s="295" t="str">
        <f>IF(B151="","",IF(ISNA(VLOOKUP($B151,'B-1 On-Site Hedge Baseline'!$B$1:$L$257,11,FALSE)),"",(VLOOKUP($B151,'B-1 On-Site Hedge Baseline'!$B$1:$L$257,11,FALSE))))</f>
        <v/>
      </c>
      <c r="K151" s="295" t="str">
        <f>IF(B151="","",IF(ISNA(VLOOKUP($B151,'B-1 On-Site Hedge Baseline'!$B$1:$U$257,13,FALSE)),"",(VLOOKUP($B151,'B-1 On-Site Hedge Baseline'!$B$1:$U$257,13,FALSE))))</f>
        <v/>
      </c>
      <c r="L151" s="299" t="str">
        <f>IF(B151="","",IF(ISNA(VLOOKUP($B151,'B-1 On-Site Hedge Baseline'!$B$1:$U$257,12,FALSE)),"",(VLOOKUP($B151,'B-1 On-Site Hedge Baseline'!$B$1:$U$257,12,FALSE))))</f>
        <v/>
      </c>
      <c r="M151" s="611"/>
      <c r="N151" s="275" t="str">
        <f>IFERROR(IF(B151="","",INDEX('G-6 Hedgerow Data'!$AN$3:$AZ$15,MATCH(C151,'G-6 Hedgerow Data'!$AM$3:$AM$15,0),MATCH(M151,'G-6 Hedgerow Data'!$AN$2:$AZ$2,0))),"")</f>
        <v/>
      </c>
      <c r="O151" s="276" t="str">
        <f t="shared" si="15"/>
        <v/>
      </c>
      <c r="P151" s="329" t="str">
        <f>IF(B151="","",VLOOKUP(B151,'B-1 On-Site Hedge Baseline'!$B$10:T396,16,FALSE))</f>
        <v/>
      </c>
      <c r="Q151" s="275" t="str">
        <f>IF(M151="","",VLOOKUP(M151,'G-6 Hedgerow Data'!$B$2:$AG$15,2,FALSE))</f>
        <v/>
      </c>
      <c r="R151" s="276" t="str">
        <f>IF(M151="","",VLOOKUP(M151,'G-6 Hedgerow Data'!$B$2:$AG$15,3,FALSE))</f>
        <v/>
      </c>
      <c r="S151" s="108"/>
      <c r="T151" s="314" t="str">
        <f>IFERROR(IF(S151="","",IF(AND(M151="Non-native and ornamental hedgerow",S151&lt;&gt;"Poor"),"Not possible ▲",(VLOOKUP(S151,'G-1 All Habitats'!$Z$2:$AA$9,2,FALSE)))),"")</f>
        <v/>
      </c>
      <c r="U151" s="105"/>
      <c r="V151" s="295" t="str">
        <f>IF(U151="","",IF(VLOOKUP(U151,'G-3 Multipliers'!$L$3:$N$6,2,FALSE)=0,"Spatial Data Missing ⚠",VLOOKUP(U151,'G-3 Multipliers'!$L$3:$N$6,2,FALSE)))</f>
        <v/>
      </c>
      <c r="W151" s="299" t="str">
        <f>IF(U151="","",IF(VLOOKUP(U151,'G-3 Multipliers'!$L$3:$N$6,3,FALSE)=0,"Spatial Data Missing ⚠",VLOOKUP(U151,'G-3 Multipliers'!$L$3:$N$6,3,FALSE)))</f>
        <v/>
      </c>
      <c r="X151" s="275" t="str">
        <f>IFERROR(IF(OR(LEFT(O151,5)="Error",LEFT(N151,5)="Error",T151="Error"),"Check Data ⚠",IF(F151&lt;R151,INDEX('G-6 Hedgerow Data'!$S$3:$AE$14,MATCH(C151,'G-6 Hedgerow Data'!$B$3:$B$14,0),MATCH(M151,'G-6 Hedgerow Data'!$S$2:$AE$2,0)),INDEX('G-6 Hedgerow Data'!$K$3:$Q$14,MATCH(M151,'G-6 Hedgerow Data'!$B$3:$B$14,0),MATCH(O151,'G-6 Hedgerow Data'!$K$2:$Q$2,0)))),"")</f>
        <v/>
      </c>
      <c r="Y151" s="133"/>
      <c r="Z151" s="133"/>
      <c r="AA151" s="283" t="str">
        <f t="shared" si="16"/>
        <v/>
      </c>
      <c r="AB151" s="296" t="str">
        <f t="shared" si="17"/>
        <v/>
      </c>
      <c r="AC151" s="297" t="str">
        <f t="shared" si="14"/>
        <v/>
      </c>
      <c r="AD151" s="311" t="str">
        <f>IF(M151="","",VLOOKUP(M151,'G-6 Hedgerow Data'!$B$3:$AG$15,31,FALSE))</f>
        <v/>
      </c>
      <c r="AE151" s="283" t="str">
        <f t="shared" si="18"/>
        <v/>
      </c>
      <c r="AF151" s="283" t="str">
        <f t="shared" si="19"/>
        <v/>
      </c>
      <c r="AG151" s="299" t="str">
        <f>IFERROR(IF(O151="","",VLOOKUP(AD151,'G-3 Multipliers'!$P$3:$Q$6,2,FALSE)),"")</f>
        <v/>
      </c>
      <c r="AH151" s="289" t="str">
        <f t="shared" si="20"/>
        <v/>
      </c>
      <c r="AI151" s="108"/>
      <c r="AJ151" s="115"/>
      <c r="AK151" s="104"/>
      <c r="AT151" s="30" t="str">
        <f>IFERROR(INDEX('G-6 Hedgerow Data'!$BJ$3:$BJ$15,MATCH(M151,'G-6 Hedgerow Data'!$B$3:$B$15,0)),"")</f>
        <v/>
      </c>
    </row>
    <row r="152" spans="2:46" ht="14">
      <c r="B152" s="305" t="str">
        <f>'B-1 On-Site Hedge Baseline'!AK150</f>
        <v/>
      </c>
      <c r="C152" s="295" t="str">
        <f>IF(B152="","",IF(ISNA(VLOOKUP($B152,'B-1 On-Site Hedge Baseline'!$B$1:$L$257,3,FALSE)),"",(VLOOKUP($B152,'B-1 On-Site Hedge Baseline'!$B$1:$L$257,3,FALSE))))</f>
        <v/>
      </c>
      <c r="D152" s="295" t="str">
        <f>IF(B152="","",IF(ISNA(VLOOKUP($B152,'B-1 On-Site Hedge Baseline'!$B$1:$L$257,4,FALSE)),"",(VLOOKUP($B152,'B-1 On-Site Hedge Baseline'!$B$1:$L$257,4,FALSE))))</f>
        <v/>
      </c>
      <c r="E152" s="295" t="str">
        <f>IF(B152="","",IF(ISNA(VLOOKUP($B152,'B-1 On-Site Hedge Baseline'!$B$1:$L$257,5,FALSE)),"",(VLOOKUP($B152,'B-1 On-Site Hedge Baseline'!$B$1:$L$257,5,FALSE))))</f>
        <v/>
      </c>
      <c r="F152" s="295" t="str">
        <f>IF(B152="","",IF(ISNA(VLOOKUP($B152,'B-1 On-Site Hedge Baseline'!$B$1:$L$257,6,FALSE)),"",(VLOOKUP($B152,'B-1 On-Site Hedge Baseline'!$B$1:$L$257,6,FALSE))))</f>
        <v/>
      </c>
      <c r="G152" s="295" t="str">
        <f>IF(B152="","",IF(ISNA(VLOOKUP($B152,'B-1 On-Site Hedge Baseline'!$B$1:$L$257,7,FALSE)),"",(VLOOKUP($B152,'B-1 On-Site Hedge Baseline'!$B$1:$L$257,7,FALSE))))</f>
        <v/>
      </c>
      <c r="H152" s="295" t="str">
        <f>IF(B152="","",IF(ISNA(VLOOKUP($B152,'B-1 On-Site Hedge Baseline'!$B$1:$L$257,8,FALSE)),"",(VLOOKUP($B152,'B-1 On-Site Hedge Baseline'!$B$1:$L$257,8,FALSE))))</f>
        <v/>
      </c>
      <c r="I152" s="295" t="str">
        <f>IF(B152="","",IF(ISNA(VLOOKUP($B152,'B-1 On-Site Hedge Baseline'!$B$1:$L$257,10,FALSE)),"",(VLOOKUP($B152,'B-1 On-Site Hedge Baseline'!$B$1:$L$257,10,FALSE))))</f>
        <v/>
      </c>
      <c r="J152" s="295" t="str">
        <f>IF(B152="","",IF(ISNA(VLOOKUP($B152,'B-1 On-Site Hedge Baseline'!$B$1:$L$257,11,FALSE)),"",(VLOOKUP($B152,'B-1 On-Site Hedge Baseline'!$B$1:$L$257,11,FALSE))))</f>
        <v/>
      </c>
      <c r="K152" s="295" t="str">
        <f>IF(B152="","",IF(ISNA(VLOOKUP($B152,'B-1 On-Site Hedge Baseline'!$B$1:$U$257,13,FALSE)),"",(VLOOKUP($B152,'B-1 On-Site Hedge Baseline'!$B$1:$U$257,13,FALSE))))</f>
        <v/>
      </c>
      <c r="L152" s="299" t="str">
        <f>IF(B152="","",IF(ISNA(VLOOKUP($B152,'B-1 On-Site Hedge Baseline'!$B$1:$U$257,12,FALSE)),"",(VLOOKUP($B152,'B-1 On-Site Hedge Baseline'!$B$1:$U$257,12,FALSE))))</f>
        <v/>
      </c>
      <c r="M152" s="611"/>
      <c r="N152" s="275" t="str">
        <f>IFERROR(IF(B152="","",INDEX('G-6 Hedgerow Data'!$AN$3:$AZ$15,MATCH(C152,'G-6 Hedgerow Data'!$AM$3:$AM$15,0),MATCH(M152,'G-6 Hedgerow Data'!$AN$2:$AZ$2,0))),"")</f>
        <v/>
      </c>
      <c r="O152" s="276" t="str">
        <f t="shared" si="15"/>
        <v/>
      </c>
      <c r="P152" s="329" t="str">
        <f>IF(B152="","",VLOOKUP(B152,'B-1 On-Site Hedge Baseline'!$B$10:T397,16,FALSE))</f>
        <v/>
      </c>
      <c r="Q152" s="275" t="str">
        <f>IF(M152="","",VLOOKUP(M152,'G-6 Hedgerow Data'!$B$2:$AG$15,2,FALSE))</f>
        <v/>
      </c>
      <c r="R152" s="276" t="str">
        <f>IF(M152="","",VLOOKUP(M152,'G-6 Hedgerow Data'!$B$2:$AG$15,3,FALSE))</f>
        <v/>
      </c>
      <c r="S152" s="108"/>
      <c r="T152" s="314" t="str">
        <f>IFERROR(IF(S152="","",IF(AND(M152="Non-native and ornamental hedgerow",S152&lt;&gt;"Poor"),"Not possible ▲",(VLOOKUP(S152,'G-1 All Habitats'!$Z$2:$AA$9,2,FALSE)))),"")</f>
        <v/>
      </c>
      <c r="U152" s="105"/>
      <c r="V152" s="295" t="str">
        <f>IF(U152="","",IF(VLOOKUP(U152,'G-3 Multipliers'!$L$3:$N$6,2,FALSE)=0,"Spatial Data Missing ⚠",VLOOKUP(U152,'G-3 Multipliers'!$L$3:$N$6,2,FALSE)))</f>
        <v/>
      </c>
      <c r="W152" s="299" t="str">
        <f>IF(U152="","",IF(VLOOKUP(U152,'G-3 Multipliers'!$L$3:$N$6,3,FALSE)=0,"Spatial Data Missing ⚠",VLOOKUP(U152,'G-3 Multipliers'!$L$3:$N$6,3,FALSE)))</f>
        <v/>
      </c>
      <c r="X152" s="275" t="str">
        <f>IFERROR(IF(OR(LEFT(O152,5)="Error",LEFT(N152,5)="Error",T152="Error"),"Check Data ⚠",IF(F152&lt;R152,INDEX('G-6 Hedgerow Data'!$S$3:$AE$14,MATCH(C152,'G-6 Hedgerow Data'!$B$3:$B$14,0),MATCH(M152,'G-6 Hedgerow Data'!$S$2:$AE$2,0)),INDEX('G-6 Hedgerow Data'!$K$3:$Q$14,MATCH(M152,'G-6 Hedgerow Data'!$B$3:$B$14,0),MATCH(O152,'G-6 Hedgerow Data'!$K$2:$Q$2,0)))),"")</f>
        <v/>
      </c>
      <c r="Y152" s="133"/>
      <c r="Z152" s="133"/>
      <c r="AA152" s="283" t="str">
        <f t="shared" si="16"/>
        <v/>
      </c>
      <c r="AB152" s="296" t="str">
        <f t="shared" si="17"/>
        <v/>
      </c>
      <c r="AC152" s="297" t="str">
        <f t="shared" si="14"/>
        <v/>
      </c>
      <c r="AD152" s="311" t="str">
        <f>IF(M152="","",VLOOKUP(M152,'G-6 Hedgerow Data'!$B$3:$AG$15,31,FALSE))</f>
        <v/>
      </c>
      <c r="AE152" s="283" t="str">
        <f t="shared" si="18"/>
        <v/>
      </c>
      <c r="AF152" s="283" t="str">
        <f t="shared" si="19"/>
        <v/>
      </c>
      <c r="AG152" s="299" t="str">
        <f>IFERROR(IF(O152="","",VLOOKUP(AD152,'G-3 Multipliers'!$P$3:$Q$6,2,FALSE)),"")</f>
        <v/>
      </c>
      <c r="AH152" s="289" t="str">
        <f t="shared" si="20"/>
        <v/>
      </c>
      <c r="AI152" s="108"/>
      <c r="AJ152" s="115"/>
      <c r="AK152" s="104"/>
      <c r="AT152" s="30" t="str">
        <f>IFERROR(INDEX('G-6 Hedgerow Data'!$BJ$3:$BJ$15,MATCH(M152,'G-6 Hedgerow Data'!$B$3:$B$15,0)),"")</f>
        <v/>
      </c>
    </row>
    <row r="153" spans="2:46" ht="14">
      <c r="B153" s="305" t="str">
        <f>'B-1 On-Site Hedge Baseline'!AK151</f>
        <v/>
      </c>
      <c r="C153" s="295" t="str">
        <f>IF(B153="","",IF(ISNA(VLOOKUP($B153,'B-1 On-Site Hedge Baseline'!$B$1:$L$257,3,FALSE)),"",(VLOOKUP($B153,'B-1 On-Site Hedge Baseline'!$B$1:$L$257,3,FALSE))))</f>
        <v/>
      </c>
      <c r="D153" s="295" t="str">
        <f>IF(B153="","",IF(ISNA(VLOOKUP($B153,'B-1 On-Site Hedge Baseline'!$B$1:$L$257,4,FALSE)),"",(VLOOKUP($B153,'B-1 On-Site Hedge Baseline'!$B$1:$L$257,4,FALSE))))</f>
        <v/>
      </c>
      <c r="E153" s="295" t="str">
        <f>IF(B153="","",IF(ISNA(VLOOKUP($B153,'B-1 On-Site Hedge Baseline'!$B$1:$L$257,5,FALSE)),"",(VLOOKUP($B153,'B-1 On-Site Hedge Baseline'!$B$1:$L$257,5,FALSE))))</f>
        <v/>
      </c>
      <c r="F153" s="295" t="str">
        <f>IF(B153="","",IF(ISNA(VLOOKUP($B153,'B-1 On-Site Hedge Baseline'!$B$1:$L$257,6,FALSE)),"",(VLOOKUP($B153,'B-1 On-Site Hedge Baseline'!$B$1:$L$257,6,FALSE))))</f>
        <v/>
      </c>
      <c r="G153" s="295" t="str">
        <f>IF(B153="","",IF(ISNA(VLOOKUP($B153,'B-1 On-Site Hedge Baseline'!$B$1:$L$257,7,FALSE)),"",(VLOOKUP($B153,'B-1 On-Site Hedge Baseline'!$B$1:$L$257,7,FALSE))))</f>
        <v/>
      </c>
      <c r="H153" s="295" t="str">
        <f>IF(B153="","",IF(ISNA(VLOOKUP($B153,'B-1 On-Site Hedge Baseline'!$B$1:$L$257,8,FALSE)),"",(VLOOKUP($B153,'B-1 On-Site Hedge Baseline'!$B$1:$L$257,8,FALSE))))</f>
        <v/>
      </c>
      <c r="I153" s="295" t="str">
        <f>IF(B153="","",IF(ISNA(VLOOKUP($B153,'B-1 On-Site Hedge Baseline'!$B$1:$L$257,10,FALSE)),"",(VLOOKUP($B153,'B-1 On-Site Hedge Baseline'!$B$1:$L$257,10,FALSE))))</f>
        <v/>
      </c>
      <c r="J153" s="295" t="str">
        <f>IF(B153="","",IF(ISNA(VLOOKUP($B153,'B-1 On-Site Hedge Baseline'!$B$1:$L$257,11,FALSE)),"",(VLOOKUP($B153,'B-1 On-Site Hedge Baseline'!$B$1:$L$257,11,FALSE))))</f>
        <v/>
      </c>
      <c r="K153" s="295" t="str">
        <f>IF(B153="","",IF(ISNA(VLOOKUP($B153,'B-1 On-Site Hedge Baseline'!$B$1:$U$257,13,FALSE)),"",(VLOOKUP($B153,'B-1 On-Site Hedge Baseline'!$B$1:$U$257,13,FALSE))))</f>
        <v/>
      </c>
      <c r="L153" s="299" t="str">
        <f>IF(B153="","",IF(ISNA(VLOOKUP($B153,'B-1 On-Site Hedge Baseline'!$B$1:$U$257,12,FALSE)),"",(VLOOKUP($B153,'B-1 On-Site Hedge Baseline'!$B$1:$U$257,12,FALSE))))</f>
        <v/>
      </c>
      <c r="M153" s="611"/>
      <c r="N153" s="275" t="str">
        <f>IFERROR(IF(B153="","",INDEX('G-6 Hedgerow Data'!$AN$3:$AZ$15,MATCH(C153,'G-6 Hedgerow Data'!$AM$3:$AM$15,0),MATCH(M153,'G-6 Hedgerow Data'!$AN$2:$AZ$2,0))),"")</f>
        <v/>
      </c>
      <c r="O153" s="276" t="str">
        <f t="shared" si="15"/>
        <v/>
      </c>
      <c r="P153" s="329" t="str">
        <f>IF(B153="","",VLOOKUP(B153,'B-1 On-Site Hedge Baseline'!$B$10:T398,16,FALSE))</f>
        <v/>
      </c>
      <c r="Q153" s="275" t="str">
        <f>IF(M153="","",VLOOKUP(M153,'G-6 Hedgerow Data'!$B$2:$AG$15,2,FALSE))</f>
        <v/>
      </c>
      <c r="R153" s="276" t="str">
        <f>IF(M153="","",VLOOKUP(M153,'G-6 Hedgerow Data'!$B$2:$AG$15,3,FALSE))</f>
        <v/>
      </c>
      <c r="S153" s="108"/>
      <c r="T153" s="314" t="str">
        <f>IFERROR(IF(S153="","",IF(AND(M153="Non-native and ornamental hedgerow",S153&lt;&gt;"Poor"),"Not possible ▲",(VLOOKUP(S153,'G-1 All Habitats'!$Z$2:$AA$9,2,FALSE)))),"")</f>
        <v/>
      </c>
      <c r="U153" s="105"/>
      <c r="V153" s="295" t="str">
        <f>IF(U153="","",IF(VLOOKUP(U153,'G-3 Multipliers'!$L$3:$N$6,2,FALSE)=0,"Spatial Data Missing ⚠",VLOOKUP(U153,'G-3 Multipliers'!$L$3:$N$6,2,FALSE)))</f>
        <v/>
      </c>
      <c r="W153" s="299" t="str">
        <f>IF(U153="","",IF(VLOOKUP(U153,'G-3 Multipliers'!$L$3:$N$6,3,FALSE)=0,"Spatial Data Missing ⚠",VLOOKUP(U153,'G-3 Multipliers'!$L$3:$N$6,3,FALSE)))</f>
        <v/>
      </c>
      <c r="X153" s="275" t="str">
        <f>IFERROR(IF(OR(LEFT(O153,5)="Error",LEFT(N153,5)="Error",T153="Error"),"Check Data ⚠",IF(F153&lt;R153,INDEX('G-6 Hedgerow Data'!$S$3:$AE$14,MATCH(C153,'G-6 Hedgerow Data'!$B$3:$B$14,0),MATCH(M153,'G-6 Hedgerow Data'!$S$2:$AE$2,0)),INDEX('G-6 Hedgerow Data'!$K$3:$Q$14,MATCH(M153,'G-6 Hedgerow Data'!$B$3:$B$14,0),MATCH(O153,'G-6 Hedgerow Data'!$K$2:$Q$2,0)))),"")</f>
        <v/>
      </c>
      <c r="Y153" s="133"/>
      <c r="Z153" s="133"/>
      <c r="AA153" s="283" t="str">
        <f t="shared" si="16"/>
        <v/>
      </c>
      <c r="AB153" s="296" t="str">
        <f t="shared" si="17"/>
        <v/>
      </c>
      <c r="AC153" s="297" t="str">
        <f t="shared" si="14"/>
        <v/>
      </c>
      <c r="AD153" s="311" t="str">
        <f>IF(M153="","",VLOOKUP(M153,'G-6 Hedgerow Data'!$B$3:$AG$15,31,FALSE))</f>
        <v/>
      </c>
      <c r="AE153" s="283" t="str">
        <f t="shared" si="18"/>
        <v/>
      </c>
      <c r="AF153" s="283" t="str">
        <f t="shared" si="19"/>
        <v/>
      </c>
      <c r="AG153" s="299" t="str">
        <f>IFERROR(IF(O153="","",VLOOKUP(AD153,'G-3 Multipliers'!$P$3:$Q$6,2,FALSE)),"")</f>
        <v/>
      </c>
      <c r="AH153" s="289" t="str">
        <f t="shared" si="20"/>
        <v/>
      </c>
      <c r="AI153" s="108"/>
      <c r="AJ153" s="115"/>
      <c r="AK153" s="104"/>
      <c r="AT153" s="30" t="str">
        <f>IFERROR(INDEX('G-6 Hedgerow Data'!$BJ$3:$BJ$15,MATCH(M153,'G-6 Hedgerow Data'!$B$3:$B$15,0)),"")</f>
        <v/>
      </c>
    </row>
    <row r="154" spans="2:46" ht="14">
      <c r="B154" s="305" t="str">
        <f>'B-1 On-Site Hedge Baseline'!AK152</f>
        <v/>
      </c>
      <c r="C154" s="295" t="str">
        <f>IF(B154="","",IF(ISNA(VLOOKUP($B154,'B-1 On-Site Hedge Baseline'!$B$1:$L$257,3,FALSE)),"",(VLOOKUP($B154,'B-1 On-Site Hedge Baseline'!$B$1:$L$257,3,FALSE))))</f>
        <v/>
      </c>
      <c r="D154" s="295" t="str">
        <f>IF(B154="","",IF(ISNA(VLOOKUP($B154,'B-1 On-Site Hedge Baseline'!$B$1:$L$257,4,FALSE)),"",(VLOOKUP($B154,'B-1 On-Site Hedge Baseline'!$B$1:$L$257,4,FALSE))))</f>
        <v/>
      </c>
      <c r="E154" s="295" t="str">
        <f>IF(B154="","",IF(ISNA(VLOOKUP($B154,'B-1 On-Site Hedge Baseline'!$B$1:$L$257,5,FALSE)),"",(VLOOKUP($B154,'B-1 On-Site Hedge Baseline'!$B$1:$L$257,5,FALSE))))</f>
        <v/>
      </c>
      <c r="F154" s="295" t="str">
        <f>IF(B154="","",IF(ISNA(VLOOKUP($B154,'B-1 On-Site Hedge Baseline'!$B$1:$L$257,6,FALSE)),"",(VLOOKUP($B154,'B-1 On-Site Hedge Baseline'!$B$1:$L$257,6,FALSE))))</f>
        <v/>
      </c>
      <c r="G154" s="295" t="str">
        <f>IF(B154="","",IF(ISNA(VLOOKUP($B154,'B-1 On-Site Hedge Baseline'!$B$1:$L$257,7,FALSE)),"",(VLOOKUP($B154,'B-1 On-Site Hedge Baseline'!$B$1:$L$257,7,FALSE))))</f>
        <v/>
      </c>
      <c r="H154" s="295" t="str">
        <f>IF(B154="","",IF(ISNA(VLOOKUP($B154,'B-1 On-Site Hedge Baseline'!$B$1:$L$257,8,FALSE)),"",(VLOOKUP($B154,'B-1 On-Site Hedge Baseline'!$B$1:$L$257,8,FALSE))))</f>
        <v/>
      </c>
      <c r="I154" s="295" t="str">
        <f>IF(B154="","",IF(ISNA(VLOOKUP($B154,'B-1 On-Site Hedge Baseline'!$B$1:$L$257,10,FALSE)),"",(VLOOKUP($B154,'B-1 On-Site Hedge Baseline'!$B$1:$L$257,10,FALSE))))</f>
        <v/>
      </c>
      <c r="J154" s="295" t="str">
        <f>IF(B154="","",IF(ISNA(VLOOKUP($B154,'B-1 On-Site Hedge Baseline'!$B$1:$L$257,11,FALSE)),"",(VLOOKUP($B154,'B-1 On-Site Hedge Baseline'!$B$1:$L$257,11,FALSE))))</f>
        <v/>
      </c>
      <c r="K154" s="295" t="str">
        <f>IF(B154="","",IF(ISNA(VLOOKUP($B154,'B-1 On-Site Hedge Baseline'!$B$1:$U$257,13,FALSE)),"",(VLOOKUP($B154,'B-1 On-Site Hedge Baseline'!$B$1:$U$257,13,FALSE))))</f>
        <v/>
      </c>
      <c r="L154" s="299" t="str">
        <f>IF(B154="","",IF(ISNA(VLOOKUP($B154,'B-1 On-Site Hedge Baseline'!$B$1:$U$257,12,FALSE)),"",(VLOOKUP($B154,'B-1 On-Site Hedge Baseline'!$B$1:$U$257,12,FALSE))))</f>
        <v/>
      </c>
      <c r="M154" s="611"/>
      <c r="N154" s="275" t="str">
        <f>IFERROR(IF(B154="","",INDEX('G-6 Hedgerow Data'!$AN$3:$AZ$15,MATCH(C154,'G-6 Hedgerow Data'!$AM$3:$AM$15,0),MATCH(M154,'G-6 Hedgerow Data'!$AN$2:$AZ$2,0))),"")</f>
        <v/>
      </c>
      <c r="O154" s="276" t="str">
        <f t="shared" si="15"/>
        <v/>
      </c>
      <c r="P154" s="329" t="str">
        <f>IF(B154="","",VLOOKUP(B154,'B-1 On-Site Hedge Baseline'!$B$10:T399,16,FALSE))</f>
        <v/>
      </c>
      <c r="Q154" s="275" t="str">
        <f>IF(M154="","",VLOOKUP(M154,'G-6 Hedgerow Data'!$B$2:$AG$15,2,FALSE))</f>
        <v/>
      </c>
      <c r="R154" s="276" t="str">
        <f>IF(M154="","",VLOOKUP(M154,'G-6 Hedgerow Data'!$B$2:$AG$15,3,FALSE))</f>
        <v/>
      </c>
      <c r="S154" s="108"/>
      <c r="T154" s="314" t="str">
        <f>IFERROR(IF(S154="","",IF(AND(M154="Non-native and ornamental hedgerow",S154&lt;&gt;"Poor"),"Not possible ▲",(VLOOKUP(S154,'G-1 All Habitats'!$Z$2:$AA$9,2,FALSE)))),"")</f>
        <v/>
      </c>
      <c r="U154" s="105"/>
      <c r="V154" s="295" t="str">
        <f>IF(U154="","",IF(VLOOKUP(U154,'G-3 Multipliers'!$L$3:$N$6,2,FALSE)=0,"Spatial Data Missing ⚠",VLOOKUP(U154,'G-3 Multipliers'!$L$3:$N$6,2,FALSE)))</f>
        <v/>
      </c>
      <c r="W154" s="299" t="str">
        <f>IF(U154="","",IF(VLOOKUP(U154,'G-3 Multipliers'!$L$3:$N$6,3,FALSE)=0,"Spatial Data Missing ⚠",VLOOKUP(U154,'G-3 Multipliers'!$L$3:$N$6,3,FALSE)))</f>
        <v/>
      </c>
      <c r="X154" s="275" t="str">
        <f>IFERROR(IF(OR(LEFT(O154,5)="Error",LEFT(N154,5)="Error",T154="Error"),"Check Data ⚠",IF(F154&lt;R154,INDEX('G-6 Hedgerow Data'!$S$3:$AE$14,MATCH(C154,'G-6 Hedgerow Data'!$B$3:$B$14,0),MATCH(M154,'G-6 Hedgerow Data'!$S$2:$AE$2,0)),INDEX('G-6 Hedgerow Data'!$K$3:$Q$14,MATCH(M154,'G-6 Hedgerow Data'!$B$3:$B$14,0),MATCH(O154,'G-6 Hedgerow Data'!$K$2:$Q$2,0)))),"")</f>
        <v/>
      </c>
      <c r="Y154" s="133"/>
      <c r="Z154" s="133"/>
      <c r="AA154" s="283" t="str">
        <f t="shared" si="16"/>
        <v/>
      </c>
      <c r="AB154" s="296" t="str">
        <f t="shared" si="17"/>
        <v/>
      </c>
      <c r="AC154" s="297" t="str">
        <f t="shared" si="14"/>
        <v/>
      </c>
      <c r="AD154" s="311" t="str">
        <f>IF(M154="","",VLOOKUP(M154,'G-6 Hedgerow Data'!$B$3:$AG$15,31,FALSE))</f>
        <v/>
      </c>
      <c r="AE154" s="283" t="str">
        <f t="shared" si="18"/>
        <v/>
      </c>
      <c r="AF154" s="283" t="str">
        <f t="shared" si="19"/>
        <v/>
      </c>
      <c r="AG154" s="299" t="str">
        <f>IFERROR(IF(O154="","",VLOOKUP(AD154,'G-3 Multipliers'!$P$3:$Q$6,2,FALSE)),"")</f>
        <v/>
      </c>
      <c r="AH154" s="289" t="str">
        <f t="shared" si="20"/>
        <v/>
      </c>
      <c r="AI154" s="108"/>
      <c r="AJ154" s="115"/>
      <c r="AK154" s="104"/>
      <c r="AT154" s="30" t="str">
        <f>IFERROR(INDEX('G-6 Hedgerow Data'!$BJ$3:$BJ$15,MATCH(M154,'G-6 Hedgerow Data'!$B$3:$B$15,0)),"")</f>
        <v/>
      </c>
    </row>
    <row r="155" spans="2:46" ht="14">
      <c r="B155" s="305" t="str">
        <f>'B-1 On-Site Hedge Baseline'!AK153</f>
        <v/>
      </c>
      <c r="C155" s="295" t="str">
        <f>IF(B155="","",IF(ISNA(VLOOKUP($B155,'B-1 On-Site Hedge Baseline'!$B$1:$L$257,3,FALSE)),"",(VLOOKUP($B155,'B-1 On-Site Hedge Baseline'!$B$1:$L$257,3,FALSE))))</f>
        <v/>
      </c>
      <c r="D155" s="295" t="str">
        <f>IF(B155="","",IF(ISNA(VLOOKUP($B155,'B-1 On-Site Hedge Baseline'!$B$1:$L$257,4,FALSE)),"",(VLOOKUP($B155,'B-1 On-Site Hedge Baseline'!$B$1:$L$257,4,FALSE))))</f>
        <v/>
      </c>
      <c r="E155" s="295" t="str">
        <f>IF(B155="","",IF(ISNA(VLOOKUP($B155,'B-1 On-Site Hedge Baseline'!$B$1:$L$257,5,FALSE)),"",(VLOOKUP($B155,'B-1 On-Site Hedge Baseline'!$B$1:$L$257,5,FALSE))))</f>
        <v/>
      </c>
      <c r="F155" s="295" t="str">
        <f>IF(B155="","",IF(ISNA(VLOOKUP($B155,'B-1 On-Site Hedge Baseline'!$B$1:$L$257,6,FALSE)),"",(VLOOKUP($B155,'B-1 On-Site Hedge Baseline'!$B$1:$L$257,6,FALSE))))</f>
        <v/>
      </c>
      <c r="G155" s="295" t="str">
        <f>IF(B155="","",IF(ISNA(VLOOKUP($B155,'B-1 On-Site Hedge Baseline'!$B$1:$L$257,7,FALSE)),"",(VLOOKUP($B155,'B-1 On-Site Hedge Baseline'!$B$1:$L$257,7,FALSE))))</f>
        <v/>
      </c>
      <c r="H155" s="295" t="str">
        <f>IF(B155="","",IF(ISNA(VLOOKUP($B155,'B-1 On-Site Hedge Baseline'!$B$1:$L$257,8,FALSE)),"",(VLOOKUP($B155,'B-1 On-Site Hedge Baseline'!$B$1:$L$257,8,FALSE))))</f>
        <v/>
      </c>
      <c r="I155" s="295" t="str">
        <f>IF(B155="","",IF(ISNA(VLOOKUP($B155,'B-1 On-Site Hedge Baseline'!$B$1:$L$257,10,FALSE)),"",(VLOOKUP($B155,'B-1 On-Site Hedge Baseline'!$B$1:$L$257,10,FALSE))))</f>
        <v/>
      </c>
      <c r="J155" s="295" t="str">
        <f>IF(B155="","",IF(ISNA(VLOOKUP($B155,'B-1 On-Site Hedge Baseline'!$B$1:$L$257,11,FALSE)),"",(VLOOKUP($B155,'B-1 On-Site Hedge Baseline'!$B$1:$L$257,11,FALSE))))</f>
        <v/>
      </c>
      <c r="K155" s="295" t="str">
        <f>IF(B155="","",IF(ISNA(VLOOKUP($B155,'B-1 On-Site Hedge Baseline'!$B$1:$U$257,13,FALSE)),"",(VLOOKUP($B155,'B-1 On-Site Hedge Baseline'!$B$1:$U$257,13,FALSE))))</f>
        <v/>
      </c>
      <c r="L155" s="299" t="str">
        <f>IF(B155="","",IF(ISNA(VLOOKUP($B155,'B-1 On-Site Hedge Baseline'!$B$1:$U$257,12,FALSE)),"",(VLOOKUP($B155,'B-1 On-Site Hedge Baseline'!$B$1:$U$257,12,FALSE))))</f>
        <v/>
      </c>
      <c r="M155" s="611"/>
      <c r="N155" s="275" t="str">
        <f>IFERROR(IF(B155="","",INDEX('G-6 Hedgerow Data'!$AN$3:$AZ$15,MATCH(C155,'G-6 Hedgerow Data'!$AM$3:$AM$15,0),MATCH(M155,'G-6 Hedgerow Data'!$AN$2:$AZ$2,0))),"")</f>
        <v/>
      </c>
      <c r="O155" s="276" t="str">
        <f t="shared" si="15"/>
        <v/>
      </c>
      <c r="P155" s="329" t="str">
        <f>IF(B155="","",VLOOKUP(B155,'B-1 On-Site Hedge Baseline'!$B$10:T400,16,FALSE))</f>
        <v/>
      </c>
      <c r="Q155" s="275" t="str">
        <f>IF(M155="","",VLOOKUP(M155,'G-6 Hedgerow Data'!$B$2:$AG$15,2,FALSE))</f>
        <v/>
      </c>
      <c r="R155" s="276" t="str">
        <f>IF(M155="","",VLOOKUP(M155,'G-6 Hedgerow Data'!$B$2:$AG$15,3,FALSE))</f>
        <v/>
      </c>
      <c r="S155" s="108"/>
      <c r="T155" s="314" t="str">
        <f>IFERROR(IF(S155="","",IF(AND(M155="Non-native and ornamental hedgerow",S155&lt;&gt;"Poor"),"Not possible ▲",(VLOOKUP(S155,'G-1 All Habitats'!$Z$2:$AA$9,2,FALSE)))),"")</f>
        <v/>
      </c>
      <c r="U155" s="105"/>
      <c r="V155" s="295" t="str">
        <f>IF(U155="","",IF(VLOOKUP(U155,'G-3 Multipliers'!$L$3:$N$6,2,FALSE)=0,"Spatial Data Missing ⚠",VLOOKUP(U155,'G-3 Multipliers'!$L$3:$N$6,2,FALSE)))</f>
        <v/>
      </c>
      <c r="W155" s="299" t="str">
        <f>IF(U155="","",IF(VLOOKUP(U155,'G-3 Multipliers'!$L$3:$N$6,3,FALSE)=0,"Spatial Data Missing ⚠",VLOOKUP(U155,'G-3 Multipliers'!$L$3:$N$6,3,FALSE)))</f>
        <v/>
      </c>
      <c r="X155" s="275" t="str">
        <f>IFERROR(IF(OR(LEFT(O155,5)="Error",LEFT(N155,5)="Error",T155="Error"),"Check Data ⚠",IF(F155&lt;R155,INDEX('G-6 Hedgerow Data'!$S$3:$AE$14,MATCH(C155,'G-6 Hedgerow Data'!$B$3:$B$14,0),MATCH(M155,'G-6 Hedgerow Data'!$S$2:$AE$2,0)),INDEX('G-6 Hedgerow Data'!$K$3:$Q$14,MATCH(M155,'G-6 Hedgerow Data'!$B$3:$B$14,0),MATCH(O155,'G-6 Hedgerow Data'!$K$2:$Q$2,0)))),"")</f>
        <v/>
      </c>
      <c r="Y155" s="133"/>
      <c r="Z155" s="133"/>
      <c r="AA155" s="283" t="str">
        <f t="shared" si="16"/>
        <v/>
      </c>
      <c r="AB155" s="296" t="str">
        <f t="shared" si="17"/>
        <v/>
      </c>
      <c r="AC155" s="297" t="str">
        <f t="shared" si="14"/>
        <v/>
      </c>
      <c r="AD155" s="311" t="str">
        <f>IF(M155="","",VLOOKUP(M155,'G-6 Hedgerow Data'!$B$3:$AG$15,31,FALSE))</f>
        <v/>
      </c>
      <c r="AE155" s="283" t="str">
        <f t="shared" si="18"/>
        <v/>
      </c>
      <c r="AF155" s="283" t="str">
        <f t="shared" si="19"/>
        <v/>
      </c>
      <c r="AG155" s="299" t="str">
        <f>IFERROR(IF(O155="","",VLOOKUP(AD155,'G-3 Multipliers'!$P$3:$Q$6,2,FALSE)),"")</f>
        <v/>
      </c>
      <c r="AH155" s="289" t="str">
        <f t="shared" si="20"/>
        <v/>
      </c>
      <c r="AI155" s="108"/>
      <c r="AJ155" s="115"/>
      <c r="AK155" s="104"/>
      <c r="AT155" s="30" t="str">
        <f>IFERROR(INDEX('G-6 Hedgerow Data'!$BJ$3:$BJ$15,MATCH(M155,'G-6 Hedgerow Data'!$B$3:$B$15,0)),"")</f>
        <v/>
      </c>
    </row>
    <row r="156" spans="2:46" ht="14">
      <c r="B156" s="305" t="str">
        <f>'B-1 On-Site Hedge Baseline'!AK154</f>
        <v/>
      </c>
      <c r="C156" s="295" t="str">
        <f>IF(B156="","",IF(ISNA(VLOOKUP($B156,'B-1 On-Site Hedge Baseline'!$B$1:$L$257,3,FALSE)),"",(VLOOKUP($B156,'B-1 On-Site Hedge Baseline'!$B$1:$L$257,3,FALSE))))</f>
        <v/>
      </c>
      <c r="D156" s="295" t="str">
        <f>IF(B156="","",IF(ISNA(VLOOKUP($B156,'B-1 On-Site Hedge Baseline'!$B$1:$L$257,4,FALSE)),"",(VLOOKUP($B156,'B-1 On-Site Hedge Baseline'!$B$1:$L$257,4,FALSE))))</f>
        <v/>
      </c>
      <c r="E156" s="295" t="str">
        <f>IF(B156="","",IF(ISNA(VLOOKUP($B156,'B-1 On-Site Hedge Baseline'!$B$1:$L$257,5,FALSE)),"",(VLOOKUP($B156,'B-1 On-Site Hedge Baseline'!$B$1:$L$257,5,FALSE))))</f>
        <v/>
      </c>
      <c r="F156" s="295" t="str">
        <f>IF(B156="","",IF(ISNA(VLOOKUP($B156,'B-1 On-Site Hedge Baseline'!$B$1:$L$257,6,FALSE)),"",(VLOOKUP($B156,'B-1 On-Site Hedge Baseline'!$B$1:$L$257,6,FALSE))))</f>
        <v/>
      </c>
      <c r="G156" s="295" t="str">
        <f>IF(B156="","",IF(ISNA(VLOOKUP($B156,'B-1 On-Site Hedge Baseline'!$B$1:$L$257,7,FALSE)),"",(VLOOKUP($B156,'B-1 On-Site Hedge Baseline'!$B$1:$L$257,7,FALSE))))</f>
        <v/>
      </c>
      <c r="H156" s="295" t="str">
        <f>IF(B156="","",IF(ISNA(VLOOKUP($B156,'B-1 On-Site Hedge Baseline'!$B$1:$L$257,8,FALSE)),"",(VLOOKUP($B156,'B-1 On-Site Hedge Baseline'!$B$1:$L$257,8,FALSE))))</f>
        <v/>
      </c>
      <c r="I156" s="295" t="str">
        <f>IF(B156="","",IF(ISNA(VLOOKUP($B156,'B-1 On-Site Hedge Baseline'!$B$1:$L$257,10,FALSE)),"",(VLOOKUP($B156,'B-1 On-Site Hedge Baseline'!$B$1:$L$257,10,FALSE))))</f>
        <v/>
      </c>
      <c r="J156" s="295" t="str">
        <f>IF(B156="","",IF(ISNA(VLOOKUP($B156,'B-1 On-Site Hedge Baseline'!$B$1:$L$257,11,FALSE)),"",(VLOOKUP($B156,'B-1 On-Site Hedge Baseline'!$B$1:$L$257,11,FALSE))))</f>
        <v/>
      </c>
      <c r="K156" s="295" t="str">
        <f>IF(B156="","",IF(ISNA(VLOOKUP($B156,'B-1 On-Site Hedge Baseline'!$B$1:$U$257,13,FALSE)),"",(VLOOKUP($B156,'B-1 On-Site Hedge Baseline'!$B$1:$U$257,13,FALSE))))</f>
        <v/>
      </c>
      <c r="L156" s="299" t="str">
        <f>IF(B156="","",IF(ISNA(VLOOKUP($B156,'B-1 On-Site Hedge Baseline'!$B$1:$U$257,12,FALSE)),"",(VLOOKUP($B156,'B-1 On-Site Hedge Baseline'!$B$1:$U$257,12,FALSE))))</f>
        <v/>
      </c>
      <c r="M156" s="611"/>
      <c r="N156" s="275" t="str">
        <f>IFERROR(IF(B156="","",INDEX('G-6 Hedgerow Data'!$AN$3:$AZ$15,MATCH(C156,'G-6 Hedgerow Data'!$AM$3:$AM$15,0),MATCH(M156,'G-6 Hedgerow Data'!$AN$2:$AZ$2,0))),"")</f>
        <v/>
      </c>
      <c r="O156" s="276" t="str">
        <f t="shared" si="15"/>
        <v/>
      </c>
      <c r="P156" s="329" t="str">
        <f>IF(B156="","",VLOOKUP(B156,'B-1 On-Site Hedge Baseline'!$B$10:T401,16,FALSE))</f>
        <v/>
      </c>
      <c r="Q156" s="275" t="str">
        <f>IF(M156="","",VLOOKUP(M156,'G-6 Hedgerow Data'!$B$2:$AG$15,2,FALSE))</f>
        <v/>
      </c>
      <c r="R156" s="276" t="str">
        <f>IF(M156="","",VLOOKUP(M156,'G-6 Hedgerow Data'!$B$2:$AG$15,3,FALSE))</f>
        <v/>
      </c>
      <c r="S156" s="108"/>
      <c r="T156" s="314" t="str">
        <f>IFERROR(IF(S156="","",IF(AND(M156="Non-native and ornamental hedgerow",S156&lt;&gt;"Poor"),"Not possible ▲",(VLOOKUP(S156,'G-1 All Habitats'!$Z$2:$AA$9,2,FALSE)))),"")</f>
        <v/>
      </c>
      <c r="U156" s="105"/>
      <c r="V156" s="295" t="str">
        <f>IF(U156="","",IF(VLOOKUP(U156,'G-3 Multipliers'!$L$3:$N$6,2,FALSE)=0,"Spatial Data Missing ⚠",VLOOKUP(U156,'G-3 Multipliers'!$L$3:$N$6,2,FALSE)))</f>
        <v/>
      </c>
      <c r="W156" s="299" t="str">
        <f>IF(U156="","",IF(VLOOKUP(U156,'G-3 Multipliers'!$L$3:$N$6,3,FALSE)=0,"Spatial Data Missing ⚠",VLOOKUP(U156,'G-3 Multipliers'!$L$3:$N$6,3,FALSE)))</f>
        <v/>
      </c>
      <c r="X156" s="275" t="str">
        <f>IFERROR(IF(OR(LEFT(O156,5)="Error",LEFT(N156,5)="Error",T156="Error"),"Check Data ⚠",IF(F156&lt;R156,INDEX('G-6 Hedgerow Data'!$S$3:$AE$14,MATCH(C156,'G-6 Hedgerow Data'!$B$3:$B$14,0),MATCH(M156,'G-6 Hedgerow Data'!$S$2:$AE$2,0)),INDEX('G-6 Hedgerow Data'!$K$3:$Q$14,MATCH(M156,'G-6 Hedgerow Data'!$B$3:$B$14,0),MATCH(O156,'G-6 Hedgerow Data'!$K$2:$Q$2,0)))),"")</f>
        <v/>
      </c>
      <c r="Y156" s="133"/>
      <c r="Z156" s="133"/>
      <c r="AA156" s="283" t="str">
        <f t="shared" si="16"/>
        <v/>
      </c>
      <c r="AB156" s="296" t="str">
        <f t="shared" si="17"/>
        <v/>
      </c>
      <c r="AC156" s="297" t="str">
        <f t="shared" si="14"/>
        <v/>
      </c>
      <c r="AD156" s="311" t="str">
        <f>IF(M156="","",VLOOKUP(M156,'G-6 Hedgerow Data'!$B$3:$AG$15,31,FALSE))</f>
        <v/>
      </c>
      <c r="AE156" s="283" t="str">
        <f t="shared" si="18"/>
        <v/>
      </c>
      <c r="AF156" s="283" t="str">
        <f t="shared" si="19"/>
        <v/>
      </c>
      <c r="AG156" s="299" t="str">
        <f>IFERROR(IF(O156="","",VLOOKUP(AD156,'G-3 Multipliers'!$P$3:$Q$6,2,FALSE)),"")</f>
        <v/>
      </c>
      <c r="AH156" s="289" t="str">
        <f t="shared" si="20"/>
        <v/>
      </c>
      <c r="AI156" s="108"/>
      <c r="AJ156" s="115"/>
      <c r="AK156" s="104"/>
      <c r="AT156" s="30" t="str">
        <f>IFERROR(INDEX('G-6 Hedgerow Data'!$BJ$3:$BJ$15,MATCH(M156,'G-6 Hedgerow Data'!$B$3:$B$15,0)),"")</f>
        <v/>
      </c>
    </row>
    <row r="157" spans="2:46" ht="14">
      <c r="B157" s="305" t="str">
        <f>'B-1 On-Site Hedge Baseline'!AK155</f>
        <v/>
      </c>
      <c r="C157" s="295" t="str">
        <f>IF(B157="","",IF(ISNA(VLOOKUP($B157,'B-1 On-Site Hedge Baseline'!$B$1:$L$257,3,FALSE)),"",(VLOOKUP($B157,'B-1 On-Site Hedge Baseline'!$B$1:$L$257,3,FALSE))))</f>
        <v/>
      </c>
      <c r="D157" s="295" t="str">
        <f>IF(B157="","",IF(ISNA(VLOOKUP($B157,'B-1 On-Site Hedge Baseline'!$B$1:$L$257,4,FALSE)),"",(VLOOKUP($B157,'B-1 On-Site Hedge Baseline'!$B$1:$L$257,4,FALSE))))</f>
        <v/>
      </c>
      <c r="E157" s="295" t="str">
        <f>IF(B157="","",IF(ISNA(VLOOKUP($B157,'B-1 On-Site Hedge Baseline'!$B$1:$L$257,5,FALSE)),"",(VLOOKUP($B157,'B-1 On-Site Hedge Baseline'!$B$1:$L$257,5,FALSE))))</f>
        <v/>
      </c>
      <c r="F157" s="295" t="str">
        <f>IF(B157="","",IF(ISNA(VLOOKUP($B157,'B-1 On-Site Hedge Baseline'!$B$1:$L$257,6,FALSE)),"",(VLOOKUP($B157,'B-1 On-Site Hedge Baseline'!$B$1:$L$257,6,FALSE))))</f>
        <v/>
      </c>
      <c r="G157" s="295" t="str">
        <f>IF(B157="","",IF(ISNA(VLOOKUP($B157,'B-1 On-Site Hedge Baseline'!$B$1:$L$257,7,FALSE)),"",(VLOOKUP($B157,'B-1 On-Site Hedge Baseline'!$B$1:$L$257,7,FALSE))))</f>
        <v/>
      </c>
      <c r="H157" s="295" t="str">
        <f>IF(B157="","",IF(ISNA(VLOOKUP($B157,'B-1 On-Site Hedge Baseline'!$B$1:$L$257,8,FALSE)),"",(VLOOKUP($B157,'B-1 On-Site Hedge Baseline'!$B$1:$L$257,8,FALSE))))</f>
        <v/>
      </c>
      <c r="I157" s="295" t="str">
        <f>IF(B157="","",IF(ISNA(VLOOKUP($B157,'B-1 On-Site Hedge Baseline'!$B$1:$L$257,10,FALSE)),"",(VLOOKUP($B157,'B-1 On-Site Hedge Baseline'!$B$1:$L$257,10,FALSE))))</f>
        <v/>
      </c>
      <c r="J157" s="295" t="str">
        <f>IF(B157="","",IF(ISNA(VLOOKUP($B157,'B-1 On-Site Hedge Baseline'!$B$1:$L$257,11,FALSE)),"",(VLOOKUP($B157,'B-1 On-Site Hedge Baseline'!$B$1:$L$257,11,FALSE))))</f>
        <v/>
      </c>
      <c r="K157" s="295" t="str">
        <f>IF(B157="","",IF(ISNA(VLOOKUP($B157,'B-1 On-Site Hedge Baseline'!$B$1:$U$257,13,FALSE)),"",(VLOOKUP($B157,'B-1 On-Site Hedge Baseline'!$B$1:$U$257,13,FALSE))))</f>
        <v/>
      </c>
      <c r="L157" s="299" t="str">
        <f>IF(B157="","",IF(ISNA(VLOOKUP($B157,'B-1 On-Site Hedge Baseline'!$B$1:$U$257,12,FALSE)),"",(VLOOKUP($B157,'B-1 On-Site Hedge Baseline'!$B$1:$U$257,12,FALSE))))</f>
        <v/>
      </c>
      <c r="M157" s="611"/>
      <c r="N157" s="275" t="str">
        <f>IFERROR(IF(B157="","",INDEX('G-6 Hedgerow Data'!$AN$3:$AZ$15,MATCH(C157,'G-6 Hedgerow Data'!$AM$3:$AM$15,0),MATCH(M157,'G-6 Hedgerow Data'!$AN$2:$AZ$2,0))),"")</f>
        <v/>
      </c>
      <c r="O157" s="276" t="str">
        <f t="shared" si="15"/>
        <v/>
      </c>
      <c r="P157" s="329" t="str">
        <f>IF(B157="","",VLOOKUP(B157,'B-1 On-Site Hedge Baseline'!$B$10:T402,16,FALSE))</f>
        <v/>
      </c>
      <c r="Q157" s="275" t="str">
        <f>IF(M157="","",VLOOKUP(M157,'G-6 Hedgerow Data'!$B$2:$AG$15,2,FALSE))</f>
        <v/>
      </c>
      <c r="R157" s="276" t="str">
        <f>IF(M157="","",VLOOKUP(M157,'G-6 Hedgerow Data'!$B$2:$AG$15,3,FALSE))</f>
        <v/>
      </c>
      <c r="S157" s="108"/>
      <c r="T157" s="314" t="str">
        <f>IFERROR(IF(S157="","",IF(AND(M157="Non-native and ornamental hedgerow",S157&lt;&gt;"Poor"),"Not possible ▲",(VLOOKUP(S157,'G-1 All Habitats'!$Z$2:$AA$9,2,FALSE)))),"")</f>
        <v/>
      </c>
      <c r="U157" s="105"/>
      <c r="V157" s="295" t="str">
        <f>IF(U157="","",IF(VLOOKUP(U157,'G-3 Multipliers'!$L$3:$N$6,2,FALSE)=0,"Spatial Data Missing ⚠",VLOOKUP(U157,'G-3 Multipliers'!$L$3:$N$6,2,FALSE)))</f>
        <v/>
      </c>
      <c r="W157" s="299" t="str">
        <f>IF(U157="","",IF(VLOOKUP(U157,'G-3 Multipliers'!$L$3:$N$6,3,FALSE)=0,"Spatial Data Missing ⚠",VLOOKUP(U157,'G-3 Multipliers'!$L$3:$N$6,3,FALSE)))</f>
        <v/>
      </c>
      <c r="X157" s="275" t="str">
        <f>IFERROR(IF(OR(LEFT(O157,5)="Error",LEFT(N157,5)="Error",T157="Error"),"Check Data ⚠",IF(F157&lt;R157,INDEX('G-6 Hedgerow Data'!$S$3:$AE$14,MATCH(C157,'G-6 Hedgerow Data'!$B$3:$B$14,0),MATCH(M157,'G-6 Hedgerow Data'!$S$2:$AE$2,0)),INDEX('G-6 Hedgerow Data'!$K$3:$Q$14,MATCH(M157,'G-6 Hedgerow Data'!$B$3:$B$14,0),MATCH(O157,'G-6 Hedgerow Data'!$K$2:$Q$2,0)))),"")</f>
        <v/>
      </c>
      <c r="Y157" s="133"/>
      <c r="Z157" s="133"/>
      <c r="AA157" s="283" t="str">
        <f t="shared" si="16"/>
        <v/>
      </c>
      <c r="AB157" s="296" t="str">
        <f t="shared" si="17"/>
        <v/>
      </c>
      <c r="AC157" s="297" t="str">
        <f t="shared" si="14"/>
        <v/>
      </c>
      <c r="AD157" s="311" t="str">
        <f>IF(M157="","",VLOOKUP(M157,'G-6 Hedgerow Data'!$B$3:$AG$15,31,FALSE))</f>
        <v/>
      </c>
      <c r="AE157" s="283" t="str">
        <f t="shared" si="18"/>
        <v/>
      </c>
      <c r="AF157" s="283" t="str">
        <f t="shared" si="19"/>
        <v/>
      </c>
      <c r="AG157" s="299" t="str">
        <f>IFERROR(IF(O157="","",VLOOKUP(AD157,'G-3 Multipliers'!$P$3:$Q$6,2,FALSE)),"")</f>
        <v/>
      </c>
      <c r="AH157" s="289" t="str">
        <f t="shared" si="20"/>
        <v/>
      </c>
      <c r="AI157" s="108"/>
      <c r="AJ157" s="115"/>
      <c r="AK157" s="104"/>
      <c r="AT157" s="30" t="str">
        <f>IFERROR(INDEX('G-6 Hedgerow Data'!$BJ$3:$BJ$15,MATCH(M157,'G-6 Hedgerow Data'!$B$3:$B$15,0)),"")</f>
        <v/>
      </c>
    </row>
    <row r="158" spans="2:46" ht="14">
      <c r="B158" s="305" t="str">
        <f>'B-1 On-Site Hedge Baseline'!AK156</f>
        <v/>
      </c>
      <c r="C158" s="295" t="str">
        <f>IF(B158="","",IF(ISNA(VLOOKUP($B158,'B-1 On-Site Hedge Baseline'!$B$1:$L$257,3,FALSE)),"",(VLOOKUP($B158,'B-1 On-Site Hedge Baseline'!$B$1:$L$257,3,FALSE))))</f>
        <v/>
      </c>
      <c r="D158" s="295" t="str">
        <f>IF(B158="","",IF(ISNA(VLOOKUP($B158,'B-1 On-Site Hedge Baseline'!$B$1:$L$257,4,FALSE)),"",(VLOOKUP($B158,'B-1 On-Site Hedge Baseline'!$B$1:$L$257,4,FALSE))))</f>
        <v/>
      </c>
      <c r="E158" s="295" t="str">
        <f>IF(B158="","",IF(ISNA(VLOOKUP($B158,'B-1 On-Site Hedge Baseline'!$B$1:$L$257,5,FALSE)),"",(VLOOKUP($B158,'B-1 On-Site Hedge Baseline'!$B$1:$L$257,5,FALSE))))</f>
        <v/>
      </c>
      <c r="F158" s="295" t="str">
        <f>IF(B158="","",IF(ISNA(VLOOKUP($B158,'B-1 On-Site Hedge Baseline'!$B$1:$L$257,6,FALSE)),"",(VLOOKUP($B158,'B-1 On-Site Hedge Baseline'!$B$1:$L$257,6,FALSE))))</f>
        <v/>
      </c>
      <c r="G158" s="295" t="str">
        <f>IF(B158="","",IF(ISNA(VLOOKUP($B158,'B-1 On-Site Hedge Baseline'!$B$1:$L$257,7,FALSE)),"",(VLOOKUP($B158,'B-1 On-Site Hedge Baseline'!$B$1:$L$257,7,FALSE))))</f>
        <v/>
      </c>
      <c r="H158" s="295" t="str">
        <f>IF(B158="","",IF(ISNA(VLOOKUP($B158,'B-1 On-Site Hedge Baseline'!$B$1:$L$257,8,FALSE)),"",(VLOOKUP($B158,'B-1 On-Site Hedge Baseline'!$B$1:$L$257,8,FALSE))))</f>
        <v/>
      </c>
      <c r="I158" s="295" t="str">
        <f>IF(B158="","",IF(ISNA(VLOOKUP($B158,'B-1 On-Site Hedge Baseline'!$B$1:$L$257,10,FALSE)),"",(VLOOKUP($B158,'B-1 On-Site Hedge Baseline'!$B$1:$L$257,10,FALSE))))</f>
        <v/>
      </c>
      <c r="J158" s="295" t="str">
        <f>IF(B158="","",IF(ISNA(VLOOKUP($B158,'B-1 On-Site Hedge Baseline'!$B$1:$L$257,11,FALSE)),"",(VLOOKUP($B158,'B-1 On-Site Hedge Baseline'!$B$1:$L$257,11,FALSE))))</f>
        <v/>
      </c>
      <c r="K158" s="295" t="str">
        <f>IF(B158="","",IF(ISNA(VLOOKUP($B158,'B-1 On-Site Hedge Baseline'!$B$1:$U$257,13,FALSE)),"",(VLOOKUP($B158,'B-1 On-Site Hedge Baseline'!$B$1:$U$257,13,FALSE))))</f>
        <v/>
      </c>
      <c r="L158" s="299" t="str">
        <f>IF(B158="","",IF(ISNA(VLOOKUP($B158,'B-1 On-Site Hedge Baseline'!$B$1:$U$257,12,FALSE)),"",(VLOOKUP($B158,'B-1 On-Site Hedge Baseline'!$B$1:$U$257,12,FALSE))))</f>
        <v/>
      </c>
      <c r="M158" s="611"/>
      <c r="N158" s="275" t="str">
        <f>IFERROR(IF(B158="","",INDEX('G-6 Hedgerow Data'!$AN$3:$AZ$15,MATCH(C158,'G-6 Hedgerow Data'!$AM$3:$AM$15,0),MATCH(M158,'G-6 Hedgerow Data'!$AN$2:$AZ$2,0))),"")</f>
        <v/>
      </c>
      <c r="O158" s="276" t="str">
        <f t="shared" si="15"/>
        <v/>
      </c>
      <c r="P158" s="329" t="str">
        <f>IF(B158="","",VLOOKUP(B158,'B-1 On-Site Hedge Baseline'!$B$10:T403,16,FALSE))</f>
        <v/>
      </c>
      <c r="Q158" s="275" t="str">
        <f>IF(M158="","",VLOOKUP(M158,'G-6 Hedgerow Data'!$B$2:$AG$15,2,FALSE))</f>
        <v/>
      </c>
      <c r="R158" s="276" t="str">
        <f>IF(M158="","",VLOOKUP(M158,'G-6 Hedgerow Data'!$B$2:$AG$15,3,FALSE))</f>
        <v/>
      </c>
      <c r="S158" s="108"/>
      <c r="T158" s="314" t="str">
        <f>IFERROR(IF(S158="","",IF(AND(M158="Non-native and ornamental hedgerow",S158&lt;&gt;"Poor"),"Not possible ▲",(VLOOKUP(S158,'G-1 All Habitats'!$Z$2:$AA$9,2,FALSE)))),"")</f>
        <v/>
      </c>
      <c r="U158" s="105"/>
      <c r="V158" s="295" t="str">
        <f>IF(U158="","",IF(VLOOKUP(U158,'G-3 Multipliers'!$L$3:$N$6,2,FALSE)=0,"Spatial Data Missing ⚠",VLOOKUP(U158,'G-3 Multipliers'!$L$3:$N$6,2,FALSE)))</f>
        <v/>
      </c>
      <c r="W158" s="299" t="str">
        <f>IF(U158="","",IF(VLOOKUP(U158,'G-3 Multipliers'!$L$3:$N$6,3,FALSE)=0,"Spatial Data Missing ⚠",VLOOKUP(U158,'G-3 Multipliers'!$L$3:$N$6,3,FALSE)))</f>
        <v/>
      </c>
      <c r="X158" s="275" t="str">
        <f>IFERROR(IF(OR(LEFT(O158,5)="Error",LEFT(N158,5)="Error",T158="Error"),"Check Data ⚠",IF(F158&lt;R158,INDEX('G-6 Hedgerow Data'!$S$3:$AE$14,MATCH(C158,'G-6 Hedgerow Data'!$B$3:$B$14,0),MATCH(M158,'G-6 Hedgerow Data'!$S$2:$AE$2,0)),INDEX('G-6 Hedgerow Data'!$K$3:$Q$14,MATCH(M158,'G-6 Hedgerow Data'!$B$3:$B$14,0),MATCH(O158,'G-6 Hedgerow Data'!$K$2:$Q$2,0)))),"")</f>
        <v/>
      </c>
      <c r="Y158" s="133"/>
      <c r="Z158" s="133"/>
      <c r="AA158" s="283" t="str">
        <f t="shared" si="16"/>
        <v/>
      </c>
      <c r="AB158" s="296" t="str">
        <f t="shared" si="17"/>
        <v/>
      </c>
      <c r="AC158" s="297" t="str">
        <f t="shared" si="14"/>
        <v/>
      </c>
      <c r="AD158" s="311" t="str">
        <f>IF(M158="","",VLOOKUP(M158,'G-6 Hedgerow Data'!$B$3:$AG$15,31,FALSE))</f>
        <v/>
      </c>
      <c r="AE158" s="283" t="str">
        <f t="shared" si="18"/>
        <v/>
      </c>
      <c r="AF158" s="283" t="str">
        <f t="shared" si="19"/>
        <v/>
      </c>
      <c r="AG158" s="299" t="str">
        <f>IFERROR(IF(O158="","",VLOOKUP(AD158,'G-3 Multipliers'!$P$3:$Q$6,2,FALSE)),"")</f>
        <v/>
      </c>
      <c r="AH158" s="289" t="str">
        <f t="shared" si="20"/>
        <v/>
      </c>
      <c r="AI158" s="108"/>
      <c r="AJ158" s="115"/>
      <c r="AK158" s="104"/>
      <c r="AT158" s="30" t="str">
        <f>IFERROR(INDEX('G-6 Hedgerow Data'!$BJ$3:$BJ$15,MATCH(M158,'G-6 Hedgerow Data'!$B$3:$B$15,0)),"")</f>
        <v/>
      </c>
    </row>
    <row r="159" spans="2:46" ht="14">
      <c r="B159" s="305" t="str">
        <f>'B-1 On-Site Hedge Baseline'!AK157</f>
        <v/>
      </c>
      <c r="C159" s="295" t="str">
        <f>IF(B159="","",IF(ISNA(VLOOKUP($B159,'B-1 On-Site Hedge Baseline'!$B$1:$L$257,3,FALSE)),"",(VLOOKUP($B159,'B-1 On-Site Hedge Baseline'!$B$1:$L$257,3,FALSE))))</f>
        <v/>
      </c>
      <c r="D159" s="295" t="str">
        <f>IF(B159="","",IF(ISNA(VLOOKUP($B159,'B-1 On-Site Hedge Baseline'!$B$1:$L$257,4,FALSE)),"",(VLOOKUP($B159,'B-1 On-Site Hedge Baseline'!$B$1:$L$257,4,FALSE))))</f>
        <v/>
      </c>
      <c r="E159" s="295" t="str">
        <f>IF(B159="","",IF(ISNA(VLOOKUP($B159,'B-1 On-Site Hedge Baseline'!$B$1:$L$257,5,FALSE)),"",(VLOOKUP($B159,'B-1 On-Site Hedge Baseline'!$B$1:$L$257,5,FALSE))))</f>
        <v/>
      </c>
      <c r="F159" s="295" t="str">
        <f>IF(B159="","",IF(ISNA(VLOOKUP($B159,'B-1 On-Site Hedge Baseline'!$B$1:$L$257,6,FALSE)),"",(VLOOKUP($B159,'B-1 On-Site Hedge Baseline'!$B$1:$L$257,6,FALSE))))</f>
        <v/>
      </c>
      <c r="G159" s="295" t="str">
        <f>IF(B159="","",IF(ISNA(VLOOKUP($B159,'B-1 On-Site Hedge Baseline'!$B$1:$L$257,7,FALSE)),"",(VLOOKUP($B159,'B-1 On-Site Hedge Baseline'!$B$1:$L$257,7,FALSE))))</f>
        <v/>
      </c>
      <c r="H159" s="295" t="str">
        <f>IF(B159="","",IF(ISNA(VLOOKUP($B159,'B-1 On-Site Hedge Baseline'!$B$1:$L$257,8,FALSE)),"",(VLOOKUP($B159,'B-1 On-Site Hedge Baseline'!$B$1:$L$257,8,FALSE))))</f>
        <v/>
      </c>
      <c r="I159" s="295" t="str">
        <f>IF(B159="","",IF(ISNA(VLOOKUP($B159,'B-1 On-Site Hedge Baseline'!$B$1:$L$257,10,FALSE)),"",(VLOOKUP($B159,'B-1 On-Site Hedge Baseline'!$B$1:$L$257,10,FALSE))))</f>
        <v/>
      </c>
      <c r="J159" s="295" t="str">
        <f>IF(B159="","",IF(ISNA(VLOOKUP($B159,'B-1 On-Site Hedge Baseline'!$B$1:$L$257,11,FALSE)),"",(VLOOKUP($B159,'B-1 On-Site Hedge Baseline'!$B$1:$L$257,11,FALSE))))</f>
        <v/>
      </c>
      <c r="K159" s="295" t="str">
        <f>IF(B159="","",IF(ISNA(VLOOKUP($B159,'B-1 On-Site Hedge Baseline'!$B$1:$U$257,13,FALSE)),"",(VLOOKUP($B159,'B-1 On-Site Hedge Baseline'!$B$1:$U$257,13,FALSE))))</f>
        <v/>
      </c>
      <c r="L159" s="299" t="str">
        <f>IF(B159="","",IF(ISNA(VLOOKUP($B159,'B-1 On-Site Hedge Baseline'!$B$1:$U$257,12,FALSE)),"",(VLOOKUP($B159,'B-1 On-Site Hedge Baseline'!$B$1:$U$257,12,FALSE))))</f>
        <v/>
      </c>
      <c r="M159" s="611"/>
      <c r="N159" s="275" t="str">
        <f>IFERROR(IF(B159="","",INDEX('G-6 Hedgerow Data'!$AN$3:$AZ$15,MATCH(C159,'G-6 Hedgerow Data'!$AM$3:$AM$15,0),MATCH(M159,'G-6 Hedgerow Data'!$AN$2:$AZ$2,0))),"")</f>
        <v/>
      </c>
      <c r="O159" s="276" t="str">
        <f t="shared" si="15"/>
        <v/>
      </c>
      <c r="P159" s="329" t="str">
        <f>IF(B159="","",VLOOKUP(B159,'B-1 On-Site Hedge Baseline'!$B$10:T404,16,FALSE))</f>
        <v/>
      </c>
      <c r="Q159" s="275" t="str">
        <f>IF(M159="","",VLOOKUP(M159,'G-6 Hedgerow Data'!$B$2:$AG$15,2,FALSE))</f>
        <v/>
      </c>
      <c r="R159" s="276" t="str">
        <f>IF(M159="","",VLOOKUP(M159,'G-6 Hedgerow Data'!$B$2:$AG$15,3,FALSE))</f>
        <v/>
      </c>
      <c r="S159" s="108"/>
      <c r="T159" s="314" t="str">
        <f>IFERROR(IF(S159="","",IF(AND(M159="Non-native and ornamental hedgerow",S159&lt;&gt;"Poor"),"Not possible ▲",(VLOOKUP(S159,'G-1 All Habitats'!$Z$2:$AA$9,2,FALSE)))),"")</f>
        <v/>
      </c>
      <c r="U159" s="105"/>
      <c r="V159" s="295" t="str">
        <f>IF(U159="","",IF(VLOOKUP(U159,'G-3 Multipliers'!$L$3:$N$6,2,FALSE)=0,"Spatial Data Missing ⚠",VLOOKUP(U159,'G-3 Multipliers'!$L$3:$N$6,2,FALSE)))</f>
        <v/>
      </c>
      <c r="W159" s="299" t="str">
        <f>IF(U159="","",IF(VLOOKUP(U159,'G-3 Multipliers'!$L$3:$N$6,3,FALSE)=0,"Spatial Data Missing ⚠",VLOOKUP(U159,'G-3 Multipliers'!$L$3:$N$6,3,FALSE)))</f>
        <v/>
      </c>
      <c r="X159" s="275" t="str">
        <f>IFERROR(IF(OR(LEFT(O159,5)="Error",LEFT(N159,5)="Error",T159="Error"),"Check Data ⚠",IF(F159&lt;R159,INDEX('G-6 Hedgerow Data'!$S$3:$AE$14,MATCH(C159,'G-6 Hedgerow Data'!$B$3:$B$14,0),MATCH(M159,'G-6 Hedgerow Data'!$S$2:$AE$2,0)),INDEX('G-6 Hedgerow Data'!$K$3:$Q$14,MATCH(M159,'G-6 Hedgerow Data'!$B$3:$B$14,0),MATCH(O159,'G-6 Hedgerow Data'!$K$2:$Q$2,0)))),"")</f>
        <v/>
      </c>
      <c r="Y159" s="133"/>
      <c r="Z159" s="133"/>
      <c r="AA159" s="283" t="str">
        <f t="shared" si="16"/>
        <v/>
      </c>
      <c r="AB159" s="296" t="str">
        <f t="shared" si="17"/>
        <v/>
      </c>
      <c r="AC159" s="297" t="str">
        <f t="shared" si="14"/>
        <v/>
      </c>
      <c r="AD159" s="311" t="str">
        <f>IF(M159="","",VLOOKUP(M159,'G-6 Hedgerow Data'!$B$3:$AG$15,31,FALSE))</f>
        <v/>
      </c>
      <c r="AE159" s="283" t="str">
        <f t="shared" si="18"/>
        <v/>
      </c>
      <c r="AF159" s="283" t="str">
        <f t="shared" si="19"/>
        <v/>
      </c>
      <c r="AG159" s="299" t="str">
        <f>IFERROR(IF(O159="","",VLOOKUP(AD159,'G-3 Multipliers'!$P$3:$Q$6,2,FALSE)),"")</f>
        <v/>
      </c>
      <c r="AH159" s="289" t="str">
        <f t="shared" si="20"/>
        <v/>
      </c>
      <c r="AI159" s="108"/>
      <c r="AJ159" s="115"/>
      <c r="AK159" s="104"/>
      <c r="AT159" s="30" t="str">
        <f>IFERROR(INDEX('G-6 Hedgerow Data'!$BJ$3:$BJ$15,MATCH(M159,'G-6 Hedgerow Data'!$B$3:$B$15,0)),"")</f>
        <v/>
      </c>
    </row>
    <row r="160" spans="2:46" ht="14">
      <c r="B160" s="305" t="str">
        <f>'B-1 On-Site Hedge Baseline'!AK158</f>
        <v/>
      </c>
      <c r="C160" s="295" t="str">
        <f>IF(B160="","",IF(ISNA(VLOOKUP($B160,'B-1 On-Site Hedge Baseline'!$B$1:$L$257,3,FALSE)),"",(VLOOKUP($B160,'B-1 On-Site Hedge Baseline'!$B$1:$L$257,3,FALSE))))</f>
        <v/>
      </c>
      <c r="D160" s="295" t="str">
        <f>IF(B160="","",IF(ISNA(VLOOKUP($B160,'B-1 On-Site Hedge Baseline'!$B$1:$L$257,4,FALSE)),"",(VLOOKUP($B160,'B-1 On-Site Hedge Baseline'!$B$1:$L$257,4,FALSE))))</f>
        <v/>
      </c>
      <c r="E160" s="295" t="str">
        <f>IF(B160="","",IF(ISNA(VLOOKUP($B160,'B-1 On-Site Hedge Baseline'!$B$1:$L$257,5,FALSE)),"",(VLOOKUP($B160,'B-1 On-Site Hedge Baseline'!$B$1:$L$257,5,FALSE))))</f>
        <v/>
      </c>
      <c r="F160" s="295" t="str">
        <f>IF(B160="","",IF(ISNA(VLOOKUP($B160,'B-1 On-Site Hedge Baseline'!$B$1:$L$257,6,FALSE)),"",(VLOOKUP($B160,'B-1 On-Site Hedge Baseline'!$B$1:$L$257,6,FALSE))))</f>
        <v/>
      </c>
      <c r="G160" s="295" t="str">
        <f>IF(B160="","",IF(ISNA(VLOOKUP($B160,'B-1 On-Site Hedge Baseline'!$B$1:$L$257,7,FALSE)),"",(VLOOKUP($B160,'B-1 On-Site Hedge Baseline'!$B$1:$L$257,7,FALSE))))</f>
        <v/>
      </c>
      <c r="H160" s="295" t="str">
        <f>IF(B160="","",IF(ISNA(VLOOKUP($B160,'B-1 On-Site Hedge Baseline'!$B$1:$L$257,8,FALSE)),"",(VLOOKUP($B160,'B-1 On-Site Hedge Baseline'!$B$1:$L$257,8,FALSE))))</f>
        <v/>
      </c>
      <c r="I160" s="295" t="str">
        <f>IF(B160="","",IF(ISNA(VLOOKUP($B160,'B-1 On-Site Hedge Baseline'!$B$1:$L$257,10,FALSE)),"",(VLOOKUP($B160,'B-1 On-Site Hedge Baseline'!$B$1:$L$257,10,FALSE))))</f>
        <v/>
      </c>
      <c r="J160" s="295" t="str">
        <f>IF(B160="","",IF(ISNA(VLOOKUP($B160,'B-1 On-Site Hedge Baseline'!$B$1:$L$257,11,FALSE)),"",(VLOOKUP($B160,'B-1 On-Site Hedge Baseline'!$B$1:$L$257,11,FALSE))))</f>
        <v/>
      </c>
      <c r="K160" s="295" t="str">
        <f>IF(B160="","",IF(ISNA(VLOOKUP($B160,'B-1 On-Site Hedge Baseline'!$B$1:$U$257,13,FALSE)),"",(VLOOKUP($B160,'B-1 On-Site Hedge Baseline'!$B$1:$U$257,13,FALSE))))</f>
        <v/>
      </c>
      <c r="L160" s="299" t="str">
        <f>IF(B160="","",IF(ISNA(VLOOKUP($B160,'B-1 On-Site Hedge Baseline'!$B$1:$U$257,12,FALSE)),"",(VLOOKUP($B160,'B-1 On-Site Hedge Baseline'!$B$1:$U$257,12,FALSE))))</f>
        <v/>
      </c>
      <c r="M160" s="611"/>
      <c r="N160" s="275" t="str">
        <f>IFERROR(IF(B160="","",INDEX('G-6 Hedgerow Data'!$AN$3:$AZ$15,MATCH(C160,'G-6 Hedgerow Data'!$AM$3:$AM$15,0),MATCH(M160,'G-6 Hedgerow Data'!$AN$2:$AZ$2,0))),"")</f>
        <v/>
      </c>
      <c r="O160" s="276" t="str">
        <f t="shared" si="15"/>
        <v/>
      </c>
      <c r="P160" s="329" t="str">
        <f>IF(B160="","",VLOOKUP(B160,'B-1 On-Site Hedge Baseline'!$B$10:T405,16,FALSE))</f>
        <v/>
      </c>
      <c r="Q160" s="275" t="str">
        <f>IF(M160="","",VLOOKUP(M160,'G-6 Hedgerow Data'!$B$2:$AG$15,2,FALSE))</f>
        <v/>
      </c>
      <c r="R160" s="276" t="str">
        <f>IF(M160="","",VLOOKUP(M160,'G-6 Hedgerow Data'!$B$2:$AG$15,3,FALSE))</f>
        <v/>
      </c>
      <c r="S160" s="108"/>
      <c r="T160" s="314" t="str">
        <f>IFERROR(IF(S160="","",IF(AND(M160="Non-native and ornamental hedgerow",S160&lt;&gt;"Poor"),"Not possible ▲",(VLOOKUP(S160,'G-1 All Habitats'!$Z$2:$AA$9,2,FALSE)))),"")</f>
        <v/>
      </c>
      <c r="U160" s="105"/>
      <c r="V160" s="295" t="str">
        <f>IF(U160="","",IF(VLOOKUP(U160,'G-3 Multipliers'!$L$3:$N$6,2,FALSE)=0,"Spatial Data Missing ⚠",VLOOKUP(U160,'G-3 Multipliers'!$L$3:$N$6,2,FALSE)))</f>
        <v/>
      </c>
      <c r="W160" s="299" t="str">
        <f>IF(U160="","",IF(VLOOKUP(U160,'G-3 Multipliers'!$L$3:$N$6,3,FALSE)=0,"Spatial Data Missing ⚠",VLOOKUP(U160,'G-3 Multipliers'!$L$3:$N$6,3,FALSE)))</f>
        <v/>
      </c>
      <c r="X160" s="275" t="str">
        <f>IFERROR(IF(OR(LEFT(O160,5)="Error",LEFT(N160,5)="Error",T160="Error"),"Check Data ⚠",IF(F160&lt;R160,INDEX('G-6 Hedgerow Data'!$S$3:$AE$14,MATCH(C160,'G-6 Hedgerow Data'!$B$3:$B$14,0),MATCH(M160,'G-6 Hedgerow Data'!$S$2:$AE$2,0)),INDEX('G-6 Hedgerow Data'!$K$3:$Q$14,MATCH(M160,'G-6 Hedgerow Data'!$B$3:$B$14,0),MATCH(O160,'G-6 Hedgerow Data'!$K$2:$Q$2,0)))),"")</f>
        <v/>
      </c>
      <c r="Y160" s="133"/>
      <c r="Z160" s="133"/>
      <c r="AA160" s="283" t="str">
        <f t="shared" si="16"/>
        <v/>
      </c>
      <c r="AB160" s="296" t="str">
        <f t="shared" si="17"/>
        <v/>
      </c>
      <c r="AC160" s="297" t="str">
        <f t="shared" si="14"/>
        <v/>
      </c>
      <c r="AD160" s="311" t="str">
        <f>IF(M160="","",VLOOKUP(M160,'G-6 Hedgerow Data'!$B$3:$AG$15,31,FALSE))</f>
        <v/>
      </c>
      <c r="AE160" s="283" t="str">
        <f t="shared" si="18"/>
        <v/>
      </c>
      <c r="AF160" s="283" t="str">
        <f t="shared" si="19"/>
        <v/>
      </c>
      <c r="AG160" s="299" t="str">
        <f>IFERROR(IF(O160="","",VLOOKUP(AD160,'G-3 Multipliers'!$P$3:$Q$6,2,FALSE)),"")</f>
        <v/>
      </c>
      <c r="AH160" s="289" t="str">
        <f t="shared" si="20"/>
        <v/>
      </c>
      <c r="AI160" s="108"/>
      <c r="AJ160" s="115"/>
      <c r="AK160" s="104"/>
      <c r="AT160" s="30" t="str">
        <f>IFERROR(INDEX('G-6 Hedgerow Data'!$BJ$3:$BJ$15,MATCH(M160,'G-6 Hedgerow Data'!$B$3:$B$15,0)),"")</f>
        <v/>
      </c>
    </row>
    <row r="161" spans="2:46" ht="14">
      <c r="B161" s="305" t="str">
        <f>'B-1 On-Site Hedge Baseline'!AK159</f>
        <v/>
      </c>
      <c r="C161" s="295" t="str">
        <f>IF(B161="","",IF(ISNA(VLOOKUP($B161,'B-1 On-Site Hedge Baseline'!$B$1:$L$257,3,FALSE)),"",(VLOOKUP($B161,'B-1 On-Site Hedge Baseline'!$B$1:$L$257,3,FALSE))))</f>
        <v/>
      </c>
      <c r="D161" s="295" t="str">
        <f>IF(B161="","",IF(ISNA(VLOOKUP($B161,'B-1 On-Site Hedge Baseline'!$B$1:$L$257,4,FALSE)),"",(VLOOKUP($B161,'B-1 On-Site Hedge Baseline'!$B$1:$L$257,4,FALSE))))</f>
        <v/>
      </c>
      <c r="E161" s="295" t="str">
        <f>IF(B161="","",IF(ISNA(VLOOKUP($B161,'B-1 On-Site Hedge Baseline'!$B$1:$L$257,5,FALSE)),"",(VLOOKUP($B161,'B-1 On-Site Hedge Baseline'!$B$1:$L$257,5,FALSE))))</f>
        <v/>
      </c>
      <c r="F161" s="295" t="str">
        <f>IF(B161="","",IF(ISNA(VLOOKUP($B161,'B-1 On-Site Hedge Baseline'!$B$1:$L$257,6,FALSE)),"",(VLOOKUP($B161,'B-1 On-Site Hedge Baseline'!$B$1:$L$257,6,FALSE))))</f>
        <v/>
      </c>
      <c r="G161" s="295" t="str">
        <f>IF(B161="","",IF(ISNA(VLOOKUP($B161,'B-1 On-Site Hedge Baseline'!$B$1:$L$257,7,FALSE)),"",(VLOOKUP($B161,'B-1 On-Site Hedge Baseline'!$B$1:$L$257,7,FALSE))))</f>
        <v/>
      </c>
      <c r="H161" s="295" t="str">
        <f>IF(B161="","",IF(ISNA(VLOOKUP($B161,'B-1 On-Site Hedge Baseline'!$B$1:$L$257,8,FALSE)),"",(VLOOKUP($B161,'B-1 On-Site Hedge Baseline'!$B$1:$L$257,8,FALSE))))</f>
        <v/>
      </c>
      <c r="I161" s="295" t="str">
        <f>IF(B161="","",IF(ISNA(VLOOKUP($B161,'B-1 On-Site Hedge Baseline'!$B$1:$L$257,10,FALSE)),"",(VLOOKUP($B161,'B-1 On-Site Hedge Baseline'!$B$1:$L$257,10,FALSE))))</f>
        <v/>
      </c>
      <c r="J161" s="295" t="str">
        <f>IF(B161="","",IF(ISNA(VLOOKUP($B161,'B-1 On-Site Hedge Baseline'!$B$1:$L$257,11,FALSE)),"",(VLOOKUP($B161,'B-1 On-Site Hedge Baseline'!$B$1:$L$257,11,FALSE))))</f>
        <v/>
      </c>
      <c r="K161" s="295" t="str">
        <f>IF(B161="","",IF(ISNA(VLOOKUP($B161,'B-1 On-Site Hedge Baseline'!$B$1:$U$257,13,FALSE)),"",(VLOOKUP($B161,'B-1 On-Site Hedge Baseline'!$B$1:$U$257,13,FALSE))))</f>
        <v/>
      </c>
      <c r="L161" s="299" t="str">
        <f>IF(B161="","",IF(ISNA(VLOOKUP($B161,'B-1 On-Site Hedge Baseline'!$B$1:$U$257,12,FALSE)),"",(VLOOKUP($B161,'B-1 On-Site Hedge Baseline'!$B$1:$U$257,12,FALSE))))</f>
        <v/>
      </c>
      <c r="M161" s="611"/>
      <c r="N161" s="275" t="str">
        <f>IFERROR(IF(B161="","",INDEX('G-6 Hedgerow Data'!$AN$3:$AZ$15,MATCH(C161,'G-6 Hedgerow Data'!$AM$3:$AM$15,0),MATCH(M161,'G-6 Hedgerow Data'!$AN$2:$AZ$2,0))),"")</f>
        <v/>
      </c>
      <c r="O161" s="276" t="str">
        <f t="shared" si="15"/>
        <v/>
      </c>
      <c r="P161" s="329" t="str">
        <f>IF(B161="","",VLOOKUP(B161,'B-1 On-Site Hedge Baseline'!$B$10:T406,16,FALSE))</f>
        <v/>
      </c>
      <c r="Q161" s="275" t="str">
        <f>IF(M161="","",VLOOKUP(M161,'G-6 Hedgerow Data'!$B$2:$AG$15,2,FALSE))</f>
        <v/>
      </c>
      <c r="R161" s="276" t="str">
        <f>IF(M161="","",VLOOKUP(M161,'G-6 Hedgerow Data'!$B$2:$AG$15,3,FALSE))</f>
        <v/>
      </c>
      <c r="S161" s="108"/>
      <c r="T161" s="314" t="str">
        <f>IFERROR(IF(S161="","",IF(AND(M161="Non-native and ornamental hedgerow",S161&lt;&gt;"Poor"),"Not possible ▲",(VLOOKUP(S161,'G-1 All Habitats'!$Z$2:$AA$9,2,FALSE)))),"")</f>
        <v/>
      </c>
      <c r="U161" s="105"/>
      <c r="V161" s="295" t="str">
        <f>IF(U161="","",IF(VLOOKUP(U161,'G-3 Multipliers'!$L$3:$N$6,2,FALSE)=0,"Spatial Data Missing ⚠",VLOOKUP(U161,'G-3 Multipliers'!$L$3:$N$6,2,FALSE)))</f>
        <v/>
      </c>
      <c r="W161" s="299" t="str">
        <f>IF(U161="","",IF(VLOOKUP(U161,'G-3 Multipliers'!$L$3:$N$6,3,FALSE)=0,"Spatial Data Missing ⚠",VLOOKUP(U161,'G-3 Multipliers'!$L$3:$N$6,3,FALSE)))</f>
        <v/>
      </c>
      <c r="X161" s="275" t="str">
        <f>IFERROR(IF(OR(LEFT(O161,5)="Error",LEFT(N161,5)="Error",T161="Error"),"Check Data ⚠",IF(F161&lt;R161,INDEX('G-6 Hedgerow Data'!$S$3:$AE$14,MATCH(C161,'G-6 Hedgerow Data'!$B$3:$B$14,0),MATCH(M161,'G-6 Hedgerow Data'!$S$2:$AE$2,0)),INDEX('G-6 Hedgerow Data'!$K$3:$Q$14,MATCH(M161,'G-6 Hedgerow Data'!$B$3:$B$14,0),MATCH(O161,'G-6 Hedgerow Data'!$K$2:$Q$2,0)))),"")</f>
        <v/>
      </c>
      <c r="Y161" s="133"/>
      <c r="Z161" s="133"/>
      <c r="AA161" s="283" t="str">
        <f t="shared" si="16"/>
        <v/>
      </c>
      <c r="AB161" s="296" t="str">
        <f t="shared" si="17"/>
        <v/>
      </c>
      <c r="AC161" s="297" t="str">
        <f t="shared" si="14"/>
        <v/>
      </c>
      <c r="AD161" s="311" t="str">
        <f>IF(M161="","",VLOOKUP(M161,'G-6 Hedgerow Data'!$B$3:$AG$15,31,FALSE))</f>
        <v/>
      </c>
      <c r="AE161" s="283" t="str">
        <f t="shared" si="18"/>
        <v/>
      </c>
      <c r="AF161" s="283" t="str">
        <f t="shared" si="19"/>
        <v/>
      </c>
      <c r="AG161" s="299" t="str">
        <f>IFERROR(IF(O161="","",VLOOKUP(AD161,'G-3 Multipliers'!$P$3:$Q$6,2,FALSE)),"")</f>
        <v/>
      </c>
      <c r="AH161" s="289" t="str">
        <f t="shared" si="20"/>
        <v/>
      </c>
      <c r="AI161" s="108"/>
      <c r="AJ161" s="115"/>
      <c r="AK161" s="104"/>
      <c r="AT161" s="30" t="str">
        <f>IFERROR(INDEX('G-6 Hedgerow Data'!$BJ$3:$BJ$15,MATCH(M161,'G-6 Hedgerow Data'!$B$3:$B$15,0)),"")</f>
        <v/>
      </c>
    </row>
    <row r="162" spans="2:46" ht="14">
      <c r="B162" s="305" t="str">
        <f>'B-1 On-Site Hedge Baseline'!AK160</f>
        <v/>
      </c>
      <c r="C162" s="295" t="str">
        <f>IF(B162="","",IF(ISNA(VLOOKUP($B162,'B-1 On-Site Hedge Baseline'!$B$1:$L$257,3,FALSE)),"",(VLOOKUP($B162,'B-1 On-Site Hedge Baseline'!$B$1:$L$257,3,FALSE))))</f>
        <v/>
      </c>
      <c r="D162" s="295" t="str">
        <f>IF(B162="","",IF(ISNA(VLOOKUP($B162,'B-1 On-Site Hedge Baseline'!$B$1:$L$257,4,FALSE)),"",(VLOOKUP($B162,'B-1 On-Site Hedge Baseline'!$B$1:$L$257,4,FALSE))))</f>
        <v/>
      </c>
      <c r="E162" s="295" t="str">
        <f>IF(B162="","",IF(ISNA(VLOOKUP($B162,'B-1 On-Site Hedge Baseline'!$B$1:$L$257,5,FALSE)),"",(VLOOKUP($B162,'B-1 On-Site Hedge Baseline'!$B$1:$L$257,5,FALSE))))</f>
        <v/>
      </c>
      <c r="F162" s="295" t="str">
        <f>IF(B162="","",IF(ISNA(VLOOKUP($B162,'B-1 On-Site Hedge Baseline'!$B$1:$L$257,6,FALSE)),"",(VLOOKUP($B162,'B-1 On-Site Hedge Baseline'!$B$1:$L$257,6,FALSE))))</f>
        <v/>
      </c>
      <c r="G162" s="295" t="str">
        <f>IF(B162="","",IF(ISNA(VLOOKUP($B162,'B-1 On-Site Hedge Baseline'!$B$1:$L$257,7,FALSE)),"",(VLOOKUP($B162,'B-1 On-Site Hedge Baseline'!$B$1:$L$257,7,FALSE))))</f>
        <v/>
      </c>
      <c r="H162" s="295" t="str">
        <f>IF(B162="","",IF(ISNA(VLOOKUP($B162,'B-1 On-Site Hedge Baseline'!$B$1:$L$257,8,FALSE)),"",(VLOOKUP($B162,'B-1 On-Site Hedge Baseline'!$B$1:$L$257,8,FALSE))))</f>
        <v/>
      </c>
      <c r="I162" s="295" t="str">
        <f>IF(B162="","",IF(ISNA(VLOOKUP($B162,'B-1 On-Site Hedge Baseline'!$B$1:$L$257,10,FALSE)),"",(VLOOKUP($B162,'B-1 On-Site Hedge Baseline'!$B$1:$L$257,10,FALSE))))</f>
        <v/>
      </c>
      <c r="J162" s="295" t="str">
        <f>IF(B162="","",IF(ISNA(VLOOKUP($B162,'B-1 On-Site Hedge Baseline'!$B$1:$L$257,11,FALSE)),"",(VLOOKUP($B162,'B-1 On-Site Hedge Baseline'!$B$1:$L$257,11,FALSE))))</f>
        <v/>
      </c>
      <c r="K162" s="295" t="str">
        <f>IF(B162="","",IF(ISNA(VLOOKUP($B162,'B-1 On-Site Hedge Baseline'!$B$1:$U$257,13,FALSE)),"",(VLOOKUP($B162,'B-1 On-Site Hedge Baseline'!$B$1:$U$257,13,FALSE))))</f>
        <v/>
      </c>
      <c r="L162" s="299" t="str">
        <f>IF(B162="","",IF(ISNA(VLOOKUP($B162,'B-1 On-Site Hedge Baseline'!$B$1:$U$257,12,FALSE)),"",(VLOOKUP($B162,'B-1 On-Site Hedge Baseline'!$B$1:$U$257,12,FALSE))))</f>
        <v/>
      </c>
      <c r="M162" s="611"/>
      <c r="N162" s="275" t="str">
        <f>IFERROR(IF(B162="","",INDEX('G-6 Hedgerow Data'!$AN$3:$AZ$15,MATCH(C162,'G-6 Hedgerow Data'!$AM$3:$AM$15,0),MATCH(M162,'G-6 Hedgerow Data'!$AN$2:$AZ$2,0))),"")</f>
        <v/>
      </c>
      <c r="O162" s="276" t="str">
        <f t="shared" si="15"/>
        <v/>
      </c>
      <c r="P162" s="329" t="str">
        <f>IF(B162="","",VLOOKUP(B162,'B-1 On-Site Hedge Baseline'!$B$10:T407,16,FALSE))</f>
        <v/>
      </c>
      <c r="Q162" s="275" t="str">
        <f>IF(M162="","",VLOOKUP(M162,'G-6 Hedgerow Data'!$B$2:$AG$15,2,FALSE))</f>
        <v/>
      </c>
      <c r="R162" s="276" t="str">
        <f>IF(M162="","",VLOOKUP(M162,'G-6 Hedgerow Data'!$B$2:$AG$15,3,FALSE))</f>
        <v/>
      </c>
      <c r="S162" s="108"/>
      <c r="T162" s="314" t="str">
        <f>IFERROR(IF(S162="","",IF(AND(M162="Non-native and ornamental hedgerow",S162&lt;&gt;"Poor"),"Not possible ▲",(VLOOKUP(S162,'G-1 All Habitats'!$Z$2:$AA$9,2,FALSE)))),"")</f>
        <v/>
      </c>
      <c r="U162" s="105"/>
      <c r="V162" s="295" t="str">
        <f>IF(U162="","",IF(VLOOKUP(U162,'G-3 Multipliers'!$L$3:$N$6,2,FALSE)=0,"Spatial Data Missing ⚠",VLOOKUP(U162,'G-3 Multipliers'!$L$3:$N$6,2,FALSE)))</f>
        <v/>
      </c>
      <c r="W162" s="299" t="str">
        <f>IF(U162="","",IF(VLOOKUP(U162,'G-3 Multipliers'!$L$3:$N$6,3,FALSE)=0,"Spatial Data Missing ⚠",VLOOKUP(U162,'G-3 Multipliers'!$L$3:$N$6,3,FALSE)))</f>
        <v/>
      </c>
      <c r="X162" s="275" t="str">
        <f>IFERROR(IF(OR(LEFT(O162,5)="Error",LEFT(N162,5)="Error",T162="Error"),"Check Data ⚠",IF(F162&lt;R162,INDEX('G-6 Hedgerow Data'!$S$3:$AE$14,MATCH(C162,'G-6 Hedgerow Data'!$B$3:$B$14,0),MATCH(M162,'G-6 Hedgerow Data'!$S$2:$AE$2,0)),INDEX('G-6 Hedgerow Data'!$K$3:$Q$14,MATCH(M162,'G-6 Hedgerow Data'!$B$3:$B$14,0),MATCH(O162,'G-6 Hedgerow Data'!$K$2:$Q$2,0)))),"")</f>
        <v/>
      </c>
      <c r="Y162" s="133"/>
      <c r="Z162" s="133"/>
      <c r="AA162" s="283" t="str">
        <f t="shared" si="16"/>
        <v/>
      </c>
      <c r="AB162" s="296" t="str">
        <f t="shared" si="17"/>
        <v/>
      </c>
      <c r="AC162" s="297" t="str">
        <f t="shared" si="14"/>
        <v/>
      </c>
      <c r="AD162" s="311" t="str">
        <f>IF(M162="","",VLOOKUP(M162,'G-6 Hedgerow Data'!$B$3:$AG$15,31,FALSE))</f>
        <v/>
      </c>
      <c r="AE162" s="283" t="str">
        <f t="shared" si="18"/>
        <v/>
      </c>
      <c r="AF162" s="283" t="str">
        <f t="shared" si="19"/>
        <v/>
      </c>
      <c r="AG162" s="299" t="str">
        <f>IFERROR(IF(O162="","",VLOOKUP(AD162,'G-3 Multipliers'!$P$3:$Q$6,2,FALSE)),"")</f>
        <v/>
      </c>
      <c r="AH162" s="289" t="str">
        <f t="shared" si="20"/>
        <v/>
      </c>
      <c r="AI162" s="108"/>
      <c r="AJ162" s="115"/>
      <c r="AK162" s="104"/>
      <c r="AT162" s="30" t="str">
        <f>IFERROR(INDEX('G-6 Hedgerow Data'!$BJ$3:$BJ$15,MATCH(M162,'G-6 Hedgerow Data'!$B$3:$B$15,0)),"")</f>
        <v/>
      </c>
    </row>
    <row r="163" spans="2:46" ht="14">
      <c r="B163" s="305" t="str">
        <f>'B-1 On-Site Hedge Baseline'!AK161</f>
        <v/>
      </c>
      <c r="C163" s="295" t="str">
        <f>IF(B163="","",IF(ISNA(VLOOKUP($B163,'B-1 On-Site Hedge Baseline'!$B$1:$L$257,3,FALSE)),"",(VLOOKUP($B163,'B-1 On-Site Hedge Baseline'!$B$1:$L$257,3,FALSE))))</f>
        <v/>
      </c>
      <c r="D163" s="295" t="str">
        <f>IF(B163="","",IF(ISNA(VLOOKUP($B163,'B-1 On-Site Hedge Baseline'!$B$1:$L$257,4,FALSE)),"",(VLOOKUP($B163,'B-1 On-Site Hedge Baseline'!$B$1:$L$257,4,FALSE))))</f>
        <v/>
      </c>
      <c r="E163" s="295" t="str">
        <f>IF(B163="","",IF(ISNA(VLOOKUP($B163,'B-1 On-Site Hedge Baseline'!$B$1:$L$257,5,FALSE)),"",(VLOOKUP($B163,'B-1 On-Site Hedge Baseline'!$B$1:$L$257,5,FALSE))))</f>
        <v/>
      </c>
      <c r="F163" s="295" t="str">
        <f>IF(B163="","",IF(ISNA(VLOOKUP($B163,'B-1 On-Site Hedge Baseline'!$B$1:$L$257,6,FALSE)),"",(VLOOKUP($B163,'B-1 On-Site Hedge Baseline'!$B$1:$L$257,6,FALSE))))</f>
        <v/>
      </c>
      <c r="G163" s="295" t="str">
        <f>IF(B163="","",IF(ISNA(VLOOKUP($B163,'B-1 On-Site Hedge Baseline'!$B$1:$L$257,7,FALSE)),"",(VLOOKUP($B163,'B-1 On-Site Hedge Baseline'!$B$1:$L$257,7,FALSE))))</f>
        <v/>
      </c>
      <c r="H163" s="295" t="str">
        <f>IF(B163="","",IF(ISNA(VLOOKUP($B163,'B-1 On-Site Hedge Baseline'!$B$1:$L$257,8,FALSE)),"",(VLOOKUP($B163,'B-1 On-Site Hedge Baseline'!$B$1:$L$257,8,FALSE))))</f>
        <v/>
      </c>
      <c r="I163" s="295" t="str">
        <f>IF(B163="","",IF(ISNA(VLOOKUP($B163,'B-1 On-Site Hedge Baseline'!$B$1:$L$257,10,FALSE)),"",(VLOOKUP($B163,'B-1 On-Site Hedge Baseline'!$B$1:$L$257,10,FALSE))))</f>
        <v/>
      </c>
      <c r="J163" s="295" t="str">
        <f>IF(B163="","",IF(ISNA(VLOOKUP($B163,'B-1 On-Site Hedge Baseline'!$B$1:$L$257,11,FALSE)),"",(VLOOKUP($B163,'B-1 On-Site Hedge Baseline'!$B$1:$L$257,11,FALSE))))</f>
        <v/>
      </c>
      <c r="K163" s="295" t="str">
        <f>IF(B163="","",IF(ISNA(VLOOKUP($B163,'B-1 On-Site Hedge Baseline'!$B$1:$U$257,13,FALSE)),"",(VLOOKUP($B163,'B-1 On-Site Hedge Baseline'!$B$1:$U$257,13,FALSE))))</f>
        <v/>
      </c>
      <c r="L163" s="299" t="str">
        <f>IF(B163="","",IF(ISNA(VLOOKUP($B163,'B-1 On-Site Hedge Baseline'!$B$1:$U$257,12,FALSE)),"",(VLOOKUP($B163,'B-1 On-Site Hedge Baseline'!$B$1:$U$257,12,FALSE))))</f>
        <v/>
      </c>
      <c r="M163" s="611"/>
      <c r="N163" s="275" t="str">
        <f>IFERROR(IF(B163="","",INDEX('G-6 Hedgerow Data'!$AN$3:$AZ$15,MATCH(C163,'G-6 Hedgerow Data'!$AM$3:$AM$15,0),MATCH(M163,'G-6 Hedgerow Data'!$AN$2:$AZ$2,0))),"")</f>
        <v/>
      </c>
      <c r="O163" s="276" t="str">
        <f t="shared" si="15"/>
        <v/>
      </c>
      <c r="P163" s="329" t="str">
        <f>IF(B163="","",VLOOKUP(B163,'B-1 On-Site Hedge Baseline'!$B$10:T408,16,FALSE))</f>
        <v/>
      </c>
      <c r="Q163" s="275" t="str">
        <f>IF(M163="","",VLOOKUP(M163,'G-6 Hedgerow Data'!$B$2:$AG$15,2,FALSE))</f>
        <v/>
      </c>
      <c r="R163" s="276" t="str">
        <f>IF(M163="","",VLOOKUP(M163,'G-6 Hedgerow Data'!$B$2:$AG$15,3,FALSE))</f>
        <v/>
      </c>
      <c r="S163" s="108"/>
      <c r="T163" s="314" t="str">
        <f>IFERROR(IF(S163="","",IF(AND(M163="Non-native and ornamental hedgerow",S163&lt;&gt;"Poor"),"Not possible ▲",(VLOOKUP(S163,'G-1 All Habitats'!$Z$2:$AA$9,2,FALSE)))),"")</f>
        <v/>
      </c>
      <c r="U163" s="105"/>
      <c r="V163" s="295" t="str">
        <f>IF(U163="","",IF(VLOOKUP(U163,'G-3 Multipliers'!$L$3:$N$6,2,FALSE)=0,"Spatial Data Missing ⚠",VLOOKUP(U163,'G-3 Multipliers'!$L$3:$N$6,2,FALSE)))</f>
        <v/>
      </c>
      <c r="W163" s="299" t="str">
        <f>IF(U163="","",IF(VLOOKUP(U163,'G-3 Multipliers'!$L$3:$N$6,3,FALSE)=0,"Spatial Data Missing ⚠",VLOOKUP(U163,'G-3 Multipliers'!$L$3:$N$6,3,FALSE)))</f>
        <v/>
      </c>
      <c r="X163" s="275" t="str">
        <f>IFERROR(IF(OR(LEFT(O163,5)="Error",LEFT(N163,5)="Error",T163="Error"),"Check Data ⚠",IF(F163&lt;R163,INDEX('G-6 Hedgerow Data'!$S$3:$AE$14,MATCH(C163,'G-6 Hedgerow Data'!$B$3:$B$14,0),MATCH(M163,'G-6 Hedgerow Data'!$S$2:$AE$2,0)),INDEX('G-6 Hedgerow Data'!$K$3:$Q$14,MATCH(M163,'G-6 Hedgerow Data'!$B$3:$B$14,0),MATCH(O163,'G-6 Hedgerow Data'!$K$2:$Q$2,0)))),"")</f>
        <v/>
      </c>
      <c r="Y163" s="133"/>
      <c r="Z163" s="133"/>
      <c r="AA163" s="283" t="str">
        <f t="shared" si="16"/>
        <v/>
      </c>
      <c r="AB163" s="296" t="str">
        <f t="shared" si="17"/>
        <v/>
      </c>
      <c r="AC163" s="297" t="str">
        <f t="shared" si="14"/>
        <v/>
      </c>
      <c r="AD163" s="311" t="str">
        <f>IF(M163="","",VLOOKUP(M163,'G-6 Hedgerow Data'!$B$3:$AG$15,31,FALSE))</f>
        <v/>
      </c>
      <c r="AE163" s="283" t="str">
        <f t="shared" si="18"/>
        <v/>
      </c>
      <c r="AF163" s="283" t="str">
        <f t="shared" si="19"/>
        <v/>
      </c>
      <c r="AG163" s="299" t="str">
        <f>IFERROR(IF(O163="","",VLOOKUP(AD163,'G-3 Multipliers'!$P$3:$Q$6,2,FALSE)),"")</f>
        <v/>
      </c>
      <c r="AH163" s="289" t="str">
        <f t="shared" si="20"/>
        <v/>
      </c>
      <c r="AI163" s="108"/>
      <c r="AJ163" s="115"/>
      <c r="AK163" s="104"/>
      <c r="AT163" s="30" t="str">
        <f>IFERROR(INDEX('G-6 Hedgerow Data'!$BJ$3:$BJ$15,MATCH(M163,'G-6 Hedgerow Data'!$B$3:$B$15,0)),"")</f>
        <v/>
      </c>
    </row>
    <row r="164" spans="2:46" ht="14">
      <c r="B164" s="305" t="str">
        <f>'B-1 On-Site Hedge Baseline'!AK162</f>
        <v/>
      </c>
      <c r="C164" s="295" t="str">
        <f>IF(B164="","",IF(ISNA(VLOOKUP($B164,'B-1 On-Site Hedge Baseline'!$B$1:$L$257,3,FALSE)),"",(VLOOKUP($B164,'B-1 On-Site Hedge Baseline'!$B$1:$L$257,3,FALSE))))</f>
        <v/>
      </c>
      <c r="D164" s="295" t="str">
        <f>IF(B164="","",IF(ISNA(VLOOKUP($B164,'B-1 On-Site Hedge Baseline'!$B$1:$L$257,4,FALSE)),"",(VLOOKUP($B164,'B-1 On-Site Hedge Baseline'!$B$1:$L$257,4,FALSE))))</f>
        <v/>
      </c>
      <c r="E164" s="295" t="str">
        <f>IF(B164="","",IF(ISNA(VLOOKUP($B164,'B-1 On-Site Hedge Baseline'!$B$1:$L$257,5,FALSE)),"",(VLOOKUP($B164,'B-1 On-Site Hedge Baseline'!$B$1:$L$257,5,FALSE))))</f>
        <v/>
      </c>
      <c r="F164" s="295" t="str">
        <f>IF(B164="","",IF(ISNA(VLOOKUP($B164,'B-1 On-Site Hedge Baseline'!$B$1:$L$257,6,FALSE)),"",(VLOOKUP($B164,'B-1 On-Site Hedge Baseline'!$B$1:$L$257,6,FALSE))))</f>
        <v/>
      </c>
      <c r="G164" s="295" t="str">
        <f>IF(B164="","",IF(ISNA(VLOOKUP($B164,'B-1 On-Site Hedge Baseline'!$B$1:$L$257,7,FALSE)),"",(VLOOKUP($B164,'B-1 On-Site Hedge Baseline'!$B$1:$L$257,7,FALSE))))</f>
        <v/>
      </c>
      <c r="H164" s="295" t="str">
        <f>IF(B164="","",IF(ISNA(VLOOKUP($B164,'B-1 On-Site Hedge Baseline'!$B$1:$L$257,8,FALSE)),"",(VLOOKUP($B164,'B-1 On-Site Hedge Baseline'!$B$1:$L$257,8,FALSE))))</f>
        <v/>
      </c>
      <c r="I164" s="295" t="str">
        <f>IF(B164="","",IF(ISNA(VLOOKUP($B164,'B-1 On-Site Hedge Baseline'!$B$1:$L$257,10,FALSE)),"",(VLOOKUP($B164,'B-1 On-Site Hedge Baseline'!$B$1:$L$257,10,FALSE))))</f>
        <v/>
      </c>
      <c r="J164" s="295" t="str">
        <f>IF(B164="","",IF(ISNA(VLOOKUP($B164,'B-1 On-Site Hedge Baseline'!$B$1:$L$257,11,FALSE)),"",(VLOOKUP($B164,'B-1 On-Site Hedge Baseline'!$B$1:$L$257,11,FALSE))))</f>
        <v/>
      </c>
      <c r="K164" s="295" t="str">
        <f>IF(B164="","",IF(ISNA(VLOOKUP($B164,'B-1 On-Site Hedge Baseline'!$B$1:$U$257,13,FALSE)),"",(VLOOKUP($B164,'B-1 On-Site Hedge Baseline'!$B$1:$U$257,13,FALSE))))</f>
        <v/>
      </c>
      <c r="L164" s="299" t="str">
        <f>IF(B164="","",IF(ISNA(VLOOKUP($B164,'B-1 On-Site Hedge Baseline'!$B$1:$U$257,12,FALSE)),"",(VLOOKUP($B164,'B-1 On-Site Hedge Baseline'!$B$1:$U$257,12,FALSE))))</f>
        <v/>
      </c>
      <c r="M164" s="611"/>
      <c r="N164" s="275" t="str">
        <f>IFERROR(IF(B164="","",INDEX('G-6 Hedgerow Data'!$AN$3:$AZ$15,MATCH(C164,'G-6 Hedgerow Data'!$AM$3:$AM$15,0),MATCH(M164,'G-6 Hedgerow Data'!$AN$2:$AZ$2,0))),"")</f>
        <v/>
      </c>
      <c r="O164" s="276" t="str">
        <f t="shared" si="15"/>
        <v/>
      </c>
      <c r="P164" s="329" t="str">
        <f>IF(B164="","",VLOOKUP(B164,'B-1 On-Site Hedge Baseline'!$B$10:T409,16,FALSE))</f>
        <v/>
      </c>
      <c r="Q164" s="275" t="str">
        <f>IF(M164="","",VLOOKUP(M164,'G-6 Hedgerow Data'!$B$2:$AG$15,2,FALSE))</f>
        <v/>
      </c>
      <c r="R164" s="276" t="str">
        <f>IF(M164="","",VLOOKUP(M164,'G-6 Hedgerow Data'!$B$2:$AG$15,3,FALSE))</f>
        <v/>
      </c>
      <c r="S164" s="108"/>
      <c r="T164" s="314" t="str">
        <f>IFERROR(IF(S164="","",IF(AND(M164="Non-native and ornamental hedgerow",S164&lt;&gt;"Poor"),"Not possible ▲",(VLOOKUP(S164,'G-1 All Habitats'!$Z$2:$AA$9,2,FALSE)))),"")</f>
        <v/>
      </c>
      <c r="U164" s="105"/>
      <c r="V164" s="295" t="str">
        <f>IF(U164="","",IF(VLOOKUP(U164,'G-3 Multipliers'!$L$3:$N$6,2,FALSE)=0,"Spatial Data Missing ⚠",VLOOKUP(U164,'G-3 Multipliers'!$L$3:$N$6,2,FALSE)))</f>
        <v/>
      </c>
      <c r="W164" s="299" t="str">
        <f>IF(U164="","",IF(VLOOKUP(U164,'G-3 Multipliers'!$L$3:$N$6,3,FALSE)=0,"Spatial Data Missing ⚠",VLOOKUP(U164,'G-3 Multipliers'!$L$3:$N$6,3,FALSE)))</f>
        <v/>
      </c>
      <c r="X164" s="275" t="str">
        <f>IFERROR(IF(OR(LEFT(O164,5)="Error",LEFT(N164,5)="Error",T164="Error"),"Check Data ⚠",IF(F164&lt;R164,INDEX('G-6 Hedgerow Data'!$S$3:$AE$14,MATCH(C164,'G-6 Hedgerow Data'!$B$3:$B$14,0),MATCH(M164,'G-6 Hedgerow Data'!$S$2:$AE$2,0)),INDEX('G-6 Hedgerow Data'!$K$3:$Q$14,MATCH(M164,'G-6 Hedgerow Data'!$B$3:$B$14,0),MATCH(O164,'G-6 Hedgerow Data'!$K$2:$Q$2,0)))),"")</f>
        <v/>
      </c>
      <c r="Y164" s="133"/>
      <c r="Z164" s="133"/>
      <c r="AA164" s="283" t="str">
        <f t="shared" si="16"/>
        <v/>
      </c>
      <c r="AB164" s="296" t="str">
        <f t="shared" si="17"/>
        <v/>
      </c>
      <c r="AC164" s="297" t="str">
        <f t="shared" si="14"/>
        <v/>
      </c>
      <c r="AD164" s="311" t="str">
        <f>IF(M164="","",VLOOKUP(M164,'G-6 Hedgerow Data'!$B$3:$AG$15,31,FALSE))</f>
        <v/>
      </c>
      <c r="AE164" s="283" t="str">
        <f t="shared" si="18"/>
        <v/>
      </c>
      <c r="AF164" s="283" t="str">
        <f t="shared" si="19"/>
        <v/>
      </c>
      <c r="AG164" s="299" t="str">
        <f>IFERROR(IF(O164="","",VLOOKUP(AD164,'G-3 Multipliers'!$P$3:$Q$6,2,FALSE)),"")</f>
        <v/>
      </c>
      <c r="AH164" s="289" t="str">
        <f t="shared" si="20"/>
        <v/>
      </c>
      <c r="AI164" s="108"/>
      <c r="AJ164" s="115"/>
      <c r="AK164" s="104"/>
      <c r="AT164" s="30" t="str">
        <f>IFERROR(INDEX('G-6 Hedgerow Data'!$BJ$3:$BJ$15,MATCH(M164,'G-6 Hedgerow Data'!$B$3:$B$15,0)),"")</f>
        <v/>
      </c>
    </row>
    <row r="165" spans="2:46" ht="14">
      <c r="B165" s="305" t="str">
        <f>'B-1 On-Site Hedge Baseline'!AK163</f>
        <v/>
      </c>
      <c r="C165" s="295" t="str">
        <f>IF(B165="","",IF(ISNA(VLOOKUP($B165,'B-1 On-Site Hedge Baseline'!$B$1:$L$257,3,FALSE)),"",(VLOOKUP($B165,'B-1 On-Site Hedge Baseline'!$B$1:$L$257,3,FALSE))))</f>
        <v/>
      </c>
      <c r="D165" s="295" t="str">
        <f>IF(B165="","",IF(ISNA(VLOOKUP($B165,'B-1 On-Site Hedge Baseline'!$B$1:$L$257,4,FALSE)),"",(VLOOKUP($B165,'B-1 On-Site Hedge Baseline'!$B$1:$L$257,4,FALSE))))</f>
        <v/>
      </c>
      <c r="E165" s="295" t="str">
        <f>IF(B165="","",IF(ISNA(VLOOKUP($B165,'B-1 On-Site Hedge Baseline'!$B$1:$L$257,5,FALSE)),"",(VLOOKUP($B165,'B-1 On-Site Hedge Baseline'!$B$1:$L$257,5,FALSE))))</f>
        <v/>
      </c>
      <c r="F165" s="295" t="str">
        <f>IF(B165="","",IF(ISNA(VLOOKUP($B165,'B-1 On-Site Hedge Baseline'!$B$1:$L$257,6,FALSE)),"",(VLOOKUP($B165,'B-1 On-Site Hedge Baseline'!$B$1:$L$257,6,FALSE))))</f>
        <v/>
      </c>
      <c r="G165" s="295" t="str">
        <f>IF(B165="","",IF(ISNA(VLOOKUP($B165,'B-1 On-Site Hedge Baseline'!$B$1:$L$257,7,FALSE)),"",(VLOOKUP($B165,'B-1 On-Site Hedge Baseline'!$B$1:$L$257,7,FALSE))))</f>
        <v/>
      </c>
      <c r="H165" s="295" t="str">
        <f>IF(B165="","",IF(ISNA(VLOOKUP($B165,'B-1 On-Site Hedge Baseline'!$B$1:$L$257,8,FALSE)),"",(VLOOKUP($B165,'B-1 On-Site Hedge Baseline'!$B$1:$L$257,8,FALSE))))</f>
        <v/>
      </c>
      <c r="I165" s="295" t="str">
        <f>IF(B165="","",IF(ISNA(VLOOKUP($B165,'B-1 On-Site Hedge Baseline'!$B$1:$L$257,10,FALSE)),"",(VLOOKUP($B165,'B-1 On-Site Hedge Baseline'!$B$1:$L$257,10,FALSE))))</f>
        <v/>
      </c>
      <c r="J165" s="295" t="str">
        <f>IF(B165="","",IF(ISNA(VLOOKUP($B165,'B-1 On-Site Hedge Baseline'!$B$1:$L$257,11,FALSE)),"",(VLOOKUP($B165,'B-1 On-Site Hedge Baseline'!$B$1:$L$257,11,FALSE))))</f>
        <v/>
      </c>
      <c r="K165" s="295" t="str">
        <f>IF(B165="","",IF(ISNA(VLOOKUP($B165,'B-1 On-Site Hedge Baseline'!$B$1:$U$257,13,FALSE)),"",(VLOOKUP($B165,'B-1 On-Site Hedge Baseline'!$B$1:$U$257,13,FALSE))))</f>
        <v/>
      </c>
      <c r="L165" s="299" t="str">
        <f>IF(B165="","",IF(ISNA(VLOOKUP($B165,'B-1 On-Site Hedge Baseline'!$B$1:$U$257,12,FALSE)),"",(VLOOKUP($B165,'B-1 On-Site Hedge Baseline'!$B$1:$U$257,12,FALSE))))</f>
        <v/>
      </c>
      <c r="M165" s="611"/>
      <c r="N165" s="275" t="str">
        <f>IFERROR(IF(B165="","",INDEX('G-6 Hedgerow Data'!$AN$3:$AZ$15,MATCH(C165,'G-6 Hedgerow Data'!$AM$3:$AM$15,0),MATCH(M165,'G-6 Hedgerow Data'!$AN$2:$AZ$2,0))),"")</f>
        <v/>
      </c>
      <c r="O165" s="276" t="str">
        <f t="shared" si="15"/>
        <v/>
      </c>
      <c r="P165" s="329" t="str">
        <f>IF(B165="","",VLOOKUP(B165,'B-1 On-Site Hedge Baseline'!$B$10:T410,16,FALSE))</f>
        <v/>
      </c>
      <c r="Q165" s="275" t="str">
        <f>IF(M165="","",VLOOKUP(M165,'G-6 Hedgerow Data'!$B$2:$AG$15,2,FALSE))</f>
        <v/>
      </c>
      <c r="R165" s="276" t="str">
        <f>IF(M165="","",VLOOKUP(M165,'G-6 Hedgerow Data'!$B$2:$AG$15,3,FALSE))</f>
        <v/>
      </c>
      <c r="S165" s="108"/>
      <c r="T165" s="314" t="str">
        <f>IFERROR(IF(S165="","",IF(AND(M165="Non-native and ornamental hedgerow",S165&lt;&gt;"Poor"),"Not possible ▲",(VLOOKUP(S165,'G-1 All Habitats'!$Z$2:$AA$9,2,FALSE)))),"")</f>
        <v/>
      </c>
      <c r="U165" s="105"/>
      <c r="V165" s="295" t="str">
        <f>IF(U165="","",IF(VLOOKUP(U165,'G-3 Multipliers'!$L$3:$N$6,2,FALSE)=0,"Spatial Data Missing ⚠",VLOOKUP(U165,'G-3 Multipliers'!$L$3:$N$6,2,FALSE)))</f>
        <v/>
      </c>
      <c r="W165" s="299" t="str">
        <f>IF(U165="","",IF(VLOOKUP(U165,'G-3 Multipliers'!$L$3:$N$6,3,FALSE)=0,"Spatial Data Missing ⚠",VLOOKUP(U165,'G-3 Multipliers'!$L$3:$N$6,3,FALSE)))</f>
        <v/>
      </c>
      <c r="X165" s="275" t="str">
        <f>IFERROR(IF(OR(LEFT(O165,5)="Error",LEFT(N165,5)="Error",T165="Error"),"Check Data ⚠",IF(F165&lt;R165,INDEX('G-6 Hedgerow Data'!$S$3:$AE$14,MATCH(C165,'G-6 Hedgerow Data'!$B$3:$B$14,0),MATCH(M165,'G-6 Hedgerow Data'!$S$2:$AE$2,0)),INDEX('G-6 Hedgerow Data'!$K$3:$Q$14,MATCH(M165,'G-6 Hedgerow Data'!$B$3:$B$14,0),MATCH(O165,'G-6 Hedgerow Data'!$K$2:$Q$2,0)))),"")</f>
        <v/>
      </c>
      <c r="Y165" s="133"/>
      <c r="Z165" s="133"/>
      <c r="AA165" s="283" t="str">
        <f t="shared" si="16"/>
        <v/>
      </c>
      <c r="AB165" s="296" t="str">
        <f t="shared" si="17"/>
        <v/>
      </c>
      <c r="AC165" s="297" t="str">
        <f t="shared" si="14"/>
        <v/>
      </c>
      <c r="AD165" s="311" t="str">
        <f>IF(M165="","",VLOOKUP(M165,'G-6 Hedgerow Data'!$B$3:$AG$15,31,FALSE))</f>
        <v/>
      </c>
      <c r="AE165" s="283" t="str">
        <f t="shared" si="18"/>
        <v/>
      </c>
      <c r="AF165" s="283" t="str">
        <f t="shared" si="19"/>
        <v/>
      </c>
      <c r="AG165" s="299" t="str">
        <f>IFERROR(IF(O165="","",VLOOKUP(AD165,'G-3 Multipliers'!$P$3:$Q$6,2,FALSE)),"")</f>
        <v/>
      </c>
      <c r="AH165" s="289" t="str">
        <f t="shared" si="20"/>
        <v/>
      </c>
      <c r="AI165" s="108"/>
      <c r="AJ165" s="115"/>
      <c r="AK165" s="104"/>
      <c r="AT165" s="30" t="str">
        <f>IFERROR(INDEX('G-6 Hedgerow Data'!$BJ$3:$BJ$15,MATCH(M165,'G-6 Hedgerow Data'!$B$3:$B$15,0)),"")</f>
        <v/>
      </c>
    </row>
    <row r="166" spans="2:46" ht="14">
      <c r="B166" s="305" t="str">
        <f>'B-1 On-Site Hedge Baseline'!AK164</f>
        <v/>
      </c>
      <c r="C166" s="295" t="str">
        <f>IF(B166="","",IF(ISNA(VLOOKUP($B166,'B-1 On-Site Hedge Baseline'!$B$1:$L$257,3,FALSE)),"",(VLOOKUP($B166,'B-1 On-Site Hedge Baseline'!$B$1:$L$257,3,FALSE))))</f>
        <v/>
      </c>
      <c r="D166" s="295" t="str">
        <f>IF(B166="","",IF(ISNA(VLOOKUP($B166,'B-1 On-Site Hedge Baseline'!$B$1:$L$257,4,FALSE)),"",(VLOOKUP($B166,'B-1 On-Site Hedge Baseline'!$B$1:$L$257,4,FALSE))))</f>
        <v/>
      </c>
      <c r="E166" s="295" t="str">
        <f>IF(B166="","",IF(ISNA(VLOOKUP($B166,'B-1 On-Site Hedge Baseline'!$B$1:$L$257,5,FALSE)),"",(VLOOKUP($B166,'B-1 On-Site Hedge Baseline'!$B$1:$L$257,5,FALSE))))</f>
        <v/>
      </c>
      <c r="F166" s="295" t="str">
        <f>IF(B166="","",IF(ISNA(VLOOKUP($B166,'B-1 On-Site Hedge Baseline'!$B$1:$L$257,6,FALSE)),"",(VLOOKUP($B166,'B-1 On-Site Hedge Baseline'!$B$1:$L$257,6,FALSE))))</f>
        <v/>
      </c>
      <c r="G166" s="295" t="str">
        <f>IF(B166="","",IF(ISNA(VLOOKUP($B166,'B-1 On-Site Hedge Baseline'!$B$1:$L$257,7,FALSE)),"",(VLOOKUP($B166,'B-1 On-Site Hedge Baseline'!$B$1:$L$257,7,FALSE))))</f>
        <v/>
      </c>
      <c r="H166" s="295" t="str">
        <f>IF(B166="","",IF(ISNA(VLOOKUP($B166,'B-1 On-Site Hedge Baseline'!$B$1:$L$257,8,FALSE)),"",(VLOOKUP($B166,'B-1 On-Site Hedge Baseline'!$B$1:$L$257,8,FALSE))))</f>
        <v/>
      </c>
      <c r="I166" s="295" t="str">
        <f>IF(B166="","",IF(ISNA(VLOOKUP($B166,'B-1 On-Site Hedge Baseline'!$B$1:$L$257,10,FALSE)),"",(VLOOKUP($B166,'B-1 On-Site Hedge Baseline'!$B$1:$L$257,10,FALSE))))</f>
        <v/>
      </c>
      <c r="J166" s="295" t="str">
        <f>IF(B166="","",IF(ISNA(VLOOKUP($B166,'B-1 On-Site Hedge Baseline'!$B$1:$L$257,11,FALSE)),"",(VLOOKUP($B166,'B-1 On-Site Hedge Baseline'!$B$1:$L$257,11,FALSE))))</f>
        <v/>
      </c>
      <c r="K166" s="295" t="str">
        <f>IF(B166="","",IF(ISNA(VLOOKUP($B166,'B-1 On-Site Hedge Baseline'!$B$1:$U$257,13,FALSE)),"",(VLOOKUP($B166,'B-1 On-Site Hedge Baseline'!$B$1:$U$257,13,FALSE))))</f>
        <v/>
      </c>
      <c r="L166" s="299" t="str">
        <f>IF(B166="","",IF(ISNA(VLOOKUP($B166,'B-1 On-Site Hedge Baseline'!$B$1:$U$257,12,FALSE)),"",(VLOOKUP($B166,'B-1 On-Site Hedge Baseline'!$B$1:$U$257,12,FALSE))))</f>
        <v/>
      </c>
      <c r="M166" s="611"/>
      <c r="N166" s="275" t="str">
        <f>IFERROR(IF(B166="","",INDEX('G-6 Hedgerow Data'!$AN$3:$AZ$15,MATCH(C166,'G-6 Hedgerow Data'!$AM$3:$AM$15,0),MATCH(M166,'G-6 Hedgerow Data'!$AN$2:$AZ$2,0))),"")</f>
        <v/>
      </c>
      <c r="O166" s="276" t="str">
        <f t="shared" si="15"/>
        <v/>
      </c>
      <c r="P166" s="329" t="str">
        <f>IF(B166="","",VLOOKUP(B166,'B-1 On-Site Hedge Baseline'!$B$10:T411,16,FALSE))</f>
        <v/>
      </c>
      <c r="Q166" s="275" t="str">
        <f>IF(M166="","",VLOOKUP(M166,'G-6 Hedgerow Data'!$B$2:$AG$15,2,FALSE))</f>
        <v/>
      </c>
      <c r="R166" s="276" t="str">
        <f>IF(M166="","",VLOOKUP(M166,'G-6 Hedgerow Data'!$B$2:$AG$15,3,FALSE))</f>
        <v/>
      </c>
      <c r="S166" s="108"/>
      <c r="T166" s="314" t="str">
        <f>IFERROR(IF(S166="","",IF(AND(M166="Non-native and ornamental hedgerow",S166&lt;&gt;"Poor"),"Not possible ▲",(VLOOKUP(S166,'G-1 All Habitats'!$Z$2:$AA$9,2,FALSE)))),"")</f>
        <v/>
      </c>
      <c r="U166" s="105"/>
      <c r="V166" s="295" t="str">
        <f>IF(U166="","",IF(VLOOKUP(U166,'G-3 Multipliers'!$L$3:$N$6,2,FALSE)=0,"Spatial Data Missing ⚠",VLOOKUP(U166,'G-3 Multipliers'!$L$3:$N$6,2,FALSE)))</f>
        <v/>
      </c>
      <c r="W166" s="299" t="str">
        <f>IF(U166="","",IF(VLOOKUP(U166,'G-3 Multipliers'!$L$3:$N$6,3,FALSE)=0,"Spatial Data Missing ⚠",VLOOKUP(U166,'G-3 Multipliers'!$L$3:$N$6,3,FALSE)))</f>
        <v/>
      </c>
      <c r="X166" s="275" t="str">
        <f>IFERROR(IF(OR(LEFT(O166,5)="Error",LEFT(N166,5)="Error",T166="Error"),"Check Data ⚠",IF(F166&lt;R166,INDEX('G-6 Hedgerow Data'!$S$3:$AE$14,MATCH(C166,'G-6 Hedgerow Data'!$B$3:$B$14,0),MATCH(M166,'G-6 Hedgerow Data'!$S$2:$AE$2,0)),INDEX('G-6 Hedgerow Data'!$K$3:$Q$14,MATCH(M166,'G-6 Hedgerow Data'!$B$3:$B$14,0),MATCH(O166,'G-6 Hedgerow Data'!$K$2:$Q$2,0)))),"")</f>
        <v/>
      </c>
      <c r="Y166" s="133"/>
      <c r="Z166" s="133"/>
      <c r="AA166" s="283" t="str">
        <f t="shared" si="16"/>
        <v/>
      </c>
      <c r="AB166" s="296" t="str">
        <f t="shared" si="17"/>
        <v/>
      </c>
      <c r="AC166" s="297" t="str">
        <f t="shared" si="14"/>
        <v/>
      </c>
      <c r="AD166" s="311" t="str">
        <f>IF(M166="","",VLOOKUP(M166,'G-6 Hedgerow Data'!$B$3:$AG$15,31,FALSE))</f>
        <v/>
      </c>
      <c r="AE166" s="283" t="str">
        <f t="shared" si="18"/>
        <v/>
      </c>
      <c r="AF166" s="283" t="str">
        <f t="shared" si="19"/>
        <v/>
      </c>
      <c r="AG166" s="299" t="str">
        <f>IFERROR(IF(O166="","",VLOOKUP(AD166,'G-3 Multipliers'!$P$3:$Q$6,2,FALSE)),"")</f>
        <v/>
      </c>
      <c r="AH166" s="289" t="str">
        <f t="shared" si="20"/>
        <v/>
      </c>
      <c r="AI166" s="108"/>
      <c r="AJ166" s="115"/>
      <c r="AK166" s="104"/>
      <c r="AT166" s="30" t="str">
        <f>IFERROR(INDEX('G-6 Hedgerow Data'!$BJ$3:$BJ$15,MATCH(M166,'G-6 Hedgerow Data'!$B$3:$B$15,0)),"")</f>
        <v/>
      </c>
    </row>
    <row r="167" spans="2:46" ht="14">
      <c r="B167" s="305" t="str">
        <f>'B-1 On-Site Hedge Baseline'!AK165</f>
        <v/>
      </c>
      <c r="C167" s="295" t="str">
        <f>IF(B167="","",IF(ISNA(VLOOKUP($B167,'B-1 On-Site Hedge Baseline'!$B$1:$L$257,3,FALSE)),"",(VLOOKUP($B167,'B-1 On-Site Hedge Baseline'!$B$1:$L$257,3,FALSE))))</f>
        <v/>
      </c>
      <c r="D167" s="295" t="str">
        <f>IF(B167="","",IF(ISNA(VLOOKUP($B167,'B-1 On-Site Hedge Baseline'!$B$1:$L$257,4,FALSE)),"",(VLOOKUP($B167,'B-1 On-Site Hedge Baseline'!$B$1:$L$257,4,FALSE))))</f>
        <v/>
      </c>
      <c r="E167" s="295" t="str">
        <f>IF(B167="","",IF(ISNA(VLOOKUP($B167,'B-1 On-Site Hedge Baseline'!$B$1:$L$257,5,FALSE)),"",(VLOOKUP($B167,'B-1 On-Site Hedge Baseline'!$B$1:$L$257,5,FALSE))))</f>
        <v/>
      </c>
      <c r="F167" s="295" t="str">
        <f>IF(B167="","",IF(ISNA(VLOOKUP($B167,'B-1 On-Site Hedge Baseline'!$B$1:$L$257,6,FALSE)),"",(VLOOKUP($B167,'B-1 On-Site Hedge Baseline'!$B$1:$L$257,6,FALSE))))</f>
        <v/>
      </c>
      <c r="G167" s="295" t="str">
        <f>IF(B167="","",IF(ISNA(VLOOKUP($B167,'B-1 On-Site Hedge Baseline'!$B$1:$L$257,7,FALSE)),"",(VLOOKUP($B167,'B-1 On-Site Hedge Baseline'!$B$1:$L$257,7,FALSE))))</f>
        <v/>
      </c>
      <c r="H167" s="295" t="str">
        <f>IF(B167="","",IF(ISNA(VLOOKUP($B167,'B-1 On-Site Hedge Baseline'!$B$1:$L$257,8,FALSE)),"",(VLOOKUP($B167,'B-1 On-Site Hedge Baseline'!$B$1:$L$257,8,FALSE))))</f>
        <v/>
      </c>
      <c r="I167" s="295" t="str">
        <f>IF(B167="","",IF(ISNA(VLOOKUP($B167,'B-1 On-Site Hedge Baseline'!$B$1:$L$257,10,FALSE)),"",(VLOOKUP($B167,'B-1 On-Site Hedge Baseline'!$B$1:$L$257,10,FALSE))))</f>
        <v/>
      </c>
      <c r="J167" s="295" t="str">
        <f>IF(B167="","",IF(ISNA(VLOOKUP($B167,'B-1 On-Site Hedge Baseline'!$B$1:$L$257,11,FALSE)),"",(VLOOKUP($B167,'B-1 On-Site Hedge Baseline'!$B$1:$L$257,11,FALSE))))</f>
        <v/>
      </c>
      <c r="K167" s="295" t="str">
        <f>IF(B167="","",IF(ISNA(VLOOKUP($B167,'B-1 On-Site Hedge Baseline'!$B$1:$U$257,13,FALSE)),"",(VLOOKUP($B167,'B-1 On-Site Hedge Baseline'!$B$1:$U$257,13,FALSE))))</f>
        <v/>
      </c>
      <c r="L167" s="299" t="str">
        <f>IF(B167="","",IF(ISNA(VLOOKUP($B167,'B-1 On-Site Hedge Baseline'!$B$1:$U$257,12,FALSE)),"",(VLOOKUP($B167,'B-1 On-Site Hedge Baseline'!$B$1:$U$257,12,FALSE))))</f>
        <v/>
      </c>
      <c r="M167" s="611"/>
      <c r="N167" s="275" t="str">
        <f>IFERROR(IF(B167="","",INDEX('G-6 Hedgerow Data'!$AN$3:$AZ$15,MATCH(C167,'G-6 Hedgerow Data'!$AM$3:$AM$15,0),MATCH(M167,'G-6 Hedgerow Data'!$AN$2:$AZ$2,0))),"")</f>
        <v/>
      </c>
      <c r="O167" s="276" t="str">
        <f t="shared" si="15"/>
        <v/>
      </c>
      <c r="P167" s="329" t="str">
        <f>IF(B167="","",VLOOKUP(B167,'B-1 On-Site Hedge Baseline'!$B$10:T412,16,FALSE))</f>
        <v/>
      </c>
      <c r="Q167" s="275" t="str">
        <f>IF(M167="","",VLOOKUP(M167,'G-6 Hedgerow Data'!$B$2:$AG$15,2,FALSE))</f>
        <v/>
      </c>
      <c r="R167" s="276" t="str">
        <f>IF(M167="","",VLOOKUP(M167,'G-6 Hedgerow Data'!$B$2:$AG$15,3,FALSE))</f>
        <v/>
      </c>
      <c r="S167" s="108"/>
      <c r="T167" s="314" t="str">
        <f>IFERROR(IF(S167="","",IF(AND(M167="Non-native and ornamental hedgerow",S167&lt;&gt;"Poor"),"Not possible ▲",(VLOOKUP(S167,'G-1 All Habitats'!$Z$2:$AA$9,2,FALSE)))),"")</f>
        <v/>
      </c>
      <c r="U167" s="105"/>
      <c r="V167" s="295" t="str">
        <f>IF(U167="","",IF(VLOOKUP(U167,'G-3 Multipliers'!$L$3:$N$6,2,FALSE)=0,"Spatial Data Missing ⚠",VLOOKUP(U167,'G-3 Multipliers'!$L$3:$N$6,2,FALSE)))</f>
        <v/>
      </c>
      <c r="W167" s="299" t="str">
        <f>IF(U167="","",IF(VLOOKUP(U167,'G-3 Multipliers'!$L$3:$N$6,3,FALSE)=0,"Spatial Data Missing ⚠",VLOOKUP(U167,'G-3 Multipliers'!$L$3:$N$6,3,FALSE)))</f>
        <v/>
      </c>
      <c r="X167" s="275" t="str">
        <f>IFERROR(IF(OR(LEFT(O167,5)="Error",LEFT(N167,5)="Error",T167="Error"),"Check Data ⚠",IF(F167&lt;R167,INDEX('G-6 Hedgerow Data'!$S$3:$AE$14,MATCH(C167,'G-6 Hedgerow Data'!$B$3:$B$14,0),MATCH(M167,'G-6 Hedgerow Data'!$S$2:$AE$2,0)),INDEX('G-6 Hedgerow Data'!$K$3:$Q$14,MATCH(M167,'G-6 Hedgerow Data'!$B$3:$B$14,0),MATCH(O167,'G-6 Hedgerow Data'!$K$2:$Q$2,0)))),"")</f>
        <v/>
      </c>
      <c r="Y167" s="133"/>
      <c r="Z167" s="133"/>
      <c r="AA167" s="283" t="str">
        <f t="shared" si="16"/>
        <v/>
      </c>
      <c r="AB167" s="296" t="str">
        <f t="shared" si="17"/>
        <v/>
      </c>
      <c r="AC167" s="297" t="str">
        <f t="shared" si="14"/>
        <v/>
      </c>
      <c r="AD167" s="311" t="str">
        <f>IF(M167="","",VLOOKUP(M167,'G-6 Hedgerow Data'!$B$3:$AG$15,31,FALSE))</f>
        <v/>
      </c>
      <c r="AE167" s="283" t="str">
        <f t="shared" si="18"/>
        <v/>
      </c>
      <c r="AF167" s="283" t="str">
        <f t="shared" si="19"/>
        <v/>
      </c>
      <c r="AG167" s="299" t="str">
        <f>IFERROR(IF(O167="","",VLOOKUP(AD167,'G-3 Multipliers'!$P$3:$Q$6,2,FALSE)),"")</f>
        <v/>
      </c>
      <c r="AH167" s="289" t="str">
        <f t="shared" si="20"/>
        <v/>
      </c>
      <c r="AI167" s="108"/>
      <c r="AJ167" s="115"/>
      <c r="AK167" s="104"/>
      <c r="AT167" s="30" t="str">
        <f>IFERROR(INDEX('G-6 Hedgerow Data'!$BJ$3:$BJ$15,MATCH(M167,'G-6 Hedgerow Data'!$B$3:$B$15,0)),"")</f>
        <v/>
      </c>
    </row>
    <row r="168" spans="2:46" ht="14">
      <c r="B168" s="305" t="str">
        <f>'B-1 On-Site Hedge Baseline'!AK166</f>
        <v/>
      </c>
      <c r="C168" s="295" t="str">
        <f>IF(B168="","",IF(ISNA(VLOOKUP($B168,'B-1 On-Site Hedge Baseline'!$B$1:$L$257,3,FALSE)),"",(VLOOKUP($B168,'B-1 On-Site Hedge Baseline'!$B$1:$L$257,3,FALSE))))</f>
        <v/>
      </c>
      <c r="D168" s="295" t="str">
        <f>IF(B168="","",IF(ISNA(VLOOKUP($B168,'B-1 On-Site Hedge Baseline'!$B$1:$L$257,4,FALSE)),"",(VLOOKUP($B168,'B-1 On-Site Hedge Baseline'!$B$1:$L$257,4,FALSE))))</f>
        <v/>
      </c>
      <c r="E168" s="295" t="str">
        <f>IF(B168="","",IF(ISNA(VLOOKUP($B168,'B-1 On-Site Hedge Baseline'!$B$1:$L$257,5,FALSE)),"",(VLOOKUP($B168,'B-1 On-Site Hedge Baseline'!$B$1:$L$257,5,FALSE))))</f>
        <v/>
      </c>
      <c r="F168" s="295" t="str">
        <f>IF(B168="","",IF(ISNA(VLOOKUP($B168,'B-1 On-Site Hedge Baseline'!$B$1:$L$257,6,FALSE)),"",(VLOOKUP($B168,'B-1 On-Site Hedge Baseline'!$B$1:$L$257,6,FALSE))))</f>
        <v/>
      </c>
      <c r="G168" s="295" t="str">
        <f>IF(B168="","",IF(ISNA(VLOOKUP($B168,'B-1 On-Site Hedge Baseline'!$B$1:$L$257,7,FALSE)),"",(VLOOKUP($B168,'B-1 On-Site Hedge Baseline'!$B$1:$L$257,7,FALSE))))</f>
        <v/>
      </c>
      <c r="H168" s="295" t="str">
        <f>IF(B168="","",IF(ISNA(VLOOKUP($B168,'B-1 On-Site Hedge Baseline'!$B$1:$L$257,8,FALSE)),"",(VLOOKUP($B168,'B-1 On-Site Hedge Baseline'!$B$1:$L$257,8,FALSE))))</f>
        <v/>
      </c>
      <c r="I168" s="295" t="str">
        <f>IF(B168="","",IF(ISNA(VLOOKUP($B168,'B-1 On-Site Hedge Baseline'!$B$1:$L$257,10,FALSE)),"",(VLOOKUP($B168,'B-1 On-Site Hedge Baseline'!$B$1:$L$257,10,FALSE))))</f>
        <v/>
      </c>
      <c r="J168" s="295" t="str">
        <f>IF(B168="","",IF(ISNA(VLOOKUP($B168,'B-1 On-Site Hedge Baseline'!$B$1:$L$257,11,FALSE)),"",(VLOOKUP($B168,'B-1 On-Site Hedge Baseline'!$B$1:$L$257,11,FALSE))))</f>
        <v/>
      </c>
      <c r="K168" s="295" t="str">
        <f>IF(B168="","",IF(ISNA(VLOOKUP($B168,'B-1 On-Site Hedge Baseline'!$B$1:$U$257,13,FALSE)),"",(VLOOKUP($B168,'B-1 On-Site Hedge Baseline'!$B$1:$U$257,13,FALSE))))</f>
        <v/>
      </c>
      <c r="L168" s="299" t="str">
        <f>IF(B168="","",IF(ISNA(VLOOKUP($B168,'B-1 On-Site Hedge Baseline'!$B$1:$U$257,12,FALSE)),"",(VLOOKUP($B168,'B-1 On-Site Hedge Baseline'!$B$1:$U$257,12,FALSE))))</f>
        <v/>
      </c>
      <c r="M168" s="611"/>
      <c r="N168" s="275" t="str">
        <f>IFERROR(IF(B168="","",INDEX('G-6 Hedgerow Data'!$AN$3:$AZ$15,MATCH(C168,'G-6 Hedgerow Data'!$AM$3:$AM$15,0),MATCH(M168,'G-6 Hedgerow Data'!$AN$2:$AZ$2,0))),"")</f>
        <v/>
      </c>
      <c r="O168" s="276" t="str">
        <f t="shared" si="15"/>
        <v/>
      </c>
      <c r="P168" s="329" t="str">
        <f>IF(B168="","",VLOOKUP(B168,'B-1 On-Site Hedge Baseline'!$B$10:T413,16,FALSE))</f>
        <v/>
      </c>
      <c r="Q168" s="275" t="str">
        <f>IF(M168="","",VLOOKUP(M168,'G-6 Hedgerow Data'!$B$2:$AG$15,2,FALSE))</f>
        <v/>
      </c>
      <c r="R168" s="276" t="str">
        <f>IF(M168="","",VLOOKUP(M168,'G-6 Hedgerow Data'!$B$2:$AG$15,3,FALSE))</f>
        <v/>
      </c>
      <c r="S168" s="108"/>
      <c r="T168" s="314" t="str">
        <f>IFERROR(IF(S168="","",IF(AND(M168="Non-native and ornamental hedgerow",S168&lt;&gt;"Poor"),"Not possible ▲",(VLOOKUP(S168,'G-1 All Habitats'!$Z$2:$AA$9,2,FALSE)))),"")</f>
        <v/>
      </c>
      <c r="U168" s="105"/>
      <c r="V168" s="295" t="str">
        <f>IF(U168="","",IF(VLOOKUP(U168,'G-3 Multipliers'!$L$3:$N$6,2,FALSE)=0,"Spatial Data Missing ⚠",VLOOKUP(U168,'G-3 Multipliers'!$L$3:$N$6,2,FALSE)))</f>
        <v/>
      </c>
      <c r="W168" s="299" t="str">
        <f>IF(U168="","",IF(VLOOKUP(U168,'G-3 Multipliers'!$L$3:$N$6,3,FALSE)=0,"Spatial Data Missing ⚠",VLOOKUP(U168,'G-3 Multipliers'!$L$3:$N$6,3,FALSE)))</f>
        <v/>
      </c>
      <c r="X168" s="275" t="str">
        <f>IFERROR(IF(OR(LEFT(O168,5)="Error",LEFT(N168,5)="Error",T168="Error"),"Check Data ⚠",IF(F168&lt;R168,INDEX('G-6 Hedgerow Data'!$S$3:$AE$14,MATCH(C168,'G-6 Hedgerow Data'!$B$3:$B$14,0),MATCH(M168,'G-6 Hedgerow Data'!$S$2:$AE$2,0)),INDEX('G-6 Hedgerow Data'!$K$3:$Q$14,MATCH(M168,'G-6 Hedgerow Data'!$B$3:$B$14,0),MATCH(O168,'G-6 Hedgerow Data'!$K$2:$Q$2,0)))),"")</f>
        <v/>
      </c>
      <c r="Y168" s="133"/>
      <c r="Z168" s="133"/>
      <c r="AA168" s="283" t="str">
        <f t="shared" si="16"/>
        <v/>
      </c>
      <c r="AB168" s="296" t="str">
        <f t="shared" si="17"/>
        <v/>
      </c>
      <c r="AC168" s="297" t="str">
        <f t="shared" si="14"/>
        <v/>
      </c>
      <c r="AD168" s="311" t="str">
        <f>IF(M168="","",VLOOKUP(M168,'G-6 Hedgerow Data'!$B$3:$AG$15,31,FALSE))</f>
        <v/>
      </c>
      <c r="AE168" s="283" t="str">
        <f t="shared" si="18"/>
        <v/>
      </c>
      <c r="AF168" s="283" t="str">
        <f t="shared" si="19"/>
        <v/>
      </c>
      <c r="AG168" s="299" t="str">
        <f>IFERROR(IF(O168="","",VLOOKUP(AD168,'G-3 Multipliers'!$P$3:$Q$6,2,FALSE)),"")</f>
        <v/>
      </c>
      <c r="AH168" s="289" t="str">
        <f t="shared" si="20"/>
        <v/>
      </c>
      <c r="AI168" s="108"/>
      <c r="AJ168" s="115"/>
      <c r="AK168" s="104"/>
      <c r="AT168" s="30" t="str">
        <f>IFERROR(INDEX('G-6 Hedgerow Data'!$BJ$3:$BJ$15,MATCH(M168,'G-6 Hedgerow Data'!$B$3:$B$15,0)),"")</f>
        <v/>
      </c>
    </row>
    <row r="169" spans="2:46" ht="14">
      <c r="B169" s="305" t="str">
        <f>'B-1 On-Site Hedge Baseline'!AK167</f>
        <v/>
      </c>
      <c r="C169" s="295" t="str">
        <f>IF(B169="","",IF(ISNA(VLOOKUP($B169,'B-1 On-Site Hedge Baseline'!$B$1:$L$257,3,FALSE)),"",(VLOOKUP($B169,'B-1 On-Site Hedge Baseline'!$B$1:$L$257,3,FALSE))))</f>
        <v/>
      </c>
      <c r="D169" s="295" t="str">
        <f>IF(B169="","",IF(ISNA(VLOOKUP($B169,'B-1 On-Site Hedge Baseline'!$B$1:$L$257,4,FALSE)),"",(VLOOKUP($B169,'B-1 On-Site Hedge Baseline'!$B$1:$L$257,4,FALSE))))</f>
        <v/>
      </c>
      <c r="E169" s="295" t="str">
        <f>IF(B169="","",IF(ISNA(VLOOKUP($B169,'B-1 On-Site Hedge Baseline'!$B$1:$L$257,5,FALSE)),"",(VLOOKUP($B169,'B-1 On-Site Hedge Baseline'!$B$1:$L$257,5,FALSE))))</f>
        <v/>
      </c>
      <c r="F169" s="295" t="str">
        <f>IF(B169="","",IF(ISNA(VLOOKUP($B169,'B-1 On-Site Hedge Baseline'!$B$1:$L$257,6,FALSE)),"",(VLOOKUP($B169,'B-1 On-Site Hedge Baseline'!$B$1:$L$257,6,FALSE))))</f>
        <v/>
      </c>
      <c r="G169" s="295" t="str">
        <f>IF(B169="","",IF(ISNA(VLOOKUP($B169,'B-1 On-Site Hedge Baseline'!$B$1:$L$257,7,FALSE)),"",(VLOOKUP($B169,'B-1 On-Site Hedge Baseline'!$B$1:$L$257,7,FALSE))))</f>
        <v/>
      </c>
      <c r="H169" s="295" t="str">
        <f>IF(B169="","",IF(ISNA(VLOOKUP($B169,'B-1 On-Site Hedge Baseline'!$B$1:$L$257,8,FALSE)),"",(VLOOKUP($B169,'B-1 On-Site Hedge Baseline'!$B$1:$L$257,8,FALSE))))</f>
        <v/>
      </c>
      <c r="I169" s="295" t="str">
        <f>IF(B169="","",IF(ISNA(VLOOKUP($B169,'B-1 On-Site Hedge Baseline'!$B$1:$L$257,10,FALSE)),"",(VLOOKUP($B169,'B-1 On-Site Hedge Baseline'!$B$1:$L$257,10,FALSE))))</f>
        <v/>
      </c>
      <c r="J169" s="295" t="str">
        <f>IF(B169="","",IF(ISNA(VLOOKUP($B169,'B-1 On-Site Hedge Baseline'!$B$1:$L$257,11,FALSE)),"",(VLOOKUP($B169,'B-1 On-Site Hedge Baseline'!$B$1:$L$257,11,FALSE))))</f>
        <v/>
      </c>
      <c r="K169" s="295" t="str">
        <f>IF(B169="","",IF(ISNA(VLOOKUP($B169,'B-1 On-Site Hedge Baseline'!$B$1:$U$257,13,FALSE)),"",(VLOOKUP($B169,'B-1 On-Site Hedge Baseline'!$B$1:$U$257,13,FALSE))))</f>
        <v/>
      </c>
      <c r="L169" s="299" t="str">
        <f>IF(B169="","",IF(ISNA(VLOOKUP($B169,'B-1 On-Site Hedge Baseline'!$B$1:$U$257,12,FALSE)),"",(VLOOKUP($B169,'B-1 On-Site Hedge Baseline'!$B$1:$U$257,12,FALSE))))</f>
        <v/>
      </c>
      <c r="M169" s="611"/>
      <c r="N169" s="275" t="str">
        <f>IFERROR(IF(B169="","",INDEX('G-6 Hedgerow Data'!$AN$3:$AZ$15,MATCH(C169,'G-6 Hedgerow Data'!$AM$3:$AM$15,0),MATCH(M169,'G-6 Hedgerow Data'!$AN$2:$AZ$2,0))),"")</f>
        <v/>
      </c>
      <c r="O169" s="276" t="str">
        <f t="shared" si="15"/>
        <v/>
      </c>
      <c r="P169" s="329" t="str">
        <f>IF(B169="","",VLOOKUP(B169,'B-1 On-Site Hedge Baseline'!$B$10:T414,16,FALSE))</f>
        <v/>
      </c>
      <c r="Q169" s="275" t="str">
        <f>IF(M169="","",VLOOKUP(M169,'G-6 Hedgerow Data'!$B$2:$AG$15,2,FALSE))</f>
        <v/>
      </c>
      <c r="R169" s="276" t="str">
        <f>IF(M169="","",VLOOKUP(M169,'G-6 Hedgerow Data'!$B$2:$AG$15,3,FALSE))</f>
        <v/>
      </c>
      <c r="S169" s="108"/>
      <c r="T169" s="314" t="str">
        <f>IFERROR(IF(S169="","",IF(AND(M169="Non-native and ornamental hedgerow",S169&lt;&gt;"Poor"),"Not possible ▲",(VLOOKUP(S169,'G-1 All Habitats'!$Z$2:$AA$9,2,FALSE)))),"")</f>
        <v/>
      </c>
      <c r="U169" s="105"/>
      <c r="V169" s="295" t="str">
        <f>IF(U169="","",IF(VLOOKUP(U169,'G-3 Multipliers'!$L$3:$N$6,2,FALSE)=0,"Spatial Data Missing ⚠",VLOOKUP(U169,'G-3 Multipliers'!$L$3:$N$6,2,FALSE)))</f>
        <v/>
      </c>
      <c r="W169" s="299" t="str">
        <f>IF(U169="","",IF(VLOOKUP(U169,'G-3 Multipliers'!$L$3:$N$6,3,FALSE)=0,"Spatial Data Missing ⚠",VLOOKUP(U169,'G-3 Multipliers'!$L$3:$N$6,3,FALSE)))</f>
        <v/>
      </c>
      <c r="X169" s="275" t="str">
        <f>IFERROR(IF(OR(LEFT(O169,5)="Error",LEFT(N169,5)="Error",T169="Error"),"Check Data ⚠",IF(F169&lt;R169,INDEX('G-6 Hedgerow Data'!$S$3:$AE$14,MATCH(C169,'G-6 Hedgerow Data'!$B$3:$B$14,0),MATCH(M169,'G-6 Hedgerow Data'!$S$2:$AE$2,0)),INDEX('G-6 Hedgerow Data'!$K$3:$Q$14,MATCH(M169,'G-6 Hedgerow Data'!$B$3:$B$14,0),MATCH(O169,'G-6 Hedgerow Data'!$K$2:$Q$2,0)))),"")</f>
        <v/>
      </c>
      <c r="Y169" s="133"/>
      <c r="Z169" s="133"/>
      <c r="AA169" s="283" t="str">
        <f t="shared" si="16"/>
        <v/>
      </c>
      <c r="AB169" s="296" t="str">
        <f t="shared" si="17"/>
        <v/>
      </c>
      <c r="AC169" s="297" t="str">
        <f t="shared" si="14"/>
        <v/>
      </c>
      <c r="AD169" s="311" t="str">
        <f>IF(M169="","",VLOOKUP(M169,'G-6 Hedgerow Data'!$B$3:$AG$15,31,FALSE))</f>
        <v/>
      </c>
      <c r="AE169" s="283" t="str">
        <f t="shared" si="18"/>
        <v/>
      </c>
      <c r="AF169" s="283" t="str">
        <f t="shared" si="19"/>
        <v/>
      </c>
      <c r="AG169" s="299" t="str">
        <f>IFERROR(IF(O169="","",VLOOKUP(AD169,'G-3 Multipliers'!$P$3:$Q$6,2,FALSE)),"")</f>
        <v/>
      </c>
      <c r="AH169" s="289" t="str">
        <f t="shared" si="20"/>
        <v/>
      </c>
      <c r="AI169" s="108"/>
      <c r="AJ169" s="115"/>
      <c r="AK169" s="104"/>
      <c r="AT169" s="30" t="str">
        <f>IFERROR(INDEX('G-6 Hedgerow Data'!$BJ$3:$BJ$15,MATCH(M169,'G-6 Hedgerow Data'!$B$3:$B$15,0)),"")</f>
        <v/>
      </c>
    </row>
    <row r="170" spans="2:46" ht="14">
      <c r="B170" s="305" t="str">
        <f>'B-1 On-Site Hedge Baseline'!AK168</f>
        <v/>
      </c>
      <c r="C170" s="295" t="str">
        <f>IF(B170="","",IF(ISNA(VLOOKUP($B170,'B-1 On-Site Hedge Baseline'!$B$1:$L$257,3,FALSE)),"",(VLOOKUP($B170,'B-1 On-Site Hedge Baseline'!$B$1:$L$257,3,FALSE))))</f>
        <v/>
      </c>
      <c r="D170" s="295" t="str">
        <f>IF(B170="","",IF(ISNA(VLOOKUP($B170,'B-1 On-Site Hedge Baseline'!$B$1:$L$257,4,FALSE)),"",(VLOOKUP($B170,'B-1 On-Site Hedge Baseline'!$B$1:$L$257,4,FALSE))))</f>
        <v/>
      </c>
      <c r="E170" s="295" t="str">
        <f>IF(B170="","",IF(ISNA(VLOOKUP($B170,'B-1 On-Site Hedge Baseline'!$B$1:$L$257,5,FALSE)),"",(VLOOKUP($B170,'B-1 On-Site Hedge Baseline'!$B$1:$L$257,5,FALSE))))</f>
        <v/>
      </c>
      <c r="F170" s="295" t="str">
        <f>IF(B170="","",IF(ISNA(VLOOKUP($B170,'B-1 On-Site Hedge Baseline'!$B$1:$L$257,6,FALSE)),"",(VLOOKUP($B170,'B-1 On-Site Hedge Baseline'!$B$1:$L$257,6,FALSE))))</f>
        <v/>
      </c>
      <c r="G170" s="295" t="str">
        <f>IF(B170="","",IF(ISNA(VLOOKUP($B170,'B-1 On-Site Hedge Baseline'!$B$1:$L$257,7,FALSE)),"",(VLOOKUP($B170,'B-1 On-Site Hedge Baseline'!$B$1:$L$257,7,FALSE))))</f>
        <v/>
      </c>
      <c r="H170" s="295" t="str">
        <f>IF(B170="","",IF(ISNA(VLOOKUP($B170,'B-1 On-Site Hedge Baseline'!$B$1:$L$257,8,FALSE)),"",(VLOOKUP($B170,'B-1 On-Site Hedge Baseline'!$B$1:$L$257,8,FALSE))))</f>
        <v/>
      </c>
      <c r="I170" s="295" t="str">
        <f>IF(B170="","",IF(ISNA(VLOOKUP($B170,'B-1 On-Site Hedge Baseline'!$B$1:$L$257,10,FALSE)),"",(VLOOKUP($B170,'B-1 On-Site Hedge Baseline'!$B$1:$L$257,10,FALSE))))</f>
        <v/>
      </c>
      <c r="J170" s="295" t="str">
        <f>IF(B170="","",IF(ISNA(VLOOKUP($B170,'B-1 On-Site Hedge Baseline'!$B$1:$L$257,11,FALSE)),"",(VLOOKUP($B170,'B-1 On-Site Hedge Baseline'!$B$1:$L$257,11,FALSE))))</f>
        <v/>
      </c>
      <c r="K170" s="295" t="str">
        <f>IF(B170="","",IF(ISNA(VLOOKUP($B170,'B-1 On-Site Hedge Baseline'!$B$1:$U$257,13,FALSE)),"",(VLOOKUP($B170,'B-1 On-Site Hedge Baseline'!$B$1:$U$257,13,FALSE))))</f>
        <v/>
      </c>
      <c r="L170" s="299" t="str">
        <f>IF(B170="","",IF(ISNA(VLOOKUP($B170,'B-1 On-Site Hedge Baseline'!$B$1:$U$257,12,FALSE)),"",(VLOOKUP($B170,'B-1 On-Site Hedge Baseline'!$B$1:$U$257,12,FALSE))))</f>
        <v/>
      </c>
      <c r="M170" s="611"/>
      <c r="N170" s="275" t="str">
        <f>IFERROR(IF(B170="","",INDEX('G-6 Hedgerow Data'!$AN$3:$AZ$15,MATCH(C170,'G-6 Hedgerow Data'!$AM$3:$AM$15,0),MATCH(M170,'G-6 Hedgerow Data'!$AN$2:$AZ$2,0))),"")</f>
        <v/>
      </c>
      <c r="O170" s="276" t="str">
        <f t="shared" si="15"/>
        <v/>
      </c>
      <c r="P170" s="329" t="str">
        <f>IF(B170="","",VLOOKUP(B170,'B-1 On-Site Hedge Baseline'!$B$10:T415,16,FALSE))</f>
        <v/>
      </c>
      <c r="Q170" s="275" t="str">
        <f>IF(M170="","",VLOOKUP(M170,'G-6 Hedgerow Data'!$B$2:$AG$15,2,FALSE))</f>
        <v/>
      </c>
      <c r="R170" s="276" t="str">
        <f>IF(M170="","",VLOOKUP(M170,'G-6 Hedgerow Data'!$B$2:$AG$15,3,FALSE))</f>
        <v/>
      </c>
      <c r="S170" s="108"/>
      <c r="T170" s="314" t="str">
        <f>IFERROR(IF(S170="","",IF(AND(M170="Non-native and ornamental hedgerow",S170&lt;&gt;"Poor"),"Not possible ▲",(VLOOKUP(S170,'G-1 All Habitats'!$Z$2:$AA$9,2,FALSE)))),"")</f>
        <v/>
      </c>
      <c r="U170" s="105"/>
      <c r="V170" s="295" t="str">
        <f>IF(U170="","",IF(VLOOKUP(U170,'G-3 Multipliers'!$L$3:$N$6,2,FALSE)=0,"Spatial Data Missing ⚠",VLOOKUP(U170,'G-3 Multipliers'!$L$3:$N$6,2,FALSE)))</f>
        <v/>
      </c>
      <c r="W170" s="299" t="str">
        <f>IF(U170="","",IF(VLOOKUP(U170,'G-3 Multipliers'!$L$3:$N$6,3,FALSE)=0,"Spatial Data Missing ⚠",VLOOKUP(U170,'G-3 Multipliers'!$L$3:$N$6,3,FALSE)))</f>
        <v/>
      </c>
      <c r="X170" s="275" t="str">
        <f>IFERROR(IF(OR(LEFT(O170,5)="Error",LEFT(N170,5)="Error",T170="Error"),"Check Data ⚠",IF(F170&lt;R170,INDEX('G-6 Hedgerow Data'!$S$3:$AE$14,MATCH(C170,'G-6 Hedgerow Data'!$B$3:$B$14,0),MATCH(M170,'G-6 Hedgerow Data'!$S$2:$AE$2,0)),INDEX('G-6 Hedgerow Data'!$K$3:$Q$14,MATCH(M170,'G-6 Hedgerow Data'!$B$3:$B$14,0),MATCH(O170,'G-6 Hedgerow Data'!$K$2:$Q$2,0)))),"")</f>
        <v/>
      </c>
      <c r="Y170" s="133"/>
      <c r="Z170" s="133"/>
      <c r="AA170" s="283" t="str">
        <f t="shared" si="16"/>
        <v/>
      </c>
      <c r="AB170" s="296" t="str">
        <f t="shared" si="17"/>
        <v/>
      </c>
      <c r="AC170" s="297" t="str">
        <f t="shared" si="14"/>
        <v/>
      </c>
      <c r="AD170" s="311" t="str">
        <f>IF(M170="","",VLOOKUP(M170,'G-6 Hedgerow Data'!$B$3:$AG$15,31,FALSE))</f>
        <v/>
      </c>
      <c r="AE170" s="283" t="str">
        <f t="shared" si="18"/>
        <v/>
      </c>
      <c r="AF170" s="283" t="str">
        <f t="shared" si="19"/>
        <v/>
      </c>
      <c r="AG170" s="299" t="str">
        <f>IFERROR(IF(O170="","",VLOOKUP(AD170,'G-3 Multipliers'!$P$3:$Q$6,2,FALSE)),"")</f>
        <v/>
      </c>
      <c r="AH170" s="289" t="str">
        <f t="shared" si="20"/>
        <v/>
      </c>
      <c r="AI170" s="108"/>
      <c r="AJ170" s="115"/>
      <c r="AK170" s="104"/>
      <c r="AT170" s="30" t="str">
        <f>IFERROR(INDEX('G-6 Hedgerow Data'!$BJ$3:$BJ$15,MATCH(M170,'G-6 Hedgerow Data'!$B$3:$B$15,0)),"")</f>
        <v/>
      </c>
    </row>
    <row r="171" spans="2:46" ht="14">
      <c r="B171" s="305" t="str">
        <f>'B-1 On-Site Hedge Baseline'!AK169</f>
        <v/>
      </c>
      <c r="C171" s="295" t="str">
        <f>IF(B171="","",IF(ISNA(VLOOKUP($B171,'B-1 On-Site Hedge Baseline'!$B$1:$L$257,3,FALSE)),"",(VLOOKUP($B171,'B-1 On-Site Hedge Baseline'!$B$1:$L$257,3,FALSE))))</f>
        <v/>
      </c>
      <c r="D171" s="295" t="str">
        <f>IF(B171="","",IF(ISNA(VLOOKUP($B171,'B-1 On-Site Hedge Baseline'!$B$1:$L$257,4,FALSE)),"",(VLOOKUP($B171,'B-1 On-Site Hedge Baseline'!$B$1:$L$257,4,FALSE))))</f>
        <v/>
      </c>
      <c r="E171" s="295" t="str">
        <f>IF(B171="","",IF(ISNA(VLOOKUP($B171,'B-1 On-Site Hedge Baseline'!$B$1:$L$257,5,FALSE)),"",(VLOOKUP($B171,'B-1 On-Site Hedge Baseline'!$B$1:$L$257,5,FALSE))))</f>
        <v/>
      </c>
      <c r="F171" s="295" t="str">
        <f>IF(B171="","",IF(ISNA(VLOOKUP($B171,'B-1 On-Site Hedge Baseline'!$B$1:$L$257,6,FALSE)),"",(VLOOKUP($B171,'B-1 On-Site Hedge Baseline'!$B$1:$L$257,6,FALSE))))</f>
        <v/>
      </c>
      <c r="G171" s="295" t="str">
        <f>IF(B171="","",IF(ISNA(VLOOKUP($B171,'B-1 On-Site Hedge Baseline'!$B$1:$L$257,7,FALSE)),"",(VLOOKUP($B171,'B-1 On-Site Hedge Baseline'!$B$1:$L$257,7,FALSE))))</f>
        <v/>
      </c>
      <c r="H171" s="295" t="str">
        <f>IF(B171="","",IF(ISNA(VLOOKUP($B171,'B-1 On-Site Hedge Baseline'!$B$1:$L$257,8,FALSE)),"",(VLOOKUP($B171,'B-1 On-Site Hedge Baseline'!$B$1:$L$257,8,FALSE))))</f>
        <v/>
      </c>
      <c r="I171" s="295" t="str">
        <f>IF(B171="","",IF(ISNA(VLOOKUP($B171,'B-1 On-Site Hedge Baseline'!$B$1:$L$257,10,FALSE)),"",(VLOOKUP($B171,'B-1 On-Site Hedge Baseline'!$B$1:$L$257,10,FALSE))))</f>
        <v/>
      </c>
      <c r="J171" s="295" t="str">
        <f>IF(B171="","",IF(ISNA(VLOOKUP($B171,'B-1 On-Site Hedge Baseline'!$B$1:$L$257,11,FALSE)),"",(VLOOKUP($B171,'B-1 On-Site Hedge Baseline'!$B$1:$L$257,11,FALSE))))</f>
        <v/>
      </c>
      <c r="K171" s="295" t="str">
        <f>IF(B171="","",IF(ISNA(VLOOKUP($B171,'B-1 On-Site Hedge Baseline'!$B$1:$U$257,13,FALSE)),"",(VLOOKUP($B171,'B-1 On-Site Hedge Baseline'!$B$1:$U$257,13,FALSE))))</f>
        <v/>
      </c>
      <c r="L171" s="299" t="str">
        <f>IF(B171="","",IF(ISNA(VLOOKUP($B171,'B-1 On-Site Hedge Baseline'!$B$1:$U$257,12,FALSE)),"",(VLOOKUP($B171,'B-1 On-Site Hedge Baseline'!$B$1:$U$257,12,FALSE))))</f>
        <v/>
      </c>
      <c r="M171" s="611"/>
      <c r="N171" s="275" t="str">
        <f>IFERROR(IF(B171="","",INDEX('G-6 Hedgerow Data'!$AN$3:$AZ$15,MATCH(C171,'G-6 Hedgerow Data'!$AM$3:$AM$15,0),MATCH(M171,'G-6 Hedgerow Data'!$AN$2:$AZ$2,0))),"")</f>
        <v/>
      </c>
      <c r="O171" s="276" t="str">
        <f t="shared" si="15"/>
        <v/>
      </c>
      <c r="P171" s="329" t="str">
        <f>IF(B171="","",VLOOKUP(B171,'B-1 On-Site Hedge Baseline'!$B$10:T416,16,FALSE))</f>
        <v/>
      </c>
      <c r="Q171" s="275" t="str">
        <f>IF(M171="","",VLOOKUP(M171,'G-6 Hedgerow Data'!$B$2:$AG$15,2,FALSE))</f>
        <v/>
      </c>
      <c r="R171" s="276" t="str">
        <f>IF(M171="","",VLOOKUP(M171,'G-6 Hedgerow Data'!$B$2:$AG$15,3,FALSE))</f>
        <v/>
      </c>
      <c r="S171" s="108"/>
      <c r="T171" s="314" t="str">
        <f>IFERROR(IF(S171="","",IF(AND(M171="Non-native and ornamental hedgerow",S171&lt;&gt;"Poor"),"Not possible ▲",(VLOOKUP(S171,'G-1 All Habitats'!$Z$2:$AA$9,2,FALSE)))),"")</f>
        <v/>
      </c>
      <c r="U171" s="105"/>
      <c r="V171" s="295" t="str">
        <f>IF(U171="","",IF(VLOOKUP(U171,'G-3 Multipliers'!$L$3:$N$6,2,FALSE)=0,"Spatial Data Missing ⚠",VLOOKUP(U171,'G-3 Multipliers'!$L$3:$N$6,2,FALSE)))</f>
        <v/>
      </c>
      <c r="W171" s="299" t="str">
        <f>IF(U171="","",IF(VLOOKUP(U171,'G-3 Multipliers'!$L$3:$N$6,3,FALSE)=0,"Spatial Data Missing ⚠",VLOOKUP(U171,'G-3 Multipliers'!$L$3:$N$6,3,FALSE)))</f>
        <v/>
      </c>
      <c r="X171" s="275" t="str">
        <f>IFERROR(IF(OR(LEFT(O171,5)="Error",LEFT(N171,5)="Error",T171="Error"),"Check Data ⚠",IF(F171&lt;R171,INDEX('G-6 Hedgerow Data'!$S$3:$AE$14,MATCH(C171,'G-6 Hedgerow Data'!$B$3:$B$14,0),MATCH(M171,'G-6 Hedgerow Data'!$S$2:$AE$2,0)),INDEX('G-6 Hedgerow Data'!$K$3:$Q$14,MATCH(M171,'G-6 Hedgerow Data'!$B$3:$B$14,0),MATCH(O171,'G-6 Hedgerow Data'!$K$2:$Q$2,0)))),"")</f>
        <v/>
      </c>
      <c r="Y171" s="133"/>
      <c r="Z171" s="133"/>
      <c r="AA171" s="283" t="str">
        <f t="shared" si="16"/>
        <v/>
      </c>
      <c r="AB171" s="296" t="str">
        <f t="shared" si="17"/>
        <v/>
      </c>
      <c r="AC171" s="297" t="str">
        <f t="shared" si="14"/>
        <v/>
      </c>
      <c r="AD171" s="311" t="str">
        <f>IF(M171="","",VLOOKUP(M171,'G-6 Hedgerow Data'!$B$3:$AG$15,31,FALSE))</f>
        <v/>
      </c>
      <c r="AE171" s="283" t="str">
        <f t="shared" si="18"/>
        <v/>
      </c>
      <c r="AF171" s="283" t="str">
        <f t="shared" si="19"/>
        <v/>
      </c>
      <c r="AG171" s="299" t="str">
        <f>IFERROR(IF(O171="","",VLOOKUP(AD171,'G-3 Multipliers'!$P$3:$Q$6,2,FALSE)),"")</f>
        <v/>
      </c>
      <c r="AH171" s="289" t="str">
        <f t="shared" si="20"/>
        <v/>
      </c>
      <c r="AI171" s="108"/>
      <c r="AJ171" s="115"/>
      <c r="AK171" s="104"/>
      <c r="AT171" s="30" t="str">
        <f>IFERROR(INDEX('G-6 Hedgerow Data'!$BJ$3:$BJ$15,MATCH(M171,'G-6 Hedgerow Data'!$B$3:$B$15,0)),"")</f>
        <v/>
      </c>
    </row>
    <row r="172" spans="2:46" ht="14">
      <c r="B172" s="305" t="str">
        <f>'B-1 On-Site Hedge Baseline'!AK170</f>
        <v/>
      </c>
      <c r="C172" s="295" t="str">
        <f>IF(B172="","",IF(ISNA(VLOOKUP($B172,'B-1 On-Site Hedge Baseline'!$B$1:$L$257,3,FALSE)),"",(VLOOKUP($B172,'B-1 On-Site Hedge Baseline'!$B$1:$L$257,3,FALSE))))</f>
        <v/>
      </c>
      <c r="D172" s="295" t="str">
        <f>IF(B172="","",IF(ISNA(VLOOKUP($B172,'B-1 On-Site Hedge Baseline'!$B$1:$L$257,4,FALSE)),"",(VLOOKUP($B172,'B-1 On-Site Hedge Baseline'!$B$1:$L$257,4,FALSE))))</f>
        <v/>
      </c>
      <c r="E172" s="295" t="str">
        <f>IF(B172="","",IF(ISNA(VLOOKUP($B172,'B-1 On-Site Hedge Baseline'!$B$1:$L$257,5,FALSE)),"",(VLOOKUP($B172,'B-1 On-Site Hedge Baseline'!$B$1:$L$257,5,FALSE))))</f>
        <v/>
      </c>
      <c r="F172" s="295" t="str">
        <f>IF(B172="","",IF(ISNA(VLOOKUP($B172,'B-1 On-Site Hedge Baseline'!$B$1:$L$257,6,FALSE)),"",(VLOOKUP($B172,'B-1 On-Site Hedge Baseline'!$B$1:$L$257,6,FALSE))))</f>
        <v/>
      </c>
      <c r="G172" s="295" t="str">
        <f>IF(B172="","",IF(ISNA(VLOOKUP($B172,'B-1 On-Site Hedge Baseline'!$B$1:$L$257,7,FALSE)),"",(VLOOKUP($B172,'B-1 On-Site Hedge Baseline'!$B$1:$L$257,7,FALSE))))</f>
        <v/>
      </c>
      <c r="H172" s="295" t="str">
        <f>IF(B172="","",IF(ISNA(VLOOKUP($B172,'B-1 On-Site Hedge Baseline'!$B$1:$L$257,8,FALSE)),"",(VLOOKUP($B172,'B-1 On-Site Hedge Baseline'!$B$1:$L$257,8,FALSE))))</f>
        <v/>
      </c>
      <c r="I172" s="295" t="str">
        <f>IF(B172="","",IF(ISNA(VLOOKUP($B172,'B-1 On-Site Hedge Baseline'!$B$1:$L$257,10,FALSE)),"",(VLOOKUP($B172,'B-1 On-Site Hedge Baseline'!$B$1:$L$257,10,FALSE))))</f>
        <v/>
      </c>
      <c r="J172" s="295" t="str">
        <f>IF(B172="","",IF(ISNA(VLOOKUP($B172,'B-1 On-Site Hedge Baseline'!$B$1:$L$257,11,FALSE)),"",(VLOOKUP($B172,'B-1 On-Site Hedge Baseline'!$B$1:$L$257,11,FALSE))))</f>
        <v/>
      </c>
      <c r="K172" s="295" t="str">
        <f>IF(B172="","",IF(ISNA(VLOOKUP($B172,'B-1 On-Site Hedge Baseline'!$B$1:$U$257,13,FALSE)),"",(VLOOKUP($B172,'B-1 On-Site Hedge Baseline'!$B$1:$U$257,13,FALSE))))</f>
        <v/>
      </c>
      <c r="L172" s="299" t="str">
        <f>IF(B172="","",IF(ISNA(VLOOKUP($B172,'B-1 On-Site Hedge Baseline'!$B$1:$U$257,12,FALSE)),"",(VLOOKUP($B172,'B-1 On-Site Hedge Baseline'!$B$1:$U$257,12,FALSE))))</f>
        <v/>
      </c>
      <c r="M172" s="611"/>
      <c r="N172" s="275" t="str">
        <f>IFERROR(IF(B172="","",INDEX('G-6 Hedgerow Data'!$AN$3:$AZ$15,MATCH(C172,'G-6 Hedgerow Data'!$AM$3:$AM$15,0),MATCH(M172,'G-6 Hedgerow Data'!$AN$2:$AZ$2,0))),"")</f>
        <v/>
      </c>
      <c r="O172" s="276" t="str">
        <f t="shared" si="15"/>
        <v/>
      </c>
      <c r="P172" s="329" t="str">
        <f>IF(B172="","",VLOOKUP(B172,'B-1 On-Site Hedge Baseline'!$B$10:T417,16,FALSE))</f>
        <v/>
      </c>
      <c r="Q172" s="275" t="str">
        <f>IF(M172="","",VLOOKUP(M172,'G-6 Hedgerow Data'!$B$2:$AG$15,2,FALSE))</f>
        <v/>
      </c>
      <c r="R172" s="276" t="str">
        <f>IF(M172="","",VLOOKUP(M172,'G-6 Hedgerow Data'!$B$2:$AG$15,3,FALSE))</f>
        <v/>
      </c>
      <c r="S172" s="108"/>
      <c r="T172" s="314" t="str">
        <f>IFERROR(IF(S172="","",IF(AND(M172="Non-native and ornamental hedgerow",S172&lt;&gt;"Poor"),"Not possible ▲",(VLOOKUP(S172,'G-1 All Habitats'!$Z$2:$AA$9,2,FALSE)))),"")</f>
        <v/>
      </c>
      <c r="U172" s="105"/>
      <c r="V172" s="295" t="str">
        <f>IF(U172="","",IF(VLOOKUP(U172,'G-3 Multipliers'!$L$3:$N$6,2,FALSE)=0,"Spatial Data Missing ⚠",VLOOKUP(U172,'G-3 Multipliers'!$L$3:$N$6,2,FALSE)))</f>
        <v/>
      </c>
      <c r="W172" s="299" t="str">
        <f>IF(U172="","",IF(VLOOKUP(U172,'G-3 Multipliers'!$L$3:$N$6,3,FALSE)=0,"Spatial Data Missing ⚠",VLOOKUP(U172,'G-3 Multipliers'!$L$3:$N$6,3,FALSE)))</f>
        <v/>
      </c>
      <c r="X172" s="275" t="str">
        <f>IFERROR(IF(OR(LEFT(O172,5)="Error",LEFT(N172,5)="Error",T172="Error"),"Check Data ⚠",IF(F172&lt;R172,INDEX('G-6 Hedgerow Data'!$S$3:$AE$14,MATCH(C172,'G-6 Hedgerow Data'!$B$3:$B$14,0),MATCH(M172,'G-6 Hedgerow Data'!$S$2:$AE$2,0)),INDEX('G-6 Hedgerow Data'!$K$3:$Q$14,MATCH(M172,'G-6 Hedgerow Data'!$B$3:$B$14,0),MATCH(O172,'G-6 Hedgerow Data'!$K$2:$Q$2,0)))),"")</f>
        <v/>
      </c>
      <c r="Y172" s="133"/>
      <c r="Z172" s="133"/>
      <c r="AA172" s="283" t="str">
        <f t="shared" si="16"/>
        <v/>
      </c>
      <c r="AB172" s="296" t="str">
        <f t="shared" si="17"/>
        <v/>
      </c>
      <c r="AC172" s="297" t="str">
        <f t="shared" si="14"/>
        <v/>
      </c>
      <c r="AD172" s="311" t="str">
        <f>IF(M172="","",VLOOKUP(M172,'G-6 Hedgerow Data'!$B$3:$AG$15,31,FALSE))</f>
        <v/>
      </c>
      <c r="AE172" s="283" t="str">
        <f t="shared" si="18"/>
        <v/>
      </c>
      <c r="AF172" s="283" t="str">
        <f t="shared" si="19"/>
        <v/>
      </c>
      <c r="AG172" s="299" t="str">
        <f>IFERROR(IF(O172="","",VLOOKUP(AD172,'G-3 Multipliers'!$P$3:$Q$6,2,FALSE)),"")</f>
        <v/>
      </c>
      <c r="AH172" s="289" t="str">
        <f t="shared" si="20"/>
        <v/>
      </c>
      <c r="AI172" s="108"/>
      <c r="AJ172" s="115"/>
      <c r="AK172" s="104"/>
      <c r="AT172" s="30" t="str">
        <f>IFERROR(INDEX('G-6 Hedgerow Data'!$BJ$3:$BJ$15,MATCH(M172,'G-6 Hedgerow Data'!$B$3:$B$15,0)),"")</f>
        <v/>
      </c>
    </row>
    <row r="173" spans="2:46" ht="14">
      <c r="B173" s="305" t="str">
        <f>'B-1 On-Site Hedge Baseline'!AK171</f>
        <v/>
      </c>
      <c r="C173" s="295" t="str">
        <f>IF(B173="","",IF(ISNA(VLOOKUP($B173,'B-1 On-Site Hedge Baseline'!$B$1:$L$257,3,FALSE)),"",(VLOOKUP($B173,'B-1 On-Site Hedge Baseline'!$B$1:$L$257,3,FALSE))))</f>
        <v/>
      </c>
      <c r="D173" s="295" t="str">
        <f>IF(B173="","",IF(ISNA(VLOOKUP($B173,'B-1 On-Site Hedge Baseline'!$B$1:$L$257,4,FALSE)),"",(VLOOKUP($B173,'B-1 On-Site Hedge Baseline'!$B$1:$L$257,4,FALSE))))</f>
        <v/>
      </c>
      <c r="E173" s="295" t="str">
        <f>IF(B173="","",IF(ISNA(VLOOKUP($B173,'B-1 On-Site Hedge Baseline'!$B$1:$L$257,5,FALSE)),"",(VLOOKUP($B173,'B-1 On-Site Hedge Baseline'!$B$1:$L$257,5,FALSE))))</f>
        <v/>
      </c>
      <c r="F173" s="295" t="str">
        <f>IF(B173="","",IF(ISNA(VLOOKUP($B173,'B-1 On-Site Hedge Baseline'!$B$1:$L$257,6,FALSE)),"",(VLOOKUP($B173,'B-1 On-Site Hedge Baseline'!$B$1:$L$257,6,FALSE))))</f>
        <v/>
      </c>
      <c r="G173" s="295" t="str">
        <f>IF(B173="","",IF(ISNA(VLOOKUP($B173,'B-1 On-Site Hedge Baseline'!$B$1:$L$257,7,FALSE)),"",(VLOOKUP($B173,'B-1 On-Site Hedge Baseline'!$B$1:$L$257,7,FALSE))))</f>
        <v/>
      </c>
      <c r="H173" s="295" t="str">
        <f>IF(B173="","",IF(ISNA(VLOOKUP($B173,'B-1 On-Site Hedge Baseline'!$B$1:$L$257,8,FALSE)),"",(VLOOKUP($B173,'B-1 On-Site Hedge Baseline'!$B$1:$L$257,8,FALSE))))</f>
        <v/>
      </c>
      <c r="I173" s="295" t="str">
        <f>IF(B173="","",IF(ISNA(VLOOKUP($B173,'B-1 On-Site Hedge Baseline'!$B$1:$L$257,10,FALSE)),"",(VLOOKUP($B173,'B-1 On-Site Hedge Baseline'!$B$1:$L$257,10,FALSE))))</f>
        <v/>
      </c>
      <c r="J173" s="295" t="str">
        <f>IF(B173="","",IF(ISNA(VLOOKUP($B173,'B-1 On-Site Hedge Baseline'!$B$1:$L$257,11,FALSE)),"",(VLOOKUP($B173,'B-1 On-Site Hedge Baseline'!$B$1:$L$257,11,FALSE))))</f>
        <v/>
      </c>
      <c r="K173" s="295" t="str">
        <f>IF(B173="","",IF(ISNA(VLOOKUP($B173,'B-1 On-Site Hedge Baseline'!$B$1:$U$257,13,FALSE)),"",(VLOOKUP($B173,'B-1 On-Site Hedge Baseline'!$B$1:$U$257,13,FALSE))))</f>
        <v/>
      </c>
      <c r="L173" s="299" t="str">
        <f>IF(B173="","",IF(ISNA(VLOOKUP($B173,'B-1 On-Site Hedge Baseline'!$B$1:$U$257,12,FALSE)),"",(VLOOKUP($B173,'B-1 On-Site Hedge Baseline'!$B$1:$U$257,12,FALSE))))</f>
        <v/>
      </c>
      <c r="M173" s="611"/>
      <c r="N173" s="275" t="str">
        <f>IFERROR(IF(B173="","",INDEX('G-6 Hedgerow Data'!$AN$3:$AZ$15,MATCH(C173,'G-6 Hedgerow Data'!$AM$3:$AM$15,0),MATCH(M173,'G-6 Hedgerow Data'!$AN$2:$AZ$2,0))),"")</f>
        <v/>
      </c>
      <c r="O173" s="276" t="str">
        <f t="shared" si="15"/>
        <v/>
      </c>
      <c r="P173" s="329" t="str">
        <f>IF(B173="","",VLOOKUP(B173,'B-1 On-Site Hedge Baseline'!$B$10:T418,16,FALSE))</f>
        <v/>
      </c>
      <c r="Q173" s="275" t="str">
        <f>IF(M173="","",VLOOKUP(M173,'G-6 Hedgerow Data'!$B$2:$AG$15,2,FALSE))</f>
        <v/>
      </c>
      <c r="R173" s="276" t="str">
        <f>IF(M173="","",VLOOKUP(M173,'G-6 Hedgerow Data'!$B$2:$AG$15,3,FALSE))</f>
        <v/>
      </c>
      <c r="S173" s="108"/>
      <c r="T173" s="314" t="str">
        <f>IFERROR(IF(S173="","",IF(AND(M173="Non-native and ornamental hedgerow",S173&lt;&gt;"Poor"),"Not possible ▲",(VLOOKUP(S173,'G-1 All Habitats'!$Z$2:$AA$9,2,FALSE)))),"")</f>
        <v/>
      </c>
      <c r="U173" s="105"/>
      <c r="V173" s="295" t="str">
        <f>IF(U173="","",IF(VLOOKUP(U173,'G-3 Multipliers'!$L$3:$N$6,2,FALSE)=0,"Spatial Data Missing ⚠",VLOOKUP(U173,'G-3 Multipliers'!$L$3:$N$6,2,FALSE)))</f>
        <v/>
      </c>
      <c r="W173" s="299" t="str">
        <f>IF(U173="","",IF(VLOOKUP(U173,'G-3 Multipliers'!$L$3:$N$6,3,FALSE)=0,"Spatial Data Missing ⚠",VLOOKUP(U173,'G-3 Multipliers'!$L$3:$N$6,3,FALSE)))</f>
        <v/>
      </c>
      <c r="X173" s="275" t="str">
        <f>IFERROR(IF(OR(LEFT(O173,5)="Error",LEFT(N173,5)="Error",T173="Error"),"Check Data ⚠",IF(F173&lt;R173,INDEX('G-6 Hedgerow Data'!$S$3:$AE$14,MATCH(C173,'G-6 Hedgerow Data'!$B$3:$B$14,0),MATCH(M173,'G-6 Hedgerow Data'!$S$2:$AE$2,0)),INDEX('G-6 Hedgerow Data'!$K$3:$Q$14,MATCH(M173,'G-6 Hedgerow Data'!$B$3:$B$14,0),MATCH(O173,'G-6 Hedgerow Data'!$K$2:$Q$2,0)))),"")</f>
        <v/>
      </c>
      <c r="Y173" s="133"/>
      <c r="Z173" s="133"/>
      <c r="AA173" s="283" t="str">
        <f t="shared" si="16"/>
        <v/>
      </c>
      <c r="AB173" s="296" t="str">
        <f t="shared" si="17"/>
        <v/>
      </c>
      <c r="AC173" s="297" t="str">
        <f t="shared" si="14"/>
        <v/>
      </c>
      <c r="AD173" s="311" t="str">
        <f>IF(M173="","",VLOOKUP(M173,'G-6 Hedgerow Data'!$B$3:$AG$15,31,FALSE))</f>
        <v/>
      </c>
      <c r="AE173" s="283" t="str">
        <f t="shared" si="18"/>
        <v/>
      </c>
      <c r="AF173" s="283" t="str">
        <f t="shared" si="19"/>
        <v/>
      </c>
      <c r="AG173" s="299" t="str">
        <f>IFERROR(IF(O173="","",VLOOKUP(AD173,'G-3 Multipliers'!$P$3:$Q$6,2,FALSE)),"")</f>
        <v/>
      </c>
      <c r="AH173" s="289" t="str">
        <f t="shared" si="20"/>
        <v/>
      </c>
      <c r="AI173" s="108"/>
      <c r="AJ173" s="115"/>
      <c r="AK173" s="104"/>
      <c r="AT173" s="30" t="str">
        <f>IFERROR(INDEX('G-6 Hedgerow Data'!$BJ$3:$BJ$15,MATCH(M173,'G-6 Hedgerow Data'!$B$3:$B$15,0)),"")</f>
        <v/>
      </c>
    </row>
    <row r="174" spans="2:46" ht="14">
      <c r="B174" s="305" t="str">
        <f>'B-1 On-Site Hedge Baseline'!AK172</f>
        <v/>
      </c>
      <c r="C174" s="295" t="str">
        <f>IF(B174="","",IF(ISNA(VLOOKUP($B174,'B-1 On-Site Hedge Baseline'!$B$1:$L$257,3,FALSE)),"",(VLOOKUP($B174,'B-1 On-Site Hedge Baseline'!$B$1:$L$257,3,FALSE))))</f>
        <v/>
      </c>
      <c r="D174" s="295" t="str">
        <f>IF(B174="","",IF(ISNA(VLOOKUP($B174,'B-1 On-Site Hedge Baseline'!$B$1:$L$257,4,FALSE)),"",(VLOOKUP($B174,'B-1 On-Site Hedge Baseline'!$B$1:$L$257,4,FALSE))))</f>
        <v/>
      </c>
      <c r="E174" s="295" t="str">
        <f>IF(B174="","",IF(ISNA(VLOOKUP($B174,'B-1 On-Site Hedge Baseline'!$B$1:$L$257,5,FALSE)),"",(VLOOKUP($B174,'B-1 On-Site Hedge Baseline'!$B$1:$L$257,5,FALSE))))</f>
        <v/>
      </c>
      <c r="F174" s="295" t="str">
        <f>IF(B174="","",IF(ISNA(VLOOKUP($B174,'B-1 On-Site Hedge Baseline'!$B$1:$L$257,6,FALSE)),"",(VLOOKUP($B174,'B-1 On-Site Hedge Baseline'!$B$1:$L$257,6,FALSE))))</f>
        <v/>
      </c>
      <c r="G174" s="295" t="str">
        <f>IF(B174="","",IF(ISNA(VLOOKUP($B174,'B-1 On-Site Hedge Baseline'!$B$1:$L$257,7,FALSE)),"",(VLOOKUP($B174,'B-1 On-Site Hedge Baseline'!$B$1:$L$257,7,FALSE))))</f>
        <v/>
      </c>
      <c r="H174" s="295" t="str">
        <f>IF(B174="","",IF(ISNA(VLOOKUP($B174,'B-1 On-Site Hedge Baseline'!$B$1:$L$257,8,FALSE)),"",(VLOOKUP($B174,'B-1 On-Site Hedge Baseline'!$B$1:$L$257,8,FALSE))))</f>
        <v/>
      </c>
      <c r="I174" s="295" t="str">
        <f>IF(B174="","",IF(ISNA(VLOOKUP($B174,'B-1 On-Site Hedge Baseline'!$B$1:$L$257,10,FALSE)),"",(VLOOKUP($B174,'B-1 On-Site Hedge Baseline'!$B$1:$L$257,10,FALSE))))</f>
        <v/>
      </c>
      <c r="J174" s="295" t="str">
        <f>IF(B174="","",IF(ISNA(VLOOKUP($B174,'B-1 On-Site Hedge Baseline'!$B$1:$L$257,11,FALSE)),"",(VLOOKUP($B174,'B-1 On-Site Hedge Baseline'!$B$1:$L$257,11,FALSE))))</f>
        <v/>
      </c>
      <c r="K174" s="295" t="str">
        <f>IF(B174="","",IF(ISNA(VLOOKUP($B174,'B-1 On-Site Hedge Baseline'!$B$1:$U$257,13,FALSE)),"",(VLOOKUP($B174,'B-1 On-Site Hedge Baseline'!$B$1:$U$257,13,FALSE))))</f>
        <v/>
      </c>
      <c r="L174" s="299" t="str">
        <f>IF(B174="","",IF(ISNA(VLOOKUP($B174,'B-1 On-Site Hedge Baseline'!$B$1:$U$257,12,FALSE)),"",(VLOOKUP($B174,'B-1 On-Site Hedge Baseline'!$B$1:$U$257,12,FALSE))))</f>
        <v/>
      </c>
      <c r="M174" s="611"/>
      <c r="N174" s="275" t="str">
        <f>IFERROR(IF(B174="","",INDEX('G-6 Hedgerow Data'!$AN$3:$AZ$15,MATCH(C174,'G-6 Hedgerow Data'!$AM$3:$AM$15,0),MATCH(M174,'G-6 Hedgerow Data'!$AN$2:$AZ$2,0))),"")</f>
        <v/>
      </c>
      <c r="O174" s="276" t="str">
        <f t="shared" si="15"/>
        <v/>
      </c>
      <c r="P174" s="329" t="str">
        <f>IF(B174="","",VLOOKUP(B174,'B-1 On-Site Hedge Baseline'!$B$10:T419,16,FALSE))</f>
        <v/>
      </c>
      <c r="Q174" s="275" t="str">
        <f>IF(M174="","",VLOOKUP(M174,'G-6 Hedgerow Data'!$B$2:$AG$15,2,FALSE))</f>
        <v/>
      </c>
      <c r="R174" s="276" t="str">
        <f>IF(M174="","",VLOOKUP(M174,'G-6 Hedgerow Data'!$B$2:$AG$15,3,FALSE))</f>
        <v/>
      </c>
      <c r="S174" s="108"/>
      <c r="T174" s="314" t="str">
        <f>IFERROR(IF(S174="","",IF(AND(M174="Non-native and ornamental hedgerow",S174&lt;&gt;"Poor"),"Not possible ▲",(VLOOKUP(S174,'G-1 All Habitats'!$Z$2:$AA$9,2,FALSE)))),"")</f>
        <v/>
      </c>
      <c r="U174" s="105"/>
      <c r="V174" s="295" t="str">
        <f>IF(U174="","",IF(VLOOKUP(U174,'G-3 Multipliers'!$L$3:$N$6,2,FALSE)=0,"Spatial Data Missing ⚠",VLOOKUP(U174,'G-3 Multipliers'!$L$3:$N$6,2,FALSE)))</f>
        <v/>
      </c>
      <c r="W174" s="299" t="str">
        <f>IF(U174="","",IF(VLOOKUP(U174,'G-3 Multipliers'!$L$3:$N$6,3,FALSE)=0,"Spatial Data Missing ⚠",VLOOKUP(U174,'G-3 Multipliers'!$L$3:$N$6,3,FALSE)))</f>
        <v/>
      </c>
      <c r="X174" s="275" t="str">
        <f>IFERROR(IF(OR(LEFT(O174,5)="Error",LEFT(N174,5)="Error",T174="Error"),"Check Data ⚠",IF(F174&lt;R174,INDEX('G-6 Hedgerow Data'!$S$3:$AE$14,MATCH(C174,'G-6 Hedgerow Data'!$B$3:$B$14,0),MATCH(M174,'G-6 Hedgerow Data'!$S$2:$AE$2,0)),INDEX('G-6 Hedgerow Data'!$K$3:$Q$14,MATCH(M174,'G-6 Hedgerow Data'!$B$3:$B$14,0),MATCH(O174,'G-6 Hedgerow Data'!$K$2:$Q$2,0)))),"")</f>
        <v/>
      </c>
      <c r="Y174" s="133"/>
      <c r="Z174" s="133"/>
      <c r="AA174" s="283" t="str">
        <f t="shared" si="16"/>
        <v/>
      </c>
      <c r="AB174" s="296" t="str">
        <f t="shared" si="17"/>
        <v/>
      </c>
      <c r="AC174" s="297" t="str">
        <f t="shared" si="14"/>
        <v/>
      </c>
      <c r="AD174" s="311" t="str">
        <f>IF(M174="","",VLOOKUP(M174,'G-6 Hedgerow Data'!$B$3:$AG$15,31,FALSE))</f>
        <v/>
      </c>
      <c r="AE174" s="283" t="str">
        <f t="shared" si="18"/>
        <v/>
      </c>
      <c r="AF174" s="283" t="str">
        <f t="shared" si="19"/>
        <v/>
      </c>
      <c r="AG174" s="299" t="str">
        <f>IFERROR(IF(O174="","",VLOOKUP(AD174,'G-3 Multipliers'!$P$3:$Q$6,2,FALSE)),"")</f>
        <v/>
      </c>
      <c r="AH174" s="289" t="str">
        <f t="shared" si="20"/>
        <v/>
      </c>
      <c r="AI174" s="108"/>
      <c r="AJ174" s="115"/>
      <c r="AK174" s="104"/>
      <c r="AT174" s="30" t="str">
        <f>IFERROR(INDEX('G-6 Hedgerow Data'!$BJ$3:$BJ$15,MATCH(M174,'G-6 Hedgerow Data'!$B$3:$B$15,0)),"")</f>
        <v/>
      </c>
    </row>
    <row r="175" spans="2:46" ht="14">
      <c r="B175" s="305" t="str">
        <f>'B-1 On-Site Hedge Baseline'!AK173</f>
        <v/>
      </c>
      <c r="C175" s="295" t="str">
        <f>IF(B175="","",IF(ISNA(VLOOKUP($B175,'B-1 On-Site Hedge Baseline'!$B$1:$L$257,3,FALSE)),"",(VLOOKUP($B175,'B-1 On-Site Hedge Baseline'!$B$1:$L$257,3,FALSE))))</f>
        <v/>
      </c>
      <c r="D175" s="295" t="str">
        <f>IF(B175="","",IF(ISNA(VLOOKUP($B175,'B-1 On-Site Hedge Baseline'!$B$1:$L$257,4,FALSE)),"",(VLOOKUP($B175,'B-1 On-Site Hedge Baseline'!$B$1:$L$257,4,FALSE))))</f>
        <v/>
      </c>
      <c r="E175" s="295" t="str">
        <f>IF(B175="","",IF(ISNA(VLOOKUP($B175,'B-1 On-Site Hedge Baseline'!$B$1:$L$257,5,FALSE)),"",(VLOOKUP($B175,'B-1 On-Site Hedge Baseline'!$B$1:$L$257,5,FALSE))))</f>
        <v/>
      </c>
      <c r="F175" s="295" t="str">
        <f>IF(B175="","",IF(ISNA(VLOOKUP($B175,'B-1 On-Site Hedge Baseline'!$B$1:$L$257,6,FALSE)),"",(VLOOKUP($B175,'B-1 On-Site Hedge Baseline'!$B$1:$L$257,6,FALSE))))</f>
        <v/>
      </c>
      <c r="G175" s="295" t="str">
        <f>IF(B175="","",IF(ISNA(VLOOKUP($B175,'B-1 On-Site Hedge Baseline'!$B$1:$L$257,7,FALSE)),"",(VLOOKUP($B175,'B-1 On-Site Hedge Baseline'!$B$1:$L$257,7,FALSE))))</f>
        <v/>
      </c>
      <c r="H175" s="295" t="str">
        <f>IF(B175="","",IF(ISNA(VLOOKUP($B175,'B-1 On-Site Hedge Baseline'!$B$1:$L$257,8,FALSE)),"",(VLOOKUP($B175,'B-1 On-Site Hedge Baseline'!$B$1:$L$257,8,FALSE))))</f>
        <v/>
      </c>
      <c r="I175" s="295" t="str">
        <f>IF(B175="","",IF(ISNA(VLOOKUP($B175,'B-1 On-Site Hedge Baseline'!$B$1:$L$257,10,FALSE)),"",(VLOOKUP($B175,'B-1 On-Site Hedge Baseline'!$B$1:$L$257,10,FALSE))))</f>
        <v/>
      </c>
      <c r="J175" s="295" t="str">
        <f>IF(B175="","",IF(ISNA(VLOOKUP($B175,'B-1 On-Site Hedge Baseline'!$B$1:$L$257,11,FALSE)),"",(VLOOKUP($B175,'B-1 On-Site Hedge Baseline'!$B$1:$L$257,11,FALSE))))</f>
        <v/>
      </c>
      <c r="K175" s="295" t="str">
        <f>IF(B175="","",IF(ISNA(VLOOKUP($B175,'B-1 On-Site Hedge Baseline'!$B$1:$U$257,13,FALSE)),"",(VLOOKUP($B175,'B-1 On-Site Hedge Baseline'!$B$1:$U$257,13,FALSE))))</f>
        <v/>
      </c>
      <c r="L175" s="299" t="str">
        <f>IF(B175="","",IF(ISNA(VLOOKUP($B175,'B-1 On-Site Hedge Baseline'!$B$1:$U$257,12,FALSE)),"",(VLOOKUP($B175,'B-1 On-Site Hedge Baseline'!$B$1:$U$257,12,FALSE))))</f>
        <v/>
      </c>
      <c r="M175" s="611"/>
      <c r="N175" s="275" t="str">
        <f>IFERROR(IF(B175="","",INDEX('G-6 Hedgerow Data'!$AN$3:$AZ$15,MATCH(C175,'G-6 Hedgerow Data'!$AM$3:$AM$15,0),MATCH(M175,'G-6 Hedgerow Data'!$AN$2:$AZ$2,0))),"")</f>
        <v/>
      </c>
      <c r="O175" s="276" t="str">
        <f t="shared" si="15"/>
        <v/>
      </c>
      <c r="P175" s="329" t="str">
        <f>IF(B175="","",VLOOKUP(B175,'B-1 On-Site Hedge Baseline'!$B$10:T420,16,FALSE))</f>
        <v/>
      </c>
      <c r="Q175" s="275" t="str">
        <f>IF(M175="","",VLOOKUP(M175,'G-6 Hedgerow Data'!$B$2:$AG$15,2,FALSE))</f>
        <v/>
      </c>
      <c r="R175" s="276" t="str">
        <f>IF(M175="","",VLOOKUP(M175,'G-6 Hedgerow Data'!$B$2:$AG$15,3,FALSE))</f>
        <v/>
      </c>
      <c r="S175" s="108"/>
      <c r="T175" s="314" t="str">
        <f>IFERROR(IF(S175="","",IF(AND(M175="Non-native and ornamental hedgerow",S175&lt;&gt;"Poor"),"Not possible ▲",(VLOOKUP(S175,'G-1 All Habitats'!$Z$2:$AA$9,2,FALSE)))),"")</f>
        <v/>
      </c>
      <c r="U175" s="105"/>
      <c r="V175" s="295" t="str">
        <f>IF(U175="","",IF(VLOOKUP(U175,'G-3 Multipliers'!$L$3:$N$6,2,FALSE)=0,"Spatial Data Missing ⚠",VLOOKUP(U175,'G-3 Multipliers'!$L$3:$N$6,2,FALSE)))</f>
        <v/>
      </c>
      <c r="W175" s="299" t="str">
        <f>IF(U175="","",IF(VLOOKUP(U175,'G-3 Multipliers'!$L$3:$N$6,3,FALSE)=0,"Spatial Data Missing ⚠",VLOOKUP(U175,'G-3 Multipliers'!$L$3:$N$6,3,FALSE)))</f>
        <v/>
      </c>
      <c r="X175" s="275" t="str">
        <f>IFERROR(IF(OR(LEFT(O175,5)="Error",LEFT(N175,5)="Error",T175="Error"),"Check Data ⚠",IF(F175&lt;R175,INDEX('G-6 Hedgerow Data'!$S$3:$AE$14,MATCH(C175,'G-6 Hedgerow Data'!$B$3:$B$14,0),MATCH(M175,'G-6 Hedgerow Data'!$S$2:$AE$2,0)),INDEX('G-6 Hedgerow Data'!$K$3:$Q$14,MATCH(M175,'G-6 Hedgerow Data'!$B$3:$B$14,0),MATCH(O175,'G-6 Hedgerow Data'!$K$2:$Q$2,0)))),"")</f>
        <v/>
      </c>
      <c r="Y175" s="133"/>
      <c r="Z175" s="133"/>
      <c r="AA175" s="283" t="str">
        <f t="shared" si="16"/>
        <v/>
      </c>
      <c r="AB175" s="296" t="str">
        <f t="shared" si="17"/>
        <v/>
      </c>
      <c r="AC175" s="297" t="str">
        <f t="shared" si="14"/>
        <v/>
      </c>
      <c r="AD175" s="311" t="str">
        <f>IF(M175="","",VLOOKUP(M175,'G-6 Hedgerow Data'!$B$3:$AG$15,31,FALSE))</f>
        <v/>
      </c>
      <c r="AE175" s="283" t="str">
        <f t="shared" si="18"/>
        <v/>
      </c>
      <c r="AF175" s="283" t="str">
        <f t="shared" si="19"/>
        <v/>
      </c>
      <c r="AG175" s="299" t="str">
        <f>IFERROR(IF(O175="","",VLOOKUP(AD175,'G-3 Multipliers'!$P$3:$Q$6,2,FALSE)),"")</f>
        <v/>
      </c>
      <c r="AH175" s="289" t="str">
        <f t="shared" si="20"/>
        <v/>
      </c>
      <c r="AI175" s="108"/>
      <c r="AJ175" s="115"/>
      <c r="AK175" s="104"/>
      <c r="AT175" s="30" t="str">
        <f>IFERROR(INDEX('G-6 Hedgerow Data'!$BJ$3:$BJ$15,MATCH(M175,'G-6 Hedgerow Data'!$B$3:$B$15,0)),"")</f>
        <v/>
      </c>
    </row>
    <row r="176" spans="2:46" ht="14">
      <c r="B176" s="305" t="str">
        <f>'B-1 On-Site Hedge Baseline'!AK174</f>
        <v/>
      </c>
      <c r="C176" s="295" t="str">
        <f>IF(B176="","",IF(ISNA(VLOOKUP($B176,'B-1 On-Site Hedge Baseline'!$B$1:$L$257,3,FALSE)),"",(VLOOKUP($B176,'B-1 On-Site Hedge Baseline'!$B$1:$L$257,3,FALSE))))</f>
        <v/>
      </c>
      <c r="D176" s="295" t="str">
        <f>IF(B176="","",IF(ISNA(VLOOKUP($B176,'B-1 On-Site Hedge Baseline'!$B$1:$L$257,4,FALSE)),"",(VLOOKUP($B176,'B-1 On-Site Hedge Baseline'!$B$1:$L$257,4,FALSE))))</f>
        <v/>
      </c>
      <c r="E176" s="295" t="str">
        <f>IF(B176="","",IF(ISNA(VLOOKUP($B176,'B-1 On-Site Hedge Baseline'!$B$1:$L$257,5,FALSE)),"",(VLOOKUP($B176,'B-1 On-Site Hedge Baseline'!$B$1:$L$257,5,FALSE))))</f>
        <v/>
      </c>
      <c r="F176" s="295" t="str">
        <f>IF(B176="","",IF(ISNA(VLOOKUP($B176,'B-1 On-Site Hedge Baseline'!$B$1:$L$257,6,FALSE)),"",(VLOOKUP($B176,'B-1 On-Site Hedge Baseline'!$B$1:$L$257,6,FALSE))))</f>
        <v/>
      </c>
      <c r="G176" s="295" t="str">
        <f>IF(B176="","",IF(ISNA(VLOOKUP($B176,'B-1 On-Site Hedge Baseline'!$B$1:$L$257,7,FALSE)),"",(VLOOKUP($B176,'B-1 On-Site Hedge Baseline'!$B$1:$L$257,7,FALSE))))</f>
        <v/>
      </c>
      <c r="H176" s="295" t="str">
        <f>IF(B176="","",IF(ISNA(VLOOKUP($B176,'B-1 On-Site Hedge Baseline'!$B$1:$L$257,8,FALSE)),"",(VLOOKUP($B176,'B-1 On-Site Hedge Baseline'!$B$1:$L$257,8,FALSE))))</f>
        <v/>
      </c>
      <c r="I176" s="295" t="str">
        <f>IF(B176="","",IF(ISNA(VLOOKUP($B176,'B-1 On-Site Hedge Baseline'!$B$1:$L$257,10,FALSE)),"",(VLOOKUP($B176,'B-1 On-Site Hedge Baseline'!$B$1:$L$257,10,FALSE))))</f>
        <v/>
      </c>
      <c r="J176" s="295" t="str">
        <f>IF(B176="","",IF(ISNA(VLOOKUP($B176,'B-1 On-Site Hedge Baseline'!$B$1:$L$257,11,FALSE)),"",(VLOOKUP($B176,'B-1 On-Site Hedge Baseline'!$B$1:$L$257,11,FALSE))))</f>
        <v/>
      </c>
      <c r="K176" s="295" t="str">
        <f>IF(B176="","",IF(ISNA(VLOOKUP($B176,'B-1 On-Site Hedge Baseline'!$B$1:$U$257,13,FALSE)),"",(VLOOKUP($B176,'B-1 On-Site Hedge Baseline'!$B$1:$U$257,13,FALSE))))</f>
        <v/>
      </c>
      <c r="L176" s="299" t="str">
        <f>IF(B176="","",IF(ISNA(VLOOKUP($B176,'B-1 On-Site Hedge Baseline'!$B$1:$U$257,12,FALSE)),"",(VLOOKUP($B176,'B-1 On-Site Hedge Baseline'!$B$1:$U$257,12,FALSE))))</f>
        <v/>
      </c>
      <c r="M176" s="611"/>
      <c r="N176" s="275" t="str">
        <f>IFERROR(IF(B176="","",INDEX('G-6 Hedgerow Data'!$AN$3:$AZ$15,MATCH(C176,'G-6 Hedgerow Data'!$AM$3:$AM$15,0),MATCH(M176,'G-6 Hedgerow Data'!$AN$2:$AZ$2,0))),"")</f>
        <v/>
      </c>
      <c r="O176" s="276" t="str">
        <f t="shared" si="15"/>
        <v/>
      </c>
      <c r="P176" s="329" t="str">
        <f>IF(B176="","",VLOOKUP(B176,'B-1 On-Site Hedge Baseline'!$B$10:T421,16,FALSE))</f>
        <v/>
      </c>
      <c r="Q176" s="275" t="str">
        <f>IF(M176="","",VLOOKUP(M176,'G-6 Hedgerow Data'!$B$2:$AG$15,2,FALSE))</f>
        <v/>
      </c>
      <c r="R176" s="276" t="str">
        <f>IF(M176="","",VLOOKUP(M176,'G-6 Hedgerow Data'!$B$2:$AG$15,3,FALSE))</f>
        <v/>
      </c>
      <c r="S176" s="108"/>
      <c r="T176" s="314" t="str">
        <f>IFERROR(IF(S176="","",IF(AND(M176="Non-native and ornamental hedgerow",S176&lt;&gt;"Poor"),"Not possible ▲",(VLOOKUP(S176,'G-1 All Habitats'!$Z$2:$AA$9,2,FALSE)))),"")</f>
        <v/>
      </c>
      <c r="U176" s="105"/>
      <c r="V176" s="295" t="str">
        <f>IF(U176="","",IF(VLOOKUP(U176,'G-3 Multipliers'!$L$3:$N$6,2,FALSE)=0,"Spatial Data Missing ⚠",VLOOKUP(U176,'G-3 Multipliers'!$L$3:$N$6,2,FALSE)))</f>
        <v/>
      </c>
      <c r="W176" s="299" t="str">
        <f>IF(U176="","",IF(VLOOKUP(U176,'G-3 Multipliers'!$L$3:$N$6,3,FALSE)=0,"Spatial Data Missing ⚠",VLOOKUP(U176,'G-3 Multipliers'!$L$3:$N$6,3,FALSE)))</f>
        <v/>
      </c>
      <c r="X176" s="275" t="str">
        <f>IFERROR(IF(OR(LEFT(O176,5)="Error",LEFT(N176,5)="Error",T176="Error"),"Check Data ⚠",IF(F176&lt;R176,INDEX('G-6 Hedgerow Data'!$S$3:$AE$14,MATCH(C176,'G-6 Hedgerow Data'!$B$3:$B$14,0),MATCH(M176,'G-6 Hedgerow Data'!$S$2:$AE$2,0)),INDEX('G-6 Hedgerow Data'!$K$3:$Q$14,MATCH(M176,'G-6 Hedgerow Data'!$B$3:$B$14,0),MATCH(O176,'G-6 Hedgerow Data'!$K$2:$Q$2,0)))),"")</f>
        <v/>
      </c>
      <c r="Y176" s="133"/>
      <c r="Z176" s="133"/>
      <c r="AA176" s="283" t="str">
        <f t="shared" si="16"/>
        <v/>
      </c>
      <c r="AB176" s="296" t="str">
        <f t="shared" si="17"/>
        <v/>
      </c>
      <c r="AC176" s="297" t="str">
        <f t="shared" si="14"/>
        <v/>
      </c>
      <c r="AD176" s="311" t="str">
        <f>IF(M176="","",VLOOKUP(M176,'G-6 Hedgerow Data'!$B$3:$AG$15,31,FALSE))</f>
        <v/>
      </c>
      <c r="AE176" s="283" t="str">
        <f t="shared" si="18"/>
        <v/>
      </c>
      <c r="AF176" s="283" t="str">
        <f t="shared" si="19"/>
        <v/>
      </c>
      <c r="AG176" s="299" t="str">
        <f>IFERROR(IF(O176="","",VLOOKUP(AD176,'G-3 Multipliers'!$P$3:$Q$6,2,FALSE)),"")</f>
        <v/>
      </c>
      <c r="AH176" s="289" t="str">
        <f t="shared" si="20"/>
        <v/>
      </c>
      <c r="AI176" s="108"/>
      <c r="AJ176" s="115"/>
      <c r="AK176" s="104"/>
      <c r="AT176" s="30" t="str">
        <f>IFERROR(INDEX('G-6 Hedgerow Data'!$BJ$3:$BJ$15,MATCH(M176,'G-6 Hedgerow Data'!$B$3:$B$15,0)),"")</f>
        <v/>
      </c>
    </row>
    <row r="177" spans="2:46" ht="14">
      <c r="B177" s="305" t="str">
        <f>'B-1 On-Site Hedge Baseline'!AK175</f>
        <v/>
      </c>
      <c r="C177" s="295" t="str">
        <f>IF(B177="","",IF(ISNA(VLOOKUP($B177,'B-1 On-Site Hedge Baseline'!$B$1:$L$257,3,FALSE)),"",(VLOOKUP($B177,'B-1 On-Site Hedge Baseline'!$B$1:$L$257,3,FALSE))))</f>
        <v/>
      </c>
      <c r="D177" s="295" t="str">
        <f>IF(B177="","",IF(ISNA(VLOOKUP($B177,'B-1 On-Site Hedge Baseline'!$B$1:$L$257,4,FALSE)),"",(VLOOKUP($B177,'B-1 On-Site Hedge Baseline'!$B$1:$L$257,4,FALSE))))</f>
        <v/>
      </c>
      <c r="E177" s="295" t="str">
        <f>IF(B177="","",IF(ISNA(VLOOKUP($B177,'B-1 On-Site Hedge Baseline'!$B$1:$L$257,5,FALSE)),"",(VLOOKUP($B177,'B-1 On-Site Hedge Baseline'!$B$1:$L$257,5,FALSE))))</f>
        <v/>
      </c>
      <c r="F177" s="295" t="str">
        <f>IF(B177="","",IF(ISNA(VLOOKUP($B177,'B-1 On-Site Hedge Baseline'!$B$1:$L$257,6,FALSE)),"",(VLOOKUP($B177,'B-1 On-Site Hedge Baseline'!$B$1:$L$257,6,FALSE))))</f>
        <v/>
      </c>
      <c r="G177" s="295" t="str">
        <f>IF(B177="","",IF(ISNA(VLOOKUP($B177,'B-1 On-Site Hedge Baseline'!$B$1:$L$257,7,FALSE)),"",(VLOOKUP($B177,'B-1 On-Site Hedge Baseline'!$B$1:$L$257,7,FALSE))))</f>
        <v/>
      </c>
      <c r="H177" s="295" t="str">
        <f>IF(B177="","",IF(ISNA(VLOOKUP($B177,'B-1 On-Site Hedge Baseline'!$B$1:$L$257,8,FALSE)),"",(VLOOKUP($B177,'B-1 On-Site Hedge Baseline'!$B$1:$L$257,8,FALSE))))</f>
        <v/>
      </c>
      <c r="I177" s="295" t="str">
        <f>IF(B177="","",IF(ISNA(VLOOKUP($B177,'B-1 On-Site Hedge Baseline'!$B$1:$L$257,10,FALSE)),"",(VLOOKUP($B177,'B-1 On-Site Hedge Baseline'!$B$1:$L$257,10,FALSE))))</f>
        <v/>
      </c>
      <c r="J177" s="295" t="str">
        <f>IF(B177="","",IF(ISNA(VLOOKUP($B177,'B-1 On-Site Hedge Baseline'!$B$1:$L$257,11,FALSE)),"",(VLOOKUP($B177,'B-1 On-Site Hedge Baseline'!$B$1:$L$257,11,FALSE))))</f>
        <v/>
      </c>
      <c r="K177" s="295" t="str">
        <f>IF(B177="","",IF(ISNA(VLOOKUP($B177,'B-1 On-Site Hedge Baseline'!$B$1:$U$257,13,FALSE)),"",(VLOOKUP($B177,'B-1 On-Site Hedge Baseline'!$B$1:$U$257,13,FALSE))))</f>
        <v/>
      </c>
      <c r="L177" s="299" t="str">
        <f>IF(B177="","",IF(ISNA(VLOOKUP($B177,'B-1 On-Site Hedge Baseline'!$B$1:$U$257,12,FALSE)),"",(VLOOKUP($B177,'B-1 On-Site Hedge Baseline'!$B$1:$U$257,12,FALSE))))</f>
        <v/>
      </c>
      <c r="M177" s="611"/>
      <c r="N177" s="275" t="str">
        <f>IFERROR(IF(B177="","",INDEX('G-6 Hedgerow Data'!$AN$3:$AZ$15,MATCH(C177,'G-6 Hedgerow Data'!$AM$3:$AM$15,0),MATCH(M177,'G-6 Hedgerow Data'!$AN$2:$AZ$2,0))),"")</f>
        <v/>
      </c>
      <c r="O177" s="276" t="str">
        <f t="shared" si="15"/>
        <v/>
      </c>
      <c r="P177" s="329" t="str">
        <f>IF(B177="","",VLOOKUP(B177,'B-1 On-Site Hedge Baseline'!$B$10:T422,16,FALSE))</f>
        <v/>
      </c>
      <c r="Q177" s="275" t="str">
        <f>IF(M177="","",VLOOKUP(M177,'G-6 Hedgerow Data'!$B$2:$AG$15,2,FALSE))</f>
        <v/>
      </c>
      <c r="R177" s="276" t="str">
        <f>IF(M177="","",VLOOKUP(M177,'G-6 Hedgerow Data'!$B$2:$AG$15,3,FALSE))</f>
        <v/>
      </c>
      <c r="S177" s="108"/>
      <c r="T177" s="314" t="str">
        <f>IFERROR(IF(S177="","",IF(AND(M177="Non-native and ornamental hedgerow",S177&lt;&gt;"Poor"),"Not possible ▲",(VLOOKUP(S177,'G-1 All Habitats'!$Z$2:$AA$9,2,FALSE)))),"")</f>
        <v/>
      </c>
      <c r="U177" s="105"/>
      <c r="V177" s="295" t="str">
        <f>IF(U177="","",IF(VLOOKUP(U177,'G-3 Multipliers'!$L$3:$N$6,2,FALSE)=0,"Spatial Data Missing ⚠",VLOOKUP(U177,'G-3 Multipliers'!$L$3:$N$6,2,FALSE)))</f>
        <v/>
      </c>
      <c r="W177" s="299" t="str">
        <f>IF(U177="","",IF(VLOOKUP(U177,'G-3 Multipliers'!$L$3:$N$6,3,FALSE)=0,"Spatial Data Missing ⚠",VLOOKUP(U177,'G-3 Multipliers'!$L$3:$N$6,3,FALSE)))</f>
        <v/>
      </c>
      <c r="X177" s="275" t="str">
        <f>IFERROR(IF(OR(LEFT(O177,5)="Error",LEFT(N177,5)="Error",T177="Error"),"Check Data ⚠",IF(F177&lt;R177,INDEX('G-6 Hedgerow Data'!$S$3:$AE$14,MATCH(C177,'G-6 Hedgerow Data'!$B$3:$B$14,0),MATCH(M177,'G-6 Hedgerow Data'!$S$2:$AE$2,0)),INDEX('G-6 Hedgerow Data'!$K$3:$Q$14,MATCH(M177,'G-6 Hedgerow Data'!$B$3:$B$14,0),MATCH(O177,'G-6 Hedgerow Data'!$K$2:$Q$2,0)))),"")</f>
        <v/>
      </c>
      <c r="Y177" s="133"/>
      <c r="Z177" s="133"/>
      <c r="AA177" s="283" t="str">
        <f t="shared" si="16"/>
        <v/>
      </c>
      <c r="AB177" s="296" t="str">
        <f t="shared" si="17"/>
        <v/>
      </c>
      <c r="AC177" s="297" t="str">
        <f t="shared" si="14"/>
        <v/>
      </c>
      <c r="AD177" s="311" t="str">
        <f>IF(M177="","",VLOOKUP(M177,'G-6 Hedgerow Data'!$B$3:$AG$15,31,FALSE))</f>
        <v/>
      </c>
      <c r="AE177" s="283" t="str">
        <f t="shared" si="18"/>
        <v/>
      </c>
      <c r="AF177" s="283" t="str">
        <f t="shared" si="19"/>
        <v/>
      </c>
      <c r="AG177" s="299" t="str">
        <f>IFERROR(IF(O177="","",VLOOKUP(AD177,'G-3 Multipliers'!$P$3:$Q$6,2,FALSE)),"")</f>
        <v/>
      </c>
      <c r="AH177" s="289" t="str">
        <f t="shared" si="20"/>
        <v/>
      </c>
      <c r="AI177" s="108"/>
      <c r="AJ177" s="115"/>
      <c r="AK177" s="104"/>
      <c r="AT177" s="30" t="str">
        <f>IFERROR(INDEX('G-6 Hedgerow Data'!$BJ$3:$BJ$15,MATCH(M177,'G-6 Hedgerow Data'!$B$3:$B$15,0)),"")</f>
        <v/>
      </c>
    </row>
    <row r="178" spans="2:46" ht="14">
      <c r="B178" s="305" t="str">
        <f>'B-1 On-Site Hedge Baseline'!AK176</f>
        <v/>
      </c>
      <c r="C178" s="295" t="str">
        <f>IF(B178="","",IF(ISNA(VLOOKUP($B178,'B-1 On-Site Hedge Baseline'!$B$1:$L$257,3,FALSE)),"",(VLOOKUP($B178,'B-1 On-Site Hedge Baseline'!$B$1:$L$257,3,FALSE))))</f>
        <v/>
      </c>
      <c r="D178" s="295" t="str">
        <f>IF(B178="","",IF(ISNA(VLOOKUP($B178,'B-1 On-Site Hedge Baseline'!$B$1:$L$257,4,FALSE)),"",(VLOOKUP($B178,'B-1 On-Site Hedge Baseline'!$B$1:$L$257,4,FALSE))))</f>
        <v/>
      </c>
      <c r="E178" s="295" t="str">
        <f>IF(B178="","",IF(ISNA(VLOOKUP($B178,'B-1 On-Site Hedge Baseline'!$B$1:$L$257,5,FALSE)),"",(VLOOKUP($B178,'B-1 On-Site Hedge Baseline'!$B$1:$L$257,5,FALSE))))</f>
        <v/>
      </c>
      <c r="F178" s="295" t="str">
        <f>IF(B178="","",IF(ISNA(VLOOKUP($B178,'B-1 On-Site Hedge Baseline'!$B$1:$L$257,6,FALSE)),"",(VLOOKUP($B178,'B-1 On-Site Hedge Baseline'!$B$1:$L$257,6,FALSE))))</f>
        <v/>
      </c>
      <c r="G178" s="295" t="str">
        <f>IF(B178="","",IF(ISNA(VLOOKUP($B178,'B-1 On-Site Hedge Baseline'!$B$1:$L$257,7,FALSE)),"",(VLOOKUP($B178,'B-1 On-Site Hedge Baseline'!$B$1:$L$257,7,FALSE))))</f>
        <v/>
      </c>
      <c r="H178" s="295" t="str">
        <f>IF(B178="","",IF(ISNA(VLOOKUP($B178,'B-1 On-Site Hedge Baseline'!$B$1:$L$257,8,FALSE)),"",(VLOOKUP($B178,'B-1 On-Site Hedge Baseline'!$B$1:$L$257,8,FALSE))))</f>
        <v/>
      </c>
      <c r="I178" s="295" t="str">
        <f>IF(B178="","",IF(ISNA(VLOOKUP($B178,'B-1 On-Site Hedge Baseline'!$B$1:$L$257,10,FALSE)),"",(VLOOKUP($B178,'B-1 On-Site Hedge Baseline'!$B$1:$L$257,10,FALSE))))</f>
        <v/>
      </c>
      <c r="J178" s="295" t="str">
        <f>IF(B178="","",IF(ISNA(VLOOKUP($B178,'B-1 On-Site Hedge Baseline'!$B$1:$L$257,11,FALSE)),"",(VLOOKUP($B178,'B-1 On-Site Hedge Baseline'!$B$1:$L$257,11,FALSE))))</f>
        <v/>
      </c>
      <c r="K178" s="295" t="str">
        <f>IF(B178="","",IF(ISNA(VLOOKUP($B178,'B-1 On-Site Hedge Baseline'!$B$1:$U$257,13,FALSE)),"",(VLOOKUP($B178,'B-1 On-Site Hedge Baseline'!$B$1:$U$257,13,FALSE))))</f>
        <v/>
      </c>
      <c r="L178" s="299" t="str">
        <f>IF(B178="","",IF(ISNA(VLOOKUP($B178,'B-1 On-Site Hedge Baseline'!$B$1:$U$257,12,FALSE)),"",(VLOOKUP($B178,'B-1 On-Site Hedge Baseline'!$B$1:$U$257,12,FALSE))))</f>
        <v/>
      </c>
      <c r="M178" s="611"/>
      <c r="N178" s="275" t="str">
        <f>IFERROR(IF(B178="","",INDEX('G-6 Hedgerow Data'!$AN$3:$AZ$15,MATCH(C178,'G-6 Hedgerow Data'!$AM$3:$AM$15,0),MATCH(M178,'G-6 Hedgerow Data'!$AN$2:$AZ$2,0))),"")</f>
        <v/>
      </c>
      <c r="O178" s="276" t="str">
        <f t="shared" si="15"/>
        <v/>
      </c>
      <c r="P178" s="329" t="str">
        <f>IF(B178="","",VLOOKUP(B178,'B-1 On-Site Hedge Baseline'!$B$10:T423,16,FALSE))</f>
        <v/>
      </c>
      <c r="Q178" s="275" t="str">
        <f>IF(M178="","",VLOOKUP(M178,'G-6 Hedgerow Data'!$B$2:$AG$15,2,FALSE))</f>
        <v/>
      </c>
      <c r="R178" s="276" t="str">
        <f>IF(M178="","",VLOOKUP(M178,'G-6 Hedgerow Data'!$B$2:$AG$15,3,FALSE))</f>
        <v/>
      </c>
      <c r="S178" s="108"/>
      <c r="T178" s="314" t="str">
        <f>IFERROR(IF(S178="","",IF(AND(M178="Non-native and ornamental hedgerow",S178&lt;&gt;"Poor"),"Not possible ▲",(VLOOKUP(S178,'G-1 All Habitats'!$Z$2:$AA$9,2,FALSE)))),"")</f>
        <v/>
      </c>
      <c r="U178" s="105"/>
      <c r="V178" s="295" t="str">
        <f>IF(U178="","",IF(VLOOKUP(U178,'G-3 Multipliers'!$L$3:$N$6,2,FALSE)=0,"Spatial Data Missing ⚠",VLOOKUP(U178,'G-3 Multipliers'!$L$3:$N$6,2,FALSE)))</f>
        <v/>
      </c>
      <c r="W178" s="299" t="str">
        <f>IF(U178="","",IF(VLOOKUP(U178,'G-3 Multipliers'!$L$3:$N$6,3,FALSE)=0,"Spatial Data Missing ⚠",VLOOKUP(U178,'G-3 Multipliers'!$L$3:$N$6,3,FALSE)))</f>
        <v/>
      </c>
      <c r="X178" s="275" t="str">
        <f>IFERROR(IF(OR(LEFT(O178,5)="Error",LEFT(N178,5)="Error",T178="Error"),"Check Data ⚠",IF(F178&lt;R178,INDEX('G-6 Hedgerow Data'!$S$3:$AE$14,MATCH(C178,'G-6 Hedgerow Data'!$B$3:$B$14,0),MATCH(M178,'G-6 Hedgerow Data'!$S$2:$AE$2,0)),INDEX('G-6 Hedgerow Data'!$K$3:$Q$14,MATCH(M178,'G-6 Hedgerow Data'!$B$3:$B$14,0),MATCH(O178,'G-6 Hedgerow Data'!$K$2:$Q$2,0)))),"")</f>
        <v/>
      </c>
      <c r="Y178" s="133"/>
      <c r="Z178" s="133"/>
      <c r="AA178" s="283" t="str">
        <f t="shared" si="16"/>
        <v/>
      </c>
      <c r="AB178" s="296" t="str">
        <f t="shared" si="17"/>
        <v/>
      </c>
      <c r="AC178" s="297" t="str">
        <f t="shared" si="14"/>
        <v/>
      </c>
      <c r="AD178" s="311" t="str">
        <f>IF(M178="","",VLOOKUP(M178,'G-6 Hedgerow Data'!$B$3:$AG$15,31,FALSE))</f>
        <v/>
      </c>
      <c r="AE178" s="283" t="str">
        <f t="shared" si="18"/>
        <v/>
      </c>
      <c r="AF178" s="283" t="str">
        <f t="shared" si="19"/>
        <v/>
      </c>
      <c r="AG178" s="299" t="str">
        <f>IFERROR(IF(O178="","",VLOOKUP(AD178,'G-3 Multipliers'!$P$3:$Q$6,2,FALSE)),"")</f>
        <v/>
      </c>
      <c r="AH178" s="289" t="str">
        <f t="shared" si="20"/>
        <v/>
      </c>
      <c r="AI178" s="108"/>
      <c r="AJ178" s="115"/>
      <c r="AK178" s="104"/>
      <c r="AT178" s="30" t="str">
        <f>IFERROR(INDEX('G-6 Hedgerow Data'!$BJ$3:$BJ$15,MATCH(M178,'G-6 Hedgerow Data'!$B$3:$B$15,0)),"")</f>
        <v/>
      </c>
    </row>
    <row r="179" spans="2:46" ht="14">
      <c r="B179" s="305" t="str">
        <f>'B-1 On-Site Hedge Baseline'!AK177</f>
        <v/>
      </c>
      <c r="C179" s="295" t="str">
        <f>IF(B179="","",IF(ISNA(VLOOKUP($B179,'B-1 On-Site Hedge Baseline'!$B$1:$L$257,3,FALSE)),"",(VLOOKUP($B179,'B-1 On-Site Hedge Baseline'!$B$1:$L$257,3,FALSE))))</f>
        <v/>
      </c>
      <c r="D179" s="295" t="str">
        <f>IF(B179="","",IF(ISNA(VLOOKUP($B179,'B-1 On-Site Hedge Baseline'!$B$1:$L$257,4,FALSE)),"",(VLOOKUP($B179,'B-1 On-Site Hedge Baseline'!$B$1:$L$257,4,FALSE))))</f>
        <v/>
      </c>
      <c r="E179" s="295" t="str">
        <f>IF(B179="","",IF(ISNA(VLOOKUP($B179,'B-1 On-Site Hedge Baseline'!$B$1:$L$257,5,FALSE)),"",(VLOOKUP($B179,'B-1 On-Site Hedge Baseline'!$B$1:$L$257,5,FALSE))))</f>
        <v/>
      </c>
      <c r="F179" s="295" t="str">
        <f>IF(B179="","",IF(ISNA(VLOOKUP($B179,'B-1 On-Site Hedge Baseline'!$B$1:$L$257,6,FALSE)),"",(VLOOKUP($B179,'B-1 On-Site Hedge Baseline'!$B$1:$L$257,6,FALSE))))</f>
        <v/>
      </c>
      <c r="G179" s="295" t="str">
        <f>IF(B179="","",IF(ISNA(VLOOKUP($B179,'B-1 On-Site Hedge Baseline'!$B$1:$L$257,7,FALSE)),"",(VLOOKUP($B179,'B-1 On-Site Hedge Baseline'!$B$1:$L$257,7,FALSE))))</f>
        <v/>
      </c>
      <c r="H179" s="295" t="str">
        <f>IF(B179="","",IF(ISNA(VLOOKUP($B179,'B-1 On-Site Hedge Baseline'!$B$1:$L$257,8,FALSE)),"",(VLOOKUP($B179,'B-1 On-Site Hedge Baseline'!$B$1:$L$257,8,FALSE))))</f>
        <v/>
      </c>
      <c r="I179" s="295" t="str">
        <f>IF(B179="","",IF(ISNA(VLOOKUP($B179,'B-1 On-Site Hedge Baseline'!$B$1:$L$257,10,FALSE)),"",(VLOOKUP($B179,'B-1 On-Site Hedge Baseline'!$B$1:$L$257,10,FALSE))))</f>
        <v/>
      </c>
      <c r="J179" s="295" t="str">
        <f>IF(B179="","",IF(ISNA(VLOOKUP($B179,'B-1 On-Site Hedge Baseline'!$B$1:$L$257,11,FALSE)),"",(VLOOKUP($B179,'B-1 On-Site Hedge Baseline'!$B$1:$L$257,11,FALSE))))</f>
        <v/>
      </c>
      <c r="K179" s="295" t="str">
        <f>IF(B179="","",IF(ISNA(VLOOKUP($B179,'B-1 On-Site Hedge Baseline'!$B$1:$U$257,13,FALSE)),"",(VLOOKUP($B179,'B-1 On-Site Hedge Baseline'!$B$1:$U$257,13,FALSE))))</f>
        <v/>
      </c>
      <c r="L179" s="299" t="str">
        <f>IF(B179="","",IF(ISNA(VLOOKUP($B179,'B-1 On-Site Hedge Baseline'!$B$1:$U$257,12,FALSE)),"",(VLOOKUP($B179,'B-1 On-Site Hedge Baseline'!$B$1:$U$257,12,FALSE))))</f>
        <v/>
      </c>
      <c r="M179" s="611"/>
      <c r="N179" s="275" t="str">
        <f>IFERROR(IF(B179="","",INDEX('G-6 Hedgerow Data'!$AN$3:$AZ$15,MATCH(C179,'G-6 Hedgerow Data'!$AM$3:$AM$15,0),MATCH(M179,'G-6 Hedgerow Data'!$AN$2:$AZ$2,0))),"")</f>
        <v/>
      </c>
      <c r="O179" s="276" t="str">
        <f t="shared" si="15"/>
        <v/>
      </c>
      <c r="P179" s="329" t="str">
        <f>IF(B179="","",VLOOKUP(B179,'B-1 On-Site Hedge Baseline'!$B$10:T424,16,FALSE))</f>
        <v/>
      </c>
      <c r="Q179" s="275" t="str">
        <f>IF(M179="","",VLOOKUP(M179,'G-6 Hedgerow Data'!$B$2:$AG$15,2,FALSE))</f>
        <v/>
      </c>
      <c r="R179" s="276" t="str">
        <f>IF(M179="","",VLOOKUP(M179,'G-6 Hedgerow Data'!$B$2:$AG$15,3,FALSE))</f>
        <v/>
      </c>
      <c r="S179" s="108"/>
      <c r="T179" s="314" t="str">
        <f>IFERROR(IF(S179="","",IF(AND(M179="Non-native and ornamental hedgerow",S179&lt;&gt;"Poor"),"Not possible ▲",(VLOOKUP(S179,'G-1 All Habitats'!$Z$2:$AA$9,2,FALSE)))),"")</f>
        <v/>
      </c>
      <c r="U179" s="105"/>
      <c r="V179" s="295" t="str">
        <f>IF(U179="","",IF(VLOOKUP(U179,'G-3 Multipliers'!$L$3:$N$6,2,FALSE)=0,"Spatial Data Missing ⚠",VLOOKUP(U179,'G-3 Multipliers'!$L$3:$N$6,2,FALSE)))</f>
        <v/>
      </c>
      <c r="W179" s="299" t="str">
        <f>IF(U179="","",IF(VLOOKUP(U179,'G-3 Multipliers'!$L$3:$N$6,3,FALSE)=0,"Spatial Data Missing ⚠",VLOOKUP(U179,'G-3 Multipliers'!$L$3:$N$6,3,FALSE)))</f>
        <v/>
      </c>
      <c r="X179" s="275" t="str">
        <f>IFERROR(IF(OR(LEFT(O179,5)="Error",LEFT(N179,5)="Error",T179="Error"),"Check Data ⚠",IF(F179&lt;R179,INDEX('G-6 Hedgerow Data'!$S$3:$AE$14,MATCH(C179,'G-6 Hedgerow Data'!$B$3:$B$14,0),MATCH(M179,'G-6 Hedgerow Data'!$S$2:$AE$2,0)),INDEX('G-6 Hedgerow Data'!$K$3:$Q$14,MATCH(M179,'G-6 Hedgerow Data'!$B$3:$B$14,0),MATCH(O179,'G-6 Hedgerow Data'!$K$2:$Q$2,0)))),"")</f>
        <v/>
      </c>
      <c r="Y179" s="133"/>
      <c r="Z179" s="133"/>
      <c r="AA179" s="283" t="str">
        <f t="shared" si="16"/>
        <v/>
      </c>
      <c r="AB179" s="296" t="str">
        <f t="shared" si="17"/>
        <v/>
      </c>
      <c r="AC179" s="297" t="str">
        <f t="shared" si="14"/>
        <v/>
      </c>
      <c r="AD179" s="311" t="str">
        <f>IF(M179="","",VLOOKUP(M179,'G-6 Hedgerow Data'!$B$3:$AG$15,31,FALSE))</f>
        <v/>
      </c>
      <c r="AE179" s="283" t="str">
        <f t="shared" si="18"/>
        <v/>
      </c>
      <c r="AF179" s="283" t="str">
        <f t="shared" si="19"/>
        <v/>
      </c>
      <c r="AG179" s="299" t="str">
        <f>IFERROR(IF(O179="","",VLOOKUP(AD179,'G-3 Multipliers'!$P$3:$Q$6,2,FALSE)),"")</f>
        <v/>
      </c>
      <c r="AH179" s="289" t="str">
        <f t="shared" si="20"/>
        <v/>
      </c>
      <c r="AI179" s="108"/>
      <c r="AJ179" s="115"/>
      <c r="AK179" s="104"/>
      <c r="AT179" s="30" t="str">
        <f>IFERROR(INDEX('G-6 Hedgerow Data'!$BJ$3:$BJ$15,MATCH(M179,'G-6 Hedgerow Data'!$B$3:$B$15,0)),"")</f>
        <v/>
      </c>
    </row>
    <row r="180" spans="2:46" ht="14">
      <c r="B180" s="305" t="str">
        <f>'B-1 On-Site Hedge Baseline'!AK178</f>
        <v/>
      </c>
      <c r="C180" s="295" t="str">
        <f>IF(B180="","",IF(ISNA(VLOOKUP($B180,'B-1 On-Site Hedge Baseline'!$B$1:$L$257,3,FALSE)),"",(VLOOKUP($B180,'B-1 On-Site Hedge Baseline'!$B$1:$L$257,3,FALSE))))</f>
        <v/>
      </c>
      <c r="D180" s="295" t="str">
        <f>IF(B180="","",IF(ISNA(VLOOKUP($B180,'B-1 On-Site Hedge Baseline'!$B$1:$L$257,4,FALSE)),"",(VLOOKUP($B180,'B-1 On-Site Hedge Baseline'!$B$1:$L$257,4,FALSE))))</f>
        <v/>
      </c>
      <c r="E180" s="295" t="str">
        <f>IF(B180="","",IF(ISNA(VLOOKUP($B180,'B-1 On-Site Hedge Baseline'!$B$1:$L$257,5,FALSE)),"",(VLOOKUP($B180,'B-1 On-Site Hedge Baseline'!$B$1:$L$257,5,FALSE))))</f>
        <v/>
      </c>
      <c r="F180" s="295" t="str">
        <f>IF(B180="","",IF(ISNA(VLOOKUP($B180,'B-1 On-Site Hedge Baseline'!$B$1:$L$257,6,FALSE)),"",(VLOOKUP($B180,'B-1 On-Site Hedge Baseline'!$B$1:$L$257,6,FALSE))))</f>
        <v/>
      </c>
      <c r="G180" s="295" t="str">
        <f>IF(B180="","",IF(ISNA(VLOOKUP($B180,'B-1 On-Site Hedge Baseline'!$B$1:$L$257,7,FALSE)),"",(VLOOKUP($B180,'B-1 On-Site Hedge Baseline'!$B$1:$L$257,7,FALSE))))</f>
        <v/>
      </c>
      <c r="H180" s="295" t="str">
        <f>IF(B180="","",IF(ISNA(VLOOKUP($B180,'B-1 On-Site Hedge Baseline'!$B$1:$L$257,8,FALSE)),"",(VLOOKUP($B180,'B-1 On-Site Hedge Baseline'!$B$1:$L$257,8,FALSE))))</f>
        <v/>
      </c>
      <c r="I180" s="295" t="str">
        <f>IF(B180="","",IF(ISNA(VLOOKUP($B180,'B-1 On-Site Hedge Baseline'!$B$1:$L$257,10,FALSE)),"",(VLOOKUP($B180,'B-1 On-Site Hedge Baseline'!$B$1:$L$257,10,FALSE))))</f>
        <v/>
      </c>
      <c r="J180" s="295" t="str">
        <f>IF(B180="","",IF(ISNA(VLOOKUP($B180,'B-1 On-Site Hedge Baseline'!$B$1:$L$257,11,FALSE)),"",(VLOOKUP($B180,'B-1 On-Site Hedge Baseline'!$B$1:$L$257,11,FALSE))))</f>
        <v/>
      </c>
      <c r="K180" s="295" t="str">
        <f>IF(B180="","",IF(ISNA(VLOOKUP($B180,'B-1 On-Site Hedge Baseline'!$B$1:$U$257,13,FALSE)),"",(VLOOKUP($B180,'B-1 On-Site Hedge Baseline'!$B$1:$U$257,13,FALSE))))</f>
        <v/>
      </c>
      <c r="L180" s="299" t="str">
        <f>IF(B180="","",IF(ISNA(VLOOKUP($B180,'B-1 On-Site Hedge Baseline'!$B$1:$U$257,12,FALSE)),"",(VLOOKUP($B180,'B-1 On-Site Hedge Baseline'!$B$1:$U$257,12,FALSE))))</f>
        <v/>
      </c>
      <c r="M180" s="611"/>
      <c r="N180" s="275" t="str">
        <f>IFERROR(IF(B180="","",INDEX('G-6 Hedgerow Data'!$AN$3:$AZ$15,MATCH(C180,'G-6 Hedgerow Data'!$AM$3:$AM$15,0),MATCH(M180,'G-6 Hedgerow Data'!$AN$2:$AZ$2,0))),"")</f>
        <v/>
      </c>
      <c r="O180" s="276" t="str">
        <f t="shared" si="15"/>
        <v/>
      </c>
      <c r="P180" s="329" t="str">
        <f>IF(B180="","",VLOOKUP(B180,'B-1 On-Site Hedge Baseline'!$B$10:T425,16,FALSE))</f>
        <v/>
      </c>
      <c r="Q180" s="275" t="str">
        <f>IF(M180="","",VLOOKUP(M180,'G-6 Hedgerow Data'!$B$2:$AG$15,2,FALSE))</f>
        <v/>
      </c>
      <c r="R180" s="276" t="str">
        <f>IF(M180="","",VLOOKUP(M180,'G-6 Hedgerow Data'!$B$2:$AG$15,3,FALSE))</f>
        <v/>
      </c>
      <c r="S180" s="108"/>
      <c r="T180" s="314" t="str">
        <f>IFERROR(IF(S180="","",IF(AND(M180="Non-native and ornamental hedgerow",S180&lt;&gt;"Poor"),"Not possible ▲",(VLOOKUP(S180,'G-1 All Habitats'!$Z$2:$AA$9,2,FALSE)))),"")</f>
        <v/>
      </c>
      <c r="U180" s="105"/>
      <c r="V180" s="295" t="str">
        <f>IF(U180="","",IF(VLOOKUP(U180,'G-3 Multipliers'!$L$3:$N$6,2,FALSE)=0,"Spatial Data Missing ⚠",VLOOKUP(U180,'G-3 Multipliers'!$L$3:$N$6,2,FALSE)))</f>
        <v/>
      </c>
      <c r="W180" s="299" t="str">
        <f>IF(U180="","",IF(VLOOKUP(U180,'G-3 Multipliers'!$L$3:$N$6,3,FALSE)=0,"Spatial Data Missing ⚠",VLOOKUP(U180,'G-3 Multipliers'!$L$3:$N$6,3,FALSE)))</f>
        <v/>
      </c>
      <c r="X180" s="275" t="str">
        <f>IFERROR(IF(OR(LEFT(O180,5)="Error",LEFT(N180,5)="Error",T180="Error"),"Check Data ⚠",IF(F180&lt;R180,INDEX('G-6 Hedgerow Data'!$S$3:$AE$14,MATCH(C180,'G-6 Hedgerow Data'!$B$3:$B$14,0),MATCH(M180,'G-6 Hedgerow Data'!$S$2:$AE$2,0)),INDEX('G-6 Hedgerow Data'!$K$3:$Q$14,MATCH(M180,'G-6 Hedgerow Data'!$B$3:$B$14,0),MATCH(O180,'G-6 Hedgerow Data'!$K$2:$Q$2,0)))),"")</f>
        <v/>
      </c>
      <c r="Y180" s="133"/>
      <c r="Z180" s="133"/>
      <c r="AA180" s="283" t="str">
        <f t="shared" si="16"/>
        <v/>
      </c>
      <c r="AB180" s="296" t="str">
        <f t="shared" si="17"/>
        <v/>
      </c>
      <c r="AC180" s="297" t="str">
        <f t="shared" si="14"/>
        <v/>
      </c>
      <c r="AD180" s="311" t="str">
        <f>IF(M180="","",VLOOKUP(M180,'G-6 Hedgerow Data'!$B$3:$AG$15,31,FALSE))</f>
        <v/>
      </c>
      <c r="AE180" s="283" t="str">
        <f t="shared" si="18"/>
        <v/>
      </c>
      <c r="AF180" s="283" t="str">
        <f t="shared" si="19"/>
        <v/>
      </c>
      <c r="AG180" s="299" t="str">
        <f>IFERROR(IF(O180="","",VLOOKUP(AD180,'G-3 Multipliers'!$P$3:$Q$6,2,FALSE)),"")</f>
        <v/>
      </c>
      <c r="AH180" s="289" t="str">
        <f t="shared" si="20"/>
        <v/>
      </c>
      <c r="AI180" s="108"/>
      <c r="AJ180" s="115"/>
      <c r="AK180" s="104"/>
      <c r="AT180" s="30" t="str">
        <f>IFERROR(INDEX('G-6 Hedgerow Data'!$BJ$3:$BJ$15,MATCH(M180,'G-6 Hedgerow Data'!$B$3:$B$15,0)),"")</f>
        <v/>
      </c>
    </row>
    <row r="181" spans="2:46" ht="14">
      <c r="B181" s="305" t="str">
        <f>'B-1 On-Site Hedge Baseline'!AK179</f>
        <v/>
      </c>
      <c r="C181" s="295" t="str">
        <f>IF(B181="","",IF(ISNA(VLOOKUP($B181,'B-1 On-Site Hedge Baseline'!$B$1:$L$257,3,FALSE)),"",(VLOOKUP($B181,'B-1 On-Site Hedge Baseline'!$B$1:$L$257,3,FALSE))))</f>
        <v/>
      </c>
      <c r="D181" s="295" t="str">
        <f>IF(B181="","",IF(ISNA(VLOOKUP($B181,'B-1 On-Site Hedge Baseline'!$B$1:$L$257,4,FALSE)),"",(VLOOKUP($B181,'B-1 On-Site Hedge Baseline'!$B$1:$L$257,4,FALSE))))</f>
        <v/>
      </c>
      <c r="E181" s="295" t="str">
        <f>IF(B181="","",IF(ISNA(VLOOKUP($B181,'B-1 On-Site Hedge Baseline'!$B$1:$L$257,5,FALSE)),"",(VLOOKUP($B181,'B-1 On-Site Hedge Baseline'!$B$1:$L$257,5,FALSE))))</f>
        <v/>
      </c>
      <c r="F181" s="295" t="str">
        <f>IF(B181="","",IF(ISNA(VLOOKUP($B181,'B-1 On-Site Hedge Baseline'!$B$1:$L$257,6,FALSE)),"",(VLOOKUP($B181,'B-1 On-Site Hedge Baseline'!$B$1:$L$257,6,FALSE))))</f>
        <v/>
      </c>
      <c r="G181" s="295" t="str">
        <f>IF(B181="","",IF(ISNA(VLOOKUP($B181,'B-1 On-Site Hedge Baseline'!$B$1:$L$257,7,FALSE)),"",(VLOOKUP($B181,'B-1 On-Site Hedge Baseline'!$B$1:$L$257,7,FALSE))))</f>
        <v/>
      </c>
      <c r="H181" s="295" t="str">
        <f>IF(B181="","",IF(ISNA(VLOOKUP($B181,'B-1 On-Site Hedge Baseline'!$B$1:$L$257,8,FALSE)),"",(VLOOKUP($B181,'B-1 On-Site Hedge Baseline'!$B$1:$L$257,8,FALSE))))</f>
        <v/>
      </c>
      <c r="I181" s="295" t="str">
        <f>IF(B181="","",IF(ISNA(VLOOKUP($B181,'B-1 On-Site Hedge Baseline'!$B$1:$L$257,10,FALSE)),"",(VLOOKUP($B181,'B-1 On-Site Hedge Baseline'!$B$1:$L$257,10,FALSE))))</f>
        <v/>
      </c>
      <c r="J181" s="295" t="str">
        <f>IF(B181="","",IF(ISNA(VLOOKUP($B181,'B-1 On-Site Hedge Baseline'!$B$1:$L$257,11,FALSE)),"",(VLOOKUP($B181,'B-1 On-Site Hedge Baseline'!$B$1:$L$257,11,FALSE))))</f>
        <v/>
      </c>
      <c r="K181" s="295" t="str">
        <f>IF(B181="","",IF(ISNA(VLOOKUP($B181,'B-1 On-Site Hedge Baseline'!$B$1:$U$257,13,FALSE)),"",(VLOOKUP($B181,'B-1 On-Site Hedge Baseline'!$B$1:$U$257,13,FALSE))))</f>
        <v/>
      </c>
      <c r="L181" s="299" t="str">
        <f>IF(B181="","",IF(ISNA(VLOOKUP($B181,'B-1 On-Site Hedge Baseline'!$B$1:$U$257,12,FALSE)),"",(VLOOKUP($B181,'B-1 On-Site Hedge Baseline'!$B$1:$U$257,12,FALSE))))</f>
        <v/>
      </c>
      <c r="M181" s="611"/>
      <c r="N181" s="275" t="str">
        <f>IFERROR(IF(B181="","",INDEX('G-6 Hedgerow Data'!$AN$3:$AZ$15,MATCH(C181,'G-6 Hedgerow Data'!$AM$3:$AM$15,0),MATCH(M181,'G-6 Hedgerow Data'!$AN$2:$AZ$2,0))),"")</f>
        <v/>
      </c>
      <c r="O181" s="276" t="str">
        <f t="shared" si="15"/>
        <v/>
      </c>
      <c r="P181" s="329" t="str">
        <f>IF(B181="","",VLOOKUP(B181,'B-1 On-Site Hedge Baseline'!$B$10:T426,16,FALSE))</f>
        <v/>
      </c>
      <c r="Q181" s="275" t="str">
        <f>IF(M181="","",VLOOKUP(M181,'G-6 Hedgerow Data'!$B$2:$AG$15,2,FALSE))</f>
        <v/>
      </c>
      <c r="R181" s="276" t="str">
        <f>IF(M181="","",VLOOKUP(M181,'G-6 Hedgerow Data'!$B$2:$AG$15,3,FALSE))</f>
        <v/>
      </c>
      <c r="S181" s="108"/>
      <c r="T181" s="314" t="str">
        <f>IFERROR(IF(S181="","",IF(AND(M181="Non-native and ornamental hedgerow",S181&lt;&gt;"Poor"),"Not possible ▲",(VLOOKUP(S181,'G-1 All Habitats'!$Z$2:$AA$9,2,FALSE)))),"")</f>
        <v/>
      </c>
      <c r="U181" s="105"/>
      <c r="V181" s="295" t="str">
        <f>IF(U181="","",IF(VLOOKUP(U181,'G-3 Multipliers'!$L$3:$N$6,2,FALSE)=0,"Spatial Data Missing ⚠",VLOOKUP(U181,'G-3 Multipliers'!$L$3:$N$6,2,FALSE)))</f>
        <v/>
      </c>
      <c r="W181" s="299" t="str">
        <f>IF(U181="","",IF(VLOOKUP(U181,'G-3 Multipliers'!$L$3:$N$6,3,FALSE)=0,"Spatial Data Missing ⚠",VLOOKUP(U181,'G-3 Multipliers'!$L$3:$N$6,3,FALSE)))</f>
        <v/>
      </c>
      <c r="X181" s="275" t="str">
        <f>IFERROR(IF(OR(LEFT(O181,5)="Error",LEFT(N181,5)="Error",T181="Error"),"Check Data ⚠",IF(F181&lt;R181,INDEX('G-6 Hedgerow Data'!$S$3:$AE$14,MATCH(C181,'G-6 Hedgerow Data'!$B$3:$B$14,0),MATCH(M181,'G-6 Hedgerow Data'!$S$2:$AE$2,0)),INDEX('G-6 Hedgerow Data'!$K$3:$Q$14,MATCH(M181,'G-6 Hedgerow Data'!$B$3:$B$14,0),MATCH(O181,'G-6 Hedgerow Data'!$K$2:$Q$2,0)))),"")</f>
        <v/>
      </c>
      <c r="Y181" s="133"/>
      <c r="Z181" s="133"/>
      <c r="AA181" s="283" t="str">
        <f t="shared" si="16"/>
        <v/>
      </c>
      <c r="AB181" s="296" t="str">
        <f t="shared" si="17"/>
        <v/>
      </c>
      <c r="AC181" s="297" t="str">
        <f t="shared" si="14"/>
        <v/>
      </c>
      <c r="AD181" s="311" t="str">
        <f>IF(M181="","",VLOOKUP(M181,'G-6 Hedgerow Data'!$B$3:$AG$15,31,FALSE))</f>
        <v/>
      </c>
      <c r="AE181" s="283" t="str">
        <f t="shared" si="18"/>
        <v/>
      </c>
      <c r="AF181" s="283" t="str">
        <f t="shared" si="19"/>
        <v/>
      </c>
      <c r="AG181" s="299" t="str">
        <f>IFERROR(IF(O181="","",VLOOKUP(AD181,'G-3 Multipliers'!$P$3:$Q$6,2,FALSE)),"")</f>
        <v/>
      </c>
      <c r="AH181" s="289" t="str">
        <f t="shared" si="20"/>
        <v/>
      </c>
      <c r="AI181" s="108"/>
      <c r="AJ181" s="115"/>
      <c r="AK181" s="104"/>
      <c r="AT181" s="30" t="str">
        <f>IFERROR(INDEX('G-6 Hedgerow Data'!$BJ$3:$BJ$15,MATCH(M181,'G-6 Hedgerow Data'!$B$3:$B$15,0)),"")</f>
        <v/>
      </c>
    </row>
    <row r="182" spans="2:46" ht="14">
      <c r="B182" s="305" t="str">
        <f>'B-1 On-Site Hedge Baseline'!AK180</f>
        <v/>
      </c>
      <c r="C182" s="295" t="str">
        <f>IF(B182="","",IF(ISNA(VLOOKUP($B182,'B-1 On-Site Hedge Baseline'!$B$1:$L$257,3,FALSE)),"",(VLOOKUP($B182,'B-1 On-Site Hedge Baseline'!$B$1:$L$257,3,FALSE))))</f>
        <v/>
      </c>
      <c r="D182" s="295" t="str">
        <f>IF(B182="","",IF(ISNA(VLOOKUP($B182,'B-1 On-Site Hedge Baseline'!$B$1:$L$257,4,FALSE)),"",(VLOOKUP($B182,'B-1 On-Site Hedge Baseline'!$B$1:$L$257,4,FALSE))))</f>
        <v/>
      </c>
      <c r="E182" s="295" t="str">
        <f>IF(B182="","",IF(ISNA(VLOOKUP($B182,'B-1 On-Site Hedge Baseline'!$B$1:$L$257,5,FALSE)),"",(VLOOKUP($B182,'B-1 On-Site Hedge Baseline'!$B$1:$L$257,5,FALSE))))</f>
        <v/>
      </c>
      <c r="F182" s="295" t="str">
        <f>IF(B182="","",IF(ISNA(VLOOKUP($B182,'B-1 On-Site Hedge Baseline'!$B$1:$L$257,6,FALSE)),"",(VLOOKUP($B182,'B-1 On-Site Hedge Baseline'!$B$1:$L$257,6,FALSE))))</f>
        <v/>
      </c>
      <c r="G182" s="295" t="str">
        <f>IF(B182="","",IF(ISNA(VLOOKUP($B182,'B-1 On-Site Hedge Baseline'!$B$1:$L$257,7,FALSE)),"",(VLOOKUP($B182,'B-1 On-Site Hedge Baseline'!$B$1:$L$257,7,FALSE))))</f>
        <v/>
      </c>
      <c r="H182" s="295" t="str">
        <f>IF(B182="","",IF(ISNA(VLOOKUP($B182,'B-1 On-Site Hedge Baseline'!$B$1:$L$257,8,FALSE)),"",(VLOOKUP($B182,'B-1 On-Site Hedge Baseline'!$B$1:$L$257,8,FALSE))))</f>
        <v/>
      </c>
      <c r="I182" s="295" t="str">
        <f>IF(B182="","",IF(ISNA(VLOOKUP($B182,'B-1 On-Site Hedge Baseline'!$B$1:$L$257,10,FALSE)),"",(VLOOKUP($B182,'B-1 On-Site Hedge Baseline'!$B$1:$L$257,10,FALSE))))</f>
        <v/>
      </c>
      <c r="J182" s="295" t="str">
        <f>IF(B182="","",IF(ISNA(VLOOKUP($B182,'B-1 On-Site Hedge Baseline'!$B$1:$L$257,11,FALSE)),"",(VLOOKUP($B182,'B-1 On-Site Hedge Baseline'!$B$1:$L$257,11,FALSE))))</f>
        <v/>
      </c>
      <c r="K182" s="295" t="str">
        <f>IF(B182="","",IF(ISNA(VLOOKUP($B182,'B-1 On-Site Hedge Baseline'!$B$1:$U$257,13,FALSE)),"",(VLOOKUP($B182,'B-1 On-Site Hedge Baseline'!$B$1:$U$257,13,FALSE))))</f>
        <v/>
      </c>
      <c r="L182" s="299" t="str">
        <f>IF(B182="","",IF(ISNA(VLOOKUP($B182,'B-1 On-Site Hedge Baseline'!$B$1:$U$257,12,FALSE)),"",(VLOOKUP($B182,'B-1 On-Site Hedge Baseline'!$B$1:$U$257,12,FALSE))))</f>
        <v/>
      </c>
      <c r="M182" s="611"/>
      <c r="N182" s="275" t="str">
        <f>IFERROR(IF(B182="","",INDEX('G-6 Hedgerow Data'!$AN$3:$AZ$15,MATCH(C182,'G-6 Hedgerow Data'!$AM$3:$AM$15,0),MATCH(M182,'G-6 Hedgerow Data'!$AN$2:$AZ$2,0))),"")</f>
        <v/>
      </c>
      <c r="O182" s="276" t="str">
        <f t="shared" si="15"/>
        <v/>
      </c>
      <c r="P182" s="329" t="str">
        <f>IF(B182="","",VLOOKUP(B182,'B-1 On-Site Hedge Baseline'!$B$10:T427,16,FALSE))</f>
        <v/>
      </c>
      <c r="Q182" s="275" t="str">
        <f>IF(M182="","",VLOOKUP(M182,'G-6 Hedgerow Data'!$B$2:$AG$15,2,FALSE))</f>
        <v/>
      </c>
      <c r="R182" s="276" t="str">
        <f>IF(M182="","",VLOOKUP(M182,'G-6 Hedgerow Data'!$B$2:$AG$15,3,FALSE))</f>
        <v/>
      </c>
      <c r="S182" s="108"/>
      <c r="T182" s="314" t="str">
        <f>IFERROR(IF(S182="","",IF(AND(M182="Non-native and ornamental hedgerow",S182&lt;&gt;"Poor"),"Not possible ▲",(VLOOKUP(S182,'G-1 All Habitats'!$Z$2:$AA$9,2,FALSE)))),"")</f>
        <v/>
      </c>
      <c r="U182" s="105"/>
      <c r="V182" s="295" t="str">
        <f>IF(U182="","",IF(VLOOKUP(U182,'G-3 Multipliers'!$L$3:$N$6,2,FALSE)=0,"Spatial Data Missing ⚠",VLOOKUP(U182,'G-3 Multipliers'!$L$3:$N$6,2,FALSE)))</f>
        <v/>
      </c>
      <c r="W182" s="299" t="str">
        <f>IF(U182="","",IF(VLOOKUP(U182,'G-3 Multipliers'!$L$3:$N$6,3,FALSE)=0,"Spatial Data Missing ⚠",VLOOKUP(U182,'G-3 Multipliers'!$L$3:$N$6,3,FALSE)))</f>
        <v/>
      </c>
      <c r="X182" s="275" t="str">
        <f>IFERROR(IF(OR(LEFT(O182,5)="Error",LEFT(N182,5)="Error",T182="Error"),"Check Data ⚠",IF(F182&lt;R182,INDEX('G-6 Hedgerow Data'!$S$3:$AE$14,MATCH(C182,'G-6 Hedgerow Data'!$B$3:$B$14,0),MATCH(M182,'G-6 Hedgerow Data'!$S$2:$AE$2,0)),INDEX('G-6 Hedgerow Data'!$K$3:$Q$14,MATCH(M182,'G-6 Hedgerow Data'!$B$3:$B$14,0),MATCH(O182,'G-6 Hedgerow Data'!$K$2:$Q$2,0)))),"")</f>
        <v/>
      </c>
      <c r="Y182" s="133"/>
      <c r="Z182" s="133"/>
      <c r="AA182" s="283" t="str">
        <f t="shared" si="16"/>
        <v/>
      </c>
      <c r="AB182" s="296" t="str">
        <f t="shared" si="17"/>
        <v/>
      </c>
      <c r="AC182" s="297" t="str">
        <f t="shared" si="14"/>
        <v/>
      </c>
      <c r="AD182" s="311" t="str">
        <f>IF(M182="","",VLOOKUP(M182,'G-6 Hedgerow Data'!$B$3:$AG$15,31,FALSE))</f>
        <v/>
      </c>
      <c r="AE182" s="283" t="str">
        <f t="shared" si="18"/>
        <v/>
      </c>
      <c r="AF182" s="283" t="str">
        <f t="shared" si="19"/>
        <v/>
      </c>
      <c r="AG182" s="299" t="str">
        <f>IFERROR(IF(O182="","",VLOOKUP(AD182,'G-3 Multipliers'!$P$3:$Q$6,2,FALSE)),"")</f>
        <v/>
      </c>
      <c r="AH182" s="289" t="str">
        <f t="shared" si="20"/>
        <v/>
      </c>
      <c r="AI182" s="108"/>
      <c r="AJ182" s="115"/>
      <c r="AK182" s="104"/>
      <c r="AT182" s="30" t="str">
        <f>IFERROR(INDEX('G-6 Hedgerow Data'!$BJ$3:$BJ$15,MATCH(M182,'G-6 Hedgerow Data'!$B$3:$B$15,0)),"")</f>
        <v/>
      </c>
    </row>
    <row r="183" spans="2:46" ht="14">
      <c r="B183" s="305" t="str">
        <f>'B-1 On-Site Hedge Baseline'!AK181</f>
        <v/>
      </c>
      <c r="C183" s="295" t="str">
        <f>IF(B183="","",IF(ISNA(VLOOKUP($B183,'B-1 On-Site Hedge Baseline'!$B$1:$L$257,3,FALSE)),"",(VLOOKUP($B183,'B-1 On-Site Hedge Baseline'!$B$1:$L$257,3,FALSE))))</f>
        <v/>
      </c>
      <c r="D183" s="295" t="str">
        <f>IF(B183="","",IF(ISNA(VLOOKUP($B183,'B-1 On-Site Hedge Baseline'!$B$1:$L$257,4,FALSE)),"",(VLOOKUP($B183,'B-1 On-Site Hedge Baseline'!$B$1:$L$257,4,FALSE))))</f>
        <v/>
      </c>
      <c r="E183" s="295" t="str">
        <f>IF(B183="","",IF(ISNA(VLOOKUP($B183,'B-1 On-Site Hedge Baseline'!$B$1:$L$257,5,FALSE)),"",(VLOOKUP($B183,'B-1 On-Site Hedge Baseline'!$B$1:$L$257,5,FALSE))))</f>
        <v/>
      </c>
      <c r="F183" s="295" t="str">
        <f>IF(B183="","",IF(ISNA(VLOOKUP($B183,'B-1 On-Site Hedge Baseline'!$B$1:$L$257,6,FALSE)),"",(VLOOKUP($B183,'B-1 On-Site Hedge Baseline'!$B$1:$L$257,6,FALSE))))</f>
        <v/>
      </c>
      <c r="G183" s="295" t="str">
        <f>IF(B183="","",IF(ISNA(VLOOKUP($B183,'B-1 On-Site Hedge Baseline'!$B$1:$L$257,7,FALSE)),"",(VLOOKUP($B183,'B-1 On-Site Hedge Baseline'!$B$1:$L$257,7,FALSE))))</f>
        <v/>
      </c>
      <c r="H183" s="295" t="str">
        <f>IF(B183="","",IF(ISNA(VLOOKUP($B183,'B-1 On-Site Hedge Baseline'!$B$1:$L$257,8,FALSE)),"",(VLOOKUP($B183,'B-1 On-Site Hedge Baseline'!$B$1:$L$257,8,FALSE))))</f>
        <v/>
      </c>
      <c r="I183" s="295" t="str">
        <f>IF(B183="","",IF(ISNA(VLOOKUP($B183,'B-1 On-Site Hedge Baseline'!$B$1:$L$257,10,FALSE)),"",(VLOOKUP($B183,'B-1 On-Site Hedge Baseline'!$B$1:$L$257,10,FALSE))))</f>
        <v/>
      </c>
      <c r="J183" s="295" t="str">
        <f>IF(B183="","",IF(ISNA(VLOOKUP($B183,'B-1 On-Site Hedge Baseline'!$B$1:$L$257,11,FALSE)),"",(VLOOKUP($B183,'B-1 On-Site Hedge Baseline'!$B$1:$L$257,11,FALSE))))</f>
        <v/>
      </c>
      <c r="K183" s="295" t="str">
        <f>IF(B183="","",IF(ISNA(VLOOKUP($B183,'B-1 On-Site Hedge Baseline'!$B$1:$U$257,13,FALSE)),"",(VLOOKUP($B183,'B-1 On-Site Hedge Baseline'!$B$1:$U$257,13,FALSE))))</f>
        <v/>
      </c>
      <c r="L183" s="299" t="str">
        <f>IF(B183="","",IF(ISNA(VLOOKUP($B183,'B-1 On-Site Hedge Baseline'!$B$1:$U$257,12,FALSE)),"",(VLOOKUP($B183,'B-1 On-Site Hedge Baseline'!$B$1:$U$257,12,FALSE))))</f>
        <v/>
      </c>
      <c r="M183" s="611"/>
      <c r="N183" s="275" t="str">
        <f>IFERROR(IF(B183="","",INDEX('G-6 Hedgerow Data'!$AN$3:$AZ$15,MATCH(C183,'G-6 Hedgerow Data'!$AM$3:$AM$15,0),MATCH(M183,'G-6 Hedgerow Data'!$AN$2:$AZ$2,0))),"")</f>
        <v/>
      </c>
      <c r="O183" s="276" t="str">
        <f t="shared" si="15"/>
        <v/>
      </c>
      <c r="P183" s="329" t="str">
        <f>IF(B183="","",VLOOKUP(B183,'B-1 On-Site Hedge Baseline'!$B$10:T428,16,FALSE))</f>
        <v/>
      </c>
      <c r="Q183" s="275" t="str">
        <f>IF(M183="","",VLOOKUP(M183,'G-6 Hedgerow Data'!$B$2:$AG$15,2,FALSE))</f>
        <v/>
      </c>
      <c r="R183" s="276" t="str">
        <f>IF(M183="","",VLOOKUP(M183,'G-6 Hedgerow Data'!$B$2:$AG$15,3,FALSE))</f>
        <v/>
      </c>
      <c r="S183" s="108"/>
      <c r="T183" s="314" t="str">
        <f>IFERROR(IF(S183="","",IF(AND(M183="Non-native and ornamental hedgerow",S183&lt;&gt;"Poor"),"Not possible ▲",(VLOOKUP(S183,'G-1 All Habitats'!$Z$2:$AA$9,2,FALSE)))),"")</f>
        <v/>
      </c>
      <c r="U183" s="105"/>
      <c r="V183" s="295" t="str">
        <f>IF(U183="","",IF(VLOOKUP(U183,'G-3 Multipliers'!$L$3:$N$6,2,FALSE)=0,"Spatial Data Missing ⚠",VLOOKUP(U183,'G-3 Multipliers'!$L$3:$N$6,2,FALSE)))</f>
        <v/>
      </c>
      <c r="W183" s="299" t="str">
        <f>IF(U183="","",IF(VLOOKUP(U183,'G-3 Multipliers'!$L$3:$N$6,3,FALSE)=0,"Spatial Data Missing ⚠",VLOOKUP(U183,'G-3 Multipliers'!$L$3:$N$6,3,FALSE)))</f>
        <v/>
      </c>
      <c r="X183" s="275" t="str">
        <f>IFERROR(IF(OR(LEFT(O183,5)="Error",LEFT(N183,5)="Error",T183="Error"),"Check Data ⚠",IF(F183&lt;R183,INDEX('G-6 Hedgerow Data'!$S$3:$AE$14,MATCH(C183,'G-6 Hedgerow Data'!$B$3:$B$14,0),MATCH(M183,'G-6 Hedgerow Data'!$S$2:$AE$2,0)),INDEX('G-6 Hedgerow Data'!$K$3:$Q$14,MATCH(M183,'G-6 Hedgerow Data'!$B$3:$B$14,0),MATCH(O183,'G-6 Hedgerow Data'!$K$2:$Q$2,0)))),"")</f>
        <v/>
      </c>
      <c r="Y183" s="133"/>
      <c r="Z183" s="133"/>
      <c r="AA183" s="283" t="str">
        <f t="shared" si="16"/>
        <v/>
      </c>
      <c r="AB183" s="296" t="str">
        <f t="shared" si="17"/>
        <v/>
      </c>
      <c r="AC183" s="297" t="str">
        <f t="shared" si="14"/>
        <v/>
      </c>
      <c r="AD183" s="311" t="str">
        <f>IF(M183="","",VLOOKUP(M183,'G-6 Hedgerow Data'!$B$3:$AG$15,31,FALSE))</f>
        <v/>
      </c>
      <c r="AE183" s="283" t="str">
        <f t="shared" si="18"/>
        <v/>
      </c>
      <c r="AF183" s="283" t="str">
        <f t="shared" si="19"/>
        <v/>
      </c>
      <c r="AG183" s="299" t="str">
        <f>IFERROR(IF(O183="","",VLOOKUP(AD183,'G-3 Multipliers'!$P$3:$Q$6,2,FALSE)),"")</f>
        <v/>
      </c>
      <c r="AH183" s="289" t="str">
        <f t="shared" si="20"/>
        <v/>
      </c>
      <c r="AI183" s="108"/>
      <c r="AJ183" s="115"/>
      <c r="AK183" s="104"/>
      <c r="AT183" s="30" t="str">
        <f>IFERROR(INDEX('G-6 Hedgerow Data'!$BJ$3:$BJ$15,MATCH(M183,'G-6 Hedgerow Data'!$B$3:$B$15,0)),"")</f>
        <v/>
      </c>
    </row>
    <row r="184" spans="2:46" ht="14">
      <c r="B184" s="305" t="str">
        <f>'B-1 On-Site Hedge Baseline'!AK182</f>
        <v/>
      </c>
      <c r="C184" s="295" t="str">
        <f>IF(B184="","",IF(ISNA(VLOOKUP($B184,'B-1 On-Site Hedge Baseline'!$B$1:$L$257,3,FALSE)),"",(VLOOKUP($B184,'B-1 On-Site Hedge Baseline'!$B$1:$L$257,3,FALSE))))</f>
        <v/>
      </c>
      <c r="D184" s="295" t="str">
        <f>IF(B184="","",IF(ISNA(VLOOKUP($B184,'B-1 On-Site Hedge Baseline'!$B$1:$L$257,4,FALSE)),"",(VLOOKUP($B184,'B-1 On-Site Hedge Baseline'!$B$1:$L$257,4,FALSE))))</f>
        <v/>
      </c>
      <c r="E184" s="295" t="str">
        <f>IF(B184="","",IF(ISNA(VLOOKUP($B184,'B-1 On-Site Hedge Baseline'!$B$1:$L$257,5,FALSE)),"",(VLOOKUP($B184,'B-1 On-Site Hedge Baseline'!$B$1:$L$257,5,FALSE))))</f>
        <v/>
      </c>
      <c r="F184" s="295" t="str">
        <f>IF(B184="","",IF(ISNA(VLOOKUP($B184,'B-1 On-Site Hedge Baseline'!$B$1:$L$257,6,FALSE)),"",(VLOOKUP($B184,'B-1 On-Site Hedge Baseline'!$B$1:$L$257,6,FALSE))))</f>
        <v/>
      </c>
      <c r="G184" s="295" t="str">
        <f>IF(B184="","",IF(ISNA(VLOOKUP($B184,'B-1 On-Site Hedge Baseline'!$B$1:$L$257,7,FALSE)),"",(VLOOKUP($B184,'B-1 On-Site Hedge Baseline'!$B$1:$L$257,7,FALSE))))</f>
        <v/>
      </c>
      <c r="H184" s="295" t="str">
        <f>IF(B184="","",IF(ISNA(VLOOKUP($B184,'B-1 On-Site Hedge Baseline'!$B$1:$L$257,8,FALSE)),"",(VLOOKUP($B184,'B-1 On-Site Hedge Baseline'!$B$1:$L$257,8,FALSE))))</f>
        <v/>
      </c>
      <c r="I184" s="295" t="str">
        <f>IF(B184="","",IF(ISNA(VLOOKUP($B184,'B-1 On-Site Hedge Baseline'!$B$1:$L$257,10,FALSE)),"",(VLOOKUP($B184,'B-1 On-Site Hedge Baseline'!$B$1:$L$257,10,FALSE))))</f>
        <v/>
      </c>
      <c r="J184" s="295" t="str">
        <f>IF(B184="","",IF(ISNA(VLOOKUP($B184,'B-1 On-Site Hedge Baseline'!$B$1:$L$257,11,FALSE)),"",(VLOOKUP($B184,'B-1 On-Site Hedge Baseline'!$B$1:$L$257,11,FALSE))))</f>
        <v/>
      </c>
      <c r="K184" s="295" t="str">
        <f>IF(B184="","",IF(ISNA(VLOOKUP($B184,'B-1 On-Site Hedge Baseline'!$B$1:$U$257,13,FALSE)),"",(VLOOKUP($B184,'B-1 On-Site Hedge Baseline'!$B$1:$U$257,13,FALSE))))</f>
        <v/>
      </c>
      <c r="L184" s="299" t="str">
        <f>IF(B184="","",IF(ISNA(VLOOKUP($B184,'B-1 On-Site Hedge Baseline'!$B$1:$U$257,12,FALSE)),"",(VLOOKUP($B184,'B-1 On-Site Hedge Baseline'!$B$1:$U$257,12,FALSE))))</f>
        <v/>
      </c>
      <c r="M184" s="611"/>
      <c r="N184" s="275" t="str">
        <f>IFERROR(IF(B184="","",INDEX('G-6 Hedgerow Data'!$AN$3:$AZ$15,MATCH(C184,'G-6 Hedgerow Data'!$AM$3:$AM$15,0),MATCH(M184,'G-6 Hedgerow Data'!$AN$2:$AZ$2,0))),"")</f>
        <v/>
      </c>
      <c r="O184" s="276" t="str">
        <f t="shared" si="15"/>
        <v/>
      </c>
      <c r="P184" s="329" t="str">
        <f>IF(B184="","",VLOOKUP(B184,'B-1 On-Site Hedge Baseline'!$B$10:T429,16,FALSE))</f>
        <v/>
      </c>
      <c r="Q184" s="275" t="str">
        <f>IF(M184="","",VLOOKUP(M184,'G-6 Hedgerow Data'!$B$2:$AG$15,2,FALSE))</f>
        <v/>
      </c>
      <c r="R184" s="276" t="str">
        <f>IF(M184="","",VLOOKUP(M184,'G-6 Hedgerow Data'!$B$2:$AG$15,3,FALSE))</f>
        <v/>
      </c>
      <c r="S184" s="108"/>
      <c r="T184" s="314" t="str">
        <f>IFERROR(IF(S184="","",IF(AND(M184="Non-native and ornamental hedgerow",S184&lt;&gt;"Poor"),"Not possible ▲",(VLOOKUP(S184,'G-1 All Habitats'!$Z$2:$AA$9,2,FALSE)))),"")</f>
        <v/>
      </c>
      <c r="U184" s="105"/>
      <c r="V184" s="295" t="str">
        <f>IF(U184="","",IF(VLOOKUP(U184,'G-3 Multipliers'!$L$3:$N$6,2,FALSE)=0,"Spatial Data Missing ⚠",VLOOKUP(U184,'G-3 Multipliers'!$L$3:$N$6,2,FALSE)))</f>
        <v/>
      </c>
      <c r="W184" s="299" t="str">
        <f>IF(U184="","",IF(VLOOKUP(U184,'G-3 Multipliers'!$L$3:$N$6,3,FALSE)=0,"Spatial Data Missing ⚠",VLOOKUP(U184,'G-3 Multipliers'!$L$3:$N$6,3,FALSE)))</f>
        <v/>
      </c>
      <c r="X184" s="275" t="str">
        <f>IFERROR(IF(OR(LEFT(O184,5)="Error",LEFT(N184,5)="Error",T184="Error"),"Check Data ⚠",IF(F184&lt;R184,INDEX('G-6 Hedgerow Data'!$S$3:$AE$14,MATCH(C184,'G-6 Hedgerow Data'!$B$3:$B$14,0),MATCH(M184,'G-6 Hedgerow Data'!$S$2:$AE$2,0)),INDEX('G-6 Hedgerow Data'!$K$3:$Q$14,MATCH(M184,'G-6 Hedgerow Data'!$B$3:$B$14,0),MATCH(O184,'G-6 Hedgerow Data'!$K$2:$Q$2,0)))),"")</f>
        <v/>
      </c>
      <c r="Y184" s="133"/>
      <c r="Z184" s="133"/>
      <c r="AA184" s="283" t="str">
        <f t="shared" si="16"/>
        <v/>
      </c>
      <c r="AB184" s="296" t="str">
        <f t="shared" si="17"/>
        <v/>
      </c>
      <c r="AC184" s="297" t="str">
        <f t="shared" si="14"/>
        <v/>
      </c>
      <c r="AD184" s="311" t="str">
        <f>IF(M184="","",VLOOKUP(M184,'G-6 Hedgerow Data'!$B$3:$AG$15,31,FALSE))</f>
        <v/>
      </c>
      <c r="AE184" s="283" t="str">
        <f t="shared" si="18"/>
        <v/>
      </c>
      <c r="AF184" s="283" t="str">
        <f t="shared" si="19"/>
        <v/>
      </c>
      <c r="AG184" s="299" t="str">
        <f>IFERROR(IF(O184="","",VLOOKUP(AD184,'G-3 Multipliers'!$P$3:$Q$6,2,FALSE)),"")</f>
        <v/>
      </c>
      <c r="AH184" s="289" t="str">
        <f t="shared" si="20"/>
        <v/>
      </c>
      <c r="AI184" s="108"/>
      <c r="AJ184" s="115"/>
      <c r="AK184" s="104"/>
      <c r="AT184" s="30" t="str">
        <f>IFERROR(INDEX('G-6 Hedgerow Data'!$BJ$3:$BJ$15,MATCH(M184,'G-6 Hedgerow Data'!$B$3:$B$15,0)),"")</f>
        <v/>
      </c>
    </row>
    <row r="185" spans="2:46" ht="14">
      <c r="B185" s="305" t="str">
        <f>'B-1 On-Site Hedge Baseline'!AK183</f>
        <v/>
      </c>
      <c r="C185" s="295" t="str">
        <f>IF(B185="","",IF(ISNA(VLOOKUP($B185,'B-1 On-Site Hedge Baseline'!$B$1:$L$257,3,FALSE)),"",(VLOOKUP($B185,'B-1 On-Site Hedge Baseline'!$B$1:$L$257,3,FALSE))))</f>
        <v/>
      </c>
      <c r="D185" s="295" t="str">
        <f>IF(B185="","",IF(ISNA(VLOOKUP($B185,'B-1 On-Site Hedge Baseline'!$B$1:$L$257,4,FALSE)),"",(VLOOKUP($B185,'B-1 On-Site Hedge Baseline'!$B$1:$L$257,4,FALSE))))</f>
        <v/>
      </c>
      <c r="E185" s="295" t="str">
        <f>IF(B185="","",IF(ISNA(VLOOKUP($B185,'B-1 On-Site Hedge Baseline'!$B$1:$L$257,5,FALSE)),"",(VLOOKUP($B185,'B-1 On-Site Hedge Baseline'!$B$1:$L$257,5,FALSE))))</f>
        <v/>
      </c>
      <c r="F185" s="295" t="str">
        <f>IF(B185="","",IF(ISNA(VLOOKUP($B185,'B-1 On-Site Hedge Baseline'!$B$1:$L$257,6,FALSE)),"",(VLOOKUP($B185,'B-1 On-Site Hedge Baseline'!$B$1:$L$257,6,FALSE))))</f>
        <v/>
      </c>
      <c r="G185" s="295" t="str">
        <f>IF(B185="","",IF(ISNA(VLOOKUP($B185,'B-1 On-Site Hedge Baseline'!$B$1:$L$257,7,FALSE)),"",(VLOOKUP($B185,'B-1 On-Site Hedge Baseline'!$B$1:$L$257,7,FALSE))))</f>
        <v/>
      </c>
      <c r="H185" s="295" t="str">
        <f>IF(B185="","",IF(ISNA(VLOOKUP($B185,'B-1 On-Site Hedge Baseline'!$B$1:$L$257,8,FALSE)),"",(VLOOKUP($B185,'B-1 On-Site Hedge Baseline'!$B$1:$L$257,8,FALSE))))</f>
        <v/>
      </c>
      <c r="I185" s="295" t="str">
        <f>IF(B185="","",IF(ISNA(VLOOKUP($B185,'B-1 On-Site Hedge Baseline'!$B$1:$L$257,10,FALSE)),"",(VLOOKUP($B185,'B-1 On-Site Hedge Baseline'!$B$1:$L$257,10,FALSE))))</f>
        <v/>
      </c>
      <c r="J185" s="295" t="str">
        <f>IF(B185="","",IF(ISNA(VLOOKUP($B185,'B-1 On-Site Hedge Baseline'!$B$1:$L$257,11,FALSE)),"",(VLOOKUP($B185,'B-1 On-Site Hedge Baseline'!$B$1:$L$257,11,FALSE))))</f>
        <v/>
      </c>
      <c r="K185" s="295" t="str">
        <f>IF(B185="","",IF(ISNA(VLOOKUP($B185,'B-1 On-Site Hedge Baseline'!$B$1:$U$257,13,FALSE)),"",(VLOOKUP($B185,'B-1 On-Site Hedge Baseline'!$B$1:$U$257,13,FALSE))))</f>
        <v/>
      </c>
      <c r="L185" s="299" t="str">
        <f>IF(B185="","",IF(ISNA(VLOOKUP($B185,'B-1 On-Site Hedge Baseline'!$B$1:$U$257,12,FALSE)),"",(VLOOKUP($B185,'B-1 On-Site Hedge Baseline'!$B$1:$U$257,12,FALSE))))</f>
        <v/>
      </c>
      <c r="M185" s="611"/>
      <c r="N185" s="275" t="str">
        <f>IFERROR(IF(B185="","",INDEX('G-6 Hedgerow Data'!$AN$3:$AZ$15,MATCH(C185,'G-6 Hedgerow Data'!$AM$3:$AM$15,0),MATCH(M185,'G-6 Hedgerow Data'!$AN$2:$AZ$2,0))),"")</f>
        <v/>
      </c>
      <c r="O185" s="276" t="str">
        <f t="shared" si="15"/>
        <v/>
      </c>
      <c r="P185" s="329" t="str">
        <f>IF(B185="","",VLOOKUP(B185,'B-1 On-Site Hedge Baseline'!$B$10:T430,16,FALSE))</f>
        <v/>
      </c>
      <c r="Q185" s="275" t="str">
        <f>IF(M185="","",VLOOKUP(M185,'G-6 Hedgerow Data'!$B$2:$AG$15,2,FALSE))</f>
        <v/>
      </c>
      <c r="R185" s="276" t="str">
        <f>IF(M185="","",VLOOKUP(M185,'G-6 Hedgerow Data'!$B$2:$AG$15,3,FALSE))</f>
        <v/>
      </c>
      <c r="S185" s="108"/>
      <c r="T185" s="314" t="str">
        <f>IFERROR(IF(S185="","",IF(AND(M185="Non-native and ornamental hedgerow",S185&lt;&gt;"Poor"),"Not possible ▲",(VLOOKUP(S185,'G-1 All Habitats'!$Z$2:$AA$9,2,FALSE)))),"")</f>
        <v/>
      </c>
      <c r="U185" s="105"/>
      <c r="V185" s="295" t="str">
        <f>IF(U185="","",IF(VLOOKUP(U185,'G-3 Multipliers'!$L$3:$N$6,2,FALSE)=0,"Spatial Data Missing ⚠",VLOOKUP(U185,'G-3 Multipliers'!$L$3:$N$6,2,FALSE)))</f>
        <v/>
      </c>
      <c r="W185" s="299" t="str">
        <f>IF(U185="","",IF(VLOOKUP(U185,'G-3 Multipliers'!$L$3:$N$6,3,FALSE)=0,"Spatial Data Missing ⚠",VLOOKUP(U185,'G-3 Multipliers'!$L$3:$N$6,3,FALSE)))</f>
        <v/>
      </c>
      <c r="X185" s="275" t="str">
        <f>IFERROR(IF(OR(LEFT(O185,5)="Error",LEFT(N185,5)="Error",T185="Error"),"Check Data ⚠",IF(F185&lt;R185,INDEX('G-6 Hedgerow Data'!$S$3:$AE$14,MATCH(C185,'G-6 Hedgerow Data'!$B$3:$B$14,0),MATCH(M185,'G-6 Hedgerow Data'!$S$2:$AE$2,0)),INDEX('G-6 Hedgerow Data'!$K$3:$Q$14,MATCH(M185,'G-6 Hedgerow Data'!$B$3:$B$14,0),MATCH(O185,'G-6 Hedgerow Data'!$K$2:$Q$2,0)))),"")</f>
        <v/>
      </c>
      <c r="Y185" s="133"/>
      <c r="Z185" s="133"/>
      <c r="AA185" s="283" t="str">
        <f t="shared" si="16"/>
        <v/>
      </c>
      <c r="AB185" s="296" t="str">
        <f t="shared" si="17"/>
        <v/>
      </c>
      <c r="AC185" s="297" t="str">
        <f t="shared" si="14"/>
        <v/>
      </c>
      <c r="AD185" s="311" t="str">
        <f>IF(M185="","",VLOOKUP(M185,'G-6 Hedgerow Data'!$B$3:$AG$15,31,FALSE))</f>
        <v/>
      </c>
      <c r="AE185" s="283" t="str">
        <f t="shared" si="18"/>
        <v/>
      </c>
      <c r="AF185" s="283" t="str">
        <f t="shared" si="19"/>
        <v/>
      </c>
      <c r="AG185" s="299" t="str">
        <f>IFERROR(IF(O185="","",VLOOKUP(AD185,'G-3 Multipliers'!$P$3:$Q$6,2,FALSE)),"")</f>
        <v/>
      </c>
      <c r="AH185" s="289" t="str">
        <f t="shared" si="20"/>
        <v/>
      </c>
      <c r="AI185" s="108"/>
      <c r="AJ185" s="115"/>
      <c r="AK185" s="104"/>
      <c r="AT185" s="30" t="str">
        <f>IFERROR(INDEX('G-6 Hedgerow Data'!$BJ$3:$BJ$15,MATCH(M185,'G-6 Hedgerow Data'!$B$3:$B$15,0)),"")</f>
        <v/>
      </c>
    </row>
    <row r="186" spans="2:46" ht="14">
      <c r="B186" s="305" t="str">
        <f>'B-1 On-Site Hedge Baseline'!AK184</f>
        <v/>
      </c>
      <c r="C186" s="295" t="str">
        <f>IF(B186="","",IF(ISNA(VLOOKUP($B186,'B-1 On-Site Hedge Baseline'!$B$1:$L$257,3,FALSE)),"",(VLOOKUP($B186,'B-1 On-Site Hedge Baseline'!$B$1:$L$257,3,FALSE))))</f>
        <v/>
      </c>
      <c r="D186" s="295" t="str">
        <f>IF(B186="","",IF(ISNA(VLOOKUP($B186,'B-1 On-Site Hedge Baseline'!$B$1:$L$257,4,FALSE)),"",(VLOOKUP($B186,'B-1 On-Site Hedge Baseline'!$B$1:$L$257,4,FALSE))))</f>
        <v/>
      </c>
      <c r="E186" s="295" t="str">
        <f>IF(B186="","",IF(ISNA(VLOOKUP($B186,'B-1 On-Site Hedge Baseline'!$B$1:$L$257,5,FALSE)),"",(VLOOKUP($B186,'B-1 On-Site Hedge Baseline'!$B$1:$L$257,5,FALSE))))</f>
        <v/>
      </c>
      <c r="F186" s="295" t="str">
        <f>IF(B186="","",IF(ISNA(VLOOKUP($B186,'B-1 On-Site Hedge Baseline'!$B$1:$L$257,6,FALSE)),"",(VLOOKUP($B186,'B-1 On-Site Hedge Baseline'!$B$1:$L$257,6,FALSE))))</f>
        <v/>
      </c>
      <c r="G186" s="295" t="str">
        <f>IF(B186="","",IF(ISNA(VLOOKUP($B186,'B-1 On-Site Hedge Baseline'!$B$1:$L$257,7,FALSE)),"",(VLOOKUP($B186,'B-1 On-Site Hedge Baseline'!$B$1:$L$257,7,FALSE))))</f>
        <v/>
      </c>
      <c r="H186" s="295" t="str">
        <f>IF(B186="","",IF(ISNA(VLOOKUP($B186,'B-1 On-Site Hedge Baseline'!$B$1:$L$257,8,FALSE)),"",(VLOOKUP($B186,'B-1 On-Site Hedge Baseline'!$B$1:$L$257,8,FALSE))))</f>
        <v/>
      </c>
      <c r="I186" s="295" t="str">
        <f>IF(B186="","",IF(ISNA(VLOOKUP($B186,'B-1 On-Site Hedge Baseline'!$B$1:$L$257,10,FALSE)),"",(VLOOKUP($B186,'B-1 On-Site Hedge Baseline'!$B$1:$L$257,10,FALSE))))</f>
        <v/>
      </c>
      <c r="J186" s="295" t="str">
        <f>IF(B186="","",IF(ISNA(VLOOKUP($B186,'B-1 On-Site Hedge Baseline'!$B$1:$L$257,11,FALSE)),"",(VLOOKUP($B186,'B-1 On-Site Hedge Baseline'!$B$1:$L$257,11,FALSE))))</f>
        <v/>
      </c>
      <c r="K186" s="295" t="str">
        <f>IF(B186="","",IF(ISNA(VLOOKUP($B186,'B-1 On-Site Hedge Baseline'!$B$1:$U$257,13,FALSE)),"",(VLOOKUP($B186,'B-1 On-Site Hedge Baseline'!$B$1:$U$257,13,FALSE))))</f>
        <v/>
      </c>
      <c r="L186" s="299" t="str">
        <f>IF(B186="","",IF(ISNA(VLOOKUP($B186,'B-1 On-Site Hedge Baseline'!$B$1:$U$257,12,FALSE)),"",(VLOOKUP($B186,'B-1 On-Site Hedge Baseline'!$B$1:$U$257,12,FALSE))))</f>
        <v/>
      </c>
      <c r="M186" s="611"/>
      <c r="N186" s="275" t="str">
        <f>IFERROR(IF(B186="","",INDEX('G-6 Hedgerow Data'!$AN$3:$AZ$15,MATCH(C186,'G-6 Hedgerow Data'!$AM$3:$AM$15,0),MATCH(M186,'G-6 Hedgerow Data'!$AN$2:$AZ$2,0))),"")</f>
        <v/>
      </c>
      <c r="O186" s="276" t="str">
        <f t="shared" si="15"/>
        <v/>
      </c>
      <c r="P186" s="329" t="str">
        <f>IF(B186="","",VLOOKUP(B186,'B-1 On-Site Hedge Baseline'!$B$10:T431,16,FALSE))</f>
        <v/>
      </c>
      <c r="Q186" s="275" t="str">
        <f>IF(M186="","",VLOOKUP(M186,'G-6 Hedgerow Data'!$B$2:$AG$15,2,FALSE))</f>
        <v/>
      </c>
      <c r="R186" s="276" t="str">
        <f>IF(M186="","",VLOOKUP(M186,'G-6 Hedgerow Data'!$B$2:$AG$15,3,FALSE))</f>
        <v/>
      </c>
      <c r="S186" s="108"/>
      <c r="T186" s="314" t="str">
        <f>IFERROR(IF(S186="","",IF(AND(M186="Non-native and ornamental hedgerow",S186&lt;&gt;"Poor"),"Not possible ▲",(VLOOKUP(S186,'G-1 All Habitats'!$Z$2:$AA$9,2,FALSE)))),"")</f>
        <v/>
      </c>
      <c r="U186" s="105"/>
      <c r="V186" s="295" t="str">
        <f>IF(U186="","",IF(VLOOKUP(U186,'G-3 Multipliers'!$L$3:$N$6,2,FALSE)=0,"Spatial Data Missing ⚠",VLOOKUP(U186,'G-3 Multipliers'!$L$3:$N$6,2,FALSE)))</f>
        <v/>
      </c>
      <c r="W186" s="299" t="str">
        <f>IF(U186="","",IF(VLOOKUP(U186,'G-3 Multipliers'!$L$3:$N$6,3,FALSE)=0,"Spatial Data Missing ⚠",VLOOKUP(U186,'G-3 Multipliers'!$L$3:$N$6,3,FALSE)))</f>
        <v/>
      </c>
      <c r="X186" s="275" t="str">
        <f>IFERROR(IF(OR(LEFT(O186,5)="Error",LEFT(N186,5)="Error",T186="Error"),"Check Data ⚠",IF(F186&lt;R186,INDEX('G-6 Hedgerow Data'!$S$3:$AE$14,MATCH(C186,'G-6 Hedgerow Data'!$B$3:$B$14,0),MATCH(M186,'G-6 Hedgerow Data'!$S$2:$AE$2,0)),INDEX('G-6 Hedgerow Data'!$K$3:$Q$14,MATCH(M186,'G-6 Hedgerow Data'!$B$3:$B$14,0),MATCH(O186,'G-6 Hedgerow Data'!$K$2:$Q$2,0)))),"")</f>
        <v/>
      </c>
      <c r="Y186" s="133"/>
      <c r="Z186" s="133"/>
      <c r="AA186" s="283" t="str">
        <f t="shared" si="16"/>
        <v/>
      </c>
      <c r="AB186" s="296" t="str">
        <f t="shared" si="17"/>
        <v/>
      </c>
      <c r="AC186" s="297" t="str">
        <f t="shared" si="14"/>
        <v/>
      </c>
      <c r="AD186" s="311" t="str">
        <f>IF(M186="","",VLOOKUP(M186,'G-6 Hedgerow Data'!$B$3:$AG$15,31,FALSE))</f>
        <v/>
      </c>
      <c r="AE186" s="283" t="str">
        <f t="shared" si="18"/>
        <v/>
      </c>
      <c r="AF186" s="283" t="str">
        <f t="shared" si="19"/>
        <v/>
      </c>
      <c r="AG186" s="299" t="str">
        <f>IFERROR(IF(O186="","",VLOOKUP(AD186,'G-3 Multipliers'!$P$3:$Q$6,2,FALSE)),"")</f>
        <v/>
      </c>
      <c r="AH186" s="289" t="str">
        <f t="shared" si="20"/>
        <v/>
      </c>
      <c r="AI186" s="108"/>
      <c r="AJ186" s="115"/>
      <c r="AK186" s="104"/>
      <c r="AT186" s="30" t="str">
        <f>IFERROR(INDEX('G-6 Hedgerow Data'!$BJ$3:$BJ$15,MATCH(M186,'G-6 Hedgerow Data'!$B$3:$B$15,0)),"")</f>
        <v/>
      </c>
    </row>
    <row r="187" spans="2:46" ht="14">
      <c r="B187" s="305" t="str">
        <f>'B-1 On-Site Hedge Baseline'!AK185</f>
        <v/>
      </c>
      <c r="C187" s="295" t="str">
        <f>IF(B187="","",IF(ISNA(VLOOKUP($B187,'B-1 On-Site Hedge Baseline'!$B$1:$L$257,3,FALSE)),"",(VLOOKUP($B187,'B-1 On-Site Hedge Baseline'!$B$1:$L$257,3,FALSE))))</f>
        <v/>
      </c>
      <c r="D187" s="295" t="str">
        <f>IF(B187="","",IF(ISNA(VLOOKUP($B187,'B-1 On-Site Hedge Baseline'!$B$1:$L$257,4,FALSE)),"",(VLOOKUP($B187,'B-1 On-Site Hedge Baseline'!$B$1:$L$257,4,FALSE))))</f>
        <v/>
      </c>
      <c r="E187" s="295" t="str">
        <f>IF(B187="","",IF(ISNA(VLOOKUP($B187,'B-1 On-Site Hedge Baseline'!$B$1:$L$257,5,FALSE)),"",(VLOOKUP($B187,'B-1 On-Site Hedge Baseline'!$B$1:$L$257,5,FALSE))))</f>
        <v/>
      </c>
      <c r="F187" s="295" t="str">
        <f>IF(B187="","",IF(ISNA(VLOOKUP($B187,'B-1 On-Site Hedge Baseline'!$B$1:$L$257,6,FALSE)),"",(VLOOKUP($B187,'B-1 On-Site Hedge Baseline'!$B$1:$L$257,6,FALSE))))</f>
        <v/>
      </c>
      <c r="G187" s="295" t="str">
        <f>IF(B187="","",IF(ISNA(VLOOKUP($B187,'B-1 On-Site Hedge Baseline'!$B$1:$L$257,7,FALSE)),"",(VLOOKUP($B187,'B-1 On-Site Hedge Baseline'!$B$1:$L$257,7,FALSE))))</f>
        <v/>
      </c>
      <c r="H187" s="295" t="str">
        <f>IF(B187="","",IF(ISNA(VLOOKUP($B187,'B-1 On-Site Hedge Baseline'!$B$1:$L$257,8,FALSE)),"",(VLOOKUP($B187,'B-1 On-Site Hedge Baseline'!$B$1:$L$257,8,FALSE))))</f>
        <v/>
      </c>
      <c r="I187" s="295" t="str">
        <f>IF(B187="","",IF(ISNA(VLOOKUP($B187,'B-1 On-Site Hedge Baseline'!$B$1:$L$257,10,FALSE)),"",(VLOOKUP($B187,'B-1 On-Site Hedge Baseline'!$B$1:$L$257,10,FALSE))))</f>
        <v/>
      </c>
      <c r="J187" s="295" t="str">
        <f>IF(B187="","",IF(ISNA(VLOOKUP($B187,'B-1 On-Site Hedge Baseline'!$B$1:$L$257,11,FALSE)),"",(VLOOKUP($B187,'B-1 On-Site Hedge Baseline'!$B$1:$L$257,11,FALSE))))</f>
        <v/>
      </c>
      <c r="K187" s="295" t="str">
        <f>IF(B187="","",IF(ISNA(VLOOKUP($B187,'B-1 On-Site Hedge Baseline'!$B$1:$U$257,13,FALSE)),"",(VLOOKUP($B187,'B-1 On-Site Hedge Baseline'!$B$1:$U$257,13,FALSE))))</f>
        <v/>
      </c>
      <c r="L187" s="299" t="str">
        <f>IF(B187="","",IF(ISNA(VLOOKUP($B187,'B-1 On-Site Hedge Baseline'!$B$1:$U$257,12,FALSE)),"",(VLOOKUP($B187,'B-1 On-Site Hedge Baseline'!$B$1:$U$257,12,FALSE))))</f>
        <v/>
      </c>
      <c r="M187" s="611"/>
      <c r="N187" s="275" t="str">
        <f>IFERROR(IF(B187="","",INDEX('G-6 Hedgerow Data'!$AN$3:$AZ$15,MATCH(C187,'G-6 Hedgerow Data'!$AM$3:$AM$15,0),MATCH(M187,'G-6 Hedgerow Data'!$AN$2:$AZ$2,0))),"")</f>
        <v/>
      </c>
      <c r="O187" s="276" t="str">
        <f t="shared" si="15"/>
        <v/>
      </c>
      <c r="P187" s="329" t="str">
        <f>IF(B187="","",VLOOKUP(B187,'B-1 On-Site Hedge Baseline'!$B$10:T432,16,FALSE))</f>
        <v/>
      </c>
      <c r="Q187" s="275" t="str">
        <f>IF(M187="","",VLOOKUP(M187,'G-6 Hedgerow Data'!$B$2:$AG$15,2,FALSE))</f>
        <v/>
      </c>
      <c r="R187" s="276" t="str">
        <f>IF(M187="","",VLOOKUP(M187,'G-6 Hedgerow Data'!$B$2:$AG$15,3,FALSE))</f>
        <v/>
      </c>
      <c r="S187" s="108"/>
      <c r="T187" s="314" t="str">
        <f>IFERROR(IF(S187="","",IF(AND(M187="Non-native and ornamental hedgerow",S187&lt;&gt;"Poor"),"Not possible ▲",(VLOOKUP(S187,'G-1 All Habitats'!$Z$2:$AA$9,2,FALSE)))),"")</f>
        <v/>
      </c>
      <c r="U187" s="105"/>
      <c r="V187" s="295" t="str">
        <f>IF(U187="","",IF(VLOOKUP(U187,'G-3 Multipliers'!$L$3:$N$6,2,FALSE)=0,"Spatial Data Missing ⚠",VLOOKUP(U187,'G-3 Multipliers'!$L$3:$N$6,2,FALSE)))</f>
        <v/>
      </c>
      <c r="W187" s="299" t="str">
        <f>IF(U187="","",IF(VLOOKUP(U187,'G-3 Multipliers'!$L$3:$N$6,3,FALSE)=0,"Spatial Data Missing ⚠",VLOOKUP(U187,'G-3 Multipliers'!$L$3:$N$6,3,FALSE)))</f>
        <v/>
      </c>
      <c r="X187" s="275" t="str">
        <f>IFERROR(IF(OR(LEFT(O187,5)="Error",LEFT(N187,5)="Error",T187="Error"),"Check Data ⚠",IF(F187&lt;R187,INDEX('G-6 Hedgerow Data'!$S$3:$AE$14,MATCH(C187,'G-6 Hedgerow Data'!$B$3:$B$14,0),MATCH(M187,'G-6 Hedgerow Data'!$S$2:$AE$2,0)),INDEX('G-6 Hedgerow Data'!$K$3:$Q$14,MATCH(M187,'G-6 Hedgerow Data'!$B$3:$B$14,0),MATCH(O187,'G-6 Hedgerow Data'!$K$2:$Q$2,0)))),"")</f>
        <v/>
      </c>
      <c r="Y187" s="133"/>
      <c r="Z187" s="133"/>
      <c r="AA187" s="283" t="str">
        <f t="shared" si="16"/>
        <v/>
      </c>
      <c r="AB187" s="296" t="str">
        <f t="shared" si="17"/>
        <v/>
      </c>
      <c r="AC187" s="297" t="str">
        <f t="shared" si="14"/>
        <v/>
      </c>
      <c r="AD187" s="311" t="str">
        <f>IF(M187="","",VLOOKUP(M187,'G-6 Hedgerow Data'!$B$3:$AG$15,31,FALSE))</f>
        <v/>
      </c>
      <c r="AE187" s="283" t="str">
        <f t="shared" si="18"/>
        <v/>
      </c>
      <c r="AF187" s="283" t="str">
        <f t="shared" si="19"/>
        <v/>
      </c>
      <c r="AG187" s="299" t="str">
        <f>IFERROR(IF(O187="","",VLOOKUP(AD187,'G-3 Multipliers'!$P$3:$Q$6,2,FALSE)),"")</f>
        <v/>
      </c>
      <c r="AH187" s="289" t="str">
        <f t="shared" si="20"/>
        <v/>
      </c>
      <c r="AI187" s="108"/>
      <c r="AJ187" s="115"/>
      <c r="AK187" s="104"/>
      <c r="AT187" s="30" t="str">
        <f>IFERROR(INDEX('G-6 Hedgerow Data'!$BJ$3:$BJ$15,MATCH(M187,'G-6 Hedgerow Data'!$B$3:$B$15,0)),"")</f>
        <v/>
      </c>
    </row>
    <row r="188" spans="2:46" ht="14">
      <c r="B188" s="305" t="str">
        <f>'B-1 On-Site Hedge Baseline'!AK186</f>
        <v/>
      </c>
      <c r="C188" s="295" t="str">
        <f>IF(B188="","",IF(ISNA(VLOOKUP($B188,'B-1 On-Site Hedge Baseline'!$B$1:$L$257,3,FALSE)),"",(VLOOKUP($B188,'B-1 On-Site Hedge Baseline'!$B$1:$L$257,3,FALSE))))</f>
        <v/>
      </c>
      <c r="D188" s="295" t="str">
        <f>IF(B188="","",IF(ISNA(VLOOKUP($B188,'B-1 On-Site Hedge Baseline'!$B$1:$L$257,4,FALSE)),"",(VLOOKUP($B188,'B-1 On-Site Hedge Baseline'!$B$1:$L$257,4,FALSE))))</f>
        <v/>
      </c>
      <c r="E188" s="295" t="str">
        <f>IF(B188="","",IF(ISNA(VLOOKUP($B188,'B-1 On-Site Hedge Baseline'!$B$1:$L$257,5,FALSE)),"",(VLOOKUP($B188,'B-1 On-Site Hedge Baseline'!$B$1:$L$257,5,FALSE))))</f>
        <v/>
      </c>
      <c r="F188" s="295" t="str">
        <f>IF(B188="","",IF(ISNA(VLOOKUP($B188,'B-1 On-Site Hedge Baseline'!$B$1:$L$257,6,FALSE)),"",(VLOOKUP($B188,'B-1 On-Site Hedge Baseline'!$B$1:$L$257,6,FALSE))))</f>
        <v/>
      </c>
      <c r="G188" s="295" t="str">
        <f>IF(B188="","",IF(ISNA(VLOOKUP($B188,'B-1 On-Site Hedge Baseline'!$B$1:$L$257,7,FALSE)),"",(VLOOKUP($B188,'B-1 On-Site Hedge Baseline'!$B$1:$L$257,7,FALSE))))</f>
        <v/>
      </c>
      <c r="H188" s="295" t="str">
        <f>IF(B188="","",IF(ISNA(VLOOKUP($B188,'B-1 On-Site Hedge Baseline'!$B$1:$L$257,8,FALSE)),"",(VLOOKUP($B188,'B-1 On-Site Hedge Baseline'!$B$1:$L$257,8,FALSE))))</f>
        <v/>
      </c>
      <c r="I188" s="295" t="str">
        <f>IF(B188="","",IF(ISNA(VLOOKUP($B188,'B-1 On-Site Hedge Baseline'!$B$1:$L$257,10,FALSE)),"",(VLOOKUP($B188,'B-1 On-Site Hedge Baseline'!$B$1:$L$257,10,FALSE))))</f>
        <v/>
      </c>
      <c r="J188" s="295" t="str">
        <f>IF(B188="","",IF(ISNA(VLOOKUP($B188,'B-1 On-Site Hedge Baseline'!$B$1:$L$257,11,FALSE)),"",(VLOOKUP($B188,'B-1 On-Site Hedge Baseline'!$B$1:$L$257,11,FALSE))))</f>
        <v/>
      </c>
      <c r="K188" s="295" t="str">
        <f>IF(B188="","",IF(ISNA(VLOOKUP($B188,'B-1 On-Site Hedge Baseline'!$B$1:$U$257,13,FALSE)),"",(VLOOKUP($B188,'B-1 On-Site Hedge Baseline'!$B$1:$U$257,13,FALSE))))</f>
        <v/>
      </c>
      <c r="L188" s="299" t="str">
        <f>IF(B188="","",IF(ISNA(VLOOKUP($B188,'B-1 On-Site Hedge Baseline'!$B$1:$U$257,12,FALSE)),"",(VLOOKUP($B188,'B-1 On-Site Hedge Baseline'!$B$1:$U$257,12,FALSE))))</f>
        <v/>
      </c>
      <c r="M188" s="611"/>
      <c r="N188" s="275" t="str">
        <f>IFERROR(IF(B188="","",INDEX('G-6 Hedgerow Data'!$AN$3:$AZ$15,MATCH(C188,'G-6 Hedgerow Data'!$AM$3:$AM$15,0),MATCH(M188,'G-6 Hedgerow Data'!$AN$2:$AZ$2,0))),"")</f>
        <v/>
      </c>
      <c r="O188" s="276" t="str">
        <f t="shared" si="15"/>
        <v/>
      </c>
      <c r="P188" s="329" t="str">
        <f>IF(B188="","",VLOOKUP(B188,'B-1 On-Site Hedge Baseline'!$B$10:T433,16,FALSE))</f>
        <v/>
      </c>
      <c r="Q188" s="275" t="str">
        <f>IF(M188="","",VLOOKUP(M188,'G-6 Hedgerow Data'!$B$2:$AG$15,2,FALSE))</f>
        <v/>
      </c>
      <c r="R188" s="276" t="str">
        <f>IF(M188="","",VLOOKUP(M188,'G-6 Hedgerow Data'!$B$2:$AG$15,3,FALSE))</f>
        <v/>
      </c>
      <c r="S188" s="108"/>
      <c r="T188" s="314" t="str">
        <f>IFERROR(IF(S188="","",IF(AND(M188="Non-native and ornamental hedgerow",S188&lt;&gt;"Poor"),"Not possible ▲",(VLOOKUP(S188,'G-1 All Habitats'!$Z$2:$AA$9,2,FALSE)))),"")</f>
        <v/>
      </c>
      <c r="U188" s="105"/>
      <c r="V188" s="295" t="str">
        <f>IF(U188="","",IF(VLOOKUP(U188,'G-3 Multipliers'!$L$3:$N$6,2,FALSE)=0,"Spatial Data Missing ⚠",VLOOKUP(U188,'G-3 Multipliers'!$L$3:$N$6,2,FALSE)))</f>
        <v/>
      </c>
      <c r="W188" s="299" t="str">
        <f>IF(U188="","",IF(VLOOKUP(U188,'G-3 Multipliers'!$L$3:$N$6,3,FALSE)=0,"Spatial Data Missing ⚠",VLOOKUP(U188,'G-3 Multipliers'!$L$3:$N$6,3,FALSE)))</f>
        <v/>
      </c>
      <c r="X188" s="275" t="str">
        <f>IFERROR(IF(OR(LEFT(O188,5)="Error",LEFT(N188,5)="Error",T188="Error"),"Check Data ⚠",IF(F188&lt;R188,INDEX('G-6 Hedgerow Data'!$S$3:$AE$14,MATCH(C188,'G-6 Hedgerow Data'!$B$3:$B$14,0),MATCH(M188,'G-6 Hedgerow Data'!$S$2:$AE$2,0)),INDEX('G-6 Hedgerow Data'!$K$3:$Q$14,MATCH(M188,'G-6 Hedgerow Data'!$B$3:$B$14,0),MATCH(O188,'G-6 Hedgerow Data'!$K$2:$Q$2,0)))),"")</f>
        <v/>
      </c>
      <c r="Y188" s="133"/>
      <c r="Z188" s="133"/>
      <c r="AA188" s="283" t="str">
        <f t="shared" si="16"/>
        <v/>
      </c>
      <c r="AB188" s="296" t="str">
        <f t="shared" si="17"/>
        <v/>
      </c>
      <c r="AC188" s="297" t="str">
        <f t="shared" si="14"/>
        <v/>
      </c>
      <c r="AD188" s="311" t="str">
        <f>IF(M188="","",VLOOKUP(M188,'G-6 Hedgerow Data'!$B$3:$AG$15,31,FALSE))</f>
        <v/>
      </c>
      <c r="AE188" s="283" t="str">
        <f t="shared" si="18"/>
        <v/>
      </c>
      <c r="AF188" s="283" t="str">
        <f t="shared" si="19"/>
        <v/>
      </c>
      <c r="AG188" s="299" t="str">
        <f>IFERROR(IF(O188="","",VLOOKUP(AD188,'G-3 Multipliers'!$P$3:$Q$6,2,FALSE)),"")</f>
        <v/>
      </c>
      <c r="AH188" s="289" t="str">
        <f t="shared" si="20"/>
        <v/>
      </c>
      <c r="AI188" s="108"/>
      <c r="AJ188" s="115"/>
      <c r="AK188" s="104"/>
      <c r="AT188" s="30" t="str">
        <f>IFERROR(INDEX('G-6 Hedgerow Data'!$BJ$3:$BJ$15,MATCH(M188,'G-6 Hedgerow Data'!$B$3:$B$15,0)),"")</f>
        <v/>
      </c>
    </row>
    <row r="189" spans="2:46" ht="14">
      <c r="B189" s="305" t="str">
        <f>'B-1 On-Site Hedge Baseline'!AK187</f>
        <v/>
      </c>
      <c r="C189" s="295" t="str">
        <f>IF(B189="","",IF(ISNA(VLOOKUP($B189,'B-1 On-Site Hedge Baseline'!$B$1:$L$257,3,FALSE)),"",(VLOOKUP($B189,'B-1 On-Site Hedge Baseline'!$B$1:$L$257,3,FALSE))))</f>
        <v/>
      </c>
      <c r="D189" s="295" t="str">
        <f>IF(B189="","",IF(ISNA(VLOOKUP($B189,'B-1 On-Site Hedge Baseline'!$B$1:$L$257,4,FALSE)),"",(VLOOKUP($B189,'B-1 On-Site Hedge Baseline'!$B$1:$L$257,4,FALSE))))</f>
        <v/>
      </c>
      <c r="E189" s="295" t="str">
        <f>IF(B189="","",IF(ISNA(VLOOKUP($B189,'B-1 On-Site Hedge Baseline'!$B$1:$L$257,5,FALSE)),"",(VLOOKUP($B189,'B-1 On-Site Hedge Baseline'!$B$1:$L$257,5,FALSE))))</f>
        <v/>
      </c>
      <c r="F189" s="295" t="str">
        <f>IF(B189="","",IF(ISNA(VLOOKUP($B189,'B-1 On-Site Hedge Baseline'!$B$1:$L$257,6,FALSE)),"",(VLOOKUP($B189,'B-1 On-Site Hedge Baseline'!$B$1:$L$257,6,FALSE))))</f>
        <v/>
      </c>
      <c r="G189" s="295" t="str">
        <f>IF(B189="","",IF(ISNA(VLOOKUP($B189,'B-1 On-Site Hedge Baseline'!$B$1:$L$257,7,FALSE)),"",(VLOOKUP($B189,'B-1 On-Site Hedge Baseline'!$B$1:$L$257,7,FALSE))))</f>
        <v/>
      </c>
      <c r="H189" s="295" t="str">
        <f>IF(B189="","",IF(ISNA(VLOOKUP($B189,'B-1 On-Site Hedge Baseline'!$B$1:$L$257,8,FALSE)),"",(VLOOKUP($B189,'B-1 On-Site Hedge Baseline'!$B$1:$L$257,8,FALSE))))</f>
        <v/>
      </c>
      <c r="I189" s="295" t="str">
        <f>IF(B189="","",IF(ISNA(VLOOKUP($B189,'B-1 On-Site Hedge Baseline'!$B$1:$L$257,10,FALSE)),"",(VLOOKUP($B189,'B-1 On-Site Hedge Baseline'!$B$1:$L$257,10,FALSE))))</f>
        <v/>
      </c>
      <c r="J189" s="295" t="str">
        <f>IF(B189="","",IF(ISNA(VLOOKUP($B189,'B-1 On-Site Hedge Baseline'!$B$1:$L$257,11,FALSE)),"",(VLOOKUP($B189,'B-1 On-Site Hedge Baseline'!$B$1:$L$257,11,FALSE))))</f>
        <v/>
      </c>
      <c r="K189" s="295" t="str">
        <f>IF(B189="","",IF(ISNA(VLOOKUP($B189,'B-1 On-Site Hedge Baseline'!$B$1:$U$257,13,FALSE)),"",(VLOOKUP($B189,'B-1 On-Site Hedge Baseline'!$B$1:$U$257,13,FALSE))))</f>
        <v/>
      </c>
      <c r="L189" s="299" t="str">
        <f>IF(B189="","",IF(ISNA(VLOOKUP($B189,'B-1 On-Site Hedge Baseline'!$B$1:$U$257,12,FALSE)),"",(VLOOKUP($B189,'B-1 On-Site Hedge Baseline'!$B$1:$U$257,12,FALSE))))</f>
        <v/>
      </c>
      <c r="M189" s="611"/>
      <c r="N189" s="275" t="str">
        <f>IFERROR(IF(B189="","",INDEX('G-6 Hedgerow Data'!$AN$3:$AZ$15,MATCH(C189,'G-6 Hedgerow Data'!$AM$3:$AM$15,0),MATCH(M189,'G-6 Hedgerow Data'!$AN$2:$AZ$2,0))),"")</f>
        <v/>
      </c>
      <c r="O189" s="276" t="str">
        <f t="shared" si="15"/>
        <v/>
      </c>
      <c r="P189" s="329" t="str">
        <f>IF(B189="","",VLOOKUP(B189,'B-1 On-Site Hedge Baseline'!$B$10:T434,16,FALSE))</f>
        <v/>
      </c>
      <c r="Q189" s="275" t="str">
        <f>IF(M189="","",VLOOKUP(M189,'G-6 Hedgerow Data'!$B$2:$AG$15,2,FALSE))</f>
        <v/>
      </c>
      <c r="R189" s="276" t="str">
        <f>IF(M189="","",VLOOKUP(M189,'G-6 Hedgerow Data'!$B$2:$AG$15,3,FALSE))</f>
        <v/>
      </c>
      <c r="S189" s="108"/>
      <c r="T189" s="314" t="str">
        <f>IFERROR(IF(S189="","",IF(AND(M189="Non-native and ornamental hedgerow",S189&lt;&gt;"Poor"),"Not possible ▲",(VLOOKUP(S189,'G-1 All Habitats'!$Z$2:$AA$9,2,FALSE)))),"")</f>
        <v/>
      </c>
      <c r="U189" s="105"/>
      <c r="V189" s="295" t="str">
        <f>IF(U189="","",IF(VLOOKUP(U189,'G-3 Multipliers'!$L$3:$N$6,2,FALSE)=0,"Spatial Data Missing ⚠",VLOOKUP(U189,'G-3 Multipliers'!$L$3:$N$6,2,FALSE)))</f>
        <v/>
      </c>
      <c r="W189" s="299" t="str">
        <f>IF(U189="","",IF(VLOOKUP(U189,'G-3 Multipliers'!$L$3:$N$6,3,FALSE)=0,"Spatial Data Missing ⚠",VLOOKUP(U189,'G-3 Multipliers'!$L$3:$N$6,3,FALSE)))</f>
        <v/>
      </c>
      <c r="X189" s="275" t="str">
        <f>IFERROR(IF(OR(LEFT(O189,5)="Error",LEFT(N189,5)="Error",T189="Error"),"Check Data ⚠",IF(F189&lt;R189,INDEX('G-6 Hedgerow Data'!$S$3:$AE$14,MATCH(C189,'G-6 Hedgerow Data'!$B$3:$B$14,0),MATCH(M189,'G-6 Hedgerow Data'!$S$2:$AE$2,0)),INDEX('G-6 Hedgerow Data'!$K$3:$Q$14,MATCH(M189,'G-6 Hedgerow Data'!$B$3:$B$14,0),MATCH(O189,'G-6 Hedgerow Data'!$K$2:$Q$2,0)))),"")</f>
        <v/>
      </c>
      <c r="Y189" s="133"/>
      <c r="Z189" s="133"/>
      <c r="AA189" s="283" t="str">
        <f t="shared" si="16"/>
        <v/>
      </c>
      <c r="AB189" s="296" t="str">
        <f t="shared" si="17"/>
        <v/>
      </c>
      <c r="AC189" s="297" t="str">
        <f t="shared" si="14"/>
        <v/>
      </c>
      <c r="AD189" s="311" t="str">
        <f>IF(M189="","",VLOOKUP(M189,'G-6 Hedgerow Data'!$B$3:$AG$15,31,FALSE))</f>
        <v/>
      </c>
      <c r="AE189" s="283" t="str">
        <f t="shared" si="18"/>
        <v/>
      </c>
      <c r="AF189" s="283" t="str">
        <f t="shared" si="19"/>
        <v/>
      </c>
      <c r="AG189" s="299" t="str">
        <f>IFERROR(IF(O189="","",VLOOKUP(AD189,'G-3 Multipliers'!$P$3:$Q$6,2,FALSE)),"")</f>
        <v/>
      </c>
      <c r="AH189" s="289" t="str">
        <f t="shared" si="20"/>
        <v/>
      </c>
      <c r="AI189" s="108"/>
      <c r="AJ189" s="115"/>
      <c r="AK189" s="104"/>
      <c r="AT189" s="30" t="str">
        <f>IFERROR(INDEX('G-6 Hedgerow Data'!$BJ$3:$BJ$15,MATCH(M189,'G-6 Hedgerow Data'!$B$3:$B$15,0)),"")</f>
        <v/>
      </c>
    </row>
    <row r="190" spans="2:46" ht="14">
      <c r="B190" s="305" t="str">
        <f>'B-1 On-Site Hedge Baseline'!AK188</f>
        <v/>
      </c>
      <c r="C190" s="295" t="str">
        <f>IF(B190="","",IF(ISNA(VLOOKUP($B190,'B-1 On-Site Hedge Baseline'!$B$1:$L$257,3,FALSE)),"",(VLOOKUP($B190,'B-1 On-Site Hedge Baseline'!$B$1:$L$257,3,FALSE))))</f>
        <v/>
      </c>
      <c r="D190" s="295" t="str">
        <f>IF(B190="","",IF(ISNA(VLOOKUP($B190,'B-1 On-Site Hedge Baseline'!$B$1:$L$257,4,FALSE)),"",(VLOOKUP($B190,'B-1 On-Site Hedge Baseline'!$B$1:$L$257,4,FALSE))))</f>
        <v/>
      </c>
      <c r="E190" s="295" t="str">
        <f>IF(B190="","",IF(ISNA(VLOOKUP($B190,'B-1 On-Site Hedge Baseline'!$B$1:$L$257,5,FALSE)),"",(VLOOKUP($B190,'B-1 On-Site Hedge Baseline'!$B$1:$L$257,5,FALSE))))</f>
        <v/>
      </c>
      <c r="F190" s="295" t="str">
        <f>IF(B190="","",IF(ISNA(VLOOKUP($B190,'B-1 On-Site Hedge Baseline'!$B$1:$L$257,6,FALSE)),"",(VLOOKUP($B190,'B-1 On-Site Hedge Baseline'!$B$1:$L$257,6,FALSE))))</f>
        <v/>
      </c>
      <c r="G190" s="295" t="str">
        <f>IF(B190="","",IF(ISNA(VLOOKUP($B190,'B-1 On-Site Hedge Baseline'!$B$1:$L$257,7,FALSE)),"",(VLOOKUP($B190,'B-1 On-Site Hedge Baseline'!$B$1:$L$257,7,FALSE))))</f>
        <v/>
      </c>
      <c r="H190" s="295" t="str">
        <f>IF(B190="","",IF(ISNA(VLOOKUP($B190,'B-1 On-Site Hedge Baseline'!$B$1:$L$257,8,FALSE)),"",(VLOOKUP($B190,'B-1 On-Site Hedge Baseline'!$B$1:$L$257,8,FALSE))))</f>
        <v/>
      </c>
      <c r="I190" s="295" t="str">
        <f>IF(B190="","",IF(ISNA(VLOOKUP($B190,'B-1 On-Site Hedge Baseline'!$B$1:$L$257,10,FALSE)),"",(VLOOKUP($B190,'B-1 On-Site Hedge Baseline'!$B$1:$L$257,10,FALSE))))</f>
        <v/>
      </c>
      <c r="J190" s="295" t="str">
        <f>IF(B190="","",IF(ISNA(VLOOKUP($B190,'B-1 On-Site Hedge Baseline'!$B$1:$L$257,11,FALSE)),"",(VLOOKUP($B190,'B-1 On-Site Hedge Baseline'!$B$1:$L$257,11,FALSE))))</f>
        <v/>
      </c>
      <c r="K190" s="295" t="str">
        <f>IF(B190="","",IF(ISNA(VLOOKUP($B190,'B-1 On-Site Hedge Baseline'!$B$1:$U$257,13,FALSE)),"",(VLOOKUP($B190,'B-1 On-Site Hedge Baseline'!$B$1:$U$257,13,FALSE))))</f>
        <v/>
      </c>
      <c r="L190" s="299" t="str">
        <f>IF(B190="","",IF(ISNA(VLOOKUP($B190,'B-1 On-Site Hedge Baseline'!$B$1:$U$257,12,FALSE)),"",(VLOOKUP($B190,'B-1 On-Site Hedge Baseline'!$B$1:$U$257,12,FALSE))))</f>
        <v/>
      </c>
      <c r="M190" s="611"/>
      <c r="N190" s="275" t="str">
        <f>IFERROR(IF(B190="","",INDEX('G-6 Hedgerow Data'!$AN$3:$AZ$15,MATCH(C190,'G-6 Hedgerow Data'!$AM$3:$AM$15,0),MATCH(M190,'G-6 Hedgerow Data'!$AN$2:$AZ$2,0))),"")</f>
        <v/>
      </c>
      <c r="O190" s="276" t="str">
        <f t="shared" si="15"/>
        <v/>
      </c>
      <c r="P190" s="329" t="str">
        <f>IF(B190="","",VLOOKUP(B190,'B-1 On-Site Hedge Baseline'!$B$10:T435,16,FALSE))</f>
        <v/>
      </c>
      <c r="Q190" s="275" t="str">
        <f>IF(M190="","",VLOOKUP(M190,'G-6 Hedgerow Data'!$B$2:$AG$15,2,FALSE))</f>
        <v/>
      </c>
      <c r="R190" s="276" t="str">
        <f>IF(M190="","",VLOOKUP(M190,'G-6 Hedgerow Data'!$B$2:$AG$15,3,FALSE))</f>
        <v/>
      </c>
      <c r="S190" s="108"/>
      <c r="T190" s="314" t="str">
        <f>IFERROR(IF(S190="","",IF(AND(M190="Non-native and ornamental hedgerow",S190&lt;&gt;"Poor"),"Not possible ▲",(VLOOKUP(S190,'G-1 All Habitats'!$Z$2:$AA$9,2,FALSE)))),"")</f>
        <v/>
      </c>
      <c r="U190" s="105"/>
      <c r="V190" s="295" t="str">
        <f>IF(U190="","",IF(VLOOKUP(U190,'G-3 Multipliers'!$L$3:$N$6,2,FALSE)=0,"Spatial Data Missing ⚠",VLOOKUP(U190,'G-3 Multipliers'!$L$3:$N$6,2,FALSE)))</f>
        <v/>
      </c>
      <c r="W190" s="299" t="str">
        <f>IF(U190="","",IF(VLOOKUP(U190,'G-3 Multipliers'!$L$3:$N$6,3,FALSE)=0,"Spatial Data Missing ⚠",VLOOKUP(U190,'G-3 Multipliers'!$L$3:$N$6,3,FALSE)))</f>
        <v/>
      </c>
      <c r="X190" s="275" t="str">
        <f>IFERROR(IF(OR(LEFT(O190,5)="Error",LEFT(N190,5)="Error",T190="Error"),"Check Data ⚠",IF(F190&lt;R190,INDEX('G-6 Hedgerow Data'!$S$3:$AE$14,MATCH(C190,'G-6 Hedgerow Data'!$B$3:$B$14,0),MATCH(M190,'G-6 Hedgerow Data'!$S$2:$AE$2,0)),INDEX('G-6 Hedgerow Data'!$K$3:$Q$14,MATCH(M190,'G-6 Hedgerow Data'!$B$3:$B$14,0),MATCH(O190,'G-6 Hedgerow Data'!$K$2:$Q$2,0)))),"")</f>
        <v/>
      </c>
      <c r="Y190" s="133"/>
      <c r="Z190" s="133"/>
      <c r="AA190" s="283" t="str">
        <f t="shared" si="16"/>
        <v/>
      </c>
      <c r="AB190" s="296" t="str">
        <f t="shared" si="17"/>
        <v/>
      </c>
      <c r="AC190" s="297" t="str">
        <f t="shared" si="14"/>
        <v/>
      </c>
      <c r="AD190" s="311" t="str">
        <f>IF(M190="","",VLOOKUP(M190,'G-6 Hedgerow Data'!$B$3:$AG$15,31,FALSE))</f>
        <v/>
      </c>
      <c r="AE190" s="283" t="str">
        <f t="shared" si="18"/>
        <v/>
      </c>
      <c r="AF190" s="283" t="str">
        <f t="shared" si="19"/>
        <v/>
      </c>
      <c r="AG190" s="299" t="str">
        <f>IFERROR(IF(O190="","",VLOOKUP(AD190,'G-3 Multipliers'!$P$3:$Q$6,2,FALSE)),"")</f>
        <v/>
      </c>
      <c r="AH190" s="289" t="str">
        <f t="shared" si="20"/>
        <v/>
      </c>
      <c r="AI190" s="108"/>
      <c r="AJ190" s="115"/>
      <c r="AK190" s="104"/>
      <c r="AT190" s="30" t="str">
        <f>IFERROR(INDEX('G-6 Hedgerow Data'!$BJ$3:$BJ$15,MATCH(M190,'G-6 Hedgerow Data'!$B$3:$B$15,0)),"")</f>
        <v/>
      </c>
    </row>
    <row r="191" spans="2:46" ht="14">
      <c r="B191" s="305" t="str">
        <f>'B-1 On-Site Hedge Baseline'!AK189</f>
        <v/>
      </c>
      <c r="C191" s="295" t="str">
        <f>IF(B191="","",IF(ISNA(VLOOKUP($B191,'B-1 On-Site Hedge Baseline'!$B$1:$L$257,3,FALSE)),"",(VLOOKUP($B191,'B-1 On-Site Hedge Baseline'!$B$1:$L$257,3,FALSE))))</f>
        <v/>
      </c>
      <c r="D191" s="295" t="str">
        <f>IF(B191="","",IF(ISNA(VLOOKUP($B191,'B-1 On-Site Hedge Baseline'!$B$1:$L$257,4,FALSE)),"",(VLOOKUP($B191,'B-1 On-Site Hedge Baseline'!$B$1:$L$257,4,FALSE))))</f>
        <v/>
      </c>
      <c r="E191" s="295" t="str">
        <f>IF(B191="","",IF(ISNA(VLOOKUP($B191,'B-1 On-Site Hedge Baseline'!$B$1:$L$257,5,FALSE)),"",(VLOOKUP($B191,'B-1 On-Site Hedge Baseline'!$B$1:$L$257,5,FALSE))))</f>
        <v/>
      </c>
      <c r="F191" s="295" t="str">
        <f>IF(B191="","",IF(ISNA(VLOOKUP($B191,'B-1 On-Site Hedge Baseline'!$B$1:$L$257,6,FALSE)),"",(VLOOKUP($B191,'B-1 On-Site Hedge Baseline'!$B$1:$L$257,6,FALSE))))</f>
        <v/>
      </c>
      <c r="G191" s="295" t="str">
        <f>IF(B191="","",IF(ISNA(VLOOKUP($B191,'B-1 On-Site Hedge Baseline'!$B$1:$L$257,7,FALSE)),"",(VLOOKUP($B191,'B-1 On-Site Hedge Baseline'!$B$1:$L$257,7,FALSE))))</f>
        <v/>
      </c>
      <c r="H191" s="295" t="str">
        <f>IF(B191="","",IF(ISNA(VLOOKUP($B191,'B-1 On-Site Hedge Baseline'!$B$1:$L$257,8,FALSE)),"",(VLOOKUP($B191,'B-1 On-Site Hedge Baseline'!$B$1:$L$257,8,FALSE))))</f>
        <v/>
      </c>
      <c r="I191" s="295" t="str">
        <f>IF(B191="","",IF(ISNA(VLOOKUP($B191,'B-1 On-Site Hedge Baseline'!$B$1:$L$257,10,FALSE)),"",(VLOOKUP($B191,'B-1 On-Site Hedge Baseline'!$B$1:$L$257,10,FALSE))))</f>
        <v/>
      </c>
      <c r="J191" s="295" t="str">
        <f>IF(B191="","",IF(ISNA(VLOOKUP($B191,'B-1 On-Site Hedge Baseline'!$B$1:$L$257,11,FALSE)),"",(VLOOKUP($B191,'B-1 On-Site Hedge Baseline'!$B$1:$L$257,11,FALSE))))</f>
        <v/>
      </c>
      <c r="K191" s="295" t="str">
        <f>IF(B191="","",IF(ISNA(VLOOKUP($B191,'B-1 On-Site Hedge Baseline'!$B$1:$U$257,13,FALSE)),"",(VLOOKUP($B191,'B-1 On-Site Hedge Baseline'!$B$1:$U$257,13,FALSE))))</f>
        <v/>
      </c>
      <c r="L191" s="299" t="str">
        <f>IF(B191="","",IF(ISNA(VLOOKUP($B191,'B-1 On-Site Hedge Baseline'!$B$1:$U$257,12,FALSE)),"",(VLOOKUP($B191,'B-1 On-Site Hedge Baseline'!$B$1:$U$257,12,FALSE))))</f>
        <v/>
      </c>
      <c r="M191" s="611"/>
      <c r="N191" s="275" t="str">
        <f>IFERROR(IF(B191="","",INDEX('G-6 Hedgerow Data'!$AN$3:$AZ$15,MATCH(C191,'G-6 Hedgerow Data'!$AM$3:$AM$15,0),MATCH(M191,'G-6 Hedgerow Data'!$AN$2:$AZ$2,0))),"")</f>
        <v/>
      </c>
      <c r="O191" s="276" t="str">
        <f t="shared" si="15"/>
        <v/>
      </c>
      <c r="P191" s="329" t="str">
        <f>IF(B191="","",VLOOKUP(B191,'B-1 On-Site Hedge Baseline'!$B$10:T436,16,FALSE))</f>
        <v/>
      </c>
      <c r="Q191" s="275" t="str">
        <f>IF(M191="","",VLOOKUP(M191,'G-6 Hedgerow Data'!$B$2:$AG$15,2,FALSE))</f>
        <v/>
      </c>
      <c r="R191" s="276" t="str">
        <f>IF(M191="","",VLOOKUP(M191,'G-6 Hedgerow Data'!$B$2:$AG$15,3,FALSE))</f>
        <v/>
      </c>
      <c r="S191" s="108"/>
      <c r="T191" s="314" t="str">
        <f>IFERROR(IF(S191="","",IF(AND(M191="Non-native and ornamental hedgerow",S191&lt;&gt;"Poor"),"Not possible ▲",(VLOOKUP(S191,'G-1 All Habitats'!$Z$2:$AA$9,2,FALSE)))),"")</f>
        <v/>
      </c>
      <c r="U191" s="105"/>
      <c r="V191" s="295" t="str">
        <f>IF(U191="","",IF(VLOOKUP(U191,'G-3 Multipliers'!$L$3:$N$6,2,FALSE)=0,"Spatial Data Missing ⚠",VLOOKUP(U191,'G-3 Multipliers'!$L$3:$N$6,2,FALSE)))</f>
        <v/>
      </c>
      <c r="W191" s="299" t="str">
        <f>IF(U191="","",IF(VLOOKUP(U191,'G-3 Multipliers'!$L$3:$N$6,3,FALSE)=0,"Spatial Data Missing ⚠",VLOOKUP(U191,'G-3 Multipliers'!$L$3:$N$6,3,FALSE)))</f>
        <v/>
      </c>
      <c r="X191" s="275" t="str">
        <f>IFERROR(IF(OR(LEFT(O191,5)="Error",LEFT(N191,5)="Error",T191="Error"),"Check Data ⚠",IF(F191&lt;R191,INDEX('G-6 Hedgerow Data'!$S$3:$AE$14,MATCH(C191,'G-6 Hedgerow Data'!$B$3:$B$14,0),MATCH(M191,'G-6 Hedgerow Data'!$S$2:$AE$2,0)),INDEX('G-6 Hedgerow Data'!$K$3:$Q$14,MATCH(M191,'G-6 Hedgerow Data'!$B$3:$B$14,0),MATCH(O191,'G-6 Hedgerow Data'!$K$2:$Q$2,0)))),"")</f>
        <v/>
      </c>
      <c r="Y191" s="133"/>
      <c r="Z191" s="133"/>
      <c r="AA191" s="283" t="str">
        <f t="shared" si="16"/>
        <v/>
      </c>
      <c r="AB191" s="296" t="str">
        <f t="shared" si="17"/>
        <v/>
      </c>
      <c r="AC191" s="297" t="str">
        <f t="shared" si="14"/>
        <v/>
      </c>
      <c r="AD191" s="311" t="str">
        <f>IF(M191="","",VLOOKUP(M191,'G-6 Hedgerow Data'!$B$3:$AG$15,31,FALSE))</f>
        <v/>
      </c>
      <c r="AE191" s="283" t="str">
        <f t="shared" si="18"/>
        <v/>
      </c>
      <c r="AF191" s="283" t="str">
        <f t="shared" si="19"/>
        <v/>
      </c>
      <c r="AG191" s="299" t="str">
        <f>IFERROR(IF(O191="","",VLOOKUP(AD191,'G-3 Multipliers'!$P$3:$Q$6,2,FALSE)),"")</f>
        <v/>
      </c>
      <c r="AH191" s="289" t="str">
        <f t="shared" si="20"/>
        <v/>
      </c>
      <c r="AI191" s="108"/>
      <c r="AJ191" s="115"/>
      <c r="AK191" s="104"/>
      <c r="AT191" s="30" t="str">
        <f>IFERROR(INDEX('G-6 Hedgerow Data'!$BJ$3:$BJ$15,MATCH(M191,'G-6 Hedgerow Data'!$B$3:$B$15,0)),"")</f>
        <v/>
      </c>
    </row>
    <row r="192" spans="2:46" ht="14">
      <c r="B192" s="305" t="str">
        <f>'B-1 On-Site Hedge Baseline'!AK190</f>
        <v/>
      </c>
      <c r="C192" s="295" t="str">
        <f>IF(B192="","",IF(ISNA(VLOOKUP($B192,'B-1 On-Site Hedge Baseline'!$B$1:$L$257,3,FALSE)),"",(VLOOKUP($B192,'B-1 On-Site Hedge Baseline'!$B$1:$L$257,3,FALSE))))</f>
        <v/>
      </c>
      <c r="D192" s="295" t="str">
        <f>IF(B192="","",IF(ISNA(VLOOKUP($B192,'B-1 On-Site Hedge Baseline'!$B$1:$L$257,4,FALSE)),"",(VLOOKUP($B192,'B-1 On-Site Hedge Baseline'!$B$1:$L$257,4,FALSE))))</f>
        <v/>
      </c>
      <c r="E192" s="295" t="str">
        <f>IF(B192="","",IF(ISNA(VLOOKUP($B192,'B-1 On-Site Hedge Baseline'!$B$1:$L$257,5,FALSE)),"",(VLOOKUP($B192,'B-1 On-Site Hedge Baseline'!$B$1:$L$257,5,FALSE))))</f>
        <v/>
      </c>
      <c r="F192" s="295" t="str">
        <f>IF(B192="","",IF(ISNA(VLOOKUP($B192,'B-1 On-Site Hedge Baseline'!$B$1:$L$257,6,FALSE)),"",(VLOOKUP($B192,'B-1 On-Site Hedge Baseline'!$B$1:$L$257,6,FALSE))))</f>
        <v/>
      </c>
      <c r="G192" s="295" t="str">
        <f>IF(B192="","",IF(ISNA(VLOOKUP($B192,'B-1 On-Site Hedge Baseline'!$B$1:$L$257,7,FALSE)),"",(VLOOKUP($B192,'B-1 On-Site Hedge Baseline'!$B$1:$L$257,7,FALSE))))</f>
        <v/>
      </c>
      <c r="H192" s="295" t="str">
        <f>IF(B192="","",IF(ISNA(VLOOKUP($B192,'B-1 On-Site Hedge Baseline'!$B$1:$L$257,8,FALSE)),"",(VLOOKUP($B192,'B-1 On-Site Hedge Baseline'!$B$1:$L$257,8,FALSE))))</f>
        <v/>
      </c>
      <c r="I192" s="295" t="str">
        <f>IF(B192="","",IF(ISNA(VLOOKUP($B192,'B-1 On-Site Hedge Baseline'!$B$1:$L$257,10,FALSE)),"",(VLOOKUP($B192,'B-1 On-Site Hedge Baseline'!$B$1:$L$257,10,FALSE))))</f>
        <v/>
      </c>
      <c r="J192" s="295" t="str">
        <f>IF(B192="","",IF(ISNA(VLOOKUP($B192,'B-1 On-Site Hedge Baseline'!$B$1:$L$257,11,FALSE)),"",(VLOOKUP($B192,'B-1 On-Site Hedge Baseline'!$B$1:$L$257,11,FALSE))))</f>
        <v/>
      </c>
      <c r="K192" s="295" t="str">
        <f>IF(B192="","",IF(ISNA(VLOOKUP($B192,'B-1 On-Site Hedge Baseline'!$B$1:$U$257,13,FALSE)),"",(VLOOKUP($B192,'B-1 On-Site Hedge Baseline'!$B$1:$U$257,13,FALSE))))</f>
        <v/>
      </c>
      <c r="L192" s="299" t="str">
        <f>IF(B192="","",IF(ISNA(VLOOKUP($B192,'B-1 On-Site Hedge Baseline'!$B$1:$U$257,12,FALSE)),"",(VLOOKUP($B192,'B-1 On-Site Hedge Baseline'!$B$1:$U$257,12,FALSE))))</f>
        <v/>
      </c>
      <c r="M192" s="611"/>
      <c r="N192" s="275" t="str">
        <f>IFERROR(IF(B192="","",INDEX('G-6 Hedgerow Data'!$AN$3:$AZ$15,MATCH(C192,'G-6 Hedgerow Data'!$AM$3:$AM$15,0),MATCH(M192,'G-6 Hedgerow Data'!$AN$2:$AZ$2,0))),"")</f>
        <v/>
      </c>
      <c r="O192" s="276" t="str">
        <f t="shared" si="15"/>
        <v/>
      </c>
      <c r="P192" s="329" t="str">
        <f>IF(B192="","",VLOOKUP(B192,'B-1 On-Site Hedge Baseline'!$B$10:T437,16,FALSE))</f>
        <v/>
      </c>
      <c r="Q192" s="275" t="str">
        <f>IF(M192="","",VLOOKUP(M192,'G-6 Hedgerow Data'!$B$2:$AG$15,2,FALSE))</f>
        <v/>
      </c>
      <c r="R192" s="276" t="str">
        <f>IF(M192="","",VLOOKUP(M192,'G-6 Hedgerow Data'!$B$2:$AG$15,3,FALSE))</f>
        <v/>
      </c>
      <c r="S192" s="108"/>
      <c r="T192" s="314" t="str">
        <f>IFERROR(IF(S192="","",IF(AND(M192="Non-native and ornamental hedgerow",S192&lt;&gt;"Poor"),"Not possible ▲",(VLOOKUP(S192,'G-1 All Habitats'!$Z$2:$AA$9,2,FALSE)))),"")</f>
        <v/>
      </c>
      <c r="U192" s="105"/>
      <c r="V192" s="295" t="str">
        <f>IF(U192="","",IF(VLOOKUP(U192,'G-3 Multipliers'!$L$3:$N$6,2,FALSE)=0,"Spatial Data Missing ⚠",VLOOKUP(U192,'G-3 Multipliers'!$L$3:$N$6,2,FALSE)))</f>
        <v/>
      </c>
      <c r="W192" s="299" t="str">
        <f>IF(U192="","",IF(VLOOKUP(U192,'G-3 Multipliers'!$L$3:$N$6,3,FALSE)=0,"Spatial Data Missing ⚠",VLOOKUP(U192,'G-3 Multipliers'!$L$3:$N$6,3,FALSE)))</f>
        <v/>
      </c>
      <c r="X192" s="275" t="str">
        <f>IFERROR(IF(OR(LEFT(O192,5)="Error",LEFT(N192,5)="Error",T192="Error"),"Check Data ⚠",IF(F192&lt;R192,INDEX('G-6 Hedgerow Data'!$S$3:$AE$14,MATCH(C192,'G-6 Hedgerow Data'!$B$3:$B$14,0),MATCH(M192,'G-6 Hedgerow Data'!$S$2:$AE$2,0)),INDEX('G-6 Hedgerow Data'!$K$3:$Q$14,MATCH(M192,'G-6 Hedgerow Data'!$B$3:$B$14,0),MATCH(O192,'G-6 Hedgerow Data'!$K$2:$Q$2,0)))),"")</f>
        <v/>
      </c>
      <c r="Y192" s="133"/>
      <c r="Z192" s="133"/>
      <c r="AA192" s="283" t="str">
        <f t="shared" si="16"/>
        <v/>
      </c>
      <c r="AB192" s="296" t="str">
        <f t="shared" si="17"/>
        <v/>
      </c>
      <c r="AC192" s="297" t="str">
        <f t="shared" si="14"/>
        <v/>
      </c>
      <c r="AD192" s="311" t="str">
        <f>IF(M192="","",VLOOKUP(M192,'G-6 Hedgerow Data'!$B$3:$AG$15,31,FALSE))</f>
        <v/>
      </c>
      <c r="AE192" s="283" t="str">
        <f t="shared" si="18"/>
        <v/>
      </c>
      <c r="AF192" s="283" t="str">
        <f t="shared" si="19"/>
        <v/>
      </c>
      <c r="AG192" s="299" t="str">
        <f>IFERROR(IF(O192="","",VLOOKUP(AD192,'G-3 Multipliers'!$P$3:$Q$6,2,FALSE)),"")</f>
        <v/>
      </c>
      <c r="AH192" s="289" t="str">
        <f t="shared" si="20"/>
        <v/>
      </c>
      <c r="AI192" s="108"/>
      <c r="AJ192" s="115"/>
      <c r="AK192" s="104"/>
      <c r="AT192" s="30" t="str">
        <f>IFERROR(INDEX('G-6 Hedgerow Data'!$BJ$3:$BJ$15,MATCH(M192,'G-6 Hedgerow Data'!$B$3:$B$15,0)),"")</f>
        <v/>
      </c>
    </row>
    <row r="193" spans="2:46" ht="14">
      <c r="B193" s="305" t="str">
        <f>'B-1 On-Site Hedge Baseline'!AK191</f>
        <v/>
      </c>
      <c r="C193" s="295" t="str">
        <f>IF(B193="","",IF(ISNA(VLOOKUP($B193,'B-1 On-Site Hedge Baseline'!$B$1:$L$257,3,FALSE)),"",(VLOOKUP($B193,'B-1 On-Site Hedge Baseline'!$B$1:$L$257,3,FALSE))))</f>
        <v/>
      </c>
      <c r="D193" s="295" t="str">
        <f>IF(B193="","",IF(ISNA(VLOOKUP($B193,'B-1 On-Site Hedge Baseline'!$B$1:$L$257,4,FALSE)),"",(VLOOKUP($B193,'B-1 On-Site Hedge Baseline'!$B$1:$L$257,4,FALSE))))</f>
        <v/>
      </c>
      <c r="E193" s="295" t="str">
        <f>IF(B193="","",IF(ISNA(VLOOKUP($B193,'B-1 On-Site Hedge Baseline'!$B$1:$L$257,5,FALSE)),"",(VLOOKUP($B193,'B-1 On-Site Hedge Baseline'!$B$1:$L$257,5,FALSE))))</f>
        <v/>
      </c>
      <c r="F193" s="295" t="str">
        <f>IF(B193="","",IF(ISNA(VLOOKUP($B193,'B-1 On-Site Hedge Baseline'!$B$1:$L$257,6,FALSE)),"",(VLOOKUP($B193,'B-1 On-Site Hedge Baseline'!$B$1:$L$257,6,FALSE))))</f>
        <v/>
      </c>
      <c r="G193" s="295" t="str">
        <f>IF(B193="","",IF(ISNA(VLOOKUP($B193,'B-1 On-Site Hedge Baseline'!$B$1:$L$257,7,FALSE)),"",(VLOOKUP($B193,'B-1 On-Site Hedge Baseline'!$B$1:$L$257,7,FALSE))))</f>
        <v/>
      </c>
      <c r="H193" s="295" t="str">
        <f>IF(B193="","",IF(ISNA(VLOOKUP($B193,'B-1 On-Site Hedge Baseline'!$B$1:$L$257,8,FALSE)),"",(VLOOKUP($B193,'B-1 On-Site Hedge Baseline'!$B$1:$L$257,8,FALSE))))</f>
        <v/>
      </c>
      <c r="I193" s="295" t="str">
        <f>IF(B193="","",IF(ISNA(VLOOKUP($B193,'B-1 On-Site Hedge Baseline'!$B$1:$L$257,10,FALSE)),"",(VLOOKUP($B193,'B-1 On-Site Hedge Baseline'!$B$1:$L$257,10,FALSE))))</f>
        <v/>
      </c>
      <c r="J193" s="295" t="str">
        <f>IF(B193="","",IF(ISNA(VLOOKUP($B193,'B-1 On-Site Hedge Baseline'!$B$1:$L$257,11,FALSE)),"",(VLOOKUP($B193,'B-1 On-Site Hedge Baseline'!$B$1:$L$257,11,FALSE))))</f>
        <v/>
      </c>
      <c r="K193" s="295" t="str">
        <f>IF(B193="","",IF(ISNA(VLOOKUP($B193,'B-1 On-Site Hedge Baseline'!$B$1:$U$257,13,FALSE)),"",(VLOOKUP($B193,'B-1 On-Site Hedge Baseline'!$B$1:$U$257,13,FALSE))))</f>
        <v/>
      </c>
      <c r="L193" s="299" t="str">
        <f>IF(B193="","",IF(ISNA(VLOOKUP($B193,'B-1 On-Site Hedge Baseline'!$B$1:$U$257,12,FALSE)),"",(VLOOKUP($B193,'B-1 On-Site Hedge Baseline'!$B$1:$U$257,12,FALSE))))</f>
        <v/>
      </c>
      <c r="M193" s="611"/>
      <c r="N193" s="275" t="str">
        <f>IFERROR(IF(B193="","",INDEX('G-6 Hedgerow Data'!$AN$3:$AZ$15,MATCH(C193,'G-6 Hedgerow Data'!$AM$3:$AM$15,0),MATCH(M193,'G-6 Hedgerow Data'!$AN$2:$AZ$2,0))),"")</f>
        <v/>
      </c>
      <c r="O193" s="276" t="str">
        <f t="shared" si="15"/>
        <v/>
      </c>
      <c r="P193" s="329" t="str">
        <f>IF(B193="","",VLOOKUP(B193,'B-1 On-Site Hedge Baseline'!$B$10:T438,16,FALSE))</f>
        <v/>
      </c>
      <c r="Q193" s="275" t="str">
        <f>IF(M193="","",VLOOKUP(M193,'G-6 Hedgerow Data'!$B$2:$AG$15,2,FALSE))</f>
        <v/>
      </c>
      <c r="R193" s="276" t="str">
        <f>IF(M193="","",VLOOKUP(M193,'G-6 Hedgerow Data'!$B$2:$AG$15,3,FALSE))</f>
        <v/>
      </c>
      <c r="S193" s="108"/>
      <c r="T193" s="314" t="str">
        <f>IFERROR(IF(S193="","",IF(AND(M193="Non-native and ornamental hedgerow",S193&lt;&gt;"Poor"),"Not possible ▲",(VLOOKUP(S193,'G-1 All Habitats'!$Z$2:$AA$9,2,FALSE)))),"")</f>
        <v/>
      </c>
      <c r="U193" s="105"/>
      <c r="V193" s="295" t="str">
        <f>IF(U193="","",IF(VLOOKUP(U193,'G-3 Multipliers'!$L$3:$N$6,2,FALSE)=0,"Spatial Data Missing ⚠",VLOOKUP(U193,'G-3 Multipliers'!$L$3:$N$6,2,FALSE)))</f>
        <v/>
      </c>
      <c r="W193" s="299" t="str">
        <f>IF(U193="","",IF(VLOOKUP(U193,'G-3 Multipliers'!$L$3:$N$6,3,FALSE)=0,"Spatial Data Missing ⚠",VLOOKUP(U193,'G-3 Multipliers'!$L$3:$N$6,3,FALSE)))</f>
        <v/>
      </c>
      <c r="X193" s="275" t="str">
        <f>IFERROR(IF(OR(LEFT(O193,5)="Error",LEFT(N193,5)="Error",T193="Error"),"Check Data ⚠",IF(F193&lt;R193,INDEX('G-6 Hedgerow Data'!$S$3:$AE$14,MATCH(C193,'G-6 Hedgerow Data'!$B$3:$B$14,0),MATCH(M193,'G-6 Hedgerow Data'!$S$2:$AE$2,0)),INDEX('G-6 Hedgerow Data'!$K$3:$Q$14,MATCH(M193,'G-6 Hedgerow Data'!$B$3:$B$14,0),MATCH(O193,'G-6 Hedgerow Data'!$K$2:$Q$2,0)))),"")</f>
        <v/>
      </c>
      <c r="Y193" s="133"/>
      <c r="Z193" s="133"/>
      <c r="AA193" s="283" t="str">
        <f t="shared" si="16"/>
        <v/>
      </c>
      <c r="AB193" s="296" t="str">
        <f t="shared" si="17"/>
        <v/>
      </c>
      <c r="AC193" s="297" t="str">
        <f t="shared" si="14"/>
        <v/>
      </c>
      <c r="AD193" s="311" t="str">
        <f>IF(M193="","",VLOOKUP(M193,'G-6 Hedgerow Data'!$B$3:$AG$15,31,FALSE))</f>
        <v/>
      </c>
      <c r="AE193" s="283" t="str">
        <f t="shared" si="18"/>
        <v/>
      </c>
      <c r="AF193" s="283" t="str">
        <f t="shared" si="19"/>
        <v/>
      </c>
      <c r="AG193" s="299" t="str">
        <f>IFERROR(IF(O193="","",VLOOKUP(AD193,'G-3 Multipliers'!$P$3:$Q$6,2,FALSE)),"")</f>
        <v/>
      </c>
      <c r="AH193" s="289" t="str">
        <f t="shared" si="20"/>
        <v/>
      </c>
      <c r="AI193" s="108"/>
      <c r="AJ193" s="115"/>
      <c r="AK193" s="104"/>
      <c r="AT193" s="30" t="str">
        <f>IFERROR(INDEX('G-6 Hedgerow Data'!$BJ$3:$BJ$15,MATCH(M193,'G-6 Hedgerow Data'!$B$3:$B$15,0)),"")</f>
        <v/>
      </c>
    </row>
    <row r="194" spans="2:46" ht="14">
      <c r="B194" s="305" t="str">
        <f>'B-1 On-Site Hedge Baseline'!AK192</f>
        <v/>
      </c>
      <c r="C194" s="295" t="str">
        <f>IF(B194="","",IF(ISNA(VLOOKUP($B194,'B-1 On-Site Hedge Baseline'!$B$1:$L$257,3,FALSE)),"",(VLOOKUP($B194,'B-1 On-Site Hedge Baseline'!$B$1:$L$257,3,FALSE))))</f>
        <v/>
      </c>
      <c r="D194" s="295" t="str">
        <f>IF(B194="","",IF(ISNA(VLOOKUP($B194,'B-1 On-Site Hedge Baseline'!$B$1:$L$257,4,FALSE)),"",(VLOOKUP($B194,'B-1 On-Site Hedge Baseline'!$B$1:$L$257,4,FALSE))))</f>
        <v/>
      </c>
      <c r="E194" s="295" t="str">
        <f>IF(B194="","",IF(ISNA(VLOOKUP($B194,'B-1 On-Site Hedge Baseline'!$B$1:$L$257,5,FALSE)),"",(VLOOKUP($B194,'B-1 On-Site Hedge Baseline'!$B$1:$L$257,5,FALSE))))</f>
        <v/>
      </c>
      <c r="F194" s="295" t="str">
        <f>IF(B194="","",IF(ISNA(VLOOKUP($B194,'B-1 On-Site Hedge Baseline'!$B$1:$L$257,6,FALSE)),"",(VLOOKUP($B194,'B-1 On-Site Hedge Baseline'!$B$1:$L$257,6,FALSE))))</f>
        <v/>
      </c>
      <c r="G194" s="295" t="str">
        <f>IF(B194="","",IF(ISNA(VLOOKUP($B194,'B-1 On-Site Hedge Baseline'!$B$1:$L$257,7,FALSE)),"",(VLOOKUP($B194,'B-1 On-Site Hedge Baseline'!$B$1:$L$257,7,FALSE))))</f>
        <v/>
      </c>
      <c r="H194" s="295" t="str">
        <f>IF(B194="","",IF(ISNA(VLOOKUP($B194,'B-1 On-Site Hedge Baseline'!$B$1:$L$257,8,FALSE)),"",(VLOOKUP($B194,'B-1 On-Site Hedge Baseline'!$B$1:$L$257,8,FALSE))))</f>
        <v/>
      </c>
      <c r="I194" s="295" t="str">
        <f>IF(B194="","",IF(ISNA(VLOOKUP($B194,'B-1 On-Site Hedge Baseline'!$B$1:$L$257,10,FALSE)),"",(VLOOKUP($B194,'B-1 On-Site Hedge Baseline'!$B$1:$L$257,10,FALSE))))</f>
        <v/>
      </c>
      <c r="J194" s="295" t="str">
        <f>IF(B194="","",IF(ISNA(VLOOKUP($B194,'B-1 On-Site Hedge Baseline'!$B$1:$L$257,11,FALSE)),"",(VLOOKUP($B194,'B-1 On-Site Hedge Baseline'!$B$1:$L$257,11,FALSE))))</f>
        <v/>
      </c>
      <c r="K194" s="295" t="str">
        <f>IF(B194="","",IF(ISNA(VLOOKUP($B194,'B-1 On-Site Hedge Baseline'!$B$1:$U$257,13,FALSE)),"",(VLOOKUP($B194,'B-1 On-Site Hedge Baseline'!$B$1:$U$257,13,FALSE))))</f>
        <v/>
      </c>
      <c r="L194" s="299" t="str">
        <f>IF(B194="","",IF(ISNA(VLOOKUP($B194,'B-1 On-Site Hedge Baseline'!$B$1:$U$257,12,FALSE)),"",(VLOOKUP($B194,'B-1 On-Site Hedge Baseline'!$B$1:$U$257,12,FALSE))))</f>
        <v/>
      </c>
      <c r="M194" s="611"/>
      <c r="N194" s="275" t="str">
        <f>IFERROR(IF(B194="","",INDEX('G-6 Hedgerow Data'!$AN$3:$AZ$15,MATCH(C194,'G-6 Hedgerow Data'!$AM$3:$AM$15,0),MATCH(M194,'G-6 Hedgerow Data'!$AN$2:$AZ$2,0))),"")</f>
        <v/>
      </c>
      <c r="O194" s="276" t="str">
        <f t="shared" si="15"/>
        <v/>
      </c>
      <c r="P194" s="329" t="str">
        <f>IF(B194="","",VLOOKUP(B194,'B-1 On-Site Hedge Baseline'!$B$10:T439,16,FALSE))</f>
        <v/>
      </c>
      <c r="Q194" s="275" t="str">
        <f>IF(M194="","",VLOOKUP(M194,'G-6 Hedgerow Data'!$B$2:$AG$15,2,FALSE))</f>
        <v/>
      </c>
      <c r="R194" s="276" t="str">
        <f>IF(M194="","",VLOOKUP(M194,'G-6 Hedgerow Data'!$B$2:$AG$15,3,FALSE))</f>
        <v/>
      </c>
      <c r="S194" s="108"/>
      <c r="T194" s="314" t="str">
        <f>IFERROR(IF(S194="","",IF(AND(M194="Non-native and ornamental hedgerow",S194&lt;&gt;"Poor"),"Not possible ▲",(VLOOKUP(S194,'G-1 All Habitats'!$Z$2:$AA$9,2,FALSE)))),"")</f>
        <v/>
      </c>
      <c r="U194" s="105"/>
      <c r="V194" s="295" t="str">
        <f>IF(U194="","",IF(VLOOKUP(U194,'G-3 Multipliers'!$L$3:$N$6,2,FALSE)=0,"Spatial Data Missing ⚠",VLOOKUP(U194,'G-3 Multipliers'!$L$3:$N$6,2,FALSE)))</f>
        <v/>
      </c>
      <c r="W194" s="299" t="str">
        <f>IF(U194="","",IF(VLOOKUP(U194,'G-3 Multipliers'!$L$3:$N$6,3,FALSE)=0,"Spatial Data Missing ⚠",VLOOKUP(U194,'G-3 Multipliers'!$L$3:$N$6,3,FALSE)))</f>
        <v/>
      </c>
      <c r="X194" s="275" t="str">
        <f>IFERROR(IF(OR(LEFT(O194,5)="Error",LEFT(N194,5)="Error",T194="Error"),"Check Data ⚠",IF(F194&lt;R194,INDEX('G-6 Hedgerow Data'!$S$3:$AE$14,MATCH(C194,'G-6 Hedgerow Data'!$B$3:$B$14,0),MATCH(M194,'G-6 Hedgerow Data'!$S$2:$AE$2,0)),INDEX('G-6 Hedgerow Data'!$K$3:$Q$14,MATCH(M194,'G-6 Hedgerow Data'!$B$3:$B$14,0),MATCH(O194,'G-6 Hedgerow Data'!$K$2:$Q$2,0)))),"")</f>
        <v/>
      </c>
      <c r="Y194" s="133"/>
      <c r="Z194" s="133"/>
      <c r="AA194" s="283" t="str">
        <f t="shared" si="16"/>
        <v/>
      </c>
      <c r="AB194" s="296" t="str">
        <f t="shared" si="17"/>
        <v/>
      </c>
      <c r="AC194" s="297" t="str">
        <f t="shared" si="14"/>
        <v/>
      </c>
      <c r="AD194" s="311" t="str">
        <f>IF(M194="","",VLOOKUP(M194,'G-6 Hedgerow Data'!$B$3:$AG$15,31,FALSE))</f>
        <v/>
      </c>
      <c r="AE194" s="283" t="str">
        <f t="shared" si="18"/>
        <v/>
      </c>
      <c r="AF194" s="283" t="str">
        <f t="shared" si="19"/>
        <v/>
      </c>
      <c r="AG194" s="299" t="str">
        <f>IFERROR(IF(O194="","",VLOOKUP(AD194,'G-3 Multipliers'!$P$3:$Q$6,2,FALSE)),"")</f>
        <v/>
      </c>
      <c r="AH194" s="289" t="str">
        <f t="shared" si="20"/>
        <v/>
      </c>
      <c r="AI194" s="108"/>
      <c r="AJ194" s="115"/>
      <c r="AK194" s="104"/>
      <c r="AT194" s="30" t="str">
        <f>IFERROR(INDEX('G-6 Hedgerow Data'!$BJ$3:$BJ$15,MATCH(M194,'G-6 Hedgerow Data'!$B$3:$B$15,0)),"")</f>
        <v/>
      </c>
    </row>
    <row r="195" spans="2:46" ht="14">
      <c r="B195" s="305" t="str">
        <f>'B-1 On-Site Hedge Baseline'!AK193</f>
        <v/>
      </c>
      <c r="C195" s="295" t="str">
        <f>IF(B195="","",IF(ISNA(VLOOKUP($B195,'B-1 On-Site Hedge Baseline'!$B$1:$L$257,3,FALSE)),"",(VLOOKUP($B195,'B-1 On-Site Hedge Baseline'!$B$1:$L$257,3,FALSE))))</f>
        <v/>
      </c>
      <c r="D195" s="295" t="str">
        <f>IF(B195="","",IF(ISNA(VLOOKUP($B195,'B-1 On-Site Hedge Baseline'!$B$1:$L$257,4,FALSE)),"",(VLOOKUP($B195,'B-1 On-Site Hedge Baseline'!$B$1:$L$257,4,FALSE))))</f>
        <v/>
      </c>
      <c r="E195" s="295" t="str">
        <f>IF(B195="","",IF(ISNA(VLOOKUP($B195,'B-1 On-Site Hedge Baseline'!$B$1:$L$257,5,FALSE)),"",(VLOOKUP($B195,'B-1 On-Site Hedge Baseline'!$B$1:$L$257,5,FALSE))))</f>
        <v/>
      </c>
      <c r="F195" s="295" t="str">
        <f>IF(B195="","",IF(ISNA(VLOOKUP($B195,'B-1 On-Site Hedge Baseline'!$B$1:$L$257,6,FALSE)),"",(VLOOKUP($B195,'B-1 On-Site Hedge Baseline'!$B$1:$L$257,6,FALSE))))</f>
        <v/>
      </c>
      <c r="G195" s="295" t="str">
        <f>IF(B195="","",IF(ISNA(VLOOKUP($B195,'B-1 On-Site Hedge Baseline'!$B$1:$L$257,7,FALSE)),"",(VLOOKUP($B195,'B-1 On-Site Hedge Baseline'!$B$1:$L$257,7,FALSE))))</f>
        <v/>
      </c>
      <c r="H195" s="295" t="str">
        <f>IF(B195="","",IF(ISNA(VLOOKUP($B195,'B-1 On-Site Hedge Baseline'!$B$1:$L$257,8,FALSE)),"",(VLOOKUP($B195,'B-1 On-Site Hedge Baseline'!$B$1:$L$257,8,FALSE))))</f>
        <v/>
      </c>
      <c r="I195" s="295" t="str">
        <f>IF(B195="","",IF(ISNA(VLOOKUP($B195,'B-1 On-Site Hedge Baseline'!$B$1:$L$257,10,FALSE)),"",(VLOOKUP($B195,'B-1 On-Site Hedge Baseline'!$B$1:$L$257,10,FALSE))))</f>
        <v/>
      </c>
      <c r="J195" s="295" t="str">
        <f>IF(B195="","",IF(ISNA(VLOOKUP($B195,'B-1 On-Site Hedge Baseline'!$B$1:$L$257,11,FALSE)),"",(VLOOKUP($B195,'B-1 On-Site Hedge Baseline'!$B$1:$L$257,11,FALSE))))</f>
        <v/>
      </c>
      <c r="K195" s="295" t="str">
        <f>IF(B195="","",IF(ISNA(VLOOKUP($B195,'B-1 On-Site Hedge Baseline'!$B$1:$U$257,13,FALSE)),"",(VLOOKUP($B195,'B-1 On-Site Hedge Baseline'!$B$1:$U$257,13,FALSE))))</f>
        <v/>
      </c>
      <c r="L195" s="299" t="str">
        <f>IF(B195="","",IF(ISNA(VLOOKUP($B195,'B-1 On-Site Hedge Baseline'!$B$1:$U$257,12,FALSE)),"",(VLOOKUP($B195,'B-1 On-Site Hedge Baseline'!$B$1:$U$257,12,FALSE))))</f>
        <v/>
      </c>
      <c r="M195" s="611"/>
      <c r="N195" s="275" t="str">
        <f>IFERROR(IF(B195="","",INDEX('G-6 Hedgerow Data'!$AN$3:$AZ$15,MATCH(C195,'G-6 Hedgerow Data'!$AM$3:$AM$15,0),MATCH(M195,'G-6 Hedgerow Data'!$AN$2:$AZ$2,0))),"")</f>
        <v/>
      </c>
      <c r="O195" s="276" t="str">
        <f t="shared" si="15"/>
        <v/>
      </c>
      <c r="P195" s="329" t="str">
        <f>IF(B195="","",VLOOKUP(B195,'B-1 On-Site Hedge Baseline'!$B$10:T440,16,FALSE))</f>
        <v/>
      </c>
      <c r="Q195" s="275" t="str">
        <f>IF(M195="","",VLOOKUP(M195,'G-6 Hedgerow Data'!$B$2:$AG$15,2,FALSE))</f>
        <v/>
      </c>
      <c r="R195" s="276" t="str">
        <f>IF(M195="","",VLOOKUP(M195,'G-6 Hedgerow Data'!$B$2:$AG$15,3,FALSE))</f>
        <v/>
      </c>
      <c r="S195" s="108"/>
      <c r="T195" s="314" t="str">
        <f>IFERROR(IF(S195="","",IF(AND(M195="Non-native and ornamental hedgerow",S195&lt;&gt;"Poor"),"Not possible ▲",(VLOOKUP(S195,'G-1 All Habitats'!$Z$2:$AA$9,2,FALSE)))),"")</f>
        <v/>
      </c>
      <c r="U195" s="105"/>
      <c r="V195" s="295" t="str">
        <f>IF(U195="","",IF(VLOOKUP(U195,'G-3 Multipliers'!$L$3:$N$6,2,FALSE)=0,"Spatial Data Missing ⚠",VLOOKUP(U195,'G-3 Multipliers'!$L$3:$N$6,2,FALSE)))</f>
        <v/>
      </c>
      <c r="W195" s="299" t="str">
        <f>IF(U195="","",IF(VLOOKUP(U195,'G-3 Multipliers'!$L$3:$N$6,3,FALSE)=0,"Spatial Data Missing ⚠",VLOOKUP(U195,'G-3 Multipliers'!$L$3:$N$6,3,FALSE)))</f>
        <v/>
      </c>
      <c r="X195" s="275" t="str">
        <f>IFERROR(IF(OR(LEFT(O195,5)="Error",LEFT(N195,5)="Error",T195="Error"),"Check Data ⚠",IF(F195&lt;R195,INDEX('G-6 Hedgerow Data'!$S$3:$AE$14,MATCH(C195,'G-6 Hedgerow Data'!$B$3:$B$14,0),MATCH(M195,'G-6 Hedgerow Data'!$S$2:$AE$2,0)),INDEX('G-6 Hedgerow Data'!$K$3:$Q$14,MATCH(M195,'G-6 Hedgerow Data'!$B$3:$B$14,0),MATCH(O195,'G-6 Hedgerow Data'!$K$2:$Q$2,0)))),"")</f>
        <v/>
      </c>
      <c r="Y195" s="133"/>
      <c r="Z195" s="133"/>
      <c r="AA195" s="283" t="str">
        <f t="shared" si="16"/>
        <v/>
      </c>
      <c r="AB195" s="296" t="str">
        <f t="shared" si="17"/>
        <v/>
      </c>
      <c r="AC195" s="297" t="str">
        <f t="shared" si="14"/>
        <v/>
      </c>
      <c r="AD195" s="311" t="str">
        <f>IF(M195="","",VLOOKUP(M195,'G-6 Hedgerow Data'!$B$3:$AG$15,31,FALSE))</f>
        <v/>
      </c>
      <c r="AE195" s="283" t="str">
        <f t="shared" si="18"/>
        <v/>
      </c>
      <c r="AF195" s="283" t="str">
        <f t="shared" si="19"/>
        <v/>
      </c>
      <c r="AG195" s="299" t="str">
        <f>IFERROR(IF(O195="","",VLOOKUP(AD195,'G-3 Multipliers'!$P$3:$Q$6,2,FALSE)),"")</f>
        <v/>
      </c>
      <c r="AH195" s="289" t="str">
        <f t="shared" si="20"/>
        <v/>
      </c>
      <c r="AI195" s="108"/>
      <c r="AJ195" s="115"/>
      <c r="AK195" s="104"/>
      <c r="AT195" s="30" t="str">
        <f>IFERROR(INDEX('G-6 Hedgerow Data'!$BJ$3:$BJ$15,MATCH(M195,'G-6 Hedgerow Data'!$B$3:$B$15,0)),"")</f>
        <v/>
      </c>
    </row>
    <row r="196" spans="2:46" ht="14">
      <c r="B196" s="305" t="str">
        <f>'B-1 On-Site Hedge Baseline'!AK194</f>
        <v/>
      </c>
      <c r="C196" s="295" t="str">
        <f>IF(B196="","",IF(ISNA(VLOOKUP($B196,'B-1 On-Site Hedge Baseline'!$B$1:$L$257,3,FALSE)),"",(VLOOKUP($B196,'B-1 On-Site Hedge Baseline'!$B$1:$L$257,3,FALSE))))</f>
        <v/>
      </c>
      <c r="D196" s="295" t="str">
        <f>IF(B196="","",IF(ISNA(VLOOKUP($B196,'B-1 On-Site Hedge Baseline'!$B$1:$L$257,4,FALSE)),"",(VLOOKUP($B196,'B-1 On-Site Hedge Baseline'!$B$1:$L$257,4,FALSE))))</f>
        <v/>
      </c>
      <c r="E196" s="295" t="str">
        <f>IF(B196="","",IF(ISNA(VLOOKUP($B196,'B-1 On-Site Hedge Baseline'!$B$1:$L$257,5,FALSE)),"",(VLOOKUP($B196,'B-1 On-Site Hedge Baseline'!$B$1:$L$257,5,FALSE))))</f>
        <v/>
      </c>
      <c r="F196" s="295" t="str">
        <f>IF(B196="","",IF(ISNA(VLOOKUP($B196,'B-1 On-Site Hedge Baseline'!$B$1:$L$257,6,FALSE)),"",(VLOOKUP($B196,'B-1 On-Site Hedge Baseline'!$B$1:$L$257,6,FALSE))))</f>
        <v/>
      </c>
      <c r="G196" s="295" t="str">
        <f>IF(B196="","",IF(ISNA(VLOOKUP($B196,'B-1 On-Site Hedge Baseline'!$B$1:$L$257,7,FALSE)),"",(VLOOKUP($B196,'B-1 On-Site Hedge Baseline'!$B$1:$L$257,7,FALSE))))</f>
        <v/>
      </c>
      <c r="H196" s="295" t="str">
        <f>IF(B196="","",IF(ISNA(VLOOKUP($B196,'B-1 On-Site Hedge Baseline'!$B$1:$L$257,8,FALSE)),"",(VLOOKUP($B196,'B-1 On-Site Hedge Baseline'!$B$1:$L$257,8,FALSE))))</f>
        <v/>
      </c>
      <c r="I196" s="295" t="str">
        <f>IF(B196="","",IF(ISNA(VLOOKUP($B196,'B-1 On-Site Hedge Baseline'!$B$1:$L$257,10,FALSE)),"",(VLOOKUP($B196,'B-1 On-Site Hedge Baseline'!$B$1:$L$257,10,FALSE))))</f>
        <v/>
      </c>
      <c r="J196" s="295" t="str">
        <f>IF(B196="","",IF(ISNA(VLOOKUP($B196,'B-1 On-Site Hedge Baseline'!$B$1:$L$257,11,FALSE)),"",(VLOOKUP($B196,'B-1 On-Site Hedge Baseline'!$B$1:$L$257,11,FALSE))))</f>
        <v/>
      </c>
      <c r="K196" s="295" t="str">
        <f>IF(B196="","",IF(ISNA(VLOOKUP($B196,'B-1 On-Site Hedge Baseline'!$B$1:$U$257,13,FALSE)),"",(VLOOKUP($B196,'B-1 On-Site Hedge Baseline'!$B$1:$U$257,13,FALSE))))</f>
        <v/>
      </c>
      <c r="L196" s="299" t="str">
        <f>IF(B196="","",IF(ISNA(VLOOKUP($B196,'B-1 On-Site Hedge Baseline'!$B$1:$U$257,12,FALSE)),"",(VLOOKUP($B196,'B-1 On-Site Hedge Baseline'!$B$1:$U$257,12,FALSE))))</f>
        <v/>
      </c>
      <c r="M196" s="611"/>
      <c r="N196" s="275" t="str">
        <f>IFERROR(IF(B196="","",INDEX('G-6 Hedgerow Data'!$AN$3:$AZ$15,MATCH(C196,'G-6 Hedgerow Data'!$AM$3:$AM$15,0),MATCH(M196,'G-6 Hedgerow Data'!$AN$2:$AZ$2,0))),"")</f>
        <v/>
      </c>
      <c r="O196" s="276" t="str">
        <f t="shared" si="15"/>
        <v/>
      </c>
      <c r="P196" s="329" t="str">
        <f>IF(B196="","",VLOOKUP(B196,'B-1 On-Site Hedge Baseline'!$B$10:T441,16,FALSE))</f>
        <v/>
      </c>
      <c r="Q196" s="275" t="str">
        <f>IF(M196="","",VLOOKUP(M196,'G-6 Hedgerow Data'!$B$2:$AG$15,2,FALSE))</f>
        <v/>
      </c>
      <c r="R196" s="276" t="str">
        <f>IF(M196="","",VLOOKUP(M196,'G-6 Hedgerow Data'!$B$2:$AG$15,3,FALSE))</f>
        <v/>
      </c>
      <c r="S196" s="108"/>
      <c r="T196" s="314" t="str">
        <f>IFERROR(IF(S196="","",IF(AND(M196="Non-native and ornamental hedgerow",S196&lt;&gt;"Poor"),"Not possible ▲",(VLOOKUP(S196,'G-1 All Habitats'!$Z$2:$AA$9,2,FALSE)))),"")</f>
        <v/>
      </c>
      <c r="U196" s="105"/>
      <c r="V196" s="295" t="str">
        <f>IF(U196="","",IF(VLOOKUP(U196,'G-3 Multipliers'!$L$3:$N$6,2,FALSE)=0,"Spatial Data Missing ⚠",VLOOKUP(U196,'G-3 Multipliers'!$L$3:$N$6,2,FALSE)))</f>
        <v/>
      </c>
      <c r="W196" s="299" t="str">
        <f>IF(U196="","",IF(VLOOKUP(U196,'G-3 Multipliers'!$L$3:$N$6,3,FALSE)=0,"Spatial Data Missing ⚠",VLOOKUP(U196,'G-3 Multipliers'!$L$3:$N$6,3,FALSE)))</f>
        <v/>
      </c>
      <c r="X196" s="275" t="str">
        <f>IFERROR(IF(OR(LEFT(O196,5)="Error",LEFT(N196,5)="Error",T196="Error"),"Check Data ⚠",IF(F196&lt;R196,INDEX('G-6 Hedgerow Data'!$S$3:$AE$14,MATCH(C196,'G-6 Hedgerow Data'!$B$3:$B$14,0),MATCH(M196,'G-6 Hedgerow Data'!$S$2:$AE$2,0)),INDEX('G-6 Hedgerow Data'!$K$3:$Q$14,MATCH(M196,'G-6 Hedgerow Data'!$B$3:$B$14,0),MATCH(O196,'G-6 Hedgerow Data'!$K$2:$Q$2,0)))),"")</f>
        <v/>
      </c>
      <c r="Y196" s="133"/>
      <c r="Z196" s="133"/>
      <c r="AA196" s="283" t="str">
        <f t="shared" si="16"/>
        <v/>
      </c>
      <c r="AB196" s="296" t="str">
        <f t="shared" si="17"/>
        <v/>
      </c>
      <c r="AC196" s="297" t="str">
        <f t="shared" si="14"/>
        <v/>
      </c>
      <c r="AD196" s="311" t="str">
        <f>IF(M196="","",VLOOKUP(M196,'G-6 Hedgerow Data'!$B$3:$AG$15,31,FALSE))</f>
        <v/>
      </c>
      <c r="AE196" s="283" t="str">
        <f t="shared" si="18"/>
        <v/>
      </c>
      <c r="AF196" s="283" t="str">
        <f t="shared" si="19"/>
        <v/>
      </c>
      <c r="AG196" s="299" t="str">
        <f>IFERROR(IF(O196="","",VLOOKUP(AD196,'G-3 Multipliers'!$P$3:$Q$6,2,FALSE)),"")</f>
        <v/>
      </c>
      <c r="AH196" s="289" t="str">
        <f t="shared" si="20"/>
        <v/>
      </c>
      <c r="AI196" s="108"/>
      <c r="AJ196" s="115"/>
      <c r="AK196" s="104"/>
      <c r="AT196" s="30" t="str">
        <f>IFERROR(INDEX('G-6 Hedgerow Data'!$BJ$3:$BJ$15,MATCH(M196,'G-6 Hedgerow Data'!$B$3:$B$15,0)),"")</f>
        <v/>
      </c>
    </row>
    <row r="197" spans="2:46" ht="14">
      <c r="B197" s="305" t="str">
        <f>'B-1 On-Site Hedge Baseline'!AK195</f>
        <v/>
      </c>
      <c r="C197" s="295" t="str">
        <f>IF(B197="","",IF(ISNA(VLOOKUP($B197,'B-1 On-Site Hedge Baseline'!$B$1:$L$257,3,FALSE)),"",(VLOOKUP($B197,'B-1 On-Site Hedge Baseline'!$B$1:$L$257,3,FALSE))))</f>
        <v/>
      </c>
      <c r="D197" s="295" t="str">
        <f>IF(B197="","",IF(ISNA(VLOOKUP($B197,'B-1 On-Site Hedge Baseline'!$B$1:$L$257,4,FALSE)),"",(VLOOKUP($B197,'B-1 On-Site Hedge Baseline'!$B$1:$L$257,4,FALSE))))</f>
        <v/>
      </c>
      <c r="E197" s="295" t="str">
        <f>IF(B197="","",IF(ISNA(VLOOKUP($B197,'B-1 On-Site Hedge Baseline'!$B$1:$L$257,5,FALSE)),"",(VLOOKUP($B197,'B-1 On-Site Hedge Baseline'!$B$1:$L$257,5,FALSE))))</f>
        <v/>
      </c>
      <c r="F197" s="295" t="str">
        <f>IF(B197="","",IF(ISNA(VLOOKUP($B197,'B-1 On-Site Hedge Baseline'!$B$1:$L$257,6,FALSE)),"",(VLOOKUP($B197,'B-1 On-Site Hedge Baseline'!$B$1:$L$257,6,FALSE))))</f>
        <v/>
      </c>
      <c r="G197" s="295" t="str">
        <f>IF(B197="","",IF(ISNA(VLOOKUP($B197,'B-1 On-Site Hedge Baseline'!$B$1:$L$257,7,FALSE)),"",(VLOOKUP($B197,'B-1 On-Site Hedge Baseline'!$B$1:$L$257,7,FALSE))))</f>
        <v/>
      </c>
      <c r="H197" s="295" t="str">
        <f>IF(B197="","",IF(ISNA(VLOOKUP($B197,'B-1 On-Site Hedge Baseline'!$B$1:$L$257,8,FALSE)),"",(VLOOKUP($B197,'B-1 On-Site Hedge Baseline'!$B$1:$L$257,8,FALSE))))</f>
        <v/>
      </c>
      <c r="I197" s="295" t="str">
        <f>IF(B197="","",IF(ISNA(VLOOKUP($B197,'B-1 On-Site Hedge Baseline'!$B$1:$L$257,10,FALSE)),"",(VLOOKUP($B197,'B-1 On-Site Hedge Baseline'!$B$1:$L$257,10,FALSE))))</f>
        <v/>
      </c>
      <c r="J197" s="295" t="str">
        <f>IF(B197="","",IF(ISNA(VLOOKUP($B197,'B-1 On-Site Hedge Baseline'!$B$1:$L$257,11,FALSE)),"",(VLOOKUP($B197,'B-1 On-Site Hedge Baseline'!$B$1:$L$257,11,FALSE))))</f>
        <v/>
      </c>
      <c r="K197" s="295" t="str">
        <f>IF(B197="","",IF(ISNA(VLOOKUP($B197,'B-1 On-Site Hedge Baseline'!$B$1:$U$257,13,FALSE)),"",(VLOOKUP($B197,'B-1 On-Site Hedge Baseline'!$B$1:$U$257,13,FALSE))))</f>
        <v/>
      </c>
      <c r="L197" s="299" t="str">
        <f>IF(B197="","",IF(ISNA(VLOOKUP($B197,'B-1 On-Site Hedge Baseline'!$B$1:$U$257,12,FALSE)),"",(VLOOKUP($B197,'B-1 On-Site Hedge Baseline'!$B$1:$U$257,12,FALSE))))</f>
        <v/>
      </c>
      <c r="M197" s="611"/>
      <c r="N197" s="275" t="str">
        <f>IFERROR(IF(B197="","",INDEX('G-6 Hedgerow Data'!$AN$3:$AZ$15,MATCH(C197,'G-6 Hedgerow Data'!$AM$3:$AM$15,0),MATCH(M197,'G-6 Hedgerow Data'!$AN$2:$AZ$2,0))),"")</f>
        <v/>
      </c>
      <c r="O197" s="276" t="str">
        <f t="shared" si="15"/>
        <v/>
      </c>
      <c r="P197" s="329" t="str">
        <f>IF(B197="","",VLOOKUP(B197,'B-1 On-Site Hedge Baseline'!$B$10:T442,16,FALSE))</f>
        <v/>
      </c>
      <c r="Q197" s="275" t="str">
        <f>IF(M197="","",VLOOKUP(M197,'G-6 Hedgerow Data'!$B$2:$AG$15,2,FALSE))</f>
        <v/>
      </c>
      <c r="R197" s="276" t="str">
        <f>IF(M197="","",VLOOKUP(M197,'G-6 Hedgerow Data'!$B$2:$AG$15,3,FALSE))</f>
        <v/>
      </c>
      <c r="S197" s="108"/>
      <c r="T197" s="314" t="str">
        <f>IFERROR(IF(S197="","",IF(AND(M197="Non-native and ornamental hedgerow",S197&lt;&gt;"Poor"),"Not possible ▲",(VLOOKUP(S197,'G-1 All Habitats'!$Z$2:$AA$9,2,FALSE)))),"")</f>
        <v/>
      </c>
      <c r="U197" s="105"/>
      <c r="V197" s="295" t="str">
        <f>IF(U197="","",IF(VLOOKUP(U197,'G-3 Multipliers'!$L$3:$N$6,2,FALSE)=0,"Spatial Data Missing ⚠",VLOOKUP(U197,'G-3 Multipliers'!$L$3:$N$6,2,FALSE)))</f>
        <v/>
      </c>
      <c r="W197" s="299" t="str">
        <f>IF(U197="","",IF(VLOOKUP(U197,'G-3 Multipliers'!$L$3:$N$6,3,FALSE)=0,"Spatial Data Missing ⚠",VLOOKUP(U197,'G-3 Multipliers'!$L$3:$N$6,3,FALSE)))</f>
        <v/>
      </c>
      <c r="X197" s="275" t="str">
        <f>IFERROR(IF(OR(LEFT(O197,5)="Error",LEFT(N197,5)="Error",T197="Error"),"Check Data ⚠",IF(F197&lt;R197,INDEX('G-6 Hedgerow Data'!$S$3:$AE$14,MATCH(C197,'G-6 Hedgerow Data'!$B$3:$B$14,0),MATCH(M197,'G-6 Hedgerow Data'!$S$2:$AE$2,0)),INDEX('G-6 Hedgerow Data'!$K$3:$Q$14,MATCH(M197,'G-6 Hedgerow Data'!$B$3:$B$14,0),MATCH(O197,'G-6 Hedgerow Data'!$K$2:$Q$2,0)))),"")</f>
        <v/>
      </c>
      <c r="Y197" s="133"/>
      <c r="Z197" s="133"/>
      <c r="AA197" s="283" t="str">
        <f t="shared" si="16"/>
        <v/>
      </c>
      <c r="AB197" s="296" t="str">
        <f t="shared" si="17"/>
        <v/>
      </c>
      <c r="AC197" s="297" t="str">
        <f t="shared" si="14"/>
        <v/>
      </c>
      <c r="AD197" s="311" t="str">
        <f>IF(M197="","",VLOOKUP(M197,'G-6 Hedgerow Data'!$B$3:$AG$15,31,FALSE))</f>
        <v/>
      </c>
      <c r="AE197" s="283" t="str">
        <f t="shared" si="18"/>
        <v/>
      </c>
      <c r="AF197" s="283" t="str">
        <f t="shared" si="19"/>
        <v/>
      </c>
      <c r="AG197" s="299" t="str">
        <f>IFERROR(IF(O197="","",VLOOKUP(AD197,'G-3 Multipliers'!$P$3:$Q$6,2,FALSE)),"")</f>
        <v/>
      </c>
      <c r="AH197" s="289" t="str">
        <f t="shared" si="20"/>
        <v/>
      </c>
      <c r="AI197" s="108"/>
      <c r="AJ197" s="115"/>
      <c r="AK197" s="104"/>
      <c r="AT197" s="30" t="str">
        <f>IFERROR(INDEX('G-6 Hedgerow Data'!$BJ$3:$BJ$15,MATCH(M197,'G-6 Hedgerow Data'!$B$3:$B$15,0)),"")</f>
        <v/>
      </c>
    </row>
    <row r="198" spans="2:46" ht="14">
      <c r="B198" s="305" t="str">
        <f>'B-1 On-Site Hedge Baseline'!AK196</f>
        <v/>
      </c>
      <c r="C198" s="295" t="str">
        <f>IF(B198="","",IF(ISNA(VLOOKUP($B198,'B-1 On-Site Hedge Baseline'!$B$1:$L$257,3,FALSE)),"",(VLOOKUP($B198,'B-1 On-Site Hedge Baseline'!$B$1:$L$257,3,FALSE))))</f>
        <v/>
      </c>
      <c r="D198" s="295" t="str">
        <f>IF(B198="","",IF(ISNA(VLOOKUP($B198,'B-1 On-Site Hedge Baseline'!$B$1:$L$257,4,FALSE)),"",(VLOOKUP($B198,'B-1 On-Site Hedge Baseline'!$B$1:$L$257,4,FALSE))))</f>
        <v/>
      </c>
      <c r="E198" s="295" t="str">
        <f>IF(B198="","",IF(ISNA(VLOOKUP($B198,'B-1 On-Site Hedge Baseline'!$B$1:$L$257,5,FALSE)),"",(VLOOKUP($B198,'B-1 On-Site Hedge Baseline'!$B$1:$L$257,5,FALSE))))</f>
        <v/>
      </c>
      <c r="F198" s="295" t="str">
        <f>IF(B198="","",IF(ISNA(VLOOKUP($B198,'B-1 On-Site Hedge Baseline'!$B$1:$L$257,6,FALSE)),"",(VLOOKUP($B198,'B-1 On-Site Hedge Baseline'!$B$1:$L$257,6,FALSE))))</f>
        <v/>
      </c>
      <c r="G198" s="295" t="str">
        <f>IF(B198="","",IF(ISNA(VLOOKUP($B198,'B-1 On-Site Hedge Baseline'!$B$1:$L$257,7,FALSE)),"",(VLOOKUP($B198,'B-1 On-Site Hedge Baseline'!$B$1:$L$257,7,FALSE))))</f>
        <v/>
      </c>
      <c r="H198" s="295" t="str">
        <f>IF(B198="","",IF(ISNA(VLOOKUP($B198,'B-1 On-Site Hedge Baseline'!$B$1:$L$257,8,FALSE)),"",(VLOOKUP($B198,'B-1 On-Site Hedge Baseline'!$B$1:$L$257,8,FALSE))))</f>
        <v/>
      </c>
      <c r="I198" s="295" t="str">
        <f>IF(B198="","",IF(ISNA(VLOOKUP($B198,'B-1 On-Site Hedge Baseline'!$B$1:$L$257,10,FALSE)),"",(VLOOKUP($B198,'B-1 On-Site Hedge Baseline'!$B$1:$L$257,10,FALSE))))</f>
        <v/>
      </c>
      <c r="J198" s="295" t="str">
        <f>IF(B198="","",IF(ISNA(VLOOKUP($B198,'B-1 On-Site Hedge Baseline'!$B$1:$L$257,11,FALSE)),"",(VLOOKUP($B198,'B-1 On-Site Hedge Baseline'!$B$1:$L$257,11,FALSE))))</f>
        <v/>
      </c>
      <c r="K198" s="295" t="str">
        <f>IF(B198="","",IF(ISNA(VLOOKUP($B198,'B-1 On-Site Hedge Baseline'!$B$1:$U$257,13,FALSE)),"",(VLOOKUP($B198,'B-1 On-Site Hedge Baseline'!$B$1:$U$257,13,FALSE))))</f>
        <v/>
      </c>
      <c r="L198" s="299" t="str">
        <f>IF(B198="","",IF(ISNA(VLOOKUP($B198,'B-1 On-Site Hedge Baseline'!$B$1:$U$257,12,FALSE)),"",(VLOOKUP($B198,'B-1 On-Site Hedge Baseline'!$B$1:$U$257,12,FALSE))))</f>
        <v/>
      </c>
      <c r="M198" s="611"/>
      <c r="N198" s="275" t="str">
        <f>IFERROR(IF(B198="","",INDEX('G-6 Hedgerow Data'!$AN$3:$AZ$15,MATCH(C198,'G-6 Hedgerow Data'!$AM$3:$AM$15,0),MATCH(M198,'G-6 Hedgerow Data'!$AN$2:$AZ$2,0))),"")</f>
        <v/>
      </c>
      <c r="O198" s="276" t="str">
        <f t="shared" si="15"/>
        <v/>
      </c>
      <c r="P198" s="329" t="str">
        <f>IF(B198="","",VLOOKUP(B198,'B-1 On-Site Hedge Baseline'!$B$10:T443,16,FALSE))</f>
        <v/>
      </c>
      <c r="Q198" s="275" t="str">
        <f>IF(M198="","",VLOOKUP(M198,'G-6 Hedgerow Data'!$B$2:$AG$15,2,FALSE))</f>
        <v/>
      </c>
      <c r="R198" s="276" t="str">
        <f>IF(M198="","",VLOOKUP(M198,'G-6 Hedgerow Data'!$B$2:$AG$15,3,FALSE))</f>
        <v/>
      </c>
      <c r="S198" s="108"/>
      <c r="T198" s="314" t="str">
        <f>IFERROR(IF(S198="","",IF(AND(M198="Non-native and ornamental hedgerow",S198&lt;&gt;"Poor"),"Not possible ▲",(VLOOKUP(S198,'G-1 All Habitats'!$Z$2:$AA$9,2,FALSE)))),"")</f>
        <v/>
      </c>
      <c r="U198" s="105"/>
      <c r="V198" s="295" t="str">
        <f>IF(U198="","",IF(VLOOKUP(U198,'G-3 Multipliers'!$L$3:$N$6,2,FALSE)=0,"Spatial Data Missing ⚠",VLOOKUP(U198,'G-3 Multipliers'!$L$3:$N$6,2,FALSE)))</f>
        <v/>
      </c>
      <c r="W198" s="299" t="str">
        <f>IF(U198="","",IF(VLOOKUP(U198,'G-3 Multipliers'!$L$3:$N$6,3,FALSE)=0,"Spatial Data Missing ⚠",VLOOKUP(U198,'G-3 Multipliers'!$L$3:$N$6,3,FALSE)))</f>
        <v/>
      </c>
      <c r="X198" s="275" t="str">
        <f>IFERROR(IF(OR(LEFT(O198,5)="Error",LEFT(N198,5)="Error",T198="Error"),"Check Data ⚠",IF(F198&lt;R198,INDEX('G-6 Hedgerow Data'!$S$3:$AE$14,MATCH(C198,'G-6 Hedgerow Data'!$B$3:$B$14,0),MATCH(M198,'G-6 Hedgerow Data'!$S$2:$AE$2,0)),INDEX('G-6 Hedgerow Data'!$K$3:$Q$14,MATCH(M198,'G-6 Hedgerow Data'!$B$3:$B$14,0),MATCH(O198,'G-6 Hedgerow Data'!$K$2:$Q$2,0)))),"")</f>
        <v/>
      </c>
      <c r="Y198" s="133"/>
      <c r="Z198" s="133"/>
      <c r="AA198" s="283" t="str">
        <f t="shared" si="16"/>
        <v/>
      </c>
      <c r="AB198" s="296" t="str">
        <f t="shared" si="17"/>
        <v/>
      </c>
      <c r="AC198" s="297" t="str">
        <f t="shared" si="14"/>
        <v/>
      </c>
      <c r="AD198" s="311" t="str">
        <f>IF(M198="","",VLOOKUP(M198,'G-6 Hedgerow Data'!$B$3:$AG$15,31,FALSE))</f>
        <v/>
      </c>
      <c r="AE198" s="283" t="str">
        <f t="shared" si="18"/>
        <v/>
      </c>
      <c r="AF198" s="283" t="str">
        <f t="shared" si="19"/>
        <v/>
      </c>
      <c r="AG198" s="299" t="str">
        <f>IFERROR(IF(O198="","",VLOOKUP(AD198,'G-3 Multipliers'!$P$3:$Q$6,2,FALSE)),"")</f>
        <v/>
      </c>
      <c r="AH198" s="289" t="str">
        <f t="shared" si="20"/>
        <v/>
      </c>
      <c r="AI198" s="108"/>
      <c r="AJ198" s="115"/>
      <c r="AK198" s="104"/>
      <c r="AT198" s="30" t="str">
        <f>IFERROR(INDEX('G-6 Hedgerow Data'!$BJ$3:$BJ$15,MATCH(M198,'G-6 Hedgerow Data'!$B$3:$B$15,0)),"")</f>
        <v/>
      </c>
    </row>
    <row r="199" spans="2:46" ht="14">
      <c r="B199" s="305" t="str">
        <f>'B-1 On-Site Hedge Baseline'!AK197</f>
        <v/>
      </c>
      <c r="C199" s="295" t="str">
        <f>IF(B199="","",IF(ISNA(VLOOKUP($B199,'B-1 On-Site Hedge Baseline'!$B$1:$L$257,3,FALSE)),"",(VLOOKUP($B199,'B-1 On-Site Hedge Baseline'!$B$1:$L$257,3,FALSE))))</f>
        <v/>
      </c>
      <c r="D199" s="295" t="str">
        <f>IF(B199="","",IF(ISNA(VLOOKUP($B199,'B-1 On-Site Hedge Baseline'!$B$1:$L$257,4,FALSE)),"",(VLOOKUP($B199,'B-1 On-Site Hedge Baseline'!$B$1:$L$257,4,FALSE))))</f>
        <v/>
      </c>
      <c r="E199" s="295" t="str">
        <f>IF(B199="","",IF(ISNA(VLOOKUP($B199,'B-1 On-Site Hedge Baseline'!$B$1:$L$257,5,FALSE)),"",(VLOOKUP($B199,'B-1 On-Site Hedge Baseline'!$B$1:$L$257,5,FALSE))))</f>
        <v/>
      </c>
      <c r="F199" s="295" t="str">
        <f>IF(B199="","",IF(ISNA(VLOOKUP($B199,'B-1 On-Site Hedge Baseline'!$B$1:$L$257,6,FALSE)),"",(VLOOKUP($B199,'B-1 On-Site Hedge Baseline'!$B$1:$L$257,6,FALSE))))</f>
        <v/>
      </c>
      <c r="G199" s="295" t="str">
        <f>IF(B199="","",IF(ISNA(VLOOKUP($B199,'B-1 On-Site Hedge Baseline'!$B$1:$L$257,7,FALSE)),"",(VLOOKUP($B199,'B-1 On-Site Hedge Baseline'!$B$1:$L$257,7,FALSE))))</f>
        <v/>
      </c>
      <c r="H199" s="295" t="str">
        <f>IF(B199="","",IF(ISNA(VLOOKUP($B199,'B-1 On-Site Hedge Baseline'!$B$1:$L$257,8,FALSE)),"",(VLOOKUP($B199,'B-1 On-Site Hedge Baseline'!$B$1:$L$257,8,FALSE))))</f>
        <v/>
      </c>
      <c r="I199" s="295" t="str">
        <f>IF(B199="","",IF(ISNA(VLOOKUP($B199,'B-1 On-Site Hedge Baseline'!$B$1:$L$257,10,FALSE)),"",(VLOOKUP($B199,'B-1 On-Site Hedge Baseline'!$B$1:$L$257,10,FALSE))))</f>
        <v/>
      </c>
      <c r="J199" s="295" t="str">
        <f>IF(B199="","",IF(ISNA(VLOOKUP($B199,'B-1 On-Site Hedge Baseline'!$B$1:$L$257,11,FALSE)),"",(VLOOKUP($B199,'B-1 On-Site Hedge Baseline'!$B$1:$L$257,11,FALSE))))</f>
        <v/>
      </c>
      <c r="K199" s="295" t="str">
        <f>IF(B199="","",IF(ISNA(VLOOKUP($B199,'B-1 On-Site Hedge Baseline'!$B$1:$U$257,13,FALSE)),"",(VLOOKUP($B199,'B-1 On-Site Hedge Baseline'!$B$1:$U$257,13,FALSE))))</f>
        <v/>
      </c>
      <c r="L199" s="299" t="str">
        <f>IF(B199="","",IF(ISNA(VLOOKUP($B199,'B-1 On-Site Hedge Baseline'!$B$1:$U$257,12,FALSE)),"",(VLOOKUP($B199,'B-1 On-Site Hedge Baseline'!$B$1:$U$257,12,FALSE))))</f>
        <v/>
      </c>
      <c r="M199" s="611"/>
      <c r="N199" s="275" t="str">
        <f>IFERROR(IF(B199="","",INDEX('G-6 Hedgerow Data'!$AN$3:$AZ$15,MATCH(C199,'G-6 Hedgerow Data'!$AM$3:$AM$15,0),MATCH(M199,'G-6 Hedgerow Data'!$AN$2:$AZ$2,0))),"")</f>
        <v/>
      </c>
      <c r="O199" s="276" t="str">
        <f t="shared" si="15"/>
        <v/>
      </c>
      <c r="P199" s="329" t="str">
        <f>IF(B199="","",VLOOKUP(B199,'B-1 On-Site Hedge Baseline'!$B$10:T444,16,FALSE))</f>
        <v/>
      </c>
      <c r="Q199" s="275" t="str">
        <f>IF(M199="","",VLOOKUP(M199,'G-6 Hedgerow Data'!$B$2:$AG$15,2,FALSE))</f>
        <v/>
      </c>
      <c r="R199" s="276" t="str">
        <f>IF(M199="","",VLOOKUP(M199,'G-6 Hedgerow Data'!$B$2:$AG$15,3,FALSE))</f>
        <v/>
      </c>
      <c r="S199" s="108"/>
      <c r="T199" s="314" t="str">
        <f>IFERROR(IF(S199="","",IF(AND(M199="Non-native and ornamental hedgerow",S199&lt;&gt;"Poor"),"Not possible ▲",(VLOOKUP(S199,'G-1 All Habitats'!$Z$2:$AA$9,2,FALSE)))),"")</f>
        <v/>
      </c>
      <c r="U199" s="105"/>
      <c r="V199" s="295" t="str">
        <f>IF(U199="","",IF(VLOOKUP(U199,'G-3 Multipliers'!$L$3:$N$6,2,FALSE)=0,"Spatial Data Missing ⚠",VLOOKUP(U199,'G-3 Multipliers'!$L$3:$N$6,2,FALSE)))</f>
        <v/>
      </c>
      <c r="W199" s="299" t="str">
        <f>IF(U199="","",IF(VLOOKUP(U199,'G-3 Multipliers'!$L$3:$N$6,3,FALSE)=0,"Spatial Data Missing ⚠",VLOOKUP(U199,'G-3 Multipliers'!$L$3:$N$6,3,FALSE)))</f>
        <v/>
      </c>
      <c r="X199" s="275" t="str">
        <f>IFERROR(IF(OR(LEFT(O199,5)="Error",LEFT(N199,5)="Error",T199="Error"),"Check Data ⚠",IF(F199&lt;R199,INDEX('G-6 Hedgerow Data'!$S$3:$AE$14,MATCH(C199,'G-6 Hedgerow Data'!$B$3:$B$14,0),MATCH(M199,'G-6 Hedgerow Data'!$S$2:$AE$2,0)),INDEX('G-6 Hedgerow Data'!$K$3:$Q$14,MATCH(M199,'G-6 Hedgerow Data'!$B$3:$B$14,0),MATCH(O199,'G-6 Hedgerow Data'!$K$2:$Q$2,0)))),"")</f>
        <v/>
      </c>
      <c r="Y199" s="133"/>
      <c r="Z199" s="133"/>
      <c r="AA199" s="283" t="str">
        <f t="shared" si="16"/>
        <v/>
      </c>
      <c r="AB199" s="296" t="str">
        <f t="shared" si="17"/>
        <v/>
      </c>
      <c r="AC199" s="297" t="str">
        <f t="shared" si="14"/>
        <v/>
      </c>
      <c r="AD199" s="311" t="str">
        <f>IF(M199="","",VLOOKUP(M199,'G-6 Hedgerow Data'!$B$3:$AG$15,31,FALSE))</f>
        <v/>
      </c>
      <c r="AE199" s="283" t="str">
        <f t="shared" si="18"/>
        <v/>
      </c>
      <c r="AF199" s="283" t="str">
        <f t="shared" si="19"/>
        <v/>
      </c>
      <c r="AG199" s="299" t="str">
        <f>IFERROR(IF(O199="","",VLOOKUP(AD199,'G-3 Multipliers'!$P$3:$Q$6,2,FALSE)),"")</f>
        <v/>
      </c>
      <c r="AH199" s="289" t="str">
        <f t="shared" si="20"/>
        <v/>
      </c>
      <c r="AI199" s="108"/>
      <c r="AJ199" s="115"/>
      <c r="AK199" s="104"/>
      <c r="AT199" s="30" t="str">
        <f>IFERROR(INDEX('G-6 Hedgerow Data'!$BJ$3:$BJ$15,MATCH(M199,'G-6 Hedgerow Data'!$B$3:$B$15,0)),"")</f>
        <v/>
      </c>
    </row>
    <row r="200" spans="2:46" ht="14">
      <c r="B200" s="305" t="str">
        <f>'B-1 On-Site Hedge Baseline'!AK198</f>
        <v/>
      </c>
      <c r="C200" s="295" t="str">
        <f>IF(B200="","",IF(ISNA(VLOOKUP($B200,'B-1 On-Site Hedge Baseline'!$B$1:$L$257,3,FALSE)),"",(VLOOKUP($B200,'B-1 On-Site Hedge Baseline'!$B$1:$L$257,3,FALSE))))</f>
        <v/>
      </c>
      <c r="D200" s="295" t="str">
        <f>IF(B200="","",IF(ISNA(VLOOKUP($B200,'B-1 On-Site Hedge Baseline'!$B$1:$L$257,4,FALSE)),"",(VLOOKUP($B200,'B-1 On-Site Hedge Baseline'!$B$1:$L$257,4,FALSE))))</f>
        <v/>
      </c>
      <c r="E200" s="295" t="str">
        <f>IF(B200="","",IF(ISNA(VLOOKUP($B200,'B-1 On-Site Hedge Baseline'!$B$1:$L$257,5,FALSE)),"",(VLOOKUP($B200,'B-1 On-Site Hedge Baseline'!$B$1:$L$257,5,FALSE))))</f>
        <v/>
      </c>
      <c r="F200" s="295" t="str">
        <f>IF(B200="","",IF(ISNA(VLOOKUP($B200,'B-1 On-Site Hedge Baseline'!$B$1:$L$257,6,FALSE)),"",(VLOOKUP($B200,'B-1 On-Site Hedge Baseline'!$B$1:$L$257,6,FALSE))))</f>
        <v/>
      </c>
      <c r="G200" s="295" t="str">
        <f>IF(B200="","",IF(ISNA(VLOOKUP($B200,'B-1 On-Site Hedge Baseline'!$B$1:$L$257,7,FALSE)),"",(VLOOKUP($B200,'B-1 On-Site Hedge Baseline'!$B$1:$L$257,7,FALSE))))</f>
        <v/>
      </c>
      <c r="H200" s="295" t="str">
        <f>IF(B200="","",IF(ISNA(VLOOKUP($B200,'B-1 On-Site Hedge Baseline'!$B$1:$L$257,8,FALSE)),"",(VLOOKUP($B200,'B-1 On-Site Hedge Baseline'!$B$1:$L$257,8,FALSE))))</f>
        <v/>
      </c>
      <c r="I200" s="295" t="str">
        <f>IF(B200="","",IF(ISNA(VLOOKUP($B200,'B-1 On-Site Hedge Baseline'!$B$1:$L$257,10,FALSE)),"",(VLOOKUP($B200,'B-1 On-Site Hedge Baseline'!$B$1:$L$257,10,FALSE))))</f>
        <v/>
      </c>
      <c r="J200" s="295" t="str">
        <f>IF(B200="","",IF(ISNA(VLOOKUP($B200,'B-1 On-Site Hedge Baseline'!$B$1:$L$257,11,FALSE)),"",(VLOOKUP($B200,'B-1 On-Site Hedge Baseline'!$B$1:$L$257,11,FALSE))))</f>
        <v/>
      </c>
      <c r="K200" s="295" t="str">
        <f>IF(B200="","",IF(ISNA(VLOOKUP($B200,'B-1 On-Site Hedge Baseline'!$B$1:$U$257,13,FALSE)),"",(VLOOKUP($B200,'B-1 On-Site Hedge Baseline'!$B$1:$U$257,13,FALSE))))</f>
        <v/>
      </c>
      <c r="L200" s="299" t="str">
        <f>IF(B200="","",IF(ISNA(VLOOKUP($B200,'B-1 On-Site Hedge Baseline'!$B$1:$U$257,12,FALSE)),"",(VLOOKUP($B200,'B-1 On-Site Hedge Baseline'!$B$1:$U$257,12,FALSE))))</f>
        <v/>
      </c>
      <c r="M200" s="611"/>
      <c r="N200" s="275" t="str">
        <f>IFERROR(IF(B200="","",INDEX('G-6 Hedgerow Data'!$AN$3:$AZ$15,MATCH(C200,'G-6 Hedgerow Data'!$AM$3:$AM$15,0),MATCH(M200,'G-6 Hedgerow Data'!$AN$2:$AZ$2,0))),"")</f>
        <v/>
      </c>
      <c r="O200" s="276" t="str">
        <f t="shared" si="15"/>
        <v/>
      </c>
      <c r="P200" s="329" t="str">
        <f>IF(B200="","",VLOOKUP(B200,'B-1 On-Site Hedge Baseline'!$B$10:T445,16,FALSE))</f>
        <v/>
      </c>
      <c r="Q200" s="275" t="str">
        <f>IF(M200="","",VLOOKUP(M200,'G-6 Hedgerow Data'!$B$2:$AG$15,2,FALSE))</f>
        <v/>
      </c>
      <c r="R200" s="276" t="str">
        <f>IF(M200="","",VLOOKUP(M200,'G-6 Hedgerow Data'!$B$2:$AG$15,3,FALSE))</f>
        <v/>
      </c>
      <c r="S200" s="108"/>
      <c r="T200" s="314" t="str">
        <f>IFERROR(IF(S200="","",IF(AND(M200="Non-native and ornamental hedgerow",S200&lt;&gt;"Poor"),"Not possible ▲",(VLOOKUP(S200,'G-1 All Habitats'!$Z$2:$AA$9,2,FALSE)))),"")</f>
        <v/>
      </c>
      <c r="U200" s="105"/>
      <c r="V200" s="295" t="str">
        <f>IF(U200="","",IF(VLOOKUP(U200,'G-3 Multipliers'!$L$3:$N$6,2,FALSE)=0,"Spatial Data Missing ⚠",VLOOKUP(U200,'G-3 Multipliers'!$L$3:$N$6,2,FALSE)))</f>
        <v/>
      </c>
      <c r="W200" s="299" t="str">
        <f>IF(U200="","",IF(VLOOKUP(U200,'G-3 Multipliers'!$L$3:$N$6,3,FALSE)=0,"Spatial Data Missing ⚠",VLOOKUP(U200,'G-3 Multipliers'!$L$3:$N$6,3,FALSE)))</f>
        <v/>
      </c>
      <c r="X200" s="275" t="str">
        <f>IFERROR(IF(OR(LEFT(O200,5)="Error",LEFT(N200,5)="Error",T200="Error"),"Check Data ⚠",IF(F200&lt;R200,INDEX('G-6 Hedgerow Data'!$S$3:$AE$14,MATCH(C200,'G-6 Hedgerow Data'!$B$3:$B$14,0),MATCH(M200,'G-6 Hedgerow Data'!$S$2:$AE$2,0)),INDEX('G-6 Hedgerow Data'!$K$3:$Q$14,MATCH(M200,'G-6 Hedgerow Data'!$B$3:$B$14,0),MATCH(O200,'G-6 Hedgerow Data'!$K$2:$Q$2,0)))),"")</f>
        <v/>
      </c>
      <c r="Y200" s="133"/>
      <c r="Z200" s="133"/>
      <c r="AA200" s="283" t="str">
        <f t="shared" si="16"/>
        <v/>
      </c>
      <c r="AB200" s="296" t="str">
        <f t="shared" si="17"/>
        <v/>
      </c>
      <c r="AC200" s="297" t="str">
        <f t="shared" si="14"/>
        <v/>
      </c>
      <c r="AD200" s="311" t="str">
        <f>IF(M200="","",VLOOKUP(M200,'G-6 Hedgerow Data'!$B$3:$AG$15,31,FALSE))</f>
        <v/>
      </c>
      <c r="AE200" s="283" t="str">
        <f t="shared" si="18"/>
        <v/>
      </c>
      <c r="AF200" s="283" t="str">
        <f t="shared" si="19"/>
        <v/>
      </c>
      <c r="AG200" s="299" t="str">
        <f>IFERROR(IF(O200="","",VLOOKUP(AD200,'G-3 Multipliers'!$P$3:$Q$6,2,FALSE)),"")</f>
        <v/>
      </c>
      <c r="AH200" s="289" t="str">
        <f t="shared" si="20"/>
        <v/>
      </c>
      <c r="AI200" s="108"/>
      <c r="AJ200" s="115"/>
      <c r="AK200" s="104"/>
      <c r="AT200" s="30" t="str">
        <f>IFERROR(INDEX('G-6 Hedgerow Data'!$BJ$3:$BJ$15,MATCH(M200,'G-6 Hedgerow Data'!$B$3:$B$15,0)),"")</f>
        <v/>
      </c>
    </row>
    <row r="201" spans="2:46" ht="14">
      <c r="B201" s="305" t="str">
        <f>'B-1 On-Site Hedge Baseline'!AK199</f>
        <v/>
      </c>
      <c r="C201" s="295" t="str">
        <f>IF(B201="","",IF(ISNA(VLOOKUP($B201,'B-1 On-Site Hedge Baseline'!$B$1:$L$257,3,FALSE)),"",(VLOOKUP($B201,'B-1 On-Site Hedge Baseline'!$B$1:$L$257,3,FALSE))))</f>
        <v/>
      </c>
      <c r="D201" s="295" t="str">
        <f>IF(B201="","",IF(ISNA(VLOOKUP($B201,'B-1 On-Site Hedge Baseline'!$B$1:$L$257,4,FALSE)),"",(VLOOKUP($B201,'B-1 On-Site Hedge Baseline'!$B$1:$L$257,4,FALSE))))</f>
        <v/>
      </c>
      <c r="E201" s="295" t="str">
        <f>IF(B201="","",IF(ISNA(VLOOKUP($B201,'B-1 On-Site Hedge Baseline'!$B$1:$L$257,5,FALSE)),"",(VLOOKUP($B201,'B-1 On-Site Hedge Baseline'!$B$1:$L$257,5,FALSE))))</f>
        <v/>
      </c>
      <c r="F201" s="295" t="str">
        <f>IF(B201="","",IF(ISNA(VLOOKUP($B201,'B-1 On-Site Hedge Baseline'!$B$1:$L$257,6,FALSE)),"",(VLOOKUP($B201,'B-1 On-Site Hedge Baseline'!$B$1:$L$257,6,FALSE))))</f>
        <v/>
      </c>
      <c r="G201" s="295" t="str">
        <f>IF(B201="","",IF(ISNA(VLOOKUP($B201,'B-1 On-Site Hedge Baseline'!$B$1:$L$257,7,FALSE)),"",(VLOOKUP($B201,'B-1 On-Site Hedge Baseline'!$B$1:$L$257,7,FALSE))))</f>
        <v/>
      </c>
      <c r="H201" s="295" t="str">
        <f>IF(B201="","",IF(ISNA(VLOOKUP($B201,'B-1 On-Site Hedge Baseline'!$B$1:$L$257,8,FALSE)),"",(VLOOKUP($B201,'B-1 On-Site Hedge Baseline'!$B$1:$L$257,8,FALSE))))</f>
        <v/>
      </c>
      <c r="I201" s="295" t="str">
        <f>IF(B201="","",IF(ISNA(VLOOKUP($B201,'B-1 On-Site Hedge Baseline'!$B$1:$L$257,10,FALSE)),"",(VLOOKUP($B201,'B-1 On-Site Hedge Baseline'!$B$1:$L$257,10,FALSE))))</f>
        <v/>
      </c>
      <c r="J201" s="295" t="str">
        <f>IF(B201="","",IF(ISNA(VLOOKUP($B201,'B-1 On-Site Hedge Baseline'!$B$1:$L$257,11,FALSE)),"",(VLOOKUP($B201,'B-1 On-Site Hedge Baseline'!$B$1:$L$257,11,FALSE))))</f>
        <v/>
      </c>
      <c r="K201" s="295" t="str">
        <f>IF(B201="","",IF(ISNA(VLOOKUP($B201,'B-1 On-Site Hedge Baseline'!$B$1:$U$257,13,FALSE)),"",(VLOOKUP($B201,'B-1 On-Site Hedge Baseline'!$B$1:$U$257,13,FALSE))))</f>
        <v/>
      </c>
      <c r="L201" s="299" t="str">
        <f>IF(B201="","",IF(ISNA(VLOOKUP($B201,'B-1 On-Site Hedge Baseline'!$B$1:$U$257,12,FALSE)),"",(VLOOKUP($B201,'B-1 On-Site Hedge Baseline'!$B$1:$U$257,12,FALSE))))</f>
        <v/>
      </c>
      <c r="M201" s="611"/>
      <c r="N201" s="275" t="str">
        <f>IFERROR(IF(B201="","",INDEX('G-6 Hedgerow Data'!$AN$3:$AZ$15,MATCH(C201,'G-6 Hedgerow Data'!$AM$3:$AM$15,0),MATCH(M201,'G-6 Hedgerow Data'!$AN$2:$AZ$2,0))),"")</f>
        <v/>
      </c>
      <c r="O201" s="276" t="str">
        <f t="shared" si="15"/>
        <v/>
      </c>
      <c r="P201" s="329" t="str">
        <f>IF(B201="","",VLOOKUP(B201,'B-1 On-Site Hedge Baseline'!$B$10:T446,16,FALSE))</f>
        <v/>
      </c>
      <c r="Q201" s="275" t="str">
        <f>IF(M201="","",VLOOKUP(M201,'G-6 Hedgerow Data'!$B$2:$AG$15,2,FALSE))</f>
        <v/>
      </c>
      <c r="R201" s="276" t="str">
        <f>IF(M201="","",VLOOKUP(M201,'G-6 Hedgerow Data'!$B$2:$AG$15,3,FALSE))</f>
        <v/>
      </c>
      <c r="S201" s="108"/>
      <c r="T201" s="314" t="str">
        <f>IFERROR(IF(S201="","",IF(AND(M201="Non-native and ornamental hedgerow",S201&lt;&gt;"Poor"),"Not possible ▲",(VLOOKUP(S201,'G-1 All Habitats'!$Z$2:$AA$9,2,FALSE)))),"")</f>
        <v/>
      </c>
      <c r="U201" s="105"/>
      <c r="V201" s="295" t="str">
        <f>IF(U201="","",IF(VLOOKUP(U201,'G-3 Multipliers'!$L$3:$N$6,2,FALSE)=0,"Spatial Data Missing ⚠",VLOOKUP(U201,'G-3 Multipliers'!$L$3:$N$6,2,FALSE)))</f>
        <v/>
      </c>
      <c r="W201" s="299" t="str">
        <f>IF(U201="","",IF(VLOOKUP(U201,'G-3 Multipliers'!$L$3:$N$6,3,FALSE)=0,"Spatial Data Missing ⚠",VLOOKUP(U201,'G-3 Multipliers'!$L$3:$N$6,3,FALSE)))</f>
        <v/>
      </c>
      <c r="X201" s="275" t="str">
        <f>IFERROR(IF(OR(LEFT(O201,5)="Error",LEFT(N201,5)="Error",T201="Error"),"Check Data ⚠",IF(F201&lt;R201,INDEX('G-6 Hedgerow Data'!$S$3:$AE$14,MATCH(C201,'G-6 Hedgerow Data'!$B$3:$B$14,0),MATCH(M201,'G-6 Hedgerow Data'!$S$2:$AE$2,0)),INDEX('G-6 Hedgerow Data'!$K$3:$Q$14,MATCH(M201,'G-6 Hedgerow Data'!$B$3:$B$14,0),MATCH(O201,'G-6 Hedgerow Data'!$K$2:$Q$2,0)))),"")</f>
        <v/>
      </c>
      <c r="Y201" s="133"/>
      <c r="Z201" s="133"/>
      <c r="AA201" s="283" t="str">
        <f t="shared" si="16"/>
        <v/>
      </c>
      <c r="AB201" s="296" t="str">
        <f t="shared" si="17"/>
        <v/>
      </c>
      <c r="AC201" s="297" t="str">
        <f t="shared" si="14"/>
        <v/>
      </c>
      <c r="AD201" s="311" t="str">
        <f>IF(M201="","",VLOOKUP(M201,'G-6 Hedgerow Data'!$B$3:$AG$15,31,FALSE))</f>
        <v/>
      </c>
      <c r="AE201" s="283" t="str">
        <f t="shared" si="18"/>
        <v/>
      </c>
      <c r="AF201" s="283" t="str">
        <f t="shared" si="19"/>
        <v/>
      </c>
      <c r="AG201" s="299" t="str">
        <f>IFERROR(IF(O201="","",VLOOKUP(AD201,'G-3 Multipliers'!$P$3:$Q$6,2,FALSE)),"")</f>
        <v/>
      </c>
      <c r="AH201" s="289" t="str">
        <f t="shared" si="20"/>
        <v/>
      </c>
      <c r="AI201" s="108"/>
      <c r="AJ201" s="115"/>
      <c r="AK201" s="104"/>
      <c r="AT201" s="30" t="str">
        <f>IFERROR(INDEX('G-6 Hedgerow Data'!$BJ$3:$BJ$15,MATCH(M201,'G-6 Hedgerow Data'!$B$3:$B$15,0)),"")</f>
        <v/>
      </c>
    </row>
    <row r="202" spans="2:46" ht="14">
      <c r="B202" s="305" t="str">
        <f>'B-1 On-Site Hedge Baseline'!AK200</f>
        <v/>
      </c>
      <c r="C202" s="295" t="str">
        <f>IF(B202="","",IF(ISNA(VLOOKUP($B202,'B-1 On-Site Hedge Baseline'!$B$1:$L$257,3,FALSE)),"",(VLOOKUP($B202,'B-1 On-Site Hedge Baseline'!$B$1:$L$257,3,FALSE))))</f>
        <v/>
      </c>
      <c r="D202" s="295" t="str">
        <f>IF(B202="","",IF(ISNA(VLOOKUP($B202,'B-1 On-Site Hedge Baseline'!$B$1:$L$257,4,FALSE)),"",(VLOOKUP($B202,'B-1 On-Site Hedge Baseline'!$B$1:$L$257,4,FALSE))))</f>
        <v/>
      </c>
      <c r="E202" s="295" t="str">
        <f>IF(B202="","",IF(ISNA(VLOOKUP($B202,'B-1 On-Site Hedge Baseline'!$B$1:$L$257,5,FALSE)),"",(VLOOKUP($B202,'B-1 On-Site Hedge Baseline'!$B$1:$L$257,5,FALSE))))</f>
        <v/>
      </c>
      <c r="F202" s="295" t="str">
        <f>IF(B202="","",IF(ISNA(VLOOKUP($B202,'B-1 On-Site Hedge Baseline'!$B$1:$L$257,6,FALSE)),"",(VLOOKUP($B202,'B-1 On-Site Hedge Baseline'!$B$1:$L$257,6,FALSE))))</f>
        <v/>
      </c>
      <c r="G202" s="295" t="str">
        <f>IF(B202="","",IF(ISNA(VLOOKUP($B202,'B-1 On-Site Hedge Baseline'!$B$1:$L$257,7,FALSE)),"",(VLOOKUP($B202,'B-1 On-Site Hedge Baseline'!$B$1:$L$257,7,FALSE))))</f>
        <v/>
      </c>
      <c r="H202" s="295" t="str">
        <f>IF(B202="","",IF(ISNA(VLOOKUP($B202,'B-1 On-Site Hedge Baseline'!$B$1:$L$257,8,FALSE)),"",(VLOOKUP($B202,'B-1 On-Site Hedge Baseline'!$B$1:$L$257,8,FALSE))))</f>
        <v/>
      </c>
      <c r="I202" s="295" t="str">
        <f>IF(B202="","",IF(ISNA(VLOOKUP($B202,'B-1 On-Site Hedge Baseline'!$B$1:$L$257,10,FALSE)),"",(VLOOKUP($B202,'B-1 On-Site Hedge Baseline'!$B$1:$L$257,10,FALSE))))</f>
        <v/>
      </c>
      <c r="J202" s="295" t="str">
        <f>IF(B202="","",IF(ISNA(VLOOKUP($B202,'B-1 On-Site Hedge Baseline'!$B$1:$L$257,11,FALSE)),"",(VLOOKUP($B202,'B-1 On-Site Hedge Baseline'!$B$1:$L$257,11,FALSE))))</f>
        <v/>
      </c>
      <c r="K202" s="295" t="str">
        <f>IF(B202="","",IF(ISNA(VLOOKUP($B202,'B-1 On-Site Hedge Baseline'!$B$1:$U$257,13,FALSE)),"",(VLOOKUP($B202,'B-1 On-Site Hedge Baseline'!$B$1:$U$257,13,FALSE))))</f>
        <v/>
      </c>
      <c r="L202" s="299" t="str">
        <f>IF(B202="","",IF(ISNA(VLOOKUP($B202,'B-1 On-Site Hedge Baseline'!$B$1:$U$257,12,FALSE)),"",(VLOOKUP($B202,'B-1 On-Site Hedge Baseline'!$B$1:$U$257,12,FALSE))))</f>
        <v/>
      </c>
      <c r="M202" s="611"/>
      <c r="N202" s="275" t="str">
        <f>IFERROR(IF(B202="","",INDEX('G-6 Hedgerow Data'!$AN$3:$AZ$15,MATCH(C202,'G-6 Hedgerow Data'!$AM$3:$AM$15,0),MATCH(M202,'G-6 Hedgerow Data'!$AN$2:$AZ$2,0))),"")</f>
        <v/>
      </c>
      <c r="O202" s="276" t="str">
        <f t="shared" si="15"/>
        <v/>
      </c>
      <c r="P202" s="329" t="str">
        <f>IF(B202="","",VLOOKUP(B202,'B-1 On-Site Hedge Baseline'!$B$10:T447,16,FALSE))</f>
        <v/>
      </c>
      <c r="Q202" s="275" t="str">
        <f>IF(M202="","",VLOOKUP(M202,'G-6 Hedgerow Data'!$B$2:$AG$15,2,FALSE))</f>
        <v/>
      </c>
      <c r="R202" s="276" t="str">
        <f>IF(M202="","",VLOOKUP(M202,'G-6 Hedgerow Data'!$B$2:$AG$15,3,FALSE))</f>
        <v/>
      </c>
      <c r="S202" s="108"/>
      <c r="T202" s="314" t="str">
        <f>IFERROR(IF(S202="","",IF(AND(M202="Non-native and ornamental hedgerow",S202&lt;&gt;"Poor"),"Not possible ▲",(VLOOKUP(S202,'G-1 All Habitats'!$Z$2:$AA$9,2,FALSE)))),"")</f>
        <v/>
      </c>
      <c r="U202" s="105"/>
      <c r="V202" s="295" t="str">
        <f>IF(U202="","",IF(VLOOKUP(U202,'G-3 Multipliers'!$L$3:$N$6,2,FALSE)=0,"Spatial Data Missing ⚠",VLOOKUP(U202,'G-3 Multipliers'!$L$3:$N$6,2,FALSE)))</f>
        <v/>
      </c>
      <c r="W202" s="299" t="str">
        <f>IF(U202="","",IF(VLOOKUP(U202,'G-3 Multipliers'!$L$3:$N$6,3,FALSE)=0,"Spatial Data Missing ⚠",VLOOKUP(U202,'G-3 Multipliers'!$L$3:$N$6,3,FALSE)))</f>
        <v/>
      </c>
      <c r="X202" s="275" t="str">
        <f>IFERROR(IF(OR(LEFT(O202,5)="Error",LEFT(N202,5)="Error",T202="Error"),"Check Data ⚠",IF(F202&lt;R202,INDEX('G-6 Hedgerow Data'!$S$3:$AE$14,MATCH(C202,'G-6 Hedgerow Data'!$B$3:$B$14,0),MATCH(M202,'G-6 Hedgerow Data'!$S$2:$AE$2,0)),INDEX('G-6 Hedgerow Data'!$K$3:$Q$14,MATCH(M202,'G-6 Hedgerow Data'!$B$3:$B$14,0),MATCH(O202,'G-6 Hedgerow Data'!$K$2:$Q$2,0)))),"")</f>
        <v/>
      </c>
      <c r="Y202" s="133"/>
      <c r="Z202" s="133"/>
      <c r="AA202" s="283" t="str">
        <f t="shared" si="16"/>
        <v/>
      </c>
      <c r="AB202" s="296" t="str">
        <f t="shared" si="17"/>
        <v/>
      </c>
      <c r="AC202" s="297" t="str">
        <f t="shared" si="14"/>
        <v/>
      </c>
      <c r="AD202" s="311" t="str">
        <f>IF(M202="","",VLOOKUP(M202,'G-6 Hedgerow Data'!$B$3:$AG$15,31,FALSE))</f>
        <v/>
      </c>
      <c r="AE202" s="283" t="str">
        <f t="shared" si="18"/>
        <v/>
      </c>
      <c r="AF202" s="283" t="str">
        <f t="shared" si="19"/>
        <v/>
      </c>
      <c r="AG202" s="299" t="str">
        <f>IFERROR(IF(O202="","",VLOOKUP(AD202,'G-3 Multipliers'!$P$3:$Q$6,2,FALSE)),"")</f>
        <v/>
      </c>
      <c r="AH202" s="289" t="str">
        <f t="shared" si="20"/>
        <v/>
      </c>
      <c r="AI202" s="108"/>
      <c r="AJ202" s="115"/>
      <c r="AK202" s="104"/>
      <c r="AT202" s="30" t="str">
        <f>IFERROR(INDEX('G-6 Hedgerow Data'!$BJ$3:$BJ$15,MATCH(M202,'G-6 Hedgerow Data'!$B$3:$B$15,0)),"")</f>
        <v/>
      </c>
    </row>
    <row r="203" spans="2:46" ht="14">
      <c r="B203" s="305" t="str">
        <f>'B-1 On-Site Hedge Baseline'!AK201</f>
        <v/>
      </c>
      <c r="C203" s="295" t="str">
        <f>IF(B203="","",IF(ISNA(VLOOKUP($B203,'B-1 On-Site Hedge Baseline'!$B$1:$L$257,3,FALSE)),"",(VLOOKUP($B203,'B-1 On-Site Hedge Baseline'!$B$1:$L$257,3,FALSE))))</f>
        <v/>
      </c>
      <c r="D203" s="295" t="str">
        <f>IF(B203="","",IF(ISNA(VLOOKUP($B203,'B-1 On-Site Hedge Baseline'!$B$1:$L$257,4,FALSE)),"",(VLOOKUP($B203,'B-1 On-Site Hedge Baseline'!$B$1:$L$257,4,FALSE))))</f>
        <v/>
      </c>
      <c r="E203" s="295" t="str">
        <f>IF(B203="","",IF(ISNA(VLOOKUP($B203,'B-1 On-Site Hedge Baseline'!$B$1:$L$257,5,FALSE)),"",(VLOOKUP($B203,'B-1 On-Site Hedge Baseline'!$B$1:$L$257,5,FALSE))))</f>
        <v/>
      </c>
      <c r="F203" s="295" t="str">
        <f>IF(B203="","",IF(ISNA(VLOOKUP($B203,'B-1 On-Site Hedge Baseline'!$B$1:$L$257,6,FALSE)),"",(VLOOKUP($B203,'B-1 On-Site Hedge Baseline'!$B$1:$L$257,6,FALSE))))</f>
        <v/>
      </c>
      <c r="G203" s="295" t="str">
        <f>IF(B203="","",IF(ISNA(VLOOKUP($B203,'B-1 On-Site Hedge Baseline'!$B$1:$L$257,7,FALSE)),"",(VLOOKUP($B203,'B-1 On-Site Hedge Baseline'!$B$1:$L$257,7,FALSE))))</f>
        <v/>
      </c>
      <c r="H203" s="295" t="str">
        <f>IF(B203="","",IF(ISNA(VLOOKUP($B203,'B-1 On-Site Hedge Baseline'!$B$1:$L$257,8,FALSE)),"",(VLOOKUP($B203,'B-1 On-Site Hedge Baseline'!$B$1:$L$257,8,FALSE))))</f>
        <v/>
      </c>
      <c r="I203" s="295" t="str">
        <f>IF(B203="","",IF(ISNA(VLOOKUP($B203,'B-1 On-Site Hedge Baseline'!$B$1:$L$257,10,FALSE)),"",(VLOOKUP($B203,'B-1 On-Site Hedge Baseline'!$B$1:$L$257,10,FALSE))))</f>
        <v/>
      </c>
      <c r="J203" s="295" t="str">
        <f>IF(B203="","",IF(ISNA(VLOOKUP($B203,'B-1 On-Site Hedge Baseline'!$B$1:$L$257,11,FALSE)),"",(VLOOKUP($B203,'B-1 On-Site Hedge Baseline'!$B$1:$L$257,11,FALSE))))</f>
        <v/>
      </c>
      <c r="K203" s="295" t="str">
        <f>IF(B203="","",IF(ISNA(VLOOKUP($B203,'B-1 On-Site Hedge Baseline'!$B$1:$U$257,13,FALSE)),"",(VLOOKUP($B203,'B-1 On-Site Hedge Baseline'!$B$1:$U$257,13,FALSE))))</f>
        <v/>
      </c>
      <c r="L203" s="299" t="str">
        <f>IF(B203="","",IF(ISNA(VLOOKUP($B203,'B-1 On-Site Hedge Baseline'!$B$1:$U$257,12,FALSE)),"",(VLOOKUP($B203,'B-1 On-Site Hedge Baseline'!$B$1:$U$257,12,FALSE))))</f>
        <v/>
      </c>
      <c r="M203" s="611"/>
      <c r="N203" s="275" t="str">
        <f>IFERROR(IF(B203="","",INDEX('G-6 Hedgerow Data'!$AN$3:$AZ$15,MATCH(C203,'G-6 Hedgerow Data'!$AM$3:$AM$15,0),MATCH(M203,'G-6 Hedgerow Data'!$AN$2:$AZ$2,0))),"")</f>
        <v/>
      </c>
      <c r="O203" s="276" t="str">
        <f t="shared" si="15"/>
        <v/>
      </c>
      <c r="P203" s="329" t="str">
        <f>IF(B203="","",VLOOKUP(B203,'B-1 On-Site Hedge Baseline'!$B$10:T448,16,FALSE))</f>
        <v/>
      </c>
      <c r="Q203" s="275" t="str">
        <f>IF(M203="","",VLOOKUP(M203,'G-6 Hedgerow Data'!$B$2:$AG$15,2,FALSE))</f>
        <v/>
      </c>
      <c r="R203" s="276" t="str">
        <f>IF(M203="","",VLOOKUP(M203,'G-6 Hedgerow Data'!$B$2:$AG$15,3,FALSE))</f>
        <v/>
      </c>
      <c r="S203" s="108"/>
      <c r="T203" s="314" t="str">
        <f>IFERROR(IF(S203="","",IF(AND(M203="Non-native and ornamental hedgerow",S203&lt;&gt;"Poor"),"Not possible ▲",(VLOOKUP(S203,'G-1 All Habitats'!$Z$2:$AA$9,2,FALSE)))),"")</f>
        <v/>
      </c>
      <c r="U203" s="105"/>
      <c r="V203" s="295" t="str">
        <f>IF(U203="","",IF(VLOOKUP(U203,'G-3 Multipliers'!$L$3:$N$6,2,FALSE)=0,"Spatial Data Missing ⚠",VLOOKUP(U203,'G-3 Multipliers'!$L$3:$N$6,2,FALSE)))</f>
        <v/>
      </c>
      <c r="W203" s="299" t="str">
        <f>IF(U203="","",IF(VLOOKUP(U203,'G-3 Multipliers'!$L$3:$N$6,3,FALSE)=0,"Spatial Data Missing ⚠",VLOOKUP(U203,'G-3 Multipliers'!$L$3:$N$6,3,FALSE)))</f>
        <v/>
      </c>
      <c r="X203" s="275" t="str">
        <f>IFERROR(IF(OR(LEFT(O203,5)="Error",LEFT(N203,5)="Error",T203="Error"),"Check Data ⚠",IF(F203&lt;R203,INDEX('G-6 Hedgerow Data'!$S$3:$AE$14,MATCH(C203,'G-6 Hedgerow Data'!$B$3:$B$14,0),MATCH(M203,'G-6 Hedgerow Data'!$S$2:$AE$2,0)),INDEX('G-6 Hedgerow Data'!$K$3:$Q$14,MATCH(M203,'G-6 Hedgerow Data'!$B$3:$B$14,0),MATCH(O203,'G-6 Hedgerow Data'!$K$2:$Q$2,0)))),"")</f>
        <v/>
      </c>
      <c r="Y203" s="133"/>
      <c r="Z203" s="133"/>
      <c r="AA203" s="283" t="str">
        <f t="shared" si="16"/>
        <v/>
      </c>
      <c r="AB203" s="296" t="str">
        <f t="shared" si="17"/>
        <v/>
      </c>
      <c r="AC203" s="297" t="str">
        <f t="shared" si="14"/>
        <v/>
      </c>
      <c r="AD203" s="311" t="str">
        <f>IF(M203="","",VLOOKUP(M203,'G-6 Hedgerow Data'!$B$3:$AG$15,31,FALSE))</f>
        <v/>
      </c>
      <c r="AE203" s="283" t="str">
        <f t="shared" si="18"/>
        <v/>
      </c>
      <c r="AF203" s="283" t="str">
        <f t="shared" si="19"/>
        <v/>
      </c>
      <c r="AG203" s="299" t="str">
        <f>IFERROR(IF(O203="","",VLOOKUP(AD203,'G-3 Multipliers'!$P$3:$Q$6,2,FALSE)),"")</f>
        <v/>
      </c>
      <c r="AH203" s="289" t="str">
        <f t="shared" si="20"/>
        <v/>
      </c>
      <c r="AI203" s="108"/>
      <c r="AJ203" s="115"/>
      <c r="AK203" s="104"/>
      <c r="AT203" s="30" t="str">
        <f>IFERROR(INDEX('G-6 Hedgerow Data'!$BJ$3:$BJ$15,MATCH(M203,'G-6 Hedgerow Data'!$B$3:$B$15,0)),"")</f>
        <v/>
      </c>
    </row>
    <row r="204" spans="2:46" ht="14">
      <c r="B204" s="305" t="str">
        <f>'B-1 On-Site Hedge Baseline'!AK202</f>
        <v/>
      </c>
      <c r="C204" s="295" t="str">
        <f>IF(B204="","",IF(ISNA(VLOOKUP($B204,'B-1 On-Site Hedge Baseline'!$B$1:$L$257,3,FALSE)),"",(VLOOKUP($B204,'B-1 On-Site Hedge Baseline'!$B$1:$L$257,3,FALSE))))</f>
        <v/>
      </c>
      <c r="D204" s="295" t="str">
        <f>IF(B204="","",IF(ISNA(VLOOKUP($B204,'B-1 On-Site Hedge Baseline'!$B$1:$L$257,4,FALSE)),"",(VLOOKUP($B204,'B-1 On-Site Hedge Baseline'!$B$1:$L$257,4,FALSE))))</f>
        <v/>
      </c>
      <c r="E204" s="295" t="str">
        <f>IF(B204="","",IF(ISNA(VLOOKUP($B204,'B-1 On-Site Hedge Baseline'!$B$1:$L$257,5,FALSE)),"",(VLOOKUP($B204,'B-1 On-Site Hedge Baseline'!$B$1:$L$257,5,FALSE))))</f>
        <v/>
      </c>
      <c r="F204" s="295" t="str">
        <f>IF(B204="","",IF(ISNA(VLOOKUP($B204,'B-1 On-Site Hedge Baseline'!$B$1:$L$257,6,FALSE)),"",(VLOOKUP($B204,'B-1 On-Site Hedge Baseline'!$B$1:$L$257,6,FALSE))))</f>
        <v/>
      </c>
      <c r="G204" s="295" t="str">
        <f>IF(B204="","",IF(ISNA(VLOOKUP($B204,'B-1 On-Site Hedge Baseline'!$B$1:$L$257,7,FALSE)),"",(VLOOKUP($B204,'B-1 On-Site Hedge Baseline'!$B$1:$L$257,7,FALSE))))</f>
        <v/>
      </c>
      <c r="H204" s="295" t="str">
        <f>IF(B204="","",IF(ISNA(VLOOKUP($B204,'B-1 On-Site Hedge Baseline'!$B$1:$L$257,8,FALSE)),"",(VLOOKUP($B204,'B-1 On-Site Hedge Baseline'!$B$1:$L$257,8,FALSE))))</f>
        <v/>
      </c>
      <c r="I204" s="295" t="str">
        <f>IF(B204="","",IF(ISNA(VLOOKUP($B204,'B-1 On-Site Hedge Baseline'!$B$1:$L$257,10,FALSE)),"",(VLOOKUP($B204,'B-1 On-Site Hedge Baseline'!$B$1:$L$257,10,FALSE))))</f>
        <v/>
      </c>
      <c r="J204" s="295" t="str">
        <f>IF(B204="","",IF(ISNA(VLOOKUP($B204,'B-1 On-Site Hedge Baseline'!$B$1:$L$257,11,FALSE)),"",(VLOOKUP($B204,'B-1 On-Site Hedge Baseline'!$B$1:$L$257,11,FALSE))))</f>
        <v/>
      </c>
      <c r="K204" s="295" t="str">
        <f>IF(B204="","",IF(ISNA(VLOOKUP($B204,'B-1 On-Site Hedge Baseline'!$B$1:$U$257,13,FALSE)),"",(VLOOKUP($B204,'B-1 On-Site Hedge Baseline'!$B$1:$U$257,13,FALSE))))</f>
        <v/>
      </c>
      <c r="L204" s="299" t="str">
        <f>IF(B204="","",IF(ISNA(VLOOKUP($B204,'B-1 On-Site Hedge Baseline'!$B$1:$U$257,12,FALSE)),"",(VLOOKUP($B204,'B-1 On-Site Hedge Baseline'!$B$1:$U$257,12,FALSE))))</f>
        <v/>
      </c>
      <c r="M204" s="611"/>
      <c r="N204" s="275" t="str">
        <f>IFERROR(IF(B204="","",INDEX('G-6 Hedgerow Data'!$AN$3:$AZ$15,MATCH(C204,'G-6 Hedgerow Data'!$AM$3:$AM$15,0),MATCH(M204,'G-6 Hedgerow Data'!$AN$2:$AZ$2,0))),"")</f>
        <v/>
      </c>
      <c r="O204" s="276" t="str">
        <f t="shared" si="15"/>
        <v/>
      </c>
      <c r="P204" s="329" t="str">
        <f>IF(B204="","",VLOOKUP(B204,'B-1 On-Site Hedge Baseline'!$B$10:T449,16,FALSE))</f>
        <v/>
      </c>
      <c r="Q204" s="275" t="str">
        <f>IF(M204="","",VLOOKUP(M204,'G-6 Hedgerow Data'!$B$2:$AG$15,2,FALSE))</f>
        <v/>
      </c>
      <c r="R204" s="276" t="str">
        <f>IF(M204="","",VLOOKUP(M204,'G-6 Hedgerow Data'!$B$2:$AG$15,3,FALSE))</f>
        <v/>
      </c>
      <c r="S204" s="108"/>
      <c r="T204" s="314" t="str">
        <f>IFERROR(IF(S204="","",IF(AND(M204="Non-native and ornamental hedgerow",S204&lt;&gt;"Poor"),"Not possible ▲",(VLOOKUP(S204,'G-1 All Habitats'!$Z$2:$AA$9,2,FALSE)))),"")</f>
        <v/>
      </c>
      <c r="U204" s="105"/>
      <c r="V204" s="295" t="str">
        <f>IF(U204="","",IF(VLOOKUP(U204,'G-3 Multipliers'!$L$3:$N$6,2,FALSE)=0,"Spatial Data Missing ⚠",VLOOKUP(U204,'G-3 Multipliers'!$L$3:$N$6,2,FALSE)))</f>
        <v/>
      </c>
      <c r="W204" s="299" t="str">
        <f>IF(U204="","",IF(VLOOKUP(U204,'G-3 Multipliers'!$L$3:$N$6,3,FALSE)=0,"Spatial Data Missing ⚠",VLOOKUP(U204,'G-3 Multipliers'!$L$3:$N$6,3,FALSE)))</f>
        <v/>
      </c>
      <c r="X204" s="275" t="str">
        <f>IFERROR(IF(OR(LEFT(O204,5)="Error",LEFT(N204,5)="Error",T204="Error"),"Check Data ⚠",IF(F204&lt;R204,INDEX('G-6 Hedgerow Data'!$S$3:$AE$14,MATCH(C204,'G-6 Hedgerow Data'!$B$3:$B$14,0),MATCH(M204,'G-6 Hedgerow Data'!$S$2:$AE$2,0)),INDEX('G-6 Hedgerow Data'!$K$3:$Q$14,MATCH(M204,'G-6 Hedgerow Data'!$B$3:$B$14,0),MATCH(O204,'G-6 Hedgerow Data'!$K$2:$Q$2,0)))),"")</f>
        <v/>
      </c>
      <c r="Y204" s="133"/>
      <c r="Z204" s="133"/>
      <c r="AA204" s="283" t="str">
        <f t="shared" si="16"/>
        <v/>
      </c>
      <c r="AB204" s="296" t="str">
        <f t="shared" si="17"/>
        <v/>
      </c>
      <c r="AC204" s="297" t="str">
        <f t="shared" si="21" ref="AC204:AC257">IF(OR(S204="",M204=""),"",IF(LEFT(AB204,5)="Error ▲","Check Data ⚠",IF(AB204="Check Data ⚠","Check Data ⚠",VLOOKUP(AB204,TemporalMultipliers,3,FALSE))))</f>
        <v/>
      </c>
      <c r="AD204" s="311" t="str">
        <f>IF(M204="","",VLOOKUP(M204,'G-6 Hedgerow Data'!$B$3:$AG$15,31,FALSE))</f>
        <v/>
      </c>
      <c r="AE204" s="283" t="str">
        <f t="shared" si="18"/>
        <v/>
      </c>
      <c r="AF204" s="283" t="str">
        <f t="shared" si="19"/>
        <v/>
      </c>
      <c r="AG204" s="299" t="str">
        <f>IFERROR(IF(O204="","",VLOOKUP(AD204,'G-3 Multipliers'!$P$3:$Q$6,2,FALSE)),"")</f>
        <v/>
      </c>
      <c r="AH204" s="289" t="str">
        <f t="shared" si="20"/>
        <v/>
      </c>
      <c r="AI204" s="108"/>
      <c r="AJ204" s="115"/>
      <c r="AK204" s="104"/>
      <c r="AT204" s="30" t="str">
        <f>IFERROR(INDEX('G-6 Hedgerow Data'!$BJ$3:$BJ$15,MATCH(M204,'G-6 Hedgerow Data'!$B$3:$B$15,0)),"")</f>
        <v/>
      </c>
    </row>
    <row r="205" spans="2:46" ht="14">
      <c r="B205" s="305" t="str">
        <f>'B-1 On-Site Hedge Baseline'!AK203</f>
        <v/>
      </c>
      <c r="C205" s="295" t="str">
        <f>IF(B205="","",IF(ISNA(VLOOKUP($B205,'B-1 On-Site Hedge Baseline'!$B$1:$L$257,3,FALSE)),"",(VLOOKUP($B205,'B-1 On-Site Hedge Baseline'!$B$1:$L$257,3,FALSE))))</f>
        <v/>
      </c>
      <c r="D205" s="295" t="str">
        <f>IF(B205="","",IF(ISNA(VLOOKUP($B205,'B-1 On-Site Hedge Baseline'!$B$1:$L$257,4,FALSE)),"",(VLOOKUP($B205,'B-1 On-Site Hedge Baseline'!$B$1:$L$257,4,FALSE))))</f>
        <v/>
      </c>
      <c r="E205" s="295" t="str">
        <f>IF(B205="","",IF(ISNA(VLOOKUP($B205,'B-1 On-Site Hedge Baseline'!$B$1:$L$257,5,FALSE)),"",(VLOOKUP($B205,'B-1 On-Site Hedge Baseline'!$B$1:$L$257,5,FALSE))))</f>
        <v/>
      </c>
      <c r="F205" s="295" t="str">
        <f>IF(B205="","",IF(ISNA(VLOOKUP($B205,'B-1 On-Site Hedge Baseline'!$B$1:$L$257,6,FALSE)),"",(VLOOKUP($B205,'B-1 On-Site Hedge Baseline'!$B$1:$L$257,6,FALSE))))</f>
        <v/>
      </c>
      <c r="G205" s="295" t="str">
        <f>IF(B205="","",IF(ISNA(VLOOKUP($B205,'B-1 On-Site Hedge Baseline'!$B$1:$L$257,7,FALSE)),"",(VLOOKUP($B205,'B-1 On-Site Hedge Baseline'!$B$1:$L$257,7,FALSE))))</f>
        <v/>
      </c>
      <c r="H205" s="295" t="str">
        <f>IF(B205="","",IF(ISNA(VLOOKUP($B205,'B-1 On-Site Hedge Baseline'!$B$1:$L$257,8,FALSE)),"",(VLOOKUP($B205,'B-1 On-Site Hedge Baseline'!$B$1:$L$257,8,FALSE))))</f>
        <v/>
      </c>
      <c r="I205" s="295" t="str">
        <f>IF(B205="","",IF(ISNA(VLOOKUP($B205,'B-1 On-Site Hedge Baseline'!$B$1:$L$257,10,FALSE)),"",(VLOOKUP($B205,'B-1 On-Site Hedge Baseline'!$B$1:$L$257,10,FALSE))))</f>
        <v/>
      </c>
      <c r="J205" s="295" t="str">
        <f>IF(B205="","",IF(ISNA(VLOOKUP($B205,'B-1 On-Site Hedge Baseline'!$B$1:$L$257,11,FALSE)),"",(VLOOKUP($B205,'B-1 On-Site Hedge Baseline'!$B$1:$L$257,11,FALSE))))</f>
        <v/>
      </c>
      <c r="K205" s="295" t="str">
        <f>IF(B205="","",IF(ISNA(VLOOKUP($B205,'B-1 On-Site Hedge Baseline'!$B$1:$U$257,13,FALSE)),"",(VLOOKUP($B205,'B-1 On-Site Hedge Baseline'!$B$1:$U$257,13,FALSE))))</f>
        <v/>
      </c>
      <c r="L205" s="299" t="str">
        <f>IF(B205="","",IF(ISNA(VLOOKUP($B205,'B-1 On-Site Hedge Baseline'!$B$1:$U$257,12,FALSE)),"",(VLOOKUP($B205,'B-1 On-Site Hedge Baseline'!$B$1:$U$257,12,FALSE))))</f>
        <v/>
      </c>
      <c r="M205" s="611"/>
      <c r="N205" s="275" t="str">
        <f>IFERROR(IF(B205="","",INDEX('G-6 Hedgerow Data'!$AN$3:$AZ$15,MATCH(C205,'G-6 Hedgerow Data'!$AM$3:$AM$15,0),MATCH(M205,'G-6 Hedgerow Data'!$AN$2:$AZ$2,0))),"")</f>
        <v/>
      </c>
      <c r="O205" s="276" t="str">
        <f t="shared" si="22" ref="O205:O257">IFERROR(IF(B205="","",IF(AND(LEFT(C205,55)&lt;&gt;LEFT(M205,55),N205="High - High"),"Error - Not like for like ▲",IF(H205&gt;T205,"Error - Can not reduce condition ▲",IF(AND(F205=R205,H205=T205),"Error - No enhancement ▲",IF(AND(C205&lt;&gt;M205,F205&lt;R205),"Lower Distinctiveness Habitat"&amp;" - "&amp;S205,G205&amp;" - "&amp;S205))))),"")</f>
        <v/>
      </c>
      <c r="P205" s="329" t="str">
        <f>IF(B205="","",VLOOKUP(B205,'B-1 On-Site Hedge Baseline'!$B$10:T450,16,FALSE))</f>
        <v/>
      </c>
      <c r="Q205" s="275" t="str">
        <f>IF(M205="","",VLOOKUP(M205,'G-6 Hedgerow Data'!$B$2:$AG$15,2,FALSE))</f>
        <v/>
      </c>
      <c r="R205" s="276" t="str">
        <f>IF(M205="","",VLOOKUP(M205,'G-6 Hedgerow Data'!$B$2:$AG$15,3,FALSE))</f>
        <v/>
      </c>
      <c r="S205" s="108"/>
      <c r="T205" s="314" t="str">
        <f>IFERROR(IF(S205="","",IF(AND(M205="Non-native and ornamental hedgerow",S205&lt;&gt;"Poor"),"Not possible ▲",(VLOOKUP(S205,'G-1 All Habitats'!$Z$2:$AA$9,2,FALSE)))),"")</f>
        <v/>
      </c>
      <c r="U205" s="105"/>
      <c r="V205" s="295" t="str">
        <f>IF(U205="","",IF(VLOOKUP(U205,'G-3 Multipliers'!$L$3:$N$6,2,FALSE)=0,"Spatial Data Missing ⚠",VLOOKUP(U205,'G-3 Multipliers'!$L$3:$N$6,2,FALSE)))</f>
        <v/>
      </c>
      <c r="W205" s="299" t="str">
        <f>IF(U205="","",IF(VLOOKUP(U205,'G-3 Multipliers'!$L$3:$N$6,3,FALSE)=0,"Spatial Data Missing ⚠",VLOOKUP(U205,'G-3 Multipliers'!$L$3:$N$6,3,FALSE)))</f>
        <v/>
      </c>
      <c r="X205" s="275" t="str">
        <f>IFERROR(IF(OR(LEFT(O205,5)="Error",LEFT(N205,5)="Error",T205="Error"),"Check Data ⚠",IF(F205&lt;R205,INDEX('G-6 Hedgerow Data'!$S$3:$AE$14,MATCH(C205,'G-6 Hedgerow Data'!$B$3:$B$14,0),MATCH(M205,'G-6 Hedgerow Data'!$S$2:$AE$2,0)),INDEX('G-6 Hedgerow Data'!$K$3:$Q$14,MATCH(M205,'G-6 Hedgerow Data'!$B$3:$B$14,0),MATCH(O205,'G-6 Hedgerow Data'!$K$2:$Q$2,0)))),"")</f>
        <v/>
      </c>
      <c r="Y205" s="133"/>
      <c r="Z205" s="133"/>
      <c r="AA205" s="283" t="str">
        <f t="shared" si="23" ref="AA205:AA25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296" t="str">
        <f t="shared" si="24" ref="AB205:AB257">IF(X205="","",IF(AA205="Check Data ⚠","Check Data ⚠",IF(Y205="30+",0,IF(X205="Not possible ▲","Check Data ⚠",IF(Z205="30+","30+",IF(X205+Z205&gt;30,"30+",IF(AA205="Error -both advance and delayed habitat creation ▲","Check Data ⚠",IF(X205+Z205-Y205&gt;0,X205+Z205-Y205,IF(X205-Y205&lt;=0,0,)))))))))</f>
        <v/>
      </c>
      <c r="AC205" s="297" t="str">
        <f t="shared" si="21"/>
        <v/>
      </c>
      <c r="AD205" s="311" t="str">
        <f>IF(M205="","",VLOOKUP(M205,'G-6 Hedgerow Data'!$B$3:$AG$15,31,FALSE))</f>
        <v/>
      </c>
      <c r="AE205" s="283" t="str">
        <f t="shared" si="25" ref="AE205:AE257">IF(M205="","",IF(OR(LEFT(AA205,5)="Error ▲",AA205="Check Data ⚠"),"Check Data ⚠",IF(X205="","",IF($AA205="Check details - Is there evidence that habitat has reached target condition? ⚠","Low Difficulty - only applicable if all habitat created before losses ⚠","Standard difficulty applied"))))</f>
        <v/>
      </c>
      <c r="AF205" s="283" t="str">
        <f t="shared" si="26" ref="AF205:AF257">(IF(AND(AE205="Standard difficulty applied",X205&gt;Y205),AD205,IF(AB205="Check data ⚠","Check data ⚠",IF(AND(AE205="Low Difficulty - only applicable if all habitat created before losses ⚠",Y205&gt;=X205),"Low",AD205))))</f>
        <v/>
      </c>
      <c r="AG205" s="299" t="str">
        <f>IFERROR(IF(O205="","",VLOOKUP(AD205,'G-3 Multipliers'!$P$3:$Q$6,2,FALSE)),"")</f>
        <v/>
      </c>
      <c r="AH205" s="289" t="str">
        <f t="shared" si="27" ref="AH205:AH257">IFERROR(IF(K205="Check data ⚠","Check data ⚠",(IF(OR(M205="",S205="",U205=""),"",(((((P205*R205*T205)-(P205*F205*H205))*(AG205*AC205))+(P205*F205*H205))*(W205))))),"")</f>
        <v/>
      </c>
      <c r="AI205" s="108"/>
      <c r="AJ205" s="115"/>
      <c r="AK205" s="104"/>
      <c r="AT205" s="30" t="str">
        <f>IFERROR(INDEX('G-6 Hedgerow Data'!$BJ$3:$BJ$15,MATCH(M205,'G-6 Hedgerow Data'!$B$3:$B$15,0)),"")</f>
        <v/>
      </c>
    </row>
    <row r="206" spans="2:46" ht="14">
      <c r="B206" s="305" t="str">
        <f>'B-1 On-Site Hedge Baseline'!AK204</f>
        <v/>
      </c>
      <c r="C206" s="295" t="str">
        <f>IF(B206="","",IF(ISNA(VLOOKUP($B206,'B-1 On-Site Hedge Baseline'!$B$1:$L$257,3,FALSE)),"",(VLOOKUP($B206,'B-1 On-Site Hedge Baseline'!$B$1:$L$257,3,FALSE))))</f>
        <v/>
      </c>
      <c r="D206" s="295" t="str">
        <f>IF(B206="","",IF(ISNA(VLOOKUP($B206,'B-1 On-Site Hedge Baseline'!$B$1:$L$257,4,FALSE)),"",(VLOOKUP($B206,'B-1 On-Site Hedge Baseline'!$B$1:$L$257,4,FALSE))))</f>
        <v/>
      </c>
      <c r="E206" s="295" t="str">
        <f>IF(B206="","",IF(ISNA(VLOOKUP($B206,'B-1 On-Site Hedge Baseline'!$B$1:$L$257,5,FALSE)),"",(VLOOKUP($B206,'B-1 On-Site Hedge Baseline'!$B$1:$L$257,5,FALSE))))</f>
        <v/>
      </c>
      <c r="F206" s="295" t="str">
        <f>IF(B206="","",IF(ISNA(VLOOKUP($B206,'B-1 On-Site Hedge Baseline'!$B$1:$L$257,6,FALSE)),"",(VLOOKUP($B206,'B-1 On-Site Hedge Baseline'!$B$1:$L$257,6,FALSE))))</f>
        <v/>
      </c>
      <c r="G206" s="295" t="str">
        <f>IF(B206="","",IF(ISNA(VLOOKUP($B206,'B-1 On-Site Hedge Baseline'!$B$1:$L$257,7,FALSE)),"",(VLOOKUP($B206,'B-1 On-Site Hedge Baseline'!$B$1:$L$257,7,FALSE))))</f>
        <v/>
      </c>
      <c r="H206" s="295" t="str">
        <f>IF(B206="","",IF(ISNA(VLOOKUP($B206,'B-1 On-Site Hedge Baseline'!$B$1:$L$257,8,FALSE)),"",(VLOOKUP($B206,'B-1 On-Site Hedge Baseline'!$B$1:$L$257,8,FALSE))))</f>
        <v/>
      </c>
      <c r="I206" s="295" t="str">
        <f>IF(B206="","",IF(ISNA(VLOOKUP($B206,'B-1 On-Site Hedge Baseline'!$B$1:$L$257,10,FALSE)),"",(VLOOKUP($B206,'B-1 On-Site Hedge Baseline'!$B$1:$L$257,10,FALSE))))</f>
        <v/>
      </c>
      <c r="J206" s="295" t="str">
        <f>IF(B206="","",IF(ISNA(VLOOKUP($B206,'B-1 On-Site Hedge Baseline'!$B$1:$L$257,11,FALSE)),"",(VLOOKUP($B206,'B-1 On-Site Hedge Baseline'!$B$1:$L$257,11,FALSE))))</f>
        <v/>
      </c>
      <c r="K206" s="295" t="str">
        <f>IF(B206="","",IF(ISNA(VLOOKUP($B206,'B-1 On-Site Hedge Baseline'!$B$1:$U$257,13,FALSE)),"",(VLOOKUP($B206,'B-1 On-Site Hedge Baseline'!$B$1:$U$257,13,FALSE))))</f>
        <v/>
      </c>
      <c r="L206" s="299" t="str">
        <f>IF(B206="","",IF(ISNA(VLOOKUP($B206,'B-1 On-Site Hedge Baseline'!$B$1:$U$257,12,FALSE)),"",(VLOOKUP($B206,'B-1 On-Site Hedge Baseline'!$B$1:$U$257,12,FALSE))))</f>
        <v/>
      </c>
      <c r="M206" s="611"/>
      <c r="N206" s="275" t="str">
        <f>IFERROR(IF(B206="","",INDEX('G-6 Hedgerow Data'!$AN$3:$AZ$15,MATCH(C206,'G-6 Hedgerow Data'!$AM$3:$AM$15,0),MATCH(M206,'G-6 Hedgerow Data'!$AN$2:$AZ$2,0))),"")</f>
        <v/>
      </c>
      <c r="O206" s="276" t="str">
        <f t="shared" si="22"/>
        <v/>
      </c>
      <c r="P206" s="329" t="str">
        <f>IF(B206="","",VLOOKUP(B206,'B-1 On-Site Hedge Baseline'!$B$10:T451,16,FALSE))</f>
        <v/>
      </c>
      <c r="Q206" s="275" t="str">
        <f>IF(M206="","",VLOOKUP(M206,'G-6 Hedgerow Data'!$B$2:$AG$15,2,FALSE))</f>
        <v/>
      </c>
      <c r="R206" s="276" t="str">
        <f>IF(M206="","",VLOOKUP(M206,'G-6 Hedgerow Data'!$B$2:$AG$15,3,FALSE))</f>
        <v/>
      </c>
      <c r="S206" s="108"/>
      <c r="T206" s="314" t="str">
        <f>IFERROR(IF(S206="","",IF(AND(M206="Non-native and ornamental hedgerow",S206&lt;&gt;"Poor"),"Not possible ▲",(VLOOKUP(S206,'G-1 All Habitats'!$Z$2:$AA$9,2,FALSE)))),"")</f>
        <v/>
      </c>
      <c r="U206" s="105"/>
      <c r="V206" s="295" t="str">
        <f>IF(U206="","",IF(VLOOKUP(U206,'G-3 Multipliers'!$L$3:$N$6,2,FALSE)=0,"Spatial Data Missing ⚠",VLOOKUP(U206,'G-3 Multipliers'!$L$3:$N$6,2,FALSE)))</f>
        <v/>
      </c>
      <c r="W206" s="299" t="str">
        <f>IF(U206="","",IF(VLOOKUP(U206,'G-3 Multipliers'!$L$3:$N$6,3,FALSE)=0,"Spatial Data Missing ⚠",VLOOKUP(U206,'G-3 Multipliers'!$L$3:$N$6,3,FALSE)))</f>
        <v/>
      </c>
      <c r="X206" s="275" t="str">
        <f>IFERROR(IF(OR(LEFT(O206,5)="Error",LEFT(N206,5)="Error",T206="Error"),"Check Data ⚠",IF(F206&lt;R206,INDEX('G-6 Hedgerow Data'!$S$3:$AE$14,MATCH(C206,'G-6 Hedgerow Data'!$B$3:$B$14,0),MATCH(M206,'G-6 Hedgerow Data'!$S$2:$AE$2,0)),INDEX('G-6 Hedgerow Data'!$K$3:$Q$14,MATCH(M206,'G-6 Hedgerow Data'!$B$3:$B$14,0),MATCH(O206,'G-6 Hedgerow Data'!$K$2:$Q$2,0)))),"")</f>
        <v/>
      </c>
      <c r="Y206" s="133"/>
      <c r="Z206" s="133"/>
      <c r="AA206" s="283" t="str">
        <f t="shared" si="23"/>
        <v/>
      </c>
      <c r="AB206" s="296" t="str">
        <f t="shared" si="24"/>
        <v/>
      </c>
      <c r="AC206" s="297" t="str">
        <f t="shared" si="21"/>
        <v/>
      </c>
      <c r="AD206" s="311" t="str">
        <f>IF(M206="","",VLOOKUP(M206,'G-6 Hedgerow Data'!$B$3:$AG$15,31,FALSE))</f>
        <v/>
      </c>
      <c r="AE206" s="283" t="str">
        <f t="shared" si="25"/>
        <v/>
      </c>
      <c r="AF206" s="283" t="str">
        <f t="shared" si="26"/>
        <v/>
      </c>
      <c r="AG206" s="299" t="str">
        <f>IFERROR(IF(O206="","",VLOOKUP(AD206,'G-3 Multipliers'!$P$3:$Q$6,2,FALSE)),"")</f>
        <v/>
      </c>
      <c r="AH206" s="289" t="str">
        <f t="shared" si="27"/>
        <v/>
      </c>
      <c r="AI206" s="108"/>
      <c r="AJ206" s="115"/>
      <c r="AK206" s="104"/>
      <c r="AT206" s="30" t="str">
        <f>IFERROR(INDEX('G-6 Hedgerow Data'!$BJ$3:$BJ$15,MATCH(M206,'G-6 Hedgerow Data'!$B$3:$B$15,0)),"")</f>
        <v/>
      </c>
    </row>
    <row r="207" spans="2:46" ht="14">
      <c r="B207" s="305" t="str">
        <f>'B-1 On-Site Hedge Baseline'!AK205</f>
        <v/>
      </c>
      <c r="C207" s="295" t="str">
        <f>IF(B207="","",IF(ISNA(VLOOKUP($B207,'B-1 On-Site Hedge Baseline'!$B$1:$L$257,3,FALSE)),"",(VLOOKUP($B207,'B-1 On-Site Hedge Baseline'!$B$1:$L$257,3,FALSE))))</f>
        <v/>
      </c>
      <c r="D207" s="295" t="str">
        <f>IF(B207="","",IF(ISNA(VLOOKUP($B207,'B-1 On-Site Hedge Baseline'!$B$1:$L$257,4,FALSE)),"",(VLOOKUP($B207,'B-1 On-Site Hedge Baseline'!$B$1:$L$257,4,FALSE))))</f>
        <v/>
      </c>
      <c r="E207" s="295" t="str">
        <f>IF(B207="","",IF(ISNA(VLOOKUP($B207,'B-1 On-Site Hedge Baseline'!$B$1:$L$257,5,FALSE)),"",(VLOOKUP($B207,'B-1 On-Site Hedge Baseline'!$B$1:$L$257,5,FALSE))))</f>
        <v/>
      </c>
      <c r="F207" s="295" t="str">
        <f>IF(B207="","",IF(ISNA(VLOOKUP($B207,'B-1 On-Site Hedge Baseline'!$B$1:$L$257,6,FALSE)),"",(VLOOKUP($B207,'B-1 On-Site Hedge Baseline'!$B$1:$L$257,6,FALSE))))</f>
        <v/>
      </c>
      <c r="G207" s="295" t="str">
        <f>IF(B207="","",IF(ISNA(VLOOKUP($B207,'B-1 On-Site Hedge Baseline'!$B$1:$L$257,7,FALSE)),"",(VLOOKUP($B207,'B-1 On-Site Hedge Baseline'!$B$1:$L$257,7,FALSE))))</f>
        <v/>
      </c>
      <c r="H207" s="295" t="str">
        <f>IF(B207="","",IF(ISNA(VLOOKUP($B207,'B-1 On-Site Hedge Baseline'!$B$1:$L$257,8,FALSE)),"",(VLOOKUP($B207,'B-1 On-Site Hedge Baseline'!$B$1:$L$257,8,FALSE))))</f>
        <v/>
      </c>
      <c r="I207" s="295" t="str">
        <f>IF(B207="","",IF(ISNA(VLOOKUP($B207,'B-1 On-Site Hedge Baseline'!$B$1:$L$257,10,FALSE)),"",(VLOOKUP($B207,'B-1 On-Site Hedge Baseline'!$B$1:$L$257,10,FALSE))))</f>
        <v/>
      </c>
      <c r="J207" s="295" t="str">
        <f>IF(B207="","",IF(ISNA(VLOOKUP($B207,'B-1 On-Site Hedge Baseline'!$B$1:$L$257,11,FALSE)),"",(VLOOKUP($B207,'B-1 On-Site Hedge Baseline'!$B$1:$L$257,11,FALSE))))</f>
        <v/>
      </c>
      <c r="K207" s="295" t="str">
        <f>IF(B207="","",IF(ISNA(VLOOKUP($B207,'B-1 On-Site Hedge Baseline'!$B$1:$U$257,13,FALSE)),"",(VLOOKUP($B207,'B-1 On-Site Hedge Baseline'!$B$1:$U$257,13,FALSE))))</f>
        <v/>
      </c>
      <c r="L207" s="299" t="str">
        <f>IF(B207="","",IF(ISNA(VLOOKUP($B207,'B-1 On-Site Hedge Baseline'!$B$1:$U$257,12,FALSE)),"",(VLOOKUP($B207,'B-1 On-Site Hedge Baseline'!$B$1:$U$257,12,FALSE))))</f>
        <v/>
      </c>
      <c r="M207" s="611"/>
      <c r="N207" s="275" t="str">
        <f>IFERROR(IF(B207="","",INDEX('G-6 Hedgerow Data'!$AN$3:$AZ$15,MATCH(C207,'G-6 Hedgerow Data'!$AM$3:$AM$15,0),MATCH(M207,'G-6 Hedgerow Data'!$AN$2:$AZ$2,0))),"")</f>
        <v/>
      </c>
      <c r="O207" s="276" t="str">
        <f t="shared" si="22"/>
        <v/>
      </c>
      <c r="P207" s="329" t="str">
        <f>IF(B207="","",VLOOKUP(B207,'B-1 On-Site Hedge Baseline'!$B$10:T452,16,FALSE))</f>
        <v/>
      </c>
      <c r="Q207" s="275" t="str">
        <f>IF(M207="","",VLOOKUP(M207,'G-6 Hedgerow Data'!$B$2:$AG$15,2,FALSE))</f>
        <v/>
      </c>
      <c r="R207" s="276" t="str">
        <f>IF(M207="","",VLOOKUP(M207,'G-6 Hedgerow Data'!$B$2:$AG$15,3,FALSE))</f>
        <v/>
      </c>
      <c r="S207" s="108"/>
      <c r="T207" s="314" t="str">
        <f>IFERROR(IF(S207="","",IF(AND(M207="Non-native and ornamental hedgerow",S207&lt;&gt;"Poor"),"Not possible ▲",(VLOOKUP(S207,'G-1 All Habitats'!$Z$2:$AA$9,2,FALSE)))),"")</f>
        <v/>
      </c>
      <c r="U207" s="105"/>
      <c r="V207" s="295" t="str">
        <f>IF(U207="","",IF(VLOOKUP(U207,'G-3 Multipliers'!$L$3:$N$6,2,FALSE)=0,"Spatial Data Missing ⚠",VLOOKUP(U207,'G-3 Multipliers'!$L$3:$N$6,2,FALSE)))</f>
        <v/>
      </c>
      <c r="W207" s="299" t="str">
        <f>IF(U207="","",IF(VLOOKUP(U207,'G-3 Multipliers'!$L$3:$N$6,3,FALSE)=0,"Spatial Data Missing ⚠",VLOOKUP(U207,'G-3 Multipliers'!$L$3:$N$6,3,FALSE)))</f>
        <v/>
      </c>
      <c r="X207" s="275" t="str">
        <f>IFERROR(IF(OR(LEFT(O207,5)="Error",LEFT(N207,5)="Error",T207="Error"),"Check Data ⚠",IF(F207&lt;R207,INDEX('G-6 Hedgerow Data'!$S$3:$AE$14,MATCH(C207,'G-6 Hedgerow Data'!$B$3:$B$14,0),MATCH(M207,'G-6 Hedgerow Data'!$S$2:$AE$2,0)),INDEX('G-6 Hedgerow Data'!$K$3:$Q$14,MATCH(M207,'G-6 Hedgerow Data'!$B$3:$B$14,0),MATCH(O207,'G-6 Hedgerow Data'!$K$2:$Q$2,0)))),"")</f>
        <v/>
      </c>
      <c r="Y207" s="133"/>
      <c r="Z207" s="133"/>
      <c r="AA207" s="283" t="str">
        <f t="shared" si="23"/>
        <v/>
      </c>
      <c r="AB207" s="296" t="str">
        <f t="shared" si="24"/>
        <v/>
      </c>
      <c r="AC207" s="297" t="str">
        <f t="shared" si="21"/>
        <v/>
      </c>
      <c r="AD207" s="311" t="str">
        <f>IF(M207="","",VLOOKUP(M207,'G-6 Hedgerow Data'!$B$3:$AG$15,31,FALSE))</f>
        <v/>
      </c>
      <c r="AE207" s="283" t="str">
        <f t="shared" si="25"/>
        <v/>
      </c>
      <c r="AF207" s="283" t="str">
        <f t="shared" si="26"/>
        <v/>
      </c>
      <c r="AG207" s="299" t="str">
        <f>IFERROR(IF(O207="","",VLOOKUP(AD207,'G-3 Multipliers'!$P$3:$Q$6,2,FALSE)),"")</f>
        <v/>
      </c>
      <c r="AH207" s="289" t="str">
        <f t="shared" si="27"/>
        <v/>
      </c>
      <c r="AI207" s="108"/>
      <c r="AJ207" s="115"/>
      <c r="AK207" s="104"/>
      <c r="AT207" s="30" t="str">
        <f>IFERROR(INDEX('G-6 Hedgerow Data'!$BJ$3:$BJ$15,MATCH(M207,'G-6 Hedgerow Data'!$B$3:$B$15,0)),"")</f>
        <v/>
      </c>
    </row>
    <row r="208" spans="2:46" ht="14">
      <c r="B208" s="305" t="str">
        <f>'B-1 On-Site Hedge Baseline'!AK206</f>
        <v/>
      </c>
      <c r="C208" s="295" t="str">
        <f>IF(B208="","",IF(ISNA(VLOOKUP($B208,'B-1 On-Site Hedge Baseline'!$B$1:$L$257,3,FALSE)),"",(VLOOKUP($B208,'B-1 On-Site Hedge Baseline'!$B$1:$L$257,3,FALSE))))</f>
        <v/>
      </c>
      <c r="D208" s="295" t="str">
        <f>IF(B208="","",IF(ISNA(VLOOKUP($B208,'B-1 On-Site Hedge Baseline'!$B$1:$L$257,4,FALSE)),"",(VLOOKUP($B208,'B-1 On-Site Hedge Baseline'!$B$1:$L$257,4,FALSE))))</f>
        <v/>
      </c>
      <c r="E208" s="295" t="str">
        <f>IF(B208="","",IF(ISNA(VLOOKUP($B208,'B-1 On-Site Hedge Baseline'!$B$1:$L$257,5,FALSE)),"",(VLOOKUP($B208,'B-1 On-Site Hedge Baseline'!$B$1:$L$257,5,FALSE))))</f>
        <v/>
      </c>
      <c r="F208" s="295" t="str">
        <f>IF(B208="","",IF(ISNA(VLOOKUP($B208,'B-1 On-Site Hedge Baseline'!$B$1:$L$257,6,FALSE)),"",(VLOOKUP($B208,'B-1 On-Site Hedge Baseline'!$B$1:$L$257,6,FALSE))))</f>
        <v/>
      </c>
      <c r="G208" s="295" t="str">
        <f>IF(B208="","",IF(ISNA(VLOOKUP($B208,'B-1 On-Site Hedge Baseline'!$B$1:$L$257,7,FALSE)),"",(VLOOKUP($B208,'B-1 On-Site Hedge Baseline'!$B$1:$L$257,7,FALSE))))</f>
        <v/>
      </c>
      <c r="H208" s="295" t="str">
        <f>IF(B208="","",IF(ISNA(VLOOKUP($B208,'B-1 On-Site Hedge Baseline'!$B$1:$L$257,8,FALSE)),"",(VLOOKUP($B208,'B-1 On-Site Hedge Baseline'!$B$1:$L$257,8,FALSE))))</f>
        <v/>
      </c>
      <c r="I208" s="295" t="str">
        <f>IF(B208="","",IF(ISNA(VLOOKUP($B208,'B-1 On-Site Hedge Baseline'!$B$1:$L$257,10,FALSE)),"",(VLOOKUP($B208,'B-1 On-Site Hedge Baseline'!$B$1:$L$257,10,FALSE))))</f>
        <v/>
      </c>
      <c r="J208" s="295" t="str">
        <f>IF(B208="","",IF(ISNA(VLOOKUP($B208,'B-1 On-Site Hedge Baseline'!$B$1:$L$257,11,FALSE)),"",(VLOOKUP($B208,'B-1 On-Site Hedge Baseline'!$B$1:$L$257,11,FALSE))))</f>
        <v/>
      </c>
      <c r="K208" s="295" t="str">
        <f>IF(B208="","",IF(ISNA(VLOOKUP($B208,'B-1 On-Site Hedge Baseline'!$B$1:$U$257,13,FALSE)),"",(VLOOKUP($B208,'B-1 On-Site Hedge Baseline'!$B$1:$U$257,13,FALSE))))</f>
        <v/>
      </c>
      <c r="L208" s="299" t="str">
        <f>IF(B208="","",IF(ISNA(VLOOKUP($B208,'B-1 On-Site Hedge Baseline'!$B$1:$U$257,12,FALSE)),"",(VLOOKUP($B208,'B-1 On-Site Hedge Baseline'!$B$1:$U$257,12,FALSE))))</f>
        <v/>
      </c>
      <c r="M208" s="611"/>
      <c r="N208" s="275" t="str">
        <f>IFERROR(IF(B208="","",INDEX('G-6 Hedgerow Data'!$AN$3:$AZ$15,MATCH(C208,'G-6 Hedgerow Data'!$AM$3:$AM$15,0),MATCH(M208,'G-6 Hedgerow Data'!$AN$2:$AZ$2,0))),"")</f>
        <v/>
      </c>
      <c r="O208" s="276" t="str">
        <f t="shared" si="22"/>
        <v/>
      </c>
      <c r="P208" s="329" t="str">
        <f>IF(B208="","",VLOOKUP(B208,'B-1 On-Site Hedge Baseline'!$B$10:T453,16,FALSE))</f>
        <v/>
      </c>
      <c r="Q208" s="275" t="str">
        <f>IF(M208="","",VLOOKUP(M208,'G-6 Hedgerow Data'!$B$2:$AG$15,2,FALSE))</f>
        <v/>
      </c>
      <c r="R208" s="276" t="str">
        <f>IF(M208="","",VLOOKUP(M208,'G-6 Hedgerow Data'!$B$2:$AG$15,3,FALSE))</f>
        <v/>
      </c>
      <c r="S208" s="108"/>
      <c r="T208" s="314" t="str">
        <f>IFERROR(IF(S208="","",IF(AND(M208="Non-native and ornamental hedgerow",S208&lt;&gt;"Poor"),"Not possible ▲",(VLOOKUP(S208,'G-1 All Habitats'!$Z$2:$AA$9,2,FALSE)))),"")</f>
        <v/>
      </c>
      <c r="U208" s="105"/>
      <c r="V208" s="295" t="str">
        <f>IF(U208="","",IF(VLOOKUP(U208,'G-3 Multipliers'!$L$3:$N$6,2,FALSE)=0,"Spatial Data Missing ⚠",VLOOKUP(U208,'G-3 Multipliers'!$L$3:$N$6,2,FALSE)))</f>
        <v/>
      </c>
      <c r="W208" s="299" t="str">
        <f>IF(U208="","",IF(VLOOKUP(U208,'G-3 Multipliers'!$L$3:$N$6,3,FALSE)=0,"Spatial Data Missing ⚠",VLOOKUP(U208,'G-3 Multipliers'!$L$3:$N$6,3,FALSE)))</f>
        <v/>
      </c>
      <c r="X208" s="275" t="str">
        <f>IFERROR(IF(OR(LEFT(O208,5)="Error",LEFT(N208,5)="Error",T208="Error"),"Check Data ⚠",IF(F208&lt;R208,INDEX('G-6 Hedgerow Data'!$S$3:$AE$14,MATCH(C208,'G-6 Hedgerow Data'!$B$3:$B$14,0),MATCH(M208,'G-6 Hedgerow Data'!$S$2:$AE$2,0)),INDEX('G-6 Hedgerow Data'!$K$3:$Q$14,MATCH(M208,'G-6 Hedgerow Data'!$B$3:$B$14,0),MATCH(O208,'G-6 Hedgerow Data'!$K$2:$Q$2,0)))),"")</f>
        <v/>
      </c>
      <c r="Y208" s="133"/>
      <c r="Z208" s="133"/>
      <c r="AA208" s="283" t="str">
        <f t="shared" si="23"/>
        <v/>
      </c>
      <c r="AB208" s="296" t="str">
        <f t="shared" si="24"/>
        <v/>
      </c>
      <c r="AC208" s="297" t="str">
        <f t="shared" si="21"/>
        <v/>
      </c>
      <c r="AD208" s="311" t="str">
        <f>IF(M208="","",VLOOKUP(M208,'G-6 Hedgerow Data'!$B$3:$AG$15,31,FALSE))</f>
        <v/>
      </c>
      <c r="AE208" s="283" t="str">
        <f t="shared" si="25"/>
        <v/>
      </c>
      <c r="AF208" s="283" t="str">
        <f t="shared" si="26"/>
        <v/>
      </c>
      <c r="AG208" s="299" t="str">
        <f>IFERROR(IF(O208="","",VLOOKUP(AD208,'G-3 Multipliers'!$P$3:$Q$6,2,FALSE)),"")</f>
        <v/>
      </c>
      <c r="AH208" s="289" t="str">
        <f t="shared" si="27"/>
        <v/>
      </c>
      <c r="AI208" s="108"/>
      <c r="AJ208" s="115"/>
      <c r="AK208" s="104"/>
      <c r="AT208" s="30" t="str">
        <f>IFERROR(INDEX('G-6 Hedgerow Data'!$BJ$3:$BJ$15,MATCH(M208,'G-6 Hedgerow Data'!$B$3:$B$15,0)),"")</f>
        <v/>
      </c>
    </row>
    <row r="209" spans="2:46" ht="14">
      <c r="B209" s="305" t="str">
        <f>'B-1 On-Site Hedge Baseline'!AK207</f>
        <v/>
      </c>
      <c r="C209" s="295" t="str">
        <f>IF(B209="","",IF(ISNA(VLOOKUP($B209,'B-1 On-Site Hedge Baseline'!$B$1:$L$257,3,FALSE)),"",(VLOOKUP($B209,'B-1 On-Site Hedge Baseline'!$B$1:$L$257,3,FALSE))))</f>
        <v/>
      </c>
      <c r="D209" s="295" t="str">
        <f>IF(B209="","",IF(ISNA(VLOOKUP($B209,'B-1 On-Site Hedge Baseline'!$B$1:$L$257,4,FALSE)),"",(VLOOKUP($B209,'B-1 On-Site Hedge Baseline'!$B$1:$L$257,4,FALSE))))</f>
        <v/>
      </c>
      <c r="E209" s="295" t="str">
        <f>IF(B209="","",IF(ISNA(VLOOKUP($B209,'B-1 On-Site Hedge Baseline'!$B$1:$L$257,5,FALSE)),"",(VLOOKUP($B209,'B-1 On-Site Hedge Baseline'!$B$1:$L$257,5,FALSE))))</f>
        <v/>
      </c>
      <c r="F209" s="295" t="str">
        <f>IF(B209="","",IF(ISNA(VLOOKUP($B209,'B-1 On-Site Hedge Baseline'!$B$1:$L$257,6,FALSE)),"",(VLOOKUP($B209,'B-1 On-Site Hedge Baseline'!$B$1:$L$257,6,FALSE))))</f>
        <v/>
      </c>
      <c r="G209" s="295" t="str">
        <f>IF(B209="","",IF(ISNA(VLOOKUP($B209,'B-1 On-Site Hedge Baseline'!$B$1:$L$257,7,FALSE)),"",(VLOOKUP($B209,'B-1 On-Site Hedge Baseline'!$B$1:$L$257,7,FALSE))))</f>
        <v/>
      </c>
      <c r="H209" s="295" t="str">
        <f>IF(B209="","",IF(ISNA(VLOOKUP($B209,'B-1 On-Site Hedge Baseline'!$B$1:$L$257,8,FALSE)),"",(VLOOKUP($B209,'B-1 On-Site Hedge Baseline'!$B$1:$L$257,8,FALSE))))</f>
        <v/>
      </c>
      <c r="I209" s="295" t="str">
        <f>IF(B209="","",IF(ISNA(VLOOKUP($B209,'B-1 On-Site Hedge Baseline'!$B$1:$L$257,10,FALSE)),"",(VLOOKUP($B209,'B-1 On-Site Hedge Baseline'!$B$1:$L$257,10,FALSE))))</f>
        <v/>
      </c>
      <c r="J209" s="295" t="str">
        <f>IF(B209="","",IF(ISNA(VLOOKUP($B209,'B-1 On-Site Hedge Baseline'!$B$1:$L$257,11,FALSE)),"",(VLOOKUP($B209,'B-1 On-Site Hedge Baseline'!$B$1:$L$257,11,FALSE))))</f>
        <v/>
      </c>
      <c r="K209" s="295" t="str">
        <f>IF(B209="","",IF(ISNA(VLOOKUP($B209,'B-1 On-Site Hedge Baseline'!$B$1:$U$257,13,FALSE)),"",(VLOOKUP($B209,'B-1 On-Site Hedge Baseline'!$B$1:$U$257,13,FALSE))))</f>
        <v/>
      </c>
      <c r="L209" s="299" t="str">
        <f>IF(B209="","",IF(ISNA(VLOOKUP($B209,'B-1 On-Site Hedge Baseline'!$B$1:$U$257,12,FALSE)),"",(VLOOKUP($B209,'B-1 On-Site Hedge Baseline'!$B$1:$U$257,12,FALSE))))</f>
        <v/>
      </c>
      <c r="M209" s="611"/>
      <c r="N209" s="275" t="str">
        <f>IFERROR(IF(B209="","",INDEX('G-6 Hedgerow Data'!$AN$3:$AZ$15,MATCH(C209,'G-6 Hedgerow Data'!$AM$3:$AM$15,0),MATCH(M209,'G-6 Hedgerow Data'!$AN$2:$AZ$2,0))),"")</f>
        <v/>
      </c>
      <c r="O209" s="276" t="str">
        <f t="shared" si="22"/>
        <v/>
      </c>
      <c r="P209" s="329" t="str">
        <f>IF(B209="","",VLOOKUP(B209,'B-1 On-Site Hedge Baseline'!$B$10:T454,16,FALSE))</f>
        <v/>
      </c>
      <c r="Q209" s="275" t="str">
        <f>IF(M209="","",VLOOKUP(M209,'G-6 Hedgerow Data'!$B$2:$AG$15,2,FALSE))</f>
        <v/>
      </c>
      <c r="R209" s="276" t="str">
        <f>IF(M209="","",VLOOKUP(M209,'G-6 Hedgerow Data'!$B$2:$AG$15,3,FALSE))</f>
        <v/>
      </c>
      <c r="S209" s="108"/>
      <c r="T209" s="314" t="str">
        <f>IFERROR(IF(S209="","",IF(AND(M209="Non-native and ornamental hedgerow",S209&lt;&gt;"Poor"),"Not possible ▲",(VLOOKUP(S209,'G-1 All Habitats'!$Z$2:$AA$9,2,FALSE)))),"")</f>
        <v/>
      </c>
      <c r="U209" s="105"/>
      <c r="V209" s="295" t="str">
        <f>IF(U209="","",IF(VLOOKUP(U209,'G-3 Multipliers'!$L$3:$N$6,2,FALSE)=0,"Spatial Data Missing ⚠",VLOOKUP(U209,'G-3 Multipliers'!$L$3:$N$6,2,FALSE)))</f>
        <v/>
      </c>
      <c r="W209" s="299" t="str">
        <f>IF(U209="","",IF(VLOOKUP(U209,'G-3 Multipliers'!$L$3:$N$6,3,FALSE)=0,"Spatial Data Missing ⚠",VLOOKUP(U209,'G-3 Multipliers'!$L$3:$N$6,3,FALSE)))</f>
        <v/>
      </c>
      <c r="X209" s="275" t="str">
        <f>IFERROR(IF(OR(LEFT(O209,5)="Error",LEFT(N209,5)="Error",T209="Error"),"Check Data ⚠",IF(F209&lt;R209,INDEX('G-6 Hedgerow Data'!$S$3:$AE$14,MATCH(C209,'G-6 Hedgerow Data'!$B$3:$B$14,0),MATCH(M209,'G-6 Hedgerow Data'!$S$2:$AE$2,0)),INDEX('G-6 Hedgerow Data'!$K$3:$Q$14,MATCH(M209,'G-6 Hedgerow Data'!$B$3:$B$14,0),MATCH(O209,'G-6 Hedgerow Data'!$K$2:$Q$2,0)))),"")</f>
        <v/>
      </c>
      <c r="Y209" s="133"/>
      <c r="Z209" s="133"/>
      <c r="AA209" s="283" t="str">
        <f t="shared" si="23"/>
        <v/>
      </c>
      <c r="AB209" s="296" t="str">
        <f t="shared" si="24"/>
        <v/>
      </c>
      <c r="AC209" s="297" t="str">
        <f t="shared" si="21"/>
        <v/>
      </c>
      <c r="AD209" s="311" t="str">
        <f>IF(M209="","",VLOOKUP(M209,'G-6 Hedgerow Data'!$B$3:$AG$15,31,FALSE))</f>
        <v/>
      </c>
      <c r="AE209" s="283" t="str">
        <f t="shared" si="25"/>
        <v/>
      </c>
      <c r="AF209" s="283" t="str">
        <f t="shared" si="26"/>
        <v/>
      </c>
      <c r="AG209" s="299" t="str">
        <f>IFERROR(IF(O209="","",VLOOKUP(AD209,'G-3 Multipliers'!$P$3:$Q$6,2,FALSE)),"")</f>
        <v/>
      </c>
      <c r="AH209" s="289" t="str">
        <f t="shared" si="27"/>
        <v/>
      </c>
      <c r="AI209" s="108"/>
      <c r="AJ209" s="115"/>
      <c r="AK209" s="104"/>
      <c r="AT209" s="30" t="str">
        <f>IFERROR(INDEX('G-6 Hedgerow Data'!$BJ$3:$BJ$15,MATCH(M209,'G-6 Hedgerow Data'!$B$3:$B$15,0)),"")</f>
        <v/>
      </c>
    </row>
    <row r="210" spans="2:46" ht="14">
      <c r="B210" s="305" t="str">
        <f>'B-1 On-Site Hedge Baseline'!AK208</f>
        <v/>
      </c>
      <c r="C210" s="295" t="str">
        <f>IF(B210="","",IF(ISNA(VLOOKUP($B210,'B-1 On-Site Hedge Baseline'!$B$1:$L$257,3,FALSE)),"",(VLOOKUP($B210,'B-1 On-Site Hedge Baseline'!$B$1:$L$257,3,FALSE))))</f>
        <v/>
      </c>
      <c r="D210" s="295" t="str">
        <f>IF(B210="","",IF(ISNA(VLOOKUP($B210,'B-1 On-Site Hedge Baseline'!$B$1:$L$257,4,FALSE)),"",(VLOOKUP($B210,'B-1 On-Site Hedge Baseline'!$B$1:$L$257,4,FALSE))))</f>
        <v/>
      </c>
      <c r="E210" s="295" t="str">
        <f>IF(B210="","",IF(ISNA(VLOOKUP($B210,'B-1 On-Site Hedge Baseline'!$B$1:$L$257,5,FALSE)),"",(VLOOKUP($B210,'B-1 On-Site Hedge Baseline'!$B$1:$L$257,5,FALSE))))</f>
        <v/>
      </c>
      <c r="F210" s="295" t="str">
        <f>IF(B210="","",IF(ISNA(VLOOKUP($B210,'B-1 On-Site Hedge Baseline'!$B$1:$L$257,6,FALSE)),"",(VLOOKUP($B210,'B-1 On-Site Hedge Baseline'!$B$1:$L$257,6,FALSE))))</f>
        <v/>
      </c>
      <c r="G210" s="295" t="str">
        <f>IF(B210="","",IF(ISNA(VLOOKUP($B210,'B-1 On-Site Hedge Baseline'!$B$1:$L$257,7,FALSE)),"",(VLOOKUP($B210,'B-1 On-Site Hedge Baseline'!$B$1:$L$257,7,FALSE))))</f>
        <v/>
      </c>
      <c r="H210" s="295" t="str">
        <f>IF(B210="","",IF(ISNA(VLOOKUP($B210,'B-1 On-Site Hedge Baseline'!$B$1:$L$257,8,FALSE)),"",(VLOOKUP($B210,'B-1 On-Site Hedge Baseline'!$B$1:$L$257,8,FALSE))))</f>
        <v/>
      </c>
      <c r="I210" s="295" t="str">
        <f>IF(B210="","",IF(ISNA(VLOOKUP($B210,'B-1 On-Site Hedge Baseline'!$B$1:$L$257,10,FALSE)),"",(VLOOKUP($B210,'B-1 On-Site Hedge Baseline'!$B$1:$L$257,10,FALSE))))</f>
        <v/>
      </c>
      <c r="J210" s="295" t="str">
        <f>IF(B210="","",IF(ISNA(VLOOKUP($B210,'B-1 On-Site Hedge Baseline'!$B$1:$L$257,11,FALSE)),"",(VLOOKUP($B210,'B-1 On-Site Hedge Baseline'!$B$1:$L$257,11,FALSE))))</f>
        <v/>
      </c>
      <c r="K210" s="295" t="str">
        <f>IF(B210="","",IF(ISNA(VLOOKUP($B210,'B-1 On-Site Hedge Baseline'!$B$1:$U$257,13,FALSE)),"",(VLOOKUP($B210,'B-1 On-Site Hedge Baseline'!$B$1:$U$257,13,FALSE))))</f>
        <v/>
      </c>
      <c r="L210" s="299" t="str">
        <f>IF(B210="","",IF(ISNA(VLOOKUP($B210,'B-1 On-Site Hedge Baseline'!$B$1:$U$257,12,FALSE)),"",(VLOOKUP($B210,'B-1 On-Site Hedge Baseline'!$B$1:$U$257,12,FALSE))))</f>
        <v/>
      </c>
      <c r="M210" s="611"/>
      <c r="N210" s="275" t="str">
        <f>IFERROR(IF(B210="","",INDEX('G-6 Hedgerow Data'!$AN$3:$AZ$15,MATCH(C210,'G-6 Hedgerow Data'!$AM$3:$AM$15,0),MATCH(M210,'G-6 Hedgerow Data'!$AN$2:$AZ$2,0))),"")</f>
        <v/>
      </c>
      <c r="O210" s="276" t="str">
        <f t="shared" si="22"/>
        <v/>
      </c>
      <c r="P210" s="329" t="str">
        <f>IF(B210="","",VLOOKUP(B210,'B-1 On-Site Hedge Baseline'!$B$10:T455,16,FALSE))</f>
        <v/>
      </c>
      <c r="Q210" s="275" t="str">
        <f>IF(M210="","",VLOOKUP(M210,'G-6 Hedgerow Data'!$B$2:$AG$15,2,FALSE))</f>
        <v/>
      </c>
      <c r="R210" s="276" t="str">
        <f>IF(M210="","",VLOOKUP(M210,'G-6 Hedgerow Data'!$B$2:$AG$15,3,FALSE))</f>
        <v/>
      </c>
      <c r="S210" s="108"/>
      <c r="T210" s="314" t="str">
        <f>IFERROR(IF(S210="","",IF(AND(M210="Non-native and ornamental hedgerow",S210&lt;&gt;"Poor"),"Not possible ▲",(VLOOKUP(S210,'G-1 All Habitats'!$Z$2:$AA$9,2,FALSE)))),"")</f>
        <v/>
      </c>
      <c r="U210" s="105"/>
      <c r="V210" s="295" t="str">
        <f>IF(U210="","",IF(VLOOKUP(U210,'G-3 Multipliers'!$L$3:$N$6,2,FALSE)=0,"Spatial Data Missing ⚠",VLOOKUP(U210,'G-3 Multipliers'!$L$3:$N$6,2,FALSE)))</f>
        <v/>
      </c>
      <c r="W210" s="299" t="str">
        <f>IF(U210="","",IF(VLOOKUP(U210,'G-3 Multipliers'!$L$3:$N$6,3,FALSE)=0,"Spatial Data Missing ⚠",VLOOKUP(U210,'G-3 Multipliers'!$L$3:$N$6,3,FALSE)))</f>
        <v/>
      </c>
      <c r="X210" s="275" t="str">
        <f>IFERROR(IF(OR(LEFT(O210,5)="Error",LEFT(N210,5)="Error",T210="Error"),"Check Data ⚠",IF(F210&lt;R210,INDEX('G-6 Hedgerow Data'!$S$3:$AE$14,MATCH(C210,'G-6 Hedgerow Data'!$B$3:$B$14,0),MATCH(M210,'G-6 Hedgerow Data'!$S$2:$AE$2,0)),INDEX('G-6 Hedgerow Data'!$K$3:$Q$14,MATCH(M210,'G-6 Hedgerow Data'!$B$3:$B$14,0),MATCH(O210,'G-6 Hedgerow Data'!$K$2:$Q$2,0)))),"")</f>
        <v/>
      </c>
      <c r="Y210" s="133"/>
      <c r="Z210" s="133"/>
      <c r="AA210" s="283" t="str">
        <f t="shared" si="23"/>
        <v/>
      </c>
      <c r="AB210" s="296" t="str">
        <f t="shared" si="24"/>
        <v/>
      </c>
      <c r="AC210" s="297" t="str">
        <f t="shared" si="21"/>
        <v/>
      </c>
      <c r="AD210" s="311" t="str">
        <f>IF(M210="","",VLOOKUP(M210,'G-6 Hedgerow Data'!$B$3:$AG$15,31,FALSE))</f>
        <v/>
      </c>
      <c r="AE210" s="283" t="str">
        <f t="shared" si="25"/>
        <v/>
      </c>
      <c r="AF210" s="283" t="str">
        <f t="shared" si="26"/>
        <v/>
      </c>
      <c r="AG210" s="299" t="str">
        <f>IFERROR(IF(O210="","",VLOOKUP(AD210,'G-3 Multipliers'!$P$3:$Q$6,2,FALSE)),"")</f>
        <v/>
      </c>
      <c r="AH210" s="289" t="str">
        <f t="shared" si="27"/>
        <v/>
      </c>
      <c r="AI210" s="108"/>
      <c r="AJ210" s="115"/>
      <c r="AK210" s="104"/>
      <c r="AT210" s="30" t="str">
        <f>IFERROR(INDEX('G-6 Hedgerow Data'!$BJ$3:$BJ$15,MATCH(M210,'G-6 Hedgerow Data'!$B$3:$B$15,0)),"")</f>
        <v/>
      </c>
    </row>
    <row r="211" spans="2:46" ht="14">
      <c r="B211" s="305" t="str">
        <f>'B-1 On-Site Hedge Baseline'!AK209</f>
        <v/>
      </c>
      <c r="C211" s="295" t="str">
        <f>IF(B211="","",IF(ISNA(VLOOKUP($B211,'B-1 On-Site Hedge Baseline'!$B$1:$L$257,3,FALSE)),"",(VLOOKUP($B211,'B-1 On-Site Hedge Baseline'!$B$1:$L$257,3,FALSE))))</f>
        <v/>
      </c>
      <c r="D211" s="295" t="str">
        <f>IF(B211="","",IF(ISNA(VLOOKUP($B211,'B-1 On-Site Hedge Baseline'!$B$1:$L$257,4,FALSE)),"",(VLOOKUP($B211,'B-1 On-Site Hedge Baseline'!$B$1:$L$257,4,FALSE))))</f>
        <v/>
      </c>
      <c r="E211" s="295" t="str">
        <f>IF(B211="","",IF(ISNA(VLOOKUP($B211,'B-1 On-Site Hedge Baseline'!$B$1:$L$257,5,FALSE)),"",(VLOOKUP($B211,'B-1 On-Site Hedge Baseline'!$B$1:$L$257,5,FALSE))))</f>
        <v/>
      </c>
      <c r="F211" s="295" t="str">
        <f>IF(B211="","",IF(ISNA(VLOOKUP($B211,'B-1 On-Site Hedge Baseline'!$B$1:$L$257,6,FALSE)),"",(VLOOKUP($B211,'B-1 On-Site Hedge Baseline'!$B$1:$L$257,6,FALSE))))</f>
        <v/>
      </c>
      <c r="G211" s="295" t="str">
        <f>IF(B211="","",IF(ISNA(VLOOKUP($B211,'B-1 On-Site Hedge Baseline'!$B$1:$L$257,7,FALSE)),"",(VLOOKUP($B211,'B-1 On-Site Hedge Baseline'!$B$1:$L$257,7,FALSE))))</f>
        <v/>
      </c>
      <c r="H211" s="295" t="str">
        <f>IF(B211="","",IF(ISNA(VLOOKUP($B211,'B-1 On-Site Hedge Baseline'!$B$1:$L$257,8,FALSE)),"",(VLOOKUP($B211,'B-1 On-Site Hedge Baseline'!$B$1:$L$257,8,FALSE))))</f>
        <v/>
      </c>
      <c r="I211" s="295" t="str">
        <f>IF(B211="","",IF(ISNA(VLOOKUP($B211,'B-1 On-Site Hedge Baseline'!$B$1:$L$257,10,FALSE)),"",(VLOOKUP($B211,'B-1 On-Site Hedge Baseline'!$B$1:$L$257,10,FALSE))))</f>
        <v/>
      </c>
      <c r="J211" s="295" t="str">
        <f>IF(B211="","",IF(ISNA(VLOOKUP($B211,'B-1 On-Site Hedge Baseline'!$B$1:$L$257,11,FALSE)),"",(VLOOKUP($B211,'B-1 On-Site Hedge Baseline'!$B$1:$L$257,11,FALSE))))</f>
        <v/>
      </c>
      <c r="K211" s="295" t="str">
        <f>IF(B211="","",IF(ISNA(VLOOKUP($B211,'B-1 On-Site Hedge Baseline'!$B$1:$U$257,13,FALSE)),"",(VLOOKUP($B211,'B-1 On-Site Hedge Baseline'!$B$1:$U$257,13,FALSE))))</f>
        <v/>
      </c>
      <c r="L211" s="299" t="str">
        <f>IF(B211="","",IF(ISNA(VLOOKUP($B211,'B-1 On-Site Hedge Baseline'!$B$1:$U$257,12,FALSE)),"",(VLOOKUP($B211,'B-1 On-Site Hedge Baseline'!$B$1:$U$257,12,FALSE))))</f>
        <v/>
      </c>
      <c r="M211" s="611"/>
      <c r="N211" s="275" t="str">
        <f>IFERROR(IF(B211="","",INDEX('G-6 Hedgerow Data'!$AN$3:$AZ$15,MATCH(C211,'G-6 Hedgerow Data'!$AM$3:$AM$15,0),MATCH(M211,'G-6 Hedgerow Data'!$AN$2:$AZ$2,0))),"")</f>
        <v/>
      </c>
      <c r="O211" s="276" t="str">
        <f t="shared" si="22"/>
        <v/>
      </c>
      <c r="P211" s="329" t="str">
        <f>IF(B211="","",VLOOKUP(B211,'B-1 On-Site Hedge Baseline'!$B$10:T456,16,FALSE))</f>
        <v/>
      </c>
      <c r="Q211" s="275" t="str">
        <f>IF(M211="","",VLOOKUP(M211,'G-6 Hedgerow Data'!$B$2:$AG$15,2,FALSE))</f>
        <v/>
      </c>
      <c r="R211" s="276" t="str">
        <f>IF(M211="","",VLOOKUP(M211,'G-6 Hedgerow Data'!$B$2:$AG$15,3,FALSE))</f>
        <v/>
      </c>
      <c r="S211" s="108"/>
      <c r="T211" s="314" t="str">
        <f>IFERROR(IF(S211="","",IF(AND(M211="Non-native and ornamental hedgerow",S211&lt;&gt;"Poor"),"Not possible ▲",(VLOOKUP(S211,'G-1 All Habitats'!$Z$2:$AA$9,2,FALSE)))),"")</f>
        <v/>
      </c>
      <c r="U211" s="105"/>
      <c r="V211" s="295" t="str">
        <f>IF(U211="","",IF(VLOOKUP(U211,'G-3 Multipliers'!$L$3:$N$6,2,FALSE)=0,"Spatial Data Missing ⚠",VLOOKUP(U211,'G-3 Multipliers'!$L$3:$N$6,2,FALSE)))</f>
        <v/>
      </c>
      <c r="W211" s="299" t="str">
        <f>IF(U211="","",IF(VLOOKUP(U211,'G-3 Multipliers'!$L$3:$N$6,3,FALSE)=0,"Spatial Data Missing ⚠",VLOOKUP(U211,'G-3 Multipliers'!$L$3:$N$6,3,FALSE)))</f>
        <v/>
      </c>
      <c r="X211" s="275" t="str">
        <f>IFERROR(IF(OR(LEFT(O211,5)="Error",LEFT(N211,5)="Error",T211="Error"),"Check Data ⚠",IF(F211&lt;R211,INDEX('G-6 Hedgerow Data'!$S$3:$AE$14,MATCH(C211,'G-6 Hedgerow Data'!$B$3:$B$14,0),MATCH(M211,'G-6 Hedgerow Data'!$S$2:$AE$2,0)),INDEX('G-6 Hedgerow Data'!$K$3:$Q$14,MATCH(M211,'G-6 Hedgerow Data'!$B$3:$B$14,0),MATCH(O211,'G-6 Hedgerow Data'!$K$2:$Q$2,0)))),"")</f>
        <v/>
      </c>
      <c r="Y211" s="133"/>
      <c r="Z211" s="133"/>
      <c r="AA211" s="283" t="str">
        <f t="shared" si="23"/>
        <v/>
      </c>
      <c r="AB211" s="296" t="str">
        <f t="shared" si="24"/>
        <v/>
      </c>
      <c r="AC211" s="297" t="str">
        <f t="shared" si="21"/>
        <v/>
      </c>
      <c r="AD211" s="311" t="str">
        <f>IF(M211="","",VLOOKUP(M211,'G-6 Hedgerow Data'!$B$3:$AG$15,31,FALSE))</f>
        <v/>
      </c>
      <c r="AE211" s="283" t="str">
        <f t="shared" si="25"/>
        <v/>
      </c>
      <c r="AF211" s="283" t="str">
        <f t="shared" si="26"/>
        <v/>
      </c>
      <c r="AG211" s="299" t="str">
        <f>IFERROR(IF(O211="","",VLOOKUP(AD211,'G-3 Multipliers'!$P$3:$Q$6,2,FALSE)),"")</f>
        <v/>
      </c>
      <c r="AH211" s="289" t="str">
        <f t="shared" si="27"/>
        <v/>
      </c>
      <c r="AI211" s="108"/>
      <c r="AJ211" s="115"/>
      <c r="AK211" s="104"/>
      <c r="AT211" s="30" t="str">
        <f>IFERROR(INDEX('G-6 Hedgerow Data'!$BJ$3:$BJ$15,MATCH(M211,'G-6 Hedgerow Data'!$B$3:$B$15,0)),"")</f>
        <v/>
      </c>
    </row>
    <row r="212" spans="2:46" ht="14">
      <c r="B212" s="305" t="str">
        <f>'B-1 On-Site Hedge Baseline'!AK210</f>
        <v/>
      </c>
      <c r="C212" s="295" t="str">
        <f>IF(B212="","",IF(ISNA(VLOOKUP($B212,'B-1 On-Site Hedge Baseline'!$B$1:$L$257,3,FALSE)),"",(VLOOKUP($B212,'B-1 On-Site Hedge Baseline'!$B$1:$L$257,3,FALSE))))</f>
        <v/>
      </c>
      <c r="D212" s="295" t="str">
        <f>IF(B212="","",IF(ISNA(VLOOKUP($B212,'B-1 On-Site Hedge Baseline'!$B$1:$L$257,4,FALSE)),"",(VLOOKUP($B212,'B-1 On-Site Hedge Baseline'!$B$1:$L$257,4,FALSE))))</f>
        <v/>
      </c>
      <c r="E212" s="295" t="str">
        <f>IF(B212="","",IF(ISNA(VLOOKUP($B212,'B-1 On-Site Hedge Baseline'!$B$1:$L$257,5,FALSE)),"",(VLOOKUP($B212,'B-1 On-Site Hedge Baseline'!$B$1:$L$257,5,FALSE))))</f>
        <v/>
      </c>
      <c r="F212" s="295" t="str">
        <f>IF(B212="","",IF(ISNA(VLOOKUP($B212,'B-1 On-Site Hedge Baseline'!$B$1:$L$257,6,FALSE)),"",(VLOOKUP($B212,'B-1 On-Site Hedge Baseline'!$B$1:$L$257,6,FALSE))))</f>
        <v/>
      </c>
      <c r="G212" s="295" t="str">
        <f>IF(B212="","",IF(ISNA(VLOOKUP($B212,'B-1 On-Site Hedge Baseline'!$B$1:$L$257,7,FALSE)),"",(VLOOKUP($B212,'B-1 On-Site Hedge Baseline'!$B$1:$L$257,7,FALSE))))</f>
        <v/>
      </c>
      <c r="H212" s="295" t="str">
        <f>IF(B212="","",IF(ISNA(VLOOKUP($B212,'B-1 On-Site Hedge Baseline'!$B$1:$L$257,8,FALSE)),"",(VLOOKUP($B212,'B-1 On-Site Hedge Baseline'!$B$1:$L$257,8,FALSE))))</f>
        <v/>
      </c>
      <c r="I212" s="295" t="str">
        <f>IF(B212="","",IF(ISNA(VLOOKUP($B212,'B-1 On-Site Hedge Baseline'!$B$1:$L$257,10,FALSE)),"",(VLOOKUP($B212,'B-1 On-Site Hedge Baseline'!$B$1:$L$257,10,FALSE))))</f>
        <v/>
      </c>
      <c r="J212" s="295" t="str">
        <f>IF(B212="","",IF(ISNA(VLOOKUP($B212,'B-1 On-Site Hedge Baseline'!$B$1:$L$257,11,FALSE)),"",(VLOOKUP($B212,'B-1 On-Site Hedge Baseline'!$B$1:$L$257,11,FALSE))))</f>
        <v/>
      </c>
      <c r="K212" s="295" t="str">
        <f>IF(B212="","",IF(ISNA(VLOOKUP($B212,'B-1 On-Site Hedge Baseline'!$B$1:$U$257,13,FALSE)),"",(VLOOKUP($B212,'B-1 On-Site Hedge Baseline'!$B$1:$U$257,13,FALSE))))</f>
        <v/>
      </c>
      <c r="L212" s="299" t="str">
        <f>IF(B212="","",IF(ISNA(VLOOKUP($B212,'B-1 On-Site Hedge Baseline'!$B$1:$U$257,12,FALSE)),"",(VLOOKUP($B212,'B-1 On-Site Hedge Baseline'!$B$1:$U$257,12,FALSE))))</f>
        <v/>
      </c>
      <c r="M212" s="611"/>
      <c r="N212" s="275" t="str">
        <f>IFERROR(IF(B212="","",INDEX('G-6 Hedgerow Data'!$AN$3:$AZ$15,MATCH(C212,'G-6 Hedgerow Data'!$AM$3:$AM$15,0),MATCH(M212,'G-6 Hedgerow Data'!$AN$2:$AZ$2,0))),"")</f>
        <v/>
      </c>
      <c r="O212" s="276" t="str">
        <f t="shared" si="22"/>
        <v/>
      </c>
      <c r="P212" s="329" t="str">
        <f>IF(B212="","",VLOOKUP(B212,'B-1 On-Site Hedge Baseline'!$B$10:T457,16,FALSE))</f>
        <v/>
      </c>
      <c r="Q212" s="275" t="str">
        <f>IF(M212="","",VLOOKUP(M212,'G-6 Hedgerow Data'!$B$2:$AG$15,2,FALSE))</f>
        <v/>
      </c>
      <c r="R212" s="276" t="str">
        <f>IF(M212="","",VLOOKUP(M212,'G-6 Hedgerow Data'!$B$2:$AG$15,3,FALSE))</f>
        <v/>
      </c>
      <c r="S212" s="108"/>
      <c r="T212" s="314" t="str">
        <f>IFERROR(IF(S212="","",IF(AND(M212="Non-native and ornamental hedgerow",S212&lt;&gt;"Poor"),"Not possible ▲",(VLOOKUP(S212,'G-1 All Habitats'!$Z$2:$AA$9,2,FALSE)))),"")</f>
        <v/>
      </c>
      <c r="U212" s="105"/>
      <c r="V212" s="295" t="str">
        <f>IF(U212="","",IF(VLOOKUP(U212,'G-3 Multipliers'!$L$3:$N$6,2,FALSE)=0,"Spatial Data Missing ⚠",VLOOKUP(U212,'G-3 Multipliers'!$L$3:$N$6,2,FALSE)))</f>
        <v/>
      </c>
      <c r="W212" s="299" t="str">
        <f>IF(U212="","",IF(VLOOKUP(U212,'G-3 Multipliers'!$L$3:$N$6,3,FALSE)=0,"Spatial Data Missing ⚠",VLOOKUP(U212,'G-3 Multipliers'!$L$3:$N$6,3,FALSE)))</f>
        <v/>
      </c>
      <c r="X212" s="275" t="str">
        <f>IFERROR(IF(OR(LEFT(O212,5)="Error",LEFT(N212,5)="Error",T212="Error"),"Check Data ⚠",IF(F212&lt;R212,INDEX('G-6 Hedgerow Data'!$S$3:$AE$14,MATCH(C212,'G-6 Hedgerow Data'!$B$3:$B$14,0),MATCH(M212,'G-6 Hedgerow Data'!$S$2:$AE$2,0)),INDEX('G-6 Hedgerow Data'!$K$3:$Q$14,MATCH(M212,'G-6 Hedgerow Data'!$B$3:$B$14,0),MATCH(O212,'G-6 Hedgerow Data'!$K$2:$Q$2,0)))),"")</f>
        <v/>
      </c>
      <c r="Y212" s="133"/>
      <c r="Z212" s="133"/>
      <c r="AA212" s="283" t="str">
        <f t="shared" si="23"/>
        <v/>
      </c>
      <c r="AB212" s="296" t="str">
        <f t="shared" si="24"/>
        <v/>
      </c>
      <c r="AC212" s="297" t="str">
        <f t="shared" si="21"/>
        <v/>
      </c>
      <c r="AD212" s="311" t="str">
        <f>IF(M212="","",VLOOKUP(M212,'G-6 Hedgerow Data'!$B$3:$AG$15,31,FALSE))</f>
        <v/>
      </c>
      <c r="AE212" s="283" t="str">
        <f t="shared" si="25"/>
        <v/>
      </c>
      <c r="AF212" s="283" t="str">
        <f t="shared" si="26"/>
        <v/>
      </c>
      <c r="AG212" s="299" t="str">
        <f>IFERROR(IF(O212="","",VLOOKUP(AD212,'G-3 Multipliers'!$P$3:$Q$6,2,FALSE)),"")</f>
        <v/>
      </c>
      <c r="AH212" s="289" t="str">
        <f t="shared" si="27"/>
        <v/>
      </c>
      <c r="AI212" s="108"/>
      <c r="AJ212" s="115"/>
      <c r="AK212" s="104"/>
      <c r="AT212" s="30" t="str">
        <f>IFERROR(INDEX('G-6 Hedgerow Data'!$BJ$3:$BJ$15,MATCH(M212,'G-6 Hedgerow Data'!$B$3:$B$15,0)),"")</f>
        <v/>
      </c>
    </row>
    <row r="213" spans="2:46" ht="14">
      <c r="B213" s="305" t="str">
        <f>'B-1 On-Site Hedge Baseline'!AK211</f>
        <v/>
      </c>
      <c r="C213" s="295" t="str">
        <f>IF(B213="","",IF(ISNA(VLOOKUP($B213,'B-1 On-Site Hedge Baseline'!$B$1:$L$257,3,FALSE)),"",(VLOOKUP($B213,'B-1 On-Site Hedge Baseline'!$B$1:$L$257,3,FALSE))))</f>
        <v/>
      </c>
      <c r="D213" s="295" t="str">
        <f>IF(B213="","",IF(ISNA(VLOOKUP($B213,'B-1 On-Site Hedge Baseline'!$B$1:$L$257,4,FALSE)),"",(VLOOKUP($B213,'B-1 On-Site Hedge Baseline'!$B$1:$L$257,4,FALSE))))</f>
        <v/>
      </c>
      <c r="E213" s="295" t="str">
        <f>IF(B213="","",IF(ISNA(VLOOKUP($B213,'B-1 On-Site Hedge Baseline'!$B$1:$L$257,5,FALSE)),"",(VLOOKUP($B213,'B-1 On-Site Hedge Baseline'!$B$1:$L$257,5,FALSE))))</f>
        <v/>
      </c>
      <c r="F213" s="295" t="str">
        <f>IF(B213="","",IF(ISNA(VLOOKUP($B213,'B-1 On-Site Hedge Baseline'!$B$1:$L$257,6,FALSE)),"",(VLOOKUP($B213,'B-1 On-Site Hedge Baseline'!$B$1:$L$257,6,FALSE))))</f>
        <v/>
      </c>
      <c r="G213" s="295" t="str">
        <f>IF(B213="","",IF(ISNA(VLOOKUP($B213,'B-1 On-Site Hedge Baseline'!$B$1:$L$257,7,FALSE)),"",(VLOOKUP($B213,'B-1 On-Site Hedge Baseline'!$B$1:$L$257,7,FALSE))))</f>
        <v/>
      </c>
      <c r="H213" s="295" t="str">
        <f>IF(B213="","",IF(ISNA(VLOOKUP($B213,'B-1 On-Site Hedge Baseline'!$B$1:$L$257,8,FALSE)),"",(VLOOKUP($B213,'B-1 On-Site Hedge Baseline'!$B$1:$L$257,8,FALSE))))</f>
        <v/>
      </c>
      <c r="I213" s="295" t="str">
        <f>IF(B213="","",IF(ISNA(VLOOKUP($B213,'B-1 On-Site Hedge Baseline'!$B$1:$L$257,10,FALSE)),"",(VLOOKUP($B213,'B-1 On-Site Hedge Baseline'!$B$1:$L$257,10,FALSE))))</f>
        <v/>
      </c>
      <c r="J213" s="295" t="str">
        <f>IF(B213="","",IF(ISNA(VLOOKUP($B213,'B-1 On-Site Hedge Baseline'!$B$1:$L$257,11,FALSE)),"",(VLOOKUP($B213,'B-1 On-Site Hedge Baseline'!$B$1:$L$257,11,FALSE))))</f>
        <v/>
      </c>
      <c r="K213" s="295" t="str">
        <f>IF(B213="","",IF(ISNA(VLOOKUP($B213,'B-1 On-Site Hedge Baseline'!$B$1:$U$257,13,FALSE)),"",(VLOOKUP($B213,'B-1 On-Site Hedge Baseline'!$B$1:$U$257,13,FALSE))))</f>
        <v/>
      </c>
      <c r="L213" s="299" t="str">
        <f>IF(B213="","",IF(ISNA(VLOOKUP($B213,'B-1 On-Site Hedge Baseline'!$B$1:$U$257,12,FALSE)),"",(VLOOKUP($B213,'B-1 On-Site Hedge Baseline'!$B$1:$U$257,12,FALSE))))</f>
        <v/>
      </c>
      <c r="M213" s="611"/>
      <c r="N213" s="275" t="str">
        <f>IFERROR(IF(B213="","",INDEX('G-6 Hedgerow Data'!$AN$3:$AZ$15,MATCH(C213,'G-6 Hedgerow Data'!$AM$3:$AM$15,0),MATCH(M213,'G-6 Hedgerow Data'!$AN$2:$AZ$2,0))),"")</f>
        <v/>
      </c>
      <c r="O213" s="276" t="str">
        <f t="shared" si="22"/>
        <v/>
      </c>
      <c r="P213" s="329" t="str">
        <f>IF(B213="","",VLOOKUP(B213,'B-1 On-Site Hedge Baseline'!$B$10:T458,16,FALSE))</f>
        <v/>
      </c>
      <c r="Q213" s="275" t="str">
        <f>IF(M213="","",VLOOKUP(M213,'G-6 Hedgerow Data'!$B$2:$AG$15,2,FALSE))</f>
        <v/>
      </c>
      <c r="R213" s="276" t="str">
        <f>IF(M213="","",VLOOKUP(M213,'G-6 Hedgerow Data'!$B$2:$AG$15,3,FALSE))</f>
        <v/>
      </c>
      <c r="S213" s="108"/>
      <c r="T213" s="314" t="str">
        <f>IFERROR(IF(S213="","",IF(AND(M213="Non-native and ornamental hedgerow",S213&lt;&gt;"Poor"),"Not possible ▲",(VLOOKUP(S213,'G-1 All Habitats'!$Z$2:$AA$9,2,FALSE)))),"")</f>
        <v/>
      </c>
      <c r="U213" s="105"/>
      <c r="V213" s="295" t="str">
        <f>IF(U213="","",IF(VLOOKUP(U213,'G-3 Multipliers'!$L$3:$N$6,2,FALSE)=0,"Spatial Data Missing ⚠",VLOOKUP(U213,'G-3 Multipliers'!$L$3:$N$6,2,FALSE)))</f>
        <v/>
      </c>
      <c r="W213" s="299" t="str">
        <f>IF(U213="","",IF(VLOOKUP(U213,'G-3 Multipliers'!$L$3:$N$6,3,FALSE)=0,"Spatial Data Missing ⚠",VLOOKUP(U213,'G-3 Multipliers'!$L$3:$N$6,3,FALSE)))</f>
        <v/>
      </c>
      <c r="X213" s="275" t="str">
        <f>IFERROR(IF(OR(LEFT(O213,5)="Error",LEFT(N213,5)="Error",T213="Error"),"Check Data ⚠",IF(F213&lt;R213,INDEX('G-6 Hedgerow Data'!$S$3:$AE$14,MATCH(C213,'G-6 Hedgerow Data'!$B$3:$B$14,0),MATCH(M213,'G-6 Hedgerow Data'!$S$2:$AE$2,0)),INDEX('G-6 Hedgerow Data'!$K$3:$Q$14,MATCH(M213,'G-6 Hedgerow Data'!$B$3:$B$14,0),MATCH(O213,'G-6 Hedgerow Data'!$K$2:$Q$2,0)))),"")</f>
        <v/>
      </c>
      <c r="Y213" s="133"/>
      <c r="Z213" s="133"/>
      <c r="AA213" s="283" t="str">
        <f t="shared" si="23"/>
        <v/>
      </c>
      <c r="AB213" s="296" t="str">
        <f t="shared" si="24"/>
        <v/>
      </c>
      <c r="AC213" s="297" t="str">
        <f t="shared" si="21"/>
        <v/>
      </c>
      <c r="AD213" s="311" t="str">
        <f>IF(M213="","",VLOOKUP(M213,'G-6 Hedgerow Data'!$B$3:$AG$15,31,FALSE))</f>
        <v/>
      </c>
      <c r="AE213" s="283" t="str">
        <f t="shared" si="25"/>
        <v/>
      </c>
      <c r="AF213" s="283" t="str">
        <f t="shared" si="26"/>
        <v/>
      </c>
      <c r="AG213" s="299" t="str">
        <f>IFERROR(IF(O213="","",VLOOKUP(AD213,'G-3 Multipliers'!$P$3:$Q$6,2,FALSE)),"")</f>
        <v/>
      </c>
      <c r="AH213" s="289" t="str">
        <f t="shared" si="27"/>
        <v/>
      </c>
      <c r="AI213" s="108"/>
      <c r="AJ213" s="115"/>
      <c r="AK213" s="104"/>
      <c r="AT213" s="30" t="str">
        <f>IFERROR(INDEX('G-6 Hedgerow Data'!$BJ$3:$BJ$15,MATCH(M213,'G-6 Hedgerow Data'!$B$3:$B$15,0)),"")</f>
        <v/>
      </c>
    </row>
    <row r="214" spans="2:46" ht="14">
      <c r="B214" s="305" t="str">
        <f>'B-1 On-Site Hedge Baseline'!AK212</f>
        <v/>
      </c>
      <c r="C214" s="295" t="str">
        <f>IF(B214="","",IF(ISNA(VLOOKUP($B214,'B-1 On-Site Hedge Baseline'!$B$1:$L$257,3,FALSE)),"",(VLOOKUP($B214,'B-1 On-Site Hedge Baseline'!$B$1:$L$257,3,FALSE))))</f>
        <v/>
      </c>
      <c r="D214" s="295" t="str">
        <f>IF(B214="","",IF(ISNA(VLOOKUP($B214,'B-1 On-Site Hedge Baseline'!$B$1:$L$257,4,FALSE)),"",(VLOOKUP($B214,'B-1 On-Site Hedge Baseline'!$B$1:$L$257,4,FALSE))))</f>
        <v/>
      </c>
      <c r="E214" s="295" t="str">
        <f>IF(B214="","",IF(ISNA(VLOOKUP($B214,'B-1 On-Site Hedge Baseline'!$B$1:$L$257,5,FALSE)),"",(VLOOKUP($B214,'B-1 On-Site Hedge Baseline'!$B$1:$L$257,5,FALSE))))</f>
        <v/>
      </c>
      <c r="F214" s="295" t="str">
        <f>IF(B214="","",IF(ISNA(VLOOKUP($B214,'B-1 On-Site Hedge Baseline'!$B$1:$L$257,6,FALSE)),"",(VLOOKUP($B214,'B-1 On-Site Hedge Baseline'!$B$1:$L$257,6,FALSE))))</f>
        <v/>
      </c>
      <c r="G214" s="295" t="str">
        <f>IF(B214="","",IF(ISNA(VLOOKUP($B214,'B-1 On-Site Hedge Baseline'!$B$1:$L$257,7,FALSE)),"",(VLOOKUP($B214,'B-1 On-Site Hedge Baseline'!$B$1:$L$257,7,FALSE))))</f>
        <v/>
      </c>
      <c r="H214" s="295" t="str">
        <f>IF(B214="","",IF(ISNA(VLOOKUP($B214,'B-1 On-Site Hedge Baseline'!$B$1:$L$257,8,FALSE)),"",(VLOOKUP($B214,'B-1 On-Site Hedge Baseline'!$B$1:$L$257,8,FALSE))))</f>
        <v/>
      </c>
      <c r="I214" s="295" t="str">
        <f>IF(B214="","",IF(ISNA(VLOOKUP($B214,'B-1 On-Site Hedge Baseline'!$B$1:$L$257,10,FALSE)),"",(VLOOKUP($B214,'B-1 On-Site Hedge Baseline'!$B$1:$L$257,10,FALSE))))</f>
        <v/>
      </c>
      <c r="J214" s="295" t="str">
        <f>IF(B214="","",IF(ISNA(VLOOKUP($B214,'B-1 On-Site Hedge Baseline'!$B$1:$L$257,11,FALSE)),"",(VLOOKUP($B214,'B-1 On-Site Hedge Baseline'!$B$1:$L$257,11,FALSE))))</f>
        <v/>
      </c>
      <c r="K214" s="295" t="str">
        <f>IF(B214="","",IF(ISNA(VLOOKUP($B214,'B-1 On-Site Hedge Baseline'!$B$1:$U$257,13,FALSE)),"",(VLOOKUP($B214,'B-1 On-Site Hedge Baseline'!$B$1:$U$257,13,FALSE))))</f>
        <v/>
      </c>
      <c r="L214" s="299" t="str">
        <f>IF(B214="","",IF(ISNA(VLOOKUP($B214,'B-1 On-Site Hedge Baseline'!$B$1:$U$257,12,FALSE)),"",(VLOOKUP($B214,'B-1 On-Site Hedge Baseline'!$B$1:$U$257,12,FALSE))))</f>
        <v/>
      </c>
      <c r="M214" s="611"/>
      <c r="N214" s="275" t="str">
        <f>IFERROR(IF(B214="","",INDEX('G-6 Hedgerow Data'!$AN$3:$AZ$15,MATCH(C214,'G-6 Hedgerow Data'!$AM$3:$AM$15,0),MATCH(M214,'G-6 Hedgerow Data'!$AN$2:$AZ$2,0))),"")</f>
        <v/>
      </c>
      <c r="O214" s="276" t="str">
        <f t="shared" si="22"/>
        <v/>
      </c>
      <c r="P214" s="329" t="str">
        <f>IF(B214="","",VLOOKUP(B214,'B-1 On-Site Hedge Baseline'!$B$10:T459,16,FALSE))</f>
        <v/>
      </c>
      <c r="Q214" s="275" t="str">
        <f>IF(M214="","",VLOOKUP(M214,'G-6 Hedgerow Data'!$B$2:$AG$15,2,FALSE))</f>
        <v/>
      </c>
      <c r="R214" s="276" t="str">
        <f>IF(M214="","",VLOOKUP(M214,'G-6 Hedgerow Data'!$B$2:$AG$15,3,FALSE))</f>
        <v/>
      </c>
      <c r="S214" s="108"/>
      <c r="T214" s="314" t="str">
        <f>IFERROR(IF(S214="","",IF(AND(M214="Non-native and ornamental hedgerow",S214&lt;&gt;"Poor"),"Not possible ▲",(VLOOKUP(S214,'G-1 All Habitats'!$Z$2:$AA$9,2,FALSE)))),"")</f>
        <v/>
      </c>
      <c r="U214" s="105"/>
      <c r="V214" s="295" t="str">
        <f>IF(U214="","",IF(VLOOKUP(U214,'G-3 Multipliers'!$L$3:$N$6,2,FALSE)=0,"Spatial Data Missing ⚠",VLOOKUP(U214,'G-3 Multipliers'!$L$3:$N$6,2,FALSE)))</f>
        <v/>
      </c>
      <c r="W214" s="299" t="str">
        <f>IF(U214="","",IF(VLOOKUP(U214,'G-3 Multipliers'!$L$3:$N$6,3,FALSE)=0,"Spatial Data Missing ⚠",VLOOKUP(U214,'G-3 Multipliers'!$L$3:$N$6,3,FALSE)))</f>
        <v/>
      </c>
      <c r="X214" s="275" t="str">
        <f>IFERROR(IF(OR(LEFT(O214,5)="Error",LEFT(N214,5)="Error",T214="Error"),"Check Data ⚠",IF(F214&lt;R214,INDEX('G-6 Hedgerow Data'!$S$3:$AE$14,MATCH(C214,'G-6 Hedgerow Data'!$B$3:$B$14,0),MATCH(M214,'G-6 Hedgerow Data'!$S$2:$AE$2,0)),INDEX('G-6 Hedgerow Data'!$K$3:$Q$14,MATCH(M214,'G-6 Hedgerow Data'!$B$3:$B$14,0),MATCH(O214,'G-6 Hedgerow Data'!$K$2:$Q$2,0)))),"")</f>
        <v/>
      </c>
      <c r="Y214" s="133"/>
      <c r="Z214" s="133"/>
      <c r="AA214" s="283" t="str">
        <f t="shared" si="23"/>
        <v/>
      </c>
      <c r="AB214" s="296" t="str">
        <f t="shared" si="24"/>
        <v/>
      </c>
      <c r="AC214" s="297" t="str">
        <f t="shared" si="21"/>
        <v/>
      </c>
      <c r="AD214" s="311" t="str">
        <f>IF(M214="","",VLOOKUP(M214,'G-6 Hedgerow Data'!$B$3:$AG$15,31,FALSE))</f>
        <v/>
      </c>
      <c r="AE214" s="283" t="str">
        <f t="shared" si="25"/>
        <v/>
      </c>
      <c r="AF214" s="283" t="str">
        <f t="shared" si="26"/>
        <v/>
      </c>
      <c r="AG214" s="299" t="str">
        <f>IFERROR(IF(O214="","",VLOOKUP(AD214,'G-3 Multipliers'!$P$3:$Q$6,2,FALSE)),"")</f>
        <v/>
      </c>
      <c r="AH214" s="289" t="str">
        <f t="shared" si="27"/>
        <v/>
      </c>
      <c r="AI214" s="108"/>
      <c r="AJ214" s="115"/>
      <c r="AK214" s="104"/>
      <c r="AT214" s="30" t="str">
        <f>IFERROR(INDEX('G-6 Hedgerow Data'!$BJ$3:$BJ$15,MATCH(M214,'G-6 Hedgerow Data'!$B$3:$B$15,0)),"")</f>
        <v/>
      </c>
    </row>
    <row r="215" spans="2:46" ht="14">
      <c r="B215" s="305" t="str">
        <f>'B-1 On-Site Hedge Baseline'!AK213</f>
        <v/>
      </c>
      <c r="C215" s="295" t="str">
        <f>IF(B215="","",IF(ISNA(VLOOKUP($B215,'B-1 On-Site Hedge Baseline'!$B$1:$L$257,3,FALSE)),"",(VLOOKUP($B215,'B-1 On-Site Hedge Baseline'!$B$1:$L$257,3,FALSE))))</f>
        <v/>
      </c>
      <c r="D215" s="295" t="str">
        <f>IF(B215="","",IF(ISNA(VLOOKUP($B215,'B-1 On-Site Hedge Baseline'!$B$1:$L$257,4,FALSE)),"",(VLOOKUP($B215,'B-1 On-Site Hedge Baseline'!$B$1:$L$257,4,FALSE))))</f>
        <v/>
      </c>
      <c r="E215" s="295" t="str">
        <f>IF(B215="","",IF(ISNA(VLOOKUP($B215,'B-1 On-Site Hedge Baseline'!$B$1:$L$257,5,FALSE)),"",(VLOOKUP($B215,'B-1 On-Site Hedge Baseline'!$B$1:$L$257,5,FALSE))))</f>
        <v/>
      </c>
      <c r="F215" s="295" t="str">
        <f>IF(B215="","",IF(ISNA(VLOOKUP($B215,'B-1 On-Site Hedge Baseline'!$B$1:$L$257,6,FALSE)),"",(VLOOKUP($B215,'B-1 On-Site Hedge Baseline'!$B$1:$L$257,6,FALSE))))</f>
        <v/>
      </c>
      <c r="G215" s="295" t="str">
        <f>IF(B215="","",IF(ISNA(VLOOKUP($B215,'B-1 On-Site Hedge Baseline'!$B$1:$L$257,7,FALSE)),"",(VLOOKUP($B215,'B-1 On-Site Hedge Baseline'!$B$1:$L$257,7,FALSE))))</f>
        <v/>
      </c>
      <c r="H215" s="295" t="str">
        <f>IF(B215="","",IF(ISNA(VLOOKUP($B215,'B-1 On-Site Hedge Baseline'!$B$1:$L$257,8,FALSE)),"",(VLOOKUP($B215,'B-1 On-Site Hedge Baseline'!$B$1:$L$257,8,FALSE))))</f>
        <v/>
      </c>
      <c r="I215" s="295" t="str">
        <f>IF(B215="","",IF(ISNA(VLOOKUP($B215,'B-1 On-Site Hedge Baseline'!$B$1:$L$257,10,FALSE)),"",(VLOOKUP($B215,'B-1 On-Site Hedge Baseline'!$B$1:$L$257,10,FALSE))))</f>
        <v/>
      </c>
      <c r="J215" s="295" t="str">
        <f>IF(B215="","",IF(ISNA(VLOOKUP($B215,'B-1 On-Site Hedge Baseline'!$B$1:$L$257,11,FALSE)),"",(VLOOKUP($B215,'B-1 On-Site Hedge Baseline'!$B$1:$L$257,11,FALSE))))</f>
        <v/>
      </c>
      <c r="K215" s="295" t="str">
        <f>IF(B215="","",IF(ISNA(VLOOKUP($B215,'B-1 On-Site Hedge Baseline'!$B$1:$U$257,13,FALSE)),"",(VLOOKUP($B215,'B-1 On-Site Hedge Baseline'!$B$1:$U$257,13,FALSE))))</f>
        <v/>
      </c>
      <c r="L215" s="299" t="str">
        <f>IF(B215="","",IF(ISNA(VLOOKUP($B215,'B-1 On-Site Hedge Baseline'!$B$1:$U$257,12,FALSE)),"",(VLOOKUP($B215,'B-1 On-Site Hedge Baseline'!$B$1:$U$257,12,FALSE))))</f>
        <v/>
      </c>
      <c r="M215" s="611"/>
      <c r="N215" s="275" t="str">
        <f>IFERROR(IF(B215="","",INDEX('G-6 Hedgerow Data'!$AN$3:$AZ$15,MATCH(C215,'G-6 Hedgerow Data'!$AM$3:$AM$15,0),MATCH(M215,'G-6 Hedgerow Data'!$AN$2:$AZ$2,0))),"")</f>
        <v/>
      </c>
      <c r="O215" s="276" t="str">
        <f t="shared" si="22"/>
        <v/>
      </c>
      <c r="P215" s="329" t="str">
        <f>IF(B215="","",VLOOKUP(B215,'B-1 On-Site Hedge Baseline'!$B$10:T460,16,FALSE))</f>
        <v/>
      </c>
      <c r="Q215" s="275" t="str">
        <f>IF(M215="","",VLOOKUP(M215,'G-6 Hedgerow Data'!$B$2:$AG$15,2,FALSE))</f>
        <v/>
      </c>
      <c r="R215" s="276" t="str">
        <f>IF(M215="","",VLOOKUP(M215,'G-6 Hedgerow Data'!$B$2:$AG$15,3,FALSE))</f>
        <v/>
      </c>
      <c r="S215" s="108"/>
      <c r="T215" s="314" t="str">
        <f>IFERROR(IF(S215="","",IF(AND(M215="Non-native and ornamental hedgerow",S215&lt;&gt;"Poor"),"Not possible ▲",(VLOOKUP(S215,'G-1 All Habitats'!$Z$2:$AA$9,2,FALSE)))),"")</f>
        <v/>
      </c>
      <c r="U215" s="105"/>
      <c r="V215" s="295" t="str">
        <f>IF(U215="","",IF(VLOOKUP(U215,'G-3 Multipliers'!$L$3:$N$6,2,FALSE)=0,"Spatial Data Missing ⚠",VLOOKUP(U215,'G-3 Multipliers'!$L$3:$N$6,2,FALSE)))</f>
        <v/>
      </c>
      <c r="W215" s="299" t="str">
        <f>IF(U215="","",IF(VLOOKUP(U215,'G-3 Multipliers'!$L$3:$N$6,3,FALSE)=0,"Spatial Data Missing ⚠",VLOOKUP(U215,'G-3 Multipliers'!$L$3:$N$6,3,FALSE)))</f>
        <v/>
      </c>
      <c r="X215" s="275" t="str">
        <f>IFERROR(IF(OR(LEFT(O215,5)="Error",LEFT(N215,5)="Error",T215="Error"),"Check Data ⚠",IF(F215&lt;R215,INDEX('G-6 Hedgerow Data'!$S$3:$AE$14,MATCH(C215,'G-6 Hedgerow Data'!$B$3:$B$14,0),MATCH(M215,'G-6 Hedgerow Data'!$S$2:$AE$2,0)),INDEX('G-6 Hedgerow Data'!$K$3:$Q$14,MATCH(M215,'G-6 Hedgerow Data'!$B$3:$B$14,0),MATCH(O215,'G-6 Hedgerow Data'!$K$2:$Q$2,0)))),"")</f>
        <v/>
      </c>
      <c r="Y215" s="133"/>
      <c r="Z215" s="133"/>
      <c r="AA215" s="283" t="str">
        <f t="shared" si="23"/>
        <v/>
      </c>
      <c r="AB215" s="296" t="str">
        <f t="shared" si="24"/>
        <v/>
      </c>
      <c r="AC215" s="297" t="str">
        <f t="shared" si="21"/>
        <v/>
      </c>
      <c r="AD215" s="311" t="str">
        <f>IF(M215="","",VLOOKUP(M215,'G-6 Hedgerow Data'!$B$3:$AG$15,31,FALSE))</f>
        <v/>
      </c>
      <c r="AE215" s="283" t="str">
        <f t="shared" si="25"/>
        <v/>
      </c>
      <c r="AF215" s="283" t="str">
        <f t="shared" si="26"/>
        <v/>
      </c>
      <c r="AG215" s="299" t="str">
        <f>IFERROR(IF(O215="","",VLOOKUP(AD215,'G-3 Multipliers'!$P$3:$Q$6,2,FALSE)),"")</f>
        <v/>
      </c>
      <c r="AH215" s="289" t="str">
        <f t="shared" si="27"/>
        <v/>
      </c>
      <c r="AI215" s="108"/>
      <c r="AJ215" s="115"/>
      <c r="AK215" s="104"/>
      <c r="AT215" s="30" t="str">
        <f>IFERROR(INDEX('G-6 Hedgerow Data'!$BJ$3:$BJ$15,MATCH(M215,'G-6 Hedgerow Data'!$B$3:$B$15,0)),"")</f>
        <v/>
      </c>
    </row>
    <row r="216" spans="2:46" ht="14">
      <c r="B216" s="305" t="str">
        <f>'B-1 On-Site Hedge Baseline'!AK214</f>
        <v/>
      </c>
      <c r="C216" s="295" t="str">
        <f>IF(B216="","",IF(ISNA(VLOOKUP($B216,'B-1 On-Site Hedge Baseline'!$B$1:$L$257,3,FALSE)),"",(VLOOKUP($B216,'B-1 On-Site Hedge Baseline'!$B$1:$L$257,3,FALSE))))</f>
        <v/>
      </c>
      <c r="D216" s="295" t="str">
        <f>IF(B216="","",IF(ISNA(VLOOKUP($B216,'B-1 On-Site Hedge Baseline'!$B$1:$L$257,4,FALSE)),"",(VLOOKUP($B216,'B-1 On-Site Hedge Baseline'!$B$1:$L$257,4,FALSE))))</f>
        <v/>
      </c>
      <c r="E216" s="295" t="str">
        <f>IF(B216="","",IF(ISNA(VLOOKUP($B216,'B-1 On-Site Hedge Baseline'!$B$1:$L$257,5,FALSE)),"",(VLOOKUP($B216,'B-1 On-Site Hedge Baseline'!$B$1:$L$257,5,FALSE))))</f>
        <v/>
      </c>
      <c r="F216" s="295" t="str">
        <f>IF(B216="","",IF(ISNA(VLOOKUP($B216,'B-1 On-Site Hedge Baseline'!$B$1:$L$257,6,FALSE)),"",(VLOOKUP($B216,'B-1 On-Site Hedge Baseline'!$B$1:$L$257,6,FALSE))))</f>
        <v/>
      </c>
      <c r="G216" s="295" t="str">
        <f>IF(B216="","",IF(ISNA(VLOOKUP($B216,'B-1 On-Site Hedge Baseline'!$B$1:$L$257,7,FALSE)),"",(VLOOKUP($B216,'B-1 On-Site Hedge Baseline'!$B$1:$L$257,7,FALSE))))</f>
        <v/>
      </c>
      <c r="H216" s="295" t="str">
        <f>IF(B216="","",IF(ISNA(VLOOKUP($B216,'B-1 On-Site Hedge Baseline'!$B$1:$L$257,8,FALSE)),"",(VLOOKUP($B216,'B-1 On-Site Hedge Baseline'!$B$1:$L$257,8,FALSE))))</f>
        <v/>
      </c>
      <c r="I216" s="295" t="str">
        <f>IF(B216="","",IF(ISNA(VLOOKUP($B216,'B-1 On-Site Hedge Baseline'!$B$1:$L$257,10,FALSE)),"",(VLOOKUP($B216,'B-1 On-Site Hedge Baseline'!$B$1:$L$257,10,FALSE))))</f>
        <v/>
      </c>
      <c r="J216" s="295" t="str">
        <f>IF(B216="","",IF(ISNA(VLOOKUP($B216,'B-1 On-Site Hedge Baseline'!$B$1:$L$257,11,FALSE)),"",(VLOOKUP($B216,'B-1 On-Site Hedge Baseline'!$B$1:$L$257,11,FALSE))))</f>
        <v/>
      </c>
      <c r="K216" s="295" t="str">
        <f>IF(B216="","",IF(ISNA(VLOOKUP($B216,'B-1 On-Site Hedge Baseline'!$B$1:$U$257,13,FALSE)),"",(VLOOKUP($B216,'B-1 On-Site Hedge Baseline'!$B$1:$U$257,13,FALSE))))</f>
        <v/>
      </c>
      <c r="L216" s="299" t="str">
        <f>IF(B216="","",IF(ISNA(VLOOKUP($B216,'B-1 On-Site Hedge Baseline'!$B$1:$U$257,12,FALSE)),"",(VLOOKUP($B216,'B-1 On-Site Hedge Baseline'!$B$1:$U$257,12,FALSE))))</f>
        <v/>
      </c>
      <c r="M216" s="611"/>
      <c r="N216" s="275" t="str">
        <f>IFERROR(IF(B216="","",INDEX('G-6 Hedgerow Data'!$AN$3:$AZ$15,MATCH(C216,'G-6 Hedgerow Data'!$AM$3:$AM$15,0),MATCH(M216,'G-6 Hedgerow Data'!$AN$2:$AZ$2,0))),"")</f>
        <v/>
      </c>
      <c r="O216" s="276" t="str">
        <f t="shared" si="22"/>
        <v/>
      </c>
      <c r="P216" s="329" t="str">
        <f>IF(B216="","",VLOOKUP(B216,'B-1 On-Site Hedge Baseline'!$B$10:T461,16,FALSE))</f>
        <v/>
      </c>
      <c r="Q216" s="275" t="str">
        <f>IF(M216="","",VLOOKUP(M216,'G-6 Hedgerow Data'!$B$2:$AG$15,2,FALSE))</f>
        <v/>
      </c>
      <c r="R216" s="276" t="str">
        <f>IF(M216="","",VLOOKUP(M216,'G-6 Hedgerow Data'!$B$2:$AG$15,3,FALSE))</f>
        <v/>
      </c>
      <c r="S216" s="108"/>
      <c r="T216" s="314" t="str">
        <f>IFERROR(IF(S216="","",IF(AND(M216="Non-native and ornamental hedgerow",S216&lt;&gt;"Poor"),"Not possible ▲",(VLOOKUP(S216,'G-1 All Habitats'!$Z$2:$AA$9,2,FALSE)))),"")</f>
        <v/>
      </c>
      <c r="U216" s="105"/>
      <c r="V216" s="295" t="str">
        <f>IF(U216="","",IF(VLOOKUP(U216,'G-3 Multipliers'!$L$3:$N$6,2,FALSE)=0,"Spatial Data Missing ⚠",VLOOKUP(U216,'G-3 Multipliers'!$L$3:$N$6,2,FALSE)))</f>
        <v/>
      </c>
      <c r="W216" s="299" t="str">
        <f>IF(U216="","",IF(VLOOKUP(U216,'G-3 Multipliers'!$L$3:$N$6,3,FALSE)=0,"Spatial Data Missing ⚠",VLOOKUP(U216,'G-3 Multipliers'!$L$3:$N$6,3,FALSE)))</f>
        <v/>
      </c>
      <c r="X216" s="275" t="str">
        <f>IFERROR(IF(OR(LEFT(O216,5)="Error",LEFT(N216,5)="Error",T216="Error"),"Check Data ⚠",IF(F216&lt;R216,INDEX('G-6 Hedgerow Data'!$S$3:$AE$14,MATCH(C216,'G-6 Hedgerow Data'!$B$3:$B$14,0),MATCH(M216,'G-6 Hedgerow Data'!$S$2:$AE$2,0)),INDEX('G-6 Hedgerow Data'!$K$3:$Q$14,MATCH(M216,'G-6 Hedgerow Data'!$B$3:$B$14,0),MATCH(O216,'G-6 Hedgerow Data'!$K$2:$Q$2,0)))),"")</f>
        <v/>
      </c>
      <c r="Y216" s="133"/>
      <c r="Z216" s="133"/>
      <c r="AA216" s="283" t="str">
        <f t="shared" si="23"/>
        <v/>
      </c>
      <c r="AB216" s="296" t="str">
        <f t="shared" si="24"/>
        <v/>
      </c>
      <c r="AC216" s="297" t="str">
        <f t="shared" si="21"/>
        <v/>
      </c>
      <c r="AD216" s="311" t="str">
        <f>IF(M216="","",VLOOKUP(M216,'G-6 Hedgerow Data'!$B$3:$AG$15,31,FALSE))</f>
        <v/>
      </c>
      <c r="AE216" s="283" t="str">
        <f t="shared" si="25"/>
        <v/>
      </c>
      <c r="AF216" s="283" t="str">
        <f t="shared" si="26"/>
        <v/>
      </c>
      <c r="AG216" s="299" t="str">
        <f>IFERROR(IF(O216="","",VLOOKUP(AD216,'G-3 Multipliers'!$P$3:$Q$6,2,FALSE)),"")</f>
        <v/>
      </c>
      <c r="AH216" s="289" t="str">
        <f t="shared" si="27"/>
        <v/>
      </c>
      <c r="AI216" s="108"/>
      <c r="AJ216" s="115"/>
      <c r="AK216" s="104"/>
      <c r="AT216" s="30" t="str">
        <f>IFERROR(INDEX('G-6 Hedgerow Data'!$BJ$3:$BJ$15,MATCH(M216,'G-6 Hedgerow Data'!$B$3:$B$15,0)),"")</f>
        <v/>
      </c>
    </row>
    <row r="217" spans="2:46" ht="14">
      <c r="B217" s="305" t="str">
        <f>'B-1 On-Site Hedge Baseline'!AK215</f>
        <v/>
      </c>
      <c r="C217" s="295" t="str">
        <f>IF(B217="","",IF(ISNA(VLOOKUP($B217,'B-1 On-Site Hedge Baseline'!$B$1:$L$257,3,FALSE)),"",(VLOOKUP($B217,'B-1 On-Site Hedge Baseline'!$B$1:$L$257,3,FALSE))))</f>
        <v/>
      </c>
      <c r="D217" s="295" t="str">
        <f>IF(B217="","",IF(ISNA(VLOOKUP($B217,'B-1 On-Site Hedge Baseline'!$B$1:$L$257,4,FALSE)),"",(VLOOKUP($B217,'B-1 On-Site Hedge Baseline'!$B$1:$L$257,4,FALSE))))</f>
        <v/>
      </c>
      <c r="E217" s="295" t="str">
        <f>IF(B217="","",IF(ISNA(VLOOKUP($B217,'B-1 On-Site Hedge Baseline'!$B$1:$L$257,5,FALSE)),"",(VLOOKUP($B217,'B-1 On-Site Hedge Baseline'!$B$1:$L$257,5,FALSE))))</f>
        <v/>
      </c>
      <c r="F217" s="295" t="str">
        <f>IF(B217="","",IF(ISNA(VLOOKUP($B217,'B-1 On-Site Hedge Baseline'!$B$1:$L$257,6,FALSE)),"",(VLOOKUP($B217,'B-1 On-Site Hedge Baseline'!$B$1:$L$257,6,FALSE))))</f>
        <v/>
      </c>
      <c r="G217" s="295" t="str">
        <f>IF(B217="","",IF(ISNA(VLOOKUP($B217,'B-1 On-Site Hedge Baseline'!$B$1:$L$257,7,FALSE)),"",(VLOOKUP($B217,'B-1 On-Site Hedge Baseline'!$B$1:$L$257,7,FALSE))))</f>
        <v/>
      </c>
      <c r="H217" s="295" t="str">
        <f>IF(B217="","",IF(ISNA(VLOOKUP($B217,'B-1 On-Site Hedge Baseline'!$B$1:$L$257,8,FALSE)),"",(VLOOKUP($B217,'B-1 On-Site Hedge Baseline'!$B$1:$L$257,8,FALSE))))</f>
        <v/>
      </c>
      <c r="I217" s="295" t="str">
        <f>IF(B217="","",IF(ISNA(VLOOKUP($B217,'B-1 On-Site Hedge Baseline'!$B$1:$L$257,10,FALSE)),"",(VLOOKUP($B217,'B-1 On-Site Hedge Baseline'!$B$1:$L$257,10,FALSE))))</f>
        <v/>
      </c>
      <c r="J217" s="295" t="str">
        <f>IF(B217="","",IF(ISNA(VLOOKUP($B217,'B-1 On-Site Hedge Baseline'!$B$1:$L$257,11,FALSE)),"",(VLOOKUP($B217,'B-1 On-Site Hedge Baseline'!$B$1:$L$257,11,FALSE))))</f>
        <v/>
      </c>
      <c r="K217" s="295" t="str">
        <f>IF(B217="","",IF(ISNA(VLOOKUP($B217,'B-1 On-Site Hedge Baseline'!$B$1:$U$257,13,FALSE)),"",(VLOOKUP($B217,'B-1 On-Site Hedge Baseline'!$B$1:$U$257,13,FALSE))))</f>
        <v/>
      </c>
      <c r="L217" s="299" t="str">
        <f>IF(B217="","",IF(ISNA(VLOOKUP($B217,'B-1 On-Site Hedge Baseline'!$B$1:$U$257,12,FALSE)),"",(VLOOKUP($B217,'B-1 On-Site Hedge Baseline'!$B$1:$U$257,12,FALSE))))</f>
        <v/>
      </c>
      <c r="M217" s="611"/>
      <c r="N217" s="275" t="str">
        <f>IFERROR(IF(B217="","",INDEX('G-6 Hedgerow Data'!$AN$3:$AZ$15,MATCH(C217,'G-6 Hedgerow Data'!$AM$3:$AM$15,0),MATCH(M217,'G-6 Hedgerow Data'!$AN$2:$AZ$2,0))),"")</f>
        <v/>
      </c>
      <c r="O217" s="276" t="str">
        <f t="shared" si="22"/>
        <v/>
      </c>
      <c r="P217" s="329" t="str">
        <f>IF(B217="","",VLOOKUP(B217,'B-1 On-Site Hedge Baseline'!$B$10:T462,16,FALSE))</f>
        <v/>
      </c>
      <c r="Q217" s="275" t="str">
        <f>IF(M217="","",VLOOKUP(M217,'G-6 Hedgerow Data'!$B$2:$AG$15,2,FALSE))</f>
        <v/>
      </c>
      <c r="R217" s="276" t="str">
        <f>IF(M217="","",VLOOKUP(M217,'G-6 Hedgerow Data'!$B$2:$AG$15,3,FALSE))</f>
        <v/>
      </c>
      <c r="S217" s="108"/>
      <c r="T217" s="314" t="str">
        <f>IFERROR(IF(S217="","",IF(AND(M217="Non-native and ornamental hedgerow",S217&lt;&gt;"Poor"),"Not possible ▲",(VLOOKUP(S217,'G-1 All Habitats'!$Z$2:$AA$9,2,FALSE)))),"")</f>
        <v/>
      </c>
      <c r="U217" s="105"/>
      <c r="V217" s="295" t="str">
        <f>IF(U217="","",IF(VLOOKUP(U217,'G-3 Multipliers'!$L$3:$N$6,2,FALSE)=0,"Spatial Data Missing ⚠",VLOOKUP(U217,'G-3 Multipliers'!$L$3:$N$6,2,FALSE)))</f>
        <v/>
      </c>
      <c r="W217" s="299" t="str">
        <f>IF(U217="","",IF(VLOOKUP(U217,'G-3 Multipliers'!$L$3:$N$6,3,FALSE)=0,"Spatial Data Missing ⚠",VLOOKUP(U217,'G-3 Multipliers'!$L$3:$N$6,3,FALSE)))</f>
        <v/>
      </c>
      <c r="X217" s="275" t="str">
        <f>IFERROR(IF(OR(LEFT(O217,5)="Error",LEFT(N217,5)="Error",T217="Error"),"Check Data ⚠",IF(F217&lt;R217,INDEX('G-6 Hedgerow Data'!$S$3:$AE$14,MATCH(C217,'G-6 Hedgerow Data'!$B$3:$B$14,0),MATCH(M217,'G-6 Hedgerow Data'!$S$2:$AE$2,0)),INDEX('G-6 Hedgerow Data'!$K$3:$Q$14,MATCH(M217,'G-6 Hedgerow Data'!$B$3:$B$14,0),MATCH(O217,'G-6 Hedgerow Data'!$K$2:$Q$2,0)))),"")</f>
        <v/>
      </c>
      <c r="Y217" s="133"/>
      <c r="Z217" s="133"/>
      <c r="AA217" s="283" t="str">
        <f t="shared" si="23"/>
        <v/>
      </c>
      <c r="AB217" s="296" t="str">
        <f t="shared" si="24"/>
        <v/>
      </c>
      <c r="AC217" s="297" t="str">
        <f t="shared" si="21"/>
        <v/>
      </c>
      <c r="AD217" s="311" t="str">
        <f>IF(M217="","",VLOOKUP(M217,'G-6 Hedgerow Data'!$B$3:$AG$15,31,FALSE))</f>
        <v/>
      </c>
      <c r="AE217" s="283" t="str">
        <f t="shared" si="25"/>
        <v/>
      </c>
      <c r="AF217" s="283" t="str">
        <f t="shared" si="26"/>
        <v/>
      </c>
      <c r="AG217" s="299" t="str">
        <f>IFERROR(IF(O217="","",VLOOKUP(AD217,'G-3 Multipliers'!$P$3:$Q$6,2,FALSE)),"")</f>
        <v/>
      </c>
      <c r="AH217" s="289" t="str">
        <f t="shared" si="27"/>
        <v/>
      </c>
      <c r="AI217" s="108"/>
      <c r="AJ217" s="115"/>
      <c r="AK217" s="104"/>
      <c r="AT217" s="30" t="str">
        <f>IFERROR(INDEX('G-6 Hedgerow Data'!$BJ$3:$BJ$15,MATCH(M217,'G-6 Hedgerow Data'!$B$3:$B$15,0)),"")</f>
        <v/>
      </c>
    </row>
    <row r="218" spans="2:46" ht="14">
      <c r="B218" s="305" t="str">
        <f>'B-1 On-Site Hedge Baseline'!AK216</f>
        <v/>
      </c>
      <c r="C218" s="295" t="str">
        <f>IF(B218="","",IF(ISNA(VLOOKUP($B218,'B-1 On-Site Hedge Baseline'!$B$1:$L$257,3,FALSE)),"",(VLOOKUP($B218,'B-1 On-Site Hedge Baseline'!$B$1:$L$257,3,FALSE))))</f>
        <v/>
      </c>
      <c r="D218" s="295" t="str">
        <f>IF(B218="","",IF(ISNA(VLOOKUP($B218,'B-1 On-Site Hedge Baseline'!$B$1:$L$257,4,FALSE)),"",(VLOOKUP($B218,'B-1 On-Site Hedge Baseline'!$B$1:$L$257,4,FALSE))))</f>
        <v/>
      </c>
      <c r="E218" s="295" t="str">
        <f>IF(B218="","",IF(ISNA(VLOOKUP($B218,'B-1 On-Site Hedge Baseline'!$B$1:$L$257,5,FALSE)),"",(VLOOKUP($B218,'B-1 On-Site Hedge Baseline'!$B$1:$L$257,5,FALSE))))</f>
        <v/>
      </c>
      <c r="F218" s="295" t="str">
        <f>IF(B218="","",IF(ISNA(VLOOKUP($B218,'B-1 On-Site Hedge Baseline'!$B$1:$L$257,6,FALSE)),"",(VLOOKUP($B218,'B-1 On-Site Hedge Baseline'!$B$1:$L$257,6,FALSE))))</f>
        <v/>
      </c>
      <c r="G218" s="295" t="str">
        <f>IF(B218="","",IF(ISNA(VLOOKUP($B218,'B-1 On-Site Hedge Baseline'!$B$1:$L$257,7,FALSE)),"",(VLOOKUP($B218,'B-1 On-Site Hedge Baseline'!$B$1:$L$257,7,FALSE))))</f>
        <v/>
      </c>
      <c r="H218" s="295" t="str">
        <f>IF(B218="","",IF(ISNA(VLOOKUP($B218,'B-1 On-Site Hedge Baseline'!$B$1:$L$257,8,FALSE)),"",(VLOOKUP($B218,'B-1 On-Site Hedge Baseline'!$B$1:$L$257,8,FALSE))))</f>
        <v/>
      </c>
      <c r="I218" s="295" t="str">
        <f>IF(B218="","",IF(ISNA(VLOOKUP($B218,'B-1 On-Site Hedge Baseline'!$B$1:$L$257,10,FALSE)),"",(VLOOKUP($B218,'B-1 On-Site Hedge Baseline'!$B$1:$L$257,10,FALSE))))</f>
        <v/>
      </c>
      <c r="J218" s="295" t="str">
        <f>IF(B218="","",IF(ISNA(VLOOKUP($B218,'B-1 On-Site Hedge Baseline'!$B$1:$L$257,11,FALSE)),"",(VLOOKUP($B218,'B-1 On-Site Hedge Baseline'!$B$1:$L$257,11,FALSE))))</f>
        <v/>
      </c>
      <c r="K218" s="295" t="str">
        <f>IF(B218="","",IF(ISNA(VLOOKUP($B218,'B-1 On-Site Hedge Baseline'!$B$1:$U$257,13,FALSE)),"",(VLOOKUP($B218,'B-1 On-Site Hedge Baseline'!$B$1:$U$257,13,FALSE))))</f>
        <v/>
      </c>
      <c r="L218" s="299" t="str">
        <f>IF(B218="","",IF(ISNA(VLOOKUP($B218,'B-1 On-Site Hedge Baseline'!$B$1:$U$257,12,FALSE)),"",(VLOOKUP($B218,'B-1 On-Site Hedge Baseline'!$B$1:$U$257,12,FALSE))))</f>
        <v/>
      </c>
      <c r="M218" s="611"/>
      <c r="N218" s="275" t="str">
        <f>IFERROR(IF(B218="","",INDEX('G-6 Hedgerow Data'!$AN$3:$AZ$15,MATCH(C218,'G-6 Hedgerow Data'!$AM$3:$AM$15,0),MATCH(M218,'G-6 Hedgerow Data'!$AN$2:$AZ$2,0))),"")</f>
        <v/>
      </c>
      <c r="O218" s="276" t="str">
        <f t="shared" si="22"/>
        <v/>
      </c>
      <c r="P218" s="329" t="str">
        <f>IF(B218="","",VLOOKUP(B218,'B-1 On-Site Hedge Baseline'!$B$10:T463,16,FALSE))</f>
        <v/>
      </c>
      <c r="Q218" s="275" t="str">
        <f>IF(M218="","",VLOOKUP(M218,'G-6 Hedgerow Data'!$B$2:$AG$15,2,FALSE))</f>
        <v/>
      </c>
      <c r="R218" s="276" t="str">
        <f>IF(M218="","",VLOOKUP(M218,'G-6 Hedgerow Data'!$B$2:$AG$15,3,FALSE))</f>
        <v/>
      </c>
      <c r="S218" s="108"/>
      <c r="T218" s="314" t="str">
        <f>IFERROR(IF(S218="","",IF(AND(M218="Non-native and ornamental hedgerow",S218&lt;&gt;"Poor"),"Not possible ▲",(VLOOKUP(S218,'G-1 All Habitats'!$Z$2:$AA$9,2,FALSE)))),"")</f>
        <v/>
      </c>
      <c r="U218" s="105"/>
      <c r="V218" s="295" t="str">
        <f>IF(U218="","",IF(VLOOKUP(U218,'G-3 Multipliers'!$L$3:$N$6,2,FALSE)=0,"Spatial Data Missing ⚠",VLOOKUP(U218,'G-3 Multipliers'!$L$3:$N$6,2,FALSE)))</f>
        <v/>
      </c>
      <c r="W218" s="299" t="str">
        <f>IF(U218="","",IF(VLOOKUP(U218,'G-3 Multipliers'!$L$3:$N$6,3,FALSE)=0,"Spatial Data Missing ⚠",VLOOKUP(U218,'G-3 Multipliers'!$L$3:$N$6,3,FALSE)))</f>
        <v/>
      </c>
      <c r="X218" s="275" t="str">
        <f>IFERROR(IF(OR(LEFT(O218,5)="Error",LEFT(N218,5)="Error",T218="Error"),"Check Data ⚠",IF(F218&lt;R218,INDEX('G-6 Hedgerow Data'!$S$3:$AE$14,MATCH(C218,'G-6 Hedgerow Data'!$B$3:$B$14,0),MATCH(M218,'G-6 Hedgerow Data'!$S$2:$AE$2,0)),INDEX('G-6 Hedgerow Data'!$K$3:$Q$14,MATCH(M218,'G-6 Hedgerow Data'!$B$3:$B$14,0),MATCH(O218,'G-6 Hedgerow Data'!$K$2:$Q$2,0)))),"")</f>
        <v/>
      </c>
      <c r="Y218" s="133"/>
      <c r="Z218" s="133"/>
      <c r="AA218" s="283" t="str">
        <f t="shared" si="23"/>
        <v/>
      </c>
      <c r="AB218" s="296" t="str">
        <f t="shared" si="24"/>
        <v/>
      </c>
      <c r="AC218" s="297" t="str">
        <f t="shared" si="21"/>
        <v/>
      </c>
      <c r="AD218" s="311" t="str">
        <f>IF(M218="","",VLOOKUP(M218,'G-6 Hedgerow Data'!$B$3:$AG$15,31,FALSE))</f>
        <v/>
      </c>
      <c r="AE218" s="283" t="str">
        <f t="shared" si="25"/>
        <v/>
      </c>
      <c r="AF218" s="283" t="str">
        <f t="shared" si="26"/>
        <v/>
      </c>
      <c r="AG218" s="299" t="str">
        <f>IFERROR(IF(O218="","",VLOOKUP(AD218,'G-3 Multipliers'!$P$3:$Q$6,2,FALSE)),"")</f>
        <v/>
      </c>
      <c r="AH218" s="289" t="str">
        <f t="shared" si="27"/>
        <v/>
      </c>
      <c r="AI218" s="108"/>
      <c r="AJ218" s="115"/>
      <c r="AK218" s="104"/>
      <c r="AT218" s="30" t="str">
        <f>IFERROR(INDEX('G-6 Hedgerow Data'!$BJ$3:$BJ$15,MATCH(M218,'G-6 Hedgerow Data'!$B$3:$B$15,0)),"")</f>
        <v/>
      </c>
    </row>
    <row r="219" spans="2:46" ht="14">
      <c r="B219" s="305" t="str">
        <f>'B-1 On-Site Hedge Baseline'!AK217</f>
        <v/>
      </c>
      <c r="C219" s="295" t="str">
        <f>IF(B219="","",IF(ISNA(VLOOKUP($B219,'B-1 On-Site Hedge Baseline'!$B$1:$L$257,3,FALSE)),"",(VLOOKUP($B219,'B-1 On-Site Hedge Baseline'!$B$1:$L$257,3,FALSE))))</f>
        <v/>
      </c>
      <c r="D219" s="295" t="str">
        <f>IF(B219="","",IF(ISNA(VLOOKUP($B219,'B-1 On-Site Hedge Baseline'!$B$1:$L$257,4,FALSE)),"",(VLOOKUP($B219,'B-1 On-Site Hedge Baseline'!$B$1:$L$257,4,FALSE))))</f>
        <v/>
      </c>
      <c r="E219" s="295" t="str">
        <f>IF(B219="","",IF(ISNA(VLOOKUP($B219,'B-1 On-Site Hedge Baseline'!$B$1:$L$257,5,FALSE)),"",(VLOOKUP($B219,'B-1 On-Site Hedge Baseline'!$B$1:$L$257,5,FALSE))))</f>
        <v/>
      </c>
      <c r="F219" s="295" t="str">
        <f>IF(B219="","",IF(ISNA(VLOOKUP($B219,'B-1 On-Site Hedge Baseline'!$B$1:$L$257,6,FALSE)),"",(VLOOKUP($B219,'B-1 On-Site Hedge Baseline'!$B$1:$L$257,6,FALSE))))</f>
        <v/>
      </c>
      <c r="G219" s="295" t="str">
        <f>IF(B219="","",IF(ISNA(VLOOKUP($B219,'B-1 On-Site Hedge Baseline'!$B$1:$L$257,7,FALSE)),"",(VLOOKUP($B219,'B-1 On-Site Hedge Baseline'!$B$1:$L$257,7,FALSE))))</f>
        <v/>
      </c>
      <c r="H219" s="295" t="str">
        <f>IF(B219="","",IF(ISNA(VLOOKUP($B219,'B-1 On-Site Hedge Baseline'!$B$1:$L$257,8,FALSE)),"",(VLOOKUP($B219,'B-1 On-Site Hedge Baseline'!$B$1:$L$257,8,FALSE))))</f>
        <v/>
      </c>
      <c r="I219" s="295" t="str">
        <f>IF(B219="","",IF(ISNA(VLOOKUP($B219,'B-1 On-Site Hedge Baseline'!$B$1:$L$257,10,FALSE)),"",(VLOOKUP($B219,'B-1 On-Site Hedge Baseline'!$B$1:$L$257,10,FALSE))))</f>
        <v/>
      </c>
      <c r="J219" s="295" t="str">
        <f>IF(B219="","",IF(ISNA(VLOOKUP($B219,'B-1 On-Site Hedge Baseline'!$B$1:$L$257,11,FALSE)),"",(VLOOKUP($B219,'B-1 On-Site Hedge Baseline'!$B$1:$L$257,11,FALSE))))</f>
        <v/>
      </c>
      <c r="K219" s="295" t="str">
        <f>IF(B219="","",IF(ISNA(VLOOKUP($B219,'B-1 On-Site Hedge Baseline'!$B$1:$U$257,13,FALSE)),"",(VLOOKUP($B219,'B-1 On-Site Hedge Baseline'!$B$1:$U$257,13,FALSE))))</f>
        <v/>
      </c>
      <c r="L219" s="299" t="str">
        <f>IF(B219="","",IF(ISNA(VLOOKUP($B219,'B-1 On-Site Hedge Baseline'!$B$1:$U$257,12,FALSE)),"",(VLOOKUP($B219,'B-1 On-Site Hedge Baseline'!$B$1:$U$257,12,FALSE))))</f>
        <v/>
      </c>
      <c r="M219" s="611"/>
      <c r="N219" s="275" t="str">
        <f>IFERROR(IF(B219="","",INDEX('G-6 Hedgerow Data'!$AN$3:$AZ$15,MATCH(C219,'G-6 Hedgerow Data'!$AM$3:$AM$15,0),MATCH(M219,'G-6 Hedgerow Data'!$AN$2:$AZ$2,0))),"")</f>
        <v/>
      </c>
      <c r="O219" s="276" t="str">
        <f t="shared" si="22"/>
        <v/>
      </c>
      <c r="P219" s="329" t="str">
        <f>IF(B219="","",VLOOKUP(B219,'B-1 On-Site Hedge Baseline'!$B$10:T464,16,FALSE))</f>
        <v/>
      </c>
      <c r="Q219" s="275" t="str">
        <f>IF(M219="","",VLOOKUP(M219,'G-6 Hedgerow Data'!$B$2:$AG$15,2,FALSE))</f>
        <v/>
      </c>
      <c r="R219" s="276" t="str">
        <f>IF(M219="","",VLOOKUP(M219,'G-6 Hedgerow Data'!$B$2:$AG$15,3,FALSE))</f>
        <v/>
      </c>
      <c r="S219" s="108"/>
      <c r="T219" s="314" t="str">
        <f>IFERROR(IF(S219="","",IF(AND(M219="Non-native and ornamental hedgerow",S219&lt;&gt;"Poor"),"Not possible ▲",(VLOOKUP(S219,'G-1 All Habitats'!$Z$2:$AA$9,2,FALSE)))),"")</f>
        <v/>
      </c>
      <c r="U219" s="105"/>
      <c r="V219" s="295" t="str">
        <f>IF(U219="","",IF(VLOOKUP(U219,'G-3 Multipliers'!$L$3:$N$6,2,FALSE)=0,"Spatial Data Missing ⚠",VLOOKUP(U219,'G-3 Multipliers'!$L$3:$N$6,2,FALSE)))</f>
        <v/>
      </c>
      <c r="W219" s="299" t="str">
        <f>IF(U219="","",IF(VLOOKUP(U219,'G-3 Multipliers'!$L$3:$N$6,3,FALSE)=0,"Spatial Data Missing ⚠",VLOOKUP(U219,'G-3 Multipliers'!$L$3:$N$6,3,FALSE)))</f>
        <v/>
      </c>
      <c r="X219" s="275" t="str">
        <f>IFERROR(IF(OR(LEFT(O219,5)="Error",LEFT(N219,5)="Error",T219="Error"),"Check Data ⚠",IF(F219&lt;R219,INDEX('G-6 Hedgerow Data'!$S$3:$AE$14,MATCH(C219,'G-6 Hedgerow Data'!$B$3:$B$14,0),MATCH(M219,'G-6 Hedgerow Data'!$S$2:$AE$2,0)),INDEX('G-6 Hedgerow Data'!$K$3:$Q$14,MATCH(M219,'G-6 Hedgerow Data'!$B$3:$B$14,0),MATCH(O219,'G-6 Hedgerow Data'!$K$2:$Q$2,0)))),"")</f>
        <v/>
      </c>
      <c r="Y219" s="133"/>
      <c r="Z219" s="133"/>
      <c r="AA219" s="283" t="str">
        <f t="shared" si="23"/>
        <v/>
      </c>
      <c r="AB219" s="296" t="str">
        <f t="shared" si="24"/>
        <v/>
      </c>
      <c r="AC219" s="297" t="str">
        <f t="shared" si="21"/>
        <v/>
      </c>
      <c r="AD219" s="311" t="str">
        <f>IF(M219="","",VLOOKUP(M219,'G-6 Hedgerow Data'!$B$3:$AG$15,31,FALSE))</f>
        <v/>
      </c>
      <c r="AE219" s="283" t="str">
        <f t="shared" si="25"/>
        <v/>
      </c>
      <c r="AF219" s="283" t="str">
        <f t="shared" si="26"/>
        <v/>
      </c>
      <c r="AG219" s="299" t="str">
        <f>IFERROR(IF(O219="","",VLOOKUP(AD219,'G-3 Multipliers'!$P$3:$Q$6,2,FALSE)),"")</f>
        <v/>
      </c>
      <c r="AH219" s="289" t="str">
        <f t="shared" si="27"/>
        <v/>
      </c>
      <c r="AI219" s="108"/>
      <c r="AJ219" s="115"/>
      <c r="AK219" s="104"/>
      <c r="AT219" s="30" t="str">
        <f>IFERROR(INDEX('G-6 Hedgerow Data'!$BJ$3:$BJ$15,MATCH(M219,'G-6 Hedgerow Data'!$B$3:$B$15,0)),"")</f>
        <v/>
      </c>
    </row>
    <row r="220" spans="2:46" ht="14">
      <c r="B220" s="305" t="str">
        <f>'B-1 On-Site Hedge Baseline'!AK218</f>
        <v/>
      </c>
      <c r="C220" s="295" t="str">
        <f>IF(B220="","",IF(ISNA(VLOOKUP($B220,'B-1 On-Site Hedge Baseline'!$B$1:$L$257,3,FALSE)),"",(VLOOKUP($B220,'B-1 On-Site Hedge Baseline'!$B$1:$L$257,3,FALSE))))</f>
        <v/>
      </c>
      <c r="D220" s="295" t="str">
        <f>IF(B220="","",IF(ISNA(VLOOKUP($B220,'B-1 On-Site Hedge Baseline'!$B$1:$L$257,4,FALSE)),"",(VLOOKUP($B220,'B-1 On-Site Hedge Baseline'!$B$1:$L$257,4,FALSE))))</f>
        <v/>
      </c>
      <c r="E220" s="295" t="str">
        <f>IF(B220="","",IF(ISNA(VLOOKUP($B220,'B-1 On-Site Hedge Baseline'!$B$1:$L$257,5,FALSE)),"",(VLOOKUP($B220,'B-1 On-Site Hedge Baseline'!$B$1:$L$257,5,FALSE))))</f>
        <v/>
      </c>
      <c r="F220" s="295" t="str">
        <f>IF(B220="","",IF(ISNA(VLOOKUP($B220,'B-1 On-Site Hedge Baseline'!$B$1:$L$257,6,FALSE)),"",(VLOOKUP($B220,'B-1 On-Site Hedge Baseline'!$B$1:$L$257,6,FALSE))))</f>
        <v/>
      </c>
      <c r="G220" s="295" t="str">
        <f>IF(B220="","",IF(ISNA(VLOOKUP($B220,'B-1 On-Site Hedge Baseline'!$B$1:$L$257,7,FALSE)),"",(VLOOKUP($B220,'B-1 On-Site Hedge Baseline'!$B$1:$L$257,7,FALSE))))</f>
        <v/>
      </c>
      <c r="H220" s="295" t="str">
        <f>IF(B220="","",IF(ISNA(VLOOKUP($B220,'B-1 On-Site Hedge Baseline'!$B$1:$L$257,8,FALSE)),"",(VLOOKUP($B220,'B-1 On-Site Hedge Baseline'!$B$1:$L$257,8,FALSE))))</f>
        <v/>
      </c>
      <c r="I220" s="295" t="str">
        <f>IF(B220="","",IF(ISNA(VLOOKUP($B220,'B-1 On-Site Hedge Baseline'!$B$1:$L$257,10,FALSE)),"",(VLOOKUP($B220,'B-1 On-Site Hedge Baseline'!$B$1:$L$257,10,FALSE))))</f>
        <v/>
      </c>
      <c r="J220" s="295" t="str">
        <f>IF(B220="","",IF(ISNA(VLOOKUP($B220,'B-1 On-Site Hedge Baseline'!$B$1:$L$257,11,FALSE)),"",(VLOOKUP($B220,'B-1 On-Site Hedge Baseline'!$B$1:$L$257,11,FALSE))))</f>
        <v/>
      </c>
      <c r="K220" s="295" t="str">
        <f>IF(B220="","",IF(ISNA(VLOOKUP($B220,'B-1 On-Site Hedge Baseline'!$B$1:$U$257,13,FALSE)),"",(VLOOKUP($B220,'B-1 On-Site Hedge Baseline'!$B$1:$U$257,13,FALSE))))</f>
        <v/>
      </c>
      <c r="L220" s="299" t="str">
        <f>IF(B220="","",IF(ISNA(VLOOKUP($B220,'B-1 On-Site Hedge Baseline'!$B$1:$U$257,12,FALSE)),"",(VLOOKUP($B220,'B-1 On-Site Hedge Baseline'!$B$1:$U$257,12,FALSE))))</f>
        <v/>
      </c>
      <c r="M220" s="611"/>
      <c r="N220" s="275" t="str">
        <f>IFERROR(IF(B220="","",INDEX('G-6 Hedgerow Data'!$AN$3:$AZ$15,MATCH(C220,'G-6 Hedgerow Data'!$AM$3:$AM$15,0),MATCH(M220,'G-6 Hedgerow Data'!$AN$2:$AZ$2,0))),"")</f>
        <v/>
      </c>
      <c r="O220" s="276" t="str">
        <f t="shared" si="22"/>
        <v/>
      </c>
      <c r="P220" s="329" t="str">
        <f>IF(B220="","",VLOOKUP(B220,'B-1 On-Site Hedge Baseline'!$B$10:T465,16,FALSE))</f>
        <v/>
      </c>
      <c r="Q220" s="275" t="str">
        <f>IF(M220="","",VLOOKUP(M220,'G-6 Hedgerow Data'!$B$2:$AG$15,2,FALSE))</f>
        <v/>
      </c>
      <c r="R220" s="276" t="str">
        <f>IF(M220="","",VLOOKUP(M220,'G-6 Hedgerow Data'!$B$2:$AG$15,3,FALSE))</f>
        <v/>
      </c>
      <c r="S220" s="108"/>
      <c r="T220" s="314" t="str">
        <f>IFERROR(IF(S220="","",IF(AND(M220="Non-native and ornamental hedgerow",S220&lt;&gt;"Poor"),"Not possible ▲",(VLOOKUP(S220,'G-1 All Habitats'!$Z$2:$AA$9,2,FALSE)))),"")</f>
        <v/>
      </c>
      <c r="U220" s="105"/>
      <c r="V220" s="295" t="str">
        <f>IF(U220="","",IF(VLOOKUP(U220,'G-3 Multipliers'!$L$3:$N$6,2,FALSE)=0,"Spatial Data Missing ⚠",VLOOKUP(U220,'G-3 Multipliers'!$L$3:$N$6,2,FALSE)))</f>
        <v/>
      </c>
      <c r="W220" s="299" t="str">
        <f>IF(U220="","",IF(VLOOKUP(U220,'G-3 Multipliers'!$L$3:$N$6,3,FALSE)=0,"Spatial Data Missing ⚠",VLOOKUP(U220,'G-3 Multipliers'!$L$3:$N$6,3,FALSE)))</f>
        <v/>
      </c>
      <c r="X220" s="275" t="str">
        <f>IFERROR(IF(OR(LEFT(O220,5)="Error",LEFT(N220,5)="Error",T220="Error"),"Check Data ⚠",IF(F220&lt;R220,INDEX('G-6 Hedgerow Data'!$S$3:$AE$14,MATCH(C220,'G-6 Hedgerow Data'!$B$3:$B$14,0),MATCH(M220,'G-6 Hedgerow Data'!$S$2:$AE$2,0)),INDEX('G-6 Hedgerow Data'!$K$3:$Q$14,MATCH(M220,'G-6 Hedgerow Data'!$B$3:$B$14,0),MATCH(O220,'G-6 Hedgerow Data'!$K$2:$Q$2,0)))),"")</f>
        <v/>
      </c>
      <c r="Y220" s="133"/>
      <c r="Z220" s="133"/>
      <c r="AA220" s="283" t="str">
        <f t="shared" si="23"/>
        <v/>
      </c>
      <c r="AB220" s="296" t="str">
        <f t="shared" si="24"/>
        <v/>
      </c>
      <c r="AC220" s="297" t="str">
        <f t="shared" si="21"/>
        <v/>
      </c>
      <c r="AD220" s="311" t="str">
        <f>IF(M220="","",VLOOKUP(M220,'G-6 Hedgerow Data'!$B$3:$AG$15,31,FALSE))</f>
        <v/>
      </c>
      <c r="AE220" s="283" t="str">
        <f t="shared" si="25"/>
        <v/>
      </c>
      <c r="AF220" s="283" t="str">
        <f t="shared" si="26"/>
        <v/>
      </c>
      <c r="AG220" s="299" t="str">
        <f>IFERROR(IF(O220="","",VLOOKUP(AD220,'G-3 Multipliers'!$P$3:$Q$6,2,FALSE)),"")</f>
        <v/>
      </c>
      <c r="AH220" s="289" t="str">
        <f t="shared" si="27"/>
        <v/>
      </c>
      <c r="AI220" s="108"/>
      <c r="AJ220" s="115"/>
      <c r="AK220" s="104"/>
      <c r="AT220" s="30" t="str">
        <f>IFERROR(INDEX('G-6 Hedgerow Data'!$BJ$3:$BJ$15,MATCH(M220,'G-6 Hedgerow Data'!$B$3:$B$15,0)),"")</f>
        <v/>
      </c>
    </row>
    <row r="221" spans="2:46" ht="14">
      <c r="B221" s="305" t="str">
        <f>'B-1 On-Site Hedge Baseline'!AK219</f>
        <v/>
      </c>
      <c r="C221" s="295" t="str">
        <f>IF(B221="","",IF(ISNA(VLOOKUP($B221,'B-1 On-Site Hedge Baseline'!$B$1:$L$257,3,FALSE)),"",(VLOOKUP($B221,'B-1 On-Site Hedge Baseline'!$B$1:$L$257,3,FALSE))))</f>
        <v/>
      </c>
      <c r="D221" s="295" t="str">
        <f>IF(B221="","",IF(ISNA(VLOOKUP($B221,'B-1 On-Site Hedge Baseline'!$B$1:$L$257,4,FALSE)),"",(VLOOKUP($B221,'B-1 On-Site Hedge Baseline'!$B$1:$L$257,4,FALSE))))</f>
        <v/>
      </c>
      <c r="E221" s="295" t="str">
        <f>IF(B221="","",IF(ISNA(VLOOKUP($B221,'B-1 On-Site Hedge Baseline'!$B$1:$L$257,5,FALSE)),"",(VLOOKUP($B221,'B-1 On-Site Hedge Baseline'!$B$1:$L$257,5,FALSE))))</f>
        <v/>
      </c>
      <c r="F221" s="295" t="str">
        <f>IF(B221="","",IF(ISNA(VLOOKUP($B221,'B-1 On-Site Hedge Baseline'!$B$1:$L$257,6,FALSE)),"",(VLOOKUP($B221,'B-1 On-Site Hedge Baseline'!$B$1:$L$257,6,FALSE))))</f>
        <v/>
      </c>
      <c r="G221" s="295" t="str">
        <f>IF(B221="","",IF(ISNA(VLOOKUP($B221,'B-1 On-Site Hedge Baseline'!$B$1:$L$257,7,FALSE)),"",(VLOOKUP($B221,'B-1 On-Site Hedge Baseline'!$B$1:$L$257,7,FALSE))))</f>
        <v/>
      </c>
      <c r="H221" s="295" t="str">
        <f>IF(B221="","",IF(ISNA(VLOOKUP($B221,'B-1 On-Site Hedge Baseline'!$B$1:$L$257,8,FALSE)),"",(VLOOKUP($B221,'B-1 On-Site Hedge Baseline'!$B$1:$L$257,8,FALSE))))</f>
        <v/>
      </c>
      <c r="I221" s="295" t="str">
        <f>IF(B221="","",IF(ISNA(VLOOKUP($B221,'B-1 On-Site Hedge Baseline'!$B$1:$L$257,10,FALSE)),"",(VLOOKUP($B221,'B-1 On-Site Hedge Baseline'!$B$1:$L$257,10,FALSE))))</f>
        <v/>
      </c>
      <c r="J221" s="295" t="str">
        <f>IF(B221="","",IF(ISNA(VLOOKUP($B221,'B-1 On-Site Hedge Baseline'!$B$1:$L$257,11,FALSE)),"",(VLOOKUP($B221,'B-1 On-Site Hedge Baseline'!$B$1:$L$257,11,FALSE))))</f>
        <v/>
      </c>
      <c r="K221" s="295" t="str">
        <f>IF(B221="","",IF(ISNA(VLOOKUP($B221,'B-1 On-Site Hedge Baseline'!$B$1:$U$257,13,FALSE)),"",(VLOOKUP($B221,'B-1 On-Site Hedge Baseline'!$B$1:$U$257,13,FALSE))))</f>
        <v/>
      </c>
      <c r="L221" s="299" t="str">
        <f>IF(B221="","",IF(ISNA(VLOOKUP($B221,'B-1 On-Site Hedge Baseline'!$B$1:$U$257,12,FALSE)),"",(VLOOKUP($B221,'B-1 On-Site Hedge Baseline'!$B$1:$U$257,12,FALSE))))</f>
        <v/>
      </c>
      <c r="M221" s="611"/>
      <c r="N221" s="275" t="str">
        <f>IFERROR(IF(B221="","",INDEX('G-6 Hedgerow Data'!$AN$3:$AZ$15,MATCH(C221,'G-6 Hedgerow Data'!$AM$3:$AM$15,0),MATCH(M221,'G-6 Hedgerow Data'!$AN$2:$AZ$2,0))),"")</f>
        <v/>
      </c>
      <c r="O221" s="276" t="str">
        <f t="shared" si="22"/>
        <v/>
      </c>
      <c r="P221" s="329" t="str">
        <f>IF(B221="","",VLOOKUP(B221,'B-1 On-Site Hedge Baseline'!$B$10:T466,16,FALSE))</f>
        <v/>
      </c>
      <c r="Q221" s="275" t="str">
        <f>IF(M221="","",VLOOKUP(M221,'G-6 Hedgerow Data'!$B$2:$AG$15,2,FALSE))</f>
        <v/>
      </c>
      <c r="R221" s="276" t="str">
        <f>IF(M221="","",VLOOKUP(M221,'G-6 Hedgerow Data'!$B$2:$AG$15,3,FALSE))</f>
        <v/>
      </c>
      <c r="S221" s="108"/>
      <c r="T221" s="314" t="str">
        <f>IFERROR(IF(S221="","",IF(AND(M221="Non-native and ornamental hedgerow",S221&lt;&gt;"Poor"),"Not possible ▲",(VLOOKUP(S221,'G-1 All Habitats'!$Z$2:$AA$9,2,FALSE)))),"")</f>
        <v/>
      </c>
      <c r="U221" s="105"/>
      <c r="V221" s="295" t="str">
        <f>IF(U221="","",IF(VLOOKUP(U221,'G-3 Multipliers'!$L$3:$N$6,2,FALSE)=0,"Spatial Data Missing ⚠",VLOOKUP(U221,'G-3 Multipliers'!$L$3:$N$6,2,FALSE)))</f>
        <v/>
      </c>
      <c r="W221" s="299" t="str">
        <f>IF(U221="","",IF(VLOOKUP(U221,'G-3 Multipliers'!$L$3:$N$6,3,FALSE)=0,"Spatial Data Missing ⚠",VLOOKUP(U221,'G-3 Multipliers'!$L$3:$N$6,3,FALSE)))</f>
        <v/>
      </c>
      <c r="X221" s="275" t="str">
        <f>IFERROR(IF(OR(LEFT(O221,5)="Error",LEFT(N221,5)="Error",T221="Error"),"Check Data ⚠",IF(F221&lt;R221,INDEX('G-6 Hedgerow Data'!$S$3:$AE$14,MATCH(C221,'G-6 Hedgerow Data'!$B$3:$B$14,0),MATCH(M221,'G-6 Hedgerow Data'!$S$2:$AE$2,0)),INDEX('G-6 Hedgerow Data'!$K$3:$Q$14,MATCH(M221,'G-6 Hedgerow Data'!$B$3:$B$14,0),MATCH(O221,'G-6 Hedgerow Data'!$K$2:$Q$2,0)))),"")</f>
        <v/>
      </c>
      <c r="Y221" s="133"/>
      <c r="Z221" s="133"/>
      <c r="AA221" s="283" t="str">
        <f t="shared" si="23"/>
        <v/>
      </c>
      <c r="AB221" s="296" t="str">
        <f t="shared" si="24"/>
        <v/>
      </c>
      <c r="AC221" s="297" t="str">
        <f t="shared" si="21"/>
        <v/>
      </c>
      <c r="AD221" s="311" t="str">
        <f>IF(M221="","",VLOOKUP(M221,'G-6 Hedgerow Data'!$B$3:$AG$15,31,FALSE))</f>
        <v/>
      </c>
      <c r="AE221" s="283" t="str">
        <f t="shared" si="25"/>
        <v/>
      </c>
      <c r="AF221" s="283" t="str">
        <f t="shared" si="26"/>
        <v/>
      </c>
      <c r="AG221" s="299" t="str">
        <f>IFERROR(IF(O221="","",VLOOKUP(AD221,'G-3 Multipliers'!$P$3:$Q$6,2,FALSE)),"")</f>
        <v/>
      </c>
      <c r="AH221" s="289" t="str">
        <f t="shared" si="27"/>
        <v/>
      </c>
      <c r="AI221" s="108"/>
      <c r="AJ221" s="115"/>
      <c r="AK221" s="104"/>
      <c r="AT221" s="30" t="str">
        <f>IFERROR(INDEX('G-6 Hedgerow Data'!$BJ$3:$BJ$15,MATCH(M221,'G-6 Hedgerow Data'!$B$3:$B$15,0)),"")</f>
        <v/>
      </c>
    </row>
    <row r="222" spans="2:46" ht="14">
      <c r="B222" s="305" t="str">
        <f>'B-1 On-Site Hedge Baseline'!AK220</f>
        <v/>
      </c>
      <c r="C222" s="295" t="str">
        <f>IF(B222="","",IF(ISNA(VLOOKUP($B222,'B-1 On-Site Hedge Baseline'!$B$1:$L$257,3,FALSE)),"",(VLOOKUP($B222,'B-1 On-Site Hedge Baseline'!$B$1:$L$257,3,FALSE))))</f>
        <v/>
      </c>
      <c r="D222" s="295" t="str">
        <f>IF(B222="","",IF(ISNA(VLOOKUP($B222,'B-1 On-Site Hedge Baseline'!$B$1:$L$257,4,FALSE)),"",(VLOOKUP($B222,'B-1 On-Site Hedge Baseline'!$B$1:$L$257,4,FALSE))))</f>
        <v/>
      </c>
      <c r="E222" s="295" t="str">
        <f>IF(B222="","",IF(ISNA(VLOOKUP($B222,'B-1 On-Site Hedge Baseline'!$B$1:$L$257,5,FALSE)),"",(VLOOKUP($B222,'B-1 On-Site Hedge Baseline'!$B$1:$L$257,5,FALSE))))</f>
        <v/>
      </c>
      <c r="F222" s="295" t="str">
        <f>IF(B222="","",IF(ISNA(VLOOKUP($B222,'B-1 On-Site Hedge Baseline'!$B$1:$L$257,6,FALSE)),"",(VLOOKUP($B222,'B-1 On-Site Hedge Baseline'!$B$1:$L$257,6,FALSE))))</f>
        <v/>
      </c>
      <c r="G222" s="295" t="str">
        <f>IF(B222="","",IF(ISNA(VLOOKUP($B222,'B-1 On-Site Hedge Baseline'!$B$1:$L$257,7,FALSE)),"",(VLOOKUP($B222,'B-1 On-Site Hedge Baseline'!$B$1:$L$257,7,FALSE))))</f>
        <v/>
      </c>
      <c r="H222" s="295" t="str">
        <f>IF(B222="","",IF(ISNA(VLOOKUP($B222,'B-1 On-Site Hedge Baseline'!$B$1:$L$257,8,FALSE)),"",(VLOOKUP($B222,'B-1 On-Site Hedge Baseline'!$B$1:$L$257,8,FALSE))))</f>
        <v/>
      </c>
      <c r="I222" s="295" t="str">
        <f>IF(B222="","",IF(ISNA(VLOOKUP($B222,'B-1 On-Site Hedge Baseline'!$B$1:$L$257,10,FALSE)),"",(VLOOKUP($B222,'B-1 On-Site Hedge Baseline'!$B$1:$L$257,10,FALSE))))</f>
        <v/>
      </c>
      <c r="J222" s="295" t="str">
        <f>IF(B222="","",IF(ISNA(VLOOKUP($B222,'B-1 On-Site Hedge Baseline'!$B$1:$L$257,11,FALSE)),"",(VLOOKUP($B222,'B-1 On-Site Hedge Baseline'!$B$1:$L$257,11,FALSE))))</f>
        <v/>
      </c>
      <c r="K222" s="295" t="str">
        <f>IF(B222="","",IF(ISNA(VLOOKUP($B222,'B-1 On-Site Hedge Baseline'!$B$1:$U$257,13,FALSE)),"",(VLOOKUP($B222,'B-1 On-Site Hedge Baseline'!$B$1:$U$257,13,FALSE))))</f>
        <v/>
      </c>
      <c r="L222" s="299" t="str">
        <f>IF(B222="","",IF(ISNA(VLOOKUP($B222,'B-1 On-Site Hedge Baseline'!$B$1:$U$257,12,FALSE)),"",(VLOOKUP($B222,'B-1 On-Site Hedge Baseline'!$B$1:$U$257,12,FALSE))))</f>
        <v/>
      </c>
      <c r="M222" s="611"/>
      <c r="N222" s="275" t="str">
        <f>IFERROR(IF(B222="","",INDEX('G-6 Hedgerow Data'!$AN$3:$AZ$15,MATCH(C222,'G-6 Hedgerow Data'!$AM$3:$AM$15,0),MATCH(M222,'G-6 Hedgerow Data'!$AN$2:$AZ$2,0))),"")</f>
        <v/>
      </c>
      <c r="O222" s="276" t="str">
        <f t="shared" si="22"/>
        <v/>
      </c>
      <c r="P222" s="329" t="str">
        <f>IF(B222="","",VLOOKUP(B222,'B-1 On-Site Hedge Baseline'!$B$10:T467,16,FALSE))</f>
        <v/>
      </c>
      <c r="Q222" s="275" t="str">
        <f>IF(M222="","",VLOOKUP(M222,'G-6 Hedgerow Data'!$B$2:$AG$15,2,FALSE))</f>
        <v/>
      </c>
      <c r="R222" s="276" t="str">
        <f>IF(M222="","",VLOOKUP(M222,'G-6 Hedgerow Data'!$B$2:$AG$15,3,FALSE))</f>
        <v/>
      </c>
      <c r="S222" s="108"/>
      <c r="T222" s="314" t="str">
        <f>IFERROR(IF(S222="","",IF(AND(M222="Non-native and ornamental hedgerow",S222&lt;&gt;"Poor"),"Not possible ▲",(VLOOKUP(S222,'G-1 All Habitats'!$Z$2:$AA$9,2,FALSE)))),"")</f>
        <v/>
      </c>
      <c r="U222" s="105"/>
      <c r="V222" s="295" t="str">
        <f>IF(U222="","",IF(VLOOKUP(U222,'G-3 Multipliers'!$L$3:$N$6,2,FALSE)=0,"Spatial Data Missing ⚠",VLOOKUP(U222,'G-3 Multipliers'!$L$3:$N$6,2,FALSE)))</f>
        <v/>
      </c>
      <c r="W222" s="299" t="str">
        <f>IF(U222="","",IF(VLOOKUP(U222,'G-3 Multipliers'!$L$3:$N$6,3,FALSE)=0,"Spatial Data Missing ⚠",VLOOKUP(U222,'G-3 Multipliers'!$L$3:$N$6,3,FALSE)))</f>
        <v/>
      </c>
      <c r="X222" s="275" t="str">
        <f>IFERROR(IF(OR(LEFT(O222,5)="Error",LEFT(N222,5)="Error",T222="Error"),"Check Data ⚠",IF(F222&lt;R222,INDEX('G-6 Hedgerow Data'!$S$3:$AE$14,MATCH(C222,'G-6 Hedgerow Data'!$B$3:$B$14,0),MATCH(M222,'G-6 Hedgerow Data'!$S$2:$AE$2,0)),INDEX('G-6 Hedgerow Data'!$K$3:$Q$14,MATCH(M222,'G-6 Hedgerow Data'!$B$3:$B$14,0),MATCH(O222,'G-6 Hedgerow Data'!$K$2:$Q$2,0)))),"")</f>
        <v/>
      </c>
      <c r="Y222" s="133"/>
      <c r="Z222" s="133"/>
      <c r="AA222" s="283" t="str">
        <f t="shared" si="23"/>
        <v/>
      </c>
      <c r="AB222" s="296" t="str">
        <f t="shared" si="24"/>
        <v/>
      </c>
      <c r="AC222" s="297" t="str">
        <f t="shared" si="21"/>
        <v/>
      </c>
      <c r="AD222" s="311" t="str">
        <f>IF(M222="","",VLOOKUP(M222,'G-6 Hedgerow Data'!$B$3:$AG$15,31,FALSE))</f>
        <v/>
      </c>
      <c r="AE222" s="283" t="str">
        <f t="shared" si="25"/>
        <v/>
      </c>
      <c r="AF222" s="283" t="str">
        <f t="shared" si="26"/>
        <v/>
      </c>
      <c r="AG222" s="299" t="str">
        <f>IFERROR(IF(O222="","",VLOOKUP(AD222,'G-3 Multipliers'!$P$3:$Q$6,2,FALSE)),"")</f>
        <v/>
      </c>
      <c r="AH222" s="289" t="str">
        <f t="shared" si="27"/>
        <v/>
      </c>
      <c r="AI222" s="108"/>
      <c r="AJ222" s="115"/>
      <c r="AK222" s="104"/>
      <c r="AT222" s="30" t="str">
        <f>IFERROR(INDEX('G-6 Hedgerow Data'!$BJ$3:$BJ$15,MATCH(M222,'G-6 Hedgerow Data'!$B$3:$B$15,0)),"")</f>
        <v/>
      </c>
    </row>
    <row r="223" spans="2:46" ht="14">
      <c r="B223" s="305" t="str">
        <f>'B-1 On-Site Hedge Baseline'!AK221</f>
        <v/>
      </c>
      <c r="C223" s="295" t="str">
        <f>IF(B223="","",IF(ISNA(VLOOKUP($B223,'B-1 On-Site Hedge Baseline'!$B$1:$L$257,3,FALSE)),"",(VLOOKUP($B223,'B-1 On-Site Hedge Baseline'!$B$1:$L$257,3,FALSE))))</f>
        <v/>
      </c>
      <c r="D223" s="295" t="str">
        <f>IF(B223="","",IF(ISNA(VLOOKUP($B223,'B-1 On-Site Hedge Baseline'!$B$1:$L$257,4,FALSE)),"",(VLOOKUP($B223,'B-1 On-Site Hedge Baseline'!$B$1:$L$257,4,FALSE))))</f>
        <v/>
      </c>
      <c r="E223" s="295" t="str">
        <f>IF(B223="","",IF(ISNA(VLOOKUP($B223,'B-1 On-Site Hedge Baseline'!$B$1:$L$257,5,FALSE)),"",(VLOOKUP($B223,'B-1 On-Site Hedge Baseline'!$B$1:$L$257,5,FALSE))))</f>
        <v/>
      </c>
      <c r="F223" s="295" t="str">
        <f>IF(B223="","",IF(ISNA(VLOOKUP($B223,'B-1 On-Site Hedge Baseline'!$B$1:$L$257,6,FALSE)),"",(VLOOKUP($B223,'B-1 On-Site Hedge Baseline'!$B$1:$L$257,6,FALSE))))</f>
        <v/>
      </c>
      <c r="G223" s="295" t="str">
        <f>IF(B223="","",IF(ISNA(VLOOKUP($B223,'B-1 On-Site Hedge Baseline'!$B$1:$L$257,7,FALSE)),"",(VLOOKUP($B223,'B-1 On-Site Hedge Baseline'!$B$1:$L$257,7,FALSE))))</f>
        <v/>
      </c>
      <c r="H223" s="295" t="str">
        <f>IF(B223="","",IF(ISNA(VLOOKUP($B223,'B-1 On-Site Hedge Baseline'!$B$1:$L$257,8,FALSE)),"",(VLOOKUP($B223,'B-1 On-Site Hedge Baseline'!$B$1:$L$257,8,FALSE))))</f>
        <v/>
      </c>
      <c r="I223" s="295" t="str">
        <f>IF(B223="","",IF(ISNA(VLOOKUP($B223,'B-1 On-Site Hedge Baseline'!$B$1:$L$257,10,FALSE)),"",(VLOOKUP($B223,'B-1 On-Site Hedge Baseline'!$B$1:$L$257,10,FALSE))))</f>
        <v/>
      </c>
      <c r="J223" s="295" t="str">
        <f>IF(B223="","",IF(ISNA(VLOOKUP($B223,'B-1 On-Site Hedge Baseline'!$B$1:$L$257,11,FALSE)),"",(VLOOKUP($B223,'B-1 On-Site Hedge Baseline'!$B$1:$L$257,11,FALSE))))</f>
        <v/>
      </c>
      <c r="K223" s="295" t="str">
        <f>IF(B223="","",IF(ISNA(VLOOKUP($B223,'B-1 On-Site Hedge Baseline'!$B$1:$U$257,13,FALSE)),"",(VLOOKUP($B223,'B-1 On-Site Hedge Baseline'!$B$1:$U$257,13,FALSE))))</f>
        <v/>
      </c>
      <c r="L223" s="299" t="str">
        <f>IF(B223="","",IF(ISNA(VLOOKUP($B223,'B-1 On-Site Hedge Baseline'!$B$1:$U$257,12,FALSE)),"",(VLOOKUP($B223,'B-1 On-Site Hedge Baseline'!$B$1:$U$257,12,FALSE))))</f>
        <v/>
      </c>
      <c r="M223" s="611"/>
      <c r="N223" s="275" t="str">
        <f>IFERROR(IF(B223="","",INDEX('G-6 Hedgerow Data'!$AN$3:$AZ$15,MATCH(C223,'G-6 Hedgerow Data'!$AM$3:$AM$15,0),MATCH(M223,'G-6 Hedgerow Data'!$AN$2:$AZ$2,0))),"")</f>
        <v/>
      </c>
      <c r="O223" s="276" t="str">
        <f t="shared" si="22"/>
        <v/>
      </c>
      <c r="P223" s="329" t="str">
        <f>IF(B223="","",VLOOKUP(B223,'B-1 On-Site Hedge Baseline'!$B$10:T468,16,FALSE))</f>
        <v/>
      </c>
      <c r="Q223" s="275" t="str">
        <f>IF(M223="","",VLOOKUP(M223,'G-6 Hedgerow Data'!$B$2:$AG$15,2,FALSE))</f>
        <v/>
      </c>
      <c r="R223" s="276" t="str">
        <f>IF(M223="","",VLOOKUP(M223,'G-6 Hedgerow Data'!$B$2:$AG$15,3,FALSE))</f>
        <v/>
      </c>
      <c r="S223" s="108"/>
      <c r="T223" s="314" t="str">
        <f>IFERROR(IF(S223="","",IF(AND(M223="Non-native and ornamental hedgerow",S223&lt;&gt;"Poor"),"Not possible ▲",(VLOOKUP(S223,'G-1 All Habitats'!$Z$2:$AA$9,2,FALSE)))),"")</f>
        <v/>
      </c>
      <c r="U223" s="105"/>
      <c r="V223" s="295" t="str">
        <f>IF(U223="","",IF(VLOOKUP(U223,'G-3 Multipliers'!$L$3:$N$6,2,FALSE)=0,"Spatial Data Missing ⚠",VLOOKUP(U223,'G-3 Multipliers'!$L$3:$N$6,2,FALSE)))</f>
        <v/>
      </c>
      <c r="W223" s="299" t="str">
        <f>IF(U223="","",IF(VLOOKUP(U223,'G-3 Multipliers'!$L$3:$N$6,3,FALSE)=0,"Spatial Data Missing ⚠",VLOOKUP(U223,'G-3 Multipliers'!$L$3:$N$6,3,FALSE)))</f>
        <v/>
      </c>
      <c r="X223" s="275" t="str">
        <f>IFERROR(IF(OR(LEFT(O223,5)="Error",LEFT(N223,5)="Error",T223="Error"),"Check Data ⚠",IF(F223&lt;R223,INDEX('G-6 Hedgerow Data'!$S$3:$AE$14,MATCH(C223,'G-6 Hedgerow Data'!$B$3:$B$14,0),MATCH(M223,'G-6 Hedgerow Data'!$S$2:$AE$2,0)),INDEX('G-6 Hedgerow Data'!$K$3:$Q$14,MATCH(M223,'G-6 Hedgerow Data'!$B$3:$B$14,0),MATCH(O223,'G-6 Hedgerow Data'!$K$2:$Q$2,0)))),"")</f>
        <v/>
      </c>
      <c r="Y223" s="133"/>
      <c r="Z223" s="133"/>
      <c r="AA223" s="283" t="str">
        <f t="shared" si="23"/>
        <v/>
      </c>
      <c r="AB223" s="296" t="str">
        <f t="shared" si="24"/>
        <v/>
      </c>
      <c r="AC223" s="297" t="str">
        <f t="shared" si="21"/>
        <v/>
      </c>
      <c r="AD223" s="311" t="str">
        <f>IF(M223="","",VLOOKUP(M223,'G-6 Hedgerow Data'!$B$3:$AG$15,31,FALSE))</f>
        <v/>
      </c>
      <c r="AE223" s="283" t="str">
        <f t="shared" si="25"/>
        <v/>
      </c>
      <c r="AF223" s="283" t="str">
        <f t="shared" si="26"/>
        <v/>
      </c>
      <c r="AG223" s="299" t="str">
        <f>IFERROR(IF(O223="","",VLOOKUP(AD223,'G-3 Multipliers'!$P$3:$Q$6,2,FALSE)),"")</f>
        <v/>
      </c>
      <c r="AH223" s="289" t="str">
        <f t="shared" si="27"/>
        <v/>
      </c>
      <c r="AI223" s="108"/>
      <c r="AJ223" s="115"/>
      <c r="AK223" s="104"/>
      <c r="AT223" s="30" t="str">
        <f>IFERROR(INDEX('G-6 Hedgerow Data'!$BJ$3:$BJ$15,MATCH(M223,'G-6 Hedgerow Data'!$B$3:$B$15,0)),"")</f>
        <v/>
      </c>
    </row>
    <row r="224" spans="2:46" ht="14">
      <c r="B224" s="305" t="str">
        <f>'B-1 On-Site Hedge Baseline'!AK222</f>
        <v/>
      </c>
      <c r="C224" s="295" t="str">
        <f>IF(B224="","",IF(ISNA(VLOOKUP($B224,'B-1 On-Site Hedge Baseline'!$B$1:$L$257,3,FALSE)),"",(VLOOKUP($B224,'B-1 On-Site Hedge Baseline'!$B$1:$L$257,3,FALSE))))</f>
        <v/>
      </c>
      <c r="D224" s="295" t="str">
        <f>IF(B224="","",IF(ISNA(VLOOKUP($B224,'B-1 On-Site Hedge Baseline'!$B$1:$L$257,4,FALSE)),"",(VLOOKUP($B224,'B-1 On-Site Hedge Baseline'!$B$1:$L$257,4,FALSE))))</f>
        <v/>
      </c>
      <c r="E224" s="295" t="str">
        <f>IF(B224="","",IF(ISNA(VLOOKUP($B224,'B-1 On-Site Hedge Baseline'!$B$1:$L$257,5,FALSE)),"",(VLOOKUP($B224,'B-1 On-Site Hedge Baseline'!$B$1:$L$257,5,FALSE))))</f>
        <v/>
      </c>
      <c r="F224" s="295" t="str">
        <f>IF(B224="","",IF(ISNA(VLOOKUP($B224,'B-1 On-Site Hedge Baseline'!$B$1:$L$257,6,FALSE)),"",(VLOOKUP($B224,'B-1 On-Site Hedge Baseline'!$B$1:$L$257,6,FALSE))))</f>
        <v/>
      </c>
      <c r="G224" s="295" t="str">
        <f>IF(B224="","",IF(ISNA(VLOOKUP($B224,'B-1 On-Site Hedge Baseline'!$B$1:$L$257,7,FALSE)),"",(VLOOKUP($B224,'B-1 On-Site Hedge Baseline'!$B$1:$L$257,7,FALSE))))</f>
        <v/>
      </c>
      <c r="H224" s="295" t="str">
        <f>IF(B224="","",IF(ISNA(VLOOKUP($B224,'B-1 On-Site Hedge Baseline'!$B$1:$L$257,8,FALSE)),"",(VLOOKUP($B224,'B-1 On-Site Hedge Baseline'!$B$1:$L$257,8,FALSE))))</f>
        <v/>
      </c>
      <c r="I224" s="295" t="str">
        <f>IF(B224="","",IF(ISNA(VLOOKUP($B224,'B-1 On-Site Hedge Baseline'!$B$1:$L$257,10,FALSE)),"",(VLOOKUP($B224,'B-1 On-Site Hedge Baseline'!$B$1:$L$257,10,FALSE))))</f>
        <v/>
      </c>
      <c r="J224" s="295" t="str">
        <f>IF(B224="","",IF(ISNA(VLOOKUP($B224,'B-1 On-Site Hedge Baseline'!$B$1:$L$257,11,FALSE)),"",(VLOOKUP($B224,'B-1 On-Site Hedge Baseline'!$B$1:$L$257,11,FALSE))))</f>
        <v/>
      </c>
      <c r="K224" s="295" t="str">
        <f>IF(B224="","",IF(ISNA(VLOOKUP($B224,'B-1 On-Site Hedge Baseline'!$B$1:$U$257,13,FALSE)),"",(VLOOKUP($B224,'B-1 On-Site Hedge Baseline'!$B$1:$U$257,13,FALSE))))</f>
        <v/>
      </c>
      <c r="L224" s="299" t="str">
        <f>IF(B224="","",IF(ISNA(VLOOKUP($B224,'B-1 On-Site Hedge Baseline'!$B$1:$U$257,12,FALSE)),"",(VLOOKUP($B224,'B-1 On-Site Hedge Baseline'!$B$1:$U$257,12,FALSE))))</f>
        <v/>
      </c>
      <c r="M224" s="611"/>
      <c r="N224" s="275" t="str">
        <f>IFERROR(IF(B224="","",INDEX('G-6 Hedgerow Data'!$AN$3:$AZ$15,MATCH(C224,'G-6 Hedgerow Data'!$AM$3:$AM$15,0),MATCH(M224,'G-6 Hedgerow Data'!$AN$2:$AZ$2,0))),"")</f>
        <v/>
      </c>
      <c r="O224" s="276" t="str">
        <f t="shared" si="22"/>
        <v/>
      </c>
      <c r="P224" s="329" t="str">
        <f>IF(B224="","",VLOOKUP(B224,'B-1 On-Site Hedge Baseline'!$B$10:T469,16,FALSE))</f>
        <v/>
      </c>
      <c r="Q224" s="275" t="str">
        <f>IF(M224="","",VLOOKUP(M224,'G-6 Hedgerow Data'!$B$2:$AG$15,2,FALSE))</f>
        <v/>
      </c>
      <c r="R224" s="276" t="str">
        <f>IF(M224="","",VLOOKUP(M224,'G-6 Hedgerow Data'!$B$2:$AG$15,3,FALSE))</f>
        <v/>
      </c>
      <c r="S224" s="108"/>
      <c r="T224" s="314" t="str">
        <f>IFERROR(IF(S224="","",IF(AND(M224="Non-native and ornamental hedgerow",S224&lt;&gt;"Poor"),"Not possible ▲",(VLOOKUP(S224,'G-1 All Habitats'!$Z$2:$AA$9,2,FALSE)))),"")</f>
        <v/>
      </c>
      <c r="U224" s="105"/>
      <c r="V224" s="295" t="str">
        <f>IF(U224="","",IF(VLOOKUP(U224,'G-3 Multipliers'!$L$3:$N$6,2,FALSE)=0,"Spatial Data Missing ⚠",VLOOKUP(U224,'G-3 Multipliers'!$L$3:$N$6,2,FALSE)))</f>
        <v/>
      </c>
      <c r="W224" s="299" t="str">
        <f>IF(U224="","",IF(VLOOKUP(U224,'G-3 Multipliers'!$L$3:$N$6,3,FALSE)=0,"Spatial Data Missing ⚠",VLOOKUP(U224,'G-3 Multipliers'!$L$3:$N$6,3,FALSE)))</f>
        <v/>
      </c>
      <c r="X224" s="275" t="str">
        <f>IFERROR(IF(OR(LEFT(O224,5)="Error",LEFT(N224,5)="Error",T224="Error"),"Check Data ⚠",IF(F224&lt;R224,INDEX('G-6 Hedgerow Data'!$S$3:$AE$14,MATCH(C224,'G-6 Hedgerow Data'!$B$3:$B$14,0),MATCH(M224,'G-6 Hedgerow Data'!$S$2:$AE$2,0)),INDEX('G-6 Hedgerow Data'!$K$3:$Q$14,MATCH(M224,'G-6 Hedgerow Data'!$B$3:$B$14,0),MATCH(O224,'G-6 Hedgerow Data'!$K$2:$Q$2,0)))),"")</f>
        <v/>
      </c>
      <c r="Y224" s="133"/>
      <c r="Z224" s="133"/>
      <c r="AA224" s="283" t="str">
        <f t="shared" si="23"/>
        <v/>
      </c>
      <c r="AB224" s="296" t="str">
        <f t="shared" si="24"/>
        <v/>
      </c>
      <c r="AC224" s="297" t="str">
        <f t="shared" si="21"/>
        <v/>
      </c>
      <c r="AD224" s="311" t="str">
        <f>IF(M224="","",VLOOKUP(M224,'G-6 Hedgerow Data'!$B$3:$AG$15,31,FALSE))</f>
        <v/>
      </c>
      <c r="AE224" s="283" t="str">
        <f t="shared" si="25"/>
        <v/>
      </c>
      <c r="AF224" s="283" t="str">
        <f t="shared" si="26"/>
        <v/>
      </c>
      <c r="AG224" s="299" t="str">
        <f>IFERROR(IF(O224="","",VLOOKUP(AD224,'G-3 Multipliers'!$P$3:$Q$6,2,FALSE)),"")</f>
        <v/>
      </c>
      <c r="AH224" s="289" t="str">
        <f t="shared" si="27"/>
        <v/>
      </c>
      <c r="AI224" s="108"/>
      <c r="AJ224" s="115"/>
      <c r="AK224" s="104"/>
      <c r="AT224" s="30" t="str">
        <f>IFERROR(INDEX('G-6 Hedgerow Data'!$BJ$3:$BJ$15,MATCH(M224,'G-6 Hedgerow Data'!$B$3:$B$15,0)),"")</f>
        <v/>
      </c>
    </row>
    <row r="225" spans="2:46" ht="14">
      <c r="B225" s="305" t="str">
        <f>'B-1 On-Site Hedge Baseline'!AK223</f>
        <v/>
      </c>
      <c r="C225" s="295" t="str">
        <f>IF(B225="","",IF(ISNA(VLOOKUP($B225,'B-1 On-Site Hedge Baseline'!$B$1:$L$257,3,FALSE)),"",(VLOOKUP($B225,'B-1 On-Site Hedge Baseline'!$B$1:$L$257,3,FALSE))))</f>
        <v/>
      </c>
      <c r="D225" s="295" t="str">
        <f>IF(B225="","",IF(ISNA(VLOOKUP($B225,'B-1 On-Site Hedge Baseline'!$B$1:$L$257,4,FALSE)),"",(VLOOKUP($B225,'B-1 On-Site Hedge Baseline'!$B$1:$L$257,4,FALSE))))</f>
        <v/>
      </c>
      <c r="E225" s="295" t="str">
        <f>IF(B225="","",IF(ISNA(VLOOKUP($B225,'B-1 On-Site Hedge Baseline'!$B$1:$L$257,5,FALSE)),"",(VLOOKUP($B225,'B-1 On-Site Hedge Baseline'!$B$1:$L$257,5,FALSE))))</f>
        <v/>
      </c>
      <c r="F225" s="295" t="str">
        <f>IF(B225="","",IF(ISNA(VLOOKUP($B225,'B-1 On-Site Hedge Baseline'!$B$1:$L$257,6,FALSE)),"",(VLOOKUP($B225,'B-1 On-Site Hedge Baseline'!$B$1:$L$257,6,FALSE))))</f>
        <v/>
      </c>
      <c r="G225" s="295" t="str">
        <f>IF(B225="","",IF(ISNA(VLOOKUP($B225,'B-1 On-Site Hedge Baseline'!$B$1:$L$257,7,FALSE)),"",(VLOOKUP($B225,'B-1 On-Site Hedge Baseline'!$B$1:$L$257,7,FALSE))))</f>
        <v/>
      </c>
      <c r="H225" s="295" t="str">
        <f>IF(B225="","",IF(ISNA(VLOOKUP($B225,'B-1 On-Site Hedge Baseline'!$B$1:$L$257,8,FALSE)),"",(VLOOKUP($B225,'B-1 On-Site Hedge Baseline'!$B$1:$L$257,8,FALSE))))</f>
        <v/>
      </c>
      <c r="I225" s="295" t="str">
        <f>IF(B225="","",IF(ISNA(VLOOKUP($B225,'B-1 On-Site Hedge Baseline'!$B$1:$L$257,10,FALSE)),"",(VLOOKUP($B225,'B-1 On-Site Hedge Baseline'!$B$1:$L$257,10,FALSE))))</f>
        <v/>
      </c>
      <c r="J225" s="295" t="str">
        <f>IF(B225="","",IF(ISNA(VLOOKUP($B225,'B-1 On-Site Hedge Baseline'!$B$1:$L$257,11,FALSE)),"",(VLOOKUP($B225,'B-1 On-Site Hedge Baseline'!$B$1:$L$257,11,FALSE))))</f>
        <v/>
      </c>
      <c r="K225" s="295" t="str">
        <f>IF(B225="","",IF(ISNA(VLOOKUP($B225,'B-1 On-Site Hedge Baseline'!$B$1:$U$257,13,FALSE)),"",(VLOOKUP($B225,'B-1 On-Site Hedge Baseline'!$B$1:$U$257,13,FALSE))))</f>
        <v/>
      </c>
      <c r="L225" s="299" t="str">
        <f>IF(B225="","",IF(ISNA(VLOOKUP($B225,'B-1 On-Site Hedge Baseline'!$B$1:$U$257,12,FALSE)),"",(VLOOKUP($B225,'B-1 On-Site Hedge Baseline'!$B$1:$U$257,12,FALSE))))</f>
        <v/>
      </c>
      <c r="M225" s="611"/>
      <c r="N225" s="275" t="str">
        <f>IFERROR(IF(B225="","",INDEX('G-6 Hedgerow Data'!$AN$3:$AZ$15,MATCH(C225,'G-6 Hedgerow Data'!$AM$3:$AM$15,0),MATCH(M225,'G-6 Hedgerow Data'!$AN$2:$AZ$2,0))),"")</f>
        <v/>
      </c>
      <c r="O225" s="276" t="str">
        <f t="shared" si="22"/>
        <v/>
      </c>
      <c r="P225" s="329" t="str">
        <f>IF(B225="","",VLOOKUP(B225,'B-1 On-Site Hedge Baseline'!$B$10:T470,16,FALSE))</f>
        <v/>
      </c>
      <c r="Q225" s="275" t="str">
        <f>IF(M225="","",VLOOKUP(M225,'G-6 Hedgerow Data'!$B$2:$AG$15,2,FALSE))</f>
        <v/>
      </c>
      <c r="R225" s="276" t="str">
        <f>IF(M225="","",VLOOKUP(M225,'G-6 Hedgerow Data'!$B$2:$AG$15,3,FALSE))</f>
        <v/>
      </c>
      <c r="S225" s="108"/>
      <c r="T225" s="314" t="str">
        <f>IFERROR(IF(S225="","",IF(AND(M225="Non-native and ornamental hedgerow",S225&lt;&gt;"Poor"),"Not possible ▲",(VLOOKUP(S225,'G-1 All Habitats'!$Z$2:$AA$9,2,FALSE)))),"")</f>
        <v/>
      </c>
      <c r="U225" s="105"/>
      <c r="V225" s="295" t="str">
        <f>IF(U225="","",IF(VLOOKUP(U225,'G-3 Multipliers'!$L$3:$N$6,2,FALSE)=0,"Spatial Data Missing ⚠",VLOOKUP(U225,'G-3 Multipliers'!$L$3:$N$6,2,FALSE)))</f>
        <v/>
      </c>
      <c r="W225" s="299" t="str">
        <f>IF(U225="","",IF(VLOOKUP(U225,'G-3 Multipliers'!$L$3:$N$6,3,FALSE)=0,"Spatial Data Missing ⚠",VLOOKUP(U225,'G-3 Multipliers'!$L$3:$N$6,3,FALSE)))</f>
        <v/>
      </c>
      <c r="X225" s="275" t="str">
        <f>IFERROR(IF(OR(LEFT(O225,5)="Error",LEFT(N225,5)="Error",T225="Error"),"Check Data ⚠",IF(F225&lt;R225,INDEX('G-6 Hedgerow Data'!$S$3:$AE$14,MATCH(C225,'G-6 Hedgerow Data'!$B$3:$B$14,0),MATCH(M225,'G-6 Hedgerow Data'!$S$2:$AE$2,0)),INDEX('G-6 Hedgerow Data'!$K$3:$Q$14,MATCH(M225,'G-6 Hedgerow Data'!$B$3:$B$14,0),MATCH(O225,'G-6 Hedgerow Data'!$K$2:$Q$2,0)))),"")</f>
        <v/>
      </c>
      <c r="Y225" s="133"/>
      <c r="Z225" s="133"/>
      <c r="AA225" s="283" t="str">
        <f t="shared" si="23"/>
        <v/>
      </c>
      <c r="AB225" s="296" t="str">
        <f t="shared" si="24"/>
        <v/>
      </c>
      <c r="AC225" s="297" t="str">
        <f t="shared" si="21"/>
        <v/>
      </c>
      <c r="AD225" s="311" t="str">
        <f>IF(M225="","",VLOOKUP(M225,'G-6 Hedgerow Data'!$B$3:$AG$15,31,FALSE))</f>
        <v/>
      </c>
      <c r="AE225" s="283" t="str">
        <f t="shared" si="25"/>
        <v/>
      </c>
      <c r="AF225" s="283" t="str">
        <f t="shared" si="26"/>
        <v/>
      </c>
      <c r="AG225" s="299" t="str">
        <f>IFERROR(IF(O225="","",VLOOKUP(AD225,'G-3 Multipliers'!$P$3:$Q$6,2,FALSE)),"")</f>
        <v/>
      </c>
      <c r="AH225" s="289" t="str">
        <f t="shared" si="27"/>
        <v/>
      </c>
      <c r="AI225" s="108"/>
      <c r="AJ225" s="115"/>
      <c r="AK225" s="104"/>
      <c r="AT225" s="30" t="str">
        <f>IFERROR(INDEX('G-6 Hedgerow Data'!$BJ$3:$BJ$15,MATCH(M225,'G-6 Hedgerow Data'!$B$3:$B$15,0)),"")</f>
        <v/>
      </c>
    </row>
    <row r="226" spans="2:46" ht="14">
      <c r="B226" s="305" t="str">
        <f>'B-1 On-Site Hedge Baseline'!AK224</f>
        <v/>
      </c>
      <c r="C226" s="295" t="str">
        <f>IF(B226="","",IF(ISNA(VLOOKUP($B226,'B-1 On-Site Hedge Baseline'!$B$1:$L$257,3,FALSE)),"",(VLOOKUP($B226,'B-1 On-Site Hedge Baseline'!$B$1:$L$257,3,FALSE))))</f>
        <v/>
      </c>
      <c r="D226" s="295" t="str">
        <f>IF(B226="","",IF(ISNA(VLOOKUP($B226,'B-1 On-Site Hedge Baseline'!$B$1:$L$257,4,FALSE)),"",(VLOOKUP($B226,'B-1 On-Site Hedge Baseline'!$B$1:$L$257,4,FALSE))))</f>
        <v/>
      </c>
      <c r="E226" s="295" t="str">
        <f>IF(B226="","",IF(ISNA(VLOOKUP($B226,'B-1 On-Site Hedge Baseline'!$B$1:$L$257,5,FALSE)),"",(VLOOKUP($B226,'B-1 On-Site Hedge Baseline'!$B$1:$L$257,5,FALSE))))</f>
        <v/>
      </c>
      <c r="F226" s="295" t="str">
        <f>IF(B226="","",IF(ISNA(VLOOKUP($B226,'B-1 On-Site Hedge Baseline'!$B$1:$L$257,6,FALSE)),"",(VLOOKUP($B226,'B-1 On-Site Hedge Baseline'!$B$1:$L$257,6,FALSE))))</f>
        <v/>
      </c>
      <c r="G226" s="295" t="str">
        <f>IF(B226="","",IF(ISNA(VLOOKUP($B226,'B-1 On-Site Hedge Baseline'!$B$1:$L$257,7,FALSE)),"",(VLOOKUP($B226,'B-1 On-Site Hedge Baseline'!$B$1:$L$257,7,FALSE))))</f>
        <v/>
      </c>
      <c r="H226" s="295" t="str">
        <f>IF(B226="","",IF(ISNA(VLOOKUP($B226,'B-1 On-Site Hedge Baseline'!$B$1:$L$257,8,FALSE)),"",(VLOOKUP($B226,'B-1 On-Site Hedge Baseline'!$B$1:$L$257,8,FALSE))))</f>
        <v/>
      </c>
      <c r="I226" s="295" t="str">
        <f>IF(B226="","",IF(ISNA(VLOOKUP($B226,'B-1 On-Site Hedge Baseline'!$B$1:$L$257,10,FALSE)),"",(VLOOKUP($B226,'B-1 On-Site Hedge Baseline'!$B$1:$L$257,10,FALSE))))</f>
        <v/>
      </c>
      <c r="J226" s="295" t="str">
        <f>IF(B226="","",IF(ISNA(VLOOKUP($B226,'B-1 On-Site Hedge Baseline'!$B$1:$L$257,11,FALSE)),"",(VLOOKUP($B226,'B-1 On-Site Hedge Baseline'!$B$1:$L$257,11,FALSE))))</f>
        <v/>
      </c>
      <c r="K226" s="295" t="str">
        <f>IF(B226="","",IF(ISNA(VLOOKUP($B226,'B-1 On-Site Hedge Baseline'!$B$1:$U$257,13,FALSE)),"",(VLOOKUP($B226,'B-1 On-Site Hedge Baseline'!$B$1:$U$257,13,FALSE))))</f>
        <v/>
      </c>
      <c r="L226" s="299" t="str">
        <f>IF(B226="","",IF(ISNA(VLOOKUP($B226,'B-1 On-Site Hedge Baseline'!$B$1:$U$257,12,FALSE)),"",(VLOOKUP($B226,'B-1 On-Site Hedge Baseline'!$B$1:$U$257,12,FALSE))))</f>
        <v/>
      </c>
      <c r="M226" s="611"/>
      <c r="N226" s="275" t="str">
        <f>IFERROR(IF(B226="","",INDEX('G-6 Hedgerow Data'!$AN$3:$AZ$15,MATCH(C226,'G-6 Hedgerow Data'!$AM$3:$AM$15,0),MATCH(M226,'G-6 Hedgerow Data'!$AN$2:$AZ$2,0))),"")</f>
        <v/>
      </c>
      <c r="O226" s="276" t="str">
        <f t="shared" si="22"/>
        <v/>
      </c>
      <c r="P226" s="329" t="str">
        <f>IF(B226="","",VLOOKUP(B226,'B-1 On-Site Hedge Baseline'!$B$10:T471,16,FALSE))</f>
        <v/>
      </c>
      <c r="Q226" s="275" t="str">
        <f>IF(M226="","",VLOOKUP(M226,'G-6 Hedgerow Data'!$B$2:$AG$15,2,FALSE))</f>
        <v/>
      </c>
      <c r="R226" s="276" t="str">
        <f>IF(M226="","",VLOOKUP(M226,'G-6 Hedgerow Data'!$B$2:$AG$15,3,FALSE))</f>
        <v/>
      </c>
      <c r="S226" s="108"/>
      <c r="T226" s="314" t="str">
        <f>IFERROR(IF(S226="","",IF(AND(M226="Non-native and ornamental hedgerow",S226&lt;&gt;"Poor"),"Not possible ▲",(VLOOKUP(S226,'G-1 All Habitats'!$Z$2:$AA$9,2,FALSE)))),"")</f>
        <v/>
      </c>
      <c r="U226" s="105"/>
      <c r="V226" s="295" t="str">
        <f>IF(U226="","",IF(VLOOKUP(U226,'G-3 Multipliers'!$L$3:$N$6,2,FALSE)=0,"Spatial Data Missing ⚠",VLOOKUP(U226,'G-3 Multipliers'!$L$3:$N$6,2,FALSE)))</f>
        <v/>
      </c>
      <c r="W226" s="299" t="str">
        <f>IF(U226="","",IF(VLOOKUP(U226,'G-3 Multipliers'!$L$3:$N$6,3,FALSE)=0,"Spatial Data Missing ⚠",VLOOKUP(U226,'G-3 Multipliers'!$L$3:$N$6,3,FALSE)))</f>
        <v/>
      </c>
      <c r="X226" s="275" t="str">
        <f>IFERROR(IF(OR(LEFT(O226,5)="Error",LEFT(N226,5)="Error",T226="Error"),"Check Data ⚠",IF(F226&lt;R226,INDEX('G-6 Hedgerow Data'!$S$3:$AE$14,MATCH(C226,'G-6 Hedgerow Data'!$B$3:$B$14,0),MATCH(M226,'G-6 Hedgerow Data'!$S$2:$AE$2,0)),INDEX('G-6 Hedgerow Data'!$K$3:$Q$14,MATCH(M226,'G-6 Hedgerow Data'!$B$3:$B$14,0),MATCH(O226,'G-6 Hedgerow Data'!$K$2:$Q$2,0)))),"")</f>
        <v/>
      </c>
      <c r="Y226" s="133"/>
      <c r="Z226" s="133"/>
      <c r="AA226" s="283" t="str">
        <f t="shared" si="23"/>
        <v/>
      </c>
      <c r="AB226" s="296" t="str">
        <f t="shared" si="24"/>
        <v/>
      </c>
      <c r="AC226" s="297" t="str">
        <f t="shared" si="21"/>
        <v/>
      </c>
      <c r="AD226" s="311" t="str">
        <f>IF(M226="","",VLOOKUP(M226,'G-6 Hedgerow Data'!$B$3:$AG$15,31,FALSE))</f>
        <v/>
      </c>
      <c r="AE226" s="283" t="str">
        <f t="shared" si="25"/>
        <v/>
      </c>
      <c r="AF226" s="283" t="str">
        <f t="shared" si="26"/>
        <v/>
      </c>
      <c r="AG226" s="299" t="str">
        <f>IFERROR(IF(O226="","",VLOOKUP(AD226,'G-3 Multipliers'!$P$3:$Q$6,2,FALSE)),"")</f>
        <v/>
      </c>
      <c r="AH226" s="289" t="str">
        <f t="shared" si="27"/>
        <v/>
      </c>
      <c r="AI226" s="108"/>
      <c r="AJ226" s="115"/>
      <c r="AK226" s="104"/>
      <c r="AT226" s="30" t="str">
        <f>IFERROR(INDEX('G-6 Hedgerow Data'!$BJ$3:$BJ$15,MATCH(M226,'G-6 Hedgerow Data'!$B$3:$B$15,0)),"")</f>
        <v/>
      </c>
    </row>
    <row r="227" spans="2:46" ht="14">
      <c r="B227" s="305" t="str">
        <f>'B-1 On-Site Hedge Baseline'!AK225</f>
        <v/>
      </c>
      <c r="C227" s="295" t="str">
        <f>IF(B227="","",IF(ISNA(VLOOKUP($B227,'B-1 On-Site Hedge Baseline'!$B$1:$L$257,3,FALSE)),"",(VLOOKUP($B227,'B-1 On-Site Hedge Baseline'!$B$1:$L$257,3,FALSE))))</f>
        <v/>
      </c>
      <c r="D227" s="295" t="str">
        <f>IF(B227="","",IF(ISNA(VLOOKUP($B227,'B-1 On-Site Hedge Baseline'!$B$1:$L$257,4,FALSE)),"",(VLOOKUP($B227,'B-1 On-Site Hedge Baseline'!$B$1:$L$257,4,FALSE))))</f>
        <v/>
      </c>
      <c r="E227" s="295" t="str">
        <f>IF(B227="","",IF(ISNA(VLOOKUP($B227,'B-1 On-Site Hedge Baseline'!$B$1:$L$257,5,FALSE)),"",(VLOOKUP($B227,'B-1 On-Site Hedge Baseline'!$B$1:$L$257,5,FALSE))))</f>
        <v/>
      </c>
      <c r="F227" s="295" t="str">
        <f>IF(B227="","",IF(ISNA(VLOOKUP($B227,'B-1 On-Site Hedge Baseline'!$B$1:$L$257,6,FALSE)),"",(VLOOKUP($B227,'B-1 On-Site Hedge Baseline'!$B$1:$L$257,6,FALSE))))</f>
        <v/>
      </c>
      <c r="G227" s="295" t="str">
        <f>IF(B227="","",IF(ISNA(VLOOKUP($B227,'B-1 On-Site Hedge Baseline'!$B$1:$L$257,7,FALSE)),"",(VLOOKUP($B227,'B-1 On-Site Hedge Baseline'!$B$1:$L$257,7,FALSE))))</f>
        <v/>
      </c>
      <c r="H227" s="295" t="str">
        <f>IF(B227="","",IF(ISNA(VLOOKUP($B227,'B-1 On-Site Hedge Baseline'!$B$1:$L$257,8,FALSE)),"",(VLOOKUP($B227,'B-1 On-Site Hedge Baseline'!$B$1:$L$257,8,FALSE))))</f>
        <v/>
      </c>
      <c r="I227" s="295" t="str">
        <f>IF(B227="","",IF(ISNA(VLOOKUP($B227,'B-1 On-Site Hedge Baseline'!$B$1:$L$257,10,FALSE)),"",(VLOOKUP($B227,'B-1 On-Site Hedge Baseline'!$B$1:$L$257,10,FALSE))))</f>
        <v/>
      </c>
      <c r="J227" s="295" t="str">
        <f>IF(B227="","",IF(ISNA(VLOOKUP($B227,'B-1 On-Site Hedge Baseline'!$B$1:$L$257,11,FALSE)),"",(VLOOKUP($B227,'B-1 On-Site Hedge Baseline'!$B$1:$L$257,11,FALSE))))</f>
        <v/>
      </c>
      <c r="K227" s="295" t="str">
        <f>IF(B227="","",IF(ISNA(VLOOKUP($B227,'B-1 On-Site Hedge Baseline'!$B$1:$U$257,13,FALSE)),"",(VLOOKUP($B227,'B-1 On-Site Hedge Baseline'!$B$1:$U$257,13,FALSE))))</f>
        <v/>
      </c>
      <c r="L227" s="299" t="str">
        <f>IF(B227="","",IF(ISNA(VLOOKUP($B227,'B-1 On-Site Hedge Baseline'!$B$1:$U$257,12,FALSE)),"",(VLOOKUP($B227,'B-1 On-Site Hedge Baseline'!$B$1:$U$257,12,FALSE))))</f>
        <v/>
      </c>
      <c r="M227" s="611"/>
      <c r="N227" s="275" t="str">
        <f>IFERROR(IF(B227="","",INDEX('G-6 Hedgerow Data'!$AN$3:$AZ$15,MATCH(C227,'G-6 Hedgerow Data'!$AM$3:$AM$15,0),MATCH(M227,'G-6 Hedgerow Data'!$AN$2:$AZ$2,0))),"")</f>
        <v/>
      </c>
      <c r="O227" s="276" t="str">
        <f t="shared" si="22"/>
        <v/>
      </c>
      <c r="P227" s="329" t="str">
        <f>IF(B227="","",VLOOKUP(B227,'B-1 On-Site Hedge Baseline'!$B$10:T472,16,FALSE))</f>
        <v/>
      </c>
      <c r="Q227" s="275" t="str">
        <f>IF(M227="","",VLOOKUP(M227,'G-6 Hedgerow Data'!$B$2:$AG$15,2,FALSE))</f>
        <v/>
      </c>
      <c r="R227" s="276" t="str">
        <f>IF(M227="","",VLOOKUP(M227,'G-6 Hedgerow Data'!$B$2:$AG$15,3,FALSE))</f>
        <v/>
      </c>
      <c r="S227" s="108"/>
      <c r="T227" s="314" t="str">
        <f>IFERROR(IF(S227="","",IF(AND(M227="Non-native and ornamental hedgerow",S227&lt;&gt;"Poor"),"Not possible ▲",(VLOOKUP(S227,'G-1 All Habitats'!$Z$2:$AA$9,2,FALSE)))),"")</f>
        <v/>
      </c>
      <c r="U227" s="105"/>
      <c r="V227" s="295" t="str">
        <f>IF(U227="","",IF(VLOOKUP(U227,'G-3 Multipliers'!$L$3:$N$6,2,FALSE)=0,"Spatial Data Missing ⚠",VLOOKUP(U227,'G-3 Multipliers'!$L$3:$N$6,2,FALSE)))</f>
        <v/>
      </c>
      <c r="W227" s="299" t="str">
        <f>IF(U227="","",IF(VLOOKUP(U227,'G-3 Multipliers'!$L$3:$N$6,3,FALSE)=0,"Spatial Data Missing ⚠",VLOOKUP(U227,'G-3 Multipliers'!$L$3:$N$6,3,FALSE)))</f>
        <v/>
      </c>
      <c r="X227" s="275" t="str">
        <f>IFERROR(IF(OR(LEFT(O227,5)="Error",LEFT(N227,5)="Error",T227="Error"),"Check Data ⚠",IF(F227&lt;R227,INDEX('G-6 Hedgerow Data'!$S$3:$AE$14,MATCH(C227,'G-6 Hedgerow Data'!$B$3:$B$14,0),MATCH(M227,'G-6 Hedgerow Data'!$S$2:$AE$2,0)),INDEX('G-6 Hedgerow Data'!$K$3:$Q$14,MATCH(M227,'G-6 Hedgerow Data'!$B$3:$B$14,0),MATCH(O227,'G-6 Hedgerow Data'!$K$2:$Q$2,0)))),"")</f>
        <v/>
      </c>
      <c r="Y227" s="133"/>
      <c r="Z227" s="133"/>
      <c r="AA227" s="283" t="str">
        <f t="shared" si="23"/>
        <v/>
      </c>
      <c r="AB227" s="296" t="str">
        <f t="shared" si="24"/>
        <v/>
      </c>
      <c r="AC227" s="297" t="str">
        <f t="shared" si="21"/>
        <v/>
      </c>
      <c r="AD227" s="311" t="str">
        <f>IF(M227="","",VLOOKUP(M227,'G-6 Hedgerow Data'!$B$3:$AG$15,31,FALSE))</f>
        <v/>
      </c>
      <c r="AE227" s="283" t="str">
        <f t="shared" si="25"/>
        <v/>
      </c>
      <c r="AF227" s="283" t="str">
        <f t="shared" si="26"/>
        <v/>
      </c>
      <c r="AG227" s="299" t="str">
        <f>IFERROR(IF(O227="","",VLOOKUP(AD227,'G-3 Multipliers'!$P$3:$Q$6,2,FALSE)),"")</f>
        <v/>
      </c>
      <c r="AH227" s="289" t="str">
        <f t="shared" si="27"/>
        <v/>
      </c>
      <c r="AI227" s="108"/>
      <c r="AJ227" s="115"/>
      <c r="AK227" s="104"/>
      <c r="AT227" s="30" t="str">
        <f>IFERROR(INDEX('G-6 Hedgerow Data'!$BJ$3:$BJ$15,MATCH(M227,'G-6 Hedgerow Data'!$B$3:$B$15,0)),"")</f>
        <v/>
      </c>
    </row>
    <row r="228" spans="2:46" ht="14">
      <c r="B228" s="305" t="str">
        <f>'B-1 On-Site Hedge Baseline'!AK226</f>
        <v/>
      </c>
      <c r="C228" s="295" t="str">
        <f>IF(B228="","",IF(ISNA(VLOOKUP($B228,'B-1 On-Site Hedge Baseline'!$B$1:$L$257,3,FALSE)),"",(VLOOKUP($B228,'B-1 On-Site Hedge Baseline'!$B$1:$L$257,3,FALSE))))</f>
        <v/>
      </c>
      <c r="D228" s="295" t="str">
        <f>IF(B228="","",IF(ISNA(VLOOKUP($B228,'B-1 On-Site Hedge Baseline'!$B$1:$L$257,4,FALSE)),"",(VLOOKUP($B228,'B-1 On-Site Hedge Baseline'!$B$1:$L$257,4,FALSE))))</f>
        <v/>
      </c>
      <c r="E228" s="295" t="str">
        <f>IF(B228="","",IF(ISNA(VLOOKUP($B228,'B-1 On-Site Hedge Baseline'!$B$1:$L$257,5,FALSE)),"",(VLOOKUP($B228,'B-1 On-Site Hedge Baseline'!$B$1:$L$257,5,FALSE))))</f>
        <v/>
      </c>
      <c r="F228" s="295" t="str">
        <f>IF(B228="","",IF(ISNA(VLOOKUP($B228,'B-1 On-Site Hedge Baseline'!$B$1:$L$257,6,FALSE)),"",(VLOOKUP($B228,'B-1 On-Site Hedge Baseline'!$B$1:$L$257,6,FALSE))))</f>
        <v/>
      </c>
      <c r="G228" s="295" t="str">
        <f>IF(B228="","",IF(ISNA(VLOOKUP($B228,'B-1 On-Site Hedge Baseline'!$B$1:$L$257,7,FALSE)),"",(VLOOKUP($B228,'B-1 On-Site Hedge Baseline'!$B$1:$L$257,7,FALSE))))</f>
        <v/>
      </c>
      <c r="H228" s="295" t="str">
        <f>IF(B228="","",IF(ISNA(VLOOKUP($B228,'B-1 On-Site Hedge Baseline'!$B$1:$L$257,8,FALSE)),"",(VLOOKUP($B228,'B-1 On-Site Hedge Baseline'!$B$1:$L$257,8,FALSE))))</f>
        <v/>
      </c>
      <c r="I228" s="295" t="str">
        <f>IF(B228="","",IF(ISNA(VLOOKUP($B228,'B-1 On-Site Hedge Baseline'!$B$1:$L$257,10,FALSE)),"",(VLOOKUP($B228,'B-1 On-Site Hedge Baseline'!$B$1:$L$257,10,FALSE))))</f>
        <v/>
      </c>
      <c r="J228" s="295" t="str">
        <f>IF(B228="","",IF(ISNA(VLOOKUP($B228,'B-1 On-Site Hedge Baseline'!$B$1:$L$257,11,FALSE)),"",(VLOOKUP($B228,'B-1 On-Site Hedge Baseline'!$B$1:$L$257,11,FALSE))))</f>
        <v/>
      </c>
      <c r="K228" s="295" t="str">
        <f>IF(B228="","",IF(ISNA(VLOOKUP($B228,'B-1 On-Site Hedge Baseline'!$B$1:$U$257,13,FALSE)),"",(VLOOKUP($B228,'B-1 On-Site Hedge Baseline'!$B$1:$U$257,13,FALSE))))</f>
        <v/>
      </c>
      <c r="L228" s="299" t="str">
        <f>IF(B228="","",IF(ISNA(VLOOKUP($B228,'B-1 On-Site Hedge Baseline'!$B$1:$U$257,12,FALSE)),"",(VLOOKUP($B228,'B-1 On-Site Hedge Baseline'!$B$1:$U$257,12,FALSE))))</f>
        <v/>
      </c>
      <c r="M228" s="611"/>
      <c r="N228" s="275" t="str">
        <f>IFERROR(IF(B228="","",INDEX('G-6 Hedgerow Data'!$AN$3:$AZ$15,MATCH(C228,'G-6 Hedgerow Data'!$AM$3:$AM$15,0),MATCH(M228,'G-6 Hedgerow Data'!$AN$2:$AZ$2,0))),"")</f>
        <v/>
      </c>
      <c r="O228" s="276" t="str">
        <f t="shared" si="22"/>
        <v/>
      </c>
      <c r="P228" s="329" t="str">
        <f>IF(B228="","",VLOOKUP(B228,'B-1 On-Site Hedge Baseline'!$B$10:T473,16,FALSE))</f>
        <v/>
      </c>
      <c r="Q228" s="275" t="str">
        <f>IF(M228="","",VLOOKUP(M228,'G-6 Hedgerow Data'!$B$2:$AG$15,2,FALSE))</f>
        <v/>
      </c>
      <c r="R228" s="276" t="str">
        <f>IF(M228="","",VLOOKUP(M228,'G-6 Hedgerow Data'!$B$2:$AG$15,3,FALSE))</f>
        <v/>
      </c>
      <c r="S228" s="108"/>
      <c r="T228" s="314" t="str">
        <f>IFERROR(IF(S228="","",IF(AND(M228="Non-native and ornamental hedgerow",S228&lt;&gt;"Poor"),"Not possible ▲",(VLOOKUP(S228,'G-1 All Habitats'!$Z$2:$AA$9,2,FALSE)))),"")</f>
        <v/>
      </c>
      <c r="U228" s="105"/>
      <c r="V228" s="295" t="str">
        <f>IF(U228="","",IF(VLOOKUP(U228,'G-3 Multipliers'!$L$3:$N$6,2,FALSE)=0,"Spatial Data Missing ⚠",VLOOKUP(U228,'G-3 Multipliers'!$L$3:$N$6,2,FALSE)))</f>
        <v/>
      </c>
      <c r="W228" s="299" t="str">
        <f>IF(U228="","",IF(VLOOKUP(U228,'G-3 Multipliers'!$L$3:$N$6,3,FALSE)=0,"Spatial Data Missing ⚠",VLOOKUP(U228,'G-3 Multipliers'!$L$3:$N$6,3,FALSE)))</f>
        <v/>
      </c>
      <c r="X228" s="275" t="str">
        <f>IFERROR(IF(OR(LEFT(O228,5)="Error",LEFT(N228,5)="Error",T228="Error"),"Check Data ⚠",IF(F228&lt;R228,INDEX('G-6 Hedgerow Data'!$S$3:$AE$14,MATCH(C228,'G-6 Hedgerow Data'!$B$3:$B$14,0),MATCH(M228,'G-6 Hedgerow Data'!$S$2:$AE$2,0)),INDEX('G-6 Hedgerow Data'!$K$3:$Q$14,MATCH(M228,'G-6 Hedgerow Data'!$B$3:$B$14,0),MATCH(O228,'G-6 Hedgerow Data'!$K$2:$Q$2,0)))),"")</f>
        <v/>
      </c>
      <c r="Y228" s="133"/>
      <c r="Z228" s="133"/>
      <c r="AA228" s="283" t="str">
        <f t="shared" si="23"/>
        <v/>
      </c>
      <c r="AB228" s="296" t="str">
        <f t="shared" si="24"/>
        <v/>
      </c>
      <c r="AC228" s="297" t="str">
        <f t="shared" si="21"/>
        <v/>
      </c>
      <c r="AD228" s="311" t="str">
        <f>IF(M228="","",VLOOKUP(M228,'G-6 Hedgerow Data'!$B$3:$AG$15,31,FALSE))</f>
        <v/>
      </c>
      <c r="AE228" s="283" t="str">
        <f t="shared" si="25"/>
        <v/>
      </c>
      <c r="AF228" s="283" t="str">
        <f t="shared" si="26"/>
        <v/>
      </c>
      <c r="AG228" s="299" t="str">
        <f>IFERROR(IF(O228="","",VLOOKUP(AD228,'G-3 Multipliers'!$P$3:$Q$6,2,FALSE)),"")</f>
        <v/>
      </c>
      <c r="AH228" s="289" t="str">
        <f t="shared" si="27"/>
        <v/>
      </c>
      <c r="AI228" s="108"/>
      <c r="AJ228" s="115"/>
      <c r="AK228" s="104"/>
      <c r="AT228" s="30" t="str">
        <f>IFERROR(INDEX('G-6 Hedgerow Data'!$BJ$3:$BJ$15,MATCH(M228,'G-6 Hedgerow Data'!$B$3:$B$15,0)),"")</f>
        <v/>
      </c>
    </row>
    <row r="229" spans="2:46" ht="14">
      <c r="B229" s="305" t="str">
        <f>'B-1 On-Site Hedge Baseline'!AK227</f>
        <v/>
      </c>
      <c r="C229" s="295" t="str">
        <f>IF(B229="","",IF(ISNA(VLOOKUP($B229,'B-1 On-Site Hedge Baseline'!$B$1:$L$257,3,FALSE)),"",(VLOOKUP($B229,'B-1 On-Site Hedge Baseline'!$B$1:$L$257,3,FALSE))))</f>
        <v/>
      </c>
      <c r="D229" s="295" t="str">
        <f>IF(B229="","",IF(ISNA(VLOOKUP($B229,'B-1 On-Site Hedge Baseline'!$B$1:$L$257,4,FALSE)),"",(VLOOKUP($B229,'B-1 On-Site Hedge Baseline'!$B$1:$L$257,4,FALSE))))</f>
        <v/>
      </c>
      <c r="E229" s="295" t="str">
        <f>IF(B229="","",IF(ISNA(VLOOKUP($B229,'B-1 On-Site Hedge Baseline'!$B$1:$L$257,5,FALSE)),"",(VLOOKUP($B229,'B-1 On-Site Hedge Baseline'!$B$1:$L$257,5,FALSE))))</f>
        <v/>
      </c>
      <c r="F229" s="295" t="str">
        <f>IF(B229="","",IF(ISNA(VLOOKUP($B229,'B-1 On-Site Hedge Baseline'!$B$1:$L$257,6,FALSE)),"",(VLOOKUP($B229,'B-1 On-Site Hedge Baseline'!$B$1:$L$257,6,FALSE))))</f>
        <v/>
      </c>
      <c r="G229" s="295" t="str">
        <f>IF(B229="","",IF(ISNA(VLOOKUP($B229,'B-1 On-Site Hedge Baseline'!$B$1:$L$257,7,FALSE)),"",(VLOOKUP($B229,'B-1 On-Site Hedge Baseline'!$B$1:$L$257,7,FALSE))))</f>
        <v/>
      </c>
      <c r="H229" s="295" t="str">
        <f>IF(B229="","",IF(ISNA(VLOOKUP($B229,'B-1 On-Site Hedge Baseline'!$B$1:$L$257,8,FALSE)),"",(VLOOKUP($B229,'B-1 On-Site Hedge Baseline'!$B$1:$L$257,8,FALSE))))</f>
        <v/>
      </c>
      <c r="I229" s="295" t="str">
        <f>IF(B229="","",IF(ISNA(VLOOKUP($B229,'B-1 On-Site Hedge Baseline'!$B$1:$L$257,10,FALSE)),"",(VLOOKUP($B229,'B-1 On-Site Hedge Baseline'!$B$1:$L$257,10,FALSE))))</f>
        <v/>
      </c>
      <c r="J229" s="295" t="str">
        <f>IF(B229="","",IF(ISNA(VLOOKUP($B229,'B-1 On-Site Hedge Baseline'!$B$1:$L$257,11,FALSE)),"",(VLOOKUP($B229,'B-1 On-Site Hedge Baseline'!$B$1:$L$257,11,FALSE))))</f>
        <v/>
      </c>
      <c r="K229" s="295" t="str">
        <f>IF(B229="","",IF(ISNA(VLOOKUP($B229,'B-1 On-Site Hedge Baseline'!$B$1:$U$257,13,FALSE)),"",(VLOOKUP($B229,'B-1 On-Site Hedge Baseline'!$B$1:$U$257,13,FALSE))))</f>
        <v/>
      </c>
      <c r="L229" s="299" t="str">
        <f>IF(B229="","",IF(ISNA(VLOOKUP($B229,'B-1 On-Site Hedge Baseline'!$B$1:$U$257,12,FALSE)),"",(VLOOKUP($B229,'B-1 On-Site Hedge Baseline'!$B$1:$U$257,12,FALSE))))</f>
        <v/>
      </c>
      <c r="M229" s="611"/>
      <c r="N229" s="275" t="str">
        <f>IFERROR(IF(B229="","",INDEX('G-6 Hedgerow Data'!$AN$3:$AZ$15,MATCH(C229,'G-6 Hedgerow Data'!$AM$3:$AM$15,0),MATCH(M229,'G-6 Hedgerow Data'!$AN$2:$AZ$2,0))),"")</f>
        <v/>
      </c>
      <c r="O229" s="276" t="str">
        <f t="shared" si="22"/>
        <v/>
      </c>
      <c r="P229" s="329" t="str">
        <f>IF(B229="","",VLOOKUP(B229,'B-1 On-Site Hedge Baseline'!$B$10:T474,16,FALSE))</f>
        <v/>
      </c>
      <c r="Q229" s="275" t="str">
        <f>IF(M229="","",VLOOKUP(M229,'G-6 Hedgerow Data'!$B$2:$AG$15,2,FALSE))</f>
        <v/>
      </c>
      <c r="R229" s="276" t="str">
        <f>IF(M229="","",VLOOKUP(M229,'G-6 Hedgerow Data'!$B$2:$AG$15,3,FALSE))</f>
        <v/>
      </c>
      <c r="S229" s="108"/>
      <c r="T229" s="314" t="str">
        <f>IFERROR(IF(S229="","",IF(AND(M229="Non-native and ornamental hedgerow",S229&lt;&gt;"Poor"),"Not possible ▲",(VLOOKUP(S229,'G-1 All Habitats'!$Z$2:$AA$9,2,FALSE)))),"")</f>
        <v/>
      </c>
      <c r="U229" s="105"/>
      <c r="V229" s="295" t="str">
        <f>IF(U229="","",IF(VLOOKUP(U229,'G-3 Multipliers'!$L$3:$N$6,2,FALSE)=0,"Spatial Data Missing ⚠",VLOOKUP(U229,'G-3 Multipliers'!$L$3:$N$6,2,FALSE)))</f>
        <v/>
      </c>
      <c r="W229" s="299" t="str">
        <f>IF(U229="","",IF(VLOOKUP(U229,'G-3 Multipliers'!$L$3:$N$6,3,FALSE)=0,"Spatial Data Missing ⚠",VLOOKUP(U229,'G-3 Multipliers'!$L$3:$N$6,3,FALSE)))</f>
        <v/>
      </c>
      <c r="X229" s="275" t="str">
        <f>IFERROR(IF(OR(LEFT(O229,5)="Error",LEFT(N229,5)="Error",T229="Error"),"Check Data ⚠",IF(F229&lt;R229,INDEX('G-6 Hedgerow Data'!$S$3:$AE$14,MATCH(C229,'G-6 Hedgerow Data'!$B$3:$B$14,0),MATCH(M229,'G-6 Hedgerow Data'!$S$2:$AE$2,0)),INDEX('G-6 Hedgerow Data'!$K$3:$Q$14,MATCH(M229,'G-6 Hedgerow Data'!$B$3:$B$14,0),MATCH(O229,'G-6 Hedgerow Data'!$K$2:$Q$2,0)))),"")</f>
        <v/>
      </c>
      <c r="Y229" s="133"/>
      <c r="Z229" s="133"/>
      <c r="AA229" s="283" t="str">
        <f t="shared" si="23"/>
        <v/>
      </c>
      <c r="AB229" s="296" t="str">
        <f t="shared" si="24"/>
        <v/>
      </c>
      <c r="AC229" s="297" t="str">
        <f t="shared" si="21"/>
        <v/>
      </c>
      <c r="AD229" s="311" t="str">
        <f>IF(M229="","",VLOOKUP(M229,'G-6 Hedgerow Data'!$B$3:$AG$15,31,FALSE))</f>
        <v/>
      </c>
      <c r="AE229" s="283" t="str">
        <f t="shared" si="25"/>
        <v/>
      </c>
      <c r="AF229" s="283" t="str">
        <f t="shared" si="26"/>
        <v/>
      </c>
      <c r="AG229" s="299" t="str">
        <f>IFERROR(IF(O229="","",VLOOKUP(AD229,'G-3 Multipliers'!$P$3:$Q$6,2,FALSE)),"")</f>
        <v/>
      </c>
      <c r="AH229" s="289" t="str">
        <f t="shared" si="27"/>
        <v/>
      </c>
      <c r="AI229" s="108"/>
      <c r="AJ229" s="115"/>
      <c r="AK229" s="104"/>
      <c r="AT229" s="30" t="str">
        <f>IFERROR(INDEX('G-6 Hedgerow Data'!$BJ$3:$BJ$15,MATCH(M229,'G-6 Hedgerow Data'!$B$3:$B$15,0)),"")</f>
        <v/>
      </c>
    </row>
    <row r="230" spans="2:46" ht="14">
      <c r="B230" s="305" t="str">
        <f>'B-1 On-Site Hedge Baseline'!AK228</f>
        <v/>
      </c>
      <c r="C230" s="295" t="str">
        <f>IF(B230="","",IF(ISNA(VLOOKUP($B230,'B-1 On-Site Hedge Baseline'!$B$1:$L$257,3,FALSE)),"",(VLOOKUP($B230,'B-1 On-Site Hedge Baseline'!$B$1:$L$257,3,FALSE))))</f>
        <v/>
      </c>
      <c r="D230" s="295" t="str">
        <f>IF(B230="","",IF(ISNA(VLOOKUP($B230,'B-1 On-Site Hedge Baseline'!$B$1:$L$257,4,FALSE)),"",(VLOOKUP($B230,'B-1 On-Site Hedge Baseline'!$B$1:$L$257,4,FALSE))))</f>
        <v/>
      </c>
      <c r="E230" s="295" t="str">
        <f>IF(B230="","",IF(ISNA(VLOOKUP($B230,'B-1 On-Site Hedge Baseline'!$B$1:$L$257,5,FALSE)),"",(VLOOKUP($B230,'B-1 On-Site Hedge Baseline'!$B$1:$L$257,5,FALSE))))</f>
        <v/>
      </c>
      <c r="F230" s="295" t="str">
        <f>IF(B230="","",IF(ISNA(VLOOKUP($B230,'B-1 On-Site Hedge Baseline'!$B$1:$L$257,6,FALSE)),"",(VLOOKUP($B230,'B-1 On-Site Hedge Baseline'!$B$1:$L$257,6,FALSE))))</f>
        <v/>
      </c>
      <c r="G230" s="295" t="str">
        <f>IF(B230="","",IF(ISNA(VLOOKUP($B230,'B-1 On-Site Hedge Baseline'!$B$1:$L$257,7,FALSE)),"",(VLOOKUP($B230,'B-1 On-Site Hedge Baseline'!$B$1:$L$257,7,FALSE))))</f>
        <v/>
      </c>
      <c r="H230" s="295" t="str">
        <f>IF(B230="","",IF(ISNA(VLOOKUP($B230,'B-1 On-Site Hedge Baseline'!$B$1:$L$257,8,FALSE)),"",(VLOOKUP($B230,'B-1 On-Site Hedge Baseline'!$B$1:$L$257,8,FALSE))))</f>
        <v/>
      </c>
      <c r="I230" s="295" t="str">
        <f>IF(B230="","",IF(ISNA(VLOOKUP($B230,'B-1 On-Site Hedge Baseline'!$B$1:$L$257,10,FALSE)),"",(VLOOKUP($B230,'B-1 On-Site Hedge Baseline'!$B$1:$L$257,10,FALSE))))</f>
        <v/>
      </c>
      <c r="J230" s="295" t="str">
        <f>IF(B230="","",IF(ISNA(VLOOKUP($B230,'B-1 On-Site Hedge Baseline'!$B$1:$L$257,11,FALSE)),"",(VLOOKUP($B230,'B-1 On-Site Hedge Baseline'!$B$1:$L$257,11,FALSE))))</f>
        <v/>
      </c>
      <c r="K230" s="295" t="str">
        <f>IF(B230="","",IF(ISNA(VLOOKUP($B230,'B-1 On-Site Hedge Baseline'!$B$1:$U$257,13,FALSE)),"",(VLOOKUP($B230,'B-1 On-Site Hedge Baseline'!$B$1:$U$257,13,FALSE))))</f>
        <v/>
      </c>
      <c r="L230" s="299" t="str">
        <f>IF(B230="","",IF(ISNA(VLOOKUP($B230,'B-1 On-Site Hedge Baseline'!$B$1:$U$257,12,FALSE)),"",(VLOOKUP($B230,'B-1 On-Site Hedge Baseline'!$B$1:$U$257,12,FALSE))))</f>
        <v/>
      </c>
      <c r="M230" s="611"/>
      <c r="N230" s="275" t="str">
        <f>IFERROR(IF(B230="","",INDEX('G-6 Hedgerow Data'!$AN$3:$AZ$15,MATCH(C230,'G-6 Hedgerow Data'!$AM$3:$AM$15,0),MATCH(M230,'G-6 Hedgerow Data'!$AN$2:$AZ$2,0))),"")</f>
        <v/>
      </c>
      <c r="O230" s="276" t="str">
        <f t="shared" si="22"/>
        <v/>
      </c>
      <c r="P230" s="329" t="str">
        <f>IF(B230="","",VLOOKUP(B230,'B-1 On-Site Hedge Baseline'!$B$10:T475,16,FALSE))</f>
        <v/>
      </c>
      <c r="Q230" s="275" t="str">
        <f>IF(M230="","",VLOOKUP(M230,'G-6 Hedgerow Data'!$B$2:$AG$15,2,FALSE))</f>
        <v/>
      </c>
      <c r="R230" s="276" t="str">
        <f>IF(M230="","",VLOOKUP(M230,'G-6 Hedgerow Data'!$B$2:$AG$15,3,FALSE))</f>
        <v/>
      </c>
      <c r="S230" s="108"/>
      <c r="T230" s="314" t="str">
        <f>IFERROR(IF(S230="","",IF(AND(M230="Non-native and ornamental hedgerow",S230&lt;&gt;"Poor"),"Not possible ▲",(VLOOKUP(S230,'G-1 All Habitats'!$Z$2:$AA$9,2,FALSE)))),"")</f>
        <v/>
      </c>
      <c r="U230" s="105"/>
      <c r="V230" s="295" t="str">
        <f>IF(U230="","",IF(VLOOKUP(U230,'G-3 Multipliers'!$L$3:$N$6,2,FALSE)=0,"Spatial Data Missing ⚠",VLOOKUP(U230,'G-3 Multipliers'!$L$3:$N$6,2,FALSE)))</f>
        <v/>
      </c>
      <c r="W230" s="299" t="str">
        <f>IF(U230="","",IF(VLOOKUP(U230,'G-3 Multipliers'!$L$3:$N$6,3,FALSE)=0,"Spatial Data Missing ⚠",VLOOKUP(U230,'G-3 Multipliers'!$L$3:$N$6,3,FALSE)))</f>
        <v/>
      </c>
      <c r="X230" s="275" t="str">
        <f>IFERROR(IF(OR(LEFT(O230,5)="Error",LEFT(N230,5)="Error",T230="Error"),"Check Data ⚠",IF(F230&lt;R230,INDEX('G-6 Hedgerow Data'!$S$3:$AE$14,MATCH(C230,'G-6 Hedgerow Data'!$B$3:$B$14,0),MATCH(M230,'G-6 Hedgerow Data'!$S$2:$AE$2,0)),INDEX('G-6 Hedgerow Data'!$K$3:$Q$14,MATCH(M230,'G-6 Hedgerow Data'!$B$3:$B$14,0),MATCH(O230,'G-6 Hedgerow Data'!$K$2:$Q$2,0)))),"")</f>
        <v/>
      </c>
      <c r="Y230" s="133"/>
      <c r="Z230" s="133"/>
      <c r="AA230" s="283" t="str">
        <f t="shared" si="23"/>
        <v/>
      </c>
      <c r="AB230" s="296" t="str">
        <f t="shared" si="24"/>
        <v/>
      </c>
      <c r="AC230" s="297" t="str">
        <f t="shared" si="21"/>
        <v/>
      </c>
      <c r="AD230" s="311" t="str">
        <f>IF(M230="","",VLOOKUP(M230,'G-6 Hedgerow Data'!$B$3:$AG$15,31,FALSE))</f>
        <v/>
      </c>
      <c r="AE230" s="283" t="str">
        <f t="shared" si="25"/>
        <v/>
      </c>
      <c r="AF230" s="283" t="str">
        <f t="shared" si="26"/>
        <v/>
      </c>
      <c r="AG230" s="299" t="str">
        <f>IFERROR(IF(O230="","",VLOOKUP(AD230,'G-3 Multipliers'!$P$3:$Q$6,2,FALSE)),"")</f>
        <v/>
      </c>
      <c r="AH230" s="289" t="str">
        <f t="shared" si="27"/>
        <v/>
      </c>
      <c r="AI230" s="108"/>
      <c r="AJ230" s="115"/>
      <c r="AK230" s="104"/>
      <c r="AT230" s="30" t="str">
        <f>IFERROR(INDEX('G-6 Hedgerow Data'!$BJ$3:$BJ$15,MATCH(M230,'G-6 Hedgerow Data'!$B$3:$B$15,0)),"")</f>
        <v/>
      </c>
    </row>
    <row r="231" spans="2:46" ht="14">
      <c r="B231" s="305" t="str">
        <f>'B-1 On-Site Hedge Baseline'!AK229</f>
        <v/>
      </c>
      <c r="C231" s="295" t="str">
        <f>IF(B231="","",IF(ISNA(VLOOKUP($B231,'B-1 On-Site Hedge Baseline'!$B$1:$L$257,3,FALSE)),"",(VLOOKUP($B231,'B-1 On-Site Hedge Baseline'!$B$1:$L$257,3,FALSE))))</f>
        <v/>
      </c>
      <c r="D231" s="295" t="str">
        <f>IF(B231="","",IF(ISNA(VLOOKUP($B231,'B-1 On-Site Hedge Baseline'!$B$1:$L$257,4,FALSE)),"",(VLOOKUP($B231,'B-1 On-Site Hedge Baseline'!$B$1:$L$257,4,FALSE))))</f>
        <v/>
      </c>
      <c r="E231" s="295" t="str">
        <f>IF(B231="","",IF(ISNA(VLOOKUP($B231,'B-1 On-Site Hedge Baseline'!$B$1:$L$257,5,FALSE)),"",(VLOOKUP($B231,'B-1 On-Site Hedge Baseline'!$B$1:$L$257,5,FALSE))))</f>
        <v/>
      </c>
      <c r="F231" s="295" t="str">
        <f>IF(B231="","",IF(ISNA(VLOOKUP($B231,'B-1 On-Site Hedge Baseline'!$B$1:$L$257,6,FALSE)),"",(VLOOKUP($B231,'B-1 On-Site Hedge Baseline'!$B$1:$L$257,6,FALSE))))</f>
        <v/>
      </c>
      <c r="G231" s="295" t="str">
        <f>IF(B231="","",IF(ISNA(VLOOKUP($B231,'B-1 On-Site Hedge Baseline'!$B$1:$L$257,7,FALSE)),"",(VLOOKUP($B231,'B-1 On-Site Hedge Baseline'!$B$1:$L$257,7,FALSE))))</f>
        <v/>
      </c>
      <c r="H231" s="295" t="str">
        <f>IF(B231="","",IF(ISNA(VLOOKUP($B231,'B-1 On-Site Hedge Baseline'!$B$1:$L$257,8,FALSE)),"",(VLOOKUP($B231,'B-1 On-Site Hedge Baseline'!$B$1:$L$257,8,FALSE))))</f>
        <v/>
      </c>
      <c r="I231" s="295" t="str">
        <f>IF(B231="","",IF(ISNA(VLOOKUP($B231,'B-1 On-Site Hedge Baseline'!$B$1:$L$257,10,FALSE)),"",(VLOOKUP($B231,'B-1 On-Site Hedge Baseline'!$B$1:$L$257,10,FALSE))))</f>
        <v/>
      </c>
      <c r="J231" s="295" t="str">
        <f>IF(B231="","",IF(ISNA(VLOOKUP($B231,'B-1 On-Site Hedge Baseline'!$B$1:$L$257,11,FALSE)),"",(VLOOKUP($B231,'B-1 On-Site Hedge Baseline'!$B$1:$L$257,11,FALSE))))</f>
        <v/>
      </c>
      <c r="K231" s="295" t="str">
        <f>IF(B231="","",IF(ISNA(VLOOKUP($B231,'B-1 On-Site Hedge Baseline'!$B$1:$U$257,13,FALSE)),"",(VLOOKUP($B231,'B-1 On-Site Hedge Baseline'!$B$1:$U$257,13,FALSE))))</f>
        <v/>
      </c>
      <c r="L231" s="299" t="str">
        <f>IF(B231="","",IF(ISNA(VLOOKUP($B231,'B-1 On-Site Hedge Baseline'!$B$1:$U$257,12,FALSE)),"",(VLOOKUP($B231,'B-1 On-Site Hedge Baseline'!$B$1:$U$257,12,FALSE))))</f>
        <v/>
      </c>
      <c r="M231" s="611"/>
      <c r="N231" s="275" t="str">
        <f>IFERROR(IF(B231="","",INDEX('G-6 Hedgerow Data'!$AN$3:$AZ$15,MATCH(C231,'G-6 Hedgerow Data'!$AM$3:$AM$15,0),MATCH(M231,'G-6 Hedgerow Data'!$AN$2:$AZ$2,0))),"")</f>
        <v/>
      </c>
      <c r="O231" s="276" t="str">
        <f t="shared" si="22"/>
        <v/>
      </c>
      <c r="P231" s="329" t="str">
        <f>IF(B231="","",VLOOKUP(B231,'B-1 On-Site Hedge Baseline'!$B$10:T476,16,FALSE))</f>
        <v/>
      </c>
      <c r="Q231" s="275" t="str">
        <f>IF(M231="","",VLOOKUP(M231,'G-6 Hedgerow Data'!$B$2:$AG$15,2,FALSE))</f>
        <v/>
      </c>
      <c r="R231" s="276" t="str">
        <f>IF(M231="","",VLOOKUP(M231,'G-6 Hedgerow Data'!$B$2:$AG$15,3,FALSE))</f>
        <v/>
      </c>
      <c r="S231" s="108"/>
      <c r="T231" s="314" t="str">
        <f>IFERROR(IF(S231="","",IF(AND(M231="Non-native and ornamental hedgerow",S231&lt;&gt;"Poor"),"Not possible ▲",(VLOOKUP(S231,'G-1 All Habitats'!$Z$2:$AA$9,2,FALSE)))),"")</f>
        <v/>
      </c>
      <c r="U231" s="105"/>
      <c r="V231" s="295" t="str">
        <f>IF(U231="","",IF(VLOOKUP(U231,'G-3 Multipliers'!$L$3:$N$6,2,FALSE)=0,"Spatial Data Missing ⚠",VLOOKUP(U231,'G-3 Multipliers'!$L$3:$N$6,2,FALSE)))</f>
        <v/>
      </c>
      <c r="W231" s="299" t="str">
        <f>IF(U231="","",IF(VLOOKUP(U231,'G-3 Multipliers'!$L$3:$N$6,3,FALSE)=0,"Spatial Data Missing ⚠",VLOOKUP(U231,'G-3 Multipliers'!$L$3:$N$6,3,FALSE)))</f>
        <v/>
      </c>
      <c r="X231" s="275" t="str">
        <f>IFERROR(IF(OR(LEFT(O231,5)="Error",LEFT(N231,5)="Error",T231="Error"),"Check Data ⚠",IF(F231&lt;R231,INDEX('G-6 Hedgerow Data'!$S$3:$AE$14,MATCH(C231,'G-6 Hedgerow Data'!$B$3:$B$14,0),MATCH(M231,'G-6 Hedgerow Data'!$S$2:$AE$2,0)),INDEX('G-6 Hedgerow Data'!$K$3:$Q$14,MATCH(M231,'G-6 Hedgerow Data'!$B$3:$B$14,0),MATCH(O231,'G-6 Hedgerow Data'!$K$2:$Q$2,0)))),"")</f>
        <v/>
      </c>
      <c r="Y231" s="133"/>
      <c r="Z231" s="133"/>
      <c r="AA231" s="283" t="str">
        <f t="shared" si="23"/>
        <v/>
      </c>
      <c r="AB231" s="296" t="str">
        <f t="shared" si="24"/>
        <v/>
      </c>
      <c r="AC231" s="297" t="str">
        <f t="shared" si="21"/>
        <v/>
      </c>
      <c r="AD231" s="311" t="str">
        <f>IF(M231="","",VLOOKUP(M231,'G-6 Hedgerow Data'!$B$3:$AG$15,31,FALSE))</f>
        <v/>
      </c>
      <c r="AE231" s="283" t="str">
        <f t="shared" si="25"/>
        <v/>
      </c>
      <c r="AF231" s="283" t="str">
        <f t="shared" si="26"/>
        <v/>
      </c>
      <c r="AG231" s="299" t="str">
        <f>IFERROR(IF(O231="","",VLOOKUP(AD231,'G-3 Multipliers'!$P$3:$Q$6,2,FALSE)),"")</f>
        <v/>
      </c>
      <c r="AH231" s="289" t="str">
        <f t="shared" si="27"/>
        <v/>
      </c>
      <c r="AI231" s="108"/>
      <c r="AJ231" s="115"/>
      <c r="AK231" s="104"/>
      <c r="AT231" s="30" t="str">
        <f>IFERROR(INDEX('G-6 Hedgerow Data'!$BJ$3:$BJ$15,MATCH(M231,'G-6 Hedgerow Data'!$B$3:$B$15,0)),"")</f>
        <v/>
      </c>
    </row>
    <row r="232" spans="2:46" ht="14">
      <c r="B232" s="305" t="str">
        <f>'B-1 On-Site Hedge Baseline'!AK230</f>
        <v/>
      </c>
      <c r="C232" s="295" t="str">
        <f>IF(B232="","",IF(ISNA(VLOOKUP($B232,'B-1 On-Site Hedge Baseline'!$B$1:$L$257,3,FALSE)),"",(VLOOKUP($B232,'B-1 On-Site Hedge Baseline'!$B$1:$L$257,3,FALSE))))</f>
        <v/>
      </c>
      <c r="D232" s="295" t="str">
        <f>IF(B232="","",IF(ISNA(VLOOKUP($B232,'B-1 On-Site Hedge Baseline'!$B$1:$L$257,4,FALSE)),"",(VLOOKUP($B232,'B-1 On-Site Hedge Baseline'!$B$1:$L$257,4,FALSE))))</f>
        <v/>
      </c>
      <c r="E232" s="295" t="str">
        <f>IF(B232="","",IF(ISNA(VLOOKUP($B232,'B-1 On-Site Hedge Baseline'!$B$1:$L$257,5,FALSE)),"",(VLOOKUP($B232,'B-1 On-Site Hedge Baseline'!$B$1:$L$257,5,FALSE))))</f>
        <v/>
      </c>
      <c r="F232" s="295" t="str">
        <f>IF(B232="","",IF(ISNA(VLOOKUP($B232,'B-1 On-Site Hedge Baseline'!$B$1:$L$257,6,FALSE)),"",(VLOOKUP($B232,'B-1 On-Site Hedge Baseline'!$B$1:$L$257,6,FALSE))))</f>
        <v/>
      </c>
      <c r="G232" s="295" t="str">
        <f>IF(B232="","",IF(ISNA(VLOOKUP($B232,'B-1 On-Site Hedge Baseline'!$B$1:$L$257,7,FALSE)),"",(VLOOKUP($B232,'B-1 On-Site Hedge Baseline'!$B$1:$L$257,7,FALSE))))</f>
        <v/>
      </c>
      <c r="H232" s="295" t="str">
        <f>IF(B232="","",IF(ISNA(VLOOKUP($B232,'B-1 On-Site Hedge Baseline'!$B$1:$L$257,8,FALSE)),"",(VLOOKUP($B232,'B-1 On-Site Hedge Baseline'!$B$1:$L$257,8,FALSE))))</f>
        <v/>
      </c>
      <c r="I232" s="295" t="str">
        <f>IF(B232="","",IF(ISNA(VLOOKUP($B232,'B-1 On-Site Hedge Baseline'!$B$1:$L$257,10,FALSE)),"",(VLOOKUP($B232,'B-1 On-Site Hedge Baseline'!$B$1:$L$257,10,FALSE))))</f>
        <v/>
      </c>
      <c r="J232" s="295" t="str">
        <f>IF(B232="","",IF(ISNA(VLOOKUP($B232,'B-1 On-Site Hedge Baseline'!$B$1:$L$257,11,FALSE)),"",(VLOOKUP($B232,'B-1 On-Site Hedge Baseline'!$B$1:$L$257,11,FALSE))))</f>
        <v/>
      </c>
      <c r="K232" s="295" t="str">
        <f>IF(B232="","",IF(ISNA(VLOOKUP($B232,'B-1 On-Site Hedge Baseline'!$B$1:$U$257,13,FALSE)),"",(VLOOKUP($B232,'B-1 On-Site Hedge Baseline'!$B$1:$U$257,13,FALSE))))</f>
        <v/>
      </c>
      <c r="L232" s="299" t="str">
        <f>IF(B232="","",IF(ISNA(VLOOKUP($B232,'B-1 On-Site Hedge Baseline'!$B$1:$U$257,12,FALSE)),"",(VLOOKUP($B232,'B-1 On-Site Hedge Baseline'!$B$1:$U$257,12,FALSE))))</f>
        <v/>
      </c>
      <c r="M232" s="611"/>
      <c r="N232" s="275" t="str">
        <f>IFERROR(IF(B232="","",INDEX('G-6 Hedgerow Data'!$AN$3:$AZ$15,MATCH(C232,'G-6 Hedgerow Data'!$AM$3:$AM$15,0),MATCH(M232,'G-6 Hedgerow Data'!$AN$2:$AZ$2,0))),"")</f>
        <v/>
      </c>
      <c r="O232" s="276" t="str">
        <f t="shared" si="22"/>
        <v/>
      </c>
      <c r="P232" s="329" t="str">
        <f>IF(B232="","",VLOOKUP(B232,'B-1 On-Site Hedge Baseline'!$B$10:T477,16,FALSE))</f>
        <v/>
      </c>
      <c r="Q232" s="275" t="str">
        <f>IF(M232="","",VLOOKUP(M232,'G-6 Hedgerow Data'!$B$2:$AG$15,2,FALSE))</f>
        <v/>
      </c>
      <c r="R232" s="276" t="str">
        <f>IF(M232="","",VLOOKUP(M232,'G-6 Hedgerow Data'!$B$2:$AG$15,3,FALSE))</f>
        <v/>
      </c>
      <c r="S232" s="108"/>
      <c r="T232" s="314" t="str">
        <f>IFERROR(IF(S232="","",IF(AND(M232="Non-native and ornamental hedgerow",S232&lt;&gt;"Poor"),"Not possible ▲",(VLOOKUP(S232,'G-1 All Habitats'!$Z$2:$AA$9,2,FALSE)))),"")</f>
        <v/>
      </c>
      <c r="U232" s="105"/>
      <c r="V232" s="295" t="str">
        <f>IF(U232="","",IF(VLOOKUP(U232,'G-3 Multipliers'!$L$3:$N$6,2,FALSE)=0,"Spatial Data Missing ⚠",VLOOKUP(U232,'G-3 Multipliers'!$L$3:$N$6,2,FALSE)))</f>
        <v/>
      </c>
      <c r="W232" s="299" t="str">
        <f>IF(U232="","",IF(VLOOKUP(U232,'G-3 Multipliers'!$L$3:$N$6,3,FALSE)=0,"Spatial Data Missing ⚠",VLOOKUP(U232,'G-3 Multipliers'!$L$3:$N$6,3,FALSE)))</f>
        <v/>
      </c>
      <c r="X232" s="275" t="str">
        <f>IFERROR(IF(OR(LEFT(O232,5)="Error",LEFT(N232,5)="Error",T232="Error"),"Check Data ⚠",IF(F232&lt;R232,INDEX('G-6 Hedgerow Data'!$S$3:$AE$14,MATCH(C232,'G-6 Hedgerow Data'!$B$3:$B$14,0),MATCH(M232,'G-6 Hedgerow Data'!$S$2:$AE$2,0)),INDEX('G-6 Hedgerow Data'!$K$3:$Q$14,MATCH(M232,'G-6 Hedgerow Data'!$B$3:$B$14,0),MATCH(O232,'G-6 Hedgerow Data'!$K$2:$Q$2,0)))),"")</f>
        <v/>
      </c>
      <c r="Y232" s="133"/>
      <c r="Z232" s="133"/>
      <c r="AA232" s="283" t="str">
        <f t="shared" si="23"/>
        <v/>
      </c>
      <c r="AB232" s="296" t="str">
        <f t="shared" si="24"/>
        <v/>
      </c>
      <c r="AC232" s="297" t="str">
        <f t="shared" si="21"/>
        <v/>
      </c>
      <c r="AD232" s="311" t="str">
        <f>IF(M232="","",VLOOKUP(M232,'G-6 Hedgerow Data'!$B$3:$AG$15,31,FALSE))</f>
        <v/>
      </c>
      <c r="AE232" s="283" t="str">
        <f t="shared" si="25"/>
        <v/>
      </c>
      <c r="AF232" s="283" t="str">
        <f t="shared" si="26"/>
        <v/>
      </c>
      <c r="AG232" s="299" t="str">
        <f>IFERROR(IF(O232="","",VLOOKUP(AD232,'G-3 Multipliers'!$P$3:$Q$6,2,FALSE)),"")</f>
        <v/>
      </c>
      <c r="AH232" s="289" t="str">
        <f t="shared" si="27"/>
        <v/>
      </c>
      <c r="AI232" s="108"/>
      <c r="AJ232" s="115"/>
      <c r="AK232" s="104"/>
      <c r="AT232" s="30" t="str">
        <f>IFERROR(INDEX('G-6 Hedgerow Data'!$BJ$3:$BJ$15,MATCH(M232,'G-6 Hedgerow Data'!$B$3:$B$15,0)),"")</f>
        <v/>
      </c>
    </row>
    <row r="233" spans="2:46" ht="14">
      <c r="B233" s="305" t="str">
        <f>'B-1 On-Site Hedge Baseline'!AK231</f>
        <v/>
      </c>
      <c r="C233" s="295" t="str">
        <f>IF(B233="","",IF(ISNA(VLOOKUP($B233,'B-1 On-Site Hedge Baseline'!$B$1:$L$257,3,FALSE)),"",(VLOOKUP($B233,'B-1 On-Site Hedge Baseline'!$B$1:$L$257,3,FALSE))))</f>
        <v/>
      </c>
      <c r="D233" s="295" t="str">
        <f>IF(B233="","",IF(ISNA(VLOOKUP($B233,'B-1 On-Site Hedge Baseline'!$B$1:$L$257,4,FALSE)),"",(VLOOKUP($B233,'B-1 On-Site Hedge Baseline'!$B$1:$L$257,4,FALSE))))</f>
        <v/>
      </c>
      <c r="E233" s="295" t="str">
        <f>IF(B233="","",IF(ISNA(VLOOKUP($B233,'B-1 On-Site Hedge Baseline'!$B$1:$L$257,5,FALSE)),"",(VLOOKUP($B233,'B-1 On-Site Hedge Baseline'!$B$1:$L$257,5,FALSE))))</f>
        <v/>
      </c>
      <c r="F233" s="295" t="str">
        <f>IF(B233="","",IF(ISNA(VLOOKUP($B233,'B-1 On-Site Hedge Baseline'!$B$1:$L$257,6,FALSE)),"",(VLOOKUP($B233,'B-1 On-Site Hedge Baseline'!$B$1:$L$257,6,FALSE))))</f>
        <v/>
      </c>
      <c r="G233" s="295" t="str">
        <f>IF(B233="","",IF(ISNA(VLOOKUP($B233,'B-1 On-Site Hedge Baseline'!$B$1:$L$257,7,FALSE)),"",(VLOOKUP($B233,'B-1 On-Site Hedge Baseline'!$B$1:$L$257,7,FALSE))))</f>
        <v/>
      </c>
      <c r="H233" s="295" t="str">
        <f>IF(B233="","",IF(ISNA(VLOOKUP($B233,'B-1 On-Site Hedge Baseline'!$B$1:$L$257,8,FALSE)),"",(VLOOKUP($B233,'B-1 On-Site Hedge Baseline'!$B$1:$L$257,8,FALSE))))</f>
        <v/>
      </c>
      <c r="I233" s="295" t="str">
        <f>IF(B233="","",IF(ISNA(VLOOKUP($B233,'B-1 On-Site Hedge Baseline'!$B$1:$L$257,10,FALSE)),"",(VLOOKUP($B233,'B-1 On-Site Hedge Baseline'!$B$1:$L$257,10,FALSE))))</f>
        <v/>
      </c>
      <c r="J233" s="295" t="str">
        <f>IF(B233="","",IF(ISNA(VLOOKUP($B233,'B-1 On-Site Hedge Baseline'!$B$1:$L$257,11,FALSE)),"",(VLOOKUP($B233,'B-1 On-Site Hedge Baseline'!$B$1:$L$257,11,FALSE))))</f>
        <v/>
      </c>
      <c r="K233" s="295" t="str">
        <f>IF(B233="","",IF(ISNA(VLOOKUP($B233,'B-1 On-Site Hedge Baseline'!$B$1:$U$257,13,FALSE)),"",(VLOOKUP($B233,'B-1 On-Site Hedge Baseline'!$B$1:$U$257,13,FALSE))))</f>
        <v/>
      </c>
      <c r="L233" s="299" t="str">
        <f>IF(B233="","",IF(ISNA(VLOOKUP($B233,'B-1 On-Site Hedge Baseline'!$B$1:$U$257,12,FALSE)),"",(VLOOKUP($B233,'B-1 On-Site Hedge Baseline'!$B$1:$U$257,12,FALSE))))</f>
        <v/>
      </c>
      <c r="M233" s="611"/>
      <c r="N233" s="275" t="str">
        <f>IFERROR(IF(B233="","",INDEX('G-6 Hedgerow Data'!$AN$3:$AZ$15,MATCH(C233,'G-6 Hedgerow Data'!$AM$3:$AM$15,0),MATCH(M233,'G-6 Hedgerow Data'!$AN$2:$AZ$2,0))),"")</f>
        <v/>
      </c>
      <c r="O233" s="276" t="str">
        <f t="shared" si="22"/>
        <v/>
      </c>
      <c r="P233" s="329" t="str">
        <f>IF(B233="","",VLOOKUP(B233,'B-1 On-Site Hedge Baseline'!$B$10:T478,16,FALSE))</f>
        <v/>
      </c>
      <c r="Q233" s="275" t="str">
        <f>IF(M233="","",VLOOKUP(M233,'G-6 Hedgerow Data'!$B$2:$AG$15,2,FALSE))</f>
        <v/>
      </c>
      <c r="R233" s="276" t="str">
        <f>IF(M233="","",VLOOKUP(M233,'G-6 Hedgerow Data'!$B$2:$AG$15,3,FALSE))</f>
        <v/>
      </c>
      <c r="S233" s="108"/>
      <c r="T233" s="314" t="str">
        <f>IFERROR(IF(S233="","",IF(AND(M233="Non-native and ornamental hedgerow",S233&lt;&gt;"Poor"),"Not possible ▲",(VLOOKUP(S233,'G-1 All Habitats'!$Z$2:$AA$9,2,FALSE)))),"")</f>
        <v/>
      </c>
      <c r="U233" s="105"/>
      <c r="V233" s="295" t="str">
        <f>IF(U233="","",IF(VLOOKUP(U233,'G-3 Multipliers'!$L$3:$N$6,2,FALSE)=0,"Spatial Data Missing ⚠",VLOOKUP(U233,'G-3 Multipliers'!$L$3:$N$6,2,FALSE)))</f>
        <v/>
      </c>
      <c r="W233" s="299" t="str">
        <f>IF(U233="","",IF(VLOOKUP(U233,'G-3 Multipliers'!$L$3:$N$6,3,FALSE)=0,"Spatial Data Missing ⚠",VLOOKUP(U233,'G-3 Multipliers'!$L$3:$N$6,3,FALSE)))</f>
        <v/>
      </c>
      <c r="X233" s="275" t="str">
        <f>IFERROR(IF(OR(LEFT(O233,5)="Error",LEFT(N233,5)="Error",T233="Error"),"Check Data ⚠",IF(F233&lt;R233,INDEX('G-6 Hedgerow Data'!$S$3:$AE$14,MATCH(C233,'G-6 Hedgerow Data'!$B$3:$B$14,0),MATCH(M233,'G-6 Hedgerow Data'!$S$2:$AE$2,0)),INDEX('G-6 Hedgerow Data'!$K$3:$Q$14,MATCH(M233,'G-6 Hedgerow Data'!$B$3:$B$14,0),MATCH(O233,'G-6 Hedgerow Data'!$K$2:$Q$2,0)))),"")</f>
        <v/>
      </c>
      <c r="Y233" s="133"/>
      <c r="Z233" s="133"/>
      <c r="AA233" s="283" t="str">
        <f t="shared" si="23"/>
        <v/>
      </c>
      <c r="AB233" s="296" t="str">
        <f t="shared" si="24"/>
        <v/>
      </c>
      <c r="AC233" s="297" t="str">
        <f t="shared" si="21"/>
        <v/>
      </c>
      <c r="AD233" s="311" t="str">
        <f>IF(M233="","",VLOOKUP(M233,'G-6 Hedgerow Data'!$B$3:$AG$15,31,FALSE))</f>
        <v/>
      </c>
      <c r="AE233" s="283" t="str">
        <f t="shared" si="25"/>
        <v/>
      </c>
      <c r="AF233" s="283" t="str">
        <f t="shared" si="26"/>
        <v/>
      </c>
      <c r="AG233" s="299" t="str">
        <f>IFERROR(IF(O233="","",VLOOKUP(AD233,'G-3 Multipliers'!$P$3:$Q$6,2,FALSE)),"")</f>
        <v/>
      </c>
      <c r="AH233" s="289" t="str">
        <f t="shared" si="27"/>
        <v/>
      </c>
      <c r="AI233" s="108"/>
      <c r="AJ233" s="115"/>
      <c r="AK233" s="104"/>
      <c r="AT233" s="30" t="str">
        <f>IFERROR(INDEX('G-6 Hedgerow Data'!$BJ$3:$BJ$15,MATCH(M233,'G-6 Hedgerow Data'!$B$3:$B$15,0)),"")</f>
        <v/>
      </c>
    </row>
    <row r="234" spans="2:46" ht="14">
      <c r="B234" s="305" t="str">
        <f>'B-1 On-Site Hedge Baseline'!AK232</f>
        <v/>
      </c>
      <c r="C234" s="295" t="str">
        <f>IF(B234="","",IF(ISNA(VLOOKUP($B234,'B-1 On-Site Hedge Baseline'!$B$1:$L$257,3,FALSE)),"",(VLOOKUP($B234,'B-1 On-Site Hedge Baseline'!$B$1:$L$257,3,FALSE))))</f>
        <v/>
      </c>
      <c r="D234" s="295" t="str">
        <f>IF(B234="","",IF(ISNA(VLOOKUP($B234,'B-1 On-Site Hedge Baseline'!$B$1:$L$257,4,FALSE)),"",(VLOOKUP($B234,'B-1 On-Site Hedge Baseline'!$B$1:$L$257,4,FALSE))))</f>
        <v/>
      </c>
      <c r="E234" s="295" t="str">
        <f>IF(B234="","",IF(ISNA(VLOOKUP($B234,'B-1 On-Site Hedge Baseline'!$B$1:$L$257,5,FALSE)),"",(VLOOKUP($B234,'B-1 On-Site Hedge Baseline'!$B$1:$L$257,5,FALSE))))</f>
        <v/>
      </c>
      <c r="F234" s="295" t="str">
        <f>IF(B234="","",IF(ISNA(VLOOKUP($B234,'B-1 On-Site Hedge Baseline'!$B$1:$L$257,6,FALSE)),"",(VLOOKUP($B234,'B-1 On-Site Hedge Baseline'!$B$1:$L$257,6,FALSE))))</f>
        <v/>
      </c>
      <c r="G234" s="295" t="str">
        <f>IF(B234="","",IF(ISNA(VLOOKUP($B234,'B-1 On-Site Hedge Baseline'!$B$1:$L$257,7,FALSE)),"",(VLOOKUP($B234,'B-1 On-Site Hedge Baseline'!$B$1:$L$257,7,FALSE))))</f>
        <v/>
      </c>
      <c r="H234" s="295" t="str">
        <f>IF(B234="","",IF(ISNA(VLOOKUP($B234,'B-1 On-Site Hedge Baseline'!$B$1:$L$257,8,FALSE)),"",(VLOOKUP($B234,'B-1 On-Site Hedge Baseline'!$B$1:$L$257,8,FALSE))))</f>
        <v/>
      </c>
      <c r="I234" s="295" t="str">
        <f>IF(B234="","",IF(ISNA(VLOOKUP($B234,'B-1 On-Site Hedge Baseline'!$B$1:$L$257,10,FALSE)),"",(VLOOKUP($B234,'B-1 On-Site Hedge Baseline'!$B$1:$L$257,10,FALSE))))</f>
        <v/>
      </c>
      <c r="J234" s="295" t="str">
        <f>IF(B234="","",IF(ISNA(VLOOKUP($B234,'B-1 On-Site Hedge Baseline'!$B$1:$L$257,11,FALSE)),"",(VLOOKUP($B234,'B-1 On-Site Hedge Baseline'!$B$1:$L$257,11,FALSE))))</f>
        <v/>
      </c>
      <c r="K234" s="295" t="str">
        <f>IF(B234="","",IF(ISNA(VLOOKUP($B234,'B-1 On-Site Hedge Baseline'!$B$1:$U$257,13,FALSE)),"",(VLOOKUP($B234,'B-1 On-Site Hedge Baseline'!$B$1:$U$257,13,FALSE))))</f>
        <v/>
      </c>
      <c r="L234" s="299" t="str">
        <f>IF(B234="","",IF(ISNA(VLOOKUP($B234,'B-1 On-Site Hedge Baseline'!$B$1:$U$257,12,FALSE)),"",(VLOOKUP($B234,'B-1 On-Site Hedge Baseline'!$B$1:$U$257,12,FALSE))))</f>
        <v/>
      </c>
      <c r="M234" s="611"/>
      <c r="N234" s="275" t="str">
        <f>IFERROR(IF(B234="","",INDEX('G-6 Hedgerow Data'!$AN$3:$AZ$15,MATCH(C234,'G-6 Hedgerow Data'!$AM$3:$AM$15,0),MATCH(M234,'G-6 Hedgerow Data'!$AN$2:$AZ$2,0))),"")</f>
        <v/>
      </c>
      <c r="O234" s="276" t="str">
        <f t="shared" si="22"/>
        <v/>
      </c>
      <c r="P234" s="329" t="str">
        <f>IF(B234="","",VLOOKUP(B234,'B-1 On-Site Hedge Baseline'!$B$10:T479,16,FALSE))</f>
        <v/>
      </c>
      <c r="Q234" s="275" t="str">
        <f>IF(M234="","",VLOOKUP(M234,'G-6 Hedgerow Data'!$B$2:$AG$15,2,FALSE))</f>
        <v/>
      </c>
      <c r="R234" s="276" t="str">
        <f>IF(M234="","",VLOOKUP(M234,'G-6 Hedgerow Data'!$B$2:$AG$15,3,FALSE))</f>
        <v/>
      </c>
      <c r="S234" s="108"/>
      <c r="T234" s="314" t="str">
        <f>IFERROR(IF(S234="","",IF(AND(M234="Non-native and ornamental hedgerow",S234&lt;&gt;"Poor"),"Not possible ▲",(VLOOKUP(S234,'G-1 All Habitats'!$Z$2:$AA$9,2,FALSE)))),"")</f>
        <v/>
      </c>
      <c r="U234" s="105"/>
      <c r="V234" s="295" t="str">
        <f>IF(U234="","",IF(VLOOKUP(U234,'G-3 Multipliers'!$L$3:$N$6,2,FALSE)=0,"Spatial Data Missing ⚠",VLOOKUP(U234,'G-3 Multipliers'!$L$3:$N$6,2,FALSE)))</f>
        <v/>
      </c>
      <c r="W234" s="299" t="str">
        <f>IF(U234="","",IF(VLOOKUP(U234,'G-3 Multipliers'!$L$3:$N$6,3,FALSE)=0,"Spatial Data Missing ⚠",VLOOKUP(U234,'G-3 Multipliers'!$L$3:$N$6,3,FALSE)))</f>
        <v/>
      </c>
      <c r="X234" s="275" t="str">
        <f>IFERROR(IF(OR(LEFT(O234,5)="Error",LEFT(N234,5)="Error",T234="Error"),"Check Data ⚠",IF(F234&lt;R234,INDEX('G-6 Hedgerow Data'!$S$3:$AE$14,MATCH(C234,'G-6 Hedgerow Data'!$B$3:$B$14,0),MATCH(M234,'G-6 Hedgerow Data'!$S$2:$AE$2,0)),INDEX('G-6 Hedgerow Data'!$K$3:$Q$14,MATCH(M234,'G-6 Hedgerow Data'!$B$3:$B$14,0),MATCH(O234,'G-6 Hedgerow Data'!$K$2:$Q$2,0)))),"")</f>
        <v/>
      </c>
      <c r="Y234" s="133"/>
      <c r="Z234" s="133"/>
      <c r="AA234" s="283" t="str">
        <f t="shared" si="23"/>
        <v/>
      </c>
      <c r="AB234" s="296" t="str">
        <f t="shared" si="24"/>
        <v/>
      </c>
      <c r="AC234" s="297" t="str">
        <f t="shared" si="21"/>
        <v/>
      </c>
      <c r="AD234" s="311" t="str">
        <f>IF(M234="","",VLOOKUP(M234,'G-6 Hedgerow Data'!$B$3:$AG$15,31,FALSE))</f>
        <v/>
      </c>
      <c r="AE234" s="283" t="str">
        <f t="shared" si="25"/>
        <v/>
      </c>
      <c r="AF234" s="283" t="str">
        <f t="shared" si="26"/>
        <v/>
      </c>
      <c r="AG234" s="299" t="str">
        <f>IFERROR(IF(O234="","",VLOOKUP(AD234,'G-3 Multipliers'!$P$3:$Q$6,2,FALSE)),"")</f>
        <v/>
      </c>
      <c r="AH234" s="289" t="str">
        <f t="shared" si="27"/>
        <v/>
      </c>
      <c r="AI234" s="108"/>
      <c r="AJ234" s="115"/>
      <c r="AK234" s="104"/>
      <c r="AT234" s="30" t="str">
        <f>IFERROR(INDEX('G-6 Hedgerow Data'!$BJ$3:$BJ$15,MATCH(M234,'G-6 Hedgerow Data'!$B$3:$B$15,0)),"")</f>
        <v/>
      </c>
    </row>
    <row r="235" spans="2:46" ht="14">
      <c r="B235" s="305" t="str">
        <f>'B-1 On-Site Hedge Baseline'!AK233</f>
        <v/>
      </c>
      <c r="C235" s="295" t="str">
        <f>IF(B235="","",IF(ISNA(VLOOKUP($B235,'B-1 On-Site Hedge Baseline'!$B$1:$L$257,3,FALSE)),"",(VLOOKUP($B235,'B-1 On-Site Hedge Baseline'!$B$1:$L$257,3,FALSE))))</f>
        <v/>
      </c>
      <c r="D235" s="295" t="str">
        <f>IF(B235="","",IF(ISNA(VLOOKUP($B235,'B-1 On-Site Hedge Baseline'!$B$1:$L$257,4,FALSE)),"",(VLOOKUP($B235,'B-1 On-Site Hedge Baseline'!$B$1:$L$257,4,FALSE))))</f>
        <v/>
      </c>
      <c r="E235" s="295" t="str">
        <f>IF(B235="","",IF(ISNA(VLOOKUP($B235,'B-1 On-Site Hedge Baseline'!$B$1:$L$257,5,FALSE)),"",(VLOOKUP($B235,'B-1 On-Site Hedge Baseline'!$B$1:$L$257,5,FALSE))))</f>
        <v/>
      </c>
      <c r="F235" s="295" t="str">
        <f>IF(B235="","",IF(ISNA(VLOOKUP($B235,'B-1 On-Site Hedge Baseline'!$B$1:$L$257,6,FALSE)),"",(VLOOKUP($B235,'B-1 On-Site Hedge Baseline'!$B$1:$L$257,6,FALSE))))</f>
        <v/>
      </c>
      <c r="G235" s="295" t="str">
        <f>IF(B235="","",IF(ISNA(VLOOKUP($B235,'B-1 On-Site Hedge Baseline'!$B$1:$L$257,7,FALSE)),"",(VLOOKUP($B235,'B-1 On-Site Hedge Baseline'!$B$1:$L$257,7,FALSE))))</f>
        <v/>
      </c>
      <c r="H235" s="295" t="str">
        <f>IF(B235="","",IF(ISNA(VLOOKUP($B235,'B-1 On-Site Hedge Baseline'!$B$1:$L$257,8,FALSE)),"",(VLOOKUP($B235,'B-1 On-Site Hedge Baseline'!$B$1:$L$257,8,FALSE))))</f>
        <v/>
      </c>
      <c r="I235" s="295" t="str">
        <f>IF(B235="","",IF(ISNA(VLOOKUP($B235,'B-1 On-Site Hedge Baseline'!$B$1:$L$257,10,FALSE)),"",(VLOOKUP($B235,'B-1 On-Site Hedge Baseline'!$B$1:$L$257,10,FALSE))))</f>
        <v/>
      </c>
      <c r="J235" s="295" t="str">
        <f>IF(B235="","",IF(ISNA(VLOOKUP($B235,'B-1 On-Site Hedge Baseline'!$B$1:$L$257,11,FALSE)),"",(VLOOKUP($B235,'B-1 On-Site Hedge Baseline'!$B$1:$L$257,11,FALSE))))</f>
        <v/>
      </c>
      <c r="K235" s="295" t="str">
        <f>IF(B235="","",IF(ISNA(VLOOKUP($B235,'B-1 On-Site Hedge Baseline'!$B$1:$U$257,13,FALSE)),"",(VLOOKUP($B235,'B-1 On-Site Hedge Baseline'!$B$1:$U$257,13,FALSE))))</f>
        <v/>
      </c>
      <c r="L235" s="299" t="str">
        <f>IF(B235="","",IF(ISNA(VLOOKUP($B235,'B-1 On-Site Hedge Baseline'!$B$1:$U$257,12,FALSE)),"",(VLOOKUP($B235,'B-1 On-Site Hedge Baseline'!$B$1:$U$257,12,FALSE))))</f>
        <v/>
      </c>
      <c r="M235" s="611"/>
      <c r="N235" s="275" t="str">
        <f>IFERROR(IF(B235="","",INDEX('G-6 Hedgerow Data'!$AN$3:$AZ$15,MATCH(C235,'G-6 Hedgerow Data'!$AM$3:$AM$15,0),MATCH(M235,'G-6 Hedgerow Data'!$AN$2:$AZ$2,0))),"")</f>
        <v/>
      </c>
      <c r="O235" s="276" t="str">
        <f t="shared" si="22"/>
        <v/>
      </c>
      <c r="P235" s="329" t="str">
        <f>IF(B235="","",VLOOKUP(B235,'B-1 On-Site Hedge Baseline'!$B$10:T480,16,FALSE))</f>
        <v/>
      </c>
      <c r="Q235" s="275" t="str">
        <f>IF(M235="","",VLOOKUP(M235,'G-6 Hedgerow Data'!$B$2:$AG$15,2,FALSE))</f>
        <v/>
      </c>
      <c r="R235" s="276" t="str">
        <f>IF(M235="","",VLOOKUP(M235,'G-6 Hedgerow Data'!$B$2:$AG$15,3,FALSE))</f>
        <v/>
      </c>
      <c r="S235" s="108"/>
      <c r="T235" s="314" t="str">
        <f>IFERROR(IF(S235="","",IF(AND(M235="Non-native and ornamental hedgerow",S235&lt;&gt;"Poor"),"Not possible ▲",(VLOOKUP(S235,'G-1 All Habitats'!$Z$2:$AA$9,2,FALSE)))),"")</f>
        <v/>
      </c>
      <c r="U235" s="105"/>
      <c r="V235" s="295" t="str">
        <f>IF(U235="","",IF(VLOOKUP(U235,'G-3 Multipliers'!$L$3:$N$6,2,FALSE)=0,"Spatial Data Missing ⚠",VLOOKUP(U235,'G-3 Multipliers'!$L$3:$N$6,2,FALSE)))</f>
        <v/>
      </c>
      <c r="W235" s="299" t="str">
        <f>IF(U235="","",IF(VLOOKUP(U235,'G-3 Multipliers'!$L$3:$N$6,3,FALSE)=0,"Spatial Data Missing ⚠",VLOOKUP(U235,'G-3 Multipliers'!$L$3:$N$6,3,FALSE)))</f>
        <v/>
      </c>
      <c r="X235" s="275" t="str">
        <f>IFERROR(IF(OR(LEFT(O235,5)="Error",LEFT(N235,5)="Error",T235="Error"),"Check Data ⚠",IF(F235&lt;R235,INDEX('G-6 Hedgerow Data'!$S$3:$AE$14,MATCH(C235,'G-6 Hedgerow Data'!$B$3:$B$14,0),MATCH(M235,'G-6 Hedgerow Data'!$S$2:$AE$2,0)),INDEX('G-6 Hedgerow Data'!$K$3:$Q$14,MATCH(M235,'G-6 Hedgerow Data'!$B$3:$B$14,0),MATCH(O235,'G-6 Hedgerow Data'!$K$2:$Q$2,0)))),"")</f>
        <v/>
      </c>
      <c r="Y235" s="133"/>
      <c r="Z235" s="133"/>
      <c r="AA235" s="283" t="str">
        <f t="shared" si="23"/>
        <v/>
      </c>
      <c r="AB235" s="296" t="str">
        <f t="shared" si="24"/>
        <v/>
      </c>
      <c r="AC235" s="297" t="str">
        <f t="shared" si="21"/>
        <v/>
      </c>
      <c r="AD235" s="311" t="str">
        <f>IF(M235="","",VLOOKUP(M235,'G-6 Hedgerow Data'!$B$3:$AG$15,31,FALSE))</f>
        <v/>
      </c>
      <c r="AE235" s="283" t="str">
        <f t="shared" si="25"/>
        <v/>
      </c>
      <c r="AF235" s="283" t="str">
        <f t="shared" si="26"/>
        <v/>
      </c>
      <c r="AG235" s="299" t="str">
        <f>IFERROR(IF(O235="","",VLOOKUP(AD235,'G-3 Multipliers'!$P$3:$Q$6,2,FALSE)),"")</f>
        <v/>
      </c>
      <c r="AH235" s="289" t="str">
        <f t="shared" si="27"/>
        <v/>
      </c>
      <c r="AI235" s="108"/>
      <c r="AJ235" s="115"/>
      <c r="AK235" s="104"/>
      <c r="AT235" s="30" t="str">
        <f>IFERROR(INDEX('G-6 Hedgerow Data'!$BJ$3:$BJ$15,MATCH(M235,'G-6 Hedgerow Data'!$B$3:$B$15,0)),"")</f>
        <v/>
      </c>
    </row>
    <row r="236" spans="2:46" ht="14">
      <c r="B236" s="305" t="str">
        <f>'B-1 On-Site Hedge Baseline'!AK234</f>
        <v/>
      </c>
      <c r="C236" s="295" t="str">
        <f>IF(B236="","",IF(ISNA(VLOOKUP($B236,'B-1 On-Site Hedge Baseline'!$B$1:$L$257,3,FALSE)),"",(VLOOKUP($B236,'B-1 On-Site Hedge Baseline'!$B$1:$L$257,3,FALSE))))</f>
        <v/>
      </c>
      <c r="D236" s="295" t="str">
        <f>IF(B236="","",IF(ISNA(VLOOKUP($B236,'B-1 On-Site Hedge Baseline'!$B$1:$L$257,4,FALSE)),"",(VLOOKUP($B236,'B-1 On-Site Hedge Baseline'!$B$1:$L$257,4,FALSE))))</f>
        <v/>
      </c>
      <c r="E236" s="295" t="str">
        <f>IF(B236="","",IF(ISNA(VLOOKUP($B236,'B-1 On-Site Hedge Baseline'!$B$1:$L$257,5,FALSE)),"",(VLOOKUP($B236,'B-1 On-Site Hedge Baseline'!$B$1:$L$257,5,FALSE))))</f>
        <v/>
      </c>
      <c r="F236" s="295" t="str">
        <f>IF(B236="","",IF(ISNA(VLOOKUP($B236,'B-1 On-Site Hedge Baseline'!$B$1:$L$257,6,FALSE)),"",(VLOOKUP($B236,'B-1 On-Site Hedge Baseline'!$B$1:$L$257,6,FALSE))))</f>
        <v/>
      </c>
      <c r="G236" s="295" t="str">
        <f>IF(B236="","",IF(ISNA(VLOOKUP($B236,'B-1 On-Site Hedge Baseline'!$B$1:$L$257,7,FALSE)),"",(VLOOKUP($B236,'B-1 On-Site Hedge Baseline'!$B$1:$L$257,7,FALSE))))</f>
        <v/>
      </c>
      <c r="H236" s="295" t="str">
        <f>IF(B236="","",IF(ISNA(VLOOKUP($B236,'B-1 On-Site Hedge Baseline'!$B$1:$L$257,8,FALSE)),"",(VLOOKUP($B236,'B-1 On-Site Hedge Baseline'!$B$1:$L$257,8,FALSE))))</f>
        <v/>
      </c>
      <c r="I236" s="295" t="str">
        <f>IF(B236="","",IF(ISNA(VLOOKUP($B236,'B-1 On-Site Hedge Baseline'!$B$1:$L$257,10,FALSE)),"",(VLOOKUP($B236,'B-1 On-Site Hedge Baseline'!$B$1:$L$257,10,FALSE))))</f>
        <v/>
      </c>
      <c r="J236" s="295" t="str">
        <f>IF(B236="","",IF(ISNA(VLOOKUP($B236,'B-1 On-Site Hedge Baseline'!$B$1:$L$257,11,FALSE)),"",(VLOOKUP($B236,'B-1 On-Site Hedge Baseline'!$B$1:$L$257,11,FALSE))))</f>
        <v/>
      </c>
      <c r="K236" s="295" t="str">
        <f>IF(B236="","",IF(ISNA(VLOOKUP($B236,'B-1 On-Site Hedge Baseline'!$B$1:$U$257,13,FALSE)),"",(VLOOKUP($B236,'B-1 On-Site Hedge Baseline'!$B$1:$U$257,13,FALSE))))</f>
        <v/>
      </c>
      <c r="L236" s="299" t="str">
        <f>IF(B236="","",IF(ISNA(VLOOKUP($B236,'B-1 On-Site Hedge Baseline'!$B$1:$U$257,12,FALSE)),"",(VLOOKUP($B236,'B-1 On-Site Hedge Baseline'!$B$1:$U$257,12,FALSE))))</f>
        <v/>
      </c>
      <c r="M236" s="611"/>
      <c r="N236" s="275" t="str">
        <f>IFERROR(IF(B236="","",INDEX('G-6 Hedgerow Data'!$AN$3:$AZ$15,MATCH(C236,'G-6 Hedgerow Data'!$AM$3:$AM$15,0),MATCH(M236,'G-6 Hedgerow Data'!$AN$2:$AZ$2,0))),"")</f>
        <v/>
      </c>
      <c r="O236" s="276" t="str">
        <f t="shared" si="22"/>
        <v/>
      </c>
      <c r="P236" s="329" t="str">
        <f>IF(B236="","",VLOOKUP(B236,'B-1 On-Site Hedge Baseline'!$B$10:T481,16,FALSE))</f>
        <v/>
      </c>
      <c r="Q236" s="275" t="str">
        <f>IF(M236="","",VLOOKUP(M236,'G-6 Hedgerow Data'!$B$2:$AG$15,2,FALSE))</f>
        <v/>
      </c>
      <c r="R236" s="276" t="str">
        <f>IF(M236="","",VLOOKUP(M236,'G-6 Hedgerow Data'!$B$2:$AG$15,3,FALSE))</f>
        <v/>
      </c>
      <c r="S236" s="108"/>
      <c r="T236" s="314" t="str">
        <f>IFERROR(IF(S236="","",IF(AND(M236="Non-native and ornamental hedgerow",S236&lt;&gt;"Poor"),"Not possible ▲",(VLOOKUP(S236,'G-1 All Habitats'!$Z$2:$AA$9,2,FALSE)))),"")</f>
        <v/>
      </c>
      <c r="U236" s="105"/>
      <c r="V236" s="295" t="str">
        <f>IF(U236="","",IF(VLOOKUP(U236,'G-3 Multipliers'!$L$3:$N$6,2,FALSE)=0,"Spatial Data Missing ⚠",VLOOKUP(U236,'G-3 Multipliers'!$L$3:$N$6,2,FALSE)))</f>
        <v/>
      </c>
      <c r="W236" s="299" t="str">
        <f>IF(U236="","",IF(VLOOKUP(U236,'G-3 Multipliers'!$L$3:$N$6,3,FALSE)=0,"Spatial Data Missing ⚠",VLOOKUP(U236,'G-3 Multipliers'!$L$3:$N$6,3,FALSE)))</f>
        <v/>
      </c>
      <c r="X236" s="275" t="str">
        <f>IFERROR(IF(OR(LEFT(O236,5)="Error",LEFT(N236,5)="Error",T236="Error"),"Check Data ⚠",IF(F236&lt;R236,INDEX('G-6 Hedgerow Data'!$S$3:$AE$14,MATCH(C236,'G-6 Hedgerow Data'!$B$3:$B$14,0),MATCH(M236,'G-6 Hedgerow Data'!$S$2:$AE$2,0)),INDEX('G-6 Hedgerow Data'!$K$3:$Q$14,MATCH(M236,'G-6 Hedgerow Data'!$B$3:$B$14,0),MATCH(O236,'G-6 Hedgerow Data'!$K$2:$Q$2,0)))),"")</f>
        <v/>
      </c>
      <c r="Y236" s="133"/>
      <c r="Z236" s="133"/>
      <c r="AA236" s="283" t="str">
        <f t="shared" si="23"/>
        <v/>
      </c>
      <c r="AB236" s="296" t="str">
        <f t="shared" si="24"/>
        <v/>
      </c>
      <c r="AC236" s="297" t="str">
        <f t="shared" si="21"/>
        <v/>
      </c>
      <c r="AD236" s="311" t="str">
        <f>IF(M236="","",VLOOKUP(M236,'G-6 Hedgerow Data'!$B$3:$AG$15,31,FALSE))</f>
        <v/>
      </c>
      <c r="AE236" s="283" t="str">
        <f t="shared" si="25"/>
        <v/>
      </c>
      <c r="AF236" s="283" t="str">
        <f t="shared" si="26"/>
        <v/>
      </c>
      <c r="AG236" s="299" t="str">
        <f>IFERROR(IF(O236="","",VLOOKUP(AD236,'G-3 Multipliers'!$P$3:$Q$6,2,FALSE)),"")</f>
        <v/>
      </c>
      <c r="AH236" s="289" t="str">
        <f t="shared" si="27"/>
        <v/>
      </c>
      <c r="AI236" s="108"/>
      <c r="AJ236" s="115"/>
      <c r="AK236" s="104"/>
      <c r="AT236" s="30" t="str">
        <f>IFERROR(INDEX('G-6 Hedgerow Data'!$BJ$3:$BJ$15,MATCH(M236,'G-6 Hedgerow Data'!$B$3:$B$15,0)),"")</f>
        <v/>
      </c>
    </row>
    <row r="237" spans="2:46" ht="14">
      <c r="B237" s="305" t="str">
        <f>'B-1 On-Site Hedge Baseline'!AK235</f>
        <v/>
      </c>
      <c r="C237" s="295" t="str">
        <f>IF(B237="","",IF(ISNA(VLOOKUP($B237,'B-1 On-Site Hedge Baseline'!$B$1:$L$257,3,FALSE)),"",(VLOOKUP($B237,'B-1 On-Site Hedge Baseline'!$B$1:$L$257,3,FALSE))))</f>
        <v/>
      </c>
      <c r="D237" s="295" t="str">
        <f>IF(B237="","",IF(ISNA(VLOOKUP($B237,'B-1 On-Site Hedge Baseline'!$B$1:$L$257,4,FALSE)),"",(VLOOKUP($B237,'B-1 On-Site Hedge Baseline'!$B$1:$L$257,4,FALSE))))</f>
        <v/>
      </c>
      <c r="E237" s="295" t="str">
        <f>IF(B237="","",IF(ISNA(VLOOKUP($B237,'B-1 On-Site Hedge Baseline'!$B$1:$L$257,5,FALSE)),"",(VLOOKUP($B237,'B-1 On-Site Hedge Baseline'!$B$1:$L$257,5,FALSE))))</f>
        <v/>
      </c>
      <c r="F237" s="295" t="str">
        <f>IF(B237="","",IF(ISNA(VLOOKUP($B237,'B-1 On-Site Hedge Baseline'!$B$1:$L$257,6,FALSE)),"",(VLOOKUP($B237,'B-1 On-Site Hedge Baseline'!$B$1:$L$257,6,FALSE))))</f>
        <v/>
      </c>
      <c r="G237" s="295" t="str">
        <f>IF(B237="","",IF(ISNA(VLOOKUP($B237,'B-1 On-Site Hedge Baseline'!$B$1:$L$257,7,FALSE)),"",(VLOOKUP($B237,'B-1 On-Site Hedge Baseline'!$B$1:$L$257,7,FALSE))))</f>
        <v/>
      </c>
      <c r="H237" s="295" t="str">
        <f>IF(B237="","",IF(ISNA(VLOOKUP($B237,'B-1 On-Site Hedge Baseline'!$B$1:$L$257,8,FALSE)),"",(VLOOKUP($B237,'B-1 On-Site Hedge Baseline'!$B$1:$L$257,8,FALSE))))</f>
        <v/>
      </c>
      <c r="I237" s="295" t="str">
        <f>IF(B237="","",IF(ISNA(VLOOKUP($B237,'B-1 On-Site Hedge Baseline'!$B$1:$L$257,10,FALSE)),"",(VLOOKUP($B237,'B-1 On-Site Hedge Baseline'!$B$1:$L$257,10,FALSE))))</f>
        <v/>
      </c>
      <c r="J237" s="295" t="str">
        <f>IF(B237="","",IF(ISNA(VLOOKUP($B237,'B-1 On-Site Hedge Baseline'!$B$1:$L$257,11,FALSE)),"",(VLOOKUP($B237,'B-1 On-Site Hedge Baseline'!$B$1:$L$257,11,FALSE))))</f>
        <v/>
      </c>
      <c r="K237" s="295" t="str">
        <f>IF(B237="","",IF(ISNA(VLOOKUP($B237,'B-1 On-Site Hedge Baseline'!$B$1:$U$257,13,FALSE)),"",(VLOOKUP($B237,'B-1 On-Site Hedge Baseline'!$B$1:$U$257,13,FALSE))))</f>
        <v/>
      </c>
      <c r="L237" s="299" t="str">
        <f>IF(B237="","",IF(ISNA(VLOOKUP($B237,'B-1 On-Site Hedge Baseline'!$B$1:$U$257,12,FALSE)),"",(VLOOKUP($B237,'B-1 On-Site Hedge Baseline'!$B$1:$U$257,12,FALSE))))</f>
        <v/>
      </c>
      <c r="M237" s="611"/>
      <c r="N237" s="275" t="str">
        <f>IFERROR(IF(B237="","",INDEX('G-6 Hedgerow Data'!$AN$3:$AZ$15,MATCH(C237,'G-6 Hedgerow Data'!$AM$3:$AM$15,0),MATCH(M237,'G-6 Hedgerow Data'!$AN$2:$AZ$2,0))),"")</f>
        <v/>
      </c>
      <c r="O237" s="276" t="str">
        <f t="shared" si="22"/>
        <v/>
      </c>
      <c r="P237" s="329" t="str">
        <f>IF(B237="","",VLOOKUP(B237,'B-1 On-Site Hedge Baseline'!$B$10:T482,16,FALSE))</f>
        <v/>
      </c>
      <c r="Q237" s="275" t="str">
        <f>IF(M237="","",VLOOKUP(M237,'G-6 Hedgerow Data'!$B$2:$AG$15,2,FALSE))</f>
        <v/>
      </c>
      <c r="R237" s="276" t="str">
        <f>IF(M237="","",VLOOKUP(M237,'G-6 Hedgerow Data'!$B$2:$AG$15,3,FALSE))</f>
        <v/>
      </c>
      <c r="S237" s="108"/>
      <c r="T237" s="314" t="str">
        <f>IFERROR(IF(S237="","",IF(AND(M237="Non-native and ornamental hedgerow",S237&lt;&gt;"Poor"),"Not possible ▲",(VLOOKUP(S237,'G-1 All Habitats'!$Z$2:$AA$9,2,FALSE)))),"")</f>
        <v/>
      </c>
      <c r="U237" s="105"/>
      <c r="V237" s="295" t="str">
        <f>IF(U237="","",IF(VLOOKUP(U237,'G-3 Multipliers'!$L$3:$N$6,2,FALSE)=0,"Spatial Data Missing ⚠",VLOOKUP(U237,'G-3 Multipliers'!$L$3:$N$6,2,FALSE)))</f>
        <v/>
      </c>
      <c r="W237" s="299" t="str">
        <f>IF(U237="","",IF(VLOOKUP(U237,'G-3 Multipliers'!$L$3:$N$6,3,FALSE)=0,"Spatial Data Missing ⚠",VLOOKUP(U237,'G-3 Multipliers'!$L$3:$N$6,3,FALSE)))</f>
        <v/>
      </c>
      <c r="X237" s="275" t="str">
        <f>IFERROR(IF(OR(LEFT(O237,5)="Error",LEFT(N237,5)="Error",T237="Error"),"Check Data ⚠",IF(F237&lt;R237,INDEX('G-6 Hedgerow Data'!$S$3:$AE$14,MATCH(C237,'G-6 Hedgerow Data'!$B$3:$B$14,0),MATCH(M237,'G-6 Hedgerow Data'!$S$2:$AE$2,0)),INDEX('G-6 Hedgerow Data'!$K$3:$Q$14,MATCH(M237,'G-6 Hedgerow Data'!$B$3:$B$14,0),MATCH(O237,'G-6 Hedgerow Data'!$K$2:$Q$2,0)))),"")</f>
        <v/>
      </c>
      <c r="Y237" s="133"/>
      <c r="Z237" s="133"/>
      <c r="AA237" s="283" t="str">
        <f t="shared" si="23"/>
        <v/>
      </c>
      <c r="AB237" s="296" t="str">
        <f t="shared" si="24"/>
        <v/>
      </c>
      <c r="AC237" s="297" t="str">
        <f t="shared" si="21"/>
        <v/>
      </c>
      <c r="AD237" s="311" t="str">
        <f>IF(M237="","",VLOOKUP(M237,'G-6 Hedgerow Data'!$B$3:$AG$15,31,FALSE))</f>
        <v/>
      </c>
      <c r="AE237" s="283" t="str">
        <f t="shared" si="25"/>
        <v/>
      </c>
      <c r="AF237" s="283" t="str">
        <f t="shared" si="26"/>
        <v/>
      </c>
      <c r="AG237" s="299" t="str">
        <f>IFERROR(IF(O237="","",VLOOKUP(AD237,'G-3 Multipliers'!$P$3:$Q$6,2,FALSE)),"")</f>
        <v/>
      </c>
      <c r="AH237" s="289" t="str">
        <f t="shared" si="27"/>
        <v/>
      </c>
      <c r="AI237" s="108"/>
      <c r="AJ237" s="115"/>
      <c r="AK237" s="104"/>
      <c r="AT237" s="30" t="str">
        <f>IFERROR(INDEX('G-6 Hedgerow Data'!$BJ$3:$BJ$15,MATCH(M237,'G-6 Hedgerow Data'!$B$3:$B$15,0)),"")</f>
        <v/>
      </c>
    </row>
    <row r="238" spans="2:46" ht="14">
      <c r="B238" s="305" t="str">
        <f>'B-1 On-Site Hedge Baseline'!AK236</f>
        <v/>
      </c>
      <c r="C238" s="295" t="str">
        <f>IF(B238="","",IF(ISNA(VLOOKUP($B238,'B-1 On-Site Hedge Baseline'!$B$1:$L$257,3,FALSE)),"",(VLOOKUP($B238,'B-1 On-Site Hedge Baseline'!$B$1:$L$257,3,FALSE))))</f>
        <v/>
      </c>
      <c r="D238" s="295" t="str">
        <f>IF(B238="","",IF(ISNA(VLOOKUP($B238,'B-1 On-Site Hedge Baseline'!$B$1:$L$257,4,FALSE)),"",(VLOOKUP($B238,'B-1 On-Site Hedge Baseline'!$B$1:$L$257,4,FALSE))))</f>
        <v/>
      </c>
      <c r="E238" s="295" t="str">
        <f>IF(B238="","",IF(ISNA(VLOOKUP($B238,'B-1 On-Site Hedge Baseline'!$B$1:$L$257,5,FALSE)),"",(VLOOKUP($B238,'B-1 On-Site Hedge Baseline'!$B$1:$L$257,5,FALSE))))</f>
        <v/>
      </c>
      <c r="F238" s="295" t="str">
        <f>IF(B238="","",IF(ISNA(VLOOKUP($B238,'B-1 On-Site Hedge Baseline'!$B$1:$L$257,6,FALSE)),"",(VLOOKUP($B238,'B-1 On-Site Hedge Baseline'!$B$1:$L$257,6,FALSE))))</f>
        <v/>
      </c>
      <c r="G238" s="295" t="str">
        <f>IF(B238="","",IF(ISNA(VLOOKUP($B238,'B-1 On-Site Hedge Baseline'!$B$1:$L$257,7,FALSE)),"",(VLOOKUP($B238,'B-1 On-Site Hedge Baseline'!$B$1:$L$257,7,FALSE))))</f>
        <v/>
      </c>
      <c r="H238" s="295" t="str">
        <f>IF(B238="","",IF(ISNA(VLOOKUP($B238,'B-1 On-Site Hedge Baseline'!$B$1:$L$257,8,FALSE)),"",(VLOOKUP($B238,'B-1 On-Site Hedge Baseline'!$B$1:$L$257,8,FALSE))))</f>
        <v/>
      </c>
      <c r="I238" s="295" t="str">
        <f>IF(B238="","",IF(ISNA(VLOOKUP($B238,'B-1 On-Site Hedge Baseline'!$B$1:$L$257,10,FALSE)),"",(VLOOKUP($B238,'B-1 On-Site Hedge Baseline'!$B$1:$L$257,10,FALSE))))</f>
        <v/>
      </c>
      <c r="J238" s="295" t="str">
        <f>IF(B238="","",IF(ISNA(VLOOKUP($B238,'B-1 On-Site Hedge Baseline'!$B$1:$L$257,11,FALSE)),"",(VLOOKUP($B238,'B-1 On-Site Hedge Baseline'!$B$1:$L$257,11,FALSE))))</f>
        <v/>
      </c>
      <c r="K238" s="295" t="str">
        <f>IF(B238="","",IF(ISNA(VLOOKUP($B238,'B-1 On-Site Hedge Baseline'!$B$1:$U$257,13,FALSE)),"",(VLOOKUP($B238,'B-1 On-Site Hedge Baseline'!$B$1:$U$257,13,FALSE))))</f>
        <v/>
      </c>
      <c r="L238" s="299" t="str">
        <f>IF(B238="","",IF(ISNA(VLOOKUP($B238,'B-1 On-Site Hedge Baseline'!$B$1:$U$257,12,FALSE)),"",(VLOOKUP($B238,'B-1 On-Site Hedge Baseline'!$B$1:$U$257,12,FALSE))))</f>
        <v/>
      </c>
      <c r="M238" s="611"/>
      <c r="N238" s="275" t="str">
        <f>IFERROR(IF(B238="","",INDEX('G-6 Hedgerow Data'!$AN$3:$AZ$15,MATCH(C238,'G-6 Hedgerow Data'!$AM$3:$AM$15,0),MATCH(M238,'G-6 Hedgerow Data'!$AN$2:$AZ$2,0))),"")</f>
        <v/>
      </c>
      <c r="O238" s="276" t="str">
        <f t="shared" si="22"/>
        <v/>
      </c>
      <c r="P238" s="329" t="str">
        <f>IF(B238="","",VLOOKUP(B238,'B-1 On-Site Hedge Baseline'!$B$10:T483,16,FALSE))</f>
        <v/>
      </c>
      <c r="Q238" s="275" t="str">
        <f>IF(M238="","",VLOOKUP(M238,'G-6 Hedgerow Data'!$B$2:$AG$15,2,FALSE))</f>
        <v/>
      </c>
      <c r="R238" s="276" t="str">
        <f>IF(M238="","",VLOOKUP(M238,'G-6 Hedgerow Data'!$B$2:$AG$15,3,FALSE))</f>
        <v/>
      </c>
      <c r="S238" s="108"/>
      <c r="T238" s="314" t="str">
        <f>IFERROR(IF(S238="","",IF(AND(M238="Non-native and ornamental hedgerow",S238&lt;&gt;"Poor"),"Not possible ▲",(VLOOKUP(S238,'G-1 All Habitats'!$Z$2:$AA$9,2,FALSE)))),"")</f>
        <v/>
      </c>
      <c r="U238" s="105"/>
      <c r="V238" s="295" t="str">
        <f>IF(U238="","",IF(VLOOKUP(U238,'G-3 Multipliers'!$L$3:$N$6,2,FALSE)=0,"Spatial Data Missing ⚠",VLOOKUP(U238,'G-3 Multipliers'!$L$3:$N$6,2,FALSE)))</f>
        <v/>
      </c>
      <c r="W238" s="299" t="str">
        <f>IF(U238="","",IF(VLOOKUP(U238,'G-3 Multipliers'!$L$3:$N$6,3,FALSE)=0,"Spatial Data Missing ⚠",VLOOKUP(U238,'G-3 Multipliers'!$L$3:$N$6,3,FALSE)))</f>
        <v/>
      </c>
      <c r="X238" s="275" t="str">
        <f>IFERROR(IF(OR(LEFT(O238,5)="Error",LEFT(N238,5)="Error",T238="Error"),"Check Data ⚠",IF(F238&lt;R238,INDEX('G-6 Hedgerow Data'!$S$3:$AE$14,MATCH(C238,'G-6 Hedgerow Data'!$B$3:$B$14,0),MATCH(M238,'G-6 Hedgerow Data'!$S$2:$AE$2,0)),INDEX('G-6 Hedgerow Data'!$K$3:$Q$14,MATCH(M238,'G-6 Hedgerow Data'!$B$3:$B$14,0),MATCH(O238,'G-6 Hedgerow Data'!$K$2:$Q$2,0)))),"")</f>
        <v/>
      </c>
      <c r="Y238" s="133"/>
      <c r="Z238" s="133"/>
      <c r="AA238" s="283" t="str">
        <f t="shared" si="23"/>
        <v/>
      </c>
      <c r="AB238" s="296" t="str">
        <f t="shared" si="24"/>
        <v/>
      </c>
      <c r="AC238" s="297" t="str">
        <f t="shared" si="21"/>
        <v/>
      </c>
      <c r="AD238" s="311" t="str">
        <f>IF(M238="","",VLOOKUP(M238,'G-6 Hedgerow Data'!$B$3:$AG$15,31,FALSE))</f>
        <v/>
      </c>
      <c r="AE238" s="283" t="str">
        <f t="shared" si="25"/>
        <v/>
      </c>
      <c r="AF238" s="283" t="str">
        <f t="shared" si="26"/>
        <v/>
      </c>
      <c r="AG238" s="299" t="str">
        <f>IFERROR(IF(O238="","",VLOOKUP(AD238,'G-3 Multipliers'!$P$3:$Q$6,2,FALSE)),"")</f>
        <v/>
      </c>
      <c r="AH238" s="289" t="str">
        <f t="shared" si="27"/>
        <v/>
      </c>
      <c r="AI238" s="108"/>
      <c r="AJ238" s="115"/>
      <c r="AK238" s="104"/>
      <c r="AT238" s="30" t="str">
        <f>IFERROR(INDEX('G-6 Hedgerow Data'!$BJ$3:$BJ$15,MATCH(M238,'G-6 Hedgerow Data'!$B$3:$B$15,0)),"")</f>
        <v/>
      </c>
    </row>
    <row r="239" spans="2:46" ht="14">
      <c r="B239" s="305" t="str">
        <f>'B-1 On-Site Hedge Baseline'!AK237</f>
        <v/>
      </c>
      <c r="C239" s="295" t="str">
        <f>IF(B239="","",IF(ISNA(VLOOKUP($B239,'B-1 On-Site Hedge Baseline'!$B$1:$L$257,3,FALSE)),"",(VLOOKUP($B239,'B-1 On-Site Hedge Baseline'!$B$1:$L$257,3,FALSE))))</f>
        <v/>
      </c>
      <c r="D239" s="295" t="str">
        <f>IF(B239="","",IF(ISNA(VLOOKUP($B239,'B-1 On-Site Hedge Baseline'!$B$1:$L$257,4,FALSE)),"",(VLOOKUP($B239,'B-1 On-Site Hedge Baseline'!$B$1:$L$257,4,FALSE))))</f>
        <v/>
      </c>
      <c r="E239" s="295" t="str">
        <f>IF(B239="","",IF(ISNA(VLOOKUP($B239,'B-1 On-Site Hedge Baseline'!$B$1:$L$257,5,FALSE)),"",(VLOOKUP($B239,'B-1 On-Site Hedge Baseline'!$B$1:$L$257,5,FALSE))))</f>
        <v/>
      </c>
      <c r="F239" s="295" t="str">
        <f>IF(B239="","",IF(ISNA(VLOOKUP($B239,'B-1 On-Site Hedge Baseline'!$B$1:$L$257,6,FALSE)),"",(VLOOKUP($B239,'B-1 On-Site Hedge Baseline'!$B$1:$L$257,6,FALSE))))</f>
        <v/>
      </c>
      <c r="G239" s="295" t="str">
        <f>IF(B239="","",IF(ISNA(VLOOKUP($B239,'B-1 On-Site Hedge Baseline'!$B$1:$L$257,7,FALSE)),"",(VLOOKUP($B239,'B-1 On-Site Hedge Baseline'!$B$1:$L$257,7,FALSE))))</f>
        <v/>
      </c>
      <c r="H239" s="295" t="str">
        <f>IF(B239="","",IF(ISNA(VLOOKUP($B239,'B-1 On-Site Hedge Baseline'!$B$1:$L$257,8,FALSE)),"",(VLOOKUP($B239,'B-1 On-Site Hedge Baseline'!$B$1:$L$257,8,FALSE))))</f>
        <v/>
      </c>
      <c r="I239" s="295" t="str">
        <f>IF(B239="","",IF(ISNA(VLOOKUP($B239,'B-1 On-Site Hedge Baseline'!$B$1:$L$257,10,FALSE)),"",(VLOOKUP($B239,'B-1 On-Site Hedge Baseline'!$B$1:$L$257,10,FALSE))))</f>
        <v/>
      </c>
      <c r="J239" s="295" t="str">
        <f>IF(B239="","",IF(ISNA(VLOOKUP($B239,'B-1 On-Site Hedge Baseline'!$B$1:$L$257,11,FALSE)),"",(VLOOKUP($B239,'B-1 On-Site Hedge Baseline'!$B$1:$L$257,11,FALSE))))</f>
        <v/>
      </c>
      <c r="K239" s="295" t="str">
        <f>IF(B239="","",IF(ISNA(VLOOKUP($B239,'B-1 On-Site Hedge Baseline'!$B$1:$U$257,13,FALSE)),"",(VLOOKUP($B239,'B-1 On-Site Hedge Baseline'!$B$1:$U$257,13,FALSE))))</f>
        <v/>
      </c>
      <c r="L239" s="299" t="str">
        <f>IF(B239="","",IF(ISNA(VLOOKUP($B239,'B-1 On-Site Hedge Baseline'!$B$1:$U$257,12,FALSE)),"",(VLOOKUP($B239,'B-1 On-Site Hedge Baseline'!$B$1:$U$257,12,FALSE))))</f>
        <v/>
      </c>
      <c r="M239" s="611"/>
      <c r="N239" s="275" t="str">
        <f>IFERROR(IF(B239="","",INDEX('G-6 Hedgerow Data'!$AN$3:$AZ$15,MATCH(C239,'G-6 Hedgerow Data'!$AM$3:$AM$15,0),MATCH(M239,'G-6 Hedgerow Data'!$AN$2:$AZ$2,0))),"")</f>
        <v/>
      </c>
      <c r="O239" s="276" t="str">
        <f t="shared" si="22"/>
        <v/>
      </c>
      <c r="P239" s="329" t="str">
        <f>IF(B239="","",VLOOKUP(B239,'B-1 On-Site Hedge Baseline'!$B$10:T484,16,FALSE))</f>
        <v/>
      </c>
      <c r="Q239" s="275" t="str">
        <f>IF(M239="","",VLOOKUP(M239,'G-6 Hedgerow Data'!$B$2:$AG$15,2,FALSE))</f>
        <v/>
      </c>
      <c r="R239" s="276" t="str">
        <f>IF(M239="","",VLOOKUP(M239,'G-6 Hedgerow Data'!$B$2:$AG$15,3,FALSE))</f>
        <v/>
      </c>
      <c r="S239" s="108"/>
      <c r="T239" s="314" t="str">
        <f>IFERROR(IF(S239="","",IF(AND(M239="Non-native and ornamental hedgerow",S239&lt;&gt;"Poor"),"Not possible ▲",(VLOOKUP(S239,'G-1 All Habitats'!$Z$2:$AA$9,2,FALSE)))),"")</f>
        <v/>
      </c>
      <c r="U239" s="105"/>
      <c r="V239" s="295" t="str">
        <f>IF(U239="","",IF(VLOOKUP(U239,'G-3 Multipliers'!$L$3:$N$6,2,FALSE)=0,"Spatial Data Missing ⚠",VLOOKUP(U239,'G-3 Multipliers'!$L$3:$N$6,2,FALSE)))</f>
        <v/>
      </c>
      <c r="W239" s="299" t="str">
        <f>IF(U239="","",IF(VLOOKUP(U239,'G-3 Multipliers'!$L$3:$N$6,3,FALSE)=0,"Spatial Data Missing ⚠",VLOOKUP(U239,'G-3 Multipliers'!$L$3:$N$6,3,FALSE)))</f>
        <v/>
      </c>
      <c r="X239" s="275" t="str">
        <f>IFERROR(IF(OR(LEFT(O239,5)="Error",LEFT(N239,5)="Error",T239="Error"),"Check Data ⚠",IF(F239&lt;R239,INDEX('G-6 Hedgerow Data'!$S$3:$AE$14,MATCH(C239,'G-6 Hedgerow Data'!$B$3:$B$14,0),MATCH(M239,'G-6 Hedgerow Data'!$S$2:$AE$2,0)),INDEX('G-6 Hedgerow Data'!$K$3:$Q$14,MATCH(M239,'G-6 Hedgerow Data'!$B$3:$B$14,0),MATCH(O239,'G-6 Hedgerow Data'!$K$2:$Q$2,0)))),"")</f>
        <v/>
      </c>
      <c r="Y239" s="133"/>
      <c r="Z239" s="133"/>
      <c r="AA239" s="283" t="str">
        <f t="shared" si="23"/>
        <v/>
      </c>
      <c r="AB239" s="296" t="str">
        <f t="shared" si="24"/>
        <v/>
      </c>
      <c r="AC239" s="297" t="str">
        <f t="shared" si="21"/>
        <v/>
      </c>
      <c r="AD239" s="311" t="str">
        <f>IF(M239="","",VLOOKUP(M239,'G-6 Hedgerow Data'!$B$3:$AG$15,31,FALSE))</f>
        <v/>
      </c>
      <c r="AE239" s="283" t="str">
        <f t="shared" si="25"/>
        <v/>
      </c>
      <c r="AF239" s="283" t="str">
        <f t="shared" si="26"/>
        <v/>
      </c>
      <c r="AG239" s="299" t="str">
        <f>IFERROR(IF(O239="","",VLOOKUP(AD239,'G-3 Multipliers'!$P$3:$Q$6,2,FALSE)),"")</f>
        <v/>
      </c>
      <c r="AH239" s="289" t="str">
        <f t="shared" si="27"/>
        <v/>
      </c>
      <c r="AI239" s="108"/>
      <c r="AJ239" s="115"/>
      <c r="AK239" s="104"/>
      <c r="AT239" s="30" t="str">
        <f>IFERROR(INDEX('G-6 Hedgerow Data'!$BJ$3:$BJ$15,MATCH(M239,'G-6 Hedgerow Data'!$B$3:$B$15,0)),"")</f>
        <v/>
      </c>
    </row>
    <row r="240" spans="2:46" ht="14">
      <c r="B240" s="305" t="str">
        <f>'B-1 On-Site Hedge Baseline'!AK238</f>
        <v/>
      </c>
      <c r="C240" s="295" t="str">
        <f>IF(B240="","",IF(ISNA(VLOOKUP($B240,'B-1 On-Site Hedge Baseline'!$B$1:$L$257,3,FALSE)),"",(VLOOKUP($B240,'B-1 On-Site Hedge Baseline'!$B$1:$L$257,3,FALSE))))</f>
        <v/>
      </c>
      <c r="D240" s="295" t="str">
        <f>IF(B240="","",IF(ISNA(VLOOKUP($B240,'B-1 On-Site Hedge Baseline'!$B$1:$L$257,4,FALSE)),"",(VLOOKUP($B240,'B-1 On-Site Hedge Baseline'!$B$1:$L$257,4,FALSE))))</f>
        <v/>
      </c>
      <c r="E240" s="295" t="str">
        <f>IF(B240="","",IF(ISNA(VLOOKUP($B240,'B-1 On-Site Hedge Baseline'!$B$1:$L$257,5,FALSE)),"",(VLOOKUP($B240,'B-1 On-Site Hedge Baseline'!$B$1:$L$257,5,FALSE))))</f>
        <v/>
      </c>
      <c r="F240" s="295" t="str">
        <f>IF(B240="","",IF(ISNA(VLOOKUP($B240,'B-1 On-Site Hedge Baseline'!$B$1:$L$257,6,FALSE)),"",(VLOOKUP($B240,'B-1 On-Site Hedge Baseline'!$B$1:$L$257,6,FALSE))))</f>
        <v/>
      </c>
      <c r="G240" s="295" t="str">
        <f>IF(B240="","",IF(ISNA(VLOOKUP($B240,'B-1 On-Site Hedge Baseline'!$B$1:$L$257,7,FALSE)),"",(VLOOKUP($B240,'B-1 On-Site Hedge Baseline'!$B$1:$L$257,7,FALSE))))</f>
        <v/>
      </c>
      <c r="H240" s="295" t="str">
        <f>IF(B240="","",IF(ISNA(VLOOKUP($B240,'B-1 On-Site Hedge Baseline'!$B$1:$L$257,8,FALSE)),"",(VLOOKUP($B240,'B-1 On-Site Hedge Baseline'!$B$1:$L$257,8,FALSE))))</f>
        <v/>
      </c>
      <c r="I240" s="295" t="str">
        <f>IF(B240="","",IF(ISNA(VLOOKUP($B240,'B-1 On-Site Hedge Baseline'!$B$1:$L$257,10,FALSE)),"",(VLOOKUP($B240,'B-1 On-Site Hedge Baseline'!$B$1:$L$257,10,FALSE))))</f>
        <v/>
      </c>
      <c r="J240" s="295" t="str">
        <f>IF(B240="","",IF(ISNA(VLOOKUP($B240,'B-1 On-Site Hedge Baseline'!$B$1:$L$257,11,FALSE)),"",(VLOOKUP($B240,'B-1 On-Site Hedge Baseline'!$B$1:$L$257,11,FALSE))))</f>
        <v/>
      </c>
      <c r="K240" s="295" t="str">
        <f>IF(B240="","",IF(ISNA(VLOOKUP($B240,'B-1 On-Site Hedge Baseline'!$B$1:$U$257,13,FALSE)),"",(VLOOKUP($B240,'B-1 On-Site Hedge Baseline'!$B$1:$U$257,13,FALSE))))</f>
        <v/>
      </c>
      <c r="L240" s="299" t="str">
        <f>IF(B240="","",IF(ISNA(VLOOKUP($B240,'B-1 On-Site Hedge Baseline'!$B$1:$U$257,12,FALSE)),"",(VLOOKUP($B240,'B-1 On-Site Hedge Baseline'!$B$1:$U$257,12,FALSE))))</f>
        <v/>
      </c>
      <c r="M240" s="611"/>
      <c r="N240" s="275" t="str">
        <f>IFERROR(IF(B240="","",INDEX('G-6 Hedgerow Data'!$AN$3:$AZ$15,MATCH(C240,'G-6 Hedgerow Data'!$AM$3:$AM$15,0),MATCH(M240,'G-6 Hedgerow Data'!$AN$2:$AZ$2,0))),"")</f>
        <v/>
      </c>
      <c r="O240" s="276" t="str">
        <f t="shared" si="22"/>
        <v/>
      </c>
      <c r="P240" s="329" t="str">
        <f>IF(B240="","",VLOOKUP(B240,'B-1 On-Site Hedge Baseline'!$B$10:T485,16,FALSE))</f>
        <v/>
      </c>
      <c r="Q240" s="275" t="str">
        <f>IF(M240="","",VLOOKUP(M240,'G-6 Hedgerow Data'!$B$2:$AG$15,2,FALSE))</f>
        <v/>
      </c>
      <c r="R240" s="276" t="str">
        <f>IF(M240="","",VLOOKUP(M240,'G-6 Hedgerow Data'!$B$2:$AG$15,3,FALSE))</f>
        <v/>
      </c>
      <c r="S240" s="108"/>
      <c r="T240" s="314" t="str">
        <f>IFERROR(IF(S240="","",IF(AND(M240="Non-native and ornamental hedgerow",S240&lt;&gt;"Poor"),"Not possible ▲",(VLOOKUP(S240,'G-1 All Habitats'!$Z$2:$AA$9,2,FALSE)))),"")</f>
        <v/>
      </c>
      <c r="U240" s="105"/>
      <c r="V240" s="295" t="str">
        <f>IF(U240="","",IF(VLOOKUP(U240,'G-3 Multipliers'!$L$3:$N$6,2,FALSE)=0,"Spatial Data Missing ⚠",VLOOKUP(U240,'G-3 Multipliers'!$L$3:$N$6,2,FALSE)))</f>
        <v/>
      </c>
      <c r="W240" s="299" t="str">
        <f>IF(U240="","",IF(VLOOKUP(U240,'G-3 Multipliers'!$L$3:$N$6,3,FALSE)=0,"Spatial Data Missing ⚠",VLOOKUP(U240,'G-3 Multipliers'!$L$3:$N$6,3,FALSE)))</f>
        <v/>
      </c>
      <c r="X240" s="275" t="str">
        <f>IFERROR(IF(OR(LEFT(O240,5)="Error",LEFT(N240,5)="Error",T240="Error"),"Check Data ⚠",IF(F240&lt;R240,INDEX('G-6 Hedgerow Data'!$S$3:$AE$14,MATCH(C240,'G-6 Hedgerow Data'!$B$3:$B$14,0),MATCH(M240,'G-6 Hedgerow Data'!$S$2:$AE$2,0)),INDEX('G-6 Hedgerow Data'!$K$3:$Q$14,MATCH(M240,'G-6 Hedgerow Data'!$B$3:$B$14,0),MATCH(O240,'G-6 Hedgerow Data'!$K$2:$Q$2,0)))),"")</f>
        <v/>
      </c>
      <c r="Y240" s="133"/>
      <c r="Z240" s="133"/>
      <c r="AA240" s="283" t="str">
        <f t="shared" si="23"/>
        <v/>
      </c>
      <c r="AB240" s="296" t="str">
        <f t="shared" si="24"/>
        <v/>
      </c>
      <c r="AC240" s="297" t="str">
        <f t="shared" si="21"/>
        <v/>
      </c>
      <c r="AD240" s="311" t="str">
        <f>IF(M240="","",VLOOKUP(M240,'G-6 Hedgerow Data'!$B$3:$AG$15,31,FALSE))</f>
        <v/>
      </c>
      <c r="AE240" s="283" t="str">
        <f t="shared" si="25"/>
        <v/>
      </c>
      <c r="AF240" s="283" t="str">
        <f t="shared" si="26"/>
        <v/>
      </c>
      <c r="AG240" s="299" t="str">
        <f>IFERROR(IF(O240="","",VLOOKUP(AD240,'G-3 Multipliers'!$P$3:$Q$6,2,FALSE)),"")</f>
        <v/>
      </c>
      <c r="AH240" s="289" t="str">
        <f t="shared" si="27"/>
        <v/>
      </c>
      <c r="AI240" s="108"/>
      <c r="AJ240" s="115"/>
      <c r="AK240" s="104"/>
      <c r="AT240" s="30" t="str">
        <f>IFERROR(INDEX('G-6 Hedgerow Data'!$BJ$3:$BJ$15,MATCH(M240,'G-6 Hedgerow Data'!$B$3:$B$15,0)),"")</f>
        <v/>
      </c>
    </row>
    <row r="241" spans="2:46" ht="14">
      <c r="B241" s="305" t="str">
        <f>'B-1 On-Site Hedge Baseline'!AK239</f>
        <v/>
      </c>
      <c r="C241" s="295" t="str">
        <f>IF(B241="","",IF(ISNA(VLOOKUP($B241,'B-1 On-Site Hedge Baseline'!$B$1:$L$257,3,FALSE)),"",(VLOOKUP($B241,'B-1 On-Site Hedge Baseline'!$B$1:$L$257,3,FALSE))))</f>
        <v/>
      </c>
      <c r="D241" s="295" t="str">
        <f>IF(B241="","",IF(ISNA(VLOOKUP($B241,'B-1 On-Site Hedge Baseline'!$B$1:$L$257,4,FALSE)),"",(VLOOKUP($B241,'B-1 On-Site Hedge Baseline'!$B$1:$L$257,4,FALSE))))</f>
        <v/>
      </c>
      <c r="E241" s="295" t="str">
        <f>IF(B241="","",IF(ISNA(VLOOKUP($B241,'B-1 On-Site Hedge Baseline'!$B$1:$L$257,5,FALSE)),"",(VLOOKUP($B241,'B-1 On-Site Hedge Baseline'!$B$1:$L$257,5,FALSE))))</f>
        <v/>
      </c>
      <c r="F241" s="295" t="str">
        <f>IF(B241="","",IF(ISNA(VLOOKUP($B241,'B-1 On-Site Hedge Baseline'!$B$1:$L$257,6,FALSE)),"",(VLOOKUP($B241,'B-1 On-Site Hedge Baseline'!$B$1:$L$257,6,FALSE))))</f>
        <v/>
      </c>
      <c r="G241" s="295" t="str">
        <f>IF(B241="","",IF(ISNA(VLOOKUP($B241,'B-1 On-Site Hedge Baseline'!$B$1:$L$257,7,FALSE)),"",(VLOOKUP($B241,'B-1 On-Site Hedge Baseline'!$B$1:$L$257,7,FALSE))))</f>
        <v/>
      </c>
      <c r="H241" s="295" t="str">
        <f>IF(B241="","",IF(ISNA(VLOOKUP($B241,'B-1 On-Site Hedge Baseline'!$B$1:$L$257,8,FALSE)),"",(VLOOKUP($B241,'B-1 On-Site Hedge Baseline'!$B$1:$L$257,8,FALSE))))</f>
        <v/>
      </c>
      <c r="I241" s="295" t="str">
        <f>IF(B241="","",IF(ISNA(VLOOKUP($B241,'B-1 On-Site Hedge Baseline'!$B$1:$L$257,10,FALSE)),"",(VLOOKUP($B241,'B-1 On-Site Hedge Baseline'!$B$1:$L$257,10,FALSE))))</f>
        <v/>
      </c>
      <c r="J241" s="295" t="str">
        <f>IF(B241="","",IF(ISNA(VLOOKUP($B241,'B-1 On-Site Hedge Baseline'!$B$1:$L$257,11,FALSE)),"",(VLOOKUP($B241,'B-1 On-Site Hedge Baseline'!$B$1:$L$257,11,FALSE))))</f>
        <v/>
      </c>
      <c r="K241" s="295" t="str">
        <f>IF(B241="","",IF(ISNA(VLOOKUP($B241,'B-1 On-Site Hedge Baseline'!$B$1:$U$257,13,FALSE)),"",(VLOOKUP($B241,'B-1 On-Site Hedge Baseline'!$B$1:$U$257,13,FALSE))))</f>
        <v/>
      </c>
      <c r="L241" s="299" t="str">
        <f>IF(B241="","",IF(ISNA(VLOOKUP($B241,'B-1 On-Site Hedge Baseline'!$B$1:$U$257,12,FALSE)),"",(VLOOKUP($B241,'B-1 On-Site Hedge Baseline'!$B$1:$U$257,12,FALSE))))</f>
        <v/>
      </c>
      <c r="M241" s="611"/>
      <c r="N241" s="275" t="str">
        <f>IFERROR(IF(B241="","",INDEX('G-6 Hedgerow Data'!$AN$3:$AZ$15,MATCH(C241,'G-6 Hedgerow Data'!$AM$3:$AM$15,0),MATCH(M241,'G-6 Hedgerow Data'!$AN$2:$AZ$2,0))),"")</f>
        <v/>
      </c>
      <c r="O241" s="276" t="str">
        <f t="shared" si="22"/>
        <v/>
      </c>
      <c r="P241" s="329" t="str">
        <f>IF(B241="","",VLOOKUP(B241,'B-1 On-Site Hedge Baseline'!$B$10:T486,16,FALSE))</f>
        <v/>
      </c>
      <c r="Q241" s="275" t="str">
        <f>IF(M241="","",VLOOKUP(M241,'G-6 Hedgerow Data'!$B$2:$AG$15,2,FALSE))</f>
        <v/>
      </c>
      <c r="R241" s="276" t="str">
        <f>IF(M241="","",VLOOKUP(M241,'G-6 Hedgerow Data'!$B$2:$AG$15,3,FALSE))</f>
        <v/>
      </c>
      <c r="S241" s="108"/>
      <c r="T241" s="314" t="str">
        <f>IFERROR(IF(S241="","",IF(AND(M241="Non-native and ornamental hedgerow",S241&lt;&gt;"Poor"),"Not possible ▲",(VLOOKUP(S241,'G-1 All Habitats'!$Z$2:$AA$9,2,FALSE)))),"")</f>
        <v/>
      </c>
      <c r="U241" s="105"/>
      <c r="V241" s="295" t="str">
        <f>IF(U241="","",IF(VLOOKUP(U241,'G-3 Multipliers'!$L$3:$N$6,2,FALSE)=0,"Spatial Data Missing ⚠",VLOOKUP(U241,'G-3 Multipliers'!$L$3:$N$6,2,FALSE)))</f>
        <v/>
      </c>
      <c r="W241" s="299" t="str">
        <f>IF(U241="","",IF(VLOOKUP(U241,'G-3 Multipliers'!$L$3:$N$6,3,FALSE)=0,"Spatial Data Missing ⚠",VLOOKUP(U241,'G-3 Multipliers'!$L$3:$N$6,3,FALSE)))</f>
        <v/>
      </c>
      <c r="X241" s="275" t="str">
        <f>IFERROR(IF(OR(LEFT(O241,5)="Error",LEFT(N241,5)="Error",T241="Error"),"Check Data ⚠",IF(F241&lt;R241,INDEX('G-6 Hedgerow Data'!$S$3:$AE$14,MATCH(C241,'G-6 Hedgerow Data'!$B$3:$B$14,0),MATCH(M241,'G-6 Hedgerow Data'!$S$2:$AE$2,0)),INDEX('G-6 Hedgerow Data'!$K$3:$Q$14,MATCH(M241,'G-6 Hedgerow Data'!$B$3:$B$14,0),MATCH(O241,'G-6 Hedgerow Data'!$K$2:$Q$2,0)))),"")</f>
        <v/>
      </c>
      <c r="Y241" s="133"/>
      <c r="Z241" s="133"/>
      <c r="AA241" s="283" t="str">
        <f t="shared" si="23"/>
        <v/>
      </c>
      <c r="AB241" s="296" t="str">
        <f t="shared" si="24"/>
        <v/>
      </c>
      <c r="AC241" s="297" t="str">
        <f t="shared" si="21"/>
        <v/>
      </c>
      <c r="AD241" s="311" t="str">
        <f>IF(M241="","",VLOOKUP(M241,'G-6 Hedgerow Data'!$B$3:$AG$15,31,FALSE))</f>
        <v/>
      </c>
      <c r="AE241" s="283" t="str">
        <f t="shared" si="25"/>
        <v/>
      </c>
      <c r="AF241" s="283" t="str">
        <f t="shared" si="26"/>
        <v/>
      </c>
      <c r="AG241" s="299" t="str">
        <f>IFERROR(IF(O241="","",VLOOKUP(AD241,'G-3 Multipliers'!$P$3:$Q$6,2,FALSE)),"")</f>
        <v/>
      </c>
      <c r="AH241" s="289" t="str">
        <f t="shared" si="27"/>
        <v/>
      </c>
      <c r="AI241" s="108"/>
      <c r="AJ241" s="115"/>
      <c r="AK241" s="104"/>
      <c r="AT241" s="30" t="str">
        <f>IFERROR(INDEX('G-6 Hedgerow Data'!$BJ$3:$BJ$15,MATCH(M241,'G-6 Hedgerow Data'!$B$3:$B$15,0)),"")</f>
        <v/>
      </c>
    </row>
    <row r="242" spans="2:46" ht="14">
      <c r="B242" s="305" t="str">
        <f>'B-1 On-Site Hedge Baseline'!AK240</f>
        <v/>
      </c>
      <c r="C242" s="295" t="str">
        <f>IF(B242="","",IF(ISNA(VLOOKUP($B242,'B-1 On-Site Hedge Baseline'!$B$1:$L$257,3,FALSE)),"",(VLOOKUP($B242,'B-1 On-Site Hedge Baseline'!$B$1:$L$257,3,FALSE))))</f>
        <v/>
      </c>
      <c r="D242" s="295" t="str">
        <f>IF(B242="","",IF(ISNA(VLOOKUP($B242,'B-1 On-Site Hedge Baseline'!$B$1:$L$257,4,FALSE)),"",(VLOOKUP($B242,'B-1 On-Site Hedge Baseline'!$B$1:$L$257,4,FALSE))))</f>
        <v/>
      </c>
      <c r="E242" s="295" t="str">
        <f>IF(B242="","",IF(ISNA(VLOOKUP($B242,'B-1 On-Site Hedge Baseline'!$B$1:$L$257,5,FALSE)),"",(VLOOKUP($B242,'B-1 On-Site Hedge Baseline'!$B$1:$L$257,5,FALSE))))</f>
        <v/>
      </c>
      <c r="F242" s="295" t="str">
        <f>IF(B242="","",IF(ISNA(VLOOKUP($B242,'B-1 On-Site Hedge Baseline'!$B$1:$L$257,6,FALSE)),"",(VLOOKUP($B242,'B-1 On-Site Hedge Baseline'!$B$1:$L$257,6,FALSE))))</f>
        <v/>
      </c>
      <c r="G242" s="295" t="str">
        <f>IF(B242="","",IF(ISNA(VLOOKUP($B242,'B-1 On-Site Hedge Baseline'!$B$1:$L$257,7,FALSE)),"",(VLOOKUP($B242,'B-1 On-Site Hedge Baseline'!$B$1:$L$257,7,FALSE))))</f>
        <v/>
      </c>
      <c r="H242" s="295" t="str">
        <f>IF(B242="","",IF(ISNA(VLOOKUP($B242,'B-1 On-Site Hedge Baseline'!$B$1:$L$257,8,FALSE)),"",(VLOOKUP($B242,'B-1 On-Site Hedge Baseline'!$B$1:$L$257,8,FALSE))))</f>
        <v/>
      </c>
      <c r="I242" s="295" t="str">
        <f>IF(B242="","",IF(ISNA(VLOOKUP($B242,'B-1 On-Site Hedge Baseline'!$B$1:$L$257,10,FALSE)),"",(VLOOKUP($B242,'B-1 On-Site Hedge Baseline'!$B$1:$L$257,10,FALSE))))</f>
        <v/>
      </c>
      <c r="J242" s="295" t="str">
        <f>IF(B242="","",IF(ISNA(VLOOKUP($B242,'B-1 On-Site Hedge Baseline'!$B$1:$L$257,11,FALSE)),"",(VLOOKUP($B242,'B-1 On-Site Hedge Baseline'!$B$1:$L$257,11,FALSE))))</f>
        <v/>
      </c>
      <c r="K242" s="295" t="str">
        <f>IF(B242="","",IF(ISNA(VLOOKUP($B242,'B-1 On-Site Hedge Baseline'!$B$1:$U$257,13,FALSE)),"",(VLOOKUP($B242,'B-1 On-Site Hedge Baseline'!$B$1:$U$257,13,FALSE))))</f>
        <v/>
      </c>
      <c r="L242" s="299" t="str">
        <f>IF(B242="","",IF(ISNA(VLOOKUP($B242,'B-1 On-Site Hedge Baseline'!$B$1:$U$257,12,FALSE)),"",(VLOOKUP($B242,'B-1 On-Site Hedge Baseline'!$B$1:$U$257,12,FALSE))))</f>
        <v/>
      </c>
      <c r="M242" s="611"/>
      <c r="N242" s="275" t="str">
        <f>IFERROR(IF(B242="","",INDEX('G-6 Hedgerow Data'!$AN$3:$AZ$15,MATCH(C242,'G-6 Hedgerow Data'!$AM$3:$AM$15,0),MATCH(M242,'G-6 Hedgerow Data'!$AN$2:$AZ$2,0))),"")</f>
        <v/>
      </c>
      <c r="O242" s="276" t="str">
        <f t="shared" si="22"/>
        <v/>
      </c>
      <c r="P242" s="329" t="str">
        <f>IF(B242="","",VLOOKUP(B242,'B-1 On-Site Hedge Baseline'!$B$10:T487,16,FALSE))</f>
        <v/>
      </c>
      <c r="Q242" s="275" t="str">
        <f>IF(M242="","",VLOOKUP(M242,'G-6 Hedgerow Data'!$B$2:$AG$15,2,FALSE))</f>
        <v/>
      </c>
      <c r="R242" s="276" t="str">
        <f>IF(M242="","",VLOOKUP(M242,'G-6 Hedgerow Data'!$B$2:$AG$15,3,FALSE))</f>
        <v/>
      </c>
      <c r="S242" s="108"/>
      <c r="T242" s="314" t="str">
        <f>IFERROR(IF(S242="","",IF(AND(M242="Non-native and ornamental hedgerow",S242&lt;&gt;"Poor"),"Not possible ▲",(VLOOKUP(S242,'G-1 All Habitats'!$Z$2:$AA$9,2,FALSE)))),"")</f>
        <v/>
      </c>
      <c r="U242" s="105"/>
      <c r="V242" s="295" t="str">
        <f>IF(U242="","",IF(VLOOKUP(U242,'G-3 Multipliers'!$L$3:$N$6,2,FALSE)=0,"Spatial Data Missing ⚠",VLOOKUP(U242,'G-3 Multipliers'!$L$3:$N$6,2,FALSE)))</f>
        <v/>
      </c>
      <c r="W242" s="299" t="str">
        <f>IF(U242="","",IF(VLOOKUP(U242,'G-3 Multipliers'!$L$3:$N$6,3,FALSE)=0,"Spatial Data Missing ⚠",VLOOKUP(U242,'G-3 Multipliers'!$L$3:$N$6,3,FALSE)))</f>
        <v/>
      </c>
      <c r="X242" s="275" t="str">
        <f>IFERROR(IF(OR(LEFT(O242,5)="Error",LEFT(N242,5)="Error",T242="Error"),"Check Data ⚠",IF(F242&lt;R242,INDEX('G-6 Hedgerow Data'!$S$3:$AE$14,MATCH(C242,'G-6 Hedgerow Data'!$B$3:$B$14,0),MATCH(M242,'G-6 Hedgerow Data'!$S$2:$AE$2,0)),INDEX('G-6 Hedgerow Data'!$K$3:$Q$14,MATCH(M242,'G-6 Hedgerow Data'!$B$3:$B$14,0),MATCH(O242,'G-6 Hedgerow Data'!$K$2:$Q$2,0)))),"")</f>
        <v/>
      </c>
      <c r="Y242" s="133"/>
      <c r="Z242" s="133"/>
      <c r="AA242" s="283" t="str">
        <f t="shared" si="23"/>
        <v/>
      </c>
      <c r="AB242" s="296" t="str">
        <f t="shared" si="24"/>
        <v/>
      </c>
      <c r="AC242" s="297" t="str">
        <f t="shared" si="21"/>
        <v/>
      </c>
      <c r="AD242" s="311" t="str">
        <f>IF(M242="","",VLOOKUP(M242,'G-6 Hedgerow Data'!$B$3:$AG$15,31,FALSE))</f>
        <v/>
      </c>
      <c r="AE242" s="283" t="str">
        <f t="shared" si="25"/>
        <v/>
      </c>
      <c r="AF242" s="283" t="str">
        <f t="shared" si="26"/>
        <v/>
      </c>
      <c r="AG242" s="299" t="str">
        <f>IFERROR(IF(O242="","",VLOOKUP(AD242,'G-3 Multipliers'!$P$3:$Q$6,2,FALSE)),"")</f>
        <v/>
      </c>
      <c r="AH242" s="289" t="str">
        <f t="shared" si="27"/>
        <v/>
      </c>
      <c r="AI242" s="108"/>
      <c r="AJ242" s="115"/>
      <c r="AK242" s="104"/>
      <c r="AT242" s="30" t="str">
        <f>IFERROR(INDEX('G-6 Hedgerow Data'!$BJ$3:$BJ$15,MATCH(M242,'G-6 Hedgerow Data'!$B$3:$B$15,0)),"")</f>
        <v/>
      </c>
    </row>
    <row r="243" spans="2:46" ht="14">
      <c r="B243" s="305" t="str">
        <f>'B-1 On-Site Hedge Baseline'!AK241</f>
        <v/>
      </c>
      <c r="C243" s="295" t="str">
        <f>IF(B243="","",IF(ISNA(VLOOKUP($B243,'B-1 On-Site Hedge Baseline'!$B$1:$L$257,3,FALSE)),"",(VLOOKUP($B243,'B-1 On-Site Hedge Baseline'!$B$1:$L$257,3,FALSE))))</f>
        <v/>
      </c>
      <c r="D243" s="295" t="str">
        <f>IF(B243="","",IF(ISNA(VLOOKUP($B243,'B-1 On-Site Hedge Baseline'!$B$1:$L$257,4,FALSE)),"",(VLOOKUP($B243,'B-1 On-Site Hedge Baseline'!$B$1:$L$257,4,FALSE))))</f>
        <v/>
      </c>
      <c r="E243" s="295" t="str">
        <f>IF(B243="","",IF(ISNA(VLOOKUP($B243,'B-1 On-Site Hedge Baseline'!$B$1:$L$257,5,FALSE)),"",(VLOOKUP($B243,'B-1 On-Site Hedge Baseline'!$B$1:$L$257,5,FALSE))))</f>
        <v/>
      </c>
      <c r="F243" s="295" t="str">
        <f>IF(B243="","",IF(ISNA(VLOOKUP($B243,'B-1 On-Site Hedge Baseline'!$B$1:$L$257,6,FALSE)),"",(VLOOKUP($B243,'B-1 On-Site Hedge Baseline'!$B$1:$L$257,6,FALSE))))</f>
        <v/>
      </c>
      <c r="G243" s="295" t="str">
        <f>IF(B243="","",IF(ISNA(VLOOKUP($B243,'B-1 On-Site Hedge Baseline'!$B$1:$L$257,7,FALSE)),"",(VLOOKUP($B243,'B-1 On-Site Hedge Baseline'!$B$1:$L$257,7,FALSE))))</f>
        <v/>
      </c>
      <c r="H243" s="295" t="str">
        <f>IF(B243="","",IF(ISNA(VLOOKUP($B243,'B-1 On-Site Hedge Baseline'!$B$1:$L$257,8,FALSE)),"",(VLOOKUP($B243,'B-1 On-Site Hedge Baseline'!$B$1:$L$257,8,FALSE))))</f>
        <v/>
      </c>
      <c r="I243" s="295" t="str">
        <f>IF(B243="","",IF(ISNA(VLOOKUP($B243,'B-1 On-Site Hedge Baseline'!$B$1:$L$257,10,FALSE)),"",(VLOOKUP($B243,'B-1 On-Site Hedge Baseline'!$B$1:$L$257,10,FALSE))))</f>
        <v/>
      </c>
      <c r="J243" s="295" t="str">
        <f>IF(B243="","",IF(ISNA(VLOOKUP($B243,'B-1 On-Site Hedge Baseline'!$B$1:$L$257,11,FALSE)),"",(VLOOKUP($B243,'B-1 On-Site Hedge Baseline'!$B$1:$L$257,11,FALSE))))</f>
        <v/>
      </c>
      <c r="K243" s="295" t="str">
        <f>IF(B243="","",IF(ISNA(VLOOKUP($B243,'B-1 On-Site Hedge Baseline'!$B$1:$U$257,13,FALSE)),"",(VLOOKUP($B243,'B-1 On-Site Hedge Baseline'!$B$1:$U$257,13,FALSE))))</f>
        <v/>
      </c>
      <c r="L243" s="299" t="str">
        <f>IF(B243="","",IF(ISNA(VLOOKUP($B243,'B-1 On-Site Hedge Baseline'!$B$1:$U$257,12,FALSE)),"",(VLOOKUP($B243,'B-1 On-Site Hedge Baseline'!$B$1:$U$257,12,FALSE))))</f>
        <v/>
      </c>
      <c r="M243" s="611"/>
      <c r="N243" s="275" t="str">
        <f>IFERROR(IF(B243="","",INDEX('G-6 Hedgerow Data'!$AN$3:$AZ$15,MATCH(C243,'G-6 Hedgerow Data'!$AM$3:$AM$15,0),MATCH(M243,'G-6 Hedgerow Data'!$AN$2:$AZ$2,0))),"")</f>
        <v/>
      </c>
      <c r="O243" s="276" t="str">
        <f t="shared" si="22"/>
        <v/>
      </c>
      <c r="P243" s="329" t="str">
        <f>IF(B243="","",VLOOKUP(B243,'B-1 On-Site Hedge Baseline'!$B$10:T488,16,FALSE))</f>
        <v/>
      </c>
      <c r="Q243" s="275" t="str">
        <f>IF(M243="","",VLOOKUP(M243,'G-6 Hedgerow Data'!$B$2:$AG$15,2,FALSE))</f>
        <v/>
      </c>
      <c r="R243" s="276" t="str">
        <f>IF(M243="","",VLOOKUP(M243,'G-6 Hedgerow Data'!$B$2:$AG$15,3,FALSE))</f>
        <v/>
      </c>
      <c r="S243" s="108"/>
      <c r="T243" s="314" t="str">
        <f>IFERROR(IF(S243="","",IF(AND(M243="Non-native and ornamental hedgerow",S243&lt;&gt;"Poor"),"Not possible ▲",(VLOOKUP(S243,'G-1 All Habitats'!$Z$2:$AA$9,2,FALSE)))),"")</f>
        <v/>
      </c>
      <c r="U243" s="105"/>
      <c r="V243" s="295" t="str">
        <f>IF(U243="","",IF(VLOOKUP(U243,'G-3 Multipliers'!$L$3:$N$6,2,FALSE)=0,"Spatial Data Missing ⚠",VLOOKUP(U243,'G-3 Multipliers'!$L$3:$N$6,2,FALSE)))</f>
        <v/>
      </c>
      <c r="W243" s="299" t="str">
        <f>IF(U243="","",IF(VLOOKUP(U243,'G-3 Multipliers'!$L$3:$N$6,3,FALSE)=0,"Spatial Data Missing ⚠",VLOOKUP(U243,'G-3 Multipliers'!$L$3:$N$6,3,FALSE)))</f>
        <v/>
      </c>
      <c r="X243" s="275" t="str">
        <f>IFERROR(IF(OR(LEFT(O243,5)="Error",LEFT(N243,5)="Error",T243="Error"),"Check Data ⚠",IF(F243&lt;R243,INDEX('G-6 Hedgerow Data'!$S$3:$AE$14,MATCH(C243,'G-6 Hedgerow Data'!$B$3:$B$14,0),MATCH(M243,'G-6 Hedgerow Data'!$S$2:$AE$2,0)),INDEX('G-6 Hedgerow Data'!$K$3:$Q$14,MATCH(M243,'G-6 Hedgerow Data'!$B$3:$B$14,0),MATCH(O243,'G-6 Hedgerow Data'!$K$2:$Q$2,0)))),"")</f>
        <v/>
      </c>
      <c r="Y243" s="133"/>
      <c r="Z243" s="133"/>
      <c r="AA243" s="283" t="str">
        <f t="shared" si="23"/>
        <v/>
      </c>
      <c r="AB243" s="296" t="str">
        <f t="shared" si="24"/>
        <v/>
      </c>
      <c r="AC243" s="297" t="str">
        <f t="shared" si="21"/>
        <v/>
      </c>
      <c r="AD243" s="311" t="str">
        <f>IF(M243="","",VLOOKUP(M243,'G-6 Hedgerow Data'!$B$3:$AG$15,31,FALSE))</f>
        <v/>
      </c>
      <c r="AE243" s="283" t="str">
        <f t="shared" si="25"/>
        <v/>
      </c>
      <c r="AF243" s="283" t="str">
        <f t="shared" si="26"/>
        <v/>
      </c>
      <c r="AG243" s="299" t="str">
        <f>IFERROR(IF(O243="","",VLOOKUP(AD243,'G-3 Multipliers'!$P$3:$Q$6,2,FALSE)),"")</f>
        <v/>
      </c>
      <c r="AH243" s="289" t="str">
        <f t="shared" si="27"/>
        <v/>
      </c>
      <c r="AI243" s="108"/>
      <c r="AJ243" s="115"/>
      <c r="AK243" s="104"/>
      <c r="AT243" s="30" t="str">
        <f>IFERROR(INDEX('G-6 Hedgerow Data'!$BJ$3:$BJ$15,MATCH(M243,'G-6 Hedgerow Data'!$B$3:$B$15,0)),"")</f>
        <v/>
      </c>
    </row>
    <row r="244" spans="2:46" ht="14">
      <c r="B244" s="305" t="str">
        <f>'B-1 On-Site Hedge Baseline'!AK242</f>
        <v/>
      </c>
      <c r="C244" s="295" t="str">
        <f>IF(B244="","",IF(ISNA(VLOOKUP($B244,'B-1 On-Site Hedge Baseline'!$B$1:$L$257,3,FALSE)),"",(VLOOKUP($B244,'B-1 On-Site Hedge Baseline'!$B$1:$L$257,3,FALSE))))</f>
        <v/>
      </c>
      <c r="D244" s="295" t="str">
        <f>IF(B244="","",IF(ISNA(VLOOKUP($B244,'B-1 On-Site Hedge Baseline'!$B$1:$L$257,4,FALSE)),"",(VLOOKUP($B244,'B-1 On-Site Hedge Baseline'!$B$1:$L$257,4,FALSE))))</f>
        <v/>
      </c>
      <c r="E244" s="295" t="str">
        <f>IF(B244="","",IF(ISNA(VLOOKUP($B244,'B-1 On-Site Hedge Baseline'!$B$1:$L$257,5,FALSE)),"",(VLOOKUP($B244,'B-1 On-Site Hedge Baseline'!$B$1:$L$257,5,FALSE))))</f>
        <v/>
      </c>
      <c r="F244" s="295" t="str">
        <f>IF(B244="","",IF(ISNA(VLOOKUP($B244,'B-1 On-Site Hedge Baseline'!$B$1:$L$257,6,FALSE)),"",(VLOOKUP($B244,'B-1 On-Site Hedge Baseline'!$B$1:$L$257,6,FALSE))))</f>
        <v/>
      </c>
      <c r="G244" s="295" t="str">
        <f>IF(B244="","",IF(ISNA(VLOOKUP($B244,'B-1 On-Site Hedge Baseline'!$B$1:$L$257,7,FALSE)),"",(VLOOKUP($B244,'B-1 On-Site Hedge Baseline'!$B$1:$L$257,7,FALSE))))</f>
        <v/>
      </c>
      <c r="H244" s="295" t="str">
        <f>IF(B244="","",IF(ISNA(VLOOKUP($B244,'B-1 On-Site Hedge Baseline'!$B$1:$L$257,8,FALSE)),"",(VLOOKUP($B244,'B-1 On-Site Hedge Baseline'!$B$1:$L$257,8,FALSE))))</f>
        <v/>
      </c>
      <c r="I244" s="295" t="str">
        <f>IF(B244="","",IF(ISNA(VLOOKUP($B244,'B-1 On-Site Hedge Baseline'!$B$1:$L$257,10,FALSE)),"",(VLOOKUP($B244,'B-1 On-Site Hedge Baseline'!$B$1:$L$257,10,FALSE))))</f>
        <v/>
      </c>
      <c r="J244" s="295" t="str">
        <f>IF(B244="","",IF(ISNA(VLOOKUP($B244,'B-1 On-Site Hedge Baseline'!$B$1:$L$257,11,FALSE)),"",(VLOOKUP($B244,'B-1 On-Site Hedge Baseline'!$B$1:$L$257,11,FALSE))))</f>
        <v/>
      </c>
      <c r="K244" s="295" t="str">
        <f>IF(B244="","",IF(ISNA(VLOOKUP($B244,'B-1 On-Site Hedge Baseline'!$B$1:$U$257,13,FALSE)),"",(VLOOKUP($B244,'B-1 On-Site Hedge Baseline'!$B$1:$U$257,13,FALSE))))</f>
        <v/>
      </c>
      <c r="L244" s="299" t="str">
        <f>IF(B244="","",IF(ISNA(VLOOKUP($B244,'B-1 On-Site Hedge Baseline'!$B$1:$U$257,12,FALSE)),"",(VLOOKUP($B244,'B-1 On-Site Hedge Baseline'!$B$1:$U$257,12,FALSE))))</f>
        <v/>
      </c>
      <c r="M244" s="611"/>
      <c r="N244" s="275" t="str">
        <f>IFERROR(IF(B244="","",INDEX('G-6 Hedgerow Data'!$AN$3:$AZ$15,MATCH(C244,'G-6 Hedgerow Data'!$AM$3:$AM$15,0),MATCH(M244,'G-6 Hedgerow Data'!$AN$2:$AZ$2,0))),"")</f>
        <v/>
      </c>
      <c r="O244" s="276" t="str">
        <f t="shared" si="22"/>
        <v/>
      </c>
      <c r="P244" s="329" t="str">
        <f>IF(B244="","",VLOOKUP(B244,'B-1 On-Site Hedge Baseline'!$B$10:T489,16,FALSE))</f>
        <v/>
      </c>
      <c r="Q244" s="275" t="str">
        <f>IF(M244="","",VLOOKUP(M244,'G-6 Hedgerow Data'!$B$2:$AG$15,2,FALSE))</f>
        <v/>
      </c>
      <c r="R244" s="276" t="str">
        <f>IF(M244="","",VLOOKUP(M244,'G-6 Hedgerow Data'!$B$2:$AG$15,3,FALSE))</f>
        <v/>
      </c>
      <c r="S244" s="108"/>
      <c r="T244" s="314" t="str">
        <f>IFERROR(IF(S244="","",IF(AND(M244="Non-native and ornamental hedgerow",S244&lt;&gt;"Poor"),"Not possible ▲",(VLOOKUP(S244,'G-1 All Habitats'!$Z$2:$AA$9,2,FALSE)))),"")</f>
        <v/>
      </c>
      <c r="U244" s="105"/>
      <c r="V244" s="295" t="str">
        <f>IF(U244="","",IF(VLOOKUP(U244,'G-3 Multipliers'!$L$3:$N$6,2,FALSE)=0,"Spatial Data Missing ⚠",VLOOKUP(U244,'G-3 Multipliers'!$L$3:$N$6,2,FALSE)))</f>
        <v/>
      </c>
      <c r="W244" s="299" t="str">
        <f>IF(U244="","",IF(VLOOKUP(U244,'G-3 Multipliers'!$L$3:$N$6,3,FALSE)=0,"Spatial Data Missing ⚠",VLOOKUP(U244,'G-3 Multipliers'!$L$3:$N$6,3,FALSE)))</f>
        <v/>
      </c>
      <c r="X244" s="275" t="str">
        <f>IFERROR(IF(OR(LEFT(O244,5)="Error",LEFT(N244,5)="Error",T244="Error"),"Check Data ⚠",IF(F244&lt;R244,INDEX('G-6 Hedgerow Data'!$S$3:$AE$14,MATCH(C244,'G-6 Hedgerow Data'!$B$3:$B$14,0),MATCH(M244,'G-6 Hedgerow Data'!$S$2:$AE$2,0)),INDEX('G-6 Hedgerow Data'!$K$3:$Q$14,MATCH(M244,'G-6 Hedgerow Data'!$B$3:$B$14,0),MATCH(O244,'G-6 Hedgerow Data'!$K$2:$Q$2,0)))),"")</f>
        <v/>
      </c>
      <c r="Y244" s="133"/>
      <c r="Z244" s="133"/>
      <c r="AA244" s="283" t="str">
        <f t="shared" si="23"/>
        <v/>
      </c>
      <c r="AB244" s="296" t="str">
        <f t="shared" si="24"/>
        <v/>
      </c>
      <c r="AC244" s="297" t="str">
        <f t="shared" si="21"/>
        <v/>
      </c>
      <c r="AD244" s="311" t="str">
        <f>IF(M244="","",VLOOKUP(M244,'G-6 Hedgerow Data'!$B$3:$AG$15,31,FALSE))</f>
        <v/>
      </c>
      <c r="AE244" s="283" t="str">
        <f t="shared" si="25"/>
        <v/>
      </c>
      <c r="AF244" s="283" t="str">
        <f t="shared" si="26"/>
        <v/>
      </c>
      <c r="AG244" s="299" t="str">
        <f>IFERROR(IF(O244="","",VLOOKUP(AD244,'G-3 Multipliers'!$P$3:$Q$6,2,FALSE)),"")</f>
        <v/>
      </c>
      <c r="AH244" s="289" t="str">
        <f t="shared" si="27"/>
        <v/>
      </c>
      <c r="AI244" s="108"/>
      <c r="AJ244" s="115"/>
      <c r="AK244" s="104"/>
      <c r="AT244" s="30" t="str">
        <f>IFERROR(INDEX('G-6 Hedgerow Data'!$BJ$3:$BJ$15,MATCH(M244,'G-6 Hedgerow Data'!$B$3:$B$15,0)),"")</f>
        <v/>
      </c>
    </row>
    <row r="245" spans="2:46" ht="14">
      <c r="B245" s="305" t="str">
        <f>'B-1 On-Site Hedge Baseline'!AK243</f>
        <v/>
      </c>
      <c r="C245" s="295" t="str">
        <f>IF(B245="","",IF(ISNA(VLOOKUP($B245,'B-1 On-Site Hedge Baseline'!$B$1:$L$257,3,FALSE)),"",(VLOOKUP($B245,'B-1 On-Site Hedge Baseline'!$B$1:$L$257,3,FALSE))))</f>
        <v/>
      </c>
      <c r="D245" s="295" t="str">
        <f>IF(B245="","",IF(ISNA(VLOOKUP($B245,'B-1 On-Site Hedge Baseline'!$B$1:$L$257,4,FALSE)),"",(VLOOKUP($B245,'B-1 On-Site Hedge Baseline'!$B$1:$L$257,4,FALSE))))</f>
        <v/>
      </c>
      <c r="E245" s="295" t="str">
        <f>IF(B245="","",IF(ISNA(VLOOKUP($B245,'B-1 On-Site Hedge Baseline'!$B$1:$L$257,5,FALSE)),"",(VLOOKUP($B245,'B-1 On-Site Hedge Baseline'!$B$1:$L$257,5,FALSE))))</f>
        <v/>
      </c>
      <c r="F245" s="295" t="str">
        <f>IF(B245="","",IF(ISNA(VLOOKUP($B245,'B-1 On-Site Hedge Baseline'!$B$1:$L$257,6,FALSE)),"",(VLOOKUP($B245,'B-1 On-Site Hedge Baseline'!$B$1:$L$257,6,FALSE))))</f>
        <v/>
      </c>
      <c r="G245" s="295" t="str">
        <f>IF(B245="","",IF(ISNA(VLOOKUP($B245,'B-1 On-Site Hedge Baseline'!$B$1:$L$257,7,FALSE)),"",(VLOOKUP($B245,'B-1 On-Site Hedge Baseline'!$B$1:$L$257,7,FALSE))))</f>
        <v/>
      </c>
      <c r="H245" s="295" t="str">
        <f>IF(B245="","",IF(ISNA(VLOOKUP($B245,'B-1 On-Site Hedge Baseline'!$B$1:$L$257,8,FALSE)),"",(VLOOKUP($B245,'B-1 On-Site Hedge Baseline'!$B$1:$L$257,8,FALSE))))</f>
        <v/>
      </c>
      <c r="I245" s="295" t="str">
        <f>IF(B245="","",IF(ISNA(VLOOKUP($B245,'B-1 On-Site Hedge Baseline'!$B$1:$L$257,10,FALSE)),"",(VLOOKUP($B245,'B-1 On-Site Hedge Baseline'!$B$1:$L$257,10,FALSE))))</f>
        <v/>
      </c>
      <c r="J245" s="295" t="str">
        <f>IF(B245="","",IF(ISNA(VLOOKUP($B245,'B-1 On-Site Hedge Baseline'!$B$1:$L$257,11,FALSE)),"",(VLOOKUP($B245,'B-1 On-Site Hedge Baseline'!$B$1:$L$257,11,FALSE))))</f>
        <v/>
      </c>
      <c r="K245" s="295" t="str">
        <f>IF(B245="","",IF(ISNA(VLOOKUP($B245,'B-1 On-Site Hedge Baseline'!$B$1:$U$257,13,FALSE)),"",(VLOOKUP($B245,'B-1 On-Site Hedge Baseline'!$B$1:$U$257,13,FALSE))))</f>
        <v/>
      </c>
      <c r="L245" s="299" t="str">
        <f>IF(B245="","",IF(ISNA(VLOOKUP($B245,'B-1 On-Site Hedge Baseline'!$B$1:$U$257,12,FALSE)),"",(VLOOKUP($B245,'B-1 On-Site Hedge Baseline'!$B$1:$U$257,12,FALSE))))</f>
        <v/>
      </c>
      <c r="M245" s="611"/>
      <c r="N245" s="275" t="str">
        <f>IFERROR(IF(B245="","",INDEX('G-6 Hedgerow Data'!$AN$3:$AZ$15,MATCH(C245,'G-6 Hedgerow Data'!$AM$3:$AM$15,0),MATCH(M245,'G-6 Hedgerow Data'!$AN$2:$AZ$2,0))),"")</f>
        <v/>
      </c>
      <c r="O245" s="276" t="str">
        <f t="shared" si="22"/>
        <v/>
      </c>
      <c r="P245" s="329" t="str">
        <f>IF(B245="","",VLOOKUP(B245,'B-1 On-Site Hedge Baseline'!$B$10:T490,16,FALSE))</f>
        <v/>
      </c>
      <c r="Q245" s="275" t="str">
        <f>IF(M245="","",VLOOKUP(M245,'G-6 Hedgerow Data'!$B$2:$AG$15,2,FALSE))</f>
        <v/>
      </c>
      <c r="R245" s="276" t="str">
        <f>IF(M245="","",VLOOKUP(M245,'G-6 Hedgerow Data'!$B$2:$AG$15,3,FALSE))</f>
        <v/>
      </c>
      <c r="S245" s="108"/>
      <c r="T245" s="314" t="str">
        <f>IFERROR(IF(S245="","",IF(AND(M245="Non-native and ornamental hedgerow",S245&lt;&gt;"Poor"),"Not possible ▲",(VLOOKUP(S245,'G-1 All Habitats'!$Z$2:$AA$9,2,FALSE)))),"")</f>
        <v/>
      </c>
      <c r="U245" s="105"/>
      <c r="V245" s="295" t="str">
        <f>IF(U245="","",IF(VLOOKUP(U245,'G-3 Multipliers'!$L$3:$N$6,2,FALSE)=0,"Spatial Data Missing ⚠",VLOOKUP(U245,'G-3 Multipliers'!$L$3:$N$6,2,FALSE)))</f>
        <v/>
      </c>
      <c r="W245" s="299" t="str">
        <f>IF(U245="","",IF(VLOOKUP(U245,'G-3 Multipliers'!$L$3:$N$6,3,FALSE)=0,"Spatial Data Missing ⚠",VLOOKUP(U245,'G-3 Multipliers'!$L$3:$N$6,3,FALSE)))</f>
        <v/>
      </c>
      <c r="X245" s="275" t="str">
        <f>IFERROR(IF(OR(LEFT(O245,5)="Error",LEFT(N245,5)="Error",T245="Error"),"Check Data ⚠",IF(F245&lt;R245,INDEX('G-6 Hedgerow Data'!$S$3:$AE$14,MATCH(C245,'G-6 Hedgerow Data'!$B$3:$B$14,0),MATCH(M245,'G-6 Hedgerow Data'!$S$2:$AE$2,0)),INDEX('G-6 Hedgerow Data'!$K$3:$Q$14,MATCH(M245,'G-6 Hedgerow Data'!$B$3:$B$14,0),MATCH(O245,'G-6 Hedgerow Data'!$K$2:$Q$2,0)))),"")</f>
        <v/>
      </c>
      <c r="Y245" s="133"/>
      <c r="Z245" s="133"/>
      <c r="AA245" s="283" t="str">
        <f t="shared" si="23"/>
        <v/>
      </c>
      <c r="AB245" s="296" t="str">
        <f t="shared" si="24"/>
        <v/>
      </c>
      <c r="AC245" s="297" t="str">
        <f t="shared" si="21"/>
        <v/>
      </c>
      <c r="AD245" s="311" t="str">
        <f>IF(M245="","",VLOOKUP(M245,'G-6 Hedgerow Data'!$B$3:$AG$15,31,FALSE))</f>
        <v/>
      </c>
      <c r="AE245" s="283" t="str">
        <f t="shared" si="25"/>
        <v/>
      </c>
      <c r="AF245" s="283" t="str">
        <f t="shared" si="26"/>
        <v/>
      </c>
      <c r="AG245" s="299" t="str">
        <f>IFERROR(IF(O245="","",VLOOKUP(AD245,'G-3 Multipliers'!$P$3:$Q$6,2,FALSE)),"")</f>
        <v/>
      </c>
      <c r="AH245" s="289" t="str">
        <f t="shared" si="27"/>
        <v/>
      </c>
      <c r="AI245" s="108"/>
      <c r="AJ245" s="115"/>
      <c r="AK245" s="104"/>
      <c r="AT245" s="30" t="str">
        <f>IFERROR(INDEX('G-6 Hedgerow Data'!$BJ$3:$BJ$15,MATCH(M245,'G-6 Hedgerow Data'!$B$3:$B$15,0)),"")</f>
        <v/>
      </c>
    </row>
    <row r="246" spans="2:46" ht="14">
      <c r="B246" s="305" t="str">
        <f>'B-1 On-Site Hedge Baseline'!AK244</f>
        <v/>
      </c>
      <c r="C246" s="295" t="str">
        <f>IF(B246="","",IF(ISNA(VLOOKUP($B246,'B-1 On-Site Hedge Baseline'!$B$1:$L$257,3,FALSE)),"",(VLOOKUP($B246,'B-1 On-Site Hedge Baseline'!$B$1:$L$257,3,FALSE))))</f>
        <v/>
      </c>
      <c r="D246" s="295" t="str">
        <f>IF(B246="","",IF(ISNA(VLOOKUP($B246,'B-1 On-Site Hedge Baseline'!$B$1:$L$257,4,FALSE)),"",(VLOOKUP($B246,'B-1 On-Site Hedge Baseline'!$B$1:$L$257,4,FALSE))))</f>
        <v/>
      </c>
      <c r="E246" s="295" t="str">
        <f>IF(B246="","",IF(ISNA(VLOOKUP($B246,'B-1 On-Site Hedge Baseline'!$B$1:$L$257,5,FALSE)),"",(VLOOKUP($B246,'B-1 On-Site Hedge Baseline'!$B$1:$L$257,5,FALSE))))</f>
        <v/>
      </c>
      <c r="F246" s="295" t="str">
        <f>IF(B246="","",IF(ISNA(VLOOKUP($B246,'B-1 On-Site Hedge Baseline'!$B$1:$L$257,6,FALSE)),"",(VLOOKUP($B246,'B-1 On-Site Hedge Baseline'!$B$1:$L$257,6,FALSE))))</f>
        <v/>
      </c>
      <c r="G246" s="295" t="str">
        <f>IF(B246="","",IF(ISNA(VLOOKUP($B246,'B-1 On-Site Hedge Baseline'!$B$1:$L$257,7,FALSE)),"",(VLOOKUP($B246,'B-1 On-Site Hedge Baseline'!$B$1:$L$257,7,FALSE))))</f>
        <v/>
      </c>
      <c r="H246" s="295" t="str">
        <f>IF(B246="","",IF(ISNA(VLOOKUP($B246,'B-1 On-Site Hedge Baseline'!$B$1:$L$257,8,FALSE)),"",(VLOOKUP($B246,'B-1 On-Site Hedge Baseline'!$B$1:$L$257,8,FALSE))))</f>
        <v/>
      </c>
      <c r="I246" s="295" t="str">
        <f>IF(B246="","",IF(ISNA(VLOOKUP($B246,'B-1 On-Site Hedge Baseline'!$B$1:$L$257,10,FALSE)),"",(VLOOKUP($B246,'B-1 On-Site Hedge Baseline'!$B$1:$L$257,10,FALSE))))</f>
        <v/>
      </c>
      <c r="J246" s="295" t="str">
        <f>IF(B246="","",IF(ISNA(VLOOKUP($B246,'B-1 On-Site Hedge Baseline'!$B$1:$L$257,11,FALSE)),"",(VLOOKUP($B246,'B-1 On-Site Hedge Baseline'!$B$1:$L$257,11,FALSE))))</f>
        <v/>
      </c>
      <c r="K246" s="295" t="str">
        <f>IF(B246="","",IF(ISNA(VLOOKUP($B246,'B-1 On-Site Hedge Baseline'!$B$1:$U$257,13,FALSE)),"",(VLOOKUP($B246,'B-1 On-Site Hedge Baseline'!$B$1:$U$257,13,FALSE))))</f>
        <v/>
      </c>
      <c r="L246" s="299" t="str">
        <f>IF(B246="","",IF(ISNA(VLOOKUP($B246,'B-1 On-Site Hedge Baseline'!$B$1:$U$257,12,FALSE)),"",(VLOOKUP($B246,'B-1 On-Site Hedge Baseline'!$B$1:$U$257,12,FALSE))))</f>
        <v/>
      </c>
      <c r="M246" s="611"/>
      <c r="N246" s="275" t="str">
        <f>IFERROR(IF(B246="","",INDEX('G-6 Hedgerow Data'!$AN$3:$AZ$15,MATCH(C246,'G-6 Hedgerow Data'!$AM$3:$AM$15,0),MATCH(M246,'G-6 Hedgerow Data'!$AN$2:$AZ$2,0))),"")</f>
        <v/>
      </c>
      <c r="O246" s="276" t="str">
        <f t="shared" si="22"/>
        <v/>
      </c>
      <c r="P246" s="329" t="str">
        <f>IF(B246="","",VLOOKUP(B246,'B-1 On-Site Hedge Baseline'!$B$10:T491,16,FALSE))</f>
        <v/>
      </c>
      <c r="Q246" s="275" t="str">
        <f>IF(M246="","",VLOOKUP(M246,'G-6 Hedgerow Data'!$B$2:$AG$15,2,FALSE))</f>
        <v/>
      </c>
      <c r="R246" s="276" t="str">
        <f>IF(M246="","",VLOOKUP(M246,'G-6 Hedgerow Data'!$B$2:$AG$15,3,FALSE))</f>
        <v/>
      </c>
      <c r="S246" s="108"/>
      <c r="T246" s="314" t="str">
        <f>IFERROR(IF(S246="","",IF(AND(M246="Non-native and ornamental hedgerow",S246&lt;&gt;"Poor"),"Not possible ▲",(VLOOKUP(S246,'G-1 All Habitats'!$Z$2:$AA$9,2,FALSE)))),"")</f>
        <v/>
      </c>
      <c r="U246" s="105"/>
      <c r="V246" s="295" t="str">
        <f>IF(U246="","",IF(VLOOKUP(U246,'G-3 Multipliers'!$L$3:$N$6,2,FALSE)=0,"Spatial Data Missing ⚠",VLOOKUP(U246,'G-3 Multipliers'!$L$3:$N$6,2,FALSE)))</f>
        <v/>
      </c>
      <c r="W246" s="299" t="str">
        <f>IF(U246="","",IF(VLOOKUP(U246,'G-3 Multipliers'!$L$3:$N$6,3,FALSE)=0,"Spatial Data Missing ⚠",VLOOKUP(U246,'G-3 Multipliers'!$L$3:$N$6,3,FALSE)))</f>
        <v/>
      </c>
      <c r="X246" s="275" t="str">
        <f>IFERROR(IF(OR(LEFT(O246,5)="Error",LEFT(N246,5)="Error",T246="Error"),"Check Data ⚠",IF(F246&lt;R246,INDEX('G-6 Hedgerow Data'!$S$3:$AE$14,MATCH(C246,'G-6 Hedgerow Data'!$B$3:$B$14,0),MATCH(M246,'G-6 Hedgerow Data'!$S$2:$AE$2,0)),INDEX('G-6 Hedgerow Data'!$K$3:$Q$14,MATCH(M246,'G-6 Hedgerow Data'!$B$3:$B$14,0),MATCH(O246,'G-6 Hedgerow Data'!$K$2:$Q$2,0)))),"")</f>
        <v/>
      </c>
      <c r="Y246" s="133"/>
      <c r="Z246" s="133"/>
      <c r="AA246" s="283" t="str">
        <f t="shared" si="23"/>
        <v/>
      </c>
      <c r="AB246" s="296" t="str">
        <f t="shared" si="24"/>
        <v/>
      </c>
      <c r="AC246" s="297" t="str">
        <f t="shared" si="21"/>
        <v/>
      </c>
      <c r="AD246" s="311" t="str">
        <f>IF(M246="","",VLOOKUP(M246,'G-6 Hedgerow Data'!$B$3:$AG$15,31,FALSE))</f>
        <v/>
      </c>
      <c r="AE246" s="283" t="str">
        <f t="shared" si="25"/>
        <v/>
      </c>
      <c r="AF246" s="283" t="str">
        <f t="shared" si="26"/>
        <v/>
      </c>
      <c r="AG246" s="299" t="str">
        <f>IFERROR(IF(O246="","",VLOOKUP(AD246,'G-3 Multipliers'!$P$3:$Q$6,2,FALSE)),"")</f>
        <v/>
      </c>
      <c r="AH246" s="289" t="str">
        <f t="shared" si="27"/>
        <v/>
      </c>
      <c r="AI246" s="108"/>
      <c r="AJ246" s="115"/>
      <c r="AK246" s="104"/>
      <c r="AT246" s="30" t="str">
        <f>IFERROR(INDEX('G-6 Hedgerow Data'!$BJ$3:$BJ$15,MATCH(M246,'G-6 Hedgerow Data'!$B$3:$B$15,0)),"")</f>
        <v/>
      </c>
    </row>
    <row r="247" spans="2:46" ht="14">
      <c r="B247" s="305" t="str">
        <f>'B-1 On-Site Hedge Baseline'!AK245</f>
        <v/>
      </c>
      <c r="C247" s="295" t="str">
        <f>IF(B247="","",IF(ISNA(VLOOKUP($B247,'B-1 On-Site Hedge Baseline'!$B$1:$L$257,3,FALSE)),"",(VLOOKUP($B247,'B-1 On-Site Hedge Baseline'!$B$1:$L$257,3,FALSE))))</f>
        <v/>
      </c>
      <c r="D247" s="295" t="str">
        <f>IF(B247="","",IF(ISNA(VLOOKUP($B247,'B-1 On-Site Hedge Baseline'!$B$1:$L$257,4,FALSE)),"",(VLOOKUP($B247,'B-1 On-Site Hedge Baseline'!$B$1:$L$257,4,FALSE))))</f>
        <v/>
      </c>
      <c r="E247" s="295" t="str">
        <f>IF(B247="","",IF(ISNA(VLOOKUP($B247,'B-1 On-Site Hedge Baseline'!$B$1:$L$257,5,FALSE)),"",(VLOOKUP($B247,'B-1 On-Site Hedge Baseline'!$B$1:$L$257,5,FALSE))))</f>
        <v/>
      </c>
      <c r="F247" s="295" t="str">
        <f>IF(B247="","",IF(ISNA(VLOOKUP($B247,'B-1 On-Site Hedge Baseline'!$B$1:$L$257,6,FALSE)),"",(VLOOKUP($B247,'B-1 On-Site Hedge Baseline'!$B$1:$L$257,6,FALSE))))</f>
        <v/>
      </c>
      <c r="G247" s="295" t="str">
        <f>IF(B247="","",IF(ISNA(VLOOKUP($B247,'B-1 On-Site Hedge Baseline'!$B$1:$L$257,7,FALSE)),"",(VLOOKUP($B247,'B-1 On-Site Hedge Baseline'!$B$1:$L$257,7,FALSE))))</f>
        <v/>
      </c>
      <c r="H247" s="295" t="str">
        <f>IF(B247="","",IF(ISNA(VLOOKUP($B247,'B-1 On-Site Hedge Baseline'!$B$1:$L$257,8,FALSE)),"",(VLOOKUP($B247,'B-1 On-Site Hedge Baseline'!$B$1:$L$257,8,FALSE))))</f>
        <v/>
      </c>
      <c r="I247" s="295" t="str">
        <f>IF(B247="","",IF(ISNA(VLOOKUP($B247,'B-1 On-Site Hedge Baseline'!$B$1:$L$257,10,FALSE)),"",(VLOOKUP($B247,'B-1 On-Site Hedge Baseline'!$B$1:$L$257,10,FALSE))))</f>
        <v/>
      </c>
      <c r="J247" s="295" t="str">
        <f>IF(B247="","",IF(ISNA(VLOOKUP($B247,'B-1 On-Site Hedge Baseline'!$B$1:$L$257,11,FALSE)),"",(VLOOKUP($B247,'B-1 On-Site Hedge Baseline'!$B$1:$L$257,11,FALSE))))</f>
        <v/>
      </c>
      <c r="K247" s="295" t="str">
        <f>IF(B247="","",IF(ISNA(VLOOKUP($B247,'B-1 On-Site Hedge Baseline'!$B$1:$U$257,13,FALSE)),"",(VLOOKUP($B247,'B-1 On-Site Hedge Baseline'!$B$1:$U$257,13,FALSE))))</f>
        <v/>
      </c>
      <c r="L247" s="299" t="str">
        <f>IF(B247="","",IF(ISNA(VLOOKUP($B247,'B-1 On-Site Hedge Baseline'!$B$1:$U$257,12,FALSE)),"",(VLOOKUP($B247,'B-1 On-Site Hedge Baseline'!$B$1:$U$257,12,FALSE))))</f>
        <v/>
      </c>
      <c r="M247" s="611"/>
      <c r="N247" s="275" t="str">
        <f>IFERROR(IF(B247="","",INDEX('G-6 Hedgerow Data'!$AN$3:$AZ$15,MATCH(C247,'G-6 Hedgerow Data'!$AM$3:$AM$15,0),MATCH(M247,'G-6 Hedgerow Data'!$AN$2:$AZ$2,0))),"")</f>
        <v/>
      </c>
      <c r="O247" s="276" t="str">
        <f t="shared" si="22"/>
        <v/>
      </c>
      <c r="P247" s="329" t="str">
        <f>IF(B247="","",VLOOKUP(B247,'B-1 On-Site Hedge Baseline'!$B$10:T492,16,FALSE))</f>
        <v/>
      </c>
      <c r="Q247" s="275" t="str">
        <f>IF(M247="","",VLOOKUP(M247,'G-6 Hedgerow Data'!$B$2:$AG$15,2,FALSE))</f>
        <v/>
      </c>
      <c r="R247" s="276" t="str">
        <f>IF(M247="","",VLOOKUP(M247,'G-6 Hedgerow Data'!$B$2:$AG$15,3,FALSE))</f>
        <v/>
      </c>
      <c r="S247" s="108"/>
      <c r="T247" s="314" t="str">
        <f>IFERROR(IF(S247="","",IF(AND(M247="Non-native and ornamental hedgerow",S247&lt;&gt;"Poor"),"Not possible ▲",(VLOOKUP(S247,'G-1 All Habitats'!$Z$2:$AA$9,2,FALSE)))),"")</f>
        <v/>
      </c>
      <c r="U247" s="105"/>
      <c r="V247" s="295" t="str">
        <f>IF(U247="","",IF(VLOOKUP(U247,'G-3 Multipliers'!$L$3:$N$6,2,FALSE)=0,"Spatial Data Missing ⚠",VLOOKUP(U247,'G-3 Multipliers'!$L$3:$N$6,2,FALSE)))</f>
        <v/>
      </c>
      <c r="W247" s="299" t="str">
        <f>IF(U247="","",IF(VLOOKUP(U247,'G-3 Multipliers'!$L$3:$N$6,3,FALSE)=0,"Spatial Data Missing ⚠",VLOOKUP(U247,'G-3 Multipliers'!$L$3:$N$6,3,FALSE)))</f>
        <v/>
      </c>
      <c r="X247" s="275" t="str">
        <f>IFERROR(IF(OR(LEFT(O247,5)="Error",LEFT(N247,5)="Error",T247="Error"),"Check Data ⚠",IF(F247&lt;R247,INDEX('G-6 Hedgerow Data'!$S$3:$AE$14,MATCH(C247,'G-6 Hedgerow Data'!$B$3:$B$14,0),MATCH(M247,'G-6 Hedgerow Data'!$S$2:$AE$2,0)),INDEX('G-6 Hedgerow Data'!$K$3:$Q$14,MATCH(M247,'G-6 Hedgerow Data'!$B$3:$B$14,0),MATCH(O247,'G-6 Hedgerow Data'!$K$2:$Q$2,0)))),"")</f>
        <v/>
      </c>
      <c r="Y247" s="133"/>
      <c r="Z247" s="133"/>
      <c r="AA247" s="283" t="str">
        <f t="shared" si="23"/>
        <v/>
      </c>
      <c r="AB247" s="296" t="str">
        <f t="shared" si="24"/>
        <v/>
      </c>
      <c r="AC247" s="297" t="str">
        <f t="shared" si="21"/>
        <v/>
      </c>
      <c r="AD247" s="311" t="str">
        <f>IF(M247="","",VLOOKUP(M247,'G-6 Hedgerow Data'!$B$3:$AG$15,31,FALSE))</f>
        <v/>
      </c>
      <c r="AE247" s="283" t="str">
        <f t="shared" si="25"/>
        <v/>
      </c>
      <c r="AF247" s="283" t="str">
        <f t="shared" si="26"/>
        <v/>
      </c>
      <c r="AG247" s="299" t="str">
        <f>IFERROR(IF(O247="","",VLOOKUP(AD247,'G-3 Multipliers'!$P$3:$Q$6,2,FALSE)),"")</f>
        <v/>
      </c>
      <c r="AH247" s="289" t="str">
        <f t="shared" si="27"/>
        <v/>
      </c>
      <c r="AI247" s="108"/>
      <c r="AJ247" s="115"/>
      <c r="AK247" s="104"/>
      <c r="AT247" s="30" t="str">
        <f>IFERROR(INDEX('G-6 Hedgerow Data'!$BJ$3:$BJ$15,MATCH(M247,'G-6 Hedgerow Data'!$B$3:$B$15,0)),"")</f>
        <v/>
      </c>
    </row>
    <row r="248" spans="2:46" ht="14">
      <c r="B248" s="305" t="str">
        <f>'B-1 On-Site Hedge Baseline'!AK246</f>
        <v/>
      </c>
      <c r="C248" s="295" t="str">
        <f>IF(B248="","",IF(ISNA(VLOOKUP($B248,'B-1 On-Site Hedge Baseline'!$B$1:$L$257,3,FALSE)),"",(VLOOKUP($B248,'B-1 On-Site Hedge Baseline'!$B$1:$L$257,3,FALSE))))</f>
        <v/>
      </c>
      <c r="D248" s="295" t="str">
        <f>IF(B248="","",IF(ISNA(VLOOKUP($B248,'B-1 On-Site Hedge Baseline'!$B$1:$L$257,4,FALSE)),"",(VLOOKUP($B248,'B-1 On-Site Hedge Baseline'!$B$1:$L$257,4,FALSE))))</f>
        <v/>
      </c>
      <c r="E248" s="295" t="str">
        <f>IF(B248="","",IF(ISNA(VLOOKUP($B248,'B-1 On-Site Hedge Baseline'!$B$1:$L$257,5,FALSE)),"",(VLOOKUP($B248,'B-1 On-Site Hedge Baseline'!$B$1:$L$257,5,FALSE))))</f>
        <v/>
      </c>
      <c r="F248" s="295" t="str">
        <f>IF(B248="","",IF(ISNA(VLOOKUP($B248,'B-1 On-Site Hedge Baseline'!$B$1:$L$257,6,FALSE)),"",(VLOOKUP($B248,'B-1 On-Site Hedge Baseline'!$B$1:$L$257,6,FALSE))))</f>
        <v/>
      </c>
      <c r="G248" s="295" t="str">
        <f>IF(B248="","",IF(ISNA(VLOOKUP($B248,'B-1 On-Site Hedge Baseline'!$B$1:$L$257,7,FALSE)),"",(VLOOKUP($B248,'B-1 On-Site Hedge Baseline'!$B$1:$L$257,7,FALSE))))</f>
        <v/>
      </c>
      <c r="H248" s="295" t="str">
        <f>IF(B248="","",IF(ISNA(VLOOKUP($B248,'B-1 On-Site Hedge Baseline'!$B$1:$L$257,8,FALSE)),"",(VLOOKUP($B248,'B-1 On-Site Hedge Baseline'!$B$1:$L$257,8,FALSE))))</f>
        <v/>
      </c>
      <c r="I248" s="295" t="str">
        <f>IF(B248="","",IF(ISNA(VLOOKUP($B248,'B-1 On-Site Hedge Baseline'!$B$1:$L$257,10,FALSE)),"",(VLOOKUP($B248,'B-1 On-Site Hedge Baseline'!$B$1:$L$257,10,FALSE))))</f>
        <v/>
      </c>
      <c r="J248" s="295" t="str">
        <f>IF(B248="","",IF(ISNA(VLOOKUP($B248,'B-1 On-Site Hedge Baseline'!$B$1:$L$257,11,FALSE)),"",(VLOOKUP($B248,'B-1 On-Site Hedge Baseline'!$B$1:$L$257,11,FALSE))))</f>
        <v/>
      </c>
      <c r="K248" s="295" t="str">
        <f>IF(B248="","",IF(ISNA(VLOOKUP($B248,'B-1 On-Site Hedge Baseline'!$B$1:$U$257,13,FALSE)),"",(VLOOKUP($B248,'B-1 On-Site Hedge Baseline'!$B$1:$U$257,13,FALSE))))</f>
        <v/>
      </c>
      <c r="L248" s="299" t="str">
        <f>IF(B248="","",IF(ISNA(VLOOKUP($B248,'B-1 On-Site Hedge Baseline'!$B$1:$U$257,12,FALSE)),"",(VLOOKUP($B248,'B-1 On-Site Hedge Baseline'!$B$1:$U$257,12,FALSE))))</f>
        <v/>
      </c>
      <c r="M248" s="611"/>
      <c r="N248" s="275" t="str">
        <f>IFERROR(IF(B248="","",INDEX('G-6 Hedgerow Data'!$AN$3:$AZ$15,MATCH(C248,'G-6 Hedgerow Data'!$AM$3:$AM$15,0),MATCH(M248,'G-6 Hedgerow Data'!$AN$2:$AZ$2,0))),"")</f>
        <v/>
      </c>
      <c r="O248" s="276" t="str">
        <f t="shared" si="22"/>
        <v/>
      </c>
      <c r="P248" s="329" t="str">
        <f>IF(B248="","",VLOOKUP(B248,'B-1 On-Site Hedge Baseline'!$B$10:T493,16,FALSE))</f>
        <v/>
      </c>
      <c r="Q248" s="275" t="str">
        <f>IF(M248="","",VLOOKUP(M248,'G-6 Hedgerow Data'!$B$2:$AG$15,2,FALSE))</f>
        <v/>
      </c>
      <c r="R248" s="276" t="str">
        <f>IF(M248="","",VLOOKUP(M248,'G-6 Hedgerow Data'!$B$2:$AG$15,3,FALSE))</f>
        <v/>
      </c>
      <c r="S248" s="108"/>
      <c r="T248" s="314" t="str">
        <f>IFERROR(IF(S248="","",IF(AND(M248="Non-native and ornamental hedgerow",S248&lt;&gt;"Poor"),"Not possible ▲",(VLOOKUP(S248,'G-1 All Habitats'!$Z$2:$AA$9,2,FALSE)))),"")</f>
        <v/>
      </c>
      <c r="U248" s="105"/>
      <c r="V248" s="295" t="str">
        <f>IF(U248="","",IF(VLOOKUP(U248,'G-3 Multipliers'!$L$3:$N$6,2,FALSE)=0,"Spatial Data Missing ⚠",VLOOKUP(U248,'G-3 Multipliers'!$L$3:$N$6,2,FALSE)))</f>
        <v/>
      </c>
      <c r="W248" s="299" t="str">
        <f>IF(U248="","",IF(VLOOKUP(U248,'G-3 Multipliers'!$L$3:$N$6,3,FALSE)=0,"Spatial Data Missing ⚠",VLOOKUP(U248,'G-3 Multipliers'!$L$3:$N$6,3,FALSE)))</f>
        <v/>
      </c>
      <c r="X248" s="275" t="str">
        <f>IFERROR(IF(OR(LEFT(O248,5)="Error",LEFT(N248,5)="Error",T248="Error"),"Check Data ⚠",IF(F248&lt;R248,INDEX('G-6 Hedgerow Data'!$S$3:$AE$14,MATCH(C248,'G-6 Hedgerow Data'!$B$3:$B$14,0),MATCH(M248,'G-6 Hedgerow Data'!$S$2:$AE$2,0)),INDEX('G-6 Hedgerow Data'!$K$3:$Q$14,MATCH(M248,'G-6 Hedgerow Data'!$B$3:$B$14,0),MATCH(O248,'G-6 Hedgerow Data'!$K$2:$Q$2,0)))),"")</f>
        <v/>
      </c>
      <c r="Y248" s="133"/>
      <c r="Z248" s="133"/>
      <c r="AA248" s="283" t="str">
        <f t="shared" si="23"/>
        <v/>
      </c>
      <c r="AB248" s="296" t="str">
        <f t="shared" si="24"/>
        <v/>
      </c>
      <c r="AC248" s="297" t="str">
        <f t="shared" si="21"/>
        <v/>
      </c>
      <c r="AD248" s="311" t="str">
        <f>IF(M248="","",VLOOKUP(M248,'G-6 Hedgerow Data'!$B$3:$AG$15,31,FALSE))</f>
        <v/>
      </c>
      <c r="AE248" s="283" t="str">
        <f t="shared" si="25"/>
        <v/>
      </c>
      <c r="AF248" s="283" t="str">
        <f t="shared" si="26"/>
        <v/>
      </c>
      <c r="AG248" s="299" t="str">
        <f>IFERROR(IF(O248="","",VLOOKUP(AD248,'G-3 Multipliers'!$P$3:$Q$6,2,FALSE)),"")</f>
        <v/>
      </c>
      <c r="AH248" s="289" t="str">
        <f t="shared" si="27"/>
        <v/>
      </c>
      <c r="AI248" s="108"/>
      <c r="AJ248" s="115"/>
      <c r="AK248" s="104"/>
      <c r="AT248" s="30" t="str">
        <f>IFERROR(INDEX('G-6 Hedgerow Data'!$BJ$3:$BJ$15,MATCH(M248,'G-6 Hedgerow Data'!$B$3:$B$15,0)),"")</f>
        <v/>
      </c>
    </row>
    <row r="249" spans="2:46" ht="14">
      <c r="B249" s="305" t="str">
        <f>'B-1 On-Site Hedge Baseline'!AK247</f>
        <v/>
      </c>
      <c r="C249" s="295" t="str">
        <f>IF(B249="","",IF(ISNA(VLOOKUP($B249,'B-1 On-Site Hedge Baseline'!$B$1:$L$257,3,FALSE)),"",(VLOOKUP($B249,'B-1 On-Site Hedge Baseline'!$B$1:$L$257,3,FALSE))))</f>
        <v/>
      </c>
      <c r="D249" s="295" t="str">
        <f>IF(B249="","",IF(ISNA(VLOOKUP($B249,'B-1 On-Site Hedge Baseline'!$B$1:$L$257,4,FALSE)),"",(VLOOKUP($B249,'B-1 On-Site Hedge Baseline'!$B$1:$L$257,4,FALSE))))</f>
        <v/>
      </c>
      <c r="E249" s="295" t="str">
        <f>IF(B249="","",IF(ISNA(VLOOKUP($B249,'B-1 On-Site Hedge Baseline'!$B$1:$L$257,5,FALSE)),"",(VLOOKUP($B249,'B-1 On-Site Hedge Baseline'!$B$1:$L$257,5,FALSE))))</f>
        <v/>
      </c>
      <c r="F249" s="295" t="str">
        <f>IF(B249="","",IF(ISNA(VLOOKUP($B249,'B-1 On-Site Hedge Baseline'!$B$1:$L$257,6,FALSE)),"",(VLOOKUP($B249,'B-1 On-Site Hedge Baseline'!$B$1:$L$257,6,FALSE))))</f>
        <v/>
      </c>
      <c r="G249" s="295" t="str">
        <f>IF(B249="","",IF(ISNA(VLOOKUP($B249,'B-1 On-Site Hedge Baseline'!$B$1:$L$257,7,FALSE)),"",(VLOOKUP($B249,'B-1 On-Site Hedge Baseline'!$B$1:$L$257,7,FALSE))))</f>
        <v/>
      </c>
      <c r="H249" s="295" t="str">
        <f>IF(B249="","",IF(ISNA(VLOOKUP($B249,'B-1 On-Site Hedge Baseline'!$B$1:$L$257,8,FALSE)),"",(VLOOKUP($B249,'B-1 On-Site Hedge Baseline'!$B$1:$L$257,8,FALSE))))</f>
        <v/>
      </c>
      <c r="I249" s="295" t="str">
        <f>IF(B249="","",IF(ISNA(VLOOKUP($B249,'B-1 On-Site Hedge Baseline'!$B$1:$L$257,10,FALSE)),"",(VLOOKUP($B249,'B-1 On-Site Hedge Baseline'!$B$1:$L$257,10,FALSE))))</f>
        <v/>
      </c>
      <c r="J249" s="295" t="str">
        <f>IF(B249="","",IF(ISNA(VLOOKUP($B249,'B-1 On-Site Hedge Baseline'!$B$1:$L$257,11,FALSE)),"",(VLOOKUP($B249,'B-1 On-Site Hedge Baseline'!$B$1:$L$257,11,FALSE))))</f>
        <v/>
      </c>
      <c r="K249" s="295" t="str">
        <f>IF(B249="","",IF(ISNA(VLOOKUP($B249,'B-1 On-Site Hedge Baseline'!$B$1:$U$257,13,FALSE)),"",(VLOOKUP($B249,'B-1 On-Site Hedge Baseline'!$B$1:$U$257,13,FALSE))))</f>
        <v/>
      </c>
      <c r="L249" s="299" t="str">
        <f>IF(B249="","",IF(ISNA(VLOOKUP($B249,'B-1 On-Site Hedge Baseline'!$B$1:$U$257,12,FALSE)),"",(VLOOKUP($B249,'B-1 On-Site Hedge Baseline'!$B$1:$U$257,12,FALSE))))</f>
        <v/>
      </c>
      <c r="M249" s="611"/>
      <c r="N249" s="275" t="str">
        <f>IFERROR(IF(B249="","",INDEX('G-6 Hedgerow Data'!$AN$3:$AZ$15,MATCH(C249,'G-6 Hedgerow Data'!$AM$3:$AM$15,0),MATCH(M249,'G-6 Hedgerow Data'!$AN$2:$AZ$2,0))),"")</f>
        <v/>
      </c>
      <c r="O249" s="276" t="str">
        <f t="shared" si="22"/>
        <v/>
      </c>
      <c r="P249" s="329" t="str">
        <f>IF(B249="","",VLOOKUP(B249,'B-1 On-Site Hedge Baseline'!$B$10:T494,16,FALSE))</f>
        <v/>
      </c>
      <c r="Q249" s="275" t="str">
        <f>IF(M249="","",VLOOKUP(M249,'G-6 Hedgerow Data'!$B$2:$AG$15,2,FALSE))</f>
        <v/>
      </c>
      <c r="R249" s="276" t="str">
        <f>IF(M249="","",VLOOKUP(M249,'G-6 Hedgerow Data'!$B$2:$AG$15,3,FALSE))</f>
        <v/>
      </c>
      <c r="S249" s="108"/>
      <c r="T249" s="314" t="str">
        <f>IFERROR(IF(S249="","",IF(AND(M249="Non-native and ornamental hedgerow",S249&lt;&gt;"Poor"),"Not possible ▲",(VLOOKUP(S249,'G-1 All Habitats'!$Z$2:$AA$9,2,FALSE)))),"")</f>
        <v/>
      </c>
      <c r="U249" s="105"/>
      <c r="V249" s="295" t="str">
        <f>IF(U249="","",IF(VLOOKUP(U249,'G-3 Multipliers'!$L$3:$N$6,2,FALSE)=0,"Spatial Data Missing ⚠",VLOOKUP(U249,'G-3 Multipliers'!$L$3:$N$6,2,FALSE)))</f>
        <v/>
      </c>
      <c r="W249" s="299" t="str">
        <f>IF(U249="","",IF(VLOOKUP(U249,'G-3 Multipliers'!$L$3:$N$6,3,FALSE)=0,"Spatial Data Missing ⚠",VLOOKUP(U249,'G-3 Multipliers'!$L$3:$N$6,3,FALSE)))</f>
        <v/>
      </c>
      <c r="X249" s="275" t="str">
        <f>IFERROR(IF(OR(LEFT(O249,5)="Error",LEFT(N249,5)="Error",T249="Error"),"Check Data ⚠",IF(F249&lt;R249,INDEX('G-6 Hedgerow Data'!$S$3:$AE$14,MATCH(C249,'G-6 Hedgerow Data'!$B$3:$B$14,0),MATCH(M249,'G-6 Hedgerow Data'!$S$2:$AE$2,0)),INDEX('G-6 Hedgerow Data'!$K$3:$Q$14,MATCH(M249,'G-6 Hedgerow Data'!$B$3:$B$14,0),MATCH(O249,'G-6 Hedgerow Data'!$K$2:$Q$2,0)))),"")</f>
        <v/>
      </c>
      <c r="Y249" s="133"/>
      <c r="Z249" s="133"/>
      <c r="AA249" s="283" t="str">
        <f t="shared" si="23"/>
        <v/>
      </c>
      <c r="AB249" s="296" t="str">
        <f t="shared" si="24"/>
        <v/>
      </c>
      <c r="AC249" s="297" t="str">
        <f t="shared" si="21"/>
        <v/>
      </c>
      <c r="AD249" s="311" t="str">
        <f>IF(M249="","",VLOOKUP(M249,'G-6 Hedgerow Data'!$B$3:$AG$15,31,FALSE))</f>
        <v/>
      </c>
      <c r="AE249" s="283" t="str">
        <f t="shared" si="25"/>
        <v/>
      </c>
      <c r="AF249" s="283" t="str">
        <f t="shared" si="26"/>
        <v/>
      </c>
      <c r="AG249" s="299" t="str">
        <f>IFERROR(IF(O249="","",VLOOKUP(AD249,'G-3 Multipliers'!$P$3:$Q$6,2,FALSE)),"")</f>
        <v/>
      </c>
      <c r="AH249" s="289" t="str">
        <f t="shared" si="27"/>
        <v/>
      </c>
      <c r="AI249" s="108"/>
      <c r="AJ249" s="115"/>
      <c r="AK249" s="104"/>
      <c r="AT249" s="30" t="str">
        <f>IFERROR(INDEX('G-6 Hedgerow Data'!$BJ$3:$BJ$15,MATCH(M249,'G-6 Hedgerow Data'!$B$3:$B$15,0)),"")</f>
        <v/>
      </c>
    </row>
    <row r="250" spans="2:46" ht="14">
      <c r="B250" s="305" t="str">
        <f>'B-1 On-Site Hedge Baseline'!AK248</f>
        <v/>
      </c>
      <c r="C250" s="295" t="str">
        <f>IF(B250="","",IF(ISNA(VLOOKUP($B250,'B-1 On-Site Hedge Baseline'!$B$1:$L$257,3,FALSE)),"",(VLOOKUP($B250,'B-1 On-Site Hedge Baseline'!$B$1:$L$257,3,FALSE))))</f>
        <v/>
      </c>
      <c r="D250" s="295" t="str">
        <f>IF(B250="","",IF(ISNA(VLOOKUP($B250,'B-1 On-Site Hedge Baseline'!$B$1:$L$257,4,FALSE)),"",(VLOOKUP($B250,'B-1 On-Site Hedge Baseline'!$B$1:$L$257,4,FALSE))))</f>
        <v/>
      </c>
      <c r="E250" s="295" t="str">
        <f>IF(B250="","",IF(ISNA(VLOOKUP($B250,'B-1 On-Site Hedge Baseline'!$B$1:$L$257,5,FALSE)),"",(VLOOKUP($B250,'B-1 On-Site Hedge Baseline'!$B$1:$L$257,5,FALSE))))</f>
        <v/>
      </c>
      <c r="F250" s="295" t="str">
        <f>IF(B250="","",IF(ISNA(VLOOKUP($B250,'B-1 On-Site Hedge Baseline'!$B$1:$L$257,6,FALSE)),"",(VLOOKUP($B250,'B-1 On-Site Hedge Baseline'!$B$1:$L$257,6,FALSE))))</f>
        <v/>
      </c>
      <c r="G250" s="295" t="str">
        <f>IF(B250="","",IF(ISNA(VLOOKUP($B250,'B-1 On-Site Hedge Baseline'!$B$1:$L$257,7,FALSE)),"",(VLOOKUP($B250,'B-1 On-Site Hedge Baseline'!$B$1:$L$257,7,FALSE))))</f>
        <v/>
      </c>
      <c r="H250" s="295" t="str">
        <f>IF(B250="","",IF(ISNA(VLOOKUP($B250,'B-1 On-Site Hedge Baseline'!$B$1:$L$257,8,FALSE)),"",(VLOOKUP($B250,'B-1 On-Site Hedge Baseline'!$B$1:$L$257,8,FALSE))))</f>
        <v/>
      </c>
      <c r="I250" s="295" t="str">
        <f>IF(B250="","",IF(ISNA(VLOOKUP($B250,'B-1 On-Site Hedge Baseline'!$B$1:$L$257,10,FALSE)),"",(VLOOKUP($B250,'B-1 On-Site Hedge Baseline'!$B$1:$L$257,10,FALSE))))</f>
        <v/>
      </c>
      <c r="J250" s="295" t="str">
        <f>IF(B250="","",IF(ISNA(VLOOKUP($B250,'B-1 On-Site Hedge Baseline'!$B$1:$L$257,11,FALSE)),"",(VLOOKUP($B250,'B-1 On-Site Hedge Baseline'!$B$1:$L$257,11,FALSE))))</f>
        <v/>
      </c>
      <c r="K250" s="295" t="str">
        <f>IF(B250="","",IF(ISNA(VLOOKUP($B250,'B-1 On-Site Hedge Baseline'!$B$1:$U$257,13,FALSE)),"",(VLOOKUP($B250,'B-1 On-Site Hedge Baseline'!$B$1:$U$257,13,FALSE))))</f>
        <v/>
      </c>
      <c r="L250" s="299" t="str">
        <f>IF(B250="","",IF(ISNA(VLOOKUP($B250,'B-1 On-Site Hedge Baseline'!$B$1:$U$257,12,FALSE)),"",(VLOOKUP($B250,'B-1 On-Site Hedge Baseline'!$B$1:$U$257,12,FALSE))))</f>
        <v/>
      </c>
      <c r="M250" s="611"/>
      <c r="N250" s="275" t="str">
        <f>IFERROR(IF(B250="","",INDEX('G-6 Hedgerow Data'!$AN$3:$AZ$15,MATCH(C250,'G-6 Hedgerow Data'!$AM$3:$AM$15,0),MATCH(M250,'G-6 Hedgerow Data'!$AN$2:$AZ$2,0))),"")</f>
        <v/>
      </c>
      <c r="O250" s="276" t="str">
        <f t="shared" si="22"/>
        <v/>
      </c>
      <c r="P250" s="329" t="str">
        <f>IF(B250="","",VLOOKUP(B250,'B-1 On-Site Hedge Baseline'!$B$10:T495,16,FALSE))</f>
        <v/>
      </c>
      <c r="Q250" s="275" t="str">
        <f>IF(M250="","",VLOOKUP(M250,'G-6 Hedgerow Data'!$B$2:$AG$15,2,FALSE))</f>
        <v/>
      </c>
      <c r="R250" s="276" t="str">
        <f>IF(M250="","",VLOOKUP(M250,'G-6 Hedgerow Data'!$B$2:$AG$15,3,FALSE))</f>
        <v/>
      </c>
      <c r="S250" s="108"/>
      <c r="T250" s="314" t="str">
        <f>IFERROR(IF(S250="","",IF(AND(M250="Non-native and ornamental hedgerow",S250&lt;&gt;"Poor"),"Not possible ▲",(VLOOKUP(S250,'G-1 All Habitats'!$Z$2:$AA$9,2,FALSE)))),"")</f>
        <v/>
      </c>
      <c r="U250" s="105"/>
      <c r="V250" s="295" t="str">
        <f>IF(U250="","",IF(VLOOKUP(U250,'G-3 Multipliers'!$L$3:$N$6,2,FALSE)=0,"Spatial Data Missing ⚠",VLOOKUP(U250,'G-3 Multipliers'!$L$3:$N$6,2,FALSE)))</f>
        <v/>
      </c>
      <c r="W250" s="299" t="str">
        <f>IF(U250="","",IF(VLOOKUP(U250,'G-3 Multipliers'!$L$3:$N$6,3,FALSE)=0,"Spatial Data Missing ⚠",VLOOKUP(U250,'G-3 Multipliers'!$L$3:$N$6,3,FALSE)))</f>
        <v/>
      </c>
      <c r="X250" s="275" t="str">
        <f>IFERROR(IF(OR(LEFT(O250,5)="Error",LEFT(N250,5)="Error",T250="Error"),"Check Data ⚠",IF(F250&lt;R250,INDEX('G-6 Hedgerow Data'!$S$3:$AE$14,MATCH(C250,'G-6 Hedgerow Data'!$B$3:$B$14,0),MATCH(M250,'G-6 Hedgerow Data'!$S$2:$AE$2,0)),INDEX('G-6 Hedgerow Data'!$K$3:$Q$14,MATCH(M250,'G-6 Hedgerow Data'!$B$3:$B$14,0),MATCH(O250,'G-6 Hedgerow Data'!$K$2:$Q$2,0)))),"")</f>
        <v/>
      </c>
      <c r="Y250" s="133"/>
      <c r="Z250" s="133"/>
      <c r="AA250" s="283" t="str">
        <f t="shared" si="23"/>
        <v/>
      </c>
      <c r="AB250" s="296" t="str">
        <f t="shared" si="24"/>
        <v/>
      </c>
      <c r="AC250" s="297" t="str">
        <f t="shared" si="21"/>
        <v/>
      </c>
      <c r="AD250" s="311" t="str">
        <f>IF(M250="","",VLOOKUP(M250,'G-6 Hedgerow Data'!$B$3:$AG$15,31,FALSE))</f>
        <v/>
      </c>
      <c r="AE250" s="283" t="str">
        <f t="shared" si="25"/>
        <v/>
      </c>
      <c r="AF250" s="283" t="str">
        <f t="shared" si="26"/>
        <v/>
      </c>
      <c r="AG250" s="299" t="str">
        <f>IFERROR(IF(O250="","",VLOOKUP(AD250,'G-3 Multipliers'!$P$3:$Q$6,2,FALSE)),"")</f>
        <v/>
      </c>
      <c r="AH250" s="289" t="str">
        <f t="shared" si="27"/>
        <v/>
      </c>
      <c r="AI250" s="108"/>
      <c r="AJ250" s="115"/>
      <c r="AK250" s="104"/>
      <c r="AT250" s="30" t="str">
        <f>IFERROR(INDEX('G-6 Hedgerow Data'!$BJ$3:$BJ$15,MATCH(M250,'G-6 Hedgerow Data'!$B$3:$B$15,0)),"")</f>
        <v/>
      </c>
    </row>
    <row r="251" spans="2:46" ht="14">
      <c r="B251" s="305" t="str">
        <f>'B-1 On-Site Hedge Baseline'!AK249</f>
        <v/>
      </c>
      <c r="C251" s="295" t="str">
        <f>IF(B251="","",IF(ISNA(VLOOKUP($B251,'B-1 On-Site Hedge Baseline'!$B$1:$L$257,3,FALSE)),"",(VLOOKUP($B251,'B-1 On-Site Hedge Baseline'!$B$1:$L$257,3,FALSE))))</f>
        <v/>
      </c>
      <c r="D251" s="295" t="str">
        <f>IF(B251="","",IF(ISNA(VLOOKUP($B251,'B-1 On-Site Hedge Baseline'!$B$1:$L$257,4,FALSE)),"",(VLOOKUP($B251,'B-1 On-Site Hedge Baseline'!$B$1:$L$257,4,FALSE))))</f>
        <v/>
      </c>
      <c r="E251" s="295" t="str">
        <f>IF(B251="","",IF(ISNA(VLOOKUP($B251,'B-1 On-Site Hedge Baseline'!$B$1:$L$257,5,FALSE)),"",(VLOOKUP($B251,'B-1 On-Site Hedge Baseline'!$B$1:$L$257,5,FALSE))))</f>
        <v/>
      </c>
      <c r="F251" s="295" t="str">
        <f>IF(B251="","",IF(ISNA(VLOOKUP($B251,'B-1 On-Site Hedge Baseline'!$B$1:$L$257,6,FALSE)),"",(VLOOKUP($B251,'B-1 On-Site Hedge Baseline'!$B$1:$L$257,6,FALSE))))</f>
        <v/>
      </c>
      <c r="G251" s="295" t="str">
        <f>IF(B251="","",IF(ISNA(VLOOKUP($B251,'B-1 On-Site Hedge Baseline'!$B$1:$L$257,7,FALSE)),"",(VLOOKUP($B251,'B-1 On-Site Hedge Baseline'!$B$1:$L$257,7,FALSE))))</f>
        <v/>
      </c>
      <c r="H251" s="295" t="str">
        <f>IF(B251="","",IF(ISNA(VLOOKUP($B251,'B-1 On-Site Hedge Baseline'!$B$1:$L$257,8,FALSE)),"",(VLOOKUP($B251,'B-1 On-Site Hedge Baseline'!$B$1:$L$257,8,FALSE))))</f>
        <v/>
      </c>
      <c r="I251" s="295" t="str">
        <f>IF(B251="","",IF(ISNA(VLOOKUP($B251,'B-1 On-Site Hedge Baseline'!$B$1:$L$257,10,FALSE)),"",(VLOOKUP($B251,'B-1 On-Site Hedge Baseline'!$B$1:$L$257,10,FALSE))))</f>
        <v/>
      </c>
      <c r="J251" s="295" t="str">
        <f>IF(B251="","",IF(ISNA(VLOOKUP($B251,'B-1 On-Site Hedge Baseline'!$B$1:$L$257,11,FALSE)),"",(VLOOKUP($B251,'B-1 On-Site Hedge Baseline'!$B$1:$L$257,11,FALSE))))</f>
        <v/>
      </c>
      <c r="K251" s="295" t="str">
        <f>IF(B251="","",IF(ISNA(VLOOKUP($B251,'B-1 On-Site Hedge Baseline'!$B$1:$U$257,13,FALSE)),"",(VLOOKUP($B251,'B-1 On-Site Hedge Baseline'!$B$1:$U$257,13,FALSE))))</f>
        <v/>
      </c>
      <c r="L251" s="299" t="str">
        <f>IF(B251="","",IF(ISNA(VLOOKUP($B251,'B-1 On-Site Hedge Baseline'!$B$1:$U$257,12,FALSE)),"",(VLOOKUP($B251,'B-1 On-Site Hedge Baseline'!$B$1:$U$257,12,FALSE))))</f>
        <v/>
      </c>
      <c r="M251" s="611"/>
      <c r="N251" s="275" t="str">
        <f>IFERROR(IF(B251="","",INDEX('G-6 Hedgerow Data'!$AN$3:$AZ$15,MATCH(C251,'G-6 Hedgerow Data'!$AM$3:$AM$15,0),MATCH(M251,'G-6 Hedgerow Data'!$AN$2:$AZ$2,0))),"")</f>
        <v/>
      </c>
      <c r="O251" s="276" t="str">
        <f t="shared" si="22"/>
        <v/>
      </c>
      <c r="P251" s="329" t="str">
        <f>IF(B251="","",VLOOKUP(B251,'B-1 On-Site Hedge Baseline'!$B$10:T496,16,FALSE))</f>
        <v/>
      </c>
      <c r="Q251" s="275" t="str">
        <f>IF(M251="","",VLOOKUP(M251,'G-6 Hedgerow Data'!$B$2:$AG$15,2,FALSE))</f>
        <v/>
      </c>
      <c r="R251" s="276" t="str">
        <f>IF(M251="","",VLOOKUP(M251,'G-6 Hedgerow Data'!$B$2:$AG$15,3,FALSE))</f>
        <v/>
      </c>
      <c r="S251" s="108"/>
      <c r="T251" s="314" t="str">
        <f>IFERROR(IF(S251="","",IF(AND(M251="Non-native and ornamental hedgerow",S251&lt;&gt;"Poor"),"Not possible ▲",(VLOOKUP(S251,'G-1 All Habitats'!$Z$2:$AA$9,2,FALSE)))),"")</f>
        <v/>
      </c>
      <c r="U251" s="105"/>
      <c r="V251" s="295" t="str">
        <f>IF(U251="","",IF(VLOOKUP(U251,'G-3 Multipliers'!$L$3:$N$6,2,FALSE)=0,"Spatial Data Missing ⚠",VLOOKUP(U251,'G-3 Multipliers'!$L$3:$N$6,2,FALSE)))</f>
        <v/>
      </c>
      <c r="W251" s="299" t="str">
        <f>IF(U251="","",IF(VLOOKUP(U251,'G-3 Multipliers'!$L$3:$N$6,3,FALSE)=0,"Spatial Data Missing ⚠",VLOOKUP(U251,'G-3 Multipliers'!$L$3:$N$6,3,FALSE)))</f>
        <v/>
      </c>
      <c r="X251" s="275" t="str">
        <f>IFERROR(IF(OR(LEFT(O251,5)="Error",LEFT(N251,5)="Error",T251="Error"),"Check Data ⚠",IF(F251&lt;R251,INDEX('G-6 Hedgerow Data'!$S$3:$AE$14,MATCH(C251,'G-6 Hedgerow Data'!$B$3:$B$14,0),MATCH(M251,'G-6 Hedgerow Data'!$S$2:$AE$2,0)),INDEX('G-6 Hedgerow Data'!$K$3:$Q$14,MATCH(M251,'G-6 Hedgerow Data'!$B$3:$B$14,0),MATCH(O251,'G-6 Hedgerow Data'!$K$2:$Q$2,0)))),"")</f>
        <v/>
      </c>
      <c r="Y251" s="133"/>
      <c r="Z251" s="133"/>
      <c r="AA251" s="283" t="str">
        <f t="shared" si="23"/>
        <v/>
      </c>
      <c r="AB251" s="296" t="str">
        <f t="shared" si="24"/>
        <v/>
      </c>
      <c r="AC251" s="297" t="str">
        <f t="shared" si="21"/>
        <v/>
      </c>
      <c r="AD251" s="311" t="str">
        <f>IF(M251="","",VLOOKUP(M251,'G-6 Hedgerow Data'!$B$3:$AG$15,31,FALSE))</f>
        <v/>
      </c>
      <c r="AE251" s="283" t="str">
        <f t="shared" si="25"/>
        <v/>
      </c>
      <c r="AF251" s="283" t="str">
        <f t="shared" si="26"/>
        <v/>
      </c>
      <c r="AG251" s="299" t="str">
        <f>IFERROR(IF(O251="","",VLOOKUP(AD251,'G-3 Multipliers'!$P$3:$Q$6,2,FALSE)),"")</f>
        <v/>
      </c>
      <c r="AH251" s="289" t="str">
        <f t="shared" si="27"/>
        <v/>
      </c>
      <c r="AI251" s="108"/>
      <c r="AJ251" s="115"/>
      <c r="AK251" s="104"/>
      <c r="AT251" s="30" t="str">
        <f>IFERROR(INDEX('G-6 Hedgerow Data'!$BJ$3:$BJ$15,MATCH(M251,'G-6 Hedgerow Data'!$B$3:$B$15,0)),"")</f>
        <v/>
      </c>
    </row>
    <row r="252" spans="2:46" ht="14">
      <c r="B252" s="305" t="str">
        <f>'B-1 On-Site Hedge Baseline'!AK250</f>
        <v/>
      </c>
      <c r="C252" s="295" t="str">
        <f>IF(B252="","",IF(ISNA(VLOOKUP($B252,'B-1 On-Site Hedge Baseline'!$B$1:$L$257,3,FALSE)),"",(VLOOKUP($B252,'B-1 On-Site Hedge Baseline'!$B$1:$L$257,3,FALSE))))</f>
        <v/>
      </c>
      <c r="D252" s="295" t="str">
        <f>IF(B252="","",IF(ISNA(VLOOKUP($B252,'B-1 On-Site Hedge Baseline'!$B$1:$L$257,4,FALSE)),"",(VLOOKUP($B252,'B-1 On-Site Hedge Baseline'!$B$1:$L$257,4,FALSE))))</f>
        <v/>
      </c>
      <c r="E252" s="295" t="str">
        <f>IF(B252="","",IF(ISNA(VLOOKUP($B252,'B-1 On-Site Hedge Baseline'!$B$1:$L$257,5,FALSE)),"",(VLOOKUP($B252,'B-1 On-Site Hedge Baseline'!$B$1:$L$257,5,FALSE))))</f>
        <v/>
      </c>
      <c r="F252" s="295" t="str">
        <f>IF(B252="","",IF(ISNA(VLOOKUP($B252,'B-1 On-Site Hedge Baseline'!$B$1:$L$257,6,FALSE)),"",(VLOOKUP($B252,'B-1 On-Site Hedge Baseline'!$B$1:$L$257,6,FALSE))))</f>
        <v/>
      </c>
      <c r="G252" s="295" t="str">
        <f>IF(B252="","",IF(ISNA(VLOOKUP($B252,'B-1 On-Site Hedge Baseline'!$B$1:$L$257,7,FALSE)),"",(VLOOKUP($B252,'B-1 On-Site Hedge Baseline'!$B$1:$L$257,7,FALSE))))</f>
        <v/>
      </c>
      <c r="H252" s="295" t="str">
        <f>IF(B252="","",IF(ISNA(VLOOKUP($B252,'B-1 On-Site Hedge Baseline'!$B$1:$L$257,8,FALSE)),"",(VLOOKUP($B252,'B-1 On-Site Hedge Baseline'!$B$1:$L$257,8,FALSE))))</f>
        <v/>
      </c>
      <c r="I252" s="295" t="str">
        <f>IF(B252="","",IF(ISNA(VLOOKUP($B252,'B-1 On-Site Hedge Baseline'!$B$1:$L$257,10,FALSE)),"",(VLOOKUP($B252,'B-1 On-Site Hedge Baseline'!$B$1:$L$257,10,FALSE))))</f>
        <v/>
      </c>
      <c r="J252" s="295" t="str">
        <f>IF(B252="","",IF(ISNA(VLOOKUP($B252,'B-1 On-Site Hedge Baseline'!$B$1:$L$257,11,FALSE)),"",(VLOOKUP($B252,'B-1 On-Site Hedge Baseline'!$B$1:$L$257,11,FALSE))))</f>
        <v/>
      </c>
      <c r="K252" s="295" t="str">
        <f>IF(B252="","",IF(ISNA(VLOOKUP($B252,'B-1 On-Site Hedge Baseline'!$B$1:$U$257,13,FALSE)),"",(VLOOKUP($B252,'B-1 On-Site Hedge Baseline'!$B$1:$U$257,13,FALSE))))</f>
        <v/>
      </c>
      <c r="L252" s="299" t="str">
        <f>IF(B252="","",IF(ISNA(VLOOKUP($B252,'B-1 On-Site Hedge Baseline'!$B$1:$U$257,12,FALSE)),"",(VLOOKUP($B252,'B-1 On-Site Hedge Baseline'!$B$1:$U$257,12,FALSE))))</f>
        <v/>
      </c>
      <c r="M252" s="611"/>
      <c r="N252" s="275" t="str">
        <f>IFERROR(IF(B252="","",INDEX('G-6 Hedgerow Data'!$AN$3:$AZ$15,MATCH(C252,'G-6 Hedgerow Data'!$AM$3:$AM$15,0),MATCH(M252,'G-6 Hedgerow Data'!$AN$2:$AZ$2,0))),"")</f>
        <v/>
      </c>
      <c r="O252" s="276" t="str">
        <f t="shared" si="22"/>
        <v/>
      </c>
      <c r="P252" s="329" t="str">
        <f>IF(B252="","",VLOOKUP(B252,'B-1 On-Site Hedge Baseline'!$B$10:T497,16,FALSE))</f>
        <v/>
      </c>
      <c r="Q252" s="275" t="str">
        <f>IF(M252="","",VLOOKUP(M252,'G-6 Hedgerow Data'!$B$2:$AG$15,2,FALSE))</f>
        <v/>
      </c>
      <c r="R252" s="276" t="str">
        <f>IF(M252="","",VLOOKUP(M252,'G-6 Hedgerow Data'!$B$2:$AG$15,3,FALSE))</f>
        <v/>
      </c>
      <c r="S252" s="108"/>
      <c r="T252" s="314" t="str">
        <f>IFERROR(IF(S252="","",IF(AND(M252="Non-native and ornamental hedgerow",S252&lt;&gt;"Poor"),"Not possible ▲",(VLOOKUP(S252,'G-1 All Habitats'!$Z$2:$AA$9,2,FALSE)))),"")</f>
        <v/>
      </c>
      <c r="U252" s="105"/>
      <c r="V252" s="295" t="str">
        <f>IF(U252="","",IF(VLOOKUP(U252,'G-3 Multipliers'!$L$3:$N$6,2,FALSE)=0,"Spatial Data Missing ⚠",VLOOKUP(U252,'G-3 Multipliers'!$L$3:$N$6,2,FALSE)))</f>
        <v/>
      </c>
      <c r="W252" s="299" t="str">
        <f>IF(U252="","",IF(VLOOKUP(U252,'G-3 Multipliers'!$L$3:$N$6,3,FALSE)=0,"Spatial Data Missing ⚠",VLOOKUP(U252,'G-3 Multipliers'!$L$3:$N$6,3,FALSE)))</f>
        <v/>
      </c>
      <c r="X252" s="275" t="str">
        <f>IFERROR(IF(OR(LEFT(O252,5)="Error",LEFT(N252,5)="Error",T252="Error"),"Check Data ⚠",IF(F252&lt;R252,INDEX('G-6 Hedgerow Data'!$S$3:$AE$14,MATCH(C252,'G-6 Hedgerow Data'!$B$3:$B$14,0),MATCH(M252,'G-6 Hedgerow Data'!$S$2:$AE$2,0)),INDEX('G-6 Hedgerow Data'!$K$3:$Q$14,MATCH(M252,'G-6 Hedgerow Data'!$B$3:$B$14,0),MATCH(O252,'G-6 Hedgerow Data'!$K$2:$Q$2,0)))),"")</f>
        <v/>
      </c>
      <c r="Y252" s="133"/>
      <c r="Z252" s="133"/>
      <c r="AA252" s="283" t="str">
        <f t="shared" si="23"/>
        <v/>
      </c>
      <c r="AB252" s="296" t="str">
        <f t="shared" si="24"/>
        <v/>
      </c>
      <c r="AC252" s="297" t="str">
        <f t="shared" si="21"/>
        <v/>
      </c>
      <c r="AD252" s="311" t="str">
        <f>IF(M252="","",VLOOKUP(M252,'G-6 Hedgerow Data'!$B$3:$AG$15,31,FALSE))</f>
        <v/>
      </c>
      <c r="AE252" s="283" t="str">
        <f t="shared" si="25"/>
        <v/>
      </c>
      <c r="AF252" s="283" t="str">
        <f t="shared" si="26"/>
        <v/>
      </c>
      <c r="AG252" s="299" t="str">
        <f>IFERROR(IF(O252="","",VLOOKUP(AD252,'G-3 Multipliers'!$P$3:$Q$6,2,FALSE)),"")</f>
        <v/>
      </c>
      <c r="AH252" s="289" t="str">
        <f t="shared" si="27"/>
        <v/>
      </c>
      <c r="AI252" s="108"/>
      <c r="AJ252" s="115"/>
      <c r="AK252" s="104"/>
      <c r="AT252" s="30" t="str">
        <f>IFERROR(INDEX('G-6 Hedgerow Data'!$BJ$3:$BJ$15,MATCH(M252,'G-6 Hedgerow Data'!$B$3:$B$15,0)),"")</f>
        <v/>
      </c>
    </row>
    <row r="253" spans="2:46" ht="14">
      <c r="B253" s="305" t="str">
        <f>'B-1 On-Site Hedge Baseline'!AK251</f>
        <v/>
      </c>
      <c r="C253" s="295" t="str">
        <f>IF(B253="","",IF(ISNA(VLOOKUP($B253,'B-1 On-Site Hedge Baseline'!$B$1:$L$257,3,FALSE)),"",(VLOOKUP($B253,'B-1 On-Site Hedge Baseline'!$B$1:$L$257,3,FALSE))))</f>
        <v/>
      </c>
      <c r="D253" s="295" t="str">
        <f>IF(B253="","",IF(ISNA(VLOOKUP($B253,'B-1 On-Site Hedge Baseline'!$B$1:$L$257,4,FALSE)),"",(VLOOKUP($B253,'B-1 On-Site Hedge Baseline'!$B$1:$L$257,4,FALSE))))</f>
        <v/>
      </c>
      <c r="E253" s="295" t="str">
        <f>IF(B253="","",IF(ISNA(VLOOKUP($B253,'B-1 On-Site Hedge Baseline'!$B$1:$L$257,5,FALSE)),"",(VLOOKUP($B253,'B-1 On-Site Hedge Baseline'!$B$1:$L$257,5,FALSE))))</f>
        <v/>
      </c>
      <c r="F253" s="295" t="str">
        <f>IF(B253="","",IF(ISNA(VLOOKUP($B253,'B-1 On-Site Hedge Baseline'!$B$1:$L$257,6,FALSE)),"",(VLOOKUP($B253,'B-1 On-Site Hedge Baseline'!$B$1:$L$257,6,FALSE))))</f>
        <v/>
      </c>
      <c r="G253" s="295" t="str">
        <f>IF(B253="","",IF(ISNA(VLOOKUP($B253,'B-1 On-Site Hedge Baseline'!$B$1:$L$257,7,FALSE)),"",(VLOOKUP($B253,'B-1 On-Site Hedge Baseline'!$B$1:$L$257,7,FALSE))))</f>
        <v/>
      </c>
      <c r="H253" s="295" t="str">
        <f>IF(B253="","",IF(ISNA(VLOOKUP($B253,'B-1 On-Site Hedge Baseline'!$B$1:$L$257,8,FALSE)),"",(VLOOKUP($B253,'B-1 On-Site Hedge Baseline'!$B$1:$L$257,8,FALSE))))</f>
        <v/>
      </c>
      <c r="I253" s="295" t="str">
        <f>IF(B253="","",IF(ISNA(VLOOKUP($B253,'B-1 On-Site Hedge Baseline'!$B$1:$L$257,10,FALSE)),"",(VLOOKUP($B253,'B-1 On-Site Hedge Baseline'!$B$1:$L$257,10,FALSE))))</f>
        <v/>
      </c>
      <c r="J253" s="295" t="str">
        <f>IF(B253="","",IF(ISNA(VLOOKUP($B253,'B-1 On-Site Hedge Baseline'!$B$1:$L$257,11,FALSE)),"",(VLOOKUP($B253,'B-1 On-Site Hedge Baseline'!$B$1:$L$257,11,FALSE))))</f>
        <v/>
      </c>
      <c r="K253" s="295" t="str">
        <f>IF(B253="","",IF(ISNA(VLOOKUP($B253,'B-1 On-Site Hedge Baseline'!$B$1:$U$257,13,FALSE)),"",(VLOOKUP($B253,'B-1 On-Site Hedge Baseline'!$B$1:$U$257,13,FALSE))))</f>
        <v/>
      </c>
      <c r="L253" s="299" t="str">
        <f>IF(B253="","",IF(ISNA(VLOOKUP($B253,'B-1 On-Site Hedge Baseline'!$B$1:$U$257,12,FALSE)),"",(VLOOKUP($B253,'B-1 On-Site Hedge Baseline'!$B$1:$U$257,12,FALSE))))</f>
        <v/>
      </c>
      <c r="M253" s="611"/>
      <c r="N253" s="275" t="str">
        <f>IFERROR(IF(B253="","",INDEX('G-6 Hedgerow Data'!$AN$3:$AZ$15,MATCH(C253,'G-6 Hedgerow Data'!$AM$3:$AM$15,0),MATCH(M253,'G-6 Hedgerow Data'!$AN$2:$AZ$2,0))),"")</f>
        <v/>
      </c>
      <c r="O253" s="276" t="str">
        <f t="shared" si="22"/>
        <v/>
      </c>
      <c r="P253" s="329" t="str">
        <f>IF(B253="","",VLOOKUP(B253,'B-1 On-Site Hedge Baseline'!$B$10:T498,16,FALSE))</f>
        <v/>
      </c>
      <c r="Q253" s="275" t="str">
        <f>IF(M253="","",VLOOKUP(M253,'G-6 Hedgerow Data'!$B$2:$AG$15,2,FALSE))</f>
        <v/>
      </c>
      <c r="R253" s="276" t="str">
        <f>IF(M253="","",VLOOKUP(M253,'G-6 Hedgerow Data'!$B$2:$AG$15,3,FALSE))</f>
        <v/>
      </c>
      <c r="S253" s="108"/>
      <c r="T253" s="314" t="str">
        <f>IFERROR(IF(S253="","",IF(AND(M253="Non-native and ornamental hedgerow",S253&lt;&gt;"Poor"),"Not possible ▲",(VLOOKUP(S253,'G-1 All Habitats'!$Z$2:$AA$9,2,FALSE)))),"")</f>
        <v/>
      </c>
      <c r="U253" s="105"/>
      <c r="V253" s="295" t="str">
        <f>IF(U253="","",IF(VLOOKUP(U253,'G-3 Multipliers'!$L$3:$N$6,2,FALSE)=0,"Spatial Data Missing ⚠",VLOOKUP(U253,'G-3 Multipliers'!$L$3:$N$6,2,FALSE)))</f>
        <v/>
      </c>
      <c r="W253" s="299" t="str">
        <f>IF(U253="","",IF(VLOOKUP(U253,'G-3 Multipliers'!$L$3:$N$6,3,FALSE)=0,"Spatial Data Missing ⚠",VLOOKUP(U253,'G-3 Multipliers'!$L$3:$N$6,3,FALSE)))</f>
        <v/>
      </c>
      <c r="X253" s="275" t="str">
        <f>IFERROR(IF(OR(LEFT(O253,5)="Error",LEFT(N253,5)="Error",T253="Error"),"Check Data ⚠",IF(F253&lt;R253,INDEX('G-6 Hedgerow Data'!$S$3:$AE$14,MATCH(C253,'G-6 Hedgerow Data'!$B$3:$B$14,0),MATCH(M253,'G-6 Hedgerow Data'!$S$2:$AE$2,0)),INDEX('G-6 Hedgerow Data'!$K$3:$Q$14,MATCH(M253,'G-6 Hedgerow Data'!$B$3:$B$14,0),MATCH(O253,'G-6 Hedgerow Data'!$K$2:$Q$2,0)))),"")</f>
        <v/>
      </c>
      <c r="Y253" s="133"/>
      <c r="Z253" s="133"/>
      <c r="AA253" s="283" t="str">
        <f t="shared" si="23"/>
        <v/>
      </c>
      <c r="AB253" s="296" t="str">
        <f t="shared" si="24"/>
        <v/>
      </c>
      <c r="AC253" s="297" t="str">
        <f t="shared" si="21"/>
        <v/>
      </c>
      <c r="AD253" s="311" t="str">
        <f>IF(M253="","",VLOOKUP(M253,'G-6 Hedgerow Data'!$B$3:$AG$15,31,FALSE))</f>
        <v/>
      </c>
      <c r="AE253" s="283" t="str">
        <f t="shared" si="25"/>
        <v/>
      </c>
      <c r="AF253" s="283" t="str">
        <f t="shared" si="26"/>
        <v/>
      </c>
      <c r="AG253" s="299" t="str">
        <f>IFERROR(IF(O253="","",VLOOKUP(AD253,'G-3 Multipliers'!$P$3:$Q$6,2,FALSE)),"")</f>
        <v/>
      </c>
      <c r="AH253" s="289" t="str">
        <f t="shared" si="27"/>
        <v/>
      </c>
      <c r="AI253" s="108"/>
      <c r="AJ253" s="115"/>
      <c r="AK253" s="104"/>
      <c r="AT253" s="30" t="str">
        <f>IFERROR(INDEX('G-6 Hedgerow Data'!$BJ$3:$BJ$15,MATCH(M253,'G-6 Hedgerow Data'!$B$3:$B$15,0)),"")</f>
        <v/>
      </c>
    </row>
    <row r="254" spans="2:46" ht="14">
      <c r="B254" s="305" t="str">
        <f>'B-1 On-Site Hedge Baseline'!AK252</f>
        <v/>
      </c>
      <c r="C254" s="295" t="str">
        <f>IF(B254="","",IF(ISNA(VLOOKUP($B254,'B-1 On-Site Hedge Baseline'!$B$1:$L$257,3,FALSE)),"",(VLOOKUP($B254,'B-1 On-Site Hedge Baseline'!$B$1:$L$257,3,FALSE))))</f>
        <v/>
      </c>
      <c r="D254" s="295" t="str">
        <f>IF(B254="","",IF(ISNA(VLOOKUP($B254,'B-1 On-Site Hedge Baseline'!$B$1:$L$257,4,FALSE)),"",(VLOOKUP($B254,'B-1 On-Site Hedge Baseline'!$B$1:$L$257,4,FALSE))))</f>
        <v/>
      </c>
      <c r="E254" s="295" t="str">
        <f>IF(B254="","",IF(ISNA(VLOOKUP($B254,'B-1 On-Site Hedge Baseline'!$B$1:$L$257,5,FALSE)),"",(VLOOKUP($B254,'B-1 On-Site Hedge Baseline'!$B$1:$L$257,5,FALSE))))</f>
        <v/>
      </c>
      <c r="F254" s="295" t="str">
        <f>IF(B254="","",IF(ISNA(VLOOKUP($B254,'B-1 On-Site Hedge Baseline'!$B$1:$L$257,6,FALSE)),"",(VLOOKUP($B254,'B-1 On-Site Hedge Baseline'!$B$1:$L$257,6,FALSE))))</f>
        <v/>
      </c>
      <c r="G254" s="295" t="str">
        <f>IF(B254="","",IF(ISNA(VLOOKUP($B254,'B-1 On-Site Hedge Baseline'!$B$1:$L$257,7,FALSE)),"",(VLOOKUP($B254,'B-1 On-Site Hedge Baseline'!$B$1:$L$257,7,FALSE))))</f>
        <v/>
      </c>
      <c r="H254" s="295" t="str">
        <f>IF(B254="","",IF(ISNA(VLOOKUP($B254,'B-1 On-Site Hedge Baseline'!$B$1:$L$257,8,FALSE)),"",(VLOOKUP($B254,'B-1 On-Site Hedge Baseline'!$B$1:$L$257,8,FALSE))))</f>
        <v/>
      </c>
      <c r="I254" s="295" t="str">
        <f>IF(B254="","",IF(ISNA(VLOOKUP($B254,'B-1 On-Site Hedge Baseline'!$B$1:$L$257,10,FALSE)),"",(VLOOKUP($B254,'B-1 On-Site Hedge Baseline'!$B$1:$L$257,10,FALSE))))</f>
        <v/>
      </c>
      <c r="J254" s="295" t="str">
        <f>IF(B254="","",IF(ISNA(VLOOKUP($B254,'B-1 On-Site Hedge Baseline'!$B$1:$L$257,11,FALSE)),"",(VLOOKUP($B254,'B-1 On-Site Hedge Baseline'!$B$1:$L$257,11,FALSE))))</f>
        <v/>
      </c>
      <c r="K254" s="295" t="str">
        <f>IF(B254="","",IF(ISNA(VLOOKUP($B254,'B-1 On-Site Hedge Baseline'!$B$1:$U$257,13,FALSE)),"",(VLOOKUP($B254,'B-1 On-Site Hedge Baseline'!$B$1:$U$257,13,FALSE))))</f>
        <v/>
      </c>
      <c r="L254" s="299" t="str">
        <f>IF(B254="","",IF(ISNA(VLOOKUP($B254,'B-1 On-Site Hedge Baseline'!$B$1:$U$257,12,FALSE)),"",(VLOOKUP($B254,'B-1 On-Site Hedge Baseline'!$B$1:$U$257,12,FALSE))))</f>
        <v/>
      </c>
      <c r="M254" s="611"/>
      <c r="N254" s="275" t="str">
        <f>IFERROR(IF(B254="","",INDEX('G-6 Hedgerow Data'!$AN$3:$AZ$15,MATCH(C254,'G-6 Hedgerow Data'!$AM$3:$AM$15,0),MATCH(M254,'G-6 Hedgerow Data'!$AN$2:$AZ$2,0))),"")</f>
        <v/>
      </c>
      <c r="O254" s="276" t="str">
        <f t="shared" si="22"/>
        <v/>
      </c>
      <c r="P254" s="329" t="str">
        <f>IF(B254="","",VLOOKUP(B254,'B-1 On-Site Hedge Baseline'!$B$10:T499,16,FALSE))</f>
        <v/>
      </c>
      <c r="Q254" s="275" t="str">
        <f>IF(M254="","",VLOOKUP(M254,'G-6 Hedgerow Data'!$B$2:$AG$15,2,FALSE))</f>
        <v/>
      </c>
      <c r="R254" s="276" t="str">
        <f>IF(M254="","",VLOOKUP(M254,'G-6 Hedgerow Data'!$B$2:$AG$15,3,FALSE))</f>
        <v/>
      </c>
      <c r="S254" s="108"/>
      <c r="T254" s="314" t="str">
        <f>IFERROR(IF(S254="","",IF(AND(M254="Non-native and ornamental hedgerow",S254&lt;&gt;"Poor"),"Not possible ▲",(VLOOKUP(S254,'G-1 All Habitats'!$Z$2:$AA$9,2,FALSE)))),"")</f>
        <v/>
      </c>
      <c r="U254" s="105"/>
      <c r="V254" s="295" t="str">
        <f>IF(U254="","",IF(VLOOKUP(U254,'G-3 Multipliers'!$L$3:$N$6,2,FALSE)=0,"Spatial Data Missing ⚠",VLOOKUP(U254,'G-3 Multipliers'!$L$3:$N$6,2,FALSE)))</f>
        <v/>
      </c>
      <c r="W254" s="299" t="str">
        <f>IF(U254="","",IF(VLOOKUP(U254,'G-3 Multipliers'!$L$3:$N$6,3,FALSE)=0,"Spatial Data Missing ⚠",VLOOKUP(U254,'G-3 Multipliers'!$L$3:$N$6,3,FALSE)))</f>
        <v/>
      </c>
      <c r="X254" s="275" t="str">
        <f>IFERROR(IF(OR(LEFT(O254,5)="Error",LEFT(N254,5)="Error",T254="Error"),"Check Data ⚠",IF(F254&lt;R254,INDEX('G-6 Hedgerow Data'!$S$3:$AE$14,MATCH(C254,'G-6 Hedgerow Data'!$B$3:$B$14,0),MATCH(M254,'G-6 Hedgerow Data'!$S$2:$AE$2,0)),INDEX('G-6 Hedgerow Data'!$K$3:$Q$14,MATCH(M254,'G-6 Hedgerow Data'!$B$3:$B$14,0),MATCH(O254,'G-6 Hedgerow Data'!$K$2:$Q$2,0)))),"")</f>
        <v/>
      </c>
      <c r="Y254" s="133"/>
      <c r="Z254" s="133"/>
      <c r="AA254" s="283" t="str">
        <f t="shared" si="23"/>
        <v/>
      </c>
      <c r="AB254" s="296" t="str">
        <f t="shared" si="24"/>
        <v/>
      </c>
      <c r="AC254" s="297" t="str">
        <f t="shared" si="21"/>
        <v/>
      </c>
      <c r="AD254" s="311" t="str">
        <f>IF(M254="","",VLOOKUP(M254,'G-6 Hedgerow Data'!$B$3:$AG$15,31,FALSE))</f>
        <v/>
      </c>
      <c r="AE254" s="283" t="str">
        <f t="shared" si="25"/>
        <v/>
      </c>
      <c r="AF254" s="283" t="str">
        <f t="shared" si="26"/>
        <v/>
      </c>
      <c r="AG254" s="299" t="str">
        <f>IFERROR(IF(O254="","",VLOOKUP(AD254,'G-3 Multipliers'!$P$3:$Q$6,2,FALSE)),"")</f>
        <v/>
      </c>
      <c r="AH254" s="289" t="str">
        <f t="shared" si="27"/>
        <v/>
      </c>
      <c r="AI254" s="108"/>
      <c r="AJ254" s="115"/>
      <c r="AK254" s="104"/>
      <c r="AT254" s="30" t="str">
        <f>IFERROR(INDEX('G-6 Hedgerow Data'!$BJ$3:$BJ$15,MATCH(M254,'G-6 Hedgerow Data'!$B$3:$B$15,0)),"")</f>
        <v/>
      </c>
    </row>
    <row r="255" spans="2:46" ht="14">
      <c r="B255" s="305" t="str">
        <f>'B-1 On-Site Hedge Baseline'!AK253</f>
        <v/>
      </c>
      <c r="C255" s="295" t="str">
        <f>IF(B255="","",IF(ISNA(VLOOKUP($B255,'B-1 On-Site Hedge Baseline'!$B$1:$L$257,3,FALSE)),"",(VLOOKUP($B255,'B-1 On-Site Hedge Baseline'!$B$1:$L$257,3,FALSE))))</f>
        <v/>
      </c>
      <c r="D255" s="295" t="str">
        <f>IF(B255="","",IF(ISNA(VLOOKUP($B255,'B-1 On-Site Hedge Baseline'!$B$1:$L$257,4,FALSE)),"",(VLOOKUP($B255,'B-1 On-Site Hedge Baseline'!$B$1:$L$257,4,FALSE))))</f>
        <v/>
      </c>
      <c r="E255" s="295" t="str">
        <f>IF(B255="","",IF(ISNA(VLOOKUP($B255,'B-1 On-Site Hedge Baseline'!$B$1:$L$257,5,FALSE)),"",(VLOOKUP($B255,'B-1 On-Site Hedge Baseline'!$B$1:$L$257,5,FALSE))))</f>
        <v/>
      </c>
      <c r="F255" s="295" t="str">
        <f>IF(B255="","",IF(ISNA(VLOOKUP($B255,'B-1 On-Site Hedge Baseline'!$B$1:$L$257,6,FALSE)),"",(VLOOKUP($B255,'B-1 On-Site Hedge Baseline'!$B$1:$L$257,6,FALSE))))</f>
        <v/>
      </c>
      <c r="G255" s="295" t="str">
        <f>IF(B255="","",IF(ISNA(VLOOKUP($B255,'B-1 On-Site Hedge Baseline'!$B$1:$L$257,7,FALSE)),"",(VLOOKUP($B255,'B-1 On-Site Hedge Baseline'!$B$1:$L$257,7,FALSE))))</f>
        <v/>
      </c>
      <c r="H255" s="295" t="str">
        <f>IF(B255="","",IF(ISNA(VLOOKUP($B255,'B-1 On-Site Hedge Baseline'!$B$1:$L$257,8,FALSE)),"",(VLOOKUP($B255,'B-1 On-Site Hedge Baseline'!$B$1:$L$257,8,FALSE))))</f>
        <v/>
      </c>
      <c r="I255" s="295" t="str">
        <f>IF(B255="","",IF(ISNA(VLOOKUP($B255,'B-1 On-Site Hedge Baseline'!$B$1:$L$257,10,FALSE)),"",(VLOOKUP($B255,'B-1 On-Site Hedge Baseline'!$B$1:$L$257,10,FALSE))))</f>
        <v/>
      </c>
      <c r="J255" s="295" t="str">
        <f>IF(B255="","",IF(ISNA(VLOOKUP($B255,'B-1 On-Site Hedge Baseline'!$B$1:$L$257,11,FALSE)),"",(VLOOKUP($B255,'B-1 On-Site Hedge Baseline'!$B$1:$L$257,11,FALSE))))</f>
        <v/>
      </c>
      <c r="K255" s="295" t="str">
        <f>IF(B255="","",IF(ISNA(VLOOKUP($B255,'B-1 On-Site Hedge Baseline'!$B$1:$U$257,13,FALSE)),"",(VLOOKUP($B255,'B-1 On-Site Hedge Baseline'!$B$1:$U$257,13,FALSE))))</f>
        <v/>
      </c>
      <c r="L255" s="299" t="str">
        <f>IF(B255="","",IF(ISNA(VLOOKUP($B255,'B-1 On-Site Hedge Baseline'!$B$1:$U$257,12,FALSE)),"",(VLOOKUP($B255,'B-1 On-Site Hedge Baseline'!$B$1:$U$257,12,FALSE))))</f>
        <v/>
      </c>
      <c r="M255" s="611"/>
      <c r="N255" s="275" t="str">
        <f>IFERROR(IF(B255="","",INDEX('G-6 Hedgerow Data'!$AN$3:$AZ$15,MATCH(C255,'G-6 Hedgerow Data'!$AM$3:$AM$15,0),MATCH(M255,'G-6 Hedgerow Data'!$AN$2:$AZ$2,0))),"")</f>
        <v/>
      </c>
      <c r="O255" s="276" t="str">
        <f t="shared" si="22"/>
        <v/>
      </c>
      <c r="P255" s="329" t="str">
        <f>IF(B255="","",VLOOKUP(B255,'B-1 On-Site Hedge Baseline'!$B$10:T500,16,FALSE))</f>
        <v/>
      </c>
      <c r="Q255" s="275" t="str">
        <f>IF(M255="","",VLOOKUP(M255,'G-6 Hedgerow Data'!$B$2:$AG$15,2,FALSE))</f>
        <v/>
      </c>
      <c r="R255" s="276" t="str">
        <f>IF(M255="","",VLOOKUP(M255,'G-6 Hedgerow Data'!$B$2:$AG$15,3,FALSE))</f>
        <v/>
      </c>
      <c r="S255" s="108"/>
      <c r="T255" s="314" t="str">
        <f>IFERROR(IF(S255="","",IF(AND(M255="Non-native and ornamental hedgerow",S255&lt;&gt;"Poor"),"Not possible ▲",(VLOOKUP(S255,'G-1 All Habitats'!$Z$2:$AA$9,2,FALSE)))),"")</f>
        <v/>
      </c>
      <c r="U255" s="105"/>
      <c r="V255" s="295" t="str">
        <f>IF(U255="","",IF(VLOOKUP(U255,'G-3 Multipliers'!$L$3:$N$6,2,FALSE)=0,"Spatial Data Missing ⚠",VLOOKUP(U255,'G-3 Multipliers'!$L$3:$N$6,2,FALSE)))</f>
        <v/>
      </c>
      <c r="W255" s="299" t="str">
        <f>IF(U255="","",IF(VLOOKUP(U255,'G-3 Multipliers'!$L$3:$N$6,3,FALSE)=0,"Spatial Data Missing ⚠",VLOOKUP(U255,'G-3 Multipliers'!$L$3:$N$6,3,FALSE)))</f>
        <v/>
      </c>
      <c r="X255" s="275" t="str">
        <f>IFERROR(IF(OR(LEFT(O255,5)="Error",LEFT(N255,5)="Error",T255="Error"),"Check Data ⚠",IF(F255&lt;R255,INDEX('G-6 Hedgerow Data'!$S$3:$AE$14,MATCH(C255,'G-6 Hedgerow Data'!$B$3:$B$14,0),MATCH(M255,'G-6 Hedgerow Data'!$S$2:$AE$2,0)),INDEX('G-6 Hedgerow Data'!$K$3:$Q$14,MATCH(M255,'G-6 Hedgerow Data'!$B$3:$B$14,0),MATCH(O255,'G-6 Hedgerow Data'!$K$2:$Q$2,0)))),"")</f>
        <v/>
      </c>
      <c r="Y255" s="133"/>
      <c r="Z255" s="133"/>
      <c r="AA255" s="283" t="str">
        <f t="shared" si="23"/>
        <v/>
      </c>
      <c r="AB255" s="296" t="str">
        <f t="shared" si="24"/>
        <v/>
      </c>
      <c r="AC255" s="297" t="str">
        <f t="shared" si="21"/>
        <v/>
      </c>
      <c r="AD255" s="311" t="str">
        <f>IF(M255="","",VLOOKUP(M255,'G-6 Hedgerow Data'!$B$3:$AG$15,31,FALSE))</f>
        <v/>
      </c>
      <c r="AE255" s="283" t="str">
        <f t="shared" si="25"/>
        <v/>
      </c>
      <c r="AF255" s="283" t="str">
        <f t="shared" si="26"/>
        <v/>
      </c>
      <c r="AG255" s="299" t="str">
        <f>IFERROR(IF(O255="","",VLOOKUP(AD255,'G-3 Multipliers'!$P$3:$Q$6,2,FALSE)),"")</f>
        <v/>
      </c>
      <c r="AH255" s="289" t="str">
        <f t="shared" si="27"/>
        <v/>
      </c>
      <c r="AI255" s="108"/>
      <c r="AJ255" s="115"/>
      <c r="AK255" s="104"/>
      <c r="AT255" s="30" t="str">
        <f>IFERROR(INDEX('G-6 Hedgerow Data'!$BJ$3:$BJ$15,MATCH(M255,'G-6 Hedgerow Data'!$B$3:$B$15,0)),"")</f>
        <v/>
      </c>
    </row>
    <row r="256" spans="2:46" ht="14">
      <c r="B256" s="305" t="str">
        <f>'B-1 On-Site Hedge Baseline'!AK254</f>
        <v/>
      </c>
      <c r="C256" s="295" t="str">
        <f>IF(B256="","",IF(ISNA(VLOOKUP($B256,'B-1 On-Site Hedge Baseline'!$B$1:$L$257,3,FALSE)),"",(VLOOKUP($B256,'B-1 On-Site Hedge Baseline'!$B$1:$L$257,3,FALSE))))</f>
        <v/>
      </c>
      <c r="D256" s="295" t="str">
        <f>IF(B256="","",IF(ISNA(VLOOKUP($B256,'B-1 On-Site Hedge Baseline'!$B$1:$L$257,4,FALSE)),"",(VLOOKUP($B256,'B-1 On-Site Hedge Baseline'!$B$1:$L$257,4,FALSE))))</f>
        <v/>
      </c>
      <c r="E256" s="295" t="str">
        <f>IF(B256="","",IF(ISNA(VLOOKUP($B256,'B-1 On-Site Hedge Baseline'!$B$1:$L$257,5,FALSE)),"",(VLOOKUP($B256,'B-1 On-Site Hedge Baseline'!$B$1:$L$257,5,FALSE))))</f>
        <v/>
      </c>
      <c r="F256" s="295" t="str">
        <f>IF(B256="","",IF(ISNA(VLOOKUP($B256,'B-1 On-Site Hedge Baseline'!$B$1:$L$257,6,FALSE)),"",(VLOOKUP($B256,'B-1 On-Site Hedge Baseline'!$B$1:$L$257,6,FALSE))))</f>
        <v/>
      </c>
      <c r="G256" s="295" t="str">
        <f>IF(B256="","",IF(ISNA(VLOOKUP($B256,'B-1 On-Site Hedge Baseline'!$B$1:$L$257,7,FALSE)),"",(VLOOKUP($B256,'B-1 On-Site Hedge Baseline'!$B$1:$L$257,7,FALSE))))</f>
        <v/>
      </c>
      <c r="H256" s="295" t="str">
        <f>IF(B256="","",IF(ISNA(VLOOKUP($B256,'B-1 On-Site Hedge Baseline'!$B$1:$L$257,8,FALSE)),"",(VLOOKUP($B256,'B-1 On-Site Hedge Baseline'!$B$1:$L$257,8,FALSE))))</f>
        <v/>
      </c>
      <c r="I256" s="295" t="str">
        <f>IF(B256="","",IF(ISNA(VLOOKUP($B256,'B-1 On-Site Hedge Baseline'!$B$1:$L$257,10,FALSE)),"",(VLOOKUP($B256,'B-1 On-Site Hedge Baseline'!$B$1:$L$257,10,FALSE))))</f>
        <v/>
      </c>
      <c r="J256" s="295" t="str">
        <f>IF(B256="","",IF(ISNA(VLOOKUP($B256,'B-1 On-Site Hedge Baseline'!$B$1:$L$257,11,FALSE)),"",(VLOOKUP($B256,'B-1 On-Site Hedge Baseline'!$B$1:$L$257,11,FALSE))))</f>
        <v/>
      </c>
      <c r="K256" s="295" t="str">
        <f>IF(B256="","",IF(ISNA(VLOOKUP($B256,'B-1 On-Site Hedge Baseline'!$B$1:$U$257,13,FALSE)),"",(VLOOKUP($B256,'B-1 On-Site Hedge Baseline'!$B$1:$U$257,13,FALSE))))</f>
        <v/>
      </c>
      <c r="L256" s="299" t="str">
        <f>IF(B256="","",IF(ISNA(VLOOKUP($B256,'B-1 On-Site Hedge Baseline'!$B$1:$U$257,12,FALSE)),"",(VLOOKUP($B256,'B-1 On-Site Hedge Baseline'!$B$1:$U$257,12,FALSE))))</f>
        <v/>
      </c>
      <c r="M256" s="611"/>
      <c r="N256" s="275" t="str">
        <f>IFERROR(IF(B256="","",INDEX('G-6 Hedgerow Data'!$AN$3:$AZ$15,MATCH(C256,'G-6 Hedgerow Data'!$AM$3:$AM$15,0),MATCH(M256,'G-6 Hedgerow Data'!$AN$2:$AZ$2,0))),"")</f>
        <v/>
      </c>
      <c r="O256" s="276" t="str">
        <f t="shared" si="22"/>
        <v/>
      </c>
      <c r="P256" s="329" t="str">
        <f>IF(B256="","",VLOOKUP(B256,'B-1 On-Site Hedge Baseline'!$B$10:T501,16,FALSE))</f>
        <v/>
      </c>
      <c r="Q256" s="275" t="str">
        <f>IF(M256="","",VLOOKUP(M256,'G-6 Hedgerow Data'!$B$2:$AG$15,2,FALSE))</f>
        <v/>
      </c>
      <c r="R256" s="276" t="str">
        <f>IF(M256="","",VLOOKUP(M256,'G-6 Hedgerow Data'!$B$2:$AG$15,3,FALSE))</f>
        <v/>
      </c>
      <c r="S256" s="108"/>
      <c r="T256" s="314" t="str">
        <f>IFERROR(IF(S256="","",IF(AND(M256="Non-native and ornamental hedgerow",S256&lt;&gt;"Poor"),"Not possible ▲",(VLOOKUP(S256,'G-1 All Habitats'!$Z$2:$AA$9,2,FALSE)))),"")</f>
        <v/>
      </c>
      <c r="U256" s="105"/>
      <c r="V256" s="295" t="str">
        <f>IF(U256="","",IF(VLOOKUP(U256,'G-3 Multipliers'!$L$3:$N$6,2,FALSE)=0,"Spatial Data Missing ⚠",VLOOKUP(U256,'G-3 Multipliers'!$L$3:$N$6,2,FALSE)))</f>
        <v/>
      </c>
      <c r="W256" s="299" t="str">
        <f>IF(U256="","",IF(VLOOKUP(U256,'G-3 Multipliers'!$L$3:$N$6,3,FALSE)=0,"Spatial Data Missing ⚠",VLOOKUP(U256,'G-3 Multipliers'!$L$3:$N$6,3,FALSE)))</f>
        <v/>
      </c>
      <c r="X256" s="275" t="str">
        <f>IFERROR(IF(OR(LEFT(O256,5)="Error",LEFT(N256,5)="Error",T256="Error"),"Check Data ⚠",IF(F256&lt;R256,INDEX('G-6 Hedgerow Data'!$S$3:$AE$14,MATCH(C256,'G-6 Hedgerow Data'!$B$3:$B$14,0),MATCH(M256,'G-6 Hedgerow Data'!$S$2:$AE$2,0)),INDEX('G-6 Hedgerow Data'!$K$3:$Q$14,MATCH(M256,'G-6 Hedgerow Data'!$B$3:$B$14,0),MATCH(O256,'G-6 Hedgerow Data'!$K$2:$Q$2,0)))),"")</f>
        <v/>
      </c>
      <c r="Y256" s="133"/>
      <c r="Z256" s="133"/>
      <c r="AA256" s="283" t="str">
        <f t="shared" si="23"/>
        <v/>
      </c>
      <c r="AB256" s="296" t="str">
        <f t="shared" si="24"/>
        <v/>
      </c>
      <c r="AC256" s="297" t="str">
        <f t="shared" si="21"/>
        <v/>
      </c>
      <c r="AD256" s="311" t="str">
        <f>IF(M256="","",VLOOKUP(M256,'G-6 Hedgerow Data'!$B$3:$AG$15,31,FALSE))</f>
        <v/>
      </c>
      <c r="AE256" s="283" t="str">
        <f t="shared" si="25"/>
        <v/>
      </c>
      <c r="AF256" s="283" t="str">
        <f t="shared" si="26"/>
        <v/>
      </c>
      <c r="AG256" s="299" t="str">
        <f>IFERROR(IF(O256="","",VLOOKUP(AD256,'G-3 Multipliers'!$P$3:$Q$6,2,FALSE)),"")</f>
        <v/>
      </c>
      <c r="AH256" s="289" t="str">
        <f t="shared" si="27"/>
        <v/>
      </c>
      <c r="AI256" s="108"/>
      <c r="AJ256" s="115"/>
      <c r="AK256" s="104"/>
      <c r="AT256" s="30" t="str">
        <f>IFERROR(INDEX('G-6 Hedgerow Data'!$BJ$3:$BJ$15,MATCH(M256,'G-6 Hedgerow Data'!$B$3:$B$15,0)),"")</f>
        <v/>
      </c>
    </row>
    <row r="257" spans="2:46" ht="14.5" thickBot="1">
      <c r="B257" s="305" t="str">
        <f>'B-1 On-Site Hedge Baseline'!AK255</f>
        <v/>
      </c>
      <c r="C257" s="284" t="str">
        <f>IF(B257="","",IF(ISNA(VLOOKUP($B257,'B-1 On-Site Hedge Baseline'!$B$1:$L$257,3,FALSE)),"",(VLOOKUP($B257,'B-1 On-Site Hedge Baseline'!$B$1:$L$257,3,FALSE))))</f>
        <v/>
      </c>
      <c r="D257" s="284" t="str">
        <f>IF(B257="","",IF(ISNA(VLOOKUP($B257,'B-1 On-Site Hedge Baseline'!$B$1:$L$257,4,FALSE)),"",(VLOOKUP($B257,'B-1 On-Site Hedge Baseline'!$B$1:$L$257,4,FALSE))))</f>
        <v/>
      </c>
      <c r="E257" s="284" t="str">
        <f>IF(B257="","",IF(ISNA(VLOOKUP($B257,'B-1 On-Site Hedge Baseline'!$B$1:$L$257,5,FALSE)),"",(VLOOKUP($B257,'B-1 On-Site Hedge Baseline'!$B$1:$L$257,5,FALSE))))</f>
        <v/>
      </c>
      <c r="F257" s="284" t="str">
        <f>IF(B257="","",IF(ISNA(VLOOKUP($B257,'B-1 On-Site Hedge Baseline'!$B$1:$L$257,6,FALSE)),"",(VLOOKUP($B257,'B-1 On-Site Hedge Baseline'!$B$1:$L$257,6,FALSE))))</f>
        <v/>
      </c>
      <c r="G257" s="284" t="str">
        <f>IF(B257="","",IF(ISNA(VLOOKUP($B257,'B-1 On-Site Hedge Baseline'!$B$1:$L$257,7,FALSE)),"",(VLOOKUP($B257,'B-1 On-Site Hedge Baseline'!$B$1:$L$257,7,FALSE))))</f>
        <v/>
      </c>
      <c r="H257" s="284" t="str">
        <f>IF(B257="","",IF(ISNA(VLOOKUP($B257,'B-1 On-Site Hedge Baseline'!$B$1:$L$257,8,FALSE)),"",(VLOOKUP($B257,'B-1 On-Site Hedge Baseline'!$B$1:$L$257,8,FALSE))))</f>
        <v/>
      </c>
      <c r="I257" s="284" t="str">
        <f>IF(B257="","",IF(ISNA(VLOOKUP($B257,'B-1 On-Site Hedge Baseline'!$B$1:$L$257,10,FALSE)),"",(VLOOKUP($B257,'B-1 On-Site Hedge Baseline'!$B$1:$L$257,10,FALSE))))</f>
        <v/>
      </c>
      <c r="J257" s="284" t="str">
        <f>IF(B257="","",IF(ISNA(VLOOKUP($B257,'B-1 On-Site Hedge Baseline'!$B$1:$L$257,11,FALSE)),"",(VLOOKUP($B257,'B-1 On-Site Hedge Baseline'!$B$1:$L$257,11,FALSE))))</f>
        <v/>
      </c>
      <c r="K257" s="284" t="str">
        <f>IF(B257="","",IF(ISNA(VLOOKUP($B257,'B-1 On-Site Hedge Baseline'!$B$1:$U$257,13,FALSE)),"",(VLOOKUP($B257,'B-1 On-Site Hedge Baseline'!$B$1:$U$257,13,FALSE))))</f>
        <v/>
      </c>
      <c r="L257" s="278" t="str">
        <f>IF(B257="","",IF(ISNA(VLOOKUP($B257,'B-1 On-Site Hedge Baseline'!$B$1:$U$257,12,FALSE)),"",(VLOOKUP($B257,'B-1 On-Site Hedge Baseline'!$B$1:$U$257,12,FALSE))))</f>
        <v/>
      </c>
      <c r="M257" s="611"/>
      <c r="N257" s="275" t="str">
        <f>IFERROR(IF(B257="","",INDEX('G-6 Hedgerow Data'!$AN$3:$AZ$15,MATCH(C257,'G-6 Hedgerow Data'!$AM$3:$AM$15,0),MATCH(M257,'G-6 Hedgerow Data'!$AN$2:$AZ$2,0))),"")</f>
        <v/>
      </c>
      <c r="O257" s="276" t="str">
        <f t="shared" si="22"/>
        <v/>
      </c>
      <c r="P257" s="330" t="str">
        <f>IF(B257="","",VLOOKUP(B257,'B-1 On-Site Hedge Baseline'!$B$10:T502,16,FALSE))</f>
        <v/>
      </c>
      <c r="Q257" s="277" t="str">
        <f>IF(M257="","",VLOOKUP(M257,'G-6 Hedgerow Data'!$B$2:$AG$15,2,FALSE))</f>
        <v/>
      </c>
      <c r="R257" s="276" t="str">
        <f>IF(M257="","",VLOOKUP(M257,'G-6 Hedgerow Data'!$B$2:$AG$15,3,FALSE))</f>
        <v/>
      </c>
      <c r="S257" s="173"/>
      <c r="T257" s="314" t="str">
        <f>IFERROR(IF(S257="","",IF(AND(M257="Non-native and ornamental hedgerow",S257&lt;&gt;"Poor"),"Not possible ▲",(VLOOKUP(S257,'G-1 All Habitats'!$Z$2:$AA$9,2,FALSE)))),"")</f>
        <v/>
      </c>
      <c r="U257" s="111"/>
      <c r="V257" s="284" t="str">
        <f>IF(U257="","",IF(VLOOKUP(U257,'G-3 Multipliers'!$L$3:$N$6,2,FALSE)=0,"Spatial Data Missing ⚠",VLOOKUP(U257,'G-3 Multipliers'!$L$3:$N$6,2,FALSE)))</f>
        <v/>
      </c>
      <c r="W257" s="278" t="str">
        <f>IF(U257="","",IF(VLOOKUP(U257,'G-3 Multipliers'!$L$3:$N$6,3,FALSE)=0,"Spatial Data Missing ⚠",VLOOKUP(U257,'G-3 Multipliers'!$L$3:$N$6,3,FALSE)))</f>
        <v/>
      </c>
      <c r="X257" s="275" t="str">
        <f>IFERROR(IF(OR(LEFT(O257,5)="Error",LEFT(N257,5)="Error",T257="Error"),"Check Data ⚠",IF(F257&lt;R257,INDEX('G-6 Hedgerow Data'!$S$3:$AE$14,MATCH(C257,'G-6 Hedgerow Data'!$B$3:$B$14,0),MATCH(M257,'G-6 Hedgerow Data'!$S$2:$AE$2,0)),INDEX('G-6 Hedgerow Data'!$K$3:$Q$14,MATCH(M257,'G-6 Hedgerow Data'!$B$3:$B$14,0),MATCH(O257,'G-6 Hedgerow Data'!$K$2:$Q$2,0)))),"")</f>
        <v/>
      </c>
      <c r="Y257" s="133"/>
      <c r="Z257" s="141"/>
      <c r="AA257" s="283" t="str">
        <f t="shared" si="23"/>
        <v/>
      </c>
      <c r="AB257" s="296" t="str">
        <f t="shared" si="24"/>
        <v/>
      </c>
      <c r="AC257" s="297" t="str">
        <f t="shared" si="21"/>
        <v/>
      </c>
      <c r="AD257" s="277" t="str">
        <f>IF(M257="","",VLOOKUP(M257,'G-6 Hedgerow Data'!$B$3:$AG$15,31,FALSE))</f>
        <v/>
      </c>
      <c r="AE257" s="283" t="str">
        <f t="shared" si="25"/>
        <v/>
      </c>
      <c r="AF257" s="283" t="str">
        <f t="shared" si="26"/>
        <v/>
      </c>
      <c r="AG257" s="278" t="str">
        <f>IFERROR(IF(O257="","",VLOOKUP(AD257,'G-3 Multipliers'!$P$3:$Q$6,2,FALSE)),"")</f>
        <v/>
      </c>
      <c r="AH257" s="267" t="str">
        <f t="shared" si="27"/>
        <v/>
      </c>
      <c r="AI257" s="111"/>
      <c r="AJ257" s="110"/>
      <c r="AK257" s="929"/>
      <c r="AT257" s="30" t="str">
        <f>IFERROR(INDEX('G-6 Hedgerow Data'!$BJ$3:$BJ$15,MATCH(M257,'G-6 Hedgerow Data'!$B$3:$B$15,0)),"")</f>
        <v/>
      </c>
    </row>
    <row r="258" spans="2:36" ht="14.5" thickBot="1">
      <c r="B258" s="34"/>
      <c r="C258" s="34"/>
      <c r="D258" s="34"/>
      <c r="E258" s="34"/>
      <c r="F258" s="34"/>
      <c r="G258" s="34"/>
      <c r="H258" s="34"/>
      <c r="I258" s="34"/>
      <c r="J258" s="34"/>
      <c r="K258" s="34"/>
      <c r="L258" s="34"/>
      <c r="M258" s="34"/>
      <c r="N258" s="34"/>
      <c r="O258" s="247"/>
      <c r="P258" s="279">
        <f>SUM(P12:P257)</f>
        <v>0</v>
      </c>
      <c r="Q258" s="34"/>
      <c r="R258" s="34"/>
      <c r="S258" s="34"/>
      <c r="T258" s="34"/>
      <c r="U258" s="34"/>
      <c r="V258" s="34"/>
      <c r="W258" s="34"/>
      <c r="X258" s="34"/>
      <c r="Y258" s="34"/>
      <c r="Z258" s="34"/>
      <c r="AA258" s="34"/>
      <c r="AB258" s="34"/>
      <c r="AC258" s="34"/>
      <c r="AD258" s="34"/>
      <c r="AE258" s="34"/>
      <c r="AF258" s="246"/>
      <c r="AG258" s="246"/>
      <c r="AH258" s="279">
        <f>SUM(AH12:AH257)</f>
        <v>0</v>
      </c>
      <c r="AI258" s="34"/>
      <c r="AJ258" s="34"/>
    </row>
    <row r="259" ht="14"/>
    <row r="260" ht="14"/>
    <row r="261" ht="14"/>
    <row r="262" ht="14"/>
    <row r="263" ht="14"/>
    <row r="264" ht="14"/>
    <row r="265" ht="14" hidden="1"/>
  </sheetData>
  <sheetProtection algorithmName="SHA-512" hashValue="DJ5XrOUQAxGWqmdRsJm5tUeyEAEpYVkfUq7EjIu2LiZvzhZtVD/MBQaTkuvN6/uAsF5l9cpJXF5kih57utlS2w==" saltValue="0EgYac1SrwUBAJlQG3mVcw=="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19">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K10"/>
    <mergeCell ref="C10:L10"/>
    <mergeCell ref="U10:W10"/>
  </mergeCells>
  <conditionalFormatting sqref="AH258">
    <cfRule type="containsText" priority="44" dxfId="970" operator="containsText" text="Existing Value Not Required">
      <formula>NOT(ISERROR(SEARCH("Existing Value Not Required",AH258)))</formula>
    </cfRule>
    <cfRule type="containsText" priority="45" dxfId="970" operator="containsText" text="Existing Value Required">
      <formula>NOT(ISERROR(SEARCH("Existing Value Required",AH258)))</formula>
    </cfRule>
  </conditionalFormatting>
  <conditionalFormatting sqref="AH12:AH257">
    <cfRule type="containsText" priority="40" dxfId="970" operator="containsText" text="Existing Value Not Required">
      <formula>NOT(ISERROR(SEARCH("Existing Value Not Required",AH12)))</formula>
    </cfRule>
    <cfRule type="containsText" priority="41" dxfId="970" operator="containsText" text="Existing Value Required">
      <formula>NOT(ISERROR(SEARCH("Existing Value Required",AH12)))</formula>
    </cfRule>
  </conditionalFormatting>
  <conditionalFormatting sqref="L12:L257">
    <cfRule type="cellIs" priority="37" dxfId="665" operator="equal">
      <formula>"Same distinctiveness band or better"</formula>
    </cfRule>
    <cfRule type="cellIs" priority="38" dxfId="667" operator="equal">
      <formula>"Like for like or better"</formula>
    </cfRule>
    <cfRule type="cellIs" priority="39" dxfId="666" operator="equal">
      <formula>"Like for Like"</formula>
    </cfRule>
  </conditionalFormatting>
  <conditionalFormatting sqref="N12:N257">
    <cfRule type="beginsWith" priority="36" dxfId="970" operator="beginsWith" text="Error">
      <formula>LEFT(N12,LEN("Error"))="Error"</formula>
    </cfRule>
  </conditionalFormatting>
  <conditionalFormatting sqref="O12:O257">
    <cfRule type="beginsWith" priority="35" dxfId="970" operator="beginsWith" text="Error">
      <formula>LEFT(O12,LEN("Error"))="Error"</formula>
    </cfRule>
  </conditionalFormatting>
  <conditionalFormatting sqref="V12:V257">
    <cfRule type="containsText" priority="34" dxfId="1281" operator="containsText" text="Spatial">
      <formula>NOT(ISERROR(SEARCH("Spatial",V12)))</formula>
    </cfRule>
  </conditionalFormatting>
  <conditionalFormatting sqref="W12:W257">
    <cfRule type="containsText" priority="33" dxfId="1281" operator="containsText" text="Spatial">
      <formula>NOT(ISERROR(SEARCH("Spatial",W12)))</formula>
    </cfRule>
  </conditionalFormatting>
  <conditionalFormatting sqref="X12:X257">
    <cfRule type="containsText" priority="31" dxfId="970" operator="containsText" text="Error">
      <formula>NOT(ISERROR(SEARCH("Error",X12)))</formula>
    </cfRule>
    <cfRule type="containsText" priority="32" dxfId="1267" operator="containsText" text="Check">
      <formula>NOT(ISERROR(SEARCH("Check",X12)))</formula>
    </cfRule>
  </conditionalFormatting>
  <conditionalFormatting sqref="AA12:AA257">
    <cfRule type="containsText" priority="29" dxfId="970" operator="containsText" text="Error">
      <formula>NOT(ISERROR(SEARCH("Error",AA12)))</formula>
    </cfRule>
    <cfRule type="containsText" priority="30" dxfId="1267" operator="containsText" text="Check">
      <formula>NOT(ISERROR(SEARCH("Check",AA12)))</formula>
    </cfRule>
  </conditionalFormatting>
  <conditionalFormatting sqref="AB12:AB257">
    <cfRule type="cellIs" priority="21" dxfId="1267" operator="equal">
      <formula>"30+"</formula>
    </cfRule>
    <cfRule type="containsText" priority="27" dxfId="970" operator="containsText" text="Error">
      <formula>NOT(ISERROR(SEARCH("Error",AB12)))</formula>
    </cfRule>
    <cfRule type="containsText" priority="28" dxfId="1267" operator="containsText" text="Check">
      <formula>NOT(ISERROR(SEARCH("Check",AB12)))</formula>
    </cfRule>
  </conditionalFormatting>
  <conditionalFormatting sqref="AC12:AC257">
    <cfRule type="containsText" priority="25" dxfId="970" operator="containsText" text="Error">
      <formula>NOT(ISERROR(SEARCH("Error",AC12)))</formula>
    </cfRule>
    <cfRule type="containsText" priority="26" dxfId="1267" operator="containsText" text="Check">
      <formula>NOT(ISERROR(SEARCH("Check",AC12)))</formula>
    </cfRule>
  </conditionalFormatting>
  <conditionalFormatting sqref="AE12:AE257">
    <cfRule type="beginsWith" priority="23" dxfId="1281" operator="beginsWith" text="No - Low Difficulty">
      <formula>LEFT(AE12,LEN("No - Low Difficulty"))="No - Low Difficulty"</formula>
    </cfRule>
    <cfRule type="containsText" priority="24" dxfId="1281" operator="containsText" text="Check">
      <formula>NOT(ISERROR(SEARCH("Check",AE12)))</formula>
    </cfRule>
  </conditionalFormatting>
  <conditionalFormatting sqref="X2 X5:AB6">
    <cfRule type="containsText" priority="22" dxfId="1281" operator="containsText" text="Note">
      <formula>NOT(ISERROR(SEARCH("Note",X2)))</formula>
    </cfRule>
  </conditionalFormatting>
  <conditionalFormatting sqref="O3">
    <cfRule type="containsText" priority="19" dxfId="970" operator="containsText" text="Error">
      <formula>NOT(ISERROR(SEARCH("Error",O3)))</formula>
    </cfRule>
    <cfRule type="containsText" priority="20" dxfId="1267" operator="containsText" text="Check">
      <formula>NOT(ISERROR(SEARCH("Check",O3)))</formula>
    </cfRule>
  </conditionalFormatting>
  <conditionalFormatting sqref="O4">
    <cfRule type="containsText" priority="4" dxfId="970" operator="containsText" text="Error">
      <formula>NOT(ISERROR(SEARCH("Error",O4)))</formula>
    </cfRule>
    <cfRule type="containsText" priority="10" dxfId="1267" operator="containsText" text="Check">
      <formula>NOT(ISERROR(SEARCH("Check",O4)))</formula>
    </cfRule>
  </conditionalFormatting>
  <conditionalFormatting sqref="O5">
    <cfRule type="containsText" priority="13" dxfId="970" operator="containsText" text="No">
      <formula>NOT(ISERROR(SEARCH("No",O5)))</formula>
    </cfRule>
    <cfRule type="containsText" priority="14" dxfId="1253" operator="containsText" text="Yes">
      <formula>NOT(ISERROR(SEARCH("Yes",O5)))</formula>
    </cfRule>
  </conditionalFormatting>
  <conditionalFormatting sqref="T12:T257">
    <cfRule type="containsText" priority="12" dxfId="970" operator="containsText" text="Not possible">
      <formula>NOT(ISERROR(SEARCH("Not possible",T12)))</formula>
    </cfRule>
  </conditionalFormatting>
  <conditionalFormatting sqref="O4:P4">
    <cfRule type="cellIs" priority="11" dxfId="881" operator="equal">
      <formula>0</formula>
    </cfRule>
    <cfRule type="cellIs" priority="444" dxfId="970" operator="lessThan">
      <formula>0</formula>
    </cfRule>
  </conditionalFormatting>
  <conditionalFormatting sqref="O3:P5">
    <cfRule type="containsText" priority="9" dxfId="932" operator="containsText" text="N/A">
      <formula>NOT(ISERROR(SEARCH("N/A",O3)))</formula>
    </cfRule>
  </conditionalFormatting>
  <conditionalFormatting sqref="K1:K1048576">
    <cfRule type="containsText" priority="6" dxfId="1281" operator="containsText" text="⚠">
      <formula>NOT(ISERROR(SEARCH("⚠",K1)))</formula>
    </cfRule>
  </conditionalFormatting>
  <conditionalFormatting sqref="AH1:AH1048576">
    <cfRule type="containsText" priority="5" dxfId="1257" operator="containsText" text="⚠">
      <formula>NOT(ISERROR(SEARCH("⚠",AH1)))</formula>
    </cfRule>
  </conditionalFormatting>
  <conditionalFormatting sqref="AE1:AE1048576">
    <cfRule type="containsText" priority="3" dxfId="1281" operator="containsText" text="⚠">
      <formula>NOT(ISERROR(SEARCH("⚠",AE1)))</formula>
    </cfRule>
  </conditionalFormatting>
  <conditionalFormatting sqref="AF1:AF1048576">
    <cfRule type="containsText" priority="2" dxfId="1281" operator="containsText" text="⚠">
      <formula>NOT(ISERROR(SEARCH("⚠",AF1)))</formula>
    </cfRule>
  </conditionalFormatting>
  <conditionalFormatting sqref="X1:X1048576">
    <cfRule type="containsText" priority="1" dxfId="1273" operator="containsText" text="▲">
      <formula>NOT(ISERROR(SEARCH("▲",X1)))</formula>
    </cfRule>
  </conditionalFormatting>
  <conditionalFormatting sqref="O4:P4">
    <cfRule type="expression" priority="7" dxfId="1289">
      <formula>'Headline Results'!$H$9:$I$9=0</formula>
    </cfRule>
  </conditionalFormatting>
  <conditionalFormatting sqref="O4:P4">
    <cfRule type="cellIs" priority="8" dxfId="1294" operator="lessThan">
      <formula>Start!$F$22</formula>
    </cfRule>
    <cfRule type="cellIs" priority="445" dxfId="1284" operator="greaterThanOrEqual">
      <formula>Start!$F$22</formula>
    </cfRule>
  </conditionalFormatting>
  <dataValidations count="4">
    <dataValidation type="list" allowBlank="1" showInputMessage="1" showErrorMessage="1" sqref="S12:S257">
      <formula1>INDIRECT(AT12)</formula1>
    </dataValidation>
    <dataValidation type="list" allowBlank="1" showInputMessage="1" showErrorMessage="1" sqref="M12:M257">
      <formula1>'G-6 Hedgerow Data'!$B$3:$B$15</formula1>
    </dataValidation>
    <dataValidation type="list" allowBlank="1" showInputMessage="1" showErrorMessage="1" sqref="U12:U257">
      <formula1>'G-3 Multipliers'!$L$4:$L$6</formula1>
    </dataValidation>
    <dataValidation type="list" allowBlank="1" showInputMessage="1" showErrorMessage="1" sqref="Y12:Z257">
      <formula1>'G-4 Temporal multipliers'!$A$42:$A$73</formula1>
    </dataValidation>
  </dataValidations>
  <pageMargins left="0.7" right="0.7" top="0.75" bottom="0.75" header="0.3" footer="0.3"/>
  <pageSetup horizontalDpi="90" verticalDpi="90" orientation="portrait" paperSize="9"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B2:XFD272"/>
  <sheetViews>
    <sheetView zoomScale="80" zoomScaleNormal="80" workbookViewId="0" topLeftCell="A1">
      <pane ySplit="9" topLeftCell="A10" activePane="bottomLeft" state="frozen"/>
      <selection pane="topLeft" activeCell="A1" sqref="A1"/>
      <selection pane="bottomLeft" activeCell="A1" sqref="A1"/>
    </sheetView>
  </sheetViews>
  <sheetFormatPr defaultColWidth="0" defaultRowHeight="0" customHeight="1" zeroHeight="1"/>
  <cols>
    <col min="1" max="1" width="5" style="30" customWidth="1"/>
    <col min="2" max="2" width="11.4285714285714" style="30" customWidth="1"/>
    <col min="3" max="3" width="9.57142857142857" style="30" bestFit="1" customWidth="1"/>
    <col min="4" max="4" width="53.5714285714286" style="30" bestFit="1" customWidth="1"/>
    <col min="5" max="5" width="8.57142857142857" style="30" customWidth="1"/>
    <col min="6" max="6" width="17.5714285714286" style="30" customWidth="1"/>
    <col min="7" max="7" width="9.42857142857143" style="30" customWidth="1"/>
    <col min="8" max="9" width="13.5714285714286" style="30" customWidth="1"/>
    <col min="10" max="10" width="41.5714285714286" style="30" customWidth="1"/>
    <col min="11" max="11" width="14.5714285714286" style="30" customWidth="1"/>
    <col min="12" max="12" width="14.4285714285714" style="30" customWidth="1"/>
    <col min="13" max="13" width="21.4285714285714" style="30" bestFit="1" customWidth="1"/>
    <col min="14" max="14" width="14.4285714285714" style="30" hidden="1" customWidth="1"/>
    <col min="15" max="15" width="76.5714285714286" style="30" customWidth="1"/>
    <col min="16" max="16" width="17.5714285714286" style="30" hidden="1" customWidth="1"/>
    <col min="17" max="17" width="13.4285714285714" style="30" customWidth="1"/>
    <col min="18" max="18" width="3.57142857142857" style="30" customWidth="1"/>
    <col min="19" max="19" width="10.4285714285714" style="30" bestFit="1" customWidth="1"/>
    <col min="20" max="20" width="11.5714285714286" style="30" customWidth="1"/>
    <col min="21" max="21" width="10.5714285714286" style="30" customWidth="1"/>
    <col min="22" max="22" width="11.5714285714286" style="30" customWidth="1"/>
    <col min="23" max="23" width="13.5714285714286" style="30" customWidth="1"/>
    <col min="24" max="24" width="8.42857142857143" style="30" customWidth="1"/>
    <col min="25" max="25" width="23.4285714285714" style="30" bestFit="1" customWidth="1"/>
    <col min="26" max="26" width="33.4285714285714" style="30" customWidth="1"/>
    <col min="27" max="27" width="12.4285714285714" style="30" customWidth="1"/>
    <col min="28" max="28" width="12.5714285714286" style="30" customWidth="1"/>
    <col min="29" max="29" width="8.57142857142857" style="30" customWidth="1"/>
    <col min="30" max="30" width="4.57142857142857" style="30" customWidth="1"/>
    <col min="31" max="50" width="4.57142857142857" style="30" hidden="1"/>
    <col min="51" max="51" width="10.5714285714286" style="30" hidden="1"/>
    <col min="52" max="16383" width="4.57142857142857" style="30" hidden="1"/>
    <col min="16384" max="16384" width="4.57142857142857" style="406" hidden="1"/>
  </cols>
  <sheetData>
    <row r="1" ht="15.75" customHeight="1" thickBot="1"/>
    <row r="2" spans="2:13" ht="20.15" customHeight="1" thickBot="1">
      <c r="B2" s="1728" t="str">
        <f>CONCATENATE("Project Name:"," ",Start!F12,"     ","Map Reference:"," ",Start!F66)</f>
        <v xml:space="preserve">Project Name: Land east of Calne Road, Lyneham     Map Reference: </v>
      </c>
      <c r="C2" s="1729"/>
      <c r="D2" s="1730"/>
      <c r="F2" s="1597" t="s">
        <v>448</v>
      </c>
      <c r="G2" s="1598"/>
      <c r="H2" s="1598"/>
      <c r="I2" s="1598"/>
      <c r="J2" s="1599"/>
      <c r="K2" s="239"/>
      <c r="L2" s="239"/>
      <c r="M2" s="239"/>
    </row>
    <row r="3" spans="2:10" ht="15.75" customHeight="1">
      <c r="B3" s="1198" t="str">
        <f ca="1">MID(CELL("filename",A1),FIND("]",CELL("filename",A1))+1,256)</f>
        <v>E-1 Off-Site Hedge Baseline</v>
      </c>
      <c r="C3" s="1199"/>
      <c r="D3" s="1200"/>
      <c r="F3" s="1663" t="s">
        <v>306</v>
      </c>
      <c r="G3" s="1664"/>
      <c r="H3" s="1664"/>
      <c r="I3" s="1658">
        <f>'Headline Results'!H48</f>
        <v>6.475122960273441</v>
      </c>
      <c r="J3" s="1659"/>
    </row>
    <row r="4" spans="2:10" ht="15.75" customHeight="1" thickBot="1">
      <c r="B4" s="1201"/>
      <c r="C4" s="1202"/>
      <c r="D4" s="1203"/>
      <c r="F4" s="1772" t="s">
        <v>308</v>
      </c>
      <c r="G4" s="1773"/>
      <c r="H4" s="1773"/>
      <c r="I4" s="1660">
        <f>'Headline Results'!H52</f>
        <v>5.10093190505234</v>
      </c>
      <c r="J4" s="1661"/>
    </row>
    <row r="5" spans="6:10" ht="22.5" customHeight="1" thickBot="1">
      <c r="F5" s="1774" t="s">
        <v>310</v>
      </c>
      <c r="G5" s="1750"/>
      <c r="H5" s="1750"/>
      <c r="I5" s="1750" t="str" cm="1">
        <f t="array" ref="I5">IF(OR('Trading Summary Hedgerows'!F5:H9="No ▲"),"No - check trading summary ▲","Yes ✓")</f>
        <v>Yes ✓</v>
      </c>
      <c r="J5" s="1751"/>
    </row>
    <row r="6" ht="29.15" customHeight="1"/>
    <row r="7" spans="2:4" ht="15.75" customHeight="1" thickBot="1">
      <c r="B7" s="89"/>
      <c r="C7" s="89"/>
      <c r="D7" s="88"/>
    </row>
    <row r="8" spans="2:28 16384:16384" s="33" customFormat="1" ht="31.4" customHeight="1" thickBot="1">
      <c r="B8" s="32"/>
      <c r="C8" s="1725" t="s">
        <v>449</v>
      </c>
      <c r="D8" s="1436"/>
      <c r="E8" s="1429"/>
      <c r="F8" s="1725" t="s">
        <v>312</v>
      </c>
      <c r="G8" s="1429"/>
      <c r="H8" s="1725" t="s">
        <v>407</v>
      </c>
      <c r="I8" s="1429"/>
      <c r="J8" s="1725" t="s">
        <v>314</v>
      </c>
      <c r="K8" s="1436"/>
      <c r="L8" s="1429"/>
      <c r="M8" s="1692" t="s">
        <v>315</v>
      </c>
      <c r="N8" s="114" t="s">
        <v>316</v>
      </c>
      <c r="O8" s="1699" t="s">
        <v>408</v>
      </c>
      <c r="P8" s="1700"/>
      <c r="Q8" s="114" t="s">
        <v>316</v>
      </c>
      <c r="R8" s="94"/>
      <c r="S8" s="1603"/>
      <c r="T8" s="1604"/>
      <c r="U8" s="1604"/>
      <c r="V8" s="1604"/>
      <c r="W8" s="1604"/>
      <c r="X8" s="1605"/>
      <c r="Y8" s="1603" t="s">
        <v>318</v>
      </c>
      <c r="Z8" s="1604"/>
      <c r="AA8" s="1604"/>
      <c r="AB8" s="1605"/>
      <c r="XFD8" s="407"/>
    </row>
    <row r="9" spans="2:51" ht="45" customHeight="1" thickBot="1">
      <c r="B9" s="506" t="s">
        <v>323</v>
      </c>
      <c r="C9" s="116" t="s">
        <v>450</v>
      </c>
      <c r="D9" s="121" t="s">
        <v>284</v>
      </c>
      <c r="E9" s="120" t="s">
        <v>451</v>
      </c>
      <c r="F9" s="116" t="s">
        <v>312</v>
      </c>
      <c r="G9" s="120" t="s">
        <v>328</v>
      </c>
      <c r="H9" s="116" t="s">
        <v>313</v>
      </c>
      <c r="I9" s="120" t="s">
        <v>328</v>
      </c>
      <c r="J9" s="116" t="s">
        <v>314</v>
      </c>
      <c r="K9" s="121" t="s">
        <v>314</v>
      </c>
      <c r="L9" s="120" t="s">
        <v>329</v>
      </c>
      <c r="M9" s="1742"/>
      <c r="N9" s="142" t="s">
        <v>472</v>
      </c>
      <c r="O9" s="602" t="s">
        <v>411</v>
      </c>
      <c r="P9" s="613" t="s">
        <v>408</v>
      </c>
      <c r="Q9" s="142" t="s">
        <v>452</v>
      </c>
      <c r="R9" s="94"/>
      <c r="S9" s="614" t="s">
        <v>453</v>
      </c>
      <c r="T9" s="615" t="s">
        <v>454</v>
      </c>
      <c r="U9" s="616" t="s">
        <v>455</v>
      </c>
      <c r="V9" s="616" t="s">
        <v>456</v>
      </c>
      <c r="W9" s="616" t="s">
        <v>457</v>
      </c>
      <c r="X9" s="617" t="s">
        <v>334</v>
      </c>
      <c r="Y9" s="614" t="s">
        <v>302</v>
      </c>
      <c r="Z9" s="617" t="s">
        <v>279</v>
      </c>
      <c r="AA9" s="617" t="s">
        <v>270</v>
      </c>
      <c r="AB9" s="617" t="s">
        <v>413</v>
      </c>
      <c r="AE9" s="88" t="s">
        <v>322</v>
      </c>
      <c r="AH9" s="107" t="s">
        <v>337</v>
      </c>
      <c r="AI9" s="107" t="s">
        <v>338</v>
      </c>
      <c r="AK9" s="107" t="s">
        <v>340</v>
      </c>
      <c r="AM9" s="107" t="s">
        <v>337</v>
      </c>
      <c r="AN9" s="107" t="s">
        <v>338</v>
      </c>
      <c r="AY9" s="616" t="s">
        <v>455</v>
      </c>
    </row>
    <row r="10" spans="2:51" ht="14">
      <c r="B10" s="91">
        <v>1</v>
      </c>
      <c r="C10" s="592"/>
      <c r="D10" s="565"/>
      <c r="E10" s="607"/>
      <c r="F10" s="346" t="str">
        <f>IF(D10="","",VLOOKUP(D10,'G-6 Hedgerow Data'!$B$2:$AG$15,2,FALSE))</f>
        <v/>
      </c>
      <c r="G10" s="544" t="str">
        <f>IF(D10="","",VLOOKUP(D10,'G-6 Hedgerow Data'!$B$2:$AG$15,3,FALSE))</f>
        <v/>
      </c>
      <c r="H10" s="591"/>
      <c r="I10" s="544" t="str">
        <f>IFERROR(IF(AND(D10&lt;&gt;"",H10=""),"Check data ⚠",(IF(H10="","",IF(AND(D10="Non-native and ornamental hedgerow",H10&lt;&gt;"Poor"),"Not possible ▲",(IF(AND(F10="V.Low",OR(H10="Good",H10="Moderate")),"Error ▲",VLOOKUP(H10,'G-1 All Habitats'!$Z$2:$AA$9,2,FALSE))))))),"")</f>
        <v/>
      </c>
      <c r="J10" s="591"/>
      <c r="K10" s="280" t="str">
        <f>IF(AND(J10="",D10&lt;&gt;""),"Check data ⚠",IF(J10="","",IF(VLOOKUP(J10,'G-3 Multipliers'!$L$3:$N$6,2,FALSE)=0,"Spatial Data Missing ⚠",VLOOKUP(J10,'G-3 Multipliers'!$L$3:$N$6,2,FALSE))))</f>
        <v/>
      </c>
      <c r="L10" s="544" t="str">
        <f>IF(J10="","",IF(VLOOKUP(J10,'G-3 Multipliers'!$L$3:$N$6,3,FALSE)=0,"Spatial Data Missing ⚠",VLOOKUP(J10,'G-3 Multipliers'!$L$3:$N$6,3,FALSE)))</f>
        <v/>
      </c>
      <c r="M10" s="354" t="str">
        <f>IF(D10="","",VLOOKUP(D10,'G-6 Hedgerow Data'!$B$1:$AH$15,33,FALSE))</f>
        <v/>
      </c>
      <c r="N10" s="548" t="str">
        <f>IFERROR(IF(Q10="Check data ⚠","Check data ⚠",(E10*G10*I10*L10*P10)),"")</f>
        <v/>
      </c>
      <c r="O10" s="428"/>
      <c r="P10" s="546" t="str">
        <f>IF(O10="","",IF(VLOOKUP(O10,'G-3 Multipliers'!$S$3:$T$10,2,FALSE)=0,"Spatial Data Missing ⚠",VLOOKUP(O10,'G-3 Multipliers'!$S$3:$T$10,2,FALSE)))</f>
        <v/>
      </c>
      <c r="Q10" s="548" t="str">
        <f>IFERROR(IF(OR(K10="Check data ⚠",I10="Check data ⚠",W10="Error in lengths ▲"),"Check data ▲",(IF(AND(O10&lt;&gt;"",AB10=""),"Off-site reference required ▲",(IF(O10="","",E10*G10*I10*L10))))),"")</f>
        <v/>
      </c>
      <c r="R10" s="32"/>
      <c r="S10" s="101"/>
      <c r="T10" s="108"/>
      <c r="U10" s="283" t="str">
        <f>IFERROR(S10*G10*I10*L10,"")</f>
        <v/>
      </c>
      <c r="V10" s="283" t="str">
        <f>IFERROR(T10*G10*I10*L10,"")</f>
        <v/>
      </c>
      <c r="W10" s="287" t="str">
        <f>IF(D10="","",IF(E10&lt;S10+T10,"Error in Lengths ▲",E10-S10-T10))</f>
        <v/>
      </c>
      <c r="X10" s="291" t="str">
        <f>IF(Q10="Check data ⚠","Check data ⚠",IF(OR(E10="",N10=""),"",IF(E10&lt;S10+T10,"Error in Lengths",Q10-U10-V10)))</f>
        <v/>
      </c>
      <c r="Y10" s="101"/>
      <c r="Z10" s="115"/>
      <c r="AA10" s="115"/>
      <c r="AB10" s="115"/>
      <c r="AE10" s="30" t="str">
        <f>IFERROR(INDEX('G-6 Hedgerow Data'!$BJ$3:$BJ$15,MATCH(D10,'G-6 Hedgerow Data'!$B$3:$B$15,0)),"")</f>
        <v/>
      </c>
      <c r="AH10" s="107" t="str">
        <f t="shared" si="0" ref="AH10:AH73">IF(D10="","",IF(S10&gt;0,TRUE,FALSE))</f>
        <v/>
      </c>
      <c r="AI10" s="107" t="str">
        <f t="shared" si="1" ref="AI10:AI73">IF(D10="","",IF(T10&gt;0,TRUE,FALSE))</f>
        <v/>
      </c>
      <c r="AK10" s="107">
        <v>1</v>
      </c>
      <c r="AM10" s="107" t="str">
        <f t="array" ref="AM10">IFERROR(INDEX($AK$10:$AK$258,MATCH(0,IF(TRUE=$AH$10:$AH$258,COUNTIF($AM9:$AM$9,$AK$10:$AK$258),""),0)),"")</f>
        <v/>
      </c>
      <c r="AN10" s="107" t="str">
        <f t="array" ref="AN10">IFERROR(INDEX($AK$10:$AK$258,MATCH(0,IF(TRUE=$AI$10:$AI$258,COUNTIF($AN9:$AN$9,$AK$10:$AK$258),""),0)),"")</f>
        <v/>
      </c>
      <c r="AY10" s="283" t="str">
        <f t="shared" si="2" ref="AY10:AY74">IFERROR(S10*G10*I10*L10*P10,"")</f>
        <v/>
      </c>
    </row>
    <row r="11" spans="2:51" ht="14">
      <c r="B11" s="97">
        <v>2</v>
      </c>
      <c r="C11" s="138"/>
      <c r="D11" s="58"/>
      <c r="E11" s="115"/>
      <c r="F11" s="275" t="str">
        <f>IF(D11="","",VLOOKUP(D11,'G-6 Hedgerow Data'!$B$2:$AG$15,2,FALSE))</f>
        <v/>
      </c>
      <c r="G11" s="276" t="str">
        <f>IF(D11="","",VLOOKUP(D11,'G-6 Hedgerow Data'!$B$2:$AG$15,3,FALSE))</f>
        <v/>
      </c>
      <c r="H11" s="101"/>
      <c r="I11" s="276" t="str">
        <f>IFERROR(IF(AND(D11&lt;&gt;"",H11=""),"Check data ⚠",(IF(H11="","",IF(AND(D11="Non-native and ornamental hedgerow",H11&lt;&gt;"Poor"),"Not possible ▲",(IF(AND(F11="V.Low",OR(H11="Good",H11="Moderate")),"Error ▲",VLOOKUP(H11,'G-1 All Habitats'!$Z$2:$AA$9,2,FALSE))))))),"")</f>
        <v/>
      </c>
      <c r="J11" s="101"/>
      <c r="K11" s="295" t="str">
        <f>IF(AND(J11="",D11&lt;&gt;""),"Check data ⚠",IF(J11="","",IF(VLOOKUP(J11,'G-3 Multipliers'!$L$3:$N$6,2,FALSE)=0,"Spatial Data Missing ⚠",VLOOKUP(J11,'G-3 Multipliers'!$L$3:$N$6,2,FALSE))))</f>
        <v/>
      </c>
      <c r="L11" s="299" t="str">
        <f>IF(J11="","",IF(VLOOKUP(J11,'G-3 Multipliers'!$L$3:$N$6,3,FALSE)=0,"Spatial Data Missing ⚠",VLOOKUP(J11,'G-3 Multipliers'!$L$3:$N$6,3,FALSE)))</f>
        <v/>
      </c>
      <c r="M11" s="336" t="str">
        <f>IF(D11="","",VLOOKUP(D11,'G-6 Hedgerow Data'!$B$1:$AH$15,33,FALSE))</f>
        <v/>
      </c>
      <c r="N11" s="289" t="str">
        <f t="shared" si="3" ref="N11:N74">IFERROR(IF(Q11="Check data ⚠","Check data ⚠",(E11*G11*I11*L11*P11)),"")</f>
        <v/>
      </c>
      <c r="O11" s="393"/>
      <c r="P11" s="281" t="str">
        <f>IF(O11="","",IF(VLOOKUP(O11,'G-3 Multipliers'!$S$3:$T$10,2,FALSE)=0,"Spatial Data Missing ⚠",VLOOKUP(O11,'G-3 Multipliers'!$S$3:$T$10,2,FALSE)))</f>
        <v/>
      </c>
      <c r="Q11" s="289" t="str">
        <f t="shared" si="4" ref="Q11:Q74">IFERROR(IF(OR(K11="Check data ⚠",I11="Check data ⚠",W11="Error in lengths ▲"),"Check data ▲",(IF(AND(O11&lt;&gt;"",AB11=""),"Off-site reference required ▲",(IF(O11="","",E11*G11*I11*L11))))),"")</f>
        <v/>
      </c>
      <c r="R11" s="32"/>
      <c r="S11" s="105"/>
      <c r="T11" s="108"/>
      <c r="U11" s="283" t="str">
        <f t="shared" si="5" ref="U11:U74">IFERROR(S11*G11*I11*L11,"")</f>
        <v/>
      </c>
      <c r="V11" s="283" t="str">
        <f t="shared" si="6" ref="V11:V74">IFERROR(T11*G11*I11*L11,"")</f>
        <v/>
      </c>
      <c r="W11" s="287" t="str">
        <f t="shared" si="7" ref="W11:W74">IF(D11="","",IF(E11&lt;S11+T11,"Error in Lengths ▲",E11-S11-T11))</f>
        <v/>
      </c>
      <c r="X11" s="291" t="str">
        <f t="shared" si="8" ref="X11:X74">IF(Q11="Check data ⚠","Check data ⚠",IF(OR(E11="",N11=""),"",IF(E11&lt;S11+T11,"Error in Lengths",Q11-U11-V11)))</f>
        <v/>
      </c>
      <c r="Y11" s="105"/>
      <c r="Z11" s="104"/>
      <c r="AA11" s="104"/>
      <c r="AB11" s="104"/>
      <c r="AE11" s="30" t="str">
        <f>IFERROR(INDEX('G-6 Hedgerow Data'!$BJ$3:$BJ$15,MATCH(D11,'G-6 Hedgerow Data'!$B$3:$B$15,0)),"")</f>
        <v/>
      </c>
      <c r="AH11" s="107" t="str">
        <f t="shared" si="0"/>
        <v/>
      </c>
      <c r="AI11" s="107" t="str">
        <f t="shared" si="1"/>
        <v/>
      </c>
      <c r="AK11" s="107">
        <v>2</v>
      </c>
      <c r="AM11" s="107" t="str">
        <f t="array" ref="AM11">IFERROR(INDEX($AK$10:$AK$258,MATCH(0,IF(TRUE=$AH$10:$AH$258,COUNTIF($AM$9:$AM10,$AK$10:$AK$258),""),0)),"")</f>
        <v/>
      </c>
      <c r="AN11" s="107" t="str">
        <f t="array" ref="AN11">IFERROR(INDEX($AK$10:$AK$258,MATCH(0,IF(TRUE=$AI$10:$AI$258,COUNTIF($AN$9:$AN10,$AK$10:$AK$258),""),0)),"")</f>
        <v/>
      </c>
      <c r="AY11" s="283" t="str">
        <f t="shared" si="2"/>
        <v/>
      </c>
    </row>
    <row r="12" spans="2:51" ht="14">
      <c r="B12" s="97">
        <v>3</v>
      </c>
      <c r="C12" s="138"/>
      <c r="D12" s="58"/>
      <c r="E12" s="115"/>
      <c r="F12" s="275" t="str">
        <f>IF(D12="","",VLOOKUP(D12,'G-6 Hedgerow Data'!$B$2:$AG$15,2,FALSE))</f>
        <v/>
      </c>
      <c r="G12" s="276" t="str">
        <f>IF(D12="","",VLOOKUP(D12,'G-6 Hedgerow Data'!$B$2:$AG$15,3,FALSE))</f>
        <v/>
      </c>
      <c r="H12" s="101"/>
      <c r="I12" s="276" t="str">
        <f>IFERROR(IF(AND(D12&lt;&gt;"",H12=""),"Check data ⚠",(IF(H12="","",IF(AND(D12="Non-native and ornamental hedgerow",H12&lt;&gt;"Poor"),"Not possible ▲",(IF(AND(F12="V.Low",OR(H12="Good",H12="Moderate")),"Error ▲",VLOOKUP(H12,'G-1 All Habitats'!$Z$2:$AA$9,2,FALSE))))))),"")</f>
        <v/>
      </c>
      <c r="J12" s="101"/>
      <c r="K12" s="295" t="str">
        <f>IF(AND(J12="",D12&lt;&gt;""),"Check data ⚠",IF(J12="","",IF(VLOOKUP(J12,'G-3 Multipliers'!$L$3:$N$6,2,FALSE)=0,"Spatial Data Missing ⚠",VLOOKUP(J12,'G-3 Multipliers'!$L$3:$N$6,2,FALSE))))</f>
        <v/>
      </c>
      <c r="L12" s="299" t="str">
        <f>IF(J12="","",IF(VLOOKUP(J12,'G-3 Multipliers'!$L$3:$N$6,3,FALSE)=0,"Spatial Data Missing ⚠",VLOOKUP(J12,'G-3 Multipliers'!$L$3:$N$6,3,FALSE)))</f>
        <v/>
      </c>
      <c r="M12" s="336" t="str">
        <f>IF(D12="","",VLOOKUP(D12,'G-6 Hedgerow Data'!$B$1:$AH$15,33,FALSE))</f>
        <v/>
      </c>
      <c r="N12" s="289" t="str">
        <f t="shared" si="3"/>
        <v/>
      </c>
      <c r="O12" s="393"/>
      <c r="P12" s="281" t="str">
        <f>IF(O12="","",IF(VLOOKUP(O12,'G-3 Multipliers'!$S$3:$T$10,2,FALSE)=0,"Spatial Data Missing ⚠",VLOOKUP(O12,'G-3 Multipliers'!$S$3:$T$10,2,FALSE)))</f>
        <v/>
      </c>
      <c r="Q12" s="289" t="str">
        <f t="shared" si="4"/>
        <v/>
      </c>
      <c r="R12" s="32"/>
      <c r="S12" s="105"/>
      <c r="T12" s="108"/>
      <c r="U12" s="283" t="str">
        <f t="shared" si="5"/>
        <v/>
      </c>
      <c r="V12" s="283" t="str">
        <f t="shared" si="6"/>
        <v/>
      </c>
      <c r="W12" s="287" t="str">
        <f t="shared" si="7"/>
        <v/>
      </c>
      <c r="X12" s="291" t="str">
        <f t="shared" si="8"/>
        <v/>
      </c>
      <c r="Y12" s="105"/>
      <c r="Z12" s="104"/>
      <c r="AA12" s="104"/>
      <c r="AB12" s="104"/>
      <c r="AE12" s="30" t="str">
        <f>IFERROR(INDEX('G-6 Hedgerow Data'!$BJ$3:$BJ$15,MATCH(D12,'G-6 Hedgerow Data'!$B$3:$B$15,0)),"")</f>
        <v/>
      </c>
      <c r="AH12" s="107" t="str">
        <f t="shared" si="0"/>
        <v/>
      </c>
      <c r="AI12" s="107" t="str">
        <f t="shared" si="1"/>
        <v/>
      </c>
      <c r="AK12" s="107">
        <v>3</v>
      </c>
      <c r="AM12" s="107" t="str">
        <f t="array" ref="AM12">IFERROR(INDEX($AK$10:$AK$258,MATCH(0,IF(TRUE=$AH$10:$AH$258,COUNTIF($AM$9:$AM11,$AK$10:$AK$258),""),0)),"")</f>
        <v/>
      </c>
      <c r="AN12" s="107" t="str">
        <f t="array" ref="AN12">IFERROR(INDEX($AK$10:$AK$258,MATCH(0,IF(TRUE=$AI$10:$AI$258,COUNTIF($AN$9:$AN11,$AK$10:$AK$258),""),0)),"")</f>
        <v/>
      </c>
      <c r="AY12" s="283" t="str">
        <f t="shared" si="2"/>
        <v/>
      </c>
    </row>
    <row r="13" spans="2:51" ht="14">
      <c r="B13" s="97">
        <v>4</v>
      </c>
      <c r="C13" s="138"/>
      <c r="D13" s="58"/>
      <c r="E13" s="115"/>
      <c r="F13" s="275" t="str">
        <f>IF(D13="","",VLOOKUP(D13,'G-6 Hedgerow Data'!$B$2:$AG$15,2,FALSE))</f>
        <v/>
      </c>
      <c r="G13" s="276" t="str">
        <f>IF(D13="","",VLOOKUP(D13,'G-6 Hedgerow Data'!$B$2:$AG$15,3,FALSE))</f>
        <v/>
      </c>
      <c r="H13" s="101"/>
      <c r="I13" s="276" t="str">
        <f>IFERROR(IF(AND(D13&lt;&gt;"",H13=""),"Check data ⚠",(IF(H13="","",IF(AND(D13="Non-native and ornamental hedgerow",H13&lt;&gt;"Poor"),"Not possible ▲",(IF(AND(F13="V.Low",OR(H13="Good",H13="Moderate")),"Error ▲",VLOOKUP(H13,'G-1 All Habitats'!$Z$2:$AA$9,2,FALSE))))))),"")</f>
        <v/>
      </c>
      <c r="J13" s="101"/>
      <c r="K13" s="295" t="str">
        <f>IF(AND(J13="",D13&lt;&gt;""),"Check data ⚠",IF(J13="","",IF(VLOOKUP(J13,'G-3 Multipliers'!$L$3:$N$6,2,FALSE)=0,"Spatial Data Missing ⚠",VLOOKUP(J13,'G-3 Multipliers'!$L$3:$N$6,2,FALSE))))</f>
        <v/>
      </c>
      <c r="L13" s="299" t="str">
        <f>IF(J13="","",IF(VLOOKUP(J13,'G-3 Multipliers'!$L$3:$N$6,3,FALSE)=0,"Spatial Data Missing ⚠",VLOOKUP(J13,'G-3 Multipliers'!$L$3:$N$6,3,FALSE)))</f>
        <v/>
      </c>
      <c r="M13" s="336" t="str">
        <f>IF(D13="","",VLOOKUP(D13,'G-6 Hedgerow Data'!$B$1:$AH$15,33,FALSE))</f>
        <v/>
      </c>
      <c r="N13" s="289" t="str">
        <f t="shared" si="3"/>
        <v/>
      </c>
      <c r="O13" s="393"/>
      <c r="P13" s="281" t="str">
        <f>IF(O13="","",IF(VLOOKUP(O13,'G-3 Multipliers'!$S$3:$T$10,2,FALSE)=0,"Spatial Data Missing ⚠",VLOOKUP(O13,'G-3 Multipliers'!$S$3:$T$10,2,FALSE)))</f>
        <v/>
      </c>
      <c r="Q13" s="289" t="str">
        <f t="shared" si="4"/>
        <v/>
      </c>
      <c r="R13" s="32"/>
      <c r="S13" s="105"/>
      <c r="T13" s="108"/>
      <c r="U13" s="283" t="str">
        <f t="shared" si="5"/>
        <v/>
      </c>
      <c r="V13" s="283" t="str">
        <f t="shared" si="6"/>
        <v/>
      </c>
      <c r="W13" s="287" t="str">
        <f t="shared" si="7"/>
        <v/>
      </c>
      <c r="X13" s="291" t="str">
        <f t="shared" si="8"/>
        <v/>
      </c>
      <c r="Y13" s="105"/>
      <c r="Z13" s="104"/>
      <c r="AA13" s="104"/>
      <c r="AB13" s="104"/>
      <c r="AE13" s="30" t="str">
        <f>IFERROR(INDEX('G-6 Hedgerow Data'!$BJ$3:$BJ$15,MATCH(D13,'G-6 Hedgerow Data'!$B$3:$B$15,0)),"")</f>
        <v/>
      </c>
      <c r="AH13" s="107" t="str">
        <f t="shared" si="0"/>
        <v/>
      </c>
      <c r="AI13" s="107" t="str">
        <f t="shared" si="1"/>
        <v/>
      </c>
      <c r="AK13" s="107">
        <v>4</v>
      </c>
      <c r="AM13" s="107" t="str">
        <f t="array" ref="AM13">IFERROR(INDEX($AK$10:$AK$258,MATCH(0,IF(TRUE=$AH$10:$AH$258,COUNTIF($AM$9:$AM12,$AK$10:$AK$258),""),0)),"")</f>
        <v/>
      </c>
      <c r="AN13" s="107" t="str">
        <f t="array" ref="AN13">IFERROR(INDEX($AK$10:$AK$258,MATCH(0,IF(TRUE=$AI$10:$AI$258,COUNTIF($AN$9:$AN12,$AK$10:$AK$258),""),0)),"")</f>
        <v/>
      </c>
      <c r="AY13" s="283" t="str">
        <f t="shared" si="2"/>
        <v/>
      </c>
    </row>
    <row r="14" spans="2:51" ht="14">
      <c r="B14" s="97">
        <v>5</v>
      </c>
      <c r="C14" s="138"/>
      <c r="D14" s="133"/>
      <c r="E14" s="51"/>
      <c r="F14" s="275" t="str">
        <f>IF(D14="","",VLOOKUP(D14,'G-6 Hedgerow Data'!$B$2:$AG$15,2,FALSE))</f>
        <v/>
      </c>
      <c r="G14" s="276" t="str">
        <f>IF(D14="","",VLOOKUP(D14,'G-6 Hedgerow Data'!$B$2:$AG$15,3,FALSE))</f>
        <v/>
      </c>
      <c r="H14" s="101"/>
      <c r="I14" s="276" t="str">
        <f>IFERROR(IF(AND(D14&lt;&gt;"",H14=""),"Check data ⚠",(IF(H14="","",IF(AND(D14="Non-native and ornamental hedgerow",H14&lt;&gt;"Poor"),"Not possible ▲",(IF(AND(F14="V.Low",OR(H14="Good",H14="Moderate")),"Error ▲",VLOOKUP(H14,'G-1 All Habitats'!$Z$2:$AA$9,2,FALSE))))))),"")</f>
        <v/>
      </c>
      <c r="J14" s="101"/>
      <c r="K14" s="295" t="str">
        <f>IF(AND(J14="",D14&lt;&gt;""),"Check data ⚠",IF(J14="","",IF(VLOOKUP(J14,'G-3 Multipliers'!$L$3:$N$6,2,FALSE)=0,"Spatial Data Missing ⚠",VLOOKUP(J14,'G-3 Multipliers'!$L$3:$N$6,2,FALSE))))</f>
        <v/>
      </c>
      <c r="L14" s="299" t="str">
        <f>IF(J14="","",IF(VLOOKUP(J14,'G-3 Multipliers'!$L$3:$N$6,3,FALSE)=0,"Spatial Data Missing ⚠",VLOOKUP(J14,'G-3 Multipliers'!$L$3:$N$6,3,FALSE)))</f>
        <v/>
      </c>
      <c r="M14" s="336" t="str">
        <f>IF(D14="","",VLOOKUP(D14,'G-6 Hedgerow Data'!$B$1:$AH$15,33,FALSE))</f>
        <v/>
      </c>
      <c r="N14" s="289" t="str">
        <f t="shared" si="3"/>
        <v/>
      </c>
      <c r="O14" s="393"/>
      <c r="P14" s="281" t="str">
        <f>IF(O14="","",IF(VLOOKUP(O14,'G-3 Multipliers'!$S$3:$T$10,2,FALSE)=0,"Spatial Data Missing ⚠",VLOOKUP(O14,'G-3 Multipliers'!$S$3:$T$10,2,FALSE)))</f>
        <v/>
      </c>
      <c r="Q14" s="289" t="str">
        <f t="shared" si="4"/>
        <v/>
      </c>
      <c r="R14" s="32"/>
      <c r="S14" s="105"/>
      <c r="T14" s="108"/>
      <c r="U14" s="283" t="str">
        <f t="shared" si="5"/>
        <v/>
      </c>
      <c r="V14" s="283" t="str">
        <f t="shared" si="6"/>
        <v/>
      </c>
      <c r="W14" s="287" t="str">
        <f t="shared" si="7"/>
        <v/>
      </c>
      <c r="X14" s="291" t="str">
        <f t="shared" si="8"/>
        <v/>
      </c>
      <c r="Y14" s="105"/>
      <c r="Z14" s="104"/>
      <c r="AA14" s="104"/>
      <c r="AB14" s="104"/>
      <c r="AE14" s="30" t="str">
        <f>IFERROR(INDEX('G-6 Hedgerow Data'!$BJ$3:$BJ$15,MATCH(D14,'G-6 Hedgerow Data'!$B$3:$B$15,0)),"")</f>
        <v/>
      </c>
      <c r="AH14" s="107" t="str">
        <f t="shared" si="0"/>
        <v/>
      </c>
      <c r="AI14" s="107" t="str">
        <f t="shared" si="1"/>
        <v/>
      </c>
      <c r="AK14" s="107">
        <v>5</v>
      </c>
      <c r="AM14" s="107" t="str">
        <f t="array" ref="AM14">IFERROR(INDEX($AK$10:$AK$258,MATCH(0,IF(TRUE=$AH$10:$AH$258,COUNTIF($AM$9:$AM13,$AK$10:$AK$258),""),0)),"")</f>
        <v/>
      </c>
      <c r="AN14" s="107" t="str">
        <f t="array" ref="AN14">IFERROR(INDEX($AK$10:$AK$258,MATCH(0,IF(TRUE=$AI$10:$AI$258,COUNTIF($AN$9:$AN13,$AK$10:$AK$258),""),0)),"")</f>
        <v/>
      </c>
      <c r="AY14" s="283" t="str">
        <f t="shared" si="2"/>
        <v/>
      </c>
    </row>
    <row r="15" spans="2:51" ht="14">
      <c r="B15" s="97">
        <v>6</v>
      </c>
      <c r="C15" s="138"/>
      <c r="D15" s="133"/>
      <c r="E15" s="51"/>
      <c r="F15" s="275" t="str">
        <f>IF(D15="","",VLOOKUP(D15,'G-6 Hedgerow Data'!$B$2:$AG$15,2,FALSE))</f>
        <v/>
      </c>
      <c r="G15" s="276" t="str">
        <f>IF(D15="","",VLOOKUP(D15,'G-6 Hedgerow Data'!$B$2:$AG$15,3,FALSE))</f>
        <v/>
      </c>
      <c r="H15" s="101"/>
      <c r="I15" s="276" t="str">
        <f>IFERROR(IF(AND(D15&lt;&gt;"",H15=""),"Check data ⚠",(IF(H15="","",IF(AND(D15="Non-native and ornamental hedgerow",H15&lt;&gt;"Poor"),"Not possible ▲",(IF(AND(F15="V.Low",OR(H15="Good",H15="Moderate")),"Error ▲",VLOOKUP(H15,'G-1 All Habitats'!$Z$2:$AA$9,2,FALSE))))))),"")</f>
        <v/>
      </c>
      <c r="J15" s="101"/>
      <c r="K15" s="295" t="str">
        <f>IF(AND(J15="",D15&lt;&gt;""),"Check data ⚠",IF(J15="","",IF(VLOOKUP(J15,'G-3 Multipliers'!$L$3:$N$6,2,FALSE)=0,"Spatial Data Missing ⚠",VLOOKUP(J15,'G-3 Multipliers'!$L$3:$N$6,2,FALSE))))</f>
        <v/>
      </c>
      <c r="L15" s="299" t="str">
        <f>IF(J15="","",IF(VLOOKUP(J15,'G-3 Multipliers'!$L$3:$N$6,3,FALSE)=0,"Spatial Data Missing ⚠",VLOOKUP(J15,'G-3 Multipliers'!$L$3:$N$6,3,FALSE)))</f>
        <v/>
      </c>
      <c r="M15" s="336" t="str">
        <f>IF(D15="","",VLOOKUP(D15,'G-6 Hedgerow Data'!$B$1:$AH$15,33,FALSE))</f>
        <v/>
      </c>
      <c r="N15" s="289" t="str">
        <f t="shared" si="3"/>
        <v/>
      </c>
      <c r="O15" s="393"/>
      <c r="P15" s="281" t="str">
        <f>IF(O15="","",IF(VLOOKUP(O15,'G-3 Multipliers'!$S$3:$T$10,2,FALSE)=0,"Spatial Data Missing ⚠",VLOOKUP(O15,'G-3 Multipliers'!$S$3:$T$10,2,FALSE)))</f>
        <v/>
      </c>
      <c r="Q15" s="289" t="str">
        <f t="shared" si="4"/>
        <v/>
      </c>
      <c r="R15" s="32"/>
      <c r="S15" s="105"/>
      <c r="T15" s="108"/>
      <c r="U15" s="283" t="str">
        <f t="shared" si="5"/>
        <v/>
      </c>
      <c r="V15" s="283" t="str">
        <f t="shared" si="6"/>
        <v/>
      </c>
      <c r="W15" s="287" t="str">
        <f t="shared" si="7"/>
        <v/>
      </c>
      <c r="X15" s="291" t="str">
        <f t="shared" si="8"/>
        <v/>
      </c>
      <c r="Y15" s="105"/>
      <c r="Z15" s="104"/>
      <c r="AA15" s="104"/>
      <c r="AB15" s="104"/>
      <c r="AE15" s="30" t="str">
        <f>IFERROR(INDEX('G-6 Hedgerow Data'!$BJ$3:$BJ$15,MATCH(D15,'G-6 Hedgerow Data'!$B$3:$B$15,0)),"")</f>
        <v/>
      </c>
      <c r="AH15" s="107" t="str">
        <f t="shared" si="0"/>
        <v/>
      </c>
      <c r="AI15" s="107" t="str">
        <f t="shared" si="1"/>
        <v/>
      </c>
      <c r="AK15" s="107">
        <v>6</v>
      </c>
      <c r="AM15" s="107" t="str">
        <f t="array" ref="AM15">IFERROR(INDEX($AK$10:$AK$258,MATCH(0,IF(TRUE=$AH$10:$AH$258,COUNTIF($AM$9:$AM14,$AK$10:$AK$258),""),0)),"")</f>
        <v/>
      </c>
      <c r="AN15" s="107" t="str">
        <f t="array" ref="AN15">IFERROR(INDEX($AK$10:$AK$258,MATCH(0,IF(TRUE=$AI$10:$AI$258,COUNTIF($AN$9:$AN14,$AK$10:$AK$258),""),0)),"")</f>
        <v/>
      </c>
      <c r="AY15" s="283" t="str">
        <f t="shared" si="2"/>
        <v/>
      </c>
    </row>
    <row r="16" spans="2:51" ht="14">
      <c r="B16" s="97">
        <v>7</v>
      </c>
      <c r="C16" s="138"/>
      <c r="D16" s="133"/>
      <c r="E16" s="51"/>
      <c r="F16" s="275" t="str">
        <f>IF(D16="","",VLOOKUP(D16,'G-6 Hedgerow Data'!$B$2:$AG$15,2,FALSE))</f>
        <v/>
      </c>
      <c r="G16" s="276" t="str">
        <f>IF(D16="","",VLOOKUP(D16,'G-6 Hedgerow Data'!$B$2:$AG$15,3,FALSE))</f>
        <v/>
      </c>
      <c r="H16" s="101"/>
      <c r="I16" s="276" t="str">
        <f>IFERROR(IF(AND(D16&lt;&gt;"",H16=""),"Check data ⚠",(IF(H16="","",IF(AND(D16="Non-native and ornamental hedgerow",H16&lt;&gt;"Poor"),"Not possible ▲",(IF(AND(F16="V.Low",OR(H16="Good",H16="Moderate")),"Error ▲",VLOOKUP(H16,'G-1 All Habitats'!$Z$2:$AA$9,2,FALSE))))))),"")</f>
        <v/>
      </c>
      <c r="J16" s="101"/>
      <c r="K16" s="295" t="str">
        <f>IF(AND(J16="",D16&lt;&gt;""),"Check data ⚠",IF(J16="","",IF(VLOOKUP(J16,'G-3 Multipliers'!$L$3:$N$6,2,FALSE)=0,"Spatial Data Missing ⚠",VLOOKUP(J16,'G-3 Multipliers'!$L$3:$N$6,2,FALSE))))</f>
        <v/>
      </c>
      <c r="L16" s="299" t="str">
        <f>IF(J16="","",IF(VLOOKUP(J16,'G-3 Multipliers'!$L$3:$N$6,3,FALSE)=0,"Spatial Data Missing ⚠",VLOOKUP(J16,'G-3 Multipliers'!$L$3:$N$6,3,FALSE)))</f>
        <v/>
      </c>
      <c r="M16" s="336" t="str">
        <f>IF(D16="","",VLOOKUP(D16,'G-6 Hedgerow Data'!$B$1:$AH$15,33,FALSE))</f>
        <v/>
      </c>
      <c r="N16" s="289" t="str">
        <f t="shared" si="3"/>
        <v/>
      </c>
      <c r="O16" s="393"/>
      <c r="P16" s="281" t="str">
        <f>IF(O16="","",IF(VLOOKUP(O16,'G-3 Multipliers'!$S$3:$T$10,2,FALSE)=0,"Spatial Data Missing ⚠",VLOOKUP(O16,'G-3 Multipliers'!$S$3:$T$10,2,FALSE)))</f>
        <v/>
      </c>
      <c r="Q16" s="289" t="str">
        <f t="shared" si="4"/>
        <v/>
      </c>
      <c r="R16" s="32"/>
      <c r="S16" s="105"/>
      <c r="T16" s="108"/>
      <c r="U16" s="283" t="str">
        <f t="shared" si="5"/>
        <v/>
      </c>
      <c r="V16" s="283" t="str">
        <f t="shared" si="6"/>
        <v/>
      </c>
      <c r="W16" s="287" t="str">
        <f t="shared" si="7"/>
        <v/>
      </c>
      <c r="X16" s="291" t="str">
        <f t="shared" si="8"/>
        <v/>
      </c>
      <c r="Y16" s="105"/>
      <c r="Z16" s="104"/>
      <c r="AA16" s="104"/>
      <c r="AB16" s="104"/>
      <c r="AE16" s="30" t="str">
        <f>IFERROR(INDEX('G-6 Hedgerow Data'!$BJ$3:$BJ$15,MATCH(D16,'G-6 Hedgerow Data'!$B$3:$B$15,0)),"")</f>
        <v/>
      </c>
      <c r="AH16" s="107" t="str">
        <f t="shared" si="0"/>
        <v/>
      </c>
      <c r="AI16" s="107" t="str">
        <f t="shared" si="1"/>
        <v/>
      </c>
      <c r="AK16" s="107">
        <v>7</v>
      </c>
      <c r="AM16" s="107" t="str">
        <f t="array" ref="AM16">IFERROR(INDEX($AK$10:$AK$258,MATCH(0,IF(TRUE=$AH$10:$AH$258,COUNTIF($AM$9:$AM15,$AK$10:$AK$258),""),0)),"")</f>
        <v/>
      </c>
      <c r="AN16" s="107" t="str">
        <f t="array" ref="AN16">IFERROR(INDEX($AK$10:$AK$258,MATCH(0,IF(TRUE=$AI$10:$AI$258,COUNTIF($AN$9:$AN15,$AK$10:$AK$258),""),0)),"")</f>
        <v/>
      </c>
      <c r="AY16" s="283" t="str">
        <f t="shared" si="2"/>
        <v/>
      </c>
    </row>
    <row r="17" spans="2:51" ht="14">
      <c r="B17" s="97">
        <v>8</v>
      </c>
      <c r="C17" s="138"/>
      <c r="D17" s="133"/>
      <c r="E17" s="51"/>
      <c r="F17" s="275" t="str">
        <f>IF(D17="","",VLOOKUP(D17,'G-6 Hedgerow Data'!$B$2:$AG$15,2,FALSE))</f>
        <v/>
      </c>
      <c r="G17" s="276" t="str">
        <f>IF(D17="","",VLOOKUP(D17,'G-6 Hedgerow Data'!$B$2:$AG$15,3,FALSE))</f>
        <v/>
      </c>
      <c r="H17" s="101"/>
      <c r="I17" s="276" t="str">
        <f>IFERROR(IF(AND(D17&lt;&gt;"",H17=""),"Check data ⚠",(IF(H17="","",IF(AND(D17="Non-native and ornamental hedgerow",H17&lt;&gt;"Poor"),"Not possible ▲",(IF(AND(F17="V.Low",OR(H17="Good",H17="Moderate")),"Error ▲",VLOOKUP(H17,'G-1 All Habitats'!$Z$2:$AA$9,2,FALSE))))))),"")</f>
        <v/>
      </c>
      <c r="J17" s="101"/>
      <c r="K17" s="295" t="str">
        <f>IF(AND(J17="",D17&lt;&gt;""),"Check data ⚠",IF(J17="","",IF(VLOOKUP(J17,'G-3 Multipliers'!$L$3:$N$6,2,FALSE)=0,"Spatial Data Missing ⚠",VLOOKUP(J17,'G-3 Multipliers'!$L$3:$N$6,2,FALSE))))</f>
        <v/>
      </c>
      <c r="L17" s="299" t="str">
        <f>IF(J17="","",IF(VLOOKUP(J17,'G-3 Multipliers'!$L$3:$N$6,3,FALSE)=0,"Spatial Data Missing ⚠",VLOOKUP(J17,'G-3 Multipliers'!$L$3:$N$6,3,FALSE)))</f>
        <v/>
      </c>
      <c r="M17" s="336" t="str">
        <f>IF(D17="","",VLOOKUP(D17,'G-6 Hedgerow Data'!$B$1:$AH$15,33,FALSE))</f>
        <v/>
      </c>
      <c r="N17" s="289" t="str">
        <f t="shared" si="3"/>
        <v/>
      </c>
      <c r="O17" s="393"/>
      <c r="P17" s="281" t="str">
        <f>IF(O17="","",IF(VLOOKUP(O17,'G-3 Multipliers'!$S$3:$T$10,2,FALSE)=0,"Spatial Data Missing ⚠",VLOOKUP(O17,'G-3 Multipliers'!$S$3:$T$10,2,FALSE)))</f>
        <v/>
      </c>
      <c r="Q17" s="289" t="str">
        <f t="shared" si="4"/>
        <v/>
      </c>
      <c r="R17" s="32"/>
      <c r="S17" s="105"/>
      <c r="T17" s="108"/>
      <c r="U17" s="283" t="str">
        <f t="shared" si="5"/>
        <v/>
      </c>
      <c r="V17" s="283" t="str">
        <f t="shared" si="6"/>
        <v/>
      </c>
      <c r="W17" s="287" t="str">
        <f t="shared" si="7"/>
        <v/>
      </c>
      <c r="X17" s="291" t="str">
        <f t="shared" si="8"/>
        <v/>
      </c>
      <c r="Y17" s="105"/>
      <c r="Z17" s="104"/>
      <c r="AA17" s="104"/>
      <c r="AB17" s="104"/>
      <c r="AE17" s="30" t="str">
        <f>IFERROR(INDEX('G-6 Hedgerow Data'!$BJ$3:$BJ$15,MATCH(D17,'G-6 Hedgerow Data'!$B$3:$B$15,0)),"")</f>
        <v/>
      </c>
      <c r="AH17" s="107" t="str">
        <f t="shared" si="0"/>
        <v/>
      </c>
      <c r="AI17" s="107" t="str">
        <f t="shared" si="1"/>
        <v/>
      </c>
      <c r="AK17" s="107">
        <v>8</v>
      </c>
      <c r="AM17" s="107" t="str">
        <f t="array" ref="AM17">IFERROR(INDEX($AK$10:$AK$258,MATCH(0,IF(TRUE=$AH$10:$AH$258,COUNTIF($AM$9:$AM16,$AK$10:$AK$258),""),0)),"")</f>
        <v/>
      </c>
      <c r="AN17" s="107" t="str">
        <f t="array" ref="AN17">IFERROR(INDEX($AK$10:$AK$258,MATCH(0,IF(TRUE=$AI$10:$AI$258,COUNTIF($AN$9:$AN16,$AK$10:$AK$258),""),0)),"")</f>
        <v/>
      </c>
      <c r="AY17" s="283" t="str">
        <f t="shared" si="2"/>
        <v/>
      </c>
    </row>
    <row r="18" spans="2:51" ht="14">
      <c r="B18" s="97">
        <v>9</v>
      </c>
      <c r="C18" s="138"/>
      <c r="D18" s="133"/>
      <c r="E18" s="115"/>
      <c r="F18" s="275" t="str">
        <f>IF(D18="","",VLOOKUP(D18,'G-6 Hedgerow Data'!$B$2:$AG$15,2,FALSE))</f>
        <v/>
      </c>
      <c r="G18" s="276" t="str">
        <f>IF(D18="","",VLOOKUP(D18,'G-6 Hedgerow Data'!$B$2:$AG$15,3,FALSE))</f>
        <v/>
      </c>
      <c r="H18" s="101"/>
      <c r="I18" s="276" t="str">
        <f>IFERROR(IF(AND(D18&lt;&gt;"",H18=""),"Check data ⚠",(IF(H18="","",IF(AND(D18="Non-native and ornamental hedgerow",H18&lt;&gt;"Poor"),"Not possible ▲",(IF(AND(F18="V.Low",OR(H18="Good",H18="Moderate")),"Error ▲",VLOOKUP(H18,'G-1 All Habitats'!$Z$2:$AA$9,2,FALSE))))))),"")</f>
        <v/>
      </c>
      <c r="J18" s="101"/>
      <c r="K18" s="295" t="str">
        <f>IF(AND(J18="",D18&lt;&gt;""),"Check data ⚠",IF(J18="","",IF(VLOOKUP(J18,'G-3 Multipliers'!$L$3:$N$6,2,FALSE)=0,"Spatial Data Missing ⚠",VLOOKUP(J18,'G-3 Multipliers'!$L$3:$N$6,2,FALSE))))</f>
        <v/>
      </c>
      <c r="L18" s="299" t="str">
        <f>IF(J18="","",IF(VLOOKUP(J18,'G-3 Multipliers'!$L$3:$N$6,3,FALSE)=0,"Spatial Data Missing ⚠",VLOOKUP(J18,'G-3 Multipliers'!$L$3:$N$6,3,FALSE)))</f>
        <v/>
      </c>
      <c r="M18" s="336" t="str">
        <f>IF(D18="","",VLOOKUP(D18,'G-6 Hedgerow Data'!$B$1:$AH$15,33,FALSE))</f>
        <v/>
      </c>
      <c r="N18" s="289" t="str">
        <f t="shared" si="3"/>
        <v/>
      </c>
      <c r="O18" s="393"/>
      <c r="P18" s="281" t="str">
        <f>IF(O18="","",IF(VLOOKUP(O18,'G-3 Multipliers'!$S$3:$T$10,2,FALSE)=0,"Spatial Data Missing ⚠",VLOOKUP(O18,'G-3 Multipliers'!$S$3:$T$10,2,FALSE)))</f>
        <v/>
      </c>
      <c r="Q18" s="289" t="str">
        <f t="shared" si="4"/>
        <v/>
      </c>
      <c r="R18" s="32"/>
      <c r="S18" s="105"/>
      <c r="T18" s="108"/>
      <c r="U18" s="283" t="str">
        <f t="shared" si="5"/>
        <v/>
      </c>
      <c r="V18" s="283" t="str">
        <f t="shared" si="6"/>
        <v/>
      </c>
      <c r="W18" s="287" t="str">
        <f t="shared" si="7"/>
        <v/>
      </c>
      <c r="X18" s="291" t="str">
        <f t="shared" si="8"/>
        <v/>
      </c>
      <c r="Y18" s="105"/>
      <c r="Z18" s="104"/>
      <c r="AA18" s="104"/>
      <c r="AB18" s="104"/>
      <c r="AE18" s="30" t="str">
        <f>IFERROR(INDEX('G-6 Hedgerow Data'!$BJ$3:$BJ$15,MATCH(D18,'G-6 Hedgerow Data'!$B$3:$B$15,0)),"")</f>
        <v/>
      </c>
      <c r="AH18" s="107" t="str">
        <f t="shared" si="0"/>
        <v/>
      </c>
      <c r="AI18" s="107" t="str">
        <f t="shared" si="1"/>
        <v/>
      </c>
      <c r="AK18" s="107">
        <v>9</v>
      </c>
      <c r="AM18" s="107" t="str">
        <f t="array" ref="AM18">IFERROR(INDEX($AK$10:$AK$258,MATCH(0,IF(TRUE=$AH$10:$AH$258,COUNTIF($AM$9:$AM17,$AK$10:$AK$258),""),0)),"")</f>
        <v/>
      </c>
      <c r="AN18" s="107" t="str">
        <f t="array" ref="AN18">IFERROR(INDEX($AK$10:$AK$258,MATCH(0,IF(TRUE=$AI$10:$AI$258,COUNTIF($AN$9:$AN17,$AK$10:$AK$258),""),0)),"")</f>
        <v/>
      </c>
      <c r="AY18" s="283" t="str">
        <f t="shared" si="2"/>
        <v/>
      </c>
    </row>
    <row r="19" spans="2:51" ht="14">
      <c r="B19" s="97">
        <v>10</v>
      </c>
      <c r="C19" s="138"/>
      <c r="D19" s="133"/>
      <c r="E19" s="115"/>
      <c r="F19" s="275" t="str">
        <f>IF(D19="","",VLOOKUP(D19,'G-6 Hedgerow Data'!$B$2:$AG$15,2,FALSE))</f>
        <v/>
      </c>
      <c r="G19" s="276" t="str">
        <f>IF(D19="","",VLOOKUP(D19,'G-6 Hedgerow Data'!$B$2:$AG$15,3,FALSE))</f>
        <v/>
      </c>
      <c r="H19" s="101"/>
      <c r="I19" s="276" t="str">
        <f>IFERROR(IF(AND(D19&lt;&gt;"",H19=""),"Check data ⚠",(IF(H19="","",IF(AND(D19="Non-native and ornamental hedgerow",H19&lt;&gt;"Poor"),"Not possible ▲",(IF(AND(F19="V.Low",OR(H19="Good",H19="Moderate")),"Error ▲",VLOOKUP(H19,'G-1 All Habitats'!$Z$2:$AA$9,2,FALSE))))))),"")</f>
        <v/>
      </c>
      <c r="J19" s="101"/>
      <c r="K19" s="295" t="str">
        <f>IF(AND(J19="",D19&lt;&gt;""),"Check data ⚠",IF(J19="","",IF(VLOOKUP(J19,'G-3 Multipliers'!$L$3:$N$6,2,FALSE)=0,"Spatial Data Missing ⚠",VLOOKUP(J19,'G-3 Multipliers'!$L$3:$N$6,2,FALSE))))</f>
        <v/>
      </c>
      <c r="L19" s="299" t="str">
        <f>IF(J19="","",IF(VLOOKUP(J19,'G-3 Multipliers'!$L$3:$N$6,3,FALSE)=0,"Spatial Data Missing ⚠",VLOOKUP(J19,'G-3 Multipliers'!$L$3:$N$6,3,FALSE)))</f>
        <v/>
      </c>
      <c r="M19" s="336" t="str">
        <f>IF(D19="","",VLOOKUP(D19,'G-6 Hedgerow Data'!$B$1:$AH$15,33,FALSE))</f>
        <v/>
      </c>
      <c r="N19" s="289" t="str">
        <f t="shared" si="3"/>
        <v/>
      </c>
      <c r="O19" s="393"/>
      <c r="P19" s="281" t="str">
        <f>IF(O19="","",IF(VLOOKUP(O19,'G-3 Multipliers'!$S$3:$T$10,2,FALSE)=0,"Spatial Data Missing ⚠",VLOOKUP(O19,'G-3 Multipliers'!$S$3:$T$10,2,FALSE)))</f>
        <v/>
      </c>
      <c r="Q19" s="289" t="str">
        <f t="shared" si="4"/>
        <v/>
      </c>
      <c r="R19" s="32"/>
      <c r="S19" s="105"/>
      <c r="T19" s="108"/>
      <c r="U19" s="283" t="str">
        <f t="shared" si="5"/>
        <v/>
      </c>
      <c r="V19" s="283" t="str">
        <f t="shared" si="6"/>
        <v/>
      </c>
      <c r="W19" s="287" t="str">
        <f t="shared" si="7"/>
        <v/>
      </c>
      <c r="X19" s="291" t="str">
        <f t="shared" si="8"/>
        <v/>
      </c>
      <c r="Y19" s="105"/>
      <c r="Z19" s="104"/>
      <c r="AA19" s="104"/>
      <c r="AB19" s="104"/>
      <c r="AE19" s="30" t="str">
        <f>IFERROR(INDEX('G-6 Hedgerow Data'!$BJ$3:$BJ$15,MATCH(D19,'G-6 Hedgerow Data'!$B$3:$B$15,0)),"")</f>
        <v/>
      </c>
      <c r="AH19" s="107" t="str">
        <f t="shared" si="0"/>
        <v/>
      </c>
      <c r="AI19" s="107" t="str">
        <f t="shared" si="1"/>
        <v/>
      </c>
      <c r="AK19" s="107">
        <v>10</v>
      </c>
      <c r="AM19" s="107" t="str">
        <f t="array" ref="AM19">IFERROR(INDEX($AK$10:$AK$258,MATCH(0,IF(TRUE=$AH$10:$AH$258,COUNTIF($AM$9:$AM18,$AK$10:$AK$258),""),0)),"")</f>
        <v/>
      </c>
      <c r="AN19" s="107" t="str">
        <f t="array" ref="AN19">IFERROR(INDEX($AK$10:$AK$258,MATCH(0,IF(TRUE=$AI$10:$AI$258,COUNTIF($AN$9:$AN18,$AK$10:$AK$258),""),0)),"")</f>
        <v/>
      </c>
      <c r="AY19" s="283" t="str">
        <f t="shared" si="2"/>
        <v/>
      </c>
    </row>
    <row r="20" spans="2:51" ht="14">
      <c r="B20" s="97">
        <v>11</v>
      </c>
      <c r="C20" s="138"/>
      <c r="D20" s="133"/>
      <c r="E20" s="115"/>
      <c r="F20" s="275" t="str">
        <f>IF(D20="","",VLOOKUP(D20,'G-6 Hedgerow Data'!$B$2:$AG$15,2,FALSE))</f>
        <v/>
      </c>
      <c r="G20" s="276" t="str">
        <f>IF(D20="","",VLOOKUP(D20,'G-6 Hedgerow Data'!$B$2:$AG$15,3,FALSE))</f>
        <v/>
      </c>
      <c r="H20" s="101"/>
      <c r="I20" s="276" t="str">
        <f>IFERROR(IF(AND(D20&lt;&gt;"",H20=""),"Check data ⚠",(IF(H20="","",IF(AND(D20="Non-native and ornamental hedgerow",H20&lt;&gt;"Poor"),"Not possible ▲",(IF(AND(F20="V.Low",OR(H20="Good",H20="Moderate")),"Error ▲",VLOOKUP(H20,'G-1 All Habitats'!$Z$2:$AA$9,2,FALSE))))))),"")</f>
        <v/>
      </c>
      <c r="J20" s="101"/>
      <c r="K20" s="295" t="str">
        <f>IF(AND(J20="",D20&lt;&gt;""),"Check data ⚠",IF(J20="","",IF(VLOOKUP(J20,'G-3 Multipliers'!$L$3:$N$6,2,FALSE)=0,"Spatial Data Missing ⚠",VLOOKUP(J20,'G-3 Multipliers'!$L$3:$N$6,2,FALSE))))</f>
        <v/>
      </c>
      <c r="L20" s="299" t="str">
        <f>IF(J20="","",IF(VLOOKUP(J20,'G-3 Multipliers'!$L$3:$N$6,3,FALSE)=0,"Spatial Data Missing ⚠",VLOOKUP(J20,'G-3 Multipliers'!$L$3:$N$6,3,FALSE)))</f>
        <v/>
      </c>
      <c r="M20" s="336" t="str">
        <f>IF(D20="","",VLOOKUP(D20,'G-6 Hedgerow Data'!$B$1:$AH$15,33,FALSE))</f>
        <v/>
      </c>
      <c r="N20" s="289" t="str">
        <f t="shared" si="3"/>
        <v/>
      </c>
      <c r="O20" s="393"/>
      <c r="P20" s="281" t="str">
        <f>IF(O20="","",IF(VLOOKUP(O20,'G-3 Multipliers'!$S$3:$T$10,2,FALSE)=0,"Spatial Data Missing ⚠",VLOOKUP(O20,'G-3 Multipliers'!$S$3:$T$10,2,FALSE)))</f>
        <v/>
      </c>
      <c r="Q20" s="289" t="str">
        <f t="shared" si="4"/>
        <v/>
      </c>
      <c r="R20" s="32"/>
      <c r="S20" s="105"/>
      <c r="T20" s="108"/>
      <c r="U20" s="283" t="str">
        <f t="shared" si="5"/>
        <v/>
      </c>
      <c r="V20" s="283" t="str">
        <f t="shared" si="6"/>
        <v/>
      </c>
      <c r="W20" s="287" t="str">
        <f t="shared" si="7"/>
        <v/>
      </c>
      <c r="X20" s="291" t="str">
        <f t="shared" si="8"/>
        <v/>
      </c>
      <c r="Y20" s="105"/>
      <c r="Z20" s="104"/>
      <c r="AA20" s="104"/>
      <c r="AB20" s="104"/>
      <c r="AE20" s="30" t="str">
        <f>IFERROR(INDEX('G-6 Hedgerow Data'!$BJ$3:$BJ$15,MATCH(D20,'G-6 Hedgerow Data'!$B$3:$B$15,0)),"")</f>
        <v/>
      </c>
      <c r="AH20" s="107" t="str">
        <f t="shared" si="0"/>
        <v/>
      </c>
      <c r="AI20" s="107" t="str">
        <f t="shared" si="1"/>
        <v/>
      </c>
      <c r="AK20" s="107">
        <v>11</v>
      </c>
      <c r="AM20" s="107" t="str">
        <f t="array" ref="AM20">IFERROR(INDEX($AK$10:$AK$258,MATCH(0,IF(TRUE=$AH$10:$AH$258,COUNTIF($AM$9:$AM19,$AK$10:$AK$258),""),0)),"")</f>
        <v/>
      </c>
      <c r="AN20" s="107" t="str">
        <f t="array" ref="AN20">IFERROR(INDEX($AK$10:$AK$258,MATCH(0,IF(TRUE=$AI$10:$AI$258,COUNTIF($AN$9:$AN19,$AK$10:$AK$258),""),0)),"")</f>
        <v/>
      </c>
      <c r="AY20" s="283" t="str">
        <f t="shared" si="2"/>
        <v/>
      </c>
    </row>
    <row r="21" spans="2:51" ht="14">
      <c r="B21" s="97">
        <v>12</v>
      </c>
      <c r="C21" s="138"/>
      <c r="D21" s="133"/>
      <c r="E21" s="115"/>
      <c r="F21" s="275" t="str">
        <f>IF(D21="","",VLOOKUP(D21,'G-6 Hedgerow Data'!$B$2:$AG$15,2,FALSE))</f>
        <v/>
      </c>
      <c r="G21" s="276" t="str">
        <f>IF(D21="","",VLOOKUP(D21,'G-6 Hedgerow Data'!$B$2:$AG$15,3,FALSE))</f>
        <v/>
      </c>
      <c r="H21" s="101"/>
      <c r="I21" s="276" t="str">
        <f>IFERROR(IF(AND(D21&lt;&gt;"",H21=""),"Check data ⚠",(IF(H21="","",IF(AND(D21="Non-native and ornamental hedgerow",H21&lt;&gt;"Poor"),"Not possible ▲",(IF(AND(F21="V.Low",OR(H21="Good",H21="Moderate")),"Error ▲",VLOOKUP(H21,'G-1 All Habitats'!$Z$2:$AA$9,2,FALSE))))))),"")</f>
        <v/>
      </c>
      <c r="J21" s="101"/>
      <c r="K21" s="295" t="str">
        <f>IF(AND(J21="",D21&lt;&gt;""),"Check data ⚠",IF(J21="","",IF(VLOOKUP(J21,'G-3 Multipliers'!$L$3:$N$6,2,FALSE)=0,"Spatial Data Missing ⚠",VLOOKUP(J21,'G-3 Multipliers'!$L$3:$N$6,2,FALSE))))</f>
        <v/>
      </c>
      <c r="L21" s="299" t="str">
        <f>IF(J21="","",IF(VLOOKUP(J21,'G-3 Multipliers'!$L$3:$N$6,3,FALSE)=0,"Spatial Data Missing ⚠",VLOOKUP(J21,'G-3 Multipliers'!$L$3:$N$6,3,FALSE)))</f>
        <v/>
      </c>
      <c r="M21" s="336" t="str">
        <f>IF(D21="","",VLOOKUP(D21,'G-6 Hedgerow Data'!$B$1:$AH$15,33,FALSE))</f>
        <v/>
      </c>
      <c r="N21" s="289" t="str">
        <f t="shared" si="3"/>
        <v/>
      </c>
      <c r="O21" s="393"/>
      <c r="P21" s="281" t="str">
        <f>IF(O21="","",IF(VLOOKUP(O21,'G-3 Multipliers'!$S$3:$T$10,2,FALSE)=0,"Spatial Data Missing ⚠",VLOOKUP(O21,'G-3 Multipliers'!$S$3:$T$10,2,FALSE)))</f>
        <v/>
      </c>
      <c r="Q21" s="289" t="str">
        <f t="shared" si="4"/>
        <v/>
      </c>
      <c r="R21" s="32"/>
      <c r="S21" s="105"/>
      <c r="T21" s="108"/>
      <c r="U21" s="283" t="str">
        <f t="shared" si="5"/>
        <v/>
      </c>
      <c r="V21" s="283" t="str">
        <f t="shared" si="6"/>
        <v/>
      </c>
      <c r="W21" s="287" t="str">
        <f t="shared" si="7"/>
        <v/>
      </c>
      <c r="X21" s="291" t="str">
        <f t="shared" si="8"/>
        <v/>
      </c>
      <c r="Y21" s="105"/>
      <c r="Z21" s="104"/>
      <c r="AA21" s="104"/>
      <c r="AB21" s="104"/>
      <c r="AE21" s="30" t="str">
        <f>IFERROR(INDEX('G-6 Hedgerow Data'!$BJ$3:$BJ$15,MATCH(D21,'G-6 Hedgerow Data'!$B$3:$B$15,0)),"")</f>
        <v/>
      </c>
      <c r="AH21" s="107" t="str">
        <f t="shared" si="0"/>
        <v/>
      </c>
      <c r="AI21" s="107" t="str">
        <f t="shared" si="1"/>
        <v/>
      </c>
      <c r="AK21" s="107">
        <v>12</v>
      </c>
      <c r="AM21" s="107" t="str">
        <f t="array" ref="AM21">IFERROR(INDEX($AK$10:$AK$258,MATCH(0,IF(TRUE=$AH$10:$AH$258,COUNTIF($AM$9:$AM20,$AK$10:$AK$258),""),0)),"")</f>
        <v/>
      </c>
      <c r="AN21" s="107" t="str">
        <f t="array" ref="AN21">IFERROR(INDEX($AK$10:$AK$258,MATCH(0,IF(TRUE=$AI$10:$AI$258,COUNTIF($AN$9:$AN20,$AK$10:$AK$258),""),0)),"")</f>
        <v/>
      </c>
      <c r="AY21" s="283" t="str">
        <f t="shared" si="2"/>
        <v/>
      </c>
    </row>
    <row r="22" spans="2:51" ht="14">
      <c r="B22" s="97">
        <v>13</v>
      </c>
      <c r="C22" s="138"/>
      <c r="D22" s="133"/>
      <c r="E22" s="115"/>
      <c r="F22" s="275" t="str">
        <f>IF(D22="","",VLOOKUP(D22,'G-6 Hedgerow Data'!$B$2:$AG$15,2,FALSE))</f>
        <v/>
      </c>
      <c r="G22" s="276" t="str">
        <f>IF(D22="","",VLOOKUP(D22,'G-6 Hedgerow Data'!$B$2:$AG$15,3,FALSE))</f>
        <v/>
      </c>
      <c r="H22" s="101"/>
      <c r="I22" s="276" t="str">
        <f>IFERROR(IF(AND(D22&lt;&gt;"",H22=""),"Check data ⚠",(IF(H22="","",IF(AND(D22="Non-native and ornamental hedgerow",H22&lt;&gt;"Poor"),"Not possible ▲",(IF(AND(F22="V.Low",OR(H22="Good",H22="Moderate")),"Error ▲",VLOOKUP(H22,'G-1 All Habitats'!$Z$2:$AA$9,2,FALSE))))))),"")</f>
        <v/>
      </c>
      <c r="J22" s="101"/>
      <c r="K22" s="295" t="str">
        <f>IF(AND(J22="",D22&lt;&gt;""),"Check data ⚠",IF(J22="","",IF(VLOOKUP(J22,'G-3 Multipliers'!$L$3:$N$6,2,FALSE)=0,"Spatial Data Missing ⚠",VLOOKUP(J22,'G-3 Multipliers'!$L$3:$N$6,2,FALSE))))</f>
        <v/>
      </c>
      <c r="L22" s="299" t="str">
        <f>IF(J22="","",IF(VLOOKUP(J22,'G-3 Multipliers'!$L$3:$N$6,3,FALSE)=0,"Spatial Data Missing ⚠",VLOOKUP(J22,'G-3 Multipliers'!$L$3:$N$6,3,FALSE)))</f>
        <v/>
      </c>
      <c r="M22" s="336" t="str">
        <f>IF(D22="","",VLOOKUP(D22,'G-6 Hedgerow Data'!$B$1:$AH$15,33,FALSE))</f>
        <v/>
      </c>
      <c r="N22" s="289" t="str">
        <f t="shared" si="3"/>
        <v/>
      </c>
      <c r="O22" s="393"/>
      <c r="P22" s="281" t="str">
        <f>IF(O22="","",IF(VLOOKUP(O22,'G-3 Multipliers'!$S$3:$T$10,2,FALSE)=0,"Spatial Data Missing ⚠",VLOOKUP(O22,'G-3 Multipliers'!$S$3:$T$10,2,FALSE)))</f>
        <v/>
      </c>
      <c r="Q22" s="289" t="str">
        <f t="shared" si="4"/>
        <v/>
      </c>
      <c r="R22" s="32"/>
      <c r="S22" s="105"/>
      <c r="T22" s="108"/>
      <c r="U22" s="283" t="str">
        <f t="shared" si="5"/>
        <v/>
      </c>
      <c r="V22" s="283" t="str">
        <f t="shared" si="6"/>
        <v/>
      </c>
      <c r="W22" s="287" t="str">
        <f t="shared" si="7"/>
        <v/>
      </c>
      <c r="X22" s="291" t="str">
        <f t="shared" si="8"/>
        <v/>
      </c>
      <c r="Y22" s="105"/>
      <c r="Z22" s="104"/>
      <c r="AA22" s="104"/>
      <c r="AB22" s="104"/>
      <c r="AE22" s="30" t="str">
        <f>IFERROR(INDEX('G-6 Hedgerow Data'!$BJ$3:$BJ$15,MATCH(D22,'G-6 Hedgerow Data'!$B$3:$B$15,0)),"")</f>
        <v/>
      </c>
      <c r="AH22" s="107" t="str">
        <f t="shared" si="0"/>
        <v/>
      </c>
      <c r="AI22" s="107" t="str">
        <f t="shared" si="1"/>
        <v/>
      </c>
      <c r="AK22" s="107">
        <v>13</v>
      </c>
      <c r="AM22" s="107" t="str">
        <f t="array" ref="AM22">IFERROR(INDEX($AK$10:$AK$258,MATCH(0,IF(TRUE=$AH$10:$AH$258,COUNTIF($AM$9:$AM21,$AK$10:$AK$258),""),0)),"")</f>
        <v/>
      </c>
      <c r="AN22" s="107" t="str">
        <f t="array" ref="AN22">IFERROR(INDEX($AK$10:$AK$258,MATCH(0,IF(TRUE=$AI$10:$AI$258,COUNTIF($AN$9:$AN21,$AK$10:$AK$258),""),0)),"")</f>
        <v/>
      </c>
      <c r="AY22" s="283" t="str">
        <f t="shared" si="2"/>
        <v/>
      </c>
    </row>
    <row r="23" spans="2:51" ht="14">
      <c r="B23" s="97">
        <v>14</v>
      </c>
      <c r="C23" s="138"/>
      <c r="D23" s="58"/>
      <c r="E23" s="115"/>
      <c r="F23" s="275" t="str">
        <f>IF(D23="","",VLOOKUP(D23,'G-6 Hedgerow Data'!$B$2:$AG$15,2,FALSE))</f>
        <v/>
      </c>
      <c r="G23" s="276" t="str">
        <f>IF(D23="","",VLOOKUP(D23,'G-6 Hedgerow Data'!$B$2:$AG$15,3,FALSE))</f>
        <v/>
      </c>
      <c r="H23" s="101"/>
      <c r="I23" s="276" t="str">
        <f>IFERROR(IF(AND(D23&lt;&gt;"",H23=""),"Check data ⚠",(IF(H23="","",IF(AND(D23="Non-native and ornamental hedgerow",H23&lt;&gt;"Poor"),"Not possible ▲",(IF(AND(F23="V.Low",OR(H23="Good",H23="Moderate")),"Error ▲",VLOOKUP(H23,'G-1 All Habitats'!$Z$2:$AA$9,2,FALSE))))))),"")</f>
        <v/>
      </c>
      <c r="J23" s="101"/>
      <c r="K23" s="295" t="str">
        <f>IF(AND(J23="",D23&lt;&gt;""),"Check data ⚠",IF(J23="","",IF(VLOOKUP(J23,'G-3 Multipliers'!$L$3:$N$6,2,FALSE)=0,"Spatial Data Missing ⚠",VLOOKUP(J23,'G-3 Multipliers'!$L$3:$N$6,2,FALSE))))</f>
        <v/>
      </c>
      <c r="L23" s="299" t="str">
        <f>IF(J23="","",IF(VLOOKUP(J23,'G-3 Multipliers'!$L$3:$N$6,3,FALSE)=0,"Spatial Data Missing ⚠",VLOOKUP(J23,'G-3 Multipliers'!$L$3:$N$6,3,FALSE)))</f>
        <v/>
      </c>
      <c r="M23" s="336" t="str">
        <f>IF(D23="","",VLOOKUP(D23,'G-6 Hedgerow Data'!$B$1:$AH$15,33,FALSE))</f>
        <v/>
      </c>
      <c r="N23" s="289" t="str">
        <f t="shared" si="3"/>
        <v/>
      </c>
      <c r="O23" s="393"/>
      <c r="P23" s="281" t="str">
        <f>IF(O23="","",IF(VLOOKUP(O23,'G-3 Multipliers'!$S$3:$T$10,2,FALSE)=0,"Spatial Data Missing ⚠",VLOOKUP(O23,'G-3 Multipliers'!$S$3:$T$10,2,FALSE)))</f>
        <v/>
      </c>
      <c r="Q23" s="289" t="str">
        <f t="shared" si="4"/>
        <v/>
      </c>
      <c r="R23" s="32"/>
      <c r="S23" s="105"/>
      <c r="T23" s="108"/>
      <c r="U23" s="283" t="str">
        <f t="shared" si="5"/>
        <v/>
      </c>
      <c r="V23" s="283" t="str">
        <f t="shared" si="6"/>
        <v/>
      </c>
      <c r="W23" s="287" t="str">
        <f t="shared" si="7"/>
        <v/>
      </c>
      <c r="X23" s="291" t="str">
        <f t="shared" si="8"/>
        <v/>
      </c>
      <c r="Y23" s="105"/>
      <c r="Z23" s="104"/>
      <c r="AA23" s="104"/>
      <c r="AB23" s="104"/>
      <c r="AE23" s="30" t="str">
        <f>IFERROR(INDEX('G-6 Hedgerow Data'!$BJ$3:$BJ$15,MATCH(D23,'G-6 Hedgerow Data'!$B$3:$B$15,0)),"")</f>
        <v/>
      </c>
      <c r="AH23" s="107" t="str">
        <f t="shared" si="0"/>
        <v/>
      </c>
      <c r="AI23" s="107" t="str">
        <f t="shared" si="1"/>
        <v/>
      </c>
      <c r="AK23" s="107">
        <v>14</v>
      </c>
      <c r="AM23" s="107" t="str">
        <f t="array" ref="AM23">IFERROR(INDEX($AK$10:$AK$258,MATCH(0,IF(TRUE=$AH$10:$AH$258,COUNTIF($AM$9:$AM22,$AK$10:$AK$258),""),0)),"")</f>
        <v/>
      </c>
      <c r="AN23" s="107" t="str">
        <f t="array" ref="AN23">IFERROR(INDEX($AK$10:$AK$258,MATCH(0,IF(TRUE=$AI$10:$AI$258,COUNTIF($AN$9:$AN22,$AK$10:$AK$258),""),0)),"")</f>
        <v/>
      </c>
      <c r="AY23" s="283" t="str">
        <f t="shared" si="2"/>
        <v/>
      </c>
    </row>
    <row r="24" spans="2:51" ht="14">
      <c r="B24" s="97">
        <v>15</v>
      </c>
      <c r="C24" s="138"/>
      <c r="D24" s="58"/>
      <c r="E24" s="115"/>
      <c r="F24" s="275" t="str">
        <f>IF(D24="","",VLOOKUP(D24,'G-6 Hedgerow Data'!$B$2:$AG$15,2,FALSE))</f>
        <v/>
      </c>
      <c r="G24" s="276" t="str">
        <f>IF(D24="","",VLOOKUP(D24,'G-6 Hedgerow Data'!$B$2:$AG$15,3,FALSE))</f>
        <v/>
      </c>
      <c r="H24" s="101"/>
      <c r="I24" s="276" t="str">
        <f>IFERROR(IF(AND(D24&lt;&gt;"",H24=""),"Check data ⚠",(IF(H24="","",IF(AND(D24="Non-native and ornamental hedgerow",H24&lt;&gt;"Poor"),"Not possible ▲",(IF(AND(F24="V.Low",OR(H24="Good",H24="Moderate")),"Error ▲",VLOOKUP(H24,'G-1 All Habitats'!$Z$2:$AA$9,2,FALSE))))))),"")</f>
        <v/>
      </c>
      <c r="J24" s="101"/>
      <c r="K24" s="295" t="str">
        <f>IF(AND(J24="",D24&lt;&gt;""),"Check data ⚠",IF(J24="","",IF(VLOOKUP(J24,'G-3 Multipliers'!$L$3:$N$6,2,FALSE)=0,"Spatial Data Missing ⚠",VLOOKUP(J24,'G-3 Multipliers'!$L$3:$N$6,2,FALSE))))</f>
        <v/>
      </c>
      <c r="L24" s="299" t="str">
        <f>IF(J24="","",IF(VLOOKUP(J24,'G-3 Multipliers'!$L$3:$N$6,3,FALSE)=0,"Spatial Data Missing ⚠",VLOOKUP(J24,'G-3 Multipliers'!$L$3:$N$6,3,FALSE)))</f>
        <v/>
      </c>
      <c r="M24" s="336" t="str">
        <f>IF(D24="","",VLOOKUP(D24,'G-6 Hedgerow Data'!$B$1:$AH$15,33,FALSE))</f>
        <v/>
      </c>
      <c r="N24" s="289" t="str">
        <f t="shared" si="3"/>
        <v/>
      </c>
      <c r="O24" s="393"/>
      <c r="P24" s="281" t="str">
        <f>IF(O24="","",IF(VLOOKUP(O24,'G-3 Multipliers'!$S$3:$T$10,2,FALSE)=0,"Spatial Data Missing ⚠",VLOOKUP(O24,'G-3 Multipliers'!$S$3:$T$10,2,FALSE)))</f>
        <v/>
      </c>
      <c r="Q24" s="289" t="str">
        <f t="shared" si="4"/>
        <v/>
      </c>
      <c r="R24" s="32"/>
      <c r="S24" s="105"/>
      <c r="T24" s="108"/>
      <c r="U24" s="283" t="str">
        <f t="shared" si="5"/>
        <v/>
      </c>
      <c r="V24" s="283" t="str">
        <f t="shared" si="6"/>
        <v/>
      </c>
      <c r="W24" s="287" t="str">
        <f t="shared" si="7"/>
        <v/>
      </c>
      <c r="X24" s="291" t="str">
        <f t="shared" si="8"/>
        <v/>
      </c>
      <c r="Y24" s="105"/>
      <c r="Z24" s="104"/>
      <c r="AA24" s="104"/>
      <c r="AB24" s="104"/>
      <c r="AE24" s="30" t="str">
        <f>IFERROR(INDEX('G-6 Hedgerow Data'!$BJ$3:$BJ$15,MATCH(D24,'G-6 Hedgerow Data'!$B$3:$B$15,0)),"")</f>
        <v/>
      </c>
      <c r="AH24" s="107" t="str">
        <f t="shared" si="0"/>
        <v/>
      </c>
      <c r="AI24" s="107" t="str">
        <f t="shared" si="1"/>
        <v/>
      </c>
      <c r="AK24" s="107">
        <v>15</v>
      </c>
      <c r="AM24" s="107" t="str">
        <f t="array" ref="AM24">IFERROR(INDEX($AK$10:$AK$258,MATCH(0,IF(TRUE=$AH$10:$AH$258,COUNTIF($AM$9:$AM23,$AK$10:$AK$258),""),0)),"")</f>
        <v/>
      </c>
      <c r="AN24" s="107" t="str">
        <f t="array" ref="AN24">IFERROR(INDEX($AK$10:$AK$258,MATCH(0,IF(TRUE=$AI$10:$AI$258,COUNTIF($AN$9:$AN23,$AK$10:$AK$258),""),0)),"")</f>
        <v/>
      </c>
      <c r="AY24" s="283" t="str">
        <f t="shared" si="2"/>
        <v/>
      </c>
    </row>
    <row r="25" spans="2:51" ht="14">
      <c r="B25" s="97">
        <v>16</v>
      </c>
      <c r="C25" s="138"/>
      <c r="D25" s="58"/>
      <c r="E25" s="115"/>
      <c r="F25" s="275" t="str">
        <f>IF(D25="","",VLOOKUP(D25,'G-6 Hedgerow Data'!$B$2:$AG$15,2,FALSE))</f>
        <v/>
      </c>
      <c r="G25" s="276" t="str">
        <f>IF(D25="","",VLOOKUP(D25,'G-6 Hedgerow Data'!$B$2:$AG$15,3,FALSE))</f>
        <v/>
      </c>
      <c r="H25" s="101"/>
      <c r="I25" s="276" t="str">
        <f>IFERROR(IF(AND(D25&lt;&gt;"",H25=""),"Check data ⚠",(IF(H25="","",IF(AND(D25="Non-native and ornamental hedgerow",H25&lt;&gt;"Poor"),"Not possible ▲",(IF(AND(F25="V.Low",OR(H25="Good",H25="Moderate")),"Error ▲",VLOOKUP(H25,'G-1 All Habitats'!$Z$2:$AA$9,2,FALSE))))))),"")</f>
        <v/>
      </c>
      <c r="J25" s="101"/>
      <c r="K25" s="295" t="str">
        <f>IF(AND(J25="",D25&lt;&gt;""),"Check data ⚠",IF(J25="","",IF(VLOOKUP(J25,'G-3 Multipliers'!$L$3:$N$6,2,FALSE)=0,"Spatial Data Missing ⚠",VLOOKUP(J25,'G-3 Multipliers'!$L$3:$N$6,2,FALSE))))</f>
        <v/>
      </c>
      <c r="L25" s="299" t="str">
        <f>IF(J25="","",IF(VLOOKUP(J25,'G-3 Multipliers'!$L$3:$N$6,3,FALSE)=0,"Spatial Data Missing ⚠",VLOOKUP(J25,'G-3 Multipliers'!$L$3:$N$6,3,FALSE)))</f>
        <v/>
      </c>
      <c r="M25" s="336" t="str">
        <f>IF(D25="","",VLOOKUP(D25,'G-6 Hedgerow Data'!$B$1:$AH$15,33,FALSE))</f>
        <v/>
      </c>
      <c r="N25" s="289" t="str">
        <f t="shared" si="3"/>
        <v/>
      </c>
      <c r="O25" s="393"/>
      <c r="P25" s="281" t="str">
        <f>IF(O25="","",IF(VLOOKUP(O25,'G-3 Multipliers'!$S$3:$T$10,2,FALSE)=0,"Spatial Data Missing ⚠",VLOOKUP(O25,'G-3 Multipliers'!$S$3:$T$10,2,FALSE)))</f>
        <v/>
      </c>
      <c r="Q25" s="289" t="str">
        <f t="shared" si="4"/>
        <v/>
      </c>
      <c r="R25" s="32"/>
      <c r="S25" s="105"/>
      <c r="T25" s="108"/>
      <c r="U25" s="283" t="str">
        <f t="shared" si="5"/>
        <v/>
      </c>
      <c r="V25" s="283" t="str">
        <f t="shared" si="6"/>
        <v/>
      </c>
      <c r="W25" s="287" t="str">
        <f t="shared" si="7"/>
        <v/>
      </c>
      <c r="X25" s="291" t="str">
        <f t="shared" si="8"/>
        <v/>
      </c>
      <c r="Y25" s="105"/>
      <c r="Z25" s="104"/>
      <c r="AA25" s="104"/>
      <c r="AB25" s="104"/>
      <c r="AE25" s="30" t="str">
        <f>IFERROR(INDEX('G-6 Hedgerow Data'!$BJ$3:$BJ$15,MATCH(D25,'G-6 Hedgerow Data'!$B$3:$B$15,0)),"")</f>
        <v/>
      </c>
      <c r="AH25" s="107" t="str">
        <f t="shared" si="0"/>
        <v/>
      </c>
      <c r="AI25" s="107" t="str">
        <f t="shared" si="1"/>
        <v/>
      </c>
      <c r="AK25" s="107">
        <v>16</v>
      </c>
      <c r="AM25" s="107" t="str">
        <f t="array" ref="AM25">IFERROR(INDEX($AK$10:$AK$258,MATCH(0,IF(TRUE=$AH$10:$AH$258,COUNTIF($AM$9:$AM24,$AK$10:$AK$258),""),0)),"")</f>
        <v/>
      </c>
      <c r="AN25" s="107" t="str">
        <f t="array" ref="AN25">IFERROR(INDEX($AK$10:$AK$258,MATCH(0,IF(TRUE=$AI$10:$AI$258,COUNTIF($AN$9:$AN24,$AK$10:$AK$258),""),0)),"")</f>
        <v/>
      </c>
      <c r="AY25" s="283" t="str">
        <f t="shared" si="2"/>
        <v/>
      </c>
    </row>
    <row r="26" spans="2:51" ht="14">
      <c r="B26" s="97">
        <v>17</v>
      </c>
      <c r="C26" s="138"/>
      <c r="D26" s="58"/>
      <c r="E26" s="115"/>
      <c r="F26" s="275" t="str">
        <f>IF(D26="","",VLOOKUP(D26,'G-6 Hedgerow Data'!$B$2:$AG$15,2,FALSE))</f>
        <v/>
      </c>
      <c r="G26" s="276" t="str">
        <f>IF(D26="","",VLOOKUP(D26,'G-6 Hedgerow Data'!$B$2:$AG$15,3,FALSE))</f>
        <v/>
      </c>
      <c r="H26" s="101"/>
      <c r="I26" s="276" t="str">
        <f>IFERROR(IF(AND(D26&lt;&gt;"",H26=""),"Check data ⚠",(IF(H26="","",IF(AND(D26="Non-native and ornamental hedgerow",H26&lt;&gt;"Poor"),"Not possible ▲",(IF(AND(F26="V.Low",OR(H26="Good",H26="Moderate")),"Error ▲",VLOOKUP(H26,'G-1 All Habitats'!$Z$2:$AA$9,2,FALSE))))))),"")</f>
        <v/>
      </c>
      <c r="J26" s="101"/>
      <c r="K26" s="295" t="str">
        <f>IF(AND(J26="",D26&lt;&gt;""),"Check data ⚠",IF(J26="","",IF(VLOOKUP(J26,'G-3 Multipliers'!$L$3:$N$6,2,FALSE)=0,"Spatial Data Missing ⚠",VLOOKUP(J26,'G-3 Multipliers'!$L$3:$N$6,2,FALSE))))</f>
        <v/>
      </c>
      <c r="L26" s="299" t="str">
        <f>IF(J26="","",IF(VLOOKUP(J26,'G-3 Multipliers'!$L$3:$N$6,3,FALSE)=0,"Spatial Data Missing ⚠",VLOOKUP(J26,'G-3 Multipliers'!$L$3:$N$6,3,FALSE)))</f>
        <v/>
      </c>
      <c r="M26" s="336" t="str">
        <f>IF(D26="","",VLOOKUP(D26,'G-6 Hedgerow Data'!$B$1:$AH$15,33,FALSE))</f>
        <v/>
      </c>
      <c r="N26" s="289" t="str">
        <f t="shared" si="3"/>
        <v/>
      </c>
      <c r="O26" s="393"/>
      <c r="P26" s="281" t="str">
        <f>IF(O26="","",IF(VLOOKUP(O26,'G-3 Multipliers'!$S$3:$T$10,2,FALSE)=0,"Spatial Data Missing ⚠",VLOOKUP(O26,'G-3 Multipliers'!$S$3:$T$10,2,FALSE)))</f>
        <v/>
      </c>
      <c r="Q26" s="289" t="str">
        <f t="shared" si="4"/>
        <v/>
      </c>
      <c r="R26" s="32"/>
      <c r="S26" s="105"/>
      <c r="T26" s="108"/>
      <c r="U26" s="283" t="str">
        <f t="shared" si="5"/>
        <v/>
      </c>
      <c r="V26" s="283" t="str">
        <f t="shared" si="6"/>
        <v/>
      </c>
      <c r="W26" s="287" t="str">
        <f t="shared" si="7"/>
        <v/>
      </c>
      <c r="X26" s="291" t="str">
        <f t="shared" si="8"/>
        <v/>
      </c>
      <c r="Y26" s="105"/>
      <c r="Z26" s="104"/>
      <c r="AA26" s="104"/>
      <c r="AB26" s="104"/>
      <c r="AE26" s="30" t="str">
        <f>IFERROR(INDEX('G-6 Hedgerow Data'!$BJ$3:$BJ$15,MATCH(D26,'G-6 Hedgerow Data'!$B$3:$B$15,0)),"")</f>
        <v/>
      </c>
      <c r="AH26" s="107" t="str">
        <f t="shared" si="0"/>
        <v/>
      </c>
      <c r="AI26" s="107" t="str">
        <f t="shared" si="1"/>
        <v/>
      </c>
      <c r="AK26" s="107">
        <v>17</v>
      </c>
      <c r="AM26" s="107" t="str">
        <f t="array" ref="AM26">IFERROR(INDEX($AK$10:$AK$258,MATCH(0,IF(TRUE=$AH$10:$AH$258,COUNTIF($AM$9:$AM25,$AK$10:$AK$258),""),0)),"")</f>
        <v/>
      </c>
      <c r="AN26" s="107" t="str">
        <f t="array" ref="AN26">IFERROR(INDEX($AK$10:$AK$258,MATCH(0,IF(TRUE=$AI$10:$AI$258,COUNTIF($AN$9:$AN25,$AK$10:$AK$258),""),0)),"")</f>
        <v/>
      </c>
      <c r="AY26" s="283" t="str">
        <f t="shared" si="2"/>
        <v/>
      </c>
    </row>
    <row r="27" spans="2:51" ht="14">
      <c r="B27" s="97">
        <v>18</v>
      </c>
      <c r="C27" s="138"/>
      <c r="D27" s="133"/>
      <c r="E27" s="115"/>
      <c r="F27" s="275" t="str">
        <f>IF(D27="","",VLOOKUP(D27,'G-6 Hedgerow Data'!$B$2:$AG$15,2,FALSE))</f>
        <v/>
      </c>
      <c r="G27" s="276" t="str">
        <f>IF(D27="","",VLOOKUP(D27,'G-6 Hedgerow Data'!$B$2:$AG$15,3,FALSE))</f>
        <v/>
      </c>
      <c r="H27" s="101"/>
      <c r="I27" s="276" t="str">
        <f>IFERROR(IF(AND(D27&lt;&gt;"",H27=""),"Check data ⚠",(IF(H27="","",IF(AND(D27="Non-native and ornamental hedgerow",H27&lt;&gt;"Poor"),"Not possible ▲",(IF(AND(F27="V.Low",OR(H27="Good",H27="Moderate")),"Error ▲",VLOOKUP(H27,'G-1 All Habitats'!$Z$2:$AA$9,2,FALSE))))))),"")</f>
        <v/>
      </c>
      <c r="J27" s="101"/>
      <c r="K27" s="295" t="str">
        <f>IF(AND(J27="",D27&lt;&gt;""),"Check data ⚠",IF(J27="","",IF(VLOOKUP(J27,'G-3 Multipliers'!$L$3:$N$6,2,FALSE)=0,"Spatial Data Missing ⚠",VLOOKUP(J27,'G-3 Multipliers'!$L$3:$N$6,2,FALSE))))</f>
        <v/>
      </c>
      <c r="L27" s="299" t="str">
        <f>IF(J27="","",IF(VLOOKUP(J27,'G-3 Multipliers'!$L$3:$N$6,3,FALSE)=0,"Spatial Data Missing ⚠",VLOOKUP(J27,'G-3 Multipliers'!$L$3:$N$6,3,FALSE)))</f>
        <v/>
      </c>
      <c r="M27" s="336" t="str">
        <f>IF(D27="","",VLOOKUP(D27,'G-6 Hedgerow Data'!$B$1:$AH$15,33,FALSE))</f>
        <v/>
      </c>
      <c r="N27" s="289" t="str">
        <f t="shared" si="3"/>
        <v/>
      </c>
      <c r="O27" s="393"/>
      <c r="P27" s="281" t="str">
        <f>IF(O27="","",IF(VLOOKUP(O27,'G-3 Multipliers'!$S$3:$T$10,2,FALSE)=0,"Spatial Data Missing ⚠",VLOOKUP(O27,'G-3 Multipliers'!$S$3:$T$10,2,FALSE)))</f>
        <v/>
      </c>
      <c r="Q27" s="289" t="str">
        <f t="shared" si="4"/>
        <v/>
      </c>
      <c r="R27" s="32"/>
      <c r="S27" s="105"/>
      <c r="T27" s="108"/>
      <c r="U27" s="283" t="str">
        <f t="shared" si="5"/>
        <v/>
      </c>
      <c r="V27" s="283" t="str">
        <f t="shared" si="6"/>
        <v/>
      </c>
      <c r="W27" s="287" t="str">
        <f t="shared" si="7"/>
        <v/>
      </c>
      <c r="X27" s="291" t="str">
        <f t="shared" si="8"/>
        <v/>
      </c>
      <c r="Y27" s="105"/>
      <c r="Z27" s="104"/>
      <c r="AA27" s="104"/>
      <c r="AB27" s="104"/>
      <c r="AE27" s="30" t="str">
        <f>IFERROR(INDEX('G-6 Hedgerow Data'!$BJ$3:$BJ$15,MATCH(D27,'G-6 Hedgerow Data'!$B$3:$B$15,0)),"")</f>
        <v/>
      </c>
      <c r="AH27" s="107" t="str">
        <f t="shared" si="0"/>
        <v/>
      </c>
      <c r="AI27" s="107" t="str">
        <f t="shared" si="1"/>
        <v/>
      </c>
      <c r="AK27" s="107">
        <v>18</v>
      </c>
      <c r="AM27" s="107" t="str">
        <f t="array" ref="AM27">IFERROR(INDEX($AK$10:$AK$258,MATCH(0,IF(TRUE=$AH$10:$AH$258,COUNTIF($AM$9:$AM26,$AK$10:$AK$258),""),0)),"")</f>
        <v/>
      </c>
      <c r="AN27" s="107" t="str">
        <f t="array" ref="AN27">IFERROR(INDEX($AK$10:$AK$258,MATCH(0,IF(TRUE=$AI$10:$AI$258,COUNTIF($AN$9:$AN26,$AK$10:$AK$258),""),0)),"")</f>
        <v/>
      </c>
      <c r="AY27" s="283" t="str">
        <f t="shared" si="2"/>
        <v/>
      </c>
    </row>
    <row r="28" spans="2:51" ht="14">
      <c r="B28" s="97">
        <v>19</v>
      </c>
      <c r="C28" s="138"/>
      <c r="D28" s="133"/>
      <c r="E28" s="115"/>
      <c r="F28" s="275" t="str">
        <f>IF(D28="","",VLOOKUP(D28,'G-6 Hedgerow Data'!$B$2:$AG$15,2,FALSE))</f>
        <v/>
      </c>
      <c r="G28" s="276" t="str">
        <f>IF(D28="","",VLOOKUP(D28,'G-6 Hedgerow Data'!$B$2:$AG$15,3,FALSE))</f>
        <v/>
      </c>
      <c r="H28" s="101"/>
      <c r="I28" s="276" t="str">
        <f>IFERROR(IF(AND(D28&lt;&gt;"",H28=""),"Check data ⚠",(IF(H28="","",IF(AND(D28="Non-native and ornamental hedgerow",H28&lt;&gt;"Poor"),"Not possible ▲",(IF(AND(F28="V.Low",OR(H28="Good",H28="Moderate")),"Error ▲",VLOOKUP(H28,'G-1 All Habitats'!$Z$2:$AA$9,2,FALSE))))))),"")</f>
        <v/>
      </c>
      <c r="J28" s="101"/>
      <c r="K28" s="295" t="str">
        <f>IF(AND(J28="",D28&lt;&gt;""),"Check data ⚠",IF(J28="","",IF(VLOOKUP(J28,'G-3 Multipliers'!$L$3:$N$6,2,FALSE)=0,"Spatial Data Missing ⚠",VLOOKUP(J28,'G-3 Multipliers'!$L$3:$N$6,2,FALSE))))</f>
        <v/>
      </c>
      <c r="L28" s="299" t="str">
        <f>IF(J28="","",IF(VLOOKUP(J28,'G-3 Multipliers'!$L$3:$N$6,3,FALSE)=0,"Spatial Data Missing ⚠",VLOOKUP(J28,'G-3 Multipliers'!$L$3:$N$6,3,FALSE)))</f>
        <v/>
      </c>
      <c r="M28" s="336" t="str">
        <f>IF(D28="","",VLOOKUP(D28,'G-6 Hedgerow Data'!$B$1:$AH$15,33,FALSE))</f>
        <v/>
      </c>
      <c r="N28" s="289" t="str">
        <f t="shared" si="3"/>
        <v/>
      </c>
      <c r="O28" s="393"/>
      <c r="P28" s="281" t="str">
        <f>IF(O28="","",IF(VLOOKUP(O28,'G-3 Multipliers'!$S$3:$T$10,2,FALSE)=0,"Spatial Data Missing ⚠",VLOOKUP(O28,'G-3 Multipliers'!$S$3:$T$10,2,FALSE)))</f>
        <v/>
      </c>
      <c r="Q28" s="289" t="str">
        <f t="shared" si="4"/>
        <v/>
      </c>
      <c r="R28" s="32"/>
      <c r="S28" s="105"/>
      <c r="T28" s="108"/>
      <c r="U28" s="283" t="str">
        <f t="shared" si="5"/>
        <v/>
      </c>
      <c r="V28" s="283" t="str">
        <f t="shared" si="6"/>
        <v/>
      </c>
      <c r="W28" s="287" t="str">
        <f t="shared" si="7"/>
        <v/>
      </c>
      <c r="X28" s="291" t="str">
        <f t="shared" si="8"/>
        <v/>
      </c>
      <c r="Y28" s="105"/>
      <c r="Z28" s="104"/>
      <c r="AA28" s="104"/>
      <c r="AB28" s="104"/>
      <c r="AE28" s="30" t="str">
        <f>IFERROR(INDEX('G-6 Hedgerow Data'!$BJ$3:$BJ$15,MATCH(D28,'G-6 Hedgerow Data'!$B$3:$B$15,0)),"")</f>
        <v/>
      </c>
      <c r="AH28" s="107" t="str">
        <f t="shared" si="0"/>
        <v/>
      </c>
      <c r="AI28" s="107" t="str">
        <f t="shared" si="1"/>
        <v/>
      </c>
      <c r="AK28" s="107">
        <v>19</v>
      </c>
      <c r="AM28" s="107" t="str">
        <f t="array" ref="AM28">IFERROR(INDEX($AK$10:$AK$258,MATCH(0,IF(TRUE=$AH$10:$AH$258,COUNTIF($AM$9:$AM27,$AK$10:$AK$258),""),0)),"")</f>
        <v/>
      </c>
      <c r="AN28" s="107" t="str">
        <f t="array" ref="AN28">IFERROR(INDEX($AK$10:$AK$258,MATCH(0,IF(TRUE=$AI$10:$AI$258,COUNTIF($AN$9:$AN27,$AK$10:$AK$258),""),0)),"")</f>
        <v/>
      </c>
      <c r="AY28" s="283" t="str">
        <f t="shared" si="2"/>
        <v/>
      </c>
    </row>
    <row r="29" spans="2:51" ht="14">
      <c r="B29" s="97">
        <v>20</v>
      </c>
      <c r="C29" s="138"/>
      <c r="D29" s="133"/>
      <c r="E29" s="115"/>
      <c r="F29" s="275" t="str">
        <f>IF(D29="","",VLOOKUP(D29,'G-6 Hedgerow Data'!$B$2:$AG$15,2,FALSE))</f>
        <v/>
      </c>
      <c r="G29" s="276" t="str">
        <f>IF(D29="","",VLOOKUP(D29,'G-6 Hedgerow Data'!$B$2:$AG$15,3,FALSE))</f>
        <v/>
      </c>
      <c r="H29" s="101"/>
      <c r="I29" s="276" t="str">
        <f>IFERROR(IF(AND(D29&lt;&gt;"",H29=""),"Check data ⚠",(IF(H29="","",IF(AND(D29="Non-native and ornamental hedgerow",H29&lt;&gt;"Poor"),"Not possible ▲",(IF(AND(F29="V.Low",OR(H29="Good",H29="Moderate")),"Error ▲",VLOOKUP(H29,'G-1 All Habitats'!$Z$2:$AA$9,2,FALSE))))))),"")</f>
        <v/>
      </c>
      <c r="J29" s="101"/>
      <c r="K29" s="295" t="str">
        <f>IF(AND(J29="",D29&lt;&gt;""),"Check data ⚠",IF(J29="","",IF(VLOOKUP(J29,'G-3 Multipliers'!$L$3:$N$6,2,FALSE)=0,"Spatial Data Missing ⚠",VLOOKUP(J29,'G-3 Multipliers'!$L$3:$N$6,2,FALSE))))</f>
        <v/>
      </c>
      <c r="L29" s="299" t="str">
        <f>IF(J29="","",IF(VLOOKUP(J29,'G-3 Multipliers'!$L$3:$N$6,3,FALSE)=0,"Spatial Data Missing ⚠",VLOOKUP(J29,'G-3 Multipliers'!$L$3:$N$6,3,FALSE)))</f>
        <v/>
      </c>
      <c r="M29" s="336" t="str">
        <f>IF(D29="","",VLOOKUP(D29,'G-6 Hedgerow Data'!$B$1:$AH$15,33,FALSE))</f>
        <v/>
      </c>
      <c r="N29" s="289" t="str">
        <f t="shared" si="3"/>
        <v/>
      </c>
      <c r="O29" s="393"/>
      <c r="P29" s="281" t="str">
        <f>IF(O29="","",IF(VLOOKUP(O29,'G-3 Multipliers'!$S$3:$T$10,2,FALSE)=0,"Spatial Data Missing ⚠",VLOOKUP(O29,'G-3 Multipliers'!$S$3:$T$10,2,FALSE)))</f>
        <v/>
      </c>
      <c r="Q29" s="289" t="str">
        <f t="shared" si="4"/>
        <v/>
      </c>
      <c r="R29" s="32"/>
      <c r="S29" s="105"/>
      <c r="T29" s="108"/>
      <c r="U29" s="283" t="str">
        <f t="shared" si="5"/>
        <v/>
      </c>
      <c r="V29" s="283" t="str">
        <f t="shared" si="6"/>
        <v/>
      </c>
      <c r="W29" s="287" t="str">
        <f t="shared" si="7"/>
        <v/>
      </c>
      <c r="X29" s="291" t="str">
        <f t="shared" si="8"/>
        <v/>
      </c>
      <c r="Y29" s="105"/>
      <c r="Z29" s="104"/>
      <c r="AA29" s="104"/>
      <c r="AB29" s="104"/>
      <c r="AE29" s="30" t="str">
        <f>IFERROR(INDEX('G-6 Hedgerow Data'!$BJ$3:$BJ$15,MATCH(D29,'G-6 Hedgerow Data'!$B$3:$B$15,0)),"")</f>
        <v/>
      </c>
      <c r="AH29" s="107" t="str">
        <f t="shared" si="0"/>
        <v/>
      </c>
      <c r="AI29" s="107" t="str">
        <f t="shared" si="1"/>
        <v/>
      </c>
      <c r="AK29" s="107">
        <v>20</v>
      </c>
      <c r="AM29" s="107" t="str">
        <f t="array" ref="AM29">IFERROR(INDEX($AK$10:$AK$258,MATCH(0,IF(TRUE=$AH$10:$AH$258,COUNTIF($AM$9:$AM28,$AK$10:$AK$258),""),0)),"")</f>
        <v/>
      </c>
      <c r="AN29" s="107" t="str">
        <f t="array" ref="AN29">IFERROR(INDEX($AK$10:$AK$258,MATCH(0,IF(TRUE=$AI$10:$AI$258,COUNTIF($AN$9:$AN28,$AK$10:$AK$258),""),0)),"")</f>
        <v/>
      </c>
      <c r="AY29" s="283" t="str">
        <f t="shared" si="2"/>
        <v/>
      </c>
    </row>
    <row r="30" spans="2:51" ht="14">
      <c r="B30" s="97">
        <v>21</v>
      </c>
      <c r="C30" s="138"/>
      <c r="D30" s="133"/>
      <c r="E30" s="115"/>
      <c r="F30" s="275" t="str">
        <f>IF(D30="","",VLOOKUP(D30,'G-6 Hedgerow Data'!$B$2:$AG$15,2,FALSE))</f>
        <v/>
      </c>
      <c r="G30" s="276" t="str">
        <f>IF(D30="","",VLOOKUP(D30,'G-6 Hedgerow Data'!$B$2:$AG$15,3,FALSE))</f>
        <v/>
      </c>
      <c r="H30" s="101"/>
      <c r="I30" s="276" t="str">
        <f>IFERROR(IF(AND(D30&lt;&gt;"",H30=""),"Check data ⚠",(IF(H30="","",IF(AND(D30="Non-native and ornamental hedgerow",H30&lt;&gt;"Poor"),"Not possible ▲",(IF(AND(F30="V.Low",OR(H30="Good",H30="Moderate")),"Error ▲",VLOOKUP(H30,'G-1 All Habitats'!$Z$2:$AA$9,2,FALSE))))))),"")</f>
        <v/>
      </c>
      <c r="J30" s="101"/>
      <c r="K30" s="295" t="str">
        <f>IF(AND(J30="",D30&lt;&gt;""),"Check data ⚠",IF(J30="","",IF(VLOOKUP(J30,'G-3 Multipliers'!$L$3:$N$6,2,FALSE)=0,"Spatial Data Missing ⚠",VLOOKUP(J30,'G-3 Multipliers'!$L$3:$N$6,2,FALSE))))</f>
        <v/>
      </c>
      <c r="L30" s="299" t="str">
        <f>IF(J30="","",IF(VLOOKUP(J30,'G-3 Multipliers'!$L$3:$N$6,3,FALSE)=0,"Spatial Data Missing ⚠",VLOOKUP(J30,'G-3 Multipliers'!$L$3:$N$6,3,FALSE)))</f>
        <v/>
      </c>
      <c r="M30" s="336" t="str">
        <f>IF(D30="","",VLOOKUP(D30,'G-6 Hedgerow Data'!$B$1:$AH$15,33,FALSE))</f>
        <v/>
      </c>
      <c r="N30" s="289" t="str">
        <f t="shared" si="3"/>
        <v/>
      </c>
      <c r="O30" s="393"/>
      <c r="P30" s="281" t="str">
        <f>IF(O30="","",IF(VLOOKUP(O30,'G-3 Multipliers'!$S$3:$T$10,2,FALSE)=0,"Spatial Data Missing ⚠",VLOOKUP(O30,'G-3 Multipliers'!$S$3:$T$10,2,FALSE)))</f>
        <v/>
      </c>
      <c r="Q30" s="289" t="str">
        <f t="shared" si="4"/>
        <v/>
      </c>
      <c r="R30" s="32"/>
      <c r="S30" s="105"/>
      <c r="T30" s="108"/>
      <c r="U30" s="283" t="str">
        <f t="shared" si="5"/>
        <v/>
      </c>
      <c r="V30" s="283" t="str">
        <f t="shared" si="6"/>
        <v/>
      </c>
      <c r="W30" s="287" t="str">
        <f t="shared" si="7"/>
        <v/>
      </c>
      <c r="X30" s="291" t="str">
        <f t="shared" si="8"/>
        <v/>
      </c>
      <c r="Y30" s="105"/>
      <c r="Z30" s="104"/>
      <c r="AA30" s="104"/>
      <c r="AB30" s="104"/>
      <c r="AE30" s="30" t="str">
        <f>IFERROR(INDEX('G-6 Hedgerow Data'!$BJ$3:$BJ$15,MATCH(D30,'G-6 Hedgerow Data'!$B$3:$B$15,0)),"")</f>
        <v/>
      </c>
      <c r="AH30" s="107" t="str">
        <f t="shared" si="0"/>
        <v/>
      </c>
      <c r="AI30" s="107" t="str">
        <f t="shared" si="1"/>
        <v/>
      </c>
      <c r="AK30" s="107">
        <v>21</v>
      </c>
      <c r="AM30" s="107" t="str">
        <f t="array" ref="AM30">IFERROR(INDEX($AK$10:$AK$258,MATCH(0,IF(TRUE=$AH$10:$AH$258,COUNTIF($AM$9:$AM29,$AK$10:$AK$258),""),0)),"")</f>
        <v/>
      </c>
      <c r="AN30" s="107" t="str">
        <f t="array" ref="AN30">IFERROR(INDEX($AK$10:$AK$258,MATCH(0,IF(TRUE=$AI$10:$AI$258,COUNTIF($AN$9:$AN29,$AK$10:$AK$258),""),0)),"")</f>
        <v/>
      </c>
      <c r="AY30" s="283" t="str">
        <f t="shared" si="2"/>
        <v/>
      </c>
    </row>
    <row r="31" spans="2:51" ht="14">
      <c r="B31" s="97">
        <v>22</v>
      </c>
      <c r="C31" s="138"/>
      <c r="D31" s="133"/>
      <c r="E31" s="51"/>
      <c r="F31" s="275" t="str">
        <f>IF(D31="","",VLOOKUP(D31,'G-6 Hedgerow Data'!$B$2:$AG$15,2,FALSE))</f>
        <v/>
      </c>
      <c r="G31" s="276" t="str">
        <f>IF(D31="","",VLOOKUP(D31,'G-6 Hedgerow Data'!$B$2:$AG$15,3,FALSE))</f>
        <v/>
      </c>
      <c r="H31" s="101"/>
      <c r="I31" s="276" t="str">
        <f>IFERROR(IF(AND(D31&lt;&gt;"",H31=""),"Check data ⚠",(IF(H31="","",IF(AND(D31="Non-native and ornamental hedgerow",H31&lt;&gt;"Poor"),"Not possible ▲",(IF(AND(F31="V.Low",OR(H31="Good",H31="Moderate")),"Error ▲",VLOOKUP(H31,'G-1 All Habitats'!$Z$2:$AA$9,2,FALSE))))))),"")</f>
        <v/>
      </c>
      <c r="J31" s="101"/>
      <c r="K31" s="295" t="str">
        <f>IF(AND(J31="",D31&lt;&gt;""),"Check data ⚠",IF(J31="","",IF(VLOOKUP(J31,'G-3 Multipliers'!$L$3:$N$6,2,FALSE)=0,"Spatial Data Missing ⚠",VLOOKUP(J31,'G-3 Multipliers'!$L$3:$N$6,2,FALSE))))</f>
        <v/>
      </c>
      <c r="L31" s="299" t="str">
        <f>IF(J31="","",IF(VLOOKUP(J31,'G-3 Multipliers'!$L$3:$N$6,3,FALSE)=0,"Spatial Data Missing ⚠",VLOOKUP(J31,'G-3 Multipliers'!$L$3:$N$6,3,FALSE)))</f>
        <v/>
      </c>
      <c r="M31" s="336" t="str">
        <f>IF(D31="","",VLOOKUP(D31,'G-6 Hedgerow Data'!$B$1:$AH$15,33,FALSE))</f>
        <v/>
      </c>
      <c r="N31" s="289" t="str">
        <f t="shared" si="3"/>
        <v/>
      </c>
      <c r="O31" s="393"/>
      <c r="P31" s="281" t="str">
        <f>IF(O31="","",IF(VLOOKUP(O31,'G-3 Multipliers'!$S$3:$T$10,2,FALSE)=0,"Spatial Data Missing ⚠",VLOOKUP(O31,'G-3 Multipliers'!$S$3:$T$10,2,FALSE)))</f>
        <v/>
      </c>
      <c r="Q31" s="289" t="str">
        <f t="shared" si="4"/>
        <v/>
      </c>
      <c r="R31" s="32"/>
      <c r="S31" s="105"/>
      <c r="T31" s="108"/>
      <c r="U31" s="283" t="str">
        <f t="shared" si="5"/>
        <v/>
      </c>
      <c r="V31" s="283" t="str">
        <f t="shared" si="6"/>
        <v/>
      </c>
      <c r="W31" s="287" t="str">
        <f t="shared" si="7"/>
        <v/>
      </c>
      <c r="X31" s="291" t="str">
        <f t="shared" si="8"/>
        <v/>
      </c>
      <c r="Y31" s="105"/>
      <c r="Z31" s="104"/>
      <c r="AA31" s="104"/>
      <c r="AB31" s="104"/>
      <c r="AE31" s="30" t="str">
        <f>IFERROR(INDEX('G-6 Hedgerow Data'!$BJ$3:$BJ$15,MATCH(D31,'G-6 Hedgerow Data'!$B$3:$B$15,0)),"")</f>
        <v/>
      </c>
      <c r="AH31" s="107" t="str">
        <f t="shared" si="0"/>
        <v/>
      </c>
      <c r="AI31" s="107" t="str">
        <f t="shared" si="1"/>
        <v/>
      </c>
      <c r="AK31" s="107">
        <v>22</v>
      </c>
      <c r="AM31" s="107" t="str">
        <f t="array" ref="AM31">IFERROR(INDEX($AK$10:$AK$258,MATCH(0,IF(TRUE=$AH$10:$AH$258,COUNTIF($AM$9:$AM30,$AK$10:$AK$258),""),0)),"")</f>
        <v/>
      </c>
      <c r="AN31" s="107" t="str">
        <f t="array" ref="AN31">IFERROR(INDEX($AK$10:$AK$258,MATCH(0,IF(TRUE=$AI$10:$AI$258,COUNTIF($AN$9:$AN30,$AK$10:$AK$258),""),0)),"")</f>
        <v/>
      </c>
      <c r="AY31" s="283" t="str">
        <f t="shared" si="2"/>
        <v/>
      </c>
    </row>
    <row r="32" spans="2:51" ht="14">
      <c r="B32" s="97">
        <v>23</v>
      </c>
      <c r="C32" s="138"/>
      <c r="D32" s="133"/>
      <c r="E32" s="51"/>
      <c r="F32" s="275" t="str">
        <f>IF(D32="","",VLOOKUP(D32,'G-6 Hedgerow Data'!$B$2:$AG$15,2,FALSE))</f>
        <v/>
      </c>
      <c r="G32" s="276" t="str">
        <f>IF(D32="","",VLOOKUP(D32,'G-6 Hedgerow Data'!$B$2:$AG$15,3,FALSE))</f>
        <v/>
      </c>
      <c r="H32" s="101"/>
      <c r="I32" s="276" t="str">
        <f>IFERROR(IF(AND(D32&lt;&gt;"",H32=""),"Check data ⚠",(IF(H32="","",IF(AND(D32="Non-native and ornamental hedgerow",H32&lt;&gt;"Poor"),"Not possible ▲",(IF(AND(F32="V.Low",OR(H32="Good",H32="Moderate")),"Error ▲",VLOOKUP(H32,'G-1 All Habitats'!$Z$2:$AA$9,2,FALSE))))))),"")</f>
        <v/>
      </c>
      <c r="J32" s="101"/>
      <c r="K32" s="295" t="str">
        <f>IF(AND(J32="",D32&lt;&gt;""),"Check data ⚠",IF(J32="","",IF(VLOOKUP(J32,'G-3 Multipliers'!$L$3:$N$6,2,FALSE)=0,"Spatial Data Missing ⚠",VLOOKUP(J32,'G-3 Multipliers'!$L$3:$N$6,2,FALSE))))</f>
        <v/>
      </c>
      <c r="L32" s="299" t="str">
        <f>IF(J32="","",IF(VLOOKUP(J32,'G-3 Multipliers'!$L$3:$N$6,3,FALSE)=0,"Spatial Data Missing ⚠",VLOOKUP(J32,'G-3 Multipliers'!$L$3:$N$6,3,FALSE)))</f>
        <v/>
      </c>
      <c r="M32" s="336" t="str">
        <f>IF(D32="","",VLOOKUP(D32,'G-6 Hedgerow Data'!$B$1:$AH$15,33,FALSE))</f>
        <v/>
      </c>
      <c r="N32" s="289" t="str">
        <f t="shared" si="3"/>
        <v/>
      </c>
      <c r="O32" s="393"/>
      <c r="P32" s="281" t="str">
        <f>IF(O32="","",IF(VLOOKUP(O32,'G-3 Multipliers'!$S$3:$T$10,2,FALSE)=0,"Spatial Data Missing ⚠",VLOOKUP(O32,'G-3 Multipliers'!$S$3:$T$10,2,FALSE)))</f>
        <v/>
      </c>
      <c r="Q32" s="289" t="str">
        <f t="shared" si="4"/>
        <v/>
      </c>
      <c r="R32" s="32"/>
      <c r="S32" s="105"/>
      <c r="T32" s="108"/>
      <c r="U32" s="283" t="str">
        <f t="shared" si="5"/>
        <v/>
      </c>
      <c r="V32" s="283" t="str">
        <f t="shared" si="6"/>
        <v/>
      </c>
      <c r="W32" s="287" t="str">
        <f t="shared" si="7"/>
        <v/>
      </c>
      <c r="X32" s="291" t="str">
        <f t="shared" si="8"/>
        <v/>
      </c>
      <c r="Y32" s="105"/>
      <c r="Z32" s="104"/>
      <c r="AA32" s="104"/>
      <c r="AB32" s="104"/>
      <c r="AE32" s="30" t="str">
        <f>IFERROR(INDEX('G-6 Hedgerow Data'!$BJ$3:$BJ$15,MATCH(D32,'G-6 Hedgerow Data'!$B$3:$B$15,0)),"")</f>
        <v/>
      </c>
      <c r="AH32" s="107" t="str">
        <f t="shared" si="0"/>
        <v/>
      </c>
      <c r="AI32" s="107" t="str">
        <f t="shared" si="1"/>
        <v/>
      </c>
      <c r="AK32" s="107">
        <v>23</v>
      </c>
      <c r="AM32" s="107" t="str">
        <f t="array" ref="AM32">IFERROR(INDEX($AK$10:$AK$258,MATCH(0,IF(TRUE=$AH$10:$AH$258,COUNTIF($AM$9:$AM31,$AK$10:$AK$258),""),0)),"")</f>
        <v/>
      </c>
      <c r="AN32" s="107" t="str">
        <f t="array" ref="AN32">IFERROR(INDEX($AK$10:$AK$258,MATCH(0,IF(TRUE=$AI$10:$AI$258,COUNTIF($AN$9:$AN31,$AK$10:$AK$258),""),0)),"")</f>
        <v/>
      </c>
      <c r="AY32" s="283" t="str">
        <f t="shared" si="2"/>
        <v/>
      </c>
    </row>
    <row r="33" spans="2:51" ht="14">
      <c r="B33" s="97">
        <v>24</v>
      </c>
      <c r="C33" s="138"/>
      <c r="D33" s="133"/>
      <c r="E33" s="51"/>
      <c r="F33" s="275" t="str">
        <f>IF(D33="","",VLOOKUP(D33,'G-6 Hedgerow Data'!$B$2:$AG$15,2,FALSE))</f>
        <v/>
      </c>
      <c r="G33" s="276" t="str">
        <f>IF(D33="","",VLOOKUP(D33,'G-6 Hedgerow Data'!$B$2:$AG$15,3,FALSE))</f>
        <v/>
      </c>
      <c r="H33" s="101"/>
      <c r="I33" s="276" t="str">
        <f>IFERROR(IF(AND(D33&lt;&gt;"",H33=""),"Check data ⚠",(IF(H33="","",IF(AND(D33="Non-native and ornamental hedgerow",H33&lt;&gt;"Poor"),"Not possible ▲",(IF(AND(F33="V.Low",OR(H33="Good",H33="Moderate")),"Error ▲",VLOOKUP(H33,'G-1 All Habitats'!$Z$2:$AA$9,2,FALSE))))))),"")</f>
        <v/>
      </c>
      <c r="J33" s="101"/>
      <c r="K33" s="295" t="str">
        <f>IF(AND(J33="",D33&lt;&gt;""),"Check data ⚠",IF(J33="","",IF(VLOOKUP(J33,'G-3 Multipliers'!$L$3:$N$6,2,FALSE)=0,"Spatial Data Missing ⚠",VLOOKUP(J33,'G-3 Multipliers'!$L$3:$N$6,2,FALSE))))</f>
        <v/>
      </c>
      <c r="L33" s="299" t="str">
        <f>IF(J33="","",IF(VLOOKUP(J33,'G-3 Multipliers'!$L$3:$N$6,3,FALSE)=0,"Spatial Data Missing ⚠",VLOOKUP(J33,'G-3 Multipliers'!$L$3:$N$6,3,FALSE)))</f>
        <v/>
      </c>
      <c r="M33" s="336" t="str">
        <f>IF(D33="","",VLOOKUP(D33,'G-6 Hedgerow Data'!$B$1:$AH$15,33,FALSE))</f>
        <v/>
      </c>
      <c r="N33" s="289" t="str">
        <f t="shared" si="3"/>
        <v/>
      </c>
      <c r="O33" s="393"/>
      <c r="P33" s="281" t="str">
        <f>IF(O33="","",IF(VLOOKUP(O33,'G-3 Multipliers'!$S$3:$T$10,2,FALSE)=0,"Spatial Data Missing ⚠",VLOOKUP(O33,'G-3 Multipliers'!$S$3:$T$10,2,FALSE)))</f>
        <v/>
      </c>
      <c r="Q33" s="289" t="str">
        <f t="shared" si="4"/>
        <v/>
      </c>
      <c r="R33" s="32"/>
      <c r="S33" s="105"/>
      <c r="T33" s="108"/>
      <c r="U33" s="283" t="str">
        <f t="shared" si="5"/>
        <v/>
      </c>
      <c r="V33" s="283" t="str">
        <f t="shared" si="6"/>
        <v/>
      </c>
      <c r="W33" s="287" t="str">
        <f t="shared" si="7"/>
        <v/>
      </c>
      <c r="X33" s="291" t="str">
        <f t="shared" si="8"/>
        <v/>
      </c>
      <c r="Y33" s="105"/>
      <c r="Z33" s="104"/>
      <c r="AA33" s="104"/>
      <c r="AB33" s="104"/>
      <c r="AE33" s="30" t="str">
        <f>IFERROR(INDEX('G-6 Hedgerow Data'!$BJ$3:$BJ$15,MATCH(D33,'G-6 Hedgerow Data'!$B$3:$B$15,0)),"")</f>
        <v/>
      </c>
      <c r="AH33" s="107" t="str">
        <f t="shared" si="0"/>
        <v/>
      </c>
      <c r="AI33" s="107" t="str">
        <f t="shared" si="1"/>
        <v/>
      </c>
      <c r="AK33" s="107">
        <v>24</v>
      </c>
      <c r="AM33" s="107" t="str">
        <f t="array" ref="AM33">IFERROR(INDEX($AK$10:$AK$258,MATCH(0,IF(TRUE=$AH$10:$AH$258,COUNTIF($AM$9:$AM32,$AK$10:$AK$258),""),0)),"")</f>
        <v/>
      </c>
      <c r="AN33" s="107" t="str">
        <f t="array" ref="AN33">IFERROR(INDEX($AK$10:$AK$258,MATCH(0,IF(TRUE=$AI$10:$AI$258,COUNTIF($AN$9:$AN32,$AK$10:$AK$258),""),0)),"")</f>
        <v/>
      </c>
      <c r="AY33" s="283" t="str">
        <f t="shared" si="2"/>
        <v/>
      </c>
    </row>
    <row r="34" spans="2:51" ht="14">
      <c r="B34" s="97">
        <v>25</v>
      </c>
      <c r="C34" s="138"/>
      <c r="D34" s="133"/>
      <c r="E34" s="51"/>
      <c r="F34" s="275" t="str">
        <f>IF(D34="","",VLOOKUP(D34,'G-6 Hedgerow Data'!$B$2:$AG$15,2,FALSE))</f>
        <v/>
      </c>
      <c r="G34" s="276" t="str">
        <f>IF(D34="","",VLOOKUP(D34,'G-6 Hedgerow Data'!$B$2:$AG$15,3,FALSE))</f>
        <v/>
      </c>
      <c r="H34" s="101"/>
      <c r="I34" s="276" t="str">
        <f>IFERROR(IF(AND(D34&lt;&gt;"",H34=""),"Check data ⚠",(IF(H34="","",IF(AND(D34="Non-native and ornamental hedgerow",H34&lt;&gt;"Poor"),"Not possible ▲",(IF(AND(F34="V.Low",OR(H34="Good",H34="Moderate")),"Error ▲",VLOOKUP(H34,'G-1 All Habitats'!$Z$2:$AA$9,2,FALSE))))))),"")</f>
        <v/>
      </c>
      <c r="J34" s="101"/>
      <c r="K34" s="295" t="str">
        <f>IF(AND(J34="",D34&lt;&gt;""),"Check data ⚠",IF(J34="","",IF(VLOOKUP(J34,'G-3 Multipliers'!$L$3:$N$6,2,FALSE)=0,"Spatial Data Missing ⚠",VLOOKUP(J34,'G-3 Multipliers'!$L$3:$N$6,2,FALSE))))</f>
        <v/>
      </c>
      <c r="L34" s="299" t="str">
        <f>IF(J34="","",IF(VLOOKUP(J34,'G-3 Multipliers'!$L$3:$N$6,3,FALSE)=0,"Spatial Data Missing ⚠",VLOOKUP(J34,'G-3 Multipliers'!$L$3:$N$6,3,FALSE)))</f>
        <v/>
      </c>
      <c r="M34" s="336" t="str">
        <f>IF(D34="","",VLOOKUP(D34,'G-6 Hedgerow Data'!$B$1:$AH$15,33,FALSE))</f>
        <v/>
      </c>
      <c r="N34" s="289" t="str">
        <f t="shared" si="3"/>
        <v/>
      </c>
      <c r="O34" s="393"/>
      <c r="P34" s="281" t="str">
        <f>IF(O34="","",IF(VLOOKUP(O34,'G-3 Multipliers'!$S$3:$T$10,2,FALSE)=0,"Spatial Data Missing ⚠",VLOOKUP(O34,'G-3 Multipliers'!$S$3:$T$10,2,FALSE)))</f>
        <v/>
      </c>
      <c r="Q34" s="289" t="str">
        <f t="shared" si="4"/>
        <v/>
      </c>
      <c r="R34" s="32"/>
      <c r="S34" s="105"/>
      <c r="T34" s="108"/>
      <c r="U34" s="283" t="str">
        <f t="shared" si="5"/>
        <v/>
      </c>
      <c r="V34" s="283" t="str">
        <f t="shared" si="6"/>
        <v/>
      </c>
      <c r="W34" s="287" t="str">
        <f t="shared" si="7"/>
        <v/>
      </c>
      <c r="X34" s="291" t="str">
        <f t="shared" si="8"/>
        <v/>
      </c>
      <c r="Y34" s="105"/>
      <c r="Z34" s="104"/>
      <c r="AA34" s="104"/>
      <c r="AB34" s="104"/>
      <c r="AE34" s="30" t="str">
        <f>IFERROR(INDEX('G-6 Hedgerow Data'!$BJ$3:$BJ$15,MATCH(D34,'G-6 Hedgerow Data'!$B$3:$B$15,0)),"")</f>
        <v/>
      </c>
      <c r="AH34" s="107" t="str">
        <f t="shared" si="0"/>
        <v/>
      </c>
      <c r="AI34" s="107" t="str">
        <f t="shared" si="1"/>
        <v/>
      </c>
      <c r="AK34" s="107">
        <v>25</v>
      </c>
      <c r="AM34" s="107" t="str">
        <f t="array" ref="AM34">IFERROR(INDEX($AK$10:$AK$258,MATCH(0,IF(TRUE=$AH$10:$AH$258,COUNTIF($AM$9:$AM33,$AK$10:$AK$258),""),0)),"")</f>
        <v/>
      </c>
      <c r="AN34" s="107" t="str">
        <f t="array" ref="AN34">IFERROR(INDEX($AK$10:$AK$258,MATCH(0,IF(TRUE=$AI$10:$AI$258,COUNTIF($AN$9:$AN33,$AK$10:$AK$258),""),0)),"")</f>
        <v/>
      </c>
      <c r="AY34" s="283" t="str">
        <f t="shared" si="2"/>
        <v/>
      </c>
    </row>
    <row r="35" spans="2:51" ht="14">
      <c r="B35" s="97">
        <v>26</v>
      </c>
      <c r="C35" s="138"/>
      <c r="D35" s="133"/>
      <c r="E35" s="115"/>
      <c r="F35" s="275" t="str">
        <f>IF(D35="","",VLOOKUP(D35,'G-6 Hedgerow Data'!$B$2:$AG$15,2,FALSE))</f>
        <v/>
      </c>
      <c r="G35" s="276" t="str">
        <f>IF(D35="","",VLOOKUP(D35,'G-6 Hedgerow Data'!$B$2:$AG$15,3,FALSE))</f>
        <v/>
      </c>
      <c r="H35" s="101"/>
      <c r="I35" s="276" t="str">
        <f>IFERROR(IF(AND(D35&lt;&gt;"",H35=""),"Check data ⚠",(IF(H35="","",IF(AND(D35="Non-native and ornamental hedgerow",H35&lt;&gt;"Poor"),"Not possible ▲",(IF(AND(F35="V.Low",OR(H35="Good",H35="Moderate")),"Error ▲",VLOOKUP(H35,'G-1 All Habitats'!$Z$2:$AA$9,2,FALSE))))))),"")</f>
        <v/>
      </c>
      <c r="J35" s="101"/>
      <c r="K35" s="295" t="str">
        <f>IF(AND(J35="",D35&lt;&gt;""),"Check data ⚠",IF(J35="","",IF(VLOOKUP(J35,'G-3 Multipliers'!$L$3:$N$6,2,FALSE)=0,"Spatial Data Missing ⚠",VLOOKUP(J35,'G-3 Multipliers'!$L$3:$N$6,2,FALSE))))</f>
        <v/>
      </c>
      <c r="L35" s="299" t="str">
        <f>IF(J35="","",IF(VLOOKUP(J35,'G-3 Multipliers'!$L$3:$N$6,3,FALSE)=0,"Spatial Data Missing ⚠",VLOOKUP(J35,'G-3 Multipliers'!$L$3:$N$6,3,FALSE)))</f>
        <v/>
      </c>
      <c r="M35" s="336" t="str">
        <f>IF(D35="","",VLOOKUP(D35,'G-6 Hedgerow Data'!$B$1:$AH$15,33,FALSE))</f>
        <v/>
      </c>
      <c r="N35" s="289" t="str">
        <f t="shared" si="3"/>
        <v/>
      </c>
      <c r="O35" s="393"/>
      <c r="P35" s="281" t="str">
        <f>IF(O35="","",IF(VLOOKUP(O35,'G-3 Multipliers'!$S$3:$T$10,2,FALSE)=0,"Spatial Data Missing ⚠",VLOOKUP(O35,'G-3 Multipliers'!$S$3:$T$10,2,FALSE)))</f>
        <v/>
      </c>
      <c r="Q35" s="289" t="str">
        <f t="shared" si="4"/>
        <v/>
      </c>
      <c r="R35" s="32"/>
      <c r="S35" s="105"/>
      <c r="T35" s="108"/>
      <c r="U35" s="283" t="str">
        <f t="shared" si="5"/>
        <v/>
      </c>
      <c r="V35" s="283" t="str">
        <f t="shared" si="6"/>
        <v/>
      </c>
      <c r="W35" s="287" t="str">
        <f t="shared" si="7"/>
        <v/>
      </c>
      <c r="X35" s="291" t="str">
        <f t="shared" si="8"/>
        <v/>
      </c>
      <c r="Y35" s="105"/>
      <c r="Z35" s="104"/>
      <c r="AA35" s="104"/>
      <c r="AB35" s="104"/>
      <c r="AE35" s="30" t="str">
        <f>IFERROR(INDEX('G-6 Hedgerow Data'!$BJ$3:$BJ$15,MATCH(D35,'G-6 Hedgerow Data'!$B$3:$B$15,0)),"")</f>
        <v/>
      </c>
      <c r="AH35" s="107" t="str">
        <f t="shared" si="0"/>
        <v/>
      </c>
      <c r="AI35" s="107" t="str">
        <f t="shared" si="1"/>
        <v/>
      </c>
      <c r="AK35" s="107">
        <v>26</v>
      </c>
      <c r="AM35" s="107" t="str">
        <f t="array" ref="AM35">IFERROR(INDEX($AK$10:$AK$258,MATCH(0,IF(TRUE=$AH$10:$AH$258,COUNTIF($AM$9:$AM34,$AK$10:$AK$258),""),0)),"")</f>
        <v/>
      </c>
      <c r="AN35" s="107" t="str">
        <f t="array" ref="AN35">IFERROR(INDEX($AK$10:$AK$258,MATCH(0,IF(TRUE=$AI$10:$AI$258,COUNTIF($AN$9:$AN34,$AK$10:$AK$258),""),0)),"")</f>
        <v/>
      </c>
      <c r="AY35" s="283" t="str">
        <f t="shared" si="2"/>
        <v/>
      </c>
    </row>
    <row r="36" spans="2:51" ht="14">
      <c r="B36" s="97">
        <v>27</v>
      </c>
      <c r="C36" s="138"/>
      <c r="D36" s="138"/>
      <c r="E36" s="104"/>
      <c r="F36" s="275" t="str">
        <f>IF(D36="","",VLOOKUP(D36,'G-6 Hedgerow Data'!$B$2:$AG$15,2,FALSE))</f>
        <v/>
      </c>
      <c r="G36" s="276" t="str">
        <f>IF(D36="","",VLOOKUP(D36,'G-6 Hedgerow Data'!$B$2:$AG$15,3,FALSE))</f>
        <v/>
      </c>
      <c r="H36" s="101"/>
      <c r="I36" s="276" t="str">
        <f>IFERROR(IF(AND(D36&lt;&gt;"",H36=""),"Check data ⚠",(IF(H36="","",IF(AND(D36="Non-native and ornamental hedgerow",H36&lt;&gt;"Poor"),"Not possible ▲",(IF(AND(F36="V.Low",OR(H36="Good",H36="Moderate")),"Error ▲",VLOOKUP(H36,'G-1 All Habitats'!$Z$2:$AA$9,2,FALSE))))))),"")</f>
        <v/>
      </c>
      <c r="J36" s="105"/>
      <c r="K36" s="295" t="str">
        <f>IF(AND(J36="",D36&lt;&gt;""),"Check data ⚠",IF(J36="","",IF(VLOOKUP(J36,'G-3 Multipliers'!$L$3:$N$6,2,FALSE)=0,"Spatial Data Missing ⚠",VLOOKUP(J36,'G-3 Multipliers'!$L$3:$N$6,2,FALSE))))</f>
        <v/>
      </c>
      <c r="L36" s="299" t="str">
        <f>IF(J36="","",IF(VLOOKUP(J36,'G-3 Multipliers'!$L$3:$N$6,3,FALSE)=0,"Spatial Data Missing ⚠",VLOOKUP(J36,'G-3 Multipliers'!$L$3:$N$6,3,FALSE)))</f>
        <v/>
      </c>
      <c r="M36" s="336" t="str">
        <f>IF(D36="","",VLOOKUP(D36,'G-6 Hedgerow Data'!$B$1:$AH$15,33,FALSE))</f>
        <v/>
      </c>
      <c r="N36" s="289" t="str">
        <f t="shared" si="3"/>
        <v/>
      </c>
      <c r="O36" s="393"/>
      <c r="P36" s="281" t="str">
        <f>IF(O36="","",IF(VLOOKUP(O36,'G-3 Multipliers'!$S$3:$T$10,2,FALSE)=0,"Spatial Data Missing ⚠",VLOOKUP(O36,'G-3 Multipliers'!$S$3:$T$10,2,FALSE)))</f>
        <v/>
      </c>
      <c r="Q36" s="289" t="str">
        <f t="shared" si="4"/>
        <v/>
      </c>
      <c r="R36" s="32"/>
      <c r="S36" s="101"/>
      <c r="T36" s="108"/>
      <c r="U36" s="283" t="str">
        <f t="shared" si="5"/>
        <v/>
      </c>
      <c r="V36" s="283" t="str">
        <f t="shared" si="6"/>
        <v/>
      </c>
      <c r="W36" s="287" t="str">
        <f t="shared" si="7"/>
        <v/>
      </c>
      <c r="X36" s="291" t="str">
        <f t="shared" si="8"/>
        <v/>
      </c>
      <c r="Y36" s="105"/>
      <c r="Z36" s="104"/>
      <c r="AA36" s="104"/>
      <c r="AB36" s="104"/>
      <c r="AE36" s="30" t="str">
        <f>IFERROR(INDEX('G-6 Hedgerow Data'!$BJ$3:$BJ$15,MATCH(D36,'G-6 Hedgerow Data'!$B$3:$B$15,0)),"")</f>
        <v/>
      </c>
      <c r="AH36" s="107" t="str">
        <f t="shared" si="0"/>
        <v/>
      </c>
      <c r="AI36" s="107" t="str">
        <f t="shared" si="1"/>
        <v/>
      </c>
      <c r="AK36" s="107">
        <v>27</v>
      </c>
      <c r="AM36" s="107" t="str">
        <f t="array" ref="AM36">IFERROR(INDEX($AK$10:$AK$258,MATCH(0,IF(TRUE=$AH$10:$AH$258,COUNTIF($AM$9:$AM35,$AK$10:$AK$258),""),0)),"")</f>
        <v/>
      </c>
      <c r="AN36" s="107" t="str">
        <f t="array" ref="AN36">IFERROR(INDEX($AK$10:$AK$258,MATCH(0,IF(TRUE=$AI$10:$AI$258,COUNTIF($AN$9:$AN35,$AK$10:$AK$258),""),0)),"")</f>
        <v/>
      </c>
      <c r="AY36" s="283" t="str">
        <f t="shared" si="2"/>
        <v/>
      </c>
    </row>
    <row r="37" spans="2:51" ht="14">
      <c r="B37" s="97">
        <v>28</v>
      </c>
      <c r="C37" s="138"/>
      <c r="D37" s="138"/>
      <c r="E37" s="104"/>
      <c r="F37" s="275" t="str">
        <f>IF(D37="","",VLOOKUP(D37,'G-6 Hedgerow Data'!$B$2:$AG$15,2,FALSE))</f>
        <v/>
      </c>
      <c r="G37" s="276" t="str">
        <f>IF(D37="","",VLOOKUP(D37,'G-6 Hedgerow Data'!$B$2:$AG$15,3,FALSE))</f>
        <v/>
      </c>
      <c r="H37" s="101"/>
      <c r="I37" s="276" t="str">
        <f>IFERROR(IF(AND(D37&lt;&gt;"",H37=""),"Check data ⚠",(IF(H37="","",IF(AND(D37="Non-native and ornamental hedgerow",H37&lt;&gt;"Poor"),"Not possible ▲",(IF(AND(F37="V.Low",OR(H37="Good",H37="Moderate")),"Error ▲",VLOOKUP(H37,'G-1 All Habitats'!$Z$2:$AA$9,2,FALSE))))))),"")</f>
        <v/>
      </c>
      <c r="J37" s="105"/>
      <c r="K37" s="295" t="str">
        <f>IF(AND(J37="",D37&lt;&gt;""),"Check data ⚠",IF(J37="","",IF(VLOOKUP(J37,'G-3 Multipliers'!$L$3:$N$6,2,FALSE)=0,"Spatial Data Missing ⚠",VLOOKUP(J37,'G-3 Multipliers'!$L$3:$N$6,2,FALSE))))</f>
        <v/>
      </c>
      <c r="L37" s="299" t="str">
        <f>IF(J37="","",IF(VLOOKUP(J37,'G-3 Multipliers'!$L$3:$N$6,3,FALSE)=0,"Spatial Data Missing ⚠",VLOOKUP(J37,'G-3 Multipliers'!$L$3:$N$6,3,FALSE)))</f>
        <v/>
      </c>
      <c r="M37" s="336" t="str">
        <f>IF(D37="","",VLOOKUP(D37,'G-6 Hedgerow Data'!$B$1:$AH$15,33,FALSE))</f>
        <v/>
      </c>
      <c r="N37" s="289" t="str">
        <f t="shared" si="3"/>
        <v/>
      </c>
      <c r="O37" s="393"/>
      <c r="P37" s="281" t="str">
        <f>IF(O37="","",IF(VLOOKUP(O37,'G-3 Multipliers'!$S$3:$T$10,2,FALSE)=0,"Spatial Data Missing ⚠",VLOOKUP(O37,'G-3 Multipliers'!$S$3:$T$10,2,FALSE)))</f>
        <v/>
      </c>
      <c r="Q37" s="289" t="str">
        <f t="shared" si="4"/>
        <v/>
      </c>
      <c r="R37" s="32"/>
      <c r="S37" s="101"/>
      <c r="T37" s="108"/>
      <c r="U37" s="283" t="str">
        <f t="shared" si="5"/>
        <v/>
      </c>
      <c r="V37" s="283" t="str">
        <f t="shared" si="6"/>
        <v/>
      </c>
      <c r="W37" s="287" t="str">
        <f t="shared" si="7"/>
        <v/>
      </c>
      <c r="X37" s="291" t="str">
        <f t="shared" si="8"/>
        <v/>
      </c>
      <c r="Y37" s="105"/>
      <c r="Z37" s="104"/>
      <c r="AA37" s="104"/>
      <c r="AB37" s="104"/>
      <c r="AE37" s="30" t="str">
        <f>IFERROR(INDEX('G-6 Hedgerow Data'!$BJ$3:$BJ$15,MATCH(D37,'G-6 Hedgerow Data'!$B$3:$B$15,0)),"")</f>
        <v/>
      </c>
      <c r="AH37" s="107" t="str">
        <f t="shared" si="0"/>
        <v/>
      </c>
      <c r="AI37" s="107" t="str">
        <f t="shared" si="1"/>
        <v/>
      </c>
      <c r="AK37" s="107">
        <v>28</v>
      </c>
      <c r="AM37" s="107" t="str">
        <f t="array" ref="AM37">IFERROR(INDEX($AK$10:$AK$258,MATCH(0,IF(TRUE=$AH$10:$AH$258,COUNTIF($AM$9:$AM36,$AK$10:$AK$258),""),0)),"")</f>
        <v/>
      </c>
      <c r="AN37" s="107" t="str">
        <f t="array" ref="AN37">IFERROR(INDEX($AK$10:$AK$258,MATCH(0,IF(TRUE=$AI$10:$AI$258,COUNTIF($AN$9:$AN36,$AK$10:$AK$258),""),0)),"")</f>
        <v/>
      </c>
      <c r="AY37" s="283" t="str">
        <f t="shared" si="2"/>
        <v/>
      </c>
    </row>
    <row r="38" spans="2:51" ht="14">
      <c r="B38" s="97">
        <v>29</v>
      </c>
      <c r="C38" s="138"/>
      <c r="D38" s="138"/>
      <c r="E38" s="104"/>
      <c r="F38" s="275" t="str">
        <f>IF(D38="","",VLOOKUP(D38,'G-6 Hedgerow Data'!$B$2:$AG$15,2,FALSE))</f>
        <v/>
      </c>
      <c r="G38" s="276" t="str">
        <f>IF(D38="","",VLOOKUP(D38,'G-6 Hedgerow Data'!$B$2:$AG$15,3,FALSE))</f>
        <v/>
      </c>
      <c r="H38" s="101"/>
      <c r="I38" s="276" t="str">
        <f>IFERROR(IF(AND(D38&lt;&gt;"",H38=""),"Check data ⚠",(IF(H38="","",IF(AND(D38="Non-native and ornamental hedgerow",H38&lt;&gt;"Poor"),"Not possible ▲",(IF(AND(F38="V.Low",OR(H38="Good",H38="Moderate")),"Error ▲",VLOOKUP(H38,'G-1 All Habitats'!$Z$2:$AA$9,2,FALSE))))))),"")</f>
        <v/>
      </c>
      <c r="J38" s="105"/>
      <c r="K38" s="295" t="str">
        <f>IF(AND(J38="",D38&lt;&gt;""),"Check data ⚠",IF(J38="","",IF(VLOOKUP(J38,'G-3 Multipliers'!$L$3:$N$6,2,FALSE)=0,"Spatial Data Missing ⚠",VLOOKUP(J38,'G-3 Multipliers'!$L$3:$N$6,2,FALSE))))</f>
        <v/>
      </c>
      <c r="L38" s="299" t="str">
        <f>IF(J38="","",IF(VLOOKUP(J38,'G-3 Multipliers'!$L$3:$N$6,3,FALSE)=0,"Spatial Data Missing ⚠",VLOOKUP(J38,'G-3 Multipliers'!$L$3:$N$6,3,FALSE)))</f>
        <v/>
      </c>
      <c r="M38" s="336" t="str">
        <f>IF(D38="","",VLOOKUP(D38,'G-6 Hedgerow Data'!$B$1:$AH$15,33,FALSE))</f>
        <v/>
      </c>
      <c r="N38" s="289" t="str">
        <f t="shared" si="3"/>
        <v/>
      </c>
      <c r="O38" s="393"/>
      <c r="P38" s="281" t="str">
        <f>IF(O38="","",IF(VLOOKUP(O38,'G-3 Multipliers'!$S$3:$T$10,2,FALSE)=0,"Spatial Data Missing ⚠",VLOOKUP(O38,'G-3 Multipliers'!$S$3:$T$10,2,FALSE)))</f>
        <v/>
      </c>
      <c r="Q38" s="289" t="str">
        <f t="shared" si="4"/>
        <v/>
      </c>
      <c r="R38" s="32"/>
      <c r="S38" s="101"/>
      <c r="T38" s="108"/>
      <c r="U38" s="283" t="str">
        <f t="shared" si="5"/>
        <v/>
      </c>
      <c r="V38" s="283" t="str">
        <f t="shared" si="6"/>
        <v/>
      </c>
      <c r="W38" s="287" t="str">
        <f t="shared" si="7"/>
        <v/>
      </c>
      <c r="X38" s="291" t="str">
        <f t="shared" si="8"/>
        <v/>
      </c>
      <c r="Y38" s="105"/>
      <c r="Z38" s="104"/>
      <c r="AA38" s="104"/>
      <c r="AB38" s="104"/>
      <c r="AE38" s="30" t="str">
        <f>IFERROR(INDEX('G-6 Hedgerow Data'!$BJ$3:$BJ$15,MATCH(D38,'G-6 Hedgerow Data'!$B$3:$B$15,0)),"")</f>
        <v/>
      </c>
      <c r="AH38" s="107" t="str">
        <f t="shared" si="0"/>
        <v/>
      </c>
      <c r="AI38" s="107" t="str">
        <f t="shared" si="1"/>
        <v/>
      </c>
      <c r="AK38" s="107">
        <v>29</v>
      </c>
      <c r="AM38" s="107" t="str">
        <f t="array" ref="AM38">IFERROR(INDEX($AK$10:$AK$258,MATCH(0,IF(TRUE=$AH$10:$AH$258,COUNTIF($AM$9:$AM37,$AK$10:$AK$258),""),0)),"")</f>
        <v/>
      </c>
      <c r="AN38" s="107" t="str">
        <f t="array" ref="AN38">IFERROR(INDEX($AK$10:$AK$258,MATCH(0,IF(TRUE=$AI$10:$AI$258,COUNTIF($AN$9:$AN37,$AK$10:$AK$258),""),0)),"")</f>
        <v/>
      </c>
      <c r="AY38" s="283" t="str">
        <f t="shared" si="2"/>
        <v/>
      </c>
    </row>
    <row r="39" spans="2:51" ht="14">
      <c r="B39" s="97">
        <v>30</v>
      </c>
      <c r="C39" s="138"/>
      <c r="D39" s="138"/>
      <c r="E39" s="104"/>
      <c r="F39" s="275" t="str">
        <f>IF(D39="","",VLOOKUP(D39,'G-6 Hedgerow Data'!$B$2:$AG$15,2,FALSE))</f>
        <v/>
      </c>
      <c r="G39" s="276" t="str">
        <f>IF(D39="","",VLOOKUP(D39,'G-6 Hedgerow Data'!$B$2:$AG$15,3,FALSE))</f>
        <v/>
      </c>
      <c r="H39" s="101"/>
      <c r="I39" s="276" t="str">
        <f>IFERROR(IF(AND(D39&lt;&gt;"",H39=""),"Check data ⚠",(IF(H39="","",IF(AND(D39="Non-native and ornamental hedgerow",H39&lt;&gt;"Poor"),"Not possible ▲",(IF(AND(F39="V.Low",OR(H39="Good",H39="Moderate")),"Error ▲",VLOOKUP(H39,'G-1 All Habitats'!$Z$2:$AA$9,2,FALSE))))))),"")</f>
        <v/>
      </c>
      <c r="J39" s="105"/>
      <c r="K39" s="295" t="str">
        <f>IF(AND(J39="",D39&lt;&gt;""),"Check data ⚠",IF(J39="","",IF(VLOOKUP(J39,'G-3 Multipliers'!$L$3:$N$6,2,FALSE)=0,"Spatial Data Missing ⚠",VLOOKUP(J39,'G-3 Multipliers'!$L$3:$N$6,2,FALSE))))</f>
        <v/>
      </c>
      <c r="L39" s="299" t="str">
        <f>IF(J39="","",IF(VLOOKUP(J39,'G-3 Multipliers'!$L$3:$N$6,3,FALSE)=0,"Spatial Data Missing ⚠",VLOOKUP(J39,'G-3 Multipliers'!$L$3:$N$6,3,FALSE)))</f>
        <v/>
      </c>
      <c r="M39" s="336" t="str">
        <f>IF(D39="","",VLOOKUP(D39,'G-6 Hedgerow Data'!$B$1:$AH$15,33,FALSE))</f>
        <v/>
      </c>
      <c r="N39" s="289" t="str">
        <f t="shared" si="3"/>
        <v/>
      </c>
      <c r="O39" s="393"/>
      <c r="P39" s="281" t="str">
        <f>IF(O39="","",IF(VLOOKUP(O39,'G-3 Multipliers'!$S$3:$T$10,2,FALSE)=0,"Spatial Data Missing ⚠",VLOOKUP(O39,'G-3 Multipliers'!$S$3:$T$10,2,FALSE)))</f>
        <v/>
      </c>
      <c r="Q39" s="289" t="str">
        <f t="shared" si="4"/>
        <v/>
      </c>
      <c r="R39" s="32"/>
      <c r="S39" s="101"/>
      <c r="T39" s="108"/>
      <c r="U39" s="283" t="str">
        <f t="shared" si="5"/>
        <v/>
      </c>
      <c r="V39" s="283" t="str">
        <f t="shared" si="6"/>
        <v/>
      </c>
      <c r="W39" s="287" t="str">
        <f t="shared" si="7"/>
        <v/>
      </c>
      <c r="X39" s="291" t="str">
        <f t="shared" si="8"/>
        <v/>
      </c>
      <c r="Y39" s="105"/>
      <c r="Z39" s="104"/>
      <c r="AA39" s="104"/>
      <c r="AB39" s="104"/>
      <c r="AE39" s="30" t="str">
        <f>IFERROR(INDEX('G-6 Hedgerow Data'!$BJ$3:$BJ$15,MATCH(D39,'G-6 Hedgerow Data'!$B$3:$B$15,0)),"")</f>
        <v/>
      </c>
      <c r="AH39" s="107" t="str">
        <f t="shared" si="0"/>
        <v/>
      </c>
      <c r="AI39" s="107" t="str">
        <f t="shared" si="1"/>
        <v/>
      </c>
      <c r="AK39" s="107">
        <v>30</v>
      </c>
      <c r="AM39" s="107" t="str">
        <f t="array" ref="AM39">IFERROR(INDEX($AK$10:$AK$258,MATCH(0,IF(TRUE=$AH$10:$AH$258,COUNTIF($AM$9:$AM38,$AK$10:$AK$258),""),0)),"")</f>
        <v/>
      </c>
      <c r="AN39" s="107" t="str">
        <f t="array" ref="AN39">IFERROR(INDEX($AK$10:$AK$258,MATCH(0,IF(TRUE=$AI$10:$AI$258,COUNTIF($AN$9:$AN38,$AK$10:$AK$258),""),0)),"")</f>
        <v/>
      </c>
      <c r="AY39" s="283" t="str">
        <f t="shared" si="2"/>
        <v/>
      </c>
    </row>
    <row r="40" spans="2:51" ht="14">
      <c r="B40" s="97">
        <v>31</v>
      </c>
      <c r="C40" s="138"/>
      <c r="D40" s="138"/>
      <c r="E40" s="104"/>
      <c r="F40" s="275" t="str">
        <f>IF(D40="","",VLOOKUP(D40,'G-6 Hedgerow Data'!$B$2:$AG$15,2,FALSE))</f>
        <v/>
      </c>
      <c r="G40" s="276" t="str">
        <f>IF(D40="","",VLOOKUP(D40,'G-6 Hedgerow Data'!$B$2:$AG$15,3,FALSE))</f>
        <v/>
      </c>
      <c r="H40" s="101"/>
      <c r="I40" s="276" t="str">
        <f>IFERROR(IF(AND(D40&lt;&gt;"",H40=""),"Check data ⚠",(IF(H40="","",IF(AND(D40="Non-native and ornamental hedgerow",H40&lt;&gt;"Poor"),"Not possible ▲",(IF(AND(F40="V.Low",OR(H40="Good",H40="Moderate")),"Error ▲",VLOOKUP(H40,'G-1 All Habitats'!$Z$2:$AA$9,2,FALSE))))))),"")</f>
        <v/>
      </c>
      <c r="J40" s="105"/>
      <c r="K40" s="295" t="str">
        <f>IF(AND(J40="",D40&lt;&gt;""),"Check data ⚠",IF(J40="","",IF(VLOOKUP(J40,'G-3 Multipliers'!$L$3:$N$6,2,FALSE)=0,"Spatial Data Missing ⚠",VLOOKUP(J40,'G-3 Multipliers'!$L$3:$N$6,2,FALSE))))</f>
        <v/>
      </c>
      <c r="L40" s="299" t="str">
        <f>IF(J40="","",IF(VLOOKUP(J40,'G-3 Multipliers'!$L$3:$N$6,3,FALSE)=0,"Spatial Data Missing ⚠",VLOOKUP(J40,'G-3 Multipliers'!$L$3:$N$6,3,FALSE)))</f>
        <v/>
      </c>
      <c r="M40" s="336" t="str">
        <f>IF(D40="","",VLOOKUP(D40,'G-6 Hedgerow Data'!$B$1:$AH$15,33,FALSE))</f>
        <v/>
      </c>
      <c r="N40" s="289" t="str">
        <f t="shared" si="3"/>
        <v/>
      </c>
      <c r="O40" s="393"/>
      <c r="P40" s="281" t="str">
        <f>IF(O40="","",IF(VLOOKUP(O40,'G-3 Multipliers'!$S$3:$T$10,2,FALSE)=0,"Spatial Data Missing ⚠",VLOOKUP(O40,'G-3 Multipliers'!$S$3:$T$10,2,FALSE)))</f>
        <v/>
      </c>
      <c r="Q40" s="289" t="str">
        <f t="shared" si="4"/>
        <v/>
      </c>
      <c r="R40" s="32"/>
      <c r="S40" s="101"/>
      <c r="T40" s="108"/>
      <c r="U40" s="283" t="str">
        <f t="shared" si="5"/>
        <v/>
      </c>
      <c r="V40" s="283" t="str">
        <f t="shared" si="6"/>
        <v/>
      </c>
      <c r="W40" s="287" t="str">
        <f t="shared" si="7"/>
        <v/>
      </c>
      <c r="X40" s="291" t="str">
        <f t="shared" si="8"/>
        <v/>
      </c>
      <c r="Y40" s="105"/>
      <c r="Z40" s="104"/>
      <c r="AA40" s="104"/>
      <c r="AB40" s="104"/>
      <c r="AE40" s="30" t="str">
        <f>IFERROR(INDEX('G-6 Hedgerow Data'!$BJ$3:$BJ$15,MATCH(D40,'G-6 Hedgerow Data'!$B$3:$B$15,0)),"")</f>
        <v/>
      </c>
      <c r="AH40" s="107" t="str">
        <f t="shared" si="0"/>
        <v/>
      </c>
      <c r="AI40" s="107" t="str">
        <f t="shared" si="1"/>
        <v/>
      </c>
      <c r="AK40" s="107">
        <v>31</v>
      </c>
      <c r="AM40" s="107" t="str">
        <f t="array" ref="AM40">IFERROR(INDEX($AK$10:$AK$258,MATCH(0,IF(TRUE=$AH$10:$AH$258,COUNTIF($AM$9:$AM39,$AK$10:$AK$258),""),0)),"")</f>
        <v/>
      </c>
      <c r="AN40" s="107" t="str">
        <f t="array" ref="AN40">IFERROR(INDEX($AK$10:$AK$258,MATCH(0,IF(TRUE=$AI$10:$AI$258,COUNTIF($AN$9:$AN39,$AK$10:$AK$258),""),0)),"")</f>
        <v/>
      </c>
      <c r="AY40" s="283" t="str">
        <f t="shared" si="2"/>
        <v/>
      </c>
    </row>
    <row r="41" spans="2:51" ht="14">
      <c r="B41" s="97">
        <v>32</v>
      </c>
      <c r="C41" s="138"/>
      <c r="D41" s="138"/>
      <c r="E41" s="104"/>
      <c r="F41" s="275" t="str">
        <f>IF(D41="","",VLOOKUP(D41,'G-6 Hedgerow Data'!$B$2:$AG$15,2,FALSE))</f>
        <v/>
      </c>
      <c r="G41" s="276" t="str">
        <f>IF(D41="","",VLOOKUP(D41,'G-6 Hedgerow Data'!$B$2:$AG$15,3,FALSE))</f>
        <v/>
      </c>
      <c r="H41" s="101"/>
      <c r="I41" s="276" t="str">
        <f>IFERROR(IF(AND(D41&lt;&gt;"",H41=""),"Check data ⚠",(IF(H41="","",IF(AND(D41="Non-native and ornamental hedgerow",H41&lt;&gt;"Poor"),"Not possible ▲",(IF(AND(F41="V.Low",OR(H41="Good",H41="Moderate")),"Error ▲",VLOOKUP(H41,'G-1 All Habitats'!$Z$2:$AA$9,2,FALSE))))))),"")</f>
        <v/>
      </c>
      <c r="J41" s="105"/>
      <c r="K41" s="295" t="str">
        <f>IF(AND(J41="",D41&lt;&gt;""),"Check data ⚠",IF(J41="","",IF(VLOOKUP(J41,'G-3 Multipliers'!$L$3:$N$6,2,FALSE)=0,"Spatial Data Missing ⚠",VLOOKUP(J41,'G-3 Multipliers'!$L$3:$N$6,2,FALSE))))</f>
        <v/>
      </c>
      <c r="L41" s="299" t="str">
        <f>IF(J41="","",IF(VLOOKUP(J41,'G-3 Multipliers'!$L$3:$N$6,3,FALSE)=0,"Spatial Data Missing ⚠",VLOOKUP(J41,'G-3 Multipliers'!$L$3:$N$6,3,FALSE)))</f>
        <v/>
      </c>
      <c r="M41" s="336" t="str">
        <f>IF(D41="","",VLOOKUP(D41,'G-6 Hedgerow Data'!$B$1:$AH$15,33,FALSE))</f>
        <v/>
      </c>
      <c r="N41" s="289" t="str">
        <f t="shared" si="3"/>
        <v/>
      </c>
      <c r="O41" s="393"/>
      <c r="P41" s="281" t="str">
        <f>IF(O41="","",IF(VLOOKUP(O41,'G-3 Multipliers'!$S$3:$T$10,2,FALSE)=0,"Spatial Data Missing ⚠",VLOOKUP(O41,'G-3 Multipliers'!$S$3:$T$10,2,FALSE)))</f>
        <v/>
      </c>
      <c r="Q41" s="289" t="str">
        <f t="shared" si="4"/>
        <v/>
      </c>
      <c r="R41" s="32"/>
      <c r="S41" s="101"/>
      <c r="T41" s="108"/>
      <c r="U41" s="283" t="str">
        <f t="shared" si="5"/>
        <v/>
      </c>
      <c r="V41" s="283" t="str">
        <f t="shared" si="6"/>
        <v/>
      </c>
      <c r="W41" s="287" t="str">
        <f t="shared" si="7"/>
        <v/>
      </c>
      <c r="X41" s="291" t="str">
        <f t="shared" si="8"/>
        <v/>
      </c>
      <c r="Y41" s="105"/>
      <c r="Z41" s="104"/>
      <c r="AA41" s="104"/>
      <c r="AB41" s="104"/>
      <c r="AE41" s="30" t="str">
        <f>IFERROR(INDEX('G-6 Hedgerow Data'!$BJ$3:$BJ$15,MATCH(D41,'G-6 Hedgerow Data'!$B$3:$B$15,0)),"")</f>
        <v/>
      </c>
      <c r="AH41" s="107" t="str">
        <f t="shared" si="0"/>
        <v/>
      </c>
      <c r="AI41" s="107" t="str">
        <f t="shared" si="1"/>
        <v/>
      </c>
      <c r="AK41" s="107">
        <v>32</v>
      </c>
      <c r="AM41" s="107" t="str">
        <f t="array" ref="AM41">IFERROR(INDEX($AK$10:$AK$258,MATCH(0,IF(TRUE=$AH$10:$AH$258,COUNTIF($AM$9:$AM40,$AK$10:$AK$258),""),0)),"")</f>
        <v/>
      </c>
      <c r="AN41" s="107" t="str">
        <f t="array" ref="AN41">IFERROR(INDEX($AK$10:$AK$258,MATCH(0,IF(TRUE=$AI$10:$AI$258,COUNTIF($AN$9:$AN40,$AK$10:$AK$258),""),0)),"")</f>
        <v/>
      </c>
      <c r="AY41" s="283" t="str">
        <f t="shared" si="2"/>
        <v/>
      </c>
    </row>
    <row r="42" spans="2:51" ht="14">
      <c r="B42" s="97">
        <v>33</v>
      </c>
      <c r="C42" s="138"/>
      <c r="D42" s="138"/>
      <c r="E42" s="104"/>
      <c r="F42" s="275" t="str">
        <f>IF(D42="","",VLOOKUP(D42,'G-6 Hedgerow Data'!$B$2:$AG$15,2,FALSE))</f>
        <v/>
      </c>
      <c r="G42" s="276" t="str">
        <f>IF(D42="","",VLOOKUP(D42,'G-6 Hedgerow Data'!$B$2:$AG$15,3,FALSE))</f>
        <v/>
      </c>
      <c r="H42" s="101"/>
      <c r="I42" s="276" t="str">
        <f>IFERROR(IF(AND(D42&lt;&gt;"",H42=""),"Check data ⚠",(IF(H42="","",IF(AND(D42="Non-native and ornamental hedgerow",H42&lt;&gt;"Poor"),"Not possible ▲",(IF(AND(F42="V.Low",OR(H42="Good",H42="Moderate")),"Error ▲",VLOOKUP(H42,'G-1 All Habitats'!$Z$2:$AA$9,2,FALSE))))))),"")</f>
        <v/>
      </c>
      <c r="J42" s="105"/>
      <c r="K42" s="295" t="str">
        <f>IF(AND(J42="",D42&lt;&gt;""),"Check data ⚠",IF(J42="","",IF(VLOOKUP(J42,'G-3 Multipliers'!$L$3:$N$6,2,FALSE)=0,"Spatial Data Missing ⚠",VLOOKUP(J42,'G-3 Multipliers'!$L$3:$N$6,2,FALSE))))</f>
        <v/>
      </c>
      <c r="L42" s="299" t="str">
        <f>IF(J42="","",IF(VLOOKUP(J42,'G-3 Multipliers'!$L$3:$N$6,3,FALSE)=0,"Spatial Data Missing ⚠",VLOOKUP(J42,'G-3 Multipliers'!$L$3:$N$6,3,FALSE)))</f>
        <v/>
      </c>
      <c r="M42" s="336" t="str">
        <f>IF(D42="","",VLOOKUP(D42,'G-6 Hedgerow Data'!$B$1:$AH$15,33,FALSE))</f>
        <v/>
      </c>
      <c r="N42" s="289" t="str">
        <f t="shared" si="3"/>
        <v/>
      </c>
      <c r="O42" s="393"/>
      <c r="P42" s="281" t="str">
        <f>IF(O42="","",IF(VLOOKUP(O42,'G-3 Multipliers'!$S$3:$T$10,2,FALSE)=0,"Spatial Data Missing ⚠",VLOOKUP(O42,'G-3 Multipliers'!$S$3:$T$10,2,FALSE)))</f>
        <v/>
      </c>
      <c r="Q42" s="289" t="str">
        <f t="shared" si="4"/>
        <v/>
      </c>
      <c r="R42" s="32"/>
      <c r="S42" s="101"/>
      <c r="T42" s="108"/>
      <c r="U42" s="283" t="str">
        <f t="shared" si="5"/>
        <v/>
      </c>
      <c r="V42" s="283" t="str">
        <f t="shared" si="6"/>
        <v/>
      </c>
      <c r="W42" s="287" t="str">
        <f t="shared" si="7"/>
        <v/>
      </c>
      <c r="X42" s="291" t="str">
        <f t="shared" si="8"/>
        <v/>
      </c>
      <c r="Y42" s="105"/>
      <c r="Z42" s="104"/>
      <c r="AA42" s="104"/>
      <c r="AB42" s="104"/>
      <c r="AE42" s="30" t="str">
        <f>IFERROR(INDEX('G-6 Hedgerow Data'!$BJ$3:$BJ$15,MATCH(D42,'G-6 Hedgerow Data'!$B$3:$B$15,0)),"")</f>
        <v/>
      </c>
      <c r="AH42" s="107" t="str">
        <f t="shared" si="0"/>
        <v/>
      </c>
      <c r="AI42" s="107" t="str">
        <f t="shared" si="1"/>
        <v/>
      </c>
      <c r="AK42" s="107">
        <v>33</v>
      </c>
      <c r="AM42" s="107" t="str">
        <f t="array" ref="AM42">IFERROR(INDEX($AK$10:$AK$258,MATCH(0,IF(TRUE=$AH$10:$AH$258,COUNTIF($AM$9:$AM41,$AK$10:$AK$258),""),0)),"")</f>
        <v/>
      </c>
      <c r="AN42" s="107" t="str">
        <f t="array" ref="AN42">IFERROR(INDEX($AK$10:$AK$258,MATCH(0,IF(TRUE=$AI$10:$AI$258,COUNTIF($AN$9:$AN41,$AK$10:$AK$258),""),0)),"")</f>
        <v/>
      </c>
      <c r="AY42" s="283" t="str">
        <f t="shared" si="2"/>
        <v/>
      </c>
    </row>
    <row r="43" spans="2:51" ht="14">
      <c r="B43" s="97">
        <v>34</v>
      </c>
      <c r="C43" s="138"/>
      <c r="D43" s="138"/>
      <c r="E43" s="104"/>
      <c r="F43" s="275" t="str">
        <f>IF(D43="","",VLOOKUP(D43,'G-6 Hedgerow Data'!$B$2:$AG$15,2,FALSE))</f>
        <v/>
      </c>
      <c r="G43" s="276" t="str">
        <f>IF(D43="","",VLOOKUP(D43,'G-6 Hedgerow Data'!$B$2:$AG$15,3,FALSE))</f>
        <v/>
      </c>
      <c r="H43" s="101"/>
      <c r="I43" s="276" t="str">
        <f>IFERROR(IF(AND(D43&lt;&gt;"",H43=""),"Check data ⚠",(IF(H43="","",IF(AND(D43="Non-native and ornamental hedgerow",H43&lt;&gt;"Poor"),"Not possible ▲",(IF(AND(F43="V.Low",OR(H43="Good",H43="Moderate")),"Error ▲",VLOOKUP(H43,'G-1 All Habitats'!$Z$2:$AA$9,2,FALSE))))))),"")</f>
        <v/>
      </c>
      <c r="J43" s="105"/>
      <c r="K43" s="295" t="str">
        <f>IF(AND(J43="",D43&lt;&gt;""),"Check data ⚠",IF(J43="","",IF(VLOOKUP(J43,'G-3 Multipliers'!$L$3:$N$6,2,FALSE)=0,"Spatial Data Missing ⚠",VLOOKUP(J43,'G-3 Multipliers'!$L$3:$N$6,2,FALSE))))</f>
        <v/>
      </c>
      <c r="L43" s="299" t="str">
        <f>IF(J43="","",IF(VLOOKUP(J43,'G-3 Multipliers'!$L$3:$N$6,3,FALSE)=0,"Spatial Data Missing ⚠",VLOOKUP(J43,'G-3 Multipliers'!$L$3:$N$6,3,FALSE)))</f>
        <v/>
      </c>
      <c r="M43" s="336" t="str">
        <f>IF(D43="","",VLOOKUP(D43,'G-6 Hedgerow Data'!$B$1:$AH$15,33,FALSE))</f>
        <v/>
      </c>
      <c r="N43" s="289" t="str">
        <f t="shared" si="3"/>
        <v/>
      </c>
      <c r="O43" s="393"/>
      <c r="P43" s="281" t="str">
        <f>IF(O43="","",IF(VLOOKUP(O43,'G-3 Multipliers'!$S$3:$T$10,2,FALSE)=0,"Spatial Data Missing ⚠",VLOOKUP(O43,'G-3 Multipliers'!$S$3:$T$10,2,FALSE)))</f>
        <v/>
      </c>
      <c r="Q43" s="289" t="str">
        <f t="shared" si="4"/>
        <v/>
      </c>
      <c r="R43" s="32"/>
      <c r="S43" s="101"/>
      <c r="T43" s="108"/>
      <c r="U43" s="283" t="str">
        <f t="shared" si="5"/>
        <v/>
      </c>
      <c r="V43" s="283" t="str">
        <f t="shared" si="6"/>
        <v/>
      </c>
      <c r="W43" s="287" t="str">
        <f t="shared" si="7"/>
        <v/>
      </c>
      <c r="X43" s="291" t="str">
        <f t="shared" si="8"/>
        <v/>
      </c>
      <c r="Y43" s="105"/>
      <c r="Z43" s="104"/>
      <c r="AA43" s="104"/>
      <c r="AB43" s="104"/>
      <c r="AE43" s="30" t="str">
        <f>IFERROR(INDEX('G-6 Hedgerow Data'!$BJ$3:$BJ$15,MATCH(D43,'G-6 Hedgerow Data'!$B$3:$B$15,0)),"")</f>
        <v/>
      </c>
      <c r="AH43" s="107" t="str">
        <f t="shared" si="0"/>
        <v/>
      </c>
      <c r="AI43" s="107" t="str">
        <f t="shared" si="1"/>
        <v/>
      </c>
      <c r="AK43" s="107">
        <v>34</v>
      </c>
      <c r="AM43" s="107" t="str">
        <f t="array" ref="AM43">IFERROR(INDEX($AK$10:$AK$258,MATCH(0,IF(TRUE=$AH$10:$AH$258,COUNTIF($AM$9:$AM42,$AK$10:$AK$258),""),0)),"")</f>
        <v/>
      </c>
      <c r="AN43" s="107" t="str">
        <f t="array" ref="AN43">IFERROR(INDEX($AK$10:$AK$258,MATCH(0,IF(TRUE=$AI$10:$AI$258,COUNTIF($AN$9:$AN42,$AK$10:$AK$258),""),0)),"")</f>
        <v/>
      </c>
      <c r="AY43" s="283" t="str">
        <f t="shared" si="2"/>
        <v/>
      </c>
    </row>
    <row r="44" spans="2:51" ht="14">
      <c r="B44" s="97">
        <v>35</v>
      </c>
      <c r="C44" s="138"/>
      <c r="D44" s="138"/>
      <c r="E44" s="104"/>
      <c r="F44" s="275" t="str">
        <f>IF(D44="","",VLOOKUP(D44,'G-6 Hedgerow Data'!$B$2:$AG$15,2,FALSE))</f>
        <v/>
      </c>
      <c r="G44" s="276" t="str">
        <f>IF(D44="","",VLOOKUP(D44,'G-6 Hedgerow Data'!$B$2:$AG$15,3,FALSE))</f>
        <v/>
      </c>
      <c r="H44" s="101"/>
      <c r="I44" s="276" t="str">
        <f>IFERROR(IF(AND(D44&lt;&gt;"",H44=""),"Check data ⚠",(IF(H44="","",IF(AND(D44="Non-native and ornamental hedgerow",H44&lt;&gt;"Poor"),"Not possible ▲",(IF(AND(F44="V.Low",OR(H44="Good",H44="Moderate")),"Error ▲",VLOOKUP(H44,'G-1 All Habitats'!$Z$2:$AA$9,2,FALSE))))))),"")</f>
        <v/>
      </c>
      <c r="J44" s="105"/>
      <c r="K44" s="295" t="str">
        <f>IF(AND(J44="",D44&lt;&gt;""),"Check data ⚠",IF(J44="","",IF(VLOOKUP(J44,'G-3 Multipliers'!$L$3:$N$6,2,FALSE)=0,"Spatial Data Missing ⚠",VLOOKUP(J44,'G-3 Multipliers'!$L$3:$N$6,2,FALSE))))</f>
        <v/>
      </c>
      <c r="L44" s="299" t="str">
        <f>IF(J44="","",IF(VLOOKUP(J44,'G-3 Multipliers'!$L$3:$N$6,3,FALSE)=0,"Spatial Data Missing ⚠",VLOOKUP(J44,'G-3 Multipliers'!$L$3:$N$6,3,FALSE)))</f>
        <v/>
      </c>
      <c r="M44" s="336" t="str">
        <f>IF(D44="","",VLOOKUP(D44,'G-6 Hedgerow Data'!$B$1:$AH$15,33,FALSE))</f>
        <v/>
      </c>
      <c r="N44" s="289" t="str">
        <f t="shared" si="3"/>
        <v/>
      </c>
      <c r="O44" s="393"/>
      <c r="P44" s="281" t="str">
        <f>IF(O44="","",IF(VLOOKUP(O44,'G-3 Multipliers'!$S$3:$T$10,2,FALSE)=0,"Spatial Data Missing ⚠",VLOOKUP(O44,'G-3 Multipliers'!$S$3:$T$10,2,FALSE)))</f>
        <v/>
      </c>
      <c r="Q44" s="289" t="str">
        <f t="shared" si="4"/>
        <v/>
      </c>
      <c r="R44" s="32"/>
      <c r="S44" s="101"/>
      <c r="T44" s="108"/>
      <c r="U44" s="283" t="str">
        <f t="shared" si="5"/>
        <v/>
      </c>
      <c r="V44" s="283" t="str">
        <f t="shared" si="6"/>
        <v/>
      </c>
      <c r="W44" s="287" t="str">
        <f t="shared" si="7"/>
        <v/>
      </c>
      <c r="X44" s="291" t="str">
        <f t="shared" si="8"/>
        <v/>
      </c>
      <c r="Y44" s="105"/>
      <c r="Z44" s="104"/>
      <c r="AA44" s="104"/>
      <c r="AB44" s="104"/>
      <c r="AE44" s="30" t="str">
        <f>IFERROR(INDEX('G-6 Hedgerow Data'!$BJ$3:$BJ$15,MATCH(D44,'G-6 Hedgerow Data'!$B$3:$B$15,0)),"")</f>
        <v/>
      </c>
      <c r="AH44" s="107" t="str">
        <f t="shared" si="0"/>
        <v/>
      </c>
      <c r="AI44" s="107" t="str">
        <f t="shared" si="1"/>
        <v/>
      </c>
      <c r="AK44" s="107">
        <v>35</v>
      </c>
      <c r="AM44" s="107" t="str">
        <f t="array" ref="AM44">IFERROR(INDEX($AK$10:$AK$258,MATCH(0,IF(TRUE=$AH$10:$AH$258,COUNTIF($AM$9:$AM43,$AK$10:$AK$258),""),0)),"")</f>
        <v/>
      </c>
      <c r="AN44" s="107" t="str">
        <f t="array" ref="AN44">IFERROR(INDEX($AK$10:$AK$258,MATCH(0,IF(TRUE=$AI$10:$AI$258,COUNTIF($AN$9:$AN43,$AK$10:$AK$258),""),0)),"")</f>
        <v/>
      </c>
      <c r="AY44" s="283" t="str">
        <f t="shared" si="2"/>
        <v/>
      </c>
    </row>
    <row r="45" spans="2:51" ht="14">
      <c r="B45" s="97">
        <v>36</v>
      </c>
      <c r="C45" s="138"/>
      <c r="D45" s="138"/>
      <c r="E45" s="104"/>
      <c r="F45" s="275" t="str">
        <f>IF(D45="","",VLOOKUP(D45,'G-6 Hedgerow Data'!$B$2:$AG$15,2,FALSE))</f>
        <v/>
      </c>
      <c r="G45" s="276" t="str">
        <f>IF(D45="","",VLOOKUP(D45,'G-6 Hedgerow Data'!$B$2:$AG$15,3,FALSE))</f>
        <v/>
      </c>
      <c r="H45" s="101"/>
      <c r="I45" s="276" t="str">
        <f>IFERROR(IF(AND(D45&lt;&gt;"",H45=""),"Check data ⚠",(IF(H45="","",IF(AND(D45="Non-native and ornamental hedgerow",H45&lt;&gt;"Poor"),"Not possible ▲",(IF(AND(F45="V.Low",OR(H45="Good",H45="Moderate")),"Error ▲",VLOOKUP(H45,'G-1 All Habitats'!$Z$2:$AA$9,2,FALSE))))))),"")</f>
        <v/>
      </c>
      <c r="J45" s="105"/>
      <c r="K45" s="295" t="str">
        <f>IF(AND(J45="",D45&lt;&gt;""),"Check data ⚠",IF(J45="","",IF(VLOOKUP(J45,'G-3 Multipliers'!$L$3:$N$6,2,FALSE)=0,"Spatial Data Missing ⚠",VLOOKUP(J45,'G-3 Multipliers'!$L$3:$N$6,2,FALSE))))</f>
        <v/>
      </c>
      <c r="L45" s="299" t="str">
        <f>IF(J45="","",IF(VLOOKUP(J45,'G-3 Multipliers'!$L$3:$N$6,3,FALSE)=0,"Spatial Data Missing ⚠",VLOOKUP(J45,'G-3 Multipliers'!$L$3:$N$6,3,FALSE)))</f>
        <v/>
      </c>
      <c r="M45" s="336" t="str">
        <f>IF(D45="","",VLOOKUP(D45,'G-6 Hedgerow Data'!$B$1:$AH$15,33,FALSE))</f>
        <v/>
      </c>
      <c r="N45" s="289" t="str">
        <f t="shared" si="3"/>
        <v/>
      </c>
      <c r="O45" s="393"/>
      <c r="P45" s="281" t="str">
        <f>IF(O45="","",IF(VLOOKUP(O45,'G-3 Multipliers'!$S$3:$T$10,2,FALSE)=0,"Spatial Data Missing ⚠",VLOOKUP(O45,'G-3 Multipliers'!$S$3:$T$10,2,FALSE)))</f>
        <v/>
      </c>
      <c r="Q45" s="289" t="str">
        <f t="shared" si="4"/>
        <v/>
      </c>
      <c r="R45" s="32"/>
      <c r="S45" s="101"/>
      <c r="T45" s="108"/>
      <c r="U45" s="283" t="str">
        <f t="shared" si="5"/>
        <v/>
      </c>
      <c r="V45" s="283" t="str">
        <f t="shared" si="6"/>
        <v/>
      </c>
      <c r="W45" s="287" t="str">
        <f t="shared" si="7"/>
        <v/>
      </c>
      <c r="X45" s="291" t="str">
        <f t="shared" si="8"/>
        <v/>
      </c>
      <c r="Y45" s="105"/>
      <c r="Z45" s="104"/>
      <c r="AA45" s="104"/>
      <c r="AB45" s="104"/>
      <c r="AE45" s="30" t="str">
        <f>IFERROR(INDEX('G-6 Hedgerow Data'!$BJ$3:$BJ$15,MATCH(D45,'G-6 Hedgerow Data'!$B$3:$B$15,0)),"")</f>
        <v/>
      </c>
      <c r="AH45" s="107" t="str">
        <f t="shared" si="0"/>
        <v/>
      </c>
      <c r="AI45" s="107" t="str">
        <f t="shared" si="1"/>
        <v/>
      </c>
      <c r="AK45" s="107">
        <v>36</v>
      </c>
      <c r="AM45" s="107" t="str">
        <f t="array" ref="AM45">IFERROR(INDEX($AK$10:$AK$258,MATCH(0,IF(TRUE=$AH$10:$AH$258,COUNTIF($AM$9:$AM44,$AK$10:$AK$258),""),0)),"")</f>
        <v/>
      </c>
      <c r="AN45" s="107" t="str">
        <f t="array" ref="AN45">IFERROR(INDEX($AK$10:$AK$258,MATCH(0,IF(TRUE=$AI$10:$AI$258,COUNTIF($AN$9:$AN44,$AK$10:$AK$258),""),0)),"")</f>
        <v/>
      </c>
      <c r="AY45" s="283" t="str">
        <f t="shared" si="2"/>
        <v/>
      </c>
    </row>
    <row r="46" spans="2:51" ht="14">
      <c r="B46" s="97">
        <v>37</v>
      </c>
      <c r="C46" s="138"/>
      <c r="D46" s="138"/>
      <c r="E46" s="104"/>
      <c r="F46" s="275" t="str">
        <f>IF(D46="","",VLOOKUP(D46,'G-6 Hedgerow Data'!$B$2:$AG$15,2,FALSE))</f>
        <v/>
      </c>
      <c r="G46" s="276" t="str">
        <f>IF(D46="","",VLOOKUP(D46,'G-6 Hedgerow Data'!$B$2:$AG$15,3,FALSE))</f>
        <v/>
      </c>
      <c r="H46" s="101"/>
      <c r="I46" s="276" t="str">
        <f>IFERROR(IF(AND(D46&lt;&gt;"",H46=""),"Check data ⚠",(IF(H46="","",IF(AND(D46="Non-native and ornamental hedgerow",H46&lt;&gt;"Poor"),"Not possible ▲",(IF(AND(F46="V.Low",OR(H46="Good",H46="Moderate")),"Error ▲",VLOOKUP(H46,'G-1 All Habitats'!$Z$2:$AA$9,2,FALSE))))))),"")</f>
        <v/>
      </c>
      <c r="J46" s="105"/>
      <c r="K46" s="295" t="str">
        <f>IF(AND(J46="",D46&lt;&gt;""),"Check data ⚠",IF(J46="","",IF(VLOOKUP(J46,'G-3 Multipliers'!$L$3:$N$6,2,FALSE)=0,"Spatial Data Missing ⚠",VLOOKUP(J46,'G-3 Multipliers'!$L$3:$N$6,2,FALSE))))</f>
        <v/>
      </c>
      <c r="L46" s="299" t="str">
        <f>IF(J46="","",IF(VLOOKUP(J46,'G-3 Multipliers'!$L$3:$N$6,3,FALSE)=0,"Spatial Data Missing ⚠",VLOOKUP(J46,'G-3 Multipliers'!$L$3:$N$6,3,FALSE)))</f>
        <v/>
      </c>
      <c r="M46" s="336" t="str">
        <f>IF(D46="","",VLOOKUP(D46,'G-6 Hedgerow Data'!$B$1:$AH$15,33,FALSE))</f>
        <v/>
      </c>
      <c r="N46" s="289" t="str">
        <f t="shared" si="3"/>
        <v/>
      </c>
      <c r="O46" s="393"/>
      <c r="P46" s="281" t="str">
        <f>IF(O46="","",IF(VLOOKUP(O46,'G-3 Multipliers'!$S$3:$T$10,2,FALSE)=0,"Spatial Data Missing ⚠",VLOOKUP(O46,'G-3 Multipliers'!$S$3:$T$10,2,FALSE)))</f>
        <v/>
      </c>
      <c r="Q46" s="289" t="str">
        <f t="shared" si="4"/>
        <v/>
      </c>
      <c r="R46" s="32"/>
      <c r="S46" s="101"/>
      <c r="T46" s="108"/>
      <c r="U46" s="283" t="str">
        <f t="shared" si="5"/>
        <v/>
      </c>
      <c r="V46" s="283" t="str">
        <f t="shared" si="6"/>
        <v/>
      </c>
      <c r="W46" s="287" t="str">
        <f t="shared" si="7"/>
        <v/>
      </c>
      <c r="X46" s="291" t="str">
        <f t="shared" si="8"/>
        <v/>
      </c>
      <c r="Y46" s="105"/>
      <c r="Z46" s="104"/>
      <c r="AA46" s="104"/>
      <c r="AB46" s="104"/>
      <c r="AE46" s="30" t="str">
        <f>IFERROR(INDEX('G-6 Hedgerow Data'!$BJ$3:$BJ$15,MATCH(D46,'G-6 Hedgerow Data'!$B$3:$B$15,0)),"")</f>
        <v/>
      </c>
      <c r="AH46" s="107" t="str">
        <f t="shared" si="0"/>
        <v/>
      </c>
      <c r="AI46" s="107" t="str">
        <f t="shared" si="1"/>
        <v/>
      </c>
      <c r="AK46" s="107">
        <v>37</v>
      </c>
      <c r="AM46" s="107" t="str">
        <f t="array" ref="AM46">IFERROR(INDEX($AK$10:$AK$258,MATCH(0,IF(TRUE=$AH$10:$AH$258,COUNTIF($AM$9:$AM45,$AK$10:$AK$258),""),0)),"")</f>
        <v/>
      </c>
      <c r="AN46" s="107" t="str">
        <f t="array" ref="AN46">IFERROR(INDEX($AK$10:$AK$258,MATCH(0,IF(TRUE=$AI$10:$AI$258,COUNTIF($AN$9:$AN45,$AK$10:$AK$258),""),0)),"")</f>
        <v/>
      </c>
      <c r="AY46" s="283" t="str">
        <f t="shared" si="2"/>
        <v/>
      </c>
    </row>
    <row r="47" spans="2:51" ht="14">
      <c r="B47" s="97">
        <v>38</v>
      </c>
      <c r="C47" s="138"/>
      <c r="D47" s="138"/>
      <c r="E47" s="104"/>
      <c r="F47" s="275" t="str">
        <f>IF(D47="","",VLOOKUP(D47,'G-6 Hedgerow Data'!$B$2:$AG$15,2,FALSE))</f>
        <v/>
      </c>
      <c r="G47" s="276" t="str">
        <f>IF(D47="","",VLOOKUP(D47,'G-6 Hedgerow Data'!$B$2:$AG$15,3,FALSE))</f>
        <v/>
      </c>
      <c r="H47" s="101"/>
      <c r="I47" s="276" t="str">
        <f>IFERROR(IF(AND(D47&lt;&gt;"",H47=""),"Check data ⚠",(IF(H47="","",IF(AND(D47="Non-native and ornamental hedgerow",H47&lt;&gt;"Poor"),"Not possible ▲",(IF(AND(F47="V.Low",OR(H47="Good",H47="Moderate")),"Error ▲",VLOOKUP(H47,'G-1 All Habitats'!$Z$2:$AA$9,2,FALSE))))))),"")</f>
        <v/>
      </c>
      <c r="J47" s="105"/>
      <c r="K47" s="295" t="str">
        <f>IF(AND(J47="",D47&lt;&gt;""),"Check data ⚠",IF(J47="","",IF(VLOOKUP(J47,'G-3 Multipliers'!$L$3:$N$6,2,FALSE)=0,"Spatial Data Missing ⚠",VLOOKUP(J47,'G-3 Multipliers'!$L$3:$N$6,2,FALSE))))</f>
        <v/>
      </c>
      <c r="L47" s="299" t="str">
        <f>IF(J47="","",IF(VLOOKUP(J47,'G-3 Multipliers'!$L$3:$N$6,3,FALSE)=0,"Spatial Data Missing ⚠",VLOOKUP(J47,'G-3 Multipliers'!$L$3:$N$6,3,FALSE)))</f>
        <v/>
      </c>
      <c r="M47" s="336" t="str">
        <f>IF(D47="","",VLOOKUP(D47,'G-6 Hedgerow Data'!$B$1:$AH$15,33,FALSE))</f>
        <v/>
      </c>
      <c r="N47" s="289" t="str">
        <f t="shared" si="3"/>
        <v/>
      </c>
      <c r="O47" s="393"/>
      <c r="P47" s="281" t="str">
        <f>IF(O47="","",IF(VLOOKUP(O47,'G-3 Multipliers'!$S$3:$T$10,2,FALSE)=0,"Spatial Data Missing ⚠",VLOOKUP(O47,'G-3 Multipliers'!$S$3:$T$10,2,FALSE)))</f>
        <v/>
      </c>
      <c r="Q47" s="289" t="str">
        <f t="shared" si="4"/>
        <v/>
      </c>
      <c r="R47" s="32"/>
      <c r="S47" s="101"/>
      <c r="T47" s="108"/>
      <c r="U47" s="283" t="str">
        <f t="shared" si="5"/>
        <v/>
      </c>
      <c r="V47" s="283" t="str">
        <f t="shared" si="6"/>
        <v/>
      </c>
      <c r="W47" s="287" t="str">
        <f t="shared" si="7"/>
        <v/>
      </c>
      <c r="X47" s="291" t="str">
        <f t="shared" si="8"/>
        <v/>
      </c>
      <c r="Y47" s="105"/>
      <c r="Z47" s="104"/>
      <c r="AA47" s="104"/>
      <c r="AB47" s="104"/>
      <c r="AE47" s="30" t="str">
        <f>IFERROR(INDEX('G-6 Hedgerow Data'!$BJ$3:$BJ$15,MATCH(D47,'G-6 Hedgerow Data'!$B$3:$B$15,0)),"")</f>
        <v/>
      </c>
      <c r="AH47" s="107" t="str">
        <f t="shared" si="0"/>
        <v/>
      </c>
      <c r="AI47" s="107" t="str">
        <f t="shared" si="1"/>
        <v/>
      </c>
      <c r="AK47" s="107">
        <v>38</v>
      </c>
      <c r="AM47" s="107" t="str">
        <f t="array" ref="AM47">IFERROR(INDEX($AK$10:$AK$258,MATCH(0,IF(TRUE=$AH$10:$AH$258,COUNTIF($AM$9:$AM46,$AK$10:$AK$258),""),0)),"")</f>
        <v/>
      </c>
      <c r="AN47" s="107" t="str">
        <f t="array" ref="AN47">IFERROR(INDEX($AK$10:$AK$258,MATCH(0,IF(TRUE=$AI$10:$AI$258,COUNTIF($AN$9:$AN46,$AK$10:$AK$258),""),0)),"")</f>
        <v/>
      </c>
      <c r="AY47" s="283" t="str">
        <f t="shared" si="2"/>
        <v/>
      </c>
    </row>
    <row r="48" spans="2:51" ht="14">
      <c r="B48" s="97">
        <v>39</v>
      </c>
      <c r="C48" s="138"/>
      <c r="D48" s="138"/>
      <c r="E48" s="104"/>
      <c r="F48" s="275" t="str">
        <f>IF(D48="","",VLOOKUP(D48,'G-6 Hedgerow Data'!$B$2:$AG$15,2,FALSE))</f>
        <v/>
      </c>
      <c r="G48" s="276" t="str">
        <f>IF(D48="","",VLOOKUP(D48,'G-6 Hedgerow Data'!$B$2:$AG$15,3,FALSE))</f>
        <v/>
      </c>
      <c r="H48" s="101"/>
      <c r="I48" s="276" t="str">
        <f>IFERROR(IF(AND(D48&lt;&gt;"",H48=""),"Check data ⚠",(IF(H48="","",IF(AND(D48="Non-native and ornamental hedgerow",H48&lt;&gt;"Poor"),"Not possible ▲",(IF(AND(F48="V.Low",OR(H48="Good",H48="Moderate")),"Error ▲",VLOOKUP(H48,'G-1 All Habitats'!$Z$2:$AA$9,2,FALSE))))))),"")</f>
        <v/>
      </c>
      <c r="J48" s="105"/>
      <c r="K48" s="295" t="str">
        <f>IF(AND(J48="",D48&lt;&gt;""),"Check data ⚠",IF(J48="","",IF(VLOOKUP(J48,'G-3 Multipliers'!$L$3:$N$6,2,FALSE)=0,"Spatial Data Missing ⚠",VLOOKUP(J48,'G-3 Multipliers'!$L$3:$N$6,2,FALSE))))</f>
        <v/>
      </c>
      <c r="L48" s="299" t="str">
        <f>IF(J48="","",IF(VLOOKUP(J48,'G-3 Multipliers'!$L$3:$N$6,3,FALSE)=0,"Spatial Data Missing ⚠",VLOOKUP(J48,'G-3 Multipliers'!$L$3:$N$6,3,FALSE)))</f>
        <v/>
      </c>
      <c r="M48" s="336" t="str">
        <f>IF(D48="","",VLOOKUP(D48,'G-6 Hedgerow Data'!$B$1:$AH$15,33,FALSE))</f>
        <v/>
      </c>
      <c r="N48" s="289" t="str">
        <f t="shared" si="3"/>
        <v/>
      </c>
      <c r="O48" s="393"/>
      <c r="P48" s="281" t="str">
        <f>IF(O48="","",IF(VLOOKUP(O48,'G-3 Multipliers'!$S$3:$T$10,2,FALSE)=0,"Spatial Data Missing ⚠",VLOOKUP(O48,'G-3 Multipliers'!$S$3:$T$10,2,FALSE)))</f>
        <v/>
      </c>
      <c r="Q48" s="289" t="str">
        <f t="shared" si="4"/>
        <v/>
      </c>
      <c r="R48" s="32"/>
      <c r="S48" s="101"/>
      <c r="T48" s="108"/>
      <c r="U48" s="283" t="str">
        <f t="shared" si="5"/>
        <v/>
      </c>
      <c r="V48" s="283" t="str">
        <f t="shared" si="6"/>
        <v/>
      </c>
      <c r="W48" s="287" t="str">
        <f t="shared" si="7"/>
        <v/>
      </c>
      <c r="X48" s="291" t="str">
        <f t="shared" si="8"/>
        <v/>
      </c>
      <c r="Y48" s="105"/>
      <c r="Z48" s="104"/>
      <c r="AA48" s="104"/>
      <c r="AB48" s="104"/>
      <c r="AE48" s="30" t="str">
        <f>IFERROR(INDEX('G-6 Hedgerow Data'!$BJ$3:$BJ$15,MATCH(D48,'G-6 Hedgerow Data'!$B$3:$B$15,0)),"")</f>
        <v/>
      </c>
      <c r="AH48" s="107" t="str">
        <f t="shared" si="0"/>
        <v/>
      </c>
      <c r="AI48" s="107" t="str">
        <f t="shared" si="1"/>
        <v/>
      </c>
      <c r="AK48" s="107">
        <v>39</v>
      </c>
      <c r="AM48" s="107" t="str">
        <f t="array" ref="AM48">IFERROR(INDEX($AK$10:$AK$258,MATCH(0,IF(TRUE=$AH$10:$AH$258,COUNTIF($AM$9:$AM47,$AK$10:$AK$258),""),0)),"")</f>
        <v/>
      </c>
      <c r="AN48" s="107" t="str">
        <f t="array" ref="AN48">IFERROR(INDEX($AK$10:$AK$258,MATCH(0,IF(TRUE=$AI$10:$AI$258,COUNTIF($AN$9:$AN47,$AK$10:$AK$258),""),0)),"")</f>
        <v/>
      </c>
      <c r="AY48" s="283" t="str">
        <f t="shared" si="2"/>
        <v/>
      </c>
    </row>
    <row r="49" spans="2:51" ht="14">
      <c r="B49" s="97">
        <v>40</v>
      </c>
      <c r="C49" s="138"/>
      <c r="D49" s="138"/>
      <c r="E49" s="104"/>
      <c r="F49" s="275" t="str">
        <f>IF(D49="","",VLOOKUP(D49,'G-6 Hedgerow Data'!$B$2:$AG$15,2,FALSE))</f>
        <v/>
      </c>
      <c r="G49" s="276" t="str">
        <f>IF(D49="","",VLOOKUP(D49,'G-6 Hedgerow Data'!$B$2:$AG$15,3,FALSE))</f>
        <v/>
      </c>
      <c r="H49" s="101"/>
      <c r="I49" s="276" t="str">
        <f>IFERROR(IF(AND(D49&lt;&gt;"",H49=""),"Check data ⚠",(IF(H49="","",IF(AND(D49="Non-native and ornamental hedgerow",H49&lt;&gt;"Poor"),"Not possible ▲",(IF(AND(F49="V.Low",OR(H49="Good",H49="Moderate")),"Error ▲",VLOOKUP(H49,'G-1 All Habitats'!$Z$2:$AA$9,2,FALSE))))))),"")</f>
        <v/>
      </c>
      <c r="J49" s="105"/>
      <c r="K49" s="295" t="str">
        <f>IF(AND(J49="",D49&lt;&gt;""),"Check data ⚠",IF(J49="","",IF(VLOOKUP(J49,'G-3 Multipliers'!$L$3:$N$6,2,FALSE)=0,"Spatial Data Missing ⚠",VLOOKUP(J49,'G-3 Multipliers'!$L$3:$N$6,2,FALSE))))</f>
        <v/>
      </c>
      <c r="L49" s="299" t="str">
        <f>IF(J49="","",IF(VLOOKUP(J49,'G-3 Multipliers'!$L$3:$N$6,3,FALSE)=0,"Spatial Data Missing ⚠",VLOOKUP(J49,'G-3 Multipliers'!$L$3:$N$6,3,FALSE)))</f>
        <v/>
      </c>
      <c r="M49" s="336" t="str">
        <f>IF(D49="","",VLOOKUP(D49,'G-6 Hedgerow Data'!$B$1:$AH$15,33,FALSE))</f>
        <v/>
      </c>
      <c r="N49" s="289" t="str">
        <f t="shared" si="3"/>
        <v/>
      </c>
      <c r="O49" s="393"/>
      <c r="P49" s="281" t="str">
        <f>IF(O49="","",IF(VLOOKUP(O49,'G-3 Multipliers'!$S$3:$T$10,2,FALSE)=0,"Spatial Data Missing ⚠",VLOOKUP(O49,'G-3 Multipliers'!$S$3:$T$10,2,FALSE)))</f>
        <v/>
      </c>
      <c r="Q49" s="289" t="str">
        <f t="shared" si="4"/>
        <v/>
      </c>
      <c r="R49" s="32"/>
      <c r="S49" s="101"/>
      <c r="T49" s="108"/>
      <c r="U49" s="283" t="str">
        <f t="shared" si="5"/>
        <v/>
      </c>
      <c r="V49" s="283" t="str">
        <f t="shared" si="6"/>
        <v/>
      </c>
      <c r="W49" s="287" t="str">
        <f t="shared" si="7"/>
        <v/>
      </c>
      <c r="X49" s="291" t="str">
        <f t="shared" si="8"/>
        <v/>
      </c>
      <c r="Y49" s="105"/>
      <c r="Z49" s="104"/>
      <c r="AA49" s="104"/>
      <c r="AB49" s="104"/>
      <c r="AE49" s="30" t="str">
        <f>IFERROR(INDEX('G-6 Hedgerow Data'!$BJ$3:$BJ$15,MATCH(D49,'G-6 Hedgerow Data'!$B$3:$B$15,0)),"")</f>
        <v/>
      </c>
      <c r="AH49" s="107" t="str">
        <f t="shared" si="0"/>
        <v/>
      </c>
      <c r="AI49" s="107" t="str">
        <f t="shared" si="1"/>
        <v/>
      </c>
      <c r="AK49" s="107">
        <v>40</v>
      </c>
      <c r="AM49" s="107" t="str">
        <f t="array" ref="AM49">IFERROR(INDEX($AK$10:$AK$258,MATCH(0,IF(TRUE=$AH$10:$AH$258,COUNTIF($AM$9:$AM48,$AK$10:$AK$258),""),0)),"")</f>
        <v/>
      </c>
      <c r="AN49" s="107" t="str">
        <f t="array" ref="AN49">IFERROR(INDEX($AK$10:$AK$258,MATCH(0,IF(TRUE=$AI$10:$AI$258,COUNTIF($AN$9:$AN48,$AK$10:$AK$258),""),0)),"")</f>
        <v/>
      </c>
      <c r="AY49" s="283" t="str">
        <f t="shared" si="2"/>
        <v/>
      </c>
    </row>
    <row r="50" spans="2:51" ht="14">
      <c r="B50" s="97">
        <v>41</v>
      </c>
      <c r="C50" s="138"/>
      <c r="D50" s="138"/>
      <c r="E50" s="104"/>
      <c r="F50" s="275" t="str">
        <f>IF(D50="","",VLOOKUP(D50,'G-6 Hedgerow Data'!$B$2:$AG$15,2,FALSE))</f>
        <v/>
      </c>
      <c r="G50" s="276" t="str">
        <f>IF(D50="","",VLOOKUP(D50,'G-6 Hedgerow Data'!$B$2:$AG$15,3,FALSE))</f>
        <v/>
      </c>
      <c r="H50" s="101"/>
      <c r="I50" s="276" t="str">
        <f>IFERROR(IF(AND(D50&lt;&gt;"",H50=""),"Check data ⚠",(IF(H50="","",IF(AND(D50="Non-native and ornamental hedgerow",H50&lt;&gt;"Poor"),"Not possible ▲",(IF(AND(F50="V.Low",OR(H50="Good",H50="Moderate")),"Error ▲",VLOOKUP(H50,'G-1 All Habitats'!$Z$2:$AA$9,2,FALSE))))))),"")</f>
        <v/>
      </c>
      <c r="J50" s="105"/>
      <c r="K50" s="295" t="str">
        <f>IF(AND(J50="",D50&lt;&gt;""),"Check data ⚠",IF(J50="","",IF(VLOOKUP(J50,'G-3 Multipliers'!$L$3:$N$6,2,FALSE)=0,"Spatial Data Missing ⚠",VLOOKUP(J50,'G-3 Multipliers'!$L$3:$N$6,2,FALSE))))</f>
        <v/>
      </c>
      <c r="L50" s="299" t="str">
        <f>IF(J50="","",IF(VLOOKUP(J50,'G-3 Multipliers'!$L$3:$N$6,3,FALSE)=0,"Spatial Data Missing ⚠",VLOOKUP(J50,'G-3 Multipliers'!$L$3:$N$6,3,FALSE)))</f>
        <v/>
      </c>
      <c r="M50" s="336" t="str">
        <f>IF(D50="","",VLOOKUP(D50,'G-6 Hedgerow Data'!$B$1:$AH$15,33,FALSE))</f>
        <v/>
      </c>
      <c r="N50" s="289" t="str">
        <f t="shared" si="3"/>
        <v/>
      </c>
      <c r="O50" s="393"/>
      <c r="P50" s="281" t="str">
        <f>IF(O50="","",IF(VLOOKUP(O50,'G-3 Multipliers'!$S$3:$T$10,2,FALSE)=0,"Spatial Data Missing ⚠",VLOOKUP(O50,'G-3 Multipliers'!$S$3:$T$10,2,FALSE)))</f>
        <v/>
      </c>
      <c r="Q50" s="289" t="str">
        <f t="shared" si="4"/>
        <v/>
      </c>
      <c r="R50" s="32"/>
      <c r="S50" s="101"/>
      <c r="T50" s="108"/>
      <c r="U50" s="283" t="str">
        <f t="shared" si="5"/>
        <v/>
      </c>
      <c r="V50" s="283" t="str">
        <f t="shared" si="6"/>
        <v/>
      </c>
      <c r="W50" s="287" t="str">
        <f t="shared" si="7"/>
        <v/>
      </c>
      <c r="X50" s="291" t="str">
        <f t="shared" si="8"/>
        <v/>
      </c>
      <c r="Y50" s="105"/>
      <c r="Z50" s="104"/>
      <c r="AA50" s="104"/>
      <c r="AB50" s="104"/>
      <c r="AE50" s="30" t="str">
        <f>IFERROR(INDEX('G-6 Hedgerow Data'!$BJ$3:$BJ$15,MATCH(D50,'G-6 Hedgerow Data'!$B$3:$B$15,0)),"")</f>
        <v/>
      </c>
      <c r="AH50" s="107" t="str">
        <f t="shared" si="0"/>
        <v/>
      </c>
      <c r="AI50" s="107" t="str">
        <f t="shared" si="1"/>
        <v/>
      </c>
      <c r="AK50" s="107">
        <v>41</v>
      </c>
      <c r="AM50" s="107" t="str">
        <f t="array" ref="AM50">IFERROR(INDEX($AK$10:$AK$258,MATCH(0,IF(TRUE=$AH$10:$AH$258,COUNTIF($AM$9:$AM49,$AK$10:$AK$258),""),0)),"")</f>
        <v/>
      </c>
      <c r="AN50" s="107" t="str">
        <f t="array" ref="AN50">IFERROR(INDEX($AK$10:$AK$258,MATCH(0,IF(TRUE=$AI$10:$AI$258,COUNTIF($AN$9:$AN49,$AK$10:$AK$258),""),0)),"")</f>
        <v/>
      </c>
      <c r="AY50" s="283" t="str">
        <f t="shared" si="2"/>
        <v/>
      </c>
    </row>
    <row r="51" spans="2:51" ht="14">
      <c r="B51" s="97">
        <v>42</v>
      </c>
      <c r="C51" s="138"/>
      <c r="D51" s="138"/>
      <c r="E51" s="104"/>
      <c r="F51" s="275" t="str">
        <f>IF(D51="","",VLOOKUP(D51,'G-6 Hedgerow Data'!$B$2:$AG$15,2,FALSE))</f>
        <v/>
      </c>
      <c r="G51" s="276" t="str">
        <f>IF(D51="","",VLOOKUP(D51,'G-6 Hedgerow Data'!$B$2:$AG$15,3,FALSE))</f>
        <v/>
      </c>
      <c r="H51" s="101"/>
      <c r="I51" s="276" t="str">
        <f>IFERROR(IF(AND(D51&lt;&gt;"",H51=""),"Check data ⚠",(IF(H51="","",IF(AND(D51="Non-native and ornamental hedgerow",H51&lt;&gt;"Poor"),"Not possible ▲",(IF(AND(F51="V.Low",OR(H51="Good",H51="Moderate")),"Error ▲",VLOOKUP(H51,'G-1 All Habitats'!$Z$2:$AA$9,2,FALSE))))))),"")</f>
        <v/>
      </c>
      <c r="J51" s="105"/>
      <c r="K51" s="295" t="str">
        <f>IF(AND(J51="",D51&lt;&gt;""),"Check data ⚠",IF(J51="","",IF(VLOOKUP(J51,'G-3 Multipliers'!$L$3:$N$6,2,FALSE)=0,"Spatial Data Missing ⚠",VLOOKUP(J51,'G-3 Multipliers'!$L$3:$N$6,2,FALSE))))</f>
        <v/>
      </c>
      <c r="L51" s="299" t="str">
        <f>IF(J51="","",IF(VLOOKUP(J51,'G-3 Multipliers'!$L$3:$N$6,3,FALSE)=0,"Spatial Data Missing ⚠",VLOOKUP(J51,'G-3 Multipliers'!$L$3:$N$6,3,FALSE)))</f>
        <v/>
      </c>
      <c r="M51" s="336" t="str">
        <f>IF(D51="","",VLOOKUP(D51,'G-6 Hedgerow Data'!$B$1:$AH$15,33,FALSE))</f>
        <v/>
      </c>
      <c r="N51" s="289" t="str">
        <f t="shared" si="3"/>
        <v/>
      </c>
      <c r="O51" s="393"/>
      <c r="P51" s="281" t="str">
        <f>IF(O51="","",IF(VLOOKUP(O51,'G-3 Multipliers'!$S$3:$T$10,2,FALSE)=0,"Spatial Data Missing ⚠",VLOOKUP(O51,'G-3 Multipliers'!$S$3:$T$10,2,FALSE)))</f>
        <v/>
      </c>
      <c r="Q51" s="289" t="str">
        <f t="shared" si="4"/>
        <v/>
      </c>
      <c r="R51" s="32"/>
      <c r="S51" s="101"/>
      <c r="T51" s="108"/>
      <c r="U51" s="283" t="str">
        <f t="shared" si="5"/>
        <v/>
      </c>
      <c r="V51" s="283" t="str">
        <f t="shared" si="6"/>
        <v/>
      </c>
      <c r="W51" s="287" t="str">
        <f t="shared" si="7"/>
        <v/>
      </c>
      <c r="X51" s="291" t="str">
        <f t="shared" si="8"/>
        <v/>
      </c>
      <c r="Y51" s="105"/>
      <c r="Z51" s="104"/>
      <c r="AA51" s="104"/>
      <c r="AB51" s="104"/>
      <c r="AE51" s="30" t="str">
        <f>IFERROR(INDEX('G-6 Hedgerow Data'!$BJ$3:$BJ$15,MATCH(D51,'G-6 Hedgerow Data'!$B$3:$B$15,0)),"")</f>
        <v/>
      </c>
      <c r="AH51" s="107" t="str">
        <f t="shared" si="0"/>
        <v/>
      </c>
      <c r="AI51" s="107" t="str">
        <f t="shared" si="1"/>
        <v/>
      </c>
      <c r="AK51" s="107">
        <v>42</v>
      </c>
      <c r="AM51" s="107" t="str">
        <f t="array" ref="AM51">IFERROR(INDEX($AK$10:$AK$258,MATCH(0,IF(TRUE=$AH$10:$AH$258,COUNTIF($AM$9:$AM50,$AK$10:$AK$258),""),0)),"")</f>
        <v/>
      </c>
      <c r="AN51" s="107" t="str">
        <f t="array" ref="AN51">IFERROR(INDEX($AK$10:$AK$258,MATCH(0,IF(TRUE=$AI$10:$AI$258,COUNTIF($AN$9:$AN50,$AK$10:$AK$258),""),0)),"")</f>
        <v/>
      </c>
      <c r="AY51" s="283" t="str">
        <f t="shared" si="2"/>
        <v/>
      </c>
    </row>
    <row r="52" spans="2:51" ht="14">
      <c r="B52" s="97">
        <v>43</v>
      </c>
      <c r="C52" s="138"/>
      <c r="D52" s="138"/>
      <c r="E52" s="104"/>
      <c r="F52" s="275" t="str">
        <f>IF(D52="","",VLOOKUP(D52,'G-6 Hedgerow Data'!$B$2:$AG$15,2,FALSE))</f>
        <v/>
      </c>
      <c r="G52" s="276" t="str">
        <f>IF(D52="","",VLOOKUP(D52,'G-6 Hedgerow Data'!$B$2:$AG$15,3,FALSE))</f>
        <v/>
      </c>
      <c r="H52" s="101"/>
      <c r="I52" s="276" t="str">
        <f>IFERROR(IF(AND(D52&lt;&gt;"",H52=""),"Check data ⚠",(IF(H52="","",IF(AND(D52="Non-native and ornamental hedgerow",H52&lt;&gt;"Poor"),"Not possible ▲",(IF(AND(F52="V.Low",OR(H52="Good",H52="Moderate")),"Error ▲",VLOOKUP(H52,'G-1 All Habitats'!$Z$2:$AA$9,2,FALSE))))))),"")</f>
        <v/>
      </c>
      <c r="J52" s="105"/>
      <c r="K52" s="295" t="str">
        <f>IF(AND(J52="",D52&lt;&gt;""),"Check data ⚠",IF(J52="","",IF(VLOOKUP(J52,'G-3 Multipliers'!$L$3:$N$6,2,FALSE)=0,"Spatial Data Missing ⚠",VLOOKUP(J52,'G-3 Multipliers'!$L$3:$N$6,2,FALSE))))</f>
        <v/>
      </c>
      <c r="L52" s="299" t="str">
        <f>IF(J52="","",IF(VLOOKUP(J52,'G-3 Multipliers'!$L$3:$N$6,3,FALSE)=0,"Spatial Data Missing ⚠",VLOOKUP(J52,'G-3 Multipliers'!$L$3:$N$6,3,FALSE)))</f>
        <v/>
      </c>
      <c r="M52" s="336" t="str">
        <f>IF(D52="","",VLOOKUP(D52,'G-6 Hedgerow Data'!$B$1:$AH$15,33,FALSE))</f>
        <v/>
      </c>
      <c r="N52" s="289" t="str">
        <f t="shared" si="3"/>
        <v/>
      </c>
      <c r="O52" s="393"/>
      <c r="P52" s="281" t="str">
        <f>IF(O52="","",IF(VLOOKUP(O52,'G-3 Multipliers'!$S$3:$T$10,2,FALSE)=0,"Spatial Data Missing ⚠",VLOOKUP(O52,'G-3 Multipliers'!$S$3:$T$10,2,FALSE)))</f>
        <v/>
      </c>
      <c r="Q52" s="289" t="str">
        <f t="shared" si="4"/>
        <v/>
      </c>
      <c r="R52" s="32"/>
      <c r="S52" s="101"/>
      <c r="T52" s="108"/>
      <c r="U52" s="283" t="str">
        <f t="shared" si="5"/>
        <v/>
      </c>
      <c r="V52" s="283" t="str">
        <f t="shared" si="6"/>
        <v/>
      </c>
      <c r="W52" s="287" t="str">
        <f t="shared" si="7"/>
        <v/>
      </c>
      <c r="X52" s="291" t="str">
        <f t="shared" si="8"/>
        <v/>
      </c>
      <c r="Y52" s="105"/>
      <c r="Z52" s="104"/>
      <c r="AA52" s="104"/>
      <c r="AB52" s="104"/>
      <c r="AE52" s="30" t="str">
        <f>IFERROR(INDEX('G-6 Hedgerow Data'!$BJ$3:$BJ$15,MATCH(D52,'G-6 Hedgerow Data'!$B$3:$B$15,0)),"")</f>
        <v/>
      </c>
      <c r="AH52" s="107" t="str">
        <f t="shared" si="0"/>
        <v/>
      </c>
      <c r="AI52" s="107" t="str">
        <f t="shared" si="1"/>
        <v/>
      </c>
      <c r="AK52" s="107">
        <v>43</v>
      </c>
      <c r="AM52" s="107" t="str">
        <f t="array" ref="AM52">IFERROR(INDEX($AK$10:$AK$258,MATCH(0,IF(TRUE=$AH$10:$AH$258,COUNTIF($AM$9:$AM51,$AK$10:$AK$258),""),0)),"")</f>
        <v/>
      </c>
      <c r="AN52" s="107" t="str">
        <f t="array" ref="AN52">IFERROR(INDEX($AK$10:$AK$258,MATCH(0,IF(TRUE=$AI$10:$AI$258,COUNTIF($AN$9:$AN51,$AK$10:$AK$258),""),0)),"")</f>
        <v/>
      </c>
      <c r="AY52" s="283" t="str">
        <f t="shared" si="2"/>
        <v/>
      </c>
    </row>
    <row r="53" spans="2:51" ht="14">
      <c r="B53" s="97">
        <v>44</v>
      </c>
      <c r="C53" s="138"/>
      <c r="D53" s="138"/>
      <c r="E53" s="104"/>
      <c r="F53" s="275" t="str">
        <f>IF(D53="","",VLOOKUP(D53,'G-6 Hedgerow Data'!$B$2:$AG$15,2,FALSE))</f>
        <v/>
      </c>
      <c r="G53" s="276" t="str">
        <f>IF(D53="","",VLOOKUP(D53,'G-6 Hedgerow Data'!$B$2:$AG$15,3,FALSE))</f>
        <v/>
      </c>
      <c r="H53" s="101"/>
      <c r="I53" s="276" t="str">
        <f>IFERROR(IF(AND(D53&lt;&gt;"",H53=""),"Check data ⚠",(IF(H53="","",IF(AND(D53="Non-native and ornamental hedgerow",H53&lt;&gt;"Poor"),"Not possible ▲",(IF(AND(F53="V.Low",OR(H53="Good",H53="Moderate")),"Error ▲",VLOOKUP(H53,'G-1 All Habitats'!$Z$2:$AA$9,2,FALSE))))))),"")</f>
        <v/>
      </c>
      <c r="J53" s="105"/>
      <c r="K53" s="295" t="str">
        <f>IF(AND(J53="",D53&lt;&gt;""),"Check data ⚠",IF(J53="","",IF(VLOOKUP(J53,'G-3 Multipliers'!$L$3:$N$6,2,FALSE)=0,"Spatial Data Missing ⚠",VLOOKUP(J53,'G-3 Multipliers'!$L$3:$N$6,2,FALSE))))</f>
        <v/>
      </c>
      <c r="L53" s="299" t="str">
        <f>IF(J53="","",IF(VLOOKUP(J53,'G-3 Multipliers'!$L$3:$N$6,3,FALSE)=0,"Spatial Data Missing ⚠",VLOOKUP(J53,'G-3 Multipliers'!$L$3:$N$6,3,FALSE)))</f>
        <v/>
      </c>
      <c r="M53" s="336" t="str">
        <f>IF(D53="","",VLOOKUP(D53,'G-6 Hedgerow Data'!$B$1:$AH$15,33,FALSE))</f>
        <v/>
      </c>
      <c r="N53" s="289" t="str">
        <f t="shared" si="3"/>
        <v/>
      </c>
      <c r="O53" s="393"/>
      <c r="P53" s="281" t="str">
        <f>IF(O53="","",IF(VLOOKUP(O53,'G-3 Multipliers'!$S$3:$T$10,2,FALSE)=0,"Spatial Data Missing ⚠",VLOOKUP(O53,'G-3 Multipliers'!$S$3:$T$10,2,FALSE)))</f>
        <v/>
      </c>
      <c r="Q53" s="289" t="str">
        <f t="shared" si="4"/>
        <v/>
      </c>
      <c r="R53" s="32"/>
      <c r="S53" s="101"/>
      <c r="T53" s="108"/>
      <c r="U53" s="283" t="str">
        <f t="shared" si="5"/>
        <v/>
      </c>
      <c r="V53" s="283" t="str">
        <f t="shared" si="6"/>
        <v/>
      </c>
      <c r="W53" s="287" t="str">
        <f t="shared" si="7"/>
        <v/>
      </c>
      <c r="X53" s="291" t="str">
        <f t="shared" si="8"/>
        <v/>
      </c>
      <c r="Y53" s="105"/>
      <c r="Z53" s="104"/>
      <c r="AA53" s="104"/>
      <c r="AB53" s="104"/>
      <c r="AE53" s="30" t="str">
        <f>IFERROR(INDEX('G-6 Hedgerow Data'!$BJ$3:$BJ$15,MATCH(D53,'G-6 Hedgerow Data'!$B$3:$B$15,0)),"")</f>
        <v/>
      </c>
      <c r="AH53" s="107" t="str">
        <f t="shared" si="0"/>
        <v/>
      </c>
      <c r="AI53" s="107" t="str">
        <f t="shared" si="1"/>
        <v/>
      </c>
      <c r="AK53" s="107">
        <v>44</v>
      </c>
      <c r="AM53" s="107" t="str">
        <f t="array" ref="AM53">IFERROR(INDEX($AK$10:$AK$258,MATCH(0,IF(TRUE=$AH$10:$AH$258,COUNTIF($AM$9:$AM52,$AK$10:$AK$258),""),0)),"")</f>
        <v/>
      </c>
      <c r="AN53" s="107" t="str">
        <f t="array" ref="AN53">IFERROR(INDEX($AK$10:$AK$258,MATCH(0,IF(TRUE=$AI$10:$AI$258,COUNTIF($AN$9:$AN52,$AK$10:$AK$258),""),0)),"")</f>
        <v/>
      </c>
      <c r="AY53" s="283" t="str">
        <f t="shared" si="2"/>
        <v/>
      </c>
    </row>
    <row r="54" spans="2:51" ht="14">
      <c r="B54" s="97">
        <v>45</v>
      </c>
      <c r="C54" s="138"/>
      <c r="D54" s="138"/>
      <c r="E54" s="104"/>
      <c r="F54" s="275" t="str">
        <f>IF(D54="","",VLOOKUP(D54,'G-6 Hedgerow Data'!$B$2:$AG$15,2,FALSE))</f>
        <v/>
      </c>
      <c r="G54" s="276" t="str">
        <f>IF(D54="","",VLOOKUP(D54,'G-6 Hedgerow Data'!$B$2:$AG$15,3,FALSE))</f>
        <v/>
      </c>
      <c r="H54" s="101"/>
      <c r="I54" s="276" t="str">
        <f>IFERROR(IF(AND(D54&lt;&gt;"",H54=""),"Check data ⚠",(IF(H54="","",IF(AND(D54="Non-native and ornamental hedgerow",H54&lt;&gt;"Poor"),"Not possible ▲",(IF(AND(F54="V.Low",OR(H54="Good",H54="Moderate")),"Error ▲",VLOOKUP(H54,'G-1 All Habitats'!$Z$2:$AA$9,2,FALSE))))))),"")</f>
        <v/>
      </c>
      <c r="J54" s="105"/>
      <c r="K54" s="295" t="str">
        <f>IF(AND(J54="",D54&lt;&gt;""),"Check data ⚠",IF(J54="","",IF(VLOOKUP(J54,'G-3 Multipliers'!$L$3:$N$6,2,FALSE)=0,"Spatial Data Missing ⚠",VLOOKUP(J54,'G-3 Multipliers'!$L$3:$N$6,2,FALSE))))</f>
        <v/>
      </c>
      <c r="L54" s="299" t="str">
        <f>IF(J54="","",IF(VLOOKUP(J54,'G-3 Multipliers'!$L$3:$N$6,3,FALSE)=0,"Spatial Data Missing ⚠",VLOOKUP(J54,'G-3 Multipliers'!$L$3:$N$6,3,FALSE)))</f>
        <v/>
      </c>
      <c r="M54" s="336" t="str">
        <f>IF(D54="","",VLOOKUP(D54,'G-6 Hedgerow Data'!$B$1:$AH$15,33,FALSE))</f>
        <v/>
      </c>
      <c r="N54" s="289" t="str">
        <f t="shared" si="3"/>
        <v/>
      </c>
      <c r="O54" s="393"/>
      <c r="P54" s="281" t="str">
        <f>IF(O54="","",IF(VLOOKUP(O54,'G-3 Multipliers'!$S$3:$T$10,2,FALSE)=0,"Spatial Data Missing ⚠",VLOOKUP(O54,'G-3 Multipliers'!$S$3:$T$10,2,FALSE)))</f>
        <v/>
      </c>
      <c r="Q54" s="289" t="str">
        <f t="shared" si="4"/>
        <v/>
      </c>
      <c r="R54" s="32"/>
      <c r="S54" s="101"/>
      <c r="T54" s="108"/>
      <c r="U54" s="283" t="str">
        <f t="shared" si="5"/>
        <v/>
      </c>
      <c r="V54" s="283" t="str">
        <f t="shared" si="6"/>
        <v/>
      </c>
      <c r="W54" s="287" t="str">
        <f t="shared" si="7"/>
        <v/>
      </c>
      <c r="X54" s="291" t="str">
        <f t="shared" si="8"/>
        <v/>
      </c>
      <c r="Y54" s="105"/>
      <c r="Z54" s="104"/>
      <c r="AA54" s="104"/>
      <c r="AB54" s="104"/>
      <c r="AE54" s="30" t="str">
        <f>IFERROR(INDEX('G-6 Hedgerow Data'!$BJ$3:$BJ$15,MATCH(D54,'G-6 Hedgerow Data'!$B$3:$B$15,0)),"")</f>
        <v/>
      </c>
      <c r="AH54" s="107" t="str">
        <f t="shared" si="0"/>
        <v/>
      </c>
      <c r="AI54" s="107" t="str">
        <f t="shared" si="1"/>
        <v/>
      </c>
      <c r="AK54" s="107">
        <v>45</v>
      </c>
      <c r="AM54" s="107" t="str">
        <f t="array" ref="AM54">IFERROR(INDEX($AK$10:$AK$258,MATCH(0,IF(TRUE=$AH$10:$AH$258,COUNTIF($AM$9:$AM53,$AK$10:$AK$258),""),0)),"")</f>
        <v/>
      </c>
      <c r="AN54" s="107" t="str">
        <f t="array" ref="AN54">IFERROR(INDEX($AK$10:$AK$258,MATCH(0,IF(TRUE=$AI$10:$AI$258,COUNTIF($AN$9:$AN53,$AK$10:$AK$258),""),0)),"")</f>
        <v/>
      </c>
      <c r="AY54" s="283" t="str">
        <f t="shared" si="2"/>
        <v/>
      </c>
    </row>
    <row r="55" spans="2:51" ht="14">
      <c r="B55" s="97">
        <v>46</v>
      </c>
      <c r="C55" s="138"/>
      <c r="D55" s="138"/>
      <c r="E55" s="104"/>
      <c r="F55" s="275" t="str">
        <f>IF(D55="","",VLOOKUP(D55,'G-6 Hedgerow Data'!$B$2:$AG$15,2,FALSE))</f>
        <v/>
      </c>
      <c r="G55" s="276" t="str">
        <f>IF(D55="","",VLOOKUP(D55,'G-6 Hedgerow Data'!$B$2:$AG$15,3,FALSE))</f>
        <v/>
      </c>
      <c r="H55" s="101"/>
      <c r="I55" s="276" t="str">
        <f>IFERROR(IF(AND(D55&lt;&gt;"",H55=""),"Check data ⚠",(IF(H55="","",IF(AND(D55="Non-native and ornamental hedgerow",H55&lt;&gt;"Poor"),"Not possible ▲",(IF(AND(F55="V.Low",OR(H55="Good",H55="Moderate")),"Error ▲",VLOOKUP(H55,'G-1 All Habitats'!$Z$2:$AA$9,2,FALSE))))))),"")</f>
        <v/>
      </c>
      <c r="J55" s="105"/>
      <c r="K55" s="295" t="str">
        <f>IF(AND(J55="",D55&lt;&gt;""),"Check data ⚠",IF(J55="","",IF(VLOOKUP(J55,'G-3 Multipliers'!$L$3:$N$6,2,FALSE)=0,"Spatial Data Missing ⚠",VLOOKUP(J55,'G-3 Multipliers'!$L$3:$N$6,2,FALSE))))</f>
        <v/>
      </c>
      <c r="L55" s="299" t="str">
        <f>IF(J55="","",IF(VLOOKUP(J55,'G-3 Multipliers'!$L$3:$N$6,3,FALSE)=0,"Spatial Data Missing ⚠",VLOOKUP(J55,'G-3 Multipliers'!$L$3:$N$6,3,FALSE)))</f>
        <v/>
      </c>
      <c r="M55" s="336" t="str">
        <f>IF(D55="","",VLOOKUP(D55,'G-6 Hedgerow Data'!$B$1:$AH$15,33,FALSE))</f>
        <v/>
      </c>
      <c r="N55" s="289" t="str">
        <f t="shared" si="3"/>
        <v/>
      </c>
      <c r="O55" s="393"/>
      <c r="P55" s="281" t="str">
        <f>IF(O55="","",IF(VLOOKUP(O55,'G-3 Multipliers'!$S$3:$T$10,2,FALSE)=0,"Spatial Data Missing ⚠",VLOOKUP(O55,'G-3 Multipliers'!$S$3:$T$10,2,FALSE)))</f>
        <v/>
      </c>
      <c r="Q55" s="289" t="str">
        <f t="shared" si="4"/>
        <v/>
      </c>
      <c r="R55" s="32"/>
      <c r="S55" s="101"/>
      <c r="T55" s="108"/>
      <c r="U55" s="283" t="str">
        <f t="shared" si="5"/>
        <v/>
      </c>
      <c r="V55" s="283" t="str">
        <f t="shared" si="6"/>
        <v/>
      </c>
      <c r="W55" s="287" t="str">
        <f t="shared" si="7"/>
        <v/>
      </c>
      <c r="X55" s="291" t="str">
        <f t="shared" si="8"/>
        <v/>
      </c>
      <c r="Y55" s="105"/>
      <c r="Z55" s="104"/>
      <c r="AA55" s="104"/>
      <c r="AB55" s="104"/>
      <c r="AE55" s="30" t="str">
        <f>IFERROR(INDEX('G-6 Hedgerow Data'!$BJ$3:$BJ$15,MATCH(D55,'G-6 Hedgerow Data'!$B$3:$B$15,0)),"")</f>
        <v/>
      </c>
      <c r="AH55" s="107" t="str">
        <f t="shared" si="0"/>
        <v/>
      </c>
      <c r="AI55" s="107" t="str">
        <f t="shared" si="1"/>
        <v/>
      </c>
      <c r="AK55" s="107">
        <v>46</v>
      </c>
      <c r="AM55" s="107" t="str">
        <f t="array" ref="AM55">IFERROR(INDEX($AK$10:$AK$258,MATCH(0,IF(TRUE=$AH$10:$AH$258,COUNTIF($AM$9:$AM54,$AK$10:$AK$258),""),0)),"")</f>
        <v/>
      </c>
      <c r="AN55" s="107" t="str">
        <f t="array" ref="AN55">IFERROR(INDEX($AK$10:$AK$258,MATCH(0,IF(TRUE=$AI$10:$AI$258,COUNTIF($AN$9:$AN54,$AK$10:$AK$258),""),0)),"")</f>
        <v/>
      </c>
      <c r="AY55" s="283" t="str">
        <f t="shared" si="2"/>
        <v/>
      </c>
    </row>
    <row r="56" spans="2:51" ht="14">
      <c r="B56" s="97">
        <v>47</v>
      </c>
      <c r="C56" s="138"/>
      <c r="D56" s="138"/>
      <c r="E56" s="104"/>
      <c r="F56" s="275" t="str">
        <f>IF(D56="","",VLOOKUP(D56,'G-6 Hedgerow Data'!$B$2:$AG$15,2,FALSE))</f>
        <v/>
      </c>
      <c r="G56" s="276" t="str">
        <f>IF(D56="","",VLOOKUP(D56,'G-6 Hedgerow Data'!$B$2:$AG$15,3,FALSE))</f>
        <v/>
      </c>
      <c r="H56" s="101"/>
      <c r="I56" s="276" t="str">
        <f>IFERROR(IF(AND(D56&lt;&gt;"",H56=""),"Check data ⚠",(IF(H56="","",IF(AND(D56="Non-native and ornamental hedgerow",H56&lt;&gt;"Poor"),"Not possible ▲",(IF(AND(F56="V.Low",OR(H56="Good",H56="Moderate")),"Error ▲",VLOOKUP(H56,'G-1 All Habitats'!$Z$2:$AA$9,2,FALSE))))))),"")</f>
        <v/>
      </c>
      <c r="J56" s="105"/>
      <c r="K56" s="295" t="str">
        <f>IF(AND(J56="",D56&lt;&gt;""),"Check data ⚠",IF(J56="","",IF(VLOOKUP(J56,'G-3 Multipliers'!$L$3:$N$6,2,FALSE)=0,"Spatial Data Missing ⚠",VLOOKUP(J56,'G-3 Multipliers'!$L$3:$N$6,2,FALSE))))</f>
        <v/>
      </c>
      <c r="L56" s="299" t="str">
        <f>IF(J56="","",IF(VLOOKUP(J56,'G-3 Multipliers'!$L$3:$N$6,3,FALSE)=0,"Spatial Data Missing ⚠",VLOOKUP(J56,'G-3 Multipliers'!$L$3:$N$6,3,FALSE)))</f>
        <v/>
      </c>
      <c r="M56" s="336" t="str">
        <f>IF(D56="","",VLOOKUP(D56,'G-6 Hedgerow Data'!$B$1:$AH$15,33,FALSE))</f>
        <v/>
      </c>
      <c r="N56" s="289" t="str">
        <f t="shared" si="3"/>
        <v/>
      </c>
      <c r="O56" s="393"/>
      <c r="P56" s="281" t="str">
        <f>IF(O56="","",IF(VLOOKUP(O56,'G-3 Multipliers'!$S$3:$T$10,2,FALSE)=0,"Spatial Data Missing ⚠",VLOOKUP(O56,'G-3 Multipliers'!$S$3:$T$10,2,FALSE)))</f>
        <v/>
      </c>
      <c r="Q56" s="289" t="str">
        <f t="shared" si="4"/>
        <v/>
      </c>
      <c r="R56" s="32"/>
      <c r="S56" s="101"/>
      <c r="T56" s="108"/>
      <c r="U56" s="283" t="str">
        <f t="shared" si="5"/>
        <v/>
      </c>
      <c r="V56" s="283" t="str">
        <f t="shared" si="6"/>
        <v/>
      </c>
      <c r="W56" s="287" t="str">
        <f t="shared" si="7"/>
        <v/>
      </c>
      <c r="X56" s="291" t="str">
        <f t="shared" si="8"/>
        <v/>
      </c>
      <c r="Y56" s="105"/>
      <c r="Z56" s="104"/>
      <c r="AA56" s="104"/>
      <c r="AB56" s="104"/>
      <c r="AE56" s="30" t="str">
        <f>IFERROR(INDEX('G-6 Hedgerow Data'!$BJ$3:$BJ$15,MATCH(D56,'G-6 Hedgerow Data'!$B$3:$B$15,0)),"")</f>
        <v/>
      </c>
      <c r="AH56" s="107" t="str">
        <f t="shared" si="0"/>
        <v/>
      </c>
      <c r="AI56" s="107" t="str">
        <f t="shared" si="1"/>
        <v/>
      </c>
      <c r="AK56" s="107">
        <v>47</v>
      </c>
      <c r="AM56" s="107" t="str">
        <f t="array" ref="AM56">IFERROR(INDEX($AK$10:$AK$258,MATCH(0,IF(TRUE=$AH$10:$AH$258,COUNTIF($AM$9:$AM55,$AK$10:$AK$258),""),0)),"")</f>
        <v/>
      </c>
      <c r="AN56" s="107" t="str">
        <f t="array" ref="AN56">IFERROR(INDEX($AK$10:$AK$258,MATCH(0,IF(TRUE=$AI$10:$AI$258,COUNTIF($AN$9:$AN55,$AK$10:$AK$258),""),0)),"")</f>
        <v/>
      </c>
      <c r="AY56" s="283" t="str">
        <f t="shared" si="2"/>
        <v/>
      </c>
    </row>
    <row r="57" spans="2:51" ht="14">
      <c r="B57" s="97">
        <v>48</v>
      </c>
      <c r="C57" s="138"/>
      <c r="D57" s="138"/>
      <c r="E57" s="104"/>
      <c r="F57" s="275" t="str">
        <f>IF(D57="","",VLOOKUP(D57,'G-6 Hedgerow Data'!$B$2:$AG$15,2,FALSE))</f>
        <v/>
      </c>
      <c r="G57" s="276" t="str">
        <f>IF(D57="","",VLOOKUP(D57,'G-6 Hedgerow Data'!$B$2:$AG$15,3,FALSE))</f>
        <v/>
      </c>
      <c r="H57" s="101"/>
      <c r="I57" s="276" t="str">
        <f>IFERROR(IF(AND(D57&lt;&gt;"",H57=""),"Check data ⚠",(IF(H57="","",IF(AND(D57="Non-native and ornamental hedgerow",H57&lt;&gt;"Poor"),"Not possible ▲",(IF(AND(F57="V.Low",OR(H57="Good",H57="Moderate")),"Error ▲",VLOOKUP(H57,'G-1 All Habitats'!$Z$2:$AA$9,2,FALSE))))))),"")</f>
        <v/>
      </c>
      <c r="J57" s="105"/>
      <c r="K57" s="295" t="str">
        <f>IF(AND(J57="",D57&lt;&gt;""),"Check data ⚠",IF(J57="","",IF(VLOOKUP(J57,'G-3 Multipliers'!$L$3:$N$6,2,FALSE)=0,"Spatial Data Missing ⚠",VLOOKUP(J57,'G-3 Multipliers'!$L$3:$N$6,2,FALSE))))</f>
        <v/>
      </c>
      <c r="L57" s="299" t="str">
        <f>IF(J57="","",IF(VLOOKUP(J57,'G-3 Multipliers'!$L$3:$N$6,3,FALSE)=0,"Spatial Data Missing ⚠",VLOOKUP(J57,'G-3 Multipliers'!$L$3:$N$6,3,FALSE)))</f>
        <v/>
      </c>
      <c r="M57" s="336" t="str">
        <f>IF(D57="","",VLOOKUP(D57,'G-6 Hedgerow Data'!$B$1:$AH$15,33,FALSE))</f>
        <v/>
      </c>
      <c r="N57" s="289" t="str">
        <f t="shared" si="3"/>
        <v/>
      </c>
      <c r="O57" s="393"/>
      <c r="P57" s="281" t="str">
        <f>IF(O57="","",IF(VLOOKUP(O57,'G-3 Multipliers'!$S$3:$T$10,2,FALSE)=0,"Spatial Data Missing ⚠",VLOOKUP(O57,'G-3 Multipliers'!$S$3:$T$10,2,FALSE)))</f>
        <v/>
      </c>
      <c r="Q57" s="289" t="str">
        <f t="shared" si="4"/>
        <v/>
      </c>
      <c r="R57" s="32"/>
      <c r="S57" s="101"/>
      <c r="T57" s="108"/>
      <c r="U57" s="283" t="str">
        <f t="shared" si="5"/>
        <v/>
      </c>
      <c r="V57" s="283" t="str">
        <f t="shared" si="6"/>
        <v/>
      </c>
      <c r="W57" s="287" t="str">
        <f t="shared" si="7"/>
        <v/>
      </c>
      <c r="X57" s="291" t="str">
        <f t="shared" si="8"/>
        <v/>
      </c>
      <c r="Y57" s="105"/>
      <c r="Z57" s="104"/>
      <c r="AA57" s="104"/>
      <c r="AB57" s="104"/>
      <c r="AE57" s="30" t="str">
        <f>IFERROR(INDEX('G-6 Hedgerow Data'!$BJ$3:$BJ$15,MATCH(D57,'G-6 Hedgerow Data'!$B$3:$B$15,0)),"")</f>
        <v/>
      </c>
      <c r="AH57" s="107" t="str">
        <f t="shared" si="0"/>
        <v/>
      </c>
      <c r="AI57" s="107" t="str">
        <f t="shared" si="1"/>
        <v/>
      </c>
      <c r="AK57" s="107">
        <v>48</v>
      </c>
      <c r="AM57" s="107" t="str">
        <f t="array" ref="AM57">IFERROR(INDEX($AK$10:$AK$258,MATCH(0,IF(TRUE=$AH$10:$AH$258,COUNTIF($AM$9:$AM56,$AK$10:$AK$258),""),0)),"")</f>
        <v/>
      </c>
      <c r="AN57" s="107" t="str">
        <f t="array" ref="AN57">IFERROR(INDEX($AK$10:$AK$258,MATCH(0,IF(TRUE=$AI$10:$AI$258,COUNTIF($AN$9:$AN56,$AK$10:$AK$258),""),0)),"")</f>
        <v/>
      </c>
      <c r="AY57" s="283" t="str">
        <f t="shared" si="2"/>
        <v/>
      </c>
    </row>
    <row r="58" spans="2:51" ht="14">
      <c r="B58" s="97">
        <v>49</v>
      </c>
      <c r="C58" s="138"/>
      <c r="D58" s="138"/>
      <c r="E58" s="104"/>
      <c r="F58" s="275" t="str">
        <f>IF(D58="","",VLOOKUP(D58,'G-6 Hedgerow Data'!$B$2:$AG$15,2,FALSE))</f>
        <v/>
      </c>
      <c r="G58" s="276" t="str">
        <f>IF(D58="","",VLOOKUP(D58,'G-6 Hedgerow Data'!$B$2:$AG$15,3,FALSE))</f>
        <v/>
      </c>
      <c r="H58" s="101"/>
      <c r="I58" s="276" t="str">
        <f>IFERROR(IF(AND(D58&lt;&gt;"",H58=""),"Check data ⚠",(IF(H58="","",IF(AND(D58="Non-native and ornamental hedgerow",H58&lt;&gt;"Poor"),"Not possible ▲",(IF(AND(F58="V.Low",OR(H58="Good",H58="Moderate")),"Error ▲",VLOOKUP(H58,'G-1 All Habitats'!$Z$2:$AA$9,2,FALSE))))))),"")</f>
        <v/>
      </c>
      <c r="J58" s="105"/>
      <c r="K58" s="295" t="str">
        <f>IF(AND(J58="",D58&lt;&gt;""),"Check data ⚠",IF(J58="","",IF(VLOOKUP(J58,'G-3 Multipliers'!$L$3:$N$6,2,FALSE)=0,"Spatial Data Missing ⚠",VLOOKUP(J58,'G-3 Multipliers'!$L$3:$N$6,2,FALSE))))</f>
        <v/>
      </c>
      <c r="L58" s="299" t="str">
        <f>IF(J58="","",IF(VLOOKUP(J58,'G-3 Multipliers'!$L$3:$N$6,3,FALSE)=0,"Spatial Data Missing ⚠",VLOOKUP(J58,'G-3 Multipliers'!$L$3:$N$6,3,FALSE)))</f>
        <v/>
      </c>
      <c r="M58" s="336" t="str">
        <f>IF(D58="","",VLOOKUP(D58,'G-6 Hedgerow Data'!$B$1:$AH$15,33,FALSE))</f>
        <v/>
      </c>
      <c r="N58" s="289" t="str">
        <f t="shared" si="3"/>
        <v/>
      </c>
      <c r="O58" s="393"/>
      <c r="P58" s="281" t="str">
        <f>IF(O58="","",IF(VLOOKUP(O58,'G-3 Multipliers'!$S$3:$T$10,2,FALSE)=0,"Spatial Data Missing ⚠",VLOOKUP(O58,'G-3 Multipliers'!$S$3:$T$10,2,FALSE)))</f>
        <v/>
      </c>
      <c r="Q58" s="289" t="str">
        <f t="shared" si="4"/>
        <v/>
      </c>
      <c r="R58" s="32"/>
      <c r="S58" s="101"/>
      <c r="T58" s="108"/>
      <c r="U58" s="283" t="str">
        <f t="shared" si="5"/>
        <v/>
      </c>
      <c r="V58" s="283" t="str">
        <f t="shared" si="6"/>
        <v/>
      </c>
      <c r="W58" s="287" t="str">
        <f t="shared" si="7"/>
        <v/>
      </c>
      <c r="X58" s="291" t="str">
        <f t="shared" si="8"/>
        <v/>
      </c>
      <c r="Y58" s="105"/>
      <c r="Z58" s="104"/>
      <c r="AA58" s="104"/>
      <c r="AB58" s="104"/>
      <c r="AE58" s="30" t="str">
        <f>IFERROR(INDEX('G-6 Hedgerow Data'!$BJ$3:$BJ$15,MATCH(D58,'G-6 Hedgerow Data'!$B$3:$B$15,0)),"")</f>
        <v/>
      </c>
      <c r="AH58" s="107" t="str">
        <f t="shared" si="0"/>
        <v/>
      </c>
      <c r="AI58" s="107" t="str">
        <f t="shared" si="1"/>
        <v/>
      </c>
      <c r="AK58" s="107">
        <v>49</v>
      </c>
      <c r="AM58" s="107" t="str">
        <f t="array" ref="AM58">IFERROR(INDEX($AK$10:$AK$258,MATCH(0,IF(TRUE=$AH$10:$AH$258,COUNTIF($AM$9:$AM57,$AK$10:$AK$258),""),0)),"")</f>
        <v/>
      </c>
      <c r="AN58" s="107" t="str">
        <f t="array" ref="AN58">IFERROR(INDEX($AK$10:$AK$258,MATCH(0,IF(TRUE=$AI$10:$AI$258,COUNTIF($AN$9:$AN57,$AK$10:$AK$258),""),0)),"")</f>
        <v/>
      </c>
      <c r="AY58" s="283" t="str">
        <f t="shared" si="2"/>
        <v/>
      </c>
    </row>
    <row r="59" spans="2:51" ht="14">
      <c r="B59" s="97">
        <v>50</v>
      </c>
      <c r="C59" s="138"/>
      <c r="D59" s="138"/>
      <c r="E59" s="104"/>
      <c r="F59" s="275" t="str">
        <f>IF(D59="","",VLOOKUP(D59,'G-6 Hedgerow Data'!$B$2:$AG$15,2,FALSE))</f>
        <v/>
      </c>
      <c r="G59" s="276" t="str">
        <f>IF(D59="","",VLOOKUP(D59,'G-6 Hedgerow Data'!$B$2:$AG$15,3,FALSE))</f>
        <v/>
      </c>
      <c r="H59" s="101"/>
      <c r="I59" s="276" t="str">
        <f>IFERROR(IF(AND(D59&lt;&gt;"",H59=""),"Check data ⚠",(IF(H59="","",IF(AND(D59="Non-native and ornamental hedgerow",H59&lt;&gt;"Poor"),"Not possible ▲",(IF(AND(F59="V.Low",OR(H59="Good",H59="Moderate")),"Error ▲",VLOOKUP(H59,'G-1 All Habitats'!$Z$2:$AA$9,2,FALSE))))))),"")</f>
        <v/>
      </c>
      <c r="J59" s="105"/>
      <c r="K59" s="295" t="str">
        <f>IF(AND(J59="",D59&lt;&gt;""),"Check data ⚠",IF(J59="","",IF(VLOOKUP(J59,'G-3 Multipliers'!$L$3:$N$6,2,FALSE)=0,"Spatial Data Missing ⚠",VLOOKUP(J59,'G-3 Multipliers'!$L$3:$N$6,2,FALSE))))</f>
        <v/>
      </c>
      <c r="L59" s="299" t="str">
        <f>IF(J59="","",IF(VLOOKUP(J59,'G-3 Multipliers'!$L$3:$N$6,3,FALSE)=0,"Spatial Data Missing ⚠",VLOOKUP(J59,'G-3 Multipliers'!$L$3:$N$6,3,FALSE)))</f>
        <v/>
      </c>
      <c r="M59" s="336" t="str">
        <f>IF(D59="","",VLOOKUP(D59,'G-6 Hedgerow Data'!$B$1:$AH$15,33,FALSE))</f>
        <v/>
      </c>
      <c r="N59" s="289" t="str">
        <f t="shared" si="3"/>
        <v/>
      </c>
      <c r="O59" s="393"/>
      <c r="P59" s="281" t="str">
        <f>IF(O59="","",IF(VLOOKUP(O59,'G-3 Multipliers'!$S$3:$T$10,2,FALSE)=0,"Spatial Data Missing ⚠",VLOOKUP(O59,'G-3 Multipliers'!$S$3:$T$10,2,FALSE)))</f>
        <v/>
      </c>
      <c r="Q59" s="289" t="str">
        <f t="shared" si="4"/>
        <v/>
      </c>
      <c r="R59" s="32"/>
      <c r="S59" s="101"/>
      <c r="T59" s="108"/>
      <c r="U59" s="283" t="str">
        <f t="shared" si="5"/>
        <v/>
      </c>
      <c r="V59" s="283" t="str">
        <f t="shared" si="6"/>
        <v/>
      </c>
      <c r="W59" s="287" t="str">
        <f t="shared" si="7"/>
        <v/>
      </c>
      <c r="X59" s="291" t="str">
        <f t="shared" si="8"/>
        <v/>
      </c>
      <c r="Y59" s="105"/>
      <c r="Z59" s="104"/>
      <c r="AA59" s="104"/>
      <c r="AB59" s="104"/>
      <c r="AE59" s="30" t="str">
        <f>IFERROR(INDEX('G-6 Hedgerow Data'!$BJ$3:$BJ$15,MATCH(D59,'G-6 Hedgerow Data'!$B$3:$B$15,0)),"")</f>
        <v/>
      </c>
      <c r="AH59" s="107" t="str">
        <f t="shared" si="0"/>
        <v/>
      </c>
      <c r="AI59" s="107" t="str">
        <f t="shared" si="1"/>
        <v/>
      </c>
      <c r="AK59" s="107">
        <v>50</v>
      </c>
      <c r="AM59" s="107" t="str">
        <f t="array" ref="AM59">IFERROR(INDEX($AK$10:$AK$258,MATCH(0,IF(TRUE=$AH$10:$AH$258,COUNTIF($AM$9:$AM58,$AK$10:$AK$258),""),0)),"")</f>
        <v/>
      </c>
      <c r="AN59" s="107" t="str">
        <f t="array" ref="AN59">IFERROR(INDEX($AK$10:$AK$258,MATCH(0,IF(TRUE=$AI$10:$AI$258,COUNTIF($AN$9:$AN58,$AK$10:$AK$258),""),0)),"")</f>
        <v/>
      </c>
      <c r="AY59" s="283" t="str">
        <f t="shared" si="2"/>
        <v/>
      </c>
    </row>
    <row r="60" spans="2:51" ht="14">
      <c r="B60" s="97">
        <v>51</v>
      </c>
      <c r="C60" s="138"/>
      <c r="D60" s="138"/>
      <c r="E60" s="104"/>
      <c r="F60" s="275" t="str">
        <f>IF(D60="","",VLOOKUP(D60,'G-6 Hedgerow Data'!$B$2:$AG$15,2,FALSE))</f>
        <v/>
      </c>
      <c r="G60" s="276" t="str">
        <f>IF(D60="","",VLOOKUP(D60,'G-6 Hedgerow Data'!$B$2:$AG$15,3,FALSE))</f>
        <v/>
      </c>
      <c r="H60" s="101"/>
      <c r="I60" s="276" t="str">
        <f>IFERROR(IF(AND(D60&lt;&gt;"",H60=""),"Check data ⚠",(IF(H60="","",IF(AND(D60="Non-native and ornamental hedgerow",H60&lt;&gt;"Poor"),"Not possible ▲",(IF(AND(F60="V.Low",OR(H60="Good",H60="Moderate")),"Error ▲",VLOOKUP(H60,'G-1 All Habitats'!$Z$2:$AA$9,2,FALSE))))))),"")</f>
        <v/>
      </c>
      <c r="J60" s="105"/>
      <c r="K60" s="295" t="str">
        <f>IF(AND(J60="",D60&lt;&gt;""),"Check data ⚠",IF(J60="","",IF(VLOOKUP(J60,'G-3 Multipliers'!$L$3:$N$6,2,FALSE)=0,"Spatial Data Missing ⚠",VLOOKUP(J60,'G-3 Multipliers'!$L$3:$N$6,2,FALSE))))</f>
        <v/>
      </c>
      <c r="L60" s="299" t="str">
        <f>IF(J60="","",IF(VLOOKUP(J60,'G-3 Multipliers'!$L$3:$N$6,3,FALSE)=0,"Spatial Data Missing ⚠",VLOOKUP(J60,'G-3 Multipliers'!$L$3:$N$6,3,FALSE)))</f>
        <v/>
      </c>
      <c r="M60" s="336" t="str">
        <f>IF(D60="","",VLOOKUP(D60,'G-6 Hedgerow Data'!$B$1:$AH$15,33,FALSE))</f>
        <v/>
      </c>
      <c r="N60" s="289" t="str">
        <f t="shared" si="3"/>
        <v/>
      </c>
      <c r="O60" s="393"/>
      <c r="P60" s="281" t="str">
        <f>IF(O60="","",IF(VLOOKUP(O60,'G-3 Multipliers'!$S$3:$T$10,2,FALSE)=0,"Spatial Data Missing ⚠",VLOOKUP(O60,'G-3 Multipliers'!$S$3:$T$10,2,FALSE)))</f>
        <v/>
      </c>
      <c r="Q60" s="289" t="str">
        <f t="shared" si="4"/>
        <v/>
      </c>
      <c r="R60" s="32"/>
      <c r="S60" s="101"/>
      <c r="T60" s="108"/>
      <c r="U60" s="283" t="str">
        <f t="shared" si="5"/>
        <v/>
      </c>
      <c r="V60" s="283" t="str">
        <f t="shared" si="6"/>
        <v/>
      </c>
      <c r="W60" s="287" t="str">
        <f t="shared" si="7"/>
        <v/>
      </c>
      <c r="X60" s="291" t="str">
        <f t="shared" si="8"/>
        <v/>
      </c>
      <c r="Y60" s="105"/>
      <c r="Z60" s="104"/>
      <c r="AA60" s="104"/>
      <c r="AB60" s="104"/>
      <c r="AE60" s="30" t="str">
        <f>IFERROR(INDEX('G-6 Hedgerow Data'!$BJ$3:$BJ$15,MATCH(D60,'G-6 Hedgerow Data'!$B$3:$B$15,0)),"")</f>
        <v/>
      </c>
      <c r="AH60" s="107" t="str">
        <f t="shared" si="0"/>
        <v/>
      </c>
      <c r="AI60" s="107" t="str">
        <f t="shared" si="1"/>
        <v/>
      </c>
      <c r="AK60" s="107">
        <v>51</v>
      </c>
      <c r="AM60" s="107" t="str">
        <f t="array" ref="AM60">IFERROR(INDEX($AK$10:$AK$258,MATCH(0,IF(TRUE=$AH$10:$AH$258,COUNTIF($AM$9:$AM59,$AK$10:$AK$258),""),0)),"")</f>
        <v/>
      </c>
      <c r="AN60" s="107" t="str">
        <f t="array" ref="AN60">IFERROR(INDEX($AK$10:$AK$258,MATCH(0,IF(TRUE=$AI$10:$AI$258,COUNTIF($AN$9:$AN59,$AK$10:$AK$258),""),0)),"")</f>
        <v/>
      </c>
      <c r="AY60" s="283" t="str">
        <f t="shared" si="2"/>
        <v/>
      </c>
    </row>
    <row r="61" spans="2:51" ht="14">
      <c r="B61" s="97">
        <v>52</v>
      </c>
      <c r="C61" s="138"/>
      <c r="D61" s="138"/>
      <c r="E61" s="104"/>
      <c r="F61" s="275" t="str">
        <f>IF(D61="","",VLOOKUP(D61,'G-6 Hedgerow Data'!$B$2:$AG$15,2,FALSE))</f>
        <v/>
      </c>
      <c r="G61" s="276" t="str">
        <f>IF(D61="","",VLOOKUP(D61,'G-6 Hedgerow Data'!$B$2:$AG$15,3,FALSE))</f>
        <v/>
      </c>
      <c r="H61" s="101"/>
      <c r="I61" s="276" t="str">
        <f>IFERROR(IF(AND(D61&lt;&gt;"",H61=""),"Check data ⚠",(IF(H61="","",IF(AND(D61="Non-native and ornamental hedgerow",H61&lt;&gt;"Poor"),"Not possible ▲",(IF(AND(F61="V.Low",OR(H61="Good",H61="Moderate")),"Error ▲",VLOOKUP(H61,'G-1 All Habitats'!$Z$2:$AA$9,2,FALSE))))))),"")</f>
        <v/>
      </c>
      <c r="J61" s="105"/>
      <c r="K61" s="295" t="str">
        <f>IF(AND(J61="",D61&lt;&gt;""),"Check data ⚠",IF(J61="","",IF(VLOOKUP(J61,'G-3 Multipliers'!$L$3:$N$6,2,FALSE)=0,"Spatial Data Missing ⚠",VLOOKUP(J61,'G-3 Multipliers'!$L$3:$N$6,2,FALSE))))</f>
        <v/>
      </c>
      <c r="L61" s="299" t="str">
        <f>IF(J61="","",IF(VLOOKUP(J61,'G-3 Multipliers'!$L$3:$N$6,3,FALSE)=0,"Spatial Data Missing ⚠",VLOOKUP(J61,'G-3 Multipliers'!$L$3:$N$6,3,FALSE)))</f>
        <v/>
      </c>
      <c r="M61" s="336" t="str">
        <f>IF(D61="","",VLOOKUP(D61,'G-6 Hedgerow Data'!$B$1:$AH$15,33,FALSE))</f>
        <v/>
      </c>
      <c r="N61" s="289" t="str">
        <f t="shared" si="3"/>
        <v/>
      </c>
      <c r="O61" s="393"/>
      <c r="P61" s="281" t="str">
        <f>IF(O61="","",IF(VLOOKUP(O61,'G-3 Multipliers'!$S$3:$T$10,2,FALSE)=0,"Spatial Data Missing ⚠",VLOOKUP(O61,'G-3 Multipliers'!$S$3:$T$10,2,FALSE)))</f>
        <v/>
      </c>
      <c r="Q61" s="289" t="str">
        <f t="shared" si="4"/>
        <v/>
      </c>
      <c r="R61" s="32"/>
      <c r="S61" s="101"/>
      <c r="T61" s="108"/>
      <c r="U61" s="283" t="str">
        <f t="shared" si="5"/>
        <v/>
      </c>
      <c r="V61" s="283" t="str">
        <f t="shared" si="6"/>
        <v/>
      </c>
      <c r="W61" s="287" t="str">
        <f t="shared" si="7"/>
        <v/>
      </c>
      <c r="X61" s="291" t="str">
        <f t="shared" si="8"/>
        <v/>
      </c>
      <c r="Y61" s="105"/>
      <c r="Z61" s="104"/>
      <c r="AA61" s="104"/>
      <c r="AB61" s="104"/>
      <c r="AE61" s="30" t="str">
        <f>IFERROR(INDEX('G-6 Hedgerow Data'!$BJ$3:$BJ$15,MATCH(D61,'G-6 Hedgerow Data'!$B$3:$B$15,0)),"")</f>
        <v/>
      </c>
      <c r="AH61" s="107" t="str">
        <f t="shared" si="0"/>
        <v/>
      </c>
      <c r="AI61" s="107" t="str">
        <f t="shared" si="1"/>
        <v/>
      </c>
      <c r="AK61" s="107">
        <v>52</v>
      </c>
      <c r="AM61" s="107" t="str">
        <f t="array" ref="AM61">IFERROR(INDEX($AK$10:$AK$258,MATCH(0,IF(TRUE=$AH$10:$AH$258,COUNTIF($AM$9:$AM60,$AK$10:$AK$258),""),0)),"")</f>
        <v/>
      </c>
      <c r="AN61" s="107" t="str">
        <f t="array" ref="AN61">IFERROR(INDEX($AK$10:$AK$258,MATCH(0,IF(TRUE=$AI$10:$AI$258,COUNTIF($AN$9:$AN60,$AK$10:$AK$258),""),0)),"")</f>
        <v/>
      </c>
      <c r="AY61" s="283" t="str">
        <f t="shared" si="2"/>
        <v/>
      </c>
    </row>
    <row r="62" spans="2:51" ht="14">
      <c r="B62" s="97">
        <v>53</v>
      </c>
      <c r="C62" s="138"/>
      <c r="D62" s="138"/>
      <c r="E62" s="104"/>
      <c r="F62" s="275" t="str">
        <f>IF(D62="","",VLOOKUP(D62,'G-6 Hedgerow Data'!$B$2:$AG$15,2,FALSE))</f>
        <v/>
      </c>
      <c r="G62" s="276" t="str">
        <f>IF(D62="","",VLOOKUP(D62,'G-6 Hedgerow Data'!$B$2:$AG$15,3,FALSE))</f>
        <v/>
      </c>
      <c r="H62" s="101"/>
      <c r="I62" s="276" t="str">
        <f>IFERROR(IF(AND(D62&lt;&gt;"",H62=""),"Check data ⚠",(IF(H62="","",IF(AND(D62="Non-native and ornamental hedgerow",H62&lt;&gt;"Poor"),"Not possible ▲",(IF(AND(F62="V.Low",OR(H62="Good",H62="Moderate")),"Error ▲",VLOOKUP(H62,'G-1 All Habitats'!$Z$2:$AA$9,2,FALSE))))))),"")</f>
        <v/>
      </c>
      <c r="J62" s="105"/>
      <c r="K62" s="295" t="str">
        <f>IF(AND(J62="",D62&lt;&gt;""),"Check data ⚠",IF(J62="","",IF(VLOOKUP(J62,'G-3 Multipliers'!$L$3:$N$6,2,FALSE)=0,"Spatial Data Missing ⚠",VLOOKUP(J62,'G-3 Multipliers'!$L$3:$N$6,2,FALSE))))</f>
        <v/>
      </c>
      <c r="L62" s="299" t="str">
        <f>IF(J62="","",IF(VLOOKUP(J62,'G-3 Multipliers'!$L$3:$N$6,3,FALSE)=0,"Spatial Data Missing ⚠",VLOOKUP(J62,'G-3 Multipliers'!$L$3:$N$6,3,FALSE)))</f>
        <v/>
      </c>
      <c r="M62" s="336" t="str">
        <f>IF(D62="","",VLOOKUP(D62,'G-6 Hedgerow Data'!$B$1:$AH$15,33,FALSE))</f>
        <v/>
      </c>
      <c r="N62" s="289" t="str">
        <f t="shared" si="3"/>
        <v/>
      </c>
      <c r="O62" s="393"/>
      <c r="P62" s="281" t="str">
        <f>IF(O62="","",IF(VLOOKUP(O62,'G-3 Multipliers'!$S$3:$T$10,2,FALSE)=0,"Spatial Data Missing ⚠",VLOOKUP(O62,'G-3 Multipliers'!$S$3:$T$10,2,FALSE)))</f>
        <v/>
      </c>
      <c r="Q62" s="289" t="str">
        <f t="shared" si="4"/>
        <v/>
      </c>
      <c r="R62" s="32"/>
      <c r="S62" s="101"/>
      <c r="T62" s="108"/>
      <c r="U62" s="283" t="str">
        <f t="shared" si="5"/>
        <v/>
      </c>
      <c r="V62" s="283" t="str">
        <f t="shared" si="6"/>
        <v/>
      </c>
      <c r="W62" s="287" t="str">
        <f t="shared" si="7"/>
        <v/>
      </c>
      <c r="X62" s="291" t="str">
        <f t="shared" si="8"/>
        <v/>
      </c>
      <c r="Y62" s="105"/>
      <c r="Z62" s="104"/>
      <c r="AA62" s="104"/>
      <c r="AB62" s="104"/>
      <c r="AE62" s="30" t="str">
        <f>IFERROR(INDEX('G-6 Hedgerow Data'!$BJ$3:$BJ$15,MATCH(D62,'G-6 Hedgerow Data'!$B$3:$B$15,0)),"")</f>
        <v/>
      </c>
      <c r="AH62" s="107" t="str">
        <f t="shared" si="0"/>
        <v/>
      </c>
      <c r="AI62" s="107" t="str">
        <f t="shared" si="1"/>
        <v/>
      </c>
      <c r="AK62" s="107">
        <v>53</v>
      </c>
      <c r="AM62" s="107" t="str">
        <f t="array" ref="AM62">IFERROR(INDEX($AK$10:$AK$258,MATCH(0,IF(TRUE=$AH$10:$AH$258,COUNTIF($AM$9:$AM61,$AK$10:$AK$258),""),0)),"")</f>
        <v/>
      </c>
      <c r="AN62" s="107" t="str">
        <f t="array" ref="AN62">IFERROR(INDEX($AK$10:$AK$258,MATCH(0,IF(TRUE=$AI$10:$AI$258,COUNTIF($AN$9:$AN61,$AK$10:$AK$258),""),0)),"")</f>
        <v/>
      </c>
      <c r="AY62" s="283" t="str">
        <f t="shared" si="2"/>
        <v/>
      </c>
    </row>
    <row r="63" spans="2:51" ht="14">
      <c r="B63" s="97">
        <v>54</v>
      </c>
      <c r="C63" s="138"/>
      <c r="D63" s="138"/>
      <c r="E63" s="104"/>
      <c r="F63" s="275" t="str">
        <f>IF(D63="","",VLOOKUP(D63,'G-6 Hedgerow Data'!$B$2:$AG$15,2,FALSE))</f>
        <v/>
      </c>
      <c r="G63" s="276" t="str">
        <f>IF(D63="","",VLOOKUP(D63,'G-6 Hedgerow Data'!$B$2:$AG$15,3,FALSE))</f>
        <v/>
      </c>
      <c r="H63" s="101"/>
      <c r="I63" s="276" t="str">
        <f>IFERROR(IF(AND(D63&lt;&gt;"",H63=""),"Check data ⚠",(IF(H63="","",IF(AND(D63="Non-native and ornamental hedgerow",H63&lt;&gt;"Poor"),"Not possible ▲",(IF(AND(F63="V.Low",OR(H63="Good",H63="Moderate")),"Error ▲",VLOOKUP(H63,'G-1 All Habitats'!$Z$2:$AA$9,2,FALSE))))))),"")</f>
        <v/>
      </c>
      <c r="J63" s="105"/>
      <c r="K63" s="295" t="str">
        <f>IF(AND(J63="",D63&lt;&gt;""),"Check data ⚠",IF(J63="","",IF(VLOOKUP(J63,'G-3 Multipliers'!$L$3:$N$6,2,FALSE)=0,"Spatial Data Missing ⚠",VLOOKUP(J63,'G-3 Multipliers'!$L$3:$N$6,2,FALSE))))</f>
        <v/>
      </c>
      <c r="L63" s="299" t="str">
        <f>IF(J63="","",IF(VLOOKUP(J63,'G-3 Multipliers'!$L$3:$N$6,3,FALSE)=0,"Spatial Data Missing ⚠",VLOOKUP(J63,'G-3 Multipliers'!$L$3:$N$6,3,FALSE)))</f>
        <v/>
      </c>
      <c r="M63" s="336" t="str">
        <f>IF(D63="","",VLOOKUP(D63,'G-6 Hedgerow Data'!$B$1:$AH$15,33,FALSE))</f>
        <v/>
      </c>
      <c r="N63" s="289" t="str">
        <f t="shared" si="3"/>
        <v/>
      </c>
      <c r="O63" s="393"/>
      <c r="P63" s="281" t="str">
        <f>IF(O63="","",IF(VLOOKUP(O63,'G-3 Multipliers'!$S$3:$T$10,2,FALSE)=0,"Spatial Data Missing ⚠",VLOOKUP(O63,'G-3 Multipliers'!$S$3:$T$10,2,FALSE)))</f>
        <v/>
      </c>
      <c r="Q63" s="289" t="str">
        <f t="shared" si="4"/>
        <v/>
      </c>
      <c r="R63" s="32"/>
      <c r="S63" s="101"/>
      <c r="T63" s="108"/>
      <c r="U63" s="283" t="str">
        <f t="shared" si="5"/>
        <v/>
      </c>
      <c r="V63" s="283" t="str">
        <f t="shared" si="6"/>
        <v/>
      </c>
      <c r="W63" s="287" t="str">
        <f t="shared" si="7"/>
        <v/>
      </c>
      <c r="X63" s="291" t="str">
        <f t="shared" si="8"/>
        <v/>
      </c>
      <c r="Y63" s="105"/>
      <c r="Z63" s="104"/>
      <c r="AA63" s="104"/>
      <c r="AB63" s="104"/>
      <c r="AE63" s="30" t="str">
        <f>IFERROR(INDEX('G-6 Hedgerow Data'!$BJ$3:$BJ$15,MATCH(D63,'G-6 Hedgerow Data'!$B$3:$B$15,0)),"")</f>
        <v/>
      </c>
      <c r="AH63" s="107" t="str">
        <f t="shared" si="0"/>
        <v/>
      </c>
      <c r="AI63" s="107" t="str">
        <f t="shared" si="1"/>
        <v/>
      </c>
      <c r="AK63" s="107">
        <v>54</v>
      </c>
      <c r="AM63" s="107" t="str">
        <f t="array" ref="AM63">IFERROR(INDEX($AK$10:$AK$258,MATCH(0,IF(TRUE=$AH$10:$AH$258,COUNTIF($AM$9:$AM62,$AK$10:$AK$258),""),0)),"")</f>
        <v/>
      </c>
      <c r="AN63" s="107" t="str">
        <f t="array" ref="AN63">IFERROR(INDEX($AK$10:$AK$258,MATCH(0,IF(TRUE=$AI$10:$AI$258,COUNTIF($AN$9:$AN62,$AK$10:$AK$258),""),0)),"")</f>
        <v/>
      </c>
      <c r="AY63" s="283" t="str">
        <f t="shared" si="2"/>
        <v/>
      </c>
    </row>
    <row r="64" spans="2:51" ht="14">
      <c r="B64" s="97">
        <v>55</v>
      </c>
      <c r="C64" s="138"/>
      <c r="D64" s="138"/>
      <c r="E64" s="104"/>
      <c r="F64" s="275" t="str">
        <f>IF(D64="","",VLOOKUP(D64,'G-6 Hedgerow Data'!$B$2:$AG$15,2,FALSE))</f>
        <v/>
      </c>
      <c r="G64" s="276" t="str">
        <f>IF(D64="","",VLOOKUP(D64,'G-6 Hedgerow Data'!$B$2:$AG$15,3,FALSE))</f>
        <v/>
      </c>
      <c r="H64" s="101"/>
      <c r="I64" s="276" t="str">
        <f>IFERROR(IF(AND(D64&lt;&gt;"",H64=""),"Check data ⚠",(IF(H64="","",IF(AND(D64="Non-native and ornamental hedgerow",H64&lt;&gt;"Poor"),"Not possible ▲",(IF(AND(F64="V.Low",OR(H64="Good",H64="Moderate")),"Error ▲",VLOOKUP(H64,'G-1 All Habitats'!$Z$2:$AA$9,2,FALSE))))))),"")</f>
        <v/>
      </c>
      <c r="J64" s="105"/>
      <c r="K64" s="295" t="str">
        <f>IF(AND(J64="",D64&lt;&gt;""),"Check data ⚠",IF(J64="","",IF(VLOOKUP(J64,'G-3 Multipliers'!$L$3:$N$6,2,FALSE)=0,"Spatial Data Missing ⚠",VLOOKUP(J64,'G-3 Multipliers'!$L$3:$N$6,2,FALSE))))</f>
        <v/>
      </c>
      <c r="L64" s="299" t="str">
        <f>IF(J64="","",IF(VLOOKUP(J64,'G-3 Multipliers'!$L$3:$N$6,3,FALSE)=0,"Spatial Data Missing ⚠",VLOOKUP(J64,'G-3 Multipliers'!$L$3:$N$6,3,FALSE)))</f>
        <v/>
      </c>
      <c r="M64" s="336" t="str">
        <f>IF(D64="","",VLOOKUP(D64,'G-6 Hedgerow Data'!$B$1:$AH$15,33,FALSE))</f>
        <v/>
      </c>
      <c r="N64" s="289" t="str">
        <f t="shared" si="3"/>
        <v/>
      </c>
      <c r="O64" s="393"/>
      <c r="P64" s="281" t="str">
        <f>IF(O64="","",IF(VLOOKUP(O64,'G-3 Multipliers'!$S$3:$T$10,2,FALSE)=0,"Spatial Data Missing ⚠",VLOOKUP(O64,'G-3 Multipliers'!$S$3:$T$10,2,FALSE)))</f>
        <v/>
      </c>
      <c r="Q64" s="289" t="str">
        <f t="shared" si="4"/>
        <v/>
      </c>
      <c r="R64" s="32"/>
      <c r="S64" s="101"/>
      <c r="T64" s="108"/>
      <c r="U64" s="283" t="str">
        <f t="shared" si="5"/>
        <v/>
      </c>
      <c r="V64" s="283" t="str">
        <f t="shared" si="6"/>
        <v/>
      </c>
      <c r="W64" s="287" t="str">
        <f t="shared" si="7"/>
        <v/>
      </c>
      <c r="X64" s="291" t="str">
        <f t="shared" si="8"/>
        <v/>
      </c>
      <c r="Y64" s="105"/>
      <c r="Z64" s="104"/>
      <c r="AA64" s="104"/>
      <c r="AB64" s="104"/>
      <c r="AE64" s="30" t="str">
        <f>IFERROR(INDEX('G-6 Hedgerow Data'!$BJ$3:$BJ$15,MATCH(D64,'G-6 Hedgerow Data'!$B$3:$B$15,0)),"")</f>
        <v/>
      </c>
      <c r="AH64" s="107" t="str">
        <f t="shared" si="0"/>
        <v/>
      </c>
      <c r="AI64" s="107" t="str">
        <f t="shared" si="1"/>
        <v/>
      </c>
      <c r="AK64" s="107">
        <v>55</v>
      </c>
      <c r="AM64" s="107" t="str">
        <f t="array" ref="AM64">IFERROR(INDEX($AK$10:$AK$258,MATCH(0,IF(TRUE=$AH$10:$AH$258,COUNTIF($AM$9:$AM63,$AK$10:$AK$258),""),0)),"")</f>
        <v/>
      </c>
      <c r="AN64" s="107" t="str">
        <f t="array" ref="AN64">IFERROR(INDEX($AK$10:$AK$258,MATCH(0,IF(TRUE=$AI$10:$AI$258,COUNTIF($AN$9:$AN63,$AK$10:$AK$258),""),0)),"")</f>
        <v/>
      </c>
      <c r="AY64" s="283" t="str">
        <f t="shared" si="2"/>
        <v/>
      </c>
    </row>
    <row r="65" spans="2:51" ht="14">
      <c r="B65" s="97">
        <v>56</v>
      </c>
      <c r="C65" s="138"/>
      <c r="D65" s="138"/>
      <c r="E65" s="104"/>
      <c r="F65" s="275" t="str">
        <f>IF(D65="","",VLOOKUP(D65,'G-6 Hedgerow Data'!$B$2:$AG$15,2,FALSE))</f>
        <v/>
      </c>
      <c r="G65" s="276" t="str">
        <f>IF(D65="","",VLOOKUP(D65,'G-6 Hedgerow Data'!$B$2:$AG$15,3,FALSE))</f>
        <v/>
      </c>
      <c r="H65" s="101"/>
      <c r="I65" s="276" t="str">
        <f>IFERROR(IF(AND(D65&lt;&gt;"",H65=""),"Check data ⚠",(IF(H65="","",IF(AND(D65="Non-native and ornamental hedgerow",H65&lt;&gt;"Poor"),"Not possible ▲",(IF(AND(F65="V.Low",OR(H65="Good",H65="Moderate")),"Error ▲",VLOOKUP(H65,'G-1 All Habitats'!$Z$2:$AA$9,2,FALSE))))))),"")</f>
        <v/>
      </c>
      <c r="J65" s="105"/>
      <c r="K65" s="295" t="str">
        <f>IF(AND(J65="",D65&lt;&gt;""),"Check data ⚠",IF(J65="","",IF(VLOOKUP(J65,'G-3 Multipliers'!$L$3:$N$6,2,FALSE)=0,"Spatial Data Missing ⚠",VLOOKUP(J65,'G-3 Multipliers'!$L$3:$N$6,2,FALSE))))</f>
        <v/>
      </c>
      <c r="L65" s="299" t="str">
        <f>IF(J65="","",IF(VLOOKUP(J65,'G-3 Multipliers'!$L$3:$N$6,3,FALSE)=0,"Spatial Data Missing ⚠",VLOOKUP(J65,'G-3 Multipliers'!$L$3:$N$6,3,FALSE)))</f>
        <v/>
      </c>
      <c r="M65" s="336" t="str">
        <f>IF(D65="","",VLOOKUP(D65,'G-6 Hedgerow Data'!$B$1:$AH$15,33,FALSE))</f>
        <v/>
      </c>
      <c r="N65" s="289" t="str">
        <f t="shared" si="3"/>
        <v/>
      </c>
      <c r="O65" s="393"/>
      <c r="P65" s="281" t="str">
        <f>IF(O65="","",IF(VLOOKUP(O65,'G-3 Multipliers'!$S$3:$T$10,2,FALSE)=0,"Spatial Data Missing ⚠",VLOOKUP(O65,'G-3 Multipliers'!$S$3:$T$10,2,FALSE)))</f>
        <v/>
      </c>
      <c r="Q65" s="289" t="str">
        <f t="shared" si="4"/>
        <v/>
      </c>
      <c r="R65" s="32"/>
      <c r="S65" s="101"/>
      <c r="T65" s="108"/>
      <c r="U65" s="283" t="str">
        <f t="shared" si="5"/>
        <v/>
      </c>
      <c r="V65" s="283" t="str">
        <f t="shared" si="6"/>
        <v/>
      </c>
      <c r="W65" s="287" t="str">
        <f t="shared" si="7"/>
        <v/>
      </c>
      <c r="X65" s="291" t="str">
        <f t="shared" si="8"/>
        <v/>
      </c>
      <c r="Y65" s="105"/>
      <c r="Z65" s="104"/>
      <c r="AA65" s="104"/>
      <c r="AB65" s="104"/>
      <c r="AE65" s="30" t="str">
        <f>IFERROR(INDEX('G-6 Hedgerow Data'!$BJ$3:$BJ$15,MATCH(D65,'G-6 Hedgerow Data'!$B$3:$B$15,0)),"")</f>
        <v/>
      </c>
      <c r="AH65" s="107" t="str">
        <f t="shared" si="0"/>
        <v/>
      </c>
      <c r="AI65" s="107" t="str">
        <f t="shared" si="1"/>
        <v/>
      </c>
      <c r="AK65" s="107">
        <v>56</v>
      </c>
      <c r="AM65" s="107" t="str">
        <f t="array" ref="AM65">IFERROR(INDEX($AK$10:$AK$258,MATCH(0,IF(TRUE=$AH$10:$AH$258,COUNTIF($AM$9:$AM64,$AK$10:$AK$258),""),0)),"")</f>
        <v/>
      </c>
      <c r="AN65" s="107" t="str">
        <f t="array" ref="AN65">IFERROR(INDEX($AK$10:$AK$258,MATCH(0,IF(TRUE=$AI$10:$AI$258,COUNTIF($AN$9:$AN64,$AK$10:$AK$258),""),0)),"")</f>
        <v/>
      </c>
      <c r="AY65" s="283" t="str">
        <f t="shared" si="2"/>
        <v/>
      </c>
    </row>
    <row r="66" spans="2:51" ht="14">
      <c r="B66" s="97">
        <v>57</v>
      </c>
      <c r="C66" s="138"/>
      <c r="D66" s="138"/>
      <c r="E66" s="104"/>
      <c r="F66" s="275" t="str">
        <f>IF(D66="","",VLOOKUP(D66,'G-6 Hedgerow Data'!$B$2:$AG$15,2,FALSE))</f>
        <v/>
      </c>
      <c r="G66" s="276" t="str">
        <f>IF(D66="","",VLOOKUP(D66,'G-6 Hedgerow Data'!$B$2:$AG$15,3,FALSE))</f>
        <v/>
      </c>
      <c r="H66" s="101"/>
      <c r="I66" s="276" t="str">
        <f>IFERROR(IF(AND(D66&lt;&gt;"",H66=""),"Check data ⚠",(IF(H66="","",IF(AND(D66="Non-native and ornamental hedgerow",H66&lt;&gt;"Poor"),"Not possible ▲",(IF(AND(F66="V.Low",OR(H66="Good",H66="Moderate")),"Error ▲",VLOOKUP(H66,'G-1 All Habitats'!$Z$2:$AA$9,2,FALSE))))))),"")</f>
        <v/>
      </c>
      <c r="J66" s="105"/>
      <c r="K66" s="295" t="str">
        <f>IF(AND(J66="",D66&lt;&gt;""),"Check data ⚠",IF(J66="","",IF(VLOOKUP(J66,'G-3 Multipliers'!$L$3:$N$6,2,FALSE)=0,"Spatial Data Missing ⚠",VLOOKUP(J66,'G-3 Multipliers'!$L$3:$N$6,2,FALSE))))</f>
        <v/>
      </c>
      <c r="L66" s="299" t="str">
        <f>IF(J66="","",IF(VLOOKUP(J66,'G-3 Multipliers'!$L$3:$N$6,3,FALSE)=0,"Spatial Data Missing ⚠",VLOOKUP(J66,'G-3 Multipliers'!$L$3:$N$6,3,FALSE)))</f>
        <v/>
      </c>
      <c r="M66" s="336" t="str">
        <f>IF(D66="","",VLOOKUP(D66,'G-6 Hedgerow Data'!$B$1:$AH$15,33,FALSE))</f>
        <v/>
      </c>
      <c r="N66" s="289" t="str">
        <f t="shared" si="3"/>
        <v/>
      </c>
      <c r="O66" s="393"/>
      <c r="P66" s="281" t="str">
        <f>IF(O66="","",IF(VLOOKUP(O66,'G-3 Multipliers'!$S$3:$T$10,2,FALSE)=0,"Spatial Data Missing ⚠",VLOOKUP(O66,'G-3 Multipliers'!$S$3:$T$10,2,FALSE)))</f>
        <v/>
      </c>
      <c r="Q66" s="289" t="str">
        <f t="shared" si="4"/>
        <v/>
      </c>
      <c r="R66" s="32"/>
      <c r="S66" s="101"/>
      <c r="T66" s="108"/>
      <c r="U66" s="283" t="str">
        <f t="shared" si="5"/>
        <v/>
      </c>
      <c r="V66" s="283" t="str">
        <f t="shared" si="6"/>
        <v/>
      </c>
      <c r="W66" s="287" t="str">
        <f t="shared" si="7"/>
        <v/>
      </c>
      <c r="X66" s="291" t="str">
        <f t="shared" si="8"/>
        <v/>
      </c>
      <c r="Y66" s="105"/>
      <c r="Z66" s="104"/>
      <c r="AA66" s="104"/>
      <c r="AB66" s="104"/>
      <c r="AE66" s="30" t="str">
        <f>IFERROR(INDEX('G-6 Hedgerow Data'!$BJ$3:$BJ$15,MATCH(D66,'G-6 Hedgerow Data'!$B$3:$B$15,0)),"")</f>
        <v/>
      </c>
      <c r="AH66" s="107" t="str">
        <f t="shared" si="0"/>
        <v/>
      </c>
      <c r="AI66" s="107" t="str">
        <f t="shared" si="1"/>
        <v/>
      </c>
      <c r="AK66" s="107">
        <v>57</v>
      </c>
      <c r="AM66" s="107" t="str">
        <f t="array" ref="AM66">IFERROR(INDEX($AK$10:$AK$258,MATCH(0,IF(TRUE=$AH$10:$AH$258,COUNTIF($AM$9:$AM65,$AK$10:$AK$258),""),0)),"")</f>
        <v/>
      </c>
      <c r="AN66" s="107" t="str">
        <f t="array" ref="AN66">IFERROR(INDEX($AK$10:$AK$258,MATCH(0,IF(TRUE=$AI$10:$AI$258,COUNTIF($AN$9:$AN65,$AK$10:$AK$258),""),0)),"")</f>
        <v/>
      </c>
      <c r="AY66" s="283" t="str">
        <f t="shared" si="2"/>
        <v/>
      </c>
    </row>
    <row r="67" spans="2:51" ht="14">
      <c r="B67" s="97">
        <v>58</v>
      </c>
      <c r="C67" s="138"/>
      <c r="D67" s="138"/>
      <c r="E67" s="104"/>
      <c r="F67" s="275" t="str">
        <f>IF(D67="","",VLOOKUP(D67,'G-6 Hedgerow Data'!$B$2:$AG$15,2,FALSE))</f>
        <v/>
      </c>
      <c r="G67" s="276" t="str">
        <f>IF(D67="","",VLOOKUP(D67,'G-6 Hedgerow Data'!$B$2:$AG$15,3,FALSE))</f>
        <v/>
      </c>
      <c r="H67" s="101"/>
      <c r="I67" s="276" t="str">
        <f>IFERROR(IF(AND(D67&lt;&gt;"",H67=""),"Check data ⚠",(IF(H67="","",IF(AND(D67="Non-native and ornamental hedgerow",H67&lt;&gt;"Poor"),"Not possible ▲",(IF(AND(F67="V.Low",OR(H67="Good",H67="Moderate")),"Error ▲",VLOOKUP(H67,'G-1 All Habitats'!$Z$2:$AA$9,2,FALSE))))))),"")</f>
        <v/>
      </c>
      <c r="J67" s="105"/>
      <c r="K67" s="295" t="str">
        <f>IF(AND(J67="",D67&lt;&gt;""),"Check data ⚠",IF(J67="","",IF(VLOOKUP(J67,'G-3 Multipliers'!$L$3:$N$6,2,FALSE)=0,"Spatial Data Missing ⚠",VLOOKUP(J67,'G-3 Multipliers'!$L$3:$N$6,2,FALSE))))</f>
        <v/>
      </c>
      <c r="L67" s="299" t="str">
        <f>IF(J67="","",IF(VLOOKUP(J67,'G-3 Multipliers'!$L$3:$N$6,3,FALSE)=0,"Spatial Data Missing ⚠",VLOOKUP(J67,'G-3 Multipliers'!$L$3:$N$6,3,FALSE)))</f>
        <v/>
      </c>
      <c r="M67" s="336" t="str">
        <f>IF(D67="","",VLOOKUP(D67,'G-6 Hedgerow Data'!$B$1:$AH$15,33,FALSE))</f>
        <v/>
      </c>
      <c r="N67" s="289" t="str">
        <f t="shared" si="3"/>
        <v/>
      </c>
      <c r="O67" s="393"/>
      <c r="P67" s="281" t="str">
        <f>IF(O67="","",IF(VLOOKUP(O67,'G-3 Multipliers'!$S$3:$T$10,2,FALSE)=0,"Spatial Data Missing ⚠",VLOOKUP(O67,'G-3 Multipliers'!$S$3:$T$10,2,FALSE)))</f>
        <v/>
      </c>
      <c r="Q67" s="289" t="str">
        <f t="shared" si="4"/>
        <v/>
      </c>
      <c r="R67" s="32"/>
      <c r="S67" s="101"/>
      <c r="T67" s="108"/>
      <c r="U67" s="283" t="str">
        <f t="shared" si="5"/>
        <v/>
      </c>
      <c r="V67" s="283" t="str">
        <f t="shared" si="6"/>
        <v/>
      </c>
      <c r="W67" s="287" t="str">
        <f t="shared" si="7"/>
        <v/>
      </c>
      <c r="X67" s="291" t="str">
        <f t="shared" si="8"/>
        <v/>
      </c>
      <c r="Y67" s="105"/>
      <c r="Z67" s="104"/>
      <c r="AA67" s="104"/>
      <c r="AB67" s="104"/>
      <c r="AE67" s="30" t="str">
        <f>IFERROR(INDEX('G-6 Hedgerow Data'!$BJ$3:$BJ$15,MATCH(D67,'G-6 Hedgerow Data'!$B$3:$B$15,0)),"")</f>
        <v/>
      </c>
      <c r="AH67" s="107" t="str">
        <f t="shared" si="0"/>
        <v/>
      </c>
      <c r="AI67" s="107" t="str">
        <f t="shared" si="1"/>
        <v/>
      </c>
      <c r="AK67" s="107">
        <v>58</v>
      </c>
      <c r="AM67" s="107" t="str">
        <f t="array" ref="AM67">IFERROR(INDEX($AK$10:$AK$258,MATCH(0,IF(TRUE=$AH$10:$AH$258,COUNTIF($AM$9:$AM66,$AK$10:$AK$258),""),0)),"")</f>
        <v/>
      </c>
      <c r="AN67" s="107" t="str">
        <f t="array" ref="AN67">IFERROR(INDEX($AK$10:$AK$258,MATCH(0,IF(TRUE=$AI$10:$AI$258,COUNTIF($AN$9:$AN66,$AK$10:$AK$258),""),0)),"")</f>
        <v/>
      </c>
      <c r="AY67" s="283" t="str">
        <f t="shared" si="2"/>
        <v/>
      </c>
    </row>
    <row r="68" spans="2:51" ht="14">
      <c r="B68" s="97">
        <v>59</v>
      </c>
      <c r="C68" s="138"/>
      <c r="D68" s="138"/>
      <c r="E68" s="104"/>
      <c r="F68" s="275" t="str">
        <f>IF(D68="","",VLOOKUP(D68,'G-6 Hedgerow Data'!$B$2:$AG$15,2,FALSE))</f>
        <v/>
      </c>
      <c r="G68" s="276" t="str">
        <f>IF(D68="","",VLOOKUP(D68,'G-6 Hedgerow Data'!$B$2:$AG$15,3,FALSE))</f>
        <v/>
      </c>
      <c r="H68" s="101"/>
      <c r="I68" s="276" t="str">
        <f>IFERROR(IF(AND(D68&lt;&gt;"",H68=""),"Check data ⚠",(IF(H68="","",IF(AND(D68="Non-native and ornamental hedgerow",H68&lt;&gt;"Poor"),"Not possible ▲",(IF(AND(F68="V.Low",OR(H68="Good",H68="Moderate")),"Error ▲",VLOOKUP(H68,'G-1 All Habitats'!$Z$2:$AA$9,2,FALSE))))))),"")</f>
        <v/>
      </c>
      <c r="J68" s="105"/>
      <c r="K68" s="295" t="str">
        <f>IF(AND(J68="",D68&lt;&gt;""),"Check data ⚠",IF(J68="","",IF(VLOOKUP(J68,'G-3 Multipliers'!$L$3:$N$6,2,FALSE)=0,"Spatial Data Missing ⚠",VLOOKUP(J68,'G-3 Multipliers'!$L$3:$N$6,2,FALSE))))</f>
        <v/>
      </c>
      <c r="L68" s="299" t="str">
        <f>IF(J68="","",IF(VLOOKUP(J68,'G-3 Multipliers'!$L$3:$N$6,3,FALSE)=0,"Spatial Data Missing ⚠",VLOOKUP(J68,'G-3 Multipliers'!$L$3:$N$6,3,FALSE)))</f>
        <v/>
      </c>
      <c r="M68" s="336" t="str">
        <f>IF(D68="","",VLOOKUP(D68,'G-6 Hedgerow Data'!$B$1:$AH$15,33,FALSE))</f>
        <v/>
      </c>
      <c r="N68" s="289" t="str">
        <f t="shared" si="3"/>
        <v/>
      </c>
      <c r="O68" s="393"/>
      <c r="P68" s="281" t="str">
        <f>IF(O68="","",IF(VLOOKUP(O68,'G-3 Multipliers'!$S$3:$T$10,2,FALSE)=0,"Spatial Data Missing ⚠",VLOOKUP(O68,'G-3 Multipliers'!$S$3:$T$10,2,FALSE)))</f>
        <v/>
      </c>
      <c r="Q68" s="289" t="str">
        <f t="shared" si="4"/>
        <v/>
      </c>
      <c r="R68" s="32"/>
      <c r="S68" s="101"/>
      <c r="T68" s="108"/>
      <c r="U68" s="283" t="str">
        <f t="shared" si="5"/>
        <v/>
      </c>
      <c r="V68" s="283" t="str">
        <f t="shared" si="6"/>
        <v/>
      </c>
      <c r="W68" s="287" t="str">
        <f t="shared" si="7"/>
        <v/>
      </c>
      <c r="X68" s="291" t="str">
        <f t="shared" si="8"/>
        <v/>
      </c>
      <c r="Y68" s="105"/>
      <c r="Z68" s="104"/>
      <c r="AA68" s="104"/>
      <c r="AB68" s="104"/>
      <c r="AE68" s="30" t="str">
        <f>IFERROR(INDEX('G-6 Hedgerow Data'!$BJ$3:$BJ$15,MATCH(D68,'G-6 Hedgerow Data'!$B$3:$B$15,0)),"")</f>
        <v/>
      </c>
      <c r="AH68" s="107" t="str">
        <f t="shared" si="0"/>
        <v/>
      </c>
      <c r="AI68" s="107" t="str">
        <f t="shared" si="1"/>
        <v/>
      </c>
      <c r="AK68" s="107">
        <v>59</v>
      </c>
      <c r="AM68" s="107" t="str">
        <f t="array" ref="AM68">IFERROR(INDEX($AK$10:$AK$258,MATCH(0,IF(TRUE=$AH$10:$AH$258,COUNTIF($AM$9:$AM67,$AK$10:$AK$258),""),0)),"")</f>
        <v/>
      </c>
      <c r="AN68" s="107" t="str">
        <f t="array" ref="AN68">IFERROR(INDEX($AK$10:$AK$258,MATCH(0,IF(TRUE=$AI$10:$AI$258,COUNTIF($AN$9:$AN67,$AK$10:$AK$258),""),0)),"")</f>
        <v/>
      </c>
      <c r="AY68" s="283" t="str">
        <f t="shared" si="2"/>
        <v/>
      </c>
    </row>
    <row r="69" spans="2:51" ht="14">
      <c r="B69" s="97">
        <v>60</v>
      </c>
      <c r="C69" s="138"/>
      <c r="D69" s="138"/>
      <c r="E69" s="104"/>
      <c r="F69" s="275" t="str">
        <f>IF(D69="","",VLOOKUP(D69,'G-6 Hedgerow Data'!$B$2:$AG$15,2,FALSE))</f>
        <v/>
      </c>
      <c r="G69" s="276" t="str">
        <f>IF(D69="","",VLOOKUP(D69,'G-6 Hedgerow Data'!$B$2:$AG$15,3,FALSE))</f>
        <v/>
      </c>
      <c r="H69" s="101"/>
      <c r="I69" s="276" t="str">
        <f>IFERROR(IF(AND(D69&lt;&gt;"",H69=""),"Check data ⚠",(IF(H69="","",IF(AND(D69="Non-native and ornamental hedgerow",H69&lt;&gt;"Poor"),"Not possible ▲",(IF(AND(F69="V.Low",OR(H69="Good",H69="Moderate")),"Error ▲",VLOOKUP(H69,'G-1 All Habitats'!$Z$2:$AA$9,2,FALSE))))))),"")</f>
        <v/>
      </c>
      <c r="J69" s="105"/>
      <c r="K69" s="295" t="str">
        <f>IF(AND(J69="",D69&lt;&gt;""),"Check data ⚠",IF(J69="","",IF(VLOOKUP(J69,'G-3 Multipliers'!$L$3:$N$6,2,FALSE)=0,"Spatial Data Missing ⚠",VLOOKUP(J69,'G-3 Multipliers'!$L$3:$N$6,2,FALSE))))</f>
        <v/>
      </c>
      <c r="L69" s="299" t="str">
        <f>IF(J69="","",IF(VLOOKUP(J69,'G-3 Multipliers'!$L$3:$N$6,3,FALSE)=0,"Spatial Data Missing ⚠",VLOOKUP(J69,'G-3 Multipliers'!$L$3:$N$6,3,FALSE)))</f>
        <v/>
      </c>
      <c r="M69" s="336" t="str">
        <f>IF(D69="","",VLOOKUP(D69,'G-6 Hedgerow Data'!$B$1:$AH$15,33,FALSE))</f>
        <v/>
      </c>
      <c r="N69" s="289" t="str">
        <f t="shared" si="3"/>
        <v/>
      </c>
      <c r="O69" s="393"/>
      <c r="P69" s="281" t="str">
        <f>IF(O69="","",IF(VLOOKUP(O69,'G-3 Multipliers'!$S$3:$T$10,2,FALSE)=0,"Spatial Data Missing ⚠",VLOOKUP(O69,'G-3 Multipliers'!$S$3:$T$10,2,FALSE)))</f>
        <v/>
      </c>
      <c r="Q69" s="289" t="str">
        <f t="shared" si="4"/>
        <v/>
      </c>
      <c r="R69" s="32"/>
      <c r="S69" s="101"/>
      <c r="T69" s="108"/>
      <c r="U69" s="283" t="str">
        <f t="shared" si="5"/>
        <v/>
      </c>
      <c r="V69" s="283" t="str">
        <f t="shared" si="6"/>
        <v/>
      </c>
      <c r="W69" s="287" t="str">
        <f t="shared" si="7"/>
        <v/>
      </c>
      <c r="X69" s="291" t="str">
        <f t="shared" si="8"/>
        <v/>
      </c>
      <c r="Y69" s="105"/>
      <c r="Z69" s="104"/>
      <c r="AA69" s="104"/>
      <c r="AB69" s="104"/>
      <c r="AE69" s="30" t="str">
        <f>IFERROR(INDEX('G-6 Hedgerow Data'!$BJ$3:$BJ$15,MATCH(D69,'G-6 Hedgerow Data'!$B$3:$B$15,0)),"")</f>
        <v/>
      </c>
      <c r="AH69" s="107" t="str">
        <f t="shared" si="0"/>
        <v/>
      </c>
      <c r="AI69" s="107" t="str">
        <f t="shared" si="1"/>
        <v/>
      </c>
      <c r="AK69" s="107">
        <v>60</v>
      </c>
      <c r="AM69" s="107" t="str">
        <f t="array" ref="AM69">IFERROR(INDEX($AK$10:$AK$258,MATCH(0,IF(TRUE=$AH$10:$AH$258,COUNTIF($AM$9:$AM68,$AK$10:$AK$258),""),0)),"")</f>
        <v/>
      </c>
      <c r="AN69" s="107" t="str">
        <f t="array" ref="AN69">IFERROR(INDEX($AK$10:$AK$258,MATCH(0,IF(TRUE=$AI$10:$AI$258,COUNTIF($AN$9:$AN68,$AK$10:$AK$258),""),0)),"")</f>
        <v/>
      </c>
      <c r="AY69" s="283" t="str">
        <f t="shared" si="2"/>
        <v/>
      </c>
    </row>
    <row r="70" spans="2:51" ht="14">
      <c r="B70" s="97">
        <v>61</v>
      </c>
      <c r="C70" s="138"/>
      <c r="D70" s="138"/>
      <c r="E70" s="104"/>
      <c r="F70" s="275" t="str">
        <f>IF(D70="","",VLOOKUP(D70,'G-6 Hedgerow Data'!$B$2:$AG$15,2,FALSE))</f>
        <v/>
      </c>
      <c r="G70" s="276" t="str">
        <f>IF(D70="","",VLOOKUP(D70,'G-6 Hedgerow Data'!$B$2:$AG$15,3,FALSE))</f>
        <v/>
      </c>
      <c r="H70" s="101"/>
      <c r="I70" s="276" t="str">
        <f>IFERROR(IF(AND(D70&lt;&gt;"",H70=""),"Check data ⚠",(IF(H70="","",IF(AND(D70="Non-native and ornamental hedgerow",H70&lt;&gt;"Poor"),"Not possible ▲",(IF(AND(F70="V.Low",OR(H70="Good",H70="Moderate")),"Error ▲",VLOOKUP(H70,'G-1 All Habitats'!$Z$2:$AA$9,2,FALSE))))))),"")</f>
        <v/>
      </c>
      <c r="J70" s="105"/>
      <c r="K70" s="295" t="str">
        <f>IF(AND(J70="",D70&lt;&gt;""),"Check data ⚠",IF(J70="","",IF(VLOOKUP(J70,'G-3 Multipliers'!$L$3:$N$6,2,FALSE)=0,"Spatial Data Missing ⚠",VLOOKUP(J70,'G-3 Multipliers'!$L$3:$N$6,2,FALSE))))</f>
        <v/>
      </c>
      <c r="L70" s="299" t="str">
        <f>IF(J70="","",IF(VLOOKUP(J70,'G-3 Multipliers'!$L$3:$N$6,3,FALSE)=0,"Spatial Data Missing ⚠",VLOOKUP(J70,'G-3 Multipliers'!$L$3:$N$6,3,FALSE)))</f>
        <v/>
      </c>
      <c r="M70" s="336" t="str">
        <f>IF(D70="","",VLOOKUP(D70,'G-6 Hedgerow Data'!$B$1:$AH$15,33,FALSE))</f>
        <v/>
      </c>
      <c r="N70" s="289" t="str">
        <f t="shared" si="3"/>
        <v/>
      </c>
      <c r="O70" s="393"/>
      <c r="P70" s="281" t="str">
        <f>IF(O70="","",IF(VLOOKUP(O70,'G-3 Multipliers'!$S$3:$T$10,2,FALSE)=0,"Spatial Data Missing ⚠",VLOOKUP(O70,'G-3 Multipliers'!$S$3:$T$10,2,FALSE)))</f>
        <v/>
      </c>
      <c r="Q70" s="289" t="str">
        <f t="shared" si="4"/>
        <v/>
      </c>
      <c r="R70" s="32"/>
      <c r="S70" s="101"/>
      <c r="T70" s="108"/>
      <c r="U70" s="283" t="str">
        <f t="shared" si="5"/>
        <v/>
      </c>
      <c r="V70" s="283" t="str">
        <f t="shared" si="6"/>
        <v/>
      </c>
      <c r="W70" s="287" t="str">
        <f t="shared" si="7"/>
        <v/>
      </c>
      <c r="X70" s="291" t="str">
        <f t="shared" si="8"/>
        <v/>
      </c>
      <c r="Y70" s="105"/>
      <c r="Z70" s="104"/>
      <c r="AA70" s="104"/>
      <c r="AB70" s="104"/>
      <c r="AE70" s="30" t="str">
        <f>IFERROR(INDEX('G-6 Hedgerow Data'!$BJ$3:$BJ$15,MATCH(D70,'G-6 Hedgerow Data'!$B$3:$B$15,0)),"")</f>
        <v/>
      </c>
      <c r="AH70" s="107" t="str">
        <f t="shared" si="0"/>
        <v/>
      </c>
      <c r="AI70" s="107" t="str">
        <f t="shared" si="1"/>
        <v/>
      </c>
      <c r="AK70" s="107">
        <v>61</v>
      </c>
      <c r="AM70" s="107" t="str">
        <f t="array" ref="AM70">IFERROR(INDEX($AK$10:$AK$258,MATCH(0,IF(TRUE=$AH$10:$AH$258,COUNTIF($AM$9:$AM69,$AK$10:$AK$258),""),0)),"")</f>
        <v/>
      </c>
      <c r="AN70" s="107" t="str">
        <f t="array" ref="AN70">IFERROR(INDEX($AK$10:$AK$258,MATCH(0,IF(TRUE=$AI$10:$AI$258,COUNTIF($AN$9:$AN69,$AK$10:$AK$258),""),0)),"")</f>
        <v/>
      </c>
      <c r="AY70" s="283" t="str">
        <f t="shared" si="2"/>
        <v/>
      </c>
    </row>
    <row r="71" spans="2:51" ht="14">
      <c r="B71" s="97">
        <v>62</v>
      </c>
      <c r="C71" s="138"/>
      <c r="D71" s="138"/>
      <c r="E71" s="104"/>
      <c r="F71" s="275" t="str">
        <f>IF(D71="","",VLOOKUP(D71,'G-6 Hedgerow Data'!$B$2:$AG$15,2,FALSE))</f>
        <v/>
      </c>
      <c r="G71" s="276" t="str">
        <f>IF(D71="","",VLOOKUP(D71,'G-6 Hedgerow Data'!$B$2:$AG$15,3,FALSE))</f>
        <v/>
      </c>
      <c r="H71" s="101"/>
      <c r="I71" s="276" t="str">
        <f>IFERROR(IF(AND(D71&lt;&gt;"",H71=""),"Check data ⚠",(IF(H71="","",IF(AND(D71="Non-native and ornamental hedgerow",H71&lt;&gt;"Poor"),"Not possible ▲",(IF(AND(F71="V.Low",OR(H71="Good",H71="Moderate")),"Error ▲",VLOOKUP(H71,'G-1 All Habitats'!$Z$2:$AA$9,2,FALSE))))))),"")</f>
        <v/>
      </c>
      <c r="J71" s="105"/>
      <c r="K71" s="295" t="str">
        <f>IF(AND(J71="",D71&lt;&gt;""),"Check data ⚠",IF(J71="","",IF(VLOOKUP(J71,'G-3 Multipliers'!$L$3:$N$6,2,FALSE)=0,"Spatial Data Missing ⚠",VLOOKUP(J71,'G-3 Multipliers'!$L$3:$N$6,2,FALSE))))</f>
        <v/>
      </c>
      <c r="L71" s="299" t="str">
        <f>IF(J71="","",IF(VLOOKUP(J71,'G-3 Multipliers'!$L$3:$N$6,3,FALSE)=0,"Spatial Data Missing ⚠",VLOOKUP(J71,'G-3 Multipliers'!$L$3:$N$6,3,FALSE)))</f>
        <v/>
      </c>
      <c r="M71" s="336" t="str">
        <f>IF(D71="","",VLOOKUP(D71,'G-6 Hedgerow Data'!$B$1:$AH$15,33,FALSE))</f>
        <v/>
      </c>
      <c r="N71" s="289" t="str">
        <f t="shared" si="3"/>
        <v/>
      </c>
      <c r="O71" s="393"/>
      <c r="P71" s="281" t="str">
        <f>IF(O71="","",IF(VLOOKUP(O71,'G-3 Multipliers'!$S$3:$T$10,2,FALSE)=0,"Spatial Data Missing ⚠",VLOOKUP(O71,'G-3 Multipliers'!$S$3:$T$10,2,FALSE)))</f>
        <v/>
      </c>
      <c r="Q71" s="289" t="str">
        <f t="shared" si="4"/>
        <v/>
      </c>
      <c r="R71" s="32"/>
      <c r="S71" s="101"/>
      <c r="T71" s="108"/>
      <c r="U71" s="283" t="str">
        <f t="shared" si="5"/>
        <v/>
      </c>
      <c r="V71" s="283" t="str">
        <f t="shared" si="6"/>
        <v/>
      </c>
      <c r="W71" s="287" t="str">
        <f t="shared" si="7"/>
        <v/>
      </c>
      <c r="X71" s="291" t="str">
        <f t="shared" si="8"/>
        <v/>
      </c>
      <c r="Y71" s="105"/>
      <c r="Z71" s="104"/>
      <c r="AA71" s="104"/>
      <c r="AB71" s="104"/>
      <c r="AE71" s="30" t="str">
        <f>IFERROR(INDEX('G-6 Hedgerow Data'!$BJ$3:$BJ$15,MATCH(D71,'G-6 Hedgerow Data'!$B$3:$B$15,0)),"")</f>
        <v/>
      </c>
      <c r="AH71" s="107" t="str">
        <f t="shared" si="0"/>
        <v/>
      </c>
      <c r="AI71" s="107" t="str">
        <f t="shared" si="1"/>
        <v/>
      </c>
      <c r="AK71" s="107">
        <v>62</v>
      </c>
      <c r="AM71" s="107" t="str">
        <f t="array" ref="AM71">IFERROR(INDEX($AK$10:$AK$258,MATCH(0,IF(TRUE=$AH$10:$AH$258,COUNTIF($AM$9:$AM70,$AK$10:$AK$258),""),0)),"")</f>
        <v/>
      </c>
      <c r="AN71" s="107" t="str">
        <f t="array" ref="AN71">IFERROR(INDEX($AK$10:$AK$258,MATCH(0,IF(TRUE=$AI$10:$AI$258,COUNTIF($AN$9:$AN70,$AK$10:$AK$258),""),0)),"")</f>
        <v/>
      </c>
      <c r="AY71" s="283" t="str">
        <f t="shared" si="2"/>
        <v/>
      </c>
    </row>
    <row r="72" spans="2:51" ht="14">
      <c r="B72" s="97">
        <v>63</v>
      </c>
      <c r="C72" s="138"/>
      <c r="D72" s="138"/>
      <c r="E72" s="104"/>
      <c r="F72" s="275" t="str">
        <f>IF(D72="","",VLOOKUP(D72,'G-6 Hedgerow Data'!$B$2:$AG$15,2,FALSE))</f>
        <v/>
      </c>
      <c r="G72" s="276" t="str">
        <f>IF(D72="","",VLOOKUP(D72,'G-6 Hedgerow Data'!$B$2:$AG$15,3,FALSE))</f>
        <v/>
      </c>
      <c r="H72" s="101"/>
      <c r="I72" s="276" t="str">
        <f>IFERROR(IF(AND(D72&lt;&gt;"",H72=""),"Check data ⚠",(IF(H72="","",IF(AND(D72="Non-native and ornamental hedgerow",H72&lt;&gt;"Poor"),"Not possible ▲",(IF(AND(F72="V.Low",OR(H72="Good",H72="Moderate")),"Error ▲",VLOOKUP(H72,'G-1 All Habitats'!$Z$2:$AA$9,2,FALSE))))))),"")</f>
        <v/>
      </c>
      <c r="J72" s="105"/>
      <c r="K72" s="295" t="str">
        <f>IF(AND(J72="",D72&lt;&gt;""),"Check data ⚠",IF(J72="","",IF(VLOOKUP(J72,'G-3 Multipliers'!$L$3:$N$6,2,FALSE)=0,"Spatial Data Missing ⚠",VLOOKUP(J72,'G-3 Multipliers'!$L$3:$N$6,2,FALSE))))</f>
        <v/>
      </c>
      <c r="L72" s="299" t="str">
        <f>IF(J72="","",IF(VLOOKUP(J72,'G-3 Multipliers'!$L$3:$N$6,3,FALSE)=0,"Spatial Data Missing ⚠",VLOOKUP(J72,'G-3 Multipliers'!$L$3:$N$6,3,FALSE)))</f>
        <v/>
      </c>
      <c r="M72" s="336" t="str">
        <f>IF(D72="","",VLOOKUP(D72,'G-6 Hedgerow Data'!$B$1:$AH$15,33,FALSE))</f>
        <v/>
      </c>
      <c r="N72" s="289" t="str">
        <f t="shared" si="3"/>
        <v/>
      </c>
      <c r="O72" s="393"/>
      <c r="P72" s="281" t="str">
        <f>IF(O72="","",IF(VLOOKUP(O72,'G-3 Multipliers'!$S$3:$T$10,2,FALSE)=0,"Spatial Data Missing ⚠",VLOOKUP(O72,'G-3 Multipliers'!$S$3:$T$10,2,FALSE)))</f>
        <v/>
      </c>
      <c r="Q72" s="289" t="str">
        <f t="shared" si="4"/>
        <v/>
      </c>
      <c r="R72" s="32"/>
      <c r="S72" s="101"/>
      <c r="T72" s="108"/>
      <c r="U72" s="283" t="str">
        <f t="shared" si="5"/>
        <v/>
      </c>
      <c r="V72" s="283" t="str">
        <f t="shared" si="6"/>
        <v/>
      </c>
      <c r="W72" s="287" t="str">
        <f t="shared" si="7"/>
        <v/>
      </c>
      <c r="X72" s="291" t="str">
        <f t="shared" si="8"/>
        <v/>
      </c>
      <c r="Y72" s="105"/>
      <c r="Z72" s="104"/>
      <c r="AA72" s="104"/>
      <c r="AB72" s="104"/>
      <c r="AE72" s="30" t="str">
        <f>IFERROR(INDEX('G-6 Hedgerow Data'!$BJ$3:$BJ$15,MATCH(D72,'G-6 Hedgerow Data'!$B$3:$B$15,0)),"")</f>
        <v/>
      </c>
      <c r="AH72" s="107" t="str">
        <f t="shared" si="0"/>
        <v/>
      </c>
      <c r="AI72" s="107" t="str">
        <f t="shared" si="1"/>
        <v/>
      </c>
      <c r="AK72" s="107">
        <v>63</v>
      </c>
      <c r="AM72" s="107" t="str">
        <f t="array" ref="AM72">IFERROR(INDEX($AK$10:$AK$258,MATCH(0,IF(TRUE=$AH$10:$AH$258,COUNTIF($AM$9:$AM71,$AK$10:$AK$258),""),0)),"")</f>
        <v/>
      </c>
      <c r="AN72" s="107" t="str">
        <f t="array" ref="AN72">IFERROR(INDEX($AK$10:$AK$258,MATCH(0,IF(TRUE=$AI$10:$AI$258,COUNTIF($AN$9:$AN71,$AK$10:$AK$258),""),0)),"")</f>
        <v/>
      </c>
      <c r="AY72" s="283" t="str">
        <f t="shared" si="2"/>
        <v/>
      </c>
    </row>
    <row r="73" spans="2:51" ht="14">
      <c r="B73" s="97">
        <v>64</v>
      </c>
      <c r="C73" s="138"/>
      <c r="D73" s="138"/>
      <c r="E73" s="104"/>
      <c r="F73" s="275" t="str">
        <f>IF(D73="","",VLOOKUP(D73,'G-6 Hedgerow Data'!$B$2:$AG$15,2,FALSE))</f>
        <v/>
      </c>
      <c r="G73" s="276" t="str">
        <f>IF(D73="","",VLOOKUP(D73,'G-6 Hedgerow Data'!$B$2:$AG$15,3,FALSE))</f>
        <v/>
      </c>
      <c r="H73" s="101"/>
      <c r="I73" s="276" t="str">
        <f>IFERROR(IF(AND(D73&lt;&gt;"",H73=""),"Check data ⚠",(IF(H73="","",IF(AND(D73="Non-native and ornamental hedgerow",H73&lt;&gt;"Poor"),"Not possible ▲",(IF(AND(F73="V.Low",OR(H73="Good",H73="Moderate")),"Error ▲",VLOOKUP(H73,'G-1 All Habitats'!$Z$2:$AA$9,2,FALSE))))))),"")</f>
        <v/>
      </c>
      <c r="J73" s="105"/>
      <c r="K73" s="295" t="str">
        <f>IF(AND(J73="",D73&lt;&gt;""),"Check data ⚠",IF(J73="","",IF(VLOOKUP(J73,'G-3 Multipliers'!$L$3:$N$6,2,FALSE)=0,"Spatial Data Missing ⚠",VLOOKUP(J73,'G-3 Multipliers'!$L$3:$N$6,2,FALSE))))</f>
        <v/>
      </c>
      <c r="L73" s="299" t="str">
        <f>IF(J73="","",IF(VLOOKUP(J73,'G-3 Multipliers'!$L$3:$N$6,3,FALSE)=0,"Spatial Data Missing ⚠",VLOOKUP(J73,'G-3 Multipliers'!$L$3:$N$6,3,FALSE)))</f>
        <v/>
      </c>
      <c r="M73" s="336" t="str">
        <f>IF(D73="","",VLOOKUP(D73,'G-6 Hedgerow Data'!$B$1:$AH$15,33,FALSE))</f>
        <v/>
      </c>
      <c r="N73" s="289" t="str">
        <f t="shared" si="3"/>
        <v/>
      </c>
      <c r="O73" s="393"/>
      <c r="P73" s="281" t="str">
        <f>IF(O73="","",IF(VLOOKUP(O73,'G-3 Multipliers'!$S$3:$T$10,2,FALSE)=0,"Spatial Data Missing ⚠",VLOOKUP(O73,'G-3 Multipliers'!$S$3:$T$10,2,FALSE)))</f>
        <v/>
      </c>
      <c r="Q73" s="289" t="str">
        <f t="shared" si="4"/>
        <v/>
      </c>
      <c r="R73" s="32"/>
      <c r="S73" s="101"/>
      <c r="T73" s="108"/>
      <c r="U73" s="283" t="str">
        <f t="shared" si="5"/>
        <v/>
      </c>
      <c r="V73" s="283" t="str">
        <f t="shared" si="6"/>
        <v/>
      </c>
      <c r="W73" s="287" t="str">
        <f t="shared" si="7"/>
        <v/>
      </c>
      <c r="X73" s="291" t="str">
        <f t="shared" si="8"/>
        <v/>
      </c>
      <c r="Y73" s="105"/>
      <c r="Z73" s="104"/>
      <c r="AA73" s="104"/>
      <c r="AB73" s="104"/>
      <c r="AE73" s="30" t="str">
        <f>IFERROR(INDEX('G-6 Hedgerow Data'!$BJ$3:$BJ$15,MATCH(D73,'G-6 Hedgerow Data'!$B$3:$B$15,0)),"")</f>
        <v/>
      </c>
      <c r="AH73" s="107" t="str">
        <f t="shared" si="0"/>
        <v/>
      </c>
      <c r="AI73" s="107" t="str">
        <f t="shared" si="1"/>
        <v/>
      </c>
      <c r="AK73" s="107">
        <v>64</v>
      </c>
      <c r="AM73" s="107" t="str">
        <f t="array" ref="AM73">IFERROR(INDEX($AK$10:$AK$258,MATCH(0,IF(TRUE=$AH$10:$AH$258,COUNTIF($AM$9:$AM72,$AK$10:$AK$258),""),0)),"")</f>
        <v/>
      </c>
      <c r="AN73" s="107" t="str">
        <f t="array" ref="AN73">IFERROR(INDEX($AK$10:$AK$258,MATCH(0,IF(TRUE=$AI$10:$AI$258,COUNTIF($AN$9:$AN72,$AK$10:$AK$258),""),0)),"")</f>
        <v/>
      </c>
      <c r="AY73" s="283" t="str">
        <f t="shared" si="2"/>
        <v/>
      </c>
    </row>
    <row r="74" spans="2:51" ht="14">
      <c r="B74" s="97">
        <v>65</v>
      </c>
      <c r="C74" s="138"/>
      <c r="D74" s="138"/>
      <c r="E74" s="104"/>
      <c r="F74" s="275" t="str">
        <f>IF(D74="","",VLOOKUP(D74,'G-6 Hedgerow Data'!$B$2:$AG$15,2,FALSE))</f>
        <v/>
      </c>
      <c r="G74" s="276" t="str">
        <f>IF(D74="","",VLOOKUP(D74,'G-6 Hedgerow Data'!$B$2:$AG$15,3,FALSE))</f>
        <v/>
      </c>
      <c r="H74" s="101"/>
      <c r="I74" s="276" t="str">
        <f>IFERROR(IF(AND(D74&lt;&gt;"",H74=""),"Check data ⚠",(IF(H74="","",IF(AND(D74="Non-native and ornamental hedgerow",H74&lt;&gt;"Poor"),"Not possible ▲",(IF(AND(F74="V.Low",OR(H74="Good",H74="Moderate")),"Error ▲",VLOOKUP(H74,'G-1 All Habitats'!$Z$2:$AA$9,2,FALSE))))))),"")</f>
        <v/>
      </c>
      <c r="J74" s="105"/>
      <c r="K74" s="295" t="str">
        <f>IF(AND(J74="",D74&lt;&gt;""),"Check data ⚠",IF(J74="","",IF(VLOOKUP(J74,'G-3 Multipliers'!$L$3:$N$6,2,FALSE)=0,"Spatial Data Missing ⚠",VLOOKUP(J74,'G-3 Multipliers'!$L$3:$N$6,2,FALSE))))</f>
        <v/>
      </c>
      <c r="L74" s="299" t="str">
        <f>IF(J74="","",IF(VLOOKUP(J74,'G-3 Multipliers'!$L$3:$N$6,3,FALSE)=0,"Spatial Data Missing ⚠",VLOOKUP(J74,'G-3 Multipliers'!$L$3:$N$6,3,FALSE)))</f>
        <v/>
      </c>
      <c r="M74" s="336" t="str">
        <f>IF(D74="","",VLOOKUP(D74,'G-6 Hedgerow Data'!$B$1:$AH$15,33,FALSE))</f>
        <v/>
      </c>
      <c r="N74" s="289" t="str">
        <f t="shared" si="3"/>
        <v/>
      </c>
      <c r="O74" s="393"/>
      <c r="P74" s="281" t="str">
        <f>IF(O74="","",IF(VLOOKUP(O74,'G-3 Multipliers'!$S$3:$T$10,2,FALSE)=0,"Spatial Data Missing ⚠",VLOOKUP(O74,'G-3 Multipliers'!$S$3:$T$10,2,FALSE)))</f>
        <v/>
      </c>
      <c r="Q74" s="289" t="str">
        <f t="shared" si="4"/>
        <v/>
      </c>
      <c r="R74" s="32"/>
      <c r="S74" s="101"/>
      <c r="T74" s="108"/>
      <c r="U74" s="283" t="str">
        <f t="shared" si="5"/>
        <v/>
      </c>
      <c r="V74" s="283" t="str">
        <f t="shared" si="6"/>
        <v/>
      </c>
      <c r="W74" s="287" t="str">
        <f t="shared" si="7"/>
        <v/>
      </c>
      <c r="X74" s="291" t="str">
        <f t="shared" si="8"/>
        <v/>
      </c>
      <c r="Y74" s="105"/>
      <c r="Z74" s="104"/>
      <c r="AA74" s="104"/>
      <c r="AB74" s="104"/>
      <c r="AE74" s="30" t="str">
        <f>IFERROR(INDEX('G-6 Hedgerow Data'!$BJ$3:$BJ$15,MATCH(D74,'G-6 Hedgerow Data'!$B$3:$B$15,0)),"")</f>
        <v/>
      </c>
      <c r="AH74" s="107" t="str">
        <f t="shared" si="9" ref="AH74:AH137">IF(D74="","",IF(S74&gt;0,TRUE,FALSE))</f>
        <v/>
      </c>
      <c r="AI74" s="107" t="str">
        <f t="shared" si="10" ref="AI74:AI137">IF(D74="","",IF(T74&gt;0,TRUE,FALSE))</f>
        <v/>
      </c>
      <c r="AK74" s="107">
        <v>65</v>
      </c>
      <c r="AM74" s="107" t="str">
        <f t="array" ref="AM74">IFERROR(INDEX($AK$10:$AK$258,MATCH(0,IF(TRUE=$AH$10:$AH$258,COUNTIF($AM$9:$AM73,$AK$10:$AK$258),""),0)),"")</f>
        <v/>
      </c>
      <c r="AN74" s="107" t="str">
        <f t="array" ref="AN74">IFERROR(INDEX($AK$10:$AK$258,MATCH(0,IF(TRUE=$AI$10:$AI$258,COUNTIF($AN$9:$AN73,$AK$10:$AK$258),""),0)),"")</f>
        <v/>
      </c>
      <c r="AY74" s="283" t="str">
        <f t="shared" si="2"/>
        <v/>
      </c>
    </row>
    <row r="75" spans="2:51" ht="14">
      <c r="B75" s="97">
        <v>66</v>
      </c>
      <c r="C75" s="138"/>
      <c r="D75" s="138"/>
      <c r="E75" s="104"/>
      <c r="F75" s="275" t="str">
        <f>IF(D75="","",VLOOKUP(D75,'G-6 Hedgerow Data'!$B$2:$AG$15,2,FALSE))</f>
        <v/>
      </c>
      <c r="G75" s="276" t="str">
        <f>IF(D75="","",VLOOKUP(D75,'G-6 Hedgerow Data'!$B$2:$AG$15,3,FALSE))</f>
        <v/>
      </c>
      <c r="H75" s="101"/>
      <c r="I75" s="276" t="str">
        <f>IFERROR(IF(AND(D75&lt;&gt;"",H75=""),"Check data ⚠",(IF(H75="","",IF(AND(D75="Non-native and ornamental hedgerow",H75&lt;&gt;"Poor"),"Not possible ▲",(IF(AND(F75="V.Low",OR(H75="Good",H75="Moderate")),"Error ▲",VLOOKUP(H75,'G-1 All Habitats'!$Z$2:$AA$9,2,FALSE))))))),"")</f>
        <v/>
      </c>
      <c r="J75" s="105"/>
      <c r="K75" s="295" t="str">
        <f>IF(AND(J75="",D75&lt;&gt;""),"Check data ⚠",IF(J75="","",IF(VLOOKUP(J75,'G-3 Multipliers'!$L$3:$N$6,2,FALSE)=0,"Spatial Data Missing ⚠",VLOOKUP(J75,'G-3 Multipliers'!$L$3:$N$6,2,FALSE))))</f>
        <v/>
      </c>
      <c r="L75" s="299" t="str">
        <f>IF(J75="","",IF(VLOOKUP(J75,'G-3 Multipliers'!$L$3:$N$6,3,FALSE)=0,"Spatial Data Missing ⚠",VLOOKUP(J75,'G-3 Multipliers'!$L$3:$N$6,3,FALSE)))</f>
        <v/>
      </c>
      <c r="M75" s="336" t="str">
        <f>IF(D75="","",VLOOKUP(D75,'G-6 Hedgerow Data'!$B$1:$AH$15,33,FALSE))</f>
        <v/>
      </c>
      <c r="N75" s="289" t="str">
        <f t="shared" si="11" ref="N75:N138">IFERROR(IF(Q75="Check data ⚠","Check data ⚠",(E75*G75*I75*L75*P75)),"")</f>
        <v/>
      </c>
      <c r="O75" s="393"/>
      <c r="P75" s="281" t="str">
        <f>IF(O75="","",IF(VLOOKUP(O75,'G-3 Multipliers'!$S$3:$T$10,2,FALSE)=0,"Spatial Data Missing ⚠",VLOOKUP(O75,'G-3 Multipliers'!$S$3:$T$10,2,FALSE)))</f>
        <v/>
      </c>
      <c r="Q75" s="289" t="str">
        <f t="shared" si="12" ref="Q75:Q138">IFERROR(IF(OR(K75="Check data ⚠",I75="Check data ⚠",W75="Error in lengths ▲"),"Check data ▲",(IF(AND(O75&lt;&gt;"",AB75=""),"Off-site reference required ▲",(IF(O75="","",E75*G75*I75*L75))))),"")</f>
        <v/>
      </c>
      <c r="R75" s="32"/>
      <c r="S75" s="101"/>
      <c r="T75" s="108"/>
      <c r="U75" s="283" t="str">
        <f t="shared" si="13" ref="U75:U138">IFERROR(S75*G75*I75*L75,"")</f>
        <v/>
      </c>
      <c r="V75" s="283" t="str">
        <f t="shared" si="14" ref="V75:V138">IFERROR(T75*G75*I75*L75,"")</f>
        <v/>
      </c>
      <c r="W75" s="287" t="str">
        <f t="shared" si="15" ref="W75:W138">IF(D75="","",IF(E75&lt;S75+T75,"Error in Lengths ▲",E75-S75-T75))</f>
        <v/>
      </c>
      <c r="X75" s="291" t="str">
        <f t="shared" si="16" ref="X75:X138">IF(Q75="Check data ⚠","Check data ⚠",IF(OR(E75="",N75=""),"",IF(E75&lt;S75+T75,"Error in Lengths",Q75-U75-V75)))</f>
        <v/>
      </c>
      <c r="Y75" s="105"/>
      <c r="Z75" s="104"/>
      <c r="AA75" s="104"/>
      <c r="AB75" s="104"/>
      <c r="AE75" s="30" t="str">
        <f>IFERROR(INDEX('G-6 Hedgerow Data'!$BJ$3:$BJ$15,MATCH(D75,'G-6 Hedgerow Data'!$B$3:$B$15,0)),"")</f>
        <v/>
      </c>
      <c r="AH75" s="107" t="str">
        <f t="shared" si="9"/>
        <v/>
      </c>
      <c r="AI75" s="107" t="str">
        <f t="shared" si="10"/>
        <v/>
      </c>
      <c r="AK75" s="107">
        <v>66</v>
      </c>
      <c r="AM75" s="107" t="str">
        <f t="array" ref="AM75">IFERROR(INDEX($AK$10:$AK$258,MATCH(0,IF(TRUE=$AH$10:$AH$258,COUNTIF($AM$9:$AM74,$AK$10:$AK$258),""),0)),"")</f>
        <v/>
      </c>
      <c r="AN75" s="107" t="str">
        <f t="array" ref="AN75">IFERROR(INDEX($AK$10:$AK$258,MATCH(0,IF(TRUE=$AI$10:$AI$258,COUNTIF($AN$9:$AN74,$AK$10:$AK$258),""),0)),"")</f>
        <v/>
      </c>
      <c r="AY75" s="283" t="str">
        <f t="shared" si="17" ref="AY75:AY138">IFERROR(S75*G75*I75*L75*P75,"")</f>
        <v/>
      </c>
    </row>
    <row r="76" spans="2:51" ht="14">
      <c r="B76" s="97">
        <v>67</v>
      </c>
      <c r="C76" s="138"/>
      <c r="D76" s="138"/>
      <c r="E76" s="104"/>
      <c r="F76" s="275" t="str">
        <f>IF(D76="","",VLOOKUP(D76,'G-6 Hedgerow Data'!$B$2:$AG$15,2,FALSE))</f>
        <v/>
      </c>
      <c r="G76" s="276" t="str">
        <f>IF(D76="","",VLOOKUP(D76,'G-6 Hedgerow Data'!$B$2:$AG$15,3,FALSE))</f>
        <v/>
      </c>
      <c r="H76" s="101"/>
      <c r="I76" s="276" t="str">
        <f>IFERROR(IF(AND(D76&lt;&gt;"",H76=""),"Check data ⚠",(IF(H76="","",IF(AND(D76="Non-native and ornamental hedgerow",H76&lt;&gt;"Poor"),"Not possible ▲",(IF(AND(F76="V.Low",OR(H76="Good",H76="Moderate")),"Error ▲",VLOOKUP(H76,'G-1 All Habitats'!$Z$2:$AA$9,2,FALSE))))))),"")</f>
        <v/>
      </c>
      <c r="J76" s="105"/>
      <c r="K76" s="295" t="str">
        <f>IF(AND(J76="",D76&lt;&gt;""),"Check data ⚠",IF(J76="","",IF(VLOOKUP(J76,'G-3 Multipliers'!$L$3:$N$6,2,FALSE)=0,"Spatial Data Missing ⚠",VLOOKUP(J76,'G-3 Multipliers'!$L$3:$N$6,2,FALSE))))</f>
        <v/>
      </c>
      <c r="L76" s="299" t="str">
        <f>IF(J76="","",IF(VLOOKUP(J76,'G-3 Multipliers'!$L$3:$N$6,3,FALSE)=0,"Spatial Data Missing ⚠",VLOOKUP(J76,'G-3 Multipliers'!$L$3:$N$6,3,FALSE)))</f>
        <v/>
      </c>
      <c r="M76" s="336" t="str">
        <f>IF(D76="","",VLOOKUP(D76,'G-6 Hedgerow Data'!$B$1:$AH$15,33,FALSE))</f>
        <v/>
      </c>
      <c r="N76" s="289" t="str">
        <f t="shared" si="11"/>
        <v/>
      </c>
      <c r="O76" s="393"/>
      <c r="P76" s="281" t="str">
        <f>IF(O76="","",IF(VLOOKUP(O76,'G-3 Multipliers'!$S$3:$T$10,2,FALSE)=0,"Spatial Data Missing ⚠",VLOOKUP(O76,'G-3 Multipliers'!$S$3:$T$10,2,FALSE)))</f>
        <v/>
      </c>
      <c r="Q76" s="289" t="str">
        <f t="shared" si="12"/>
        <v/>
      </c>
      <c r="R76" s="32"/>
      <c r="S76" s="101"/>
      <c r="T76" s="108"/>
      <c r="U76" s="283" t="str">
        <f t="shared" si="13"/>
        <v/>
      </c>
      <c r="V76" s="283" t="str">
        <f t="shared" si="14"/>
        <v/>
      </c>
      <c r="W76" s="287" t="str">
        <f t="shared" si="15"/>
        <v/>
      </c>
      <c r="X76" s="291" t="str">
        <f t="shared" si="16"/>
        <v/>
      </c>
      <c r="Y76" s="105"/>
      <c r="Z76" s="104"/>
      <c r="AA76" s="104"/>
      <c r="AB76" s="104"/>
      <c r="AE76" s="30" t="str">
        <f>IFERROR(INDEX('G-6 Hedgerow Data'!$BJ$3:$BJ$15,MATCH(D76,'G-6 Hedgerow Data'!$B$3:$B$15,0)),"")</f>
        <v/>
      </c>
      <c r="AH76" s="107" t="str">
        <f t="shared" si="9"/>
        <v/>
      </c>
      <c r="AI76" s="107" t="str">
        <f t="shared" si="10"/>
        <v/>
      </c>
      <c r="AK76" s="107">
        <v>67</v>
      </c>
      <c r="AM76" s="107" t="str">
        <f t="array" ref="AM76">IFERROR(INDEX($AK$10:$AK$258,MATCH(0,IF(TRUE=$AH$10:$AH$258,COUNTIF($AM$9:$AM75,$AK$10:$AK$258),""),0)),"")</f>
        <v/>
      </c>
      <c r="AN76" s="107" t="str">
        <f t="array" ref="AN76">IFERROR(INDEX($AK$10:$AK$258,MATCH(0,IF(TRUE=$AI$10:$AI$258,COUNTIF($AN$9:$AN75,$AK$10:$AK$258),""),0)),"")</f>
        <v/>
      </c>
      <c r="AY76" s="283" t="str">
        <f t="shared" si="17"/>
        <v/>
      </c>
    </row>
    <row r="77" spans="2:51" ht="14">
      <c r="B77" s="97">
        <v>68</v>
      </c>
      <c r="C77" s="138"/>
      <c r="D77" s="138"/>
      <c r="E77" s="104"/>
      <c r="F77" s="275" t="str">
        <f>IF(D77="","",VLOOKUP(D77,'G-6 Hedgerow Data'!$B$2:$AG$15,2,FALSE))</f>
        <v/>
      </c>
      <c r="G77" s="276" t="str">
        <f>IF(D77="","",VLOOKUP(D77,'G-6 Hedgerow Data'!$B$2:$AG$15,3,FALSE))</f>
        <v/>
      </c>
      <c r="H77" s="101"/>
      <c r="I77" s="276" t="str">
        <f>IFERROR(IF(AND(D77&lt;&gt;"",H77=""),"Check data ⚠",(IF(H77="","",IF(AND(D77="Non-native and ornamental hedgerow",H77&lt;&gt;"Poor"),"Not possible ▲",(IF(AND(F77="V.Low",OR(H77="Good",H77="Moderate")),"Error ▲",VLOOKUP(H77,'G-1 All Habitats'!$Z$2:$AA$9,2,FALSE))))))),"")</f>
        <v/>
      </c>
      <c r="J77" s="105"/>
      <c r="K77" s="295" t="str">
        <f>IF(AND(J77="",D77&lt;&gt;""),"Check data ⚠",IF(J77="","",IF(VLOOKUP(J77,'G-3 Multipliers'!$L$3:$N$6,2,FALSE)=0,"Spatial Data Missing ⚠",VLOOKUP(J77,'G-3 Multipliers'!$L$3:$N$6,2,FALSE))))</f>
        <v/>
      </c>
      <c r="L77" s="299" t="str">
        <f>IF(J77="","",IF(VLOOKUP(J77,'G-3 Multipliers'!$L$3:$N$6,3,FALSE)=0,"Spatial Data Missing ⚠",VLOOKUP(J77,'G-3 Multipliers'!$L$3:$N$6,3,FALSE)))</f>
        <v/>
      </c>
      <c r="M77" s="336" t="str">
        <f>IF(D77="","",VLOOKUP(D77,'G-6 Hedgerow Data'!$B$1:$AH$15,33,FALSE))</f>
        <v/>
      </c>
      <c r="N77" s="289" t="str">
        <f t="shared" si="11"/>
        <v/>
      </c>
      <c r="O77" s="393"/>
      <c r="P77" s="281" t="str">
        <f>IF(O77="","",IF(VLOOKUP(O77,'G-3 Multipliers'!$S$3:$T$10,2,FALSE)=0,"Spatial Data Missing ⚠",VLOOKUP(O77,'G-3 Multipliers'!$S$3:$T$10,2,FALSE)))</f>
        <v/>
      </c>
      <c r="Q77" s="289" t="str">
        <f t="shared" si="12"/>
        <v/>
      </c>
      <c r="R77" s="32"/>
      <c r="S77" s="101"/>
      <c r="T77" s="108"/>
      <c r="U77" s="283" t="str">
        <f t="shared" si="13"/>
        <v/>
      </c>
      <c r="V77" s="283" t="str">
        <f t="shared" si="14"/>
        <v/>
      </c>
      <c r="W77" s="287" t="str">
        <f t="shared" si="15"/>
        <v/>
      </c>
      <c r="X77" s="291" t="str">
        <f t="shared" si="16"/>
        <v/>
      </c>
      <c r="Y77" s="105"/>
      <c r="Z77" s="104"/>
      <c r="AA77" s="104"/>
      <c r="AB77" s="104"/>
      <c r="AE77" s="30" t="str">
        <f>IFERROR(INDEX('G-6 Hedgerow Data'!$BJ$3:$BJ$15,MATCH(D77,'G-6 Hedgerow Data'!$B$3:$B$15,0)),"")</f>
        <v/>
      </c>
      <c r="AH77" s="107" t="str">
        <f t="shared" si="9"/>
        <v/>
      </c>
      <c r="AI77" s="107" t="str">
        <f t="shared" si="10"/>
        <v/>
      </c>
      <c r="AK77" s="107">
        <v>68</v>
      </c>
      <c r="AM77" s="107" t="str">
        <f t="array" ref="AM77">IFERROR(INDEX($AK$10:$AK$258,MATCH(0,IF(TRUE=$AH$10:$AH$258,COUNTIF($AM$9:$AM76,$AK$10:$AK$258),""),0)),"")</f>
        <v/>
      </c>
      <c r="AN77" s="107" t="str">
        <f t="array" ref="AN77">IFERROR(INDEX($AK$10:$AK$258,MATCH(0,IF(TRUE=$AI$10:$AI$258,COUNTIF($AN$9:$AN76,$AK$10:$AK$258),""),0)),"")</f>
        <v/>
      </c>
      <c r="AY77" s="283" t="str">
        <f t="shared" si="17"/>
        <v/>
      </c>
    </row>
    <row r="78" spans="2:51" ht="14">
      <c r="B78" s="97">
        <v>69</v>
      </c>
      <c r="C78" s="138"/>
      <c r="D78" s="138"/>
      <c r="E78" s="104"/>
      <c r="F78" s="275" t="str">
        <f>IF(D78="","",VLOOKUP(D78,'G-6 Hedgerow Data'!$B$2:$AG$15,2,FALSE))</f>
        <v/>
      </c>
      <c r="G78" s="276" t="str">
        <f>IF(D78="","",VLOOKUP(D78,'G-6 Hedgerow Data'!$B$2:$AG$15,3,FALSE))</f>
        <v/>
      </c>
      <c r="H78" s="101"/>
      <c r="I78" s="276" t="str">
        <f>IFERROR(IF(AND(D78&lt;&gt;"",H78=""),"Check data ⚠",(IF(H78="","",IF(AND(D78="Non-native and ornamental hedgerow",H78&lt;&gt;"Poor"),"Not possible ▲",(IF(AND(F78="V.Low",OR(H78="Good",H78="Moderate")),"Error ▲",VLOOKUP(H78,'G-1 All Habitats'!$Z$2:$AA$9,2,FALSE))))))),"")</f>
        <v/>
      </c>
      <c r="J78" s="105"/>
      <c r="K78" s="295" t="str">
        <f>IF(AND(J78="",D78&lt;&gt;""),"Check data ⚠",IF(J78="","",IF(VLOOKUP(J78,'G-3 Multipliers'!$L$3:$N$6,2,FALSE)=0,"Spatial Data Missing ⚠",VLOOKUP(J78,'G-3 Multipliers'!$L$3:$N$6,2,FALSE))))</f>
        <v/>
      </c>
      <c r="L78" s="299" t="str">
        <f>IF(J78="","",IF(VLOOKUP(J78,'G-3 Multipliers'!$L$3:$N$6,3,FALSE)=0,"Spatial Data Missing ⚠",VLOOKUP(J78,'G-3 Multipliers'!$L$3:$N$6,3,FALSE)))</f>
        <v/>
      </c>
      <c r="M78" s="336" t="str">
        <f>IF(D78="","",VLOOKUP(D78,'G-6 Hedgerow Data'!$B$1:$AH$15,33,FALSE))</f>
        <v/>
      </c>
      <c r="N78" s="289" t="str">
        <f t="shared" si="11"/>
        <v/>
      </c>
      <c r="O78" s="393"/>
      <c r="P78" s="281" t="str">
        <f>IF(O78="","",IF(VLOOKUP(O78,'G-3 Multipliers'!$S$3:$T$10,2,FALSE)=0,"Spatial Data Missing ⚠",VLOOKUP(O78,'G-3 Multipliers'!$S$3:$T$10,2,FALSE)))</f>
        <v/>
      </c>
      <c r="Q78" s="289" t="str">
        <f t="shared" si="12"/>
        <v/>
      </c>
      <c r="R78" s="32"/>
      <c r="S78" s="101"/>
      <c r="T78" s="108"/>
      <c r="U78" s="283" t="str">
        <f t="shared" si="13"/>
        <v/>
      </c>
      <c r="V78" s="283" t="str">
        <f t="shared" si="14"/>
        <v/>
      </c>
      <c r="W78" s="287" t="str">
        <f t="shared" si="15"/>
        <v/>
      </c>
      <c r="X78" s="291" t="str">
        <f t="shared" si="16"/>
        <v/>
      </c>
      <c r="Y78" s="105"/>
      <c r="Z78" s="104"/>
      <c r="AA78" s="104"/>
      <c r="AB78" s="104"/>
      <c r="AE78" s="30" t="str">
        <f>IFERROR(INDEX('G-6 Hedgerow Data'!$BJ$3:$BJ$15,MATCH(D78,'G-6 Hedgerow Data'!$B$3:$B$15,0)),"")</f>
        <v/>
      </c>
      <c r="AH78" s="107" t="str">
        <f t="shared" si="9"/>
        <v/>
      </c>
      <c r="AI78" s="107" t="str">
        <f t="shared" si="10"/>
        <v/>
      </c>
      <c r="AK78" s="107">
        <v>69</v>
      </c>
      <c r="AM78" s="107" t="str">
        <f t="array" ref="AM78">IFERROR(INDEX($AK$10:$AK$258,MATCH(0,IF(TRUE=$AH$10:$AH$258,COUNTIF($AM$9:$AM77,$AK$10:$AK$258),""),0)),"")</f>
        <v/>
      </c>
      <c r="AN78" s="107" t="str">
        <f t="array" ref="AN78">IFERROR(INDEX($AK$10:$AK$258,MATCH(0,IF(TRUE=$AI$10:$AI$258,COUNTIF($AN$9:$AN77,$AK$10:$AK$258),""),0)),"")</f>
        <v/>
      </c>
      <c r="AY78" s="283" t="str">
        <f t="shared" si="17"/>
        <v/>
      </c>
    </row>
    <row r="79" spans="2:51" ht="14">
      <c r="B79" s="97">
        <v>70</v>
      </c>
      <c r="C79" s="138"/>
      <c r="D79" s="138"/>
      <c r="E79" s="104"/>
      <c r="F79" s="275" t="str">
        <f>IF(D79="","",VLOOKUP(D79,'G-6 Hedgerow Data'!$B$2:$AG$15,2,FALSE))</f>
        <v/>
      </c>
      <c r="G79" s="276" t="str">
        <f>IF(D79="","",VLOOKUP(D79,'G-6 Hedgerow Data'!$B$2:$AG$15,3,FALSE))</f>
        <v/>
      </c>
      <c r="H79" s="101"/>
      <c r="I79" s="276" t="str">
        <f>IFERROR(IF(AND(D79&lt;&gt;"",H79=""),"Check data ⚠",(IF(H79="","",IF(AND(D79="Non-native and ornamental hedgerow",H79&lt;&gt;"Poor"),"Not possible ▲",(IF(AND(F79="V.Low",OR(H79="Good",H79="Moderate")),"Error ▲",VLOOKUP(H79,'G-1 All Habitats'!$Z$2:$AA$9,2,FALSE))))))),"")</f>
        <v/>
      </c>
      <c r="J79" s="105"/>
      <c r="K79" s="295" t="str">
        <f>IF(AND(J79="",D79&lt;&gt;""),"Check data ⚠",IF(J79="","",IF(VLOOKUP(J79,'G-3 Multipliers'!$L$3:$N$6,2,FALSE)=0,"Spatial Data Missing ⚠",VLOOKUP(J79,'G-3 Multipliers'!$L$3:$N$6,2,FALSE))))</f>
        <v/>
      </c>
      <c r="L79" s="299" t="str">
        <f>IF(J79="","",IF(VLOOKUP(J79,'G-3 Multipliers'!$L$3:$N$6,3,FALSE)=0,"Spatial Data Missing ⚠",VLOOKUP(J79,'G-3 Multipliers'!$L$3:$N$6,3,FALSE)))</f>
        <v/>
      </c>
      <c r="M79" s="336" t="str">
        <f>IF(D79="","",VLOOKUP(D79,'G-6 Hedgerow Data'!$B$1:$AH$15,33,FALSE))</f>
        <v/>
      </c>
      <c r="N79" s="289" t="str">
        <f t="shared" si="11"/>
        <v/>
      </c>
      <c r="O79" s="393"/>
      <c r="P79" s="281" t="str">
        <f>IF(O79="","",IF(VLOOKUP(O79,'G-3 Multipliers'!$S$3:$T$10,2,FALSE)=0,"Spatial Data Missing ⚠",VLOOKUP(O79,'G-3 Multipliers'!$S$3:$T$10,2,FALSE)))</f>
        <v/>
      </c>
      <c r="Q79" s="289" t="str">
        <f t="shared" si="12"/>
        <v/>
      </c>
      <c r="R79" s="32"/>
      <c r="S79" s="101"/>
      <c r="T79" s="108"/>
      <c r="U79" s="283" t="str">
        <f t="shared" si="13"/>
        <v/>
      </c>
      <c r="V79" s="283" t="str">
        <f t="shared" si="14"/>
        <v/>
      </c>
      <c r="W79" s="287" t="str">
        <f t="shared" si="15"/>
        <v/>
      </c>
      <c r="X79" s="291" t="str">
        <f t="shared" si="16"/>
        <v/>
      </c>
      <c r="Y79" s="105"/>
      <c r="Z79" s="104"/>
      <c r="AA79" s="104"/>
      <c r="AB79" s="104"/>
      <c r="AE79" s="30" t="str">
        <f>IFERROR(INDEX('G-6 Hedgerow Data'!$BJ$3:$BJ$15,MATCH(D79,'G-6 Hedgerow Data'!$B$3:$B$15,0)),"")</f>
        <v/>
      </c>
      <c r="AH79" s="107" t="str">
        <f t="shared" si="9"/>
        <v/>
      </c>
      <c r="AI79" s="107" t="str">
        <f t="shared" si="10"/>
        <v/>
      </c>
      <c r="AK79" s="107">
        <v>70</v>
      </c>
      <c r="AM79" s="107" t="str">
        <f t="array" ref="AM79">IFERROR(INDEX($AK$10:$AK$258,MATCH(0,IF(TRUE=$AH$10:$AH$258,COUNTIF($AM$9:$AM78,$AK$10:$AK$258),""),0)),"")</f>
        <v/>
      </c>
      <c r="AN79" s="107" t="str">
        <f t="array" ref="AN79">IFERROR(INDEX($AK$10:$AK$258,MATCH(0,IF(TRUE=$AI$10:$AI$258,COUNTIF($AN$9:$AN78,$AK$10:$AK$258),""),0)),"")</f>
        <v/>
      </c>
      <c r="AY79" s="283" t="str">
        <f t="shared" si="17"/>
        <v/>
      </c>
    </row>
    <row r="80" spans="2:51" ht="14">
      <c r="B80" s="97">
        <v>71</v>
      </c>
      <c r="C80" s="138"/>
      <c r="D80" s="138"/>
      <c r="E80" s="104"/>
      <c r="F80" s="275" t="str">
        <f>IF(D80="","",VLOOKUP(D80,'G-6 Hedgerow Data'!$B$2:$AG$15,2,FALSE))</f>
        <v/>
      </c>
      <c r="G80" s="276" t="str">
        <f>IF(D80="","",VLOOKUP(D80,'G-6 Hedgerow Data'!$B$2:$AG$15,3,FALSE))</f>
        <v/>
      </c>
      <c r="H80" s="101"/>
      <c r="I80" s="276" t="str">
        <f>IFERROR(IF(AND(D80&lt;&gt;"",H80=""),"Check data ⚠",(IF(H80="","",IF(AND(D80="Non-native and ornamental hedgerow",H80&lt;&gt;"Poor"),"Not possible ▲",(IF(AND(F80="V.Low",OR(H80="Good",H80="Moderate")),"Error ▲",VLOOKUP(H80,'G-1 All Habitats'!$Z$2:$AA$9,2,FALSE))))))),"")</f>
        <v/>
      </c>
      <c r="J80" s="105"/>
      <c r="K80" s="295" t="str">
        <f>IF(AND(J80="",D80&lt;&gt;""),"Check data ⚠",IF(J80="","",IF(VLOOKUP(J80,'G-3 Multipliers'!$L$3:$N$6,2,FALSE)=0,"Spatial Data Missing ⚠",VLOOKUP(J80,'G-3 Multipliers'!$L$3:$N$6,2,FALSE))))</f>
        <v/>
      </c>
      <c r="L80" s="299" t="str">
        <f>IF(J80="","",IF(VLOOKUP(J80,'G-3 Multipliers'!$L$3:$N$6,3,FALSE)=0,"Spatial Data Missing ⚠",VLOOKUP(J80,'G-3 Multipliers'!$L$3:$N$6,3,FALSE)))</f>
        <v/>
      </c>
      <c r="M80" s="336" t="str">
        <f>IF(D80="","",VLOOKUP(D80,'G-6 Hedgerow Data'!$B$1:$AH$15,33,FALSE))</f>
        <v/>
      </c>
      <c r="N80" s="289" t="str">
        <f t="shared" si="11"/>
        <v/>
      </c>
      <c r="O80" s="393"/>
      <c r="P80" s="281" t="str">
        <f>IF(O80="","",IF(VLOOKUP(O80,'G-3 Multipliers'!$S$3:$T$10,2,FALSE)=0,"Spatial Data Missing ⚠",VLOOKUP(O80,'G-3 Multipliers'!$S$3:$T$10,2,FALSE)))</f>
        <v/>
      </c>
      <c r="Q80" s="289" t="str">
        <f t="shared" si="12"/>
        <v/>
      </c>
      <c r="R80" s="32"/>
      <c r="S80" s="101"/>
      <c r="T80" s="108"/>
      <c r="U80" s="283" t="str">
        <f t="shared" si="13"/>
        <v/>
      </c>
      <c r="V80" s="283" t="str">
        <f t="shared" si="14"/>
        <v/>
      </c>
      <c r="W80" s="287" t="str">
        <f t="shared" si="15"/>
        <v/>
      </c>
      <c r="X80" s="291" t="str">
        <f t="shared" si="16"/>
        <v/>
      </c>
      <c r="Y80" s="105"/>
      <c r="Z80" s="104"/>
      <c r="AA80" s="104"/>
      <c r="AB80" s="104"/>
      <c r="AE80" s="30" t="str">
        <f>IFERROR(INDEX('G-6 Hedgerow Data'!$BJ$3:$BJ$15,MATCH(D80,'G-6 Hedgerow Data'!$B$3:$B$15,0)),"")</f>
        <v/>
      </c>
      <c r="AH80" s="107" t="str">
        <f t="shared" si="9"/>
        <v/>
      </c>
      <c r="AI80" s="107" t="str">
        <f t="shared" si="10"/>
        <v/>
      </c>
      <c r="AK80" s="107">
        <v>71</v>
      </c>
      <c r="AM80" s="107" t="str">
        <f t="array" ref="AM80">IFERROR(INDEX($AK$10:$AK$258,MATCH(0,IF(TRUE=$AH$10:$AH$258,COUNTIF($AM$9:$AM79,$AK$10:$AK$258),""),0)),"")</f>
        <v/>
      </c>
      <c r="AN80" s="107" t="str">
        <f t="array" ref="AN80">IFERROR(INDEX($AK$10:$AK$258,MATCH(0,IF(TRUE=$AI$10:$AI$258,COUNTIF($AN$9:$AN79,$AK$10:$AK$258),""),0)),"")</f>
        <v/>
      </c>
      <c r="AY80" s="283" t="str">
        <f t="shared" si="17"/>
        <v/>
      </c>
    </row>
    <row r="81" spans="2:51" ht="14">
      <c r="B81" s="97">
        <v>72</v>
      </c>
      <c r="C81" s="138"/>
      <c r="D81" s="138"/>
      <c r="E81" s="104"/>
      <c r="F81" s="275" t="str">
        <f>IF(D81="","",VLOOKUP(D81,'G-6 Hedgerow Data'!$B$2:$AG$15,2,FALSE))</f>
        <v/>
      </c>
      <c r="G81" s="276" t="str">
        <f>IF(D81="","",VLOOKUP(D81,'G-6 Hedgerow Data'!$B$2:$AG$15,3,FALSE))</f>
        <v/>
      </c>
      <c r="H81" s="101"/>
      <c r="I81" s="276" t="str">
        <f>IFERROR(IF(AND(D81&lt;&gt;"",H81=""),"Check data ⚠",(IF(H81="","",IF(AND(D81="Non-native and ornamental hedgerow",H81&lt;&gt;"Poor"),"Not possible ▲",(IF(AND(F81="V.Low",OR(H81="Good",H81="Moderate")),"Error ▲",VLOOKUP(H81,'G-1 All Habitats'!$Z$2:$AA$9,2,FALSE))))))),"")</f>
        <v/>
      </c>
      <c r="J81" s="105"/>
      <c r="K81" s="295" t="str">
        <f>IF(AND(J81="",D81&lt;&gt;""),"Check data ⚠",IF(J81="","",IF(VLOOKUP(J81,'G-3 Multipliers'!$L$3:$N$6,2,FALSE)=0,"Spatial Data Missing ⚠",VLOOKUP(J81,'G-3 Multipliers'!$L$3:$N$6,2,FALSE))))</f>
        <v/>
      </c>
      <c r="L81" s="299" t="str">
        <f>IF(J81="","",IF(VLOOKUP(J81,'G-3 Multipliers'!$L$3:$N$6,3,FALSE)=0,"Spatial Data Missing ⚠",VLOOKUP(J81,'G-3 Multipliers'!$L$3:$N$6,3,FALSE)))</f>
        <v/>
      </c>
      <c r="M81" s="336" t="str">
        <f>IF(D81="","",VLOOKUP(D81,'G-6 Hedgerow Data'!$B$1:$AH$15,33,FALSE))</f>
        <v/>
      </c>
      <c r="N81" s="289" t="str">
        <f t="shared" si="11"/>
        <v/>
      </c>
      <c r="O81" s="393"/>
      <c r="P81" s="281" t="str">
        <f>IF(O81="","",IF(VLOOKUP(O81,'G-3 Multipliers'!$S$3:$T$10,2,FALSE)=0,"Spatial Data Missing ⚠",VLOOKUP(O81,'G-3 Multipliers'!$S$3:$T$10,2,FALSE)))</f>
        <v/>
      </c>
      <c r="Q81" s="289" t="str">
        <f t="shared" si="12"/>
        <v/>
      </c>
      <c r="R81" s="32"/>
      <c r="S81" s="101"/>
      <c r="T81" s="108"/>
      <c r="U81" s="283" t="str">
        <f t="shared" si="13"/>
        <v/>
      </c>
      <c r="V81" s="283" t="str">
        <f t="shared" si="14"/>
        <v/>
      </c>
      <c r="W81" s="287" t="str">
        <f t="shared" si="15"/>
        <v/>
      </c>
      <c r="X81" s="291" t="str">
        <f t="shared" si="16"/>
        <v/>
      </c>
      <c r="Y81" s="105"/>
      <c r="Z81" s="104"/>
      <c r="AA81" s="104"/>
      <c r="AB81" s="104"/>
      <c r="AE81" s="30" t="str">
        <f>IFERROR(INDEX('G-6 Hedgerow Data'!$BJ$3:$BJ$15,MATCH(D81,'G-6 Hedgerow Data'!$B$3:$B$15,0)),"")</f>
        <v/>
      </c>
      <c r="AH81" s="107" t="str">
        <f t="shared" si="9"/>
        <v/>
      </c>
      <c r="AI81" s="107" t="str">
        <f t="shared" si="10"/>
        <v/>
      </c>
      <c r="AK81" s="107">
        <v>72</v>
      </c>
      <c r="AM81" s="107" t="str">
        <f t="array" ref="AM81">IFERROR(INDEX($AK$10:$AK$258,MATCH(0,IF(TRUE=$AH$10:$AH$258,COUNTIF($AM$9:$AM80,$AK$10:$AK$258),""),0)),"")</f>
        <v/>
      </c>
      <c r="AN81" s="107" t="str">
        <f t="array" ref="AN81">IFERROR(INDEX($AK$10:$AK$258,MATCH(0,IF(TRUE=$AI$10:$AI$258,COUNTIF($AN$9:$AN80,$AK$10:$AK$258),""),0)),"")</f>
        <v/>
      </c>
      <c r="AY81" s="283" t="str">
        <f t="shared" si="17"/>
        <v/>
      </c>
    </row>
    <row r="82" spans="2:51" ht="14">
      <c r="B82" s="97">
        <v>73</v>
      </c>
      <c r="C82" s="138"/>
      <c r="D82" s="138"/>
      <c r="E82" s="104"/>
      <c r="F82" s="275" t="str">
        <f>IF(D82="","",VLOOKUP(D82,'G-6 Hedgerow Data'!$B$2:$AG$15,2,FALSE))</f>
        <v/>
      </c>
      <c r="G82" s="276" t="str">
        <f>IF(D82="","",VLOOKUP(D82,'G-6 Hedgerow Data'!$B$2:$AG$15,3,FALSE))</f>
        <v/>
      </c>
      <c r="H82" s="101"/>
      <c r="I82" s="276" t="str">
        <f>IFERROR(IF(AND(D82&lt;&gt;"",H82=""),"Check data ⚠",(IF(H82="","",IF(AND(D82="Non-native and ornamental hedgerow",H82&lt;&gt;"Poor"),"Not possible ▲",(IF(AND(F82="V.Low",OR(H82="Good",H82="Moderate")),"Error ▲",VLOOKUP(H82,'G-1 All Habitats'!$Z$2:$AA$9,2,FALSE))))))),"")</f>
        <v/>
      </c>
      <c r="J82" s="105"/>
      <c r="K82" s="295" t="str">
        <f>IF(AND(J82="",D82&lt;&gt;""),"Check data ⚠",IF(J82="","",IF(VLOOKUP(J82,'G-3 Multipliers'!$L$3:$N$6,2,FALSE)=0,"Spatial Data Missing ⚠",VLOOKUP(J82,'G-3 Multipliers'!$L$3:$N$6,2,FALSE))))</f>
        <v/>
      </c>
      <c r="L82" s="299" t="str">
        <f>IF(J82="","",IF(VLOOKUP(J82,'G-3 Multipliers'!$L$3:$N$6,3,FALSE)=0,"Spatial Data Missing ⚠",VLOOKUP(J82,'G-3 Multipliers'!$L$3:$N$6,3,FALSE)))</f>
        <v/>
      </c>
      <c r="M82" s="336" t="str">
        <f>IF(D82="","",VLOOKUP(D82,'G-6 Hedgerow Data'!$B$1:$AH$15,33,FALSE))</f>
        <v/>
      </c>
      <c r="N82" s="289" t="str">
        <f t="shared" si="11"/>
        <v/>
      </c>
      <c r="O82" s="393"/>
      <c r="P82" s="281" t="str">
        <f>IF(O82="","",IF(VLOOKUP(O82,'G-3 Multipliers'!$S$3:$T$10,2,FALSE)=0,"Spatial Data Missing ⚠",VLOOKUP(O82,'G-3 Multipliers'!$S$3:$T$10,2,FALSE)))</f>
        <v/>
      </c>
      <c r="Q82" s="289" t="str">
        <f t="shared" si="12"/>
        <v/>
      </c>
      <c r="R82" s="32"/>
      <c r="S82" s="101"/>
      <c r="T82" s="108"/>
      <c r="U82" s="283" t="str">
        <f t="shared" si="13"/>
        <v/>
      </c>
      <c r="V82" s="283" t="str">
        <f t="shared" si="14"/>
        <v/>
      </c>
      <c r="W82" s="287" t="str">
        <f t="shared" si="15"/>
        <v/>
      </c>
      <c r="X82" s="291" t="str">
        <f t="shared" si="16"/>
        <v/>
      </c>
      <c r="Y82" s="105"/>
      <c r="Z82" s="104"/>
      <c r="AA82" s="104"/>
      <c r="AB82" s="104"/>
      <c r="AE82" s="30" t="str">
        <f>IFERROR(INDEX('G-6 Hedgerow Data'!$BJ$3:$BJ$15,MATCH(D82,'G-6 Hedgerow Data'!$B$3:$B$15,0)),"")</f>
        <v/>
      </c>
      <c r="AH82" s="107" t="str">
        <f t="shared" si="9"/>
        <v/>
      </c>
      <c r="AI82" s="107" t="str">
        <f t="shared" si="10"/>
        <v/>
      </c>
      <c r="AK82" s="107">
        <v>73</v>
      </c>
      <c r="AM82" s="107" t="str">
        <f t="array" ref="AM82">IFERROR(INDEX($AK$10:$AK$258,MATCH(0,IF(TRUE=$AH$10:$AH$258,COUNTIF($AM$9:$AM81,$AK$10:$AK$258),""),0)),"")</f>
        <v/>
      </c>
      <c r="AN82" s="107" t="str">
        <f t="array" ref="AN82">IFERROR(INDEX($AK$10:$AK$258,MATCH(0,IF(TRUE=$AI$10:$AI$258,COUNTIF($AN$9:$AN81,$AK$10:$AK$258),""),0)),"")</f>
        <v/>
      </c>
      <c r="AY82" s="283" t="str">
        <f t="shared" si="17"/>
        <v/>
      </c>
    </row>
    <row r="83" spans="2:51" ht="14">
      <c r="B83" s="97">
        <v>74</v>
      </c>
      <c r="C83" s="138"/>
      <c r="D83" s="138"/>
      <c r="E83" s="104"/>
      <c r="F83" s="275" t="str">
        <f>IF(D83="","",VLOOKUP(D83,'G-6 Hedgerow Data'!$B$2:$AG$15,2,FALSE))</f>
        <v/>
      </c>
      <c r="G83" s="276" t="str">
        <f>IF(D83="","",VLOOKUP(D83,'G-6 Hedgerow Data'!$B$2:$AG$15,3,FALSE))</f>
        <v/>
      </c>
      <c r="H83" s="101"/>
      <c r="I83" s="276" t="str">
        <f>IFERROR(IF(AND(D83&lt;&gt;"",H83=""),"Check data ⚠",(IF(H83="","",IF(AND(D83="Non-native and ornamental hedgerow",H83&lt;&gt;"Poor"),"Not possible ▲",(IF(AND(F83="V.Low",OR(H83="Good",H83="Moderate")),"Error ▲",VLOOKUP(H83,'G-1 All Habitats'!$Z$2:$AA$9,2,FALSE))))))),"")</f>
        <v/>
      </c>
      <c r="J83" s="105"/>
      <c r="K83" s="295" t="str">
        <f>IF(AND(J83="",D83&lt;&gt;""),"Check data ⚠",IF(J83="","",IF(VLOOKUP(J83,'G-3 Multipliers'!$L$3:$N$6,2,FALSE)=0,"Spatial Data Missing ⚠",VLOOKUP(J83,'G-3 Multipliers'!$L$3:$N$6,2,FALSE))))</f>
        <v/>
      </c>
      <c r="L83" s="299" t="str">
        <f>IF(J83="","",IF(VLOOKUP(J83,'G-3 Multipliers'!$L$3:$N$6,3,FALSE)=0,"Spatial Data Missing ⚠",VLOOKUP(J83,'G-3 Multipliers'!$L$3:$N$6,3,FALSE)))</f>
        <v/>
      </c>
      <c r="M83" s="336" t="str">
        <f>IF(D83="","",VLOOKUP(D83,'G-6 Hedgerow Data'!$B$1:$AH$15,33,FALSE))</f>
        <v/>
      </c>
      <c r="N83" s="289" t="str">
        <f t="shared" si="11"/>
        <v/>
      </c>
      <c r="O83" s="393"/>
      <c r="P83" s="281" t="str">
        <f>IF(O83="","",IF(VLOOKUP(O83,'G-3 Multipliers'!$S$3:$T$10,2,FALSE)=0,"Spatial Data Missing ⚠",VLOOKUP(O83,'G-3 Multipliers'!$S$3:$T$10,2,FALSE)))</f>
        <v/>
      </c>
      <c r="Q83" s="289" t="str">
        <f t="shared" si="12"/>
        <v/>
      </c>
      <c r="R83" s="32"/>
      <c r="S83" s="101"/>
      <c r="T83" s="108"/>
      <c r="U83" s="283" t="str">
        <f t="shared" si="13"/>
        <v/>
      </c>
      <c r="V83" s="283" t="str">
        <f t="shared" si="14"/>
        <v/>
      </c>
      <c r="W83" s="287" t="str">
        <f t="shared" si="15"/>
        <v/>
      </c>
      <c r="X83" s="291" t="str">
        <f t="shared" si="16"/>
        <v/>
      </c>
      <c r="Y83" s="105"/>
      <c r="Z83" s="104"/>
      <c r="AA83" s="104"/>
      <c r="AB83" s="104"/>
      <c r="AE83" s="30" t="str">
        <f>IFERROR(INDEX('G-6 Hedgerow Data'!$BJ$3:$BJ$15,MATCH(D83,'G-6 Hedgerow Data'!$B$3:$B$15,0)),"")</f>
        <v/>
      </c>
      <c r="AH83" s="107" t="str">
        <f t="shared" si="9"/>
        <v/>
      </c>
      <c r="AI83" s="107" t="str">
        <f t="shared" si="10"/>
        <v/>
      </c>
      <c r="AK83" s="107">
        <v>74</v>
      </c>
      <c r="AM83" s="107" t="str">
        <f t="array" ref="AM83">IFERROR(INDEX($AK$10:$AK$258,MATCH(0,IF(TRUE=$AH$10:$AH$258,COUNTIF($AM$9:$AM82,$AK$10:$AK$258),""),0)),"")</f>
        <v/>
      </c>
      <c r="AN83" s="107" t="str">
        <f t="array" ref="AN83">IFERROR(INDEX($AK$10:$AK$258,MATCH(0,IF(TRUE=$AI$10:$AI$258,COUNTIF($AN$9:$AN82,$AK$10:$AK$258),""),0)),"")</f>
        <v/>
      </c>
      <c r="AY83" s="283" t="str">
        <f t="shared" si="17"/>
        <v/>
      </c>
    </row>
    <row r="84" spans="2:51" ht="14">
      <c r="B84" s="97">
        <v>75</v>
      </c>
      <c r="C84" s="138"/>
      <c r="D84" s="138"/>
      <c r="E84" s="104"/>
      <c r="F84" s="275" t="str">
        <f>IF(D84="","",VLOOKUP(D84,'G-6 Hedgerow Data'!$B$2:$AG$15,2,FALSE))</f>
        <v/>
      </c>
      <c r="G84" s="276" t="str">
        <f>IF(D84="","",VLOOKUP(D84,'G-6 Hedgerow Data'!$B$2:$AG$15,3,FALSE))</f>
        <v/>
      </c>
      <c r="H84" s="101"/>
      <c r="I84" s="276" t="str">
        <f>IFERROR(IF(AND(D84&lt;&gt;"",H84=""),"Check data ⚠",(IF(H84="","",IF(AND(D84="Non-native and ornamental hedgerow",H84&lt;&gt;"Poor"),"Not possible ▲",(IF(AND(F84="V.Low",OR(H84="Good",H84="Moderate")),"Error ▲",VLOOKUP(H84,'G-1 All Habitats'!$Z$2:$AA$9,2,FALSE))))))),"")</f>
        <v/>
      </c>
      <c r="J84" s="105"/>
      <c r="K84" s="295" t="str">
        <f>IF(AND(J84="",D84&lt;&gt;""),"Check data ⚠",IF(J84="","",IF(VLOOKUP(J84,'G-3 Multipliers'!$L$3:$N$6,2,FALSE)=0,"Spatial Data Missing ⚠",VLOOKUP(J84,'G-3 Multipliers'!$L$3:$N$6,2,FALSE))))</f>
        <v/>
      </c>
      <c r="L84" s="299" t="str">
        <f>IF(J84="","",IF(VLOOKUP(J84,'G-3 Multipliers'!$L$3:$N$6,3,FALSE)=0,"Spatial Data Missing ⚠",VLOOKUP(J84,'G-3 Multipliers'!$L$3:$N$6,3,FALSE)))</f>
        <v/>
      </c>
      <c r="M84" s="336" t="str">
        <f>IF(D84="","",VLOOKUP(D84,'G-6 Hedgerow Data'!$B$1:$AH$15,33,FALSE))</f>
        <v/>
      </c>
      <c r="N84" s="289" t="str">
        <f t="shared" si="11"/>
        <v/>
      </c>
      <c r="O84" s="393"/>
      <c r="P84" s="281" t="str">
        <f>IF(O84="","",IF(VLOOKUP(O84,'G-3 Multipliers'!$S$3:$T$10,2,FALSE)=0,"Spatial Data Missing ⚠",VLOOKUP(O84,'G-3 Multipliers'!$S$3:$T$10,2,FALSE)))</f>
        <v/>
      </c>
      <c r="Q84" s="289" t="str">
        <f t="shared" si="12"/>
        <v/>
      </c>
      <c r="R84" s="32"/>
      <c r="S84" s="101"/>
      <c r="T84" s="108"/>
      <c r="U84" s="283" t="str">
        <f t="shared" si="13"/>
        <v/>
      </c>
      <c r="V84" s="283" t="str">
        <f t="shared" si="14"/>
        <v/>
      </c>
      <c r="W84" s="287" t="str">
        <f t="shared" si="15"/>
        <v/>
      </c>
      <c r="X84" s="291" t="str">
        <f t="shared" si="16"/>
        <v/>
      </c>
      <c r="Y84" s="105"/>
      <c r="Z84" s="104"/>
      <c r="AA84" s="104"/>
      <c r="AB84" s="104"/>
      <c r="AE84" s="30" t="str">
        <f>IFERROR(INDEX('G-6 Hedgerow Data'!$BJ$3:$BJ$15,MATCH(D84,'G-6 Hedgerow Data'!$B$3:$B$15,0)),"")</f>
        <v/>
      </c>
      <c r="AH84" s="107" t="str">
        <f t="shared" si="9"/>
        <v/>
      </c>
      <c r="AI84" s="107" t="str">
        <f t="shared" si="10"/>
        <v/>
      </c>
      <c r="AK84" s="107">
        <v>75</v>
      </c>
      <c r="AM84" s="107" t="str">
        <f t="array" ref="AM84">IFERROR(INDEX($AK$10:$AK$258,MATCH(0,IF(TRUE=$AH$10:$AH$258,COUNTIF($AM$9:$AM83,$AK$10:$AK$258),""),0)),"")</f>
        <v/>
      </c>
      <c r="AN84" s="107" t="str">
        <f t="array" ref="AN84">IFERROR(INDEX($AK$10:$AK$258,MATCH(0,IF(TRUE=$AI$10:$AI$258,COUNTIF($AN$9:$AN83,$AK$10:$AK$258),""),0)),"")</f>
        <v/>
      </c>
      <c r="AY84" s="283" t="str">
        <f t="shared" si="17"/>
        <v/>
      </c>
    </row>
    <row r="85" spans="2:51" ht="14">
      <c r="B85" s="97">
        <v>76</v>
      </c>
      <c r="C85" s="138"/>
      <c r="D85" s="138"/>
      <c r="E85" s="104"/>
      <c r="F85" s="275" t="str">
        <f>IF(D85="","",VLOOKUP(D85,'G-6 Hedgerow Data'!$B$2:$AG$15,2,FALSE))</f>
        <v/>
      </c>
      <c r="G85" s="276" t="str">
        <f>IF(D85="","",VLOOKUP(D85,'G-6 Hedgerow Data'!$B$2:$AG$15,3,FALSE))</f>
        <v/>
      </c>
      <c r="H85" s="101"/>
      <c r="I85" s="276" t="str">
        <f>IFERROR(IF(AND(D85&lt;&gt;"",H85=""),"Check data ⚠",(IF(H85="","",IF(AND(D85="Non-native and ornamental hedgerow",H85&lt;&gt;"Poor"),"Not possible ▲",(IF(AND(F85="V.Low",OR(H85="Good",H85="Moderate")),"Error ▲",VLOOKUP(H85,'G-1 All Habitats'!$Z$2:$AA$9,2,FALSE))))))),"")</f>
        <v/>
      </c>
      <c r="J85" s="105"/>
      <c r="K85" s="295" t="str">
        <f>IF(AND(J85="",D85&lt;&gt;""),"Check data ⚠",IF(J85="","",IF(VLOOKUP(J85,'G-3 Multipliers'!$L$3:$N$6,2,FALSE)=0,"Spatial Data Missing ⚠",VLOOKUP(J85,'G-3 Multipliers'!$L$3:$N$6,2,FALSE))))</f>
        <v/>
      </c>
      <c r="L85" s="299" t="str">
        <f>IF(J85="","",IF(VLOOKUP(J85,'G-3 Multipliers'!$L$3:$N$6,3,FALSE)=0,"Spatial Data Missing ⚠",VLOOKUP(J85,'G-3 Multipliers'!$L$3:$N$6,3,FALSE)))</f>
        <v/>
      </c>
      <c r="M85" s="336" t="str">
        <f>IF(D85="","",VLOOKUP(D85,'G-6 Hedgerow Data'!$B$1:$AH$15,33,FALSE))</f>
        <v/>
      </c>
      <c r="N85" s="289" t="str">
        <f t="shared" si="11"/>
        <v/>
      </c>
      <c r="O85" s="393"/>
      <c r="P85" s="281" t="str">
        <f>IF(O85="","",IF(VLOOKUP(O85,'G-3 Multipliers'!$S$3:$T$10,2,FALSE)=0,"Spatial Data Missing ⚠",VLOOKUP(O85,'G-3 Multipliers'!$S$3:$T$10,2,FALSE)))</f>
        <v/>
      </c>
      <c r="Q85" s="289" t="str">
        <f t="shared" si="12"/>
        <v/>
      </c>
      <c r="R85" s="32"/>
      <c r="S85" s="101"/>
      <c r="T85" s="108"/>
      <c r="U85" s="283" t="str">
        <f t="shared" si="13"/>
        <v/>
      </c>
      <c r="V85" s="283" t="str">
        <f t="shared" si="14"/>
        <v/>
      </c>
      <c r="W85" s="287" t="str">
        <f t="shared" si="15"/>
        <v/>
      </c>
      <c r="X85" s="291" t="str">
        <f t="shared" si="16"/>
        <v/>
      </c>
      <c r="Y85" s="105"/>
      <c r="Z85" s="104"/>
      <c r="AA85" s="104"/>
      <c r="AB85" s="104"/>
      <c r="AE85" s="30" t="str">
        <f>IFERROR(INDEX('G-6 Hedgerow Data'!$BJ$3:$BJ$15,MATCH(D85,'G-6 Hedgerow Data'!$B$3:$B$15,0)),"")</f>
        <v/>
      </c>
      <c r="AH85" s="107" t="str">
        <f t="shared" si="9"/>
        <v/>
      </c>
      <c r="AI85" s="107" t="str">
        <f t="shared" si="10"/>
        <v/>
      </c>
      <c r="AK85" s="107">
        <v>76</v>
      </c>
      <c r="AM85" s="107" t="str">
        <f t="array" ref="AM85">IFERROR(INDEX($AK$10:$AK$258,MATCH(0,IF(TRUE=$AH$10:$AH$258,COUNTIF($AM$9:$AM84,$AK$10:$AK$258),""),0)),"")</f>
        <v/>
      </c>
      <c r="AN85" s="107" t="str">
        <f t="array" ref="AN85">IFERROR(INDEX($AK$10:$AK$258,MATCH(0,IF(TRUE=$AI$10:$AI$258,COUNTIF($AN$9:$AN84,$AK$10:$AK$258),""),0)),"")</f>
        <v/>
      </c>
      <c r="AY85" s="283" t="str">
        <f t="shared" si="17"/>
        <v/>
      </c>
    </row>
    <row r="86" spans="2:51" ht="14">
      <c r="B86" s="97">
        <v>77</v>
      </c>
      <c r="C86" s="138"/>
      <c r="D86" s="138"/>
      <c r="E86" s="104"/>
      <c r="F86" s="275" t="str">
        <f>IF(D86="","",VLOOKUP(D86,'G-6 Hedgerow Data'!$B$2:$AG$15,2,FALSE))</f>
        <v/>
      </c>
      <c r="G86" s="276" t="str">
        <f>IF(D86="","",VLOOKUP(D86,'G-6 Hedgerow Data'!$B$2:$AG$15,3,FALSE))</f>
        <v/>
      </c>
      <c r="H86" s="101"/>
      <c r="I86" s="276" t="str">
        <f>IFERROR(IF(AND(D86&lt;&gt;"",H86=""),"Check data ⚠",(IF(H86="","",IF(AND(D86="Non-native and ornamental hedgerow",H86&lt;&gt;"Poor"),"Not possible ▲",(IF(AND(F86="V.Low",OR(H86="Good",H86="Moderate")),"Error ▲",VLOOKUP(H86,'G-1 All Habitats'!$Z$2:$AA$9,2,FALSE))))))),"")</f>
        <v/>
      </c>
      <c r="J86" s="105"/>
      <c r="K86" s="295" t="str">
        <f>IF(AND(J86="",D86&lt;&gt;""),"Check data ⚠",IF(J86="","",IF(VLOOKUP(J86,'G-3 Multipliers'!$L$3:$N$6,2,FALSE)=0,"Spatial Data Missing ⚠",VLOOKUP(J86,'G-3 Multipliers'!$L$3:$N$6,2,FALSE))))</f>
        <v/>
      </c>
      <c r="L86" s="299" t="str">
        <f>IF(J86="","",IF(VLOOKUP(J86,'G-3 Multipliers'!$L$3:$N$6,3,FALSE)=0,"Spatial Data Missing ⚠",VLOOKUP(J86,'G-3 Multipliers'!$L$3:$N$6,3,FALSE)))</f>
        <v/>
      </c>
      <c r="M86" s="336" t="str">
        <f>IF(D86="","",VLOOKUP(D86,'G-6 Hedgerow Data'!$B$1:$AH$15,33,FALSE))</f>
        <v/>
      </c>
      <c r="N86" s="289" t="str">
        <f t="shared" si="11"/>
        <v/>
      </c>
      <c r="O86" s="393"/>
      <c r="P86" s="281" t="str">
        <f>IF(O86="","",IF(VLOOKUP(O86,'G-3 Multipliers'!$S$3:$T$10,2,FALSE)=0,"Spatial Data Missing ⚠",VLOOKUP(O86,'G-3 Multipliers'!$S$3:$T$10,2,FALSE)))</f>
        <v/>
      </c>
      <c r="Q86" s="289" t="str">
        <f t="shared" si="12"/>
        <v/>
      </c>
      <c r="R86" s="32"/>
      <c r="S86" s="101"/>
      <c r="T86" s="108"/>
      <c r="U86" s="283" t="str">
        <f t="shared" si="13"/>
        <v/>
      </c>
      <c r="V86" s="283" t="str">
        <f t="shared" si="14"/>
        <v/>
      </c>
      <c r="W86" s="287" t="str">
        <f t="shared" si="15"/>
        <v/>
      </c>
      <c r="X86" s="291" t="str">
        <f t="shared" si="16"/>
        <v/>
      </c>
      <c r="Y86" s="105"/>
      <c r="Z86" s="104"/>
      <c r="AA86" s="104"/>
      <c r="AB86" s="104"/>
      <c r="AE86" s="30" t="str">
        <f>IFERROR(INDEX('G-6 Hedgerow Data'!$BJ$3:$BJ$15,MATCH(D86,'G-6 Hedgerow Data'!$B$3:$B$15,0)),"")</f>
        <v/>
      </c>
      <c r="AH86" s="107" t="str">
        <f t="shared" si="9"/>
        <v/>
      </c>
      <c r="AI86" s="107" t="str">
        <f t="shared" si="10"/>
        <v/>
      </c>
      <c r="AK86" s="107">
        <v>77</v>
      </c>
      <c r="AM86" s="107" t="str">
        <f t="array" ref="AM86">IFERROR(INDEX($AK$10:$AK$258,MATCH(0,IF(TRUE=$AH$10:$AH$258,COUNTIF($AM$9:$AM85,$AK$10:$AK$258),""),0)),"")</f>
        <v/>
      </c>
      <c r="AN86" s="107" t="str">
        <f t="array" ref="AN86">IFERROR(INDEX($AK$10:$AK$258,MATCH(0,IF(TRUE=$AI$10:$AI$258,COUNTIF($AN$9:$AN85,$AK$10:$AK$258),""),0)),"")</f>
        <v/>
      </c>
      <c r="AY86" s="283" t="str">
        <f t="shared" si="17"/>
        <v/>
      </c>
    </row>
    <row r="87" spans="2:51" ht="14">
      <c r="B87" s="97">
        <v>78</v>
      </c>
      <c r="C87" s="138"/>
      <c r="D87" s="138"/>
      <c r="E87" s="104"/>
      <c r="F87" s="275" t="str">
        <f>IF(D87="","",VLOOKUP(D87,'G-6 Hedgerow Data'!$B$2:$AG$15,2,FALSE))</f>
        <v/>
      </c>
      <c r="G87" s="276" t="str">
        <f>IF(D87="","",VLOOKUP(D87,'G-6 Hedgerow Data'!$B$2:$AG$15,3,FALSE))</f>
        <v/>
      </c>
      <c r="H87" s="101"/>
      <c r="I87" s="276" t="str">
        <f>IFERROR(IF(AND(D87&lt;&gt;"",H87=""),"Check data ⚠",(IF(H87="","",IF(AND(D87="Non-native and ornamental hedgerow",H87&lt;&gt;"Poor"),"Not possible ▲",(IF(AND(F87="V.Low",OR(H87="Good",H87="Moderate")),"Error ▲",VLOOKUP(H87,'G-1 All Habitats'!$Z$2:$AA$9,2,FALSE))))))),"")</f>
        <v/>
      </c>
      <c r="J87" s="105"/>
      <c r="K87" s="295" t="str">
        <f>IF(AND(J87="",D87&lt;&gt;""),"Check data ⚠",IF(J87="","",IF(VLOOKUP(J87,'G-3 Multipliers'!$L$3:$N$6,2,FALSE)=0,"Spatial Data Missing ⚠",VLOOKUP(J87,'G-3 Multipliers'!$L$3:$N$6,2,FALSE))))</f>
        <v/>
      </c>
      <c r="L87" s="299" t="str">
        <f>IF(J87="","",IF(VLOOKUP(J87,'G-3 Multipliers'!$L$3:$N$6,3,FALSE)=0,"Spatial Data Missing ⚠",VLOOKUP(J87,'G-3 Multipliers'!$L$3:$N$6,3,FALSE)))</f>
        <v/>
      </c>
      <c r="M87" s="336" t="str">
        <f>IF(D87="","",VLOOKUP(D87,'G-6 Hedgerow Data'!$B$1:$AH$15,33,FALSE))</f>
        <v/>
      </c>
      <c r="N87" s="289" t="str">
        <f t="shared" si="11"/>
        <v/>
      </c>
      <c r="O87" s="393"/>
      <c r="P87" s="281" t="str">
        <f>IF(O87="","",IF(VLOOKUP(O87,'G-3 Multipliers'!$S$3:$T$10,2,FALSE)=0,"Spatial Data Missing ⚠",VLOOKUP(O87,'G-3 Multipliers'!$S$3:$T$10,2,FALSE)))</f>
        <v/>
      </c>
      <c r="Q87" s="289" t="str">
        <f t="shared" si="12"/>
        <v/>
      </c>
      <c r="R87" s="32"/>
      <c r="S87" s="101"/>
      <c r="T87" s="108"/>
      <c r="U87" s="283" t="str">
        <f t="shared" si="13"/>
        <v/>
      </c>
      <c r="V87" s="283" t="str">
        <f t="shared" si="14"/>
        <v/>
      </c>
      <c r="W87" s="287" t="str">
        <f t="shared" si="15"/>
        <v/>
      </c>
      <c r="X87" s="291" t="str">
        <f t="shared" si="16"/>
        <v/>
      </c>
      <c r="Y87" s="105"/>
      <c r="Z87" s="104"/>
      <c r="AA87" s="104"/>
      <c r="AB87" s="104"/>
      <c r="AE87" s="30" t="str">
        <f>IFERROR(INDEX('G-6 Hedgerow Data'!$BJ$3:$BJ$15,MATCH(D87,'G-6 Hedgerow Data'!$B$3:$B$15,0)),"")</f>
        <v/>
      </c>
      <c r="AH87" s="107" t="str">
        <f t="shared" si="9"/>
        <v/>
      </c>
      <c r="AI87" s="107" t="str">
        <f t="shared" si="10"/>
        <v/>
      </c>
      <c r="AK87" s="107">
        <v>78</v>
      </c>
      <c r="AM87" s="107" t="str">
        <f t="array" ref="AM87">IFERROR(INDEX($AK$10:$AK$258,MATCH(0,IF(TRUE=$AH$10:$AH$258,COUNTIF($AM$9:$AM86,$AK$10:$AK$258),""),0)),"")</f>
        <v/>
      </c>
      <c r="AN87" s="107" t="str">
        <f t="array" ref="AN87">IFERROR(INDEX($AK$10:$AK$258,MATCH(0,IF(TRUE=$AI$10:$AI$258,COUNTIF($AN$9:$AN86,$AK$10:$AK$258),""),0)),"")</f>
        <v/>
      </c>
      <c r="AY87" s="283" t="str">
        <f t="shared" si="17"/>
        <v/>
      </c>
    </row>
    <row r="88" spans="2:51" ht="14">
      <c r="B88" s="97">
        <v>79</v>
      </c>
      <c r="C88" s="138"/>
      <c r="D88" s="138"/>
      <c r="E88" s="104"/>
      <c r="F88" s="275" t="str">
        <f>IF(D88="","",VLOOKUP(D88,'G-6 Hedgerow Data'!$B$2:$AG$15,2,FALSE))</f>
        <v/>
      </c>
      <c r="G88" s="276" t="str">
        <f>IF(D88="","",VLOOKUP(D88,'G-6 Hedgerow Data'!$B$2:$AG$15,3,FALSE))</f>
        <v/>
      </c>
      <c r="H88" s="101"/>
      <c r="I88" s="276" t="str">
        <f>IFERROR(IF(AND(D88&lt;&gt;"",H88=""),"Check data ⚠",(IF(H88="","",IF(AND(D88="Non-native and ornamental hedgerow",H88&lt;&gt;"Poor"),"Not possible ▲",(IF(AND(F88="V.Low",OR(H88="Good",H88="Moderate")),"Error ▲",VLOOKUP(H88,'G-1 All Habitats'!$Z$2:$AA$9,2,FALSE))))))),"")</f>
        <v/>
      </c>
      <c r="J88" s="105"/>
      <c r="K88" s="295" t="str">
        <f>IF(AND(J88="",D88&lt;&gt;""),"Check data ⚠",IF(J88="","",IF(VLOOKUP(J88,'G-3 Multipliers'!$L$3:$N$6,2,FALSE)=0,"Spatial Data Missing ⚠",VLOOKUP(J88,'G-3 Multipliers'!$L$3:$N$6,2,FALSE))))</f>
        <v/>
      </c>
      <c r="L88" s="299" t="str">
        <f>IF(J88="","",IF(VLOOKUP(J88,'G-3 Multipliers'!$L$3:$N$6,3,FALSE)=0,"Spatial Data Missing ⚠",VLOOKUP(J88,'G-3 Multipliers'!$L$3:$N$6,3,FALSE)))</f>
        <v/>
      </c>
      <c r="M88" s="336" t="str">
        <f>IF(D88="","",VLOOKUP(D88,'G-6 Hedgerow Data'!$B$1:$AH$15,33,FALSE))</f>
        <v/>
      </c>
      <c r="N88" s="289" t="str">
        <f t="shared" si="11"/>
        <v/>
      </c>
      <c r="O88" s="393"/>
      <c r="P88" s="281" t="str">
        <f>IF(O88="","",IF(VLOOKUP(O88,'G-3 Multipliers'!$S$3:$T$10,2,FALSE)=0,"Spatial Data Missing ⚠",VLOOKUP(O88,'G-3 Multipliers'!$S$3:$T$10,2,FALSE)))</f>
        <v/>
      </c>
      <c r="Q88" s="289" t="str">
        <f t="shared" si="12"/>
        <v/>
      </c>
      <c r="R88" s="32"/>
      <c r="S88" s="101"/>
      <c r="T88" s="108"/>
      <c r="U88" s="283" t="str">
        <f t="shared" si="13"/>
        <v/>
      </c>
      <c r="V88" s="283" t="str">
        <f t="shared" si="14"/>
        <v/>
      </c>
      <c r="W88" s="287" t="str">
        <f t="shared" si="15"/>
        <v/>
      </c>
      <c r="X88" s="291" t="str">
        <f t="shared" si="16"/>
        <v/>
      </c>
      <c r="Y88" s="105"/>
      <c r="Z88" s="104"/>
      <c r="AA88" s="104"/>
      <c r="AB88" s="104"/>
      <c r="AE88" s="30" t="str">
        <f>IFERROR(INDEX('G-6 Hedgerow Data'!$BJ$3:$BJ$15,MATCH(D88,'G-6 Hedgerow Data'!$B$3:$B$15,0)),"")</f>
        <v/>
      </c>
      <c r="AH88" s="107" t="str">
        <f t="shared" si="9"/>
        <v/>
      </c>
      <c r="AI88" s="107" t="str">
        <f t="shared" si="10"/>
        <v/>
      </c>
      <c r="AK88" s="107">
        <v>79</v>
      </c>
      <c r="AM88" s="107" t="str">
        <f t="array" ref="AM88">IFERROR(INDEX($AK$10:$AK$258,MATCH(0,IF(TRUE=$AH$10:$AH$258,COUNTIF($AM$9:$AM87,$AK$10:$AK$258),""),0)),"")</f>
        <v/>
      </c>
      <c r="AN88" s="107" t="str">
        <f t="array" ref="AN88">IFERROR(INDEX($AK$10:$AK$258,MATCH(0,IF(TRUE=$AI$10:$AI$258,COUNTIF($AN$9:$AN87,$AK$10:$AK$258),""),0)),"")</f>
        <v/>
      </c>
      <c r="AY88" s="283" t="str">
        <f t="shared" si="17"/>
        <v/>
      </c>
    </row>
    <row r="89" spans="2:51" ht="14">
      <c r="B89" s="97">
        <v>80</v>
      </c>
      <c r="C89" s="138"/>
      <c r="D89" s="138"/>
      <c r="E89" s="104"/>
      <c r="F89" s="275" t="str">
        <f>IF(D89="","",VLOOKUP(D89,'G-6 Hedgerow Data'!$B$2:$AG$15,2,FALSE))</f>
        <v/>
      </c>
      <c r="G89" s="276" t="str">
        <f>IF(D89="","",VLOOKUP(D89,'G-6 Hedgerow Data'!$B$2:$AG$15,3,FALSE))</f>
        <v/>
      </c>
      <c r="H89" s="101"/>
      <c r="I89" s="276" t="str">
        <f>IFERROR(IF(AND(D89&lt;&gt;"",H89=""),"Check data ⚠",(IF(H89="","",IF(AND(D89="Non-native and ornamental hedgerow",H89&lt;&gt;"Poor"),"Not possible ▲",(IF(AND(F89="V.Low",OR(H89="Good",H89="Moderate")),"Error ▲",VLOOKUP(H89,'G-1 All Habitats'!$Z$2:$AA$9,2,FALSE))))))),"")</f>
        <v/>
      </c>
      <c r="J89" s="105"/>
      <c r="K89" s="295" t="str">
        <f>IF(AND(J89="",D89&lt;&gt;""),"Check data ⚠",IF(J89="","",IF(VLOOKUP(J89,'G-3 Multipliers'!$L$3:$N$6,2,FALSE)=0,"Spatial Data Missing ⚠",VLOOKUP(J89,'G-3 Multipliers'!$L$3:$N$6,2,FALSE))))</f>
        <v/>
      </c>
      <c r="L89" s="299" t="str">
        <f>IF(J89="","",IF(VLOOKUP(J89,'G-3 Multipliers'!$L$3:$N$6,3,FALSE)=0,"Spatial Data Missing ⚠",VLOOKUP(J89,'G-3 Multipliers'!$L$3:$N$6,3,FALSE)))</f>
        <v/>
      </c>
      <c r="M89" s="336" t="str">
        <f>IF(D89="","",VLOOKUP(D89,'G-6 Hedgerow Data'!$B$1:$AH$15,33,FALSE))</f>
        <v/>
      </c>
      <c r="N89" s="289" t="str">
        <f t="shared" si="11"/>
        <v/>
      </c>
      <c r="O89" s="393"/>
      <c r="P89" s="281" t="str">
        <f>IF(O89="","",IF(VLOOKUP(O89,'G-3 Multipliers'!$S$3:$T$10,2,FALSE)=0,"Spatial Data Missing ⚠",VLOOKUP(O89,'G-3 Multipliers'!$S$3:$T$10,2,FALSE)))</f>
        <v/>
      </c>
      <c r="Q89" s="289" t="str">
        <f t="shared" si="12"/>
        <v/>
      </c>
      <c r="R89" s="32"/>
      <c r="S89" s="101"/>
      <c r="T89" s="108"/>
      <c r="U89" s="283" t="str">
        <f t="shared" si="13"/>
        <v/>
      </c>
      <c r="V89" s="283" t="str">
        <f t="shared" si="14"/>
        <v/>
      </c>
      <c r="W89" s="287" t="str">
        <f t="shared" si="15"/>
        <v/>
      </c>
      <c r="X89" s="291" t="str">
        <f t="shared" si="16"/>
        <v/>
      </c>
      <c r="Y89" s="105"/>
      <c r="Z89" s="104"/>
      <c r="AA89" s="104"/>
      <c r="AB89" s="104"/>
      <c r="AE89" s="30" t="str">
        <f>IFERROR(INDEX('G-6 Hedgerow Data'!$BJ$3:$BJ$15,MATCH(D89,'G-6 Hedgerow Data'!$B$3:$B$15,0)),"")</f>
        <v/>
      </c>
      <c r="AH89" s="107" t="str">
        <f t="shared" si="9"/>
        <v/>
      </c>
      <c r="AI89" s="107" t="str">
        <f t="shared" si="10"/>
        <v/>
      </c>
      <c r="AK89" s="107">
        <v>80</v>
      </c>
      <c r="AM89" s="107" t="str">
        <f t="array" ref="AM89">IFERROR(INDEX($AK$10:$AK$258,MATCH(0,IF(TRUE=$AH$10:$AH$258,COUNTIF($AM$9:$AM88,$AK$10:$AK$258),""),0)),"")</f>
        <v/>
      </c>
      <c r="AN89" s="107" t="str">
        <f t="array" ref="AN89">IFERROR(INDEX($AK$10:$AK$258,MATCH(0,IF(TRUE=$AI$10:$AI$258,COUNTIF($AN$9:$AN88,$AK$10:$AK$258),""),0)),"")</f>
        <v/>
      </c>
      <c r="AY89" s="283" t="str">
        <f t="shared" si="17"/>
        <v/>
      </c>
    </row>
    <row r="90" spans="2:51" ht="14">
      <c r="B90" s="97">
        <v>81</v>
      </c>
      <c r="C90" s="138"/>
      <c r="D90" s="138"/>
      <c r="E90" s="104"/>
      <c r="F90" s="275" t="str">
        <f>IF(D90="","",VLOOKUP(D90,'G-6 Hedgerow Data'!$B$2:$AG$15,2,FALSE))</f>
        <v/>
      </c>
      <c r="G90" s="276" t="str">
        <f>IF(D90="","",VLOOKUP(D90,'G-6 Hedgerow Data'!$B$2:$AG$15,3,FALSE))</f>
        <v/>
      </c>
      <c r="H90" s="101"/>
      <c r="I90" s="276" t="str">
        <f>IFERROR(IF(AND(D90&lt;&gt;"",H90=""),"Check data ⚠",(IF(H90="","",IF(AND(D90="Non-native and ornamental hedgerow",H90&lt;&gt;"Poor"),"Not possible ▲",(IF(AND(F90="V.Low",OR(H90="Good",H90="Moderate")),"Error ▲",VLOOKUP(H90,'G-1 All Habitats'!$Z$2:$AA$9,2,FALSE))))))),"")</f>
        <v/>
      </c>
      <c r="J90" s="105"/>
      <c r="K90" s="295" t="str">
        <f>IF(AND(J90="",D90&lt;&gt;""),"Check data ⚠",IF(J90="","",IF(VLOOKUP(J90,'G-3 Multipliers'!$L$3:$N$6,2,FALSE)=0,"Spatial Data Missing ⚠",VLOOKUP(J90,'G-3 Multipliers'!$L$3:$N$6,2,FALSE))))</f>
        <v/>
      </c>
      <c r="L90" s="299" t="str">
        <f>IF(J90="","",IF(VLOOKUP(J90,'G-3 Multipliers'!$L$3:$N$6,3,FALSE)=0,"Spatial Data Missing ⚠",VLOOKUP(J90,'G-3 Multipliers'!$L$3:$N$6,3,FALSE)))</f>
        <v/>
      </c>
      <c r="M90" s="336" t="str">
        <f>IF(D90="","",VLOOKUP(D90,'G-6 Hedgerow Data'!$B$1:$AH$15,33,FALSE))</f>
        <v/>
      </c>
      <c r="N90" s="289" t="str">
        <f t="shared" si="11"/>
        <v/>
      </c>
      <c r="O90" s="393"/>
      <c r="P90" s="281" t="str">
        <f>IF(O90="","",IF(VLOOKUP(O90,'G-3 Multipliers'!$S$3:$T$10,2,FALSE)=0,"Spatial Data Missing ⚠",VLOOKUP(O90,'G-3 Multipliers'!$S$3:$T$10,2,FALSE)))</f>
        <v/>
      </c>
      <c r="Q90" s="289" t="str">
        <f t="shared" si="12"/>
        <v/>
      </c>
      <c r="R90" s="32"/>
      <c r="S90" s="101"/>
      <c r="T90" s="108"/>
      <c r="U90" s="283" t="str">
        <f t="shared" si="13"/>
        <v/>
      </c>
      <c r="V90" s="283" t="str">
        <f t="shared" si="14"/>
        <v/>
      </c>
      <c r="W90" s="287" t="str">
        <f t="shared" si="15"/>
        <v/>
      </c>
      <c r="X90" s="291" t="str">
        <f t="shared" si="16"/>
        <v/>
      </c>
      <c r="Y90" s="105"/>
      <c r="Z90" s="104"/>
      <c r="AA90" s="104"/>
      <c r="AB90" s="104"/>
      <c r="AE90" s="30" t="str">
        <f>IFERROR(INDEX('G-6 Hedgerow Data'!$BJ$3:$BJ$15,MATCH(D90,'G-6 Hedgerow Data'!$B$3:$B$15,0)),"")</f>
        <v/>
      </c>
      <c r="AH90" s="107" t="str">
        <f t="shared" si="9"/>
        <v/>
      </c>
      <c r="AI90" s="107" t="str">
        <f t="shared" si="10"/>
        <v/>
      </c>
      <c r="AK90" s="107">
        <v>81</v>
      </c>
      <c r="AM90" s="107" t="str">
        <f t="array" ref="AM90">IFERROR(INDEX($AK$10:$AK$258,MATCH(0,IF(TRUE=$AH$10:$AH$258,COUNTIF($AM$9:$AM89,$AK$10:$AK$258),""),0)),"")</f>
        <v/>
      </c>
      <c r="AN90" s="107" t="str">
        <f t="array" ref="AN90">IFERROR(INDEX($AK$10:$AK$258,MATCH(0,IF(TRUE=$AI$10:$AI$258,COUNTIF($AN$9:$AN89,$AK$10:$AK$258),""),0)),"")</f>
        <v/>
      </c>
      <c r="AY90" s="283" t="str">
        <f t="shared" si="17"/>
        <v/>
      </c>
    </row>
    <row r="91" spans="2:51" ht="14">
      <c r="B91" s="97">
        <v>82</v>
      </c>
      <c r="C91" s="138"/>
      <c r="D91" s="138"/>
      <c r="E91" s="104"/>
      <c r="F91" s="275" t="str">
        <f>IF(D91="","",VLOOKUP(D91,'G-6 Hedgerow Data'!$B$2:$AG$15,2,FALSE))</f>
        <v/>
      </c>
      <c r="G91" s="276" t="str">
        <f>IF(D91="","",VLOOKUP(D91,'G-6 Hedgerow Data'!$B$2:$AG$15,3,FALSE))</f>
        <v/>
      </c>
      <c r="H91" s="101"/>
      <c r="I91" s="276" t="str">
        <f>IFERROR(IF(AND(D91&lt;&gt;"",H91=""),"Check data ⚠",(IF(H91="","",IF(AND(D91="Non-native and ornamental hedgerow",H91&lt;&gt;"Poor"),"Not possible ▲",(IF(AND(F91="V.Low",OR(H91="Good",H91="Moderate")),"Error ▲",VLOOKUP(H91,'G-1 All Habitats'!$Z$2:$AA$9,2,FALSE))))))),"")</f>
        <v/>
      </c>
      <c r="J91" s="105"/>
      <c r="K91" s="295" t="str">
        <f>IF(AND(J91="",D91&lt;&gt;""),"Check data ⚠",IF(J91="","",IF(VLOOKUP(J91,'G-3 Multipliers'!$L$3:$N$6,2,FALSE)=0,"Spatial Data Missing ⚠",VLOOKUP(J91,'G-3 Multipliers'!$L$3:$N$6,2,FALSE))))</f>
        <v/>
      </c>
      <c r="L91" s="299" t="str">
        <f>IF(J91="","",IF(VLOOKUP(J91,'G-3 Multipliers'!$L$3:$N$6,3,FALSE)=0,"Spatial Data Missing ⚠",VLOOKUP(J91,'G-3 Multipliers'!$L$3:$N$6,3,FALSE)))</f>
        <v/>
      </c>
      <c r="M91" s="336" t="str">
        <f>IF(D91="","",VLOOKUP(D91,'G-6 Hedgerow Data'!$B$1:$AH$15,33,FALSE))</f>
        <v/>
      </c>
      <c r="N91" s="289" t="str">
        <f t="shared" si="11"/>
        <v/>
      </c>
      <c r="O91" s="393"/>
      <c r="P91" s="281" t="str">
        <f>IF(O91="","",IF(VLOOKUP(O91,'G-3 Multipliers'!$S$3:$T$10,2,FALSE)=0,"Spatial Data Missing ⚠",VLOOKUP(O91,'G-3 Multipliers'!$S$3:$T$10,2,FALSE)))</f>
        <v/>
      </c>
      <c r="Q91" s="289" t="str">
        <f t="shared" si="12"/>
        <v/>
      </c>
      <c r="R91" s="32"/>
      <c r="S91" s="101"/>
      <c r="T91" s="108"/>
      <c r="U91" s="283" t="str">
        <f t="shared" si="13"/>
        <v/>
      </c>
      <c r="V91" s="283" t="str">
        <f t="shared" si="14"/>
        <v/>
      </c>
      <c r="W91" s="287" t="str">
        <f t="shared" si="15"/>
        <v/>
      </c>
      <c r="X91" s="291" t="str">
        <f t="shared" si="16"/>
        <v/>
      </c>
      <c r="Y91" s="105"/>
      <c r="Z91" s="104"/>
      <c r="AA91" s="104"/>
      <c r="AB91" s="104"/>
      <c r="AE91" s="30" t="str">
        <f>IFERROR(INDEX('G-6 Hedgerow Data'!$BJ$3:$BJ$15,MATCH(D91,'G-6 Hedgerow Data'!$B$3:$B$15,0)),"")</f>
        <v/>
      </c>
      <c r="AH91" s="107" t="str">
        <f t="shared" si="9"/>
        <v/>
      </c>
      <c r="AI91" s="107" t="str">
        <f t="shared" si="10"/>
        <v/>
      </c>
      <c r="AK91" s="107">
        <v>82</v>
      </c>
      <c r="AM91" s="107" t="str">
        <f t="array" ref="AM91">IFERROR(INDEX($AK$10:$AK$258,MATCH(0,IF(TRUE=$AH$10:$AH$258,COUNTIF($AM$9:$AM90,$AK$10:$AK$258),""),0)),"")</f>
        <v/>
      </c>
      <c r="AN91" s="107" t="str">
        <f t="array" ref="AN91">IFERROR(INDEX($AK$10:$AK$258,MATCH(0,IF(TRUE=$AI$10:$AI$258,COUNTIF($AN$9:$AN90,$AK$10:$AK$258),""),0)),"")</f>
        <v/>
      </c>
      <c r="AY91" s="283" t="str">
        <f t="shared" si="17"/>
        <v/>
      </c>
    </row>
    <row r="92" spans="2:51" ht="14">
      <c r="B92" s="97">
        <v>83</v>
      </c>
      <c r="C92" s="138"/>
      <c r="D92" s="138"/>
      <c r="E92" s="104"/>
      <c r="F92" s="275" t="str">
        <f>IF(D92="","",VLOOKUP(D92,'G-6 Hedgerow Data'!$B$2:$AG$15,2,FALSE))</f>
        <v/>
      </c>
      <c r="G92" s="276" t="str">
        <f>IF(D92="","",VLOOKUP(D92,'G-6 Hedgerow Data'!$B$2:$AG$15,3,FALSE))</f>
        <v/>
      </c>
      <c r="H92" s="101"/>
      <c r="I92" s="276" t="str">
        <f>IFERROR(IF(AND(D92&lt;&gt;"",H92=""),"Check data ⚠",(IF(H92="","",IF(AND(D92="Non-native and ornamental hedgerow",H92&lt;&gt;"Poor"),"Not possible ▲",(IF(AND(F92="V.Low",OR(H92="Good",H92="Moderate")),"Error ▲",VLOOKUP(H92,'G-1 All Habitats'!$Z$2:$AA$9,2,FALSE))))))),"")</f>
        <v/>
      </c>
      <c r="J92" s="105"/>
      <c r="K92" s="295" t="str">
        <f>IF(AND(J92="",D92&lt;&gt;""),"Check data ⚠",IF(J92="","",IF(VLOOKUP(J92,'G-3 Multipliers'!$L$3:$N$6,2,FALSE)=0,"Spatial Data Missing ⚠",VLOOKUP(J92,'G-3 Multipliers'!$L$3:$N$6,2,FALSE))))</f>
        <v/>
      </c>
      <c r="L92" s="299" t="str">
        <f>IF(J92="","",IF(VLOOKUP(J92,'G-3 Multipliers'!$L$3:$N$6,3,FALSE)=0,"Spatial Data Missing ⚠",VLOOKUP(J92,'G-3 Multipliers'!$L$3:$N$6,3,FALSE)))</f>
        <v/>
      </c>
      <c r="M92" s="336" t="str">
        <f>IF(D92="","",VLOOKUP(D92,'G-6 Hedgerow Data'!$B$1:$AH$15,33,FALSE))</f>
        <v/>
      </c>
      <c r="N92" s="289" t="str">
        <f t="shared" si="11"/>
        <v/>
      </c>
      <c r="O92" s="393"/>
      <c r="P92" s="281" t="str">
        <f>IF(O92="","",IF(VLOOKUP(O92,'G-3 Multipliers'!$S$3:$T$10,2,FALSE)=0,"Spatial Data Missing ⚠",VLOOKUP(O92,'G-3 Multipliers'!$S$3:$T$10,2,FALSE)))</f>
        <v/>
      </c>
      <c r="Q92" s="289" t="str">
        <f t="shared" si="12"/>
        <v/>
      </c>
      <c r="R92" s="32"/>
      <c r="S92" s="101"/>
      <c r="T92" s="108"/>
      <c r="U92" s="283" t="str">
        <f t="shared" si="13"/>
        <v/>
      </c>
      <c r="V92" s="283" t="str">
        <f t="shared" si="14"/>
        <v/>
      </c>
      <c r="W92" s="287" t="str">
        <f t="shared" si="15"/>
        <v/>
      </c>
      <c r="X92" s="291" t="str">
        <f t="shared" si="16"/>
        <v/>
      </c>
      <c r="Y92" s="105"/>
      <c r="Z92" s="104"/>
      <c r="AA92" s="104"/>
      <c r="AB92" s="104"/>
      <c r="AE92" s="30" t="str">
        <f>IFERROR(INDEX('G-6 Hedgerow Data'!$BJ$3:$BJ$15,MATCH(D92,'G-6 Hedgerow Data'!$B$3:$B$15,0)),"")</f>
        <v/>
      </c>
      <c r="AH92" s="107" t="str">
        <f t="shared" si="9"/>
        <v/>
      </c>
      <c r="AI92" s="107" t="str">
        <f t="shared" si="10"/>
        <v/>
      </c>
      <c r="AK92" s="107">
        <v>83</v>
      </c>
      <c r="AM92" s="107" t="str">
        <f t="array" ref="AM92">IFERROR(INDEX($AK$10:$AK$258,MATCH(0,IF(TRUE=$AH$10:$AH$258,COUNTIF($AM$9:$AM91,$AK$10:$AK$258),""),0)),"")</f>
        <v/>
      </c>
      <c r="AN92" s="107" t="str">
        <f t="array" ref="AN92">IFERROR(INDEX($AK$10:$AK$258,MATCH(0,IF(TRUE=$AI$10:$AI$258,COUNTIF($AN$9:$AN91,$AK$10:$AK$258),""),0)),"")</f>
        <v/>
      </c>
      <c r="AY92" s="283" t="str">
        <f t="shared" si="17"/>
        <v/>
      </c>
    </row>
    <row r="93" spans="2:51" ht="14">
      <c r="B93" s="97">
        <v>84</v>
      </c>
      <c r="C93" s="138"/>
      <c r="D93" s="138"/>
      <c r="E93" s="104"/>
      <c r="F93" s="275" t="str">
        <f>IF(D93="","",VLOOKUP(D93,'G-6 Hedgerow Data'!$B$2:$AG$15,2,FALSE))</f>
        <v/>
      </c>
      <c r="G93" s="276" t="str">
        <f>IF(D93="","",VLOOKUP(D93,'G-6 Hedgerow Data'!$B$2:$AG$15,3,FALSE))</f>
        <v/>
      </c>
      <c r="H93" s="101"/>
      <c r="I93" s="276" t="str">
        <f>IFERROR(IF(AND(D93&lt;&gt;"",H93=""),"Check data ⚠",(IF(H93="","",IF(AND(D93="Non-native and ornamental hedgerow",H93&lt;&gt;"Poor"),"Not possible ▲",(IF(AND(F93="V.Low",OR(H93="Good",H93="Moderate")),"Error ▲",VLOOKUP(H93,'G-1 All Habitats'!$Z$2:$AA$9,2,FALSE))))))),"")</f>
        <v/>
      </c>
      <c r="J93" s="105"/>
      <c r="K93" s="295" t="str">
        <f>IF(AND(J93="",D93&lt;&gt;""),"Check data ⚠",IF(J93="","",IF(VLOOKUP(J93,'G-3 Multipliers'!$L$3:$N$6,2,FALSE)=0,"Spatial Data Missing ⚠",VLOOKUP(J93,'G-3 Multipliers'!$L$3:$N$6,2,FALSE))))</f>
        <v/>
      </c>
      <c r="L93" s="299" t="str">
        <f>IF(J93="","",IF(VLOOKUP(J93,'G-3 Multipliers'!$L$3:$N$6,3,FALSE)=0,"Spatial Data Missing ⚠",VLOOKUP(J93,'G-3 Multipliers'!$L$3:$N$6,3,FALSE)))</f>
        <v/>
      </c>
      <c r="M93" s="336" t="str">
        <f>IF(D93="","",VLOOKUP(D93,'G-6 Hedgerow Data'!$B$1:$AH$15,33,FALSE))</f>
        <v/>
      </c>
      <c r="N93" s="289" t="str">
        <f t="shared" si="11"/>
        <v/>
      </c>
      <c r="O93" s="393"/>
      <c r="P93" s="281" t="str">
        <f>IF(O93="","",IF(VLOOKUP(O93,'G-3 Multipliers'!$S$3:$T$10,2,FALSE)=0,"Spatial Data Missing ⚠",VLOOKUP(O93,'G-3 Multipliers'!$S$3:$T$10,2,FALSE)))</f>
        <v/>
      </c>
      <c r="Q93" s="289" t="str">
        <f t="shared" si="12"/>
        <v/>
      </c>
      <c r="R93" s="32"/>
      <c r="S93" s="101"/>
      <c r="T93" s="108"/>
      <c r="U93" s="283" t="str">
        <f t="shared" si="13"/>
        <v/>
      </c>
      <c r="V93" s="283" t="str">
        <f t="shared" si="14"/>
        <v/>
      </c>
      <c r="W93" s="287" t="str">
        <f t="shared" si="15"/>
        <v/>
      </c>
      <c r="X93" s="291" t="str">
        <f t="shared" si="16"/>
        <v/>
      </c>
      <c r="Y93" s="105"/>
      <c r="Z93" s="104"/>
      <c r="AA93" s="104"/>
      <c r="AB93" s="104"/>
      <c r="AE93" s="30" t="str">
        <f>IFERROR(INDEX('G-6 Hedgerow Data'!$BJ$3:$BJ$15,MATCH(D93,'G-6 Hedgerow Data'!$B$3:$B$15,0)),"")</f>
        <v/>
      </c>
      <c r="AH93" s="107" t="str">
        <f t="shared" si="9"/>
        <v/>
      </c>
      <c r="AI93" s="107" t="str">
        <f t="shared" si="10"/>
        <v/>
      </c>
      <c r="AK93" s="107">
        <v>84</v>
      </c>
      <c r="AM93" s="107" t="str">
        <f t="array" ref="AM93">IFERROR(INDEX($AK$10:$AK$258,MATCH(0,IF(TRUE=$AH$10:$AH$258,COUNTIF($AM$9:$AM92,$AK$10:$AK$258),""),0)),"")</f>
        <v/>
      </c>
      <c r="AN93" s="107" t="str">
        <f t="array" ref="AN93">IFERROR(INDEX($AK$10:$AK$258,MATCH(0,IF(TRUE=$AI$10:$AI$258,COUNTIF($AN$9:$AN92,$AK$10:$AK$258),""),0)),"")</f>
        <v/>
      </c>
      <c r="AY93" s="283" t="str">
        <f t="shared" si="17"/>
        <v/>
      </c>
    </row>
    <row r="94" spans="2:51" ht="14">
      <c r="B94" s="97">
        <v>85</v>
      </c>
      <c r="C94" s="138"/>
      <c r="D94" s="138"/>
      <c r="E94" s="104"/>
      <c r="F94" s="275" t="str">
        <f>IF(D94="","",VLOOKUP(D94,'G-6 Hedgerow Data'!$B$2:$AG$15,2,FALSE))</f>
        <v/>
      </c>
      <c r="G94" s="276" t="str">
        <f>IF(D94="","",VLOOKUP(D94,'G-6 Hedgerow Data'!$B$2:$AG$15,3,FALSE))</f>
        <v/>
      </c>
      <c r="H94" s="101"/>
      <c r="I94" s="276" t="str">
        <f>IFERROR(IF(AND(D94&lt;&gt;"",H94=""),"Check data ⚠",(IF(H94="","",IF(AND(D94="Non-native and ornamental hedgerow",H94&lt;&gt;"Poor"),"Not possible ▲",(IF(AND(F94="V.Low",OR(H94="Good",H94="Moderate")),"Error ▲",VLOOKUP(H94,'G-1 All Habitats'!$Z$2:$AA$9,2,FALSE))))))),"")</f>
        <v/>
      </c>
      <c r="J94" s="105"/>
      <c r="K94" s="295" t="str">
        <f>IF(AND(J94="",D94&lt;&gt;""),"Check data ⚠",IF(J94="","",IF(VLOOKUP(J94,'G-3 Multipliers'!$L$3:$N$6,2,FALSE)=0,"Spatial Data Missing ⚠",VLOOKUP(J94,'G-3 Multipliers'!$L$3:$N$6,2,FALSE))))</f>
        <v/>
      </c>
      <c r="L94" s="299" t="str">
        <f>IF(J94="","",IF(VLOOKUP(J94,'G-3 Multipliers'!$L$3:$N$6,3,FALSE)=0,"Spatial Data Missing ⚠",VLOOKUP(J94,'G-3 Multipliers'!$L$3:$N$6,3,FALSE)))</f>
        <v/>
      </c>
      <c r="M94" s="336" t="str">
        <f>IF(D94="","",VLOOKUP(D94,'G-6 Hedgerow Data'!$B$1:$AH$15,33,FALSE))</f>
        <v/>
      </c>
      <c r="N94" s="289" t="str">
        <f t="shared" si="11"/>
        <v/>
      </c>
      <c r="O94" s="393"/>
      <c r="P94" s="281" t="str">
        <f>IF(O94="","",IF(VLOOKUP(O94,'G-3 Multipliers'!$S$3:$T$10,2,FALSE)=0,"Spatial Data Missing ⚠",VLOOKUP(O94,'G-3 Multipliers'!$S$3:$T$10,2,FALSE)))</f>
        <v/>
      </c>
      <c r="Q94" s="289" t="str">
        <f t="shared" si="12"/>
        <v/>
      </c>
      <c r="R94" s="32"/>
      <c r="S94" s="101"/>
      <c r="T94" s="108"/>
      <c r="U94" s="283" t="str">
        <f t="shared" si="13"/>
        <v/>
      </c>
      <c r="V94" s="283" t="str">
        <f t="shared" si="14"/>
        <v/>
      </c>
      <c r="W94" s="287" t="str">
        <f t="shared" si="15"/>
        <v/>
      </c>
      <c r="X94" s="291" t="str">
        <f t="shared" si="16"/>
        <v/>
      </c>
      <c r="Y94" s="105"/>
      <c r="Z94" s="104"/>
      <c r="AA94" s="104"/>
      <c r="AB94" s="104"/>
      <c r="AE94" s="30" t="str">
        <f>IFERROR(INDEX('G-6 Hedgerow Data'!$BJ$3:$BJ$15,MATCH(D94,'G-6 Hedgerow Data'!$B$3:$B$15,0)),"")</f>
        <v/>
      </c>
      <c r="AH94" s="107" t="str">
        <f t="shared" si="9"/>
        <v/>
      </c>
      <c r="AI94" s="107" t="str">
        <f t="shared" si="10"/>
        <v/>
      </c>
      <c r="AK94" s="107">
        <v>85</v>
      </c>
      <c r="AM94" s="107" t="str">
        <f t="array" ref="AM94">IFERROR(INDEX($AK$10:$AK$258,MATCH(0,IF(TRUE=$AH$10:$AH$258,COUNTIF($AM$9:$AM93,$AK$10:$AK$258),""),0)),"")</f>
        <v/>
      </c>
      <c r="AN94" s="107" t="str">
        <f t="array" ref="AN94">IFERROR(INDEX($AK$10:$AK$258,MATCH(0,IF(TRUE=$AI$10:$AI$258,COUNTIF($AN$9:$AN93,$AK$10:$AK$258),""),0)),"")</f>
        <v/>
      </c>
      <c r="AY94" s="283" t="str">
        <f t="shared" si="17"/>
        <v/>
      </c>
    </row>
    <row r="95" spans="2:51" ht="14">
      <c r="B95" s="97">
        <v>86</v>
      </c>
      <c r="C95" s="138"/>
      <c r="D95" s="138"/>
      <c r="E95" s="104"/>
      <c r="F95" s="275" t="str">
        <f>IF(D95="","",VLOOKUP(D95,'G-6 Hedgerow Data'!$B$2:$AG$15,2,FALSE))</f>
        <v/>
      </c>
      <c r="G95" s="276" t="str">
        <f>IF(D95="","",VLOOKUP(D95,'G-6 Hedgerow Data'!$B$2:$AG$15,3,FALSE))</f>
        <v/>
      </c>
      <c r="H95" s="101"/>
      <c r="I95" s="276" t="str">
        <f>IFERROR(IF(AND(D95&lt;&gt;"",H95=""),"Check data ⚠",(IF(H95="","",IF(AND(D95="Non-native and ornamental hedgerow",H95&lt;&gt;"Poor"),"Not possible ▲",(IF(AND(F95="V.Low",OR(H95="Good",H95="Moderate")),"Error ▲",VLOOKUP(H95,'G-1 All Habitats'!$Z$2:$AA$9,2,FALSE))))))),"")</f>
        <v/>
      </c>
      <c r="J95" s="105"/>
      <c r="K95" s="295" t="str">
        <f>IF(AND(J95="",D95&lt;&gt;""),"Check data ⚠",IF(J95="","",IF(VLOOKUP(J95,'G-3 Multipliers'!$L$3:$N$6,2,FALSE)=0,"Spatial Data Missing ⚠",VLOOKUP(J95,'G-3 Multipliers'!$L$3:$N$6,2,FALSE))))</f>
        <v/>
      </c>
      <c r="L95" s="299" t="str">
        <f>IF(J95="","",IF(VLOOKUP(J95,'G-3 Multipliers'!$L$3:$N$6,3,FALSE)=0,"Spatial Data Missing ⚠",VLOOKUP(J95,'G-3 Multipliers'!$L$3:$N$6,3,FALSE)))</f>
        <v/>
      </c>
      <c r="M95" s="336" t="str">
        <f>IF(D95="","",VLOOKUP(D95,'G-6 Hedgerow Data'!$B$1:$AH$15,33,FALSE))</f>
        <v/>
      </c>
      <c r="N95" s="289" t="str">
        <f t="shared" si="11"/>
        <v/>
      </c>
      <c r="O95" s="393"/>
      <c r="P95" s="281" t="str">
        <f>IF(O95="","",IF(VLOOKUP(O95,'G-3 Multipliers'!$S$3:$T$10,2,FALSE)=0,"Spatial Data Missing ⚠",VLOOKUP(O95,'G-3 Multipliers'!$S$3:$T$10,2,FALSE)))</f>
        <v/>
      </c>
      <c r="Q95" s="289" t="str">
        <f t="shared" si="12"/>
        <v/>
      </c>
      <c r="R95" s="32"/>
      <c r="S95" s="101"/>
      <c r="T95" s="108"/>
      <c r="U95" s="283" t="str">
        <f t="shared" si="13"/>
        <v/>
      </c>
      <c r="V95" s="283" t="str">
        <f t="shared" si="14"/>
        <v/>
      </c>
      <c r="W95" s="287" t="str">
        <f t="shared" si="15"/>
        <v/>
      </c>
      <c r="X95" s="291" t="str">
        <f t="shared" si="16"/>
        <v/>
      </c>
      <c r="Y95" s="105"/>
      <c r="Z95" s="104"/>
      <c r="AA95" s="104"/>
      <c r="AB95" s="104"/>
      <c r="AE95" s="30" t="str">
        <f>IFERROR(INDEX('G-6 Hedgerow Data'!$BJ$3:$BJ$15,MATCH(D95,'G-6 Hedgerow Data'!$B$3:$B$15,0)),"")</f>
        <v/>
      </c>
      <c r="AH95" s="107" t="str">
        <f t="shared" si="9"/>
        <v/>
      </c>
      <c r="AI95" s="107" t="str">
        <f t="shared" si="10"/>
        <v/>
      </c>
      <c r="AK95" s="107">
        <v>86</v>
      </c>
      <c r="AM95" s="107" t="str">
        <f t="array" ref="AM95">IFERROR(INDEX($AK$10:$AK$258,MATCH(0,IF(TRUE=$AH$10:$AH$258,COUNTIF($AM$9:$AM94,$AK$10:$AK$258),""),0)),"")</f>
        <v/>
      </c>
      <c r="AN95" s="107" t="str">
        <f t="array" ref="AN95">IFERROR(INDEX($AK$10:$AK$258,MATCH(0,IF(TRUE=$AI$10:$AI$258,COUNTIF($AN$9:$AN94,$AK$10:$AK$258),""),0)),"")</f>
        <v/>
      </c>
      <c r="AY95" s="283" t="str">
        <f t="shared" si="17"/>
        <v/>
      </c>
    </row>
    <row r="96" spans="2:51" ht="14">
      <c r="B96" s="97">
        <v>87</v>
      </c>
      <c r="C96" s="138"/>
      <c r="D96" s="138"/>
      <c r="E96" s="104"/>
      <c r="F96" s="275" t="str">
        <f>IF(D96="","",VLOOKUP(D96,'G-6 Hedgerow Data'!$B$2:$AG$15,2,FALSE))</f>
        <v/>
      </c>
      <c r="G96" s="276" t="str">
        <f>IF(D96="","",VLOOKUP(D96,'G-6 Hedgerow Data'!$B$2:$AG$15,3,FALSE))</f>
        <v/>
      </c>
      <c r="H96" s="101"/>
      <c r="I96" s="276" t="str">
        <f>IFERROR(IF(AND(D96&lt;&gt;"",H96=""),"Check data ⚠",(IF(H96="","",IF(AND(D96="Non-native and ornamental hedgerow",H96&lt;&gt;"Poor"),"Not possible ▲",(IF(AND(F96="V.Low",OR(H96="Good",H96="Moderate")),"Error ▲",VLOOKUP(H96,'G-1 All Habitats'!$Z$2:$AA$9,2,FALSE))))))),"")</f>
        <v/>
      </c>
      <c r="J96" s="105"/>
      <c r="K96" s="295" t="str">
        <f>IF(AND(J96="",D96&lt;&gt;""),"Check data ⚠",IF(J96="","",IF(VLOOKUP(J96,'G-3 Multipliers'!$L$3:$N$6,2,FALSE)=0,"Spatial Data Missing ⚠",VLOOKUP(J96,'G-3 Multipliers'!$L$3:$N$6,2,FALSE))))</f>
        <v/>
      </c>
      <c r="L96" s="299" t="str">
        <f>IF(J96="","",IF(VLOOKUP(J96,'G-3 Multipliers'!$L$3:$N$6,3,FALSE)=0,"Spatial Data Missing ⚠",VLOOKUP(J96,'G-3 Multipliers'!$L$3:$N$6,3,FALSE)))</f>
        <v/>
      </c>
      <c r="M96" s="336" t="str">
        <f>IF(D96="","",VLOOKUP(D96,'G-6 Hedgerow Data'!$B$1:$AH$15,33,FALSE))</f>
        <v/>
      </c>
      <c r="N96" s="289" t="str">
        <f t="shared" si="11"/>
        <v/>
      </c>
      <c r="O96" s="393"/>
      <c r="P96" s="281" t="str">
        <f>IF(O96="","",IF(VLOOKUP(O96,'G-3 Multipliers'!$S$3:$T$10,2,FALSE)=0,"Spatial Data Missing ⚠",VLOOKUP(O96,'G-3 Multipliers'!$S$3:$T$10,2,FALSE)))</f>
        <v/>
      </c>
      <c r="Q96" s="289" t="str">
        <f t="shared" si="12"/>
        <v/>
      </c>
      <c r="R96" s="32"/>
      <c r="S96" s="101"/>
      <c r="T96" s="108"/>
      <c r="U96" s="283" t="str">
        <f t="shared" si="13"/>
        <v/>
      </c>
      <c r="V96" s="283" t="str">
        <f t="shared" si="14"/>
        <v/>
      </c>
      <c r="W96" s="287" t="str">
        <f t="shared" si="15"/>
        <v/>
      </c>
      <c r="X96" s="291" t="str">
        <f t="shared" si="16"/>
        <v/>
      </c>
      <c r="Y96" s="105"/>
      <c r="Z96" s="104"/>
      <c r="AA96" s="104"/>
      <c r="AB96" s="104"/>
      <c r="AE96" s="30" t="str">
        <f>IFERROR(INDEX('G-6 Hedgerow Data'!$BJ$3:$BJ$15,MATCH(D96,'G-6 Hedgerow Data'!$B$3:$B$15,0)),"")</f>
        <v/>
      </c>
      <c r="AH96" s="107" t="str">
        <f t="shared" si="9"/>
        <v/>
      </c>
      <c r="AI96" s="107" t="str">
        <f t="shared" si="10"/>
        <v/>
      </c>
      <c r="AK96" s="107">
        <v>87</v>
      </c>
      <c r="AM96" s="107" t="str">
        <f t="array" ref="AM96">IFERROR(INDEX($AK$10:$AK$258,MATCH(0,IF(TRUE=$AH$10:$AH$258,COUNTIF($AM$9:$AM95,$AK$10:$AK$258),""),0)),"")</f>
        <v/>
      </c>
      <c r="AN96" s="107" t="str">
        <f t="array" ref="AN96">IFERROR(INDEX($AK$10:$AK$258,MATCH(0,IF(TRUE=$AI$10:$AI$258,COUNTIF($AN$9:$AN95,$AK$10:$AK$258),""),0)),"")</f>
        <v/>
      </c>
      <c r="AY96" s="283" t="str">
        <f t="shared" si="17"/>
        <v/>
      </c>
    </row>
    <row r="97" spans="2:51" ht="14">
      <c r="B97" s="97">
        <v>88</v>
      </c>
      <c r="C97" s="138"/>
      <c r="D97" s="138"/>
      <c r="E97" s="104"/>
      <c r="F97" s="275" t="str">
        <f>IF(D97="","",VLOOKUP(D97,'G-6 Hedgerow Data'!$B$2:$AG$15,2,FALSE))</f>
        <v/>
      </c>
      <c r="G97" s="276" t="str">
        <f>IF(D97="","",VLOOKUP(D97,'G-6 Hedgerow Data'!$B$2:$AG$15,3,FALSE))</f>
        <v/>
      </c>
      <c r="H97" s="101"/>
      <c r="I97" s="276" t="str">
        <f>IFERROR(IF(AND(D97&lt;&gt;"",H97=""),"Check data ⚠",(IF(H97="","",IF(AND(D97="Non-native and ornamental hedgerow",H97&lt;&gt;"Poor"),"Not possible ▲",(IF(AND(F97="V.Low",OR(H97="Good",H97="Moderate")),"Error ▲",VLOOKUP(H97,'G-1 All Habitats'!$Z$2:$AA$9,2,FALSE))))))),"")</f>
        <v/>
      </c>
      <c r="J97" s="105"/>
      <c r="K97" s="295" t="str">
        <f>IF(AND(J97="",D97&lt;&gt;""),"Check data ⚠",IF(J97="","",IF(VLOOKUP(J97,'G-3 Multipliers'!$L$3:$N$6,2,FALSE)=0,"Spatial Data Missing ⚠",VLOOKUP(J97,'G-3 Multipliers'!$L$3:$N$6,2,FALSE))))</f>
        <v/>
      </c>
      <c r="L97" s="299" t="str">
        <f>IF(J97="","",IF(VLOOKUP(J97,'G-3 Multipliers'!$L$3:$N$6,3,FALSE)=0,"Spatial Data Missing ⚠",VLOOKUP(J97,'G-3 Multipliers'!$L$3:$N$6,3,FALSE)))</f>
        <v/>
      </c>
      <c r="M97" s="336" t="str">
        <f>IF(D97="","",VLOOKUP(D97,'G-6 Hedgerow Data'!$B$1:$AH$15,33,FALSE))</f>
        <v/>
      </c>
      <c r="N97" s="289" t="str">
        <f t="shared" si="11"/>
        <v/>
      </c>
      <c r="O97" s="393"/>
      <c r="P97" s="281" t="str">
        <f>IF(O97="","",IF(VLOOKUP(O97,'G-3 Multipliers'!$S$3:$T$10,2,FALSE)=0,"Spatial Data Missing ⚠",VLOOKUP(O97,'G-3 Multipliers'!$S$3:$T$10,2,FALSE)))</f>
        <v/>
      </c>
      <c r="Q97" s="289" t="str">
        <f t="shared" si="12"/>
        <v/>
      </c>
      <c r="R97" s="32"/>
      <c r="S97" s="101"/>
      <c r="T97" s="108"/>
      <c r="U97" s="283" t="str">
        <f t="shared" si="13"/>
        <v/>
      </c>
      <c r="V97" s="283" t="str">
        <f t="shared" si="14"/>
        <v/>
      </c>
      <c r="W97" s="287" t="str">
        <f t="shared" si="15"/>
        <v/>
      </c>
      <c r="X97" s="291" t="str">
        <f t="shared" si="16"/>
        <v/>
      </c>
      <c r="Y97" s="105"/>
      <c r="Z97" s="104"/>
      <c r="AA97" s="104"/>
      <c r="AB97" s="104"/>
      <c r="AE97" s="30" t="str">
        <f>IFERROR(INDEX('G-6 Hedgerow Data'!$BJ$3:$BJ$15,MATCH(D97,'G-6 Hedgerow Data'!$B$3:$B$15,0)),"")</f>
        <v/>
      </c>
      <c r="AH97" s="107" t="str">
        <f t="shared" si="9"/>
        <v/>
      </c>
      <c r="AI97" s="107" t="str">
        <f t="shared" si="10"/>
        <v/>
      </c>
      <c r="AK97" s="107">
        <v>88</v>
      </c>
      <c r="AM97" s="107" t="str">
        <f t="array" ref="AM97">IFERROR(INDEX($AK$10:$AK$258,MATCH(0,IF(TRUE=$AH$10:$AH$258,COUNTIF($AM$9:$AM96,$AK$10:$AK$258),""),0)),"")</f>
        <v/>
      </c>
      <c r="AN97" s="107" t="str">
        <f t="array" ref="AN97">IFERROR(INDEX($AK$10:$AK$258,MATCH(0,IF(TRUE=$AI$10:$AI$258,COUNTIF($AN$9:$AN96,$AK$10:$AK$258),""),0)),"")</f>
        <v/>
      </c>
      <c r="AY97" s="283" t="str">
        <f t="shared" si="17"/>
        <v/>
      </c>
    </row>
    <row r="98" spans="2:51" ht="14">
      <c r="B98" s="97">
        <v>89</v>
      </c>
      <c r="C98" s="138"/>
      <c r="D98" s="138"/>
      <c r="E98" s="104"/>
      <c r="F98" s="275" t="str">
        <f>IF(D98="","",VLOOKUP(D98,'G-6 Hedgerow Data'!$B$2:$AG$15,2,FALSE))</f>
        <v/>
      </c>
      <c r="G98" s="276" t="str">
        <f>IF(D98="","",VLOOKUP(D98,'G-6 Hedgerow Data'!$B$2:$AG$15,3,FALSE))</f>
        <v/>
      </c>
      <c r="H98" s="101"/>
      <c r="I98" s="276" t="str">
        <f>IFERROR(IF(AND(D98&lt;&gt;"",H98=""),"Check data ⚠",(IF(H98="","",IF(AND(D98="Non-native and ornamental hedgerow",H98&lt;&gt;"Poor"),"Not possible ▲",(IF(AND(F98="V.Low",OR(H98="Good",H98="Moderate")),"Error ▲",VLOOKUP(H98,'G-1 All Habitats'!$Z$2:$AA$9,2,FALSE))))))),"")</f>
        <v/>
      </c>
      <c r="J98" s="105"/>
      <c r="K98" s="295" t="str">
        <f>IF(AND(J98="",D98&lt;&gt;""),"Check data ⚠",IF(J98="","",IF(VLOOKUP(J98,'G-3 Multipliers'!$L$3:$N$6,2,FALSE)=0,"Spatial Data Missing ⚠",VLOOKUP(J98,'G-3 Multipliers'!$L$3:$N$6,2,FALSE))))</f>
        <v/>
      </c>
      <c r="L98" s="299" t="str">
        <f>IF(J98="","",IF(VLOOKUP(J98,'G-3 Multipliers'!$L$3:$N$6,3,FALSE)=0,"Spatial Data Missing ⚠",VLOOKUP(J98,'G-3 Multipliers'!$L$3:$N$6,3,FALSE)))</f>
        <v/>
      </c>
      <c r="M98" s="336" t="str">
        <f>IF(D98="","",VLOOKUP(D98,'G-6 Hedgerow Data'!$B$1:$AH$15,33,FALSE))</f>
        <v/>
      </c>
      <c r="N98" s="289" t="str">
        <f t="shared" si="11"/>
        <v/>
      </c>
      <c r="O98" s="393"/>
      <c r="P98" s="281" t="str">
        <f>IF(O98="","",IF(VLOOKUP(O98,'G-3 Multipliers'!$S$3:$T$10,2,FALSE)=0,"Spatial Data Missing ⚠",VLOOKUP(O98,'G-3 Multipliers'!$S$3:$T$10,2,FALSE)))</f>
        <v/>
      </c>
      <c r="Q98" s="289" t="str">
        <f t="shared" si="12"/>
        <v/>
      </c>
      <c r="R98" s="32"/>
      <c r="S98" s="101"/>
      <c r="T98" s="108"/>
      <c r="U98" s="283" t="str">
        <f t="shared" si="13"/>
        <v/>
      </c>
      <c r="V98" s="283" t="str">
        <f t="shared" si="14"/>
        <v/>
      </c>
      <c r="W98" s="287" t="str">
        <f t="shared" si="15"/>
        <v/>
      </c>
      <c r="X98" s="291" t="str">
        <f t="shared" si="16"/>
        <v/>
      </c>
      <c r="Y98" s="105"/>
      <c r="Z98" s="104"/>
      <c r="AA98" s="104"/>
      <c r="AB98" s="104"/>
      <c r="AE98" s="30" t="str">
        <f>IFERROR(INDEX('G-6 Hedgerow Data'!$BJ$3:$BJ$15,MATCH(D98,'G-6 Hedgerow Data'!$B$3:$B$15,0)),"")</f>
        <v/>
      </c>
      <c r="AH98" s="107" t="str">
        <f t="shared" si="9"/>
        <v/>
      </c>
      <c r="AI98" s="107" t="str">
        <f t="shared" si="10"/>
        <v/>
      </c>
      <c r="AK98" s="107">
        <v>89</v>
      </c>
      <c r="AM98" s="107" t="str">
        <f t="array" ref="AM98">IFERROR(INDEX($AK$10:$AK$258,MATCH(0,IF(TRUE=$AH$10:$AH$258,COUNTIF($AM$9:$AM97,$AK$10:$AK$258),""),0)),"")</f>
        <v/>
      </c>
      <c r="AN98" s="107" t="str">
        <f t="array" ref="AN98">IFERROR(INDEX($AK$10:$AK$258,MATCH(0,IF(TRUE=$AI$10:$AI$258,COUNTIF($AN$9:$AN97,$AK$10:$AK$258),""),0)),"")</f>
        <v/>
      </c>
      <c r="AY98" s="283" t="str">
        <f t="shared" si="17"/>
        <v/>
      </c>
    </row>
    <row r="99" spans="2:51" ht="14">
      <c r="B99" s="97">
        <v>90</v>
      </c>
      <c r="C99" s="138"/>
      <c r="D99" s="138"/>
      <c r="E99" s="104"/>
      <c r="F99" s="275" t="str">
        <f>IF(D99="","",VLOOKUP(D99,'G-6 Hedgerow Data'!$B$2:$AG$15,2,FALSE))</f>
        <v/>
      </c>
      <c r="G99" s="276" t="str">
        <f>IF(D99="","",VLOOKUP(D99,'G-6 Hedgerow Data'!$B$2:$AG$15,3,FALSE))</f>
        <v/>
      </c>
      <c r="H99" s="101"/>
      <c r="I99" s="276" t="str">
        <f>IFERROR(IF(AND(D99&lt;&gt;"",H99=""),"Check data ⚠",(IF(H99="","",IF(AND(D99="Non-native and ornamental hedgerow",H99&lt;&gt;"Poor"),"Not possible ▲",(IF(AND(F99="V.Low",OR(H99="Good",H99="Moderate")),"Error ▲",VLOOKUP(H99,'G-1 All Habitats'!$Z$2:$AA$9,2,FALSE))))))),"")</f>
        <v/>
      </c>
      <c r="J99" s="105"/>
      <c r="K99" s="295" t="str">
        <f>IF(AND(J99="",D99&lt;&gt;""),"Check data ⚠",IF(J99="","",IF(VLOOKUP(J99,'G-3 Multipliers'!$L$3:$N$6,2,FALSE)=0,"Spatial Data Missing ⚠",VLOOKUP(J99,'G-3 Multipliers'!$L$3:$N$6,2,FALSE))))</f>
        <v/>
      </c>
      <c r="L99" s="299" t="str">
        <f>IF(J99="","",IF(VLOOKUP(J99,'G-3 Multipliers'!$L$3:$N$6,3,FALSE)=0,"Spatial Data Missing ⚠",VLOOKUP(J99,'G-3 Multipliers'!$L$3:$N$6,3,FALSE)))</f>
        <v/>
      </c>
      <c r="M99" s="336" t="str">
        <f>IF(D99="","",VLOOKUP(D99,'G-6 Hedgerow Data'!$B$1:$AH$15,33,FALSE))</f>
        <v/>
      </c>
      <c r="N99" s="289" t="str">
        <f t="shared" si="11"/>
        <v/>
      </c>
      <c r="O99" s="393"/>
      <c r="P99" s="281" t="str">
        <f>IF(O99="","",IF(VLOOKUP(O99,'G-3 Multipliers'!$S$3:$T$10,2,FALSE)=0,"Spatial Data Missing ⚠",VLOOKUP(O99,'G-3 Multipliers'!$S$3:$T$10,2,FALSE)))</f>
        <v/>
      </c>
      <c r="Q99" s="289" t="str">
        <f t="shared" si="12"/>
        <v/>
      </c>
      <c r="R99" s="32"/>
      <c r="S99" s="101"/>
      <c r="T99" s="108"/>
      <c r="U99" s="283" t="str">
        <f t="shared" si="13"/>
        <v/>
      </c>
      <c r="V99" s="283" t="str">
        <f t="shared" si="14"/>
        <v/>
      </c>
      <c r="W99" s="287" t="str">
        <f t="shared" si="15"/>
        <v/>
      </c>
      <c r="X99" s="291" t="str">
        <f t="shared" si="16"/>
        <v/>
      </c>
      <c r="Y99" s="105"/>
      <c r="Z99" s="104"/>
      <c r="AA99" s="104"/>
      <c r="AB99" s="104"/>
      <c r="AE99" s="30" t="str">
        <f>IFERROR(INDEX('G-6 Hedgerow Data'!$BJ$3:$BJ$15,MATCH(D99,'G-6 Hedgerow Data'!$B$3:$B$15,0)),"")</f>
        <v/>
      </c>
      <c r="AH99" s="107" t="str">
        <f t="shared" si="9"/>
        <v/>
      </c>
      <c r="AI99" s="107" t="str">
        <f t="shared" si="10"/>
        <v/>
      </c>
      <c r="AK99" s="107">
        <v>90</v>
      </c>
      <c r="AM99" s="107" t="str">
        <f t="array" ref="AM99">IFERROR(INDEX($AK$10:$AK$258,MATCH(0,IF(TRUE=$AH$10:$AH$258,COUNTIF($AM$9:$AM98,$AK$10:$AK$258),""),0)),"")</f>
        <v/>
      </c>
      <c r="AN99" s="107" t="str">
        <f t="array" ref="AN99">IFERROR(INDEX($AK$10:$AK$258,MATCH(0,IF(TRUE=$AI$10:$AI$258,COUNTIF($AN$9:$AN98,$AK$10:$AK$258),""),0)),"")</f>
        <v/>
      </c>
      <c r="AY99" s="283" t="str">
        <f t="shared" si="17"/>
        <v/>
      </c>
    </row>
    <row r="100" spans="2:51" ht="14">
      <c r="B100" s="97">
        <v>91</v>
      </c>
      <c r="C100" s="138"/>
      <c r="D100" s="138"/>
      <c r="E100" s="104"/>
      <c r="F100" s="275" t="str">
        <f>IF(D100="","",VLOOKUP(D100,'G-6 Hedgerow Data'!$B$2:$AG$15,2,FALSE))</f>
        <v/>
      </c>
      <c r="G100" s="276" t="str">
        <f>IF(D100="","",VLOOKUP(D100,'G-6 Hedgerow Data'!$B$2:$AG$15,3,FALSE))</f>
        <v/>
      </c>
      <c r="H100" s="101"/>
      <c r="I100" s="276" t="str">
        <f>IFERROR(IF(AND(D100&lt;&gt;"",H100=""),"Check data ⚠",(IF(H100="","",IF(AND(D100="Non-native and ornamental hedgerow",H100&lt;&gt;"Poor"),"Not possible ▲",(IF(AND(F100="V.Low",OR(H100="Good",H100="Moderate")),"Error ▲",VLOOKUP(H100,'G-1 All Habitats'!$Z$2:$AA$9,2,FALSE))))))),"")</f>
        <v/>
      </c>
      <c r="J100" s="105"/>
      <c r="K100" s="295" t="str">
        <f>IF(AND(J100="",D100&lt;&gt;""),"Check data ⚠",IF(J100="","",IF(VLOOKUP(J100,'G-3 Multipliers'!$L$3:$N$6,2,FALSE)=0,"Spatial Data Missing ⚠",VLOOKUP(J100,'G-3 Multipliers'!$L$3:$N$6,2,FALSE))))</f>
        <v/>
      </c>
      <c r="L100" s="299" t="str">
        <f>IF(J100="","",IF(VLOOKUP(J100,'G-3 Multipliers'!$L$3:$N$6,3,FALSE)=0,"Spatial Data Missing ⚠",VLOOKUP(J100,'G-3 Multipliers'!$L$3:$N$6,3,FALSE)))</f>
        <v/>
      </c>
      <c r="M100" s="336" t="str">
        <f>IF(D100="","",VLOOKUP(D100,'G-6 Hedgerow Data'!$B$1:$AH$15,33,FALSE))</f>
        <v/>
      </c>
      <c r="N100" s="289" t="str">
        <f t="shared" si="11"/>
        <v/>
      </c>
      <c r="O100" s="393"/>
      <c r="P100" s="281" t="str">
        <f>IF(O100="","",IF(VLOOKUP(O100,'G-3 Multipliers'!$S$3:$T$10,2,FALSE)=0,"Spatial Data Missing ⚠",VLOOKUP(O100,'G-3 Multipliers'!$S$3:$T$10,2,FALSE)))</f>
        <v/>
      </c>
      <c r="Q100" s="289" t="str">
        <f t="shared" si="12"/>
        <v/>
      </c>
      <c r="R100" s="32"/>
      <c r="S100" s="101"/>
      <c r="T100" s="108"/>
      <c r="U100" s="283" t="str">
        <f t="shared" si="13"/>
        <v/>
      </c>
      <c r="V100" s="283" t="str">
        <f t="shared" si="14"/>
        <v/>
      </c>
      <c r="W100" s="287" t="str">
        <f t="shared" si="15"/>
        <v/>
      </c>
      <c r="X100" s="291" t="str">
        <f t="shared" si="16"/>
        <v/>
      </c>
      <c r="Y100" s="105"/>
      <c r="Z100" s="104"/>
      <c r="AA100" s="104"/>
      <c r="AB100" s="104"/>
      <c r="AE100" s="30" t="str">
        <f>IFERROR(INDEX('G-6 Hedgerow Data'!$BJ$3:$BJ$15,MATCH(D100,'G-6 Hedgerow Data'!$B$3:$B$15,0)),"")</f>
        <v/>
      </c>
      <c r="AH100" s="107" t="str">
        <f t="shared" si="9"/>
        <v/>
      </c>
      <c r="AI100" s="107" t="str">
        <f t="shared" si="10"/>
        <v/>
      </c>
      <c r="AK100" s="107">
        <v>91</v>
      </c>
      <c r="AM100" s="107" t="str">
        <f t="array" ref="AM100">IFERROR(INDEX($AK$10:$AK$258,MATCH(0,IF(TRUE=$AH$10:$AH$258,COUNTIF($AM$9:$AM99,$AK$10:$AK$258),""),0)),"")</f>
        <v/>
      </c>
      <c r="AN100" s="107" t="str">
        <f t="array" ref="AN100">IFERROR(INDEX($AK$10:$AK$258,MATCH(0,IF(TRUE=$AI$10:$AI$258,COUNTIF($AN$9:$AN99,$AK$10:$AK$258),""),0)),"")</f>
        <v/>
      </c>
      <c r="AY100" s="283" t="str">
        <f t="shared" si="17"/>
        <v/>
      </c>
    </row>
    <row r="101" spans="2:51" ht="14">
      <c r="B101" s="97">
        <v>92</v>
      </c>
      <c r="C101" s="138"/>
      <c r="D101" s="138"/>
      <c r="E101" s="104"/>
      <c r="F101" s="275" t="str">
        <f>IF(D101="","",VLOOKUP(D101,'G-6 Hedgerow Data'!$B$2:$AG$15,2,FALSE))</f>
        <v/>
      </c>
      <c r="G101" s="276" t="str">
        <f>IF(D101="","",VLOOKUP(D101,'G-6 Hedgerow Data'!$B$2:$AG$15,3,FALSE))</f>
        <v/>
      </c>
      <c r="H101" s="101"/>
      <c r="I101" s="276" t="str">
        <f>IFERROR(IF(AND(D101&lt;&gt;"",H101=""),"Check data ⚠",(IF(H101="","",IF(AND(D101="Non-native and ornamental hedgerow",H101&lt;&gt;"Poor"),"Not possible ▲",(IF(AND(F101="V.Low",OR(H101="Good",H101="Moderate")),"Error ▲",VLOOKUP(H101,'G-1 All Habitats'!$Z$2:$AA$9,2,FALSE))))))),"")</f>
        <v/>
      </c>
      <c r="J101" s="105"/>
      <c r="K101" s="295" t="str">
        <f>IF(AND(J101="",D101&lt;&gt;""),"Check data ⚠",IF(J101="","",IF(VLOOKUP(J101,'G-3 Multipliers'!$L$3:$N$6,2,FALSE)=0,"Spatial Data Missing ⚠",VLOOKUP(J101,'G-3 Multipliers'!$L$3:$N$6,2,FALSE))))</f>
        <v/>
      </c>
      <c r="L101" s="299" t="str">
        <f>IF(J101="","",IF(VLOOKUP(J101,'G-3 Multipliers'!$L$3:$N$6,3,FALSE)=0,"Spatial Data Missing ⚠",VLOOKUP(J101,'G-3 Multipliers'!$L$3:$N$6,3,FALSE)))</f>
        <v/>
      </c>
      <c r="M101" s="336" t="str">
        <f>IF(D101="","",VLOOKUP(D101,'G-6 Hedgerow Data'!$B$1:$AH$15,33,FALSE))</f>
        <v/>
      </c>
      <c r="N101" s="289" t="str">
        <f t="shared" si="11"/>
        <v/>
      </c>
      <c r="O101" s="393"/>
      <c r="P101" s="281" t="str">
        <f>IF(O101="","",IF(VLOOKUP(O101,'G-3 Multipliers'!$S$3:$T$10,2,FALSE)=0,"Spatial Data Missing ⚠",VLOOKUP(O101,'G-3 Multipliers'!$S$3:$T$10,2,FALSE)))</f>
        <v/>
      </c>
      <c r="Q101" s="289" t="str">
        <f t="shared" si="12"/>
        <v/>
      </c>
      <c r="R101" s="32"/>
      <c r="S101" s="101"/>
      <c r="T101" s="108"/>
      <c r="U101" s="283" t="str">
        <f t="shared" si="13"/>
        <v/>
      </c>
      <c r="V101" s="283" t="str">
        <f t="shared" si="14"/>
        <v/>
      </c>
      <c r="W101" s="287" t="str">
        <f t="shared" si="15"/>
        <v/>
      </c>
      <c r="X101" s="291" t="str">
        <f t="shared" si="16"/>
        <v/>
      </c>
      <c r="Y101" s="105"/>
      <c r="Z101" s="104"/>
      <c r="AA101" s="104"/>
      <c r="AB101" s="104"/>
      <c r="AE101" s="30" t="str">
        <f>IFERROR(INDEX('G-6 Hedgerow Data'!$BJ$3:$BJ$15,MATCH(D101,'G-6 Hedgerow Data'!$B$3:$B$15,0)),"")</f>
        <v/>
      </c>
      <c r="AH101" s="107" t="str">
        <f t="shared" si="9"/>
        <v/>
      </c>
      <c r="AI101" s="107" t="str">
        <f t="shared" si="10"/>
        <v/>
      </c>
      <c r="AK101" s="107">
        <v>92</v>
      </c>
      <c r="AM101" s="107" t="str">
        <f t="array" ref="AM101">IFERROR(INDEX($AK$10:$AK$258,MATCH(0,IF(TRUE=$AH$10:$AH$258,COUNTIF($AM$9:$AM100,$AK$10:$AK$258),""),0)),"")</f>
        <v/>
      </c>
      <c r="AN101" s="107" t="str">
        <f t="array" ref="AN101">IFERROR(INDEX($AK$10:$AK$258,MATCH(0,IF(TRUE=$AI$10:$AI$258,COUNTIF($AN$9:$AN100,$AK$10:$AK$258),""),0)),"")</f>
        <v/>
      </c>
      <c r="AY101" s="283" t="str">
        <f t="shared" si="17"/>
        <v/>
      </c>
    </row>
    <row r="102" spans="2:51" ht="14">
      <c r="B102" s="97">
        <v>93</v>
      </c>
      <c r="C102" s="138"/>
      <c r="D102" s="138"/>
      <c r="E102" s="104"/>
      <c r="F102" s="275" t="str">
        <f>IF(D102="","",VLOOKUP(D102,'G-6 Hedgerow Data'!$B$2:$AG$15,2,FALSE))</f>
        <v/>
      </c>
      <c r="G102" s="276" t="str">
        <f>IF(D102="","",VLOOKUP(D102,'G-6 Hedgerow Data'!$B$2:$AG$15,3,FALSE))</f>
        <v/>
      </c>
      <c r="H102" s="101"/>
      <c r="I102" s="276" t="str">
        <f>IFERROR(IF(AND(D102&lt;&gt;"",H102=""),"Check data ⚠",(IF(H102="","",IF(AND(D102="Non-native and ornamental hedgerow",H102&lt;&gt;"Poor"),"Not possible ▲",(IF(AND(F102="V.Low",OR(H102="Good",H102="Moderate")),"Error ▲",VLOOKUP(H102,'G-1 All Habitats'!$Z$2:$AA$9,2,FALSE))))))),"")</f>
        <v/>
      </c>
      <c r="J102" s="105"/>
      <c r="K102" s="295" t="str">
        <f>IF(AND(J102="",D102&lt;&gt;""),"Check data ⚠",IF(J102="","",IF(VLOOKUP(J102,'G-3 Multipliers'!$L$3:$N$6,2,FALSE)=0,"Spatial Data Missing ⚠",VLOOKUP(J102,'G-3 Multipliers'!$L$3:$N$6,2,FALSE))))</f>
        <v/>
      </c>
      <c r="L102" s="299" t="str">
        <f>IF(J102="","",IF(VLOOKUP(J102,'G-3 Multipliers'!$L$3:$N$6,3,FALSE)=0,"Spatial Data Missing ⚠",VLOOKUP(J102,'G-3 Multipliers'!$L$3:$N$6,3,FALSE)))</f>
        <v/>
      </c>
      <c r="M102" s="336" t="str">
        <f>IF(D102="","",VLOOKUP(D102,'G-6 Hedgerow Data'!$B$1:$AH$15,33,FALSE))</f>
        <v/>
      </c>
      <c r="N102" s="289" t="str">
        <f t="shared" si="11"/>
        <v/>
      </c>
      <c r="O102" s="393"/>
      <c r="P102" s="281" t="str">
        <f>IF(O102="","",IF(VLOOKUP(O102,'G-3 Multipliers'!$S$3:$T$10,2,FALSE)=0,"Spatial Data Missing ⚠",VLOOKUP(O102,'G-3 Multipliers'!$S$3:$T$10,2,FALSE)))</f>
        <v/>
      </c>
      <c r="Q102" s="289" t="str">
        <f t="shared" si="12"/>
        <v/>
      </c>
      <c r="R102" s="32"/>
      <c r="S102" s="101"/>
      <c r="T102" s="108"/>
      <c r="U102" s="283" t="str">
        <f t="shared" si="13"/>
        <v/>
      </c>
      <c r="V102" s="283" t="str">
        <f t="shared" si="14"/>
        <v/>
      </c>
      <c r="W102" s="287" t="str">
        <f t="shared" si="15"/>
        <v/>
      </c>
      <c r="X102" s="291" t="str">
        <f t="shared" si="16"/>
        <v/>
      </c>
      <c r="Y102" s="105"/>
      <c r="Z102" s="104"/>
      <c r="AA102" s="104"/>
      <c r="AB102" s="104"/>
      <c r="AE102" s="30" t="str">
        <f>IFERROR(INDEX('G-6 Hedgerow Data'!$BJ$3:$BJ$15,MATCH(D102,'G-6 Hedgerow Data'!$B$3:$B$15,0)),"")</f>
        <v/>
      </c>
      <c r="AH102" s="107" t="str">
        <f t="shared" si="9"/>
        <v/>
      </c>
      <c r="AI102" s="107" t="str">
        <f t="shared" si="10"/>
        <v/>
      </c>
      <c r="AK102" s="107">
        <v>93</v>
      </c>
      <c r="AM102" s="107" t="str">
        <f t="array" ref="AM102">IFERROR(INDEX($AK$10:$AK$258,MATCH(0,IF(TRUE=$AH$10:$AH$258,COUNTIF($AM$9:$AM101,$AK$10:$AK$258),""),0)),"")</f>
        <v/>
      </c>
      <c r="AN102" s="107" t="str">
        <f t="array" ref="AN102">IFERROR(INDEX($AK$10:$AK$258,MATCH(0,IF(TRUE=$AI$10:$AI$258,COUNTIF($AN$9:$AN101,$AK$10:$AK$258),""),0)),"")</f>
        <v/>
      </c>
      <c r="AY102" s="283" t="str">
        <f t="shared" si="17"/>
        <v/>
      </c>
    </row>
    <row r="103" spans="2:51" ht="14">
      <c r="B103" s="97">
        <v>94</v>
      </c>
      <c r="C103" s="138"/>
      <c r="D103" s="138"/>
      <c r="E103" s="104"/>
      <c r="F103" s="275" t="str">
        <f>IF(D103="","",VLOOKUP(D103,'G-6 Hedgerow Data'!$B$2:$AG$15,2,FALSE))</f>
        <v/>
      </c>
      <c r="G103" s="276" t="str">
        <f>IF(D103="","",VLOOKUP(D103,'G-6 Hedgerow Data'!$B$2:$AG$15,3,FALSE))</f>
        <v/>
      </c>
      <c r="H103" s="101"/>
      <c r="I103" s="276" t="str">
        <f>IFERROR(IF(AND(D103&lt;&gt;"",H103=""),"Check data ⚠",(IF(H103="","",IF(AND(D103="Non-native and ornamental hedgerow",H103&lt;&gt;"Poor"),"Not possible ▲",(IF(AND(F103="V.Low",OR(H103="Good",H103="Moderate")),"Error ▲",VLOOKUP(H103,'G-1 All Habitats'!$Z$2:$AA$9,2,FALSE))))))),"")</f>
        <v/>
      </c>
      <c r="J103" s="105"/>
      <c r="K103" s="295" t="str">
        <f>IF(AND(J103="",D103&lt;&gt;""),"Check data ⚠",IF(J103="","",IF(VLOOKUP(J103,'G-3 Multipliers'!$L$3:$N$6,2,FALSE)=0,"Spatial Data Missing ⚠",VLOOKUP(J103,'G-3 Multipliers'!$L$3:$N$6,2,FALSE))))</f>
        <v/>
      </c>
      <c r="L103" s="299" t="str">
        <f>IF(J103="","",IF(VLOOKUP(J103,'G-3 Multipliers'!$L$3:$N$6,3,FALSE)=0,"Spatial Data Missing ⚠",VLOOKUP(J103,'G-3 Multipliers'!$L$3:$N$6,3,FALSE)))</f>
        <v/>
      </c>
      <c r="M103" s="336" t="str">
        <f>IF(D103="","",VLOOKUP(D103,'G-6 Hedgerow Data'!$B$1:$AH$15,33,FALSE))</f>
        <v/>
      </c>
      <c r="N103" s="289" t="str">
        <f t="shared" si="11"/>
        <v/>
      </c>
      <c r="O103" s="393"/>
      <c r="P103" s="281" t="str">
        <f>IF(O103="","",IF(VLOOKUP(O103,'G-3 Multipliers'!$S$3:$T$10,2,FALSE)=0,"Spatial Data Missing ⚠",VLOOKUP(O103,'G-3 Multipliers'!$S$3:$T$10,2,FALSE)))</f>
        <v/>
      </c>
      <c r="Q103" s="289" t="str">
        <f t="shared" si="12"/>
        <v/>
      </c>
      <c r="R103" s="32"/>
      <c r="S103" s="101"/>
      <c r="T103" s="108"/>
      <c r="U103" s="283" t="str">
        <f t="shared" si="13"/>
        <v/>
      </c>
      <c r="V103" s="283" t="str">
        <f t="shared" si="14"/>
        <v/>
      </c>
      <c r="W103" s="287" t="str">
        <f t="shared" si="15"/>
        <v/>
      </c>
      <c r="X103" s="291" t="str">
        <f t="shared" si="16"/>
        <v/>
      </c>
      <c r="Y103" s="105"/>
      <c r="Z103" s="104"/>
      <c r="AA103" s="104"/>
      <c r="AB103" s="104"/>
      <c r="AE103" s="30" t="str">
        <f>IFERROR(INDEX('G-6 Hedgerow Data'!$BJ$3:$BJ$15,MATCH(D103,'G-6 Hedgerow Data'!$B$3:$B$15,0)),"")</f>
        <v/>
      </c>
      <c r="AH103" s="107" t="str">
        <f t="shared" si="9"/>
        <v/>
      </c>
      <c r="AI103" s="107" t="str">
        <f t="shared" si="10"/>
        <v/>
      </c>
      <c r="AK103" s="107">
        <v>94</v>
      </c>
      <c r="AM103" s="107" t="str">
        <f t="array" ref="AM103">IFERROR(INDEX($AK$10:$AK$258,MATCH(0,IF(TRUE=$AH$10:$AH$258,COUNTIF($AM$9:$AM102,$AK$10:$AK$258),""),0)),"")</f>
        <v/>
      </c>
      <c r="AN103" s="107" t="str">
        <f t="array" ref="AN103">IFERROR(INDEX($AK$10:$AK$258,MATCH(0,IF(TRUE=$AI$10:$AI$258,COUNTIF($AN$9:$AN102,$AK$10:$AK$258),""),0)),"")</f>
        <v/>
      </c>
      <c r="AY103" s="283" t="str">
        <f t="shared" si="17"/>
        <v/>
      </c>
    </row>
    <row r="104" spans="2:51" ht="14">
      <c r="B104" s="97">
        <v>95</v>
      </c>
      <c r="C104" s="138"/>
      <c r="D104" s="138"/>
      <c r="E104" s="104"/>
      <c r="F104" s="275" t="str">
        <f>IF(D104="","",VLOOKUP(D104,'G-6 Hedgerow Data'!$B$2:$AG$15,2,FALSE))</f>
        <v/>
      </c>
      <c r="G104" s="276" t="str">
        <f>IF(D104="","",VLOOKUP(D104,'G-6 Hedgerow Data'!$B$2:$AG$15,3,FALSE))</f>
        <v/>
      </c>
      <c r="H104" s="101"/>
      <c r="I104" s="276" t="str">
        <f>IFERROR(IF(AND(D104&lt;&gt;"",H104=""),"Check data ⚠",(IF(H104="","",IF(AND(D104="Non-native and ornamental hedgerow",H104&lt;&gt;"Poor"),"Not possible ▲",(IF(AND(F104="V.Low",OR(H104="Good",H104="Moderate")),"Error ▲",VLOOKUP(H104,'G-1 All Habitats'!$Z$2:$AA$9,2,FALSE))))))),"")</f>
        <v/>
      </c>
      <c r="J104" s="105"/>
      <c r="K104" s="295" t="str">
        <f>IF(AND(J104="",D104&lt;&gt;""),"Check data ⚠",IF(J104="","",IF(VLOOKUP(J104,'G-3 Multipliers'!$L$3:$N$6,2,FALSE)=0,"Spatial Data Missing ⚠",VLOOKUP(J104,'G-3 Multipliers'!$L$3:$N$6,2,FALSE))))</f>
        <v/>
      </c>
      <c r="L104" s="299" t="str">
        <f>IF(J104="","",IF(VLOOKUP(J104,'G-3 Multipliers'!$L$3:$N$6,3,FALSE)=0,"Spatial Data Missing ⚠",VLOOKUP(J104,'G-3 Multipliers'!$L$3:$N$6,3,FALSE)))</f>
        <v/>
      </c>
      <c r="M104" s="336" t="str">
        <f>IF(D104="","",VLOOKUP(D104,'G-6 Hedgerow Data'!$B$1:$AH$15,33,FALSE))</f>
        <v/>
      </c>
      <c r="N104" s="289" t="str">
        <f t="shared" si="11"/>
        <v/>
      </c>
      <c r="O104" s="393"/>
      <c r="P104" s="281" t="str">
        <f>IF(O104="","",IF(VLOOKUP(O104,'G-3 Multipliers'!$S$3:$T$10,2,FALSE)=0,"Spatial Data Missing ⚠",VLOOKUP(O104,'G-3 Multipliers'!$S$3:$T$10,2,FALSE)))</f>
        <v/>
      </c>
      <c r="Q104" s="289" t="str">
        <f t="shared" si="12"/>
        <v/>
      </c>
      <c r="R104" s="32"/>
      <c r="S104" s="101"/>
      <c r="T104" s="108"/>
      <c r="U104" s="283" t="str">
        <f t="shared" si="13"/>
        <v/>
      </c>
      <c r="V104" s="283" t="str">
        <f t="shared" si="14"/>
        <v/>
      </c>
      <c r="W104" s="287" t="str">
        <f t="shared" si="15"/>
        <v/>
      </c>
      <c r="X104" s="291" t="str">
        <f t="shared" si="16"/>
        <v/>
      </c>
      <c r="Y104" s="105"/>
      <c r="Z104" s="104"/>
      <c r="AA104" s="104"/>
      <c r="AB104" s="104"/>
      <c r="AE104" s="30" t="str">
        <f>IFERROR(INDEX('G-6 Hedgerow Data'!$BJ$3:$BJ$15,MATCH(D104,'G-6 Hedgerow Data'!$B$3:$B$15,0)),"")</f>
        <v/>
      </c>
      <c r="AH104" s="107" t="str">
        <f t="shared" si="9"/>
        <v/>
      </c>
      <c r="AI104" s="107" t="str">
        <f t="shared" si="10"/>
        <v/>
      </c>
      <c r="AK104" s="107">
        <v>95</v>
      </c>
      <c r="AM104" s="107" t="str">
        <f t="array" ref="AM104">IFERROR(INDEX($AK$10:$AK$258,MATCH(0,IF(TRUE=$AH$10:$AH$258,COUNTIF($AM$9:$AM103,$AK$10:$AK$258),""),0)),"")</f>
        <v/>
      </c>
      <c r="AN104" s="107" t="str">
        <f t="array" ref="AN104">IFERROR(INDEX($AK$10:$AK$258,MATCH(0,IF(TRUE=$AI$10:$AI$258,COUNTIF($AN$9:$AN103,$AK$10:$AK$258),""),0)),"")</f>
        <v/>
      </c>
      <c r="AY104" s="283" t="str">
        <f t="shared" si="17"/>
        <v/>
      </c>
    </row>
    <row r="105" spans="2:51" ht="14">
      <c r="B105" s="97">
        <v>96</v>
      </c>
      <c r="C105" s="138"/>
      <c r="D105" s="138"/>
      <c r="E105" s="104"/>
      <c r="F105" s="275" t="str">
        <f>IF(D105="","",VLOOKUP(D105,'G-6 Hedgerow Data'!$B$2:$AG$15,2,FALSE))</f>
        <v/>
      </c>
      <c r="G105" s="276" t="str">
        <f>IF(D105="","",VLOOKUP(D105,'G-6 Hedgerow Data'!$B$2:$AG$15,3,FALSE))</f>
        <v/>
      </c>
      <c r="H105" s="101"/>
      <c r="I105" s="276" t="str">
        <f>IFERROR(IF(AND(D105&lt;&gt;"",H105=""),"Check data ⚠",(IF(H105="","",IF(AND(D105="Non-native and ornamental hedgerow",H105&lt;&gt;"Poor"),"Not possible ▲",(IF(AND(F105="V.Low",OR(H105="Good",H105="Moderate")),"Error ▲",VLOOKUP(H105,'G-1 All Habitats'!$Z$2:$AA$9,2,FALSE))))))),"")</f>
        <v/>
      </c>
      <c r="J105" s="105"/>
      <c r="K105" s="295" t="str">
        <f>IF(AND(J105="",D105&lt;&gt;""),"Check data ⚠",IF(J105="","",IF(VLOOKUP(J105,'G-3 Multipliers'!$L$3:$N$6,2,FALSE)=0,"Spatial Data Missing ⚠",VLOOKUP(J105,'G-3 Multipliers'!$L$3:$N$6,2,FALSE))))</f>
        <v/>
      </c>
      <c r="L105" s="299" t="str">
        <f>IF(J105="","",IF(VLOOKUP(J105,'G-3 Multipliers'!$L$3:$N$6,3,FALSE)=0,"Spatial Data Missing ⚠",VLOOKUP(J105,'G-3 Multipliers'!$L$3:$N$6,3,FALSE)))</f>
        <v/>
      </c>
      <c r="M105" s="336" t="str">
        <f>IF(D105="","",VLOOKUP(D105,'G-6 Hedgerow Data'!$B$1:$AH$15,33,FALSE))</f>
        <v/>
      </c>
      <c r="N105" s="289" t="str">
        <f t="shared" si="11"/>
        <v/>
      </c>
      <c r="O105" s="393"/>
      <c r="P105" s="281" t="str">
        <f>IF(O105="","",IF(VLOOKUP(O105,'G-3 Multipliers'!$S$3:$T$10,2,FALSE)=0,"Spatial Data Missing ⚠",VLOOKUP(O105,'G-3 Multipliers'!$S$3:$T$10,2,FALSE)))</f>
        <v/>
      </c>
      <c r="Q105" s="289" t="str">
        <f t="shared" si="12"/>
        <v/>
      </c>
      <c r="R105" s="32"/>
      <c r="S105" s="101"/>
      <c r="T105" s="108"/>
      <c r="U105" s="283" t="str">
        <f t="shared" si="13"/>
        <v/>
      </c>
      <c r="V105" s="283" t="str">
        <f t="shared" si="14"/>
        <v/>
      </c>
      <c r="W105" s="287" t="str">
        <f t="shared" si="15"/>
        <v/>
      </c>
      <c r="X105" s="291" t="str">
        <f t="shared" si="16"/>
        <v/>
      </c>
      <c r="Y105" s="105"/>
      <c r="Z105" s="104"/>
      <c r="AA105" s="104"/>
      <c r="AB105" s="104"/>
      <c r="AE105" s="30" t="str">
        <f>IFERROR(INDEX('G-6 Hedgerow Data'!$BJ$3:$BJ$15,MATCH(D105,'G-6 Hedgerow Data'!$B$3:$B$15,0)),"")</f>
        <v/>
      </c>
      <c r="AH105" s="107" t="str">
        <f t="shared" si="9"/>
        <v/>
      </c>
      <c r="AI105" s="107" t="str">
        <f t="shared" si="10"/>
        <v/>
      </c>
      <c r="AK105" s="107">
        <v>96</v>
      </c>
      <c r="AM105" s="107" t="str">
        <f t="array" ref="AM105">IFERROR(INDEX($AK$10:$AK$258,MATCH(0,IF(TRUE=$AH$10:$AH$258,COUNTIF($AM$9:$AM104,$AK$10:$AK$258),""),0)),"")</f>
        <v/>
      </c>
      <c r="AN105" s="107" t="str">
        <f t="array" ref="AN105">IFERROR(INDEX($AK$10:$AK$258,MATCH(0,IF(TRUE=$AI$10:$AI$258,COUNTIF($AN$9:$AN104,$AK$10:$AK$258),""),0)),"")</f>
        <v/>
      </c>
      <c r="AY105" s="283" t="str">
        <f t="shared" si="17"/>
        <v/>
      </c>
    </row>
    <row r="106" spans="2:51" ht="14">
      <c r="B106" s="97">
        <v>97</v>
      </c>
      <c r="C106" s="138"/>
      <c r="D106" s="138"/>
      <c r="E106" s="104"/>
      <c r="F106" s="275" t="str">
        <f>IF(D106="","",VLOOKUP(D106,'G-6 Hedgerow Data'!$B$2:$AG$15,2,FALSE))</f>
        <v/>
      </c>
      <c r="G106" s="276" t="str">
        <f>IF(D106="","",VLOOKUP(D106,'G-6 Hedgerow Data'!$B$2:$AG$15,3,FALSE))</f>
        <v/>
      </c>
      <c r="H106" s="101"/>
      <c r="I106" s="276" t="str">
        <f>IFERROR(IF(AND(D106&lt;&gt;"",H106=""),"Check data ⚠",(IF(H106="","",IF(AND(D106="Non-native and ornamental hedgerow",H106&lt;&gt;"Poor"),"Not possible ▲",(IF(AND(F106="V.Low",OR(H106="Good",H106="Moderate")),"Error ▲",VLOOKUP(H106,'G-1 All Habitats'!$Z$2:$AA$9,2,FALSE))))))),"")</f>
        <v/>
      </c>
      <c r="J106" s="105"/>
      <c r="K106" s="295" t="str">
        <f>IF(AND(J106="",D106&lt;&gt;""),"Check data ⚠",IF(J106="","",IF(VLOOKUP(J106,'G-3 Multipliers'!$L$3:$N$6,2,FALSE)=0,"Spatial Data Missing ⚠",VLOOKUP(J106,'G-3 Multipliers'!$L$3:$N$6,2,FALSE))))</f>
        <v/>
      </c>
      <c r="L106" s="299" t="str">
        <f>IF(J106="","",IF(VLOOKUP(J106,'G-3 Multipliers'!$L$3:$N$6,3,FALSE)=0,"Spatial Data Missing ⚠",VLOOKUP(J106,'G-3 Multipliers'!$L$3:$N$6,3,FALSE)))</f>
        <v/>
      </c>
      <c r="M106" s="336" t="str">
        <f>IF(D106="","",VLOOKUP(D106,'G-6 Hedgerow Data'!$B$1:$AH$15,33,FALSE))</f>
        <v/>
      </c>
      <c r="N106" s="289" t="str">
        <f t="shared" si="11"/>
        <v/>
      </c>
      <c r="O106" s="393"/>
      <c r="P106" s="281" t="str">
        <f>IF(O106="","",IF(VLOOKUP(O106,'G-3 Multipliers'!$S$3:$T$10,2,FALSE)=0,"Spatial Data Missing ⚠",VLOOKUP(O106,'G-3 Multipliers'!$S$3:$T$10,2,FALSE)))</f>
        <v/>
      </c>
      <c r="Q106" s="289" t="str">
        <f t="shared" si="12"/>
        <v/>
      </c>
      <c r="R106" s="32"/>
      <c r="S106" s="101"/>
      <c r="T106" s="108"/>
      <c r="U106" s="283" t="str">
        <f t="shared" si="13"/>
        <v/>
      </c>
      <c r="V106" s="283" t="str">
        <f t="shared" si="14"/>
        <v/>
      </c>
      <c r="W106" s="287" t="str">
        <f t="shared" si="15"/>
        <v/>
      </c>
      <c r="X106" s="291" t="str">
        <f t="shared" si="16"/>
        <v/>
      </c>
      <c r="Y106" s="105"/>
      <c r="Z106" s="104"/>
      <c r="AA106" s="104"/>
      <c r="AB106" s="104"/>
      <c r="AE106" s="30" t="str">
        <f>IFERROR(INDEX('G-6 Hedgerow Data'!$BJ$3:$BJ$15,MATCH(D106,'G-6 Hedgerow Data'!$B$3:$B$15,0)),"")</f>
        <v/>
      </c>
      <c r="AH106" s="107" t="str">
        <f t="shared" si="9"/>
        <v/>
      </c>
      <c r="AI106" s="107" t="str">
        <f t="shared" si="10"/>
        <v/>
      </c>
      <c r="AK106" s="107">
        <v>97</v>
      </c>
      <c r="AM106" s="107" t="str">
        <f t="array" ref="AM106">IFERROR(INDEX($AK$10:$AK$258,MATCH(0,IF(TRUE=$AH$10:$AH$258,COUNTIF($AM$9:$AM105,$AK$10:$AK$258),""),0)),"")</f>
        <v/>
      </c>
      <c r="AN106" s="107" t="str">
        <f t="array" ref="AN106">IFERROR(INDEX($AK$10:$AK$258,MATCH(0,IF(TRUE=$AI$10:$AI$258,COUNTIF($AN$9:$AN105,$AK$10:$AK$258),""),0)),"")</f>
        <v/>
      </c>
      <c r="AY106" s="283" t="str">
        <f t="shared" si="17"/>
        <v/>
      </c>
    </row>
    <row r="107" spans="2:51" ht="14">
      <c r="B107" s="97">
        <v>98</v>
      </c>
      <c r="C107" s="138"/>
      <c r="D107" s="138"/>
      <c r="E107" s="104"/>
      <c r="F107" s="275" t="str">
        <f>IF(D107="","",VLOOKUP(D107,'G-6 Hedgerow Data'!$B$2:$AG$15,2,FALSE))</f>
        <v/>
      </c>
      <c r="G107" s="276" t="str">
        <f>IF(D107="","",VLOOKUP(D107,'G-6 Hedgerow Data'!$B$2:$AG$15,3,FALSE))</f>
        <v/>
      </c>
      <c r="H107" s="101"/>
      <c r="I107" s="276" t="str">
        <f>IFERROR(IF(AND(D107&lt;&gt;"",H107=""),"Check data ⚠",(IF(H107="","",IF(AND(D107="Non-native and ornamental hedgerow",H107&lt;&gt;"Poor"),"Not possible ▲",(IF(AND(F107="V.Low",OR(H107="Good",H107="Moderate")),"Error ▲",VLOOKUP(H107,'G-1 All Habitats'!$Z$2:$AA$9,2,FALSE))))))),"")</f>
        <v/>
      </c>
      <c r="J107" s="105"/>
      <c r="K107" s="295" t="str">
        <f>IF(AND(J107="",D107&lt;&gt;""),"Check data ⚠",IF(J107="","",IF(VLOOKUP(J107,'G-3 Multipliers'!$L$3:$N$6,2,FALSE)=0,"Spatial Data Missing ⚠",VLOOKUP(J107,'G-3 Multipliers'!$L$3:$N$6,2,FALSE))))</f>
        <v/>
      </c>
      <c r="L107" s="299" t="str">
        <f>IF(J107="","",IF(VLOOKUP(J107,'G-3 Multipliers'!$L$3:$N$6,3,FALSE)=0,"Spatial Data Missing ⚠",VLOOKUP(J107,'G-3 Multipliers'!$L$3:$N$6,3,FALSE)))</f>
        <v/>
      </c>
      <c r="M107" s="336" t="str">
        <f>IF(D107="","",VLOOKUP(D107,'G-6 Hedgerow Data'!$B$1:$AH$15,33,FALSE))</f>
        <v/>
      </c>
      <c r="N107" s="289" t="str">
        <f t="shared" si="11"/>
        <v/>
      </c>
      <c r="O107" s="393"/>
      <c r="P107" s="281" t="str">
        <f>IF(O107="","",IF(VLOOKUP(O107,'G-3 Multipliers'!$S$3:$T$10,2,FALSE)=0,"Spatial Data Missing ⚠",VLOOKUP(O107,'G-3 Multipliers'!$S$3:$T$10,2,FALSE)))</f>
        <v/>
      </c>
      <c r="Q107" s="289" t="str">
        <f t="shared" si="12"/>
        <v/>
      </c>
      <c r="R107" s="32"/>
      <c r="S107" s="101"/>
      <c r="T107" s="108"/>
      <c r="U107" s="283" t="str">
        <f t="shared" si="13"/>
        <v/>
      </c>
      <c r="V107" s="283" t="str">
        <f t="shared" si="14"/>
        <v/>
      </c>
      <c r="W107" s="287" t="str">
        <f t="shared" si="15"/>
        <v/>
      </c>
      <c r="X107" s="291" t="str">
        <f t="shared" si="16"/>
        <v/>
      </c>
      <c r="Y107" s="105"/>
      <c r="Z107" s="104"/>
      <c r="AA107" s="104"/>
      <c r="AB107" s="104"/>
      <c r="AE107" s="30" t="str">
        <f>IFERROR(INDEX('G-6 Hedgerow Data'!$BJ$3:$BJ$15,MATCH(D107,'G-6 Hedgerow Data'!$B$3:$B$15,0)),"")</f>
        <v/>
      </c>
      <c r="AH107" s="107" t="str">
        <f t="shared" si="9"/>
        <v/>
      </c>
      <c r="AI107" s="107" t="str">
        <f t="shared" si="10"/>
        <v/>
      </c>
      <c r="AK107" s="107">
        <v>98</v>
      </c>
      <c r="AM107" s="107" t="str">
        <f t="array" ref="AM107">IFERROR(INDEX($AK$10:$AK$258,MATCH(0,IF(TRUE=$AH$10:$AH$258,COUNTIF($AM$9:$AM106,$AK$10:$AK$258),""),0)),"")</f>
        <v/>
      </c>
      <c r="AN107" s="107" t="str">
        <f t="array" ref="AN107">IFERROR(INDEX($AK$10:$AK$258,MATCH(0,IF(TRUE=$AI$10:$AI$258,COUNTIF($AN$9:$AN106,$AK$10:$AK$258),""),0)),"")</f>
        <v/>
      </c>
      <c r="AY107" s="283" t="str">
        <f t="shared" si="17"/>
        <v/>
      </c>
    </row>
    <row r="108" spans="2:51" ht="14">
      <c r="B108" s="97">
        <v>99</v>
      </c>
      <c r="C108" s="138"/>
      <c r="D108" s="138"/>
      <c r="E108" s="104"/>
      <c r="F108" s="275" t="str">
        <f>IF(D108="","",VLOOKUP(D108,'G-6 Hedgerow Data'!$B$2:$AG$15,2,FALSE))</f>
        <v/>
      </c>
      <c r="G108" s="276" t="str">
        <f>IF(D108="","",VLOOKUP(D108,'G-6 Hedgerow Data'!$B$2:$AG$15,3,FALSE))</f>
        <v/>
      </c>
      <c r="H108" s="101"/>
      <c r="I108" s="276" t="str">
        <f>IFERROR(IF(AND(D108&lt;&gt;"",H108=""),"Check data ⚠",(IF(H108="","",IF(AND(D108="Non-native and ornamental hedgerow",H108&lt;&gt;"Poor"),"Not possible ▲",(IF(AND(F108="V.Low",OR(H108="Good",H108="Moderate")),"Error ▲",VLOOKUP(H108,'G-1 All Habitats'!$Z$2:$AA$9,2,FALSE))))))),"")</f>
        <v/>
      </c>
      <c r="J108" s="105"/>
      <c r="K108" s="295" t="str">
        <f>IF(AND(J108="",D108&lt;&gt;""),"Check data ⚠",IF(J108="","",IF(VLOOKUP(J108,'G-3 Multipliers'!$L$3:$N$6,2,FALSE)=0,"Spatial Data Missing ⚠",VLOOKUP(J108,'G-3 Multipliers'!$L$3:$N$6,2,FALSE))))</f>
        <v/>
      </c>
      <c r="L108" s="299" t="str">
        <f>IF(J108="","",IF(VLOOKUP(J108,'G-3 Multipliers'!$L$3:$N$6,3,FALSE)=0,"Spatial Data Missing ⚠",VLOOKUP(J108,'G-3 Multipliers'!$L$3:$N$6,3,FALSE)))</f>
        <v/>
      </c>
      <c r="M108" s="336" t="str">
        <f>IF(D108="","",VLOOKUP(D108,'G-6 Hedgerow Data'!$B$1:$AH$15,33,FALSE))</f>
        <v/>
      </c>
      <c r="N108" s="289" t="str">
        <f t="shared" si="11"/>
        <v/>
      </c>
      <c r="O108" s="393"/>
      <c r="P108" s="281" t="str">
        <f>IF(O108="","",IF(VLOOKUP(O108,'G-3 Multipliers'!$S$3:$T$10,2,FALSE)=0,"Spatial Data Missing ⚠",VLOOKUP(O108,'G-3 Multipliers'!$S$3:$T$10,2,FALSE)))</f>
        <v/>
      </c>
      <c r="Q108" s="289" t="str">
        <f t="shared" si="12"/>
        <v/>
      </c>
      <c r="R108" s="32"/>
      <c r="S108" s="101"/>
      <c r="T108" s="108"/>
      <c r="U108" s="283" t="str">
        <f t="shared" si="13"/>
        <v/>
      </c>
      <c r="V108" s="283" t="str">
        <f t="shared" si="14"/>
        <v/>
      </c>
      <c r="W108" s="287" t="str">
        <f t="shared" si="15"/>
        <v/>
      </c>
      <c r="X108" s="291" t="str">
        <f t="shared" si="16"/>
        <v/>
      </c>
      <c r="Y108" s="105"/>
      <c r="Z108" s="104"/>
      <c r="AA108" s="104"/>
      <c r="AB108" s="104"/>
      <c r="AE108" s="30" t="str">
        <f>IFERROR(INDEX('G-6 Hedgerow Data'!$BJ$3:$BJ$15,MATCH(D108,'G-6 Hedgerow Data'!$B$3:$B$15,0)),"")</f>
        <v/>
      </c>
      <c r="AH108" s="107" t="str">
        <f t="shared" si="9"/>
        <v/>
      </c>
      <c r="AI108" s="107" t="str">
        <f t="shared" si="10"/>
        <v/>
      </c>
      <c r="AK108" s="107">
        <v>99</v>
      </c>
      <c r="AM108" s="107" t="str">
        <f t="array" ref="AM108">IFERROR(INDEX($AK$10:$AK$258,MATCH(0,IF(TRUE=$AH$10:$AH$258,COUNTIF($AM$9:$AM107,$AK$10:$AK$258),""),0)),"")</f>
        <v/>
      </c>
      <c r="AN108" s="107" t="str">
        <f t="array" ref="AN108">IFERROR(INDEX($AK$10:$AK$258,MATCH(0,IF(TRUE=$AI$10:$AI$258,COUNTIF($AN$9:$AN107,$AK$10:$AK$258),""),0)),"")</f>
        <v/>
      </c>
      <c r="AY108" s="283" t="str">
        <f t="shared" si="17"/>
        <v/>
      </c>
    </row>
    <row r="109" spans="2:51" ht="14">
      <c r="B109" s="97">
        <v>100</v>
      </c>
      <c r="C109" s="138"/>
      <c r="D109" s="138"/>
      <c r="E109" s="104"/>
      <c r="F109" s="275" t="str">
        <f>IF(D109="","",VLOOKUP(D109,'G-6 Hedgerow Data'!$B$2:$AG$15,2,FALSE))</f>
        <v/>
      </c>
      <c r="G109" s="276" t="str">
        <f>IF(D109="","",VLOOKUP(D109,'G-6 Hedgerow Data'!$B$2:$AG$15,3,FALSE))</f>
        <v/>
      </c>
      <c r="H109" s="101"/>
      <c r="I109" s="276" t="str">
        <f>IFERROR(IF(AND(D109&lt;&gt;"",H109=""),"Check data ⚠",(IF(H109="","",IF(AND(D109="Non-native and ornamental hedgerow",H109&lt;&gt;"Poor"),"Not possible ▲",(IF(AND(F109="V.Low",OR(H109="Good",H109="Moderate")),"Error ▲",VLOOKUP(H109,'G-1 All Habitats'!$Z$2:$AA$9,2,FALSE))))))),"")</f>
        <v/>
      </c>
      <c r="J109" s="105"/>
      <c r="K109" s="295" t="str">
        <f>IF(AND(J109="",D109&lt;&gt;""),"Check data ⚠",IF(J109="","",IF(VLOOKUP(J109,'G-3 Multipliers'!$L$3:$N$6,2,FALSE)=0,"Spatial Data Missing ⚠",VLOOKUP(J109,'G-3 Multipliers'!$L$3:$N$6,2,FALSE))))</f>
        <v/>
      </c>
      <c r="L109" s="299" t="str">
        <f>IF(J109="","",IF(VLOOKUP(J109,'G-3 Multipliers'!$L$3:$N$6,3,FALSE)=0,"Spatial Data Missing ⚠",VLOOKUP(J109,'G-3 Multipliers'!$L$3:$N$6,3,FALSE)))</f>
        <v/>
      </c>
      <c r="M109" s="336" t="str">
        <f>IF(D109="","",VLOOKUP(D109,'G-6 Hedgerow Data'!$B$1:$AH$15,33,FALSE))</f>
        <v/>
      </c>
      <c r="N109" s="289" t="str">
        <f t="shared" si="11"/>
        <v/>
      </c>
      <c r="O109" s="393"/>
      <c r="P109" s="281" t="str">
        <f>IF(O109="","",IF(VLOOKUP(O109,'G-3 Multipliers'!$S$3:$T$10,2,FALSE)=0,"Spatial Data Missing ⚠",VLOOKUP(O109,'G-3 Multipliers'!$S$3:$T$10,2,FALSE)))</f>
        <v/>
      </c>
      <c r="Q109" s="289" t="str">
        <f t="shared" si="12"/>
        <v/>
      </c>
      <c r="R109" s="32"/>
      <c r="S109" s="101"/>
      <c r="T109" s="108"/>
      <c r="U109" s="283" t="str">
        <f t="shared" si="13"/>
        <v/>
      </c>
      <c r="V109" s="283" t="str">
        <f t="shared" si="14"/>
        <v/>
      </c>
      <c r="W109" s="287" t="str">
        <f t="shared" si="15"/>
        <v/>
      </c>
      <c r="X109" s="291" t="str">
        <f t="shared" si="16"/>
        <v/>
      </c>
      <c r="Y109" s="105"/>
      <c r="Z109" s="104"/>
      <c r="AA109" s="104"/>
      <c r="AB109" s="104"/>
      <c r="AE109" s="30" t="str">
        <f>IFERROR(INDEX('G-6 Hedgerow Data'!$BJ$3:$BJ$15,MATCH(D109,'G-6 Hedgerow Data'!$B$3:$B$15,0)),"")</f>
        <v/>
      </c>
      <c r="AH109" s="107" t="str">
        <f t="shared" si="9"/>
        <v/>
      </c>
      <c r="AI109" s="107" t="str">
        <f t="shared" si="10"/>
        <v/>
      </c>
      <c r="AK109" s="107">
        <v>100</v>
      </c>
      <c r="AM109" s="107" t="str">
        <f t="array" ref="AM109">IFERROR(INDEX($AK$10:$AK$258,MATCH(0,IF(TRUE=$AH$10:$AH$258,COUNTIF($AM$9:$AM108,$AK$10:$AK$258),""),0)),"")</f>
        <v/>
      </c>
      <c r="AN109" s="107" t="str">
        <f t="array" ref="AN109">IFERROR(INDEX($AK$10:$AK$258,MATCH(0,IF(TRUE=$AI$10:$AI$258,COUNTIF($AN$9:$AN108,$AK$10:$AK$258),""),0)),"")</f>
        <v/>
      </c>
      <c r="AY109" s="283" t="str">
        <f t="shared" si="17"/>
        <v/>
      </c>
    </row>
    <row r="110" spans="2:51" ht="14">
      <c r="B110" s="97">
        <v>101</v>
      </c>
      <c r="C110" s="138"/>
      <c r="D110" s="138"/>
      <c r="E110" s="104"/>
      <c r="F110" s="275" t="str">
        <f>IF(D110="","",VLOOKUP(D110,'G-6 Hedgerow Data'!$B$2:$AG$15,2,FALSE))</f>
        <v/>
      </c>
      <c r="G110" s="276" t="str">
        <f>IF(D110="","",VLOOKUP(D110,'G-6 Hedgerow Data'!$B$2:$AG$15,3,FALSE))</f>
        <v/>
      </c>
      <c r="H110" s="101"/>
      <c r="I110" s="276" t="str">
        <f>IFERROR(IF(AND(D110&lt;&gt;"",H110=""),"Check data ⚠",(IF(H110="","",IF(AND(D110="Non-native and ornamental hedgerow",H110&lt;&gt;"Poor"),"Not possible ▲",(IF(AND(F110="V.Low",OR(H110="Good",H110="Moderate")),"Error ▲",VLOOKUP(H110,'G-1 All Habitats'!$Z$2:$AA$9,2,FALSE))))))),"")</f>
        <v/>
      </c>
      <c r="J110" s="105"/>
      <c r="K110" s="295" t="str">
        <f>IF(AND(J110="",D110&lt;&gt;""),"Check data ⚠",IF(J110="","",IF(VLOOKUP(J110,'G-3 Multipliers'!$L$3:$N$6,2,FALSE)=0,"Spatial Data Missing ⚠",VLOOKUP(J110,'G-3 Multipliers'!$L$3:$N$6,2,FALSE))))</f>
        <v/>
      </c>
      <c r="L110" s="299" t="str">
        <f>IF(J110="","",IF(VLOOKUP(J110,'G-3 Multipliers'!$L$3:$N$6,3,FALSE)=0,"Spatial Data Missing ⚠",VLOOKUP(J110,'G-3 Multipliers'!$L$3:$N$6,3,FALSE)))</f>
        <v/>
      </c>
      <c r="M110" s="336" t="str">
        <f>IF(D110="","",VLOOKUP(D110,'G-6 Hedgerow Data'!$B$1:$AH$15,33,FALSE))</f>
        <v/>
      </c>
      <c r="N110" s="289" t="str">
        <f t="shared" si="11"/>
        <v/>
      </c>
      <c r="O110" s="393"/>
      <c r="P110" s="281" t="str">
        <f>IF(O110="","",IF(VLOOKUP(O110,'G-3 Multipliers'!$S$3:$T$10,2,FALSE)=0,"Spatial Data Missing ⚠",VLOOKUP(O110,'G-3 Multipliers'!$S$3:$T$10,2,FALSE)))</f>
        <v/>
      </c>
      <c r="Q110" s="289" t="str">
        <f t="shared" si="12"/>
        <v/>
      </c>
      <c r="R110" s="32"/>
      <c r="S110" s="101"/>
      <c r="T110" s="108"/>
      <c r="U110" s="283" t="str">
        <f t="shared" si="13"/>
        <v/>
      </c>
      <c r="V110" s="283" t="str">
        <f t="shared" si="14"/>
        <v/>
      </c>
      <c r="W110" s="287" t="str">
        <f t="shared" si="15"/>
        <v/>
      </c>
      <c r="X110" s="291" t="str">
        <f t="shared" si="16"/>
        <v/>
      </c>
      <c r="Y110" s="105"/>
      <c r="Z110" s="104"/>
      <c r="AA110" s="104"/>
      <c r="AB110" s="104"/>
      <c r="AE110" s="30" t="str">
        <f>IFERROR(INDEX('G-6 Hedgerow Data'!$BJ$3:$BJ$15,MATCH(D110,'G-6 Hedgerow Data'!$B$3:$B$15,0)),"")</f>
        <v/>
      </c>
      <c r="AH110" s="107" t="str">
        <f t="shared" si="9"/>
        <v/>
      </c>
      <c r="AI110" s="107" t="str">
        <f t="shared" si="10"/>
        <v/>
      </c>
      <c r="AK110" s="107">
        <v>101</v>
      </c>
      <c r="AM110" s="107" t="str">
        <f t="array" ref="AM110">IFERROR(INDEX($AK$10:$AK$258,MATCH(0,IF(TRUE=$AH$10:$AH$258,COUNTIF($AM$9:$AM109,$AK$10:$AK$258),""),0)),"")</f>
        <v/>
      </c>
      <c r="AN110" s="107" t="str">
        <f t="array" ref="AN110">IFERROR(INDEX($AK$10:$AK$258,MATCH(0,IF(TRUE=$AI$10:$AI$258,COUNTIF($AN$9:$AN109,$AK$10:$AK$258),""),0)),"")</f>
        <v/>
      </c>
      <c r="AY110" s="283" t="str">
        <f t="shared" si="17"/>
        <v/>
      </c>
    </row>
    <row r="111" spans="2:51" ht="14">
      <c r="B111" s="97">
        <v>102</v>
      </c>
      <c r="C111" s="138"/>
      <c r="D111" s="138"/>
      <c r="E111" s="104"/>
      <c r="F111" s="275" t="str">
        <f>IF(D111="","",VLOOKUP(D111,'G-6 Hedgerow Data'!$B$2:$AG$15,2,FALSE))</f>
        <v/>
      </c>
      <c r="G111" s="276" t="str">
        <f>IF(D111="","",VLOOKUP(D111,'G-6 Hedgerow Data'!$B$2:$AG$15,3,FALSE))</f>
        <v/>
      </c>
      <c r="H111" s="101"/>
      <c r="I111" s="276" t="str">
        <f>IFERROR(IF(AND(D111&lt;&gt;"",H111=""),"Check data ⚠",(IF(H111="","",IF(AND(D111="Non-native and ornamental hedgerow",H111&lt;&gt;"Poor"),"Not possible ▲",(IF(AND(F111="V.Low",OR(H111="Good",H111="Moderate")),"Error ▲",VLOOKUP(H111,'G-1 All Habitats'!$Z$2:$AA$9,2,FALSE))))))),"")</f>
        <v/>
      </c>
      <c r="J111" s="105"/>
      <c r="K111" s="295" t="str">
        <f>IF(AND(J111="",D111&lt;&gt;""),"Check data ⚠",IF(J111="","",IF(VLOOKUP(J111,'G-3 Multipliers'!$L$3:$N$6,2,FALSE)=0,"Spatial Data Missing ⚠",VLOOKUP(J111,'G-3 Multipliers'!$L$3:$N$6,2,FALSE))))</f>
        <v/>
      </c>
      <c r="L111" s="299" t="str">
        <f>IF(J111="","",IF(VLOOKUP(J111,'G-3 Multipliers'!$L$3:$N$6,3,FALSE)=0,"Spatial Data Missing ⚠",VLOOKUP(J111,'G-3 Multipliers'!$L$3:$N$6,3,FALSE)))</f>
        <v/>
      </c>
      <c r="M111" s="336" t="str">
        <f>IF(D111="","",VLOOKUP(D111,'G-6 Hedgerow Data'!$B$1:$AH$15,33,FALSE))</f>
        <v/>
      </c>
      <c r="N111" s="289" t="str">
        <f t="shared" si="11"/>
        <v/>
      </c>
      <c r="O111" s="393"/>
      <c r="P111" s="281" t="str">
        <f>IF(O111="","",IF(VLOOKUP(O111,'G-3 Multipliers'!$S$3:$T$10,2,FALSE)=0,"Spatial Data Missing ⚠",VLOOKUP(O111,'G-3 Multipliers'!$S$3:$T$10,2,FALSE)))</f>
        <v/>
      </c>
      <c r="Q111" s="289" t="str">
        <f t="shared" si="12"/>
        <v/>
      </c>
      <c r="R111" s="32"/>
      <c r="S111" s="101"/>
      <c r="T111" s="108"/>
      <c r="U111" s="283" t="str">
        <f t="shared" si="13"/>
        <v/>
      </c>
      <c r="V111" s="283" t="str">
        <f t="shared" si="14"/>
        <v/>
      </c>
      <c r="W111" s="287" t="str">
        <f t="shared" si="15"/>
        <v/>
      </c>
      <c r="X111" s="291" t="str">
        <f t="shared" si="16"/>
        <v/>
      </c>
      <c r="Y111" s="105"/>
      <c r="Z111" s="104"/>
      <c r="AA111" s="104"/>
      <c r="AB111" s="104"/>
      <c r="AE111" s="30" t="str">
        <f>IFERROR(INDEX('G-6 Hedgerow Data'!$BJ$3:$BJ$15,MATCH(D111,'G-6 Hedgerow Data'!$B$3:$B$15,0)),"")</f>
        <v/>
      </c>
      <c r="AH111" s="107" t="str">
        <f t="shared" si="9"/>
        <v/>
      </c>
      <c r="AI111" s="107" t="str">
        <f t="shared" si="10"/>
        <v/>
      </c>
      <c r="AK111" s="107">
        <v>102</v>
      </c>
      <c r="AM111" s="107" t="str">
        <f t="array" ref="AM111">IFERROR(INDEX($AK$10:$AK$258,MATCH(0,IF(TRUE=$AH$10:$AH$258,COUNTIF($AM$9:$AM110,$AK$10:$AK$258),""),0)),"")</f>
        <v/>
      </c>
      <c r="AN111" s="107" t="str">
        <f t="array" ref="AN111">IFERROR(INDEX($AK$10:$AK$258,MATCH(0,IF(TRUE=$AI$10:$AI$258,COUNTIF($AN$9:$AN110,$AK$10:$AK$258),""),0)),"")</f>
        <v/>
      </c>
      <c r="AY111" s="283" t="str">
        <f t="shared" si="17"/>
        <v/>
      </c>
    </row>
    <row r="112" spans="2:51" ht="14">
      <c r="B112" s="97">
        <v>103</v>
      </c>
      <c r="C112" s="138"/>
      <c r="D112" s="138"/>
      <c r="E112" s="104"/>
      <c r="F112" s="275" t="str">
        <f>IF(D112="","",VLOOKUP(D112,'G-6 Hedgerow Data'!$B$2:$AG$15,2,FALSE))</f>
        <v/>
      </c>
      <c r="G112" s="276" t="str">
        <f>IF(D112="","",VLOOKUP(D112,'G-6 Hedgerow Data'!$B$2:$AG$15,3,FALSE))</f>
        <v/>
      </c>
      <c r="H112" s="101"/>
      <c r="I112" s="276" t="str">
        <f>IFERROR(IF(AND(D112&lt;&gt;"",H112=""),"Check data ⚠",(IF(H112="","",IF(AND(D112="Non-native and ornamental hedgerow",H112&lt;&gt;"Poor"),"Not possible ▲",(IF(AND(F112="V.Low",OR(H112="Good",H112="Moderate")),"Error ▲",VLOOKUP(H112,'G-1 All Habitats'!$Z$2:$AA$9,2,FALSE))))))),"")</f>
        <v/>
      </c>
      <c r="J112" s="105"/>
      <c r="K112" s="295" t="str">
        <f>IF(AND(J112="",D112&lt;&gt;""),"Check data ⚠",IF(J112="","",IF(VLOOKUP(J112,'G-3 Multipliers'!$L$3:$N$6,2,FALSE)=0,"Spatial Data Missing ⚠",VLOOKUP(J112,'G-3 Multipliers'!$L$3:$N$6,2,FALSE))))</f>
        <v/>
      </c>
      <c r="L112" s="299" t="str">
        <f>IF(J112="","",IF(VLOOKUP(J112,'G-3 Multipliers'!$L$3:$N$6,3,FALSE)=0,"Spatial Data Missing ⚠",VLOOKUP(J112,'G-3 Multipliers'!$L$3:$N$6,3,FALSE)))</f>
        <v/>
      </c>
      <c r="M112" s="336" t="str">
        <f>IF(D112="","",VLOOKUP(D112,'G-6 Hedgerow Data'!$B$1:$AH$15,33,FALSE))</f>
        <v/>
      </c>
      <c r="N112" s="289" t="str">
        <f t="shared" si="11"/>
        <v/>
      </c>
      <c r="O112" s="393"/>
      <c r="P112" s="281" t="str">
        <f>IF(O112="","",IF(VLOOKUP(O112,'G-3 Multipliers'!$S$3:$T$10,2,FALSE)=0,"Spatial Data Missing ⚠",VLOOKUP(O112,'G-3 Multipliers'!$S$3:$T$10,2,FALSE)))</f>
        <v/>
      </c>
      <c r="Q112" s="289" t="str">
        <f t="shared" si="12"/>
        <v/>
      </c>
      <c r="R112" s="32"/>
      <c r="S112" s="101"/>
      <c r="T112" s="108"/>
      <c r="U112" s="283" t="str">
        <f t="shared" si="13"/>
        <v/>
      </c>
      <c r="V112" s="283" t="str">
        <f t="shared" si="14"/>
        <v/>
      </c>
      <c r="W112" s="287" t="str">
        <f t="shared" si="15"/>
        <v/>
      </c>
      <c r="X112" s="291" t="str">
        <f t="shared" si="16"/>
        <v/>
      </c>
      <c r="Y112" s="105"/>
      <c r="Z112" s="104"/>
      <c r="AA112" s="104"/>
      <c r="AB112" s="104"/>
      <c r="AE112" s="30" t="str">
        <f>IFERROR(INDEX('G-6 Hedgerow Data'!$BJ$3:$BJ$15,MATCH(D112,'G-6 Hedgerow Data'!$B$3:$B$15,0)),"")</f>
        <v/>
      </c>
      <c r="AH112" s="107" t="str">
        <f t="shared" si="9"/>
        <v/>
      </c>
      <c r="AI112" s="107" t="str">
        <f t="shared" si="10"/>
        <v/>
      </c>
      <c r="AK112" s="107">
        <v>103</v>
      </c>
      <c r="AM112" s="107" t="str">
        <f t="array" ref="AM112">IFERROR(INDEX($AK$10:$AK$258,MATCH(0,IF(TRUE=$AH$10:$AH$258,COUNTIF($AM$9:$AM111,$AK$10:$AK$258),""),0)),"")</f>
        <v/>
      </c>
      <c r="AN112" s="107" t="str">
        <f t="array" ref="AN112">IFERROR(INDEX($AK$10:$AK$258,MATCH(0,IF(TRUE=$AI$10:$AI$258,COUNTIF($AN$9:$AN111,$AK$10:$AK$258),""),0)),"")</f>
        <v/>
      </c>
      <c r="AY112" s="283" t="str">
        <f t="shared" si="17"/>
        <v/>
      </c>
    </row>
    <row r="113" spans="2:51" ht="14">
      <c r="B113" s="97">
        <v>104</v>
      </c>
      <c r="C113" s="138"/>
      <c r="D113" s="138"/>
      <c r="E113" s="104"/>
      <c r="F113" s="275" t="str">
        <f>IF(D113="","",VLOOKUP(D113,'G-6 Hedgerow Data'!$B$2:$AG$15,2,FALSE))</f>
        <v/>
      </c>
      <c r="G113" s="276" t="str">
        <f>IF(D113="","",VLOOKUP(D113,'G-6 Hedgerow Data'!$B$2:$AG$15,3,FALSE))</f>
        <v/>
      </c>
      <c r="H113" s="101"/>
      <c r="I113" s="276" t="str">
        <f>IFERROR(IF(AND(D113&lt;&gt;"",H113=""),"Check data ⚠",(IF(H113="","",IF(AND(D113="Non-native and ornamental hedgerow",H113&lt;&gt;"Poor"),"Not possible ▲",(IF(AND(F113="V.Low",OR(H113="Good",H113="Moderate")),"Error ▲",VLOOKUP(H113,'G-1 All Habitats'!$Z$2:$AA$9,2,FALSE))))))),"")</f>
        <v/>
      </c>
      <c r="J113" s="105"/>
      <c r="K113" s="295" t="str">
        <f>IF(AND(J113="",D113&lt;&gt;""),"Check data ⚠",IF(J113="","",IF(VLOOKUP(J113,'G-3 Multipliers'!$L$3:$N$6,2,FALSE)=0,"Spatial Data Missing ⚠",VLOOKUP(J113,'G-3 Multipliers'!$L$3:$N$6,2,FALSE))))</f>
        <v/>
      </c>
      <c r="L113" s="299" t="str">
        <f>IF(J113="","",IF(VLOOKUP(J113,'G-3 Multipliers'!$L$3:$N$6,3,FALSE)=0,"Spatial Data Missing ⚠",VLOOKUP(J113,'G-3 Multipliers'!$L$3:$N$6,3,FALSE)))</f>
        <v/>
      </c>
      <c r="M113" s="336" t="str">
        <f>IF(D113="","",VLOOKUP(D113,'G-6 Hedgerow Data'!$B$1:$AH$15,33,FALSE))</f>
        <v/>
      </c>
      <c r="N113" s="289" t="str">
        <f t="shared" si="11"/>
        <v/>
      </c>
      <c r="O113" s="393"/>
      <c r="P113" s="281" t="str">
        <f>IF(O113="","",IF(VLOOKUP(O113,'G-3 Multipliers'!$S$3:$T$10,2,FALSE)=0,"Spatial Data Missing ⚠",VLOOKUP(O113,'G-3 Multipliers'!$S$3:$T$10,2,FALSE)))</f>
        <v/>
      </c>
      <c r="Q113" s="289" t="str">
        <f t="shared" si="12"/>
        <v/>
      </c>
      <c r="R113" s="32"/>
      <c r="S113" s="101"/>
      <c r="T113" s="108"/>
      <c r="U113" s="283" t="str">
        <f t="shared" si="13"/>
        <v/>
      </c>
      <c r="V113" s="283" t="str">
        <f t="shared" si="14"/>
        <v/>
      </c>
      <c r="W113" s="287" t="str">
        <f t="shared" si="15"/>
        <v/>
      </c>
      <c r="X113" s="291" t="str">
        <f t="shared" si="16"/>
        <v/>
      </c>
      <c r="Y113" s="105"/>
      <c r="Z113" s="104"/>
      <c r="AA113" s="104"/>
      <c r="AB113" s="104"/>
      <c r="AE113" s="30" t="str">
        <f>IFERROR(INDEX('G-6 Hedgerow Data'!$BJ$3:$BJ$15,MATCH(D113,'G-6 Hedgerow Data'!$B$3:$B$15,0)),"")</f>
        <v/>
      </c>
      <c r="AH113" s="107" t="str">
        <f t="shared" si="9"/>
        <v/>
      </c>
      <c r="AI113" s="107" t="str">
        <f t="shared" si="10"/>
        <v/>
      </c>
      <c r="AK113" s="107">
        <v>104</v>
      </c>
      <c r="AM113" s="107" t="str">
        <f t="array" ref="AM113">IFERROR(INDEX($AK$10:$AK$258,MATCH(0,IF(TRUE=$AH$10:$AH$258,COUNTIF($AM$9:$AM112,$AK$10:$AK$258),""),0)),"")</f>
        <v/>
      </c>
      <c r="AN113" s="107" t="str">
        <f t="array" ref="AN113">IFERROR(INDEX($AK$10:$AK$258,MATCH(0,IF(TRUE=$AI$10:$AI$258,COUNTIF($AN$9:$AN112,$AK$10:$AK$258),""),0)),"")</f>
        <v/>
      </c>
      <c r="AY113" s="283" t="str">
        <f t="shared" si="17"/>
        <v/>
      </c>
    </row>
    <row r="114" spans="2:51" ht="14">
      <c r="B114" s="97">
        <v>105</v>
      </c>
      <c r="C114" s="138"/>
      <c r="D114" s="138"/>
      <c r="E114" s="104"/>
      <c r="F114" s="275" t="str">
        <f>IF(D114="","",VLOOKUP(D114,'G-6 Hedgerow Data'!$B$2:$AG$15,2,FALSE))</f>
        <v/>
      </c>
      <c r="G114" s="276" t="str">
        <f>IF(D114="","",VLOOKUP(D114,'G-6 Hedgerow Data'!$B$2:$AG$15,3,FALSE))</f>
        <v/>
      </c>
      <c r="H114" s="101"/>
      <c r="I114" s="276" t="str">
        <f>IFERROR(IF(AND(D114&lt;&gt;"",H114=""),"Check data ⚠",(IF(H114="","",IF(AND(D114="Non-native and ornamental hedgerow",H114&lt;&gt;"Poor"),"Not possible ▲",(IF(AND(F114="V.Low",OR(H114="Good",H114="Moderate")),"Error ▲",VLOOKUP(H114,'G-1 All Habitats'!$Z$2:$AA$9,2,FALSE))))))),"")</f>
        <v/>
      </c>
      <c r="J114" s="105"/>
      <c r="K114" s="295" t="str">
        <f>IF(AND(J114="",D114&lt;&gt;""),"Check data ⚠",IF(J114="","",IF(VLOOKUP(J114,'G-3 Multipliers'!$L$3:$N$6,2,FALSE)=0,"Spatial Data Missing ⚠",VLOOKUP(J114,'G-3 Multipliers'!$L$3:$N$6,2,FALSE))))</f>
        <v/>
      </c>
      <c r="L114" s="299" t="str">
        <f>IF(J114="","",IF(VLOOKUP(J114,'G-3 Multipliers'!$L$3:$N$6,3,FALSE)=0,"Spatial Data Missing ⚠",VLOOKUP(J114,'G-3 Multipliers'!$L$3:$N$6,3,FALSE)))</f>
        <v/>
      </c>
      <c r="M114" s="336" t="str">
        <f>IF(D114="","",VLOOKUP(D114,'G-6 Hedgerow Data'!$B$1:$AH$15,33,FALSE))</f>
        <v/>
      </c>
      <c r="N114" s="289" t="str">
        <f t="shared" si="11"/>
        <v/>
      </c>
      <c r="O114" s="393"/>
      <c r="P114" s="281" t="str">
        <f>IF(O114="","",IF(VLOOKUP(O114,'G-3 Multipliers'!$S$3:$T$10,2,FALSE)=0,"Spatial Data Missing ⚠",VLOOKUP(O114,'G-3 Multipliers'!$S$3:$T$10,2,FALSE)))</f>
        <v/>
      </c>
      <c r="Q114" s="289" t="str">
        <f t="shared" si="12"/>
        <v/>
      </c>
      <c r="R114" s="32"/>
      <c r="S114" s="101"/>
      <c r="T114" s="108"/>
      <c r="U114" s="283" t="str">
        <f t="shared" si="13"/>
        <v/>
      </c>
      <c r="V114" s="283" t="str">
        <f t="shared" si="14"/>
        <v/>
      </c>
      <c r="W114" s="287" t="str">
        <f t="shared" si="15"/>
        <v/>
      </c>
      <c r="X114" s="291" t="str">
        <f t="shared" si="16"/>
        <v/>
      </c>
      <c r="Y114" s="105"/>
      <c r="Z114" s="104"/>
      <c r="AA114" s="104"/>
      <c r="AB114" s="104"/>
      <c r="AE114" s="30" t="str">
        <f>IFERROR(INDEX('G-6 Hedgerow Data'!$BJ$3:$BJ$15,MATCH(D114,'G-6 Hedgerow Data'!$B$3:$B$15,0)),"")</f>
        <v/>
      </c>
      <c r="AH114" s="107" t="str">
        <f t="shared" si="9"/>
        <v/>
      </c>
      <c r="AI114" s="107" t="str">
        <f t="shared" si="10"/>
        <v/>
      </c>
      <c r="AK114" s="107">
        <v>105</v>
      </c>
      <c r="AM114" s="107" t="str">
        <f t="array" ref="AM114">IFERROR(INDEX($AK$10:$AK$258,MATCH(0,IF(TRUE=$AH$10:$AH$258,COUNTIF($AM$9:$AM113,$AK$10:$AK$258),""),0)),"")</f>
        <v/>
      </c>
      <c r="AN114" s="107" t="str">
        <f t="array" ref="AN114">IFERROR(INDEX($AK$10:$AK$258,MATCH(0,IF(TRUE=$AI$10:$AI$258,COUNTIF($AN$9:$AN113,$AK$10:$AK$258),""),0)),"")</f>
        <v/>
      </c>
      <c r="AY114" s="283" t="str">
        <f t="shared" si="17"/>
        <v/>
      </c>
    </row>
    <row r="115" spans="2:51" ht="14">
      <c r="B115" s="97">
        <v>106</v>
      </c>
      <c r="C115" s="138"/>
      <c r="D115" s="138"/>
      <c r="E115" s="104"/>
      <c r="F115" s="275" t="str">
        <f>IF(D115="","",VLOOKUP(D115,'G-6 Hedgerow Data'!$B$2:$AG$15,2,FALSE))</f>
        <v/>
      </c>
      <c r="G115" s="276" t="str">
        <f>IF(D115="","",VLOOKUP(D115,'G-6 Hedgerow Data'!$B$2:$AG$15,3,FALSE))</f>
        <v/>
      </c>
      <c r="H115" s="101"/>
      <c r="I115" s="276" t="str">
        <f>IFERROR(IF(AND(D115&lt;&gt;"",H115=""),"Check data ⚠",(IF(H115="","",IF(AND(D115="Non-native and ornamental hedgerow",H115&lt;&gt;"Poor"),"Not possible ▲",(IF(AND(F115="V.Low",OR(H115="Good",H115="Moderate")),"Error ▲",VLOOKUP(H115,'G-1 All Habitats'!$Z$2:$AA$9,2,FALSE))))))),"")</f>
        <v/>
      </c>
      <c r="J115" s="105"/>
      <c r="K115" s="295" t="str">
        <f>IF(AND(J115="",D115&lt;&gt;""),"Check data ⚠",IF(J115="","",IF(VLOOKUP(J115,'G-3 Multipliers'!$L$3:$N$6,2,FALSE)=0,"Spatial Data Missing ⚠",VLOOKUP(J115,'G-3 Multipliers'!$L$3:$N$6,2,FALSE))))</f>
        <v/>
      </c>
      <c r="L115" s="299" t="str">
        <f>IF(J115="","",IF(VLOOKUP(J115,'G-3 Multipliers'!$L$3:$N$6,3,FALSE)=0,"Spatial Data Missing ⚠",VLOOKUP(J115,'G-3 Multipliers'!$L$3:$N$6,3,FALSE)))</f>
        <v/>
      </c>
      <c r="M115" s="336" t="str">
        <f>IF(D115="","",VLOOKUP(D115,'G-6 Hedgerow Data'!$B$1:$AH$15,33,FALSE))</f>
        <v/>
      </c>
      <c r="N115" s="289" t="str">
        <f t="shared" si="11"/>
        <v/>
      </c>
      <c r="O115" s="393"/>
      <c r="P115" s="281" t="str">
        <f>IF(O115="","",IF(VLOOKUP(O115,'G-3 Multipliers'!$S$3:$T$10,2,FALSE)=0,"Spatial Data Missing ⚠",VLOOKUP(O115,'G-3 Multipliers'!$S$3:$T$10,2,FALSE)))</f>
        <v/>
      </c>
      <c r="Q115" s="289" t="str">
        <f t="shared" si="12"/>
        <v/>
      </c>
      <c r="R115" s="32"/>
      <c r="S115" s="101"/>
      <c r="T115" s="108"/>
      <c r="U115" s="283" t="str">
        <f t="shared" si="13"/>
        <v/>
      </c>
      <c r="V115" s="283" t="str">
        <f t="shared" si="14"/>
        <v/>
      </c>
      <c r="W115" s="287" t="str">
        <f t="shared" si="15"/>
        <v/>
      </c>
      <c r="X115" s="291" t="str">
        <f t="shared" si="16"/>
        <v/>
      </c>
      <c r="Y115" s="105"/>
      <c r="Z115" s="104"/>
      <c r="AA115" s="104"/>
      <c r="AB115" s="104"/>
      <c r="AE115" s="30" t="str">
        <f>IFERROR(INDEX('G-6 Hedgerow Data'!$BJ$3:$BJ$15,MATCH(D115,'G-6 Hedgerow Data'!$B$3:$B$15,0)),"")</f>
        <v/>
      </c>
      <c r="AH115" s="107" t="str">
        <f t="shared" si="9"/>
        <v/>
      </c>
      <c r="AI115" s="107" t="str">
        <f t="shared" si="10"/>
        <v/>
      </c>
      <c r="AK115" s="107">
        <v>106</v>
      </c>
      <c r="AM115" s="107" t="str">
        <f t="array" ref="AM115">IFERROR(INDEX($AK$10:$AK$258,MATCH(0,IF(TRUE=$AH$10:$AH$258,COUNTIF($AM$9:$AM114,$AK$10:$AK$258),""),0)),"")</f>
        <v/>
      </c>
      <c r="AN115" s="107" t="str">
        <f t="array" ref="AN115">IFERROR(INDEX($AK$10:$AK$258,MATCH(0,IF(TRUE=$AI$10:$AI$258,COUNTIF($AN$9:$AN114,$AK$10:$AK$258),""),0)),"")</f>
        <v/>
      </c>
      <c r="AY115" s="283" t="str">
        <f t="shared" si="17"/>
        <v/>
      </c>
    </row>
    <row r="116" spans="2:51" ht="14">
      <c r="B116" s="97">
        <v>107</v>
      </c>
      <c r="C116" s="138"/>
      <c r="D116" s="138"/>
      <c r="E116" s="104"/>
      <c r="F116" s="275" t="str">
        <f>IF(D116="","",VLOOKUP(D116,'G-6 Hedgerow Data'!$B$2:$AG$15,2,FALSE))</f>
        <v/>
      </c>
      <c r="G116" s="276" t="str">
        <f>IF(D116="","",VLOOKUP(D116,'G-6 Hedgerow Data'!$B$2:$AG$15,3,FALSE))</f>
        <v/>
      </c>
      <c r="H116" s="101"/>
      <c r="I116" s="276" t="str">
        <f>IFERROR(IF(AND(D116&lt;&gt;"",H116=""),"Check data ⚠",(IF(H116="","",IF(AND(D116="Non-native and ornamental hedgerow",H116&lt;&gt;"Poor"),"Not possible ▲",(IF(AND(F116="V.Low",OR(H116="Good",H116="Moderate")),"Error ▲",VLOOKUP(H116,'G-1 All Habitats'!$Z$2:$AA$9,2,FALSE))))))),"")</f>
        <v/>
      </c>
      <c r="J116" s="105"/>
      <c r="K116" s="295" t="str">
        <f>IF(AND(J116="",D116&lt;&gt;""),"Check data ⚠",IF(J116="","",IF(VLOOKUP(J116,'G-3 Multipliers'!$L$3:$N$6,2,FALSE)=0,"Spatial Data Missing ⚠",VLOOKUP(J116,'G-3 Multipliers'!$L$3:$N$6,2,FALSE))))</f>
        <v/>
      </c>
      <c r="L116" s="299" t="str">
        <f>IF(J116="","",IF(VLOOKUP(J116,'G-3 Multipliers'!$L$3:$N$6,3,FALSE)=0,"Spatial Data Missing ⚠",VLOOKUP(J116,'G-3 Multipliers'!$L$3:$N$6,3,FALSE)))</f>
        <v/>
      </c>
      <c r="M116" s="336" t="str">
        <f>IF(D116="","",VLOOKUP(D116,'G-6 Hedgerow Data'!$B$1:$AH$15,33,FALSE))</f>
        <v/>
      </c>
      <c r="N116" s="289" t="str">
        <f t="shared" si="11"/>
        <v/>
      </c>
      <c r="O116" s="393"/>
      <c r="P116" s="281" t="str">
        <f>IF(O116="","",IF(VLOOKUP(O116,'G-3 Multipliers'!$S$3:$T$10,2,FALSE)=0,"Spatial Data Missing ⚠",VLOOKUP(O116,'G-3 Multipliers'!$S$3:$T$10,2,FALSE)))</f>
        <v/>
      </c>
      <c r="Q116" s="289" t="str">
        <f t="shared" si="12"/>
        <v/>
      </c>
      <c r="R116" s="32"/>
      <c r="S116" s="101"/>
      <c r="T116" s="108"/>
      <c r="U116" s="283" t="str">
        <f t="shared" si="13"/>
        <v/>
      </c>
      <c r="V116" s="283" t="str">
        <f t="shared" si="14"/>
        <v/>
      </c>
      <c r="W116" s="287" t="str">
        <f t="shared" si="15"/>
        <v/>
      </c>
      <c r="X116" s="291" t="str">
        <f t="shared" si="16"/>
        <v/>
      </c>
      <c r="Y116" s="105"/>
      <c r="Z116" s="104"/>
      <c r="AA116" s="104"/>
      <c r="AB116" s="104"/>
      <c r="AE116" s="30" t="str">
        <f>IFERROR(INDEX('G-6 Hedgerow Data'!$BJ$3:$BJ$15,MATCH(D116,'G-6 Hedgerow Data'!$B$3:$B$15,0)),"")</f>
        <v/>
      </c>
      <c r="AH116" s="107" t="str">
        <f t="shared" si="9"/>
        <v/>
      </c>
      <c r="AI116" s="107" t="str">
        <f t="shared" si="10"/>
        <v/>
      </c>
      <c r="AK116" s="107">
        <v>107</v>
      </c>
      <c r="AM116" s="107" t="str">
        <f t="array" ref="AM116">IFERROR(INDEX($AK$10:$AK$258,MATCH(0,IF(TRUE=$AH$10:$AH$258,COUNTIF($AM$9:$AM115,$AK$10:$AK$258),""),0)),"")</f>
        <v/>
      </c>
      <c r="AN116" s="107" t="str">
        <f t="array" ref="AN116">IFERROR(INDEX($AK$10:$AK$258,MATCH(0,IF(TRUE=$AI$10:$AI$258,COUNTIF($AN$9:$AN115,$AK$10:$AK$258),""),0)),"")</f>
        <v/>
      </c>
      <c r="AY116" s="283" t="str">
        <f t="shared" si="17"/>
        <v/>
      </c>
    </row>
    <row r="117" spans="2:51" ht="14">
      <c r="B117" s="97">
        <v>108</v>
      </c>
      <c r="C117" s="138"/>
      <c r="D117" s="138"/>
      <c r="E117" s="104"/>
      <c r="F117" s="275" t="str">
        <f>IF(D117="","",VLOOKUP(D117,'G-6 Hedgerow Data'!$B$2:$AG$15,2,FALSE))</f>
        <v/>
      </c>
      <c r="G117" s="276" t="str">
        <f>IF(D117="","",VLOOKUP(D117,'G-6 Hedgerow Data'!$B$2:$AG$15,3,FALSE))</f>
        <v/>
      </c>
      <c r="H117" s="101"/>
      <c r="I117" s="276" t="str">
        <f>IFERROR(IF(AND(D117&lt;&gt;"",H117=""),"Check data ⚠",(IF(H117="","",IF(AND(D117="Non-native and ornamental hedgerow",H117&lt;&gt;"Poor"),"Not possible ▲",(IF(AND(F117="V.Low",OR(H117="Good",H117="Moderate")),"Error ▲",VLOOKUP(H117,'G-1 All Habitats'!$Z$2:$AA$9,2,FALSE))))))),"")</f>
        <v/>
      </c>
      <c r="J117" s="105"/>
      <c r="K117" s="295" t="str">
        <f>IF(AND(J117="",D117&lt;&gt;""),"Check data ⚠",IF(J117="","",IF(VLOOKUP(J117,'G-3 Multipliers'!$L$3:$N$6,2,FALSE)=0,"Spatial Data Missing ⚠",VLOOKUP(J117,'G-3 Multipliers'!$L$3:$N$6,2,FALSE))))</f>
        <v/>
      </c>
      <c r="L117" s="299" t="str">
        <f>IF(J117="","",IF(VLOOKUP(J117,'G-3 Multipliers'!$L$3:$N$6,3,FALSE)=0,"Spatial Data Missing ⚠",VLOOKUP(J117,'G-3 Multipliers'!$L$3:$N$6,3,FALSE)))</f>
        <v/>
      </c>
      <c r="M117" s="336" t="str">
        <f>IF(D117="","",VLOOKUP(D117,'G-6 Hedgerow Data'!$B$1:$AH$15,33,FALSE))</f>
        <v/>
      </c>
      <c r="N117" s="289" t="str">
        <f t="shared" si="11"/>
        <v/>
      </c>
      <c r="O117" s="393"/>
      <c r="P117" s="281" t="str">
        <f>IF(O117="","",IF(VLOOKUP(O117,'G-3 Multipliers'!$S$3:$T$10,2,FALSE)=0,"Spatial Data Missing ⚠",VLOOKUP(O117,'G-3 Multipliers'!$S$3:$T$10,2,FALSE)))</f>
        <v/>
      </c>
      <c r="Q117" s="289" t="str">
        <f t="shared" si="12"/>
        <v/>
      </c>
      <c r="R117" s="32"/>
      <c r="S117" s="101"/>
      <c r="T117" s="108"/>
      <c r="U117" s="283" t="str">
        <f t="shared" si="13"/>
        <v/>
      </c>
      <c r="V117" s="283" t="str">
        <f t="shared" si="14"/>
        <v/>
      </c>
      <c r="W117" s="287" t="str">
        <f t="shared" si="15"/>
        <v/>
      </c>
      <c r="X117" s="291" t="str">
        <f t="shared" si="16"/>
        <v/>
      </c>
      <c r="Y117" s="105"/>
      <c r="Z117" s="104"/>
      <c r="AA117" s="104"/>
      <c r="AB117" s="104"/>
      <c r="AE117" s="30" t="str">
        <f>IFERROR(INDEX('G-6 Hedgerow Data'!$BJ$3:$BJ$15,MATCH(D117,'G-6 Hedgerow Data'!$B$3:$B$15,0)),"")</f>
        <v/>
      </c>
      <c r="AH117" s="107" t="str">
        <f t="shared" si="9"/>
        <v/>
      </c>
      <c r="AI117" s="107" t="str">
        <f t="shared" si="10"/>
        <v/>
      </c>
      <c r="AK117" s="107">
        <v>108</v>
      </c>
      <c r="AM117" s="107" t="str">
        <f t="array" ref="AM117">IFERROR(INDEX($AK$10:$AK$258,MATCH(0,IF(TRUE=$AH$10:$AH$258,COUNTIF($AM$9:$AM116,$AK$10:$AK$258),""),0)),"")</f>
        <v/>
      </c>
      <c r="AN117" s="107" t="str">
        <f t="array" ref="AN117">IFERROR(INDEX($AK$10:$AK$258,MATCH(0,IF(TRUE=$AI$10:$AI$258,COUNTIF($AN$9:$AN116,$AK$10:$AK$258),""),0)),"")</f>
        <v/>
      </c>
      <c r="AY117" s="283" t="str">
        <f t="shared" si="17"/>
        <v/>
      </c>
    </row>
    <row r="118" spans="2:51" ht="14">
      <c r="B118" s="97">
        <v>109</v>
      </c>
      <c r="C118" s="138"/>
      <c r="D118" s="138"/>
      <c r="E118" s="104"/>
      <c r="F118" s="275" t="str">
        <f>IF(D118="","",VLOOKUP(D118,'G-6 Hedgerow Data'!$B$2:$AG$15,2,FALSE))</f>
        <v/>
      </c>
      <c r="G118" s="276" t="str">
        <f>IF(D118="","",VLOOKUP(D118,'G-6 Hedgerow Data'!$B$2:$AG$15,3,FALSE))</f>
        <v/>
      </c>
      <c r="H118" s="101"/>
      <c r="I118" s="276" t="str">
        <f>IFERROR(IF(AND(D118&lt;&gt;"",H118=""),"Check data ⚠",(IF(H118="","",IF(AND(D118="Non-native and ornamental hedgerow",H118&lt;&gt;"Poor"),"Not possible ▲",(IF(AND(F118="V.Low",OR(H118="Good",H118="Moderate")),"Error ▲",VLOOKUP(H118,'G-1 All Habitats'!$Z$2:$AA$9,2,FALSE))))))),"")</f>
        <v/>
      </c>
      <c r="J118" s="105"/>
      <c r="K118" s="295" t="str">
        <f>IF(AND(J118="",D118&lt;&gt;""),"Check data ⚠",IF(J118="","",IF(VLOOKUP(J118,'G-3 Multipliers'!$L$3:$N$6,2,FALSE)=0,"Spatial Data Missing ⚠",VLOOKUP(J118,'G-3 Multipliers'!$L$3:$N$6,2,FALSE))))</f>
        <v/>
      </c>
      <c r="L118" s="299" t="str">
        <f>IF(J118="","",IF(VLOOKUP(J118,'G-3 Multipliers'!$L$3:$N$6,3,FALSE)=0,"Spatial Data Missing ⚠",VLOOKUP(J118,'G-3 Multipliers'!$L$3:$N$6,3,FALSE)))</f>
        <v/>
      </c>
      <c r="M118" s="336" t="str">
        <f>IF(D118="","",VLOOKUP(D118,'G-6 Hedgerow Data'!$B$1:$AH$15,33,FALSE))</f>
        <v/>
      </c>
      <c r="N118" s="289" t="str">
        <f t="shared" si="11"/>
        <v/>
      </c>
      <c r="O118" s="393"/>
      <c r="P118" s="281" t="str">
        <f>IF(O118="","",IF(VLOOKUP(O118,'G-3 Multipliers'!$S$3:$T$10,2,FALSE)=0,"Spatial Data Missing ⚠",VLOOKUP(O118,'G-3 Multipliers'!$S$3:$T$10,2,FALSE)))</f>
        <v/>
      </c>
      <c r="Q118" s="289" t="str">
        <f t="shared" si="12"/>
        <v/>
      </c>
      <c r="R118" s="32"/>
      <c r="S118" s="101"/>
      <c r="T118" s="108"/>
      <c r="U118" s="283" t="str">
        <f t="shared" si="13"/>
        <v/>
      </c>
      <c r="V118" s="283" t="str">
        <f t="shared" si="14"/>
        <v/>
      </c>
      <c r="W118" s="287" t="str">
        <f t="shared" si="15"/>
        <v/>
      </c>
      <c r="X118" s="291" t="str">
        <f t="shared" si="16"/>
        <v/>
      </c>
      <c r="Y118" s="105"/>
      <c r="Z118" s="104"/>
      <c r="AA118" s="104"/>
      <c r="AB118" s="104"/>
      <c r="AE118" s="30" t="str">
        <f>IFERROR(INDEX('G-6 Hedgerow Data'!$BJ$3:$BJ$15,MATCH(D118,'G-6 Hedgerow Data'!$B$3:$B$15,0)),"")</f>
        <v/>
      </c>
      <c r="AH118" s="107" t="str">
        <f t="shared" si="9"/>
        <v/>
      </c>
      <c r="AI118" s="107" t="str">
        <f t="shared" si="10"/>
        <v/>
      </c>
      <c r="AK118" s="107">
        <v>109</v>
      </c>
      <c r="AM118" s="107" t="str">
        <f t="array" ref="AM118">IFERROR(INDEX($AK$10:$AK$258,MATCH(0,IF(TRUE=$AH$10:$AH$258,COUNTIF($AM$9:$AM117,$AK$10:$AK$258),""),0)),"")</f>
        <v/>
      </c>
      <c r="AN118" s="107" t="str">
        <f t="array" ref="AN118">IFERROR(INDEX($AK$10:$AK$258,MATCH(0,IF(TRUE=$AI$10:$AI$258,COUNTIF($AN$9:$AN117,$AK$10:$AK$258),""),0)),"")</f>
        <v/>
      </c>
      <c r="AY118" s="283" t="str">
        <f t="shared" si="17"/>
        <v/>
      </c>
    </row>
    <row r="119" spans="2:51" ht="14">
      <c r="B119" s="97">
        <v>110</v>
      </c>
      <c r="C119" s="138"/>
      <c r="D119" s="138"/>
      <c r="E119" s="104"/>
      <c r="F119" s="275" t="str">
        <f>IF(D119="","",VLOOKUP(D119,'G-6 Hedgerow Data'!$B$2:$AG$15,2,FALSE))</f>
        <v/>
      </c>
      <c r="G119" s="276" t="str">
        <f>IF(D119="","",VLOOKUP(D119,'G-6 Hedgerow Data'!$B$2:$AG$15,3,FALSE))</f>
        <v/>
      </c>
      <c r="H119" s="101"/>
      <c r="I119" s="276" t="str">
        <f>IFERROR(IF(AND(D119&lt;&gt;"",H119=""),"Check data ⚠",(IF(H119="","",IF(AND(D119="Non-native and ornamental hedgerow",H119&lt;&gt;"Poor"),"Not possible ▲",(IF(AND(F119="V.Low",OR(H119="Good",H119="Moderate")),"Error ▲",VLOOKUP(H119,'G-1 All Habitats'!$Z$2:$AA$9,2,FALSE))))))),"")</f>
        <v/>
      </c>
      <c r="J119" s="105"/>
      <c r="K119" s="295" t="str">
        <f>IF(AND(J119="",D119&lt;&gt;""),"Check data ⚠",IF(J119="","",IF(VLOOKUP(J119,'G-3 Multipliers'!$L$3:$N$6,2,FALSE)=0,"Spatial Data Missing ⚠",VLOOKUP(J119,'G-3 Multipliers'!$L$3:$N$6,2,FALSE))))</f>
        <v/>
      </c>
      <c r="L119" s="299" t="str">
        <f>IF(J119="","",IF(VLOOKUP(J119,'G-3 Multipliers'!$L$3:$N$6,3,FALSE)=0,"Spatial Data Missing ⚠",VLOOKUP(J119,'G-3 Multipliers'!$L$3:$N$6,3,FALSE)))</f>
        <v/>
      </c>
      <c r="M119" s="336" t="str">
        <f>IF(D119="","",VLOOKUP(D119,'G-6 Hedgerow Data'!$B$1:$AH$15,33,FALSE))</f>
        <v/>
      </c>
      <c r="N119" s="289" t="str">
        <f t="shared" si="11"/>
        <v/>
      </c>
      <c r="O119" s="393"/>
      <c r="P119" s="281" t="str">
        <f>IF(O119="","",IF(VLOOKUP(O119,'G-3 Multipliers'!$S$3:$T$10,2,FALSE)=0,"Spatial Data Missing ⚠",VLOOKUP(O119,'G-3 Multipliers'!$S$3:$T$10,2,FALSE)))</f>
        <v/>
      </c>
      <c r="Q119" s="289" t="str">
        <f t="shared" si="12"/>
        <v/>
      </c>
      <c r="R119" s="32"/>
      <c r="S119" s="101"/>
      <c r="T119" s="108"/>
      <c r="U119" s="283" t="str">
        <f t="shared" si="13"/>
        <v/>
      </c>
      <c r="V119" s="283" t="str">
        <f t="shared" si="14"/>
        <v/>
      </c>
      <c r="W119" s="287" t="str">
        <f t="shared" si="15"/>
        <v/>
      </c>
      <c r="X119" s="291" t="str">
        <f t="shared" si="16"/>
        <v/>
      </c>
      <c r="Y119" s="105"/>
      <c r="Z119" s="104"/>
      <c r="AA119" s="104"/>
      <c r="AB119" s="104"/>
      <c r="AE119" s="30" t="str">
        <f>IFERROR(INDEX('G-6 Hedgerow Data'!$BJ$3:$BJ$15,MATCH(D119,'G-6 Hedgerow Data'!$B$3:$B$15,0)),"")</f>
        <v/>
      </c>
      <c r="AH119" s="107" t="str">
        <f t="shared" si="9"/>
        <v/>
      </c>
      <c r="AI119" s="107" t="str">
        <f t="shared" si="10"/>
        <v/>
      </c>
      <c r="AK119" s="107">
        <v>110</v>
      </c>
      <c r="AM119" s="107" t="str">
        <f t="array" ref="AM119">IFERROR(INDEX($AK$10:$AK$258,MATCH(0,IF(TRUE=$AH$10:$AH$258,COUNTIF($AM$9:$AM118,$AK$10:$AK$258),""),0)),"")</f>
        <v/>
      </c>
      <c r="AN119" s="107" t="str">
        <f t="array" ref="AN119">IFERROR(INDEX($AK$10:$AK$258,MATCH(0,IF(TRUE=$AI$10:$AI$258,COUNTIF($AN$9:$AN118,$AK$10:$AK$258),""),0)),"")</f>
        <v/>
      </c>
      <c r="AY119" s="283" t="str">
        <f t="shared" si="17"/>
        <v/>
      </c>
    </row>
    <row r="120" spans="2:51" ht="14">
      <c r="B120" s="97">
        <v>111</v>
      </c>
      <c r="C120" s="138"/>
      <c r="D120" s="138"/>
      <c r="E120" s="104"/>
      <c r="F120" s="275" t="str">
        <f>IF(D120="","",VLOOKUP(D120,'G-6 Hedgerow Data'!$B$2:$AG$15,2,FALSE))</f>
        <v/>
      </c>
      <c r="G120" s="276" t="str">
        <f>IF(D120="","",VLOOKUP(D120,'G-6 Hedgerow Data'!$B$2:$AG$15,3,FALSE))</f>
        <v/>
      </c>
      <c r="H120" s="101"/>
      <c r="I120" s="276" t="str">
        <f>IFERROR(IF(AND(D120&lt;&gt;"",H120=""),"Check data ⚠",(IF(H120="","",IF(AND(D120="Non-native and ornamental hedgerow",H120&lt;&gt;"Poor"),"Not possible ▲",(IF(AND(F120="V.Low",OR(H120="Good",H120="Moderate")),"Error ▲",VLOOKUP(H120,'G-1 All Habitats'!$Z$2:$AA$9,2,FALSE))))))),"")</f>
        <v/>
      </c>
      <c r="J120" s="105"/>
      <c r="K120" s="295" t="str">
        <f>IF(AND(J120="",D120&lt;&gt;""),"Check data ⚠",IF(J120="","",IF(VLOOKUP(J120,'G-3 Multipliers'!$L$3:$N$6,2,FALSE)=0,"Spatial Data Missing ⚠",VLOOKUP(J120,'G-3 Multipliers'!$L$3:$N$6,2,FALSE))))</f>
        <v/>
      </c>
      <c r="L120" s="299" t="str">
        <f>IF(J120="","",IF(VLOOKUP(J120,'G-3 Multipliers'!$L$3:$N$6,3,FALSE)=0,"Spatial Data Missing ⚠",VLOOKUP(J120,'G-3 Multipliers'!$L$3:$N$6,3,FALSE)))</f>
        <v/>
      </c>
      <c r="M120" s="336" t="str">
        <f>IF(D120="","",VLOOKUP(D120,'G-6 Hedgerow Data'!$B$1:$AH$15,33,FALSE))</f>
        <v/>
      </c>
      <c r="N120" s="289" t="str">
        <f t="shared" si="11"/>
        <v/>
      </c>
      <c r="O120" s="393"/>
      <c r="P120" s="281" t="str">
        <f>IF(O120="","",IF(VLOOKUP(O120,'G-3 Multipliers'!$S$3:$T$10,2,FALSE)=0,"Spatial Data Missing ⚠",VLOOKUP(O120,'G-3 Multipliers'!$S$3:$T$10,2,FALSE)))</f>
        <v/>
      </c>
      <c r="Q120" s="289" t="str">
        <f t="shared" si="12"/>
        <v/>
      </c>
      <c r="R120" s="32"/>
      <c r="S120" s="101"/>
      <c r="T120" s="108"/>
      <c r="U120" s="283" t="str">
        <f t="shared" si="13"/>
        <v/>
      </c>
      <c r="V120" s="283" t="str">
        <f t="shared" si="14"/>
        <v/>
      </c>
      <c r="W120" s="287" t="str">
        <f t="shared" si="15"/>
        <v/>
      </c>
      <c r="X120" s="291" t="str">
        <f t="shared" si="16"/>
        <v/>
      </c>
      <c r="Y120" s="105"/>
      <c r="Z120" s="104"/>
      <c r="AA120" s="104"/>
      <c r="AB120" s="104"/>
      <c r="AE120" s="30" t="str">
        <f>IFERROR(INDEX('G-6 Hedgerow Data'!$BJ$3:$BJ$15,MATCH(D120,'G-6 Hedgerow Data'!$B$3:$B$15,0)),"")</f>
        <v/>
      </c>
      <c r="AH120" s="107" t="str">
        <f t="shared" si="9"/>
        <v/>
      </c>
      <c r="AI120" s="107" t="str">
        <f t="shared" si="10"/>
        <v/>
      </c>
      <c r="AK120" s="107">
        <v>111</v>
      </c>
      <c r="AM120" s="107" t="str">
        <f t="array" ref="AM120">IFERROR(INDEX($AK$10:$AK$258,MATCH(0,IF(TRUE=$AH$10:$AH$258,COUNTIF($AM$9:$AM119,$AK$10:$AK$258),""),0)),"")</f>
        <v/>
      </c>
      <c r="AN120" s="107" t="str">
        <f t="array" ref="AN120">IFERROR(INDEX($AK$10:$AK$258,MATCH(0,IF(TRUE=$AI$10:$AI$258,COUNTIF($AN$9:$AN119,$AK$10:$AK$258),""),0)),"")</f>
        <v/>
      </c>
      <c r="AY120" s="283" t="str">
        <f t="shared" si="17"/>
        <v/>
      </c>
    </row>
    <row r="121" spans="2:51" ht="14">
      <c r="B121" s="97">
        <v>112</v>
      </c>
      <c r="C121" s="138"/>
      <c r="D121" s="138"/>
      <c r="E121" s="104"/>
      <c r="F121" s="275" t="str">
        <f>IF(D121="","",VLOOKUP(D121,'G-6 Hedgerow Data'!$B$2:$AG$15,2,FALSE))</f>
        <v/>
      </c>
      <c r="G121" s="276" t="str">
        <f>IF(D121="","",VLOOKUP(D121,'G-6 Hedgerow Data'!$B$2:$AG$15,3,FALSE))</f>
        <v/>
      </c>
      <c r="H121" s="101"/>
      <c r="I121" s="276" t="str">
        <f>IFERROR(IF(AND(D121&lt;&gt;"",H121=""),"Check data ⚠",(IF(H121="","",IF(AND(D121="Non-native and ornamental hedgerow",H121&lt;&gt;"Poor"),"Not possible ▲",(IF(AND(F121="V.Low",OR(H121="Good",H121="Moderate")),"Error ▲",VLOOKUP(H121,'G-1 All Habitats'!$Z$2:$AA$9,2,FALSE))))))),"")</f>
        <v/>
      </c>
      <c r="J121" s="105"/>
      <c r="K121" s="295" t="str">
        <f>IF(AND(J121="",D121&lt;&gt;""),"Check data ⚠",IF(J121="","",IF(VLOOKUP(J121,'G-3 Multipliers'!$L$3:$N$6,2,FALSE)=0,"Spatial Data Missing ⚠",VLOOKUP(J121,'G-3 Multipliers'!$L$3:$N$6,2,FALSE))))</f>
        <v/>
      </c>
      <c r="L121" s="299" t="str">
        <f>IF(J121="","",IF(VLOOKUP(J121,'G-3 Multipliers'!$L$3:$N$6,3,FALSE)=0,"Spatial Data Missing ⚠",VLOOKUP(J121,'G-3 Multipliers'!$L$3:$N$6,3,FALSE)))</f>
        <v/>
      </c>
      <c r="M121" s="336" t="str">
        <f>IF(D121="","",VLOOKUP(D121,'G-6 Hedgerow Data'!$B$1:$AH$15,33,FALSE))</f>
        <v/>
      </c>
      <c r="N121" s="289" t="str">
        <f t="shared" si="11"/>
        <v/>
      </c>
      <c r="O121" s="393"/>
      <c r="P121" s="281" t="str">
        <f>IF(O121="","",IF(VLOOKUP(O121,'G-3 Multipliers'!$S$3:$T$10,2,FALSE)=0,"Spatial Data Missing ⚠",VLOOKUP(O121,'G-3 Multipliers'!$S$3:$T$10,2,FALSE)))</f>
        <v/>
      </c>
      <c r="Q121" s="289" t="str">
        <f t="shared" si="12"/>
        <v/>
      </c>
      <c r="R121" s="32"/>
      <c r="S121" s="101"/>
      <c r="T121" s="108"/>
      <c r="U121" s="283" t="str">
        <f t="shared" si="13"/>
        <v/>
      </c>
      <c r="V121" s="283" t="str">
        <f t="shared" si="14"/>
        <v/>
      </c>
      <c r="W121" s="287" t="str">
        <f t="shared" si="15"/>
        <v/>
      </c>
      <c r="X121" s="291" t="str">
        <f t="shared" si="16"/>
        <v/>
      </c>
      <c r="Y121" s="105"/>
      <c r="Z121" s="104"/>
      <c r="AA121" s="104"/>
      <c r="AB121" s="104"/>
      <c r="AE121" s="30" t="str">
        <f>IFERROR(INDEX('G-6 Hedgerow Data'!$BJ$3:$BJ$15,MATCH(D121,'G-6 Hedgerow Data'!$B$3:$B$15,0)),"")</f>
        <v/>
      </c>
      <c r="AH121" s="107" t="str">
        <f t="shared" si="9"/>
        <v/>
      </c>
      <c r="AI121" s="107" t="str">
        <f t="shared" si="10"/>
        <v/>
      </c>
      <c r="AK121" s="107">
        <v>112</v>
      </c>
      <c r="AM121" s="107" t="str">
        <f t="array" ref="AM121">IFERROR(INDEX($AK$10:$AK$258,MATCH(0,IF(TRUE=$AH$10:$AH$258,COUNTIF($AM$9:$AM120,$AK$10:$AK$258),""),0)),"")</f>
        <v/>
      </c>
      <c r="AN121" s="107" t="str">
        <f t="array" ref="AN121">IFERROR(INDEX($AK$10:$AK$258,MATCH(0,IF(TRUE=$AI$10:$AI$258,COUNTIF($AN$9:$AN120,$AK$10:$AK$258),""),0)),"")</f>
        <v/>
      </c>
      <c r="AY121" s="283" t="str">
        <f t="shared" si="17"/>
        <v/>
      </c>
    </row>
    <row r="122" spans="2:51" ht="14">
      <c r="B122" s="97">
        <v>113</v>
      </c>
      <c r="C122" s="138"/>
      <c r="D122" s="138"/>
      <c r="E122" s="104"/>
      <c r="F122" s="275" t="str">
        <f>IF(D122="","",VLOOKUP(D122,'G-6 Hedgerow Data'!$B$2:$AG$15,2,FALSE))</f>
        <v/>
      </c>
      <c r="G122" s="276" t="str">
        <f>IF(D122="","",VLOOKUP(D122,'G-6 Hedgerow Data'!$B$2:$AG$15,3,FALSE))</f>
        <v/>
      </c>
      <c r="H122" s="101"/>
      <c r="I122" s="276" t="str">
        <f>IFERROR(IF(AND(D122&lt;&gt;"",H122=""),"Check data ⚠",(IF(H122="","",IF(AND(D122="Non-native and ornamental hedgerow",H122&lt;&gt;"Poor"),"Not possible ▲",(IF(AND(F122="V.Low",OR(H122="Good",H122="Moderate")),"Error ▲",VLOOKUP(H122,'G-1 All Habitats'!$Z$2:$AA$9,2,FALSE))))))),"")</f>
        <v/>
      </c>
      <c r="J122" s="105"/>
      <c r="K122" s="295" t="str">
        <f>IF(AND(J122="",D122&lt;&gt;""),"Check data ⚠",IF(J122="","",IF(VLOOKUP(J122,'G-3 Multipliers'!$L$3:$N$6,2,FALSE)=0,"Spatial Data Missing ⚠",VLOOKUP(J122,'G-3 Multipliers'!$L$3:$N$6,2,FALSE))))</f>
        <v/>
      </c>
      <c r="L122" s="299" t="str">
        <f>IF(J122="","",IF(VLOOKUP(J122,'G-3 Multipliers'!$L$3:$N$6,3,FALSE)=0,"Spatial Data Missing ⚠",VLOOKUP(J122,'G-3 Multipliers'!$L$3:$N$6,3,FALSE)))</f>
        <v/>
      </c>
      <c r="M122" s="336" t="str">
        <f>IF(D122="","",VLOOKUP(D122,'G-6 Hedgerow Data'!$B$1:$AH$15,33,FALSE))</f>
        <v/>
      </c>
      <c r="N122" s="289" t="str">
        <f t="shared" si="11"/>
        <v/>
      </c>
      <c r="O122" s="393"/>
      <c r="P122" s="281" t="str">
        <f>IF(O122="","",IF(VLOOKUP(O122,'G-3 Multipliers'!$S$3:$T$10,2,FALSE)=0,"Spatial Data Missing ⚠",VLOOKUP(O122,'G-3 Multipliers'!$S$3:$T$10,2,FALSE)))</f>
        <v/>
      </c>
      <c r="Q122" s="289" t="str">
        <f t="shared" si="12"/>
        <v/>
      </c>
      <c r="R122" s="32"/>
      <c r="S122" s="101"/>
      <c r="T122" s="108"/>
      <c r="U122" s="283" t="str">
        <f t="shared" si="13"/>
        <v/>
      </c>
      <c r="V122" s="283" t="str">
        <f t="shared" si="14"/>
        <v/>
      </c>
      <c r="W122" s="287" t="str">
        <f t="shared" si="15"/>
        <v/>
      </c>
      <c r="X122" s="291" t="str">
        <f t="shared" si="16"/>
        <v/>
      </c>
      <c r="Y122" s="105"/>
      <c r="Z122" s="104"/>
      <c r="AA122" s="104"/>
      <c r="AB122" s="104"/>
      <c r="AE122" s="30" t="str">
        <f>IFERROR(INDEX('G-6 Hedgerow Data'!$BJ$3:$BJ$15,MATCH(D122,'G-6 Hedgerow Data'!$B$3:$B$15,0)),"")</f>
        <v/>
      </c>
      <c r="AH122" s="107" t="str">
        <f t="shared" si="9"/>
        <v/>
      </c>
      <c r="AI122" s="107" t="str">
        <f t="shared" si="10"/>
        <v/>
      </c>
      <c r="AK122" s="107">
        <v>113</v>
      </c>
      <c r="AM122" s="107" t="str">
        <f t="array" ref="AM122">IFERROR(INDEX($AK$10:$AK$258,MATCH(0,IF(TRUE=$AH$10:$AH$258,COUNTIF($AM$9:$AM121,$AK$10:$AK$258),""),0)),"")</f>
        <v/>
      </c>
      <c r="AN122" s="107" t="str">
        <f t="array" ref="AN122">IFERROR(INDEX($AK$10:$AK$258,MATCH(0,IF(TRUE=$AI$10:$AI$258,COUNTIF($AN$9:$AN121,$AK$10:$AK$258),""),0)),"")</f>
        <v/>
      </c>
      <c r="AY122" s="283" t="str">
        <f t="shared" si="17"/>
        <v/>
      </c>
    </row>
    <row r="123" spans="2:51" ht="14">
      <c r="B123" s="97">
        <v>114</v>
      </c>
      <c r="C123" s="138"/>
      <c r="D123" s="138"/>
      <c r="E123" s="104"/>
      <c r="F123" s="275" t="str">
        <f>IF(D123="","",VLOOKUP(D123,'G-6 Hedgerow Data'!$B$2:$AG$15,2,FALSE))</f>
        <v/>
      </c>
      <c r="G123" s="276" t="str">
        <f>IF(D123="","",VLOOKUP(D123,'G-6 Hedgerow Data'!$B$2:$AG$15,3,FALSE))</f>
        <v/>
      </c>
      <c r="H123" s="101"/>
      <c r="I123" s="276" t="str">
        <f>IFERROR(IF(AND(D123&lt;&gt;"",H123=""),"Check data ⚠",(IF(H123="","",IF(AND(D123="Non-native and ornamental hedgerow",H123&lt;&gt;"Poor"),"Not possible ▲",(IF(AND(F123="V.Low",OR(H123="Good",H123="Moderate")),"Error ▲",VLOOKUP(H123,'G-1 All Habitats'!$Z$2:$AA$9,2,FALSE))))))),"")</f>
        <v/>
      </c>
      <c r="J123" s="105"/>
      <c r="K123" s="295" t="str">
        <f>IF(AND(J123="",D123&lt;&gt;""),"Check data ⚠",IF(J123="","",IF(VLOOKUP(J123,'G-3 Multipliers'!$L$3:$N$6,2,FALSE)=0,"Spatial Data Missing ⚠",VLOOKUP(J123,'G-3 Multipliers'!$L$3:$N$6,2,FALSE))))</f>
        <v/>
      </c>
      <c r="L123" s="299" t="str">
        <f>IF(J123="","",IF(VLOOKUP(J123,'G-3 Multipliers'!$L$3:$N$6,3,FALSE)=0,"Spatial Data Missing ⚠",VLOOKUP(J123,'G-3 Multipliers'!$L$3:$N$6,3,FALSE)))</f>
        <v/>
      </c>
      <c r="M123" s="336" t="str">
        <f>IF(D123="","",VLOOKUP(D123,'G-6 Hedgerow Data'!$B$1:$AH$15,33,FALSE))</f>
        <v/>
      </c>
      <c r="N123" s="289" t="str">
        <f t="shared" si="11"/>
        <v/>
      </c>
      <c r="O123" s="393"/>
      <c r="P123" s="281" t="str">
        <f>IF(O123="","",IF(VLOOKUP(O123,'G-3 Multipliers'!$S$3:$T$10,2,FALSE)=0,"Spatial Data Missing ⚠",VLOOKUP(O123,'G-3 Multipliers'!$S$3:$T$10,2,FALSE)))</f>
        <v/>
      </c>
      <c r="Q123" s="289" t="str">
        <f t="shared" si="12"/>
        <v/>
      </c>
      <c r="R123" s="32"/>
      <c r="S123" s="101"/>
      <c r="T123" s="108"/>
      <c r="U123" s="283" t="str">
        <f t="shared" si="13"/>
        <v/>
      </c>
      <c r="V123" s="283" t="str">
        <f t="shared" si="14"/>
        <v/>
      </c>
      <c r="W123" s="287" t="str">
        <f t="shared" si="15"/>
        <v/>
      </c>
      <c r="X123" s="291" t="str">
        <f t="shared" si="16"/>
        <v/>
      </c>
      <c r="Y123" s="105"/>
      <c r="Z123" s="104"/>
      <c r="AA123" s="104"/>
      <c r="AB123" s="104"/>
      <c r="AE123" s="30" t="str">
        <f>IFERROR(INDEX('G-6 Hedgerow Data'!$BJ$3:$BJ$15,MATCH(D123,'G-6 Hedgerow Data'!$B$3:$B$15,0)),"")</f>
        <v/>
      </c>
      <c r="AH123" s="107" t="str">
        <f t="shared" si="9"/>
        <v/>
      </c>
      <c r="AI123" s="107" t="str">
        <f t="shared" si="10"/>
        <v/>
      </c>
      <c r="AK123" s="107">
        <v>114</v>
      </c>
      <c r="AM123" s="107" t="str">
        <f t="array" ref="AM123">IFERROR(INDEX($AK$10:$AK$258,MATCH(0,IF(TRUE=$AH$10:$AH$258,COUNTIF($AM$9:$AM122,$AK$10:$AK$258),""),0)),"")</f>
        <v/>
      </c>
      <c r="AN123" s="107" t="str">
        <f t="array" ref="AN123">IFERROR(INDEX($AK$10:$AK$258,MATCH(0,IF(TRUE=$AI$10:$AI$258,COUNTIF($AN$9:$AN122,$AK$10:$AK$258),""),0)),"")</f>
        <v/>
      </c>
      <c r="AY123" s="283" t="str">
        <f t="shared" si="17"/>
        <v/>
      </c>
    </row>
    <row r="124" spans="2:51" ht="14">
      <c r="B124" s="97">
        <v>115</v>
      </c>
      <c r="C124" s="138"/>
      <c r="D124" s="138"/>
      <c r="E124" s="104"/>
      <c r="F124" s="275" t="str">
        <f>IF(D124="","",VLOOKUP(D124,'G-6 Hedgerow Data'!$B$2:$AG$15,2,FALSE))</f>
        <v/>
      </c>
      <c r="G124" s="276" t="str">
        <f>IF(D124="","",VLOOKUP(D124,'G-6 Hedgerow Data'!$B$2:$AG$15,3,FALSE))</f>
        <v/>
      </c>
      <c r="H124" s="101"/>
      <c r="I124" s="276" t="str">
        <f>IFERROR(IF(AND(D124&lt;&gt;"",H124=""),"Check data ⚠",(IF(H124="","",IF(AND(D124="Non-native and ornamental hedgerow",H124&lt;&gt;"Poor"),"Not possible ▲",(IF(AND(F124="V.Low",OR(H124="Good",H124="Moderate")),"Error ▲",VLOOKUP(H124,'G-1 All Habitats'!$Z$2:$AA$9,2,FALSE))))))),"")</f>
        <v/>
      </c>
      <c r="J124" s="105"/>
      <c r="K124" s="295" t="str">
        <f>IF(AND(J124="",D124&lt;&gt;""),"Check data ⚠",IF(J124="","",IF(VLOOKUP(J124,'G-3 Multipliers'!$L$3:$N$6,2,FALSE)=0,"Spatial Data Missing ⚠",VLOOKUP(J124,'G-3 Multipliers'!$L$3:$N$6,2,FALSE))))</f>
        <v/>
      </c>
      <c r="L124" s="299" t="str">
        <f>IF(J124="","",IF(VLOOKUP(J124,'G-3 Multipliers'!$L$3:$N$6,3,FALSE)=0,"Spatial Data Missing ⚠",VLOOKUP(J124,'G-3 Multipliers'!$L$3:$N$6,3,FALSE)))</f>
        <v/>
      </c>
      <c r="M124" s="336" t="str">
        <f>IF(D124="","",VLOOKUP(D124,'G-6 Hedgerow Data'!$B$1:$AH$15,33,FALSE))</f>
        <v/>
      </c>
      <c r="N124" s="289" t="str">
        <f t="shared" si="11"/>
        <v/>
      </c>
      <c r="O124" s="393"/>
      <c r="P124" s="281" t="str">
        <f>IF(O124="","",IF(VLOOKUP(O124,'G-3 Multipliers'!$S$3:$T$10,2,FALSE)=0,"Spatial Data Missing ⚠",VLOOKUP(O124,'G-3 Multipliers'!$S$3:$T$10,2,FALSE)))</f>
        <v/>
      </c>
      <c r="Q124" s="289" t="str">
        <f t="shared" si="12"/>
        <v/>
      </c>
      <c r="R124" s="32"/>
      <c r="S124" s="101"/>
      <c r="T124" s="108"/>
      <c r="U124" s="283" t="str">
        <f t="shared" si="13"/>
        <v/>
      </c>
      <c r="V124" s="283" t="str">
        <f t="shared" si="14"/>
        <v/>
      </c>
      <c r="W124" s="287" t="str">
        <f t="shared" si="15"/>
        <v/>
      </c>
      <c r="X124" s="291" t="str">
        <f t="shared" si="16"/>
        <v/>
      </c>
      <c r="Y124" s="105"/>
      <c r="Z124" s="104"/>
      <c r="AA124" s="104"/>
      <c r="AB124" s="104"/>
      <c r="AE124" s="30" t="str">
        <f>IFERROR(INDEX('G-6 Hedgerow Data'!$BJ$3:$BJ$15,MATCH(D124,'G-6 Hedgerow Data'!$B$3:$B$15,0)),"")</f>
        <v/>
      </c>
      <c r="AH124" s="107" t="str">
        <f t="shared" si="9"/>
        <v/>
      </c>
      <c r="AI124" s="107" t="str">
        <f t="shared" si="10"/>
        <v/>
      </c>
      <c r="AK124" s="107">
        <v>115</v>
      </c>
      <c r="AM124" s="107" t="str">
        <f t="array" ref="AM124">IFERROR(INDEX($AK$10:$AK$258,MATCH(0,IF(TRUE=$AH$10:$AH$258,COUNTIF($AM$9:$AM123,$AK$10:$AK$258),""),0)),"")</f>
        <v/>
      </c>
      <c r="AN124" s="107" t="str">
        <f t="array" ref="AN124">IFERROR(INDEX($AK$10:$AK$258,MATCH(0,IF(TRUE=$AI$10:$AI$258,COUNTIF($AN$9:$AN123,$AK$10:$AK$258),""),0)),"")</f>
        <v/>
      </c>
      <c r="AY124" s="283" t="str">
        <f t="shared" si="17"/>
        <v/>
      </c>
    </row>
    <row r="125" spans="2:51" ht="14">
      <c r="B125" s="97">
        <v>116</v>
      </c>
      <c r="C125" s="138"/>
      <c r="D125" s="138"/>
      <c r="E125" s="104"/>
      <c r="F125" s="275" t="str">
        <f>IF(D125="","",VLOOKUP(D125,'G-6 Hedgerow Data'!$B$2:$AG$15,2,FALSE))</f>
        <v/>
      </c>
      <c r="G125" s="276" t="str">
        <f>IF(D125="","",VLOOKUP(D125,'G-6 Hedgerow Data'!$B$2:$AG$15,3,FALSE))</f>
        <v/>
      </c>
      <c r="H125" s="101"/>
      <c r="I125" s="276" t="str">
        <f>IFERROR(IF(AND(D125&lt;&gt;"",H125=""),"Check data ⚠",(IF(H125="","",IF(AND(D125="Non-native and ornamental hedgerow",H125&lt;&gt;"Poor"),"Not possible ▲",(IF(AND(F125="V.Low",OR(H125="Good",H125="Moderate")),"Error ▲",VLOOKUP(H125,'G-1 All Habitats'!$Z$2:$AA$9,2,FALSE))))))),"")</f>
        <v/>
      </c>
      <c r="J125" s="105"/>
      <c r="K125" s="295" t="str">
        <f>IF(AND(J125="",D125&lt;&gt;""),"Check data ⚠",IF(J125="","",IF(VLOOKUP(J125,'G-3 Multipliers'!$L$3:$N$6,2,FALSE)=0,"Spatial Data Missing ⚠",VLOOKUP(J125,'G-3 Multipliers'!$L$3:$N$6,2,FALSE))))</f>
        <v/>
      </c>
      <c r="L125" s="299" t="str">
        <f>IF(J125="","",IF(VLOOKUP(J125,'G-3 Multipliers'!$L$3:$N$6,3,FALSE)=0,"Spatial Data Missing ⚠",VLOOKUP(J125,'G-3 Multipliers'!$L$3:$N$6,3,FALSE)))</f>
        <v/>
      </c>
      <c r="M125" s="336" t="str">
        <f>IF(D125="","",VLOOKUP(D125,'G-6 Hedgerow Data'!$B$1:$AH$15,33,FALSE))</f>
        <v/>
      </c>
      <c r="N125" s="289" t="str">
        <f t="shared" si="11"/>
        <v/>
      </c>
      <c r="O125" s="393"/>
      <c r="P125" s="281" t="str">
        <f>IF(O125="","",IF(VLOOKUP(O125,'G-3 Multipliers'!$S$3:$T$10,2,FALSE)=0,"Spatial Data Missing ⚠",VLOOKUP(O125,'G-3 Multipliers'!$S$3:$T$10,2,FALSE)))</f>
        <v/>
      </c>
      <c r="Q125" s="289" t="str">
        <f t="shared" si="12"/>
        <v/>
      </c>
      <c r="R125" s="32"/>
      <c r="S125" s="101"/>
      <c r="T125" s="108"/>
      <c r="U125" s="283" t="str">
        <f t="shared" si="13"/>
        <v/>
      </c>
      <c r="V125" s="283" t="str">
        <f t="shared" si="14"/>
        <v/>
      </c>
      <c r="W125" s="287" t="str">
        <f t="shared" si="15"/>
        <v/>
      </c>
      <c r="X125" s="291" t="str">
        <f t="shared" si="16"/>
        <v/>
      </c>
      <c r="Y125" s="105"/>
      <c r="Z125" s="104"/>
      <c r="AA125" s="104"/>
      <c r="AB125" s="104"/>
      <c r="AE125" s="30" t="str">
        <f>IFERROR(INDEX('G-6 Hedgerow Data'!$BJ$3:$BJ$15,MATCH(D125,'G-6 Hedgerow Data'!$B$3:$B$15,0)),"")</f>
        <v/>
      </c>
      <c r="AH125" s="107" t="str">
        <f t="shared" si="9"/>
        <v/>
      </c>
      <c r="AI125" s="107" t="str">
        <f t="shared" si="10"/>
        <v/>
      </c>
      <c r="AK125" s="107">
        <v>116</v>
      </c>
      <c r="AM125" s="107" t="str">
        <f t="array" ref="AM125">IFERROR(INDEX($AK$10:$AK$258,MATCH(0,IF(TRUE=$AH$10:$AH$258,COUNTIF($AM$9:$AM124,$AK$10:$AK$258),""),0)),"")</f>
        <v/>
      </c>
      <c r="AN125" s="107" t="str">
        <f t="array" ref="AN125">IFERROR(INDEX($AK$10:$AK$258,MATCH(0,IF(TRUE=$AI$10:$AI$258,COUNTIF($AN$9:$AN124,$AK$10:$AK$258),""),0)),"")</f>
        <v/>
      </c>
      <c r="AY125" s="283" t="str">
        <f t="shared" si="17"/>
        <v/>
      </c>
    </row>
    <row r="126" spans="2:51" ht="14">
      <c r="B126" s="97">
        <v>117</v>
      </c>
      <c r="C126" s="138"/>
      <c r="D126" s="138"/>
      <c r="E126" s="104"/>
      <c r="F126" s="275" t="str">
        <f>IF(D126="","",VLOOKUP(D126,'G-6 Hedgerow Data'!$B$2:$AG$15,2,FALSE))</f>
        <v/>
      </c>
      <c r="G126" s="276" t="str">
        <f>IF(D126="","",VLOOKUP(D126,'G-6 Hedgerow Data'!$B$2:$AG$15,3,FALSE))</f>
        <v/>
      </c>
      <c r="H126" s="101"/>
      <c r="I126" s="276" t="str">
        <f>IFERROR(IF(AND(D126&lt;&gt;"",H126=""),"Check data ⚠",(IF(H126="","",IF(AND(D126="Non-native and ornamental hedgerow",H126&lt;&gt;"Poor"),"Not possible ▲",(IF(AND(F126="V.Low",OR(H126="Good",H126="Moderate")),"Error ▲",VLOOKUP(H126,'G-1 All Habitats'!$Z$2:$AA$9,2,FALSE))))))),"")</f>
        <v/>
      </c>
      <c r="J126" s="105"/>
      <c r="K126" s="295" t="str">
        <f>IF(AND(J126="",D126&lt;&gt;""),"Check data ⚠",IF(J126="","",IF(VLOOKUP(J126,'G-3 Multipliers'!$L$3:$N$6,2,FALSE)=0,"Spatial Data Missing ⚠",VLOOKUP(J126,'G-3 Multipliers'!$L$3:$N$6,2,FALSE))))</f>
        <v/>
      </c>
      <c r="L126" s="299" t="str">
        <f>IF(J126="","",IF(VLOOKUP(J126,'G-3 Multipliers'!$L$3:$N$6,3,FALSE)=0,"Spatial Data Missing ⚠",VLOOKUP(J126,'G-3 Multipliers'!$L$3:$N$6,3,FALSE)))</f>
        <v/>
      </c>
      <c r="M126" s="336" t="str">
        <f>IF(D126="","",VLOOKUP(D126,'G-6 Hedgerow Data'!$B$1:$AH$15,33,FALSE))</f>
        <v/>
      </c>
      <c r="N126" s="289" t="str">
        <f t="shared" si="11"/>
        <v/>
      </c>
      <c r="O126" s="393"/>
      <c r="P126" s="281" t="str">
        <f>IF(O126="","",IF(VLOOKUP(O126,'G-3 Multipliers'!$S$3:$T$10,2,FALSE)=0,"Spatial Data Missing ⚠",VLOOKUP(O126,'G-3 Multipliers'!$S$3:$T$10,2,FALSE)))</f>
        <v/>
      </c>
      <c r="Q126" s="289" t="str">
        <f t="shared" si="12"/>
        <v/>
      </c>
      <c r="R126" s="32"/>
      <c r="S126" s="101"/>
      <c r="T126" s="108"/>
      <c r="U126" s="283" t="str">
        <f t="shared" si="13"/>
        <v/>
      </c>
      <c r="V126" s="283" t="str">
        <f t="shared" si="14"/>
        <v/>
      </c>
      <c r="W126" s="287" t="str">
        <f t="shared" si="15"/>
        <v/>
      </c>
      <c r="X126" s="291" t="str">
        <f t="shared" si="16"/>
        <v/>
      </c>
      <c r="Y126" s="105"/>
      <c r="Z126" s="104"/>
      <c r="AA126" s="104"/>
      <c r="AB126" s="104"/>
      <c r="AE126" s="30" t="str">
        <f>IFERROR(INDEX('G-6 Hedgerow Data'!$BJ$3:$BJ$15,MATCH(D126,'G-6 Hedgerow Data'!$B$3:$B$15,0)),"")</f>
        <v/>
      </c>
      <c r="AH126" s="107" t="str">
        <f t="shared" si="9"/>
        <v/>
      </c>
      <c r="AI126" s="107" t="str">
        <f t="shared" si="10"/>
        <v/>
      </c>
      <c r="AK126" s="107">
        <v>117</v>
      </c>
      <c r="AM126" s="107" t="str">
        <f t="array" ref="AM126">IFERROR(INDEX($AK$10:$AK$258,MATCH(0,IF(TRUE=$AH$10:$AH$258,COUNTIF($AM$9:$AM125,$AK$10:$AK$258),""),0)),"")</f>
        <v/>
      </c>
      <c r="AN126" s="107" t="str">
        <f t="array" ref="AN126">IFERROR(INDEX($AK$10:$AK$258,MATCH(0,IF(TRUE=$AI$10:$AI$258,COUNTIF($AN$9:$AN125,$AK$10:$AK$258),""),0)),"")</f>
        <v/>
      </c>
      <c r="AY126" s="283" t="str">
        <f t="shared" si="17"/>
        <v/>
      </c>
    </row>
    <row r="127" spans="2:51" ht="14">
      <c r="B127" s="97">
        <v>118</v>
      </c>
      <c r="C127" s="138"/>
      <c r="D127" s="138"/>
      <c r="E127" s="104"/>
      <c r="F127" s="275" t="str">
        <f>IF(D127="","",VLOOKUP(D127,'G-6 Hedgerow Data'!$B$2:$AG$15,2,FALSE))</f>
        <v/>
      </c>
      <c r="G127" s="276" t="str">
        <f>IF(D127="","",VLOOKUP(D127,'G-6 Hedgerow Data'!$B$2:$AG$15,3,FALSE))</f>
        <v/>
      </c>
      <c r="H127" s="101"/>
      <c r="I127" s="276" t="str">
        <f>IFERROR(IF(AND(D127&lt;&gt;"",H127=""),"Check data ⚠",(IF(H127="","",IF(AND(D127="Non-native and ornamental hedgerow",H127&lt;&gt;"Poor"),"Not possible ▲",(IF(AND(F127="V.Low",OR(H127="Good",H127="Moderate")),"Error ▲",VLOOKUP(H127,'G-1 All Habitats'!$Z$2:$AA$9,2,FALSE))))))),"")</f>
        <v/>
      </c>
      <c r="J127" s="105"/>
      <c r="K127" s="295" t="str">
        <f>IF(AND(J127="",D127&lt;&gt;""),"Check data ⚠",IF(J127="","",IF(VLOOKUP(J127,'G-3 Multipliers'!$L$3:$N$6,2,FALSE)=0,"Spatial Data Missing ⚠",VLOOKUP(J127,'G-3 Multipliers'!$L$3:$N$6,2,FALSE))))</f>
        <v/>
      </c>
      <c r="L127" s="299" t="str">
        <f>IF(J127="","",IF(VLOOKUP(J127,'G-3 Multipliers'!$L$3:$N$6,3,FALSE)=0,"Spatial Data Missing ⚠",VLOOKUP(J127,'G-3 Multipliers'!$L$3:$N$6,3,FALSE)))</f>
        <v/>
      </c>
      <c r="M127" s="336" t="str">
        <f>IF(D127="","",VLOOKUP(D127,'G-6 Hedgerow Data'!$B$1:$AH$15,33,FALSE))</f>
        <v/>
      </c>
      <c r="N127" s="289" t="str">
        <f t="shared" si="11"/>
        <v/>
      </c>
      <c r="O127" s="393"/>
      <c r="P127" s="281" t="str">
        <f>IF(O127="","",IF(VLOOKUP(O127,'G-3 Multipliers'!$S$3:$T$10,2,FALSE)=0,"Spatial Data Missing ⚠",VLOOKUP(O127,'G-3 Multipliers'!$S$3:$T$10,2,FALSE)))</f>
        <v/>
      </c>
      <c r="Q127" s="289" t="str">
        <f t="shared" si="12"/>
        <v/>
      </c>
      <c r="R127" s="32"/>
      <c r="S127" s="101"/>
      <c r="T127" s="108"/>
      <c r="U127" s="283" t="str">
        <f t="shared" si="13"/>
        <v/>
      </c>
      <c r="V127" s="283" t="str">
        <f t="shared" si="14"/>
        <v/>
      </c>
      <c r="W127" s="287" t="str">
        <f t="shared" si="15"/>
        <v/>
      </c>
      <c r="X127" s="291" t="str">
        <f t="shared" si="16"/>
        <v/>
      </c>
      <c r="Y127" s="105"/>
      <c r="Z127" s="104"/>
      <c r="AA127" s="104"/>
      <c r="AB127" s="104"/>
      <c r="AE127" s="30" t="str">
        <f>IFERROR(INDEX('G-6 Hedgerow Data'!$BJ$3:$BJ$15,MATCH(D127,'G-6 Hedgerow Data'!$B$3:$B$15,0)),"")</f>
        <v/>
      </c>
      <c r="AH127" s="107" t="str">
        <f t="shared" si="9"/>
        <v/>
      </c>
      <c r="AI127" s="107" t="str">
        <f t="shared" si="10"/>
        <v/>
      </c>
      <c r="AK127" s="107">
        <v>118</v>
      </c>
      <c r="AM127" s="107" t="str">
        <f t="array" ref="AM127">IFERROR(INDEX($AK$10:$AK$258,MATCH(0,IF(TRUE=$AH$10:$AH$258,COUNTIF($AM$9:$AM126,$AK$10:$AK$258),""),0)),"")</f>
        <v/>
      </c>
      <c r="AN127" s="107" t="str">
        <f t="array" ref="AN127">IFERROR(INDEX($AK$10:$AK$258,MATCH(0,IF(TRUE=$AI$10:$AI$258,COUNTIF($AN$9:$AN126,$AK$10:$AK$258),""),0)),"")</f>
        <v/>
      </c>
      <c r="AY127" s="283" t="str">
        <f t="shared" si="17"/>
        <v/>
      </c>
    </row>
    <row r="128" spans="2:51" ht="14">
      <c r="B128" s="97">
        <v>119</v>
      </c>
      <c r="C128" s="138"/>
      <c r="D128" s="138"/>
      <c r="E128" s="104"/>
      <c r="F128" s="275" t="str">
        <f>IF(D128="","",VLOOKUP(D128,'G-6 Hedgerow Data'!$B$2:$AG$15,2,FALSE))</f>
        <v/>
      </c>
      <c r="G128" s="276" t="str">
        <f>IF(D128="","",VLOOKUP(D128,'G-6 Hedgerow Data'!$B$2:$AG$15,3,FALSE))</f>
        <v/>
      </c>
      <c r="H128" s="101"/>
      <c r="I128" s="276" t="str">
        <f>IFERROR(IF(AND(D128&lt;&gt;"",H128=""),"Check data ⚠",(IF(H128="","",IF(AND(D128="Non-native and ornamental hedgerow",H128&lt;&gt;"Poor"),"Not possible ▲",(IF(AND(F128="V.Low",OR(H128="Good",H128="Moderate")),"Error ▲",VLOOKUP(H128,'G-1 All Habitats'!$Z$2:$AA$9,2,FALSE))))))),"")</f>
        <v/>
      </c>
      <c r="J128" s="105"/>
      <c r="K128" s="295" t="str">
        <f>IF(AND(J128="",D128&lt;&gt;""),"Check data ⚠",IF(J128="","",IF(VLOOKUP(J128,'G-3 Multipliers'!$L$3:$N$6,2,FALSE)=0,"Spatial Data Missing ⚠",VLOOKUP(J128,'G-3 Multipliers'!$L$3:$N$6,2,FALSE))))</f>
        <v/>
      </c>
      <c r="L128" s="299" t="str">
        <f>IF(J128="","",IF(VLOOKUP(J128,'G-3 Multipliers'!$L$3:$N$6,3,FALSE)=0,"Spatial Data Missing ⚠",VLOOKUP(J128,'G-3 Multipliers'!$L$3:$N$6,3,FALSE)))</f>
        <v/>
      </c>
      <c r="M128" s="336" t="str">
        <f>IF(D128="","",VLOOKUP(D128,'G-6 Hedgerow Data'!$B$1:$AH$15,33,FALSE))</f>
        <v/>
      </c>
      <c r="N128" s="289" t="str">
        <f t="shared" si="11"/>
        <v/>
      </c>
      <c r="O128" s="393"/>
      <c r="P128" s="281" t="str">
        <f>IF(O128="","",IF(VLOOKUP(O128,'G-3 Multipliers'!$S$3:$T$10,2,FALSE)=0,"Spatial Data Missing ⚠",VLOOKUP(O128,'G-3 Multipliers'!$S$3:$T$10,2,FALSE)))</f>
        <v/>
      </c>
      <c r="Q128" s="289" t="str">
        <f t="shared" si="12"/>
        <v/>
      </c>
      <c r="R128" s="32"/>
      <c r="S128" s="101"/>
      <c r="T128" s="108"/>
      <c r="U128" s="283" t="str">
        <f t="shared" si="13"/>
        <v/>
      </c>
      <c r="V128" s="283" t="str">
        <f t="shared" si="14"/>
        <v/>
      </c>
      <c r="W128" s="287" t="str">
        <f t="shared" si="15"/>
        <v/>
      </c>
      <c r="X128" s="291" t="str">
        <f t="shared" si="16"/>
        <v/>
      </c>
      <c r="Y128" s="105"/>
      <c r="Z128" s="104"/>
      <c r="AA128" s="104"/>
      <c r="AB128" s="104"/>
      <c r="AE128" s="30" t="str">
        <f>IFERROR(INDEX('G-6 Hedgerow Data'!$BJ$3:$BJ$15,MATCH(D128,'G-6 Hedgerow Data'!$B$3:$B$15,0)),"")</f>
        <v/>
      </c>
      <c r="AH128" s="107" t="str">
        <f t="shared" si="9"/>
        <v/>
      </c>
      <c r="AI128" s="107" t="str">
        <f t="shared" si="10"/>
        <v/>
      </c>
      <c r="AK128" s="107">
        <v>119</v>
      </c>
      <c r="AM128" s="107" t="str">
        <f t="array" ref="AM128">IFERROR(INDEX($AK$10:$AK$258,MATCH(0,IF(TRUE=$AH$10:$AH$258,COUNTIF($AM$9:$AM127,$AK$10:$AK$258),""),0)),"")</f>
        <v/>
      </c>
      <c r="AN128" s="107" t="str">
        <f t="array" ref="AN128">IFERROR(INDEX($AK$10:$AK$258,MATCH(0,IF(TRUE=$AI$10:$AI$258,COUNTIF($AN$9:$AN127,$AK$10:$AK$258),""),0)),"")</f>
        <v/>
      </c>
      <c r="AY128" s="283" t="str">
        <f t="shared" si="17"/>
        <v/>
      </c>
    </row>
    <row r="129" spans="2:51" ht="14">
      <c r="B129" s="97">
        <v>120</v>
      </c>
      <c r="C129" s="138"/>
      <c r="D129" s="138"/>
      <c r="E129" s="104"/>
      <c r="F129" s="275" t="str">
        <f>IF(D129="","",VLOOKUP(D129,'G-6 Hedgerow Data'!$B$2:$AG$15,2,FALSE))</f>
        <v/>
      </c>
      <c r="G129" s="276" t="str">
        <f>IF(D129="","",VLOOKUP(D129,'G-6 Hedgerow Data'!$B$2:$AG$15,3,FALSE))</f>
        <v/>
      </c>
      <c r="H129" s="101"/>
      <c r="I129" s="276" t="str">
        <f>IFERROR(IF(AND(D129&lt;&gt;"",H129=""),"Check data ⚠",(IF(H129="","",IF(AND(D129="Non-native and ornamental hedgerow",H129&lt;&gt;"Poor"),"Not possible ▲",(IF(AND(F129="V.Low",OR(H129="Good",H129="Moderate")),"Error ▲",VLOOKUP(H129,'G-1 All Habitats'!$Z$2:$AA$9,2,FALSE))))))),"")</f>
        <v/>
      </c>
      <c r="J129" s="105"/>
      <c r="K129" s="295" t="str">
        <f>IF(AND(J129="",D129&lt;&gt;""),"Check data ⚠",IF(J129="","",IF(VLOOKUP(J129,'G-3 Multipliers'!$L$3:$N$6,2,FALSE)=0,"Spatial Data Missing ⚠",VLOOKUP(J129,'G-3 Multipliers'!$L$3:$N$6,2,FALSE))))</f>
        <v/>
      </c>
      <c r="L129" s="299" t="str">
        <f>IF(J129="","",IF(VLOOKUP(J129,'G-3 Multipliers'!$L$3:$N$6,3,FALSE)=0,"Spatial Data Missing ⚠",VLOOKUP(J129,'G-3 Multipliers'!$L$3:$N$6,3,FALSE)))</f>
        <v/>
      </c>
      <c r="M129" s="336" t="str">
        <f>IF(D129="","",VLOOKUP(D129,'G-6 Hedgerow Data'!$B$1:$AH$15,33,FALSE))</f>
        <v/>
      </c>
      <c r="N129" s="289" t="str">
        <f t="shared" si="11"/>
        <v/>
      </c>
      <c r="O129" s="393"/>
      <c r="P129" s="281" t="str">
        <f>IF(O129="","",IF(VLOOKUP(O129,'G-3 Multipliers'!$S$3:$T$10,2,FALSE)=0,"Spatial Data Missing ⚠",VLOOKUP(O129,'G-3 Multipliers'!$S$3:$T$10,2,FALSE)))</f>
        <v/>
      </c>
      <c r="Q129" s="289" t="str">
        <f t="shared" si="12"/>
        <v/>
      </c>
      <c r="R129" s="32"/>
      <c r="S129" s="101"/>
      <c r="T129" s="108"/>
      <c r="U129" s="283" t="str">
        <f t="shared" si="13"/>
        <v/>
      </c>
      <c r="V129" s="283" t="str">
        <f t="shared" si="14"/>
        <v/>
      </c>
      <c r="W129" s="287" t="str">
        <f t="shared" si="15"/>
        <v/>
      </c>
      <c r="X129" s="291" t="str">
        <f t="shared" si="16"/>
        <v/>
      </c>
      <c r="Y129" s="105"/>
      <c r="Z129" s="104"/>
      <c r="AA129" s="104"/>
      <c r="AB129" s="104"/>
      <c r="AE129" s="30" t="str">
        <f>IFERROR(INDEX('G-6 Hedgerow Data'!$BJ$3:$BJ$15,MATCH(D129,'G-6 Hedgerow Data'!$B$3:$B$15,0)),"")</f>
        <v/>
      </c>
      <c r="AH129" s="107" t="str">
        <f t="shared" si="9"/>
        <v/>
      </c>
      <c r="AI129" s="107" t="str">
        <f t="shared" si="10"/>
        <v/>
      </c>
      <c r="AK129" s="107">
        <v>120</v>
      </c>
      <c r="AM129" s="107" t="str">
        <f t="array" ref="AM129">IFERROR(INDEX($AK$10:$AK$258,MATCH(0,IF(TRUE=$AH$10:$AH$258,COUNTIF($AM$9:$AM128,$AK$10:$AK$258),""),0)),"")</f>
        <v/>
      </c>
      <c r="AN129" s="107" t="str">
        <f t="array" ref="AN129">IFERROR(INDEX($AK$10:$AK$258,MATCH(0,IF(TRUE=$AI$10:$AI$258,COUNTIF($AN$9:$AN128,$AK$10:$AK$258),""),0)),"")</f>
        <v/>
      </c>
      <c r="AY129" s="283" t="str">
        <f t="shared" si="17"/>
        <v/>
      </c>
    </row>
    <row r="130" spans="2:51" ht="14">
      <c r="B130" s="97">
        <v>121</v>
      </c>
      <c r="C130" s="138"/>
      <c r="D130" s="138"/>
      <c r="E130" s="104"/>
      <c r="F130" s="275" t="str">
        <f>IF(D130="","",VLOOKUP(D130,'G-6 Hedgerow Data'!$B$2:$AG$15,2,FALSE))</f>
        <v/>
      </c>
      <c r="G130" s="276" t="str">
        <f>IF(D130="","",VLOOKUP(D130,'G-6 Hedgerow Data'!$B$2:$AG$15,3,FALSE))</f>
        <v/>
      </c>
      <c r="H130" s="101"/>
      <c r="I130" s="276" t="str">
        <f>IFERROR(IF(AND(D130&lt;&gt;"",H130=""),"Check data ⚠",(IF(H130="","",IF(AND(D130="Non-native and ornamental hedgerow",H130&lt;&gt;"Poor"),"Not possible ▲",(IF(AND(F130="V.Low",OR(H130="Good",H130="Moderate")),"Error ▲",VLOOKUP(H130,'G-1 All Habitats'!$Z$2:$AA$9,2,FALSE))))))),"")</f>
        <v/>
      </c>
      <c r="J130" s="105"/>
      <c r="K130" s="295" t="str">
        <f>IF(AND(J130="",D130&lt;&gt;""),"Check data ⚠",IF(J130="","",IF(VLOOKUP(J130,'G-3 Multipliers'!$L$3:$N$6,2,FALSE)=0,"Spatial Data Missing ⚠",VLOOKUP(J130,'G-3 Multipliers'!$L$3:$N$6,2,FALSE))))</f>
        <v/>
      </c>
      <c r="L130" s="299" t="str">
        <f>IF(J130="","",IF(VLOOKUP(J130,'G-3 Multipliers'!$L$3:$N$6,3,FALSE)=0,"Spatial Data Missing ⚠",VLOOKUP(J130,'G-3 Multipliers'!$L$3:$N$6,3,FALSE)))</f>
        <v/>
      </c>
      <c r="M130" s="336" t="str">
        <f>IF(D130="","",VLOOKUP(D130,'G-6 Hedgerow Data'!$B$1:$AH$15,33,FALSE))</f>
        <v/>
      </c>
      <c r="N130" s="289" t="str">
        <f t="shared" si="11"/>
        <v/>
      </c>
      <c r="O130" s="393"/>
      <c r="P130" s="281" t="str">
        <f>IF(O130="","",IF(VLOOKUP(O130,'G-3 Multipliers'!$S$3:$T$10,2,FALSE)=0,"Spatial Data Missing ⚠",VLOOKUP(O130,'G-3 Multipliers'!$S$3:$T$10,2,FALSE)))</f>
        <v/>
      </c>
      <c r="Q130" s="289" t="str">
        <f t="shared" si="12"/>
        <v/>
      </c>
      <c r="R130" s="32"/>
      <c r="S130" s="101"/>
      <c r="T130" s="108"/>
      <c r="U130" s="283" t="str">
        <f t="shared" si="13"/>
        <v/>
      </c>
      <c r="V130" s="283" t="str">
        <f t="shared" si="14"/>
        <v/>
      </c>
      <c r="W130" s="287" t="str">
        <f t="shared" si="15"/>
        <v/>
      </c>
      <c r="X130" s="291" t="str">
        <f t="shared" si="16"/>
        <v/>
      </c>
      <c r="Y130" s="105"/>
      <c r="Z130" s="104"/>
      <c r="AA130" s="104"/>
      <c r="AB130" s="104"/>
      <c r="AE130" s="30" t="str">
        <f>IFERROR(INDEX('G-6 Hedgerow Data'!$BJ$3:$BJ$15,MATCH(D130,'G-6 Hedgerow Data'!$B$3:$B$15,0)),"")</f>
        <v/>
      </c>
      <c r="AH130" s="107" t="str">
        <f t="shared" si="9"/>
        <v/>
      </c>
      <c r="AI130" s="107" t="str">
        <f t="shared" si="10"/>
        <v/>
      </c>
      <c r="AK130" s="107">
        <v>121</v>
      </c>
      <c r="AM130" s="107" t="str">
        <f t="array" ref="AM130">IFERROR(INDEX($AK$10:$AK$258,MATCH(0,IF(TRUE=$AH$10:$AH$258,COUNTIF($AM$9:$AM129,$AK$10:$AK$258),""),0)),"")</f>
        <v/>
      </c>
      <c r="AN130" s="107" t="str">
        <f t="array" ref="AN130">IFERROR(INDEX($AK$10:$AK$258,MATCH(0,IF(TRUE=$AI$10:$AI$258,COUNTIF($AN$9:$AN129,$AK$10:$AK$258),""),0)),"")</f>
        <v/>
      </c>
      <c r="AY130" s="283" t="str">
        <f t="shared" si="17"/>
        <v/>
      </c>
    </row>
    <row r="131" spans="2:51" ht="14">
      <c r="B131" s="97">
        <v>122</v>
      </c>
      <c r="C131" s="138"/>
      <c r="D131" s="138"/>
      <c r="E131" s="104"/>
      <c r="F131" s="275" t="str">
        <f>IF(D131="","",VLOOKUP(D131,'G-6 Hedgerow Data'!$B$2:$AG$15,2,FALSE))</f>
        <v/>
      </c>
      <c r="G131" s="276" t="str">
        <f>IF(D131="","",VLOOKUP(D131,'G-6 Hedgerow Data'!$B$2:$AG$15,3,FALSE))</f>
        <v/>
      </c>
      <c r="H131" s="101"/>
      <c r="I131" s="276" t="str">
        <f>IFERROR(IF(AND(D131&lt;&gt;"",H131=""),"Check data ⚠",(IF(H131="","",IF(AND(D131="Non-native and ornamental hedgerow",H131&lt;&gt;"Poor"),"Not possible ▲",(IF(AND(F131="V.Low",OR(H131="Good",H131="Moderate")),"Error ▲",VLOOKUP(H131,'G-1 All Habitats'!$Z$2:$AA$9,2,FALSE))))))),"")</f>
        <v/>
      </c>
      <c r="J131" s="105"/>
      <c r="K131" s="295" t="str">
        <f>IF(AND(J131="",D131&lt;&gt;""),"Check data ⚠",IF(J131="","",IF(VLOOKUP(J131,'G-3 Multipliers'!$L$3:$N$6,2,FALSE)=0,"Spatial Data Missing ⚠",VLOOKUP(J131,'G-3 Multipliers'!$L$3:$N$6,2,FALSE))))</f>
        <v/>
      </c>
      <c r="L131" s="299" t="str">
        <f>IF(J131="","",IF(VLOOKUP(J131,'G-3 Multipliers'!$L$3:$N$6,3,FALSE)=0,"Spatial Data Missing ⚠",VLOOKUP(J131,'G-3 Multipliers'!$L$3:$N$6,3,FALSE)))</f>
        <v/>
      </c>
      <c r="M131" s="336" t="str">
        <f>IF(D131="","",VLOOKUP(D131,'G-6 Hedgerow Data'!$B$1:$AH$15,33,FALSE))</f>
        <v/>
      </c>
      <c r="N131" s="289" t="str">
        <f t="shared" si="11"/>
        <v/>
      </c>
      <c r="O131" s="393"/>
      <c r="P131" s="281" t="str">
        <f>IF(O131="","",IF(VLOOKUP(O131,'G-3 Multipliers'!$S$3:$T$10,2,FALSE)=0,"Spatial Data Missing ⚠",VLOOKUP(O131,'G-3 Multipliers'!$S$3:$T$10,2,FALSE)))</f>
        <v/>
      </c>
      <c r="Q131" s="289" t="str">
        <f t="shared" si="12"/>
        <v/>
      </c>
      <c r="R131" s="32"/>
      <c r="S131" s="101"/>
      <c r="T131" s="108"/>
      <c r="U131" s="283" t="str">
        <f t="shared" si="13"/>
        <v/>
      </c>
      <c r="V131" s="283" t="str">
        <f t="shared" si="14"/>
        <v/>
      </c>
      <c r="W131" s="287" t="str">
        <f t="shared" si="15"/>
        <v/>
      </c>
      <c r="X131" s="291" t="str">
        <f t="shared" si="16"/>
        <v/>
      </c>
      <c r="Y131" s="105"/>
      <c r="Z131" s="104"/>
      <c r="AA131" s="104"/>
      <c r="AB131" s="104"/>
      <c r="AE131" s="30" t="str">
        <f>IFERROR(INDEX('G-6 Hedgerow Data'!$BJ$3:$BJ$15,MATCH(D131,'G-6 Hedgerow Data'!$B$3:$B$15,0)),"")</f>
        <v/>
      </c>
      <c r="AH131" s="107" t="str">
        <f t="shared" si="9"/>
        <v/>
      </c>
      <c r="AI131" s="107" t="str">
        <f t="shared" si="10"/>
        <v/>
      </c>
      <c r="AK131" s="107">
        <v>122</v>
      </c>
      <c r="AM131" s="107" t="str">
        <f t="array" ref="AM131">IFERROR(INDEX($AK$10:$AK$258,MATCH(0,IF(TRUE=$AH$10:$AH$258,COUNTIF($AM$9:$AM130,$AK$10:$AK$258),""),0)),"")</f>
        <v/>
      </c>
      <c r="AN131" s="107" t="str">
        <f t="array" ref="AN131">IFERROR(INDEX($AK$10:$AK$258,MATCH(0,IF(TRUE=$AI$10:$AI$258,COUNTIF($AN$9:$AN130,$AK$10:$AK$258),""),0)),"")</f>
        <v/>
      </c>
      <c r="AY131" s="283" t="str">
        <f t="shared" si="17"/>
        <v/>
      </c>
    </row>
    <row r="132" spans="2:51" ht="14">
      <c r="B132" s="97">
        <v>123</v>
      </c>
      <c r="C132" s="138"/>
      <c r="D132" s="138"/>
      <c r="E132" s="104"/>
      <c r="F132" s="275" t="str">
        <f>IF(D132="","",VLOOKUP(D132,'G-6 Hedgerow Data'!$B$2:$AG$15,2,FALSE))</f>
        <v/>
      </c>
      <c r="G132" s="276" t="str">
        <f>IF(D132="","",VLOOKUP(D132,'G-6 Hedgerow Data'!$B$2:$AG$15,3,FALSE))</f>
        <v/>
      </c>
      <c r="H132" s="101"/>
      <c r="I132" s="276" t="str">
        <f>IFERROR(IF(AND(D132&lt;&gt;"",H132=""),"Check data ⚠",(IF(H132="","",IF(AND(D132="Non-native and ornamental hedgerow",H132&lt;&gt;"Poor"),"Not possible ▲",(IF(AND(F132="V.Low",OR(H132="Good",H132="Moderate")),"Error ▲",VLOOKUP(H132,'G-1 All Habitats'!$Z$2:$AA$9,2,FALSE))))))),"")</f>
        <v/>
      </c>
      <c r="J132" s="105"/>
      <c r="K132" s="295" t="str">
        <f>IF(AND(J132="",D132&lt;&gt;""),"Check data ⚠",IF(J132="","",IF(VLOOKUP(J132,'G-3 Multipliers'!$L$3:$N$6,2,FALSE)=0,"Spatial Data Missing ⚠",VLOOKUP(J132,'G-3 Multipliers'!$L$3:$N$6,2,FALSE))))</f>
        <v/>
      </c>
      <c r="L132" s="299" t="str">
        <f>IF(J132="","",IF(VLOOKUP(J132,'G-3 Multipliers'!$L$3:$N$6,3,FALSE)=0,"Spatial Data Missing ⚠",VLOOKUP(J132,'G-3 Multipliers'!$L$3:$N$6,3,FALSE)))</f>
        <v/>
      </c>
      <c r="M132" s="336" t="str">
        <f>IF(D132="","",VLOOKUP(D132,'G-6 Hedgerow Data'!$B$1:$AH$15,33,FALSE))</f>
        <v/>
      </c>
      <c r="N132" s="289" t="str">
        <f t="shared" si="11"/>
        <v/>
      </c>
      <c r="O132" s="393"/>
      <c r="P132" s="281" t="str">
        <f>IF(O132="","",IF(VLOOKUP(O132,'G-3 Multipliers'!$S$3:$T$10,2,FALSE)=0,"Spatial Data Missing ⚠",VLOOKUP(O132,'G-3 Multipliers'!$S$3:$T$10,2,FALSE)))</f>
        <v/>
      </c>
      <c r="Q132" s="289" t="str">
        <f t="shared" si="12"/>
        <v/>
      </c>
      <c r="R132" s="32"/>
      <c r="S132" s="101"/>
      <c r="T132" s="108"/>
      <c r="U132" s="283" t="str">
        <f t="shared" si="13"/>
        <v/>
      </c>
      <c r="V132" s="283" t="str">
        <f t="shared" si="14"/>
        <v/>
      </c>
      <c r="W132" s="287" t="str">
        <f t="shared" si="15"/>
        <v/>
      </c>
      <c r="X132" s="291" t="str">
        <f t="shared" si="16"/>
        <v/>
      </c>
      <c r="Y132" s="105"/>
      <c r="Z132" s="104"/>
      <c r="AA132" s="104"/>
      <c r="AB132" s="104"/>
      <c r="AE132" s="30" t="str">
        <f>IFERROR(INDEX('G-6 Hedgerow Data'!$BJ$3:$BJ$15,MATCH(D132,'G-6 Hedgerow Data'!$B$3:$B$15,0)),"")</f>
        <v/>
      </c>
      <c r="AH132" s="107" t="str">
        <f t="shared" si="9"/>
        <v/>
      </c>
      <c r="AI132" s="107" t="str">
        <f t="shared" si="10"/>
        <v/>
      </c>
      <c r="AK132" s="107">
        <v>123</v>
      </c>
      <c r="AM132" s="107" t="str">
        <f t="array" ref="AM132">IFERROR(INDEX($AK$10:$AK$258,MATCH(0,IF(TRUE=$AH$10:$AH$258,COUNTIF($AM$9:$AM131,$AK$10:$AK$258),""),0)),"")</f>
        <v/>
      </c>
      <c r="AN132" s="107" t="str">
        <f t="array" ref="AN132">IFERROR(INDEX($AK$10:$AK$258,MATCH(0,IF(TRUE=$AI$10:$AI$258,COUNTIF($AN$9:$AN131,$AK$10:$AK$258),""),0)),"")</f>
        <v/>
      </c>
      <c r="AY132" s="283" t="str">
        <f t="shared" si="17"/>
        <v/>
      </c>
    </row>
    <row r="133" spans="2:51" ht="14">
      <c r="B133" s="97">
        <v>124</v>
      </c>
      <c r="C133" s="138"/>
      <c r="D133" s="138"/>
      <c r="E133" s="104"/>
      <c r="F133" s="275" t="str">
        <f>IF(D133="","",VLOOKUP(D133,'G-6 Hedgerow Data'!$B$2:$AG$15,2,FALSE))</f>
        <v/>
      </c>
      <c r="G133" s="276" t="str">
        <f>IF(D133="","",VLOOKUP(D133,'G-6 Hedgerow Data'!$B$2:$AG$15,3,FALSE))</f>
        <v/>
      </c>
      <c r="H133" s="101"/>
      <c r="I133" s="276" t="str">
        <f>IFERROR(IF(AND(D133&lt;&gt;"",H133=""),"Check data ⚠",(IF(H133="","",IF(AND(D133="Non-native and ornamental hedgerow",H133&lt;&gt;"Poor"),"Not possible ▲",(IF(AND(F133="V.Low",OR(H133="Good",H133="Moderate")),"Error ▲",VLOOKUP(H133,'G-1 All Habitats'!$Z$2:$AA$9,2,FALSE))))))),"")</f>
        <v/>
      </c>
      <c r="J133" s="105"/>
      <c r="K133" s="295" t="str">
        <f>IF(AND(J133="",D133&lt;&gt;""),"Check data ⚠",IF(J133="","",IF(VLOOKUP(J133,'G-3 Multipliers'!$L$3:$N$6,2,FALSE)=0,"Spatial Data Missing ⚠",VLOOKUP(J133,'G-3 Multipliers'!$L$3:$N$6,2,FALSE))))</f>
        <v/>
      </c>
      <c r="L133" s="299" t="str">
        <f>IF(J133="","",IF(VLOOKUP(J133,'G-3 Multipliers'!$L$3:$N$6,3,FALSE)=0,"Spatial Data Missing ⚠",VLOOKUP(J133,'G-3 Multipliers'!$L$3:$N$6,3,FALSE)))</f>
        <v/>
      </c>
      <c r="M133" s="336" t="str">
        <f>IF(D133="","",VLOOKUP(D133,'G-6 Hedgerow Data'!$B$1:$AH$15,33,FALSE))</f>
        <v/>
      </c>
      <c r="N133" s="289" t="str">
        <f t="shared" si="11"/>
        <v/>
      </c>
      <c r="O133" s="393"/>
      <c r="P133" s="281" t="str">
        <f>IF(O133="","",IF(VLOOKUP(O133,'G-3 Multipliers'!$S$3:$T$10,2,FALSE)=0,"Spatial Data Missing ⚠",VLOOKUP(O133,'G-3 Multipliers'!$S$3:$T$10,2,FALSE)))</f>
        <v/>
      </c>
      <c r="Q133" s="289" t="str">
        <f t="shared" si="12"/>
        <v/>
      </c>
      <c r="R133" s="32"/>
      <c r="S133" s="101"/>
      <c r="T133" s="108"/>
      <c r="U133" s="283" t="str">
        <f t="shared" si="13"/>
        <v/>
      </c>
      <c r="V133" s="283" t="str">
        <f t="shared" si="14"/>
        <v/>
      </c>
      <c r="W133" s="287" t="str">
        <f t="shared" si="15"/>
        <v/>
      </c>
      <c r="X133" s="291" t="str">
        <f t="shared" si="16"/>
        <v/>
      </c>
      <c r="Y133" s="105"/>
      <c r="Z133" s="104"/>
      <c r="AA133" s="104"/>
      <c r="AB133" s="104"/>
      <c r="AE133" s="30" t="str">
        <f>IFERROR(INDEX('G-6 Hedgerow Data'!$BJ$3:$BJ$15,MATCH(D133,'G-6 Hedgerow Data'!$B$3:$B$15,0)),"")</f>
        <v/>
      </c>
      <c r="AH133" s="107" t="str">
        <f t="shared" si="9"/>
        <v/>
      </c>
      <c r="AI133" s="107" t="str">
        <f t="shared" si="10"/>
        <v/>
      </c>
      <c r="AK133" s="107">
        <v>124</v>
      </c>
      <c r="AM133" s="107" t="str">
        <f t="array" ref="AM133">IFERROR(INDEX($AK$10:$AK$258,MATCH(0,IF(TRUE=$AH$10:$AH$258,COUNTIF($AM$9:$AM132,$AK$10:$AK$258),""),0)),"")</f>
        <v/>
      </c>
      <c r="AN133" s="107" t="str">
        <f t="array" ref="AN133">IFERROR(INDEX($AK$10:$AK$258,MATCH(0,IF(TRUE=$AI$10:$AI$258,COUNTIF($AN$9:$AN132,$AK$10:$AK$258),""),0)),"")</f>
        <v/>
      </c>
      <c r="AY133" s="283" t="str">
        <f t="shared" si="17"/>
        <v/>
      </c>
    </row>
    <row r="134" spans="2:51" ht="14">
      <c r="B134" s="97">
        <v>125</v>
      </c>
      <c r="C134" s="138"/>
      <c r="D134" s="138"/>
      <c r="E134" s="104"/>
      <c r="F134" s="275" t="str">
        <f>IF(D134="","",VLOOKUP(D134,'G-6 Hedgerow Data'!$B$2:$AG$15,2,FALSE))</f>
        <v/>
      </c>
      <c r="G134" s="276" t="str">
        <f>IF(D134="","",VLOOKUP(D134,'G-6 Hedgerow Data'!$B$2:$AG$15,3,FALSE))</f>
        <v/>
      </c>
      <c r="H134" s="101"/>
      <c r="I134" s="276" t="str">
        <f>IFERROR(IF(AND(D134&lt;&gt;"",H134=""),"Check data ⚠",(IF(H134="","",IF(AND(D134="Non-native and ornamental hedgerow",H134&lt;&gt;"Poor"),"Not possible ▲",(IF(AND(F134="V.Low",OR(H134="Good",H134="Moderate")),"Error ▲",VLOOKUP(H134,'G-1 All Habitats'!$Z$2:$AA$9,2,FALSE))))))),"")</f>
        <v/>
      </c>
      <c r="J134" s="105"/>
      <c r="K134" s="295" t="str">
        <f>IF(AND(J134="",D134&lt;&gt;""),"Check data ⚠",IF(J134="","",IF(VLOOKUP(J134,'G-3 Multipliers'!$L$3:$N$6,2,FALSE)=0,"Spatial Data Missing ⚠",VLOOKUP(J134,'G-3 Multipliers'!$L$3:$N$6,2,FALSE))))</f>
        <v/>
      </c>
      <c r="L134" s="299" t="str">
        <f>IF(J134="","",IF(VLOOKUP(J134,'G-3 Multipliers'!$L$3:$N$6,3,FALSE)=0,"Spatial Data Missing ⚠",VLOOKUP(J134,'G-3 Multipliers'!$L$3:$N$6,3,FALSE)))</f>
        <v/>
      </c>
      <c r="M134" s="336" t="str">
        <f>IF(D134="","",VLOOKUP(D134,'G-6 Hedgerow Data'!$B$1:$AH$15,33,FALSE))</f>
        <v/>
      </c>
      <c r="N134" s="289" t="str">
        <f t="shared" si="11"/>
        <v/>
      </c>
      <c r="O134" s="393"/>
      <c r="P134" s="281" t="str">
        <f>IF(O134="","",IF(VLOOKUP(O134,'G-3 Multipliers'!$S$3:$T$10,2,FALSE)=0,"Spatial Data Missing ⚠",VLOOKUP(O134,'G-3 Multipliers'!$S$3:$T$10,2,FALSE)))</f>
        <v/>
      </c>
      <c r="Q134" s="289" t="str">
        <f t="shared" si="12"/>
        <v/>
      </c>
      <c r="R134" s="32"/>
      <c r="S134" s="101"/>
      <c r="T134" s="108"/>
      <c r="U134" s="283" t="str">
        <f t="shared" si="13"/>
        <v/>
      </c>
      <c r="V134" s="283" t="str">
        <f t="shared" si="14"/>
        <v/>
      </c>
      <c r="W134" s="287" t="str">
        <f t="shared" si="15"/>
        <v/>
      </c>
      <c r="X134" s="291" t="str">
        <f t="shared" si="16"/>
        <v/>
      </c>
      <c r="Y134" s="105"/>
      <c r="Z134" s="104"/>
      <c r="AA134" s="104"/>
      <c r="AB134" s="104"/>
      <c r="AE134" s="30" t="str">
        <f>IFERROR(INDEX('G-6 Hedgerow Data'!$BJ$3:$BJ$15,MATCH(D134,'G-6 Hedgerow Data'!$B$3:$B$15,0)),"")</f>
        <v/>
      </c>
      <c r="AH134" s="107" t="str">
        <f t="shared" si="9"/>
        <v/>
      </c>
      <c r="AI134" s="107" t="str">
        <f t="shared" si="10"/>
        <v/>
      </c>
      <c r="AK134" s="107">
        <v>125</v>
      </c>
      <c r="AM134" s="107" t="str">
        <f t="array" ref="AM134">IFERROR(INDEX($AK$10:$AK$258,MATCH(0,IF(TRUE=$AH$10:$AH$258,COUNTIF($AM$9:$AM133,$AK$10:$AK$258),""),0)),"")</f>
        <v/>
      </c>
      <c r="AN134" s="107" t="str">
        <f t="array" ref="AN134">IFERROR(INDEX($AK$10:$AK$258,MATCH(0,IF(TRUE=$AI$10:$AI$258,COUNTIF($AN$9:$AN133,$AK$10:$AK$258),""),0)),"")</f>
        <v/>
      </c>
      <c r="AY134" s="283" t="str">
        <f t="shared" si="17"/>
        <v/>
      </c>
    </row>
    <row r="135" spans="2:51" ht="14">
      <c r="B135" s="97">
        <v>126</v>
      </c>
      <c r="C135" s="138"/>
      <c r="D135" s="138"/>
      <c r="E135" s="104"/>
      <c r="F135" s="275" t="str">
        <f>IF(D135="","",VLOOKUP(D135,'G-6 Hedgerow Data'!$B$2:$AG$15,2,FALSE))</f>
        <v/>
      </c>
      <c r="G135" s="276" t="str">
        <f>IF(D135="","",VLOOKUP(D135,'G-6 Hedgerow Data'!$B$2:$AG$15,3,FALSE))</f>
        <v/>
      </c>
      <c r="H135" s="101"/>
      <c r="I135" s="276" t="str">
        <f>IFERROR(IF(AND(D135&lt;&gt;"",H135=""),"Check data ⚠",(IF(H135="","",IF(AND(D135="Non-native and ornamental hedgerow",H135&lt;&gt;"Poor"),"Not possible ▲",(IF(AND(F135="V.Low",OR(H135="Good",H135="Moderate")),"Error ▲",VLOOKUP(H135,'G-1 All Habitats'!$Z$2:$AA$9,2,FALSE))))))),"")</f>
        <v/>
      </c>
      <c r="J135" s="105"/>
      <c r="K135" s="295" t="str">
        <f>IF(AND(J135="",D135&lt;&gt;""),"Check data ⚠",IF(J135="","",IF(VLOOKUP(J135,'G-3 Multipliers'!$L$3:$N$6,2,FALSE)=0,"Spatial Data Missing ⚠",VLOOKUP(J135,'G-3 Multipliers'!$L$3:$N$6,2,FALSE))))</f>
        <v/>
      </c>
      <c r="L135" s="299" t="str">
        <f>IF(J135="","",IF(VLOOKUP(J135,'G-3 Multipliers'!$L$3:$N$6,3,FALSE)=0,"Spatial Data Missing ⚠",VLOOKUP(J135,'G-3 Multipliers'!$L$3:$N$6,3,FALSE)))</f>
        <v/>
      </c>
      <c r="M135" s="336" t="str">
        <f>IF(D135="","",VLOOKUP(D135,'G-6 Hedgerow Data'!$B$1:$AH$15,33,FALSE))</f>
        <v/>
      </c>
      <c r="N135" s="289" t="str">
        <f t="shared" si="11"/>
        <v/>
      </c>
      <c r="O135" s="393"/>
      <c r="P135" s="281" t="str">
        <f>IF(O135="","",IF(VLOOKUP(O135,'G-3 Multipliers'!$S$3:$T$10,2,FALSE)=0,"Spatial Data Missing ⚠",VLOOKUP(O135,'G-3 Multipliers'!$S$3:$T$10,2,FALSE)))</f>
        <v/>
      </c>
      <c r="Q135" s="289" t="str">
        <f t="shared" si="12"/>
        <v/>
      </c>
      <c r="R135" s="32"/>
      <c r="S135" s="101"/>
      <c r="T135" s="108"/>
      <c r="U135" s="283" t="str">
        <f t="shared" si="13"/>
        <v/>
      </c>
      <c r="V135" s="283" t="str">
        <f t="shared" si="14"/>
        <v/>
      </c>
      <c r="W135" s="287" t="str">
        <f t="shared" si="15"/>
        <v/>
      </c>
      <c r="X135" s="291" t="str">
        <f t="shared" si="16"/>
        <v/>
      </c>
      <c r="Y135" s="105"/>
      <c r="Z135" s="104"/>
      <c r="AA135" s="104"/>
      <c r="AB135" s="104"/>
      <c r="AE135" s="30" t="str">
        <f>IFERROR(INDEX('G-6 Hedgerow Data'!$BJ$3:$BJ$15,MATCH(D135,'G-6 Hedgerow Data'!$B$3:$B$15,0)),"")</f>
        <v/>
      </c>
      <c r="AH135" s="107" t="str">
        <f t="shared" si="9"/>
        <v/>
      </c>
      <c r="AI135" s="107" t="str">
        <f t="shared" si="10"/>
        <v/>
      </c>
      <c r="AK135" s="107">
        <v>126</v>
      </c>
      <c r="AM135" s="107" t="str">
        <f t="array" ref="AM135">IFERROR(INDEX($AK$10:$AK$258,MATCH(0,IF(TRUE=$AH$10:$AH$258,COUNTIF($AM$9:$AM134,$AK$10:$AK$258),""),0)),"")</f>
        <v/>
      </c>
      <c r="AN135" s="107" t="str">
        <f t="array" ref="AN135">IFERROR(INDEX($AK$10:$AK$258,MATCH(0,IF(TRUE=$AI$10:$AI$258,COUNTIF($AN$9:$AN134,$AK$10:$AK$258),""),0)),"")</f>
        <v/>
      </c>
      <c r="AY135" s="283" t="str">
        <f t="shared" si="17"/>
        <v/>
      </c>
    </row>
    <row r="136" spans="2:51" ht="14">
      <c r="B136" s="97">
        <v>127</v>
      </c>
      <c r="C136" s="138"/>
      <c r="D136" s="138"/>
      <c r="E136" s="104"/>
      <c r="F136" s="275" t="str">
        <f>IF(D136="","",VLOOKUP(D136,'G-6 Hedgerow Data'!$B$2:$AG$15,2,FALSE))</f>
        <v/>
      </c>
      <c r="G136" s="276" t="str">
        <f>IF(D136="","",VLOOKUP(D136,'G-6 Hedgerow Data'!$B$2:$AG$15,3,FALSE))</f>
        <v/>
      </c>
      <c r="H136" s="101"/>
      <c r="I136" s="276" t="str">
        <f>IFERROR(IF(AND(D136&lt;&gt;"",H136=""),"Check data ⚠",(IF(H136="","",IF(AND(D136="Non-native and ornamental hedgerow",H136&lt;&gt;"Poor"),"Not possible ▲",(IF(AND(F136="V.Low",OR(H136="Good",H136="Moderate")),"Error ▲",VLOOKUP(H136,'G-1 All Habitats'!$Z$2:$AA$9,2,FALSE))))))),"")</f>
        <v/>
      </c>
      <c r="J136" s="105"/>
      <c r="K136" s="295" t="str">
        <f>IF(AND(J136="",D136&lt;&gt;""),"Check data ⚠",IF(J136="","",IF(VLOOKUP(J136,'G-3 Multipliers'!$L$3:$N$6,2,FALSE)=0,"Spatial Data Missing ⚠",VLOOKUP(J136,'G-3 Multipliers'!$L$3:$N$6,2,FALSE))))</f>
        <v/>
      </c>
      <c r="L136" s="299" t="str">
        <f>IF(J136="","",IF(VLOOKUP(J136,'G-3 Multipliers'!$L$3:$N$6,3,FALSE)=0,"Spatial Data Missing ⚠",VLOOKUP(J136,'G-3 Multipliers'!$L$3:$N$6,3,FALSE)))</f>
        <v/>
      </c>
      <c r="M136" s="336" t="str">
        <f>IF(D136="","",VLOOKUP(D136,'G-6 Hedgerow Data'!$B$1:$AH$15,33,FALSE))</f>
        <v/>
      </c>
      <c r="N136" s="289" t="str">
        <f t="shared" si="11"/>
        <v/>
      </c>
      <c r="O136" s="393"/>
      <c r="P136" s="281" t="str">
        <f>IF(O136="","",IF(VLOOKUP(O136,'G-3 Multipliers'!$S$3:$T$10,2,FALSE)=0,"Spatial Data Missing ⚠",VLOOKUP(O136,'G-3 Multipliers'!$S$3:$T$10,2,FALSE)))</f>
        <v/>
      </c>
      <c r="Q136" s="289" t="str">
        <f t="shared" si="12"/>
        <v/>
      </c>
      <c r="R136" s="32"/>
      <c r="S136" s="101"/>
      <c r="T136" s="108"/>
      <c r="U136" s="283" t="str">
        <f t="shared" si="13"/>
        <v/>
      </c>
      <c r="V136" s="283" t="str">
        <f t="shared" si="14"/>
        <v/>
      </c>
      <c r="W136" s="287" t="str">
        <f t="shared" si="15"/>
        <v/>
      </c>
      <c r="X136" s="291" t="str">
        <f t="shared" si="16"/>
        <v/>
      </c>
      <c r="Y136" s="105"/>
      <c r="Z136" s="104"/>
      <c r="AA136" s="104"/>
      <c r="AB136" s="104"/>
      <c r="AE136" s="30" t="str">
        <f>IFERROR(INDEX('G-6 Hedgerow Data'!$BJ$3:$BJ$15,MATCH(D136,'G-6 Hedgerow Data'!$B$3:$B$15,0)),"")</f>
        <v/>
      </c>
      <c r="AH136" s="107" t="str">
        <f t="shared" si="9"/>
        <v/>
      </c>
      <c r="AI136" s="107" t="str">
        <f t="shared" si="10"/>
        <v/>
      </c>
      <c r="AK136" s="107">
        <v>127</v>
      </c>
      <c r="AM136" s="107" t="str">
        <f t="array" ref="AM136">IFERROR(INDEX($AK$10:$AK$258,MATCH(0,IF(TRUE=$AH$10:$AH$258,COUNTIF($AM$9:$AM135,$AK$10:$AK$258),""),0)),"")</f>
        <v/>
      </c>
      <c r="AN136" s="107" t="str">
        <f t="array" ref="AN136">IFERROR(INDEX($AK$10:$AK$258,MATCH(0,IF(TRUE=$AI$10:$AI$258,COUNTIF($AN$9:$AN135,$AK$10:$AK$258),""),0)),"")</f>
        <v/>
      </c>
      <c r="AY136" s="283" t="str">
        <f t="shared" si="17"/>
        <v/>
      </c>
    </row>
    <row r="137" spans="2:51" ht="14">
      <c r="B137" s="97">
        <v>128</v>
      </c>
      <c r="C137" s="138"/>
      <c r="D137" s="138"/>
      <c r="E137" s="104"/>
      <c r="F137" s="275" t="str">
        <f>IF(D137="","",VLOOKUP(D137,'G-6 Hedgerow Data'!$B$2:$AG$15,2,FALSE))</f>
        <v/>
      </c>
      <c r="G137" s="276" t="str">
        <f>IF(D137="","",VLOOKUP(D137,'G-6 Hedgerow Data'!$B$2:$AG$15,3,FALSE))</f>
        <v/>
      </c>
      <c r="H137" s="101"/>
      <c r="I137" s="276" t="str">
        <f>IFERROR(IF(AND(D137&lt;&gt;"",H137=""),"Check data ⚠",(IF(H137="","",IF(AND(D137="Non-native and ornamental hedgerow",H137&lt;&gt;"Poor"),"Not possible ▲",(IF(AND(F137="V.Low",OR(H137="Good",H137="Moderate")),"Error ▲",VLOOKUP(H137,'G-1 All Habitats'!$Z$2:$AA$9,2,FALSE))))))),"")</f>
        <v/>
      </c>
      <c r="J137" s="105"/>
      <c r="K137" s="295" t="str">
        <f>IF(AND(J137="",D137&lt;&gt;""),"Check data ⚠",IF(J137="","",IF(VLOOKUP(J137,'G-3 Multipliers'!$L$3:$N$6,2,FALSE)=0,"Spatial Data Missing ⚠",VLOOKUP(J137,'G-3 Multipliers'!$L$3:$N$6,2,FALSE))))</f>
        <v/>
      </c>
      <c r="L137" s="299" t="str">
        <f>IF(J137="","",IF(VLOOKUP(J137,'G-3 Multipliers'!$L$3:$N$6,3,FALSE)=0,"Spatial Data Missing ⚠",VLOOKUP(J137,'G-3 Multipliers'!$L$3:$N$6,3,FALSE)))</f>
        <v/>
      </c>
      <c r="M137" s="336" t="str">
        <f>IF(D137="","",VLOOKUP(D137,'G-6 Hedgerow Data'!$B$1:$AH$15,33,FALSE))</f>
        <v/>
      </c>
      <c r="N137" s="289" t="str">
        <f t="shared" si="11"/>
        <v/>
      </c>
      <c r="O137" s="393"/>
      <c r="P137" s="281" t="str">
        <f>IF(O137="","",IF(VLOOKUP(O137,'G-3 Multipliers'!$S$3:$T$10,2,FALSE)=0,"Spatial Data Missing ⚠",VLOOKUP(O137,'G-3 Multipliers'!$S$3:$T$10,2,FALSE)))</f>
        <v/>
      </c>
      <c r="Q137" s="289" t="str">
        <f t="shared" si="12"/>
        <v/>
      </c>
      <c r="R137" s="32"/>
      <c r="S137" s="101"/>
      <c r="T137" s="108"/>
      <c r="U137" s="283" t="str">
        <f t="shared" si="13"/>
        <v/>
      </c>
      <c r="V137" s="283" t="str">
        <f t="shared" si="14"/>
        <v/>
      </c>
      <c r="W137" s="287" t="str">
        <f t="shared" si="15"/>
        <v/>
      </c>
      <c r="X137" s="291" t="str">
        <f t="shared" si="16"/>
        <v/>
      </c>
      <c r="Y137" s="105"/>
      <c r="Z137" s="104"/>
      <c r="AA137" s="104"/>
      <c r="AB137" s="104"/>
      <c r="AE137" s="30" t="str">
        <f>IFERROR(INDEX('G-6 Hedgerow Data'!$BJ$3:$BJ$15,MATCH(D137,'G-6 Hedgerow Data'!$B$3:$B$15,0)),"")</f>
        <v/>
      </c>
      <c r="AH137" s="107" t="str">
        <f t="shared" si="9"/>
        <v/>
      </c>
      <c r="AI137" s="107" t="str">
        <f t="shared" si="10"/>
        <v/>
      </c>
      <c r="AK137" s="107">
        <v>128</v>
      </c>
      <c r="AM137" s="107" t="str">
        <f t="array" ref="AM137">IFERROR(INDEX($AK$10:$AK$258,MATCH(0,IF(TRUE=$AH$10:$AH$258,COUNTIF($AM$9:$AM136,$AK$10:$AK$258),""),0)),"")</f>
        <v/>
      </c>
      <c r="AN137" s="107" t="str">
        <f t="array" ref="AN137">IFERROR(INDEX($AK$10:$AK$258,MATCH(0,IF(TRUE=$AI$10:$AI$258,COUNTIF($AN$9:$AN136,$AK$10:$AK$258),""),0)),"")</f>
        <v/>
      </c>
      <c r="AY137" s="283" t="str">
        <f t="shared" si="17"/>
        <v/>
      </c>
    </row>
    <row r="138" spans="2:51" ht="14">
      <c r="B138" s="97">
        <v>129</v>
      </c>
      <c r="C138" s="138"/>
      <c r="D138" s="138"/>
      <c r="E138" s="104"/>
      <c r="F138" s="275" t="str">
        <f>IF(D138="","",VLOOKUP(D138,'G-6 Hedgerow Data'!$B$2:$AG$15,2,FALSE))</f>
        <v/>
      </c>
      <c r="G138" s="276" t="str">
        <f>IF(D138="","",VLOOKUP(D138,'G-6 Hedgerow Data'!$B$2:$AG$15,3,FALSE))</f>
        <v/>
      </c>
      <c r="H138" s="101"/>
      <c r="I138" s="276" t="str">
        <f>IFERROR(IF(AND(D138&lt;&gt;"",H138=""),"Check data ⚠",(IF(H138="","",IF(AND(D138="Non-native and ornamental hedgerow",H138&lt;&gt;"Poor"),"Not possible ▲",(IF(AND(F138="V.Low",OR(H138="Good",H138="Moderate")),"Error ▲",VLOOKUP(H138,'G-1 All Habitats'!$Z$2:$AA$9,2,FALSE))))))),"")</f>
        <v/>
      </c>
      <c r="J138" s="105"/>
      <c r="K138" s="295" t="str">
        <f>IF(AND(J138="",D138&lt;&gt;""),"Check data ⚠",IF(J138="","",IF(VLOOKUP(J138,'G-3 Multipliers'!$L$3:$N$6,2,FALSE)=0,"Spatial Data Missing ⚠",VLOOKUP(J138,'G-3 Multipliers'!$L$3:$N$6,2,FALSE))))</f>
        <v/>
      </c>
      <c r="L138" s="299" t="str">
        <f>IF(J138="","",IF(VLOOKUP(J138,'G-3 Multipliers'!$L$3:$N$6,3,FALSE)=0,"Spatial Data Missing ⚠",VLOOKUP(J138,'G-3 Multipliers'!$L$3:$N$6,3,FALSE)))</f>
        <v/>
      </c>
      <c r="M138" s="336" t="str">
        <f>IF(D138="","",VLOOKUP(D138,'G-6 Hedgerow Data'!$B$1:$AH$15,33,FALSE))</f>
        <v/>
      </c>
      <c r="N138" s="289" t="str">
        <f t="shared" si="11"/>
        <v/>
      </c>
      <c r="O138" s="393"/>
      <c r="P138" s="281" t="str">
        <f>IF(O138="","",IF(VLOOKUP(O138,'G-3 Multipliers'!$S$3:$T$10,2,FALSE)=0,"Spatial Data Missing ⚠",VLOOKUP(O138,'G-3 Multipliers'!$S$3:$T$10,2,FALSE)))</f>
        <v/>
      </c>
      <c r="Q138" s="289" t="str">
        <f t="shared" si="12"/>
        <v/>
      </c>
      <c r="R138" s="32"/>
      <c r="S138" s="101"/>
      <c r="T138" s="108"/>
      <c r="U138" s="283" t="str">
        <f t="shared" si="13"/>
        <v/>
      </c>
      <c r="V138" s="283" t="str">
        <f t="shared" si="14"/>
        <v/>
      </c>
      <c r="W138" s="287" t="str">
        <f t="shared" si="15"/>
        <v/>
      </c>
      <c r="X138" s="291" t="str">
        <f t="shared" si="16"/>
        <v/>
      </c>
      <c r="Y138" s="105"/>
      <c r="Z138" s="104"/>
      <c r="AA138" s="104"/>
      <c r="AB138" s="104"/>
      <c r="AE138" s="30" t="str">
        <f>IFERROR(INDEX('G-6 Hedgerow Data'!$BJ$3:$BJ$15,MATCH(D138,'G-6 Hedgerow Data'!$B$3:$B$15,0)),"")</f>
        <v/>
      </c>
      <c r="AH138" s="107" t="str">
        <f t="shared" si="18" ref="AH138:AH201">IF(D138="","",IF(S138&gt;0,TRUE,FALSE))</f>
        <v/>
      </c>
      <c r="AI138" s="107" t="str">
        <f t="shared" si="19" ref="AI138:AI201">IF(D138="","",IF(T138&gt;0,TRUE,FALSE))</f>
        <v/>
      </c>
      <c r="AK138" s="107">
        <v>129</v>
      </c>
      <c r="AM138" s="107" t="str">
        <f t="array" ref="AM138">IFERROR(INDEX($AK$10:$AK$258,MATCH(0,IF(TRUE=$AH$10:$AH$258,COUNTIF($AM$9:$AM137,$AK$10:$AK$258),""),0)),"")</f>
        <v/>
      </c>
      <c r="AN138" s="107" t="str">
        <f t="array" ref="AN138">IFERROR(INDEX($AK$10:$AK$258,MATCH(0,IF(TRUE=$AI$10:$AI$258,COUNTIF($AN$9:$AN137,$AK$10:$AK$258),""),0)),"")</f>
        <v/>
      </c>
      <c r="AY138" s="283" t="str">
        <f t="shared" si="17"/>
        <v/>
      </c>
    </row>
    <row r="139" spans="2:51" ht="14">
      <c r="B139" s="97">
        <v>130</v>
      </c>
      <c r="C139" s="138"/>
      <c r="D139" s="138"/>
      <c r="E139" s="104"/>
      <c r="F139" s="275" t="str">
        <f>IF(D139="","",VLOOKUP(D139,'G-6 Hedgerow Data'!$B$2:$AG$15,2,FALSE))</f>
        <v/>
      </c>
      <c r="G139" s="276" t="str">
        <f>IF(D139="","",VLOOKUP(D139,'G-6 Hedgerow Data'!$B$2:$AG$15,3,FALSE))</f>
        <v/>
      </c>
      <c r="H139" s="101"/>
      <c r="I139" s="276" t="str">
        <f>IFERROR(IF(AND(D139&lt;&gt;"",H139=""),"Check data ⚠",(IF(H139="","",IF(AND(D139="Non-native and ornamental hedgerow",H139&lt;&gt;"Poor"),"Not possible ▲",(IF(AND(F139="V.Low",OR(H139="Good",H139="Moderate")),"Error ▲",VLOOKUP(H139,'G-1 All Habitats'!$Z$2:$AA$9,2,FALSE))))))),"")</f>
        <v/>
      </c>
      <c r="J139" s="105"/>
      <c r="K139" s="295" t="str">
        <f>IF(AND(J139="",D139&lt;&gt;""),"Check data ⚠",IF(J139="","",IF(VLOOKUP(J139,'G-3 Multipliers'!$L$3:$N$6,2,FALSE)=0,"Spatial Data Missing ⚠",VLOOKUP(J139,'G-3 Multipliers'!$L$3:$N$6,2,FALSE))))</f>
        <v/>
      </c>
      <c r="L139" s="299" t="str">
        <f>IF(J139="","",IF(VLOOKUP(J139,'G-3 Multipliers'!$L$3:$N$6,3,FALSE)=0,"Spatial Data Missing ⚠",VLOOKUP(J139,'G-3 Multipliers'!$L$3:$N$6,3,FALSE)))</f>
        <v/>
      </c>
      <c r="M139" s="336" t="str">
        <f>IF(D139="","",VLOOKUP(D139,'G-6 Hedgerow Data'!$B$1:$AH$15,33,FALSE))</f>
        <v/>
      </c>
      <c r="N139" s="289" t="str">
        <f t="shared" si="20" ref="N139:N202">IFERROR(IF(Q139="Check data ⚠","Check data ⚠",(E139*G139*I139*L139*P139)),"")</f>
        <v/>
      </c>
      <c r="O139" s="393"/>
      <c r="P139" s="281" t="str">
        <f>IF(O139="","",IF(VLOOKUP(O139,'G-3 Multipliers'!$S$3:$T$10,2,FALSE)=0,"Spatial Data Missing ⚠",VLOOKUP(O139,'G-3 Multipliers'!$S$3:$T$10,2,FALSE)))</f>
        <v/>
      </c>
      <c r="Q139" s="289" t="str">
        <f t="shared" si="21" ref="Q139:Q202">IFERROR(IF(OR(K139="Check data ⚠",I139="Check data ⚠",W139="Error in lengths ▲"),"Check data ▲",(IF(AND(O139&lt;&gt;"",AB139=""),"Off-site reference required ▲",(IF(O139="","",E139*G139*I139*L139))))),"")</f>
        <v/>
      </c>
      <c r="R139" s="32"/>
      <c r="S139" s="101"/>
      <c r="T139" s="108"/>
      <c r="U139" s="283" t="str">
        <f t="shared" si="22" ref="U139:U202">IFERROR(S139*G139*I139*L139,"")</f>
        <v/>
      </c>
      <c r="V139" s="283" t="str">
        <f t="shared" si="23" ref="V139:V202">IFERROR(T139*G139*I139*L139,"")</f>
        <v/>
      </c>
      <c r="W139" s="287" t="str">
        <f t="shared" si="24" ref="W139:W202">IF(D139="","",IF(E139&lt;S139+T139,"Error in Lengths ▲",E139-S139-T139))</f>
        <v/>
      </c>
      <c r="X139" s="291" t="str">
        <f t="shared" si="25" ref="X139:X202">IF(Q139="Check data ⚠","Check data ⚠",IF(OR(E139="",N139=""),"",IF(E139&lt;S139+T139,"Error in Lengths",Q139-U139-V139)))</f>
        <v/>
      </c>
      <c r="Y139" s="105"/>
      <c r="Z139" s="104"/>
      <c r="AA139" s="104"/>
      <c r="AB139" s="104"/>
      <c r="AE139" s="30" t="str">
        <f>IFERROR(INDEX('G-6 Hedgerow Data'!$BJ$3:$BJ$15,MATCH(D139,'G-6 Hedgerow Data'!$B$3:$B$15,0)),"")</f>
        <v/>
      </c>
      <c r="AH139" s="107" t="str">
        <f t="shared" si="18"/>
        <v/>
      </c>
      <c r="AI139" s="107" t="str">
        <f t="shared" si="19"/>
        <v/>
      </c>
      <c r="AK139" s="107">
        <v>130</v>
      </c>
      <c r="AM139" s="107" t="str">
        <f t="array" ref="AM139">IFERROR(INDEX($AK$10:$AK$258,MATCH(0,IF(TRUE=$AH$10:$AH$258,COUNTIF($AM$9:$AM138,$AK$10:$AK$258),""),0)),"")</f>
        <v/>
      </c>
      <c r="AN139" s="107" t="str">
        <f t="array" ref="AN139">IFERROR(INDEX($AK$10:$AK$258,MATCH(0,IF(TRUE=$AI$10:$AI$258,COUNTIF($AN$9:$AN138,$AK$10:$AK$258),""),0)),"")</f>
        <v/>
      </c>
      <c r="AY139" s="283" t="str">
        <f t="shared" si="26" ref="AY139:AY202">IFERROR(S139*G139*I139*L139*P139,"")</f>
        <v/>
      </c>
    </row>
    <row r="140" spans="2:51" ht="14">
      <c r="B140" s="97">
        <v>131</v>
      </c>
      <c r="C140" s="138"/>
      <c r="D140" s="138"/>
      <c r="E140" s="104"/>
      <c r="F140" s="275" t="str">
        <f>IF(D140="","",VLOOKUP(D140,'G-6 Hedgerow Data'!$B$2:$AG$15,2,FALSE))</f>
        <v/>
      </c>
      <c r="G140" s="276" t="str">
        <f>IF(D140="","",VLOOKUP(D140,'G-6 Hedgerow Data'!$B$2:$AG$15,3,FALSE))</f>
        <v/>
      </c>
      <c r="H140" s="101"/>
      <c r="I140" s="276" t="str">
        <f>IFERROR(IF(AND(D140&lt;&gt;"",H140=""),"Check data ⚠",(IF(H140="","",IF(AND(D140="Non-native and ornamental hedgerow",H140&lt;&gt;"Poor"),"Not possible ▲",(IF(AND(F140="V.Low",OR(H140="Good",H140="Moderate")),"Error ▲",VLOOKUP(H140,'G-1 All Habitats'!$Z$2:$AA$9,2,FALSE))))))),"")</f>
        <v/>
      </c>
      <c r="J140" s="105"/>
      <c r="K140" s="295" t="str">
        <f>IF(AND(J140="",D140&lt;&gt;""),"Check data ⚠",IF(J140="","",IF(VLOOKUP(J140,'G-3 Multipliers'!$L$3:$N$6,2,FALSE)=0,"Spatial Data Missing ⚠",VLOOKUP(J140,'G-3 Multipliers'!$L$3:$N$6,2,FALSE))))</f>
        <v/>
      </c>
      <c r="L140" s="299" t="str">
        <f>IF(J140="","",IF(VLOOKUP(J140,'G-3 Multipliers'!$L$3:$N$6,3,FALSE)=0,"Spatial Data Missing ⚠",VLOOKUP(J140,'G-3 Multipliers'!$L$3:$N$6,3,FALSE)))</f>
        <v/>
      </c>
      <c r="M140" s="336" t="str">
        <f>IF(D140="","",VLOOKUP(D140,'G-6 Hedgerow Data'!$B$1:$AH$15,33,FALSE))</f>
        <v/>
      </c>
      <c r="N140" s="289" t="str">
        <f t="shared" si="20"/>
        <v/>
      </c>
      <c r="O140" s="393"/>
      <c r="P140" s="281" t="str">
        <f>IF(O140="","",IF(VLOOKUP(O140,'G-3 Multipliers'!$S$3:$T$10,2,FALSE)=0,"Spatial Data Missing ⚠",VLOOKUP(O140,'G-3 Multipliers'!$S$3:$T$10,2,FALSE)))</f>
        <v/>
      </c>
      <c r="Q140" s="289" t="str">
        <f t="shared" si="21"/>
        <v/>
      </c>
      <c r="R140" s="32"/>
      <c r="S140" s="101"/>
      <c r="T140" s="108"/>
      <c r="U140" s="283" t="str">
        <f t="shared" si="22"/>
        <v/>
      </c>
      <c r="V140" s="283" t="str">
        <f t="shared" si="23"/>
        <v/>
      </c>
      <c r="W140" s="287" t="str">
        <f t="shared" si="24"/>
        <v/>
      </c>
      <c r="X140" s="291" t="str">
        <f t="shared" si="25"/>
        <v/>
      </c>
      <c r="Y140" s="105"/>
      <c r="Z140" s="104"/>
      <c r="AA140" s="104"/>
      <c r="AB140" s="104"/>
      <c r="AE140" s="30" t="str">
        <f>IFERROR(INDEX('G-6 Hedgerow Data'!$BJ$3:$BJ$15,MATCH(D140,'G-6 Hedgerow Data'!$B$3:$B$15,0)),"")</f>
        <v/>
      </c>
      <c r="AH140" s="107" t="str">
        <f t="shared" si="18"/>
        <v/>
      </c>
      <c r="AI140" s="107" t="str">
        <f t="shared" si="19"/>
        <v/>
      </c>
      <c r="AK140" s="107">
        <v>131</v>
      </c>
      <c r="AM140" s="107" t="str">
        <f t="array" ref="AM140">IFERROR(INDEX($AK$10:$AK$258,MATCH(0,IF(TRUE=$AH$10:$AH$258,COUNTIF($AM$9:$AM139,$AK$10:$AK$258),""),0)),"")</f>
        <v/>
      </c>
      <c r="AN140" s="107" t="str">
        <f t="array" ref="AN140">IFERROR(INDEX($AK$10:$AK$258,MATCH(0,IF(TRUE=$AI$10:$AI$258,COUNTIF($AN$9:$AN139,$AK$10:$AK$258),""),0)),"")</f>
        <v/>
      </c>
      <c r="AY140" s="283" t="str">
        <f t="shared" si="26"/>
        <v/>
      </c>
    </row>
    <row r="141" spans="2:51" ht="14">
      <c r="B141" s="97">
        <v>132</v>
      </c>
      <c r="C141" s="138"/>
      <c r="D141" s="138"/>
      <c r="E141" s="104"/>
      <c r="F141" s="275" t="str">
        <f>IF(D141="","",VLOOKUP(D141,'G-6 Hedgerow Data'!$B$2:$AG$15,2,FALSE))</f>
        <v/>
      </c>
      <c r="G141" s="276" t="str">
        <f>IF(D141="","",VLOOKUP(D141,'G-6 Hedgerow Data'!$B$2:$AG$15,3,FALSE))</f>
        <v/>
      </c>
      <c r="H141" s="101"/>
      <c r="I141" s="276" t="str">
        <f>IFERROR(IF(AND(D141&lt;&gt;"",H141=""),"Check data ⚠",(IF(H141="","",IF(AND(D141="Non-native and ornamental hedgerow",H141&lt;&gt;"Poor"),"Not possible ▲",(IF(AND(F141="V.Low",OR(H141="Good",H141="Moderate")),"Error ▲",VLOOKUP(H141,'G-1 All Habitats'!$Z$2:$AA$9,2,FALSE))))))),"")</f>
        <v/>
      </c>
      <c r="J141" s="105"/>
      <c r="K141" s="295" t="str">
        <f>IF(AND(J141="",D141&lt;&gt;""),"Check data ⚠",IF(J141="","",IF(VLOOKUP(J141,'G-3 Multipliers'!$L$3:$N$6,2,FALSE)=0,"Spatial Data Missing ⚠",VLOOKUP(J141,'G-3 Multipliers'!$L$3:$N$6,2,FALSE))))</f>
        <v/>
      </c>
      <c r="L141" s="299" t="str">
        <f>IF(J141="","",IF(VLOOKUP(J141,'G-3 Multipliers'!$L$3:$N$6,3,FALSE)=0,"Spatial Data Missing ⚠",VLOOKUP(J141,'G-3 Multipliers'!$L$3:$N$6,3,FALSE)))</f>
        <v/>
      </c>
      <c r="M141" s="336" t="str">
        <f>IF(D141="","",VLOOKUP(D141,'G-6 Hedgerow Data'!$B$1:$AH$15,33,FALSE))</f>
        <v/>
      </c>
      <c r="N141" s="289" t="str">
        <f t="shared" si="20"/>
        <v/>
      </c>
      <c r="O141" s="393"/>
      <c r="P141" s="281" t="str">
        <f>IF(O141="","",IF(VLOOKUP(O141,'G-3 Multipliers'!$S$3:$T$10,2,FALSE)=0,"Spatial Data Missing ⚠",VLOOKUP(O141,'G-3 Multipliers'!$S$3:$T$10,2,FALSE)))</f>
        <v/>
      </c>
      <c r="Q141" s="289" t="str">
        <f t="shared" si="21"/>
        <v/>
      </c>
      <c r="R141" s="32"/>
      <c r="S141" s="101"/>
      <c r="T141" s="108"/>
      <c r="U141" s="283" t="str">
        <f t="shared" si="22"/>
        <v/>
      </c>
      <c r="V141" s="283" t="str">
        <f t="shared" si="23"/>
        <v/>
      </c>
      <c r="W141" s="287" t="str">
        <f t="shared" si="24"/>
        <v/>
      </c>
      <c r="X141" s="291" t="str">
        <f t="shared" si="25"/>
        <v/>
      </c>
      <c r="Y141" s="105"/>
      <c r="Z141" s="104"/>
      <c r="AA141" s="104"/>
      <c r="AB141" s="104"/>
      <c r="AE141" s="30" t="str">
        <f>IFERROR(INDEX('G-6 Hedgerow Data'!$BJ$3:$BJ$15,MATCH(D141,'G-6 Hedgerow Data'!$B$3:$B$15,0)),"")</f>
        <v/>
      </c>
      <c r="AH141" s="107" t="str">
        <f t="shared" si="18"/>
        <v/>
      </c>
      <c r="AI141" s="107" t="str">
        <f t="shared" si="19"/>
        <v/>
      </c>
      <c r="AK141" s="107">
        <v>132</v>
      </c>
      <c r="AM141" s="107" t="str">
        <f t="array" ref="AM141">IFERROR(INDEX($AK$10:$AK$258,MATCH(0,IF(TRUE=$AH$10:$AH$258,COUNTIF($AM$9:$AM140,$AK$10:$AK$258),""),0)),"")</f>
        <v/>
      </c>
      <c r="AN141" s="107" t="str">
        <f t="array" ref="AN141">IFERROR(INDEX($AK$10:$AK$258,MATCH(0,IF(TRUE=$AI$10:$AI$258,COUNTIF($AN$9:$AN140,$AK$10:$AK$258),""),0)),"")</f>
        <v/>
      </c>
      <c r="AY141" s="283" t="str">
        <f t="shared" si="26"/>
        <v/>
      </c>
    </row>
    <row r="142" spans="2:51" ht="14">
      <c r="B142" s="97">
        <v>133</v>
      </c>
      <c r="C142" s="138"/>
      <c r="D142" s="138"/>
      <c r="E142" s="104"/>
      <c r="F142" s="275" t="str">
        <f>IF(D142="","",VLOOKUP(D142,'G-6 Hedgerow Data'!$B$2:$AG$15,2,FALSE))</f>
        <v/>
      </c>
      <c r="G142" s="276" t="str">
        <f>IF(D142="","",VLOOKUP(D142,'G-6 Hedgerow Data'!$B$2:$AG$15,3,FALSE))</f>
        <v/>
      </c>
      <c r="H142" s="101"/>
      <c r="I142" s="276" t="str">
        <f>IFERROR(IF(AND(D142&lt;&gt;"",H142=""),"Check data ⚠",(IF(H142="","",IF(AND(D142="Non-native and ornamental hedgerow",H142&lt;&gt;"Poor"),"Not possible ▲",(IF(AND(F142="V.Low",OR(H142="Good",H142="Moderate")),"Error ▲",VLOOKUP(H142,'G-1 All Habitats'!$Z$2:$AA$9,2,FALSE))))))),"")</f>
        <v/>
      </c>
      <c r="J142" s="105"/>
      <c r="K142" s="295" t="str">
        <f>IF(AND(J142="",D142&lt;&gt;""),"Check data ⚠",IF(J142="","",IF(VLOOKUP(J142,'G-3 Multipliers'!$L$3:$N$6,2,FALSE)=0,"Spatial Data Missing ⚠",VLOOKUP(J142,'G-3 Multipliers'!$L$3:$N$6,2,FALSE))))</f>
        <v/>
      </c>
      <c r="L142" s="299" t="str">
        <f>IF(J142="","",IF(VLOOKUP(J142,'G-3 Multipliers'!$L$3:$N$6,3,FALSE)=0,"Spatial Data Missing ⚠",VLOOKUP(J142,'G-3 Multipliers'!$L$3:$N$6,3,FALSE)))</f>
        <v/>
      </c>
      <c r="M142" s="336" t="str">
        <f>IF(D142="","",VLOOKUP(D142,'G-6 Hedgerow Data'!$B$1:$AH$15,33,FALSE))</f>
        <v/>
      </c>
      <c r="N142" s="289" t="str">
        <f t="shared" si="20"/>
        <v/>
      </c>
      <c r="O142" s="393"/>
      <c r="P142" s="281" t="str">
        <f>IF(O142="","",IF(VLOOKUP(O142,'G-3 Multipliers'!$S$3:$T$10,2,FALSE)=0,"Spatial Data Missing ⚠",VLOOKUP(O142,'G-3 Multipliers'!$S$3:$T$10,2,FALSE)))</f>
        <v/>
      </c>
      <c r="Q142" s="289" t="str">
        <f t="shared" si="21"/>
        <v/>
      </c>
      <c r="R142" s="32"/>
      <c r="S142" s="101"/>
      <c r="T142" s="108"/>
      <c r="U142" s="283" t="str">
        <f t="shared" si="22"/>
        <v/>
      </c>
      <c r="V142" s="283" t="str">
        <f t="shared" si="23"/>
        <v/>
      </c>
      <c r="W142" s="287" t="str">
        <f t="shared" si="24"/>
        <v/>
      </c>
      <c r="X142" s="291" t="str">
        <f t="shared" si="25"/>
        <v/>
      </c>
      <c r="Y142" s="105"/>
      <c r="Z142" s="104"/>
      <c r="AA142" s="104"/>
      <c r="AB142" s="104"/>
      <c r="AE142" s="30" t="str">
        <f>IFERROR(INDEX('G-6 Hedgerow Data'!$BJ$3:$BJ$15,MATCH(D142,'G-6 Hedgerow Data'!$B$3:$B$15,0)),"")</f>
        <v/>
      </c>
      <c r="AH142" s="107" t="str">
        <f t="shared" si="18"/>
        <v/>
      </c>
      <c r="AI142" s="107" t="str">
        <f t="shared" si="19"/>
        <v/>
      </c>
      <c r="AK142" s="107">
        <v>133</v>
      </c>
      <c r="AM142" s="107" t="str">
        <f t="array" ref="AM142">IFERROR(INDEX($AK$10:$AK$258,MATCH(0,IF(TRUE=$AH$10:$AH$258,COUNTIF($AM$9:$AM141,$AK$10:$AK$258),""),0)),"")</f>
        <v/>
      </c>
      <c r="AN142" s="107" t="str">
        <f t="array" ref="AN142">IFERROR(INDEX($AK$10:$AK$258,MATCH(0,IF(TRUE=$AI$10:$AI$258,COUNTIF($AN$9:$AN141,$AK$10:$AK$258),""),0)),"")</f>
        <v/>
      </c>
      <c r="AY142" s="283" t="str">
        <f t="shared" si="26"/>
        <v/>
      </c>
    </row>
    <row r="143" spans="2:51" ht="14">
      <c r="B143" s="97">
        <v>134</v>
      </c>
      <c r="C143" s="138"/>
      <c r="D143" s="138"/>
      <c r="E143" s="104"/>
      <c r="F143" s="275" t="str">
        <f>IF(D143="","",VLOOKUP(D143,'G-6 Hedgerow Data'!$B$2:$AG$15,2,FALSE))</f>
        <v/>
      </c>
      <c r="G143" s="276" t="str">
        <f>IF(D143="","",VLOOKUP(D143,'G-6 Hedgerow Data'!$B$2:$AG$15,3,FALSE))</f>
        <v/>
      </c>
      <c r="H143" s="101"/>
      <c r="I143" s="276" t="str">
        <f>IFERROR(IF(AND(D143&lt;&gt;"",H143=""),"Check data ⚠",(IF(H143="","",IF(AND(D143="Non-native and ornamental hedgerow",H143&lt;&gt;"Poor"),"Not possible ▲",(IF(AND(F143="V.Low",OR(H143="Good",H143="Moderate")),"Error ▲",VLOOKUP(H143,'G-1 All Habitats'!$Z$2:$AA$9,2,FALSE))))))),"")</f>
        <v/>
      </c>
      <c r="J143" s="105"/>
      <c r="K143" s="295" t="str">
        <f>IF(AND(J143="",D143&lt;&gt;""),"Check data ⚠",IF(J143="","",IF(VLOOKUP(J143,'G-3 Multipliers'!$L$3:$N$6,2,FALSE)=0,"Spatial Data Missing ⚠",VLOOKUP(J143,'G-3 Multipliers'!$L$3:$N$6,2,FALSE))))</f>
        <v/>
      </c>
      <c r="L143" s="299" t="str">
        <f>IF(J143="","",IF(VLOOKUP(J143,'G-3 Multipliers'!$L$3:$N$6,3,FALSE)=0,"Spatial Data Missing ⚠",VLOOKUP(J143,'G-3 Multipliers'!$L$3:$N$6,3,FALSE)))</f>
        <v/>
      </c>
      <c r="M143" s="336" t="str">
        <f>IF(D143="","",VLOOKUP(D143,'G-6 Hedgerow Data'!$B$1:$AH$15,33,FALSE))</f>
        <v/>
      </c>
      <c r="N143" s="289" t="str">
        <f t="shared" si="20"/>
        <v/>
      </c>
      <c r="O143" s="393"/>
      <c r="P143" s="281" t="str">
        <f>IF(O143="","",IF(VLOOKUP(O143,'G-3 Multipliers'!$S$3:$T$10,2,FALSE)=0,"Spatial Data Missing ⚠",VLOOKUP(O143,'G-3 Multipliers'!$S$3:$T$10,2,FALSE)))</f>
        <v/>
      </c>
      <c r="Q143" s="289" t="str">
        <f t="shared" si="21"/>
        <v/>
      </c>
      <c r="R143" s="32"/>
      <c r="S143" s="101"/>
      <c r="T143" s="108"/>
      <c r="U143" s="283" t="str">
        <f t="shared" si="22"/>
        <v/>
      </c>
      <c r="V143" s="283" t="str">
        <f t="shared" si="23"/>
        <v/>
      </c>
      <c r="W143" s="287" t="str">
        <f t="shared" si="24"/>
        <v/>
      </c>
      <c r="X143" s="291" t="str">
        <f t="shared" si="25"/>
        <v/>
      </c>
      <c r="Y143" s="105"/>
      <c r="Z143" s="104"/>
      <c r="AA143" s="104"/>
      <c r="AB143" s="104"/>
      <c r="AE143" s="30" t="str">
        <f>IFERROR(INDEX('G-6 Hedgerow Data'!$BJ$3:$BJ$15,MATCH(D143,'G-6 Hedgerow Data'!$B$3:$B$15,0)),"")</f>
        <v/>
      </c>
      <c r="AH143" s="107" t="str">
        <f t="shared" si="18"/>
        <v/>
      </c>
      <c r="AI143" s="107" t="str">
        <f t="shared" si="19"/>
        <v/>
      </c>
      <c r="AK143" s="107">
        <v>134</v>
      </c>
      <c r="AM143" s="107" t="str">
        <f t="array" ref="AM143">IFERROR(INDEX($AK$10:$AK$258,MATCH(0,IF(TRUE=$AH$10:$AH$258,COUNTIF($AM$9:$AM142,$AK$10:$AK$258),""),0)),"")</f>
        <v/>
      </c>
      <c r="AN143" s="107" t="str">
        <f t="array" ref="AN143">IFERROR(INDEX($AK$10:$AK$258,MATCH(0,IF(TRUE=$AI$10:$AI$258,COUNTIF($AN$9:$AN142,$AK$10:$AK$258),""),0)),"")</f>
        <v/>
      </c>
      <c r="AY143" s="283" t="str">
        <f t="shared" si="26"/>
        <v/>
      </c>
    </row>
    <row r="144" spans="2:51" ht="14">
      <c r="B144" s="97">
        <v>135</v>
      </c>
      <c r="C144" s="138"/>
      <c r="D144" s="138"/>
      <c r="E144" s="104"/>
      <c r="F144" s="275" t="str">
        <f>IF(D144="","",VLOOKUP(D144,'G-6 Hedgerow Data'!$B$2:$AG$15,2,FALSE))</f>
        <v/>
      </c>
      <c r="G144" s="276" t="str">
        <f>IF(D144="","",VLOOKUP(D144,'G-6 Hedgerow Data'!$B$2:$AG$15,3,FALSE))</f>
        <v/>
      </c>
      <c r="H144" s="101"/>
      <c r="I144" s="276" t="str">
        <f>IFERROR(IF(AND(D144&lt;&gt;"",H144=""),"Check data ⚠",(IF(H144="","",IF(AND(D144="Non-native and ornamental hedgerow",H144&lt;&gt;"Poor"),"Not possible ▲",(IF(AND(F144="V.Low",OR(H144="Good",H144="Moderate")),"Error ▲",VLOOKUP(H144,'G-1 All Habitats'!$Z$2:$AA$9,2,FALSE))))))),"")</f>
        <v/>
      </c>
      <c r="J144" s="105"/>
      <c r="K144" s="295" t="str">
        <f>IF(AND(J144="",D144&lt;&gt;""),"Check data ⚠",IF(J144="","",IF(VLOOKUP(J144,'G-3 Multipliers'!$L$3:$N$6,2,FALSE)=0,"Spatial Data Missing ⚠",VLOOKUP(J144,'G-3 Multipliers'!$L$3:$N$6,2,FALSE))))</f>
        <v/>
      </c>
      <c r="L144" s="299" t="str">
        <f>IF(J144="","",IF(VLOOKUP(J144,'G-3 Multipliers'!$L$3:$N$6,3,FALSE)=0,"Spatial Data Missing ⚠",VLOOKUP(J144,'G-3 Multipliers'!$L$3:$N$6,3,FALSE)))</f>
        <v/>
      </c>
      <c r="M144" s="336" t="str">
        <f>IF(D144="","",VLOOKUP(D144,'G-6 Hedgerow Data'!$B$1:$AH$15,33,FALSE))</f>
        <v/>
      </c>
      <c r="N144" s="289" t="str">
        <f t="shared" si="20"/>
        <v/>
      </c>
      <c r="O144" s="393"/>
      <c r="P144" s="281" t="str">
        <f>IF(O144="","",IF(VLOOKUP(O144,'G-3 Multipliers'!$S$3:$T$10,2,FALSE)=0,"Spatial Data Missing ⚠",VLOOKUP(O144,'G-3 Multipliers'!$S$3:$T$10,2,FALSE)))</f>
        <v/>
      </c>
      <c r="Q144" s="289" t="str">
        <f t="shared" si="21"/>
        <v/>
      </c>
      <c r="R144" s="32"/>
      <c r="S144" s="101"/>
      <c r="T144" s="108"/>
      <c r="U144" s="283" t="str">
        <f t="shared" si="22"/>
        <v/>
      </c>
      <c r="V144" s="283" t="str">
        <f t="shared" si="23"/>
        <v/>
      </c>
      <c r="W144" s="287" t="str">
        <f t="shared" si="24"/>
        <v/>
      </c>
      <c r="X144" s="291" t="str">
        <f t="shared" si="25"/>
        <v/>
      </c>
      <c r="Y144" s="105"/>
      <c r="Z144" s="104"/>
      <c r="AA144" s="104"/>
      <c r="AB144" s="104"/>
      <c r="AE144" s="30" t="str">
        <f>IFERROR(INDEX('G-6 Hedgerow Data'!$BJ$3:$BJ$15,MATCH(D144,'G-6 Hedgerow Data'!$B$3:$B$15,0)),"")</f>
        <v/>
      </c>
      <c r="AH144" s="107" t="str">
        <f t="shared" si="18"/>
        <v/>
      </c>
      <c r="AI144" s="107" t="str">
        <f t="shared" si="19"/>
        <v/>
      </c>
      <c r="AK144" s="107">
        <v>135</v>
      </c>
      <c r="AM144" s="107" t="str">
        <f t="array" ref="AM144">IFERROR(INDEX($AK$10:$AK$258,MATCH(0,IF(TRUE=$AH$10:$AH$258,COUNTIF($AM$9:$AM143,$AK$10:$AK$258),""),0)),"")</f>
        <v/>
      </c>
      <c r="AN144" s="107" t="str">
        <f t="array" ref="AN144">IFERROR(INDEX($AK$10:$AK$258,MATCH(0,IF(TRUE=$AI$10:$AI$258,COUNTIF($AN$9:$AN143,$AK$10:$AK$258),""),0)),"")</f>
        <v/>
      </c>
      <c r="AY144" s="283" t="str">
        <f t="shared" si="26"/>
        <v/>
      </c>
    </row>
    <row r="145" spans="2:51" ht="14">
      <c r="B145" s="97">
        <v>136</v>
      </c>
      <c r="C145" s="138"/>
      <c r="D145" s="138"/>
      <c r="E145" s="104"/>
      <c r="F145" s="275" t="str">
        <f>IF(D145="","",VLOOKUP(D145,'G-6 Hedgerow Data'!$B$2:$AG$15,2,FALSE))</f>
        <v/>
      </c>
      <c r="G145" s="276" t="str">
        <f>IF(D145="","",VLOOKUP(D145,'G-6 Hedgerow Data'!$B$2:$AG$15,3,FALSE))</f>
        <v/>
      </c>
      <c r="H145" s="101"/>
      <c r="I145" s="276" t="str">
        <f>IFERROR(IF(AND(D145&lt;&gt;"",H145=""),"Check data ⚠",(IF(H145="","",IF(AND(D145="Non-native and ornamental hedgerow",H145&lt;&gt;"Poor"),"Not possible ▲",(IF(AND(F145="V.Low",OR(H145="Good",H145="Moderate")),"Error ▲",VLOOKUP(H145,'G-1 All Habitats'!$Z$2:$AA$9,2,FALSE))))))),"")</f>
        <v/>
      </c>
      <c r="J145" s="105"/>
      <c r="K145" s="295" t="str">
        <f>IF(AND(J145="",D145&lt;&gt;""),"Check data ⚠",IF(J145="","",IF(VLOOKUP(J145,'G-3 Multipliers'!$L$3:$N$6,2,FALSE)=0,"Spatial Data Missing ⚠",VLOOKUP(J145,'G-3 Multipliers'!$L$3:$N$6,2,FALSE))))</f>
        <v/>
      </c>
      <c r="L145" s="299" t="str">
        <f>IF(J145="","",IF(VLOOKUP(J145,'G-3 Multipliers'!$L$3:$N$6,3,FALSE)=0,"Spatial Data Missing ⚠",VLOOKUP(J145,'G-3 Multipliers'!$L$3:$N$6,3,FALSE)))</f>
        <v/>
      </c>
      <c r="M145" s="336" t="str">
        <f>IF(D145="","",VLOOKUP(D145,'G-6 Hedgerow Data'!$B$1:$AH$15,33,FALSE))</f>
        <v/>
      </c>
      <c r="N145" s="289" t="str">
        <f t="shared" si="20"/>
        <v/>
      </c>
      <c r="O145" s="393"/>
      <c r="P145" s="281" t="str">
        <f>IF(O145="","",IF(VLOOKUP(O145,'G-3 Multipliers'!$S$3:$T$10,2,FALSE)=0,"Spatial Data Missing ⚠",VLOOKUP(O145,'G-3 Multipliers'!$S$3:$T$10,2,FALSE)))</f>
        <v/>
      </c>
      <c r="Q145" s="289" t="str">
        <f t="shared" si="21"/>
        <v/>
      </c>
      <c r="R145" s="32"/>
      <c r="S145" s="101"/>
      <c r="T145" s="108"/>
      <c r="U145" s="283" t="str">
        <f t="shared" si="22"/>
        <v/>
      </c>
      <c r="V145" s="283" t="str">
        <f t="shared" si="23"/>
        <v/>
      </c>
      <c r="W145" s="287" t="str">
        <f t="shared" si="24"/>
        <v/>
      </c>
      <c r="X145" s="291" t="str">
        <f t="shared" si="25"/>
        <v/>
      </c>
      <c r="Y145" s="105"/>
      <c r="Z145" s="104"/>
      <c r="AA145" s="104"/>
      <c r="AB145" s="104"/>
      <c r="AE145" s="30" t="str">
        <f>IFERROR(INDEX('G-6 Hedgerow Data'!$BJ$3:$BJ$15,MATCH(D145,'G-6 Hedgerow Data'!$B$3:$B$15,0)),"")</f>
        <v/>
      </c>
      <c r="AH145" s="107" t="str">
        <f t="shared" si="18"/>
        <v/>
      </c>
      <c r="AI145" s="107" t="str">
        <f t="shared" si="19"/>
        <v/>
      </c>
      <c r="AK145" s="107">
        <v>136</v>
      </c>
      <c r="AM145" s="107" t="str">
        <f t="array" ref="AM145">IFERROR(INDEX($AK$10:$AK$258,MATCH(0,IF(TRUE=$AH$10:$AH$258,COUNTIF($AM$9:$AM144,$AK$10:$AK$258),""),0)),"")</f>
        <v/>
      </c>
      <c r="AN145" s="107" t="str">
        <f t="array" ref="AN145">IFERROR(INDEX($AK$10:$AK$258,MATCH(0,IF(TRUE=$AI$10:$AI$258,COUNTIF($AN$9:$AN144,$AK$10:$AK$258),""),0)),"")</f>
        <v/>
      </c>
      <c r="AY145" s="283" t="str">
        <f t="shared" si="26"/>
        <v/>
      </c>
    </row>
    <row r="146" spans="2:51" ht="14">
      <c r="B146" s="97">
        <v>137</v>
      </c>
      <c r="C146" s="138"/>
      <c r="D146" s="138"/>
      <c r="E146" s="104"/>
      <c r="F146" s="275" t="str">
        <f>IF(D146="","",VLOOKUP(D146,'G-6 Hedgerow Data'!$B$2:$AG$15,2,FALSE))</f>
        <v/>
      </c>
      <c r="G146" s="276" t="str">
        <f>IF(D146="","",VLOOKUP(D146,'G-6 Hedgerow Data'!$B$2:$AG$15,3,FALSE))</f>
        <v/>
      </c>
      <c r="H146" s="101"/>
      <c r="I146" s="276" t="str">
        <f>IFERROR(IF(AND(D146&lt;&gt;"",H146=""),"Check data ⚠",(IF(H146="","",IF(AND(D146="Non-native and ornamental hedgerow",H146&lt;&gt;"Poor"),"Not possible ▲",(IF(AND(F146="V.Low",OR(H146="Good",H146="Moderate")),"Error ▲",VLOOKUP(H146,'G-1 All Habitats'!$Z$2:$AA$9,2,FALSE))))))),"")</f>
        <v/>
      </c>
      <c r="J146" s="105"/>
      <c r="K146" s="295" t="str">
        <f>IF(AND(J146="",D146&lt;&gt;""),"Check data ⚠",IF(J146="","",IF(VLOOKUP(J146,'G-3 Multipliers'!$L$3:$N$6,2,FALSE)=0,"Spatial Data Missing ⚠",VLOOKUP(J146,'G-3 Multipliers'!$L$3:$N$6,2,FALSE))))</f>
        <v/>
      </c>
      <c r="L146" s="299" t="str">
        <f>IF(J146="","",IF(VLOOKUP(J146,'G-3 Multipliers'!$L$3:$N$6,3,FALSE)=0,"Spatial Data Missing ⚠",VLOOKUP(J146,'G-3 Multipliers'!$L$3:$N$6,3,FALSE)))</f>
        <v/>
      </c>
      <c r="M146" s="336" t="str">
        <f>IF(D146="","",VLOOKUP(D146,'G-6 Hedgerow Data'!$B$1:$AH$15,33,FALSE))</f>
        <v/>
      </c>
      <c r="N146" s="289" t="str">
        <f t="shared" si="20"/>
        <v/>
      </c>
      <c r="O146" s="393"/>
      <c r="P146" s="281" t="str">
        <f>IF(O146="","",IF(VLOOKUP(O146,'G-3 Multipliers'!$S$3:$T$10,2,FALSE)=0,"Spatial Data Missing ⚠",VLOOKUP(O146,'G-3 Multipliers'!$S$3:$T$10,2,FALSE)))</f>
        <v/>
      </c>
      <c r="Q146" s="289" t="str">
        <f t="shared" si="21"/>
        <v/>
      </c>
      <c r="R146" s="32"/>
      <c r="S146" s="101"/>
      <c r="T146" s="108"/>
      <c r="U146" s="283" t="str">
        <f t="shared" si="22"/>
        <v/>
      </c>
      <c r="V146" s="283" t="str">
        <f t="shared" si="23"/>
        <v/>
      </c>
      <c r="W146" s="287" t="str">
        <f t="shared" si="24"/>
        <v/>
      </c>
      <c r="X146" s="291" t="str">
        <f t="shared" si="25"/>
        <v/>
      </c>
      <c r="Y146" s="105"/>
      <c r="Z146" s="104"/>
      <c r="AA146" s="104"/>
      <c r="AB146" s="104"/>
      <c r="AE146" s="30" t="str">
        <f>IFERROR(INDEX('G-6 Hedgerow Data'!$BJ$3:$BJ$15,MATCH(D146,'G-6 Hedgerow Data'!$B$3:$B$15,0)),"")</f>
        <v/>
      </c>
      <c r="AH146" s="107" t="str">
        <f t="shared" si="18"/>
        <v/>
      </c>
      <c r="AI146" s="107" t="str">
        <f t="shared" si="19"/>
        <v/>
      </c>
      <c r="AK146" s="107">
        <v>137</v>
      </c>
      <c r="AM146" s="107" t="str">
        <f t="array" ref="AM146">IFERROR(INDEX($AK$10:$AK$258,MATCH(0,IF(TRUE=$AH$10:$AH$258,COUNTIF($AM$9:$AM145,$AK$10:$AK$258),""),0)),"")</f>
        <v/>
      </c>
      <c r="AN146" s="107" t="str">
        <f t="array" ref="AN146">IFERROR(INDEX($AK$10:$AK$258,MATCH(0,IF(TRUE=$AI$10:$AI$258,COUNTIF($AN$9:$AN145,$AK$10:$AK$258),""),0)),"")</f>
        <v/>
      </c>
      <c r="AY146" s="283" t="str">
        <f t="shared" si="26"/>
        <v/>
      </c>
    </row>
    <row r="147" spans="2:51" ht="14">
      <c r="B147" s="97">
        <v>138</v>
      </c>
      <c r="C147" s="138"/>
      <c r="D147" s="138"/>
      <c r="E147" s="104"/>
      <c r="F147" s="275" t="str">
        <f>IF(D147="","",VLOOKUP(D147,'G-6 Hedgerow Data'!$B$2:$AG$15,2,FALSE))</f>
        <v/>
      </c>
      <c r="G147" s="276" t="str">
        <f>IF(D147="","",VLOOKUP(D147,'G-6 Hedgerow Data'!$B$2:$AG$15,3,FALSE))</f>
        <v/>
      </c>
      <c r="H147" s="101"/>
      <c r="I147" s="276" t="str">
        <f>IFERROR(IF(AND(D147&lt;&gt;"",H147=""),"Check data ⚠",(IF(H147="","",IF(AND(D147="Non-native and ornamental hedgerow",H147&lt;&gt;"Poor"),"Not possible ▲",(IF(AND(F147="V.Low",OR(H147="Good",H147="Moderate")),"Error ▲",VLOOKUP(H147,'G-1 All Habitats'!$Z$2:$AA$9,2,FALSE))))))),"")</f>
        <v/>
      </c>
      <c r="J147" s="105"/>
      <c r="K147" s="295" t="str">
        <f>IF(AND(J147="",D147&lt;&gt;""),"Check data ⚠",IF(J147="","",IF(VLOOKUP(J147,'G-3 Multipliers'!$L$3:$N$6,2,FALSE)=0,"Spatial Data Missing ⚠",VLOOKUP(J147,'G-3 Multipliers'!$L$3:$N$6,2,FALSE))))</f>
        <v/>
      </c>
      <c r="L147" s="299" t="str">
        <f>IF(J147="","",IF(VLOOKUP(J147,'G-3 Multipliers'!$L$3:$N$6,3,FALSE)=0,"Spatial Data Missing ⚠",VLOOKUP(J147,'G-3 Multipliers'!$L$3:$N$6,3,FALSE)))</f>
        <v/>
      </c>
      <c r="M147" s="336" t="str">
        <f>IF(D147="","",VLOOKUP(D147,'G-6 Hedgerow Data'!$B$1:$AH$15,33,FALSE))</f>
        <v/>
      </c>
      <c r="N147" s="289" t="str">
        <f t="shared" si="20"/>
        <v/>
      </c>
      <c r="O147" s="393"/>
      <c r="P147" s="281" t="str">
        <f>IF(O147="","",IF(VLOOKUP(O147,'G-3 Multipliers'!$S$3:$T$10,2,FALSE)=0,"Spatial Data Missing ⚠",VLOOKUP(O147,'G-3 Multipliers'!$S$3:$T$10,2,FALSE)))</f>
        <v/>
      </c>
      <c r="Q147" s="289" t="str">
        <f t="shared" si="21"/>
        <v/>
      </c>
      <c r="R147" s="32"/>
      <c r="S147" s="101"/>
      <c r="T147" s="108"/>
      <c r="U147" s="283" t="str">
        <f t="shared" si="22"/>
        <v/>
      </c>
      <c r="V147" s="283" t="str">
        <f t="shared" si="23"/>
        <v/>
      </c>
      <c r="W147" s="287" t="str">
        <f t="shared" si="24"/>
        <v/>
      </c>
      <c r="X147" s="291" t="str">
        <f t="shared" si="25"/>
        <v/>
      </c>
      <c r="Y147" s="105"/>
      <c r="Z147" s="104"/>
      <c r="AA147" s="104"/>
      <c r="AB147" s="104"/>
      <c r="AE147" s="30" t="str">
        <f>IFERROR(INDEX('G-6 Hedgerow Data'!$BJ$3:$BJ$15,MATCH(D147,'G-6 Hedgerow Data'!$B$3:$B$15,0)),"")</f>
        <v/>
      </c>
      <c r="AH147" s="107" t="str">
        <f t="shared" si="18"/>
        <v/>
      </c>
      <c r="AI147" s="107" t="str">
        <f t="shared" si="19"/>
        <v/>
      </c>
      <c r="AK147" s="107">
        <v>138</v>
      </c>
      <c r="AM147" s="107" t="str">
        <f t="array" ref="AM147">IFERROR(INDEX($AK$10:$AK$258,MATCH(0,IF(TRUE=$AH$10:$AH$258,COUNTIF($AM$9:$AM146,$AK$10:$AK$258),""),0)),"")</f>
        <v/>
      </c>
      <c r="AN147" s="107" t="str">
        <f t="array" ref="AN147">IFERROR(INDEX($AK$10:$AK$258,MATCH(0,IF(TRUE=$AI$10:$AI$258,COUNTIF($AN$9:$AN146,$AK$10:$AK$258),""),0)),"")</f>
        <v/>
      </c>
      <c r="AY147" s="283" t="str">
        <f t="shared" si="26"/>
        <v/>
      </c>
    </row>
    <row r="148" spans="2:51" ht="14">
      <c r="B148" s="97">
        <v>139</v>
      </c>
      <c r="C148" s="138"/>
      <c r="D148" s="138"/>
      <c r="E148" s="104"/>
      <c r="F148" s="275" t="str">
        <f>IF(D148="","",VLOOKUP(D148,'G-6 Hedgerow Data'!$B$2:$AG$15,2,FALSE))</f>
        <v/>
      </c>
      <c r="G148" s="276" t="str">
        <f>IF(D148="","",VLOOKUP(D148,'G-6 Hedgerow Data'!$B$2:$AG$15,3,FALSE))</f>
        <v/>
      </c>
      <c r="H148" s="101"/>
      <c r="I148" s="276" t="str">
        <f>IFERROR(IF(AND(D148&lt;&gt;"",H148=""),"Check data ⚠",(IF(H148="","",IF(AND(D148="Non-native and ornamental hedgerow",H148&lt;&gt;"Poor"),"Not possible ▲",(IF(AND(F148="V.Low",OR(H148="Good",H148="Moderate")),"Error ▲",VLOOKUP(H148,'G-1 All Habitats'!$Z$2:$AA$9,2,FALSE))))))),"")</f>
        <v/>
      </c>
      <c r="J148" s="105"/>
      <c r="K148" s="295" t="str">
        <f>IF(AND(J148="",D148&lt;&gt;""),"Check data ⚠",IF(J148="","",IF(VLOOKUP(J148,'G-3 Multipliers'!$L$3:$N$6,2,FALSE)=0,"Spatial Data Missing ⚠",VLOOKUP(J148,'G-3 Multipliers'!$L$3:$N$6,2,FALSE))))</f>
        <v/>
      </c>
      <c r="L148" s="299" t="str">
        <f>IF(J148="","",IF(VLOOKUP(J148,'G-3 Multipliers'!$L$3:$N$6,3,FALSE)=0,"Spatial Data Missing ⚠",VLOOKUP(J148,'G-3 Multipliers'!$L$3:$N$6,3,FALSE)))</f>
        <v/>
      </c>
      <c r="M148" s="336" t="str">
        <f>IF(D148="","",VLOOKUP(D148,'G-6 Hedgerow Data'!$B$1:$AH$15,33,FALSE))</f>
        <v/>
      </c>
      <c r="N148" s="289" t="str">
        <f t="shared" si="20"/>
        <v/>
      </c>
      <c r="O148" s="393"/>
      <c r="P148" s="281" t="str">
        <f>IF(O148="","",IF(VLOOKUP(O148,'G-3 Multipliers'!$S$3:$T$10,2,FALSE)=0,"Spatial Data Missing ⚠",VLOOKUP(O148,'G-3 Multipliers'!$S$3:$T$10,2,FALSE)))</f>
        <v/>
      </c>
      <c r="Q148" s="289" t="str">
        <f t="shared" si="21"/>
        <v/>
      </c>
      <c r="R148" s="32"/>
      <c r="S148" s="101"/>
      <c r="T148" s="108"/>
      <c r="U148" s="283" t="str">
        <f t="shared" si="22"/>
        <v/>
      </c>
      <c r="V148" s="283" t="str">
        <f t="shared" si="23"/>
        <v/>
      </c>
      <c r="W148" s="287" t="str">
        <f t="shared" si="24"/>
        <v/>
      </c>
      <c r="X148" s="291" t="str">
        <f t="shared" si="25"/>
        <v/>
      </c>
      <c r="Y148" s="105"/>
      <c r="Z148" s="104"/>
      <c r="AA148" s="104"/>
      <c r="AB148" s="104"/>
      <c r="AE148" s="30" t="str">
        <f>IFERROR(INDEX('G-6 Hedgerow Data'!$BJ$3:$BJ$15,MATCH(D148,'G-6 Hedgerow Data'!$B$3:$B$15,0)),"")</f>
        <v/>
      </c>
      <c r="AH148" s="107" t="str">
        <f t="shared" si="18"/>
        <v/>
      </c>
      <c r="AI148" s="107" t="str">
        <f t="shared" si="19"/>
        <v/>
      </c>
      <c r="AK148" s="107">
        <v>139</v>
      </c>
      <c r="AM148" s="107" t="str">
        <f t="array" ref="AM148">IFERROR(INDEX($AK$10:$AK$258,MATCH(0,IF(TRUE=$AH$10:$AH$258,COUNTIF($AM$9:$AM147,$AK$10:$AK$258),""),0)),"")</f>
        <v/>
      </c>
      <c r="AN148" s="107" t="str">
        <f t="array" ref="AN148">IFERROR(INDEX($AK$10:$AK$258,MATCH(0,IF(TRUE=$AI$10:$AI$258,COUNTIF($AN$9:$AN147,$AK$10:$AK$258),""),0)),"")</f>
        <v/>
      </c>
      <c r="AY148" s="283" t="str">
        <f t="shared" si="26"/>
        <v/>
      </c>
    </row>
    <row r="149" spans="2:51" ht="14">
      <c r="B149" s="97">
        <v>140</v>
      </c>
      <c r="C149" s="138"/>
      <c r="D149" s="138"/>
      <c r="E149" s="104"/>
      <c r="F149" s="275" t="str">
        <f>IF(D149="","",VLOOKUP(D149,'G-6 Hedgerow Data'!$B$2:$AG$15,2,FALSE))</f>
        <v/>
      </c>
      <c r="G149" s="276" t="str">
        <f>IF(D149="","",VLOOKUP(D149,'G-6 Hedgerow Data'!$B$2:$AG$15,3,FALSE))</f>
        <v/>
      </c>
      <c r="H149" s="101"/>
      <c r="I149" s="276" t="str">
        <f>IFERROR(IF(AND(D149&lt;&gt;"",H149=""),"Check data ⚠",(IF(H149="","",IF(AND(D149="Non-native and ornamental hedgerow",H149&lt;&gt;"Poor"),"Not possible ▲",(IF(AND(F149="V.Low",OR(H149="Good",H149="Moderate")),"Error ▲",VLOOKUP(H149,'G-1 All Habitats'!$Z$2:$AA$9,2,FALSE))))))),"")</f>
        <v/>
      </c>
      <c r="J149" s="105"/>
      <c r="K149" s="295" t="str">
        <f>IF(AND(J149="",D149&lt;&gt;""),"Check data ⚠",IF(J149="","",IF(VLOOKUP(J149,'G-3 Multipliers'!$L$3:$N$6,2,FALSE)=0,"Spatial Data Missing ⚠",VLOOKUP(J149,'G-3 Multipliers'!$L$3:$N$6,2,FALSE))))</f>
        <v/>
      </c>
      <c r="L149" s="299" t="str">
        <f>IF(J149="","",IF(VLOOKUP(J149,'G-3 Multipliers'!$L$3:$N$6,3,FALSE)=0,"Spatial Data Missing ⚠",VLOOKUP(J149,'G-3 Multipliers'!$L$3:$N$6,3,FALSE)))</f>
        <v/>
      </c>
      <c r="M149" s="336" t="str">
        <f>IF(D149="","",VLOOKUP(D149,'G-6 Hedgerow Data'!$B$1:$AH$15,33,FALSE))</f>
        <v/>
      </c>
      <c r="N149" s="289" t="str">
        <f t="shared" si="20"/>
        <v/>
      </c>
      <c r="O149" s="393"/>
      <c r="P149" s="281" t="str">
        <f>IF(O149="","",IF(VLOOKUP(O149,'G-3 Multipliers'!$S$3:$T$10,2,FALSE)=0,"Spatial Data Missing ⚠",VLOOKUP(O149,'G-3 Multipliers'!$S$3:$T$10,2,FALSE)))</f>
        <v/>
      </c>
      <c r="Q149" s="289" t="str">
        <f t="shared" si="21"/>
        <v/>
      </c>
      <c r="R149" s="32"/>
      <c r="S149" s="101"/>
      <c r="T149" s="108"/>
      <c r="U149" s="283" t="str">
        <f t="shared" si="22"/>
        <v/>
      </c>
      <c r="V149" s="283" t="str">
        <f t="shared" si="23"/>
        <v/>
      </c>
      <c r="W149" s="287" t="str">
        <f t="shared" si="24"/>
        <v/>
      </c>
      <c r="X149" s="291" t="str">
        <f t="shared" si="25"/>
        <v/>
      </c>
      <c r="Y149" s="105"/>
      <c r="Z149" s="104"/>
      <c r="AA149" s="104"/>
      <c r="AB149" s="104"/>
      <c r="AE149" s="30" t="str">
        <f>IFERROR(INDEX('G-6 Hedgerow Data'!$BJ$3:$BJ$15,MATCH(D149,'G-6 Hedgerow Data'!$B$3:$B$15,0)),"")</f>
        <v/>
      </c>
      <c r="AH149" s="107" t="str">
        <f t="shared" si="18"/>
        <v/>
      </c>
      <c r="AI149" s="107" t="str">
        <f t="shared" si="19"/>
        <v/>
      </c>
      <c r="AK149" s="107">
        <v>140</v>
      </c>
      <c r="AM149" s="107" t="str">
        <f t="array" ref="AM149">IFERROR(INDEX($AK$10:$AK$258,MATCH(0,IF(TRUE=$AH$10:$AH$258,COUNTIF($AM$9:$AM148,$AK$10:$AK$258),""),0)),"")</f>
        <v/>
      </c>
      <c r="AN149" s="107" t="str">
        <f t="array" ref="AN149">IFERROR(INDEX($AK$10:$AK$258,MATCH(0,IF(TRUE=$AI$10:$AI$258,COUNTIF($AN$9:$AN148,$AK$10:$AK$258),""),0)),"")</f>
        <v/>
      </c>
      <c r="AY149" s="283" t="str">
        <f t="shared" si="26"/>
        <v/>
      </c>
    </row>
    <row r="150" spans="2:51" ht="14">
      <c r="B150" s="97">
        <v>141</v>
      </c>
      <c r="C150" s="138"/>
      <c r="D150" s="138"/>
      <c r="E150" s="104"/>
      <c r="F150" s="275" t="str">
        <f>IF(D150="","",VLOOKUP(D150,'G-6 Hedgerow Data'!$B$2:$AG$15,2,FALSE))</f>
        <v/>
      </c>
      <c r="G150" s="276" t="str">
        <f>IF(D150="","",VLOOKUP(D150,'G-6 Hedgerow Data'!$B$2:$AG$15,3,FALSE))</f>
        <v/>
      </c>
      <c r="H150" s="101"/>
      <c r="I150" s="276" t="str">
        <f>IFERROR(IF(AND(D150&lt;&gt;"",H150=""),"Check data ⚠",(IF(H150="","",IF(AND(D150="Non-native and ornamental hedgerow",H150&lt;&gt;"Poor"),"Not possible ▲",(IF(AND(F150="V.Low",OR(H150="Good",H150="Moderate")),"Error ▲",VLOOKUP(H150,'G-1 All Habitats'!$Z$2:$AA$9,2,FALSE))))))),"")</f>
        <v/>
      </c>
      <c r="J150" s="105"/>
      <c r="K150" s="295" t="str">
        <f>IF(AND(J150="",D150&lt;&gt;""),"Check data ⚠",IF(J150="","",IF(VLOOKUP(J150,'G-3 Multipliers'!$L$3:$N$6,2,FALSE)=0,"Spatial Data Missing ⚠",VLOOKUP(J150,'G-3 Multipliers'!$L$3:$N$6,2,FALSE))))</f>
        <v/>
      </c>
      <c r="L150" s="299" t="str">
        <f>IF(J150="","",IF(VLOOKUP(J150,'G-3 Multipliers'!$L$3:$N$6,3,FALSE)=0,"Spatial Data Missing ⚠",VLOOKUP(J150,'G-3 Multipliers'!$L$3:$N$6,3,FALSE)))</f>
        <v/>
      </c>
      <c r="M150" s="336" t="str">
        <f>IF(D150="","",VLOOKUP(D150,'G-6 Hedgerow Data'!$B$1:$AH$15,33,FALSE))</f>
        <v/>
      </c>
      <c r="N150" s="289" t="str">
        <f t="shared" si="20"/>
        <v/>
      </c>
      <c r="O150" s="393"/>
      <c r="P150" s="281" t="str">
        <f>IF(O150="","",IF(VLOOKUP(O150,'G-3 Multipliers'!$S$3:$T$10,2,FALSE)=0,"Spatial Data Missing ⚠",VLOOKUP(O150,'G-3 Multipliers'!$S$3:$T$10,2,FALSE)))</f>
        <v/>
      </c>
      <c r="Q150" s="289" t="str">
        <f t="shared" si="21"/>
        <v/>
      </c>
      <c r="R150" s="32"/>
      <c r="S150" s="101"/>
      <c r="T150" s="108"/>
      <c r="U150" s="283" t="str">
        <f t="shared" si="22"/>
        <v/>
      </c>
      <c r="V150" s="283" t="str">
        <f t="shared" si="23"/>
        <v/>
      </c>
      <c r="W150" s="287" t="str">
        <f t="shared" si="24"/>
        <v/>
      </c>
      <c r="X150" s="291" t="str">
        <f t="shared" si="25"/>
        <v/>
      </c>
      <c r="Y150" s="105"/>
      <c r="Z150" s="104"/>
      <c r="AA150" s="104"/>
      <c r="AB150" s="104"/>
      <c r="AE150" s="30" t="str">
        <f>IFERROR(INDEX('G-6 Hedgerow Data'!$BJ$3:$BJ$15,MATCH(D150,'G-6 Hedgerow Data'!$B$3:$B$15,0)),"")</f>
        <v/>
      </c>
      <c r="AH150" s="107" t="str">
        <f t="shared" si="18"/>
        <v/>
      </c>
      <c r="AI150" s="107" t="str">
        <f t="shared" si="19"/>
        <v/>
      </c>
      <c r="AK150" s="107">
        <v>141</v>
      </c>
      <c r="AM150" s="107" t="str">
        <f t="array" ref="AM150">IFERROR(INDEX($AK$10:$AK$258,MATCH(0,IF(TRUE=$AH$10:$AH$258,COUNTIF($AM$9:$AM149,$AK$10:$AK$258),""),0)),"")</f>
        <v/>
      </c>
      <c r="AN150" s="107" t="str">
        <f t="array" ref="AN150">IFERROR(INDEX($AK$10:$AK$258,MATCH(0,IF(TRUE=$AI$10:$AI$258,COUNTIF($AN$9:$AN149,$AK$10:$AK$258),""),0)),"")</f>
        <v/>
      </c>
      <c r="AY150" s="283" t="str">
        <f t="shared" si="26"/>
        <v/>
      </c>
    </row>
    <row r="151" spans="2:51" ht="14">
      <c r="B151" s="97">
        <v>142</v>
      </c>
      <c r="C151" s="138"/>
      <c r="D151" s="138"/>
      <c r="E151" s="104"/>
      <c r="F151" s="275" t="str">
        <f>IF(D151="","",VLOOKUP(D151,'G-6 Hedgerow Data'!$B$2:$AG$15,2,FALSE))</f>
        <v/>
      </c>
      <c r="G151" s="276" t="str">
        <f>IF(D151="","",VLOOKUP(D151,'G-6 Hedgerow Data'!$B$2:$AG$15,3,FALSE))</f>
        <v/>
      </c>
      <c r="H151" s="101"/>
      <c r="I151" s="276" t="str">
        <f>IFERROR(IF(AND(D151&lt;&gt;"",H151=""),"Check data ⚠",(IF(H151="","",IF(AND(D151="Non-native and ornamental hedgerow",H151&lt;&gt;"Poor"),"Not possible ▲",(IF(AND(F151="V.Low",OR(H151="Good",H151="Moderate")),"Error ▲",VLOOKUP(H151,'G-1 All Habitats'!$Z$2:$AA$9,2,FALSE))))))),"")</f>
        <v/>
      </c>
      <c r="J151" s="105"/>
      <c r="K151" s="295" t="str">
        <f>IF(AND(J151="",D151&lt;&gt;""),"Check data ⚠",IF(J151="","",IF(VLOOKUP(J151,'G-3 Multipliers'!$L$3:$N$6,2,FALSE)=0,"Spatial Data Missing ⚠",VLOOKUP(J151,'G-3 Multipliers'!$L$3:$N$6,2,FALSE))))</f>
        <v/>
      </c>
      <c r="L151" s="299" t="str">
        <f>IF(J151="","",IF(VLOOKUP(J151,'G-3 Multipliers'!$L$3:$N$6,3,FALSE)=0,"Spatial Data Missing ⚠",VLOOKUP(J151,'G-3 Multipliers'!$L$3:$N$6,3,FALSE)))</f>
        <v/>
      </c>
      <c r="M151" s="336" t="str">
        <f>IF(D151="","",VLOOKUP(D151,'G-6 Hedgerow Data'!$B$1:$AH$15,33,FALSE))</f>
        <v/>
      </c>
      <c r="N151" s="289" t="str">
        <f t="shared" si="20"/>
        <v/>
      </c>
      <c r="O151" s="393"/>
      <c r="P151" s="281" t="str">
        <f>IF(O151="","",IF(VLOOKUP(O151,'G-3 Multipliers'!$S$3:$T$10,2,FALSE)=0,"Spatial Data Missing ⚠",VLOOKUP(O151,'G-3 Multipliers'!$S$3:$T$10,2,FALSE)))</f>
        <v/>
      </c>
      <c r="Q151" s="289" t="str">
        <f t="shared" si="21"/>
        <v/>
      </c>
      <c r="R151" s="32"/>
      <c r="S151" s="101"/>
      <c r="T151" s="108"/>
      <c r="U151" s="283" t="str">
        <f t="shared" si="22"/>
        <v/>
      </c>
      <c r="V151" s="283" t="str">
        <f t="shared" si="23"/>
        <v/>
      </c>
      <c r="W151" s="287" t="str">
        <f t="shared" si="24"/>
        <v/>
      </c>
      <c r="X151" s="291" t="str">
        <f t="shared" si="25"/>
        <v/>
      </c>
      <c r="Y151" s="105"/>
      <c r="Z151" s="104"/>
      <c r="AA151" s="104"/>
      <c r="AB151" s="104"/>
      <c r="AE151" s="30" t="str">
        <f>IFERROR(INDEX('G-6 Hedgerow Data'!$BJ$3:$BJ$15,MATCH(D151,'G-6 Hedgerow Data'!$B$3:$B$15,0)),"")</f>
        <v/>
      </c>
      <c r="AH151" s="107" t="str">
        <f t="shared" si="18"/>
        <v/>
      </c>
      <c r="AI151" s="107" t="str">
        <f t="shared" si="19"/>
        <v/>
      </c>
      <c r="AK151" s="107">
        <v>142</v>
      </c>
      <c r="AM151" s="107" t="str">
        <f t="array" ref="AM151">IFERROR(INDEX($AK$10:$AK$258,MATCH(0,IF(TRUE=$AH$10:$AH$258,COUNTIF($AM$9:$AM150,$AK$10:$AK$258),""),0)),"")</f>
        <v/>
      </c>
      <c r="AN151" s="107" t="str">
        <f t="array" ref="AN151">IFERROR(INDEX($AK$10:$AK$258,MATCH(0,IF(TRUE=$AI$10:$AI$258,COUNTIF($AN$9:$AN150,$AK$10:$AK$258),""),0)),"")</f>
        <v/>
      </c>
      <c r="AY151" s="283" t="str">
        <f t="shared" si="26"/>
        <v/>
      </c>
    </row>
    <row r="152" spans="2:51" ht="14">
      <c r="B152" s="97">
        <v>143</v>
      </c>
      <c r="C152" s="138"/>
      <c r="D152" s="138"/>
      <c r="E152" s="104"/>
      <c r="F152" s="275" t="str">
        <f>IF(D152="","",VLOOKUP(D152,'G-6 Hedgerow Data'!$B$2:$AG$15,2,FALSE))</f>
        <v/>
      </c>
      <c r="G152" s="276" t="str">
        <f>IF(D152="","",VLOOKUP(D152,'G-6 Hedgerow Data'!$B$2:$AG$15,3,FALSE))</f>
        <v/>
      </c>
      <c r="H152" s="101"/>
      <c r="I152" s="276" t="str">
        <f>IFERROR(IF(AND(D152&lt;&gt;"",H152=""),"Check data ⚠",(IF(H152="","",IF(AND(D152="Non-native and ornamental hedgerow",H152&lt;&gt;"Poor"),"Not possible ▲",(IF(AND(F152="V.Low",OR(H152="Good",H152="Moderate")),"Error ▲",VLOOKUP(H152,'G-1 All Habitats'!$Z$2:$AA$9,2,FALSE))))))),"")</f>
        <v/>
      </c>
      <c r="J152" s="105"/>
      <c r="K152" s="295" t="str">
        <f>IF(AND(J152="",D152&lt;&gt;""),"Check data ⚠",IF(J152="","",IF(VLOOKUP(J152,'G-3 Multipliers'!$L$3:$N$6,2,FALSE)=0,"Spatial Data Missing ⚠",VLOOKUP(J152,'G-3 Multipliers'!$L$3:$N$6,2,FALSE))))</f>
        <v/>
      </c>
      <c r="L152" s="299" t="str">
        <f>IF(J152="","",IF(VLOOKUP(J152,'G-3 Multipliers'!$L$3:$N$6,3,FALSE)=0,"Spatial Data Missing ⚠",VLOOKUP(J152,'G-3 Multipliers'!$L$3:$N$6,3,FALSE)))</f>
        <v/>
      </c>
      <c r="M152" s="336" t="str">
        <f>IF(D152="","",VLOOKUP(D152,'G-6 Hedgerow Data'!$B$1:$AH$15,33,FALSE))</f>
        <v/>
      </c>
      <c r="N152" s="289" t="str">
        <f t="shared" si="20"/>
        <v/>
      </c>
      <c r="O152" s="393"/>
      <c r="P152" s="281" t="str">
        <f>IF(O152="","",IF(VLOOKUP(O152,'G-3 Multipliers'!$S$3:$T$10,2,FALSE)=0,"Spatial Data Missing ⚠",VLOOKUP(O152,'G-3 Multipliers'!$S$3:$T$10,2,FALSE)))</f>
        <v/>
      </c>
      <c r="Q152" s="289" t="str">
        <f t="shared" si="21"/>
        <v/>
      </c>
      <c r="R152" s="32"/>
      <c r="S152" s="101"/>
      <c r="T152" s="108"/>
      <c r="U152" s="283" t="str">
        <f t="shared" si="22"/>
        <v/>
      </c>
      <c r="V152" s="283" t="str">
        <f t="shared" si="23"/>
        <v/>
      </c>
      <c r="W152" s="287" t="str">
        <f t="shared" si="24"/>
        <v/>
      </c>
      <c r="X152" s="291" t="str">
        <f t="shared" si="25"/>
        <v/>
      </c>
      <c r="Y152" s="105"/>
      <c r="Z152" s="104"/>
      <c r="AA152" s="104"/>
      <c r="AB152" s="104"/>
      <c r="AE152" s="30" t="str">
        <f>IFERROR(INDEX('G-6 Hedgerow Data'!$BJ$3:$BJ$15,MATCH(D152,'G-6 Hedgerow Data'!$B$3:$B$15,0)),"")</f>
        <v/>
      </c>
      <c r="AH152" s="107" t="str">
        <f t="shared" si="18"/>
        <v/>
      </c>
      <c r="AI152" s="107" t="str">
        <f t="shared" si="19"/>
        <v/>
      </c>
      <c r="AK152" s="107">
        <v>143</v>
      </c>
      <c r="AM152" s="107" t="str">
        <f t="array" ref="AM152">IFERROR(INDEX($AK$10:$AK$258,MATCH(0,IF(TRUE=$AH$10:$AH$258,COUNTIF($AM$9:$AM151,$AK$10:$AK$258),""),0)),"")</f>
        <v/>
      </c>
      <c r="AN152" s="107" t="str">
        <f t="array" ref="AN152">IFERROR(INDEX($AK$10:$AK$258,MATCH(0,IF(TRUE=$AI$10:$AI$258,COUNTIF($AN$9:$AN151,$AK$10:$AK$258),""),0)),"")</f>
        <v/>
      </c>
      <c r="AY152" s="283" t="str">
        <f t="shared" si="26"/>
        <v/>
      </c>
    </row>
    <row r="153" spans="2:51" ht="14">
      <c r="B153" s="97">
        <v>144</v>
      </c>
      <c r="C153" s="138"/>
      <c r="D153" s="138"/>
      <c r="E153" s="104"/>
      <c r="F153" s="275" t="str">
        <f>IF(D153="","",VLOOKUP(D153,'G-6 Hedgerow Data'!$B$2:$AG$15,2,FALSE))</f>
        <v/>
      </c>
      <c r="G153" s="276" t="str">
        <f>IF(D153="","",VLOOKUP(D153,'G-6 Hedgerow Data'!$B$2:$AG$15,3,FALSE))</f>
        <v/>
      </c>
      <c r="H153" s="101"/>
      <c r="I153" s="276" t="str">
        <f>IFERROR(IF(AND(D153&lt;&gt;"",H153=""),"Check data ⚠",(IF(H153="","",IF(AND(D153="Non-native and ornamental hedgerow",H153&lt;&gt;"Poor"),"Not possible ▲",(IF(AND(F153="V.Low",OR(H153="Good",H153="Moderate")),"Error ▲",VLOOKUP(H153,'G-1 All Habitats'!$Z$2:$AA$9,2,FALSE))))))),"")</f>
        <v/>
      </c>
      <c r="J153" s="105"/>
      <c r="K153" s="295" t="str">
        <f>IF(AND(J153="",D153&lt;&gt;""),"Check data ⚠",IF(J153="","",IF(VLOOKUP(J153,'G-3 Multipliers'!$L$3:$N$6,2,FALSE)=0,"Spatial Data Missing ⚠",VLOOKUP(J153,'G-3 Multipliers'!$L$3:$N$6,2,FALSE))))</f>
        <v/>
      </c>
      <c r="L153" s="299" t="str">
        <f>IF(J153="","",IF(VLOOKUP(J153,'G-3 Multipliers'!$L$3:$N$6,3,FALSE)=0,"Spatial Data Missing ⚠",VLOOKUP(J153,'G-3 Multipliers'!$L$3:$N$6,3,FALSE)))</f>
        <v/>
      </c>
      <c r="M153" s="336" t="str">
        <f>IF(D153="","",VLOOKUP(D153,'G-6 Hedgerow Data'!$B$1:$AH$15,33,FALSE))</f>
        <v/>
      </c>
      <c r="N153" s="289" t="str">
        <f t="shared" si="20"/>
        <v/>
      </c>
      <c r="O153" s="393"/>
      <c r="P153" s="281" t="str">
        <f>IF(O153="","",IF(VLOOKUP(O153,'G-3 Multipliers'!$S$3:$T$10,2,FALSE)=0,"Spatial Data Missing ⚠",VLOOKUP(O153,'G-3 Multipliers'!$S$3:$T$10,2,FALSE)))</f>
        <v/>
      </c>
      <c r="Q153" s="289" t="str">
        <f t="shared" si="21"/>
        <v/>
      </c>
      <c r="R153" s="32"/>
      <c r="S153" s="101"/>
      <c r="T153" s="108"/>
      <c r="U153" s="283" t="str">
        <f t="shared" si="22"/>
        <v/>
      </c>
      <c r="V153" s="283" t="str">
        <f t="shared" si="23"/>
        <v/>
      </c>
      <c r="W153" s="287" t="str">
        <f t="shared" si="24"/>
        <v/>
      </c>
      <c r="X153" s="291" t="str">
        <f t="shared" si="25"/>
        <v/>
      </c>
      <c r="Y153" s="105"/>
      <c r="Z153" s="104"/>
      <c r="AA153" s="104"/>
      <c r="AB153" s="104"/>
      <c r="AE153" s="30" t="str">
        <f>IFERROR(INDEX('G-6 Hedgerow Data'!$BJ$3:$BJ$15,MATCH(D153,'G-6 Hedgerow Data'!$B$3:$B$15,0)),"")</f>
        <v/>
      </c>
      <c r="AH153" s="107" t="str">
        <f t="shared" si="18"/>
        <v/>
      </c>
      <c r="AI153" s="107" t="str">
        <f t="shared" si="19"/>
        <v/>
      </c>
      <c r="AK153" s="107">
        <v>144</v>
      </c>
      <c r="AM153" s="107" t="str">
        <f t="array" ref="AM153">IFERROR(INDEX($AK$10:$AK$258,MATCH(0,IF(TRUE=$AH$10:$AH$258,COUNTIF($AM$9:$AM152,$AK$10:$AK$258),""),0)),"")</f>
        <v/>
      </c>
      <c r="AN153" s="107" t="str">
        <f t="array" ref="AN153">IFERROR(INDEX($AK$10:$AK$258,MATCH(0,IF(TRUE=$AI$10:$AI$258,COUNTIF($AN$9:$AN152,$AK$10:$AK$258),""),0)),"")</f>
        <v/>
      </c>
      <c r="AY153" s="283" t="str">
        <f t="shared" si="26"/>
        <v/>
      </c>
    </row>
    <row r="154" spans="2:51" ht="14">
      <c r="B154" s="97">
        <v>145</v>
      </c>
      <c r="C154" s="138"/>
      <c r="D154" s="138"/>
      <c r="E154" s="104"/>
      <c r="F154" s="275" t="str">
        <f>IF(D154="","",VLOOKUP(D154,'G-6 Hedgerow Data'!$B$2:$AG$15,2,FALSE))</f>
        <v/>
      </c>
      <c r="G154" s="276" t="str">
        <f>IF(D154="","",VLOOKUP(D154,'G-6 Hedgerow Data'!$B$2:$AG$15,3,FALSE))</f>
        <v/>
      </c>
      <c r="H154" s="101"/>
      <c r="I154" s="276" t="str">
        <f>IFERROR(IF(AND(D154&lt;&gt;"",H154=""),"Check data ⚠",(IF(H154="","",IF(AND(D154="Non-native and ornamental hedgerow",H154&lt;&gt;"Poor"),"Not possible ▲",(IF(AND(F154="V.Low",OR(H154="Good",H154="Moderate")),"Error ▲",VLOOKUP(H154,'G-1 All Habitats'!$Z$2:$AA$9,2,FALSE))))))),"")</f>
        <v/>
      </c>
      <c r="J154" s="105"/>
      <c r="K154" s="295" t="str">
        <f>IF(AND(J154="",D154&lt;&gt;""),"Check data ⚠",IF(J154="","",IF(VLOOKUP(J154,'G-3 Multipliers'!$L$3:$N$6,2,FALSE)=0,"Spatial Data Missing ⚠",VLOOKUP(J154,'G-3 Multipliers'!$L$3:$N$6,2,FALSE))))</f>
        <v/>
      </c>
      <c r="L154" s="299" t="str">
        <f>IF(J154="","",IF(VLOOKUP(J154,'G-3 Multipliers'!$L$3:$N$6,3,FALSE)=0,"Spatial Data Missing ⚠",VLOOKUP(J154,'G-3 Multipliers'!$L$3:$N$6,3,FALSE)))</f>
        <v/>
      </c>
      <c r="M154" s="336" t="str">
        <f>IF(D154="","",VLOOKUP(D154,'G-6 Hedgerow Data'!$B$1:$AH$15,33,FALSE))</f>
        <v/>
      </c>
      <c r="N154" s="289" t="str">
        <f t="shared" si="20"/>
        <v/>
      </c>
      <c r="O154" s="393"/>
      <c r="P154" s="281" t="str">
        <f>IF(O154="","",IF(VLOOKUP(O154,'G-3 Multipliers'!$S$3:$T$10,2,FALSE)=0,"Spatial Data Missing ⚠",VLOOKUP(O154,'G-3 Multipliers'!$S$3:$T$10,2,FALSE)))</f>
        <v/>
      </c>
      <c r="Q154" s="289" t="str">
        <f t="shared" si="21"/>
        <v/>
      </c>
      <c r="R154" s="32"/>
      <c r="S154" s="101"/>
      <c r="T154" s="108"/>
      <c r="U154" s="283" t="str">
        <f t="shared" si="22"/>
        <v/>
      </c>
      <c r="V154" s="283" t="str">
        <f t="shared" si="23"/>
        <v/>
      </c>
      <c r="W154" s="287" t="str">
        <f t="shared" si="24"/>
        <v/>
      </c>
      <c r="X154" s="291" t="str">
        <f t="shared" si="25"/>
        <v/>
      </c>
      <c r="Y154" s="105"/>
      <c r="Z154" s="104"/>
      <c r="AA154" s="104"/>
      <c r="AB154" s="104"/>
      <c r="AE154" s="30" t="str">
        <f>IFERROR(INDEX('G-6 Hedgerow Data'!$BJ$3:$BJ$15,MATCH(D154,'G-6 Hedgerow Data'!$B$3:$B$15,0)),"")</f>
        <v/>
      </c>
      <c r="AH154" s="107" t="str">
        <f t="shared" si="18"/>
        <v/>
      </c>
      <c r="AI154" s="107" t="str">
        <f t="shared" si="19"/>
        <v/>
      </c>
      <c r="AK154" s="107">
        <v>145</v>
      </c>
      <c r="AM154" s="107" t="str">
        <f t="array" ref="AM154">IFERROR(INDEX($AK$10:$AK$258,MATCH(0,IF(TRUE=$AH$10:$AH$258,COUNTIF($AM$9:$AM153,$AK$10:$AK$258),""),0)),"")</f>
        <v/>
      </c>
      <c r="AN154" s="107" t="str">
        <f t="array" ref="AN154">IFERROR(INDEX($AK$10:$AK$258,MATCH(0,IF(TRUE=$AI$10:$AI$258,COUNTIF($AN$9:$AN153,$AK$10:$AK$258),""),0)),"")</f>
        <v/>
      </c>
      <c r="AY154" s="283" t="str">
        <f t="shared" si="26"/>
        <v/>
      </c>
    </row>
    <row r="155" spans="2:51" ht="14">
      <c r="B155" s="97">
        <v>146</v>
      </c>
      <c r="C155" s="138"/>
      <c r="D155" s="138"/>
      <c r="E155" s="104"/>
      <c r="F155" s="275" t="str">
        <f>IF(D155="","",VLOOKUP(D155,'G-6 Hedgerow Data'!$B$2:$AG$15,2,FALSE))</f>
        <v/>
      </c>
      <c r="G155" s="276" t="str">
        <f>IF(D155="","",VLOOKUP(D155,'G-6 Hedgerow Data'!$B$2:$AG$15,3,FALSE))</f>
        <v/>
      </c>
      <c r="H155" s="101"/>
      <c r="I155" s="276" t="str">
        <f>IFERROR(IF(AND(D155&lt;&gt;"",H155=""),"Check data ⚠",(IF(H155="","",IF(AND(D155="Non-native and ornamental hedgerow",H155&lt;&gt;"Poor"),"Not possible ▲",(IF(AND(F155="V.Low",OR(H155="Good",H155="Moderate")),"Error ▲",VLOOKUP(H155,'G-1 All Habitats'!$Z$2:$AA$9,2,FALSE))))))),"")</f>
        <v/>
      </c>
      <c r="J155" s="105"/>
      <c r="K155" s="295" t="str">
        <f>IF(AND(J155="",D155&lt;&gt;""),"Check data ⚠",IF(J155="","",IF(VLOOKUP(J155,'G-3 Multipliers'!$L$3:$N$6,2,FALSE)=0,"Spatial Data Missing ⚠",VLOOKUP(J155,'G-3 Multipliers'!$L$3:$N$6,2,FALSE))))</f>
        <v/>
      </c>
      <c r="L155" s="299" t="str">
        <f>IF(J155="","",IF(VLOOKUP(J155,'G-3 Multipliers'!$L$3:$N$6,3,FALSE)=0,"Spatial Data Missing ⚠",VLOOKUP(J155,'G-3 Multipliers'!$L$3:$N$6,3,FALSE)))</f>
        <v/>
      </c>
      <c r="M155" s="336" t="str">
        <f>IF(D155="","",VLOOKUP(D155,'G-6 Hedgerow Data'!$B$1:$AH$15,33,FALSE))</f>
        <v/>
      </c>
      <c r="N155" s="289" t="str">
        <f t="shared" si="20"/>
        <v/>
      </c>
      <c r="O155" s="393"/>
      <c r="P155" s="281" t="str">
        <f>IF(O155="","",IF(VLOOKUP(O155,'G-3 Multipliers'!$S$3:$T$10,2,FALSE)=0,"Spatial Data Missing ⚠",VLOOKUP(O155,'G-3 Multipliers'!$S$3:$T$10,2,FALSE)))</f>
        <v/>
      </c>
      <c r="Q155" s="289" t="str">
        <f t="shared" si="21"/>
        <v/>
      </c>
      <c r="R155" s="32"/>
      <c r="S155" s="101"/>
      <c r="T155" s="108"/>
      <c r="U155" s="283" t="str">
        <f t="shared" si="22"/>
        <v/>
      </c>
      <c r="V155" s="283" t="str">
        <f t="shared" si="23"/>
        <v/>
      </c>
      <c r="W155" s="287" t="str">
        <f t="shared" si="24"/>
        <v/>
      </c>
      <c r="X155" s="291" t="str">
        <f t="shared" si="25"/>
        <v/>
      </c>
      <c r="Y155" s="105"/>
      <c r="Z155" s="104"/>
      <c r="AA155" s="104"/>
      <c r="AB155" s="104"/>
      <c r="AE155" s="30" t="str">
        <f>IFERROR(INDEX('G-6 Hedgerow Data'!$BJ$3:$BJ$15,MATCH(D155,'G-6 Hedgerow Data'!$B$3:$B$15,0)),"")</f>
        <v/>
      </c>
      <c r="AH155" s="107" t="str">
        <f t="shared" si="18"/>
        <v/>
      </c>
      <c r="AI155" s="107" t="str">
        <f t="shared" si="19"/>
        <v/>
      </c>
      <c r="AK155" s="107">
        <v>146</v>
      </c>
      <c r="AM155" s="107" t="str">
        <f t="array" ref="AM155">IFERROR(INDEX($AK$10:$AK$258,MATCH(0,IF(TRUE=$AH$10:$AH$258,COUNTIF($AM$9:$AM154,$AK$10:$AK$258),""),0)),"")</f>
        <v/>
      </c>
      <c r="AN155" s="107" t="str">
        <f t="array" ref="AN155">IFERROR(INDEX($AK$10:$AK$258,MATCH(0,IF(TRUE=$AI$10:$AI$258,COUNTIF($AN$9:$AN154,$AK$10:$AK$258),""),0)),"")</f>
        <v/>
      </c>
      <c r="AY155" s="283" t="str">
        <f t="shared" si="26"/>
        <v/>
      </c>
    </row>
    <row r="156" spans="2:51" ht="14">
      <c r="B156" s="97">
        <v>147</v>
      </c>
      <c r="C156" s="138"/>
      <c r="D156" s="138"/>
      <c r="E156" s="104"/>
      <c r="F156" s="275" t="str">
        <f>IF(D156="","",VLOOKUP(D156,'G-6 Hedgerow Data'!$B$2:$AG$15,2,FALSE))</f>
        <v/>
      </c>
      <c r="G156" s="276" t="str">
        <f>IF(D156="","",VLOOKUP(D156,'G-6 Hedgerow Data'!$B$2:$AG$15,3,FALSE))</f>
        <v/>
      </c>
      <c r="H156" s="101"/>
      <c r="I156" s="276" t="str">
        <f>IFERROR(IF(AND(D156&lt;&gt;"",H156=""),"Check data ⚠",(IF(H156="","",IF(AND(D156="Non-native and ornamental hedgerow",H156&lt;&gt;"Poor"),"Not possible ▲",(IF(AND(F156="V.Low",OR(H156="Good",H156="Moderate")),"Error ▲",VLOOKUP(H156,'G-1 All Habitats'!$Z$2:$AA$9,2,FALSE))))))),"")</f>
        <v/>
      </c>
      <c r="J156" s="105"/>
      <c r="K156" s="295" t="str">
        <f>IF(AND(J156="",D156&lt;&gt;""),"Check data ⚠",IF(J156="","",IF(VLOOKUP(J156,'G-3 Multipliers'!$L$3:$N$6,2,FALSE)=0,"Spatial Data Missing ⚠",VLOOKUP(J156,'G-3 Multipliers'!$L$3:$N$6,2,FALSE))))</f>
        <v/>
      </c>
      <c r="L156" s="299" t="str">
        <f>IF(J156="","",IF(VLOOKUP(J156,'G-3 Multipliers'!$L$3:$N$6,3,FALSE)=0,"Spatial Data Missing ⚠",VLOOKUP(J156,'G-3 Multipliers'!$L$3:$N$6,3,FALSE)))</f>
        <v/>
      </c>
      <c r="M156" s="336" t="str">
        <f>IF(D156="","",VLOOKUP(D156,'G-6 Hedgerow Data'!$B$1:$AH$15,33,FALSE))</f>
        <v/>
      </c>
      <c r="N156" s="289" t="str">
        <f t="shared" si="20"/>
        <v/>
      </c>
      <c r="O156" s="393"/>
      <c r="P156" s="281" t="str">
        <f>IF(O156="","",IF(VLOOKUP(O156,'G-3 Multipliers'!$S$3:$T$10,2,FALSE)=0,"Spatial Data Missing ⚠",VLOOKUP(O156,'G-3 Multipliers'!$S$3:$T$10,2,FALSE)))</f>
        <v/>
      </c>
      <c r="Q156" s="289" t="str">
        <f t="shared" si="21"/>
        <v/>
      </c>
      <c r="R156" s="32"/>
      <c r="S156" s="101"/>
      <c r="T156" s="108"/>
      <c r="U156" s="283" t="str">
        <f t="shared" si="22"/>
        <v/>
      </c>
      <c r="V156" s="283" t="str">
        <f t="shared" si="23"/>
        <v/>
      </c>
      <c r="W156" s="287" t="str">
        <f t="shared" si="24"/>
        <v/>
      </c>
      <c r="X156" s="291" t="str">
        <f t="shared" si="25"/>
        <v/>
      </c>
      <c r="Y156" s="105"/>
      <c r="Z156" s="104"/>
      <c r="AA156" s="104"/>
      <c r="AB156" s="104"/>
      <c r="AE156" s="30" t="str">
        <f>IFERROR(INDEX('G-6 Hedgerow Data'!$BJ$3:$BJ$15,MATCH(D156,'G-6 Hedgerow Data'!$B$3:$B$15,0)),"")</f>
        <v/>
      </c>
      <c r="AH156" s="107" t="str">
        <f t="shared" si="18"/>
        <v/>
      </c>
      <c r="AI156" s="107" t="str">
        <f t="shared" si="19"/>
        <v/>
      </c>
      <c r="AK156" s="107">
        <v>147</v>
      </c>
      <c r="AM156" s="107" t="str">
        <f t="array" ref="AM156">IFERROR(INDEX($AK$10:$AK$258,MATCH(0,IF(TRUE=$AH$10:$AH$258,COUNTIF($AM$9:$AM155,$AK$10:$AK$258),""),0)),"")</f>
        <v/>
      </c>
      <c r="AN156" s="107" t="str">
        <f t="array" ref="AN156">IFERROR(INDEX($AK$10:$AK$258,MATCH(0,IF(TRUE=$AI$10:$AI$258,COUNTIF($AN$9:$AN155,$AK$10:$AK$258),""),0)),"")</f>
        <v/>
      </c>
      <c r="AY156" s="283" t="str">
        <f t="shared" si="26"/>
        <v/>
      </c>
    </row>
    <row r="157" spans="2:51" ht="14">
      <c r="B157" s="97">
        <v>148</v>
      </c>
      <c r="C157" s="138"/>
      <c r="D157" s="138"/>
      <c r="E157" s="104"/>
      <c r="F157" s="275" t="str">
        <f>IF(D157="","",VLOOKUP(D157,'G-6 Hedgerow Data'!$B$2:$AG$15,2,FALSE))</f>
        <v/>
      </c>
      <c r="G157" s="276" t="str">
        <f>IF(D157="","",VLOOKUP(D157,'G-6 Hedgerow Data'!$B$2:$AG$15,3,FALSE))</f>
        <v/>
      </c>
      <c r="H157" s="101"/>
      <c r="I157" s="276" t="str">
        <f>IFERROR(IF(AND(D157&lt;&gt;"",H157=""),"Check data ⚠",(IF(H157="","",IF(AND(D157="Non-native and ornamental hedgerow",H157&lt;&gt;"Poor"),"Not possible ▲",(IF(AND(F157="V.Low",OR(H157="Good",H157="Moderate")),"Error ▲",VLOOKUP(H157,'G-1 All Habitats'!$Z$2:$AA$9,2,FALSE))))))),"")</f>
        <v/>
      </c>
      <c r="J157" s="105"/>
      <c r="K157" s="295" t="str">
        <f>IF(AND(J157="",D157&lt;&gt;""),"Check data ⚠",IF(J157="","",IF(VLOOKUP(J157,'G-3 Multipliers'!$L$3:$N$6,2,FALSE)=0,"Spatial Data Missing ⚠",VLOOKUP(J157,'G-3 Multipliers'!$L$3:$N$6,2,FALSE))))</f>
        <v/>
      </c>
      <c r="L157" s="299" t="str">
        <f>IF(J157="","",IF(VLOOKUP(J157,'G-3 Multipliers'!$L$3:$N$6,3,FALSE)=0,"Spatial Data Missing ⚠",VLOOKUP(J157,'G-3 Multipliers'!$L$3:$N$6,3,FALSE)))</f>
        <v/>
      </c>
      <c r="M157" s="336" t="str">
        <f>IF(D157="","",VLOOKUP(D157,'G-6 Hedgerow Data'!$B$1:$AH$15,33,FALSE))</f>
        <v/>
      </c>
      <c r="N157" s="289" t="str">
        <f t="shared" si="20"/>
        <v/>
      </c>
      <c r="O157" s="393"/>
      <c r="P157" s="281" t="str">
        <f>IF(O157="","",IF(VLOOKUP(O157,'G-3 Multipliers'!$S$3:$T$10,2,FALSE)=0,"Spatial Data Missing ⚠",VLOOKUP(O157,'G-3 Multipliers'!$S$3:$T$10,2,FALSE)))</f>
        <v/>
      </c>
      <c r="Q157" s="289" t="str">
        <f t="shared" si="21"/>
        <v/>
      </c>
      <c r="R157" s="32"/>
      <c r="S157" s="101"/>
      <c r="T157" s="108"/>
      <c r="U157" s="283" t="str">
        <f t="shared" si="22"/>
        <v/>
      </c>
      <c r="V157" s="283" t="str">
        <f t="shared" si="23"/>
        <v/>
      </c>
      <c r="W157" s="287" t="str">
        <f t="shared" si="24"/>
        <v/>
      </c>
      <c r="X157" s="291" t="str">
        <f t="shared" si="25"/>
        <v/>
      </c>
      <c r="Y157" s="105"/>
      <c r="Z157" s="104"/>
      <c r="AA157" s="104"/>
      <c r="AB157" s="104"/>
      <c r="AE157" s="30" t="str">
        <f>IFERROR(INDEX('G-6 Hedgerow Data'!$BJ$3:$BJ$15,MATCH(D157,'G-6 Hedgerow Data'!$B$3:$B$15,0)),"")</f>
        <v/>
      </c>
      <c r="AH157" s="107" t="str">
        <f t="shared" si="18"/>
        <v/>
      </c>
      <c r="AI157" s="107" t="str">
        <f t="shared" si="19"/>
        <v/>
      </c>
      <c r="AK157" s="107">
        <v>148</v>
      </c>
      <c r="AM157" s="107" t="str">
        <f t="array" ref="AM157">IFERROR(INDEX($AK$10:$AK$258,MATCH(0,IF(TRUE=$AH$10:$AH$258,COUNTIF($AM$9:$AM156,$AK$10:$AK$258),""),0)),"")</f>
        <v/>
      </c>
      <c r="AN157" s="107" t="str">
        <f t="array" ref="AN157">IFERROR(INDEX($AK$10:$AK$258,MATCH(0,IF(TRUE=$AI$10:$AI$258,COUNTIF($AN$9:$AN156,$AK$10:$AK$258),""),0)),"")</f>
        <v/>
      </c>
      <c r="AY157" s="283" t="str">
        <f t="shared" si="26"/>
        <v/>
      </c>
    </row>
    <row r="158" spans="2:51" ht="14">
      <c r="B158" s="97">
        <v>149</v>
      </c>
      <c r="C158" s="138"/>
      <c r="D158" s="138"/>
      <c r="E158" s="104"/>
      <c r="F158" s="275" t="str">
        <f>IF(D158="","",VLOOKUP(D158,'G-6 Hedgerow Data'!$B$2:$AG$15,2,FALSE))</f>
        <v/>
      </c>
      <c r="G158" s="276" t="str">
        <f>IF(D158="","",VLOOKUP(D158,'G-6 Hedgerow Data'!$B$2:$AG$15,3,FALSE))</f>
        <v/>
      </c>
      <c r="H158" s="101"/>
      <c r="I158" s="276" t="str">
        <f>IFERROR(IF(AND(D158&lt;&gt;"",H158=""),"Check data ⚠",(IF(H158="","",IF(AND(D158="Non-native and ornamental hedgerow",H158&lt;&gt;"Poor"),"Not possible ▲",(IF(AND(F158="V.Low",OR(H158="Good",H158="Moderate")),"Error ▲",VLOOKUP(H158,'G-1 All Habitats'!$Z$2:$AA$9,2,FALSE))))))),"")</f>
        <v/>
      </c>
      <c r="J158" s="105"/>
      <c r="K158" s="295" t="str">
        <f>IF(AND(J158="",D158&lt;&gt;""),"Check data ⚠",IF(J158="","",IF(VLOOKUP(J158,'G-3 Multipliers'!$L$3:$N$6,2,FALSE)=0,"Spatial Data Missing ⚠",VLOOKUP(J158,'G-3 Multipliers'!$L$3:$N$6,2,FALSE))))</f>
        <v/>
      </c>
      <c r="L158" s="299" t="str">
        <f>IF(J158="","",IF(VLOOKUP(J158,'G-3 Multipliers'!$L$3:$N$6,3,FALSE)=0,"Spatial Data Missing ⚠",VLOOKUP(J158,'G-3 Multipliers'!$L$3:$N$6,3,FALSE)))</f>
        <v/>
      </c>
      <c r="M158" s="336" t="str">
        <f>IF(D158="","",VLOOKUP(D158,'G-6 Hedgerow Data'!$B$1:$AH$15,33,FALSE))</f>
        <v/>
      </c>
      <c r="N158" s="289" t="str">
        <f t="shared" si="20"/>
        <v/>
      </c>
      <c r="O158" s="393"/>
      <c r="P158" s="281" t="str">
        <f>IF(O158="","",IF(VLOOKUP(O158,'G-3 Multipliers'!$S$3:$T$10,2,FALSE)=0,"Spatial Data Missing ⚠",VLOOKUP(O158,'G-3 Multipliers'!$S$3:$T$10,2,FALSE)))</f>
        <v/>
      </c>
      <c r="Q158" s="289" t="str">
        <f t="shared" si="21"/>
        <v/>
      </c>
      <c r="R158" s="32"/>
      <c r="S158" s="101"/>
      <c r="T158" s="108"/>
      <c r="U158" s="283" t="str">
        <f t="shared" si="22"/>
        <v/>
      </c>
      <c r="V158" s="283" t="str">
        <f t="shared" si="23"/>
        <v/>
      </c>
      <c r="W158" s="287" t="str">
        <f t="shared" si="24"/>
        <v/>
      </c>
      <c r="X158" s="291" t="str">
        <f t="shared" si="25"/>
        <v/>
      </c>
      <c r="Y158" s="105"/>
      <c r="Z158" s="104"/>
      <c r="AA158" s="104"/>
      <c r="AB158" s="104"/>
      <c r="AE158" s="30" t="str">
        <f>IFERROR(INDEX('G-6 Hedgerow Data'!$BJ$3:$BJ$15,MATCH(D158,'G-6 Hedgerow Data'!$B$3:$B$15,0)),"")</f>
        <v/>
      </c>
      <c r="AH158" s="107" t="str">
        <f t="shared" si="18"/>
        <v/>
      </c>
      <c r="AI158" s="107" t="str">
        <f t="shared" si="19"/>
        <v/>
      </c>
      <c r="AK158" s="107">
        <v>149</v>
      </c>
      <c r="AM158" s="107" t="str">
        <f t="array" ref="AM158">IFERROR(INDEX($AK$10:$AK$258,MATCH(0,IF(TRUE=$AH$10:$AH$258,COUNTIF($AM$9:$AM157,$AK$10:$AK$258),""),0)),"")</f>
        <v/>
      </c>
      <c r="AN158" s="107" t="str">
        <f t="array" ref="AN158">IFERROR(INDEX($AK$10:$AK$258,MATCH(0,IF(TRUE=$AI$10:$AI$258,COUNTIF($AN$9:$AN157,$AK$10:$AK$258),""),0)),"")</f>
        <v/>
      </c>
      <c r="AY158" s="283" t="str">
        <f t="shared" si="26"/>
        <v/>
      </c>
    </row>
    <row r="159" spans="2:51" ht="14">
      <c r="B159" s="97">
        <v>150</v>
      </c>
      <c r="C159" s="138"/>
      <c r="D159" s="138"/>
      <c r="E159" s="104"/>
      <c r="F159" s="275" t="str">
        <f>IF(D159="","",VLOOKUP(D159,'G-6 Hedgerow Data'!$B$2:$AG$15,2,FALSE))</f>
        <v/>
      </c>
      <c r="G159" s="276" t="str">
        <f>IF(D159="","",VLOOKUP(D159,'G-6 Hedgerow Data'!$B$2:$AG$15,3,FALSE))</f>
        <v/>
      </c>
      <c r="H159" s="101"/>
      <c r="I159" s="276" t="str">
        <f>IFERROR(IF(AND(D159&lt;&gt;"",H159=""),"Check data ⚠",(IF(H159="","",IF(AND(D159="Non-native and ornamental hedgerow",H159&lt;&gt;"Poor"),"Not possible ▲",(IF(AND(F159="V.Low",OR(H159="Good",H159="Moderate")),"Error ▲",VLOOKUP(H159,'G-1 All Habitats'!$Z$2:$AA$9,2,FALSE))))))),"")</f>
        <v/>
      </c>
      <c r="J159" s="105"/>
      <c r="K159" s="295" t="str">
        <f>IF(AND(J159="",D159&lt;&gt;""),"Check data ⚠",IF(J159="","",IF(VLOOKUP(J159,'G-3 Multipliers'!$L$3:$N$6,2,FALSE)=0,"Spatial Data Missing ⚠",VLOOKUP(J159,'G-3 Multipliers'!$L$3:$N$6,2,FALSE))))</f>
        <v/>
      </c>
      <c r="L159" s="299" t="str">
        <f>IF(J159="","",IF(VLOOKUP(J159,'G-3 Multipliers'!$L$3:$N$6,3,FALSE)=0,"Spatial Data Missing ⚠",VLOOKUP(J159,'G-3 Multipliers'!$L$3:$N$6,3,FALSE)))</f>
        <v/>
      </c>
      <c r="M159" s="336" t="str">
        <f>IF(D159="","",VLOOKUP(D159,'G-6 Hedgerow Data'!$B$1:$AH$15,33,FALSE))</f>
        <v/>
      </c>
      <c r="N159" s="289" t="str">
        <f t="shared" si="20"/>
        <v/>
      </c>
      <c r="O159" s="393"/>
      <c r="P159" s="281" t="str">
        <f>IF(O159="","",IF(VLOOKUP(O159,'G-3 Multipliers'!$S$3:$T$10,2,FALSE)=0,"Spatial Data Missing ⚠",VLOOKUP(O159,'G-3 Multipliers'!$S$3:$T$10,2,FALSE)))</f>
        <v/>
      </c>
      <c r="Q159" s="289" t="str">
        <f t="shared" si="21"/>
        <v/>
      </c>
      <c r="R159" s="32"/>
      <c r="S159" s="101"/>
      <c r="T159" s="108"/>
      <c r="U159" s="283" t="str">
        <f t="shared" si="22"/>
        <v/>
      </c>
      <c r="V159" s="283" t="str">
        <f t="shared" si="23"/>
        <v/>
      </c>
      <c r="W159" s="287" t="str">
        <f t="shared" si="24"/>
        <v/>
      </c>
      <c r="X159" s="291" t="str">
        <f t="shared" si="25"/>
        <v/>
      </c>
      <c r="Y159" s="105"/>
      <c r="Z159" s="104"/>
      <c r="AA159" s="104"/>
      <c r="AB159" s="104"/>
      <c r="AE159" s="30" t="str">
        <f>IFERROR(INDEX('G-6 Hedgerow Data'!$BJ$3:$BJ$15,MATCH(D159,'G-6 Hedgerow Data'!$B$3:$B$15,0)),"")</f>
        <v/>
      </c>
      <c r="AH159" s="107" t="str">
        <f t="shared" si="18"/>
        <v/>
      </c>
      <c r="AI159" s="107" t="str">
        <f t="shared" si="19"/>
        <v/>
      </c>
      <c r="AK159" s="107">
        <v>150</v>
      </c>
      <c r="AM159" s="107" t="str">
        <f t="array" ref="AM159">IFERROR(INDEX($AK$10:$AK$258,MATCH(0,IF(TRUE=$AH$10:$AH$258,COUNTIF($AM$9:$AM158,$AK$10:$AK$258),""),0)),"")</f>
        <v/>
      </c>
      <c r="AN159" s="107" t="str">
        <f t="array" ref="AN159">IFERROR(INDEX($AK$10:$AK$258,MATCH(0,IF(TRUE=$AI$10:$AI$258,COUNTIF($AN$9:$AN158,$AK$10:$AK$258),""),0)),"")</f>
        <v/>
      </c>
      <c r="AY159" s="283" t="str">
        <f t="shared" si="26"/>
        <v/>
      </c>
    </row>
    <row r="160" spans="2:51" ht="14">
      <c r="B160" s="97">
        <v>151</v>
      </c>
      <c r="C160" s="138"/>
      <c r="D160" s="138"/>
      <c r="E160" s="104"/>
      <c r="F160" s="275" t="str">
        <f>IF(D160="","",VLOOKUP(D160,'G-6 Hedgerow Data'!$B$2:$AG$15,2,FALSE))</f>
        <v/>
      </c>
      <c r="G160" s="276" t="str">
        <f>IF(D160="","",VLOOKUP(D160,'G-6 Hedgerow Data'!$B$2:$AG$15,3,FALSE))</f>
        <v/>
      </c>
      <c r="H160" s="101"/>
      <c r="I160" s="276" t="str">
        <f>IFERROR(IF(AND(D160&lt;&gt;"",H160=""),"Check data ⚠",(IF(H160="","",IF(AND(D160="Non-native and ornamental hedgerow",H160&lt;&gt;"Poor"),"Not possible ▲",(IF(AND(F160="V.Low",OR(H160="Good",H160="Moderate")),"Error ▲",VLOOKUP(H160,'G-1 All Habitats'!$Z$2:$AA$9,2,FALSE))))))),"")</f>
        <v/>
      </c>
      <c r="J160" s="105"/>
      <c r="K160" s="295" t="str">
        <f>IF(AND(J160="",D160&lt;&gt;""),"Check data ⚠",IF(J160="","",IF(VLOOKUP(J160,'G-3 Multipliers'!$L$3:$N$6,2,FALSE)=0,"Spatial Data Missing ⚠",VLOOKUP(J160,'G-3 Multipliers'!$L$3:$N$6,2,FALSE))))</f>
        <v/>
      </c>
      <c r="L160" s="299" t="str">
        <f>IF(J160="","",IF(VLOOKUP(J160,'G-3 Multipliers'!$L$3:$N$6,3,FALSE)=0,"Spatial Data Missing ⚠",VLOOKUP(J160,'G-3 Multipliers'!$L$3:$N$6,3,FALSE)))</f>
        <v/>
      </c>
      <c r="M160" s="336" t="str">
        <f>IF(D160="","",VLOOKUP(D160,'G-6 Hedgerow Data'!$B$1:$AH$15,33,FALSE))</f>
        <v/>
      </c>
      <c r="N160" s="289" t="str">
        <f t="shared" si="20"/>
        <v/>
      </c>
      <c r="O160" s="393"/>
      <c r="P160" s="281" t="str">
        <f>IF(O160="","",IF(VLOOKUP(O160,'G-3 Multipliers'!$S$3:$T$10,2,FALSE)=0,"Spatial Data Missing ⚠",VLOOKUP(O160,'G-3 Multipliers'!$S$3:$T$10,2,FALSE)))</f>
        <v/>
      </c>
      <c r="Q160" s="289" t="str">
        <f t="shared" si="21"/>
        <v/>
      </c>
      <c r="R160" s="32"/>
      <c r="S160" s="101"/>
      <c r="T160" s="108"/>
      <c r="U160" s="283" t="str">
        <f t="shared" si="22"/>
        <v/>
      </c>
      <c r="V160" s="283" t="str">
        <f t="shared" si="23"/>
        <v/>
      </c>
      <c r="W160" s="287" t="str">
        <f t="shared" si="24"/>
        <v/>
      </c>
      <c r="X160" s="291" t="str">
        <f t="shared" si="25"/>
        <v/>
      </c>
      <c r="Y160" s="105"/>
      <c r="Z160" s="104"/>
      <c r="AA160" s="104"/>
      <c r="AB160" s="104"/>
      <c r="AE160" s="30" t="str">
        <f>IFERROR(INDEX('G-6 Hedgerow Data'!$BJ$3:$BJ$15,MATCH(D160,'G-6 Hedgerow Data'!$B$3:$B$15,0)),"")</f>
        <v/>
      </c>
      <c r="AH160" s="107" t="str">
        <f t="shared" si="18"/>
        <v/>
      </c>
      <c r="AI160" s="107" t="str">
        <f t="shared" si="19"/>
        <v/>
      </c>
      <c r="AK160" s="107">
        <v>151</v>
      </c>
      <c r="AM160" s="107" t="str">
        <f t="array" ref="AM160">IFERROR(INDEX($AK$10:$AK$258,MATCH(0,IF(TRUE=$AH$10:$AH$258,COUNTIF($AM$9:$AM159,$AK$10:$AK$258),""),0)),"")</f>
        <v/>
      </c>
      <c r="AN160" s="107" t="str">
        <f t="array" ref="AN160">IFERROR(INDEX($AK$10:$AK$258,MATCH(0,IF(TRUE=$AI$10:$AI$258,COUNTIF($AN$9:$AN159,$AK$10:$AK$258),""),0)),"")</f>
        <v/>
      </c>
      <c r="AY160" s="283" t="str">
        <f t="shared" si="26"/>
        <v/>
      </c>
    </row>
    <row r="161" spans="2:51" ht="14">
      <c r="B161" s="97">
        <v>152</v>
      </c>
      <c r="C161" s="138"/>
      <c r="D161" s="138"/>
      <c r="E161" s="104"/>
      <c r="F161" s="275" t="str">
        <f>IF(D161="","",VLOOKUP(D161,'G-6 Hedgerow Data'!$B$2:$AG$15,2,FALSE))</f>
        <v/>
      </c>
      <c r="G161" s="276" t="str">
        <f>IF(D161="","",VLOOKUP(D161,'G-6 Hedgerow Data'!$B$2:$AG$15,3,FALSE))</f>
        <v/>
      </c>
      <c r="H161" s="101"/>
      <c r="I161" s="276" t="str">
        <f>IFERROR(IF(AND(D161&lt;&gt;"",H161=""),"Check data ⚠",(IF(H161="","",IF(AND(D161="Non-native and ornamental hedgerow",H161&lt;&gt;"Poor"),"Not possible ▲",(IF(AND(F161="V.Low",OR(H161="Good",H161="Moderate")),"Error ▲",VLOOKUP(H161,'G-1 All Habitats'!$Z$2:$AA$9,2,FALSE))))))),"")</f>
        <v/>
      </c>
      <c r="J161" s="105"/>
      <c r="K161" s="295" t="str">
        <f>IF(AND(J161="",D161&lt;&gt;""),"Check data ⚠",IF(J161="","",IF(VLOOKUP(J161,'G-3 Multipliers'!$L$3:$N$6,2,FALSE)=0,"Spatial Data Missing ⚠",VLOOKUP(J161,'G-3 Multipliers'!$L$3:$N$6,2,FALSE))))</f>
        <v/>
      </c>
      <c r="L161" s="299" t="str">
        <f>IF(J161="","",IF(VLOOKUP(J161,'G-3 Multipliers'!$L$3:$N$6,3,FALSE)=0,"Spatial Data Missing ⚠",VLOOKUP(J161,'G-3 Multipliers'!$L$3:$N$6,3,FALSE)))</f>
        <v/>
      </c>
      <c r="M161" s="336" t="str">
        <f>IF(D161="","",VLOOKUP(D161,'G-6 Hedgerow Data'!$B$1:$AH$15,33,FALSE))</f>
        <v/>
      </c>
      <c r="N161" s="289" t="str">
        <f t="shared" si="20"/>
        <v/>
      </c>
      <c r="O161" s="393"/>
      <c r="P161" s="281" t="str">
        <f>IF(O161="","",IF(VLOOKUP(O161,'G-3 Multipliers'!$S$3:$T$10,2,FALSE)=0,"Spatial Data Missing ⚠",VLOOKUP(O161,'G-3 Multipliers'!$S$3:$T$10,2,FALSE)))</f>
        <v/>
      </c>
      <c r="Q161" s="289" t="str">
        <f t="shared" si="21"/>
        <v/>
      </c>
      <c r="R161" s="32"/>
      <c r="S161" s="101"/>
      <c r="T161" s="108"/>
      <c r="U161" s="283" t="str">
        <f t="shared" si="22"/>
        <v/>
      </c>
      <c r="V161" s="283" t="str">
        <f t="shared" si="23"/>
        <v/>
      </c>
      <c r="W161" s="287" t="str">
        <f t="shared" si="24"/>
        <v/>
      </c>
      <c r="X161" s="291" t="str">
        <f t="shared" si="25"/>
        <v/>
      </c>
      <c r="Y161" s="105"/>
      <c r="Z161" s="104"/>
      <c r="AA161" s="104"/>
      <c r="AB161" s="104"/>
      <c r="AE161" s="30" t="str">
        <f>IFERROR(INDEX('G-6 Hedgerow Data'!$BJ$3:$BJ$15,MATCH(D161,'G-6 Hedgerow Data'!$B$3:$B$15,0)),"")</f>
        <v/>
      </c>
      <c r="AH161" s="107" t="str">
        <f t="shared" si="18"/>
        <v/>
      </c>
      <c r="AI161" s="107" t="str">
        <f t="shared" si="19"/>
        <v/>
      </c>
      <c r="AK161" s="107">
        <v>152</v>
      </c>
      <c r="AM161" s="107" t="str">
        <f t="array" ref="AM161">IFERROR(INDEX($AK$10:$AK$258,MATCH(0,IF(TRUE=$AH$10:$AH$258,COUNTIF($AM$9:$AM160,$AK$10:$AK$258),""),0)),"")</f>
        <v/>
      </c>
      <c r="AN161" s="107" t="str">
        <f t="array" ref="AN161">IFERROR(INDEX($AK$10:$AK$258,MATCH(0,IF(TRUE=$AI$10:$AI$258,COUNTIF($AN$9:$AN160,$AK$10:$AK$258),""),0)),"")</f>
        <v/>
      </c>
      <c r="AY161" s="283" t="str">
        <f t="shared" si="26"/>
        <v/>
      </c>
    </row>
    <row r="162" spans="2:51" ht="14">
      <c r="B162" s="97">
        <v>153</v>
      </c>
      <c r="C162" s="138"/>
      <c r="D162" s="138"/>
      <c r="E162" s="104"/>
      <c r="F162" s="275" t="str">
        <f>IF(D162="","",VLOOKUP(D162,'G-6 Hedgerow Data'!$B$2:$AG$15,2,FALSE))</f>
        <v/>
      </c>
      <c r="G162" s="276" t="str">
        <f>IF(D162="","",VLOOKUP(D162,'G-6 Hedgerow Data'!$B$2:$AG$15,3,FALSE))</f>
        <v/>
      </c>
      <c r="H162" s="101"/>
      <c r="I162" s="276" t="str">
        <f>IFERROR(IF(AND(D162&lt;&gt;"",H162=""),"Check data ⚠",(IF(H162="","",IF(AND(D162="Non-native and ornamental hedgerow",H162&lt;&gt;"Poor"),"Not possible ▲",(IF(AND(F162="V.Low",OR(H162="Good",H162="Moderate")),"Error ▲",VLOOKUP(H162,'G-1 All Habitats'!$Z$2:$AA$9,2,FALSE))))))),"")</f>
        <v/>
      </c>
      <c r="J162" s="105"/>
      <c r="K162" s="295" t="str">
        <f>IF(AND(J162="",D162&lt;&gt;""),"Check data ⚠",IF(J162="","",IF(VLOOKUP(J162,'G-3 Multipliers'!$L$3:$N$6,2,FALSE)=0,"Spatial Data Missing ⚠",VLOOKUP(J162,'G-3 Multipliers'!$L$3:$N$6,2,FALSE))))</f>
        <v/>
      </c>
      <c r="L162" s="299" t="str">
        <f>IF(J162="","",IF(VLOOKUP(J162,'G-3 Multipliers'!$L$3:$N$6,3,FALSE)=0,"Spatial Data Missing ⚠",VLOOKUP(J162,'G-3 Multipliers'!$L$3:$N$6,3,FALSE)))</f>
        <v/>
      </c>
      <c r="M162" s="336" t="str">
        <f>IF(D162="","",VLOOKUP(D162,'G-6 Hedgerow Data'!$B$1:$AH$15,33,FALSE))</f>
        <v/>
      </c>
      <c r="N162" s="289" t="str">
        <f t="shared" si="20"/>
        <v/>
      </c>
      <c r="O162" s="393"/>
      <c r="P162" s="281" t="str">
        <f>IF(O162="","",IF(VLOOKUP(O162,'G-3 Multipliers'!$S$3:$T$10,2,FALSE)=0,"Spatial Data Missing ⚠",VLOOKUP(O162,'G-3 Multipliers'!$S$3:$T$10,2,FALSE)))</f>
        <v/>
      </c>
      <c r="Q162" s="289" t="str">
        <f t="shared" si="21"/>
        <v/>
      </c>
      <c r="R162" s="32"/>
      <c r="S162" s="101"/>
      <c r="T162" s="108"/>
      <c r="U162" s="283" t="str">
        <f t="shared" si="22"/>
        <v/>
      </c>
      <c r="V162" s="283" t="str">
        <f t="shared" si="23"/>
        <v/>
      </c>
      <c r="W162" s="287" t="str">
        <f t="shared" si="24"/>
        <v/>
      </c>
      <c r="X162" s="291" t="str">
        <f t="shared" si="25"/>
        <v/>
      </c>
      <c r="Y162" s="105"/>
      <c r="Z162" s="104"/>
      <c r="AA162" s="104"/>
      <c r="AB162" s="104"/>
      <c r="AE162" s="30" t="str">
        <f>IFERROR(INDEX('G-6 Hedgerow Data'!$BJ$3:$BJ$15,MATCH(D162,'G-6 Hedgerow Data'!$B$3:$B$15,0)),"")</f>
        <v/>
      </c>
      <c r="AH162" s="107" t="str">
        <f t="shared" si="18"/>
        <v/>
      </c>
      <c r="AI162" s="107" t="str">
        <f t="shared" si="19"/>
        <v/>
      </c>
      <c r="AK162" s="107">
        <v>153</v>
      </c>
      <c r="AM162" s="107" t="str">
        <f t="array" ref="AM162">IFERROR(INDEX($AK$10:$AK$258,MATCH(0,IF(TRUE=$AH$10:$AH$258,COUNTIF($AM$9:$AM161,$AK$10:$AK$258),""),0)),"")</f>
        <v/>
      </c>
      <c r="AN162" s="107" t="str">
        <f t="array" ref="AN162">IFERROR(INDEX($AK$10:$AK$258,MATCH(0,IF(TRUE=$AI$10:$AI$258,COUNTIF($AN$9:$AN161,$AK$10:$AK$258),""),0)),"")</f>
        <v/>
      </c>
      <c r="AY162" s="283" t="str">
        <f t="shared" si="26"/>
        <v/>
      </c>
    </row>
    <row r="163" spans="2:51" ht="14">
      <c r="B163" s="97">
        <v>154</v>
      </c>
      <c r="C163" s="138"/>
      <c r="D163" s="138"/>
      <c r="E163" s="104"/>
      <c r="F163" s="275" t="str">
        <f>IF(D163="","",VLOOKUP(D163,'G-6 Hedgerow Data'!$B$2:$AG$15,2,FALSE))</f>
        <v/>
      </c>
      <c r="G163" s="276" t="str">
        <f>IF(D163="","",VLOOKUP(D163,'G-6 Hedgerow Data'!$B$2:$AG$15,3,FALSE))</f>
        <v/>
      </c>
      <c r="H163" s="101"/>
      <c r="I163" s="276" t="str">
        <f>IFERROR(IF(AND(D163&lt;&gt;"",H163=""),"Check data ⚠",(IF(H163="","",IF(AND(D163="Non-native and ornamental hedgerow",H163&lt;&gt;"Poor"),"Not possible ▲",(IF(AND(F163="V.Low",OR(H163="Good",H163="Moderate")),"Error ▲",VLOOKUP(H163,'G-1 All Habitats'!$Z$2:$AA$9,2,FALSE))))))),"")</f>
        <v/>
      </c>
      <c r="J163" s="105"/>
      <c r="K163" s="295" t="str">
        <f>IF(AND(J163="",D163&lt;&gt;""),"Check data ⚠",IF(J163="","",IF(VLOOKUP(J163,'G-3 Multipliers'!$L$3:$N$6,2,FALSE)=0,"Spatial Data Missing ⚠",VLOOKUP(J163,'G-3 Multipliers'!$L$3:$N$6,2,FALSE))))</f>
        <v/>
      </c>
      <c r="L163" s="299" t="str">
        <f>IF(J163="","",IF(VLOOKUP(J163,'G-3 Multipliers'!$L$3:$N$6,3,FALSE)=0,"Spatial Data Missing ⚠",VLOOKUP(J163,'G-3 Multipliers'!$L$3:$N$6,3,FALSE)))</f>
        <v/>
      </c>
      <c r="M163" s="336" t="str">
        <f>IF(D163="","",VLOOKUP(D163,'G-6 Hedgerow Data'!$B$1:$AH$15,33,FALSE))</f>
        <v/>
      </c>
      <c r="N163" s="289" t="str">
        <f t="shared" si="20"/>
        <v/>
      </c>
      <c r="O163" s="393"/>
      <c r="P163" s="281" t="str">
        <f>IF(O163="","",IF(VLOOKUP(O163,'G-3 Multipliers'!$S$3:$T$10,2,FALSE)=0,"Spatial Data Missing ⚠",VLOOKUP(O163,'G-3 Multipliers'!$S$3:$T$10,2,FALSE)))</f>
        <v/>
      </c>
      <c r="Q163" s="289" t="str">
        <f t="shared" si="21"/>
        <v/>
      </c>
      <c r="R163" s="32"/>
      <c r="S163" s="101"/>
      <c r="T163" s="108"/>
      <c r="U163" s="283" t="str">
        <f t="shared" si="22"/>
        <v/>
      </c>
      <c r="V163" s="283" t="str">
        <f t="shared" si="23"/>
        <v/>
      </c>
      <c r="W163" s="287" t="str">
        <f t="shared" si="24"/>
        <v/>
      </c>
      <c r="X163" s="291" t="str">
        <f t="shared" si="25"/>
        <v/>
      </c>
      <c r="Y163" s="105"/>
      <c r="Z163" s="104"/>
      <c r="AA163" s="104"/>
      <c r="AB163" s="104"/>
      <c r="AE163" s="30" t="str">
        <f>IFERROR(INDEX('G-6 Hedgerow Data'!$BJ$3:$BJ$15,MATCH(D163,'G-6 Hedgerow Data'!$B$3:$B$15,0)),"")</f>
        <v/>
      </c>
      <c r="AH163" s="107" t="str">
        <f t="shared" si="18"/>
        <v/>
      </c>
      <c r="AI163" s="107" t="str">
        <f t="shared" si="19"/>
        <v/>
      </c>
      <c r="AK163" s="107">
        <v>154</v>
      </c>
      <c r="AM163" s="107" t="str">
        <f t="array" ref="AM163">IFERROR(INDEX($AK$10:$AK$258,MATCH(0,IF(TRUE=$AH$10:$AH$258,COUNTIF($AM$9:$AM162,$AK$10:$AK$258),""),0)),"")</f>
        <v/>
      </c>
      <c r="AN163" s="107" t="str">
        <f t="array" ref="AN163">IFERROR(INDEX($AK$10:$AK$258,MATCH(0,IF(TRUE=$AI$10:$AI$258,COUNTIF($AN$9:$AN162,$AK$10:$AK$258),""),0)),"")</f>
        <v/>
      </c>
      <c r="AY163" s="283" t="str">
        <f t="shared" si="26"/>
        <v/>
      </c>
    </row>
    <row r="164" spans="2:51" ht="14">
      <c r="B164" s="97">
        <v>155</v>
      </c>
      <c r="C164" s="138"/>
      <c r="D164" s="138"/>
      <c r="E164" s="104"/>
      <c r="F164" s="275" t="str">
        <f>IF(D164="","",VLOOKUP(D164,'G-6 Hedgerow Data'!$B$2:$AG$15,2,FALSE))</f>
        <v/>
      </c>
      <c r="G164" s="276" t="str">
        <f>IF(D164="","",VLOOKUP(D164,'G-6 Hedgerow Data'!$B$2:$AG$15,3,FALSE))</f>
        <v/>
      </c>
      <c r="H164" s="101"/>
      <c r="I164" s="276" t="str">
        <f>IFERROR(IF(AND(D164&lt;&gt;"",H164=""),"Check data ⚠",(IF(H164="","",IF(AND(D164="Non-native and ornamental hedgerow",H164&lt;&gt;"Poor"),"Not possible ▲",(IF(AND(F164="V.Low",OR(H164="Good",H164="Moderate")),"Error ▲",VLOOKUP(H164,'G-1 All Habitats'!$Z$2:$AA$9,2,FALSE))))))),"")</f>
        <v/>
      </c>
      <c r="J164" s="105"/>
      <c r="K164" s="295" t="str">
        <f>IF(AND(J164="",D164&lt;&gt;""),"Check data ⚠",IF(J164="","",IF(VLOOKUP(J164,'G-3 Multipliers'!$L$3:$N$6,2,FALSE)=0,"Spatial Data Missing ⚠",VLOOKUP(J164,'G-3 Multipliers'!$L$3:$N$6,2,FALSE))))</f>
        <v/>
      </c>
      <c r="L164" s="299" t="str">
        <f>IF(J164="","",IF(VLOOKUP(J164,'G-3 Multipliers'!$L$3:$N$6,3,FALSE)=0,"Spatial Data Missing ⚠",VLOOKUP(J164,'G-3 Multipliers'!$L$3:$N$6,3,FALSE)))</f>
        <v/>
      </c>
      <c r="M164" s="336" t="str">
        <f>IF(D164="","",VLOOKUP(D164,'G-6 Hedgerow Data'!$B$1:$AH$15,33,FALSE))</f>
        <v/>
      </c>
      <c r="N164" s="289" t="str">
        <f t="shared" si="20"/>
        <v/>
      </c>
      <c r="O164" s="393"/>
      <c r="P164" s="281" t="str">
        <f>IF(O164="","",IF(VLOOKUP(O164,'G-3 Multipliers'!$S$3:$T$10,2,FALSE)=0,"Spatial Data Missing ⚠",VLOOKUP(O164,'G-3 Multipliers'!$S$3:$T$10,2,FALSE)))</f>
        <v/>
      </c>
      <c r="Q164" s="289" t="str">
        <f t="shared" si="21"/>
        <v/>
      </c>
      <c r="R164" s="32"/>
      <c r="S164" s="101"/>
      <c r="T164" s="108"/>
      <c r="U164" s="283" t="str">
        <f t="shared" si="22"/>
        <v/>
      </c>
      <c r="V164" s="283" t="str">
        <f t="shared" si="23"/>
        <v/>
      </c>
      <c r="W164" s="287" t="str">
        <f t="shared" si="24"/>
        <v/>
      </c>
      <c r="X164" s="291" t="str">
        <f t="shared" si="25"/>
        <v/>
      </c>
      <c r="Y164" s="105"/>
      <c r="Z164" s="104"/>
      <c r="AA164" s="104"/>
      <c r="AB164" s="104"/>
      <c r="AE164" s="30" t="str">
        <f>IFERROR(INDEX('G-6 Hedgerow Data'!$BJ$3:$BJ$15,MATCH(D164,'G-6 Hedgerow Data'!$B$3:$B$15,0)),"")</f>
        <v/>
      </c>
      <c r="AH164" s="107" t="str">
        <f t="shared" si="18"/>
        <v/>
      </c>
      <c r="AI164" s="107" t="str">
        <f t="shared" si="19"/>
        <v/>
      </c>
      <c r="AK164" s="107">
        <v>155</v>
      </c>
      <c r="AM164" s="107" t="str">
        <f t="array" ref="AM164">IFERROR(INDEX($AK$10:$AK$258,MATCH(0,IF(TRUE=$AH$10:$AH$258,COUNTIF($AM$9:$AM163,$AK$10:$AK$258),""),0)),"")</f>
        <v/>
      </c>
      <c r="AN164" s="107" t="str">
        <f t="array" ref="AN164">IFERROR(INDEX($AK$10:$AK$258,MATCH(0,IF(TRUE=$AI$10:$AI$258,COUNTIF($AN$9:$AN163,$AK$10:$AK$258),""),0)),"")</f>
        <v/>
      </c>
      <c r="AY164" s="283" t="str">
        <f t="shared" si="26"/>
        <v/>
      </c>
    </row>
    <row r="165" spans="2:51" ht="14">
      <c r="B165" s="97">
        <v>156</v>
      </c>
      <c r="C165" s="138"/>
      <c r="D165" s="138"/>
      <c r="E165" s="104"/>
      <c r="F165" s="275" t="str">
        <f>IF(D165="","",VLOOKUP(D165,'G-6 Hedgerow Data'!$B$2:$AG$15,2,FALSE))</f>
        <v/>
      </c>
      <c r="G165" s="276" t="str">
        <f>IF(D165="","",VLOOKUP(D165,'G-6 Hedgerow Data'!$B$2:$AG$15,3,FALSE))</f>
        <v/>
      </c>
      <c r="H165" s="101"/>
      <c r="I165" s="276" t="str">
        <f>IFERROR(IF(AND(D165&lt;&gt;"",H165=""),"Check data ⚠",(IF(H165="","",IF(AND(D165="Non-native and ornamental hedgerow",H165&lt;&gt;"Poor"),"Not possible ▲",(IF(AND(F165="V.Low",OR(H165="Good",H165="Moderate")),"Error ▲",VLOOKUP(H165,'G-1 All Habitats'!$Z$2:$AA$9,2,FALSE))))))),"")</f>
        <v/>
      </c>
      <c r="J165" s="105"/>
      <c r="K165" s="295" t="str">
        <f>IF(AND(J165="",D165&lt;&gt;""),"Check data ⚠",IF(J165="","",IF(VLOOKUP(J165,'G-3 Multipliers'!$L$3:$N$6,2,FALSE)=0,"Spatial Data Missing ⚠",VLOOKUP(J165,'G-3 Multipliers'!$L$3:$N$6,2,FALSE))))</f>
        <v/>
      </c>
      <c r="L165" s="299" t="str">
        <f>IF(J165="","",IF(VLOOKUP(J165,'G-3 Multipliers'!$L$3:$N$6,3,FALSE)=0,"Spatial Data Missing ⚠",VLOOKUP(J165,'G-3 Multipliers'!$L$3:$N$6,3,FALSE)))</f>
        <v/>
      </c>
      <c r="M165" s="336" t="str">
        <f>IF(D165="","",VLOOKUP(D165,'G-6 Hedgerow Data'!$B$1:$AH$15,33,FALSE))</f>
        <v/>
      </c>
      <c r="N165" s="289" t="str">
        <f t="shared" si="20"/>
        <v/>
      </c>
      <c r="O165" s="393"/>
      <c r="P165" s="281" t="str">
        <f>IF(O165="","",IF(VLOOKUP(O165,'G-3 Multipliers'!$S$3:$T$10,2,FALSE)=0,"Spatial Data Missing ⚠",VLOOKUP(O165,'G-3 Multipliers'!$S$3:$T$10,2,FALSE)))</f>
        <v/>
      </c>
      <c r="Q165" s="289" t="str">
        <f t="shared" si="21"/>
        <v/>
      </c>
      <c r="R165" s="32"/>
      <c r="S165" s="101"/>
      <c r="T165" s="108"/>
      <c r="U165" s="283" t="str">
        <f t="shared" si="22"/>
        <v/>
      </c>
      <c r="V165" s="283" t="str">
        <f t="shared" si="23"/>
        <v/>
      </c>
      <c r="W165" s="287" t="str">
        <f t="shared" si="24"/>
        <v/>
      </c>
      <c r="X165" s="291" t="str">
        <f t="shared" si="25"/>
        <v/>
      </c>
      <c r="Y165" s="105"/>
      <c r="Z165" s="104"/>
      <c r="AA165" s="104"/>
      <c r="AB165" s="104"/>
      <c r="AE165" s="30" t="str">
        <f>IFERROR(INDEX('G-6 Hedgerow Data'!$BJ$3:$BJ$15,MATCH(D165,'G-6 Hedgerow Data'!$B$3:$B$15,0)),"")</f>
        <v/>
      </c>
      <c r="AH165" s="107" t="str">
        <f t="shared" si="18"/>
        <v/>
      </c>
      <c r="AI165" s="107" t="str">
        <f t="shared" si="19"/>
        <v/>
      </c>
      <c r="AK165" s="107">
        <v>156</v>
      </c>
      <c r="AM165" s="107" t="str">
        <f t="array" ref="AM165">IFERROR(INDEX($AK$10:$AK$258,MATCH(0,IF(TRUE=$AH$10:$AH$258,COUNTIF($AM$9:$AM164,$AK$10:$AK$258),""),0)),"")</f>
        <v/>
      </c>
      <c r="AN165" s="107" t="str">
        <f t="array" ref="AN165">IFERROR(INDEX($AK$10:$AK$258,MATCH(0,IF(TRUE=$AI$10:$AI$258,COUNTIF($AN$9:$AN164,$AK$10:$AK$258),""),0)),"")</f>
        <v/>
      </c>
      <c r="AY165" s="283" t="str">
        <f t="shared" si="26"/>
        <v/>
      </c>
    </row>
    <row r="166" spans="2:51" ht="14">
      <c r="B166" s="97">
        <v>157</v>
      </c>
      <c r="C166" s="138"/>
      <c r="D166" s="138"/>
      <c r="E166" s="104"/>
      <c r="F166" s="275" t="str">
        <f>IF(D166="","",VLOOKUP(D166,'G-6 Hedgerow Data'!$B$2:$AG$15,2,FALSE))</f>
        <v/>
      </c>
      <c r="G166" s="276" t="str">
        <f>IF(D166="","",VLOOKUP(D166,'G-6 Hedgerow Data'!$B$2:$AG$15,3,FALSE))</f>
        <v/>
      </c>
      <c r="H166" s="101"/>
      <c r="I166" s="276" t="str">
        <f>IFERROR(IF(AND(D166&lt;&gt;"",H166=""),"Check data ⚠",(IF(H166="","",IF(AND(D166="Non-native and ornamental hedgerow",H166&lt;&gt;"Poor"),"Not possible ▲",(IF(AND(F166="V.Low",OR(H166="Good",H166="Moderate")),"Error ▲",VLOOKUP(H166,'G-1 All Habitats'!$Z$2:$AA$9,2,FALSE))))))),"")</f>
        <v/>
      </c>
      <c r="J166" s="105"/>
      <c r="K166" s="295" t="str">
        <f>IF(AND(J166="",D166&lt;&gt;""),"Check data ⚠",IF(J166="","",IF(VLOOKUP(J166,'G-3 Multipliers'!$L$3:$N$6,2,FALSE)=0,"Spatial Data Missing ⚠",VLOOKUP(J166,'G-3 Multipliers'!$L$3:$N$6,2,FALSE))))</f>
        <v/>
      </c>
      <c r="L166" s="299" t="str">
        <f>IF(J166="","",IF(VLOOKUP(J166,'G-3 Multipliers'!$L$3:$N$6,3,FALSE)=0,"Spatial Data Missing ⚠",VLOOKUP(J166,'G-3 Multipliers'!$L$3:$N$6,3,FALSE)))</f>
        <v/>
      </c>
      <c r="M166" s="336" t="str">
        <f>IF(D166="","",VLOOKUP(D166,'G-6 Hedgerow Data'!$B$1:$AH$15,33,FALSE))</f>
        <v/>
      </c>
      <c r="N166" s="289" t="str">
        <f t="shared" si="20"/>
        <v/>
      </c>
      <c r="O166" s="393"/>
      <c r="P166" s="281" t="str">
        <f>IF(O166="","",IF(VLOOKUP(O166,'G-3 Multipliers'!$S$3:$T$10,2,FALSE)=0,"Spatial Data Missing ⚠",VLOOKUP(O166,'G-3 Multipliers'!$S$3:$T$10,2,FALSE)))</f>
        <v/>
      </c>
      <c r="Q166" s="289" t="str">
        <f t="shared" si="21"/>
        <v/>
      </c>
      <c r="R166" s="32"/>
      <c r="S166" s="101"/>
      <c r="T166" s="108"/>
      <c r="U166" s="283" t="str">
        <f t="shared" si="22"/>
        <v/>
      </c>
      <c r="V166" s="283" t="str">
        <f t="shared" si="23"/>
        <v/>
      </c>
      <c r="W166" s="287" t="str">
        <f t="shared" si="24"/>
        <v/>
      </c>
      <c r="X166" s="291" t="str">
        <f t="shared" si="25"/>
        <v/>
      </c>
      <c r="Y166" s="105"/>
      <c r="Z166" s="104"/>
      <c r="AA166" s="104"/>
      <c r="AB166" s="104"/>
      <c r="AE166" s="30" t="str">
        <f>IFERROR(INDEX('G-6 Hedgerow Data'!$BJ$3:$BJ$15,MATCH(D166,'G-6 Hedgerow Data'!$B$3:$B$15,0)),"")</f>
        <v/>
      </c>
      <c r="AH166" s="107" t="str">
        <f t="shared" si="18"/>
        <v/>
      </c>
      <c r="AI166" s="107" t="str">
        <f t="shared" si="19"/>
        <v/>
      </c>
      <c r="AK166" s="107">
        <v>157</v>
      </c>
      <c r="AM166" s="107" t="str">
        <f t="array" ref="AM166">IFERROR(INDEX($AK$10:$AK$258,MATCH(0,IF(TRUE=$AH$10:$AH$258,COUNTIF($AM$9:$AM165,$AK$10:$AK$258),""),0)),"")</f>
        <v/>
      </c>
      <c r="AN166" s="107" t="str">
        <f t="array" ref="AN166">IFERROR(INDEX($AK$10:$AK$258,MATCH(0,IF(TRUE=$AI$10:$AI$258,COUNTIF($AN$9:$AN165,$AK$10:$AK$258),""),0)),"")</f>
        <v/>
      </c>
      <c r="AY166" s="283" t="str">
        <f t="shared" si="26"/>
        <v/>
      </c>
    </row>
    <row r="167" spans="2:51" ht="14">
      <c r="B167" s="97">
        <v>158</v>
      </c>
      <c r="C167" s="138"/>
      <c r="D167" s="138"/>
      <c r="E167" s="104"/>
      <c r="F167" s="275" t="str">
        <f>IF(D167="","",VLOOKUP(D167,'G-6 Hedgerow Data'!$B$2:$AG$15,2,FALSE))</f>
        <v/>
      </c>
      <c r="G167" s="276" t="str">
        <f>IF(D167="","",VLOOKUP(D167,'G-6 Hedgerow Data'!$B$2:$AG$15,3,FALSE))</f>
        <v/>
      </c>
      <c r="H167" s="101"/>
      <c r="I167" s="276" t="str">
        <f>IFERROR(IF(AND(D167&lt;&gt;"",H167=""),"Check data ⚠",(IF(H167="","",IF(AND(D167="Non-native and ornamental hedgerow",H167&lt;&gt;"Poor"),"Not possible ▲",(IF(AND(F167="V.Low",OR(H167="Good",H167="Moderate")),"Error ▲",VLOOKUP(H167,'G-1 All Habitats'!$Z$2:$AA$9,2,FALSE))))))),"")</f>
        <v/>
      </c>
      <c r="J167" s="105"/>
      <c r="K167" s="295" t="str">
        <f>IF(AND(J167="",D167&lt;&gt;""),"Check data ⚠",IF(J167="","",IF(VLOOKUP(J167,'G-3 Multipliers'!$L$3:$N$6,2,FALSE)=0,"Spatial Data Missing ⚠",VLOOKUP(J167,'G-3 Multipliers'!$L$3:$N$6,2,FALSE))))</f>
        <v/>
      </c>
      <c r="L167" s="299" t="str">
        <f>IF(J167="","",IF(VLOOKUP(J167,'G-3 Multipliers'!$L$3:$N$6,3,FALSE)=0,"Spatial Data Missing ⚠",VLOOKUP(J167,'G-3 Multipliers'!$L$3:$N$6,3,FALSE)))</f>
        <v/>
      </c>
      <c r="M167" s="336" t="str">
        <f>IF(D167="","",VLOOKUP(D167,'G-6 Hedgerow Data'!$B$1:$AH$15,33,FALSE))</f>
        <v/>
      </c>
      <c r="N167" s="289" t="str">
        <f t="shared" si="20"/>
        <v/>
      </c>
      <c r="O167" s="393"/>
      <c r="P167" s="281" t="str">
        <f>IF(O167="","",IF(VLOOKUP(O167,'G-3 Multipliers'!$S$3:$T$10,2,FALSE)=0,"Spatial Data Missing ⚠",VLOOKUP(O167,'G-3 Multipliers'!$S$3:$T$10,2,FALSE)))</f>
        <v/>
      </c>
      <c r="Q167" s="289" t="str">
        <f t="shared" si="21"/>
        <v/>
      </c>
      <c r="R167" s="32"/>
      <c r="S167" s="101"/>
      <c r="T167" s="108"/>
      <c r="U167" s="283" t="str">
        <f t="shared" si="22"/>
        <v/>
      </c>
      <c r="V167" s="283" t="str">
        <f t="shared" si="23"/>
        <v/>
      </c>
      <c r="W167" s="287" t="str">
        <f t="shared" si="24"/>
        <v/>
      </c>
      <c r="X167" s="291" t="str">
        <f t="shared" si="25"/>
        <v/>
      </c>
      <c r="Y167" s="105"/>
      <c r="Z167" s="104"/>
      <c r="AA167" s="104"/>
      <c r="AB167" s="104"/>
      <c r="AE167" s="30" t="str">
        <f>IFERROR(INDEX('G-6 Hedgerow Data'!$BJ$3:$BJ$15,MATCH(D167,'G-6 Hedgerow Data'!$B$3:$B$15,0)),"")</f>
        <v/>
      </c>
      <c r="AH167" s="107" t="str">
        <f t="shared" si="18"/>
        <v/>
      </c>
      <c r="AI167" s="107" t="str">
        <f t="shared" si="19"/>
        <v/>
      </c>
      <c r="AK167" s="107">
        <v>158</v>
      </c>
      <c r="AM167" s="107" t="str">
        <f t="array" ref="AM167">IFERROR(INDEX($AK$10:$AK$258,MATCH(0,IF(TRUE=$AH$10:$AH$258,COUNTIF($AM$9:$AM166,$AK$10:$AK$258),""),0)),"")</f>
        <v/>
      </c>
      <c r="AN167" s="107" t="str">
        <f t="array" ref="AN167">IFERROR(INDEX($AK$10:$AK$258,MATCH(0,IF(TRUE=$AI$10:$AI$258,COUNTIF($AN$9:$AN166,$AK$10:$AK$258),""),0)),"")</f>
        <v/>
      </c>
      <c r="AY167" s="283" t="str">
        <f t="shared" si="26"/>
        <v/>
      </c>
    </row>
    <row r="168" spans="2:51" ht="14">
      <c r="B168" s="97">
        <v>159</v>
      </c>
      <c r="C168" s="138"/>
      <c r="D168" s="138"/>
      <c r="E168" s="104"/>
      <c r="F168" s="275" t="str">
        <f>IF(D168="","",VLOOKUP(D168,'G-6 Hedgerow Data'!$B$2:$AG$15,2,FALSE))</f>
        <v/>
      </c>
      <c r="G168" s="276" t="str">
        <f>IF(D168="","",VLOOKUP(D168,'G-6 Hedgerow Data'!$B$2:$AG$15,3,FALSE))</f>
        <v/>
      </c>
      <c r="H168" s="101"/>
      <c r="I168" s="276" t="str">
        <f>IFERROR(IF(AND(D168&lt;&gt;"",H168=""),"Check data ⚠",(IF(H168="","",IF(AND(D168="Non-native and ornamental hedgerow",H168&lt;&gt;"Poor"),"Not possible ▲",(IF(AND(F168="V.Low",OR(H168="Good",H168="Moderate")),"Error ▲",VLOOKUP(H168,'G-1 All Habitats'!$Z$2:$AA$9,2,FALSE))))))),"")</f>
        <v/>
      </c>
      <c r="J168" s="105"/>
      <c r="K168" s="295" t="str">
        <f>IF(AND(J168="",D168&lt;&gt;""),"Check data ⚠",IF(J168="","",IF(VLOOKUP(J168,'G-3 Multipliers'!$L$3:$N$6,2,FALSE)=0,"Spatial Data Missing ⚠",VLOOKUP(J168,'G-3 Multipliers'!$L$3:$N$6,2,FALSE))))</f>
        <v/>
      </c>
      <c r="L168" s="299" t="str">
        <f>IF(J168="","",IF(VLOOKUP(J168,'G-3 Multipliers'!$L$3:$N$6,3,FALSE)=0,"Spatial Data Missing ⚠",VLOOKUP(J168,'G-3 Multipliers'!$L$3:$N$6,3,FALSE)))</f>
        <v/>
      </c>
      <c r="M168" s="336" t="str">
        <f>IF(D168="","",VLOOKUP(D168,'G-6 Hedgerow Data'!$B$1:$AH$15,33,FALSE))</f>
        <v/>
      </c>
      <c r="N168" s="289" t="str">
        <f t="shared" si="20"/>
        <v/>
      </c>
      <c r="O168" s="393"/>
      <c r="P168" s="281" t="str">
        <f>IF(O168="","",IF(VLOOKUP(O168,'G-3 Multipliers'!$S$3:$T$10,2,FALSE)=0,"Spatial Data Missing ⚠",VLOOKUP(O168,'G-3 Multipliers'!$S$3:$T$10,2,FALSE)))</f>
        <v/>
      </c>
      <c r="Q168" s="289" t="str">
        <f t="shared" si="21"/>
        <v/>
      </c>
      <c r="R168" s="32"/>
      <c r="S168" s="101"/>
      <c r="T168" s="108"/>
      <c r="U168" s="283" t="str">
        <f t="shared" si="22"/>
        <v/>
      </c>
      <c r="V168" s="283" t="str">
        <f t="shared" si="23"/>
        <v/>
      </c>
      <c r="W168" s="287" t="str">
        <f t="shared" si="24"/>
        <v/>
      </c>
      <c r="X168" s="291" t="str">
        <f t="shared" si="25"/>
        <v/>
      </c>
      <c r="Y168" s="105"/>
      <c r="Z168" s="104"/>
      <c r="AA168" s="104"/>
      <c r="AB168" s="104"/>
      <c r="AE168" s="30" t="str">
        <f>IFERROR(INDEX('G-6 Hedgerow Data'!$BJ$3:$BJ$15,MATCH(D168,'G-6 Hedgerow Data'!$B$3:$B$15,0)),"")</f>
        <v/>
      </c>
      <c r="AH168" s="107" t="str">
        <f t="shared" si="18"/>
        <v/>
      </c>
      <c r="AI168" s="107" t="str">
        <f t="shared" si="19"/>
        <v/>
      </c>
      <c r="AK168" s="107">
        <v>159</v>
      </c>
      <c r="AM168" s="107" t="str">
        <f t="array" ref="AM168">IFERROR(INDEX($AK$10:$AK$258,MATCH(0,IF(TRUE=$AH$10:$AH$258,COUNTIF($AM$9:$AM167,$AK$10:$AK$258),""),0)),"")</f>
        <v/>
      </c>
      <c r="AN168" s="107" t="str">
        <f t="array" ref="AN168">IFERROR(INDEX($AK$10:$AK$258,MATCH(0,IF(TRUE=$AI$10:$AI$258,COUNTIF($AN$9:$AN167,$AK$10:$AK$258),""),0)),"")</f>
        <v/>
      </c>
      <c r="AY168" s="283" t="str">
        <f t="shared" si="26"/>
        <v/>
      </c>
    </row>
    <row r="169" spans="2:51" ht="14">
      <c r="B169" s="97">
        <v>160</v>
      </c>
      <c r="C169" s="138"/>
      <c r="D169" s="138"/>
      <c r="E169" s="104"/>
      <c r="F169" s="275" t="str">
        <f>IF(D169="","",VLOOKUP(D169,'G-6 Hedgerow Data'!$B$2:$AG$15,2,FALSE))</f>
        <v/>
      </c>
      <c r="G169" s="276" t="str">
        <f>IF(D169="","",VLOOKUP(D169,'G-6 Hedgerow Data'!$B$2:$AG$15,3,FALSE))</f>
        <v/>
      </c>
      <c r="H169" s="101"/>
      <c r="I169" s="276" t="str">
        <f>IFERROR(IF(AND(D169&lt;&gt;"",H169=""),"Check data ⚠",(IF(H169="","",IF(AND(D169="Non-native and ornamental hedgerow",H169&lt;&gt;"Poor"),"Not possible ▲",(IF(AND(F169="V.Low",OR(H169="Good",H169="Moderate")),"Error ▲",VLOOKUP(H169,'G-1 All Habitats'!$Z$2:$AA$9,2,FALSE))))))),"")</f>
        <v/>
      </c>
      <c r="J169" s="105"/>
      <c r="K169" s="295" t="str">
        <f>IF(AND(J169="",D169&lt;&gt;""),"Check data ⚠",IF(J169="","",IF(VLOOKUP(J169,'G-3 Multipliers'!$L$3:$N$6,2,FALSE)=0,"Spatial Data Missing ⚠",VLOOKUP(J169,'G-3 Multipliers'!$L$3:$N$6,2,FALSE))))</f>
        <v/>
      </c>
      <c r="L169" s="299" t="str">
        <f>IF(J169="","",IF(VLOOKUP(J169,'G-3 Multipliers'!$L$3:$N$6,3,FALSE)=0,"Spatial Data Missing ⚠",VLOOKUP(J169,'G-3 Multipliers'!$L$3:$N$6,3,FALSE)))</f>
        <v/>
      </c>
      <c r="M169" s="336" t="str">
        <f>IF(D169="","",VLOOKUP(D169,'G-6 Hedgerow Data'!$B$1:$AH$15,33,FALSE))</f>
        <v/>
      </c>
      <c r="N169" s="289" t="str">
        <f t="shared" si="20"/>
        <v/>
      </c>
      <c r="O169" s="393"/>
      <c r="P169" s="281" t="str">
        <f>IF(O169="","",IF(VLOOKUP(O169,'G-3 Multipliers'!$S$3:$T$10,2,FALSE)=0,"Spatial Data Missing ⚠",VLOOKUP(O169,'G-3 Multipliers'!$S$3:$T$10,2,FALSE)))</f>
        <v/>
      </c>
      <c r="Q169" s="289" t="str">
        <f t="shared" si="21"/>
        <v/>
      </c>
      <c r="R169" s="32"/>
      <c r="S169" s="101"/>
      <c r="T169" s="108"/>
      <c r="U169" s="283" t="str">
        <f t="shared" si="22"/>
        <v/>
      </c>
      <c r="V169" s="283" t="str">
        <f t="shared" si="23"/>
        <v/>
      </c>
      <c r="W169" s="287" t="str">
        <f t="shared" si="24"/>
        <v/>
      </c>
      <c r="X169" s="291" t="str">
        <f t="shared" si="25"/>
        <v/>
      </c>
      <c r="Y169" s="105"/>
      <c r="Z169" s="104"/>
      <c r="AA169" s="104"/>
      <c r="AB169" s="104"/>
      <c r="AE169" s="30" t="str">
        <f>IFERROR(INDEX('G-6 Hedgerow Data'!$BJ$3:$BJ$15,MATCH(D169,'G-6 Hedgerow Data'!$B$3:$B$15,0)),"")</f>
        <v/>
      </c>
      <c r="AH169" s="107" t="str">
        <f t="shared" si="18"/>
        <v/>
      </c>
      <c r="AI169" s="107" t="str">
        <f t="shared" si="19"/>
        <v/>
      </c>
      <c r="AK169" s="107">
        <v>160</v>
      </c>
      <c r="AM169" s="107" t="str">
        <f t="array" ref="AM169">IFERROR(INDEX($AK$10:$AK$258,MATCH(0,IF(TRUE=$AH$10:$AH$258,COUNTIF($AM$9:$AM168,$AK$10:$AK$258),""),0)),"")</f>
        <v/>
      </c>
      <c r="AN169" s="107" t="str">
        <f t="array" ref="AN169">IFERROR(INDEX($AK$10:$AK$258,MATCH(0,IF(TRUE=$AI$10:$AI$258,COUNTIF($AN$9:$AN168,$AK$10:$AK$258),""),0)),"")</f>
        <v/>
      </c>
      <c r="AY169" s="283" t="str">
        <f t="shared" si="26"/>
        <v/>
      </c>
    </row>
    <row r="170" spans="2:51" ht="14">
      <c r="B170" s="97">
        <v>161</v>
      </c>
      <c r="C170" s="138"/>
      <c r="D170" s="138"/>
      <c r="E170" s="104"/>
      <c r="F170" s="275" t="str">
        <f>IF(D170="","",VLOOKUP(D170,'G-6 Hedgerow Data'!$B$2:$AG$15,2,FALSE))</f>
        <v/>
      </c>
      <c r="G170" s="276" t="str">
        <f>IF(D170="","",VLOOKUP(D170,'G-6 Hedgerow Data'!$B$2:$AG$15,3,FALSE))</f>
        <v/>
      </c>
      <c r="H170" s="101"/>
      <c r="I170" s="276" t="str">
        <f>IFERROR(IF(AND(D170&lt;&gt;"",H170=""),"Check data ⚠",(IF(H170="","",IF(AND(D170="Non-native and ornamental hedgerow",H170&lt;&gt;"Poor"),"Not possible ▲",(IF(AND(F170="V.Low",OR(H170="Good",H170="Moderate")),"Error ▲",VLOOKUP(H170,'G-1 All Habitats'!$Z$2:$AA$9,2,FALSE))))))),"")</f>
        <v/>
      </c>
      <c r="J170" s="105"/>
      <c r="K170" s="295" t="str">
        <f>IF(AND(J170="",D170&lt;&gt;""),"Check data ⚠",IF(J170="","",IF(VLOOKUP(J170,'G-3 Multipliers'!$L$3:$N$6,2,FALSE)=0,"Spatial Data Missing ⚠",VLOOKUP(J170,'G-3 Multipliers'!$L$3:$N$6,2,FALSE))))</f>
        <v/>
      </c>
      <c r="L170" s="299" t="str">
        <f>IF(J170="","",IF(VLOOKUP(J170,'G-3 Multipliers'!$L$3:$N$6,3,FALSE)=0,"Spatial Data Missing ⚠",VLOOKUP(J170,'G-3 Multipliers'!$L$3:$N$6,3,FALSE)))</f>
        <v/>
      </c>
      <c r="M170" s="336" t="str">
        <f>IF(D170="","",VLOOKUP(D170,'G-6 Hedgerow Data'!$B$1:$AH$15,33,FALSE))</f>
        <v/>
      </c>
      <c r="N170" s="289" t="str">
        <f t="shared" si="20"/>
        <v/>
      </c>
      <c r="O170" s="393"/>
      <c r="P170" s="281" t="str">
        <f>IF(O170="","",IF(VLOOKUP(O170,'G-3 Multipliers'!$S$3:$T$10,2,FALSE)=0,"Spatial Data Missing ⚠",VLOOKUP(O170,'G-3 Multipliers'!$S$3:$T$10,2,FALSE)))</f>
        <v/>
      </c>
      <c r="Q170" s="289" t="str">
        <f t="shared" si="21"/>
        <v/>
      </c>
      <c r="R170" s="32"/>
      <c r="S170" s="101"/>
      <c r="T170" s="108"/>
      <c r="U170" s="283" t="str">
        <f t="shared" si="22"/>
        <v/>
      </c>
      <c r="V170" s="283" t="str">
        <f t="shared" si="23"/>
        <v/>
      </c>
      <c r="W170" s="287" t="str">
        <f t="shared" si="24"/>
        <v/>
      </c>
      <c r="X170" s="291" t="str">
        <f t="shared" si="25"/>
        <v/>
      </c>
      <c r="Y170" s="105"/>
      <c r="Z170" s="104"/>
      <c r="AA170" s="104"/>
      <c r="AB170" s="104"/>
      <c r="AE170" s="30" t="str">
        <f>IFERROR(INDEX('G-6 Hedgerow Data'!$BJ$3:$BJ$15,MATCH(D170,'G-6 Hedgerow Data'!$B$3:$B$15,0)),"")</f>
        <v/>
      </c>
      <c r="AH170" s="107" t="str">
        <f t="shared" si="18"/>
        <v/>
      </c>
      <c r="AI170" s="107" t="str">
        <f t="shared" si="19"/>
        <v/>
      </c>
      <c r="AK170" s="107">
        <v>161</v>
      </c>
      <c r="AM170" s="107" t="str">
        <f t="array" ref="AM170">IFERROR(INDEX($AK$10:$AK$258,MATCH(0,IF(TRUE=$AH$10:$AH$258,COUNTIF($AM$9:$AM169,$AK$10:$AK$258),""),0)),"")</f>
        <v/>
      </c>
      <c r="AN170" s="107" t="str">
        <f t="array" ref="AN170">IFERROR(INDEX($AK$10:$AK$258,MATCH(0,IF(TRUE=$AI$10:$AI$258,COUNTIF($AN$9:$AN169,$AK$10:$AK$258),""),0)),"")</f>
        <v/>
      </c>
      <c r="AY170" s="283" t="str">
        <f t="shared" si="26"/>
        <v/>
      </c>
    </row>
    <row r="171" spans="2:51" ht="14">
      <c r="B171" s="97">
        <v>162</v>
      </c>
      <c r="C171" s="138"/>
      <c r="D171" s="138"/>
      <c r="E171" s="104"/>
      <c r="F171" s="275" t="str">
        <f>IF(D171="","",VLOOKUP(D171,'G-6 Hedgerow Data'!$B$2:$AG$15,2,FALSE))</f>
        <v/>
      </c>
      <c r="G171" s="276" t="str">
        <f>IF(D171="","",VLOOKUP(D171,'G-6 Hedgerow Data'!$B$2:$AG$15,3,FALSE))</f>
        <v/>
      </c>
      <c r="H171" s="101"/>
      <c r="I171" s="276" t="str">
        <f>IFERROR(IF(AND(D171&lt;&gt;"",H171=""),"Check data ⚠",(IF(H171="","",IF(AND(D171="Non-native and ornamental hedgerow",H171&lt;&gt;"Poor"),"Not possible ▲",(IF(AND(F171="V.Low",OR(H171="Good",H171="Moderate")),"Error ▲",VLOOKUP(H171,'G-1 All Habitats'!$Z$2:$AA$9,2,FALSE))))))),"")</f>
        <v/>
      </c>
      <c r="J171" s="105"/>
      <c r="K171" s="295" t="str">
        <f>IF(AND(J171="",D171&lt;&gt;""),"Check data ⚠",IF(J171="","",IF(VLOOKUP(J171,'G-3 Multipliers'!$L$3:$N$6,2,FALSE)=0,"Spatial Data Missing ⚠",VLOOKUP(J171,'G-3 Multipliers'!$L$3:$N$6,2,FALSE))))</f>
        <v/>
      </c>
      <c r="L171" s="299" t="str">
        <f>IF(J171="","",IF(VLOOKUP(J171,'G-3 Multipliers'!$L$3:$N$6,3,FALSE)=0,"Spatial Data Missing ⚠",VLOOKUP(J171,'G-3 Multipliers'!$L$3:$N$6,3,FALSE)))</f>
        <v/>
      </c>
      <c r="M171" s="336" t="str">
        <f>IF(D171="","",VLOOKUP(D171,'G-6 Hedgerow Data'!$B$1:$AH$15,33,FALSE))</f>
        <v/>
      </c>
      <c r="N171" s="289" t="str">
        <f t="shared" si="20"/>
        <v/>
      </c>
      <c r="O171" s="393"/>
      <c r="P171" s="281" t="str">
        <f>IF(O171="","",IF(VLOOKUP(O171,'G-3 Multipliers'!$S$3:$T$10,2,FALSE)=0,"Spatial Data Missing ⚠",VLOOKUP(O171,'G-3 Multipliers'!$S$3:$T$10,2,FALSE)))</f>
        <v/>
      </c>
      <c r="Q171" s="289" t="str">
        <f t="shared" si="21"/>
        <v/>
      </c>
      <c r="R171" s="32"/>
      <c r="S171" s="101"/>
      <c r="T171" s="108"/>
      <c r="U171" s="283" t="str">
        <f t="shared" si="22"/>
        <v/>
      </c>
      <c r="V171" s="283" t="str">
        <f t="shared" si="23"/>
        <v/>
      </c>
      <c r="W171" s="287" t="str">
        <f t="shared" si="24"/>
        <v/>
      </c>
      <c r="X171" s="291" t="str">
        <f t="shared" si="25"/>
        <v/>
      </c>
      <c r="Y171" s="105"/>
      <c r="Z171" s="104"/>
      <c r="AA171" s="104"/>
      <c r="AB171" s="104"/>
      <c r="AE171" s="30" t="str">
        <f>IFERROR(INDEX('G-6 Hedgerow Data'!$BJ$3:$BJ$15,MATCH(D171,'G-6 Hedgerow Data'!$B$3:$B$15,0)),"")</f>
        <v/>
      </c>
      <c r="AH171" s="107" t="str">
        <f t="shared" si="18"/>
        <v/>
      </c>
      <c r="AI171" s="107" t="str">
        <f t="shared" si="19"/>
        <v/>
      </c>
      <c r="AK171" s="107">
        <v>162</v>
      </c>
      <c r="AM171" s="107" t="str">
        <f t="array" ref="AM171">IFERROR(INDEX($AK$10:$AK$258,MATCH(0,IF(TRUE=$AH$10:$AH$258,COUNTIF($AM$9:$AM170,$AK$10:$AK$258),""),0)),"")</f>
        <v/>
      </c>
      <c r="AN171" s="107" t="str">
        <f t="array" ref="AN171">IFERROR(INDEX($AK$10:$AK$258,MATCH(0,IF(TRUE=$AI$10:$AI$258,COUNTIF($AN$9:$AN170,$AK$10:$AK$258),""),0)),"")</f>
        <v/>
      </c>
      <c r="AY171" s="283" t="str">
        <f t="shared" si="26"/>
        <v/>
      </c>
    </row>
    <row r="172" spans="2:51" ht="14">
      <c r="B172" s="97">
        <v>163</v>
      </c>
      <c r="C172" s="138"/>
      <c r="D172" s="138"/>
      <c r="E172" s="104"/>
      <c r="F172" s="275" t="str">
        <f>IF(D172="","",VLOOKUP(D172,'G-6 Hedgerow Data'!$B$2:$AG$15,2,FALSE))</f>
        <v/>
      </c>
      <c r="G172" s="276" t="str">
        <f>IF(D172="","",VLOOKUP(D172,'G-6 Hedgerow Data'!$B$2:$AG$15,3,FALSE))</f>
        <v/>
      </c>
      <c r="H172" s="101"/>
      <c r="I172" s="276" t="str">
        <f>IFERROR(IF(AND(D172&lt;&gt;"",H172=""),"Check data ⚠",(IF(H172="","",IF(AND(D172="Non-native and ornamental hedgerow",H172&lt;&gt;"Poor"),"Not possible ▲",(IF(AND(F172="V.Low",OR(H172="Good",H172="Moderate")),"Error ▲",VLOOKUP(H172,'G-1 All Habitats'!$Z$2:$AA$9,2,FALSE))))))),"")</f>
        <v/>
      </c>
      <c r="J172" s="105"/>
      <c r="K172" s="295" t="str">
        <f>IF(AND(J172="",D172&lt;&gt;""),"Check data ⚠",IF(J172="","",IF(VLOOKUP(J172,'G-3 Multipliers'!$L$3:$N$6,2,FALSE)=0,"Spatial Data Missing ⚠",VLOOKUP(J172,'G-3 Multipliers'!$L$3:$N$6,2,FALSE))))</f>
        <v/>
      </c>
      <c r="L172" s="299" t="str">
        <f>IF(J172="","",IF(VLOOKUP(J172,'G-3 Multipliers'!$L$3:$N$6,3,FALSE)=0,"Spatial Data Missing ⚠",VLOOKUP(J172,'G-3 Multipliers'!$L$3:$N$6,3,FALSE)))</f>
        <v/>
      </c>
      <c r="M172" s="336" t="str">
        <f>IF(D172="","",VLOOKUP(D172,'G-6 Hedgerow Data'!$B$1:$AH$15,33,FALSE))</f>
        <v/>
      </c>
      <c r="N172" s="289" t="str">
        <f t="shared" si="20"/>
        <v/>
      </c>
      <c r="O172" s="393"/>
      <c r="P172" s="281" t="str">
        <f>IF(O172="","",IF(VLOOKUP(O172,'G-3 Multipliers'!$S$3:$T$10,2,FALSE)=0,"Spatial Data Missing ⚠",VLOOKUP(O172,'G-3 Multipliers'!$S$3:$T$10,2,FALSE)))</f>
        <v/>
      </c>
      <c r="Q172" s="289" t="str">
        <f t="shared" si="21"/>
        <v/>
      </c>
      <c r="R172" s="32"/>
      <c r="S172" s="101"/>
      <c r="T172" s="108"/>
      <c r="U172" s="283" t="str">
        <f t="shared" si="22"/>
        <v/>
      </c>
      <c r="V172" s="283" t="str">
        <f t="shared" si="23"/>
        <v/>
      </c>
      <c r="W172" s="287" t="str">
        <f t="shared" si="24"/>
        <v/>
      </c>
      <c r="X172" s="291" t="str">
        <f t="shared" si="25"/>
        <v/>
      </c>
      <c r="Y172" s="105"/>
      <c r="Z172" s="104"/>
      <c r="AA172" s="104"/>
      <c r="AB172" s="104"/>
      <c r="AE172" s="30" t="str">
        <f>IFERROR(INDEX('G-6 Hedgerow Data'!$BJ$3:$BJ$15,MATCH(D172,'G-6 Hedgerow Data'!$B$3:$B$15,0)),"")</f>
        <v/>
      </c>
      <c r="AH172" s="107" t="str">
        <f t="shared" si="18"/>
        <v/>
      </c>
      <c r="AI172" s="107" t="str">
        <f t="shared" si="19"/>
        <v/>
      </c>
      <c r="AK172" s="107">
        <v>163</v>
      </c>
      <c r="AM172" s="107" t="str">
        <f t="array" ref="AM172">IFERROR(INDEX($AK$10:$AK$258,MATCH(0,IF(TRUE=$AH$10:$AH$258,COUNTIF($AM$9:$AM171,$AK$10:$AK$258),""),0)),"")</f>
        <v/>
      </c>
      <c r="AN172" s="107" t="str">
        <f t="array" ref="AN172">IFERROR(INDEX($AK$10:$AK$258,MATCH(0,IF(TRUE=$AI$10:$AI$258,COUNTIF($AN$9:$AN171,$AK$10:$AK$258),""),0)),"")</f>
        <v/>
      </c>
      <c r="AY172" s="283" t="str">
        <f t="shared" si="26"/>
        <v/>
      </c>
    </row>
    <row r="173" spans="2:51" ht="14">
      <c r="B173" s="97">
        <v>164</v>
      </c>
      <c r="C173" s="138"/>
      <c r="D173" s="138"/>
      <c r="E173" s="104"/>
      <c r="F173" s="275" t="str">
        <f>IF(D173="","",VLOOKUP(D173,'G-6 Hedgerow Data'!$B$2:$AG$15,2,FALSE))</f>
        <v/>
      </c>
      <c r="G173" s="276" t="str">
        <f>IF(D173="","",VLOOKUP(D173,'G-6 Hedgerow Data'!$B$2:$AG$15,3,FALSE))</f>
        <v/>
      </c>
      <c r="H173" s="101"/>
      <c r="I173" s="276" t="str">
        <f>IFERROR(IF(AND(D173&lt;&gt;"",H173=""),"Check data ⚠",(IF(H173="","",IF(AND(D173="Non-native and ornamental hedgerow",H173&lt;&gt;"Poor"),"Not possible ▲",(IF(AND(F173="V.Low",OR(H173="Good",H173="Moderate")),"Error ▲",VLOOKUP(H173,'G-1 All Habitats'!$Z$2:$AA$9,2,FALSE))))))),"")</f>
        <v/>
      </c>
      <c r="J173" s="105"/>
      <c r="K173" s="295" t="str">
        <f>IF(AND(J173="",D173&lt;&gt;""),"Check data ⚠",IF(J173="","",IF(VLOOKUP(J173,'G-3 Multipliers'!$L$3:$N$6,2,FALSE)=0,"Spatial Data Missing ⚠",VLOOKUP(J173,'G-3 Multipliers'!$L$3:$N$6,2,FALSE))))</f>
        <v/>
      </c>
      <c r="L173" s="299" t="str">
        <f>IF(J173="","",IF(VLOOKUP(J173,'G-3 Multipliers'!$L$3:$N$6,3,FALSE)=0,"Spatial Data Missing ⚠",VLOOKUP(J173,'G-3 Multipliers'!$L$3:$N$6,3,FALSE)))</f>
        <v/>
      </c>
      <c r="M173" s="336" t="str">
        <f>IF(D173="","",VLOOKUP(D173,'G-6 Hedgerow Data'!$B$1:$AH$15,33,FALSE))</f>
        <v/>
      </c>
      <c r="N173" s="289" t="str">
        <f t="shared" si="20"/>
        <v/>
      </c>
      <c r="O173" s="393"/>
      <c r="P173" s="281" t="str">
        <f>IF(O173="","",IF(VLOOKUP(O173,'G-3 Multipliers'!$S$3:$T$10,2,FALSE)=0,"Spatial Data Missing ⚠",VLOOKUP(O173,'G-3 Multipliers'!$S$3:$T$10,2,FALSE)))</f>
        <v/>
      </c>
      <c r="Q173" s="289" t="str">
        <f t="shared" si="21"/>
        <v/>
      </c>
      <c r="R173" s="32"/>
      <c r="S173" s="101"/>
      <c r="T173" s="108"/>
      <c r="U173" s="283" t="str">
        <f t="shared" si="22"/>
        <v/>
      </c>
      <c r="V173" s="283" t="str">
        <f t="shared" si="23"/>
        <v/>
      </c>
      <c r="W173" s="287" t="str">
        <f t="shared" si="24"/>
        <v/>
      </c>
      <c r="X173" s="291" t="str">
        <f t="shared" si="25"/>
        <v/>
      </c>
      <c r="Y173" s="105"/>
      <c r="Z173" s="104"/>
      <c r="AA173" s="104"/>
      <c r="AB173" s="104"/>
      <c r="AE173" s="30" t="str">
        <f>IFERROR(INDEX('G-6 Hedgerow Data'!$BJ$3:$BJ$15,MATCH(D173,'G-6 Hedgerow Data'!$B$3:$B$15,0)),"")</f>
        <v/>
      </c>
      <c r="AH173" s="107" t="str">
        <f t="shared" si="18"/>
        <v/>
      </c>
      <c r="AI173" s="107" t="str">
        <f t="shared" si="19"/>
        <v/>
      </c>
      <c r="AK173" s="107">
        <v>164</v>
      </c>
      <c r="AM173" s="107" t="str">
        <f t="array" ref="AM173">IFERROR(INDEX($AK$10:$AK$258,MATCH(0,IF(TRUE=$AH$10:$AH$258,COUNTIF($AM$9:$AM172,$AK$10:$AK$258),""),0)),"")</f>
        <v/>
      </c>
      <c r="AN173" s="107" t="str">
        <f t="array" ref="AN173">IFERROR(INDEX($AK$10:$AK$258,MATCH(0,IF(TRUE=$AI$10:$AI$258,COUNTIF($AN$9:$AN172,$AK$10:$AK$258),""),0)),"")</f>
        <v/>
      </c>
      <c r="AY173" s="283" t="str">
        <f t="shared" si="26"/>
        <v/>
      </c>
    </row>
    <row r="174" spans="2:51" ht="14">
      <c r="B174" s="97">
        <v>165</v>
      </c>
      <c r="C174" s="138"/>
      <c r="D174" s="138"/>
      <c r="E174" s="104"/>
      <c r="F174" s="275" t="str">
        <f>IF(D174="","",VLOOKUP(D174,'G-6 Hedgerow Data'!$B$2:$AG$15,2,FALSE))</f>
        <v/>
      </c>
      <c r="G174" s="276" t="str">
        <f>IF(D174="","",VLOOKUP(D174,'G-6 Hedgerow Data'!$B$2:$AG$15,3,FALSE))</f>
        <v/>
      </c>
      <c r="H174" s="101"/>
      <c r="I174" s="276" t="str">
        <f>IFERROR(IF(AND(D174&lt;&gt;"",H174=""),"Check data ⚠",(IF(H174="","",IF(AND(D174="Non-native and ornamental hedgerow",H174&lt;&gt;"Poor"),"Not possible ▲",(IF(AND(F174="V.Low",OR(H174="Good",H174="Moderate")),"Error ▲",VLOOKUP(H174,'G-1 All Habitats'!$Z$2:$AA$9,2,FALSE))))))),"")</f>
        <v/>
      </c>
      <c r="J174" s="105"/>
      <c r="K174" s="295" t="str">
        <f>IF(AND(J174="",D174&lt;&gt;""),"Check data ⚠",IF(J174="","",IF(VLOOKUP(J174,'G-3 Multipliers'!$L$3:$N$6,2,FALSE)=0,"Spatial Data Missing ⚠",VLOOKUP(J174,'G-3 Multipliers'!$L$3:$N$6,2,FALSE))))</f>
        <v/>
      </c>
      <c r="L174" s="299" t="str">
        <f>IF(J174="","",IF(VLOOKUP(J174,'G-3 Multipliers'!$L$3:$N$6,3,FALSE)=0,"Spatial Data Missing ⚠",VLOOKUP(J174,'G-3 Multipliers'!$L$3:$N$6,3,FALSE)))</f>
        <v/>
      </c>
      <c r="M174" s="336" t="str">
        <f>IF(D174="","",VLOOKUP(D174,'G-6 Hedgerow Data'!$B$1:$AH$15,33,FALSE))</f>
        <v/>
      </c>
      <c r="N174" s="289" t="str">
        <f t="shared" si="20"/>
        <v/>
      </c>
      <c r="O174" s="393"/>
      <c r="P174" s="281" t="str">
        <f>IF(O174="","",IF(VLOOKUP(O174,'G-3 Multipliers'!$S$3:$T$10,2,FALSE)=0,"Spatial Data Missing ⚠",VLOOKUP(O174,'G-3 Multipliers'!$S$3:$T$10,2,FALSE)))</f>
        <v/>
      </c>
      <c r="Q174" s="289" t="str">
        <f t="shared" si="21"/>
        <v/>
      </c>
      <c r="R174" s="32"/>
      <c r="S174" s="101"/>
      <c r="T174" s="108"/>
      <c r="U174" s="283" t="str">
        <f t="shared" si="22"/>
        <v/>
      </c>
      <c r="V174" s="283" t="str">
        <f t="shared" si="23"/>
        <v/>
      </c>
      <c r="W174" s="287" t="str">
        <f t="shared" si="24"/>
        <v/>
      </c>
      <c r="X174" s="291" t="str">
        <f t="shared" si="25"/>
        <v/>
      </c>
      <c r="Y174" s="105"/>
      <c r="Z174" s="104"/>
      <c r="AA174" s="104"/>
      <c r="AB174" s="104"/>
      <c r="AE174" s="30" t="str">
        <f>IFERROR(INDEX('G-6 Hedgerow Data'!$BJ$3:$BJ$15,MATCH(D174,'G-6 Hedgerow Data'!$B$3:$B$15,0)),"")</f>
        <v/>
      </c>
      <c r="AH174" s="107" t="str">
        <f t="shared" si="18"/>
        <v/>
      </c>
      <c r="AI174" s="107" t="str">
        <f t="shared" si="19"/>
        <v/>
      </c>
      <c r="AK174" s="107">
        <v>165</v>
      </c>
      <c r="AM174" s="107" t="str">
        <f t="array" ref="AM174">IFERROR(INDEX($AK$10:$AK$258,MATCH(0,IF(TRUE=$AH$10:$AH$258,COUNTIF($AM$9:$AM173,$AK$10:$AK$258),""),0)),"")</f>
        <v/>
      </c>
      <c r="AN174" s="107" t="str">
        <f t="array" ref="AN174">IFERROR(INDEX($AK$10:$AK$258,MATCH(0,IF(TRUE=$AI$10:$AI$258,COUNTIF($AN$9:$AN173,$AK$10:$AK$258),""),0)),"")</f>
        <v/>
      </c>
      <c r="AY174" s="283" t="str">
        <f t="shared" si="26"/>
        <v/>
      </c>
    </row>
    <row r="175" spans="2:51" ht="14">
      <c r="B175" s="97">
        <v>166</v>
      </c>
      <c r="C175" s="138"/>
      <c r="D175" s="138"/>
      <c r="E175" s="104"/>
      <c r="F175" s="275" t="str">
        <f>IF(D175="","",VLOOKUP(D175,'G-6 Hedgerow Data'!$B$2:$AG$15,2,FALSE))</f>
        <v/>
      </c>
      <c r="G175" s="276" t="str">
        <f>IF(D175="","",VLOOKUP(D175,'G-6 Hedgerow Data'!$B$2:$AG$15,3,FALSE))</f>
        <v/>
      </c>
      <c r="H175" s="101"/>
      <c r="I175" s="276" t="str">
        <f>IFERROR(IF(AND(D175&lt;&gt;"",H175=""),"Check data ⚠",(IF(H175="","",IF(AND(D175="Non-native and ornamental hedgerow",H175&lt;&gt;"Poor"),"Not possible ▲",(IF(AND(F175="V.Low",OR(H175="Good",H175="Moderate")),"Error ▲",VLOOKUP(H175,'G-1 All Habitats'!$Z$2:$AA$9,2,FALSE))))))),"")</f>
        <v/>
      </c>
      <c r="J175" s="105"/>
      <c r="K175" s="295" t="str">
        <f>IF(AND(J175="",D175&lt;&gt;""),"Check data ⚠",IF(J175="","",IF(VLOOKUP(J175,'G-3 Multipliers'!$L$3:$N$6,2,FALSE)=0,"Spatial Data Missing ⚠",VLOOKUP(J175,'G-3 Multipliers'!$L$3:$N$6,2,FALSE))))</f>
        <v/>
      </c>
      <c r="L175" s="299" t="str">
        <f>IF(J175="","",IF(VLOOKUP(J175,'G-3 Multipliers'!$L$3:$N$6,3,FALSE)=0,"Spatial Data Missing ⚠",VLOOKUP(J175,'G-3 Multipliers'!$L$3:$N$6,3,FALSE)))</f>
        <v/>
      </c>
      <c r="M175" s="336" t="str">
        <f>IF(D175="","",VLOOKUP(D175,'G-6 Hedgerow Data'!$B$1:$AH$15,33,FALSE))</f>
        <v/>
      </c>
      <c r="N175" s="289" t="str">
        <f t="shared" si="20"/>
        <v/>
      </c>
      <c r="O175" s="393"/>
      <c r="P175" s="281" t="str">
        <f>IF(O175="","",IF(VLOOKUP(O175,'G-3 Multipliers'!$S$3:$T$10,2,FALSE)=0,"Spatial Data Missing ⚠",VLOOKUP(O175,'G-3 Multipliers'!$S$3:$T$10,2,FALSE)))</f>
        <v/>
      </c>
      <c r="Q175" s="289" t="str">
        <f t="shared" si="21"/>
        <v/>
      </c>
      <c r="R175" s="32"/>
      <c r="S175" s="101"/>
      <c r="T175" s="108"/>
      <c r="U175" s="283" t="str">
        <f t="shared" si="22"/>
        <v/>
      </c>
      <c r="V175" s="283" t="str">
        <f t="shared" si="23"/>
        <v/>
      </c>
      <c r="W175" s="287" t="str">
        <f t="shared" si="24"/>
        <v/>
      </c>
      <c r="X175" s="291" t="str">
        <f t="shared" si="25"/>
        <v/>
      </c>
      <c r="Y175" s="105"/>
      <c r="Z175" s="104"/>
      <c r="AA175" s="104"/>
      <c r="AB175" s="104"/>
      <c r="AE175" s="30" t="str">
        <f>IFERROR(INDEX('G-6 Hedgerow Data'!$BJ$3:$BJ$15,MATCH(D175,'G-6 Hedgerow Data'!$B$3:$B$15,0)),"")</f>
        <v/>
      </c>
      <c r="AH175" s="107" t="str">
        <f t="shared" si="18"/>
        <v/>
      </c>
      <c r="AI175" s="107" t="str">
        <f t="shared" si="19"/>
        <v/>
      </c>
      <c r="AK175" s="107">
        <v>166</v>
      </c>
      <c r="AM175" s="107" t="str">
        <f t="array" ref="AM175">IFERROR(INDEX($AK$10:$AK$258,MATCH(0,IF(TRUE=$AH$10:$AH$258,COUNTIF($AM$9:$AM174,$AK$10:$AK$258),""),0)),"")</f>
        <v/>
      </c>
      <c r="AN175" s="107" t="str">
        <f t="array" ref="AN175">IFERROR(INDEX($AK$10:$AK$258,MATCH(0,IF(TRUE=$AI$10:$AI$258,COUNTIF($AN$9:$AN174,$AK$10:$AK$258),""),0)),"")</f>
        <v/>
      </c>
      <c r="AY175" s="283" t="str">
        <f t="shared" si="26"/>
        <v/>
      </c>
    </row>
    <row r="176" spans="2:51" ht="14">
      <c r="B176" s="97">
        <v>167</v>
      </c>
      <c r="C176" s="138"/>
      <c r="D176" s="138"/>
      <c r="E176" s="104"/>
      <c r="F176" s="275" t="str">
        <f>IF(D176="","",VLOOKUP(D176,'G-6 Hedgerow Data'!$B$2:$AG$15,2,FALSE))</f>
        <v/>
      </c>
      <c r="G176" s="276" t="str">
        <f>IF(D176="","",VLOOKUP(D176,'G-6 Hedgerow Data'!$B$2:$AG$15,3,FALSE))</f>
        <v/>
      </c>
      <c r="H176" s="101"/>
      <c r="I176" s="276" t="str">
        <f>IFERROR(IF(AND(D176&lt;&gt;"",H176=""),"Check data ⚠",(IF(H176="","",IF(AND(D176="Non-native and ornamental hedgerow",H176&lt;&gt;"Poor"),"Not possible ▲",(IF(AND(F176="V.Low",OR(H176="Good",H176="Moderate")),"Error ▲",VLOOKUP(H176,'G-1 All Habitats'!$Z$2:$AA$9,2,FALSE))))))),"")</f>
        <v/>
      </c>
      <c r="J176" s="105"/>
      <c r="K176" s="295" t="str">
        <f>IF(AND(J176="",D176&lt;&gt;""),"Check data ⚠",IF(J176="","",IF(VLOOKUP(J176,'G-3 Multipliers'!$L$3:$N$6,2,FALSE)=0,"Spatial Data Missing ⚠",VLOOKUP(J176,'G-3 Multipliers'!$L$3:$N$6,2,FALSE))))</f>
        <v/>
      </c>
      <c r="L176" s="299" t="str">
        <f>IF(J176="","",IF(VLOOKUP(J176,'G-3 Multipliers'!$L$3:$N$6,3,FALSE)=0,"Spatial Data Missing ⚠",VLOOKUP(J176,'G-3 Multipliers'!$L$3:$N$6,3,FALSE)))</f>
        <v/>
      </c>
      <c r="M176" s="336" t="str">
        <f>IF(D176="","",VLOOKUP(D176,'G-6 Hedgerow Data'!$B$1:$AH$15,33,FALSE))</f>
        <v/>
      </c>
      <c r="N176" s="289" t="str">
        <f t="shared" si="20"/>
        <v/>
      </c>
      <c r="O176" s="393"/>
      <c r="P176" s="281" t="str">
        <f>IF(O176="","",IF(VLOOKUP(O176,'G-3 Multipliers'!$S$3:$T$10,2,FALSE)=0,"Spatial Data Missing ⚠",VLOOKUP(O176,'G-3 Multipliers'!$S$3:$T$10,2,FALSE)))</f>
        <v/>
      </c>
      <c r="Q176" s="289" t="str">
        <f t="shared" si="21"/>
        <v/>
      </c>
      <c r="R176" s="32"/>
      <c r="S176" s="101"/>
      <c r="T176" s="108"/>
      <c r="U176" s="283" t="str">
        <f t="shared" si="22"/>
        <v/>
      </c>
      <c r="V176" s="283" t="str">
        <f t="shared" si="23"/>
        <v/>
      </c>
      <c r="W176" s="287" t="str">
        <f t="shared" si="24"/>
        <v/>
      </c>
      <c r="X176" s="291" t="str">
        <f t="shared" si="25"/>
        <v/>
      </c>
      <c r="Y176" s="105"/>
      <c r="Z176" s="104"/>
      <c r="AA176" s="104"/>
      <c r="AB176" s="104"/>
      <c r="AE176" s="30" t="str">
        <f>IFERROR(INDEX('G-6 Hedgerow Data'!$BJ$3:$BJ$15,MATCH(D176,'G-6 Hedgerow Data'!$B$3:$B$15,0)),"")</f>
        <v/>
      </c>
      <c r="AH176" s="107" t="str">
        <f t="shared" si="18"/>
        <v/>
      </c>
      <c r="AI176" s="107" t="str">
        <f t="shared" si="19"/>
        <v/>
      </c>
      <c r="AK176" s="107">
        <v>167</v>
      </c>
      <c r="AM176" s="107" t="str">
        <f t="array" ref="AM176">IFERROR(INDEX($AK$10:$AK$258,MATCH(0,IF(TRUE=$AH$10:$AH$258,COUNTIF($AM$9:$AM175,$AK$10:$AK$258),""),0)),"")</f>
        <v/>
      </c>
      <c r="AN176" s="107" t="str">
        <f t="array" ref="AN176">IFERROR(INDEX($AK$10:$AK$258,MATCH(0,IF(TRUE=$AI$10:$AI$258,COUNTIF($AN$9:$AN175,$AK$10:$AK$258),""),0)),"")</f>
        <v/>
      </c>
      <c r="AY176" s="283" t="str">
        <f t="shared" si="26"/>
        <v/>
      </c>
    </row>
    <row r="177" spans="2:51" ht="14">
      <c r="B177" s="97">
        <v>168</v>
      </c>
      <c r="C177" s="138"/>
      <c r="D177" s="138"/>
      <c r="E177" s="104"/>
      <c r="F177" s="275" t="str">
        <f>IF(D177="","",VLOOKUP(D177,'G-6 Hedgerow Data'!$B$2:$AG$15,2,FALSE))</f>
        <v/>
      </c>
      <c r="G177" s="276" t="str">
        <f>IF(D177="","",VLOOKUP(D177,'G-6 Hedgerow Data'!$B$2:$AG$15,3,FALSE))</f>
        <v/>
      </c>
      <c r="H177" s="101"/>
      <c r="I177" s="276" t="str">
        <f>IFERROR(IF(AND(D177&lt;&gt;"",H177=""),"Check data ⚠",(IF(H177="","",IF(AND(D177="Non-native and ornamental hedgerow",H177&lt;&gt;"Poor"),"Not possible ▲",(IF(AND(F177="V.Low",OR(H177="Good",H177="Moderate")),"Error ▲",VLOOKUP(H177,'G-1 All Habitats'!$Z$2:$AA$9,2,FALSE))))))),"")</f>
        <v/>
      </c>
      <c r="J177" s="105"/>
      <c r="K177" s="295" t="str">
        <f>IF(AND(J177="",D177&lt;&gt;""),"Check data ⚠",IF(J177="","",IF(VLOOKUP(J177,'G-3 Multipliers'!$L$3:$N$6,2,FALSE)=0,"Spatial Data Missing ⚠",VLOOKUP(J177,'G-3 Multipliers'!$L$3:$N$6,2,FALSE))))</f>
        <v/>
      </c>
      <c r="L177" s="299" t="str">
        <f>IF(J177="","",IF(VLOOKUP(J177,'G-3 Multipliers'!$L$3:$N$6,3,FALSE)=0,"Spatial Data Missing ⚠",VLOOKUP(J177,'G-3 Multipliers'!$L$3:$N$6,3,FALSE)))</f>
        <v/>
      </c>
      <c r="M177" s="336" t="str">
        <f>IF(D177="","",VLOOKUP(D177,'G-6 Hedgerow Data'!$B$1:$AH$15,33,FALSE))</f>
        <v/>
      </c>
      <c r="N177" s="289" t="str">
        <f t="shared" si="20"/>
        <v/>
      </c>
      <c r="O177" s="393"/>
      <c r="P177" s="281" t="str">
        <f>IF(O177="","",IF(VLOOKUP(O177,'G-3 Multipliers'!$S$3:$T$10,2,FALSE)=0,"Spatial Data Missing ⚠",VLOOKUP(O177,'G-3 Multipliers'!$S$3:$T$10,2,FALSE)))</f>
        <v/>
      </c>
      <c r="Q177" s="289" t="str">
        <f t="shared" si="21"/>
        <v/>
      </c>
      <c r="R177" s="32"/>
      <c r="S177" s="101"/>
      <c r="T177" s="108"/>
      <c r="U177" s="283" t="str">
        <f t="shared" si="22"/>
        <v/>
      </c>
      <c r="V177" s="283" t="str">
        <f t="shared" si="23"/>
        <v/>
      </c>
      <c r="W177" s="287" t="str">
        <f t="shared" si="24"/>
        <v/>
      </c>
      <c r="X177" s="291" t="str">
        <f t="shared" si="25"/>
        <v/>
      </c>
      <c r="Y177" s="105"/>
      <c r="Z177" s="104"/>
      <c r="AA177" s="104"/>
      <c r="AB177" s="104"/>
      <c r="AE177" s="30" t="str">
        <f>IFERROR(INDEX('G-6 Hedgerow Data'!$BJ$3:$BJ$15,MATCH(D177,'G-6 Hedgerow Data'!$B$3:$B$15,0)),"")</f>
        <v/>
      </c>
      <c r="AH177" s="107" t="str">
        <f t="shared" si="18"/>
        <v/>
      </c>
      <c r="AI177" s="107" t="str">
        <f t="shared" si="19"/>
        <v/>
      </c>
      <c r="AK177" s="107">
        <v>168</v>
      </c>
      <c r="AM177" s="107" t="str">
        <f t="array" ref="AM177">IFERROR(INDEX($AK$10:$AK$258,MATCH(0,IF(TRUE=$AH$10:$AH$258,COUNTIF($AM$9:$AM176,$AK$10:$AK$258),""),0)),"")</f>
        <v/>
      </c>
      <c r="AN177" s="107" t="str">
        <f t="array" ref="AN177">IFERROR(INDEX($AK$10:$AK$258,MATCH(0,IF(TRUE=$AI$10:$AI$258,COUNTIF($AN$9:$AN176,$AK$10:$AK$258),""),0)),"")</f>
        <v/>
      </c>
      <c r="AY177" s="283" t="str">
        <f t="shared" si="26"/>
        <v/>
      </c>
    </row>
    <row r="178" spans="2:51" ht="14">
      <c r="B178" s="97">
        <v>169</v>
      </c>
      <c r="C178" s="138"/>
      <c r="D178" s="138"/>
      <c r="E178" s="104"/>
      <c r="F178" s="275" t="str">
        <f>IF(D178="","",VLOOKUP(D178,'G-6 Hedgerow Data'!$B$2:$AG$15,2,FALSE))</f>
        <v/>
      </c>
      <c r="G178" s="276" t="str">
        <f>IF(D178="","",VLOOKUP(D178,'G-6 Hedgerow Data'!$B$2:$AG$15,3,FALSE))</f>
        <v/>
      </c>
      <c r="H178" s="101"/>
      <c r="I178" s="276" t="str">
        <f>IFERROR(IF(AND(D178&lt;&gt;"",H178=""),"Check data ⚠",(IF(H178="","",IF(AND(D178="Non-native and ornamental hedgerow",H178&lt;&gt;"Poor"),"Not possible ▲",(IF(AND(F178="V.Low",OR(H178="Good",H178="Moderate")),"Error ▲",VLOOKUP(H178,'G-1 All Habitats'!$Z$2:$AA$9,2,FALSE))))))),"")</f>
        <v/>
      </c>
      <c r="J178" s="105"/>
      <c r="K178" s="295" t="str">
        <f>IF(AND(J178="",D178&lt;&gt;""),"Check data ⚠",IF(J178="","",IF(VLOOKUP(J178,'G-3 Multipliers'!$L$3:$N$6,2,FALSE)=0,"Spatial Data Missing ⚠",VLOOKUP(J178,'G-3 Multipliers'!$L$3:$N$6,2,FALSE))))</f>
        <v/>
      </c>
      <c r="L178" s="299" t="str">
        <f>IF(J178="","",IF(VLOOKUP(J178,'G-3 Multipliers'!$L$3:$N$6,3,FALSE)=0,"Spatial Data Missing ⚠",VLOOKUP(J178,'G-3 Multipliers'!$L$3:$N$6,3,FALSE)))</f>
        <v/>
      </c>
      <c r="M178" s="336" t="str">
        <f>IF(D178="","",VLOOKUP(D178,'G-6 Hedgerow Data'!$B$1:$AH$15,33,FALSE))</f>
        <v/>
      </c>
      <c r="N178" s="289" t="str">
        <f t="shared" si="20"/>
        <v/>
      </c>
      <c r="O178" s="393"/>
      <c r="P178" s="281" t="str">
        <f>IF(O178="","",IF(VLOOKUP(O178,'G-3 Multipliers'!$S$3:$T$10,2,FALSE)=0,"Spatial Data Missing ⚠",VLOOKUP(O178,'G-3 Multipliers'!$S$3:$T$10,2,FALSE)))</f>
        <v/>
      </c>
      <c r="Q178" s="289" t="str">
        <f t="shared" si="21"/>
        <v/>
      </c>
      <c r="R178" s="32"/>
      <c r="S178" s="101"/>
      <c r="T178" s="108"/>
      <c r="U178" s="283" t="str">
        <f t="shared" si="22"/>
        <v/>
      </c>
      <c r="V178" s="283" t="str">
        <f t="shared" si="23"/>
        <v/>
      </c>
      <c r="W178" s="287" t="str">
        <f t="shared" si="24"/>
        <v/>
      </c>
      <c r="X178" s="291" t="str">
        <f t="shared" si="25"/>
        <v/>
      </c>
      <c r="Y178" s="105"/>
      <c r="Z178" s="104"/>
      <c r="AA178" s="104"/>
      <c r="AB178" s="104"/>
      <c r="AE178" s="30" t="str">
        <f>IFERROR(INDEX('G-6 Hedgerow Data'!$BJ$3:$BJ$15,MATCH(D178,'G-6 Hedgerow Data'!$B$3:$B$15,0)),"")</f>
        <v/>
      </c>
      <c r="AH178" s="107" t="str">
        <f t="shared" si="18"/>
        <v/>
      </c>
      <c r="AI178" s="107" t="str">
        <f t="shared" si="19"/>
        <v/>
      </c>
      <c r="AK178" s="107">
        <v>169</v>
      </c>
      <c r="AM178" s="107" t="str">
        <f t="array" ref="AM178">IFERROR(INDEX($AK$10:$AK$258,MATCH(0,IF(TRUE=$AH$10:$AH$258,COUNTIF($AM$9:$AM177,$AK$10:$AK$258),""),0)),"")</f>
        <v/>
      </c>
      <c r="AN178" s="107" t="str">
        <f t="array" ref="AN178">IFERROR(INDEX($AK$10:$AK$258,MATCH(0,IF(TRUE=$AI$10:$AI$258,COUNTIF($AN$9:$AN177,$AK$10:$AK$258),""),0)),"")</f>
        <v/>
      </c>
      <c r="AY178" s="283" t="str">
        <f t="shared" si="26"/>
        <v/>
      </c>
    </row>
    <row r="179" spans="2:51" ht="14">
      <c r="B179" s="97">
        <v>170</v>
      </c>
      <c r="C179" s="138"/>
      <c r="D179" s="138"/>
      <c r="E179" s="104"/>
      <c r="F179" s="275" t="str">
        <f>IF(D179="","",VLOOKUP(D179,'G-6 Hedgerow Data'!$B$2:$AG$15,2,FALSE))</f>
        <v/>
      </c>
      <c r="G179" s="276" t="str">
        <f>IF(D179="","",VLOOKUP(D179,'G-6 Hedgerow Data'!$B$2:$AG$15,3,FALSE))</f>
        <v/>
      </c>
      <c r="H179" s="101"/>
      <c r="I179" s="276" t="str">
        <f>IFERROR(IF(AND(D179&lt;&gt;"",H179=""),"Check data ⚠",(IF(H179="","",IF(AND(D179="Non-native and ornamental hedgerow",H179&lt;&gt;"Poor"),"Not possible ▲",(IF(AND(F179="V.Low",OR(H179="Good",H179="Moderate")),"Error ▲",VLOOKUP(H179,'G-1 All Habitats'!$Z$2:$AA$9,2,FALSE))))))),"")</f>
        <v/>
      </c>
      <c r="J179" s="105"/>
      <c r="K179" s="295" t="str">
        <f>IF(AND(J179="",D179&lt;&gt;""),"Check data ⚠",IF(J179="","",IF(VLOOKUP(J179,'G-3 Multipliers'!$L$3:$N$6,2,FALSE)=0,"Spatial Data Missing ⚠",VLOOKUP(J179,'G-3 Multipliers'!$L$3:$N$6,2,FALSE))))</f>
        <v/>
      </c>
      <c r="L179" s="299" t="str">
        <f>IF(J179="","",IF(VLOOKUP(J179,'G-3 Multipliers'!$L$3:$N$6,3,FALSE)=0,"Spatial Data Missing ⚠",VLOOKUP(J179,'G-3 Multipliers'!$L$3:$N$6,3,FALSE)))</f>
        <v/>
      </c>
      <c r="M179" s="336" t="str">
        <f>IF(D179="","",VLOOKUP(D179,'G-6 Hedgerow Data'!$B$1:$AH$15,33,FALSE))</f>
        <v/>
      </c>
      <c r="N179" s="289" t="str">
        <f t="shared" si="20"/>
        <v/>
      </c>
      <c r="O179" s="393"/>
      <c r="P179" s="281" t="str">
        <f>IF(O179="","",IF(VLOOKUP(O179,'G-3 Multipliers'!$S$3:$T$10,2,FALSE)=0,"Spatial Data Missing ⚠",VLOOKUP(O179,'G-3 Multipliers'!$S$3:$T$10,2,FALSE)))</f>
        <v/>
      </c>
      <c r="Q179" s="289" t="str">
        <f t="shared" si="21"/>
        <v/>
      </c>
      <c r="R179" s="32"/>
      <c r="S179" s="101"/>
      <c r="T179" s="108"/>
      <c r="U179" s="283" t="str">
        <f t="shared" si="22"/>
        <v/>
      </c>
      <c r="V179" s="283" t="str">
        <f t="shared" si="23"/>
        <v/>
      </c>
      <c r="W179" s="287" t="str">
        <f t="shared" si="24"/>
        <v/>
      </c>
      <c r="X179" s="291" t="str">
        <f t="shared" si="25"/>
        <v/>
      </c>
      <c r="Y179" s="105"/>
      <c r="Z179" s="104"/>
      <c r="AA179" s="104"/>
      <c r="AB179" s="104"/>
      <c r="AE179" s="30" t="str">
        <f>IFERROR(INDEX('G-6 Hedgerow Data'!$BJ$3:$BJ$15,MATCH(D179,'G-6 Hedgerow Data'!$B$3:$B$15,0)),"")</f>
        <v/>
      </c>
      <c r="AH179" s="107" t="str">
        <f t="shared" si="18"/>
        <v/>
      </c>
      <c r="AI179" s="107" t="str">
        <f t="shared" si="19"/>
        <v/>
      </c>
      <c r="AK179" s="107">
        <v>170</v>
      </c>
      <c r="AM179" s="107" t="str">
        <f t="array" ref="AM179">IFERROR(INDEX($AK$10:$AK$258,MATCH(0,IF(TRUE=$AH$10:$AH$258,COUNTIF($AM$9:$AM178,$AK$10:$AK$258),""),0)),"")</f>
        <v/>
      </c>
      <c r="AN179" s="107" t="str">
        <f t="array" ref="AN179">IFERROR(INDEX($AK$10:$AK$258,MATCH(0,IF(TRUE=$AI$10:$AI$258,COUNTIF($AN$9:$AN178,$AK$10:$AK$258),""),0)),"")</f>
        <v/>
      </c>
      <c r="AY179" s="283" t="str">
        <f t="shared" si="26"/>
        <v/>
      </c>
    </row>
    <row r="180" spans="2:51" ht="14">
      <c r="B180" s="97">
        <v>171</v>
      </c>
      <c r="C180" s="138"/>
      <c r="D180" s="138"/>
      <c r="E180" s="104"/>
      <c r="F180" s="275" t="str">
        <f>IF(D180="","",VLOOKUP(D180,'G-6 Hedgerow Data'!$B$2:$AG$15,2,FALSE))</f>
        <v/>
      </c>
      <c r="G180" s="276" t="str">
        <f>IF(D180="","",VLOOKUP(D180,'G-6 Hedgerow Data'!$B$2:$AG$15,3,FALSE))</f>
        <v/>
      </c>
      <c r="H180" s="101"/>
      <c r="I180" s="276" t="str">
        <f>IFERROR(IF(AND(D180&lt;&gt;"",H180=""),"Check data ⚠",(IF(H180="","",IF(AND(D180="Non-native and ornamental hedgerow",H180&lt;&gt;"Poor"),"Not possible ▲",(IF(AND(F180="V.Low",OR(H180="Good",H180="Moderate")),"Error ▲",VLOOKUP(H180,'G-1 All Habitats'!$Z$2:$AA$9,2,FALSE))))))),"")</f>
        <v/>
      </c>
      <c r="J180" s="105"/>
      <c r="K180" s="295" t="str">
        <f>IF(AND(J180="",D180&lt;&gt;""),"Check data ⚠",IF(J180="","",IF(VLOOKUP(J180,'G-3 Multipliers'!$L$3:$N$6,2,FALSE)=0,"Spatial Data Missing ⚠",VLOOKUP(J180,'G-3 Multipliers'!$L$3:$N$6,2,FALSE))))</f>
        <v/>
      </c>
      <c r="L180" s="299" t="str">
        <f>IF(J180="","",IF(VLOOKUP(J180,'G-3 Multipliers'!$L$3:$N$6,3,FALSE)=0,"Spatial Data Missing ⚠",VLOOKUP(J180,'G-3 Multipliers'!$L$3:$N$6,3,FALSE)))</f>
        <v/>
      </c>
      <c r="M180" s="336" t="str">
        <f>IF(D180="","",VLOOKUP(D180,'G-6 Hedgerow Data'!$B$1:$AH$15,33,FALSE))</f>
        <v/>
      </c>
      <c r="N180" s="289" t="str">
        <f t="shared" si="20"/>
        <v/>
      </c>
      <c r="O180" s="393"/>
      <c r="P180" s="281" t="str">
        <f>IF(O180="","",IF(VLOOKUP(O180,'G-3 Multipliers'!$S$3:$T$10,2,FALSE)=0,"Spatial Data Missing ⚠",VLOOKUP(O180,'G-3 Multipliers'!$S$3:$T$10,2,FALSE)))</f>
        <v/>
      </c>
      <c r="Q180" s="289" t="str">
        <f t="shared" si="21"/>
        <v/>
      </c>
      <c r="R180" s="32"/>
      <c r="S180" s="101"/>
      <c r="T180" s="108"/>
      <c r="U180" s="283" t="str">
        <f t="shared" si="22"/>
        <v/>
      </c>
      <c r="V180" s="283" t="str">
        <f t="shared" si="23"/>
        <v/>
      </c>
      <c r="W180" s="287" t="str">
        <f t="shared" si="24"/>
        <v/>
      </c>
      <c r="X180" s="291" t="str">
        <f t="shared" si="25"/>
        <v/>
      </c>
      <c r="Y180" s="105"/>
      <c r="Z180" s="104"/>
      <c r="AA180" s="104"/>
      <c r="AB180" s="104"/>
      <c r="AE180" s="30" t="str">
        <f>IFERROR(INDEX('G-6 Hedgerow Data'!$BJ$3:$BJ$15,MATCH(D180,'G-6 Hedgerow Data'!$B$3:$B$15,0)),"")</f>
        <v/>
      </c>
      <c r="AH180" s="107" t="str">
        <f t="shared" si="18"/>
        <v/>
      </c>
      <c r="AI180" s="107" t="str">
        <f t="shared" si="19"/>
        <v/>
      </c>
      <c r="AK180" s="107">
        <v>171</v>
      </c>
      <c r="AM180" s="107" t="str">
        <f t="array" ref="AM180">IFERROR(INDEX($AK$10:$AK$258,MATCH(0,IF(TRUE=$AH$10:$AH$258,COUNTIF($AM$9:$AM179,$AK$10:$AK$258),""),0)),"")</f>
        <v/>
      </c>
      <c r="AN180" s="107" t="str">
        <f t="array" ref="AN180">IFERROR(INDEX($AK$10:$AK$258,MATCH(0,IF(TRUE=$AI$10:$AI$258,COUNTIF($AN$9:$AN179,$AK$10:$AK$258),""),0)),"")</f>
        <v/>
      </c>
      <c r="AY180" s="283" t="str">
        <f t="shared" si="26"/>
        <v/>
      </c>
    </row>
    <row r="181" spans="2:51" ht="14">
      <c r="B181" s="97">
        <v>172</v>
      </c>
      <c r="C181" s="138"/>
      <c r="D181" s="138"/>
      <c r="E181" s="104"/>
      <c r="F181" s="275" t="str">
        <f>IF(D181="","",VLOOKUP(D181,'G-6 Hedgerow Data'!$B$2:$AG$15,2,FALSE))</f>
        <v/>
      </c>
      <c r="G181" s="276" t="str">
        <f>IF(D181="","",VLOOKUP(D181,'G-6 Hedgerow Data'!$B$2:$AG$15,3,FALSE))</f>
        <v/>
      </c>
      <c r="H181" s="101"/>
      <c r="I181" s="276" t="str">
        <f>IFERROR(IF(AND(D181&lt;&gt;"",H181=""),"Check data ⚠",(IF(H181="","",IF(AND(D181="Non-native and ornamental hedgerow",H181&lt;&gt;"Poor"),"Not possible ▲",(IF(AND(F181="V.Low",OR(H181="Good",H181="Moderate")),"Error ▲",VLOOKUP(H181,'G-1 All Habitats'!$Z$2:$AA$9,2,FALSE))))))),"")</f>
        <v/>
      </c>
      <c r="J181" s="105"/>
      <c r="K181" s="295" t="str">
        <f>IF(AND(J181="",D181&lt;&gt;""),"Check data ⚠",IF(J181="","",IF(VLOOKUP(J181,'G-3 Multipliers'!$L$3:$N$6,2,FALSE)=0,"Spatial Data Missing ⚠",VLOOKUP(J181,'G-3 Multipliers'!$L$3:$N$6,2,FALSE))))</f>
        <v/>
      </c>
      <c r="L181" s="299" t="str">
        <f>IF(J181="","",IF(VLOOKUP(J181,'G-3 Multipliers'!$L$3:$N$6,3,FALSE)=0,"Spatial Data Missing ⚠",VLOOKUP(J181,'G-3 Multipliers'!$L$3:$N$6,3,FALSE)))</f>
        <v/>
      </c>
      <c r="M181" s="336" t="str">
        <f>IF(D181="","",VLOOKUP(D181,'G-6 Hedgerow Data'!$B$1:$AH$15,33,FALSE))</f>
        <v/>
      </c>
      <c r="N181" s="289" t="str">
        <f t="shared" si="20"/>
        <v/>
      </c>
      <c r="O181" s="393"/>
      <c r="P181" s="281" t="str">
        <f>IF(O181="","",IF(VLOOKUP(O181,'G-3 Multipliers'!$S$3:$T$10,2,FALSE)=0,"Spatial Data Missing ⚠",VLOOKUP(O181,'G-3 Multipliers'!$S$3:$T$10,2,FALSE)))</f>
        <v/>
      </c>
      <c r="Q181" s="289" t="str">
        <f t="shared" si="21"/>
        <v/>
      </c>
      <c r="R181" s="32"/>
      <c r="S181" s="101"/>
      <c r="T181" s="108"/>
      <c r="U181" s="283" t="str">
        <f t="shared" si="22"/>
        <v/>
      </c>
      <c r="V181" s="283" t="str">
        <f t="shared" si="23"/>
        <v/>
      </c>
      <c r="W181" s="287" t="str">
        <f t="shared" si="24"/>
        <v/>
      </c>
      <c r="X181" s="291" t="str">
        <f t="shared" si="25"/>
        <v/>
      </c>
      <c r="Y181" s="105"/>
      <c r="Z181" s="104"/>
      <c r="AA181" s="104"/>
      <c r="AB181" s="104"/>
      <c r="AE181" s="30" t="str">
        <f>IFERROR(INDEX('G-6 Hedgerow Data'!$BJ$3:$BJ$15,MATCH(D181,'G-6 Hedgerow Data'!$B$3:$B$15,0)),"")</f>
        <v/>
      </c>
      <c r="AH181" s="107" t="str">
        <f t="shared" si="18"/>
        <v/>
      </c>
      <c r="AI181" s="107" t="str">
        <f t="shared" si="19"/>
        <v/>
      </c>
      <c r="AK181" s="107">
        <v>172</v>
      </c>
      <c r="AM181" s="107" t="str">
        <f t="array" ref="AM181">IFERROR(INDEX($AK$10:$AK$258,MATCH(0,IF(TRUE=$AH$10:$AH$258,COUNTIF($AM$9:$AM180,$AK$10:$AK$258),""),0)),"")</f>
        <v/>
      </c>
      <c r="AN181" s="107" t="str">
        <f t="array" ref="AN181">IFERROR(INDEX($AK$10:$AK$258,MATCH(0,IF(TRUE=$AI$10:$AI$258,COUNTIF($AN$9:$AN180,$AK$10:$AK$258),""),0)),"")</f>
        <v/>
      </c>
      <c r="AY181" s="283" t="str">
        <f t="shared" si="26"/>
        <v/>
      </c>
    </row>
    <row r="182" spans="2:51" ht="14">
      <c r="B182" s="97">
        <v>173</v>
      </c>
      <c r="C182" s="138"/>
      <c r="D182" s="138"/>
      <c r="E182" s="104"/>
      <c r="F182" s="275" t="str">
        <f>IF(D182="","",VLOOKUP(D182,'G-6 Hedgerow Data'!$B$2:$AG$15,2,FALSE))</f>
        <v/>
      </c>
      <c r="G182" s="276" t="str">
        <f>IF(D182="","",VLOOKUP(D182,'G-6 Hedgerow Data'!$B$2:$AG$15,3,FALSE))</f>
        <v/>
      </c>
      <c r="H182" s="101"/>
      <c r="I182" s="276" t="str">
        <f>IFERROR(IF(AND(D182&lt;&gt;"",H182=""),"Check data ⚠",(IF(H182="","",IF(AND(D182="Non-native and ornamental hedgerow",H182&lt;&gt;"Poor"),"Not possible ▲",(IF(AND(F182="V.Low",OR(H182="Good",H182="Moderate")),"Error ▲",VLOOKUP(H182,'G-1 All Habitats'!$Z$2:$AA$9,2,FALSE))))))),"")</f>
        <v/>
      </c>
      <c r="J182" s="105"/>
      <c r="K182" s="295" t="str">
        <f>IF(AND(J182="",D182&lt;&gt;""),"Check data ⚠",IF(J182="","",IF(VLOOKUP(J182,'G-3 Multipliers'!$L$3:$N$6,2,FALSE)=0,"Spatial Data Missing ⚠",VLOOKUP(J182,'G-3 Multipliers'!$L$3:$N$6,2,FALSE))))</f>
        <v/>
      </c>
      <c r="L182" s="299" t="str">
        <f>IF(J182="","",IF(VLOOKUP(J182,'G-3 Multipliers'!$L$3:$N$6,3,FALSE)=0,"Spatial Data Missing ⚠",VLOOKUP(J182,'G-3 Multipliers'!$L$3:$N$6,3,FALSE)))</f>
        <v/>
      </c>
      <c r="M182" s="336" t="str">
        <f>IF(D182="","",VLOOKUP(D182,'G-6 Hedgerow Data'!$B$1:$AH$15,33,FALSE))</f>
        <v/>
      </c>
      <c r="N182" s="289" t="str">
        <f t="shared" si="20"/>
        <v/>
      </c>
      <c r="O182" s="393"/>
      <c r="P182" s="281" t="str">
        <f>IF(O182="","",IF(VLOOKUP(O182,'G-3 Multipliers'!$S$3:$T$10,2,FALSE)=0,"Spatial Data Missing ⚠",VLOOKUP(O182,'G-3 Multipliers'!$S$3:$T$10,2,FALSE)))</f>
        <v/>
      </c>
      <c r="Q182" s="289" t="str">
        <f t="shared" si="21"/>
        <v/>
      </c>
      <c r="R182" s="32"/>
      <c r="S182" s="101"/>
      <c r="T182" s="108"/>
      <c r="U182" s="283" t="str">
        <f t="shared" si="22"/>
        <v/>
      </c>
      <c r="V182" s="283" t="str">
        <f t="shared" si="23"/>
        <v/>
      </c>
      <c r="W182" s="287" t="str">
        <f t="shared" si="24"/>
        <v/>
      </c>
      <c r="X182" s="291" t="str">
        <f t="shared" si="25"/>
        <v/>
      </c>
      <c r="Y182" s="105"/>
      <c r="Z182" s="104"/>
      <c r="AA182" s="104"/>
      <c r="AB182" s="104"/>
      <c r="AE182" s="30" t="str">
        <f>IFERROR(INDEX('G-6 Hedgerow Data'!$BJ$3:$BJ$15,MATCH(D182,'G-6 Hedgerow Data'!$B$3:$B$15,0)),"")</f>
        <v/>
      </c>
      <c r="AH182" s="107" t="str">
        <f t="shared" si="18"/>
        <v/>
      </c>
      <c r="AI182" s="107" t="str">
        <f t="shared" si="19"/>
        <v/>
      </c>
      <c r="AK182" s="107">
        <v>173</v>
      </c>
      <c r="AM182" s="107" t="str">
        <f t="array" ref="AM182">IFERROR(INDEX($AK$10:$AK$258,MATCH(0,IF(TRUE=$AH$10:$AH$258,COUNTIF($AM$9:$AM181,$AK$10:$AK$258),""),0)),"")</f>
        <v/>
      </c>
      <c r="AN182" s="107" t="str">
        <f t="array" ref="AN182">IFERROR(INDEX($AK$10:$AK$258,MATCH(0,IF(TRUE=$AI$10:$AI$258,COUNTIF($AN$9:$AN181,$AK$10:$AK$258),""),0)),"")</f>
        <v/>
      </c>
      <c r="AY182" s="283" t="str">
        <f t="shared" si="26"/>
        <v/>
      </c>
    </row>
    <row r="183" spans="2:51" ht="14">
      <c r="B183" s="97">
        <v>174</v>
      </c>
      <c r="C183" s="138"/>
      <c r="D183" s="138"/>
      <c r="E183" s="104"/>
      <c r="F183" s="275" t="str">
        <f>IF(D183="","",VLOOKUP(D183,'G-6 Hedgerow Data'!$B$2:$AG$15,2,FALSE))</f>
        <v/>
      </c>
      <c r="G183" s="276" t="str">
        <f>IF(D183="","",VLOOKUP(D183,'G-6 Hedgerow Data'!$B$2:$AG$15,3,FALSE))</f>
        <v/>
      </c>
      <c r="H183" s="101"/>
      <c r="I183" s="276" t="str">
        <f>IFERROR(IF(AND(D183&lt;&gt;"",H183=""),"Check data ⚠",(IF(H183="","",IF(AND(D183="Non-native and ornamental hedgerow",H183&lt;&gt;"Poor"),"Not possible ▲",(IF(AND(F183="V.Low",OR(H183="Good",H183="Moderate")),"Error ▲",VLOOKUP(H183,'G-1 All Habitats'!$Z$2:$AA$9,2,FALSE))))))),"")</f>
        <v/>
      </c>
      <c r="J183" s="105"/>
      <c r="K183" s="295" t="str">
        <f>IF(AND(J183="",D183&lt;&gt;""),"Check data ⚠",IF(J183="","",IF(VLOOKUP(J183,'G-3 Multipliers'!$L$3:$N$6,2,FALSE)=0,"Spatial Data Missing ⚠",VLOOKUP(J183,'G-3 Multipliers'!$L$3:$N$6,2,FALSE))))</f>
        <v/>
      </c>
      <c r="L183" s="299" t="str">
        <f>IF(J183="","",IF(VLOOKUP(J183,'G-3 Multipliers'!$L$3:$N$6,3,FALSE)=0,"Spatial Data Missing ⚠",VLOOKUP(J183,'G-3 Multipliers'!$L$3:$N$6,3,FALSE)))</f>
        <v/>
      </c>
      <c r="M183" s="336" t="str">
        <f>IF(D183="","",VLOOKUP(D183,'G-6 Hedgerow Data'!$B$1:$AH$15,33,FALSE))</f>
        <v/>
      </c>
      <c r="N183" s="289" t="str">
        <f t="shared" si="20"/>
        <v/>
      </c>
      <c r="O183" s="393"/>
      <c r="P183" s="281" t="str">
        <f>IF(O183="","",IF(VLOOKUP(O183,'G-3 Multipliers'!$S$3:$T$10,2,FALSE)=0,"Spatial Data Missing ⚠",VLOOKUP(O183,'G-3 Multipliers'!$S$3:$T$10,2,FALSE)))</f>
        <v/>
      </c>
      <c r="Q183" s="289" t="str">
        <f t="shared" si="21"/>
        <v/>
      </c>
      <c r="R183" s="32"/>
      <c r="S183" s="101"/>
      <c r="T183" s="108"/>
      <c r="U183" s="283" t="str">
        <f t="shared" si="22"/>
        <v/>
      </c>
      <c r="V183" s="283" t="str">
        <f t="shared" si="23"/>
        <v/>
      </c>
      <c r="W183" s="287" t="str">
        <f t="shared" si="24"/>
        <v/>
      </c>
      <c r="X183" s="291" t="str">
        <f t="shared" si="25"/>
        <v/>
      </c>
      <c r="Y183" s="105"/>
      <c r="Z183" s="104"/>
      <c r="AA183" s="104"/>
      <c r="AB183" s="104"/>
      <c r="AE183" s="30" t="str">
        <f>IFERROR(INDEX('G-6 Hedgerow Data'!$BJ$3:$BJ$15,MATCH(D183,'G-6 Hedgerow Data'!$B$3:$B$15,0)),"")</f>
        <v/>
      </c>
      <c r="AH183" s="107" t="str">
        <f t="shared" si="18"/>
        <v/>
      </c>
      <c r="AI183" s="107" t="str">
        <f t="shared" si="19"/>
        <v/>
      </c>
      <c r="AK183" s="107">
        <v>174</v>
      </c>
      <c r="AM183" s="107" t="str">
        <f t="array" ref="AM183">IFERROR(INDEX($AK$10:$AK$258,MATCH(0,IF(TRUE=$AH$10:$AH$258,COUNTIF($AM$9:$AM182,$AK$10:$AK$258),""),0)),"")</f>
        <v/>
      </c>
      <c r="AN183" s="107" t="str">
        <f t="array" ref="AN183">IFERROR(INDEX($AK$10:$AK$258,MATCH(0,IF(TRUE=$AI$10:$AI$258,COUNTIF($AN$9:$AN182,$AK$10:$AK$258),""),0)),"")</f>
        <v/>
      </c>
      <c r="AY183" s="283" t="str">
        <f t="shared" si="26"/>
        <v/>
      </c>
    </row>
    <row r="184" spans="2:51" ht="14">
      <c r="B184" s="97">
        <v>175</v>
      </c>
      <c r="C184" s="138"/>
      <c r="D184" s="138"/>
      <c r="E184" s="104"/>
      <c r="F184" s="275" t="str">
        <f>IF(D184="","",VLOOKUP(D184,'G-6 Hedgerow Data'!$B$2:$AG$15,2,FALSE))</f>
        <v/>
      </c>
      <c r="G184" s="276" t="str">
        <f>IF(D184="","",VLOOKUP(D184,'G-6 Hedgerow Data'!$B$2:$AG$15,3,FALSE))</f>
        <v/>
      </c>
      <c r="H184" s="101"/>
      <c r="I184" s="276" t="str">
        <f>IFERROR(IF(AND(D184&lt;&gt;"",H184=""),"Check data ⚠",(IF(H184="","",IF(AND(D184="Non-native and ornamental hedgerow",H184&lt;&gt;"Poor"),"Not possible ▲",(IF(AND(F184="V.Low",OR(H184="Good",H184="Moderate")),"Error ▲",VLOOKUP(H184,'G-1 All Habitats'!$Z$2:$AA$9,2,FALSE))))))),"")</f>
        <v/>
      </c>
      <c r="J184" s="105"/>
      <c r="K184" s="295" t="str">
        <f>IF(AND(J184="",D184&lt;&gt;""),"Check data ⚠",IF(J184="","",IF(VLOOKUP(J184,'G-3 Multipliers'!$L$3:$N$6,2,FALSE)=0,"Spatial Data Missing ⚠",VLOOKUP(J184,'G-3 Multipliers'!$L$3:$N$6,2,FALSE))))</f>
        <v/>
      </c>
      <c r="L184" s="299" t="str">
        <f>IF(J184="","",IF(VLOOKUP(J184,'G-3 Multipliers'!$L$3:$N$6,3,FALSE)=0,"Spatial Data Missing ⚠",VLOOKUP(J184,'G-3 Multipliers'!$L$3:$N$6,3,FALSE)))</f>
        <v/>
      </c>
      <c r="M184" s="336" t="str">
        <f>IF(D184="","",VLOOKUP(D184,'G-6 Hedgerow Data'!$B$1:$AH$15,33,FALSE))</f>
        <v/>
      </c>
      <c r="N184" s="289" t="str">
        <f t="shared" si="20"/>
        <v/>
      </c>
      <c r="O184" s="393"/>
      <c r="P184" s="281" t="str">
        <f>IF(O184="","",IF(VLOOKUP(O184,'G-3 Multipliers'!$S$3:$T$10,2,FALSE)=0,"Spatial Data Missing ⚠",VLOOKUP(O184,'G-3 Multipliers'!$S$3:$T$10,2,FALSE)))</f>
        <v/>
      </c>
      <c r="Q184" s="289" t="str">
        <f t="shared" si="21"/>
        <v/>
      </c>
      <c r="R184" s="32"/>
      <c r="S184" s="101"/>
      <c r="T184" s="108"/>
      <c r="U184" s="283" t="str">
        <f t="shared" si="22"/>
        <v/>
      </c>
      <c r="V184" s="283" t="str">
        <f t="shared" si="23"/>
        <v/>
      </c>
      <c r="W184" s="287" t="str">
        <f t="shared" si="24"/>
        <v/>
      </c>
      <c r="X184" s="291" t="str">
        <f t="shared" si="25"/>
        <v/>
      </c>
      <c r="Y184" s="105"/>
      <c r="Z184" s="104"/>
      <c r="AA184" s="104"/>
      <c r="AB184" s="104"/>
      <c r="AE184" s="30" t="str">
        <f>IFERROR(INDEX('G-6 Hedgerow Data'!$BJ$3:$BJ$15,MATCH(D184,'G-6 Hedgerow Data'!$B$3:$B$15,0)),"")</f>
        <v/>
      </c>
      <c r="AH184" s="107" t="str">
        <f t="shared" si="18"/>
        <v/>
      </c>
      <c r="AI184" s="107" t="str">
        <f t="shared" si="19"/>
        <v/>
      </c>
      <c r="AK184" s="107">
        <v>175</v>
      </c>
      <c r="AM184" s="107" t="str">
        <f t="array" ref="AM184">IFERROR(INDEX($AK$10:$AK$258,MATCH(0,IF(TRUE=$AH$10:$AH$258,COUNTIF($AM$9:$AM183,$AK$10:$AK$258),""),0)),"")</f>
        <v/>
      </c>
      <c r="AN184" s="107" t="str">
        <f t="array" ref="AN184">IFERROR(INDEX($AK$10:$AK$258,MATCH(0,IF(TRUE=$AI$10:$AI$258,COUNTIF($AN$9:$AN183,$AK$10:$AK$258),""),0)),"")</f>
        <v/>
      </c>
      <c r="AY184" s="283" t="str">
        <f t="shared" si="26"/>
        <v/>
      </c>
    </row>
    <row r="185" spans="2:51" ht="14">
      <c r="B185" s="97">
        <v>176</v>
      </c>
      <c r="C185" s="138"/>
      <c r="D185" s="138"/>
      <c r="E185" s="104"/>
      <c r="F185" s="275" t="str">
        <f>IF(D185="","",VLOOKUP(D185,'G-6 Hedgerow Data'!$B$2:$AG$15,2,FALSE))</f>
        <v/>
      </c>
      <c r="G185" s="276" t="str">
        <f>IF(D185="","",VLOOKUP(D185,'G-6 Hedgerow Data'!$B$2:$AG$15,3,FALSE))</f>
        <v/>
      </c>
      <c r="H185" s="101"/>
      <c r="I185" s="276" t="str">
        <f>IFERROR(IF(AND(D185&lt;&gt;"",H185=""),"Check data ⚠",(IF(H185="","",IF(AND(D185="Non-native and ornamental hedgerow",H185&lt;&gt;"Poor"),"Not possible ▲",(IF(AND(F185="V.Low",OR(H185="Good",H185="Moderate")),"Error ▲",VLOOKUP(H185,'G-1 All Habitats'!$Z$2:$AA$9,2,FALSE))))))),"")</f>
        <v/>
      </c>
      <c r="J185" s="105"/>
      <c r="K185" s="295" t="str">
        <f>IF(AND(J185="",D185&lt;&gt;""),"Check data ⚠",IF(J185="","",IF(VLOOKUP(J185,'G-3 Multipliers'!$L$3:$N$6,2,FALSE)=0,"Spatial Data Missing ⚠",VLOOKUP(J185,'G-3 Multipliers'!$L$3:$N$6,2,FALSE))))</f>
        <v/>
      </c>
      <c r="L185" s="299" t="str">
        <f>IF(J185="","",IF(VLOOKUP(J185,'G-3 Multipliers'!$L$3:$N$6,3,FALSE)=0,"Spatial Data Missing ⚠",VLOOKUP(J185,'G-3 Multipliers'!$L$3:$N$6,3,FALSE)))</f>
        <v/>
      </c>
      <c r="M185" s="336" t="str">
        <f>IF(D185="","",VLOOKUP(D185,'G-6 Hedgerow Data'!$B$1:$AH$15,33,FALSE))</f>
        <v/>
      </c>
      <c r="N185" s="289" t="str">
        <f t="shared" si="20"/>
        <v/>
      </c>
      <c r="O185" s="393"/>
      <c r="P185" s="281" t="str">
        <f>IF(O185="","",IF(VLOOKUP(O185,'G-3 Multipliers'!$S$3:$T$10,2,FALSE)=0,"Spatial Data Missing ⚠",VLOOKUP(O185,'G-3 Multipliers'!$S$3:$T$10,2,FALSE)))</f>
        <v/>
      </c>
      <c r="Q185" s="289" t="str">
        <f t="shared" si="21"/>
        <v/>
      </c>
      <c r="R185" s="32"/>
      <c r="S185" s="101"/>
      <c r="T185" s="108"/>
      <c r="U185" s="283" t="str">
        <f t="shared" si="22"/>
        <v/>
      </c>
      <c r="V185" s="283" t="str">
        <f t="shared" si="23"/>
        <v/>
      </c>
      <c r="W185" s="287" t="str">
        <f t="shared" si="24"/>
        <v/>
      </c>
      <c r="X185" s="291" t="str">
        <f t="shared" si="25"/>
        <v/>
      </c>
      <c r="Y185" s="105"/>
      <c r="Z185" s="104"/>
      <c r="AA185" s="104"/>
      <c r="AB185" s="104"/>
      <c r="AE185" s="30" t="str">
        <f>IFERROR(INDEX('G-6 Hedgerow Data'!$BJ$3:$BJ$15,MATCH(D185,'G-6 Hedgerow Data'!$B$3:$B$15,0)),"")</f>
        <v/>
      </c>
      <c r="AH185" s="107" t="str">
        <f t="shared" si="18"/>
        <v/>
      </c>
      <c r="AI185" s="107" t="str">
        <f t="shared" si="19"/>
        <v/>
      </c>
      <c r="AK185" s="107">
        <v>176</v>
      </c>
      <c r="AM185" s="107" t="str">
        <f t="array" ref="AM185">IFERROR(INDEX($AK$10:$AK$258,MATCH(0,IF(TRUE=$AH$10:$AH$258,COUNTIF($AM$9:$AM184,$AK$10:$AK$258),""),0)),"")</f>
        <v/>
      </c>
      <c r="AN185" s="107" t="str">
        <f t="array" ref="AN185">IFERROR(INDEX($AK$10:$AK$258,MATCH(0,IF(TRUE=$AI$10:$AI$258,COUNTIF($AN$9:$AN184,$AK$10:$AK$258),""),0)),"")</f>
        <v/>
      </c>
      <c r="AY185" s="283" t="str">
        <f t="shared" si="26"/>
        <v/>
      </c>
    </row>
    <row r="186" spans="2:51" ht="14">
      <c r="B186" s="97">
        <v>177</v>
      </c>
      <c r="C186" s="138"/>
      <c r="D186" s="138"/>
      <c r="E186" s="104"/>
      <c r="F186" s="275" t="str">
        <f>IF(D186="","",VLOOKUP(D186,'G-6 Hedgerow Data'!$B$2:$AG$15,2,FALSE))</f>
        <v/>
      </c>
      <c r="G186" s="276" t="str">
        <f>IF(D186="","",VLOOKUP(D186,'G-6 Hedgerow Data'!$B$2:$AG$15,3,FALSE))</f>
        <v/>
      </c>
      <c r="H186" s="101"/>
      <c r="I186" s="276" t="str">
        <f>IFERROR(IF(AND(D186&lt;&gt;"",H186=""),"Check data ⚠",(IF(H186="","",IF(AND(D186="Non-native and ornamental hedgerow",H186&lt;&gt;"Poor"),"Not possible ▲",(IF(AND(F186="V.Low",OR(H186="Good",H186="Moderate")),"Error ▲",VLOOKUP(H186,'G-1 All Habitats'!$Z$2:$AA$9,2,FALSE))))))),"")</f>
        <v/>
      </c>
      <c r="J186" s="105"/>
      <c r="K186" s="295" t="str">
        <f>IF(AND(J186="",D186&lt;&gt;""),"Check data ⚠",IF(J186="","",IF(VLOOKUP(J186,'G-3 Multipliers'!$L$3:$N$6,2,FALSE)=0,"Spatial Data Missing ⚠",VLOOKUP(J186,'G-3 Multipliers'!$L$3:$N$6,2,FALSE))))</f>
        <v/>
      </c>
      <c r="L186" s="299" t="str">
        <f>IF(J186="","",IF(VLOOKUP(J186,'G-3 Multipliers'!$L$3:$N$6,3,FALSE)=0,"Spatial Data Missing ⚠",VLOOKUP(J186,'G-3 Multipliers'!$L$3:$N$6,3,FALSE)))</f>
        <v/>
      </c>
      <c r="M186" s="336" t="str">
        <f>IF(D186="","",VLOOKUP(D186,'G-6 Hedgerow Data'!$B$1:$AH$15,33,FALSE))</f>
        <v/>
      </c>
      <c r="N186" s="289" t="str">
        <f t="shared" si="20"/>
        <v/>
      </c>
      <c r="O186" s="393"/>
      <c r="P186" s="281" t="str">
        <f>IF(O186="","",IF(VLOOKUP(O186,'G-3 Multipliers'!$S$3:$T$10,2,FALSE)=0,"Spatial Data Missing ⚠",VLOOKUP(O186,'G-3 Multipliers'!$S$3:$T$10,2,FALSE)))</f>
        <v/>
      </c>
      <c r="Q186" s="289" t="str">
        <f t="shared" si="21"/>
        <v/>
      </c>
      <c r="R186" s="32"/>
      <c r="S186" s="101"/>
      <c r="T186" s="108"/>
      <c r="U186" s="283" t="str">
        <f t="shared" si="22"/>
        <v/>
      </c>
      <c r="V186" s="283" t="str">
        <f t="shared" si="23"/>
        <v/>
      </c>
      <c r="W186" s="287" t="str">
        <f t="shared" si="24"/>
        <v/>
      </c>
      <c r="X186" s="291" t="str">
        <f t="shared" si="25"/>
        <v/>
      </c>
      <c r="Y186" s="105"/>
      <c r="Z186" s="104"/>
      <c r="AA186" s="104"/>
      <c r="AB186" s="104"/>
      <c r="AE186" s="30" t="str">
        <f>IFERROR(INDEX('G-6 Hedgerow Data'!$BJ$3:$BJ$15,MATCH(D186,'G-6 Hedgerow Data'!$B$3:$B$15,0)),"")</f>
        <v/>
      </c>
      <c r="AH186" s="107" t="str">
        <f t="shared" si="18"/>
        <v/>
      </c>
      <c r="AI186" s="107" t="str">
        <f t="shared" si="19"/>
        <v/>
      </c>
      <c r="AK186" s="107">
        <v>177</v>
      </c>
      <c r="AM186" s="107" t="str">
        <f t="array" ref="AM186">IFERROR(INDEX($AK$10:$AK$258,MATCH(0,IF(TRUE=$AH$10:$AH$258,COUNTIF($AM$9:$AM185,$AK$10:$AK$258),""),0)),"")</f>
        <v/>
      </c>
      <c r="AN186" s="107" t="str">
        <f t="array" ref="AN186">IFERROR(INDEX($AK$10:$AK$258,MATCH(0,IF(TRUE=$AI$10:$AI$258,COUNTIF($AN$9:$AN185,$AK$10:$AK$258),""),0)),"")</f>
        <v/>
      </c>
      <c r="AY186" s="283" t="str">
        <f t="shared" si="26"/>
        <v/>
      </c>
    </row>
    <row r="187" spans="2:51" ht="14">
      <c r="B187" s="97">
        <v>178</v>
      </c>
      <c r="C187" s="138"/>
      <c r="D187" s="138"/>
      <c r="E187" s="104"/>
      <c r="F187" s="275" t="str">
        <f>IF(D187="","",VLOOKUP(D187,'G-6 Hedgerow Data'!$B$2:$AG$15,2,FALSE))</f>
        <v/>
      </c>
      <c r="G187" s="276" t="str">
        <f>IF(D187="","",VLOOKUP(D187,'G-6 Hedgerow Data'!$B$2:$AG$15,3,FALSE))</f>
        <v/>
      </c>
      <c r="H187" s="101"/>
      <c r="I187" s="276" t="str">
        <f>IFERROR(IF(AND(D187&lt;&gt;"",H187=""),"Check data ⚠",(IF(H187="","",IF(AND(D187="Non-native and ornamental hedgerow",H187&lt;&gt;"Poor"),"Not possible ▲",(IF(AND(F187="V.Low",OR(H187="Good",H187="Moderate")),"Error ▲",VLOOKUP(H187,'G-1 All Habitats'!$Z$2:$AA$9,2,FALSE))))))),"")</f>
        <v/>
      </c>
      <c r="J187" s="105"/>
      <c r="K187" s="295" t="str">
        <f>IF(AND(J187="",D187&lt;&gt;""),"Check data ⚠",IF(J187="","",IF(VLOOKUP(J187,'G-3 Multipliers'!$L$3:$N$6,2,FALSE)=0,"Spatial Data Missing ⚠",VLOOKUP(J187,'G-3 Multipliers'!$L$3:$N$6,2,FALSE))))</f>
        <v/>
      </c>
      <c r="L187" s="299" t="str">
        <f>IF(J187="","",IF(VLOOKUP(J187,'G-3 Multipliers'!$L$3:$N$6,3,FALSE)=0,"Spatial Data Missing ⚠",VLOOKUP(J187,'G-3 Multipliers'!$L$3:$N$6,3,FALSE)))</f>
        <v/>
      </c>
      <c r="M187" s="336" t="str">
        <f>IF(D187="","",VLOOKUP(D187,'G-6 Hedgerow Data'!$B$1:$AH$15,33,FALSE))</f>
        <v/>
      </c>
      <c r="N187" s="289" t="str">
        <f t="shared" si="20"/>
        <v/>
      </c>
      <c r="O187" s="393"/>
      <c r="P187" s="281" t="str">
        <f>IF(O187="","",IF(VLOOKUP(O187,'G-3 Multipliers'!$S$3:$T$10,2,FALSE)=0,"Spatial Data Missing ⚠",VLOOKUP(O187,'G-3 Multipliers'!$S$3:$T$10,2,FALSE)))</f>
        <v/>
      </c>
      <c r="Q187" s="289" t="str">
        <f t="shared" si="21"/>
        <v/>
      </c>
      <c r="R187" s="32"/>
      <c r="S187" s="101"/>
      <c r="T187" s="108"/>
      <c r="U187" s="283" t="str">
        <f t="shared" si="22"/>
        <v/>
      </c>
      <c r="V187" s="283" t="str">
        <f t="shared" si="23"/>
        <v/>
      </c>
      <c r="W187" s="287" t="str">
        <f t="shared" si="24"/>
        <v/>
      </c>
      <c r="X187" s="291" t="str">
        <f t="shared" si="25"/>
        <v/>
      </c>
      <c r="Y187" s="105"/>
      <c r="Z187" s="104"/>
      <c r="AA187" s="104"/>
      <c r="AB187" s="104"/>
      <c r="AE187" s="30" t="str">
        <f>IFERROR(INDEX('G-6 Hedgerow Data'!$BJ$3:$BJ$15,MATCH(D187,'G-6 Hedgerow Data'!$B$3:$B$15,0)),"")</f>
        <v/>
      </c>
      <c r="AH187" s="107" t="str">
        <f t="shared" si="18"/>
        <v/>
      </c>
      <c r="AI187" s="107" t="str">
        <f t="shared" si="19"/>
        <v/>
      </c>
      <c r="AK187" s="107">
        <v>178</v>
      </c>
      <c r="AM187" s="107" t="str">
        <f t="array" ref="AM187">IFERROR(INDEX($AK$10:$AK$258,MATCH(0,IF(TRUE=$AH$10:$AH$258,COUNTIF($AM$9:$AM186,$AK$10:$AK$258),""),0)),"")</f>
        <v/>
      </c>
      <c r="AN187" s="107" t="str">
        <f t="array" ref="AN187">IFERROR(INDEX($AK$10:$AK$258,MATCH(0,IF(TRUE=$AI$10:$AI$258,COUNTIF($AN$9:$AN186,$AK$10:$AK$258),""),0)),"")</f>
        <v/>
      </c>
      <c r="AY187" s="283" t="str">
        <f t="shared" si="26"/>
        <v/>
      </c>
    </row>
    <row r="188" spans="2:51" ht="14">
      <c r="B188" s="97">
        <v>179</v>
      </c>
      <c r="C188" s="138"/>
      <c r="D188" s="138"/>
      <c r="E188" s="104"/>
      <c r="F188" s="275" t="str">
        <f>IF(D188="","",VLOOKUP(D188,'G-6 Hedgerow Data'!$B$2:$AG$15,2,FALSE))</f>
        <v/>
      </c>
      <c r="G188" s="276" t="str">
        <f>IF(D188="","",VLOOKUP(D188,'G-6 Hedgerow Data'!$B$2:$AG$15,3,FALSE))</f>
        <v/>
      </c>
      <c r="H188" s="101"/>
      <c r="I188" s="276" t="str">
        <f>IFERROR(IF(AND(D188&lt;&gt;"",H188=""),"Check data ⚠",(IF(H188="","",IF(AND(D188="Non-native and ornamental hedgerow",H188&lt;&gt;"Poor"),"Not possible ▲",(IF(AND(F188="V.Low",OR(H188="Good",H188="Moderate")),"Error ▲",VLOOKUP(H188,'G-1 All Habitats'!$Z$2:$AA$9,2,FALSE))))))),"")</f>
        <v/>
      </c>
      <c r="J188" s="105"/>
      <c r="K188" s="295" t="str">
        <f>IF(AND(J188="",D188&lt;&gt;""),"Check data ⚠",IF(J188="","",IF(VLOOKUP(J188,'G-3 Multipliers'!$L$3:$N$6,2,FALSE)=0,"Spatial Data Missing ⚠",VLOOKUP(J188,'G-3 Multipliers'!$L$3:$N$6,2,FALSE))))</f>
        <v/>
      </c>
      <c r="L188" s="299" t="str">
        <f>IF(J188="","",IF(VLOOKUP(J188,'G-3 Multipliers'!$L$3:$N$6,3,FALSE)=0,"Spatial Data Missing ⚠",VLOOKUP(J188,'G-3 Multipliers'!$L$3:$N$6,3,FALSE)))</f>
        <v/>
      </c>
      <c r="M188" s="336" t="str">
        <f>IF(D188="","",VLOOKUP(D188,'G-6 Hedgerow Data'!$B$1:$AH$15,33,FALSE))</f>
        <v/>
      </c>
      <c r="N188" s="289" t="str">
        <f t="shared" si="20"/>
        <v/>
      </c>
      <c r="O188" s="393"/>
      <c r="P188" s="281" t="str">
        <f>IF(O188="","",IF(VLOOKUP(O188,'G-3 Multipliers'!$S$3:$T$10,2,FALSE)=0,"Spatial Data Missing ⚠",VLOOKUP(O188,'G-3 Multipliers'!$S$3:$T$10,2,FALSE)))</f>
        <v/>
      </c>
      <c r="Q188" s="289" t="str">
        <f t="shared" si="21"/>
        <v/>
      </c>
      <c r="R188" s="32"/>
      <c r="S188" s="101"/>
      <c r="T188" s="108"/>
      <c r="U188" s="283" t="str">
        <f t="shared" si="22"/>
        <v/>
      </c>
      <c r="V188" s="283" t="str">
        <f t="shared" si="23"/>
        <v/>
      </c>
      <c r="W188" s="287" t="str">
        <f t="shared" si="24"/>
        <v/>
      </c>
      <c r="X188" s="291" t="str">
        <f t="shared" si="25"/>
        <v/>
      </c>
      <c r="Y188" s="105"/>
      <c r="Z188" s="104"/>
      <c r="AA188" s="104"/>
      <c r="AB188" s="104"/>
      <c r="AE188" s="30" t="str">
        <f>IFERROR(INDEX('G-6 Hedgerow Data'!$BJ$3:$BJ$15,MATCH(D188,'G-6 Hedgerow Data'!$B$3:$B$15,0)),"")</f>
        <v/>
      </c>
      <c r="AH188" s="107" t="str">
        <f t="shared" si="18"/>
        <v/>
      </c>
      <c r="AI188" s="107" t="str">
        <f t="shared" si="19"/>
        <v/>
      </c>
      <c r="AK188" s="107">
        <v>179</v>
      </c>
      <c r="AM188" s="107" t="str">
        <f t="array" ref="AM188">IFERROR(INDEX($AK$10:$AK$258,MATCH(0,IF(TRUE=$AH$10:$AH$258,COUNTIF($AM$9:$AM187,$AK$10:$AK$258),""),0)),"")</f>
        <v/>
      </c>
      <c r="AN188" s="107" t="str">
        <f t="array" ref="AN188">IFERROR(INDEX($AK$10:$AK$258,MATCH(0,IF(TRUE=$AI$10:$AI$258,COUNTIF($AN$9:$AN187,$AK$10:$AK$258),""),0)),"")</f>
        <v/>
      </c>
      <c r="AY188" s="283" t="str">
        <f t="shared" si="26"/>
        <v/>
      </c>
    </row>
    <row r="189" spans="2:51" ht="14">
      <c r="B189" s="97">
        <v>180</v>
      </c>
      <c r="C189" s="138"/>
      <c r="D189" s="138"/>
      <c r="E189" s="104"/>
      <c r="F189" s="275" t="str">
        <f>IF(D189="","",VLOOKUP(D189,'G-6 Hedgerow Data'!$B$2:$AG$15,2,FALSE))</f>
        <v/>
      </c>
      <c r="G189" s="276" t="str">
        <f>IF(D189="","",VLOOKUP(D189,'G-6 Hedgerow Data'!$B$2:$AG$15,3,FALSE))</f>
        <v/>
      </c>
      <c r="H189" s="101"/>
      <c r="I189" s="276" t="str">
        <f>IFERROR(IF(AND(D189&lt;&gt;"",H189=""),"Check data ⚠",(IF(H189="","",IF(AND(D189="Non-native and ornamental hedgerow",H189&lt;&gt;"Poor"),"Not possible ▲",(IF(AND(F189="V.Low",OR(H189="Good",H189="Moderate")),"Error ▲",VLOOKUP(H189,'G-1 All Habitats'!$Z$2:$AA$9,2,FALSE))))))),"")</f>
        <v/>
      </c>
      <c r="J189" s="105"/>
      <c r="K189" s="295" t="str">
        <f>IF(AND(J189="",D189&lt;&gt;""),"Check data ⚠",IF(J189="","",IF(VLOOKUP(J189,'G-3 Multipliers'!$L$3:$N$6,2,FALSE)=0,"Spatial Data Missing ⚠",VLOOKUP(J189,'G-3 Multipliers'!$L$3:$N$6,2,FALSE))))</f>
        <v/>
      </c>
      <c r="L189" s="299" t="str">
        <f>IF(J189="","",IF(VLOOKUP(J189,'G-3 Multipliers'!$L$3:$N$6,3,FALSE)=0,"Spatial Data Missing ⚠",VLOOKUP(J189,'G-3 Multipliers'!$L$3:$N$6,3,FALSE)))</f>
        <v/>
      </c>
      <c r="M189" s="336" t="str">
        <f>IF(D189="","",VLOOKUP(D189,'G-6 Hedgerow Data'!$B$1:$AH$15,33,FALSE))</f>
        <v/>
      </c>
      <c r="N189" s="289" t="str">
        <f t="shared" si="20"/>
        <v/>
      </c>
      <c r="O189" s="393"/>
      <c r="P189" s="281" t="str">
        <f>IF(O189="","",IF(VLOOKUP(O189,'G-3 Multipliers'!$S$3:$T$10,2,FALSE)=0,"Spatial Data Missing ⚠",VLOOKUP(O189,'G-3 Multipliers'!$S$3:$T$10,2,FALSE)))</f>
        <v/>
      </c>
      <c r="Q189" s="289" t="str">
        <f t="shared" si="21"/>
        <v/>
      </c>
      <c r="R189" s="32"/>
      <c r="S189" s="101"/>
      <c r="T189" s="108"/>
      <c r="U189" s="283" t="str">
        <f t="shared" si="22"/>
        <v/>
      </c>
      <c r="V189" s="283" t="str">
        <f t="shared" si="23"/>
        <v/>
      </c>
      <c r="W189" s="287" t="str">
        <f t="shared" si="24"/>
        <v/>
      </c>
      <c r="X189" s="291" t="str">
        <f t="shared" si="25"/>
        <v/>
      </c>
      <c r="Y189" s="105"/>
      <c r="Z189" s="104"/>
      <c r="AA189" s="104"/>
      <c r="AB189" s="104"/>
      <c r="AE189" s="30" t="str">
        <f>IFERROR(INDEX('G-6 Hedgerow Data'!$BJ$3:$BJ$15,MATCH(D189,'G-6 Hedgerow Data'!$B$3:$B$15,0)),"")</f>
        <v/>
      </c>
      <c r="AH189" s="107" t="str">
        <f t="shared" si="18"/>
        <v/>
      </c>
      <c r="AI189" s="107" t="str">
        <f t="shared" si="19"/>
        <v/>
      </c>
      <c r="AK189" s="107">
        <v>180</v>
      </c>
      <c r="AM189" s="107" t="str">
        <f t="array" ref="AM189">IFERROR(INDEX($AK$10:$AK$258,MATCH(0,IF(TRUE=$AH$10:$AH$258,COUNTIF($AM$9:$AM188,$AK$10:$AK$258),""),0)),"")</f>
        <v/>
      </c>
      <c r="AN189" s="107" t="str">
        <f t="array" ref="AN189">IFERROR(INDEX($AK$10:$AK$258,MATCH(0,IF(TRUE=$AI$10:$AI$258,COUNTIF($AN$9:$AN188,$AK$10:$AK$258),""),0)),"")</f>
        <v/>
      </c>
      <c r="AY189" s="283" t="str">
        <f t="shared" si="26"/>
        <v/>
      </c>
    </row>
    <row r="190" spans="2:51" ht="14">
      <c r="B190" s="97">
        <v>181</v>
      </c>
      <c r="C190" s="138"/>
      <c r="D190" s="138"/>
      <c r="E190" s="104"/>
      <c r="F190" s="275" t="str">
        <f>IF(D190="","",VLOOKUP(D190,'G-6 Hedgerow Data'!$B$2:$AG$15,2,FALSE))</f>
        <v/>
      </c>
      <c r="G190" s="276" t="str">
        <f>IF(D190="","",VLOOKUP(D190,'G-6 Hedgerow Data'!$B$2:$AG$15,3,FALSE))</f>
        <v/>
      </c>
      <c r="H190" s="101"/>
      <c r="I190" s="276" t="str">
        <f>IFERROR(IF(AND(D190&lt;&gt;"",H190=""),"Check data ⚠",(IF(H190="","",IF(AND(D190="Non-native and ornamental hedgerow",H190&lt;&gt;"Poor"),"Not possible ▲",(IF(AND(F190="V.Low",OR(H190="Good",H190="Moderate")),"Error ▲",VLOOKUP(H190,'G-1 All Habitats'!$Z$2:$AA$9,2,FALSE))))))),"")</f>
        <v/>
      </c>
      <c r="J190" s="105"/>
      <c r="K190" s="295" t="str">
        <f>IF(AND(J190="",D190&lt;&gt;""),"Check data ⚠",IF(J190="","",IF(VLOOKUP(J190,'G-3 Multipliers'!$L$3:$N$6,2,FALSE)=0,"Spatial Data Missing ⚠",VLOOKUP(J190,'G-3 Multipliers'!$L$3:$N$6,2,FALSE))))</f>
        <v/>
      </c>
      <c r="L190" s="299" t="str">
        <f>IF(J190="","",IF(VLOOKUP(J190,'G-3 Multipliers'!$L$3:$N$6,3,FALSE)=0,"Spatial Data Missing ⚠",VLOOKUP(J190,'G-3 Multipliers'!$L$3:$N$6,3,FALSE)))</f>
        <v/>
      </c>
      <c r="M190" s="336" t="str">
        <f>IF(D190="","",VLOOKUP(D190,'G-6 Hedgerow Data'!$B$1:$AH$15,33,FALSE))</f>
        <v/>
      </c>
      <c r="N190" s="289" t="str">
        <f t="shared" si="20"/>
        <v/>
      </c>
      <c r="O190" s="393"/>
      <c r="P190" s="281" t="str">
        <f>IF(O190="","",IF(VLOOKUP(O190,'G-3 Multipliers'!$S$3:$T$10,2,FALSE)=0,"Spatial Data Missing ⚠",VLOOKUP(O190,'G-3 Multipliers'!$S$3:$T$10,2,FALSE)))</f>
        <v/>
      </c>
      <c r="Q190" s="289" t="str">
        <f t="shared" si="21"/>
        <v/>
      </c>
      <c r="R190" s="32"/>
      <c r="S190" s="101"/>
      <c r="T190" s="108"/>
      <c r="U190" s="283" t="str">
        <f t="shared" si="22"/>
        <v/>
      </c>
      <c r="V190" s="283" t="str">
        <f t="shared" si="23"/>
        <v/>
      </c>
      <c r="W190" s="287" t="str">
        <f t="shared" si="24"/>
        <v/>
      </c>
      <c r="X190" s="291" t="str">
        <f t="shared" si="25"/>
        <v/>
      </c>
      <c r="Y190" s="105"/>
      <c r="Z190" s="104"/>
      <c r="AA190" s="104"/>
      <c r="AB190" s="104"/>
      <c r="AE190" s="30" t="str">
        <f>IFERROR(INDEX('G-6 Hedgerow Data'!$BJ$3:$BJ$15,MATCH(D190,'G-6 Hedgerow Data'!$B$3:$B$15,0)),"")</f>
        <v/>
      </c>
      <c r="AH190" s="107" t="str">
        <f t="shared" si="18"/>
        <v/>
      </c>
      <c r="AI190" s="107" t="str">
        <f t="shared" si="19"/>
        <v/>
      </c>
      <c r="AK190" s="107">
        <v>181</v>
      </c>
      <c r="AM190" s="107" t="str">
        <f t="array" ref="AM190">IFERROR(INDEX($AK$10:$AK$258,MATCH(0,IF(TRUE=$AH$10:$AH$258,COUNTIF($AM$9:$AM189,$AK$10:$AK$258),""),0)),"")</f>
        <v/>
      </c>
      <c r="AN190" s="107" t="str">
        <f t="array" ref="AN190">IFERROR(INDEX($AK$10:$AK$258,MATCH(0,IF(TRUE=$AI$10:$AI$258,COUNTIF($AN$9:$AN189,$AK$10:$AK$258),""),0)),"")</f>
        <v/>
      </c>
      <c r="AY190" s="283" t="str">
        <f t="shared" si="26"/>
        <v/>
      </c>
    </row>
    <row r="191" spans="2:51" ht="14">
      <c r="B191" s="97">
        <v>182</v>
      </c>
      <c r="C191" s="138"/>
      <c r="D191" s="138"/>
      <c r="E191" s="104"/>
      <c r="F191" s="275" t="str">
        <f>IF(D191="","",VLOOKUP(D191,'G-6 Hedgerow Data'!$B$2:$AG$15,2,FALSE))</f>
        <v/>
      </c>
      <c r="G191" s="276" t="str">
        <f>IF(D191="","",VLOOKUP(D191,'G-6 Hedgerow Data'!$B$2:$AG$15,3,FALSE))</f>
        <v/>
      </c>
      <c r="H191" s="101"/>
      <c r="I191" s="276" t="str">
        <f>IFERROR(IF(AND(D191&lt;&gt;"",H191=""),"Check data ⚠",(IF(H191="","",IF(AND(D191="Non-native and ornamental hedgerow",H191&lt;&gt;"Poor"),"Not possible ▲",(IF(AND(F191="V.Low",OR(H191="Good",H191="Moderate")),"Error ▲",VLOOKUP(H191,'G-1 All Habitats'!$Z$2:$AA$9,2,FALSE))))))),"")</f>
        <v/>
      </c>
      <c r="J191" s="105"/>
      <c r="K191" s="295" t="str">
        <f>IF(AND(J191="",D191&lt;&gt;""),"Check data ⚠",IF(J191="","",IF(VLOOKUP(J191,'G-3 Multipliers'!$L$3:$N$6,2,FALSE)=0,"Spatial Data Missing ⚠",VLOOKUP(J191,'G-3 Multipliers'!$L$3:$N$6,2,FALSE))))</f>
        <v/>
      </c>
      <c r="L191" s="299" t="str">
        <f>IF(J191="","",IF(VLOOKUP(J191,'G-3 Multipliers'!$L$3:$N$6,3,FALSE)=0,"Spatial Data Missing ⚠",VLOOKUP(J191,'G-3 Multipliers'!$L$3:$N$6,3,FALSE)))</f>
        <v/>
      </c>
      <c r="M191" s="336" t="str">
        <f>IF(D191="","",VLOOKUP(D191,'G-6 Hedgerow Data'!$B$1:$AH$15,33,FALSE))</f>
        <v/>
      </c>
      <c r="N191" s="289" t="str">
        <f t="shared" si="20"/>
        <v/>
      </c>
      <c r="O191" s="393"/>
      <c r="P191" s="281" t="str">
        <f>IF(O191="","",IF(VLOOKUP(O191,'G-3 Multipliers'!$S$3:$T$10,2,FALSE)=0,"Spatial Data Missing ⚠",VLOOKUP(O191,'G-3 Multipliers'!$S$3:$T$10,2,FALSE)))</f>
        <v/>
      </c>
      <c r="Q191" s="289" t="str">
        <f t="shared" si="21"/>
        <v/>
      </c>
      <c r="R191" s="32"/>
      <c r="S191" s="101"/>
      <c r="T191" s="108"/>
      <c r="U191" s="283" t="str">
        <f t="shared" si="22"/>
        <v/>
      </c>
      <c r="V191" s="283" t="str">
        <f t="shared" si="23"/>
        <v/>
      </c>
      <c r="W191" s="287" t="str">
        <f t="shared" si="24"/>
        <v/>
      </c>
      <c r="X191" s="291" t="str">
        <f t="shared" si="25"/>
        <v/>
      </c>
      <c r="Y191" s="105"/>
      <c r="Z191" s="104"/>
      <c r="AA191" s="104"/>
      <c r="AB191" s="104"/>
      <c r="AE191" s="30" t="str">
        <f>IFERROR(INDEX('G-6 Hedgerow Data'!$BJ$3:$BJ$15,MATCH(D191,'G-6 Hedgerow Data'!$B$3:$B$15,0)),"")</f>
        <v/>
      </c>
      <c r="AH191" s="107" t="str">
        <f t="shared" si="18"/>
        <v/>
      </c>
      <c r="AI191" s="107" t="str">
        <f t="shared" si="19"/>
        <v/>
      </c>
      <c r="AK191" s="107">
        <v>182</v>
      </c>
      <c r="AM191" s="107" t="str">
        <f t="array" ref="AM191">IFERROR(INDEX($AK$10:$AK$258,MATCH(0,IF(TRUE=$AH$10:$AH$258,COUNTIF($AM$9:$AM190,$AK$10:$AK$258),""),0)),"")</f>
        <v/>
      </c>
      <c r="AN191" s="107" t="str">
        <f t="array" ref="AN191">IFERROR(INDEX($AK$10:$AK$258,MATCH(0,IF(TRUE=$AI$10:$AI$258,COUNTIF($AN$9:$AN190,$AK$10:$AK$258),""),0)),"")</f>
        <v/>
      </c>
      <c r="AY191" s="283" t="str">
        <f t="shared" si="26"/>
        <v/>
      </c>
    </row>
    <row r="192" spans="2:51" ht="14">
      <c r="B192" s="97">
        <v>183</v>
      </c>
      <c r="C192" s="138"/>
      <c r="D192" s="138"/>
      <c r="E192" s="104"/>
      <c r="F192" s="275" t="str">
        <f>IF(D192="","",VLOOKUP(D192,'G-6 Hedgerow Data'!$B$2:$AG$15,2,FALSE))</f>
        <v/>
      </c>
      <c r="G192" s="276" t="str">
        <f>IF(D192="","",VLOOKUP(D192,'G-6 Hedgerow Data'!$B$2:$AG$15,3,FALSE))</f>
        <v/>
      </c>
      <c r="H192" s="101"/>
      <c r="I192" s="276" t="str">
        <f>IFERROR(IF(AND(D192&lt;&gt;"",H192=""),"Check data ⚠",(IF(H192="","",IF(AND(D192="Non-native and ornamental hedgerow",H192&lt;&gt;"Poor"),"Not possible ▲",(IF(AND(F192="V.Low",OR(H192="Good",H192="Moderate")),"Error ▲",VLOOKUP(H192,'G-1 All Habitats'!$Z$2:$AA$9,2,FALSE))))))),"")</f>
        <v/>
      </c>
      <c r="J192" s="105"/>
      <c r="K192" s="295" t="str">
        <f>IF(AND(J192="",D192&lt;&gt;""),"Check data ⚠",IF(J192="","",IF(VLOOKUP(J192,'G-3 Multipliers'!$L$3:$N$6,2,FALSE)=0,"Spatial Data Missing ⚠",VLOOKUP(J192,'G-3 Multipliers'!$L$3:$N$6,2,FALSE))))</f>
        <v/>
      </c>
      <c r="L192" s="299" t="str">
        <f>IF(J192="","",IF(VLOOKUP(J192,'G-3 Multipliers'!$L$3:$N$6,3,FALSE)=0,"Spatial Data Missing ⚠",VLOOKUP(J192,'G-3 Multipliers'!$L$3:$N$6,3,FALSE)))</f>
        <v/>
      </c>
      <c r="M192" s="336" t="str">
        <f>IF(D192="","",VLOOKUP(D192,'G-6 Hedgerow Data'!$B$1:$AH$15,33,FALSE))</f>
        <v/>
      </c>
      <c r="N192" s="289" t="str">
        <f t="shared" si="20"/>
        <v/>
      </c>
      <c r="O192" s="393"/>
      <c r="P192" s="281" t="str">
        <f>IF(O192="","",IF(VLOOKUP(O192,'G-3 Multipliers'!$S$3:$T$10,2,FALSE)=0,"Spatial Data Missing ⚠",VLOOKUP(O192,'G-3 Multipliers'!$S$3:$T$10,2,FALSE)))</f>
        <v/>
      </c>
      <c r="Q192" s="289" t="str">
        <f t="shared" si="21"/>
        <v/>
      </c>
      <c r="R192" s="32"/>
      <c r="S192" s="101"/>
      <c r="T192" s="108"/>
      <c r="U192" s="283" t="str">
        <f t="shared" si="22"/>
        <v/>
      </c>
      <c r="V192" s="283" t="str">
        <f t="shared" si="23"/>
        <v/>
      </c>
      <c r="W192" s="287" t="str">
        <f t="shared" si="24"/>
        <v/>
      </c>
      <c r="X192" s="291" t="str">
        <f t="shared" si="25"/>
        <v/>
      </c>
      <c r="Y192" s="105"/>
      <c r="Z192" s="104"/>
      <c r="AA192" s="104"/>
      <c r="AB192" s="104"/>
      <c r="AE192" s="30" t="str">
        <f>IFERROR(INDEX('G-6 Hedgerow Data'!$BJ$3:$BJ$15,MATCH(D192,'G-6 Hedgerow Data'!$B$3:$B$15,0)),"")</f>
        <v/>
      </c>
      <c r="AH192" s="107" t="str">
        <f t="shared" si="18"/>
        <v/>
      </c>
      <c r="AI192" s="107" t="str">
        <f t="shared" si="19"/>
        <v/>
      </c>
      <c r="AK192" s="107">
        <v>183</v>
      </c>
      <c r="AM192" s="107" t="str">
        <f t="array" ref="AM192">IFERROR(INDEX($AK$10:$AK$258,MATCH(0,IF(TRUE=$AH$10:$AH$258,COUNTIF($AM$9:$AM191,$AK$10:$AK$258),""),0)),"")</f>
        <v/>
      </c>
      <c r="AN192" s="107" t="str">
        <f t="array" ref="AN192">IFERROR(INDEX($AK$10:$AK$258,MATCH(0,IF(TRUE=$AI$10:$AI$258,COUNTIF($AN$9:$AN191,$AK$10:$AK$258),""),0)),"")</f>
        <v/>
      </c>
      <c r="AY192" s="283" t="str">
        <f t="shared" si="26"/>
        <v/>
      </c>
    </row>
    <row r="193" spans="2:51" ht="14">
      <c r="B193" s="97">
        <v>184</v>
      </c>
      <c r="C193" s="138"/>
      <c r="D193" s="138"/>
      <c r="E193" s="104"/>
      <c r="F193" s="275" t="str">
        <f>IF(D193="","",VLOOKUP(D193,'G-6 Hedgerow Data'!$B$2:$AG$15,2,FALSE))</f>
        <v/>
      </c>
      <c r="G193" s="276" t="str">
        <f>IF(D193="","",VLOOKUP(D193,'G-6 Hedgerow Data'!$B$2:$AG$15,3,FALSE))</f>
        <v/>
      </c>
      <c r="H193" s="101"/>
      <c r="I193" s="276" t="str">
        <f>IFERROR(IF(AND(D193&lt;&gt;"",H193=""),"Check data ⚠",(IF(H193="","",IF(AND(D193="Non-native and ornamental hedgerow",H193&lt;&gt;"Poor"),"Not possible ▲",(IF(AND(F193="V.Low",OR(H193="Good",H193="Moderate")),"Error ▲",VLOOKUP(H193,'G-1 All Habitats'!$Z$2:$AA$9,2,FALSE))))))),"")</f>
        <v/>
      </c>
      <c r="J193" s="105"/>
      <c r="K193" s="295" t="str">
        <f>IF(AND(J193="",D193&lt;&gt;""),"Check data ⚠",IF(J193="","",IF(VLOOKUP(J193,'G-3 Multipliers'!$L$3:$N$6,2,FALSE)=0,"Spatial Data Missing ⚠",VLOOKUP(J193,'G-3 Multipliers'!$L$3:$N$6,2,FALSE))))</f>
        <v/>
      </c>
      <c r="L193" s="299" t="str">
        <f>IF(J193="","",IF(VLOOKUP(J193,'G-3 Multipliers'!$L$3:$N$6,3,FALSE)=0,"Spatial Data Missing ⚠",VLOOKUP(J193,'G-3 Multipliers'!$L$3:$N$6,3,FALSE)))</f>
        <v/>
      </c>
      <c r="M193" s="336" t="str">
        <f>IF(D193="","",VLOOKUP(D193,'G-6 Hedgerow Data'!$B$1:$AH$15,33,FALSE))</f>
        <v/>
      </c>
      <c r="N193" s="289" t="str">
        <f t="shared" si="20"/>
        <v/>
      </c>
      <c r="O193" s="393"/>
      <c r="P193" s="281" t="str">
        <f>IF(O193="","",IF(VLOOKUP(O193,'G-3 Multipliers'!$S$3:$T$10,2,FALSE)=0,"Spatial Data Missing ⚠",VLOOKUP(O193,'G-3 Multipliers'!$S$3:$T$10,2,FALSE)))</f>
        <v/>
      </c>
      <c r="Q193" s="289" t="str">
        <f t="shared" si="21"/>
        <v/>
      </c>
      <c r="R193" s="32"/>
      <c r="S193" s="101"/>
      <c r="T193" s="108"/>
      <c r="U193" s="283" t="str">
        <f t="shared" si="22"/>
        <v/>
      </c>
      <c r="V193" s="283" t="str">
        <f t="shared" si="23"/>
        <v/>
      </c>
      <c r="W193" s="287" t="str">
        <f t="shared" si="24"/>
        <v/>
      </c>
      <c r="X193" s="291" t="str">
        <f t="shared" si="25"/>
        <v/>
      </c>
      <c r="Y193" s="105"/>
      <c r="Z193" s="104"/>
      <c r="AA193" s="104"/>
      <c r="AB193" s="104"/>
      <c r="AE193" s="30" t="str">
        <f>IFERROR(INDEX('G-6 Hedgerow Data'!$BJ$3:$BJ$15,MATCH(D193,'G-6 Hedgerow Data'!$B$3:$B$15,0)),"")</f>
        <v/>
      </c>
      <c r="AH193" s="107" t="str">
        <f t="shared" si="18"/>
        <v/>
      </c>
      <c r="AI193" s="107" t="str">
        <f t="shared" si="19"/>
        <v/>
      </c>
      <c r="AK193" s="107">
        <v>184</v>
      </c>
      <c r="AM193" s="107" t="str">
        <f t="array" ref="AM193">IFERROR(INDEX($AK$10:$AK$258,MATCH(0,IF(TRUE=$AH$10:$AH$258,COUNTIF($AM$9:$AM192,$AK$10:$AK$258),""),0)),"")</f>
        <v/>
      </c>
      <c r="AN193" s="107" t="str">
        <f t="array" ref="AN193">IFERROR(INDEX($AK$10:$AK$258,MATCH(0,IF(TRUE=$AI$10:$AI$258,COUNTIF($AN$9:$AN192,$AK$10:$AK$258),""),0)),"")</f>
        <v/>
      </c>
      <c r="AY193" s="283" t="str">
        <f t="shared" si="26"/>
        <v/>
      </c>
    </row>
    <row r="194" spans="2:51" ht="14">
      <c r="B194" s="97">
        <v>185</v>
      </c>
      <c r="C194" s="138"/>
      <c r="D194" s="138"/>
      <c r="E194" s="104"/>
      <c r="F194" s="275" t="str">
        <f>IF(D194="","",VLOOKUP(D194,'G-6 Hedgerow Data'!$B$2:$AG$15,2,FALSE))</f>
        <v/>
      </c>
      <c r="G194" s="276" t="str">
        <f>IF(D194="","",VLOOKUP(D194,'G-6 Hedgerow Data'!$B$2:$AG$15,3,FALSE))</f>
        <v/>
      </c>
      <c r="H194" s="101"/>
      <c r="I194" s="276" t="str">
        <f>IFERROR(IF(AND(D194&lt;&gt;"",H194=""),"Check data ⚠",(IF(H194="","",IF(AND(D194="Non-native and ornamental hedgerow",H194&lt;&gt;"Poor"),"Not possible ▲",(IF(AND(F194="V.Low",OR(H194="Good",H194="Moderate")),"Error ▲",VLOOKUP(H194,'G-1 All Habitats'!$Z$2:$AA$9,2,FALSE))))))),"")</f>
        <v/>
      </c>
      <c r="J194" s="105"/>
      <c r="K194" s="295" t="str">
        <f>IF(AND(J194="",D194&lt;&gt;""),"Check data ⚠",IF(J194="","",IF(VLOOKUP(J194,'G-3 Multipliers'!$L$3:$N$6,2,FALSE)=0,"Spatial Data Missing ⚠",VLOOKUP(J194,'G-3 Multipliers'!$L$3:$N$6,2,FALSE))))</f>
        <v/>
      </c>
      <c r="L194" s="299" t="str">
        <f>IF(J194="","",IF(VLOOKUP(J194,'G-3 Multipliers'!$L$3:$N$6,3,FALSE)=0,"Spatial Data Missing ⚠",VLOOKUP(J194,'G-3 Multipliers'!$L$3:$N$6,3,FALSE)))</f>
        <v/>
      </c>
      <c r="M194" s="336" t="str">
        <f>IF(D194="","",VLOOKUP(D194,'G-6 Hedgerow Data'!$B$1:$AH$15,33,FALSE))</f>
        <v/>
      </c>
      <c r="N194" s="289" t="str">
        <f t="shared" si="20"/>
        <v/>
      </c>
      <c r="O194" s="393"/>
      <c r="P194" s="281" t="str">
        <f>IF(O194="","",IF(VLOOKUP(O194,'G-3 Multipliers'!$S$3:$T$10,2,FALSE)=0,"Spatial Data Missing ⚠",VLOOKUP(O194,'G-3 Multipliers'!$S$3:$T$10,2,FALSE)))</f>
        <v/>
      </c>
      <c r="Q194" s="289" t="str">
        <f t="shared" si="21"/>
        <v/>
      </c>
      <c r="R194" s="32"/>
      <c r="S194" s="101"/>
      <c r="T194" s="108"/>
      <c r="U194" s="283" t="str">
        <f t="shared" si="22"/>
        <v/>
      </c>
      <c r="V194" s="283" t="str">
        <f t="shared" si="23"/>
        <v/>
      </c>
      <c r="W194" s="287" t="str">
        <f t="shared" si="24"/>
        <v/>
      </c>
      <c r="X194" s="291" t="str">
        <f t="shared" si="25"/>
        <v/>
      </c>
      <c r="Y194" s="105"/>
      <c r="Z194" s="104"/>
      <c r="AA194" s="104"/>
      <c r="AB194" s="104"/>
      <c r="AE194" s="30" t="str">
        <f>IFERROR(INDEX('G-6 Hedgerow Data'!$BJ$3:$BJ$15,MATCH(D194,'G-6 Hedgerow Data'!$B$3:$B$15,0)),"")</f>
        <v/>
      </c>
      <c r="AH194" s="107" t="str">
        <f t="shared" si="18"/>
        <v/>
      </c>
      <c r="AI194" s="107" t="str">
        <f t="shared" si="19"/>
        <v/>
      </c>
      <c r="AK194" s="107">
        <v>185</v>
      </c>
      <c r="AM194" s="107" t="str">
        <f t="array" ref="AM194">IFERROR(INDEX($AK$10:$AK$258,MATCH(0,IF(TRUE=$AH$10:$AH$258,COUNTIF($AM$9:$AM193,$AK$10:$AK$258),""),0)),"")</f>
        <v/>
      </c>
      <c r="AN194" s="107" t="str">
        <f t="array" ref="AN194">IFERROR(INDEX($AK$10:$AK$258,MATCH(0,IF(TRUE=$AI$10:$AI$258,COUNTIF($AN$9:$AN193,$AK$10:$AK$258),""),0)),"")</f>
        <v/>
      </c>
      <c r="AY194" s="283" t="str">
        <f t="shared" si="26"/>
        <v/>
      </c>
    </row>
    <row r="195" spans="2:51" ht="14">
      <c r="B195" s="97">
        <v>186</v>
      </c>
      <c r="C195" s="138"/>
      <c r="D195" s="138"/>
      <c r="E195" s="104"/>
      <c r="F195" s="275" t="str">
        <f>IF(D195="","",VLOOKUP(D195,'G-6 Hedgerow Data'!$B$2:$AG$15,2,FALSE))</f>
        <v/>
      </c>
      <c r="G195" s="276" t="str">
        <f>IF(D195="","",VLOOKUP(D195,'G-6 Hedgerow Data'!$B$2:$AG$15,3,FALSE))</f>
        <v/>
      </c>
      <c r="H195" s="101"/>
      <c r="I195" s="276" t="str">
        <f>IFERROR(IF(AND(D195&lt;&gt;"",H195=""),"Check data ⚠",(IF(H195="","",IF(AND(D195="Non-native and ornamental hedgerow",H195&lt;&gt;"Poor"),"Not possible ▲",(IF(AND(F195="V.Low",OR(H195="Good",H195="Moderate")),"Error ▲",VLOOKUP(H195,'G-1 All Habitats'!$Z$2:$AA$9,2,FALSE))))))),"")</f>
        <v/>
      </c>
      <c r="J195" s="105"/>
      <c r="K195" s="295" t="str">
        <f>IF(AND(J195="",D195&lt;&gt;""),"Check data ⚠",IF(J195="","",IF(VLOOKUP(J195,'G-3 Multipliers'!$L$3:$N$6,2,FALSE)=0,"Spatial Data Missing ⚠",VLOOKUP(J195,'G-3 Multipliers'!$L$3:$N$6,2,FALSE))))</f>
        <v/>
      </c>
      <c r="L195" s="299" t="str">
        <f>IF(J195="","",IF(VLOOKUP(J195,'G-3 Multipliers'!$L$3:$N$6,3,FALSE)=0,"Spatial Data Missing ⚠",VLOOKUP(J195,'G-3 Multipliers'!$L$3:$N$6,3,FALSE)))</f>
        <v/>
      </c>
      <c r="M195" s="336" t="str">
        <f>IF(D195="","",VLOOKUP(D195,'G-6 Hedgerow Data'!$B$1:$AH$15,33,FALSE))</f>
        <v/>
      </c>
      <c r="N195" s="289" t="str">
        <f t="shared" si="20"/>
        <v/>
      </c>
      <c r="O195" s="393"/>
      <c r="P195" s="281" t="str">
        <f>IF(O195="","",IF(VLOOKUP(O195,'G-3 Multipliers'!$S$3:$T$10,2,FALSE)=0,"Spatial Data Missing ⚠",VLOOKUP(O195,'G-3 Multipliers'!$S$3:$T$10,2,FALSE)))</f>
        <v/>
      </c>
      <c r="Q195" s="289" t="str">
        <f t="shared" si="21"/>
        <v/>
      </c>
      <c r="R195" s="32"/>
      <c r="S195" s="101"/>
      <c r="T195" s="108"/>
      <c r="U195" s="283" t="str">
        <f t="shared" si="22"/>
        <v/>
      </c>
      <c r="V195" s="283" t="str">
        <f t="shared" si="23"/>
        <v/>
      </c>
      <c r="W195" s="287" t="str">
        <f t="shared" si="24"/>
        <v/>
      </c>
      <c r="X195" s="291" t="str">
        <f t="shared" si="25"/>
        <v/>
      </c>
      <c r="Y195" s="105"/>
      <c r="Z195" s="104"/>
      <c r="AA195" s="104"/>
      <c r="AB195" s="104"/>
      <c r="AE195" s="30" t="str">
        <f>IFERROR(INDEX('G-6 Hedgerow Data'!$BJ$3:$BJ$15,MATCH(D195,'G-6 Hedgerow Data'!$B$3:$B$15,0)),"")</f>
        <v/>
      </c>
      <c r="AH195" s="107" t="str">
        <f t="shared" si="18"/>
        <v/>
      </c>
      <c r="AI195" s="107" t="str">
        <f t="shared" si="19"/>
        <v/>
      </c>
      <c r="AK195" s="107">
        <v>186</v>
      </c>
      <c r="AM195" s="107" t="str">
        <f t="array" ref="AM195">IFERROR(INDEX($AK$10:$AK$258,MATCH(0,IF(TRUE=$AH$10:$AH$258,COUNTIF($AM$9:$AM194,$AK$10:$AK$258),""),0)),"")</f>
        <v/>
      </c>
      <c r="AN195" s="107" t="str">
        <f t="array" ref="AN195">IFERROR(INDEX($AK$10:$AK$258,MATCH(0,IF(TRUE=$AI$10:$AI$258,COUNTIF($AN$9:$AN194,$AK$10:$AK$258),""),0)),"")</f>
        <v/>
      </c>
      <c r="AY195" s="283" t="str">
        <f t="shared" si="26"/>
        <v/>
      </c>
    </row>
    <row r="196" spans="2:51" ht="14">
      <c r="B196" s="97">
        <v>187</v>
      </c>
      <c r="C196" s="138"/>
      <c r="D196" s="138"/>
      <c r="E196" s="104"/>
      <c r="F196" s="275" t="str">
        <f>IF(D196="","",VLOOKUP(D196,'G-6 Hedgerow Data'!$B$2:$AG$15,2,FALSE))</f>
        <v/>
      </c>
      <c r="G196" s="276" t="str">
        <f>IF(D196="","",VLOOKUP(D196,'G-6 Hedgerow Data'!$B$2:$AG$15,3,FALSE))</f>
        <v/>
      </c>
      <c r="H196" s="101"/>
      <c r="I196" s="276" t="str">
        <f>IFERROR(IF(AND(D196&lt;&gt;"",H196=""),"Check data ⚠",(IF(H196="","",IF(AND(D196="Non-native and ornamental hedgerow",H196&lt;&gt;"Poor"),"Not possible ▲",(IF(AND(F196="V.Low",OR(H196="Good",H196="Moderate")),"Error ▲",VLOOKUP(H196,'G-1 All Habitats'!$Z$2:$AA$9,2,FALSE))))))),"")</f>
        <v/>
      </c>
      <c r="J196" s="105"/>
      <c r="K196" s="295" t="str">
        <f>IF(AND(J196="",D196&lt;&gt;""),"Check data ⚠",IF(J196="","",IF(VLOOKUP(J196,'G-3 Multipliers'!$L$3:$N$6,2,FALSE)=0,"Spatial Data Missing ⚠",VLOOKUP(J196,'G-3 Multipliers'!$L$3:$N$6,2,FALSE))))</f>
        <v/>
      </c>
      <c r="L196" s="299" t="str">
        <f>IF(J196="","",IF(VLOOKUP(J196,'G-3 Multipliers'!$L$3:$N$6,3,FALSE)=0,"Spatial Data Missing ⚠",VLOOKUP(J196,'G-3 Multipliers'!$L$3:$N$6,3,FALSE)))</f>
        <v/>
      </c>
      <c r="M196" s="336" t="str">
        <f>IF(D196="","",VLOOKUP(D196,'G-6 Hedgerow Data'!$B$1:$AH$15,33,FALSE))</f>
        <v/>
      </c>
      <c r="N196" s="289" t="str">
        <f t="shared" si="20"/>
        <v/>
      </c>
      <c r="O196" s="393"/>
      <c r="P196" s="281" t="str">
        <f>IF(O196="","",IF(VLOOKUP(O196,'G-3 Multipliers'!$S$3:$T$10,2,FALSE)=0,"Spatial Data Missing ⚠",VLOOKUP(O196,'G-3 Multipliers'!$S$3:$T$10,2,FALSE)))</f>
        <v/>
      </c>
      <c r="Q196" s="289" t="str">
        <f t="shared" si="21"/>
        <v/>
      </c>
      <c r="R196" s="32"/>
      <c r="S196" s="101"/>
      <c r="T196" s="108"/>
      <c r="U196" s="283" t="str">
        <f t="shared" si="22"/>
        <v/>
      </c>
      <c r="V196" s="283" t="str">
        <f t="shared" si="23"/>
        <v/>
      </c>
      <c r="W196" s="287" t="str">
        <f t="shared" si="24"/>
        <v/>
      </c>
      <c r="X196" s="291" t="str">
        <f t="shared" si="25"/>
        <v/>
      </c>
      <c r="Y196" s="105"/>
      <c r="Z196" s="104"/>
      <c r="AA196" s="104"/>
      <c r="AB196" s="104"/>
      <c r="AE196" s="30" t="str">
        <f>IFERROR(INDEX('G-6 Hedgerow Data'!$BJ$3:$BJ$15,MATCH(D196,'G-6 Hedgerow Data'!$B$3:$B$15,0)),"")</f>
        <v/>
      </c>
      <c r="AH196" s="107" t="str">
        <f t="shared" si="18"/>
        <v/>
      </c>
      <c r="AI196" s="107" t="str">
        <f t="shared" si="19"/>
        <v/>
      </c>
      <c r="AK196" s="107">
        <v>187</v>
      </c>
      <c r="AM196" s="107" t="str">
        <f t="array" ref="AM196">IFERROR(INDEX($AK$10:$AK$258,MATCH(0,IF(TRUE=$AH$10:$AH$258,COUNTIF($AM$9:$AM195,$AK$10:$AK$258),""),0)),"")</f>
        <v/>
      </c>
      <c r="AN196" s="107" t="str">
        <f t="array" ref="AN196">IFERROR(INDEX($AK$10:$AK$258,MATCH(0,IF(TRUE=$AI$10:$AI$258,COUNTIF($AN$9:$AN195,$AK$10:$AK$258),""),0)),"")</f>
        <v/>
      </c>
      <c r="AY196" s="283" t="str">
        <f t="shared" si="26"/>
        <v/>
      </c>
    </row>
    <row r="197" spans="2:51" ht="14">
      <c r="B197" s="97">
        <v>188</v>
      </c>
      <c r="C197" s="138"/>
      <c r="D197" s="138"/>
      <c r="E197" s="104"/>
      <c r="F197" s="275" t="str">
        <f>IF(D197="","",VLOOKUP(D197,'G-6 Hedgerow Data'!$B$2:$AG$15,2,FALSE))</f>
        <v/>
      </c>
      <c r="G197" s="276" t="str">
        <f>IF(D197="","",VLOOKUP(D197,'G-6 Hedgerow Data'!$B$2:$AG$15,3,FALSE))</f>
        <v/>
      </c>
      <c r="H197" s="101"/>
      <c r="I197" s="276" t="str">
        <f>IFERROR(IF(AND(D197&lt;&gt;"",H197=""),"Check data ⚠",(IF(H197="","",IF(AND(D197="Non-native and ornamental hedgerow",H197&lt;&gt;"Poor"),"Not possible ▲",(IF(AND(F197="V.Low",OR(H197="Good",H197="Moderate")),"Error ▲",VLOOKUP(H197,'G-1 All Habitats'!$Z$2:$AA$9,2,FALSE))))))),"")</f>
        <v/>
      </c>
      <c r="J197" s="105"/>
      <c r="K197" s="295" t="str">
        <f>IF(AND(J197="",D197&lt;&gt;""),"Check data ⚠",IF(J197="","",IF(VLOOKUP(J197,'G-3 Multipliers'!$L$3:$N$6,2,FALSE)=0,"Spatial Data Missing ⚠",VLOOKUP(J197,'G-3 Multipliers'!$L$3:$N$6,2,FALSE))))</f>
        <v/>
      </c>
      <c r="L197" s="299" t="str">
        <f>IF(J197="","",IF(VLOOKUP(J197,'G-3 Multipliers'!$L$3:$N$6,3,FALSE)=0,"Spatial Data Missing ⚠",VLOOKUP(J197,'G-3 Multipliers'!$L$3:$N$6,3,FALSE)))</f>
        <v/>
      </c>
      <c r="M197" s="336" t="str">
        <f>IF(D197="","",VLOOKUP(D197,'G-6 Hedgerow Data'!$B$1:$AH$15,33,FALSE))</f>
        <v/>
      </c>
      <c r="N197" s="289" t="str">
        <f t="shared" si="20"/>
        <v/>
      </c>
      <c r="O197" s="393"/>
      <c r="P197" s="281" t="str">
        <f>IF(O197="","",IF(VLOOKUP(O197,'G-3 Multipliers'!$S$3:$T$10,2,FALSE)=0,"Spatial Data Missing ⚠",VLOOKUP(O197,'G-3 Multipliers'!$S$3:$T$10,2,FALSE)))</f>
        <v/>
      </c>
      <c r="Q197" s="289" t="str">
        <f t="shared" si="21"/>
        <v/>
      </c>
      <c r="R197" s="32"/>
      <c r="S197" s="101"/>
      <c r="T197" s="108"/>
      <c r="U197" s="283" t="str">
        <f t="shared" si="22"/>
        <v/>
      </c>
      <c r="V197" s="283" t="str">
        <f t="shared" si="23"/>
        <v/>
      </c>
      <c r="W197" s="287" t="str">
        <f t="shared" si="24"/>
        <v/>
      </c>
      <c r="X197" s="291" t="str">
        <f t="shared" si="25"/>
        <v/>
      </c>
      <c r="Y197" s="105"/>
      <c r="Z197" s="104"/>
      <c r="AA197" s="104"/>
      <c r="AB197" s="104"/>
      <c r="AE197" s="30" t="str">
        <f>IFERROR(INDEX('G-6 Hedgerow Data'!$BJ$3:$BJ$15,MATCH(D197,'G-6 Hedgerow Data'!$B$3:$B$15,0)),"")</f>
        <v/>
      </c>
      <c r="AH197" s="107" t="str">
        <f t="shared" si="18"/>
        <v/>
      </c>
      <c r="AI197" s="107" t="str">
        <f t="shared" si="19"/>
        <v/>
      </c>
      <c r="AK197" s="107">
        <v>188</v>
      </c>
      <c r="AM197" s="107" t="str">
        <f t="array" ref="AM197">IFERROR(INDEX($AK$10:$AK$258,MATCH(0,IF(TRUE=$AH$10:$AH$258,COUNTIF($AM$9:$AM196,$AK$10:$AK$258),""),0)),"")</f>
        <v/>
      </c>
      <c r="AN197" s="107" t="str">
        <f t="array" ref="AN197">IFERROR(INDEX($AK$10:$AK$258,MATCH(0,IF(TRUE=$AI$10:$AI$258,COUNTIF($AN$9:$AN196,$AK$10:$AK$258),""),0)),"")</f>
        <v/>
      </c>
      <c r="AY197" s="283" t="str">
        <f t="shared" si="26"/>
        <v/>
      </c>
    </row>
    <row r="198" spans="2:51" ht="14">
      <c r="B198" s="97">
        <v>189</v>
      </c>
      <c r="C198" s="138"/>
      <c r="D198" s="138"/>
      <c r="E198" s="104"/>
      <c r="F198" s="275" t="str">
        <f>IF(D198="","",VLOOKUP(D198,'G-6 Hedgerow Data'!$B$2:$AG$15,2,FALSE))</f>
        <v/>
      </c>
      <c r="G198" s="276" t="str">
        <f>IF(D198="","",VLOOKUP(D198,'G-6 Hedgerow Data'!$B$2:$AG$15,3,FALSE))</f>
        <v/>
      </c>
      <c r="H198" s="101"/>
      <c r="I198" s="276" t="str">
        <f>IFERROR(IF(AND(D198&lt;&gt;"",H198=""),"Check data ⚠",(IF(H198="","",IF(AND(D198="Non-native and ornamental hedgerow",H198&lt;&gt;"Poor"),"Not possible ▲",(IF(AND(F198="V.Low",OR(H198="Good",H198="Moderate")),"Error ▲",VLOOKUP(H198,'G-1 All Habitats'!$Z$2:$AA$9,2,FALSE))))))),"")</f>
        <v/>
      </c>
      <c r="J198" s="105"/>
      <c r="K198" s="295" t="str">
        <f>IF(AND(J198="",D198&lt;&gt;""),"Check data ⚠",IF(J198="","",IF(VLOOKUP(J198,'G-3 Multipliers'!$L$3:$N$6,2,FALSE)=0,"Spatial Data Missing ⚠",VLOOKUP(J198,'G-3 Multipliers'!$L$3:$N$6,2,FALSE))))</f>
        <v/>
      </c>
      <c r="L198" s="299" t="str">
        <f>IF(J198="","",IF(VLOOKUP(J198,'G-3 Multipliers'!$L$3:$N$6,3,FALSE)=0,"Spatial Data Missing ⚠",VLOOKUP(J198,'G-3 Multipliers'!$L$3:$N$6,3,FALSE)))</f>
        <v/>
      </c>
      <c r="M198" s="336" t="str">
        <f>IF(D198="","",VLOOKUP(D198,'G-6 Hedgerow Data'!$B$1:$AH$15,33,FALSE))</f>
        <v/>
      </c>
      <c r="N198" s="289" t="str">
        <f t="shared" si="20"/>
        <v/>
      </c>
      <c r="O198" s="393"/>
      <c r="P198" s="281" t="str">
        <f>IF(O198="","",IF(VLOOKUP(O198,'G-3 Multipliers'!$S$3:$T$10,2,FALSE)=0,"Spatial Data Missing ⚠",VLOOKUP(O198,'G-3 Multipliers'!$S$3:$T$10,2,FALSE)))</f>
        <v/>
      </c>
      <c r="Q198" s="289" t="str">
        <f t="shared" si="21"/>
        <v/>
      </c>
      <c r="R198" s="32"/>
      <c r="S198" s="101"/>
      <c r="T198" s="108"/>
      <c r="U198" s="283" t="str">
        <f t="shared" si="22"/>
        <v/>
      </c>
      <c r="V198" s="283" t="str">
        <f t="shared" si="23"/>
        <v/>
      </c>
      <c r="W198" s="287" t="str">
        <f t="shared" si="24"/>
        <v/>
      </c>
      <c r="X198" s="291" t="str">
        <f t="shared" si="25"/>
        <v/>
      </c>
      <c r="Y198" s="105"/>
      <c r="Z198" s="104"/>
      <c r="AA198" s="104"/>
      <c r="AB198" s="104"/>
      <c r="AE198" s="30" t="str">
        <f>IFERROR(INDEX('G-6 Hedgerow Data'!$BJ$3:$BJ$15,MATCH(D198,'G-6 Hedgerow Data'!$B$3:$B$15,0)),"")</f>
        <v/>
      </c>
      <c r="AH198" s="107" t="str">
        <f t="shared" si="18"/>
        <v/>
      </c>
      <c r="AI198" s="107" t="str">
        <f t="shared" si="19"/>
        <v/>
      </c>
      <c r="AK198" s="107">
        <v>189</v>
      </c>
      <c r="AM198" s="107" t="str">
        <f t="array" ref="AM198">IFERROR(INDEX($AK$10:$AK$258,MATCH(0,IF(TRUE=$AH$10:$AH$258,COUNTIF($AM$9:$AM197,$AK$10:$AK$258),""),0)),"")</f>
        <v/>
      </c>
      <c r="AN198" s="107" t="str">
        <f t="array" ref="AN198">IFERROR(INDEX($AK$10:$AK$258,MATCH(0,IF(TRUE=$AI$10:$AI$258,COUNTIF($AN$9:$AN197,$AK$10:$AK$258),""),0)),"")</f>
        <v/>
      </c>
      <c r="AY198" s="283" t="str">
        <f t="shared" si="26"/>
        <v/>
      </c>
    </row>
    <row r="199" spans="2:51" ht="14">
      <c r="B199" s="97">
        <v>190</v>
      </c>
      <c r="C199" s="138"/>
      <c r="D199" s="138"/>
      <c r="E199" s="104"/>
      <c r="F199" s="275" t="str">
        <f>IF(D199="","",VLOOKUP(D199,'G-6 Hedgerow Data'!$B$2:$AG$15,2,FALSE))</f>
        <v/>
      </c>
      <c r="G199" s="276" t="str">
        <f>IF(D199="","",VLOOKUP(D199,'G-6 Hedgerow Data'!$B$2:$AG$15,3,FALSE))</f>
        <v/>
      </c>
      <c r="H199" s="101"/>
      <c r="I199" s="276" t="str">
        <f>IFERROR(IF(AND(D199&lt;&gt;"",H199=""),"Check data ⚠",(IF(H199="","",IF(AND(D199="Non-native and ornamental hedgerow",H199&lt;&gt;"Poor"),"Not possible ▲",(IF(AND(F199="V.Low",OR(H199="Good",H199="Moderate")),"Error ▲",VLOOKUP(H199,'G-1 All Habitats'!$Z$2:$AA$9,2,FALSE))))))),"")</f>
        <v/>
      </c>
      <c r="J199" s="105"/>
      <c r="K199" s="295" t="str">
        <f>IF(AND(J199="",D199&lt;&gt;""),"Check data ⚠",IF(J199="","",IF(VLOOKUP(J199,'G-3 Multipliers'!$L$3:$N$6,2,FALSE)=0,"Spatial Data Missing ⚠",VLOOKUP(J199,'G-3 Multipliers'!$L$3:$N$6,2,FALSE))))</f>
        <v/>
      </c>
      <c r="L199" s="299" t="str">
        <f>IF(J199="","",IF(VLOOKUP(J199,'G-3 Multipliers'!$L$3:$N$6,3,FALSE)=0,"Spatial Data Missing ⚠",VLOOKUP(J199,'G-3 Multipliers'!$L$3:$N$6,3,FALSE)))</f>
        <v/>
      </c>
      <c r="M199" s="336" t="str">
        <f>IF(D199="","",VLOOKUP(D199,'G-6 Hedgerow Data'!$B$1:$AH$15,33,FALSE))</f>
        <v/>
      </c>
      <c r="N199" s="289" t="str">
        <f t="shared" si="20"/>
        <v/>
      </c>
      <c r="O199" s="393"/>
      <c r="P199" s="281" t="str">
        <f>IF(O199="","",IF(VLOOKUP(O199,'G-3 Multipliers'!$S$3:$T$10,2,FALSE)=0,"Spatial Data Missing ⚠",VLOOKUP(O199,'G-3 Multipliers'!$S$3:$T$10,2,FALSE)))</f>
        <v/>
      </c>
      <c r="Q199" s="289" t="str">
        <f t="shared" si="21"/>
        <v/>
      </c>
      <c r="R199" s="32"/>
      <c r="S199" s="101"/>
      <c r="T199" s="108"/>
      <c r="U199" s="283" t="str">
        <f t="shared" si="22"/>
        <v/>
      </c>
      <c r="V199" s="283" t="str">
        <f t="shared" si="23"/>
        <v/>
      </c>
      <c r="W199" s="287" t="str">
        <f t="shared" si="24"/>
        <v/>
      </c>
      <c r="X199" s="291" t="str">
        <f t="shared" si="25"/>
        <v/>
      </c>
      <c r="Y199" s="105"/>
      <c r="Z199" s="104"/>
      <c r="AA199" s="104"/>
      <c r="AB199" s="104"/>
      <c r="AE199" s="30" t="str">
        <f>IFERROR(INDEX('G-6 Hedgerow Data'!$BJ$3:$BJ$15,MATCH(D199,'G-6 Hedgerow Data'!$B$3:$B$15,0)),"")</f>
        <v/>
      </c>
      <c r="AH199" s="107" t="str">
        <f t="shared" si="18"/>
        <v/>
      </c>
      <c r="AI199" s="107" t="str">
        <f t="shared" si="19"/>
        <v/>
      </c>
      <c r="AK199" s="107">
        <v>190</v>
      </c>
      <c r="AM199" s="107" t="str">
        <f t="array" ref="AM199">IFERROR(INDEX($AK$10:$AK$258,MATCH(0,IF(TRUE=$AH$10:$AH$258,COUNTIF($AM$9:$AM198,$AK$10:$AK$258),""),0)),"")</f>
        <v/>
      </c>
      <c r="AN199" s="107" t="str">
        <f t="array" ref="AN199">IFERROR(INDEX($AK$10:$AK$258,MATCH(0,IF(TRUE=$AI$10:$AI$258,COUNTIF($AN$9:$AN198,$AK$10:$AK$258),""),0)),"")</f>
        <v/>
      </c>
      <c r="AY199" s="283" t="str">
        <f t="shared" si="26"/>
        <v/>
      </c>
    </row>
    <row r="200" spans="2:51" ht="14">
      <c r="B200" s="97">
        <v>191</v>
      </c>
      <c r="C200" s="138"/>
      <c r="D200" s="138"/>
      <c r="E200" s="104"/>
      <c r="F200" s="275" t="str">
        <f>IF(D200="","",VLOOKUP(D200,'G-6 Hedgerow Data'!$B$2:$AG$15,2,FALSE))</f>
        <v/>
      </c>
      <c r="G200" s="276" t="str">
        <f>IF(D200="","",VLOOKUP(D200,'G-6 Hedgerow Data'!$B$2:$AG$15,3,FALSE))</f>
        <v/>
      </c>
      <c r="H200" s="101"/>
      <c r="I200" s="276" t="str">
        <f>IFERROR(IF(AND(D200&lt;&gt;"",H200=""),"Check data ⚠",(IF(H200="","",IF(AND(D200="Non-native and ornamental hedgerow",H200&lt;&gt;"Poor"),"Not possible ▲",(IF(AND(F200="V.Low",OR(H200="Good",H200="Moderate")),"Error ▲",VLOOKUP(H200,'G-1 All Habitats'!$Z$2:$AA$9,2,FALSE))))))),"")</f>
        <v/>
      </c>
      <c r="J200" s="105"/>
      <c r="K200" s="295" t="str">
        <f>IF(AND(J200="",D200&lt;&gt;""),"Check data ⚠",IF(J200="","",IF(VLOOKUP(J200,'G-3 Multipliers'!$L$3:$N$6,2,FALSE)=0,"Spatial Data Missing ⚠",VLOOKUP(J200,'G-3 Multipliers'!$L$3:$N$6,2,FALSE))))</f>
        <v/>
      </c>
      <c r="L200" s="299" t="str">
        <f>IF(J200="","",IF(VLOOKUP(J200,'G-3 Multipliers'!$L$3:$N$6,3,FALSE)=0,"Spatial Data Missing ⚠",VLOOKUP(J200,'G-3 Multipliers'!$L$3:$N$6,3,FALSE)))</f>
        <v/>
      </c>
      <c r="M200" s="336" t="str">
        <f>IF(D200="","",VLOOKUP(D200,'G-6 Hedgerow Data'!$B$1:$AH$15,33,FALSE))</f>
        <v/>
      </c>
      <c r="N200" s="289" t="str">
        <f t="shared" si="20"/>
        <v/>
      </c>
      <c r="O200" s="393"/>
      <c r="P200" s="281" t="str">
        <f>IF(O200="","",IF(VLOOKUP(O200,'G-3 Multipliers'!$S$3:$T$10,2,FALSE)=0,"Spatial Data Missing ⚠",VLOOKUP(O200,'G-3 Multipliers'!$S$3:$T$10,2,FALSE)))</f>
        <v/>
      </c>
      <c r="Q200" s="289" t="str">
        <f t="shared" si="21"/>
        <v/>
      </c>
      <c r="R200" s="32"/>
      <c r="S200" s="101"/>
      <c r="T200" s="108"/>
      <c r="U200" s="283" t="str">
        <f t="shared" si="22"/>
        <v/>
      </c>
      <c r="V200" s="283" t="str">
        <f t="shared" si="23"/>
        <v/>
      </c>
      <c r="W200" s="287" t="str">
        <f t="shared" si="24"/>
        <v/>
      </c>
      <c r="X200" s="291" t="str">
        <f t="shared" si="25"/>
        <v/>
      </c>
      <c r="Y200" s="105"/>
      <c r="Z200" s="104"/>
      <c r="AA200" s="104"/>
      <c r="AB200" s="104"/>
      <c r="AE200" s="30" t="str">
        <f>IFERROR(INDEX('G-6 Hedgerow Data'!$BJ$3:$BJ$15,MATCH(D200,'G-6 Hedgerow Data'!$B$3:$B$15,0)),"")</f>
        <v/>
      </c>
      <c r="AH200" s="107" t="str">
        <f t="shared" si="18"/>
        <v/>
      </c>
      <c r="AI200" s="107" t="str">
        <f t="shared" si="19"/>
        <v/>
      </c>
      <c r="AK200" s="107">
        <v>191</v>
      </c>
      <c r="AM200" s="107" t="str">
        <f t="array" ref="AM200">IFERROR(INDEX($AK$10:$AK$258,MATCH(0,IF(TRUE=$AH$10:$AH$258,COUNTIF($AM$9:$AM199,$AK$10:$AK$258),""),0)),"")</f>
        <v/>
      </c>
      <c r="AN200" s="107" t="str">
        <f t="array" ref="AN200">IFERROR(INDEX($AK$10:$AK$258,MATCH(0,IF(TRUE=$AI$10:$AI$258,COUNTIF($AN$9:$AN199,$AK$10:$AK$258),""),0)),"")</f>
        <v/>
      </c>
      <c r="AY200" s="283" t="str">
        <f t="shared" si="26"/>
        <v/>
      </c>
    </row>
    <row r="201" spans="2:51" ht="14">
      <c r="B201" s="97">
        <v>192</v>
      </c>
      <c r="C201" s="138"/>
      <c r="D201" s="138"/>
      <c r="E201" s="104"/>
      <c r="F201" s="275" t="str">
        <f>IF(D201="","",VLOOKUP(D201,'G-6 Hedgerow Data'!$B$2:$AG$15,2,FALSE))</f>
        <v/>
      </c>
      <c r="G201" s="276" t="str">
        <f>IF(D201="","",VLOOKUP(D201,'G-6 Hedgerow Data'!$B$2:$AG$15,3,FALSE))</f>
        <v/>
      </c>
      <c r="H201" s="101"/>
      <c r="I201" s="276" t="str">
        <f>IFERROR(IF(AND(D201&lt;&gt;"",H201=""),"Check data ⚠",(IF(H201="","",IF(AND(D201="Non-native and ornamental hedgerow",H201&lt;&gt;"Poor"),"Not possible ▲",(IF(AND(F201="V.Low",OR(H201="Good",H201="Moderate")),"Error ▲",VLOOKUP(H201,'G-1 All Habitats'!$Z$2:$AA$9,2,FALSE))))))),"")</f>
        <v/>
      </c>
      <c r="J201" s="105"/>
      <c r="K201" s="295" t="str">
        <f>IF(AND(J201="",D201&lt;&gt;""),"Check data ⚠",IF(J201="","",IF(VLOOKUP(J201,'G-3 Multipliers'!$L$3:$N$6,2,FALSE)=0,"Spatial Data Missing ⚠",VLOOKUP(J201,'G-3 Multipliers'!$L$3:$N$6,2,FALSE))))</f>
        <v/>
      </c>
      <c r="L201" s="299" t="str">
        <f>IF(J201="","",IF(VLOOKUP(J201,'G-3 Multipliers'!$L$3:$N$6,3,FALSE)=0,"Spatial Data Missing ⚠",VLOOKUP(J201,'G-3 Multipliers'!$L$3:$N$6,3,FALSE)))</f>
        <v/>
      </c>
      <c r="M201" s="336" t="str">
        <f>IF(D201="","",VLOOKUP(D201,'G-6 Hedgerow Data'!$B$1:$AH$15,33,FALSE))</f>
        <v/>
      </c>
      <c r="N201" s="289" t="str">
        <f t="shared" si="20"/>
        <v/>
      </c>
      <c r="O201" s="393"/>
      <c r="P201" s="281" t="str">
        <f>IF(O201="","",IF(VLOOKUP(O201,'G-3 Multipliers'!$S$3:$T$10,2,FALSE)=0,"Spatial Data Missing ⚠",VLOOKUP(O201,'G-3 Multipliers'!$S$3:$T$10,2,FALSE)))</f>
        <v/>
      </c>
      <c r="Q201" s="289" t="str">
        <f t="shared" si="21"/>
        <v/>
      </c>
      <c r="R201" s="32"/>
      <c r="S201" s="101"/>
      <c r="T201" s="108"/>
      <c r="U201" s="283" t="str">
        <f t="shared" si="22"/>
        <v/>
      </c>
      <c r="V201" s="283" t="str">
        <f t="shared" si="23"/>
        <v/>
      </c>
      <c r="W201" s="287" t="str">
        <f t="shared" si="24"/>
        <v/>
      </c>
      <c r="X201" s="291" t="str">
        <f t="shared" si="25"/>
        <v/>
      </c>
      <c r="Y201" s="105"/>
      <c r="Z201" s="104"/>
      <c r="AA201" s="104"/>
      <c r="AB201" s="104"/>
      <c r="AE201" s="30" t="str">
        <f>IFERROR(INDEX('G-6 Hedgerow Data'!$BJ$3:$BJ$15,MATCH(D201,'G-6 Hedgerow Data'!$B$3:$B$15,0)),"")</f>
        <v/>
      </c>
      <c r="AH201" s="107" t="str">
        <f t="shared" si="18"/>
        <v/>
      </c>
      <c r="AI201" s="107" t="str">
        <f t="shared" si="19"/>
        <v/>
      </c>
      <c r="AK201" s="107">
        <v>192</v>
      </c>
      <c r="AM201" s="107" t="str">
        <f t="array" ref="AM201">IFERROR(INDEX($AK$10:$AK$258,MATCH(0,IF(TRUE=$AH$10:$AH$258,COUNTIF($AM$9:$AM200,$AK$10:$AK$258),""),0)),"")</f>
        <v/>
      </c>
      <c r="AN201" s="107" t="str">
        <f t="array" ref="AN201">IFERROR(INDEX($AK$10:$AK$258,MATCH(0,IF(TRUE=$AI$10:$AI$258,COUNTIF($AN$9:$AN200,$AK$10:$AK$258),""),0)),"")</f>
        <v/>
      </c>
      <c r="AY201" s="283" t="str">
        <f t="shared" si="26"/>
        <v/>
      </c>
    </row>
    <row r="202" spans="2:51" ht="14">
      <c r="B202" s="97">
        <v>193</v>
      </c>
      <c r="C202" s="138"/>
      <c r="D202" s="138"/>
      <c r="E202" s="104"/>
      <c r="F202" s="275" t="str">
        <f>IF(D202="","",VLOOKUP(D202,'G-6 Hedgerow Data'!$B$2:$AG$15,2,FALSE))</f>
        <v/>
      </c>
      <c r="G202" s="276" t="str">
        <f>IF(D202="","",VLOOKUP(D202,'G-6 Hedgerow Data'!$B$2:$AG$15,3,FALSE))</f>
        <v/>
      </c>
      <c r="H202" s="101"/>
      <c r="I202" s="276" t="str">
        <f>IFERROR(IF(AND(D202&lt;&gt;"",H202=""),"Check data ⚠",(IF(H202="","",IF(AND(D202="Non-native and ornamental hedgerow",H202&lt;&gt;"Poor"),"Not possible ▲",(IF(AND(F202="V.Low",OR(H202="Good",H202="Moderate")),"Error ▲",VLOOKUP(H202,'G-1 All Habitats'!$Z$2:$AA$9,2,FALSE))))))),"")</f>
        <v/>
      </c>
      <c r="J202" s="105"/>
      <c r="K202" s="295" t="str">
        <f>IF(AND(J202="",D202&lt;&gt;""),"Check data ⚠",IF(J202="","",IF(VLOOKUP(J202,'G-3 Multipliers'!$L$3:$N$6,2,FALSE)=0,"Spatial Data Missing ⚠",VLOOKUP(J202,'G-3 Multipliers'!$L$3:$N$6,2,FALSE))))</f>
        <v/>
      </c>
      <c r="L202" s="299" t="str">
        <f>IF(J202="","",IF(VLOOKUP(J202,'G-3 Multipliers'!$L$3:$N$6,3,FALSE)=0,"Spatial Data Missing ⚠",VLOOKUP(J202,'G-3 Multipliers'!$L$3:$N$6,3,FALSE)))</f>
        <v/>
      </c>
      <c r="M202" s="336" t="str">
        <f>IF(D202="","",VLOOKUP(D202,'G-6 Hedgerow Data'!$B$1:$AH$15,33,FALSE))</f>
        <v/>
      </c>
      <c r="N202" s="289" t="str">
        <f t="shared" si="20"/>
        <v/>
      </c>
      <c r="O202" s="393"/>
      <c r="P202" s="281" t="str">
        <f>IF(O202="","",IF(VLOOKUP(O202,'G-3 Multipliers'!$S$3:$T$10,2,FALSE)=0,"Spatial Data Missing ⚠",VLOOKUP(O202,'G-3 Multipliers'!$S$3:$T$10,2,FALSE)))</f>
        <v/>
      </c>
      <c r="Q202" s="289" t="str">
        <f t="shared" si="21"/>
        <v/>
      </c>
      <c r="R202" s="32"/>
      <c r="S202" s="101"/>
      <c r="T202" s="108"/>
      <c r="U202" s="283" t="str">
        <f t="shared" si="22"/>
        <v/>
      </c>
      <c r="V202" s="283" t="str">
        <f t="shared" si="23"/>
        <v/>
      </c>
      <c r="W202" s="287" t="str">
        <f t="shared" si="24"/>
        <v/>
      </c>
      <c r="X202" s="291" t="str">
        <f t="shared" si="25"/>
        <v/>
      </c>
      <c r="Y202" s="105"/>
      <c r="Z202" s="104"/>
      <c r="AA202" s="104"/>
      <c r="AB202" s="104"/>
      <c r="AE202" s="30" t="str">
        <f>IFERROR(INDEX('G-6 Hedgerow Data'!$BJ$3:$BJ$15,MATCH(D202,'G-6 Hedgerow Data'!$B$3:$B$15,0)),"")</f>
        <v/>
      </c>
      <c r="AH202" s="107" t="str">
        <f t="shared" si="27" ref="AH202:AH257">IF(D202="","",IF(S202&gt;0,TRUE,FALSE))</f>
        <v/>
      </c>
      <c r="AI202" s="107" t="str">
        <f t="shared" si="28" ref="AI202:AI257">IF(D202="","",IF(T202&gt;0,TRUE,FALSE))</f>
        <v/>
      </c>
      <c r="AK202" s="107">
        <v>193</v>
      </c>
      <c r="AM202" s="107" t="str">
        <f t="array" ref="AM202">IFERROR(INDEX($AK$10:$AK$258,MATCH(0,IF(TRUE=$AH$10:$AH$258,COUNTIF($AM$9:$AM201,$AK$10:$AK$258),""),0)),"")</f>
        <v/>
      </c>
      <c r="AN202" s="107" t="str">
        <f t="array" ref="AN202">IFERROR(INDEX($AK$10:$AK$258,MATCH(0,IF(TRUE=$AI$10:$AI$258,COUNTIF($AN$9:$AN201,$AK$10:$AK$258),""),0)),"")</f>
        <v/>
      </c>
      <c r="AY202" s="283" t="str">
        <f t="shared" si="26"/>
        <v/>
      </c>
    </row>
    <row r="203" spans="2:51" ht="14">
      <c r="B203" s="97">
        <v>194</v>
      </c>
      <c r="C203" s="138"/>
      <c r="D203" s="138"/>
      <c r="E203" s="104"/>
      <c r="F203" s="275" t="str">
        <f>IF(D203="","",VLOOKUP(D203,'G-6 Hedgerow Data'!$B$2:$AG$15,2,FALSE))</f>
        <v/>
      </c>
      <c r="G203" s="276" t="str">
        <f>IF(D203="","",VLOOKUP(D203,'G-6 Hedgerow Data'!$B$2:$AG$15,3,FALSE))</f>
        <v/>
      </c>
      <c r="H203" s="101"/>
      <c r="I203" s="276" t="str">
        <f>IFERROR(IF(AND(D203&lt;&gt;"",H203=""),"Check data ⚠",(IF(H203="","",IF(AND(D203="Non-native and ornamental hedgerow",H203&lt;&gt;"Poor"),"Not possible ▲",(IF(AND(F203="V.Low",OR(H203="Good",H203="Moderate")),"Error ▲",VLOOKUP(H203,'G-1 All Habitats'!$Z$2:$AA$9,2,FALSE))))))),"")</f>
        <v/>
      </c>
      <c r="J203" s="105"/>
      <c r="K203" s="295" t="str">
        <f>IF(AND(J203="",D203&lt;&gt;""),"Check data ⚠",IF(J203="","",IF(VLOOKUP(J203,'G-3 Multipliers'!$L$3:$N$6,2,FALSE)=0,"Spatial Data Missing ⚠",VLOOKUP(J203,'G-3 Multipliers'!$L$3:$N$6,2,FALSE))))</f>
        <v/>
      </c>
      <c r="L203" s="299" t="str">
        <f>IF(J203="","",IF(VLOOKUP(J203,'G-3 Multipliers'!$L$3:$N$6,3,FALSE)=0,"Spatial Data Missing ⚠",VLOOKUP(J203,'G-3 Multipliers'!$L$3:$N$6,3,FALSE)))</f>
        <v/>
      </c>
      <c r="M203" s="336" t="str">
        <f>IF(D203="","",VLOOKUP(D203,'G-6 Hedgerow Data'!$B$1:$AH$15,33,FALSE))</f>
        <v/>
      </c>
      <c r="N203" s="289" t="str">
        <f t="shared" si="29" ref="N203:N257">IFERROR(IF(Q203="Check data ⚠","Check data ⚠",(E203*G203*I203*L203*P203)),"")</f>
        <v/>
      </c>
      <c r="O203" s="393"/>
      <c r="P203" s="281" t="str">
        <f>IF(O203="","",IF(VLOOKUP(O203,'G-3 Multipliers'!$S$3:$T$10,2,FALSE)=0,"Spatial Data Missing ⚠",VLOOKUP(O203,'G-3 Multipliers'!$S$3:$T$10,2,FALSE)))</f>
        <v/>
      </c>
      <c r="Q203" s="289" t="str">
        <f t="shared" si="30" ref="Q203:Q257">IFERROR(IF(OR(K203="Check data ⚠",I203="Check data ⚠",W203="Error in lengths ▲"),"Check data ▲",(IF(AND(O203&lt;&gt;"",AB203=""),"Off-site reference required ▲",(IF(O203="","",E203*G203*I203*L203))))),"")</f>
        <v/>
      </c>
      <c r="R203" s="32"/>
      <c r="S203" s="101"/>
      <c r="T203" s="108"/>
      <c r="U203" s="283" t="str">
        <f t="shared" si="31" ref="U203:U257">IFERROR(S203*G203*I203*L203,"")</f>
        <v/>
      </c>
      <c r="V203" s="283" t="str">
        <f t="shared" si="32" ref="V203:V257">IFERROR(T203*G203*I203*L203,"")</f>
        <v/>
      </c>
      <c r="W203" s="287" t="str">
        <f t="shared" si="33" ref="W203:W257">IF(D203="","",IF(E203&lt;S203+T203,"Error in Lengths ▲",E203-S203-T203))</f>
        <v/>
      </c>
      <c r="X203" s="291" t="str">
        <f t="shared" si="34" ref="X203:X257">IF(Q203="Check data ⚠","Check data ⚠",IF(OR(E203="",N203=""),"",IF(E203&lt;S203+T203,"Error in Lengths",Q203-U203-V203)))</f>
        <v/>
      </c>
      <c r="Y203" s="105"/>
      <c r="Z203" s="104"/>
      <c r="AA203" s="104"/>
      <c r="AB203" s="104"/>
      <c r="AE203" s="30" t="str">
        <f>IFERROR(INDEX('G-6 Hedgerow Data'!$BJ$3:$BJ$15,MATCH(D203,'G-6 Hedgerow Data'!$B$3:$B$15,0)),"")</f>
        <v/>
      </c>
      <c r="AH203" s="107" t="str">
        <f t="shared" si="27"/>
        <v/>
      </c>
      <c r="AI203" s="107" t="str">
        <f t="shared" si="28"/>
        <v/>
      </c>
      <c r="AK203" s="107">
        <v>194</v>
      </c>
      <c r="AM203" s="107" t="str">
        <f t="array" ref="AM203">IFERROR(INDEX($AK$10:$AK$258,MATCH(0,IF(TRUE=$AH$10:$AH$258,COUNTIF($AM$9:$AM202,$AK$10:$AK$258),""),0)),"")</f>
        <v/>
      </c>
      <c r="AN203" s="107" t="str">
        <f t="array" ref="AN203">IFERROR(INDEX($AK$10:$AK$258,MATCH(0,IF(TRUE=$AI$10:$AI$258,COUNTIF($AN$9:$AN202,$AK$10:$AK$258),""),0)),"")</f>
        <v/>
      </c>
      <c r="AY203" s="283" t="str">
        <f t="shared" si="35" ref="AY203:AY257">IFERROR(S203*G203*I203*L203*P203,"")</f>
        <v/>
      </c>
    </row>
    <row r="204" spans="2:51" ht="14">
      <c r="B204" s="97">
        <v>195</v>
      </c>
      <c r="C204" s="138"/>
      <c r="D204" s="138"/>
      <c r="E204" s="104"/>
      <c r="F204" s="275" t="str">
        <f>IF(D204="","",VLOOKUP(D204,'G-6 Hedgerow Data'!$B$2:$AG$15,2,FALSE))</f>
        <v/>
      </c>
      <c r="G204" s="276" t="str">
        <f>IF(D204="","",VLOOKUP(D204,'G-6 Hedgerow Data'!$B$2:$AG$15,3,FALSE))</f>
        <v/>
      </c>
      <c r="H204" s="101"/>
      <c r="I204" s="276" t="str">
        <f>IFERROR(IF(AND(D204&lt;&gt;"",H204=""),"Check data ⚠",(IF(H204="","",IF(AND(D204="Non-native and ornamental hedgerow",H204&lt;&gt;"Poor"),"Not possible ▲",(IF(AND(F204="V.Low",OR(H204="Good",H204="Moderate")),"Error ▲",VLOOKUP(H204,'G-1 All Habitats'!$Z$2:$AA$9,2,FALSE))))))),"")</f>
        <v/>
      </c>
      <c r="J204" s="105"/>
      <c r="K204" s="295" t="str">
        <f>IF(AND(J204="",D204&lt;&gt;""),"Check data ⚠",IF(J204="","",IF(VLOOKUP(J204,'G-3 Multipliers'!$L$3:$N$6,2,FALSE)=0,"Spatial Data Missing ⚠",VLOOKUP(J204,'G-3 Multipliers'!$L$3:$N$6,2,FALSE))))</f>
        <v/>
      </c>
      <c r="L204" s="299" t="str">
        <f>IF(J204="","",IF(VLOOKUP(J204,'G-3 Multipliers'!$L$3:$N$6,3,FALSE)=0,"Spatial Data Missing ⚠",VLOOKUP(J204,'G-3 Multipliers'!$L$3:$N$6,3,FALSE)))</f>
        <v/>
      </c>
      <c r="M204" s="336" t="str">
        <f>IF(D204="","",VLOOKUP(D204,'G-6 Hedgerow Data'!$B$1:$AH$15,33,FALSE))</f>
        <v/>
      </c>
      <c r="N204" s="289" t="str">
        <f t="shared" si="29"/>
        <v/>
      </c>
      <c r="O204" s="393"/>
      <c r="P204" s="281" t="str">
        <f>IF(O204="","",IF(VLOOKUP(O204,'G-3 Multipliers'!$S$3:$T$10,2,FALSE)=0,"Spatial Data Missing ⚠",VLOOKUP(O204,'G-3 Multipliers'!$S$3:$T$10,2,FALSE)))</f>
        <v/>
      </c>
      <c r="Q204" s="289" t="str">
        <f t="shared" si="30"/>
        <v/>
      </c>
      <c r="R204" s="32"/>
      <c r="S204" s="101"/>
      <c r="T204" s="108"/>
      <c r="U204" s="283" t="str">
        <f t="shared" si="31"/>
        <v/>
      </c>
      <c r="V204" s="283" t="str">
        <f t="shared" si="32"/>
        <v/>
      </c>
      <c r="W204" s="287" t="str">
        <f t="shared" si="33"/>
        <v/>
      </c>
      <c r="X204" s="291" t="str">
        <f t="shared" si="34"/>
        <v/>
      </c>
      <c r="Y204" s="105"/>
      <c r="Z204" s="104"/>
      <c r="AA204" s="104"/>
      <c r="AB204" s="104"/>
      <c r="AE204" s="30" t="str">
        <f>IFERROR(INDEX('G-6 Hedgerow Data'!$BJ$3:$BJ$15,MATCH(D204,'G-6 Hedgerow Data'!$B$3:$B$15,0)),"")</f>
        <v/>
      </c>
      <c r="AH204" s="107" t="str">
        <f t="shared" si="27"/>
        <v/>
      </c>
      <c r="AI204" s="107" t="str">
        <f t="shared" si="28"/>
        <v/>
      </c>
      <c r="AK204" s="107">
        <v>195</v>
      </c>
      <c r="AM204" s="107" t="str">
        <f t="array" ref="AM204">IFERROR(INDEX($AK$10:$AK$258,MATCH(0,IF(TRUE=$AH$10:$AH$258,COUNTIF($AM$9:$AM203,$AK$10:$AK$258),""),0)),"")</f>
        <v/>
      </c>
      <c r="AN204" s="107" t="str">
        <f t="array" ref="AN204">IFERROR(INDEX($AK$10:$AK$258,MATCH(0,IF(TRUE=$AI$10:$AI$258,COUNTIF($AN$9:$AN203,$AK$10:$AK$258),""),0)),"")</f>
        <v/>
      </c>
      <c r="AY204" s="283" t="str">
        <f t="shared" si="35"/>
        <v/>
      </c>
    </row>
    <row r="205" spans="2:51" ht="14">
      <c r="B205" s="97">
        <v>196</v>
      </c>
      <c r="C205" s="138"/>
      <c r="D205" s="138"/>
      <c r="E205" s="104"/>
      <c r="F205" s="275" t="str">
        <f>IF(D205="","",VLOOKUP(D205,'G-6 Hedgerow Data'!$B$2:$AG$15,2,FALSE))</f>
        <v/>
      </c>
      <c r="G205" s="276" t="str">
        <f>IF(D205="","",VLOOKUP(D205,'G-6 Hedgerow Data'!$B$2:$AG$15,3,FALSE))</f>
        <v/>
      </c>
      <c r="H205" s="101"/>
      <c r="I205" s="276" t="str">
        <f>IFERROR(IF(AND(D205&lt;&gt;"",H205=""),"Check data ⚠",(IF(H205="","",IF(AND(D205="Non-native and ornamental hedgerow",H205&lt;&gt;"Poor"),"Not possible ▲",(IF(AND(F205="V.Low",OR(H205="Good",H205="Moderate")),"Error ▲",VLOOKUP(H205,'G-1 All Habitats'!$Z$2:$AA$9,2,FALSE))))))),"")</f>
        <v/>
      </c>
      <c r="J205" s="105"/>
      <c r="K205" s="295" t="str">
        <f>IF(AND(J205="",D205&lt;&gt;""),"Check data ⚠",IF(J205="","",IF(VLOOKUP(J205,'G-3 Multipliers'!$L$3:$N$6,2,FALSE)=0,"Spatial Data Missing ⚠",VLOOKUP(J205,'G-3 Multipliers'!$L$3:$N$6,2,FALSE))))</f>
        <v/>
      </c>
      <c r="L205" s="299" t="str">
        <f>IF(J205="","",IF(VLOOKUP(J205,'G-3 Multipliers'!$L$3:$N$6,3,FALSE)=0,"Spatial Data Missing ⚠",VLOOKUP(J205,'G-3 Multipliers'!$L$3:$N$6,3,FALSE)))</f>
        <v/>
      </c>
      <c r="M205" s="336" t="str">
        <f>IF(D205="","",VLOOKUP(D205,'G-6 Hedgerow Data'!$B$1:$AH$15,33,FALSE))</f>
        <v/>
      </c>
      <c r="N205" s="289" t="str">
        <f t="shared" si="29"/>
        <v/>
      </c>
      <c r="O205" s="393"/>
      <c r="P205" s="281" t="str">
        <f>IF(O205="","",IF(VLOOKUP(O205,'G-3 Multipliers'!$S$3:$T$10,2,FALSE)=0,"Spatial Data Missing ⚠",VLOOKUP(O205,'G-3 Multipliers'!$S$3:$T$10,2,FALSE)))</f>
        <v/>
      </c>
      <c r="Q205" s="289" t="str">
        <f t="shared" si="30"/>
        <v/>
      </c>
      <c r="R205" s="32"/>
      <c r="S205" s="101"/>
      <c r="T205" s="108"/>
      <c r="U205" s="283" t="str">
        <f t="shared" si="31"/>
        <v/>
      </c>
      <c r="V205" s="283" t="str">
        <f t="shared" si="32"/>
        <v/>
      </c>
      <c r="W205" s="287" t="str">
        <f t="shared" si="33"/>
        <v/>
      </c>
      <c r="X205" s="291" t="str">
        <f t="shared" si="34"/>
        <v/>
      </c>
      <c r="Y205" s="105"/>
      <c r="Z205" s="104"/>
      <c r="AA205" s="104"/>
      <c r="AB205" s="104"/>
      <c r="AE205" s="30" t="str">
        <f>IFERROR(INDEX('G-6 Hedgerow Data'!$BJ$3:$BJ$15,MATCH(D205,'G-6 Hedgerow Data'!$B$3:$B$15,0)),"")</f>
        <v/>
      </c>
      <c r="AH205" s="107" t="str">
        <f t="shared" si="27"/>
        <v/>
      </c>
      <c r="AI205" s="107" t="str">
        <f t="shared" si="28"/>
        <v/>
      </c>
      <c r="AK205" s="107">
        <v>196</v>
      </c>
      <c r="AM205" s="107" t="str">
        <f t="array" ref="AM205">IFERROR(INDEX($AK$10:$AK$258,MATCH(0,IF(TRUE=$AH$10:$AH$258,COUNTIF($AM$9:$AM204,$AK$10:$AK$258),""),0)),"")</f>
        <v/>
      </c>
      <c r="AN205" s="107" t="str">
        <f t="array" ref="AN205">IFERROR(INDEX($AK$10:$AK$258,MATCH(0,IF(TRUE=$AI$10:$AI$258,COUNTIF($AN$9:$AN204,$AK$10:$AK$258),""),0)),"")</f>
        <v/>
      </c>
      <c r="AY205" s="283" t="str">
        <f t="shared" si="35"/>
        <v/>
      </c>
    </row>
    <row r="206" spans="2:51" ht="14">
      <c r="B206" s="97">
        <v>197</v>
      </c>
      <c r="C206" s="138"/>
      <c r="D206" s="138"/>
      <c r="E206" s="104"/>
      <c r="F206" s="275" t="str">
        <f>IF(D206="","",VLOOKUP(D206,'G-6 Hedgerow Data'!$B$2:$AG$15,2,FALSE))</f>
        <v/>
      </c>
      <c r="G206" s="276" t="str">
        <f>IF(D206="","",VLOOKUP(D206,'G-6 Hedgerow Data'!$B$2:$AG$15,3,FALSE))</f>
        <v/>
      </c>
      <c r="H206" s="101"/>
      <c r="I206" s="276" t="str">
        <f>IFERROR(IF(AND(D206&lt;&gt;"",H206=""),"Check data ⚠",(IF(H206="","",IF(AND(D206="Non-native and ornamental hedgerow",H206&lt;&gt;"Poor"),"Not possible ▲",(IF(AND(F206="V.Low",OR(H206="Good",H206="Moderate")),"Error ▲",VLOOKUP(H206,'G-1 All Habitats'!$Z$2:$AA$9,2,FALSE))))))),"")</f>
        <v/>
      </c>
      <c r="J206" s="105"/>
      <c r="K206" s="295" t="str">
        <f>IF(AND(J206="",D206&lt;&gt;""),"Check data ⚠",IF(J206="","",IF(VLOOKUP(J206,'G-3 Multipliers'!$L$3:$N$6,2,FALSE)=0,"Spatial Data Missing ⚠",VLOOKUP(J206,'G-3 Multipliers'!$L$3:$N$6,2,FALSE))))</f>
        <v/>
      </c>
      <c r="L206" s="299" t="str">
        <f>IF(J206="","",IF(VLOOKUP(J206,'G-3 Multipliers'!$L$3:$N$6,3,FALSE)=0,"Spatial Data Missing ⚠",VLOOKUP(J206,'G-3 Multipliers'!$L$3:$N$6,3,FALSE)))</f>
        <v/>
      </c>
      <c r="M206" s="336" t="str">
        <f>IF(D206="","",VLOOKUP(D206,'G-6 Hedgerow Data'!$B$1:$AH$15,33,FALSE))</f>
        <v/>
      </c>
      <c r="N206" s="289" t="str">
        <f t="shared" si="29"/>
        <v/>
      </c>
      <c r="O206" s="393"/>
      <c r="P206" s="281" t="str">
        <f>IF(O206="","",IF(VLOOKUP(O206,'G-3 Multipliers'!$S$3:$T$10,2,FALSE)=0,"Spatial Data Missing ⚠",VLOOKUP(O206,'G-3 Multipliers'!$S$3:$T$10,2,FALSE)))</f>
        <v/>
      </c>
      <c r="Q206" s="289" t="str">
        <f t="shared" si="30"/>
        <v/>
      </c>
      <c r="R206" s="32"/>
      <c r="S206" s="101"/>
      <c r="T206" s="108"/>
      <c r="U206" s="283" t="str">
        <f t="shared" si="31"/>
        <v/>
      </c>
      <c r="V206" s="283" t="str">
        <f t="shared" si="32"/>
        <v/>
      </c>
      <c r="W206" s="287" t="str">
        <f t="shared" si="33"/>
        <v/>
      </c>
      <c r="X206" s="291" t="str">
        <f t="shared" si="34"/>
        <v/>
      </c>
      <c r="Y206" s="105"/>
      <c r="Z206" s="104"/>
      <c r="AA206" s="104"/>
      <c r="AB206" s="104"/>
      <c r="AE206" s="30" t="str">
        <f>IFERROR(INDEX('G-6 Hedgerow Data'!$BJ$3:$BJ$15,MATCH(D206,'G-6 Hedgerow Data'!$B$3:$B$15,0)),"")</f>
        <v/>
      </c>
      <c r="AH206" s="107" t="str">
        <f t="shared" si="27"/>
        <v/>
      </c>
      <c r="AI206" s="107" t="str">
        <f t="shared" si="28"/>
        <v/>
      </c>
      <c r="AK206" s="107">
        <v>197</v>
      </c>
      <c r="AM206" s="107" t="str">
        <f t="array" ref="AM206">IFERROR(INDEX($AK$10:$AK$258,MATCH(0,IF(TRUE=$AH$10:$AH$258,COUNTIF($AM$9:$AM205,$AK$10:$AK$258),""),0)),"")</f>
        <v/>
      </c>
      <c r="AN206" s="107" t="str">
        <f t="array" ref="AN206">IFERROR(INDEX($AK$10:$AK$258,MATCH(0,IF(TRUE=$AI$10:$AI$258,COUNTIF($AN$9:$AN205,$AK$10:$AK$258),""),0)),"")</f>
        <v/>
      </c>
      <c r="AY206" s="283" t="str">
        <f t="shared" si="35"/>
        <v/>
      </c>
    </row>
    <row r="207" spans="2:51" ht="14">
      <c r="B207" s="97">
        <v>198</v>
      </c>
      <c r="C207" s="138"/>
      <c r="D207" s="138"/>
      <c r="E207" s="104"/>
      <c r="F207" s="275" t="str">
        <f>IF(D207="","",VLOOKUP(D207,'G-6 Hedgerow Data'!$B$2:$AG$15,2,FALSE))</f>
        <v/>
      </c>
      <c r="G207" s="276" t="str">
        <f>IF(D207="","",VLOOKUP(D207,'G-6 Hedgerow Data'!$B$2:$AG$15,3,FALSE))</f>
        <v/>
      </c>
      <c r="H207" s="101"/>
      <c r="I207" s="276" t="str">
        <f>IFERROR(IF(AND(D207&lt;&gt;"",H207=""),"Check data ⚠",(IF(H207="","",IF(AND(D207="Non-native and ornamental hedgerow",H207&lt;&gt;"Poor"),"Not possible ▲",(IF(AND(F207="V.Low",OR(H207="Good",H207="Moderate")),"Error ▲",VLOOKUP(H207,'G-1 All Habitats'!$Z$2:$AA$9,2,FALSE))))))),"")</f>
        <v/>
      </c>
      <c r="J207" s="105"/>
      <c r="K207" s="295" t="str">
        <f>IF(AND(J207="",D207&lt;&gt;""),"Check data ⚠",IF(J207="","",IF(VLOOKUP(J207,'G-3 Multipliers'!$L$3:$N$6,2,FALSE)=0,"Spatial Data Missing ⚠",VLOOKUP(J207,'G-3 Multipliers'!$L$3:$N$6,2,FALSE))))</f>
        <v/>
      </c>
      <c r="L207" s="299" t="str">
        <f>IF(J207="","",IF(VLOOKUP(J207,'G-3 Multipliers'!$L$3:$N$6,3,FALSE)=0,"Spatial Data Missing ⚠",VLOOKUP(J207,'G-3 Multipliers'!$L$3:$N$6,3,FALSE)))</f>
        <v/>
      </c>
      <c r="M207" s="336" t="str">
        <f>IF(D207="","",VLOOKUP(D207,'G-6 Hedgerow Data'!$B$1:$AH$15,33,FALSE))</f>
        <v/>
      </c>
      <c r="N207" s="289" t="str">
        <f t="shared" si="29"/>
        <v/>
      </c>
      <c r="O207" s="393"/>
      <c r="P207" s="281" t="str">
        <f>IF(O207="","",IF(VLOOKUP(O207,'G-3 Multipliers'!$S$3:$T$10,2,FALSE)=0,"Spatial Data Missing ⚠",VLOOKUP(O207,'G-3 Multipliers'!$S$3:$T$10,2,FALSE)))</f>
        <v/>
      </c>
      <c r="Q207" s="289" t="str">
        <f t="shared" si="30"/>
        <v/>
      </c>
      <c r="R207" s="32"/>
      <c r="S207" s="101"/>
      <c r="T207" s="108"/>
      <c r="U207" s="283" t="str">
        <f t="shared" si="31"/>
        <v/>
      </c>
      <c r="V207" s="283" t="str">
        <f t="shared" si="32"/>
        <v/>
      </c>
      <c r="W207" s="287" t="str">
        <f t="shared" si="33"/>
        <v/>
      </c>
      <c r="X207" s="291" t="str">
        <f t="shared" si="34"/>
        <v/>
      </c>
      <c r="Y207" s="105"/>
      <c r="Z207" s="104"/>
      <c r="AA207" s="104"/>
      <c r="AB207" s="104"/>
      <c r="AE207" s="30" t="str">
        <f>IFERROR(INDEX('G-6 Hedgerow Data'!$BJ$3:$BJ$15,MATCH(D207,'G-6 Hedgerow Data'!$B$3:$B$15,0)),"")</f>
        <v/>
      </c>
      <c r="AH207" s="107" t="str">
        <f t="shared" si="27"/>
        <v/>
      </c>
      <c r="AI207" s="107" t="str">
        <f t="shared" si="28"/>
        <v/>
      </c>
      <c r="AK207" s="107">
        <v>198</v>
      </c>
      <c r="AM207" s="107" t="str">
        <f t="array" ref="AM207">IFERROR(INDEX($AK$10:$AK$258,MATCH(0,IF(TRUE=$AH$10:$AH$258,COUNTIF($AM$9:$AM206,$AK$10:$AK$258),""),0)),"")</f>
        <v/>
      </c>
      <c r="AN207" s="107" t="str">
        <f t="array" ref="AN207">IFERROR(INDEX($AK$10:$AK$258,MATCH(0,IF(TRUE=$AI$10:$AI$258,COUNTIF($AN$9:$AN206,$AK$10:$AK$258),""),0)),"")</f>
        <v/>
      </c>
      <c r="AY207" s="283" t="str">
        <f t="shared" si="35"/>
        <v/>
      </c>
    </row>
    <row r="208" spans="2:51" ht="14">
      <c r="B208" s="97">
        <v>199</v>
      </c>
      <c r="C208" s="138"/>
      <c r="D208" s="138"/>
      <c r="E208" s="104"/>
      <c r="F208" s="275" t="str">
        <f>IF(D208="","",VLOOKUP(D208,'G-6 Hedgerow Data'!$B$2:$AG$15,2,FALSE))</f>
        <v/>
      </c>
      <c r="G208" s="276" t="str">
        <f>IF(D208="","",VLOOKUP(D208,'G-6 Hedgerow Data'!$B$2:$AG$15,3,FALSE))</f>
        <v/>
      </c>
      <c r="H208" s="101"/>
      <c r="I208" s="276" t="str">
        <f>IFERROR(IF(AND(D208&lt;&gt;"",H208=""),"Check data ⚠",(IF(H208="","",IF(AND(D208="Non-native and ornamental hedgerow",H208&lt;&gt;"Poor"),"Not possible ▲",(IF(AND(F208="V.Low",OR(H208="Good",H208="Moderate")),"Error ▲",VLOOKUP(H208,'G-1 All Habitats'!$Z$2:$AA$9,2,FALSE))))))),"")</f>
        <v/>
      </c>
      <c r="J208" s="105"/>
      <c r="K208" s="295" t="str">
        <f>IF(AND(J208="",D208&lt;&gt;""),"Check data ⚠",IF(J208="","",IF(VLOOKUP(J208,'G-3 Multipliers'!$L$3:$N$6,2,FALSE)=0,"Spatial Data Missing ⚠",VLOOKUP(J208,'G-3 Multipliers'!$L$3:$N$6,2,FALSE))))</f>
        <v/>
      </c>
      <c r="L208" s="299" t="str">
        <f>IF(J208="","",IF(VLOOKUP(J208,'G-3 Multipliers'!$L$3:$N$6,3,FALSE)=0,"Spatial Data Missing ⚠",VLOOKUP(J208,'G-3 Multipliers'!$L$3:$N$6,3,FALSE)))</f>
        <v/>
      </c>
      <c r="M208" s="336" t="str">
        <f>IF(D208="","",VLOOKUP(D208,'G-6 Hedgerow Data'!$B$1:$AH$15,33,FALSE))</f>
        <v/>
      </c>
      <c r="N208" s="289" t="str">
        <f t="shared" si="29"/>
        <v/>
      </c>
      <c r="O208" s="393"/>
      <c r="P208" s="281" t="str">
        <f>IF(O208="","",IF(VLOOKUP(O208,'G-3 Multipliers'!$S$3:$T$10,2,FALSE)=0,"Spatial Data Missing ⚠",VLOOKUP(O208,'G-3 Multipliers'!$S$3:$T$10,2,FALSE)))</f>
        <v/>
      </c>
      <c r="Q208" s="289" t="str">
        <f t="shared" si="30"/>
        <v/>
      </c>
      <c r="R208" s="32"/>
      <c r="S208" s="101"/>
      <c r="T208" s="108"/>
      <c r="U208" s="283" t="str">
        <f t="shared" si="31"/>
        <v/>
      </c>
      <c r="V208" s="283" t="str">
        <f t="shared" si="32"/>
        <v/>
      </c>
      <c r="W208" s="287" t="str">
        <f t="shared" si="33"/>
        <v/>
      </c>
      <c r="X208" s="291" t="str">
        <f t="shared" si="34"/>
        <v/>
      </c>
      <c r="Y208" s="105"/>
      <c r="Z208" s="104"/>
      <c r="AA208" s="104"/>
      <c r="AB208" s="104"/>
      <c r="AE208" s="30" t="str">
        <f>IFERROR(INDEX('G-6 Hedgerow Data'!$BJ$3:$BJ$15,MATCH(D208,'G-6 Hedgerow Data'!$B$3:$B$15,0)),"")</f>
        <v/>
      </c>
      <c r="AH208" s="107" t="str">
        <f t="shared" si="27"/>
        <v/>
      </c>
      <c r="AI208" s="107" t="str">
        <f t="shared" si="28"/>
        <v/>
      </c>
      <c r="AK208" s="107">
        <v>199</v>
      </c>
      <c r="AM208" s="107" t="str">
        <f t="array" ref="AM208">IFERROR(INDEX($AK$10:$AK$258,MATCH(0,IF(TRUE=$AH$10:$AH$258,COUNTIF($AM$9:$AM207,$AK$10:$AK$258),""),0)),"")</f>
        <v/>
      </c>
      <c r="AN208" s="107" t="str">
        <f t="array" ref="AN208">IFERROR(INDEX($AK$10:$AK$258,MATCH(0,IF(TRUE=$AI$10:$AI$258,COUNTIF($AN$9:$AN207,$AK$10:$AK$258),""),0)),"")</f>
        <v/>
      </c>
      <c r="AY208" s="283" t="str">
        <f t="shared" si="35"/>
        <v/>
      </c>
    </row>
    <row r="209" spans="2:51" ht="14">
      <c r="B209" s="97">
        <v>200</v>
      </c>
      <c r="C209" s="138"/>
      <c r="D209" s="138"/>
      <c r="E209" s="104"/>
      <c r="F209" s="275" t="str">
        <f>IF(D209="","",VLOOKUP(D209,'G-6 Hedgerow Data'!$B$2:$AG$15,2,FALSE))</f>
        <v/>
      </c>
      <c r="G209" s="276" t="str">
        <f>IF(D209="","",VLOOKUP(D209,'G-6 Hedgerow Data'!$B$2:$AG$15,3,FALSE))</f>
        <v/>
      </c>
      <c r="H209" s="101"/>
      <c r="I209" s="276" t="str">
        <f>IFERROR(IF(AND(D209&lt;&gt;"",H209=""),"Check data ⚠",(IF(H209="","",IF(AND(D209="Non-native and ornamental hedgerow",H209&lt;&gt;"Poor"),"Not possible ▲",(IF(AND(F209="V.Low",OR(H209="Good",H209="Moderate")),"Error ▲",VLOOKUP(H209,'G-1 All Habitats'!$Z$2:$AA$9,2,FALSE))))))),"")</f>
        <v/>
      </c>
      <c r="J209" s="105"/>
      <c r="K209" s="295" t="str">
        <f>IF(AND(J209="",D209&lt;&gt;""),"Check data ⚠",IF(J209="","",IF(VLOOKUP(J209,'G-3 Multipliers'!$L$3:$N$6,2,FALSE)=0,"Spatial Data Missing ⚠",VLOOKUP(J209,'G-3 Multipliers'!$L$3:$N$6,2,FALSE))))</f>
        <v/>
      </c>
      <c r="L209" s="299" t="str">
        <f>IF(J209="","",IF(VLOOKUP(J209,'G-3 Multipliers'!$L$3:$N$6,3,FALSE)=0,"Spatial Data Missing ⚠",VLOOKUP(J209,'G-3 Multipliers'!$L$3:$N$6,3,FALSE)))</f>
        <v/>
      </c>
      <c r="M209" s="336" t="str">
        <f>IF(D209="","",VLOOKUP(D209,'G-6 Hedgerow Data'!$B$1:$AH$15,33,FALSE))</f>
        <v/>
      </c>
      <c r="N209" s="289" t="str">
        <f t="shared" si="29"/>
        <v/>
      </c>
      <c r="O209" s="393"/>
      <c r="P209" s="281" t="str">
        <f>IF(O209="","",IF(VLOOKUP(O209,'G-3 Multipliers'!$S$3:$T$10,2,FALSE)=0,"Spatial Data Missing ⚠",VLOOKUP(O209,'G-3 Multipliers'!$S$3:$T$10,2,FALSE)))</f>
        <v/>
      </c>
      <c r="Q209" s="289" t="str">
        <f t="shared" si="30"/>
        <v/>
      </c>
      <c r="R209" s="32"/>
      <c r="S209" s="101"/>
      <c r="T209" s="108"/>
      <c r="U209" s="283" t="str">
        <f t="shared" si="31"/>
        <v/>
      </c>
      <c r="V209" s="283" t="str">
        <f t="shared" si="32"/>
        <v/>
      </c>
      <c r="W209" s="287" t="str">
        <f t="shared" si="33"/>
        <v/>
      </c>
      <c r="X209" s="291" t="str">
        <f t="shared" si="34"/>
        <v/>
      </c>
      <c r="Y209" s="105"/>
      <c r="Z209" s="104"/>
      <c r="AA209" s="104"/>
      <c r="AB209" s="104"/>
      <c r="AE209" s="30" t="str">
        <f>IFERROR(INDEX('G-6 Hedgerow Data'!$BJ$3:$BJ$15,MATCH(D209,'G-6 Hedgerow Data'!$B$3:$B$15,0)),"")</f>
        <v/>
      </c>
      <c r="AH209" s="107" t="str">
        <f t="shared" si="27"/>
        <v/>
      </c>
      <c r="AI209" s="107" t="str">
        <f t="shared" si="28"/>
        <v/>
      </c>
      <c r="AK209" s="107">
        <v>200</v>
      </c>
      <c r="AM209" s="107" t="str">
        <f t="array" ref="AM209">IFERROR(INDEX($AK$10:$AK$258,MATCH(0,IF(TRUE=$AH$10:$AH$258,COUNTIF($AM$9:$AM208,$AK$10:$AK$258),""),0)),"")</f>
        <v/>
      </c>
      <c r="AN209" s="107" t="str">
        <f t="array" ref="AN209">IFERROR(INDEX($AK$10:$AK$258,MATCH(0,IF(TRUE=$AI$10:$AI$258,COUNTIF($AN$9:$AN208,$AK$10:$AK$258),""),0)),"")</f>
        <v/>
      </c>
      <c r="AY209" s="283" t="str">
        <f t="shared" si="35"/>
        <v/>
      </c>
    </row>
    <row r="210" spans="2:51" ht="14">
      <c r="B210" s="97">
        <v>201</v>
      </c>
      <c r="C210" s="138"/>
      <c r="D210" s="138"/>
      <c r="E210" s="104"/>
      <c r="F210" s="275" t="str">
        <f>IF(D210="","",VLOOKUP(D210,'G-6 Hedgerow Data'!$B$2:$AG$15,2,FALSE))</f>
        <v/>
      </c>
      <c r="G210" s="276" t="str">
        <f>IF(D210="","",VLOOKUP(D210,'G-6 Hedgerow Data'!$B$2:$AG$15,3,FALSE))</f>
        <v/>
      </c>
      <c r="H210" s="101"/>
      <c r="I210" s="276" t="str">
        <f>IFERROR(IF(AND(D210&lt;&gt;"",H210=""),"Check data ⚠",(IF(H210="","",IF(AND(D210="Non-native and ornamental hedgerow",H210&lt;&gt;"Poor"),"Not possible ▲",(IF(AND(F210="V.Low",OR(H210="Good",H210="Moderate")),"Error ▲",VLOOKUP(H210,'G-1 All Habitats'!$Z$2:$AA$9,2,FALSE))))))),"")</f>
        <v/>
      </c>
      <c r="J210" s="105"/>
      <c r="K210" s="295" t="str">
        <f>IF(AND(J210="",D210&lt;&gt;""),"Check data ⚠",IF(J210="","",IF(VLOOKUP(J210,'G-3 Multipliers'!$L$3:$N$6,2,FALSE)=0,"Spatial Data Missing ⚠",VLOOKUP(J210,'G-3 Multipliers'!$L$3:$N$6,2,FALSE))))</f>
        <v/>
      </c>
      <c r="L210" s="299" t="str">
        <f>IF(J210="","",IF(VLOOKUP(J210,'G-3 Multipliers'!$L$3:$N$6,3,FALSE)=0,"Spatial Data Missing ⚠",VLOOKUP(J210,'G-3 Multipliers'!$L$3:$N$6,3,FALSE)))</f>
        <v/>
      </c>
      <c r="M210" s="336" t="str">
        <f>IF(D210="","",VLOOKUP(D210,'G-6 Hedgerow Data'!$B$1:$AH$15,33,FALSE))</f>
        <v/>
      </c>
      <c r="N210" s="289" t="str">
        <f t="shared" si="29"/>
        <v/>
      </c>
      <c r="O210" s="393"/>
      <c r="P210" s="281" t="str">
        <f>IF(O210="","",IF(VLOOKUP(O210,'G-3 Multipliers'!$S$3:$T$10,2,FALSE)=0,"Spatial Data Missing ⚠",VLOOKUP(O210,'G-3 Multipliers'!$S$3:$T$10,2,FALSE)))</f>
        <v/>
      </c>
      <c r="Q210" s="289" t="str">
        <f t="shared" si="30"/>
        <v/>
      </c>
      <c r="R210" s="32"/>
      <c r="S210" s="101"/>
      <c r="T210" s="108"/>
      <c r="U210" s="283" t="str">
        <f t="shared" si="31"/>
        <v/>
      </c>
      <c r="V210" s="283" t="str">
        <f t="shared" si="32"/>
        <v/>
      </c>
      <c r="W210" s="287" t="str">
        <f t="shared" si="33"/>
        <v/>
      </c>
      <c r="X210" s="291" t="str">
        <f t="shared" si="34"/>
        <v/>
      </c>
      <c r="Y210" s="105"/>
      <c r="Z210" s="104"/>
      <c r="AA210" s="104"/>
      <c r="AB210" s="104"/>
      <c r="AE210" s="30" t="str">
        <f>IFERROR(INDEX('G-6 Hedgerow Data'!$BJ$3:$BJ$15,MATCH(D210,'G-6 Hedgerow Data'!$B$3:$B$15,0)),"")</f>
        <v/>
      </c>
      <c r="AH210" s="107" t="str">
        <f t="shared" si="27"/>
        <v/>
      </c>
      <c r="AI210" s="107" t="str">
        <f t="shared" si="28"/>
        <v/>
      </c>
      <c r="AK210" s="107">
        <v>201</v>
      </c>
      <c r="AM210" s="107" t="str">
        <f t="array" ref="AM210">IFERROR(INDEX($AK$10:$AK$258,MATCH(0,IF(TRUE=$AH$10:$AH$258,COUNTIF($AM$9:$AM209,$AK$10:$AK$258),""),0)),"")</f>
        <v/>
      </c>
      <c r="AN210" s="107" t="str">
        <f t="array" ref="AN210">IFERROR(INDEX($AK$10:$AK$258,MATCH(0,IF(TRUE=$AI$10:$AI$258,COUNTIF($AN$9:$AN209,$AK$10:$AK$258),""),0)),"")</f>
        <v/>
      </c>
      <c r="AY210" s="283" t="str">
        <f t="shared" si="35"/>
        <v/>
      </c>
    </row>
    <row r="211" spans="2:51" ht="14">
      <c r="B211" s="97">
        <v>202</v>
      </c>
      <c r="C211" s="138"/>
      <c r="D211" s="138"/>
      <c r="E211" s="104"/>
      <c r="F211" s="275" t="str">
        <f>IF(D211="","",VLOOKUP(D211,'G-6 Hedgerow Data'!$B$2:$AG$15,2,FALSE))</f>
        <v/>
      </c>
      <c r="G211" s="276" t="str">
        <f>IF(D211="","",VLOOKUP(D211,'G-6 Hedgerow Data'!$B$2:$AG$15,3,FALSE))</f>
        <v/>
      </c>
      <c r="H211" s="101"/>
      <c r="I211" s="276" t="str">
        <f>IFERROR(IF(AND(D211&lt;&gt;"",H211=""),"Check data ⚠",(IF(H211="","",IF(AND(D211="Non-native and ornamental hedgerow",H211&lt;&gt;"Poor"),"Not possible ▲",(IF(AND(F211="V.Low",OR(H211="Good",H211="Moderate")),"Error ▲",VLOOKUP(H211,'G-1 All Habitats'!$Z$2:$AA$9,2,FALSE))))))),"")</f>
        <v/>
      </c>
      <c r="J211" s="105"/>
      <c r="K211" s="295" t="str">
        <f>IF(AND(J211="",D211&lt;&gt;""),"Check data ⚠",IF(J211="","",IF(VLOOKUP(J211,'G-3 Multipliers'!$L$3:$N$6,2,FALSE)=0,"Spatial Data Missing ⚠",VLOOKUP(J211,'G-3 Multipliers'!$L$3:$N$6,2,FALSE))))</f>
        <v/>
      </c>
      <c r="L211" s="299" t="str">
        <f>IF(J211="","",IF(VLOOKUP(J211,'G-3 Multipliers'!$L$3:$N$6,3,FALSE)=0,"Spatial Data Missing ⚠",VLOOKUP(J211,'G-3 Multipliers'!$L$3:$N$6,3,FALSE)))</f>
        <v/>
      </c>
      <c r="M211" s="336" t="str">
        <f>IF(D211="","",VLOOKUP(D211,'G-6 Hedgerow Data'!$B$1:$AH$15,33,FALSE))</f>
        <v/>
      </c>
      <c r="N211" s="289" t="str">
        <f t="shared" si="29"/>
        <v/>
      </c>
      <c r="O211" s="393"/>
      <c r="P211" s="281" t="str">
        <f>IF(O211="","",IF(VLOOKUP(O211,'G-3 Multipliers'!$S$3:$T$10,2,FALSE)=0,"Spatial Data Missing ⚠",VLOOKUP(O211,'G-3 Multipliers'!$S$3:$T$10,2,FALSE)))</f>
        <v/>
      </c>
      <c r="Q211" s="289" t="str">
        <f t="shared" si="30"/>
        <v/>
      </c>
      <c r="R211" s="32"/>
      <c r="S211" s="101"/>
      <c r="T211" s="108"/>
      <c r="U211" s="283" t="str">
        <f t="shared" si="31"/>
        <v/>
      </c>
      <c r="V211" s="283" t="str">
        <f t="shared" si="32"/>
        <v/>
      </c>
      <c r="W211" s="287" t="str">
        <f t="shared" si="33"/>
        <v/>
      </c>
      <c r="X211" s="291" t="str">
        <f t="shared" si="34"/>
        <v/>
      </c>
      <c r="Y211" s="105"/>
      <c r="Z211" s="104"/>
      <c r="AA211" s="104"/>
      <c r="AB211" s="104"/>
      <c r="AE211" s="30" t="str">
        <f>IFERROR(INDEX('G-6 Hedgerow Data'!$BJ$3:$BJ$15,MATCH(D211,'G-6 Hedgerow Data'!$B$3:$B$15,0)),"")</f>
        <v/>
      </c>
      <c r="AH211" s="107" t="str">
        <f t="shared" si="27"/>
        <v/>
      </c>
      <c r="AI211" s="107" t="str">
        <f t="shared" si="28"/>
        <v/>
      </c>
      <c r="AK211" s="107">
        <v>202</v>
      </c>
      <c r="AM211" s="107" t="str">
        <f t="array" ref="AM211">IFERROR(INDEX($AK$10:$AK$258,MATCH(0,IF(TRUE=$AH$10:$AH$258,COUNTIF($AM$9:$AM210,$AK$10:$AK$258),""),0)),"")</f>
        <v/>
      </c>
      <c r="AN211" s="107" t="str">
        <f t="array" ref="AN211">IFERROR(INDEX($AK$10:$AK$258,MATCH(0,IF(TRUE=$AI$10:$AI$258,COUNTIF($AN$9:$AN210,$AK$10:$AK$258),""),0)),"")</f>
        <v/>
      </c>
      <c r="AY211" s="283" t="str">
        <f t="shared" si="35"/>
        <v/>
      </c>
    </row>
    <row r="212" spans="2:51" ht="14">
      <c r="B212" s="97">
        <v>203</v>
      </c>
      <c r="C212" s="138"/>
      <c r="D212" s="138"/>
      <c r="E212" s="104"/>
      <c r="F212" s="275" t="str">
        <f>IF(D212="","",VLOOKUP(D212,'G-6 Hedgerow Data'!$B$2:$AG$15,2,FALSE))</f>
        <v/>
      </c>
      <c r="G212" s="276" t="str">
        <f>IF(D212="","",VLOOKUP(D212,'G-6 Hedgerow Data'!$B$2:$AG$15,3,FALSE))</f>
        <v/>
      </c>
      <c r="H212" s="101"/>
      <c r="I212" s="276" t="str">
        <f>IFERROR(IF(AND(D212&lt;&gt;"",H212=""),"Check data ⚠",(IF(H212="","",IF(AND(D212="Non-native and ornamental hedgerow",H212&lt;&gt;"Poor"),"Not possible ▲",(IF(AND(F212="V.Low",OR(H212="Good",H212="Moderate")),"Error ▲",VLOOKUP(H212,'G-1 All Habitats'!$Z$2:$AA$9,2,FALSE))))))),"")</f>
        <v/>
      </c>
      <c r="J212" s="105"/>
      <c r="K212" s="295" t="str">
        <f>IF(AND(J212="",D212&lt;&gt;""),"Check data ⚠",IF(J212="","",IF(VLOOKUP(J212,'G-3 Multipliers'!$L$3:$N$6,2,FALSE)=0,"Spatial Data Missing ⚠",VLOOKUP(J212,'G-3 Multipliers'!$L$3:$N$6,2,FALSE))))</f>
        <v/>
      </c>
      <c r="L212" s="299" t="str">
        <f>IF(J212="","",IF(VLOOKUP(J212,'G-3 Multipliers'!$L$3:$N$6,3,FALSE)=0,"Spatial Data Missing ⚠",VLOOKUP(J212,'G-3 Multipliers'!$L$3:$N$6,3,FALSE)))</f>
        <v/>
      </c>
      <c r="M212" s="336" t="str">
        <f>IF(D212="","",VLOOKUP(D212,'G-6 Hedgerow Data'!$B$1:$AH$15,33,FALSE))</f>
        <v/>
      </c>
      <c r="N212" s="289" t="str">
        <f t="shared" si="29"/>
        <v/>
      </c>
      <c r="O212" s="393"/>
      <c r="P212" s="281" t="str">
        <f>IF(O212="","",IF(VLOOKUP(O212,'G-3 Multipliers'!$S$3:$T$10,2,FALSE)=0,"Spatial Data Missing ⚠",VLOOKUP(O212,'G-3 Multipliers'!$S$3:$T$10,2,FALSE)))</f>
        <v/>
      </c>
      <c r="Q212" s="289" t="str">
        <f t="shared" si="30"/>
        <v/>
      </c>
      <c r="R212" s="32"/>
      <c r="S212" s="101"/>
      <c r="T212" s="108"/>
      <c r="U212" s="283" t="str">
        <f t="shared" si="31"/>
        <v/>
      </c>
      <c r="V212" s="283" t="str">
        <f t="shared" si="32"/>
        <v/>
      </c>
      <c r="W212" s="287" t="str">
        <f t="shared" si="33"/>
        <v/>
      </c>
      <c r="X212" s="291" t="str">
        <f t="shared" si="34"/>
        <v/>
      </c>
      <c r="Y212" s="105"/>
      <c r="Z212" s="104"/>
      <c r="AA212" s="104"/>
      <c r="AB212" s="104"/>
      <c r="AE212" s="30" t="str">
        <f>IFERROR(INDEX('G-6 Hedgerow Data'!$BJ$3:$BJ$15,MATCH(D212,'G-6 Hedgerow Data'!$B$3:$B$15,0)),"")</f>
        <v/>
      </c>
      <c r="AH212" s="107" t="str">
        <f t="shared" si="27"/>
        <v/>
      </c>
      <c r="AI212" s="107" t="str">
        <f t="shared" si="28"/>
        <v/>
      </c>
      <c r="AK212" s="107">
        <v>203</v>
      </c>
      <c r="AM212" s="107" t="str">
        <f t="array" ref="AM212">IFERROR(INDEX($AK$10:$AK$258,MATCH(0,IF(TRUE=$AH$10:$AH$258,COUNTIF($AM$9:$AM211,$AK$10:$AK$258),""),0)),"")</f>
        <v/>
      </c>
      <c r="AN212" s="107" t="str">
        <f t="array" ref="AN212">IFERROR(INDEX($AK$10:$AK$258,MATCH(0,IF(TRUE=$AI$10:$AI$258,COUNTIF($AN$9:$AN211,$AK$10:$AK$258),""),0)),"")</f>
        <v/>
      </c>
      <c r="AY212" s="283" t="str">
        <f t="shared" si="35"/>
        <v/>
      </c>
    </row>
    <row r="213" spans="2:51" ht="14">
      <c r="B213" s="97">
        <v>204</v>
      </c>
      <c r="C213" s="138"/>
      <c r="D213" s="138"/>
      <c r="E213" s="104"/>
      <c r="F213" s="275" t="str">
        <f>IF(D213="","",VLOOKUP(D213,'G-6 Hedgerow Data'!$B$2:$AG$15,2,FALSE))</f>
        <v/>
      </c>
      <c r="G213" s="276" t="str">
        <f>IF(D213="","",VLOOKUP(D213,'G-6 Hedgerow Data'!$B$2:$AG$15,3,FALSE))</f>
        <v/>
      </c>
      <c r="H213" s="101"/>
      <c r="I213" s="276" t="str">
        <f>IFERROR(IF(AND(D213&lt;&gt;"",H213=""),"Check data ⚠",(IF(H213="","",IF(AND(D213="Non-native and ornamental hedgerow",H213&lt;&gt;"Poor"),"Not possible ▲",(IF(AND(F213="V.Low",OR(H213="Good",H213="Moderate")),"Error ▲",VLOOKUP(H213,'G-1 All Habitats'!$Z$2:$AA$9,2,FALSE))))))),"")</f>
        <v/>
      </c>
      <c r="J213" s="105"/>
      <c r="K213" s="295" t="str">
        <f>IF(AND(J213="",D213&lt;&gt;""),"Check data ⚠",IF(J213="","",IF(VLOOKUP(J213,'G-3 Multipliers'!$L$3:$N$6,2,FALSE)=0,"Spatial Data Missing ⚠",VLOOKUP(J213,'G-3 Multipliers'!$L$3:$N$6,2,FALSE))))</f>
        <v/>
      </c>
      <c r="L213" s="299" t="str">
        <f>IF(J213="","",IF(VLOOKUP(J213,'G-3 Multipliers'!$L$3:$N$6,3,FALSE)=0,"Spatial Data Missing ⚠",VLOOKUP(J213,'G-3 Multipliers'!$L$3:$N$6,3,FALSE)))</f>
        <v/>
      </c>
      <c r="M213" s="336" t="str">
        <f>IF(D213="","",VLOOKUP(D213,'G-6 Hedgerow Data'!$B$1:$AH$15,33,FALSE))</f>
        <v/>
      </c>
      <c r="N213" s="289" t="str">
        <f t="shared" si="29"/>
        <v/>
      </c>
      <c r="O213" s="393"/>
      <c r="P213" s="281" t="str">
        <f>IF(O213="","",IF(VLOOKUP(O213,'G-3 Multipliers'!$S$3:$T$10,2,FALSE)=0,"Spatial Data Missing ⚠",VLOOKUP(O213,'G-3 Multipliers'!$S$3:$T$10,2,FALSE)))</f>
        <v/>
      </c>
      <c r="Q213" s="289" t="str">
        <f t="shared" si="30"/>
        <v/>
      </c>
      <c r="R213" s="32"/>
      <c r="S213" s="101"/>
      <c r="T213" s="108"/>
      <c r="U213" s="283" t="str">
        <f t="shared" si="31"/>
        <v/>
      </c>
      <c r="V213" s="283" t="str">
        <f t="shared" si="32"/>
        <v/>
      </c>
      <c r="W213" s="287" t="str">
        <f t="shared" si="33"/>
        <v/>
      </c>
      <c r="X213" s="291" t="str">
        <f t="shared" si="34"/>
        <v/>
      </c>
      <c r="Y213" s="105"/>
      <c r="Z213" s="104"/>
      <c r="AA213" s="104"/>
      <c r="AB213" s="104"/>
      <c r="AE213" s="30" t="str">
        <f>IFERROR(INDEX('G-6 Hedgerow Data'!$BJ$3:$BJ$15,MATCH(D213,'G-6 Hedgerow Data'!$B$3:$B$15,0)),"")</f>
        <v/>
      </c>
      <c r="AH213" s="107" t="str">
        <f t="shared" si="27"/>
        <v/>
      </c>
      <c r="AI213" s="107" t="str">
        <f t="shared" si="28"/>
        <v/>
      </c>
      <c r="AK213" s="107">
        <v>204</v>
      </c>
      <c r="AM213" s="107" t="str">
        <f t="array" ref="AM213">IFERROR(INDEX($AK$10:$AK$258,MATCH(0,IF(TRUE=$AH$10:$AH$258,COUNTIF($AM$9:$AM212,$AK$10:$AK$258),""),0)),"")</f>
        <v/>
      </c>
      <c r="AN213" s="107" t="str">
        <f t="array" ref="AN213">IFERROR(INDEX($AK$10:$AK$258,MATCH(0,IF(TRUE=$AI$10:$AI$258,COUNTIF($AN$9:$AN212,$AK$10:$AK$258),""),0)),"")</f>
        <v/>
      </c>
      <c r="AY213" s="283" t="str">
        <f t="shared" si="35"/>
        <v/>
      </c>
    </row>
    <row r="214" spans="2:51" ht="14">
      <c r="B214" s="97">
        <v>205</v>
      </c>
      <c r="C214" s="138"/>
      <c r="D214" s="138"/>
      <c r="E214" s="104"/>
      <c r="F214" s="275" t="str">
        <f>IF(D214="","",VLOOKUP(D214,'G-6 Hedgerow Data'!$B$2:$AG$15,2,FALSE))</f>
        <v/>
      </c>
      <c r="G214" s="276" t="str">
        <f>IF(D214="","",VLOOKUP(D214,'G-6 Hedgerow Data'!$B$2:$AG$15,3,FALSE))</f>
        <v/>
      </c>
      <c r="H214" s="101"/>
      <c r="I214" s="276" t="str">
        <f>IFERROR(IF(AND(D214&lt;&gt;"",H214=""),"Check data ⚠",(IF(H214="","",IF(AND(D214="Non-native and ornamental hedgerow",H214&lt;&gt;"Poor"),"Not possible ▲",(IF(AND(F214="V.Low",OR(H214="Good",H214="Moderate")),"Error ▲",VLOOKUP(H214,'G-1 All Habitats'!$Z$2:$AA$9,2,FALSE))))))),"")</f>
        <v/>
      </c>
      <c r="J214" s="105"/>
      <c r="K214" s="295" t="str">
        <f>IF(AND(J214="",D214&lt;&gt;""),"Check data ⚠",IF(J214="","",IF(VLOOKUP(J214,'G-3 Multipliers'!$L$3:$N$6,2,FALSE)=0,"Spatial Data Missing ⚠",VLOOKUP(J214,'G-3 Multipliers'!$L$3:$N$6,2,FALSE))))</f>
        <v/>
      </c>
      <c r="L214" s="299" t="str">
        <f>IF(J214="","",IF(VLOOKUP(J214,'G-3 Multipliers'!$L$3:$N$6,3,FALSE)=0,"Spatial Data Missing ⚠",VLOOKUP(J214,'G-3 Multipliers'!$L$3:$N$6,3,FALSE)))</f>
        <v/>
      </c>
      <c r="M214" s="336" t="str">
        <f>IF(D214="","",VLOOKUP(D214,'G-6 Hedgerow Data'!$B$1:$AH$15,33,FALSE))</f>
        <v/>
      </c>
      <c r="N214" s="289" t="str">
        <f t="shared" si="29"/>
        <v/>
      </c>
      <c r="O214" s="393"/>
      <c r="P214" s="281" t="str">
        <f>IF(O214="","",IF(VLOOKUP(O214,'G-3 Multipliers'!$S$3:$T$10,2,FALSE)=0,"Spatial Data Missing ⚠",VLOOKUP(O214,'G-3 Multipliers'!$S$3:$T$10,2,FALSE)))</f>
        <v/>
      </c>
      <c r="Q214" s="289" t="str">
        <f t="shared" si="30"/>
        <v/>
      </c>
      <c r="R214" s="32"/>
      <c r="S214" s="101"/>
      <c r="T214" s="108"/>
      <c r="U214" s="283" t="str">
        <f t="shared" si="31"/>
        <v/>
      </c>
      <c r="V214" s="283" t="str">
        <f t="shared" si="32"/>
        <v/>
      </c>
      <c r="W214" s="287" t="str">
        <f t="shared" si="33"/>
        <v/>
      </c>
      <c r="X214" s="291" t="str">
        <f t="shared" si="34"/>
        <v/>
      </c>
      <c r="Y214" s="105"/>
      <c r="Z214" s="104"/>
      <c r="AA214" s="104"/>
      <c r="AB214" s="104"/>
      <c r="AE214" s="30" t="str">
        <f>IFERROR(INDEX('G-6 Hedgerow Data'!$BJ$3:$BJ$15,MATCH(D214,'G-6 Hedgerow Data'!$B$3:$B$15,0)),"")</f>
        <v/>
      </c>
      <c r="AH214" s="107" t="str">
        <f t="shared" si="27"/>
        <v/>
      </c>
      <c r="AI214" s="107" t="str">
        <f t="shared" si="28"/>
        <v/>
      </c>
      <c r="AK214" s="107">
        <v>205</v>
      </c>
      <c r="AM214" s="107" t="str">
        <f t="array" ref="AM214">IFERROR(INDEX($AK$10:$AK$258,MATCH(0,IF(TRUE=$AH$10:$AH$258,COUNTIF($AM$9:$AM213,$AK$10:$AK$258),""),0)),"")</f>
        <v/>
      </c>
      <c r="AN214" s="107" t="str">
        <f t="array" ref="AN214">IFERROR(INDEX($AK$10:$AK$258,MATCH(0,IF(TRUE=$AI$10:$AI$258,COUNTIF($AN$9:$AN213,$AK$10:$AK$258),""),0)),"")</f>
        <v/>
      </c>
      <c r="AY214" s="283" t="str">
        <f t="shared" si="35"/>
        <v/>
      </c>
    </row>
    <row r="215" spans="2:51" ht="14">
      <c r="B215" s="97">
        <v>206</v>
      </c>
      <c r="C215" s="138"/>
      <c r="D215" s="138"/>
      <c r="E215" s="104"/>
      <c r="F215" s="275" t="str">
        <f>IF(D215="","",VLOOKUP(D215,'G-6 Hedgerow Data'!$B$2:$AG$15,2,FALSE))</f>
        <v/>
      </c>
      <c r="G215" s="276" t="str">
        <f>IF(D215="","",VLOOKUP(D215,'G-6 Hedgerow Data'!$B$2:$AG$15,3,FALSE))</f>
        <v/>
      </c>
      <c r="H215" s="101"/>
      <c r="I215" s="276" t="str">
        <f>IFERROR(IF(AND(D215&lt;&gt;"",H215=""),"Check data ⚠",(IF(H215="","",IF(AND(D215="Non-native and ornamental hedgerow",H215&lt;&gt;"Poor"),"Not possible ▲",(IF(AND(F215="V.Low",OR(H215="Good",H215="Moderate")),"Error ▲",VLOOKUP(H215,'G-1 All Habitats'!$Z$2:$AA$9,2,FALSE))))))),"")</f>
        <v/>
      </c>
      <c r="J215" s="105"/>
      <c r="K215" s="295" t="str">
        <f>IF(AND(J215="",D215&lt;&gt;""),"Check data ⚠",IF(J215="","",IF(VLOOKUP(J215,'G-3 Multipliers'!$L$3:$N$6,2,FALSE)=0,"Spatial Data Missing ⚠",VLOOKUP(J215,'G-3 Multipliers'!$L$3:$N$6,2,FALSE))))</f>
        <v/>
      </c>
      <c r="L215" s="299" t="str">
        <f>IF(J215="","",IF(VLOOKUP(J215,'G-3 Multipliers'!$L$3:$N$6,3,FALSE)=0,"Spatial Data Missing ⚠",VLOOKUP(J215,'G-3 Multipliers'!$L$3:$N$6,3,FALSE)))</f>
        <v/>
      </c>
      <c r="M215" s="336" t="str">
        <f>IF(D215="","",VLOOKUP(D215,'G-6 Hedgerow Data'!$B$1:$AH$15,33,FALSE))</f>
        <v/>
      </c>
      <c r="N215" s="289" t="str">
        <f t="shared" si="29"/>
        <v/>
      </c>
      <c r="O215" s="393"/>
      <c r="P215" s="281" t="str">
        <f>IF(O215="","",IF(VLOOKUP(O215,'G-3 Multipliers'!$S$3:$T$10,2,FALSE)=0,"Spatial Data Missing ⚠",VLOOKUP(O215,'G-3 Multipliers'!$S$3:$T$10,2,FALSE)))</f>
        <v/>
      </c>
      <c r="Q215" s="289" t="str">
        <f t="shared" si="30"/>
        <v/>
      </c>
      <c r="R215" s="32"/>
      <c r="S215" s="101"/>
      <c r="T215" s="108"/>
      <c r="U215" s="283" t="str">
        <f t="shared" si="31"/>
        <v/>
      </c>
      <c r="V215" s="283" t="str">
        <f t="shared" si="32"/>
        <v/>
      </c>
      <c r="W215" s="287" t="str">
        <f t="shared" si="33"/>
        <v/>
      </c>
      <c r="X215" s="291" t="str">
        <f t="shared" si="34"/>
        <v/>
      </c>
      <c r="Y215" s="105"/>
      <c r="Z215" s="104"/>
      <c r="AA215" s="104"/>
      <c r="AB215" s="104"/>
      <c r="AE215" s="30" t="str">
        <f>IFERROR(INDEX('G-6 Hedgerow Data'!$BJ$3:$BJ$15,MATCH(D215,'G-6 Hedgerow Data'!$B$3:$B$15,0)),"")</f>
        <v/>
      </c>
      <c r="AH215" s="107" t="str">
        <f t="shared" si="27"/>
        <v/>
      </c>
      <c r="AI215" s="107" t="str">
        <f t="shared" si="28"/>
        <v/>
      </c>
      <c r="AK215" s="107">
        <v>206</v>
      </c>
      <c r="AM215" s="107" t="str">
        <f t="array" ref="AM215">IFERROR(INDEX($AK$10:$AK$258,MATCH(0,IF(TRUE=$AH$10:$AH$258,COUNTIF($AM$9:$AM214,$AK$10:$AK$258),""),0)),"")</f>
        <v/>
      </c>
      <c r="AN215" s="107" t="str">
        <f t="array" ref="AN215">IFERROR(INDEX($AK$10:$AK$258,MATCH(0,IF(TRUE=$AI$10:$AI$258,COUNTIF($AN$9:$AN214,$AK$10:$AK$258),""),0)),"")</f>
        <v/>
      </c>
      <c r="AY215" s="283" t="str">
        <f t="shared" si="35"/>
        <v/>
      </c>
    </row>
    <row r="216" spans="2:51" ht="14">
      <c r="B216" s="97">
        <v>207</v>
      </c>
      <c r="C216" s="138"/>
      <c r="D216" s="138"/>
      <c r="E216" s="104"/>
      <c r="F216" s="275" t="str">
        <f>IF(D216="","",VLOOKUP(D216,'G-6 Hedgerow Data'!$B$2:$AG$15,2,FALSE))</f>
        <v/>
      </c>
      <c r="G216" s="276" t="str">
        <f>IF(D216="","",VLOOKUP(D216,'G-6 Hedgerow Data'!$B$2:$AG$15,3,FALSE))</f>
        <v/>
      </c>
      <c r="H216" s="101"/>
      <c r="I216" s="276" t="str">
        <f>IFERROR(IF(AND(D216&lt;&gt;"",H216=""),"Check data ⚠",(IF(H216="","",IF(AND(D216="Non-native and ornamental hedgerow",H216&lt;&gt;"Poor"),"Not possible ▲",(IF(AND(F216="V.Low",OR(H216="Good",H216="Moderate")),"Error ▲",VLOOKUP(H216,'G-1 All Habitats'!$Z$2:$AA$9,2,FALSE))))))),"")</f>
        <v/>
      </c>
      <c r="J216" s="105"/>
      <c r="K216" s="295" t="str">
        <f>IF(AND(J216="",D216&lt;&gt;""),"Check data ⚠",IF(J216="","",IF(VLOOKUP(J216,'G-3 Multipliers'!$L$3:$N$6,2,FALSE)=0,"Spatial Data Missing ⚠",VLOOKUP(J216,'G-3 Multipliers'!$L$3:$N$6,2,FALSE))))</f>
        <v/>
      </c>
      <c r="L216" s="299" t="str">
        <f>IF(J216="","",IF(VLOOKUP(J216,'G-3 Multipliers'!$L$3:$N$6,3,FALSE)=0,"Spatial Data Missing ⚠",VLOOKUP(J216,'G-3 Multipliers'!$L$3:$N$6,3,FALSE)))</f>
        <v/>
      </c>
      <c r="M216" s="336" t="str">
        <f>IF(D216="","",VLOOKUP(D216,'G-6 Hedgerow Data'!$B$1:$AH$15,33,FALSE))</f>
        <v/>
      </c>
      <c r="N216" s="289" t="str">
        <f t="shared" si="29"/>
        <v/>
      </c>
      <c r="O216" s="393"/>
      <c r="P216" s="281" t="str">
        <f>IF(O216="","",IF(VLOOKUP(O216,'G-3 Multipliers'!$S$3:$T$10,2,FALSE)=0,"Spatial Data Missing ⚠",VLOOKUP(O216,'G-3 Multipliers'!$S$3:$T$10,2,FALSE)))</f>
        <v/>
      </c>
      <c r="Q216" s="289" t="str">
        <f t="shared" si="30"/>
        <v/>
      </c>
      <c r="R216" s="32"/>
      <c r="S216" s="101"/>
      <c r="T216" s="108"/>
      <c r="U216" s="283" t="str">
        <f t="shared" si="31"/>
        <v/>
      </c>
      <c r="V216" s="283" t="str">
        <f t="shared" si="32"/>
        <v/>
      </c>
      <c r="W216" s="287" t="str">
        <f t="shared" si="33"/>
        <v/>
      </c>
      <c r="X216" s="291" t="str">
        <f t="shared" si="34"/>
        <v/>
      </c>
      <c r="Y216" s="105"/>
      <c r="Z216" s="104"/>
      <c r="AA216" s="104"/>
      <c r="AB216" s="104"/>
      <c r="AE216" s="30" t="str">
        <f>IFERROR(INDEX('G-6 Hedgerow Data'!$BJ$3:$BJ$15,MATCH(D216,'G-6 Hedgerow Data'!$B$3:$B$15,0)),"")</f>
        <v/>
      </c>
      <c r="AH216" s="107" t="str">
        <f t="shared" si="27"/>
        <v/>
      </c>
      <c r="AI216" s="107" t="str">
        <f t="shared" si="28"/>
        <v/>
      </c>
      <c r="AK216" s="107">
        <v>207</v>
      </c>
      <c r="AM216" s="107" t="str">
        <f t="array" ref="AM216">IFERROR(INDEX($AK$10:$AK$258,MATCH(0,IF(TRUE=$AH$10:$AH$258,COUNTIF($AM$9:$AM215,$AK$10:$AK$258),""),0)),"")</f>
        <v/>
      </c>
      <c r="AN216" s="107" t="str">
        <f t="array" ref="AN216">IFERROR(INDEX($AK$10:$AK$258,MATCH(0,IF(TRUE=$AI$10:$AI$258,COUNTIF($AN$9:$AN215,$AK$10:$AK$258),""),0)),"")</f>
        <v/>
      </c>
      <c r="AY216" s="283" t="str">
        <f t="shared" si="35"/>
        <v/>
      </c>
    </row>
    <row r="217" spans="2:51" ht="14">
      <c r="B217" s="97">
        <v>208</v>
      </c>
      <c r="C217" s="138"/>
      <c r="D217" s="138"/>
      <c r="E217" s="104"/>
      <c r="F217" s="275" t="str">
        <f>IF(D217="","",VLOOKUP(D217,'G-6 Hedgerow Data'!$B$2:$AG$15,2,FALSE))</f>
        <v/>
      </c>
      <c r="G217" s="276" t="str">
        <f>IF(D217="","",VLOOKUP(D217,'G-6 Hedgerow Data'!$B$2:$AG$15,3,FALSE))</f>
        <v/>
      </c>
      <c r="H217" s="101"/>
      <c r="I217" s="276" t="str">
        <f>IFERROR(IF(AND(D217&lt;&gt;"",H217=""),"Check data ⚠",(IF(H217="","",IF(AND(D217="Non-native and ornamental hedgerow",H217&lt;&gt;"Poor"),"Not possible ▲",(IF(AND(F217="V.Low",OR(H217="Good",H217="Moderate")),"Error ▲",VLOOKUP(H217,'G-1 All Habitats'!$Z$2:$AA$9,2,FALSE))))))),"")</f>
        <v/>
      </c>
      <c r="J217" s="105"/>
      <c r="K217" s="295" t="str">
        <f>IF(AND(J217="",D217&lt;&gt;""),"Check data ⚠",IF(J217="","",IF(VLOOKUP(J217,'G-3 Multipliers'!$L$3:$N$6,2,FALSE)=0,"Spatial Data Missing ⚠",VLOOKUP(J217,'G-3 Multipliers'!$L$3:$N$6,2,FALSE))))</f>
        <v/>
      </c>
      <c r="L217" s="299" t="str">
        <f>IF(J217="","",IF(VLOOKUP(J217,'G-3 Multipliers'!$L$3:$N$6,3,FALSE)=0,"Spatial Data Missing ⚠",VLOOKUP(J217,'G-3 Multipliers'!$L$3:$N$6,3,FALSE)))</f>
        <v/>
      </c>
      <c r="M217" s="336" t="str">
        <f>IF(D217="","",VLOOKUP(D217,'G-6 Hedgerow Data'!$B$1:$AH$15,33,FALSE))</f>
        <v/>
      </c>
      <c r="N217" s="289" t="str">
        <f t="shared" si="29"/>
        <v/>
      </c>
      <c r="O217" s="393"/>
      <c r="P217" s="281" t="str">
        <f>IF(O217="","",IF(VLOOKUP(O217,'G-3 Multipliers'!$S$3:$T$10,2,FALSE)=0,"Spatial Data Missing ⚠",VLOOKUP(O217,'G-3 Multipliers'!$S$3:$T$10,2,FALSE)))</f>
        <v/>
      </c>
      <c r="Q217" s="289" t="str">
        <f t="shared" si="30"/>
        <v/>
      </c>
      <c r="R217" s="32"/>
      <c r="S217" s="101"/>
      <c r="T217" s="108"/>
      <c r="U217" s="283" t="str">
        <f t="shared" si="31"/>
        <v/>
      </c>
      <c r="V217" s="283" t="str">
        <f t="shared" si="32"/>
        <v/>
      </c>
      <c r="W217" s="287" t="str">
        <f t="shared" si="33"/>
        <v/>
      </c>
      <c r="X217" s="291" t="str">
        <f t="shared" si="34"/>
        <v/>
      </c>
      <c r="Y217" s="105"/>
      <c r="Z217" s="104"/>
      <c r="AA217" s="104"/>
      <c r="AB217" s="104"/>
      <c r="AE217" s="30" t="str">
        <f>IFERROR(INDEX('G-6 Hedgerow Data'!$BJ$3:$BJ$15,MATCH(D217,'G-6 Hedgerow Data'!$B$3:$B$15,0)),"")</f>
        <v/>
      </c>
      <c r="AH217" s="107" t="str">
        <f t="shared" si="27"/>
        <v/>
      </c>
      <c r="AI217" s="107" t="str">
        <f t="shared" si="28"/>
        <v/>
      </c>
      <c r="AK217" s="107">
        <v>208</v>
      </c>
      <c r="AM217" s="107" t="str">
        <f t="array" ref="AM217">IFERROR(INDEX($AK$10:$AK$258,MATCH(0,IF(TRUE=$AH$10:$AH$258,COUNTIF($AM$9:$AM216,$AK$10:$AK$258),""),0)),"")</f>
        <v/>
      </c>
      <c r="AN217" s="107" t="str">
        <f t="array" ref="AN217">IFERROR(INDEX($AK$10:$AK$258,MATCH(0,IF(TRUE=$AI$10:$AI$258,COUNTIF($AN$9:$AN216,$AK$10:$AK$258),""),0)),"")</f>
        <v/>
      </c>
      <c r="AY217" s="283" t="str">
        <f t="shared" si="35"/>
        <v/>
      </c>
    </row>
    <row r="218" spans="2:51" ht="14">
      <c r="B218" s="97">
        <v>209</v>
      </c>
      <c r="C218" s="138"/>
      <c r="D218" s="138"/>
      <c r="E218" s="104"/>
      <c r="F218" s="275" t="str">
        <f>IF(D218="","",VLOOKUP(D218,'G-6 Hedgerow Data'!$B$2:$AG$15,2,FALSE))</f>
        <v/>
      </c>
      <c r="G218" s="276" t="str">
        <f>IF(D218="","",VLOOKUP(D218,'G-6 Hedgerow Data'!$B$2:$AG$15,3,FALSE))</f>
        <v/>
      </c>
      <c r="H218" s="101"/>
      <c r="I218" s="276" t="str">
        <f>IFERROR(IF(AND(D218&lt;&gt;"",H218=""),"Check data ⚠",(IF(H218="","",IF(AND(D218="Non-native and ornamental hedgerow",H218&lt;&gt;"Poor"),"Not possible ▲",(IF(AND(F218="V.Low",OR(H218="Good",H218="Moderate")),"Error ▲",VLOOKUP(H218,'G-1 All Habitats'!$Z$2:$AA$9,2,FALSE))))))),"")</f>
        <v/>
      </c>
      <c r="J218" s="105"/>
      <c r="K218" s="295" t="str">
        <f>IF(AND(J218="",D218&lt;&gt;""),"Check data ⚠",IF(J218="","",IF(VLOOKUP(J218,'G-3 Multipliers'!$L$3:$N$6,2,FALSE)=0,"Spatial Data Missing ⚠",VLOOKUP(J218,'G-3 Multipliers'!$L$3:$N$6,2,FALSE))))</f>
        <v/>
      </c>
      <c r="L218" s="299" t="str">
        <f>IF(J218="","",IF(VLOOKUP(J218,'G-3 Multipliers'!$L$3:$N$6,3,FALSE)=0,"Spatial Data Missing ⚠",VLOOKUP(J218,'G-3 Multipliers'!$L$3:$N$6,3,FALSE)))</f>
        <v/>
      </c>
      <c r="M218" s="336" t="str">
        <f>IF(D218="","",VLOOKUP(D218,'G-6 Hedgerow Data'!$B$1:$AH$15,33,FALSE))</f>
        <v/>
      </c>
      <c r="N218" s="289" t="str">
        <f t="shared" si="29"/>
        <v/>
      </c>
      <c r="O218" s="393"/>
      <c r="P218" s="281" t="str">
        <f>IF(O218="","",IF(VLOOKUP(O218,'G-3 Multipliers'!$S$3:$T$10,2,FALSE)=0,"Spatial Data Missing ⚠",VLOOKUP(O218,'G-3 Multipliers'!$S$3:$T$10,2,FALSE)))</f>
        <v/>
      </c>
      <c r="Q218" s="289" t="str">
        <f t="shared" si="30"/>
        <v/>
      </c>
      <c r="R218" s="32"/>
      <c r="S218" s="101"/>
      <c r="T218" s="108"/>
      <c r="U218" s="283" t="str">
        <f t="shared" si="31"/>
        <v/>
      </c>
      <c r="V218" s="283" t="str">
        <f t="shared" si="32"/>
        <v/>
      </c>
      <c r="W218" s="287" t="str">
        <f t="shared" si="33"/>
        <v/>
      </c>
      <c r="X218" s="291" t="str">
        <f t="shared" si="34"/>
        <v/>
      </c>
      <c r="Y218" s="105"/>
      <c r="Z218" s="104"/>
      <c r="AA218" s="104"/>
      <c r="AB218" s="104"/>
      <c r="AE218" s="30" t="str">
        <f>IFERROR(INDEX('G-6 Hedgerow Data'!$BJ$3:$BJ$15,MATCH(D218,'G-6 Hedgerow Data'!$B$3:$B$15,0)),"")</f>
        <v/>
      </c>
      <c r="AH218" s="107" t="str">
        <f t="shared" si="27"/>
        <v/>
      </c>
      <c r="AI218" s="107" t="str">
        <f t="shared" si="28"/>
        <v/>
      </c>
      <c r="AK218" s="107">
        <v>209</v>
      </c>
      <c r="AM218" s="107" t="str">
        <f t="array" ref="AM218">IFERROR(INDEX($AK$10:$AK$258,MATCH(0,IF(TRUE=$AH$10:$AH$258,COUNTIF($AM$9:$AM217,$AK$10:$AK$258),""),0)),"")</f>
        <v/>
      </c>
      <c r="AN218" s="107" t="str">
        <f t="array" ref="AN218">IFERROR(INDEX($AK$10:$AK$258,MATCH(0,IF(TRUE=$AI$10:$AI$258,COUNTIF($AN$9:$AN217,$AK$10:$AK$258),""),0)),"")</f>
        <v/>
      </c>
      <c r="AY218" s="283" t="str">
        <f t="shared" si="35"/>
        <v/>
      </c>
    </row>
    <row r="219" spans="2:51" ht="14">
      <c r="B219" s="97">
        <v>210</v>
      </c>
      <c r="C219" s="138"/>
      <c r="D219" s="138"/>
      <c r="E219" s="104"/>
      <c r="F219" s="275" t="str">
        <f>IF(D219="","",VLOOKUP(D219,'G-6 Hedgerow Data'!$B$2:$AG$15,2,FALSE))</f>
        <v/>
      </c>
      <c r="G219" s="276" t="str">
        <f>IF(D219="","",VLOOKUP(D219,'G-6 Hedgerow Data'!$B$2:$AG$15,3,FALSE))</f>
        <v/>
      </c>
      <c r="H219" s="101"/>
      <c r="I219" s="276" t="str">
        <f>IFERROR(IF(AND(D219&lt;&gt;"",H219=""),"Check data ⚠",(IF(H219="","",IF(AND(D219="Non-native and ornamental hedgerow",H219&lt;&gt;"Poor"),"Not possible ▲",(IF(AND(F219="V.Low",OR(H219="Good",H219="Moderate")),"Error ▲",VLOOKUP(H219,'G-1 All Habitats'!$Z$2:$AA$9,2,FALSE))))))),"")</f>
        <v/>
      </c>
      <c r="J219" s="105"/>
      <c r="K219" s="295" t="str">
        <f>IF(AND(J219="",D219&lt;&gt;""),"Check data ⚠",IF(J219="","",IF(VLOOKUP(J219,'G-3 Multipliers'!$L$3:$N$6,2,FALSE)=0,"Spatial Data Missing ⚠",VLOOKUP(J219,'G-3 Multipliers'!$L$3:$N$6,2,FALSE))))</f>
        <v/>
      </c>
      <c r="L219" s="299" t="str">
        <f>IF(J219="","",IF(VLOOKUP(J219,'G-3 Multipliers'!$L$3:$N$6,3,FALSE)=0,"Spatial Data Missing ⚠",VLOOKUP(J219,'G-3 Multipliers'!$L$3:$N$6,3,FALSE)))</f>
        <v/>
      </c>
      <c r="M219" s="336" t="str">
        <f>IF(D219="","",VLOOKUP(D219,'G-6 Hedgerow Data'!$B$1:$AH$15,33,FALSE))</f>
        <v/>
      </c>
      <c r="N219" s="289" t="str">
        <f t="shared" si="29"/>
        <v/>
      </c>
      <c r="O219" s="393"/>
      <c r="P219" s="281" t="str">
        <f>IF(O219="","",IF(VLOOKUP(O219,'G-3 Multipliers'!$S$3:$T$10,2,FALSE)=0,"Spatial Data Missing ⚠",VLOOKUP(O219,'G-3 Multipliers'!$S$3:$T$10,2,FALSE)))</f>
        <v/>
      </c>
      <c r="Q219" s="289" t="str">
        <f t="shared" si="30"/>
        <v/>
      </c>
      <c r="R219" s="32"/>
      <c r="S219" s="101"/>
      <c r="T219" s="108"/>
      <c r="U219" s="283" t="str">
        <f t="shared" si="31"/>
        <v/>
      </c>
      <c r="V219" s="283" t="str">
        <f t="shared" si="32"/>
        <v/>
      </c>
      <c r="W219" s="287" t="str">
        <f t="shared" si="33"/>
        <v/>
      </c>
      <c r="X219" s="291" t="str">
        <f t="shared" si="34"/>
        <v/>
      </c>
      <c r="Y219" s="105"/>
      <c r="Z219" s="104"/>
      <c r="AA219" s="104"/>
      <c r="AB219" s="104"/>
      <c r="AE219" s="30" t="str">
        <f>IFERROR(INDEX('G-6 Hedgerow Data'!$BJ$3:$BJ$15,MATCH(D219,'G-6 Hedgerow Data'!$B$3:$B$15,0)),"")</f>
        <v/>
      </c>
      <c r="AH219" s="107" t="str">
        <f t="shared" si="27"/>
        <v/>
      </c>
      <c r="AI219" s="107" t="str">
        <f t="shared" si="28"/>
        <v/>
      </c>
      <c r="AK219" s="107">
        <v>210</v>
      </c>
      <c r="AM219" s="107" t="str">
        <f t="array" ref="AM219">IFERROR(INDEX($AK$10:$AK$258,MATCH(0,IF(TRUE=$AH$10:$AH$258,COUNTIF($AM$9:$AM218,$AK$10:$AK$258),""),0)),"")</f>
        <v/>
      </c>
      <c r="AN219" s="107" t="str">
        <f t="array" ref="AN219">IFERROR(INDEX($AK$10:$AK$258,MATCH(0,IF(TRUE=$AI$10:$AI$258,COUNTIF($AN$9:$AN218,$AK$10:$AK$258),""),0)),"")</f>
        <v/>
      </c>
      <c r="AY219" s="283" t="str">
        <f t="shared" si="35"/>
        <v/>
      </c>
    </row>
    <row r="220" spans="2:51" ht="14">
      <c r="B220" s="97">
        <v>211</v>
      </c>
      <c r="C220" s="138"/>
      <c r="D220" s="138"/>
      <c r="E220" s="104"/>
      <c r="F220" s="275" t="str">
        <f>IF(D220="","",VLOOKUP(D220,'G-6 Hedgerow Data'!$B$2:$AG$15,2,FALSE))</f>
        <v/>
      </c>
      <c r="G220" s="276" t="str">
        <f>IF(D220="","",VLOOKUP(D220,'G-6 Hedgerow Data'!$B$2:$AG$15,3,FALSE))</f>
        <v/>
      </c>
      <c r="H220" s="101"/>
      <c r="I220" s="276" t="str">
        <f>IFERROR(IF(AND(D220&lt;&gt;"",H220=""),"Check data ⚠",(IF(H220="","",IF(AND(D220="Non-native and ornamental hedgerow",H220&lt;&gt;"Poor"),"Not possible ▲",(IF(AND(F220="V.Low",OR(H220="Good",H220="Moderate")),"Error ▲",VLOOKUP(H220,'G-1 All Habitats'!$Z$2:$AA$9,2,FALSE))))))),"")</f>
        <v/>
      </c>
      <c r="J220" s="105"/>
      <c r="K220" s="295" t="str">
        <f>IF(AND(J220="",D220&lt;&gt;""),"Check data ⚠",IF(J220="","",IF(VLOOKUP(J220,'G-3 Multipliers'!$L$3:$N$6,2,FALSE)=0,"Spatial Data Missing ⚠",VLOOKUP(J220,'G-3 Multipliers'!$L$3:$N$6,2,FALSE))))</f>
        <v/>
      </c>
      <c r="L220" s="299" t="str">
        <f>IF(J220="","",IF(VLOOKUP(J220,'G-3 Multipliers'!$L$3:$N$6,3,FALSE)=0,"Spatial Data Missing ⚠",VLOOKUP(J220,'G-3 Multipliers'!$L$3:$N$6,3,FALSE)))</f>
        <v/>
      </c>
      <c r="M220" s="336" t="str">
        <f>IF(D220="","",VLOOKUP(D220,'G-6 Hedgerow Data'!$B$1:$AH$15,33,FALSE))</f>
        <v/>
      </c>
      <c r="N220" s="289" t="str">
        <f t="shared" si="29"/>
        <v/>
      </c>
      <c r="O220" s="393"/>
      <c r="P220" s="281" t="str">
        <f>IF(O220="","",IF(VLOOKUP(O220,'G-3 Multipliers'!$S$3:$T$10,2,FALSE)=0,"Spatial Data Missing ⚠",VLOOKUP(O220,'G-3 Multipliers'!$S$3:$T$10,2,FALSE)))</f>
        <v/>
      </c>
      <c r="Q220" s="289" t="str">
        <f t="shared" si="30"/>
        <v/>
      </c>
      <c r="R220" s="32"/>
      <c r="S220" s="101"/>
      <c r="T220" s="108"/>
      <c r="U220" s="283" t="str">
        <f t="shared" si="31"/>
        <v/>
      </c>
      <c r="V220" s="283" t="str">
        <f t="shared" si="32"/>
        <v/>
      </c>
      <c r="W220" s="287" t="str">
        <f t="shared" si="33"/>
        <v/>
      </c>
      <c r="X220" s="291" t="str">
        <f t="shared" si="34"/>
        <v/>
      </c>
      <c r="Y220" s="105"/>
      <c r="Z220" s="104"/>
      <c r="AA220" s="104"/>
      <c r="AB220" s="104"/>
      <c r="AE220" s="30" t="str">
        <f>IFERROR(INDEX('G-6 Hedgerow Data'!$BJ$3:$BJ$15,MATCH(D220,'G-6 Hedgerow Data'!$B$3:$B$15,0)),"")</f>
        <v/>
      </c>
      <c r="AH220" s="107" t="str">
        <f t="shared" si="27"/>
        <v/>
      </c>
      <c r="AI220" s="107" t="str">
        <f t="shared" si="28"/>
        <v/>
      </c>
      <c r="AK220" s="107">
        <v>211</v>
      </c>
      <c r="AM220" s="107" t="str">
        <f t="array" ref="AM220">IFERROR(INDEX($AK$10:$AK$258,MATCH(0,IF(TRUE=$AH$10:$AH$258,COUNTIF($AM$9:$AM219,$AK$10:$AK$258),""),0)),"")</f>
        <v/>
      </c>
      <c r="AN220" s="107" t="str">
        <f t="array" ref="AN220">IFERROR(INDEX($AK$10:$AK$258,MATCH(0,IF(TRUE=$AI$10:$AI$258,COUNTIF($AN$9:$AN219,$AK$10:$AK$258),""),0)),"")</f>
        <v/>
      </c>
      <c r="AY220" s="283" t="str">
        <f t="shared" si="35"/>
        <v/>
      </c>
    </row>
    <row r="221" spans="2:51" ht="14">
      <c r="B221" s="97">
        <v>212</v>
      </c>
      <c r="C221" s="138"/>
      <c r="D221" s="138"/>
      <c r="E221" s="104"/>
      <c r="F221" s="275" t="str">
        <f>IF(D221="","",VLOOKUP(D221,'G-6 Hedgerow Data'!$B$2:$AG$15,2,FALSE))</f>
        <v/>
      </c>
      <c r="G221" s="276" t="str">
        <f>IF(D221="","",VLOOKUP(D221,'G-6 Hedgerow Data'!$B$2:$AG$15,3,FALSE))</f>
        <v/>
      </c>
      <c r="H221" s="101"/>
      <c r="I221" s="276" t="str">
        <f>IFERROR(IF(AND(D221&lt;&gt;"",H221=""),"Check data ⚠",(IF(H221="","",IF(AND(D221="Non-native and ornamental hedgerow",H221&lt;&gt;"Poor"),"Not possible ▲",(IF(AND(F221="V.Low",OR(H221="Good",H221="Moderate")),"Error ▲",VLOOKUP(H221,'G-1 All Habitats'!$Z$2:$AA$9,2,FALSE))))))),"")</f>
        <v/>
      </c>
      <c r="J221" s="105"/>
      <c r="K221" s="295" t="str">
        <f>IF(AND(J221="",D221&lt;&gt;""),"Check data ⚠",IF(J221="","",IF(VLOOKUP(J221,'G-3 Multipliers'!$L$3:$N$6,2,FALSE)=0,"Spatial Data Missing ⚠",VLOOKUP(J221,'G-3 Multipliers'!$L$3:$N$6,2,FALSE))))</f>
        <v/>
      </c>
      <c r="L221" s="299" t="str">
        <f>IF(J221="","",IF(VLOOKUP(J221,'G-3 Multipliers'!$L$3:$N$6,3,FALSE)=0,"Spatial Data Missing ⚠",VLOOKUP(J221,'G-3 Multipliers'!$L$3:$N$6,3,FALSE)))</f>
        <v/>
      </c>
      <c r="M221" s="336" t="str">
        <f>IF(D221="","",VLOOKUP(D221,'G-6 Hedgerow Data'!$B$1:$AH$15,33,FALSE))</f>
        <v/>
      </c>
      <c r="N221" s="289" t="str">
        <f t="shared" si="29"/>
        <v/>
      </c>
      <c r="O221" s="393"/>
      <c r="P221" s="281" t="str">
        <f>IF(O221="","",IF(VLOOKUP(O221,'G-3 Multipliers'!$S$3:$T$10,2,FALSE)=0,"Spatial Data Missing ⚠",VLOOKUP(O221,'G-3 Multipliers'!$S$3:$T$10,2,FALSE)))</f>
        <v/>
      </c>
      <c r="Q221" s="289" t="str">
        <f t="shared" si="30"/>
        <v/>
      </c>
      <c r="R221" s="32"/>
      <c r="S221" s="101"/>
      <c r="T221" s="108"/>
      <c r="U221" s="283" t="str">
        <f t="shared" si="31"/>
        <v/>
      </c>
      <c r="V221" s="283" t="str">
        <f t="shared" si="32"/>
        <v/>
      </c>
      <c r="W221" s="287" t="str">
        <f t="shared" si="33"/>
        <v/>
      </c>
      <c r="X221" s="291" t="str">
        <f t="shared" si="34"/>
        <v/>
      </c>
      <c r="Y221" s="105"/>
      <c r="Z221" s="104"/>
      <c r="AA221" s="104"/>
      <c r="AB221" s="104"/>
      <c r="AE221" s="30" t="str">
        <f>IFERROR(INDEX('G-6 Hedgerow Data'!$BJ$3:$BJ$15,MATCH(D221,'G-6 Hedgerow Data'!$B$3:$B$15,0)),"")</f>
        <v/>
      </c>
      <c r="AH221" s="107" t="str">
        <f t="shared" si="27"/>
        <v/>
      </c>
      <c r="AI221" s="107" t="str">
        <f t="shared" si="28"/>
        <v/>
      </c>
      <c r="AK221" s="107">
        <v>212</v>
      </c>
      <c r="AM221" s="107" t="str">
        <f t="array" ref="AM221">IFERROR(INDEX($AK$10:$AK$258,MATCH(0,IF(TRUE=$AH$10:$AH$258,COUNTIF($AM$9:$AM220,$AK$10:$AK$258),""),0)),"")</f>
        <v/>
      </c>
      <c r="AN221" s="107" t="str">
        <f t="array" ref="AN221">IFERROR(INDEX($AK$10:$AK$258,MATCH(0,IF(TRUE=$AI$10:$AI$258,COUNTIF($AN$9:$AN220,$AK$10:$AK$258),""),0)),"")</f>
        <v/>
      </c>
      <c r="AY221" s="283" t="str">
        <f t="shared" si="35"/>
        <v/>
      </c>
    </row>
    <row r="222" spans="2:51" ht="14">
      <c r="B222" s="97">
        <v>213</v>
      </c>
      <c r="C222" s="138"/>
      <c r="D222" s="138"/>
      <c r="E222" s="104"/>
      <c r="F222" s="275" t="str">
        <f>IF(D222="","",VLOOKUP(D222,'G-6 Hedgerow Data'!$B$2:$AG$15,2,FALSE))</f>
        <v/>
      </c>
      <c r="G222" s="276" t="str">
        <f>IF(D222="","",VLOOKUP(D222,'G-6 Hedgerow Data'!$B$2:$AG$15,3,FALSE))</f>
        <v/>
      </c>
      <c r="H222" s="101"/>
      <c r="I222" s="276" t="str">
        <f>IFERROR(IF(AND(D222&lt;&gt;"",H222=""),"Check data ⚠",(IF(H222="","",IF(AND(D222="Non-native and ornamental hedgerow",H222&lt;&gt;"Poor"),"Not possible ▲",(IF(AND(F222="V.Low",OR(H222="Good",H222="Moderate")),"Error ▲",VLOOKUP(H222,'G-1 All Habitats'!$Z$2:$AA$9,2,FALSE))))))),"")</f>
        <v/>
      </c>
      <c r="J222" s="105"/>
      <c r="K222" s="295" t="str">
        <f>IF(AND(J222="",D222&lt;&gt;""),"Check data ⚠",IF(J222="","",IF(VLOOKUP(J222,'G-3 Multipliers'!$L$3:$N$6,2,FALSE)=0,"Spatial Data Missing ⚠",VLOOKUP(J222,'G-3 Multipliers'!$L$3:$N$6,2,FALSE))))</f>
        <v/>
      </c>
      <c r="L222" s="299" t="str">
        <f>IF(J222="","",IF(VLOOKUP(J222,'G-3 Multipliers'!$L$3:$N$6,3,FALSE)=0,"Spatial Data Missing ⚠",VLOOKUP(J222,'G-3 Multipliers'!$L$3:$N$6,3,FALSE)))</f>
        <v/>
      </c>
      <c r="M222" s="336" t="str">
        <f>IF(D222="","",VLOOKUP(D222,'G-6 Hedgerow Data'!$B$1:$AH$15,33,FALSE))</f>
        <v/>
      </c>
      <c r="N222" s="289" t="str">
        <f t="shared" si="29"/>
        <v/>
      </c>
      <c r="O222" s="393"/>
      <c r="P222" s="281" t="str">
        <f>IF(O222="","",IF(VLOOKUP(O222,'G-3 Multipliers'!$S$3:$T$10,2,FALSE)=0,"Spatial Data Missing ⚠",VLOOKUP(O222,'G-3 Multipliers'!$S$3:$T$10,2,FALSE)))</f>
        <v/>
      </c>
      <c r="Q222" s="289" t="str">
        <f t="shared" si="30"/>
        <v/>
      </c>
      <c r="R222" s="32"/>
      <c r="S222" s="101"/>
      <c r="T222" s="108"/>
      <c r="U222" s="283" t="str">
        <f t="shared" si="31"/>
        <v/>
      </c>
      <c r="V222" s="283" t="str">
        <f t="shared" si="32"/>
        <v/>
      </c>
      <c r="W222" s="287" t="str">
        <f t="shared" si="33"/>
        <v/>
      </c>
      <c r="X222" s="291" t="str">
        <f t="shared" si="34"/>
        <v/>
      </c>
      <c r="Y222" s="105"/>
      <c r="Z222" s="104"/>
      <c r="AA222" s="104"/>
      <c r="AB222" s="104"/>
      <c r="AE222" s="30" t="str">
        <f>IFERROR(INDEX('G-6 Hedgerow Data'!$BJ$3:$BJ$15,MATCH(D222,'G-6 Hedgerow Data'!$B$3:$B$15,0)),"")</f>
        <v/>
      </c>
      <c r="AH222" s="107" t="str">
        <f t="shared" si="27"/>
        <v/>
      </c>
      <c r="AI222" s="107" t="str">
        <f t="shared" si="28"/>
        <v/>
      </c>
      <c r="AK222" s="107">
        <v>213</v>
      </c>
      <c r="AM222" s="107" t="str">
        <f t="array" ref="AM222">IFERROR(INDEX($AK$10:$AK$258,MATCH(0,IF(TRUE=$AH$10:$AH$258,COUNTIF($AM$9:$AM221,$AK$10:$AK$258),""),0)),"")</f>
        <v/>
      </c>
      <c r="AN222" s="107" t="str">
        <f t="array" ref="AN222">IFERROR(INDEX($AK$10:$AK$258,MATCH(0,IF(TRUE=$AI$10:$AI$258,COUNTIF($AN$9:$AN221,$AK$10:$AK$258),""),0)),"")</f>
        <v/>
      </c>
      <c r="AY222" s="283" t="str">
        <f t="shared" si="35"/>
        <v/>
      </c>
    </row>
    <row r="223" spans="2:51" ht="14">
      <c r="B223" s="97">
        <v>214</v>
      </c>
      <c r="C223" s="138"/>
      <c r="D223" s="138"/>
      <c r="E223" s="104"/>
      <c r="F223" s="275" t="str">
        <f>IF(D223="","",VLOOKUP(D223,'G-6 Hedgerow Data'!$B$2:$AG$15,2,FALSE))</f>
        <v/>
      </c>
      <c r="G223" s="276" t="str">
        <f>IF(D223="","",VLOOKUP(D223,'G-6 Hedgerow Data'!$B$2:$AG$15,3,FALSE))</f>
        <v/>
      </c>
      <c r="H223" s="101"/>
      <c r="I223" s="276" t="str">
        <f>IFERROR(IF(AND(D223&lt;&gt;"",H223=""),"Check data ⚠",(IF(H223="","",IF(AND(D223="Non-native and ornamental hedgerow",H223&lt;&gt;"Poor"),"Not possible ▲",(IF(AND(F223="V.Low",OR(H223="Good",H223="Moderate")),"Error ▲",VLOOKUP(H223,'G-1 All Habitats'!$Z$2:$AA$9,2,FALSE))))))),"")</f>
        <v/>
      </c>
      <c r="J223" s="105"/>
      <c r="K223" s="295" t="str">
        <f>IF(AND(J223="",D223&lt;&gt;""),"Check data ⚠",IF(J223="","",IF(VLOOKUP(J223,'G-3 Multipliers'!$L$3:$N$6,2,FALSE)=0,"Spatial Data Missing ⚠",VLOOKUP(J223,'G-3 Multipliers'!$L$3:$N$6,2,FALSE))))</f>
        <v/>
      </c>
      <c r="L223" s="299" t="str">
        <f>IF(J223="","",IF(VLOOKUP(J223,'G-3 Multipliers'!$L$3:$N$6,3,FALSE)=0,"Spatial Data Missing ⚠",VLOOKUP(J223,'G-3 Multipliers'!$L$3:$N$6,3,FALSE)))</f>
        <v/>
      </c>
      <c r="M223" s="336" t="str">
        <f>IF(D223="","",VLOOKUP(D223,'G-6 Hedgerow Data'!$B$1:$AH$15,33,FALSE))</f>
        <v/>
      </c>
      <c r="N223" s="289" t="str">
        <f t="shared" si="29"/>
        <v/>
      </c>
      <c r="O223" s="393"/>
      <c r="P223" s="281" t="str">
        <f>IF(O223="","",IF(VLOOKUP(O223,'G-3 Multipliers'!$S$3:$T$10,2,FALSE)=0,"Spatial Data Missing ⚠",VLOOKUP(O223,'G-3 Multipliers'!$S$3:$T$10,2,FALSE)))</f>
        <v/>
      </c>
      <c r="Q223" s="289" t="str">
        <f t="shared" si="30"/>
        <v/>
      </c>
      <c r="R223" s="32"/>
      <c r="S223" s="101"/>
      <c r="T223" s="108"/>
      <c r="U223" s="283" t="str">
        <f t="shared" si="31"/>
        <v/>
      </c>
      <c r="V223" s="283" t="str">
        <f t="shared" si="32"/>
        <v/>
      </c>
      <c r="W223" s="287" t="str">
        <f t="shared" si="33"/>
        <v/>
      </c>
      <c r="X223" s="291" t="str">
        <f t="shared" si="34"/>
        <v/>
      </c>
      <c r="Y223" s="105"/>
      <c r="Z223" s="104"/>
      <c r="AA223" s="104"/>
      <c r="AB223" s="104"/>
      <c r="AE223" s="30" t="str">
        <f>IFERROR(INDEX('G-6 Hedgerow Data'!$BJ$3:$BJ$15,MATCH(D223,'G-6 Hedgerow Data'!$B$3:$B$15,0)),"")</f>
        <v/>
      </c>
      <c r="AH223" s="107" t="str">
        <f t="shared" si="27"/>
        <v/>
      </c>
      <c r="AI223" s="107" t="str">
        <f t="shared" si="28"/>
        <v/>
      </c>
      <c r="AK223" s="107">
        <v>214</v>
      </c>
      <c r="AM223" s="107" t="str">
        <f t="array" ref="AM223">IFERROR(INDEX($AK$10:$AK$258,MATCH(0,IF(TRUE=$AH$10:$AH$258,COUNTIF($AM$9:$AM222,$AK$10:$AK$258),""),0)),"")</f>
        <v/>
      </c>
      <c r="AN223" s="107" t="str">
        <f t="array" ref="AN223">IFERROR(INDEX($AK$10:$AK$258,MATCH(0,IF(TRUE=$AI$10:$AI$258,COUNTIF($AN$9:$AN222,$AK$10:$AK$258),""),0)),"")</f>
        <v/>
      </c>
      <c r="AY223" s="283" t="str">
        <f t="shared" si="35"/>
        <v/>
      </c>
    </row>
    <row r="224" spans="2:51" ht="14">
      <c r="B224" s="97">
        <v>215</v>
      </c>
      <c r="C224" s="138"/>
      <c r="D224" s="138"/>
      <c r="E224" s="104"/>
      <c r="F224" s="275" t="str">
        <f>IF(D224="","",VLOOKUP(D224,'G-6 Hedgerow Data'!$B$2:$AG$15,2,FALSE))</f>
        <v/>
      </c>
      <c r="G224" s="276" t="str">
        <f>IF(D224="","",VLOOKUP(D224,'G-6 Hedgerow Data'!$B$2:$AG$15,3,FALSE))</f>
        <v/>
      </c>
      <c r="H224" s="101"/>
      <c r="I224" s="276" t="str">
        <f>IFERROR(IF(AND(D224&lt;&gt;"",H224=""),"Check data ⚠",(IF(H224="","",IF(AND(D224="Non-native and ornamental hedgerow",H224&lt;&gt;"Poor"),"Not possible ▲",(IF(AND(F224="V.Low",OR(H224="Good",H224="Moderate")),"Error ▲",VLOOKUP(H224,'G-1 All Habitats'!$Z$2:$AA$9,2,FALSE))))))),"")</f>
        <v/>
      </c>
      <c r="J224" s="105"/>
      <c r="K224" s="295" t="str">
        <f>IF(AND(J224="",D224&lt;&gt;""),"Check data ⚠",IF(J224="","",IF(VLOOKUP(J224,'G-3 Multipliers'!$L$3:$N$6,2,FALSE)=0,"Spatial Data Missing ⚠",VLOOKUP(J224,'G-3 Multipliers'!$L$3:$N$6,2,FALSE))))</f>
        <v/>
      </c>
      <c r="L224" s="299" t="str">
        <f>IF(J224="","",IF(VLOOKUP(J224,'G-3 Multipliers'!$L$3:$N$6,3,FALSE)=0,"Spatial Data Missing ⚠",VLOOKUP(J224,'G-3 Multipliers'!$L$3:$N$6,3,FALSE)))</f>
        <v/>
      </c>
      <c r="M224" s="336" t="str">
        <f>IF(D224="","",VLOOKUP(D224,'G-6 Hedgerow Data'!$B$1:$AH$15,33,FALSE))</f>
        <v/>
      </c>
      <c r="N224" s="289" t="str">
        <f t="shared" si="29"/>
        <v/>
      </c>
      <c r="O224" s="393"/>
      <c r="P224" s="281" t="str">
        <f>IF(O224="","",IF(VLOOKUP(O224,'G-3 Multipliers'!$S$3:$T$10,2,FALSE)=0,"Spatial Data Missing ⚠",VLOOKUP(O224,'G-3 Multipliers'!$S$3:$T$10,2,FALSE)))</f>
        <v/>
      </c>
      <c r="Q224" s="289" t="str">
        <f t="shared" si="30"/>
        <v/>
      </c>
      <c r="R224" s="32"/>
      <c r="S224" s="101"/>
      <c r="T224" s="108"/>
      <c r="U224" s="283" t="str">
        <f t="shared" si="31"/>
        <v/>
      </c>
      <c r="V224" s="283" t="str">
        <f t="shared" si="32"/>
        <v/>
      </c>
      <c r="W224" s="287" t="str">
        <f t="shared" si="33"/>
        <v/>
      </c>
      <c r="X224" s="291" t="str">
        <f t="shared" si="34"/>
        <v/>
      </c>
      <c r="Y224" s="105"/>
      <c r="Z224" s="104"/>
      <c r="AA224" s="104"/>
      <c r="AB224" s="104"/>
      <c r="AE224" s="30" t="str">
        <f>IFERROR(INDEX('G-6 Hedgerow Data'!$BJ$3:$BJ$15,MATCH(D224,'G-6 Hedgerow Data'!$B$3:$B$15,0)),"")</f>
        <v/>
      </c>
      <c r="AH224" s="107" t="str">
        <f t="shared" si="27"/>
        <v/>
      </c>
      <c r="AI224" s="107" t="str">
        <f t="shared" si="28"/>
        <v/>
      </c>
      <c r="AK224" s="107">
        <v>215</v>
      </c>
      <c r="AM224" s="107" t="str">
        <f t="array" ref="AM224">IFERROR(INDEX($AK$10:$AK$258,MATCH(0,IF(TRUE=$AH$10:$AH$258,COUNTIF($AM$9:$AM223,$AK$10:$AK$258),""),0)),"")</f>
        <v/>
      </c>
      <c r="AN224" s="107" t="str">
        <f t="array" ref="AN224">IFERROR(INDEX($AK$10:$AK$258,MATCH(0,IF(TRUE=$AI$10:$AI$258,COUNTIF($AN$9:$AN223,$AK$10:$AK$258),""),0)),"")</f>
        <v/>
      </c>
      <c r="AY224" s="283" t="str">
        <f t="shared" si="35"/>
        <v/>
      </c>
    </row>
    <row r="225" spans="2:51" ht="14">
      <c r="B225" s="97">
        <v>216</v>
      </c>
      <c r="C225" s="138"/>
      <c r="D225" s="138"/>
      <c r="E225" s="104"/>
      <c r="F225" s="275" t="str">
        <f>IF(D225="","",VLOOKUP(D225,'G-6 Hedgerow Data'!$B$2:$AG$15,2,FALSE))</f>
        <v/>
      </c>
      <c r="G225" s="276" t="str">
        <f>IF(D225="","",VLOOKUP(D225,'G-6 Hedgerow Data'!$B$2:$AG$15,3,FALSE))</f>
        <v/>
      </c>
      <c r="H225" s="101"/>
      <c r="I225" s="276" t="str">
        <f>IFERROR(IF(AND(D225&lt;&gt;"",H225=""),"Check data ⚠",(IF(H225="","",IF(AND(D225="Non-native and ornamental hedgerow",H225&lt;&gt;"Poor"),"Not possible ▲",(IF(AND(F225="V.Low",OR(H225="Good",H225="Moderate")),"Error ▲",VLOOKUP(H225,'G-1 All Habitats'!$Z$2:$AA$9,2,FALSE))))))),"")</f>
        <v/>
      </c>
      <c r="J225" s="105"/>
      <c r="K225" s="295" t="str">
        <f>IF(AND(J225="",D225&lt;&gt;""),"Check data ⚠",IF(J225="","",IF(VLOOKUP(J225,'G-3 Multipliers'!$L$3:$N$6,2,FALSE)=0,"Spatial Data Missing ⚠",VLOOKUP(J225,'G-3 Multipliers'!$L$3:$N$6,2,FALSE))))</f>
        <v/>
      </c>
      <c r="L225" s="299" t="str">
        <f>IF(J225="","",IF(VLOOKUP(J225,'G-3 Multipliers'!$L$3:$N$6,3,FALSE)=0,"Spatial Data Missing ⚠",VLOOKUP(J225,'G-3 Multipliers'!$L$3:$N$6,3,FALSE)))</f>
        <v/>
      </c>
      <c r="M225" s="336" t="str">
        <f>IF(D225="","",VLOOKUP(D225,'G-6 Hedgerow Data'!$B$1:$AH$15,33,FALSE))</f>
        <v/>
      </c>
      <c r="N225" s="289" t="str">
        <f t="shared" si="29"/>
        <v/>
      </c>
      <c r="O225" s="393"/>
      <c r="P225" s="281" t="str">
        <f>IF(O225="","",IF(VLOOKUP(O225,'G-3 Multipliers'!$S$3:$T$10,2,FALSE)=0,"Spatial Data Missing ⚠",VLOOKUP(O225,'G-3 Multipliers'!$S$3:$T$10,2,FALSE)))</f>
        <v/>
      </c>
      <c r="Q225" s="289" t="str">
        <f t="shared" si="30"/>
        <v/>
      </c>
      <c r="R225" s="32"/>
      <c r="S225" s="101"/>
      <c r="T225" s="108"/>
      <c r="U225" s="283" t="str">
        <f t="shared" si="31"/>
        <v/>
      </c>
      <c r="V225" s="283" t="str">
        <f t="shared" si="32"/>
        <v/>
      </c>
      <c r="W225" s="287" t="str">
        <f t="shared" si="33"/>
        <v/>
      </c>
      <c r="X225" s="291" t="str">
        <f t="shared" si="34"/>
        <v/>
      </c>
      <c r="Y225" s="105"/>
      <c r="Z225" s="104"/>
      <c r="AA225" s="104"/>
      <c r="AB225" s="104"/>
      <c r="AE225" s="30" t="str">
        <f>IFERROR(INDEX('G-6 Hedgerow Data'!$BJ$3:$BJ$15,MATCH(D225,'G-6 Hedgerow Data'!$B$3:$B$15,0)),"")</f>
        <v/>
      </c>
      <c r="AH225" s="107" t="str">
        <f t="shared" si="27"/>
        <v/>
      </c>
      <c r="AI225" s="107" t="str">
        <f t="shared" si="28"/>
        <v/>
      </c>
      <c r="AK225" s="107">
        <v>216</v>
      </c>
      <c r="AM225" s="107" t="str">
        <f t="array" ref="AM225">IFERROR(INDEX($AK$10:$AK$258,MATCH(0,IF(TRUE=$AH$10:$AH$258,COUNTIF($AM$9:$AM224,$AK$10:$AK$258),""),0)),"")</f>
        <v/>
      </c>
      <c r="AN225" s="107" t="str">
        <f t="array" ref="AN225">IFERROR(INDEX($AK$10:$AK$258,MATCH(0,IF(TRUE=$AI$10:$AI$258,COUNTIF($AN$9:$AN224,$AK$10:$AK$258),""),0)),"")</f>
        <v/>
      </c>
      <c r="AY225" s="283" t="str">
        <f t="shared" si="35"/>
        <v/>
      </c>
    </row>
    <row r="226" spans="2:51" ht="14">
      <c r="B226" s="97">
        <v>217</v>
      </c>
      <c r="C226" s="138"/>
      <c r="D226" s="138"/>
      <c r="E226" s="104"/>
      <c r="F226" s="275" t="str">
        <f>IF(D226="","",VLOOKUP(D226,'G-6 Hedgerow Data'!$B$2:$AG$15,2,FALSE))</f>
        <v/>
      </c>
      <c r="G226" s="276" t="str">
        <f>IF(D226="","",VLOOKUP(D226,'G-6 Hedgerow Data'!$B$2:$AG$15,3,FALSE))</f>
        <v/>
      </c>
      <c r="H226" s="101"/>
      <c r="I226" s="276" t="str">
        <f>IFERROR(IF(AND(D226&lt;&gt;"",H226=""),"Check data ⚠",(IF(H226="","",IF(AND(D226="Non-native and ornamental hedgerow",H226&lt;&gt;"Poor"),"Not possible ▲",(IF(AND(F226="V.Low",OR(H226="Good",H226="Moderate")),"Error ▲",VLOOKUP(H226,'G-1 All Habitats'!$Z$2:$AA$9,2,FALSE))))))),"")</f>
        <v/>
      </c>
      <c r="J226" s="105"/>
      <c r="K226" s="295" t="str">
        <f>IF(AND(J226="",D226&lt;&gt;""),"Check data ⚠",IF(J226="","",IF(VLOOKUP(J226,'G-3 Multipliers'!$L$3:$N$6,2,FALSE)=0,"Spatial Data Missing ⚠",VLOOKUP(J226,'G-3 Multipliers'!$L$3:$N$6,2,FALSE))))</f>
        <v/>
      </c>
      <c r="L226" s="299" t="str">
        <f>IF(J226="","",IF(VLOOKUP(J226,'G-3 Multipliers'!$L$3:$N$6,3,FALSE)=0,"Spatial Data Missing ⚠",VLOOKUP(J226,'G-3 Multipliers'!$L$3:$N$6,3,FALSE)))</f>
        <v/>
      </c>
      <c r="M226" s="336" t="str">
        <f>IF(D226="","",VLOOKUP(D226,'G-6 Hedgerow Data'!$B$1:$AH$15,33,FALSE))</f>
        <v/>
      </c>
      <c r="N226" s="289" t="str">
        <f t="shared" si="29"/>
        <v/>
      </c>
      <c r="O226" s="393"/>
      <c r="P226" s="281" t="str">
        <f>IF(O226="","",IF(VLOOKUP(O226,'G-3 Multipliers'!$S$3:$T$10,2,FALSE)=0,"Spatial Data Missing ⚠",VLOOKUP(O226,'G-3 Multipliers'!$S$3:$T$10,2,FALSE)))</f>
        <v/>
      </c>
      <c r="Q226" s="289" t="str">
        <f t="shared" si="30"/>
        <v/>
      </c>
      <c r="R226" s="32"/>
      <c r="S226" s="101"/>
      <c r="T226" s="108"/>
      <c r="U226" s="283" t="str">
        <f t="shared" si="31"/>
        <v/>
      </c>
      <c r="V226" s="283" t="str">
        <f t="shared" si="32"/>
        <v/>
      </c>
      <c r="W226" s="287" t="str">
        <f t="shared" si="33"/>
        <v/>
      </c>
      <c r="X226" s="291" t="str">
        <f t="shared" si="34"/>
        <v/>
      </c>
      <c r="Y226" s="105"/>
      <c r="Z226" s="104"/>
      <c r="AA226" s="104"/>
      <c r="AB226" s="104"/>
      <c r="AE226" s="30" t="str">
        <f>IFERROR(INDEX('G-6 Hedgerow Data'!$BJ$3:$BJ$15,MATCH(D226,'G-6 Hedgerow Data'!$B$3:$B$15,0)),"")</f>
        <v/>
      </c>
      <c r="AH226" s="107" t="str">
        <f t="shared" si="27"/>
        <v/>
      </c>
      <c r="AI226" s="107" t="str">
        <f t="shared" si="28"/>
        <v/>
      </c>
      <c r="AK226" s="107">
        <v>217</v>
      </c>
      <c r="AM226" s="107" t="str">
        <f t="array" ref="AM226">IFERROR(INDEX($AK$10:$AK$258,MATCH(0,IF(TRUE=$AH$10:$AH$258,COUNTIF($AM$9:$AM225,$AK$10:$AK$258),""),0)),"")</f>
        <v/>
      </c>
      <c r="AN226" s="107" t="str">
        <f t="array" ref="AN226">IFERROR(INDEX($AK$10:$AK$258,MATCH(0,IF(TRUE=$AI$10:$AI$258,COUNTIF($AN$9:$AN225,$AK$10:$AK$258),""),0)),"")</f>
        <v/>
      </c>
      <c r="AY226" s="283" t="str">
        <f t="shared" si="35"/>
        <v/>
      </c>
    </row>
    <row r="227" spans="2:51" ht="14">
      <c r="B227" s="97">
        <v>218</v>
      </c>
      <c r="C227" s="138"/>
      <c r="D227" s="138"/>
      <c r="E227" s="104"/>
      <c r="F227" s="275" t="str">
        <f>IF(D227="","",VLOOKUP(D227,'G-6 Hedgerow Data'!$B$2:$AG$15,2,FALSE))</f>
        <v/>
      </c>
      <c r="G227" s="276" t="str">
        <f>IF(D227="","",VLOOKUP(D227,'G-6 Hedgerow Data'!$B$2:$AG$15,3,FALSE))</f>
        <v/>
      </c>
      <c r="H227" s="101"/>
      <c r="I227" s="276" t="str">
        <f>IFERROR(IF(AND(D227&lt;&gt;"",H227=""),"Check data ⚠",(IF(H227="","",IF(AND(D227="Non-native and ornamental hedgerow",H227&lt;&gt;"Poor"),"Not possible ▲",(IF(AND(F227="V.Low",OR(H227="Good",H227="Moderate")),"Error ▲",VLOOKUP(H227,'G-1 All Habitats'!$Z$2:$AA$9,2,FALSE))))))),"")</f>
        <v/>
      </c>
      <c r="J227" s="105"/>
      <c r="K227" s="295" t="str">
        <f>IF(AND(J227="",D227&lt;&gt;""),"Check data ⚠",IF(J227="","",IF(VLOOKUP(J227,'G-3 Multipliers'!$L$3:$N$6,2,FALSE)=0,"Spatial Data Missing ⚠",VLOOKUP(J227,'G-3 Multipliers'!$L$3:$N$6,2,FALSE))))</f>
        <v/>
      </c>
      <c r="L227" s="299" t="str">
        <f>IF(J227="","",IF(VLOOKUP(J227,'G-3 Multipliers'!$L$3:$N$6,3,FALSE)=0,"Spatial Data Missing ⚠",VLOOKUP(J227,'G-3 Multipliers'!$L$3:$N$6,3,FALSE)))</f>
        <v/>
      </c>
      <c r="M227" s="336" t="str">
        <f>IF(D227="","",VLOOKUP(D227,'G-6 Hedgerow Data'!$B$1:$AH$15,33,FALSE))</f>
        <v/>
      </c>
      <c r="N227" s="289" t="str">
        <f t="shared" si="29"/>
        <v/>
      </c>
      <c r="O227" s="393"/>
      <c r="P227" s="281" t="str">
        <f>IF(O227="","",IF(VLOOKUP(O227,'G-3 Multipliers'!$S$3:$T$10,2,FALSE)=0,"Spatial Data Missing ⚠",VLOOKUP(O227,'G-3 Multipliers'!$S$3:$T$10,2,FALSE)))</f>
        <v/>
      </c>
      <c r="Q227" s="289" t="str">
        <f t="shared" si="30"/>
        <v/>
      </c>
      <c r="R227" s="32"/>
      <c r="S227" s="101"/>
      <c r="T227" s="108"/>
      <c r="U227" s="283" t="str">
        <f t="shared" si="31"/>
        <v/>
      </c>
      <c r="V227" s="283" t="str">
        <f t="shared" si="32"/>
        <v/>
      </c>
      <c r="W227" s="287" t="str">
        <f t="shared" si="33"/>
        <v/>
      </c>
      <c r="X227" s="291" t="str">
        <f t="shared" si="34"/>
        <v/>
      </c>
      <c r="Y227" s="105"/>
      <c r="Z227" s="104"/>
      <c r="AA227" s="104"/>
      <c r="AB227" s="104"/>
      <c r="AE227" s="30" t="str">
        <f>IFERROR(INDEX('G-6 Hedgerow Data'!$BJ$3:$BJ$15,MATCH(D227,'G-6 Hedgerow Data'!$B$3:$B$15,0)),"")</f>
        <v/>
      </c>
      <c r="AH227" s="107" t="str">
        <f t="shared" si="27"/>
        <v/>
      </c>
      <c r="AI227" s="107" t="str">
        <f t="shared" si="28"/>
        <v/>
      </c>
      <c r="AK227" s="107">
        <v>218</v>
      </c>
      <c r="AM227" s="107" t="str">
        <f t="array" ref="AM227">IFERROR(INDEX($AK$10:$AK$258,MATCH(0,IF(TRUE=$AH$10:$AH$258,COUNTIF($AM$9:$AM226,$AK$10:$AK$258),""),0)),"")</f>
        <v/>
      </c>
      <c r="AN227" s="107" t="str">
        <f t="array" ref="AN227">IFERROR(INDEX($AK$10:$AK$258,MATCH(0,IF(TRUE=$AI$10:$AI$258,COUNTIF($AN$9:$AN226,$AK$10:$AK$258),""),0)),"")</f>
        <v/>
      </c>
      <c r="AY227" s="283" t="str">
        <f t="shared" si="35"/>
        <v/>
      </c>
    </row>
    <row r="228" spans="2:51" ht="14">
      <c r="B228" s="97">
        <v>219</v>
      </c>
      <c r="C228" s="138"/>
      <c r="D228" s="138"/>
      <c r="E228" s="104"/>
      <c r="F228" s="275" t="str">
        <f>IF(D228="","",VLOOKUP(D228,'G-6 Hedgerow Data'!$B$2:$AG$15,2,FALSE))</f>
        <v/>
      </c>
      <c r="G228" s="276" t="str">
        <f>IF(D228="","",VLOOKUP(D228,'G-6 Hedgerow Data'!$B$2:$AG$15,3,FALSE))</f>
        <v/>
      </c>
      <c r="H228" s="101"/>
      <c r="I228" s="276" t="str">
        <f>IFERROR(IF(AND(D228&lt;&gt;"",H228=""),"Check data ⚠",(IF(H228="","",IF(AND(D228="Non-native and ornamental hedgerow",H228&lt;&gt;"Poor"),"Not possible ▲",(IF(AND(F228="V.Low",OR(H228="Good",H228="Moderate")),"Error ▲",VLOOKUP(H228,'G-1 All Habitats'!$Z$2:$AA$9,2,FALSE))))))),"")</f>
        <v/>
      </c>
      <c r="J228" s="105"/>
      <c r="K228" s="295" t="str">
        <f>IF(AND(J228="",D228&lt;&gt;""),"Check data ⚠",IF(J228="","",IF(VLOOKUP(J228,'G-3 Multipliers'!$L$3:$N$6,2,FALSE)=0,"Spatial Data Missing ⚠",VLOOKUP(J228,'G-3 Multipliers'!$L$3:$N$6,2,FALSE))))</f>
        <v/>
      </c>
      <c r="L228" s="299" t="str">
        <f>IF(J228="","",IF(VLOOKUP(J228,'G-3 Multipliers'!$L$3:$N$6,3,FALSE)=0,"Spatial Data Missing ⚠",VLOOKUP(J228,'G-3 Multipliers'!$L$3:$N$6,3,FALSE)))</f>
        <v/>
      </c>
      <c r="M228" s="336" t="str">
        <f>IF(D228="","",VLOOKUP(D228,'G-6 Hedgerow Data'!$B$1:$AH$15,33,FALSE))</f>
        <v/>
      </c>
      <c r="N228" s="289" t="str">
        <f t="shared" si="29"/>
        <v/>
      </c>
      <c r="O228" s="393"/>
      <c r="P228" s="281" t="str">
        <f>IF(O228="","",IF(VLOOKUP(O228,'G-3 Multipliers'!$S$3:$T$10,2,FALSE)=0,"Spatial Data Missing ⚠",VLOOKUP(O228,'G-3 Multipliers'!$S$3:$T$10,2,FALSE)))</f>
        <v/>
      </c>
      <c r="Q228" s="289" t="str">
        <f t="shared" si="30"/>
        <v/>
      </c>
      <c r="R228" s="32"/>
      <c r="S228" s="101"/>
      <c r="T228" s="108"/>
      <c r="U228" s="283" t="str">
        <f t="shared" si="31"/>
        <v/>
      </c>
      <c r="V228" s="283" t="str">
        <f t="shared" si="32"/>
        <v/>
      </c>
      <c r="W228" s="287" t="str">
        <f t="shared" si="33"/>
        <v/>
      </c>
      <c r="X228" s="291" t="str">
        <f t="shared" si="34"/>
        <v/>
      </c>
      <c r="Y228" s="105"/>
      <c r="Z228" s="104"/>
      <c r="AA228" s="104"/>
      <c r="AB228" s="104"/>
      <c r="AE228" s="30" t="str">
        <f>IFERROR(INDEX('G-6 Hedgerow Data'!$BJ$3:$BJ$15,MATCH(D228,'G-6 Hedgerow Data'!$B$3:$B$15,0)),"")</f>
        <v/>
      </c>
      <c r="AH228" s="107" t="str">
        <f t="shared" si="27"/>
        <v/>
      </c>
      <c r="AI228" s="107" t="str">
        <f t="shared" si="28"/>
        <v/>
      </c>
      <c r="AK228" s="107">
        <v>219</v>
      </c>
      <c r="AM228" s="107" t="str">
        <f t="array" ref="AM228">IFERROR(INDEX($AK$10:$AK$258,MATCH(0,IF(TRUE=$AH$10:$AH$258,COUNTIF($AM$9:$AM227,$AK$10:$AK$258),""),0)),"")</f>
        <v/>
      </c>
      <c r="AN228" s="107" t="str">
        <f t="array" ref="AN228">IFERROR(INDEX($AK$10:$AK$258,MATCH(0,IF(TRUE=$AI$10:$AI$258,COUNTIF($AN$9:$AN227,$AK$10:$AK$258),""),0)),"")</f>
        <v/>
      </c>
      <c r="AY228" s="283" t="str">
        <f t="shared" si="35"/>
        <v/>
      </c>
    </row>
    <row r="229" spans="2:51" ht="14">
      <c r="B229" s="97">
        <v>220</v>
      </c>
      <c r="C229" s="138"/>
      <c r="D229" s="138"/>
      <c r="E229" s="104"/>
      <c r="F229" s="275" t="str">
        <f>IF(D229="","",VLOOKUP(D229,'G-6 Hedgerow Data'!$B$2:$AG$15,2,FALSE))</f>
        <v/>
      </c>
      <c r="G229" s="276" t="str">
        <f>IF(D229="","",VLOOKUP(D229,'G-6 Hedgerow Data'!$B$2:$AG$15,3,FALSE))</f>
        <v/>
      </c>
      <c r="H229" s="101"/>
      <c r="I229" s="276" t="str">
        <f>IFERROR(IF(AND(D229&lt;&gt;"",H229=""),"Check data ⚠",(IF(H229="","",IF(AND(D229="Non-native and ornamental hedgerow",H229&lt;&gt;"Poor"),"Not possible ▲",(IF(AND(F229="V.Low",OR(H229="Good",H229="Moderate")),"Error ▲",VLOOKUP(H229,'G-1 All Habitats'!$Z$2:$AA$9,2,FALSE))))))),"")</f>
        <v/>
      </c>
      <c r="J229" s="105"/>
      <c r="K229" s="295" t="str">
        <f>IF(AND(J229="",D229&lt;&gt;""),"Check data ⚠",IF(J229="","",IF(VLOOKUP(J229,'G-3 Multipliers'!$L$3:$N$6,2,FALSE)=0,"Spatial Data Missing ⚠",VLOOKUP(J229,'G-3 Multipliers'!$L$3:$N$6,2,FALSE))))</f>
        <v/>
      </c>
      <c r="L229" s="299" t="str">
        <f>IF(J229="","",IF(VLOOKUP(J229,'G-3 Multipliers'!$L$3:$N$6,3,FALSE)=0,"Spatial Data Missing ⚠",VLOOKUP(J229,'G-3 Multipliers'!$L$3:$N$6,3,FALSE)))</f>
        <v/>
      </c>
      <c r="M229" s="336" t="str">
        <f>IF(D229="","",VLOOKUP(D229,'G-6 Hedgerow Data'!$B$1:$AH$15,33,FALSE))</f>
        <v/>
      </c>
      <c r="N229" s="289" t="str">
        <f t="shared" si="29"/>
        <v/>
      </c>
      <c r="O229" s="393"/>
      <c r="P229" s="281" t="str">
        <f>IF(O229="","",IF(VLOOKUP(O229,'G-3 Multipliers'!$S$3:$T$10,2,FALSE)=0,"Spatial Data Missing ⚠",VLOOKUP(O229,'G-3 Multipliers'!$S$3:$T$10,2,FALSE)))</f>
        <v/>
      </c>
      <c r="Q229" s="289" t="str">
        <f t="shared" si="30"/>
        <v/>
      </c>
      <c r="R229" s="32"/>
      <c r="S229" s="101"/>
      <c r="T229" s="108"/>
      <c r="U229" s="283" t="str">
        <f t="shared" si="31"/>
        <v/>
      </c>
      <c r="V229" s="283" t="str">
        <f t="shared" si="32"/>
        <v/>
      </c>
      <c r="W229" s="287" t="str">
        <f t="shared" si="33"/>
        <v/>
      </c>
      <c r="X229" s="291" t="str">
        <f t="shared" si="34"/>
        <v/>
      </c>
      <c r="Y229" s="105"/>
      <c r="Z229" s="104"/>
      <c r="AA229" s="104"/>
      <c r="AB229" s="104"/>
      <c r="AE229" s="30" t="str">
        <f>IFERROR(INDEX('G-6 Hedgerow Data'!$BJ$3:$BJ$15,MATCH(D229,'G-6 Hedgerow Data'!$B$3:$B$15,0)),"")</f>
        <v/>
      </c>
      <c r="AH229" s="107" t="str">
        <f t="shared" si="27"/>
        <v/>
      </c>
      <c r="AI229" s="107" t="str">
        <f t="shared" si="28"/>
        <v/>
      </c>
      <c r="AK229" s="107">
        <v>220</v>
      </c>
      <c r="AM229" s="107" t="str">
        <f t="array" ref="AM229">IFERROR(INDEX($AK$10:$AK$258,MATCH(0,IF(TRUE=$AH$10:$AH$258,COUNTIF($AM$9:$AM228,$AK$10:$AK$258),""),0)),"")</f>
        <v/>
      </c>
      <c r="AN229" s="107" t="str">
        <f t="array" ref="AN229">IFERROR(INDEX($AK$10:$AK$258,MATCH(0,IF(TRUE=$AI$10:$AI$258,COUNTIF($AN$9:$AN228,$AK$10:$AK$258),""),0)),"")</f>
        <v/>
      </c>
      <c r="AY229" s="283" t="str">
        <f t="shared" si="35"/>
        <v/>
      </c>
    </row>
    <row r="230" spans="2:51" ht="14">
      <c r="B230" s="97">
        <v>221</v>
      </c>
      <c r="C230" s="138"/>
      <c r="D230" s="138"/>
      <c r="E230" s="104"/>
      <c r="F230" s="275" t="str">
        <f>IF(D230="","",VLOOKUP(D230,'G-6 Hedgerow Data'!$B$2:$AG$15,2,FALSE))</f>
        <v/>
      </c>
      <c r="G230" s="276" t="str">
        <f>IF(D230="","",VLOOKUP(D230,'G-6 Hedgerow Data'!$B$2:$AG$15,3,FALSE))</f>
        <v/>
      </c>
      <c r="H230" s="101"/>
      <c r="I230" s="276" t="str">
        <f>IFERROR(IF(AND(D230&lt;&gt;"",H230=""),"Check data ⚠",(IF(H230="","",IF(AND(D230="Non-native and ornamental hedgerow",H230&lt;&gt;"Poor"),"Not possible ▲",(IF(AND(F230="V.Low",OR(H230="Good",H230="Moderate")),"Error ▲",VLOOKUP(H230,'G-1 All Habitats'!$Z$2:$AA$9,2,FALSE))))))),"")</f>
        <v/>
      </c>
      <c r="J230" s="105"/>
      <c r="K230" s="295" t="str">
        <f>IF(AND(J230="",D230&lt;&gt;""),"Check data ⚠",IF(J230="","",IF(VLOOKUP(J230,'G-3 Multipliers'!$L$3:$N$6,2,FALSE)=0,"Spatial Data Missing ⚠",VLOOKUP(J230,'G-3 Multipliers'!$L$3:$N$6,2,FALSE))))</f>
        <v/>
      </c>
      <c r="L230" s="299" t="str">
        <f>IF(J230="","",IF(VLOOKUP(J230,'G-3 Multipliers'!$L$3:$N$6,3,FALSE)=0,"Spatial Data Missing ⚠",VLOOKUP(J230,'G-3 Multipliers'!$L$3:$N$6,3,FALSE)))</f>
        <v/>
      </c>
      <c r="M230" s="336" t="str">
        <f>IF(D230="","",VLOOKUP(D230,'G-6 Hedgerow Data'!$B$1:$AH$15,33,FALSE))</f>
        <v/>
      </c>
      <c r="N230" s="289" t="str">
        <f t="shared" si="29"/>
        <v/>
      </c>
      <c r="O230" s="393"/>
      <c r="P230" s="281" t="str">
        <f>IF(O230="","",IF(VLOOKUP(O230,'G-3 Multipliers'!$S$3:$T$10,2,FALSE)=0,"Spatial Data Missing ⚠",VLOOKUP(O230,'G-3 Multipliers'!$S$3:$T$10,2,FALSE)))</f>
        <v/>
      </c>
      <c r="Q230" s="289" t="str">
        <f t="shared" si="30"/>
        <v/>
      </c>
      <c r="R230" s="32"/>
      <c r="S230" s="101"/>
      <c r="T230" s="108"/>
      <c r="U230" s="283" t="str">
        <f t="shared" si="31"/>
        <v/>
      </c>
      <c r="V230" s="283" t="str">
        <f t="shared" si="32"/>
        <v/>
      </c>
      <c r="W230" s="287" t="str">
        <f t="shared" si="33"/>
        <v/>
      </c>
      <c r="X230" s="291" t="str">
        <f t="shared" si="34"/>
        <v/>
      </c>
      <c r="Y230" s="105"/>
      <c r="Z230" s="104"/>
      <c r="AA230" s="104"/>
      <c r="AB230" s="104"/>
      <c r="AE230" s="30" t="str">
        <f>IFERROR(INDEX('G-6 Hedgerow Data'!$BJ$3:$BJ$15,MATCH(D230,'G-6 Hedgerow Data'!$B$3:$B$15,0)),"")</f>
        <v/>
      </c>
      <c r="AH230" s="107" t="str">
        <f t="shared" si="27"/>
        <v/>
      </c>
      <c r="AI230" s="107" t="str">
        <f t="shared" si="28"/>
        <v/>
      </c>
      <c r="AK230" s="107">
        <v>221</v>
      </c>
      <c r="AM230" s="107" t="str">
        <f t="array" ref="AM230">IFERROR(INDEX($AK$10:$AK$258,MATCH(0,IF(TRUE=$AH$10:$AH$258,COUNTIF($AM$9:$AM229,$AK$10:$AK$258),""),0)),"")</f>
        <v/>
      </c>
      <c r="AN230" s="107" t="str">
        <f t="array" ref="AN230">IFERROR(INDEX($AK$10:$AK$258,MATCH(0,IF(TRUE=$AI$10:$AI$258,COUNTIF($AN$9:$AN229,$AK$10:$AK$258),""),0)),"")</f>
        <v/>
      </c>
      <c r="AY230" s="283" t="str">
        <f t="shared" si="35"/>
        <v/>
      </c>
    </row>
    <row r="231" spans="2:51" ht="14">
      <c r="B231" s="97">
        <v>222</v>
      </c>
      <c r="C231" s="138"/>
      <c r="D231" s="138"/>
      <c r="E231" s="104"/>
      <c r="F231" s="275" t="str">
        <f>IF(D231="","",VLOOKUP(D231,'G-6 Hedgerow Data'!$B$2:$AG$15,2,FALSE))</f>
        <v/>
      </c>
      <c r="G231" s="276" t="str">
        <f>IF(D231="","",VLOOKUP(D231,'G-6 Hedgerow Data'!$B$2:$AG$15,3,FALSE))</f>
        <v/>
      </c>
      <c r="H231" s="101"/>
      <c r="I231" s="276" t="str">
        <f>IFERROR(IF(AND(D231&lt;&gt;"",H231=""),"Check data ⚠",(IF(H231="","",IF(AND(D231="Non-native and ornamental hedgerow",H231&lt;&gt;"Poor"),"Not possible ▲",(IF(AND(F231="V.Low",OR(H231="Good",H231="Moderate")),"Error ▲",VLOOKUP(H231,'G-1 All Habitats'!$Z$2:$AA$9,2,FALSE))))))),"")</f>
        <v/>
      </c>
      <c r="J231" s="105"/>
      <c r="K231" s="295" t="str">
        <f>IF(AND(J231="",D231&lt;&gt;""),"Check data ⚠",IF(J231="","",IF(VLOOKUP(J231,'G-3 Multipliers'!$L$3:$N$6,2,FALSE)=0,"Spatial Data Missing ⚠",VLOOKUP(J231,'G-3 Multipliers'!$L$3:$N$6,2,FALSE))))</f>
        <v/>
      </c>
      <c r="L231" s="299" t="str">
        <f>IF(J231="","",IF(VLOOKUP(J231,'G-3 Multipliers'!$L$3:$N$6,3,FALSE)=0,"Spatial Data Missing ⚠",VLOOKUP(J231,'G-3 Multipliers'!$L$3:$N$6,3,FALSE)))</f>
        <v/>
      </c>
      <c r="M231" s="336" t="str">
        <f>IF(D231="","",VLOOKUP(D231,'G-6 Hedgerow Data'!$B$1:$AH$15,33,FALSE))</f>
        <v/>
      </c>
      <c r="N231" s="289" t="str">
        <f t="shared" si="29"/>
        <v/>
      </c>
      <c r="O231" s="393"/>
      <c r="P231" s="281" t="str">
        <f>IF(O231="","",IF(VLOOKUP(O231,'G-3 Multipliers'!$S$3:$T$10,2,FALSE)=0,"Spatial Data Missing ⚠",VLOOKUP(O231,'G-3 Multipliers'!$S$3:$T$10,2,FALSE)))</f>
        <v/>
      </c>
      <c r="Q231" s="289" t="str">
        <f t="shared" si="30"/>
        <v/>
      </c>
      <c r="R231" s="32"/>
      <c r="S231" s="101"/>
      <c r="T231" s="108"/>
      <c r="U231" s="283" t="str">
        <f t="shared" si="31"/>
        <v/>
      </c>
      <c r="V231" s="283" t="str">
        <f t="shared" si="32"/>
        <v/>
      </c>
      <c r="W231" s="287" t="str">
        <f t="shared" si="33"/>
        <v/>
      </c>
      <c r="X231" s="291" t="str">
        <f t="shared" si="34"/>
        <v/>
      </c>
      <c r="Y231" s="105"/>
      <c r="Z231" s="104"/>
      <c r="AA231" s="104"/>
      <c r="AB231" s="104"/>
      <c r="AE231" s="30" t="str">
        <f>IFERROR(INDEX('G-6 Hedgerow Data'!$BJ$3:$BJ$15,MATCH(D231,'G-6 Hedgerow Data'!$B$3:$B$15,0)),"")</f>
        <v/>
      </c>
      <c r="AH231" s="107" t="str">
        <f t="shared" si="27"/>
        <v/>
      </c>
      <c r="AI231" s="107" t="str">
        <f t="shared" si="28"/>
        <v/>
      </c>
      <c r="AK231" s="107">
        <v>222</v>
      </c>
      <c r="AM231" s="107" t="str">
        <f t="array" ref="AM231">IFERROR(INDEX($AK$10:$AK$258,MATCH(0,IF(TRUE=$AH$10:$AH$258,COUNTIF($AM$9:$AM230,$AK$10:$AK$258),""),0)),"")</f>
        <v/>
      </c>
      <c r="AN231" s="107" t="str">
        <f t="array" ref="AN231">IFERROR(INDEX($AK$10:$AK$258,MATCH(0,IF(TRUE=$AI$10:$AI$258,COUNTIF($AN$9:$AN230,$AK$10:$AK$258),""),0)),"")</f>
        <v/>
      </c>
      <c r="AY231" s="283" t="str">
        <f t="shared" si="35"/>
        <v/>
      </c>
    </row>
    <row r="232" spans="2:51" ht="14">
      <c r="B232" s="97">
        <v>223</v>
      </c>
      <c r="C232" s="138"/>
      <c r="D232" s="138"/>
      <c r="E232" s="104"/>
      <c r="F232" s="275" t="str">
        <f>IF(D232="","",VLOOKUP(D232,'G-6 Hedgerow Data'!$B$2:$AG$15,2,FALSE))</f>
        <v/>
      </c>
      <c r="G232" s="276" t="str">
        <f>IF(D232="","",VLOOKUP(D232,'G-6 Hedgerow Data'!$B$2:$AG$15,3,FALSE))</f>
        <v/>
      </c>
      <c r="H232" s="101"/>
      <c r="I232" s="276" t="str">
        <f>IFERROR(IF(AND(D232&lt;&gt;"",H232=""),"Check data ⚠",(IF(H232="","",IF(AND(D232="Non-native and ornamental hedgerow",H232&lt;&gt;"Poor"),"Not possible ▲",(IF(AND(F232="V.Low",OR(H232="Good",H232="Moderate")),"Error ▲",VLOOKUP(H232,'G-1 All Habitats'!$Z$2:$AA$9,2,FALSE))))))),"")</f>
        <v/>
      </c>
      <c r="J232" s="105"/>
      <c r="K232" s="295" t="str">
        <f>IF(AND(J232="",D232&lt;&gt;""),"Check data ⚠",IF(J232="","",IF(VLOOKUP(J232,'G-3 Multipliers'!$L$3:$N$6,2,FALSE)=0,"Spatial Data Missing ⚠",VLOOKUP(J232,'G-3 Multipliers'!$L$3:$N$6,2,FALSE))))</f>
        <v/>
      </c>
      <c r="L232" s="299" t="str">
        <f>IF(J232="","",IF(VLOOKUP(J232,'G-3 Multipliers'!$L$3:$N$6,3,FALSE)=0,"Spatial Data Missing ⚠",VLOOKUP(J232,'G-3 Multipliers'!$L$3:$N$6,3,FALSE)))</f>
        <v/>
      </c>
      <c r="M232" s="336" t="str">
        <f>IF(D232="","",VLOOKUP(D232,'G-6 Hedgerow Data'!$B$1:$AH$15,33,FALSE))</f>
        <v/>
      </c>
      <c r="N232" s="289" t="str">
        <f t="shared" si="29"/>
        <v/>
      </c>
      <c r="O232" s="393"/>
      <c r="P232" s="281" t="str">
        <f>IF(O232="","",IF(VLOOKUP(O232,'G-3 Multipliers'!$S$3:$T$10,2,FALSE)=0,"Spatial Data Missing ⚠",VLOOKUP(O232,'G-3 Multipliers'!$S$3:$T$10,2,FALSE)))</f>
        <v/>
      </c>
      <c r="Q232" s="289" t="str">
        <f t="shared" si="30"/>
        <v/>
      </c>
      <c r="R232" s="32"/>
      <c r="S232" s="101"/>
      <c r="T232" s="108"/>
      <c r="U232" s="283" t="str">
        <f t="shared" si="31"/>
        <v/>
      </c>
      <c r="V232" s="283" t="str">
        <f t="shared" si="32"/>
        <v/>
      </c>
      <c r="W232" s="287" t="str">
        <f t="shared" si="33"/>
        <v/>
      </c>
      <c r="X232" s="291" t="str">
        <f t="shared" si="34"/>
        <v/>
      </c>
      <c r="Y232" s="105"/>
      <c r="Z232" s="104"/>
      <c r="AA232" s="104"/>
      <c r="AB232" s="104"/>
      <c r="AE232" s="30" t="str">
        <f>IFERROR(INDEX('G-6 Hedgerow Data'!$BJ$3:$BJ$15,MATCH(D232,'G-6 Hedgerow Data'!$B$3:$B$15,0)),"")</f>
        <v/>
      </c>
      <c r="AH232" s="107" t="str">
        <f t="shared" si="27"/>
        <v/>
      </c>
      <c r="AI232" s="107" t="str">
        <f t="shared" si="28"/>
        <v/>
      </c>
      <c r="AK232" s="107">
        <v>223</v>
      </c>
      <c r="AM232" s="107" t="str">
        <f t="array" ref="AM232">IFERROR(INDEX($AK$10:$AK$258,MATCH(0,IF(TRUE=$AH$10:$AH$258,COUNTIF($AM$9:$AM231,$AK$10:$AK$258),""),0)),"")</f>
        <v/>
      </c>
      <c r="AN232" s="107" t="str">
        <f t="array" ref="AN232">IFERROR(INDEX($AK$10:$AK$258,MATCH(0,IF(TRUE=$AI$10:$AI$258,COUNTIF($AN$9:$AN231,$AK$10:$AK$258),""),0)),"")</f>
        <v/>
      </c>
      <c r="AY232" s="283" t="str">
        <f t="shared" si="35"/>
        <v/>
      </c>
    </row>
    <row r="233" spans="2:51" ht="14">
      <c r="B233" s="97">
        <v>224</v>
      </c>
      <c r="C233" s="138"/>
      <c r="D233" s="138"/>
      <c r="E233" s="104"/>
      <c r="F233" s="275" t="str">
        <f>IF(D233="","",VLOOKUP(D233,'G-6 Hedgerow Data'!$B$2:$AG$15,2,FALSE))</f>
        <v/>
      </c>
      <c r="G233" s="276" t="str">
        <f>IF(D233="","",VLOOKUP(D233,'G-6 Hedgerow Data'!$B$2:$AG$15,3,FALSE))</f>
        <v/>
      </c>
      <c r="H233" s="101"/>
      <c r="I233" s="276" t="str">
        <f>IFERROR(IF(AND(D233&lt;&gt;"",H233=""),"Check data ⚠",(IF(H233="","",IF(AND(D233="Non-native and ornamental hedgerow",H233&lt;&gt;"Poor"),"Not possible ▲",(IF(AND(F233="V.Low",OR(H233="Good",H233="Moderate")),"Error ▲",VLOOKUP(H233,'G-1 All Habitats'!$Z$2:$AA$9,2,FALSE))))))),"")</f>
        <v/>
      </c>
      <c r="J233" s="105"/>
      <c r="K233" s="295" t="str">
        <f>IF(AND(J233="",D233&lt;&gt;""),"Check data ⚠",IF(J233="","",IF(VLOOKUP(J233,'G-3 Multipliers'!$L$3:$N$6,2,FALSE)=0,"Spatial Data Missing ⚠",VLOOKUP(J233,'G-3 Multipliers'!$L$3:$N$6,2,FALSE))))</f>
        <v/>
      </c>
      <c r="L233" s="299" t="str">
        <f>IF(J233="","",IF(VLOOKUP(J233,'G-3 Multipliers'!$L$3:$N$6,3,FALSE)=0,"Spatial Data Missing ⚠",VLOOKUP(J233,'G-3 Multipliers'!$L$3:$N$6,3,FALSE)))</f>
        <v/>
      </c>
      <c r="M233" s="336" t="str">
        <f>IF(D233="","",VLOOKUP(D233,'G-6 Hedgerow Data'!$B$1:$AH$15,33,FALSE))</f>
        <v/>
      </c>
      <c r="N233" s="289" t="str">
        <f t="shared" si="29"/>
        <v/>
      </c>
      <c r="O233" s="393"/>
      <c r="P233" s="281" t="str">
        <f>IF(O233="","",IF(VLOOKUP(O233,'G-3 Multipliers'!$S$3:$T$10,2,FALSE)=0,"Spatial Data Missing ⚠",VLOOKUP(O233,'G-3 Multipliers'!$S$3:$T$10,2,FALSE)))</f>
        <v/>
      </c>
      <c r="Q233" s="289" t="str">
        <f t="shared" si="30"/>
        <v/>
      </c>
      <c r="R233" s="32"/>
      <c r="S233" s="101"/>
      <c r="T233" s="108"/>
      <c r="U233" s="283" t="str">
        <f t="shared" si="31"/>
        <v/>
      </c>
      <c r="V233" s="283" t="str">
        <f t="shared" si="32"/>
        <v/>
      </c>
      <c r="W233" s="287" t="str">
        <f t="shared" si="33"/>
        <v/>
      </c>
      <c r="X233" s="291" t="str">
        <f t="shared" si="34"/>
        <v/>
      </c>
      <c r="Y233" s="105"/>
      <c r="Z233" s="104"/>
      <c r="AA233" s="104"/>
      <c r="AB233" s="104"/>
      <c r="AE233" s="30" t="str">
        <f>IFERROR(INDEX('G-6 Hedgerow Data'!$BJ$3:$BJ$15,MATCH(D233,'G-6 Hedgerow Data'!$B$3:$B$15,0)),"")</f>
        <v/>
      </c>
      <c r="AH233" s="107" t="str">
        <f t="shared" si="27"/>
        <v/>
      </c>
      <c r="AI233" s="107" t="str">
        <f t="shared" si="28"/>
        <v/>
      </c>
      <c r="AK233" s="107">
        <v>224</v>
      </c>
      <c r="AM233" s="107" t="str">
        <f t="array" ref="AM233">IFERROR(INDEX($AK$10:$AK$258,MATCH(0,IF(TRUE=$AH$10:$AH$258,COUNTIF($AM$9:$AM232,$AK$10:$AK$258),""),0)),"")</f>
        <v/>
      </c>
      <c r="AN233" s="107" t="str">
        <f t="array" ref="AN233">IFERROR(INDEX($AK$10:$AK$258,MATCH(0,IF(TRUE=$AI$10:$AI$258,COUNTIF($AN$9:$AN232,$AK$10:$AK$258),""),0)),"")</f>
        <v/>
      </c>
      <c r="AY233" s="283" t="str">
        <f t="shared" si="35"/>
        <v/>
      </c>
    </row>
    <row r="234" spans="2:51" ht="14">
      <c r="B234" s="97">
        <v>225</v>
      </c>
      <c r="C234" s="138"/>
      <c r="D234" s="138"/>
      <c r="E234" s="104"/>
      <c r="F234" s="275" t="str">
        <f>IF(D234="","",VLOOKUP(D234,'G-6 Hedgerow Data'!$B$2:$AG$15,2,FALSE))</f>
        <v/>
      </c>
      <c r="G234" s="276" t="str">
        <f>IF(D234="","",VLOOKUP(D234,'G-6 Hedgerow Data'!$B$2:$AG$15,3,FALSE))</f>
        <v/>
      </c>
      <c r="H234" s="101"/>
      <c r="I234" s="276" t="str">
        <f>IFERROR(IF(AND(D234&lt;&gt;"",H234=""),"Check data ⚠",(IF(H234="","",IF(AND(D234="Non-native and ornamental hedgerow",H234&lt;&gt;"Poor"),"Not possible ▲",(IF(AND(F234="V.Low",OR(H234="Good",H234="Moderate")),"Error ▲",VLOOKUP(H234,'G-1 All Habitats'!$Z$2:$AA$9,2,FALSE))))))),"")</f>
        <v/>
      </c>
      <c r="J234" s="105"/>
      <c r="K234" s="295" t="str">
        <f>IF(AND(J234="",D234&lt;&gt;""),"Check data ⚠",IF(J234="","",IF(VLOOKUP(J234,'G-3 Multipliers'!$L$3:$N$6,2,FALSE)=0,"Spatial Data Missing ⚠",VLOOKUP(J234,'G-3 Multipliers'!$L$3:$N$6,2,FALSE))))</f>
        <v/>
      </c>
      <c r="L234" s="299" t="str">
        <f>IF(J234="","",IF(VLOOKUP(J234,'G-3 Multipliers'!$L$3:$N$6,3,FALSE)=0,"Spatial Data Missing ⚠",VLOOKUP(J234,'G-3 Multipliers'!$L$3:$N$6,3,FALSE)))</f>
        <v/>
      </c>
      <c r="M234" s="336" t="str">
        <f>IF(D234="","",VLOOKUP(D234,'G-6 Hedgerow Data'!$B$1:$AH$15,33,FALSE))</f>
        <v/>
      </c>
      <c r="N234" s="289" t="str">
        <f t="shared" si="29"/>
        <v/>
      </c>
      <c r="O234" s="393"/>
      <c r="P234" s="281" t="str">
        <f>IF(O234="","",IF(VLOOKUP(O234,'G-3 Multipliers'!$S$3:$T$10,2,FALSE)=0,"Spatial Data Missing ⚠",VLOOKUP(O234,'G-3 Multipliers'!$S$3:$T$10,2,FALSE)))</f>
        <v/>
      </c>
      <c r="Q234" s="289" t="str">
        <f t="shared" si="30"/>
        <v/>
      </c>
      <c r="R234" s="32"/>
      <c r="S234" s="101"/>
      <c r="T234" s="108"/>
      <c r="U234" s="283" t="str">
        <f t="shared" si="31"/>
        <v/>
      </c>
      <c r="V234" s="283" t="str">
        <f t="shared" si="32"/>
        <v/>
      </c>
      <c r="W234" s="287" t="str">
        <f t="shared" si="33"/>
        <v/>
      </c>
      <c r="X234" s="291" t="str">
        <f t="shared" si="34"/>
        <v/>
      </c>
      <c r="Y234" s="105"/>
      <c r="Z234" s="104"/>
      <c r="AA234" s="104"/>
      <c r="AB234" s="104"/>
      <c r="AE234" s="30" t="str">
        <f>IFERROR(INDEX('G-6 Hedgerow Data'!$BJ$3:$BJ$15,MATCH(D234,'G-6 Hedgerow Data'!$B$3:$B$15,0)),"")</f>
        <v/>
      </c>
      <c r="AH234" s="107" t="str">
        <f t="shared" si="27"/>
        <v/>
      </c>
      <c r="AI234" s="107" t="str">
        <f t="shared" si="28"/>
        <v/>
      </c>
      <c r="AK234" s="107">
        <v>225</v>
      </c>
      <c r="AM234" s="107" t="str">
        <f t="array" ref="AM234">IFERROR(INDEX($AK$10:$AK$258,MATCH(0,IF(TRUE=$AH$10:$AH$258,COUNTIF($AM$9:$AM233,$AK$10:$AK$258),""),0)),"")</f>
        <v/>
      </c>
      <c r="AN234" s="107" t="str">
        <f t="array" ref="AN234">IFERROR(INDEX($AK$10:$AK$258,MATCH(0,IF(TRUE=$AI$10:$AI$258,COUNTIF($AN$9:$AN233,$AK$10:$AK$258),""),0)),"")</f>
        <v/>
      </c>
      <c r="AY234" s="283" t="str">
        <f t="shared" si="35"/>
        <v/>
      </c>
    </row>
    <row r="235" spans="2:51" ht="14">
      <c r="B235" s="97">
        <v>226</v>
      </c>
      <c r="C235" s="138"/>
      <c r="D235" s="138"/>
      <c r="E235" s="104"/>
      <c r="F235" s="275" t="str">
        <f>IF(D235="","",VLOOKUP(D235,'G-6 Hedgerow Data'!$B$2:$AG$15,2,FALSE))</f>
        <v/>
      </c>
      <c r="G235" s="276" t="str">
        <f>IF(D235="","",VLOOKUP(D235,'G-6 Hedgerow Data'!$B$2:$AG$15,3,FALSE))</f>
        <v/>
      </c>
      <c r="H235" s="101"/>
      <c r="I235" s="276" t="str">
        <f>IFERROR(IF(AND(D235&lt;&gt;"",H235=""),"Check data ⚠",(IF(H235="","",IF(AND(D235="Non-native and ornamental hedgerow",H235&lt;&gt;"Poor"),"Not possible ▲",(IF(AND(F235="V.Low",OR(H235="Good",H235="Moderate")),"Error ▲",VLOOKUP(H235,'G-1 All Habitats'!$Z$2:$AA$9,2,FALSE))))))),"")</f>
        <v/>
      </c>
      <c r="J235" s="105"/>
      <c r="K235" s="295" t="str">
        <f>IF(AND(J235="",D235&lt;&gt;""),"Check data ⚠",IF(J235="","",IF(VLOOKUP(J235,'G-3 Multipliers'!$L$3:$N$6,2,FALSE)=0,"Spatial Data Missing ⚠",VLOOKUP(J235,'G-3 Multipliers'!$L$3:$N$6,2,FALSE))))</f>
        <v/>
      </c>
      <c r="L235" s="299" t="str">
        <f>IF(J235="","",IF(VLOOKUP(J235,'G-3 Multipliers'!$L$3:$N$6,3,FALSE)=0,"Spatial Data Missing ⚠",VLOOKUP(J235,'G-3 Multipliers'!$L$3:$N$6,3,FALSE)))</f>
        <v/>
      </c>
      <c r="M235" s="336" t="str">
        <f>IF(D235="","",VLOOKUP(D235,'G-6 Hedgerow Data'!$B$1:$AH$15,33,FALSE))</f>
        <v/>
      </c>
      <c r="N235" s="289" t="str">
        <f t="shared" si="29"/>
        <v/>
      </c>
      <c r="O235" s="393"/>
      <c r="P235" s="281" t="str">
        <f>IF(O235="","",IF(VLOOKUP(O235,'G-3 Multipliers'!$S$3:$T$10,2,FALSE)=0,"Spatial Data Missing ⚠",VLOOKUP(O235,'G-3 Multipliers'!$S$3:$T$10,2,FALSE)))</f>
        <v/>
      </c>
      <c r="Q235" s="289" t="str">
        <f t="shared" si="30"/>
        <v/>
      </c>
      <c r="R235" s="32"/>
      <c r="S235" s="101"/>
      <c r="T235" s="108"/>
      <c r="U235" s="283" t="str">
        <f t="shared" si="31"/>
        <v/>
      </c>
      <c r="V235" s="283" t="str">
        <f t="shared" si="32"/>
        <v/>
      </c>
      <c r="W235" s="287" t="str">
        <f t="shared" si="33"/>
        <v/>
      </c>
      <c r="X235" s="291" t="str">
        <f t="shared" si="34"/>
        <v/>
      </c>
      <c r="Y235" s="105"/>
      <c r="Z235" s="104"/>
      <c r="AA235" s="104"/>
      <c r="AB235" s="104"/>
      <c r="AE235" s="30" t="str">
        <f>IFERROR(INDEX('G-6 Hedgerow Data'!$BJ$3:$BJ$15,MATCH(D235,'G-6 Hedgerow Data'!$B$3:$B$15,0)),"")</f>
        <v/>
      </c>
      <c r="AH235" s="107" t="str">
        <f t="shared" si="27"/>
        <v/>
      </c>
      <c r="AI235" s="107" t="str">
        <f t="shared" si="28"/>
        <v/>
      </c>
      <c r="AK235" s="107">
        <v>226</v>
      </c>
      <c r="AM235" s="107" t="str">
        <f t="array" ref="AM235">IFERROR(INDEX($AK$10:$AK$258,MATCH(0,IF(TRUE=$AH$10:$AH$258,COUNTIF($AM$9:$AM234,$AK$10:$AK$258),""),0)),"")</f>
        <v/>
      </c>
      <c r="AN235" s="107" t="str">
        <f t="array" ref="AN235">IFERROR(INDEX($AK$10:$AK$258,MATCH(0,IF(TRUE=$AI$10:$AI$258,COUNTIF($AN$9:$AN234,$AK$10:$AK$258),""),0)),"")</f>
        <v/>
      </c>
      <c r="AY235" s="283" t="str">
        <f t="shared" si="35"/>
        <v/>
      </c>
    </row>
    <row r="236" spans="2:51" ht="14">
      <c r="B236" s="97">
        <v>227</v>
      </c>
      <c r="C236" s="138"/>
      <c r="D236" s="138"/>
      <c r="E236" s="104"/>
      <c r="F236" s="275" t="str">
        <f>IF(D236="","",VLOOKUP(D236,'G-6 Hedgerow Data'!$B$2:$AG$15,2,FALSE))</f>
        <v/>
      </c>
      <c r="G236" s="276" t="str">
        <f>IF(D236="","",VLOOKUP(D236,'G-6 Hedgerow Data'!$B$2:$AG$15,3,FALSE))</f>
        <v/>
      </c>
      <c r="H236" s="101"/>
      <c r="I236" s="276" t="str">
        <f>IFERROR(IF(AND(D236&lt;&gt;"",H236=""),"Check data ⚠",(IF(H236="","",IF(AND(D236="Non-native and ornamental hedgerow",H236&lt;&gt;"Poor"),"Not possible ▲",(IF(AND(F236="V.Low",OR(H236="Good",H236="Moderate")),"Error ▲",VLOOKUP(H236,'G-1 All Habitats'!$Z$2:$AA$9,2,FALSE))))))),"")</f>
        <v/>
      </c>
      <c r="J236" s="105"/>
      <c r="K236" s="295" t="str">
        <f>IF(AND(J236="",D236&lt;&gt;""),"Check data ⚠",IF(J236="","",IF(VLOOKUP(J236,'G-3 Multipliers'!$L$3:$N$6,2,FALSE)=0,"Spatial Data Missing ⚠",VLOOKUP(J236,'G-3 Multipliers'!$L$3:$N$6,2,FALSE))))</f>
        <v/>
      </c>
      <c r="L236" s="299" t="str">
        <f>IF(J236="","",IF(VLOOKUP(J236,'G-3 Multipliers'!$L$3:$N$6,3,FALSE)=0,"Spatial Data Missing ⚠",VLOOKUP(J236,'G-3 Multipliers'!$L$3:$N$6,3,FALSE)))</f>
        <v/>
      </c>
      <c r="M236" s="336" t="str">
        <f>IF(D236="","",VLOOKUP(D236,'G-6 Hedgerow Data'!$B$1:$AH$15,33,FALSE))</f>
        <v/>
      </c>
      <c r="N236" s="289" t="str">
        <f t="shared" si="29"/>
        <v/>
      </c>
      <c r="O236" s="393"/>
      <c r="P236" s="281" t="str">
        <f>IF(O236="","",IF(VLOOKUP(O236,'G-3 Multipliers'!$S$3:$T$10,2,FALSE)=0,"Spatial Data Missing ⚠",VLOOKUP(O236,'G-3 Multipliers'!$S$3:$T$10,2,FALSE)))</f>
        <v/>
      </c>
      <c r="Q236" s="289" t="str">
        <f t="shared" si="30"/>
        <v/>
      </c>
      <c r="R236" s="32"/>
      <c r="S236" s="101"/>
      <c r="T236" s="108"/>
      <c r="U236" s="283" t="str">
        <f t="shared" si="31"/>
        <v/>
      </c>
      <c r="V236" s="283" t="str">
        <f t="shared" si="32"/>
        <v/>
      </c>
      <c r="W236" s="287" t="str">
        <f t="shared" si="33"/>
        <v/>
      </c>
      <c r="X236" s="291" t="str">
        <f t="shared" si="34"/>
        <v/>
      </c>
      <c r="Y236" s="105"/>
      <c r="Z236" s="104"/>
      <c r="AA236" s="104"/>
      <c r="AB236" s="104"/>
      <c r="AE236" s="30" t="str">
        <f>IFERROR(INDEX('G-6 Hedgerow Data'!$BJ$3:$BJ$15,MATCH(D236,'G-6 Hedgerow Data'!$B$3:$B$15,0)),"")</f>
        <v/>
      </c>
      <c r="AH236" s="107" t="str">
        <f t="shared" si="27"/>
        <v/>
      </c>
      <c r="AI236" s="107" t="str">
        <f t="shared" si="28"/>
        <v/>
      </c>
      <c r="AK236" s="107">
        <v>227</v>
      </c>
      <c r="AM236" s="107" t="str">
        <f t="array" ref="AM236">IFERROR(INDEX($AK$10:$AK$258,MATCH(0,IF(TRUE=$AH$10:$AH$258,COUNTIF($AM$9:$AM235,$AK$10:$AK$258),""),0)),"")</f>
        <v/>
      </c>
      <c r="AN236" s="107" t="str">
        <f t="array" ref="AN236">IFERROR(INDEX($AK$10:$AK$258,MATCH(0,IF(TRUE=$AI$10:$AI$258,COUNTIF($AN$9:$AN235,$AK$10:$AK$258),""),0)),"")</f>
        <v/>
      </c>
      <c r="AY236" s="283" t="str">
        <f t="shared" si="35"/>
        <v/>
      </c>
    </row>
    <row r="237" spans="2:51" ht="14">
      <c r="B237" s="97">
        <v>228</v>
      </c>
      <c r="C237" s="138"/>
      <c r="D237" s="138"/>
      <c r="E237" s="104"/>
      <c r="F237" s="275" t="str">
        <f>IF(D237="","",VLOOKUP(D237,'G-6 Hedgerow Data'!$B$2:$AG$15,2,FALSE))</f>
        <v/>
      </c>
      <c r="G237" s="276" t="str">
        <f>IF(D237="","",VLOOKUP(D237,'G-6 Hedgerow Data'!$B$2:$AG$15,3,FALSE))</f>
        <v/>
      </c>
      <c r="H237" s="101"/>
      <c r="I237" s="276" t="str">
        <f>IFERROR(IF(AND(D237&lt;&gt;"",H237=""),"Check data ⚠",(IF(H237="","",IF(AND(D237="Non-native and ornamental hedgerow",H237&lt;&gt;"Poor"),"Not possible ▲",(IF(AND(F237="V.Low",OR(H237="Good",H237="Moderate")),"Error ▲",VLOOKUP(H237,'G-1 All Habitats'!$Z$2:$AA$9,2,FALSE))))))),"")</f>
        <v/>
      </c>
      <c r="J237" s="105"/>
      <c r="K237" s="295" t="str">
        <f>IF(AND(J237="",D237&lt;&gt;""),"Check data ⚠",IF(J237="","",IF(VLOOKUP(J237,'G-3 Multipliers'!$L$3:$N$6,2,FALSE)=0,"Spatial Data Missing ⚠",VLOOKUP(J237,'G-3 Multipliers'!$L$3:$N$6,2,FALSE))))</f>
        <v/>
      </c>
      <c r="L237" s="299" t="str">
        <f>IF(J237="","",IF(VLOOKUP(J237,'G-3 Multipliers'!$L$3:$N$6,3,FALSE)=0,"Spatial Data Missing ⚠",VLOOKUP(J237,'G-3 Multipliers'!$L$3:$N$6,3,FALSE)))</f>
        <v/>
      </c>
      <c r="M237" s="336" t="str">
        <f>IF(D237="","",VLOOKUP(D237,'G-6 Hedgerow Data'!$B$1:$AH$15,33,FALSE))</f>
        <v/>
      </c>
      <c r="N237" s="289" t="str">
        <f t="shared" si="29"/>
        <v/>
      </c>
      <c r="O237" s="393"/>
      <c r="P237" s="281" t="str">
        <f>IF(O237="","",IF(VLOOKUP(O237,'G-3 Multipliers'!$S$3:$T$10,2,FALSE)=0,"Spatial Data Missing ⚠",VLOOKUP(O237,'G-3 Multipliers'!$S$3:$T$10,2,FALSE)))</f>
        <v/>
      </c>
      <c r="Q237" s="289" t="str">
        <f t="shared" si="30"/>
        <v/>
      </c>
      <c r="R237" s="32"/>
      <c r="S237" s="101"/>
      <c r="T237" s="108"/>
      <c r="U237" s="283" t="str">
        <f t="shared" si="31"/>
        <v/>
      </c>
      <c r="V237" s="283" t="str">
        <f t="shared" si="32"/>
        <v/>
      </c>
      <c r="W237" s="287" t="str">
        <f t="shared" si="33"/>
        <v/>
      </c>
      <c r="X237" s="291" t="str">
        <f t="shared" si="34"/>
        <v/>
      </c>
      <c r="Y237" s="105"/>
      <c r="Z237" s="104"/>
      <c r="AA237" s="104"/>
      <c r="AB237" s="104"/>
      <c r="AE237" s="30" t="str">
        <f>IFERROR(INDEX('G-6 Hedgerow Data'!$BJ$3:$BJ$15,MATCH(D237,'G-6 Hedgerow Data'!$B$3:$B$15,0)),"")</f>
        <v/>
      </c>
      <c r="AH237" s="107" t="str">
        <f t="shared" si="27"/>
        <v/>
      </c>
      <c r="AI237" s="107" t="str">
        <f t="shared" si="28"/>
        <v/>
      </c>
      <c r="AK237" s="107">
        <v>228</v>
      </c>
      <c r="AM237" s="107" t="str">
        <f t="array" ref="AM237">IFERROR(INDEX($AK$10:$AK$258,MATCH(0,IF(TRUE=$AH$10:$AH$258,COUNTIF($AM$9:$AM236,$AK$10:$AK$258),""),0)),"")</f>
        <v/>
      </c>
      <c r="AN237" s="107" t="str">
        <f t="array" ref="AN237">IFERROR(INDEX($AK$10:$AK$258,MATCH(0,IF(TRUE=$AI$10:$AI$258,COUNTIF($AN$9:$AN236,$AK$10:$AK$258),""),0)),"")</f>
        <v/>
      </c>
      <c r="AY237" s="283" t="str">
        <f t="shared" si="35"/>
        <v/>
      </c>
    </row>
    <row r="238" spans="2:51" ht="14">
      <c r="B238" s="97">
        <v>229</v>
      </c>
      <c r="C238" s="138"/>
      <c r="D238" s="138"/>
      <c r="E238" s="104"/>
      <c r="F238" s="275" t="str">
        <f>IF(D238="","",VLOOKUP(D238,'G-6 Hedgerow Data'!$B$2:$AG$15,2,FALSE))</f>
        <v/>
      </c>
      <c r="G238" s="276" t="str">
        <f>IF(D238="","",VLOOKUP(D238,'G-6 Hedgerow Data'!$B$2:$AG$15,3,FALSE))</f>
        <v/>
      </c>
      <c r="H238" s="101"/>
      <c r="I238" s="276" t="str">
        <f>IFERROR(IF(AND(D238&lt;&gt;"",H238=""),"Check data ⚠",(IF(H238="","",IF(AND(D238="Non-native and ornamental hedgerow",H238&lt;&gt;"Poor"),"Not possible ▲",(IF(AND(F238="V.Low",OR(H238="Good",H238="Moderate")),"Error ▲",VLOOKUP(H238,'G-1 All Habitats'!$Z$2:$AA$9,2,FALSE))))))),"")</f>
        <v/>
      </c>
      <c r="J238" s="105"/>
      <c r="K238" s="295" t="str">
        <f>IF(AND(J238="",D238&lt;&gt;""),"Check data ⚠",IF(J238="","",IF(VLOOKUP(J238,'G-3 Multipliers'!$L$3:$N$6,2,FALSE)=0,"Spatial Data Missing ⚠",VLOOKUP(J238,'G-3 Multipliers'!$L$3:$N$6,2,FALSE))))</f>
        <v/>
      </c>
      <c r="L238" s="299" t="str">
        <f>IF(J238="","",IF(VLOOKUP(J238,'G-3 Multipliers'!$L$3:$N$6,3,FALSE)=0,"Spatial Data Missing ⚠",VLOOKUP(J238,'G-3 Multipliers'!$L$3:$N$6,3,FALSE)))</f>
        <v/>
      </c>
      <c r="M238" s="336" t="str">
        <f>IF(D238="","",VLOOKUP(D238,'G-6 Hedgerow Data'!$B$1:$AH$15,33,FALSE))</f>
        <v/>
      </c>
      <c r="N238" s="289" t="str">
        <f t="shared" si="29"/>
        <v/>
      </c>
      <c r="O238" s="393"/>
      <c r="P238" s="281" t="str">
        <f>IF(O238="","",IF(VLOOKUP(O238,'G-3 Multipliers'!$S$3:$T$10,2,FALSE)=0,"Spatial Data Missing ⚠",VLOOKUP(O238,'G-3 Multipliers'!$S$3:$T$10,2,FALSE)))</f>
        <v/>
      </c>
      <c r="Q238" s="289" t="str">
        <f t="shared" si="30"/>
        <v/>
      </c>
      <c r="R238" s="32"/>
      <c r="S238" s="101"/>
      <c r="T238" s="108"/>
      <c r="U238" s="283" t="str">
        <f t="shared" si="31"/>
        <v/>
      </c>
      <c r="V238" s="283" t="str">
        <f t="shared" si="32"/>
        <v/>
      </c>
      <c r="W238" s="287" t="str">
        <f t="shared" si="33"/>
        <v/>
      </c>
      <c r="X238" s="291" t="str">
        <f t="shared" si="34"/>
        <v/>
      </c>
      <c r="Y238" s="105"/>
      <c r="Z238" s="104"/>
      <c r="AA238" s="104"/>
      <c r="AB238" s="104"/>
      <c r="AE238" s="30" t="str">
        <f>IFERROR(INDEX('G-6 Hedgerow Data'!$BJ$3:$BJ$15,MATCH(D238,'G-6 Hedgerow Data'!$B$3:$B$15,0)),"")</f>
        <v/>
      </c>
      <c r="AH238" s="107" t="str">
        <f t="shared" si="27"/>
        <v/>
      </c>
      <c r="AI238" s="107" t="str">
        <f t="shared" si="28"/>
        <v/>
      </c>
      <c r="AK238" s="107">
        <v>229</v>
      </c>
      <c r="AM238" s="107" t="str">
        <f t="array" ref="AM238">IFERROR(INDEX($AK$10:$AK$258,MATCH(0,IF(TRUE=$AH$10:$AH$258,COUNTIF($AM$9:$AM237,$AK$10:$AK$258),""),0)),"")</f>
        <v/>
      </c>
      <c r="AN238" s="107" t="str">
        <f t="array" ref="AN238">IFERROR(INDEX($AK$10:$AK$258,MATCH(0,IF(TRUE=$AI$10:$AI$258,COUNTIF($AN$9:$AN237,$AK$10:$AK$258),""),0)),"")</f>
        <v/>
      </c>
      <c r="AY238" s="283" t="str">
        <f t="shared" si="35"/>
        <v/>
      </c>
    </row>
    <row r="239" spans="2:51" ht="14">
      <c r="B239" s="97">
        <v>230</v>
      </c>
      <c r="C239" s="138"/>
      <c r="D239" s="138"/>
      <c r="E239" s="104"/>
      <c r="F239" s="275" t="str">
        <f>IF(D239="","",VLOOKUP(D239,'G-6 Hedgerow Data'!$B$2:$AG$15,2,FALSE))</f>
        <v/>
      </c>
      <c r="G239" s="276" t="str">
        <f>IF(D239="","",VLOOKUP(D239,'G-6 Hedgerow Data'!$B$2:$AG$15,3,FALSE))</f>
        <v/>
      </c>
      <c r="H239" s="101"/>
      <c r="I239" s="276" t="str">
        <f>IFERROR(IF(AND(D239&lt;&gt;"",H239=""),"Check data ⚠",(IF(H239="","",IF(AND(D239="Non-native and ornamental hedgerow",H239&lt;&gt;"Poor"),"Not possible ▲",(IF(AND(F239="V.Low",OR(H239="Good",H239="Moderate")),"Error ▲",VLOOKUP(H239,'G-1 All Habitats'!$Z$2:$AA$9,2,FALSE))))))),"")</f>
        <v/>
      </c>
      <c r="J239" s="105"/>
      <c r="K239" s="295" t="str">
        <f>IF(AND(J239="",D239&lt;&gt;""),"Check data ⚠",IF(J239="","",IF(VLOOKUP(J239,'G-3 Multipliers'!$L$3:$N$6,2,FALSE)=0,"Spatial Data Missing ⚠",VLOOKUP(J239,'G-3 Multipliers'!$L$3:$N$6,2,FALSE))))</f>
        <v/>
      </c>
      <c r="L239" s="299" t="str">
        <f>IF(J239="","",IF(VLOOKUP(J239,'G-3 Multipliers'!$L$3:$N$6,3,FALSE)=0,"Spatial Data Missing ⚠",VLOOKUP(J239,'G-3 Multipliers'!$L$3:$N$6,3,FALSE)))</f>
        <v/>
      </c>
      <c r="M239" s="336" t="str">
        <f>IF(D239="","",VLOOKUP(D239,'G-6 Hedgerow Data'!$B$1:$AH$15,33,FALSE))</f>
        <v/>
      </c>
      <c r="N239" s="289" t="str">
        <f t="shared" si="29"/>
        <v/>
      </c>
      <c r="O239" s="393"/>
      <c r="P239" s="281" t="str">
        <f>IF(O239="","",IF(VLOOKUP(O239,'G-3 Multipliers'!$S$3:$T$10,2,FALSE)=0,"Spatial Data Missing ⚠",VLOOKUP(O239,'G-3 Multipliers'!$S$3:$T$10,2,FALSE)))</f>
        <v/>
      </c>
      <c r="Q239" s="289" t="str">
        <f t="shared" si="30"/>
        <v/>
      </c>
      <c r="R239" s="32"/>
      <c r="S239" s="101"/>
      <c r="T239" s="108"/>
      <c r="U239" s="283" t="str">
        <f t="shared" si="31"/>
        <v/>
      </c>
      <c r="V239" s="283" t="str">
        <f t="shared" si="32"/>
        <v/>
      </c>
      <c r="W239" s="287" t="str">
        <f t="shared" si="33"/>
        <v/>
      </c>
      <c r="X239" s="291" t="str">
        <f t="shared" si="34"/>
        <v/>
      </c>
      <c r="Y239" s="105"/>
      <c r="Z239" s="104"/>
      <c r="AA239" s="104"/>
      <c r="AB239" s="104"/>
      <c r="AE239" s="30" t="str">
        <f>IFERROR(INDEX('G-6 Hedgerow Data'!$BJ$3:$BJ$15,MATCH(D239,'G-6 Hedgerow Data'!$B$3:$B$15,0)),"")</f>
        <v/>
      </c>
      <c r="AH239" s="107" t="str">
        <f t="shared" si="27"/>
        <v/>
      </c>
      <c r="AI239" s="107" t="str">
        <f t="shared" si="28"/>
        <v/>
      </c>
      <c r="AK239" s="107">
        <v>230</v>
      </c>
      <c r="AM239" s="107" t="str">
        <f t="array" ref="AM239">IFERROR(INDEX($AK$10:$AK$258,MATCH(0,IF(TRUE=$AH$10:$AH$258,COUNTIF($AM$9:$AM238,$AK$10:$AK$258),""),0)),"")</f>
        <v/>
      </c>
      <c r="AN239" s="107" t="str">
        <f t="array" ref="AN239">IFERROR(INDEX($AK$10:$AK$258,MATCH(0,IF(TRUE=$AI$10:$AI$258,COUNTIF($AN$9:$AN238,$AK$10:$AK$258),""),0)),"")</f>
        <v/>
      </c>
      <c r="AY239" s="283" t="str">
        <f t="shared" si="35"/>
        <v/>
      </c>
    </row>
    <row r="240" spans="2:51" ht="14">
      <c r="B240" s="97">
        <v>231</v>
      </c>
      <c r="C240" s="138"/>
      <c r="D240" s="138"/>
      <c r="E240" s="104"/>
      <c r="F240" s="275" t="str">
        <f>IF(D240="","",VLOOKUP(D240,'G-6 Hedgerow Data'!$B$2:$AG$15,2,FALSE))</f>
        <v/>
      </c>
      <c r="G240" s="276" t="str">
        <f>IF(D240="","",VLOOKUP(D240,'G-6 Hedgerow Data'!$B$2:$AG$15,3,FALSE))</f>
        <v/>
      </c>
      <c r="H240" s="101"/>
      <c r="I240" s="276" t="str">
        <f>IFERROR(IF(AND(D240&lt;&gt;"",H240=""),"Check data ⚠",(IF(H240="","",IF(AND(D240="Non-native and ornamental hedgerow",H240&lt;&gt;"Poor"),"Not possible ▲",(IF(AND(F240="V.Low",OR(H240="Good",H240="Moderate")),"Error ▲",VLOOKUP(H240,'G-1 All Habitats'!$Z$2:$AA$9,2,FALSE))))))),"")</f>
        <v/>
      </c>
      <c r="J240" s="105"/>
      <c r="K240" s="295" t="str">
        <f>IF(AND(J240="",D240&lt;&gt;""),"Check data ⚠",IF(J240="","",IF(VLOOKUP(J240,'G-3 Multipliers'!$L$3:$N$6,2,FALSE)=0,"Spatial Data Missing ⚠",VLOOKUP(J240,'G-3 Multipliers'!$L$3:$N$6,2,FALSE))))</f>
        <v/>
      </c>
      <c r="L240" s="299" t="str">
        <f>IF(J240="","",IF(VLOOKUP(J240,'G-3 Multipliers'!$L$3:$N$6,3,FALSE)=0,"Spatial Data Missing ⚠",VLOOKUP(J240,'G-3 Multipliers'!$L$3:$N$6,3,FALSE)))</f>
        <v/>
      </c>
      <c r="M240" s="336" t="str">
        <f>IF(D240="","",VLOOKUP(D240,'G-6 Hedgerow Data'!$B$1:$AH$15,33,FALSE))</f>
        <v/>
      </c>
      <c r="N240" s="289" t="str">
        <f t="shared" si="29"/>
        <v/>
      </c>
      <c r="O240" s="393"/>
      <c r="P240" s="281" t="str">
        <f>IF(O240="","",IF(VLOOKUP(O240,'G-3 Multipliers'!$S$3:$T$10,2,FALSE)=0,"Spatial Data Missing ⚠",VLOOKUP(O240,'G-3 Multipliers'!$S$3:$T$10,2,FALSE)))</f>
        <v/>
      </c>
      <c r="Q240" s="289" t="str">
        <f t="shared" si="30"/>
        <v/>
      </c>
      <c r="R240" s="32"/>
      <c r="S240" s="101"/>
      <c r="T240" s="108"/>
      <c r="U240" s="283" t="str">
        <f t="shared" si="31"/>
        <v/>
      </c>
      <c r="V240" s="283" t="str">
        <f t="shared" si="32"/>
        <v/>
      </c>
      <c r="W240" s="287" t="str">
        <f t="shared" si="33"/>
        <v/>
      </c>
      <c r="X240" s="291" t="str">
        <f t="shared" si="34"/>
        <v/>
      </c>
      <c r="Y240" s="105"/>
      <c r="Z240" s="104"/>
      <c r="AA240" s="104"/>
      <c r="AB240" s="104"/>
      <c r="AE240" s="30" t="str">
        <f>IFERROR(INDEX('G-6 Hedgerow Data'!$BJ$3:$BJ$15,MATCH(D240,'G-6 Hedgerow Data'!$B$3:$B$15,0)),"")</f>
        <v/>
      </c>
      <c r="AH240" s="107" t="str">
        <f t="shared" si="27"/>
        <v/>
      </c>
      <c r="AI240" s="107" t="str">
        <f t="shared" si="28"/>
        <v/>
      </c>
      <c r="AK240" s="107">
        <v>231</v>
      </c>
      <c r="AM240" s="107" t="str">
        <f t="array" ref="AM240">IFERROR(INDEX($AK$10:$AK$258,MATCH(0,IF(TRUE=$AH$10:$AH$258,COUNTIF($AM$9:$AM239,$AK$10:$AK$258),""),0)),"")</f>
        <v/>
      </c>
      <c r="AN240" s="107" t="str">
        <f t="array" ref="AN240">IFERROR(INDEX($AK$10:$AK$258,MATCH(0,IF(TRUE=$AI$10:$AI$258,COUNTIF($AN$9:$AN239,$AK$10:$AK$258),""),0)),"")</f>
        <v/>
      </c>
      <c r="AY240" s="283" t="str">
        <f t="shared" si="35"/>
        <v/>
      </c>
    </row>
    <row r="241" spans="2:51" ht="14">
      <c r="B241" s="97">
        <v>232</v>
      </c>
      <c r="C241" s="138"/>
      <c r="D241" s="138"/>
      <c r="E241" s="104"/>
      <c r="F241" s="275" t="str">
        <f>IF(D241="","",VLOOKUP(D241,'G-6 Hedgerow Data'!$B$2:$AG$15,2,FALSE))</f>
        <v/>
      </c>
      <c r="G241" s="276" t="str">
        <f>IF(D241="","",VLOOKUP(D241,'G-6 Hedgerow Data'!$B$2:$AG$15,3,FALSE))</f>
        <v/>
      </c>
      <c r="H241" s="101"/>
      <c r="I241" s="276" t="str">
        <f>IFERROR(IF(AND(D241&lt;&gt;"",H241=""),"Check data ⚠",(IF(H241="","",IF(AND(D241="Non-native and ornamental hedgerow",H241&lt;&gt;"Poor"),"Not possible ▲",(IF(AND(F241="V.Low",OR(H241="Good",H241="Moderate")),"Error ▲",VLOOKUP(H241,'G-1 All Habitats'!$Z$2:$AA$9,2,FALSE))))))),"")</f>
        <v/>
      </c>
      <c r="J241" s="105"/>
      <c r="K241" s="295" t="str">
        <f>IF(AND(J241="",D241&lt;&gt;""),"Check data ⚠",IF(J241="","",IF(VLOOKUP(J241,'G-3 Multipliers'!$L$3:$N$6,2,FALSE)=0,"Spatial Data Missing ⚠",VLOOKUP(J241,'G-3 Multipliers'!$L$3:$N$6,2,FALSE))))</f>
        <v/>
      </c>
      <c r="L241" s="299" t="str">
        <f>IF(J241="","",IF(VLOOKUP(J241,'G-3 Multipliers'!$L$3:$N$6,3,FALSE)=0,"Spatial Data Missing ⚠",VLOOKUP(J241,'G-3 Multipliers'!$L$3:$N$6,3,FALSE)))</f>
        <v/>
      </c>
      <c r="M241" s="336" t="str">
        <f>IF(D241="","",VLOOKUP(D241,'G-6 Hedgerow Data'!$B$1:$AH$15,33,FALSE))</f>
        <v/>
      </c>
      <c r="N241" s="289" t="str">
        <f t="shared" si="29"/>
        <v/>
      </c>
      <c r="O241" s="393"/>
      <c r="P241" s="281" t="str">
        <f>IF(O241="","",IF(VLOOKUP(O241,'G-3 Multipliers'!$S$3:$T$10,2,FALSE)=0,"Spatial Data Missing ⚠",VLOOKUP(O241,'G-3 Multipliers'!$S$3:$T$10,2,FALSE)))</f>
        <v/>
      </c>
      <c r="Q241" s="289" t="str">
        <f t="shared" si="30"/>
        <v/>
      </c>
      <c r="R241" s="32"/>
      <c r="S241" s="101"/>
      <c r="T241" s="108"/>
      <c r="U241" s="283" t="str">
        <f t="shared" si="31"/>
        <v/>
      </c>
      <c r="V241" s="283" t="str">
        <f t="shared" si="32"/>
        <v/>
      </c>
      <c r="W241" s="287" t="str">
        <f t="shared" si="33"/>
        <v/>
      </c>
      <c r="X241" s="291" t="str">
        <f t="shared" si="34"/>
        <v/>
      </c>
      <c r="Y241" s="105"/>
      <c r="Z241" s="104"/>
      <c r="AA241" s="104"/>
      <c r="AB241" s="104"/>
      <c r="AE241" s="30" t="str">
        <f>IFERROR(INDEX('G-6 Hedgerow Data'!$BJ$3:$BJ$15,MATCH(D241,'G-6 Hedgerow Data'!$B$3:$B$15,0)),"")</f>
        <v/>
      </c>
      <c r="AH241" s="107" t="str">
        <f t="shared" si="27"/>
        <v/>
      </c>
      <c r="AI241" s="107" t="str">
        <f t="shared" si="28"/>
        <v/>
      </c>
      <c r="AK241" s="107">
        <v>232</v>
      </c>
      <c r="AM241" s="107" t="str">
        <f t="array" ref="AM241">IFERROR(INDEX($AK$10:$AK$258,MATCH(0,IF(TRUE=$AH$10:$AH$258,COUNTIF($AM$9:$AM240,$AK$10:$AK$258),""),0)),"")</f>
        <v/>
      </c>
      <c r="AN241" s="107" t="str">
        <f t="array" ref="AN241">IFERROR(INDEX($AK$10:$AK$258,MATCH(0,IF(TRUE=$AI$10:$AI$258,COUNTIF($AN$9:$AN240,$AK$10:$AK$258),""),0)),"")</f>
        <v/>
      </c>
      <c r="AY241" s="283" t="str">
        <f t="shared" si="35"/>
        <v/>
      </c>
    </row>
    <row r="242" spans="2:51" ht="14">
      <c r="B242" s="97">
        <v>233</v>
      </c>
      <c r="C242" s="138"/>
      <c r="D242" s="138"/>
      <c r="E242" s="104"/>
      <c r="F242" s="275" t="str">
        <f>IF(D242="","",VLOOKUP(D242,'G-6 Hedgerow Data'!$B$2:$AG$15,2,FALSE))</f>
        <v/>
      </c>
      <c r="G242" s="276" t="str">
        <f>IF(D242="","",VLOOKUP(D242,'G-6 Hedgerow Data'!$B$2:$AG$15,3,FALSE))</f>
        <v/>
      </c>
      <c r="H242" s="101"/>
      <c r="I242" s="276" t="str">
        <f>IFERROR(IF(AND(D242&lt;&gt;"",H242=""),"Check data ⚠",(IF(H242="","",IF(AND(D242="Non-native and ornamental hedgerow",H242&lt;&gt;"Poor"),"Not possible ▲",(IF(AND(F242="V.Low",OR(H242="Good",H242="Moderate")),"Error ▲",VLOOKUP(H242,'G-1 All Habitats'!$Z$2:$AA$9,2,FALSE))))))),"")</f>
        <v/>
      </c>
      <c r="J242" s="105"/>
      <c r="K242" s="295" t="str">
        <f>IF(AND(J242="",D242&lt;&gt;""),"Check data ⚠",IF(J242="","",IF(VLOOKUP(J242,'G-3 Multipliers'!$L$3:$N$6,2,FALSE)=0,"Spatial Data Missing ⚠",VLOOKUP(J242,'G-3 Multipliers'!$L$3:$N$6,2,FALSE))))</f>
        <v/>
      </c>
      <c r="L242" s="299" t="str">
        <f>IF(J242="","",IF(VLOOKUP(J242,'G-3 Multipliers'!$L$3:$N$6,3,FALSE)=0,"Spatial Data Missing ⚠",VLOOKUP(J242,'G-3 Multipliers'!$L$3:$N$6,3,FALSE)))</f>
        <v/>
      </c>
      <c r="M242" s="336" t="str">
        <f>IF(D242="","",VLOOKUP(D242,'G-6 Hedgerow Data'!$B$1:$AH$15,33,FALSE))</f>
        <v/>
      </c>
      <c r="N242" s="289" t="str">
        <f t="shared" si="29"/>
        <v/>
      </c>
      <c r="O242" s="393"/>
      <c r="P242" s="281" t="str">
        <f>IF(O242="","",IF(VLOOKUP(O242,'G-3 Multipliers'!$S$3:$T$10,2,FALSE)=0,"Spatial Data Missing ⚠",VLOOKUP(O242,'G-3 Multipliers'!$S$3:$T$10,2,FALSE)))</f>
        <v/>
      </c>
      <c r="Q242" s="289" t="str">
        <f t="shared" si="30"/>
        <v/>
      </c>
      <c r="R242" s="32"/>
      <c r="S242" s="101"/>
      <c r="T242" s="108"/>
      <c r="U242" s="283" t="str">
        <f t="shared" si="31"/>
        <v/>
      </c>
      <c r="V242" s="283" t="str">
        <f t="shared" si="32"/>
        <v/>
      </c>
      <c r="W242" s="287" t="str">
        <f t="shared" si="33"/>
        <v/>
      </c>
      <c r="X242" s="291" t="str">
        <f t="shared" si="34"/>
        <v/>
      </c>
      <c r="Y242" s="105"/>
      <c r="Z242" s="104"/>
      <c r="AA242" s="104"/>
      <c r="AB242" s="104"/>
      <c r="AE242" s="30" t="str">
        <f>IFERROR(INDEX('G-6 Hedgerow Data'!$BJ$3:$BJ$15,MATCH(D242,'G-6 Hedgerow Data'!$B$3:$B$15,0)),"")</f>
        <v/>
      </c>
      <c r="AH242" s="107" t="str">
        <f t="shared" si="27"/>
        <v/>
      </c>
      <c r="AI242" s="107" t="str">
        <f t="shared" si="28"/>
        <v/>
      </c>
      <c r="AK242" s="107">
        <v>233</v>
      </c>
      <c r="AM242" s="107" t="str">
        <f t="array" ref="AM242">IFERROR(INDEX($AK$10:$AK$258,MATCH(0,IF(TRUE=$AH$10:$AH$258,COUNTIF($AM$9:$AM241,$AK$10:$AK$258),""),0)),"")</f>
        <v/>
      </c>
      <c r="AN242" s="107" t="str">
        <f t="array" ref="AN242">IFERROR(INDEX($AK$10:$AK$258,MATCH(0,IF(TRUE=$AI$10:$AI$258,COUNTIF($AN$9:$AN241,$AK$10:$AK$258),""),0)),"")</f>
        <v/>
      </c>
      <c r="AY242" s="283" t="str">
        <f t="shared" si="35"/>
        <v/>
      </c>
    </row>
    <row r="243" spans="2:51" ht="14">
      <c r="B243" s="97">
        <v>234</v>
      </c>
      <c r="C243" s="138"/>
      <c r="D243" s="138"/>
      <c r="E243" s="104"/>
      <c r="F243" s="275" t="str">
        <f>IF(D243="","",VLOOKUP(D243,'G-6 Hedgerow Data'!$B$2:$AG$15,2,FALSE))</f>
        <v/>
      </c>
      <c r="G243" s="276" t="str">
        <f>IF(D243="","",VLOOKUP(D243,'G-6 Hedgerow Data'!$B$2:$AG$15,3,FALSE))</f>
        <v/>
      </c>
      <c r="H243" s="101"/>
      <c r="I243" s="276" t="str">
        <f>IFERROR(IF(AND(D243&lt;&gt;"",H243=""),"Check data ⚠",(IF(H243="","",IF(AND(D243="Non-native and ornamental hedgerow",H243&lt;&gt;"Poor"),"Not possible ▲",(IF(AND(F243="V.Low",OR(H243="Good",H243="Moderate")),"Error ▲",VLOOKUP(H243,'G-1 All Habitats'!$Z$2:$AA$9,2,FALSE))))))),"")</f>
        <v/>
      </c>
      <c r="J243" s="105"/>
      <c r="K243" s="295" t="str">
        <f>IF(AND(J243="",D243&lt;&gt;""),"Check data ⚠",IF(J243="","",IF(VLOOKUP(J243,'G-3 Multipliers'!$L$3:$N$6,2,FALSE)=0,"Spatial Data Missing ⚠",VLOOKUP(J243,'G-3 Multipliers'!$L$3:$N$6,2,FALSE))))</f>
        <v/>
      </c>
      <c r="L243" s="299" t="str">
        <f>IF(J243="","",IF(VLOOKUP(J243,'G-3 Multipliers'!$L$3:$N$6,3,FALSE)=0,"Spatial Data Missing ⚠",VLOOKUP(J243,'G-3 Multipliers'!$L$3:$N$6,3,FALSE)))</f>
        <v/>
      </c>
      <c r="M243" s="336" t="str">
        <f>IF(D243="","",VLOOKUP(D243,'G-6 Hedgerow Data'!$B$1:$AH$15,33,FALSE))</f>
        <v/>
      </c>
      <c r="N243" s="289" t="str">
        <f t="shared" si="29"/>
        <v/>
      </c>
      <c r="O243" s="393"/>
      <c r="P243" s="281" t="str">
        <f>IF(O243="","",IF(VLOOKUP(O243,'G-3 Multipliers'!$S$3:$T$10,2,FALSE)=0,"Spatial Data Missing ⚠",VLOOKUP(O243,'G-3 Multipliers'!$S$3:$T$10,2,FALSE)))</f>
        <v/>
      </c>
      <c r="Q243" s="289" t="str">
        <f t="shared" si="30"/>
        <v/>
      </c>
      <c r="R243" s="32"/>
      <c r="S243" s="101"/>
      <c r="T243" s="108"/>
      <c r="U243" s="283" t="str">
        <f t="shared" si="31"/>
        <v/>
      </c>
      <c r="V243" s="283" t="str">
        <f t="shared" si="32"/>
        <v/>
      </c>
      <c r="W243" s="287" t="str">
        <f t="shared" si="33"/>
        <v/>
      </c>
      <c r="X243" s="291" t="str">
        <f t="shared" si="34"/>
        <v/>
      </c>
      <c r="Y243" s="105"/>
      <c r="Z243" s="104"/>
      <c r="AA243" s="104"/>
      <c r="AB243" s="104"/>
      <c r="AE243" s="30" t="str">
        <f>IFERROR(INDEX('G-6 Hedgerow Data'!$BJ$3:$BJ$15,MATCH(D243,'G-6 Hedgerow Data'!$B$3:$B$15,0)),"")</f>
        <v/>
      </c>
      <c r="AH243" s="107" t="str">
        <f t="shared" si="27"/>
        <v/>
      </c>
      <c r="AI243" s="107" t="str">
        <f t="shared" si="28"/>
        <v/>
      </c>
      <c r="AK243" s="107">
        <v>234</v>
      </c>
      <c r="AM243" s="107" t="str">
        <f t="array" ref="AM243">IFERROR(INDEX($AK$10:$AK$258,MATCH(0,IF(TRUE=$AH$10:$AH$258,COUNTIF($AM$9:$AM242,$AK$10:$AK$258),""),0)),"")</f>
        <v/>
      </c>
      <c r="AN243" s="107" t="str">
        <f t="array" ref="AN243">IFERROR(INDEX($AK$10:$AK$258,MATCH(0,IF(TRUE=$AI$10:$AI$258,COUNTIF($AN$9:$AN242,$AK$10:$AK$258),""),0)),"")</f>
        <v/>
      </c>
      <c r="AY243" s="283" t="str">
        <f t="shared" si="35"/>
        <v/>
      </c>
    </row>
    <row r="244" spans="2:51" ht="14">
      <c r="B244" s="97">
        <v>235</v>
      </c>
      <c r="C244" s="138"/>
      <c r="D244" s="138"/>
      <c r="E244" s="104"/>
      <c r="F244" s="275" t="str">
        <f>IF(D244="","",VLOOKUP(D244,'G-6 Hedgerow Data'!$B$2:$AG$15,2,FALSE))</f>
        <v/>
      </c>
      <c r="G244" s="276" t="str">
        <f>IF(D244="","",VLOOKUP(D244,'G-6 Hedgerow Data'!$B$2:$AG$15,3,FALSE))</f>
        <v/>
      </c>
      <c r="H244" s="101"/>
      <c r="I244" s="276" t="str">
        <f>IFERROR(IF(AND(D244&lt;&gt;"",H244=""),"Check data ⚠",(IF(H244="","",IF(AND(D244="Non-native and ornamental hedgerow",H244&lt;&gt;"Poor"),"Not possible ▲",(IF(AND(F244="V.Low",OR(H244="Good",H244="Moderate")),"Error ▲",VLOOKUP(H244,'G-1 All Habitats'!$Z$2:$AA$9,2,FALSE))))))),"")</f>
        <v/>
      </c>
      <c r="J244" s="105"/>
      <c r="K244" s="295" t="str">
        <f>IF(AND(J244="",D244&lt;&gt;""),"Check data ⚠",IF(J244="","",IF(VLOOKUP(J244,'G-3 Multipliers'!$L$3:$N$6,2,FALSE)=0,"Spatial Data Missing ⚠",VLOOKUP(J244,'G-3 Multipliers'!$L$3:$N$6,2,FALSE))))</f>
        <v/>
      </c>
      <c r="L244" s="299" t="str">
        <f>IF(J244="","",IF(VLOOKUP(J244,'G-3 Multipliers'!$L$3:$N$6,3,FALSE)=0,"Spatial Data Missing ⚠",VLOOKUP(J244,'G-3 Multipliers'!$L$3:$N$6,3,FALSE)))</f>
        <v/>
      </c>
      <c r="M244" s="336" t="str">
        <f>IF(D244="","",VLOOKUP(D244,'G-6 Hedgerow Data'!$B$1:$AH$15,33,FALSE))</f>
        <v/>
      </c>
      <c r="N244" s="289" t="str">
        <f t="shared" si="29"/>
        <v/>
      </c>
      <c r="O244" s="393"/>
      <c r="P244" s="281" t="str">
        <f>IF(O244="","",IF(VLOOKUP(O244,'G-3 Multipliers'!$S$3:$T$10,2,FALSE)=0,"Spatial Data Missing ⚠",VLOOKUP(O244,'G-3 Multipliers'!$S$3:$T$10,2,FALSE)))</f>
        <v/>
      </c>
      <c r="Q244" s="289" t="str">
        <f t="shared" si="30"/>
        <v/>
      </c>
      <c r="R244" s="32"/>
      <c r="S244" s="101"/>
      <c r="T244" s="108"/>
      <c r="U244" s="283" t="str">
        <f t="shared" si="31"/>
        <v/>
      </c>
      <c r="V244" s="283" t="str">
        <f t="shared" si="32"/>
        <v/>
      </c>
      <c r="W244" s="287" t="str">
        <f t="shared" si="33"/>
        <v/>
      </c>
      <c r="X244" s="291" t="str">
        <f t="shared" si="34"/>
        <v/>
      </c>
      <c r="Y244" s="105"/>
      <c r="Z244" s="104"/>
      <c r="AA244" s="104"/>
      <c r="AB244" s="104"/>
      <c r="AE244" s="30" t="str">
        <f>IFERROR(INDEX('G-6 Hedgerow Data'!$BJ$3:$BJ$15,MATCH(D244,'G-6 Hedgerow Data'!$B$3:$B$15,0)),"")</f>
        <v/>
      </c>
      <c r="AH244" s="107" t="str">
        <f t="shared" si="27"/>
        <v/>
      </c>
      <c r="AI244" s="107" t="str">
        <f t="shared" si="28"/>
        <v/>
      </c>
      <c r="AK244" s="107">
        <v>235</v>
      </c>
      <c r="AM244" s="107" t="str">
        <f t="array" ref="AM244">IFERROR(INDEX($AK$10:$AK$258,MATCH(0,IF(TRUE=$AH$10:$AH$258,COUNTIF($AM$9:$AM243,$AK$10:$AK$258),""),0)),"")</f>
        <v/>
      </c>
      <c r="AN244" s="107" t="str">
        <f t="array" ref="AN244">IFERROR(INDEX($AK$10:$AK$258,MATCH(0,IF(TRUE=$AI$10:$AI$258,COUNTIF($AN$9:$AN243,$AK$10:$AK$258),""),0)),"")</f>
        <v/>
      </c>
      <c r="AY244" s="283" t="str">
        <f t="shared" si="35"/>
        <v/>
      </c>
    </row>
    <row r="245" spans="2:51" ht="14">
      <c r="B245" s="97">
        <v>236</v>
      </c>
      <c r="C245" s="138"/>
      <c r="D245" s="138"/>
      <c r="E245" s="104"/>
      <c r="F245" s="275" t="str">
        <f>IF(D245="","",VLOOKUP(D245,'G-6 Hedgerow Data'!$B$2:$AG$15,2,FALSE))</f>
        <v/>
      </c>
      <c r="G245" s="276" t="str">
        <f>IF(D245="","",VLOOKUP(D245,'G-6 Hedgerow Data'!$B$2:$AG$15,3,FALSE))</f>
        <v/>
      </c>
      <c r="H245" s="101"/>
      <c r="I245" s="276" t="str">
        <f>IFERROR(IF(AND(D245&lt;&gt;"",H245=""),"Check data ⚠",(IF(H245="","",IF(AND(D245="Non-native and ornamental hedgerow",H245&lt;&gt;"Poor"),"Not possible ▲",(IF(AND(F245="V.Low",OR(H245="Good",H245="Moderate")),"Error ▲",VLOOKUP(H245,'G-1 All Habitats'!$Z$2:$AA$9,2,FALSE))))))),"")</f>
        <v/>
      </c>
      <c r="J245" s="105"/>
      <c r="K245" s="295" t="str">
        <f>IF(AND(J245="",D245&lt;&gt;""),"Check data ⚠",IF(J245="","",IF(VLOOKUP(J245,'G-3 Multipliers'!$L$3:$N$6,2,FALSE)=0,"Spatial Data Missing ⚠",VLOOKUP(J245,'G-3 Multipliers'!$L$3:$N$6,2,FALSE))))</f>
        <v/>
      </c>
      <c r="L245" s="299" t="str">
        <f>IF(J245="","",IF(VLOOKUP(J245,'G-3 Multipliers'!$L$3:$N$6,3,FALSE)=0,"Spatial Data Missing ⚠",VLOOKUP(J245,'G-3 Multipliers'!$L$3:$N$6,3,FALSE)))</f>
        <v/>
      </c>
      <c r="M245" s="336" t="str">
        <f>IF(D245="","",VLOOKUP(D245,'G-6 Hedgerow Data'!$B$1:$AH$15,33,FALSE))</f>
        <v/>
      </c>
      <c r="N245" s="289" t="str">
        <f t="shared" si="29"/>
        <v/>
      </c>
      <c r="O245" s="393"/>
      <c r="P245" s="281" t="str">
        <f>IF(O245="","",IF(VLOOKUP(O245,'G-3 Multipliers'!$S$3:$T$10,2,FALSE)=0,"Spatial Data Missing ⚠",VLOOKUP(O245,'G-3 Multipliers'!$S$3:$T$10,2,FALSE)))</f>
        <v/>
      </c>
      <c r="Q245" s="289" t="str">
        <f t="shared" si="30"/>
        <v/>
      </c>
      <c r="R245" s="32"/>
      <c r="S245" s="101"/>
      <c r="T245" s="108"/>
      <c r="U245" s="283" t="str">
        <f t="shared" si="31"/>
        <v/>
      </c>
      <c r="V245" s="283" t="str">
        <f t="shared" si="32"/>
        <v/>
      </c>
      <c r="W245" s="287" t="str">
        <f t="shared" si="33"/>
        <v/>
      </c>
      <c r="X245" s="291" t="str">
        <f t="shared" si="34"/>
        <v/>
      </c>
      <c r="Y245" s="105"/>
      <c r="Z245" s="104"/>
      <c r="AA245" s="104"/>
      <c r="AB245" s="104"/>
      <c r="AE245" s="30" t="str">
        <f>IFERROR(INDEX('G-6 Hedgerow Data'!$BJ$3:$BJ$15,MATCH(D245,'G-6 Hedgerow Data'!$B$3:$B$15,0)),"")</f>
        <v/>
      </c>
      <c r="AH245" s="107" t="str">
        <f t="shared" si="27"/>
        <v/>
      </c>
      <c r="AI245" s="107" t="str">
        <f t="shared" si="28"/>
        <v/>
      </c>
      <c r="AK245" s="107">
        <v>236</v>
      </c>
      <c r="AM245" s="107" t="str">
        <f t="array" ref="AM245">IFERROR(INDEX($AK$10:$AK$258,MATCH(0,IF(TRUE=$AH$10:$AH$258,COUNTIF($AM$9:$AM244,$AK$10:$AK$258),""),0)),"")</f>
        <v/>
      </c>
      <c r="AN245" s="107" t="str">
        <f t="array" ref="AN245">IFERROR(INDEX($AK$10:$AK$258,MATCH(0,IF(TRUE=$AI$10:$AI$258,COUNTIF($AN$9:$AN244,$AK$10:$AK$258),""),0)),"")</f>
        <v/>
      </c>
      <c r="AY245" s="283" t="str">
        <f t="shared" si="35"/>
        <v/>
      </c>
    </row>
    <row r="246" spans="2:51" ht="14">
      <c r="B246" s="97">
        <v>237</v>
      </c>
      <c r="C246" s="138"/>
      <c r="D246" s="138"/>
      <c r="E246" s="104"/>
      <c r="F246" s="275" t="str">
        <f>IF(D246="","",VLOOKUP(D246,'G-6 Hedgerow Data'!$B$2:$AG$15,2,FALSE))</f>
        <v/>
      </c>
      <c r="G246" s="276" t="str">
        <f>IF(D246="","",VLOOKUP(D246,'G-6 Hedgerow Data'!$B$2:$AG$15,3,FALSE))</f>
        <v/>
      </c>
      <c r="H246" s="101"/>
      <c r="I246" s="276" t="str">
        <f>IFERROR(IF(AND(D246&lt;&gt;"",H246=""),"Check data ⚠",(IF(H246="","",IF(AND(D246="Non-native and ornamental hedgerow",H246&lt;&gt;"Poor"),"Not possible ▲",(IF(AND(F246="V.Low",OR(H246="Good",H246="Moderate")),"Error ▲",VLOOKUP(H246,'G-1 All Habitats'!$Z$2:$AA$9,2,FALSE))))))),"")</f>
        <v/>
      </c>
      <c r="J246" s="105"/>
      <c r="K246" s="295" t="str">
        <f>IF(AND(J246="",D246&lt;&gt;""),"Check data ⚠",IF(J246="","",IF(VLOOKUP(J246,'G-3 Multipliers'!$L$3:$N$6,2,FALSE)=0,"Spatial Data Missing ⚠",VLOOKUP(J246,'G-3 Multipliers'!$L$3:$N$6,2,FALSE))))</f>
        <v/>
      </c>
      <c r="L246" s="299" t="str">
        <f>IF(J246="","",IF(VLOOKUP(J246,'G-3 Multipliers'!$L$3:$N$6,3,FALSE)=0,"Spatial Data Missing ⚠",VLOOKUP(J246,'G-3 Multipliers'!$L$3:$N$6,3,FALSE)))</f>
        <v/>
      </c>
      <c r="M246" s="336" t="str">
        <f>IF(D246="","",VLOOKUP(D246,'G-6 Hedgerow Data'!$B$1:$AH$15,33,FALSE))</f>
        <v/>
      </c>
      <c r="N246" s="289" t="str">
        <f t="shared" si="29"/>
        <v/>
      </c>
      <c r="O246" s="393"/>
      <c r="P246" s="281" t="str">
        <f>IF(O246="","",IF(VLOOKUP(O246,'G-3 Multipliers'!$S$3:$T$10,2,FALSE)=0,"Spatial Data Missing ⚠",VLOOKUP(O246,'G-3 Multipliers'!$S$3:$T$10,2,FALSE)))</f>
        <v/>
      </c>
      <c r="Q246" s="289" t="str">
        <f t="shared" si="30"/>
        <v/>
      </c>
      <c r="R246" s="32"/>
      <c r="S246" s="101"/>
      <c r="T246" s="108"/>
      <c r="U246" s="283" t="str">
        <f t="shared" si="31"/>
        <v/>
      </c>
      <c r="V246" s="283" t="str">
        <f t="shared" si="32"/>
        <v/>
      </c>
      <c r="W246" s="287" t="str">
        <f t="shared" si="33"/>
        <v/>
      </c>
      <c r="X246" s="291" t="str">
        <f t="shared" si="34"/>
        <v/>
      </c>
      <c r="Y246" s="105"/>
      <c r="Z246" s="104"/>
      <c r="AA246" s="104"/>
      <c r="AB246" s="104"/>
      <c r="AE246" s="30" t="str">
        <f>IFERROR(INDEX('G-6 Hedgerow Data'!$BJ$3:$BJ$15,MATCH(D246,'G-6 Hedgerow Data'!$B$3:$B$15,0)),"")</f>
        <v/>
      </c>
      <c r="AH246" s="107" t="str">
        <f t="shared" si="27"/>
        <v/>
      </c>
      <c r="AI246" s="107" t="str">
        <f t="shared" si="28"/>
        <v/>
      </c>
      <c r="AK246" s="107">
        <v>237</v>
      </c>
      <c r="AM246" s="107" t="str">
        <f t="array" ref="AM246">IFERROR(INDEX($AK$10:$AK$258,MATCH(0,IF(TRUE=$AH$10:$AH$258,COUNTIF($AM$9:$AM245,$AK$10:$AK$258),""),0)),"")</f>
        <v/>
      </c>
      <c r="AN246" s="107" t="str">
        <f t="array" ref="AN246">IFERROR(INDEX($AK$10:$AK$258,MATCH(0,IF(TRUE=$AI$10:$AI$258,COUNTIF($AN$9:$AN245,$AK$10:$AK$258),""),0)),"")</f>
        <v/>
      </c>
      <c r="AY246" s="283" t="str">
        <f t="shared" si="35"/>
        <v/>
      </c>
    </row>
    <row r="247" spans="2:51" ht="14">
      <c r="B247" s="97">
        <v>238</v>
      </c>
      <c r="C247" s="138"/>
      <c r="D247" s="138"/>
      <c r="E247" s="104"/>
      <c r="F247" s="275" t="str">
        <f>IF(D247="","",VLOOKUP(D247,'G-6 Hedgerow Data'!$B$2:$AG$15,2,FALSE))</f>
        <v/>
      </c>
      <c r="G247" s="276" t="str">
        <f>IF(D247="","",VLOOKUP(D247,'G-6 Hedgerow Data'!$B$2:$AG$15,3,FALSE))</f>
        <v/>
      </c>
      <c r="H247" s="101"/>
      <c r="I247" s="276" t="str">
        <f>IFERROR(IF(AND(D247&lt;&gt;"",H247=""),"Check data ⚠",(IF(H247="","",IF(AND(D247="Non-native and ornamental hedgerow",H247&lt;&gt;"Poor"),"Not possible ▲",(IF(AND(F247="V.Low",OR(H247="Good",H247="Moderate")),"Error ▲",VLOOKUP(H247,'G-1 All Habitats'!$Z$2:$AA$9,2,FALSE))))))),"")</f>
        <v/>
      </c>
      <c r="J247" s="105"/>
      <c r="K247" s="295" t="str">
        <f>IF(AND(J247="",D247&lt;&gt;""),"Check data ⚠",IF(J247="","",IF(VLOOKUP(J247,'G-3 Multipliers'!$L$3:$N$6,2,FALSE)=0,"Spatial Data Missing ⚠",VLOOKUP(J247,'G-3 Multipliers'!$L$3:$N$6,2,FALSE))))</f>
        <v/>
      </c>
      <c r="L247" s="299" t="str">
        <f>IF(J247="","",IF(VLOOKUP(J247,'G-3 Multipliers'!$L$3:$N$6,3,FALSE)=0,"Spatial Data Missing ⚠",VLOOKUP(J247,'G-3 Multipliers'!$L$3:$N$6,3,FALSE)))</f>
        <v/>
      </c>
      <c r="M247" s="336" t="str">
        <f>IF(D247="","",VLOOKUP(D247,'G-6 Hedgerow Data'!$B$1:$AH$15,33,FALSE))</f>
        <v/>
      </c>
      <c r="N247" s="289" t="str">
        <f t="shared" si="29"/>
        <v/>
      </c>
      <c r="O247" s="393"/>
      <c r="P247" s="281" t="str">
        <f>IF(O247="","",IF(VLOOKUP(O247,'G-3 Multipliers'!$S$3:$T$10,2,FALSE)=0,"Spatial Data Missing ⚠",VLOOKUP(O247,'G-3 Multipliers'!$S$3:$T$10,2,FALSE)))</f>
        <v/>
      </c>
      <c r="Q247" s="289" t="str">
        <f t="shared" si="30"/>
        <v/>
      </c>
      <c r="R247" s="32"/>
      <c r="S247" s="101"/>
      <c r="T247" s="108"/>
      <c r="U247" s="283" t="str">
        <f t="shared" si="31"/>
        <v/>
      </c>
      <c r="V247" s="283" t="str">
        <f t="shared" si="32"/>
        <v/>
      </c>
      <c r="W247" s="287" t="str">
        <f t="shared" si="33"/>
        <v/>
      </c>
      <c r="X247" s="291" t="str">
        <f t="shared" si="34"/>
        <v/>
      </c>
      <c r="Y247" s="105"/>
      <c r="Z247" s="104"/>
      <c r="AA247" s="104"/>
      <c r="AB247" s="104"/>
      <c r="AE247" s="30" t="str">
        <f>IFERROR(INDEX('G-6 Hedgerow Data'!$BJ$3:$BJ$15,MATCH(D247,'G-6 Hedgerow Data'!$B$3:$B$15,0)),"")</f>
        <v/>
      </c>
      <c r="AH247" s="107" t="str">
        <f t="shared" si="27"/>
        <v/>
      </c>
      <c r="AI247" s="107" t="str">
        <f t="shared" si="28"/>
        <v/>
      </c>
      <c r="AK247" s="107">
        <v>238</v>
      </c>
      <c r="AM247" s="107" t="str">
        <f t="array" ref="AM247">IFERROR(INDEX($AK$10:$AK$258,MATCH(0,IF(TRUE=$AH$10:$AH$258,COUNTIF($AM$9:$AM246,$AK$10:$AK$258),""),0)),"")</f>
        <v/>
      </c>
      <c r="AN247" s="107" t="str">
        <f t="array" ref="AN247">IFERROR(INDEX($AK$10:$AK$258,MATCH(0,IF(TRUE=$AI$10:$AI$258,COUNTIF($AN$9:$AN246,$AK$10:$AK$258),""),0)),"")</f>
        <v/>
      </c>
      <c r="AY247" s="283" t="str">
        <f t="shared" si="35"/>
        <v/>
      </c>
    </row>
    <row r="248" spans="2:51" ht="14">
      <c r="B248" s="97">
        <v>239</v>
      </c>
      <c r="C248" s="138"/>
      <c r="D248" s="138"/>
      <c r="E248" s="104"/>
      <c r="F248" s="275" t="str">
        <f>IF(D248="","",VLOOKUP(D248,'G-6 Hedgerow Data'!$B$2:$AG$15,2,FALSE))</f>
        <v/>
      </c>
      <c r="G248" s="276" t="str">
        <f>IF(D248="","",VLOOKUP(D248,'G-6 Hedgerow Data'!$B$2:$AG$15,3,FALSE))</f>
        <v/>
      </c>
      <c r="H248" s="101"/>
      <c r="I248" s="276" t="str">
        <f>IFERROR(IF(AND(D248&lt;&gt;"",H248=""),"Check data ⚠",(IF(H248="","",IF(AND(D248="Non-native and ornamental hedgerow",H248&lt;&gt;"Poor"),"Not possible ▲",(IF(AND(F248="V.Low",OR(H248="Good",H248="Moderate")),"Error ▲",VLOOKUP(H248,'G-1 All Habitats'!$Z$2:$AA$9,2,FALSE))))))),"")</f>
        <v/>
      </c>
      <c r="J248" s="105"/>
      <c r="K248" s="295" t="str">
        <f>IF(AND(J248="",D248&lt;&gt;""),"Check data ⚠",IF(J248="","",IF(VLOOKUP(J248,'G-3 Multipliers'!$L$3:$N$6,2,FALSE)=0,"Spatial Data Missing ⚠",VLOOKUP(J248,'G-3 Multipliers'!$L$3:$N$6,2,FALSE))))</f>
        <v/>
      </c>
      <c r="L248" s="299" t="str">
        <f>IF(J248="","",IF(VLOOKUP(J248,'G-3 Multipliers'!$L$3:$N$6,3,FALSE)=0,"Spatial Data Missing ⚠",VLOOKUP(J248,'G-3 Multipliers'!$L$3:$N$6,3,FALSE)))</f>
        <v/>
      </c>
      <c r="M248" s="336" t="str">
        <f>IF(D248="","",VLOOKUP(D248,'G-6 Hedgerow Data'!$B$1:$AH$15,33,FALSE))</f>
        <v/>
      </c>
      <c r="N248" s="289" t="str">
        <f t="shared" si="29"/>
        <v/>
      </c>
      <c r="O248" s="393"/>
      <c r="P248" s="281" t="str">
        <f>IF(O248="","",IF(VLOOKUP(O248,'G-3 Multipliers'!$S$3:$T$10,2,FALSE)=0,"Spatial Data Missing ⚠",VLOOKUP(O248,'G-3 Multipliers'!$S$3:$T$10,2,FALSE)))</f>
        <v/>
      </c>
      <c r="Q248" s="289" t="str">
        <f t="shared" si="30"/>
        <v/>
      </c>
      <c r="R248" s="32"/>
      <c r="S248" s="101"/>
      <c r="T248" s="108"/>
      <c r="U248" s="283" t="str">
        <f t="shared" si="31"/>
        <v/>
      </c>
      <c r="V248" s="283" t="str">
        <f t="shared" si="32"/>
        <v/>
      </c>
      <c r="W248" s="287" t="str">
        <f t="shared" si="33"/>
        <v/>
      </c>
      <c r="X248" s="291" t="str">
        <f t="shared" si="34"/>
        <v/>
      </c>
      <c r="Y248" s="105"/>
      <c r="Z248" s="104"/>
      <c r="AA248" s="104"/>
      <c r="AB248" s="104"/>
      <c r="AE248" s="30" t="str">
        <f>IFERROR(INDEX('G-6 Hedgerow Data'!$BJ$3:$BJ$15,MATCH(D248,'G-6 Hedgerow Data'!$B$3:$B$15,0)),"")</f>
        <v/>
      </c>
      <c r="AH248" s="107" t="str">
        <f t="shared" si="27"/>
        <v/>
      </c>
      <c r="AI248" s="107" t="str">
        <f t="shared" si="28"/>
        <v/>
      </c>
      <c r="AK248" s="107">
        <v>239</v>
      </c>
      <c r="AM248" s="107" t="str">
        <f t="array" ref="AM248">IFERROR(INDEX($AK$10:$AK$258,MATCH(0,IF(TRUE=$AH$10:$AH$258,COUNTIF($AM$9:$AM247,$AK$10:$AK$258),""),0)),"")</f>
        <v/>
      </c>
      <c r="AN248" s="107" t="str">
        <f t="array" ref="AN248">IFERROR(INDEX($AK$10:$AK$258,MATCH(0,IF(TRUE=$AI$10:$AI$258,COUNTIF($AN$9:$AN247,$AK$10:$AK$258),""),0)),"")</f>
        <v/>
      </c>
      <c r="AY248" s="283" t="str">
        <f t="shared" si="35"/>
        <v/>
      </c>
    </row>
    <row r="249" spans="2:51" ht="14">
      <c r="B249" s="97">
        <v>240</v>
      </c>
      <c r="C249" s="138"/>
      <c r="D249" s="138"/>
      <c r="E249" s="104"/>
      <c r="F249" s="275" t="str">
        <f>IF(D249="","",VLOOKUP(D249,'G-6 Hedgerow Data'!$B$2:$AG$15,2,FALSE))</f>
        <v/>
      </c>
      <c r="G249" s="276" t="str">
        <f>IF(D249="","",VLOOKUP(D249,'G-6 Hedgerow Data'!$B$2:$AG$15,3,FALSE))</f>
        <v/>
      </c>
      <c r="H249" s="101"/>
      <c r="I249" s="276" t="str">
        <f>IFERROR(IF(AND(D249&lt;&gt;"",H249=""),"Check data ⚠",(IF(H249="","",IF(AND(D249="Non-native and ornamental hedgerow",H249&lt;&gt;"Poor"),"Not possible ▲",(IF(AND(F249="V.Low",OR(H249="Good",H249="Moderate")),"Error ▲",VLOOKUP(H249,'G-1 All Habitats'!$Z$2:$AA$9,2,FALSE))))))),"")</f>
        <v/>
      </c>
      <c r="J249" s="105"/>
      <c r="K249" s="295" t="str">
        <f>IF(AND(J249="",D249&lt;&gt;""),"Check data ⚠",IF(J249="","",IF(VLOOKUP(J249,'G-3 Multipliers'!$L$3:$N$6,2,FALSE)=0,"Spatial Data Missing ⚠",VLOOKUP(J249,'G-3 Multipliers'!$L$3:$N$6,2,FALSE))))</f>
        <v/>
      </c>
      <c r="L249" s="299" t="str">
        <f>IF(J249="","",IF(VLOOKUP(J249,'G-3 Multipliers'!$L$3:$N$6,3,FALSE)=0,"Spatial Data Missing ⚠",VLOOKUP(J249,'G-3 Multipliers'!$L$3:$N$6,3,FALSE)))</f>
        <v/>
      </c>
      <c r="M249" s="336" t="str">
        <f>IF(D249="","",VLOOKUP(D249,'G-6 Hedgerow Data'!$B$1:$AH$15,33,FALSE))</f>
        <v/>
      </c>
      <c r="N249" s="289" t="str">
        <f t="shared" si="29"/>
        <v/>
      </c>
      <c r="O249" s="393"/>
      <c r="P249" s="281" t="str">
        <f>IF(O249="","",IF(VLOOKUP(O249,'G-3 Multipliers'!$S$3:$T$10,2,FALSE)=0,"Spatial Data Missing ⚠",VLOOKUP(O249,'G-3 Multipliers'!$S$3:$T$10,2,FALSE)))</f>
        <v/>
      </c>
      <c r="Q249" s="289" t="str">
        <f t="shared" si="30"/>
        <v/>
      </c>
      <c r="R249" s="32"/>
      <c r="S249" s="101"/>
      <c r="T249" s="108"/>
      <c r="U249" s="283" t="str">
        <f t="shared" si="31"/>
        <v/>
      </c>
      <c r="V249" s="283" t="str">
        <f t="shared" si="32"/>
        <v/>
      </c>
      <c r="W249" s="287" t="str">
        <f t="shared" si="33"/>
        <v/>
      </c>
      <c r="X249" s="291" t="str">
        <f t="shared" si="34"/>
        <v/>
      </c>
      <c r="Y249" s="105"/>
      <c r="Z249" s="104"/>
      <c r="AA249" s="104"/>
      <c r="AB249" s="104"/>
      <c r="AE249" s="30" t="str">
        <f>IFERROR(INDEX('G-6 Hedgerow Data'!$BJ$3:$BJ$15,MATCH(D249,'G-6 Hedgerow Data'!$B$3:$B$15,0)),"")</f>
        <v/>
      </c>
      <c r="AH249" s="107" t="str">
        <f t="shared" si="27"/>
        <v/>
      </c>
      <c r="AI249" s="107" t="str">
        <f t="shared" si="28"/>
        <v/>
      </c>
      <c r="AK249" s="107">
        <v>240</v>
      </c>
      <c r="AM249" s="107" t="str">
        <f t="array" ref="AM249">IFERROR(INDEX($AK$10:$AK$258,MATCH(0,IF(TRUE=$AH$10:$AH$258,COUNTIF($AM$9:$AM248,$AK$10:$AK$258),""),0)),"")</f>
        <v/>
      </c>
      <c r="AN249" s="107" t="str">
        <f t="array" ref="AN249">IFERROR(INDEX($AK$10:$AK$258,MATCH(0,IF(TRUE=$AI$10:$AI$258,COUNTIF($AN$9:$AN248,$AK$10:$AK$258),""),0)),"")</f>
        <v/>
      </c>
      <c r="AY249" s="283" t="str">
        <f t="shared" si="35"/>
        <v/>
      </c>
    </row>
    <row r="250" spans="2:51" ht="14">
      <c r="B250" s="97">
        <v>241</v>
      </c>
      <c r="C250" s="138"/>
      <c r="D250" s="138"/>
      <c r="E250" s="104"/>
      <c r="F250" s="275" t="str">
        <f>IF(D250="","",VLOOKUP(D250,'G-6 Hedgerow Data'!$B$2:$AG$15,2,FALSE))</f>
        <v/>
      </c>
      <c r="G250" s="276" t="str">
        <f>IF(D250="","",VLOOKUP(D250,'G-6 Hedgerow Data'!$B$2:$AG$15,3,FALSE))</f>
        <v/>
      </c>
      <c r="H250" s="101"/>
      <c r="I250" s="276" t="str">
        <f>IFERROR(IF(AND(D250&lt;&gt;"",H250=""),"Check data ⚠",(IF(H250="","",IF(AND(D250="Non-native and ornamental hedgerow",H250&lt;&gt;"Poor"),"Not possible ▲",(IF(AND(F250="V.Low",OR(H250="Good",H250="Moderate")),"Error ▲",VLOOKUP(H250,'G-1 All Habitats'!$Z$2:$AA$9,2,FALSE))))))),"")</f>
        <v/>
      </c>
      <c r="J250" s="105"/>
      <c r="K250" s="295" t="str">
        <f>IF(AND(J250="",D250&lt;&gt;""),"Check data ⚠",IF(J250="","",IF(VLOOKUP(J250,'G-3 Multipliers'!$L$3:$N$6,2,FALSE)=0,"Spatial Data Missing ⚠",VLOOKUP(J250,'G-3 Multipliers'!$L$3:$N$6,2,FALSE))))</f>
        <v/>
      </c>
      <c r="L250" s="299" t="str">
        <f>IF(J250="","",IF(VLOOKUP(J250,'G-3 Multipliers'!$L$3:$N$6,3,FALSE)=0,"Spatial Data Missing ⚠",VLOOKUP(J250,'G-3 Multipliers'!$L$3:$N$6,3,FALSE)))</f>
        <v/>
      </c>
      <c r="M250" s="336" t="str">
        <f>IF(D250="","",VLOOKUP(D250,'G-6 Hedgerow Data'!$B$1:$AH$15,33,FALSE))</f>
        <v/>
      </c>
      <c r="N250" s="289" t="str">
        <f t="shared" si="29"/>
        <v/>
      </c>
      <c r="O250" s="393"/>
      <c r="P250" s="281" t="str">
        <f>IF(O250="","",IF(VLOOKUP(O250,'G-3 Multipliers'!$S$3:$T$10,2,FALSE)=0,"Spatial Data Missing ⚠",VLOOKUP(O250,'G-3 Multipliers'!$S$3:$T$10,2,FALSE)))</f>
        <v/>
      </c>
      <c r="Q250" s="289" t="str">
        <f t="shared" si="30"/>
        <v/>
      </c>
      <c r="R250" s="32"/>
      <c r="S250" s="101"/>
      <c r="T250" s="108"/>
      <c r="U250" s="283" t="str">
        <f t="shared" si="31"/>
        <v/>
      </c>
      <c r="V250" s="283" t="str">
        <f t="shared" si="32"/>
        <v/>
      </c>
      <c r="W250" s="287" t="str">
        <f t="shared" si="33"/>
        <v/>
      </c>
      <c r="X250" s="291" t="str">
        <f t="shared" si="34"/>
        <v/>
      </c>
      <c r="Y250" s="105"/>
      <c r="Z250" s="104"/>
      <c r="AA250" s="104"/>
      <c r="AB250" s="104"/>
      <c r="AE250" s="30" t="str">
        <f>IFERROR(INDEX('G-6 Hedgerow Data'!$BJ$3:$BJ$15,MATCH(D250,'G-6 Hedgerow Data'!$B$3:$B$15,0)),"")</f>
        <v/>
      </c>
      <c r="AH250" s="107" t="str">
        <f t="shared" si="27"/>
        <v/>
      </c>
      <c r="AI250" s="107" t="str">
        <f t="shared" si="28"/>
        <v/>
      </c>
      <c r="AK250" s="107">
        <v>241</v>
      </c>
      <c r="AM250" s="107" t="str">
        <f t="array" ref="AM250">IFERROR(INDEX($AK$10:$AK$258,MATCH(0,IF(TRUE=$AH$10:$AH$258,COUNTIF($AM$9:$AM249,$AK$10:$AK$258),""),0)),"")</f>
        <v/>
      </c>
      <c r="AN250" s="107" t="str">
        <f t="array" ref="AN250">IFERROR(INDEX($AK$10:$AK$258,MATCH(0,IF(TRUE=$AI$10:$AI$258,COUNTIF($AN$9:$AN249,$AK$10:$AK$258),""),0)),"")</f>
        <v/>
      </c>
      <c r="AY250" s="283" t="str">
        <f t="shared" si="35"/>
        <v/>
      </c>
    </row>
    <row r="251" spans="2:51" ht="14">
      <c r="B251" s="97">
        <v>242</v>
      </c>
      <c r="C251" s="138"/>
      <c r="D251" s="138"/>
      <c r="E251" s="104"/>
      <c r="F251" s="275" t="str">
        <f>IF(D251="","",VLOOKUP(D251,'G-6 Hedgerow Data'!$B$2:$AG$15,2,FALSE))</f>
        <v/>
      </c>
      <c r="G251" s="276" t="str">
        <f>IF(D251="","",VLOOKUP(D251,'G-6 Hedgerow Data'!$B$2:$AG$15,3,FALSE))</f>
        <v/>
      </c>
      <c r="H251" s="101"/>
      <c r="I251" s="276" t="str">
        <f>IFERROR(IF(AND(D251&lt;&gt;"",H251=""),"Check data ⚠",(IF(H251="","",IF(AND(D251="Non-native and ornamental hedgerow",H251&lt;&gt;"Poor"),"Not possible ▲",(IF(AND(F251="V.Low",OR(H251="Good",H251="Moderate")),"Error ▲",VLOOKUP(H251,'G-1 All Habitats'!$Z$2:$AA$9,2,FALSE))))))),"")</f>
        <v/>
      </c>
      <c r="J251" s="105"/>
      <c r="K251" s="295" t="str">
        <f>IF(AND(J251="",D251&lt;&gt;""),"Check data ⚠",IF(J251="","",IF(VLOOKUP(J251,'G-3 Multipliers'!$L$3:$N$6,2,FALSE)=0,"Spatial Data Missing ⚠",VLOOKUP(J251,'G-3 Multipliers'!$L$3:$N$6,2,FALSE))))</f>
        <v/>
      </c>
      <c r="L251" s="299" t="str">
        <f>IF(J251="","",IF(VLOOKUP(J251,'G-3 Multipliers'!$L$3:$N$6,3,FALSE)=0,"Spatial Data Missing ⚠",VLOOKUP(J251,'G-3 Multipliers'!$L$3:$N$6,3,FALSE)))</f>
        <v/>
      </c>
      <c r="M251" s="336" t="str">
        <f>IF(D251="","",VLOOKUP(D251,'G-6 Hedgerow Data'!$B$1:$AH$15,33,FALSE))</f>
        <v/>
      </c>
      <c r="N251" s="289" t="str">
        <f t="shared" si="29"/>
        <v/>
      </c>
      <c r="O251" s="393"/>
      <c r="P251" s="281" t="str">
        <f>IF(O251="","",IF(VLOOKUP(O251,'G-3 Multipliers'!$S$3:$T$10,2,FALSE)=0,"Spatial Data Missing ⚠",VLOOKUP(O251,'G-3 Multipliers'!$S$3:$T$10,2,FALSE)))</f>
        <v/>
      </c>
      <c r="Q251" s="289" t="str">
        <f t="shared" si="30"/>
        <v/>
      </c>
      <c r="R251" s="32"/>
      <c r="S251" s="101"/>
      <c r="T251" s="108"/>
      <c r="U251" s="283" t="str">
        <f t="shared" si="31"/>
        <v/>
      </c>
      <c r="V251" s="283" t="str">
        <f t="shared" si="32"/>
        <v/>
      </c>
      <c r="W251" s="287" t="str">
        <f t="shared" si="33"/>
        <v/>
      </c>
      <c r="X251" s="291" t="str">
        <f t="shared" si="34"/>
        <v/>
      </c>
      <c r="Y251" s="105"/>
      <c r="Z251" s="104"/>
      <c r="AA251" s="104"/>
      <c r="AB251" s="104"/>
      <c r="AE251" s="30" t="str">
        <f>IFERROR(INDEX('G-6 Hedgerow Data'!$BJ$3:$BJ$15,MATCH(D251,'G-6 Hedgerow Data'!$B$3:$B$15,0)),"")</f>
        <v/>
      </c>
      <c r="AH251" s="107" t="str">
        <f t="shared" si="27"/>
        <v/>
      </c>
      <c r="AI251" s="107" t="str">
        <f t="shared" si="28"/>
        <v/>
      </c>
      <c r="AK251" s="107">
        <v>242</v>
      </c>
      <c r="AM251" s="107" t="str">
        <f t="array" ref="AM251">IFERROR(INDEX($AK$10:$AK$258,MATCH(0,IF(TRUE=$AH$10:$AH$258,COUNTIF($AM$9:$AM250,$AK$10:$AK$258),""),0)),"")</f>
        <v/>
      </c>
      <c r="AN251" s="107" t="str">
        <f t="array" ref="AN251">IFERROR(INDEX($AK$10:$AK$258,MATCH(0,IF(TRUE=$AI$10:$AI$258,COUNTIF($AN$9:$AN250,$AK$10:$AK$258),""),0)),"")</f>
        <v/>
      </c>
      <c r="AY251" s="283" t="str">
        <f t="shared" si="35"/>
        <v/>
      </c>
    </row>
    <row r="252" spans="2:51" ht="14">
      <c r="B252" s="97">
        <v>243</v>
      </c>
      <c r="C252" s="138"/>
      <c r="D252" s="138"/>
      <c r="E252" s="104"/>
      <c r="F252" s="275" t="str">
        <f>IF(D252="","",VLOOKUP(D252,'G-6 Hedgerow Data'!$B$2:$AG$15,2,FALSE))</f>
        <v/>
      </c>
      <c r="G252" s="276" t="str">
        <f>IF(D252="","",VLOOKUP(D252,'G-6 Hedgerow Data'!$B$2:$AG$15,3,FALSE))</f>
        <v/>
      </c>
      <c r="H252" s="101"/>
      <c r="I252" s="276" t="str">
        <f>IFERROR(IF(AND(D252&lt;&gt;"",H252=""),"Check data ⚠",(IF(H252="","",IF(AND(D252="Non-native and ornamental hedgerow",H252&lt;&gt;"Poor"),"Not possible ▲",(IF(AND(F252="V.Low",OR(H252="Good",H252="Moderate")),"Error ▲",VLOOKUP(H252,'G-1 All Habitats'!$Z$2:$AA$9,2,FALSE))))))),"")</f>
        <v/>
      </c>
      <c r="J252" s="105"/>
      <c r="K252" s="295" t="str">
        <f>IF(AND(J252="",D252&lt;&gt;""),"Check data ⚠",IF(J252="","",IF(VLOOKUP(J252,'G-3 Multipliers'!$L$3:$N$6,2,FALSE)=0,"Spatial Data Missing ⚠",VLOOKUP(J252,'G-3 Multipliers'!$L$3:$N$6,2,FALSE))))</f>
        <v/>
      </c>
      <c r="L252" s="299" t="str">
        <f>IF(J252="","",IF(VLOOKUP(J252,'G-3 Multipliers'!$L$3:$N$6,3,FALSE)=0,"Spatial Data Missing ⚠",VLOOKUP(J252,'G-3 Multipliers'!$L$3:$N$6,3,FALSE)))</f>
        <v/>
      </c>
      <c r="M252" s="336" t="str">
        <f>IF(D252="","",VLOOKUP(D252,'G-6 Hedgerow Data'!$B$1:$AH$15,33,FALSE))</f>
        <v/>
      </c>
      <c r="N252" s="289" t="str">
        <f t="shared" si="29"/>
        <v/>
      </c>
      <c r="O252" s="393"/>
      <c r="P252" s="281" t="str">
        <f>IF(O252="","",IF(VLOOKUP(O252,'G-3 Multipliers'!$S$3:$T$10,2,FALSE)=0,"Spatial Data Missing ⚠",VLOOKUP(O252,'G-3 Multipliers'!$S$3:$T$10,2,FALSE)))</f>
        <v/>
      </c>
      <c r="Q252" s="289" t="str">
        <f t="shared" si="30"/>
        <v/>
      </c>
      <c r="R252" s="32"/>
      <c r="S252" s="101"/>
      <c r="T252" s="108"/>
      <c r="U252" s="283" t="str">
        <f t="shared" si="31"/>
        <v/>
      </c>
      <c r="V252" s="283" t="str">
        <f t="shared" si="32"/>
        <v/>
      </c>
      <c r="W252" s="287" t="str">
        <f t="shared" si="33"/>
        <v/>
      </c>
      <c r="X252" s="291" t="str">
        <f t="shared" si="34"/>
        <v/>
      </c>
      <c r="Y252" s="105"/>
      <c r="Z252" s="104"/>
      <c r="AA252" s="104"/>
      <c r="AB252" s="104"/>
      <c r="AE252" s="30" t="str">
        <f>IFERROR(INDEX('G-6 Hedgerow Data'!$BJ$3:$BJ$15,MATCH(D252,'G-6 Hedgerow Data'!$B$3:$B$15,0)),"")</f>
        <v/>
      </c>
      <c r="AH252" s="107" t="str">
        <f t="shared" si="27"/>
        <v/>
      </c>
      <c r="AI252" s="107" t="str">
        <f t="shared" si="28"/>
        <v/>
      </c>
      <c r="AK252" s="107">
        <v>243</v>
      </c>
      <c r="AM252" s="107" t="str">
        <f t="array" ref="AM252">IFERROR(INDEX($AK$10:$AK$258,MATCH(0,IF(TRUE=$AH$10:$AH$258,COUNTIF($AM$9:$AM251,$AK$10:$AK$258),""),0)),"")</f>
        <v/>
      </c>
      <c r="AN252" s="107" t="str">
        <f t="array" ref="AN252">IFERROR(INDEX($AK$10:$AK$258,MATCH(0,IF(TRUE=$AI$10:$AI$258,COUNTIF($AN$9:$AN251,$AK$10:$AK$258),""),0)),"")</f>
        <v/>
      </c>
      <c r="AY252" s="283" t="str">
        <f t="shared" si="35"/>
        <v/>
      </c>
    </row>
    <row r="253" spans="2:51" ht="14">
      <c r="B253" s="97">
        <v>244</v>
      </c>
      <c r="C253" s="138"/>
      <c r="D253" s="138"/>
      <c r="E253" s="104"/>
      <c r="F253" s="275" t="str">
        <f>IF(D253="","",VLOOKUP(D253,'G-6 Hedgerow Data'!$B$2:$AG$15,2,FALSE))</f>
        <v/>
      </c>
      <c r="G253" s="276" t="str">
        <f>IF(D253="","",VLOOKUP(D253,'G-6 Hedgerow Data'!$B$2:$AG$15,3,FALSE))</f>
        <v/>
      </c>
      <c r="H253" s="101"/>
      <c r="I253" s="276" t="str">
        <f>IFERROR(IF(AND(D253&lt;&gt;"",H253=""),"Check data ⚠",(IF(H253="","",IF(AND(D253="Non-native and ornamental hedgerow",H253&lt;&gt;"Poor"),"Not possible ▲",(IF(AND(F253="V.Low",OR(H253="Good",H253="Moderate")),"Error ▲",VLOOKUP(H253,'G-1 All Habitats'!$Z$2:$AA$9,2,FALSE))))))),"")</f>
        <v/>
      </c>
      <c r="J253" s="105"/>
      <c r="K253" s="295" t="str">
        <f>IF(AND(J253="",D253&lt;&gt;""),"Check data ⚠",IF(J253="","",IF(VLOOKUP(J253,'G-3 Multipliers'!$L$3:$N$6,2,FALSE)=0,"Spatial Data Missing ⚠",VLOOKUP(J253,'G-3 Multipliers'!$L$3:$N$6,2,FALSE))))</f>
        <v/>
      </c>
      <c r="L253" s="299" t="str">
        <f>IF(J253="","",IF(VLOOKUP(J253,'G-3 Multipliers'!$L$3:$N$6,3,FALSE)=0,"Spatial Data Missing ⚠",VLOOKUP(J253,'G-3 Multipliers'!$L$3:$N$6,3,FALSE)))</f>
        <v/>
      </c>
      <c r="M253" s="336" t="str">
        <f>IF(D253="","",VLOOKUP(D253,'G-6 Hedgerow Data'!$B$1:$AH$15,33,FALSE))</f>
        <v/>
      </c>
      <c r="N253" s="289" t="str">
        <f t="shared" si="29"/>
        <v/>
      </c>
      <c r="O253" s="393"/>
      <c r="P253" s="281" t="str">
        <f>IF(O253="","",IF(VLOOKUP(O253,'G-3 Multipliers'!$S$3:$T$10,2,FALSE)=0,"Spatial Data Missing ⚠",VLOOKUP(O253,'G-3 Multipliers'!$S$3:$T$10,2,FALSE)))</f>
        <v/>
      </c>
      <c r="Q253" s="289" t="str">
        <f t="shared" si="30"/>
        <v/>
      </c>
      <c r="R253" s="32"/>
      <c r="S253" s="101"/>
      <c r="T253" s="108"/>
      <c r="U253" s="283" t="str">
        <f t="shared" si="31"/>
        <v/>
      </c>
      <c r="V253" s="283" t="str">
        <f t="shared" si="32"/>
        <v/>
      </c>
      <c r="W253" s="287" t="str">
        <f t="shared" si="33"/>
        <v/>
      </c>
      <c r="X253" s="291" t="str">
        <f t="shared" si="34"/>
        <v/>
      </c>
      <c r="Y253" s="105"/>
      <c r="Z253" s="104"/>
      <c r="AA253" s="104"/>
      <c r="AB253" s="104"/>
      <c r="AE253" s="30" t="str">
        <f>IFERROR(INDEX('G-6 Hedgerow Data'!$BJ$3:$BJ$15,MATCH(D253,'G-6 Hedgerow Data'!$B$3:$B$15,0)),"")</f>
        <v/>
      </c>
      <c r="AH253" s="107" t="str">
        <f t="shared" si="27"/>
        <v/>
      </c>
      <c r="AI253" s="107" t="str">
        <f t="shared" si="28"/>
        <v/>
      </c>
      <c r="AK253" s="107">
        <v>244</v>
      </c>
      <c r="AM253" s="107" t="str">
        <f t="array" ref="AM253">IFERROR(INDEX($AK$10:$AK$258,MATCH(0,IF(TRUE=$AH$10:$AH$258,COUNTIF($AM$9:$AM252,$AK$10:$AK$258),""),0)),"")</f>
        <v/>
      </c>
      <c r="AN253" s="107" t="str">
        <f t="array" ref="AN253">IFERROR(INDEX($AK$10:$AK$258,MATCH(0,IF(TRUE=$AI$10:$AI$258,COUNTIF($AN$9:$AN252,$AK$10:$AK$258),""),0)),"")</f>
        <v/>
      </c>
      <c r="AY253" s="283" t="str">
        <f t="shared" si="35"/>
        <v/>
      </c>
    </row>
    <row r="254" spans="2:51" ht="14">
      <c r="B254" s="97">
        <v>245</v>
      </c>
      <c r="C254" s="138"/>
      <c r="D254" s="138"/>
      <c r="E254" s="104"/>
      <c r="F254" s="275" t="str">
        <f>IF(D254="","",VLOOKUP(D254,'G-6 Hedgerow Data'!$B$2:$AG$15,2,FALSE))</f>
        <v/>
      </c>
      <c r="G254" s="276" t="str">
        <f>IF(D254="","",VLOOKUP(D254,'G-6 Hedgerow Data'!$B$2:$AG$15,3,FALSE))</f>
        <v/>
      </c>
      <c r="H254" s="101"/>
      <c r="I254" s="276" t="str">
        <f>IFERROR(IF(AND(D254&lt;&gt;"",H254=""),"Check data ⚠",(IF(H254="","",IF(AND(D254="Non-native and ornamental hedgerow",H254&lt;&gt;"Poor"),"Not possible ▲",(IF(AND(F254="V.Low",OR(H254="Good",H254="Moderate")),"Error ▲",VLOOKUP(H254,'G-1 All Habitats'!$Z$2:$AA$9,2,FALSE))))))),"")</f>
        <v/>
      </c>
      <c r="J254" s="105"/>
      <c r="K254" s="295" t="str">
        <f>IF(AND(J254="",D254&lt;&gt;""),"Check data ⚠",IF(J254="","",IF(VLOOKUP(J254,'G-3 Multipliers'!$L$3:$N$6,2,FALSE)=0,"Spatial Data Missing ⚠",VLOOKUP(J254,'G-3 Multipliers'!$L$3:$N$6,2,FALSE))))</f>
        <v/>
      </c>
      <c r="L254" s="299" t="str">
        <f>IF(J254="","",IF(VLOOKUP(J254,'G-3 Multipliers'!$L$3:$N$6,3,FALSE)=0,"Spatial Data Missing ⚠",VLOOKUP(J254,'G-3 Multipliers'!$L$3:$N$6,3,FALSE)))</f>
        <v/>
      </c>
      <c r="M254" s="336" t="str">
        <f>IF(D254="","",VLOOKUP(D254,'G-6 Hedgerow Data'!$B$1:$AH$15,33,FALSE))</f>
        <v/>
      </c>
      <c r="N254" s="289" t="str">
        <f t="shared" si="29"/>
        <v/>
      </c>
      <c r="O254" s="393"/>
      <c r="P254" s="281" t="str">
        <f>IF(O254="","",IF(VLOOKUP(O254,'G-3 Multipliers'!$S$3:$T$10,2,FALSE)=0,"Spatial Data Missing ⚠",VLOOKUP(O254,'G-3 Multipliers'!$S$3:$T$10,2,FALSE)))</f>
        <v/>
      </c>
      <c r="Q254" s="289" t="str">
        <f t="shared" si="30"/>
        <v/>
      </c>
      <c r="R254" s="32"/>
      <c r="S254" s="101"/>
      <c r="T254" s="108"/>
      <c r="U254" s="283" t="str">
        <f t="shared" si="31"/>
        <v/>
      </c>
      <c r="V254" s="283" t="str">
        <f t="shared" si="32"/>
        <v/>
      </c>
      <c r="W254" s="287" t="str">
        <f t="shared" si="33"/>
        <v/>
      </c>
      <c r="X254" s="291" t="str">
        <f t="shared" si="34"/>
        <v/>
      </c>
      <c r="Y254" s="105"/>
      <c r="Z254" s="104"/>
      <c r="AA254" s="104"/>
      <c r="AB254" s="104"/>
      <c r="AE254" s="30" t="str">
        <f>IFERROR(INDEX('G-6 Hedgerow Data'!$BJ$3:$BJ$15,MATCH(D254,'G-6 Hedgerow Data'!$B$3:$B$15,0)),"")</f>
        <v/>
      </c>
      <c r="AH254" s="107" t="str">
        <f t="shared" si="27"/>
        <v/>
      </c>
      <c r="AI254" s="107" t="str">
        <f t="shared" si="28"/>
        <v/>
      </c>
      <c r="AK254" s="107">
        <v>245</v>
      </c>
      <c r="AM254" s="107" t="str">
        <f t="array" ref="AM254">IFERROR(INDEX($AK$10:$AK$258,MATCH(0,IF(TRUE=$AH$10:$AH$258,COUNTIF($AM$9:$AM253,$AK$10:$AK$258),""),0)),"")</f>
        <v/>
      </c>
      <c r="AN254" s="107" t="str">
        <f t="array" ref="AN254">IFERROR(INDEX($AK$10:$AK$258,MATCH(0,IF(TRUE=$AI$10:$AI$258,COUNTIF($AN$9:$AN253,$AK$10:$AK$258),""),0)),"")</f>
        <v/>
      </c>
      <c r="AY254" s="283" t="str">
        <f t="shared" si="35"/>
        <v/>
      </c>
    </row>
    <row r="255" spans="2:51" ht="14">
      <c r="B255" s="97">
        <v>246</v>
      </c>
      <c r="C255" s="138"/>
      <c r="D255" s="138"/>
      <c r="E255" s="104"/>
      <c r="F255" s="275" t="str">
        <f>IF(D255="","",VLOOKUP(D255,'G-6 Hedgerow Data'!$B$2:$AG$15,2,FALSE))</f>
        <v/>
      </c>
      <c r="G255" s="276" t="str">
        <f>IF(D255="","",VLOOKUP(D255,'G-6 Hedgerow Data'!$B$2:$AG$15,3,FALSE))</f>
        <v/>
      </c>
      <c r="H255" s="101"/>
      <c r="I255" s="276" t="str">
        <f>IFERROR(IF(AND(D255&lt;&gt;"",H255=""),"Check data ⚠",(IF(H255="","",IF(AND(D255="Non-native and ornamental hedgerow",H255&lt;&gt;"Poor"),"Not possible ▲",(IF(AND(F255="V.Low",OR(H255="Good",H255="Moderate")),"Error ▲",VLOOKUP(H255,'G-1 All Habitats'!$Z$2:$AA$9,2,FALSE))))))),"")</f>
        <v/>
      </c>
      <c r="J255" s="105"/>
      <c r="K255" s="295" t="str">
        <f>IF(AND(J255="",D255&lt;&gt;""),"Check data ⚠",IF(J255="","",IF(VLOOKUP(J255,'G-3 Multipliers'!$L$3:$N$6,2,FALSE)=0,"Spatial Data Missing ⚠",VLOOKUP(J255,'G-3 Multipliers'!$L$3:$N$6,2,FALSE))))</f>
        <v/>
      </c>
      <c r="L255" s="299" t="str">
        <f>IF(J255="","",IF(VLOOKUP(J255,'G-3 Multipliers'!$L$3:$N$6,3,FALSE)=0,"Spatial Data Missing ⚠",VLOOKUP(J255,'G-3 Multipliers'!$L$3:$N$6,3,FALSE)))</f>
        <v/>
      </c>
      <c r="M255" s="336" t="str">
        <f>IF(D255="","",VLOOKUP(D255,'G-6 Hedgerow Data'!$B$1:$AH$15,33,FALSE))</f>
        <v/>
      </c>
      <c r="N255" s="289" t="str">
        <f t="shared" si="29"/>
        <v/>
      </c>
      <c r="O255" s="393"/>
      <c r="P255" s="281" t="str">
        <f>IF(O255="","",IF(VLOOKUP(O255,'G-3 Multipliers'!$S$3:$T$10,2,FALSE)=0,"Spatial Data Missing ⚠",VLOOKUP(O255,'G-3 Multipliers'!$S$3:$T$10,2,FALSE)))</f>
        <v/>
      </c>
      <c r="Q255" s="289" t="str">
        <f t="shared" si="30"/>
        <v/>
      </c>
      <c r="R255" s="32"/>
      <c r="S255" s="101"/>
      <c r="T255" s="108"/>
      <c r="U255" s="283" t="str">
        <f t="shared" si="31"/>
        <v/>
      </c>
      <c r="V255" s="283" t="str">
        <f t="shared" si="32"/>
        <v/>
      </c>
      <c r="W255" s="287" t="str">
        <f t="shared" si="33"/>
        <v/>
      </c>
      <c r="X255" s="291" t="str">
        <f t="shared" si="34"/>
        <v/>
      </c>
      <c r="Y255" s="105"/>
      <c r="Z255" s="104"/>
      <c r="AA255" s="937"/>
      <c r="AB255" s="104"/>
      <c r="AE255" s="30" t="str">
        <f>IFERROR(INDEX('G-6 Hedgerow Data'!$BJ$3:$BJ$15,MATCH(D255,'G-6 Hedgerow Data'!$B$3:$B$15,0)),"")</f>
        <v/>
      </c>
      <c r="AH255" s="107" t="str">
        <f t="shared" si="27"/>
        <v/>
      </c>
      <c r="AI255" s="107" t="str">
        <f t="shared" si="28"/>
        <v/>
      </c>
      <c r="AK255" s="107">
        <v>246</v>
      </c>
      <c r="AM255" s="107" t="str">
        <f t="array" ref="AM255">IFERROR(INDEX($AK$10:$AK$258,MATCH(0,IF(TRUE=$AH$10:$AH$258,COUNTIF($AM$9:$AM254,$AK$10:$AK$258),""),0)),"")</f>
        <v/>
      </c>
      <c r="AN255" s="107" t="str">
        <f t="array" ref="AN255">IFERROR(INDEX($AK$10:$AK$258,MATCH(0,IF(TRUE=$AI$10:$AI$258,COUNTIF($AN$9:$AN254,$AK$10:$AK$258),""),0)),"")</f>
        <v/>
      </c>
      <c r="AY255" s="283" t="str">
        <f t="shared" si="35"/>
        <v/>
      </c>
    </row>
    <row r="256" spans="2:51" ht="14">
      <c r="B256" s="97">
        <v>247</v>
      </c>
      <c r="C256" s="138"/>
      <c r="D256" s="138"/>
      <c r="E256" s="104"/>
      <c r="F256" s="275" t="str">
        <f>IF(D256="","",VLOOKUP(D256,'G-6 Hedgerow Data'!$B$2:$AG$15,2,FALSE))</f>
        <v/>
      </c>
      <c r="G256" s="276" t="str">
        <f>IF(D256="","",VLOOKUP(D256,'G-6 Hedgerow Data'!$B$2:$AG$15,3,FALSE))</f>
        <v/>
      </c>
      <c r="H256" s="101"/>
      <c r="I256" s="276" t="str">
        <f>IFERROR(IF(AND(D256&lt;&gt;"",H256=""),"Check data ⚠",(IF(H256="","",IF(AND(D256="Non-native and ornamental hedgerow",H256&lt;&gt;"Poor"),"Not possible ▲",(IF(AND(F256="V.Low",OR(H256="Good",H256="Moderate")),"Error ▲",VLOOKUP(H256,'G-1 All Habitats'!$Z$2:$AA$9,2,FALSE))))))),"")</f>
        <v/>
      </c>
      <c r="J256" s="105"/>
      <c r="K256" s="295" t="str">
        <f>IF(AND(J256="",D256&lt;&gt;""),"Check data ⚠",IF(J256="","",IF(VLOOKUP(J256,'G-3 Multipliers'!$L$3:$N$6,2,FALSE)=0,"Spatial Data Missing ⚠",VLOOKUP(J256,'G-3 Multipliers'!$L$3:$N$6,2,FALSE))))</f>
        <v/>
      </c>
      <c r="L256" s="299" t="str">
        <f>IF(J256="","",IF(VLOOKUP(J256,'G-3 Multipliers'!$L$3:$N$6,3,FALSE)=0,"Spatial Data Missing ⚠",VLOOKUP(J256,'G-3 Multipliers'!$L$3:$N$6,3,FALSE)))</f>
        <v/>
      </c>
      <c r="M256" s="336" t="str">
        <f>IF(D256="","",VLOOKUP(D256,'G-6 Hedgerow Data'!$B$1:$AH$15,33,FALSE))</f>
        <v/>
      </c>
      <c r="N256" s="289" t="str">
        <f t="shared" si="29"/>
        <v/>
      </c>
      <c r="O256" s="393"/>
      <c r="P256" s="281" t="str">
        <f>IF(O256="","",IF(VLOOKUP(O256,'G-3 Multipliers'!$S$3:$T$10,2,FALSE)=0,"Spatial Data Missing ⚠",VLOOKUP(O256,'G-3 Multipliers'!$S$3:$T$10,2,FALSE)))</f>
        <v/>
      </c>
      <c r="Q256" s="289" t="str">
        <f t="shared" si="30"/>
        <v/>
      </c>
      <c r="R256" s="32"/>
      <c r="S256" s="101"/>
      <c r="T256" s="108"/>
      <c r="U256" s="283" t="str">
        <f t="shared" si="31"/>
        <v/>
      </c>
      <c r="V256" s="283" t="str">
        <f t="shared" si="32"/>
        <v/>
      </c>
      <c r="W256" s="287" t="str">
        <f t="shared" si="33"/>
        <v/>
      </c>
      <c r="X256" s="291" t="str">
        <f t="shared" si="34"/>
        <v/>
      </c>
      <c r="Y256" s="105"/>
      <c r="Z256" s="104"/>
      <c r="AA256" s="115"/>
      <c r="AB256" s="115"/>
      <c r="AE256" s="30" t="str">
        <f>IFERROR(INDEX('G-6 Hedgerow Data'!$BJ$3:$BJ$15,MATCH(D256,'G-6 Hedgerow Data'!$B$3:$B$15,0)),"")</f>
        <v/>
      </c>
      <c r="AH256" s="107" t="str">
        <f t="shared" si="27"/>
        <v/>
      </c>
      <c r="AI256" s="107" t="str">
        <f t="shared" si="28"/>
        <v/>
      </c>
      <c r="AK256" s="107">
        <v>247</v>
      </c>
      <c r="AM256" s="107" t="str">
        <f t="array" ref="AM256">IFERROR(INDEX($AK$10:$AK$258,MATCH(0,IF(TRUE=$AH$10:$AH$258,COUNTIF($AM$9:$AM255,$AK$10:$AK$258),""),0)),"")</f>
        <v/>
      </c>
      <c r="AN256" s="107" t="str">
        <f t="array" ref="AN256">IFERROR(INDEX($AK$10:$AK$258,MATCH(0,IF(TRUE=$AI$10:$AI$258,COUNTIF($AN$9:$AN255,$AK$10:$AK$258),""),0)),"")</f>
        <v/>
      </c>
      <c r="AY256" s="283" t="str">
        <f t="shared" si="35"/>
        <v/>
      </c>
    </row>
    <row r="257" spans="2:51" ht="14.5" thickBot="1">
      <c r="B257" s="109">
        <v>248</v>
      </c>
      <c r="C257" s="141"/>
      <c r="D257" s="141"/>
      <c r="E257" s="110"/>
      <c r="F257" s="549" t="str">
        <f>IF(D257="","",VLOOKUP(D257,'G-6 Hedgerow Data'!$B$2:$AG$15,2,FALSE))</f>
        <v/>
      </c>
      <c r="G257" s="550" t="str">
        <f>IF(D257="","",VLOOKUP(D257,'G-6 Hedgerow Data'!$B$2:$AG$15,3,FALSE))</f>
        <v/>
      </c>
      <c r="H257" s="619"/>
      <c r="I257" s="550" t="str">
        <f>IFERROR(IF(AND(D257&lt;&gt;"",H257=""),"Check data ⚠",(IF(H257="","",IF(AND(D257="Non-native and ornamental hedgerow",H257&lt;&gt;"Poor"),"Not possible ▲",(IF(AND(F257="V.Low",OR(H257="Good",H257="Moderate")),"Error ▲",VLOOKUP(H257,'G-1 All Habitats'!$Z$2:$AA$9,2,FALSE))))))),"")</f>
        <v/>
      </c>
      <c r="J257" s="111"/>
      <c r="K257" s="284" t="str">
        <f>IF(AND(J257="",D257&lt;&gt;""),"Check data ⚠",IF(J257="","",IF(VLOOKUP(J257,'G-3 Multipliers'!$L$3:$N$6,2,FALSE)=0,"Spatial Data Missing ⚠",VLOOKUP(J257,'G-3 Multipliers'!$L$3:$N$6,2,FALSE))))</f>
        <v/>
      </c>
      <c r="L257" s="278" t="str">
        <f>IF(J257="","",IF(VLOOKUP(J257,'G-3 Multipliers'!$L$3:$N$6,3,FALSE)=0,"Spatial Data Missing ⚠",VLOOKUP(J257,'G-3 Multipliers'!$L$3:$N$6,3,FALSE)))</f>
        <v/>
      </c>
      <c r="M257" s="430" t="str">
        <f>IF(D257="","",VLOOKUP(D257,'G-6 Hedgerow Data'!$B$1:$AH$15,33,FALSE))</f>
        <v/>
      </c>
      <c r="N257" s="267" t="str">
        <f t="shared" si="29"/>
        <v/>
      </c>
      <c r="O257" s="429"/>
      <c r="P257" s="571" t="str">
        <f>IF(O257="","",IF(VLOOKUP(O257,'G-3 Multipliers'!$S$3:$T$10,2,FALSE)=0,"Spatial Data Missing ⚠",VLOOKUP(O257,'G-3 Multipliers'!$S$3:$T$10,2,FALSE)))</f>
        <v/>
      </c>
      <c r="Q257" s="267" t="str">
        <f t="shared" si="30"/>
        <v/>
      </c>
      <c r="R257" s="32"/>
      <c r="S257" s="242"/>
      <c r="T257" s="243"/>
      <c r="U257" s="364" t="str">
        <f t="shared" si="31"/>
        <v/>
      </c>
      <c r="V257" s="364" t="str">
        <f t="shared" si="32"/>
        <v/>
      </c>
      <c r="W257" s="287" t="str">
        <f t="shared" si="33"/>
        <v/>
      </c>
      <c r="X257" s="291" t="str">
        <f t="shared" si="34"/>
        <v/>
      </c>
      <c r="Y257" s="111"/>
      <c r="Z257" s="110"/>
      <c r="AA257" s="929"/>
      <c r="AB257" s="110"/>
      <c r="AE257" s="30" t="str">
        <f>IFERROR(INDEX('G-6 Hedgerow Data'!$BJ$3:$BJ$15,MATCH(D257,'G-6 Hedgerow Data'!$B$3:$B$15,0)),"")</f>
        <v/>
      </c>
      <c r="AH257" s="107" t="str">
        <f t="shared" si="27"/>
        <v/>
      </c>
      <c r="AI257" s="107" t="str">
        <f t="shared" si="28"/>
        <v/>
      </c>
      <c r="AK257" s="107">
        <v>248</v>
      </c>
      <c r="AM257" s="107" t="str">
        <f t="array" ref="AM257">IFERROR(INDEX($AK$10:$AK$258,MATCH(0,IF(TRUE=$AH$10:$AH$258,COUNTIF($AM$9:$AM256,$AK$10:$AK$258),""),0)),"")</f>
        <v/>
      </c>
      <c r="AN257" s="107" t="str">
        <f t="array" ref="AN257">IFERROR(INDEX($AK$10:$AK$258,MATCH(0,IF(TRUE=$AI$10:$AI$258,COUNTIF($AN$9:$AN256,$AK$10:$AK$258),""),0)),"")</f>
        <v/>
      </c>
      <c r="AY257" s="283" t="str">
        <f t="shared" si="35"/>
        <v/>
      </c>
    </row>
    <row r="258" spans="4:51" ht="14.5" thickBot="1">
      <c r="D258" s="606"/>
      <c r="E258" s="324">
        <f>SUM(E10:E257)</f>
        <v>0</v>
      </c>
      <c r="M258" s="94"/>
      <c r="N258" s="618">
        <f>SUM(N10:N257)</f>
        <v>0</v>
      </c>
      <c r="O258" s="59"/>
      <c r="P258" s="408"/>
      <c r="Q258" s="326">
        <f>SUM(Q10:Q257)</f>
        <v>0</v>
      </c>
      <c r="R258" s="113"/>
      <c r="S258" s="292">
        <f t="shared" si="36" ref="S258:X258">SUM(S10:S257)</f>
        <v>0</v>
      </c>
      <c r="T258" s="293">
        <f t="shared" si="36"/>
        <v>0</v>
      </c>
      <c r="U258" s="293" cm="1">
        <f t="array" ref="U258">IF(OR(W10:W257="Error in Lengths ▲",U10:U257="Error"),"Error ▲",SUM(U10:U257))</f>
        <v>0</v>
      </c>
      <c r="V258" s="293" cm="1">
        <f t="array" ref="V258">IF(OR(W10:W257="Error in Lengths ▲",V10:V257="Error"),"Error ▲",SUM(V10:V257))</f>
        <v>0</v>
      </c>
      <c r="W258" s="293">
        <f t="shared" si="36"/>
        <v>0</v>
      </c>
      <c r="X258" s="290">
        <f t="shared" si="36"/>
        <v>0</v>
      </c>
      <c r="AY258" s="293" cm="1">
        <f t="array" ref="AY258">IF(OR(W10:W257="Error in Lengths ▲",U10:U257="Error"),"Error ▲",SUM(AY10:AY257))</f>
        <v>0</v>
      </c>
    </row>
    <row r="259" spans="18:51" ht="14">
      <c r="R259" s="113"/>
      <c r="S259" s="113"/>
      <c r="T259" s="113"/>
      <c r="U259" s="113"/>
      <c r="V259" s="113"/>
      <c r="W259" s="113"/>
      <c r="X259" s="113"/>
      <c r="AY259" s="113"/>
    </row>
    <row r="260" spans="2:3" ht="14">
      <c r="B260" s="89"/>
      <c r="C260" s="89"/>
    </row>
    <row r="261" spans="2:3" ht="14">
      <c r="B261" s="89"/>
      <c r="C261" s="89"/>
    </row>
    <row r="262" spans="2:3" ht="14">
      <c r="B262" s="89"/>
      <c r="C262" s="89"/>
    </row>
    <row r="263" spans="2:3" ht="14">
      <c r="B263" s="89"/>
      <c r="C263" s="89"/>
    </row>
    <row r="264" spans="2:3" ht="14">
      <c r="B264" s="89"/>
      <c r="C264" s="89"/>
    </row>
    <row r="265" spans="2:3" ht="14">
      <c r="B265" s="89"/>
      <c r="C265" s="89"/>
    </row>
    <row r="266" spans="2:3" ht="14">
      <c r="B266" s="89"/>
      <c r="C266" s="89"/>
    </row>
    <row r="267" spans="2:3" ht="14" hidden="1">
      <c r="B267" s="89"/>
      <c r="C267" s="89"/>
    </row>
    <row r="268" spans="2:3" ht="14" hidden="1">
      <c r="B268" s="89"/>
      <c r="C268" s="89"/>
    </row>
    <row r="269" spans="2:3" ht="14" hidden="1">
      <c r="B269" s="89"/>
      <c r="C269" s="89"/>
    </row>
    <row r="270" spans="2:3" ht="14" hidden="1">
      <c r="B270" s="89"/>
      <c r="C270" s="89"/>
    </row>
    <row r="271" spans="2:3" ht="14" hidden="1">
      <c r="B271" s="89"/>
      <c r="C271" s="89"/>
    </row>
    <row r="272" spans="2:3" ht="14" hidden="1">
      <c r="B272" s="89"/>
      <c r="C272" s="89"/>
    </row>
  </sheetData>
  <sheetProtection algorithmName="SHA-512" hashValue="Stnxw5p2PuYpAM4cVNiZ7omIhtiJD5Pwn2HnYQhlM9ZseDjKKzOVOCjt2/8SLfw5KRc6DEne2KnDowwwtAwu/A==" saltValue="cA1YLw+e14evwH/Jvv3TWg==" spinCount="100000" sheet="1" objects="1" scenarios="1"/>
  <customSheetViews>
    <customSheetView guid="{8bda793c-c9c5-4fc6-a0a5-f1109f6d4f22}" state="hidden" topLeftCell="A1">
      <pane ySplit="9" topLeftCell="A10" activePane="bottomLeft" state="frozen"/>
      <selection pane="bottomLeft" activeCell="D14" sqref="D14"/>
      <pageMargins left="0.75" right="0.75" top="1" bottom="1" header="0.5" footer="0.5"/>
    </customSheetView>
  </customSheetViews>
  <mergeCells count="17">
    <mergeCell ref="Y8:AB8"/>
    <mergeCell ref="O8:P8"/>
    <mergeCell ref="S8:X8"/>
    <mergeCell ref="M8:M9"/>
    <mergeCell ref="B2:D2"/>
    <mergeCell ref="F2:J2"/>
    <mergeCell ref="C8:E8"/>
    <mergeCell ref="F8:G8"/>
    <mergeCell ref="H8:I8"/>
    <mergeCell ref="B3:D4"/>
    <mergeCell ref="J8:L8"/>
    <mergeCell ref="F3:H3"/>
    <mergeCell ref="F4:H4"/>
    <mergeCell ref="I3:J3"/>
    <mergeCell ref="I4:J4"/>
    <mergeCell ref="F5:H5"/>
    <mergeCell ref="I5:J5"/>
  </mergeCells>
  <conditionalFormatting sqref="I10:I257">
    <cfRule type="containsText" priority="51" dxfId="1273" operator="containsText" text="Error">
      <formula>NOT(ISERROR(SEARCH("Error",I10)))</formula>
    </cfRule>
  </conditionalFormatting>
  <conditionalFormatting sqref="J9:L9 K10:L35 J36:L257">
    <cfRule type="containsText" priority="50" dxfId="1281" operator="containsText" text="Spatial">
      <formula>NOT(ISERROR(SEARCH("Spatial",J9)))</formula>
    </cfRule>
  </conditionalFormatting>
  <conditionalFormatting sqref="M10:M257">
    <cfRule type="cellIs" priority="47" dxfId="667" operator="equal">
      <formula>"Like for like or better"</formula>
    </cfRule>
    <cfRule type="cellIs" priority="48" dxfId="666" operator="equal">
      <formula>"Like for like"</formula>
    </cfRule>
    <cfRule type="containsText" priority="49" dxfId="665" operator="containsText" text="Same distinctiveness">
      <formula>NOT(ISERROR(SEARCH("Same distinctiveness",M10)))</formula>
    </cfRule>
  </conditionalFormatting>
  <conditionalFormatting sqref="W10:X257">
    <cfRule type="containsText" priority="46" dxfId="970" operator="containsText" text="Error">
      <formula>NOT(ISERROR(SEARCH("Error",W10)))</formula>
    </cfRule>
  </conditionalFormatting>
  <conditionalFormatting sqref="I3">
    <cfRule type="containsText" priority="44" dxfId="970" operator="containsText" text="Error">
      <formula>NOT(ISERROR(SEARCH("Error",I3)))</formula>
    </cfRule>
    <cfRule type="containsText" priority="45" dxfId="1267" operator="containsText" text="Check">
      <formula>NOT(ISERROR(SEARCH("Check",I3)))</formula>
    </cfRule>
  </conditionalFormatting>
  <conditionalFormatting sqref="I4">
    <cfRule type="containsText" priority="3" dxfId="970" operator="containsText" text="Error">
      <formula>NOT(ISERROR(SEARCH("Error",I4)))</formula>
    </cfRule>
    <cfRule type="containsText" priority="14" dxfId="1267" operator="containsText" text="Check">
      <formula>NOT(ISERROR(SEARCH("Check",I4)))</formula>
    </cfRule>
  </conditionalFormatting>
  <conditionalFormatting sqref="I5">
    <cfRule type="containsText" priority="38" dxfId="970" operator="containsText" text="No">
      <formula>NOT(ISERROR(SEARCH("No",I5)))</formula>
    </cfRule>
    <cfRule type="containsText" priority="39" dxfId="1253" operator="containsText" text="Yes">
      <formula>NOT(ISERROR(SEARCH("Yes",I5)))</formula>
    </cfRule>
  </conditionalFormatting>
  <conditionalFormatting sqref="O10:O257">
    <cfRule type="containsText" priority="36" dxfId="970" operator="containsText" text="Existing Value Not Required">
      <formula>NOT(ISERROR(SEARCH("Existing Value Not Required",O10)))</formula>
    </cfRule>
    <cfRule type="containsText" priority="37" dxfId="970" operator="containsText" text="Existing Value Required">
      <formula>NOT(ISERROR(SEARCH("Existing Value Required",O10)))</formula>
    </cfRule>
  </conditionalFormatting>
  <conditionalFormatting sqref="O10:P10 O11:O257 P11:P255">
    <cfRule type="containsText" priority="32" dxfId="1267" operator="containsText" text="Check">
      <formula>NOT(ISERROR(SEARCH("Check",O10)))</formula>
    </cfRule>
    <cfRule type="containsText" priority="33" dxfId="970" operator="containsText" text="Error">
      <formula>NOT(ISERROR(SEARCH("Error",O10)))</formula>
    </cfRule>
  </conditionalFormatting>
  <conditionalFormatting sqref="P10:P255">
    <cfRule type="containsText" priority="31" dxfId="1281" operator="containsText" text="Spatial">
      <formula>NOT(ISERROR(SEARCH("Spatial",P10)))</formula>
    </cfRule>
  </conditionalFormatting>
  <conditionalFormatting sqref="P256">
    <cfRule type="containsText" priority="21" dxfId="1281" operator="containsText" text="Check">
      <formula>NOT(ISERROR(SEARCH("Check",P256)))</formula>
    </cfRule>
    <cfRule type="containsText" priority="22" dxfId="1273" operator="containsText" text="Error">
      <formula>NOT(ISERROR(SEARCH("Error",P256)))</formula>
    </cfRule>
  </conditionalFormatting>
  <conditionalFormatting sqref="P256">
    <cfRule type="containsText" priority="20" dxfId="1281" operator="containsText" text="Spatial">
      <formula>NOT(ISERROR(SEARCH("Spatial",P256)))</formula>
    </cfRule>
  </conditionalFormatting>
  <conditionalFormatting sqref="P257">
    <cfRule type="containsText" priority="18" dxfId="1281" operator="containsText" text="Check">
      <formula>NOT(ISERROR(SEARCH("Check",P257)))</formula>
    </cfRule>
    <cfRule type="containsText" priority="19" dxfId="1273" operator="containsText" text="Error">
      <formula>NOT(ISERROR(SEARCH("Error",P257)))</formula>
    </cfRule>
  </conditionalFormatting>
  <conditionalFormatting sqref="P257">
    <cfRule type="containsText" priority="17" dxfId="1281" operator="containsText" text="Spatial">
      <formula>NOT(ISERROR(SEARCH("Spatial",P257)))</formula>
    </cfRule>
  </conditionalFormatting>
  <conditionalFormatting sqref="I10:I257">
    <cfRule type="containsText" priority="16" dxfId="1273" operator="containsText" text="Not possible">
      <formula>NOT(ISERROR(SEARCH("Not possible",I10)))</formula>
    </cfRule>
  </conditionalFormatting>
  <conditionalFormatting sqref="U258:V258">
    <cfRule type="containsText" priority="15" dxfId="970" operator="containsText" text="Error">
      <formula>NOT(ISERROR(SEARCH("Error",U258)))</formula>
    </cfRule>
  </conditionalFormatting>
  <conditionalFormatting sqref="I4:J4">
    <cfRule type="cellIs" priority="13" dxfId="881" operator="equal">
      <formula>0</formula>
    </cfRule>
    <cfRule type="cellIs" priority="449" dxfId="970" operator="lessThan">
      <formula>0</formula>
    </cfRule>
  </conditionalFormatting>
  <conditionalFormatting sqref="AY258">
    <cfRule type="containsText" priority="10" dxfId="970" operator="containsText" text="Error">
      <formula>NOT(ISERROR(SEARCH("Error",AY258)))</formula>
    </cfRule>
  </conditionalFormatting>
  <conditionalFormatting sqref="I3:J5">
    <cfRule type="containsText" priority="12" dxfId="932" operator="containsText" text="N/A">
      <formula>NOT(ISERROR(SEARCH("N/A",I3)))</formula>
    </cfRule>
  </conditionalFormatting>
  <conditionalFormatting sqref="I1:I1048576">
    <cfRule type="containsText" priority="11" dxfId="1281" operator="containsText" text="⚠">
      <formula>NOT(ISERROR(SEARCH("⚠",I1)))</formula>
    </cfRule>
  </conditionalFormatting>
  <conditionalFormatting sqref="K1:K1048576">
    <cfRule type="containsText" priority="7" dxfId="1281" operator="containsText" text="⚠">
      <formula>NOT(ISERROR(SEARCH("⚠",K1)))</formula>
    </cfRule>
  </conditionalFormatting>
  <conditionalFormatting sqref="Q1:Q1048576">
    <cfRule type="containsText" priority="2" dxfId="1273" operator="containsText" text="▲">
      <formula>NOT(ISERROR(SEARCH("▲",Q1)))</formula>
    </cfRule>
    <cfRule type="containsText" priority="6" dxfId="1281" operator="containsText" text="⚠">
      <formula>NOT(ISERROR(SEARCH("⚠",Q1)))</formula>
    </cfRule>
  </conditionalFormatting>
  <conditionalFormatting sqref="X1:X1048576">
    <cfRule type="containsText" priority="5" dxfId="1281" operator="containsText" text="⚠">
      <formula>NOT(ISERROR(SEARCH("⚠",X1)))</formula>
    </cfRule>
  </conditionalFormatting>
  <conditionalFormatting sqref="N1:N1048576">
    <cfRule type="containsText" priority="4" dxfId="1281" operator="containsText" text="⚠">
      <formula>NOT(ISERROR(SEARCH("⚠",N1)))</formula>
    </cfRule>
  </conditionalFormatting>
  <conditionalFormatting sqref="AB10:AB257">
    <cfRule type="expression" priority="1" dxfId="1275">
      <formula>$Q10="Off-site reference required ▲"</formula>
    </cfRule>
  </conditionalFormatting>
  <conditionalFormatting sqref="I4:J4">
    <cfRule type="expression" priority="8" dxfId="1289">
      <formula>'Headline Results'!$H$9:$I$9=0</formula>
    </cfRule>
  </conditionalFormatting>
  <conditionalFormatting sqref="I4:J4">
    <cfRule type="cellIs" priority="9" dxfId="1294" operator="lessThan">
      <formula>Start!$F$22</formula>
    </cfRule>
    <cfRule type="cellIs" priority="450" dxfId="1284" operator="greaterThanOrEqual">
      <formula>Start!$F$22</formula>
    </cfRule>
  </conditionalFormatting>
  <dataValidations count="4">
    <dataValidation type="list" allowBlank="1" showInputMessage="1" showErrorMessage="1" sqref="H10:H257">
      <formula1>INDIRECT(AE10)</formula1>
    </dataValidation>
    <dataValidation type="list" allowBlank="1" showInputMessage="1" showErrorMessage="1" sqref="D10:D257">
      <formula1>'G-6 Hedgerow Data'!$B$3:$B$15</formula1>
    </dataValidation>
    <dataValidation type="list" allowBlank="1" showErrorMessage="1" prompt=" _x000a_" sqref="J10:J257">
      <formula1>'G-3 Multipliers'!$L$4:$L$6</formula1>
    </dataValidation>
    <dataValidation type="list" allowBlank="1" showInputMessage="1" showErrorMessage="1" sqref="O10:O257">
      <formula1>'G-3 Multipliers'!$S$4:$S$7</formula1>
    </dataValidation>
  </dataValidations>
  <pageMargins left="0.7" right="0.7" top="0.75" bottom="0.75" header="0.3" footer="0.3"/>
  <pageSetup horizontalDpi="90" verticalDpi="90" orientation="portrait" paperSize="9"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B2:AH261"/>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23.5442857142857" defaultRowHeight="42" customHeight="1" zeroHeight="1"/>
  <cols>
    <col min="1" max="1" width="2.57142857142857" style="30" customWidth="1"/>
    <col min="2" max="2" width="11.4285714285714" style="30" customWidth="1"/>
    <col min="3" max="3" width="12.4285714285714" style="30" customWidth="1"/>
    <col min="4" max="4" width="60.5714285714286" style="30" customWidth="1"/>
    <col min="5" max="5" width="10.4285714285714" style="30" customWidth="1"/>
    <col min="6" max="6" width="19.4285714285714" style="30" customWidth="1"/>
    <col min="7" max="8" width="11.5714285714286" style="30" customWidth="1"/>
    <col min="9" max="9" width="12.5714285714286" style="30" customWidth="1"/>
    <col min="10" max="10" width="41.5714285714286" style="30" customWidth="1"/>
    <col min="11" max="11" width="21.4285714285714" style="30" customWidth="1"/>
    <col min="12" max="12" width="15.4285714285714" style="30" customWidth="1"/>
    <col min="13" max="13" width="73.4285714285714" style="30" customWidth="1"/>
    <col min="14" max="14" width="8.42857142857143" style="30" hidden="1" customWidth="1"/>
    <col min="15" max="17" width="17.5714285714286" style="30" customWidth="1"/>
    <col min="18" max="18" width="35.5714285714286" style="30" customWidth="1"/>
    <col min="19" max="19" width="17.5714285714286" style="30" customWidth="1"/>
    <col min="20" max="20" width="15.4285714285714" style="30" customWidth="1"/>
    <col min="21" max="21" width="15.5714285714286" style="30" customWidth="1"/>
    <col min="22" max="22" width="25.4285714285714" style="30" customWidth="1"/>
    <col min="23" max="23" width="10.5714285714286" style="30" customWidth="1"/>
    <col min="24" max="24" width="12.5714285714286" style="30" customWidth="1"/>
    <col min="25" max="25" width="8.42857142857143" style="30" hidden="1" customWidth="1"/>
    <col min="26" max="26" width="12.5714285714286" style="30" customWidth="1"/>
    <col min="27" max="28" width="42.5714285714286" style="30" customWidth="1"/>
    <col min="29" max="29" width="14.5714285714286" style="30" customWidth="1"/>
    <col min="30" max="31" width="14" style="30" customWidth="1"/>
    <col min="32" max="32" width="23.5714285714286" style="30" customWidth="1"/>
    <col min="33" max="33" width="23.5714285714286" style="30" hidden="1" customWidth="1"/>
    <col min="34" max="16381" width="0" style="30" hidden="1" customWidth="1"/>
    <col min="16382" max="16384" width="23.5714285714286" style="30"/>
  </cols>
  <sheetData>
    <row r="1" ht="15.75" customHeight="1" thickBot="1"/>
    <row r="2" spans="2:20" ht="19.5" customHeight="1" thickBot="1">
      <c r="B2" s="1728" t="str">
        <f>CONCATENATE("Project Name:"," ",Start!F12,"     ","Map Reference:"," ",Start!K66)</f>
        <v xml:space="preserve">Project Name: Land east of Calne Road, Lyneham     Map Reference: </v>
      </c>
      <c r="C2" s="1729"/>
      <c r="D2" s="1729"/>
      <c r="E2" s="1730"/>
      <c r="I2" s="239"/>
      <c r="J2" s="1597" t="s">
        <v>448</v>
      </c>
      <c r="K2" s="1598"/>
      <c r="L2" s="1598"/>
      <c r="M2" s="1599"/>
      <c r="O2" s="1715" t="str">
        <f>IF(OR(COUNTIF($O$12:O259,"*30+*")&gt;0,COUNTIF($S$12:S259,"*30+*")&gt;0),"Note; Habitat selected has a time to target condition greater than 30 years. Non standard agreement may be required. ⚠","")</f>
        <v/>
      </c>
      <c r="P2" s="1715"/>
      <c r="Q2" s="1715"/>
      <c r="R2" s="1715"/>
      <c r="S2" s="1715"/>
      <c r="T2" s="1715"/>
    </row>
    <row r="3" spans="2:20" ht="15.75" customHeight="1" thickBot="1">
      <c r="B3" s="1449" t="str">
        <f ca="1">MID(CELL("filename",A1),FIND("]",CELL("filename",A1))+1,256)</f>
        <v>E-2 Off-Site Hedge Creation</v>
      </c>
      <c r="C3" s="1450"/>
      <c r="D3" s="1450"/>
      <c r="E3" s="1451"/>
      <c r="I3" s="388"/>
      <c r="J3" s="1663" t="s">
        <v>306</v>
      </c>
      <c r="K3" s="1664"/>
      <c r="L3" s="1664"/>
      <c r="M3" s="390">
        <f>'Headline Results'!H48</f>
        <v>6.475122960273441</v>
      </c>
      <c r="O3" s="1715"/>
      <c r="P3" s="1715"/>
      <c r="Q3" s="1715"/>
      <c r="R3" s="1715"/>
      <c r="S3" s="1715"/>
      <c r="T3" s="1715"/>
    </row>
    <row r="4" spans="2:20" ht="15.75" customHeight="1" thickBot="1">
      <c r="B4" s="1449"/>
      <c r="C4" s="1450"/>
      <c r="D4" s="1450"/>
      <c r="E4" s="1451"/>
      <c r="I4" s="388"/>
      <c r="J4" s="1772" t="s">
        <v>308</v>
      </c>
      <c r="K4" s="1773"/>
      <c r="L4" s="1773"/>
      <c r="M4" s="391">
        <f>'Headline Results'!H52</f>
        <v>5.10093190505234</v>
      </c>
      <c r="O4" s="1715"/>
      <c r="P4" s="1715"/>
      <c r="Q4" s="1715"/>
      <c r="R4" s="1715"/>
      <c r="S4" s="1715"/>
      <c r="T4" s="1715"/>
    </row>
    <row r="5" spans="10:20" ht="15.75" customHeight="1" thickBot="1">
      <c r="J5" s="1774" t="s">
        <v>310</v>
      </c>
      <c r="K5" s="1750"/>
      <c r="L5" s="1750"/>
      <c r="M5" s="383" t="str" cm="1">
        <f t="array" ref="M5">IF(OR('Trading Summary Hedgerows'!F5:H9="No ▲"),"No - check trading summary ▲","Yes ✓")</f>
        <v>Yes ✓</v>
      </c>
      <c r="N5" s="388"/>
      <c r="O5" s="1715"/>
      <c r="P5" s="1715"/>
      <c r="Q5" s="1715"/>
      <c r="R5" s="1715"/>
      <c r="S5" s="1715"/>
      <c r="T5" s="1715"/>
    </row>
    <row r="6" spans="15:19" ht="15.75" customHeight="1">
      <c r="O6" s="241"/>
      <c r="P6" s="241"/>
      <c r="Q6" s="241"/>
      <c r="R6" s="241"/>
      <c r="S6" s="241"/>
    </row>
    <row r="7" spans="2:3" ht="15.75" customHeight="1">
      <c r="B7" s="89"/>
      <c r="C7" s="89"/>
    </row>
    <row r="8" spans="10:24" ht="14">
      <c r="J8" s="88"/>
      <c r="K8" s="88"/>
      <c r="L8" s="88"/>
      <c r="M8" s="88"/>
      <c r="N8" s="88"/>
      <c r="O8" s="88"/>
      <c r="P8" s="88"/>
      <c r="Q8" s="88"/>
      <c r="R8" s="88"/>
      <c r="S8" s="88"/>
      <c r="T8" s="88"/>
      <c r="V8" s="88"/>
      <c r="W8" s="88"/>
      <c r="X8" s="88"/>
    </row>
    <row r="9" spans="10:24" ht="15.75" customHeight="1" thickBot="1">
      <c r="J9" s="88"/>
      <c r="K9" s="88"/>
      <c r="L9" s="88"/>
      <c r="M9" s="94"/>
      <c r="N9" s="94"/>
      <c r="O9" s="137"/>
      <c r="P9" s="137"/>
      <c r="Q9" s="137"/>
      <c r="R9" s="137"/>
      <c r="S9" s="137"/>
      <c r="T9" s="137"/>
      <c r="U9" s="137"/>
      <c r="V9" s="137"/>
      <c r="W9" s="137"/>
      <c r="X9" s="137"/>
    </row>
    <row r="10" spans="2:31" s="33" customFormat="1" ht="40.4" customHeight="1" thickBot="1">
      <c r="B10" s="32"/>
      <c r="C10" s="32"/>
      <c r="D10" s="1725" t="s">
        <v>459</v>
      </c>
      <c r="E10" s="1429"/>
      <c r="F10" s="1743" t="s">
        <v>312</v>
      </c>
      <c r="G10" s="1740"/>
      <c r="H10" s="1740" t="s">
        <v>407</v>
      </c>
      <c r="I10" s="1738"/>
      <c r="J10" s="1725" t="s">
        <v>314</v>
      </c>
      <c r="K10" s="1436"/>
      <c r="L10" s="1429"/>
      <c r="M10" s="1743" t="s">
        <v>408</v>
      </c>
      <c r="N10" s="1740"/>
      <c r="O10" s="1740" t="s">
        <v>428</v>
      </c>
      <c r="P10" s="1740"/>
      <c r="Q10" s="1740"/>
      <c r="R10" s="1740"/>
      <c r="S10" s="1740"/>
      <c r="T10" s="1740"/>
      <c r="U10" s="1740" t="s">
        <v>377</v>
      </c>
      <c r="V10" s="1740"/>
      <c r="W10" s="1740"/>
      <c r="X10" s="1738"/>
      <c r="Y10" s="1692" t="s">
        <v>473</v>
      </c>
      <c r="Z10" s="1692" t="s">
        <v>460</v>
      </c>
      <c r="AA10" s="1701" t="s">
        <v>318</v>
      </c>
      <c r="AB10" s="1702"/>
      <c r="AC10" s="1702"/>
      <c r="AD10" s="1702"/>
      <c r="AE10" s="1703"/>
    </row>
    <row r="11" spans="2:34" ht="56.5" thickBot="1">
      <c r="B11" s="506" t="s">
        <v>323</v>
      </c>
      <c r="C11" s="506" t="s">
        <v>461</v>
      </c>
      <c r="D11" s="116" t="s">
        <v>284</v>
      </c>
      <c r="E11" s="120" t="s">
        <v>451</v>
      </c>
      <c r="F11" s="116" t="s">
        <v>312</v>
      </c>
      <c r="G11" s="120" t="s">
        <v>328</v>
      </c>
      <c r="H11" s="962" t="s">
        <v>313</v>
      </c>
      <c r="I11" s="120" t="s">
        <v>328</v>
      </c>
      <c r="J11" s="116" t="s">
        <v>314</v>
      </c>
      <c r="K11" s="121" t="s">
        <v>314</v>
      </c>
      <c r="L11" s="120" t="s">
        <v>329</v>
      </c>
      <c r="M11" s="116" t="s">
        <v>411</v>
      </c>
      <c r="N11" s="120" t="s">
        <v>408</v>
      </c>
      <c r="O11" s="116" t="s">
        <v>462</v>
      </c>
      <c r="P11" s="121" t="s">
        <v>420</v>
      </c>
      <c r="Q11" s="121" t="s">
        <v>421</v>
      </c>
      <c r="R11" s="121" t="s">
        <v>398</v>
      </c>
      <c r="S11" s="121" t="s">
        <v>399</v>
      </c>
      <c r="T11" s="120" t="s">
        <v>469</v>
      </c>
      <c r="U11" s="116" t="s">
        <v>422</v>
      </c>
      <c r="V11" s="121" t="s">
        <v>402</v>
      </c>
      <c r="W11" s="121" t="s">
        <v>423</v>
      </c>
      <c r="X11" s="120" t="s">
        <v>404</v>
      </c>
      <c r="Y11" s="1780"/>
      <c r="Z11" s="1780"/>
      <c r="AA11" s="116" t="s">
        <v>302</v>
      </c>
      <c r="AB11" s="722" t="s">
        <v>279</v>
      </c>
      <c r="AC11" s="723" t="s">
        <v>412</v>
      </c>
      <c r="AD11" s="723" t="s">
        <v>413</v>
      </c>
      <c r="AE11" s="716" t="s">
        <v>380</v>
      </c>
      <c r="AH11" s="88" t="s">
        <v>322</v>
      </c>
    </row>
    <row r="12" spans="2:34" ht="14">
      <c r="B12" s="226">
        <v>1</v>
      </c>
      <c r="C12" s="171"/>
      <c r="D12" s="133"/>
      <c r="E12" s="115"/>
      <c r="F12" s="275" t="str">
        <f>IF(D12="","",VLOOKUP(D12,'G-6 Hedgerow Data'!$B$2:$AG$15,2,FALSE))</f>
        <v/>
      </c>
      <c r="G12" s="276" t="str">
        <f>IF(D12="","",VLOOKUP(D12,'G-6 Hedgerow Data'!$B$2:$AG$15,3,FALSE))</f>
        <v/>
      </c>
      <c r="H12" s="53"/>
      <c r="I12" s="276" t="str">
        <f>IFERROR(IF(H12="","",IF(AND(D12="Non-native and ornamental hedgerow",H12&lt;&gt;"Poor"),"Not possible ▲",(IF(AND(F12="V.Low",OR(H12="Good",H12="Moderate")),"Error ▲",VLOOKUP(H12,'G-1 All Habitats'!$Z$2:$AA$9,2,FALSE))))),"")</f>
        <v/>
      </c>
      <c r="J12" s="52"/>
      <c r="K12" s="283" t="str">
        <f>IF(J12="","",IF(VLOOKUP(J12,'G-3 Multipliers'!$L$3:$N$6,2,FALSE)=0,"Spatial Data Missing",VLOOKUP(J12,'G-3 Multipliers'!$L$3:$N$6,2,FALSE)))</f>
        <v/>
      </c>
      <c r="L12" s="276" t="str">
        <f>IF(J12="","",IF(VLOOKUP(J12,'G-3 Multipliers'!$L$3:$N$6,3,FALSE)=0,"Spatial Data Missing",VLOOKUP(J12,'G-3 Multipliers'!$L$3:$N$6,3,FALSE)))</f>
        <v/>
      </c>
      <c r="M12" s="134"/>
      <c r="N12" s="276" t="str">
        <f>IF(M12="","",IF(VLOOKUP(M12,'G-3 Multipliers'!$S$3:$T$10,2,FALSE)=0,"Spatial Data Missing ⚠",VLOOKUP(M12,'G-3 Multipliers'!$S$3:$T$10,2,FALSE)))</f>
        <v/>
      </c>
      <c r="O12" s="275" t="str">
        <f>IF(OR(D12="",H12=""),"",(INDEX('G-6 Hedgerow Data'!$E$3:$I$15,MATCH(D12,'G-6 Hedgerow Data'!$B$3:$B$15,0),MATCH(H12,'G-6 Hedgerow Data'!$E$2:$I$2,0))))</f>
        <v/>
      </c>
      <c r="P12" s="133"/>
      <c r="Q12" s="133"/>
      <c r="R12" s="283"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296" t="str">
        <f>IF(O12="","",IF(R12="Error -both advance and delayed habitat creation ▲","Check Data ⚠",IF(O12="Not possible ▲","Check data ⚠",IF(OR(P12="30+",P12="Habitat already in target condition"),0,IF(Q12="30+","30+",IF(AND(O12="30+",OR(P12="",P12=0)),"30+",IF(AND(O12="30+",P12&gt;0),30-P12,IF(O12+Q12&gt;30,"30+",IF(O12+Q12-P12&gt;0,O12+Q12-P12,IF(O12-P12&lt;0,0,O12+Q12-P12))))))))))</f>
        <v/>
      </c>
      <c r="T12" s="297" t="str">
        <f t="shared" si="0" ref="T12:T75">IF(D12="","",IF(S12="Check Data ⚠","Check Data ⚠",VLOOKUP(S12,TemporalMultipliers,3,FALSE)))</f>
        <v/>
      </c>
      <c r="U12" s="275" t="str">
        <f>IF(D12="","",VLOOKUP(D12,'G-6 Hedgerow Data'!$B$3:$AG$15,31,FALSE))</f>
        <v/>
      </c>
      <c r="V12" s="283" t="str">
        <f>IF(D12="","",IF(S12="Check Data ⚠","Check Data ⚠",IF(H12="","",IF($R12="Check details - Is there evidence that habitat has reached target condition? ⚠","Low Difficulty - only applicable if all habitat created before losses ⚠","Standard difficulty applied"))))</f>
        <v/>
      </c>
      <c r="W12" s="283" t="str">
        <f>(IF(AND(V12="Standard difficulty applied",O12&gt;P12),U12,IF(S12="Check data ⚠","Check data ⚠",IF(AND(V12="Low Difficulty - only applicable if all habitat created before losses ⚠",P12&gt;=O12),"Low",U12))))</f>
        <v/>
      </c>
      <c r="X12" s="276" t="str">
        <f>IF(F12="","",VLOOKUP(U12,'G-3 Multipliers'!$P$3:$Q$6,2,FALSE))</f>
        <v/>
      </c>
      <c r="Y12" s="303" t="str">
        <f>IFERROR(E12*G12*I12*L12*T12*X12*N12,"")</f>
        <v/>
      </c>
      <c r="Z12" s="303" t="str">
        <f>IFERROR(IF(AND(M12&lt;&gt;"",AD12=""),"Off-site reference required ▲",(IF(M12="","",E12*G12*I12*L12*T12*X12))),"")</f>
        <v/>
      </c>
      <c r="AA12" s="101"/>
      <c r="AB12" s="938"/>
      <c r="AC12" s="133"/>
      <c r="AD12" s="133"/>
      <c r="AE12" s="939"/>
      <c r="AH12" s="30" t="str">
        <f>IFERROR(INDEX('G-6 Hedgerow Data'!$BJ$3:$BJ$15,MATCH(D12,'G-6 Hedgerow Data'!$B$3:$B$15,0)),"")</f>
        <v/>
      </c>
    </row>
    <row r="13" spans="2:34" ht="14">
      <c r="B13" s="97">
        <v>2</v>
      </c>
      <c r="C13" s="171"/>
      <c r="D13" s="133"/>
      <c r="E13" s="115"/>
      <c r="F13" s="275" t="str">
        <f>IF(D13="","",VLOOKUP(D13,'G-6 Hedgerow Data'!$B$2:$AG$15,2,FALSE))</f>
        <v/>
      </c>
      <c r="G13" s="299" t="str">
        <f>IF(D13="","",VLOOKUP(D13,'G-6 Hedgerow Data'!$B$2:$AG$15,3,FALSE))</f>
        <v/>
      </c>
      <c r="H13" s="53"/>
      <c r="I13" s="276" t="str">
        <f>IFERROR(IF(H13="","",IF(AND(D13="Non-native and ornamental hedgerow",H13&lt;&gt;"Poor"),"Not possible ▲",(IF(AND(F13="V.Low",OR(H13="Good",H13="Moderate")),"Error ▲",VLOOKUP(H13,'G-1 All Habitats'!$Z$2:$AA$9,2,FALSE))))),"")</f>
        <v/>
      </c>
      <c r="J13" s="102"/>
      <c r="K13" s="295" t="str">
        <f>IF(J13="","",IF(VLOOKUP(J13,'G-3 Multipliers'!$L$3:$N$6,2,FALSE)=0,"Spatial Data Missing",VLOOKUP(J13,'G-3 Multipliers'!$L$3:$N$6,2,FALSE)))</f>
        <v/>
      </c>
      <c r="L13" s="299" t="str">
        <f>IF(J13="","",IF(VLOOKUP(J13,'G-3 Multipliers'!$L$3:$N$6,3,FALSE)=0,"Spatial Data Missing",VLOOKUP(J13,'G-3 Multipliers'!$L$3:$N$6,3,FALSE)))</f>
        <v/>
      </c>
      <c r="M13" s="134"/>
      <c r="N13" s="276" t="str">
        <f>IF(M13="","",IF(VLOOKUP(M13,'G-3 Multipliers'!$S$3:$T$10,2,FALSE)=0,"Spatial Data Missing ⚠",VLOOKUP(M13,'G-3 Multipliers'!$S$3:$T$10,2,FALSE)))</f>
        <v/>
      </c>
      <c r="O13" s="275" t="str">
        <f>IF(OR(D13="",H13=""),"",(INDEX('G-6 Hedgerow Data'!$E$3:$I$15,MATCH(D13,'G-6 Hedgerow Data'!$B$3:$B$15,0),MATCH(H13,'G-6 Hedgerow Data'!$E$2:$I$2,0))))</f>
        <v/>
      </c>
      <c r="P13" s="133"/>
      <c r="Q13" s="133"/>
      <c r="R13" s="283" t="str">
        <f t="shared" si="1" ref="R13:R76">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296" t="str">
        <f t="shared" si="2" ref="S13:S76">IF(O13="","",IF(R13="Error -both advance and delayed habitat creation ▲","Check Data ⚠",IF(O13="Not possible ▲","Check data ⚠",IF(OR(P13="30+",P13="Habitat already in target condition"),0,IF(Q13="30+","30+",IF(AND(O13="30+",OR(P13="",P13=0)),"30+",IF(AND(O13="30+",P13&gt;0),30-P13,IF(O13+Q13&gt;30,"30+",IF(O13+Q13-P13&gt;0,O13+Q13-P13,IF(O13-P13&lt;0,0,O13+Q13-P13))))))))))</f>
        <v/>
      </c>
      <c r="T13" s="297" t="str">
        <f t="shared" si="0"/>
        <v/>
      </c>
      <c r="U13" s="311" t="str">
        <f>IF(D13="","",VLOOKUP(D13,'G-6 Hedgerow Data'!$B$3:$AG$15,31,FALSE))</f>
        <v/>
      </c>
      <c r="V13" s="295" t="str">
        <f t="shared" si="3" ref="V13:V76">IF(D13="","",IF(S13="Check Data ⚠","Check Data ⚠",IF(H13="","",IF($R13="Check details - Is there evidence that habitat has reached target condition? ⚠","Low Difficulty - only applicable if all habitat created before losses ⚠","Standard difficulty applied"))))</f>
        <v/>
      </c>
      <c r="W13" s="283" t="str">
        <f t="shared" si="4" ref="W13:W76">(IF(AND(V13="Standard difficulty applied",O13&gt;P13),U13,IF(S13="Check data ⚠","Check data ⚠",IF(AND(V13="Low Difficulty - only applicable if all habitat created before losses ⚠",P13&gt;=O13),"Low",U13))))</f>
        <v/>
      </c>
      <c r="X13" s="299" t="str">
        <f>IF(F13="","",VLOOKUP(U13,'G-3 Multipliers'!$P$3:$Q$6,2,FALSE))</f>
        <v/>
      </c>
      <c r="Y13" s="303" t="str">
        <f t="shared" si="5" ref="Y13:Y76">IFERROR(E13*G13*I13*L13*T13*X13*N13,"")</f>
        <v/>
      </c>
      <c r="Z13" s="303" t="str">
        <f t="shared" si="6" ref="Z13:Z76">IFERROR(IF(AND(M13&lt;&gt;"",AD13=""),"Off-site reference required ▲",(IF(M13="","",E13*G13*I13*L13*T13*X13))),"")</f>
        <v/>
      </c>
      <c r="AA13" s="101"/>
      <c r="AB13" s="938"/>
      <c r="AC13" s="138"/>
      <c r="AD13" s="138"/>
      <c r="AE13" s="934"/>
      <c r="AH13" s="30" t="str">
        <f>IFERROR(INDEX('G-6 Hedgerow Data'!$BJ$3:$BJ$15,MATCH(D13,'G-6 Hedgerow Data'!$B$3:$B$15,0)),"")</f>
        <v/>
      </c>
    </row>
    <row r="14" spans="2:34" ht="14">
      <c r="B14" s="97">
        <v>3</v>
      </c>
      <c r="C14" s="171"/>
      <c r="D14" s="133"/>
      <c r="E14" s="115"/>
      <c r="F14" s="275" t="str">
        <f>IF(D14="","",VLOOKUP(D14,'G-6 Hedgerow Data'!$B$2:$AG$15,2,FALSE))</f>
        <v/>
      </c>
      <c r="G14" s="299" t="str">
        <f>IF(D14="","",VLOOKUP(D14,'G-6 Hedgerow Data'!$B$2:$AG$15,3,FALSE))</f>
        <v/>
      </c>
      <c r="H14" s="53"/>
      <c r="I14" s="276" t="str">
        <f>IFERROR(IF(H14="","",IF(AND(D14="Non-native and ornamental hedgerow",H14&lt;&gt;"Poor"),"Not possible ▲",(IF(AND(F14="V.Low",OR(H14="Good",H14="Moderate")),"Error ▲",VLOOKUP(H14,'G-1 All Habitats'!$Z$2:$AA$9,2,FALSE))))),"")</f>
        <v/>
      </c>
      <c r="J14" s="102"/>
      <c r="K14" s="295" t="str">
        <f>IF(J14="","",IF(VLOOKUP(J14,'G-3 Multipliers'!$L$3:$N$6,2,FALSE)=0,"Spatial Data Missing",VLOOKUP(J14,'G-3 Multipliers'!$L$3:$N$6,2,FALSE)))</f>
        <v/>
      </c>
      <c r="L14" s="299" t="str">
        <f>IF(J14="","",IF(VLOOKUP(J14,'G-3 Multipliers'!$L$3:$N$6,3,FALSE)=0,"Spatial Data Missing",VLOOKUP(J14,'G-3 Multipliers'!$L$3:$N$6,3,FALSE)))</f>
        <v/>
      </c>
      <c r="M14" s="134"/>
      <c r="N14" s="276" t="str">
        <f>IF(M14="","",IF(VLOOKUP(M14,'G-3 Multipliers'!$S$3:$T$10,2,FALSE)=0,"Spatial Data Missing ⚠",VLOOKUP(M14,'G-3 Multipliers'!$S$3:$T$10,2,FALSE)))</f>
        <v/>
      </c>
      <c r="O14" s="275" t="str">
        <f>IF(OR(D14="",H14=""),"",(INDEX('G-6 Hedgerow Data'!$E$3:$I$15,MATCH(D14,'G-6 Hedgerow Data'!$B$3:$B$15,0),MATCH(H14,'G-6 Hedgerow Data'!$E$2:$I$2,0))))</f>
        <v/>
      </c>
      <c r="P14" s="133"/>
      <c r="Q14" s="133"/>
      <c r="R14" s="283" t="str">
        <f t="shared" si="1"/>
        <v/>
      </c>
      <c r="S14" s="296" t="str">
        <f t="shared" si="2"/>
        <v/>
      </c>
      <c r="T14" s="297" t="str">
        <f t="shared" si="0"/>
        <v/>
      </c>
      <c r="U14" s="311" t="str">
        <f>IF(D14="","",VLOOKUP(D14,'G-6 Hedgerow Data'!$B$3:$AG$15,31,FALSE))</f>
        <v/>
      </c>
      <c r="V14" s="295" t="str">
        <f t="shared" si="3"/>
        <v/>
      </c>
      <c r="W14" s="283" t="str">
        <f t="shared" si="4"/>
        <v/>
      </c>
      <c r="X14" s="299" t="str">
        <f>IF(F14="","",VLOOKUP(U14,'G-3 Multipliers'!$P$3:$Q$6,2,FALSE))</f>
        <v/>
      </c>
      <c r="Y14" s="303" t="str">
        <f t="shared" si="5"/>
        <v/>
      </c>
      <c r="Z14" s="303" t="str">
        <f t="shared" si="6"/>
        <v/>
      </c>
      <c r="AA14" s="101"/>
      <c r="AB14" s="938"/>
      <c r="AC14" s="138"/>
      <c r="AD14" s="138"/>
      <c r="AE14" s="934"/>
      <c r="AH14" s="30" t="str">
        <f>IFERROR(INDEX('G-6 Hedgerow Data'!$BJ$3:$BJ$15,MATCH(D14,'G-6 Hedgerow Data'!$B$3:$B$15,0)),"")</f>
        <v/>
      </c>
    </row>
    <row r="15" spans="2:34" ht="14">
      <c r="B15" s="97">
        <v>4</v>
      </c>
      <c r="C15" s="171"/>
      <c r="D15" s="133"/>
      <c r="E15" s="115"/>
      <c r="F15" s="275" t="str">
        <f>IF(D15="","",VLOOKUP(D15,'G-6 Hedgerow Data'!$B$2:$AG$15,2,FALSE))</f>
        <v/>
      </c>
      <c r="G15" s="299" t="str">
        <f>IF(D15="","",VLOOKUP(D15,'G-6 Hedgerow Data'!$B$2:$AG$15,3,FALSE))</f>
        <v/>
      </c>
      <c r="H15" s="53"/>
      <c r="I15" s="276" t="str">
        <f>IFERROR(IF(H15="","",IF(AND(D15="Non-native and ornamental hedgerow",H15&lt;&gt;"Poor"),"Not possible ▲",(IF(AND(F15="V.Low",OR(H15="Good",H15="Moderate")),"Error ▲",VLOOKUP(H15,'G-1 All Habitats'!$Z$2:$AA$9,2,FALSE))))),"")</f>
        <v/>
      </c>
      <c r="J15" s="102"/>
      <c r="K15" s="295" t="str">
        <f>IF(J15="","",IF(VLOOKUP(J15,'G-3 Multipliers'!$L$3:$N$6,2,FALSE)=0,"Spatial Data Missing",VLOOKUP(J15,'G-3 Multipliers'!$L$3:$N$6,2,FALSE)))</f>
        <v/>
      </c>
      <c r="L15" s="299" t="str">
        <f>IF(J15="","",IF(VLOOKUP(J15,'G-3 Multipliers'!$L$3:$N$6,3,FALSE)=0,"Spatial Data Missing",VLOOKUP(J15,'G-3 Multipliers'!$L$3:$N$6,3,FALSE)))</f>
        <v/>
      </c>
      <c r="M15" s="134"/>
      <c r="N15" s="276" t="str">
        <f>IF(M15="","",IF(VLOOKUP(M15,'G-3 Multipliers'!$S$3:$T$10,2,FALSE)=0,"Spatial Data Missing ⚠",VLOOKUP(M15,'G-3 Multipliers'!$S$3:$T$10,2,FALSE)))</f>
        <v/>
      </c>
      <c r="O15" s="275" t="str">
        <f>IF(OR(D15="",H15=""),"",(INDEX('G-6 Hedgerow Data'!$E$3:$I$15,MATCH(D15,'G-6 Hedgerow Data'!$B$3:$B$15,0),MATCH(H15,'G-6 Hedgerow Data'!$E$2:$I$2,0))))</f>
        <v/>
      </c>
      <c r="P15" s="133"/>
      <c r="Q15" s="133"/>
      <c r="R15" s="283" t="str">
        <f t="shared" si="1"/>
        <v/>
      </c>
      <c r="S15" s="296" t="str">
        <f t="shared" si="2"/>
        <v/>
      </c>
      <c r="T15" s="297" t="str">
        <f t="shared" si="0"/>
        <v/>
      </c>
      <c r="U15" s="311" t="str">
        <f>IF(D15="","",VLOOKUP(D15,'G-6 Hedgerow Data'!$B$3:$AG$15,31,FALSE))</f>
        <v/>
      </c>
      <c r="V15" s="295" t="str">
        <f t="shared" si="3"/>
        <v/>
      </c>
      <c r="W15" s="283" t="str">
        <f t="shared" si="4"/>
        <v/>
      </c>
      <c r="X15" s="299" t="str">
        <f>IF(F15="","",VLOOKUP(U15,'G-3 Multipliers'!$P$3:$Q$6,2,FALSE))</f>
        <v/>
      </c>
      <c r="Y15" s="303" t="str">
        <f t="shared" si="5"/>
        <v/>
      </c>
      <c r="Z15" s="303" t="str">
        <f t="shared" si="6"/>
        <v/>
      </c>
      <c r="AA15" s="101"/>
      <c r="AB15" s="938"/>
      <c r="AC15" s="138"/>
      <c r="AD15" s="138"/>
      <c r="AE15" s="934"/>
      <c r="AH15" s="30" t="str">
        <f>IFERROR(INDEX('G-6 Hedgerow Data'!$BJ$3:$BJ$15,MATCH(D15,'G-6 Hedgerow Data'!$B$3:$B$15,0)),"")</f>
        <v/>
      </c>
    </row>
    <row r="16" spans="2:34" ht="14">
      <c r="B16" s="97">
        <v>5</v>
      </c>
      <c r="C16" s="171"/>
      <c r="D16" s="133"/>
      <c r="E16" s="115"/>
      <c r="F16" s="275" t="str">
        <f>IF(D16="","",VLOOKUP(D16,'G-6 Hedgerow Data'!$B$2:$AG$15,2,FALSE))</f>
        <v/>
      </c>
      <c r="G16" s="299" t="str">
        <f>IF(D16="","",VLOOKUP(D16,'G-6 Hedgerow Data'!$B$2:$AG$15,3,FALSE))</f>
        <v/>
      </c>
      <c r="H16" s="53"/>
      <c r="I16" s="276" t="str">
        <f>IFERROR(IF(H16="","",IF(AND(D16="Non-native and ornamental hedgerow",H16&lt;&gt;"Poor"),"Not possible ▲",(IF(AND(F16="V.Low",OR(H16="Good",H16="Moderate")),"Error ▲",VLOOKUP(H16,'G-1 All Habitats'!$Z$2:$AA$9,2,FALSE))))),"")</f>
        <v/>
      </c>
      <c r="J16" s="102"/>
      <c r="K16" s="295" t="str">
        <f>IF(J16="","",IF(VLOOKUP(J16,'G-3 Multipliers'!$L$3:$N$6,2,FALSE)=0,"Spatial Data Missing",VLOOKUP(J16,'G-3 Multipliers'!$L$3:$N$6,2,FALSE)))</f>
        <v/>
      </c>
      <c r="L16" s="299" t="str">
        <f>IF(J16="","",IF(VLOOKUP(J16,'G-3 Multipliers'!$L$3:$N$6,3,FALSE)=0,"Spatial Data Missing",VLOOKUP(J16,'G-3 Multipliers'!$L$3:$N$6,3,FALSE)))</f>
        <v/>
      </c>
      <c r="M16" s="134"/>
      <c r="N16" s="276" t="str">
        <f>IF(M16="","",IF(VLOOKUP(M16,'G-3 Multipliers'!$S$3:$T$10,2,FALSE)=0,"Spatial Data Missing ⚠",VLOOKUP(M16,'G-3 Multipliers'!$S$3:$T$10,2,FALSE)))</f>
        <v/>
      </c>
      <c r="O16" s="275" t="str">
        <f>IF(OR(D16="",H16=""),"",(INDEX('G-6 Hedgerow Data'!$E$3:$I$15,MATCH(D16,'G-6 Hedgerow Data'!$B$3:$B$15,0),MATCH(H16,'G-6 Hedgerow Data'!$E$2:$I$2,0))))</f>
        <v/>
      </c>
      <c r="P16" s="133"/>
      <c r="Q16" s="133"/>
      <c r="R16" s="283" t="str">
        <f t="shared" si="1"/>
        <v/>
      </c>
      <c r="S16" s="296" t="str">
        <f t="shared" si="2"/>
        <v/>
      </c>
      <c r="T16" s="297" t="str">
        <f t="shared" si="0"/>
        <v/>
      </c>
      <c r="U16" s="311" t="str">
        <f>IF(D16="","",VLOOKUP(D16,'G-6 Hedgerow Data'!$B$3:$AG$15,31,FALSE))</f>
        <v/>
      </c>
      <c r="V16" s="295" t="str">
        <f t="shared" si="3"/>
        <v/>
      </c>
      <c r="W16" s="283" t="str">
        <f t="shared" si="4"/>
        <v/>
      </c>
      <c r="X16" s="299" t="str">
        <f>IF(F16="","",VLOOKUP(U16,'G-3 Multipliers'!$P$3:$Q$6,2,FALSE))</f>
        <v/>
      </c>
      <c r="Y16" s="303" t="str">
        <f t="shared" si="5"/>
        <v/>
      </c>
      <c r="Z16" s="303" t="str">
        <f t="shared" si="6"/>
        <v/>
      </c>
      <c r="AA16" s="101"/>
      <c r="AB16" s="938"/>
      <c r="AC16" s="138"/>
      <c r="AD16" s="138"/>
      <c r="AE16" s="934"/>
      <c r="AH16" s="30" t="str">
        <f>IFERROR(INDEX('G-6 Hedgerow Data'!$BJ$3:$BJ$15,MATCH(D16,'G-6 Hedgerow Data'!$B$3:$B$15,0)),"")</f>
        <v/>
      </c>
    </row>
    <row r="17" spans="2:34" ht="14">
      <c r="B17" s="97">
        <v>6</v>
      </c>
      <c r="C17" s="171"/>
      <c r="D17" s="133"/>
      <c r="E17" s="115"/>
      <c r="F17" s="275" t="str">
        <f>IF(D17="","",VLOOKUP(D17,'G-6 Hedgerow Data'!$B$2:$AG$15,2,FALSE))</f>
        <v/>
      </c>
      <c r="G17" s="299" t="str">
        <f>IF(D17="","",VLOOKUP(D17,'G-6 Hedgerow Data'!$B$2:$AG$15,3,FALSE))</f>
        <v/>
      </c>
      <c r="H17" s="53"/>
      <c r="I17" s="276" t="str">
        <f>IFERROR(IF(H17="","",IF(AND(D17="Non-native and ornamental hedgerow",H17&lt;&gt;"Poor"),"Not possible ▲",(IF(AND(F17="V.Low",OR(H17="Good",H17="Moderate")),"Error ▲",VLOOKUP(H17,'G-1 All Habitats'!$Z$2:$AA$9,2,FALSE))))),"")</f>
        <v/>
      </c>
      <c r="J17" s="102"/>
      <c r="K17" s="295" t="str">
        <f>IF(J17="","",IF(VLOOKUP(J17,'G-3 Multipliers'!$L$3:$N$6,2,FALSE)=0,"Spatial Data Missing",VLOOKUP(J17,'G-3 Multipliers'!$L$3:$N$6,2,FALSE)))</f>
        <v/>
      </c>
      <c r="L17" s="299" t="str">
        <f>IF(J17="","",IF(VLOOKUP(J17,'G-3 Multipliers'!$L$3:$N$6,3,FALSE)=0,"Spatial Data Missing",VLOOKUP(J17,'G-3 Multipliers'!$L$3:$N$6,3,FALSE)))</f>
        <v/>
      </c>
      <c r="M17" s="134"/>
      <c r="N17" s="276" t="str">
        <f>IF(M17="","",IF(VLOOKUP(M17,'G-3 Multipliers'!$S$3:$T$10,2,FALSE)=0,"Spatial Data Missing ⚠",VLOOKUP(M17,'G-3 Multipliers'!$S$3:$T$10,2,FALSE)))</f>
        <v/>
      </c>
      <c r="O17" s="275" t="str">
        <f>IF(OR(D17="",H17=""),"",(INDEX('G-6 Hedgerow Data'!$E$3:$I$15,MATCH(D17,'G-6 Hedgerow Data'!$B$3:$B$15,0),MATCH(H17,'G-6 Hedgerow Data'!$E$2:$I$2,0))))</f>
        <v/>
      </c>
      <c r="P17" s="133"/>
      <c r="Q17" s="133"/>
      <c r="R17" s="283" t="str">
        <f t="shared" si="1"/>
        <v/>
      </c>
      <c r="S17" s="296" t="str">
        <f t="shared" si="2"/>
        <v/>
      </c>
      <c r="T17" s="297" t="str">
        <f t="shared" si="0"/>
        <v/>
      </c>
      <c r="U17" s="311" t="str">
        <f>IF(D17="","",VLOOKUP(D17,'G-6 Hedgerow Data'!$B$3:$AG$15,31,FALSE))</f>
        <v/>
      </c>
      <c r="V17" s="295" t="str">
        <f t="shared" si="3"/>
        <v/>
      </c>
      <c r="W17" s="283" t="str">
        <f t="shared" si="4"/>
        <v/>
      </c>
      <c r="X17" s="299" t="str">
        <f>IF(F17="","",VLOOKUP(U17,'G-3 Multipliers'!$P$3:$Q$6,2,FALSE))</f>
        <v/>
      </c>
      <c r="Y17" s="303" t="str">
        <f t="shared" si="5"/>
        <v/>
      </c>
      <c r="Z17" s="303" t="str">
        <f t="shared" si="6"/>
        <v/>
      </c>
      <c r="AA17" s="101"/>
      <c r="AB17" s="938"/>
      <c r="AC17" s="138"/>
      <c r="AD17" s="138"/>
      <c r="AE17" s="934"/>
      <c r="AH17" s="30" t="str">
        <f>IFERROR(INDEX('G-6 Hedgerow Data'!$BJ$3:$BJ$15,MATCH(D17,'G-6 Hedgerow Data'!$B$3:$B$15,0)),"")</f>
        <v/>
      </c>
    </row>
    <row r="18" spans="2:34" ht="14">
      <c r="B18" s="97">
        <v>7</v>
      </c>
      <c r="C18" s="171"/>
      <c r="D18" s="133"/>
      <c r="E18" s="115"/>
      <c r="F18" s="275" t="str">
        <f>IF(D18="","",VLOOKUP(D18,'G-6 Hedgerow Data'!$B$2:$AG$15,2,FALSE))</f>
        <v/>
      </c>
      <c r="G18" s="299" t="str">
        <f>IF(D18="","",VLOOKUP(D18,'G-6 Hedgerow Data'!$B$2:$AG$15,3,FALSE))</f>
        <v/>
      </c>
      <c r="H18" s="53"/>
      <c r="I18" s="276" t="str">
        <f>IFERROR(IF(H18="","",IF(AND(D18="Non-native and ornamental hedgerow",H18&lt;&gt;"Poor"),"Not possible ▲",(IF(AND(F18="V.Low",OR(H18="Good",H18="Moderate")),"Error ▲",VLOOKUP(H18,'G-1 All Habitats'!$Z$2:$AA$9,2,FALSE))))),"")</f>
        <v/>
      </c>
      <c r="J18" s="102"/>
      <c r="K18" s="295" t="str">
        <f>IF(J18="","",IF(VLOOKUP(J18,'G-3 Multipliers'!$L$3:$N$6,2,FALSE)=0,"Spatial Data Missing",VLOOKUP(J18,'G-3 Multipliers'!$L$3:$N$6,2,FALSE)))</f>
        <v/>
      </c>
      <c r="L18" s="299" t="str">
        <f>IF(J18="","",IF(VLOOKUP(J18,'G-3 Multipliers'!$L$3:$N$6,3,FALSE)=0,"Spatial Data Missing",VLOOKUP(J18,'G-3 Multipliers'!$L$3:$N$6,3,FALSE)))</f>
        <v/>
      </c>
      <c r="M18" s="134"/>
      <c r="N18" s="276" t="str">
        <f>IF(M18="","",IF(VLOOKUP(M18,'G-3 Multipliers'!$S$3:$T$10,2,FALSE)=0,"Spatial Data Missing ⚠",VLOOKUP(M18,'G-3 Multipliers'!$S$3:$T$10,2,FALSE)))</f>
        <v/>
      </c>
      <c r="O18" s="275" t="str">
        <f>IF(OR(D18="",H18=""),"",(INDEX('G-6 Hedgerow Data'!$E$3:$I$15,MATCH(D18,'G-6 Hedgerow Data'!$B$3:$B$15,0),MATCH(H18,'G-6 Hedgerow Data'!$E$2:$I$2,0))))</f>
        <v/>
      </c>
      <c r="P18" s="133"/>
      <c r="Q18" s="133"/>
      <c r="R18" s="283" t="str">
        <f t="shared" si="1"/>
        <v/>
      </c>
      <c r="S18" s="296" t="str">
        <f t="shared" si="2"/>
        <v/>
      </c>
      <c r="T18" s="297" t="str">
        <f t="shared" si="0"/>
        <v/>
      </c>
      <c r="U18" s="311" t="str">
        <f>IF(D18="","",VLOOKUP(D18,'G-6 Hedgerow Data'!$B$3:$AG$15,31,FALSE))</f>
        <v/>
      </c>
      <c r="V18" s="295" t="str">
        <f t="shared" si="3"/>
        <v/>
      </c>
      <c r="W18" s="283" t="str">
        <f t="shared" si="4"/>
        <v/>
      </c>
      <c r="X18" s="299" t="str">
        <f>IF(F18="","",VLOOKUP(U18,'G-3 Multipliers'!$P$3:$Q$6,2,FALSE))</f>
        <v/>
      </c>
      <c r="Y18" s="303" t="str">
        <f t="shared" si="5"/>
        <v/>
      </c>
      <c r="Z18" s="303" t="str">
        <f t="shared" si="6"/>
        <v/>
      </c>
      <c r="AA18" s="101"/>
      <c r="AB18" s="938"/>
      <c r="AC18" s="138"/>
      <c r="AD18" s="138"/>
      <c r="AE18" s="934"/>
      <c r="AH18" s="30" t="str">
        <f>IFERROR(INDEX('G-6 Hedgerow Data'!$BJ$3:$BJ$15,MATCH(D18,'G-6 Hedgerow Data'!$B$3:$B$15,0)),"")</f>
        <v/>
      </c>
    </row>
    <row r="19" spans="2:34" ht="14">
      <c r="B19" s="97">
        <v>8</v>
      </c>
      <c r="C19" s="171"/>
      <c r="D19" s="133"/>
      <c r="E19" s="115"/>
      <c r="F19" s="275" t="str">
        <f>IF(D19="","",VLOOKUP(D19,'G-6 Hedgerow Data'!$B$2:$AG$15,2,FALSE))</f>
        <v/>
      </c>
      <c r="G19" s="299" t="str">
        <f>IF(D19="","",VLOOKUP(D19,'G-6 Hedgerow Data'!$B$2:$AG$15,3,FALSE))</f>
        <v/>
      </c>
      <c r="H19" s="53"/>
      <c r="I19" s="276" t="str">
        <f>IFERROR(IF(H19="","",IF(AND(D19="Non-native and ornamental hedgerow",H19&lt;&gt;"Poor"),"Not possible ▲",(IF(AND(F19="V.Low",OR(H19="Good",H19="Moderate")),"Error ▲",VLOOKUP(H19,'G-1 All Habitats'!$Z$2:$AA$9,2,FALSE))))),"")</f>
        <v/>
      </c>
      <c r="J19" s="102"/>
      <c r="K19" s="295" t="str">
        <f>IF(J19="","",IF(VLOOKUP(J19,'G-3 Multipliers'!$L$3:$N$6,2,FALSE)=0,"Spatial Data Missing",VLOOKUP(J19,'G-3 Multipliers'!$L$3:$N$6,2,FALSE)))</f>
        <v/>
      </c>
      <c r="L19" s="299" t="str">
        <f>IF(J19="","",IF(VLOOKUP(J19,'G-3 Multipliers'!$L$3:$N$6,3,FALSE)=0,"Spatial Data Missing",VLOOKUP(J19,'G-3 Multipliers'!$L$3:$N$6,3,FALSE)))</f>
        <v/>
      </c>
      <c r="M19" s="134"/>
      <c r="N19" s="276" t="str">
        <f>IF(M19="","",IF(VLOOKUP(M19,'G-3 Multipliers'!$S$3:$T$10,2,FALSE)=0,"Spatial Data Missing ⚠",VLOOKUP(M19,'G-3 Multipliers'!$S$3:$T$10,2,FALSE)))</f>
        <v/>
      </c>
      <c r="O19" s="275" t="str">
        <f>IF(OR(D19="",H19=""),"",(INDEX('G-6 Hedgerow Data'!$E$3:$I$15,MATCH(D19,'G-6 Hedgerow Data'!$B$3:$B$15,0),MATCH(H19,'G-6 Hedgerow Data'!$E$2:$I$2,0))))</f>
        <v/>
      </c>
      <c r="P19" s="133"/>
      <c r="Q19" s="133"/>
      <c r="R19" s="283" t="str">
        <f t="shared" si="1"/>
        <v/>
      </c>
      <c r="S19" s="296" t="str">
        <f t="shared" si="2"/>
        <v/>
      </c>
      <c r="T19" s="297" t="str">
        <f t="shared" si="0"/>
        <v/>
      </c>
      <c r="U19" s="311" t="str">
        <f>IF(D19="","",VLOOKUP(D19,'G-6 Hedgerow Data'!$B$3:$AG$15,31,FALSE))</f>
        <v/>
      </c>
      <c r="V19" s="295" t="str">
        <f t="shared" si="3"/>
        <v/>
      </c>
      <c r="W19" s="283" t="str">
        <f t="shared" si="4"/>
        <v/>
      </c>
      <c r="X19" s="299" t="str">
        <f>IF(F19="","",VLOOKUP(U19,'G-3 Multipliers'!$P$3:$Q$6,2,FALSE))</f>
        <v/>
      </c>
      <c r="Y19" s="303" t="str">
        <f t="shared" si="5"/>
        <v/>
      </c>
      <c r="Z19" s="303" t="str">
        <f t="shared" si="6"/>
        <v/>
      </c>
      <c r="AA19" s="101"/>
      <c r="AB19" s="938"/>
      <c r="AC19" s="138"/>
      <c r="AD19" s="138"/>
      <c r="AE19" s="934"/>
      <c r="AH19" s="30" t="str">
        <f>IFERROR(INDEX('G-6 Hedgerow Data'!$BJ$3:$BJ$15,MATCH(D19,'G-6 Hedgerow Data'!$B$3:$B$15,0)),"")</f>
        <v/>
      </c>
    </row>
    <row r="20" spans="2:34" ht="14">
      <c r="B20" s="97">
        <v>9</v>
      </c>
      <c r="C20" s="171"/>
      <c r="D20" s="133"/>
      <c r="E20" s="115"/>
      <c r="F20" s="275" t="str">
        <f>IF(D20="","",VLOOKUP(D20,'G-6 Hedgerow Data'!$B$2:$AG$15,2,FALSE))</f>
        <v/>
      </c>
      <c r="G20" s="299" t="str">
        <f>IF(D20="","",VLOOKUP(D20,'G-6 Hedgerow Data'!$B$2:$AG$15,3,FALSE))</f>
        <v/>
      </c>
      <c r="H20" s="53"/>
      <c r="I20" s="276" t="str">
        <f>IFERROR(IF(H20="","",IF(AND(D20="Non-native and ornamental hedgerow",H20&lt;&gt;"Poor"),"Not possible ▲",(IF(AND(F20="V.Low",OR(H20="Good",H20="Moderate")),"Error ▲",VLOOKUP(H20,'G-1 All Habitats'!$Z$2:$AA$9,2,FALSE))))),"")</f>
        <v/>
      </c>
      <c r="J20" s="102"/>
      <c r="K20" s="295" t="str">
        <f>IF(J20="","",IF(VLOOKUP(J20,'G-3 Multipliers'!$L$3:$N$6,2,FALSE)=0,"Spatial Data Missing",VLOOKUP(J20,'G-3 Multipliers'!$L$3:$N$6,2,FALSE)))</f>
        <v/>
      </c>
      <c r="L20" s="299" t="str">
        <f>IF(J20="","",IF(VLOOKUP(J20,'G-3 Multipliers'!$L$3:$N$6,3,FALSE)=0,"Spatial Data Missing",VLOOKUP(J20,'G-3 Multipliers'!$L$3:$N$6,3,FALSE)))</f>
        <v/>
      </c>
      <c r="M20" s="134"/>
      <c r="N20" s="276" t="str">
        <f>IF(M20="","",IF(VLOOKUP(M20,'G-3 Multipliers'!$S$3:$T$10,2,FALSE)=0,"Spatial Data Missing ⚠",VLOOKUP(M20,'G-3 Multipliers'!$S$3:$T$10,2,FALSE)))</f>
        <v/>
      </c>
      <c r="O20" s="275" t="str">
        <f>IF(OR(D20="",H20=""),"",(INDEX('G-6 Hedgerow Data'!$E$3:$I$15,MATCH(D20,'G-6 Hedgerow Data'!$B$3:$B$15,0),MATCH(H20,'G-6 Hedgerow Data'!$E$2:$I$2,0))))</f>
        <v/>
      </c>
      <c r="P20" s="133"/>
      <c r="Q20" s="133"/>
      <c r="R20" s="283" t="str">
        <f t="shared" si="1"/>
        <v/>
      </c>
      <c r="S20" s="296" t="str">
        <f t="shared" si="2"/>
        <v/>
      </c>
      <c r="T20" s="297" t="str">
        <f t="shared" si="0"/>
        <v/>
      </c>
      <c r="U20" s="311" t="str">
        <f>IF(D20="","",VLOOKUP(D20,'G-6 Hedgerow Data'!$B$3:$AG$15,31,FALSE))</f>
        <v/>
      </c>
      <c r="V20" s="295" t="str">
        <f t="shared" si="3"/>
        <v/>
      </c>
      <c r="W20" s="283" t="str">
        <f t="shared" si="4"/>
        <v/>
      </c>
      <c r="X20" s="299" t="str">
        <f>IF(F20="","",VLOOKUP(U20,'G-3 Multipliers'!$P$3:$Q$6,2,FALSE))</f>
        <v/>
      </c>
      <c r="Y20" s="303" t="str">
        <f t="shared" si="5"/>
        <v/>
      </c>
      <c r="Z20" s="303" t="str">
        <f t="shared" si="6"/>
        <v/>
      </c>
      <c r="AA20" s="101"/>
      <c r="AB20" s="938"/>
      <c r="AC20" s="138"/>
      <c r="AD20" s="138"/>
      <c r="AE20" s="934"/>
      <c r="AH20" s="30" t="str">
        <f>IFERROR(INDEX('G-6 Hedgerow Data'!$BJ$3:$BJ$15,MATCH(D20,'G-6 Hedgerow Data'!$B$3:$B$15,0)),"")</f>
        <v/>
      </c>
    </row>
    <row r="21" spans="2:34" ht="14">
      <c r="B21" s="97">
        <v>10</v>
      </c>
      <c r="C21" s="171"/>
      <c r="D21" s="133"/>
      <c r="E21" s="115"/>
      <c r="F21" s="275" t="str">
        <f>IF(D21="","",VLOOKUP(D21,'G-6 Hedgerow Data'!$B$2:$AG$15,2,FALSE))</f>
        <v/>
      </c>
      <c r="G21" s="299" t="str">
        <f>IF(D21="","",VLOOKUP(D21,'G-6 Hedgerow Data'!$B$2:$AG$15,3,FALSE))</f>
        <v/>
      </c>
      <c r="H21" s="53"/>
      <c r="I21" s="276" t="str">
        <f>IFERROR(IF(H21="","",IF(AND(D21="Non-native and ornamental hedgerow",H21&lt;&gt;"Poor"),"Not possible ▲",(IF(AND(F21="V.Low",OR(H21="Good",H21="Moderate")),"Error ▲",VLOOKUP(H21,'G-1 All Habitats'!$Z$2:$AA$9,2,FALSE))))),"")</f>
        <v/>
      </c>
      <c r="J21" s="102"/>
      <c r="K21" s="295" t="str">
        <f>IF(J21="","",IF(VLOOKUP(J21,'G-3 Multipliers'!$L$3:$N$6,2,FALSE)=0,"Spatial Data Missing",VLOOKUP(J21,'G-3 Multipliers'!$L$3:$N$6,2,FALSE)))</f>
        <v/>
      </c>
      <c r="L21" s="299" t="str">
        <f>IF(J21="","",IF(VLOOKUP(J21,'G-3 Multipliers'!$L$3:$N$6,3,FALSE)=0,"Spatial Data Missing",VLOOKUP(J21,'G-3 Multipliers'!$L$3:$N$6,3,FALSE)))</f>
        <v/>
      </c>
      <c r="M21" s="134"/>
      <c r="N21" s="276" t="str">
        <f>IF(M21="","",IF(VLOOKUP(M21,'G-3 Multipliers'!$S$3:$T$10,2,FALSE)=0,"Spatial Data Missing ⚠",VLOOKUP(M21,'G-3 Multipliers'!$S$3:$T$10,2,FALSE)))</f>
        <v/>
      </c>
      <c r="O21" s="275" t="str">
        <f>IF(OR(D21="",H21=""),"",(INDEX('G-6 Hedgerow Data'!$E$3:$I$15,MATCH(D21,'G-6 Hedgerow Data'!$B$3:$B$15,0),MATCH(H21,'G-6 Hedgerow Data'!$E$2:$I$2,0))))</f>
        <v/>
      </c>
      <c r="P21" s="133"/>
      <c r="Q21" s="133"/>
      <c r="R21" s="283" t="str">
        <f t="shared" si="1"/>
        <v/>
      </c>
      <c r="S21" s="296" t="str">
        <f t="shared" si="2"/>
        <v/>
      </c>
      <c r="T21" s="297" t="str">
        <f t="shared" si="0"/>
        <v/>
      </c>
      <c r="U21" s="311" t="str">
        <f>IF(D21="","",VLOOKUP(D21,'G-6 Hedgerow Data'!$B$3:$AG$15,31,FALSE))</f>
        <v/>
      </c>
      <c r="V21" s="295" t="str">
        <f t="shared" si="3"/>
        <v/>
      </c>
      <c r="W21" s="283" t="str">
        <f t="shared" si="4"/>
        <v/>
      </c>
      <c r="X21" s="299" t="str">
        <f>IF(F21="","",VLOOKUP(U21,'G-3 Multipliers'!$P$3:$Q$6,2,FALSE))</f>
        <v/>
      </c>
      <c r="Y21" s="303" t="str">
        <f t="shared" si="5"/>
        <v/>
      </c>
      <c r="Z21" s="303" t="str">
        <f t="shared" si="6"/>
        <v/>
      </c>
      <c r="AA21" s="101"/>
      <c r="AB21" s="938"/>
      <c r="AC21" s="138"/>
      <c r="AD21" s="138"/>
      <c r="AE21" s="934"/>
      <c r="AH21" s="30" t="str">
        <f>IFERROR(INDEX('G-6 Hedgerow Data'!$BJ$3:$BJ$15,MATCH(D21,'G-6 Hedgerow Data'!$B$3:$B$15,0)),"")</f>
        <v/>
      </c>
    </row>
    <row r="22" spans="2:34" ht="14">
      <c r="B22" s="97">
        <v>11</v>
      </c>
      <c r="C22" s="171"/>
      <c r="D22" s="133"/>
      <c r="E22" s="115"/>
      <c r="F22" s="275" t="str">
        <f>IF(D22="","",VLOOKUP(D22,'G-6 Hedgerow Data'!$B$2:$AG$15,2,FALSE))</f>
        <v/>
      </c>
      <c r="G22" s="299" t="str">
        <f>IF(D22="","",VLOOKUP(D22,'G-6 Hedgerow Data'!$B$2:$AG$15,3,FALSE))</f>
        <v/>
      </c>
      <c r="H22" s="53"/>
      <c r="I22" s="276" t="str">
        <f>IFERROR(IF(H22="","",IF(AND(D22="Non-native and ornamental hedgerow",H22&lt;&gt;"Poor"),"Not possible ▲",(IF(AND(F22="V.Low",OR(H22="Good",H22="Moderate")),"Error ▲",VLOOKUP(H22,'G-1 All Habitats'!$Z$2:$AA$9,2,FALSE))))),"")</f>
        <v/>
      </c>
      <c r="J22" s="102"/>
      <c r="K22" s="295" t="str">
        <f>IF(J22="","",IF(VLOOKUP(J22,'G-3 Multipliers'!$L$3:$N$6,2,FALSE)=0,"Spatial Data Missing",VLOOKUP(J22,'G-3 Multipliers'!$L$3:$N$6,2,FALSE)))</f>
        <v/>
      </c>
      <c r="L22" s="299" t="str">
        <f>IF(J22="","",IF(VLOOKUP(J22,'G-3 Multipliers'!$L$3:$N$6,3,FALSE)=0,"Spatial Data Missing",VLOOKUP(J22,'G-3 Multipliers'!$L$3:$N$6,3,FALSE)))</f>
        <v/>
      </c>
      <c r="M22" s="134"/>
      <c r="N22" s="276" t="str">
        <f>IF(M22="","",IF(VLOOKUP(M22,'G-3 Multipliers'!$S$3:$T$10,2,FALSE)=0,"Spatial Data Missing ⚠",VLOOKUP(M22,'G-3 Multipliers'!$S$3:$T$10,2,FALSE)))</f>
        <v/>
      </c>
      <c r="O22" s="275" t="str">
        <f>IF(OR(D22="",H22=""),"",(INDEX('G-6 Hedgerow Data'!$E$3:$I$15,MATCH(D22,'G-6 Hedgerow Data'!$B$3:$B$15,0),MATCH(H22,'G-6 Hedgerow Data'!$E$2:$I$2,0))))</f>
        <v/>
      </c>
      <c r="P22" s="133"/>
      <c r="Q22" s="133"/>
      <c r="R22" s="283" t="str">
        <f t="shared" si="1"/>
        <v/>
      </c>
      <c r="S22" s="296" t="str">
        <f t="shared" si="2"/>
        <v/>
      </c>
      <c r="T22" s="297" t="str">
        <f t="shared" si="0"/>
        <v/>
      </c>
      <c r="U22" s="311" t="str">
        <f>IF(D22="","",VLOOKUP(D22,'G-6 Hedgerow Data'!$B$3:$AG$15,31,FALSE))</f>
        <v/>
      </c>
      <c r="V22" s="295" t="str">
        <f t="shared" si="3"/>
        <v/>
      </c>
      <c r="W22" s="283" t="str">
        <f t="shared" si="4"/>
        <v/>
      </c>
      <c r="X22" s="299" t="str">
        <f>IF(F22="","",VLOOKUP(U22,'G-3 Multipliers'!$P$3:$Q$6,2,FALSE))</f>
        <v/>
      </c>
      <c r="Y22" s="303" t="str">
        <f t="shared" si="5"/>
        <v/>
      </c>
      <c r="Z22" s="303" t="str">
        <f t="shared" si="6"/>
        <v/>
      </c>
      <c r="AA22" s="101"/>
      <c r="AB22" s="938"/>
      <c r="AC22" s="138"/>
      <c r="AD22" s="138"/>
      <c r="AE22" s="934"/>
      <c r="AH22" s="30" t="str">
        <f>IFERROR(INDEX('G-6 Hedgerow Data'!$BJ$3:$BJ$15,MATCH(D22,'G-6 Hedgerow Data'!$B$3:$B$15,0)),"")</f>
        <v/>
      </c>
    </row>
    <row r="23" spans="2:34" ht="14">
      <c r="B23" s="97">
        <v>12</v>
      </c>
      <c r="C23" s="171"/>
      <c r="D23" s="133"/>
      <c r="E23" s="115"/>
      <c r="F23" s="275" t="str">
        <f>IF(D23="","",VLOOKUP(D23,'G-6 Hedgerow Data'!$B$2:$AG$15,2,FALSE))</f>
        <v/>
      </c>
      <c r="G23" s="299" t="str">
        <f>IF(D23="","",VLOOKUP(D23,'G-6 Hedgerow Data'!$B$2:$AG$15,3,FALSE))</f>
        <v/>
      </c>
      <c r="H23" s="53"/>
      <c r="I23" s="276" t="str">
        <f>IFERROR(IF(H23="","",IF(AND(D23="Non-native and ornamental hedgerow",H23&lt;&gt;"Poor"),"Not possible ▲",(IF(AND(F23="V.Low",OR(H23="Good",H23="Moderate")),"Error ▲",VLOOKUP(H23,'G-1 All Habitats'!$Z$2:$AA$9,2,FALSE))))),"")</f>
        <v/>
      </c>
      <c r="J23" s="102"/>
      <c r="K23" s="295" t="str">
        <f>IF(J23="","",IF(VLOOKUP(J23,'G-3 Multipliers'!$L$3:$N$6,2,FALSE)=0,"Spatial Data Missing",VLOOKUP(J23,'G-3 Multipliers'!$L$3:$N$6,2,FALSE)))</f>
        <v/>
      </c>
      <c r="L23" s="299" t="str">
        <f>IF(J23="","",IF(VLOOKUP(J23,'G-3 Multipliers'!$L$3:$N$6,3,FALSE)=0,"Spatial Data Missing",VLOOKUP(J23,'G-3 Multipliers'!$L$3:$N$6,3,FALSE)))</f>
        <v/>
      </c>
      <c r="M23" s="134"/>
      <c r="N23" s="276" t="str">
        <f>IF(M23="","",IF(VLOOKUP(M23,'G-3 Multipliers'!$S$3:$T$10,2,FALSE)=0,"Spatial Data Missing ⚠",VLOOKUP(M23,'G-3 Multipliers'!$S$3:$T$10,2,FALSE)))</f>
        <v/>
      </c>
      <c r="O23" s="275" t="str">
        <f>IF(OR(D23="",H23=""),"",(INDEX('G-6 Hedgerow Data'!$E$3:$I$15,MATCH(D23,'G-6 Hedgerow Data'!$B$3:$B$15,0),MATCH(H23,'G-6 Hedgerow Data'!$E$2:$I$2,0))))</f>
        <v/>
      </c>
      <c r="P23" s="133"/>
      <c r="Q23" s="133"/>
      <c r="R23" s="283" t="str">
        <f t="shared" si="1"/>
        <v/>
      </c>
      <c r="S23" s="296" t="str">
        <f t="shared" si="2"/>
        <v/>
      </c>
      <c r="T23" s="297" t="str">
        <f t="shared" si="0"/>
        <v/>
      </c>
      <c r="U23" s="311" t="str">
        <f>IF(D23="","",VLOOKUP(D23,'G-6 Hedgerow Data'!$B$3:$AG$15,31,FALSE))</f>
        <v/>
      </c>
      <c r="V23" s="295" t="str">
        <f t="shared" si="3"/>
        <v/>
      </c>
      <c r="W23" s="283" t="str">
        <f t="shared" si="4"/>
        <v/>
      </c>
      <c r="X23" s="299" t="str">
        <f>IF(F23="","",VLOOKUP(U23,'G-3 Multipliers'!$P$3:$Q$6,2,FALSE))</f>
        <v/>
      </c>
      <c r="Y23" s="303" t="str">
        <f t="shared" si="5"/>
        <v/>
      </c>
      <c r="Z23" s="303" t="str">
        <f t="shared" si="6"/>
        <v/>
      </c>
      <c r="AA23" s="101"/>
      <c r="AB23" s="938"/>
      <c r="AC23" s="138"/>
      <c r="AD23" s="138"/>
      <c r="AE23" s="934"/>
      <c r="AH23" s="30" t="str">
        <f>IFERROR(INDEX('G-6 Hedgerow Data'!$BJ$3:$BJ$15,MATCH(D23,'G-6 Hedgerow Data'!$B$3:$B$15,0)),"")</f>
        <v/>
      </c>
    </row>
    <row r="24" spans="2:34" ht="14">
      <c r="B24" s="97">
        <v>13</v>
      </c>
      <c r="C24" s="171"/>
      <c r="D24" s="133"/>
      <c r="E24" s="115"/>
      <c r="F24" s="275" t="str">
        <f>IF(D24="","",VLOOKUP(D24,'G-6 Hedgerow Data'!$B$2:$AG$15,2,FALSE))</f>
        <v/>
      </c>
      <c r="G24" s="299" t="str">
        <f>IF(D24="","",VLOOKUP(D24,'G-6 Hedgerow Data'!$B$2:$AG$15,3,FALSE))</f>
        <v/>
      </c>
      <c r="H24" s="53"/>
      <c r="I24" s="276" t="str">
        <f>IFERROR(IF(H24="","",IF(AND(D24="Non-native and ornamental hedgerow",H24&lt;&gt;"Poor"),"Not possible ▲",(IF(AND(F24="V.Low",OR(H24="Good",H24="Moderate")),"Error ▲",VLOOKUP(H24,'G-1 All Habitats'!$Z$2:$AA$9,2,FALSE))))),"")</f>
        <v/>
      </c>
      <c r="J24" s="102"/>
      <c r="K24" s="295" t="str">
        <f>IF(J24="","",IF(VLOOKUP(J24,'G-3 Multipliers'!$L$3:$N$6,2,FALSE)=0,"Spatial Data Missing",VLOOKUP(J24,'G-3 Multipliers'!$L$3:$N$6,2,FALSE)))</f>
        <v/>
      </c>
      <c r="L24" s="299" t="str">
        <f>IF(J24="","",IF(VLOOKUP(J24,'G-3 Multipliers'!$L$3:$N$6,3,FALSE)=0,"Spatial Data Missing",VLOOKUP(J24,'G-3 Multipliers'!$L$3:$N$6,3,FALSE)))</f>
        <v/>
      </c>
      <c r="M24" s="134"/>
      <c r="N24" s="276" t="str">
        <f>IF(M24="","",IF(VLOOKUP(M24,'G-3 Multipliers'!$S$3:$T$10,2,FALSE)=0,"Spatial Data Missing ⚠",VLOOKUP(M24,'G-3 Multipliers'!$S$3:$T$10,2,FALSE)))</f>
        <v/>
      </c>
      <c r="O24" s="275" t="str">
        <f>IF(OR(D24="",H24=""),"",(INDEX('G-6 Hedgerow Data'!$E$3:$I$15,MATCH(D24,'G-6 Hedgerow Data'!$B$3:$B$15,0),MATCH(H24,'G-6 Hedgerow Data'!$E$2:$I$2,0))))</f>
        <v/>
      </c>
      <c r="P24" s="133"/>
      <c r="Q24" s="133"/>
      <c r="R24" s="283" t="str">
        <f t="shared" si="1"/>
        <v/>
      </c>
      <c r="S24" s="296" t="str">
        <f t="shared" si="2"/>
        <v/>
      </c>
      <c r="T24" s="297" t="str">
        <f t="shared" si="0"/>
        <v/>
      </c>
      <c r="U24" s="311" t="str">
        <f>IF(D24="","",VLOOKUP(D24,'G-6 Hedgerow Data'!$B$3:$AG$15,31,FALSE))</f>
        <v/>
      </c>
      <c r="V24" s="295" t="str">
        <f t="shared" si="3"/>
        <v/>
      </c>
      <c r="W24" s="283" t="str">
        <f t="shared" si="4"/>
        <v/>
      </c>
      <c r="X24" s="299" t="str">
        <f>IF(F24="","",VLOOKUP(U24,'G-3 Multipliers'!$P$3:$Q$6,2,FALSE))</f>
        <v/>
      </c>
      <c r="Y24" s="303" t="str">
        <f t="shared" si="5"/>
        <v/>
      </c>
      <c r="Z24" s="303" t="str">
        <f t="shared" si="6"/>
        <v/>
      </c>
      <c r="AA24" s="101"/>
      <c r="AB24" s="938"/>
      <c r="AC24" s="138"/>
      <c r="AD24" s="138"/>
      <c r="AE24" s="934"/>
      <c r="AH24" s="30" t="str">
        <f>IFERROR(INDEX('G-6 Hedgerow Data'!$BJ$3:$BJ$15,MATCH(D24,'G-6 Hedgerow Data'!$B$3:$B$15,0)),"")</f>
        <v/>
      </c>
    </row>
    <row r="25" spans="2:34" ht="14">
      <c r="B25" s="97">
        <v>14</v>
      </c>
      <c r="C25" s="171"/>
      <c r="D25" s="133"/>
      <c r="E25" s="115"/>
      <c r="F25" s="275" t="str">
        <f>IF(D25="","",VLOOKUP(D25,'G-6 Hedgerow Data'!$B$2:$AG$15,2,FALSE))</f>
        <v/>
      </c>
      <c r="G25" s="299" t="str">
        <f>IF(D25="","",VLOOKUP(D25,'G-6 Hedgerow Data'!$B$2:$AG$15,3,FALSE))</f>
        <v/>
      </c>
      <c r="H25" s="53"/>
      <c r="I25" s="276" t="str">
        <f>IFERROR(IF(H25="","",IF(AND(D25="Non-native and ornamental hedgerow",H25&lt;&gt;"Poor"),"Not possible ▲",(IF(AND(F25="V.Low",OR(H25="Good",H25="Moderate")),"Error ▲",VLOOKUP(H25,'G-1 All Habitats'!$Z$2:$AA$9,2,FALSE))))),"")</f>
        <v/>
      </c>
      <c r="J25" s="102"/>
      <c r="K25" s="295" t="str">
        <f>IF(J25="","",IF(VLOOKUP(J25,'G-3 Multipliers'!$L$3:$N$6,2,FALSE)=0,"Spatial Data Missing",VLOOKUP(J25,'G-3 Multipliers'!$L$3:$N$6,2,FALSE)))</f>
        <v/>
      </c>
      <c r="L25" s="299" t="str">
        <f>IF(J25="","",IF(VLOOKUP(J25,'G-3 Multipliers'!$L$3:$N$6,3,FALSE)=0,"Spatial Data Missing",VLOOKUP(J25,'G-3 Multipliers'!$L$3:$N$6,3,FALSE)))</f>
        <v/>
      </c>
      <c r="M25" s="134"/>
      <c r="N25" s="276" t="str">
        <f>IF(M25="","",IF(VLOOKUP(M25,'G-3 Multipliers'!$S$3:$T$10,2,FALSE)=0,"Spatial Data Missing ⚠",VLOOKUP(M25,'G-3 Multipliers'!$S$3:$T$10,2,FALSE)))</f>
        <v/>
      </c>
      <c r="O25" s="275" t="str">
        <f>IF(OR(D25="",H25=""),"",(INDEX('G-6 Hedgerow Data'!$E$3:$I$15,MATCH(D25,'G-6 Hedgerow Data'!$B$3:$B$15,0),MATCH(H25,'G-6 Hedgerow Data'!$E$2:$I$2,0))))</f>
        <v/>
      </c>
      <c r="P25" s="133"/>
      <c r="Q25" s="133"/>
      <c r="R25" s="283" t="str">
        <f t="shared" si="1"/>
        <v/>
      </c>
      <c r="S25" s="296" t="str">
        <f t="shared" si="2"/>
        <v/>
      </c>
      <c r="T25" s="297" t="str">
        <f t="shared" si="0"/>
        <v/>
      </c>
      <c r="U25" s="311" t="str">
        <f>IF(D25="","",VLOOKUP(D25,'G-6 Hedgerow Data'!$B$3:$AG$15,31,FALSE))</f>
        <v/>
      </c>
      <c r="V25" s="295" t="str">
        <f t="shared" si="3"/>
        <v/>
      </c>
      <c r="W25" s="283" t="str">
        <f t="shared" si="4"/>
        <v/>
      </c>
      <c r="X25" s="299" t="str">
        <f>IF(F25="","",VLOOKUP(U25,'G-3 Multipliers'!$P$3:$Q$6,2,FALSE))</f>
        <v/>
      </c>
      <c r="Y25" s="303" t="str">
        <f t="shared" si="5"/>
        <v/>
      </c>
      <c r="Z25" s="303" t="str">
        <f t="shared" si="6"/>
        <v/>
      </c>
      <c r="AA25" s="101"/>
      <c r="AB25" s="938"/>
      <c r="AC25" s="138"/>
      <c r="AD25" s="138"/>
      <c r="AE25" s="934"/>
      <c r="AH25" s="30" t="str">
        <f>IFERROR(INDEX('G-6 Hedgerow Data'!$BJ$3:$BJ$15,MATCH(D25,'G-6 Hedgerow Data'!$B$3:$B$15,0)),"")</f>
        <v/>
      </c>
    </row>
    <row r="26" spans="2:34" ht="14">
      <c r="B26" s="97">
        <v>15</v>
      </c>
      <c r="C26" s="171"/>
      <c r="D26" s="133"/>
      <c r="E26" s="115"/>
      <c r="F26" s="275" t="str">
        <f>IF(D26="","",VLOOKUP(D26,'G-6 Hedgerow Data'!$B$2:$AG$15,2,FALSE))</f>
        <v/>
      </c>
      <c r="G26" s="299" t="str">
        <f>IF(D26="","",VLOOKUP(D26,'G-6 Hedgerow Data'!$B$2:$AG$15,3,FALSE))</f>
        <v/>
      </c>
      <c r="H26" s="53"/>
      <c r="I26" s="276" t="str">
        <f>IFERROR(IF(H26="","",IF(AND(D26="Non-native and ornamental hedgerow",H26&lt;&gt;"Poor"),"Not possible ▲",(IF(AND(F26="V.Low",OR(H26="Good",H26="Moderate")),"Error ▲",VLOOKUP(H26,'G-1 All Habitats'!$Z$2:$AA$9,2,FALSE))))),"")</f>
        <v/>
      </c>
      <c r="J26" s="102"/>
      <c r="K26" s="295" t="str">
        <f>IF(J26="","",IF(VLOOKUP(J26,'G-3 Multipliers'!$L$3:$N$6,2,FALSE)=0,"Spatial Data Missing",VLOOKUP(J26,'G-3 Multipliers'!$L$3:$N$6,2,FALSE)))</f>
        <v/>
      </c>
      <c r="L26" s="299" t="str">
        <f>IF(J26="","",IF(VLOOKUP(J26,'G-3 Multipliers'!$L$3:$N$6,3,FALSE)=0,"Spatial Data Missing",VLOOKUP(J26,'G-3 Multipliers'!$L$3:$N$6,3,FALSE)))</f>
        <v/>
      </c>
      <c r="M26" s="134"/>
      <c r="N26" s="276" t="str">
        <f>IF(M26="","",IF(VLOOKUP(M26,'G-3 Multipliers'!$S$3:$T$10,2,FALSE)=0,"Spatial Data Missing ⚠",VLOOKUP(M26,'G-3 Multipliers'!$S$3:$T$10,2,FALSE)))</f>
        <v/>
      </c>
      <c r="O26" s="275" t="str">
        <f>IF(OR(D26="",H26=""),"",(INDEX('G-6 Hedgerow Data'!$E$3:$I$15,MATCH(D26,'G-6 Hedgerow Data'!$B$3:$B$15,0),MATCH(H26,'G-6 Hedgerow Data'!$E$2:$I$2,0))))</f>
        <v/>
      </c>
      <c r="P26" s="133"/>
      <c r="Q26" s="133"/>
      <c r="R26" s="283" t="str">
        <f t="shared" si="1"/>
        <v/>
      </c>
      <c r="S26" s="296" t="str">
        <f t="shared" si="2"/>
        <v/>
      </c>
      <c r="T26" s="297" t="str">
        <f t="shared" si="0"/>
        <v/>
      </c>
      <c r="U26" s="311" t="str">
        <f>IF(D26="","",VLOOKUP(D26,'G-6 Hedgerow Data'!$B$3:$AG$15,31,FALSE))</f>
        <v/>
      </c>
      <c r="V26" s="295" t="str">
        <f t="shared" si="3"/>
        <v/>
      </c>
      <c r="W26" s="283" t="str">
        <f t="shared" si="4"/>
        <v/>
      </c>
      <c r="X26" s="299" t="str">
        <f>IF(F26="","",VLOOKUP(U26,'G-3 Multipliers'!$P$3:$Q$6,2,FALSE))</f>
        <v/>
      </c>
      <c r="Y26" s="303" t="str">
        <f t="shared" si="5"/>
        <v/>
      </c>
      <c r="Z26" s="303" t="str">
        <f t="shared" si="6"/>
        <v/>
      </c>
      <c r="AA26" s="101"/>
      <c r="AB26" s="938"/>
      <c r="AC26" s="138"/>
      <c r="AD26" s="138"/>
      <c r="AE26" s="934"/>
      <c r="AH26" s="30" t="str">
        <f>IFERROR(INDEX('G-6 Hedgerow Data'!$BJ$3:$BJ$15,MATCH(D26,'G-6 Hedgerow Data'!$B$3:$B$15,0)),"")</f>
        <v/>
      </c>
    </row>
    <row r="27" spans="2:34" ht="14">
      <c r="B27" s="97">
        <v>16</v>
      </c>
      <c r="C27" s="171"/>
      <c r="D27" s="133"/>
      <c r="E27" s="115"/>
      <c r="F27" s="275" t="str">
        <f>IF(D27="","",VLOOKUP(D27,'G-6 Hedgerow Data'!$B$2:$AG$15,2,FALSE))</f>
        <v/>
      </c>
      <c r="G27" s="299" t="str">
        <f>IF(D27="","",VLOOKUP(D27,'G-6 Hedgerow Data'!$B$2:$AG$15,3,FALSE))</f>
        <v/>
      </c>
      <c r="H27" s="53"/>
      <c r="I27" s="276" t="str">
        <f>IFERROR(IF(H27="","",IF(AND(D27="Non-native and ornamental hedgerow",H27&lt;&gt;"Poor"),"Not possible ▲",(IF(AND(F27="V.Low",OR(H27="Good",H27="Moderate")),"Error ▲",VLOOKUP(H27,'G-1 All Habitats'!$Z$2:$AA$9,2,FALSE))))),"")</f>
        <v/>
      </c>
      <c r="J27" s="102"/>
      <c r="K27" s="295" t="str">
        <f>IF(J27="","",IF(VLOOKUP(J27,'G-3 Multipliers'!$L$3:$N$6,2,FALSE)=0,"Spatial Data Missing",VLOOKUP(J27,'G-3 Multipliers'!$L$3:$N$6,2,FALSE)))</f>
        <v/>
      </c>
      <c r="L27" s="299" t="str">
        <f>IF(J27="","",IF(VLOOKUP(J27,'G-3 Multipliers'!$L$3:$N$6,3,FALSE)=0,"Spatial Data Missing",VLOOKUP(J27,'G-3 Multipliers'!$L$3:$N$6,3,FALSE)))</f>
        <v/>
      </c>
      <c r="M27" s="134"/>
      <c r="N27" s="276" t="str">
        <f>IF(M27="","",IF(VLOOKUP(M27,'G-3 Multipliers'!$S$3:$T$10,2,FALSE)=0,"Spatial Data Missing ⚠",VLOOKUP(M27,'G-3 Multipliers'!$S$3:$T$10,2,FALSE)))</f>
        <v/>
      </c>
      <c r="O27" s="275" t="str">
        <f>IF(OR(D27="",H27=""),"",(INDEX('G-6 Hedgerow Data'!$E$3:$I$15,MATCH(D27,'G-6 Hedgerow Data'!$B$3:$B$15,0),MATCH(H27,'G-6 Hedgerow Data'!$E$2:$I$2,0))))</f>
        <v/>
      </c>
      <c r="P27" s="133"/>
      <c r="Q27" s="133"/>
      <c r="R27" s="283" t="str">
        <f t="shared" si="1"/>
        <v/>
      </c>
      <c r="S27" s="296" t="str">
        <f t="shared" si="2"/>
        <v/>
      </c>
      <c r="T27" s="297" t="str">
        <f t="shared" si="0"/>
        <v/>
      </c>
      <c r="U27" s="311" t="str">
        <f>IF(D27="","",VLOOKUP(D27,'G-6 Hedgerow Data'!$B$3:$AG$15,31,FALSE))</f>
        <v/>
      </c>
      <c r="V27" s="295" t="str">
        <f t="shared" si="3"/>
        <v/>
      </c>
      <c r="W27" s="283" t="str">
        <f t="shared" si="4"/>
        <v/>
      </c>
      <c r="X27" s="299" t="str">
        <f>IF(F27="","",VLOOKUP(U27,'G-3 Multipliers'!$P$3:$Q$6,2,FALSE))</f>
        <v/>
      </c>
      <c r="Y27" s="303" t="str">
        <f t="shared" si="5"/>
        <v/>
      </c>
      <c r="Z27" s="303" t="str">
        <f t="shared" si="6"/>
        <v/>
      </c>
      <c r="AA27" s="101"/>
      <c r="AB27" s="938"/>
      <c r="AC27" s="138"/>
      <c r="AD27" s="138"/>
      <c r="AE27" s="934"/>
      <c r="AH27" s="30" t="str">
        <f>IFERROR(INDEX('G-6 Hedgerow Data'!$BJ$3:$BJ$15,MATCH(D27,'G-6 Hedgerow Data'!$B$3:$B$15,0)),"")</f>
        <v/>
      </c>
    </row>
    <row r="28" spans="2:34" ht="14">
      <c r="B28" s="97">
        <v>17</v>
      </c>
      <c r="C28" s="171"/>
      <c r="D28" s="58"/>
      <c r="E28" s="138"/>
      <c r="F28" s="275" t="str">
        <f>IF(D28="","",VLOOKUP(D28,'G-6 Hedgerow Data'!$B$2:$AG$15,2,FALSE))</f>
        <v/>
      </c>
      <c r="G28" s="299" t="str">
        <f>IF(D28="","",VLOOKUP(D28,'G-6 Hedgerow Data'!$B$2:$AG$15,3,FALSE))</f>
        <v/>
      </c>
      <c r="H28" s="53"/>
      <c r="I28" s="276" t="str">
        <f>IFERROR(IF(H28="","",IF(AND(D28="Non-native and ornamental hedgerow",H28&lt;&gt;"Poor"),"Not possible ▲",(IF(AND(F28="V.Low",OR(H28="Good",H28="Moderate")),"Error ▲",VLOOKUP(H28,'G-1 All Habitats'!$Z$2:$AA$9,2,FALSE))))),"")</f>
        <v/>
      </c>
      <c r="J28" s="102"/>
      <c r="K28" s="295" t="str">
        <f>IF(J28="","",IF(VLOOKUP(J28,'G-3 Multipliers'!$L$3:$N$6,2,FALSE)=0,"Spatial Data Missing",VLOOKUP(J28,'G-3 Multipliers'!$L$3:$N$6,2,FALSE)))</f>
        <v/>
      </c>
      <c r="L28" s="299" t="str">
        <f>IF(J28="","",IF(VLOOKUP(J28,'G-3 Multipliers'!$L$3:$N$6,3,FALSE)=0,"Spatial Data Missing",VLOOKUP(J28,'G-3 Multipliers'!$L$3:$N$6,3,FALSE)))</f>
        <v/>
      </c>
      <c r="M28" s="134"/>
      <c r="N28" s="276" t="str">
        <f>IF(M28="","",IF(VLOOKUP(M28,'G-3 Multipliers'!$S$3:$T$10,2,FALSE)=0,"Spatial Data Missing ⚠",VLOOKUP(M28,'G-3 Multipliers'!$S$3:$T$10,2,FALSE)))</f>
        <v/>
      </c>
      <c r="O28" s="275" t="str">
        <f>IF(OR(D28="",H28=""),"",(INDEX('G-6 Hedgerow Data'!$E$3:$I$15,MATCH(D28,'G-6 Hedgerow Data'!$B$3:$B$15,0),MATCH(H28,'G-6 Hedgerow Data'!$E$2:$I$2,0))))</f>
        <v/>
      </c>
      <c r="P28" s="133"/>
      <c r="Q28" s="133"/>
      <c r="R28" s="283" t="str">
        <f t="shared" si="1"/>
        <v/>
      </c>
      <c r="S28" s="296" t="str">
        <f t="shared" si="2"/>
        <v/>
      </c>
      <c r="T28" s="297" t="str">
        <f t="shared" si="0"/>
        <v/>
      </c>
      <c r="U28" s="311" t="str">
        <f>IF(D28="","",VLOOKUP(D28,'G-6 Hedgerow Data'!$B$3:$AG$15,31,FALSE))</f>
        <v/>
      </c>
      <c r="V28" s="295" t="str">
        <f t="shared" si="3"/>
        <v/>
      </c>
      <c r="W28" s="283" t="str">
        <f t="shared" si="4"/>
        <v/>
      </c>
      <c r="X28" s="299" t="str">
        <f>IF(F28="","",VLOOKUP(U28,'G-3 Multipliers'!$P$3:$Q$6,2,FALSE))</f>
        <v/>
      </c>
      <c r="Y28" s="303" t="str">
        <f t="shared" si="5"/>
        <v/>
      </c>
      <c r="Z28" s="303" t="str">
        <f t="shared" si="6"/>
        <v/>
      </c>
      <c r="AA28" s="101"/>
      <c r="AB28" s="938"/>
      <c r="AC28" s="138"/>
      <c r="AD28" s="138"/>
      <c r="AE28" s="934"/>
      <c r="AH28" s="30" t="str">
        <f>IFERROR(INDEX('G-6 Hedgerow Data'!$BJ$3:$BJ$15,MATCH(D28,'G-6 Hedgerow Data'!$B$3:$B$15,0)),"")</f>
        <v/>
      </c>
    </row>
    <row r="29" spans="2:34" ht="14">
      <c r="B29" s="97">
        <v>18</v>
      </c>
      <c r="C29" s="171"/>
      <c r="D29" s="58"/>
      <c r="E29" s="138"/>
      <c r="F29" s="275" t="str">
        <f>IF(D29="","",VLOOKUP(D29,'G-6 Hedgerow Data'!$B$2:$AG$15,2,FALSE))</f>
        <v/>
      </c>
      <c r="G29" s="299" t="str">
        <f>IF(D29="","",VLOOKUP(D29,'G-6 Hedgerow Data'!$B$2:$AG$15,3,FALSE))</f>
        <v/>
      </c>
      <c r="H29" s="53"/>
      <c r="I29" s="276" t="str">
        <f>IFERROR(IF(H29="","",IF(AND(D29="Non-native and ornamental hedgerow",H29&lt;&gt;"Poor"),"Not possible ▲",(IF(AND(F29="V.Low",OR(H29="Good",H29="Moderate")),"Error ▲",VLOOKUP(H29,'G-1 All Habitats'!$Z$2:$AA$9,2,FALSE))))),"")</f>
        <v/>
      </c>
      <c r="J29" s="102"/>
      <c r="K29" s="295" t="str">
        <f>IF(J29="","",IF(VLOOKUP(J29,'G-3 Multipliers'!$L$3:$N$6,2,FALSE)=0,"Spatial Data Missing",VLOOKUP(J29,'G-3 Multipliers'!$L$3:$N$6,2,FALSE)))</f>
        <v/>
      </c>
      <c r="L29" s="299" t="str">
        <f>IF(J29="","",IF(VLOOKUP(J29,'G-3 Multipliers'!$L$3:$N$6,3,FALSE)=0,"Spatial Data Missing",VLOOKUP(J29,'G-3 Multipliers'!$L$3:$N$6,3,FALSE)))</f>
        <v/>
      </c>
      <c r="M29" s="134"/>
      <c r="N29" s="276" t="str">
        <f>IF(M29="","",IF(VLOOKUP(M29,'G-3 Multipliers'!$S$3:$T$10,2,FALSE)=0,"Spatial Data Missing ⚠",VLOOKUP(M29,'G-3 Multipliers'!$S$3:$T$10,2,FALSE)))</f>
        <v/>
      </c>
      <c r="O29" s="275" t="str">
        <f>IF(OR(D29="",H29=""),"",(INDEX('G-6 Hedgerow Data'!$E$3:$I$15,MATCH(D29,'G-6 Hedgerow Data'!$B$3:$B$15,0),MATCH(H29,'G-6 Hedgerow Data'!$E$2:$I$2,0))))</f>
        <v/>
      </c>
      <c r="P29" s="133"/>
      <c r="Q29" s="133"/>
      <c r="R29" s="283" t="str">
        <f t="shared" si="1"/>
        <v/>
      </c>
      <c r="S29" s="296" t="str">
        <f t="shared" si="2"/>
        <v/>
      </c>
      <c r="T29" s="297" t="str">
        <f t="shared" si="0"/>
        <v/>
      </c>
      <c r="U29" s="311" t="str">
        <f>IF(D29="","",VLOOKUP(D29,'G-6 Hedgerow Data'!$B$3:$AG$15,31,FALSE))</f>
        <v/>
      </c>
      <c r="V29" s="295" t="str">
        <f t="shared" si="3"/>
        <v/>
      </c>
      <c r="W29" s="283" t="str">
        <f t="shared" si="4"/>
        <v/>
      </c>
      <c r="X29" s="299" t="str">
        <f>IF(F29="","",VLOOKUP(U29,'G-3 Multipliers'!$P$3:$Q$6,2,FALSE))</f>
        <v/>
      </c>
      <c r="Y29" s="303" t="str">
        <f t="shared" si="5"/>
        <v/>
      </c>
      <c r="Z29" s="303" t="str">
        <f t="shared" si="6"/>
        <v/>
      </c>
      <c r="AA29" s="101"/>
      <c r="AB29" s="938"/>
      <c r="AC29" s="138"/>
      <c r="AD29" s="138"/>
      <c r="AE29" s="934"/>
      <c r="AH29" s="30" t="str">
        <f>IFERROR(INDEX('G-6 Hedgerow Data'!$BJ$3:$BJ$15,MATCH(D29,'G-6 Hedgerow Data'!$B$3:$B$15,0)),"")</f>
        <v/>
      </c>
    </row>
    <row r="30" spans="2:34" ht="14">
      <c r="B30" s="97">
        <v>19</v>
      </c>
      <c r="C30" s="171"/>
      <c r="D30" s="58"/>
      <c r="E30" s="138"/>
      <c r="F30" s="275" t="str">
        <f>IF(D30="","",VLOOKUP(D30,'G-6 Hedgerow Data'!$B$2:$AG$15,2,FALSE))</f>
        <v/>
      </c>
      <c r="G30" s="299" t="str">
        <f>IF(D30="","",VLOOKUP(D30,'G-6 Hedgerow Data'!$B$2:$AG$15,3,FALSE))</f>
        <v/>
      </c>
      <c r="H30" s="53"/>
      <c r="I30" s="276" t="str">
        <f>IFERROR(IF(H30="","",IF(AND(D30="Non-native and ornamental hedgerow",H30&lt;&gt;"Poor"),"Not possible ▲",(IF(AND(F30="V.Low",OR(H30="Good",H30="Moderate")),"Error ▲",VLOOKUP(H30,'G-1 All Habitats'!$Z$2:$AA$9,2,FALSE))))),"")</f>
        <v/>
      </c>
      <c r="J30" s="102"/>
      <c r="K30" s="295" t="str">
        <f>IF(J30="","",IF(VLOOKUP(J30,'G-3 Multipliers'!$L$3:$N$6,2,FALSE)=0,"Spatial Data Missing",VLOOKUP(J30,'G-3 Multipliers'!$L$3:$N$6,2,FALSE)))</f>
        <v/>
      </c>
      <c r="L30" s="299" t="str">
        <f>IF(J30="","",IF(VLOOKUP(J30,'G-3 Multipliers'!$L$3:$N$6,3,FALSE)=0,"Spatial Data Missing",VLOOKUP(J30,'G-3 Multipliers'!$L$3:$N$6,3,FALSE)))</f>
        <v/>
      </c>
      <c r="M30" s="134"/>
      <c r="N30" s="276" t="str">
        <f>IF(M30="","",IF(VLOOKUP(M30,'G-3 Multipliers'!$S$3:$T$10,2,FALSE)=0,"Spatial Data Missing ⚠",VLOOKUP(M30,'G-3 Multipliers'!$S$3:$T$10,2,FALSE)))</f>
        <v/>
      </c>
      <c r="O30" s="275" t="str">
        <f>IF(OR(D30="",H30=""),"",(INDEX('G-6 Hedgerow Data'!$E$3:$I$15,MATCH(D30,'G-6 Hedgerow Data'!$B$3:$B$15,0),MATCH(H30,'G-6 Hedgerow Data'!$E$2:$I$2,0))))</f>
        <v/>
      </c>
      <c r="P30" s="133"/>
      <c r="Q30" s="133"/>
      <c r="R30" s="283" t="str">
        <f t="shared" si="1"/>
        <v/>
      </c>
      <c r="S30" s="296" t="str">
        <f t="shared" si="2"/>
        <v/>
      </c>
      <c r="T30" s="297" t="str">
        <f t="shared" si="0"/>
        <v/>
      </c>
      <c r="U30" s="311" t="str">
        <f>IF(D30="","",VLOOKUP(D30,'G-6 Hedgerow Data'!$B$3:$AG$15,31,FALSE))</f>
        <v/>
      </c>
      <c r="V30" s="295" t="str">
        <f t="shared" si="3"/>
        <v/>
      </c>
      <c r="W30" s="283" t="str">
        <f t="shared" si="4"/>
        <v/>
      </c>
      <c r="X30" s="299" t="str">
        <f>IF(F30="","",VLOOKUP(U30,'G-3 Multipliers'!$P$3:$Q$6,2,FALSE))</f>
        <v/>
      </c>
      <c r="Y30" s="303" t="str">
        <f t="shared" si="5"/>
        <v/>
      </c>
      <c r="Z30" s="303" t="str">
        <f t="shared" si="6"/>
        <v/>
      </c>
      <c r="AA30" s="101"/>
      <c r="AB30" s="938"/>
      <c r="AC30" s="138"/>
      <c r="AD30" s="138"/>
      <c r="AE30" s="934"/>
      <c r="AH30" s="30" t="str">
        <f>IFERROR(INDEX('G-6 Hedgerow Data'!$BJ$3:$BJ$15,MATCH(D30,'G-6 Hedgerow Data'!$B$3:$B$15,0)),"")</f>
        <v/>
      </c>
    </row>
    <row r="31" spans="2:34" ht="14">
      <c r="B31" s="97">
        <v>20</v>
      </c>
      <c r="C31" s="171"/>
      <c r="D31" s="58"/>
      <c r="E31" s="138"/>
      <c r="F31" s="275" t="str">
        <f>IF(D31="","",VLOOKUP(D31,'G-6 Hedgerow Data'!$B$2:$AG$15,2,FALSE))</f>
        <v/>
      </c>
      <c r="G31" s="299" t="str">
        <f>IF(D31="","",VLOOKUP(D31,'G-6 Hedgerow Data'!$B$2:$AG$15,3,FALSE))</f>
        <v/>
      </c>
      <c r="H31" s="53"/>
      <c r="I31" s="276" t="str">
        <f>IFERROR(IF(H31="","",IF(AND(D31="Non-native and ornamental hedgerow",H31&lt;&gt;"Poor"),"Not possible ▲",(IF(AND(F31="V.Low",OR(H31="Good",H31="Moderate")),"Error ▲",VLOOKUP(H31,'G-1 All Habitats'!$Z$2:$AA$9,2,FALSE))))),"")</f>
        <v/>
      </c>
      <c r="J31" s="102"/>
      <c r="K31" s="295" t="str">
        <f>IF(J31="","",IF(VLOOKUP(J31,'G-3 Multipliers'!$L$3:$N$6,2,FALSE)=0,"Spatial Data Missing",VLOOKUP(J31,'G-3 Multipliers'!$L$3:$N$6,2,FALSE)))</f>
        <v/>
      </c>
      <c r="L31" s="299" t="str">
        <f>IF(J31="","",IF(VLOOKUP(J31,'G-3 Multipliers'!$L$3:$N$6,3,FALSE)=0,"Spatial Data Missing",VLOOKUP(J31,'G-3 Multipliers'!$L$3:$N$6,3,FALSE)))</f>
        <v/>
      </c>
      <c r="M31" s="134"/>
      <c r="N31" s="276" t="str">
        <f>IF(M31="","",IF(VLOOKUP(M31,'G-3 Multipliers'!$S$3:$T$10,2,FALSE)=0,"Spatial Data Missing ⚠",VLOOKUP(M31,'G-3 Multipliers'!$S$3:$T$10,2,FALSE)))</f>
        <v/>
      </c>
      <c r="O31" s="275" t="str">
        <f>IF(OR(D31="",H31=""),"",(INDEX('G-6 Hedgerow Data'!$E$3:$I$15,MATCH(D31,'G-6 Hedgerow Data'!$B$3:$B$15,0),MATCH(H31,'G-6 Hedgerow Data'!$E$2:$I$2,0))))</f>
        <v/>
      </c>
      <c r="P31" s="133"/>
      <c r="Q31" s="133"/>
      <c r="R31" s="283" t="str">
        <f t="shared" si="1"/>
        <v/>
      </c>
      <c r="S31" s="296" t="str">
        <f t="shared" si="2"/>
        <v/>
      </c>
      <c r="T31" s="297" t="str">
        <f t="shared" si="0"/>
        <v/>
      </c>
      <c r="U31" s="311" t="str">
        <f>IF(D31="","",VLOOKUP(D31,'G-6 Hedgerow Data'!$B$3:$AG$15,31,FALSE))</f>
        <v/>
      </c>
      <c r="V31" s="295" t="str">
        <f t="shared" si="3"/>
        <v/>
      </c>
      <c r="W31" s="283" t="str">
        <f t="shared" si="4"/>
        <v/>
      </c>
      <c r="X31" s="299" t="str">
        <f>IF(F31="","",VLOOKUP(U31,'G-3 Multipliers'!$P$3:$Q$6,2,FALSE))</f>
        <v/>
      </c>
      <c r="Y31" s="303" t="str">
        <f t="shared" si="5"/>
        <v/>
      </c>
      <c r="Z31" s="303" t="str">
        <f t="shared" si="6"/>
        <v/>
      </c>
      <c r="AA31" s="101"/>
      <c r="AB31" s="938"/>
      <c r="AC31" s="138"/>
      <c r="AD31" s="138"/>
      <c r="AE31" s="934"/>
      <c r="AH31" s="30" t="str">
        <f>IFERROR(INDEX('G-6 Hedgerow Data'!$BJ$3:$BJ$15,MATCH(D31,'G-6 Hedgerow Data'!$B$3:$B$15,0)),"")</f>
        <v/>
      </c>
    </row>
    <row r="32" spans="2:34" ht="14">
      <c r="B32" s="97">
        <v>21</v>
      </c>
      <c r="C32" s="171"/>
      <c r="D32" s="58"/>
      <c r="E32" s="138"/>
      <c r="F32" s="275" t="str">
        <f>IF(D32="","",VLOOKUP(D32,'G-6 Hedgerow Data'!$B$2:$AG$15,2,FALSE))</f>
        <v/>
      </c>
      <c r="G32" s="299" t="str">
        <f>IF(D32="","",VLOOKUP(D32,'G-6 Hedgerow Data'!$B$2:$AG$15,3,FALSE))</f>
        <v/>
      </c>
      <c r="H32" s="53"/>
      <c r="I32" s="276" t="str">
        <f>IFERROR(IF(H32="","",IF(AND(D32="Non-native and ornamental hedgerow",H32&lt;&gt;"Poor"),"Not possible ▲",(IF(AND(F32="V.Low",OR(H32="Good",H32="Moderate")),"Error ▲",VLOOKUP(H32,'G-1 All Habitats'!$Z$2:$AA$9,2,FALSE))))),"")</f>
        <v/>
      </c>
      <c r="J32" s="102"/>
      <c r="K32" s="295" t="str">
        <f>IF(J32="","",IF(VLOOKUP(J32,'G-3 Multipliers'!$L$3:$N$6,2,FALSE)=0,"Spatial Data Missing",VLOOKUP(J32,'G-3 Multipliers'!$L$3:$N$6,2,FALSE)))</f>
        <v/>
      </c>
      <c r="L32" s="299" t="str">
        <f>IF(J32="","",IF(VLOOKUP(J32,'G-3 Multipliers'!$L$3:$N$6,3,FALSE)=0,"Spatial Data Missing",VLOOKUP(J32,'G-3 Multipliers'!$L$3:$N$6,3,FALSE)))</f>
        <v/>
      </c>
      <c r="M32" s="134"/>
      <c r="N32" s="276" t="str">
        <f>IF(M32="","",IF(VLOOKUP(M32,'G-3 Multipliers'!$S$3:$T$10,2,FALSE)=0,"Spatial Data Missing ⚠",VLOOKUP(M32,'G-3 Multipliers'!$S$3:$T$10,2,FALSE)))</f>
        <v/>
      </c>
      <c r="O32" s="275" t="str">
        <f>IF(OR(D32="",H32=""),"",(INDEX('G-6 Hedgerow Data'!$E$3:$I$15,MATCH(D32,'G-6 Hedgerow Data'!$B$3:$B$15,0),MATCH(H32,'G-6 Hedgerow Data'!$E$2:$I$2,0))))</f>
        <v/>
      </c>
      <c r="P32" s="133"/>
      <c r="Q32" s="133"/>
      <c r="R32" s="283" t="str">
        <f t="shared" si="1"/>
        <v/>
      </c>
      <c r="S32" s="296" t="str">
        <f t="shared" si="2"/>
        <v/>
      </c>
      <c r="T32" s="297" t="str">
        <f t="shared" si="0"/>
        <v/>
      </c>
      <c r="U32" s="311" t="str">
        <f>IF(D32="","",VLOOKUP(D32,'G-6 Hedgerow Data'!$B$3:$AG$15,31,FALSE))</f>
        <v/>
      </c>
      <c r="V32" s="295" t="str">
        <f t="shared" si="3"/>
        <v/>
      </c>
      <c r="W32" s="283" t="str">
        <f t="shared" si="4"/>
        <v/>
      </c>
      <c r="X32" s="299" t="str">
        <f>IF(F32="","",VLOOKUP(U32,'G-3 Multipliers'!$P$3:$Q$6,2,FALSE))</f>
        <v/>
      </c>
      <c r="Y32" s="303" t="str">
        <f t="shared" si="5"/>
        <v/>
      </c>
      <c r="Z32" s="303" t="str">
        <f t="shared" si="6"/>
        <v/>
      </c>
      <c r="AA32" s="101"/>
      <c r="AB32" s="938"/>
      <c r="AC32" s="138"/>
      <c r="AD32" s="138"/>
      <c r="AE32" s="934"/>
      <c r="AH32" s="30" t="str">
        <f>IFERROR(INDEX('G-6 Hedgerow Data'!$BJ$3:$BJ$15,MATCH(D32,'G-6 Hedgerow Data'!$B$3:$B$15,0)),"")</f>
        <v/>
      </c>
    </row>
    <row r="33" spans="2:34" ht="14">
      <c r="B33" s="97">
        <v>22</v>
      </c>
      <c r="C33" s="171"/>
      <c r="D33" s="58"/>
      <c r="E33" s="138"/>
      <c r="F33" s="275" t="str">
        <f>IF(D33="","",VLOOKUP(D33,'G-6 Hedgerow Data'!$B$2:$AG$15,2,FALSE))</f>
        <v/>
      </c>
      <c r="G33" s="299" t="str">
        <f>IF(D33="","",VLOOKUP(D33,'G-6 Hedgerow Data'!$B$2:$AG$15,3,FALSE))</f>
        <v/>
      </c>
      <c r="H33" s="53"/>
      <c r="I33" s="276" t="str">
        <f>IFERROR(IF(H33="","",IF(AND(D33="Non-native and ornamental hedgerow",H33&lt;&gt;"Poor"),"Not possible ▲",(IF(AND(F33="V.Low",OR(H33="Good",H33="Moderate")),"Error ▲",VLOOKUP(H33,'G-1 All Habitats'!$Z$2:$AA$9,2,FALSE))))),"")</f>
        <v/>
      </c>
      <c r="J33" s="102"/>
      <c r="K33" s="295" t="str">
        <f>IF(J33="","",IF(VLOOKUP(J33,'G-3 Multipliers'!$L$3:$N$6,2,FALSE)=0,"Spatial Data Missing",VLOOKUP(J33,'G-3 Multipliers'!$L$3:$N$6,2,FALSE)))</f>
        <v/>
      </c>
      <c r="L33" s="299" t="str">
        <f>IF(J33="","",IF(VLOOKUP(J33,'G-3 Multipliers'!$L$3:$N$6,3,FALSE)=0,"Spatial Data Missing",VLOOKUP(J33,'G-3 Multipliers'!$L$3:$N$6,3,FALSE)))</f>
        <v/>
      </c>
      <c r="M33" s="134"/>
      <c r="N33" s="276" t="str">
        <f>IF(M33="","",IF(VLOOKUP(M33,'G-3 Multipliers'!$S$3:$T$10,2,FALSE)=0,"Spatial Data Missing ⚠",VLOOKUP(M33,'G-3 Multipliers'!$S$3:$T$10,2,FALSE)))</f>
        <v/>
      </c>
      <c r="O33" s="275" t="str">
        <f>IF(OR(D33="",H33=""),"",(INDEX('G-6 Hedgerow Data'!$E$3:$I$15,MATCH(D33,'G-6 Hedgerow Data'!$B$3:$B$15,0),MATCH(H33,'G-6 Hedgerow Data'!$E$2:$I$2,0))))</f>
        <v/>
      </c>
      <c r="P33" s="133"/>
      <c r="Q33" s="133"/>
      <c r="R33" s="283" t="str">
        <f t="shared" si="1"/>
        <v/>
      </c>
      <c r="S33" s="296" t="str">
        <f t="shared" si="2"/>
        <v/>
      </c>
      <c r="T33" s="297" t="str">
        <f t="shared" si="0"/>
        <v/>
      </c>
      <c r="U33" s="311" t="str">
        <f>IF(D33="","",VLOOKUP(D33,'G-6 Hedgerow Data'!$B$3:$AG$15,31,FALSE))</f>
        <v/>
      </c>
      <c r="V33" s="295" t="str">
        <f t="shared" si="3"/>
        <v/>
      </c>
      <c r="W33" s="283" t="str">
        <f t="shared" si="4"/>
        <v/>
      </c>
      <c r="X33" s="299" t="str">
        <f>IF(F33="","",VLOOKUP(U33,'G-3 Multipliers'!$P$3:$Q$6,2,FALSE))</f>
        <v/>
      </c>
      <c r="Y33" s="303" t="str">
        <f t="shared" si="5"/>
        <v/>
      </c>
      <c r="Z33" s="303" t="str">
        <f t="shared" si="6"/>
        <v/>
      </c>
      <c r="AA33" s="101"/>
      <c r="AB33" s="938"/>
      <c r="AC33" s="138"/>
      <c r="AD33" s="138"/>
      <c r="AE33" s="934"/>
      <c r="AH33" s="30" t="str">
        <f>IFERROR(INDEX('G-6 Hedgerow Data'!$BJ$3:$BJ$15,MATCH(D33,'G-6 Hedgerow Data'!$B$3:$B$15,0)),"")</f>
        <v/>
      </c>
    </row>
    <row r="34" spans="2:34" ht="14">
      <c r="B34" s="97">
        <v>23</v>
      </c>
      <c r="C34" s="171"/>
      <c r="D34" s="58"/>
      <c r="E34" s="138"/>
      <c r="F34" s="275" t="str">
        <f>IF(D34="","",VLOOKUP(D34,'G-6 Hedgerow Data'!$B$2:$AG$15,2,FALSE))</f>
        <v/>
      </c>
      <c r="G34" s="299" t="str">
        <f>IF(D34="","",VLOOKUP(D34,'G-6 Hedgerow Data'!$B$2:$AG$15,3,FALSE))</f>
        <v/>
      </c>
      <c r="H34" s="53"/>
      <c r="I34" s="276" t="str">
        <f>IFERROR(IF(H34="","",IF(AND(D34="Non-native and ornamental hedgerow",H34&lt;&gt;"Poor"),"Not possible ▲",(IF(AND(F34="V.Low",OR(H34="Good",H34="Moderate")),"Error ▲",VLOOKUP(H34,'G-1 All Habitats'!$Z$2:$AA$9,2,FALSE))))),"")</f>
        <v/>
      </c>
      <c r="J34" s="102"/>
      <c r="K34" s="295" t="str">
        <f>IF(J34="","",IF(VLOOKUP(J34,'G-3 Multipliers'!$L$3:$N$6,2,FALSE)=0,"Spatial Data Missing",VLOOKUP(J34,'G-3 Multipliers'!$L$3:$N$6,2,FALSE)))</f>
        <v/>
      </c>
      <c r="L34" s="299" t="str">
        <f>IF(J34="","",IF(VLOOKUP(J34,'G-3 Multipliers'!$L$3:$N$6,3,FALSE)=0,"Spatial Data Missing",VLOOKUP(J34,'G-3 Multipliers'!$L$3:$N$6,3,FALSE)))</f>
        <v/>
      </c>
      <c r="M34" s="134"/>
      <c r="N34" s="276" t="str">
        <f>IF(M34="","",IF(VLOOKUP(M34,'G-3 Multipliers'!$S$3:$T$10,2,FALSE)=0,"Spatial Data Missing ⚠",VLOOKUP(M34,'G-3 Multipliers'!$S$3:$T$10,2,FALSE)))</f>
        <v/>
      </c>
      <c r="O34" s="275" t="str">
        <f>IF(OR(D34="",H34=""),"",(INDEX('G-6 Hedgerow Data'!$E$3:$I$15,MATCH(D34,'G-6 Hedgerow Data'!$B$3:$B$15,0),MATCH(H34,'G-6 Hedgerow Data'!$E$2:$I$2,0))))</f>
        <v/>
      </c>
      <c r="P34" s="133"/>
      <c r="Q34" s="133"/>
      <c r="R34" s="283" t="str">
        <f t="shared" si="1"/>
        <v/>
      </c>
      <c r="S34" s="296" t="str">
        <f t="shared" si="2"/>
        <v/>
      </c>
      <c r="T34" s="297" t="str">
        <f t="shared" si="0"/>
        <v/>
      </c>
      <c r="U34" s="311" t="str">
        <f>IF(D34="","",VLOOKUP(D34,'G-6 Hedgerow Data'!$B$3:$AG$15,31,FALSE))</f>
        <v/>
      </c>
      <c r="V34" s="295" t="str">
        <f t="shared" si="3"/>
        <v/>
      </c>
      <c r="W34" s="283" t="str">
        <f t="shared" si="4"/>
        <v/>
      </c>
      <c r="X34" s="299" t="str">
        <f>IF(F34="","",VLOOKUP(U34,'G-3 Multipliers'!$P$3:$Q$6,2,FALSE))</f>
        <v/>
      </c>
      <c r="Y34" s="303" t="str">
        <f t="shared" si="5"/>
        <v/>
      </c>
      <c r="Z34" s="303" t="str">
        <f t="shared" si="6"/>
        <v/>
      </c>
      <c r="AA34" s="101"/>
      <c r="AB34" s="938"/>
      <c r="AC34" s="138"/>
      <c r="AD34" s="138"/>
      <c r="AE34" s="934"/>
      <c r="AH34" s="30" t="str">
        <f>IFERROR(INDEX('G-6 Hedgerow Data'!$BJ$3:$BJ$15,MATCH(D34,'G-6 Hedgerow Data'!$B$3:$B$15,0)),"")</f>
        <v/>
      </c>
    </row>
    <row r="35" spans="2:34" ht="14">
      <c r="B35" s="97">
        <v>24</v>
      </c>
      <c r="C35" s="171"/>
      <c r="D35" s="58"/>
      <c r="E35" s="138"/>
      <c r="F35" s="275" t="str">
        <f>IF(D35="","",VLOOKUP(D35,'G-6 Hedgerow Data'!$B$2:$AG$15,2,FALSE))</f>
        <v/>
      </c>
      <c r="G35" s="299" t="str">
        <f>IF(D35="","",VLOOKUP(D35,'G-6 Hedgerow Data'!$B$2:$AG$15,3,FALSE))</f>
        <v/>
      </c>
      <c r="H35" s="53"/>
      <c r="I35" s="276" t="str">
        <f>IFERROR(IF(H35="","",IF(AND(D35="Non-native and ornamental hedgerow",H35&lt;&gt;"Poor"),"Not possible ▲",(IF(AND(F35="V.Low",OR(H35="Good",H35="Moderate")),"Error ▲",VLOOKUP(H35,'G-1 All Habitats'!$Z$2:$AA$9,2,FALSE))))),"")</f>
        <v/>
      </c>
      <c r="J35" s="102"/>
      <c r="K35" s="295" t="str">
        <f>IF(J35="","",IF(VLOOKUP(J35,'G-3 Multipliers'!$L$3:$N$6,2,FALSE)=0,"Spatial Data Missing",VLOOKUP(J35,'G-3 Multipliers'!$L$3:$N$6,2,FALSE)))</f>
        <v/>
      </c>
      <c r="L35" s="299" t="str">
        <f>IF(J35="","",IF(VLOOKUP(J35,'G-3 Multipliers'!$L$3:$N$6,3,FALSE)=0,"Spatial Data Missing",VLOOKUP(J35,'G-3 Multipliers'!$L$3:$N$6,3,FALSE)))</f>
        <v/>
      </c>
      <c r="M35" s="134"/>
      <c r="N35" s="276" t="str">
        <f>IF(M35="","",IF(VLOOKUP(M35,'G-3 Multipliers'!$S$3:$T$10,2,FALSE)=0,"Spatial Data Missing ⚠",VLOOKUP(M35,'G-3 Multipliers'!$S$3:$T$10,2,FALSE)))</f>
        <v/>
      </c>
      <c r="O35" s="275" t="str">
        <f>IF(OR(D35="",H35=""),"",(INDEX('G-6 Hedgerow Data'!$E$3:$I$15,MATCH(D35,'G-6 Hedgerow Data'!$B$3:$B$15,0),MATCH(H35,'G-6 Hedgerow Data'!$E$2:$I$2,0))))</f>
        <v/>
      </c>
      <c r="P35" s="133"/>
      <c r="Q35" s="133"/>
      <c r="R35" s="283" t="str">
        <f t="shared" si="1"/>
        <v/>
      </c>
      <c r="S35" s="296" t="str">
        <f t="shared" si="2"/>
        <v/>
      </c>
      <c r="T35" s="297" t="str">
        <f t="shared" si="0"/>
        <v/>
      </c>
      <c r="U35" s="311" t="str">
        <f>IF(D35="","",VLOOKUP(D35,'G-6 Hedgerow Data'!$B$3:$AG$15,31,FALSE))</f>
        <v/>
      </c>
      <c r="V35" s="295" t="str">
        <f t="shared" si="3"/>
        <v/>
      </c>
      <c r="W35" s="283" t="str">
        <f t="shared" si="4"/>
        <v/>
      </c>
      <c r="X35" s="299" t="str">
        <f>IF(F35="","",VLOOKUP(U35,'G-3 Multipliers'!$P$3:$Q$6,2,FALSE))</f>
        <v/>
      </c>
      <c r="Y35" s="303" t="str">
        <f t="shared" si="5"/>
        <v/>
      </c>
      <c r="Z35" s="303" t="str">
        <f t="shared" si="6"/>
        <v/>
      </c>
      <c r="AA35" s="101"/>
      <c r="AB35" s="938"/>
      <c r="AC35" s="138"/>
      <c r="AD35" s="138"/>
      <c r="AE35" s="934"/>
      <c r="AH35" s="30" t="str">
        <f>IFERROR(INDEX('G-6 Hedgerow Data'!$BJ$3:$BJ$15,MATCH(D35,'G-6 Hedgerow Data'!$B$3:$B$15,0)),"")</f>
        <v/>
      </c>
    </row>
    <row r="36" spans="2:34" ht="14">
      <c r="B36" s="97">
        <v>25</v>
      </c>
      <c r="C36" s="171"/>
      <c r="D36" s="58"/>
      <c r="E36" s="138"/>
      <c r="F36" s="275" t="str">
        <f>IF(D36="","",VLOOKUP(D36,'G-6 Hedgerow Data'!$B$2:$AG$15,2,FALSE))</f>
        <v/>
      </c>
      <c r="G36" s="299" t="str">
        <f>IF(D36="","",VLOOKUP(D36,'G-6 Hedgerow Data'!$B$2:$AG$15,3,FALSE))</f>
        <v/>
      </c>
      <c r="H36" s="53"/>
      <c r="I36" s="276" t="str">
        <f>IFERROR(IF(H36="","",IF(AND(D36="Non-native and ornamental hedgerow",H36&lt;&gt;"Poor"),"Not possible ▲",(IF(AND(F36="V.Low",OR(H36="Good",H36="Moderate")),"Error ▲",VLOOKUP(H36,'G-1 All Habitats'!$Z$2:$AA$9,2,FALSE))))),"")</f>
        <v/>
      </c>
      <c r="J36" s="102"/>
      <c r="K36" s="295" t="str">
        <f>IF(J36="","",IF(VLOOKUP(J36,'G-3 Multipliers'!$L$3:$N$6,2,FALSE)=0,"Spatial Data Missing",VLOOKUP(J36,'G-3 Multipliers'!$L$3:$N$6,2,FALSE)))</f>
        <v/>
      </c>
      <c r="L36" s="299" t="str">
        <f>IF(J36="","",IF(VLOOKUP(J36,'G-3 Multipliers'!$L$3:$N$6,3,FALSE)=0,"Spatial Data Missing",VLOOKUP(J36,'G-3 Multipliers'!$L$3:$N$6,3,FALSE)))</f>
        <v/>
      </c>
      <c r="M36" s="134"/>
      <c r="N36" s="276" t="str">
        <f>IF(M36="","",IF(VLOOKUP(M36,'G-3 Multipliers'!$S$3:$T$10,2,FALSE)=0,"Spatial Data Missing ⚠",VLOOKUP(M36,'G-3 Multipliers'!$S$3:$T$10,2,FALSE)))</f>
        <v/>
      </c>
      <c r="O36" s="275" t="str">
        <f>IF(OR(D36="",H36=""),"",(INDEX('G-6 Hedgerow Data'!$E$3:$I$15,MATCH(D36,'G-6 Hedgerow Data'!$B$3:$B$15,0),MATCH(H36,'G-6 Hedgerow Data'!$E$2:$I$2,0))))</f>
        <v/>
      </c>
      <c r="P36" s="133"/>
      <c r="Q36" s="133"/>
      <c r="R36" s="283" t="str">
        <f t="shared" si="1"/>
        <v/>
      </c>
      <c r="S36" s="296" t="str">
        <f t="shared" si="2"/>
        <v/>
      </c>
      <c r="T36" s="297" t="str">
        <f t="shared" si="0"/>
        <v/>
      </c>
      <c r="U36" s="311" t="str">
        <f>IF(D36="","",VLOOKUP(D36,'G-6 Hedgerow Data'!$B$3:$AG$15,31,FALSE))</f>
        <v/>
      </c>
      <c r="V36" s="295" t="str">
        <f t="shared" si="3"/>
        <v/>
      </c>
      <c r="W36" s="283" t="str">
        <f t="shared" si="4"/>
        <v/>
      </c>
      <c r="X36" s="299" t="str">
        <f>IF(F36="","",VLOOKUP(U36,'G-3 Multipliers'!$P$3:$Q$6,2,FALSE))</f>
        <v/>
      </c>
      <c r="Y36" s="303" t="str">
        <f t="shared" si="5"/>
        <v/>
      </c>
      <c r="Z36" s="303" t="str">
        <f t="shared" si="6"/>
        <v/>
      </c>
      <c r="AA36" s="101"/>
      <c r="AB36" s="938"/>
      <c r="AC36" s="138"/>
      <c r="AD36" s="138"/>
      <c r="AE36" s="934"/>
      <c r="AH36" s="30" t="str">
        <f>IFERROR(INDEX('G-6 Hedgerow Data'!$BJ$3:$BJ$15,MATCH(D36,'G-6 Hedgerow Data'!$B$3:$B$15,0)),"")</f>
        <v/>
      </c>
    </row>
    <row r="37" spans="2:34" ht="14">
      <c r="B37" s="97">
        <v>26</v>
      </c>
      <c r="C37" s="171"/>
      <c r="D37" s="58"/>
      <c r="E37" s="138"/>
      <c r="F37" s="275" t="str">
        <f>IF(D37="","",VLOOKUP(D37,'G-6 Hedgerow Data'!$B$2:$AG$15,2,FALSE))</f>
        <v/>
      </c>
      <c r="G37" s="299" t="str">
        <f>IF(D37="","",VLOOKUP(D37,'G-6 Hedgerow Data'!$B$2:$AG$15,3,FALSE))</f>
        <v/>
      </c>
      <c r="H37" s="53"/>
      <c r="I37" s="276" t="str">
        <f>IFERROR(IF(H37="","",IF(AND(D37="Non-native and ornamental hedgerow",H37&lt;&gt;"Poor"),"Not possible ▲",(IF(AND(F37="V.Low",OR(H37="Good",H37="Moderate")),"Error ▲",VLOOKUP(H37,'G-1 All Habitats'!$Z$2:$AA$9,2,FALSE))))),"")</f>
        <v/>
      </c>
      <c r="J37" s="102"/>
      <c r="K37" s="295" t="str">
        <f>IF(J37="","",IF(VLOOKUP(J37,'G-3 Multipliers'!$L$3:$N$6,2,FALSE)=0,"Spatial Data Missing",VLOOKUP(J37,'G-3 Multipliers'!$L$3:$N$6,2,FALSE)))</f>
        <v/>
      </c>
      <c r="L37" s="299" t="str">
        <f>IF(J37="","",IF(VLOOKUP(J37,'G-3 Multipliers'!$L$3:$N$6,3,FALSE)=0,"Spatial Data Missing",VLOOKUP(J37,'G-3 Multipliers'!$L$3:$N$6,3,FALSE)))</f>
        <v/>
      </c>
      <c r="M37" s="134"/>
      <c r="N37" s="276" t="str">
        <f>IF(M37="","",IF(VLOOKUP(M37,'G-3 Multipliers'!$S$3:$T$10,2,FALSE)=0,"Spatial Data Missing ⚠",VLOOKUP(M37,'G-3 Multipliers'!$S$3:$T$10,2,FALSE)))</f>
        <v/>
      </c>
      <c r="O37" s="275" t="str">
        <f>IF(OR(D37="",H37=""),"",(INDEX('G-6 Hedgerow Data'!$E$3:$I$15,MATCH(D37,'G-6 Hedgerow Data'!$B$3:$B$15,0),MATCH(H37,'G-6 Hedgerow Data'!$E$2:$I$2,0))))</f>
        <v/>
      </c>
      <c r="P37" s="133"/>
      <c r="Q37" s="133"/>
      <c r="R37" s="283" t="str">
        <f t="shared" si="1"/>
        <v/>
      </c>
      <c r="S37" s="296" t="str">
        <f t="shared" si="2"/>
        <v/>
      </c>
      <c r="T37" s="297" t="str">
        <f t="shared" si="0"/>
        <v/>
      </c>
      <c r="U37" s="311" t="str">
        <f>IF(D37="","",VLOOKUP(D37,'G-6 Hedgerow Data'!$B$3:$AG$15,31,FALSE))</f>
        <v/>
      </c>
      <c r="V37" s="295" t="str">
        <f t="shared" si="3"/>
        <v/>
      </c>
      <c r="W37" s="283" t="str">
        <f t="shared" si="4"/>
        <v/>
      </c>
      <c r="X37" s="299" t="str">
        <f>IF(F37="","",VLOOKUP(U37,'G-3 Multipliers'!$P$3:$Q$6,2,FALSE))</f>
        <v/>
      </c>
      <c r="Y37" s="303" t="str">
        <f t="shared" si="5"/>
        <v/>
      </c>
      <c r="Z37" s="303" t="str">
        <f t="shared" si="6"/>
        <v/>
      </c>
      <c r="AA37" s="101"/>
      <c r="AB37" s="938"/>
      <c r="AC37" s="138"/>
      <c r="AD37" s="138"/>
      <c r="AE37" s="934"/>
      <c r="AH37" s="30" t="str">
        <f>IFERROR(INDEX('G-6 Hedgerow Data'!$BJ$3:$BJ$15,MATCH(D37,'G-6 Hedgerow Data'!$B$3:$B$15,0)),"")</f>
        <v/>
      </c>
    </row>
    <row r="38" spans="2:34" ht="14">
      <c r="B38" s="97">
        <v>27</v>
      </c>
      <c r="C38" s="171"/>
      <c r="D38" s="58"/>
      <c r="E38" s="138"/>
      <c r="F38" s="275" t="str">
        <f>IF(D38="","",VLOOKUP(D38,'G-6 Hedgerow Data'!$B$2:$AG$15,2,FALSE))</f>
        <v/>
      </c>
      <c r="G38" s="299" t="str">
        <f>IF(D38="","",VLOOKUP(D38,'G-6 Hedgerow Data'!$B$2:$AG$15,3,FALSE))</f>
        <v/>
      </c>
      <c r="H38" s="53"/>
      <c r="I38" s="276" t="str">
        <f>IFERROR(IF(H38="","",IF(AND(D38="Non-native and ornamental hedgerow",H38&lt;&gt;"Poor"),"Not possible ▲",(IF(AND(F38="V.Low",OR(H38="Good",H38="Moderate")),"Error ▲",VLOOKUP(H38,'G-1 All Habitats'!$Z$2:$AA$9,2,FALSE))))),"")</f>
        <v/>
      </c>
      <c r="J38" s="102"/>
      <c r="K38" s="295" t="str">
        <f>IF(J38="","",IF(VLOOKUP(J38,'G-3 Multipliers'!$L$3:$N$6,2,FALSE)=0,"Spatial Data Missing",VLOOKUP(J38,'G-3 Multipliers'!$L$3:$N$6,2,FALSE)))</f>
        <v/>
      </c>
      <c r="L38" s="299" t="str">
        <f>IF(J38="","",IF(VLOOKUP(J38,'G-3 Multipliers'!$L$3:$N$6,3,FALSE)=0,"Spatial Data Missing",VLOOKUP(J38,'G-3 Multipliers'!$L$3:$N$6,3,FALSE)))</f>
        <v/>
      </c>
      <c r="M38" s="134"/>
      <c r="N38" s="276" t="str">
        <f>IF(M38="","",IF(VLOOKUP(M38,'G-3 Multipliers'!$S$3:$T$10,2,FALSE)=0,"Spatial Data Missing ⚠",VLOOKUP(M38,'G-3 Multipliers'!$S$3:$T$10,2,FALSE)))</f>
        <v/>
      </c>
      <c r="O38" s="275" t="str">
        <f>IF(OR(D38="",H38=""),"",(INDEX('G-6 Hedgerow Data'!$E$3:$I$15,MATCH(D38,'G-6 Hedgerow Data'!$B$3:$B$15,0),MATCH(H38,'G-6 Hedgerow Data'!$E$2:$I$2,0))))</f>
        <v/>
      </c>
      <c r="P38" s="133"/>
      <c r="Q38" s="133"/>
      <c r="R38" s="283" t="str">
        <f t="shared" si="1"/>
        <v/>
      </c>
      <c r="S38" s="296" t="str">
        <f t="shared" si="2"/>
        <v/>
      </c>
      <c r="T38" s="297" t="str">
        <f t="shared" si="0"/>
        <v/>
      </c>
      <c r="U38" s="311" t="str">
        <f>IF(D38="","",VLOOKUP(D38,'G-6 Hedgerow Data'!$B$3:$AG$15,31,FALSE))</f>
        <v/>
      </c>
      <c r="V38" s="295" t="str">
        <f t="shared" si="3"/>
        <v/>
      </c>
      <c r="W38" s="283" t="str">
        <f t="shared" si="4"/>
        <v/>
      </c>
      <c r="X38" s="299" t="str">
        <f>IF(F38="","",VLOOKUP(U38,'G-3 Multipliers'!$P$3:$Q$6,2,FALSE))</f>
        <v/>
      </c>
      <c r="Y38" s="303" t="str">
        <f t="shared" si="5"/>
        <v/>
      </c>
      <c r="Z38" s="303" t="str">
        <f t="shared" si="6"/>
        <v/>
      </c>
      <c r="AA38" s="101"/>
      <c r="AB38" s="938"/>
      <c r="AC38" s="138"/>
      <c r="AD38" s="138"/>
      <c r="AE38" s="934"/>
      <c r="AH38" s="30" t="str">
        <f>IFERROR(INDEX('G-6 Hedgerow Data'!$BJ$3:$BJ$15,MATCH(D38,'G-6 Hedgerow Data'!$B$3:$B$15,0)),"")</f>
        <v/>
      </c>
    </row>
    <row r="39" spans="2:34" ht="14">
      <c r="B39" s="97">
        <v>28</v>
      </c>
      <c r="C39" s="171"/>
      <c r="D39" s="58"/>
      <c r="E39" s="138"/>
      <c r="F39" s="275" t="str">
        <f>IF(D39="","",VLOOKUP(D39,'G-6 Hedgerow Data'!$B$2:$AG$15,2,FALSE))</f>
        <v/>
      </c>
      <c r="G39" s="299" t="str">
        <f>IF(D39="","",VLOOKUP(D39,'G-6 Hedgerow Data'!$B$2:$AG$15,3,FALSE))</f>
        <v/>
      </c>
      <c r="H39" s="53"/>
      <c r="I39" s="276" t="str">
        <f>IFERROR(IF(H39="","",IF(AND(D39="Non-native and ornamental hedgerow",H39&lt;&gt;"Poor"),"Not possible ▲",(IF(AND(F39="V.Low",OR(H39="Good",H39="Moderate")),"Error ▲",VLOOKUP(H39,'G-1 All Habitats'!$Z$2:$AA$9,2,FALSE))))),"")</f>
        <v/>
      </c>
      <c r="J39" s="102"/>
      <c r="K39" s="295" t="str">
        <f>IF(J39="","",IF(VLOOKUP(J39,'G-3 Multipliers'!$L$3:$N$6,2,FALSE)=0,"Spatial Data Missing",VLOOKUP(J39,'G-3 Multipliers'!$L$3:$N$6,2,FALSE)))</f>
        <v/>
      </c>
      <c r="L39" s="299" t="str">
        <f>IF(J39="","",IF(VLOOKUP(J39,'G-3 Multipliers'!$L$3:$N$6,3,FALSE)=0,"Spatial Data Missing",VLOOKUP(J39,'G-3 Multipliers'!$L$3:$N$6,3,FALSE)))</f>
        <v/>
      </c>
      <c r="M39" s="134"/>
      <c r="N39" s="276" t="str">
        <f>IF(M39="","",IF(VLOOKUP(M39,'G-3 Multipliers'!$S$3:$T$10,2,FALSE)=0,"Spatial Data Missing ⚠",VLOOKUP(M39,'G-3 Multipliers'!$S$3:$T$10,2,FALSE)))</f>
        <v/>
      </c>
      <c r="O39" s="275" t="str">
        <f>IF(OR(D39="",H39=""),"",(INDEX('G-6 Hedgerow Data'!$E$3:$I$15,MATCH(D39,'G-6 Hedgerow Data'!$B$3:$B$15,0),MATCH(H39,'G-6 Hedgerow Data'!$E$2:$I$2,0))))</f>
        <v/>
      </c>
      <c r="P39" s="133"/>
      <c r="Q39" s="133"/>
      <c r="R39" s="283" t="str">
        <f t="shared" si="1"/>
        <v/>
      </c>
      <c r="S39" s="296" t="str">
        <f t="shared" si="2"/>
        <v/>
      </c>
      <c r="T39" s="297" t="str">
        <f t="shared" si="0"/>
        <v/>
      </c>
      <c r="U39" s="311" t="str">
        <f>IF(D39="","",VLOOKUP(D39,'G-6 Hedgerow Data'!$B$3:$AG$15,31,FALSE))</f>
        <v/>
      </c>
      <c r="V39" s="295" t="str">
        <f t="shared" si="3"/>
        <v/>
      </c>
      <c r="W39" s="283" t="str">
        <f t="shared" si="4"/>
        <v/>
      </c>
      <c r="X39" s="299" t="str">
        <f>IF(F39="","",VLOOKUP(U39,'G-3 Multipliers'!$P$3:$Q$6,2,FALSE))</f>
        <v/>
      </c>
      <c r="Y39" s="303" t="str">
        <f t="shared" si="5"/>
        <v/>
      </c>
      <c r="Z39" s="303" t="str">
        <f t="shared" si="6"/>
        <v/>
      </c>
      <c r="AA39" s="101"/>
      <c r="AB39" s="938"/>
      <c r="AC39" s="138"/>
      <c r="AD39" s="138"/>
      <c r="AE39" s="934"/>
      <c r="AH39" s="30" t="str">
        <f>IFERROR(INDEX('G-6 Hedgerow Data'!$BJ$3:$BJ$15,MATCH(D39,'G-6 Hedgerow Data'!$B$3:$B$15,0)),"")</f>
        <v/>
      </c>
    </row>
    <row r="40" spans="2:34" ht="14">
      <c r="B40" s="97">
        <v>29</v>
      </c>
      <c r="C40" s="171"/>
      <c r="D40" s="58"/>
      <c r="E40" s="138"/>
      <c r="F40" s="275" t="str">
        <f>IF(D40="","",VLOOKUP(D40,'G-6 Hedgerow Data'!$B$2:$AG$15,2,FALSE))</f>
        <v/>
      </c>
      <c r="G40" s="299" t="str">
        <f>IF(D40="","",VLOOKUP(D40,'G-6 Hedgerow Data'!$B$2:$AG$15,3,FALSE))</f>
        <v/>
      </c>
      <c r="H40" s="53"/>
      <c r="I40" s="276" t="str">
        <f>IFERROR(IF(H40="","",IF(AND(D40="Non-native and ornamental hedgerow",H40&lt;&gt;"Poor"),"Not possible ▲",(IF(AND(F40="V.Low",OR(H40="Good",H40="Moderate")),"Error ▲",VLOOKUP(H40,'G-1 All Habitats'!$Z$2:$AA$9,2,FALSE))))),"")</f>
        <v/>
      </c>
      <c r="J40" s="102"/>
      <c r="K40" s="295" t="str">
        <f>IF(J40="","",IF(VLOOKUP(J40,'G-3 Multipliers'!$L$3:$N$6,2,FALSE)=0,"Spatial Data Missing",VLOOKUP(J40,'G-3 Multipliers'!$L$3:$N$6,2,FALSE)))</f>
        <v/>
      </c>
      <c r="L40" s="299" t="str">
        <f>IF(J40="","",IF(VLOOKUP(J40,'G-3 Multipliers'!$L$3:$N$6,3,FALSE)=0,"Spatial Data Missing",VLOOKUP(J40,'G-3 Multipliers'!$L$3:$N$6,3,FALSE)))</f>
        <v/>
      </c>
      <c r="M40" s="134"/>
      <c r="N40" s="276" t="str">
        <f>IF(M40="","",IF(VLOOKUP(M40,'G-3 Multipliers'!$S$3:$T$10,2,FALSE)=0,"Spatial Data Missing ⚠",VLOOKUP(M40,'G-3 Multipliers'!$S$3:$T$10,2,FALSE)))</f>
        <v/>
      </c>
      <c r="O40" s="275" t="str">
        <f>IF(OR(D40="",H40=""),"",(INDEX('G-6 Hedgerow Data'!$E$3:$I$15,MATCH(D40,'G-6 Hedgerow Data'!$B$3:$B$15,0),MATCH(H40,'G-6 Hedgerow Data'!$E$2:$I$2,0))))</f>
        <v/>
      </c>
      <c r="P40" s="133"/>
      <c r="Q40" s="133"/>
      <c r="R40" s="283" t="str">
        <f t="shared" si="1"/>
        <v/>
      </c>
      <c r="S40" s="296" t="str">
        <f t="shared" si="2"/>
        <v/>
      </c>
      <c r="T40" s="297" t="str">
        <f t="shared" si="0"/>
        <v/>
      </c>
      <c r="U40" s="311" t="str">
        <f>IF(D40="","",VLOOKUP(D40,'G-6 Hedgerow Data'!$B$3:$AG$15,31,FALSE))</f>
        <v/>
      </c>
      <c r="V40" s="295" t="str">
        <f t="shared" si="3"/>
        <v/>
      </c>
      <c r="W40" s="283" t="str">
        <f t="shared" si="4"/>
        <v/>
      </c>
      <c r="X40" s="299" t="str">
        <f>IF(F40="","",VLOOKUP(U40,'G-3 Multipliers'!$P$3:$Q$6,2,FALSE))</f>
        <v/>
      </c>
      <c r="Y40" s="303" t="str">
        <f t="shared" si="5"/>
        <v/>
      </c>
      <c r="Z40" s="303" t="str">
        <f t="shared" si="6"/>
        <v/>
      </c>
      <c r="AA40" s="101"/>
      <c r="AB40" s="938"/>
      <c r="AC40" s="138"/>
      <c r="AD40" s="138"/>
      <c r="AE40" s="934"/>
      <c r="AH40" s="30" t="str">
        <f>IFERROR(INDEX('G-6 Hedgerow Data'!$BJ$3:$BJ$15,MATCH(D40,'G-6 Hedgerow Data'!$B$3:$B$15,0)),"")</f>
        <v/>
      </c>
    </row>
    <row r="41" spans="2:34" ht="14">
      <c r="B41" s="97">
        <v>30</v>
      </c>
      <c r="C41" s="171"/>
      <c r="D41" s="58"/>
      <c r="E41" s="138"/>
      <c r="F41" s="275" t="str">
        <f>IF(D41="","",VLOOKUP(D41,'G-6 Hedgerow Data'!$B$2:$AG$15,2,FALSE))</f>
        <v/>
      </c>
      <c r="G41" s="299" t="str">
        <f>IF(D41="","",VLOOKUP(D41,'G-6 Hedgerow Data'!$B$2:$AG$15,3,FALSE))</f>
        <v/>
      </c>
      <c r="H41" s="53"/>
      <c r="I41" s="276" t="str">
        <f>IFERROR(IF(H41="","",IF(AND(D41="Non-native and ornamental hedgerow",H41&lt;&gt;"Poor"),"Not possible ▲",(IF(AND(F41="V.Low",OR(H41="Good",H41="Moderate")),"Error ▲",VLOOKUP(H41,'G-1 All Habitats'!$Z$2:$AA$9,2,FALSE))))),"")</f>
        <v/>
      </c>
      <c r="J41" s="102"/>
      <c r="K41" s="295" t="str">
        <f>IF(J41="","",IF(VLOOKUP(J41,'G-3 Multipliers'!$L$3:$N$6,2,FALSE)=0,"Spatial Data Missing",VLOOKUP(J41,'G-3 Multipliers'!$L$3:$N$6,2,FALSE)))</f>
        <v/>
      </c>
      <c r="L41" s="299" t="str">
        <f>IF(J41="","",IF(VLOOKUP(J41,'G-3 Multipliers'!$L$3:$N$6,3,FALSE)=0,"Spatial Data Missing",VLOOKUP(J41,'G-3 Multipliers'!$L$3:$N$6,3,FALSE)))</f>
        <v/>
      </c>
      <c r="M41" s="134"/>
      <c r="N41" s="276" t="str">
        <f>IF(M41="","",IF(VLOOKUP(M41,'G-3 Multipliers'!$S$3:$T$10,2,FALSE)=0,"Spatial Data Missing ⚠",VLOOKUP(M41,'G-3 Multipliers'!$S$3:$T$10,2,FALSE)))</f>
        <v/>
      </c>
      <c r="O41" s="275" t="str">
        <f>IF(OR(D41="",H41=""),"",(INDEX('G-6 Hedgerow Data'!$E$3:$I$15,MATCH(D41,'G-6 Hedgerow Data'!$B$3:$B$15,0),MATCH(H41,'G-6 Hedgerow Data'!$E$2:$I$2,0))))</f>
        <v/>
      </c>
      <c r="P41" s="133"/>
      <c r="Q41" s="133"/>
      <c r="R41" s="283" t="str">
        <f t="shared" si="1"/>
        <v/>
      </c>
      <c r="S41" s="296" t="str">
        <f t="shared" si="2"/>
        <v/>
      </c>
      <c r="T41" s="297" t="str">
        <f t="shared" si="0"/>
        <v/>
      </c>
      <c r="U41" s="311" t="str">
        <f>IF(D41="","",VLOOKUP(D41,'G-6 Hedgerow Data'!$B$3:$AG$15,31,FALSE))</f>
        <v/>
      </c>
      <c r="V41" s="295" t="str">
        <f t="shared" si="3"/>
        <v/>
      </c>
      <c r="W41" s="283" t="str">
        <f t="shared" si="4"/>
        <v/>
      </c>
      <c r="X41" s="299" t="str">
        <f>IF(F41="","",VLOOKUP(U41,'G-3 Multipliers'!$P$3:$Q$6,2,FALSE))</f>
        <v/>
      </c>
      <c r="Y41" s="303" t="str">
        <f t="shared" si="5"/>
        <v/>
      </c>
      <c r="Z41" s="303" t="str">
        <f t="shared" si="6"/>
        <v/>
      </c>
      <c r="AA41" s="101"/>
      <c r="AB41" s="938"/>
      <c r="AC41" s="138"/>
      <c r="AD41" s="138"/>
      <c r="AE41" s="934"/>
      <c r="AH41" s="30" t="str">
        <f>IFERROR(INDEX('G-6 Hedgerow Data'!$BJ$3:$BJ$15,MATCH(D41,'G-6 Hedgerow Data'!$B$3:$B$15,0)),"")</f>
        <v/>
      </c>
    </row>
    <row r="42" spans="2:34" ht="14">
      <c r="B42" s="97">
        <v>31</v>
      </c>
      <c r="C42" s="171"/>
      <c r="D42" s="58"/>
      <c r="E42" s="138"/>
      <c r="F42" s="275" t="str">
        <f>IF(D42="","",VLOOKUP(D42,'G-6 Hedgerow Data'!$B$2:$AG$15,2,FALSE))</f>
        <v/>
      </c>
      <c r="G42" s="299" t="str">
        <f>IF(D42="","",VLOOKUP(D42,'G-6 Hedgerow Data'!$B$2:$AG$15,3,FALSE))</f>
        <v/>
      </c>
      <c r="H42" s="53"/>
      <c r="I42" s="276" t="str">
        <f>IFERROR(IF(H42="","",IF(AND(D42="Non-native and ornamental hedgerow",H42&lt;&gt;"Poor"),"Not possible ▲",(IF(AND(F42="V.Low",OR(H42="Good",H42="Moderate")),"Error ▲",VLOOKUP(H42,'G-1 All Habitats'!$Z$2:$AA$9,2,FALSE))))),"")</f>
        <v/>
      </c>
      <c r="J42" s="102"/>
      <c r="K42" s="295" t="str">
        <f>IF(J42="","",IF(VLOOKUP(J42,'G-3 Multipliers'!$L$3:$N$6,2,FALSE)=0,"Spatial Data Missing",VLOOKUP(J42,'G-3 Multipliers'!$L$3:$N$6,2,FALSE)))</f>
        <v/>
      </c>
      <c r="L42" s="299" t="str">
        <f>IF(J42="","",IF(VLOOKUP(J42,'G-3 Multipliers'!$L$3:$N$6,3,FALSE)=0,"Spatial Data Missing",VLOOKUP(J42,'G-3 Multipliers'!$L$3:$N$6,3,FALSE)))</f>
        <v/>
      </c>
      <c r="M42" s="134"/>
      <c r="N42" s="276" t="str">
        <f>IF(M42="","",IF(VLOOKUP(M42,'G-3 Multipliers'!$S$3:$T$10,2,FALSE)=0,"Spatial Data Missing ⚠",VLOOKUP(M42,'G-3 Multipliers'!$S$3:$T$10,2,FALSE)))</f>
        <v/>
      </c>
      <c r="O42" s="275" t="str">
        <f>IF(OR(D42="",H42=""),"",(INDEX('G-6 Hedgerow Data'!$E$3:$I$15,MATCH(D42,'G-6 Hedgerow Data'!$B$3:$B$15,0),MATCH(H42,'G-6 Hedgerow Data'!$E$2:$I$2,0))))</f>
        <v/>
      </c>
      <c r="P42" s="133"/>
      <c r="Q42" s="133"/>
      <c r="R42" s="283" t="str">
        <f t="shared" si="1"/>
        <v/>
      </c>
      <c r="S42" s="296" t="str">
        <f t="shared" si="2"/>
        <v/>
      </c>
      <c r="T42" s="297" t="str">
        <f t="shared" si="0"/>
        <v/>
      </c>
      <c r="U42" s="311" t="str">
        <f>IF(D42="","",VLOOKUP(D42,'G-6 Hedgerow Data'!$B$3:$AG$15,31,FALSE))</f>
        <v/>
      </c>
      <c r="V42" s="295" t="str">
        <f t="shared" si="3"/>
        <v/>
      </c>
      <c r="W42" s="283" t="str">
        <f t="shared" si="4"/>
        <v/>
      </c>
      <c r="X42" s="299" t="str">
        <f>IF(F42="","",VLOOKUP(U42,'G-3 Multipliers'!$P$3:$Q$6,2,FALSE))</f>
        <v/>
      </c>
      <c r="Y42" s="303" t="str">
        <f t="shared" si="5"/>
        <v/>
      </c>
      <c r="Z42" s="303" t="str">
        <f t="shared" si="6"/>
        <v/>
      </c>
      <c r="AA42" s="101"/>
      <c r="AB42" s="938"/>
      <c r="AC42" s="138"/>
      <c r="AD42" s="138"/>
      <c r="AE42" s="934"/>
      <c r="AH42" s="30" t="str">
        <f>IFERROR(INDEX('G-6 Hedgerow Data'!$BJ$3:$BJ$15,MATCH(D42,'G-6 Hedgerow Data'!$B$3:$B$15,0)),"")</f>
        <v/>
      </c>
    </row>
    <row r="43" spans="2:34" ht="14">
      <c r="B43" s="97">
        <v>32</v>
      </c>
      <c r="C43" s="171"/>
      <c r="D43" s="58"/>
      <c r="E43" s="138"/>
      <c r="F43" s="275" t="str">
        <f>IF(D43="","",VLOOKUP(D43,'G-6 Hedgerow Data'!$B$2:$AG$15,2,FALSE))</f>
        <v/>
      </c>
      <c r="G43" s="299" t="str">
        <f>IF(D43="","",VLOOKUP(D43,'G-6 Hedgerow Data'!$B$2:$AG$15,3,FALSE))</f>
        <v/>
      </c>
      <c r="H43" s="53"/>
      <c r="I43" s="276" t="str">
        <f>IFERROR(IF(H43="","",IF(AND(D43="Non-native and ornamental hedgerow",H43&lt;&gt;"Poor"),"Not possible ▲",(IF(AND(F43="V.Low",OR(H43="Good",H43="Moderate")),"Error ▲",VLOOKUP(H43,'G-1 All Habitats'!$Z$2:$AA$9,2,FALSE))))),"")</f>
        <v/>
      </c>
      <c r="J43" s="102"/>
      <c r="K43" s="295" t="str">
        <f>IF(J43="","",IF(VLOOKUP(J43,'G-3 Multipliers'!$L$3:$N$6,2,FALSE)=0,"Spatial Data Missing",VLOOKUP(J43,'G-3 Multipliers'!$L$3:$N$6,2,FALSE)))</f>
        <v/>
      </c>
      <c r="L43" s="299" t="str">
        <f>IF(J43="","",IF(VLOOKUP(J43,'G-3 Multipliers'!$L$3:$N$6,3,FALSE)=0,"Spatial Data Missing",VLOOKUP(J43,'G-3 Multipliers'!$L$3:$N$6,3,FALSE)))</f>
        <v/>
      </c>
      <c r="M43" s="134"/>
      <c r="N43" s="276" t="str">
        <f>IF(M43="","",IF(VLOOKUP(M43,'G-3 Multipliers'!$S$3:$T$10,2,FALSE)=0,"Spatial Data Missing ⚠",VLOOKUP(M43,'G-3 Multipliers'!$S$3:$T$10,2,FALSE)))</f>
        <v/>
      </c>
      <c r="O43" s="275" t="str">
        <f>IF(OR(D43="",H43=""),"",(INDEX('G-6 Hedgerow Data'!$E$3:$I$15,MATCH(D43,'G-6 Hedgerow Data'!$B$3:$B$15,0),MATCH(H43,'G-6 Hedgerow Data'!$E$2:$I$2,0))))</f>
        <v/>
      </c>
      <c r="P43" s="133"/>
      <c r="Q43" s="133"/>
      <c r="R43" s="283" t="str">
        <f t="shared" si="1"/>
        <v/>
      </c>
      <c r="S43" s="296" t="str">
        <f t="shared" si="2"/>
        <v/>
      </c>
      <c r="T43" s="297" t="str">
        <f t="shared" si="0"/>
        <v/>
      </c>
      <c r="U43" s="311" t="str">
        <f>IF(D43="","",VLOOKUP(D43,'G-6 Hedgerow Data'!$B$3:$AG$15,31,FALSE))</f>
        <v/>
      </c>
      <c r="V43" s="295" t="str">
        <f t="shared" si="3"/>
        <v/>
      </c>
      <c r="W43" s="283" t="str">
        <f t="shared" si="4"/>
        <v/>
      </c>
      <c r="X43" s="299" t="str">
        <f>IF(F43="","",VLOOKUP(U43,'G-3 Multipliers'!$P$3:$Q$6,2,FALSE))</f>
        <v/>
      </c>
      <c r="Y43" s="303" t="str">
        <f t="shared" si="5"/>
        <v/>
      </c>
      <c r="Z43" s="303" t="str">
        <f t="shared" si="6"/>
        <v/>
      </c>
      <c r="AA43" s="101"/>
      <c r="AB43" s="938"/>
      <c r="AC43" s="138"/>
      <c r="AD43" s="138"/>
      <c r="AE43" s="934"/>
      <c r="AH43" s="30" t="str">
        <f>IFERROR(INDEX('G-6 Hedgerow Data'!$BJ$3:$BJ$15,MATCH(D43,'G-6 Hedgerow Data'!$B$3:$B$15,0)),"")</f>
        <v/>
      </c>
    </row>
    <row r="44" spans="2:34" ht="14">
      <c r="B44" s="97">
        <v>33</v>
      </c>
      <c r="C44" s="171"/>
      <c r="D44" s="58"/>
      <c r="E44" s="138"/>
      <c r="F44" s="275" t="str">
        <f>IF(D44="","",VLOOKUP(D44,'G-6 Hedgerow Data'!$B$2:$AG$15,2,FALSE))</f>
        <v/>
      </c>
      <c r="G44" s="299" t="str">
        <f>IF(D44="","",VLOOKUP(D44,'G-6 Hedgerow Data'!$B$2:$AG$15,3,FALSE))</f>
        <v/>
      </c>
      <c r="H44" s="53"/>
      <c r="I44" s="276" t="str">
        <f>IFERROR(IF(H44="","",IF(AND(D44="Non-native and ornamental hedgerow",H44&lt;&gt;"Poor"),"Not possible ▲",(IF(AND(F44="V.Low",OR(H44="Good",H44="Moderate")),"Error ▲",VLOOKUP(H44,'G-1 All Habitats'!$Z$2:$AA$9,2,FALSE))))),"")</f>
        <v/>
      </c>
      <c r="J44" s="102"/>
      <c r="K44" s="295" t="str">
        <f>IF(J44="","",IF(VLOOKUP(J44,'G-3 Multipliers'!$L$3:$N$6,2,FALSE)=0,"Spatial Data Missing",VLOOKUP(J44,'G-3 Multipliers'!$L$3:$N$6,2,FALSE)))</f>
        <v/>
      </c>
      <c r="L44" s="299" t="str">
        <f>IF(J44="","",IF(VLOOKUP(J44,'G-3 Multipliers'!$L$3:$N$6,3,FALSE)=0,"Spatial Data Missing",VLOOKUP(J44,'G-3 Multipliers'!$L$3:$N$6,3,FALSE)))</f>
        <v/>
      </c>
      <c r="M44" s="134"/>
      <c r="N44" s="276" t="str">
        <f>IF(M44="","",IF(VLOOKUP(M44,'G-3 Multipliers'!$S$3:$T$10,2,FALSE)=0,"Spatial Data Missing ⚠",VLOOKUP(M44,'G-3 Multipliers'!$S$3:$T$10,2,FALSE)))</f>
        <v/>
      </c>
      <c r="O44" s="275" t="str">
        <f>IF(OR(D44="",H44=""),"",(INDEX('G-6 Hedgerow Data'!$E$3:$I$15,MATCH(D44,'G-6 Hedgerow Data'!$B$3:$B$15,0),MATCH(H44,'G-6 Hedgerow Data'!$E$2:$I$2,0))))</f>
        <v/>
      </c>
      <c r="P44" s="133"/>
      <c r="Q44" s="133"/>
      <c r="R44" s="283" t="str">
        <f t="shared" si="1"/>
        <v/>
      </c>
      <c r="S44" s="296" t="str">
        <f t="shared" si="2"/>
        <v/>
      </c>
      <c r="T44" s="297" t="str">
        <f t="shared" si="0"/>
        <v/>
      </c>
      <c r="U44" s="311" t="str">
        <f>IF(D44="","",VLOOKUP(D44,'G-6 Hedgerow Data'!$B$3:$AG$15,31,FALSE))</f>
        <v/>
      </c>
      <c r="V44" s="295" t="str">
        <f t="shared" si="3"/>
        <v/>
      </c>
      <c r="W44" s="283" t="str">
        <f t="shared" si="4"/>
        <v/>
      </c>
      <c r="X44" s="299" t="str">
        <f>IF(F44="","",VLOOKUP(U44,'G-3 Multipliers'!$P$3:$Q$6,2,FALSE))</f>
        <v/>
      </c>
      <c r="Y44" s="303" t="str">
        <f t="shared" si="5"/>
        <v/>
      </c>
      <c r="Z44" s="303" t="str">
        <f t="shared" si="6"/>
        <v/>
      </c>
      <c r="AA44" s="101"/>
      <c r="AB44" s="938"/>
      <c r="AC44" s="138"/>
      <c r="AD44" s="138"/>
      <c r="AE44" s="934"/>
      <c r="AH44" s="30" t="str">
        <f>IFERROR(INDEX('G-6 Hedgerow Data'!$BJ$3:$BJ$15,MATCH(D44,'G-6 Hedgerow Data'!$B$3:$B$15,0)),"")</f>
        <v/>
      </c>
    </row>
    <row r="45" spans="2:34" ht="14">
      <c r="B45" s="97">
        <v>34</v>
      </c>
      <c r="C45" s="171"/>
      <c r="D45" s="58"/>
      <c r="E45" s="138"/>
      <c r="F45" s="275" t="str">
        <f>IF(D45="","",VLOOKUP(D45,'G-6 Hedgerow Data'!$B$2:$AG$15,2,FALSE))</f>
        <v/>
      </c>
      <c r="G45" s="299" t="str">
        <f>IF(D45="","",VLOOKUP(D45,'G-6 Hedgerow Data'!$B$2:$AG$15,3,FALSE))</f>
        <v/>
      </c>
      <c r="H45" s="53"/>
      <c r="I45" s="276" t="str">
        <f>IFERROR(IF(H45="","",IF(AND(D45="Non-native and ornamental hedgerow",H45&lt;&gt;"Poor"),"Not possible ▲",(IF(AND(F45="V.Low",OR(H45="Good",H45="Moderate")),"Error ▲",VLOOKUP(H45,'G-1 All Habitats'!$Z$2:$AA$9,2,FALSE))))),"")</f>
        <v/>
      </c>
      <c r="J45" s="102"/>
      <c r="K45" s="295" t="str">
        <f>IF(J45="","",IF(VLOOKUP(J45,'G-3 Multipliers'!$L$3:$N$6,2,FALSE)=0,"Spatial Data Missing",VLOOKUP(J45,'G-3 Multipliers'!$L$3:$N$6,2,FALSE)))</f>
        <v/>
      </c>
      <c r="L45" s="299" t="str">
        <f>IF(J45="","",IF(VLOOKUP(J45,'G-3 Multipliers'!$L$3:$N$6,3,FALSE)=0,"Spatial Data Missing",VLOOKUP(J45,'G-3 Multipliers'!$L$3:$N$6,3,FALSE)))</f>
        <v/>
      </c>
      <c r="M45" s="134"/>
      <c r="N45" s="276" t="str">
        <f>IF(M45="","",IF(VLOOKUP(M45,'G-3 Multipliers'!$S$3:$T$10,2,FALSE)=0,"Spatial Data Missing ⚠",VLOOKUP(M45,'G-3 Multipliers'!$S$3:$T$10,2,FALSE)))</f>
        <v/>
      </c>
      <c r="O45" s="275" t="str">
        <f>IF(OR(D45="",H45=""),"",(INDEX('G-6 Hedgerow Data'!$E$3:$I$15,MATCH(D45,'G-6 Hedgerow Data'!$B$3:$B$15,0),MATCH(H45,'G-6 Hedgerow Data'!$E$2:$I$2,0))))</f>
        <v/>
      </c>
      <c r="P45" s="133"/>
      <c r="Q45" s="133"/>
      <c r="R45" s="283" t="str">
        <f t="shared" si="1"/>
        <v/>
      </c>
      <c r="S45" s="296" t="str">
        <f t="shared" si="2"/>
        <v/>
      </c>
      <c r="T45" s="297" t="str">
        <f t="shared" si="0"/>
        <v/>
      </c>
      <c r="U45" s="311" t="str">
        <f>IF(D45="","",VLOOKUP(D45,'G-6 Hedgerow Data'!$B$3:$AG$15,31,FALSE))</f>
        <v/>
      </c>
      <c r="V45" s="295" t="str">
        <f t="shared" si="3"/>
        <v/>
      </c>
      <c r="W45" s="283" t="str">
        <f t="shared" si="4"/>
        <v/>
      </c>
      <c r="X45" s="299" t="str">
        <f>IF(F45="","",VLOOKUP(U45,'G-3 Multipliers'!$P$3:$Q$6,2,FALSE))</f>
        <v/>
      </c>
      <c r="Y45" s="303" t="str">
        <f t="shared" si="5"/>
        <v/>
      </c>
      <c r="Z45" s="303" t="str">
        <f t="shared" si="6"/>
        <v/>
      </c>
      <c r="AA45" s="101"/>
      <c r="AB45" s="938"/>
      <c r="AC45" s="138"/>
      <c r="AD45" s="138"/>
      <c r="AE45" s="934"/>
      <c r="AH45" s="30" t="str">
        <f>IFERROR(INDEX('G-6 Hedgerow Data'!$BJ$3:$BJ$15,MATCH(D45,'G-6 Hedgerow Data'!$B$3:$B$15,0)),"")</f>
        <v/>
      </c>
    </row>
    <row r="46" spans="2:34" ht="14">
      <c r="B46" s="97">
        <v>35</v>
      </c>
      <c r="C46" s="171"/>
      <c r="D46" s="58"/>
      <c r="E46" s="138"/>
      <c r="F46" s="275" t="str">
        <f>IF(D46="","",VLOOKUP(D46,'G-6 Hedgerow Data'!$B$2:$AG$15,2,FALSE))</f>
        <v/>
      </c>
      <c r="G46" s="299" t="str">
        <f>IF(D46="","",VLOOKUP(D46,'G-6 Hedgerow Data'!$B$2:$AG$15,3,FALSE))</f>
        <v/>
      </c>
      <c r="H46" s="53"/>
      <c r="I46" s="276" t="str">
        <f>IFERROR(IF(H46="","",IF(AND(D46="Non-native and ornamental hedgerow",H46&lt;&gt;"Poor"),"Not possible ▲",(IF(AND(F46="V.Low",OR(H46="Good",H46="Moderate")),"Error ▲",VLOOKUP(H46,'G-1 All Habitats'!$Z$2:$AA$9,2,FALSE))))),"")</f>
        <v/>
      </c>
      <c r="J46" s="102"/>
      <c r="K46" s="295" t="str">
        <f>IF(J46="","",IF(VLOOKUP(J46,'G-3 Multipliers'!$L$3:$N$6,2,FALSE)=0,"Spatial Data Missing",VLOOKUP(J46,'G-3 Multipliers'!$L$3:$N$6,2,FALSE)))</f>
        <v/>
      </c>
      <c r="L46" s="299" t="str">
        <f>IF(J46="","",IF(VLOOKUP(J46,'G-3 Multipliers'!$L$3:$N$6,3,FALSE)=0,"Spatial Data Missing",VLOOKUP(J46,'G-3 Multipliers'!$L$3:$N$6,3,FALSE)))</f>
        <v/>
      </c>
      <c r="M46" s="134"/>
      <c r="N46" s="276" t="str">
        <f>IF(M46="","",IF(VLOOKUP(M46,'G-3 Multipliers'!$S$3:$T$10,2,FALSE)=0,"Spatial Data Missing ⚠",VLOOKUP(M46,'G-3 Multipliers'!$S$3:$T$10,2,FALSE)))</f>
        <v/>
      </c>
      <c r="O46" s="275" t="str">
        <f>IF(OR(D46="",H46=""),"",(INDEX('G-6 Hedgerow Data'!$E$3:$I$15,MATCH(D46,'G-6 Hedgerow Data'!$B$3:$B$15,0),MATCH(H46,'G-6 Hedgerow Data'!$E$2:$I$2,0))))</f>
        <v/>
      </c>
      <c r="P46" s="133"/>
      <c r="Q46" s="133"/>
      <c r="R46" s="283" t="str">
        <f t="shared" si="1"/>
        <v/>
      </c>
      <c r="S46" s="296" t="str">
        <f t="shared" si="2"/>
        <v/>
      </c>
      <c r="T46" s="297" t="str">
        <f t="shared" si="0"/>
        <v/>
      </c>
      <c r="U46" s="311" t="str">
        <f>IF(D46="","",VLOOKUP(D46,'G-6 Hedgerow Data'!$B$3:$AG$15,31,FALSE))</f>
        <v/>
      </c>
      <c r="V46" s="295" t="str">
        <f t="shared" si="3"/>
        <v/>
      </c>
      <c r="W46" s="283" t="str">
        <f t="shared" si="4"/>
        <v/>
      </c>
      <c r="X46" s="299" t="str">
        <f>IF(F46="","",VLOOKUP(U46,'G-3 Multipliers'!$P$3:$Q$6,2,FALSE))</f>
        <v/>
      </c>
      <c r="Y46" s="303" t="str">
        <f t="shared" si="5"/>
        <v/>
      </c>
      <c r="Z46" s="303" t="str">
        <f t="shared" si="6"/>
        <v/>
      </c>
      <c r="AA46" s="101"/>
      <c r="AB46" s="938"/>
      <c r="AC46" s="138"/>
      <c r="AD46" s="138"/>
      <c r="AE46" s="934"/>
      <c r="AH46" s="30" t="str">
        <f>IFERROR(INDEX('G-6 Hedgerow Data'!$BJ$3:$BJ$15,MATCH(D46,'G-6 Hedgerow Data'!$B$3:$B$15,0)),"")</f>
        <v/>
      </c>
    </row>
    <row r="47" spans="2:34" ht="14">
      <c r="B47" s="97">
        <v>36</v>
      </c>
      <c r="C47" s="171"/>
      <c r="D47" s="58"/>
      <c r="E47" s="138"/>
      <c r="F47" s="275" t="str">
        <f>IF(D47="","",VLOOKUP(D47,'G-6 Hedgerow Data'!$B$2:$AG$15,2,FALSE))</f>
        <v/>
      </c>
      <c r="G47" s="299" t="str">
        <f>IF(D47="","",VLOOKUP(D47,'G-6 Hedgerow Data'!$B$2:$AG$15,3,FALSE))</f>
        <v/>
      </c>
      <c r="H47" s="53"/>
      <c r="I47" s="276" t="str">
        <f>IFERROR(IF(H47="","",IF(AND(D47="Non-native and ornamental hedgerow",H47&lt;&gt;"Poor"),"Not possible ▲",(IF(AND(F47="V.Low",OR(H47="Good",H47="Moderate")),"Error ▲",VLOOKUP(H47,'G-1 All Habitats'!$Z$2:$AA$9,2,FALSE))))),"")</f>
        <v/>
      </c>
      <c r="J47" s="102"/>
      <c r="K47" s="295" t="str">
        <f>IF(J47="","",IF(VLOOKUP(J47,'G-3 Multipliers'!$L$3:$N$6,2,FALSE)=0,"Spatial Data Missing",VLOOKUP(J47,'G-3 Multipliers'!$L$3:$N$6,2,FALSE)))</f>
        <v/>
      </c>
      <c r="L47" s="299" t="str">
        <f>IF(J47="","",IF(VLOOKUP(J47,'G-3 Multipliers'!$L$3:$N$6,3,FALSE)=0,"Spatial Data Missing",VLOOKUP(J47,'G-3 Multipliers'!$L$3:$N$6,3,FALSE)))</f>
        <v/>
      </c>
      <c r="M47" s="134"/>
      <c r="N47" s="276" t="str">
        <f>IF(M47="","",IF(VLOOKUP(M47,'G-3 Multipliers'!$S$3:$T$10,2,FALSE)=0,"Spatial Data Missing ⚠",VLOOKUP(M47,'G-3 Multipliers'!$S$3:$T$10,2,FALSE)))</f>
        <v/>
      </c>
      <c r="O47" s="275" t="str">
        <f>IF(OR(D47="",H47=""),"",(INDEX('G-6 Hedgerow Data'!$E$3:$I$15,MATCH(D47,'G-6 Hedgerow Data'!$B$3:$B$15,0),MATCH(H47,'G-6 Hedgerow Data'!$E$2:$I$2,0))))</f>
        <v/>
      </c>
      <c r="P47" s="133"/>
      <c r="Q47" s="133"/>
      <c r="R47" s="283" t="str">
        <f t="shared" si="1"/>
        <v/>
      </c>
      <c r="S47" s="296" t="str">
        <f t="shared" si="2"/>
        <v/>
      </c>
      <c r="T47" s="297" t="str">
        <f t="shared" si="0"/>
        <v/>
      </c>
      <c r="U47" s="311" t="str">
        <f>IF(D47="","",VLOOKUP(D47,'G-6 Hedgerow Data'!$B$3:$AG$15,31,FALSE))</f>
        <v/>
      </c>
      <c r="V47" s="295" t="str">
        <f t="shared" si="3"/>
        <v/>
      </c>
      <c r="W47" s="283" t="str">
        <f t="shared" si="4"/>
        <v/>
      </c>
      <c r="X47" s="299" t="str">
        <f>IF(F47="","",VLOOKUP(U47,'G-3 Multipliers'!$P$3:$Q$6,2,FALSE))</f>
        <v/>
      </c>
      <c r="Y47" s="303" t="str">
        <f t="shared" si="5"/>
        <v/>
      </c>
      <c r="Z47" s="303" t="str">
        <f t="shared" si="6"/>
        <v/>
      </c>
      <c r="AA47" s="101"/>
      <c r="AB47" s="938"/>
      <c r="AC47" s="138"/>
      <c r="AD47" s="138"/>
      <c r="AE47" s="934"/>
      <c r="AH47" s="30" t="str">
        <f>IFERROR(INDEX('G-6 Hedgerow Data'!$BJ$3:$BJ$15,MATCH(D47,'G-6 Hedgerow Data'!$B$3:$B$15,0)),"")</f>
        <v/>
      </c>
    </row>
    <row r="48" spans="2:34" ht="14">
      <c r="B48" s="97">
        <v>37</v>
      </c>
      <c r="C48" s="171"/>
      <c r="D48" s="58"/>
      <c r="E48" s="138"/>
      <c r="F48" s="275" t="str">
        <f>IF(D48="","",VLOOKUP(D48,'G-6 Hedgerow Data'!$B$2:$AG$15,2,FALSE))</f>
        <v/>
      </c>
      <c r="G48" s="299" t="str">
        <f>IF(D48="","",VLOOKUP(D48,'G-6 Hedgerow Data'!$B$2:$AG$15,3,FALSE))</f>
        <v/>
      </c>
      <c r="H48" s="53"/>
      <c r="I48" s="276" t="str">
        <f>IFERROR(IF(H48="","",IF(AND(D48="Non-native and ornamental hedgerow",H48&lt;&gt;"Poor"),"Not possible ▲",(IF(AND(F48="V.Low",OR(H48="Good",H48="Moderate")),"Error ▲",VLOOKUP(H48,'G-1 All Habitats'!$Z$2:$AA$9,2,FALSE))))),"")</f>
        <v/>
      </c>
      <c r="J48" s="102"/>
      <c r="K48" s="295" t="str">
        <f>IF(J48="","",IF(VLOOKUP(J48,'G-3 Multipliers'!$L$3:$N$6,2,FALSE)=0,"Spatial Data Missing",VLOOKUP(J48,'G-3 Multipliers'!$L$3:$N$6,2,FALSE)))</f>
        <v/>
      </c>
      <c r="L48" s="299" t="str">
        <f>IF(J48="","",IF(VLOOKUP(J48,'G-3 Multipliers'!$L$3:$N$6,3,FALSE)=0,"Spatial Data Missing",VLOOKUP(J48,'G-3 Multipliers'!$L$3:$N$6,3,FALSE)))</f>
        <v/>
      </c>
      <c r="M48" s="134"/>
      <c r="N48" s="276" t="str">
        <f>IF(M48="","",IF(VLOOKUP(M48,'G-3 Multipliers'!$S$3:$T$10,2,FALSE)=0,"Spatial Data Missing ⚠",VLOOKUP(M48,'G-3 Multipliers'!$S$3:$T$10,2,FALSE)))</f>
        <v/>
      </c>
      <c r="O48" s="275" t="str">
        <f>IF(OR(D48="",H48=""),"",(INDEX('G-6 Hedgerow Data'!$E$3:$I$15,MATCH(D48,'G-6 Hedgerow Data'!$B$3:$B$15,0),MATCH(H48,'G-6 Hedgerow Data'!$E$2:$I$2,0))))</f>
        <v/>
      </c>
      <c r="P48" s="133"/>
      <c r="Q48" s="133"/>
      <c r="R48" s="283" t="str">
        <f t="shared" si="1"/>
        <v/>
      </c>
      <c r="S48" s="296" t="str">
        <f t="shared" si="2"/>
        <v/>
      </c>
      <c r="T48" s="297" t="str">
        <f t="shared" si="0"/>
        <v/>
      </c>
      <c r="U48" s="311" t="str">
        <f>IF(D48="","",VLOOKUP(D48,'G-6 Hedgerow Data'!$B$3:$AG$15,31,FALSE))</f>
        <v/>
      </c>
      <c r="V48" s="295" t="str">
        <f t="shared" si="3"/>
        <v/>
      </c>
      <c r="W48" s="283" t="str">
        <f t="shared" si="4"/>
        <v/>
      </c>
      <c r="X48" s="299" t="str">
        <f>IF(F48="","",VLOOKUP(U48,'G-3 Multipliers'!$P$3:$Q$6,2,FALSE))</f>
        <v/>
      </c>
      <c r="Y48" s="303" t="str">
        <f t="shared" si="5"/>
        <v/>
      </c>
      <c r="Z48" s="303" t="str">
        <f t="shared" si="6"/>
        <v/>
      </c>
      <c r="AA48" s="101"/>
      <c r="AB48" s="938"/>
      <c r="AC48" s="138"/>
      <c r="AD48" s="138"/>
      <c r="AE48" s="934"/>
      <c r="AH48" s="30" t="str">
        <f>IFERROR(INDEX('G-6 Hedgerow Data'!$BJ$3:$BJ$15,MATCH(D48,'G-6 Hedgerow Data'!$B$3:$B$15,0)),"")</f>
        <v/>
      </c>
    </row>
    <row r="49" spans="2:34" ht="14">
      <c r="B49" s="97">
        <v>38</v>
      </c>
      <c r="C49" s="171"/>
      <c r="D49" s="58"/>
      <c r="E49" s="138"/>
      <c r="F49" s="275" t="str">
        <f>IF(D49="","",VLOOKUP(D49,'G-6 Hedgerow Data'!$B$2:$AG$15,2,FALSE))</f>
        <v/>
      </c>
      <c r="G49" s="299" t="str">
        <f>IF(D49="","",VLOOKUP(D49,'G-6 Hedgerow Data'!$B$2:$AG$15,3,FALSE))</f>
        <v/>
      </c>
      <c r="H49" s="53"/>
      <c r="I49" s="276" t="str">
        <f>IFERROR(IF(H49="","",IF(AND(D49="Non-native and ornamental hedgerow",H49&lt;&gt;"Poor"),"Not possible ▲",(IF(AND(F49="V.Low",OR(H49="Good",H49="Moderate")),"Error ▲",VLOOKUP(H49,'G-1 All Habitats'!$Z$2:$AA$9,2,FALSE))))),"")</f>
        <v/>
      </c>
      <c r="J49" s="102"/>
      <c r="K49" s="295" t="str">
        <f>IF(J49="","",IF(VLOOKUP(J49,'G-3 Multipliers'!$L$3:$N$6,2,FALSE)=0,"Spatial Data Missing",VLOOKUP(J49,'G-3 Multipliers'!$L$3:$N$6,2,FALSE)))</f>
        <v/>
      </c>
      <c r="L49" s="299" t="str">
        <f>IF(J49="","",IF(VLOOKUP(J49,'G-3 Multipliers'!$L$3:$N$6,3,FALSE)=0,"Spatial Data Missing",VLOOKUP(J49,'G-3 Multipliers'!$L$3:$N$6,3,FALSE)))</f>
        <v/>
      </c>
      <c r="M49" s="134"/>
      <c r="N49" s="276" t="str">
        <f>IF(M49="","",IF(VLOOKUP(M49,'G-3 Multipliers'!$S$3:$T$10,2,FALSE)=0,"Spatial Data Missing ⚠",VLOOKUP(M49,'G-3 Multipliers'!$S$3:$T$10,2,FALSE)))</f>
        <v/>
      </c>
      <c r="O49" s="275" t="str">
        <f>IF(OR(D49="",H49=""),"",(INDEX('G-6 Hedgerow Data'!$E$3:$I$15,MATCH(D49,'G-6 Hedgerow Data'!$B$3:$B$15,0),MATCH(H49,'G-6 Hedgerow Data'!$E$2:$I$2,0))))</f>
        <v/>
      </c>
      <c r="P49" s="133"/>
      <c r="Q49" s="133"/>
      <c r="R49" s="283" t="str">
        <f t="shared" si="1"/>
        <v/>
      </c>
      <c r="S49" s="296" t="str">
        <f t="shared" si="2"/>
        <v/>
      </c>
      <c r="T49" s="297" t="str">
        <f t="shared" si="0"/>
        <v/>
      </c>
      <c r="U49" s="311" t="str">
        <f>IF(D49="","",VLOOKUP(D49,'G-6 Hedgerow Data'!$B$3:$AG$15,31,FALSE))</f>
        <v/>
      </c>
      <c r="V49" s="295" t="str">
        <f t="shared" si="3"/>
        <v/>
      </c>
      <c r="W49" s="283" t="str">
        <f t="shared" si="4"/>
        <v/>
      </c>
      <c r="X49" s="299" t="str">
        <f>IF(F49="","",VLOOKUP(U49,'G-3 Multipliers'!$P$3:$Q$6,2,FALSE))</f>
        <v/>
      </c>
      <c r="Y49" s="303" t="str">
        <f t="shared" si="5"/>
        <v/>
      </c>
      <c r="Z49" s="303" t="str">
        <f t="shared" si="6"/>
        <v/>
      </c>
      <c r="AA49" s="101"/>
      <c r="AB49" s="938"/>
      <c r="AC49" s="138"/>
      <c r="AD49" s="138"/>
      <c r="AE49" s="934"/>
      <c r="AH49" s="30" t="str">
        <f>IFERROR(INDEX('G-6 Hedgerow Data'!$BJ$3:$BJ$15,MATCH(D49,'G-6 Hedgerow Data'!$B$3:$B$15,0)),"")</f>
        <v/>
      </c>
    </row>
    <row r="50" spans="2:34" ht="14">
      <c r="B50" s="97">
        <v>39</v>
      </c>
      <c r="C50" s="171"/>
      <c r="D50" s="58"/>
      <c r="E50" s="138"/>
      <c r="F50" s="275" t="str">
        <f>IF(D50="","",VLOOKUP(D50,'G-6 Hedgerow Data'!$B$2:$AG$15,2,FALSE))</f>
        <v/>
      </c>
      <c r="G50" s="299" t="str">
        <f>IF(D50="","",VLOOKUP(D50,'G-6 Hedgerow Data'!$B$2:$AG$15,3,FALSE))</f>
        <v/>
      </c>
      <c r="H50" s="53"/>
      <c r="I50" s="276" t="str">
        <f>IFERROR(IF(H50="","",IF(AND(D50="Non-native and ornamental hedgerow",H50&lt;&gt;"Poor"),"Not possible ▲",(IF(AND(F50="V.Low",OR(H50="Good",H50="Moderate")),"Error ▲",VLOOKUP(H50,'G-1 All Habitats'!$Z$2:$AA$9,2,FALSE))))),"")</f>
        <v/>
      </c>
      <c r="J50" s="102"/>
      <c r="K50" s="295" t="str">
        <f>IF(J50="","",IF(VLOOKUP(J50,'G-3 Multipliers'!$L$3:$N$6,2,FALSE)=0,"Spatial Data Missing",VLOOKUP(J50,'G-3 Multipliers'!$L$3:$N$6,2,FALSE)))</f>
        <v/>
      </c>
      <c r="L50" s="299" t="str">
        <f>IF(J50="","",IF(VLOOKUP(J50,'G-3 Multipliers'!$L$3:$N$6,3,FALSE)=0,"Spatial Data Missing",VLOOKUP(J50,'G-3 Multipliers'!$L$3:$N$6,3,FALSE)))</f>
        <v/>
      </c>
      <c r="M50" s="134"/>
      <c r="N50" s="276" t="str">
        <f>IF(M50="","",IF(VLOOKUP(M50,'G-3 Multipliers'!$S$3:$T$10,2,FALSE)=0,"Spatial Data Missing ⚠",VLOOKUP(M50,'G-3 Multipliers'!$S$3:$T$10,2,FALSE)))</f>
        <v/>
      </c>
      <c r="O50" s="275" t="str">
        <f>IF(OR(D50="",H50=""),"",(INDEX('G-6 Hedgerow Data'!$E$3:$I$15,MATCH(D50,'G-6 Hedgerow Data'!$B$3:$B$15,0),MATCH(H50,'G-6 Hedgerow Data'!$E$2:$I$2,0))))</f>
        <v/>
      </c>
      <c r="P50" s="133"/>
      <c r="Q50" s="133"/>
      <c r="R50" s="283" t="str">
        <f t="shared" si="1"/>
        <v/>
      </c>
      <c r="S50" s="296" t="str">
        <f t="shared" si="2"/>
        <v/>
      </c>
      <c r="T50" s="297" t="str">
        <f t="shared" si="0"/>
        <v/>
      </c>
      <c r="U50" s="311" t="str">
        <f>IF(D50="","",VLOOKUP(D50,'G-6 Hedgerow Data'!$B$3:$AG$15,31,FALSE))</f>
        <v/>
      </c>
      <c r="V50" s="295" t="str">
        <f t="shared" si="3"/>
        <v/>
      </c>
      <c r="W50" s="283" t="str">
        <f t="shared" si="4"/>
        <v/>
      </c>
      <c r="X50" s="299" t="str">
        <f>IF(F50="","",VLOOKUP(U50,'G-3 Multipliers'!$P$3:$Q$6,2,FALSE))</f>
        <v/>
      </c>
      <c r="Y50" s="303" t="str">
        <f t="shared" si="5"/>
        <v/>
      </c>
      <c r="Z50" s="303" t="str">
        <f t="shared" si="6"/>
        <v/>
      </c>
      <c r="AA50" s="101"/>
      <c r="AB50" s="938"/>
      <c r="AC50" s="138"/>
      <c r="AD50" s="138"/>
      <c r="AE50" s="934"/>
      <c r="AH50" s="30" t="str">
        <f>IFERROR(INDEX('G-6 Hedgerow Data'!$BJ$3:$BJ$15,MATCH(D50,'G-6 Hedgerow Data'!$B$3:$B$15,0)),"")</f>
        <v/>
      </c>
    </row>
    <row r="51" spans="2:34" ht="14">
      <c r="B51" s="97">
        <v>40</v>
      </c>
      <c r="C51" s="171"/>
      <c r="D51" s="58"/>
      <c r="E51" s="138"/>
      <c r="F51" s="275" t="str">
        <f>IF(D51="","",VLOOKUP(D51,'G-6 Hedgerow Data'!$B$2:$AG$15,2,FALSE))</f>
        <v/>
      </c>
      <c r="G51" s="299" t="str">
        <f>IF(D51="","",VLOOKUP(D51,'G-6 Hedgerow Data'!$B$2:$AG$15,3,FALSE))</f>
        <v/>
      </c>
      <c r="H51" s="53"/>
      <c r="I51" s="276" t="str">
        <f>IFERROR(IF(H51="","",IF(AND(D51="Non-native and ornamental hedgerow",H51&lt;&gt;"Poor"),"Not possible ▲",(IF(AND(F51="V.Low",OR(H51="Good",H51="Moderate")),"Error ▲",VLOOKUP(H51,'G-1 All Habitats'!$Z$2:$AA$9,2,FALSE))))),"")</f>
        <v/>
      </c>
      <c r="J51" s="102"/>
      <c r="K51" s="295" t="str">
        <f>IF(J51="","",IF(VLOOKUP(J51,'G-3 Multipliers'!$L$3:$N$6,2,FALSE)=0,"Spatial Data Missing",VLOOKUP(J51,'G-3 Multipliers'!$L$3:$N$6,2,FALSE)))</f>
        <v/>
      </c>
      <c r="L51" s="299" t="str">
        <f>IF(J51="","",IF(VLOOKUP(J51,'G-3 Multipliers'!$L$3:$N$6,3,FALSE)=0,"Spatial Data Missing",VLOOKUP(J51,'G-3 Multipliers'!$L$3:$N$6,3,FALSE)))</f>
        <v/>
      </c>
      <c r="M51" s="134"/>
      <c r="N51" s="276" t="str">
        <f>IF(M51="","",IF(VLOOKUP(M51,'G-3 Multipliers'!$S$3:$T$10,2,FALSE)=0,"Spatial Data Missing ⚠",VLOOKUP(M51,'G-3 Multipliers'!$S$3:$T$10,2,FALSE)))</f>
        <v/>
      </c>
      <c r="O51" s="275" t="str">
        <f>IF(OR(D51="",H51=""),"",(INDEX('G-6 Hedgerow Data'!$E$3:$I$15,MATCH(D51,'G-6 Hedgerow Data'!$B$3:$B$15,0),MATCH(H51,'G-6 Hedgerow Data'!$E$2:$I$2,0))))</f>
        <v/>
      </c>
      <c r="P51" s="133"/>
      <c r="Q51" s="133"/>
      <c r="R51" s="283" t="str">
        <f t="shared" si="1"/>
        <v/>
      </c>
      <c r="S51" s="296" t="str">
        <f t="shared" si="2"/>
        <v/>
      </c>
      <c r="T51" s="297" t="str">
        <f t="shared" si="0"/>
        <v/>
      </c>
      <c r="U51" s="311" t="str">
        <f>IF(D51="","",VLOOKUP(D51,'G-6 Hedgerow Data'!$B$3:$AG$15,31,FALSE))</f>
        <v/>
      </c>
      <c r="V51" s="295" t="str">
        <f t="shared" si="3"/>
        <v/>
      </c>
      <c r="W51" s="283" t="str">
        <f t="shared" si="4"/>
        <v/>
      </c>
      <c r="X51" s="299" t="str">
        <f>IF(F51="","",VLOOKUP(U51,'G-3 Multipliers'!$P$3:$Q$6,2,FALSE))</f>
        <v/>
      </c>
      <c r="Y51" s="303" t="str">
        <f t="shared" si="5"/>
        <v/>
      </c>
      <c r="Z51" s="303" t="str">
        <f t="shared" si="6"/>
        <v/>
      </c>
      <c r="AA51" s="101"/>
      <c r="AB51" s="938"/>
      <c r="AC51" s="138"/>
      <c r="AD51" s="138"/>
      <c r="AE51" s="934"/>
      <c r="AH51" s="30" t="str">
        <f>IFERROR(INDEX('G-6 Hedgerow Data'!$BJ$3:$BJ$15,MATCH(D51,'G-6 Hedgerow Data'!$B$3:$B$15,0)),"")</f>
        <v/>
      </c>
    </row>
    <row r="52" spans="2:34" ht="14">
      <c r="B52" s="97">
        <v>41</v>
      </c>
      <c r="C52" s="171"/>
      <c r="D52" s="58"/>
      <c r="E52" s="138"/>
      <c r="F52" s="275" t="str">
        <f>IF(D52="","",VLOOKUP(D52,'G-6 Hedgerow Data'!$B$2:$AG$15,2,FALSE))</f>
        <v/>
      </c>
      <c r="G52" s="299" t="str">
        <f>IF(D52="","",VLOOKUP(D52,'G-6 Hedgerow Data'!$B$2:$AG$15,3,FALSE))</f>
        <v/>
      </c>
      <c r="H52" s="53"/>
      <c r="I52" s="276" t="str">
        <f>IFERROR(IF(H52="","",IF(AND(D52="Non-native and ornamental hedgerow",H52&lt;&gt;"Poor"),"Not possible ▲",(IF(AND(F52="V.Low",OR(H52="Good",H52="Moderate")),"Error ▲",VLOOKUP(H52,'G-1 All Habitats'!$Z$2:$AA$9,2,FALSE))))),"")</f>
        <v/>
      </c>
      <c r="J52" s="102"/>
      <c r="K52" s="295" t="str">
        <f>IF(J52="","",IF(VLOOKUP(J52,'G-3 Multipliers'!$L$3:$N$6,2,FALSE)=0,"Spatial Data Missing",VLOOKUP(J52,'G-3 Multipliers'!$L$3:$N$6,2,FALSE)))</f>
        <v/>
      </c>
      <c r="L52" s="299" t="str">
        <f>IF(J52="","",IF(VLOOKUP(J52,'G-3 Multipliers'!$L$3:$N$6,3,FALSE)=0,"Spatial Data Missing",VLOOKUP(J52,'G-3 Multipliers'!$L$3:$N$6,3,FALSE)))</f>
        <v/>
      </c>
      <c r="M52" s="134"/>
      <c r="N52" s="276" t="str">
        <f>IF(M52="","",IF(VLOOKUP(M52,'G-3 Multipliers'!$S$3:$T$10,2,FALSE)=0,"Spatial Data Missing ⚠",VLOOKUP(M52,'G-3 Multipliers'!$S$3:$T$10,2,FALSE)))</f>
        <v/>
      </c>
      <c r="O52" s="275" t="str">
        <f>IF(OR(D52="",H52=""),"",(INDEX('G-6 Hedgerow Data'!$E$3:$I$15,MATCH(D52,'G-6 Hedgerow Data'!$B$3:$B$15,0),MATCH(H52,'G-6 Hedgerow Data'!$E$2:$I$2,0))))</f>
        <v/>
      </c>
      <c r="P52" s="133"/>
      <c r="Q52" s="133"/>
      <c r="R52" s="283" t="str">
        <f t="shared" si="1"/>
        <v/>
      </c>
      <c r="S52" s="296" t="str">
        <f t="shared" si="2"/>
        <v/>
      </c>
      <c r="T52" s="297" t="str">
        <f t="shared" si="0"/>
        <v/>
      </c>
      <c r="U52" s="311" t="str">
        <f>IF(D52="","",VLOOKUP(D52,'G-6 Hedgerow Data'!$B$3:$AG$15,31,FALSE))</f>
        <v/>
      </c>
      <c r="V52" s="295" t="str">
        <f t="shared" si="3"/>
        <v/>
      </c>
      <c r="W52" s="283" t="str">
        <f t="shared" si="4"/>
        <v/>
      </c>
      <c r="X52" s="299" t="str">
        <f>IF(F52="","",VLOOKUP(U52,'G-3 Multipliers'!$P$3:$Q$6,2,FALSE))</f>
        <v/>
      </c>
      <c r="Y52" s="303" t="str">
        <f t="shared" si="5"/>
        <v/>
      </c>
      <c r="Z52" s="303" t="str">
        <f t="shared" si="6"/>
        <v/>
      </c>
      <c r="AA52" s="101"/>
      <c r="AB52" s="938"/>
      <c r="AC52" s="138"/>
      <c r="AD52" s="138"/>
      <c r="AE52" s="934"/>
      <c r="AH52" s="30" t="str">
        <f>IFERROR(INDEX('G-6 Hedgerow Data'!$BJ$3:$BJ$15,MATCH(D52,'G-6 Hedgerow Data'!$B$3:$B$15,0)),"")</f>
        <v/>
      </c>
    </row>
    <row r="53" spans="2:34" ht="14">
      <c r="B53" s="97">
        <v>42</v>
      </c>
      <c r="C53" s="171"/>
      <c r="D53" s="58"/>
      <c r="E53" s="138"/>
      <c r="F53" s="275" t="str">
        <f>IF(D53="","",VLOOKUP(D53,'G-6 Hedgerow Data'!$B$2:$AG$15,2,FALSE))</f>
        <v/>
      </c>
      <c r="G53" s="299" t="str">
        <f>IF(D53="","",VLOOKUP(D53,'G-6 Hedgerow Data'!$B$2:$AG$15,3,FALSE))</f>
        <v/>
      </c>
      <c r="H53" s="53"/>
      <c r="I53" s="276" t="str">
        <f>IFERROR(IF(H53="","",IF(AND(D53="Non-native and ornamental hedgerow",H53&lt;&gt;"Poor"),"Not possible ▲",(IF(AND(F53="V.Low",OR(H53="Good",H53="Moderate")),"Error ▲",VLOOKUP(H53,'G-1 All Habitats'!$Z$2:$AA$9,2,FALSE))))),"")</f>
        <v/>
      </c>
      <c r="J53" s="102"/>
      <c r="K53" s="295" t="str">
        <f>IF(J53="","",IF(VLOOKUP(J53,'G-3 Multipliers'!$L$3:$N$6,2,FALSE)=0,"Spatial Data Missing",VLOOKUP(J53,'G-3 Multipliers'!$L$3:$N$6,2,FALSE)))</f>
        <v/>
      </c>
      <c r="L53" s="299" t="str">
        <f>IF(J53="","",IF(VLOOKUP(J53,'G-3 Multipliers'!$L$3:$N$6,3,FALSE)=0,"Spatial Data Missing",VLOOKUP(J53,'G-3 Multipliers'!$L$3:$N$6,3,FALSE)))</f>
        <v/>
      </c>
      <c r="M53" s="134"/>
      <c r="N53" s="276" t="str">
        <f>IF(M53="","",IF(VLOOKUP(M53,'G-3 Multipliers'!$S$3:$T$10,2,FALSE)=0,"Spatial Data Missing ⚠",VLOOKUP(M53,'G-3 Multipliers'!$S$3:$T$10,2,FALSE)))</f>
        <v/>
      </c>
      <c r="O53" s="275" t="str">
        <f>IF(OR(D53="",H53=""),"",(INDEX('G-6 Hedgerow Data'!$E$3:$I$15,MATCH(D53,'G-6 Hedgerow Data'!$B$3:$B$15,0),MATCH(H53,'G-6 Hedgerow Data'!$E$2:$I$2,0))))</f>
        <v/>
      </c>
      <c r="P53" s="133"/>
      <c r="Q53" s="133"/>
      <c r="R53" s="283" t="str">
        <f t="shared" si="1"/>
        <v/>
      </c>
      <c r="S53" s="296" t="str">
        <f t="shared" si="2"/>
        <v/>
      </c>
      <c r="T53" s="297" t="str">
        <f t="shared" si="0"/>
        <v/>
      </c>
      <c r="U53" s="311" t="str">
        <f>IF(D53="","",VLOOKUP(D53,'G-6 Hedgerow Data'!$B$3:$AG$15,31,FALSE))</f>
        <v/>
      </c>
      <c r="V53" s="295" t="str">
        <f t="shared" si="3"/>
        <v/>
      </c>
      <c r="W53" s="283" t="str">
        <f t="shared" si="4"/>
        <v/>
      </c>
      <c r="X53" s="299" t="str">
        <f>IF(F53="","",VLOOKUP(U53,'G-3 Multipliers'!$P$3:$Q$6,2,FALSE))</f>
        <v/>
      </c>
      <c r="Y53" s="303" t="str">
        <f t="shared" si="5"/>
        <v/>
      </c>
      <c r="Z53" s="303" t="str">
        <f t="shared" si="6"/>
        <v/>
      </c>
      <c r="AA53" s="101"/>
      <c r="AB53" s="938"/>
      <c r="AC53" s="138"/>
      <c r="AD53" s="138"/>
      <c r="AE53" s="934"/>
      <c r="AH53" s="30" t="str">
        <f>IFERROR(INDEX('G-6 Hedgerow Data'!$BJ$3:$BJ$15,MATCH(D53,'G-6 Hedgerow Data'!$B$3:$B$15,0)),"")</f>
        <v/>
      </c>
    </row>
    <row r="54" spans="2:34" ht="14">
      <c r="B54" s="97">
        <v>43</v>
      </c>
      <c r="C54" s="171"/>
      <c r="D54" s="58"/>
      <c r="E54" s="138"/>
      <c r="F54" s="275" t="str">
        <f>IF(D54="","",VLOOKUP(D54,'G-6 Hedgerow Data'!$B$2:$AG$15,2,FALSE))</f>
        <v/>
      </c>
      <c r="G54" s="299" t="str">
        <f>IF(D54="","",VLOOKUP(D54,'G-6 Hedgerow Data'!$B$2:$AG$15,3,FALSE))</f>
        <v/>
      </c>
      <c r="H54" s="53"/>
      <c r="I54" s="276" t="str">
        <f>IFERROR(IF(H54="","",IF(AND(D54="Non-native and ornamental hedgerow",H54&lt;&gt;"Poor"),"Not possible ▲",(IF(AND(F54="V.Low",OR(H54="Good",H54="Moderate")),"Error ▲",VLOOKUP(H54,'G-1 All Habitats'!$Z$2:$AA$9,2,FALSE))))),"")</f>
        <v/>
      </c>
      <c r="J54" s="102"/>
      <c r="K54" s="295" t="str">
        <f>IF(J54="","",IF(VLOOKUP(J54,'G-3 Multipliers'!$L$3:$N$6,2,FALSE)=0,"Spatial Data Missing",VLOOKUP(J54,'G-3 Multipliers'!$L$3:$N$6,2,FALSE)))</f>
        <v/>
      </c>
      <c r="L54" s="299" t="str">
        <f>IF(J54="","",IF(VLOOKUP(J54,'G-3 Multipliers'!$L$3:$N$6,3,FALSE)=0,"Spatial Data Missing",VLOOKUP(J54,'G-3 Multipliers'!$L$3:$N$6,3,FALSE)))</f>
        <v/>
      </c>
      <c r="M54" s="134"/>
      <c r="N54" s="276" t="str">
        <f>IF(M54="","",IF(VLOOKUP(M54,'G-3 Multipliers'!$S$3:$T$10,2,FALSE)=0,"Spatial Data Missing ⚠",VLOOKUP(M54,'G-3 Multipliers'!$S$3:$T$10,2,FALSE)))</f>
        <v/>
      </c>
      <c r="O54" s="275" t="str">
        <f>IF(OR(D54="",H54=""),"",(INDEX('G-6 Hedgerow Data'!$E$3:$I$15,MATCH(D54,'G-6 Hedgerow Data'!$B$3:$B$15,0),MATCH(H54,'G-6 Hedgerow Data'!$E$2:$I$2,0))))</f>
        <v/>
      </c>
      <c r="P54" s="133"/>
      <c r="Q54" s="133"/>
      <c r="R54" s="283" t="str">
        <f t="shared" si="1"/>
        <v/>
      </c>
      <c r="S54" s="296" t="str">
        <f t="shared" si="2"/>
        <v/>
      </c>
      <c r="T54" s="297" t="str">
        <f t="shared" si="0"/>
        <v/>
      </c>
      <c r="U54" s="311" t="str">
        <f>IF(D54="","",VLOOKUP(D54,'G-6 Hedgerow Data'!$B$3:$AG$15,31,FALSE))</f>
        <v/>
      </c>
      <c r="V54" s="295" t="str">
        <f t="shared" si="3"/>
        <v/>
      </c>
      <c r="W54" s="283" t="str">
        <f t="shared" si="4"/>
        <v/>
      </c>
      <c r="X54" s="299" t="str">
        <f>IF(F54="","",VLOOKUP(U54,'G-3 Multipliers'!$P$3:$Q$6,2,FALSE))</f>
        <v/>
      </c>
      <c r="Y54" s="303" t="str">
        <f t="shared" si="5"/>
        <v/>
      </c>
      <c r="Z54" s="303" t="str">
        <f t="shared" si="6"/>
        <v/>
      </c>
      <c r="AA54" s="101"/>
      <c r="AB54" s="938"/>
      <c r="AC54" s="138"/>
      <c r="AD54" s="138"/>
      <c r="AE54" s="934"/>
      <c r="AH54" s="30" t="str">
        <f>IFERROR(INDEX('G-6 Hedgerow Data'!$BJ$3:$BJ$15,MATCH(D54,'G-6 Hedgerow Data'!$B$3:$B$15,0)),"")</f>
        <v/>
      </c>
    </row>
    <row r="55" spans="2:34" ht="14">
      <c r="B55" s="97">
        <v>44</v>
      </c>
      <c r="C55" s="171"/>
      <c r="D55" s="58"/>
      <c r="E55" s="138"/>
      <c r="F55" s="275" t="str">
        <f>IF(D55="","",VLOOKUP(D55,'G-6 Hedgerow Data'!$B$2:$AG$15,2,FALSE))</f>
        <v/>
      </c>
      <c r="G55" s="299" t="str">
        <f>IF(D55="","",VLOOKUP(D55,'G-6 Hedgerow Data'!$B$2:$AG$15,3,FALSE))</f>
        <v/>
      </c>
      <c r="H55" s="53"/>
      <c r="I55" s="276" t="str">
        <f>IFERROR(IF(H55="","",IF(AND(D55="Non-native and ornamental hedgerow",H55&lt;&gt;"Poor"),"Not possible ▲",(IF(AND(F55="V.Low",OR(H55="Good",H55="Moderate")),"Error ▲",VLOOKUP(H55,'G-1 All Habitats'!$Z$2:$AA$9,2,FALSE))))),"")</f>
        <v/>
      </c>
      <c r="J55" s="102"/>
      <c r="K55" s="295" t="str">
        <f>IF(J55="","",IF(VLOOKUP(J55,'G-3 Multipliers'!$L$3:$N$6,2,FALSE)=0,"Spatial Data Missing",VLOOKUP(J55,'G-3 Multipliers'!$L$3:$N$6,2,FALSE)))</f>
        <v/>
      </c>
      <c r="L55" s="299" t="str">
        <f>IF(J55="","",IF(VLOOKUP(J55,'G-3 Multipliers'!$L$3:$N$6,3,FALSE)=0,"Spatial Data Missing",VLOOKUP(J55,'G-3 Multipliers'!$L$3:$N$6,3,FALSE)))</f>
        <v/>
      </c>
      <c r="M55" s="134"/>
      <c r="N55" s="276" t="str">
        <f>IF(M55="","",IF(VLOOKUP(M55,'G-3 Multipliers'!$S$3:$T$10,2,FALSE)=0,"Spatial Data Missing ⚠",VLOOKUP(M55,'G-3 Multipliers'!$S$3:$T$10,2,FALSE)))</f>
        <v/>
      </c>
      <c r="O55" s="275" t="str">
        <f>IF(OR(D55="",H55=""),"",(INDEX('G-6 Hedgerow Data'!$E$3:$I$15,MATCH(D55,'G-6 Hedgerow Data'!$B$3:$B$15,0),MATCH(H55,'G-6 Hedgerow Data'!$E$2:$I$2,0))))</f>
        <v/>
      </c>
      <c r="P55" s="133"/>
      <c r="Q55" s="133"/>
      <c r="R55" s="283" t="str">
        <f t="shared" si="1"/>
        <v/>
      </c>
      <c r="S55" s="296" t="str">
        <f t="shared" si="2"/>
        <v/>
      </c>
      <c r="T55" s="297" t="str">
        <f t="shared" si="0"/>
        <v/>
      </c>
      <c r="U55" s="311" t="str">
        <f>IF(D55="","",VLOOKUP(D55,'G-6 Hedgerow Data'!$B$3:$AG$15,31,FALSE))</f>
        <v/>
      </c>
      <c r="V55" s="295" t="str">
        <f t="shared" si="3"/>
        <v/>
      </c>
      <c r="W55" s="283" t="str">
        <f t="shared" si="4"/>
        <v/>
      </c>
      <c r="X55" s="299" t="str">
        <f>IF(F55="","",VLOOKUP(U55,'G-3 Multipliers'!$P$3:$Q$6,2,FALSE))</f>
        <v/>
      </c>
      <c r="Y55" s="303" t="str">
        <f t="shared" si="5"/>
        <v/>
      </c>
      <c r="Z55" s="303" t="str">
        <f t="shared" si="6"/>
        <v/>
      </c>
      <c r="AA55" s="101"/>
      <c r="AB55" s="938"/>
      <c r="AC55" s="138"/>
      <c r="AD55" s="138"/>
      <c r="AE55" s="934"/>
      <c r="AH55" s="30" t="str">
        <f>IFERROR(INDEX('G-6 Hedgerow Data'!$BJ$3:$BJ$15,MATCH(D55,'G-6 Hedgerow Data'!$B$3:$B$15,0)),"")</f>
        <v/>
      </c>
    </row>
    <row r="56" spans="2:34" ht="14">
      <c r="B56" s="97">
        <v>45</v>
      </c>
      <c r="C56" s="171"/>
      <c r="D56" s="58"/>
      <c r="E56" s="138"/>
      <c r="F56" s="275" t="str">
        <f>IF(D56="","",VLOOKUP(D56,'G-6 Hedgerow Data'!$B$2:$AG$15,2,FALSE))</f>
        <v/>
      </c>
      <c r="G56" s="299" t="str">
        <f>IF(D56="","",VLOOKUP(D56,'G-6 Hedgerow Data'!$B$2:$AG$15,3,FALSE))</f>
        <v/>
      </c>
      <c r="H56" s="53"/>
      <c r="I56" s="276" t="str">
        <f>IFERROR(IF(H56="","",IF(AND(D56="Non-native and ornamental hedgerow",H56&lt;&gt;"Poor"),"Not possible ▲",(IF(AND(F56="V.Low",OR(H56="Good",H56="Moderate")),"Error ▲",VLOOKUP(H56,'G-1 All Habitats'!$Z$2:$AA$9,2,FALSE))))),"")</f>
        <v/>
      </c>
      <c r="J56" s="102"/>
      <c r="K56" s="295" t="str">
        <f>IF(J56="","",IF(VLOOKUP(J56,'G-3 Multipliers'!$L$3:$N$6,2,FALSE)=0,"Spatial Data Missing",VLOOKUP(J56,'G-3 Multipliers'!$L$3:$N$6,2,FALSE)))</f>
        <v/>
      </c>
      <c r="L56" s="299" t="str">
        <f>IF(J56="","",IF(VLOOKUP(J56,'G-3 Multipliers'!$L$3:$N$6,3,FALSE)=0,"Spatial Data Missing",VLOOKUP(J56,'G-3 Multipliers'!$L$3:$N$6,3,FALSE)))</f>
        <v/>
      </c>
      <c r="M56" s="134"/>
      <c r="N56" s="276" t="str">
        <f>IF(M56="","",IF(VLOOKUP(M56,'G-3 Multipliers'!$S$3:$T$10,2,FALSE)=0,"Spatial Data Missing ⚠",VLOOKUP(M56,'G-3 Multipliers'!$S$3:$T$10,2,FALSE)))</f>
        <v/>
      </c>
      <c r="O56" s="275" t="str">
        <f>IF(OR(D56="",H56=""),"",(INDEX('G-6 Hedgerow Data'!$E$3:$I$15,MATCH(D56,'G-6 Hedgerow Data'!$B$3:$B$15,0),MATCH(H56,'G-6 Hedgerow Data'!$E$2:$I$2,0))))</f>
        <v/>
      </c>
      <c r="P56" s="133"/>
      <c r="Q56" s="133"/>
      <c r="R56" s="283" t="str">
        <f t="shared" si="1"/>
        <v/>
      </c>
      <c r="S56" s="296" t="str">
        <f t="shared" si="2"/>
        <v/>
      </c>
      <c r="T56" s="297" t="str">
        <f t="shared" si="0"/>
        <v/>
      </c>
      <c r="U56" s="311" t="str">
        <f>IF(D56="","",VLOOKUP(D56,'G-6 Hedgerow Data'!$B$3:$AG$15,31,FALSE))</f>
        <v/>
      </c>
      <c r="V56" s="295" t="str">
        <f t="shared" si="3"/>
        <v/>
      </c>
      <c r="W56" s="283" t="str">
        <f t="shared" si="4"/>
        <v/>
      </c>
      <c r="X56" s="299" t="str">
        <f>IF(F56="","",VLOOKUP(U56,'G-3 Multipliers'!$P$3:$Q$6,2,FALSE))</f>
        <v/>
      </c>
      <c r="Y56" s="303" t="str">
        <f t="shared" si="5"/>
        <v/>
      </c>
      <c r="Z56" s="303" t="str">
        <f t="shared" si="6"/>
        <v/>
      </c>
      <c r="AA56" s="101"/>
      <c r="AB56" s="938"/>
      <c r="AC56" s="138"/>
      <c r="AD56" s="138"/>
      <c r="AE56" s="934"/>
      <c r="AH56" s="30" t="str">
        <f>IFERROR(INDEX('G-6 Hedgerow Data'!$BJ$3:$BJ$15,MATCH(D56,'G-6 Hedgerow Data'!$B$3:$B$15,0)),"")</f>
        <v/>
      </c>
    </row>
    <row r="57" spans="2:34" ht="14">
      <c r="B57" s="97">
        <v>46</v>
      </c>
      <c r="C57" s="171"/>
      <c r="D57" s="58"/>
      <c r="E57" s="138"/>
      <c r="F57" s="275" t="str">
        <f>IF(D57="","",VLOOKUP(D57,'G-6 Hedgerow Data'!$B$2:$AG$15,2,FALSE))</f>
        <v/>
      </c>
      <c r="G57" s="299" t="str">
        <f>IF(D57="","",VLOOKUP(D57,'G-6 Hedgerow Data'!$B$2:$AG$15,3,FALSE))</f>
        <v/>
      </c>
      <c r="H57" s="53"/>
      <c r="I57" s="276" t="str">
        <f>IFERROR(IF(H57="","",IF(AND(D57="Non-native and ornamental hedgerow",H57&lt;&gt;"Poor"),"Not possible ▲",(IF(AND(F57="V.Low",OR(H57="Good",H57="Moderate")),"Error ▲",VLOOKUP(H57,'G-1 All Habitats'!$Z$2:$AA$9,2,FALSE))))),"")</f>
        <v/>
      </c>
      <c r="J57" s="102"/>
      <c r="K57" s="295" t="str">
        <f>IF(J57="","",IF(VLOOKUP(J57,'G-3 Multipliers'!$L$3:$N$6,2,FALSE)=0,"Spatial Data Missing",VLOOKUP(J57,'G-3 Multipliers'!$L$3:$N$6,2,FALSE)))</f>
        <v/>
      </c>
      <c r="L57" s="299" t="str">
        <f>IF(J57="","",IF(VLOOKUP(J57,'G-3 Multipliers'!$L$3:$N$6,3,FALSE)=0,"Spatial Data Missing",VLOOKUP(J57,'G-3 Multipliers'!$L$3:$N$6,3,FALSE)))</f>
        <v/>
      </c>
      <c r="M57" s="134"/>
      <c r="N57" s="276" t="str">
        <f>IF(M57="","",IF(VLOOKUP(M57,'G-3 Multipliers'!$S$3:$T$10,2,FALSE)=0,"Spatial Data Missing ⚠",VLOOKUP(M57,'G-3 Multipliers'!$S$3:$T$10,2,FALSE)))</f>
        <v/>
      </c>
      <c r="O57" s="275" t="str">
        <f>IF(OR(D57="",H57=""),"",(INDEX('G-6 Hedgerow Data'!$E$3:$I$15,MATCH(D57,'G-6 Hedgerow Data'!$B$3:$B$15,0),MATCH(H57,'G-6 Hedgerow Data'!$E$2:$I$2,0))))</f>
        <v/>
      </c>
      <c r="P57" s="133"/>
      <c r="Q57" s="133"/>
      <c r="R57" s="283" t="str">
        <f t="shared" si="1"/>
        <v/>
      </c>
      <c r="S57" s="296" t="str">
        <f t="shared" si="2"/>
        <v/>
      </c>
      <c r="T57" s="297" t="str">
        <f t="shared" si="0"/>
        <v/>
      </c>
      <c r="U57" s="311" t="str">
        <f>IF(D57="","",VLOOKUP(D57,'G-6 Hedgerow Data'!$B$3:$AG$15,31,FALSE))</f>
        <v/>
      </c>
      <c r="V57" s="295" t="str">
        <f t="shared" si="3"/>
        <v/>
      </c>
      <c r="W57" s="283" t="str">
        <f t="shared" si="4"/>
        <v/>
      </c>
      <c r="X57" s="299" t="str">
        <f>IF(F57="","",VLOOKUP(U57,'G-3 Multipliers'!$P$3:$Q$6,2,FALSE))</f>
        <v/>
      </c>
      <c r="Y57" s="303" t="str">
        <f t="shared" si="5"/>
        <v/>
      </c>
      <c r="Z57" s="303" t="str">
        <f t="shared" si="6"/>
        <v/>
      </c>
      <c r="AA57" s="101"/>
      <c r="AB57" s="938"/>
      <c r="AC57" s="138"/>
      <c r="AD57" s="138"/>
      <c r="AE57" s="934"/>
      <c r="AH57" s="30" t="str">
        <f>IFERROR(INDEX('G-6 Hedgerow Data'!$BJ$3:$BJ$15,MATCH(D57,'G-6 Hedgerow Data'!$B$3:$B$15,0)),"")</f>
        <v/>
      </c>
    </row>
    <row r="58" spans="2:34" ht="14">
      <c r="B58" s="97">
        <v>47</v>
      </c>
      <c r="C58" s="171"/>
      <c r="D58" s="58"/>
      <c r="E58" s="138"/>
      <c r="F58" s="275" t="str">
        <f>IF(D58="","",VLOOKUP(D58,'G-6 Hedgerow Data'!$B$2:$AG$15,2,FALSE))</f>
        <v/>
      </c>
      <c r="G58" s="299" t="str">
        <f>IF(D58="","",VLOOKUP(D58,'G-6 Hedgerow Data'!$B$2:$AG$15,3,FALSE))</f>
        <v/>
      </c>
      <c r="H58" s="53"/>
      <c r="I58" s="276" t="str">
        <f>IFERROR(IF(H58="","",IF(AND(D58="Non-native and ornamental hedgerow",H58&lt;&gt;"Poor"),"Not possible ▲",(IF(AND(F58="V.Low",OR(H58="Good",H58="Moderate")),"Error ▲",VLOOKUP(H58,'G-1 All Habitats'!$Z$2:$AA$9,2,FALSE))))),"")</f>
        <v/>
      </c>
      <c r="J58" s="102"/>
      <c r="K58" s="295" t="str">
        <f>IF(J58="","",IF(VLOOKUP(J58,'G-3 Multipliers'!$L$3:$N$6,2,FALSE)=0,"Spatial Data Missing",VLOOKUP(J58,'G-3 Multipliers'!$L$3:$N$6,2,FALSE)))</f>
        <v/>
      </c>
      <c r="L58" s="299" t="str">
        <f>IF(J58="","",IF(VLOOKUP(J58,'G-3 Multipliers'!$L$3:$N$6,3,FALSE)=0,"Spatial Data Missing",VLOOKUP(J58,'G-3 Multipliers'!$L$3:$N$6,3,FALSE)))</f>
        <v/>
      </c>
      <c r="M58" s="134"/>
      <c r="N58" s="276" t="str">
        <f>IF(M58="","",IF(VLOOKUP(M58,'G-3 Multipliers'!$S$3:$T$10,2,FALSE)=0,"Spatial Data Missing ⚠",VLOOKUP(M58,'G-3 Multipliers'!$S$3:$T$10,2,FALSE)))</f>
        <v/>
      </c>
      <c r="O58" s="275" t="str">
        <f>IF(OR(D58="",H58=""),"",(INDEX('G-6 Hedgerow Data'!$E$3:$I$15,MATCH(D58,'G-6 Hedgerow Data'!$B$3:$B$15,0),MATCH(H58,'G-6 Hedgerow Data'!$E$2:$I$2,0))))</f>
        <v/>
      </c>
      <c r="P58" s="133"/>
      <c r="Q58" s="133"/>
      <c r="R58" s="283" t="str">
        <f t="shared" si="1"/>
        <v/>
      </c>
      <c r="S58" s="296" t="str">
        <f t="shared" si="2"/>
        <v/>
      </c>
      <c r="T58" s="297" t="str">
        <f t="shared" si="0"/>
        <v/>
      </c>
      <c r="U58" s="311" t="str">
        <f>IF(D58="","",VLOOKUP(D58,'G-6 Hedgerow Data'!$B$3:$AG$15,31,FALSE))</f>
        <v/>
      </c>
      <c r="V58" s="295" t="str">
        <f t="shared" si="3"/>
        <v/>
      </c>
      <c r="W58" s="283" t="str">
        <f t="shared" si="4"/>
        <v/>
      </c>
      <c r="X58" s="299" t="str">
        <f>IF(F58="","",VLOOKUP(U58,'G-3 Multipliers'!$P$3:$Q$6,2,FALSE))</f>
        <v/>
      </c>
      <c r="Y58" s="303" t="str">
        <f t="shared" si="5"/>
        <v/>
      </c>
      <c r="Z58" s="303" t="str">
        <f t="shared" si="6"/>
        <v/>
      </c>
      <c r="AA58" s="101"/>
      <c r="AB58" s="938"/>
      <c r="AC58" s="138"/>
      <c r="AD58" s="138"/>
      <c r="AE58" s="934"/>
      <c r="AH58" s="30" t="str">
        <f>IFERROR(INDEX('G-6 Hedgerow Data'!$BJ$3:$BJ$15,MATCH(D58,'G-6 Hedgerow Data'!$B$3:$B$15,0)),"")</f>
        <v/>
      </c>
    </row>
    <row r="59" spans="2:34" ht="14">
      <c r="B59" s="97">
        <v>48</v>
      </c>
      <c r="C59" s="171"/>
      <c r="D59" s="58"/>
      <c r="E59" s="138"/>
      <c r="F59" s="275" t="str">
        <f>IF(D59="","",VLOOKUP(D59,'G-6 Hedgerow Data'!$B$2:$AG$15,2,FALSE))</f>
        <v/>
      </c>
      <c r="G59" s="299" t="str">
        <f>IF(D59="","",VLOOKUP(D59,'G-6 Hedgerow Data'!$B$2:$AG$15,3,FALSE))</f>
        <v/>
      </c>
      <c r="H59" s="53"/>
      <c r="I59" s="276" t="str">
        <f>IFERROR(IF(H59="","",IF(AND(D59="Non-native and ornamental hedgerow",H59&lt;&gt;"Poor"),"Not possible ▲",(IF(AND(F59="V.Low",OR(H59="Good",H59="Moderate")),"Error ▲",VLOOKUP(H59,'G-1 All Habitats'!$Z$2:$AA$9,2,FALSE))))),"")</f>
        <v/>
      </c>
      <c r="J59" s="102"/>
      <c r="K59" s="295" t="str">
        <f>IF(J59="","",IF(VLOOKUP(J59,'G-3 Multipliers'!$L$3:$N$6,2,FALSE)=0,"Spatial Data Missing",VLOOKUP(J59,'G-3 Multipliers'!$L$3:$N$6,2,FALSE)))</f>
        <v/>
      </c>
      <c r="L59" s="299" t="str">
        <f>IF(J59="","",IF(VLOOKUP(J59,'G-3 Multipliers'!$L$3:$N$6,3,FALSE)=0,"Spatial Data Missing",VLOOKUP(J59,'G-3 Multipliers'!$L$3:$N$6,3,FALSE)))</f>
        <v/>
      </c>
      <c r="M59" s="134"/>
      <c r="N59" s="276" t="str">
        <f>IF(M59="","",IF(VLOOKUP(M59,'G-3 Multipliers'!$S$3:$T$10,2,FALSE)=0,"Spatial Data Missing ⚠",VLOOKUP(M59,'G-3 Multipliers'!$S$3:$T$10,2,FALSE)))</f>
        <v/>
      </c>
      <c r="O59" s="275" t="str">
        <f>IF(OR(D59="",H59=""),"",(INDEX('G-6 Hedgerow Data'!$E$3:$I$15,MATCH(D59,'G-6 Hedgerow Data'!$B$3:$B$15,0),MATCH(H59,'G-6 Hedgerow Data'!$E$2:$I$2,0))))</f>
        <v/>
      </c>
      <c r="P59" s="133"/>
      <c r="Q59" s="133"/>
      <c r="R59" s="283" t="str">
        <f t="shared" si="1"/>
        <v/>
      </c>
      <c r="S59" s="296" t="str">
        <f t="shared" si="2"/>
        <v/>
      </c>
      <c r="T59" s="297" t="str">
        <f t="shared" si="0"/>
        <v/>
      </c>
      <c r="U59" s="311" t="str">
        <f>IF(D59="","",VLOOKUP(D59,'G-6 Hedgerow Data'!$B$3:$AG$15,31,FALSE))</f>
        <v/>
      </c>
      <c r="V59" s="295" t="str">
        <f t="shared" si="3"/>
        <v/>
      </c>
      <c r="W59" s="283" t="str">
        <f t="shared" si="4"/>
        <v/>
      </c>
      <c r="X59" s="299" t="str">
        <f>IF(F59="","",VLOOKUP(U59,'G-3 Multipliers'!$P$3:$Q$6,2,FALSE))</f>
        <v/>
      </c>
      <c r="Y59" s="303" t="str">
        <f t="shared" si="5"/>
        <v/>
      </c>
      <c r="Z59" s="303" t="str">
        <f t="shared" si="6"/>
        <v/>
      </c>
      <c r="AA59" s="101"/>
      <c r="AB59" s="938"/>
      <c r="AC59" s="138"/>
      <c r="AD59" s="138"/>
      <c r="AE59" s="934"/>
      <c r="AH59" s="30" t="str">
        <f>IFERROR(INDEX('G-6 Hedgerow Data'!$BJ$3:$BJ$15,MATCH(D59,'G-6 Hedgerow Data'!$B$3:$B$15,0)),"")</f>
        <v/>
      </c>
    </row>
    <row r="60" spans="2:34" ht="14">
      <c r="B60" s="97">
        <v>49</v>
      </c>
      <c r="C60" s="171"/>
      <c r="D60" s="58"/>
      <c r="E60" s="138"/>
      <c r="F60" s="275" t="str">
        <f>IF(D60="","",VLOOKUP(D60,'G-6 Hedgerow Data'!$B$2:$AG$15,2,FALSE))</f>
        <v/>
      </c>
      <c r="G60" s="299" t="str">
        <f>IF(D60="","",VLOOKUP(D60,'G-6 Hedgerow Data'!$B$2:$AG$15,3,FALSE))</f>
        <v/>
      </c>
      <c r="H60" s="53"/>
      <c r="I60" s="276" t="str">
        <f>IFERROR(IF(H60="","",IF(AND(D60="Non-native and ornamental hedgerow",H60&lt;&gt;"Poor"),"Not possible ▲",(IF(AND(F60="V.Low",OR(H60="Good",H60="Moderate")),"Error ▲",VLOOKUP(H60,'G-1 All Habitats'!$Z$2:$AA$9,2,FALSE))))),"")</f>
        <v/>
      </c>
      <c r="J60" s="102"/>
      <c r="K60" s="295" t="str">
        <f>IF(J60="","",IF(VLOOKUP(J60,'G-3 Multipliers'!$L$3:$N$6,2,FALSE)=0,"Spatial Data Missing",VLOOKUP(J60,'G-3 Multipliers'!$L$3:$N$6,2,FALSE)))</f>
        <v/>
      </c>
      <c r="L60" s="299" t="str">
        <f>IF(J60="","",IF(VLOOKUP(J60,'G-3 Multipliers'!$L$3:$N$6,3,FALSE)=0,"Spatial Data Missing",VLOOKUP(J60,'G-3 Multipliers'!$L$3:$N$6,3,FALSE)))</f>
        <v/>
      </c>
      <c r="M60" s="134"/>
      <c r="N60" s="276" t="str">
        <f>IF(M60="","",IF(VLOOKUP(M60,'G-3 Multipliers'!$S$3:$T$10,2,FALSE)=0,"Spatial Data Missing ⚠",VLOOKUP(M60,'G-3 Multipliers'!$S$3:$T$10,2,FALSE)))</f>
        <v/>
      </c>
      <c r="O60" s="275" t="str">
        <f>IF(OR(D60="",H60=""),"",(INDEX('G-6 Hedgerow Data'!$E$3:$I$15,MATCH(D60,'G-6 Hedgerow Data'!$B$3:$B$15,0),MATCH(H60,'G-6 Hedgerow Data'!$E$2:$I$2,0))))</f>
        <v/>
      </c>
      <c r="P60" s="133"/>
      <c r="Q60" s="133"/>
      <c r="R60" s="283" t="str">
        <f t="shared" si="1"/>
        <v/>
      </c>
      <c r="S60" s="296" t="str">
        <f t="shared" si="2"/>
        <v/>
      </c>
      <c r="T60" s="297" t="str">
        <f t="shared" si="0"/>
        <v/>
      </c>
      <c r="U60" s="311" t="str">
        <f>IF(D60="","",VLOOKUP(D60,'G-6 Hedgerow Data'!$B$3:$AG$15,31,FALSE))</f>
        <v/>
      </c>
      <c r="V60" s="295" t="str">
        <f t="shared" si="3"/>
        <v/>
      </c>
      <c r="W60" s="283" t="str">
        <f t="shared" si="4"/>
        <v/>
      </c>
      <c r="X60" s="299" t="str">
        <f>IF(F60="","",VLOOKUP(U60,'G-3 Multipliers'!$P$3:$Q$6,2,FALSE))</f>
        <v/>
      </c>
      <c r="Y60" s="303" t="str">
        <f t="shared" si="5"/>
        <v/>
      </c>
      <c r="Z60" s="303" t="str">
        <f t="shared" si="6"/>
        <v/>
      </c>
      <c r="AA60" s="101"/>
      <c r="AB60" s="938"/>
      <c r="AC60" s="138"/>
      <c r="AD60" s="138"/>
      <c r="AE60" s="934"/>
      <c r="AH60" s="30" t="str">
        <f>IFERROR(INDEX('G-6 Hedgerow Data'!$BJ$3:$BJ$15,MATCH(D60,'G-6 Hedgerow Data'!$B$3:$B$15,0)),"")</f>
        <v/>
      </c>
    </row>
    <row r="61" spans="2:34" ht="14">
      <c r="B61" s="97">
        <v>50</v>
      </c>
      <c r="C61" s="171"/>
      <c r="D61" s="58"/>
      <c r="E61" s="138"/>
      <c r="F61" s="275" t="str">
        <f>IF(D61="","",VLOOKUP(D61,'G-6 Hedgerow Data'!$B$2:$AG$15,2,FALSE))</f>
        <v/>
      </c>
      <c r="G61" s="299" t="str">
        <f>IF(D61="","",VLOOKUP(D61,'G-6 Hedgerow Data'!$B$2:$AG$15,3,FALSE))</f>
        <v/>
      </c>
      <c r="H61" s="53"/>
      <c r="I61" s="276" t="str">
        <f>IFERROR(IF(H61="","",IF(AND(D61="Non-native and ornamental hedgerow",H61&lt;&gt;"Poor"),"Not possible ▲",(IF(AND(F61="V.Low",OR(H61="Good",H61="Moderate")),"Error ▲",VLOOKUP(H61,'G-1 All Habitats'!$Z$2:$AA$9,2,FALSE))))),"")</f>
        <v/>
      </c>
      <c r="J61" s="102"/>
      <c r="K61" s="295" t="str">
        <f>IF(J61="","",IF(VLOOKUP(J61,'G-3 Multipliers'!$L$3:$N$6,2,FALSE)=0,"Spatial Data Missing",VLOOKUP(J61,'G-3 Multipliers'!$L$3:$N$6,2,FALSE)))</f>
        <v/>
      </c>
      <c r="L61" s="299" t="str">
        <f>IF(J61="","",IF(VLOOKUP(J61,'G-3 Multipliers'!$L$3:$N$6,3,FALSE)=0,"Spatial Data Missing",VLOOKUP(J61,'G-3 Multipliers'!$L$3:$N$6,3,FALSE)))</f>
        <v/>
      </c>
      <c r="M61" s="134"/>
      <c r="N61" s="276" t="str">
        <f>IF(M61="","",IF(VLOOKUP(M61,'G-3 Multipliers'!$S$3:$T$10,2,FALSE)=0,"Spatial Data Missing ⚠",VLOOKUP(M61,'G-3 Multipliers'!$S$3:$T$10,2,FALSE)))</f>
        <v/>
      </c>
      <c r="O61" s="275" t="str">
        <f>IF(OR(D61="",H61=""),"",(INDEX('G-6 Hedgerow Data'!$E$3:$I$15,MATCH(D61,'G-6 Hedgerow Data'!$B$3:$B$15,0),MATCH(H61,'G-6 Hedgerow Data'!$E$2:$I$2,0))))</f>
        <v/>
      </c>
      <c r="P61" s="133"/>
      <c r="Q61" s="133"/>
      <c r="R61" s="283" t="str">
        <f t="shared" si="1"/>
        <v/>
      </c>
      <c r="S61" s="296" t="str">
        <f t="shared" si="2"/>
        <v/>
      </c>
      <c r="T61" s="297" t="str">
        <f t="shared" si="0"/>
        <v/>
      </c>
      <c r="U61" s="311" t="str">
        <f>IF(D61="","",VLOOKUP(D61,'G-6 Hedgerow Data'!$B$3:$AG$15,31,FALSE))</f>
        <v/>
      </c>
      <c r="V61" s="295" t="str">
        <f t="shared" si="3"/>
        <v/>
      </c>
      <c r="W61" s="283" t="str">
        <f t="shared" si="4"/>
        <v/>
      </c>
      <c r="X61" s="299" t="str">
        <f>IF(F61="","",VLOOKUP(U61,'G-3 Multipliers'!$P$3:$Q$6,2,FALSE))</f>
        <v/>
      </c>
      <c r="Y61" s="303" t="str">
        <f t="shared" si="5"/>
        <v/>
      </c>
      <c r="Z61" s="303" t="str">
        <f t="shared" si="6"/>
        <v/>
      </c>
      <c r="AA61" s="101"/>
      <c r="AB61" s="938"/>
      <c r="AC61" s="138"/>
      <c r="AD61" s="138"/>
      <c r="AE61" s="934"/>
      <c r="AH61" s="30" t="str">
        <f>IFERROR(INDEX('G-6 Hedgerow Data'!$BJ$3:$BJ$15,MATCH(D61,'G-6 Hedgerow Data'!$B$3:$B$15,0)),"")</f>
        <v/>
      </c>
    </row>
    <row r="62" spans="2:34" ht="14">
      <c r="B62" s="97">
        <v>51</v>
      </c>
      <c r="C62" s="171"/>
      <c r="D62" s="58"/>
      <c r="E62" s="138"/>
      <c r="F62" s="275" t="str">
        <f>IF(D62="","",VLOOKUP(D62,'G-6 Hedgerow Data'!$B$2:$AG$15,2,FALSE))</f>
        <v/>
      </c>
      <c r="G62" s="299" t="str">
        <f>IF(D62="","",VLOOKUP(D62,'G-6 Hedgerow Data'!$B$2:$AG$15,3,FALSE))</f>
        <v/>
      </c>
      <c r="H62" s="53"/>
      <c r="I62" s="276" t="str">
        <f>IFERROR(IF(H62="","",IF(AND(D62="Non-native and ornamental hedgerow",H62&lt;&gt;"Poor"),"Not possible ▲",(IF(AND(F62="V.Low",OR(H62="Good",H62="Moderate")),"Error ▲",VLOOKUP(H62,'G-1 All Habitats'!$Z$2:$AA$9,2,FALSE))))),"")</f>
        <v/>
      </c>
      <c r="J62" s="102"/>
      <c r="K62" s="295" t="str">
        <f>IF(J62="","",IF(VLOOKUP(J62,'G-3 Multipliers'!$L$3:$N$6,2,FALSE)=0,"Spatial Data Missing",VLOOKUP(J62,'G-3 Multipliers'!$L$3:$N$6,2,FALSE)))</f>
        <v/>
      </c>
      <c r="L62" s="299" t="str">
        <f>IF(J62="","",IF(VLOOKUP(J62,'G-3 Multipliers'!$L$3:$N$6,3,FALSE)=0,"Spatial Data Missing",VLOOKUP(J62,'G-3 Multipliers'!$L$3:$N$6,3,FALSE)))</f>
        <v/>
      </c>
      <c r="M62" s="134"/>
      <c r="N62" s="276" t="str">
        <f>IF(M62="","",IF(VLOOKUP(M62,'G-3 Multipliers'!$S$3:$T$10,2,FALSE)=0,"Spatial Data Missing ⚠",VLOOKUP(M62,'G-3 Multipliers'!$S$3:$T$10,2,FALSE)))</f>
        <v/>
      </c>
      <c r="O62" s="275" t="str">
        <f>IF(OR(D62="",H62=""),"",(INDEX('G-6 Hedgerow Data'!$E$3:$I$15,MATCH(D62,'G-6 Hedgerow Data'!$B$3:$B$15,0),MATCH(H62,'G-6 Hedgerow Data'!$E$2:$I$2,0))))</f>
        <v/>
      </c>
      <c r="P62" s="133"/>
      <c r="Q62" s="133"/>
      <c r="R62" s="283" t="str">
        <f t="shared" si="1"/>
        <v/>
      </c>
      <c r="S62" s="296" t="str">
        <f t="shared" si="2"/>
        <v/>
      </c>
      <c r="T62" s="297" t="str">
        <f t="shared" si="0"/>
        <v/>
      </c>
      <c r="U62" s="311" t="str">
        <f>IF(D62="","",VLOOKUP(D62,'G-6 Hedgerow Data'!$B$3:$AG$15,31,FALSE))</f>
        <v/>
      </c>
      <c r="V62" s="295" t="str">
        <f t="shared" si="3"/>
        <v/>
      </c>
      <c r="W62" s="283" t="str">
        <f t="shared" si="4"/>
        <v/>
      </c>
      <c r="X62" s="299" t="str">
        <f>IF(F62="","",VLOOKUP(U62,'G-3 Multipliers'!$P$3:$Q$6,2,FALSE))</f>
        <v/>
      </c>
      <c r="Y62" s="303" t="str">
        <f t="shared" si="5"/>
        <v/>
      </c>
      <c r="Z62" s="303" t="str">
        <f t="shared" si="6"/>
        <v/>
      </c>
      <c r="AA62" s="101"/>
      <c r="AB62" s="938"/>
      <c r="AC62" s="138"/>
      <c r="AD62" s="138"/>
      <c r="AE62" s="934"/>
      <c r="AH62" s="30" t="str">
        <f>IFERROR(INDEX('G-6 Hedgerow Data'!$BJ$3:$BJ$15,MATCH(D62,'G-6 Hedgerow Data'!$B$3:$B$15,0)),"")</f>
        <v/>
      </c>
    </row>
    <row r="63" spans="2:34" ht="14">
      <c r="B63" s="97">
        <v>52</v>
      </c>
      <c r="C63" s="171"/>
      <c r="D63" s="58"/>
      <c r="E63" s="138"/>
      <c r="F63" s="275" t="str">
        <f>IF(D63="","",VLOOKUP(D63,'G-6 Hedgerow Data'!$B$2:$AG$15,2,FALSE))</f>
        <v/>
      </c>
      <c r="G63" s="299" t="str">
        <f>IF(D63="","",VLOOKUP(D63,'G-6 Hedgerow Data'!$B$2:$AG$15,3,FALSE))</f>
        <v/>
      </c>
      <c r="H63" s="53"/>
      <c r="I63" s="276" t="str">
        <f>IFERROR(IF(H63="","",IF(AND(D63="Non-native and ornamental hedgerow",H63&lt;&gt;"Poor"),"Not possible ▲",(IF(AND(F63="V.Low",OR(H63="Good",H63="Moderate")),"Error ▲",VLOOKUP(H63,'G-1 All Habitats'!$Z$2:$AA$9,2,FALSE))))),"")</f>
        <v/>
      </c>
      <c r="J63" s="102"/>
      <c r="K63" s="295" t="str">
        <f>IF(J63="","",IF(VLOOKUP(J63,'G-3 Multipliers'!$L$3:$N$6,2,FALSE)=0,"Spatial Data Missing",VLOOKUP(J63,'G-3 Multipliers'!$L$3:$N$6,2,FALSE)))</f>
        <v/>
      </c>
      <c r="L63" s="299" t="str">
        <f>IF(J63="","",IF(VLOOKUP(J63,'G-3 Multipliers'!$L$3:$N$6,3,FALSE)=0,"Spatial Data Missing",VLOOKUP(J63,'G-3 Multipliers'!$L$3:$N$6,3,FALSE)))</f>
        <v/>
      </c>
      <c r="M63" s="134"/>
      <c r="N63" s="276" t="str">
        <f>IF(M63="","",IF(VLOOKUP(M63,'G-3 Multipliers'!$S$3:$T$10,2,FALSE)=0,"Spatial Data Missing ⚠",VLOOKUP(M63,'G-3 Multipliers'!$S$3:$T$10,2,FALSE)))</f>
        <v/>
      </c>
      <c r="O63" s="275" t="str">
        <f>IF(OR(D63="",H63=""),"",(INDEX('G-6 Hedgerow Data'!$E$3:$I$15,MATCH(D63,'G-6 Hedgerow Data'!$B$3:$B$15,0),MATCH(H63,'G-6 Hedgerow Data'!$E$2:$I$2,0))))</f>
        <v/>
      </c>
      <c r="P63" s="133"/>
      <c r="Q63" s="133"/>
      <c r="R63" s="283" t="str">
        <f t="shared" si="1"/>
        <v/>
      </c>
      <c r="S63" s="296" t="str">
        <f t="shared" si="2"/>
        <v/>
      </c>
      <c r="T63" s="297" t="str">
        <f t="shared" si="0"/>
        <v/>
      </c>
      <c r="U63" s="311" t="str">
        <f>IF(D63="","",VLOOKUP(D63,'G-6 Hedgerow Data'!$B$3:$AG$15,31,FALSE))</f>
        <v/>
      </c>
      <c r="V63" s="295" t="str">
        <f t="shared" si="3"/>
        <v/>
      </c>
      <c r="W63" s="283" t="str">
        <f t="shared" si="4"/>
        <v/>
      </c>
      <c r="X63" s="299" t="str">
        <f>IF(F63="","",VLOOKUP(U63,'G-3 Multipliers'!$P$3:$Q$6,2,FALSE))</f>
        <v/>
      </c>
      <c r="Y63" s="303" t="str">
        <f t="shared" si="5"/>
        <v/>
      </c>
      <c r="Z63" s="303" t="str">
        <f t="shared" si="6"/>
        <v/>
      </c>
      <c r="AA63" s="101"/>
      <c r="AB63" s="938"/>
      <c r="AC63" s="138"/>
      <c r="AD63" s="138"/>
      <c r="AE63" s="934"/>
      <c r="AH63" s="30" t="str">
        <f>IFERROR(INDEX('G-6 Hedgerow Data'!$BJ$3:$BJ$15,MATCH(D63,'G-6 Hedgerow Data'!$B$3:$B$15,0)),"")</f>
        <v/>
      </c>
    </row>
    <row r="64" spans="2:34" ht="14">
      <c r="B64" s="97">
        <v>53</v>
      </c>
      <c r="C64" s="171"/>
      <c r="D64" s="58"/>
      <c r="E64" s="138"/>
      <c r="F64" s="275" t="str">
        <f>IF(D64="","",VLOOKUP(D64,'G-6 Hedgerow Data'!$B$2:$AG$15,2,FALSE))</f>
        <v/>
      </c>
      <c r="G64" s="299" t="str">
        <f>IF(D64="","",VLOOKUP(D64,'G-6 Hedgerow Data'!$B$2:$AG$15,3,FALSE))</f>
        <v/>
      </c>
      <c r="H64" s="53"/>
      <c r="I64" s="276" t="str">
        <f>IFERROR(IF(H64="","",IF(AND(D64="Non-native and ornamental hedgerow",H64&lt;&gt;"Poor"),"Not possible ▲",(IF(AND(F64="V.Low",OR(H64="Good",H64="Moderate")),"Error ▲",VLOOKUP(H64,'G-1 All Habitats'!$Z$2:$AA$9,2,FALSE))))),"")</f>
        <v/>
      </c>
      <c r="J64" s="102"/>
      <c r="K64" s="295" t="str">
        <f>IF(J64="","",IF(VLOOKUP(J64,'G-3 Multipliers'!$L$3:$N$6,2,FALSE)=0,"Spatial Data Missing",VLOOKUP(J64,'G-3 Multipliers'!$L$3:$N$6,2,FALSE)))</f>
        <v/>
      </c>
      <c r="L64" s="299" t="str">
        <f>IF(J64="","",IF(VLOOKUP(J64,'G-3 Multipliers'!$L$3:$N$6,3,FALSE)=0,"Spatial Data Missing",VLOOKUP(J64,'G-3 Multipliers'!$L$3:$N$6,3,FALSE)))</f>
        <v/>
      </c>
      <c r="M64" s="134"/>
      <c r="N64" s="276" t="str">
        <f>IF(M64="","",IF(VLOOKUP(M64,'G-3 Multipliers'!$S$3:$T$10,2,FALSE)=0,"Spatial Data Missing ⚠",VLOOKUP(M64,'G-3 Multipliers'!$S$3:$T$10,2,FALSE)))</f>
        <v/>
      </c>
      <c r="O64" s="275" t="str">
        <f>IF(OR(D64="",H64=""),"",(INDEX('G-6 Hedgerow Data'!$E$3:$I$15,MATCH(D64,'G-6 Hedgerow Data'!$B$3:$B$15,0),MATCH(H64,'G-6 Hedgerow Data'!$E$2:$I$2,0))))</f>
        <v/>
      </c>
      <c r="P64" s="133"/>
      <c r="Q64" s="133"/>
      <c r="R64" s="283" t="str">
        <f t="shared" si="1"/>
        <v/>
      </c>
      <c r="S64" s="296" t="str">
        <f t="shared" si="2"/>
        <v/>
      </c>
      <c r="T64" s="297" t="str">
        <f t="shared" si="0"/>
        <v/>
      </c>
      <c r="U64" s="311" t="str">
        <f>IF(D64="","",VLOOKUP(D64,'G-6 Hedgerow Data'!$B$3:$AG$15,31,FALSE))</f>
        <v/>
      </c>
      <c r="V64" s="295" t="str">
        <f t="shared" si="3"/>
        <v/>
      </c>
      <c r="W64" s="283" t="str">
        <f t="shared" si="4"/>
        <v/>
      </c>
      <c r="X64" s="299" t="str">
        <f>IF(F64="","",VLOOKUP(U64,'G-3 Multipliers'!$P$3:$Q$6,2,FALSE))</f>
        <v/>
      </c>
      <c r="Y64" s="303" t="str">
        <f t="shared" si="5"/>
        <v/>
      </c>
      <c r="Z64" s="303" t="str">
        <f t="shared" si="6"/>
        <v/>
      </c>
      <c r="AA64" s="101"/>
      <c r="AB64" s="938"/>
      <c r="AC64" s="138"/>
      <c r="AD64" s="138"/>
      <c r="AE64" s="934"/>
      <c r="AH64" s="30" t="str">
        <f>IFERROR(INDEX('G-6 Hedgerow Data'!$BJ$3:$BJ$15,MATCH(D64,'G-6 Hedgerow Data'!$B$3:$B$15,0)),"")</f>
        <v/>
      </c>
    </row>
    <row r="65" spans="2:34" ht="14">
      <c r="B65" s="97">
        <v>54</v>
      </c>
      <c r="C65" s="171"/>
      <c r="D65" s="58"/>
      <c r="E65" s="138"/>
      <c r="F65" s="275" t="str">
        <f>IF(D65="","",VLOOKUP(D65,'G-6 Hedgerow Data'!$B$2:$AG$15,2,FALSE))</f>
        <v/>
      </c>
      <c r="G65" s="299" t="str">
        <f>IF(D65="","",VLOOKUP(D65,'G-6 Hedgerow Data'!$B$2:$AG$15,3,FALSE))</f>
        <v/>
      </c>
      <c r="H65" s="53"/>
      <c r="I65" s="276" t="str">
        <f>IFERROR(IF(H65="","",IF(AND(D65="Non-native and ornamental hedgerow",H65&lt;&gt;"Poor"),"Not possible ▲",(IF(AND(F65="V.Low",OR(H65="Good",H65="Moderate")),"Error ▲",VLOOKUP(H65,'G-1 All Habitats'!$Z$2:$AA$9,2,FALSE))))),"")</f>
        <v/>
      </c>
      <c r="J65" s="102"/>
      <c r="K65" s="295" t="str">
        <f>IF(J65="","",IF(VLOOKUP(J65,'G-3 Multipliers'!$L$3:$N$6,2,FALSE)=0,"Spatial Data Missing",VLOOKUP(J65,'G-3 Multipliers'!$L$3:$N$6,2,FALSE)))</f>
        <v/>
      </c>
      <c r="L65" s="299" t="str">
        <f>IF(J65="","",IF(VLOOKUP(J65,'G-3 Multipliers'!$L$3:$N$6,3,FALSE)=0,"Spatial Data Missing",VLOOKUP(J65,'G-3 Multipliers'!$L$3:$N$6,3,FALSE)))</f>
        <v/>
      </c>
      <c r="M65" s="134"/>
      <c r="N65" s="276" t="str">
        <f>IF(M65="","",IF(VLOOKUP(M65,'G-3 Multipliers'!$S$3:$T$10,2,FALSE)=0,"Spatial Data Missing ⚠",VLOOKUP(M65,'G-3 Multipliers'!$S$3:$T$10,2,FALSE)))</f>
        <v/>
      </c>
      <c r="O65" s="275" t="str">
        <f>IF(OR(D65="",H65=""),"",(INDEX('G-6 Hedgerow Data'!$E$3:$I$15,MATCH(D65,'G-6 Hedgerow Data'!$B$3:$B$15,0),MATCH(H65,'G-6 Hedgerow Data'!$E$2:$I$2,0))))</f>
        <v/>
      </c>
      <c r="P65" s="133"/>
      <c r="Q65" s="133"/>
      <c r="R65" s="283" t="str">
        <f t="shared" si="1"/>
        <v/>
      </c>
      <c r="S65" s="296" t="str">
        <f t="shared" si="2"/>
        <v/>
      </c>
      <c r="T65" s="297" t="str">
        <f t="shared" si="0"/>
        <v/>
      </c>
      <c r="U65" s="311" t="str">
        <f>IF(D65="","",VLOOKUP(D65,'G-6 Hedgerow Data'!$B$3:$AG$15,31,FALSE))</f>
        <v/>
      </c>
      <c r="V65" s="295" t="str">
        <f t="shared" si="3"/>
        <v/>
      </c>
      <c r="W65" s="283" t="str">
        <f t="shared" si="4"/>
        <v/>
      </c>
      <c r="X65" s="299" t="str">
        <f>IF(F65="","",VLOOKUP(U65,'G-3 Multipliers'!$P$3:$Q$6,2,FALSE))</f>
        <v/>
      </c>
      <c r="Y65" s="303" t="str">
        <f t="shared" si="5"/>
        <v/>
      </c>
      <c r="Z65" s="303" t="str">
        <f t="shared" si="6"/>
        <v/>
      </c>
      <c r="AA65" s="101"/>
      <c r="AB65" s="938"/>
      <c r="AC65" s="138"/>
      <c r="AD65" s="138"/>
      <c r="AE65" s="934"/>
      <c r="AH65" s="30" t="str">
        <f>IFERROR(INDEX('G-6 Hedgerow Data'!$BJ$3:$BJ$15,MATCH(D65,'G-6 Hedgerow Data'!$B$3:$B$15,0)),"")</f>
        <v/>
      </c>
    </row>
    <row r="66" spans="2:34" ht="14">
      <c r="B66" s="97">
        <v>55</v>
      </c>
      <c r="C66" s="171"/>
      <c r="D66" s="58"/>
      <c r="E66" s="138"/>
      <c r="F66" s="275" t="str">
        <f>IF(D66="","",VLOOKUP(D66,'G-6 Hedgerow Data'!$B$2:$AG$15,2,FALSE))</f>
        <v/>
      </c>
      <c r="G66" s="299" t="str">
        <f>IF(D66="","",VLOOKUP(D66,'G-6 Hedgerow Data'!$B$2:$AG$15,3,FALSE))</f>
        <v/>
      </c>
      <c r="H66" s="53"/>
      <c r="I66" s="276" t="str">
        <f>IFERROR(IF(H66="","",IF(AND(D66="Non-native and ornamental hedgerow",H66&lt;&gt;"Poor"),"Not possible ▲",(IF(AND(F66="V.Low",OR(H66="Good",H66="Moderate")),"Error ▲",VLOOKUP(H66,'G-1 All Habitats'!$Z$2:$AA$9,2,FALSE))))),"")</f>
        <v/>
      </c>
      <c r="J66" s="102"/>
      <c r="K66" s="295" t="str">
        <f>IF(J66="","",IF(VLOOKUP(J66,'G-3 Multipliers'!$L$3:$N$6,2,FALSE)=0,"Spatial Data Missing",VLOOKUP(J66,'G-3 Multipliers'!$L$3:$N$6,2,FALSE)))</f>
        <v/>
      </c>
      <c r="L66" s="299" t="str">
        <f>IF(J66="","",IF(VLOOKUP(J66,'G-3 Multipliers'!$L$3:$N$6,3,FALSE)=0,"Spatial Data Missing",VLOOKUP(J66,'G-3 Multipliers'!$L$3:$N$6,3,FALSE)))</f>
        <v/>
      </c>
      <c r="M66" s="134"/>
      <c r="N66" s="276" t="str">
        <f>IF(M66="","",IF(VLOOKUP(M66,'G-3 Multipliers'!$S$3:$T$10,2,FALSE)=0,"Spatial Data Missing ⚠",VLOOKUP(M66,'G-3 Multipliers'!$S$3:$T$10,2,FALSE)))</f>
        <v/>
      </c>
      <c r="O66" s="275" t="str">
        <f>IF(OR(D66="",H66=""),"",(INDEX('G-6 Hedgerow Data'!$E$3:$I$15,MATCH(D66,'G-6 Hedgerow Data'!$B$3:$B$15,0),MATCH(H66,'G-6 Hedgerow Data'!$E$2:$I$2,0))))</f>
        <v/>
      </c>
      <c r="P66" s="133"/>
      <c r="Q66" s="133"/>
      <c r="R66" s="283" t="str">
        <f t="shared" si="1"/>
        <v/>
      </c>
      <c r="S66" s="296" t="str">
        <f t="shared" si="2"/>
        <v/>
      </c>
      <c r="T66" s="297" t="str">
        <f t="shared" si="0"/>
        <v/>
      </c>
      <c r="U66" s="311" t="str">
        <f>IF(D66="","",VLOOKUP(D66,'G-6 Hedgerow Data'!$B$3:$AG$15,31,FALSE))</f>
        <v/>
      </c>
      <c r="V66" s="295" t="str">
        <f t="shared" si="3"/>
        <v/>
      </c>
      <c r="W66" s="283" t="str">
        <f t="shared" si="4"/>
        <v/>
      </c>
      <c r="X66" s="299" t="str">
        <f>IF(F66="","",VLOOKUP(U66,'G-3 Multipliers'!$P$3:$Q$6,2,FALSE))</f>
        <v/>
      </c>
      <c r="Y66" s="303" t="str">
        <f t="shared" si="5"/>
        <v/>
      </c>
      <c r="Z66" s="303" t="str">
        <f t="shared" si="6"/>
        <v/>
      </c>
      <c r="AA66" s="101"/>
      <c r="AB66" s="938"/>
      <c r="AC66" s="138"/>
      <c r="AD66" s="138"/>
      <c r="AE66" s="934"/>
      <c r="AH66" s="30" t="str">
        <f>IFERROR(INDEX('G-6 Hedgerow Data'!$BJ$3:$BJ$15,MATCH(D66,'G-6 Hedgerow Data'!$B$3:$B$15,0)),"")</f>
        <v/>
      </c>
    </row>
    <row r="67" spans="2:34" ht="14">
      <c r="B67" s="97">
        <v>56</v>
      </c>
      <c r="C67" s="171"/>
      <c r="D67" s="58"/>
      <c r="E67" s="138"/>
      <c r="F67" s="275" t="str">
        <f>IF(D67="","",VLOOKUP(D67,'G-6 Hedgerow Data'!$B$2:$AG$15,2,FALSE))</f>
        <v/>
      </c>
      <c r="G67" s="299" t="str">
        <f>IF(D67="","",VLOOKUP(D67,'G-6 Hedgerow Data'!$B$2:$AG$15,3,FALSE))</f>
        <v/>
      </c>
      <c r="H67" s="53"/>
      <c r="I67" s="276" t="str">
        <f>IFERROR(IF(H67="","",IF(AND(D67="Non-native and ornamental hedgerow",H67&lt;&gt;"Poor"),"Not possible ▲",(IF(AND(F67="V.Low",OR(H67="Good",H67="Moderate")),"Error ▲",VLOOKUP(H67,'G-1 All Habitats'!$Z$2:$AA$9,2,FALSE))))),"")</f>
        <v/>
      </c>
      <c r="J67" s="102"/>
      <c r="K67" s="295" t="str">
        <f>IF(J67="","",IF(VLOOKUP(J67,'G-3 Multipliers'!$L$3:$N$6,2,FALSE)=0,"Spatial Data Missing",VLOOKUP(J67,'G-3 Multipliers'!$L$3:$N$6,2,FALSE)))</f>
        <v/>
      </c>
      <c r="L67" s="299" t="str">
        <f>IF(J67="","",IF(VLOOKUP(J67,'G-3 Multipliers'!$L$3:$N$6,3,FALSE)=0,"Spatial Data Missing",VLOOKUP(J67,'G-3 Multipliers'!$L$3:$N$6,3,FALSE)))</f>
        <v/>
      </c>
      <c r="M67" s="134"/>
      <c r="N67" s="276" t="str">
        <f>IF(M67="","",IF(VLOOKUP(M67,'G-3 Multipliers'!$S$3:$T$10,2,FALSE)=0,"Spatial Data Missing ⚠",VLOOKUP(M67,'G-3 Multipliers'!$S$3:$T$10,2,FALSE)))</f>
        <v/>
      </c>
      <c r="O67" s="275" t="str">
        <f>IF(OR(D67="",H67=""),"",(INDEX('G-6 Hedgerow Data'!$E$3:$I$15,MATCH(D67,'G-6 Hedgerow Data'!$B$3:$B$15,0),MATCH(H67,'G-6 Hedgerow Data'!$E$2:$I$2,0))))</f>
        <v/>
      </c>
      <c r="P67" s="133"/>
      <c r="Q67" s="133"/>
      <c r="R67" s="283" t="str">
        <f t="shared" si="1"/>
        <v/>
      </c>
      <c r="S67" s="296" t="str">
        <f t="shared" si="2"/>
        <v/>
      </c>
      <c r="T67" s="297" t="str">
        <f t="shared" si="0"/>
        <v/>
      </c>
      <c r="U67" s="311" t="str">
        <f>IF(D67="","",VLOOKUP(D67,'G-6 Hedgerow Data'!$B$3:$AG$15,31,FALSE))</f>
        <v/>
      </c>
      <c r="V67" s="295" t="str">
        <f t="shared" si="3"/>
        <v/>
      </c>
      <c r="W67" s="283" t="str">
        <f t="shared" si="4"/>
        <v/>
      </c>
      <c r="X67" s="299" t="str">
        <f>IF(F67="","",VLOOKUP(U67,'G-3 Multipliers'!$P$3:$Q$6,2,FALSE))</f>
        <v/>
      </c>
      <c r="Y67" s="303" t="str">
        <f t="shared" si="5"/>
        <v/>
      </c>
      <c r="Z67" s="303" t="str">
        <f t="shared" si="6"/>
        <v/>
      </c>
      <c r="AA67" s="101"/>
      <c r="AB67" s="938"/>
      <c r="AC67" s="138"/>
      <c r="AD67" s="138"/>
      <c r="AE67" s="934"/>
      <c r="AH67" s="30" t="str">
        <f>IFERROR(INDEX('G-6 Hedgerow Data'!$BJ$3:$BJ$15,MATCH(D67,'G-6 Hedgerow Data'!$B$3:$B$15,0)),"")</f>
        <v/>
      </c>
    </row>
    <row r="68" spans="2:34" ht="14">
      <c r="B68" s="97">
        <v>57</v>
      </c>
      <c r="C68" s="171"/>
      <c r="D68" s="58"/>
      <c r="E68" s="138"/>
      <c r="F68" s="275" t="str">
        <f>IF(D68="","",VLOOKUP(D68,'G-6 Hedgerow Data'!$B$2:$AG$15,2,FALSE))</f>
        <v/>
      </c>
      <c r="G68" s="299" t="str">
        <f>IF(D68="","",VLOOKUP(D68,'G-6 Hedgerow Data'!$B$2:$AG$15,3,FALSE))</f>
        <v/>
      </c>
      <c r="H68" s="53"/>
      <c r="I68" s="276" t="str">
        <f>IFERROR(IF(H68="","",IF(AND(D68="Non-native and ornamental hedgerow",H68&lt;&gt;"Poor"),"Not possible ▲",(IF(AND(F68="V.Low",OR(H68="Good",H68="Moderate")),"Error ▲",VLOOKUP(H68,'G-1 All Habitats'!$Z$2:$AA$9,2,FALSE))))),"")</f>
        <v/>
      </c>
      <c r="J68" s="102"/>
      <c r="K68" s="295" t="str">
        <f>IF(J68="","",IF(VLOOKUP(J68,'G-3 Multipliers'!$L$3:$N$6,2,FALSE)=0,"Spatial Data Missing",VLOOKUP(J68,'G-3 Multipliers'!$L$3:$N$6,2,FALSE)))</f>
        <v/>
      </c>
      <c r="L68" s="299" t="str">
        <f>IF(J68="","",IF(VLOOKUP(J68,'G-3 Multipliers'!$L$3:$N$6,3,FALSE)=0,"Spatial Data Missing",VLOOKUP(J68,'G-3 Multipliers'!$L$3:$N$6,3,FALSE)))</f>
        <v/>
      </c>
      <c r="M68" s="134"/>
      <c r="N68" s="276" t="str">
        <f>IF(M68="","",IF(VLOOKUP(M68,'G-3 Multipliers'!$S$3:$T$10,2,FALSE)=0,"Spatial Data Missing ⚠",VLOOKUP(M68,'G-3 Multipliers'!$S$3:$T$10,2,FALSE)))</f>
        <v/>
      </c>
      <c r="O68" s="275" t="str">
        <f>IF(OR(D68="",H68=""),"",(INDEX('G-6 Hedgerow Data'!$E$3:$I$15,MATCH(D68,'G-6 Hedgerow Data'!$B$3:$B$15,0),MATCH(H68,'G-6 Hedgerow Data'!$E$2:$I$2,0))))</f>
        <v/>
      </c>
      <c r="P68" s="133"/>
      <c r="Q68" s="133"/>
      <c r="R68" s="283" t="str">
        <f t="shared" si="1"/>
        <v/>
      </c>
      <c r="S68" s="296" t="str">
        <f t="shared" si="2"/>
        <v/>
      </c>
      <c r="T68" s="297" t="str">
        <f t="shared" si="0"/>
        <v/>
      </c>
      <c r="U68" s="311" t="str">
        <f>IF(D68="","",VLOOKUP(D68,'G-6 Hedgerow Data'!$B$3:$AG$15,31,FALSE))</f>
        <v/>
      </c>
      <c r="V68" s="295" t="str">
        <f t="shared" si="3"/>
        <v/>
      </c>
      <c r="W68" s="283" t="str">
        <f t="shared" si="4"/>
        <v/>
      </c>
      <c r="X68" s="299" t="str">
        <f>IF(F68="","",VLOOKUP(U68,'G-3 Multipliers'!$P$3:$Q$6,2,FALSE))</f>
        <v/>
      </c>
      <c r="Y68" s="303" t="str">
        <f t="shared" si="5"/>
        <v/>
      </c>
      <c r="Z68" s="303" t="str">
        <f t="shared" si="6"/>
        <v/>
      </c>
      <c r="AA68" s="101"/>
      <c r="AB68" s="938"/>
      <c r="AC68" s="138"/>
      <c r="AD68" s="138"/>
      <c r="AE68" s="934"/>
      <c r="AH68" s="30" t="str">
        <f>IFERROR(INDEX('G-6 Hedgerow Data'!$BJ$3:$BJ$15,MATCH(D68,'G-6 Hedgerow Data'!$B$3:$B$15,0)),"")</f>
        <v/>
      </c>
    </row>
    <row r="69" spans="2:34" ht="14">
      <c r="B69" s="97">
        <v>58</v>
      </c>
      <c r="C69" s="171"/>
      <c r="D69" s="58"/>
      <c r="E69" s="138"/>
      <c r="F69" s="275" t="str">
        <f>IF(D69="","",VLOOKUP(D69,'G-6 Hedgerow Data'!$B$2:$AG$15,2,FALSE))</f>
        <v/>
      </c>
      <c r="G69" s="299" t="str">
        <f>IF(D69="","",VLOOKUP(D69,'G-6 Hedgerow Data'!$B$2:$AG$15,3,FALSE))</f>
        <v/>
      </c>
      <c r="H69" s="53"/>
      <c r="I69" s="276" t="str">
        <f>IFERROR(IF(H69="","",IF(AND(D69="Non-native and ornamental hedgerow",H69&lt;&gt;"Poor"),"Not possible ▲",(IF(AND(F69="V.Low",OR(H69="Good",H69="Moderate")),"Error ▲",VLOOKUP(H69,'G-1 All Habitats'!$Z$2:$AA$9,2,FALSE))))),"")</f>
        <v/>
      </c>
      <c r="J69" s="102"/>
      <c r="K69" s="295" t="str">
        <f>IF(J69="","",IF(VLOOKUP(J69,'G-3 Multipliers'!$L$3:$N$6,2,FALSE)=0,"Spatial Data Missing",VLOOKUP(J69,'G-3 Multipliers'!$L$3:$N$6,2,FALSE)))</f>
        <v/>
      </c>
      <c r="L69" s="299" t="str">
        <f>IF(J69="","",IF(VLOOKUP(J69,'G-3 Multipliers'!$L$3:$N$6,3,FALSE)=0,"Spatial Data Missing",VLOOKUP(J69,'G-3 Multipliers'!$L$3:$N$6,3,FALSE)))</f>
        <v/>
      </c>
      <c r="M69" s="134"/>
      <c r="N69" s="276" t="str">
        <f>IF(M69="","",IF(VLOOKUP(M69,'G-3 Multipliers'!$S$3:$T$10,2,FALSE)=0,"Spatial Data Missing ⚠",VLOOKUP(M69,'G-3 Multipliers'!$S$3:$T$10,2,FALSE)))</f>
        <v/>
      </c>
      <c r="O69" s="275" t="str">
        <f>IF(OR(D69="",H69=""),"",(INDEX('G-6 Hedgerow Data'!$E$3:$I$15,MATCH(D69,'G-6 Hedgerow Data'!$B$3:$B$15,0),MATCH(H69,'G-6 Hedgerow Data'!$E$2:$I$2,0))))</f>
        <v/>
      </c>
      <c r="P69" s="133"/>
      <c r="Q69" s="133"/>
      <c r="R69" s="283" t="str">
        <f t="shared" si="1"/>
        <v/>
      </c>
      <c r="S69" s="296" t="str">
        <f t="shared" si="2"/>
        <v/>
      </c>
      <c r="T69" s="297" t="str">
        <f t="shared" si="0"/>
        <v/>
      </c>
      <c r="U69" s="311" t="str">
        <f>IF(D69="","",VLOOKUP(D69,'G-6 Hedgerow Data'!$B$3:$AG$15,31,FALSE))</f>
        <v/>
      </c>
      <c r="V69" s="295" t="str">
        <f t="shared" si="3"/>
        <v/>
      </c>
      <c r="W69" s="283" t="str">
        <f t="shared" si="4"/>
        <v/>
      </c>
      <c r="X69" s="299" t="str">
        <f>IF(F69="","",VLOOKUP(U69,'G-3 Multipliers'!$P$3:$Q$6,2,FALSE))</f>
        <v/>
      </c>
      <c r="Y69" s="303" t="str">
        <f t="shared" si="5"/>
        <v/>
      </c>
      <c r="Z69" s="303" t="str">
        <f t="shared" si="6"/>
        <v/>
      </c>
      <c r="AA69" s="101"/>
      <c r="AB69" s="938"/>
      <c r="AC69" s="138"/>
      <c r="AD69" s="138"/>
      <c r="AE69" s="934"/>
      <c r="AH69" s="30" t="str">
        <f>IFERROR(INDEX('G-6 Hedgerow Data'!$BJ$3:$BJ$15,MATCH(D69,'G-6 Hedgerow Data'!$B$3:$B$15,0)),"")</f>
        <v/>
      </c>
    </row>
    <row r="70" spans="2:34" ht="14">
      <c r="B70" s="97">
        <v>59</v>
      </c>
      <c r="C70" s="171"/>
      <c r="D70" s="58"/>
      <c r="E70" s="138"/>
      <c r="F70" s="275" t="str">
        <f>IF(D70="","",VLOOKUP(D70,'G-6 Hedgerow Data'!$B$2:$AG$15,2,FALSE))</f>
        <v/>
      </c>
      <c r="G70" s="299" t="str">
        <f>IF(D70="","",VLOOKUP(D70,'G-6 Hedgerow Data'!$B$2:$AG$15,3,FALSE))</f>
        <v/>
      </c>
      <c r="H70" s="53"/>
      <c r="I70" s="276" t="str">
        <f>IFERROR(IF(H70="","",IF(AND(D70="Non-native and ornamental hedgerow",H70&lt;&gt;"Poor"),"Not possible ▲",(IF(AND(F70="V.Low",OR(H70="Good",H70="Moderate")),"Error ▲",VLOOKUP(H70,'G-1 All Habitats'!$Z$2:$AA$9,2,FALSE))))),"")</f>
        <v/>
      </c>
      <c r="J70" s="102"/>
      <c r="K70" s="295" t="str">
        <f>IF(J70="","",IF(VLOOKUP(J70,'G-3 Multipliers'!$L$3:$N$6,2,FALSE)=0,"Spatial Data Missing",VLOOKUP(J70,'G-3 Multipliers'!$L$3:$N$6,2,FALSE)))</f>
        <v/>
      </c>
      <c r="L70" s="299" t="str">
        <f>IF(J70="","",IF(VLOOKUP(J70,'G-3 Multipliers'!$L$3:$N$6,3,FALSE)=0,"Spatial Data Missing",VLOOKUP(J70,'G-3 Multipliers'!$L$3:$N$6,3,FALSE)))</f>
        <v/>
      </c>
      <c r="M70" s="134"/>
      <c r="N70" s="276" t="str">
        <f>IF(M70="","",IF(VLOOKUP(M70,'G-3 Multipliers'!$S$3:$T$10,2,FALSE)=0,"Spatial Data Missing ⚠",VLOOKUP(M70,'G-3 Multipliers'!$S$3:$T$10,2,FALSE)))</f>
        <v/>
      </c>
      <c r="O70" s="275" t="str">
        <f>IF(OR(D70="",H70=""),"",(INDEX('G-6 Hedgerow Data'!$E$3:$I$15,MATCH(D70,'G-6 Hedgerow Data'!$B$3:$B$15,0),MATCH(H70,'G-6 Hedgerow Data'!$E$2:$I$2,0))))</f>
        <v/>
      </c>
      <c r="P70" s="133"/>
      <c r="Q70" s="133"/>
      <c r="R70" s="283" t="str">
        <f t="shared" si="1"/>
        <v/>
      </c>
      <c r="S70" s="296" t="str">
        <f t="shared" si="2"/>
        <v/>
      </c>
      <c r="T70" s="297" t="str">
        <f t="shared" si="0"/>
        <v/>
      </c>
      <c r="U70" s="311" t="str">
        <f>IF(D70="","",VLOOKUP(D70,'G-6 Hedgerow Data'!$B$3:$AG$15,31,FALSE))</f>
        <v/>
      </c>
      <c r="V70" s="295" t="str">
        <f t="shared" si="3"/>
        <v/>
      </c>
      <c r="W70" s="283" t="str">
        <f t="shared" si="4"/>
        <v/>
      </c>
      <c r="X70" s="299" t="str">
        <f>IF(F70="","",VLOOKUP(U70,'G-3 Multipliers'!$P$3:$Q$6,2,FALSE))</f>
        <v/>
      </c>
      <c r="Y70" s="303" t="str">
        <f t="shared" si="5"/>
        <v/>
      </c>
      <c r="Z70" s="303" t="str">
        <f t="shared" si="6"/>
        <v/>
      </c>
      <c r="AA70" s="101"/>
      <c r="AB70" s="938"/>
      <c r="AC70" s="138"/>
      <c r="AD70" s="138"/>
      <c r="AE70" s="934"/>
      <c r="AH70" s="30" t="str">
        <f>IFERROR(INDEX('G-6 Hedgerow Data'!$BJ$3:$BJ$15,MATCH(D70,'G-6 Hedgerow Data'!$B$3:$B$15,0)),"")</f>
        <v/>
      </c>
    </row>
    <row r="71" spans="2:34" ht="14">
      <c r="B71" s="97">
        <v>60</v>
      </c>
      <c r="C71" s="171"/>
      <c r="D71" s="58"/>
      <c r="E71" s="138"/>
      <c r="F71" s="275" t="str">
        <f>IF(D71="","",VLOOKUP(D71,'G-6 Hedgerow Data'!$B$2:$AG$15,2,FALSE))</f>
        <v/>
      </c>
      <c r="G71" s="299" t="str">
        <f>IF(D71="","",VLOOKUP(D71,'G-6 Hedgerow Data'!$B$2:$AG$15,3,FALSE))</f>
        <v/>
      </c>
      <c r="H71" s="53"/>
      <c r="I71" s="276" t="str">
        <f>IFERROR(IF(H71="","",IF(AND(D71="Non-native and ornamental hedgerow",H71&lt;&gt;"Poor"),"Not possible ▲",(IF(AND(F71="V.Low",OR(H71="Good",H71="Moderate")),"Error ▲",VLOOKUP(H71,'G-1 All Habitats'!$Z$2:$AA$9,2,FALSE))))),"")</f>
        <v/>
      </c>
      <c r="J71" s="102"/>
      <c r="K71" s="295" t="str">
        <f>IF(J71="","",IF(VLOOKUP(J71,'G-3 Multipliers'!$L$3:$N$6,2,FALSE)=0,"Spatial Data Missing",VLOOKUP(J71,'G-3 Multipliers'!$L$3:$N$6,2,FALSE)))</f>
        <v/>
      </c>
      <c r="L71" s="299" t="str">
        <f>IF(J71="","",IF(VLOOKUP(J71,'G-3 Multipliers'!$L$3:$N$6,3,FALSE)=0,"Spatial Data Missing",VLOOKUP(J71,'G-3 Multipliers'!$L$3:$N$6,3,FALSE)))</f>
        <v/>
      </c>
      <c r="M71" s="134"/>
      <c r="N71" s="276" t="str">
        <f>IF(M71="","",IF(VLOOKUP(M71,'G-3 Multipliers'!$S$3:$T$10,2,FALSE)=0,"Spatial Data Missing ⚠",VLOOKUP(M71,'G-3 Multipliers'!$S$3:$T$10,2,FALSE)))</f>
        <v/>
      </c>
      <c r="O71" s="275" t="str">
        <f>IF(OR(D71="",H71=""),"",(INDEX('G-6 Hedgerow Data'!$E$3:$I$15,MATCH(D71,'G-6 Hedgerow Data'!$B$3:$B$15,0),MATCH(H71,'G-6 Hedgerow Data'!$E$2:$I$2,0))))</f>
        <v/>
      </c>
      <c r="P71" s="133"/>
      <c r="Q71" s="133"/>
      <c r="R71" s="283" t="str">
        <f t="shared" si="1"/>
        <v/>
      </c>
      <c r="S71" s="296" t="str">
        <f t="shared" si="2"/>
        <v/>
      </c>
      <c r="T71" s="297" t="str">
        <f t="shared" si="0"/>
        <v/>
      </c>
      <c r="U71" s="311" t="str">
        <f>IF(D71="","",VLOOKUP(D71,'G-6 Hedgerow Data'!$B$3:$AG$15,31,FALSE))</f>
        <v/>
      </c>
      <c r="V71" s="295" t="str">
        <f t="shared" si="3"/>
        <v/>
      </c>
      <c r="W71" s="283" t="str">
        <f t="shared" si="4"/>
        <v/>
      </c>
      <c r="X71" s="299" t="str">
        <f>IF(F71="","",VLOOKUP(U71,'G-3 Multipliers'!$P$3:$Q$6,2,FALSE))</f>
        <v/>
      </c>
      <c r="Y71" s="303" t="str">
        <f t="shared" si="5"/>
        <v/>
      </c>
      <c r="Z71" s="303" t="str">
        <f t="shared" si="6"/>
        <v/>
      </c>
      <c r="AA71" s="101"/>
      <c r="AB71" s="938"/>
      <c r="AC71" s="138"/>
      <c r="AD71" s="138"/>
      <c r="AE71" s="934"/>
      <c r="AH71" s="30" t="str">
        <f>IFERROR(INDEX('G-6 Hedgerow Data'!$BJ$3:$BJ$15,MATCH(D71,'G-6 Hedgerow Data'!$B$3:$B$15,0)),"")</f>
        <v/>
      </c>
    </row>
    <row r="72" spans="2:34" ht="14">
      <c r="B72" s="97">
        <v>61</v>
      </c>
      <c r="C72" s="171"/>
      <c r="D72" s="58"/>
      <c r="E72" s="138"/>
      <c r="F72" s="275" t="str">
        <f>IF(D72="","",VLOOKUP(D72,'G-6 Hedgerow Data'!$B$2:$AG$15,2,FALSE))</f>
        <v/>
      </c>
      <c r="G72" s="299" t="str">
        <f>IF(D72="","",VLOOKUP(D72,'G-6 Hedgerow Data'!$B$2:$AG$15,3,FALSE))</f>
        <v/>
      </c>
      <c r="H72" s="53"/>
      <c r="I72" s="276" t="str">
        <f>IFERROR(IF(H72="","",IF(AND(D72="Non-native and ornamental hedgerow",H72&lt;&gt;"Poor"),"Not possible ▲",(IF(AND(F72="V.Low",OR(H72="Good",H72="Moderate")),"Error ▲",VLOOKUP(H72,'G-1 All Habitats'!$Z$2:$AA$9,2,FALSE))))),"")</f>
        <v/>
      </c>
      <c r="J72" s="102"/>
      <c r="K72" s="295" t="str">
        <f>IF(J72="","",IF(VLOOKUP(J72,'G-3 Multipliers'!$L$3:$N$6,2,FALSE)=0,"Spatial Data Missing",VLOOKUP(J72,'G-3 Multipliers'!$L$3:$N$6,2,FALSE)))</f>
        <v/>
      </c>
      <c r="L72" s="299" t="str">
        <f>IF(J72="","",IF(VLOOKUP(J72,'G-3 Multipliers'!$L$3:$N$6,3,FALSE)=0,"Spatial Data Missing",VLOOKUP(J72,'G-3 Multipliers'!$L$3:$N$6,3,FALSE)))</f>
        <v/>
      </c>
      <c r="M72" s="134"/>
      <c r="N72" s="276" t="str">
        <f>IF(M72="","",IF(VLOOKUP(M72,'G-3 Multipliers'!$S$3:$T$10,2,FALSE)=0,"Spatial Data Missing ⚠",VLOOKUP(M72,'G-3 Multipliers'!$S$3:$T$10,2,FALSE)))</f>
        <v/>
      </c>
      <c r="O72" s="275" t="str">
        <f>IF(OR(D72="",H72=""),"",(INDEX('G-6 Hedgerow Data'!$E$3:$I$15,MATCH(D72,'G-6 Hedgerow Data'!$B$3:$B$15,0),MATCH(H72,'G-6 Hedgerow Data'!$E$2:$I$2,0))))</f>
        <v/>
      </c>
      <c r="P72" s="133"/>
      <c r="Q72" s="133"/>
      <c r="R72" s="283" t="str">
        <f t="shared" si="1"/>
        <v/>
      </c>
      <c r="S72" s="296" t="str">
        <f t="shared" si="2"/>
        <v/>
      </c>
      <c r="T72" s="297" t="str">
        <f t="shared" si="0"/>
        <v/>
      </c>
      <c r="U72" s="311" t="str">
        <f>IF(D72="","",VLOOKUP(D72,'G-6 Hedgerow Data'!$B$3:$AG$15,31,FALSE))</f>
        <v/>
      </c>
      <c r="V72" s="295" t="str">
        <f t="shared" si="3"/>
        <v/>
      </c>
      <c r="W72" s="283" t="str">
        <f t="shared" si="4"/>
        <v/>
      </c>
      <c r="X72" s="299" t="str">
        <f>IF(F72="","",VLOOKUP(U72,'G-3 Multipliers'!$P$3:$Q$6,2,FALSE))</f>
        <v/>
      </c>
      <c r="Y72" s="303" t="str">
        <f t="shared" si="5"/>
        <v/>
      </c>
      <c r="Z72" s="303" t="str">
        <f t="shared" si="6"/>
        <v/>
      </c>
      <c r="AA72" s="101"/>
      <c r="AB72" s="938"/>
      <c r="AC72" s="138"/>
      <c r="AD72" s="138"/>
      <c r="AE72" s="934"/>
      <c r="AH72" s="30" t="str">
        <f>IFERROR(INDEX('G-6 Hedgerow Data'!$BJ$3:$BJ$15,MATCH(D72,'G-6 Hedgerow Data'!$B$3:$B$15,0)),"")</f>
        <v/>
      </c>
    </row>
    <row r="73" spans="2:34" ht="14">
      <c r="B73" s="97">
        <v>62</v>
      </c>
      <c r="C73" s="171"/>
      <c r="D73" s="58"/>
      <c r="E73" s="138"/>
      <c r="F73" s="275" t="str">
        <f>IF(D73="","",VLOOKUP(D73,'G-6 Hedgerow Data'!$B$2:$AG$15,2,FALSE))</f>
        <v/>
      </c>
      <c r="G73" s="299" t="str">
        <f>IF(D73="","",VLOOKUP(D73,'G-6 Hedgerow Data'!$B$2:$AG$15,3,FALSE))</f>
        <v/>
      </c>
      <c r="H73" s="53"/>
      <c r="I73" s="276" t="str">
        <f>IFERROR(IF(H73="","",IF(AND(D73="Non-native and ornamental hedgerow",H73&lt;&gt;"Poor"),"Not possible ▲",(IF(AND(F73="V.Low",OR(H73="Good",H73="Moderate")),"Error ▲",VLOOKUP(H73,'G-1 All Habitats'!$Z$2:$AA$9,2,FALSE))))),"")</f>
        <v/>
      </c>
      <c r="J73" s="102"/>
      <c r="K73" s="295" t="str">
        <f>IF(J73="","",IF(VLOOKUP(J73,'G-3 Multipliers'!$L$3:$N$6,2,FALSE)=0,"Spatial Data Missing",VLOOKUP(J73,'G-3 Multipliers'!$L$3:$N$6,2,FALSE)))</f>
        <v/>
      </c>
      <c r="L73" s="299" t="str">
        <f>IF(J73="","",IF(VLOOKUP(J73,'G-3 Multipliers'!$L$3:$N$6,3,FALSE)=0,"Spatial Data Missing",VLOOKUP(J73,'G-3 Multipliers'!$L$3:$N$6,3,FALSE)))</f>
        <v/>
      </c>
      <c r="M73" s="134"/>
      <c r="N73" s="276" t="str">
        <f>IF(M73="","",IF(VLOOKUP(M73,'G-3 Multipliers'!$S$3:$T$10,2,FALSE)=0,"Spatial Data Missing ⚠",VLOOKUP(M73,'G-3 Multipliers'!$S$3:$T$10,2,FALSE)))</f>
        <v/>
      </c>
      <c r="O73" s="275" t="str">
        <f>IF(OR(D73="",H73=""),"",(INDEX('G-6 Hedgerow Data'!$E$3:$I$15,MATCH(D73,'G-6 Hedgerow Data'!$B$3:$B$15,0),MATCH(H73,'G-6 Hedgerow Data'!$E$2:$I$2,0))))</f>
        <v/>
      </c>
      <c r="P73" s="133"/>
      <c r="Q73" s="133"/>
      <c r="R73" s="283" t="str">
        <f t="shared" si="1"/>
        <v/>
      </c>
      <c r="S73" s="296" t="str">
        <f t="shared" si="2"/>
        <v/>
      </c>
      <c r="T73" s="297" t="str">
        <f t="shared" si="0"/>
        <v/>
      </c>
      <c r="U73" s="311" t="str">
        <f>IF(D73="","",VLOOKUP(D73,'G-6 Hedgerow Data'!$B$3:$AG$15,31,FALSE))</f>
        <v/>
      </c>
      <c r="V73" s="295" t="str">
        <f t="shared" si="3"/>
        <v/>
      </c>
      <c r="W73" s="283" t="str">
        <f t="shared" si="4"/>
        <v/>
      </c>
      <c r="X73" s="299" t="str">
        <f>IF(F73="","",VLOOKUP(U73,'G-3 Multipliers'!$P$3:$Q$6,2,FALSE))</f>
        <v/>
      </c>
      <c r="Y73" s="303" t="str">
        <f t="shared" si="5"/>
        <v/>
      </c>
      <c r="Z73" s="303" t="str">
        <f t="shared" si="6"/>
        <v/>
      </c>
      <c r="AA73" s="101"/>
      <c r="AB73" s="938"/>
      <c r="AC73" s="138"/>
      <c r="AD73" s="138"/>
      <c r="AE73" s="934"/>
      <c r="AH73" s="30" t="str">
        <f>IFERROR(INDEX('G-6 Hedgerow Data'!$BJ$3:$BJ$15,MATCH(D73,'G-6 Hedgerow Data'!$B$3:$B$15,0)),"")</f>
        <v/>
      </c>
    </row>
    <row r="74" spans="2:34" ht="14">
      <c r="B74" s="97">
        <v>63</v>
      </c>
      <c r="C74" s="171"/>
      <c r="D74" s="58"/>
      <c r="E74" s="138"/>
      <c r="F74" s="275" t="str">
        <f>IF(D74="","",VLOOKUP(D74,'G-6 Hedgerow Data'!$B$2:$AG$15,2,FALSE))</f>
        <v/>
      </c>
      <c r="G74" s="299" t="str">
        <f>IF(D74="","",VLOOKUP(D74,'G-6 Hedgerow Data'!$B$2:$AG$15,3,FALSE))</f>
        <v/>
      </c>
      <c r="H74" s="53"/>
      <c r="I74" s="276" t="str">
        <f>IFERROR(IF(H74="","",IF(AND(D74="Non-native and ornamental hedgerow",H74&lt;&gt;"Poor"),"Not possible ▲",(IF(AND(F74="V.Low",OR(H74="Good",H74="Moderate")),"Error ▲",VLOOKUP(H74,'G-1 All Habitats'!$Z$2:$AA$9,2,FALSE))))),"")</f>
        <v/>
      </c>
      <c r="J74" s="102"/>
      <c r="K74" s="295" t="str">
        <f>IF(J74="","",IF(VLOOKUP(J74,'G-3 Multipliers'!$L$3:$N$6,2,FALSE)=0,"Spatial Data Missing",VLOOKUP(J74,'G-3 Multipliers'!$L$3:$N$6,2,FALSE)))</f>
        <v/>
      </c>
      <c r="L74" s="299" t="str">
        <f>IF(J74="","",IF(VLOOKUP(J74,'G-3 Multipliers'!$L$3:$N$6,3,FALSE)=0,"Spatial Data Missing",VLOOKUP(J74,'G-3 Multipliers'!$L$3:$N$6,3,FALSE)))</f>
        <v/>
      </c>
      <c r="M74" s="134"/>
      <c r="N74" s="276" t="str">
        <f>IF(M74="","",IF(VLOOKUP(M74,'G-3 Multipliers'!$S$3:$T$10,2,FALSE)=0,"Spatial Data Missing ⚠",VLOOKUP(M74,'G-3 Multipliers'!$S$3:$T$10,2,FALSE)))</f>
        <v/>
      </c>
      <c r="O74" s="275" t="str">
        <f>IF(OR(D74="",H74=""),"",(INDEX('G-6 Hedgerow Data'!$E$3:$I$15,MATCH(D74,'G-6 Hedgerow Data'!$B$3:$B$15,0),MATCH(H74,'G-6 Hedgerow Data'!$E$2:$I$2,0))))</f>
        <v/>
      </c>
      <c r="P74" s="133"/>
      <c r="Q74" s="133"/>
      <c r="R74" s="283" t="str">
        <f t="shared" si="1"/>
        <v/>
      </c>
      <c r="S74" s="296" t="str">
        <f t="shared" si="2"/>
        <v/>
      </c>
      <c r="T74" s="297" t="str">
        <f t="shared" si="0"/>
        <v/>
      </c>
      <c r="U74" s="311" t="str">
        <f>IF(D74="","",VLOOKUP(D74,'G-6 Hedgerow Data'!$B$3:$AG$15,31,FALSE))</f>
        <v/>
      </c>
      <c r="V74" s="295" t="str">
        <f t="shared" si="3"/>
        <v/>
      </c>
      <c r="W74" s="283" t="str">
        <f t="shared" si="4"/>
        <v/>
      </c>
      <c r="X74" s="299" t="str">
        <f>IF(F74="","",VLOOKUP(U74,'G-3 Multipliers'!$P$3:$Q$6,2,FALSE))</f>
        <v/>
      </c>
      <c r="Y74" s="303" t="str">
        <f t="shared" si="5"/>
        <v/>
      </c>
      <c r="Z74" s="303" t="str">
        <f t="shared" si="6"/>
        <v/>
      </c>
      <c r="AA74" s="101"/>
      <c r="AB74" s="938"/>
      <c r="AC74" s="138"/>
      <c r="AD74" s="138"/>
      <c r="AE74" s="934"/>
      <c r="AH74" s="30" t="str">
        <f>IFERROR(INDEX('G-6 Hedgerow Data'!$BJ$3:$BJ$15,MATCH(D74,'G-6 Hedgerow Data'!$B$3:$B$15,0)),"")</f>
        <v/>
      </c>
    </row>
    <row r="75" spans="2:34" ht="14">
      <c r="B75" s="97">
        <v>64</v>
      </c>
      <c r="C75" s="171"/>
      <c r="D75" s="58"/>
      <c r="E75" s="138"/>
      <c r="F75" s="275" t="str">
        <f>IF(D75="","",VLOOKUP(D75,'G-6 Hedgerow Data'!$B$2:$AG$15,2,FALSE))</f>
        <v/>
      </c>
      <c r="G75" s="299" t="str">
        <f>IF(D75="","",VLOOKUP(D75,'G-6 Hedgerow Data'!$B$2:$AG$15,3,FALSE))</f>
        <v/>
      </c>
      <c r="H75" s="53"/>
      <c r="I75" s="276" t="str">
        <f>IFERROR(IF(H75="","",IF(AND(D75="Non-native and ornamental hedgerow",H75&lt;&gt;"Poor"),"Not possible ▲",(IF(AND(F75="V.Low",OR(H75="Good",H75="Moderate")),"Error ▲",VLOOKUP(H75,'G-1 All Habitats'!$Z$2:$AA$9,2,FALSE))))),"")</f>
        <v/>
      </c>
      <c r="J75" s="102"/>
      <c r="K75" s="295" t="str">
        <f>IF(J75="","",IF(VLOOKUP(J75,'G-3 Multipliers'!$L$3:$N$6,2,FALSE)=0,"Spatial Data Missing",VLOOKUP(J75,'G-3 Multipliers'!$L$3:$N$6,2,FALSE)))</f>
        <v/>
      </c>
      <c r="L75" s="299" t="str">
        <f>IF(J75="","",IF(VLOOKUP(J75,'G-3 Multipliers'!$L$3:$N$6,3,FALSE)=0,"Spatial Data Missing",VLOOKUP(J75,'G-3 Multipliers'!$L$3:$N$6,3,FALSE)))</f>
        <v/>
      </c>
      <c r="M75" s="134"/>
      <c r="N75" s="276" t="str">
        <f>IF(M75="","",IF(VLOOKUP(M75,'G-3 Multipliers'!$S$3:$T$10,2,FALSE)=0,"Spatial Data Missing ⚠",VLOOKUP(M75,'G-3 Multipliers'!$S$3:$T$10,2,FALSE)))</f>
        <v/>
      </c>
      <c r="O75" s="275" t="str">
        <f>IF(OR(D75="",H75=""),"",(INDEX('G-6 Hedgerow Data'!$E$3:$I$15,MATCH(D75,'G-6 Hedgerow Data'!$B$3:$B$15,0),MATCH(H75,'G-6 Hedgerow Data'!$E$2:$I$2,0))))</f>
        <v/>
      </c>
      <c r="P75" s="133"/>
      <c r="Q75" s="133"/>
      <c r="R75" s="283" t="str">
        <f t="shared" si="1"/>
        <v/>
      </c>
      <c r="S75" s="296" t="str">
        <f t="shared" si="2"/>
        <v/>
      </c>
      <c r="T75" s="297" t="str">
        <f t="shared" si="0"/>
        <v/>
      </c>
      <c r="U75" s="311" t="str">
        <f>IF(D75="","",VLOOKUP(D75,'G-6 Hedgerow Data'!$B$3:$AG$15,31,FALSE))</f>
        <v/>
      </c>
      <c r="V75" s="295" t="str">
        <f t="shared" si="3"/>
        <v/>
      </c>
      <c r="W75" s="283" t="str">
        <f t="shared" si="4"/>
        <v/>
      </c>
      <c r="X75" s="299" t="str">
        <f>IF(F75="","",VLOOKUP(U75,'G-3 Multipliers'!$P$3:$Q$6,2,FALSE))</f>
        <v/>
      </c>
      <c r="Y75" s="303" t="str">
        <f t="shared" si="5"/>
        <v/>
      </c>
      <c r="Z75" s="303" t="str">
        <f t="shared" si="6"/>
        <v/>
      </c>
      <c r="AA75" s="101"/>
      <c r="AB75" s="938"/>
      <c r="AC75" s="138"/>
      <c r="AD75" s="138"/>
      <c r="AE75" s="934"/>
      <c r="AH75" s="30" t="str">
        <f>IFERROR(INDEX('G-6 Hedgerow Data'!$BJ$3:$BJ$15,MATCH(D75,'G-6 Hedgerow Data'!$B$3:$B$15,0)),"")</f>
        <v/>
      </c>
    </row>
    <row r="76" spans="2:34" ht="14">
      <c r="B76" s="97">
        <v>65</v>
      </c>
      <c r="C76" s="171"/>
      <c r="D76" s="58"/>
      <c r="E76" s="138"/>
      <c r="F76" s="275" t="str">
        <f>IF(D76="","",VLOOKUP(D76,'G-6 Hedgerow Data'!$B$2:$AG$15,2,FALSE))</f>
        <v/>
      </c>
      <c r="G76" s="299" t="str">
        <f>IF(D76="","",VLOOKUP(D76,'G-6 Hedgerow Data'!$B$2:$AG$15,3,FALSE))</f>
        <v/>
      </c>
      <c r="H76" s="53"/>
      <c r="I76" s="276" t="str">
        <f>IFERROR(IF(H76="","",IF(AND(D76="Non-native and ornamental hedgerow",H76&lt;&gt;"Poor"),"Not possible ▲",(IF(AND(F76="V.Low",OR(H76="Good",H76="Moderate")),"Error ▲",VLOOKUP(H76,'G-1 All Habitats'!$Z$2:$AA$9,2,FALSE))))),"")</f>
        <v/>
      </c>
      <c r="J76" s="102"/>
      <c r="K76" s="295" t="str">
        <f>IF(J76="","",IF(VLOOKUP(J76,'G-3 Multipliers'!$L$3:$N$6,2,FALSE)=0,"Spatial Data Missing",VLOOKUP(J76,'G-3 Multipliers'!$L$3:$N$6,2,FALSE)))</f>
        <v/>
      </c>
      <c r="L76" s="299" t="str">
        <f>IF(J76="","",IF(VLOOKUP(J76,'G-3 Multipliers'!$L$3:$N$6,3,FALSE)=0,"Spatial Data Missing",VLOOKUP(J76,'G-3 Multipliers'!$L$3:$N$6,3,FALSE)))</f>
        <v/>
      </c>
      <c r="M76" s="134"/>
      <c r="N76" s="276" t="str">
        <f>IF(M76="","",IF(VLOOKUP(M76,'G-3 Multipliers'!$S$3:$T$10,2,FALSE)=0,"Spatial Data Missing ⚠",VLOOKUP(M76,'G-3 Multipliers'!$S$3:$T$10,2,FALSE)))</f>
        <v/>
      </c>
      <c r="O76" s="275" t="str">
        <f>IF(OR(D76="",H76=""),"",(INDEX('G-6 Hedgerow Data'!$E$3:$I$15,MATCH(D76,'G-6 Hedgerow Data'!$B$3:$B$15,0),MATCH(H76,'G-6 Hedgerow Data'!$E$2:$I$2,0))))</f>
        <v/>
      </c>
      <c r="P76" s="133"/>
      <c r="Q76" s="133"/>
      <c r="R76" s="283" t="str">
        <f t="shared" si="1"/>
        <v/>
      </c>
      <c r="S76" s="296" t="str">
        <f t="shared" si="2"/>
        <v/>
      </c>
      <c r="T76" s="297" t="str">
        <f t="shared" si="7" ref="T76:T139">IF(D76="","",IF(S76="Check Data ⚠","Check Data ⚠",VLOOKUP(S76,TemporalMultipliers,3,FALSE)))</f>
        <v/>
      </c>
      <c r="U76" s="311" t="str">
        <f>IF(D76="","",VLOOKUP(D76,'G-6 Hedgerow Data'!$B$3:$AG$15,31,FALSE))</f>
        <v/>
      </c>
      <c r="V76" s="295" t="str">
        <f t="shared" si="3"/>
        <v/>
      </c>
      <c r="W76" s="283" t="str">
        <f t="shared" si="4"/>
        <v/>
      </c>
      <c r="X76" s="299" t="str">
        <f>IF(F76="","",VLOOKUP(U76,'G-3 Multipliers'!$P$3:$Q$6,2,FALSE))</f>
        <v/>
      </c>
      <c r="Y76" s="303" t="str">
        <f t="shared" si="5"/>
        <v/>
      </c>
      <c r="Z76" s="303" t="str">
        <f t="shared" si="6"/>
        <v/>
      </c>
      <c r="AA76" s="101"/>
      <c r="AB76" s="938"/>
      <c r="AC76" s="138"/>
      <c r="AD76" s="138"/>
      <c r="AE76" s="934"/>
      <c r="AH76" s="30" t="str">
        <f>IFERROR(INDEX('G-6 Hedgerow Data'!$BJ$3:$BJ$15,MATCH(D76,'G-6 Hedgerow Data'!$B$3:$B$15,0)),"")</f>
        <v/>
      </c>
    </row>
    <row r="77" spans="2:34" ht="14">
      <c r="B77" s="97">
        <v>66</v>
      </c>
      <c r="C77" s="171"/>
      <c r="D77" s="58"/>
      <c r="E77" s="138"/>
      <c r="F77" s="275" t="str">
        <f>IF(D77="","",VLOOKUP(D77,'G-6 Hedgerow Data'!$B$2:$AG$15,2,FALSE))</f>
        <v/>
      </c>
      <c r="G77" s="299" t="str">
        <f>IF(D77="","",VLOOKUP(D77,'G-6 Hedgerow Data'!$B$2:$AG$15,3,FALSE))</f>
        <v/>
      </c>
      <c r="H77" s="53"/>
      <c r="I77" s="276" t="str">
        <f>IFERROR(IF(H77="","",IF(AND(D77="Non-native and ornamental hedgerow",H77&lt;&gt;"Poor"),"Not possible ▲",(IF(AND(F77="V.Low",OR(H77="Good",H77="Moderate")),"Error ▲",VLOOKUP(H77,'G-1 All Habitats'!$Z$2:$AA$9,2,FALSE))))),"")</f>
        <v/>
      </c>
      <c r="J77" s="102"/>
      <c r="K77" s="295" t="str">
        <f>IF(J77="","",IF(VLOOKUP(J77,'G-3 Multipliers'!$L$3:$N$6,2,FALSE)=0,"Spatial Data Missing",VLOOKUP(J77,'G-3 Multipliers'!$L$3:$N$6,2,FALSE)))</f>
        <v/>
      </c>
      <c r="L77" s="299" t="str">
        <f>IF(J77="","",IF(VLOOKUP(J77,'G-3 Multipliers'!$L$3:$N$6,3,FALSE)=0,"Spatial Data Missing",VLOOKUP(J77,'G-3 Multipliers'!$L$3:$N$6,3,FALSE)))</f>
        <v/>
      </c>
      <c r="M77" s="134"/>
      <c r="N77" s="276" t="str">
        <f>IF(M77="","",IF(VLOOKUP(M77,'G-3 Multipliers'!$S$3:$T$10,2,FALSE)=0,"Spatial Data Missing ⚠",VLOOKUP(M77,'G-3 Multipliers'!$S$3:$T$10,2,FALSE)))</f>
        <v/>
      </c>
      <c r="O77" s="275" t="str">
        <f>IF(OR(D77="",H77=""),"",(INDEX('G-6 Hedgerow Data'!$E$3:$I$15,MATCH(D77,'G-6 Hedgerow Data'!$B$3:$B$15,0),MATCH(H77,'G-6 Hedgerow Data'!$E$2:$I$2,0))))</f>
        <v/>
      </c>
      <c r="P77" s="133"/>
      <c r="Q77" s="133"/>
      <c r="R77" s="283" t="str">
        <f t="shared" si="8" ref="R77:R140">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296" t="str">
        <f t="shared" si="9" ref="S77:S140">IF(O77="","",IF(R77="Error -both advance and delayed habitat creation ▲","Check Data ⚠",IF(O77="Not possible ▲","Check data ⚠",IF(OR(P77="30+",P77="Habitat already in target condition"),0,IF(Q77="30+","30+",IF(AND(O77="30+",OR(P77="",P77=0)),"30+",IF(AND(O77="30+",P77&gt;0),30-P77,IF(O77+Q77&gt;30,"30+",IF(O77+Q77-P77&gt;0,O77+Q77-P77,IF(O77-P77&lt;0,0,O77+Q77-P77))))))))))</f>
        <v/>
      </c>
      <c r="T77" s="297" t="str">
        <f t="shared" si="7"/>
        <v/>
      </c>
      <c r="U77" s="311" t="str">
        <f>IF(D77="","",VLOOKUP(D77,'G-6 Hedgerow Data'!$B$3:$AG$15,31,FALSE))</f>
        <v/>
      </c>
      <c r="V77" s="295" t="str">
        <f t="shared" si="10" ref="V77:V140">IF(D77="","",IF(S77="Check Data ⚠","Check Data ⚠",IF(H77="","",IF($R77="Check details - Is there evidence that habitat has reached target condition? ⚠","Low Difficulty - only applicable if all habitat created before losses ⚠","Standard difficulty applied"))))</f>
        <v/>
      </c>
      <c r="W77" s="283" t="str">
        <f t="shared" si="11" ref="W77:W140">(IF(AND(V77="Standard difficulty applied",O77&gt;P77),U77,IF(S77="Check data ⚠","Check data ⚠",IF(AND(V77="Low Difficulty - only applicable if all habitat created before losses ⚠",P77&gt;=O77),"Low",U77))))</f>
        <v/>
      </c>
      <c r="X77" s="299" t="str">
        <f>IF(F77="","",VLOOKUP(U77,'G-3 Multipliers'!$P$3:$Q$6,2,FALSE))</f>
        <v/>
      </c>
      <c r="Y77" s="303" t="str">
        <f t="shared" si="12" ref="Y77:Y140">IFERROR(E77*G77*I77*L77*T77*X77*N77,"")</f>
        <v/>
      </c>
      <c r="Z77" s="303" t="str">
        <f t="shared" si="13" ref="Z77:Z140">IFERROR(IF(AND(M77&lt;&gt;"",AD77=""),"Off-site reference required ▲",(IF(M77="","",E77*G77*I77*L77*T77*X77))),"")</f>
        <v/>
      </c>
      <c r="AA77" s="101"/>
      <c r="AB77" s="938"/>
      <c r="AC77" s="138"/>
      <c r="AD77" s="138"/>
      <c r="AE77" s="934"/>
      <c r="AH77" s="30" t="str">
        <f>IFERROR(INDEX('G-6 Hedgerow Data'!$BJ$3:$BJ$15,MATCH(D77,'G-6 Hedgerow Data'!$B$3:$B$15,0)),"")</f>
        <v/>
      </c>
    </row>
    <row r="78" spans="2:34" ht="14">
      <c r="B78" s="97">
        <v>67</v>
      </c>
      <c r="C78" s="171"/>
      <c r="D78" s="58"/>
      <c r="E78" s="138"/>
      <c r="F78" s="275" t="str">
        <f>IF(D78="","",VLOOKUP(D78,'G-6 Hedgerow Data'!$B$2:$AG$15,2,FALSE))</f>
        <v/>
      </c>
      <c r="G78" s="299" t="str">
        <f>IF(D78="","",VLOOKUP(D78,'G-6 Hedgerow Data'!$B$2:$AG$15,3,FALSE))</f>
        <v/>
      </c>
      <c r="H78" s="53"/>
      <c r="I78" s="276" t="str">
        <f>IFERROR(IF(H78="","",IF(AND(D78="Non-native and ornamental hedgerow",H78&lt;&gt;"Poor"),"Not possible ▲",(IF(AND(F78="V.Low",OR(H78="Good",H78="Moderate")),"Error ▲",VLOOKUP(H78,'G-1 All Habitats'!$Z$2:$AA$9,2,FALSE))))),"")</f>
        <v/>
      </c>
      <c r="J78" s="102"/>
      <c r="K78" s="295" t="str">
        <f>IF(J78="","",IF(VLOOKUP(J78,'G-3 Multipliers'!$L$3:$N$6,2,FALSE)=0,"Spatial Data Missing",VLOOKUP(J78,'G-3 Multipliers'!$L$3:$N$6,2,FALSE)))</f>
        <v/>
      </c>
      <c r="L78" s="299" t="str">
        <f>IF(J78="","",IF(VLOOKUP(J78,'G-3 Multipliers'!$L$3:$N$6,3,FALSE)=0,"Spatial Data Missing",VLOOKUP(J78,'G-3 Multipliers'!$L$3:$N$6,3,FALSE)))</f>
        <v/>
      </c>
      <c r="M78" s="134"/>
      <c r="N78" s="276" t="str">
        <f>IF(M78="","",IF(VLOOKUP(M78,'G-3 Multipliers'!$S$3:$T$10,2,FALSE)=0,"Spatial Data Missing ⚠",VLOOKUP(M78,'G-3 Multipliers'!$S$3:$T$10,2,FALSE)))</f>
        <v/>
      </c>
      <c r="O78" s="275" t="str">
        <f>IF(OR(D78="",H78=""),"",(INDEX('G-6 Hedgerow Data'!$E$3:$I$15,MATCH(D78,'G-6 Hedgerow Data'!$B$3:$B$15,0),MATCH(H78,'G-6 Hedgerow Data'!$E$2:$I$2,0))))</f>
        <v/>
      </c>
      <c r="P78" s="133"/>
      <c r="Q78" s="133"/>
      <c r="R78" s="283" t="str">
        <f t="shared" si="8"/>
        <v/>
      </c>
      <c r="S78" s="296" t="str">
        <f t="shared" si="9"/>
        <v/>
      </c>
      <c r="T78" s="297" t="str">
        <f t="shared" si="7"/>
        <v/>
      </c>
      <c r="U78" s="311" t="str">
        <f>IF(D78="","",VLOOKUP(D78,'G-6 Hedgerow Data'!$B$3:$AG$15,31,FALSE))</f>
        <v/>
      </c>
      <c r="V78" s="295" t="str">
        <f t="shared" si="10"/>
        <v/>
      </c>
      <c r="W78" s="283" t="str">
        <f t="shared" si="11"/>
        <v/>
      </c>
      <c r="X78" s="299" t="str">
        <f>IF(F78="","",VLOOKUP(U78,'G-3 Multipliers'!$P$3:$Q$6,2,FALSE))</f>
        <v/>
      </c>
      <c r="Y78" s="303" t="str">
        <f t="shared" si="12"/>
        <v/>
      </c>
      <c r="Z78" s="303" t="str">
        <f t="shared" si="13"/>
        <v/>
      </c>
      <c r="AA78" s="101"/>
      <c r="AB78" s="938"/>
      <c r="AC78" s="138"/>
      <c r="AD78" s="138"/>
      <c r="AE78" s="934"/>
      <c r="AH78" s="30" t="str">
        <f>IFERROR(INDEX('G-6 Hedgerow Data'!$BJ$3:$BJ$15,MATCH(D78,'G-6 Hedgerow Data'!$B$3:$B$15,0)),"")</f>
        <v/>
      </c>
    </row>
    <row r="79" spans="2:34" ht="14">
      <c r="B79" s="97">
        <v>68</v>
      </c>
      <c r="C79" s="171"/>
      <c r="D79" s="58"/>
      <c r="E79" s="138"/>
      <c r="F79" s="275" t="str">
        <f>IF(D79="","",VLOOKUP(D79,'G-6 Hedgerow Data'!$B$2:$AG$15,2,FALSE))</f>
        <v/>
      </c>
      <c r="G79" s="299" t="str">
        <f>IF(D79="","",VLOOKUP(D79,'G-6 Hedgerow Data'!$B$2:$AG$15,3,FALSE))</f>
        <v/>
      </c>
      <c r="H79" s="53"/>
      <c r="I79" s="276" t="str">
        <f>IFERROR(IF(H79="","",IF(AND(D79="Non-native and ornamental hedgerow",H79&lt;&gt;"Poor"),"Not possible ▲",(IF(AND(F79="V.Low",OR(H79="Good",H79="Moderate")),"Error ▲",VLOOKUP(H79,'G-1 All Habitats'!$Z$2:$AA$9,2,FALSE))))),"")</f>
        <v/>
      </c>
      <c r="J79" s="102"/>
      <c r="K79" s="295" t="str">
        <f>IF(J79="","",IF(VLOOKUP(J79,'G-3 Multipliers'!$L$3:$N$6,2,FALSE)=0,"Spatial Data Missing",VLOOKUP(J79,'G-3 Multipliers'!$L$3:$N$6,2,FALSE)))</f>
        <v/>
      </c>
      <c r="L79" s="299" t="str">
        <f>IF(J79="","",IF(VLOOKUP(J79,'G-3 Multipliers'!$L$3:$N$6,3,FALSE)=0,"Spatial Data Missing",VLOOKUP(J79,'G-3 Multipliers'!$L$3:$N$6,3,FALSE)))</f>
        <v/>
      </c>
      <c r="M79" s="134"/>
      <c r="N79" s="276" t="str">
        <f>IF(M79="","",IF(VLOOKUP(M79,'G-3 Multipliers'!$S$3:$T$10,2,FALSE)=0,"Spatial Data Missing ⚠",VLOOKUP(M79,'G-3 Multipliers'!$S$3:$T$10,2,FALSE)))</f>
        <v/>
      </c>
      <c r="O79" s="275" t="str">
        <f>IF(OR(D79="",H79=""),"",(INDEX('G-6 Hedgerow Data'!$E$3:$I$15,MATCH(D79,'G-6 Hedgerow Data'!$B$3:$B$15,0),MATCH(H79,'G-6 Hedgerow Data'!$E$2:$I$2,0))))</f>
        <v/>
      </c>
      <c r="P79" s="133"/>
      <c r="Q79" s="133"/>
      <c r="R79" s="283" t="str">
        <f t="shared" si="8"/>
        <v/>
      </c>
      <c r="S79" s="296" t="str">
        <f t="shared" si="9"/>
        <v/>
      </c>
      <c r="T79" s="297" t="str">
        <f t="shared" si="7"/>
        <v/>
      </c>
      <c r="U79" s="311" t="str">
        <f>IF(D79="","",VLOOKUP(D79,'G-6 Hedgerow Data'!$B$3:$AG$15,31,FALSE))</f>
        <v/>
      </c>
      <c r="V79" s="295" t="str">
        <f t="shared" si="10"/>
        <v/>
      </c>
      <c r="W79" s="283" t="str">
        <f t="shared" si="11"/>
        <v/>
      </c>
      <c r="X79" s="299" t="str">
        <f>IF(F79="","",VLOOKUP(U79,'G-3 Multipliers'!$P$3:$Q$6,2,FALSE))</f>
        <v/>
      </c>
      <c r="Y79" s="303" t="str">
        <f t="shared" si="12"/>
        <v/>
      </c>
      <c r="Z79" s="303" t="str">
        <f t="shared" si="13"/>
        <v/>
      </c>
      <c r="AA79" s="101"/>
      <c r="AB79" s="938"/>
      <c r="AC79" s="138"/>
      <c r="AD79" s="138"/>
      <c r="AE79" s="934"/>
      <c r="AH79" s="30" t="str">
        <f>IFERROR(INDEX('G-6 Hedgerow Data'!$BJ$3:$BJ$15,MATCH(D79,'G-6 Hedgerow Data'!$B$3:$B$15,0)),"")</f>
        <v/>
      </c>
    </row>
    <row r="80" spans="2:34" ht="14">
      <c r="B80" s="97">
        <v>69</v>
      </c>
      <c r="C80" s="171"/>
      <c r="D80" s="58"/>
      <c r="E80" s="138"/>
      <c r="F80" s="275" t="str">
        <f>IF(D80="","",VLOOKUP(D80,'G-6 Hedgerow Data'!$B$2:$AG$15,2,FALSE))</f>
        <v/>
      </c>
      <c r="G80" s="299" t="str">
        <f>IF(D80="","",VLOOKUP(D80,'G-6 Hedgerow Data'!$B$2:$AG$15,3,FALSE))</f>
        <v/>
      </c>
      <c r="H80" s="53"/>
      <c r="I80" s="276" t="str">
        <f>IFERROR(IF(H80="","",IF(AND(D80="Non-native and ornamental hedgerow",H80&lt;&gt;"Poor"),"Not possible ▲",(IF(AND(F80="V.Low",OR(H80="Good",H80="Moderate")),"Error ▲",VLOOKUP(H80,'G-1 All Habitats'!$Z$2:$AA$9,2,FALSE))))),"")</f>
        <v/>
      </c>
      <c r="J80" s="102"/>
      <c r="K80" s="295" t="str">
        <f>IF(J80="","",IF(VLOOKUP(J80,'G-3 Multipliers'!$L$3:$N$6,2,FALSE)=0,"Spatial Data Missing",VLOOKUP(J80,'G-3 Multipliers'!$L$3:$N$6,2,FALSE)))</f>
        <v/>
      </c>
      <c r="L80" s="299" t="str">
        <f>IF(J80="","",IF(VLOOKUP(J80,'G-3 Multipliers'!$L$3:$N$6,3,FALSE)=0,"Spatial Data Missing",VLOOKUP(J80,'G-3 Multipliers'!$L$3:$N$6,3,FALSE)))</f>
        <v/>
      </c>
      <c r="M80" s="134"/>
      <c r="N80" s="276" t="str">
        <f>IF(M80="","",IF(VLOOKUP(M80,'G-3 Multipliers'!$S$3:$T$10,2,FALSE)=0,"Spatial Data Missing ⚠",VLOOKUP(M80,'G-3 Multipliers'!$S$3:$T$10,2,FALSE)))</f>
        <v/>
      </c>
      <c r="O80" s="275" t="str">
        <f>IF(OR(D80="",H80=""),"",(INDEX('G-6 Hedgerow Data'!$E$3:$I$15,MATCH(D80,'G-6 Hedgerow Data'!$B$3:$B$15,0),MATCH(H80,'G-6 Hedgerow Data'!$E$2:$I$2,0))))</f>
        <v/>
      </c>
      <c r="P80" s="133"/>
      <c r="Q80" s="133"/>
      <c r="R80" s="283" t="str">
        <f t="shared" si="8"/>
        <v/>
      </c>
      <c r="S80" s="296" t="str">
        <f t="shared" si="9"/>
        <v/>
      </c>
      <c r="T80" s="297" t="str">
        <f t="shared" si="7"/>
        <v/>
      </c>
      <c r="U80" s="311" t="str">
        <f>IF(D80="","",VLOOKUP(D80,'G-6 Hedgerow Data'!$B$3:$AG$15,31,FALSE))</f>
        <v/>
      </c>
      <c r="V80" s="295" t="str">
        <f t="shared" si="10"/>
        <v/>
      </c>
      <c r="W80" s="283" t="str">
        <f t="shared" si="11"/>
        <v/>
      </c>
      <c r="X80" s="299" t="str">
        <f>IF(F80="","",VLOOKUP(U80,'G-3 Multipliers'!$P$3:$Q$6,2,FALSE))</f>
        <v/>
      </c>
      <c r="Y80" s="303" t="str">
        <f t="shared" si="12"/>
        <v/>
      </c>
      <c r="Z80" s="303" t="str">
        <f t="shared" si="13"/>
        <v/>
      </c>
      <c r="AA80" s="101"/>
      <c r="AB80" s="938"/>
      <c r="AC80" s="138"/>
      <c r="AD80" s="138"/>
      <c r="AE80" s="934"/>
      <c r="AH80" s="30" t="str">
        <f>IFERROR(INDEX('G-6 Hedgerow Data'!$BJ$3:$BJ$15,MATCH(D80,'G-6 Hedgerow Data'!$B$3:$B$15,0)),"")</f>
        <v/>
      </c>
    </row>
    <row r="81" spans="2:34" ht="14">
      <c r="B81" s="97">
        <v>70</v>
      </c>
      <c r="C81" s="171"/>
      <c r="D81" s="58"/>
      <c r="E81" s="138"/>
      <c r="F81" s="275" t="str">
        <f>IF(D81="","",VLOOKUP(D81,'G-6 Hedgerow Data'!$B$2:$AG$15,2,FALSE))</f>
        <v/>
      </c>
      <c r="G81" s="299" t="str">
        <f>IF(D81="","",VLOOKUP(D81,'G-6 Hedgerow Data'!$B$2:$AG$15,3,FALSE))</f>
        <v/>
      </c>
      <c r="H81" s="53"/>
      <c r="I81" s="276" t="str">
        <f>IFERROR(IF(H81="","",IF(AND(D81="Non-native and ornamental hedgerow",H81&lt;&gt;"Poor"),"Not possible ▲",(IF(AND(F81="V.Low",OR(H81="Good",H81="Moderate")),"Error ▲",VLOOKUP(H81,'G-1 All Habitats'!$Z$2:$AA$9,2,FALSE))))),"")</f>
        <v/>
      </c>
      <c r="J81" s="102"/>
      <c r="K81" s="295" t="str">
        <f>IF(J81="","",IF(VLOOKUP(J81,'G-3 Multipliers'!$L$3:$N$6,2,FALSE)=0,"Spatial Data Missing",VLOOKUP(J81,'G-3 Multipliers'!$L$3:$N$6,2,FALSE)))</f>
        <v/>
      </c>
      <c r="L81" s="299" t="str">
        <f>IF(J81="","",IF(VLOOKUP(J81,'G-3 Multipliers'!$L$3:$N$6,3,FALSE)=0,"Spatial Data Missing",VLOOKUP(J81,'G-3 Multipliers'!$L$3:$N$6,3,FALSE)))</f>
        <v/>
      </c>
      <c r="M81" s="134"/>
      <c r="N81" s="276" t="str">
        <f>IF(M81="","",IF(VLOOKUP(M81,'G-3 Multipliers'!$S$3:$T$10,2,FALSE)=0,"Spatial Data Missing ⚠",VLOOKUP(M81,'G-3 Multipliers'!$S$3:$T$10,2,FALSE)))</f>
        <v/>
      </c>
      <c r="O81" s="275" t="str">
        <f>IF(OR(D81="",H81=""),"",(INDEX('G-6 Hedgerow Data'!$E$3:$I$15,MATCH(D81,'G-6 Hedgerow Data'!$B$3:$B$15,0),MATCH(H81,'G-6 Hedgerow Data'!$E$2:$I$2,0))))</f>
        <v/>
      </c>
      <c r="P81" s="133"/>
      <c r="Q81" s="133"/>
      <c r="R81" s="283" t="str">
        <f t="shared" si="8"/>
        <v/>
      </c>
      <c r="S81" s="296" t="str">
        <f t="shared" si="9"/>
        <v/>
      </c>
      <c r="T81" s="297" t="str">
        <f t="shared" si="7"/>
        <v/>
      </c>
      <c r="U81" s="311" t="str">
        <f>IF(D81="","",VLOOKUP(D81,'G-6 Hedgerow Data'!$B$3:$AG$15,31,FALSE))</f>
        <v/>
      </c>
      <c r="V81" s="295" t="str">
        <f t="shared" si="10"/>
        <v/>
      </c>
      <c r="W81" s="283" t="str">
        <f t="shared" si="11"/>
        <v/>
      </c>
      <c r="X81" s="299" t="str">
        <f>IF(F81="","",VLOOKUP(U81,'G-3 Multipliers'!$P$3:$Q$6,2,FALSE))</f>
        <v/>
      </c>
      <c r="Y81" s="303" t="str">
        <f t="shared" si="12"/>
        <v/>
      </c>
      <c r="Z81" s="303" t="str">
        <f t="shared" si="13"/>
        <v/>
      </c>
      <c r="AA81" s="101"/>
      <c r="AB81" s="938"/>
      <c r="AC81" s="138"/>
      <c r="AD81" s="138"/>
      <c r="AE81" s="934"/>
      <c r="AH81" s="30" t="str">
        <f>IFERROR(INDEX('G-6 Hedgerow Data'!$BJ$3:$BJ$15,MATCH(D81,'G-6 Hedgerow Data'!$B$3:$B$15,0)),"")</f>
        <v/>
      </c>
    </row>
    <row r="82" spans="2:34" ht="14">
      <c r="B82" s="97">
        <v>71</v>
      </c>
      <c r="C82" s="171"/>
      <c r="D82" s="58"/>
      <c r="E82" s="138"/>
      <c r="F82" s="275" t="str">
        <f>IF(D82="","",VLOOKUP(D82,'G-6 Hedgerow Data'!$B$2:$AG$15,2,FALSE))</f>
        <v/>
      </c>
      <c r="G82" s="299" t="str">
        <f>IF(D82="","",VLOOKUP(D82,'G-6 Hedgerow Data'!$B$2:$AG$15,3,FALSE))</f>
        <v/>
      </c>
      <c r="H82" s="53"/>
      <c r="I82" s="276" t="str">
        <f>IFERROR(IF(H82="","",IF(AND(D82="Non-native and ornamental hedgerow",H82&lt;&gt;"Poor"),"Not possible ▲",(IF(AND(F82="V.Low",OR(H82="Good",H82="Moderate")),"Error ▲",VLOOKUP(H82,'G-1 All Habitats'!$Z$2:$AA$9,2,FALSE))))),"")</f>
        <v/>
      </c>
      <c r="J82" s="102"/>
      <c r="K82" s="295" t="str">
        <f>IF(J82="","",IF(VLOOKUP(J82,'G-3 Multipliers'!$L$3:$N$6,2,FALSE)=0,"Spatial Data Missing",VLOOKUP(J82,'G-3 Multipliers'!$L$3:$N$6,2,FALSE)))</f>
        <v/>
      </c>
      <c r="L82" s="299" t="str">
        <f>IF(J82="","",IF(VLOOKUP(J82,'G-3 Multipliers'!$L$3:$N$6,3,FALSE)=0,"Spatial Data Missing",VLOOKUP(J82,'G-3 Multipliers'!$L$3:$N$6,3,FALSE)))</f>
        <v/>
      </c>
      <c r="M82" s="134"/>
      <c r="N82" s="276" t="str">
        <f>IF(M82="","",IF(VLOOKUP(M82,'G-3 Multipliers'!$S$3:$T$10,2,FALSE)=0,"Spatial Data Missing ⚠",VLOOKUP(M82,'G-3 Multipliers'!$S$3:$T$10,2,FALSE)))</f>
        <v/>
      </c>
      <c r="O82" s="275" t="str">
        <f>IF(OR(D82="",H82=""),"",(INDEX('G-6 Hedgerow Data'!$E$3:$I$15,MATCH(D82,'G-6 Hedgerow Data'!$B$3:$B$15,0),MATCH(H82,'G-6 Hedgerow Data'!$E$2:$I$2,0))))</f>
        <v/>
      </c>
      <c r="P82" s="133"/>
      <c r="Q82" s="133"/>
      <c r="R82" s="283" t="str">
        <f t="shared" si="8"/>
        <v/>
      </c>
      <c r="S82" s="296" t="str">
        <f t="shared" si="9"/>
        <v/>
      </c>
      <c r="T82" s="297" t="str">
        <f t="shared" si="7"/>
        <v/>
      </c>
      <c r="U82" s="311" t="str">
        <f>IF(D82="","",VLOOKUP(D82,'G-6 Hedgerow Data'!$B$3:$AG$15,31,FALSE))</f>
        <v/>
      </c>
      <c r="V82" s="295" t="str">
        <f t="shared" si="10"/>
        <v/>
      </c>
      <c r="W82" s="283" t="str">
        <f t="shared" si="11"/>
        <v/>
      </c>
      <c r="X82" s="299" t="str">
        <f>IF(F82="","",VLOOKUP(U82,'G-3 Multipliers'!$P$3:$Q$6,2,FALSE))</f>
        <v/>
      </c>
      <c r="Y82" s="303" t="str">
        <f t="shared" si="12"/>
        <v/>
      </c>
      <c r="Z82" s="303" t="str">
        <f t="shared" si="13"/>
        <v/>
      </c>
      <c r="AA82" s="101"/>
      <c r="AB82" s="938"/>
      <c r="AC82" s="138"/>
      <c r="AD82" s="138"/>
      <c r="AE82" s="934"/>
      <c r="AH82" s="30" t="str">
        <f>IFERROR(INDEX('G-6 Hedgerow Data'!$BJ$3:$BJ$15,MATCH(D82,'G-6 Hedgerow Data'!$B$3:$B$15,0)),"")</f>
        <v/>
      </c>
    </row>
    <row r="83" spans="2:34" ht="14">
      <c r="B83" s="97">
        <v>72</v>
      </c>
      <c r="C83" s="171"/>
      <c r="D83" s="58"/>
      <c r="E83" s="138"/>
      <c r="F83" s="275" t="str">
        <f>IF(D83="","",VLOOKUP(D83,'G-6 Hedgerow Data'!$B$2:$AG$15,2,FALSE))</f>
        <v/>
      </c>
      <c r="G83" s="299" t="str">
        <f>IF(D83="","",VLOOKUP(D83,'G-6 Hedgerow Data'!$B$2:$AG$15,3,FALSE))</f>
        <v/>
      </c>
      <c r="H83" s="53"/>
      <c r="I83" s="276" t="str">
        <f>IFERROR(IF(H83="","",IF(AND(D83="Non-native and ornamental hedgerow",H83&lt;&gt;"Poor"),"Not possible ▲",(IF(AND(F83="V.Low",OR(H83="Good",H83="Moderate")),"Error ▲",VLOOKUP(H83,'G-1 All Habitats'!$Z$2:$AA$9,2,FALSE))))),"")</f>
        <v/>
      </c>
      <c r="J83" s="102"/>
      <c r="K83" s="295" t="str">
        <f>IF(J83="","",IF(VLOOKUP(J83,'G-3 Multipliers'!$L$3:$N$6,2,FALSE)=0,"Spatial Data Missing",VLOOKUP(J83,'G-3 Multipliers'!$L$3:$N$6,2,FALSE)))</f>
        <v/>
      </c>
      <c r="L83" s="299" t="str">
        <f>IF(J83="","",IF(VLOOKUP(J83,'G-3 Multipliers'!$L$3:$N$6,3,FALSE)=0,"Spatial Data Missing",VLOOKUP(J83,'G-3 Multipliers'!$L$3:$N$6,3,FALSE)))</f>
        <v/>
      </c>
      <c r="M83" s="134"/>
      <c r="N83" s="276" t="str">
        <f>IF(M83="","",IF(VLOOKUP(M83,'G-3 Multipliers'!$S$3:$T$10,2,FALSE)=0,"Spatial Data Missing ⚠",VLOOKUP(M83,'G-3 Multipliers'!$S$3:$T$10,2,FALSE)))</f>
        <v/>
      </c>
      <c r="O83" s="275" t="str">
        <f>IF(OR(D83="",H83=""),"",(INDEX('G-6 Hedgerow Data'!$E$3:$I$15,MATCH(D83,'G-6 Hedgerow Data'!$B$3:$B$15,0),MATCH(H83,'G-6 Hedgerow Data'!$E$2:$I$2,0))))</f>
        <v/>
      </c>
      <c r="P83" s="133"/>
      <c r="Q83" s="133"/>
      <c r="R83" s="283" t="str">
        <f t="shared" si="8"/>
        <v/>
      </c>
      <c r="S83" s="296" t="str">
        <f t="shared" si="9"/>
        <v/>
      </c>
      <c r="T83" s="297" t="str">
        <f t="shared" si="7"/>
        <v/>
      </c>
      <c r="U83" s="311" t="str">
        <f>IF(D83="","",VLOOKUP(D83,'G-6 Hedgerow Data'!$B$3:$AG$15,31,FALSE))</f>
        <v/>
      </c>
      <c r="V83" s="295" t="str">
        <f t="shared" si="10"/>
        <v/>
      </c>
      <c r="W83" s="283" t="str">
        <f t="shared" si="11"/>
        <v/>
      </c>
      <c r="X83" s="299" t="str">
        <f>IF(F83="","",VLOOKUP(U83,'G-3 Multipliers'!$P$3:$Q$6,2,FALSE))</f>
        <v/>
      </c>
      <c r="Y83" s="303" t="str">
        <f t="shared" si="12"/>
        <v/>
      </c>
      <c r="Z83" s="303" t="str">
        <f t="shared" si="13"/>
        <v/>
      </c>
      <c r="AA83" s="101"/>
      <c r="AB83" s="938"/>
      <c r="AC83" s="138"/>
      <c r="AD83" s="138"/>
      <c r="AE83" s="934"/>
      <c r="AH83" s="30" t="str">
        <f>IFERROR(INDEX('G-6 Hedgerow Data'!$BJ$3:$BJ$15,MATCH(D83,'G-6 Hedgerow Data'!$B$3:$B$15,0)),"")</f>
        <v/>
      </c>
    </row>
    <row r="84" spans="2:34" ht="14">
      <c r="B84" s="97">
        <v>73</v>
      </c>
      <c r="C84" s="171"/>
      <c r="D84" s="58"/>
      <c r="E84" s="138"/>
      <c r="F84" s="275" t="str">
        <f>IF(D84="","",VLOOKUP(D84,'G-6 Hedgerow Data'!$B$2:$AG$15,2,FALSE))</f>
        <v/>
      </c>
      <c r="G84" s="299" t="str">
        <f>IF(D84="","",VLOOKUP(D84,'G-6 Hedgerow Data'!$B$2:$AG$15,3,FALSE))</f>
        <v/>
      </c>
      <c r="H84" s="53"/>
      <c r="I84" s="276" t="str">
        <f>IFERROR(IF(H84="","",IF(AND(D84="Non-native and ornamental hedgerow",H84&lt;&gt;"Poor"),"Not possible ▲",(IF(AND(F84="V.Low",OR(H84="Good",H84="Moderate")),"Error ▲",VLOOKUP(H84,'G-1 All Habitats'!$Z$2:$AA$9,2,FALSE))))),"")</f>
        <v/>
      </c>
      <c r="J84" s="102"/>
      <c r="K84" s="295" t="str">
        <f>IF(J84="","",IF(VLOOKUP(J84,'G-3 Multipliers'!$L$3:$N$6,2,FALSE)=0,"Spatial Data Missing",VLOOKUP(J84,'G-3 Multipliers'!$L$3:$N$6,2,FALSE)))</f>
        <v/>
      </c>
      <c r="L84" s="299" t="str">
        <f>IF(J84="","",IF(VLOOKUP(J84,'G-3 Multipliers'!$L$3:$N$6,3,FALSE)=0,"Spatial Data Missing",VLOOKUP(J84,'G-3 Multipliers'!$L$3:$N$6,3,FALSE)))</f>
        <v/>
      </c>
      <c r="M84" s="134"/>
      <c r="N84" s="276" t="str">
        <f>IF(M84="","",IF(VLOOKUP(M84,'G-3 Multipliers'!$S$3:$T$10,2,FALSE)=0,"Spatial Data Missing ⚠",VLOOKUP(M84,'G-3 Multipliers'!$S$3:$T$10,2,FALSE)))</f>
        <v/>
      </c>
      <c r="O84" s="275" t="str">
        <f>IF(OR(D84="",H84=""),"",(INDEX('G-6 Hedgerow Data'!$E$3:$I$15,MATCH(D84,'G-6 Hedgerow Data'!$B$3:$B$15,0),MATCH(H84,'G-6 Hedgerow Data'!$E$2:$I$2,0))))</f>
        <v/>
      </c>
      <c r="P84" s="133"/>
      <c r="Q84" s="133"/>
      <c r="R84" s="283" t="str">
        <f t="shared" si="8"/>
        <v/>
      </c>
      <c r="S84" s="296" t="str">
        <f t="shared" si="9"/>
        <v/>
      </c>
      <c r="T84" s="297" t="str">
        <f t="shared" si="7"/>
        <v/>
      </c>
      <c r="U84" s="311" t="str">
        <f>IF(D84="","",VLOOKUP(D84,'G-6 Hedgerow Data'!$B$3:$AG$15,31,FALSE))</f>
        <v/>
      </c>
      <c r="V84" s="295" t="str">
        <f t="shared" si="10"/>
        <v/>
      </c>
      <c r="W84" s="283" t="str">
        <f t="shared" si="11"/>
        <v/>
      </c>
      <c r="X84" s="299" t="str">
        <f>IF(F84="","",VLOOKUP(U84,'G-3 Multipliers'!$P$3:$Q$6,2,FALSE))</f>
        <v/>
      </c>
      <c r="Y84" s="303" t="str">
        <f t="shared" si="12"/>
        <v/>
      </c>
      <c r="Z84" s="303" t="str">
        <f t="shared" si="13"/>
        <v/>
      </c>
      <c r="AA84" s="101"/>
      <c r="AB84" s="938"/>
      <c r="AC84" s="138"/>
      <c r="AD84" s="138"/>
      <c r="AE84" s="934"/>
      <c r="AH84" s="30" t="str">
        <f>IFERROR(INDEX('G-6 Hedgerow Data'!$BJ$3:$BJ$15,MATCH(D84,'G-6 Hedgerow Data'!$B$3:$B$15,0)),"")</f>
        <v/>
      </c>
    </row>
    <row r="85" spans="2:34" ht="14">
      <c r="B85" s="97">
        <v>74</v>
      </c>
      <c r="C85" s="171"/>
      <c r="D85" s="58"/>
      <c r="E85" s="138"/>
      <c r="F85" s="275" t="str">
        <f>IF(D85="","",VLOOKUP(D85,'G-6 Hedgerow Data'!$B$2:$AG$15,2,FALSE))</f>
        <v/>
      </c>
      <c r="G85" s="299" t="str">
        <f>IF(D85="","",VLOOKUP(D85,'G-6 Hedgerow Data'!$B$2:$AG$15,3,FALSE))</f>
        <v/>
      </c>
      <c r="H85" s="53"/>
      <c r="I85" s="276" t="str">
        <f>IFERROR(IF(H85="","",IF(AND(D85="Non-native and ornamental hedgerow",H85&lt;&gt;"Poor"),"Not possible ▲",(IF(AND(F85="V.Low",OR(H85="Good",H85="Moderate")),"Error ▲",VLOOKUP(H85,'G-1 All Habitats'!$Z$2:$AA$9,2,FALSE))))),"")</f>
        <v/>
      </c>
      <c r="J85" s="102"/>
      <c r="K85" s="295" t="str">
        <f>IF(J85="","",IF(VLOOKUP(J85,'G-3 Multipliers'!$L$3:$N$6,2,FALSE)=0,"Spatial Data Missing",VLOOKUP(J85,'G-3 Multipliers'!$L$3:$N$6,2,FALSE)))</f>
        <v/>
      </c>
      <c r="L85" s="299" t="str">
        <f>IF(J85="","",IF(VLOOKUP(J85,'G-3 Multipliers'!$L$3:$N$6,3,FALSE)=0,"Spatial Data Missing",VLOOKUP(J85,'G-3 Multipliers'!$L$3:$N$6,3,FALSE)))</f>
        <v/>
      </c>
      <c r="M85" s="134"/>
      <c r="N85" s="276" t="str">
        <f>IF(M85="","",IF(VLOOKUP(M85,'G-3 Multipliers'!$S$3:$T$10,2,FALSE)=0,"Spatial Data Missing ⚠",VLOOKUP(M85,'G-3 Multipliers'!$S$3:$T$10,2,FALSE)))</f>
        <v/>
      </c>
      <c r="O85" s="275" t="str">
        <f>IF(OR(D85="",H85=""),"",(INDEX('G-6 Hedgerow Data'!$E$3:$I$15,MATCH(D85,'G-6 Hedgerow Data'!$B$3:$B$15,0),MATCH(H85,'G-6 Hedgerow Data'!$E$2:$I$2,0))))</f>
        <v/>
      </c>
      <c r="P85" s="133"/>
      <c r="Q85" s="133"/>
      <c r="R85" s="283" t="str">
        <f t="shared" si="8"/>
        <v/>
      </c>
      <c r="S85" s="296" t="str">
        <f t="shared" si="9"/>
        <v/>
      </c>
      <c r="T85" s="297" t="str">
        <f t="shared" si="7"/>
        <v/>
      </c>
      <c r="U85" s="311" t="str">
        <f>IF(D85="","",VLOOKUP(D85,'G-6 Hedgerow Data'!$B$3:$AG$15,31,FALSE))</f>
        <v/>
      </c>
      <c r="V85" s="295" t="str">
        <f t="shared" si="10"/>
        <v/>
      </c>
      <c r="W85" s="283" t="str">
        <f t="shared" si="11"/>
        <v/>
      </c>
      <c r="X85" s="299" t="str">
        <f>IF(F85="","",VLOOKUP(U85,'G-3 Multipliers'!$P$3:$Q$6,2,FALSE))</f>
        <v/>
      </c>
      <c r="Y85" s="303" t="str">
        <f t="shared" si="12"/>
        <v/>
      </c>
      <c r="Z85" s="303" t="str">
        <f t="shared" si="13"/>
        <v/>
      </c>
      <c r="AA85" s="101"/>
      <c r="AB85" s="938"/>
      <c r="AC85" s="138"/>
      <c r="AD85" s="138"/>
      <c r="AE85" s="934"/>
      <c r="AH85" s="30" t="str">
        <f>IFERROR(INDEX('G-6 Hedgerow Data'!$BJ$3:$BJ$15,MATCH(D85,'G-6 Hedgerow Data'!$B$3:$B$15,0)),"")</f>
        <v/>
      </c>
    </row>
    <row r="86" spans="2:34" ht="14">
      <c r="B86" s="97">
        <v>75</v>
      </c>
      <c r="C86" s="171"/>
      <c r="D86" s="58"/>
      <c r="E86" s="138"/>
      <c r="F86" s="275" t="str">
        <f>IF(D86="","",VLOOKUP(D86,'G-6 Hedgerow Data'!$B$2:$AG$15,2,FALSE))</f>
        <v/>
      </c>
      <c r="G86" s="299" t="str">
        <f>IF(D86="","",VLOOKUP(D86,'G-6 Hedgerow Data'!$B$2:$AG$15,3,FALSE))</f>
        <v/>
      </c>
      <c r="H86" s="53"/>
      <c r="I86" s="276" t="str">
        <f>IFERROR(IF(H86="","",IF(AND(D86="Non-native and ornamental hedgerow",H86&lt;&gt;"Poor"),"Not possible ▲",(IF(AND(F86="V.Low",OR(H86="Good",H86="Moderate")),"Error ▲",VLOOKUP(H86,'G-1 All Habitats'!$Z$2:$AA$9,2,FALSE))))),"")</f>
        <v/>
      </c>
      <c r="J86" s="102"/>
      <c r="K86" s="295" t="str">
        <f>IF(J86="","",IF(VLOOKUP(J86,'G-3 Multipliers'!$L$3:$N$6,2,FALSE)=0,"Spatial Data Missing",VLOOKUP(J86,'G-3 Multipliers'!$L$3:$N$6,2,FALSE)))</f>
        <v/>
      </c>
      <c r="L86" s="299" t="str">
        <f>IF(J86="","",IF(VLOOKUP(J86,'G-3 Multipliers'!$L$3:$N$6,3,FALSE)=0,"Spatial Data Missing",VLOOKUP(J86,'G-3 Multipliers'!$L$3:$N$6,3,FALSE)))</f>
        <v/>
      </c>
      <c r="M86" s="134"/>
      <c r="N86" s="276" t="str">
        <f>IF(M86="","",IF(VLOOKUP(M86,'G-3 Multipliers'!$S$3:$T$10,2,FALSE)=0,"Spatial Data Missing ⚠",VLOOKUP(M86,'G-3 Multipliers'!$S$3:$T$10,2,FALSE)))</f>
        <v/>
      </c>
      <c r="O86" s="275" t="str">
        <f>IF(OR(D86="",H86=""),"",(INDEX('G-6 Hedgerow Data'!$E$3:$I$15,MATCH(D86,'G-6 Hedgerow Data'!$B$3:$B$15,0),MATCH(H86,'G-6 Hedgerow Data'!$E$2:$I$2,0))))</f>
        <v/>
      </c>
      <c r="P86" s="133"/>
      <c r="Q86" s="133"/>
      <c r="R86" s="283" t="str">
        <f t="shared" si="8"/>
        <v/>
      </c>
      <c r="S86" s="296" t="str">
        <f t="shared" si="9"/>
        <v/>
      </c>
      <c r="T86" s="297" t="str">
        <f t="shared" si="7"/>
        <v/>
      </c>
      <c r="U86" s="311" t="str">
        <f>IF(D86="","",VLOOKUP(D86,'G-6 Hedgerow Data'!$B$3:$AG$15,31,FALSE))</f>
        <v/>
      </c>
      <c r="V86" s="295" t="str">
        <f t="shared" si="10"/>
        <v/>
      </c>
      <c r="W86" s="283" t="str">
        <f t="shared" si="11"/>
        <v/>
      </c>
      <c r="X86" s="299" t="str">
        <f>IF(F86="","",VLOOKUP(U86,'G-3 Multipliers'!$P$3:$Q$6,2,FALSE))</f>
        <v/>
      </c>
      <c r="Y86" s="303" t="str">
        <f t="shared" si="12"/>
        <v/>
      </c>
      <c r="Z86" s="303" t="str">
        <f t="shared" si="13"/>
        <v/>
      </c>
      <c r="AA86" s="101"/>
      <c r="AB86" s="938"/>
      <c r="AC86" s="138"/>
      <c r="AD86" s="138"/>
      <c r="AE86" s="934"/>
      <c r="AH86" s="30" t="str">
        <f>IFERROR(INDEX('G-6 Hedgerow Data'!$BJ$3:$BJ$15,MATCH(D86,'G-6 Hedgerow Data'!$B$3:$B$15,0)),"")</f>
        <v/>
      </c>
    </row>
    <row r="87" spans="2:34" ht="14">
      <c r="B87" s="97">
        <v>76</v>
      </c>
      <c r="C87" s="171"/>
      <c r="D87" s="58"/>
      <c r="E87" s="138"/>
      <c r="F87" s="275" t="str">
        <f>IF(D87="","",VLOOKUP(D87,'G-6 Hedgerow Data'!$B$2:$AG$15,2,FALSE))</f>
        <v/>
      </c>
      <c r="G87" s="299" t="str">
        <f>IF(D87="","",VLOOKUP(D87,'G-6 Hedgerow Data'!$B$2:$AG$15,3,FALSE))</f>
        <v/>
      </c>
      <c r="H87" s="53"/>
      <c r="I87" s="276" t="str">
        <f>IFERROR(IF(H87="","",IF(AND(D87="Non-native and ornamental hedgerow",H87&lt;&gt;"Poor"),"Not possible ▲",(IF(AND(F87="V.Low",OR(H87="Good",H87="Moderate")),"Error ▲",VLOOKUP(H87,'G-1 All Habitats'!$Z$2:$AA$9,2,FALSE))))),"")</f>
        <v/>
      </c>
      <c r="J87" s="102"/>
      <c r="K87" s="295" t="str">
        <f>IF(J87="","",IF(VLOOKUP(J87,'G-3 Multipliers'!$L$3:$N$6,2,FALSE)=0,"Spatial Data Missing",VLOOKUP(J87,'G-3 Multipliers'!$L$3:$N$6,2,FALSE)))</f>
        <v/>
      </c>
      <c r="L87" s="299" t="str">
        <f>IF(J87="","",IF(VLOOKUP(J87,'G-3 Multipliers'!$L$3:$N$6,3,FALSE)=0,"Spatial Data Missing",VLOOKUP(J87,'G-3 Multipliers'!$L$3:$N$6,3,FALSE)))</f>
        <v/>
      </c>
      <c r="M87" s="134"/>
      <c r="N87" s="276" t="str">
        <f>IF(M87="","",IF(VLOOKUP(M87,'G-3 Multipliers'!$S$3:$T$10,2,FALSE)=0,"Spatial Data Missing ⚠",VLOOKUP(M87,'G-3 Multipliers'!$S$3:$T$10,2,FALSE)))</f>
        <v/>
      </c>
      <c r="O87" s="275" t="str">
        <f>IF(OR(D87="",H87=""),"",(INDEX('G-6 Hedgerow Data'!$E$3:$I$15,MATCH(D87,'G-6 Hedgerow Data'!$B$3:$B$15,0),MATCH(H87,'G-6 Hedgerow Data'!$E$2:$I$2,0))))</f>
        <v/>
      </c>
      <c r="P87" s="133"/>
      <c r="Q87" s="133"/>
      <c r="R87" s="283" t="str">
        <f t="shared" si="8"/>
        <v/>
      </c>
      <c r="S87" s="296" t="str">
        <f t="shared" si="9"/>
        <v/>
      </c>
      <c r="T87" s="297" t="str">
        <f t="shared" si="7"/>
        <v/>
      </c>
      <c r="U87" s="311" t="str">
        <f>IF(D87="","",VLOOKUP(D87,'G-6 Hedgerow Data'!$B$3:$AG$15,31,FALSE))</f>
        <v/>
      </c>
      <c r="V87" s="295" t="str">
        <f t="shared" si="10"/>
        <v/>
      </c>
      <c r="W87" s="283" t="str">
        <f t="shared" si="11"/>
        <v/>
      </c>
      <c r="X87" s="299" t="str">
        <f>IF(F87="","",VLOOKUP(U87,'G-3 Multipliers'!$P$3:$Q$6,2,FALSE))</f>
        <v/>
      </c>
      <c r="Y87" s="303" t="str">
        <f t="shared" si="12"/>
        <v/>
      </c>
      <c r="Z87" s="303" t="str">
        <f t="shared" si="13"/>
        <v/>
      </c>
      <c r="AA87" s="101"/>
      <c r="AB87" s="938"/>
      <c r="AC87" s="138"/>
      <c r="AD87" s="138"/>
      <c r="AE87" s="934"/>
      <c r="AH87" s="30" t="str">
        <f>IFERROR(INDEX('G-6 Hedgerow Data'!$BJ$3:$BJ$15,MATCH(D87,'G-6 Hedgerow Data'!$B$3:$B$15,0)),"")</f>
        <v/>
      </c>
    </row>
    <row r="88" spans="2:34" ht="14">
      <c r="B88" s="97">
        <v>77</v>
      </c>
      <c r="C88" s="171"/>
      <c r="D88" s="58"/>
      <c r="E88" s="138"/>
      <c r="F88" s="275" t="str">
        <f>IF(D88="","",VLOOKUP(D88,'G-6 Hedgerow Data'!$B$2:$AG$15,2,FALSE))</f>
        <v/>
      </c>
      <c r="G88" s="299" t="str">
        <f>IF(D88="","",VLOOKUP(D88,'G-6 Hedgerow Data'!$B$2:$AG$15,3,FALSE))</f>
        <v/>
      </c>
      <c r="H88" s="53"/>
      <c r="I88" s="276" t="str">
        <f>IFERROR(IF(H88="","",IF(AND(D88="Non-native and ornamental hedgerow",H88&lt;&gt;"Poor"),"Not possible ▲",(IF(AND(F88="V.Low",OR(H88="Good",H88="Moderate")),"Error ▲",VLOOKUP(H88,'G-1 All Habitats'!$Z$2:$AA$9,2,FALSE))))),"")</f>
        <v/>
      </c>
      <c r="J88" s="102"/>
      <c r="K88" s="295" t="str">
        <f>IF(J88="","",IF(VLOOKUP(J88,'G-3 Multipliers'!$L$3:$N$6,2,FALSE)=0,"Spatial Data Missing",VLOOKUP(J88,'G-3 Multipliers'!$L$3:$N$6,2,FALSE)))</f>
        <v/>
      </c>
      <c r="L88" s="299" t="str">
        <f>IF(J88="","",IF(VLOOKUP(J88,'G-3 Multipliers'!$L$3:$N$6,3,FALSE)=0,"Spatial Data Missing",VLOOKUP(J88,'G-3 Multipliers'!$L$3:$N$6,3,FALSE)))</f>
        <v/>
      </c>
      <c r="M88" s="134"/>
      <c r="N88" s="276" t="str">
        <f>IF(M88="","",IF(VLOOKUP(M88,'G-3 Multipliers'!$S$3:$T$10,2,FALSE)=0,"Spatial Data Missing ⚠",VLOOKUP(M88,'G-3 Multipliers'!$S$3:$T$10,2,FALSE)))</f>
        <v/>
      </c>
      <c r="O88" s="275" t="str">
        <f>IF(OR(D88="",H88=""),"",(INDEX('G-6 Hedgerow Data'!$E$3:$I$15,MATCH(D88,'G-6 Hedgerow Data'!$B$3:$B$15,0),MATCH(H88,'G-6 Hedgerow Data'!$E$2:$I$2,0))))</f>
        <v/>
      </c>
      <c r="P88" s="133"/>
      <c r="Q88" s="133"/>
      <c r="R88" s="283" t="str">
        <f t="shared" si="8"/>
        <v/>
      </c>
      <c r="S88" s="296" t="str">
        <f t="shared" si="9"/>
        <v/>
      </c>
      <c r="T88" s="297" t="str">
        <f t="shared" si="7"/>
        <v/>
      </c>
      <c r="U88" s="311" t="str">
        <f>IF(D88="","",VLOOKUP(D88,'G-6 Hedgerow Data'!$B$3:$AG$15,31,FALSE))</f>
        <v/>
      </c>
      <c r="V88" s="295" t="str">
        <f t="shared" si="10"/>
        <v/>
      </c>
      <c r="W88" s="283" t="str">
        <f t="shared" si="11"/>
        <v/>
      </c>
      <c r="X88" s="299" t="str">
        <f>IF(F88="","",VLOOKUP(U88,'G-3 Multipliers'!$P$3:$Q$6,2,FALSE))</f>
        <v/>
      </c>
      <c r="Y88" s="303" t="str">
        <f t="shared" si="12"/>
        <v/>
      </c>
      <c r="Z88" s="303" t="str">
        <f t="shared" si="13"/>
        <v/>
      </c>
      <c r="AA88" s="101"/>
      <c r="AB88" s="938"/>
      <c r="AC88" s="138"/>
      <c r="AD88" s="138"/>
      <c r="AE88" s="934"/>
      <c r="AH88" s="30" t="str">
        <f>IFERROR(INDEX('G-6 Hedgerow Data'!$BJ$3:$BJ$15,MATCH(D88,'G-6 Hedgerow Data'!$B$3:$B$15,0)),"")</f>
        <v/>
      </c>
    </row>
    <row r="89" spans="2:34" ht="14">
      <c r="B89" s="97">
        <v>78</v>
      </c>
      <c r="C89" s="171"/>
      <c r="D89" s="58"/>
      <c r="E89" s="138"/>
      <c r="F89" s="275" t="str">
        <f>IF(D89="","",VLOOKUP(D89,'G-6 Hedgerow Data'!$B$2:$AG$15,2,FALSE))</f>
        <v/>
      </c>
      <c r="G89" s="299" t="str">
        <f>IF(D89="","",VLOOKUP(D89,'G-6 Hedgerow Data'!$B$2:$AG$15,3,FALSE))</f>
        <v/>
      </c>
      <c r="H89" s="53"/>
      <c r="I89" s="276" t="str">
        <f>IFERROR(IF(H89="","",IF(AND(D89="Non-native and ornamental hedgerow",H89&lt;&gt;"Poor"),"Not possible ▲",(IF(AND(F89="V.Low",OR(H89="Good",H89="Moderate")),"Error ▲",VLOOKUP(H89,'G-1 All Habitats'!$Z$2:$AA$9,2,FALSE))))),"")</f>
        <v/>
      </c>
      <c r="J89" s="102"/>
      <c r="K89" s="295" t="str">
        <f>IF(J89="","",IF(VLOOKUP(J89,'G-3 Multipliers'!$L$3:$N$6,2,FALSE)=0,"Spatial Data Missing",VLOOKUP(J89,'G-3 Multipliers'!$L$3:$N$6,2,FALSE)))</f>
        <v/>
      </c>
      <c r="L89" s="299" t="str">
        <f>IF(J89="","",IF(VLOOKUP(J89,'G-3 Multipliers'!$L$3:$N$6,3,FALSE)=0,"Spatial Data Missing",VLOOKUP(J89,'G-3 Multipliers'!$L$3:$N$6,3,FALSE)))</f>
        <v/>
      </c>
      <c r="M89" s="134"/>
      <c r="N89" s="276" t="str">
        <f>IF(M89="","",IF(VLOOKUP(M89,'G-3 Multipliers'!$S$3:$T$10,2,FALSE)=0,"Spatial Data Missing ⚠",VLOOKUP(M89,'G-3 Multipliers'!$S$3:$T$10,2,FALSE)))</f>
        <v/>
      </c>
      <c r="O89" s="275" t="str">
        <f>IF(OR(D89="",H89=""),"",(INDEX('G-6 Hedgerow Data'!$E$3:$I$15,MATCH(D89,'G-6 Hedgerow Data'!$B$3:$B$15,0),MATCH(H89,'G-6 Hedgerow Data'!$E$2:$I$2,0))))</f>
        <v/>
      </c>
      <c r="P89" s="133"/>
      <c r="Q89" s="133"/>
      <c r="R89" s="283" t="str">
        <f t="shared" si="8"/>
        <v/>
      </c>
      <c r="S89" s="296" t="str">
        <f t="shared" si="9"/>
        <v/>
      </c>
      <c r="T89" s="297" t="str">
        <f t="shared" si="7"/>
        <v/>
      </c>
      <c r="U89" s="311" t="str">
        <f>IF(D89="","",VLOOKUP(D89,'G-6 Hedgerow Data'!$B$3:$AG$15,31,FALSE))</f>
        <v/>
      </c>
      <c r="V89" s="295" t="str">
        <f t="shared" si="10"/>
        <v/>
      </c>
      <c r="W89" s="283" t="str">
        <f t="shared" si="11"/>
        <v/>
      </c>
      <c r="X89" s="299" t="str">
        <f>IF(F89="","",VLOOKUP(U89,'G-3 Multipliers'!$P$3:$Q$6,2,FALSE))</f>
        <v/>
      </c>
      <c r="Y89" s="303" t="str">
        <f t="shared" si="12"/>
        <v/>
      </c>
      <c r="Z89" s="303" t="str">
        <f t="shared" si="13"/>
        <v/>
      </c>
      <c r="AA89" s="101"/>
      <c r="AB89" s="938"/>
      <c r="AC89" s="138"/>
      <c r="AD89" s="138"/>
      <c r="AE89" s="934"/>
      <c r="AH89" s="30" t="str">
        <f>IFERROR(INDEX('G-6 Hedgerow Data'!$BJ$3:$BJ$15,MATCH(D89,'G-6 Hedgerow Data'!$B$3:$B$15,0)),"")</f>
        <v/>
      </c>
    </row>
    <row r="90" spans="2:34" ht="14">
      <c r="B90" s="97">
        <v>79</v>
      </c>
      <c r="C90" s="171"/>
      <c r="D90" s="58"/>
      <c r="E90" s="138"/>
      <c r="F90" s="275" t="str">
        <f>IF(D90="","",VLOOKUP(D90,'G-6 Hedgerow Data'!$B$2:$AG$15,2,FALSE))</f>
        <v/>
      </c>
      <c r="G90" s="299" t="str">
        <f>IF(D90="","",VLOOKUP(D90,'G-6 Hedgerow Data'!$B$2:$AG$15,3,FALSE))</f>
        <v/>
      </c>
      <c r="H90" s="53"/>
      <c r="I90" s="276" t="str">
        <f>IFERROR(IF(H90="","",IF(AND(D90="Non-native and ornamental hedgerow",H90&lt;&gt;"Poor"),"Not possible ▲",(IF(AND(F90="V.Low",OR(H90="Good",H90="Moderate")),"Error ▲",VLOOKUP(H90,'G-1 All Habitats'!$Z$2:$AA$9,2,FALSE))))),"")</f>
        <v/>
      </c>
      <c r="J90" s="102"/>
      <c r="K90" s="295" t="str">
        <f>IF(J90="","",IF(VLOOKUP(J90,'G-3 Multipliers'!$L$3:$N$6,2,FALSE)=0,"Spatial Data Missing",VLOOKUP(J90,'G-3 Multipliers'!$L$3:$N$6,2,FALSE)))</f>
        <v/>
      </c>
      <c r="L90" s="299" t="str">
        <f>IF(J90="","",IF(VLOOKUP(J90,'G-3 Multipliers'!$L$3:$N$6,3,FALSE)=0,"Spatial Data Missing",VLOOKUP(J90,'G-3 Multipliers'!$L$3:$N$6,3,FALSE)))</f>
        <v/>
      </c>
      <c r="M90" s="134"/>
      <c r="N90" s="276" t="str">
        <f>IF(M90="","",IF(VLOOKUP(M90,'G-3 Multipliers'!$S$3:$T$10,2,FALSE)=0,"Spatial Data Missing ⚠",VLOOKUP(M90,'G-3 Multipliers'!$S$3:$T$10,2,FALSE)))</f>
        <v/>
      </c>
      <c r="O90" s="275" t="str">
        <f>IF(OR(D90="",H90=""),"",(INDEX('G-6 Hedgerow Data'!$E$3:$I$15,MATCH(D90,'G-6 Hedgerow Data'!$B$3:$B$15,0),MATCH(H90,'G-6 Hedgerow Data'!$E$2:$I$2,0))))</f>
        <v/>
      </c>
      <c r="P90" s="133"/>
      <c r="Q90" s="133"/>
      <c r="R90" s="283" t="str">
        <f t="shared" si="8"/>
        <v/>
      </c>
      <c r="S90" s="296" t="str">
        <f t="shared" si="9"/>
        <v/>
      </c>
      <c r="T90" s="297" t="str">
        <f t="shared" si="7"/>
        <v/>
      </c>
      <c r="U90" s="311" t="str">
        <f>IF(D90="","",VLOOKUP(D90,'G-6 Hedgerow Data'!$B$3:$AG$15,31,FALSE))</f>
        <v/>
      </c>
      <c r="V90" s="295" t="str">
        <f t="shared" si="10"/>
        <v/>
      </c>
      <c r="W90" s="283" t="str">
        <f t="shared" si="11"/>
        <v/>
      </c>
      <c r="X90" s="299" t="str">
        <f>IF(F90="","",VLOOKUP(U90,'G-3 Multipliers'!$P$3:$Q$6,2,FALSE))</f>
        <v/>
      </c>
      <c r="Y90" s="303" t="str">
        <f t="shared" si="12"/>
        <v/>
      </c>
      <c r="Z90" s="303" t="str">
        <f t="shared" si="13"/>
        <v/>
      </c>
      <c r="AA90" s="101"/>
      <c r="AB90" s="938"/>
      <c r="AC90" s="138"/>
      <c r="AD90" s="138"/>
      <c r="AE90" s="934"/>
      <c r="AH90" s="30" t="str">
        <f>IFERROR(INDEX('G-6 Hedgerow Data'!$BJ$3:$BJ$15,MATCH(D90,'G-6 Hedgerow Data'!$B$3:$B$15,0)),"")</f>
        <v/>
      </c>
    </row>
    <row r="91" spans="2:34" ht="14">
      <c r="B91" s="97">
        <v>80</v>
      </c>
      <c r="C91" s="171"/>
      <c r="D91" s="58"/>
      <c r="E91" s="138"/>
      <c r="F91" s="275" t="str">
        <f>IF(D91="","",VLOOKUP(D91,'G-6 Hedgerow Data'!$B$2:$AG$15,2,FALSE))</f>
        <v/>
      </c>
      <c r="G91" s="299" t="str">
        <f>IF(D91="","",VLOOKUP(D91,'G-6 Hedgerow Data'!$B$2:$AG$15,3,FALSE))</f>
        <v/>
      </c>
      <c r="H91" s="53"/>
      <c r="I91" s="276" t="str">
        <f>IFERROR(IF(H91="","",IF(AND(D91="Non-native and ornamental hedgerow",H91&lt;&gt;"Poor"),"Not possible ▲",(IF(AND(F91="V.Low",OR(H91="Good",H91="Moderate")),"Error ▲",VLOOKUP(H91,'G-1 All Habitats'!$Z$2:$AA$9,2,FALSE))))),"")</f>
        <v/>
      </c>
      <c r="J91" s="102"/>
      <c r="K91" s="295" t="str">
        <f>IF(J91="","",IF(VLOOKUP(J91,'G-3 Multipliers'!$L$3:$N$6,2,FALSE)=0,"Spatial Data Missing",VLOOKUP(J91,'G-3 Multipliers'!$L$3:$N$6,2,FALSE)))</f>
        <v/>
      </c>
      <c r="L91" s="299" t="str">
        <f>IF(J91="","",IF(VLOOKUP(J91,'G-3 Multipliers'!$L$3:$N$6,3,FALSE)=0,"Spatial Data Missing",VLOOKUP(J91,'G-3 Multipliers'!$L$3:$N$6,3,FALSE)))</f>
        <v/>
      </c>
      <c r="M91" s="134"/>
      <c r="N91" s="276" t="str">
        <f>IF(M91="","",IF(VLOOKUP(M91,'G-3 Multipliers'!$S$3:$T$10,2,FALSE)=0,"Spatial Data Missing ⚠",VLOOKUP(M91,'G-3 Multipliers'!$S$3:$T$10,2,FALSE)))</f>
        <v/>
      </c>
      <c r="O91" s="275" t="str">
        <f>IF(OR(D91="",H91=""),"",(INDEX('G-6 Hedgerow Data'!$E$3:$I$15,MATCH(D91,'G-6 Hedgerow Data'!$B$3:$B$15,0),MATCH(H91,'G-6 Hedgerow Data'!$E$2:$I$2,0))))</f>
        <v/>
      </c>
      <c r="P91" s="133"/>
      <c r="Q91" s="133"/>
      <c r="R91" s="283" t="str">
        <f t="shared" si="8"/>
        <v/>
      </c>
      <c r="S91" s="296" t="str">
        <f t="shared" si="9"/>
        <v/>
      </c>
      <c r="T91" s="297" t="str">
        <f t="shared" si="7"/>
        <v/>
      </c>
      <c r="U91" s="311" t="str">
        <f>IF(D91="","",VLOOKUP(D91,'G-6 Hedgerow Data'!$B$3:$AG$15,31,FALSE))</f>
        <v/>
      </c>
      <c r="V91" s="295" t="str">
        <f t="shared" si="10"/>
        <v/>
      </c>
      <c r="W91" s="283" t="str">
        <f t="shared" si="11"/>
        <v/>
      </c>
      <c r="X91" s="299" t="str">
        <f>IF(F91="","",VLOOKUP(U91,'G-3 Multipliers'!$P$3:$Q$6,2,FALSE))</f>
        <v/>
      </c>
      <c r="Y91" s="303" t="str">
        <f t="shared" si="12"/>
        <v/>
      </c>
      <c r="Z91" s="303" t="str">
        <f t="shared" si="13"/>
        <v/>
      </c>
      <c r="AA91" s="101"/>
      <c r="AB91" s="938"/>
      <c r="AC91" s="138"/>
      <c r="AD91" s="138"/>
      <c r="AE91" s="934"/>
      <c r="AH91" s="30" t="str">
        <f>IFERROR(INDEX('G-6 Hedgerow Data'!$BJ$3:$BJ$15,MATCH(D91,'G-6 Hedgerow Data'!$B$3:$B$15,0)),"")</f>
        <v/>
      </c>
    </row>
    <row r="92" spans="2:34" ht="14">
      <c r="B92" s="97">
        <v>81</v>
      </c>
      <c r="C92" s="171"/>
      <c r="D92" s="58"/>
      <c r="E92" s="138"/>
      <c r="F92" s="275" t="str">
        <f>IF(D92="","",VLOOKUP(D92,'G-6 Hedgerow Data'!$B$2:$AG$15,2,FALSE))</f>
        <v/>
      </c>
      <c r="G92" s="299" t="str">
        <f>IF(D92="","",VLOOKUP(D92,'G-6 Hedgerow Data'!$B$2:$AG$15,3,FALSE))</f>
        <v/>
      </c>
      <c r="H92" s="53"/>
      <c r="I92" s="276" t="str">
        <f>IFERROR(IF(H92="","",IF(AND(D92="Non-native and ornamental hedgerow",H92&lt;&gt;"Poor"),"Not possible ▲",(IF(AND(F92="V.Low",OR(H92="Good",H92="Moderate")),"Error ▲",VLOOKUP(H92,'G-1 All Habitats'!$Z$2:$AA$9,2,FALSE))))),"")</f>
        <v/>
      </c>
      <c r="J92" s="102"/>
      <c r="K92" s="295" t="str">
        <f>IF(J92="","",IF(VLOOKUP(J92,'G-3 Multipliers'!$L$3:$N$6,2,FALSE)=0,"Spatial Data Missing",VLOOKUP(J92,'G-3 Multipliers'!$L$3:$N$6,2,FALSE)))</f>
        <v/>
      </c>
      <c r="L92" s="299" t="str">
        <f>IF(J92="","",IF(VLOOKUP(J92,'G-3 Multipliers'!$L$3:$N$6,3,FALSE)=0,"Spatial Data Missing",VLOOKUP(J92,'G-3 Multipliers'!$L$3:$N$6,3,FALSE)))</f>
        <v/>
      </c>
      <c r="M92" s="134"/>
      <c r="N92" s="276" t="str">
        <f>IF(M92="","",IF(VLOOKUP(M92,'G-3 Multipliers'!$S$3:$T$10,2,FALSE)=0,"Spatial Data Missing ⚠",VLOOKUP(M92,'G-3 Multipliers'!$S$3:$T$10,2,FALSE)))</f>
        <v/>
      </c>
      <c r="O92" s="275" t="str">
        <f>IF(OR(D92="",H92=""),"",(INDEX('G-6 Hedgerow Data'!$E$3:$I$15,MATCH(D92,'G-6 Hedgerow Data'!$B$3:$B$15,0),MATCH(H92,'G-6 Hedgerow Data'!$E$2:$I$2,0))))</f>
        <v/>
      </c>
      <c r="P92" s="133"/>
      <c r="Q92" s="133"/>
      <c r="R92" s="283" t="str">
        <f t="shared" si="8"/>
        <v/>
      </c>
      <c r="S92" s="296" t="str">
        <f t="shared" si="9"/>
        <v/>
      </c>
      <c r="T92" s="297" t="str">
        <f t="shared" si="7"/>
        <v/>
      </c>
      <c r="U92" s="311" t="str">
        <f>IF(D92="","",VLOOKUP(D92,'G-6 Hedgerow Data'!$B$3:$AG$15,31,FALSE))</f>
        <v/>
      </c>
      <c r="V92" s="295" t="str">
        <f t="shared" si="10"/>
        <v/>
      </c>
      <c r="W92" s="283" t="str">
        <f t="shared" si="11"/>
        <v/>
      </c>
      <c r="X92" s="299" t="str">
        <f>IF(F92="","",VLOOKUP(U92,'G-3 Multipliers'!$P$3:$Q$6,2,FALSE))</f>
        <v/>
      </c>
      <c r="Y92" s="303" t="str">
        <f t="shared" si="12"/>
        <v/>
      </c>
      <c r="Z92" s="303" t="str">
        <f t="shared" si="13"/>
        <v/>
      </c>
      <c r="AA92" s="101"/>
      <c r="AB92" s="938"/>
      <c r="AC92" s="138"/>
      <c r="AD92" s="138"/>
      <c r="AE92" s="934"/>
      <c r="AH92" s="30" t="str">
        <f>IFERROR(INDEX('G-6 Hedgerow Data'!$BJ$3:$BJ$15,MATCH(D92,'G-6 Hedgerow Data'!$B$3:$B$15,0)),"")</f>
        <v/>
      </c>
    </row>
    <row r="93" spans="2:34" ht="14">
      <c r="B93" s="97">
        <v>82</v>
      </c>
      <c r="C93" s="171"/>
      <c r="D93" s="58"/>
      <c r="E93" s="138"/>
      <c r="F93" s="275" t="str">
        <f>IF(D93="","",VLOOKUP(D93,'G-6 Hedgerow Data'!$B$2:$AG$15,2,FALSE))</f>
        <v/>
      </c>
      <c r="G93" s="299" t="str">
        <f>IF(D93="","",VLOOKUP(D93,'G-6 Hedgerow Data'!$B$2:$AG$15,3,FALSE))</f>
        <v/>
      </c>
      <c r="H93" s="53"/>
      <c r="I93" s="276" t="str">
        <f>IFERROR(IF(H93="","",IF(AND(D93="Non-native and ornamental hedgerow",H93&lt;&gt;"Poor"),"Not possible ▲",(IF(AND(F93="V.Low",OR(H93="Good",H93="Moderate")),"Error ▲",VLOOKUP(H93,'G-1 All Habitats'!$Z$2:$AA$9,2,FALSE))))),"")</f>
        <v/>
      </c>
      <c r="J93" s="102"/>
      <c r="K93" s="295" t="str">
        <f>IF(J93="","",IF(VLOOKUP(J93,'G-3 Multipliers'!$L$3:$N$6,2,FALSE)=0,"Spatial Data Missing",VLOOKUP(J93,'G-3 Multipliers'!$L$3:$N$6,2,FALSE)))</f>
        <v/>
      </c>
      <c r="L93" s="299" t="str">
        <f>IF(J93="","",IF(VLOOKUP(J93,'G-3 Multipliers'!$L$3:$N$6,3,FALSE)=0,"Spatial Data Missing",VLOOKUP(J93,'G-3 Multipliers'!$L$3:$N$6,3,FALSE)))</f>
        <v/>
      </c>
      <c r="M93" s="134"/>
      <c r="N93" s="276" t="str">
        <f>IF(M93="","",IF(VLOOKUP(M93,'G-3 Multipliers'!$S$3:$T$10,2,FALSE)=0,"Spatial Data Missing ⚠",VLOOKUP(M93,'G-3 Multipliers'!$S$3:$T$10,2,FALSE)))</f>
        <v/>
      </c>
      <c r="O93" s="275" t="str">
        <f>IF(OR(D93="",H93=""),"",(INDEX('G-6 Hedgerow Data'!$E$3:$I$15,MATCH(D93,'G-6 Hedgerow Data'!$B$3:$B$15,0),MATCH(H93,'G-6 Hedgerow Data'!$E$2:$I$2,0))))</f>
        <v/>
      </c>
      <c r="P93" s="133"/>
      <c r="Q93" s="133"/>
      <c r="R93" s="283" t="str">
        <f t="shared" si="8"/>
        <v/>
      </c>
      <c r="S93" s="296" t="str">
        <f t="shared" si="9"/>
        <v/>
      </c>
      <c r="T93" s="297" t="str">
        <f t="shared" si="7"/>
        <v/>
      </c>
      <c r="U93" s="311" t="str">
        <f>IF(D93="","",VLOOKUP(D93,'G-6 Hedgerow Data'!$B$3:$AG$15,31,FALSE))</f>
        <v/>
      </c>
      <c r="V93" s="295" t="str">
        <f t="shared" si="10"/>
        <v/>
      </c>
      <c r="W93" s="283" t="str">
        <f t="shared" si="11"/>
        <v/>
      </c>
      <c r="X93" s="299" t="str">
        <f>IF(F93="","",VLOOKUP(U93,'G-3 Multipliers'!$P$3:$Q$6,2,FALSE))</f>
        <v/>
      </c>
      <c r="Y93" s="303" t="str">
        <f t="shared" si="12"/>
        <v/>
      </c>
      <c r="Z93" s="303" t="str">
        <f t="shared" si="13"/>
        <v/>
      </c>
      <c r="AA93" s="101"/>
      <c r="AB93" s="938"/>
      <c r="AC93" s="138"/>
      <c r="AD93" s="138"/>
      <c r="AE93" s="934"/>
      <c r="AH93" s="30" t="str">
        <f>IFERROR(INDEX('G-6 Hedgerow Data'!$BJ$3:$BJ$15,MATCH(D93,'G-6 Hedgerow Data'!$B$3:$B$15,0)),"")</f>
        <v/>
      </c>
    </row>
    <row r="94" spans="2:34" ht="14">
      <c r="B94" s="97">
        <v>83</v>
      </c>
      <c r="C94" s="171"/>
      <c r="D94" s="58"/>
      <c r="E94" s="138"/>
      <c r="F94" s="275" t="str">
        <f>IF(D94="","",VLOOKUP(D94,'G-6 Hedgerow Data'!$B$2:$AG$15,2,FALSE))</f>
        <v/>
      </c>
      <c r="G94" s="299" t="str">
        <f>IF(D94="","",VLOOKUP(D94,'G-6 Hedgerow Data'!$B$2:$AG$15,3,FALSE))</f>
        <v/>
      </c>
      <c r="H94" s="53"/>
      <c r="I94" s="276" t="str">
        <f>IFERROR(IF(H94="","",IF(AND(D94="Non-native and ornamental hedgerow",H94&lt;&gt;"Poor"),"Not possible ▲",(IF(AND(F94="V.Low",OR(H94="Good",H94="Moderate")),"Error ▲",VLOOKUP(H94,'G-1 All Habitats'!$Z$2:$AA$9,2,FALSE))))),"")</f>
        <v/>
      </c>
      <c r="J94" s="102"/>
      <c r="K94" s="295" t="str">
        <f>IF(J94="","",IF(VLOOKUP(J94,'G-3 Multipliers'!$L$3:$N$6,2,FALSE)=0,"Spatial Data Missing",VLOOKUP(J94,'G-3 Multipliers'!$L$3:$N$6,2,FALSE)))</f>
        <v/>
      </c>
      <c r="L94" s="299" t="str">
        <f>IF(J94="","",IF(VLOOKUP(J94,'G-3 Multipliers'!$L$3:$N$6,3,FALSE)=0,"Spatial Data Missing",VLOOKUP(J94,'G-3 Multipliers'!$L$3:$N$6,3,FALSE)))</f>
        <v/>
      </c>
      <c r="M94" s="134"/>
      <c r="N94" s="276" t="str">
        <f>IF(M94="","",IF(VLOOKUP(M94,'G-3 Multipliers'!$S$3:$T$10,2,FALSE)=0,"Spatial Data Missing ⚠",VLOOKUP(M94,'G-3 Multipliers'!$S$3:$T$10,2,FALSE)))</f>
        <v/>
      </c>
      <c r="O94" s="275" t="str">
        <f>IF(OR(D94="",H94=""),"",(INDEX('G-6 Hedgerow Data'!$E$3:$I$15,MATCH(D94,'G-6 Hedgerow Data'!$B$3:$B$15,0),MATCH(H94,'G-6 Hedgerow Data'!$E$2:$I$2,0))))</f>
        <v/>
      </c>
      <c r="P94" s="133"/>
      <c r="Q94" s="133"/>
      <c r="R94" s="283" t="str">
        <f t="shared" si="8"/>
        <v/>
      </c>
      <c r="S94" s="296" t="str">
        <f t="shared" si="9"/>
        <v/>
      </c>
      <c r="T94" s="297" t="str">
        <f t="shared" si="7"/>
        <v/>
      </c>
      <c r="U94" s="311" t="str">
        <f>IF(D94="","",VLOOKUP(D94,'G-6 Hedgerow Data'!$B$3:$AG$15,31,FALSE))</f>
        <v/>
      </c>
      <c r="V94" s="295" t="str">
        <f t="shared" si="10"/>
        <v/>
      </c>
      <c r="W94" s="283" t="str">
        <f t="shared" si="11"/>
        <v/>
      </c>
      <c r="X94" s="299" t="str">
        <f>IF(F94="","",VLOOKUP(U94,'G-3 Multipliers'!$P$3:$Q$6,2,FALSE))</f>
        <v/>
      </c>
      <c r="Y94" s="303" t="str">
        <f t="shared" si="12"/>
        <v/>
      </c>
      <c r="Z94" s="303" t="str">
        <f t="shared" si="13"/>
        <v/>
      </c>
      <c r="AA94" s="101"/>
      <c r="AB94" s="938"/>
      <c r="AC94" s="138"/>
      <c r="AD94" s="138"/>
      <c r="AE94" s="934"/>
      <c r="AH94" s="30" t="str">
        <f>IFERROR(INDEX('G-6 Hedgerow Data'!$BJ$3:$BJ$15,MATCH(D94,'G-6 Hedgerow Data'!$B$3:$B$15,0)),"")</f>
        <v/>
      </c>
    </row>
    <row r="95" spans="2:34" ht="14">
      <c r="B95" s="97">
        <v>84</v>
      </c>
      <c r="C95" s="171"/>
      <c r="D95" s="58"/>
      <c r="E95" s="138"/>
      <c r="F95" s="275" t="str">
        <f>IF(D95="","",VLOOKUP(D95,'G-6 Hedgerow Data'!$B$2:$AG$15,2,FALSE))</f>
        <v/>
      </c>
      <c r="G95" s="299" t="str">
        <f>IF(D95="","",VLOOKUP(D95,'G-6 Hedgerow Data'!$B$2:$AG$15,3,FALSE))</f>
        <v/>
      </c>
      <c r="H95" s="53"/>
      <c r="I95" s="276" t="str">
        <f>IFERROR(IF(H95="","",IF(AND(D95="Non-native and ornamental hedgerow",H95&lt;&gt;"Poor"),"Not possible ▲",(IF(AND(F95="V.Low",OR(H95="Good",H95="Moderate")),"Error ▲",VLOOKUP(H95,'G-1 All Habitats'!$Z$2:$AA$9,2,FALSE))))),"")</f>
        <v/>
      </c>
      <c r="J95" s="102"/>
      <c r="K95" s="295" t="str">
        <f>IF(J95="","",IF(VLOOKUP(J95,'G-3 Multipliers'!$L$3:$N$6,2,FALSE)=0,"Spatial Data Missing",VLOOKUP(J95,'G-3 Multipliers'!$L$3:$N$6,2,FALSE)))</f>
        <v/>
      </c>
      <c r="L95" s="299" t="str">
        <f>IF(J95="","",IF(VLOOKUP(J95,'G-3 Multipliers'!$L$3:$N$6,3,FALSE)=0,"Spatial Data Missing",VLOOKUP(J95,'G-3 Multipliers'!$L$3:$N$6,3,FALSE)))</f>
        <v/>
      </c>
      <c r="M95" s="134"/>
      <c r="N95" s="276" t="str">
        <f>IF(M95="","",IF(VLOOKUP(M95,'G-3 Multipliers'!$S$3:$T$10,2,FALSE)=0,"Spatial Data Missing ⚠",VLOOKUP(M95,'G-3 Multipliers'!$S$3:$T$10,2,FALSE)))</f>
        <v/>
      </c>
      <c r="O95" s="275" t="str">
        <f>IF(OR(D95="",H95=""),"",(INDEX('G-6 Hedgerow Data'!$E$3:$I$15,MATCH(D95,'G-6 Hedgerow Data'!$B$3:$B$15,0),MATCH(H95,'G-6 Hedgerow Data'!$E$2:$I$2,0))))</f>
        <v/>
      </c>
      <c r="P95" s="133"/>
      <c r="Q95" s="133"/>
      <c r="R95" s="283" t="str">
        <f t="shared" si="8"/>
        <v/>
      </c>
      <c r="S95" s="296" t="str">
        <f t="shared" si="9"/>
        <v/>
      </c>
      <c r="T95" s="297" t="str">
        <f t="shared" si="7"/>
        <v/>
      </c>
      <c r="U95" s="311" t="str">
        <f>IF(D95="","",VLOOKUP(D95,'G-6 Hedgerow Data'!$B$3:$AG$15,31,FALSE))</f>
        <v/>
      </c>
      <c r="V95" s="295" t="str">
        <f t="shared" si="10"/>
        <v/>
      </c>
      <c r="W95" s="283" t="str">
        <f t="shared" si="11"/>
        <v/>
      </c>
      <c r="X95" s="299" t="str">
        <f>IF(F95="","",VLOOKUP(U95,'G-3 Multipliers'!$P$3:$Q$6,2,FALSE))</f>
        <v/>
      </c>
      <c r="Y95" s="303" t="str">
        <f t="shared" si="12"/>
        <v/>
      </c>
      <c r="Z95" s="303" t="str">
        <f t="shared" si="13"/>
        <v/>
      </c>
      <c r="AA95" s="101"/>
      <c r="AB95" s="938"/>
      <c r="AC95" s="138"/>
      <c r="AD95" s="138"/>
      <c r="AE95" s="934"/>
      <c r="AH95" s="30" t="str">
        <f>IFERROR(INDEX('G-6 Hedgerow Data'!$BJ$3:$BJ$15,MATCH(D95,'G-6 Hedgerow Data'!$B$3:$B$15,0)),"")</f>
        <v/>
      </c>
    </row>
    <row r="96" spans="2:34" ht="14">
      <c r="B96" s="97">
        <v>85</v>
      </c>
      <c r="C96" s="171"/>
      <c r="D96" s="58"/>
      <c r="E96" s="138"/>
      <c r="F96" s="275" t="str">
        <f>IF(D96="","",VLOOKUP(D96,'G-6 Hedgerow Data'!$B$2:$AG$15,2,FALSE))</f>
        <v/>
      </c>
      <c r="G96" s="299" t="str">
        <f>IF(D96="","",VLOOKUP(D96,'G-6 Hedgerow Data'!$B$2:$AG$15,3,FALSE))</f>
        <v/>
      </c>
      <c r="H96" s="53"/>
      <c r="I96" s="276" t="str">
        <f>IFERROR(IF(H96="","",IF(AND(D96="Non-native and ornamental hedgerow",H96&lt;&gt;"Poor"),"Not possible ▲",(IF(AND(F96="V.Low",OR(H96="Good",H96="Moderate")),"Error ▲",VLOOKUP(H96,'G-1 All Habitats'!$Z$2:$AA$9,2,FALSE))))),"")</f>
        <v/>
      </c>
      <c r="J96" s="102"/>
      <c r="K96" s="295" t="str">
        <f>IF(J96="","",IF(VLOOKUP(J96,'G-3 Multipliers'!$L$3:$N$6,2,FALSE)=0,"Spatial Data Missing",VLOOKUP(J96,'G-3 Multipliers'!$L$3:$N$6,2,FALSE)))</f>
        <v/>
      </c>
      <c r="L96" s="299" t="str">
        <f>IF(J96="","",IF(VLOOKUP(J96,'G-3 Multipliers'!$L$3:$N$6,3,FALSE)=0,"Spatial Data Missing",VLOOKUP(J96,'G-3 Multipliers'!$L$3:$N$6,3,FALSE)))</f>
        <v/>
      </c>
      <c r="M96" s="134"/>
      <c r="N96" s="276" t="str">
        <f>IF(M96="","",IF(VLOOKUP(M96,'G-3 Multipliers'!$S$3:$T$10,2,FALSE)=0,"Spatial Data Missing ⚠",VLOOKUP(M96,'G-3 Multipliers'!$S$3:$T$10,2,FALSE)))</f>
        <v/>
      </c>
      <c r="O96" s="275" t="str">
        <f>IF(OR(D96="",H96=""),"",(INDEX('G-6 Hedgerow Data'!$E$3:$I$15,MATCH(D96,'G-6 Hedgerow Data'!$B$3:$B$15,0),MATCH(H96,'G-6 Hedgerow Data'!$E$2:$I$2,0))))</f>
        <v/>
      </c>
      <c r="P96" s="133"/>
      <c r="Q96" s="133"/>
      <c r="R96" s="283" t="str">
        <f t="shared" si="8"/>
        <v/>
      </c>
      <c r="S96" s="296" t="str">
        <f t="shared" si="9"/>
        <v/>
      </c>
      <c r="T96" s="297" t="str">
        <f t="shared" si="7"/>
        <v/>
      </c>
      <c r="U96" s="311" t="str">
        <f>IF(D96="","",VLOOKUP(D96,'G-6 Hedgerow Data'!$B$3:$AG$15,31,FALSE))</f>
        <v/>
      </c>
      <c r="V96" s="295" t="str">
        <f t="shared" si="10"/>
        <v/>
      </c>
      <c r="W96" s="283" t="str">
        <f t="shared" si="11"/>
        <v/>
      </c>
      <c r="X96" s="299" t="str">
        <f>IF(F96="","",VLOOKUP(U96,'G-3 Multipliers'!$P$3:$Q$6,2,FALSE))</f>
        <v/>
      </c>
      <c r="Y96" s="303" t="str">
        <f t="shared" si="12"/>
        <v/>
      </c>
      <c r="Z96" s="303" t="str">
        <f t="shared" si="13"/>
        <v/>
      </c>
      <c r="AA96" s="101"/>
      <c r="AB96" s="938"/>
      <c r="AC96" s="138"/>
      <c r="AD96" s="138"/>
      <c r="AE96" s="934"/>
      <c r="AH96" s="30" t="str">
        <f>IFERROR(INDEX('G-6 Hedgerow Data'!$BJ$3:$BJ$15,MATCH(D96,'G-6 Hedgerow Data'!$B$3:$B$15,0)),"")</f>
        <v/>
      </c>
    </row>
    <row r="97" spans="2:34" ht="14">
      <c r="B97" s="97">
        <v>86</v>
      </c>
      <c r="C97" s="171"/>
      <c r="D97" s="58"/>
      <c r="E97" s="138"/>
      <c r="F97" s="275" t="str">
        <f>IF(D97="","",VLOOKUP(D97,'G-6 Hedgerow Data'!$B$2:$AG$15,2,FALSE))</f>
        <v/>
      </c>
      <c r="G97" s="299" t="str">
        <f>IF(D97="","",VLOOKUP(D97,'G-6 Hedgerow Data'!$B$2:$AG$15,3,FALSE))</f>
        <v/>
      </c>
      <c r="H97" s="53"/>
      <c r="I97" s="276" t="str">
        <f>IFERROR(IF(H97="","",IF(AND(D97="Non-native and ornamental hedgerow",H97&lt;&gt;"Poor"),"Not possible ▲",(IF(AND(F97="V.Low",OR(H97="Good",H97="Moderate")),"Error ▲",VLOOKUP(H97,'G-1 All Habitats'!$Z$2:$AA$9,2,FALSE))))),"")</f>
        <v/>
      </c>
      <c r="J97" s="102"/>
      <c r="K97" s="295" t="str">
        <f>IF(J97="","",IF(VLOOKUP(J97,'G-3 Multipliers'!$L$3:$N$6,2,FALSE)=0,"Spatial Data Missing",VLOOKUP(J97,'G-3 Multipliers'!$L$3:$N$6,2,FALSE)))</f>
        <v/>
      </c>
      <c r="L97" s="299" t="str">
        <f>IF(J97="","",IF(VLOOKUP(J97,'G-3 Multipliers'!$L$3:$N$6,3,FALSE)=0,"Spatial Data Missing",VLOOKUP(J97,'G-3 Multipliers'!$L$3:$N$6,3,FALSE)))</f>
        <v/>
      </c>
      <c r="M97" s="134"/>
      <c r="N97" s="276" t="str">
        <f>IF(M97="","",IF(VLOOKUP(M97,'G-3 Multipliers'!$S$3:$T$10,2,FALSE)=0,"Spatial Data Missing ⚠",VLOOKUP(M97,'G-3 Multipliers'!$S$3:$T$10,2,FALSE)))</f>
        <v/>
      </c>
      <c r="O97" s="275" t="str">
        <f>IF(OR(D97="",H97=""),"",(INDEX('G-6 Hedgerow Data'!$E$3:$I$15,MATCH(D97,'G-6 Hedgerow Data'!$B$3:$B$15,0),MATCH(H97,'G-6 Hedgerow Data'!$E$2:$I$2,0))))</f>
        <v/>
      </c>
      <c r="P97" s="133"/>
      <c r="Q97" s="133"/>
      <c r="R97" s="283" t="str">
        <f t="shared" si="8"/>
        <v/>
      </c>
      <c r="S97" s="296" t="str">
        <f t="shared" si="9"/>
        <v/>
      </c>
      <c r="T97" s="297" t="str">
        <f t="shared" si="7"/>
        <v/>
      </c>
      <c r="U97" s="311" t="str">
        <f>IF(D97="","",VLOOKUP(D97,'G-6 Hedgerow Data'!$B$3:$AG$15,31,FALSE))</f>
        <v/>
      </c>
      <c r="V97" s="295" t="str">
        <f t="shared" si="10"/>
        <v/>
      </c>
      <c r="W97" s="283" t="str">
        <f t="shared" si="11"/>
        <v/>
      </c>
      <c r="X97" s="299" t="str">
        <f>IF(F97="","",VLOOKUP(U97,'G-3 Multipliers'!$P$3:$Q$6,2,FALSE))</f>
        <v/>
      </c>
      <c r="Y97" s="303" t="str">
        <f t="shared" si="12"/>
        <v/>
      </c>
      <c r="Z97" s="303" t="str">
        <f t="shared" si="13"/>
        <v/>
      </c>
      <c r="AA97" s="101"/>
      <c r="AB97" s="938"/>
      <c r="AC97" s="138"/>
      <c r="AD97" s="138"/>
      <c r="AE97" s="934"/>
      <c r="AH97" s="30" t="str">
        <f>IFERROR(INDEX('G-6 Hedgerow Data'!$BJ$3:$BJ$15,MATCH(D97,'G-6 Hedgerow Data'!$B$3:$B$15,0)),"")</f>
        <v/>
      </c>
    </row>
    <row r="98" spans="2:34" ht="14">
      <c r="B98" s="97">
        <v>87</v>
      </c>
      <c r="C98" s="171"/>
      <c r="D98" s="58"/>
      <c r="E98" s="138"/>
      <c r="F98" s="275" t="str">
        <f>IF(D98="","",VLOOKUP(D98,'G-6 Hedgerow Data'!$B$2:$AG$15,2,FALSE))</f>
        <v/>
      </c>
      <c r="G98" s="299" t="str">
        <f>IF(D98="","",VLOOKUP(D98,'G-6 Hedgerow Data'!$B$2:$AG$15,3,FALSE))</f>
        <v/>
      </c>
      <c r="H98" s="53"/>
      <c r="I98" s="276" t="str">
        <f>IFERROR(IF(H98="","",IF(AND(D98="Non-native and ornamental hedgerow",H98&lt;&gt;"Poor"),"Not possible ▲",(IF(AND(F98="V.Low",OR(H98="Good",H98="Moderate")),"Error ▲",VLOOKUP(H98,'G-1 All Habitats'!$Z$2:$AA$9,2,FALSE))))),"")</f>
        <v/>
      </c>
      <c r="J98" s="102"/>
      <c r="K98" s="295" t="str">
        <f>IF(J98="","",IF(VLOOKUP(J98,'G-3 Multipliers'!$L$3:$N$6,2,FALSE)=0,"Spatial Data Missing",VLOOKUP(J98,'G-3 Multipliers'!$L$3:$N$6,2,FALSE)))</f>
        <v/>
      </c>
      <c r="L98" s="299" t="str">
        <f>IF(J98="","",IF(VLOOKUP(J98,'G-3 Multipliers'!$L$3:$N$6,3,FALSE)=0,"Spatial Data Missing",VLOOKUP(J98,'G-3 Multipliers'!$L$3:$N$6,3,FALSE)))</f>
        <v/>
      </c>
      <c r="M98" s="134"/>
      <c r="N98" s="276" t="str">
        <f>IF(M98="","",IF(VLOOKUP(M98,'G-3 Multipliers'!$S$3:$T$10,2,FALSE)=0,"Spatial Data Missing ⚠",VLOOKUP(M98,'G-3 Multipliers'!$S$3:$T$10,2,FALSE)))</f>
        <v/>
      </c>
      <c r="O98" s="275" t="str">
        <f>IF(OR(D98="",H98=""),"",(INDEX('G-6 Hedgerow Data'!$E$3:$I$15,MATCH(D98,'G-6 Hedgerow Data'!$B$3:$B$15,0),MATCH(H98,'G-6 Hedgerow Data'!$E$2:$I$2,0))))</f>
        <v/>
      </c>
      <c r="P98" s="133"/>
      <c r="Q98" s="133"/>
      <c r="R98" s="283" t="str">
        <f t="shared" si="8"/>
        <v/>
      </c>
      <c r="S98" s="296" t="str">
        <f t="shared" si="9"/>
        <v/>
      </c>
      <c r="T98" s="297" t="str">
        <f t="shared" si="7"/>
        <v/>
      </c>
      <c r="U98" s="311" t="str">
        <f>IF(D98="","",VLOOKUP(D98,'G-6 Hedgerow Data'!$B$3:$AG$15,31,FALSE))</f>
        <v/>
      </c>
      <c r="V98" s="295" t="str">
        <f t="shared" si="10"/>
        <v/>
      </c>
      <c r="W98" s="283" t="str">
        <f t="shared" si="11"/>
        <v/>
      </c>
      <c r="X98" s="299" t="str">
        <f>IF(F98="","",VLOOKUP(U98,'G-3 Multipliers'!$P$3:$Q$6,2,FALSE))</f>
        <v/>
      </c>
      <c r="Y98" s="303" t="str">
        <f t="shared" si="12"/>
        <v/>
      </c>
      <c r="Z98" s="303" t="str">
        <f t="shared" si="13"/>
        <v/>
      </c>
      <c r="AA98" s="101"/>
      <c r="AB98" s="938"/>
      <c r="AC98" s="138"/>
      <c r="AD98" s="138"/>
      <c r="AE98" s="934"/>
      <c r="AH98" s="30" t="str">
        <f>IFERROR(INDEX('G-6 Hedgerow Data'!$BJ$3:$BJ$15,MATCH(D98,'G-6 Hedgerow Data'!$B$3:$B$15,0)),"")</f>
        <v/>
      </c>
    </row>
    <row r="99" spans="2:34" ht="14">
      <c r="B99" s="97">
        <v>88</v>
      </c>
      <c r="C99" s="171"/>
      <c r="D99" s="58"/>
      <c r="E99" s="138"/>
      <c r="F99" s="275" t="str">
        <f>IF(D99="","",VLOOKUP(D99,'G-6 Hedgerow Data'!$B$2:$AG$15,2,FALSE))</f>
        <v/>
      </c>
      <c r="G99" s="299" t="str">
        <f>IF(D99="","",VLOOKUP(D99,'G-6 Hedgerow Data'!$B$2:$AG$15,3,FALSE))</f>
        <v/>
      </c>
      <c r="H99" s="53"/>
      <c r="I99" s="276" t="str">
        <f>IFERROR(IF(H99="","",IF(AND(D99="Non-native and ornamental hedgerow",H99&lt;&gt;"Poor"),"Not possible ▲",(IF(AND(F99="V.Low",OR(H99="Good",H99="Moderate")),"Error ▲",VLOOKUP(H99,'G-1 All Habitats'!$Z$2:$AA$9,2,FALSE))))),"")</f>
        <v/>
      </c>
      <c r="J99" s="102"/>
      <c r="K99" s="295" t="str">
        <f>IF(J99="","",IF(VLOOKUP(J99,'G-3 Multipliers'!$L$3:$N$6,2,FALSE)=0,"Spatial Data Missing",VLOOKUP(J99,'G-3 Multipliers'!$L$3:$N$6,2,FALSE)))</f>
        <v/>
      </c>
      <c r="L99" s="299" t="str">
        <f>IF(J99="","",IF(VLOOKUP(J99,'G-3 Multipliers'!$L$3:$N$6,3,FALSE)=0,"Spatial Data Missing",VLOOKUP(J99,'G-3 Multipliers'!$L$3:$N$6,3,FALSE)))</f>
        <v/>
      </c>
      <c r="M99" s="134"/>
      <c r="N99" s="276" t="str">
        <f>IF(M99="","",IF(VLOOKUP(M99,'G-3 Multipliers'!$S$3:$T$10,2,FALSE)=0,"Spatial Data Missing ⚠",VLOOKUP(M99,'G-3 Multipliers'!$S$3:$T$10,2,FALSE)))</f>
        <v/>
      </c>
      <c r="O99" s="275" t="str">
        <f>IF(OR(D99="",H99=""),"",(INDEX('G-6 Hedgerow Data'!$E$3:$I$15,MATCH(D99,'G-6 Hedgerow Data'!$B$3:$B$15,0),MATCH(H99,'G-6 Hedgerow Data'!$E$2:$I$2,0))))</f>
        <v/>
      </c>
      <c r="P99" s="133"/>
      <c r="Q99" s="133"/>
      <c r="R99" s="283" t="str">
        <f t="shared" si="8"/>
        <v/>
      </c>
      <c r="S99" s="296" t="str">
        <f t="shared" si="9"/>
        <v/>
      </c>
      <c r="T99" s="297" t="str">
        <f t="shared" si="7"/>
        <v/>
      </c>
      <c r="U99" s="311" t="str">
        <f>IF(D99="","",VLOOKUP(D99,'G-6 Hedgerow Data'!$B$3:$AG$15,31,FALSE))</f>
        <v/>
      </c>
      <c r="V99" s="295" t="str">
        <f t="shared" si="10"/>
        <v/>
      </c>
      <c r="W99" s="283" t="str">
        <f t="shared" si="11"/>
        <v/>
      </c>
      <c r="X99" s="299" t="str">
        <f>IF(F99="","",VLOOKUP(U99,'G-3 Multipliers'!$P$3:$Q$6,2,FALSE))</f>
        <v/>
      </c>
      <c r="Y99" s="303" t="str">
        <f t="shared" si="12"/>
        <v/>
      </c>
      <c r="Z99" s="303" t="str">
        <f t="shared" si="13"/>
        <v/>
      </c>
      <c r="AA99" s="101"/>
      <c r="AB99" s="938"/>
      <c r="AC99" s="138"/>
      <c r="AD99" s="138"/>
      <c r="AE99" s="934"/>
      <c r="AH99" s="30" t="str">
        <f>IFERROR(INDEX('G-6 Hedgerow Data'!$BJ$3:$BJ$15,MATCH(D99,'G-6 Hedgerow Data'!$B$3:$B$15,0)),"")</f>
        <v/>
      </c>
    </row>
    <row r="100" spans="2:34" ht="14">
      <c r="B100" s="97">
        <v>89</v>
      </c>
      <c r="C100" s="171"/>
      <c r="D100" s="58"/>
      <c r="E100" s="138"/>
      <c r="F100" s="275" t="str">
        <f>IF(D100="","",VLOOKUP(D100,'G-6 Hedgerow Data'!$B$2:$AG$15,2,FALSE))</f>
        <v/>
      </c>
      <c r="G100" s="299" t="str">
        <f>IF(D100="","",VLOOKUP(D100,'G-6 Hedgerow Data'!$B$2:$AG$15,3,FALSE))</f>
        <v/>
      </c>
      <c r="H100" s="53"/>
      <c r="I100" s="276" t="str">
        <f>IFERROR(IF(H100="","",IF(AND(D100="Non-native and ornamental hedgerow",H100&lt;&gt;"Poor"),"Not possible ▲",(IF(AND(F100="V.Low",OR(H100="Good",H100="Moderate")),"Error ▲",VLOOKUP(H100,'G-1 All Habitats'!$Z$2:$AA$9,2,FALSE))))),"")</f>
        <v/>
      </c>
      <c r="J100" s="102"/>
      <c r="K100" s="295" t="str">
        <f>IF(J100="","",IF(VLOOKUP(J100,'G-3 Multipliers'!$L$3:$N$6,2,FALSE)=0,"Spatial Data Missing",VLOOKUP(J100,'G-3 Multipliers'!$L$3:$N$6,2,FALSE)))</f>
        <v/>
      </c>
      <c r="L100" s="299" t="str">
        <f>IF(J100="","",IF(VLOOKUP(J100,'G-3 Multipliers'!$L$3:$N$6,3,FALSE)=0,"Spatial Data Missing",VLOOKUP(J100,'G-3 Multipliers'!$L$3:$N$6,3,FALSE)))</f>
        <v/>
      </c>
      <c r="M100" s="134"/>
      <c r="N100" s="276" t="str">
        <f>IF(M100="","",IF(VLOOKUP(M100,'G-3 Multipliers'!$S$3:$T$10,2,FALSE)=0,"Spatial Data Missing ⚠",VLOOKUP(M100,'G-3 Multipliers'!$S$3:$T$10,2,FALSE)))</f>
        <v/>
      </c>
      <c r="O100" s="275" t="str">
        <f>IF(OR(D100="",H100=""),"",(INDEX('G-6 Hedgerow Data'!$E$3:$I$15,MATCH(D100,'G-6 Hedgerow Data'!$B$3:$B$15,0),MATCH(H100,'G-6 Hedgerow Data'!$E$2:$I$2,0))))</f>
        <v/>
      </c>
      <c r="P100" s="133"/>
      <c r="Q100" s="133"/>
      <c r="R100" s="283" t="str">
        <f t="shared" si="8"/>
        <v/>
      </c>
      <c r="S100" s="296" t="str">
        <f t="shared" si="9"/>
        <v/>
      </c>
      <c r="T100" s="297" t="str">
        <f t="shared" si="7"/>
        <v/>
      </c>
      <c r="U100" s="311" t="str">
        <f>IF(D100="","",VLOOKUP(D100,'G-6 Hedgerow Data'!$B$3:$AG$15,31,FALSE))</f>
        <v/>
      </c>
      <c r="V100" s="295" t="str">
        <f t="shared" si="10"/>
        <v/>
      </c>
      <c r="W100" s="283" t="str">
        <f t="shared" si="11"/>
        <v/>
      </c>
      <c r="X100" s="299" t="str">
        <f>IF(F100="","",VLOOKUP(U100,'G-3 Multipliers'!$P$3:$Q$6,2,FALSE))</f>
        <v/>
      </c>
      <c r="Y100" s="303" t="str">
        <f t="shared" si="12"/>
        <v/>
      </c>
      <c r="Z100" s="303" t="str">
        <f t="shared" si="13"/>
        <v/>
      </c>
      <c r="AA100" s="101"/>
      <c r="AB100" s="938"/>
      <c r="AC100" s="138"/>
      <c r="AD100" s="138"/>
      <c r="AE100" s="934"/>
      <c r="AH100" s="30" t="str">
        <f>IFERROR(INDEX('G-6 Hedgerow Data'!$BJ$3:$BJ$15,MATCH(D100,'G-6 Hedgerow Data'!$B$3:$B$15,0)),"")</f>
        <v/>
      </c>
    </row>
    <row r="101" spans="2:34" ht="14">
      <c r="B101" s="97">
        <v>90</v>
      </c>
      <c r="C101" s="171"/>
      <c r="D101" s="58"/>
      <c r="E101" s="138"/>
      <c r="F101" s="275" t="str">
        <f>IF(D101="","",VLOOKUP(D101,'G-6 Hedgerow Data'!$B$2:$AG$15,2,FALSE))</f>
        <v/>
      </c>
      <c r="G101" s="299" t="str">
        <f>IF(D101="","",VLOOKUP(D101,'G-6 Hedgerow Data'!$B$2:$AG$15,3,FALSE))</f>
        <v/>
      </c>
      <c r="H101" s="53"/>
      <c r="I101" s="276" t="str">
        <f>IFERROR(IF(H101="","",IF(AND(D101="Non-native and ornamental hedgerow",H101&lt;&gt;"Poor"),"Not possible ▲",(IF(AND(F101="V.Low",OR(H101="Good",H101="Moderate")),"Error ▲",VLOOKUP(H101,'G-1 All Habitats'!$Z$2:$AA$9,2,FALSE))))),"")</f>
        <v/>
      </c>
      <c r="J101" s="102"/>
      <c r="K101" s="295" t="str">
        <f>IF(J101="","",IF(VLOOKUP(J101,'G-3 Multipliers'!$L$3:$N$6,2,FALSE)=0,"Spatial Data Missing",VLOOKUP(J101,'G-3 Multipliers'!$L$3:$N$6,2,FALSE)))</f>
        <v/>
      </c>
      <c r="L101" s="299" t="str">
        <f>IF(J101="","",IF(VLOOKUP(J101,'G-3 Multipliers'!$L$3:$N$6,3,FALSE)=0,"Spatial Data Missing",VLOOKUP(J101,'G-3 Multipliers'!$L$3:$N$6,3,FALSE)))</f>
        <v/>
      </c>
      <c r="M101" s="134"/>
      <c r="N101" s="276" t="str">
        <f>IF(M101="","",IF(VLOOKUP(M101,'G-3 Multipliers'!$S$3:$T$10,2,FALSE)=0,"Spatial Data Missing ⚠",VLOOKUP(M101,'G-3 Multipliers'!$S$3:$T$10,2,FALSE)))</f>
        <v/>
      </c>
      <c r="O101" s="275" t="str">
        <f>IF(OR(D101="",H101=""),"",(INDEX('G-6 Hedgerow Data'!$E$3:$I$15,MATCH(D101,'G-6 Hedgerow Data'!$B$3:$B$15,0),MATCH(H101,'G-6 Hedgerow Data'!$E$2:$I$2,0))))</f>
        <v/>
      </c>
      <c r="P101" s="133"/>
      <c r="Q101" s="133"/>
      <c r="R101" s="283" t="str">
        <f t="shared" si="8"/>
        <v/>
      </c>
      <c r="S101" s="296" t="str">
        <f t="shared" si="9"/>
        <v/>
      </c>
      <c r="T101" s="297" t="str">
        <f t="shared" si="7"/>
        <v/>
      </c>
      <c r="U101" s="311" t="str">
        <f>IF(D101="","",VLOOKUP(D101,'G-6 Hedgerow Data'!$B$3:$AG$15,31,FALSE))</f>
        <v/>
      </c>
      <c r="V101" s="295" t="str">
        <f t="shared" si="10"/>
        <v/>
      </c>
      <c r="W101" s="283" t="str">
        <f t="shared" si="11"/>
        <v/>
      </c>
      <c r="X101" s="299" t="str">
        <f>IF(F101="","",VLOOKUP(U101,'G-3 Multipliers'!$P$3:$Q$6,2,FALSE))</f>
        <v/>
      </c>
      <c r="Y101" s="303" t="str">
        <f t="shared" si="12"/>
        <v/>
      </c>
      <c r="Z101" s="303" t="str">
        <f t="shared" si="13"/>
        <v/>
      </c>
      <c r="AA101" s="101"/>
      <c r="AB101" s="938"/>
      <c r="AC101" s="138"/>
      <c r="AD101" s="138"/>
      <c r="AE101" s="934"/>
      <c r="AH101" s="30" t="str">
        <f>IFERROR(INDEX('G-6 Hedgerow Data'!$BJ$3:$BJ$15,MATCH(D101,'G-6 Hedgerow Data'!$B$3:$B$15,0)),"")</f>
        <v/>
      </c>
    </row>
    <row r="102" spans="2:34" ht="14">
      <c r="B102" s="97">
        <v>91</v>
      </c>
      <c r="C102" s="171"/>
      <c r="D102" s="58"/>
      <c r="E102" s="138"/>
      <c r="F102" s="275" t="str">
        <f>IF(D102="","",VLOOKUP(D102,'G-6 Hedgerow Data'!$B$2:$AG$15,2,FALSE))</f>
        <v/>
      </c>
      <c r="G102" s="299" t="str">
        <f>IF(D102="","",VLOOKUP(D102,'G-6 Hedgerow Data'!$B$2:$AG$15,3,FALSE))</f>
        <v/>
      </c>
      <c r="H102" s="53"/>
      <c r="I102" s="276" t="str">
        <f>IFERROR(IF(H102="","",IF(AND(D102="Non-native and ornamental hedgerow",H102&lt;&gt;"Poor"),"Not possible ▲",(IF(AND(F102="V.Low",OR(H102="Good",H102="Moderate")),"Error ▲",VLOOKUP(H102,'G-1 All Habitats'!$Z$2:$AA$9,2,FALSE))))),"")</f>
        <v/>
      </c>
      <c r="J102" s="102"/>
      <c r="K102" s="295" t="str">
        <f>IF(J102="","",IF(VLOOKUP(J102,'G-3 Multipliers'!$L$3:$N$6,2,FALSE)=0,"Spatial Data Missing",VLOOKUP(J102,'G-3 Multipliers'!$L$3:$N$6,2,FALSE)))</f>
        <v/>
      </c>
      <c r="L102" s="299" t="str">
        <f>IF(J102="","",IF(VLOOKUP(J102,'G-3 Multipliers'!$L$3:$N$6,3,FALSE)=0,"Spatial Data Missing",VLOOKUP(J102,'G-3 Multipliers'!$L$3:$N$6,3,FALSE)))</f>
        <v/>
      </c>
      <c r="M102" s="134"/>
      <c r="N102" s="276" t="str">
        <f>IF(M102="","",IF(VLOOKUP(M102,'G-3 Multipliers'!$S$3:$T$10,2,FALSE)=0,"Spatial Data Missing ⚠",VLOOKUP(M102,'G-3 Multipliers'!$S$3:$T$10,2,FALSE)))</f>
        <v/>
      </c>
      <c r="O102" s="275" t="str">
        <f>IF(OR(D102="",H102=""),"",(INDEX('G-6 Hedgerow Data'!$E$3:$I$15,MATCH(D102,'G-6 Hedgerow Data'!$B$3:$B$15,0),MATCH(H102,'G-6 Hedgerow Data'!$E$2:$I$2,0))))</f>
        <v/>
      </c>
      <c r="P102" s="133"/>
      <c r="Q102" s="133"/>
      <c r="R102" s="283" t="str">
        <f t="shared" si="8"/>
        <v/>
      </c>
      <c r="S102" s="296" t="str">
        <f t="shared" si="9"/>
        <v/>
      </c>
      <c r="T102" s="297" t="str">
        <f t="shared" si="7"/>
        <v/>
      </c>
      <c r="U102" s="311" t="str">
        <f>IF(D102="","",VLOOKUP(D102,'G-6 Hedgerow Data'!$B$3:$AG$15,31,FALSE))</f>
        <v/>
      </c>
      <c r="V102" s="295" t="str">
        <f t="shared" si="10"/>
        <v/>
      </c>
      <c r="W102" s="283" t="str">
        <f t="shared" si="11"/>
        <v/>
      </c>
      <c r="X102" s="299" t="str">
        <f>IF(F102="","",VLOOKUP(U102,'G-3 Multipliers'!$P$3:$Q$6,2,FALSE))</f>
        <v/>
      </c>
      <c r="Y102" s="303" t="str">
        <f t="shared" si="12"/>
        <v/>
      </c>
      <c r="Z102" s="303" t="str">
        <f t="shared" si="13"/>
        <v/>
      </c>
      <c r="AA102" s="101"/>
      <c r="AB102" s="938"/>
      <c r="AC102" s="138"/>
      <c r="AD102" s="138"/>
      <c r="AE102" s="934"/>
      <c r="AH102" s="30" t="str">
        <f>IFERROR(INDEX('G-6 Hedgerow Data'!$BJ$3:$BJ$15,MATCH(D102,'G-6 Hedgerow Data'!$B$3:$B$15,0)),"")</f>
        <v/>
      </c>
    </row>
    <row r="103" spans="2:34" ht="14">
      <c r="B103" s="97">
        <v>92</v>
      </c>
      <c r="C103" s="171"/>
      <c r="D103" s="58"/>
      <c r="E103" s="138"/>
      <c r="F103" s="275" t="str">
        <f>IF(D103="","",VLOOKUP(D103,'G-6 Hedgerow Data'!$B$2:$AG$15,2,FALSE))</f>
        <v/>
      </c>
      <c r="G103" s="299" t="str">
        <f>IF(D103="","",VLOOKUP(D103,'G-6 Hedgerow Data'!$B$2:$AG$15,3,FALSE))</f>
        <v/>
      </c>
      <c r="H103" s="53"/>
      <c r="I103" s="276" t="str">
        <f>IFERROR(IF(H103="","",IF(AND(D103="Non-native and ornamental hedgerow",H103&lt;&gt;"Poor"),"Not possible ▲",(IF(AND(F103="V.Low",OR(H103="Good",H103="Moderate")),"Error ▲",VLOOKUP(H103,'G-1 All Habitats'!$Z$2:$AA$9,2,FALSE))))),"")</f>
        <v/>
      </c>
      <c r="J103" s="102"/>
      <c r="K103" s="295" t="str">
        <f>IF(J103="","",IF(VLOOKUP(J103,'G-3 Multipliers'!$L$3:$N$6,2,FALSE)=0,"Spatial Data Missing",VLOOKUP(J103,'G-3 Multipliers'!$L$3:$N$6,2,FALSE)))</f>
        <v/>
      </c>
      <c r="L103" s="299" t="str">
        <f>IF(J103="","",IF(VLOOKUP(J103,'G-3 Multipliers'!$L$3:$N$6,3,FALSE)=0,"Spatial Data Missing",VLOOKUP(J103,'G-3 Multipliers'!$L$3:$N$6,3,FALSE)))</f>
        <v/>
      </c>
      <c r="M103" s="134"/>
      <c r="N103" s="276" t="str">
        <f>IF(M103="","",IF(VLOOKUP(M103,'G-3 Multipliers'!$S$3:$T$10,2,FALSE)=0,"Spatial Data Missing ⚠",VLOOKUP(M103,'G-3 Multipliers'!$S$3:$T$10,2,FALSE)))</f>
        <v/>
      </c>
      <c r="O103" s="275" t="str">
        <f>IF(OR(D103="",H103=""),"",(INDEX('G-6 Hedgerow Data'!$E$3:$I$15,MATCH(D103,'G-6 Hedgerow Data'!$B$3:$B$15,0),MATCH(H103,'G-6 Hedgerow Data'!$E$2:$I$2,0))))</f>
        <v/>
      </c>
      <c r="P103" s="133"/>
      <c r="Q103" s="133"/>
      <c r="R103" s="283" t="str">
        <f t="shared" si="8"/>
        <v/>
      </c>
      <c r="S103" s="296" t="str">
        <f t="shared" si="9"/>
        <v/>
      </c>
      <c r="T103" s="297" t="str">
        <f t="shared" si="7"/>
        <v/>
      </c>
      <c r="U103" s="311" t="str">
        <f>IF(D103="","",VLOOKUP(D103,'G-6 Hedgerow Data'!$B$3:$AG$15,31,FALSE))</f>
        <v/>
      </c>
      <c r="V103" s="295" t="str">
        <f t="shared" si="10"/>
        <v/>
      </c>
      <c r="W103" s="283" t="str">
        <f t="shared" si="11"/>
        <v/>
      </c>
      <c r="X103" s="299" t="str">
        <f>IF(F103="","",VLOOKUP(U103,'G-3 Multipliers'!$P$3:$Q$6,2,FALSE))</f>
        <v/>
      </c>
      <c r="Y103" s="303" t="str">
        <f t="shared" si="12"/>
        <v/>
      </c>
      <c r="Z103" s="303" t="str">
        <f t="shared" si="13"/>
        <v/>
      </c>
      <c r="AA103" s="101"/>
      <c r="AB103" s="938"/>
      <c r="AC103" s="138"/>
      <c r="AD103" s="138"/>
      <c r="AE103" s="934"/>
      <c r="AH103" s="30" t="str">
        <f>IFERROR(INDEX('G-6 Hedgerow Data'!$BJ$3:$BJ$15,MATCH(D103,'G-6 Hedgerow Data'!$B$3:$B$15,0)),"")</f>
        <v/>
      </c>
    </row>
    <row r="104" spans="2:34" ht="14">
      <c r="B104" s="97">
        <v>93</v>
      </c>
      <c r="C104" s="171"/>
      <c r="D104" s="58"/>
      <c r="E104" s="138"/>
      <c r="F104" s="275" t="str">
        <f>IF(D104="","",VLOOKUP(D104,'G-6 Hedgerow Data'!$B$2:$AG$15,2,FALSE))</f>
        <v/>
      </c>
      <c r="G104" s="299" t="str">
        <f>IF(D104="","",VLOOKUP(D104,'G-6 Hedgerow Data'!$B$2:$AG$15,3,FALSE))</f>
        <v/>
      </c>
      <c r="H104" s="53"/>
      <c r="I104" s="276" t="str">
        <f>IFERROR(IF(H104="","",IF(AND(D104="Non-native and ornamental hedgerow",H104&lt;&gt;"Poor"),"Not possible ▲",(IF(AND(F104="V.Low",OR(H104="Good",H104="Moderate")),"Error ▲",VLOOKUP(H104,'G-1 All Habitats'!$Z$2:$AA$9,2,FALSE))))),"")</f>
        <v/>
      </c>
      <c r="J104" s="102"/>
      <c r="K104" s="295" t="str">
        <f>IF(J104="","",IF(VLOOKUP(J104,'G-3 Multipliers'!$L$3:$N$6,2,FALSE)=0,"Spatial Data Missing",VLOOKUP(J104,'G-3 Multipliers'!$L$3:$N$6,2,FALSE)))</f>
        <v/>
      </c>
      <c r="L104" s="299" t="str">
        <f>IF(J104="","",IF(VLOOKUP(J104,'G-3 Multipliers'!$L$3:$N$6,3,FALSE)=0,"Spatial Data Missing",VLOOKUP(J104,'G-3 Multipliers'!$L$3:$N$6,3,FALSE)))</f>
        <v/>
      </c>
      <c r="M104" s="134"/>
      <c r="N104" s="276" t="str">
        <f>IF(M104="","",IF(VLOOKUP(M104,'G-3 Multipliers'!$S$3:$T$10,2,FALSE)=0,"Spatial Data Missing ⚠",VLOOKUP(M104,'G-3 Multipliers'!$S$3:$T$10,2,FALSE)))</f>
        <v/>
      </c>
      <c r="O104" s="275" t="str">
        <f>IF(OR(D104="",H104=""),"",(INDEX('G-6 Hedgerow Data'!$E$3:$I$15,MATCH(D104,'G-6 Hedgerow Data'!$B$3:$B$15,0),MATCH(H104,'G-6 Hedgerow Data'!$E$2:$I$2,0))))</f>
        <v/>
      </c>
      <c r="P104" s="133"/>
      <c r="Q104" s="133"/>
      <c r="R104" s="283" t="str">
        <f t="shared" si="8"/>
        <v/>
      </c>
      <c r="S104" s="296" t="str">
        <f t="shared" si="9"/>
        <v/>
      </c>
      <c r="T104" s="297" t="str">
        <f t="shared" si="7"/>
        <v/>
      </c>
      <c r="U104" s="311" t="str">
        <f>IF(D104="","",VLOOKUP(D104,'G-6 Hedgerow Data'!$B$3:$AG$15,31,FALSE))</f>
        <v/>
      </c>
      <c r="V104" s="295" t="str">
        <f t="shared" si="10"/>
        <v/>
      </c>
      <c r="W104" s="283" t="str">
        <f t="shared" si="11"/>
        <v/>
      </c>
      <c r="X104" s="299" t="str">
        <f>IF(F104="","",VLOOKUP(U104,'G-3 Multipliers'!$P$3:$Q$6,2,FALSE))</f>
        <v/>
      </c>
      <c r="Y104" s="303" t="str">
        <f t="shared" si="12"/>
        <v/>
      </c>
      <c r="Z104" s="303" t="str">
        <f t="shared" si="13"/>
        <v/>
      </c>
      <c r="AA104" s="101"/>
      <c r="AB104" s="938"/>
      <c r="AC104" s="138"/>
      <c r="AD104" s="138"/>
      <c r="AE104" s="934"/>
      <c r="AH104" s="30" t="str">
        <f>IFERROR(INDEX('G-6 Hedgerow Data'!$BJ$3:$BJ$15,MATCH(D104,'G-6 Hedgerow Data'!$B$3:$B$15,0)),"")</f>
        <v/>
      </c>
    </row>
    <row r="105" spans="2:34" ht="14">
      <c r="B105" s="97">
        <v>94</v>
      </c>
      <c r="C105" s="171"/>
      <c r="D105" s="58"/>
      <c r="E105" s="138"/>
      <c r="F105" s="275" t="str">
        <f>IF(D105="","",VLOOKUP(D105,'G-6 Hedgerow Data'!$B$2:$AG$15,2,FALSE))</f>
        <v/>
      </c>
      <c r="G105" s="299" t="str">
        <f>IF(D105="","",VLOOKUP(D105,'G-6 Hedgerow Data'!$B$2:$AG$15,3,FALSE))</f>
        <v/>
      </c>
      <c r="H105" s="53"/>
      <c r="I105" s="276" t="str">
        <f>IFERROR(IF(H105="","",IF(AND(D105="Non-native and ornamental hedgerow",H105&lt;&gt;"Poor"),"Not possible ▲",(IF(AND(F105="V.Low",OR(H105="Good",H105="Moderate")),"Error ▲",VLOOKUP(H105,'G-1 All Habitats'!$Z$2:$AA$9,2,FALSE))))),"")</f>
        <v/>
      </c>
      <c r="J105" s="102"/>
      <c r="K105" s="295" t="str">
        <f>IF(J105="","",IF(VLOOKUP(J105,'G-3 Multipliers'!$L$3:$N$6,2,FALSE)=0,"Spatial Data Missing",VLOOKUP(J105,'G-3 Multipliers'!$L$3:$N$6,2,FALSE)))</f>
        <v/>
      </c>
      <c r="L105" s="299" t="str">
        <f>IF(J105="","",IF(VLOOKUP(J105,'G-3 Multipliers'!$L$3:$N$6,3,FALSE)=0,"Spatial Data Missing",VLOOKUP(J105,'G-3 Multipliers'!$L$3:$N$6,3,FALSE)))</f>
        <v/>
      </c>
      <c r="M105" s="134"/>
      <c r="N105" s="276" t="str">
        <f>IF(M105="","",IF(VLOOKUP(M105,'G-3 Multipliers'!$S$3:$T$10,2,FALSE)=0,"Spatial Data Missing ⚠",VLOOKUP(M105,'G-3 Multipliers'!$S$3:$T$10,2,FALSE)))</f>
        <v/>
      </c>
      <c r="O105" s="275" t="str">
        <f>IF(OR(D105="",H105=""),"",(INDEX('G-6 Hedgerow Data'!$E$3:$I$15,MATCH(D105,'G-6 Hedgerow Data'!$B$3:$B$15,0),MATCH(H105,'G-6 Hedgerow Data'!$E$2:$I$2,0))))</f>
        <v/>
      </c>
      <c r="P105" s="133"/>
      <c r="Q105" s="133"/>
      <c r="R105" s="283" t="str">
        <f t="shared" si="8"/>
        <v/>
      </c>
      <c r="S105" s="296" t="str">
        <f t="shared" si="9"/>
        <v/>
      </c>
      <c r="T105" s="297" t="str">
        <f t="shared" si="7"/>
        <v/>
      </c>
      <c r="U105" s="311" t="str">
        <f>IF(D105="","",VLOOKUP(D105,'G-6 Hedgerow Data'!$B$3:$AG$15,31,FALSE))</f>
        <v/>
      </c>
      <c r="V105" s="295" t="str">
        <f t="shared" si="10"/>
        <v/>
      </c>
      <c r="W105" s="283" t="str">
        <f t="shared" si="11"/>
        <v/>
      </c>
      <c r="X105" s="299" t="str">
        <f>IF(F105="","",VLOOKUP(U105,'G-3 Multipliers'!$P$3:$Q$6,2,FALSE))</f>
        <v/>
      </c>
      <c r="Y105" s="303" t="str">
        <f t="shared" si="12"/>
        <v/>
      </c>
      <c r="Z105" s="303" t="str">
        <f t="shared" si="13"/>
        <v/>
      </c>
      <c r="AA105" s="101"/>
      <c r="AB105" s="938"/>
      <c r="AC105" s="138"/>
      <c r="AD105" s="138"/>
      <c r="AE105" s="934"/>
      <c r="AH105" s="30" t="str">
        <f>IFERROR(INDEX('G-6 Hedgerow Data'!$BJ$3:$BJ$15,MATCH(D105,'G-6 Hedgerow Data'!$B$3:$B$15,0)),"")</f>
        <v/>
      </c>
    </row>
    <row r="106" spans="2:34" ht="14">
      <c r="B106" s="97">
        <v>95</v>
      </c>
      <c r="C106" s="171"/>
      <c r="D106" s="58"/>
      <c r="E106" s="138"/>
      <c r="F106" s="275" t="str">
        <f>IF(D106="","",VLOOKUP(D106,'G-6 Hedgerow Data'!$B$2:$AG$15,2,FALSE))</f>
        <v/>
      </c>
      <c r="G106" s="299" t="str">
        <f>IF(D106="","",VLOOKUP(D106,'G-6 Hedgerow Data'!$B$2:$AG$15,3,FALSE))</f>
        <v/>
      </c>
      <c r="H106" s="53"/>
      <c r="I106" s="276" t="str">
        <f>IFERROR(IF(H106="","",IF(AND(D106="Non-native and ornamental hedgerow",H106&lt;&gt;"Poor"),"Not possible ▲",(IF(AND(F106="V.Low",OR(H106="Good",H106="Moderate")),"Error ▲",VLOOKUP(H106,'G-1 All Habitats'!$Z$2:$AA$9,2,FALSE))))),"")</f>
        <v/>
      </c>
      <c r="J106" s="102"/>
      <c r="K106" s="295" t="str">
        <f>IF(J106="","",IF(VLOOKUP(J106,'G-3 Multipliers'!$L$3:$N$6,2,FALSE)=0,"Spatial Data Missing",VLOOKUP(J106,'G-3 Multipliers'!$L$3:$N$6,2,FALSE)))</f>
        <v/>
      </c>
      <c r="L106" s="299" t="str">
        <f>IF(J106="","",IF(VLOOKUP(J106,'G-3 Multipliers'!$L$3:$N$6,3,FALSE)=0,"Spatial Data Missing",VLOOKUP(J106,'G-3 Multipliers'!$L$3:$N$6,3,FALSE)))</f>
        <v/>
      </c>
      <c r="M106" s="134"/>
      <c r="N106" s="276" t="str">
        <f>IF(M106="","",IF(VLOOKUP(M106,'G-3 Multipliers'!$S$3:$T$10,2,FALSE)=0,"Spatial Data Missing ⚠",VLOOKUP(M106,'G-3 Multipliers'!$S$3:$T$10,2,FALSE)))</f>
        <v/>
      </c>
      <c r="O106" s="275" t="str">
        <f>IF(OR(D106="",H106=""),"",(INDEX('G-6 Hedgerow Data'!$E$3:$I$15,MATCH(D106,'G-6 Hedgerow Data'!$B$3:$B$15,0),MATCH(H106,'G-6 Hedgerow Data'!$E$2:$I$2,0))))</f>
        <v/>
      </c>
      <c r="P106" s="133"/>
      <c r="Q106" s="133"/>
      <c r="R106" s="283" t="str">
        <f t="shared" si="8"/>
        <v/>
      </c>
      <c r="S106" s="296" t="str">
        <f t="shared" si="9"/>
        <v/>
      </c>
      <c r="T106" s="297" t="str">
        <f t="shared" si="7"/>
        <v/>
      </c>
      <c r="U106" s="311" t="str">
        <f>IF(D106="","",VLOOKUP(D106,'G-6 Hedgerow Data'!$B$3:$AG$15,31,FALSE))</f>
        <v/>
      </c>
      <c r="V106" s="295" t="str">
        <f t="shared" si="10"/>
        <v/>
      </c>
      <c r="W106" s="283" t="str">
        <f t="shared" si="11"/>
        <v/>
      </c>
      <c r="X106" s="299" t="str">
        <f>IF(F106="","",VLOOKUP(U106,'G-3 Multipliers'!$P$3:$Q$6,2,FALSE))</f>
        <v/>
      </c>
      <c r="Y106" s="303" t="str">
        <f t="shared" si="12"/>
        <v/>
      </c>
      <c r="Z106" s="303" t="str">
        <f t="shared" si="13"/>
        <v/>
      </c>
      <c r="AA106" s="101"/>
      <c r="AB106" s="938"/>
      <c r="AC106" s="138"/>
      <c r="AD106" s="138"/>
      <c r="AE106" s="934"/>
      <c r="AH106" s="30" t="str">
        <f>IFERROR(INDEX('G-6 Hedgerow Data'!$BJ$3:$BJ$15,MATCH(D106,'G-6 Hedgerow Data'!$B$3:$B$15,0)),"")</f>
        <v/>
      </c>
    </row>
    <row r="107" spans="2:34" ht="14">
      <c r="B107" s="97">
        <v>96</v>
      </c>
      <c r="C107" s="171"/>
      <c r="D107" s="58"/>
      <c r="E107" s="138"/>
      <c r="F107" s="275" t="str">
        <f>IF(D107="","",VLOOKUP(D107,'G-6 Hedgerow Data'!$B$2:$AG$15,2,FALSE))</f>
        <v/>
      </c>
      <c r="G107" s="299" t="str">
        <f>IF(D107="","",VLOOKUP(D107,'G-6 Hedgerow Data'!$B$2:$AG$15,3,FALSE))</f>
        <v/>
      </c>
      <c r="H107" s="53"/>
      <c r="I107" s="276" t="str">
        <f>IFERROR(IF(H107="","",IF(AND(D107="Non-native and ornamental hedgerow",H107&lt;&gt;"Poor"),"Not possible ▲",(IF(AND(F107="V.Low",OR(H107="Good",H107="Moderate")),"Error ▲",VLOOKUP(H107,'G-1 All Habitats'!$Z$2:$AA$9,2,FALSE))))),"")</f>
        <v/>
      </c>
      <c r="J107" s="102"/>
      <c r="K107" s="295" t="str">
        <f>IF(J107="","",IF(VLOOKUP(J107,'G-3 Multipliers'!$L$3:$N$6,2,FALSE)=0,"Spatial Data Missing",VLOOKUP(J107,'G-3 Multipliers'!$L$3:$N$6,2,FALSE)))</f>
        <v/>
      </c>
      <c r="L107" s="299" t="str">
        <f>IF(J107="","",IF(VLOOKUP(J107,'G-3 Multipliers'!$L$3:$N$6,3,FALSE)=0,"Spatial Data Missing",VLOOKUP(J107,'G-3 Multipliers'!$L$3:$N$6,3,FALSE)))</f>
        <v/>
      </c>
      <c r="M107" s="134"/>
      <c r="N107" s="276" t="str">
        <f>IF(M107="","",IF(VLOOKUP(M107,'G-3 Multipliers'!$S$3:$T$10,2,FALSE)=0,"Spatial Data Missing ⚠",VLOOKUP(M107,'G-3 Multipliers'!$S$3:$T$10,2,FALSE)))</f>
        <v/>
      </c>
      <c r="O107" s="275" t="str">
        <f>IF(OR(D107="",H107=""),"",(INDEX('G-6 Hedgerow Data'!$E$3:$I$15,MATCH(D107,'G-6 Hedgerow Data'!$B$3:$B$15,0),MATCH(H107,'G-6 Hedgerow Data'!$E$2:$I$2,0))))</f>
        <v/>
      </c>
      <c r="P107" s="133"/>
      <c r="Q107" s="133"/>
      <c r="R107" s="283" t="str">
        <f t="shared" si="8"/>
        <v/>
      </c>
      <c r="S107" s="296" t="str">
        <f t="shared" si="9"/>
        <v/>
      </c>
      <c r="T107" s="297" t="str">
        <f t="shared" si="7"/>
        <v/>
      </c>
      <c r="U107" s="311" t="str">
        <f>IF(D107="","",VLOOKUP(D107,'G-6 Hedgerow Data'!$B$3:$AG$15,31,FALSE))</f>
        <v/>
      </c>
      <c r="V107" s="295" t="str">
        <f t="shared" si="10"/>
        <v/>
      </c>
      <c r="W107" s="283" t="str">
        <f t="shared" si="11"/>
        <v/>
      </c>
      <c r="X107" s="299" t="str">
        <f>IF(F107="","",VLOOKUP(U107,'G-3 Multipliers'!$P$3:$Q$6,2,FALSE))</f>
        <v/>
      </c>
      <c r="Y107" s="303" t="str">
        <f t="shared" si="12"/>
        <v/>
      </c>
      <c r="Z107" s="303" t="str">
        <f t="shared" si="13"/>
        <v/>
      </c>
      <c r="AA107" s="101"/>
      <c r="AB107" s="938"/>
      <c r="AC107" s="138"/>
      <c r="AD107" s="138"/>
      <c r="AE107" s="934"/>
      <c r="AH107" s="30" t="str">
        <f>IFERROR(INDEX('G-6 Hedgerow Data'!$BJ$3:$BJ$15,MATCH(D107,'G-6 Hedgerow Data'!$B$3:$B$15,0)),"")</f>
        <v/>
      </c>
    </row>
    <row r="108" spans="2:34" ht="14">
      <c r="B108" s="97">
        <v>97</v>
      </c>
      <c r="C108" s="171"/>
      <c r="D108" s="58"/>
      <c r="E108" s="138"/>
      <c r="F108" s="275" t="str">
        <f>IF(D108="","",VLOOKUP(D108,'G-6 Hedgerow Data'!$B$2:$AG$15,2,FALSE))</f>
        <v/>
      </c>
      <c r="G108" s="299" t="str">
        <f>IF(D108="","",VLOOKUP(D108,'G-6 Hedgerow Data'!$B$2:$AG$15,3,FALSE))</f>
        <v/>
      </c>
      <c r="H108" s="53"/>
      <c r="I108" s="276" t="str">
        <f>IFERROR(IF(H108="","",IF(AND(D108="Non-native and ornamental hedgerow",H108&lt;&gt;"Poor"),"Not possible ▲",(IF(AND(F108="V.Low",OR(H108="Good",H108="Moderate")),"Error ▲",VLOOKUP(H108,'G-1 All Habitats'!$Z$2:$AA$9,2,FALSE))))),"")</f>
        <v/>
      </c>
      <c r="J108" s="102"/>
      <c r="K108" s="295" t="str">
        <f>IF(J108="","",IF(VLOOKUP(J108,'G-3 Multipliers'!$L$3:$N$6,2,FALSE)=0,"Spatial Data Missing",VLOOKUP(J108,'G-3 Multipliers'!$L$3:$N$6,2,FALSE)))</f>
        <v/>
      </c>
      <c r="L108" s="299" t="str">
        <f>IF(J108="","",IF(VLOOKUP(J108,'G-3 Multipliers'!$L$3:$N$6,3,FALSE)=0,"Spatial Data Missing",VLOOKUP(J108,'G-3 Multipliers'!$L$3:$N$6,3,FALSE)))</f>
        <v/>
      </c>
      <c r="M108" s="134"/>
      <c r="N108" s="276" t="str">
        <f>IF(M108="","",IF(VLOOKUP(M108,'G-3 Multipliers'!$S$3:$T$10,2,FALSE)=0,"Spatial Data Missing ⚠",VLOOKUP(M108,'G-3 Multipliers'!$S$3:$T$10,2,FALSE)))</f>
        <v/>
      </c>
      <c r="O108" s="275" t="str">
        <f>IF(OR(D108="",H108=""),"",(INDEX('G-6 Hedgerow Data'!$E$3:$I$15,MATCH(D108,'G-6 Hedgerow Data'!$B$3:$B$15,0),MATCH(H108,'G-6 Hedgerow Data'!$E$2:$I$2,0))))</f>
        <v/>
      </c>
      <c r="P108" s="133"/>
      <c r="Q108" s="133"/>
      <c r="R108" s="283" t="str">
        <f t="shared" si="8"/>
        <v/>
      </c>
      <c r="S108" s="296" t="str">
        <f t="shared" si="9"/>
        <v/>
      </c>
      <c r="T108" s="297" t="str">
        <f t="shared" si="7"/>
        <v/>
      </c>
      <c r="U108" s="311" t="str">
        <f>IF(D108="","",VLOOKUP(D108,'G-6 Hedgerow Data'!$B$3:$AG$15,31,FALSE))</f>
        <v/>
      </c>
      <c r="V108" s="295" t="str">
        <f t="shared" si="10"/>
        <v/>
      </c>
      <c r="W108" s="283" t="str">
        <f t="shared" si="11"/>
        <v/>
      </c>
      <c r="X108" s="299" t="str">
        <f>IF(F108="","",VLOOKUP(U108,'G-3 Multipliers'!$P$3:$Q$6,2,FALSE))</f>
        <v/>
      </c>
      <c r="Y108" s="303" t="str">
        <f t="shared" si="12"/>
        <v/>
      </c>
      <c r="Z108" s="303" t="str">
        <f t="shared" si="13"/>
        <v/>
      </c>
      <c r="AA108" s="101"/>
      <c r="AB108" s="938"/>
      <c r="AC108" s="138"/>
      <c r="AD108" s="138"/>
      <c r="AE108" s="934"/>
      <c r="AH108" s="30" t="str">
        <f>IFERROR(INDEX('G-6 Hedgerow Data'!$BJ$3:$BJ$15,MATCH(D108,'G-6 Hedgerow Data'!$B$3:$B$15,0)),"")</f>
        <v/>
      </c>
    </row>
    <row r="109" spans="2:34" ht="14">
      <c r="B109" s="97">
        <v>98</v>
      </c>
      <c r="C109" s="171"/>
      <c r="D109" s="58"/>
      <c r="E109" s="138"/>
      <c r="F109" s="275" t="str">
        <f>IF(D109="","",VLOOKUP(D109,'G-6 Hedgerow Data'!$B$2:$AG$15,2,FALSE))</f>
        <v/>
      </c>
      <c r="G109" s="299" t="str">
        <f>IF(D109="","",VLOOKUP(D109,'G-6 Hedgerow Data'!$B$2:$AG$15,3,FALSE))</f>
        <v/>
      </c>
      <c r="H109" s="53"/>
      <c r="I109" s="276" t="str">
        <f>IFERROR(IF(H109="","",IF(AND(D109="Non-native and ornamental hedgerow",H109&lt;&gt;"Poor"),"Not possible ▲",(IF(AND(F109="V.Low",OR(H109="Good",H109="Moderate")),"Error ▲",VLOOKUP(H109,'G-1 All Habitats'!$Z$2:$AA$9,2,FALSE))))),"")</f>
        <v/>
      </c>
      <c r="J109" s="102"/>
      <c r="K109" s="295" t="str">
        <f>IF(J109="","",IF(VLOOKUP(J109,'G-3 Multipliers'!$L$3:$N$6,2,FALSE)=0,"Spatial Data Missing",VLOOKUP(J109,'G-3 Multipliers'!$L$3:$N$6,2,FALSE)))</f>
        <v/>
      </c>
      <c r="L109" s="299" t="str">
        <f>IF(J109="","",IF(VLOOKUP(J109,'G-3 Multipliers'!$L$3:$N$6,3,FALSE)=0,"Spatial Data Missing",VLOOKUP(J109,'G-3 Multipliers'!$L$3:$N$6,3,FALSE)))</f>
        <v/>
      </c>
      <c r="M109" s="134"/>
      <c r="N109" s="276" t="str">
        <f>IF(M109="","",IF(VLOOKUP(M109,'G-3 Multipliers'!$S$3:$T$10,2,FALSE)=0,"Spatial Data Missing ⚠",VLOOKUP(M109,'G-3 Multipliers'!$S$3:$T$10,2,FALSE)))</f>
        <v/>
      </c>
      <c r="O109" s="275" t="str">
        <f>IF(OR(D109="",H109=""),"",(INDEX('G-6 Hedgerow Data'!$E$3:$I$15,MATCH(D109,'G-6 Hedgerow Data'!$B$3:$B$15,0),MATCH(H109,'G-6 Hedgerow Data'!$E$2:$I$2,0))))</f>
        <v/>
      </c>
      <c r="P109" s="133"/>
      <c r="Q109" s="133"/>
      <c r="R109" s="283" t="str">
        <f t="shared" si="8"/>
        <v/>
      </c>
      <c r="S109" s="296" t="str">
        <f t="shared" si="9"/>
        <v/>
      </c>
      <c r="T109" s="297" t="str">
        <f t="shared" si="7"/>
        <v/>
      </c>
      <c r="U109" s="311" t="str">
        <f>IF(D109="","",VLOOKUP(D109,'G-6 Hedgerow Data'!$B$3:$AG$15,31,FALSE))</f>
        <v/>
      </c>
      <c r="V109" s="295" t="str">
        <f t="shared" si="10"/>
        <v/>
      </c>
      <c r="W109" s="283" t="str">
        <f t="shared" si="11"/>
        <v/>
      </c>
      <c r="X109" s="299" t="str">
        <f>IF(F109="","",VLOOKUP(U109,'G-3 Multipliers'!$P$3:$Q$6,2,FALSE))</f>
        <v/>
      </c>
      <c r="Y109" s="303" t="str">
        <f t="shared" si="12"/>
        <v/>
      </c>
      <c r="Z109" s="303" t="str">
        <f t="shared" si="13"/>
        <v/>
      </c>
      <c r="AA109" s="101"/>
      <c r="AB109" s="938"/>
      <c r="AC109" s="138"/>
      <c r="AD109" s="138"/>
      <c r="AE109" s="934"/>
      <c r="AH109" s="30" t="str">
        <f>IFERROR(INDEX('G-6 Hedgerow Data'!$BJ$3:$BJ$15,MATCH(D109,'G-6 Hedgerow Data'!$B$3:$B$15,0)),"")</f>
        <v/>
      </c>
    </row>
    <row r="110" spans="2:34" ht="14">
      <c r="B110" s="97">
        <v>99</v>
      </c>
      <c r="C110" s="171"/>
      <c r="D110" s="58"/>
      <c r="E110" s="138"/>
      <c r="F110" s="275" t="str">
        <f>IF(D110="","",VLOOKUP(D110,'G-6 Hedgerow Data'!$B$2:$AG$15,2,FALSE))</f>
        <v/>
      </c>
      <c r="G110" s="299" t="str">
        <f>IF(D110="","",VLOOKUP(D110,'G-6 Hedgerow Data'!$B$2:$AG$15,3,FALSE))</f>
        <v/>
      </c>
      <c r="H110" s="53"/>
      <c r="I110" s="276" t="str">
        <f>IFERROR(IF(H110="","",IF(AND(D110="Non-native and ornamental hedgerow",H110&lt;&gt;"Poor"),"Not possible ▲",(IF(AND(F110="V.Low",OR(H110="Good",H110="Moderate")),"Error ▲",VLOOKUP(H110,'G-1 All Habitats'!$Z$2:$AA$9,2,FALSE))))),"")</f>
        <v/>
      </c>
      <c r="J110" s="102"/>
      <c r="K110" s="295" t="str">
        <f>IF(J110="","",IF(VLOOKUP(J110,'G-3 Multipliers'!$L$3:$N$6,2,FALSE)=0,"Spatial Data Missing",VLOOKUP(J110,'G-3 Multipliers'!$L$3:$N$6,2,FALSE)))</f>
        <v/>
      </c>
      <c r="L110" s="299" t="str">
        <f>IF(J110="","",IF(VLOOKUP(J110,'G-3 Multipliers'!$L$3:$N$6,3,FALSE)=0,"Spatial Data Missing",VLOOKUP(J110,'G-3 Multipliers'!$L$3:$N$6,3,FALSE)))</f>
        <v/>
      </c>
      <c r="M110" s="134"/>
      <c r="N110" s="276" t="str">
        <f>IF(M110="","",IF(VLOOKUP(M110,'G-3 Multipliers'!$S$3:$T$10,2,FALSE)=0,"Spatial Data Missing ⚠",VLOOKUP(M110,'G-3 Multipliers'!$S$3:$T$10,2,FALSE)))</f>
        <v/>
      </c>
      <c r="O110" s="275" t="str">
        <f>IF(OR(D110="",H110=""),"",(INDEX('G-6 Hedgerow Data'!$E$3:$I$15,MATCH(D110,'G-6 Hedgerow Data'!$B$3:$B$15,0),MATCH(H110,'G-6 Hedgerow Data'!$E$2:$I$2,0))))</f>
        <v/>
      </c>
      <c r="P110" s="133"/>
      <c r="Q110" s="133"/>
      <c r="R110" s="283" t="str">
        <f t="shared" si="8"/>
        <v/>
      </c>
      <c r="S110" s="296" t="str">
        <f t="shared" si="9"/>
        <v/>
      </c>
      <c r="T110" s="297" t="str">
        <f t="shared" si="7"/>
        <v/>
      </c>
      <c r="U110" s="311" t="str">
        <f>IF(D110="","",VLOOKUP(D110,'G-6 Hedgerow Data'!$B$3:$AG$15,31,FALSE))</f>
        <v/>
      </c>
      <c r="V110" s="295" t="str">
        <f t="shared" si="10"/>
        <v/>
      </c>
      <c r="W110" s="283" t="str">
        <f t="shared" si="11"/>
        <v/>
      </c>
      <c r="X110" s="299" t="str">
        <f>IF(F110="","",VLOOKUP(U110,'G-3 Multipliers'!$P$3:$Q$6,2,FALSE))</f>
        <v/>
      </c>
      <c r="Y110" s="303" t="str">
        <f t="shared" si="12"/>
        <v/>
      </c>
      <c r="Z110" s="303" t="str">
        <f t="shared" si="13"/>
        <v/>
      </c>
      <c r="AA110" s="101"/>
      <c r="AB110" s="938"/>
      <c r="AC110" s="138"/>
      <c r="AD110" s="138"/>
      <c r="AE110" s="934"/>
      <c r="AH110" s="30" t="str">
        <f>IFERROR(INDEX('G-6 Hedgerow Data'!$BJ$3:$BJ$15,MATCH(D110,'G-6 Hedgerow Data'!$B$3:$B$15,0)),"")</f>
        <v/>
      </c>
    </row>
    <row r="111" spans="2:34" ht="14">
      <c r="B111" s="97">
        <v>100</v>
      </c>
      <c r="C111" s="171"/>
      <c r="D111" s="58"/>
      <c r="E111" s="138"/>
      <c r="F111" s="275" t="str">
        <f>IF(D111="","",VLOOKUP(D111,'G-6 Hedgerow Data'!$B$2:$AG$15,2,FALSE))</f>
        <v/>
      </c>
      <c r="G111" s="299" t="str">
        <f>IF(D111="","",VLOOKUP(D111,'G-6 Hedgerow Data'!$B$2:$AG$15,3,FALSE))</f>
        <v/>
      </c>
      <c r="H111" s="53"/>
      <c r="I111" s="276" t="str">
        <f>IFERROR(IF(H111="","",IF(AND(D111="Non-native and ornamental hedgerow",H111&lt;&gt;"Poor"),"Not possible ▲",(IF(AND(F111="V.Low",OR(H111="Good",H111="Moderate")),"Error ▲",VLOOKUP(H111,'G-1 All Habitats'!$Z$2:$AA$9,2,FALSE))))),"")</f>
        <v/>
      </c>
      <c r="J111" s="102"/>
      <c r="K111" s="295" t="str">
        <f>IF(J111="","",IF(VLOOKUP(J111,'G-3 Multipliers'!$L$3:$N$6,2,FALSE)=0,"Spatial Data Missing",VLOOKUP(J111,'G-3 Multipliers'!$L$3:$N$6,2,FALSE)))</f>
        <v/>
      </c>
      <c r="L111" s="299" t="str">
        <f>IF(J111="","",IF(VLOOKUP(J111,'G-3 Multipliers'!$L$3:$N$6,3,FALSE)=0,"Spatial Data Missing",VLOOKUP(J111,'G-3 Multipliers'!$L$3:$N$6,3,FALSE)))</f>
        <v/>
      </c>
      <c r="M111" s="134"/>
      <c r="N111" s="276" t="str">
        <f>IF(M111="","",IF(VLOOKUP(M111,'G-3 Multipliers'!$S$3:$T$10,2,FALSE)=0,"Spatial Data Missing ⚠",VLOOKUP(M111,'G-3 Multipliers'!$S$3:$T$10,2,FALSE)))</f>
        <v/>
      </c>
      <c r="O111" s="275" t="str">
        <f>IF(OR(D111="",H111=""),"",(INDEX('G-6 Hedgerow Data'!$E$3:$I$15,MATCH(D111,'G-6 Hedgerow Data'!$B$3:$B$15,0),MATCH(H111,'G-6 Hedgerow Data'!$E$2:$I$2,0))))</f>
        <v/>
      </c>
      <c r="P111" s="133"/>
      <c r="Q111" s="133"/>
      <c r="R111" s="283" t="str">
        <f t="shared" si="8"/>
        <v/>
      </c>
      <c r="S111" s="296" t="str">
        <f t="shared" si="9"/>
        <v/>
      </c>
      <c r="T111" s="297" t="str">
        <f t="shared" si="7"/>
        <v/>
      </c>
      <c r="U111" s="311" t="str">
        <f>IF(D111="","",VLOOKUP(D111,'G-6 Hedgerow Data'!$B$3:$AG$15,31,FALSE))</f>
        <v/>
      </c>
      <c r="V111" s="295" t="str">
        <f t="shared" si="10"/>
        <v/>
      </c>
      <c r="W111" s="283" t="str">
        <f t="shared" si="11"/>
        <v/>
      </c>
      <c r="X111" s="299" t="str">
        <f>IF(F111="","",VLOOKUP(U111,'G-3 Multipliers'!$P$3:$Q$6,2,FALSE))</f>
        <v/>
      </c>
      <c r="Y111" s="303" t="str">
        <f t="shared" si="12"/>
        <v/>
      </c>
      <c r="Z111" s="303" t="str">
        <f t="shared" si="13"/>
        <v/>
      </c>
      <c r="AA111" s="101"/>
      <c r="AB111" s="938"/>
      <c r="AC111" s="138"/>
      <c r="AD111" s="138"/>
      <c r="AE111" s="934"/>
      <c r="AH111" s="30" t="str">
        <f>IFERROR(INDEX('G-6 Hedgerow Data'!$BJ$3:$BJ$15,MATCH(D111,'G-6 Hedgerow Data'!$B$3:$B$15,0)),"")</f>
        <v/>
      </c>
    </row>
    <row r="112" spans="2:34" ht="14">
      <c r="B112" s="97">
        <v>101</v>
      </c>
      <c r="C112" s="171"/>
      <c r="D112" s="58"/>
      <c r="E112" s="138"/>
      <c r="F112" s="275" t="str">
        <f>IF(D112="","",VLOOKUP(D112,'G-6 Hedgerow Data'!$B$2:$AG$15,2,FALSE))</f>
        <v/>
      </c>
      <c r="G112" s="299" t="str">
        <f>IF(D112="","",VLOOKUP(D112,'G-6 Hedgerow Data'!$B$2:$AG$15,3,FALSE))</f>
        <v/>
      </c>
      <c r="H112" s="53"/>
      <c r="I112" s="276" t="str">
        <f>IFERROR(IF(H112="","",IF(AND(D112="Non-native and ornamental hedgerow",H112&lt;&gt;"Poor"),"Not possible ▲",(IF(AND(F112="V.Low",OR(H112="Good",H112="Moderate")),"Error ▲",VLOOKUP(H112,'G-1 All Habitats'!$Z$2:$AA$9,2,FALSE))))),"")</f>
        <v/>
      </c>
      <c r="J112" s="102"/>
      <c r="K112" s="295" t="str">
        <f>IF(J112="","",IF(VLOOKUP(J112,'G-3 Multipliers'!$L$3:$N$6,2,FALSE)=0,"Spatial Data Missing",VLOOKUP(J112,'G-3 Multipliers'!$L$3:$N$6,2,FALSE)))</f>
        <v/>
      </c>
      <c r="L112" s="299" t="str">
        <f>IF(J112="","",IF(VLOOKUP(J112,'G-3 Multipliers'!$L$3:$N$6,3,FALSE)=0,"Spatial Data Missing",VLOOKUP(J112,'G-3 Multipliers'!$L$3:$N$6,3,FALSE)))</f>
        <v/>
      </c>
      <c r="M112" s="134"/>
      <c r="N112" s="276" t="str">
        <f>IF(M112="","",IF(VLOOKUP(M112,'G-3 Multipliers'!$S$3:$T$10,2,FALSE)=0,"Spatial Data Missing ⚠",VLOOKUP(M112,'G-3 Multipliers'!$S$3:$T$10,2,FALSE)))</f>
        <v/>
      </c>
      <c r="O112" s="275" t="str">
        <f>IF(OR(D112="",H112=""),"",(INDEX('G-6 Hedgerow Data'!$E$3:$I$15,MATCH(D112,'G-6 Hedgerow Data'!$B$3:$B$15,0),MATCH(H112,'G-6 Hedgerow Data'!$E$2:$I$2,0))))</f>
        <v/>
      </c>
      <c r="P112" s="133"/>
      <c r="Q112" s="133"/>
      <c r="R112" s="283" t="str">
        <f t="shared" si="8"/>
        <v/>
      </c>
      <c r="S112" s="296" t="str">
        <f t="shared" si="9"/>
        <v/>
      </c>
      <c r="T112" s="297" t="str">
        <f t="shared" si="7"/>
        <v/>
      </c>
      <c r="U112" s="311" t="str">
        <f>IF(D112="","",VLOOKUP(D112,'G-6 Hedgerow Data'!$B$3:$AG$15,31,FALSE))</f>
        <v/>
      </c>
      <c r="V112" s="295" t="str">
        <f t="shared" si="10"/>
        <v/>
      </c>
      <c r="W112" s="283" t="str">
        <f t="shared" si="11"/>
        <v/>
      </c>
      <c r="X112" s="299" t="str">
        <f>IF(F112="","",VLOOKUP(U112,'G-3 Multipliers'!$P$3:$Q$6,2,FALSE))</f>
        <v/>
      </c>
      <c r="Y112" s="303" t="str">
        <f t="shared" si="12"/>
        <v/>
      </c>
      <c r="Z112" s="303" t="str">
        <f t="shared" si="13"/>
        <v/>
      </c>
      <c r="AA112" s="101"/>
      <c r="AB112" s="938"/>
      <c r="AC112" s="138"/>
      <c r="AD112" s="138"/>
      <c r="AE112" s="934"/>
      <c r="AH112" s="30" t="str">
        <f>IFERROR(INDEX('G-6 Hedgerow Data'!$BJ$3:$BJ$15,MATCH(D112,'G-6 Hedgerow Data'!$B$3:$B$15,0)),"")</f>
        <v/>
      </c>
    </row>
    <row r="113" spans="2:34" ht="14">
      <c r="B113" s="97">
        <v>102</v>
      </c>
      <c r="C113" s="171"/>
      <c r="D113" s="58"/>
      <c r="E113" s="138"/>
      <c r="F113" s="275" t="str">
        <f>IF(D113="","",VLOOKUP(D113,'G-6 Hedgerow Data'!$B$2:$AG$15,2,FALSE))</f>
        <v/>
      </c>
      <c r="G113" s="299" t="str">
        <f>IF(D113="","",VLOOKUP(D113,'G-6 Hedgerow Data'!$B$2:$AG$15,3,FALSE))</f>
        <v/>
      </c>
      <c r="H113" s="53"/>
      <c r="I113" s="276" t="str">
        <f>IFERROR(IF(H113="","",IF(AND(D113="Non-native and ornamental hedgerow",H113&lt;&gt;"Poor"),"Not possible ▲",(IF(AND(F113="V.Low",OR(H113="Good",H113="Moderate")),"Error ▲",VLOOKUP(H113,'G-1 All Habitats'!$Z$2:$AA$9,2,FALSE))))),"")</f>
        <v/>
      </c>
      <c r="J113" s="102"/>
      <c r="K113" s="295" t="str">
        <f>IF(J113="","",IF(VLOOKUP(J113,'G-3 Multipliers'!$L$3:$N$6,2,FALSE)=0,"Spatial Data Missing",VLOOKUP(J113,'G-3 Multipliers'!$L$3:$N$6,2,FALSE)))</f>
        <v/>
      </c>
      <c r="L113" s="299" t="str">
        <f>IF(J113="","",IF(VLOOKUP(J113,'G-3 Multipliers'!$L$3:$N$6,3,FALSE)=0,"Spatial Data Missing",VLOOKUP(J113,'G-3 Multipliers'!$L$3:$N$6,3,FALSE)))</f>
        <v/>
      </c>
      <c r="M113" s="134"/>
      <c r="N113" s="276" t="str">
        <f>IF(M113="","",IF(VLOOKUP(M113,'G-3 Multipliers'!$S$3:$T$10,2,FALSE)=0,"Spatial Data Missing ⚠",VLOOKUP(M113,'G-3 Multipliers'!$S$3:$T$10,2,FALSE)))</f>
        <v/>
      </c>
      <c r="O113" s="275" t="str">
        <f>IF(OR(D113="",H113=""),"",(INDEX('G-6 Hedgerow Data'!$E$3:$I$15,MATCH(D113,'G-6 Hedgerow Data'!$B$3:$B$15,0),MATCH(H113,'G-6 Hedgerow Data'!$E$2:$I$2,0))))</f>
        <v/>
      </c>
      <c r="P113" s="133"/>
      <c r="Q113" s="133"/>
      <c r="R113" s="283" t="str">
        <f t="shared" si="8"/>
        <v/>
      </c>
      <c r="S113" s="296" t="str">
        <f t="shared" si="9"/>
        <v/>
      </c>
      <c r="T113" s="297" t="str">
        <f t="shared" si="7"/>
        <v/>
      </c>
      <c r="U113" s="311" t="str">
        <f>IF(D113="","",VLOOKUP(D113,'G-6 Hedgerow Data'!$B$3:$AG$15,31,FALSE))</f>
        <v/>
      </c>
      <c r="V113" s="295" t="str">
        <f t="shared" si="10"/>
        <v/>
      </c>
      <c r="W113" s="283" t="str">
        <f t="shared" si="11"/>
        <v/>
      </c>
      <c r="X113" s="299" t="str">
        <f>IF(F113="","",VLOOKUP(U113,'G-3 Multipliers'!$P$3:$Q$6,2,FALSE))</f>
        <v/>
      </c>
      <c r="Y113" s="303" t="str">
        <f t="shared" si="12"/>
        <v/>
      </c>
      <c r="Z113" s="303" t="str">
        <f t="shared" si="13"/>
        <v/>
      </c>
      <c r="AA113" s="101"/>
      <c r="AB113" s="938"/>
      <c r="AC113" s="138"/>
      <c r="AD113" s="138"/>
      <c r="AE113" s="934"/>
      <c r="AH113" s="30" t="str">
        <f>IFERROR(INDEX('G-6 Hedgerow Data'!$BJ$3:$BJ$15,MATCH(D113,'G-6 Hedgerow Data'!$B$3:$B$15,0)),"")</f>
        <v/>
      </c>
    </row>
    <row r="114" spans="2:34" ht="14">
      <c r="B114" s="97">
        <v>103</v>
      </c>
      <c r="C114" s="171"/>
      <c r="D114" s="58"/>
      <c r="E114" s="138"/>
      <c r="F114" s="275" t="str">
        <f>IF(D114="","",VLOOKUP(D114,'G-6 Hedgerow Data'!$B$2:$AG$15,2,FALSE))</f>
        <v/>
      </c>
      <c r="G114" s="299" t="str">
        <f>IF(D114="","",VLOOKUP(D114,'G-6 Hedgerow Data'!$B$2:$AG$15,3,FALSE))</f>
        <v/>
      </c>
      <c r="H114" s="53"/>
      <c r="I114" s="276" t="str">
        <f>IFERROR(IF(H114="","",IF(AND(D114="Non-native and ornamental hedgerow",H114&lt;&gt;"Poor"),"Not possible ▲",(IF(AND(F114="V.Low",OR(H114="Good",H114="Moderate")),"Error ▲",VLOOKUP(H114,'G-1 All Habitats'!$Z$2:$AA$9,2,FALSE))))),"")</f>
        <v/>
      </c>
      <c r="J114" s="102"/>
      <c r="K114" s="295" t="str">
        <f>IF(J114="","",IF(VLOOKUP(J114,'G-3 Multipliers'!$L$3:$N$6,2,FALSE)=0,"Spatial Data Missing",VLOOKUP(J114,'G-3 Multipliers'!$L$3:$N$6,2,FALSE)))</f>
        <v/>
      </c>
      <c r="L114" s="299" t="str">
        <f>IF(J114="","",IF(VLOOKUP(J114,'G-3 Multipliers'!$L$3:$N$6,3,FALSE)=0,"Spatial Data Missing",VLOOKUP(J114,'G-3 Multipliers'!$L$3:$N$6,3,FALSE)))</f>
        <v/>
      </c>
      <c r="M114" s="134"/>
      <c r="N114" s="276" t="str">
        <f>IF(M114="","",IF(VLOOKUP(M114,'G-3 Multipliers'!$S$3:$T$10,2,FALSE)=0,"Spatial Data Missing ⚠",VLOOKUP(M114,'G-3 Multipliers'!$S$3:$T$10,2,FALSE)))</f>
        <v/>
      </c>
      <c r="O114" s="275" t="str">
        <f>IF(OR(D114="",H114=""),"",(INDEX('G-6 Hedgerow Data'!$E$3:$I$15,MATCH(D114,'G-6 Hedgerow Data'!$B$3:$B$15,0),MATCH(H114,'G-6 Hedgerow Data'!$E$2:$I$2,0))))</f>
        <v/>
      </c>
      <c r="P114" s="133"/>
      <c r="Q114" s="133"/>
      <c r="R114" s="283" t="str">
        <f t="shared" si="8"/>
        <v/>
      </c>
      <c r="S114" s="296" t="str">
        <f t="shared" si="9"/>
        <v/>
      </c>
      <c r="T114" s="297" t="str">
        <f t="shared" si="7"/>
        <v/>
      </c>
      <c r="U114" s="311" t="str">
        <f>IF(D114="","",VLOOKUP(D114,'G-6 Hedgerow Data'!$B$3:$AG$15,31,FALSE))</f>
        <v/>
      </c>
      <c r="V114" s="295" t="str">
        <f t="shared" si="10"/>
        <v/>
      </c>
      <c r="W114" s="283" t="str">
        <f t="shared" si="11"/>
        <v/>
      </c>
      <c r="X114" s="299" t="str">
        <f>IF(F114="","",VLOOKUP(U114,'G-3 Multipliers'!$P$3:$Q$6,2,FALSE))</f>
        <v/>
      </c>
      <c r="Y114" s="303" t="str">
        <f t="shared" si="12"/>
        <v/>
      </c>
      <c r="Z114" s="303" t="str">
        <f t="shared" si="13"/>
        <v/>
      </c>
      <c r="AA114" s="101"/>
      <c r="AB114" s="938"/>
      <c r="AC114" s="138"/>
      <c r="AD114" s="138"/>
      <c r="AE114" s="934"/>
      <c r="AH114" s="30" t="str">
        <f>IFERROR(INDEX('G-6 Hedgerow Data'!$BJ$3:$BJ$15,MATCH(D114,'G-6 Hedgerow Data'!$B$3:$B$15,0)),"")</f>
        <v/>
      </c>
    </row>
    <row r="115" spans="2:34" ht="14">
      <c r="B115" s="97">
        <v>104</v>
      </c>
      <c r="C115" s="171"/>
      <c r="D115" s="58"/>
      <c r="E115" s="138"/>
      <c r="F115" s="275" t="str">
        <f>IF(D115="","",VLOOKUP(D115,'G-6 Hedgerow Data'!$B$2:$AG$15,2,FALSE))</f>
        <v/>
      </c>
      <c r="G115" s="299" t="str">
        <f>IF(D115="","",VLOOKUP(D115,'G-6 Hedgerow Data'!$B$2:$AG$15,3,FALSE))</f>
        <v/>
      </c>
      <c r="H115" s="53"/>
      <c r="I115" s="276" t="str">
        <f>IFERROR(IF(H115="","",IF(AND(D115="Non-native and ornamental hedgerow",H115&lt;&gt;"Poor"),"Not possible ▲",(IF(AND(F115="V.Low",OR(H115="Good",H115="Moderate")),"Error ▲",VLOOKUP(H115,'G-1 All Habitats'!$Z$2:$AA$9,2,FALSE))))),"")</f>
        <v/>
      </c>
      <c r="J115" s="102"/>
      <c r="K115" s="295" t="str">
        <f>IF(J115="","",IF(VLOOKUP(J115,'G-3 Multipliers'!$L$3:$N$6,2,FALSE)=0,"Spatial Data Missing",VLOOKUP(J115,'G-3 Multipliers'!$L$3:$N$6,2,FALSE)))</f>
        <v/>
      </c>
      <c r="L115" s="299" t="str">
        <f>IF(J115="","",IF(VLOOKUP(J115,'G-3 Multipliers'!$L$3:$N$6,3,FALSE)=0,"Spatial Data Missing",VLOOKUP(J115,'G-3 Multipliers'!$L$3:$N$6,3,FALSE)))</f>
        <v/>
      </c>
      <c r="M115" s="134"/>
      <c r="N115" s="276" t="str">
        <f>IF(M115="","",IF(VLOOKUP(M115,'G-3 Multipliers'!$S$3:$T$10,2,FALSE)=0,"Spatial Data Missing ⚠",VLOOKUP(M115,'G-3 Multipliers'!$S$3:$T$10,2,FALSE)))</f>
        <v/>
      </c>
      <c r="O115" s="275" t="str">
        <f>IF(OR(D115="",H115=""),"",(INDEX('G-6 Hedgerow Data'!$E$3:$I$15,MATCH(D115,'G-6 Hedgerow Data'!$B$3:$B$15,0),MATCH(H115,'G-6 Hedgerow Data'!$E$2:$I$2,0))))</f>
        <v/>
      </c>
      <c r="P115" s="133"/>
      <c r="Q115" s="133"/>
      <c r="R115" s="283" t="str">
        <f t="shared" si="8"/>
        <v/>
      </c>
      <c r="S115" s="296" t="str">
        <f t="shared" si="9"/>
        <v/>
      </c>
      <c r="T115" s="297" t="str">
        <f t="shared" si="7"/>
        <v/>
      </c>
      <c r="U115" s="311" t="str">
        <f>IF(D115="","",VLOOKUP(D115,'G-6 Hedgerow Data'!$B$3:$AG$15,31,FALSE))</f>
        <v/>
      </c>
      <c r="V115" s="295" t="str">
        <f t="shared" si="10"/>
        <v/>
      </c>
      <c r="W115" s="283" t="str">
        <f t="shared" si="11"/>
        <v/>
      </c>
      <c r="X115" s="299" t="str">
        <f>IF(F115="","",VLOOKUP(U115,'G-3 Multipliers'!$P$3:$Q$6,2,FALSE))</f>
        <v/>
      </c>
      <c r="Y115" s="303" t="str">
        <f t="shared" si="12"/>
        <v/>
      </c>
      <c r="Z115" s="303" t="str">
        <f t="shared" si="13"/>
        <v/>
      </c>
      <c r="AA115" s="101"/>
      <c r="AB115" s="938"/>
      <c r="AC115" s="138"/>
      <c r="AD115" s="138"/>
      <c r="AE115" s="934"/>
      <c r="AH115" s="30" t="str">
        <f>IFERROR(INDEX('G-6 Hedgerow Data'!$BJ$3:$BJ$15,MATCH(D115,'G-6 Hedgerow Data'!$B$3:$B$15,0)),"")</f>
        <v/>
      </c>
    </row>
    <row r="116" spans="2:34" ht="14">
      <c r="B116" s="97">
        <v>105</v>
      </c>
      <c r="C116" s="171"/>
      <c r="D116" s="58"/>
      <c r="E116" s="138"/>
      <c r="F116" s="275" t="str">
        <f>IF(D116="","",VLOOKUP(D116,'G-6 Hedgerow Data'!$B$2:$AG$15,2,FALSE))</f>
        <v/>
      </c>
      <c r="G116" s="299" t="str">
        <f>IF(D116="","",VLOOKUP(D116,'G-6 Hedgerow Data'!$B$2:$AG$15,3,FALSE))</f>
        <v/>
      </c>
      <c r="H116" s="53"/>
      <c r="I116" s="276" t="str">
        <f>IFERROR(IF(H116="","",IF(AND(D116="Non-native and ornamental hedgerow",H116&lt;&gt;"Poor"),"Not possible ▲",(IF(AND(F116="V.Low",OR(H116="Good",H116="Moderate")),"Error ▲",VLOOKUP(H116,'G-1 All Habitats'!$Z$2:$AA$9,2,FALSE))))),"")</f>
        <v/>
      </c>
      <c r="J116" s="102"/>
      <c r="K116" s="295" t="str">
        <f>IF(J116="","",IF(VLOOKUP(J116,'G-3 Multipliers'!$L$3:$N$6,2,FALSE)=0,"Spatial Data Missing",VLOOKUP(J116,'G-3 Multipliers'!$L$3:$N$6,2,FALSE)))</f>
        <v/>
      </c>
      <c r="L116" s="299" t="str">
        <f>IF(J116="","",IF(VLOOKUP(J116,'G-3 Multipliers'!$L$3:$N$6,3,FALSE)=0,"Spatial Data Missing",VLOOKUP(J116,'G-3 Multipliers'!$L$3:$N$6,3,FALSE)))</f>
        <v/>
      </c>
      <c r="M116" s="134"/>
      <c r="N116" s="276" t="str">
        <f>IF(M116="","",IF(VLOOKUP(M116,'G-3 Multipliers'!$S$3:$T$10,2,FALSE)=0,"Spatial Data Missing ⚠",VLOOKUP(M116,'G-3 Multipliers'!$S$3:$T$10,2,FALSE)))</f>
        <v/>
      </c>
      <c r="O116" s="275" t="str">
        <f>IF(OR(D116="",H116=""),"",(INDEX('G-6 Hedgerow Data'!$E$3:$I$15,MATCH(D116,'G-6 Hedgerow Data'!$B$3:$B$15,0),MATCH(H116,'G-6 Hedgerow Data'!$E$2:$I$2,0))))</f>
        <v/>
      </c>
      <c r="P116" s="133"/>
      <c r="Q116" s="133"/>
      <c r="R116" s="283" t="str">
        <f t="shared" si="8"/>
        <v/>
      </c>
      <c r="S116" s="296" t="str">
        <f t="shared" si="9"/>
        <v/>
      </c>
      <c r="T116" s="297" t="str">
        <f t="shared" si="7"/>
        <v/>
      </c>
      <c r="U116" s="311" t="str">
        <f>IF(D116="","",VLOOKUP(D116,'G-6 Hedgerow Data'!$B$3:$AG$15,31,FALSE))</f>
        <v/>
      </c>
      <c r="V116" s="295" t="str">
        <f t="shared" si="10"/>
        <v/>
      </c>
      <c r="W116" s="283" t="str">
        <f t="shared" si="11"/>
        <v/>
      </c>
      <c r="X116" s="299" t="str">
        <f>IF(F116="","",VLOOKUP(U116,'G-3 Multipliers'!$P$3:$Q$6,2,FALSE))</f>
        <v/>
      </c>
      <c r="Y116" s="303" t="str">
        <f t="shared" si="12"/>
        <v/>
      </c>
      <c r="Z116" s="303" t="str">
        <f t="shared" si="13"/>
        <v/>
      </c>
      <c r="AA116" s="101"/>
      <c r="AB116" s="938"/>
      <c r="AC116" s="138"/>
      <c r="AD116" s="138"/>
      <c r="AE116" s="934"/>
      <c r="AH116" s="30" t="str">
        <f>IFERROR(INDEX('G-6 Hedgerow Data'!$BJ$3:$BJ$15,MATCH(D116,'G-6 Hedgerow Data'!$B$3:$B$15,0)),"")</f>
        <v/>
      </c>
    </row>
    <row r="117" spans="2:34" ht="14">
      <c r="B117" s="97">
        <v>106</v>
      </c>
      <c r="C117" s="171"/>
      <c r="D117" s="58"/>
      <c r="E117" s="138"/>
      <c r="F117" s="275" t="str">
        <f>IF(D117="","",VLOOKUP(D117,'G-6 Hedgerow Data'!$B$2:$AG$15,2,FALSE))</f>
        <v/>
      </c>
      <c r="G117" s="299" t="str">
        <f>IF(D117="","",VLOOKUP(D117,'G-6 Hedgerow Data'!$B$2:$AG$15,3,FALSE))</f>
        <v/>
      </c>
      <c r="H117" s="53"/>
      <c r="I117" s="276" t="str">
        <f>IFERROR(IF(H117="","",IF(AND(D117="Non-native and ornamental hedgerow",H117&lt;&gt;"Poor"),"Not possible ▲",(IF(AND(F117="V.Low",OR(H117="Good",H117="Moderate")),"Error ▲",VLOOKUP(H117,'G-1 All Habitats'!$Z$2:$AA$9,2,FALSE))))),"")</f>
        <v/>
      </c>
      <c r="J117" s="102"/>
      <c r="K117" s="295" t="str">
        <f>IF(J117="","",IF(VLOOKUP(J117,'G-3 Multipliers'!$L$3:$N$6,2,FALSE)=0,"Spatial Data Missing",VLOOKUP(J117,'G-3 Multipliers'!$L$3:$N$6,2,FALSE)))</f>
        <v/>
      </c>
      <c r="L117" s="299" t="str">
        <f>IF(J117="","",IF(VLOOKUP(J117,'G-3 Multipliers'!$L$3:$N$6,3,FALSE)=0,"Spatial Data Missing",VLOOKUP(J117,'G-3 Multipliers'!$L$3:$N$6,3,FALSE)))</f>
        <v/>
      </c>
      <c r="M117" s="134"/>
      <c r="N117" s="276" t="str">
        <f>IF(M117="","",IF(VLOOKUP(M117,'G-3 Multipliers'!$S$3:$T$10,2,FALSE)=0,"Spatial Data Missing ⚠",VLOOKUP(M117,'G-3 Multipliers'!$S$3:$T$10,2,FALSE)))</f>
        <v/>
      </c>
      <c r="O117" s="275" t="str">
        <f>IF(OR(D117="",H117=""),"",(INDEX('G-6 Hedgerow Data'!$E$3:$I$15,MATCH(D117,'G-6 Hedgerow Data'!$B$3:$B$15,0),MATCH(H117,'G-6 Hedgerow Data'!$E$2:$I$2,0))))</f>
        <v/>
      </c>
      <c r="P117" s="133"/>
      <c r="Q117" s="133"/>
      <c r="R117" s="283" t="str">
        <f t="shared" si="8"/>
        <v/>
      </c>
      <c r="S117" s="296" t="str">
        <f t="shared" si="9"/>
        <v/>
      </c>
      <c r="T117" s="297" t="str">
        <f t="shared" si="7"/>
        <v/>
      </c>
      <c r="U117" s="311" t="str">
        <f>IF(D117="","",VLOOKUP(D117,'G-6 Hedgerow Data'!$B$3:$AG$15,31,FALSE))</f>
        <v/>
      </c>
      <c r="V117" s="295" t="str">
        <f t="shared" si="10"/>
        <v/>
      </c>
      <c r="W117" s="283" t="str">
        <f t="shared" si="11"/>
        <v/>
      </c>
      <c r="X117" s="299" t="str">
        <f>IF(F117="","",VLOOKUP(U117,'G-3 Multipliers'!$P$3:$Q$6,2,FALSE))</f>
        <v/>
      </c>
      <c r="Y117" s="303" t="str">
        <f t="shared" si="12"/>
        <v/>
      </c>
      <c r="Z117" s="303" t="str">
        <f t="shared" si="13"/>
        <v/>
      </c>
      <c r="AA117" s="101"/>
      <c r="AB117" s="938"/>
      <c r="AC117" s="138"/>
      <c r="AD117" s="138"/>
      <c r="AE117" s="934"/>
      <c r="AH117" s="30" t="str">
        <f>IFERROR(INDEX('G-6 Hedgerow Data'!$BJ$3:$BJ$15,MATCH(D117,'G-6 Hedgerow Data'!$B$3:$B$15,0)),"")</f>
        <v/>
      </c>
    </row>
    <row r="118" spans="2:34" ht="14">
      <c r="B118" s="97">
        <v>107</v>
      </c>
      <c r="C118" s="171"/>
      <c r="D118" s="58"/>
      <c r="E118" s="138"/>
      <c r="F118" s="275" t="str">
        <f>IF(D118="","",VLOOKUP(D118,'G-6 Hedgerow Data'!$B$2:$AG$15,2,FALSE))</f>
        <v/>
      </c>
      <c r="G118" s="299" t="str">
        <f>IF(D118="","",VLOOKUP(D118,'G-6 Hedgerow Data'!$B$2:$AG$15,3,FALSE))</f>
        <v/>
      </c>
      <c r="H118" s="53"/>
      <c r="I118" s="276" t="str">
        <f>IFERROR(IF(H118="","",IF(AND(D118="Non-native and ornamental hedgerow",H118&lt;&gt;"Poor"),"Not possible ▲",(IF(AND(F118="V.Low",OR(H118="Good",H118="Moderate")),"Error ▲",VLOOKUP(H118,'G-1 All Habitats'!$Z$2:$AA$9,2,FALSE))))),"")</f>
        <v/>
      </c>
      <c r="J118" s="102"/>
      <c r="K118" s="295" t="str">
        <f>IF(J118="","",IF(VLOOKUP(J118,'G-3 Multipliers'!$L$3:$N$6,2,FALSE)=0,"Spatial Data Missing",VLOOKUP(J118,'G-3 Multipliers'!$L$3:$N$6,2,FALSE)))</f>
        <v/>
      </c>
      <c r="L118" s="299" t="str">
        <f>IF(J118="","",IF(VLOOKUP(J118,'G-3 Multipliers'!$L$3:$N$6,3,FALSE)=0,"Spatial Data Missing",VLOOKUP(J118,'G-3 Multipliers'!$L$3:$N$6,3,FALSE)))</f>
        <v/>
      </c>
      <c r="M118" s="134"/>
      <c r="N118" s="276" t="str">
        <f>IF(M118="","",IF(VLOOKUP(M118,'G-3 Multipliers'!$S$3:$T$10,2,FALSE)=0,"Spatial Data Missing ⚠",VLOOKUP(M118,'G-3 Multipliers'!$S$3:$T$10,2,FALSE)))</f>
        <v/>
      </c>
      <c r="O118" s="275" t="str">
        <f>IF(OR(D118="",H118=""),"",(INDEX('G-6 Hedgerow Data'!$E$3:$I$15,MATCH(D118,'G-6 Hedgerow Data'!$B$3:$B$15,0),MATCH(H118,'G-6 Hedgerow Data'!$E$2:$I$2,0))))</f>
        <v/>
      </c>
      <c r="P118" s="133"/>
      <c r="Q118" s="133"/>
      <c r="R118" s="283" t="str">
        <f t="shared" si="8"/>
        <v/>
      </c>
      <c r="S118" s="296" t="str">
        <f t="shared" si="9"/>
        <v/>
      </c>
      <c r="T118" s="297" t="str">
        <f t="shared" si="7"/>
        <v/>
      </c>
      <c r="U118" s="311" t="str">
        <f>IF(D118="","",VLOOKUP(D118,'G-6 Hedgerow Data'!$B$3:$AG$15,31,FALSE))</f>
        <v/>
      </c>
      <c r="V118" s="295" t="str">
        <f t="shared" si="10"/>
        <v/>
      </c>
      <c r="W118" s="283" t="str">
        <f t="shared" si="11"/>
        <v/>
      </c>
      <c r="X118" s="299" t="str">
        <f>IF(F118="","",VLOOKUP(U118,'G-3 Multipliers'!$P$3:$Q$6,2,FALSE))</f>
        <v/>
      </c>
      <c r="Y118" s="303" t="str">
        <f t="shared" si="12"/>
        <v/>
      </c>
      <c r="Z118" s="303" t="str">
        <f t="shared" si="13"/>
        <v/>
      </c>
      <c r="AA118" s="101"/>
      <c r="AB118" s="938"/>
      <c r="AC118" s="138"/>
      <c r="AD118" s="138"/>
      <c r="AE118" s="934"/>
      <c r="AH118" s="30" t="str">
        <f>IFERROR(INDEX('G-6 Hedgerow Data'!$BJ$3:$BJ$15,MATCH(D118,'G-6 Hedgerow Data'!$B$3:$B$15,0)),"")</f>
        <v/>
      </c>
    </row>
    <row r="119" spans="2:34" ht="14">
      <c r="B119" s="97">
        <v>108</v>
      </c>
      <c r="C119" s="171"/>
      <c r="D119" s="58"/>
      <c r="E119" s="138"/>
      <c r="F119" s="275" t="str">
        <f>IF(D119="","",VLOOKUP(D119,'G-6 Hedgerow Data'!$B$2:$AG$15,2,FALSE))</f>
        <v/>
      </c>
      <c r="G119" s="299" t="str">
        <f>IF(D119="","",VLOOKUP(D119,'G-6 Hedgerow Data'!$B$2:$AG$15,3,FALSE))</f>
        <v/>
      </c>
      <c r="H119" s="53"/>
      <c r="I119" s="276" t="str">
        <f>IFERROR(IF(H119="","",IF(AND(D119="Non-native and ornamental hedgerow",H119&lt;&gt;"Poor"),"Not possible ▲",(IF(AND(F119="V.Low",OR(H119="Good",H119="Moderate")),"Error ▲",VLOOKUP(H119,'G-1 All Habitats'!$Z$2:$AA$9,2,FALSE))))),"")</f>
        <v/>
      </c>
      <c r="J119" s="102"/>
      <c r="K119" s="295" t="str">
        <f>IF(J119="","",IF(VLOOKUP(J119,'G-3 Multipliers'!$L$3:$N$6,2,FALSE)=0,"Spatial Data Missing",VLOOKUP(J119,'G-3 Multipliers'!$L$3:$N$6,2,FALSE)))</f>
        <v/>
      </c>
      <c r="L119" s="299" t="str">
        <f>IF(J119="","",IF(VLOOKUP(J119,'G-3 Multipliers'!$L$3:$N$6,3,FALSE)=0,"Spatial Data Missing",VLOOKUP(J119,'G-3 Multipliers'!$L$3:$N$6,3,FALSE)))</f>
        <v/>
      </c>
      <c r="M119" s="134"/>
      <c r="N119" s="276" t="str">
        <f>IF(M119="","",IF(VLOOKUP(M119,'G-3 Multipliers'!$S$3:$T$10,2,FALSE)=0,"Spatial Data Missing ⚠",VLOOKUP(M119,'G-3 Multipliers'!$S$3:$T$10,2,FALSE)))</f>
        <v/>
      </c>
      <c r="O119" s="275" t="str">
        <f>IF(OR(D119="",H119=""),"",(INDEX('G-6 Hedgerow Data'!$E$3:$I$15,MATCH(D119,'G-6 Hedgerow Data'!$B$3:$B$15,0),MATCH(H119,'G-6 Hedgerow Data'!$E$2:$I$2,0))))</f>
        <v/>
      </c>
      <c r="P119" s="133"/>
      <c r="Q119" s="133"/>
      <c r="R119" s="283" t="str">
        <f t="shared" si="8"/>
        <v/>
      </c>
      <c r="S119" s="296" t="str">
        <f t="shared" si="9"/>
        <v/>
      </c>
      <c r="T119" s="297" t="str">
        <f t="shared" si="7"/>
        <v/>
      </c>
      <c r="U119" s="311" t="str">
        <f>IF(D119="","",VLOOKUP(D119,'G-6 Hedgerow Data'!$B$3:$AG$15,31,FALSE))</f>
        <v/>
      </c>
      <c r="V119" s="295" t="str">
        <f t="shared" si="10"/>
        <v/>
      </c>
      <c r="W119" s="283" t="str">
        <f t="shared" si="11"/>
        <v/>
      </c>
      <c r="X119" s="299" t="str">
        <f>IF(F119="","",VLOOKUP(U119,'G-3 Multipliers'!$P$3:$Q$6,2,FALSE))</f>
        <v/>
      </c>
      <c r="Y119" s="303" t="str">
        <f t="shared" si="12"/>
        <v/>
      </c>
      <c r="Z119" s="303" t="str">
        <f t="shared" si="13"/>
        <v/>
      </c>
      <c r="AA119" s="101"/>
      <c r="AB119" s="938"/>
      <c r="AC119" s="138"/>
      <c r="AD119" s="138"/>
      <c r="AE119" s="934"/>
      <c r="AH119" s="30" t="str">
        <f>IFERROR(INDEX('G-6 Hedgerow Data'!$BJ$3:$BJ$15,MATCH(D119,'G-6 Hedgerow Data'!$B$3:$B$15,0)),"")</f>
        <v/>
      </c>
    </row>
    <row r="120" spans="2:34" ht="14">
      <c r="B120" s="97">
        <v>109</v>
      </c>
      <c r="C120" s="171"/>
      <c r="D120" s="58"/>
      <c r="E120" s="138"/>
      <c r="F120" s="275" t="str">
        <f>IF(D120="","",VLOOKUP(D120,'G-6 Hedgerow Data'!$B$2:$AG$15,2,FALSE))</f>
        <v/>
      </c>
      <c r="G120" s="299" t="str">
        <f>IF(D120="","",VLOOKUP(D120,'G-6 Hedgerow Data'!$B$2:$AG$15,3,FALSE))</f>
        <v/>
      </c>
      <c r="H120" s="53"/>
      <c r="I120" s="276" t="str">
        <f>IFERROR(IF(H120="","",IF(AND(D120="Non-native and ornamental hedgerow",H120&lt;&gt;"Poor"),"Not possible ▲",(IF(AND(F120="V.Low",OR(H120="Good",H120="Moderate")),"Error ▲",VLOOKUP(H120,'G-1 All Habitats'!$Z$2:$AA$9,2,FALSE))))),"")</f>
        <v/>
      </c>
      <c r="J120" s="102"/>
      <c r="K120" s="295" t="str">
        <f>IF(J120="","",IF(VLOOKUP(J120,'G-3 Multipliers'!$L$3:$N$6,2,FALSE)=0,"Spatial Data Missing",VLOOKUP(J120,'G-3 Multipliers'!$L$3:$N$6,2,FALSE)))</f>
        <v/>
      </c>
      <c r="L120" s="299" t="str">
        <f>IF(J120="","",IF(VLOOKUP(J120,'G-3 Multipliers'!$L$3:$N$6,3,FALSE)=0,"Spatial Data Missing",VLOOKUP(J120,'G-3 Multipliers'!$L$3:$N$6,3,FALSE)))</f>
        <v/>
      </c>
      <c r="M120" s="134"/>
      <c r="N120" s="276" t="str">
        <f>IF(M120="","",IF(VLOOKUP(M120,'G-3 Multipliers'!$S$3:$T$10,2,FALSE)=0,"Spatial Data Missing ⚠",VLOOKUP(M120,'G-3 Multipliers'!$S$3:$T$10,2,FALSE)))</f>
        <v/>
      </c>
      <c r="O120" s="275" t="str">
        <f>IF(OR(D120="",H120=""),"",(INDEX('G-6 Hedgerow Data'!$E$3:$I$15,MATCH(D120,'G-6 Hedgerow Data'!$B$3:$B$15,0),MATCH(H120,'G-6 Hedgerow Data'!$E$2:$I$2,0))))</f>
        <v/>
      </c>
      <c r="P120" s="133"/>
      <c r="Q120" s="133"/>
      <c r="R120" s="283" t="str">
        <f t="shared" si="8"/>
        <v/>
      </c>
      <c r="S120" s="296" t="str">
        <f t="shared" si="9"/>
        <v/>
      </c>
      <c r="T120" s="297" t="str">
        <f t="shared" si="7"/>
        <v/>
      </c>
      <c r="U120" s="311" t="str">
        <f>IF(D120="","",VLOOKUP(D120,'G-6 Hedgerow Data'!$B$3:$AG$15,31,FALSE))</f>
        <v/>
      </c>
      <c r="V120" s="295" t="str">
        <f t="shared" si="10"/>
        <v/>
      </c>
      <c r="W120" s="283" t="str">
        <f t="shared" si="11"/>
        <v/>
      </c>
      <c r="X120" s="299" t="str">
        <f>IF(F120="","",VLOOKUP(U120,'G-3 Multipliers'!$P$3:$Q$6,2,FALSE))</f>
        <v/>
      </c>
      <c r="Y120" s="303" t="str">
        <f t="shared" si="12"/>
        <v/>
      </c>
      <c r="Z120" s="303" t="str">
        <f t="shared" si="13"/>
        <v/>
      </c>
      <c r="AA120" s="101"/>
      <c r="AB120" s="938"/>
      <c r="AC120" s="138"/>
      <c r="AD120" s="138"/>
      <c r="AE120" s="934"/>
      <c r="AH120" s="30" t="str">
        <f>IFERROR(INDEX('G-6 Hedgerow Data'!$BJ$3:$BJ$15,MATCH(D120,'G-6 Hedgerow Data'!$B$3:$B$15,0)),"")</f>
        <v/>
      </c>
    </row>
    <row r="121" spans="2:34" ht="14">
      <c r="B121" s="97">
        <v>110</v>
      </c>
      <c r="C121" s="171"/>
      <c r="D121" s="58"/>
      <c r="E121" s="138"/>
      <c r="F121" s="275" t="str">
        <f>IF(D121="","",VLOOKUP(D121,'G-6 Hedgerow Data'!$B$2:$AG$15,2,FALSE))</f>
        <v/>
      </c>
      <c r="G121" s="299" t="str">
        <f>IF(D121="","",VLOOKUP(D121,'G-6 Hedgerow Data'!$B$2:$AG$15,3,FALSE))</f>
        <v/>
      </c>
      <c r="H121" s="53"/>
      <c r="I121" s="276" t="str">
        <f>IFERROR(IF(H121="","",IF(AND(D121="Non-native and ornamental hedgerow",H121&lt;&gt;"Poor"),"Not possible ▲",(IF(AND(F121="V.Low",OR(H121="Good",H121="Moderate")),"Error ▲",VLOOKUP(H121,'G-1 All Habitats'!$Z$2:$AA$9,2,FALSE))))),"")</f>
        <v/>
      </c>
      <c r="J121" s="102"/>
      <c r="K121" s="295" t="str">
        <f>IF(J121="","",IF(VLOOKUP(J121,'G-3 Multipliers'!$L$3:$N$6,2,FALSE)=0,"Spatial Data Missing",VLOOKUP(J121,'G-3 Multipliers'!$L$3:$N$6,2,FALSE)))</f>
        <v/>
      </c>
      <c r="L121" s="299" t="str">
        <f>IF(J121="","",IF(VLOOKUP(J121,'G-3 Multipliers'!$L$3:$N$6,3,FALSE)=0,"Spatial Data Missing",VLOOKUP(J121,'G-3 Multipliers'!$L$3:$N$6,3,FALSE)))</f>
        <v/>
      </c>
      <c r="M121" s="134"/>
      <c r="N121" s="276" t="str">
        <f>IF(M121="","",IF(VLOOKUP(M121,'G-3 Multipliers'!$S$3:$T$10,2,FALSE)=0,"Spatial Data Missing ⚠",VLOOKUP(M121,'G-3 Multipliers'!$S$3:$T$10,2,FALSE)))</f>
        <v/>
      </c>
      <c r="O121" s="275" t="str">
        <f>IF(OR(D121="",H121=""),"",(INDEX('G-6 Hedgerow Data'!$E$3:$I$15,MATCH(D121,'G-6 Hedgerow Data'!$B$3:$B$15,0),MATCH(H121,'G-6 Hedgerow Data'!$E$2:$I$2,0))))</f>
        <v/>
      </c>
      <c r="P121" s="133"/>
      <c r="Q121" s="133"/>
      <c r="R121" s="283" t="str">
        <f t="shared" si="8"/>
        <v/>
      </c>
      <c r="S121" s="296" t="str">
        <f t="shared" si="9"/>
        <v/>
      </c>
      <c r="T121" s="297" t="str">
        <f t="shared" si="7"/>
        <v/>
      </c>
      <c r="U121" s="311" t="str">
        <f>IF(D121="","",VLOOKUP(D121,'G-6 Hedgerow Data'!$B$3:$AG$15,31,FALSE))</f>
        <v/>
      </c>
      <c r="V121" s="295" t="str">
        <f t="shared" si="10"/>
        <v/>
      </c>
      <c r="W121" s="283" t="str">
        <f t="shared" si="11"/>
        <v/>
      </c>
      <c r="X121" s="299" t="str">
        <f>IF(F121="","",VLOOKUP(U121,'G-3 Multipliers'!$P$3:$Q$6,2,FALSE))</f>
        <v/>
      </c>
      <c r="Y121" s="303" t="str">
        <f t="shared" si="12"/>
        <v/>
      </c>
      <c r="Z121" s="303" t="str">
        <f t="shared" si="13"/>
        <v/>
      </c>
      <c r="AA121" s="101"/>
      <c r="AB121" s="938"/>
      <c r="AC121" s="138"/>
      <c r="AD121" s="138"/>
      <c r="AE121" s="934"/>
      <c r="AH121" s="30" t="str">
        <f>IFERROR(INDEX('G-6 Hedgerow Data'!$BJ$3:$BJ$15,MATCH(D121,'G-6 Hedgerow Data'!$B$3:$B$15,0)),"")</f>
        <v/>
      </c>
    </row>
    <row r="122" spans="2:34" ht="14">
      <c r="B122" s="97">
        <v>111</v>
      </c>
      <c r="C122" s="171"/>
      <c r="D122" s="58"/>
      <c r="E122" s="138"/>
      <c r="F122" s="275" t="str">
        <f>IF(D122="","",VLOOKUP(D122,'G-6 Hedgerow Data'!$B$2:$AG$15,2,FALSE))</f>
        <v/>
      </c>
      <c r="G122" s="299" t="str">
        <f>IF(D122="","",VLOOKUP(D122,'G-6 Hedgerow Data'!$B$2:$AG$15,3,FALSE))</f>
        <v/>
      </c>
      <c r="H122" s="53"/>
      <c r="I122" s="276" t="str">
        <f>IFERROR(IF(H122="","",IF(AND(D122="Non-native and ornamental hedgerow",H122&lt;&gt;"Poor"),"Not possible ▲",(IF(AND(F122="V.Low",OR(H122="Good",H122="Moderate")),"Error ▲",VLOOKUP(H122,'G-1 All Habitats'!$Z$2:$AA$9,2,FALSE))))),"")</f>
        <v/>
      </c>
      <c r="J122" s="102"/>
      <c r="K122" s="295" t="str">
        <f>IF(J122="","",IF(VLOOKUP(J122,'G-3 Multipliers'!$L$3:$N$6,2,FALSE)=0,"Spatial Data Missing",VLOOKUP(J122,'G-3 Multipliers'!$L$3:$N$6,2,FALSE)))</f>
        <v/>
      </c>
      <c r="L122" s="299" t="str">
        <f>IF(J122="","",IF(VLOOKUP(J122,'G-3 Multipliers'!$L$3:$N$6,3,FALSE)=0,"Spatial Data Missing",VLOOKUP(J122,'G-3 Multipliers'!$L$3:$N$6,3,FALSE)))</f>
        <v/>
      </c>
      <c r="M122" s="134"/>
      <c r="N122" s="276" t="str">
        <f>IF(M122="","",IF(VLOOKUP(M122,'G-3 Multipliers'!$S$3:$T$10,2,FALSE)=0,"Spatial Data Missing ⚠",VLOOKUP(M122,'G-3 Multipliers'!$S$3:$T$10,2,FALSE)))</f>
        <v/>
      </c>
      <c r="O122" s="275" t="str">
        <f>IF(OR(D122="",H122=""),"",(INDEX('G-6 Hedgerow Data'!$E$3:$I$15,MATCH(D122,'G-6 Hedgerow Data'!$B$3:$B$15,0),MATCH(H122,'G-6 Hedgerow Data'!$E$2:$I$2,0))))</f>
        <v/>
      </c>
      <c r="P122" s="133"/>
      <c r="Q122" s="133"/>
      <c r="R122" s="283" t="str">
        <f t="shared" si="8"/>
        <v/>
      </c>
      <c r="S122" s="296" t="str">
        <f t="shared" si="9"/>
        <v/>
      </c>
      <c r="T122" s="297" t="str">
        <f t="shared" si="7"/>
        <v/>
      </c>
      <c r="U122" s="311" t="str">
        <f>IF(D122="","",VLOOKUP(D122,'G-6 Hedgerow Data'!$B$3:$AG$15,31,FALSE))</f>
        <v/>
      </c>
      <c r="V122" s="295" t="str">
        <f t="shared" si="10"/>
        <v/>
      </c>
      <c r="W122" s="283" t="str">
        <f t="shared" si="11"/>
        <v/>
      </c>
      <c r="X122" s="299" t="str">
        <f>IF(F122="","",VLOOKUP(U122,'G-3 Multipliers'!$P$3:$Q$6,2,FALSE))</f>
        <v/>
      </c>
      <c r="Y122" s="303" t="str">
        <f t="shared" si="12"/>
        <v/>
      </c>
      <c r="Z122" s="303" t="str">
        <f t="shared" si="13"/>
        <v/>
      </c>
      <c r="AA122" s="101"/>
      <c r="AB122" s="938"/>
      <c r="AC122" s="138"/>
      <c r="AD122" s="138"/>
      <c r="AE122" s="934"/>
      <c r="AH122" s="30" t="str">
        <f>IFERROR(INDEX('G-6 Hedgerow Data'!$BJ$3:$BJ$15,MATCH(D122,'G-6 Hedgerow Data'!$B$3:$B$15,0)),"")</f>
        <v/>
      </c>
    </row>
    <row r="123" spans="2:34" ht="14">
      <c r="B123" s="97">
        <v>112</v>
      </c>
      <c r="C123" s="171"/>
      <c r="D123" s="58"/>
      <c r="E123" s="138"/>
      <c r="F123" s="275" t="str">
        <f>IF(D123="","",VLOOKUP(D123,'G-6 Hedgerow Data'!$B$2:$AG$15,2,FALSE))</f>
        <v/>
      </c>
      <c r="G123" s="299" t="str">
        <f>IF(D123="","",VLOOKUP(D123,'G-6 Hedgerow Data'!$B$2:$AG$15,3,FALSE))</f>
        <v/>
      </c>
      <c r="H123" s="53"/>
      <c r="I123" s="276" t="str">
        <f>IFERROR(IF(H123="","",IF(AND(D123="Non-native and ornamental hedgerow",H123&lt;&gt;"Poor"),"Not possible ▲",(IF(AND(F123="V.Low",OR(H123="Good",H123="Moderate")),"Error ▲",VLOOKUP(H123,'G-1 All Habitats'!$Z$2:$AA$9,2,FALSE))))),"")</f>
        <v/>
      </c>
      <c r="J123" s="102"/>
      <c r="K123" s="295" t="str">
        <f>IF(J123="","",IF(VLOOKUP(J123,'G-3 Multipliers'!$L$3:$N$6,2,FALSE)=0,"Spatial Data Missing",VLOOKUP(J123,'G-3 Multipliers'!$L$3:$N$6,2,FALSE)))</f>
        <v/>
      </c>
      <c r="L123" s="299" t="str">
        <f>IF(J123="","",IF(VLOOKUP(J123,'G-3 Multipliers'!$L$3:$N$6,3,FALSE)=0,"Spatial Data Missing",VLOOKUP(J123,'G-3 Multipliers'!$L$3:$N$6,3,FALSE)))</f>
        <v/>
      </c>
      <c r="M123" s="134"/>
      <c r="N123" s="276" t="str">
        <f>IF(M123="","",IF(VLOOKUP(M123,'G-3 Multipliers'!$S$3:$T$10,2,FALSE)=0,"Spatial Data Missing ⚠",VLOOKUP(M123,'G-3 Multipliers'!$S$3:$T$10,2,FALSE)))</f>
        <v/>
      </c>
      <c r="O123" s="275" t="str">
        <f>IF(OR(D123="",H123=""),"",(INDEX('G-6 Hedgerow Data'!$E$3:$I$15,MATCH(D123,'G-6 Hedgerow Data'!$B$3:$B$15,0),MATCH(H123,'G-6 Hedgerow Data'!$E$2:$I$2,0))))</f>
        <v/>
      </c>
      <c r="P123" s="133"/>
      <c r="Q123" s="133"/>
      <c r="R123" s="283" t="str">
        <f t="shared" si="8"/>
        <v/>
      </c>
      <c r="S123" s="296" t="str">
        <f t="shared" si="9"/>
        <v/>
      </c>
      <c r="T123" s="297" t="str">
        <f t="shared" si="7"/>
        <v/>
      </c>
      <c r="U123" s="311" t="str">
        <f>IF(D123="","",VLOOKUP(D123,'G-6 Hedgerow Data'!$B$3:$AG$15,31,FALSE))</f>
        <v/>
      </c>
      <c r="V123" s="295" t="str">
        <f t="shared" si="10"/>
        <v/>
      </c>
      <c r="W123" s="283" t="str">
        <f t="shared" si="11"/>
        <v/>
      </c>
      <c r="X123" s="299" t="str">
        <f>IF(F123="","",VLOOKUP(U123,'G-3 Multipliers'!$P$3:$Q$6,2,FALSE))</f>
        <v/>
      </c>
      <c r="Y123" s="303" t="str">
        <f t="shared" si="12"/>
        <v/>
      </c>
      <c r="Z123" s="303" t="str">
        <f t="shared" si="13"/>
        <v/>
      </c>
      <c r="AA123" s="101"/>
      <c r="AB123" s="938"/>
      <c r="AC123" s="138"/>
      <c r="AD123" s="138"/>
      <c r="AE123" s="934"/>
      <c r="AH123" s="30" t="str">
        <f>IFERROR(INDEX('G-6 Hedgerow Data'!$BJ$3:$BJ$15,MATCH(D123,'G-6 Hedgerow Data'!$B$3:$B$15,0)),"")</f>
        <v/>
      </c>
    </row>
    <row r="124" spans="2:34" ht="14">
      <c r="B124" s="97">
        <v>113</v>
      </c>
      <c r="C124" s="171"/>
      <c r="D124" s="58"/>
      <c r="E124" s="138"/>
      <c r="F124" s="275" t="str">
        <f>IF(D124="","",VLOOKUP(D124,'G-6 Hedgerow Data'!$B$2:$AG$15,2,FALSE))</f>
        <v/>
      </c>
      <c r="G124" s="299" t="str">
        <f>IF(D124="","",VLOOKUP(D124,'G-6 Hedgerow Data'!$B$2:$AG$15,3,FALSE))</f>
        <v/>
      </c>
      <c r="H124" s="53"/>
      <c r="I124" s="276" t="str">
        <f>IFERROR(IF(H124="","",IF(AND(D124="Non-native and ornamental hedgerow",H124&lt;&gt;"Poor"),"Not possible ▲",(IF(AND(F124="V.Low",OR(H124="Good",H124="Moderate")),"Error ▲",VLOOKUP(H124,'G-1 All Habitats'!$Z$2:$AA$9,2,FALSE))))),"")</f>
        <v/>
      </c>
      <c r="J124" s="102"/>
      <c r="K124" s="295" t="str">
        <f>IF(J124="","",IF(VLOOKUP(J124,'G-3 Multipliers'!$L$3:$N$6,2,FALSE)=0,"Spatial Data Missing",VLOOKUP(J124,'G-3 Multipliers'!$L$3:$N$6,2,FALSE)))</f>
        <v/>
      </c>
      <c r="L124" s="299" t="str">
        <f>IF(J124="","",IF(VLOOKUP(J124,'G-3 Multipliers'!$L$3:$N$6,3,FALSE)=0,"Spatial Data Missing",VLOOKUP(J124,'G-3 Multipliers'!$L$3:$N$6,3,FALSE)))</f>
        <v/>
      </c>
      <c r="M124" s="134"/>
      <c r="N124" s="276" t="str">
        <f>IF(M124="","",IF(VLOOKUP(M124,'G-3 Multipliers'!$S$3:$T$10,2,FALSE)=0,"Spatial Data Missing ⚠",VLOOKUP(M124,'G-3 Multipliers'!$S$3:$T$10,2,FALSE)))</f>
        <v/>
      </c>
      <c r="O124" s="275" t="str">
        <f>IF(OR(D124="",H124=""),"",(INDEX('G-6 Hedgerow Data'!$E$3:$I$15,MATCH(D124,'G-6 Hedgerow Data'!$B$3:$B$15,0),MATCH(H124,'G-6 Hedgerow Data'!$E$2:$I$2,0))))</f>
        <v/>
      </c>
      <c r="P124" s="133"/>
      <c r="Q124" s="133"/>
      <c r="R124" s="283" t="str">
        <f t="shared" si="8"/>
        <v/>
      </c>
      <c r="S124" s="296" t="str">
        <f t="shared" si="9"/>
        <v/>
      </c>
      <c r="T124" s="297" t="str">
        <f t="shared" si="7"/>
        <v/>
      </c>
      <c r="U124" s="311" t="str">
        <f>IF(D124="","",VLOOKUP(D124,'G-6 Hedgerow Data'!$B$3:$AG$15,31,FALSE))</f>
        <v/>
      </c>
      <c r="V124" s="295" t="str">
        <f t="shared" si="10"/>
        <v/>
      </c>
      <c r="W124" s="283" t="str">
        <f t="shared" si="11"/>
        <v/>
      </c>
      <c r="X124" s="299" t="str">
        <f>IF(F124="","",VLOOKUP(U124,'G-3 Multipliers'!$P$3:$Q$6,2,FALSE))</f>
        <v/>
      </c>
      <c r="Y124" s="303" t="str">
        <f t="shared" si="12"/>
        <v/>
      </c>
      <c r="Z124" s="303" t="str">
        <f t="shared" si="13"/>
        <v/>
      </c>
      <c r="AA124" s="101"/>
      <c r="AB124" s="938"/>
      <c r="AC124" s="138"/>
      <c r="AD124" s="138"/>
      <c r="AE124" s="934"/>
      <c r="AH124" s="30" t="str">
        <f>IFERROR(INDEX('G-6 Hedgerow Data'!$BJ$3:$BJ$15,MATCH(D124,'G-6 Hedgerow Data'!$B$3:$B$15,0)),"")</f>
        <v/>
      </c>
    </row>
    <row r="125" spans="2:34" ht="14">
      <c r="B125" s="97">
        <v>114</v>
      </c>
      <c r="C125" s="171"/>
      <c r="D125" s="58"/>
      <c r="E125" s="138"/>
      <c r="F125" s="275" t="str">
        <f>IF(D125="","",VLOOKUP(D125,'G-6 Hedgerow Data'!$B$2:$AG$15,2,FALSE))</f>
        <v/>
      </c>
      <c r="G125" s="299" t="str">
        <f>IF(D125="","",VLOOKUP(D125,'G-6 Hedgerow Data'!$B$2:$AG$15,3,FALSE))</f>
        <v/>
      </c>
      <c r="H125" s="53"/>
      <c r="I125" s="276" t="str">
        <f>IFERROR(IF(H125="","",IF(AND(D125="Non-native and ornamental hedgerow",H125&lt;&gt;"Poor"),"Not possible ▲",(IF(AND(F125="V.Low",OR(H125="Good",H125="Moderate")),"Error ▲",VLOOKUP(H125,'G-1 All Habitats'!$Z$2:$AA$9,2,FALSE))))),"")</f>
        <v/>
      </c>
      <c r="J125" s="102"/>
      <c r="K125" s="295" t="str">
        <f>IF(J125="","",IF(VLOOKUP(J125,'G-3 Multipliers'!$L$3:$N$6,2,FALSE)=0,"Spatial Data Missing",VLOOKUP(J125,'G-3 Multipliers'!$L$3:$N$6,2,FALSE)))</f>
        <v/>
      </c>
      <c r="L125" s="299" t="str">
        <f>IF(J125="","",IF(VLOOKUP(J125,'G-3 Multipliers'!$L$3:$N$6,3,FALSE)=0,"Spatial Data Missing",VLOOKUP(J125,'G-3 Multipliers'!$L$3:$N$6,3,FALSE)))</f>
        <v/>
      </c>
      <c r="M125" s="134"/>
      <c r="N125" s="276" t="str">
        <f>IF(M125="","",IF(VLOOKUP(M125,'G-3 Multipliers'!$S$3:$T$10,2,FALSE)=0,"Spatial Data Missing ⚠",VLOOKUP(M125,'G-3 Multipliers'!$S$3:$T$10,2,FALSE)))</f>
        <v/>
      </c>
      <c r="O125" s="275" t="str">
        <f>IF(OR(D125="",H125=""),"",(INDEX('G-6 Hedgerow Data'!$E$3:$I$15,MATCH(D125,'G-6 Hedgerow Data'!$B$3:$B$15,0),MATCH(H125,'G-6 Hedgerow Data'!$E$2:$I$2,0))))</f>
        <v/>
      </c>
      <c r="P125" s="133"/>
      <c r="Q125" s="133"/>
      <c r="R125" s="283" t="str">
        <f t="shared" si="8"/>
        <v/>
      </c>
      <c r="S125" s="296" t="str">
        <f t="shared" si="9"/>
        <v/>
      </c>
      <c r="T125" s="297" t="str">
        <f t="shared" si="7"/>
        <v/>
      </c>
      <c r="U125" s="311" t="str">
        <f>IF(D125="","",VLOOKUP(D125,'G-6 Hedgerow Data'!$B$3:$AG$15,31,FALSE))</f>
        <v/>
      </c>
      <c r="V125" s="295" t="str">
        <f t="shared" si="10"/>
        <v/>
      </c>
      <c r="W125" s="283" t="str">
        <f t="shared" si="11"/>
        <v/>
      </c>
      <c r="X125" s="299" t="str">
        <f>IF(F125="","",VLOOKUP(U125,'G-3 Multipliers'!$P$3:$Q$6,2,FALSE))</f>
        <v/>
      </c>
      <c r="Y125" s="303" t="str">
        <f t="shared" si="12"/>
        <v/>
      </c>
      <c r="Z125" s="303" t="str">
        <f t="shared" si="13"/>
        <v/>
      </c>
      <c r="AA125" s="101"/>
      <c r="AB125" s="938"/>
      <c r="AC125" s="138"/>
      <c r="AD125" s="138"/>
      <c r="AE125" s="934"/>
      <c r="AH125" s="30" t="str">
        <f>IFERROR(INDEX('G-6 Hedgerow Data'!$BJ$3:$BJ$15,MATCH(D125,'G-6 Hedgerow Data'!$B$3:$B$15,0)),"")</f>
        <v/>
      </c>
    </row>
    <row r="126" spans="2:34" ht="14">
      <c r="B126" s="97">
        <v>115</v>
      </c>
      <c r="C126" s="171"/>
      <c r="D126" s="58"/>
      <c r="E126" s="138"/>
      <c r="F126" s="275" t="str">
        <f>IF(D126="","",VLOOKUP(D126,'G-6 Hedgerow Data'!$B$2:$AG$15,2,FALSE))</f>
        <v/>
      </c>
      <c r="G126" s="299" t="str">
        <f>IF(D126="","",VLOOKUP(D126,'G-6 Hedgerow Data'!$B$2:$AG$15,3,FALSE))</f>
        <v/>
      </c>
      <c r="H126" s="53"/>
      <c r="I126" s="276" t="str">
        <f>IFERROR(IF(H126="","",IF(AND(D126="Non-native and ornamental hedgerow",H126&lt;&gt;"Poor"),"Not possible ▲",(IF(AND(F126="V.Low",OR(H126="Good",H126="Moderate")),"Error ▲",VLOOKUP(H126,'G-1 All Habitats'!$Z$2:$AA$9,2,FALSE))))),"")</f>
        <v/>
      </c>
      <c r="J126" s="102"/>
      <c r="K126" s="295" t="str">
        <f>IF(J126="","",IF(VLOOKUP(J126,'G-3 Multipliers'!$L$3:$N$6,2,FALSE)=0,"Spatial Data Missing",VLOOKUP(J126,'G-3 Multipliers'!$L$3:$N$6,2,FALSE)))</f>
        <v/>
      </c>
      <c r="L126" s="299" t="str">
        <f>IF(J126="","",IF(VLOOKUP(J126,'G-3 Multipliers'!$L$3:$N$6,3,FALSE)=0,"Spatial Data Missing",VLOOKUP(J126,'G-3 Multipliers'!$L$3:$N$6,3,FALSE)))</f>
        <v/>
      </c>
      <c r="M126" s="134"/>
      <c r="N126" s="276" t="str">
        <f>IF(M126="","",IF(VLOOKUP(M126,'G-3 Multipliers'!$S$3:$T$10,2,FALSE)=0,"Spatial Data Missing ⚠",VLOOKUP(M126,'G-3 Multipliers'!$S$3:$T$10,2,FALSE)))</f>
        <v/>
      </c>
      <c r="O126" s="275" t="str">
        <f>IF(OR(D126="",H126=""),"",(INDEX('G-6 Hedgerow Data'!$E$3:$I$15,MATCH(D126,'G-6 Hedgerow Data'!$B$3:$B$15,0),MATCH(H126,'G-6 Hedgerow Data'!$E$2:$I$2,0))))</f>
        <v/>
      </c>
      <c r="P126" s="133"/>
      <c r="Q126" s="133"/>
      <c r="R126" s="283" t="str">
        <f t="shared" si="8"/>
        <v/>
      </c>
      <c r="S126" s="296" t="str">
        <f t="shared" si="9"/>
        <v/>
      </c>
      <c r="T126" s="297" t="str">
        <f t="shared" si="7"/>
        <v/>
      </c>
      <c r="U126" s="311" t="str">
        <f>IF(D126="","",VLOOKUP(D126,'G-6 Hedgerow Data'!$B$3:$AG$15,31,FALSE))</f>
        <v/>
      </c>
      <c r="V126" s="295" t="str">
        <f t="shared" si="10"/>
        <v/>
      </c>
      <c r="W126" s="283" t="str">
        <f t="shared" si="11"/>
        <v/>
      </c>
      <c r="X126" s="299" t="str">
        <f>IF(F126="","",VLOOKUP(U126,'G-3 Multipliers'!$P$3:$Q$6,2,FALSE))</f>
        <v/>
      </c>
      <c r="Y126" s="303" t="str">
        <f t="shared" si="12"/>
        <v/>
      </c>
      <c r="Z126" s="303" t="str">
        <f t="shared" si="13"/>
        <v/>
      </c>
      <c r="AA126" s="101"/>
      <c r="AB126" s="938"/>
      <c r="AC126" s="138"/>
      <c r="AD126" s="138"/>
      <c r="AE126" s="934"/>
      <c r="AH126" s="30" t="str">
        <f>IFERROR(INDEX('G-6 Hedgerow Data'!$BJ$3:$BJ$15,MATCH(D126,'G-6 Hedgerow Data'!$B$3:$B$15,0)),"")</f>
        <v/>
      </c>
    </row>
    <row r="127" spans="2:34" ht="14">
      <c r="B127" s="97">
        <v>116</v>
      </c>
      <c r="C127" s="171"/>
      <c r="D127" s="58"/>
      <c r="E127" s="138"/>
      <c r="F127" s="275" t="str">
        <f>IF(D127="","",VLOOKUP(D127,'G-6 Hedgerow Data'!$B$2:$AG$15,2,FALSE))</f>
        <v/>
      </c>
      <c r="G127" s="299" t="str">
        <f>IF(D127="","",VLOOKUP(D127,'G-6 Hedgerow Data'!$B$2:$AG$15,3,FALSE))</f>
        <v/>
      </c>
      <c r="H127" s="53"/>
      <c r="I127" s="276" t="str">
        <f>IFERROR(IF(H127="","",IF(AND(D127="Non-native and ornamental hedgerow",H127&lt;&gt;"Poor"),"Not possible ▲",(IF(AND(F127="V.Low",OR(H127="Good",H127="Moderate")),"Error ▲",VLOOKUP(H127,'G-1 All Habitats'!$Z$2:$AA$9,2,FALSE))))),"")</f>
        <v/>
      </c>
      <c r="J127" s="102"/>
      <c r="K127" s="295" t="str">
        <f>IF(J127="","",IF(VLOOKUP(J127,'G-3 Multipliers'!$L$3:$N$6,2,FALSE)=0,"Spatial Data Missing",VLOOKUP(J127,'G-3 Multipliers'!$L$3:$N$6,2,FALSE)))</f>
        <v/>
      </c>
      <c r="L127" s="299" t="str">
        <f>IF(J127="","",IF(VLOOKUP(J127,'G-3 Multipliers'!$L$3:$N$6,3,FALSE)=0,"Spatial Data Missing",VLOOKUP(J127,'G-3 Multipliers'!$L$3:$N$6,3,FALSE)))</f>
        <v/>
      </c>
      <c r="M127" s="134"/>
      <c r="N127" s="276" t="str">
        <f>IF(M127="","",IF(VLOOKUP(M127,'G-3 Multipliers'!$S$3:$T$10,2,FALSE)=0,"Spatial Data Missing ⚠",VLOOKUP(M127,'G-3 Multipliers'!$S$3:$T$10,2,FALSE)))</f>
        <v/>
      </c>
      <c r="O127" s="275" t="str">
        <f>IF(OR(D127="",H127=""),"",(INDEX('G-6 Hedgerow Data'!$E$3:$I$15,MATCH(D127,'G-6 Hedgerow Data'!$B$3:$B$15,0),MATCH(H127,'G-6 Hedgerow Data'!$E$2:$I$2,0))))</f>
        <v/>
      </c>
      <c r="P127" s="133"/>
      <c r="Q127" s="133"/>
      <c r="R127" s="283" t="str">
        <f t="shared" si="8"/>
        <v/>
      </c>
      <c r="S127" s="296" t="str">
        <f t="shared" si="9"/>
        <v/>
      </c>
      <c r="T127" s="297" t="str">
        <f t="shared" si="7"/>
        <v/>
      </c>
      <c r="U127" s="311" t="str">
        <f>IF(D127="","",VLOOKUP(D127,'G-6 Hedgerow Data'!$B$3:$AG$15,31,FALSE))</f>
        <v/>
      </c>
      <c r="V127" s="295" t="str">
        <f t="shared" si="10"/>
        <v/>
      </c>
      <c r="W127" s="283" t="str">
        <f t="shared" si="11"/>
        <v/>
      </c>
      <c r="X127" s="299" t="str">
        <f>IF(F127="","",VLOOKUP(U127,'G-3 Multipliers'!$P$3:$Q$6,2,FALSE))</f>
        <v/>
      </c>
      <c r="Y127" s="303" t="str">
        <f t="shared" si="12"/>
        <v/>
      </c>
      <c r="Z127" s="303" t="str">
        <f t="shared" si="13"/>
        <v/>
      </c>
      <c r="AA127" s="101"/>
      <c r="AB127" s="938"/>
      <c r="AC127" s="138"/>
      <c r="AD127" s="138"/>
      <c r="AE127" s="934"/>
      <c r="AH127" s="30" t="str">
        <f>IFERROR(INDEX('G-6 Hedgerow Data'!$BJ$3:$BJ$15,MATCH(D127,'G-6 Hedgerow Data'!$B$3:$B$15,0)),"")</f>
        <v/>
      </c>
    </row>
    <row r="128" spans="2:34" ht="14">
      <c r="B128" s="97">
        <v>117</v>
      </c>
      <c r="C128" s="171"/>
      <c r="D128" s="58"/>
      <c r="E128" s="138"/>
      <c r="F128" s="275" t="str">
        <f>IF(D128="","",VLOOKUP(D128,'G-6 Hedgerow Data'!$B$2:$AG$15,2,FALSE))</f>
        <v/>
      </c>
      <c r="G128" s="299" t="str">
        <f>IF(D128="","",VLOOKUP(D128,'G-6 Hedgerow Data'!$B$2:$AG$15,3,FALSE))</f>
        <v/>
      </c>
      <c r="H128" s="53"/>
      <c r="I128" s="276" t="str">
        <f>IFERROR(IF(H128="","",IF(AND(D128="Non-native and ornamental hedgerow",H128&lt;&gt;"Poor"),"Not possible ▲",(IF(AND(F128="V.Low",OR(H128="Good",H128="Moderate")),"Error ▲",VLOOKUP(H128,'G-1 All Habitats'!$Z$2:$AA$9,2,FALSE))))),"")</f>
        <v/>
      </c>
      <c r="J128" s="102"/>
      <c r="K128" s="295" t="str">
        <f>IF(J128="","",IF(VLOOKUP(J128,'G-3 Multipliers'!$L$3:$N$6,2,FALSE)=0,"Spatial Data Missing",VLOOKUP(J128,'G-3 Multipliers'!$L$3:$N$6,2,FALSE)))</f>
        <v/>
      </c>
      <c r="L128" s="299" t="str">
        <f>IF(J128="","",IF(VLOOKUP(J128,'G-3 Multipliers'!$L$3:$N$6,3,FALSE)=0,"Spatial Data Missing",VLOOKUP(J128,'G-3 Multipliers'!$L$3:$N$6,3,FALSE)))</f>
        <v/>
      </c>
      <c r="M128" s="134"/>
      <c r="N128" s="276" t="str">
        <f>IF(M128="","",IF(VLOOKUP(M128,'G-3 Multipliers'!$S$3:$T$10,2,FALSE)=0,"Spatial Data Missing ⚠",VLOOKUP(M128,'G-3 Multipliers'!$S$3:$T$10,2,FALSE)))</f>
        <v/>
      </c>
      <c r="O128" s="275" t="str">
        <f>IF(OR(D128="",H128=""),"",(INDEX('G-6 Hedgerow Data'!$E$3:$I$15,MATCH(D128,'G-6 Hedgerow Data'!$B$3:$B$15,0),MATCH(H128,'G-6 Hedgerow Data'!$E$2:$I$2,0))))</f>
        <v/>
      </c>
      <c r="P128" s="133"/>
      <c r="Q128" s="133"/>
      <c r="R128" s="283" t="str">
        <f t="shared" si="8"/>
        <v/>
      </c>
      <c r="S128" s="296" t="str">
        <f t="shared" si="9"/>
        <v/>
      </c>
      <c r="T128" s="297" t="str">
        <f t="shared" si="7"/>
        <v/>
      </c>
      <c r="U128" s="311" t="str">
        <f>IF(D128="","",VLOOKUP(D128,'G-6 Hedgerow Data'!$B$3:$AG$15,31,FALSE))</f>
        <v/>
      </c>
      <c r="V128" s="295" t="str">
        <f t="shared" si="10"/>
        <v/>
      </c>
      <c r="W128" s="283" t="str">
        <f t="shared" si="11"/>
        <v/>
      </c>
      <c r="X128" s="299" t="str">
        <f>IF(F128="","",VLOOKUP(U128,'G-3 Multipliers'!$P$3:$Q$6,2,FALSE))</f>
        <v/>
      </c>
      <c r="Y128" s="303" t="str">
        <f t="shared" si="12"/>
        <v/>
      </c>
      <c r="Z128" s="303" t="str">
        <f t="shared" si="13"/>
        <v/>
      </c>
      <c r="AA128" s="101"/>
      <c r="AB128" s="938"/>
      <c r="AC128" s="138"/>
      <c r="AD128" s="138"/>
      <c r="AE128" s="934"/>
      <c r="AH128" s="30" t="str">
        <f>IFERROR(INDEX('G-6 Hedgerow Data'!$BJ$3:$BJ$15,MATCH(D128,'G-6 Hedgerow Data'!$B$3:$B$15,0)),"")</f>
        <v/>
      </c>
    </row>
    <row r="129" spans="2:34" ht="14">
      <c r="B129" s="97">
        <v>118</v>
      </c>
      <c r="C129" s="171"/>
      <c r="D129" s="58"/>
      <c r="E129" s="138"/>
      <c r="F129" s="275" t="str">
        <f>IF(D129="","",VLOOKUP(D129,'G-6 Hedgerow Data'!$B$2:$AG$15,2,FALSE))</f>
        <v/>
      </c>
      <c r="G129" s="299" t="str">
        <f>IF(D129="","",VLOOKUP(D129,'G-6 Hedgerow Data'!$B$2:$AG$15,3,FALSE))</f>
        <v/>
      </c>
      <c r="H129" s="53"/>
      <c r="I129" s="276" t="str">
        <f>IFERROR(IF(H129="","",IF(AND(D129="Non-native and ornamental hedgerow",H129&lt;&gt;"Poor"),"Not possible ▲",(IF(AND(F129="V.Low",OR(H129="Good",H129="Moderate")),"Error ▲",VLOOKUP(H129,'G-1 All Habitats'!$Z$2:$AA$9,2,FALSE))))),"")</f>
        <v/>
      </c>
      <c r="J129" s="102"/>
      <c r="K129" s="295" t="str">
        <f>IF(J129="","",IF(VLOOKUP(J129,'G-3 Multipliers'!$L$3:$N$6,2,FALSE)=0,"Spatial Data Missing",VLOOKUP(J129,'G-3 Multipliers'!$L$3:$N$6,2,FALSE)))</f>
        <v/>
      </c>
      <c r="L129" s="299" t="str">
        <f>IF(J129="","",IF(VLOOKUP(J129,'G-3 Multipliers'!$L$3:$N$6,3,FALSE)=0,"Spatial Data Missing",VLOOKUP(J129,'G-3 Multipliers'!$L$3:$N$6,3,FALSE)))</f>
        <v/>
      </c>
      <c r="M129" s="134"/>
      <c r="N129" s="276" t="str">
        <f>IF(M129="","",IF(VLOOKUP(M129,'G-3 Multipliers'!$S$3:$T$10,2,FALSE)=0,"Spatial Data Missing ⚠",VLOOKUP(M129,'G-3 Multipliers'!$S$3:$T$10,2,FALSE)))</f>
        <v/>
      </c>
      <c r="O129" s="275" t="str">
        <f>IF(OR(D129="",H129=""),"",(INDEX('G-6 Hedgerow Data'!$E$3:$I$15,MATCH(D129,'G-6 Hedgerow Data'!$B$3:$B$15,0),MATCH(H129,'G-6 Hedgerow Data'!$E$2:$I$2,0))))</f>
        <v/>
      </c>
      <c r="P129" s="133"/>
      <c r="Q129" s="133"/>
      <c r="R129" s="283" t="str">
        <f t="shared" si="8"/>
        <v/>
      </c>
      <c r="S129" s="296" t="str">
        <f t="shared" si="9"/>
        <v/>
      </c>
      <c r="T129" s="297" t="str">
        <f t="shared" si="7"/>
        <v/>
      </c>
      <c r="U129" s="311" t="str">
        <f>IF(D129="","",VLOOKUP(D129,'G-6 Hedgerow Data'!$B$3:$AG$15,31,FALSE))</f>
        <v/>
      </c>
      <c r="V129" s="295" t="str">
        <f t="shared" si="10"/>
        <v/>
      </c>
      <c r="W129" s="283" t="str">
        <f t="shared" si="11"/>
        <v/>
      </c>
      <c r="X129" s="299" t="str">
        <f>IF(F129="","",VLOOKUP(U129,'G-3 Multipliers'!$P$3:$Q$6,2,FALSE))</f>
        <v/>
      </c>
      <c r="Y129" s="303" t="str">
        <f t="shared" si="12"/>
        <v/>
      </c>
      <c r="Z129" s="303" t="str">
        <f t="shared" si="13"/>
        <v/>
      </c>
      <c r="AA129" s="101"/>
      <c r="AB129" s="938"/>
      <c r="AC129" s="138"/>
      <c r="AD129" s="138"/>
      <c r="AE129" s="934"/>
      <c r="AH129" s="30" t="str">
        <f>IFERROR(INDEX('G-6 Hedgerow Data'!$BJ$3:$BJ$15,MATCH(D129,'G-6 Hedgerow Data'!$B$3:$B$15,0)),"")</f>
        <v/>
      </c>
    </row>
    <row r="130" spans="2:34" ht="14">
      <c r="B130" s="97">
        <v>119</v>
      </c>
      <c r="C130" s="171"/>
      <c r="D130" s="58"/>
      <c r="E130" s="138"/>
      <c r="F130" s="275" t="str">
        <f>IF(D130="","",VLOOKUP(D130,'G-6 Hedgerow Data'!$B$2:$AG$15,2,FALSE))</f>
        <v/>
      </c>
      <c r="G130" s="299" t="str">
        <f>IF(D130="","",VLOOKUP(D130,'G-6 Hedgerow Data'!$B$2:$AG$15,3,FALSE))</f>
        <v/>
      </c>
      <c r="H130" s="53"/>
      <c r="I130" s="276" t="str">
        <f>IFERROR(IF(H130="","",IF(AND(D130="Non-native and ornamental hedgerow",H130&lt;&gt;"Poor"),"Not possible ▲",(IF(AND(F130="V.Low",OR(H130="Good",H130="Moderate")),"Error ▲",VLOOKUP(H130,'G-1 All Habitats'!$Z$2:$AA$9,2,FALSE))))),"")</f>
        <v/>
      </c>
      <c r="J130" s="102"/>
      <c r="K130" s="295" t="str">
        <f>IF(J130="","",IF(VLOOKUP(J130,'G-3 Multipliers'!$L$3:$N$6,2,FALSE)=0,"Spatial Data Missing",VLOOKUP(J130,'G-3 Multipliers'!$L$3:$N$6,2,FALSE)))</f>
        <v/>
      </c>
      <c r="L130" s="299" t="str">
        <f>IF(J130="","",IF(VLOOKUP(J130,'G-3 Multipliers'!$L$3:$N$6,3,FALSE)=0,"Spatial Data Missing",VLOOKUP(J130,'G-3 Multipliers'!$L$3:$N$6,3,FALSE)))</f>
        <v/>
      </c>
      <c r="M130" s="134"/>
      <c r="N130" s="276" t="str">
        <f>IF(M130="","",IF(VLOOKUP(M130,'G-3 Multipliers'!$S$3:$T$10,2,FALSE)=0,"Spatial Data Missing ⚠",VLOOKUP(M130,'G-3 Multipliers'!$S$3:$T$10,2,FALSE)))</f>
        <v/>
      </c>
      <c r="O130" s="275" t="str">
        <f>IF(OR(D130="",H130=""),"",(INDEX('G-6 Hedgerow Data'!$E$3:$I$15,MATCH(D130,'G-6 Hedgerow Data'!$B$3:$B$15,0),MATCH(H130,'G-6 Hedgerow Data'!$E$2:$I$2,0))))</f>
        <v/>
      </c>
      <c r="P130" s="133"/>
      <c r="Q130" s="133"/>
      <c r="R130" s="283" t="str">
        <f t="shared" si="8"/>
        <v/>
      </c>
      <c r="S130" s="296" t="str">
        <f t="shared" si="9"/>
        <v/>
      </c>
      <c r="T130" s="297" t="str">
        <f t="shared" si="7"/>
        <v/>
      </c>
      <c r="U130" s="311" t="str">
        <f>IF(D130="","",VLOOKUP(D130,'G-6 Hedgerow Data'!$B$3:$AG$15,31,FALSE))</f>
        <v/>
      </c>
      <c r="V130" s="295" t="str">
        <f t="shared" si="10"/>
        <v/>
      </c>
      <c r="W130" s="283" t="str">
        <f t="shared" si="11"/>
        <v/>
      </c>
      <c r="X130" s="299" t="str">
        <f>IF(F130="","",VLOOKUP(U130,'G-3 Multipliers'!$P$3:$Q$6,2,FALSE))</f>
        <v/>
      </c>
      <c r="Y130" s="303" t="str">
        <f t="shared" si="12"/>
        <v/>
      </c>
      <c r="Z130" s="303" t="str">
        <f t="shared" si="13"/>
        <v/>
      </c>
      <c r="AA130" s="101"/>
      <c r="AB130" s="938"/>
      <c r="AC130" s="138"/>
      <c r="AD130" s="138"/>
      <c r="AE130" s="934"/>
      <c r="AH130" s="30" t="str">
        <f>IFERROR(INDEX('G-6 Hedgerow Data'!$BJ$3:$BJ$15,MATCH(D130,'G-6 Hedgerow Data'!$B$3:$B$15,0)),"")</f>
        <v/>
      </c>
    </row>
    <row r="131" spans="2:34" s="33" customFormat="1" ht="14">
      <c r="B131" s="97">
        <v>120</v>
      </c>
      <c r="C131" s="171"/>
      <c r="D131" s="58"/>
      <c r="E131" s="138"/>
      <c r="F131" s="275" t="str">
        <f>IF(D131="","",VLOOKUP(D131,'G-6 Hedgerow Data'!$B$2:$AG$15,2,FALSE))</f>
        <v/>
      </c>
      <c r="G131" s="299" t="str">
        <f>IF(D131="","",VLOOKUP(D131,'G-6 Hedgerow Data'!$B$2:$AG$15,3,FALSE))</f>
        <v/>
      </c>
      <c r="H131" s="53"/>
      <c r="I131" s="276" t="str">
        <f>IFERROR(IF(H131="","",IF(AND(D131="Non-native and ornamental hedgerow",H131&lt;&gt;"Poor"),"Not possible ▲",(IF(AND(F131="V.Low",OR(H131="Good",H131="Moderate")),"Error ▲",VLOOKUP(H131,'G-1 All Habitats'!$Z$2:$AA$9,2,FALSE))))),"")</f>
        <v/>
      </c>
      <c r="J131" s="102"/>
      <c r="K131" s="295" t="str">
        <f>IF(J131="","",IF(VLOOKUP(J131,'G-3 Multipliers'!$L$3:$N$6,2,FALSE)=0,"Spatial Data Missing",VLOOKUP(J131,'G-3 Multipliers'!$L$3:$N$6,2,FALSE)))</f>
        <v/>
      </c>
      <c r="L131" s="299" t="str">
        <f>IF(J131="","",IF(VLOOKUP(J131,'G-3 Multipliers'!$L$3:$N$6,3,FALSE)=0,"Spatial Data Missing",VLOOKUP(J131,'G-3 Multipliers'!$L$3:$N$6,3,FALSE)))</f>
        <v/>
      </c>
      <c r="M131" s="134"/>
      <c r="N131" s="276" t="str">
        <f>IF(M131="","",IF(VLOOKUP(M131,'G-3 Multipliers'!$S$3:$T$10,2,FALSE)=0,"Spatial Data Missing ⚠",VLOOKUP(M131,'G-3 Multipliers'!$S$3:$T$10,2,FALSE)))</f>
        <v/>
      </c>
      <c r="O131" s="275" t="str">
        <f>IF(OR(D131="",H131=""),"",(INDEX('G-6 Hedgerow Data'!$E$3:$I$15,MATCH(D131,'G-6 Hedgerow Data'!$B$3:$B$15,0),MATCH(H131,'G-6 Hedgerow Data'!$E$2:$I$2,0))))</f>
        <v/>
      </c>
      <c r="P131" s="133"/>
      <c r="Q131" s="133"/>
      <c r="R131" s="283" t="str">
        <f t="shared" si="8"/>
        <v/>
      </c>
      <c r="S131" s="296" t="str">
        <f t="shared" si="9"/>
        <v/>
      </c>
      <c r="T131" s="297" t="str">
        <f t="shared" si="7"/>
        <v/>
      </c>
      <c r="U131" s="311" t="str">
        <f>IF(D131="","",VLOOKUP(D131,'G-6 Hedgerow Data'!$B$3:$AG$15,31,FALSE))</f>
        <v/>
      </c>
      <c r="V131" s="295" t="str">
        <f t="shared" si="10"/>
        <v/>
      </c>
      <c r="W131" s="283" t="str">
        <f t="shared" si="11"/>
        <v/>
      </c>
      <c r="X131" s="299" t="str">
        <f>IF(F131="","",VLOOKUP(U131,'G-3 Multipliers'!$P$3:$Q$6,2,FALSE))</f>
        <v/>
      </c>
      <c r="Y131" s="303" t="str">
        <f t="shared" si="12"/>
        <v/>
      </c>
      <c r="Z131" s="303" t="str">
        <f t="shared" si="13"/>
        <v/>
      </c>
      <c r="AA131" s="101"/>
      <c r="AB131" s="938"/>
      <c r="AC131" s="138"/>
      <c r="AD131" s="138"/>
      <c r="AE131" s="934"/>
      <c r="AH131" s="33" t="str">
        <f>IFERROR(INDEX('G-6 Hedgerow Data'!$BJ$3:$BJ$15,MATCH(D131,'G-6 Hedgerow Data'!$B$3:$B$15,0)),"")</f>
        <v/>
      </c>
    </row>
    <row r="132" spans="2:34" ht="14">
      <c r="B132" s="97">
        <v>121</v>
      </c>
      <c r="C132" s="171"/>
      <c r="D132" s="58"/>
      <c r="E132" s="138"/>
      <c r="F132" s="275" t="str">
        <f>IF(D132="","",VLOOKUP(D132,'G-6 Hedgerow Data'!$B$2:$AG$15,2,FALSE))</f>
        <v/>
      </c>
      <c r="G132" s="299" t="str">
        <f>IF(D132="","",VLOOKUP(D132,'G-6 Hedgerow Data'!$B$2:$AG$15,3,FALSE))</f>
        <v/>
      </c>
      <c r="H132" s="53"/>
      <c r="I132" s="276" t="str">
        <f>IFERROR(IF(H132="","",IF(AND(D132="Non-native and ornamental hedgerow",H132&lt;&gt;"Poor"),"Not possible ▲",(IF(AND(F132="V.Low",OR(H132="Good",H132="Moderate")),"Error ▲",VLOOKUP(H132,'G-1 All Habitats'!$Z$2:$AA$9,2,FALSE))))),"")</f>
        <v/>
      </c>
      <c r="J132" s="102"/>
      <c r="K132" s="295" t="str">
        <f>IF(J132="","",IF(VLOOKUP(J132,'G-3 Multipliers'!$L$3:$N$6,2,FALSE)=0,"Spatial Data Missing",VLOOKUP(J132,'G-3 Multipliers'!$L$3:$N$6,2,FALSE)))</f>
        <v/>
      </c>
      <c r="L132" s="299" t="str">
        <f>IF(J132="","",IF(VLOOKUP(J132,'G-3 Multipliers'!$L$3:$N$6,3,FALSE)=0,"Spatial Data Missing",VLOOKUP(J132,'G-3 Multipliers'!$L$3:$N$6,3,FALSE)))</f>
        <v/>
      </c>
      <c r="M132" s="134"/>
      <c r="N132" s="276" t="str">
        <f>IF(M132="","",IF(VLOOKUP(M132,'G-3 Multipliers'!$S$3:$T$10,2,FALSE)=0,"Spatial Data Missing ⚠",VLOOKUP(M132,'G-3 Multipliers'!$S$3:$T$10,2,FALSE)))</f>
        <v/>
      </c>
      <c r="O132" s="275" t="str">
        <f>IF(OR(D132="",H132=""),"",(INDEX('G-6 Hedgerow Data'!$E$3:$I$15,MATCH(D132,'G-6 Hedgerow Data'!$B$3:$B$15,0),MATCH(H132,'G-6 Hedgerow Data'!$E$2:$I$2,0))))</f>
        <v/>
      </c>
      <c r="P132" s="133"/>
      <c r="Q132" s="133"/>
      <c r="R132" s="283" t="str">
        <f t="shared" si="8"/>
        <v/>
      </c>
      <c r="S132" s="296" t="str">
        <f t="shared" si="9"/>
        <v/>
      </c>
      <c r="T132" s="297" t="str">
        <f t="shared" si="7"/>
        <v/>
      </c>
      <c r="U132" s="311" t="str">
        <f>IF(D132="","",VLOOKUP(D132,'G-6 Hedgerow Data'!$B$3:$AG$15,31,FALSE))</f>
        <v/>
      </c>
      <c r="V132" s="295" t="str">
        <f t="shared" si="10"/>
        <v/>
      </c>
      <c r="W132" s="283" t="str">
        <f t="shared" si="11"/>
        <v/>
      </c>
      <c r="X132" s="299" t="str">
        <f>IF(F132="","",VLOOKUP(U132,'G-3 Multipliers'!$P$3:$Q$6,2,FALSE))</f>
        <v/>
      </c>
      <c r="Y132" s="303" t="str">
        <f t="shared" si="12"/>
        <v/>
      </c>
      <c r="Z132" s="303" t="str">
        <f t="shared" si="13"/>
        <v/>
      </c>
      <c r="AA132" s="101"/>
      <c r="AB132" s="938"/>
      <c r="AC132" s="138"/>
      <c r="AD132" s="138"/>
      <c r="AE132" s="934"/>
      <c r="AH132" s="30" t="str">
        <f>IFERROR(INDEX('G-6 Hedgerow Data'!$BJ$3:$BJ$15,MATCH(D132,'G-6 Hedgerow Data'!$B$3:$B$15,0)),"")</f>
        <v/>
      </c>
    </row>
    <row r="133" spans="2:34" ht="14">
      <c r="B133" s="97">
        <v>122</v>
      </c>
      <c r="C133" s="171"/>
      <c r="D133" s="58"/>
      <c r="E133" s="138"/>
      <c r="F133" s="275" t="str">
        <f>IF(D133="","",VLOOKUP(D133,'G-6 Hedgerow Data'!$B$2:$AG$15,2,FALSE))</f>
        <v/>
      </c>
      <c r="G133" s="299" t="str">
        <f>IF(D133="","",VLOOKUP(D133,'G-6 Hedgerow Data'!$B$2:$AG$15,3,FALSE))</f>
        <v/>
      </c>
      <c r="H133" s="53"/>
      <c r="I133" s="276" t="str">
        <f>IFERROR(IF(H133="","",IF(AND(D133="Non-native and ornamental hedgerow",H133&lt;&gt;"Poor"),"Not possible ▲",(IF(AND(F133="V.Low",OR(H133="Good",H133="Moderate")),"Error ▲",VLOOKUP(H133,'G-1 All Habitats'!$Z$2:$AA$9,2,FALSE))))),"")</f>
        <v/>
      </c>
      <c r="J133" s="102"/>
      <c r="K133" s="295" t="str">
        <f>IF(J133="","",IF(VLOOKUP(J133,'G-3 Multipliers'!$L$3:$N$6,2,FALSE)=0,"Spatial Data Missing",VLOOKUP(J133,'G-3 Multipliers'!$L$3:$N$6,2,FALSE)))</f>
        <v/>
      </c>
      <c r="L133" s="299" t="str">
        <f>IF(J133="","",IF(VLOOKUP(J133,'G-3 Multipliers'!$L$3:$N$6,3,FALSE)=0,"Spatial Data Missing",VLOOKUP(J133,'G-3 Multipliers'!$L$3:$N$6,3,FALSE)))</f>
        <v/>
      </c>
      <c r="M133" s="134"/>
      <c r="N133" s="276" t="str">
        <f>IF(M133="","",IF(VLOOKUP(M133,'G-3 Multipliers'!$S$3:$T$10,2,FALSE)=0,"Spatial Data Missing ⚠",VLOOKUP(M133,'G-3 Multipliers'!$S$3:$T$10,2,FALSE)))</f>
        <v/>
      </c>
      <c r="O133" s="275" t="str">
        <f>IF(OR(D133="",H133=""),"",(INDEX('G-6 Hedgerow Data'!$E$3:$I$15,MATCH(D133,'G-6 Hedgerow Data'!$B$3:$B$15,0),MATCH(H133,'G-6 Hedgerow Data'!$E$2:$I$2,0))))</f>
        <v/>
      </c>
      <c r="P133" s="133"/>
      <c r="Q133" s="133"/>
      <c r="R133" s="283" t="str">
        <f t="shared" si="8"/>
        <v/>
      </c>
      <c r="S133" s="296" t="str">
        <f t="shared" si="9"/>
        <v/>
      </c>
      <c r="T133" s="297" t="str">
        <f t="shared" si="7"/>
        <v/>
      </c>
      <c r="U133" s="311" t="str">
        <f>IF(D133="","",VLOOKUP(D133,'G-6 Hedgerow Data'!$B$3:$AG$15,31,FALSE))</f>
        <v/>
      </c>
      <c r="V133" s="295" t="str">
        <f t="shared" si="10"/>
        <v/>
      </c>
      <c r="W133" s="283" t="str">
        <f t="shared" si="11"/>
        <v/>
      </c>
      <c r="X133" s="299" t="str">
        <f>IF(F133="","",VLOOKUP(U133,'G-3 Multipliers'!$P$3:$Q$6,2,FALSE))</f>
        <v/>
      </c>
      <c r="Y133" s="303" t="str">
        <f t="shared" si="12"/>
        <v/>
      </c>
      <c r="Z133" s="303" t="str">
        <f t="shared" si="13"/>
        <v/>
      </c>
      <c r="AA133" s="101"/>
      <c r="AB133" s="938"/>
      <c r="AC133" s="138"/>
      <c r="AD133" s="138"/>
      <c r="AE133" s="934"/>
      <c r="AH133" s="30" t="str">
        <f>IFERROR(INDEX('G-6 Hedgerow Data'!$BJ$3:$BJ$15,MATCH(D133,'G-6 Hedgerow Data'!$B$3:$B$15,0)),"")</f>
        <v/>
      </c>
    </row>
    <row r="134" spans="2:34" ht="14">
      <c r="B134" s="97">
        <v>123</v>
      </c>
      <c r="C134" s="171"/>
      <c r="D134" s="58"/>
      <c r="E134" s="138"/>
      <c r="F134" s="275" t="str">
        <f>IF(D134="","",VLOOKUP(D134,'G-6 Hedgerow Data'!$B$2:$AG$15,2,FALSE))</f>
        <v/>
      </c>
      <c r="G134" s="299" t="str">
        <f>IF(D134="","",VLOOKUP(D134,'G-6 Hedgerow Data'!$B$2:$AG$15,3,FALSE))</f>
        <v/>
      </c>
      <c r="H134" s="53"/>
      <c r="I134" s="276" t="str">
        <f>IFERROR(IF(H134="","",IF(AND(D134="Non-native and ornamental hedgerow",H134&lt;&gt;"Poor"),"Not possible ▲",(IF(AND(F134="V.Low",OR(H134="Good",H134="Moderate")),"Error ▲",VLOOKUP(H134,'G-1 All Habitats'!$Z$2:$AA$9,2,FALSE))))),"")</f>
        <v/>
      </c>
      <c r="J134" s="102"/>
      <c r="K134" s="295" t="str">
        <f>IF(J134="","",IF(VLOOKUP(J134,'G-3 Multipliers'!$L$3:$N$6,2,FALSE)=0,"Spatial Data Missing",VLOOKUP(J134,'G-3 Multipliers'!$L$3:$N$6,2,FALSE)))</f>
        <v/>
      </c>
      <c r="L134" s="299" t="str">
        <f>IF(J134="","",IF(VLOOKUP(J134,'G-3 Multipliers'!$L$3:$N$6,3,FALSE)=0,"Spatial Data Missing",VLOOKUP(J134,'G-3 Multipliers'!$L$3:$N$6,3,FALSE)))</f>
        <v/>
      </c>
      <c r="M134" s="134"/>
      <c r="N134" s="276" t="str">
        <f>IF(M134="","",IF(VLOOKUP(M134,'G-3 Multipliers'!$S$3:$T$10,2,FALSE)=0,"Spatial Data Missing ⚠",VLOOKUP(M134,'G-3 Multipliers'!$S$3:$T$10,2,FALSE)))</f>
        <v/>
      </c>
      <c r="O134" s="275" t="str">
        <f>IF(OR(D134="",H134=""),"",(INDEX('G-6 Hedgerow Data'!$E$3:$I$15,MATCH(D134,'G-6 Hedgerow Data'!$B$3:$B$15,0),MATCH(H134,'G-6 Hedgerow Data'!$E$2:$I$2,0))))</f>
        <v/>
      </c>
      <c r="P134" s="133"/>
      <c r="Q134" s="133"/>
      <c r="R134" s="283" t="str">
        <f t="shared" si="8"/>
        <v/>
      </c>
      <c r="S134" s="296" t="str">
        <f t="shared" si="9"/>
        <v/>
      </c>
      <c r="T134" s="297" t="str">
        <f t="shared" si="7"/>
        <v/>
      </c>
      <c r="U134" s="311" t="str">
        <f>IF(D134="","",VLOOKUP(D134,'G-6 Hedgerow Data'!$B$3:$AG$15,31,FALSE))</f>
        <v/>
      </c>
      <c r="V134" s="295" t="str">
        <f t="shared" si="10"/>
        <v/>
      </c>
      <c r="W134" s="283" t="str">
        <f t="shared" si="11"/>
        <v/>
      </c>
      <c r="X134" s="299" t="str">
        <f>IF(F134="","",VLOOKUP(U134,'G-3 Multipliers'!$P$3:$Q$6,2,FALSE))</f>
        <v/>
      </c>
      <c r="Y134" s="303" t="str">
        <f t="shared" si="12"/>
        <v/>
      </c>
      <c r="Z134" s="303" t="str">
        <f t="shared" si="13"/>
        <v/>
      </c>
      <c r="AA134" s="101"/>
      <c r="AB134" s="938"/>
      <c r="AC134" s="138"/>
      <c r="AD134" s="138"/>
      <c r="AE134" s="934"/>
      <c r="AH134" s="30" t="str">
        <f>IFERROR(INDEX('G-6 Hedgerow Data'!$BJ$3:$BJ$15,MATCH(D134,'G-6 Hedgerow Data'!$B$3:$B$15,0)),"")</f>
        <v/>
      </c>
    </row>
    <row r="135" spans="2:34" ht="14">
      <c r="B135" s="97">
        <v>124</v>
      </c>
      <c r="C135" s="171"/>
      <c r="D135" s="58"/>
      <c r="E135" s="138"/>
      <c r="F135" s="275" t="str">
        <f>IF(D135="","",VLOOKUP(D135,'G-6 Hedgerow Data'!$B$2:$AG$15,2,FALSE))</f>
        <v/>
      </c>
      <c r="G135" s="299" t="str">
        <f>IF(D135="","",VLOOKUP(D135,'G-6 Hedgerow Data'!$B$2:$AG$15,3,FALSE))</f>
        <v/>
      </c>
      <c r="H135" s="53"/>
      <c r="I135" s="276" t="str">
        <f>IFERROR(IF(H135="","",IF(AND(D135="Non-native and ornamental hedgerow",H135&lt;&gt;"Poor"),"Not possible ▲",(IF(AND(F135="V.Low",OR(H135="Good",H135="Moderate")),"Error ▲",VLOOKUP(H135,'G-1 All Habitats'!$Z$2:$AA$9,2,FALSE))))),"")</f>
        <v/>
      </c>
      <c r="J135" s="102"/>
      <c r="K135" s="295" t="str">
        <f>IF(J135="","",IF(VLOOKUP(J135,'G-3 Multipliers'!$L$3:$N$6,2,FALSE)=0,"Spatial Data Missing",VLOOKUP(J135,'G-3 Multipliers'!$L$3:$N$6,2,FALSE)))</f>
        <v/>
      </c>
      <c r="L135" s="299" t="str">
        <f>IF(J135="","",IF(VLOOKUP(J135,'G-3 Multipliers'!$L$3:$N$6,3,FALSE)=0,"Spatial Data Missing",VLOOKUP(J135,'G-3 Multipliers'!$L$3:$N$6,3,FALSE)))</f>
        <v/>
      </c>
      <c r="M135" s="134"/>
      <c r="N135" s="276" t="str">
        <f>IF(M135="","",IF(VLOOKUP(M135,'G-3 Multipliers'!$S$3:$T$10,2,FALSE)=0,"Spatial Data Missing ⚠",VLOOKUP(M135,'G-3 Multipliers'!$S$3:$T$10,2,FALSE)))</f>
        <v/>
      </c>
      <c r="O135" s="275" t="str">
        <f>IF(OR(D135="",H135=""),"",(INDEX('G-6 Hedgerow Data'!$E$3:$I$15,MATCH(D135,'G-6 Hedgerow Data'!$B$3:$B$15,0),MATCH(H135,'G-6 Hedgerow Data'!$E$2:$I$2,0))))</f>
        <v/>
      </c>
      <c r="P135" s="133"/>
      <c r="Q135" s="133"/>
      <c r="R135" s="283" t="str">
        <f t="shared" si="8"/>
        <v/>
      </c>
      <c r="S135" s="296" t="str">
        <f t="shared" si="9"/>
        <v/>
      </c>
      <c r="T135" s="297" t="str">
        <f t="shared" si="7"/>
        <v/>
      </c>
      <c r="U135" s="311" t="str">
        <f>IF(D135="","",VLOOKUP(D135,'G-6 Hedgerow Data'!$B$3:$AG$15,31,FALSE))</f>
        <v/>
      </c>
      <c r="V135" s="295" t="str">
        <f t="shared" si="10"/>
        <v/>
      </c>
      <c r="W135" s="283" t="str">
        <f t="shared" si="11"/>
        <v/>
      </c>
      <c r="X135" s="299" t="str">
        <f>IF(F135="","",VLOOKUP(U135,'G-3 Multipliers'!$P$3:$Q$6,2,FALSE))</f>
        <v/>
      </c>
      <c r="Y135" s="303" t="str">
        <f t="shared" si="12"/>
        <v/>
      </c>
      <c r="Z135" s="303" t="str">
        <f t="shared" si="13"/>
        <v/>
      </c>
      <c r="AA135" s="101"/>
      <c r="AB135" s="938"/>
      <c r="AC135" s="138"/>
      <c r="AD135" s="138"/>
      <c r="AE135" s="934"/>
      <c r="AH135" s="30" t="str">
        <f>IFERROR(INDEX('G-6 Hedgerow Data'!$BJ$3:$BJ$15,MATCH(D135,'G-6 Hedgerow Data'!$B$3:$B$15,0)),"")</f>
        <v/>
      </c>
    </row>
    <row r="136" spans="2:34" ht="14">
      <c r="B136" s="97">
        <v>125</v>
      </c>
      <c r="C136" s="171"/>
      <c r="D136" s="58"/>
      <c r="E136" s="138"/>
      <c r="F136" s="275" t="str">
        <f>IF(D136="","",VLOOKUP(D136,'G-6 Hedgerow Data'!$B$2:$AG$15,2,FALSE))</f>
        <v/>
      </c>
      <c r="G136" s="299" t="str">
        <f>IF(D136="","",VLOOKUP(D136,'G-6 Hedgerow Data'!$B$2:$AG$15,3,FALSE))</f>
        <v/>
      </c>
      <c r="H136" s="53"/>
      <c r="I136" s="276" t="str">
        <f>IFERROR(IF(H136="","",IF(AND(D136="Non-native and ornamental hedgerow",H136&lt;&gt;"Poor"),"Not possible ▲",(IF(AND(F136="V.Low",OR(H136="Good",H136="Moderate")),"Error ▲",VLOOKUP(H136,'G-1 All Habitats'!$Z$2:$AA$9,2,FALSE))))),"")</f>
        <v/>
      </c>
      <c r="J136" s="102"/>
      <c r="K136" s="295" t="str">
        <f>IF(J136="","",IF(VLOOKUP(J136,'G-3 Multipliers'!$L$3:$N$6,2,FALSE)=0,"Spatial Data Missing",VLOOKUP(J136,'G-3 Multipliers'!$L$3:$N$6,2,FALSE)))</f>
        <v/>
      </c>
      <c r="L136" s="299" t="str">
        <f>IF(J136="","",IF(VLOOKUP(J136,'G-3 Multipliers'!$L$3:$N$6,3,FALSE)=0,"Spatial Data Missing",VLOOKUP(J136,'G-3 Multipliers'!$L$3:$N$6,3,FALSE)))</f>
        <v/>
      </c>
      <c r="M136" s="134"/>
      <c r="N136" s="276" t="str">
        <f>IF(M136="","",IF(VLOOKUP(M136,'G-3 Multipliers'!$S$3:$T$10,2,FALSE)=0,"Spatial Data Missing ⚠",VLOOKUP(M136,'G-3 Multipliers'!$S$3:$T$10,2,FALSE)))</f>
        <v/>
      </c>
      <c r="O136" s="275" t="str">
        <f>IF(OR(D136="",H136=""),"",(INDEX('G-6 Hedgerow Data'!$E$3:$I$15,MATCH(D136,'G-6 Hedgerow Data'!$B$3:$B$15,0),MATCH(H136,'G-6 Hedgerow Data'!$E$2:$I$2,0))))</f>
        <v/>
      </c>
      <c r="P136" s="133"/>
      <c r="Q136" s="133"/>
      <c r="R136" s="283" t="str">
        <f t="shared" si="8"/>
        <v/>
      </c>
      <c r="S136" s="296" t="str">
        <f t="shared" si="9"/>
        <v/>
      </c>
      <c r="T136" s="297" t="str">
        <f t="shared" si="7"/>
        <v/>
      </c>
      <c r="U136" s="311" t="str">
        <f>IF(D136="","",VLOOKUP(D136,'G-6 Hedgerow Data'!$B$3:$AG$15,31,FALSE))</f>
        <v/>
      </c>
      <c r="V136" s="295" t="str">
        <f t="shared" si="10"/>
        <v/>
      </c>
      <c r="W136" s="283" t="str">
        <f t="shared" si="11"/>
        <v/>
      </c>
      <c r="X136" s="299" t="str">
        <f>IF(F136="","",VLOOKUP(U136,'G-3 Multipliers'!$P$3:$Q$6,2,FALSE))</f>
        <v/>
      </c>
      <c r="Y136" s="303" t="str">
        <f t="shared" si="12"/>
        <v/>
      </c>
      <c r="Z136" s="303" t="str">
        <f t="shared" si="13"/>
        <v/>
      </c>
      <c r="AA136" s="101"/>
      <c r="AB136" s="938"/>
      <c r="AC136" s="138"/>
      <c r="AD136" s="138"/>
      <c r="AE136" s="934"/>
      <c r="AH136" s="30" t="str">
        <f>IFERROR(INDEX('G-6 Hedgerow Data'!$BJ$3:$BJ$15,MATCH(D136,'G-6 Hedgerow Data'!$B$3:$B$15,0)),"")</f>
        <v/>
      </c>
    </row>
    <row r="137" spans="2:34" ht="14">
      <c r="B137" s="97">
        <v>126</v>
      </c>
      <c r="C137" s="171"/>
      <c r="D137" s="58"/>
      <c r="E137" s="138"/>
      <c r="F137" s="275" t="str">
        <f>IF(D137="","",VLOOKUP(D137,'G-6 Hedgerow Data'!$B$2:$AG$15,2,FALSE))</f>
        <v/>
      </c>
      <c r="G137" s="299" t="str">
        <f>IF(D137="","",VLOOKUP(D137,'G-6 Hedgerow Data'!$B$2:$AG$15,3,FALSE))</f>
        <v/>
      </c>
      <c r="H137" s="53"/>
      <c r="I137" s="276" t="str">
        <f>IFERROR(IF(H137="","",IF(AND(D137="Non-native and ornamental hedgerow",H137&lt;&gt;"Poor"),"Not possible ▲",(IF(AND(F137="V.Low",OR(H137="Good",H137="Moderate")),"Error ▲",VLOOKUP(H137,'G-1 All Habitats'!$Z$2:$AA$9,2,FALSE))))),"")</f>
        <v/>
      </c>
      <c r="J137" s="102"/>
      <c r="K137" s="295" t="str">
        <f>IF(J137="","",IF(VLOOKUP(J137,'G-3 Multipliers'!$L$3:$N$6,2,FALSE)=0,"Spatial Data Missing",VLOOKUP(J137,'G-3 Multipliers'!$L$3:$N$6,2,FALSE)))</f>
        <v/>
      </c>
      <c r="L137" s="299" t="str">
        <f>IF(J137="","",IF(VLOOKUP(J137,'G-3 Multipliers'!$L$3:$N$6,3,FALSE)=0,"Spatial Data Missing",VLOOKUP(J137,'G-3 Multipliers'!$L$3:$N$6,3,FALSE)))</f>
        <v/>
      </c>
      <c r="M137" s="134"/>
      <c r="N137" s="276" t="str">
        <f>IF(M137="","",IF(VLOOKUP(M137,'G-3 Multipliers'!$S$3:$T$10,2,FALSE)=0,"Spatial Data Missing ⚠",VLOOKUP(M137,'G-3 Multipliers'!$S$3:$T$10,2,FALSE)))</f>
        <v/>
      </c>
      <c r="O137" s="275" t="str">
        <f>IF(OR(D137="",H137=""),"",(INDEX('G-6 Hedgerow Data'!$E$3:$I$15,MATCH(D137,'G-6 Hedgerow Data'!$B$3:$B$15,0),MATCH(H137,'G-6 Hedgerow Data'!$E$2:$I$2,0))))</f>
        <v/>
      </c>
      <c r="P137" s="133"/>
      <c r="Q137" s="133"/>
      <c r="R137" s="283" t="str">
        <f t="shared" si="8"/>
        <v/>
      </c>
      <c r="S137" s="296" t="str">
        <f t="shared" si="9"/>
        <v/>
      </c>
      <c r="T137" s="297" t="str">
        <f t="shared" si="7"/>
        <v/>
      </c>
      <c r="U137" s="311" t="str">
        <f>IF(D137="","",VLOOKUP(D137,'G-6 Hedgerow Data'!$B$3:$AG$15,31,FALSE))</f>
        <v/>
      </c>
      <c r="V137" s="295" t="str">
        <f t="shared" si="10"/>
        <v/>
      </c>
      <c r="W137" s="283" t="str">
        <f t="shared" si="11"/>
        <v/>
      </c>
      <c r="X137" s="299" t="str">
        <f>IF(F137="","",VLOOKUP(U137,'G-3 Multipliers'!$P$3:$Q$6,2,FALSE))</f>
        <v/>
      </c>
      <c r="Y137" s="303" t="str">
        <f t="shared" si="12"/>
        <v/>
      </c>
      <c r="Z137" s="303" t="str">
        <f t="shared" si="13"/>
        <v/>
      </c>
      <c r="AA137" s="101"/>
      <c r="AB137" s="938"/>
      <c r="AC137" s="138"/>
      <c r="AD137" s="138"/>
      <c r="AE137" s="934"/>
      <c r="AH137" s="30" t="str">
        <f>IFERROR(INDEX('G-6 Hedgerow Data'!$BJ$3:$BJ$15,MATCH(D137,'G-6 Hedgerow Data'!$B$3:$B$15,0)),"")</f>
        <v/>
      </c>
    </row>
    <row r="138" spans="2:34" ht="14">
      <c r="B138" s="97">
        <v>127</v>
      </c>
      <c r="C138" s="171"/>
      <c r="D138" s="58"/>
      <c r="E138" s="138"/>
      <c r="F138" s="275" t="str">
        <f>IF(D138="","",VLOOKUP(D138,'G-6 Hedgerow Data'!$B$2:$AG$15,2,FALSE))</f>
        <v/>
      </c>
      <c r="G138" s="299" t="str">
        <f>IF(D138="","",VLOOKUP(D138,'G-6 Hedgerow Data'!$B$2:$AG$15,3,FALSE))</f>
        <v/>
      </c>
      <c r="H138" s="53"/>
      <c r="I138" s="276" t="str">
        <f>IFERROR(IF(H138="","",IF(AND(D138="Non-native and ornamental hedgerow",H138&lt;&gt;"Poor"),"Not possible ▲",(IF(AND(F138="V.Low",OR(H138="Good",H138="Moderate")),"Error ▲",VLOOKUP(H138,'G-1 All Habitats'!$Z$2:$AA$9,2,FALSE))))),"")</f>
        <v/>
      </c>
      <c r="J138" s="102"/>
      <c r="K138" s="295" t="str">
        <f>IF(J138="","",IF(VLOOKUP(J138,'G-3 Multipliers'!$L$3:$N$6,2,FALSE)=0,"Spatial Data Missing",VLOOKUP(J138,'G-3 Multipliers'!$L$3:$N$6,2,FALSE)))</f>
        <v/>
      </c>
      <c r="L138" s="299" t="str">
        <f>IF(J138="","",IF(VLOOKUP(J138,'G-3 Multipliers'!$L$3:$N$6,3,FALSE)=0,"Spatial Data Missing",VLOOKUP(J138,'G-3 Multipliers'!$L$3:$N$6,3,FALSE)))</f>
        <v/>
      </c>
      <c r="M138" s="134"/>
      <c r="N138" s="276" t="str">
        <f>IF(M138="","",IF(VLOOKUP(M138,'G-3 Multipliers'!$S$3:$T$10,2,FALSE)=0,"Spatial Data Missing ⚠",VLOOKUP(M138,'G-3 Multipliers'!$S$3:$T$10,2,FALSE)))</f>
        <v/>
      </c>
      <c r="O138" s="275" t="str">
        <f>IF(OR(D138="",H138=""),"",(INDEX('G-6 Hedgerow Data'!$E$3:$I$15,MATCH(D138,'G-6 Hedgerow Data'!$B$3:$B$15,0),MATCH(H138,'G-6 Hedgerow Data'!$E$2:$I$2,0))))</f>
        <v/>
      </c>
      <c r="P138" s="133"/>
      <c r="Q138" s="133"/>
      <c r="R138" s="283" t="str">
        <f t="shared" si="8"/>
        <v/>
      </c>
      <c r="S138" s="296" t="str">
        <f t="shared" si="9"/>
        <v/>
      </c>
      <c r="T138" s="297" t="str">
        <f t="shared" si="7"/>
        <v/>
      </c>
      <c r="U138" s="311" t="str">
        <f>IF(D138="","",VLOOKUP(D138,'G-6 Hedgerow Data'!$B$3:$AG$15,31,FALSE))</f>
        <v/>
      </c>
      <c r="V138" s="295" t="str">
        <f t="shared" si="10"/>
        <v/>
      </c>
      <c r="W138" s="283" t="str">
        <f t="shared" si="11"/>
        <v/>
      </c>
      <c r="X138" s="299" t="str">
        <f>IF(F138="","",VLOOKUP(U138,'G-3 Multipliers'!$P$3:$Q$6,2,FALSE))</f>
        <v/>
      </c>
      <c r="Y138" s="303" t="str">
        <f t="shared" si="12"/>
        <v/>
      </c>
      <c r="Z138" s="303" t="str">
        <f t="shared" si="13"/>
        <v/>
      </c>
      <c r="AA138" s="101"/>
      <c r="AB138" s="938"/>
      <c r="AC138" s="138"/>
      <c r="AD138" s="138"/>
      <c r="AE138" s="934"/>
      <c r="AH138" s="30" t="str">
        <f>IFERROR(INDEX('G-6 Hedgerow Data'!$BJ$3:$BJ$15,MATCH(D138,'G-6 Hedgerow Data'!$B$3:$B$15,0)),"")</f>
        <v/>
      </c>
    </row>
    <row r="139" spans="2:34" ht="14">
      <c r="B139" s="97">
        <v>128</v>
      </c>
      <c r="C139" s="171"/>
      <c r="D139" s="58"/>
      <c r="E139" s="138"/>
      <c r="F139" s="275" t="str">
        <f>IF(D139="","",VLOOKUP(D139,'G-6 Hedgerow Data'!$B$2:$AG$15,2,FALSE))</f>
        <v/>
      </c>
      <c r="G139" s="299" t="str">
        <f>IF(D139="","",VLOOKUP(D139,'G-6 Hedgerow Data'!$B$2:$AG$15,3,FALSE))</f>
        <v/>
      </c>
      <c r="H139" s="53"/>
      <c r="I139" s="276" t="str">
        <f>IFERROR(IF(H139="","",IF(AND(D139="Non-native and ornamental hedgerow",H139&lt;&gt;"Poor"),"Not possible ▲",(IF(AND(F139="V.Low",OR(H139="Good",H139="Moderate")),"Error ▲",VLOOKUP(H139,'G-1 All Habitats'!$Z$2:$AA$9,2,FALSE))))),"")</f>
        <v/>
      </c>
      <c r="J139" s="102"/>
      <c r="K139" s="295" t="str">
        <f>IF(J139="","",IF(VLOOKUP(J139,'G-3 Multipliers'!$L$3:$N$6,2,FALSE)=0,"Spatial Data Missing",VLOOKUP(J139,'G-3 Multipliers'!$L$3:$N$6,2,FALSE)))</f>
        <v/>
      </c>
      <c r="L139" s="299" t="str">
        <f>IF(J139="","",IF(VLOOKUP(J139,'G-3 Multipliers'!$L$3:$N$6,3,FALSE)=0,"Spatial Data Missing",VLOOKUP(J139,'G-3 Multipliers'!$L$3:$N$6,3,FALSE)))</f>
        <v/>
      </c>
      <c r="M139" s="134"/>
      <c r="N139" s="276" t="str">
        <f>IF(M139="","",IF(VLOOKUP(M139,'G-3 Multipliers'!$S$3:$T$10,2,FALSE)=0,"Spatial Data Missing ⚠",VLOOKUP(M139,'G-3 Multipliers'!$S$3:$T$10,2,FALSE)))</f>
        <v/>
      </c>
      <c r="O139" s="275" t="str">
        <f>IF(OR(D139="",H139=""),"",(INDEX('G-6 Hedgerow Data'!$E$3:$I$15,MATCH(D139,'G-6 Hedgerow Data'!$B$3:$B$15,0),MATCH(H139,'G-6 Hedgerow Data'!$E$2:$I$2,0))))</f>
        <v/>
      </c>
      <c r="P139" s="133"/>
      <c r="Q139" s="133"/>
      <c r="R139" s="283" t="str">
        <f t="shared" si="8"/>
        <v/>
      </c>
      <c r="S139" s="296" t="str">
        <f t="shared" si="9"/>
        <v/>
      </c>
      <c r="T139" s="297" t="str">
        <f t="shared" si="7"/>
        <v/>
      </c>
      <c r="U139" s="311" t="str">
        <f>IF(D139="","",VLOOKUP(D139,'G-6 Hedgerow Data'!$B$3:$AG$15,31,FALSE))</f>
        <v/>
      </c>
      <c r="V139" s="295" t="str">
        <f t="shared" si="10"/>
        <v/>
      </c>
      <c r="W139" s="283" t="str">
        <f t="shared" si="11"/>
        <v/>
      </c>
      <c r="X139" s="299" t="str">
        <f>IF(F139="","",VLOOKUP(U139,'G-3 Multipliers'!$P$3:$Q$6,2,FALSE))</f>
        <v/>
      </c>
      <c r="Y139" s="303" t="str">
        <f t="shared" si="12"/>
        <v/>
      </c>
      <c r="Z139" s="303" t="str">
        <f t="shared" si="13"/>
        <v/>
      </c>
      <c r="AA139" s="101"/>
      <c r="AB139" s="938"/>
      <c r="AC139" s="138"/>
      <c r="AD139" s="138"/>
      <c r="AE139" s="934"/>
      <c r="AH139" s="30" t="str">
        <f>IFERROR(INDEX('G-6 Hedgerow Data'!$BJ$3:$BJ$15,MATCH(D139,'G-6 Hedgerow Data'!$B$3:$B$15,0)),"")</f>
        <v/>
      </c>
    </row>
    <row r="140" spans="2:34" ht="14">
      <c r="B140" s="97">
        <v>129</v>
      </c>
      <c r="C140" s="171"/>
      <c r="D140" s="58"/>
      <c r="E140" s="138"/>
      <c r="F140" s="275" t="str">
        <f>IF(D140="","",VLOOKUP(D140,'G-6 Hedgerow Data'!$B$2:$AG$15,2,FALSE))</f>
        <v/>
      </c>
      <c r="G140" s="299" t="str">
        <f>IF(D140="","",VLOOKUP(D140,'G-6 Hedgerow Data'!$B$2:$AG$15,3,FALSE))</f>
        <v/>
      </c>
      <c r="H140" s="53"/>
      <c r="I140" s="276" t="str">
        <f>IFERROR(IF(H140="","",IF(AND(D140="Non-native and ornamental hedgerow",H140&lt;&gt;"Poor"),"Not possible ▲",(IF(AND(F140="V.Low",OR(H140="Good",H140="Moderate")),"Error ▲",VLOOKUP(H140,'G-1 All Habitats'!$Z$2:$AA$9,2,FALSE))))),"")</f>
        <v/>
      </c>
      <c r="J140" s="102"/>
      <c r="K140" s="295" t="str">
        <f>IF(J140="","",IF(VLOOKUP(J140,'G-3 Multipliers'!$L$3:$N$6,2,FALSE)=0,"Spatial Data Missing",VLOOKUP(J140,'G-3 Multipliers'!$L$3:$N$6,2,FALSE)))</f>
        <v/>
      </c>
      <c r="L140" s="299" t="str">
        <f>IF(J140="","",IF(VLOOKUP(J140,'G-3 Multipliers'!$L$3:$N$6,3,FALSE)=0,"Spatial Data Missing",VLOOKUP(J140,'G-3 Multipliers'!$L$3:$N$6,3,FALSE)))</f>
        <v/>
      </c>
      <c r="M140" s="134"/>
      <c r="N140" s="276" t="str">
        <f>IF(M140="","",IF(VLOOKUP(M140,'G-3 Multipliers'!$S$3:$T$10,2,FALSE)=0,"Spatial Data Missing ⚠",VLOOKUP(M140,'G-3 Multipliers'!$S$3:$T$10,2,FALSE)))</f>
        <v/>
      </c>
      <c r="O140" s="275" t="str">
        <f>IF(OR(D140="",H140=""),"",(INDEX('G-6 Hedgerow Data'!$E$3:$I$15,MATCH(D140,'G-6 Hedgerow Data'!$B$3:$B$15,0),MATCH(H140,'G-6 Hedgerow Data'!$E$2:$I$2,0))))</f>
        <v/>
      </c>
      <c r="P140" s="133"/>
      <c r="Q140" s="133"/>
      <c r="R140" s="283" t="str">
        <f t="shared" si="8"/>
        <v/>
      </c>
      <c r="S140" s="296" t="str">
        <f t="shared" si="9"/>
        <v/>
      </c>
      <c r="T140" s="297" t="str">
        <f t="shared" si="14" ref="T140:T203">IF(D140="","",IF(S140="Check Data ⚠","Check Data ⚠",VLOOKUP(S140,TemporalMultipliers,3,FALSE)))</f>
        <v/>
      </c>
      <c r="U140" s="311" t="str">
        <f>IF(D140="","",VLOOKUP(D140,'G-6 Hedgerow Data'!$B$3:$AG$15,31,FALSE))</f>
        <v/>
      </c>
      <c r="V140" s="295" t="str">
        <f t="shared" si="10"/>
        <v/>
      </c>
      <c r="W140" s="283" t="str">
        <f t="shared" si="11"/>
        <v/>
      </c>
      <c r="X140" s="299" t="str">
        <f>IF(F140="","",VLOOKUP(U140,'G-3 Multipliers'!$P$3:$Q$6,2,FALSE))</f>
        <v/>
      </c>
      <c r="Y140" s="303" t="str">
        <f t="shared" si="12"/>
        <v/>
      </c>
      <c r="Z140" s="303" t="str">
        <f t="shared" si="13"/>
        <v/>
      </c>
      <c r="AA140" s="101"/>
      <c r="AB140" s="938"/>
      <c r="AC140" s="138"/>
      <c r="AD140" s="138"/>
      <c r="AE140" s="934"/>
      <c r="AH140" s="30" t="str">
        <f>IFERROR(INDEX('G-6 Hedgerow Data'!$BJ$3:$BJ$15,MATCH(D140,'G-6 Hedgerow Data'!$B$3:$B$15,0)),"")</f>
        <v/>
      </c>
    </row>
    <row r="141" spans="2:34" ht="14">
      <c r="B141" s="97">
        <v>130</v>
      </c>
      <c r="C141" s="171"/>
      <c r="D141" s="58"/>
      <c r="E141" s="138"/>
      <c r="F141" s="275" t="str">
        <f>IF(D141="","",VLOOKUP(D141,'G-6 Hedgerow Data'!$B$2:$AG$15,2,FALSE))</f>
        <v/>
      </c>
      <c r="G141" s="299" t="str">
        <f>IF(D141="","",VLOOKUP(D141,'G-6 Hedgerow Data'!$B$2:$AG$15,3,FALSE))</f>
        <v/>
      </c>
      <c r="H141" s="53"/>
      <c r="I141" s="276" t="str">
        <f>IFERROR(IF(H141="","",IF(AND(D141="Non-native and ornamental hedgerow",H141&lt;&gt;"Poor"),"Not possible ▲",(IF(AND(F141="V.Low",OR(H141="Good",H141="Moderate")),"Error ▲",VLOOKUP(H141,'G-1 All Habitats'!$Z$2:$AA$9,2,FALSE))))),"")</f>
        <v/>
      </c>
      <c r="J141" s="102"/>
      <c r="K141" s="295" t="str">
        <f>IF(J141="","",IF(VLOOKUP(J141,'G-3 Multipliers'!$L$3:$N$6,2,FALSE)=0,"Spatial Data Missing",VLOOKUP(J141,'G-3 Multipliers'!$L$3:$N$6,2,FALSE)))</f>
        <v/>
      </c>
      <c r="L141" s="299" t="str">
        <f>IF(J141="","",IF(VLOOKUP(J141,'G-3 Multipliers'!$L$3:$N$6,3,FALSE)=0,"Spatial Data Missing",VLOOKUP(J141,'G-3 Multipliers'!$L$3:$N$6,3,FALSE)))</f>
        <v/>
      </c>
      <c r="M141" s="134"/>
      <c r="N141" s="276" t="str">
        <f>IF(M141="","",IF(VLOOKUP(M141,'G-3 Multipliers'!$S$3:$T$10,2,FALSE)=0,"Spatial Data Missing ⚠",VLOOKUP(M141,'G-3 Multipliers'!$S$3:$T$10,2,FALSE)))</f>
        <v/>
      </c>
      <c r="O141" s="275" t="str">
        <f>IF(OR(D141="",H141=""),"",(INDEX('G-6 Hedgerow Data'!$E$3:$I$15,MATCH(D141,'G-6 Hedgerow Data'!$B$3:$B$15,0),MATCH(H141,'G-6 Hedgerow Data'!$E$2:$I$2,0))))</f>
        <v/>
      </c>
      <c r="P141" s="133"/>
      <c r="Q141" s="133"/>
      <c r="R141" s="283" t="str">
        <f t="shared" si="15" ref="R141:R20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296" t="str">
        <f t="shared" si="16" ref="S141:S204">IF(O141="","",IF(R141="Error -both advance and delayed habitat creation ▲","Check Data ⚠",IF(O141="Not possible ▲","Check data ⚠",IF(OR(P141="30+",P141="Habitat already in target condition"),0,IF(Q141="30+","30+",IF(AND(O141="30+",OR(P141="",P141=0)),"30+",IF(AND(O141="30+",P141&gt;0),30-P141,IF(O141+Q141&gt;30,"30+",IF(O141+Q141-P141&gt;0,O141+Q141-P141,IF(O141-P141&lt;0,0,O141+Q141-P141))))))))))</f>
        <v/>
      </c>
      <c r="T141" s="297" t="str">
        <f t="shared" si="14"/>
        <v/>
      </c>
      <c r="U141" s="311" t="str">
        <f>IF(D141="","",VLOOKUP(D141,'G-6 Hedgerow Data'!$B$3:$AG$15,31,FALSE))</f>
        <v/>
      </c>
      <c r="V141" s="295" t="str">
        <f t="shared" si="17" ref="V141:V204">IF(D141="","",IF(S141="Check Data ⚠","Check Data ⚠",IF(H141="","",IF($R141="Check details - Is there evidence that habitat has reached target condition? ⚠","Low Difficulty - only applicable if all habitat created before losses ⚠","Standard difficulty applied"))))</f>
        <v/>
      </c>
      <c r="W141" s="283" t="str">
        <f t="shared" si="18" ref="W141:W204">(IF(AND(V141="Standard difficulty applied",O141&gt;P141),U141,IF(S141="Check data ⚠","Check data ⚠",IF(AND(V141="Low Difficulty - only applicable if all habitat created before losses ⚠",P141&gt;=O141),"Low",U141))))</f>
        <v/>
      </c>
      <c r="X141" s="299" t="str">
        <f>IF(F141="","",VLOOKUP(U141,'G-3 Multipliers'!$P$3:$Q$6,2,FALSE))</f>
        <v/>
      </c>
      <c r="Y141" s="303" t="str">
        <f t="shared" si="19" ref="Y141:Y204">IFERROR(E141*G141*I141*L141*T141*X141*N141,"")</f>
        <v/>
      </c>
      <c r="Z141" s="303" t="str">
        <f t="shared" si="20" ref="Z141:Z204">IFERROR(IF(AND(M141&lt;&gt;"",AD141=""),"Off-site reference required ▲",(IF(M141="","",E141*G141*I141*L141*T141*X141))),"")</f>
        <v/>
      </c>
      <c r="AA141" s="101"/>
      <c r="AB141" s="938"/>
      <c r="AC141" s="138"/>
      <c r="AD141" s="138"/>
      <c r="AE141" s="934"/>
      <c r="AH141" s="30" t="str">
        <f>IFERROR(INDEX('G-6 Hedgerow Data'!$BJ$3:$BJ$15,MATCH(D141,'G-6 Hedgerow Data'!$B$3:$B$15,0)),"")</f>
        <v/>
      </c>
    </row>
    <row r="142" spans="2:34" ht="14">
      <c r="B142" s="97">
        <v>131</v>
      </c>
      <c r="C142" s="171"/>
      <c r="D142" s="58"/>
      <c r="E142" s="138"/>
      <c r="F142" s="275" t="str">
        <f>IF(D142="","",VLOOKUP(D142,'G-6 Hedgerow Data'!$B$2:$AG$15,2,FALSE))</f>
        <v/>
      </c>
      <c r="G142" s="299" t="str">
        <f>IF(D142="","",VLOOKUP(D142,'G-6 Hedgerow Data'!$B$2:$AG$15,3,FALSE))</f>
        <v/>
      </c>
      <c r="H142" s="53"/>
      <c r="I142" s="276" t="str">
        <f>IFERROR(IF(H142="","",IF(AND(D142="Non-native and ornamental hedgerow",H142&lt;&gt;"Poor"),"Not possible ▲",(IF(AND(F142="V.Low",OR(H142="Good",H142="Moderate")),"Error ▲",VLOOKUP(H142,'G-1 All Habitats'!$Z$2:$AA$9,2,FALSE))))),"")</f>
        <v/>
      </c>
      <c r="J142" s="102"/>
      <c r="K142" s="295" t="str">
        <f>IF(J142="","",IF(VLOOKUP(J142,'G-3 Multipliers'!$L$3:$N$6,2,FALSE)=0,"Spatial Data Missing",VLOOKUP(J142,'G-3 Multipliers'!$L$3:$N$6,2,FALSE)))</f>
        <v/>
      </c>
      <c r="L142" s="299" t="str">
        <f>IF(J142="","",IF(VLOOKUP(J142,'G-3 Multipliers'!$L$3:$N$6,3,FALSE)=0,"Spatial Data Missing",VLOOKUP(J142,'G-3 Multipliers'!$L$3:$N$6,3,FALSE)))</f>
        <v/>
      </c>
      <c r="M142" s="134"/>
      <c r="N142" s="276" t="str">
        <f>IF(M142="","",IF(VLOOKUP(M142,'G-3 Multipliers'!$S$3:$T$10,2,FALSE)=0,"Spatial Data Missing ⚠",VLOOKUP(M142,'G-3 Multipliers'!$S$3:$T$10,2,FALSE)))</f>
        <v/>
      </c>
      <c r="O142" s="275" t="str">
        <f>IF(OR(D142="",H142=""),"",(INDEX('G-6 Hedgerow Data'!$E$3:$I$15,MATCH(D142,'G-6 Hedgerow Data'!$B$3:$B$15,0),MATCH(H142,'G-6 Hedgerow Data'!$E$2:$I$2,0))))</f>
        <v/>
      </c>
      <c r="P142" s="133"/>
      <c r="Q142" s="133"/>
      <c r="R142" s="283" t="str">
        <f t="shared" si="15"/>
        <v/>
      </c>
      <c r="S142" s="296" t="str">
        <f t="shared" si="16"/>
        <v/>
      </c>
      <c r="T142" s="297" t="str">
        <f t="shared" si="14"/>
        <v/>
      </c>
      <c r="U142" s="311" t="str">
        <f>IF(D142="","",VLOOKUP(D142,'G-6 Hedgerow Data'!$B$3:$AG$15,31,FALSE))</f>
        <v/>
      </c>
      <c r="V142" s="295" t="str">
        <f t="shared" si="17"/>
        <v/>
      </c>
      <c r="W142" s="283" t="str">
        <f t="shared" si="18"/>
        <v/>
      </c>
      <c r="X142" s="299" t="str">
        <f>IF(F142="","",VLOOKUP(U142,'G-3 Multipliers'!$P$3:$Q$6,2,FALSE))</f>
        <v/>
      </c>
      <c r="Y142" s="303" t="str">
        <f t="shared" si="19"/>
        <v/>
      </c>
      <c r="Z142" s="303" t="str">
        <f t="shared" si="20"/>
        <v/>
      </c>
      <c r="AA142" s="101"/>
      <c r="AB142" s="938"/>
      <c r="AC142" s="138"/>
      <c r="AD142" s="138"/>
      <c r="AE142" s="934"/>
      <c r="AH142" s="30" t="str">
        <f>IFERROR(INDEX('G-6 Hedgerow Data'!$BJ$3:$BJ$15,MATCH(D142,'G-6 Hedgerow Data'!$B$3:$B$15,0)),"")</f>
        <v/>
      </c>
    </row>
    <row r="143" spans="2:34" ht="14">
      <c r="B143" s="97">
        <v>132</v>
      </c>
      <c r="C143" s="171"/>
      <c r="D143" s="58"/>
      <c r="E143" s="138"/>
      <c r="F143" s="275" t="str">
        <f>IF(D143="","",VLOOKUP(D143,'G-6 Hedgerow Data'!$B$2:$AG$15,2,FALSE))</f>
        <v/>
      </c>
      <c r="G143" s="299" t="str">
        <f>IF(D143="","",VLOOKUP(D143,'G-6 Hedgerow Data'!$B$2:$AG$15,3,FALSE))</f>
        <v/>
      </c>
      <c r="H143" s="53"/>
      <c r="I143" s="276" t="str">
        <f>IFERROR(IF(H143="","",IF(AND(D143="Non-native and ornamental hedgerow",H143&lt;&gt;"Poor"),"Not possible ▲",(IF(AND(F143="V.Low",OR(H143="Good",H143="Moderate")),"Error ▲",VLOOKUP(H143,'G-1 All Habitats'!$Z$2:$AA$9,2,FALSE))))),"")</f>
        <v/>
      </c>
      <c r="J143" s="102"/>
      <c r="K143" s="295" t="str">
        <f>IF(J143="","",IF(VLOOKUP(J143,'G-3 Multipliers'!$L$3:$N$6,2,FALSE)=0,"Spatial Data Missing",VLOOKUP(J143,'G-3 Multipliers'!$L$3:$N$6,2,FALSE)))</f>
        <v/>
      </c>
      <c r="L143" s="299" t="str">
        <f>IF(J143="","",IF(VLOOKUP(J143,'G-3 Multipliers'!$L$3:$N$6,3,FALSE)=0,"Spatial Data Missing",VLOOKUP(J143,'G-3 Multipliers'!$L$3:$N$6,3,FALSE)))</f>
        <v/>
      </c>
      <c r="M143" s="134"/>
      <c r="N143" s="276" t="str">
        <f>IF(M143="","",IF(VLOOKUP(M143,'G-3 Multipliers'!$S$3:$T$10,2,FALSE)=0,"Spatial Data Missing ⚠",VLOOKUP(M143,'G-3 Multipliers'!$S$3:$T$10,2,FALSE)))</f>
        <v/>
      </c>
      <c r="O143" s="275" t="str">
        <f>IF(OR(D143="",H143=""),"",(INDEX('G-6 Hedgerow Data'!$E$3:$I$15,MATCH(D143,'G-6 Hedgerow Data'!$B$3:$B$15,0),MATCH(H143,'G-6 Hedgerow Data'!$E$2:$I$2,0))))</f>
        <v/>
      </c>
      <c r="P143" s="133"/>
      <c r="Q143" s="133"/>
      <c r="R143" s="283" t="str">
        <f t="shared" si="15"/>
        <v/>
      </c>
      <c r="S143" s="296" t="str">
        <f t="shared" si="16"/>
        <v/>
      </c>
      <c r="T143" s="297" t="str">
        <f t="shared" si="14"/>
        <v/>
      </c>
      <c r="U143" s="311" t="str">
        <f>IF(D143="","",VLOOKUP(D143,'G-6 Hedgerow Data'!$B$3:$AG$15,31,FALSE))</f>
        <v/>
      </c>
      <c r="V143" s="295" t="str">
        <f t="shared" si="17"/>
        <v/>
      </c>
      <c r="W143" s="283" t="str">
        <f t="shared" si="18"/>
        <v/>
      </c>
      <c r="X143" s="299" t="str">
        <f>IF(F143="","",VLOOKUP(U143,'G-3 Multipliers'!$P$3:$Q$6,2,FALSE))</f>
        <v/>
      </c>
      <c r="Y143" s="303" t="str">
        <f t="shared" si="19"/>
        <v/>
      </c>
      <c r="Z143" s="303" t="str">
        <f t="shared" si="20"/>
        <v/>
      </c>
      <c r="AA143" s="101"/>
      <c r="AB143" s="938"/>
      <c r="AC143" s="138"/>
      <c r="AD143" s="138"/>
      <c r="AE143" s="934"/>
      <c r="AH143" s="30" t="str">
        <f>IFERROR(INDEX('G-6 Hedgerow Data'!$BJ$3:$BJ$15,MATCH(D143,'G-6 Hedgerow Data'!$B$3:$B$15,0)),"")</f>
        <v/>
      </c>
    </row>
    <row r="144" spans="2:34" ht="14">
      <c r="B144" s="97">
        <v>133</v>
      </c>
      <c r="C144" s="171"/>
      <c r="D144" s="58"/>
      <c r="E144" s="138"/>
      <c r="F144" s="275" t="str">
        <f>IF(D144="","",VLOOKUP(D144,'G-6 Hedgerow Data'!$B$2:$AG$15,2,FALSE))</f>
        <v/>
      </c>
      <c r="G144" s="299" t="str">
        <f>IF(D144="","",VLOOKUP(D144,'G-6 Hedgerow Data'!$B$2:$AG$15,3,FALSE))</f>
        <v/>
      </c>
      <c r="H144" s="53"/>
      <c r="I144" s="276" t="str">
        <f>IFERROR(IF(H144="","",IF(AND(D144="Non-native and ornamental hedgerow",H144&lt;&gt;"Poor"),"Not possible ▲",(IF(AND(F144="V.Low",OR(H144="Good",H144="Moderate")),"Error ▲",VLOOKUP(H144,'G-1 All Habitats'!$Z$2:$AA$9,2,FALSE))))),"")</f>
        <v/>
      </c>
      <c r="J144" s="102"/>
      <c r="K144" s="295" t="str">
        <f>IF(J144="","",IF(VLOOKUP(J144,'G-3 Multipliers'!$L$3:$N$6,2,FALSE)=0,"Spatial Data Missing",VLOOKUP(J144,'G-3 Multipliers'!$L$3:$N$6,2,FALSE)))</f>
        <v/>
      </c>
      <c r="L144" s="299" t="str">
        <f>IF(J144="","",IF(VLOOKUP(J144,'G-3 Multipliers'!$L$3:$N$6,3,FALSE)=0,"Spatial Data Missing",VLOOKUP(J144,'G-3 Multipliers'!$L$3:$N$6,3,FALSE)))</f>
        <v/>
      </c>
      <c r="M144" s="134"/>
      <c r="N144" s="276" t="str">
        <f>IF(M144="","",IF(VLOOKUP(M144,'G-3 Multipliers'!$S$3:$T$10,2,FALSE)=0,"Spatial Data Missing ⚠",VLOOKUP(M144,'G-3 Multipliers'!$S$3:$T$10,2,FALSE)))</f>
        <v/>
      </c>
      <c r="O144" s="275" t="str">
        <f>IF(OR(D144="",H144=""),"",(INDEX('G-6 Hedgerow Data'!$E$3:$I$15,MATCH(D144,'G-6 Hedgerow Data'!$B$3:$B$15,0),MATCH(H144,'G-6 Hedgerow Data'!$E$2:$I$2,0))))</f>
        <v/>
      </c>
      <c r="P144" s="133"/>
      <c r="Q144" s="133"/>
      <c r="R144" s="283" t="str">
        <f t="shared" si="15"/>
        <v/>
      </c>
      <c r="S144" s="296" t="str">
        <f t="shared" si="16"/>
        <v/>
      </c>
      <c r="T144" s="297" t="str">
        <f t="shared" si="14"/>
        <v/>
      </c>
      <c r="U144" s="311" t="str">
        <f>IF(D144="","",VLOOKUP(D144,'G-6 Hedgerow Data'!$B$3:$AG$15,31,FALSE))</f>
        <v/>
      </c>
      <c r="V144" s="295" t="str">
        <f t="shared" si="17"/>
        <v/>
      </c>
      <c r="W144" s="283" t="str">
        <f t="shared" si="18"/>
        <v/>
      </c>
      <c r="X144" s="299" t="str">
        <f>IF(F144="","",VLOOKUP(U144,'G-3 Multipliers'!$P$3:$Q$6,2,FALSE))</f>
        <v/>
      </c>
      <c r="Y144" s="303" t="str">
        <f t="shared" si="19"/>
        <v/>
      </c>
      <c r="Z144" s="303" t="str">
        <f t="shared" si="20"/>
        <v/>
      </c>
      <c r="AA144" s="101"/>
      <c r="AB144" s="938"/>
      <c r="AC144" s="138"/>
      <c r="AD144" s="138"/>
      <c r="AE144" s="934"/>
      <c r="AH144" s="30" t="str">
        <f>IFERROR(INDEX('G-6 Hedgerow Data'!$BJ$3:$BJ$15,MATCH(D144,'G-6 Hedgerow Data'!$B$3:$B$15,0)),"")</f>
        <v/>
      </c>
    </row>
    <row r="145" spans="2:34" ht="14">
      <c r="B145" s="97">
        <v>134</v>
      </c>
      <c r="C145" s="171"/>
      <c r="D145" s="58"/>
      <c r="E145" s="138"/>
      <c r="F145" s="275" t="str">
        <f>IF(D145="","",VLOOKUP(D145,'G-6 Hedgerow Data'!$B$2:$AG$15,2,FALSE))</f>
        <v/>
      </c>
      <c r="G145" s="299" t="str">
        <f>IF(D145="","",VLOOKUP(D145,'G-6 Hedgerow Data'!$B$2:$AG$15,3,FALSE))</f>
        <v/>
      </c>
      <c r="H145" s="53"/>
      <c r="I145" s="276" t="str">
        <f>IFERROR(IF(H145="","",IF(AND(D145="Non-native and ornamental hedgerow",H145&lt;&gt;"Poor"),"Not possible ▲",(IF(AND(F145="V.Low",OR(H145="Good",H145="Moderate")),"Error ▲",VLOOKUP(H145,'G-1 All Habitats'!$Z$2:$AA$9,2,FALSE))))),"")</f>
        <v/>
      </c>
      <c r="J145" s="102"/>
      <c r="K145" s="295" t="str">
        <f>IF(J145="","",IF(VLOOKUP(J145,'G-3 Multipliers'!$L$3:$N$6,2,FALSE)=0,"Spatial Data Missing",VLOOKUP(J145,'G-3 Multipliers'!$L$3:$N$6,2,FALSE)))</f>
        <v/>
      </c>
      <c r="L145" s="299" t="str">
        <f>IF(J145="","",IF(VLOOKUP(J145,'G-3 Multipliers'!$L$3:$N$6,3,FALSE)=0,"Spatial Data Missing",VLOOKUP(J145,'G-3 Multipliers'!$L$3:$N$6,3,FALSE)))</f>
        <v/>
      </c>
      <c r="M145" s="134"/>
      <c r="N145" s="276" t="str">
        <f>IF(M145="","",IF(VLOOKUP(M145,'G-3 Multipliers'!$S$3:$T$10,2,FALSE)=0,"Spatial Data Missing ⚠",VLOOKUP(M145,'G-3 Multipliers'!$S$3:$T$10,2,FALSE)))</f>
        <v/>
      </c>
      <c r="O145" s="275" t="str">
        <f>IF(OR(D145="",H145=""),"",(INDEX('G-6 Hedgerow Data'!$E$3:$I$15,MATCH(D145,'G-6 Hedgerow Data'!$B$3:$B$15,0),MATCH(H145,'G-6 Hedgerow Data'!$E$2:$I$2,0))))</f>
        <v/>
      </c>
      <c r="P145" s="133"/>
      <c r="Q145" s="133"/>
      <c r="R145" s="283" t="str">
        <f t="shared" si="15"/>
        <v/>
      </c>
      <c r="S145" s="296" t="str">
        <f t="shared" si="16"/>
        <v/>
      </c>
      <c r="T145" s="297" t="str">
        <f t="shared" si="14"/>
        <v/>
      </c>
      <c r="U145" s="311" t="str">
        <f>IF(D145="","",VLOOKUP(D145,'G-6 Hedgerow Data'!$B$3:$AG$15,31,FALSE))</f>
        <v/>
      </c>
      <c r="V145" s="295" t="str">
        <f t="shared" si="17"/>
        <v/>
      </c>
      <c r="W145" s="283" t="str">
        <f t="shared" si="18"/>
        <v/>
      </c>
      <c r="X145" s="299" t="str">
        <f>IF(F145="","",VLOOKUP(U145,'G-3 Multipliers'!$P$3:$Q$6,2,FALSE))</f>
        <v/>
      </c>
      <c r="Y145" s="303" t="str">
        <f t="shared" si="19"/>
        <v/>
      </c>
      <c r="Z145" s="303" t="str">
        <f t="shared" si="20"/>
        <v/>
      </c>
      <c r="AA145" s="101"/>
      <c r="AB145" s="938"/>
      <c r="AC145" s="138"/>
      <c r="AD145" s="138"/>
      <c r="AE145" s="934"/>
      <c r="AH145" s="30" t="str">
        <f>IFERROR(INDEX('G-6 Hedgerow Data'!$BJ$3:$BJ$15,MATCH(D145,'G-6 Hedgerow Data'!$B$3:$B$15,0)),"")</f>
        <v/>
      </c>
    </row>
    <row r="146" spans="2:34" ht="14">
      <c r="B146" s="97">
        <v>135</v>
      </c>
      <c r="C146" s="171"/>
      <c r="D146" s="58"/>
      <c r="E146" s="138"/>
      <c r="F146" s="275" t="str">
        <f>IF(D146="","",VLOOKUP(D146,'G-6 Hedgerow Data'!$B$2:$AG$15,2,FALSE))</f>
        <v/>
      </c>
      <c r="G146" s="299" t="str">
        <f>IF(D146="","",VLOOKUP(D146,'G-6 Hedgerow Data'!$B$2:$AG$15,3,FALSE))</f>
        <v/>
      </c>
      <c r="H146" s="53"/>
      <c r="I146" s="276" t="str">
        <f>IFERROR(IF(H146="","",IF(AND(D146="Non-native and ornamental hedgerow",H146&lt;&gt;"Poor"),"Not possible ▲",(IF(AND(F146="V.Low",OR(H146="Good",H146="Moderate")),"Error ▲",VLOOKUP(H146,'G-1 All Habitats'!$Z$2:$AA$9,2,FALSE))))),"")</f>
        <v/>
      </c>
      <c r="J146" s="102"/>
      <c r="K146" s="295" t="str">
        <f>IF(J146="","",IF(VLOOKUP(J146,'G-3 Multipliers'!$L$3:$N$6,2,FALSE)=0,"Spatial Data Missing",VLOOKUP(J146,'G-3 Multipliers'!$L$3:$N$6,2,FALSE)))</f>
        <v/>
      </c>
      <c r="L146" s="299" t="str">
        <f>IF(J146="","",IF(VLOOKUP(J146,'G-3 Multipliers'!$L$3:$N$6,3,FALSE)=0,"Spatial Data Missing",VLOOKUP(J146,'G-3 Multipliers'!$L$3:$N$6,3,FALSE)))</f>
        <v/>
      </c>
      <c r="M146" s="134"/>
      <c r="N146" s="276" t="str">
        <f>IF(M146="","",IF(VLOOKUP(M146,'G-3 Multipliers'!$S$3:$T$10,2,FALSE)=0,"Spatial Data Missing ⚠",VLOOKUP(M146,'G-3 Multipliers'!$S$3:$T$10,2,FALSE)))</f>
        <v/>
      </c>
      <c r="O146" s="275" t="str">
        <f>IF(OR(D146="",H146=""),"",(INDEX('G-6 Hedgerow Data'!$E$3:$I$15,MATCH(D146,'G-6 Hedgerow Data'!$B$3:$B$15,0),MATCH(H146,'G-6 Hedgerow Data'!$E$2:$I$2,0))))</f>
        <v/>
      </c>
      <c r="P146" s="133"/>
      <c r="Q146" s="133"/>
      <c r="R146" s="283" t="str">
        <f t="shared" si="15"/>
        <v/>
      </c>
      <c r="S146" s="296" t="str">
        <f t="shared" si="16"/>
        <v/>
      </c>
      <c r="T146" s="297" t="str">
        <f t="shared" si="14"/>
        <v/>
      </c>
      <c r="U146" s="311" t="str">
        <f>IF(D146="","",VLOOKUP(D146,'G-6 Hedgerow Data'!$B$3:$AG$15,31,FALSE))</f>
        <v/>
      </c>
      <c r="V146" s="295" t="str">
        <f t="shared" si="17"/>
        <v/>
      </c>
      <c r="W146" s="283" t="str">
        <f t="shared" si="18"/>
        <v/>
      </c>
      <c r="X146" s="299" t="str">
        <f>IF(F146="","",VLOOKUP(U146,'G-3 Multipliers'!$P$3:$Q$6,2,FALSE))</f>
        <v/>
      </c>
      <c r="Y146" s="303" t="str">
        <f t="shared" si="19"/>
        <v/>
      </c>
      <c r="Z146" s="303" t="str">
        <f t="shared" si="20"/>
        <v/>
      </c>
      <c r="AA146" s="101"/>
      <c r="AB146" s="938"/>
      <c r="AC146" s="138"/>
      <c r="AD146" s="138"/>
      <c r="AE146" s="934"/>
      <c r="AH146" s="30" t="str">
        <f>IFERROR(INDEX('G-6 Hedgerow Data'!$BJ$3:$BJ$15,MATCH(D146,'G-6 Hedgerow Data'!$B$3:$B$15,0)),"")</f>
        <v/>
      </c>
    </row>
    <row r="147" spans="2:34" ht="14">
      <c r="B147" s="97">
        <v>136</v>
      </c>
      <c r="C147" s="171"/>
      <c r="D147" s="58"/>
      <c r="E147" s="138"/>
      <c r="F147" s="275" t="str">
        <f>IF(D147="","",VLOOKUP(D147,'G-6 Hedgerow Data'!$B$2:$AG$15,2,FALSE))</f>
        <v/>
      </c>
      <c r="G147" s="299" t="str">
        <f>IF(D147="","",VLOOKUP(D147,'G-6 Hedgerow Data'!$B$2:$AG$15,3,FALSE))</f>
        <v/>
      </c>
      <c r="H147" s="53"/>
      <c r="I147" s="276" t="str">
        <f>IFERROR(IF(H147="","",IF(AND(D147="Non-native and ornamental hedgerow",H147&lt;&gt;"Poor"),"Not possible ▲",(IF(AND(F147="V.Low",OR(H147="Good",H147="Moderate")),"Error ▲",VLOOKUP(H147,'G-1 All Habitats'!$Z$2:$AA$9,2,FALSE))))),"")</f>
        <v/>
      </c>
      <c r="J147" s="102"/>
      <c r="K147" s="295" t="str">
        <f>IF(J147="","",IF(VLOOKUP(J147,'G-3 Multipliers'!$L$3:$N$6,2,FALSE)=0,"Spatial Data Missing",VLOOKUP(J147,'G-3 Multipliers'!$L$3:$N$6,2,FALSE)))</f>
        <v/>
      </c>
      <c r="L147" s="299" t="str">
        <f>IF(J147="","",IF(VLOOKUP(J147,'G-3 Multipliers'!$L$3:$N$6,3,FALSE)=0,"Spatial Data Missing",VLOOKUP(J147,'G-3 Multipliers'!$L$3:$N$6,3,FALSE)))</f>
        <v/>
      </c>
      <c r="M147" s="134"/>
      <c r="N147" s="276" t="str">
        <f>IF(M147="","",IF(VLOOKUP(M147,'G-3 Multipliers'!$S$3:$T$10,2,FALSE)=0,"Spatial Data Missing ⚠",VLOOKUP(M147,'G-3 Multipliers'!$S$3:$T$10,2,FALSE)))</f>
        <v/>
      </c>
      <c r="O147" s="275" t="str">
        <f>IF(OR(D147="",H147=""),"",(INDEX('G-6 Hedgerow Data'!$E$3:$I$15,MATCH(D147,'G-6 Hedgerow Data'!$B$3:$B$15,0),MATCH(H147,'G-6 Hedgerow Data'!$E$2:$I$2,0))))</f>
        <v/>
      </c>
      <c r="P147" s="133"/>
      <c r="Q147" s="133"/>
      <c r="R147" s="283" t="str">
        <f t="shared" si="15"/>
        <v/>
      </c>
      <c r="S147" s="296" t="str">
        <f t="shared" si="16"/>
        <v/>
      </c>
      <c r="T147" s="297" t="str">
        <f t="shared" si="14"/>
        <v/>
      </c>
      <c r="U147" s="311" t="str">
        <f>IF(D147="","",VLOOKUP(D147,'G-6 Hedgerow Data'!$B$3:$AG$15,31,FALSE))</f>
        <v/>
      </c>
      <c r="V147" s="295" t="str">
        <f t="shared" si="17"/>
        <v/>
      </c>
      <c r="W147" s="283" t="str">
        <f t="shared" si="18"/>
        <v/>
      </c>
      <c r="X147" s="299" t="str">
        <f>IF(F147="","",VLOOKUP(U147,'G-3 Multipliers'!$P$3:$Q$6,2,FALSE))</f>
        <v/>
      </c>
      <c r="Y147" s="303" t="str">
        <f t="shared" si="19"/>
        <v/>
      </c>
      <c r="Z147" s="303" t="str">
        <f t="shared" si="20"/>
        <v/>
      </c>
      <c r="AA147" s="101"/>
      <c r="AB147" s="938"/>
      <c r="AC147" s="138"/>
      <c r="AD147" s="138"/>
      <c r="AE147" s="934"/>
      <c r="AH147" s="30" t="str">
        <f>IFERROR(INDEX('G-6 Hedgerow Data'!$BJ$3:$BJ$15,MATCH(D147,'G-6 Hedgerow Data'!$B$3:$B$15,0)),"")</f>
        <v/>
      </c>
    </row>
    <row r="148" spans="2:34" ht="14">
      <c r="B148" s="97">
        <v>137</v>
      </c>
      <c r="C148" s="171"/>
      <c r="D148" s="58"/>
      <c r="E148" s="138"/>
      <c r="F148" s="275" t="str">
        <f>IF(D148="","",VLOOKUP(D148,'G-6 Hedgerow Data'!$B$2:$AG$15,2,FALSE))</f>
        <v/>
      </c>
      <c r="G148" s="299" t="str">
        <f>IF(D148="","",VLOOKUP(D148,'G-6 Hedgerow Data'!$B$2:$AG$15,3,FALSE))</f>
        <v/>
      </c>
      <c r="H148" s="53"/>
      <c r="I148" s="276" t="str">
        <f>IFERROR(IF(H148="","",IF(AND(D148="Non-native and ornamental hedgerow",H148&lt;&gt;"Poor"),"Not possible ▲",(IF(AND(F148="V.Low",OR(H148="Good",H148="Moderate")),"Error ▲",VLOOKUP(H148,'G-1 All Habitats'!$Z$2:$AA$9,2,FALSE))))),"")</f>
        <v/>
      </c>
      <c r="J148" s="102"/>
      <c r="K148" s="295" t="str">
        <f>IF(J148="","",IF(VLOOKUP(J148,'G-3 Multipliers'!$L$3:$N$6,2,FALSE)=0,"Spatial Data Missing",VLOOKUP(J148,'G-3 Multipliers'!$L$3:$N$6,2,FALSE)))</f>
        <v/>
      </c>
      <c r="L148" s="299" t="str">
        <f>IF(J148="","",IF(VLOOKUP(J148,'G-3 Multipliers'!$L$3:$N$6,3,FALSE)=0,"Spatial Data Missing",VLOOKUP(J148,'G-3 Multipliers'!$L$3:$N$6,3,FALSE)))</f>
        <v/>
      </c>
      <c r="M148" s="134"/>
      <c r="N148" s="276" t="str">
        <f>IF(M148="","",IF(VLOOKUP(M148,'G-3 Multipliers'!$S$3:$T$10,2,FALSE)=0,"Spatial Data Missing ⚠",VLOOKUP(M148,'G-3 Multipliers'!$S$3:$T$10,2,FALSE)))</f>
        <v/>
      </c>
      <c r="O148" s="275" t="str">
        <f>IF(OR(D148="",H148=""),"",(INDEX('G-6 Hedgerow Data'!$E$3:$I$15,MATCH(D148,'G-6 Hedgerow Data'!$B$3:$B$15,0),MATCH(H148,'G-6 Hedgerow Data'!$E$2:$I$2,0))))</f>
        <v/>
      </c>
      <c r="P148" s="133"/>
      <c r="Q148" s="133"/>
      <c r="R148" s="283" t="str">
        <f t="shared" si="15"/>
        <v/>
      </c>
      <c r="S148" s="296" t="str">
        <f t="shared" si="16"/>
        <v/>
      </c>
      <c r="T148" s="297" t="str">
        <f t="shared" si="14"/>
        <v/>
      </c>
      <c r="U148" s="311" t="str">
        <f>IF(D148="","",VLOOKUP(D148,'G-6 Hedgerow Data'!$B$3:$AG$15,31,FALSE))</f>
        <v/>
      </c>
      <c r="V148" s="295" t="str">
        <f t="shared" si="17"/>
        <v/>
      </c>
      <c r="W148" s="283" t="str">
        <f t="shared" si="18"/>
        <v/>
      </c>
      <c r="X148" s="299" t="str">
        <f>IF(F148="","",VLOOKUP(U148,'G-3 Multipliers'!$P$3:$Q$6,2,FALSE))</f>
        <v/>
      </c>
      <c r="Y148" s="303" t="str">
        <f t="shared" si="19"/>
        <v/>
      </c>
      <c r="Z148" s="303" t="str">
        <f t="shared" si="20"/>
        <v/>
      </c>
      <c r="AA148" s="101"/>
      <c r="AB148" s="938"/>
      <c r="AC148" s="138"/>
      <c r="AD148" s="138"/>
      <c r="AE148" s="934"/>
      <c r="AH148" s="30" t="str">
        <f>IFERROR(INDEX('G-6 Hedgerow Data'!$BJ$3:$BJ$15,MATCH(D148,'G-6 Hedgerow Data'!$B$3:$B$15,0)),"")</f>
        <v/>
      </c>
    </row>
    <row r="149" spans="2:34" ht="14">
      <c r="B149" s="97">
        <v>138</v>
      </c>
      <c r="C149" s="171"/>
      <c r="D149" s="58"/>
      <c r="E149" s="138"/>
      <c r="F149" s="275" t="str">
        <f>IF(D149="","",VLOOKUP(D149,'G-6 Hedgerow Data'!$B$2:$AG$15,2,FALSE))</f>
        <v/>
      </c>
      <c r="G149" s="299" t="str">
        <f>IF(D149="","",VLOOKUP(D149,'G-6 Hedgerow Data'!$B$2:$AG$15,3,FALSE))</f>
        <v/>
      </c>
      <c r="H149" s="53"/>
      <c r="I149" s="276" t="str">
        <f>IFERROR(IF(H149="","",IF(AND(D149="Non-native and ornamental hedgerow",H149&lt;&gt;"Poor"),"Not possible ▲",(IF(AND(F149="V.Low",OR(H149="Good",H149="Moderate")),"Error ▲",VLOOKUP(H149,'G-1 All Habitats'!$Z$2:$AA$9,2,FALSE))))),"")</f>
        <v/>
      </c>
      <c r="J149" s="102"/>
      <c r="K149" s="295" t="str">
        <f>IF(J149="","",IF(VLOOKUP(J149,'G-3 Multipliers'!$L$3:$N$6,2,FALSE)=0,"Spatial Data Missing",VLOOKUP(J149,'G-3 Multipliers'!$L$3:$N$6,2,FALSE)))</f>
        <v/>
      </c>
      <c r="L149" s="299" t="str">
        <f>IF(J149="","",IF(VLOOKUP(J149,'G-3 Multipliers'!$L$3:$N$6,3,FALSE)=0,"Spatial Data Missing",VLOOKUP(J149,'G-3 Multipliers'!$L$3:$N$6,3,FALSE)))</f>
        <v/>
      </c>
      <c r="M149" s="134"/>
      <c r="N149" s="276" t="str">
        <f>IF(M149="","",IF(VLOOKUP(M149,'G-3 Multipliers'!$S$3:$T$10,2,FALSE)=0,"Spatial Data Missing ⚠",VLOOKUP(M149,'G-3 Multipliers'!$S$3:$T$10,2,FALSE)))</f>
        <v/>
      </c>
      <c r="O149" s="275" t="str">
        <f>IF(OR(D149="",H149=""),"",(INDEX('G-6 Hedgerow Data'!$E$3:$I$15,MATCH(D149,'G-6 Hedgerow Data'!$B$3:$B$15,0),MATCH(H149,'G-6 Hedgerow Data'!$E$2:$I$2,0))))</f>
        <v/>
      </c>
      <c r="P149" s="133"/>
      <c r="Q149" s="133"/>
      <c r="R149" s="283" t="str">
        <f t="shared" si="15"/>
        <v/>
      </c>
      <c r="S149" s="296" t="str">
        <f t="shared" si="16"/>
        <v/>
      </c>
      <c r="T149" s="297" t="str">
        <f t="shared" si="14"/>
        <v/>
      </c>
      <c r="U149" s="311" t="str">
        <f>IF(D149="","",VLOOKUP(D149,'G-6 Hedgerow Data'!$B$3:$AG$15,31,FALSE))</f>
        <v/>
      </c>
      <c r="V149" s="295" t="str">
        <f t="shared" si="17"/>
        <v/>
      </c>
      <c r="W149" s="283" t="str">
        <f t="shared" si="18"/>
        <v/>
      </c>
      <c r="X149" s="299" t="str">
        <f>IF(F149="","",VLOOKUP(U149,'G-3 Multipliers'!$P$3:$Q$6,2,FALSE))</f>
        <v/>
      </c>
      <c r="Y149" s="303" t="str">
        <f t="shared" si="19"/>
        <v/>
      </c>
      <c r="Z149" s="303" t="str">
        <f t="shared" si="20"/>
        <v/>
      </c>
      <c r="AA149" s="101"/>
      <c r="AB149" s="938"/>
      <c r="AC149" s="138"/>
      <c r="AD149" s="138"/>
      <c r="AE149" s="934"/>
      <c r="AH149" s="30" t="str">
        <f>IFERROR(INDEX('G-6 Hedgerow Data'!$BJ$3:$BJ$15,MATCH(D149,'G-6 Hedgerow Data'!$B$3:$B$15,0)),"")</f>
        <v/>
      </c>
    </row>
    <row r="150" spans="2:34" ht="14">
      <c r="B150" s="97">
        <v>139</v>
      </c>
      <c r="C150" s="171"/>
      <c r="D150" s="58"/>
      <c r="E150" s="138"/>
      <c r="F150" s="275" t="str">
        <f>IF(D150="","",VLOOKUP(D150,'G-6 Hedgerow Data'!$B$2:$AG$15,2,FALSE))</f>
        <v/>
      </c>
      <c r="G150" s="299" t="str">
        <f>IF(D150="","",VLOOKUP(D150,'G-6 Hedgerow Data'!$B$2:$AG$15,3,FALSE))</f>
        <v/>
      </c>
      <c r="H150" s="53"/>
      <c r="I150" s="276" t="str">
        <f>IFERROR(IF(H150="","",IF(AND(D150="Non-native and ornamental hedgerow",H150&lt;&gt;"Poor"),"Not possible ▲",(IF(AND(F150="V.Low",OR(H150="Good",H150="Moderate")),"Error ▲",VLOOKUP(H150,'G-1 All Habitats'!$Z$2:$AA$9,2,FALSE))))),"")</f>
        <v/>
      </c>
      <c r="J150" s="102"/>
      <c r="K150" s="295" t="str">
        <f>IF(J150="","",IF(VLOOKUP(J150,'G-3 Multipliers'!$L$3:$N$6,2,FALSE)=0,"Spatial Data Missing",VLOOKUP(J150,'G-3 Multipliers'!$L$3:$N$6,2,FALSE)))</f>
        <v/>
      </c>
      <c r="L150" s="299" t="str">
        <f>IF(J150="","",IF(VLOOKUP(J150,'G-3 Multipliers'!$L$3:$N$6,3,FALSE)=0,"Spatial Data Missing",VLOOKUP(J150,'G-3 Multipliers'!$L$3:$N$6,3,FALSE)))</f>
        <v/>
      </c>
      <c r="M150" s="134"/>
      <c r="N150" s="276" t="str">
        <f>IF(M150="","",IF(VLOOKUP(M150,'G-3 Multipliers'!$S$3:$T$10,2,FALSE)=0,"Spatial Data Missing ⚠",VLOOKUP(M150,'G-3 Multipliers'!$S$3:$T$10,2,FALSE)))</f>
        <v/>
      </c>
      <c r="O150" s="275" t="str">
        <f>IF(OR(D150="",H150=""),"",(INDEX('G-6 Hedgerow Data'!$E$3:$I$15,MATCH(D150,'G-6 Hedgerow Data'!$B$3:$B$15,0),MATCH(H150,'G-6 Hedgerow Data'!$E$2:$I$2,0))))</f>
        <v/>
      </c>
      <c r="P150" s="133"/>
      <c r="Q150" s="133"/>
      <c r="R150" s="283" t="str">
        <f t="shared" si="15"/>
        <v/>
      </c>
      <c r="S150" s="296" t="str">
        <f t="shared" si="16"/>
        <v/>
      </c>
      <c r="T150" s="297" t="str">
        <f t="shared" si="14"/>
        <v/>
      </c>
      <c r="U150" s="311" t="str">
        <f>IF(D150="","",VLOOKUP(D150,'G-6 Hedgerow Data'!$B$3:$AG$15,31,FALSE))</f>
        <v/>
      </c>
      <c r="V150" s="295" t="str">
        <f t="shared" si="17"/>
        <v/>
      </c>
      <c r="W150" s="283" t="str">
        <f t="shared" si="18"/>
        <v/>
      </c>
      <c r="X150" s="299" t="str">
        <f>IF(F150="","",VLOOKUP(U150,'G-3 Multipliers'!$P$3:$Q$6,2,FALSE))</f>
        <v/>
      </c>
      <c r="Y150" s="303" t="str">
        <f t="shared" si="19"/>
        <v/>
      </c>
      <c r="Z150" s="303" t="str">
        <f t="shared" si="20"/>
        <v/>
      </c>
      <c r="AA150" s="101"/>
      <c r="AB150" s="938"/>
      <c r="AC150" s="138"/>
      <c r="AD150" s="138"/>
      <c r="AE150" s="934"/>
      <c r="AH150" s="30" t="str">
        <f>IFERROR(INDEX('G-6 Hedgerow Data'!$BJ$3:$BJ$15,MATCH(D150,'G-6 Hedgerow Data'!$B$3:$B$15,0)),"")</f>
        <v/>
      </c>
    </row>
    <row r="151" spans="2:34" ht="14">
      <c r="B151" s="97">
        <v>140</v>
      </c>
      <c r="C151" s="171"/>
      <c r="D151" s="58"/>
      <c r="E151" s="138"/>
      <c r="F151" s="275" t="str">
        <f>IF(D151="","",VLOOKUP(D151,'G-6 Hedgerow Data'!$B$2:$AG$15,2,FALSE))</f>
        <v/>
      </c>
      <c r="G151" s="299" t="str">
        <f>IF(D151="","",VLOOKUP(D151,'G-6 Hedgerow Data'!$B$2:$AG$15,3,FALSE))</f>
        <v/>
      </c>
      <c r="H151" s="53"/>
      <c r="I151" s="276" t="str">
        <f>IFERROR(IF(H151="","",IF(AND(D151="Non-native and ornamental hedgerow",H151&lt;&gt;"Poor"),"Not possible ▲",(IF(AND(F151="V.Low",OR(H151="Good",H151="Moderate")),"Error ▲",VLOOKUP(H151,'G-1 All Habitats'!$Z$2:$AA$9,2,FALSE))))),"")</f>
        <v/>
      </c>
      <c r="J151" s="102"/>
      <c r="K151" s="295" t="str">
        <f>IF(J151="","",IF(VLOOKUP(J151,'G-3 Multipliers'!$L$3:$N$6,2,FALSE)=0,"Spatial Data Missing",VLOOKUP(J151,'G-3 Multipliers'!$L$3:$N$6,2,FALSE)))</f>
        <v/>
      </c>
      <c r="L151" s="299" t="str">
        <f>IF(J151="","",IF(VLOOKUP(J151,'G-3 Multipliers'!$L$3:$N$6,3,FALSE)=0,"Spatial Data Missing",VLOOKUP(J151,'G-3 Multipliers'!$L$3:$N$6,3,FALSE)))</f>
        <v/>
      </c>
      <c r="M151" s="134"/>
      <c r="N151" s="276" t="str">
        <f>IF(M151="","",IF(VLOOKUP(M151,'G-3 Multipliers'!$S$3:$T$10,2,FALSE)=0,"Spatial Data Missing ⚠",VLOOKUP(M151,'G-3 Multipliers'!$S$3:$T$10,2,FALSE)))</f>
        <v/>
      </c>
      <c r="O151" s="275" t="str">
        <f>IF(OR(D151="",H151=""),"",(INDEX('G-6 Hedgerow Data'!$E$3:$I$15,MATCH(D151,'G-6 Hedgerow Data'!$B$3:$B$15,0),MATCH(H151,'G-6 Hedgerow Data'!$E$2:$I$2,0))))</f>
        <v/>
      </c>
      <c r="P151" s="133"/>
      <c r="Q151" s="133"/>
      <c r="R151" s="283" t="str">
        <f t="shared" si="15"/>
        <v/>
      </c>
      <c r="S151" s="296" t="str">
        <f t="shared" si="16"/>
        <v/>
      </c>
      <c r="T151" s="297" t="str">
        <f t="shared" si="14"/>
        <v/>
      </c>
      <c r="U151" s="311" t="str">
        <f>IF(D151="","",VLOOKUP(D151,'G-6 Hedgerow Data'!$B$3:$AG$15,31,FALSE))</f>
        <v/>
      </c>
      <c r="V151" s="295" t="str">
        <f t="shared" si="17"/>
        <v/>
      </c>
      <c r="W151" s="283" t="str">
        <f t="shared" si="18"/>
        <v/>
      </c>
      <c r="X151" s="299" t="str">
        <f>IF(F151="","",VLOOKUP(U151,'G-3 Multipliers'!$P$3:$Q$6,2,FALSE))</f>
        <v/>
      </c>
      <c r="Y151" s="303" t="str">
        <f t="shared" si="19"/>
        <v/>
      </c>
      <c r="Z151" s="303" t="str">
        <f t="shared" si="20"/>
        <v/>
      </c>
      <c r="AA151" s="101"/>
      <c r="AB151" s="938"/>
      <c r="AC151" s="138"/>
      <c r="AD151" s="138"/>
      <c r="AE151" s="934"/>
      <c r="AH151" s="30" t="str">
        <f>IFERROR(INDEX('G-6 Hedgerow Data'!$BJ$3:$BJ$15,MATCH(D151,'G-6 Hedgerow Data'!$B$3:$B$15,0)),"")</f>
        <v/>
      </c>
    </row>
    <row r="152" spans="2:34" ht="14">
      <c r="B152" s="97">
        <v>141</v>
      </c>
      <c r="C152" s="171"/>
      <c r="D152" s="58"/>
      <c r="E152" s="138"/>
      <c r="F152" s="275" t="str">
        <f>IF(D152="","",VLOOKUP(D152,'G-6 Hedgerow Data'!$B$2:$AG$15,2,FALSE))</f>
        <v/>
      </c>
      <c r="G152" s="299" t="str">
        <f>IF(D152="","",VLOOKUP(D152,'G-6 Hedgerow Data'!$B$2:$AG$15,3,FALSE))</f>
        <v/>
      </c>
      <c r="H152" s="53"/>
      <c r="I152" s="276" t="str">
        <f>IFERROR(IF(H152="","",IF(AND(D152="Non-native and ornamental hedgerow",H152&lt;&gt;"Poor"),"Not possible ▲",(IF(AND(F152="V.Low",OR(H152="Good",H152="Moderate")),"Error ▲",VLOOKUP(H152,'G-1 All Habitats'!$Z$2:$AA$9,2,FALSE))))),"")</f>
        <v/>
      </c>
      <c r="J152" s="102"/>
      <c r="K152" s="295" t="str">
        <f>IF(J152="","",IF(VLOOKUP(J152,'G-3 Multipliers'!$L$3:$N$6,2,FALSE)=0,"Spatial Data Missing",VLOOKUP(J152,'G-3 Multipliers'!$L$3:$N$6,2,FALSE)))</f>
        <v/>
      </c>
      <c r="L152" s="299" t="str">
        <f>IF(J152="","",IF(VLOOKUP(J152,'G-3 Multipliers'!$L$3:$N$6,3,FALSE)=0,"Spatial Data Missing",VLOOKUP(J152,'G-3 Multipliers'!$L$3:$N$6,3,FALSE)))</f>
        <v/>
      </c>
      <c r="M152" s="134"/>
      <c r="N152" s="276" t="str">
        <f>IF(M152="","",IF(VLOOKUP(M152,'G-3 Multipliers'!$S$3:$T$10,2,FALSE)=0,"Spatial Data Missing ⚠",VLOOKUP(M152,'G-3 Multipliers'!$S$3:$T$10,2,FALSE)))</f>
        <v/>
      </c>
      <c r="O152" s="275" t="str">
        <f>IF(OR(D152="",H152=""),"",(INDEX('G-6 Hedgerow Data'!$E$3:$I$15,MATCH(D152,'G-6 Hedgerow Data'!$B$3:$B$15,0),MATCH(H152,'G-6 Hedgerow Data'!$E$2:$I$2,0))))</f>
        <v/>
      </c>
      <c r="P152" s="133"/>
      <c r="Q152" s="133"/>
      <c r="R152" s="283" t="str">
        <f t="shared" si="15"/>
        <v/>
      </c>
      <c r="S152" s="296" t="str">
        <f t="shared" si="16"/>
        <v/>
      </c>
      <c r="T152" s="297" t="str">
        <f t="shared" si="14"/>
        <v/>
      </c>
      <c r="U152" s="311" t="str">
        <f>IF(D152="","",VLOOKUP(D152,'G-6 Hedgerow Data'!$B$3:$AG$15,31,FALSE))</f>
        <v/>
      </c>
      <c r="V152" s="295" t="str">
        <f t="shared" si="17"/>
        <v/>
      </c>
      <c r="W152" s="283" t="str">
        <f t="shared" si="18"/>
        <v/>
      </c>
      <c r="X152" s="299" t="str">
        <f>IF(F152="","",VLOOKUP(U152,'G-3 Multipliers'!$P$3:$Q$6,2,FALSE))</f>
        <v/>
      </c>
      <c r="Y152" s="303" t="str">
        <f t="shared" si="19"/>
        <v/>
      </c>
      <c r="Z152" s="303" t="str">
        <f t="shared" si="20"/>
        <v/>
      </c>
      <c r="AA152" s="101"/>
      <c r="AB152" s="938"/>
      <c r="AC152" s="138"/>
      <c r="AD152" s="138"/>
      <c r="AE152" s="934"/>
      <c r="AH152" s="30" t="str">
        <f>IFERROR(INDEX('G-6 Hedgerow Data'!$BJ$3:$BJ$15,MATCH(D152,'G-6 Hedgerow Data'!$B$3:$B$15,0)),"")</f>
        <v/>
      </c>
    </row>
    <row r="153" spans="2:34" ht="14">
      <c r="B153" s="97">
        <v>142</v>
      </c>
      <c r="C153" s="171"/>
      <c r="D153" s="58"/>
      <c r="E153" s="138"/>
      <c r="F153" s="275" t="str">
        <f>IF(D153="","",VLOOKUP(D153,'G-6 Hedgerow Data'!$B$2:$AG$15,2,FALSE))</f>
        <v/>
      </c>
      <c r="G153" s="299" t="str">
        <f>IF(D153="","",VLOOKUP(D153,'G-6 Hedgerow Data'!$B$2:$AG$15,3,FALSE))</f>
        <v/>
      </c>
      <c r="H153" s="53"/>
      <c r="I153" s="276" t="str">
        <f>IFERROR(IF(H153="","",IF(AND(D153="Non-native and ornamental hedgerow",H153&lt;&gt;"Poor"),"Not possible ▲",(IF(AND(F153="V.Low",OR(H153="Good",H153="Moderate")),"Error ▲",VLOOKUP(H153,'G-1 All Habitats'!$Z$2:$AA$9,2,FALSE))))),"")</f>
        <v/>
      </c>
      <c r="J153" s="102"/>
      <c r="K153" s="295" t="str">
        <f>IF(J153="","",IF(VLOOKUP(J153,'G-3 Multipliers'!$L$3:$N$6,2,FALSE)=0,"Spatial Data Missing",VLOOKUP(J153,'G-3 Multipliers'!$L$3:$N$6,2,FALSE)))</f>
        <v/>
      </c>
      <c r="L153" s="299" t="str">
        <f>IF(J153="","",IF(VLOOKUP(J153,'G-3 Multipliers'!$L$3:$N$6,3,FALSE)=0,"Spatial Data Missing",VLOOKUP(J153,'G-3 Multipliers'!$L$3:$N$6,3,FALSE)))</f>
        <v/>
      </c>
      <c r="M153" s="134"/>
      <c r="N153" s="276" t="str">
        <f>IF(M153="","",IF(VLOOKUP(M153,'G-3 Multipliers'!$S$3:$T$10,2,FALSE)=0,"Spatial Data Missing ⚠",VLOOKUP(M153,'G-3 Multipliers'!$S$3:$T$10,2,FALSE)))</f>
        <v/>
      </c>
      <c r="O153" s="275" t="str">
        <f>IF(OR(D153="",H153=""),"",(INDEX('G-6 Hedgerow Data'!$E$3:$I$15,MATCH(D153,'G-6 Hedgerow Data'!$B$3:$B$15,0),MATCH(H153,'G-6 Hedgerow Data'!$E$2:$I$2,0))))</f>
        <v/>
      </c>
      <c r="P153" s="133"/>
      <c r="Q153" s="133"/>
      <c r="R153" s="283" t="str">
        <f t="shared" si="15"/>
        <v/>
      </c>
      <c r="S153" s="296" t="str">
        <f t="shared" si="16"/>
        <v/>
      </c>
      <c r="T153" s="297" t="str">
        <f t="shared" si="14"/>
        <v/>
      </c>
      <c r="U153" s="311" t="str">
        <f>IF(D153="","",VLOOKUP(D153,'G-6 Hedgerow Data'!$B$3:$AG$15,31,FALSE))</f>
        <v/>
      </c>
      <c r="V153" s="295" t="str">
        <f t="shared" si="17"/>
        <v/>
      </c>
      <c r="W153" s="283" t="str">
        <f t="shared" si="18"/>
        <v/>
      </c>
      <c r="X153" s="299" t="str">
        <f>IF(F153="","",VLOOKUP(U153,'G-3 Multipliers'!$P$3:$Q$6,2,FALSE))</f>
        <v/>
      </c>
      <c r="Y153" s="303" t="str">
        <f t="shared" si="19"/>
        <v/>
      </c>
      <c r="Z153" s="303" t="str">
        <f t="shared" si="20"/>
        <v/>
      </c>
      <c r="AA153" s="101"/>
      <c r="AB153" s="938"/>
      <c r="AC153" s="138"/>
      <c r="AD153" s="138"/>
      <c r="AE153" s="934"/>
      <c r="AH153" s="30" t="str">
        <f>IFERROR(INDEX('G-6 Hedgerow Data'!$BJ$3:$BJ$15,MATCH(D153,'G-6 Hedgerow Data'!$B$3:$B$15,0)),"")</f>
        <v/>
      </c>
    </row>
    <row r="154" spans="2:34" ht="14">
      <c r="B154" s="97">
        <v>143</v>
      </c>
      <c r="C154" s="171"/>
      <c r="D154" s="58"/>
      <c r="E154" s="138"/>
      <c r="F154" s="275" t="str">
        <f>IF(D154="","",VLOOKUP(D154,'G-6 Hedgerow Data'!$B$2:$AG$15,2,FALSE))</f>
        <v/>
      </c>
      <c r="G154" s="299" t="str">
        <f>IF(D154="","",VLOOKUP(D154,'G-6 Hedgerow Data'!$B$2:$AG$15,3,FALSE))</f>
        <v/>
      </c>
      <c r="H154" s="53"/>
      <c r="I154" s="276" t="str">
        <f>IFERROR(IF(H154="","",IF(AND(D154="Non-native and ornamental hedgerow",H154&lt;&gt;"Poor"),"Not possible ▲",(IF(AND(F154="V.Low",OR(H154="Good",H154="Moderate")),"Error ▲",VLOOKUP(H154,'G-1 All Habitats'!$Z$2:$AA$9,2,FALSE))))),"")</f>
        <v/>
      </c>
      <c r="J154" s="102"/>
      <c r="K154" s="295" t="str">
        <f>IF(J154="","",IF(VLOOKUP(J154,'G-3 Multipliers'!$L$3:$N$6,2,FALSE)=0,"Spatial Data Missing",VLOOKUP(J154,'G-3 Multipliers'!$L$3:$N$6,2,FALSE)))</f>
        <v/>
      </c>
      <c r="L154" s="299" t="str">
        <f>IF(J154="","",IF(VLOOKUP(J154,'G-3 Multipliers'!$L$3:$N$6,3,FALSE)=0,"Spatial Data Missing",VLOOKUP(J154,'G-3 Multipliers'!$L$3:$N$6,3,FALSE)))</f>
        <v/>
      </c>
      <c r="M154" s="134"/>
      <c r="N154" s="276" t="str">
        <f>IF(M154="","",IF(VLOOKUP(M154,'G-3 Multipliers'!$S$3:$T$10,2,FALSE)=0,"Spatial Data Missing ⚠",VLOOKUP(M154,'G-3 Multipliers'!$S$3:$T$10,2,FALSE)))</f>
        <v/>
      </c>
      <c r="O154" s="275" t="str">
        <f>IF(OR(D154="",H154=""),"",(INDEX('G-6 Hedgerow Data'!$E$3:$I$15,MATCH(D154,'G-6 Hedgerow Data'!$B$3:$B$15,0),MATCH(H154,'G-6 Hedgerow Data'!$E$2:$I$2,0))))</f>
        <v/>
      </c>
      <c r="P154" s="133"/>
      <c r="Q154" s="133"/>
      <c r="R154" s="283" t="str">
        <f t="shared" si="15"/>
        <v/>
      </c>
      <c r="S154" s="296" t="str">
        <f t="shared" si="16"/>
        <v/>
      </c>
      <c r="T154" s="297" t="str">
        <f t="shared" si="14"/>
        <v/>
      </c>
      <c r="U154" s="311" t="str">
        <f>IF(D154="","",VLOOKUP(D154,'G-6 Hedgerow Data'!$B$3:$AG$15,31,FALSE))</f>
        <v/>
      </c>
      <c r="V154" s="295" t="str">
        <f t="shared" si="17"/>
        <v/>
      </c>
      <c r="W154" s="283" t="str">
        <f t="shared" si="18"/>
        <v/>
      </c>
      <c r="X154" s="299" t="str">
        <f>IF(F154="","",VLOOKUP(U154,'G-3 Multipliers'!$P$3:$Q$6,2,FALSE))</f>
        <v/>
      </c>
      <c r="Y154" s="303" t="str">
        <f t="shared" si="19"/>
        <v/>
      </c>
      <c r="Z154" s="303" t="str">
        <f t="shared" si="20"/>
        <v/>
      </c>
      <c r="AA154" s="101"/>
      <c r="AB154" s="938"/>
      <c r="AC154" s="138"/>
      <c r="AD154" s="138"/>
      <c r="AE154" s="934"/>
      <c r="AH154" s="30" t="str">
        <f>IFERROR(INDEX('G-6 Hedgerow Data'!$BJ$3:$BJ$15,MATCH(D154,'G-6 Hedgerow Data'!$B$3:$B$15,0)),"")</f>
        <v/>
      </c>
    </row>
    <row r="155" spans="2:34" ht="14">
      <c r="B155" s="97">
        <v>144</v>
      </c>
      <c r="C155" s="171"/>
      <c r="D155" s="58"/>
      <c r="E155" s="138"/>
      <c r="F155" s="275" t="str">
        <f>IF(D155="","",VLOOKUP(D155,'G-6 Hedgerow Data'!$B$2:$AG$15,2,FALSE))</f>
        <v/>
      </c>
      <c r="G155" s="299" t="str">
        <f>IF(D155="","",VLOOKUP(D155,'G-6 Hedgerow Data'!$B$2:$AG$15,3,FALSE))</f>
        <v/>
      </c>
      <c r="H155" s="53"/>
      <c r="I155" s="276" t="str">
        <f>IFERROR(IF(H155="","",IF(AND(D155="Non-native and ornamental hedgerow",H155&lt;&gt;"Poor"),"Not possible ▲",(IF(AND(F155="V.Low",OR(H155="Good",H155="Moderate")),"Error ▲",VLOOKUP(H155,'G-1 All Habitats'!$Z$2:$AA$9,2,FALSE))))),"")</f>
        <v/>
      </c>
      <c r="J155" s="102"/>
      <c r="K155" s="295" t="str">
        <f>IF(J155="","",IF(VLOOKUP(J155,'G-3 Multipliers'!$L$3:$N$6,2,FALSE)=0,"Spatial Data Missing",VLOOKUP(J155,'G-3 Multipliers'!$L$3:$N$6,2,FALSE)))</f>
        <v/>
      </c>
      <c r="L155" s="299" t="str">
        <f>IF(J155="","",IF(VLOOKUP(J155,'G-3 Multipliers'!$L$3:$N$6,3,FALSE)=0,"Spatial Data Missing",VLOOKUP(J155,'G-3 Multipliers'!$L$3:$N$6,3,FALSE)))</f>
        <v/>
      </c>
      <c r="M155" s="134"/>
      <c r="N155" s="276" t="str">
        <f>IF(M155="","",IF(VLOOKUP(M155,'G-3 Multipliers'!$S$3:$T$10,2,FALSE)=0,"Spatial Data Missing ⚠",VLOOKUP(M155,'G-3 Multipliers'!$S$3:$T$10,2,FALSE)))</f>
        <v/>
      </c>
      <c r="O155" s="275" t="str">
        <f>IF(OR(D155="",H155=""),"",(INDEX('G-6 Hedgerow Data'!$E$3:$I$15,MATCH(D155,'G-6 Hedgerow Data'!$B$3:$B$15,0),MATCH(H155,'G-6 Hedgerow Data'!$E$2:$I$2,0))))</f>
        <v/>
      </c>
      <c r="P155" s="133"/>
      <c r="Q155" s="133"/>
      <c r="R155" s="283" t="str">
        <f t="shared" si="15"/>
        <v/>
      </c>
      <c r="S155" s="296" t="str">
        <f t="shared" si="16"/>
        <v/>
      </c>
      <c r="T155" s="297" t="str">
        <f t="shared" si="14"/>
        <v/>
      </c>
      <c r="U155" s="311" t="str">
        <f>IF(D155="","",VLOOKUP(D155,'G-6 Hedgerow Data'!$B$3:$AG$15,31,FALSE))</f>
        <v/>
      </c>
      <c r="V155" s="295" t="str">
        <f t="shared" si="17"/>
        <v/>
      </c>
      <c r="W155" s="283" t="str">
        <f t="shared" si="18"/>
        <v/>
      </c>
      <c r="X155" s="299" t="str">
        <f>IF(F155="","",VLOOKUP(U155,'G-3 Multipliers'!$P$3:$Q$6,2,FALSE))</f>
        <v/>
      </c>
      <c r="Y155" s="303" t="str">
        <f t="shared" si="19"/>
        <v/>
      </c>
      <c r="Z155" s="303" t="str">
        <f t="shared" si="20"/>
        <v/>
      </c>
      <c r="AA155" s="101"/>
      <c r="AB155" s="938"/>
      <c r="AC155" s="138"/>
      <c r="AD155" s="138"/>
      <c r="AE155" s="934"/>
      <c r="AH155" s="30" t="str">
        <f>IFERROR(INDEX('G-6 Hedgerow Data'!$BJ$3:$BJ$15,MATCH(D155,'G-6 Hedgerow Data'!$B$3:$B$15,0)),"")</f>
        <v/>
      </c>
    </row>
    <row r="156" spans="2:34" ht="14">
      <c r="B156" s="97">
        <v>145</v>
      </c>
      <c r="C156" s="171"/>
      <c r="D156" s="58"/>
      <c r="E156" s="138"/>
      <c r="F156" s="275" t="str">
        <f>IF(D156="","",VLOOKUP(D156,'G-6 Hedgerow Data'!$B$2:$AG$15,2,FALSE))</f>
        <v/>
      </c>
      <c r="G156" s="299" t="str">
        <f>IF(D156="","",VLOOKUP(D156,'G-6 Hedgerow Data'!$B$2:$AG$15,3,FALSE))</f>
        <v/>
      </c>
      <c r="H156" s="53"/>
      <c r="I156" s="276" t="str">
        <f>IFERROR(IF(H156="","",IF(AND(D156="Non-native and ornamental hedgerow",H156&lt;&gt;"Poor"),"Not possible ▲",(IF(AND(F156="V.Low",OR(H156="Good",H156="Moderate")),"Error ▲",VLOOKUP(H156,'G-1 All Habitats'!$Z$2:$AA$9,2,FALSE))))),"")</f>
        <v/>
      </c>
      <c r="J156" s="102"/>
      <c r="K156" s="295" t="str">
        <f>IF(J156="","",IF(VLOOKUP(J156,'G-3 Multipliers'!$L$3:$N$6,2,FALSE)=0,"Spatial Data Missing",VLOOKUP(J156,'G-3 Multipliers'!$L$3:$N$6,2,FALSE)))</f>
        <v/>
      </c>
      <c r="L156" s="299" t="str">
        <f>IF(J156="","",IF(VLOOKUP(J156,'G-3 Multipliers'!$L$3:$N$6,3,FALSE)=0,"Spatial Data Missing",VLOOKUP(J156,'G-3 Multipliers'!$L$3:$N$6,3,FALSE)))</f>
        <v/>
      </c>
      <c r="M156" s="134"/>
      <c r="N156" s="276" t="str">
        <f>IF(M156="","",IF(VLOOKUP(M156,'G-3 Multipliers'!$S$3:$T$10,2,FALSE)=0,"Spatial Data Missing ⚠",VLOOKUP(M156,'G-3 Multipliers'!$S$3:$T$10,2,FALSE)))</f>
        <v/>
      </c>
      <c r="O156" s="275" t="str">
        <f>IF(OR(D156="",H156=""),"",(INDEX('G-6 Hedgerow Data'!$E$3:$I$15,MATCH(D156,'G-6 Hedgerow Data'!$B$3:$B$15,0),MATCH(H156,'G-6 Hedgerow Data'!$E$2:$I$2,0))))</f>
        <v/>
      </c>
      <c r="P156" s="133"/>
      <c r="Q156" s="133"/>
      <c r="R156" s="283" t="str">
        <f t="shared" si="15"/>
        <v/>
      </c>
      <c r="S156" s="296" t="str">
        <f t="shared" si="16"/>
        <v/>
      </c>
      <c r="T156" s="297" t="str">
        <f t="shared" si="14"/>
        <v/>
      </c>
      <c r="U156" s="311" t="str">
        <f>IF(D156="","",VLOOKUP(D156,'G-6 Hedgerow Data'!$B$3:$AG$15,31,FALSE))</f>
        <v/>
      </c>
      <c r="V156" s="295" t="str">
        <f t="shared" si="17"/>
        <v/>
      </c>
      <c r="W156" s="283" t="str">
        <f t="shared" si="18"/>
        <v/>
      </c>
      <c r="X156" s="299" t="str">
        <f>IF(F156="","",VLOOKUP(U156,'G-3 Multipliers'!$P$3:$Q$6,2,FALSE))</f>
        <v/>
      </c>
      <c r="Y156" s="303" t="str">
        <f t="shared" si="19"/>
        <v/>
      </c>
      <c r="Z156" s="303" t="str">
        <f t="shared" si="20"/>
        <v/>
      </c>
      <c r="AA156" s="101"/>
      <c r="AB156" s="938"/>
      <c r="AC156" s="138"/>
      <c r="AD156" s="138"/>
      <c r="AE156" s="934"/>
      <c r="AH156" s="30" t="str">
        <f>IFERROR(INDEX('G-6 Hedgerow Data'!$BJ$3:$BJ$15,MATCH(D156,'G-6 Hedgerow Data'!$B$3:$B$15,0)),"")</f>
        <v/>
      </c>
    </row>
    <row r="157" spans="2:34" ht="14">
      <c r="B157" s="97">
        <v>146</v>
      </c>
      <c r="C157" s="171"/>
      <c r="D157" s="58"/>
      <c r="E157" s="138"/>
      <c r="F157" s="275" t="str">
        <f>IF(D157="","",VLOOKUP(D157,'G-6 Hedgerow Data'!$B$2:$AG$15,2,FALSE))</f>
        <v/>
      </c>
      <c r="G157" s="299" t="str">
        <f>IF(D157="","",VLOOKUP(D157,'G-6 Hedgerow Data'!$B$2:$AG$15,3,FALSE))</f>
        <v/>
      </c>
      <c r="H157" s="53"/>
      <c r="I157" s="276" t="str">
        <f>IFERROR(IF(H157="","",IF(AND(D157="Non-native and ornamental hedgerow",H157&lt;&gt;"Poor"),"Not possible ▲",(IF(AND(F157="V.Low",OR(H157="Good",H157="Moderate")),"Error ▲",VLOOKUP(H157,'G-1 All Habitats'!$Z$2:$AA$9,2,FALSE))))),"")</f>
        <v/>
      </c>
      <c r="J157" s="102"/>
      <c r="K157" s="295" t="str">
        <f>IF(J157="","",IF(VLOOKUP(J157,'G-3 Multipliers'!$L$3:$N$6,2,FALSE)=0,"Spatial Data Missing",VLOOKUP(J157,'G-3 Multipliers'!$L$3:$N$6,2,FALSE)))</f>
        <v/>
      </c>
      <c r="L157" s="299" t="str">
        <f>IF(J157="","",IF(VLOOKUP(J157,'G-3 Multipliers'!$L$3:$N$6,3,FALSE)=0,"Spatial Data Missing",VLOOKUP(J157,'G-3 Multipliers'!$L$3:$N$6,3,FALSE)))</f>
        <v/>
      </c>
      <c r="M157" s="134"/>
      <c r="N157" s="276" t="str">
        <f>IF(M157="","",IF(VLOOKUP(M157,'G-3 Multipliers'!$S$3:$T$10,2,FALSE)=0,"Spatial Data Missing ⚠",VLOOKUP(M157,'G-3 Multipliers'!$S$3:$T$10,2,FALSE)))</f>
        <v/>
      </c>
      <c r="O157" s="275" t="str">
        <f>IF(OR(D157="",H157=""),"",(INDEX('G-6 Hedgerow Data'!$E$3:$I$15,MATCH(D157,'G-6 Hedgerow Data'!$B$3:$B$15,0),MATCH(H157,'G-6 Hedgerow Data'!$E$2:$I$2,0))))</f>
        <v/>
      </c>
      <c r="P157" s="133"/>
      <c r="Q157" s="133"/>
      <c r="R157" s="283" t="str">
        <f t="shared" si="15"/>
        <v/>
      </c>
      <c r="S157" s="296" t="str">
        <f t="shared" si="16"/>
        <v/>
      </c>
      <c r="T157" s="297" t="str">
        <f t="shared" si="14"/>
        <v/>
      </c>
      <c r="U157" s="311" t="str">
        <f>IF(D157="","",VLOOKUP(D157,'G-6 Hedgerow Data'!$B$3:$AG$15,31,FALSE))</f>
        <v/>
      </c>
      <c r="V157" s="295" t="str">
        <f t="shared" si="17"/>
        <v/>
      </c>
      <c r="W157" s="283" t="str">
        <f t="shared" si="18"/>
        <v/>
      </c>
      <c r="X157" s="299" t="str">
        <f>IF(F157="","",VLOOKUP(U157,'G-3 Multipliers'!$P$3:$Q$6,2,FALSE))</f>
        <v/>
      </c>
      <c r="Y157" s="303" t="str">
        <f t="shared" si="19"/>
        <v/>
      </c>
      <c r="Z157" s="303" t="str">
        <f t="shared" si="20"/>
        <v/>
      </c>
      <c r="AA157" s="101"/>
      <c r="AB157" s="938"/>
      <c r="AC157" s="138"/>
      <c r="AD157" s="138"/>
      <c r="AE157" s="934"/>
      <c r="AH157" s="30" t="str">
        <f>IFERROR(INDEX('G-6 Hedgerow Data'!$BJ$3:$BJ$15,MATCH(D157,'G-6 Hedgerow Data'!$B$3:$B$15,0)),"")</f>
        <v/>
      </c>
    </row>
    <row r="158" spans="2:34" ht="14">
      <c r="B158" s="97">
        <v>147</v>
      </c>
      <c r="C158" s="171"/>
      <c r="D158" s="58"/>
      <c r="E158" s="138"/>
      <c r="F158" s="275" t="str">
        <f>IF(D158="","",VLOOKUP(D158,'G-6 Hedgerow Data'!$B$2:$AG$15,2,FALSE))</f>
        <v/>
      </c>
      <c r="G158" s="299" t="str">
        <f>IF(D158="","",VLOOKUP(D158,'G-6 Hedgerow Data'!$B$2:$AG$15,3,FALSE))</f>
        <v/>
      </c>
      <c r="H158" s="53"/>
      <c r="I158" s="276" t="str">
        <f>IFERROR(IF(H158="","",IF(AND(D158="Non-native and ornamental hedgerow",H158&lt;&gt;"Poor"),"Not possible ▲",(IF(AND(F158="V.Low",OR(H158="Good",H158="Moderate")),"Error ▲",VLOOKUP(H158,'G-1 All Habitats'!$Z$2:$AA$9,2,FALSE))))),"")</f>
        <v/>
      </c>
      <c r="J158" s="102"/>
      <c r="K158" s="295" t="str">
        <f>IF(J158="","",IF(VLOOKUP(J158,'G-3 Multipliers'!$L$3:$N$6,2,FALSE)=0,"Spatial Data Missing",VLOOKUP(J158,'G-3 Multipliers'!$L$3:$N$6,2,FALSE)))</f>
        <v/>
      </c>
      <c r="L158" s="299" t="str">
        <f>IF(J158="","",IF(VLOOKUP(J158,'G-3 Multipliers'!$L$3:$N$6,3,FALSE)=0,"Spatial Data Missing",VLOOKUP(J158,'G-3 Multipliers'!$L$3:$N$6,3,FALSE)))</f>
        <v/>
      </c>
      <c r="M158" s="134"/>
      <c r="N158" s="276" t="str">
        <f>IF(M158="","",IF(VLOOKUP(M158,'G-3 Multipliers'!$S$3:$T$10,2,FALSE)=0,"Spatial Data Missing ⚠",VLOOKUP(M158,'G-3 Multipliers'!$S$3:$T$10,2,FALSE)))</f>
        <v/>
      </c>
      <c r="O158" s="275" t="str">
        <f>IF(OR(D158="",H158=""),"",(INDEX('G-6 Hedgerow Data'!$E$3:$I$15,MATCH(D158,'G-6 Hedgerow Data'!$B$3:$B$15,0),MATCH(H158,'G-6 Hedgerow Data'!$E$2:$I$2,0))))</f>
        <v/>
      </c>
      <c r="P158" s="133"/>
      <c r="Q158" s="133"/>
      <c r="R158" s="283" t="str">
        <f t="shared" si="15"/>
        <v/>
      </c>
      <c r="S158" s="296" t="str">
        <f t="shared" si="16"/>
        <v/>
      </c>
      <c r="T158" s="297" t="str">
        <f t="shared" si="14"/>
        <v/>
      </c>
      <c r="U158" s="311" t="str">
        <f>IF(D158="","",VLOOKUP(D158,'G-6 Hedgerow Data'!$B$3:$AG$15,31,FALSE))</f>
        <v/>
      </c>
      <c r="V158" s="295" t="str">
        <f t="shared" si="17"/>
        <v/>
      </c>
      <c r="W158" s="283" t="str">
        <f t="shared" si="18"/>
        <v/>
      </c>
      <c r="X158" s="299" t="str">
        <f>IF(F158="","",VLOOKUP(U158,'G-3 Multipliers'!$P$3:$Q$6,2,FALSE))</f>
        <v/>
      </c>
      <c r="Y158" s="303" t="str">
        <f t="shared" si="19"/>
        <v/>
      </c>
      <c r="Z158" s="303" t="str">
        <f t="shared" si="20"/>
        <v/>
      </c>
      <c r="AA158" s="101"/>
      <c r="AB158" s="938"/>
      <c r="AC158" s="138"/>
      <c r="AD158" s="138"/>
      <c r="AE158" s="934"/>
      <c r="AH158" s="30" t="str">
        <f>IFERROR(INDEX('G-6 Hedgerow Data'!$BJ$3:$BJ$15,MATCH(D158,'G-6 Hedgerow Data'!$B$3:$B$15,0)),"")</f>
        <v/>
      </c>
    </row>
    <row r="159" spans="2:34" ht="14">
      <c r="B159" s="97">
        <v>148</v>
      </c>
      <c r="C159" s="171"/>
      <c r="D159" s="58"/>
      <c r="E159" s="138"/>
      <c r="F159" s="275" t="str">
        <f>IF(D159="","",VLOOKUP(D159,'G-6 Hedgerow Data'!$B$2:$AG$15,2,FALSE))</f>
        <v/>
      </c>
      <c r="G159" s="299" t="str">
        <f>IF(D159="","",VLOOKUP(D159,'G-6 Hedgerow Data'!$B$2:$AG$15,3,FALSE))</f>
        <v/>
      </c>
      <c r="H159" s="53"/>
      <c r="I159" s="276" t="str">
        <f>IFERROR(IF(H159="","",IF(AND(D159="Non-native and ornamental hedgerow",H159&lt;&gt;"Poor"),"Not possible ▲",(IF(AND(F159="V.Low",OR(H159="Good",H159="Moderate")),"Error ▲",VLOOKUP(H159,'G-1 All Habitats'!$Z$2:$AA$9,2,FALSE))))),"")</f>
        <v/>
      </c>
      <c r="J159" s="102"/>
      <c r="K159" s="295" t="str">
        <f>IF(J159="","",IF(VLOOKUP(J159,'G-3 Multipliers'!$L$3:$N$6,2,FALSE)=0,"Spatial Data Missing",VLOOKUP(J159,'G-3 Multipliers'!$L$3:$N$6,2,FALSE)))</f>
        <v/>
      </c>
      <c r="L159" s="299" t="str">
        <f>IF(J159="","",IF(VLOOKUP(J159,'G-3 Multipliers'!$L$3:$N$6,3,FALSE)=0,"Spatial Data Missing",VLOOKUP(J159,'G-3 Multipliers'!$L$3:$N$6,3,FALSE)))</f>
        <v/>
      </c>
      <c r="M159" s="134"/>
      <c r="N159" s="276" t="str">
        <f>IF(M159="","",IF(VLOOKUP(M159,'G-3 Multipliers'!$S$3:$T$10,2,FALSE)=0,"Spatial Data Missing ⚠",VLOOKUP(M159,'G-3 Multipliers'!$S$3:$T$10,2,FALSE)))</f>
        <v/>
      </c>
      <c r="O159" s="275" t="str">
        <f>IF(OR(D159="",H159=""),"",(INDEX('G-6 Hedgerow Data'!$E$3:$I$15,MATCH(D159,'G-6 Hedgerow Data'!$B$3:$B$15,0),MATCH(H159,'G-6 Hedgerow Data'!$E$2:$I$2,0))))</f>
        <v/>
      </c>
      <c r="P159" s="133"/>
      <c r="Q159" s="133"/>
      <c r="R159" s="283" t="str">
        <f t="shared" si="15"/>
        <v/>
      </c>
      <c r="S159" s="296" t="str">
        <f t="shared" si="16"/>
        <v/>
      </c>
      <c r="T159" s="297" t="str">
        <f t="shared" si="14"/>
        <v/>
      </c>
      <c r="U159" s="311" t="str">
        <f>IF(D159="","",VLOOKUP(D159,'G-6 Hedgerow Data'!$B$3:$AG$15,31,FALSE))</f>
        <v/>
      </c>
      <c r="V159" s="295" t="str">
        <f t="shared" si="17"/>
        <v/>
      </c>
      <c r="W159" s="283" t="str">
        <f t="shared" si="18"/>
        <v/>
      </c>
      <c r="X159" s="299" t="str">
        <f>IF(F159="","",VLOOKUP(U159,'G-3 Multipliers'!$P$3:$Q$6,2,FALSE))</f>
        <v/>
      </c>
      <c r="Y159" s="303" t="str">
        <f t="shared" si="19"/>
        <v/>
      </c>
      <c r="Z159" s="303" t="str">
        <f t="shared" si="20"/>
        <v/>
      </c>
      <c r="AA159" s="101"/>
      <c r="AB159" s="938"/>
      <c r="AC159" s="138"/>
      <c r="AD159" s="138"/>
      <c r="AE159" s="934"/>
      <c r="AH159" s="30" t="str">
        <f>IFERROR(INDEX('G-6 Hedgerow Data'!$BJ$3:$BJ$15,MATCH(D159,'G-6 Hedgerow Data'!$B$3:$B$15,0)),"")</f>
        <v/>
      </c>
    </row>
    <row r="160" spans="2:34" ht="14">
      <c r="B160" s="97">
        <v>149</v>
      </c>
      <c r="C160" s="171"/>
      <c r="D160" s="58"/>
      <c r="E160" s="138"/>
      <c r="F160" s="275" t="str">
        <f>IF(D160="","",VLOOKUP(D160,'G-6 Hedgerow Data'!$B$2:$AG$15,2,FALSE))</f>
        <v/>
      </c>
      <c r="G160" s="299" t="str">
        <f>IF(D160="","",VLOOKUP(D160,'G-6 Hedgerow Data'!$B$2:$AG$15,3,FALSE))</f>
        <v/>
      </c>
      <c r="H160" s="53"/>
      <c r="I160" s="276" t="str">
        <f>IFERROR(IF(H160="","",IF(AND(D160="Non-native and ornamental hedgerow",H160&lt;&gt;"Poor"),"Not possible ▲",(IF(AND(F160="V.Low",OR(H160="Good",H160="Moderate")),"Error ▲",VLOOKUP(H160,'G-1 All Habitats'!$Z$2:$AA$9,2,FALSE))))),"")</f>
        <v/>
      </c>
      <c r="J160" s="102"/>
      <c r="K160" s="295" t="str">
        <f>IF(J160="","",IF(VLOOKUP(J160,'G-3 Multipliers'!$L$3:$N$6,2,FALSE)=0,"Spatial Data Missing",VLOOKUP(J160,'G-3 Multipliers'!$L$3:$N$6,2,FALSE)))</f>
        <v/>
      </c>
      <c r="L160" s="299" t="str">
        <f>IF(J160="","",IF(VLOOKUP(J160,'G-3 Multipliers'!$L$3:$N$6,3,FALSE)=0,"Spatial Data Missing",VLOOKUP(J160,'G-3 Multipliers'!$L$3:$N$6,3,FALSE)))</f>
        <v/>
      </c>
      <c r="M160" s="134"/>
      <c r="N160" s="276" t="str">
        <f>IF(M160="","",IF(VLOOKUP(M160,'G-3 Multipliers'!$S$3:$T$10,2,FALSE)=0,"Spatial Data Missing ⚠",VLOOKUP(M160,'G-3 Multipliers'!$S$3:$T$10,2,FALSE)))</f>
        <v/>
      </c>
      <c r="O160" s="275" t="str">
        <f>IF(OR(D160="",H160=""),"",(INDEX('G-6 Hedgerow Data'!$E$3:$I$15,MATCH(D160,'G-6 Hedgerow Data'!$B$3:$B$15,0),MATCH(H160,'G-6 Hedgerow Data'!$E$2:$I$2,0))))</f>
        <v/>
      </c>
      <c r="P160" s="133"/>
      <c r="Q160" s="133"/>
      <c r="R160" s="283" t="str">
        <f t="shared" si="15"/>
        <v/>
      </c>
      <c r="S160" s="296" t="str">
        <f t="shared" si="16"/>
        <v/>
      </c>
      <c r="T160" s="297" t="str">
        <f t="shared" si="14"/>
        <v/>
      </c>
      <c r="U160" s="311" t="str">
        <f>IF(D160="","",VLOOKUP(D160,'G-6 Hedgerow Data'!$B$3:$AG$15,31,FALSE))</f>
        <v/>
      </c>
      <c r="V160" s="295" t="str">
        <f t="shared" si="17"/>
        <v/>
      </c>
      <c r="W160" s="283" t="str">
        <f t="shared" si="18"/>
        <v/>
      </c>
      <c r="X160" s="299" t="str">
        <f>IF(F160="","",VLOOKUP(U160,'G-3 Multipliers'!$P$3:$Q$6,2,FALSE))</f>
        <v/>
      </c>
      <c r="Y160" s="303" t="str">
        <f t="shared" si="19"/>
        <v/>
      </c>
      <c r="Z160" s="303" t="str">
        <f t="shared" si="20"/>
        <v/>
      </c>
      <c r="AA160" s="101"/>
      <c r="AB160" s="938"/>
      <c r="AC160" s="138"/>
      <c r="AD160" s="138"/>
      <c r="AE160" s="934"/>
      <c r="AH160" s="30" t="str">
        <f>IFERROR(INDEX('G-6 Hedgerow Data'!$BJ$3:$BJ$15,MATCH(D160,'G-6 Hedgerow Data'!$B$3:$B$15,0)),"")</f>
        <v/>
      </c>
    </row>
    <row r="161" spans="2:34" ht="14">
      <c r="B161" s="97">
        <v>150</v>
      </c>
      <c r="C161" s="171"/>
      <c r="D161" s="58"/>
      <c r="E161" s="138"/>
      <c r="F161" s="275" t="str">
        <f>IF(D161="","",VLOOKUP(D161,'G-6 Hedgerow Data'!$B$2:$AG$15,2,FALSE))</f>
        <v/>
      </c>
      <c r="G161" s="299" t="str">
        <f>IF(D161="","",VLOOKUP(D161,'G-6 Hedgerow Data'!$B$2:$AG$15,3,FALSE))</f>
        <v/>
      </c>
      <c r="H161" s="53"/>
      <c r="I161" s="276" t="str">
        <f>IFERROR(IF(H161="","",IF(AND(D161="Non-native and ornamental hedgerow",H161&lt;&gt;"Poor"),"Not possible ▲",(IF(AND(F161="V.Low",OR(H161="Good",H161="Moderate")),"Error ▲",VLOOKUP(H161,'G-1 All Habitats'!$Z$2:$AA$9,2,FALSE))))),"")</f>
        <v/>
      </c>
      <c r="J161" s="102"/>
      <c r="K161" s="295" t="str">
        <f>IF(J161="","",IF(VLOOKUP(J161,'G-3 Multipliers'!$L$3:$N$6,2,FALSE)=0,"Spatial Data Missing",VLOOKUP(J161,'G-3 Multipliers'!$L$3:$N$6,2,FALSE)))</f>
        <v/>
      </c>
      <c r="L161" s="299" t="str">
        <f>IF(J161="","",IF(VLOOKUP(J161,'G-3 Multipliers'!$L$3:$N$6,3,FALSE)=0,"Spatial Data Missing",VLOOKUP(J161,'G-3 Multipliers'!$L$3:$N$6,3,FALSE)))</f>
        <v/>
      </c>
      <c r="M161" s="134"/>
      <c r="N161" s="276" t="str">
        <f>IF(M161="","",IF(VLOOKUP(M161,'G-3 Multipliers'!$S$3:$T$10,2,FALSE)=0,"Spatial Data Missing ⚠",VLOOKUP(M161,'G-3 Multipliers'!$S$3:$T$10,2,FALSE)))</f>
        <v/>
      </c>
      <c r="O161" s="275" t="str">
        <f>IF(OR(D161="",H161=""),"",(INDEX('G-6 Hedgerow Data'!$E$3:$I$15,MATCH(D161,'G-6 Hedgerow Data'!$B$3:$B$15,0),MATCH(H161,'G-6 Hedgerow Data'!$E$2:$I$2,0))))</f>
        <v/>
      </c>
      <c r="P161" s="133"/>
      <c r="Q161" s="133"/>
      <c r="R161" s="283" t="str">
        <f t="shared" si="15"/>
        <v/>
      </c>
      <c r="S161" s="296" t="str">
        <f t="shared" si="16"/>
        <v/>
      </c>
      <c r="T161" s="297" t="str">
        <f t="shared" si="14"/>
        <v/>
      </c>
      <c r="U161" s="311" t="str">
        <f>IF(D161="","",VLOOKUP(D161,'G-6 Hedgerow Data'!$B$3:$AG$15,31,FALSE))</f>
        <v/>
      </c>
      <c r="V161" s="295" t="str">
        <f t="shared" si="17"/>
        <v/>
      </c>
      <c r="W161" s="283" t="str">
        <f t="shared" si="18"/>
        <v/>
      </c>
      <c r="X161" s="299" t="str">
        <f>IF(F161="","",VLOOKUP(U161,'G-3 Multipliers'!$P$3:$Q$6,2,FALSE))</f>
        <v/>
      </c>
      <c r="Y161" s="303" t="str">
        <f t="shared" si="19"/>
        <v/>
      </c>
      <c r="Z161" s="303" t="str">
        <f t="shared" si="20"/>
        <v/>
      </c>
      <c r="AA161" s="101"/>
      <c r="AB161" s="938"/>
      <c r="AC161" s="138"/>
      <c r="AD161" s="138"/>
      <c r="AE161" s="934"/>
      <c r="AH161" s="30" t="str">
        <f>IFERROR(INDEX('G-6 Hedgerow Data'!$BJ$3:$BJ$15,MATCH(D161,'G-6 Hedgerow Data'!$B$3:$B$15,0)),"")</f>
        <v/>
      </c>
    </row>
    <row r="162" spans="2:34" ht="14">
      <c r="B162" s="97">
        <v>151</v>
      </c>
      <c r="C162" s="171"/>
      <c r="D162" s="58"/>
      <c r="E162" s="138"/>
      <c r="F162" s="275" t="str">
        <f>IF(D162="","",VLOOKUP(D162,'G-6 Hedgerow Data'!$B$2:$AG$15,2,FALSE))</f>
        <v/>
      </c>
      <c r="G162" s="299" t="str">
        <f>IF(D162="","",VLOOKUP(D162,'G-6 Hedgerow Data'!$B$2:$AG$15,3,FALSE))</f>
        <v/>
      </c>
      <c r="H162" s="53"/>
      <c r="I162" s="276" t="str">
        <f>IFERROR(IF(H162="","",IF(AND(D162="Non-native and ornamental hedgerow",H162&lt;&gt;"Poor"),"Not possible ▲",(IF(AND(F162="V.Low",OR(H162="Good",H162="Moderate")),"Error ▲",VLOOKUP(H162,'G-1 All Habitats'!$Z$2:$AA$9,2,FALSE))))),"")</f>
        <v/>
      </c>
      <c r="J162" s="102"/>
      <c r="K162" s="295" t="str">
        <f>IF(J162="","",IF(VLOOKUP(J162,'G-3 Multipliers'!$L$3:$N$6,2,FALSE)=0,"Spatial Data Missing",VLOOKUP(J162,'G-3 Multipliers'!$L$3:$N$6,2,FALSE)))</f>
        <v/>
      </c>
      <c r="L162" s="299" t="str">
        <f>IF(J162="","",IF(VLOOKUP(J162,'G-3 Multipliers'!$L$3:$N$6,3,FALSE)=0,"Spatial Data Missing",VLOOKUP(J162,'G-3 Multipliers'!$L$3:$N$6,3,FALSE)))</f>
        <v/>
      </c>
      <c r="M162" s="134"/>
      <c r="N162" s="276" t="str">
        <f>IF(M162="","",IF(VLOOKUP(M162,'G-3 Multipliers'!$S$3:$T$10,2,FALSE)=0,"Spatial Data Missing ⚠",VLOOKUP(M162,'G-3 Multipliers'!$S$3:$T$10,2,FALSE)))</f>
        <v/>
      </c>
      <c r="O162" s="275" t="str">
        <f>IF(OR(D162="",H162=""),"",(INDEX('G-6 Hedgerow Data'!$E$3:$I$15,MATCH(D162,'G-6 Hedgerow Data'!$B$3:$B$15,0),MATCH(H162,'G-6 Hedgerow Data'!$E$2:$I$2,0))))</f>
        <v/>
      </c>
      <c r="P162" s="133"/>
      <c r="Q162" s="133"/>
      <c r="R162" s="283" t="str">
        <f t="shared" si="15"/>
        <v/>
      </c>
      <c r="S162" s="296" t="str">
        <f t="shared" si="16"/>
        <v/>
      </c>
      <c r="T162" s="297" t="str">
        <f t="shared" si="14"/>
        <v/>
      </c>
      <c r="U162" s="311" t="str">
        <f>IF(D162="","",VLOOKUP(D162,'G-6 Hedgerow Data'!$B$3:$AG$15,31,FALSE))</f>
        <v/>
      </c>
      <c r="V162" s="295" t="str">
        <f t="shared" si="17"/>
        <v/>
      </c>
      <c r="W162" s="283" t="str">
        <f t="shared" si="18"/>
        <v/>
      </c>
      <c r="X162" s="299" t="str">
        <f>IF(F162="","",VLOOKUP(U162,'G-3 Multipliers'!$P$3:$Q$6,2,FALSE))</f>
        <v/>
      </c>
      <c r="Y162" s="303" t="str">
        <f t="shared" si="19"/>
        <v/>
      </c>
      <c r="Z162" s="303" t="str">
        <f t="shared" si="20"/>
        <v/>
      </c>
      <c r="AA162" s="101"/>
      <c r="AB162" s="938"/>
      <c r="AC162" s="138"/>
      <c r="AD162" s="138"/>
      <c r="AE162" s="934"/>
      <c r="AH162" s="30" t="str">
        <f>IFERROR(INDEX('G-6 Hedgerow Data'!$BJ$3:$BJ$15,MATCH(D162,'G-6 Hedgerow Data'!$B$3:$B$15,0)),"")</f>
        <v/>
      </c>
    </row>
    <row r="163" spans="2:34" ht="14">
      <c r="B163" s="97">
        <v>152</v>
      </c>
      <c r="C163" s="171"/>
      <c r="D163" s="58"/>
      <c r="E163" s="138"/>
      <c r="F163" s="275" t="str">
        <f>IF(D163="","",VLOOKUP(D163,'G-6 Hedgerow Data'!$B$2:$AG$15,2,FALSE))</f>
        <v/>
      </c>
      <c r="G163" s="299" t="str">
        <f>IF(D163="","",VLOOKUP(D163,'G-6 Hedgerow Data'!$B$2:$AG$15,3,FALSE))</f>
        <v/>
      </c>
      <c r="H163" s="53"/>
      <c r="I163" s="276" t="str">
        <f>IFERROR(IF(H163="","",IF(AND(D163="Non-native and ornamental hedgerow",H163&lt;&gt;"Poor"),"Not possible ▲",(IF(AND(F163="V.Low",OR(H163="Good",H163="Moderate")),"Error ▲",VLOOKUP(H163,'G-1 All Habitats'!$Z$2:$AA$9,2,FALSE))))),"")</f>
        <v/>
      </c>
      <c r="J163" s="102"/>
      <c r="K163" s="295" t="str">
        <f>IF(J163="","",IF(VLOOKUP(J163,'G-3 Multipliers'!$L$3:$N$6,2,FALSE)=0,"Spatial Data Missing",VLOOKUP(J163,'G-3 Multipliers'!$L$3:$N$6,2,FALSE)))</f>
        <v/>
      </c>
      <c r="L163" s="299" t="str">
        <f>IF(J163="","",IF(VLOOKUP(J163,'G-3 Multipliers'!$L$3:$N$6,3,FALSE)=0,"Spatial Data Missing",VLOOKUP(J163,'G-3 Multipliers'!$L$3:$N$6,3,FALSE)))</f>
        <v/>
      </c>
      <c r="M163" s="134"/>
      <c r="N163" s="276" t="str">
        <f>IF(M163="","",IF(VLOOKUP(M163,'G-3 Multipliers'!$S$3:$T$10,2,FALSE)=0,"Spatial Data Missing ⚠",VLOOKUP(M163,'G-3 Multipliers'!$S$3:$T$10,2,FALSE)))</f>
        <v/>
      </c>
      <c r="O163" s="275" t="str">
        <f>IF(OR(D163="",H163=""),"",(INDEX('G-6 Hedgerow Data'!$E$3:$I$15,MATCH(D163,'G-6 Hedgerow Data'!$B$3:$B$15,0),MATCH(H163,'G-6 Hedgerow Data'!$E$2:$I$2,0))))</f>
        <v/>
      </c>
      <c r="P163" s="133"/>
      <c r="Q163" s="133"/>
      <c r="R163" s="283" t="str">
        <f t="shared" si="15"/>
        <v/>
      </c>
      <c r="S163" s="296" t="str">
        <f t="shared" si="16"/>
        <v/>
      </c>
      <c r="T163" s="297" t="str">
        <f t="shared" si="14"/>
        <v/>
      </c>
      <c r="U163" s="311" t="str">
        <f>IF(D163="","",VLOOKUP(D163,'G-6 Hedgerow Data'!$B$3:$AG$15,31,FALSE))</f>
        <v/>
      </c>
      <c r="V163" s="295" t="str">
        <f t="shared" si="17"/>
        <v/>
      </c>
      <c r="W163" s="283" t="str">
        <f t="shared" si="18"/>
        <v/>
      </c>
      <c r="X163" s="299" t="str">
        <f>IF(F163="","",VLOOKUP(U163,'G-3 Multipliers'!$P$3:$Q$6,2,FALSE))</f>
        <v/>
      </c>
      <c r="Y163" s="303" t="str">
        <f t="shared" si="19"/>
        <v/>
      </c>
      <c r="Z163" s="303" t="str">
        <f t="shared" si="20"/>
        <v/>
      </c>
      <c r="AA163" s="101"/>
      <c r="AB163" s="938"/>
      <c r="AC163" s="138"/>
      <c r="AD163" s="138"/>
      <c r="AE163" s="934"/>
      <c r="AH163" s="30" t="str">
        <f>IFERROR(INDEX('G-6 Hedgerow Data'!$BJ$3:$BJ$15,MATCH(D163,'G-6 Hedgerow Data'!$B$3:$B$15,0)),"")</f>
        <v/>
      </c>
    </row>
    <row r="164" spans="2:34" ht="14">
      <c r="B164" s="97">
        <v>153</v>
      </c>
      <c r="C164" s="171"/>
      <c r="D164" s="58"/>
      <c r="E164" s="138"/>
      <c r="F164" s="275" t="str">
        <f>IF(D164="","",VLOOKUP(D164,'G-6 Hedgerow Data'!$B$2:$AG$15,2,FALSE))</f>
        <v/>
      </c>
      <c r="G164" s="299" t="str">
        <f>IF(D164="","",VLOOKUP(D164,'G-6 Hedgerow Data'!$B$2:$AG$15,3,FALSE))</f>
        <v/>
      </c>
      <c r="H164" s="53"/>
      <c r="I164" s="276" t="str">
        <f>IFERROR(IF(H164="","",IF(AND(D164="Non-native and ornamental hedgerow",H164&lt;&gt;"Poor"),"Not possible ▲",(IF(AND(F164="V.Low",OR(H164="Good",H164="Moderate")),"Error ▲",VLOOKUP(H164,'G-1 All Habitats'!$Z$2:$AA$9,2,FALSE))))),"")</f>
        <v/>
      </c>
      <c r="J164" s="102"/>
      <c r="K164" s="295" t="str">
        <f>IF(J164="","",IF(VLOOKUP(J164,'G-3 Multipliers'!$L$3:$N$6,2,FALSE)=0,"Spatial Data Missing",VLOOKUP(J164,'G-3 Multipliers'!$L$3:$N$6,2,FALSE)))</f>
        <v/>
      </c>
      <c r="L164" s="299" t="str">
        <f>IF(J164="","",IF(VLOOKUP(J164,'G-3 Multipliers'!$L$3:$N$6,3,FALSE)=0,"Spatial Data Missing",VLOOKUP(J164,'G-3 Multipliers'!$L$3:$N$6,3,FALSE)))</f>
        <v/>
      </c>
      <c r="M164" s="134"/>
      <c r="N164" s="276" t="str">
        <f>IF(M164="","",IF(VLOOKUP(M164,'G-3 Multipliers'!$S$3:$T$10,2,FALSE)=0,"Spatial Data Missing ⚠",VLOOKUP(M164,'G-3 Multipliers'!$S$3:$T$10,2,FALSE)))</f>
        <v/>
      </c>
      <c r="O164" s="275" t="str">
        <f>IF(OR(D164="",H164=""),"",(INDEX('G-6 Hedgerow Data'!$E$3:$I$15,MATCH(D164,'G-6 Hedgerow Data'!$B$3:$B$15,0),MATCH(H164,'G-6 Hedgerow Data'!$E$2:$I$2,0))))</f>
        <v/>
      </c>
      <c r="P164" s="133"/>
      <c r="Q164" s="133"/>
      <c r="R164" s="283" t="str">
        <f t="shared" si="15"/>
        <v/>
      </c>
      <c r="S164" s="296" t="str">
        <f t="shared" si="16"/>
        <v/>
      </c>
      <c r="T164" s="297" t="str">
        <f t="shared" si="14"/>
        <v/>
      </c>
      <c r="U164" s="311" t="str">
        <f>IF(D164="","",VLOOKUP(D164,'G-6 Hedgerow Data'!$B$3:$AG$15,31,FALSE))</f>
        <v/>
      </c>
      <c r="V164" s="295" t="str">
        <f t="shared" si="17"/>
        <v/>
      </c>
      <c r="W164" s="283" t="str">
        <f t="shared" si="18"/>
        <v/>
      </c>
      <c r="X164" s="299" t="str">
        <f>IF(F164="","",VLOOKUP(U164,'G-3 Multipliers'!$P$3:$Q$6,2,FALSE))</f>
        <v/>
      </c>
      <c r="Y164" s="303" t="str">
        <f t="shared" si="19"/>
        <v/>
      </c>
      <c r="Z164" s="303" t="str">
        <f t="shared" si="20"/>
        <v/>
      </c>
      <c r="AA164" s="101"/>
      <c r="AB164" s="938"/>
      <c r="AC164" s="138"/>
      <c r="AD164" s="138"/>
      <c r="AE164" s="934"/>
      <c r="AH164" s="30" t="str">
        <f>IFERROR(INDEX('G-6 Hedgerow Data'!$BJ$3:$BJ$15,MATCH(D164,'G-6 Hedgerow Data'!$B$3:$B$15,0)),"")</f>
        <v/>
      </c>
    </row>
    <row r="165" spans="2:34" ht="14">
      <c r="B165" s="97">
        <v>154</v>
      </c>
      <c r="C165" s="171"/>
      <c r="D165" s="58"/>
      <c r="E165" s="138"/>
      <c r="F165" s="275" t="str">
        <f>IF(D165="","",VLOOKUP(D165,'G-6 Hedgerow Data'!$B$2:$AG$15,2,FALSE))</f>
        <v/>
      </c>
      <c r="G165" s="299" t="str">
        <f>IF(D165="","",VLOOKUP(D165,'G-6 Hedgerow Data'!$B$2:$AG$15,3,FALSE))</f>
        <v/>
      </c>
      <c r="H165" s="53"/>
      <c r="I165" s="276" t="str">
        <f>IFERROR(IF(H165="","",IF(AND(D165="Non-native and ornamental hedgerow",H165&lt;&gt;"Poor"),"Not possible ▲",(IF(AND(F165="V.Low",OR(H165="Good",H165="Moderate")),"Error ▲",VLOOKUP(H165,'G-1 All Habitats'!$Z$2:$AA$9,2,FALSE))))),"")</f>
        <v/>
      </c>
      <c r="J165" s="102"/>
      <c r="K165" s="295" t="str">
        <f>IF(J165="","",IF(VLOOKUP(J165,'G-3 Multipliers'!$L$3:$N$6,2,FALSE)=0,"Spatial Data Missing",VLOOKUP(J165,'G-3 Multipliers'!$L$3:$N$6,2,FALSE)))</f>
        <v/>
      </c>
      <c r="L165" s="299" t="str">
        <f>IF(J165="","",IF(VLOOKUP(J165,'G-3 Multipliers'!$L$3:$N$6,3,FALSE)=0,"Spatial Data Missing",VLOOKUP(J165,'G-3 Multipliers'!$L$3:$N$6,3,FALSE)))</f>
        <v/>
      </c>
      <c r="M165" s="134"/>
      <c r="N165" s="276" t="str">
        <f>IF(M165="","",IF(VLOOKUP(M165,'G-3 Multipliers'!$S$3:$T$10,2,FALSE)=0,"Spatial Data Missing ⚠",VLOOKUP(M165,'G-3 Multipliers'!$S$3:$T$10,2,FALSE)))</f>
        <v/>
      </c>
      <c r="O165" s="275" t="str">
        <f>IF(OR(D165="",H165=""),"",(INDEX('G-6 Hedgerow Data'!$E$3:$I$15,MATCH(D165,'G-6 Hedgerow Data'!$B$3:$B$15,0),MATCH(H165,'G-6 Hedgerow Data'!$E$2:$I$2,0))))</f>
        <v/>
      </c>
      <c r="P165" s="133"/>
      <c r="Q165" s="133"/>
      <c r="R165" s="283" t="str">
        <f t="shared" si="15"/>
        <v/>
      </c>
      <c r="S165" s="296" t="str">
        <f t="shared" si="16"/>
        <v/>
      </c>
      <c r="T165" s="297" t="str">
        <f t="shared" si="14"/>
        <v/>
      </c>
      <c r="U165" s="311" t="str">
        <f>IF(D165="","",VLOOKUP(D165,'G-6 Hedgerow Data'!$B$3:$AG$15,31,FALSE))</f>
        <v/>
      </c>
      <c r="V165" s="295" t="str">
        <f t="shared" si="17"/>
        <v/>
      </c>
      <c r="W165" s="283" t="str">
        <f t="shared" si="18"/>
        <v/>
      </c>
      <c r="X165" s="299" t="str">
        <f>IF(F165="","",VLOOKUP(U165,'G-3 Multipliers'!$P$3:$Q$6,2,FALSE))</f>
        <v/>
      </c>
      <c r="Y165" s="303" t="str">
        <f t="shared" si="19"/>
        <v/>
      </c>
      <c r="Z165" s="303" t="str">
        <f t="shared" si="20"/>
        <v/>
      </c>
      <c r="AA165" s="101"/>
      <c r="AB165" s="938"/>
      <c r="AC165" s="138"/>
      <c r="AD165" s="138"/>
      <c r="AE165" s="934"/>
      <c r="AH165" s="30" t="str">
        <f>IFERROR(INDEX('G-6 Hedgerow Data'!$BJ$3:$BJ$15,MATCH(D165,'G-6 Hedgerow Data'!$B$3:$B$15,0)),"")</f>
        <v/>
      </c>
    </row>
    <row r="166" spans="2:34" ht="14">
      <c r="B166" s="97">
        <v>155</v>
      </c>
      <c r="C166" s="171"/>
      <c r="D166" s="58"/>
      <c r="E166" s="138"/>
      <c r="F166" s="275" t="str">
        <f>IF(D166="","",VLOOKUP(D166,'G-6 Hedgerow Data'!$B$2:$AG$15,2,FALSE))</f>
        <v/>
      </c>
      <c r="G166" s="299" t="str">
        <f>IF(D166="","",VLOOKUP(D166,'G-6 Hedgerow Data'!$B$2:$AG$15,3,FALSE))</f>
        <v/>
      </c>
      <c r="H166" s="53"/>
      <c r="I166" s="276" t="str">
        <f>IFERROR(IF(H166="","",IF(AND(D166="Non-native and ornamental hedgerow",H166&lt;&gt;"Poor"),"Not possible ▲",(IF(AND(F166="V.Low",OR(H166="Good",H166="Moderate")),"Error ▲",VLOOKUP(H166,'G-1 All Habitats'!$Z$2:$AA$9,2,FALSE))))),"")</f>
        <v/>
      </c>
      <c r="J166" s="102"/>
      <c r="K166" s="295" t="str">
        <f>IF(J166="","",IF(VLOOKUP(J166,'G-3 Multipliers'!$L$3:$N$6,2,FALSE)=0,"Spatial Data Missing",VLOOKUP(J166,'G-3 Multipliers'!$L$3:$N$6,2,FALSE)))</f>
        <v/>
      </c>
      <c r="L166" s="299" t="str">
        <f>IF(J166="","",IF(VLOOKUP(J166,'G-3 Multipliers'!$L$3:$N$6,3,FALSE)=0,"Spatial Data Missing",VLOOKUP(J166,'G-3 Multipliers'!$L$3:$N$6,3,FALSE)))</f>
        <v/>
      </c>
      <c r="M166" s="134"/>
      <c r="N166" s="276" t="str">
        <f>IF(M166="","",IF(VLOOKUP(M166,'G-3 Multipliers'!$S$3:$T$10,2,FALSE)=0,"Spatial Data Missing ⚠",VLOOKUP(M166,'G-3 Multipliers'!$S$3:$T$10,2,FALSE)))</f>
        <v/>
      </c>
      <c r="O166" s="275" t="str">
        <f>IF(OR(D166="",H166=""),"",(INDEX('G-6 Hedgerow Data'!$E$3:$I$15,MATCH(D166,'G-6 Hedgerow Data'!$B$3:$B$15,0),MATCH(H166,'G-6 Hedgerow Data'!$E$2:$I$2,0))))</f>
        <v/>
      </c>
      <c r="P166" s="133"/>
      <c r="Q166" s="133"/>
      <c r="R166" s="283" t="str">
        <f t="shared" si="15"/>
        <v/>
      </c>
      <c r="S166" s="296" t="str">
        <f t="shared" si="16"/>
        <v/>
      </c>
      <c r="T166" s="297" t="str">
        <f t="shared" si="14"/>
        <v/>
      </c>
      <c r="U166" s="311" t="str">
        <f>IF(D166="","",VLOOKUP(D166,'G-6 Hedgerow Data'!$B$3:$AG$15,31,FALSE))</f>
        <v/>
      </c>
      <c r="V166" s="295" t="str">
        <f t="shared" si="17"/>
        <v/>
      </c>
      <c r="W166" s="283" t="str">
        <f t="shared" si="18"/>
        <v/>
      </c>
      <c r="X166" s="299" t="str">
        <f>IF(F166="","",VLOOKUP(U166,'G-3 Multipliers'!$P$3:$Q$6,2,FALSE))</f>
        <v/>
      </c>
      <c r="Y166" s="303" t="str">
        <f t="shared" si="19"/>
        <v/>
      </c>
      <c r="Z166" s="303" t="str">
        <f t="shared" si="20"/>
        <v/>
      </c>
      <c r="AA166" s="101"/>
      <c r="AB166" s="938"/>
      <c r="AC166" s="138"/>
      <c r="AD166" s="138"/>
      <c r="AE166" s="934"/>
      <c r="AH166" s="30" t="str">
        <f>IFERROR(INDEX('G-6 Hedgerow Data'!$BJ$3:$BJ$15,MATCH(D166,'G-6 Hedgerow Data'!$B$3:$B$15,0)),"")</f>
        <v/>
      </c>
    </row>
    <row r="167" spans="2:34" ht="14">
      <c r="B167" s="97">
        <v>156</v>
      </c>
      <c r="C167" s="171"/>
      <c r="D167" s="58"/>
      <c r="E167" s="138"/>
      <c r="F167" s="275" t="str">
        <f>IF(D167="","",VLOOKUP(D167,'G-6 Hedgerow Data'!$B$2:$AG$15,2,FALSE))</f>
        <v/>
      </c>
      <c r="G167" s="299" t="str">
        <f>IF(D167="","",VLOOKUP(D167,'G-6 Hedgerow Data'!$B$2:$AG$15,3,FALSE))</f>
        <v/>
      </c>
      <c r="H167" s="53"/>
      <c r="I167" s="276" t="str">
        <f>IFERROR(IF(H167="","",IF(AND(D167="Non-native and ornamental hedgerow",H167&lt;&gt;"Poor"),"Not possible ▲",(IF(AND(F167="V.Low",OR(H167="Good",H167="Moderate")),"Error ▲",VLOOKUP(H167,'G-1 All Habitats'!$Z$2:$AA$9,2,FALSE))))),"")</f>
        <v/>
      </c>
      <c r="J167" s="102"/>
      <c r="K167" s="295" t="str">
        <f>IF(J167="","",IF(VLOOKUP(J167,'G-3 Multipliers'!$L$3:$N$6,2,FALSE)=0,"Spatial Data Missing",VLOOKUP(J167,'G-3 Multipliers'!$L$3:$N$6,2,FALSE)))</f>
        <v/>
      </c>
      <c r="L167" s="299" t="str">
        <f>IF(J167="","",IF(VLOOKUP(J167,'G-3 Multipliers'!$L$3:$N$6,3,FALSE)=0,"Spatial Data Missing",VLOOKUP(J167,'G-3 Multipliers'!$L$3:$N$6,3,FALSE)))</f>
        <v/>
      </c>
      <c r="M167" s="134"/>
      <c r="N167" s="276" t="str">
        <f>IF(M167="","",IF(VLOOKUP(M167,'G-3 Multipliers'!$S$3:$T$10,2,FALSE)=0,"Spatial Data Missing ⚠",VLOOKUP(M167,'G-3 Multipliers'!$S$3:$T$10,2,FALSE)))</f>
        <v/>
      </c>
      <c r="O167" s="275" t="str">
        <f>IF(OR(D167="",H167=""),"",(INDEX('G-6 Hedgerow Data'!$E$3:$I$15,MATCH(D167,'G-6 Hedgerow Data'!$B$3:$B$15,0),MATCH(H167,'G-6 Hedgerow Data'!$E$2:$I$2,0))))</f>
        <v/>
      </c>
      <c r="P167" s="133"/>
      <c r="Q167" s="133"/>
      <c r="R167" s="283" t="str">
        <f t="shared" si="15"/>
        <v/>
      </c>
      <c r="S167" s="296" t="str">
        <f t="shared" si="16"/>
        <v/>
      </c>
      <c r="T167" s="297" t="str">
        <f t="shared" si="14"/>
        <v/>
      </c>
      <c r="U167" s="311" t="str">
        <f>IF(D167="","",VLOOKUP(D167,'G-6 Hedgerow Data'!$B$3:$AG$15,31,FALSE))</f>
        <v/>
      </c>
      <c r="V167" s="295" t="str">
        <f t="shared" si="17"/>
        <v/>
      </c>
      <c r="W167" s="283" t="str">
        <f t="shared" si="18"/>
        <v/>
      </c>
      <c r="X167" s="299" t="str">
        <f>IF(F167="","",VLOOKUP(U167,'G-3 Multipliers'!$P$3:$Q$6,2,FALSE))</f>
        <v/>
      </c>
      <c r="Y167" s="303" t="str">
        <f t="shared" si="19"/>
        <v/>
      </c>
      <c r="Z167" s="303" t="str">
        <f t="shared" si="20"/>
        <v/>
      </c>
      <c r="AA167" s="101"/>
      <c r="AB167" s="938"/>
      <c r="AC167" s="138"/>
      <c r="AD167" s="138"/>
      <c r="AE167" s="934"/>
      <c r="AH167" s="30" t="str">
        <f>IFERROR(INDEX('G-6 Hedgerow Data'!$BJ$3:$BJ$15,MATCH(D167,'G-6 Hedgerow Data'!$B$3:$B$15,0)),"")</f>
        <v/>
      </c>
    </row>
    <row r="168" spans="2:34" ht="14">
      <c r="B168" s="97">
        <v>157</v>
      </c>
      <c r="C168" s="171"/>
      <c r="D168" s="58"/>
      <c r="E168" s="138"/>
      <c r="F168" s="275" t="str">
        <f>IF(D168="","",VLOOKUP(D168,'G-6 Hedgerow Data'!$B$2:$AG$15,2,FALSE))</f>
        <v/>
      </c>
      <c r="G168" s="299" t="str">
        <f>IF(D168="","",VLOOKUP(D168,'G-6 Hedgerow Data'!$B$2:$AG$15,3,FALSE))</f>
        <v/>
      </c>
      <c r="H168" s="53"/>
      <c r="I168" s="276" t="str">
        <f>IFERROR(IF(H168="","",IF(AND(D168="Non-native and ornamental hedgerow",H168&lt;&gt;"Poor"),"Not possible ▲",(IF(AND(F168="V.Low",OR(H168="Good",H168="Moderate")),"Error ▲",VLOOKUP(H168,'G-1 All Habitats'!$Z$2:$AA$9,2,FALSE))))),"")</f>
        <v/>
      </c>
      <c r="J168" s="102"/>
      <c r="K168" s="295" t="str">
        <f>IF(J168="","",IF(VLOOKUP(J168,'G-3 Multipliers'!$L$3:$N$6,2,FALSE)=0,"Spatial Data Missing",VLOOKUP(J168,'G-3 Multipliers'!$L$3:$N$6,2,FALSE)))</f>
        <v/>
      </c>
      <c r="L168" s="299" t="str">
        <f>IF(J168="","",IF(VLOOKUP(J168,'G-3 Multipliers'!$L$3:$N$6,3,FALSE)=0,"Spatial Data Missing",VLOOKUP(J168,'G-3 Multipliers'!$L$3:$N$6,3,FALSE)))</f>
        <v/>
      </c>
      <c r="M168" s="134"/>
      <c r="N168" s="276" t="str">
        <f>IF(M168="","",IF(VLOOKUP(M168,'G-3 Multipliers'!$S$3:$T$10,2,FALSE)=0,"Spatial Data Missing ⚠",VLOOKUP(M168,'G-3 Multipliers'!$S$3:$T$10,2,FALSE)))</f>
        <v/>
      </c>
      <c r="O168" s="275" t="str">
        <f>IF(OR(D168="",H168=""),"",(INDEX('G-6 Hedgerow Data'!$E$3:$I$15,MATCH(D168,'G-6 Hedgerow Data'!$B$3:$B$15,0),MATCH(H168,'G-6 Hedgerow Data'!$E$2:$I$2,0))))</f>
        <v/>
      </c>
      <c r="P168" s="133"/>
      <c r="Q168" s="133"/>
      <c r="R168" s="283" t="str">
        <f t="shared" si="15"/>
        <v/>
      </c>
      <c r="S168" s="296" t="str">
        <f t="shared" si="16"/>
        <v/>
      </c>
      <c r="T168" s="297" t="str">
        <f t="shared" si="14"/>
        <v/>
      </c>
      <c r="U168" s="311" t="str">
        <f>IF(D168="","",VLOOKUP(D168,'G-6 Hedgerow Data'!$B$3:$AG$15,31,FALSE))</f>
        <v/>
      </c>
      <c r="V168" s="295" t="str">
        <f t="shared" si="17"/>
        <v/>
      </c>
      <c r="W168" s="283" t="str">
        <f t="shared" si="18"/>
        <v/>
      </c>
      <c r="X168" s="299" t="str">
        <f>IF(F168="","",VLOOKUP(U168,'G-3 Multipliers'!$P$3:$Q$6,2,FALSE))</f>
        <v/>
      </c>
      <c r="Y168" s="303" t="str">
        <f t="shared" si="19"/>
        <v/>
      </c>
      <c r="Z168" s="303" t="str">
        <f t="shared" si="20"/>
        <v/>
      </c>
      <c r="AA168" s="101"/>
      <c r="AB168" s="938"/>
      <c r="AC168" s="138"/>
      <c r="AD168" s="138"/>
      <c r="AE168" s="934"/>
      <c r="AH168" s="30" t="str">
        <f>IFERROR(INDEX('G-6 Hedgerow Data'!$BJ$3:$BJ$15,MATCH(D168,'G-6 Hedgerow Data'!$B$3:$B$15,0)),"")</f>
        <v/>
      </c>
    </row>
    <row r="169" spans="2:34" ht="14">
      <c r="B169" s="97">
        <v>158</v>
      </c>
      <c r="C169" s="171"/>
      <c r="D169" s="58"/>
      <c r="E169" s="138"/>
      <c r="F169" s="275" t="str">
        <f>IF(D169="","",VLOOKUP(D169,'G-6 Hedgerow Data'!$B$2:$AG$15,2,FALSE))</f>
        <v/>
      </c>
      <c r="G169" s="299" t="str">
        <f>IF(D169="","",VLOOKUP(D169,'G-6 Hedgerow Data'!$B$2:$AG$15,3,FALSE))</f>
        <v/>
      </c>
      <c r="H169" s="53"/>
      <c r="I169" s="276" t="str">
        <f>IFERROR(IF(H169="","",IF(AND(D169="Non-native and ornamental hedgerow",H169&lt;&gt;"Poor"),"Not possible ▲",(IF(AND(F169="V.Low",OR(H169="Good",H169="Moderate")),"Error ▲",VLOOKUP(H169,'G-1 All Habitats'!$Z$2:$AA$9,2,FALSE))))),"")</f>
        <v/>
      </c>
      <c r="J169" s="102"/>
      <c r="K169" s="295" t="str">
        <f>IF(J169="","",IF(VLOOKUP(J169,'G-3 Multipliers'!$L$3:$N$6,2,FALSE)=0,"Spatial Data Missing",VLOOKUP(J169,'G-3 Multipliers'!$L$3:$N$6,2,FALSE)))</f>
        <v/>
      </c>
      <c r="L169" s="299" t="str">
        <f>IF(J169="","",IF(VLOOKUP(J169,'G-3 Multipliers'!$L$3:$N$6,3,FALSE)=0,"Spatial Data Missing",VLOOKUP(J169,'G-3 Multipliers'!$L$3:$N$6,3,FALSE)))</f>
        <v/>
      </c>
      <c r="M169" s="134"/>
      <c r="N169" s="276" t="str">
        <f>IF(M169="","",IF(VLOOKUP(M169,'G-3 Multipliers'!$S$3:$T$10,2,FALSE)=0,"Spatial Data Missing ⚠",VLOOKUP(M169,'G-3 Multipliers'!$S$3:$T$10,2,FALSE)))</f>
        <v/>
      </c>
      <c r="O169" s="275" t="str">
        <f>IF(OR(D169="",H169=""),"",(INDEX('G-6 Hedgerow Data'!$E$3:$I$15,MATCH(D169,'G-6 Hedgerow Data'!$B$3:$B$15,0),MATCH(H169,'G-6 Hedgerow Data'!$E$2:$I$2,0))))</f>
        <v/>
      </c>
      <c r="P169" s="133"/>
      <c r="Q169" s="133"/>
      <c r="R169" s="283" t="str">
        <f t="shared" si="15"/>
        <v/>
      </c>
      <c r="S169" s="296" t="str">
        <f t="shared" si="16"/>
        <v/>
      </c>
      <c r="T169" s="297" t="str">
        <f t="shared" si="14"/>
        <v/>
      </c>
      <c r="U169" s="311" t="str">
        <f>IF(D169="","",VLOOKUP(D169,'G-6 Hedgerow Data'!$B$3:$AG$15,31,FALSE))</f>
        <v/>
      </c>
      <c r="V169" s="295" t="str">
        <f t="shared" si="17"/>
        <v/>
      </c>
      <c r="W169" s="283" t="str">
        <f t="shared" si="18"/>
        <v/>
      </c>
      <c r="X169" s="299" t="str">
        <f>IF(F169="","",VLOOKUP(U169,'G-3 Multipliers'!$P$3:$Q$6,2,FALSE))</f>
        <v/>
      </c>
      <c r="Y169" s="303" t="str">
        <f t="shared" si="19"/>
        <v/>
      </c>
      <c r="Z169" s="303" t="str">
        <f t="shared" si="20"/>
        <v/>
      </c>
      <c r="AA169" s="101"/>
      <c r="AB169" s="938"/>
      <c r="AC169" s="138"/>
      <c r="AD169" s="138"/>
      <c r="AE169" s="934"/>
      <c r="AH169" s="30" t="str">
        <f>IFERROR(INDEX('G-6 Hedgerow Data'!$BJ$3:$BJ$15,MATCH(D169,'G-6 Hedgerow Data'!$B$3:$B$15,0)),"")</f>
        <v/>
      </c>
    </row>
    <row r="170" spans="2:34" ht="14">
      <c r="B170" s="97">
        <v>159</v>
      </c>
      <c r="C170" s="171"/>
      <c r="D170" s="58"/>
      <c r="E170" s="138"/>
      <c r="F170" s="275" t="str">
        <f>IF(D170="","",VLOOKUP(D170,'G-6 Hedgerow Data'!$B$2:$AG$15,2,FALSE))</f>
        <v/>
      </c>
      <c r="G170" s="299" t="str">
        <f>IF(D170="","",VLOOKUP(D170,'G-6 Hedgerow Data'!$B$2:$AG$15,3,FALSE))</f>
        <v/>
      </c>
      <c r="H170" s="53"/>
      <c r="I170" s="276" t="str">
        <f>IFERROR(IF(H170="","",IF(AND(D170="Non-native and ornamental hedgerow",H170&lt;&gt;"Poor"),"Not possible ▲",(IF(AND(F170="V.Low",OR(H170="Good",H170="Moderate")),"Error ▲",VLOOKUP(H170,'G-1 All Habitats'!$Z$2:$AA$9,2,FALSE))))),"")</f>
        <v/>
      </c>
      <c r="J170" s="102"/>
      <c r="K170" s="295" t="str">
        <f>IF(J170="","",IF(VLOOKUP(J170,'G-3 Multipliers'!$L$3:$N$6,2,FALSE)=0,"Spatial Data Missing",VLOOKUP(J170,'G-3 Multipliers'!$L$3:$N$6,2,FALSE)))</f>
        <v/>
      </c>
      <c r="L170" s="299" t="str">
        <f>IF(J170="","",IF(VLOOKUP(J170,'G-3 Multipliers'!$L$3:$N$6,3,FALSE)=0,"Spatial Data Missing",VLOOKUP(J170,'G-3 Multipliers'!$L$3:$N$6,3,FALSE)))</f>
        <v/>
      </c>
      <c r="M170" s="134"/>
      <c r="N170" s="276" t="str">
        <f>IF(M170="","",IF(VLOOKUP(M170,'G-3 Multipliers'!$S$3:$T$10,2,FALSE)=0,"Spatial Data Missing ⚠",VLOOKUP(M170,'G-3 Multipliers'!$S$3:$T$10,2,FALSE)))</f>
        <v/>
      </c>
      <c r="O170" s="275" t="str">
        <f>IF(OR(D170="",H170=""),"",(INDEX('G-6 Hedgerow Data'!$E$3:$I$15,MATCH(D170,'G-6 Hedgerow Data'!$B$3:$B$15,0),MATCH(H170,'G-6 Hedgerow Data'!$E$2:$I$2,0))))</f>
        <v/>
      </c>
      <c r="P170" s="133"/>
      <c r="Q170" s="133"/>
      <c r="R170" s="283" t="str">
        <f t="shared" si="15"/>
        <v/>
      </c>
      <c r="S170" s="296" t="str">
        <f t="shared" si="16"/>
        <v/>
      </c>
      <c r="T170" s="297" t="str">
        <f t="shared" si="14"/>
        <v/>
      </c>
      <c r="U170" s="311" t="str">
        <f>IF(D170="","",VLOOKUP(D170,'G-6 Hedgerow Data'!$B$3:$AG$15,31,FALSE))</f>
        <v/>
      </c>
      <c r="V170" s="295" t="str">
        <f t="shared" si="17"/>
        <v/>
      </c>
      <c r="W170" s="283" t="str">
        <f t="shared" si="18"/>
        <v/>
      </c>
      <c r="X170" s="299" t="str">
        <f>IF(F170="","",VLOOKUP(U170,'G-3 Multipliers'!$P$3:$Q$6,2,FALSE))</f>
        <v/>
      </c>
      <c r="Y170" s="303" t="str">
        <f t="shared" si="19"/>
        <v/>
      </c>
      <c r="Z170" s="303" t="str">
        <f t="shared" si="20"/>
        <v/>
      </c>
      <c r="AA170" s="101"/>
      <c r="AB170" s="938"/>
      <c r="AC170" s="138"/>
      <c r="AD170" s="138"/>
      <c r="AE170" s="934"/>
      <c r="AH170" s="30" t="str">
        <f>IFERROR(INDEX('G-6 Hedgerow Data'!$BJ$3:$BJ$15,MATCH(D170,'G-6 Hedgerow Data'!$B$3:$B$15,0)),"")</f>
        <v/>
      </c>
    </row>
    <row r="171" spans="2:34" ht="14">
      <c r="B171" s="97">
        <v>160</v>
      </c>
      <c r="C171" s="171"/>
      <c r="D171" s="58"/>
      <c r="E171" s="138"/>
      <c r="F171" s="275" t="str">
        <f>IF(D171="","",VLOOKUP(D171,'G-6 Hedgerow Data'!$B$2:$AG$15,2,FALSE))</f>
        <v/>
      </c>
      <c r="G171" s="299" t="str">
        <f>IF(D171="","",VLOOKUP(D171,'G-6 Hedgerow Data'!$B$2:$AG$15,3,FALSE))</f>
        <v/>
      </c>
      <c r="H171" s="53"/>
      <c r="I171" s="276" t="str">
        <f>IFERROR(IF(H171="","",IF(AND(D171="Non-native and ornamental hedgerow",H171&lt;&gt;"Poor"),"Not possible ▲",(IF(AND(F171="V.Low",OR(H171="Good",H171="Moderate")),"Error ▲",VLOOKUP(H171,'G-1 All Habitats'!$Z$2:$AA$9,2,FALSE))))),"")</f>
        <v/>
      </c>
      <c r="J171" s="102"/>
      <c r="K171" s="295" t="str">
        <f>IF(J171="","",IF(VLOOKUP(J171,'G-3 Multipliers'!$L$3:$N$6,2,FALSE)=0,"Spatial Data Missing",VLOOKUP(J171,'G-3 Multipliers'!$L$3:$N$6,2,FALSE)))</f>
        <v/>
      </c>
      <c r="L171" s="299" t="str">
        <f>IF(J171="","",IF(VLOOKUP(J171,'G-3 Multipliers'!$L$3:$N$6,3,FALSE)=0,"Spatial Data Missing",VLOOKUP(J171,'G-3 Multipliers'!$L$3:$N$6,3,FALSE)))</f>
        <v/>
      </c>
      <c r="M171" s="134"/>
      <c r="N171" s="276" t="str">
        <f>IF(M171="","",IF(VLOOKUP(M171,'G-3 Multipliers'!$S$3:$T$10,2,FALSE)=0,"Spatial Data Missing ⚠",VLOOKUP(M171,'G-3 Multipliers'!$S$3:$T$10,2,FALSE)))</f>
        <v/>
      </c>
      <c r="O171" s="275" t="str">
        <f>IF(OR(D171="",H171=""),"",(INDEX('G-6 Hedgerow Data'!$E$3:$I$15,MATCH(D171,'G-6 Hedgerow Data'!$B$3:$B$15,0),MATCH(H171,'G-6 Hedgerow Data'!$E$2:$I$2,0))))</f>
        <v/>
      </c>
      <c r="P171" s="133"/>
      <c r="Q171" s="133"/>
      <c r="R171" s="283" t="str">
        <f t="shared" si="15"/>
        <v/>
      </c>
      <c r="S171" s="296" t="str">
        <f t="shared" si="16"/>
        <v/>
      </c>
      <c r="T171" s="297" t="str">
        <f t="shared" si="14"/>
        <v/>
      </c>
      <c r="U171" s="311" t="str">
        <f>IF(D171="","",VLOOKUP(D171,'G-6 Hedgerow Data'!$B$3:$AG$15,31,FALSE))</f>
        <v/>
      </c>
      <c r="V171" s="295" t="str">
        <f t="shared" si="17"/>
        <v/>
      </c>
      <c r="W171" s="283" t="str">
        <f t="shared" si="18"/>
        <v/>
      </c>
      <c r="X171" s="299" t="str">
        <f>IF(F171="","",VLOOKUP(U171,'G-3 Multipliers'!$P$3:$Q$6,2,FALSE))</f>
        <v/>
      </c>
      <c r="Y171" s="303" t="str">
        <f t="shared" si="19"/>
        <v/>
      </c>
      <c r="Z171" s="303" t="str">
        <f t="shared" si="20"/>
        <v/>
      </c>
      <c r="AA171" s="101"/>
      <c r="AB171" s="938"/>
      <c r="AC171" s="138"/>
      <c r="AD171" s="138"/>
      <c r="AE171" s="934"/>
      <c r="AH171" s="30" t="str">
        <f>IFERROR(INDEX('G-6 Hedgerow Data'!$BJ$3:$BJ$15,MATCH(D171,'G-6 Hedgerow Data'!$B$3:$B$15,0)),"")</f>
        <v/>
      </c>
    </row>
    <row r="172" spans="2:34" ht="14">
      <c r="B172" s="97">
        <v>161</v>
      </c>
      <c r="C172" s="171"/>
      <c r="D172" s="58"/>
      <c r="E172" s="138"/>
      <c r="F172" s="275" t="str">
        <f>IF(D172="","",VLOOKUP(D172,'G-6 Hedgerow Data'!$B$2:$AG$15,2,FALSE))</f>
        <v/>
      </c>
      <c r="G172" s="299" t="str">
        <f>IF(D172="","",VLOOKUP(D172,'G-6 Hedgerow Data'!$B$2:$AG$15,3,FALSE))</f>
        <v/>
      </c>
      <c r="H172" s="53"/>
      <c r="I172" s="276" t="str">
        <f>IFERROR(IF(H172="","",IF(AND(D172="Non-native and ornamental hedgerow",H172&lt;&gt;"Poor"),"Not possible ▲",(IF(AND(F172="V.Low",OR(H172="Good",H172="Moderate")),"Error ▲",VLOOKUP(H172,'G-1 All Habitats'!$Z$2:$AA$9,2,FALSE))))),"")</f>
        <v/>
      </c>
      <c r="J172" s="102"/>
      <c r="K172" s="295" t="str">
        <f>IF(J172="","",IF(VLOOKUP(J172,'G-3 Multipliers'!$L$3:$N$6,2,FALSE)=0,"Spatial Data Missing",VLOOKUP(J172,'G-3 Multipliers'!$L$3:$N$6,2,FALSE)))</f>
        <v/>
      </c>
      <c r="L172" s="299" t="str">
        <f>IF(J172="","",IF(VLOOKUP(J172,'G-3 Multipliers'!$L$3:$N$6,3,FALSE)=0,"Spatial Data Missing",VLOOKUP(J172,'G-3 Multipliers'!$L$3:$N$6,3,FALSE)))</f>
        <v/>
      </c>
      <c r="M172" s="134"/>
      <c r="N172" s="276" t="str">
        <f>IF(M172="","",IF(VLOOKUP(M172,'G-3 Multipliers'!$S$3:$T$10,2,FALSE)=0,"Spatial Data Missing ⚠",VLOOKUP(M172,'G-3 Multipliers'!$S$3:$T$10,2,FALSE)))</f>
        <v/>
      </c>
      <c r="O172" s="275" t="str">
        <f>IF(OR(D172="",H172=""),"",(INDEX('G-6 Hedgerow Data'!$E$3:$I$15,MATCH(D172,'G-6 Hedgerow Data'!$B$3:$B$15,0),MATCH(H172,'G-6 Hedgerow Data'!$E$2:$I$2,0))))</f>
        <v/>
      </c>
      <c r="P172" s="133"/>
      <c r="Q172" s="133"/>
      <c r="R172" s="283" t="str">
        <f t="shared" si="15"/>
        <v/>
      </c>
      <c r="S172" s="296" t="str">
        <f t="shared" si="16"/>
        <v/>
      </c>
      <c r="T172" s="297" t="str">
        <f t="shared" si="14"/>
        <v/>
      </c>
      <c r="U172" s="311" t="str">
        <f>IF(D172="","",VLOOKUP(D172,'G-6 Hedgerow Data'!$B$3:$AG$15,31,FALSE))</f>
        <v/>
      </c>
      <c r="V172" s="295" t="str">
        <f t="shared" si="17"/>
        <v/>
      </c>
      <c r="W172" s="283" t="str">
        <f t="shared" si="18"/>
        <v/>
      </c>
      <c r="X172" s="299" t="str">
        <f>IF(F172="","",VLOOKUP(U172,'G-3 Multipliers'!$P$3:$Q$6,2,FALSE))</f>
        <v/>
      </c>
      <c r="Y172" s="303" t="str">
        <f t="shared" si="19"/>
        <v/>
      </c>
      <c r="Z172" s="303" t="str">
        <f t="shared" si="20"/>
        <v/>
      </c>
      <c r="AA172" s="101"/>
      <c r="AB172" s="938"/>
      <c r="AC172" s="138"/>
      <c r="AD172" s="138"/>
      <c r="AE172" s="934"/>
      <c r="AH172" s="30" t="str">
        <f>IFERROR(INDEX('G-6 Hedgerow Data'!$BJ$3:$BJ$15,MATCH(D172,'G-6 Hedgerow Data'!$B$3:$B$15,0)),"")</f>
        <v/>
      </c>
    </row>
    <row r="173" spans="2:34" ht="14">
      <c r="B173" s="97">
        <v>162</v>
      </c>
      <c r="C173" s="171"/>
      <c r="D173" s="58"/>
      <c r="E173" s="138"/>
      <c r="F173" s="275" t="str">
        <f>IF(D173="","",VLOOKUP(D173,'G-6 Hedgerow Data'!$B$2:$AG$15,2,FALSE))</f>
        <v/>
      </c>
      <c r="G173" s="299" t="str">
        <f>IF(D173="","",VLOOKUP(D173,'G-6 Hedgerow Data'!$B$2:$AG$15,3,FALSE))</f>
        <v/>
      </c>
      <c r="H173" s="53"/>
      <c r="I173" s="276" t="str">
        <f>IFERROR(IF(H173="","",IF(AND(D173="Non-native and ornamental hedgerow",H173&lt;&gt;"Poor"),"Not possible ▲",(IF(AND(F173="V.Low",OR(H173="Good",H173="Moderate")),"Error ▲",VLOOKUP(H173,'G-1 All Habitats'!$Z$2:$AA$9,2,FALSE))))),"")</f>
        <v/>
      </c>
      <c r="J173" s="102"/>
      <c r="K173" s="295" t="str">
        <f>IF(J173="","",IF(VLOOKUP(J173,'G-3 Multipliers'!$L$3:$N$6,2,FALSE)=0,"Spatial Data Missing",VLOOKUP(J173,'G-3 Multipliers'!$L$3:$N$6,2,FALSE)))</f>
        <v/>
      </c>
      <c r="L173" s="299" t="str">
        <f>IF(J173="","",IF(VLOOKUP(J173,'G-3 Multipliers'!$L$3:$N$6,3,FALSE)=0,"Spatial Data Missing",VLOOKUP(J173,'G-3 Multipliers'!$L$3:$N$6,3,FALSE)))</f>
        <v/>
      </c>
      <c r="M173" s="134"/>
      <c r="N173" s="276" t="str">
        <f>IF(M173="","",IF(VLOOKUP(M173,'G-3 Multipliers'!$S$3:$T$10,2,FALSE)=0,"Spatial Data Missing ⚠",VLOOKUP(M173,'G-3 Multipliers'!$S$3:$T$10,2,FALSE)))</f>
        <v/>
      </c>
      <c r="O173" s="275" t="str">
        <f>IF(OR(D173="",H173=""),"",(INDEX('G-6 Hedgerow Data'!$E$3:$I$15,MATCH(D173,'G-6 Hedgerow Data'!$B$3:$B$15,0),MATCH(H173,'G-6 Hedgerow Data'!$E$2:$I$2,0))))</f>
        <v/>
      </c>
      <c r="P173" s="133"/>
      <c r="Q173" s="133"/>
      <c r="R173" s="283" t="str">
        <f t="shared" si="15"/>
        <v/>
      </c>
      <c r="S173" s="296" t="str">
        <f t="shared" si="16"/>
        <v/>
      </c>
      <c r="T173" s="297" t="str">
        <f t="shared" si="14"/>
        <v/>
      </c>
      <c r="U173" s="311" t="str">
        <f>IF(D173="","",VLOOKUP(D173,'G-6 Hedgerow Data'!$B$3:$AG$15,31,FALSE))</f>
        <v/>
      </c>
      <c r="V173" s="295" t="str">
        <f t="shared" si="17"/>
        <v/>
      </c>
      <c r="W173" s="283" t="str">
        <f t="shared" si="18"/>
        <v/>
      </c>
      <c r="X173" s="299" t="str">
        <f>IF(F173="","",VLOOKUP(U173,'G-3 Multipliers'!$P$3:$Q$6,2,FALSE))</f>
        <v/>
      </c>
      <c r="Y173" s="303" t="str">
        <f t="shared" si="19"/>
        <v/>
      </c>
      <c r="Z173" s="303" t="str">
        <f t="shared" si="20"/>
        <v/>
      </c>
      <c r="AA173" s="101"/>
      <c r="AB173" s="938"/>
      <c r="AC173" s="138"/>
      <c r="AD173" s="138"/>
      <c r="AE173" s="934"/>
      <c r="AH173" s="30" t="str">
        <f>IFERROR(INDEX('G-6 Hedgerow Data'!$BJ$3:$BJ$15,MATCH(D173,'G-6 Hedgerow Data'!$B$3:$B$15,0)),"")</f>
        <v/>
      </c>
    </row>
    <row r="174" spans="2:34" ht="14">
      <c r="B174" s="97">
        <v>163</v>
      </c>
      <c r="C174" s="171"/>
      <c r="D174" s="58"/>
      <c r="E174" s="138"/>
      <c r="F174" s="275" t="str">
        <f>IF(D174="","",VLOOKUP(D174,'G-6 Hedgerow Data'!$B$2:$AG$15,2,FALSE))</f>
        <v/>
      </c>
      <c r="G174" s="299" t="str">
        <f>IF(D174="","",VLOOKUP(D174,'G-6 Hedgerow Data'!$B$2:$AG$15,3,FALSE))</f>
        <v/>
      </c>
      <c r="H174" s="53"/>
      <c r="I174" s="276" t="str">
        <f>IFERROR(IF(H174="","",IF(AND(D174="Non-native and ornamental hedgerow",H174&lt;&gt;"Poor"),"Not possible ▲",(IF(AND(F174="V.Low",OR(H174="Good",H174="Moderate")),"Error ▲",VLOOKUP(H174,'G-1 All Habitats'!$Z$2:$AA$9,2,FALSE))))),"")</f>
        <v/>
      </c>
      <c r="J174" s="102"/>
      <c r="K174" s="295" t="str">
        <f>IF(J174="","",IF(VLOOKUP(J174,'G-3 Multipliers'!$L$3:$N$6,2,FALSE)=0,"Spatial Data Missing",VLOOKUP(J174,'G-3 Multipliers'!$L$3:$N$6,2,FALSE)))</f>
        <v/>
      </c>
      <c r="L174" s="299" t="str">
        <f>IF(J174="","",IF(VLOOKUP(J174,'G-3 Multipliers'!$L$3:$N$6,3,FALSE)=0,"Spatial Data Missing",VLOOKUP(J174,'G-3 Multipliers'!$L$3:$N$6,3,FALSE)))</f>
        <v/>
      </c>
      <c r="M174" s="134"/>
      <c r="N174" s="276" t="str">
        <f>IF(M174="","",IF(VLOOKUP(M174,'G-3 Multipliers'!$S$3:$T$10,2,FALSE)=0,"Spatial Data Missing ⚠",VLOOKUP(M174,'G-3 Multipliers'!$S$3:$T$10,2,FALSE)))</f>
        <v/>
      </c>
      <c r="O174" s="275" t="str">
        <f>IF(OR(D174="",H174=""),"",(INDEX('G-6 Hedgerow Data'!$E$3:$I$15,MATCH(D174,'G-6 Hedgerow Data'!$B$3:$B$15,0),MATCH(H174,'G-6 Hedgerow Data'!$E$2:$I$2,0))))</f>
        <v/>
      </c>
      <c r="P174" s="133"/>
      <c r="Q174" s="133"/>
      <c r="R174" s="283" t="str">
        <f t="shared" si="15"/>
        <v/>
      </c>
      <c r="S174" s="296" t="str">
        <f t="shared" si="16"/>
        <v/>
      </c>
      <c r="T174" s="297" t="str">
        <f t="shared" si="14"/>
        <v/>
      </c>
      <c r="U174" s="311" t="str">
        <f>IF(D174="","",VLOOKUP(D174,'G-6 Hedgerow Data'!$B$3:$AG$15,31,FALSE))</f>
        <v/>
      </c>
      <c r="V174" s="295" t="str">
        <f t="shared" si="17"/>
        <v/>
      </c>
      <c r="W174" s="283" t="str">
        <f t="shared" si="18"/>
        <v/>
      </c>
      <c r="X174" s="299" t="str">
        <f>IF(F174="","",VLOOKUP(U174,'G-3 Multipliers'!$P$3:$Q$6,2,FALSE))</f>
        <v/>
      </c>
      <c r="Y174" s="303" t="str">
        <f t="shared" si="19"/>
        <v/>
      </c>
      <c r="Z174" s="303" t="str">
        <f t="shared" si="20"/>
        <v/>
      </c>
      <c r="AA174" s="101"/>
      <c r="AB174" s="938"/>
      <c r="AC174" s="138"/>
      <c r="AD174" s="138"/>
      <c r="AE174" s="934"/>
      <c r="AH174" s="30" t="str">
        <f>IFERROR(INDEX('G-6 Hedgerow Data'!$BJ$3:$BJ$15,MATCH(D174,'G-6 Hedgerow Data'!$B$3:$B$15,0)),"")</f>
        <v/>
      </c>
    </row>
    <row r="175" spans="2:34" ht="14">
      <c r="B175" s="97">
        <v>164</v>
      </c>
      <c r="C175" s="171"/>
      <c r="D175" s="58"/>
      <c r="E175" s="138"/>
      <c r="F175" s="275" t="str">
        <f>IF(D175="","",VLOOKUP(D175,'G-6 Hedgerow Data'!$B$2:$AG$15,2,FALSE))</f>
        <v/>
      </c>
      <c r="G175" s="299" t="str">
        <f>IF(D175="","",VLOOKUP(D175,'G-6 Hedgerow Data'!$B$2:$AG$15,3,FALSE))</f>
        <v/>
      </c>
      <c r="H175" s="53"/>
      <c r="I175" s="276" t="str">
        <f>IFERROR(IF(H175="","",IF(AND(D175="Non-native and ornamental hedgerow",H175&lt;&gt;"Poor"),"Not possible ▲",(IF(AND(F175="V.Low",OR(H175="Good",H175="Moderate")),"Error ▲",VLOOKUP(H175,'G-1 All Habitats'!$Z$2:$AA$9,2,FALSE))))),"")</f>
        <v/>
      </c>
      <c r="J175" s="102"/>
      <c r="K175" s="295" t="str">
        <f>IF(J175="","",IF(VLOOKUP(J175,'G-3 Multipliers'!$L$3:$N$6,2,FALSE)=0,"Spatial Data Missing",VLOOKUP(J175,'G-3 Multipliers'!$L$3:$N$6,2,FALSE)))</f>
        <v/>
      </c>
      <c r="L175" s="299" t="str">
        <f>IF(J175="","",IF(VLOOKUP(J175,'G-3 Multipliers'!$L$3:$N$6,3,FALSE)=0,"Spatial Data Missing",VLOOKUP(J175,'G-3 Multipliers'!$L$3:$N$6,3,FALSE)))</f>
        <v/>
      </c>
      <c r="M175" s="134"/>
      <c r="N175" s="276" t="str">
        <f>IF(M175="","",IF(VLOOKUP(M175,'G-3 Multipliers'!$S$3:$T$10,2,FALSE)=0,"Spatial Data Missing ⚠",VLOOKUP(M175,'G-3 Multipliers'!$S$3:$T$10,2,FALSE)))</f>
        <v/>
      </c>
      <c r="O175" s="275" t="str">
        <f>IF(OR(D175="",H175=""),"",(INDEX('G-6 Hedgerow Data'!$E$3:$I$15,MATCH(D175,'G-6 Hedgerow Data'!$B$3:$B$15,0),MATCH(H175,'G-6 Hedgerow Data'!$E$2:$I$2,0))))</f>
        <v/>
      </c>
      <c r="P175" s="133"/>
      <c r="Q175" s="133"/>
      <c r="R175" s="283" t="str">
        <f t="shared" si="15"/>
        <v/>
      </c>
      <c r="S175" s="296" t="str">
        <f t="shared" si="16"/>
        <v/>
      </c>
      <c r="T175" s="297" t="str">
        <f t="shared" si="14"/>
        <v/>
      </c>
      <c r="U175" s="311" t="str">
        <f>IF(D175="","",VLOOKUP(D175,'G-6 Hedgerow Data'!$B$3:$AG$15,31,FALSE))</f>
        <v/>
      </c>
      <c r="V175" s="295" t="str">
        <f t="shared" si="17"/>
        <v/>
      </c>
      <c r="W175" s="283" t="str">
        <f t="shared" si="18"/>
        <v/>
      </c>
      <c r="X175" s="299" t="str">
        <f>IF(F175="","",VLOOKUP(U175,'G-3 Multipliers'!$P$3:$Q$6,2,FALSE))</f>
        <v/>
      </c>
      <c r="Y175" s="303" t="str">
        <f t="shared" si="19"/>
        <v/>
      </c>
      <c r="Z175" s="303" t="str">
        <f t="shared" si="20"/>
        <v/>
      </c>
      <c r="AA175" s="101"/>
      <c r="AB175" s="938"/>
      <c r="AC175" s="138"/>
      <c r="AD175" s="138"/>
      <c r="AE175" s="934"/>
      <c r="AH175" s="30" t="str">
        <f>IFERROR(INDEX('G-6 Hedgerow Data'!$BJ$3:$BJ$15,MATCH(D175,'G-6 Hedgerow Data'!$B$3:$B$15,0)),"")</f>
        <v/>
      </c>
    </row>
    <row r="176" spans="2:34" ht="14">
      <c r="B176" s="97">
        <v>165</v>
      </c>
      <c r="C176" s="171"/>
      <c r="D176" s="58"/>
      <c r="E176" s="138"/>
      <c r="F176" s="275" t="str">
        <f>IF(D176="","",VLOOKUP(D176,'G-6 Hedgerow Data'!$B$2:$AG$15,2,FALSE))</f>
        <v/>
      </c>
      <c r="G176" s="299" t="str">
        <f>IF(D176="","",VLOOKUP(D176,'G-6 Hedgerow Data'!$B$2:$AG$15,3,FALSE))</f>
        <v/>
      </c>
      <c r="H176" s="53"/>
      <c r="I176" s="276" t="str">
        <f>IFERROR(IF(H176="","",IF(AND(D176="Non-native and ornamental hedgerow",H176&lt;&gt;"Poor"),"Not possible ▲",(IF(AND(F176="V.Low",OR(H176="Good",H176="Moderate")),"Error ▲",VLOOKUP(H176,'G-1 All Habitats'!$Z$2:$AA$9,2,FALSE))))),"")</f>
        <v/>
      </c>
      <c r="J176" s="102"/>
      <c r="K176" s="295" t="str">
        <f>IF(J176="","",IF(VLOOKUP(J176,'G-3 Multipliers'!$L$3:$N$6,2,FALSE)=0,"Spatial Data Missing",VLOOKUP(J176,'G-3 Multipliers'!$L$3:$N$6,2,FALSE)))</f>
        <v/>
      </c>
      <c r="L176" s="299" t="str">
        <f>IF(J176="","",IF(VLOOKUP(J176,'G-3 Multipliers'!$L$3:$N$6,3,FALSE)=0,"Spatial Data Missing",VLOOKUP(J176,'G-3 Multipliers'!$L$3:$N$6,3,FALSE)))</f>
        <v/>
      </c>
      <c r="M176" s="134"/>
      <c r="N176" s="276" t="str">
        <f>IF(M176="","",IF(VLOOKUP(M176,'G-3 Multipliers'!$S$3:$T$10,2,FALSE)=0,"Spatial Data Missing ⚠",VLOOKUP(M176,'G-3 Multipliers'!$S$3:$T$10,2,FALSE)))</f>
        <v/>
      </c>
      <c r="O176" s="275" t="str">
        <f>IF(OR(D176="",H176=""),"",(INDEX('G-6 Hedgerow Data'!$E$3:$I$15,MATCH(D176,'G-6 Hedgerow Data'!$B$3:$B$15,0),MATCH(H176,'G-6 Hedgerow Data'!$E$2:$I$2,0))))</f>
        <v/>
      </c>
      <c r="P176" s="133"/>
      <c r="Q176" s="133"/>
      <c r="R176" s="283" t="str">
        <f t="shared" si="15"/>
        <v/>
      </c>
      <c r="S176" s="296" t="str">
        <f t="shared" si="16"/>
        <v/>
      </c>
      <c r="T176" s="297" t="str">
        <f t="shared" si="14"/>
        <v/>
      </c>
      <c r="U176" s="311" t="str">
        <f>IF(D176="","",VLOOKUP(D176,'G-6 Hedgerow Data'!$B$3:$AG$15,31,FALSE))</f>
        <v/>
      </c>
      <c r="V176" s="295" t="str">
        <f t="shared" si="17"/>
        <v/>
      </c>
      <c r="W176" s="283" t="str">
        <f t="shared" si="18"/>
        <v/>
      </c>
      <c r="X176" s="299" t="str">
        <f>IF(F176="","",VLOOKUP(U176,'G-3 Multipliers'!$P$3:$Q$6,2,FALSE))</f>
        <v/>
      </c>
      <c r="Y176" s="303" t="str">
        <f t="shared" si="19"/>
        <v/>
      </c>
      <c r="Z176" s="303" t="str">
        <f t="shared" si="20"/>
        <v/>
      </c>
      <c r="AA176" s="101"/>
      <c r="AB176" s="938"/>
      <c r="AC176" s="138"/>
      <c r="AD176" s="138"/>
      <c r="AE176" s="934"/>
      <c r="AH176" s="30" t="str">
        <f>IFERROR(INDEX('G-6 Hedgerow Data'!$BJ$3:$BJ$15,MATCH(D176,'G-6 Hedgerow Data'!$B$3:$B$15,0)),"")</f>
        <v/>
      </c>
    </row>
    <row r="177" spans="2:34" ht="14">
      <c r="B177" s="97">
        <v>166</v>
      </c>
      <c r="C177" s="171"/>
      <c r="D177" s="58"/>
      <c r="E177" s="138"/>
      <c r="F177" s="275" t="str">
        <f>IF(D177="","",VLOOKUP(D177,'G-6 Hedgerow Data'!$B$2:$AG$15,2,FALSE))</f>
        <v/>
      </c>
      <c r="G177" s="299" t="str">
        <f>IF(D177="","",VLOOKUP(D177,'G-6 Hedgerow Data'!$B$2:$AG$15,3,FALSE))</f>
        <v/>
      </c>
      <c r="H177" s="53"/>
      <c r="I177" s="276" t="str">
        <f>IFERROR(IF(H177="","",IF(AND(D177="Non-native and ornamental hedgerow",H177&lt;&gt;"Poor"),"Not possible ▲",(IF(AND(F177="V.Low",OR(H177="Good",H177="Moderate")),"Error ▲",VLOOKUP(H177,'G-1 All Habitats'!$Z$2:$AA$9,2,FALSE))))),"")</f>
        <v/>
      </c>
      <c r="J177" s="102"/>
      <c r="K177" s="295" t="str">
        <f>IF(J177="","",IF(VLOOKUP(J177,'G-3 Multipliers'!$L$3:$N$6,2,FALSE)=0,"Spatial Data Missing",VLOOKUP(J177,'G-3 Multipliers'!$L$3:$N$6,2,FALSE)))</f>
        <v/>
      </c>
      <c r="L177" s="299" t="str">
        <f>IF(J177="","",IF(VLOOKUP(J177,'G-3 Multipliers'!$L$3:$N$6,3,FALSE)=0,"Spatial Data Missing",VLOOKUP(J177,'G-3 Multipliers'!$L$3:$N$6,3,FALSE)))</f>
        <v/>
      </c>
      <c r="M177" s="134"/>
      <c r="N177" s="276" t="str">
        <f>IF(M177="","",IF(VLOOKUP(M177,'G-3 Multipliers'!$S$3:$T$10,2,FALSE)=0,"Spatial Data Missing ⚠",VLOOKUP(M177,'G-3 Multipliers'!$S$3:$T$10,2,FALSE)))</f>
        <v/>
      </c>
      <c r="O177" s="275" t="str">
        <f>IF(OR(D177="",H177=""),"",(INDEX('G-6 Hedgerow Data'!$E$3:$I$15,MATCH(D177,'G-6 Hedgerow Data'!$B$3:$B$15,0),MATCH(H177,'G-6 Hedgerow Data'!$E$2:$I$2,0))))</f>
        <v/>
      </c>
      <c r="P177" s="133"/>
      <c r="Q177" s="133"/>
      <c r="R177" s="283" t="str">
        <f t="shared" si="15"/>
        <v/>
      </c>
      <c r="S177" s="296" t="str">
        <f t="shared" si="16"/>
        <v/>
      </c>
      <c r="T177" s="297" t="str">
        <f t="shared" si="14"/>
        <v/>
      </c>
      <c r="U177" s="311" t="str">
        <f>IF(D177="","",VLOOKUP(D177,'G-6 Hedgerow Data'!$B$3:$AG$15,31,FALSE))</f>
        <v/>
      </c>
      <c r="V177" s="295" t="str">
        <f t="shared" si="17"/>
        <v/>
      </c>
      <c r="W177" s="283" t="str">
        <f t="shared" si="18"/>
        <v/>
      </c>
      <c r="X177" s="299" t="str">
        <f>IF(F177="","",VLOOKUP(U177,'G-3 Multipliers'!$P$3:$Q$6,2,FALSE))</f>
        <v/>
      </c>
      <c r="Y177" s="303" t="str">
        <f t="shared" si="19"/>
        <v/>
      </c>
      <c r="Z177" s="303" t="str">
        <f t="shared" si="20"/>
        <v/>
      </c>
      <c r="AA177" s="101"/>
      <c r="AB177" s="938"/>
      <c r="AC177" s="138"/>
      <c r="AD177" s="138"/>
      <c r="AE177" s="934"/>
      <c r="AH177" s="30" t="str">
        <f>IFERROR(INDEX('G-6 Hedgerow Data'!$BJ$3:$BJ$15,MATCH(D177,'G-6 Hedgerow Data'!$B$3:$B$15,0)),"")</f>
        <v/>
      </c>
    </row>
    <row r="178" spans="2:34" ht="14">
      <c r="B178" s="97">
        <v>167</v>
      </c>
      <c r="C178" s="171"/>
      <c r="D178" s="58"/>
      <c r="E178" s="138"/>
      <c r="F178" s="275" t="str">
        <f>IF(D178="","",VLOOKUP(D178,'G-6 Hedgerow Data'!$B$2:$AG$15,2,FALSE))</f>
        <v/>
      </c>
      <c r="G178" s="299" t="str">
        <f>IF(D178="","",VLOOKUP(D178,'G-6 Hedgerow Data'!$B$2:$AG$15,3,FALSE))</f>
        <v/>
      </c>
      <c r="H178" s="53"/>
      <c r="I178" s="276" t="str">
        <f>IFERROR(IF(H178="","",IF(AND(D178="Non-native and ornamental hedgerow",H178&lt;&gt;"Poor"),"Not possible ▲",(IF(AND(F178="V.Low",OR(H178="Good",H178="Moderate")),"Error ▲",VLOOKUP(H178,'G-1 All Habitats'!$Z$2:$AA$9,2,FALSE))))),"")</f>
        <v/>
      </c>
      <c r="J178" s="102"/>
      <c r="K178" s="295" t="str">
        <f>IF(J178="","",IF(VLOOKUP(J178,'G-3 Multipliers'!$L$3:$N$6,2,FALSE)=0,"Spatial Data Missing",VLOOKUP(J178,'G-3 Multipliers'!$L$3:$N$6,2,FALSE)))</f>
        <v/>
      </c>
      <c r="L178" s="299" t="str">
        <f>IF(J178="","",IF(VLOOKUP(J178,'G-3 Multipliers'!$L$3:$N$6,3,FALSE)=0,"Spatial Data Missing",VLOOKUP(J178,'G-3 Multipliers'!$L$3:$N$6,3,FALSE)))</f>
        <v/>
      </c>
      <c r="M178" s="134"/>
      <c r="N178" s="276" t="str">
        <f>IF(M178="","",IF(VLOOKUP(M178,'G-3 Multipliers'!$S$3:$T$10,2,FALSE)=0,"Spatial Data Missing ⚠",VLOOKUP(M178,'G-3 Multipliers'!$S$3:$T$10,2,FALSE)))</f>
        <v/>
      </c>
      <c r="O178" s="275" t="str">
        <f>IF(OR(D178="",H178=""),"",(INDEX('G-6 Hedgerow Data'!$E$3:$I$15,MATCH(D178,'G-6 Hedgerow Data'!$B$3:$B$15,0),MATCH(H178,'G-6 Hedgerow Data'!$E$2:$I$2,0))))</f>
        <v/>
      </c>
      <c r="P178" s="133"/>
      <c r="Q178" s="133"/>
      <c r="R178" s="283" t="str">
        <f t="shared" si="15"/>
        <v/>
      </c>
      <c r="S178" s="296" t="str">
        <f t="shared" si="16"/>
        <v/>
      </c>
      <c r="T178" s="297" t="str">
        <f t="shared" si="14"/>
        <v/>
      </c>
      <c r="U178" s="311" t="str">
        <f>IF(D178="","",VLOOKUP(D178,'G-6 Hedgerow Data'!$B$3:$AG$15,31,FALSE))</f>
        <v/>
      </c>
      <c r="V178" s="295" t="str">
        <f t="shared" si="17"/>
        <v/>
      </c>
      <c r="W178" s="283" t="str">
        <f t="shared" si="18"/>
        <v/>
      </c>
      <c r="X178" s="299" t="str">
        <f>IF(F178="","",VLOOKUP(U178,'G-3 Multipliers'!$P$3:$Q$6,2,FALSE))</f>
        <v/>
      </c>
      <c r="Y178" s="303" t="str">
        <f t="shared" si="19"/>
        <v/>
      </c>
      <c r="Z178" s="303" t="str">
        <f t="shared" si="20"/>
        <v/>
      </c>
      <c r="AA178" s="101"/>
      <c r="AB178" s="938"/>
      <c r="AC178" s="138"/>
      <c r="AD178" s="138"/>
      <c r="AE178" s="934"/>
      <c r="AH178" s="30" t="str">
        <f>IFERROR(INDEX('G-6 Hedgerow Data'!$BJ$3:$BJ$15,MATCH(D178,'G-6 Hedgerow Data'!$B$3:$B$15,0)),"")</f>
        <v/>
      </c>
    </row>
    <row r="179" spans="2:34" ht="14">
      <c r="B179" s="97">
        <v>168</v>
      </c>
      <c r="C179" s="171"/>
      <c r="D179" s="58"/>
      <c r="E179" s="138"/>
      <c r="F179" s="275" t="str">
        <f>IF(D179="","",VLOOKUP(D179,'G-6 Hedgerow Data'!$B$2:$AG$15,2,FALSE))</f>
        <v/>
      </c>
      <c r="G179" s="299" t="str">
        <f>IF(D179="","",VLOOKUP(D179,'G-6 Hedgerow Data'!$B$2:$AG$15,3,FALSE))</f>
        <v/>
      </c>
      <c r="H179" s="53"/>
      <c r="I179" s="276" t="str">
        <f>IFERROR(IF(H179="","",IF(AND(D179="Non-native and ornamental hedgerow",H179&lt;&gt;"Poor"),"Not possible ▲",(IF(AND(F179="V.Low",OR(H179="Good",H179="Moderate")),"Error ▲",VLOOKUP(H179,'G-1 All Habitats'!$Z$2:$AA$9,2,FALSE))))),"")</f>
        <v/>
      </c>
      <c r="J179" s="102"/>
      <c r="K179" s="295" t="str">
        <f>IF(J179="","",IF(VLOOKUP(J179,'G-3 Multipliers'!$L$3:$N$6,2,FALSE)=0,"Spatial Data Missing",VLOOKUP(J179,'G-3 Multipliers'!$L$3:$N$6,2,FALSE)))</f>
        <v/>
      </c>
      <c r="L179" s="299" t="str">
        <f>IF(J179="","",IF(VLOOKUP(J179,'G-3 Multipliers'!$L$3:$N$6,3,FALSE)=0,"Spatial Data Missing",VLOOKUP(J179,'G-3 Multipliers'!$L$3:$N$6,3,FALSE)))</f>
        <v/>
      </c>
      <c r="M179" s="134"/>
      <c r="N179" s="276" t="str">
        <f>IF(M179="","",IF(VLOOKUP(M179,'G-3 Multipliers'!$S$3:$T$10,2,FALSE)=0,"Spatial Data Missing ⚠",VLOOKUP(M179,'G-3 Multipliers'!$S$3:$T$10,2,FALSE)))</f>
        <v/>
      </c>
      <c r="O179" s="275" t="str">
        <f>IF(OR(D179="",H179=""),"",(INDEX('G-6 Hedgerow Data'!$E$3:$I$15,MATCH(D179,'G-6 Hedgerow Data'!$B$3:$B$15,0),MATCH(H179,'G-6 Hedgerow Data'!$E$2:$I$2,0))))</f>
        <v/>
      </c>
      <c r="P179" s="133"/>
      <c r="Q179" s="133"/>
      <c r="R179" s="283" t="str">
        <f t="shared" si="15"/>
        <v/>
      </c>
      <c r="S179" s="296" t="str">
        <f t="shared" si="16"/>
        <v/>
      </c>
      <c r="T179" s="297" t="str">
        <f t="shared" si="14"/>
        <v/>
      </c>
      <c r="U179" s="311" t="str">
        <f>IF(D179="","",VLOOKUP(D179,'G-6 Hedgerow Data'!$B$3:$AG$15,31,FALSE))</f>
        <v/>
      </c>
      <c r="V179" s="295" t="str">
        <f t="shared" si="17"/>
        <v/>
      </c>
      <c r="W179" s="283" t="str">
        <f t="shared" si="18"/>
        <v/>
      </c>
      <c r="X179" s="299" t="str">
        <f>IF(F179="","",VLOOKUP(U179,'G-3 Multipliers'!$P$3:$Q$6,2,FALSE))</f>
        <v/>
      </c>
      <c r="Y179" s="303" t="str">
        <f t="shared" si="19"/>
        <v/>
      </c>
      <c r="Z179" s="303" t="str">
        <f t="shared" si="20"/>
        <v/>
      </c>
      <c r="AA179" s="101"/>
      <c r="AB179" s="938"/>
      <c r="AC179" s="138"/>
      <c r="AD179" s="138"/>
      <c r="AE179" s="934"/>
      <c r="AH179" s="30" t="str">
        <f>IFERROR(INDEX('G-6 Hedgerow Data'!$BJ$3:$BJ$15,MATCH(D179,'G-6 Hedgerow Data'!$B$3:$B$15,0)),"")</f>
        <v/>
      </c>
    </row>
    <row r="180" spans="2:34" ht="14">
      <c r="B180" s="97">
        <v>169</v>
      </c>
      <c r="C180" s="171"/>
      <c r="D180" s="58"/>
      <c r="E180" s="138"/>
      <c r="F180" s="275" t="str">
        <f>IF(D180="","",VLOOKUP(D180,'G-6 Hedgerow Data'!$B$2:$AG$15,2,FALSE))</f>
        <v/>
      </c>
      <c r="G180" s="299" t="str">
        <f>IF(D180="","",VLOOKUP(D180,'G-6 Hedgerow Data'!$B$2:$AG$15,3,FALSE))</f>
        <v/>
      </c>
      <c r="H180" s="53"/>
      <c r="I180" s="276" t="str">
        <f>IFERROR(IF(H180="","",IF(AND(D180="Non-native and ornamental hedgerow",H180&lt;&gt;"Poor"),"Not possible ▲",(IF(AND(F180="V.Low",OR(H180="Good",H180="Moderate")),"Error ▲",VLOOKUP(H180,'G-1 All Habitats'!$Z$2:$AA$9,2,FALSE))))),"")</f>
        <v/>
      </c>
      <c r="J180" s="102"/>
      <c r="K180" s="295" t="str">
        <f>IF(J180="","",IF(VLOOKUP(J180,'G-3 Multipliers'!$L$3:$N$6,2,FALSE)=0,"Spatial Data Missing",VLOOKUP(J180,'G-3 Multipliers'!$L$3:$N$6,2,FALSE)))</f>
        <v/>
      </c>
      <c r="L180" s="299" t="str">
        <f>IF(J180="","",IF(VLOOKUP(J180,'G-3 Multipliers'!$L$3:$N$6,3,FALSE)=0,"Spatial Data Missing",VLOOKUP(J180,'G-3 Multipliers'!$L$3:$N$6,3,FALSE)))</f>
        <v/>
      </c>
      <c r="M180" s="134"/>
      <c r="N180" s="276" t="str">
        <f>IF(M180="","",IF(VLOOKUP(M180,'G-3 Multipliers'!$S$3:$T$10,2,FALSE)=0,"Spatial Data Missing ⚠",VLOOKUP(M180,'G-3 Multipliers'!$S$3:$T$10,2,FALSE)))</f>
        <v/>
      </c>
      <c r="O180" s="275" t="str">
        <f>IF(OR(D180="",H180=""),"",(INDEX('G-6 Hedgerow Data'!$E$3:$I$15,MATCH(D180,'G-6 Hedgerow Data'!$B$3:$B$15,0),MATCH(H180,'G-6 Hedgerow Data'!$E$2:$I$2,0))))</f>
        <v/>
      </c>
      <c r="P180" s="133"/>
      <c r="Q180" s="133"/>
      <c r="R180" s="283" t="str">
        <f t="shared" si="15"/>
        <v/>
      </c>
      <c r="S180" s="296" t="str">
        <f t="shared" si="16"/>
        <v/>
      </c>
      <c r="T180" s="297" t="str">
        <f t="shared" si="14"/>
        <v/>
      </c>
      <c r="U180" s="311" t="str">
        <f>IF(D180="","",VLOOKUP(D180,'G-6 Hedgerow Data'!$B$3:$AG$15,31,FALSE))</f>
        <v/>
      </c>
      <c r="V180" s="295" t="str">
        <f t="shared" si="17"/>
        <v/>
      </c>
      <c r="W180" s="283" t="str">
        <f t="shared" si="18"/>
        <v/>
      </c>
      <c r="X180" s="299" t="str">
        <f>IF(F180="","",VLOOKUP(U180,'G-3 Multipliers'!$P$3:$Q$6,2,FALSE))</f>
        <v/>
      </c>
      <c r="Y180" s="303" t="str">
        <f t="shared" si="19"/>
        <v/>
      </c>
      <c r="Z180" s="303" t="str">
        <f t="shared" si="20"/>
        <v/>
      </c>
      <c r="AA180" s="101"/>
      <c r="AB180" s="938"/>
      <c r="AC180" s="138"/>
      <c r="AD180" s="138"/>
      <c r="AE180" s="934"/>
      <c r="AH180" s="30" t="str">
        <f>IFERROR(INDEX('G-6 Hedgerow Data'!$BJ$3:$BJ$15,MATCH(D180,'G-6 Hedgerow Data'!$B$3:$B$15,0)),"")</f>
        <v/>
      </c>
    </row>
    <row r="181" spans="2:34" ht="14">
      <c r="B181" s="97">
        <v>170</v>
      </c>
      <c r="C181" s="171"/>
      <c r="D181" s="58"/>
      <c r="E181" s="138"/>
      <c r="F181" s="275" t="str">
        <f>IF(D181="","",VLOOKUP(D181,'G-6 Hedgerow Data'!$B$2:$AG$15,2,FALSE))</f>
        <v/>
      </c>
      <c r="G181" s="299" t="str">
        <f>IF(D181="","",VLOOKUP(D181,'G-6 Hedgerow Data'!$B$2:$AG$15,3,FALSE))</f>
        <v/>
      </c>
      <c r="H181" s="53"/>
      <c r="I181" s="276" t="str">
        <f>IFERROR(IF(H181="","",IF(AND(D181="Non-native and ornamental hedgerow",H181&lt;&gt;"Poor"),"Not possible ▲",(IF(AND(F181="V.Low",OR(H181="Good",H181="Moderate")),"Error ▲",VLOOKUP(H181,'G-1 All Habitats'!$Z$2:$AA$9,2,FALSE))))),"")</f>
        <v/>
      </c>
      <c r="J181" s="102"/>
      <c r="K181" s="295" t="str">
        <f>IF(J181="","",IF(VLOOKUP(J181,'G-3 Multipliers'!$L$3:$N$6,2,FALSE)=0,"Spatial Data Missing",VLOOKUP(J181,'G-3 Multipliers'!$L$3:$N$6,2,FALSE)))</f>
        <v/>
      </c>
      <c r="L181" s="299" t="str">
        <f>IF(J181="","",IF(VLOOKUP(J181,'G-3 Multipliers'!$L$3:$N$6,3,FALSE)=0,"Spatial Data Missing",VLOOKUP(J181,'G-3 Multipliers'!$L$3:$N$6,3,FALSE)))</f>
        <v/>
      </c>
      <c r="M181" s="134"/>
      <c r="N181" s="276" t="str">
        <f>IF(M181="","",IF(VLOOKUP(M181,'G-3 Multipliers'!$S$3:$T$10,2,FALSE)=0,"Spatial Data Missing ⚠",VLOOKUP(M181,'G-3 Multipliers'!$S$3:$T$10,2,FALSE)))</f>
        <v/>
      </c>
      <c r="O181" s="275" t="str">
        <f>IF(OR(D181="",H181=""),"",(INDEX('G-6 Hedgerow Data'!$E$3:$I$15,MATCH(D181,'G-6 Hedgerow Data'!$B$3:$B$15,0),MATCH(H181,'G-6 Hedgerow Data'!$E$2:$I$2,0))))</f>
        <v/>
      </c>
      <c r="P181" s="133"/>
      <c r="Q181" s="133"/>
      <c r="R181" s="283" t="str">
        <f t="shared" si="15"/>
        <v/>
      </c>
      <c r="S181" s="296" t="str">
        <f t="shared" si="16"/>
        <v/>
      </c>
      <c r="T181" s="297" t="str">
        <f t="shared" si="14"/>
        <v/>
      </c>
      <c r="U181" s="311" t="str">
        <f>IF(D181="","",VLOOKUP(D181,'G-6 Hedgerow Data'!$B$3:$AG$15,31,FALSE))</f>
        <v/>
      </c>
      <c r="V181" s="295" t="str">
        <f t="shared" si="17"/>
        <v/>
      </c>
      <c r="W181" s="283" t="str">
        <f t="shared" si="18"/>
        <v/>
      </c>
      <c r="X181" s="299" t="str">
        <f>IF(F181="","",VLOOKUP(U181,'G-3 Multipliers'!$P$3:$Q$6,2,FALSE))</f>
        <v/>
      </c>
      <c r="Y181" s="303" t="str">
        <f t="shared" si="19"/>
        <v/>
      </c>
      <c r="Z181" s="303" t="str">
        <f t="shared" si="20"/>
        <v/>
      </c>
      <c r="AA181" s="101"/>
      <c r="AB181" s="938"/>
      <c r="AC181" s="138"/>
      <c r="AD181" s="138"/>
      <c r="AE181" s="934"/>
      <c r="AH181" s="30" t="str">
        <f>IFERROR(INDEX('G-6 Hedgerow Data'!$BJ$3:$BJ$15,MATCH(D181,'G-6 Hedgerow Data'!$B$3:$B$15,0)),"")</f>
        <v/>
      </c>
    </row>
    <row r="182" spans="2:34" ht="14">
      <c r="B182" s="97">
        <v>171</v>
      </c>
      <c r="C182" s="171"/>
      <c r="D182" s="58"/>
      <c r="E182" s="138"/>
      <c r="F182" s="275" t="str">
        <f>IF(D182="","",VLOOKUP(D182,'G-6 Hedgerow Data'!$B$2:$AG$15,2,FALSE))</f>
        <v/>
      </c>
      <c r="G182" s="299" t="str">
        <f>IF(D182="","",VLOOKUP(D182,'G-6 Hedgerow Data'!$B$2:$AG$15,3,FALSE))</f>
        <v/>
      </c>
      <c r="H182" s="53"/>
      <c r="I182" s="276" t="str">
        <f>IFERROR(IF(H182="","",IF(AND(D182="Non-native and ornamental hedgerow",H182&lt;&gt;"Poor"),"Not possible ▲",(IF(AND(F182="V.Low",OR(H182="Good",H182="Moderate")),"Error ▲",VLOOKUP(H182,'G-1 All Habitats'!$Z$2:$AA$9,2,FALSE))))),"")</f>
        <v/>
      </c>
      <c r="J182" s="102"/>
      <c r="K182" s="295" t="str">
        <f>IF(J182="","",IF(VLOOKUP(J182,'G-3 Multipliers'!$L$3:$N$6,2,FALSE)=0,"Spatial Data Missing",VLOOKUP(J182,'G-3 Multipliers'!$L$3:$N$6,2,FALSE)))</f>
        <v/>
      </c>
      <c r="L182" s="299" t="str">
        <f>IF(J182="","",IF(VLOOKUP(J182,'G-3 Multipliers'!$L$3:$N$6,3,FALSE)=0,"Spatial Data Missing",VLOOKUP(J182,'G-3 Multipliers'!$L$3:$N$6,3,FALSE)))</f>
        <v/>
      </c>
      <c r="M182" s="134"/>
      <c r="N182" s="276" t="str">
        <f>IF(M182="","",IF(VLOOKUP(M182,'G-3 Multipliers'!$S$3:$T$10,2,FALSE)=0,"Spatial Data Missing ⚠",VLOOKUP(M182,'G-3 Multipliers'!$S$3:$T$10,2,FALSE)))</f>
        <v/>
      </c>
      <c r="O182" s="275" t="str">
        <f>IF(OR(D182="",H182=""),"",(INDEX('G-6 Hedgerow Data'!$E$3:$I$15,MATCH(D182,'G-6 Hedgerow Data'!$B$3:$B$15,0),MATCH(H182,'G-6 Hedgerow Data'!$E$2:$I$2,0))))</f>
        <v/>
      </c>
      <c r="P182" s="133"/>
      <c r="Q182" s="133"/>
      <c r="R182" s="283" t="str">
        <f t="shared" si="15"/>
        <v/>
      </c>
      <c r="S182" s="296" t="str">
        <f t="shared" si="16"/>
        <v/>
      </c>
      <c r="T182" s="297" t="str">
        <f t="shared" si="14"/>
        <v/>
      </c>
      <c r="U182" s="311" t="str">
        <f>IF(D182="","",VLOOKUP(D182,'G-6 Hedgerow Data'!$B$3:$AG$15,31,FALSE))</f>
        <v/>
      </c>
      <c r="V182" s="295" t="str">
        <f t="shared" si="17"/>
        <v/>
      </c>
      <c r="W182" s="283" t="str">
        <f t="shared" si="18"/>
        <v/>
      </c>
      <c r="X182" s="299" t="str">
        <f>IF(F182="","",VLOOKUP(U182,'G-3 Multipliers'!$P$3:$Q$6,2,FALSE))</f>
        <v/>
      </c>
      <c r="Y182" s="303" t="str">
        <f t="shared" si="19"/>
        <v/>
      </c>
      <c r="Z182" s="303" t="str">
        <f t="shared" si="20"/>
        <v/>
      </c>
      <c r="AA182" s="101"/>
      <c r="AB182" s="938"/>
      <c r="AC182" s="138"/>
      <c r="AD182" s="138"/>
      <c r="AE182" s="934"/>
      <c r="AH182" s="30" t="str">
        <f>IFERROR(INDEX('G-6 Hedgerow Data'!$BJ$3:$BJ$15,MATCH(D182,'G-6 Hedgerow Data'!$B$3:$B$15,0)),"")</f>
        <v/>
      </c>
    </row>
    <row r="183" spans="2:34" ht="14">
      <c r="B183" s="97">
        <v>172</v>
      </c>
      <c r="C183" s="171"/>
      <c r="D183" s="58"/>
      <c r="E183" s="138"/>
      <c r="F183" s="275" t="str">
        <f>IF(D183="","",VLOOKUP(D183,'G-6 Hedgerow Data'!$B$2:$AG$15,2,FALSE))</f>
        <v/>
      </c>
      <c r="G183" s="299" t="str">
        <f>IF(D183="","",VLOOKUP(D183,'G-6 Hedgerow Data'!$B$2:$AG$15,3,FALSE))</f>
        <v/>
      </c>
      <c r="H183" s="53"/>
      <c r="I183" s="276" t="str">
        <f>IFERROR(IF(H183="","",IF(AND(D183="Non-native and ornamental hedgerow",H183&lt;&gt;"Poor"),"Not possible ▲",(IF(AND(F183="V.Low",OR(H183="Good",H183="Moderate")),"Error ▲",VLOOKUP(H183,'G-1 All Habitats'!$Z$2:$AA$9,2,FALSE))))),"")</f>
        <v/>
      </c>
      <c r="J183" s="102"/>
      <c r="K183" s="295" t="str">
        <f>IF(J183="","",IF(VLOOKUP(J183,'G-3 Multipliers'!$L$3:$N$6,2,FALSE)=0,"Spatial Data Missing",VLOOKUP(J183,'G-3 Multipliers'!$L$3:$N$6,2,FALSE)))</f>
        <v/>
      </c>
      <c r="L183" s="299" t="str">
        <f>IF(J183="","",IF(VLOOKUP(J183,'G-3 Multipliers'!$L$3:$N$6,3,FALSE)=0,"Spatial Data Missing",VLOOKUP(J183,'G-3 Multipliers'!$L$3:$N$6,3,FALSE)))</f>
        <v/>
      </c>
      <c r="M183" s="134"/>
      <c r="N183" s="276" t="str">
        <f>IF(M183="","",IF(VLOOKUP(M183,'G-3 Multipliers'!$S$3:$T$10,2,FALSE)=0,"Spatial Data Missing ⚠",VLOOKUP(M183,'G-3 Multipliers'!$S$3:$T$10,2,FALSE)))</f>
        <v/>
      </c>
      <c r="O183" s="275" t="str">
        <f>IF(OR(D183="",H183=""),"",(INDEX('G-6 Hedgerow Data'!$E$3:$I$15,MATCH(D183,'G-6 Hedgerow Data'!$B$3:$B$15,0),MATCH(H183,'G-6 Hedgerow Data'!$E$2:$I$2,0))))</f>
        <v/>
      </c>
      <c r="P183" s="133"/>
      <c r="Q183" s="133"/>
      <c r="R183" s="283" t="str">
        <f t="shared" si="15"/>
        <v/>
      </c>
      <c r="S183" s="296" t="str">
        <f t="shared" si="16"/>
        <v/>
      </c>
      <c r="T183" s="297" t="str">
        <f t="shared" si="14"/>
        <v/>
      </c>
      <c r="U183" s="311" t="str">
        <f>IF(D183="","",VLOOKUP(D183,'G-6 Hedgerow Data'!$B$3:$AG$15,31,FALSE))</f>
        <v/>
      </c>
      <c r="V183" s="295" t="str">
        <f t="shared" si="17"/>
        <v/>
      </c>
      <c r="W183" s="283" t="str">
        <f t="shared" si="18"/>
        <v/>
      </c>
      <c r="X183" s="299" t="str">
        <f>IF(F183="","",VLOOKUP(U183,'G-3 Multipliers'!$P$3:$Q$6,2,FALSE))</f>
        <v/>
      </c>
      <c r="Y183" s="303" t="str">
        <f t="shared" si="19"/>
        <v/>
      </c>
      <c r="Z183" s="303" t="str">
        <f t="shared" si="20"/>
        <v/>
      </c>
      <c r="AA183" s="101"/>
      <c r="AB183" s="938"/>
      <c r="AC183" s="138"/>
      <c r="AD183" s="138"/>
      <c r="AE183" s="934"/>
      <c r="AH183" s="30" t="str">
        <f>IFERROR(INDEX('G-6 Hedgerow Data'!$BJ$3:$BJ$15,MATCH(D183,'G-6 Hedgerow Data'!$B$3:$B$15,0)),"")</f>
        <v/>
      </c>
    </row>
    <row r="184" spans="2:34" ht="14">
      <c r="B184" s="97">
        <v>173</v>
      </c>
      <c r="C184" s="171"/>
      <c r="D184" s="58"/>
      <c r="E184" s="138"/>
      <c r="F184" s="275" t="str">
        <f>IF(D184="","",VLOOKUP(D184,'G-6 Hedgerow Data'!$B$2:$AG$15,2,FALSE))</f>
        <v/>
      </c>
      <c r="G184" s="299" t="str">
        <f>IF(D184="","",VLOOKUP(D184,'G-6 Hedgerow Data'!$B$2:$AG$15,3,FALSE))</f>
        <v/>
      </c>
      <c r="H184" s="53"/>
      <c r="I184" s="276" t="str">
        <f>IFERROR(IF(H184="","",IF(AND(D184="Non-native and ornamental hedgerow",H184&lt;&gt;"Poor"),"Not possible ▲",(IF(AND(F184="V.Low",OR(H184="Good",H184="Moderate")),"Error ▲",VLOOKUP(H184,'G-1 All Habitats'!$Z$2:$AA$9,2,FALSE))))),"")</f>
        <v/>
      </c>
      <c r="J184" s="102"/>
      <c r="K184" s="295" t="str">
        <f>IF(J184="","",IF(VLOOKUP(J184,'G-3 Multipliers'!$L$3:$N$6,2,FALSE)=0,"Spatial Data Missing",VLOOKUP(J184,'G-3 Multipliers'!$L$3:$N$6,2,FALSE)))</f>
        <v/>
      </c>
      <c r="L184" s="299" t="str">
        <f>IF(J184="","",IF(VLOOKUP(J184,'G-3 Multipliers'!$L$3:$N$6,3,FALSE)=0,"Spatial Data Missing",VLOOKUP(J184,'G-3 Multipliers'!$L$3:$N$6,3,FALSE)))</f>
        <v/>
      </c>
      <c r="M184" s="134"/>
      <c r="N184" s="276" t="str">
        <f>IF(M184="","",IF(VLOOKUP(M184,'G-3 Multipliers'!$S$3:$T$10,2,FALSE)=0,"Spatial Data Missing ⚠",VLOOKUP(M184,'G-3 Multipliers'!$S$3:$T$10,2,FALSE)))</f>
        <v/>
      </c>
      <c r="O184" s="275" t="str">
        <f>IF(OR(D184="",H184=""),"",(INDEX('G-6 Hedgerow Data'!$E$3:$I$15,MATCH(D184,'G-6 Hedgerow Data'!$B$3:$B$15,0),MATCH(H184,'G-6 Hedgerow Data'!$E$2:$I$2,0))))</f>
        <v/>
      </c>
      <c r="P184" s="133"/>
      <c r="Q184" s="133"/>
      <c r="R184" s="283" t="str">
        <f t="shared" si="15"/>
        <v/>
      </c>
      <c r="S184" s="296" t="str">
        <f t="shared" si="16"/>
        <v/>
      </c>
      <c r="T184" s="297" t="str">
        <f t="shared" si="14"/>
        <v/>
      </c>
      <c r="U184" s="311" t="str">
        <f>IF(D184="","",VLOOKUP(D184,'G-6 Hedgerow Data'!$B$3:$AG$15,31,FALSE))</f>
        <v/>
      </c>
      <c r="V184" s="295" t="str">
        <f t="shared" si="17"/>
        <v/>
      </c>
      <c r="W184" s="283" t="str">
        <f t="shared" si="18"/>
        <v/>
      </c>
      <c r="X184" s="299" t="str">
        <f>IF(F184="","",VLOOKUP(U184,'G-3 Multipliers'!$P$3:$Q$6,2,FALSE))</f>
        <v/>
      </c>
      <c r="Y184" s="303" t="str">
        <f t="shared" si="19"/>
        <v/>
      </c>
      <c r="Z184" s="303" t="str">
        <f t="shared" si="20"/>
        <v/>
      </c>
      <c r="AA184" s="101"/>
      <c r="AB184" s="938"/>
      <c r="AC184" s="138"/>
      <c r="AD184" s="138"/>
      <c r="AE184" s="934"/>
      <c r="AH184" s="30" t="str">
        <f>IFERROR(INDEX('G-6 Hedgerow Data'!$BJ$3:$BJ$15,MATCH(D184,'G-6 Hedgerow Data'!$B$3:$B$15,0)),"")</f>
        <v/>
      </c>
    </row>
    <row r="185" spans="2:34" ht="14">
      <c r="B185" s="97">
        <v>174</v>
      </c>
      <c r="C185" s="171"/>
      <c r="D185" s="58"/>
      <c r="E185" s="138"/>
      <c r="F185" s="275" t="str">
        <f>IF(D185="","",VLOOKUP(D185,'G-6 Hedgerow Data'!$B$2:$AG$15,2,FALSE))</f>
        <v/>
      </c>
      <c r="G185" s="299" t="str">
        <f>IF(D185="","",VLOOKUP(D185,'G-6 Hedgerow Data'!$B$2:$AG$15,3,FALSE))</f>
        <v/>
      </c>
      <c r="H185" s="53"/>
      <c r="I185" s="276" t="str">
        <f>IFERROR(IF(H185="","",IF(AND(D185="Non-native and ornamental hedgerow",H185&lt;&gt;"Poor"),"Not possible ▲",(IF(AND(F185="V.Low",OR(H185="Good",H185="Moderate")),"Error ▲",VLOOKUP(H185,'G-1 All Habitats'!$Z$2:$AA$9,2,FALSE))))),"")</f>
        <v/>
      </c>
      <c r="J185" s="102"/>
      <c r="K185" s="295" t="str">
        <f>IF(J185="","",IF(VLOOKUP(J185,'G-3 Multipliers'!$L$3:$N$6,2,FALSE)=0,"Spatial Data Missing",VLOOKUP(J185,'G-3 Multipliers'!$L$3:$N$6,2,FALSE)))</f>
        <v/>
      </c>
      <c r="L185" s="299" t="str">
        <f>IF(J185="","",IF(VLOOKUP(J185,'G-3 Multipliers'!$L$3:$N$6,3,FALSE)=0,"Spatial Data Missing",VLOOKUP(J185,'G-3 Multipliers'!$L$3:$N$6,3,FALSE)))</f>
        <v/>
      </c>
      <c r="M185" s="134"/>
      <c r="N185" s="276" t="str">
        <f>IF(M185="","",IF(VLOOKUP(M185,'G-3 Multipliers'!$S$3:$T$10,2,FALSE)=0,"Spatial Data Missing ⚠",VLOOKUP(M185,'G-3 Multipliers'!$S$3:$T$10,2,FALSE)))</f>
        <v/>
      </c>
      <c r="O185" s="275" t="str">
        <f>IF(OR(D185="",H185=""),"",(INDEX('G-6 Hedgerow Data'!$E$3:$I$15,MATCH(D185,'G-6 Hedgerow Data'!$B$3:$B$15,0),MATCH(H185,'G-6 Hedgerow Data'!$E$2:$I$2,0))))</f>
        <v/>
      </c>
      <c r="P185" s="133"/>
      <c r="Q185" s="133"/>
      <c r="R185" s="283" t="str">
        <f t="shared" si="15"/>
        <v/>
      </c>
      <c r="S185" s="296" t="str">
        <f t="shared" si="16"/>
        <v/>
      </c>
      <c r="T185" s="297" t="str">
        <f t="shared" si="14"/>
        <v/>
      </c>
      <c r="U185" s="311" t="str">
        <f>IF(D185="","",VLOOKUP(D185,'G-6 Hedgerow Data'!$B$3:$AG$15,31,FALSE))</f>
        <v/>
      </c>
      <c r="V185" s="295" t="str">
        <f t="shared" si="17"/>
        <v/>
      </c>
      <c r="W185" s="283" t="str">
        <f t="shared" si="18"/>
        <v/>
      </c>
      <c r="X185" s="299" t="str">
        <f>IF(F185="","",VLOOKUP(U185,'G-3 Multipliers'!$P$3:$Q$6,2,FALSE))</f>
        <v/>
      </c>
      <c r="Y185" s="303" t="str">
        <f t="shared" si="19"/>
        <v/>
      </c>
      <c r="Z185" s="303" t="str">
        <f t="shared" si="20"/>
        <v/>
      </c>
      <c r="AA185" s="101"/>
      <c r="AB185" s="938"/>
      <c r="AC185" s="138"/>
      <c r="AD185" s="138"/>
      <c r="AE185" s="934"/>
      <c r="AH185" s="30" t="str">
        <f>IFERROR(INDEX('G-6 Hedgerow Data'!$BJ$3:$BJ$15,MATCH(D185,'G-6 Hedgerow Data'!$B$3:$B$15,0)),"")</f>
        <v/>
      </c>
    </row>
    <row r="186" spans="2:34" ht="14">
      <c r="B186" s="97">
        <v>175</v>
      </c>
      <c r="C186" s="171"/>
      <c r="D186" s="58"/>
      <c r="E186" s="138"/>
      <c r="F186" s="275" t="str">
        <f>IF(D186="","",VLOOKUP(D186,'G-6 Hedgerow Data'!$B$2:$AG$15,2,FALSE))</f>
        <v/>
      </c>
      <c r="G186" s="299" t="str">
        <f>IF(D186="","",VLOOKUP(D186,'G-6 Hedgerow Data'!$B$2:$AG$15,3,FALSE))</f>
        <v/>
      </c>
      <c r="H186" s="53"/>
      <c r="I186" s="276" t="str">
        <f>IFERROR(IF(H186="","",IF(AND(D186="Non-native and ornamental hedgerow",H186&lt;&gt;"Poor"),"Not possible ▲",(IF(AND(F186="V.Low",OR(H186="Good",H186="Moderate")),"Error ▲",VLOOKUP(H186,'G-1 All Habitats'!$Z$2:$AA$9,2,FALSE))))),"")</f>
        <v/>
      </c>
      <c r="J186" s="102"/>
      <c r="K186" s="295" t="str">
        <f>IF(J186="","",IF(VLOOKUP(J186,'G-3 Multipliers'!$L$3:$N$6,2,FALSE)=0,"Spatial Data Missing",VLOOKUP(J186,'G-3 Multipliers'!$L$3:$N$6,2,FALSE)))</f>
        <v/>
      </c>
      <c r="L186" s="299" t="str">
        <f>IF(J186="","",IF(VLOOKUP(J186,'G-3 Multipliers'!$L$3:$N$6,3,FALSE)=0,"Spatial Data Missing",VLOOKUP(J186,'G-3 Multipliers'!$L$3:$N$6,3,FALSE)))</f>
        <v/>
      </c>
      <c r="M186" s="134"/>
      <c r="N186" s="276" t="str">
        <f>IF(M186="","",IF(VLOOKUP(M186,'G-3 Multipliers'!$S$3:$T$10,2,FALSE)=0,"Spatial Data Missing ⚠",VLOOKUP(M186,'G-3 Multipliers'!$S$3:$T$10,2,FALSE)))</f>
        <v/>
      </c>
      <c r="O186" s="275" t="str">
        <f>IF(OR(D186="",H186=""),"",(INDEX('G-6 Hedgerow Data'!$E$3:$I$15,MATCH(D186,'G-6 Hedgerow Data'!$B$3:$B$15,0),MATCH(H186,'G-6 Hedgerow Data'!$E$2:$I$2,0))))</f>
        <v/>
      </c>
      <c r="P186" s="133"/>
      <c r="Q186" s="133"/>
      <c r="R186" s="283" t="str">
        <f t="shared" si="15"/>
        <v/>
      </c>
      <c r="S186" s="296" t="str">
        <f t="shared" si="16"/>
        <v/>
      </c>
      <c r="T186" s="297" t="str">
        <f t="shared" si="14"/>
        <v/>
      </c>
      <c r="U186" s="311" t="str">
        <f>IF(D186="","",VLOOKUP(D186,'G-6 Hedgerow Data'!$B$3:$AG$15,31,FALSE))</f>
        <v/>
      </c>
      <c r="V186" s="295" t="str">
        <f t="shared" si="17"/>
        <v/>
      </c>
      <c r="W186" s="283" t="str">
        <f t="shared" si="18"/>
        <v/>
      </c>
      <c r="X186" s="299" t="str">
        <f>IF(F186="","",VLOOKUP(U186,'G-3 Multipliers'!$P$3:$Q$6,2,FALSE))</f>
        <v/>
      </c>
      <c r="Y186" s="303" t="str">
        <f t="shared" si="19"/>
        <v/>
      </c>
      <c r="Z186" s="303" t="str">
        <f t="shared" si="20"/>
        <v/>
      </c>
      <c r="AA186" s="101"/>
      <c r="AB186" s="938"/>
      <c r="AC186" s="138"/>
      <c r="AD186" s="138"/>
      <c r="AE186" s="934"/>
      <c r="AH186" s="30" t="str">
        <f>IFERROR(INDEX('G-6 Hedgerow Data'!$BJ$3:$BJ$15,MATCH(D186,'G-6 Hedgerow Data'!$B$3:$B$15,0)),"")</f>
        <v/>
      </c>
    </row>
    <row r="187" spans="2:34" ht="14">
      <c r="B187" s="97">
        <v>176</v>
      </c>
      <c r="C187" s="171"/>
      <c r="D187" s="58"/>
      <c r="E187" s="138"/>
      <c r="F187" s="275" t="str">
        <f>IF(D187="","",VLOOKUP(D187,'G-6 Hedgerow Data'!$B$2:$AG$15,2,FALSE))</f>
        <v/>
      </c>
      <c r="G187" s="299" t="str">
        <f>IF(D187="","",VLOOKUP(D187,'G-6 Hedgerow Data'!$B$2:$AG$15,3,FALSE))</f>
        <v/>
      </c>
      <c r="H187" s="53"/>
      <c r="I187" s="276" t="str">
        <f>IFERROR(IF(H187="","",IF(AND(D187="Non-native and ornamental hedgerow",H187&lt;&gt;"Poor"),"Not possible ▲",(IF(AND(F187="V.Low",OR(H187="Good",H187="Moderate")),"Error ▲",VLOOKUP(H187,'G-1 All Habitats'!$Z$2:$AA$9,2,FALSE))))),"")</f>
        <v/>
      </c>
      <c r="J187" s="102"/>
      <c r="K187" s="295" t="str">
        <f>IF(J187="","",IF(VLOOKUP(J187,'G-3 Multipliers'!$L$3:$N$6,2,FALSE)=0,"Spatial Data Missing",VLOOKUP(J187,'G-3 Multipliers'!$L$3:$N$6,2,FALSE)))</f>
        <v/>
      </c>
      <c r="L187" s="299" t="str">
        <f>IF(J187="","",IF(VLOOKUP(J187,'G-3 Multipliers'!$L$3:$N$6,3,FALSE)=0,"Spatial Data Missing",VLOOKUP(J187,'G-3 Multipliers'!$L$3:$N$6,3,FALSE)))</f>
        <v/>
      </c>
      <c r="M187" s="134"/>
      <c r="N187" s="276" t="str">
        <f>IF(M187="","",IF(VLOOKUP(M187,'G-3 Multipliers'!$S$3:$T$10,2,FALSE)=0,"Spatial Data Missing ⚠",VLOOKUP(M187,'G-3 Multipliers'!$S$3:$T$10,2,FALSE)))</f>
        <v/>
      </c>
      <c r="O187" s="275" t="str">
        <f>IF(OR(D187="",H187=""),"",(INDEX('G-6 Hedgerow Data'!$E$3:$I$15,MATCH(D187,'G-6 Hedgerow Data'!$B$3:$B$15,0),MATCH(H187,'G-6 Hedgerow Data'!$E$2:$I$2,0))))</f>
        <v/>
      </c>
      <c r="P187" s="133"/>
      <c r="Q187" s="133"/>
      <c r="R187" s="283" t="str">
        <f t="shared" si="15"/>
        <v/>
      </c>
      <c r="S187" s="296" t="str">
        <f t="shared" si="16"/>
        <v/>
      </c>
      <c r="T187" s="297" t="str">
        <f t="shared" si="14"/>
        <v/>
      </c>
      <c r="U187" s="311" t="str">
        <f>IF(D187="","",VLOOKUP(D187,'G-6 Hedgerow Data'!$B$3:$AG$15,31,FALSE))</f>
        <v/>
      </c>
      <c r="V187" s="295" t="str">
        <f t="shared" si="17"/>
        <v/>
      </c>
      <c r="W187" s="283" t="str">
        <f t="shared" si="18"/>
        <v/>
      </c>
      <c r="X187" s="299" t="str">
        <f>IF(F187="","",VLOOKUP(U187,'G-3 Multipliers'!$P$3:$Q$6,2,FALSE))</f>
        <v/>
      </c>
      <c r="Y187" s="303" t="str">
        <f t="shared" si="19"/>
        <v/>
      </c>
      <c r="Z187" s="303" t="str">
        <f t="shared" si="20"/>
        <v/>
      </c>
      <c r="AA187" s="101"/>
      <c r="AB187" s="938"/>
      <c r="AC187" s="138"/>
      <c r="AD187" s="138"/>
      <c r="AE187" s="934"/>
      <c r="AH187" s="30" t="str">
        <f>IFERROR(INDEX('G-6 Hedgerow Data'!$BJ$3:$BJ$15,MATCH(D187,'G-6 Hedgerow Data'!$B$3:$B$15,0)),"")</f>
        <v/>
      </c>
    </row>
    <row r="188" spans="2:34" ht="14">
      <c r="B188" s="97">
        <v>177</v>
      </c>
      <c r="C188" s="171"/>
      <c r="D188" s="58"/>
      <c r="E188" s="138"/>
      <c r="F188" s="275" t="str">
        <f>IF(D188="","",VLOOKUP(D188,'G-6 Hedgerow Data'!$B$2:$AG$15,2,FALSE))</f>
        <v/>
      </c>
      <c r="G188" s="299" t="str">
        <f>IF(D188="","",VLOOKUP(D188,'G-6 Hedgerow Data'!$B$2:$AG$15,3,FALSE))</f>
        <v/>
      </c>
      <c r="H188" s="53"/>
      <c r="I188" s="276" t="str">
        <f>IFERROR(IF(H188="","",IF(AND(D188="Non-native and ornamental hedgerow",H188&lt;&gt;"Poor"),"Not possible ▲",(IF(AND(F188="V.Low",OR(H188="Good",H188="Moderate")),"Error ▲",VLOOKUP(H188,'G-1 All Habitats'!$Z$2:$AA$9,2,FALSE))))),"")</f>
        <v/>
      </c>
      <c r="J188" s="102"/>
      <c r="K188" s="295" t="str">
        <f>IF(J188="","",IF(VLOOKUP(J188,'G-3 Multipliers'!$L$3:$N$6,2,FALSE)=0,"Spatial Data Missing",VLOOKUP(J188,'G-3 Multipliers'!$L$3:$N$6,2,FALSE)))</f>
        <v/>
      </c>
      <c r="L188" s="299" t="str">
        <f>IF(J188="","",IF(VLOOKUP(J188,'G-3 Multipliers'!$L$3:$N$6,3,FALSE)=0,"Spatial Data Missing",VLOOKUP(J188,'G-3 Multipliers'!$L$3:$N$6,3,FALSE)))</f>
        <v/>
      </c>
      <c r="M188" s="134"/>
      <c r="N188" s="276" t="str">
        <f>IF(M188="","",IF(VLOOKUP(M188,'G-3 Multipliers'!$S$3:$T$10,2,FALSE)=0,"Spatial Data Missing ⚠",VLOOKUP(M188,'G-3 Multipliers'!$S$3:$T$10,2,FALSE)))</f>
        <v/>
      </c>
      <c r="O188" s="275" t="str">
        <f>IF(OR(D188="",H188=""),"",(INDEX('G-6 Hedgerow Data'!$E$3:$I$15,MATCH(D188,'G-6 Hedgerow Data'!$B$3:$B$15,0),MATCH(H188,'G-6 Hedgerow Data'!$E$2:$I$2,0))))</f>
        <v/>
      </c>
      <c r="P188" s="133"/>
      <c r="Q188" s="133"/>
      <c r="R188" s="283" t="str">
        <f t="shared" si="15"/>
        <v/>
      </c>
      <c r="S188" s="296" t="str">
        <f t="shared" si="16"/>
        <v/>
      </c>
      <c r="T188" s="297" t="str">
        <f t="shared" si="14"/>
        <v/>
      </c>
      <c r="U188" s="311" t="str">
        <f>IF(D188="","",VLOOKUP(D188,'G-6 Hedgerow Data'!$B$3:$AG$15,31,FALSE))</f>
        <v/>
      </c>
      <c r="V188" s="295" t="str">
        <f t="shared" si="17"/>
        <v/>
      </c>
      <c r="W188" s="283" t="str">
        <f t="shared" si="18"/>
        <v/>
      </c>
      <c r="X188" s="299" t="str">
        <f>IF(F188="","",VLOOKUP(U188,'G-3 Multipliers'!$P$3:$Q$6,2,FALSE))</f>
        <v/>
      </c>
      <c r="Y188" s="303" t="str">
        <f t="shared" si="19"/>
        <v/>
      </c>
      <c r="Z188" s="303" t="str">
        <f t="shared" si="20"/>
        <v/>
      </c>
      <c r="AA188" s="101"/>
      <c r="AB188" s="938"/>
      <c r="AC188" s="138"/>
      <c r="AD188" s="138"/>
      <c r="AE188" s="934"/>
      <c r="AH188" s="30" t="str">
        <f>IFERROR(INDEX('G-6 Hedgerow Data'!$BJ$3:$BJ$15,MATCH(D188,'G-6 Hedgerow Data'!$B$3:$B$15,0)),"")</f>
        <v/>
      </c>
    </row>
    <row r="189" spans="2:34" ht="14">
      <c r="B189" s="97">
        <v>178</v>
      </c>
      <c r="C189" s="171"/>
      <c r="D189" s="58"/>
      <c r="E189" s="138"/>
      <c r="F189" s="275" t="str">
        <f>IF(D189="","",VLOOKUP(D189,'G-6 Hedgerow Data'!$B$2:$AG$15,2,FALSE))</f>
        <v/>
      </c>
      <c r="G189" s="299" t="str">
        <f>IF(D189="","",VLOOKUP(D189,'G-6 Hedgerow Data'!$B$2:$AG$15,3,FALSE))</f>
        <v/>
      </c>
      <c r="H189" s="53"/>
      <c r="I189" s="276" t="str">
        <f>IFERROR(IF(H189="","",IF(AND(D189="Non-native and ornamental hedgerow",H189&lt;&gt;"Poor"),"Not possible ▲",(IF(AND(F189="V.Low",OR(H189="Good",H189="Moderate")),"Error ▲",VLOOKUP(H189,'G-1 All Habitats'!$Z$2:$AA$9,2,FALSE))))),"")</f>
        <v/>
      </c>
      <c r="J189" s="102"/>
      <c r="K189" s="295" t="str">
        <f>IF(J189="","",IF(VLOOKUP(J189,'G-3 Multipliers'!$L$3:$N$6,2,FALSE)=0,"Spatial Data Missing",VLOOKUP(J189,'G-3 Multipliers'!$L$3:$N$6,2,FALSE)))</f>
        <v/>
      </c>
      <c r="L189" s="299" t="str">
        <f>IF(J189="","",IF(VLOOKUP(J189,'G-3 Multipliers'!$L$3:$N$6,3,FALSE)=0,"Spatial Data Missing",VLOOKUP(J189,'G-3 Multipliers'!$L$3:$N$6,3,FALSE)))</f>
        <v/>
      </c>
      <c r="M189" s="134"/>
      <c r="N189" s="276" t="str">
        <f>IF(M189="","",IF(VLOOKUP(M189,'G-3 Multipliers'!$S$3:$T$10,2,FALSE)=0,"Spatial Data Missing ⚠",VLOOKUP(M189,'G-3 Multipliers'!$S$3:$T$10,2,FALSE)))</f>
        <v/>
      </c>
      <c r="O189" s="275" t="str">
        <f>IF(OR(D189="",H189=""),"",(INDEX('G-6 Hedgerow Data'!$E$3:$I$15,MATCH(D189,'G-6 Hedgerow Data'!$B$3:$B$15,0),MATCH(H189,'G-6 Hedgerow Data'!$E$2:$I$2,0))))</f>
        <v/>
      </c>
      <c r="P189" s="133"/>
      <c r="Q189" s="133"/>
      <c r="R189" s="283" t="str">
        <f t="shared" si="15"/>
        <v/>
      </c>
      <c r="S189" s="296" t="str">
        <f t="shared" si="16"/>
        <v/>
      </c>
      <c r="T189" s="297" t="str">
        <f t="shared" si="14"/>
        <v/>
      </c>
      <c r="U189" s="311" t="str">
        <f>IF(D189="","",VLOOKUP(D189,'G-6 Hedgerow Data'!$B$3:$AG$15,31,FALSE))</f>
        <v/>
      </c>
      <c r="V189" s="295" t="str">
        <f t="shared" si="17"/>
        <v/>
      </c>
      <c r="W189" s="283" t="str">
        <f t="shared" si="18"/>
        <v/>
      </c>
      <c r="X189" s="299" t="str">
        <f>IF(F189="","",VLOOKUP(U189,'G-3 Multipliers'!$P$3:$Q$6,2,FALSE))</f>
        <v/>
      </c>
      <c r="Y189" s="303" t="str">
        <f t="shared" si="19"/>
        <v/>
      </c>
      <c r="Z189" s="303" t="str">
        <f t="shared" si="20"/>
        <v/>
      </c>
      <c r="AA189" s="101"/>
      <c r="AB189" s="938"/>
      <c r="AC189" s="138"/>
      <c r="AD189" s="138"/>
      <c r="AE189" s="934"/>
      <c r="AH189" s="30" t="str">
        <f>IFERROR(INDEX('G-6 Hedgerow Data'!$BJ$3:$BJ$15,MATCH(D189,'G-6 Hedgerow Data'!$B$3:$B$15,0)),"")</f>
        <v/>
      </c>
    </row>
    <row r="190" spans="2:34" ht="14">
      <c r="B190" s="97">
        <v>179</v>
      </c>
      <c r="C190" s="171"/>
      <c r="D190" s="58"/>
      <c r="E190" s="138"/>
      <c r="F190" s="275" t="str">
        <f>IF(D190="","",VLOOKUP(D190,'G-6 Hedgerow Data'!$B$2:$AG$15,2,FALSE))</f>
        <v/>
      </c>
      <c r="G190" s="299" t="str">
        <f>IF(D190="","",VLOOKUP(D190,'G-6 Hedgerow Data'!$B$2:$AG$15,3,FALSE))</f>
        <v/>
      </c>
      <c r="H190" s="53"/>
      <c r="I190" s="276" t="str">
        <f>IFERROR(IF(H190="","",IF(AND(D190="Non-native and ornamental hedgerow",H190&lt;&gt;"Poor"),"Not possible ▲",(IF(AND(F190="V.Low",OR(H190="Good",H190="Moderate")),"Error ▲",VLOOKUP(H190,'G-1 All Habitats'!$Z$2:$AA$9,2,FALSE))))),"")</f>
        <v/>
      </c>
      <c r="J190" s="102"/>
      <c r="K190" s="295" t="str">
        <f>IF(J190="","",IF(VLOOKUP(J190,'G-3 Multipliers'!$L$3:$N$6,2,FALSE)=0,"Spatial Data Missing",VLOOKUP(J190,'G-3 Multipliers'!$L$3:$N$6,2,FALSE)))</f>
        <v/>
      </c>
      <c r="L190" s="299" t="str">
        <f>IF(J190="","",IF(VLOOKUP(J190,'G-3 Multipliers'!$L$3:$N$6,3,FALSE)=0,"Spatial Data Missing",VLOOKUP(J190,'G-3 Multipliers'!$L$3:$N$6,3,FALSE)))</f>
        <v/>
      </c>
      <c r="M190" s="134"/>
      <c r="N190" s="276" t="str">
        <f>IF(M190="","",IF(VLOOKUP(M190,'G-3 Multipliers'!$S$3:$T$10,2,FALSE)=0,"Spatial Data Missing ⚠",VLOOKUP(M190,'G-3 Multipliers'!$S$3:$T$10,2,FALSE)))</f>
        <v/>
      </c>
      <c r="O190" s="275" t="str">
        <f>IF(OR(D190="",H190=""),"",(INDEX('G-6 Hedgerow Data'!$E$3:$I$15,MATCH(D190,'G-6 Hedgerow Data'!$B$3:$B$15,0),MATCH(H190,'G-6 Hedgerow Data'!$E$2:$I$2,0))))</f>
        <v/>
      </c>
      <c r="P190" s="133"/>
      <c r="Q190" s="133"/>
      <c r="R190" s="283" t="str">
        <f t="shared" si="15"/>
        <v/>
      </c>
      <c r="S190" s="296" t="str">
        <f t="shared" si="16"/>
        <v/>
      </c>
      <c r="T190" s="297" t="str">
        <f t="shared" si="14"/>
        <v/>
      </c>
      <c r="U190" s="311" t="str">
        <f>IF(D190="","",VLOOKUP(D190,'G-6 Hedgerow Data'!$B$3:$AG$15,31,FALSE))</f>
        <v/>
      </c>
      <c r="V190" s="295" t="str">
        <f t="shared" si="17"/>
        <v/>
      </c>
      <c r="W190" s="283" t="str">
        <f t="shared" si="18"/>
        <v/>
      </c>
      <c r="X190" s="299" t="str">
        <f>IF(F190="","",VLOOKUP(U190,'G-3 Multipliers'!$P$3:$Q$6,2,FALSE))</f>
        <v/>
      </c>
      <c r="Y190" s="303" t="str">
        <f t="shared" si="19"/>
        <v/>
      </c>
      <c r="Z190" s="303" t="str">
        <f t="shared" si="20"/>
        <v/>
      </c>
      <c r="AA190" s="101"/>
      <c r="AB190" s="938"/>
      <c r="AC190" s="138"/>
      <c r="AD190" s="138"/>
      <c r="AE190" s="934"/>
      <c r="AH190" s="30" t="str">
        <f>IFERROR(INDEX('G-6 Hedgerow Data'!$BJ$3:$BJ$15,MATCH(D190,'G-6 Hedgerow Data'!$B$3:$B$15,0)),"")</f>
        <v/>
      </c>
    </row>
    <row r="191" spans="2:34" ht="14">
      <c r="B191" s="97">
        <v>180</v>
      </c>
      <c r="C191" s="171"/>
      <c r="D191" s="58"/>
      <c r="E191" s="138"/>
      <c r="F191" s="275" t="str">
        <f>IF(D191="","",VLOOKUP(D191,'G-6 Hedgerow Data'!$B$2:$AG$15,2,FALSE))</f>
        <v/>
      </c>
      <c r="G191" s="299" t="str">
        <f>IF(D191="","",VLOOKUP(D191,'G-6 Hedgerow Data'!$B$2:$AG$15,3,FALSE))</f>
        <v/>
      </c>
      <c r="H191" s="53"/>
      <c r="I191" s="276" t="str">
        <f>IFERROR(IF(H191="","",IF(AND(D191="Non-native and ornamental hedgerow",H191&lt;&gt;"Poor"),"Not possible ▲",(IF(AND(F191="V.Low",OR(H191="Good",H191="Moderate")),"Error ▲",VLOOKUP(H191,'G-1 All Habitats'!$Z$2:$AA$9,2,FALSE))))),"")</f>
        <v/>
      </c>
      <c r="J191" s="102"/>
      <c r="K191" s="295" t="str">
        <f>IF(J191="","",IF(VLOOKUP(J191,'G-3 Multipliers'!$L$3:$N$6,2,FALSE)=0,"Spatial Data Missing",VLOOKUP(J191,'G-3 Multipliers'!$L$3:$N$6,2,FALSE)))</f>
        <v/>
      </c>
      <c r="L191" s="299" t="str">
        <f>IF(J191="","",IF(VLOOKUP(J191,'G-3 Multipliers'!$L$3:$N$6,3,FALSE)=0,"Spatial Data Missing",VLOOKUP(J191,'G-3 Multipliers'!$L$3:$N$6,3,FALSE)))</f>
        <v/>
      </c>
      <c r="M191" s="134"/>
      <c r="N191" s="276" t="str">
        <f>IF(M191="","",IF(VLOOKUP(M191,'G-3 Multipliers'!$S$3:$T$10,2,FALSE)=0,"Spatial Data Missing ⚠",VLOOKUP(M191,'G-3 Multipliers'!$S$3:$T$10,2,FALSE)))</f>
        <v/>
      </c>
      <c r="O191" s="275" t="str">
        <f>IF(OR(D191="",H191=""),"",(INDEX('G-6 Hedgerow Data'!$E$3:$I$15,MATCH(D191,'G-6 Hedgerow Data'!$B$3:$B$15,0),MATCH(H191,'G-6 Hedgerow Data'!$E$2:$I$2,0))))</f>
        <v/>
      </c>
      <c r="P191" s="133"/>
      <c r="Q191" s="133"/>
      <c r="R191" s="283" t="str">
        <f t="shared" si="15"/>
        <v/>
      </c>
      <c r="S191" s="296" t="str">
        <f t="shared" si="16"/>
        <v/>
      </c>
      <c r="T191" s="297" t="str">
        <f t="shared" si="14"/>
        <v/>
      </c>
      <c r="U191" s="311" t="str">
        <f>IF(D191="","",VLOOKUP(D191,'G-6 Hedgerow Data'!$B$3:$AG$15,31,FALSE))</f>
        <v/>
      </c>
      <c r="V191" s="295" t="str">
        <f t="shared" si="17"/>
        <v/>
      </c>
      <c r="W191" s="283" t="str">
        <f t="shared" si="18"/>
        <v/>
      </c>
      <c r="X191" s="299" t="str">
        <f>IF(F191="","",VLOOKUP(U191,'G-3 Multipliers'!$P$3:$Q$6,2,FALSE))</f>
        <v/>
      </c>
      <c r="Y191" s="303" t="str">
        <f t="shared" si="19"/>
        <v/>
      </c>
      <c r="Z191" s="303" t="str">
        <f t="shared" si="20"/>
        <v/>
      </c>
      <c r="AA191" s="101"/>
      <c r="AB191" s="938"/>
      <c r="AC191" s="138"/>
      <c r="AD191" s="138"/>
      <c r="AE191" s="934"/>
      <c r="AH191" s="30" t="str">
        <f>IFERROR(INDEX('G-6 Hedgerow Data'!$BJ$3:$BJ$15,MATCH(D191,'G-6 Hedgerow Data'!$B$3:$B$15,0)),"")</f>
        <v/>
      </c>
    </row>
    <row r="192" spans="2:34" ht="14">
      <c r="B192" s="97">
        <v>181</v>
      </c>
      <c r="C192" s="171"/>
      <c r="D192" s="58"/>
      <c r="E192" s="138"/>
      <c r="F192" s="275" t="str">
        <f>IF(D192="","",VLOOKUP(D192,'G-6 Hedgerow Data'!$B$2:$AG$15,2,FALSE))</f>
        <v/>
      </c>
      <c r="G192" s="299" t="str">
        <f>IF(D192="","",VLOOKUP(D192,'G-6 Hedgerow Data'!$B$2:$AG$15,3,FALSE))</f>
        <v/>
      </c>
      <c r="H192" s="53"/>
      <c r="I192" s="276" t="str">
        <f>IFERROR(IF(H192="","",IF(AND(D192="Non-native and ornamental hedgerow",H192&lt;&gt;"Poor"),"Not possible ▲",(IF(AND(F192="V.Low",OR(H192="Good",H192="Moderate")),"Error ▲",VLOOKUP(H192,'G-1 All Habitats'!$Z$2:$AA$9,2,FALSE))))),"")</f>
        <v/>
      </c>
      <c r="J192" s="102"/>
      <c r="K192" s="295" t="str">
        <f>IF(J192="","",IF(VLOOKUP(J192,'G-3 Multipliers'!$L$3:$N$6,2,FALSE)=0,"Spatial Data Missing",VLOOKUP(J192,'G-3 Multipliers'!$L$3:$N$6,2,FALSE)))</f>
        <v/>
      </c>
      <c r="L192" s="299" t="str">
        <f>IF(J192="","",IF(VLOOKUP(J192,'G-3 Multipliers'!$L$3:$N$6,3,FALSE)=0,"Spatial Data Missing",VLOOKUP(J192,'G-3 Multipliers'!$L$3:$N$6,3,FALSE)))</f>
        <v/>
      </c>
      <c r="M192" s="134"/>
      <c r="N192" s="276" t="str">
        <f>IF(M192="","",IF(VLOOKUP(M192,'G-3 Multipliers'!$S$3:$T$10,2,FALSE)=0,"Spatial Data Missing ⚠",VLOOKUP(M192,'G-3 Multipliers'!$S$3:$T$10,2,FALSE)))</f>
        <v/>
      </c>
      <c r="O192" s="275" t="str">
        <f>IF(OR(D192="",H192=""),"",(INDEX('G-6 Hedgerow Data'!$E$3:$I$15,MATCH(D192,'G-6 Hedgerow Data'!$B$3:$B$15,0),MATCH(H192,'G-6 Hedgerow Data'!$E$2:$I$2,0))))</f>
        <v/>
      </c>
      <c r="P192" s="133"/>
      <c r="Q192" s="133"/>
      <c r="R192" s="283" t="str">
        <f t="shared" si="15"/>
        <v/>
      </c>
      <c r="S192" s="296" t="str">
        <f t="shared" si="16"/>
        <v/>
      </c>
      <c r="T192" s="297" t="str">
        <f t="shared" si="14"/>
        <v/>
      </c>
      <c r="U192" s="311" t="str">
        <f>IF(D192="","",VLOOKUP(D192,'G-6 Hedgerow Data'!$B$3:$AG$15,31,FALSE))</f>
        <v/>
      </c>
      <c r="V192" s="295" t="str">
        <f t="shared" si="17"/>
        <v/>
      </c>
      <c r="W192" s="283" t="str">
        <f t="shared" si="18"/>
        <v/>
      </c>
      <c r="X192" s="299" t="str">
        <f>IF(F192="","",VLOOKUP(U192,'G-3 Multipliers'!$P$3:$Q$6,2,FALSE))</f>
        <v/>
      </c>
      <c r="Y192" s="303" t="str">
        <f t="shared" si="19"/>
        <v/>
      </c>
      <c r="Z192" s="303" t="str">
        <f t="shared" si="20"/>
        <v/>
      </c>
      <c r="AA192" s="101"/>
      <c r="AB192" s="938"/>
      <c r="AC192" s="138"/>
      <c r="AD192" s="138"/>
      <c r="AE192" s="934"/>
      <c r="AH192" s="30" t="str">
        <f>IFERROR(INDEX('G-6 Hedgerow Data'!$BJ$3:$BJ$15,MATCH(D192,'G-6 Hedgerow Data'!$B$3:$B$15,0)),"")</f>
        <v/>
      </c>
    </row>
    <row r="193" spans="2:34" ht="14">
      <c r="B193" s="97">
        <v>182</v>
      </c>
      <c r="C193" s="171"/>
      <c r="D193" s="58"/>
      <c r="E193" s="138"/>
      <c r="F193" s="275" t="str">
        <f>IF(D193="","",VLOOKUP(D193,'G-6 Hedgerow Data'!$B$2:$AG$15,2,FALSE))</f>
        <v/>
      </c>
      <c r="G193" s="299" t="str">
        <f>IF(D193="","",VLOOKUP(D193,'G-6 Hedgerow Data'!$B$2:$AG$15,3,FALSE))</f>
        <v/>
      </c>
      <c r="H193" s="53"/>
      <c r="I193" s="276" t="str">
        <f>IFERROR(IF(H193="","",IF(AND(D193="Non-native and ornamental hedgerow",H193&lt;&gt;"Poor"),"Not possible ▲",(IF(AND(F193="V.Low",OR(H193="Good",H193="Moderate")),"Error ▲",VLOOKUP(H193,'G-1 All Habitats'!$Z$2:$AA$9,2,FALSE))))),"")</f>
        <v/>
      </c>
      <c r="J193" s="102"/>
      <c r="K193" s="295" t="str">
        <f>IF(J193="","",IF(VLOOKUP(J193,'G-3 Multipliers'!$L$3:$N$6,2,FALSE)=0,"Spatial Data Missing",VLOOKUP(J193,'G-3 Multipliers'!$L$3:$N$6,2,FALSE)))</f>
        <v/>
      </c>
      <c r="L193" s="299" t="str">
        <f>IF(J193="","",IF(VLOOKUP(J193,'G-3 Multipliers'!$L$3:$N$6,3,FALSE)=0,"Spatial Data Missing",VLOOKUP(J193,'G-3 Multipliers'!$L$3:$N$6,3,FALSE)))</f>
        <v/>
      </c>
      <c r="M193" s="134"/>
      <c r="N193" s="276" t="str">
        <f>IF(M193="","",IF(VLOOKUP(M193,'G-3 Multipliers'!$S$3:$T$10,2,FALSE)=0,"Spatial Data Missing ⚠",VLOOKUP(M193,'G-3 Multipliers'!$S$3:$T$10,2,FALSE)))</f>
        <v/>
      </c>
      <c r="O193" s="275" t="str">
        <f>IF(OR(D193="",H193=""),"",(INDEX('G-6 Hedgerow Data'!$E$3:$I$15,MATCH(D193,'G-6 Hedgerow Data'!$B$3:$B$15,0),MATCH(H193,'G-6 Hedgerow Data'!$E$2:$I$2,0))))</f>
        <v/>
      </c>
      <c r="P193" s="133"/>
      <c r="Q193" s="133"/>
      <c r="R193" s="283" t="str">
        <f t="shared" si="15"/>
        <v/>
      </c>
      <c r="S193" s="296" t="str">
        <f t="shared" si="16"/>
        <v/>
      </c>
      <c r="T193" s="297" t="str">
        <f t="shared" si="14"/>
        <v/>
      </c>
      <c r="U193" s="311" t="str">
        <f>IF(D193="","",VLOOKUP(D193,'G-6 Hedgerow Data'!$B$3:$AG$15,31,FALSE))</f>
        <v/>
      </c>
      <c r="V193" s="295" t="str">
        <f t="shared" si="17"/>
        <v/>
      </c>
      <c r="W193" s="283" t="str">
        <f t="shared" si="18"/>
        <v/>
      </c>
      <c r="X193" s="299" t="str">
        <f>IF(F193="","",VLOOKUP(U193,'G-3 Multipliers'!$P$3:$Q$6,2,FALSE))</f>
        <v/>
      </c>
      <c r="Y193" s="303" t="str">
        <f t="shared" si="19"/>
        <v/>
      </c>
      <c r="Z193" s="303" t="str">
        <f t="shared" si="20"/>
        <v/>
      </c>
      <c r="AA193" s="101"/>
      <c r="AB193" s="938"/>
      <c r="AC193" s="138"/>
      <c r="AD193" s="138"/>
      <c r="AE193" s="934"/>
      <c r="AH193" s="30" t="str">
        <f>IFERROR(INDEX('G-6 Hedgerow Data'!$BJ$3:$BJ$15,MATCH(D193,'G-6 Hedgerow Data'!$B$3:$B$15,0)),"")</f>
        <v/>
      </c>
    </row>
    <row r="194" spans="2:34" ht="14">
      <c r="B194" s="97">
        <v>183</v>
      </c>
      <c r="C194" s="171"/>
      <c r="D194" s="58"/>
      <c r="E194" s="138"/>
      <c r="F194" s="275" t="str">
        <f>IF(D194="","",VLOOKUP(D194,'G-6 Hedgerow Data'!$B$2:$AG$15,2,FALSE))</f>
        <v/>
      </c>
      <c r="G194" s="299" t="str">
        <f>IF(D194="","",VLOOKUP(D194,'G-6 Hedgerow Data'!$B$2:$AG$15,3,FALSE))</f>
        <v/>
      </c>
      <c r="H194" s="53"/>
      <c r="I194" s="276" t="str">
        <f>IFERROR(IF(H194="","",IF(AND(D194="Non-native and ornamental hedgerow",H194&lt;&gt;"Poor"),"Not possible ▲",(IF(AND(F194="V.Low",OR(H194="Good",H194="Moderate")),"Error ▲",VLOOKUP(H194,'G-1 All Habitats'!$Z$2:$AA$9,2,FALSE))))),"")</f>
        <v/>
      </c>
      <c r="J194" s="102"/>
      <c r="K194" s="295" t="str">
        <f>IF(J194="","",IF(VLOOKUP(J194,'G-3 Multipliers'!$L$3:$N$6,2,FALSE)=0,"Spatial Data Missing",VLOOKUP(J194,'G-3 Multipliers'!$L$3:$N$6,2,FALSE)))</f>
        <v/>
      </c>
      <c r="L194" s="299" t="str">
        <f>IF(J194="","",IF(VLOOKUP(J194,'G-3 Multipliers'!$L$3:$N$6,3,FALSE)=0,"Spatial Data Missing",VLOOKUP(J194,'G-3 Multipliers'!$L$3:$N$6,3,FALSE)))</f>
        <v/>
      </c>
      <c r="M194" s="134"/>
      <c r="N194" s="276" t="str">
        <f>IF(M194="","",IF(VLOOKUP(M194,'G-3 Multipliers'!$S$3:$T$10,2,FALSE)=0,"Spatial Data Missing ⚠",VLOOKUP(M194,'G-3 Multipliers'!$S$3:$T$10,2,FALSE)))</f>
        <v/>
      </c>
      <c r="O194" s="275" t="str">
        <f>IF(OR(D194="",H194=""),"",(INDEX('G-6 Hedgerow Data'!$E$3:$I$15,MATCH(D194,'G-6 Hedgerow Data'!$B$3:$B$15,0),MATCH(H194,'G-6 Hedgerow Data'!$E$2:$I$2,0))))</f>
        <v/>
      </c>
      <c r="P194" s="133"/>
      <c r="Q194" s="133"/>
      <c r="R194" s="283" t="str">
        <f t="shared" si="15"/>
        <v/>
      </c>
      <c r="S194" s="296" t="str">
        <f t="shared" si="16"/>
        <v/>
      </c>
      <c r="T194" s="297" t="str">
        <f t="shared" si="14"/>
        <v/>
      </c>
      <c r="U194" s="311" t="str">
        <f>IF(D194="","",VLOOKUP(D194,'G-6 Hedgerow Data'!$B$3:$AG$15,31,FALSE))</f>
        <v/>
      </c>
      <c r="V194" s="295" t="str">
        <f t="shared" si="17"/>
        <v/>
      </c>
      <c r="W194" s="283" t="str">
        <f t="shared" si="18"/>
        <v/>
      </c>
      <c r="X194" s="299" t="str">
        <f>IF(F194="","",VLOOKUP(U194,'G-3 Multipliers'!$P$3:$Q$6,2,FALSE))</f>
        <v/>
      </c>
      <c r="Y194" s="303" t="str">
        <f t="shared" si="19"/>
        <v/>
      </c>
      <c r="Z194" s="303" t="str">
        <f t="shared" si="20"/>
        <v/>
      </c>
      <c r="AA194" s="101"/>
      <c r="AB194" s="938"/>
      <c r="AC194" s="138"/>
      <c r="AD194" s="138"/>
      <c r="AE194" s="934"/>
      <c r="AH194" s="30" t="str">
        <f>IFERROR(INDEX('G-6 Hedgerow Data'!$BJ$3:$BJ$15,MATCH(D194,'G-6 Hedgerow Data'!$B$3:$B$15,0)),"")</f>
        <v/>
      </c>
    </row>
    <row r="195" spans="2:34" ht="14">
      <c r="B195" s="97">
        <v>184</v>
      </c>
      <c r="C195" s="171"/>
      <c r="D195" s="58"/>
      <c r="E195" s="138"/>
      <c r="F195" s="275" t="str">
        <f>IF(D195="","",VLOOKUP(D195,'G-6 Hedgerow Data'!$B$2:$AG$15,2,FALSE))</f>
        <v/>
      </c>
      <c r="G195" s="299" t="str">
        <f>IF(D195="","",VLOOKUP(D195,'G-6 Hedgerow Data'!$B$2:$AG$15,3,FALSE))</f>
        <v/>
      </c>
      <c r="H195" s="53"/>
      <c r="I195" s="276" t="str">
        <f>IFERROR(IF(H195="","",IF(AND(D195="Non-native and ornamental hedgerow",H195&lt;&gt;"Poor"),"Not possible ▲",(IF(AND(F195="V.Low",OR(H195="Good",H195="Moderate")),"Error ▲",VLOOKUP(H195,'G-1 All Habitats'!$Z$2:$AA$9,2,FALSE))))),"")</f>
        <v/>
      </c>
      <c r="J195" s="102"/>
      <c r="K195" s="295" t="str">
        <f>IF(J195="","",IF(VLOOKUP(J195,'G-3 Multipliers'!$L$3:$N$6,2,FALSE)=0,"Spatial Data Missing",VLOOKUP(J195,'G-3 Multipliers'!$L$3:$N$6,2,FALSE)))</f>
        <v/>
      </c>
      <c r="L195" s="299" t="str">
        <f>IF(J195="","",IF(VLOOKUP(J195,'G-3 Multipliers'!$L$3:$N$6,3,FALSE)=0,"Spatial Data Missing",VLOOKUP(J195,'G-3 Multipliers'!$L$3:$N$6,3,FALSE)))</f>
        <v/>
      </c>
      <c r="M195" s="134"/>
      <c r="N195" s="276" t="str">
        <f>IF(M195="","",IF(VLOOKUP(M195,'G-3 Multipliers'!$S$3:$T$10,2,FALSE)=0,"Spatial Data Missing ⚠",VLOOKUP(M195,'G-3 Multipliers'!$S$3:$T$10,2,FALSE)))</f>
        <v/>
      </c>
      <c r="O195" s="275" t="str">
        <f>IF(OR(D195="",H195=""),"",(INDEX('G-6 Hedgerow Data'!$E$3:$I$15,MATCH(D195,'G-6 Hedgerow Data'!$B$3:$B$15,0),MATCH(H195,'G-6 Hedgerow Data'!$E$2:$I$2,0))))</f>
        <v/>
      </c>
      <c r="P195" s="133"/>
      <c r="Q195" s="133"/>
      <c r="R195" s="283" t="str">
        <f t="shared" si="15"/>
        <v/>
      </c>
      <c r="S195" s="296" t="str">
        <f t="shared" si="16"/>
        <v/>
      </c>
      <c r="T195" s="297" t="str">
        <f t="shared" si="14"/>
        <v/>
      </c>
      <c r="U195" s="311" t="str">
        <f>IF(D195="","",VLOOKUP(D195,'G-6 Hedgerow Data'!$B$3:$AG$15,31,FALSE))</f>
        <v/>
      </c>
      <c r="V195" s="295" t="str">
        <f t="shared" si="17"/>
        <v/>
      </c>
      <c r="W195" s="283" t="str">
        <f t="shared" si="18"/>
        <v/>
      </c>
      <c r="X195" s="299" t="str">
        <f>IF(F195="","",VLOOKUP(U195,'G-3 Multipliers'!$P$3:$Q$6,2,FALSE))</f>
        <v/>
      </c>
      <c r="Y195" s="303" t="str">
        <f t="shared" si="19"/>
        <v/>
      </c>
      <c r="Z195" s="303" t="str">
        <f t="shared" si="20"/>
        <v/>
      </c>
      <c r="AA195" s="101"/>
      <c r="AB195" s="938"/>
      <c r="AC195" s="138"/>
      <c r="AD195" s="138"/>
      <c r="AE195" s="934"/>
      <c r="AH195" s="30" t="str">
        <f>IFERROR(INDEX('G-6 Hedgerow Data'!$BJ$3:$BJ$15,MATCH(D195,'G-6 Hedgerow Data'!$B$3:$B$15,0)),"")</f>
        <v/>
      </c>
    </row>
    <row r="196" spans="2:34" ht="14">
      <c r="B196" s="97">
        <v>185</v>
      </c>
      <c r="C196" s="171"/>
      <c r="D196" s="58"/>
      <c r="E196" s="138"/>
      <c r="F196" s="275" t="str">
        <f>IF(D196="","",VLOOKUP(D196,'G-6 Hedgerow Data'!$B$2:$AG$15,2,FALSE))</f>
        <v/>
      </c>
      <c r="G196" s="299" t="str">
        <f>IF(D196="","",VLOOKUP(D196,'G-6 Hedgerow Data'!$B$2:$AG$15,3,FALSE))</f>
        <v/>
      </c>
      <c r="H196" s="53"/>
      <c r="I196" s="276" t="str">
        <f>IFERROR(IF(H196="","",IF(AND(D196="Non-native and ornamental hedgerow",H196&lt;&gt;"Poor"),"Not possible ▲",(IF(AND(F196="V.Low",OR(H196="Good",H196="Moderate")),"Error ▲",VLOOKUP(H196,'G-1 All Habitats'!$Z$2:$AA$9,2,FALSE))))),"")</f>
        <v/>
      </c>
      <c r="J196" s="102"/>
      <c r="K196" s="295" t="str">
        <f>IF(J196="","",IF(VLOOKUP(J196,'G-3 Multipliers'!$L$3:$N$6,2,FALSE)=0,"Spatial Data Missing",VLOOKUP(J196,'G-3 Multipliers'!$L$3:$N$6,2,FALSE)))</f>
        <v/>
      </c>
      <c r="L196" s="299" t="str">
        <f>IF(J196="","",IF(VLOOKUP(J196,'G-3 Multipliers'!$L$3:$N$6,3,FALSE)=0,"Spatial Data Missing",VLOOKUP(J196,'G-3 Multipliers'!$L$3:$N$6,3,FALSE)))</f>
        <v/>
      </c>
      <c r="M196" s="134"/>
      <c r="N196" s="276" t="str">
        <f>IF(M196="","",IF(VLOOKUP(M196,'G-3 Multipliers'!$S$3:$T$10,2,FALSE)=0,"Spatial Data Missing ⚠",VLOOKUP(M196,'G-3 Multipliers'!$S$3:$T$10,2,FALSE)))</f>
        <v/>
      </c>
      <c r="O196" s="275" t="str">
        <f>IF(OR(D196="",H196=""),"",(INDEX('G-6 Hedgerow Data'!$E$3:$I$15,MATCH(D196,'G-6 Hedgerow Data'!$B$3:$B$15,0),MATCH(H196,'G-6 Hedgerow Data'!$E$2:$I$2,0))))</f>
        <v/>
      </c>
      <c r="P196" s="133"/>
      <c r="Q196" s="133"/>
      <c r="R196" s="283" t="str">
        <f t="shared" si="15"/>
        <v/>
      </c>
      <c r="S196" s="296" t="str">
        <f t="shared" si="16"/>
        <v/>
      </c>
      <c r="T196" s="297" t="str">
        <f t="shared" si="14"/>
        <v/>
      </c>
      <c r="U196" s="311" t="str">
        <f>IF(D196="","",VLOOKUP(D196,'G-6 Hedgerow Data'!$B$3:$AG$15,31,FALSE))</f>
        <v/>
      </c>
      <c r="V196" s="295" t="str">
        <f t="shared" si="17"/>
        <v/>
      </c>
      <c r="W196" s="283" t="str">
        <f t="shared" si="18"/>
        <v/>
      </c>
      <c r="X196" s="299" t="str">
        <f>IF(F196="","",VLOOKUP(U196,'G-3 Multipliers'!$P$3:$Q$6,2,FALSE))</f>
        <v/>
      </c>
      <c r="Y196" s="303" t="str">
        <f t="shared" si="19"/>
        <v/>
      </c>
      <c r="Z196" s="303" t="str">
        <f t="shared" si="20"/>
        <v/>
      </c>
      <c r="AA196" s="101"/>
      <c r="AB196" s="938"/>
      <c r="AC196" s="138"/>
      <c r="AD196" s="138"/>
      <c r="AE196" s="934"/>
      <c r="AH196" s="30" t="str">
        <f>IFERROR(INDEX('G-6 Hedgerow Data'!$BJ$3:$BJ$15,MATCH(D196,'G-6 Hedgerow Data'!$B$3:$B$15,0)),"")</f>
        <v/>
      </c>
    </row>
    <row r="197" spans="2:34" ht="14">
      <c r="B197" s="97">
        <v>186</v>
      </c>
      <c r="C197" s="171"/>
      <c r="D197" s="58"/>
      <c r="E197" s="138"/>
      <c r="F197" s="275" t="str">
        <f>IF(D197="","",VLOOKUP(D197,'G-6 Hedgerow Data'!$B$2:$AG$15,2,FALSE))</f>
        <v/>
      </c>
      <c r="G197" s="299" t="str">
        <f>IF(D197="","",VLOOKUP(D197,'G-6 Hedgerow Data'!$B$2:$AG$15,3,FALSE))</f>
        <v/>
      </c>
      <c r="H197" s="53"/>
      <c r="I197" s="276" t="str">
        <f>IFERROR(IF(H197="","",IF(AND(D197="Non-native and ornamental hedgerow",H197&lt;&gt;"Poor"),"Not possible ▲",(IF(AND(F197="V.Low",OR(H197="Good",H197="Moderate")),"Error ▲",VLOOKUP(H197,'G-1 All Habitats'!$Z$2:$AA$9,2,FALSE))))),"")</f>
        <v/>
      </c>
      <c r="J197" s="102"/>
      <c r="K197" s="295" t="str">
        <f>IF(J197="","",IF(VLOOKUP(J197,'G-3 Multipliers'!$L$3:$N$6,2,FALSE)=0,"Spatial Data Missing",VLOOKUP(J197,'G-3 Multipliers'!$L$3:$N$6,2,FALSE)))</f>
        <v/>
      </c>
      <c r="L197" s="299" t="str">
        <f>IF(J197="","",IF(VLOOKUP(J197,'G-3 Multipliers'!$L$3:$N$6,3,FALSE)=0,"Spatial Data Missing",VLOOKUP(J197,'G-3 Multipliers'!$L$3:$N$6,3,FALSE)))</f>
        <v/>
      </c>
      <c r="M197" s="134"/>
      <c r="N197" s="276" t="str">
        <f>IF(M197="","",IF(VLOOKUP(M197,'G-3 Multipliers'!$S$3:$T$10,2,FALSE)=0,"Spatial Data Missing ⚠",VLOOKUP(M197,'G-3 Multipliers'!$S$3:$T$10,2,FALSE)))</f>
        <v/>
      </c>
      <c r="O197" s="275" t="str">
        <f>IF(OR(D197="",H197=""),"",(INDEX('G-6 Hedgerow Data'!$E$3:$I$15,MATCH(D197,'G-6 Hedgerow Data'!$B$3:$B$15,0),MATCH(H197,'G-6 Hedgerow Data'!$E$2:$I$2,0))))</f>
        <v/>
      </c>
      <c r="P197" s="133"/>
      <c r="Q197" s="133"/>
      <c r="R197" s="283" t="str">
        <f t="shared" si="15"/>
        <v/>
      </c>
      <c r="S197" s="296" t="str">
        <f t="shared" si="16"/>
        <v/>
      </c>
      <c r="T197" s="297" t="str">
        <f t="shared" si="14"/>
        <v/>
      </c>
      <c r="U197" s="311" t="str">
        <f>IF(D197="","",VLOOKUP(D197,'G-6 Hedgerow Data'!$B$3:$AG$15,31,FALSE))</f>
        <v/>
      </c>
      <c r="V197" s="295" t="str">
        <f t="shared" si="17"/>
        <v/>
      </c>
      <c r="W197" s="283" t="str">
        <f t="shared" si="18"/>
        <v/>
      </c>
      <c r="X197" s="299" t="str">
        <f>IF(F197="","",VLOOKUP(U197,'G-3 Multipliers'!$P$3:$Q$6,2,FALSE))</f>
        <v/>
      </c>
      <c r="Y197" s="303" t="str">
        <f t="shared" si="19"/>
        <v/>
      </c>
      <c r="Z197" s="303" t="str">
        <f t="shared" si="20"/>
        <v/>
      </c>
      <c r="AA197" s="101"/>
      <c r="AB197" s="938"/>
      <c r="AC197" s="138"/>
      <c r="AD197" s="138"/>
      <c r="AE197" s="934"/>
      <c r="AH197" s="30" t="str">
        <f>IFERROR(INDEX('G-6 Hedgerow Data'!$BJ$3:$BJ$15,MATCH(D197,'G-6 Hedgerow Data'!$B$3:$B$15,0)),"")</f>
        <v/>
      </c>
    </row>
    <row r="198" spans="2:34" ht="14">
      <c r="B198" s="97">
        <v>187</v>
      </c>
      <c r="C198" s="171"/>
      <c r="D198" s="58"/>
      <c r="E198" s="138"/>
      <c r="F198" s="275" t="str">
        <f>IF(D198="","",VLOOKUP(D198,'G-6 Hedgerow Data'!$B$2:$AG$15,2,FALSE))</f>
        <v/>
      </c>
      <c r="G198" s="299" t="str">
        <f>IF(D198="","",VLOOKUP(D198,'G-6 Hedgerow Data'!$B$2:$AG$15,3,FALSE))</f>
        <v/>
      </c>
      <c r="H198" s="53"/>
      <c r="I198" s="276" t="str">
        <f>IFERROR(IF(H198="","",IF(AND(D198="Non-native and ornamental hedgerow",H198&lt;&gt;"Poor"),"Not possible ▲",(IF(AND(F198="V.Low",OR(H198="Good",H198="Moderate")),"Error ▲",VLOOKUP(H198,'G-1 All Habitats'!$Z$2:$AA$9,2,FALSE))))),"")</f>
        <v/>
      </c>
      <c r="J198" s="102"/>
      <c r="K198" s="295" t="str">
        <f>IF(J198="","",IF(VLOOKUP(J198,'G-3 Multipliers'!$L$3:$N$6,2,FALSE)=0,"Spatial Data Missing",VLOOKUP(J198,'G-3 Multipliers'!$L$3:$N$6,2,FALSE)))</f>
        <v/>
      </c>
      <c r="L198" s="299" t="str">
        <f>IF(J198="","",IF(VLOOKUP(J198,'G-3 Multipliers'!$L$3:$N$6,3,FALSE)=0,"Spatial Data Missing",VLOOKUP(J198,'G-3 Multipliers'!$L$3:$N$6,3,FALSE)))</f>
        <v/>
      </c>
      <c r="M198" s="134"/>
      <c r="N198" s="276" t="str">
        <f>IF(M198="","",IF(VLOOKUP(M198,'G-3 Multipliers'!$S$3:$T$10,2,FALSE)=0,"Spatial Data Missing ⚠",VLOOKUP(M198,'G-3 Multipliers'!$S$3:$T$10,2,FALSE)))</f>
        <v/>
      </c>
      <c r="O198" s="275" t="str">
        <f>IF(OR(D198="",H198=""),"",(INDEX('G-6 Hedgerow Data'!$E$3:$I$15,MATCH(D198,'G-6 Hedgerow Data'!$B$3:$B$15,0),MATCH(H198,'G-6 Hedgerow Data'!$E$2:$I$2,0))))</f>
        <v/>
      </c>
      <c r="P198" s="133"/>
      <c r="Q198" s="133"/>
      <c r="R198" s="283" t="str">
        <f t="shared" si="15"/>
        <v/>
      </c>
      <c r="S198" s="296" t="str">
        <f t="shared" si="16"/>
        <v/>
      </c>
      <c r="T198" s="297" t="str">
        <f t="shared" si="14"/>
        <v/>
      </c>
      <c r="U198" s="311" t="str">
        <f>IF(D198="","",VLOOKUP(D198,'G-6 Hedgerow Data'!$B$3:$AG$15,31,FALSE))</f>
        <v/>
      </c>
      <c r="V198" s="295" t="str">
        <f t="shared" si="17"/>
        <v/>
      </c>
      <c r="W198" s="283" t="str">
        <f t="shared" si="18"/>
        <v/>
      </c>
      <c r="X198" s="299" t="str">
        <f>IF(F198="","",VLOOKUP(U198,'G-3 Multipliers'!$P$3:$Q$6,2,FALSE))</f>
        <v/>
      </c>
      <c r="Y198" s="303" t="str">
        <f t="shared" si="19"/>
        <v/>
      </c>
      <c r="Z198" s="303" t="str">
        <f t="shared" si="20"/>
        <v/>
      </c>
      <c r="AA198" s="101"/>
      <c r="AB198" s="938"/>
      <c r="AC198" s="138"/>
      <c r="AD198" s="138"/>
      <c r="AE198" s="934"/>
      <c r="AH198" s="30" t="str">
        <f>IFERROR(INDEX('G-6 Hedgerow Data'!$BJ$3:$BJ$15,MATCH(D198,'G-6 Hedgerow Data'!$B$3:$B$15,0)),"")</f>
        <v/>
      </c>
    </row>
    <row r="199" spans="2:34" ht="14">
      <c r="B199" s="97">
        <v>188</v>
      </c>
      <c r="C199" s="171"/>
      <c r="D199" s="58"/>
      <c r="E199" s="138"/>
      <c r="F199" s="275" t="str">
        <f>IF(D199="","",VLOOKUP(D199,'G-6 Hedgerow Data'!$B$2:$AG$15,2,FALSE))</f>
        <v/>
      </c>
      <c r="G199" s="299" t="str">
        <f>IF(D199="","",VLOOKUP(D199,'G-6 Hedgerow Data'!$B$2:$AG$15,3,FALSE))</f>
        <v/>
      </c>
      <c r="H199" s="53"/>
      <c r="I199" s="276" t="str">
        <f>IFERROR(IF(H199="","",IF(AND(D199="Non-native and ornamental hedgerow",H199&lt;&gt;"Poor"),"Not possible ▲",(IF(AND(F199="V.Low",OR(H199="Good",H199="Moderate")),"Error ▲",VLOOKUP(H199,'G-1 All Habitats'!$Z$2:$AA$9,2,FALSE))))),"")</f>
        <v/>
      </c>
      <c r="J199" s="102"/>
      <c r="K199" s="295" t="str">
        <f>IF(J199="","",IF(VLOOKUP(J199,'G-3 Multipliers'!$L$3:$N$6,2,FALSE)=0,"Spatial Data Missing",VLOOKUP(J199,'G-3 Multipliers'!$L$3:$N$6,2,FALSE)))</f>
        <v/>
      </c>
      <c r="L199" s="299" t="str">
        <f>IF(J199="","",IF(VLOOKUP(J199,'G-3 Multipliers'!$L$3:$N$6,3,FALSE)=0,"Spatial Data Missing",VLOOKUP(J199,'G-3 Multipliers'!$L$3:$N$6,3,FALSE)))</f>
        <v/>
      </c>
      <c r="M199" s="134"/>
      <c r="N199" s="276" t="str">
        <f>IF(M199="","",IF(VLOOKUP(M199,'G-3 Multipliers'!$S$3:$T$10,2,FALSE)=0,"Spatial Data Missing ⚠",VLOOKUP(M199,'G-3 Multipliers'!$S$3:$T$10,2,FALSE)))</f>
        <v/>
      </c>
      <c r="O199" s="275" t="str">
        <f>IF(OR(D199="",H199=""),"",(INDEX('G-6 Hedgerow Data'!$E$3:$I$15,MATCH(D199,'G-6 Hedgerow Data'!$B$3:$B$15,0),MATCH(H199,'G-6 Hedgerow Data'!$E$2:$I$2,0))))</f>
        <v/>
      </c>
      <c r="P199" s="133"/>
      <c r="Q199" s="133"/>
      <c r="R199" s="283" t="str">
        <f t="shared" si="15"/>
        <v/>
      </c>
      <c r="S199" s="296" t="str">
        <f t="shared" si="16"/>
        <v/>
      </c>
      <c r="T199" s="297" t="str">
        <f t="shared" si="14"/>
        <v/>
      </c>
      <c r="U199" s="311" t="str">
        <f>IF(D199="","",VLOOKUP(D199,'G-6 Hedgerow Data'!$B$3:$AG$15,31,FALSE))</f>
        <v/>
      </c>
      <c r="V199" s="295" t="str">
        <f t="shared" si="17"/>
        <v/>
      </c>
      <c r="W199" s="283" t="str">
        <f t="shared" si="18"/>
        <v/>
      </c>
      <c r="X199" s="299" t="str">
        <f>IF(F199="","",VLOOKUP(U199,'G-3 Multipliers'!$P$3:$Q$6,2,FALSE))</f>
        <v/>
      </c>
      <c r="Y199" s="303" t="str">
        <f t="shared" si="19"/>
        <v/>
      </c>
      <c r="Z199" s="303" t="str">
        <f t="shared" si="20"/>
        <v/>
      </c>
      <c r="AA199" s="101"/>
      <c r="AB199" s="938"/>
      <c r="AC199" s="138"/>
      <c r="AD199" s="138"/>
      <c r="AE199" s="934"/>
      <c r="AH199" s="30" t="str">
        <f>IFERROR(INDEX('G-6 Hedgerow Data'!$BJ$3:$BJ$15,MATCH(D199,'G-6 Hedgerow Data'!$B$3:$B$15,0)),"")</f>
        <v/>
      </c>
    </row>
    <row r="200" spans="2:34" ht="14">
      <c r="B200" s="97">
        <v>189</v>
      </c>
      <c r="C200" s="171"/>
      <c r="D200" s="58"/>
      <c r="E200" s="138"/>
      <c r="F200" s="275" t="str">
        <f>IF(D200="","",VLOOKUP(D200,'G-6 Hedgerow Data'!$B$2:$AG$15,2,FALSE))</f>
        <v/>
      </c>
      <c r="G200" s="299" t="str">
        <f>IF(D200="","",VLOOKUP(D200,'G-6 Hedgerow Data'!$B$2:$AG$15,3,FALSE))</f>
        <v/>
      </c>
      <c r="H200" s="53"/>
      <c r="I200" s="276" t="str">
        <f>IFERROR(IF(H200="","",IF(AND(D200="Non-native and ornamental hedgerow",H200&lt;&gt;"Poor"),"Not possible ▲",(IF(AND(F200="V.Low",OR(H200="Good",H200="Moderate")),"Error ▲",VLOOKUP(H200,'G-1 All Habitats'!$Z$2:$AA$9,2,FALSE))))),"")</f>
        <v/>
      </c>
      <c r="J200" s="102"/>
      <c r="K200" s="295" t="str">
        <f>IF(J200="","",IF(VLOOKUP(J200,'G-3 Multipliers'!$L$3:$N$6,2,FALSE)=0,"Spatial Data Missing",VLOOKUP(J200,'G-3 Multipliers'!$L$3:$N$6,2,FALSE)))</f>
        <v/>
      </c>
      <c r="L200" s="299" t="str">
        <f>IF(J200="","",IF(VLOOKUP(J200,'G-3 Multipliers'!$L$3:$N$6,3,FALSE)=0,"Spatial Data Missing",VLOOKUP(J200,'G-3 Multipliers'!$L$3:$N$6,3,FALSE)))</f>
        <v/>
      </c>
      <c r="M200" s="134"/>
      <c r="N200" s="276" t="str">
        <f>IF(M200="","",IF(VLOOKUP(M200,'G-3 Multipliers'!$S$3:$T$10,2,FALSE)=0,"Spatial Data Missing ⚠",VLOOKUP(M200,'G-3 Multipliers'!$S$3:$T$10,2,FALSE)))</f>
        <v/>
      </c>
      <c r="O200" s="275" t="str">
        <f>IF(OR(D200="",H200=""),"",(INDEX('G-6 Hedgerow Data'!$E$3:$I$15,MATCH(D200,'G-6 Hedgerow Data'!$B$3:$B$15,0),MATCH(H200,'G-6 Hedgerow Data'!$E$2:$I$2,0))))</f>
        <v/>
      </c>
      <c r="P200" s="133"/>
      <c r="Q200" s="133"/>
      <c r="R200" s="283" t="str">
        <f t="shared" si="15"/>
        <v/>
      </c>
      <c r="S200" s="296" t="str">
        <f t="shared" si="16"/>
        <v/>
      </c>
      <c r="T200" s="297" t="str">
        <f t="shared" si="14"/>
        <v/>
      </c>
      <c r="U200" s="311" t="str">
        <f>IF(D200="","",VLOOKUP(D200,'G-6 Hedgerow Data'!$B$3:$AG$15,31,FALSE))</f>
        <v/>
      </c>
      <c r="V200" s="295" t="str">
        <f t="shared" si="17"/>
        <v/>
      </c>
      <c r="W200" s="283" t="str">
        <f t="shared" si="18"/>
        <v/>
      </c>
      <c r="X200" s="299" t="str">
        <f>IF(F200="","",VLOOKUP(U200,'G-3 Multipliers'!$P$3:$Q$6,2,FALSE))</f>
        <v/>
      </c>
      <c r="Y200" s="303" t="str">
        <f t="shared" si="19"/>
        <v/>
      </c>
      <c r="Z200" s="303" t="str">
        <f t="shared" si="20"/>
        <v/>
      </c>
      <c r="AA200" s="101"/>
      <c r="AB200" s="938"/>
      <c r="AC200" s="138"/>
      <c r="AD200" s="138"/>
      <c r="AE200" s="934"/>
      <c r="AH200" s="30" t="str">
        <f>IFERROR(INDEX('G-6 Hedgerow Data'!$BJ$3:$BJ$15,MATCH(D200,'G-6 Hedgerow Data'!$B$3:$B$15,0)),"")</f>
        <v/>
      </c>
    </row>
    <row r="201" spans="2:34" ht="14">
      <c r="B201" s="97">
        <v>190</v>
      </c>
      <c r="C201" s="171"/>
      <c r="D201" s="58"/>
      <c r="E201" s="138"/>
      <c r="F201" s="275" t="str">
        <f>IF(D201="","",VLOOKUP(D201,'G-6 Hedgerow Data'!$B$2:$AG$15,2,FALSE))</f>
        <v/>
      </c>
      <c r="G201" s="299" t="str">
        <f>IF(D201="","",VLOOKUP(D201,'G-6 Hedgerow Data'!$B$2:$AG$15,3,FALSE))</f>
        <v/>
      </c>
      <c r="H201" s="53"/>
      <c r="I201" s="276" t="str">
        <f>IFERROR(IF(H201="","",IF(AND(D201="Non-native and ornamental hedgerow",H201&lt;&gt;"Poor"),"Not possible ▲",(IF(AND(F201="V.Low",OR(H201="Good",H201="Moderate")),"Error ▲",VLOOKUP(H201,'G-1 All Habitats'!$Z$2:$AA$9,2,FALSE))))),"")</f>
        <v/>
      </c>
      <c r="J201" s="102"/>
      <c r="K201" s="295" t="str">
        <f>IF(J201="","",IF(VLOOKUP(J201,'G-3 Multipliers'!$L$3:$N$6,2,FALSE)=0,"Spatial Data Missing",VLOOKUP(J201,'G-3 Multipliers'!$L$3:$N$6,2,FALSE)))</f>
        <v/>
      </c>
      <c r="L201" s="299" t="str">
        <f>IF(J201="","",IF(VLOOKUP(J201,'G-3 Multipliers'!$L$3:$N$6,3,FALSE)=0,"Spatial Data Missing",VLOOKUP(J201,'G-3 Multipliers'!$L$3:$N$6,3,FALSE)))</f>
        <v/>
      </c>
      <c r="M201" s="134"/>
      <c r="N201" s="276" t="str">
        <f>IF(M201="","",IF(VLOOKUP(M201,'G-3 Multipliers'!$S$3:$T$10,2,FALSE)=0,"Spatial Data Missing ⚠",VLOOKUP(M201,'G-3 Multipliers'!$S$3:$T$10,2,FALSE)))</f>
        <v/>
      </c>
      <c r="O201" s="275" t="str">
        <f>IF(OR(D201="",H201=""),"",(INDEX('G-6 Hedgerow Data'!$E$3:$I$15,MATCH(D201,'G-6 Hedgerow Data'!$B$3:$B$15,0),MATCH(H201,'G-6 Hedgerow Data'!$E$2:$I$2,0))))</f>
        <v/>
      </c>
      <c r="P201" s="133"/>
      <c r="Q201" s="133"/>
      <c r="R201" s="283" t="str">
        <f t="shared" si="15"/>
        <v/>
      </c>
      <c r="S201" s="296" t="str">
        <f t="shared" si="16"/>
        <v/>
      </c>
      <c r="T201" s="297" t="str">
        <f t="shared" si="14"/>
        <v/>
      </c>
      <c r="U201" s="311" t="str">
        <f>IF(D201="","",VLOOKUP(D201,'G-6 Hedgerow Data'!$B$3:$AG$15,31,FALSE))</f>
        <v/>
      </c>
      <c r="V201" s="295" t="str">
        <f t="shared" si="17"/>
        <v/>
      </c>
      <c r="W201" s="283" t="str">
        <f t="shared" si="18"/>
        <v/>
      </c>
      <c r="X201" s="299" t="str">
        <f>IF(F201="","",VLOOKUP(U201,'G-3 Multipliers'!$P$3:$Q$6,2,FALSE))</f>
        <v/>
      </c>
      <c r="Y201" s="303" t="str">
        <f t="shared" si="19"/>
        <v/>
      </c>
      <c r="Z201" s="303" t="str">
        <f t="shared" si="20"/>
        <v/>
      </c>
      <c r="AA201" s="101"/>
      <c r="AB201" s="938"/>
      <c r="AC201" s="138"/>
      <c r="AD201" s="138"/>
      <c r="AE201" s="934"/>
      <c r="AH201" s="30" t="str">
        <f>IFERROR(INDEX('G-6 Hedgerow Data'!$BJ$3:$BJ$15,MATCH(D201,'G-6 Hedgerow Data'!$B$3:$B$15,0)),"")</f>
        <v/>
      </c>
    </row>
    <row r="202" spans="2:34" ht="14">
      <c r="B202" s="97">
        <v>191</v>
      </c>
      <c r="C202" s="171"/>
      <c r="D202" s="58"/>
      <c r="E202" s="138"/>
      <c r="F202" s="275" t="str">
        <f>IF(D202="","",VLOOKUP(D202,'G-6 Hedgerow Data'!$B$2:$AG$15,2,FALSE))</f>
        <v/>
      </c>
      <c r="G202" s="299" t="str">
        <f>IF(D202="","",VLOOKUP(D202,'G-6 Hedgerow Data'!$B$2:$AG$15,3,FALSE))</f>
        <v/>
      </c>
      <c r="H202" s="53"/>
      <c r="I202" s="276" t="str">
        <f>IFERROR(IF(H202="","",IF(AND(D202="Non-native and ornamental hedgerow",H202&lt;&gt;"Poor"),"Not possible ▲",(IF(AND(F202="V.Low",OR(H202="Good",H202="Moderate")),"Error ▲",VLOOKUP(H202,'G-1 All Habitats'!$Z$2:$AA$9,2,FALSE))))),"")</f>
        <v/>
      </c>
      <c r="J202" s="102"/>
      <c r="K202" s="295" t="str">
        <f>IF(J202="","",IF(VLOOKUP(J202,'G-3 Multipliers'!$L$3:$N$6,2,FALSE)=0,"Spatial Data Missing",VLOOKUP(J202,'G-3 Multipliers'!$L$3:$N$6,2,FALSE)))</f>
        <v/>
      </c>
      <c r="L202" s="299" t="str">
        <f>IF(J202="","",IF(VLOOKUP(J202,'G-3 Multipliers'!$L$3:$N$6,3,FALSE)=0,"Spatial Data Missing",VLOOKUP(J202,'G-3 Multipliers'!$L$3:$N$6,3,FALSE)))</f>
        <v/>
      </c>
      <c r="M202" s="134"/>
      <c r="N202" s="276" t="str">
        <f>IF(M202="","",IF(VLOOKUP(M202,'G-3 Multipliers'!$S$3:$T$10,2,FALSE)=0,"Spatial Data Missing ⚠",VLOOKUP(M202,'G-3 Multipliers'!$S$3:$T$10,2,FALSE)))</f>
        <v/>
      </c>
      <c r="O202" s="275" t="str">
        <f>IF(OR(D202="",H202=""),"",(INDEX('G-6 Hedgerow Data'!$E$3:$I$15,MATCH(D202,'G-6 Hedgerow Data'!$B$3:$B$15,0),MATCH(H202,'G-6 Hedgerow Data'!$E$2:$I$2,0))))</f>
        <v/>
      </c>
      <c r="P202" s="133"/>
      <c r="Q202" s="133"/>
      <c r="R202" s="283" t="str">
        <f t="shared" si="15"/>
        <v/>
      </c>
      <c r="S202" s="296" t="str">
        <f t="shared" si="16"/>
        <v/>
      </c>
      <c r="T202" s="297" t="str">
        <f t="shared" si="14"/>
        <v/>
      </c>
      <c r="U202" s="311" t="str">
        <f>IF(D202="","",VLOOKUP(D202,'G-6 Hedgerow Data'!$B$3:$AG$15,31,FALSE))</f>
        <v/>
      </c>
      <c r="V202" s="295" t="str">
        <f t="shared" si="17"/>
        <v/>
      </c>
      <c r="W202" s="283" t="str">
        <f t="shared" si="18"/>
        <v/>
      </c>
      <c r="X202" s="299" t="str">
        <f>IF(F202="","",VLOOKUP(U202,'G-3 Multipliers'!$P$3:$Q$6,2,FALSE))</f>
        <v/>
      </c>
      <c r="Y202" s="303" t="str">
        <f t="shared" si="19"/>
        <v/>
      </c>
      <c r="Z202" s="303" t="str">
        <f t="shared" si="20"/>
        <v/>
      </c>
      <c r="AA202" s="101"/>
      <c r="AB202" s="938"/>
      <c r="AC202" s="138"/>
      <c r="AD202" s="138"/>
      <c r="AE202" s="934"/>
      <c r="AH202" s="30" t="str">
        <f>IFERROR(INDEX('G-6 Hedgerow Data'!$BJ$3:$BJ$15,MATCH(D202,'G-6 Hedgerow Data'!$B$3:$B$15,0)),"")</f>
        <v/>
      </c>
    </row>
    <row r="203" spans="2:34" ht="14">
      <c r="B203" s="97">
        <v>192</v>
      </c>
      <c r="C203" s="171"/>
      <c r="D203" s="58"/>
      <c r="E203" s="138"/>
      <c r="F203" s="275" t="str">
        <f>IF(D203="","",VLOOKUP(D203,'G-6 Hedgerow Data'!$B$2:$AG$15,2,FALSE))</f>
        <v/>
      </c>
      <c r="G203" s="299" t="str">
        <f>IF(D203="","",VLOOKUP(D203,'G-6 Hedgerow Data'!$B$2:$AG$15,3,FALSE))</f>
        <v/>
      </c>
      <c r="H203" s="53"/>
      <c r="I203" s="276" t="str">
        <f>IFERROR(IF(H203="","",IF(AND(D203="Non-native and ornamental hedgerow",H203&lt;&gt;"Poor"),"Not possible ▲",(IF(AND(F203="V.Low",OR(H203="Good",H203="Moderate")),"Error ▲",VLOOKUP(H203,'G-1 All Habitats'!$Z$2:$AA$9,2,FALSE))))),"")</f>
        <v/>
      </c>
      <c r="J203" s="102"/>
      <c r="K203" s="295" t="str">
        <f>IF(J203="","",IF(VLOOKUP(J203,'G-3 Multipliers'!$L$3:$N$6,2,FALSE)=0,"Spatial Data Missing",VLOOKUP(J203,'G-3 Multipliers'!$L$3:$N$6,2,FALSE)))</f>
        <v/>
      </c>
      <c r="L203" s="299" t="str">
        <f>IF(J203="","",IF(VLOOKUP(J203,'G-3 Multipliers'!$L$3:$N$6,3,FALSE)=0,"Spatial Data Missing",VLOOKUP(J203,'G-3 Multipliers'!$L$3:$N$6,3,FALSE)))</f>
        <v/>
      </c>
      <c r="M203" s="134"/>
      <c r="N203" s="276" t="str">
        <f>IF(M203="","",IF(VLOOKUP(M203,'G-3 Multipliers'!$S$3:$T$10,2,FALSE)=0,"Spatial Data Missing ⚠",VLOOKUP(M203,'G-3 Multipliers'!$S$3:$T$10,2,FALSE)))</f>
        <v/>
      </c>
      <c r="O203" s="275" t="str">
        <f>IF(OR(D203="",H203=""),"",(INDEX('G-6 Hedgerow Data'!$E$3:$I$15,MATCH(D203,'G-6 Hedgerow Data'!$B$3:$B$15,0),MATCH(H203,'G-6 Hedgerow Data'!$E$2:$I$2,0))))</f>
        <v/>
      </c>
      <c r="P203" s="133"/>
      <c r="Q203" s="133"/>
      <c r="R203" s="283" t="str">
        <f t="shared" si="15"/>
        <v/>
      </c>
      <c r="S203" s="296" t="str">
        <f t="shared" si="16"/>
        <v/>
      </c>
      <c r="T203" s="297" t="str">
        <f t="shared" si="14"/>
        <v/>
      </c>
      <c r="U203" s="311" t="str">
        <f>IF(D203="","",VLOOKUP(D203,'G-6 Hedgerow Data'!$B$3:$AG$15,31,FALSE))</f>
        <v/>
      </c>
      <c r="V203" s="295" t="str">
        <f t="shared" si="17"/>
        <v/>
      </c>
      <c r="W203" s="283" t="str">
        <f t="shared" si="18"/>
        <v/>
      </c>
      <c r="X203" s="299" t="str">
        <f>IF(F203="","",VLOOKUP(U203,'G-3 Multipliers'!$P$3:$Q$6,2,FALSE))</f>
        <v/>
      </c>
      <c r="Y203" s="303" t="str">
        <f t="shared" si="19"/>
        <v/>
      </c>
      <c r="Z203" s="303" t="str">
        <f t="shared" si="20"/>
        <v/>
      </c>
      <c r="AA203" s="101"/>
      <c r="AB203" s="938"/>
      <c r="AC203" s="138"/>
      <c r="AD203" s="138"/>
      <c r="AE203" s="934"/>
      <c r="AH203" s="30" t="str">
        <f>IFERROR(INDEX('G-6 Hedgerow Data'!$BJ$3:$BJ$15,MATCH(D203,'G-6 Hedgerow Data'!$B$3:$B$15,0)),"")</f>
        <v/>
      </c>
    </row>
    <row r="204" spans="2:34" ht="14">
      <c r="B204" s="97">
        <v>193</v>
      </c>
      <c r="C204" s="171"/>
      <c r="D204" s="58"/>
      <c r="E204" s="138"/>
      <c r="F204" s="275" t="str">
        <f>IF(D204="","",VLOOKUP(D204,'G-6 Hedgerow Data'!$B$2:$AG$15,2,FALSE))</f>
        <v/>
      </c>
      <c r="G204" s="299" t="str">
        <f>IF(D204="","",VLOOKUP(D204,'G-6 Hedgerow Data'!$B$2:$AG$15,3,FALSE))</f>
        <v/>
      </c>
      <c r="H204" s="53"/>
      <c r="I204" s="276" t="str">
        <f>IFERROR(IF(H204="","",IF(AND(D204="Non-native and ornamental hedgerow",H204&lt;&gt;"Poor"),"Not possible ▲",(IF(AND(F204="V.Low",OR(H204="Good",H204="Moderate")),"Error ▲",VLOOKUP(H204,'G-1 All Habitats'!$Z$2:$AA$9,2,FALSE))))),"")</f>
        <v/>
      </c>
      <c r="J204" s="102"/>
      <c r="K204" s="295" t="str">
        <f>IF(J204="","",IF(VLOOKUP(J204,'G-3 Multipliers'!$L$3:$N$6,2,FALSE)=0,"Spatial Data Missing",VLOOKUP(J204,'G-3 Multipliers'!$L$3:$N$6,2,FALSE)))</f>
        <v/>
      </c>
      <c r="L204" s="299" t="str">
        <f>IF(J204="","",IF(VLOOKUP(J204,'G-3 Multipliers'!$L$3:$N$6,3,FALSE)=0,"Spatial Data Missing",VLOOKUP(J204,'G-3 Multipliers'!$L$3:$N$6,3,FALSE)))</f>
        <v/>
      </c>
      <c r="M204" s="134"/>
      <c r="N204" s="276" t="str">
        <f>IF(M204="","",IF(VLOOKUP(M204,'G-3 Multipliers'!$S$3:$T$10,2,FALSE)=0,"Spatial Data Missing ⚠",VLOOKUP(M204,'G-3 Multipliers'!$S$3:$T$10,2,FALSE)))</f>
        <v/>
      </c>
      <c r="O204" s="275" t="str">
        <f>IF(OR(D204="",H204=""),"",(INDEX('G-6 Hedgerow Data'!$E$3:$I$15,MATCH(D204,'G-6 Hedgerow Data'!$B$3:$B$15,0),MATCH(H204,'G-6 Hedgerow Data'!$E$2:$I$2,0))))</f>
        <v/>
      </c>
      <c r="P204" s="133"/>
      <c r="Q204" s="133"/>
      <c r="R204" s="283" t="str">
        <f t="shared" si="15"/>
        <v/>
      </c>
      <c r="S204" s="296" t="str">
        <f t="shared" si="16"/>
        <v/>
      </c>
      <c r="T204" s="297" t="str">
        <f t="shared" si="21" ref="T204:T259">IF(D204="","",IF(S204="Check Data ⚠","Check Data ⚠",VLOOKUP(S204,TemporalMultipliers,3,FALSE)))</f>
        <v/>
      </c>
      <c r="U204" s="311" t="str">
        <f>IF(D204="","",VLOOKUP(D204,'G-6 Hedgerow Data'!$B$3:$AG$15,31,FALSE))</f>
        <v/>
      </c>
      <c r="V204" s="295" t="str">
        <f t="shared" si="17"/>
        <v/>
      </c>
      <c r="W204" s="283" t="str">
        <f t="shared" si="18"/>
        <v/>
      </c>
      <c r="X204" s="299" t="str">
        <f>IF(F204="","",VLOOKUP(U204,'G-3 Multipliers'!$P$3:$Q$6,2,FALSE))</f>
        <v/>
      </c>
      <c r="Y204" s="303" t="str">
        <f t="shared" si="19"/>
        <v/>
      </c>
      <c r="Z204" s="303" t="str">
        <f t="shared" si="20"/>
        <v/>
      </c>
      <c r="AA204" s="101"/>
      <c r="AB204" s="938"/>
      <c r="AC204" s="138"/>
      <c r="AD204" s="138"/>
      <c r="AE204" s="934"/>
      <c r="AH204" s="30" t="str">
        <f>IFERROR(INDEX('G-6 Hedgerow Data'!$BJ$3:$BJ$15,MATCH(D204,'G-6 Hedgerow Data'!$B$3:$B$15,0)),"")</f>
        <v/>
      </c>
    </row>
    <row r="205" spans="2:34" ht="14">
      <c r="B205" s="97">
        <v>194</v>
      </c>
      <c r="C205" s="171"/>
      <c r="D205" s="58"/>
      <c r="E205" s="138"/>
      <c r="F205" s="275" t="str">
        <f>IF(D205="","",VLOOKUP(D205,'G-6 Hedgerow Data'!$B$2:$AG$15,2,FALSE))</f>
        <v/>
      </c>
      <c r="G205" s="299" t="str">
        <f>IF(D205="","",VLOOKUP(D205,'G-6 Hedgerow Data'!$B$2:$AG$15,3,FALSE))</f>
        <v/>
      </c>
      <c r="H205" s="53"/>
      <c r="I205" s="276" t="str">
        <f>IFERROR(IF(H205="","",IF(AND(D205="Non-native and ornamental hedgerow",H205&lt;&gt;"Poor"),"Not possible ▲",(IF(AND(F205="V.Low",OR(H205="Good",H205="Moderate")),"Error ▲",VLOOKUP(H205,'G-1 All Habitats'!$Z$2:$AA$9,2,FALSE))))),"")</f>
        <v/>
      </c>
      <c r="J205" s="102"/>
      <c r="K205" s="295" t="str">
        <f>IF(J205="","",IF(VLOOKUP(J205,'G-3 Multipliers'!$L$3:$N$6,2,FALSE)=0,"Spatial Data Missing",VLOOKUP(J205,'G-3 Multipliers'!$L$3:$N$6,2,FALSE)))</f>
        <v/>
      </c>
      <c r="L205" s="299" t="str">
        <f>IF(J205="","",IF(VLOOKUP(J205,'G-3 Multipliers'!$L$3:$N$6,3,FALSE)=0,"Spatial Data Missing",VLOOKUP(J205,'G-3 Multipliers'!$L$3:$N$6,3,FALSE)))</f>
        <v/>
      </c>
      <c r="M205" s="134"/>
      <c r="N205" s="276" t="str">
        <f>IF(M205="","",IF(VLOOKUP(M205,'G-3 Multipliers'!$S$3:$T$10,2,FALSE)=0,"Spatial Data Missing ⚠",VLOOKUP(M205,'G-3 Multipliers'!$S$3:$T$10,2,FALSE)))</f>
        <v/>
      </c>
      <c r="O205" s="275" t="str">
        <f>IF(OR(D205="",H205=""),"",(INDEX('G-6 Hedgerow Data'!$E$3:$I$15,MATCH(D205,'G-6 Hedgerow Data'!$B$3:$B$15,0),MATCH(H205,'G-6 Hedgerow Data'!$E$2:$I$2,0))))</f>
        <v/>
      </c>
      <c r="P205" s="133"/>
      <c r="Q205" s="133"/>
      <c r="R205" s="283" t="str">
        <f t="shared" si="22" ref="R205:R25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296" t="str">
        <f t="shared" si="23" ref="S205:S259">IF(O205="","",IF(R205="Error -both advance and delayed habitat creation ▲","Check Data ⚠",IF(O205="Not possible ▲","Check data ⚠",IF(OR(P205="30+",P205="Habitat already in target condition"),0,IF(Q205="30+","30+",IF(AND(O205="30+",OR(P205="",P205=0)),"30+",IF(AND(O205="30+",P205&gt;0),30-P205,IF(O205+Q205&gt;30,"30+",IF(O205+Q205-P205&gt;0,O205+Q205-P205,IF(O205-P205&lt;0,0,O205+Q205-P205))))))))))</f>
        <v/>
      </c>
      <c r="T205" s="297" t="str">
        <f t="shared" si="21"/>
        <v/>
      </c>
      <c r="U205" s="311" t="str">
        <f>IF(D205="","",VLOOKUP(D205,'G-6 Hedgerow Data'!$B$3:$AG$15,31,FALSE))</f>
        <v/>
      </c>
      <c r="V205" s="295" t="str">
        <f t="shared" si="24" ref="V205:V259">IF(D205="","",IF(S205="Check Data ⚠","Check Data ⚠",IF(H205="","",IF($R205="Check details - Is there evidence that habitat has reached target condition? ⚠","Low Difficulty - only applicable if all habitat created before losses ⚠","Standard difficulty applied"))))</f>
        <v/>
      </c>
      <c r="W205" s="283" t="str">
        <f t="shared" si="25" ref="W205:W259">(IF(AND(V205="Standard difficulty applied",O205&gt;P205),U205,IF(S205="Check data ⚠","Check data ⚠",IF(AND(V205="Low Difficulty - only applicable if all habitat created before losses ⚠",P205&gt;=O205),"Low",U205))))</f>
        <v/>
      </c>
      <c r="X205" s="299" t="str">
        <f>IF(F205="","",VLOOKUP(U205,'G-3 Multipliers'!$P$3:$Q$6,2,FALSE))</f>
        <v/>
      </c>
      <c r="Y205" s="303" t="str">
        <f t="shared" si="26" ref="Y205:Y259">IFERROR(E205*G205*I205*L205*T205*X205*N205,"")</f>
        <v/>
      </c>
      <c r="Z205" s="303" t="str">
        <f t="shared" si="27" ref="Z205:Z259">IFERROR(IF(AND(M205&lt;&gt;"",AD205=""),"Off-site reference required ▲",(IF(M205="","",E205*G205*I205*L205*T205*X205))),"")</f>
        <v/>
      </c>
      <c r="AA205" s="101"/>
      <c r="AB205" s="938"/>
      <c r="AC205" s="138"/>
      <c r="AD205" s="138"/>
      <c r="AE205" s="934"/>
      <c r="AH205" s="30" t="str">
        <f>IFERROR(INDEX('G-6 Hedgerow Data'!$BJ$3:$BJ$15,MATCH(D205,'G-6 Hedgerow Data'!$B$3:$B$15,0)),"")</f>
        <v/>
      </c>
    </row>
    <row r="206" spans="2:34" ht="14">
      <c r="B206" s="97">
        <v>195</v>
      </c>
      <c r="C206" s="171"/>
      <c r="D206" s="58"/>
      <c r="E206" s="138"/>
      <c r="F206" s="275" t="str">
        <f>IF(D206="","",VLOOKUP(D206,'G-6 Hedgerow Data'!$B$2:$AG$15,2,FALSE))</f>
        <v/>
      </c>
      <c r="G206" s="299" t="str">
        <f>IF(D206="","",VLOOKUP(D206,'G-6 Hedgerow Data'!$B$2:$AG$15,3,FALSE))</f>
        <v/>
      </c>
      <c r="H206" s="53"/>
      <c r="I206" s="276" t="str">
        <f>IFERROR(IF(H206="","",IF(AND(D206="Non-native and ornamental hedgerow",H206&lt;&gt;"Poor"),"Not possible ▲",(IF(AND(F206="V.Low",OR(H206="Good",H206="Moderate")),"Error ▲",VLOOKUP(H206,'G-1 All Habitats'!$Z$2:$AA$9,2,FALSE))))),"")</f>
        <v/>
      </c>
      <c r="J206" s="102"/>
      <c r="K206" s="295" t="str">
        <f>IF(J206="","",IF(VLOOKUP(J206,'G-3 Multipliers'!$L$3:$N$6,2,FALSE)=0,"Spatial Data Missing",VLOOKUP(J206,'G-3 Multipliers'!$L$3:$N$6,2,FALSE)))</f>
        <v/>
      </c>
      <c r="L206" s="299" t="str">
        <f>IF(J206="","",IF(VLOOKUP(J206,'G-3 Multipliers'!$L$3:$N$6,3,FALSE)=0,"Spatial Data Missing",VLOOKUP(J206,'G-3 Multipliers'!$L$3:$N$6,3,FALSE)))</f>
        <v/>
      </c>
      <c r="M206" s="134"/>
      <c r="N206" s="276" t="str">
        <f>IF(M206="","",IF(VLOOKUP(M206,'G-3 Multipliers'!$S$3:$T$10,2,FALSE)=0,"Spatial Data Missing ⚠",VLOOKUP(M206,'G-3 Multipliers'!$S$3:$T$10,2,FALSE)))</f>
        <v/>
      </c>
      <c r="O206" s="275" t="str">
        <f>IF(OR(D206="",H206=""),"",(INDEX('G-6 Hedgerow Data'!$E$3:$I$15,MATCH(D206,'G-6 Hedgerow Data'!$B$3:$B$15,0),MATCH(H206,'G-6 Hedgerow Data'!$E$2:$I$2,0))))</f>
        <v/>
      </c>
      <c r="P206" s="133"/>
      <c r="Q206" s="133"/>
      <c r="R206" s="283" t="str">
        <f t="shared" si="22"/>
        <v/>
      </c>
      <c r="S206" s="296" t="str">
        <f t="shared" si="23"/>
        <v/>
      </c>
      <c r="T206" s="297" t="str">
        <f t="shared" si="21"/>
        <v/>
      </c>
      <c r="U206" s="311" t="str">
        <f>IF(D206="","",VLOOKUP(D206,'G-6 Hedgerow Data'!$B$3:$AG$15,31,FALSE))</f>
        <v/>
      </c>
      <c r="V206" s="295" t="str">
        <f t="shared" si="24"/>
        <v/>
      </c>
      <c r="W206" s="283" t="str">
        <f t="shared" si="25"/>
        <v/>
      </c>
      <c r="X206" s="299" t="str">
        <f>IF(F206="","",VLOOKUP(U206,'G-3 Multipliers'!$P$3:$Q$6,2,FALSE))</f>
        <v/>
      </c>
      <c r="Y206" s="303" t="str">
        <f t="shared" si="26"/>
        <v/>
      </c>
      <c r="Z206" s="303" t="str">
        <f t="shared" si="27"/>
        <v/>
      </c>
      <c r="AA206" s="101"/>
      <c r="AB206" s="938"/>
      <c r="AC206" s="138"/>
      <c r="AD206" s="138"/>
      <c r="AE206" s="934"/>
      <c r="AH206" s="30" t="str">
        <f>IFERROR(INDEX('G-6 Hedgerow Data'!$BJ$3:$BJ$15,MATCH(D206,'G-6 Hedgerow Data'!$B$3:$B$15,0)),"")</f>
        <v/>
      </c>
    </row>
    <row r="207" spans="2:34" ht="14">
      <c r="B207" s="97">
        <v>196</v>
      </c>
      <c r="C207" s="171"/>
      <c r="D207" s="58"/>
      <c r="E207" s="138"/>
      <c r="F207" s="275" t="str">
        <f>IF(D207="","",VLOOKUP(D207,'G-6 Hedgerow Data'!$B$2:$AG$15,2,FALSE))</f>
        <v/>
      </c>
      <c r="G207" s="299" t="str">
        <f>IF(D207="","",VLOOKUP(D207,'G-6 Hedgerow Data'!$B$2:$AG$15,3,FALSE))</f>
        <v/>
      </c>
      <c r="H207" s="53"/>
      <c r="I207" s="276" t="str">
        <f>IFERROR(IF(H207="","",IF(AND(D207="Non-native and ornamental hedgerow",H207&lt;&gt;"Poor"),"Not possible ▲",(IF(AND(F207="V.Low",OR(H207="Good",H207="Moderate")),"Error ▲",VLOOKUP(H207,'G-1 All Habitats'!$Z$2:$AA$9,2,FALSE))))),"")</f>
        <v/>
      </c>
      <c r="J207" s="102"/>
      <c r="K207" s="295" t="str">
        <f>IF(J207="","",IF(VLOOKUP(J207,'G-3 Multipliers'!$L$3:$N$6,2,FALSE)=0,"Spatial Data Missing",VLOOKUP(J207,'G-3 Multipliers'!$L$3:$N$6,2,FALSE)))</f>
        <v/>
      </c>
      <c r="L207" s="299" t="str">
        <f>IF(J207="","",IF(VLOOKUP(J207,'G-3 Multipliers'!$L$3:$N$6,3,FALSE)=0,"Spatial Data Missing",VLOOKUP(J207,'G-3 Multipliers'!$L$3:$N$6,3,FALSE)))</f>
        <v/>
      </c>
      <c r="M207" s="134"/>
      <c r="N207" s="276" t="str">
        <f>IF(M207="","",IF(VLOOKUP(M207,'G-3 Multipliers'!$S$3:$T$10,2,FALSE)=0,"Spatial Data Missing ⚠",VLOOKUP(M207,'G-3 Multipliers'!$S$3:$T$10,2,FALSE)))</f>
        <v/>
      </c>
      <c r="O207" s="275" t="str">
        <f>IF(OR(D207="",H207=""),"",(INDEX('G-6 Hedgerow Data'!$E$3:$I$15,MATCH(D207,'G-6 Hedgerow Data'!$B$3:$B$15,0),MATCH(H207,'G-6 Hedgerow Data'!$E$2:$I$2,0))))</f>
        <v/>
      </c>
      <c r="P207" s="133"/>
      <c r="Q207" s="133"/>
      <c r="R207" s="283" t="str">
        <f t="shared" si="22"/>
        <v/>
      </c>
      <c r="S207" s="296" t="str">
        <f t="shared" si="23"/>
        <v/>
      </c>
      <c r="T207" s="297" t="str">
        <f t="shared" si="21"/>
        <v/>
      </c>
      <c r="U207" s="311" t="str">
        <f>IF(D207="","",VLOOKUP(D207,'G-6 Hedgerow Data'!$B$3:$AG$15,31,FALSE))</f>
        <v/>
      </c>
      <c r="V207" s="295" t="str">
        <f t="shared" si="24"/>
        <v/>
      </c>
      <c r="W207" s="283" t="str">
        <f t="shared" si="25"/>
        <v/>
      </c>
      <c r="X207" s="299" t="str">
        <f>IF(F207="","",VLOOKUP(U207,'G-3 Multipliers'!$P$3:$Q$6,2,FALSE))</f>
        <v/>
      </c>
      <c r="Y207" s="303" t="str">
        <f t="shared" si="26"/>
        <v/>
      </c>
      <c r="Z207" s="303" t="str">
        <f t="shared" si="27"/>
        <v/>
      </c>
      <c r="AA207" s="101"/>
      <c r="AB207" s="938"/>
      <c r="AC207" s="138"/>
      <c r="AD207" s="138"/>
      <c r="AE207" s="934"/>
      <c r="AH207" s="30" t="str">
        <f>IFERROR(INDEX('G-6 Hedgerow Data'!$BJ$3:$BJ$15,MATCH(D207,'G-6 Hedgerow Data'!$B$3:$B$15,0)),"")</f>
        <v/>
      </c>
    </row>
    <row r="208" spans="2:34" ht="14">
      <c r="B208" s="97">
        <v>197</v>
      </c>
      <c r="C208" s="171"/>
      <c r="D208" s="58"/>
      <c r="E208" s="138"/>
      <c r="F208" s="275" t="str">
        <f>IF(D208="","",VLOOKUP(D208,'G-6 Hedgerow Data'!$B$2:$AG$15,2,FALSE))</f>
        <v/>
      </c>
      <c r="G208" s="299" t="str">
        <f>IF(D208="","",VLOOKUP(D208,'G-6 Hedgerow Data'!$B$2:$AG$15,3,FALSE))</f>
        <v/>
      </c>
      <c r="H208" s="53"/>
      <c r="I208" s="276" t="str">
        <f>IFERROR(IF(H208="","",IF(AND(D208="Non-native and ornamental hedgerow",H208&lt;&gt;"Poor"),"Not possible ▲",(IF(AND(F208="V.Low",OR(H208="Good",H208="Moderate")),"Error ▲",VLOOKUP(H208,'G-1 All Habitats'!$Z$2:$AA$9,2,FALSE))))),"")</f>
        <v/>
      </c>
      <c r="J208" s="102"/>
      <c r="K208" s="295" t="str">
        <f>IF(J208="","",IF(VLOOKUP(J208,'G-3 Multipliers'!$L$3:$N$6,2,FALSE)=0,"Spatial Data Missing",VLOOKUP(J208,'G-3 Multipliers'!$L$3:$N$6,2,FALSE)))</f>
        <v/>
      </c>
      <c r="L208" s="299" t="str">
        <f>IF(J208="","",IF(VLOOKUP(J208,'G-3 Multipliers'!$L$3:$N$6,3,FALSE)=0,"Spatial Data Missing",VLOOKUP(J208,'G-3 Multipliers'!$L$3:$N$6,3,FALSE)))</f>
        <v/>
      </c>
      <c r="M208" s="134"/>
      <c r="N208" s="276" t="str">
        <f>IF(M208="","",IF(VLOOKUP(M208,'G-3 Multipliers'!$S$3:$T$10,2,FALSE)=0,"Spatial Data Missing ⚠",VLOOKUP(M208,'G-3 Multipliers'!$S$3:$T$10,2,FALSE)))</f>
        <v/>
      </c>
      <c r="O208" s="275" t="str">
        <f>IF(OR(D208="",H208=""),"",(INDEX('G-6 Hedgerow Data'!$E$3:$I$15,MATCH(D208,'G-6 Hedgerow Data'!$B$3:$B$15,0),MATCH(H208,'G-6 Hedgerow Data'!$E$2:$I$2,0))))</f>
        <v/>
      </c>
      <c r="P208" s="133"/>
      <c r="Q208" s="133"/>
      <c r="R208" s="283" t="str">
        <f t="shared" si="22"/>
        <v/>
      </c>
      <c r="S208" s="296" t="str">
        <f t="shared" si="23"/>
        <v/>
      </c>
      <c r="T208" s="297" t="str">
        <f t="shared" si="21"/>
        <v/>
      </c>
      <c r="U208" s="311" t="str">
        <f>IF(D208="","",VLOOKUP(D208,'G-6 Hedgerow Data'!$B$3:$AG$15,31,FALSE))</f>
        <v/>
      </c>
      <c r="V208" s="295" t="str">
        <f t="shared" si="24"/>
        <v/>
      </c>
      <c r="W208" s="283" t="str">
        <f t="shared" si="25"/>
        <v/>
      </c>
      <c r="X208" s="299" t="str">
        <f>IF(F208="","",VLOOKUP(U208,'G-3 Multipliers'!$P$3:$Q$6,2,FALSE))</f>
        <v/>
      </c>
      <c r="Y208" s="303" t="str">
        <f t="shared" si="26"/>
        <v/>
      </c>
      <c r="Z208" s="303" t="str">
        <f t="shared" si="27"/>
        <v/>
      </c>
      <c r="AA208" s="101"/>
      <c r="AB208" s="938"/>
      <c r="AC208" s="138"/>
      <c r="AD208" s="138"/>
      <c r="AE208" s="934"/>
      <c r="AH208" s="30" t="str">
        <f>IFERROR(INDEX('G-6 Hedgerow Data'!$BJ$3:$BJ$15,MATCH(D208,'G-6 Hedgerow Data'!$B$3:$B$15,0)),"")</f>
        <v/>
      </c>
    </row>
    <row r="209" spans="2:34" ht="14">
      <c r="B209" s="97">
        <v>198</v>
      </c>
      <c r="C209" s="171"/>
      <c r="D209" s="58"/>
      <c r="E209" s="138"/>
      <c r="F209" s="275" t="str">
        <f>IF(D209="","",VLOOKUP(D209,'G-6 Hedgerow Data'!$B$2:$AG$15,2,FALSE))</f>
        <v/>
      </c>
      <c r="G209" s="299" t="str">
        <f>IF(D209="","",VLOOKUP(D209,'G-6 Hedgerow Data'!$B$2:$AG$15,3,FALSE))</f>
        <v/>
      </c>
      <c r="H209" s="53"/>
      <c r="I209" s="276" t="str">
        <f>IFERROR(IF(H209="","",IF(AND(D209="Non-native and ornamental hedgerow",H209&lt;&gt;"Poor"),"Not possible ▲",(IF(AND(F209="V.Low",OR(H209="Good",H209="Moderate")),"Error ▲",VLOOKUP(H209,'G-1 All Habitats'!$Z$2:$AA$9,2,FALSE))))),"")</f>
        <v/>
      </c>
      <c r="J209" s="102"/>
      <c r="K209" s="295" t="str">
        <f>IF(J209="","",IF(VLOOKUP(J209,'G-3 Multipliers'!$L$3:$N$6,2,FALSE)=0,"Spatial Data Missing",VLOOKUP(J209,'G-3 Multipliers'!$L$3:$N$6,2,FALSE)))</f>
        <v/>
      </c>
      <c r="L209" s="299" t="str">
        <f>IF(J209="","",IF(VLOOKUP(J209,'G-3 Multipliers'!$L$3:$N$6,3,FALSE)=0,"Spatial Data Missing",VLOOKUP(J209,'G-3 Multipliers'!$L$3:$N$6,3,FALSE)))</f>
        <v/>
      </c>
      <c r="M209" s="134"/>
      <c r="N209" s="276" t="str">
        <f>IF(M209="","",IF(VLOOKUP(M209,'G-3 Multipliers'!$S$3:$T$10,2,FALSE)=0,"Spatial Data Missing ⚠",VLOOKUP(M209,'G-3 Multipliers'!$S$3:$T$10,2,FALSE)))</f>
        <v/>
      </c>
      <c r="O209" s="275" t="str">
        <f>IF(OR(D209="",H209=""),"",(INDEX('G-6 Hedgerow Data'!$E$3:$I$15,MATCH(D209,'G-6 Hedgerow Data'!$B$3:$B$15,0),MATCH(H209,'G-6 Hedgerow Data'!$E$2:$I$2,0))))</f>
        <v/>
      </c>
      <c r="P209" s="133"/>
      <c r="Q209" s="133"/>
      <c r="R209" s="283" t="str">
        <f t="shared" si="22"/>
        <v/>
      </c>
      <c r="S209" s="296" t="str">
        <f t="shared" si="23"/>
        <v/>
      </c>
      <c r="T209" s="297" t="str">
        <f t="shared" si="21"/>
        <v/>
      </c>
      <c r="U209" s="311" t="str">
        <f>IF(D209="","",VLOOKUP(D209,'G-6 Hedgerow Data'!$B$3:$AG$15,31,FALSE))</f>
        <v/>
      </c>
      <c r="V209" s="295" t="str">
        <f t="shared" si="24"/>
        <v/>
      </c>
      <c r="W209" s="283" t="str">
        <f t="shared" si="25"/>
        <v/>
      </c>
      <c r="X209" s="299" t="str">
        <f>IF(F209="","",VLOOKUP(U209,'G-3 Multipliers'!$P$3:$Q$6,2,FALSE))</f>
        <v/>
      </c>
      <c r="Y209" s="303" t="str">
        <f t="shared" si="26"/>
        <v/>
      </c>
      <c r="Z209" s="303" t="str">
        <f t="shared" si="27"/>
        <v/>
      </c>
      <c r="AA209" s="101"/>
      <c r="AB209" s="938"/>
      <c r="AC209" s="138"/>
      <c r="AD209" s="138"/>
      <c r="AE209" s="934"/>
      <c r="AH209" s="30" t="str">
        <f>IFERROR(INDEX('G-6 Hedgerow Data'!$BJ$3:$BJ$15,MATCH(D209,'G-6 Hedgerow Data'!$B$3:$B$15,0)),"")</f>
        <v/>
      </c>
    </row>
    <row r="210" spans="2:34" ht="14">
      <c r="B210" s="97">
        <v>199</v>
      </c>
      <c r="C210" s="171"/>
      <c r="D210" s="58"/>
      <c r="E210" s="138"/>
      <c r="F210" s="275" t="str">
        <f>IF(D210="","",VLOOKUP(D210,'G-6 Hedgerow Data'!$B$2:$AG$15,2,FALSE))</f>
        <v/>
      </c>
      <c r="G210" s="299" t="str">
        <f>IF(D210="","",VLOOKUP(D210,'G-6 Hedgerow Data'!$B$2:$AG$15,3,FALSE))</f>
        <v/>
      </c>
      <c r="H210" s="53"/>
      <c r="I210" s="276" t="str">
        <f>IFERROR(IF(H210="","",IF(AND(D210="Non-native and ornamental hedgerow",H210&lt;&gt;"Poor"),"Not possible ▲",(IF(AND(F210="V.Low",OR(H210="Good",H210="Moderate")),"Error ▲",VLOOKUP(H210,'G-1 All Habitats'!$Z$2:$AA$9,2,FALSE))))),"")</f>
        <v/>
      </c>
      <c r="J210" s="102"/>
      <c r="K210" s="295" t="str">
        <f>IF(J210="","",IF(VLOOKUP(J210,'G-3 Multipliers'!$L$3:$N$6,2,FALSE)=0,"Spatial Data Missing",VLOOKUP(J210,'G-3 Multipliers'!$L$3:$N$6,2,FALSE)))</f>
        <v/>
      </c>
      <c r="L210" s="299" t="str">
        <f>IF(J210="","",IF(VLOOKUP(J210,'G-3 Multipliers'!$L$3:$N$6,3,FALSE)=0,"Spatial Data Missing",VLOOKUP(J210,'G-3 Multipliers'!$L$3:$N$6,3,FALSE)))</f>
        <v/>
      </c>
      <c r="M210" s="134"/>
      <c r="N210" s="276" t="str">
        <f>IF(M210="","",IF(VLOOKUP(M210,'G-3 Multipliers'!$S$3:$T$10,2,FALSE)=0,"Spatial Data Missing ⚠",VLOOKUP(M210,'G-3 Multipliers'!$S$3:$T$10,2,FALSE)))</f>
        <v/>
      </c>
      <c r="O210" s="275" t="str">
        <f>IF(OR(D210="",H210=""),"",(INDEX('G-6 Hedgerow Data'!$E$3:$I$15,MATCH(D210,'G-6 Hedgerow Data'!$B$3:$B$15,0),MATCH(H210,'G-6 Hedgerow Data'!$E$2:$I$2,0))))</f>
        <v/>
      </c>
      <c r="P210" s="133"/>
      <c r="Q210" s="133"/>
      <c r="R210" s="283" t="str">
        <f t="shared" si="22"/>
        <v/>
      </c>
      <c r="S210" s="296" t="str">
        <f t="shared" si="23"/>
        <v/>
      </c>
      <c r="T210" s="297" t="str">
        <f t="shared" si="21"/>
        <v/>
      </c>
      <c r="U210" s="311" t="str">
        <f>IF(D210="","",VLOOKUP(D210,'G-6 Hedgerow Data'!$B$3:$AG$15,31,FALSE))</f>
        <v/>
      </c>
      <c r="V210" s="295" t="str">
        <f t="shared" si="24"/>
        <v/>
      </c>
      <c r="W210" s="283" t="str">
        <f t="shared" si="25"/>
        <v/>
      </c>
      <c r="X210" s="299" t="str">
        <f>IF(F210="","",VLOOKUP(U210,'G-3 Multipliers'!$P$3:$Q$6,2,FALSE))</f>
        <v/>
      </c>
      <c r="Y210" s="303" t="str">
        <f t="shared" si="26"/>
        <v/>
      </c>
      <c r="Z210" s="303" t="str">
        <f t="shared" si="27"/>
        <v/>
      </c>
      <c r="AA210" s="101"/>
      <c r="AB210" s="938"/>
      <c r="AC210" s="138"/>
      <c r="AD210" s="138"/>
      <c r="AE210" s="934"/>
      <c r="AH210" s="30" t="str">
        <f>IFERROR(INDEX('G-6 Hedgerow Data'!$BJ$3:$BJ$15,MATCH(D210,'G-6 Hedgerow Data'!$B$3:$B$15,0)),"")</f>
        <v/>
      </c>
    </row>
    <row r="211" spans="2:34" ht="14">
      <c r="B211" s="97">
        <v>200</v>
      </c>
      <c r="C211" s="171"/>
      <c r="D211" s="58"/>
      <c r="E211" s="138"/>
      <c r="F211" s="275" t="str">
        <f>IF(D211="","",VLOOKUP(D211,'G-6 Hedgerow Data'!$B$2:$AG$15,2,FALSE))</f>
        <v/>
      </c>
      <c r="G211" s="299" t="str">
        <f>IF(D211="","",VLOOKUP(D211,'G-6 Hedgerow Data'!$B$2:$AG$15,3,FALSE))</f>
        <v/>
      </c>
      <c r="H211" s="53"/>
      <c r="I211" s="276" t="str">
        <f>IFERROR(IF(H211="","",IF(AND(D211="Non-native and ornamental hedgerow",H211&lt;&gt;"Poor"),"Not possible ▲",(IF(AND(F211="V.Low",OR(H211="Good",H211="Moderate")),"Error ▲",VLOOKUP(H211,'G-1 All Habitats'!$Z$2:$AA$9,2,FALSE))))),"")</f>
        <v/>
      </c>
      <c r="J211" s="102"/>
      <c r="K211" s="295" t="str">
        <f>IF(J211="","",IF(VLOOKUP(J211,'G-3 Multipliers'!$L$3:$N$6,2,FALSE)=0,"Spatial Data Missing",VLOOKUP(J211,'G-3 Multipliers'!$L$3:$N$6,2,FALSE)))</f>
        <v/>
      </c>
      <c r="L211" s="299" t="str">
        <f>IF(J211="","",IF(VLOOKUP(J211,'G-3 Multipliers'!$L$3:$N$6,3,FALSE)=0,"Spatial Data Missing",VLOOKUP(J211,'G-3 Multipliers'!$L$3:$N$6,3,FALSE)))</f>
        <v/>
      </c>
      <c r="M211" s="134"/>
      <c r="N211" s="276" t="str">
        <f>IF(M211="","",IF(VLOOKUP(M211,'G-3 Multipliers'!$S$3:$T$10,2,FALSE)=0,"Spatial Data Missing ⚠",VLOOKUP(M211,'G-3 Multipliers'!$S$3:$T$10,2,FALSE)))</f>
        <v/>
      </c>
      <c r="O211" s="275" t="str">
        <f>IF(OR(D211="",H211=""),"",(INDEX('G-6 Hedgerow Data'!$E$3:$I$15,MATCH(D211,'G-6 Hedgerow Data'!$B$3:$B$15,0),MATCH(H211,'G-6 Hedgerow Data'!$E$2:$I$2,0))))</f>
        <v/>
      </c>
      <c r="P211" s="133"/>
      <c r="Q211" s="133"/>
      <c r="R211" s="283" t="str">
        <f t="shared" si="22"/>
        <v/>
      </c>
      <c r="S211" s="296" t="str">
        <f t="shared" si="23"/>
        <v/>
      </c>
      <c r="T211" s="297" t="str">
        <f t="shared" si="21"/>
        <v/>
      </c>
      <c r="U211" s="311" t="str">
        <f>IF(D211="","",VLOOKUP(D211,'G-6 Hedgerow Data'!$B$3:$AG$15,31,FALSE))</f>
        <v/>
      </c>
      <c r="V211" s="295" t="str">
        <f t="shared" si="24"/>
        <v/>
      </c>
      <c r="W211" s="283" t="str">
        <f t="shared" si="25"/>
        <v/>
      </c>
      <c r="X211" s="299" t="str">
        <f>IF(F211="","",VLOOKUP(U211,'G-3 Multipliers'!$P$3:$Q$6,2,FALSE))</f>
        <v/>
      </c>
      <c r="Y211" s="303" t="str">
        <f t="shared" si="26"/>
        <v/>
      </c>
      <c r="Z211" s="303" t="str">
        <f t="shared" si="27"/>
        <v/>
      </c>
      <c r="AA211" s="101"/>
      <c r="AB211" s="938"/>
      <c r="AC211" s="138"/>
      <c r="AD211" s="138"/>
      <c r="AE211" s="934"/>
      <c r="AH211" s="30" t="str">
        <f>IFERROR(INDEX('G-6 Hedgerow Data'!$BJ$3:$BJ$15,MATCH(D211,'G-6 Hedgerow Data'!$B$3:$B$15,0)),"")</f>
        <v/>
      </c>
    </row>
    <row r="212" spans="2:34" ht="14">
      <c r="B212" s="97">
        <v>201</v>
      </c>
      <c r="C212" s="171"/>
      <c r="D212" s="58"/>
      <c r="E212" s="138"/>
      <c r="F212" s="275" t="str">
        <f>IF(D212="","",VLOOKUP(D212,'G-6 Hedgerow Data'!$B$2:$AG$15,2,FALSE))</f>
        <v/>
      </c>
      <c r="G212" s="299" t="str">
        <f>IF(D212="","",VLOOKUP(D212,'G-6 Hedgerow Data'!$B$2:$AG$15,3,FALSE))</f>
        <v/>
      </c>
      <c r="H212" s="53"/>
      <c r="I212" s="276" t="str">
        <f>IFERROR(IF(H212="","",IF(AND(D212="Non-native and ornamental hedgerow",H212&lt;&gt;"Poor"),"Not possible ▲",(IF(AND(F212="V.Low",OR(H212="Good",H212="Moderate")),"Error ▲",VLOOKUP(H212,'G-1 All Habitats'!$Z$2:$AA$9,2,FALSE))))),"")</f>
        <v/>
      </c>
      <c r="J212" s="102"/>
      <c r="K212" s="295" t="str">
        <f>IF(J212="","",IF(VLOOKUP(J212,'G-3 Multipliers'!$L$3:$N$6,2,FALSE)=0,"Spatial Data Missing",VLOOKUP(J212,'G-3 Multipliers'!$L$3:$N$6,2,FALSE)))</f>
        <v/>
      </c>
      <c r="L212" s="299" t="str">
        <f>IF(J212="","",IF(VLOOKUP(J212,'G-3 Multipliers'!$L$3:$N$6,3,FALSE)=0,"Spatial Data Missing",VLOOKUP(J212,'G-3 Multipliers'!$L$3:$N$6,3,FALSE)))</f>
        <v/>
      </c>
      <c r="M212" s="134"/>
      <c r="N212" s="276" t="str">
        <f>IF(M212="","",IF(VLOOKUP(M212,'G-3 Multipliers'!$S$3:$T$10,2,FALSE)=0,"Spatial Data Missing ⚠",VLOOKUP(M212,'G-3 Multipliers'!$S$3:$T$10,2,FALSE)))</f>
        <v/>
      </c>
      <c r="O212" s="275" t="str">
        <f>IF(OR(D212="",H212=""),"",(INDEX('G-6 Hedgerow Data'!$E$3:$I$15,MATCH(D212,'G-6 Hedgerow Data'!$B$3:$B$15,0),MATCH(H212,'G-6 Hedgerow Data'!$E$2:$I$2,0))))</f>
        <v/>
      </c>
      <c r="P212" s="133"/>
      <c r="Q212" s="133"/>
      <c r="R212" s="283" t="str">
        <f t="shared" si="22"/>
        <v/>
      </c>
      <c r="S212" s="296" t="str">
        <f t="shared" si="23"/>
        <v/>
      </c>
      <c r="T212" s="297" t="str">
        <f t="shared" si="21"/>
        <v/>
      </c>
      <c r="U212" s="311" t="str">
        <f>IF(D212="","",VLOOKUP(D212,'G-6 Hedgerow Data'!$B$3:$AG$15,31,FALSE))</f>
        <v/>
      </c>
      <c r="V212" s="295" t="str">
        <f t="shared" si="24"/>
        <v/>
      </c>
      <c r="W212" s="283" t="str">
        <f t="shared" si="25"/>
        <v/>
      </c>
      <c r="X212" s="299" t="str">
        <f>IF(F212="","",VLOOKUP(U212,'G-3 Multipliers'!$P$3:$Q$6,2,FALSE))</f>
        <v/>
      </c>
      <c r="Y212" s="303" t="str">
        <f t="shared" si="26"/>
        <v/>
      </c>
      <c r="Z212" s="303" t="str">
        <f t="shared" si="27"/>
        <v/>
      </c>
      <c r="AA212" s="101"/>
      <c r="AB212" s="938"/>
      <c r="AC212" s="138"/>
      <c r="AD212" s="138"/>
      <c r="AE212" s="934"/>
      <c r="AH212" s="30" t="str">
        <f>IFERROR(INDEX('G-6 Hedgerow Data'!$BJ$3:$BJ$15,MATCH(D212,'G-6 Hedgerow Data'!$B$3:$B$15,0)),"")</f>
        <v/>
      </c>
    </row>
    <row r="213" spans="2:34" ht="14">
      <c r="B213" s="97">
        <v>202</v>
      </c>
      <c r="C213" s="171"/>
      <c r="D213" s="58"/>
      <c r="E213" s="138"/>
      <c r="F213" s="275" t="str">
        <f>IF(D213="","",VLOOKUP(D213,'G-6 Hedgerow Data'!$B$2:$AG$15,2,FALSE))</f>
        <v/>
      </c>
      <c r="G213" s="299" t="str">
        <f>IF(D213="","",VLOOKUP(D213,'G-6 Hedgerow Data'!$B$2:$AG$15,3,FALSE))</f>
        <v/>
      </c>
      <c r="H213" s="53"/>
      <c r="I213" s="276" t="str">
        <f>IFERROR(IF(H213="","",IF(AND(D213="Non-native and ornamental hedgerow",H213&lt;&gt;"Poor"),"Not possible ▲",(IF(AND(F213="V.Low",OR(H213="Good",H213="Moderate")),"Error ▲",VLOOKUP(H213,'G-1 All Habitats'!$Z$2:$AA$9,2,FALSE))))),"")</f>
        <v/>
      </c>
      <c r="J213" s="102"/>
      <c r="K213" s="295" t="str">
        <f>IF(J213="","",IF(VLOOKUP(J213,'G-3 Multipliers'!$L$3:$N$6,2,FALSE)=0,"Spatial Data Missing",VLOOKUP(J213,'G-3 Multipliers'!$L$3:$N$6,2,FALSE)))</f>
        <v/>
      </c>
      <c r="L213" s="299" t="str">
        <f>IF(J213="","",IF(VLOOKUP(J213,'G-3 Multipliers'!$L$3:$N$6,3,FALSE)=0,"Spatial Data Missing",VLOOKUP(J213,'G-3 Multipliers'!$L$3:$N$6,3,FALSE)))</f>
        <v/>
      </c>
      <c r="M213" s="134"/>
      <c r="N213" s="276" t="str">
        <f>IF(M213="","",IF(VLOOKUP(M213,'G-3 Multipliers'!$S$3:$T$10,2,FALSE)=0,"Spatial Data Missing ⚠",VLOOKUP(M213,'G-3 Multipliers'!$S$3:$T$10,2,FALSE)))</f>
        <v/>
      </c>
      <c r="O213" s="275" t="str">
        <f>IF(OR(D213="",H213=""),"",(INDEX('G-6 Hedgerow Data'!$E$3:$I$15,MATCH(D213,'G-6 Hedgerow Data'!$B$3:$B$15,0),MATCH(H213,'G-6 Hedgerow Data'!$E$2:$I$2,0))))</f>
        <v/>
      </c>
      <c r="P213" s="133"/>
      <c r="Q213" s="133"/>
      <c r="R213" s="283" t="str">
        <f t="shared" si="22"/>
        <v/>
      </c>
      <c r="S213" s="296" t="str">
        <f t="shared" si="23"/>
        <v/>
      </c>
      <c r="T213" s="297" t="str">
        <f t="shared" si="21"/>
        <v/>
      </c>
      <c r="U213" s="311" t="str">
        <f>IF(D213="","",VLOOKUP(D213,'G-6 Hedgerow Data'!$B$3:$AG$15,31,FALSE))</f>
        <v/>
      </c>
      <c r="V213" s="295" t="str">
        <f t="shared" si="24"/>
        <v/>
      </c>
      <c r="W213" s="283" t="str">
        <f t="shared" si="25"/>
        <v/>
      </c>
      <c r="X213" s="299" t="str">
        <f>IF(F213="","",VLOOKUP(U213,'G-3 Multipliers'!$P$3:$Q$6,2,FALSE))</f>
        <v/>
      </c>
      <c r="Y213" s="303" t="str">
        <f t="shared" si="26"/>
        <v/>
      </c>
      <c r="Z213" s="303" t="str">
        <f t="shared" si="27"/>
        <v/>
      </c>
      <c r="AA213" s="101"/>
      <c r="AB213" s="938"/>
      <c r="AC213" s="138"/>
      <c r="AD213" s="138"/>
      <c r="AE213" s="934"/>
      <c r="AH213" s="30" t="str">
        <f>IFERROR(INDEX('G-6 Hedgerow Data'!$BJ$3:$BJ$15,MATCH(D213,'G-6 Hedgerow Data'!$B$3:$B$15,0)),"")</f>
        <v/>
      </c>
    </row>
    <row r="214" spans="2:34" ht="14">
      <c r="B214" s="97">
        <v>203</v>
      </c>
      <c r="C214" s="171"/>
      <c r="D214" s="58"/>
      <c r="E214" s="138"/>
      <c r="F214" s="275" t="str">
        <f>IF(D214="","",VLOOKUP(D214,'G-6 Hedgerow Data'!$B$2:$AG$15,2,FALSE))</f>
        <v/>
      </c>
      <c r="G214" s="299" t="str">
        <f>IF(D214="","",VLOOKUP(D214,'G-6 Hedgerow Data'!$B$2:$AG$15,3,FALSE))</f>
        <v/>
      </c>
      <c r="H214" s="53"/>
      <c r="I214" s="276" t="str">
        <f>IFERROR(IF(H214="","",IF(AND(D214="Non-native and ornamental hedgerow",H214&lt;&gt;"Poor"),"Not possible ▲",(IF(AND(F214="V.Low",OR(H214="Good",H214="Moderate")),"Error ▲",VLOOKUP(H214,'G-1 All Habitats'!$Z$2:$AA$9,2,FALSE))))),"")</f>
        <v/>
      </c>
      <c r="J214" s="102"/>
      <c r="K214" s="295" t="str">
        <f>IF(J214="","",IF(VLOOKUP(J214,'G-3 Multipliers'!$L$3:$N$6,2,FALSE)=0,"Spatial Data Missing",VLOOKUP(J214,'G-3 Multipliers'!$L$3:$N$6,2,FALSE)))</f>
        <v/>
      </c>
      <c r="L214" s="299" t="str">
        <f>IF(J214="","",IF(VLOOKUP(J214,'G-3 Multipliers'!$L$3:$N$6,3,FALSE)=0,"Spatial Data Missing",VLOOKUP(J214,'G-3 Multipliers'!$L$3:$N$6,3,FALSE)))</f>
        <v/>
      </c>
      <c r="M214" s="134"/>
      <c r="N214" s="276" t="str">
        <f>IF(M214="","",IF(VLOOKUP(M214,'G-3 Multipliers'!$S$3:$T$10,2,FALSE)=0,"Spatial Data Missing ⚠",VLOOKUP(M214,'G-3 Multipliers'!$S$3:$T$10,2,FALSE)))</f>
        <v/>
      </c>
      <c r="O214" s="275" t="str">
        <f>IF(OR(D214="",H214=""),"",(INDEX('G-6 Hedgerow Data'!$E$3:$I$15,MATCH(D214,'G-6 Hedgerow Data'!$B$3:$B$15,0),MATCH(H214,'G-6 Hedgerow Data'!$E$2:$I$2,0))))</f>
        <v/>
      </c>
      <c r="P214" s="133"/>
      <c r="Q214" s="133"/>
      <c r="R214" s="283" t="str">
        <f t="shared" si="22"/>
        <v/>
      </c>
      <c r="S214" s="296" t="str">
        <f t="shared" si="23"/>
        <v/>
      </c>
      <c r="T214" s="297" t="str">
        <f t="shared" si="21"/>
        <v/>
      </c>
      <c r="U214" s="311" t="str">
        <f>IF(D214="","",VLOOKUP(D214,'G-6 Hedgerow Data'!$B$3:$AG$15,31,FALSE))</f>
        <v/>
      </c>
      <c r="V214" s="295" t="str">
        <f t="shared" si="24"/>
        <v/>
      </c>
      <c r="W214" s="283" t="str">
        <f t="shared" si="25"/>
        <v/>
      </c>
      <c r="X214" s="299" t="str">
        <f>IF(F214="","",VLOOKUP(U214,'G-3 Multipliers'!$P$3:$Q$6,2,FALSE))</f>
        <v/>
      </c>
      <c r="Y214" s="303" t="str">
        <f t="shared" si="26"/>
        <v/>
      </c>
      <c r="Z214" s="303" t="str">
        <f t="shared" si="27"/>
        <v/>
      </c>
      <c r="AA214" s="101"/>
      <c r="AB214" s="938"/>
      <c r="AC214" s="138"/>
      <c r="AD214" s="138"/>
      <c r="AE214" s="934"/>
      <c r="AH214" s="30" t="str">
        <f>IFERROR(INDEX('G-6 Hedgerow Data'!$BJ$3:$BJ$15,MATCH(D214,'G-6 Hedgerow Data'!$B$3:$B$15,0)),"")</f>
        <v/>
      </c>
    </row>
    <row r="215" spans="2:34" ht="14">
      <c r="B215" s="97">
        <v>204</v>
      </c>
      <c r="C215" s="171"/>
      <c r="D215" s="58"/>
      <c r="E215" s="138"/>
      <c r="F215" s="275" t="str">
        <f>IF(D215="","",VLOOKUP(D215,'G-6 Hedgerow Data'!$B$2:$AG$15,2,FALSE))</f>
        <v/>
      </c>
      <c r="G215" s="299" t="str">
        <f>IF(D215="","",VLOOKUP(D215,'G-6 Hedgerow Data'!$B$2:$AG$15,3,FALSE))</f>
        <v/>
      </c>
      <c r="H215" s="53"/>
      <c r="I215" s="276" t="str">
        <f>IFERROR(IF(H215="","",IF(AND(D215="Non-native and ornamental hedgerow",H215&lt;&gt;"Poor"),"Not possible ▲",(IF(AND(F215="V.Low",OR(H215="Good",H215="Moderate")),"Error ▲",VLOOKUP(H215,'G-1 All Habitats'!$Z$2:$AA$9,2,FALSE))))),"")</f>
        <v/>
      </c>
      <c r="J215" s="102"/>
      <c r="K215" s="295" t="str">
        <f>IF(J215="","",IF(VLOOKUP(J215,'G-3 Multipliers'!$L$3:$N$6,2,FALSE)=0,"Spatial Data Missing",VLOOKUP(J215,'G-3 Multipliers'!$L$3:$N$6,2,FALSE)))</f>
        <v/>
      </c>
      <c r="L215" s="299" t="str">
        <f>IF(J215="","",IF(VLOOKUP(J215,'G-3 Multipliers'!$L$3:$N$6,3,FALSE)=0,"Spatial Data Missing",VLOOKUP(J215,'G-3 Multipliers'!$L$3:$N$6,3,FALSE)))</f>
        <v/>
      </c>
      <c r="M215" s="134"/>
      <c r="N215" s="276" t="str">
        <f>IF(M215="","",IF(VLOOKUP(M215,'G-3 Multipliers'!$S$3:$T$10,2,FALSE)=0,"Spatial Data Missing ⚠",VLOOKUP(M215,'G-3 Multipliers'!$S$3:$T$10,2,FALSE)))</f>
        <v/>
      </c>
      <c r="O215" s="275" t="str">
        <f>IF(OR(D215="",H215=""),"",(INDEX('G-6 Hedgerow Data'!$E$3:$I$15,MATCH(D215,'G-6 Hedgerow Data'!$B$3:$B$15,0),MATCH(H215,'G-6 Hedgerow Data'!$E$2:$I$2,0))))</f>
        <v/>
      </c>
      <c r="P215" s="133"/>
      <c r="Q215" s="133"/>
      <c r="R215" s="283" t="str">
        <f t="shared" si="22"/>
        <v/>
      </c>
      <c r="S215" s="296" t="str">
        <f t="shared" si="23"/>
        <v/>
      </c>
      <c r="T215" s="297" t="str">
        <f t="shared" si="21"/>
        <v/>
      </c>
      <c r="U215" s="311" t="str">
        <f>IF(D215="","",VLOOKUP(D215,'G-6 Hedgerow Data'!$B$3:$AG$15,31,FALSE))</f>
        <v/>
      </c>
      <c r="V215" s="295" t="str">
        <f t="shared" si="24"/>
        <v/>
      </c>
      <c r="W215" s="283" t="str">
        <f t="shared" si="25"/>
        <v/>
      </c>
      <c r="X215" s="299" t="str">
        <f>IF(F215="","",VLOOKUP(U215,'G-3 Multipliers'!$P$3:$Q$6,2,FALSE))</f>
        <v/>
      </c>
      <c r="Y215" s="303" t="str">
        <f t="shared" si="26"/>
        <v/>
      </c>
      <c r="Z215" s="303" t="str">
        <f t="shared" si="27"/>
        <v/>
      </c>
      <c r="AA215" s="101"/>
      <c r="AB215" s="938"/>
      <c r="AC215" s="138"/>
      <c r="AD215" s="138"/>
      <c r="AE215" s="934"/>
      <c r="AH215" s="30" t="str">
        <f>IFERROR(INDEX('G-6 Hedgerow Data'!$BJ$3:$BJ$15,MATCH(D215,'G-6 Hedgerow Data'!$B$3:$B$15,0)),"")</f>
        <v/>
      </c>
    </row>
    <row r="216" spans="2:34" ht="14">
      <c r="B216" s="97">
        <v>205</v>
      </c>
      <c r="C216" s="171"/>
      <c r="D216" s="58"/>
      <c r="E216" s="138"/>
      <c r="F216" s="275" t="str">
        <f>IF(D216="","",VLOOKUP(D216,'G-6 Hedgerow Data'!$B$2:$AG$15,2,FALSE))</f>
        <v/>
      </c>
      <c r="G216" s="299" t="str">
        <f>IF(D216="","",VLOOKUP(D216,'G-6 Hedgerow Data'!$B$2:$AG$15,3,FALSE))</f>
        <v/>
      </c>
      <c r="H216" s="53"/>
      <c r="I216" s="276" t="str">
        <f>IFERROR(IF(H216="","",IF(AND(D216="Non-native and ornamental hedgerow",H216&lt;&gt;"Poor"),"Not possible ▲",(IF(AND(F216="V.Low",OR(H216="Good",H216="Moderate")),"Error ▲",VLOOKUP(H216,'G-1 All Habitats'!$Z$2:$AA$9,2,FALSE))))),"")</f>
        <v/>
      </c>
      <c r="J216" s="102"/>
      <c r="K216" s="295" t="str">
        <f>IF(J216="","",IF(VLOOKUP(J216,'G-3 Multipliers'!$L$3:$N$6,2,FALSE)=0,"Spatial Data Missing",VLOOKUP(J216,'G-3 Multipliers'!$L$3:$N$6,2,FALSE)))</f>
        <v/>
      </c>
      <c r="L216" s="299" t="str">
        <f>IF(J216="","",IF(VLOOKUP(J216,'G-3 Multipliers'!$L$3:$N$6,3,FALSE)=0,"Spatial Data Missing",VLOOKUP(J216,'G-3 Multipliers'!$L$3:$N$6,3,FALSE)))</f>
        <v/>
      </c>
      <c r="M216" s="134"/>
      <c r="N216" s="276" t="str">
        <f>IF(M216="","",IF(VLOOKUP(M216,'G-3 Multipliers'!$S$3:$T$10,2,FALSE)=0,"Spatial Data Missing ⚠",VLOOKUP(M216,'G-3 Multipliers'!$S$3:$T$10,2,FALSE)))</f>
        <v/>
      </c>
      <c r="O216" s="275" t="str">
        <f>IF(OR(D216="",H216=""),"",(INDEX('G-6 Hedgerow Data'!$E$3:$I$15,MATCH(D216,'G-6 Hedgerow Data'!$B$3:$B$15,0),MATCH(H216,'G-6 Hedgerow Data'!$E$2:$I$2,0))))</f>
        <v/>
      </c>
      <c r="P216" s="133"/>
      <c r="Q216" s="133"/>
      <c r="R216" s="283" t="str">
        <f t="shared" si="22"/>
        <v/>
      </c>
      <c r="S216" s="296" t="str">
        <f t="shared" si="23"/>
        <v/>
      </c>
      <c r="T216" s="297" t="str">
        <f t="shared" si="21"/>
        <v/>
      </c>
      <c r="U216" s="311" t="str">
        <f>IF(D216="","",VLOOKUP(D216,'G-6 Hedgerow Data'!$B$3:$AG$15,31,FALSE))</f>
        <v/>
      </c>
      <c r="V216" s="295" t="str">
        <f t="shared" si="24"/>
        <v/>
      </c>
      <c r="W216" s="283" t="str">
        <f t="shared" si="25"/>
        <v/>
      </c>
      <c r="X216" s="299" t="str">
        <f>IF(F216="","",VLOOKUP(U216,'G-3 Multipliers'!$P$3:$Q$6,2,FALSE))</f>
        <v/>
      </c>
      <c r="Y216" s="303" t="str">
        <f t="shared" si="26"/>
        <v/>
      </c>
      <c r="Z216" s="303" t="str">
        <f t="shared" si="27"/>
        <v/>
      </c>
      <c r="AA216" s="101"/>
      <c r="AB216" s="938"/>
      <c r="AC216" s="138"/>
      <c r="AD216" s="138"/>
      <c r="AE216" s="934"/>
      <c r="AH216" s="30" t="str">
        <f>IFERROR(INDEX('G-6 Hedgerow Data'!$BJ$3:$BJ$15,MATCH(D216,'G-6 Hedgerow Data'!$B$3:$B$15,0)),"")</f>
        <v/>
      </c>
    </row>
    <row r="217" spans="2:34" ht="14">
      <c r="B217" s="97">
        <v>206</v>
      </c>
      <c r="C217" s="171"/>
      <c r="D217" s="58"/>
      <c r="E217" s="138"/>
      <c r="F217" s="275" t="str">
        <f>IF(D217="","",VLOOKUP(D217,'G-6 Hedgerow Data'!$B$2:$AG$15,2,FALSE))</f>
        <v/>
      </c>
      <c r="G217" s="299" t="str">
        <f>IF(D217="","",VLOOKUP(D217,'G-6 Hedgerow Data'!$B$2:$AG$15,3,FALSE))</f>
        <v/>
      </c>
      <c r="H217" s="53"/>
      <c r="I217" s="276" t="str">
        <f>IFERROR(IF(H217="","",IF(AND(D217="Non-native and ornamental hedgerow",H217&lt;&gt;"Poor"),"Not possible ▲",(IF(AND(F217="V.Low",OR(H217="Good",H217="Moderate")),"Error ▲",VLOOKUP(H217,'G-1 All Habitats'!$Z$2:$AA$9,2,FALSE))))),"")</f>
        <v/>
      </c>
      <c r="J217" s="102"/>
      <c r="K217" s="295" t="str">
        <f>IF(J217="","",IF(VLOOKUP(J217,'G-3 Multipliers'!$L$3:$N$6,2,FALSE)=0,"Spatial Data Missing",VLOOKUP(J217,'G-3 Multipliers'!$L$3:$N$6,2,FALSE)))</f>
        <v/>
      </c>
      <c r="L217" s="299" t="str">
        <f>IF(J217="","",IF(VLOOKUP(J217,'G-3 Multipliers'!$L$3:$N$6,3,FALSE)=0,"Spatial Data Missing",VLOOKUP(J217,'G-3 Multipliers'!$L$3:$N$6,3,FALSE)))</f>
        <v/>
      </c>
      <c r="M217" s="134"/>
      <c r="N217" s="276" t="str">
        <f>IF(M217="","",IF(VLOOKUP(M217,'G-3 Multipliers'!$S$3:$T$10,2,FALSE)=0,"Spatial Data Missing ⚠",VLOOKUP(M217,'G-3 Multipliers'!$S$3:$T$10,2,FALSE)))</f>
        <v/>
      </c>
      <c r="O217" s="275" t="str">
        <f>IF(OR(D217="",H217=""),"",(INDEX('G-6 Hedgerow Data'!$E$3:$I$15,MATCH(D217,'G-6 Hedgerow Data'!$B$3:$B$15,0),MATCH(H217,'G-6 Hedgerow Data'!$E$2:$I$2,0))))</f>
        <v/>
      </c>
      <c r="P217" s="133"/>
      <c r="Q217" s="133"/>
      <c r="R217" s="283" t="str">
        <f t="shared" si="22"/>
        <v/>
      </c>
      <c r="S217" s="296" t="str">
        <f t="shared" si="23"/>
        <v/>
      </c>
      <c r="T217" s="297" t="str">
        <f t="shared" si="21"/>
        <v/>
      </c>
      <c r="U217" s="311" t="str">
        <f>IF(D217="","",VLOOKUP(D217,'G-6 Hedgerow Data'!$B$3:$AG$15,31,FALSE))</f>
        <v/>
      </c>
      <c r="V217" s="295" t="str">
        <f t="shared" si="24"/>
        <v/>
      </c>
      <c r="W217" s="283" t="str">
        <f t="shared" si="25"/>
        <v/>
      </c>
      <c r="X217" s="299" t="str">
        <f>IF(F217="","",VLOOKUP(U217,'G-3 Multipliers'!$P$3:$Q$6,2,FALSE))</f>
        <v/>
      </c>
      <c r="Y217" s="303" t="str">
        <f t="shared" si="26"/>
        <v/>
      </c>
      <c r="Z217" s="303" t="str">
        <f t="shared" si="27"/>
        <v/>
      </c>
      <c r="AA217" s="101"/>
      <c r="AB217" s="938"/>
      <c r="AC217" s="138"/>
      <c r="AD217" s="138"/>
      <c r="AE217" s="934"/>
      <c r="AH217" s="30" t="str">
        <f>IFERROR(INDEX('G-6 Hedgerow Data'!$BJ$3:$BJ$15,MATCH(D217,'G-6 Hedgerow Data'!$B$3:$B$15,0)),"")</f>
        <v/>
      </c>
    </row>
    <row r="218" spans="2:34" ht="14">
      <c r="B218" s="97">
        <v>207</v>
      </c>
      <c r="C218" s="171"/>
      <c r="D218" s="58"/>
      <c r="E218" s="138"/>
      <c r="F218" s="275" t="str">
        <f>IF(D218="","",VLOOKUP(D218,'G-6 Hedgerow Data'!$B$2:$AG$15,2,FALSE))</f>
        <v/>
      </c>
      <c r="G218" s="299" t="str">
        <f>IF(D218="","",VLOOKUP(D218,'G-6 Hedgerow Data'!$B$2:$AG$15,3,FALSE))</f>
        <v/>
      </c>
      <c r="H218" s="53"/>
      <c r="I218" s="276" t="str">
        <f>IFERROR(IF(H218="","",IF(AND(D218="Non-native and ornamental hedgerow",H218&lt;&gt;"Poor"),"Not possible ▲",(IF(AND(F218="V.Low",OR(H218="Good",H218="Moderate")),"Error ▲",VLOOKUP(H218,'G-1 All Habitats'!$Z$2:$AA$9,2,FALSE))))),"")</f>
        <v/>
      </c>
      <c r="J218" s="102"/>
      <c r="K218" s="295" t="str">
        <f>IF(J218="","",IF(VLOOKUP(J218,'G-3 Multipliers'!$L$3:$N$6,2,FALSE)=0,"Spatial Data Missing",VLOOKUP(J218,'G-3 Multipliers'!$L$3:$N$6,2,FALSE)))</f>
        <v/>
      </c>
      <c r="L218" s="299" t="str">
        <f>IF(J218="","",IF(VLOOKUP(J218,'G-3 Multipliers'!$L$3:$N$6,3,FALSE)=0,"Spatial Data Missing",VLOOKUP(J218,'G-3 Multipliers'!$L$3:$N$6,3,FALSE)))</f>
        <v/>
      </c>
      <c r="M218" s="134"/>
      <c r="N218" s="276" t="str">
        <f>IF(M218="","",IF(VLOOKUP(M218,'G-3 Multipliers'!$S$3:$T$10,2,FALSE)=0,"Spatial Data Missing ⚠",VLOOKUP(M218,'G-3 Multipliers'!$S$3:$T$10,2,FALSE)))</f>
        <v/>
      </c>
      <c r="O218" s="275" t="str">
        <f>IF(OR(D218="",H218=""),"",(INDEX('G-6 Hedgerow Data'!$E$3:$I$15,MATCH(D218,'G-6 Hedgerow Data'!$B$3:$B$15,0),MATCH(H218,'G-6 Hedgerow Data'!$E$2:$I$2,0))))</f>
        <v/>
      </c>
      <c r="P218" s="133"/>
      <c r="Q218" s="133"/>
      <c r="R218" s="283" t="str">
        <f t="shared" si="22"/>
        <v/>
      </c>
      <c r="S218" s="296" t="str">
        <f t="shared" si="23"/>
        <v/>
      </c>
      <c r="T218" s="297" t="str">
        <f t="shared" si="21"/>
        <v/>
      </c>
      <c r="U218" s="311" t="str">
        <f>IF(D218="","",VLOOKUP(D218,'G-6 Hedgerow Data'!$B$3:$AG$15,31,FALSE))</f>
        <v/>
      </c>
      <c r="V218" s="295" t="str">
        <f t="shared" si="24"/>
        <v/>
      </c>
      <c r="W218" s="283" t="str">
        <f t="shared" si="25"/>
        <v/>
      </c>
      <c r="X218" s="299" t="str">
        <f>IF(F218="","",VLOOKUP(U218,'G-3 Multipliers'!$P$3:$Q$6,2,FALSE))</f>
        <v/>
      </c>
      <c r="Y218" s="303" t="str">
        <f t="shared" si="26"/>
        <v/>
      </c>
      <c r="Z218" s="303" t="str">
        <f t="shared" si="27"/>
        <v/>
      </c>
      <c r="AA218" s="101"/>
      <c r="AB218" s="938"/>
      <c r="AC218" s="138"/>
      <c r="AD218" s="138"/>
      <c r="AE218" s="934"/>
      <c r="AH218" s="30" t="str">
        <f>IFERROR(INDEX('G-6 Hedgerow Data'!$BJ$3:$BJ$15,MATCH(D218,'G-6 Hedgerow Data'!$B$3:$B$15,0)),"")</f>
        <v/>
      </c>
    </row>
    <row r="219" spans="2:34" ht="14">
      <c r="B219" s="97">
        <v>208</v>
      </c>
      <c r="C219" s="171"/>
      <c r="D219" s="58"/>
      <c r="E219" s="138"/>
      <c r="F219" s="275" t="str">
        <f>IF(D219="","",VLOOKUP(D219,'G-6 Hedgerow Data'!$B$2:$AG$15,2,FALSE))</f>
        <v/>
      </c>
      <c r="G219" s="299" t="str">
        <f>IF(D219="","",VLOOKUP(D219,'G-6 Hedgerow Data'!$B$2:$AG$15,3,FALSE))</f>
        <v/>
      </c>
      <c r="H219" s="53"/>
      <c r="I219" s="276" t="str">
        <f>IFERROR(IF(H219="","",IF(AND(D219="Non-native and ornamental hedgerow",H219&lt;&gt;"Poor"),"Not possible ▲",(IF(AND(F219="V.Low",OR(H219="Good",H219="Moderate")),"Error ▲",VLOOKUP(H219,'G-1 All Habitats'!$Z$2:$AA$9,2,FALSE))))),"")</f>
        <v/>
      </c>
      <c r="J219" s="102"/>
      <c r="K219" s="295" t="str">
        <f>IF(J219="","",IF(VLOOKUP(J219,'G-3 Multipliers'!$L$3:$N$6,2,FALSE)=0,"Spatial Data Missing",VLOOKUP(J219,'G-3 Multipliers'!$L$3:$N$6,2,FALSE)))</f>
        <v/>
      </c>
      <c r="L219" s="299" t="str">
        <f>IF(J219="","",IF(VLOOKUP(J219,'G-3 Multipliers'!$L$3:$N$6,3,FALSE)=0,"Spatial Data Missing",VLOOKUP(J219,'G-3 Multipliers'!$L$3:$N$6,3,FALSE)))</f>
        <v/>
      </c>
      <c r="M219" s="134"/>
      <c r="N219" s="276" t="str">
        <f>IF(M219="","",IF(VLOOKUP(M219,'G-3 Multipliers'!$S$3:$T$10,2,FALSE)=0,"Spatial Data Missing ⚠",VLOOKUP(M219,'G-3 Multipliers'!$S$3:$T$10,2,FALSE)))</f>
        <v/>
      </c>
      <c r="O219" s="275" t="str">
        <f>IF(OR(D219="",H219=""),"",(INDEX('G-6 Hedgerow Data'!$E$3:$I$15,MATCH(D219,'G-6 Hedgerow Data'!$B$3:$B$15,0),MATCH(H219,'G-6 Hedgerow Data'!$E$2:$I$2,0))))</f>
        <v/>
      </c>
      <c r="P219" s="133"/>
      <c r="Q219" s="133"/>
      <c r="R219" s="283" t="str">
        <f t="shared" si="22"/>
        <v/>
      </c>
      <c r="S219" s="296" t="str">
        <f t="shared" si="23"/>
        <v/>
      </c>
      <c r="T219" s="297" t="str">
        <f t="shared" si="21"/>
        <v/>
      </c>
      <c r="U219" s="311" t="str">
        <f>IF(D219="","",VLOOKUP(D219,'G-6 Hedgerow Data'!$B$3:$AG$15,31,FALSE))</f>
        <v/>
      </c>
      <c r="V219" s="295" t="str">
        <f t="shared" si="24"/>
        <v/>
      </c>
      <c r="W219" s="283" t="str">
        <f t="shared" si="25"/>
        <v/>
      </c>
      <c r="X219" s="299" t="str">
        <f>IF(F219="","",VLOOKUP(U219,'G-3 Multipliers'!$P$3:$Q$6,2,FALSE))</f>
        <v/>
      </c>
      <c r="Y219" s="303" t="str">
        <f t="shared" si="26"/>
        <v/>
      </c>
      <c r="Z219" s="303" t="str">
        <f t="shared" si="27"/>
        <v/>
      </c>
      <c r="AA219" s="101"/>
      <c r="AB219" s="938"/>
      <c r="AC219" s="138"/>
      <c r="AD219" s="138"/>
      <c r="AE219" s="934"/>
      <c r="AH219" s="30" t="str">
        <f>IFERROR(INDEX('G-6 Hedgerow Data'!$BJ$3:$BJ$15,MATCH(D219,'G-6 Hedgerow Data'!$B$3:$B$15,0)),"")</f>
        <v/>
      </c>
    </row>
    <row r="220" spans="2:34" ht="14">
      <c r="B220" s="97">
        <v>209</v>
      </c>
      <c r="C220" s="171"/>
      <c r="D220" s="58"/>
      <c r="E220" s="138"/>
      <c r="F220" s="275" t="str">
        <f>IF(D220="","",VLOOKUP(D220,'G-6 Hedgerow Data'!$B$2:$AG$15,2,FALSE))</f>
        <v/>
      </c>
      <c r="G220" s="299" t="str">
        <f>IF(D220="","",VLOOKUP(D220,'G-6 Hedgerow Data'!$B$2:$AG$15,3,FALSE))</f>
        <v/>
      </c>
      <c r="H220" s="53"/>
      <c r="I220" s="276" t="str">
        <f>IFERROR(IF(H220="","",IF(AND(D220="Non-native and ornamental hedgerow",H220&lt;&gt;"Poor"),"Not possible ▲",(IF(AND(F220="V.Low",OR(H220="Good",H220="Moderate")),"Error ▲",VLOOKUP(H220,'G-1 All Habitats'!$Z$2:$AA$9,2,FALSE))))),"")</f>
        <v/>
      </c>
      <c r="J220" s="102"/>
      <c r="K220" s="295" t="str">
        <f>IF(J220="","",IF(VLOOKUP(J220,'G-3 Multipliers'!$L$3:$N$6,2,FALSE)=0,"Spatial Data Missing",VLOOKUP(J220,'G-3 Multipliers'!$L$3:$N$6,2,FALSE)))</f>
        <v/>
      </c>
      <c r="L220" s="299" t="str">
        <f>IF(J220="","",IF(VLOOKUP(J220,'G-3 Multipliers'!$L$3:$N$6,3,FALSE)=0,"Spatial Data Missing",VLOOKUP(J220,'G-3 Multipliers'!$L$3:$N$6,3,FALSE)))</f>
        <v/>
      </c>
      <c r="M220" s="134"/>
      <c r="N220" s="276" t="str">
        <f>IF(M220="","",IF(VLOOKUP(M220,'G-3 Multipliers'!$S$3:$T$10,2,FALSE)=0,"Spatial Data Missing ⚠",VLOOKUP(M220,'G-3 Multipliers'!$S$3:$T$10,2,FALSE)))</f>
        <v/>
      </c>
      <c r="O220" s="275" t="str">
        <f>IF(OR(D220="",H220=""),"",(INDEX('G-6 Hedgerow Data'!$E$3:$I$15,MATCH(D220,'G-6 Hedgerow Data'!$B$3:$B$15,0),MATCH(H220,'G-6 Hedgerow Data'!$E$2:$I$2,0))))</f>
        <v/>
      </c>
      <c r="P220" s="133"/>
      <c r="Q220" s="133"/>
      <c r="R220" s="283" t="str">
        <f t="shared" si="22"/>
        <v/>
      </c>
      <c r="S220" s="296" t="str">
        <f t="shared" si="23"/>
        <v/>
      </c>
      <c r="T220" s="297" t="str">
        <f t="shared" si="21"/>
        <v/>
      </c>
      <c r="U220" s="311" t="str">
        <f>IF(D220="","",VLOOKUP(D220,'G-6 Hedgerow Data'!$B$3:$AG$15,31,FALSE))</f>
        <v/>
      </c>
      <c r="V220" s="295" t="str">
        <f t="shared" si="24"/>
        <v/>
      </c>
      <c r="W220" s="283" t="str">
        <f t="shared" si="25"/>
        <v/>
      </c>
      <c r="X220" s="299" t="str">
        <f>IF(F220="","",VLOOKUP(U220,'G-3 Multipliers'!$P$3:$Q$6,2,FALSE))</f>
        <v/>
      </c>
      <c r="Y220" s="303" t="str">
        <f t="shared" si="26"/>
        <v/>
      </c>
      <c r="Z220" s="303" t="str">
        <f t="shared" si="27"/>
        <v/>
      </c>
      <c r="AA220" s="101"/>
      <c r="AB220" s="938"/>
      <c r="AC220" s="138"/>
      <c r="AD220" s="138"/>
      <c r="AE220" s="934"/>
      <c r="AH220" s="30" t="str">
        <f>IFERROR(INDEX('G-6 Hedgerow Data'!$BJ$3:$BJ$15,MATCH(D220,'G-6 Hedgerow Data'!$B$3:$B$15,0)),"")</f>
        <v/>
      </c>
    </row>
    <row r="221" spans="2:34" ht="14">
      <c r="B221" s="97">
        <v>210</v>
      </c>
      <c r="C221" s="171"/>
      <c r="D221" s="58"/>
      <c r="E221" s="138"/>
      <c r="F221" s="275" t="str">
        <f>IF(D221="","",VLOOKUP(D221,'G-6 Hedgerow Data'!$B$2:$AG$15,2,FALSE))</f>
        <v/>
      </c>
      <c r="G221" s="299" t="str">
        <f>IF(D221="","",VLOOKUP(D221,'G-6 Hedgerow Data'!$B$2:$AG$15,3,FALSE))</f>
        <v/>
      </c>
      <c r="H221" s="53"/>
      <c r="I221" s="276" t="str">
        <f>IFERROR(IF(H221="","",IF(AND(D221="Non-native and ornamental hedgerow",H221&lt;&gt;"Poor"),"Not possible ▲",(IF(AND(F221="V.Low",OR(H221="Good",H221="Moderate")),"Error ▲",VLOOKUP(H221,'G-1 All Habitats'!$Z$2:$AA$9,2,FALSE))))),"")</f>
        <v/>
      </c>
      <c r="J221" s="102"/>
      <c r="K221" s="295" t="str">
        <f>IF(J221="","",IF(VLOOKUP(J221,'G-3 Multipliers'!$L$3:$N$6,2,FALSE)=0,"Spatial Data Missing",VLOOKUP(J221,'G-3 Multipliers'!$L$3:$N$6,2,FALSE)))</f>
        <v/>
      </c>
      <c r="L221" s="299" t="str">
        <f>IF(J221="","",IF(VLOOKUP(J221,'G-3 Multipliers'!$L$3:$N$6,3,FALSE)=0,"Spatial Data Missing",VLOOKUP(J221,'G-3 Multipliers'!$L$3:$N$6,3,FALSE)))</f>
        <v/>
      </c>
      <c r="M221" s="134"/>
      <c r="N221" s="276" t="str">
        <f>IF(M221="","",IF(VLOOKUP(M221,'G-3 Multipliers'!$S$3:$T$10,2,FALSE)=0,"Spatial Data Missing ⚠",VLOOKUP(M221,'G-3 Multipliers'!$S$3:$T$10,2,FALSE)))</f>
        <v/>
      </c>
      <c r="O221" s="275" t="str">
        <f>IF(OR(D221="",H221=""),"",(INDEX('G-6 Hedgerow Data'!$E$3:$I$15,MATCH(D221,'G-6 Hedgerow Data'!$B$3:$B$15,0),MATCH(H221,'G-6 Hedgerow Data'!$E$2:$I$2,0))))</f>
        <v/>
      </c>
      <c r="P221" s="133"/>
      <c r="Q221" s="133"/>
      <c r="R221" s="283" t="str">
        <f t="shared" si="22"/>
        <v/>
      </c>
      <c r="S221" s="296" t="str">
        <f t="shared" si="23"/>
        <v/>
      </c>
      <c r="T221" s="297" t="str">
        <f t="shared" si="21"/>
        <v/>
      </c>
      <c r="U221" s="311" t="str">
        <f>IF(D221="","",VLOOKUP(D221,'G-6 Hedgerow Data'!$B$3:$AG$15,31,FALSE))</f>
        <v/>
      </c>
      <c r="V221" s="295" t="str">
        <f t="shared" si="24"/>
        <v/>
      </c>
      <c r="W221" s="283" t="str">
        <f t="shared" si="25"/>
        <v/>
      </c>
      <c r="X221" s="299" t="str">
        <f>IF(F221="","",VLOOKUP(U221,'G-3 Multipliers'!$P$3:$Q$6,2,FALSE))</f>
        <v/>
      </c>
      <c r="Y221" s="303" t="str">
        <f t="shared" si="26"/>
        <v/>
      </c>
      <c r="Z221" s="303" t="str">
        <f t="shared" si="27"/>
        <v/>
      </c>
      <c r="AA221" s="101"/>
      <c r="AB221" s="938"/>
      <c r="AC221" s="138"/>
      <c r="AD221" s="138"/>
      <c r="AE221" s="934"/>
      <c r="AH221" s="30" t="str">
        <f>IFERROR(INDEX('G-6 Hedgerow Data'!$BJ$3:$BJ$15,MATCH(D221,'G-6 Hedgerow Data'!$B$3:$B$15,0)),"")</f>
        <v/>
      </c>
    </row>
    <row r="222" spans="2:34" ht="14">
      <c r="B222" s="97">
        <v>211</v>
      </c>
      <c r="C222" s="171"/>
      <c r="D222" s="58"/>
      <c r="E222" s="138"/>
      <c r="F222" s="275" t="str">
        <f>IF(D222="","",VLOOKUP(D222,'G-6 Hedgerow Data'!$B$2:$AG$15,2,FALSE))</f>
        <v/>
      </c>
      <c r="G222" s="299" t="str">
        <f>IF(D222="","",VLOOKUP(D222,'G-6 Hedgerow Data'!$B$2:$AG$15,3,FALSE))</f>
        <v/>
      </c>
      <c r="H222" s="53"/>
      <c r="I222" s="276" t="str">
        <f>IFERROR(IF(H222="","",IF(AND(D222="Non-native and ornamental hedgerow",H222&lt;&gt;"Poor"),"Not possible ▲",(IF(AND(F222="V.Low",OR(H222="Good",H222="Moderate")),"Error ▲",VLOOKUP(H222,'G-1 All Habitats'!$Z$2:$AA$9,2,FALSE))))),"")</f>
        <v/>
      </c>
      <c r="J222" s="102"/>
      <c r="K222" s="295" t="str">
        <f>IF(J222="","",IF(VLOOKUP(J222,'G-3 Multipliers'!$L$3:$N$6,2,FALSE)=0,"Spatial Data Missing",VLOOKUP(J222,'G-3 Multipliers'!$L$3:$N$6,2,FALSE)))</f>
        <v/>
      </c>
      <c r="L222" s="299" t="str">
        <f>IF(J222="","",IF(VLOOKUP(J222,'G-3 Multipliers'!$L$3:$N$6,3,FALSE)=0,"Spatial Data Missing",VLOOKUP(J222,'G-3 Multipliers'!$L$3:$N$6,3,FALSE)))</f>
        <v/>
      </c>
      <c r="M222" s="134"/>
      <c r="N222" s="276" t="str">
        <f>IF(M222="","",IF(VLOOKUP(M222,'G-3 Multipliers'!$S$3:$T$10,2,FALSE)=0,"Spatial Data Missing ⚠",VLOOKUP(M222,'G-3 Multipliers'!$S$3:$T$10,2,FALSE)))</f>
        <v/>
      </c>
      <c r="O222" s="275" t="str">
        <f>IF(OR(D222="",H222=""),"",(INDEX('G-6 Hedgerow Data'!$E$3:$I$15,MATCH(D222,'G-6 Hedgerow Data'!$B$3:$B$15,0),MATCH(H222,'G-6 Hedgerow Data'!$E$2:$I$2,0))))</f>
        <v/>
      </c>
      <c r="P222" s="133"/>
      <c r="Q222" s="133"/>
      <c r="R222" s="283" t="str">
        <f t="shared" si="22"/>
        <v/>
      </c>
      <c r="S222" s="296" t="str">
        <f t="shared" si="23"/>
        <v/>
      </c>
      <c r="T222" s="297" t="str">
        <f t="shared" si="21"/>
        <v/>
      </c>
      <c r="U222" s="311" t="str">
        <f>IF(D222="","",VLOOKUP(D222,'G-6 Hedgerow Data'!$B$3:$AG$15,31,FALSE))</f>
        <v/>
      </c>
      <c r="V222" s="295" t="str">
        <f t="shared" si="24"/>
        <v/>
      </c>
      <c r="W222" s="283" t="str">
        <f t="shared" si="25"/>
        <v/>
      </c>
      <c r="X222" s="299" t="str">
        <f>IF(F222="","",VLOOKUP(U222,'G-3 Multipliers'!$P$3:$Q$6,2,FALSE))</f>
        <v/>
      </c>
      <c r="Y222" s="303" t="str">
        <f t="shared" si="26"/>
        <v/>
      </c>
      <c r="Z222" s="303" t="str">
        <f t="shared" si="27"/>
        <v/>
      </c>
      <c r="AA222" s="101"/>
      <c r="AB222" s="938"/>
      <c r="AC222" s="138"/>
      <c r="AD222" s="138"/>
      <c r="AE222" s="934"/>
      <c r="AH222" s="30" t="str">
        <f>IFERROR(INDEX('G-6 Hedgerow Data'!$BJ$3:$BJ$15,MATCH(D222,'G-6 Hedgerow Data'!$B$3:$B$15,0)),"")</f>
        <v/>
      </c>
    </row>
    <row r="223" spans="2:34" ht="14">
      <c r="B223" s="97">
        <v>212</v>
      </c>
      <c r="C223" s="171"/>
      <c r="D223" s="58"/>
      <c r="E223" s="138"/>
      <c r="F223" s="275" t="str">
        <f>IF(D223="","",VLOOKUP(D223,'G-6 Hedgerow Data'!$B$2:$AG$15,2,FALSE))</f>
        <v/>
      </c>
      <c r="G223" s="299" t="str">
        <f>IF(D223="","",VLOOKUP(D223,'G-6 Hedgerow Data'!$B$2:$AG$15,3,FALSE))</f>
        <v/>
      </c>
      <c r="H223" s="53"/>
      <c r="I223" s="276" t="str">
        <f>IFERROR(IF(H223="","",IF(AND(D223="Non-native and ornamental hedgerow",H223&lt;&gt;"Poor"),"Not possible ▲",(IF(AND(F223="V.Low",OR(H223="Good",H223="Moderate")),"Error ▲",VLOOKUP(H223,'G-1 All Habitats'!$Z$2:$AA$9,2,FALSE))))),"")</f>
        <v/>
      </c>
      <c r="J223" s="102"/>
      <c r="K223" s="295" t="str">
        <f>IF(J223="","",IF(VLOOKUP(J223,'G-3 Multipliers'!$L$3:$N$6,2,FALSE)=0,"Spatial Data Missing",VLOOKUP(J223,'G-3 Multipliers'!$L$3:$N$6,2,FALSE)))</f>
        <v/>
      </c>
      <c r="L223" s="299" t="str">
        <f>IF(J223="","",IF(VLOOKUP(J223,'G-3 Multipliers'!$L$3:$N$6,3,FALSE)=0,"Spatial Data Missing",VLOOKUP(J223,'G-3 Multipliers'!$L$3:$N$6,3,FALSE)))</f>
        <v/>
      </c>
      <c r="M223" s="134"/>
      <c r="N223" s="276" t="str">
        <f>IF(M223="","",IF(VLOOKUP(M223,'G-3 Multipliers'!$S$3:$T$10,2,FALSE)=0,"Spatial Data Missing ⚠",VLOOKUP(M223,'G-3 Multipliers'!$S$3:$T$10,2,FALSE)))</f>
        <v/>
      </c>
      <c r="O223" s="275" t="str">
        <f>IF(OR(D223="",H223=""),"",(INDEX('G-6 Hedgerow Data'!$E$3:$I$15,MATCH(D223,'G-6 Hedgerow Data'!$B$3:$B$15,0),MATCH(H223,'G-6 Hedgerow Data'!$E$2:$I$2,0))))</f>
        <v/>
      </c>
      <c r="P223" s="133"/>
      <c r="Q223" s="133"/>
      <c r="R223" s="283" t="str">
        <f t="shared" si="22"/>
        <v/>
      </c>
      <c r="S223" s="296" t="str">
        <f t="shared" si="23"/>
        <v/>
      </c>
      <c r="T223" s="297" t="str">
        <f t="shared" si="21"/>
        <v/>
      </c>
      <c r="U223" s="311" t="str">
        <f>IF(D223="","",VLOOKUP(D223,'G-6 Hedgerow Data'!$B$3:$AG$15,31,FALSE))</f>
        <v/>
      </c>
      <c r="V223" s="295" t="str">
        <f t="shared" si="24"/>
        <v/>
      </c>
      <c r="W223" s="283" t="str">
        <f t="shared" si="25"/>
        <v/>
      </c>
      <c r="X223" s="299" t="str">
        <f>IF(F223="","",VLOOKUP(U223,'G-3 Multipliers'!$P$3:$Q$6,2,FALSE))</f>
        <v/>
      </c>
      <c r="Y223" s="303" t="str">
        <f t="shared" si="26"/>
        <v/>
      </c>
      <c r="Z223" s="303" t="str">
        <f t="shared" si="27"/>
        <v/>
      </c>
      <c r="AA223" s="101"/>
      <c r="AB223" s="938"/>
      <c r="AC223" s="138"/>
      <c r="AD223" s="138"/>
      <c r="AE223" s="934"/>
      <c r="AH223" s="30" t="str">
        <f>IFERROR(INDEX('G-6 Hedgerow Data'!$BJ$3:$BJ$15,MATCH(D223,'G-6 Hedgerow Data'!$B$3:$B$15,0)),"")</f>
        <v/>
      </c>
    </row>
    <row r="224" spans="2:34" ht="14">
      <c r="B224" s="97">
        <v>213</v>
      </c>
      <c r="C224" s="171"/>
      <c r="D224" s="58"/>
      <c r="E224" s="138"/>
      <c r="F224" s="275" t="str">
        <f>IF(D224="","",VLOOKUP(D224,'G-6 Hedgerow Data'!$B$2:$AG$15,2,FALSE))</f>
        <v/>
      </c>
      <c r="G224" s="299" t="str">
        <f>IF(D224="","",VLOOKUP(D224,'G-6 Hedgerow Data'!$B$2:$AG$15,3,FALSE))</f>
        <v/>
      </c>
      <c r="H224" s="53"/>
      <c r="I224" s="276" t="str">
        <f>IFERROR(IF(H224="","",IF(AND(D224="Non-native and ornamental hedgerow",H224&lt;&gt;"Poor"),"Not possible ▲",(IF(AND(F224="V.Low",OR(H224="Good",H224="Moderate")),"Error ▲",VLOOKUP(H224,'G-1 All Habitats'!$Z$2:$AA$9,2,FALSE))))),"")</f>
        <v/>
      </c>
      <c r="J224" s="102"/>
      <c r="K224" s="295" t="str">
        <f>IF(J224="","",IF(VLOOKUP(J224,'G-3 Multipliers'!$L$3:$N$6,2,FALSE)=0,"Spatial Data Missing",VLOOKUP(J224,'G-3 Multipliers'!$L$3:$N$6,2,FALSE)))</f>
        <v/>
      </c>
      <c r="L224" s="299" t="str">
        <f>IF(J224="","",IF(VLOOKUP(J224,'G-3 Multipliers'!$L$3:$N$6,3,FALSE)=0,"Spatial Data Missing",VLOOKUP(J224,'G-3 Multipliers'!$L$3:$N$6,3,FALSE)))</f>
        <v/>
      </c>
      <c r="M224" s="134"/>
      <c r="N224" s="276" t="str">
        <f>IF(M224="","",IF(VLOOKUP(M224,'G-3 Multipliers'!$S$3:$T$10,2,FALSE)=0,"Spatial Data Missing ⚠",VLOOKUP(M224,'G-3 Multipliers'!$S$3:$T$10,2,FALSE)))</f>
        <v/>
      </c>
      <c r="O224" s="275" t="str">
        <f>IF(OR(D224="",H224=""),"",(INDEX('G-6 Hedgerow Data'!$E$3:$I$15,MATCH(D224,'G-6 Hedgerow Data'!$B$3:$B$15,0),MATCH(H224,'G-6 Hedgerow Data'!$E$2:$I$2,0))))</f>
        <v/>
      </c>
      <c r="P224" s="133"/>
      <c r="Q224" s="133"/>
      <c r="R224" s="283" t="str">
        <f t="shared" si="22"/>
        <v/>
      </c>
      <c r="S224" s="296" t="str">
        <f t="shared" si="23"/>
        <v/>
      </c>
      <c r="T224" s="297" t="str">
        <f t="shared" si="21"/>
        <v/>
      </c>
      <c r="U224" s="311" t="str">
        <f>IF(D224="","",VLOOKUP(D224,'G-6 Hedgerow Data'!$B$3:$AG$15,31,FALSE))</f>
        <v/>
      </c>
      <c r="V224" s="295" t="str">
        <f t="shared" si="24"/>
        <v/>
      </c>
      <c r="W224" s="283" t="str">
        <f t="shared" si="25"/>
        <v/>
      </c>
      <c r="X224" s="299" t="str">
        <f>IF(F224="","",VLOOKUP(U224,'G-3 Multipliers'!$P$3:$Q$6,2,FALSE))</f>
        <v/>
      </c>
      <c r="Y224" s="303" t="str">
        <f t="shared" si="26"/>
        <v/>
      </c>
      <c r="Z224" s="303" t="str">
        <f t="shared" si="27"/>
        <v/>
      </c>
      <c r="AA224" s="101"/>
      <c r="AB224" s="938"/>
      <c r="AC224" s="138"/>
      <c r="AD224" s="138"/>
      <c r="AE224" s="934"/>
      <c r="AH224" s="30" t="str">
        <f>IFERROR(INDEX('G-6 Hedgerow Data'!$BJ$3:$BJ$15,MATCH(D224,'G-6 Hedgerow Data'!$B$3:$B$15,0)),"")</f>
        <v/>
      </c>
    </row>
    <row r="225" spans="2:34" ht="14">
      <c r="B225" s="97">
        <v>214</v>
      </c>
      <c r="C225" s="171"/>
      <c r="D225" s="58"/>
      <c r="E225" s="138"/>
      <c r="F225" s="275" t="str">
        <f>IF(D225="","",VLOOKUP(D225,'G-6 Hedgerow Data'!$B$2:$AG$15,2,FALSE))</f>
        <v/>
      </c>
      <c r="G225" s="299" t="str">
        <f>IF(D225="","",VLOOKUP(D225,'G-6 Hedgerow Data'!$B$2:$AG$15,3,FALSE))</f>
        <v/>
      </c>
      <c r="H225" s="53"/>
      <c r="I225" s="276" t="str">
        <f>IFERROR(IF(H225="","",IF(AND(D225="Non-native and ornamental hedgerow",H225&lt;&gt;"Poor"),"Not possible ▲",(IF(AND(F225="V.Low",OR(H225="Good",H225="Moderate")),"Error ▲",VLOOKUP(H225,'G-1 All Habitats'!$Z$2:$AA$9,2,FALSE))))),"")</f>
        <v/>
      </c>
      <c r="J225" s="102"/>
      <c r="K225" s="295" t="str">
        <f>IF(J225="","",IF(VLOOKUP(J225,'G-3 Multipliers'!$L$3:$N$6,2,FALSE)=0,"Spatial Data Missing",VLOOKUP(J225,'G-3 Multipliers'!$L$3:$N$6,2,FALSE)))</f>
        <v/>
      </c>
      <c r="L225" s="299" t="str">
        <f>IF(J225="","",IF(VLOOKUP(J225,'G-3 Multipliers'!$L$3:$N$6,3,FALSE)=0,"Spatial Data Missing",VLOOKUP(J225,'G-3 Multipliers'!$L$3:$N$6,3,FALSE)))</f>
        <v/>
      </c>
      <c r="M225" s="134"/>
      <c r="N225" s="276" t="str">
        <f>IF(M225="","",IF(VLOOKUP(M225,'G-3 Multipliers'!$S$3:$T$10,2,FALSE)=0,"Spatial Data Missing ⚠",VLOOKUP(M225,'G-3 Multipliers'!$S$3:$T$10,2,FALSE)))</f>
        <v/>
      </c>
      <c r="O225" s="275" t="str">
        <f>IF(OR(D225="",H225=""),"",(INDEX('G-6 Hedgerow Data'!$E$3:$I$15,MATCH(D225,'G-6 Hedgerow Data'!$B$3:$B$15,0),MATCH(H225,'G-6 Hedgerow Data'!$E$2:$I$2,0))))</f>
        <v/>
      </c>
      <c r="P225" s="133"/>
      <c r="Q225" s="133"/>
      <c r="R225" s="283" t="str">
        <f t="shared" si="22"/>
        <v/>
      </c>
      <c r="S225" s="296" t="str">
        <f t="shared" si="23"/>
        <v/>
      </c>
      <c r="T225" s="297" t="str">
        <f t="shared" si="21"/>
        <v/>
      </c>
      <c r="U225" s="311" t="str">
        <f>IF(D225="","",VLOOKUP(D225,'G-6 Hedgerow Data'!$B$3:$AG$15,31,FALSE))</f>
        <v/>
      </c>
      <c r="V225" s="295" t="str">
        <f t="shared" si="24"/>
        <v/>
      </c>
      <c r="W225" s="283" t="str">
        <f t="shared" si="25"/>
        <v/>
      </c>
      <c r="X225" s="299" t="str">
        <f>IF(F225="","",VLOOKUP(U225,'G-3 Multipliers'!$P$3:$Q$6,2,FALSE))</f>
        <v/>
      </c>
      <c r="Y225" s="303" t="str">
        <f t="shared" si="26"/>
        <v/>
      </c>
      <c r="Z225" s="303" t="str">
        <f t="shared" si="27"/>
        <v/>
      </c>
      <c r="AA225" s="101"/>
      <c r="AB225" s="938"/>
      <c r="AC225" s="138"/>
      <c r="AD225" s="138"/>
      <c r="AE225" s="934"/>
      <c r="AH225" s="30" t="str">
        <f>IFERROR(INDEX('G-6 Hedgerow Data'!$BJ$3:$BJ$15,MATCH(D225,'G-6 Hedgerow Data'!$B$3:$B$15,0)),"")</f>
        <v/>
      </c>
    </row>
    <row r="226" spans="2:34" ht="14">
      <c r="B226" s="97">
        <v>215</v>
      </c>
      <c r="C226" s="171"/>
      <c r="D226" s="58"/>
      <c r="E226" s="138"/>
      <c r="F226" s="275" t="str">
        <f>IF(D226="","",VLOOKUP(D226,'G-6 Hedgerow Data'!$B$2:$AG$15,2,FALSE))</f>
        <v/>
      </c>
      <c r="G226" s="299" t="str">
        <f>IF(D226="","",VLOOKUP(D226,'G-6 Hedgerow Data'!$B$2:$AG$15,3,FALSE))</f>
        <v/>
      </c>
      <c r="H226" s="53"/>
      <c r="I226" s="276" t="str">
        <f>IFERROR(IF(H226="","",IF(AND(D226="Non-native and ornamental hedgerow",H226&lt;&gt;"Poor"),"Not possible ▲",(IF(AND(F226="V.Low",OR(H226="Good",H226="Moderate")),"Error ▲",VLOOKUP(H226,'G-1 All Habitats'!$Z$2:$AA$9,2,FALSE))))),"")</f>
        <v/>
      </c>
      <c r="J226" s="102"/>
      <c r="K226" s="295" t="str">
        <f>IF(J226="","",IF(VLOOKUP(J226,'G-3 Multipliers'!$L$3:$N$6,2,FALSE)=0,"Spatial Data Missing",VLOOKUP(J226,'G-3 Multipliers'!$L$3:$N$6,2,FALSE)))</f>
        <v/>
      </c>
      <c r="L226" s="299" t="str">
        <f>IF(J226="","",IF(VLOOKUP(J226,'G-3 Multipliers'!$L$3:$N$6,3,FALSE)=0,"Spatial Data Missing",VLOOKUP(J226,'G-3 Multipliers'!$L$3:$N$6,3,FALSE)))</f>
        <v/>
      </c>
      <c r="M226" s="134"/>
      <c r="N226" s="276" t="str">
        <f>IF(M226="","",IF(VLOOKUP(M226,'G-3 Multipliers'!$S$3:$T$10,2,FALSE)=0,"Spatial Data Missing ⚠",VLOOKUP(M226,'G-3 Multipliers'!$S$3:$T$10,2,FALSE)))</f>
        <v/>
      </c>
      <c r="O226" s="275" t="str">
        <f>IF(OR(D226="",H226=""),"",(INDEX('G-6 Hedgerow Data'!$E$3:$I$15,MATCH(D226,'G-6 Hedgerow Data'!$B$3:$B$15,0),MATCH(H226,'G-6 Hedgerow Data'!$E$2:$I$2,0))))</f>
        <v/>
      </c>
      <c r="P226" s="133"/>
      <c r="Q226" s="133"/>
      <c r="R226" s="283" t="str">
        <f t="shared" si="22"/>
        <v/>
      </c>
      <c r="S226" s="296" t="str">
        <f t="shared" si="23"/>
        <v/>
      </c>
      <c r="T226" s="297" t="str">
        <f t="shared" si="21"/>
        <v/>
      </c>
      <c r="U226" s="311" t="str">
        <f>IF(D226="","",VLOOKUP(D226,'G-6 Hedgerow Data'!$B$3:$AG$15,31,FALSE))</f>
        <v/>
      </c>
      <c r="V226" s="295" t="str">
        <f t="shared" si="24"/>
        <v/>
      </c>
      <c r="W226" s="283" t="str">
        <f t="shared" si="25"/>
        <v/>
      </c>
      <c r="X226" s="299" t="str">
        <f>IF(F226="","",VLOOKUP(U226,'G-3 Multipliers'!$P$3:$Q$6,2,FALSE))</f>
        <v/>
      </c>
      <c r="Y226" s="303" t="str">
        <f t="shared" si="26"/>
        <v/>
      </c>
      <c r="Z226" s="303" t="str">
        <f t="shared" si="27"/>
        <v/>
      </c>
      <c r="AA226" s="101"/>
      <c r="AB226" s="938"/>
      <c r="AC226" s="138"/>
      <c r="AD226" s="138"/>
      <c r="AE226" s="934"/>
      <c r="AH226" s="30" t="str">
        <f>IFERROR(INDEX('G-6 Hedgerow Data'!$BJ$3:$BJ$15,MATCH(D226,'G-6 Hedgerow Data'!$B$3:$B$15,0)),"")</f>
        <v/>
      </c>
    </row>
    <row r="227" spans="2:34" ht="14">
      <c r="B227" s="97">
        <v>216</v>
      </c>
      <c r="C227" s="171"/>
      <c r="D227" s="58"/>
      <c r="E227" s="138"/>
      <c r="F227" s="275" t="str">
        <f>IF(D227="","",VLOOKUP(D227,'G-6 Hedgerow Data'!$B$2:$AG$15,2,FALSE))</f>
        <v/>
      </c>
      <c r="G227" s="299" t="str">
        <f>IF(D227="","",VLOOKUP(D227,'G-6 Hedgerow Data'!$B$2:$AG$15,3,FALSE))</f>
        <v/>
      </c>
      <c r="H227" s="53"/>
      <c r="I227" s="276" t="str">
        <f>IFERROR(IF(H227="","",IF(AND(D227="Non-native and ornamental hedgerow",H227&lt;&gt;"Poor"),"Not possible ▲",(IF(AND(F227="V.Low",OR(H227="Good",H227="Moderate")),"Error ▲",VLOOKUP(H227,'G-1 All Habitats'!$Z$2:$AA$9,2,FALSE))))),"")</f>
        <v/>
      </c>
      <c r="J227" s="102"/>
      <c r="K227" s="295" t="str">
        <f>IF(J227="","",IF(VLOOKUP(J227,'G-3 Multipliers'!$L$3:$N$6,2,FALSE)=0,"Spatial Data Missing",VLOOKUP(J227,'G-3 Multipliers'!$L$3:$N$6,2,FALSE)))</f>
        <v/>
      </c>
      <c r="L227" s="299" t="str">
        <f>IF(J227="","",IF(VLOOKUP(J227,'G-3 Multipliers'!$L$3:$N$6,3,FALSE)=0,"Spatial Data Missing",VLOOKUP(J227,'G-3 Multipliers'!$L$3:$N$6,3,FALSE)))</f>
        <v/>
      </c>
      <c r="M227" s="134"/>
      <c r="N227" s="276" t="str">
        <f>IF(M227="","",IF(VLOOKUP(M227,'G-3 Multipliers'!$S$3:$T$10,2,FALSE)=0,"Spatial Data Missing ⚠",VLOOKUP(M227,'G-3 Multipliers'!$S$3:$T$10,2,FALSE)))</f>
        <v/>
      </c>
      <c r="O227" s="275" t="str">
        <f>IF(OR(D227="",H227=""),"",(INDEX('G-6 Hedgerow Data'!$E$3:$I$15,MATCH(D227,'G-6 Hedgerow Data'!$B$3:$B$15,0),MATCH(H227,'G-6 Hedgerow Data'!$E$2:$I$2,0))))</f>
        <v/>
      </c>
      <c r="P227" s="133"/>
      <c r="Q227" s="133"/>
      <c r="R227" s="283" t="str">
        <f t="shared" si="22"/>
        <v/>
      </c>
      <c r="S227" s="296" t="str">
        <f t="shared" si="23"/>
        <v/>
      </c>
      <c r="T227" s="297" t="str">
        <f t="shared" si="21"/>
        <v/>
      </c>
      <c r="U227" s="311" t="str">
        <f>IF(D227="","",VLOOKUP(D227,'G-6 Hedgerow Data'!$B$3:$AG$15,31,FALSE))</f>
        <v/>
      </c>
      <c r="V227" s="295" t="str">
        <f t="shared" si="24"/>
        <v/>
      </c>
      <c r="W227" s="283" t="str">
        <f t="shared" si="25"/>
        <v/>
      </c>
      <c r="X227" s="299" t="str">
        <f>IF(F227="","",VLOOKUP(U227,'G-3 Multipliers'!$P$3:$Q$6,2,FALSE))</f>
        <v/>
      </c>
      <c r="Y227" s="303" t="str">
        <f t="shared" si="26"/>
        <v/>
      </c>
      <c r="Z227" s="303" t="str">
        <f t="shared" si="27"/>
        <v/>
      </c>
      <c r="AA227" s="101"/>
      <c r="AB227" s="938"/>
      <c r="AC227" s="138"/>
      <c r="AD227" s="138"/>
      <c r="AE227" s="934"/>
      <c r="AH227" s="30" t="str">
        <f>IFERROR(INDEX('G-6 Hedgerow Data'!$BJ$3:$BJ$15,MATCH(D227,'G-6 Hedgerow Data'!$B$3:$B$15,0)),"")</f>
        <v/>
      </c>
    </row>
    <row r="228" spans="2:34" ht="14">
      <c r="B228" s="97">
        <v>217</v>
      </c>
      <c r="C228" s="171"/>
      <c r="D228" s="58"/>
      <c r="E228" s="138"/>
      <c r="F228" s="275" t="str">
        <f>IF(D228="","",VLOOKUP(D228,'G-6 Hedgerow Data'!$B$2:$AG$15,2,FALSE))</f>
        <v/>
      </c>
      <c r="G228" s="299" t="str">
        <f>IF(D228="","",VLOOKUP(D228,'G-6 Hedgerow Data'!$B$2:$AG$15,3,FALSE))</f>
        <v/>
      </c>
      <c r="H228" s="53"/>
      <c r="I228" s="276" t="str">
        <f>IFERROR(IF(H228="","",IF(AND(D228="Non-native and ornamental hedgerow",H228&lt;&gt;"Poor"),"Not possible ▲",(IF(AND(F228="V.Low",OR(H228="Good",H228="Moderate")),"Error ▲",VLOOKUP(H228,'G-1 All Habitats'!$Z$2:$AA$9,2,FALSE))))),"")</f>
        <v/>
      </c>
      <c r="J228" s="102"/>
      <c r="K228" s="295" t="str">
        <f>IF(J228="","",IF(VLOOKUP(J228,'G-3 Multipliers'!$L$3:$N$6,2,FALSE)=0,"Spatial Data Missing",VLOOKUP(J228,'G-3 Multipliers'!$L$3:$N$6,2,FALSE)))</f>
        <v/>
      </c>
      <c r="L228" s="299" t="str">
        <f>IF(J228="","",IF(VLOOKUP(J228,'G-3 Multipliers'!$L$3:$N$6,3,FALSE)=0,"Spatial Data Missing",VLOOKUP(J228,'G-3 Multipliers'!$L$3:$N$6,3,FALSE)))</f>
        <v/>
      </c>
      <c r="M228" s="134"/>
      <c r="N228" s="276" t="str">
        <f>IF(M228="","",IF(VLOOKUP(M228,'G-3 Multipliers'!$S$3:$T$10,2,FALSE)=0,"Spatial Data Missing ⚠",VLOOKUP(M228,'G-3 Multipliers'!$S$3:$T$10,2,FALSE)))</f>
        <v/>
      </c>
      <c r="O228" s="275" t="str">
        <f>IF(OR(D228="",H228=""),"",(INDEX('G-6 Hedgerow Data'!$E$3:$I$15,MATCH(D228,'G-6 Hedgerow Data'!$B$3:$B$15,0),MATCH(H228,'G-6 Hedgerow Data'!$E$2:$I$2,0))))</f>
        <v/>
      </c>
      <c r="P228" s="133"/>
      <c r="Q228" s="133"/>
      <c r="R228" s="283" t="str">
        <f t="shared" si="22"/>
        <v/>
      </c>
      <c r="S228" s="296" t="str">
        <f t="shared" si="23"/>
        <v/>
      </c>
      <c r="T228" s="297" t="str">
        <f t="shared" si="21"/>
        <v/>
      </c>
      <c r="U228" s="311" t="str">
        <f>IF(D228="","",VLOOKUP(D228,'G-6 Hedgerow Data'!$B$3:$AG$15,31,FALSE))</f>
        <v/>
      </c>
      <c r="V228" s="295" t="str">
        <f t="shared" si="24"/>
        <v/>
      </c>
      <c r="W228" s="283" t="str">
        <f t="shared" si="25"/>
        <v/>
      </c>
      <c r="X228" s="299" t="str">
        <f>IF(F228="","",VLOOKUP(U228,'G-3 Multipliers'!$P$3:$Q$6,2,FALSE))</f>
        <v/>
      </c>
      <c r="Y228" s="303" t="str">
        <f t="shared" si="26"/>
        <v/>
      </c>
      <c r="Z228" s="303" t="str">
        <f t="shared" si="27"/>
        <v/>
      </c>
      <c r="AA228" s="101"/>
      <c r="AB228" s="938"/>
      <c r="AC228" s="138"/>
      <c r="AD228" s="138"/>
      <c r="AE228" s="934"/>
      <c r="AH228" s="30" t="str">
        <f>IFERROR(INDEX('G-6 Hedgerow Data'!$BJ$3:$BJ$15,MATCH(D228,'G-6 Hedgerow Data'!$B$3:$B$15,0)),"")</f>
        <v/>
      </c>
    </row>
    <row r="229" spans="2:34" ht="14">
      <c r="B229" s="97">
        <v>218</v>
      </c>
      <c r="C229" s="171"/>
      <c r="D229" s="58"/>
      <c r="E229" s="138"/>
      <c r="F229" s="275" t="str">
        <f>IF(D229="","",VLOOKUP(D229,'G-6 Hedgerow Data'!$B$2:$AG$15,2,FALSE))</f>
        <v/>
      </c>
      <c r="G229" s="299" t="str">
        <f>IF(D229="","",VLOOKUP(D229,'G-6 Hedgerow Data'!$B$2:$AG$15,3,FALSE))</f>
        <v/>
      </c>
      <c r="H229" s="53"/>
      <c r="I229" s="276" t="str">
        <f>IFERROR(IF(H229="","",IF(AND(D229="Non-native and ornamental hedgerow",H229&lt;&gt;"Poor"),"Not possible ▲",(IF(AND(F229="V.Low",OR(H229="Good",H229="Moderate")),"Error ▲",VLOOKUP(H229,'G-1 All Habitats'!$Z$2:$AA$9,2,FALSE))))),"")</f>
        <v/>
      </c>
      <c r="J229" s="102"/>
      <c r="K229" s="295" t="str">
        <f>IF(J229="","",IF(VLOOKUP(J229,'G-3 Multipliers'!$L$3:$N$6,2,FALSE)=0,"Spatial Data Missing",VLOOKUP(J229,'G-3 Multipliers'!$L$3:$N$6,2,FALSE)))</f>
        <v/>
      </c>
      <c r="L229" s="299" t="str">
        <f>IF(J229="","",IF(VLOOKUP(J229,'G-3 Multipliers'!$L$3:$N$6,3,FALSE)=0,"Spatial Data Missing",VLOOKUP(J229,'G-3 Multipliers'!$L$3:$N$6,3,FALSE)))</f>
        <v/>
      </c>
      <c r="M229" s="134"/>
      <c r="N229" s="276" t="str">
        <f>IF(M229="","",IF(VLOOKUP(M229,'G-3 Multipliers'!$S$3:$T$10,2,FALSE)=0,"Spatial Data Missing ⚠",VLOOKUP(M229,'G-3 Multipliers'!$S$3:$T$10,2,FALSE)))</f>
        <v/>
      </c>
      <c r="O229" s="275" t="str">
        <f>IF(OR(D229="",H229=""),"",(INDEX('G-6 Hedgerow Data'!$E$3:$I$15,MATCH(D229,'G-6 Hedgerow Data'!$B$3:$B$15,0),MATCH(H229,'G-6 Hedgerow Data'!$E$2:$I$2,0))))</f>
        <v/>
      </c>
      <c r="P229" s="133"/>
      <c r="Q229" s="133"/>
      <c r="R229" s="283" t="str">
        <f t="shared" si="22"/>
        <v/>
      </c>
      <c r="S229" s="296" t="str">
        <f t="shared" si="23"/>
        <v/>
      </c>
      <c r="T229" s="297" t="str">
        <f t="shared" si="21"/>
        <v/>
      </c>
      <c r="U229" s="311" t="str">
        <f>IF(D229="","",VLOOKUP(D229,'G-6 Hedgerow Data'!$B$3:$AG$15,31,FALSE))</f>
        <v/>
      </c>
      <c r="V229" s="295" t="str">
        <f t="shared" si="24"/>
        <v/>
      </c>
      <c r="W229" s="283" t="str">
        <f t="shared" si="25"/>
        <v/>
      </c>
      <c r="X229" s="299" t="str">
        <f>IF(F229="","",VLOOKUP(U229,'G-3 Multipliers'!$P$3:$Q$6,2,FALSE))</f>
        <v/>
      </c>
      <c r="Y229" s="303" t="str">
        <f t="shared" si="26"/>
        <v/>
      </c>
      <c r="Z229" s="303" t="str">
        <f t="shared" si="27"/>
        <v/>
      </c>
      <c r="AA229" s="101"/>
      <c r="AB229" s="938"/>
      <c r="AC229" s="138"/>
      <c r="AD229" s="138"/>
      <c r="AE229" s="934"/>
      <c r="AH229" s="30" t="str">
        <f>IFERROR(INDEX('G-6 Hedgerow Data'!$BJ$3:$BJ$15,MATCH(D229,'G-6 Hedgerow Data'!$B$3:$B$15,0)),"")</f>
        <v/>
      </c>
    </row>
    <row r="230" spans="2:34" ht="14">
      <c r="B230" s="97">
        <v>219</v>
      </c>
      <c r="C230" s="171"/>
      <c r="D230" s="58"/>
      <c r="E230" s="138"/>
      <c r="F230" s="275" t="str">
        <f>IF(D230="","",VLOOKUP(D230,'G-6 Hedgerow Data'!$B$2:$AG$15,2,FALSE))</f>
        <v/>
      </c>
      <c r="G230" s="299" t="str">
        <f>IF(D230="","",VLOOKUP(D230,'G-6 Hedgerow Data'!$B$2:$AG$15,3,FALSE))</f>
        <v/>
      </c>
      <c r="H230" s="53"/>
      <c r="I230" s="276" t="str">
        <f>IFERROR(IF(H230="","",IF(AND(D230="Non-native and ornamental hedgerow",H230&lt;&gt;"Poor"),"Not possible ▲",(IF(AND(F230="V.Low",OR(H230="Good",H230="Moderate")),"Error ▲",VLOOKUP(H230,'G-1 All Habitats'!$Z$2:$AA$9,2,FALSE))))),"")</f>
        <v/>
      </c>
      <c r="J230" s="102"/>
      <c r="K230" s="295" t="str">
        <f>IF(J230="","",IF(VLOOKUP(J230,'G-3 Multipliers'!$L$3:$N$6,2,FALSE)=0,"Spatial Data Missing",VLOOKUP(J230,'G-3 Multipliers'!$L$3:$N$6,2,FALSE)))</f>
        <v/>
      </c>
      <c r="L230" s="299" t="str">
        <f>IF(J230="","",IF(VLOOKUP(J230,'G-3 Multipliers'!$L$3:$N$6,3,FALSE)=0,"Spatial Data Missing",VLOOKUP(J230,'G-3 Multipliers'!$L$3:$N$6,3,FALSE)))</f>
        <v/>
      </c>
      <c r="M230" s="134"/>
      <c r="N230" s="276" t="str">
        <f>IF(M230="","",IF(VLOOKUP(M230,'G-3 Multipliers'!$S$3:$T$10,2,FALSE)=0,"Spatial Data Missing ⚠",VLOOKUP(M230,'G-3 Multipliers'!$S$3:$T$10,2,FALSE)))</f>
        <v/>
      </c>
      <c r="O230" s="275" t="str">
        <f>IF(OR(D230="",H230=""),"",(INDEX('G-6 Hedgerow Data'!$E$3:$I$15,MATCH(D230,'G-6 Hedgerow Data'!$B$3:$B$15,0),MATCH(H230,'G-6 Hedgerow Data'!$E$2:$I$2,0))))</f>
        <v/>
      </c>
      <c r="P230" s="133"/>
      <c r="Q230" s="133"/>
      <c r="R230" s="283" t="str">
        <f t="shared" si="22"/>
        <v/>
      </c>
      <c r="S230" s="296" t="str">
        <f t="shared" si="23"/>
        <v/>
      </c>
      <c r="T230" s="297" t="str">
        <f t="shared" si="21"/>
        <v/>
      </c>
      <c r="U230" s="311" t="str">
        <f>IF(D230="","",VLOOKUP(D230,'G-6 Hedgerow Data'!$B$3:$AG$15,31,FALSE))</f>
        <v/>
      </c>
      <c r="V230" s="295" t="str">
        <f t="shared" si="24"/>
        <v/>
      </c>
      <c r="W230" s="283" t="str">
        <f t="shared" si="25"/>
        <v/>
      </c>
      <c r="X230" s="299" t="str">
        <f>IF(F230="","",VLOOKUP(U230,'G-3 Multipliers'!$P$3:$Q$6,2,FALSE))</f>
        <v/>
      </c>
      <c r="Y230" s="303" t="str">
        <f t="shared" si="26"/>
        <v/>
      </c>
      <c r="Z230" s="303" t="str">
        <f t="shared" si="27"/>
        <v/>
      </c>
      <c r="AA230" s="101"/>
      <c r="AB230" s="938"/>
      <c r="AC230" s="138"/>
      <c r="AD230" s="138"/>
      <c r="AE230" s="934"/>
      <c r="AH230" s="30" t="str">
        <f>IFERROR(INDEX('G-6 Hedgerow Data'!$BJ$3:$BJ$15,MATCH(D230,'G-6 Hedgerow Data'!$B$3:$B$15,0)),"")</f>
        <v/>
      </c>
    </row>
    <row r="231" spans="2:34" ht="14">
      <c r="B231" s="97">
        <v>220</v>
      </c>
      <c r="C231" s="171"/>
      <c r="D231" s="58"/>
      <c r="E231" s="138"/>
      <c r="F231" s="275" t="str">
        <f>IF(D231="","",VLOOKUP(D231,'G-6 Hedgerow Data'!$B$2:$AG$15,2,FALSE))</f>
        <v/>
      </c>
      <c r="G231" s="299" t="str">
        <f>IF(D231="","",VLOOKUP(D231,'G-6 Hedgerow Data'!$B$2:$AG$15,3,FALSE))</f>
        <v/>
      </c>
      <c r="H231" s="53"/>
      <c r="I231" s="276" t="str">
        <f>IFERROR(IF(H231="","",IF(AND(D231="Non-native and ornamental hedgerow",H231&lt;&gt;"Poor"),"Not possible ▲",(IF(AND(F231="V.Low",OR(H231="Good",H231="Moderate")),"Error ▲",VLOOKUP(H231,'G-1 All Habitats'!$Z$2:$AA$9,2,FALSE))))),"")</f>
        <v/>
      </c>
      <c r="J231" s="102"/>
      <c r="K231" s="295" t="str">
        <f>IF(J231="","",IF(VLOOKUP(J231,'G-3 Multipliers'!$L$3:$N$6,2,FALSE)=0,"Spatial Data Missing",VLOOKUP(J231,'G-3 Multipliers'!$L$3:$N$6,2,FALSE)))</f>
        <v/>
      </c>
      <c r="L231" s="299" t="str">
        <f>IF(J231="","",IF(VLOOKUP(J231,'G-3 Multipliers'!$L$3:$N$6,3,FALSE)=0,"Spatial Data Missing",VLOOKUP(J231,'G-3 Multipliers'!$L$3:$N$6,3,FALSE)))</f>
        <v/>
      </c>
      <c r="M231" s="134"/>
      <c r="N231" s="276" t="str">
        <f>IF(M231="","",IF(VLOOKUP(M231,'G-3 Multipliers'!$S$3:$T$10,2,FALSE)=0,"Spatial Data Missing ⚠",VLOOKUP(M231,'G-3 Multipliers'!$S$3:$T$10,2,FALSE)))</f>
        <v/>
      </c>
      <c r="O231" s="275" t="str">
        <f>IF(OR(D231="",H231=""),"",(INDEX('G-6 Hedgerow Data'!$E$3:$I$15,MATCH(D231,'G-6 Hedgerow Data'!$B$3:$B$15,0),MATCH(H231,'G-6 Hedgerow Data'!$E$2:$I$2,0))))</f>
        <v/>
      </c>
      <c r="P231" s="133"/>
      <c r="Q231" s="133"/>
      <c r="R231" s="283" t="str">
        <f t="shared" si="22"/>
        <v/>
      </c>
      <c r="S231" s="296" t="str">
        <f t="shared" si="23"/>
        <v/>
      </c>
      <c r="T231" s="297" t="str">
        <f t="shared" si="21"/>
        <v/>
      </c>
      <c r="U231" s="311" t="str">
        <f>IF(D231="","",VLOOKUP(D231,'G-6 Hedgerow Data'!$B$3:$AG$15,31,FALSE))</f>
        <v/>
      </c>
      <c r="V231" s="295" t="str">
        <f t="shared" si="24"/>
        <v/>
      </c>
      <c r="W231" s="283" t="str">
        <f t="shared" si="25"/>
        <v/>
      </c>
      <c r="X231" s="299" t="str">
        <f>IF(F231="","",VLOOKUP(U231,'G-3 Multipliers'!$P$3:$Q$6,2,FALSE))</f>
        <v/>
      </c>
      <c r="Y231" s="303" t="str">
        <f t="shared" si="26"/>
        <v/>
      </c>
      <c r="Z231" s="303" t="str">
        <f t="shared" si="27"/>
        <v/>
      </c>
      <c r="AA231" s="101"/>
      <c r="AB231" s="938"/>
      <c r="AC231" s="138"/>
      <c r="AD231" s="138"/>
      <c r="AE231" s="934"/>
      <c r="AH231" s="30" t="str">
        <f>IFERROR(INDEX('G-6 Hedgerow Data'!$BJ$3:$BJ$15,MATCH(D231,'G-6 Hedgerow Data'!$B$3:$B$15,0)),"")</f>
        <v/>
      </c>
    </row>
    <row r="232" spans="2:34" ht="14">
      <c r="B232" s="97">
        <v>221</v>
      </c>
      <c r="C232" s="171"/>
      <c r="D232" s="58"/>
      <c r="E232" s="138"/>
      <c r="F232" s="275" t="str">
        <f>IF(D232="","",VLOOKUP(D232,'G-6 Hedgerow Data'!$B$2:$AG$15,2,FALSE))</f>
        <v/>
      </c>
      <c r="G232" s="299" t="str">
        <f>IF(D232="","",VLOOKUP(D232,'G-6 Hedgerow Data'!$B$2:$AG$15,3,FALSE))</f>
        <v/>
      </c>
      <c r="H232" s="53"/>
      <c r="I232" s="276" t="str">
        <f>IFERROR(IF(H232="","",IF(AND(D232="Non-native and ornamental hedgerow",H232&lt;&gt;"Poor"),"Not possible ▲",(IF(AND(F232="V.Low",OR(H232="Good",H232="Moderate")),"Error ▲",VLOOKUP(H232,'G-1 All Habitats'!$Z$2:$AA$9,2,FALSE))))),"")</f>
        <v/>
      </c>
      <c r="J232" s="102"/>
      <c r="K232" s="295" t="str">
        <f>IF(J232="","",IF(VLOOKUP(J232,'G-3 Multipliers'!$L$3:$N$6,2,FALSE)=0,"Spatial Data Missing",VLOOKUP(J232,'G-3 Multipliers'!$L$3:$N$6,2,FALSE)))</f>
        <v/>
      </c>
      <c r="L232" s="299" t="str">
        <f>IF(J232="","",IF(VLOOKUP(J232,'G-3 Multipliers'!$L$3:$N$6,3,FALSE)=0,"Spatial Data Missing",VLOOKUP(J232,'G-3 Multipliers'!$L$3:$N$6,3,FALSE)))</f>
        <v/>
      </c>
      <c r="M232" s="134"/>
      <c r="N232" s="276" t="str">
        <f>IF(M232="","",IF(VLOOKUP(M232,'G-3 Multipliers'!$S$3:$T$10,2,FALSE)=0,"Spatial Data Missing ⚠",VLOOKUP(M232,'G-3 Multipliers'!$S$3:$T$10,2,FALSE)))</f>
        <v/>
      </c>
      <c r="O232" s="275" t="str">
        <f>IF(OR(D232="",H232=""),"",(INDEX('G-6 Hedgerow Data'!$E$3:$I$15,MATCH(D232,'G-6 Hedgerow Data'!$B$3:$B$15,0),MATCH(H232,'G-6 Hedgerow Data'!$E$2:$I$2,0))))</f>
        <v/>
      </c>
      <c r="P232" s="133"/>
      <c r="Q232" s="133"/>
      <c r="R232" s="283" t="str">
        <f t="shared" si="22"/>
        <v/>
      </c>
      <c r="S232" s="296" t="str">
        <f t="shared" si="23"/>
        <v/>
      </c>
      <c r="T232" s="297" t="str">
        <f t="shared" si="21"/>
        <v/>
      </c>
      <c r="U232" s="311" t="str">
        <f>IF(D232="","",VLOOKUP(D232,'G-6 Hedgerow Data'!$B$3:$AG$15,31,FALSE))</f>
        <v/>
      </c>
      <c r="V232" s="295" t="str">
        <f t="shared" si="24"/>
        <v/>
      </c>
      <c r="W232" s="283" t="str">
        <f t="shared" si="25"/>
        <v/>
      </c>
      <c r="X232" s="299" t="str">
        <f>IF(F232="","",VLOOKUP(U232,'G-3 Multipliers'!$P$3:$Q$6,2,FALSE))</f>
        <v/>
      </c>
      <c r="Y232" s="303" t="str">
        <f t="shared" si="26"/>
        <v/>
      </c>
      <c r="Z232" s="303" t="str">
        <f t="shared" si="27"/>
        <v/>
      </c>
      <c r="AA232" s="101"/>
      <c r="AB232" s="938"/>
      <c r="AC232" s="138"/>
      <c r="AD232" s="138"/>
      <c r="AE232" s="934"/>
      <c r="AH232" s="30" t="str">
        <f>IFERROR(INDEX('G-6 Hedgerow Data'!$BJ$3:$BJ$15,MATCH(D232,'G-6 Hedgerow Data'!$B$3:$B$15,0)),"")</f>
        <v/>
      </c>
    </row>
    <row r="233" spans="2:34" ht="14">
      <c r="B233" s="97">
        <v>222</v>
      </c>
      <c r="C233" s="171"/>
      <c r="D233" s="58"/>
      <c r="E233" s="138"/>
      <c r="F233" s="275" t="str">
        <f>IF(D233="","",VLOOKUP(D233,'G-6 Hedgerow Data'!$B$2:$AG$15,2,FALSE))</f>
        <v/>
      </c>
      <c r="G233" s="299" t="str">
        <f>IF(D233="","",VLOOKUP(D233,'G-6 Hedgerow Data'!$B$2:$AG$15,3,FALSE))</f>
        <v/>
      </c>
      <c r="H233" s="53"/>
      <c r="I233" s="276" t="str">
        <f>IFERROR(IF(H233="","",IF(AND(D233="Non-native and ornamental hedgerow",H233&lt;&gt;"Poor"),"Not possible ▲",(IF(AND(F233="V.Low",OR(H233="Good",H233="Moderate")),"Error ▲",VLOOKUP(H233,'G-1 All Habitats'!$Z$2:$AA$9,2,FALSE))))),"")</f>
        <v/>
      </c>
      <c r="J233" s="102"/>
      <c r="K233" s="295" t="str">
        <f>IF(J233="","",IF(VLOOKUP(J233,'G-3 Multipliers'!$L$3:$N$6,2,FALSE)=0,"Spatial Data Missing",VLOOKUP(J233,'G-3 Multipliers'!$L$3:$N$6,2,FALSE)))</f>
        <v/>
      </c>
      <c r="L233" s="299" t="str">
        <f>IF(J233="","",IF(VLOOKUP(J233,'G-3 Multipliers'!$L$3:$N$6,3,FALSE)=0,"Spatial Data Missing",VLOOKUP(J233,'G-3 Multipliers'!$L$3:$N$6,3,FALSE)))</f>
        <v/>
      </c>
      <c r="M233" s="134"/>
      <c r="N233" s="276" t="str">
        <f>IF(M233="","",IF(VLOOKUP(M233,'G-3 Multipliers'!$S$3:$T$10,2,FALSE)=0,"Spatial Data Missing ⚠",VLOOKUP(M233,'G-3 Multipliers'!$S$3:$T$10,2,FALSE)))</f>
        <v/>
      </c>
      <c r="O233" s="275" t="str">
        <f>IF(OR(D233="",H233=""),"",(INDEX('G-6 Hedgerow Data'!$E$3:$I$15,MATCH(D233,'G-6 Hedgerow Data'!$B$3:$B$15,0),MATCH(H233,'G-6 Hedgerow Data'!$E$2:$I$2,0))))</f>
        <v/>
      </c>
      <c r="P233" s="133"/>
      <c r="Q233" s="133"/>
      <c r="R233" s="283" t="str">
        <f t="shared" si="22"/>
        <v/>
      </c>
      <c r="S233" s="296" t="str">
        <f t="shared" si="23"/>
        <v/>
      </c>
      <c r="T233" s="297" t="str">
        <f t="shared" si="21"/>
        <v/>
      </c>
      <c r="U233" s="311" t="str">
        <f>IF(D233="","",VLOOKUP(D233,'G-6 Hedgerow Data'!$B$3:$AG$15,31,FALSE))</f>
        <v/>
      </c>
      <c r="V233" s="295" t="str">
        <f t="shared" si="24"/>
        <v/>
      </c>
      <c r="W233" s="283" t="str">
        <f t="shared" si="25"/>
        <v/>
      </c>
      <c r="X233" s="299" t="str">
        <f>IF(F233="","",VLOOKUP(U233,'G-3 Multipliers'!$P$3:$Q$6,2,FALSE))</f>
        <v/>
      </c>
      <c r="Y233" s="303" t="str">
        <f t="shared" si="26"/>
        <v/>
      </c>
      <c r="Z233" s="303" t="str">
        <f t="shared" si="27"/>
        <v/>
      </c>
      <c r="AA233" s="101"/>
      <c r="AB233" s="938"/>
      <c r="AC233" s="138"/>
      <c r="AD233" s="138"/>
      <c r="AE233" s="934"/>
      <c r="AH233" s="30" t="str">
        <f>IFERROR(INDEX('G-6 Hedgerow Data'!$BJ$3:$BJ$15,MATCH(D233,'G-6 Hedgerow Data'!$B$3:$B$15,0)),"")</f>
        <v/>
      </c>
    </row>
    <row r="234" spans="2:34" ht="14">
      <c r="B234" s="97">
        <v>223</v>
      </c>
      <c r="C234" s="171"/>
      <c r="D234" s="58"/>
      <c r="E234" s="138"/>
      <c r="F234" s="275" t="str">
        <f>IF(D234="","",VLOOKUP(D234,'G-6 Hedgerow Data'!$B$2:$AG$15,2,FALSE))</f>
        <v/>
      </c>
      <c r="G234" s="299" t="str">
        <f>IF(D234="","",VLOOKUP(D234,'G-6 Hedgerow Data'!$B$2:$AG$15,3,FALSE))</f>
        <v/>
      </c>
      <c r="H234" s="53"/>
      <c r="I234" s="276" t="str">
        <f>IFERROR(IF(H234="","",IF(AND(D234="Non-native and ornamental hedgerow",H234&lt;&gt;"Poor"),"Not possible ▲",(IF(AND(F234="V.Low",OR(H234="Good",H234="Moderate")),"Error ▲",VLOOKUP(H234,'G-1 All Habitats'!$Z$2:$AA$9,2,FALSE))))),"")</f>
        <v/>
      </c>
      <c r="J234" s="102"/>
      <c r="K234" s="295" t="str">
        <f>IF(J234="","",IF(VLOOKUP(J234,'G-3 Multipliers'!$L$3:$N$6,2,FALSE)=0,"Spatial Data Missing",VLOOKUP(J234,'G-3 Multipliers'!$L$3:$N$6,2,FALSE)))</f>
        <v/>
      </c>
      <c r="L234" s="299" t="str">
        <f>IF(J234="","",IF(VLOOKUP(J234,'G-3 Multipliers'!$L$3:$N$6,3,FALSE)=0,"Spatial Data Missing",VLOOKUP(J234,'G-3 Multipliers'!$L$3:$N$6,3,FALSE)))</f>
        <v/>
      </c>
      <c r="M234" s="134"/>
      <c r="N234" s="276" t="str">
        <f>IF(M234="","",IF(VLOOKUP(M234,'G-3 Multipliers'!$S$3:$T$10,2,FALSE)=0,"Spatial Data Missing ⚠",VLOOKUP(M234,'G-3 Multipliers'!$S$3:$T$10,2,FALSE)))</f>
        <v/>
      </c>
      <c r="O234" s="275" t="str">
        <f>IF(OR(D234="",H234=""),"",(INDEX('G-6 Hedgerow Data'!$E$3:$I$15,MATCH(D234,'G-6 Hedgerow Data'!$B$3:$B$15,0),MATCH(H234,'G-6 Hedgerow Data'!$E$2:$I$2,0))))</f>
        <v/>
      </c>
      <c r="P234" s="133"/>
      <c r="Q234" s="133"/>
      <c r="R234" s="283" t="str">
        <f t="shared" si="22"/>
        <v/>
      </c>
      <c r="S234" s="296" t="str">
        <f t="shared" si="23"/>
        <v/>
      </c>
      <c r="T234" s="297" t="str">
        <f t="shared" si="21"/>
        <v/>
      </c>
      <c r="U234" s="311" t="str">
        <f>IF(D234="","",VLOOKUP(D234,'G-6 Hedgerow Data'!$B$3:$AG$15,31,FALSE))</f>
        <v/>
      </c>
      <c r="V234" s="295" t="str">
        <f t="shared" si="24"/>
        <v/>
      </c>
      <c r="W234" s="283" t="str">
        <f t="shared" si="25"/>
        <v/>
      </c>
      <c r="X234" s="299" t="str">
        <f>IF(F234="","",VLOOKUP(U234,'G-3 Multipliers'!$P$3:$Q$6,2,FALSE))</f>
        <v/>
      </c>
      <c r="Y234" s="303" t="str">
        <f t="shared" si="26"/>
        <v/>
      </c>
      <c r="Z234" s="303" t="str">
        <f t="shared" si="27"/>
        <v/>
      </c>
      <c r="AA234" s="101"/>
      <c r="AB234" s="938"/>
      <c r="AC234" s="138"/>
      <c r="AD234" s="138"/>
      <c r="AE234" s="934"/>
      <c r="AH234" s="30" t="str">
        <f>IFERROR(INDEX('G-6 Hedgerow Data'!$BJ$3:$BJ$15,MATCH(D234,'G-6 Hedgerow Data'!$B$3:$B$15,0)),"")</f>
        <v/>
      </c>
    </row>
    <row r="235" spans="2:34" ht="14">
      <c r="B235" s="97">
        <v>224</v>
      </c>
      <c r="C235" s="171"/>
      <c r="D235" s="58"/>
      <c r="E235" s="138"/>
      <c r="F235" s="275" t="str">
        <f>IF(D235="","",VLOOKUP(D235,'G-6 Hedgerow Data'!$B$2:$AG$15,2,FALSE))</f>
        <v/>
      </c>
      <c r="G235" s="299" t="str">
        <f>IF(D235="","",VLOOKUP(D235,'G-6 Hedgerow Data'!$B$2:$AG$15,3,FALSE))</f>
        <v/>
      </c>
      <c r="H235" s="53"/>
      <c r="I235" s="276" t="str">
        <f>IFERROR(IF(H235="","",IF(AND(D235="Non-native and ornamental hedgerow",H235&lt;&gt;"Poor"),"Not possible ▲",(IF(AND(F235="V.Low",OR(H235="Good",H235="Moderate")),"Error ▲",VLOOKUP(H235,'G-1 All Habitats'!$Z$2:$AA$9,2,FALSE))))),"")</f>
        <v/>
      </c>
      <c r="J235" s="102"/>
      <c r="K235" s="295" t="str">
        <f>IF(J235="","",IF(VLOOKUP(J235,'G-3 Multipliers'!$L$3:$N$6,2,FALSE)=0,"Spatial Data Missing",VLOOKUP(J235,'G-3 Multipliers'!$L$3:$N$6,2,FALSE)))</f>
        <v/>
      </c>
      <c r="L235" s="299" t="str">
        <f>IF(J235="","",IF(VLOOKUP(J235,'G-3 Multipliers'!$L$3:$N$6,3,FALSE)=0,"Spatial Data Missing",VLOOKUP(J235,'G-3 Multipliers'!$L$3:$N$6,3,FALSE)))</f>
        <v/>
      </c>
      <c r="M235" s="134"/>
      <c r="N235" s="276" t="str">
        <f>IF(M235="","",IF(VLOOKUP(M235,'G-3 Multipliers'!$S$3:$T$10,2,FALSE)=0,"Spatial Data Missing ⚠",VLOOKUP(M235,'G-3 Multipliers'!$S$3:$T$10,2,FALSE)))</f>
        <v/>
      </c>
      <c r="O235" s="275" t="str">
        <f>IF(OR(D235="",H235=""),"",(INDEX('G-6 Hedgerow Data'!$E$3:$I$15,MATCH(D235,'G-6 Hedgerow Data'!$B$3:$B$15,0),MATCH(H235,'G-6 Hedgerow Data'!$E$2:$I$2,0))))</f>
        <v/>
      </c>
      <c r="P235" s="133"/>
      <c r="Q235" s="133"/>
      <c r="R235" s="283" t="str">
        <f t="shared" si="22"/>
        <v/>
      </c>
      <c r="S235" s="296" t="str">
        <f t="shared" si="23"/>
        <v/>
      </c>
      <c r="T235" s="297" t="str">
        <f t="shared" si="21"/>
        <v/>
      </c>
      <c r="U235" s="311" t="str">
        <f>IF(D235="","",VLOOKUP(D235,'G-6 Hedgerow Data'!$B$3:$AG$15,31,FALSE))</f>
        <v/>
      </c>
      <c r="V235" s="295" t="str">
        <f t="shared" si="24"/>
        <v/>
      </c>
      <c r="W235" s="283" t="str">
        <f t="shared" si="25"/>
        <v/>
      </c>
      <c r="X235" s="299" t="str">
        <f>IF(F235="","",VLOOKUP(U235,'G-3 Multipliers'!$P$3:$Q$6,2,FALSE))</f>
        <v/>
      </c>
      <c r="Y235" s="303" t="str">
        <f t="shared" si="26"/>
        <v/>
      </c>
      <c r="Z235" s="303" t="str">
        <f t="shared" si="27"/>
        <v/>
      </c>
      <c r="AA235" s="101"/>
      <c r="AB235" s="938"/>
      <c r="AC235" s="138"/>
      <c r="AD235" s="138"/>
      <c r="AE235" s="934"/>
      <c r="AH235" s="30" t="str">
        <f>IFERROR(INDEX('G-6 Hedgerow Data'!$BJ$3:$BJ$15,MATCH(D235,'G-6 Hedgerow Data'!$B$3:$B$15,0)),"")</f>
        <v/>
      </c>
    </row>
    <row r="236" spans="2:34" ht="14">
      <c r="B236" s="97">
        <v>225</v>
      </c>
      <c r="C236" s="171"/>
      <c r="D236" s="58"/>
      <c r="E236" s="138"/>
      <c r="F236" s="275" t="str">
        <f>IF(D236="","",VLOOKUP(D236,'G-6 Hedgerow Data'!$B$2:$AG$15,2,FALSE))</f>
        <v/>
      </c>
      <c r="G236" s="299" t="str">
        <f>IF(D236="","",VLOOKUP(D236,'G-6 Hedgerow Data'!$B$2:$AG$15,3,FALSE))</f>
        <v/>
      </c>
      <c r="H236" s="53"/>
      <c r="I236" s="276" t="str">
        <f>IFERROR(IF(H236="","",IF(AND(D236="Non-native and ornamental hedgerow",H236&lt;&gt;"Poor"),"Not possible ▲",(IF(AND(F236="V.Low",OR(H236="Good",H236="Moderate")),"Error ▲",VLOOKUP(H236,'G-1 All Habitats'!$Z$2:$AA$9,2,FALSE))))),"")</f>
        <v/>
      </c>
      <c r="J236" s="102"/>
      <c r="K236" s="295" t="str">
        <f>IF(J236="","",IF(VLOOKUP(J236,'G-3 Multipliers'!$L$3:$N$6,2,FALSE)=0,"Spatial Data Missing",VLOOKUP(J236,'G-3 Multipliers'!$L$3:$N$6,2,FALSE)))</f>
        <v/>
      </c>
      <c r="L236" s="299" t="str">
        <f>IF(J236="","",IF(VLOOKUP(J236,'G-3 Multipliers'!$L$3:$N$6,3,FALSE)=0,"Spatial Data Missing",VLOOKUP(J236,'G-3 Multipliers'!$L$3:$N$6,3,FALSE)))</f>
        <v/>
      </c>
      <c r="M236" s="134"/>
      <c r="N236" s="276" t="str">
        <f>IF(M236="","",IF(VLOOKUP(M236,'G-3 Multipliers'!$S$3:$T$10,2,FALSE)=0,"Spatial Data Missing ⚠",VLOOKUP(M236,'G-3 Multipliers'!$S$3:$T$10,2,FALSE)))</f>
        <v/>
      </c>
      <c r="O236" s="275" t="str">
        <f>IF(OR(D236="",H236=""),"",(INDEX('G-6 Hedgerow Data'!$E$3:$I$15,MATCH(D236,'G-6 Hedgerow Data'!$B$3:$B$15,0),MATCH(H236,'G-6 Hedgerow Data'!$E$2:$I$2,0))))</f>
        <v/>
      </c>
      <c r="P236" s="133"/>
      <c r="Q236" s="133"/>
      <c r="R236" s="283" t="str">
        <f t="shared" si="22"/>
        <v/>
      </c>
      <c r="S236" s="296" t="str">
        <f t="shared" si="23"/>
        <v/>
      </c>
      <c r="T236" s="297" t="str">
        <f t="shared" si="21"/>
        <v/>
      </c>
      <c r="U236" s="311" t="str">
        <f>IF(D236="","",VLOOKUP(D236,'G-6 Hedgerow Data'!$B$3:$AG$15,31,FALSE))</f>
        <v/>
      </c>
      <c r="V236" s="295" t="str">
        <f t="shared" si="24"/>
        <v/>
      </c>
      <c r="W236" s="283" t="str">
        <f t="shared" si="25"/>
        <v/>
      </c>
      <c r="X236" s="299" t="str">
        <f>IF(F236="","",VLOOKUP(U236,'G-3 Multipliers'!$P$3:$Q$6,2,FALSE))</f>
        <v/>
      </c>
      <c r="Y236" s="303" t="str">
        <f t="shared" si="26"/>
        <v/>
      </c>
      <c r="Z236" s="303" t="str">
        <f t="shared" si="27"/>
        <v/>
      </c>
      <c r="AA236" s="101"/>
      <c r="AB236" s="938"/>
      <c r="AC236" s="138"/>
      <c r="AD236" s="138"/>
      <c r="AE236" s="934"/>
      <c r="AH236" s="30" t="str">
        <f>IFERROR(INDEX('G-6 Hedgerow Data'!$BJ$3:$BJ$15,MATCH(D236,'G-6 Hedgerow Data'!$B$3:$B$15,0)),"")</f>
        <v/>
      </c>
    </row>
    <row r="237" spans="2:34" ht="14">
      <c r="B237" s="97">
        <v>226</v>
      </c>
      <c r="C237" s="171"/>
      <c r="D237" s="58"/>
      <c r="E237" s="138"/>
      <c r="F237" s="275" t="str">
        <f>IF(D237="","",VLOOKUP(D237,'G-6 Hedgerow Data'!$B$2:$AG$15,2,FALSE))</f>
        <v/>
      </c>
      <c r="G237" s="299" t="str">
        <f>IF(D237="","",VLOOKUP(D237,'G-6 Hedgerow Data'!$B$2:$AG$15,3,FALSE))</f>
        <v/>
      </c>
      <c r="H237" s="53"/>
      <c r="I237" s="276" t="str">
        <f>IFERROR(IF(H237="","",IF(AND(D237="Non-native and ornamental hedgerow",H237&lt;&gt;"Poor"),"Not possible ▲",(IF(AND(F237="V.Low",OR(H237="Good",H237="Moderate")),"Error ▲",VLOOKUP(H237,'G-1 All Habitats'!$Z$2:$AA$9,2,FALSE))))),"")</f>
        <v/>
      </c>
      <c r="J237" s="102"/>
      <c r="K237" s="295" t="str">
        <f>IF(J237="","",IF(VLOOKUP(J237,'G-3 Multipliers'!$L$3:$N$6,2,FALSE)=0,"Spatial Data Missing",VLOOKUP(J237,'G-3 Multipliers'!$L$3:$N$6,2,FALSE)))</f>
        <v/>
      </c>
      <c r="L237" s="299" t="str">
        <f>IF(J237="","",IF(VLOOKUP(J237,'G-3 Multipliers'!$L$3:$N$6,3,FALSE)=0,"Spatial Data Missing",VLOOKUP(J237,'G-3 Multipliers'!$L$3:$N$6,3,FALSE)))</f>
        <v/>
      </c>
      <c r="M237" s="134"/>
      <c r="N237" s="276" t="str">
        <f>IF(M237="","",IF(VLOOKUP(M237,'G-3 Multipliers'!$S$3:$T$10,2,FALSE)=0,"Spatial Data Missing ⚠",VLOOKUP(M237,'G-3 Multipliers'!$S$3:$T$10,2,FALSE)))</f>
        <v/>
      </c>
      <c r="O237" s="275" t="str">
        <f>IF(OR(D237="",H237=""),"",(INDEX('G-6 Hedgerow Data'!$E$3:$I$15,MATCH(D237,'G-6 Hedgerow Data'!$B$3:$B$15,0),MATCH(H237,'G-6 Hedgerow Data'!$E$2:$I$2,0))))</f>
        <v/>
      </c>
      <c r="P237" s="133"/>
      <c r="Q237" s="133"/>
      <c r="R237" s="283" t="str">
        <f t="shared" si="22"/>
        <v/>
      </c>
      <c r="S237" s="296" t="str">
        <f t="shared" si="23"/>
        <v/>
      </c>
      <c r="T237" s="297" t="str">
        <f t="shared" si="21"/>
        <v/>
      </c>
      <c r="U237" s="311" t="str">
        <f>IF(D237="","",VLOOKUP(D237,'G-6 Hedgerow Data'!$B$3:$AG$15,31,FALSE))</f>
        <v/>
      </c>
      <c r="V237" s="295" t="str">
        <f t="shared" si="24"/>
        <v/>
      </c>
      <c r="W237" s="283" t="str">
        <f t="shared" si="25"/>
        <v/>
      </c>
      <c r="X237" s="299" t="str">
        <f>IF(F237="","",VLOOKUP(U237,'G-3 Multipliers'!$P$3:$Q$6,2,FALSE))</f>
        <v/>
      </c>
      <c r="Y237" s="303" t="str">
        <f t="shared" si="26"/>
        <v/>
      </c>
      <c r="Z237" s="303" t="str">
        <f t="shared" si="27"/>
        <v/>
      </c>
      <c r="AA237" s="101"/>
      <c r="AB237" s="938"/>
      <c r="AC237" s="138"/>
      <c r="AD237" s="138"/>
      <c r="AE237" s="934"/>
      <c r="AH237" s="30" t="str">
        <f>IFERROR(INDEX('G-6 Hedgerow Data'!$BJ$3:$BJ$15,MATCH(D237,'G-6 Hedgerow Data'!$B$3:$B$15,0)),"")</f>
        <v/>
      </c>
    </row>
    <row r="238" spans="2:34" ht="14">
      <c r="B238" s="97">
        <v>227</v>
      </c>
      <c r="C238" s="171"/>
      <c r="D238" s="58"/>
      <c r="E238" s="138"/>
      <c r="F238" s="275" t="str">
        <f>IF(D238="","",VLOOKUP(D238,'G-6 Hedgerow Data'!$B$2:$AG$15,2,FALSE))</f>
        <v/>
      </c>
      <c r="G238" s="299" t="str">
        <f>IF(D238="","",VLOOKUP(D238,'G-6 Hedgerow Data'!$B$2:$AG$15,3,FALSE))</f>
        <v/>
      </c>
      <c r="H238" s="53"/>
      <c r="I238" s="276" t="str">
        <f>IFERROR(IF(H238="","",IF(AND(D238="Non-native and ornamental hedgerow",H238&lt;&gt;"Poor"),"Not possible ▲",(IF(AND(F238="V.Low",OR(H238="Good",H238="Moderate")),"Error ▲",VLOOKUP(H238,'G-1 All Habitats'!$Z$2:$AA$9,2,FALSE))))),"")</f>
        <v/>
      </c>
      <c r="J238" s="102"/>
      <c r="K238" s="295" t="str">
        <f>IF(J238="","",IF(VLOOKUP(J238,'G-3 Multipliers'!$L$3:$N$6,2,FALSE)=0,"Spatial Data Missing",VLOOKUP(J238,'G-3 Multipliers'!$L$3:$N$6,2,FALSE)))</f>
        <v/>
      </c>
      <c r="L238" s="299" t="str">
        <f>IF(J238="","",IF(VLOOKUP(J238,'G-3 Multipliers'!$L$3:$N$6,3,FALSE)=0,"Spatial Data Missing",VLOOKUP(J238,'G-3 Multipliers'!$L$3:$N$6,3,FALSE)))</f>
        <v/>
      </c>
      <c r="M238" s="134"/>
      <c r="N238" s="276" t="str">
        <f>IF(M238="","",IF(VLOOKUP(M238,'G-3 Multipliers'!$S$3:$T$10,2,FALSE)=0,"Spatial Data Missing ⚠",VLOOKUP(M238,'G-3 Multipliers'!$S$3:$T$10,2,FALSE)))</f>
        <v/>
      </c>
      <c r="O238" s="275" t="str">
        <f>IF(OR(D238="",H238=""),"",(INDEX('G-6 Hedgerow Data'!$E$3:$I$15,MATCH(D238,'G-6 Hedgerow Data'!$B$3:$B$15,0),MATCH(H238,'G-6 Hedgerow Data'!$E$2:$I$2,0))))</f>
        <v/>
      </c>
      <c r="P238" s="133"/>
      <c r="Q238" s="133"/>
      <c r="R238" s="283" t="str">
        <f t="shared" si="22"/>
        <v/>
      </c>
      <c r="S238" s="296" t="str">
        <f t="shared" si="23"/>
        <v/>
      </c>
      <c r="T238" s="297" t="str">
        <f t="shared" si="21"/>
        <v/>
      </c>
      <c r="U238" s="311" t="str">
        <f>IF(D238="","",VLOOKUP(D238,'G-6 Hedgerow Data'!$B$3:$AG$15,31,FALSE))</f>
        <v/>
      </c>
      <c r="V238" s="295" t="str">
        <f t="shared" si="24"/>
        <v/>
      </c>
      <c r="W238" s="283" t="str">
        <f t="shared" si="25"/>
        <v/>
      </c>
      <c r="X238" s="299" t="str">
        <f>IF(F238="","",VLOOKUP(U238,'G-3 Multipliers'!$P$3:$Q$6,2,FALSE))</f>
        <v/>
      </c>
      <c r="Y238" s="303" t="str">
        <f t="shared" si="26"/>
        <v/>
      </c>
      <c r="Z238" s="303" t="str">
        <f t="shared" si="27"/>
        <v/>
      </c>
      <c r="AA238" s="101"/>
      <c r="AB238" s="938"/>
      <c r="AC238" s="138"/>
      <c r="AD238" s="138"/>
      <c r="AE238" s="934"/>
      <c r="AH238" s="30" t="str">
        <f>IFERROR(INDEX('G-6 Hedgerow Data'!$BJ$3:$BJ$15,MATCH(D238,'G-6 Hedgerow Data'!$B$3:$B$15,0)),"")</f>
        <v/>
      </c>
    </row>
    <row r="239" spans="2:34" ht="14">
      <c r="B239" s="97">
        <v>228</v>
      </c>
      <c r="C239" s="171"/>
      <c r="D239" s="58"/>
      <c r="E239" s="138"/>
      <c r="F239" s="275" t="str">
        <f>IF(D239="","",VLOOKUP(D239,'G-6 Hedgerow Data'!$B$2:$AG$15,2,FALSE))</f>
        <v/>
      </c>
      <c r="G239" s="299" t="str">
        <f>IF(D239="","",VLOOKUP(D239,'G-6 Hedgerow Data'!$B$2:$AG$15,3,FALSE))</f>
        <v/>
      </c>
      <c r="H239" s="53"/>
      <c r="I239" s="276" t="str">
        <f>IFERROR(IF(H239="","",IF(AND(D239="Non-native and ornamental hedgerow",H239&lt;&gt;"Poor"),"Not possible ▲",(IF(AND(F239="V.Low",OR(H239="Good",H239="Moderate")),"Error ▲",VLOOKUP(H239,'G-1 All Habitats'!$Z$2:$AA$9,2,FALSE))))),"")</f>
        <v/>
      </c>
      <c r="J239" s="102"/>
      <c r="K239" s="295" t="str">
        <f>IF(J239="","",IF(VLOOKUP(J239,'G-3 Multipliers'!$L$3:$N$6,2,FALSE)=0,"Spatial Data Missing",VLOOKUP(J239,'G-3 Multipliers'!$L$3:$N$6,2,FALSE)))</f>
        <v/>
      </c>
      <c r="L239" s="299" t="str">
        <f>IF(J239="","",IF(VLOOKUP(J239,'G-3 Multipliers'!$L$3:$N$6,3,FALSE)=0,"Spatial Data Missing",VLOOKUP(J239,'G-3 Multipliers'!$L$3:$N$6,3,FALSE)))</f>
        <v/>
      </c>
      <c r="M239" s="134"/>
      <c r="N239" s="276" t="str">
        <f>IF(M239="","",IF(VLOOKUP(M239,'G-3 Multipliers'!$S$3:$T$10,2,FALSE)=0,"Spatial Data Missing ⚠",VLOOKUP(M239,'G-3 Multipliers'!$S$3:$T$10,2,FALSE)))</f>
        <v/>
      </c>
      <c r="O239" s="275" t="str">
        <f>IF(OR(D239="",H239=""),"",(INDEX('G-6 Hedgerow Data'!$E$3:$I$15,MATCH(D239,'G-6 Hedgerow Data'!$B$3:$B$15,0),MATCH(H239,'G-6 Hedgerow Data'!$E$2:$I$2,0))))</f>
        <v/>
      </c>
      <c r="P239" s="133"/>
      <c r="Q239" s="133"/>
      <c r="R239" s="283" t="str">
        <f t="shared" si="22"/>
        <v/>
      </c>
      <c r="S239" s="296" t="str">
        <f t="shared" si="23"/>
        <v/>
      </c>
      <c r="T239" s="297" t="str">
        <f t="shared" si="21"/>
        <v/>
      </c>
      <c r="U239" s="311" t="str">
        <f>IF(D239="","",VLOOKUP(D239,'G-6 Hedgerow Data'!$B$3:$AG$15,31,FALSE))</f>
        <v/>
      </c>
      <c r="V239" s="295" t="str">
        <f t="shared" si="24"/>
        <v/>
      </c>
      <c r="W239" s="283" t="str">
        <f t="shared" si="25"/>
        <v/>
      </c>
      <c r="X239" s="299" t="str">
        <f>IF(F239="","",VLOOKUP(U239,'G-3 Multipliers'!$P$3:$Q$6,2,FALSE))</f>
        <v/>
      </c>
      <c r="Y239" s="303" t="str">
        <f t="shared" si="26"/>
        <v/>
      </c>
      <c r="Z239" s="303" t="str">
        <f t="shared" si="27"/>
        <v/>
      </c>
      <c r="AA239" s="101"/>
      <c r="AB239" s="938"/>
      <c r="AC239" s="138"/>
      <c r="AD239" s="138"/>
      <c r="AE239" s="934"/>
      <c r="AH239" s="30" t="str">
        <f>IFERROR(INDEX('G-6 Hedgerow Data'!$BJ$3:$BJ$15,MATCH(D239,'G-6 Hedgerow Data'!$B$3:$B$15,0)),"")</f>
        <v/>
      </c>
    </row>
    <row r="240" spans="2:34" ht="14">
      <c r="B240" s="97">
        <v>229</v>
      </c>
      <c r="C240" s="171"/>
      <c r="D240" s="58"/>
      <c r="E240" s="138"/>
      <c r="F240" s="275" t="str">
        <f>IF(D240="","",VLOOKUP(D240,'G-6 Hedgerow Data'!$B$2:$AG$15,2,FALSE))</f>
        <v/>
      </c>
      <c r="G240" s="299" t="str">
        <f>IF(D240="","",VLOOKUP(D240,'G-6 Hedgerow Data'!$B$2:$AG$15,3,FALSE))</f>
        <v/>
      </c>
      <c r="H240" s="53"/>
      <c r="I240" s="276" t="str">
        <f>IFERROR(IF(H240="","",IF(AND(D240="Non-native and ornamental hedgerow",H240&lt;&gt;"Poor"),"Not possible ▲",(IF(AND(F240="V.Low",OR(H240="Good",H240="Moderate")),"Error ▲",VLOOKUP(H240,'G-1 All Habitats'!$Z$2:$AA$9,2,FALSE))))),"")</f>
        <v/>
      </c>
      <c r="J240" s="102"/>
      <c r="K240" s="295" t="str">
        <f>IF(J240="","",IF(VLOOKUP(J240,'G-3 Multipliers'!$L$3:$N$6,2,FALSE)=0,"Spatial Data Missing",VLOOKUP(J240,'G-3 Multipliers'!$L$3:$N$6,2,FALSE)))</f>
        <v/>
      </c>
      <c r="L240" s="299" t="str">
        <f>IF(J240="","",IF(VLOOKUP(J240,'G-3 Multipliers'!$L$3:$N$6,3,FALSE)=0,"Spatial Data Missing",VLOOKUP(J240,'G-3 Multipliers'!$L$3:$N$6,3,FALSE)))</f>
        <v/>
      </c>
      <c r="M240" s="134"/>
      <c r="N240" s="276" t="str">
        <f>IF(M240="","",IF(VLOOKUP(M240,'G-3 Multipliers'!$S$3:$T$10,2,FALSE)=0,"Spatial Data Missing ⚠",VLOOKUP(M240,'G-3 Multipliers'!$S$3:$T$10,2,FALSE)))</f>
        <v/>
      </c>
      <c r="O240" s="275" t="str">
        <f>IF(OR(D240="",H240=""),"",(INDEX('G-6 Hedgerow Data'!$E$3:$I$15,MATCH(D240,'G-6 Hedgerow Data'!$B$3:$B$15,0),MATCH(H240,'G-6 Hedgerow Data'!$E$2:$I$2,0))))</f>
        <v/>
      </c>
      <c r="P240" s="133"/>
      <c r="Q240" s="133"/>
      <c r="R240" s="283" t="str">
        <f t="shared" si="22"/>
        <v/>
      </c>
      <c r="S240" s="296" t="str">
        <f t="shared" si="23"/>
        <v/>
      </c>
      <c r="T240" s="297" t="str">
        <f t="shared" si="21"/>
        <v/>
      </c>
      <c r="U240" s="311" t="str">
        <f>IF(D240="","",VLOOKUP(D240,'G-6 Hedgerow Data'!$B$3:$AG$15,31,FALSE))</f>
        <v/>
      </c>
      <c r="V240" s="295" t="str">
        <f t="shared" si="24"/>
        <v/>
      </c>
      <c r="W240" s="283" t="str">
        <f t="shared" si="25"/>
        <v/>
      </c>
      <c r="X240" s="299" t="str">
        <f>IF(F240="","",VLOOKUP(U240,'G-3 Multipliers'!$P$3:$Q$6,2,FALSE))</f>
        <v/>
      </c>
      <c r="Y240" s="303" t="str">
        <f t="shared" si="26"/>
        <v/>
      </c>
      <c r="Z240" s="303" t="str">
        <f t="shared" si="27"/>
        <v/>
      </c>
      <c r="AA240" s="101"/>
      <c r="AB240" s="938"/>
      <c r="AC240" s="138"/>
      <c r="AD240" s="138"/>
      <c r="AE240" s="934"/>
      <c r="AH240" s="30" t="str">
        <f>IFERROR(INDEX('G-6 Hedgerow Data'!$BJ$3:$BJ$15,MATCH(D240,'G-6 Hedgerow Data'!$B$3:$B$15,0)),"")</f>
        <v/>
      </c>
    </row>
    <row r="241" spans="2:34" ht="14">
      <c r="B241" s="97">
        <v>230</v>
      </c>
      <c r="C241" s="171"/>
      <c r="D241" s="58"/>
      <c r="E241" s="138"/>
      <c r="F241" s="275" t="str">
        <f>IF(D241="","",VLOOKUP(D241,'G-6 Hedgerow Data'!$B$2:$AG$15,2,FALSE))</f>
        <v/>
      </c>
      <c r="G241" s="299" t="str">
        <f>IF(D241="","",VLOOKUP(D241,'G-6 Hedgerow Data'!$B$2:$AG$15,3,FALSE))</f>
        <v/>
      </c>
      <c r="H241" s="53"/>
      <c r="I241" s="276" t="str">
        <f>IFERROR(IF(H241="","",IF(AND(D241="Non-native and ornamental hedgerow",H241&lt;&gt;"Poor"),"Not possible ▲",(IF(AND(F241="V.Low",OR(H241="Good",H241="Moderate")),"Error ▲",VLOOKUP(H241,'G-1 All Habitats'!$Z$2:$AA$9,2,FALSE))))),"")</f>
        <v/>
      </c>
      <c r="J241" s="102"/>
      <c r="K241" s="295" t="str">
        <f>IF(J241="","",IF(VLOOKUP(J241,'G-3 Multipliers'!$L$3:$N$6,2,FALSE)=0,"Spatial Data Missing",VLOOKUP(J241,'G-3 Multipliers'!$L$3:$N$6,2,FALSE)))</f>
        <v/>
      </c>
      <c r="L241" s="299" t="str">
        <f>IF(J241="","",IF(VLOOKUP(J241,'G-3 Multipliers'!$L$3:$N$6,3,FALSE)=0,"Spatial Data Missing",VLOOKUP(J241,'G-3 Multipliers'!$L$3:$N$6,3,FALSE)))</f>
        <v/>
      </c>
      <c r="M241" s="134"/>
      <c r="N241" s="276" t="str">
        <f>IF(M241="","",IF(VLOOKUP(M241,'G-3 Multipliers'!$S$3:$T$10,2,FALSE)=0,"Spatial Data Missing ⚠",VLOOKUP(M241,'G-3 Multipliers'!$S$3:$T$10,2,FALSE)))</f>
        <v/>
      </c>
      <c r="O241" s="275" t="str">
        <f>IF(OR(D241="",H241=""),"",(INDEX('G-6 Hedgerow Data'!$E$3:$I$15,MATCH(D241,'G-6 Hedgerow Data'!$B$3:$B$15,0),MATCH(H241,'G-6 Hedgerow Data'!$E$2:$I$2,0))))</f>
        <v/>
      </c>
      <c r="P241" s="133"/>
      <c r="Q241" s="133"/>
      <c r="R241" s="283" t="str">
        <f t="shared" si="22"/>
        <v/>
      </c>
      <c r="S241" s="296" t="str">
        <f t="shared" si="23"/>
        <v/>
      </c>
      <c r="T241" s="297" t="str">
        <f t="shared" si="21"/>
        <v/>
      </c>
      <c r="U241" s="311" t="str">
        <f>IF(D241="","",VLOOKUP(D241,'G-6 Hedgerow Data'!$B$3:$AG$15,31,FALSE))</f>
        <v/>
      </c>
      <c r="V241" s="295" t="str">
        <f t="shared" si="24"/>
        <v/>
      </c>
      <c r="W241" s="283" t="str">
        <f t="shared" si="25"/>
        <v/>
      </c>
      <c r="X241" s="299" t="str">
        <f>IF(F241="","",VLOOKUP(U241,'G-3 Multipliers'!$P$3:$Q$6,2,FALSE))</f>
        <v/>
      </c>
      <c r="Y241" s="303" t="str">
        <f t="shared" si="26"/>
        <v/>
      </c>
      <c r="Z241" s="303" t="str">
        <f t="shared" si="27"/>
        <v/>
      </c>
      <c r="AA241" s="101"/>
      <c r="AB241" s="938"/>
      <c r="AC241" s="138"/>
      <c r="AD241" s="138"/>
      <c r="AE241" s="934"/>
      <c r="AH241" s="30" t="str">
        <f>IFERROR(INDEX('G-6 Hedgerow Data'!$BJ$3:$BJ$15,MATCH(D241,'G-6 Hedgerow Data'!$B$3:$B$15,0)),"")</f>
        <v/>
      </c>
    </row>
    <row r="242" spans="2:34" ht="14">
      <c r="B242" s="97">
        <v>231</v>
      </c>
      <c r="C242" s="171"/>
      <c r="D242" s="58"/>
      <c r="E242" s="138"/>
      <c r="F242" s="275" t="str">
        <f>IF(D242="","",VLOOKUP(D242,'G-6 Hedgerow Data'!$B$2:$AG$15,2,FALSE))</f>
        <v/>
      </c>
      <c r="G242" s="299" t="str">
        <f>IF(D242="","",VLOOKUP(D242,'G-6 Hedgerow Data'!$B$2:$AG$15,3,FALSE))</f>
        <v/>
      </c>
      <c r="H242" s="53"/>
      <c r="I242" s="276" t="str">
        <f>IFERROR(IF(H242="","",IF(AND(D242="Non-native and ornamental hedgerow",H242&lt;&gt;"Poor"),"Not possible ▲",(IF(AND(F242="V.Low",OR(H242="Good",H242="Moderate")),"Error ▲",VLOOKUP(H242,'G-1 All Habitats'!$Z$2:$AA$9,2,FALSE))))),"")</f>
        <v/>
      </c>
      <c r="J242" s="102"/>
      <c r="K242" s="295" t="str">
        <f>IF(J242="","",IF(VLOOKUP(J242,'G-3 Multipliers'!$L$3:$N$6,2,FALSE)=0,"Spatial Data Missing",VLOOKUP(J242,'G-3 Multipliers'!$L$3:$N$6,2,FALSE)))</f>
        <v/>
      </c>
      <c r="L242" s="299" t="str">
        <f>IF(J242="","",IF(VLOOKUP(J242,'G-3 Multipliers'!$L$3:$N$6,3,FALSE)=0,"Spatial Data Missing",VLOOKUP(J242,'G-3 Multipliers'!$L$3:$N$6,3,FALSE)))</f>
        <v/>
      </c>
      <c r="M242" s="134"/>
      <c r="N242" s="276" t="str">
        <f>IF(M242="","",IF(VLOOKUP(M242,'G-3 Multipliers'!$S$3:$T$10,2,FALSE)=0,"Spatial Data Missing ⚠",VLOOKUP(M242,'G-3 Multipliers'!$S$3:$T$10,2,FALSE)))</f>
        <v/>
      </c>
      <c r="O242" s="275" t="str">
        <f>IF(OR(D242="",H242=""),"",(INDEX('G-6 Hedgerow Data'!$E$3:$I$15,MATCH(D242,'G-6 Hedgerow Data'!$B$3:$B$15,0),MATCH(H242,'G-6 Hedgerow Data'!$E$2:$I$2,0))))</f>
        <v/>
      </c>
      <c r="P242" s="133"/>
      <c r="Q242" s="133"/>
      <c r="R242" s="283" t="str">
        <f t="shared" si="22"/>
        <v/>
      </c>
      <c r="S242" s="296" t="str">
        <f t="shared" si="23"/>
        <v/>
      </c>
      <c r="T242" s="297" t="str">
        <f t="shared" si="21"/>
        <v/>
      </c>
      <c r="U242" s="311" t="str">
        <f>IF(D242="","",VLOOKUP(D242,'G-6 Hedgerow Data'!$B$3:$AG$15,31,FALSE))</f>
        <v/>
      </c>
      <c r="V242" s="295" t="str">
        <f t="shared" si="24"/>
        <v/>
      </c>
      <c r="W242" s="283" t="str">
        <f t="shared" si="25"/>
        <v/>
      </c>
      <c r="X242" s="299" t="str">
        <f>IF(F242="","",VLOOKUP(U242,'G-3 Multipliers'!$P$3:$Q$6,2,FALSE))</f>
        <v/>
      </c>
      <c r="Y242" s="303" t="str">
        <f t="shared" si="26"/>
        <v/>
      </c>
      <c r="Z242" s="303" t="str">
        <f t="shared" si="27"/>
        <v/>
      </c>
      <c r="AA242" s="101"/>
      <c r="AB242" s="938"/>
      <c r="AC242" s="138"/>
      <c r="AD242" s="138"/>
      <c r="AE242" s="934"/>
      <c r="AH242" s="30" t="str">
        <f>IFERROR(INDEX('G-6 Hedgerow Data'!$BJ$3:$BJ$15,MATCH(D242,'G-6 Hedgerow Data'!$B$3:$B$15,0)),"")</f>
        <v/>
      </c>
    </row>
    <row r="243" spans="2:34" ht="14">
      <c r="B243" s="97">
        <v>232</v>
      </c>
      <c r="C243" s="171"/>
      <c r="D243" s="58"/>
      <c r="E243" s="138"/>
      <c r="F243" s="275" t="str">
        <f>IF(D243="","",VLOOKUP(D243,'G-6 Hedgerow Data'!$B$2:$AG$15,2,FALSE))</f>
        <v/>
      </c>
      <c r="G243" s="299" t="str">
        <f>IF(D243="","",VLOOKUP(D243,'G-6 Hedgerow Data'!$B$2:$AG$15,3,FALSE))</f>
        <v/>
      </c>
      <c r="H243" s="53"/>
      <c r="I243" s="276" t="str">
        <f>IFERROR(IF(H243="","",IF(AND(D243="Non-native and ornamental hedgerow",H243&lt;&gt;"Poor"),"Not possible ▲",(IF(AND(F243="V.Low",OR(H243="Good",H243="Moderate")),"Error ▲",VLOOKUP(H243,'G-1 All Habitats'!$Z$2:$AA$9,2,FALSE))))),"")</f>
        <v/>
      </c>
      <c r="J243" s="102"/>
      <c r="K243" s="295" t="str">
        <f>IF(J243="","",IF(VLOOKUP(J243,'G-3 Multipliers'!$L$3:$N$6,2,FALSE)=0,"Spatial Data Missing",VLOOKUP(J243,'G-3 Multipliers'!$L$3:$N$6,2,FALSE)))</f>
        <v/>
      </c>
      <c r="L243" s="299" t="str">
        <f>IF(J243="","",IF(VLOOKUP(J243,'G-3 Multipliers'!$L$3:$N$6,3,FALSE)=0,"Spatial Data Missing",VLOOKUP(J243,'G-3 Multipliers'!$L$3:$N$6,3,FALSE)))</f>
        <v/>
      </c>
      <c r="M243" s="134"/>
      <c r="N243" s="276" t="str">
        <f>IF(M243="","",IF(VLOOKUP(M243,'G-3 Multipliers'!$S$3:$T$10,2,FALSE)=0,"Spatial Data Missing ⚠",VLOOKUP(M243,'G-3 Multipliers'!$S$3:$T$10,2,FALSE)))</f>
        <v/>
      </c>
      <c r="O243" s="275" t="str">
        <f>IF(OR(D243="",H243=""),"",(INDEX('G-6 Hedgerow Data'!$E$3:$I$15,MATCH(D243,'G-6 Hedgerow Data'!$B$3:$B$15,0),MATCH(H243,'G-6 Hedgerow Data'!$E$2:$I$2,0))))</f>
        <v/>
      </c>
      <c r="P243" s="133"/>
      <c r="Q243" s="133"/>
      <c r="R243" s="283" t="str">
        <f t="shared" si="22"/>
        <v/>
      </c>
      <c r="S243" s="296" t="str">
        <f t="shared" si="23"/>
        <v/>
      </c>
      <c r="T243" s="297" t="str">
        <f t="shared" si="21"/>
        <v/>
      </c>
      <c r="U243" s="311" t="str">
        <f>IF(D243="","",VLOOKUP(D243,'G-6 Hedgerow Data'!$B$3:$AG$15,31,FALSE))</f>
        <v/>
      </c>
      <c r="V243" s="295" t="str">
        <f t="shared" si="24"/>
        <v/>
      </c>
      <c r="W243" s="283" t="str">
        <f t="shared" si="25"/>
        <v/>
      </c>
      <c r="X243" s="299" t="str">
        <f>IF(F243="","",VLOOKUP(U243,'G-3 Multipliers'!$P$3:$Q$6,2,FALSE))</f>
        <v/>
      </c>
      <c r="Y243" s="303" t="str">
        <f t="shared" si="26"/>
        <v/>
      </c>
      <c r="Z243" s="303" t="str">
        <f t="shared" si="27"/>
        <v/>
      </c>
      <c r="AA243" s="101"/>
      <c r="AB243" s="938"/>
      <c r="AC243" s="138"/>
      <c r="AD243" s="138"/>
      <c r="AE243" s="934"/>
      <c r="AH243" s="30" t="str">
        <f>IFERROR(INDEX('G-6 Hedgerow Data'!$BJ$3:$BJ$15,MATCH(D243,'G-6 Hedgerow Data'!$B$3:$B$15,0)),"")</f>
        <v/>
      </c>
    </row>
    <row r="244" spans="2:34" ht="14">
      <c r="B244" s="97">
        <v>233</v>
      </c>
      <c r="C244" s="171"/>
      <c r="D244" s="58"/>
      <c r="E244" s="138"/>
      <c r="F244" s="275" t="str">
        <f>IF(D244="","",VLOOKUP(D244,'G-6 Hedgerow Data'!$B$2:$AG$15,2,FALSE))</f>
        <v/>
      </c>
      <c r="G244" s="299" t="str">
        <f>IF(D244="","",VLOOKUP(D244,'G-6 Hedgerow Data'!$B$2:$AG$15,3,FALSE))</f>
        <v/>
      </c>
      <c r="H244" s="53"/>
      <c r="I244" s="276" t="str">
        <f>IFERROR(IF(H244="","",IF(AND(D244="Non-native and ornamental hedgerow",H244&lt;&gt;"Poor"),"Not possible ▲",(IF(AND(F244="V.Low",OR(H244="Good",H244="Moderate")),"Error ▲",VLOOKUP(H244,'G-1 All Habitats'!$Z$2:$AA$9,2,FALSE))))),"")</f>
        <v/>
      </c>
      <c r="J244" s="102"/>
      <c r="K244" s="295" t="str">
        <f>IF(J244="","",IF(VLOOKUP(J244,'G-3 Multipliers'!$L$3:$N$6,2,FALSE)=0,"Spatial Data Missing",VLOOKUP(J244,'G-3 Multipliers'!$L$3:$N$6,2,FALSE)))</f>
        <v/>
      </c>
      <c r="L244" s="299" t="str">
        <f>IF(J244="","",IF(VLOOKUP(J244,'G-3 Multipliers'!$L$3:$N$6,3,FALSE)=0,"Spatial Data Missing",VLOOKUP(J244,'G-3 Multipliers'!$L$3:$N$6,3,FALSE)))</f>
        <v/>
      </c>
      <c r="M244" s="134"/>
      <c r="N244" s="276" t="str">
        <f>IF(M244="","",IF(VLOOKUP(M244,'G-3 Multipliers'!$S$3:$T$10,2,FALSE)=0,"Spatial Data Missing ⚠",VLOOKUP(M244,'G-3 Multipliers'!$S$3:$T$10,2,FALSE)))</f>
        <v/>
      </c>
      <c r="O244" s="275" t="str">
        <f>IF(OR(D244="",H244=""),"",(INDEX('G-6 Hedgerow Data'!$E$3:$I$15,MATCH(D244,'G-6 Hedgerow Data'!$B$3:$B$15,0),MATCH(H244,'G-6 Hedgerow Data'!$E$2:$I$2,0))))</f>
        <v/>
      </c>
      <c r="P244" s="133"/>
      <c r="Q244" s="133"/>
      <c r="R244" s="283" t="str">
        <f t="shared" si="22"/>
        <v/>
      </c>
      <c r="S244" s="296" t="str">
        <f t="shared" si="23"/>
        <v/>
      </c>
      <c r="T244" s="297" t="str">
        <f t="shared" si="21"/>
        <v/>
      </c>
      <c r="U244" s="311" t="str">
        <f>IF(D244="","",VLOOKUP(D244,'G-6 Hedgerow Data'!$B$3:$AG$15,31,FALSE))</f>
        <v/>
      </c>
      <c r="V244" s="295" t="str">
        <f t="shared" si="24"/>
        <v/>
      </c>
      <c r="W244" s="283" t="str">
        <f t="shared" si="25"/>
        <v/>
      </c>
      <c r="X244" s="299" t="str">
        <f>IF(F244="","",VLOOKUP(U244,'G-3 Multipliers'!$P$3:$Q$6,2,FALSE))</f>
        <v/>
      </c>
      <c r="Y244" s="303" t="str">
        <f t="shared" si="26"/>
        <v/>
      </c>
      <c r="Z244" s="303" t="str">
        <f t="shared" si="27"/>
        <v/>
      </c>
      <c r="AA244" s="101"/>
      <c r="AB244" s="938"/>
      <c r="AC244" s="138"/>
      <c r="AD244" s="138"/>
      <c r="AE244" s="934"/>
      <c r="AH244" s="30" t="str">
        <f>IFERROR(INDEX('G-6 Hedgerow Data'!$BJ$3:$BJ$15,MATCH(D244,'G-6 Hedgerow Data'!$B$3:$B$15,0)),"")</f>
        <v/>
      </c>
    </row>
    <row r="245" spans="2:34" ht="14">
      <c r="B245" s="97">
        <v>234</v>
      </c>
      <c r="C245" s="171"/>
      <c r="D245" s="58"/>
      <c r="E245" s="138"/>
      <c r="F245" s="275" t="str">
        <f>IF(D245="","",VLOOKUP(D245,'G-6 Hedgerow Data'!$B$2:$AG$15,2,FALSE))</f>
        <v/>
      </c>
      <c r="G245" s="299" t="str">
        <f>IF(D245="","",VLOOKUP(D245,'G-6 Hedgerow Data'!$B$2:$AG$15,3,FALSE))</f>
        <v/>
      </c>
      <c r="H245" s="53"/>
      <c r="I245" s="276" t="str">
        <f>IFERROR(IF(H245="","",IF(AND(D245="Non-native and ornamental hedgerow",H245&lt;&gt;"Poor"),"Not possible ▲",(IF(AND(F245="V.Low",OR(H245="Good",H245="Moderate")),"Error ▲",VLOOKUP(H245,'G-1 All Habitats'!$Z$2:$AA$9,2,FALSE))))),"")</f>
        <v/>
      </c>
      <c r="J245" s="102"/>
      <c r="K245" s="295" t="str">
        <f>IF(J245="","",IF(VLOOKUP(J245,'G-3 Multipliers'!$L$3:$N$6,2,FALSE)=0,"Spatial Data Missing",VLOOKUP(J245,'G-3 Multipliers'!$L$3:$N$6,2,FALSE)))</f>
        <v/>
      </c>
      <c r="L245" s="299" t="str">
        <f>IF(J245="","",IF(VLOOKUP(J245,'G-3 Multipliers'!$L$3:$N$6,3,FALSE)=0,"Spatial Data Missing",VLOOKUP(J245,'G-3 Multipliers'!$L$3:$N$6,3,FALSE)))</f>
        <v/>
      </c>
      <c r="M245" s="134"/>
      <c r="N245" s="276" t="str">
        <f>IF(M245="","",IF(VLOOKUP(M245,'G-3 Multipliers'!$S$3:$T$10,2,FALSE)=0,"Spatial Data Missing ⚠",VLOOKUP(M245,'G-3 Multipliers'!$S$3:$T$10,2,FALSE)))</f>
        <v/>
      </c>
      <c r="O245" s="275" t="str">
        <f>IF(OR(D245="",H245=""),"",(INDEX('G-6 Hedgerow Data'!$E$3:$I$15,MATCH(D245,'G-6 Hedgerow Data'!$B$3:$B$15,0),MATCH(H245,'G-6 Hedgerow Data'!$E$2:$I$2,0))))</f>
        <v/>
      </c>
      <c r="P245" s="133"/>
      <c r="Q245" s="133"/>
      <c r="R245" s="283" t="str">
        <f t="shared" si="22"/>
        <v/>
      </c>
      <c r="S245" s="296" t="str">
        <f t="shared" si="23"/>
        <v/>
      </c>
      <c r="T245" s="297" t="str">
        <f t="shared" si="21"/>
        <v/>
      </c>
      <c r="U245" s="311" t="str">
        <f>IF(D245="","",VLOOKUP(D245,'G-6 Hedgerow Data'!$B$3:$AG$15,31,FALSE))</f>
        <v/>
      </c>
      <c r="V245" s="295" t="str">
        <f t="shared" si="24"/>
        <v/>
      </c>
      <c r="W245" s="283" t="str">
        <f t="shared" si="25"/>
        <v/>
      </c>
      <c r="X245" s="299" t="str">
        <f>IF(F245="","",VLOOKUP(U245,'G-3 Multipliers'!$P$3:$Q$6,2,FALSE))</f>
        <v/>
      </c>
      <c r="Y245" s="303" t="str">
        <f t="shared" si="26"/>
        <v/>
      </c>
      <c r="Z245" s="303" t="str">
        <f t="shared" si="27"/>
        <v/>
      </c>
      <c r="AA245" s="101"/>
      <c r="AB245" s="938"/>
      <c r="AC245" s="138"/>
      <c r="AD245" s="138"/>
      <c r="AE245" s="934"/>
      <c r="AH245" s="30" t="str">
        <f>IFERROR(INDEX('G-6 Hedgerow Data'!$BJ$3:$BJ$15,MATCH(D245,'G-6 Hedgerow Data'!$B$3:$B$15,0)),"")</f>
        <v/>
      </c>
    </row>
    <row r="246" spans="2:34" ht="14">
      <c r="B246" s="97">
        <v>235</v>
      </c>
      <c r="C246" s="171"/>
      <c r="D246" s="58"/>
      <c r="E246" s="138"/>
      <c r="F246" s="275" t="str">
        <f>IF(D246="","",VLOOKUP(D246,'G-6 Hedgerow Data'!$B$2:$AG$15,2,FALSE))</f>
        <v/>
      </c>
      <c r="G246" s="299" t="str">
        <f>IF(D246="","",VLOOKUP(D246,'G-6 Hedgerow Data'!$B$2:$AG$15,3,FALSE))</f>
        <v/>
      </c>
      <c r="H246" s="53"/>
      <c r="I246" s="276" t="str">
        <f>IFERROR(IF(H246="","",IF(AND(D246="Non-native and ornamental hedgerow",H246&lt;&gt;"Poor"),"Not possible ▲",(IF(AND(F246="V.Low",OR(H246="Good",H246="Moderate")),"Error ▲",VLOOKUP(H246,'G-1 All Habitats'!$Z$2:$AA$9,2,FALSE))))),"")</f>
        <v/>
      </c>
      <c r="J246" s="102"/>
      <c r="K246" s="295" t="str">
        <f>IF(J246="","",IF(VLOOKUP(J246,'G-3 Multipliers'!$L$3:$N$6,2,FALSE)=0,"Spatial Data Missing",VLOOKUP(J246,'G-3 Multipliers'!$L$3:$N$6,2,FALSE)))</f>
        <v/>
      </c>
      <c r="L246" s="299" t="str">
        <f>IF(J246="","",IF(VLOOKUP(J246,'G-3 Multipliers'!$L$3:$N$6,3,FALSE)=0,"Spatial Data Missing",VLOOKUP(J246,'G-3 Multipliers'!$L$3:$N$6,3,FALSE)))</f>
        <v/>
      </c>
      <c r="M246" s="134"/>
      <c r="N246" s="276" t="str">
        <f>IF(M246="","",IF(VLOOKUP(M246,'G-3 Multipliers'!$S$3:$T$10,2,FALSE)=0,"Spatial Data Missing ⚠",VLOOKUP(M246,'G-3 Multipliers'!$S$3:$T$10,2,FALSE)))</f>
        <v/>
      </c>
      <c r="O246" s="275" t="str">
        <f>IF(OR(D246="",H246=""),"",(INDEX('G-6 Hedgerow Data'!$E$3:$I$15,MATCH(D246,'G-6 Hedgerow Data'!$B$3:$B$15,0),MATCH(H246,'G-6 Hedgerow Data'!$E$2:$I$2,0))))</f>
        <v/>
      </c>
      <c r="P246" s="133"/>
      <c r="Q246" s="133"/>
      <c r="R246" s="283" t="str">
        <f t="shared" si="22"/>
        <v/>
      </c>
      <c r="S246" s="296" t="str">
        <f t="shared" si="23"/>
        <v/>
      </c>
      <c r="T246" s="297" t="str">
        <f t="shared" si="21"/>
        <v/>
      </c>
      <c r="U246" s="311" t="str">
        <f>IF(D246="","",VLOOKUP(D246,'G-6 Hedgerow Data'!$B$3:$AG$15,31,FALSE))</f>
        <v/>
      </c>
      <c r="V246" s="295" t="str">
        <f t="shared" si="24"/>
        <v/>
      </c>
      <c r="W246" s="283" t="str">
        <f t="shared" si="25"/>
        <v/>
      </c>
      <c r="X246" s="299" t="str">
        <f>IF(F246="","",VLOOKUP(U246,'G-3 Multipliers'!$P$3:$Q$6,2,FALSE))</f>
        <v/>
      </c>
      <c r="Y246" s="303" t="str">
        <f t="shared" si="26"/>
        <v/>
      </c>
      <c r="Z246" s="303" t="str">
        <f t="shared" si="27"/>
        <v/>
      </c>
      <c r="AA246" s="101"/>
      <c r="AB246" s="938"/>
      <c r="AC246" s="138"/>
      <c r="AD246" s="138"/>
      <c r="AE246" s="934"/>
      <c r="AH246" s="30" t="str">
        <f>IFERROR(INDEX('G-6 Hedgerow Data'!$BJ$3:$BJ$15,MATCH(D246,'G-6 Hedgerow Data'!$B$3:$B$15,0)),"")</f>
        <v/>
      </c>
    </row>
    <row r="247" spans="2:34" ht="14">
      <c r="B247" s="97">
        <v>236</v>
      </c>
      <c r="C247" s="171"/>
      <c r="D247" s="58"/>
      <c r="E247" s="138"/>
      <c r="F247" s="275" t="str">
        <f>IF(D247="","",VLOOKUP(D247,'G-6 Hedgerow Data'!$B$2:$AG$15,2,FALSE))</f>
        <v/>
      </c>
      <c r="G247" s="299" t="str">
        <f>IF(D247="","",VLOOKUP(D247,'G-6 Hedgerow Data'!$B$2:$AG$15,3,FALSE))</f>
        <v/>
      </c>
      <c r="H247" s="53"/>
      <c r="I247" s="276" t="str">
        <f>IFERROR(IF(H247="","",IF(AND(D247="Non-native and ornamental hedgerow",H247&lt;&gt;"Poor"),"Not possible ▲",(IF(AND(F247="V.Low",OR(H247="Good",H247="Moderate")),"Error ▲",VLOOKUP(H247,'G-1 All Habitats'!$Z$2:$AA$9,2,FALSE))))),"")</f>
        <v/>
      </c>
      <c r="J247" s="102"/>
      <c r="K247" s="295" t="str">
        <f>IF(J247="","",IF(VLOOKUP(J247,'G-3 Multipliers'!$L$3:$N$6,2,FALSE)=0,"Spatial Data Missing",VLOOKUP(J247,'G-3 Multipliers'!$L$3:$N$6,2,FALSE)))</f>
        <v/>
      </c>
      <c r="L247" s="299" t="str">
        <f>IF(J247="","",IF(VLOOKUP(J247,'G-3 Multipliers'!$L$3:$N$6,3,FALSE)=0,"Spatial Data Missing",VLOOKUP(J247,'G-3 Multipliers'!$L$3:$N$6,3,FALSE)))</f>
        <v/>
      </c>
      <c r="M247" s="134"/>
      <c r="N247" s="276" t="str">
        <f>IF(M247="","",IF(VLOOKUP(M247,'G-3 Multipliers'!$S$3:$T$10,2,FALSE)=0,"Spatial Data Missing ⚠",VLOOKUP(M247,'G-3 Multipliers'!$S$3:$T$10,2,FALSE)))</f>
        <v/>
      </c>
      <c r="O247" s="275" t="str">
        <f>IF(OR(D247="",H247=""),"",(INDEX('G-6 Hedgerow Data'!$E$3:$I$15,MATCH(D247,'G-6 Hedgerow Data'!$B$3:$B$15,0),MATCH(H247,'G-6 Hedgerow Data'!$E$2:$I$2,0))))</f>
        <v/>
      </c>
      <c r="P247" s="133"/>
      <c r="Q247" s="133"/>
      <c r="R247" s="283" t="str">
        <f t="shared" si="22"/>
        <v/>
      </c>
      <c r="S247" s="296" t="str">
        <f t="shared" si="23"/>
        <v/>
      </c>
      <c r="T247" s="297" t="str">
        <f t="shared" si="21"/>
        <v/>
      </c>
      <c r="U247" s="311" t="str">
        <f>IF(D247="","",VLOOKUP(D247,'G-6 Hedgerow Data'!$B$3:$AG$15,31,FALSE))</f>
        <v/>
      </c>
      <c r="V247" s="295" t="str">
        <f t="shared" si="24"/>
        <v/>
      </c>
      <c r="W247" s="283" t="str">
        <f t="shared" si="25"/>
        <v/>
      </c>
      <c r="X247" s="299" t="str">
        <f>IF(F247="","",VLOOKUP(U247,'G-3 Multipliers'!$P$3:$Q$6,2,FALSE))</f>
        <v/>
      </c>
      <c r="Y247" s="303" t="str">
        <f t="shared" si="26"/>
        <v/>
      </c>
      <c r="Z247" s="303" t="str">
        <f t="shared" si="27"/>
        <v/>
      </c>
      <c r="AA247" s="101"/>
      <c r="AB247" s="938"/>
      <c r="AC247" s="138"/>
      <c r="AD247" s="138"/>
      <c r="AE247" s="934"/>
      <c r="AH247" s="30" t="str">
        <f>IFERROR(INDEX('G-6 Hedgerow Data'!$BJ$3:$BJ$15,MATCH(D247,'G-6 Hedgerow Data'!$B$3:$B$15,0)),"")</f>
        <v/>
      </c>
    </row>
    <row r="248" spans="2:34" ht="14">
      <c r="B248" s="97">
        <v>237</v>
      </c>
      <c r="C248" s="171"/>
      <c r="D248" s="58"/>
      <c r="E248" s="138"/>
      <c r="F248" s="275" t="str">
        <f>IF(D248="","",VLOOKUP(D248,'G-6 Hedgerow Data'!$B$2:$AG$15,2,FALSE))</f>
        <v/>
      </c>
      <c r="G248" s="299" t="str">
        <f>IF(D248="","",VLOOKUP(D248,'G-6 Hedgerow Data'!$B$2:$AG$15,3,FALSE))</f>
        <v/>
      </c>
      <c r="H248" s="53"/>
      <c r="I248" s="276" t="str">
        <f>IFERROR(IF(H248="","",IF(AND(D248="Non-native and ornamental hedgerow",H248&lt;&gt;"Poor"),"Not possible ▲",(IF(AND(F248="V.Low",OR(H248="Good",H248="Moderate")),"Error ▲",VLOOKUP(H248,'G-1 All Habitats'!$Z$2:$AA$9,2,FALSE))))),"")</f>
        <v/>
      </c>
      <c r="J248" s="102"/>
      <c r="K248" s="295" t="str">
        <f>IF(J248="","",IF(VLOOKUP(J248,'G-3 Multipliers'!$L$3:$N$6,2,FALSE)=0,"Spatial Data Missing",VLOOKUP(J248,'G-3 Multipliers'!$L$3:$N$6,2,FALSE)))</f>
        <v/>
      </c>
      <c r="L248" s="299" t="str">
        <f>IF(J248="","",IF(VLOOKUP(J248,'G-3 Multipliers'!$L$3:$N$6,3,FALSE)=0,"Spatial Data Missing",VLOOKUP(J248,'G-3 Multipliers'!$L$3:$N$6,3,FALSE)))</f>
        <v/>
      </c>
      <c r="M248" s="134"/>
      <c r="N248" s="276" t="str">
        <f>IF(M248="","",IF(VLOOKUP(M248,'G-3 Multipliers'!$S$3:$T$10,2,FALSE)=0,"Spatial Data Missing ⚠",VLOOKUP(M248,'G-3 Multipliers'!$S$3:$T$10,2,FALSE)))</f>
        <v/>
      </c>
      <c r="O248" s="275" t="str">
        <f>IF(OR(D248="",H248=""),"",(INDEX('G-6 Hedgerow Data'!$E$3:$I$15,MATCH(D248,'G-6 Hedgerow Data'!$B$3:$B$15,0),MATCH(H248,'G-6 Hedgerow Data'!$E$2:$I$2,0))))</f>
        <v/>
      </c>
      <c r="P248" s="133"/>
      <c r="Q248" s="133"/>
      <c r="R248" s="283" t="str">
        <f t="shared" si="22"/>
        <v/>
      </c>
      <c r="S248" s="296" t="str">
        <f t="shared" si="23"/>
        <v/>
      </c>
      <c r="T248" s="297" t="str">
        <f t="shared" si="21"/>
        <v/>
      </c>
      <c r="U248" s="311" t="str">
        <f>IF(D248="","",VLOOKUP(D248,'G-6 Hedgerow Data'!$B$3:$AG$15,31,FALSE))</f>
        <v/>
      </c>
      <c r="V248" s="295" t="str">
        <f t="shared" si="24"/>
        <v/>
      </c>
      <c r="W248" s="283" t="str">
        <f t="shared" si="25"/>
        <v/>
      </c>
      <c r="X248" s="299" t="str">
        <f>IF(F248="","",VLOOKUP(U248,'G-3 Multipliers'!$P$3:$Q$6,2,FALSE))</f>
        <v/>
      </c>
      <c r="Y248" s="303" t="str">
        <f t="shared" si="26"/>
        <v/>
      </c>
      <c r="Z248" s="303" t="str">
        <f t="shared" si="27"/>
        <v/>
      </c>
      <c r="AA248" s="101"/>
      <c r="AB248" s="938"/>
      <c r="AC248" s="138"/>
      <c r="AD248" s="138"/>
      <c r="AE248" s="934"/>
      <c r="AH248" s="30" t="str">
        <f>IFERROR(INDEX('G-6 Hedgerow Data'!$BJ$3:$BJ$15,MATCH(D248,'G-6 Hedgerow Data'!$B$3:$B$15,0)),"")</f>
        <v/>
      </c>
    </row>
    <row r="249" spans="2:34" ht="14">
      <c r="B249" s="97">
        <v>238</v>
      </c>
      <c r="C249" s="171"/>
      <c r="D249" s="58"/>
      <c r="E249" s="138"/>
      <c r="F249" s="275" t="str">
        <f>IF(D249="","",VLOOKUP(D249,'G-6 Hedgerow Data'!$B$2:$AG$15,2,FALSE))</f>
        <v/>
      </c>
      <c r="G249" s="299" t="str">
        <f>IF(D249="","",VLOOKUP(D249,'G-6 Hedgerow Data'!$B$2:$AG$15,3,FALSE))</f>
        <v/>
      </c>
      <c r="H249" s="53"/>
      <c r="I249" s="276" t="str">
        <f>IFERROR(IF(H249="","",IF(AND(D249="Non-native and ornamental hedgerow",H249&lt;&gt;"Poor"),"Not possible ▲",(IF(AND(F249="V.Low",OR(H249="Good",H249="Moderate")),"Error ▲",VLOOKUP(H249,'G-1 All Habitats'!$Z$2:$AA$9,2,FALSE))))),"")</f>
        <v/>
      </c>
      <c r="J249" s="102"/>
      <c r="K249" s="295" t="str">
        <f>IF(J249="","",IF(VLOOKUP(J249,'G-3 Multipliers'!$L$3:$N$6,2,FALSE)=0,"Spatial Data Missing",VLOOKUP(J249,'G-3 Multipliers'!$L$3:$N$6,2,FALSE)))</f>
        <v/>
      </c>
      <c r="L249" s="299" t="str">
        <f>IF(J249="","",IF(VLOOKUP(J249,'G-3 Multipliers'!$L$3:$N$6,3,FALSE)=0,"Spatial Data Missing",VLOOKUP(J249,'G-3 Multipliers'!$L$3:$N$6,3,FALSE)))</f>
        <v/>
      </c>
      <c r="M249" s="134"/>
      <c r="N249" s="276" t="str">
        <f>IF(M249="","",IF(VLOOKUP(M249,'G-3 Multipliers'!$S$3:$T$10,2,FALSE)=0,"Spatial Data Missing ⚠",VLOOKUP(M249,'G-3 Multipliers'!$S$3:$T$10,2,FALSE)))</f>
        <v/>
      </c>
      <c r="O249" s="275" t="str">
        <f>IF(OR(D249="",H249=""),"",(INDEX('G-6 Hedgerow Data'!$E$3:$I$15,MATCH(D249,'G-6 Hedgerow Data'!$B$3:$B$15,0),MATCH(H249,'G-6 Hedgerow Data'!$E$2:$I$2,0))))</f>
        <v/>
      </c>
      <c r="P249" s="133"/>
      <c r="Q249" s="133"/>
      <c r="R249" s="283" t="str">
        <f t="shared" si="22"/>
        <v/>
      </c>
      <c r="S249" s="296" t="str">
        <f t="shared" si="23"/>
        <v/>
      </c>
      <c r="T249" s="297" t="str">
        <f t="shared" si="21"/>
        <v/>
      </c>
      <c r="U249" s="311" t="str">
        <f>IF(D249="","",VLOOKUP(D249,'G-6 Hedgerow Data'!$B$3:$AG$15,31,FALSE))</f>
        <v/>
      </c>
      <c r="V249" s="295" t="str">
        <f t="shared" si="24"/>
        <v/>
      </c>
      <c r="W249" s="283" t="str">
        <f t="shared" si="25"/>
        <v/>
      </c>
      <c r="X249" s="299" t="str">
        <f>IF(F249="","",VLOOKUP(U249,'G-3 Multipliers'!$P$3:$Q$6,2,FALSE))</f>
        <v/>
      </c>
      <c r="Y249" s="303" t="str">
        <f t="shared" si="26"/>
        <v/>
      </c>
      <c r="Z249" s="303" t="str">
        <f t="shared" si="27"/>
        <v/>
      </c>
      <c r="AA249" s="101"/>
      <c r="AB249" s="938"/>
      <c r="AC249" s="138"/>
      <c r="AD249" s="138"/>
      <c r="AE249" s="934"/>
      <c r="AH249" s="30" t="str">
        <f>IFERROR(INDEX('G-6 Hedgerow Data'!$BJ$3:$BJ$15,MATCH(D249,'G-6 Hedgerow Data'!$B$3:$B$15,0)),"")</f>
        <v/>
      </c>
    </row>
    <row r="250" spans="2:34" ht="14">
      <c r="B250" s="97">
        <v>239</v>
      </c>
      <c r="C250" s="171"/>
      <c r="D250" s="58"/>
      <c r="E250" s="138"/>
      <c r="F250" s="275" t="str">
        <f>IF(D250="","",VLOOKUP(D250,'G-6 Hedgerow Data'!$B$2:$AG$15,2,FALSE))</f>
        <v/>
      </c>
      <c r="G250" s="299" t="str">
        <f>IF(D250="","",VLOOKUP(D250,'G-6 Hedgerow Data'!$B$2:$AG$15,3,FALSE))</f>
        <v/>
      </c>
      <c r="H250" s="53"/>
      <c r="I250" s="276" t="str">
        <f>IFERROR(IF(H250="","",IF(AND(D250="Non-native and ornamental hedgerow",H250&lt;&gt;"Poor"),"Not possible ▲",(IF(AND(F250="V.Low",OR(H250="Good",H250="Moderate")),"Error ▲",VLOOKUP(H250,'G-1 All Habitats'!$Z$2:$AA$9,2,FALSE))))),"")</f>
        <v/>
      </c>
      <c r="J250" s="102"/>
      <c r="K250" s="295" t="str">
        <f>IF(J250="","",IF(VLOOKUP(J250,'G-3 Multipliers'!$L$3:$N$6,2,FALSE)=0,"Spatial Data Missing",VLOOKUP(J250,'G-3 Multipliers'!$L$3:$N$6,2,FALSE)))</f>
        <v/>
      </c>
      <c r="L250" s="299" t="str">
        <f>IF(J250="","",IF(VLOOKUP(J250,'G-3 Multipliers'!$L$3:$N$6,3,FALSE)=0,"Spatial Data Missing",VLOOKUP(J250,'G-3 Multipliers'!$L$3:$N$6,3,FALSE)))</f>
        <v/>
      </c>
      <c r="M250" s="134"/>
      <c r="N250" s="276" t="str">
        <f>IF(M250="","",IF(VLOOKUP(M250,'G-3 Multipliers'!$S$3:$T$10,2,FALSE)=0,"Spatial Data Missing ⚠",VLOOKUP(M250,'G-3 Multipliers'!$S$3:$T$10,2,FALSE)))</f>
        <v/>
      </c>
      <c r="O250" s="275" t="str">
        <f>IF(OR(D250="",H250=""),"",(INDEX('G-6 Hedgerow Data'!$E$3:$I$15,MATCH(D250,'G-6 Hedgerow Data'!$B$3:$B$15,0),MATCH(H250,'G-6 Hedgerow Data'!$E$2:$I$2,0))))</f>
        <v/>
      </c>
      <c r="P250" s="133"/>
      <c r="Q250" s="133"/>
      <c r="R250" s="283" t="str">
        <f t="shared" si="22"/>
        <v/>
      </c>
      <c r="S250" s="296" t="str">
        <f t="shared" si="23"/>
        <v/>
      </c>
      <c r="T250" s="297" t="str">
        <f t="shared" si="21"/>
        <v/>
      </c>
      <c r="U250" s="311" t="str">
        <f>IF(D250="","",VLOOKUP(D250,'G-6 Hedgerow Data'!$B$3:$AG$15,31,FALSE))</f>
        <v/>
      </c>
      <c r="V250" s="295" t="str">
        <f t="shared" si="24"/>
        <v/>
      </c>
      <c r="W250" s="283" t="str">
        <f t="shared" si="25"/>
        <v/>
      </c>
      <c r="X250" s="299" t="str">
        <f>IF(F250="","",VLOOKUP(U250,'G-3 Multipliers'!$P$3:$Q$6,2,FALSE))</f>
        <v/>
      </c>
      <c r="Y250" s="303" t="str">
        <f t="shared" si="26"/>
        <v/>
      </c>
      <c r="Z250" s="303" t="str">
        <f t="shared" si="27"/>
        <v/>
      </c>
      <c r="AA250" s="101"/>
      <c r="AB250" s="938"/>
      <c r="AC250" s="138"/>
      <c r="AD250" s="138"/>
      <c r="AE250" s="934"/>
      <c r="AH250" s="30" t="str">
        <f>IFERROR(INDEX('G-6 Hedgerow Data'!$BJ$3:$BJ$15,MATCH(D250,'G-6 Hedgerow Data'!$B$3:$B$15,0)),"")</f>
        <v/>
      </c>
    </row>
    <row r="251" spans="2:34" ht="14">
      <c r="B251" s="97">
        <v>240</v>
      </c>
      <c r="C251" s="171"/>
      <c r="D251" s="58"/>
      <c r="E251" s="138"/>
      <c r="F251" s="275" t="str">
        <f>IF(D251="","",VLOOKUP(D251,'G-6 Hedgerow Data'!$B$2:$AG$15,2,FALSE))</f>
        <v/>
      </c>
      <c r="G251" s="299" t="str">
        <f>IF(D251="","",VLOOKUP(D251,'G-6 Hedgerow Data'!$B$2:$AG$15,3,FALSE))</f>
        <v/>
      </c>
      <c r="H251" s="53"/>
      <c r="I251" s="276" t="str">
        <f>IFERROR(IF(H251="","",IF(AND(D251="Non-native and ornamental hedgerow",H251&lt;&gt;"Poor"),"Not possible ▲",(IF(AND(F251="V.Low",OR(H251="Good",H251="Moderate")),"Error ▲",VLOOKUP(H251,'G-1 All Habitats'!$Z$2:$AA$9,2,FALSE))))),"")</f>
        <v/>
      </c>
      <c r="J251" s="102"/>
      <c r="K251" s="295" t="str">
        <f>IF(J251="","",IF(VLOOKUP(J251,'G-3 Multipliers'!$L$3:$N$6,2,FALSE)=0,"Spatial Data Missing",VLOOKUP(J251,'G-3 Multipliers'!$L$3:$N$6,2,FALSE)))</f>
        <v/>
      </c>
      <c r="L251" s="299" t="str">
        <f>IF(J251="","",IF(VLOOKUP(J251,'G-3 Multipliers'!$L$3:$N$6,3,FALSE)=0,"Spatial Data Missing",VLOOKUP(J251,'G-3 Multipliers'!$L$3:$N$6,3,FALSE)))</f>
        <v/>
      </c>
      <c r="M251" s="134"/>
      <c r="N251" s="276" t="str">
        <f>IF(M251="","",IF(VLOOKUP(M251,'G-3 Multipliers'!$S$3:$T$10,2,FALSE)=0,"Spatial Data Missing ⚠",VLOOKUP(M251,'G-3 Multipliers'!$S$3:$T$10,2,FALSE)))</f>
        <v/>
      </c>
      <c r="O251" s="275" t="str">
        <f>IF(OR(D251="",H251=""),"",(INDEX('G-6 Hedgerow Data'!$E$3:$I$15,MATCH(D251,'G-6 Hedgerow Data'!$B$3:$B$15,0),MATCH(H251,'G-6 Hedgerow Data'!$E$2:$I$2,0))))</f>
        <v/>
      </c>
      <c r="P251" s="133"/>
      <c r="Q251" s="133"/>
      <c r="R251" s="283" t="str">
        <f t="shared" si="22"/>
        <v/>
      </c>
      <c r="S251" s="296" t="str">
        <f t="shared" si="23"/>
        <v/>
      </c>
      <c r="T251" s="297" t="str">
        <f t="shared" si="21"/>
        <v/>
      </c>
      <c r="U251" s="311" t="str">
        <f>IF(D251="","",VLOOKUP(D251,'G-6 Hedgerow Data'!$B$3:$AG$15,31,FALSE))</f>
        <v/>
      </c>
      <c r="V251" s="295" t="str">
        <f t="shared" si="24"/>
        <v/>
      </c>
      <c r="W251" s="283" t="str">
        <f t="shared" si="25"/>
        <v/>
      </c>
      <c r="X251" s="299" t="str">
        <f>IF(F251="","",VLOOKUP(U251,'G-3 Multipliers'!$P$3:$Q$6,2,FALSE))</f>
        <v/>
      </c>
      <c r="Y251" s="303" t="str">
        <f t="shared" si="26"/>
        <v/>
      </c>
      <c r="Z251" s="303" t="str">
        <f t="shared" si="27"/>
        <v/>
      </c>
      <c r="AA251" s="101"/>
      <c r="AB251" s="938"/>
      <c r="AC251" s="138"/>
      <c r="AD251" s="138"/>
      <c r="AE251" s="934"/>
      <c r="AH251" s="30" t="str">
        <f>IFERROR(INDEX('G-6 Hedgerow Data'!$BJ$3:$BJ$15,MATCH(D251,'G-6 Hedgerow Data'!$B$3:$B$15,0)),"")</f>
        <v/>
      </c>
    </row>
    <row r="252" spans="2:34" ht="14">
      <c r="B252" s="97">
        <v>241</v>
      </c>
      <c r="C252" s="171"/>
      <c r="D252" s="58"/>
      <c r="E252" s="138"/>
      <c r="F252" s="275" t="str">
        <f>IF(D252="","",VLOOKUP(D252,'G-6 Hedgerow Data'!$B$2:$AG$15,2,FALSE))</f>
        <v/>
      </c>
      <c r="G252" s="299" t="str">
        <f>IF(D252="","",VLOOKUP(D252,'G-6 Hedgerow Data'!$B$2:$AG$15,3,FALSE))</f>
        <v/>
      </c>
      <c r="H252" s="53"/>
      <c r="I252" s="276" t="str">
        <f>IFERROR(IF(H252="","",IF(AND(D252="Non-native and ornamental hedgerow",H252&lt;&gt;"Poor"),"Not possible ▲",(IF(AND(F252="V.Low",OR(H252="Good",H252="Moderate")),"Error ▲",VLOOKUP(H252,'G-1 All Habitats'!$Z$2:$AA$9,2,FALSE))))),"")</f>
        <v/>
      </c>
      <c r="J252" s="102"/>
      <c r="K252" s="295" t="str">
        <f>IF(J252="","",IF(VLOOKUP(J252,'G-3 Multipliers'!$L$3:$N$6,2,FALSE)=0,"Spatial Data Missing",VLOOKUP(J252,'G-3 Multipliers'!$L$3:$N$6,2,FALSE)))</f>
        <v/>
      </c>
      <c r="L252" s="299" t="str">
        <f>IF(J252="","",IF(VLOOKUP(J252,'G-3 Multipliers'!$L$3:$N$6,3,FALSE)=0,"Spatial Data Missing",VLOOKUP(J252,'G-3 Multipliers'!$L$3:$N$6,3,FALSE)))</f>
        <v/>
      </c>
      <c r="M252" s="134"/>
      <c r="N252" s="276" t="str">
        <f>IF(M252="","",IF(VLOOKUP(M252,'G-3 Multipliers'!$S$3:$T$10,2,FALSE)=0,"Spatial Data Missing ⚠",VLOOKUP(M252,'G-3 Multipliers'!$S$3:$T$10,2,FALSE)))</f>
        <v/>
      </c>
      <c r="O252" s="275" t="str">
        <f>IF(OR(D252="",H252=""),"",(INDEX('G-6 Hedgerow Data'!$E$3:$I$15,MATCH(D252,'G-6 Hedgerow Data'!$B$3:$B$15,0),MATCH(H252,'G-6 Hedgerow Data'!$E$2:$I$2,0))))</f>
        <v/>
      </c>
      <c r="P252" s="133"/>
      <c r="Q252" s="133"/>
      <c r="R252" s="283" t="str">
        <f t="shared" si="22"/>
        <v/>
      </c>
      <c r="S252" s="296" t="str">
        <f t="shared" si="23"/>
        <v/>
      </c>
      <c r="T252" s="297" t="str">
        <f t="shared" si="21"/>
        <v/>
      </c>
      <c r="U252" s="311" t="str">
        <f>IF(D252="","",VLOOKUP(D252,'G-6 Hedgerow Data'!$B$3:$AG$15,31,FALSE))</f>
        <v/>
      </c>
      <c r="V252" s="295" t="str">
        <f t="shared" si="24"/>
        <v/>
      </c>
      <c r="W252" s="283" t="str">
        <f t="shared" si="25"/>
        <v/>
      </c>
      <c r="X252" s="299" t="str">
        <f>IF(F252="","",VLOOKUP(U252,'G-3 Multipliers'!$P$3:$Q$6,2,FALSE))</f>
        <v/>
      </c>
      <c r="Y252" s="303" t="str">
        <f t="shared" si="26"/>
        <v/>
      </c>
      <c r="Z252" s="303" t="str">
        <f t="shared" si="27"/>
        <v/>
      </c>
      <c r="AA252" s="101"/>
      <c r="AB252" s="938"/>
      <c r="AC252" s="138"/>
      <c r="AD252" s="138"/>
      <c r="AE252" s="934"/>
      <c r="AH252" s="30" t="str">
        <f>IFERROR(INDEX('G-6 Hedgerow Data'!$BJ$3:$BJ$15,MATCH(D252,'G-6 Hedgerow Data'!$B$3:$B$15,0)),"")</f>
        <v/>
      </c>
    </row>
    <row r="253" spans="2:34" ht="14">
      <c r="B253" s="97">
        <v>242</v>
      </c>
      <c r="C253" s="171"/>
      <c r="D253" s="58"/>
      <c r="E253" s="138"/>
      <c r="F253" s="275" t="str">
        <f>IF(D253="","",VLOOKUP(D253,'G-6 Hedgerow Data'!$B$2:$AG$15,2,FALSE))</f>
        <v/>
      </c>
      <c r="G253" s="299" t="str">
        <f>IF(D253="","",VLOOKUP(D253,'G-6 Hedgerow Data'!$B$2:$AG$15,3,FALSE))</f>
        <v/>
      </c>
      <c r="H253" s="53"/>
      <c r="I253" s="276" t="str">
        <f>IFERROR(IF(H253="","",IF(AND(D253="Non-native and ornamental hedgerow",H253&lt;&gt;"Poor"),"Not possible ▲",(IF(AND(F253="V.Low",OR(H253="Good",H253="Moderate")),"Error ▲",VLOOKUP(H253,'G-1 All Habitats'!$Z$2:$AA$9,2,FALSE))))),"")</f>
        <v/>
      </c>
      <c r="J253" s="102"/>
      <c r="K253" s="295" t="str">
        <f>IF(J253="","",IF(VLOOKUP(J253,'G-3 Multipliers'!$L$3:$N$6,2,FALSE)=0,"Spatial Data Missing",VLOOKUP(J253,'G-3 Multipliers'!$L$3:$N$6,2,FALSE)))</f>
        <v/>
      </c>
      <c r="L253" s="299" t="str">
        <f>IF(J253="","",IF(VLOOKUP(J253,'G-3 Multipliers'!$L$3:$N$6,3,FALSE)=0,"Spatial Data Missing",VLOOKUP(J253,'G-3 Multipliers'!$L$3:$N$6,3,FALSE)))</f>
        <v/>
      </c>
      <c r="M253" s="134"/>
      <c r="N253" s="276" t="str">
        <f>IF(M253="","",IF(VLOOKUP(M253,'G-3 Multipliers'!$S$3:$T$10,2,FALSE)=0,"Spatial Data Missing ⚠",VLOOKUP(M253,'G-3 Multipliers'!$S$3:$T$10,2,FALSE)))</f>
        <v/>
      </c>
      <c r="O253" s="275" t="str">
        <f>IF(OR(D253="",H253=""),"",(INDEX('G-6 Hedgerow Data'!$E$3:$I$15,MATCH(D253,'G-6 Hedgerow Data'!$B$3:$B$15,0),MATCH(H253,'G-6 Hedgerow Data'!$E$2:$I$2,0))))</f>
        <v/>
      </c>
      <c r="P253" s="133"/>
      <c r="Q253" s="133"/>
      <c r="R253" s="283" t="str">
        <f t="shared" si="22"/>
        <v/>
      </c>
      <c r="S253" s="296" t="str">
        <f t="shared" si="23"/>
        <v/>
      </c>
      <c r="T253" s="297" t="str">
        <f t="shared" si="21"/>
        <v/>
      </c>
      <c r="U253" s="311" t="str">
        <f>IF(D253="","",VLOOKUP(D253,'G-6 Hedgerow Data'!$B$3:$AG$15,31,FALSE))</f>
        <v/>
      </c>
      <c r="V253" s="295" t="str">
        <f t="shared" si="24"/>
        <v/>
      </c>
      <c r="W253" s="283" t="str">
        <f t="shared" si="25"/>
        <v/>
      </c>
      <c r="X253" s="299" t="str">
        <f>IF(F253="","",VLOOKUP(U253,'G-3 Multipliers'!$P$3:$Q$6,2,FALSE))</f>
        <v/>
      </c>
      <c r="Y253" s="303" t="str">
        <f t="shared" si="26"/>
        <v/>
      </c>
      <c r="Z253" s="303" t="str">
        <f t="shared" si="27"/>
        <v/>
      </c>
      <c r="AA253" s="101"/>
      <c r="AB253" s="938"/>
      <c r="AC253" s="138"/>
      <c r="AD253" s="138"/>
      <c r="AE253" s="934"/>
      <c r="AH253" s="30" t="str">
        <f>IFERROR(INDEX('G-6 Hedgerow Data'!$BJ$3:$BJ$15,MATCH(D253,'G-6 Hedgerow Data'!$B$3:$B$15,0)),"")</f>
        <v/>
      </c>
    </row>
    <row r="254" spans="2:34" ht="14">
      <c r="B254" s="97">
        <v>243</v>
      </c>
      <c r="C254" s="171"/>
      <c r="D254" s="58"/>
      <c r="E254" s="138"/>
      <c r="F254" s="275" t="str">
        <f>IF(D254="","",VLOOKUP(D254,'G-6 Hedgerow Data'!$B$2:$AG$15,2,FALSE))</f>
        <v/>
      </c>
      <c r="G254" s="299" t="str">
        <f>IF(D254="","",VLOOKUP(D254,'G-6 Hedgerow Data'!$B$2:$AG$15,3,FALSE))</f>
        <v/>
      </c>
      <c r="H254" s="53"/>
      <c r="I254" s="276" t="str">
        <f>IFERROR(IF(H254="","",IF(AND(D254="Non-native and ornamental hedgerow",H254&lt;&gt;"Poor"),"Not possible ▲",(IF(AND(F254="V.Low",OR(H254="Good",H254="Moderate")),"Error ▲",VLOOKUP(H254,'G-1 All Habitats'!$Z$2:$AA$9,2,FALSE))))),"")</f>
        <v/>
      </c>
      <c r="J254" s="102"/>
      <c r="K254" s="295" t="str">
        <f>IF(J254="","",IF(VLOOKUP(J254,'G-3 Multipliers'!$L$3:$N$6,2,FALSE)=0,"Spatial Data Missing",VLOOKUP(J254,'G-3 Multipliers'!$L$3:$N$6,2,FALSE)))</f>
        <v/>
      </c>
      <c r="L254" s="299" t="str">
        <f>IF(J254="","",IF(VLOOKUP(J254,'G-3 Multipliers'!$L$3:$N$6,3,FALSE)=0,"Spatial Data Missing",VLOOKUP(J254,'G-3 Multipliers'!$L$3:$N$6,3,FALSE)))</f>
        <v/>
      </c>
      <c r="M254" s="134"/>
      <c r="N254" s="276" t="str">
        <f>IF(M254="","",IF(VLOOKUP(M254,'G-3 Multipliers'!$S$3:$T$10,2,FALSE)=0,"Spatial Data Missing ⚠",VLOOKUP(M254,'G-3 Multipliers'!$S$3:$T$10,2,FALSE)))</f>
        <v/>
      </c>
      <c r="O254" s="275" t="str">
        <f>IF(OR(D254="",H254=""),"",(INDEX('G-6 Hedgerow Data'!$E$3:$I$15,MATCH(D254,'G-6 Hedgerow Data'!$B$3:$B$15,0),MATCH(H254,'G-6 Hedgerow Data'!$E$2:$I$2,0))))</f>
        <v/>
      </c>
      <c r="P254" s="133"/>
      <c r="Q254" s="133"/>
      <c r="R254" s="283" t="str">
        <f t="shared" si="22"/>
        <v/>
      </c>
      <c r="S254" s="296" t="str">
        <f t="shared" si="23"/>
        <v/>
      </c>
      <c r="T254" s="297" t="str">
        <f t="shared" si="21"/>
        <v/>
      </c>
      <c r="U254" s="311" t="str">
        <f>IF(D254="","",VLOOKUP(D254,'G-6 Hedgerow Data'!$B$3:$AG$15,31,FALSE))</f>
        <v/>
      </c>
      <c r="V254" s="295" t="str">
        <f t="shared" si="24"/>
        <v/>
      </c>
      <c r="W254" s="283" t="str">
        <f t="shared" si="25"/>
        <v/>
      </c>
      <c r="X254" s="299" t="str">
        <f>IF(F254="","",VLOOKUP(U254,'G-3 Multipliers'!$P$3:$Q$6,2,FALSE))</f>
        <v/>
      </c>
      <c r="Y254" s="303" t="str">
        <f t="shared" si="26"/>
        <v/>
      </c>
      <c r="Z254" s="303" t="str">
        <f t="shared" si="27"/>
        <v/>
      </c>
      <c r="AA254" s="101"/>
      <c r="AB254" s="938"/>
      <c r="AC254" s="138"/>
      <c r="AD254" s="138"/>
      <c r="AE254" s="934"/>
      <c r="AH254" s="30" t="str">
        <f>IFERROR(INDEX('G-6 Hedgerow Data'!$BJ$3:$BJ$15,MATCH(D254,'G-6 Hedgerow Data'!$B$3:$B$15,0)),"")</f>
        <v/>
      </c>
    </row>
    <row r="255" spans="2:34" ht="14">
      <c r="B255" s="97">
        <v>244</v>
      </c>
      <c r="C255" s="171"/>
      <c r="D255" s="58"/>
      <c r="E255" s="138"/>
      <c r="F255" s="275" t="str">
        <f>IF(D255="","",VLOOKUP(D255,'G-6 Hedgerow Data'!$B$2:$AG$15,2,FALSE))</f>
        <v/>
      </c>
      <c r="G255" s="299" t="str">
        <f>IF(D255="","",VLOOKUP(D255,'G-6 Hedgerow Data'!$B$2:$AG$15,3,FALSE))</f>
        <v/>
      </c>
      <c r="H255" s="53"/>
      <c r="I255" s="276" t="str">
        <f>IFERROR(IF(H255="","",IF(AND(D255="Non-native and ornamental hedgerow",H255&lt;&gt;"Poor"),"Not possible ▲",(IF(AND(F255="V.Low",OR(H255="Good",H255="Moderate")),"Error ▲",VLOOKUP(H255,'G-1 All Habitats'!$Z$2:$AA$9,2,FALSE))))),"")</f>
        <v/>
      </c>
      <c r="J255" s="102"/>
      <c r="K255" s="295" t="str">
        <f>IF(J255="","",IF(VLOOKUP(J255,'G-3 Multipliers'!$L$3:$N$6,2,FALSE)=0,"Spatial Data Missing",VLOOKUP(J255,'G-3 Multipliers'!$L$3:$N$6,2,FALSE)))</f>
        <v/>
      </c>
      <c r="L255" s="299" t="str">
        <f>IF(J255="","",IF(VLOOKUP(J255,'G-3 Multipliers'!$L$3:$N$6,3,FALSE)=0,"Spatial Data Missing",VLOOKUP(J255,'G-3 Multipliers'!$L$3:$N$6,3,FALSE)))</f>
        <v/>
      </c>
      <c r="M255" s="134"/>
      <c r="N255" s="276" t="str">
        <f>IF(M255="","",IF(VLOOKUP(M255,'G-3 Multipliers'!$S$3:$T$10,2,FALSE)=0,"Spatial Data Missing ⚠",VLOOKUP(M255,'G-3 Multipliers'!$S$3:$T$10,2,FALSE)))</f>
        <v/>
      </c>
      <c r="O255" s="275" t="str">
        <f>IF(OR(D255="",H255=""),"",(INDEX('G-6 Hedgerow Data'!$E$3:$I$15,MATCH(D255,'G-6 Hedgerow Data'!$B$3:$B$15,0),MATCH(H255,'G-6 Hedgerow Data'!$E$2:$I$2,0))))</f>
        <v/>
      </c>
      <c r="P255" s="133"/>
      <c r="Q255" s="133"/>
      <c r="R255" s="283" t="str">
        <f t="shared" si="22"/>
        <v/>
      </c>
      <c r="S255" s="296" t="str">
        <f t="shared" si="23"/>
        <v/>
      </c>
      <c r="T255" s="297" t="str">
        <f t="shared" si="21"/>
        <v/>
      </c>
      <c r="U255" s="311" t="str">
        <f>IF(D255="","",VLOOKUP(D255,'G-6 Hedgerow Data'!$B$3:$AG$15,31,FALSE))</f>
        <v/>
      </c>
      <c r="V255" s="295" t="str">
        <f t="shared" si="24"/>
        <v/>
      </c>
      <c r="W255" s="283" t="str">
        <f t="shared" si="25"/>
        <v/>
      </c>
      <c r="X255" s="299" t="str">
        <f>IF(F255="","",VLOOKUP(U255,'G-3 Multipliers'!$P$3:$Q$6,2,FALSE))</f>
        <v/>
      </c>
      <c r="Y255" s="303" t="str">
        <f t="shared" si="26"/>
        <v/>
      </c>
      <c r="Z255" s="303" t="str">
        <f t="shared" si="27"/>
        <v/>
      </c>
      <c r="AA255" s="101"/>
      <c r="AB255" s="938"/>
      <c r="AC255" s="138"/>
      <c r="AD255" s="138"/>
      <c r="AE255" s="934"/>
      <c r="AH255" s="30" t="str">
        <f>IFERROR(INDEX('G-6 Hedgerow Data'!$BJ$3:$BJ$15,MATCH(D255,'G-6 Hedgerow Data'!$B$3:$B$15,0)),"")</f>
        <v/>
      </c>
    </row>
    <row r="256" spans="2:34" ht="14">
      <c r="B256" s="97">
        <v>245</v>
      </c>
      <c r="C256" s="171"/>
      <c r="D256" s="58"/>
      <c r="E256" s="138"/>
      <c r="F256" s="275" t="str">
        <f>IF(D256="","",VLOOKUP(D256,'G-6 Hedgerow Data'!$B$2:$AG$15,2,FALSE))</f>
        <v/>
      </c>
      <c r="G256" s="299" t="str">
        <f>IF(D256="","",VLOOKUP(D256,'G-6 Hedgerow Data'!$B$2:$AG$15,3,FALSE))</f>
        <v/>
      </c>
      <c r="H256" s="53"/>
      <c r="I256" s="276" t="str">
        <f>IFERROR(IF(H256="","",IF(AND(D256="Non-native and ornamental hedgerow",H256&lt;&gt;"Poor"),"Not possible ▲",(IF(AND(F256="V.Low",OR(H256="Good",H256="Moderate")),"Error ▲",VLOOKUP(H256,'G-1 All Habitats'!$Z$2:$AA$9,2,FALSE))))),"")</f>
        <v/>
      </c>
      <c r="J256" s="102"/>
      <c r="K256" s="295" t="str">
        <f>IF(J256="","",IF(VLOOKUP(J256,'G-3 Multipliers'!$L$3:$N$6,2,FALSE)=0,"Spatial Data Missing",VLOOKUP(J256,'G-3 Multipliers'!$L$3:$N$6,2,FALSE)))</f>
        <v/>
      </c>
      <c r="L256" s="299" t="str">
        <f>IF(J256="","",IF(VLOOKUP(J256,'G-3 Multipliers'!$L$3:$N$6,3,FALSE)=0,"Spatial Data Missing",VLOOKUP(J256,'G-3 Multipliers'!$L$3:$N$6,3,FALSE)))</f>
        <v/>
      </c>
      <c r="M256" s="134"/>
      <c r="N256" s="276" t="str">
        <f>IF(M256="","",IF(VLOOKUP(M256,'G-3 Multipliers'!$S$3:$T$10,2,FALSE)=0,"Spatial Data Missing ⚠",VLOOKUP(M256,'G-3 Multipliers'!$S$3:$T$10,2,FALSE)))</f>
        <v/>
      </c>
      <c r="O256" s="275" t="str">
        <f>IF(OR(D256="",H256=""),"",(INDEX('G-6 Hedgerow Data'!$E$3:$I$15,MATCH(D256,'G-6 Hedgerow Data'!$B$3:$B$15,0),MATCH(H256,'G-6 Hedgerow Data'!$E$2:$I$2,0))))</f>
        <v/>
      </c>
      <c r="P256" s="133"/>
      <c r="Q256" s="133"/>
      <c r="R256" s="283" t="str">
        <f t="shared" si="22"/>
        <v/>
      </c>
      <c r="S256" s="296" t="str">
        <f t="shared" si="23"/>
        <v/>
      </c>
      <c r="T256" s="297" t="str">
        <f t="shared" si="21"/>
        <v/>
      </c>
      <c r="U256" s="311" t="str">
        <f>IF(D256="","",VLOOKUP(D256,'G-6 Hedgerow Data'!$B$3:$AG$15,31,FALSE))</f>
        <v/>
      </c>
      <c r="V256" s="295" t="str">
        <f t="shared" si="24"/>
        <v/>
      </c>
      <c r="W256" s="283" t="str">
        <f t="shared" si="25"/>
        <v/>
      </c>
      <c r="X256" s="299" t="str">
        <f>IF(F256="","",VLOOKUP(U256,'G-3 Multipliers'!$P$3:$Q$6,2,FALSE))</f>
        <v/>
      </c>
      <c r="Y256" s="303" t="str">
        <f t="shared" si="26"/>
        <v/>
      </c>
      <c r="Z256" s="303" t="str">
        <f t="shared" si="27"/>
        <v/>
      </c>
      <c r="AA256" s="101"/>
      <c r="AB256" s="938"/>
      <c r="AC256" s="138"/>
      <c r="AD256" s="138"/>
      <c r="AE256" s="934"/>
      <c r="AH256" s="30" t="str">
        <f>IFERROR(INDEX('G-6 Hedgerow Data'!$BJ$3:$BJ$15,MATCH(D256,'G-6 Hedgerow Data'!$B$3:$B$15,0)),"")</f>
        <v/>
      </c>
    </row>
    <row r="257" spans="2:34" ht="14">
      <c r="B257" s="97">
        <v>246</v>
      </c>
      <c r="C257" s="171"/>
      <c r="D257" s="58"/>
      <c r="E257" s="138"/>
      <c r="F257" s="275" t="str">
        <f>IF(D257="","",VLOOKUP(D257,'G-6 Hedgerow Data'!$B$2:$AG$15,2,FALSE))</f>
        <v/>
      </c>
      <c r="G257" s="299" t="str">
        <f>IF(D257="","",VLOOKUP(D257,'G-6 Hedgerow Data'!$B$2:$AG$15,3,FALSE))</f>
        <v/>
      </c>
      <c r="H257" s="53"/>
      <c r="I257" s="276" t="str">
        <f>IFERROR(IF(H257="","",IF(AND(D257="Non-native and ornamental hedgerow",H257&lt;&gt;"Poor"),"Not possible ▲",(IF(AND(F257="V.Low",OR(H257="Good",H257="Moderate")),"Error ▲",VLOOKUP(H257,'G-1 All Habitats'!$Z$2:$AA$9,2,FALSE))))),"")</f>
        <v/>
      </c>
      <c r="J257" s="102"/>
      <c r="K257" s="295" t="str">
        <f>IF(J257="","",IF(VLOOKUP(J257,'G-3 Multipliers'!$L$3:$N$6,2,FALSE)=0,"Spatial Data Missing",VLOOKUP(J257,'G-3 Multipliers'!$L$3:$N$6,2,FALSE)))</f>
        <v/>
      </c>
      <c r="L257" s="299" t="str">
        <f>IF(J257="","",IF(VLOOKUP(J257,'G-3 Multipliers'!$L$3:$N$6,3,FALSE)=0,"Spatial Data Missing",VLOOKUP(J257,'G-3 Multipliers'!$L$3:$N$6,3,FALSE)))</f>
        <v/>
      </c>
      <c r="M257" s="134"/>
      <c r="N257" s="276" t="str">
        <f>IF(M257="","",IF(VLOOKUP(M257,'G-3 Multipliers'!$S$3:$T$10,2,FALSE)=0,"Spatial Data Missing ⚠",VLOOKUP(M257,'G-3 Multipliers'!$S$3:$T$10,2,FALSE)))</f>
        <v/>
      </c>
      <c r="O257" s="275" t="str">
        <f>IF(OR(D257="",H257=""),"",(INDEX('G-6 Hedgerow Data'!$E$3:$I$15,MATCH(D257,'G-6 Hedgerow Data'!$B$3:$B$15,0),MATCH(H257,'G-6 Hedgerow Data'!$E$2:$I$2,0))))</f>
        <v/>
      </c>
      <c r="P257" s="133"/>
      <c r="Q257" s="133"/>
      <c r="R257" s="283" t="str">
        <f t="shared" si="22"/>
        <v/>
      </c>
      <c r="S257" s="296" t="str">
        <f t="shared" si="23"/>
        <v/>
      </c>
      <c r="T257" s="297" t="str">
        <f t="shared" si="21"/>
        <v/>
      </c>
      <c r="U257" s="311" t="str">
        <f>IF(D257="","",VLOOKUP(D257,'G-6 Hedgerow Data'!$B$3:$AG$15,31,FALSE))</f>
        <v/>
      </c>
      <c r="V257" s="295" t="str">
        <f t="shared" si="24"/>
        <v/>
      </c>
      <c r="W257" s="283" t="str">
        <f t="shared" si="25"/>
        <v/>
      </c>
      <c r="X257" s="299" t="str">
        <f>IF(F257="","",VLOOKUP(U257,'G-3 Multipliers'!$P$3:$Q$6,2,FALSE))</f>
        <v/>
      </c>
      <c r="Y257" s="303" t="str">
        <f t="shared" si="26"/>
        <v/>
      </c>
      <c r="Z257" s="303" t="str">
        <f t="shared" si="27"/>
        <v/>
      </c>
      <c r="AA257" s="101"/>
      <c r="AB257" s="938"/>
      <c r="AC257" s="138"/>
      <c r="AD257" s="138"/>
      <c r="AE257" s="934"/>
      <c r="AH257" s="30" t="str">
        <f>IFERROR(INDEX('G-6 Hedgerow Data'!$BJ$3:$BJ$15,MATCH(D257,'G-6 Hedgerow Data'!$B$3:$B$15,0)),"")</f>
        <v/>
      </c>
    </row>
    <row r="258" spans="2:34" ht="14">
      <c r="B258" s="97">
        <v>247</v>
      </c>
      <c r="C258" s="171"/>
      <c r="D258" s="58"/>
      <c r="E258" s="138"/>
      <c r="F258" s="275" t="str">
        <f>IF(D258="","",VLOOKUP(D258,'G-6 Hedgerow Data'!$B$2:$AG$15,2,FALSE))</f>
        <v/>
      </c>
      <c r="G258" s="299" t="str">
        <f>IF(D258="","",VLOOKUP(D258,'G-6 Hedgerow Data'!$B$2:$AG$15,3,FALSE))</f>
        <v/>
      </c>
      <c r="H258" s="53"/>
      <c r="I258" s="276" t="str">
        <f>IFERROR(IF(H258="","",IF(AND(D258="Non-native and ornamental hedgerow",H258&lt;&gt;"Poor"),"Not possible ▲",(IF(AND(F258="V.Low",OR(H258="Good",H258="Moderate")),"Error ▲",VLOOKUP(H258,'G-1 All Habitats'!$Z$2:$AA$9,2,FALSE))))),"")</f>
        <v/>
      </c>
      <c r="J258" s="102"/>
      <c r="K258" s="295" t="str">
        <f>IF(J258="","",IF(VLOOKUP(J258,'G-3 Multipliers'!$L$3:$N$6,2,FALSE)=0,"Spatial Data Missing",VLOOKUP(J258,'G-3 Multipliers'!$L$3:$N$6,2,FALSE)))</f>
        <v/>
      </c>
      <c r="L258" s="299" t="str">
        <f>IF(J258="","",IF(VLOOKUP(J258,'G-3 Multipliers'!$L$3:$N$6,3,FALSE)=0,"Spatial Data Missing",VLOOKUP(J258,'G-3 Multipliers'!$L$3:$N$6,3,FALSE)))</f>
        <v/>
      </c>
      <c r="M258" s="134"/>
      <c r="N258" s="276" t="str">
        <f>IF(M258="","",IF(VLOOKUP(M258,'G-3 Multipliers'!$S$3:$T$10,2,FALSE)=0,"Spatial Data Missing ⚠",VLOOKUP(M258,'G-3 Multipliers'!$S$3:$T$10,2,FALSE)))</f>
        <v/>
      </c>
      <c r="O258" s="275" t="str">
        <f>IF(OR(D258="",H258=""),"",(INDEX('G-6 Hedgerow Data'!$E$3:$I$15,MATCH(D258,'G-6 Hedgerow Data'!$B$3:$B$15,0),MATCH(H258,'G-6 Hedgerow Data'!$E$2:$I$2,0))))</f>
        <v/>
      </c>
      <c r="P258" s="133"/>
      <c r="Q258" s="133"/>
      <c r="R258" s="283" t="str">
        <f t="shared" si="22"/>
        <v/>
      </c>
      <c r="S258" s="296" t="str">
        <f t="shared" si="23"/>
        <v/>
      </c>
      <c r="T258" s="297" t="str">
        <f t="shared" si="21"/>
        <v/>
      </c>
      <c r="U258" s="311" t="str">
        <f>IF(D258="","",VLOOKUP(D258,'G-6 Hedgerow Data'!$B$3:$AG$15,31,FALSE))</f>
        <v/>
      </c>
      <c r="V258" s="295" t="str">
        <f t="shared" si="24"/>
        <v/>
      </c>
      <c r="W258" s="283" t="str">
        <f t="shared" si="25"/>
        <v/>
      </c>
      <c r="X258" s="299" t="str">
        <f>IF(F258="","",VLOOKUP(U258,'G-3 Multipliers'!$P$3:$Q$6,2,FALSE))</f>
        <v/>
      </c>
      <c r="Y258" s="303" t="str">
        <f t="shared" si="26"/>
        <v/>
      </c>
      <c r="Z258" s="303" t="str">
        <f t="shared" si="27"/>
        <v/>
      </c>
      <c r="AA258" s="101"/>
      <c r="AB258" s="938"/>
      <c r="AC258" s="138"/>
      <c r="AD258" s="144"/>
      <c r="AE258" s="940"/>
      <c r="AH258" s="30" t="str">
        <f>IFERROR(INDEX('G-6 Hedgerow Data'!$BJ$3:$BJ$15,MATCH(D258,'G-6 Hedgerow Data'!$B$3:$B$15,0)),"")</f>
        <v/>
      </c>
    </row>
    <row r="259" spans="2:34" ht="14.5" thickBot="1">
      <c r="B259" s="109">
        <v>248</v>
      </c>
      <c r="C259" s="172"/>
      <c r="D259" s="58"/>
      <c r="E259" s="138"/>
      <c r="F259" s="277" t="str">
        <f>IF(D259="","",VLOOKUP(D259,'G-6 Hedgerow Data'!$B$2:$AG$15,2,FALSE))</f>
        <v/>
      </c>
      <c r="G259" s="299" t="str">
        <f>IF(D259="","",VLOOKUP(D259,'G-6 Hedgerow Data'!$B$2:$AG$15,3,FALSE))</f>
        <v/>
      </c>
      <c r="H259" s="53"/>
      <c r="I259" s="276" t="str">
        <f>IFERROR(IF(H259="","",IF(AND(D259="Non-native and ornamental hedgerow",H259&lt;&gt;"Poor"),"Not possible ▲",(IF(AND(F259="V.Low",OR(H259="Good",H259="Moderate")),"Error ▲",VLOOKUP(H259,'G-1 All Habitats'!$Z$2:$AA$9,2,FALSE))))),"")</f>
        <v/>
      </c>
      <c r="J259" s="102"/>
      <c r="K259" s="284" t="str">
        <f>IF(J259="","",IF(VLOOKUP(J259,'G-3 Multipliers'!$L$3:$N$6,2,FALSE)=0,"Spatial Data Missing",VLOOKUP(J259,'G-3 Multipliers'!$L$3:$N$6,2,FALSE)))</f>
        <v/>
      </c>
      <c r="L259" s="278" t="str">
        <f>IF(J259="","",IF(VLOOKUP(J259,'G-3 Multipliers'!$L$3:$N$6,3,FALSE)=0,"Spatial Data Missing",VLOOKUP(J259,'G-3 Multipliers'!$L$3:$N$6,3,FALSE)))</f>
        <v/>
      </c>
      <c r="M259" s="134"/>
      <c r="N259" s="276" t="str">
        <f>IF(M259="","",IF(VLOOKUP(M259,'G-3 Multipliers'!$S$3:$T$10,2,FALSE)=0,"Spatial Data Missing ⚠",VLOOKUP(M259,'G-3 Multipliers'!$S$3:$T$10,2,FALSE)))</f>
        <v/>
      </c>
      <c r="O259" s="275" t="str">
        <f>IF(OR(D259="",H259=""),"",(INDEX('G-6 Hedgerow Data'!$E$3:$I$15,MATCH(D259,'G-6 Hedgerow Data'!$B$3:$B$15,0),MATCH(H259,'G-6 Hedgerow Data'!$E$2:$I$2,0))))</f>
        <v/>
      </c>
      <c r="P259" s="133"/>
      <c r="Q259" s="141"/>
      <c r="R259" s="283" t="str">
        <f t="shared" si="22"/>
        <v/>
      </c>
      <c r="S259" s="296" t="str">
        <f t="shared" si="23"/>
        <v/>
      </c>
      <c r="T259" s="297" t="str">
        <f t="shared" si="21"/>
        <v/>
      </c>
      <c r="U259" s="277" t="str">
        <f>IF(D259="","",VLOOKUP(D259,'G-6 Hedgerow Data'!$B$3:$AG$15,31,FALSE))</f>
        <v/>
      </c>
      <c r="V259" s="295" t="str">
        <f t="shared" si="24"/>
        <v/>
      </c>
      <c r="W259" s="283" t="str">
        <f t="shared" si="25"/>
        <v/>
      </c>
      <c r="X259" s="310" t="str">
        <f>IF(F259="","",VLOOKUP(U259,'G-3 Multipliers'!$P$3:$Q$6,2,FALSE))</f>
        <v/>
      </c>
      <c r="Y259" s="304" t="str">
        <f t="shared" si="26"/>
        <v/>
      </c>
      <c r="Z259" s="303" t="str">
        <f t="shared" si="27"/>
        <v/>
      </c>
      <c r="AA259" s="111"/>
      <c r="AB259" s="234"/>
      <c r="AC259" s="141"/>
      <c r="AD259" s="141"/>
      <c r="AE259" s="941"/>
      <c r="AH259" s="30" t="str">
        <f>IFERROR(INDEX('G-6 Hedgerow Data'!$BJ$3:$BJ$15,MATCH(D259,'G-6 Hedgerow Data'!$B$3:$B$15,0)),"")</f>
        <v/>
      </c>
    </row>
    <row r="260" spans="2:26" ht="14.5" thickBot="1">
      <c r="B260" s="34"/>
      <c r="C260" s="34"/>
      <c r="D260" s="178"/>
      <c r="E260" s="279">
        <f>SUM(E12:E259)</f>
        <v>0</v>
      </c>
      <c r="F260" s="34"/>
      <c r="G260" s="34"/>
      <c r="H260" s="34"/>
      <c r="I260" s="34"/>
      <c r="J260" s="34"/>
      <c r="K260" s="34"/>
      <c r="L260" s="34"/>
      <c r="M260" s="34"/>
      <c r="N260" s="34"/>
      <c r="O260" s="34"/>
      <c r="P260" s="34"/>
      <c r="Q260" s="34"/>
      <c r="R260" s="34"/>
      <c r="S260" s="34"/>
      <c r="T260" s="34"/>
      <c r="U260" s="34"/>
      <c r="V260" s="34"/>
      <c r="W260" s="1779"/>
      <c r="X260" s="1779"/>
      <c r="Y260" s="279">
        <f>SUM(Y12:Y259)</f>
        <v>0</v>
      </c>
      <c r="Z260" s="279">
        <f>SUM(Z12:Z259)</f>
        <v>0</v>
      </c>
    </row>
    <row r="261" spans="5:10" ht="29.15" customHeight="1">
      <c r="E261" s="1775"/>
      <c r="F261" s="1775"/>
      <c r="G261" s="1775"/>
      <c r="H261" s="1775"/>
      <c r="I261" s="1775"/>
      <c r="J261" s="1775"/>
    </row>
    <row r="262" ht="27" customHeight="1"/>
    <row r="263" ht="14"/>
    <row r="264" ht="14" hidden="1"/>
  </sheetData>
  <sheetProtection algorithmName="SHA-512" hashValue="0I+xKVqoYcReO1yx/FheYPEdseyW9drz1EXrAfAaZVY8QmrPRw55gBfo0E1FgG6wBsOJHGiQPjMhGG4AcMLZNA==" saltValue="t+3IgkTErAiHr8g2tuuVTA=="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AA10:AE10"/>
    <mergeCell ref="W260:X260"/>
    <mergeCell ref="E261:J261"/>
    <mergeCell ref="Y10:Y11"/>
    <mergeCell ref="J10:L10"/>
    <mergeCell ref="U10:X10"/>
    <mergeCell ref="Z10:Z11"/>
  </mergeCells>
  <conditionalFormatting sqref="Y12">
    <cfRule type="containsText" priority="149" dxfId="1279" operator="containsText" text="Existing Value Not Required">
      <formula>NOT(ISERROR(SEARCH("Existing Value Not Required",Y12)))</formula>
    </cfRule>
    <cfRule type="containsText" priority="150" dxfId="1279" operator="containsText" text="Existing Value Required">
      <formula>NOT(ISERROR(SEARCH("Existing Value Required",Y12)))</formula>
    </cfRule>
  </conditionalFormatting>
  <conditionalFormatting sqref="M12:M259">
    <cfRule type="containsText" priority="145" dxfId="970" operator="containsText" text="Existing Value Not Required">
      <formula>NOT(ISERROR(SEARCH("Existing Value Not Required",M12)))</formula>
    </cfRule>
    <cfRule type="containsText" priority="146" dxfId="970" operator="containsText" text="Existing Value Required">
      <formula>NOT(ISERROR(SEARCH("Existing Value Required",M12)))</formula>
    </cfRule>
  </conditionalFormatting>
  <conditionalFormatting sqref="Y13:Y259">
    <cfRule type="containsText" priority="143" dxfId="1279" operator="containsText" text="Existing Value Not Required">
      <formula>NOT(ISERROR(SEARCH("Existing Value Not Required",Y13)))</formula>
    </cfRule>
    <cfRule type="containsText" priority="144" dxfId="1279" operator="containsText" text="Existing Value Required">
      <formula>NOT(ISERROR(SEARCH("Existing Value Required",Y13)))</formula>
    </cfRule>
  </conditionalFormatting>
  <conditionalFormatting sqref="M13:M259">
    <cfRule type="containsText" priority="141" dxfId="970" operator="containsText" text="Existing Value Not Required">
      <formula>NOT(ISERROR(SEARCH("Existing Value Not Required",M13)))</formula>
    </cfRule>
    <cfRule type="containsText" priority="142" dxfId="1273" operator="containsText" text="Existing Value Required">
      <formula>NOT(ISERROR(SEARCH("Existing Value Required",M13)))</formula>
    </cfRule>
  </conditionalFormatting>
  <conditionalFormatting sqref="I12:Y259">
    <cfRule type="containsText" priority="140" dxfId="970" operator="containsText" text="Error">
      <formula>NOT(ISERROR(SEARCH("Error",I12)))</formula>
    </cfRule>
  </conditionalFormatting>
  <conditionalFormatting sqref="K12:L259">
    <cfRule type="containsText" priority="139" dxfId="1281" operator="containsText" text="Spatial">
      <formula>NOT(ISERROR(SEARCH("Spatial",K12)))</formula>
    </cfRule>
  </conditionalFormatting>
  <conditionalFormatting sqref="N12:N259">
    <cfRule type="containsText" priority="138" dxfId="1281" operator="containsText" text="Spatial">
      <formula>NOT(ISERROR(SEARCH("Spatial",N12)))</formula>
    </cfRule>
  </conditionalFormatting>
  <conditionalFormatting sqref="O2 O6:S6">
    <cfRule type="containsText" priority="137" dxfId="1281" operator="containsText" text="Note">
      <formula>NOT(ISERROR(SEARCH("Note",O2)))</formula>
    </cfRule>
  </conditionalFormatting>
  <conditionalFormatting sqref="R12:Y259">
    <cfRule type="containsText" priority="127" dxfId="1281" operator="containsText" text="30+">
      <formula>NOT(ISERROR(SEARCH("30+",R12)))</formula>
    </cfRule>
    <cfRule type="containsText" priority="136" dxfId="1281" operator="containsText" text="Check">
      <formula>NOT(ISERROR(SEARCH("Check",R12)))</formula>
    </cfRule>
  </conditionalFormatting>
  <conditionalFormatting sqref="V12:V259">
    <cfRule type="beginsWith" priority="135" dxfId="1281" operator="beginsWith" text="No">
      <formula>LEFT(V12,LEN("No"))="No"</formula>
    </cfRule>
  </conditionalFormatting>
  <conditionalFormatting sqref="E261:J261">
    <cfRule type="containsText" priority="134" dxfId="1281" operator="containsText" text="Check">
      <formula>NOT(ISERROR(SEARCH("Check",E261)))</formula>
    </cfRule>
  </conditionalFormatting>
  <conditionalFormatting sqref="M17">
    <cfRule type="containsText" priority="132" dxfId="1279" operator="containsText" text="Existing Value Not Required">
      <formula>NOT(ISERROR(SEARCH("Existing Value Not Required",M17)))</formula>
    </cfRule>
    <cfRule type="containsText" priority="133" dxfId="1279" operator="containsText" text="Existing Value Required">
      <formula>NOT(ISERROR(SEARCH("Existing Value Required",M17)))</formula>
    </cfRule>
  </conditionalFormatting>
  <conditionalFormatting sqref="M18">
    <cfRule type="containsText" priority="130" dxfId="1279" operator="containsText" text="Existing Value Not Required">
      <formula>NOT(ISERROR(SEARCH("Existing Value Not Required",M18)))</formula>
    </cfRule>
    <cfRule type="containsText" priority="131" dxfId="1279" operator="containsText" text="Existing Value Required">
      <formula>NOT(ISERROR(SEARCH("Existing Value Required",M18)))</formula>
    </cfRule>
  </conditionalFormatting>
  <conditionalFormatting sqref="M19">
    <cfRule type="containsText" priority="128" dxfId="1279" operator="containsText" text="Existing Value Not Required">
      <formula>NOT(ISERROR(SEARCH("Existing Value Not Required",M19)))</formula>
    </cfRule>
    <cfRule type="containsText" priority="129" dxfId="1279" operator="containsText" text="Existing Value Required">
      <formula>NOT(ISERROR(SEARCH("Existing Value Required",M19)))</formula>
    </cfRule>
  </conditionalFormatting>
  <conditionalFormatting sqref="M20:M24">
    <cfRule type="containsText" priority="125" dxfId="1279" operator="containsText" text="Existing Value Not Required">
      <formula>NOT(ISERROR(SEARCH("Existing Value Not Required",M20)))</formula>
    </cfRule>
    <cfRule type="containsText" priority="126" dxfId="1279" operator="containsText" text="Existing Value Required">
      <formula>NOT(ISERROR(SEARCH("Existing Value Required",M20)))</formula>
    </cfRule>
  </conditionalFormatting>
  <conditionalFormatting sqref="M25">
    <cfRule type="containsText" priority="123" dxfId="1279" operator="containsText" text="Existing Value Not Required">
      <formula>NOT(ISERROR(SEARCH("Existing Value Not Required",M25)))</formula>
    </cfRule>
    <cfRule type="containsText" priority="124" dxfId="1279" operator="containsText" text="Existing Value Required">
      <formula>NOT(ISERROR(SEARCH("Existing Value Required",M25)))</formula>
    </cfRule>
  </conditionalFormatting>
  <conditionalFormatting sqref="M26">
    <cfRule type="containsText" priority="121" dxfId="1279" operator="containsText" text="Existing Value Not Required">
      <formula>NOT(ISERROR(SEARCH("Existing Value Not Required",M26)))</formula>
    </cfRule>
    <cfRule type="containsText" priority="122" dxfId="1279" operator="containsText" text="Existing Value Required">
      <formula>NOT(ISERROR(SEARCH("Existing Value Required",M26)))</formula>
    </cfRule>
  </conditionalFormatting>
  <conditionalFormatting sqref="M27">
    <cfRule type="containsText" priority="119" dxfId="1279" operator="containsText" text="Existing Value Not Required">
      <formula>NOT(ISERROR(SEARCH("Existing Value Not Required",M27)))</formula>
    </cfRule>
    <cfRule type="containsText" priority="120" dxfId="1279" operator="containsText" text="Existing Value Required">
      <formula>NOT(ISERROR(SEARCH("Existing Value Required",M27)))</formula>
    </cfRule>
  </conditionalFormatting>
  <conditionalFormatting sqref="M17">
    <cfRule type="containsText" priority="117" dxfId="1279" operator="containsText" text="Existing Value Not Required">
      <formula>NOT(ISERROR(SEARCH("Existing Value Not Required",M17)))</formula>
    </cfRule>
    <cfRule type="containsText" priority="118" dxfId="1279" operator="containsText" text="Existing Value Required">
      <formula>NOT(ISERROR(SEARCH("Existing Value Required",M17)))</formula>
    </cfRule>
  </conditionalFormatting>
  <conditionalFormatting sqref="M18">
    <cfRule type="containsText" priority="115" dxfId="1279" operator="containsText" text="Existing Value Not Required">
      <formula>NOT(ISERROR(SEARCH("Existing Value Not Required",M18)))</formula>
    </cfRule>
    <cfRule type="containsText" priority="116" dxfId="1279" operator="containsText" text="Existing Value Required">
      <formula>NOT(ISERROR(SEARCH("Existing Value Required",M18)))</formula>
    </cfRule>
  </conditionalFormatting>
  <conditionalFormatting sqref="M19">
    <cfRule type="containsText" priority="113" dxfId="1279" operator="containsText" text="Existing Value Not Required">
      <formula>NOT(ISERROR(SEARCH("Existing Value Not Required",M19)))</formula>
    </cfRule>
    <cfRule type="containsText" priority="114" dxfId="1279" operator="containsText" text="Existing Value Required">
      <formula>NOT(ISERROR(SEARCH("Existing Value Required",M19)))</formula>
    </cfRule>
  </conditionalFormatting>
  <conditionalFormatting sqref="M20">
    <cfRule type="containsText" priority="111" dxfId="1279" operator="containsText" text="Existing Value Not Required">
      <formula>NOT(ISERROR(SEARCH("Existing Value Not Required",M20)))</formula>
    </cfRule>
    <cfRule type="containsText" priority="112" dxfId="1279" operator="containsText" text="Existing Value Required">
      <formula>NOT(ISERROR(SEARCH("Existing Value Required",M20)))</formula>
    </cfRule>
  </conditionalFormatting>
  <conditionalFormatting sqref="M21">
    <cfRule type="containsText" priority="109" dxfId="1279" operator="containsText" text="Existing Value Not Required">
      <formula>NOT(ISERROR(SEARCH("Existing Value Not Required",M21)))</formula>
    </cfRule>
    <cfRule type="containsText" priority="110" dxfId="1279" operator="containsText" text="Existing Value Required">
      <formula>NOT(ISERROR(SEARCH("Existing Value Required",M21)))</formula>
    </cfRule>
  </conditionalFormatting>
  <conditionalFormatting sqref="M27">
    <cfRule type="containsText" priority="107" dxfId="1279" operator="containsText" text="Existing Value Not Required">
      <formula>NOT(ISERROR(SEARCH("Existing Value Not Required",M27)))</formula>
    </cfRule>
    <cfRule type="containsText" priority="108" dxfId="1279" operator="containsText" text="Existing Value Required">
      <formula>NOT(ISERROR(SEARCH("Existing Value Required",M27)))</formula>
    </cfRule>
  </conditionalFormatting>
  <conditionalFormatting sqref="M22">
    <cfRule type="containsText" priority="105" dxfId="1279" operator="containsText" text="Existing Value Not Required">
      <formula>NOT(ISERROR(SEARCH("Existing Value Not Required",M22)))</formula>
    </cfRule>
    <cfRule type="containsText" priority="106" dxfId="1279" operator="containsText" text="Existing Value Required">
      <formula>NOT(ISERROR(SEARCH("Existing Value Required",M22)))</formula>
    </cfRule>
  </conditionalFormatting>
  <conditionalFormatting sqref="M23">
    <cfRule type="containsText" priority="103" dxfId="1279" operator="containsText" text="Existing Value Not Required">
      <formula>NOT(ISERROR(SEARCH("Existing Value Not Required",M23)))</formula>
    </cfRule>
    <cfRule type="containsText" priority="104" dxfId="1279" operator="containsText" text="Existing Value Required">
      <formula>NOT(ISERROR(SEARCH("Existing Value Required",M23)))</formula>
    </cfRule>
  </conditionalFormatting>
  <conditionalFormatting sqref="M24">
    <cfRule type="containsText" priority="101" dxfId="1279" operator="containsText" text="Existing Value Not Required">
      <formula>NOT(ISERROR(SEARCH("Existing Value Not Required",M24)))</formula>
    </cfRule>
    <cfRule type="containsText" priority="102" dxfId="1279" operator="containsText" text="Existing Value Required">
      <formula>NOT(ISERROR(SEARCH("Existing Value Required",M24)))</formula>
    </cfRule>
  </conditionalFormatting>
  <conditionalFormatting sqref="M27">
    <cfRule type="containsText" priority="99" dxfId="1279" operator="containsText" text="Existing Value Not Required">
      <formula>NOT(ISERROR(SEARCH("Existing Value Not Required",M27)))</formula>
    </cfRule>
    <cfRule type="containsText" priority="100" dxfId="1279" operator="containsText" text="Existing Value Required">
      <formula>NOT(ISERROR(SEARCH("Existing Value Required",M27)))</formula>
    </cfRule>
  </conditionalFormatting>
  <conditionalFormatting sqref="M25">
    <cfRule type="containsText" priority="97" dxfId="1279" operator="containsText" text="Existing Value Not Required">
      <formula>NOT(ISERROR(SEARCH("Existing Value Not Required",M25)))</formula>
    </cfRule>
    <cfRule type="containsText" priority="98" dxfId="1279" operator="containsText" text="Existing Value Required">
      <formula>NOT(ISERROR(SEARCH("Existing Value Required",M25)))</formula>
    </cfRule>
  </conditionalFormatting>
  <conditionalFormatting sqref="M26">
    <cfRule type="containsText" priority="95" dxfId="1279" operator="containsText" text="Existing Value Not Required">
      <formula>NOT(ISERROR(SEARCH("Existing Value Not Required",M26)))</formula>
    </cfRule>
    <cfRule type="containsText" priority="96" dxfId="1279" operator="containsText" text="Existing Value Required">
      <formula>NOT(ISERROR(SEARCH("Existing Value Required",M26)))</formula>
    </cfRule>
  </conditionalFormatting>
  <conditionalFormatting sqref="M17">
    <cfRule type="containsText" priority="93" dxfId="1279" operator="containsText" text="Existing Value Not Required">
      <formula>NOT(ISERROR(SEARCH("Existing Value Not Required",M17)))</formula>
    </cfRule>
    <cfRule type="containsText" priority="94" dxfId="1279" operator="containsText" text="Existing Value Required">
      <formula>NOT(ISERROR(SEARCH("Existing Value Required",M17)))</formula>
    </cfRule>
  </conditionalFormatting>
  <conditionalFormatting sqref="M18">
    <cfRule type="containsText" priority="91" dxfId="1279" operator="containsText" text="Existing Value Not Required">
      <formula>NOT(ISERROR(SEARCH("Existing Value Not Required",M18)))</formula>
    </cfRule>
    <cfRule type="containsText" priority="92" dxfId="1279" operator="containsText" text="Existing Value Required">
      <formula>NOT(ISERROR(SEARCH("Existing Value Required",M18)))</formula>
    </cfRule>
  </conditionalFormatting>
  <conditionalFormatting sqref="M19">
    <cfRule type="containsText" priority="89" dxfId="1279" operator="containsText" text="Existing Value Not Required">
      <formula>NOT(ISERROR(SEARCH("Existing Value Not Required",M19)))</formula>
    </cfRule>
    <cfRule type="containsText" priority="90" dxfId="1279" operator="containsText" text="Existing Value Required">
      <formula>NOT(ISERROR(SEARCH("Existing Value Required",M19)))</formula>
    </cfRule>
  </conditionalFormatting>
  <conditionalFormatting sqref="M20">
    <cfRule type="containsText" priority="87" dxfId="1279" operator="containsText" text="Existing Value Not Required">
      <formula>NOT(ISERROR(SEARCH("Existing Value Not Required",M20)))</formula>
    </cfRule>
    <cfRule type="containsText" priority="88" dxfId="1279" operator="containsText" text="Existing Value Required">
      <formula>NOT(ISERROR(SEARCH("Existing Value Required",M20)))</formula>
    </cfRule>
  </conditionalFormatting>
  <conditionalFormatting sqref="M21">
    <cfRule type="containsText" priority="85" dxfId="1279" operator="containsText" text="Existing Value Not Required">
      <formula>NOT(ISERROR(SEARCH("Existing Value Not Required",M21)))</formula>
    </cfRule>
    <cfRule type="containsText" priority="86" dxfId="1279" operator="containsText" text="Existing Value Required">
      <formula>NOT(ISERROR(SEARCH("Existing Value Required",M21)))</formula>
    </cfRule>
  </conditionalFormatting>
  <conditionalFormatting sqref="M22">
    <cfRule type="containsText" priority="83" dxfId="1279" operator="containsText" text="Existing Value Not Required">
      <formula>NOT(ISERROR(SEARCH("Existing Value Not Required",M22)))</formula>
    </cfRule>
    <cfRule type="containsText" priority="84" dxfId="1279" operator="containsText" text="Existing Value Required">
      <formula>NOT(ISERROR(SEARCH("Existing Value Required",M22)))</formula>
    </cfRule>
  </conditionalFormatting>
  <conditionalFormatting sqref="M23">
    <cfRule type="containsText" priority="81" dxfId="1279" operator="containsText" text="Existing Value Not Required">
      <formula>NOT(ISERROR(SEARCH("Existing Value Not Required",M23)))</formula>
    </cfRule>
    <cfRule type="containsText" priority="82" dxfId="1279" operator="containsText" text="Existing Value Required">
      <formula>NOT(ISERROR(SEARCH("Existing Value Required",M23)))</formula>
    </cfRule>
  </conditionalFormatting>
  <conditionalFormatting sqref="M24">
    <cfRule type="containsText" priority="79" dxfId="1279" operator="containsText" text="Existing Value Not Required">
      <formula>NOT(ISERROR(SEARCH("Existing Value Not Required",M24)))</formula>
    </cfRule>
    <cfRule type="containsText" priority="80" dxfId="1279" operator="containsText" text="Existing Value Required">
      <formula>NOT(ISERROR(SEARCH("Existing Value Required",M24)))</formula>
    </cfRule>
  </conditionalFormatting>
  <conditionalFormatting sqref="M25">
    <cfRule type="containsText" priority="77" dxfId="1279" operator="containsText" text="Existing Value Not Required">
      <formula>NOT(ISERROR(SEARCH("Existing Value Not Required",M25)))</formula>
    </cfRule>
    <cfRule type="containsText" priority="78" dxfId="1279" operator="containsText" text="Existing Value Required">
      <formula>NOT(ISERROR(SEARCH("Existing Value Required",M25)))</formula>
    </cfRule>
  </conditionalFormatting>
  <conditionalFormatting sqref="M26">
    <cfRule type="containsText" priority="75" dxfId="1279" operator="containsText" text="Existing Value Not Required">
      <formula>NOT(ISERROR(SEARCH("Existing Value Not Required",M26)))</formula>
    </cfRule>
    <cfRule type="containsText" priority="76" dxfId="1279" operator="containsText" text="Existing Value Required">
      <formula>NOT(ISERROR(SEARCH("Existing Value Required",M26)))</formula>
    </cfRule>
  </conditionalFormatting>
  <conditionalFormatting sqref="M27">
    <cfRule type="containsText" priority="73" dxfId="1279" operator="containsText" text="Existing Value Not Required">
      <formula>NOT(ISERROR(SEARCH("Existing Value Not Required",M27)))</formula>
    </cfRule>
    <cfRule type="containsText" priority="74" dxfId="1279" operator="containsText" text="Existing Value Required">
      <formula>NOT(ISERROR(SEARCH("Existing Value Required",M27)))</formula>
    </cfRule>
  </conditionalFormatting>
  <conditionalFormatting sqref="M17">
    <cfRule type="containsText" priority="71" dxfId="1279" operator="containsText" text="Existing Value Not Required">
      <formula>NOT(ISERROR(SEARCH("Existing Value Not Required",M17)))</formula>
    </cfRule>
    <cfRule type="containsText" priority="72" dxfId="1279" operator="containsText" text="Existing Value Required">
      <formula>NOT(ISERROR(SEARCH("Existing Value Required",M17)))</formula>
    </cfRule>
  </conditionalFormatting>
  <conditionalFormatting sqref="M18">
    <cfRule type="containsText" priority="69" dxfId="1279" operator="containsText" text="Existing Value Not Required">
      <formula>NOT(ISERROR(SEARCH("Existing Value Not Required",M18)))</formula>
    </cfRule>
    <cfRule type="containsText" priority="70" dxfId="1279" operator="containsText" text="Existing Value Required">
      <formula>NOT(ISERROR(SEARCH("Existing Value Required",M18)))</formula>
    </cfRule>
  </conditionalFormatting>
  <conditionalFormatting sqref="M19">
    <cfRule type="containsText" priority="67" dxfId="1279" operator="containsText" text="Existing Value Not Required">
      <formula>NOT(ISERROR(SEARCH("Existing Value Not Required",M19)))</formula>
    </cfRule>
    <cfRule type="containsText" priority="68" dxfId="1279" operator="containsText" text="Existing Value Required">
      <formula>NOT(ISERROR(SEARCH("Existing Value Required",M19)))</formula>
    </cfRule>
  </conditionalFormatting>
  <conditionalFormatting sqref="M20">
    <cfRule type="containsText" priority="65" dxfId="1279" operator="containsText" text="Existing Value Not Required">
      <formula>NOT(ISERROR(SEARCH("Existing Value Not Required",M20)))</formula>
    </cfRule>
    <cfRule type="containsText" priority="66" dxfId="1279" operator="containsText" text="Existing Value Required">
      <formula>NOT(ISERROR(SEARCH("Existing Value Required",M20)))</formula>
    </cfRule>
  </conditionalFormatting>
  <conditionalFormatting sqref="M27">
    <cfRule type="containsText" priority="63" dxfId="1279" operator="containsText" text="Existing Value Not Required">
      <formula>NOT(ISERROR(SEARCH("Existing Value Not Required",M27)))</formula>
    </cfRule>
    <cfRule type="containsText" priority="64" dxfId="1279" operator="containsText" text="Existing Value Required">
      <formula>NOT(ISERROR(SEARCH("Existing Value Required",M27)))</formula>
    </cfRule>
  </conditionalFormatting>
  <conditionalFormatting sqref="M26">
    <cfRule type="containsText" priority="61" dxfId="1279" operator="containsText" text="Existing Value Not Required">
      <formula>NOT(ISERROR(SEARCH("Existing Value Not Required",M26)))</formula>
    </cfRule>
    <cfRule type="containsText" priority="62" dxfId="1279" operator="containsText" text="Existing Value Required">
      <formula>NOT(ISERROR(SEARCH("Existing Value Required",M26)))</formula>
    </cfRule>
  </conditionalFormatting>
  <conditionalFormatting sqref="M25">
    <cfRule type="containsText" priority="59" dxfId="1279" operator="containsText" text="Existing Value Not Required">
      <formula>NOT(ISERROR(SEARCH("Existing Value Not Required",M25)))</formula>
    </cfRule>
    <cfRule type="containsText" priority="60" dxfId="1279" operator="containsText" text="Existing Value Required">
      <formula>NOT(ISERROR(SEARCH("Existing Value Required",M25)))</formula>
    </cfRule>
  </conditionalFormatting>
  <conditionalFormatting sqref="M24">
    <cfRule type="containsText" priority="57" dxfId="1279" operator="containsText" text="Existing Value Not Required">
      <formula>NOT(ISERROR(SEARCH("Existing Value Not Required",M24)))</formula>
    </cfRule>
    <cfRule type="containsText" priority="58" dxfId="1279" operator="containsText" text="Existing Value Required">
      <formula>NOT(ISERROR(SEARCH("Existing Value Required",M24)))</formula>
    </cfRule>
  </conditionalFormatting>
  <conditionalFormatting sqref="M23">
    <cfRule type="containsText" priority="55" dxfId="1279" operator="containsText" text="Existing Value Not Required">
      <formula>NOT(ISERROR(SEARCH("Existing Value Not Required",M23)))</formula>
    </cfRule>
    <cfRule type="containsText" priority="56" dxfId="1279" operator="containsText" text="Existing Value Required">
      <formula>NOT(ISERROR(SEARCH("Existing Value Required",M23)))</formula>
    </cfRule>
  </conditionalFormatting>
  <conditionalFormatting sqref="M22">
    <cfRule type="containsText" priority="53" dxfId="1279" operator="containsText" text="Existing Value Not Required">
      <formula>NOT(ISERROR(SEARCH("Existing Value Not Required",M22)))</formula>
    </cfRule>
    <cfRule type="containsText" priority="54" dxfId="1279" operator="containsText" text="Existing Value Required">
      <formula>NOT(ISERROR(SEARCH("Existing Value Required",M22)))</formula>
    </cfRule>
  </conditionalFormatting>
  <conditionalFormatting sqref="M21">
    <cfRule type="containsText" priority="51" dxfId="1279" operator="containsText" text="Existing Value Not Required">
      <formula>NOT(ISERROR(SEARCH("Existing Value Not Required",M21)))</formula>
    </cfRule>
    <cfRule type="containsText" priority="52" dxfId="1279" operator="containsText" text="Existing Value Required">
      <formula>NOT(ISERROR(SEARCH("Existing Value Required",M21)))</formula>
    </cfRule>
  </conditionalFormatting>
  <conditionalFormatting sqref="M20">
    <cfRule type="containsText" priority="49" dxfId="1279" operator="containsText" text="Existing Value Not Required">
      <formula>NOT(ISERROR(SEARCH("Existing Value Not Required",M20)))</formula>
    </cfRule>
    <cfRule type="containsText" priority="50" dxfId="1279" operator="containsText" text="Existing Value Required">
      <formula>NOT(ISERROR(SEARCH("Existing Value Required",M20)))</formula>
    </cfRule>
  </conditionalFormatting>
  <conditionalFormatting sqref="M17">
    <cfRule type="containsText" priority="47" dxfId="1279" operator="containsText" text="Existing Value Not Required">
      <formula>NOT(ISERROR(SEARCH("Existing Value Not Required",M17)))</formula>
    </cfRule>
    <cfRule type="containsText" priority="48" dxfId="1279" operator="containsText" text="Existing Value Required">
      <formula>NOT(ISERROR(SEARCH("Existing Value Required",M17)))</formula>
    </cfRule>
  </conditionalFormatting>
  <conditionalFormatting sqref="M18">
    <cfRule type="containsText" priority="45" dxfId="1279" operator="containsText" text="Existing Value Not Required">
      <formula>NOT(ISERROR(SEARCH("Existing Value Not Required",M18)))</formula>
    </cfRule>
    <cfRule type="containsText" priority="46" dxfId="1279" operator="containsText" text="Existing Value Required">
      <formula>NOT(ISERROR(SEARCH("Existing Value Required",M18)))</formula>
    </cfRule>
  </conditionalFormatting>
  <conditionalFormatting sqref="M19">
    <cfRule type="containsText" priority="43" dxfId="1279" operator="containsText" text="Existing Value Not Required">
      <formula>NOT(ISERROR(SEARCH("Existing Value Not Required",M19)))</formula>
    </cfRule>
    <cfRule type="containsText" priority="44" dxfId="1279" operator="containsText" text="Existing Value Required">
      <formula>NOT(ISERROR(SEARCH("Existing Value Required",M19)))</formula>
    </cfRule>
  </conditionalFormatting>
  <conditionalFormatting sqref="M20">
    <cfRule type="containsText" priority="41" dxfId="1279" operator="containsText" text="Existing Value Not Required">
      <formula>NOT(ISERROR(SEARCH("Existing Value Not Required",M20)))</formula>
    </cfRule>
    <cfRule type="containsText" priority="42" dxfId="1279" operator="containsText" text="Existing Value Required">
      <formula>NOT(ISERROR(SEARCH("Existing Value Required",M20)))</formula>
    </cfRule>
  </conditionalFormatting>
  <conditionalFormatting sqref="M21">
    <cfRule type="containsText" priority="39" dxfId="1279" operator="containsText" text="Existing Value Not Required">
      <formula>NOT(ISERROR(SEARCH("Existing Value Not Required",M21)))</formula>
    </cfRule>
    <cfRule type="containsText" priority="40" dxfId="1279" operator="containsText" text="Existing Value Required">
      <formula>NOT(ISERROR(SEARCH("Existing Value Required",M21)))</formula>
    </cfRule>
  </conditionalFormatting>
  <conditionalFormatting sqref="M22">
    <cfRule type="containsText" priority="37" dxfId="1273" operator="containsText" text="Existing Value Not Required">
      <formula>NOT(ISERROR(SEARCH("Existing Value Not Required",M22)))</formula>
    </cfRule>
    <cfRule type="containsText" priority="38" dxfId="1279" operator="containsText" text="Existing Value Required">
      <formula>NOT(ISERROR(SEARCH("Existing Value Required",M22)))</formula>
    </cfRule>
  </conditionalFormatting>
  <conditionalFormatting sqref="M23">
    <cfRule type="containsText" priority="35" dxfId="1273" operator="containsText" text="Existing Value Not Required">
      <formula>NOT(ISERROR(SEARCH("Existing Value Not Required",M23)))</formula>
    </cfRule>
    <cfRule type="containsText" priority="36" dxfId="1273" operator="containsText" text="Existing Value Required">
      <formula>NOT(ISERROR(SEARCH("Existing Value Required",M23)))</formula>
    </cfRule>
  </conditionalFormatting>
  <conditionalFormatting sqref="M24">
    <cfRule type="containsText" priority="33" dxfId="1273" operator="containsText" text="Existing Value Not Required">
      <formula>NOT(ISERROR(SEARCH("Existing Value Not Required",M24)))</formula>
    </cfRule>
    <cfRule type="containsText" priority="34" dxfId="1273" operator="containsText" text="Existing Value Required">
      <formula>NOT(ISERROR(SEARCH("Existing Value Required",M24)))</formula>
    </cfRule>
  </conditionalFormatting>
  <conditionalFormatting sqref="M25">
    <cfRule type="containsText" priority="31" dxfId="1273" operator="containsText" text="Existing Value Not Required">
      <formula>NOT(ISERROR(SEARCH("Existing Value Not Required",M25)))</formula>
    </cfRule>
    <cfRule type="containsText" priority="32" dxfId="1273" operator="containsText" text="Existing Value Required">
      <formula>NOT(ISERROR(SEARCH("Existing Value Required",M25)))</formula>
    </cfRule>
  </conditionalFormatting>
  <conditionalFormatting sqref="M26">
    <cfRule type="containsText" priority="29" dxfId="1273" operator="containsText" text="Existing Value Not Required">
      <formula>NOT(ISERROR(SEARCH("Existing Value Not Required",M26)))</formula>
    </cfRule>
    <cfRule type="containsText" priority="30" dxfId="1273" operator="containsText" text="Existing Value Required">
      <formula>NOT(ISERROR(SEARCH("Existing Value Required",M26)))</formula>
    </cfRule>
  </conditionalFormatting>
  <conditionalFormatting sqref="M27">
    <cfRule type="containsText" priority="27" dxfId="1273" operator="containsText" text="Existing Value Not Required">
      <formula>NOT(ISERROR(SEARCH("Existing Value Not Required",M27)))</formula>
    </cfRule>
    <cfRule type="containsText" priority="28" dxfId="1273" operator="containsText" text="Existing Value Required">
      <formula>NOT(ISERROR(SEARCH("Existing Value Required",M27)))</formula>
    </cfRule>
  </conditionalFormatting>
  <conditionalFormatting sqref="M3">
    <cfRule type="containsText" priority="25" dxfId="970" operator="containsText" text="Error">
      <formula>NOT(ISERROR(SEARCH("Error",M3)))</formula>
    </cfRule>
    <cfRule type="containsText" priority="26" dxfId="1267" operator="containsText" text="Check">
      <formula>NOT(ISERROR(SEARCH("Check",M3)))</formula>
    </cfRule>
  </conditionalFormatting>
  <conditionalFormatting sqref="M4">
    <cfRule type="containsText" priority="5" dxfId="970" operator="containsText" text="Error">
      <formula>NOT(ISERROR(SEARCH("Error",M4)))</formula>
    </cfRule>
    <cfRule type="cellIs" priority="9" dxfId="881" operator="equal">
      <formula>0</formula>
    </cfRule>
    <cfRule type="containsText" priority="10" dxfId="1267" operator="containsText" text="Check">
      <formula>NOT(ISERROR(SEARCH("Check",M4)))</formula>
    </cfRule>
    <cfRule type="cellIs" priority="447" dxfId="970" operator="lessThan">
      <formula>0</formula>
    </cfRule>
  </conditionalFormatting>
  <conditionalFormatting sqref="M5">
    <cfRule type="containsText" priority="19" dxfId="970" operator="containsText" text="No">
      <formula>NOT(ISERROR(SEARCH("No",M5)))</formula>
    </cfRule>
    <cfRule type="containsText" priority="20" dxfId="1253" operator="containsText" text="Yes">
      <formula>NOT(ISERROR(SEARCH("Yes",M5)))</formula>
    </cfRule>
  </conditionalFormatting>
  <conditionalFormatting sqref="I12:I259">
    <cfRule type="containsText" priority="18" dxfId="970" operator="containsText" text="Not possible">
      <formula>NOT(ISERROR(SEARCH("Not possible",I12)))</formula>
    </cfRule>
  </conditionalFormatting>
  <conditionalFormatting sqref="Z12:Z259">
    <cfRule type="containsText" priority="16" dxfId="1273" operator="containsText" text="Existing Value Not Required">
      <formula>NOT(ISERROR(SEARCH("Existing Value Not Required",Z12)))</formula>
    </cfRule>
    <cfRule type="containsText" priority="17" dxfId="1273" operator="containsText" text="Existing Value Required">
      <formula>NOT(ISERROR(SEARCH("Existing Value Required",Z12)))</formula>
    </cfRule>
  </conditionalFormatting>
  <conditionalFormatting sqref="Z13:Z259">
    <cfRule type="containsText" priority="14" dxfId="1273" operator="containsText" text="Existing Value Not Required">
      <formula>NOT(ISERROR(SEARCH("Existing Value Not Required",Z13)))</formula>
    </cfRule>
    <cfRule type="containsText" priority="15" dxfId="1273" operator="containsText" text="Existing Value Required">
      <formula>NOT(ISERROR(SEARCH("Existing Value Required",Z13)))</formula>
    </cfRule>
  </conditionalFormatting>
  <conditionalFormatting sqref="Z12:Z259">
    <cfRule type="containsText" priority="13" dxfId="397" operator="containsText" text="Error">
      <formula>NOT(ISERROR(SEARCH("Error",Z12)))</formula>
    </cfRule>
  </conditionalFormatting>
  <conditionalFormatting sqref="Z12:Z259">
    <cfRule type="containsText" priority="11" dxfId="1267" operator="containsText" text="30+">
      <formula>NOT(ISERROR(SEARCH("30+",Z12)))</formula>
    </cfRule>
    <cfRule type="containsText" priority="12" dxfId="1267" operator="containsText" text="Check">
      <formula>NOT(ISERROR(SEARCH("Check",Z12)))</formula>
    </cfRule>
  </conditionalFormatting>
  <conditionalFormatting sqref="M3:M5">
    <cfRule type="containsText" priority="8" dxfId="932" operator="containsText" text="N/A">
      <formula>NOT(ISERROR(SEARCH("N/A",M3)))</formula>
    </cfRule>
  </conditionalFormatting>
  <conditionalFormatting sqref="V1:V1048576">
    <cfRule type="containsText" priority="4" dxfId="1281" operator="containsText" text="⚠">
      <formula>NOT(ISERROR(SEARCH("⚠",V1)))</formula>
    </cfRule>
  </conditionalFormatting>
  <conditionalFormatting sqref="Z1:Z1048576">
    <cfRule type="containsText" priority="3" dxfId="1273" operator="containsText" text="▲">
      <formula>NOT(ISERROR(SEARCH("▲",Z1)))</formula>
    </cfRule>
  </conditionalFormatting>
  <conditionalFormatting sqref="AD12:AD259">
    <cfRule type="expression" priority="2" dxfId="1275">
      <formula>$Z12="Off-site reference required ▲"</formula>
    </cfRule>
  </conditionalFormatting>
  <conditionalFormatting sqref="O1:O1048576">
    <cfRule type="containsText" priority="1" dxfId="1273" operator="containsText" text="▲">
      <formula>NOT(ISERROR(SEARCH("▲",O1)))</formula>
    </cfRule>
  </conditionalFormatting>
  <conditionalFormatting sqref="M4">
    <cfRule type="expression" priority="6" dxfId="1289">
      <formula>'Headline Results'!$H$9:$I$9=0</formula>
    </cfRule>
  </conditionalFormatting>
  <conditionalFormatting sqref="M4">
    <cfRule type="cellIs" priority="7" dxfId="1294" operator="lessThan">
      <formula>Start!$F$22</formula>
    </cfRule>
    <cfRule type="cellIs" priority="448" dxfId="1284" operator="greaterThanOrEqual">
      <formula>Start!$F$22</formula>
    </cfRule>
  </conditionalFormatting>
  <dataValidations count="5">
    <dataValidation type="list" allowBlank="1" showInputMessage="1" showErrorMessage="1" sqref="H12:H259">
      <formula1>INDIRECT(AH12)</formula1>
    </dataValidation>
    <dataValidation type="list" allowBlank="1" showInputMessage="1" showErrorMessage="1" sqref="D12:D259">
      <formula1>'G-6 Hedgerow Data'!$B$3:$B$15</formula1>
    </dataValidation>
    <dataValidation type="list" allowBlank="1" showInputMessage="1" showErrorMessage="1" sqref="J12:J259">
      <formula1>'G-3 Multipliers'!$L$4:$L$6</formula1>
    </dataValidation>
    <dataValidation type="list" allowBlank="1" showInputMessage="1" showErrorMessage="1" sqref="P12:Q259">
      <formula1>'G-4 Temporal multipliers'!$A$42:$A$73</formula1>
    </dataValidation>
    <dataValidation type="list" allowBlank="1" showInputMessage="1" showErrorMessage="1" sqref="M12:M259">
      <formula1>'G-3 Multipliers'!$S$4:$S$7</formula1>
    </dataValidation>
  </dataValidations>
  <pageMargins left="0.7" right="0.7" top="0.75" bottom="0.75" header="0.3" footer="0.3"/>
  <pageSetup horizontalDpi="90" verticalDpi="90" orientation="portrait" paperSize="9"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B2:AQ258"/>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18.5442857142857" defaultRowHeight="37.4" customHeight="1" zeroHeight="1"/>
  <cols>
    <col min="1" max="1" width="2.57142857142857" style="30" customWidth="1"/>
    <col min="2" max="2" width="11" style="30" customWidth="1"/>
    <col min="3" max="3" width="52.4285714285714" style="30" customWidth="1"/>
    <col min="4" max="4" width="8.57142857142857" style="30" customWidth="1"/>
    <col min="5" max="5" width="17.5714285714286" style="30" customWidth="1"/>
    <col min="6" max="7" width="18.4285714285714" style="30" customWidth="1"/>
    <col min="8" max="11" width="19.4285714285714" style="30" customWidth="1"/>
    <col min="12" max="12" width="23" style="30" customWidth="1"/>
    <col min="13" max="13" width="47.4285714285714" style="30" customWidth="1"/>
    <col min="14" max="14" width="34.4285714285714" style="30" customWidth="1"/>
    <col min="15" max="15" width="44.5714285714286" style="30" customWidth="1"/>
    <col min="16" max="16" width="10.5714285714286" style="30" customWidth="1"/>
    <col min="17" max="17" width="18.4285714285714" style="30" customWidth="1"/>
    <col min="18" max="18" width="13.5714285714286" style="30" customWidth="1"/>
    <col min="19" max="19" width="14.5714285714286" style="30" customWidth="1"/>
    <col min="20" max="20" width="13.5714285714286" style="30" customWidth="1"/>
    <col min="21" max="21" width="41.5714285714286" style="30" customWidth="1"/>
    <col min="22" max="22" width="15.4285714285714" style="30" customWidth="1"/>
    <col min="23" max="23" width="13.5714285714286" style="30" customWidth="1"/>
    <col min="24" max="24" width="17.5714285714286" style="30" customWidth="1"/>
    <col min="25" max="25" width="20.5714285714286" style="30" customWidth="1"/>
    <col min="26" max="26" width="23" style="30" customWidth="1"/>
    <col min="27" max="27" width="29.5714285714286" style="30" customWidth="1"/>
    <col min="28" max="28" width="17.5714285714286" style="30" customWidth="1"/>
    <col min="29" max="29" width="15.4285714285714" style="30" customWidth="1"/>
    <col min="30" max="30" width="15.5714285714286" style="30" customWidth="1"/>
    <col min="31" max="31" width="26.4285714285714" style="30" customWidth="1"/>
    <col min="32" max="32" width="16.4285714285714" style="30" customWidth="1"/>
    <col min="33" max="33" width="12.5714285714286" style="30" customWidth="1"/>
    <col min="34" max="34" width="68.4285714285714" style="30" customWidth="1"/>
    <col min="35" max="35" width="6" style="30" hidden="1" customWidth="1"/>
    <col min="36" max="36" width="8.42857142857143" style="30" hidden="1" customWidth="1"/>
    <col min="37" max="37" width="12.5714285714286" style="30" customWidth="1"/>
    <col min="38" max="38" width="39" style="30" customWidth="1"/>
    <col min="39" max="39" width="38.4285714285714" style="30" customWidth="1"/>
    <col min="40" max="40" width="14.5714285714286" style="30" customWidth="1"/>
    <col min="41" max="41" width="15.5714285714286" style="30" customWidth="1"/>
    <col min="42" max="42" width="18.5714285714286" style="30" customWidth="1"/>
    <col min="43" max="16379" width="0" style="30" hidden="1" customWidth="1"/>
    <col min="16380" max="16384" width="18.5714285714286" style="30"/>
  </cols>
  <sheetData>
    <row r="1" ht="15.75" customHeight="1" thickBot="1"/>
    <row r="2" spans="2:29" ht="20.15" customHeight="1" thickBot="1">
      <c r="B2" s="1784" t="str">
        <f>CONCATENATE("Project Name:"," ",Start!F12,"     ","Map Reference:"," ",Start!K66)</f>
        <v xml:space="preserve">Project Name: Land east of Calne Road, Lyneham     Map Reference: </v>
      </c>
      <c r="C2" s="1785"/>
      <c r="N2" s="1597" t="s">
        <v>448</v>
      </c>
      <c r="O2" s="1599"/>
      <c r="X2" s="1715" t="str">
        <f>IF(OR(COUNTIF($X$12:X257,"*30+*")&gt;0,COUNTIF($AB$12:AB257,"*30+*")&gt;0),"Note; Habitat selected has a time to target condition greater than 30 years. Non standard agreement may be required. ⚠","")</f>
        <v/>
      </c>
      <c r="Y2" s="1715"/>
      <c r="Z2" s="1715"/>
      <c r="AA2" s="1715"/>
      <c r="AB2" s="1715"/>
      <c r="AC2" s="1715"/>
    </row>
    <row r="3" spans="2:29" ht="19.4" customHeight="1" thickBot="1">
      <c r="B3" s="1449" t="str">
        <f ca="1">MID(CELL("filename",A1),FIND("]",CELL("filename",A1))+1,256)</f>
        <v>E-3 Off-Site Hedge Enhancement</v>
      </c>
      <c r="C3" s="1451"/>
      <c r="H3" s="388"/>
      <c r="I3" s="388"/>
      <c r="N3" s="403" t="s">
        <v>306</v>
      </c>
      <c r="O3" s="390">
        <f>'Headline Results'!H48</f>
        <v>6.475122960273441</v>
      </c>
      <c r="X3" s="1715"/>
      <c r="Y3" s="1715"/>
      <c r="Z3" s="1715"/>
      <c r="AA3" s="1715"/>
      <c r="AB3" s="1715"/>
      <c r="AC3" s="1715"/>
    </row>
    <row r="4" spans="2:29" ht="15.75" customHeight="1" thickBot="1">
      <c r="B4" s="1449"/>
      <c r="C4" s="1451"/>
      <c r="H4" s="388"/>
      <c r="I4" s="388"/>
      <c r="N4" s="385" t="s">
        <v>308</v>
      </c>
      <c r="O4" s="391">
        <f>'Headline Results'!H52</f>
        <v>5.10093190505234</v>
      </c>
      <c r="X4" s="1715"/>
      <c r="Y4" s="1715"/>
      <c r="Z4" s="1715"/>
      <c r="AA4" s="1715"/>
      <c r="AB4" s="1715"/>
      <c r="AC4" s="1715"/>
    </row>
    <row r="5" spans="8:34" ht="15.75" customHeight="1" thickBot="1">
      <c r="H5" s="388"/>
      <c r="I5" s="388"/>
      <c r="N5" s="404" t="s">
        <v>310</v>
      </c>
      <c r="O5" s="383" t="str" cm="1">
        <f t="array" ref="O5">IF(OR('Trading Summary Hedgerows'!F5:H9="No ▲"),"No - check trading summary ▲","Yes ✓")</f>
        <v>Yes ✓</v>
      </c>
      <c r="P5" s="388"/>
      <c r="W5" s="132"/>
      <c r="X5" s="132"/>
      <c r="Y5" s="132"/>
      <c r="Z5" s="132"/>
      <c r="AA5" s="132"/>
      <c r="AB5" s="132"/>
      <c r="AC5" s="132"/>
      <c r="AD5" s="132"/>
      <c r="AE5" s="132"/>
      <c r="AF5" s="132"/>
      <c r="AG5" s="132"/>
      <c r="AH5" s="132"/>
    </row>
    <row r="6" ht="27.65" customHeight="1"/>
    <row r="7" spans="2:13" ht="14.5" thickBot="1">
      <c r="B7" s="89"/>
      <c r="C7" s="89"/>
      <c r="M7" s="88"/>
    </row>
    <row r="8" spans="13:35" ht="24" customHeight="1" thickBot="1">
      <c r="M8" s="1709" t="s">
        <v>474</v>
      </c>
      <c r="N8" s="1710"/>
      <c r="O8" s="1710"/>
      <c r="P8" s="1710"/>
      <c r="Q8" s="1710"/>
      <c r="R8" s="1710"/>
      <c r="S8" s="1710"/>
      <c r="T8" s="1710"/>
      <c r="U8" s="1710"/>
      <c r="V8" s="1710"/>
      <c r="W8" s="1710"/>
      <c r="X8" s="1710"/>
      <c r="Y8" s="1710"/>
      <c r="Z8" s="1710"/>
      <c r="AA8" s="1710"/>
      <c r="AB8" s="1710"/>
      <c r="AC8" s="1710"/>
      <c r="AD8" s="1710"/>
      <c r="AE8" s="1710"/>
      <c r="AF8" s="1710"/>
      <c r="AG8" s="1710"/>
      <c r="AH8" s="1711"/>
      <c r="AI8" s="963"/>
    </row>
    <row r="9" spans="3:35" ht="7.5" customHeight="1" hidden="1" thickBot="1">
      <c r="C9" s="88"/>
      <c r="D9" s="88"/>
      <c r="E9" s="88"/>
      <c r="F9" s="88"/>
      <c r="G9" s="88"/>
      <c r="H9" s="88"/>
      <c r="I9" s="88"/>
      <c r="J9" s="88"/>
      <c r="K9" s="88"/>
      <c r="L9" s="88"/>
      <c r="M9" s="1781" t="s">
        <v>374</v>
      </c>
      <c r="N9" s="1782"/>
      <c r="O9" s="1782"/>
      <c r="P9" s="1782"/>
      <c r="Q9" s="1782"/>
      <c r="R9" s="1782"/>
      <c r="S9" s="1782"/>
      <c r="T9" s="1782"/>
      <c r="U9" s="1782"/>
      <c r="V9" s="1782"/>
      <c r="W9" s="1782"/>
      <c r="X9" s="1782"/>
      <c r="Y9" s="1782"/>
      <c r="Z9" s="1782"/>
      <c r="AA9" s="1782"/>
      <c r="AB9" s="1782"/>
      <c r="AC9" s="1782"/>
      <c r="AD9" s="1782"/>
      <c r="AE9" s="1782"/>
      <c r="AF9" s="1782"/>
      <c r="AG9" s="1782"/>
      <c r="AH9" s="1782"/>
      <c r="AI9" s="1783"/>
    </row>
    <row r="10" spans="3:41" s="33" customFormat="1" ht="30" customHeight="1" thickBot="1">
      <c r="C10" s="1701" t="s">
        <v>372</v>
      </c>
      <c r="D10" s="1702"/>
      <c r="E10" s="1702"/>
      <c r="F10" s="1702"/>
      <c r="G10" s="1702"/>
      <c r="H10" s="1702"/>
      <c r="I10" s="1702"/>
      <c r="J10" s="1702"/>
      <c r="K10" s="1702"/>
      <c r="L10" s="1703"/>
      <c r="M10" s="1701" t="s">
        <v>392</v>
      </c>
      <c r="N10" s="1419" t="s">
        <v>374</v>
      </c>
      <c r="O10" s="1459"/>
      <c r="P10" s="1698" t="s">
        <v>451</v>
      </c>
      <c r="Q10" s="1419" t="s">
        <v>312</v>
      </c>
      <c r="R10" s="1459"/>
      <c r="S10" s="1419" t="s">
        <v>313</v>
      </c>
      <c r="T10" s="1459"/>
      <c r="U10" s="1745" t="s">
        <v>314</v>
      </c>
      <c r="V10" s="1746"/>
      <c r="W10" s="1747"/>
      <c r="X10" s="1745" t="s">
        <v>428</v>
      </c>
      <c r="Y10" s="1746"/>
      <c r="Z10" s="1746"/>
      <c r="AA10" s="1746"/>
      <c r="AB10" s="1746"/>
      <c r="AC10" s="1747"/>
      <c r="AD10" s="1723" t="s">
        <v>377</v>
      </c>
      <c r="AE10" s="1723"/>
      <c r="AF10" s="1723"/>
      <c r="AG10" s="1723"/>
      <c r="AH10" s="527" t="s">
        <v>408</v>
      </c>
      <c r="AI10" s="1692" t="s">
        <v>408</v>
      </c>
      <c r="AJ10" s="1692" t="s">
        <v>473</v>
      </c>
      <c r="AK10" s="1692" t="s">
        <v>460</v>
      </c>
      <c r="AL10" s="1701" t="s">
        <v>318</v>
      </c>
      <c r="AM10" s="1702"/>
      <c r="AN10" s="1702"/>
      <c r="AO10" s="1703"/>
    </row>
    <row r="11" spans="2:43" ht="62.25" customHeight="1" thickBot="1">
      <c r="B11" s="116" t="s">
        <v>380</v>
      </c>
      <c r="C11" s="121" t="s">
        <v>381</v>
      </c>
      <c r="D11" s="121" t="s">
        <v>451</v>
      </c>
      <c r="E11" s="121" t="s">
        <v>383</v>
      </c>
      <c r="F11" s="121" t="s">
        <v>384</v>
      </c>
      <c r="G11" s="121" t="s">
        <v>385</v>
      </c>
      <c r="H11" s="121" t="s">
        <v>386</v>
      </c>
      <c r="I11" s="121" t="s">
        <v>387</v>
      </c>
      <c r="J11" s="121" t="s">
        <v>388</v>
      </c>
      <c r="K11" s="121" t="s">
        <v>389</v>
      </c>
      <c r="L11" s="120" t="s">
        <v>315</v>
      </c>
      <c r="M11" s="1701"/>
      <c r="N11" s="109" t="s">
        <v>467</v>
      </c>
      <c r="O11" s="608" t="s">
        <v>468</v>
      </c>
      <c r="P11" s="1698"/>
      <c r="Q11" s="109" t="s">
        <v>312</v>
      </c>
      <c r="R11" s="608" t="s">
        <v>328</v>
      </c>
      <c r="S11" s="109" t="s">
        <v>313</v>
      </c>
      <c r="T11" s="608" t="s">
        <v>328</v>
      </c>
      <c r="U11" s="109" t="s">
        <v>314</v>
      </c>
      <c r="V11" s="620" t="s">
        <v>314</v>
      </c>
      <c r="W11" s="608" t="s">
        <v>329</v>
      </c>
      <c r="X11" s="112" t="s">
        <v>462</v>
      </c>
      <c r="Y11" s="564" t="s">
        <v>433</v>
      </c>
      <c r="Z11" s="564" t="s">
        <v>397</v>
      </c>
      <c r="AA11" s="564" t="s">
        <v>398</v>
      </c>
      <c r="AB11" s="564" t="s">
        <v>399</v>
      </c>
      <c r="AC11" s="530" t="s">
        <v>469</v>
      </c>
      <c r="AD11" s="112" t="s">
        <v>470</v>
      </c>
      <c r="AE11" s="564" t="s">
        <v>463</v>
      </c>
      <c r="AF11" s="564" t="s">
        <v>471</v>
      </c>
      <c r="AG11" s="530" t="s">
        <v>404</v>
      </c>
      <c r="AH11" s="109" t="s">
        <v>411</v>
      </c>
      <c r="AI11" s="1780"/>
      <c r="AJ11" s="1742"/>
      <c r="AK11" s="1742"/>
      <c r="AL11" s="112" t="s">
        <v>302</v>
      </c>
      <c r="AM11" s="530" t="s">
        <v>279</v>
      </c>
      <c r="AN11" s="617" t="s">
        <v>270</v>
      </c>
      <c r="AO11" s="617" t="s">
        <v>413</v>
      </c>
      <c r="AQ11" s="88" t="s">
        <v>322</v>
      </c>
    </row>
    <row r="12" spans="2:43" ht="14">
      <c r="B12" s="610" t="str">
        <f>'E-1 Off-Site Hedge Baseline'!AN10</f>
        <v/>
      </c>
      <c r="C12" s="283" t="str">
        <f>IF(B12="","",IF(ISNA(VLOOKUP($B12,'E-1 Off-Site Hedge Baseline'!$B$1:$L$257,3,FALSE)),"",(VLOOKUP($B12,'E-1 Off-Site Hedge Baseline'!$B$1:$L$257,3,FALSE))))</f>
        <v/>
      </c>
      <c r="D12" s="283" t="str">
        <f>IF(B12="","",IF(ISNA(VLOOKUP($B12,'E-1 Off-Site Hedge Baseline'!$B$1:$L$258,4,FALSE)),"",(VLOOKUP($B12,'E-1 Off-Site Hedge Baseline'!$B$1:$L$258,4,FALSE))))</f>
        <v/>
      </c>
      <c r="E12" s="283" t="str">
        <f>IF(B12="","",IF(ISNA(VLOOKUP($B12,'E-1 Off-Site Hedge Baseline'!$B$1:$L$257,5,FALSE)),"",(VLOOKUP($B12,'E-1 Off-Site Hedge Baseline'!$B$1:$L$257,5,FALSE))))</f>
        <v/>
      </c>
      <c r="F12" s="283" t="str">
        <f>IF(B12="","",IF(ISNA(VLOOKUP($B12,'E-1 Off-Site Hedge Baseline'!$B$1:$L$257,6,FALSE)),"",(VLOOKUP($B12,'E-1 Off-Site Hedge Baseline'!$B$1:$L$257,6,FALSE))))</f>
        <v/>
      </c>
      <c r="G12" s="283" t="str">
        <f>IF(B12="","",IF(ISNA(VLOOKUP($B12,'E-1 Off-Site Hedge Baseline'!$B$1:$L$257,7,FALSE)),"",(VLOOKUP($B12,'E-1 Off-Site Hedge Baseline'!$B$1:$L$257,7,FALSE))))</f>
        <v/>
      </c>
      <c r="H12" s="283" t="str">
        <f>IF(B12="","",IF(ISNA(VLOOKUP($B12,'E-1 Off-Site Hedge Baseline'!$B$1:$L$257,8,FALSE)),"",(VLOOKUP($B12,'E-1 Off-Site Hedge Baseline'!$B$1:$L$257,8,FALSE))))</f>
        <v/>
      </c>
      <c r="I12" s="283" t="str">
        <f>IF(B12="","",IF(ISNA(VLOOKUP($B12,'E-1 Off-Site Hedge Baseline'!$B$1:$L$257,10,FALSE)),"",(VLOOKUP($B12,'E-1 Off-Site Hedge Baseline'!$B$1:$L$257,10,FALSE))))</f>
        <v/>
      </c>
      <c r="J12" s="283" t="str">
        <f>IF(B12="","",IF(ISNA(VLOOKUP($B12,'E-1 Off-Site Hedge Baseline'!$B$1:$L$257,11,FALSE)),"",(VLOOKUP($B12,'E-1 Off-Site Hedge Baseline'!$B$1:$L$257,11,FALSE))))</f>
        <v/>
      </c>
      <c r="K12" s="283" t="str">
        <f>IF(B12="","",IF(ISNA(VLOOKUP($B12,'E-1 Off-Site Hedge Baseline'!$B$1:$X$257,16,FALSE)),"",(VLOOKUP($B12,'E-1 Off-Site Hedge Baseline'!$B$1:$X$257,16,FALSE))))</f>
        <v/>
      </c>
      <c r="L12" s="283" t="str">
        <f>IF(B12="","",IF(ISNA(VLOOKUP($B12,'E-1 Off-Site Hedge Baseline'!$B$1:$X$257,12,FALSE)),"",(VLOOKUP($B12,'E-1 Off-Site Hedge Baseline'!$B$1:$X$257,12,FALSE))))</f>
        <v/>
      </c>
      <c r="M12" s="244"/>
      <c r="N12" s="275" t="str">
        <f>IFERROR(IF(B12="","",INDEX('G-6 Hedgerow Data'!$AN$3:$AZ$15,MATCH(C12,'G-6 Hedgerow Data'!$AM$3:$AM$15,0),MATCH(M12,'G-6 Hedgerow Data'!$AN$2:$AZ$2,0))),"")</f>
        <v/>
      </c>
      <c r="O12" s="276" t="str">
        <f>IFERROR(IF(B12="","",IF(AND(LEFT(C12,55)&lt;&gt;LEFT(M12,55),N12="High - High"),"Error - Not like for like ▲",IF(H12&gt;T12,"Error - Can not reduce condition ▲",IF(AND(F12=R12,H12=T12),"Error - No enhancement ▲",IF(AND(C12&lt;&gt;M12,F12&lt;R12),"Lower Distinctiveness Habitat"&amp;" - "&amp;S12,G12&amp;" - "&amp;S12))))),"")</f>
        <v/>
      </c>
      <c r="P12" s="281" t="str">
        <f>IF(B12="","",VLOOKUP(B12,'E-1 Off-Site Hedge Baseline'!$B$10:W257,19,FALSE))</f>
        <v/>
      </c>
      <c r="Q12" s="275" t="str">
        <f>IF(M12="","",VLOOKUP(M12,'G-6 Hedgerow Data'!$B$2:$AG$15,2,FALSE))</f>
        <v/>
      </c>
      <c r="R12" s="276" t="str">
        <f>IF(M12="","",VLOOKUP(M12,'G-6 Hedgerow Data'!$B$2:$AG$15,3,FALSE))</f>
        <v/>
      </c>
      <c r="S12" s="101"/>
      <c r="T12" s="276" t="str">
        <f>IFERROR(IF(S12="","",IF(AND(M12="Non-native and ornamental hedgerow",S12&lt;&gt;"Poor"),"Not possible ▲",(IF(AND(Q12="V.Low",OR(S12="Good",S12="Moderate")),"Error ▲",VLOOKUP(S12,'G-1 All Habitats'!$Z$2:$AA$9,2,FALSE))))),"")</f>
        <v/>
      </c>
      <c r="U12" s="52"/>
      <c r="V12" s="283" t="str">
        <f>IF(U12="","",IF(VLOOKUP(U12,'G-3 Multipliers'!$L$3:$N$6,2,FALSE)=0,"Spatial Data Missing ⚠",VLOOKUP(U12,'G-3 Multipliers'!$L$3:$N$6,2,FALSE)))</f>
        <v/>
      </c>
      <c r="W12" s="281" t="str">
        <f>IF(U12="","",IF(VLOOKUP(U12,'G-3 Multipliers'!$L$3:$N$6,3,FALSE)=0,"Spatial Data Missing ⚠",VLOOKUP(U12,'G-3 Multipliers'!$L$3:$N$6,3,FALSE)))</f>
        <v/>
      </c>
      <c r="X12" s="275" t="str">
        <f>IFERROR(IF(OR(LEFT(O12,5)="Error",LEFT(N12,5)="Error",T12="Error"),"Check Data ⚠",IF(F12&lt;R12,INDEX('G-6 Hedgerow Data'!$S$3:$AE$14,MATCH(C12,'G-6 Hedgerow Data'!$B$3:$B$14,0),MATCH(M12,'G-6 Hedgerow Data'!$S$2:$AE$2,0)),INDEX('G-6 Hedgerow Data'!$K$3:$Q$14,MATCH(M12,'G-6 Hedgerow Data'!$B$3:$B$14,0),MATCH(O12,'G-6 Hedgerow Data'!$K$2:$Q$2,0)))),"")</f>
        <v/>
      </c>
      <c r="Y12" s="133"/>
      <c r="Z12" s="133"/>
      <c r="AA12" s="283"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296" t="str">
        <f>IF(X12="","",IF(AA12="Check Data ⚠","Check Data ⚠",IF(X12="Not possible ▲","Check data ⚠",IF(Y12="30+",0,IF(Z12="30+","30+",IF(X12+Z12&gt;30,"30+",IF(AA12="Error -both advance and delayed habitat creation ▲","Check Data ⚠",IF(X12+Z12-Y12&gt;0,X12+Z12-Y12,IF(X12-Y12&lt;=0,0,)))))))))</f>
        <v/>
      </c>
      <c r="AC12" s="297" t="str">
        <f t="shared" si="0" ref="AC12:AC75">IF(OR(S12="",M12=""),"",IF(LEFT(AB12,5)="Error ▲","Check Data ⚠",IF(AB12="Check Data ⚠","Check Data ⚠",VLOOKUP(AB12,TemporalMultipliers,3,FALSE))))</f>
        <v/>
      </c>
      <c r="AD12" s="275" t="str">
        <f>IF(M12="","",VLOOKUP(M12,'G-6 Hedgerow Data'!$B$3:$AG$15,31,FALSE))</f>
        <v/>
      </c>
      <c r="AE12" s="283" t="str">
        <f>IF(M12="","",IF(OR(LEFT(AA12,5)="Error ▲",AA12="Check Data ⚠"),"Check Data ⚠",IF(X12="","",IF($AA12="Check details - Is there evidence that habitat has reached target condition? ⚠","Low Difficulty - only applicable if all habitat created before losses ⚠","Standard difficulty applied"))))</f>
        <v/>
      </c>
      <c r="AF12" s="283" t="str">
        <f>(IF(AND(AE12="Yes",X12&gt;Y12),AD12,IF(AB12="Check data ⚠","Check data ⚠",IF(AND(AE12="Low Difficulty - only applicable if all habitat created before losses ⚠",Y12&gt;=X12),"Low",AD12))))</f>
        <v/>
      </c>
      <c r="AG12" s="276" t="str">
        <f>IFERROR(IF(O12="","",VLOOKUP(AD12,'G-3 Multipliers'!$P$3:$Q$6,2,FALSE)),"")</f>
        <v/>
      </c>
      <c r="AH12" s="713" t="str">
        <f>IF(B12="","",IF(ISNA(VLOOKUP($B12,'E-1 Off-Site Hedge Baseline'!$B$1:$Z$257,14,FALSE)),"",(VLOOKUP($B12,'E-1 Off-Site Hedge Baseline'!$B$1:$Z$257,14,FALSE))))</f>
        <v/>
      </c>
      <c r="AI12" s="276" t="str">
        <f>IF(AH12="","",IF(VLOOKUP(AH12,'G-3 Multipliers'!$S$3:$T$10,2,FALSE)=0,"Spatial Data Missing ⚠",VLOOKUP(AH12,'G-3 Multipliers'!$S$3:$T$10,2,FALSE)))</f>
        <v/>
      </c>
      <c r="AJ12" s="289" t="str">
        <f>IFERROR(IF(AK12="Check data ⚠","Check data ⚠",(IF(OR(M12="",S12="",U12="",AH12=""),"",(((((P12*R12*T12)-(P12*F12*H12))*(AG12*AC12))+(P12*F12*H12))*(W12)*AI12)))),"")</f>
        <v/>
      </c>
      <c r="AK12" s="289" t="str">
        <f>IFERROR(IF(K12="Check data ⚠","Check data ⚠",(IF(AND(AH12&lt;&gt;"",AO12=""),"Off-site reference required ▲",(IF(OR(M12="",S12="",U12="",AH12=""),"",IF(AH12="","",(((((P12*R12*T12)-(P12*F12*H12))*(AG12*AC12))+(P12*F12*H12))*(W12)))))))),"")</f>
        <v/>
      </c>
      <c r="AL12" s="101"/>
      <c r="AM12" s="115"/>
      <c r="AN12" s="115"/>
      <c r="AO12" s="115"/>
      <c r="AQ12" s="30" t="str">
        <f>IFERROR(INDEX('G-6 Hedgerow Data'!$BJ$3:$BJ$15,MATCH(M12,'G-6 Hedgerow Data'!$B$3:$B$15,0)),"")</f>
        <v/>
      </c>
    </row>
    <row r="13" spans="2:43" ht="14">
      <c r="B13" s="305" t="str">
        <f>'E-1 Off-Site Hedge Baseline'!AN11</f>
        <v/>
      </c>
      <c r="C13" s="295" t="str">
        <f>IF(B13="","",IF(ISNA(VLOOKUP($B13,'E-1 Off-Site Hedge Baseline'!$B$1:$L$257,3,FALSE)),"",(VLOOKUP($B13,'E-1 Off-Site Hedge Baseline'!$B$1:$L$257,3,FALSE))))</f>
        <v/>
      </c>
      <c r="D13" s="295" t="str">
        <f>IF(B13="","",IF(ISNA(VLOOKUP($B13,'E-1 Off-Site Hedge Baseline'!$B$1:$L$258,4,FALSE)),"",(VLOOKUP($B13,'E-1 Off-Site Hedge Baseline'!$B$1:$L$258,4,FALSE))))</f>
        <v/>
      </c>
      <c r="E13" s="295" t="str">
        <f>IF(B13="","",IF(ISNA(VLOOKUP($B13,'E-1 Off-Site Hedge Baseline'!$B$1:$L$257,5,FALSE)),"",(VLOOKUP($B13,'E-1 Off-Site Hedge Baseline'!$B$1:$L$257,5,FALSE))))</f>
        <v/>
      </c>
      <c r="F13" s="295" t="str">
        <f>IF(B13="","",IF(ISNA(VLOOKUP($B13,'E-1 Off-Site Hedge Baseline'!$B$1:$L$257,6,FALSE)),"",(VLOOKUP($B13,'E-1 Off-Site Hedge Baseline'!$B$1:$L$257,6,FALSE))))</f>
        <v/>
      </c>
      <c r="G13" s="295" t="str">
        <f>IF(B13="","",IF(ISNA(VLOOKUP($B13,'E-1 Off-Site Hedge Baseline'!$B$1:$L$257,7,FALSE)),"",(VLOOKUP($B13,'E-1 Off-Site Hedge Baseline'!$B$1:$L$257,7,FALSE))))</f>
        <v/>
      </c>
      <c r="H13" s="295" t="str">
        <f>IF(B13="","",IF(ISNA(VLOOKUP($B13,'E-1 Off-Site Hedge Baseline'!$B$1:$L$257,8,FALSE)),"",(VLOOKUP($B13,'E-1 Off-Site Hedge Baseline'!$B$1:$L$257,8,FALSE))))</f>
        <v/>
      </c>
      <c r="I13" s="295" t="str">
        <f>IF(B13="","",IF(ISNA(VLOOKUP($B13,'E-1 Off-Site Hedge Baseline'!$B$1:$L$257,10,FALSE)),"",(VLOOKUP($B13,'E-1 Off-Site Hedge Baseline'!$B$1:$L$257,10,FALSE))))</f>
        <v/>
      </c>
      <c r="J13" s="295" t="str">
        <f>IF(B13="","",IF(ISNA(VLOOKUP($B13,'E-1 Off-Site Hedge Baseline'!$B$1:$L$257,11,FALSE)),"",(VLOOKUP($B13,'E-1 Off-Site Hedge Baseline'!$B$1:$L$257,11,FALSE))))</f>
        <v/>
      </c>
      <c r="K13" s="295" t="str">
        <f>IF(B13="","",IF(ISNA(VLOOKUP($B13,'E-1 Off-Site Hedge Baseline'!$B$1:$X$257,16,FALSE)),"",(VLOOKUP($B13,'E-1 Off-Site Hedge Baseline'!$B$1:$X$257,16,FALSE))))</f>
        <v/>
      </c>
      <c r="L13" s="283" t="str">
        <f>IF(B13="","",IF(ISNA(VLOOKUP($B13,'E-1 Off-Site Hedge Baseline'!$B$1:$X$257,12,FALSE)),"",(VLOOKUP($B13,'E-1 Off-Site Hedge Baseline'!$B$1:$X$257,12,FALSE))))</f>
        <v/>
      </c>
      <c r="M13" s="244"/>
      <c r="N13" s="275" t="str">
        <f>IFERROR(IF(B13="","",INDEX('G-6 Hedgerow Data'!$AN$3:$AZ$15,MATCH(C13,'G-6 Hedgerow Data'!$AM$3:$AM$15,0),MATCH(M13,'G-6 Hedgerow Data'!$AN$2:$AZ$2,0))),"")</f>
        <v/>
      </c>
      <c r="O13" s="276" t="str">
        <f t="shared" si="1" ref="O13:O76">IFERROR(IF(B13="","",IF(AND(LEFT(C13,55)&lt;&gt;LEFT(M13,55),N13="High - High"),"Error - Not like for like ▲",IF(H13&gt;T13,"Error - Can not reduce condition ▲",IF(AND(F13=R13,H13=T13),"Error - No enhancement ▲",IF(AND(C13&lt;&gt;M13,F13&lt;R13),"Lower Distinctiveness Habitat"&amp;" - "&amp;S13,G13&amp;" - "&amp;S13))))),"")</f>
        <v/>
      </c>
      <c r="P13" s="281" t="str">
        <f>IF(B13="","",VLOOKUP(B13,'E-1 Off-Site Hedge Baseline'!$B$10:W258,19,FALSE))</f>
        <v/>
      </c>
      <c r="Q13" s="275" t="str">
        <f>IF(M13="","",VLOOKUP(M13,'G-6 Hedgerow Data'!$B$2:$AG$15,2,FALSE))</f>
        <v/>
      </c>
      <c r="R13" s="276" t="str">
        <f>IF(M13="","",VLOOKUP(M13,'G-6 Hedgerow Data'!$B$2:$AG$15,3,FALSE))</f>
        <v/>
      </c>
      <c r="S13" s="101"/>
      <c r="T13" s="276" t="str">
        <f>IFERROR(IF(S13="","",IF(AND(M13="Non-native and ornamental hedgerow",S13&lt;&gt;"Poor"),"Not possible ▲",(IF(AND(Q13="V.Low",OR(S13="Good",S13="Moderate")),"Error ▲",VLOOKUP(S13,'G-1 All Habitats'!$Z$2:$AA$9,2,FALSE))))),"")</f>
        <v/>
      </c>
      <c r="U13" s="102"/>
      <c r="V13" s="283" t="str">
        <f>IF(U13="","",IF(VLOOKUP(U13,'G-3 Multipliers'!$L$3:$N$6,2,FALSE)=0,"Spatial Data Missing ⚠",VLOOKUP(U13,'G-3 Multipliers'!$L$3:$N$6,2,FALSE)))</f>
        <v/>
      </c>
      <c r="W13" s="281" t="str">
        <f>IF(U13="","",IF(VLOOKUP(U13,'G-3 Multipliers'!$L$3:$N$6,3,FALSE)=0,"Spatial Data Missing ⚠",VLOOKUP(U13,'G-3 Multipliers'!$L$3:$N$6,3,FALSE)))</f>
        <v/>
      </c>
      <c r="X13" s="275" t="str">
        <f>IFERROR(IF(OR(LEFT(O13,5)="Error",LEFT(N13,5)="Error",T13="Error"),"Check Data ⚠",IF(F13&lt;R13,INDEX('G-6 Hedgerow Data'!$S$3:$AE$14,MATCH(C13,'G-6 Hedgerow Data'!$B$3:$B$14,0),MATCH(M13,'G-6 Hedgerow Data'!$S$2:$AE$2,0)),INDEX('G-6 Hedgerow Data'!$K$3:$Q$14,MATCH(M13,'G-6 Hedgerow Data'!$B$3:$B$14,0),MATCH(O13,'G-6 Hedgerow Data'!$K$2:$Q$2,0)))),"")</f>
        <v/>
      </c>
      <c r="Y13" s="133"/>
      <c r="Z13" s="133"/>
      <c r="AA13" s="283" t="str">
        <f t="shared" si="2" ref="AA13:AA76">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296" t="str">
        <f t="shared" si="3" ref="AB13:AB76">IF(X13="","",IF(AA13="Check Data ⚠","Check Data ⚠",IF(X13="Not possible ▲","Check data ⚠",IF(Y13="30+",0,IF(Z13="30+","30+",IF(X13+Z13&gt;30,"30+",IF(AA13="Error -both advance and delayed habitat creation ▲","Check Data ⚠",IF(X13+Z13-Y13&gt;0,X13+Z13-Y13,IF(X13-Y13&lt;=0,0,)))))))))</f>
        <v/>
      </c>
      <c r="AC13" s="297" t="str">
        <f t="shared" si="0"/>
        <v/>
      </c>
      <c r="AD13" s="311" t="str">
        <f>IF(M13="","",VLOOKUP(M13,'G-6 Hedgerow Data'!$B$3:$AG$15,31,FALSE))</f>
        <v/>
      </c>
      <c r="AE13" s="295" t="str">
        <f t="shared" si="4" ref="AE13:AE76">IF(M13="","",IF(OR(LEFT(AA13,5)="Error ▲",AA13="Check Data ⚠"),"Check Data ⚠",IF(X13="","",IF($AA13="Check details - Is there evidence that habitat has reached target condition? ⚠","Low Difficulty - only applicable if all habitat created before losses ⚠","Standard difficulty applied"))))</f>
        <v/>
      </c>
      <c r="AF13" s="283" t="str">
        <f t="shared" si="5" ref="AF13:AF76">(IF(AND(AE13="Yes",X13&gt;Y13),AD13,IF(AB13="Check data ⚠","Check data ⚠",IF(AND(AE13="Low Difficulty - only applicable if all habitat created before losses ⚠",Y13&gt;=X13),"Low",AD13))))</f>
        <v/>
      </c>
      <c r="AG13" s="299" t="str">
        <f>IFERROR(IF(O13="","",VLOOKUP(AD13,'G-3 Multipliers'!$P$3:$Q$6,2,FALSE)),"")</f>
        <v/>
      </c>
      <c r="AH13" s="713" t="str">
        <f>IF(B13="","",IF(ISNA(VLOOKUP($B13,'E-1 Off-Site Hedge Baseline'!$B$1:$Z$257,14,FALSE)),"",(VLOOKUP($B13,'E-1 Off-Site Hedge Baseline'!$B$1:$Z$257,14,FALSE))))</f>
        <v/>
      </c>
      <c r="AI13" s="276" t="str">
        <f>IF(AH13="","",IF(VLOOKUP(AH13,'G-3 Multipliers'!$S$3:$T$10,2,FALSE)=0,"Spatial Data Missing ⚠",VLOOKUP(AH13,'G-3 Multipliers'!$S$3:$T$10,2,FALSE)))</f>
        <v/>
      </c>
      <c r="AJ13" s="289" t="str">
        <f t="shared" si="6" ref="AJ13:AJ76">IFERROR(IF(AK13="Check data ⚠","Check data ⚠",(IF(OR(M13="",S13="",U13="",AH13=""),"",(((((P13*R13*T13)-(P13*F13*H13))*(AG13*AC13))+(P13*F13*H13))*(W13)*AI13)))),"")</f>
        <v/>
      </c>
      <c r="AK13" s="289" t="str">
        <f t="shared" si="7" ref="AK13:AK76">IFERROR(IF(K13="Check data ⚠","Check data ⚠",(IF(AND(AH13&lt;&gt;"",AO13=""),"Off-site reference required ▲",(IF(OR(M13="",S13="",U13="",AH13=""),"",IF(AH13="","",(((((P13*R13*T13)-(P13*F13*H13))*(AG13*AC13))+(P13*F13*H13))*(W13)))))))),"")</f>
        <v/>
      </c>
      <c r="AL13" s="101"/>
      <c r="AM13" s="115"/>
      <c r="AN13" s="104"/>
      <c r="AO13" s="104"/>
      <c r="AQ13" s="30" t="str">
        <f>IFERROR(INDEX('G-6 Hedgerow Data'!$BJ$3:$BJ$15,MATCH(M13,'G-6 Hedgerow Data'!$B$3:$B$15,0)),"")</f>
        <v/>
      </c>
    </row>
    <row r="14" spans="2:43" ht="14">
      <c r="B14" s="305" t="str">
        <f>'E-1 Off-Site Hedge Baseline'!AN12</f>
        <v/>
      </c>
      <c r="C14" s="295" t="str">
        <f>IF(B14="","",IF(ISNA(VLOOKUP($B14,'E-1 Off-Site Hedge Baseline'!$B$1:$L$257,3,FALSE)),"",(VLOOKUP($B14,'E-1 Off-Site Hedge Baseline'!$B$1:$L$257,3,FALSE))))</f>
        <v/>
      </c>
      <c r="D14" s="295" t="str">
        <f>IF(B14="","",IF(ISNA(VLOOKUP($B14,'E-1 Off-Site Hedge Baseline'!$B$1:$L$258,4,FALSE)),"",(VLOOKUP($B14,'E-1 Off-Site Hedge Baseline'!$B$1:$L$258,4,FALSE))))</f>
        <v/>
      </c>
      <c r="E14" s="295" t="str">
        <f>IF(B14="","",IF(ISNA(VLOOKUP($B14,'E-1 Off-Site Hedge Baseline'!$B$1:$L$257,5,FALSE)),"",(VLOOKUP($B14,'E-1 Off-Site Hedge Baseline'!$B$1:$L$257,5,FALSE))))</f>
        <v/>
      </c>
      <c r="F14" s="295" t="str">
        <f>IF(B14="","",IF(ISNA(VLOOKUP($B14,'E-1 Off-Site Hedge Baseline'!$B$1:$L$257,6,FALSE)),"",(VLOOKUP($B14,'E-1 Off-Site Hedge Baseline'!$B$1:$L$257,6,FALSE))))</f>
        <v/>
      </c>
      <c r="G14" s="295" t="str">
        <f>IF(B14="","",IF(ISNA(VLOOKUP($B14,'E-1 Off-Site Hedge Baseline'!$B$1:$L$257,7,FALSE)),"",(VLOOKUP($B14,'E-1 Off-Site Hedge Baseline'!$B$1:$L$257,7,FALSE))))</f>
        <v/>
      </c>
      <c r="H14" s="295" t="str">
        <f>IF(B14="","",IF(ISNA(VLOOKUP($B14,'E-1 Off-Site Hedge Baseline'!$B$1:$L$257,8,FALSE)),"",(VLOOKUP($B14,'E-1 Off-Site Hedge Baseline'!$B$1:$L$257,8,FALSE))))</f>
        <v/>
      </c>
      <c r="I14" s="295" t="str">
        <f>IF(B14="","",IF(ISNA(VLOOKUP($B14,'E-1 Off-Site Hedge Baseline'!$B$1:$L$257,10,FALSE)),"",(VLOOKUP($B14,'E-1 Off-Site Hedge Baseline'!$B$1:$L$257,10,FALSE))))</f>
        <v/>
      </c>
      <c r="J14" s="295" t="str">
        <f>IF(B14="","",IF(ISNA(VLOOKUP($B14,'E-1 Off-Site Hedge Baseline'!$B$1:$L$257,11,FALSE)),"",(VLOOKUP($B14,'E-1 Off-Site Hedge Baseline'!$B$1:$L$257,11,FALSE))))</f>
        <v/>
      </c>
      <c r="K14" s="295" t="str">
        <f>IF(B14="","",IF(ISNA(VLOOKUP($B14,'E-1 Off-Site Hedge Baseline'!$B$1:$X$257,16,FALSE)),"",(VLOOKUP($B14,'E-1 Off-Site Hedge Baseline'!$B$1:$X$257,16,FALSE))))</f>
        <v/>
      </c>
      <c r="L14" s="283" t="str">
        <f>IF(B14="","",IF(ISNA(VLOOKUP($B14,'E-1 Off-Site Hedge Baseline'!$B$1:$X$257,12,FALSE)),"",(VLOOKUP($B14,'E-1 Off-Site Hedge Baseline'!$B$1:$X$257,12,FALSE))))</f>
        <v/>
      </c>
      <c r="M14" s="244"/>
      <c r="N14" s="275" t="str">
        <f>IFERROR(IF(B14="","",INDEX('G-6 Hedgerow Data'!$AN$3:$AZ$15,MATCH(C14,'G-6 Hedgerow Data'!$AM$3:$AM$15,0),MATCH(M14,'G-6 Hedgerow Data'!$AN$2:$AZ$2,0))),"")</f>
        <v/>
      </c>
      <c r="O14" s="276" t="str">
        <f t="shared" si="1"/>
        <v/>
      </c>
      <c r="P14" s="281" t="str">
        <f>IF(B14="","",VLOOKUP(B14,'E-1 Off-Site Hedge Baseline'!$B$10:W259,19,FALSE))</f>
        <v/>
      </c>
      <c r="Q14" s="275" t="str">
        <f>IF(M14="","",VLOOKUP(M14,'G-6 Hedgerow Data'!$B$2:$AG$15,2,FALSE))</f>
        <v/>
      </c>
      <c r="R14" s="276" t="str">
        <f>IF(M14="","",VLOOKUP(M14,'G-6 Hedgerow Data'!$B$2:$AG$15,3,FALSE))</f>
        <v/>
      </c>
      <c r="S14" s="101"/>
      <c r="T14" s="276" t="str">
        <f>IFERROR(IF(S14="","",IF(AND(M14="Non-native and ornamental hedgerow",S14&lt;&gt;"Poor"),"Not possible ▲",(IF(AND(Q14="V.Low",OR(S14="Good",S14="Moderate")),"Error ▲",VLOOKUP(S14,'G-1 All Habitats'!$Z$2:$AA$9,2,FALSE))))),"")</f>
        <v/>
      </c>
      <c r="U14" s="102"/>
      <c r="V14" s="283" t="str">
        <f>IF(U14="","",IF(VLOOKUP(U14,'G-3 Multipliers'!$L$3:$N$6,2,FALSE)=0,"Spatial Data Missing ⚠",VLOOKUP(U14,'G-3 Multipliers'!$L$3:$N$6,2,FALSE)))</f>
        <v/>
      </c>
      <c r="W14" s="281" t="str">
        <f>IF(U14="","",IF(VLOOKUP(U14,'G-3 Multipliers'!$L$3:$N$6,3,FALSE)=0,"Spatial Data Missing ⚠",VLOOKUP(U14,'G-3 Multipliers'!$L$3:$N$6,3,FALSE)))</f>
        <v/>
      </c>
      <c r="X14" s="275" t="str">
        <f>IFERROR(IF(OR(LEFT(O14,5)="Error",LEFT(N14,5)="Error",T14="Error"),"Check Data ⚠",IF(F14&lt;R14,INDEX('G-6 Hedgerow Data'!$S$3:$AE$14,MATCH(C14,'G-6 Hedgerow Data'!$B$3:$B$14,0),MATCH(M14,'G-6 Hedgerow Data'!$S$2:$AE$2,0)),INDEX('G-6 Hedgerow Data'!$K$3:$Q$14,MATCH(M14,'G-6 Hedgerow Data'!$B$3:$B$14,0),MATCH(O14,'G-6 Hedgerow Data'!$K$2:$Q$2,0)))),"")</f>
        <v/>
      </c>
      <c r="Y14" s="133"/>
      <c r="Z14" s="133"/>
      <c r="AA14" s="283" t="str">
        <f t="shared" si="2"/>
        <v/>
      </c>
      <c r="AB14" s="296" t="str">
        <f t="shared" si="3"/>
        <v/>
      </c>
      <c r="AC14" s="297" t="str">
        <f t="shared" si="0"/>
        <v/>
      </c>
      <c r="AD14" s="311" t="str">
        <f>IF(M14="","",VLOOKUP(M14,'G-6 Hedgerow Data'!$B$3:$AG$15,31,FALSE))</f>
        <v/>
      </c>
      <c r="AE14" s="295" t="str">
        <f t="shared" si="4"/>
        <v/>
      </c>
      <c r="AF14" s="283" t="str">
        <f t="shared" si="5"/>
        <v/>
      </c>
      <c r="AG14" s="299" t="str">
        <f>IFERROR(IF(O14="","",VLOOKUP(AD14,'G-3 Multipliers'!$P$3:$Q$6,2,FALSE)),"")</f>
        <v/>
      </c>
      <c r="AH14" s="713" t="str">
        <f>IF(B14="","",IF(ISNA(VLOOKUP($B14,'E-1 Off-Site Hedge Baseline'!$B$1:$Z$257,14,FALSE)),"",(VLOOKUP($B14,'E-1 Off-Site Hedge Baseline'!$B$1:$Z$257,14,FALSE))))</f>
        <v/>
      </c>
      <c r="AI14" s="276" t="str">
        <f>IF(AH14="","",IF(VLOOKUP(AH14,'G-3 Multipliers'!$S$3:$T$10,2,FALSE)=0,"Spatial Data Missing ⚠",VLOOKUP(AH14,'G-3 Multipliers'!$S$3:$T$10,2,FALSE)))</f>
        <v/>
      </c>
      <c r="AJ14" s="289" t="str">
        <f t="shared" si="6"/>
        <v/>
      </c>
      <c r="AK14" s="289" t="str">
        <f t="shared" si="7"/>
        <v/>
      </c>
      <c r="AL14" s="101"/>
      <c r="AM14" s="115"/>
      <c r="AN14" s="104"/>
      <c r="AO14" s="104"/>
      <c r="AQ14" s="30" t="str">
        <f>IFERROR(INDEX('G-6 Hedgerow Data'!$BJ$3:$BJ$15,MATCH(M14,'G-6 Hedgerow Data'!$B$3:$B$15,0)),"")</f>
        <v/>
      </c>
    </row>
    <row r="15" spans="2:43" ht="14">
      <c r="B15" s="305" t="str">
        <f>'E-1 Off-Site Hedge Baseline'!AN13</f>
        <v/>
      </c>
      <c r="C15" s="295" t="str">
        <f>IF(B15="","",IF(ISNA(VLOOKUP($B15,'E-1 Off-Site Hedge Baseline'!$B$1:$L$257,3,FALSE)),"",(VLOOKUP($B15,'E-1 Off-Site Hedge Baseline'!$B$1:$L$257,3,FALSE))))</f>
        <v/>
      </c>
      <c r="D15" s="295" t="str">
        <f>IF(B15="","",IF(ISNA(VLOOKUP($B15,'E-1 Off-Site Hedge Baseline'!$B$1:$L$258,4,FALSE)),"",(VLOOKUP($B15,'E-1 Off-Site Hedge Baseline'!$B$1:$L$258,4,FALSE))))</f>
        <v/>
      </c>
      <c r="E15" s="295" t="str">
        <f>IF(B15="","",IF(ISNA(VLOOKUP($B15,'E-1 Off-Site Hedge Baseline'!$B$1:$L$257,5,FALSE)),"",(VLOOKUP($B15,'E-1 Off-Site Hedge Baseline'!$B$1:$L$257,5,FALSE))))</f>
        <v/>
      </c>
      <c r="F15" s="295" t="str">
        <f>IF(B15="","",IF(ISNA(VLOOKUP($B15,'E-1 Off-Site Hedge Baseline'!$B$1:$L$257,6,FALSE)),"",(VLOOKUP($B15,'E-1 Off-Site Hedge Baseline'!$B$1:$L$257,6,FALSE))))</f>
        <v/>
      </c>
      <c r="G15" s="295" t="str">
        <f>IF(B15="","",IF(ISNA(VLOOKUP($B15,'E-1 Off-Site Hedge Baseline'!$B$1:$L$257,7,FALSE)),"",(VLOOKUP($B15,'E-1 Off-Site Hedge Baseline'!$B$1:$L$257,7,FALSE))))</f>
        <v/>
      </c>
      <c r="H15" s="295" t="str">
        <f>IF(B15="","",IF(ISNA(VLOOKUP($B15,'E-1 Off-Site Hedge Baseline'!$B$1:$L$257,8,FALSE)),"",(VLOOKUP($B15,'E-1 Off-Site Hedge Baseline'!$B$1:$L$257,8,FALSE))))</f>
        <v/>
      </c>
      <c r="I15" s="295" t="str">
        <f>IF(B15="","",IF(ISNA(VLOOKUP($B15,'E-1 Off-Site Hedge Baseline'!$B$1:$L$257,10,FALSE)),"",(VLOOKUP($B15,'E-1 Off-Site Hedge Baseline'!$B$1:$L$257,10,FALSE))))</f>
        <v/>
      </c>
      <c r="J15" s="295" t="str">
        <f>IF(B15="","",IF(ISNA(VLOOKUP($B15,'E-1 Off-Site Hedge Baseline'!$B$1:$L$257,11,FALSE)),"",(VLOOKUP($B15,'E-1 Off-Site Hedge Baseline'!$B$1:$L$257,11,FALSE))))</f>
        <v/>
      </c>
      <c r="K15" s="295" t="str">
        <f>IF(B15="","",IF(ISNA(VLOOKUP($B15,'E-1 Off-Site Hedge Baseline'!$B$1:$X$257,16,FALSE)),"",(VLOOKUP($B15,'E-1 Off-Site Hedge Baseline'!$B$1:$X$257,16,FALSE))))</f>
        <v/>
      </c>
      <c r="L15" s="283" t="str">
        <f>IF(B15="","",IF(ISNA(VLOOKUP($B15,'E-1 Off-Site Hedge Baseline'!$B$1:$X$257,12,FALSE)),"",(VLOOKUP($B15,'E-1 Off-Site Hedge Baseline'!$B$1:$X$257,12,FALSE))))</f>
        <v/>
      </c>
      <c r="M15" s="244"/>
      <c r="N15" s="275" t="str">
        <f>IFERROR(IF(B15="","",INDEX('G-6 Hedgerow Data'!$AN$3:$AZ$15,MATCH(C15,'G-6 Hedgerow Data'!$AM$3:$AM$15,0),MATCH(M15,'G-6 Hedgerow Data'!$AN$2:$AZ$2,0))),"")</f>
        <v/>
      </c>
      <c r="O15" s="276" t="str">
        <f t="shared" si="1"/>
        <v/>
      </c>
      <c r="P15" s="281" t="str">
        <f>IF(B15="","",VLOOKUP(B15,'E-1 Off-Site Hedge Baseline'!$B$10:W260,19,FALSE))</f>
        <v/>
      </c>
      <c r="Q15" s="275" t="str">
        <f>IF(M15="","",VLOOKUP(M15,'G-6 Hedgerow Data'!$B$2:$AG$15,2,FALSE))</f>
        <v/>
      </c>
      <c r="R15" s="276" t="str">
        <f>IF(M15="","",VLOOKUP(M15,'G-6 Hedgerow Data'!$B$2:$AG$15,3,FALSE))</f>
        <v/>
      </c>
      <c r="S15" s="101"/>
      <c r="T15" s="276" t="str">
        <f>IFERROR(IF(S15="","",IF(AND(M15="Non-native and ornamental hedgerow",S15&lt;&gt;"Poor"),"Not possible ▲",(IF(AND(Q15="V.Low",OR(S15="Good",S15="Moderate")),"Error ▲",VLOOKUP(S15,'G-1 All Habitats'!$Z$2:$AA$9,2,FALSE))))),"")</f>
        <v/>
      </c>
      <c r="U15" s="102"/>
      <c r="V15" s="283" t="str">
        <f>IF(U15="","",IF(VLOOKUP(U15,'G-3 Multipliers'!$L$3:$N$6,2,FALSE)=0,"Spatial Data Missing ⚠",VLOOKUP(U15,'G-3 Multipliers'!$L$3:$N$6,2,FALSE)))</f>
        <v/>
      </c>
      <c r="W15" s="281" t="str">
        <f>IF(U15="","",IF(VLOOKUP(U15,'G-3 Multipliers'!$L$3:$N$6,3,FALSE)=0,"Spatial Data Missing ⚠",VLOOKUP(U15,'G-3 Multipliers'!$L$3:$N$6,3,FALSE)))</f>
        <v/>
      </c>
      <c r="X15" s="275" t="str">
        <f>IFERROR(IF(OR(LEFT(O15,5)="Error",LEFT(N15,5)="Error",T15="Error"),"Check Data ⚠",IF(F15&lt;R15,INDEX('G-6 Hedgerow Data'!$S$3:$AE$14,MATCH(C15,'G-6 Hedgerow Data'!$B$3:$B$14,0),MATCH(M15,'G-6 Hedgerow Data'!$S$2:$AE$2,0)),INDEX('G-6 Hedgerow Data'!$K$3:$Q$14,MATCH(M15,'G-6 Hedgerow Data'!$B$3:$B$14,0),MATCH(O15,'G-6 Hedgerow Data'!$K$2:$Q$2,0)))),"")</f>
        <v/>
      </c>
      <c r="Y15" s="133"/>
      <c r="Z15" s="133"/>
      <c r="AA15" s="283" t="str">
        <f t="shared" si="2"/>
        <v/>
      </c>
      <c r="AB15" s="296" t="str">
        <f t="shared" si="3"/>
        <v/>
      </c>
      <c r="AC15" s="297" t="str">
        <f t="shared" si="0"/>
        <v/>
      </c>
      <c r="AD15" s="311" t="str">
        <f>IF(M15="","",VLOOKUP(M15,'G-6 Hedgerow Data'!$B$3:$AG$15,31,FALSE))</f>
        <v/>
      </c>
      <c r="AE15" s="295" t="str">
        <f t="shared" si="4"/>
        <v/>
      </c>
      <c r="AF15" s="283" t="str">
        <f t="shared" si="5"/>
        <v/>
      </c>
      <c r="AG15" s="299" t="str">
        <f>IFERROR(IF(O15="","",VLOOKUP(AD15,'G-3 Multipliers'!$P$3:$Q$6,2,FALSE)),"")</f>
        <v/>
      </c>
      <c r="AH15" s="713" t="str">
        <f>IF(B15="","",IF(ISNA(VLOOKUP($B15,'E-1 Off-Site Hedge Baseline'!$B$1:$Z$257,14,FALSE)),"",(VLOOKUP($B15,'E-1 Off-Site Hedge Baseline'!$B$1:$Z$257,14,FALSE))))</f>
        <v/>
      </c>
      <c r="AI15" s="276" t="str">
        <f>IF(AH15="","",IF(VLOOKUP(AH15,'G-3 Multipliers'!$S$3:$T$10,2,FALSE)=0,"Spatial Data Missing ⚠",VLOOKUP(AH15,'G-3 Multipliers'!$S$3:$T$10,2,FALSE)))</f>
        <v/>
      </c>
      <c r="AJ15" s="289" t="str">
        <f t="shared" si="6"/>
        <v/>
      </c>
      <c r="AK15" s="289" t="str">
        <f t="shared" si="7"/>
        <v/>
      </c>
      <c r="AL15" s="101"/>
      <c r="AM15" s="115"/>
      <c r="AN15" s="104"/>
      <c r="AO15" s="104"/>
      <c r="AQ15" s="30" t="str">
        <f>IFERROR(INDEX('G-6 Hedgerow Data'!$BJ$3:$BJ$15,MATCH(M15,'G-6 Hedgerow Data'!$B$3:$B$15,0)),"")</f>
        <v/>
      </c>
    </row>
    <row r="16" spans="2:43" ht="14">
      <c r="B16" s="305" t="str">
        <f>'E-1 Off-Site Hedge Baseline'!AN14</f>
        <v/>
      </c>
      <c r="C16" s="295" t="str">
        <f>IF(B16="","",IF(ISNA(VLOOKUP($B16,'E-1 Off-Site Hedge Baseline'!$B$1:$L$257,3,FALSE)),"",(VLOOKUP($B16,'E-1 Off-Site Hedge Baseline'!$B$1:$L$257,3,FALSE))))</f>
        <v/>
      </c>
      <c r="D16" s="295" t="str">
        <f>IF(B16="","",IF(ISNA(VLOOKUP($B16,'E-1 Off-Site Hedge Baseline'!$B$1:$L$258,4,FALSE)),"",(VLOOKUP($B16,'E-1 Off-Site Hedge Baseline'!$B$1:$L$258,4,FALSE))))</f>
        <v/>
      </c>
      <c r="E16" s="295" t="str">
        <f>IF(B16="","",IF(ISNA(VLOOKUP($B16,'E-1 Off-Site Hedge Baseline'!$B$1:$L$257,5,FALSE)),"",(VLOOKUP($B16,'E-1 Off-Site Hedge Baseline'!$B$1:$L$257,5,FALSE))))</f>
        <v/>
      </c>
      <c r="F16" s="295" t="str">
        <f>IF(B16="","",IF(ISNA(VLOOKUP($B16,'E-1 Off-Site Hedge Baseline'!$B$1:$L$257,6,FALSE)),"",(VLOOKUP($B16,'E-1 Off-Site Hedge Baseline'!$B$1:$L$257,6,FALSE))))</f>
        <v/>
      </c>
      <c r="G16" s="295" t="str">
        <f>IF(B16="","",IF(ISNA(VLOOKUP($B16,'E-1 Off-Site Hedge Baseline'!$B$1:$L$257,7,FALSE)),"",(VLOOKUP($B16,'E-1 Off-Site Hedge Baseline'!$B$1:$L$257,7,FALSE))))</f>
        <v/>
      </c>
      <c r="H16" s="295" t="str">
        <f>IF(B16="","",IF(ISNA(VLOOKUP($B16,'E-1 Off-Site Hedge Baseline'!$B$1:$L$257,8,FALSE)),"",(VLOOKUP($B16,'E-1 Off-Site Hedge Baseline'!$B$1:$L$257,8,FALSE))))</f>
        <v/>
      </c>
      <c r="I16" s="295" t="str">
        <f>IF(B16="","",IF(ISNA(VLOOKUP($B16,'E-1 Off-Site Hedge Baseline'!$B$1:$L$257,10,FALSE)),"",(VLOOKUP($B16,'E-1 Off-Site Hedge Baseline'!$B$1:$L$257,10,FALSE))))</f>
        <v/>
      </c>
      <c r="J16" s="295" t="str">
        <f>IF(B16="","",IF(ISNA(VLOOKUP($B16,'E-1 Off-Site Hedge Baseline'!$B$1:$L$257,11,FALSE)),"",(VLOOKUP($B16,'E-1 Off-Site Hedge Baseline'!$B$1:$L$257,11,FALSE))))</f>
        <v/>
      </c>
      <c r="K16" s="295" t="str">
        <f>IF(B16="","",IF(ISNA(VLOOKUP($B16,'E-1 Off-Site Hedge Baseline'!$B$1:$X$257,16,FALSE)),"",(VLOOKUP($B16,'E-1 Off-Site Hedge Baseline'!$B$1:$X$257,16,FALSE))))</f>
        <v/>
      </c>
      <c r="L16" s="283" t="str">
        <f>IF(B16="","",IF(ISNA(VLOOKUP($B16,'E-1 Off-Site Hedge Baseline'!$B$1:$X$257,12,FALSE)),"",(VLOOKUP($B16,'E-1 Off-Site Hedge Baseline'!$B$1:$X$257,12,FALSE))))</f>
        <v/>
      </c>
      <c r="M16" s="244"/>
      <c r="N16" s="275" t="str">
        <f>IFERROR(IF(B16="","",INDEX('G-6 Hedgerow Data'!$AN$3:$AZ$15,MATCH(C16,'G-6 Hedgerow Data'!$AM$3:$AM$15,0),MATCH(M16,'G-6 Hedgerow Data'!$AN$2:$AZ$2,0))),"")</f>
        <v/>
      </c>
      <c r="O16" s="276" t="str">
        <f t="shared" si="1"/>
        <v/>
      </c>
      <c r="P16" s="281" t="str">
        <f>IF(B16="","",VLOOKUP(B16,'E-1 Off-Site Hedge Baseline'!$B$10:W261,19,FALSE))</f>
        <v/>
      </c>
      <c r="Q16" s="275" t="str">
        <f>IF(M16="","",VLOOKUP(M16,'G-6 Hedgerow Data'!$B$2:$AG$15,2,FALSE))</f>
        <v/>
      </c>
      <c r="R16" s="276" t="str">
        <f>IF(M16="","",VLOOKUP(M16,'G-6 Hedgerow Data'!$B$2:$AG$15,3,FALSE))</f>
        <v/>
      </c>
      <c r="S16" s="101"/>
      <c r="T16" s="276" t="str">
        <f>IFERROR(IF(S16="","",IF(AND(M16="Non-native and ornamental hedgerow",S16&lt;&gt;"Poor"),"Not possible ▲",(IF(AND(Q16="V.Low",OR(S16="Good",S16="Moderate")),"Error ▲",VLOOKUP(S16,'G-1 All Habitats'!$Z$2:$AA$9,2,FALSE))))),"")</f>
        <v/>
      </c>
      <c r="U16" s="102"/>
      <c r="V16" s="283" t="str">
        <f>IF(U16="","",IF(VLOOKUP(U16,'G-3 Multipliers'!$L$3:$N$6,2,FALSE)=0,"Spatial Data Missing ⚠",VLOOKUP(U16,'G-3 Multipliers'!$L$3:$N$6,2,FALSE)))</f>
        <v/>
      </c>
      <c r="W16" s="281" t="str">
        <f>IF(U16="","",IF(VLOOKUP(U16,'G-3 Multipliers'!$L$3:$N$6,3,FALSE)=0,"Spatial Data Missing ⚠",VLOOKUP(U16,'G-3 Multipliers'!$L$3:$N$6,3,FALSE)))</f>
        <v/>
      </c>
      <c r="X16" s="275" t="str">
        <f>IFERROR(IF(OR(LEFT(O16,5)="Error",LEFT(N16,5)="Error",T16="Error"),"Check Data ⚠",IF(F16&lt;R16,INDEX('G-6 Hedgerow Data'!$S$3:$AE$14,MATCH(C16,'G-6 Hedgerow Data'!$B$3:$B$14,0),MATCH(M16,'G-6 Hedgerow Data'!$S$2:$AE$2,0)),INDEX('G-6 Hedgerow Data'!$K$3:$Q$14,MATCH(M16,'G-6 Hedgerow Data'!$B$3:$B$14,0),MATCH(O16,'G-6 Hedgerow Data'!$K$2:$Q$2,0)))),"")</f>
        <v/>
      </c>
      <c r="Y16" s="133"/>
      <c r="Z16" s="133"/>
      <c r="AA16" s="283" t="str">
        <f t="shared" si="2"/>
        <v/>
      </c>
      <c r="AB16" s="296" t="str">
        <f t="shared" si="3"/>
        <v/>
      </c>
      <c r="AC16" s="297" t="str">
        <f t="shared" si="0"/>
        <v/>
      </c>
      <c r="AD16" s="311" t="str">
        <f>IF(M16="","",VLOOKUP(M16,'G-6 Hedgerow Data'!$B$3:$AG$15,31,FALSE))</f>
        <v/>
      </c>
      <c r="AE16" s="295" t="str">
        <f t="shared" si="4"/>
        <v/>
      </c>
      <c r="AF16" s="283" t="str">
        <f t="shared" si="5"/>
        <v/>
      </c>
      <c r="AG16" s="299" t="str">
        <f>IFERROR(IF(O16="","",VLOOKUP(AD16,'G-3 Multipliers'!$P$3:$Q$6,2,FALSE)),"")</f>
        <v/>
      </c>
      <c r="AH16" s="713" t="str">
        <f>IF(B16="","",IF(ISNA(VLOOKUP($B16,'E-1 Off-Site Hedge Baseline'!$B$1:$Z$257,14,FALSE)),"",(VLOOKUP($B16,'E-1 Off-Site Hedge Baseline'!$B$1:$Z$257,14,FALSE))))</f>
        <v/>
      </c>
      <c r="AI16" s="276" t="str">
        <f>IF(AH16="","",IF(VLOOKUP(AH16,'G-3 Multipliers'!$S$3:$T$10,2,FALSE)=0,"Spatial Data Missing ⚠",VLOOKUP(AH16,'G-3 Multipliers'!$S$3:$T$10,2,FALSE)))</f>
        <v/>
      </c>
      <c r="AJ16" s="289" t="str">
        <f t="shared" si="6"/>
        <v/>
      </c>
      <c r="AK16" s="289" t="str">
        <f t="shared" si="7"/>
        <v/>
      </c>
      <c r="AL16" s="101"/>
      <c r="AM16" s="115"/>
      <c r="AN16" s="104"/>
      <c r="AO16" s="104"/>
      <c r="AQ16" s="30" t="str">
        <f>IFERROR(INDEX('G-6 Hedgerow Data'!$BJ$3:$BJ$15,MATCH(M16,'G-6 Hedgerow Data'!$B$3:$B$15,0)),"")</f>
        <v/>
      </c>
    </row>
    <row r="17" spans="2:43" ht="14">
      <c r="B17" s="305" t="str">
        <f>'E-1 Off-Site Hedge Baseline'!AN15</f>
        <v/>
      </c>
      <c r="C17" s="295" t="str">
        <f>IF(B17="","",IF(ISNA(VLOOKUP($B17,'E-1 Off-Site Hedge Baseline'!$B$1:$L$257,3,FALSE)),"",(VLOOKUP($B17,'E-1 Off-Site Hedge Baseline'!$B$1:$L$257,3,FALSE))))</f>
        <v/>
      </c>
      <c r="D17" s="295" t="str">
        <f>IF(B17="","",IF(ISNA(VLOOKUP($B17,'E-1 Off-Site Hedge Baseline'!$B$1:$L$258,4,FALSE)),"",(VLOOKUP($B17,'E-1 Off-Site Hedge Baseline'!$B$1:$L$258,4,FALSE))))</f>
        <v/>
      </c>
      <c r="E17" s="295" t="str">
        <f>IF(B17="","",IF(ISNA(VLOOKUP($B17,'E-1 Off-Site Hedge Baseline'!$B$1:$L$257,5,FALSE)),"",(VLOOKUP($B17,'E-1 Off-Site Hedge Baseline'!$B$1:$L$257,5,FALSE))))</f>
        <v/>
      </c>
      <c r="F17" s="295" t="str">
        <f>IF(B17="","",IF(ISNA(VLOOKUP($B17,'E-1 Off-Site Hedge Baseline'!$B$1:$L$257,6,FALSE)),"",(VLOOKUP($B17,'E-1 Off-Site Hedge Baseline'!$B$1:$L$257,6,FALSE))))</f>
        <v/>
      </c>
      <c r="G17" s="295" t="str">
        <f>IF(B17="","",IF(ISNA(VLOOKUP($B17,'E-1 Off-Site Hedge Baseline'!$B$1:$L$257,7,FALSE)),"",(VLOOKUP($B17,'E-1 Off-Site Hedge Baseline'!$B$1:$L$257,7,FALSE))))</f>
        <v/>
      </c>
      <c r="H17" s="295" t="str">
        <f>IF(B17="","",IF(ISNA(VLOOKUP($B17,'E-1 Off-Site Hedge Baseline'!$B$1:$L$257,8,FALSE)),"",(VLOOKUP($B17,'E-1 Off-Site Hedge Baseline'!$B$1:$L$257,8,FALSE))))</f>
        <v/>
      </c>
      <c r="I17" s="295" t="str">
        <f>IF(B17="","",IF(ISNA(VLOOKUP($B17,'E-1 Off-Site Hedge Baseline'!$B$1:$L$257,10,FALSE)),"",(VLOOKUP($B17,'E-1 Off-Site Hedge Baseline'!$B$1:$L$257,10,FALSE))))</f>
        <v/>
      </c>
      <c r="J17" s="295" t="str">
        <f>IF(B17="","",IF(ISNA(VLOOKUP($B17,'E-1 Off-Site Hedge Baseline'!$B$1:$L$257,11,FALSE)),"",(VLOOKUP($B17,'E-1 Off-Site Hedge Baseline'!$B$1:$L$257,11,FALSE))))</f>
        <v/>
      </c>
      <c r="K17" s="295" t="str">
        <f>IF(B17="","",IF(ISNA(VLOOKUP($B17,'E-1 Off-Site Hedge Baseline'!$B$1:$X$257,16,FALSE)),"",(VLOOKUP($B17,'E-1 Off-Site Hedge Baseline'!$B$1:$X$257,16,FALSE))))</f>
        <v/>
      </c>
      <c r="L17" s="283" t="str">
        <f>IF(B17="","",IF(ISNA(VLOOKUP($B17,'E-1 Off-Site Hedge Baseline'!$B$1:$X$257,12,FALSE)),"",(VLOOKUP($B17,'E-1 Off-Site Hedge Baseline'!$B$1:$X$257,12,FALSE))))</f>
        <v/>
      </c>
      <c r="M17" s="244"/>
      <c r="N17" s="275" t="str">
        <f>IFERROR(IF(B17="","",INDEX('G-6 Hedgerow Data'!$AN$3:$AZ$15,MATCH(C17,'G-6 Hedgerow Data'!$AM$3:$AM$15,0),MATCH(M17,'G-6 Hedgerow Data'!$AN$2:$AZ$2,0))),"")</f>
        <v/>
      </c>
      <c r="O17" s="276" t="str">
        <f t="shared" si="1"/>
        <v/>
      </c>
      <c r="P17" s="281" t="str">
        <f>IF(B17="","",VLOOKUP(B17,'E-1 Off-Site Hedge Baseline'!$B$10:W262,19,FALSE))</f>
        <v/>
      </c>
      <c r="Q17" s="275" t="str">
        <f>IF(M17="","",VLOOKUP(M17,'G-6 Hedgerow Data'!$B$2:$AG$15,2,FALSE))</f>
        <v/>
      </c>
      <c r="R17" s="276" t="str">
        <f>IF(M17="","",VLOOKUP(M17,'G-6 Hedgerow Data'!$B$2:$AG$15,3,FALSE))</f>
        <v/>
      </c>
      <c r="S17" s="53"/>
      <c r="T17" s="276" t="str">
        <f>IFERROR(IF(S17="","",IF(AND(M17="Non-native and ornamental hedgerow",S17&lt;&gt;"Poor"),"Not possible ▲",(IF(AND(Q17="V.Low",OR(S17="Good",S17="Moderate")),"Error ▲",VLOOKUP(S17,'G-1 All Habitats'!$Z$2:$AA$9,2,FALSE))))),"")</f>
        <v/>
      </c>
      <c r="U17" s="102"/>
      <c r="V17" s="283" t="str">
        <f>IF(U17="","",IF(VLOOKUP(U17,'G-3 Multipliers'!$L$3:$N$6,2,FALSE)=0,"Spatial Data Missing ⚠",VLOOKUP(U17,'G-3 Multipliers'!$L$3:$N$6,2,FALSE)))</f>
        <v/>
      </c>
      <c r="W17" s="281" t="str">
        <f>IF(U17="","",IF(VLOOKUP(U17,'G-3 Multipliers'!$L$3:$N$6,3,FALSE)=0,"Spatial Data Missing ⚠",VLOOKUP(U17,'G-3 Multipliers'!$L$3:$N$6,3,FALSE)))</f>
        <v/>
      </c>
      <c r="X17" s="275" t="str">
        <f>IFERROR(IF(OR(LEFT(O17,5)="Error",LEFT(N17,5)="Error",T17="Error"),"Check Data ⚠",IF(F17&lt;R17,INDEX('G-6 Hedgerow Data'!$S$3:$AE$14,MATCH(C17,'G-6 Hedgerow Data'!$B$3:$B$14,0),MATCH(M17,'G-6 Hedgerow Data'!$S$2:$AE$2,0)),INDEX('G-6 Hedgerow Data'!$K$3:$Q$14,MATCH(M17,'G-6 Hedgerow Data'!$B$3:$B$14,0),MATCH(O17,'G-6 Hedgerow Data'!$K$2:$Q$2,0)))),"")</f>
        <v/>
      </c>
      <c r="Y17" s="133"/>
      <c r="Z17" s="133"/>
      <c r="AA17" s="283" t="str">
        <f t="shared" si="2"/>
        <v/>
      </c>
      <c r="AB17" s="296" t="str">
        <f t="shared" si="3"/>
        <v/>
      </c>
      <c r="AC17" s="297" t="str">
        <f t="shared" si="0"/>
        <v/>
      </c>
      <c r="AD17" s="311" t="str">
        <f>IF(M17="","",VLOOKUP(M17,'G-6 Hedgerow Data'!$B$3:$AG$15,31,FALSE))</f>
        <v/>
      </c>
      <c r="AE17" s="295" t="str">
        <f t="shared" si="4"/>
        <v/>
      </c>
      <c r="AF17" s="283" t="str">
        <f t="shared" si="5"/>
        <v/>
      </c>
      <c r="AG17" s="299" t="str">
        <f>IFERROR(IF(O17="","",VLOOKUP(AD17,'G-3 Multipliers'!$P$3:$Q$6,2,FALSE)),"")</f>
        <v/>
      </c>
      <c r="AH17" s="713" t="str">
        <f>IF(B17="","",IF(ISNA(VLOOKUP($B17,'E-1 Off-Site Hedge Baseline'!$B$1:$Z$257,14,FALSE)),"",(VLOOKUP($B17,'E-1 Off-Site Hedge Baseline'!$B$1:$Z$257,14,FALSE))))</f>
        <v/>
      </c>
      <c r="AI17" s="276" t="str">
        <f>IF(AH17="","",IF(VLOOKUP(AH17,'G-3 Multipliers'!$S$3:$T$10,2,FALSE)=0,"Spatial Data Missing ⚠",VLOOKUP(AH17,'G-3 Multipliers'!$S$3:$T$10,2,FALSE)))</f>
        <v/>
      </c>
      <c r="AJ17" s="317" t="str">
        <f t="shared" si="6"/>
        <v/>
      </c>
      <c r="AK17" s="289" t="str">
        <f t="shared" si="7"/>
        <v/>
      </c>
      <c r="AL17" s="101"/>
      <c r="AM17" s="115"/>
      <c r="AN17" s="104"/>
      <c r="AO17" s="104"/>
      <c r="AQ17" s="30" t="str">
        <f>IFERROR(INDEX('G-6 Hedgerow Data'!$BJ$3:$BJ$15,MATCH(M17,'G-6 Hedgerow Data'!$B$3:$B$15,0)),"")</f>
        <v/>
      </c>
    </row>
    <row r="18" spans="2:43" ht="14">
      <c r="B18" s="305" t="str">
        <f>'E-1 Off-Site Hedge Baseline'!AN16</f>
        <v/>
      </c>
      <c r="C18" s="295" t="str">
        <f>IF(B18="","",IF(ISNA(VLOOKUP($B18,'E-1 Off-Site Hedge Baseline'!$B$1:$L$257,3,FALSE)),"",(VLOOKUP($B18,'E-1 Off-Site Hedge Baseline'!$B$1:$L$257,3,FALSE))))</f>
        <v/>
      </c>
      <c r="D18" s="295" t="str">
        <f>IF(B18="","",IF(ISNA(VLOOKUP($B18,'E-1 Off-Site Hedge Baseline'!$B$1:$L$258,4,FALSE)),"",(VLOOKUP($B18,'E-1 Off-Site Hedge Baseline'!$B$1:$L$258,4,FALSE))))</f>
        <v/>
      </c>
      <c r="E18" s="295" t="str">
        <f>IF(B18="","",IF(ISNA(VLOOKUP($B18,'E-1 Off-Site Hedge Baseline'!$B$1:$L$257,5,FALSE)),"",(VLOOKUP($B18,'E-1 Off-Site Hedge Baseline'!$B$1:$L$257,5,FALSE))))</f>
        <v/>
      </c>
      <c r="F18" s="295" t="str">
        <f>IF(B18="","",IF(ISNA(VLOOKUP($B18,'E-1 Off-Site Hedge Baseline'!$B$1:$L$257,6,FALSE)),"",(VLOOKUP($B18,'E-1 Off-Site Hedge Baseline'!$B$1:$L$257,6,FALSE))))</f>
        <v/>
      </c>
      <c r="G18" s="295" t="str">
        <f>IF(B18="","",IF(ISNA(VLOOKUP($B18,'E-1 Off-Site Hedge Baseline'!$B$1:$L$257,7,FALSE)),"",(VLOOKUP($B18,'E-1 Off-Site Hedge Baseline'!$B$1:$L$257,7,FALSE))))</f>
        <v/>
      </c>
      <c r="H18" s="295" t="str">
        <f>IF(B18="","",IF(ISNA(VLOOKUP($B18,'E-1 Off-Site Hedge Baseline'!$B$1:$L$257,8,FALSE)),"",(VLOOKUP($B18,'E-1 Off-Site Hedge Baseline'!$B$1:$L$257,8,FALSE))))</f>
        <v/>
      </c>
      <c r="I18" s="295" t="str">
        <f>IF(B18="","",IF(ISNA(VLOOKUP($B18,'E-1 Off-Site Hedge Baseline'!$B$1:$L$257,10,FALSE)),"",(VLOOKUP($B18,'E-1 Off-Site Hedge Baseline'!$B$1:$L$257,10,FALSE))))</f>
        <v/>
      </c>
      <c r="J18" s="295" t="str">
        <f>IF(B18="","",IF(ISNA(VLOOKUP($B18,'E-1 Off-Site Hedge Baseline'!$B$1:$L$257,11,FALSE)),"",(VLOOKUP($B18,'E-1 Off-Site Hedge Baseline'!$B$1:$L$257,11,FALSE))))</f>
        <v/>
      </c>
      <c r="K18" s="295" t="str">
        <f>IF(B18="","",IF(ISNA(VLOOKUP($B18,'E-1 Off-Site Hedge Baseline'!$B$1:$X$257,16,FALSE)),"",(VLOOKUP($B18,'E-1 Off-Site Hedge Baseline'!$B$1:$X$257,16,FALSE))))</f>
        <v/>
      </c>
      <c r="L18" s="283" t="str">
        <f>IF(B18="","",IF(ISNA(VLOOKUP($B18,'E-1 Off-Site Hedge Baseline'!$B$1:$X$257,12,FALSE)),"",(VLOOKUP($B18,'E-1 Off-Site Hedge Baseline'!$B$1:$X$257,12,FALSE))))</f>
        <v/>
      </c>
      <c r="M18" s="244"/>
      <c r="N18" s="275" t="str">
        <f>IFERROR(IF(B18="","",INDEX('G-6 Hedgerow Data'!$AN$3:$AZ$15,MATCH(C18,'G-6 Hedgerow Data'!$AM$3:$AM$15,0),MATCH(M18,'G-6 Hedgerow Data'!$AN$2:$AZ$2,0))),"")</f>
        <v/>
      </c>
      <c r="O18" s="276" t="str">
        <f t="shared" si="1"/>
        <v/>
      </c>
      <c r="P18" s="281" t="str">
        <f>IF(B18="","",VLOOKUP(B18,'E-1 Off-Site Hedge Baseline'!$B$10:W263,19,FALSE))</f>
        <v/>
      </c>
      <c r="Q18" s="275" t="str">
        <f>IF(M18="","",VLOOKUP(M18,'G-6 Hedgerow Data'!$B$2:$AG$15,2,FALSE))</f>
        <v/>
      </c>
      <c r="R18" s="276" t="str">
        <f>IF(M18="","",VLOOKUP(M18,'G-6 Hedgerow Data'!$B$2:$AG$15,3,FALSE))</f>
        <v/>
      </c>
      <c r="S18" s="53"/>
      <c r="T18" s="276" t="str">
        <f>IFERROR(IF(S18="","",IF(AND(M18="Non-native and ornamental hedgerow",S18&lt;&gt;"Poor"),"Not possible ▲",(IF(AND(Q18="V.Low",OR(S18="Good",S18="Moderate")),"Error ▲",VLOOKUP(S18,'G-1 All Habitats'!$Z$2:$AA$9,2,FALSE))))),"")</f>
        <v/>
      </c>
      <c r="U18" s="102"/>
      <c r="V18" s="283" t="str">
        <f>IF(U18="","",IF(VLOOKUP(U18,'G-3 Multipliers'!$L$3:$N$6,2,FALSE)=0,"Spatial Data Missing ⚠",VLOOKUP(U18,'G-3 Multipliers'!$L$3:$N$6,2,FALSE)))</f>
        <v/>
      </c>
      <c r="W18" s="281" t="str">
        <f>IF(U18="","",IF(VLOOKUP(U18,'G-3 Multipliers'!$L$3:$N$6,3,FALSE)=0,"Spatial Data Missing ⚠",VLOOKUP(U18,'G-3 Multipliers'!$L$3:$N$6,3,FALSE)))</f>
        <v/>
      </c>
      <c r="X18" s="275" t="str">
        <f>IFERROR(IF(OR(LEFT(O18,5)="Error",LEFT(N18,5)="Error",T18="Error"),"Check Data ⚠",IF(F18&lt;R18,INDEX('G-6 Hedgerow Data'!$S$3:$AE$14,MATCH(C18,'G-6 Hedgerow Data'!$B$3:$B$14,0),MATCH(M18,'G-6 Hedgerow Data'!$S$2:$AE$2,0)),INDEX('G-6 Hedgerow Data'!$K$3:$Q$14,MATCH(M18,'G-6 Hedgerow Data'!$B$3:$B$14,0),MATCH(O18,'G-6 Hedgerow Data'!$K$2:$Q$2,0)))),"")</f>
        <v/>
      </c>
      <c r="Y18" s="133"/>
      <c r="Z18" s="133"/>
      <c r="AA18" s="283" t="str">
        <f t="shared" si="2"/>
        <v/>
      </c>
      <c r="AB18" s="296" t="str">
        <f t="shared" si="3"/>
        <v/>
      </c>
      <c r="AC18" s="297" t="str">
        <f t="shared" si="0"/>
        <v/>
      </c>
      <c r="AD18" s="311" t="str">
        <f>IF(M18="","",VLOOKUP(M18,'G-6 Hedgerow Data'!$B$3:$AG$15,31,FALSE))</f>
        <v/>
      </c>
      <c r="AE18" s="295" t="str">
        <f t="shared" si="4"/>
        <v/>
      </c>
      <c r="AF18" s="283" t="str">
        <f t="shared" si="5"/>
        <v/>
      </c>
      <c r="AG18" s="299" t="str">
        <f>IFERROR(IF(O18="","",VLOOKUP(AD18,'G-3 Multipliers'!$P$3:$Q$6,2,FALSE)),"")</f>
        <v/>
      </c>
      <c r="AH18" s="713" t="str">
        <f>IF(B18="","",IF(ISNA(VLOOKUP($B18,'E-1 Off-Site Hedge Baseline'!$B$1:$Z$257,14,FALSE)),"",(VLOOKUP($B18,'E-1 Off-Site Hedge Baseline'!$B$1:$Z$257,14,FALSE))))</f>
        <v/>
      </c>
      <c r="AI18" s="276" t="str">
        <f>IF(AH18="","",IF(VLOOKUP(AH18,'G-3 Multipliers'!$S$3:$T$10,2,FALSE)=0,"Spatial Data Missing ⚠",VLOOKUP(AH18,'G-3 Multipliers'!$S$3:$T$10,2,FALSE)))</f>
        <v/>
      </c>
      <c r="AJ18" s="317" t="str">
        <f t="shared" si="6"/>
        <v/>
      </c>
      <c r="AK18" s="289" t="str">
        <f t="shared" si="7"/>
        <v/>
      </c>
      <c r="AL18" s="101"/>
      <c r="AM18" s="115"/>
      <c r="AN18" s="104"/>
      <c r="AO18" s="104"/>
      <c r="AQ18" s="30" t="str">
        <f>IFERROR(INDEX('G-6 Hedgerow Data'!$BJ$3:$BJ$15,MATCH(M18,'G-6 Hedgerow Data'!$B$3:$B$15,0)),"")</f>
        <v/>
      </c>
    </row>
    <row r="19" spans="2:43" ht="14">
      <c r="B19" s="305" t="str">
        <f>'E-1 Off-Site Hedge Baseline'!AN17</f>
        <v/>
      </c>
      <c r="C19" s="295" t="str">
        <f>IF(B19="","",IF(ISNA(VLOOKUP($B19,'E-1 Off-Site Hedge Baseline'!$B$1:$L$257,3,FALSE)),"",(VLOOKUP($B19,'E-1 Off-Site Hedge Baseline'!$B$1:$L$257,3,FALSE))))</f>
        <v/>
      </c>
      <c r="D19" s="295" t="str">
        <f>IF(B19="","",IF(ISNA(VLOOKUP($B19,'E-1 Off-Site Hedge Baseline'!$B$1:$L$258,4,FALSE)),"",(VLOOKUP($B19,'E-1 Off-Site Hedge Baseline'!$B$1:$L$258,4,FALSE))))</f>
        <v/>
      </c>
      <c r="E19" s="295" t="str">
        <f>IF(B19="","",IF(ISNA(VLOOKUP($B19,'E-1 Off-Site Hedge Baseline'!$B$1:$L$257,5,FALSE)),"",(VLOOKUP($B19,'E-1 Off-Site Hedge Baseline'!$B$1:$L$257,5,FALSE))))</f>
        <v/>
      </c>
      <c r="F19" s="295" t="str">
        <f>IF(B19="","",IF(ISNA(VLOOKUP($B19,'E-1 Off-Site Hedge Baseline'!$B$1:$L$257,6,FALSE)),"",(VLOOKUP($B19,'E-1 Off-Site Hedge Baseline'!$B$1:$L$257,6,FALSE))))</f>
        <v/>
      </c>
      <c r="G19" s="295" t="str">
        <f>IF(B19="","",IF(ISNA(VLOOKUP($B19,'E-1 Off-Site Hedge Baseline'!$B$1:$L$257,7,FALSE)),"",(VLOOKUP($B19,'E-1 Off-Site Hedge Baseline'!$B$1:$L$257,7,FALSE))))</f>
        <v/>
      </c>
      <c r="H19" s="295" t="str">
        <f>IF(B19="","",IF(ISNA(VLOOKUP($B19,'E-1 Off-Site Hedge Baseline'!$B$1:$L$257,8,FALSE)),"",(VLOOKUP($B19,'E-1 Off-Site Hedge Baseline'!$B$1:$L$257,8,FALSE))))</f>
        <v/>
      </c>
      <c r="I19" s="295" t="str">
        <f>IF(B19="","",IF(ISNA(VLOOKUP($B19,'E-1 Off-Site Hedge Baseline'!$B$1:$L$257,10,FALSE)),"",(VLOOKUP($B19,'E-1 Off-Site Hedge Baseline'!$B$1:$L$257,10,FALSE))))</f>
        <v/>
      </c>
      <c r="J19" s="295" t="str">
        <f>IF(B19="","",IF(ISNA(VLOOKUP($B19,'E-1 Off-Site Hedge Baseline'!$B$1:$L$257,11,FALSE)),"",(VLOOKUP($B19,'E-1 Off-Site Hedge Baseline'!$B$1:$L$257,11,FALSE))))</f>
        <v/>
      </c>
      <c r="K19" s="295" t="str">
        <f>IF(B19="","",IF(ISNA(VLOOKUP($B19,'E-1 Off-Site Hedge Baseline'!$B$1:$X$257,16,FALSE)),"",(VLOOKUP($B19,'E-1 Off-Site Hedge Baseline'!$B$1:$X$257,16,FALSE))))</f>
        <v/>
      </c>
      <c r="L19" s="283" t="str">
        <f>IF(B19="","",IF(ISNA(VLOOKUP($B19,'E-1 Off-Site Hedge Baseline'!$B$1:$X$257,12,FALSE)),"",(VLOOKUP($B19,'E-1 Off-Site Hedge Baseline'!$B$1:$X$257,12,FALSE))))</f>
        <v/>
      </c>
      <c r="M19" s="244"/>
      <c r="N19" s="275" t="str">
        <f>IFERROR(IF(B19="","",INDEX('G-6 Hedgerow Data'!$AN$3:$AZ$15,MATCH(C19,'G-6 Hedgerow Data'!$AM$3:$AM$15,0),MATCH(M19,'G-6 Hedgerow Data'!$AN$2:$AZ$2,0))),"")</f>
        <v/>
      </c>
      <c r="O19" s="276" t="str">
        <f t="shared" si="1"/>
        <v/>
      </c>
      <c r="P19" s="281" t="str">
        <f>IF(B19="","",VLOOKUP(B19,'E-1 Off-Site Hedge Baseline'!$B$10:W264,19,FALSE))</f>
        <v/>
      </c>
      <c r="Q19" s="275" t="str">
        <f>IF(M19="","",VLOOKUP(M19,'G-6 Hedgerow Data'!$B$2:$AG$15,2,FALSE))</f>
        <v/>
      </c>
      <c r="R19" s="276" t="str">
        <f>IF(M19="","",VLOOKUP(M19,'G-6 Hedgerow Data'!$B$2:$AG$15,3,FALSE))</f>
        <v/>
      </c>
      <c r="S19" s="53"/>
      <c r="T19" s="276" t="str">
        <f>IFERROR(IF(S19="","",IF(AND(M19="Non-native and ornamental hedgerow",S19&lt;&gt;"Poor"),"Not possible ▲",(IF(AND(Q19="V.Low",OR(S19="Good",S19="Moderate")),"Error ▲",VLOOKUP(S19,'G-1 All Habitats'!$Z$2:$AA$9,2,FALSE))))),"")</f>
        <v/>
      </c>
      <c r="U19" s="102"/>
      <c r="V19" s="283" t="str">
        <f>IF(U19="","",IF(VLOOKUP(U19,'G-3 Multipliers'!$L$3:$N$6,2,FALSE)=0,"Spatial Data Missing ⚠",VLOOKUP(U19,'G-3 Multipliers'!$L$3:$N$6,2,FALSE)))</f>
        <v/>
      </c>
      <c r="W19" s="281" t="str">
        <f>IF(U19="","",IF(VLOOKUP(U19,'G-3 Multipliers'!$L$3:$N$6,3,FALSE)=0,"Spatial Data Missing ⚠",VLOOKUP(U19,'G-3 Multipliers'!$L$3:$N$6,3,FALSE)))</f>
        <v/>
      </c>
      <c r="X19" s="275" t="str">
        <f>IFERROR(IF(OR(LEFT(O19,5)="Error",LEFT(N19,5)="Error",T19="Error"),"Check Data ⚠",IF(F19&lt;R19,INDEX('G-6 Hedgerow Data'!$S$3:$AE$14,MATCH(C19,'G-6 Hedgerow Data'!$B$3:$B$14,0),MATCH(M19,'G-6 Hedgerow Data'!$S$2:$AE$2,0)),INDEX('G-6 Hedgerow Data'!$K$3:$Q$14,MATCH(M19,'G-6 Hedgerow Data'!$B$3:$B$14,0),MATCH(O19,'G-6 Hedgerow Data'!$K$2:$Q$2,0)))),"")</f>
        <v/>
      </c>
      <c r="Y19" s="133"/>
      <c r="Z19" s="133"/>
      <c r="AA19" s="283" t="str">
        <f t="shared" si="2"/>
        <v/>
      </c>
      <c r="AB19" s="296" t="str">
        <f t="shared" si="3"/>
        <v/>
      </c>
      <c r="AC19" s="297" t="str">
        <f t="shared" si="0"/>
        <v/>
      </c>
      <c r="AD19" s="311" t="str">
        <f>IF(M19="","",VLOOKUP(M19,'G-6 Hedgerow Data'!$B$3:$AG$15,31,FALSE))</f>
        <v/>
      </c>
      <c r="AE19" s="295" t="str">
        <f t="shared" si="4"/>
        <v/>
      </c>
      <c r="AF19" s="283" t="str">
        <f t="shared" si="5"/>
        <v/>
      </c>
      <c r="AG19" s="299" t="str">
        <f>IFERROR(IF(O19="","",VLOOKUP(AD19,'G-3 Multipliers'!$P$3:$Q$6,2,FALSE)),"")</f>
        <v/>
      </c>
      <c r="AH19" s="713" t="str">
        <f>IF(B19="","",IF(ISNA(VLOOKUP($B19,'E-1 Off-Site Hedge Baseline'!$B$1:$Z$257,14,FALSE)),"",(VLOOKUP($B19,'E-1 Off-Site Hedge Baseline'!$B$1:$Z$257,14,FALSE))))</f>
        <v/>
      </c>
      <c r="AI19" s="276" t="str">
        <f>IF(AH19="","",IF(VLOOKUP(AH19,'G-3 Multipliers'!$S$3:$T$10,2,FALSE)=0,"Spatial Data Missing ⚠",VLOOKUP(AH19,'G-3 Multipliers'!$S$3:$T$10,2,FALSE)))</f>
        <v/>
      </c>
      <c r="AJ19" s="317" t="str">
        <f t="shared" si="6"/>
        <v/>
      </c>
      <c r="AK19" s="289" t="str">
        <f t="shared" si="7"/>
        <v/>
      </c>
      <c r="AL19" s="101"/>
      <c r="AM19" s="115"/>
      <c r="AN19" s="104"/>
      <c r="AO19" s="104"/>
      <c r="AQ19" s="30" t="str">
        <f>IFERROR(INDEX('G-6 Hedgerow Data'!$BJ$3:$BJ$15,MATCH(M19,'G-6 Hedgerow Data'!$B$3:$B$15,0)),"")</f>
        <v/>
      </c>
    </row>
    <row r="20" spans="2:43" ht="14">
      <c r="B20" s="305" t="str">
        <f>'E-1 Off-Site Hedge Baseline'!AN18</f>
        <v/>
      </c>
      <c r="C20" s="295" t="str">
        <f>IF(B20="","",IF(ISNA(VLOOKUP($B20,'E-1 Off-Site Hedge Baseline'!$B$1:$L$257,3,FALSE)),"",(VLOOKUP($B20,'E-1 Off-Site Hedge Baseline'!$B$1:$L$257,3,FALSE))))</f>
        <v/>
      </c>
      <c r="D20" s="295" t="str">
        <f>IF(B20="","",IF(ISNA(VLOOKUP($B20,'E-1 Off-Site Hedge Baseline'!$B$1:$L$258,4,FALSE)),"",(VLOOKUP($B20,'E-1 Off-Site Hedge Baseline'!$B$1:$L$258,4,FALSE))))</f>
        <v/>
      </c>
      <c r="E20" s="295" t="str">
        <f>IF(B20="","",IF(ISNA(VLOOKUP($B20,'E-1 Off-Site Hedge Baseline'!$B$1:$L$257,5,FALSE)),"",(VLOOKUP($B20,'E-1 Off-Site Hedge Baseline'!$B$1:$L$257,5,FALSE))))</f>
        <v/>
      </c>
      <c r="F20" s="295" t="str">
        <f>IF(B20="","",IF(ISNA(VLOOKUP($B20,'E-1 Off-Site Hedge Baseline'!$B$1:$L$257,6,FALSE)),"",(VLOOKUP($B20,'E-1 Off-Site Hedge Baseline'!$B$1:$L$257,6,FALSE))))</f>
        <v/>
      </c>
      <c r="G20" s="295" t="str">
        <f>IF(B20="","",IF(ISNA(VLOOKUP($B20,'E-1 Off-Site Hedge Baseline'!$B$1:$L$257,7,FALSE)),"",(VLOOKUP($B20,'E-1 Off-Site Hedge Baseline'!$B$1:$L$257,7,FALSE))))</f>
        <v/>
      </c>
      <c r="H20" s="295" t="str">
        <f>IF(B20="","",IF(ISNA(VLOOKUP($B20,'E-1 Off-Site Hedge Baseline'!$B$1:$L$257,8,FALSE)),"",(VLOOKUP($B20,'E-1 Off-Site Hedge Baseline'!$B$1:$L$257,8,FALSE))))</f>
        <v/>
      </c>
      <c r="I20" s="295" t="str">
        <f>IF(B20="","",IF(ISNA(VLOOKUP($B20,'E-1 Off-Site Hedge Baseline'!$B$1:$L$257,10,FALSE)),"",(VLOOKUP($B20,'E-1 Off-Site Hedge Baseline'!$B$1:$L$257,10,FALSE))))</f>
        <v/>
      </c>
      <c r="J20" s="295" t="str">
        <f>IF(B20="","",IF(ISNA(VLOOKUP($B20,'E-1 Off-Site Hedge Baseline'!$B$1:$L$257,11,FALSE)),"",(VLOOKUP($B20,'E-1 Off-Site Hedge Baseline'!$B$1:$L$257,11,FALSE))))</f>
        <v/>
      </c>
      <c r="K20" s="295" t="str">
        <f>IF(B20="","",IF(ISNA(VLOOKUP($B20,'E-1 Off-Site Hedge Baseline'!$B$1:$X$257,16,FALSE)),"",(VLOOKUP($B20,'E-1 Off-Site Hedge Baseline'!$B$1:$X$257,16,FALSE))))</f>
        <v/>
      </c>
      <c r="L20" s="283" t="str">
        <f>IF(B20="","",IF(ISNA(VLOOKUP($B20,'E-1 Off-Site Hedge Baseline'!$B$1:$X$257,12,FALSE)),"",(VLOOKUP($B20,'E-1 Off-Site Hedge Baseline'!$B$1:$X$257,12,FALSE))))</f>
        <v/>
      </c>
      <c r="M20" s="244"/>
      <c r="N20" s="275" t="str">
        <f>IFERROR(IF(B20="","",INDEX('G-6 Hedgerow Data'!$AN$3:$AZ$15,MATCH(C20,'G-6 Hedgerow Data'!$AM$3:$AM$15,0),MATCH(M20,'G-6 Hedgerow Data'!$AN$2:$AZ$2,0))),"")</f>
        <v/>
      </c>
      <c r="O20" s="276" t="str">
        <f t="shared" si="1"/>
        <v/>
      </c>
      <c r="P20" s="281" t="str">
        <f>IF(B20="","",VLOOKUP(B20,'E-1 Off-Site Hedge Baseline'!$B$10:W265,19,FALSE))</f>
        <v/>
      </c>
      <c r="Q20" s="275" t="str">
        <f>IF(M20="","",VLOOKUP(M20,'G-6 Hedgerow Data'!$B$2:$AG$15,2,FALSE))</f>
        <v/>
      </c>
      <c r="R20" s="276" t="str">
        <f>IF(M20="","",VLOOKUP(M20,'G-6 Hedgerow Data'!$B$2:$AG$15,3,FALSE))</f>
        <v/>
      </c>
      <c r="S20" s="53"/>
      <c r="T20" s="276" t="str">
        <f>IFERROR(IF(S20="","",IF(AND(M20="Non-native and ornamental hedgerow",S20&lt;&gt;"Poor"),"Not possible ▲",(IF(AND(Q20="V.Low",OR(S20="Good",S20="Moderate")),"Error ▲",VLOOKUP(S20,'G-1 All Habitats'!$Z$2:$AA$9,2,FALSE))))),"")</f>
        <v/>
      </c>
      <c r="U20" s="102"/>
      <c r="V20" s="283" t="str">
        <f>IF(U20="","",IF(VLOOKUP(U20,'G-3 Multipliers'!$L$3:$N$6,2,FALSE)=0,"Spatial Data Missing ⚠",VLOOKUP(U20,'G-3 Multipliers'!$L$3:$N$6,2,FALSE)))</f>
        <v/>
      </c>
      <c r="W20" s="281" t="str">
        <f>IF(U20="","",IF(VLOOKUP(U20,'G-3 Multipliers'!$L$3:$N$6,3,FALSE)=0,"Spatial Data Missing ⚠",VLOOKUP(U20,'G-3 Multipliers'!$L$3:$N$6,3,FALSE)))</f>
        <v/>
      </c>
      <c r="X20" s="275" t="str">
        <f>IFERROR(IF(OR(LEFT(O20,5)="Error",LEFT(N20,5)="Error",T20="Error"),"Check Data ⚠",IF(F20&lt;R20,INDEX('G-6 Hedgerow Data'!$S$3:$AE$14,MATCH(C20,'G-6 Hedgerow Data'!$B$3:$B$14,0),MATCH(M20,'G-6 Hedgerow Data'!$S$2:$AE$2,0)),INDEX('G-6 Hedgerow Data'!$K$3:$Q$14,MATCH(M20,'G-6 Hedgerow Data'!$B$3:$B$14,0),MATCH(O20,'G-6 Hedgerow Data'!$K$2:$Q$2,0)))),"")</f>
        <v/>
      </c>
      <c r="Y20" s="133"/>
      <c r="Z20" s="133"/>
      <c r="AA20" s="283" t="str">
        <f t="shared" si="2"/>
        <v/>
      </c>
      <c r="AB20" s="296" t="str">
        <f t="shared" si="3"/>
        <v/>
      </c>
      <c r="AC20" s="297" t="str">
        <f t="shared" si="0"/>
        <v/>
      </c>
      <c r="AD20" s="311" t="str">
        <f>IF(M20="","",VLOOKUP(M20,'G-6 Hedgerow Data'!$B$3:$AG$15,31,FALSE))</f>
        <v/>
      </c>
      <c r="AE20" s="295" t="str">
        <f t="shared" si="4"/>
        <v/>
      </c>
      <c r="AF20" s="283" t="str">
        <f t="shared" si="5"/>
        <v/>
      </c>
      <c r="AG20" s="299" t="str">
        <f>IFERROR(IF(O20="","",VLOOKUP(AD20,'G-3 Multipliers'!$P$3:$Q$6,2,FALSE)),"")</f>
        <v/>
      </c>
      <c r="AH20" s="713" t="str">
        <f>IF(B20="","",IF(ISNA(VLOOKUP($B20,'E-1 Off-Site Hedge Baseline'!$B$1:$Z$257,14,FALSE)),"",(VLOOKUP($B20,'E-1 Off-Site Hedge Baseline'!$B$1:$Z$257,14,FALSE))))</f>
        <v/>
      </c>
      <c r="AI20" s="276" t="str">
        <f>IF(AH20="","",IF(VLOOKUP(AH20,'G-3 Multipliers'!$S$3:$T$10,2,FALSE)=0,"Spatial Data Missing ⚠",VLOOKUP(AH20,'G-3 Multipliers'!$S$3:$T$10,2,FALSE)))</f>
        <v/>
      </c>
      <c r="AJ20" s="317" t="str">
        <f t="shared" si="6"/>
        <v/>
      </c>
      <c r="AK20" s="289" t="str">
        <f t="shared" si="7"/>
        <v/>
      </c>
      <c r="AL20" s="101"/>
      <c r="AM20" s="115"/>
      <c r="AN20" s="104"/>
      <c r="AO20" s="104"/>
      <c r="AQ20" s="30" t="str">
        <f>IFERROR(INDEX('G-6 Hedgerow Data'!$BJ$3:$BJ$15,MATCH(M20,'G-6 Hedgerow Data'!$B$3:$B$15,0)),"")</f>
        <v/>
      </c>
    </row>
    <row r="21" spans="2:43" ht="14">
      <c r="B21" s="305" t="str">
        <f>'E-1 Off-Site Hedge Baseline'!AN19</f>
        <v/>
      </c>
      <c r="C21" s="295" t="str">
        <f>IF(B21="","",IF(ISNA(VLOOKUP($B21,'E-1 Off-Site Hedge Baseline'!$B$1:$L$257,3,FALSE)),"",(VLOOKUP($B21,'E-1 Off-Site Hedge Baseline'!$B$1:$L$257,3,FALSE))))</f>
        <v/>
      </c>
      <c r="D21" s="295" t="str">
        <f>IF(B21="","",IF(ISNA(VLOOKUP($B21,'E-1 Off-Site Hedge Baseline'!$B$1:$L$258,4,FALSE)),"",(VLOOKUP($B21,'E-1 Off-Site Hedge Baseline'!$B$1:$L$258,4,FALSE))))</f>
        <v/>
      </c>
      <c r="E21" s="295" t="str">
        <f>IF(B21="","",IF(ISNA(VLOOKUP($B21,'E-1 Off-Site Hedge Baseline'!$B$1:$L$257,5,FALSE)),"",(VLOOKUP($B21,'E-1 Off-Site Hedge Baseline'!$B$1:$L$257,5,FALSE))))</f>
        <v/>
      </c>
      <c r="F21" s="295" t="str">
        <f>IF(B21="","",IF(ISNA(VLOOKUP($B21,'E-1 Off-Site Hedge Baseline'!$B$1:$L$257,6,FALSE)),"",(VLOOKUP($B21,'E-1 Off-Site Hedge Baseline'!$B$1:$L$257,6,FALSE))))</f>
        <v/>
      </c>
      <c r="G21" s="295" t="str">
        <f>IF(B21="","",IF(ISNA(VLOOKUP($B21,'E-1 Off-Site Hedge Baseline'!$B$1:$L$257,7,FALSE)),"",(VLOOKUP($B21,'E-1 Off-Site Hedge Baseline'!$B$1:$L$257,7,FALSE))))</f>
        <v/>
      </c>
      <c r="H21" s="295" t="str">
        <f>IF(B21="","",IF(ISNA(VLOOKUP($B21,'E-1 Off-Site Hedge Baseline'!$B$1:$L$257,8,FALSE)),"",(VLOOKUP($B21,'E-1 Off-Site Hedge Baseline'!$B$1:$L$257,8,FALSE))))</f>
        <v/>
      </c>
      <c r="I21" s="295" t="str">
        <f>IF(B21="","",IF(ISNA(VLOOKUP($B21,'E-1 Off-Site Hedge Baseline'!$B$1:$L$257,10,FALSE)),"",(VLOOKUP($B21,'E-1 Off-Site Hedge Baseline'!$B$1:$L$257,10,FALSE))))</f>
        <v/>
      </c>
      <c r="J21" s="295" t="str">
        <f>IF(B21="","",IF(ISNA(VLOOKUP($B21,'E-1 Off-Site Hedge Baseline'!$B$1:$L$257,11,FALSE)),"",(VLOOKUP($B21,'E-1 Off-Site Hedge Baseline'!$B$1:$L$257,11,FALSE))))</f>
        <v/>
      </c>
      <c r="K21" s="295" t="str">
        <f>IF(B21="","",IF(ISNA(VLOOKUP($B21,'E-1 Off-Site Hedge Baseline'!$B$1:$X$257,16,FALSE)),"",(VLOOKUP($B21,'E-1 Off-Site Hedge Baseline'!$B$1:$X$257,16,FALSE))))</f>
        <v/>
      </c>
      <c r="L21" s="283" t="str">
        <f>IF(B21="","",IF(ISNA(VLOOKUP($B21,'E-1 Off-Site Hedge Baseline'!$B$1:$X$257,12,FALSE)),"",(VLOOKUP($B21,'E-1 Off-Site Hedge Baseline'!$B$1:$X$257,12,FALSE))))</f>
        <v/>
      </c>
      <c r="M21" s="244"/>
      <c r="N21" s="275" t="str">
        <f>IFERROR(IF(B21="","",INDEX('G-6 Hedgerow Data'!$AN$3:$AZ$15,MATCH(C21,'G-6 Hedgerow Data'!$AM$3:$AM$15,0),MATCH(M21,'G-6 Hedgerow Data'!$AN$2:$AZ$2,0))),"")</f>
        <v/>
      </c>
      <c r="O21" s="276" t="str">
        <f t="shared" si="1"/>
        <v/>
      </c>
      <c r="P21" s="281" t="str">
        <f>IF(B21="","",VLOOKUP(B21,'E-1 Off-Site Hedge Baseline'!$B$10:W266,19,FALSE))</f>
        <v/>
      </c>
      <c r="Q21" s="275" t="str">
        <f>IF(M21="","",VLOOKUP(M21,'G-6 Hedgerow Data'!$B$2:$AG$15,2,FALSE))</f>
        <v/>
      </c>
      <c r="R21" s="276" t="str">
        <f>IF(M21="","",VLOOKUP(M21,'G-6 Hedgerow Data'!$B$2:$AG$15,3,FALSE))</f>
        <v/>
      </c>
      <c r="S21" s="53"/>
      <c r="T21" s="276" t="str">
        <f>IFERROR(IF(S21="","",IF(AND(M21="Non-native and ornamental hedgerow",S21&lt;&gt;"Poor"),"Not possible ▲",(IF(AND(Q21="V.Low",OR(S21="Good",S21="Moderate")),"Error ▲",VLOOKUP(S21,'G-1 All Habitats'!$Z$2:$AA$9,2,FALSE))))),"")</f>
        <v/>
      </c>
      <c r="U21" s="102"/>
      <c r="V21" s="283" t="str">
        <f>IF(U21="","",IF(VLOOKUP(U21,'G-3 Multipliers'!$L$3:$N$6,2,FALSE)=0,"Spatial Data Missing ⚠",VLOOKUP(U21,'G-3 Multipliers'!$L$3:$N$6,2,FALSE)))</f>
        <v/>
      </c>
      <c r="W21" s="281" t="str">
        <f>IF(U21="","",IF(VLOOKUP(U21,'G-3 Multipliers'!$L$3:$N$6,3,FALSE)=0,"Spatial Data Missing ⚠",VLOOKUP(U21,'G-3 Multipliers'!$L$3:$N$6,3,FALSE)))</f>
        <v/>
      </c>
      <c r="X21" s="275" t="str">
        <f>IFERROR(IF(OR(LEFT(O21,5)="Error",LEFT(N21,5)="Error",T21="Error"),"Check Data ⚠",IF(F21&lt;R21,INDEX('G-6 Hedgerow Data'!$S$3:$AE$14,MATCH(C21,'G-6 Hedgerow Data'!$B$3:$B$14,0),MATCH(M21,'G-6 Hedgerow Data'!$S$2:$AE$2,0)),INDEX('G-6 Hedgerow Data'!$K$3:$Q$14,MATCH(M21,'G-6 Hedgerow Data'!$B$3:$B$14,0),MATCH(O21,'G-6 Hedgerow Data'!$K$2:$Q$2,0)))),"")</f>
        <v/>
      </c>
      <c r="Y21" s="133"/>
      <c r="Z21" s="133"/>
      <c r="AA21" s="283" t="str">
        <f t="shared" si="2"/>
        <v/>
      </c>
      <c r="AB21" s="296" t="str">
        <f t="shared" si="3"/>
        <v/>
      </c>
      <c r="AC21" s="297" t="str">
        <f t="shared" si="0"/>
        <v/>
      </c>
      <c r="AD21" s="311" t="str">
        <f>IF(M21="","",VLOOKUP(M21,'G-6 Hedgerow Data'!$B$3:$AG$15,31,FALSE))</f>
        <v/>
      </c>
      <c r="AE21" s="295" t="str">
        <f t="shared" si="4"/>
        <v/>
      </c>
      <c r="AF21" s="283" t="str">
        <f t="shared" si="5"/>
        <v/>
      </c>
      <c r="AG21" s="299" t="str">
        <f>IFERROR(IF(O21="","",VLOOKUP(AD21,'G-3 Multipliers'!$P$3:$Q$6,2,FALSE)),"")</f>
        <v/>
      </c>
      <c r="AH21" s="713" t="str">
        <f>IF(B21="","",IF(ISNA(VLOOKUP($B21,'E-1 Off-Site Hedge Baseline'!$B$1:$Z$257,14,FALSE)),"",(VLOOKUP($B21,'E-1 Off-Site Hedge Baseline'!$B$1:$Z$257,14,FALSE))))</f>
        <v/>
      </c>
      <c r="AI21" s="276" t="str">
        <f>IF(AH21="","",IF(VLOOKUP(AH21,'G-3 Multipliers'!$S$3:$T$10,2,FALSE)=0,"Spatial Data Missing ⚠",VLOOKUP(AH21,'G-3 Multipliers'!$S$3:$T$10,2,FALSE)))</f>
        <v/>
      </c>
      <c r="AJ21" s="317" t="str">
        <f t="shared" si="6"/>
        <v/>
      </c>
      <c r="AK21" s="289" t="str">
        <f t="shared" si="7"/>
        <v/>
      </c>
      <c r="AL21" s="101"/>
      <c r="AM21" s="115"/>
      <c r="AN21" s="104"/>
      <c r="AO21" s="104"/>
      <c r="AQ21" s="30" t="str">
        <f>IFERROR(INDEX('G-6 Hedgerow Data'!$BJ$3:$BJ$15,MATCH(M21,'G-6 Hedgerow Data'!$B$3:$B$15,0)),"")</f>
        <v/>
      </c>
    </row>
    <row r="22" spans="2:43" ht="14">
      <c r="B22" s="305" t="str">
        <f>'E-1 Off-Site Hedge Baseline'!AN20</f>
        <v/>
      </c>
      <c r="C22" s="295" t="str">
        <f>IF(B22="","",IF(ISNA(VLOOKUP($B22,'E-1 Off-Site Hedge Baseline'!$B$1:$L$257,3,FALSE)),"",(VLOOKUP($B22,'E-1 Off-Site Hedge Baseline'!$B$1:$L$257,3,FALSE))))</f>
        <v/>
      </c>
      <c r="D22" s="295" t="str">
        <f>IF(B22="","",IF(ISNA(VLOOKUP($B22,'E-1 Off-Site Hedge Baseline'!$B$1:$L$258,4,FALSE)),"",(VLOOKUP($B22,'E-1 Off-Site Hedge Baseline'!$B$1:$L$258,4,FALSE))))</f>
        <v/>
      </c>
      <c r="E22" s="295" t="str">
        <f>IF(B22="","",IF(ISNA(VLOOKUP($B22,'E-1 Off-Site Hedge Baseline'!$B$1:$L$257,5,FALSE)),"",(VLOOKUP($B22,'E-1 Off-Site Hedge Baseline'!$B$1:$L$257,5,FALSE))))</f>
        <v/>
      </c>
      <c r="F22" s="295" t="str">
        <f>IF(B22="","",IF(ISNA(VLOOKUP($B22,'E-1 Off-Site Hedge Baseline'!$B$1:$L$257,6,FALSE)),"",(VLOOKUP($B22,'E-1 Off-Site Hedge Baseline'!$B$1:$L$257,6,FALSE))))</f>
        <v/>
      </c>
      <c r="G22" s="295" t="str">
        <f>IF(B22="","",IF(ISNA(VLOOKUP($B22,'E-1 Off-Site Hedge Baseline'!$B$1:$L$257,7,FALSE)),"",(VLOOKUP($B22,'E-1 Off-Site Hedge Baseline'!$B$1:$L$257,7,FALSE))))</f>
        <v/>
      </c>
      <c r="H22" s="295" t="str">
        <f>IF(B22="","",IF(ISNA(VLOOKUP($B22,'E-1 Off-Site Hedge Baseline'!$B$1:$L$257,8,FALSE)),"",(VLOOKUP($B22,'E-1 Off-Site Hedge Baseline'!$B$1:$L$257,8,FALSE))))</f>
        <v/>
      </c>
      <c r="I22" s="295" t="str">
        <f>IF(B22="","",IF(ISNA(VLOOKUP($B22,'E-1 Off-Site Hedge Baseline'!$B$1:$L$257,10,FALSE)),"",(VLOOKUP($B22,'E-1 Off-Site Hedge Baseline'!$B$1:$L$257,10,FALSE))))</f>
        <v/>
      </c>
      <c r="J22" s="295" t="str">
        <f>IF(B22="","",IF(ISNA(VLOOKUP($B22,'E-1 Off-Site Hedge Baseline'!$B$1:$L$257,11,FALSE)),"",(VLOOKUP($B22,'E-1 Off-Site Hedge Baseline'!$B$1:$L$257,11,FALSE))))</f>
        <v/>
      </c>
      <c r="K22" s="295" t="str">
        <f>IF(B22="","",IF(ISNA(VLOOKUP($B22,'E-1 Off-Site Hedge Baseline'!$B$1:$X$257,16,FALSE)),"",(VLOOKUP($B22,'E-1 Off-Site Hedge Baseline'!$B$1:$X$257,16,FALSE))))</f>
        <v/>
      </c>
      <c r="L22" s="283" t="str">
        <f>IF(B22="","",IF(ISNA(VLOOKUP($B22,'E-1 Off-Site Hedge Baseline'!$B$1:$X$257,12,FALSE)),"",(VLOOKUP($B22,'E-1 Off-Site Hedge Baseline'!$B$1:$X$257,12,FALSE))))</f>
        <v/>
      </c>
      <c r="M22" s="244"/>
      <c r="N22" s="275" t="str">
        <f>IFERROR(IF(B22="","",INDEX('G-6 Hedgerow Data'!$AN$3:$AZ$15,MATCH(C22,'G-6 Hedgerow Data'!$AM$3:$AM$15,0),MATCH(M22,'G-6 Hedgerow Data'!$AN$2:$AZ$2,0))),"")</f>
        <v/>
      </c>
      <c r="O22" s="276" t="str">
        <f t="shared" si="1"/>
        <v/>
      </c>
      <c r="P22" s="281" t="str">
        <f>IF(B22="","",VLOOKUP(B22,'E-1 Off-Site Hedge Baseline'!$B$10:W267,19,FALSE))</f>
        <v/>
      </c>
      <c r="Q22" s="275" t="str">
        <f>IF(M22="","",VLOOKUP(M22,'G-6 Hedgerow Data'!$B$2:$AG$15,2,FALSE))</f>
        <v/>
      </c>
      <c r="R22" s="276" t="str">
        <f>IF(M22="","",VLOOKUP(M22,'G-6 Hedgerow Data'!$B$2:$AG$15,3,FALSE))</f>
        <v/>
      </c>
      <c r="S22" s="53"/>
      <c r="T22" s="276" t="str">
        <f>IFERROR(IF(S22="","",IF(AND(M22="Non-native and ornamental hedgerow",S22&lt;&gt;"Poor"),"Not possible ▲",(IF(AND(Q22="V.Low",OR(S22="Good",S22="Moderate")),"Error ▲",VLOOKUP(S22,'G-1 All Habitats'!$Z$2:$AA$9,2,FALSE))))),"")</f>
        <v/>
      </c>
      <c r="U22" s="102"/>
      <c r="V22" s="283" t="str">
        <f>IF(U22="","",IF(VLOOKUP(U22,'G-3 Multipliers'!$L$3:$N$6,2,FALSE)=0,"Spatial Data Missing ⚠",VLOOKUP(U22,'G-3 Multipliers'!$L$3:$N$6,2,FALSE)))</f>
        <v/>
      </c>
      <c r="W22" s="281" t="str">
        <f>IF(U22="","",IF(VLOOKUP(U22,'G-3 Multipliers'!$L$3:$N$6,3,FALSE)=0,"Spatial Data Missing ⚠",VLOOKUP(U22,'G-3 Multipliers'!$L$3:$N$6,3,FALSE)))</f>
        <v/>
      </c>
      <c r="X22" s="275" t="str">
        <f>IFERROR(IF(OR(LEFT(O22,5)="Error",LEFT(N22,5)="Error",T22="Error"),"Check Data ⚠",IF(F22&lt;R22,INDEX('G-6 Hedgerow Data'!$S$3:$AE$14,MATCH(C22,'G-6 Hedgerow Data'!$B$3:$B$14,0),MATCH(M22,'G-6 Hedgerow Data'!$S$2:$AE$2,0)),INDEX('G-6 Hedgerow Data'!$K$3:$Q$14,MATCH(M22,'G-6 Hedgerow Data'!$B$3:$B$14,0),MATCH(O22,'G-6 Hedgerow Data'!$K$2:$Q$2,0)))),"")</f>
        <v/>
      </c>
      <c r="Y22" s="133"/>
      <c r="Z22" s="133"/>
      <c r="AA22" s="283" t="str">
        <f t="shared" si="2"/>
        <v/>
      </c>
      <c r="AB22" s="296" t="str">
        <f t="shared" si="3"/>
        <v/>
      </c>
      <c r="AC22" s="297" t="str">
        <f t="shared" si="0"/>
        <v/>
      </c>
      <c r="AD22" s="311" t="str">
        <f>IF(M22="","",VLOOKUP(M22,'G-6 Hedgerow Data'!$B$3:$AG$15,31,FALSE))</f>
        <v/>
      </c>
      <c r="AE22" s="295" t="str">
        <f t="shared" si="4"/>
        <v/>
      </c>
      <c r="AF22" s="283" t="str">
        <f t="shared" si="5"/>
        <v/>
      </c>
      <c r="AG22" s="299" t="str">
        <f>IFERROR(IF(O22="","",VLOOKUP(AD22,'G-3 Multipliers'!$P$3:$Q$6,2,FALSE)),"")</f>
        <v/>
      </c>
      <c r="AH22" s="713" t="str">
        <f>IF(B22="","",IF(ISNA(VLOOKUP($B22,'E-1 Off-Site Hedge Baseline'!$B$1:$Z$257,14,FALSE)),"",(VLOOKUP($B22,'E-1 Off-Site Hedge Baseline'!$B$1:$Z$257,14,FALSE))))</f>
        <v/>
      </c>
      <c r="AI22" s="276" t="str">
        <f>IF(AH22="","",IF(VLOOKUP(AH22,'G-3 Multipliers'!$S$3:$T$10,2,FALSE)=0,"Spatial Data Missing ⚠",VLOOKUP(AH22,'G-3 Multipliers'!$S$3:$T$10,2,FALSE)))</f>
        <v/>
      </c>
      <c r="AJ22" s="317" t="str">
        <f t="shared" si="6"/>
        <v/>
      </c>
      <c r="AK22" s="289" t="str">
        <f t="shared" si="7"/>
        <v/>
      </c>
      <c r="AL22" s="101"/>
      <c r="AM22" s="115"/>
      <c r="AN22" s="104"/>
      <c r="AO22" s="104"/>
      <c r="AQ22" s="30" t="str">
        <f>IFERROR(INDEX('G-6 Hedgerow Data'!$BJ$3:$BJ$15,MATCH(M22,'G-6 Hedgerow Data'!$B$3:$B$15,0)),"")</f>
        <v/>
      </c>
    </row>
    <row r="23" spans="2:43" ht="14">
      <c r="B23" s="305" t="str">
        <f>'E-1 Off-Site Hedge Baseline'!AN21</f>
        <v/>
      </c>
      <c r="C23" s="295" t="str">
        <f>IF(B23="","",IF(ISNA(VLOOKUP($B23,'E-1 Off-Site Hedge Baseline'!$B$1:$L$257,3,FALSE)),"",(VLOOKUP($B23,'E-1 Off-Site Hedge Baseline'!$B$1:$L$257,3,FALSE))))</f>
        <v/>
      </c>
      <c r="D23" s="295" t="str">
        <f>IF(B23="","",IF(ISNA(VLOOKUP($B23,'E-1 Off-Site Hedge Baseline'!$B$1:$L$258,4,FALSE)),"",(VLOOKUP($B23,'E-1 Off-Site Hedge Baseline'!$B$1:$L$258,4,FALSE))))</f>
        <v/>
      </c>
      <c r="E23" s="295" t="str">
        <f>IF(B23="","",IF(ISNA(VLOOKUP($B23,'E-1 Off-Site Hedge Baseline'!$B$1:$L$257,5,FALSE)),"",(VLOOKUP($B23,'E-1 Off-Site Hedge Baseline'!$B$1:$L$257,5,FALSE))))</f>
        <v/>
      </c>
      <c r="F23" s="295" t="str">
        <f>IF(B23="","",IF(ISNA(VLOOKUP($B23,'E-1 Off-Site Hedge Baseline'!$B$1:$L$257,6,FALSE)),"",(VLOOKUP($B23,'E-1 Off-Site Hedge Baseline'!$B$1:$L$257,6,FALSE))))</f>
        <v/>
      </c>
      <c r="G23" s="295" t="str">
        <f>IF(B23="","",IF(ISNA(VLOOKUP($B23,'E-1 Off-Site Hedge Baseline'!$B$1:$L$257,7,FALSE)),"",(VLOOKUP($B23,'E-1 Off-Site Hedge Baseline'!$B$1:$L$257,7,FALSE))))</f>
        <v/>
      </c>
      <c r="H23" s="295" t="str">
        <f>IF(B23="","",IF(ISNA(VLOOKUP($B23,'E-1 Off-Site Hedge Baseline'!$B$1:$L$257,8,FALSE)),"",(VLOOKUP($B23,'E-1 Off-Site Hedge Baseline'!$B$1:$L$257,8,FALSE))))</f>
        <v/>
      </c>
      <c r="I23" s="295" t="str">
        <f>IF(B23="","",IF(ISNA(VLOOKUP($B23,'E-1 Off-Site Hedge Baseline'!$B$1:$L$257,10,FALSE)),"",(VLOOKUP($B23,'E-1 Off-Site Hedge Baseline'!$B$1:$L$257,10,FALSE))))</f>
        <v/>
      </c>
      <c r="J23" s="295" t="str">
        <f>IF(B23="","",IF(ISNA(VLOOKUP($B23,'E-1 Off-Site Hedge Baseline'!$B$1:$L$257,11,FALSE)),"",(VLOOKUP($B23,'E-1 Off-Site Hedge Baseline'!$B$1:$L$257,11,FALSE))))</f>
        <v/>
      </c>
      <c r="K23" s="295" t="str">
        <f>IF(B23="","",IF(ISNA(VLOOKUP($B23,'E-1 Off-Site Hedge Baseline'!$B$1:$X$257,16,FALSE)),"",(VLOOKUP($B23,'E-1 Off-Site Hedge Baseline'!$B$1:$X$257,16,FALSE))))</f>
        <v/>
      </c>
      <c r="L23" s="283" t="str">
        <f>IF(B23="","",IF(ISNA(VLOOKUP($B23,'E-1 Off-Site Hedge Baseline'!$B$1:$X$257,12,FALSE)),"",(VLOOKUP($B23,'E-1 Off-Site Hedge Baseline'!$B$1:$X$257,12,FALSE))))</f>
        <v/>
      </c>
      <c r="M23" s="244"/>
      <c r="N23" s="275" t="str">
        <f>IFERROR(IF(B23="","",INDEX('G-6 Hedgerow Data'!$AN$3:$AZ$15,MATCH(C23,'G-6 Hedgerow Data'!$AM$3:$AM$15,0),MATCH(M23,'G-6 Hedgerow Data'!$AN$2:$AZ$2,0))),"")</f>
        <v/>
      </c>
      <c r="O23" s="276" t="str">
        <f t="shared" si="1"/>
        <v/>
      </c>
      <c r="P23" s="281" t="str">
        <f>IF(B23="","",VLOOKUP(B23,'E-1 Off-Site Hedge Baseline'!$B$10:W268,19,FALSE))</f>
        <v/>
      </c>
      <c r="Q23" s="275" t="str">
        <f>IF(M23="","",VLOOKUP(M23,'G-6 Hedgerow Data'!$B$2:$AG$15,2,FALSE))</f>
        <v/>
      </c>
      <c r="R23" s="276" t="str">
        <f>IF(M23="","",VLOOKUP(M23,'G-6 Hedgerow Data'!$B$2:$AG$15,3,FALSE))</f>
        <v/>
      </c>
      <c r="S23" s="53"/>
      <c r="T23" s="276" t="str">
        <f>IFERROR(IF(S23="","",IF(AND(M23="Non-native and ornamental hedgerow",S23&lt;&gt;"Poor"),"Not possible ▲",(IF(AND(Q23="V.Low",OR(S23="Good",S23="Moderate")),"Error ▲",VLOOKUP(S23,'G-1 All Habitats'!$Z$2:$AA$9,2,FALSE))))),"")</f>
        <v/>
      </c>
      <c r="U23" s="102"/>
      <c r="V23" s="283" t="str">
        <f>IF(U23="","",IF(VLOOKUP(U23,'G-3 Multipliers'!$L$3:$N$6,2,FALSE)=0,"Spatial Data Missing ⚠",VLOOKUP(U23,'G-3 Multipliers'!$L$3:$N$6,2,FALSE)))</f>
        <v/>
      </c>
      <c r="W23" s="281" t="str">
        <f>IF(U23="","",IF(VLOOKUP(U23,'G-3 Multipliers'!$L$3:$N$6,3,FALSE)=0,"Spatial Data Missing ⚠",VLOOKUP(U23,'G-3 Multipliers'!$L$3:$N$6,3,FALSE)))</f>
        <v/>
      </c>
      <c r="X23" s="275" t="str">
        <f>IFERROR(IF(OR(LEFT(O23,5)="Error",LEFT(N23,5)="Error",T23="Error"),"Check Data ⚠",IF(F23&lt;R23,INDEX('G-6 Hedgerow Data'!$S$3:$AE$14,MATCH(C23,'G-6 Hedgerow Data'!$B$3:$B$14,0),MATCH(M23,'G-6 Hedgerow Data'!$S$2:$AE$2,0)),INDEX('G-6 Hedgerow Data'!$K$3:$Q$14,MATCH(M23,'G-6 Hedgerow Data'!$B$3:$B$14,0),MATCH(O23,'G-6 Hedgerow Data'!$K$2:$Q$2,0)))),"")</f>
        <v/>
      </c>
      <c r="Y23" s="133"/>
      <c r="Z23" s="133"/>
      <c r="AA23" s="283" t="str">
        <f t="shared" si="2"/>
        <v/>
      </c>
      <c r="AB23" s="296" t="str">
        <f t="shared" si="3"/>
        <v/>
      </c>
      <c r="AC23" s="297" t="str">
        <f t="shared" si="0"/>
        <v/>
      </c>
      <c r="AD23" s="311" t="str">
        <f>IF(M23="","",VLOOKUP(M23,'G-6 Hedgerow Data'!$B$3:$AG$15,31,FALSE))</f>
        <v/>
      </c>
      <c r="AE23" s="295" t="str">
        <f t="shared" si="4"/>
        <v/>
      </c>
      <c r="AF23" s="283" t="str">
        <f t="shared" si="5"/>
        <v/>
      </c>
      <c r="AG23" s="299" t="str">
        <f>IFERROR(IF(O23="","",VLOOKUP(AD23,'G-3 Multipliers'!$P$3:$Q$6,2,FALSE)),"")</f>
        <v/>
      </c>
      <c r="AH23" s="713" t="str">
        <f>IF(B23="","",IF(ISNA(VLOOKUP($B23,'E-1 Off-Site Hedge Baseline'!$B$1:$Z$257,14,FALSE)),"",(VLOOKUP($B23,'E-1 Off-Site Hedge Baseline'!$B$1:$Z$257,14,FALSE))))</f>
        <v/>
      </c>
      <c r="AI23" s="276" t="str">
        <f>IF(AH23="","",IF(VLOOKUP(AH23,'G-3 Multipliers'!$S$3:$T$10,2,FALSE)=0,"Spatial Data Missing ⚠",VLOOKUP(AH23,'G-3 Multipliers'!$S$3:$T$10,2,FALSE)))</f>
        <v/>
      </c>
      <c r="AJ23" s="317" t="str">
        <f t="shared" si="6"/>
        <v/>
      </c>
      <c r="AK23" s="289" t="str">
        <f t="shared" si="7"/>
        <v/>
      </c>
      <c r="AL23" s="101"/>
      <c r="AM23" s="115"/>
      <c r="AN23" s="104"/>
      <c r="AO23" s="104"/>
      <c r="AQ23" s="30" t="str">
        <f>IFERROR(INDEX('G-6 Hedgerow Data'!$BJ$3:$BJ$15,MATCH(M23,'G-6 Hedgerow Data'!$B$3:$B$15,0)),"")</f>
        <v/>
      </c>
    </row>
    <row r="24" spans="2:43" ht="14">
      <c r="B24" s="305" t="str">
        <f>'E-1 Off-Site Hedge Baseline'!AN22</f>
        <v/>
      </c>
      <c r="C24" s="295" t="str">
        <f>IF(B24="","",IF(ISNA(VLOOKUP($B24,'E-1 Off-Site Hedge Baseline'!$B$1:$L$257,3,FALSE)),"",(VLOOKUP($B24,'E-1 Off-Site Hedge Baseline'!$B$1:$L$257,3,FALSE))))</f>
        <v/>
      </c>
      <c r="D24" s="295" t="str">
        <f>IF(B24="","",IF(ISNA(VLOOKUP($B24,'E-1 Off-Site Hedge Baseline'!$B$1:$L$258,4,FALSE)),"",(VLOOKUP($B24,'E-1 Off-Site Hedge Baseline'!$B$1:$L$258,4,FALSE))))</f>
        <v/>
      </c>
      <c r="E24" s="295" t="str">
        <f>IF(B24="","",IF(ISNA(VLOOKUP($B24,'E-1 Off-Site Hedge Baseline'!$B$1:$L$257,5,FALSE)),"",(VLOOKUP($B24,'E-1 Off-Site Hedge Baseline'!$B$1:$L$257,5,FALSE))))</f>
        <v/>
      </c>
      <c r="F24" s="295" t="str">
        <f>IF(B24="","",IF(ISNA(VLOOKUP($B24,'E-1 Off-Site Hedge Baseline'!$B$1:$L$257,6,FALSE)),"",(VLOOKUP($B24,'E-1 Off-Site Hedge Baseline'!$B$1:$L$257,6,FALSE))))</f>
        <v/>
      </c>
      <c r="G24" s="295" t="str">
        <f>IF(B24="","",IF(ISNA(VLOOKUP($B24,'E-1 Off-Site Hedge Baseline'!$B$1:$L$257,7,FALSE)),"",(VLOOKUP($B24,'E-1 Off-Site Hedge Baseline'!$B$1:$L$257,7,FALSE))))</f>
        <v/>
      </c>
      <c r="H24" s="295" t="str">
        <f>IF(B24="","",IF(ISNA(VLOOKUP($B24,'E-1 Off-Site Hedge Baseline'!$B$1:$L$257,8,FALSE)),"",(VLOOKUP($B24,'E-1 Off-Site Hedge Baseline'!$B$1:$L$257,8,FALSE))))</f>
        <v/>
      </c>
      <c r="I24" s="295" t="str">
        <f>IF(B24="","",IF(ISNA(VLOOKUP($B24,'E-1 Off-Site Hedge Baseline'!$B$1:$L$257,10,FALSE)),"",(VLOOKUP($B24,'E-1 Off-Site Hedge Baseline'!$B$1:$L$257,10,FALSE))))</f>
        <v/>
      </c>
      <c r="J24" s="295" t="str">
        <f>IF(B24="","",IF(ISNA(VLOOKUP($B24,'E-1 Off-Site Hedge Baseline'!$B$1:$L$257,11,FALSE)),"",(VLOOKUP($B24,'E-1 Off-Site Hedge Baseline'!$B$1:$L$257,11,FALSE))))</f>
        <v/>
      </c>
      <c r="K24" s="295" t="str">
        <f>IF(B24="","",IF(ISNA(VLOOKUP($B24,'E-1 Off-Site Hedge Baseline'!$B$1:$X$257,16,FALSE)),"",(VLOOKUP($B24,'E-1 Off-Site Hedge Baseline'!$B$1:$X$257,16,FALSE))))</f>
        <v/>
      </c>
      <c r="L24" s="283" t="str">
        <f>IF(B24="","",IF(ISNA(VLOOKUP($B24,'E-1 Off-Site Hedge Baseline'!$B$1:$X$257,12,FALSE)),"",(VLOOKUP($B24,'E-1 Off-Site Hedge Baseline'!$B$1:$X$257,12,FALSE))))</f>
        <v/>
      </c>
      <c r="M24" s="244"/>
      <c r="N24" s="275" t="str">
        <f>IFERROR(IF(B24="","",INDEX('G-6 Hedgerow Data'!$AN$3:$AZ$15,MATCH(C24,'G-6 Hedgerow Data'!$AM$3:$AM$15,0),MATCH(M24,'G-6 Hedgerow Data'!$AN$2:$AZ$2,0))),"")</f>
        <v/>
      </c>
      <c r="O24" s="276" t="str">
        <f t="shared" si="1"/>
        <v/>
      </c>
      <c r="P24" s="281" t="str">
        <f>IF(B24="","",VLOOKUP(B24,'E-1 Off-Site Hedge Baseline'!$B$10:W269,19,FALSE))</f>
        <v/>
      </c>
      <c r="Q24" s="275" t="str">
        <f>IF(M24="","",VLOOKUP(M24,'G-6 Hedgerow Data'!$B$2:$AG$15,2,FALSE))</f>
        <v/>
      </c>
      <c r="R24" s="276" t="str">
        <f>IF(M24="","",VLOOKUP(M24,'G-6 Hedgerow Data'!$B$2:$AG$15,3,FALSE))</f>
        <v/>
      </c>
      <c r="S24" s="101"/>
      <c r="T24" s="276" t="str">
        <f>IFERROR(IF(S24="","",IF(AND(M24="Non-native and ornamental hedgerow",S24&lt;&gt;"Poor"),"Not possible ▲",(IF(AND(Q24="V.Low",OR(S24="Good",S24="Moderate")),"Error ▲",VLOOKUP(S24,'G-1 All Habitats'!$Z$2:$AA$9,2,FALSE))))),"")</f>
        <v/>
      </c>
      <c r="U24" s="102"/>
      <c r="V24" s="283" t="str">
        <f>IF(U24="","",IF(VLOOKUP(U24,'G-3 Multipliers'!$L$3:$N$6,2,FALSE)=0,"Spatial Data Missing ⚠",VLOOKUP(U24,'G-3 Multipliers'!$L$3:$N$6,2,FALSE)))</f>
        <v/>
      </c>
      <c r="W24" s="281" t="str">
        <f>IF(U24="","",IF(VLOOKUP(U24,'G-3 Multipliers'!$L$3:$N$6,3,FALSE)=0,"Spatial Data Missing ⚠",VLOOKUP(U24,'G-3 Multipliers'!$L$3:$N$6,3,FALSE)))</f>
        <v/>
      </c>
      <c r="X24" s="275" t="str">
        <f>IFERROR(IF(OR(LEFT(O24,5)="Error",LEFT(N24,5)="Error",T24="Error"),"Check Data ⚠",IF(F24&lt;R24,INDEX('G-6 Hedgerow Data'!$S$3:$AE$14,MATCH(C24,'G-6 Hedgerow Data'!$B$3:$B$14,0),MATCH(M24,'G-6 Hedgerow Data'!$S$2:$AE$2,0)),INDEX('G-6 Hedgerow Data'!$K$3:$Q$14,MATCH(M24,'G-6 Hedgerow Data'!$B$3:$B$14,0),MATCH(O24,'G-6 Hedgerow Data'!$K$2:$Q$2,0)))),"")</f>
        <v/>
      </c>
      <c r="Y24" s="133"/>
      <c r="Z24" s="133"/>
      <c r="AA24" s="283" t="str">
        <f t="shared" si="2"/>
        <v/>
      </c>
      <c r="AB24" s="296" t="str">
        <f t="shared" si="3"/>
        <v/>
      </c>
      <c r="AC24" s="297" t="str">
        <f t="shared" si="0"/>
        <v/>
      </c>
      <c r="AD24" s="311" t="str">
        <f>IF(M24="","",VLOOKUP(M24,'G-6 Hedgerow Data'!$B$3:$AG$15,31,FALSE))</f>
        <v/>
      </c>
      <c r="AE24" s="295" t="str">
        <f t="shared" si="4"/>
        <v/>
      </c>
      <c r="AF24" s="283" t="str">
        <f t="shared" si="5"/>
        <v/>
      </c>
      <c r="AG24" s="299" t="str">
        <f>IFERROR(IF(O24="","",VLOOKUP(AD24,'G-3 Multipliers'!$P$3:$Q$6,2,FALSE)),"")</f>
        <v/>
      </c>
      <c r="AH24" s="713" t="str">
        <f>IF(B24="","",IF(ISNA(VLOOKUP($B24,'E-1 Off-Site Hedge Baseline'!$B$1:$Z$257,14,FALSE)),"",(VLOOKUP($B24,'E-1 Off-Site Hedge Baseline'!$B$1:$Z$257,14,FALSE))))</f>
        <v/>
      </c>
      <c r="AI24" s="276" t="str">
        <f>IF(AH24="","",IF(VLOOKUP(AH24,'G-3 Multipliers'!$S$3:$T$10,2,FALSE)=0,"Spatial Data Missing ⚠",VLOOKUP(AH24,'G-3 Multipliers'!$S$3:$T$10,2,FALSE)))</f>
        <v/>
      </c>
      <c r="AJ24" s="317" t="str">
        <f t="shared" si="6"/>
        <v/>
      </c>
      <c r="AK24" s="289" t="str">
        <f t="shared" si="7"/>
        <v/>
      </c>
      <c r="AL24" s="101"/>
      <c r="AM24" s="115"/>
      <c r="AN24" s="104"/>
      <c r="AO24" s="104"/>
      <c r="AQ24" s="30" t="str">
        <f>IFERROR(INDEX('G-6 Hedgerow Data'!$BJ$3:$BJ$15,MATCH(M24,'G-6 Hedgerow Data'!$B$3:$B$15,0)),"")</f>
        <v/>
      </c>
    </row>
    <row r="25" spans="2:43" ht="14">
      <c r="B25" s="305" t="str">
        <f>'E-1 Off-Site Hedge Baseline'!AN23</f>
        <v/>
      </c>
      <c r="C25" s="295" t="str">
        <f>IF(B25="","",IF(ISNA(VLOOKUP($B25,'E-1 Off-Site Hedge Baseline'!$B$1:$L$257,3,FALSE)),"",(VLOOKUP($B25,'E-1 Off-Site Hedge Baseline'!$B$1:$L$257,3,FALSE))))</f>
        <v/>
      </c>
      <c r="D25" s="295" t="str">
        <f>IF(B25="","",IF(ISNA(VLOOKUP($B25,'E-1 Off-Site Hedge Baseline'!$B$1:$L$258,4,FALSE)),"",(VLOOKUP($B25,'E-1 Off-Site Hedge Baseline'!$B$1:$L$258,4,FALSE))))</f>
        <v/>
      </c>
      <c r="E25" s="295" t="str">
        <f>IF(B25="","",IF(ISNA(VLOOKUP($B25,'E-1 Off-Site Hedge Baseline'!$B$1:$L$257,5,FALSE)),"",(VLOOKUP($B25,'E-1 Off-Site Hedge Baseline'!$B$1:$L$257,5,FALSE))))</f>
        <v/>
      </c>
      <c r="F25" s="295" t="str">
        <f>IF(B25="","",IF(ISNA(VLOOKUP($B25,'E-1 Off-Site Hedge Baseline'!$B$1:$L$257,6,FALSE)),"",(VLOOKUP($B25,'E-1 Off-Site Hedge Baseline'!$B$1:$L$257,6,FALSE))))</f>
        <v/>
      </c>
      <c r="G25" s="295" t="str">
        <f>IF(B25="","",IF(ISNA(VLOOKUP($B25,'E-1 Off-Site Hedge Baseline'!$B$1:$L$257,7,FALSE)),"",(VLOOKUP($B25,'E-1 Off-Site Hedge Baseline'!$B$1:$L$257,7,FALSE))))</f>
        <v/>
      </c>
      <c r="H25" s="295" t="str">
        <f>IF(B25="","",IF(ISNA(VLOOKUP($B25,'E-1 Off-Site Hedge Baseline'!$B$1:$L$257,8,FALSE)),"",(VLOOKUP($B25,'E-1 Off-Site Hedge Baseline'!$B$1:$L$257,8,FALSE))))</f>
        <v/>
      </c>
      <c r="I25" s="295" t="str">
        <f>IF(B25="","",IF(ISNA(VLOOKUP($B25,'E-1 Off-Site Hedge Baseline'!$B$1:$L$257,10,FALSE)),"",(VLOOKUP($B25,'E-1 Off-Site Hedge Baseline'!$B$1:$L$257,10,FALSE))))</f>
        <v/>
      </c>
      <c r="J25" s="295" t="str">
        <f>IF(B25="","",IF(ISNA(VLOOKUP($B25,'E-1 Off-Site Hedge Baseline'!$B$1:$L$257,11,FALSE)),"",(VLOOKUP($B25,'E-1 Off-Site Hedge Baseline'!$B$1:$L$257,11,FALSE))))</f>
        <v/>
      </c>
      <c r="K25" s="295" t="str">
        <f>IF(B25="","",IF(ISNA(VLOOKUP($B25,'E-1 Off-Site Hedge Baseline'!$B$1:$X$257,16,FALSE)),"",(VLOOKUP($B25,'E-1 Off-Site Hedge Baseline'!$B$1:$X$257,16,FALSE))))</f>
        <v/>
      </c>
      <c r="L25" s="283" t="str">
        <f>IF(B25="","",IF(ISNA(VLOOKUP($B25,'E-1 Off-Site Hedge Baseline'!$B$1:$X$257,12,FALSE)),"",(VLOOKUP($B25,'E-1 Off-Site Hedge Baseline'!$B$1:$X$257,12,FALSE))))</f>
        <v/>
      </c>
      <c r="M25" s="244"/>
      <c r="N25" s="275" t="str">
        <f>IFERROR(IF(B25="","",INDEX('G-6 Hedgerow Data'!$AN$3:$AZ$15,MATCH(C25,'G-6 Hedgerow Data'!$AM$3:$AM$15,0),MATCH(M25,'G-6 Hedgerow Data'!$AN$2:$AZ$2,0))),"")</f>
        <v/>
      </c>
      <c r="O25" s="276" t="str">
        <f t="shared" si="1"/>
        <v/>
      </c>
      <c r="P25" s="281" t="str">
        <f>IF(B25="","",VLOOKUP(B25,'E-1 Off-Site Hedge Baseline'!$B$10:W270,19,FALSE))</f>
        <v/>
      </c>
      <c r="Q25" s="275" t="str">
        <f>IF(M25="","",VLOOKUP(M25,'G-6 Hedgerow Data'!$B$2:$AG$15,2,FALSE))</f>
        <v/>
      </c>
      <c r="R25" s="276" t="str">
        <f>IF(M25="","",VLOOKUP(M25,'G-6 Hedgerow Data'!$B$2:$AG$15,3,FALSE))</f>
        <v/>
      </c>
      <c r="S25" s="101"/>
      <c r="T25" s="276" t="str">
        <f>IFERROR(IF(S25="","",IF(AND(M25="Non-native and ornamental hedgerow",S25&lt;&gt;"Poor"),"Not possible ▲",(IF(AND(Q25="V.Low",OR(S25="Good",S25="Moderate")),"Error ▲",VLOOKUP(S25,'G-1 All Habitats'!$Z$2:$AA$9,2,FALSE))))),"")</f>
        <v/>
      </c>
      <c r="U25" s="102"/>
      <c r="V25" s="283" t="str">
        <f>IF(U25="","",IF(VLOOKUP(U25,'G-3 Multipliers'!$L$3:$N$6,2,FALSE)=0,"Spatial Data Missing ⚠",VLOOKUP(U25,'G-3 Multipliers'!$L$3:$N$6,2,FALSE)))</f>
        <v/>
      </c>
      <c r="W25" s="281" t="str">
        <f>IF(U25="","",IF(VLOOKUP(U25,'G-3 Multipliers'!$L$3:$N$6,3,FALSE)=0,"Spatial Data Missing ⚠",VLOOKUP(U25,'G-3 Multipliers'!$L$3:$N$6,3,FALSE)))</f>
        <v/>
      </c>
      <c r="X25" s="275" t="str">
        <f>IFERROR(IF(OR(LEFT(O25,5)="Error",LEFT(N25,5)="Error",T25="Error"),"Check Data ⚠",IF(F25&lt;R25,INDEX('G-6 Hedgerow Data'!$S$3:$AE$14,MATCH(C25,'G-6 Hedgerow Data'!$B$3:$B$14,0),MATCH(M25,'G-6 Hedgerow Data'!$S$2:$AE$2,0)),INDEX('G-6 Hedgerow Data'!$K$3:$Q$14,MATCH(M25,'G-6 Hedgerow Data'!$B$3:$B$14,0),MATCH(O25,'G-6 Hedgerow Data'!$K$2:$Q$2,0)))),"")</f>
        <v/>
      </c>
      <c r="Y25" s="133"/>
      <c r="Z25" s="133"/>
      <c r="AA25" s="283" t="str">
        <f t="shared" si="2"/>
        <v/>
      </c>
      <c r="AB25" s="296" t="str">
        <f t="shared" si="3"/>
        <v/>
      </c>
      <c r="AC25" s="297" t="str">
        <f t="shared" si="0"/>
        <v/>
      </c>
      <c r="AD25" s="311" t="str">
        <f>IF(M25="","",VLOOKUP(M25,'G-6 Hedgerow Data'!$B$3:$AG$15,31,FALSE))</f>
        <v/>
      </c>
      <c r="AE25" s="295" t="str">
        <f t="shared" si="4"/>
        <v/>
      </c>
      <c r="AF25" s="283" t="str">
        <f t="shared" si="5"/>
        <v/>
      </c>
      <c r="AG25" s="299" t="str">
        <f>IFERROR(IF(O25="","",VLOOKUP(AD25,'G-3 Multipliers'!$P$3:$Q$6,2,FALSE)),"")</f>
        <v/>
      </c>
      <c r="AH25" s="713" t="str">
        <f>IF(B25="","",IF(ISNA(VLOOKUP($B25,'E-1 Off-Site Hedge Baseline'!$B$1:$Z$257,14,FALSE)),"",(VLOOKUP($B25,'E-1 Off-Site Hedge Baseline'!$B$1:$Z$257,14,FALSE))))</f>
        <v/>
      </c>
      <c r="AI25" s="276" t="str">
        <f>IF(AH25="","",IF(VLOOKUP(AH25,'G-3 Multipliers'!$S$3:$T$10,2,FALSE)=0,"Spatial Data Missing ⚠",VLOOKUP(AH25,'G-3 Multipliers'!$S$3:$T$10,2,FALSE)))</f>
        <v/>
      </c>
      <c r="AJ25" s="317" t="str">
        <f t="shared" si="6"/>
        <v/>
      </c>
      <c r="AK25" s="289" t="str">
        <f t="shared" si="7"/>
        <v/>
      </c>
      <c r="AL25" s="101"/>
      <c r="AM25" s="115"/>
      <c r="AN25" s="104"/>
      <c r="AO25" s="104"/>
      <c r="AQ25" s="30" t="str">
        <f>IFERROR(INDEX('G-6 Hedgerow Data'!$BJ$3:$BJ$15,MATCH(M25,'G-6 Hedgerow Data'!$B$3:$B$15,0)),"")</f>
        <v/>
      </c>
    </row>
    <row r="26" spans="2:43" ht="14">
      <c r="B26" s="305" t="str">
        <f>'E-1 Off-Site Hedge Baseline'!AN24</f>
        <v/>
      </c>
      <c r="C26" s="295" t="str">
        <f>IF(B26="","",IF(ISNA(VLOOKUP($B26,'E-1 Off-Site Hedge Baseline'!$B$1:$L$257,3,FALSE)),"",(VLOOKUP($B26,'E-1 Off-Site Hedge Baseline'!$B$1:$L$257,3,FALSE))))</f>
        <v/>
      </c>
      <c r="D26" s="295" t="str">
        <f>IF(B26="","",IF(ISNA(VLOOKUP($B26,'E-1 Off-Site Hedge Baseline'!$B$1:$L$258,4,FALSE)),"",(VLOOKUP($B26,'E-1 Off-Site Hedge Baseline'!$B$1:$L$258,4,FALSE))))</f>
        <v/>
      </c>
      <c r="E26" s="295" t="str">
        <f>IF(B26="","",IF(ISNA(VLOOKUP($B26,'E-1 Off-Site Hedge Baseline'!$B$1:$L$257,5,FALSE)),"",(VLOOKUP($B26,'E-1 Off-Site Hedge Baseline'!$B$1:$L$257,5,FALSE))))</f>
        <v/>
      </c>
      <c r="F26" s="295" t="str">
        <f>IF(B26="","",IF(ISNA(VLOOKUP($B26,'E-1 Off-Site Hedge Baseline'!$B$1:$L$257,6,FALSE)),"",(VLOOKUP($B26,'E-1 Off-Site Hedge Baseline'!$B$1:$L$257,6,FALSE))))</f>
        <v/>
      </c>
      <c r="G26" s="295" t="str">
        <f>IF(B26="","",IF(ISNA(VLOOKUP($B26,'E-1 Off-Site Hedge Baseline'!$B$1:$L$257,7,FALSE)),"",(VLOOKUP($B26,'E-1 Off-Site Hedge Baseline'!$B$1:$L$257,7,FALSE))))</f>
        <v/>
      </c>
      <c r="H26" s="295" t="str">
        <f>IF(B26="","",IF(ISNA(VLOOKUP($B26,'E-1 Off-Site Hedge Baseline'!$B$1:$L$257,8,FALSE)),"",(VLOOKUP($B26,'E-1 Off-Site Hedge Baseline'!$B$1:$L$257,8,FALSE))))</f>
        <v/>
      </c>
      <c r="I26" s="295" t="str">
        <f>IF(B26="","",IF(ISNA(VLOOKUP($B26,'E-1 Off-Site Hedge Baseline'!$B$1:$L$257,10,FALSE)),"",(VLOOKUP($B26,'E-1 Off-Site Hedge Baseline'!$B$1:$L$257,10,FALSE))))</f>
        <v/>
      </c>
      <c r="J26" s="295" t="str">
        <f>IF(B26="","",IF(ISNA(VLOOKUP($B26,'E-1 Off-Site Hedge Baseline'!$B$1:$L$257,11,FALSE)),"",(VLOOKUP($B26,'E-1 Off-Site Hedge Baseline'!$B$1:$L$257,11,FALSE))))</f>
        <v/>
      </c>
      <c r="K26" s="295" t="str">
        <f>IF(B26="","",IF(ISNA(VLOOKUP($B26,'E-1 Off-Site Hedge Baseline'!$B$1:$X$257,16,FALSE)),"",(VLOOKUP($B26,'E-1 Off-Site Hedge Baseline'!$B$1:$X$257,16,FALSE))))</f>
        <v/>
      </c>
      <c r="L26" s="283" t="str">
        <f>IF(B26="","",IF(ISNA(VLOOKUP($B26,'E-1 Off-Site Hedge Baseline'!$B$1:$X$257,12,FALSE)),"",(VLOOKUP($B26,'E-1 Off-Site Hedge Baseline'!$B$1:$X$257,12,FALSE))))</f>
        <v/>
      </c>
      <c r="M26" s="244"/>
      <c r="N26" s="275" t="str">
        <f>IFERROR(IF(B26="","",INDEX('G-6 Hedgerow Data'!$AN$3:$AZ$15,MATCH(C26,'G-6 Hedgerow Data'!$AM$3:$AM$15,0),MATCH(M26,'G-6 Hedgerow Data'!$AN$2:$AZ$2,0))),"")</f>
        <v/>
      </c>
      <c r="O26" s="276" t="str">
        <f t="shared" si="1"/>
        <v/>
      </c>
      <c r="P26" s="281" t="str">
        <f>IF(B26="","",VLOOKUP(B26,'E-1 Off-Site Hedge Baseline'!$B$10:W271,19,FALSE))</f>
        <v/>
      </c>
      <c r="Q26" s="275" t="str">
        <f>IF(M26="","",VLOOKUP(M26,'G-6 Hedgerow Data'!$B$2:$AG$15,2,FALSE))</f>
        <v/>
      </c>
      <c r="R26" s="276" t="str">
        <f>IF(M26="","",VLOOKUP(M26,'G-6 Hedgerow Data'!$B$2:$AG$15,3,FALSE))</f>
        <v/>
      </c>
      <c r="S26" s="101"/>
      <c r="T26" s="276" t="str">
        <f>IFERROR(IF(S26="","",IF(AND(M26="Non-native and ornamental hedgerow",S26&lt;&gt;"Poor"),"Not possible ▲",(IF(AND(Q26="V.Low",OR(S26="Good",S26="Moderate")),"Error ▲",VLOOKUP(S26,'G-1 All Habitats'!$Z$2:$AA$9,2,FALSE))))),"")</f>
        <v/>
      </c>
      <c r="U26" s="102"/>
      <c r="V26" s="283" t="str">
        <f>IF(U26="","",IF(VLOOKUP(U26,'G-3 Multipliers'!$L$3:$N$6,2,FALSE)=0,"Spatial Data Missing ⚠",VLOOKUP(U26,'G-3 Multipliers'!$L$3:$N$6,2,FALSE)))</f>
        <v/>
      </c>
      <c r="W26" s="281" t="str">
        <f>IF(U26="","",IF(VLOOKUP(U26,'G-3 Multipliers'!$L$3:$N$6,3,FALSE)=0,"Spatial Data Missing ⚠",VLOOKUP(U26,'G-3 Multipliers'!$L$3:$N$6,3,FALSE)))</f>
        <v/>
      </c>
      <c r="X26" s="275" t="str">
        <f>IFERROR(IF(OR(LEFT(O26,5)="Error",LEFT(N26,5)="Error",T26="Error"),"Check Data ⚠",IF(F26&lt;R26,INDEX('G-6 Hedgerow Data'!$S$3:$AE$14,MATCH(C26,'G-6 Hedgerow Data'!$B$3:$B$14,0),MATCH(M26,'G-6 Hedgerow Data'!$S$2:$AE$2,0)),INDEX('G-6 Hedgerow Data'!$K$3:$Q$14,MATCH(M26,'G-6 Hedgerow Data'!$B$3:$B$14,0),MATCH(O26,'G-6 Hedgerow Data'!$K$2:$Q$2,0)))),"")</f>
        <v/>
      </c>
      <c r="Y26" s="133"/>
      <c r="Z26" s="133"/>
      <c r="AA26" s="283" t="str">
        <f t="shared" si="2"/>
        <v/>
      </c>
      <c r="AB26" s="296" t="str">
        <f t="shared" si="3"/>
        <v/>
      </c>
      <c r="AC26" s="297" t="str">
        <f t="shared" si="0"/>
        <v/>
      </c>
      <c r="AD26" s="311" t="str">
        <f>IF(M26="","",VLOOKUP(M26,'G-6 Hedgerow Data'!$B$3:$AG$15,31,FALSE))</f>
        <v/>
      </c>
      <c r="AE26" s="295" t="str">
        <f t="shared" si="4"/>
        <v/>
      </c>
      <c r="AF26" s="283" t="str">
        <f t="shared" si="5"/>
        <v/>
      </c>
      <c r="AG26" s="299" t="str">
        <f>IFERROR(IF(O26="","",VLOOKUP(AD26,'G-3 Multipliers'!$P$3:$Q$6,2,FALSE)),"")</f>
        <v/>
      </c>
      <c r="AH26" s="713" t="str">
        <f>IF(B26="","",IF(ISNA(VLOOKUP($B26,'E-1 Off-Site Hedge Baseline'!$B$1:$Z$257,14,FALSE)),"",(VLOOKUP($B26,'E-1 Off-Site Hedge Baseline'!$B$1:$Z$257,14,FALSE))))</f>
        <v/>
      </c>
      <c r="AI26" s="276" t="str">
        <f>IF(AH26="","",IF(VLOOKUP(AH26,'G-3 Multipliers'!$S$3:$T$10,2,FALSE)=0,"Spatial Data Missing ⚠",VLOOKUP(AH26,'G-3 Multipliers'!$S$3:$T$10,2,FALSE)))</f>
        <v/>
      </c>
      <c r="AJ26" s="317" t="str">
        <f t="shared" si="6"/>
        <v/>
      </c>
      <c r="AK26" s="289" t="str">
        <f t="shared" si="7"/>
        <v/>
      </c>
      <c r="AL26" s="101"/>
      <c r="AM26" s="115"/>
      <c r="AN26" s="104"/>
      <c r="AO26" s="104"/>
      <c r="AQ26" s="30" t="str">
        <f>IFERROR(INDEX('G-6 Hedgerow Data'!$BJ$3:$BJ$15,MATCH(M26,'G-6 Hedgerow Data'!$B$3:$B$15,0)),"")</f>
        <v/>
      </c>
    </row>
    <row r="27" spans="2:43" ht="14">
      <c r="B27" s="305" t="str">
        <f>'E-1 Off-Site Hedge Baseline'!AN25</f>
        <v/>
      </c>
      <c r="C27" s="295" t="str">
        <f>IF(B27="","",IF(ISNA(VLOOKUP($B27,'E-1 Off-Site Hedge Baseline'!$B$1:$L$257,3,FALSE)),"",(VLOOKUP($B27,'E-1 Off-Site Hedge Baseline'!$B$1:$L$257,3,FALSE))))</f>
        <v/>
      </c>
      <c r="D27" s="295" t="str">
        <f>IF(B27="","",IF(ISNA(VLOOKUP($B27,'E-1 Off-Site Hedge Baseline'!$B$1:$L$258,4,FALSE)),"",(VLOOKUP($B27,'E-1 Off-Site Hedge Baseline'!$B$1:$L$258,4,FALSE))))</f>
        <v/>
      </c>
      <c r="E27" s="295" t="str">
        <f>IF(B27="","",IF(ISNA(VLOOKUP($B27,'E-1 Off-Site Hedge Baseline'!$B$1:$L$257,5,FALSE)),"",(VLOOKUP($B27,'E-1 Off-Site Hedge Baseline'!$B$1:$L$257,5,FALSE))))</f>
        <v/>
      </c>
      <c r="F27" s="295" t="str">
        <f>IF(B27="","",IF(ISNA(VLOOKUP($B27,'E-1 Off-Site Hedge Baseline'!$B$1:$L$257,6,FALSE)),"",(VLOOKUP($B27,'E-1 Off-Site Hedge Baseline'!$B$1:$L$257,6,FALSE))))</f>
        <v/>
      </c>
      <c r="G27" s="295" t="str">
        <f>IF(B27="","",IF(ISNA(VLOOKUP($B27,'E-1 Off-Site Hedge Baseline'!$B$1:$L$257,7,FALSE)),"",(VLOOKUP($B27,'E-1 Off-Site Hedge Baseline'!$B$1:$L$257,7,FALSE))))</f>
        <v/>
      </c>
      <c r="H27" s="295" t="str">
        <f>IF(B27="","",IF(ISNA(VLOOKUP($B27,'E-1 Off-Site Hedge Baseline'!$B$1:$L$257,8,FALSE)),"",(VLOOKUP($B27,'E-1 Off-Site Hedge Baseline'!$B$1:$L$257,8,FALSE))))</f>
        <v/>
      </c>
      <c r="I27" s="295" t="str">
        <f>IF(B27="","",IF(ISNA(VLOOKUP($B27,'E-1 Off-Site Hedge Baseline'!$B$1:$L$257,10,FALSE)),"",(VLOOKUP($B27,'E-1 Off-Site Hedge Baseline'!$B$1:$L$257,10,FALSE))))</f>
        <v/>
      </c>
      <c r="J27" s="295" t="str">
        <f>IF(B27="","",IF(ISNA(VLOOKUP($B27,'E-1 Off-Site Hedge Baseline'!$B$1:$L$257,11,FALSE)),"",(VLOOKUP($B27,'E-1 Off-Site Hedge Baseline'!$B$1:$L$257,11,FALSE))))</f>
        <v/>
      </c>
      <c r="K27" s="295" t="str">
        <f>IF(B27="","",IF(ISNA(VLOOKUP($B27,'E-1 Off-Site Hedge Baseline'!$B$1:$X$257,16,FALSE)),"",(VLOOKUP($B27,'E-1 Off-Site Hedge Baseline'!$B$1:$X$257,16,FALSE))))</f>
        <v/>
      </c>
      <c r="L27" s="283" t="str">
        <f>IF(B27="","",IF(ISNA(VLOOKUP($B27,'E-1 Off-Site Hedge Baseline'!$B$1:$X$257,12,FALSE)),"",(VLOOKUP($B27,'E-1 Off-Site Hedge Baseline'!$B$1:$X$257,12,FALSE))))</f>
        <v/>
      </c>
      <c r="M27" s="244"/>
      <c r="N27" s="275" t="str">
        <f>IFERROR(IF(B27="","",INDEX('G-6 Hedgerow Data'!$AN$3:$AZ$15,MATCH(C27,'G-6 Hedgerow Data'!$AM$3:$AM$15,0),MATCH(M27,'G-6 Hedgerow Data'!$AN$2:$AZ$2,0))),"")</f>
        <v/>
      </c>
      <c r="O27" s="276" t="str">
        <f t="shared" si="1"/>
        <v/>
      </c>
      <c r="P27" s="281" t="str">
        <f>IF(B27="","",VLOOKUP(B27,'E-1 Off-Site Hedge Baseline'!$B$10:W272,19,FALSE))</f>
        <v/>
      </c>
      <c r="Q27" s="275" t="str">
        <f>IF(M27="","",VLOOKUP(M27,'G-6 Hedgerow Data'!$B$2:$AG$15,2,FALSE))</f>
        <v/>
      </c>
      <c r="R27" s="276" t="str">
        <f>IF(M27="","",VLOOKUP(M27,'G-6 Hedgerow Data'!$B$2:$AG$15,3,FALSE))</f>
        <v/>
      </c>
      <c r="S27" s="101"/>
      <c r="T27" s="276" t="str">
        <f>IFERROR(IF(S27="","",IF(AND(M27="Non-native and ornamental hedgerow",S27&lt;&gt;"Poor"),"Not possible ▲",(IF(AND(Q27="V.Low",OR(S27="Good",S27="Moderate")),"Error ▲",VLOOKUP(S27,'G-1 All Habitats'!$Z$2:$AA$9,2,FALSE))))),"")</f>
        <v/>
      </c>
      <c r="U27" s="102"/>
      <c r="V27" s="283" t="str">
        <f>IF(U27="","",IF(VLOOKUP(U27,'G-3 Multipliers'!$L$3:$N$6,2,FALSE)=0,"Spatial Data Missing ⚠",VLOOKUP(U27,'G-3 Multipliers'!$L$3:$N$6,2,FALSE)))</f>
        <v/>
      </c>
      <c r="W27" s="281" t="str">
        <f>IF(U27="","",IF(VLOOKUP(U27,'G-3 Multipliers'!$L$3:$N$6,3,FALSE)=0,"Spatial Data Missing ⚠",VLOOKUP(U27,'G-3 Multipliers'!$L$3:$N$6,3,FALSE)))</f>
        <v/>
      </c>
      <c r="X27" s="275" t="str">
        <f>IFERROR(IF(OR(LEFT(O27,5)="Error",LEFT(N27,5)="Error",T27="Error"),"Check Data ⚠",IF(F27&lt;R27,INDEX('G-6 Hedgerow Data'!$S$3:$AE$14,MATCH(C27,'G-6 Hedgerow Data'!$B$3:$B$14,0),MATCH(M27,'G-6 Hedgerow Data'!$S$2:$AE$2,0)),INDEX('G-6 Hedgerow Data'!$K$3:$Q$14,MATCH(M27,'G-6 Hedgerow Data'!$B$3:$B$14,0),MATCH(O27,'G-6 Hedgerow Data'!$K$2:$Q$2,0)))),"")</f>
        <v/>
      </c>
      <c r="Y27" s="133"/>
      <c r="Z27" s="133"/>
      <c r="AA27" s="283" t="str">
        <f t="shared" si="2"/>
        <v/>
      </c>
      <c r="AB27" s="296" t="str">
        <f t="shared" si="3"/>
        <v/>
      </c>
      <c r="AC27" s="297" t="str">
        <f t="shared" si="0"/>
        <v/>
      </c>
      <c r="AD27" s="311" t="str">
        <f>IF(M27="","",VLOOKUP(M27,'G-6 Hedgerow Data'!$B$3:$AG$15,31,FALSE))</f>
        <v/>
      </c>
      <c r="AE27" s="295" t="str">
        <f t="shared" si="4"/>
        <v/>
      </c>
      <c r="AF27" s="283" t="str">
        <f t="shared" si="5"/>
        <v/>
      </c>
      <c r="AG27" s="299" t="str">
        <f>IFERROR(IF(O27="","",VLOOKUP(AD27,'G-3 Multipliers'!$P$3:$Q$6,2,FALSE)),"")</f>
        <v/>
      </c>
      <c r="AH27" s="713" t="str">
        <f>IF(B27="","",IF(ISNA(VLOOKUP($B27,'E-1 Off-Site Hedge Baseline'!$B$1:$Z$257,14,FALSE)),"",(VLOOKUP($B27,'E-1 Off-Site Hedge Baseline'!$B$1:$Z$257,14,FALSE))))</f>
        <v/>
      </c>
      <c r="AI27" s="276" t="str">
        <f>IF(AH27="","",IF(VLOOKUP(AH27,'G-3 Multipliers'!$S$3:$T$10,2,FALSE)=0,"Spatial Data Missing ⚠",VLOOKUP(AH27,'G-3 Multipliers'!$S$3:$T$10,2,FALSE)))</f>
        <v/>
      </c>
      <c r="AJ27" s="317" t="str">
        <f t="shared" si="6"/>
        <v/>
      </c>
      <c r="AK27" s="289" t="str">
        <f t="shared" si="7"/>
        <v/>
      </c>
      <c r="AL27" s="101"/>
      <c r="AM27" s="115"/>
      <c r="AN27" s="104"/>
      <c r="AO27" s="104"/>
      <c r="AQ27" s="30" t="str">
        <f>IFERROR(INDEX('G-6 Hedgerow Data'!$BJ$3:$BJ$15,MATCH(M27,'G-6 Hedgerow Data'!$B$3:$B$15,0)),"")</f>
        <v/>
      </c>
    </row>
    <row r="28" spans="2:43" ht="14">
      <c r="B28" s="305" t="str">
        <f>'E-1 Off-Site Hedge Baseline'!AN26</f>
        <v/>
      </c>
      <c r="C28" s="295" t="str">
        <f>IF(B28="","",IF(ISNA(VLOOKUP($B28,'E-1 Off-Site Hedge Baseline'!$B$1:$L$257,3,FALSE)),"",(VLOOKUP($B28,'E-1 Off-Site Hedge Baseline'!$B$1:$L$257,3,FALSE))))</f>
        <v/>
      </c>
      <c r="D28" s="295" t="str">
        <f>IF(B28="","",IF(ISNA(VLOOKUP($B28,'E-1 Off-Site Hedge Baseline'!$B$1:$L$258,4,FALSE)),"",(VLOOKUP($B28,'E-1 Off-Site Hedge Baseline'!$B$1:$L$258,4,FALSE))))</f>
        <v/>
      </c>
      <c r="E28" s="295" t="str">
        <f>IF(B28="","",IF(ISNA(VLOOKUP($B28,'E-1 Off-Site Hedge Baseline'!$B$1:$L$257,5,FALSE)),"",(VLOOKUP($B28,'E-1 Off-Site Hedge Baseline'!$B$1:$L$257,5,FALSE))))</f>
        <v/>
      </c>
      <c r="F28" s="295" t="str">
        <f>IF(B28="","",IF(ISNA(VLOOKUP($B28,'E-1 Off-Site Hedge Baseline'!$B$1:$L$257,6,FALSE)),"",(VLOOKUP($B28,'E-1 Off-Site Hedge Baseline'!$B$1:$L$257,6,FALSE))))</f>
        <v/>
      </c>
      <c r="G28" s="295" t="str">
        <f>IF(B28="","",IF(ISNA(VLOOKUP($B28,'E-1 Off-Site Hedge Baseline'!$B$1:$L$257,7,FALSE)),"",(VLOOKUP($B28,'E-1 Off-Site Hedge Baseline'!$B$1:$L$257,7,FALSE))))</f>
        <v/>
      </c>
      <c r="H28" s="295" t="str">
        <f>IF(B28="","",IF(ISNA(VLOOKUP($B28,'E-1 Off-Site Hedge Baseline'!$B$1:$L$257,8,FALSE)),"",(VLOOKUP($B28,'E-1 Off-Site Hedge Baseline'!$B$1:$L$257,8,FALSE))))</f>
        <v/>
      </c>
      <c r="I28" s="295" t="str">
        <f>IF(B28="","",IF(ISNA(VLOOKUP($B28,'E-1 Off-Site Hedge Baseline'!$B$1:$L$257,10,FALSE)),"",(VLOOKUP($B28,'E-1 Off-Site Hedge Baseline'!$B$1:$L$257,10,FALSE))))</f>
        <v/>
      </c>
      <c r="J28" s="295" t="str">
        <f>IF(B28="","",IF(ISNA(VLOOKUP($B28,'E-1 Off-Site Hedge Baseline'!$B$1:$L$257,11,FALSE)),"",(VLOOKUP($B28,'E-1 Off-Site Hedge Baseline'!$B$1:$L$257,11,FALSE))))</f>
        <v/>
      </c>
      <c r="K28" s="295" t="str">
        <f>IF(B28="","",IF(ISNA(VLOOKUP($B28,'E-1 Off-Site Hedge Baseline'!$B$1:$X$257,16,FALSE)),"",(VLOOKUP($B28,'E-1 Off-Site Hedge Baseline'!$B$1:$X$257,16,FALSE))))</f>
        <v/>
      </c>
      <c r="L28" s="283" t="str">
        <f>IF(B28="","",IF(ISNA(VLOOKUP($B28,'E-1 Off-Site Hedge Baseline'!$B$1:$X$257,12,FALSE)),"",(VLOOKUP($B28,'E-1 Off-Site Hedge Baseline'!$B$1:$X$257,12,FALSE))))</f>
        <v/>
      </c>
      <c r="M28" s="244"/>
      <c r="N28" s="275" t="str">
        <f>IFERROR(IF(B28="","",INDEX('G-6 Hedgerow Data'!$AN$3:$AZ$15,MATCH(C28,'G-6 Hedgerow Data'!$AM$3:$AM$15,0),MATCH(M28,'G-6 Hedgerow Data'!$AN$2:$AZ$2,0))),"")</f>
        <v/>
      </c>
      <c r="O28" s="276" t="str">
        <f t="shared" si="1"/>
        <v/>
      </c>
      <c r="P28" s="281" t="str">
        <f>IF(B28="","",VLOOKUP(B28,'E-1 Off-Site Hedge Baseline'!$B$10:W273,19,FALSE))</f>
        <v/>
      </c>
      <c r="Q28" s="275" t="str">
        <f>IF(M28="","",VLOOKUP(M28,'G-6 Hedgerow Data'!$B$2:$AG$15,2,FALSE))</f>
        <v/>
      </c>
      <c r="R28" s="276" t="str">
        <f>IF(M28="","",VLOOKUP(M28,'G-6 Hedgerow Data'!$B$2:$AG$15,3,FALSE))</f>
        <v/>
      </c>
      <c r="S28" s="101"/>
      <c r="T28" s="276" t="str">
        <f>IFERROR(IF(S28="","",IF(AND(M28="Non-native and ornamental hedgerow",S28&lt;&gt;"Poor"),"Not possible ▲",(IF(AND(Q28="V.Low",OR(S28="Good",S28="Moderate")),"Error ▲",VLOOKUP(S28,'G-1 All Habitats'!$Z$2:$AA$9,2,FALSE))))),"")</f>
        <v/>
      </c>
      <c r="U28" s="102"/>
      <c r="V28" s="283" t="str">
        <f>IF(U28="","",IF(VLOOKUP(U28,'G-3 Multipliers'!$L$3:$N$6,2,FALSE)=0,"Spatial Data Missing ⚠",VLOOKUP(U28,'G-3 Multipliers'!$L$3:$N$6,2,FALSE)))</f>
        <v/>
      </c>
      <c r="W28" s="281" t="str">
        <f>IF(U28="","",IF(VLOOKUP(U28,'G-3 Multipliers'!$L$3:$N$6,3,FALSE)=0,"Spatial Data Missing ⚠",VLOOKUP(U28,'G-3 Multipliers'!$L$3:$N$6,3,FALSE)))</f>
        <v/>
      </c>
      <c r="X28" s="275" t="str">
        <f>IFERROR(IF(OR(LEFT(O28,5)="Error",LEFT(N28,5)="Error",T28="Error"),"Check Data ⚠",IF(F28&lt;R28,INDEX('G-6 Hedgerow Data'!$S$3:$AE$14,MATCH(C28,'G-6 Hedgerow Data'!$B$3:$B$14,0),MATCH(M28,'G-6 Hedgerow Data'!$S$2:$AE$2,0)),INDEX('G-6 Hedgerow Data'!$K$3:$Q$14,MATCH(M28,'G-6 Hedgerow Data'!$B$3:$B$14,0),MATCH(O28,'G-6 Hedgerow Data'!$K$2:$Q$2,0)))),"")</f>
        <v/>
      </c>
      <c r="Y28" s="133"/>
      <c r="Z28" s="133"/>
      <c r="AA28" s="283" t="str">
        <f t="shared" si="2"/>
        <v/>
      </c>
      <c r="AB28" s="296" t="str">
        <f t="shared" si="3"/>
        <v/>
      </c>
      <c r="AC28" s="297" t="str">
        <f t="shared" si="0"/>
        <v/>
      </c>
      <c r="AD28" s="311" t="str">
        <f>IF(M28="","",VLOOKUP(M28,'G-6 Hedgerow Data'!$B$3:$AG$15,31,FALSE))</f>
        <v/>
      </c>
      <c r="AE28" s="295" t="str">
        <f t="shared" si="4"/>
        <v/>
      </c>
      <c r="AF28" s="283" t="str">
        <f t="shared" si="5"/>
        <v/>
      </c>
      <c r="AG28" s="299" t="str">
        <f>IFERROR(IF(O28="","",VLOOKUP(AD28,'G-3 Multipliers'!$P$3:$Q$6,2,FALSE)),"")</f>
        <v/>
      </c>
      <c r="AH28" s="713" t="str">
        <f>IF(B28="","",IF(ISNA(VLOOKUP($B28,'E-1 Off-Site Hedge Baseline'!$B$1:$Z$257,14,FALSE)),"",(VLOOKUP($B28,'E-1 Off-Site Hedge Baseline'!$B$1:$Z$257,14,FALSE))))</f>
        <v/>
      </c>
      <c r="AI28" s="276" t="str">
        <f>IF(AH28="","",IF(VLOOKUP(AH28,'G-3 Multipliers'!$S$3:$T$10,2,FALSE)=0,"Spatial Data Missing ⚠",VLOOKUP(AH28,'G-3 Multipliers'!$S$3:$T$10,2,FALSE)))</f>
        <v/>
      </c>
      <c r="AJ28" s="317" t="str">
        <f t="shared" si="6"/>
        <v/>
      </c>
      <c r="AK28" s="289" t="str">
        <f t="shared" si="7"/>
        <v/>
      </c>
      <c r="AL28" s="101"/>
      <c r="AM28" s="115"/>
      <c r="AN28" s="104"/>
      <c r="AO28" s="104"/>
      <c r="AQ28" s="30" t="str">
        <f>IFERROR(INDEX('G-6 Hedgerow Data'!$BJ$3:$BJ$15,MATCH(M28,'G-6 Hedgerow Data'!$B$3:$B$15,0)),"")</f>
        <v/>
      </c>
    </row>
    <row r="29" spans="2:43" ht="14">
      <c r="B29" s="305" t="str">
        <f>'E-1 Off-Site Hedge Baseline'!AN27</f>
        <v/>
      </c>
      <c r="C29" s="295" t="str">
        <f>IF(B29="","",IF(ISNA(VLOOKUP($B29,'E-1 Off-Site Hedge Baseline'!$B$1:$L$257,3,FALSE)),"",(VLOOKUP($B29,'E-1 Off-Site Hedge Baseline'!$B$1:$L$257,3,FALSE))))</f>
        <v/>
      </c>
      <c r="D29" s="295" t="str">
        <f>IF(B29="","",IF(ISNA(VLOOKUP($B29,'E-1 Off-Site Hedge Baseline'!$B$1:$L$258,4,FALSE)),"",(VLOOKUP($B29,'E-1 Off-Site Hedge Baseline'!$B$1:$L$258,4,FALSE))))</f>
        <v/>
      </c>
      <c r="E29" s="295" t="str">
        <f>IF(B29="","",IF(ISNA(VLOOKUP($B29,'E-1 Off-Site Hedge Baseline'!$B$1:$L$257,5,FALSE)),"",(VLOOKUP($B29,'E-1 Off-Site Hedge Baseline'!$B$1:$L$257,5,FALSE))))</f>
        <v/>
      </c>
      <c r="F29" s="295" t="str">
        <f>IF(B29="","",IF(ISNA(VLOOKUP($B29,'E-1 Off-Site Hedge Baseline'!$B$1:$L$257,6,FALSE)),"",(VLOOKUP($B29,'E-1 Off-Site Hedge Baseline'!$B$1:$L$257,6,FALSE))))</f>
        <v/>
      </c>
      <c r="G29" s="295" t="str">
        <f>IF(B29="","",IF(ISNA(VLOOKUP($B29,'E-1 Off-Site Hedge Baseline'!$B$1:$L$257,7,FALSE)),"",(VLOOKUP($B29,'E-1 Off-Site Hedge Baseline'!$B$1:$L$257,7,FALSE))))</f>
        <v/>
      </c>
      <c r="H29" s="295" t="str">
        <f>IF(B29="","",IF(ISNA(VLOOKUP($B29,'E-1 Off-Site Hedge Baseline'!$B$1:$L$257,8,FALSE)),"",(VLOOKUP($B29,'E-1 Off-Site Hedge Baseline'!$B$1:$L$257,8,FALSE))))</f>
        <v/>
      </c>
      <c r="I29" s="295" t="str">
        <f>IF(B29="","",IF(ISNA(VLOOKUP($B29,'E-1 Off-Site Hedge Baseline'!$B$1:$L$257,10,FALSE)),"",(VLOOKUP($B29,'E-1 Off-Site Hedge Baseline'!$B$1:$L$257,10,FALSE))))</f>
        <v/>
      </c>
      <c r="J29" s="295" t="str">
        <f>IF(B29="","",IF(ISNA(VLOOKUP($B29,'E-1 Off-Site Hedge Baseline'!$B$1:$L$257,11,FALSE)),"",(VLOOKUP($B29,'E-1 Off-Site Hedge Baseline'!$B$1:$L$257,11,FALSE))))</f>
        <v/>
      </c>
      <c r="K29" s="295" t="str">
        <f>IF(B29="","",IF(ISNA(VLOOKUP($B29,'E-1 Off-Site Hedge Baseline'!$B$1:$X$257,16,FALSE)),"",(VLOOKUP($B29,'E-1 Off-Site Hedge Baseline'!$B$1:$X$257,16,FALSE))))</f>
        <v/>
      </c>
      <c r="L29" s="283" t="str">
        <f>IF(B29="","",IF(ISNA(VLOOKUP($B29,'E-1 Off-Site Hedge Baseline'!$B$1:$X$257,12,FALSE)),"",(VLOOKUP($B29,'E-1 Off-Site Hedge Baseline'!$B$1:$X$257,12,FALSE))))</f>
        <v/>
      </c>
      <c r="M29" s="244"/>
      <c r="N29" s="275" t="str">
        <f>IFERROR(IF(B29="","",INDEX('G-6 Hedgerow Data'!$AN$3:$AZ$15,MATCH(C29,'G-6 Hedgerow Data'!$AM$3:$AM$15,0),MATCH(M29,'G-6 Hedgerow Data'!$AN$2:$AZ$2,0))),"")</f>
        <v/>
      </c>
      <c r="O29" s="276" t="str">
        <f t="shared" si="1"/>
        <v/>
      </c>
      <c r="P29" s="281" t="str">
        <f>IF(B29="","",VLOOKUP(B29,'E-1 Off-Site Hedge Baseline'!$B$10:W274,19,FALSE))</f>
        <v/>
      </c>
      <c r="Q29" s="275" t="str">
        <f>IF(M29="","",VLOOKUP(M29,'G-6 Hedgerow Data'!$B$2:$AG$15,2,FALSE))</f>
        <v/>
      </c>
      <c r="R29" s="276" t="str">
        <f>IF(M29="","",VLOOKUP(M29,'G-6 Hedgerow Data'!$B$2:$AG$15,3,FALSE))</f>
        <v/>
      </c>
      <c r="S29" s="101"/>
      <c r="T29" s="276" t="str">
        <f>IFERROR(IF(S29="","",IF(AND(M29="Non-native and ornamental hedgerow",S29&lt;&gt;"Poor"),"Not possible ▲",(IF(AND(Q29="V.Low",OR(S29="Good",S29="Moderate")),"Error ▲",VLOOKUP(S29,'G-1 All Habitats'!$Z$2:$AA$9,2,FALSE))))),"")</f>
        <v/>
      </c>
      <c r="U29" s="102"/>
      <c r="V29" s="283" t="str">
        <f>IF(U29="","",IF(VLOOKUP(U29,'G-3 Multipliers'!$L$3:$N$6,2,FALSE)=0,"Spatial Data Missing ⚠",VLOOKUP(U29,'G-3 Multipliers'!$L$3:$N$6,2,FALSE)))</f>
        <v/>
      </c>
      <c r="W29" s="281" t="str">
        <f>IF(U29="","",IF(VLOOKUP(U29,'G-3 Multipliers'!$L$3:$N$6,3,FALSE)=0,"Spatial Data Missing ⚠",VLOOKUP(U29,'G-3 Multipliers'!$L$3:$N$6,3,FALSE)))</f>
        <v/>
      </c>
      <c r="X29" s="275" t="str">
        <f>IFERROR(IF(OR(LEFT(O29,5)="Error",LEFT(N29,5)="Error",T29="Error"),"Check Data ⚠",IF(F29&lt;R29,INDEX('G-6 Hedgerow Data'!$S$3:$AE$14,MATCH(C29,'G-6 Hedgerow Data'!$B$3:$B$14,0),MATCH(M29,'G-6 Hedgerow Data'!$S$2:$AE$2,0)),INDEX('G-6 Hedgerow Data'!$K$3:$Q$14,MATCH(M29,'G-6 Hedgerow Data'!$B$3:$B$14,0),MATCH(O29,'G-6 Hedgerow Data'!$K$2:$Q$2,0)))),"")</f>
        <v/>
      </c>
      <c r="Y29" s="133"/>
      <c r="Z29" s="133"/>
      <c r="AA29" s="283" t="str">
        <f t="shared" si="2"/>
        <v/>
      </c>
      <c r="AB29" s="296" t="str">
        <f t="shared" si="3"/>
        <v/>
      </c>
      <c r="AC29" s="297" t="str">
        <f t="shared" si="0"/>
        <v/>
      </c>
      <c r="AD29" s="311" t="str">
        <f>IF(M29="","",VLOOKUP(M29,'G-6 Hedgerow Data'!$B$3:$AG$15,31,FALSE))</f>
        <v/>
      </c>
      <c r="AE29" s="295" t="str">
        <f t="shared" si="4"/>
        <v/>
      </c>
      <c r="AF29" s="283" t="str">
        <f t="shared" si="5"/>
        <v/>
      </c>
      <c r="AG29" s="299" t="str">
        <f>IFERROR(IF(O29="","",VLOOKUP(AD29,'G-3 Multipliers'!$P$3:$Q$6,2,FALSE)),"")</f>
        <v/>
      </c>
      <c r="AH29" s="713" t="str">
        <f>IF(B29="","",IF(ISNA(VLOOKUP($B29,'E-1 Off-Site Hedge Baseline'!$B$1:$Z$257,14,FALSE)),"",(VLOOKUP($B29,'E-1 Off-Site Hedge Baseline'!$B$1:$Z$257,14,FALSE))))</f>
        <v/>
      </c>
      <c r="AI29" s="276" t="str">
        <f>IF(AH29="","",IF(VLOOKUP(AH29,'G-3 Multipliers'!$S$3:$T$10,2,FALSE)=0,"Spatial Data Missing ⚠",VLOOKUP(AH29,'G-3 Multipliers'!$S$3:$T$10,2,FALSE)))</f>
        <v/>
      </c>
      <c r="AJ29" s="317" t="str">
        <f t="shared" si="6"/>
        <v/>
      </c>
      <c r="AK29" s="289" t="str">
        <f t="shared" si="7"/>
        <v/>
      </c>
      <c r="AL29" s="101"/>
      <c r="AM29" s="115"/>
      <c r="AN29" s="104"/>
      <c r="AO29" s="104"/>
      <c r="AQ29" s="30" t="str">
        <f>IFERROR(INDEX('G-6 Hedgerow Data'!$BJ$3:$BJ$15,MATCH(M29,'G-6 Hedgerow Data'!$B$3:$B$15,0)),"")</f>
        <v/>
      </c>
    </row>
    <row r="30" spans="2:43" ht="14">
      <c r="B30" s="305" t="str">
        <f>'E-1 Off-Site Hedge Baseline'!AN28</f>
        <v/>
      </c>
      <c r="C30" s="295" t="str">
        <f>IF(B30="","",IF(ISNA(VLOOKUP($B30,'E-1 Off-Site Hedge Baseline'!$B$1:$L$257,3,FALSE)),"",(VLOOKUP($B30,'E-1 Off-Site Hedge Baseline'!$B$1:$L$257,3,FALSE))))</f>
        <v/>
      </c>
      <c r="D30" s="295" t="str">
        <f>IF(B30="","",IF(ISNA(VLOOKUP($B30,'E-1 Off-Site Hedge Baseline'!$B$1:$L$258,4,FALSE)),"",(VLOOKUP($B30,'E-1 Off-Site Hedge Baseline'!$B$1:$L$258,4,FALSE))))</f>
        <v/>
      </c>
      <c r="E30" s="295" t="str">
        <f>IF(B30="","",IF(ISNA(VLOOKUP($B30,'E-1 Off-Site Hedge Baseline'!$B$1:$L$257,5,FALSE)),"",(VLOOKUP($B30,'E-1 Off-Site Hedge Baseline'!$B$1:$L$257,5,FALSE))))</f>
        <v/>
      </c>
      <c r="F30" s="295" t="str">
        <f>IF(B30="","",IF(ISNA(VLOOKUP($B30,'E-1 Off-Site Hedge Baseline'!$B$1:$L$257,6,FALSE)),"",(VLOOKUP($B30,'E-1 Off-Site Hedge Baseline'!$B$1:$L$257,6,FALSE))))</f>
        <v/>
      </c>
      <c r="G30" s="295" t="str">
        <f>IF(B30="","",IF(ISNA(VLOOKUP($B30,'E-1 Off-Site Hedge Baseline'!$B$1:$L$257,7,FALSE)),"",(VLOOKUP($B30,'E-1 Off-Site Hedge Baseline'!$B$1:$L$257,7,FALSE))))</f>
        <v/>
      </c>
      <c r="H30" s="295" t="str">
        <f>IF(B30="","",IF(ISNA(VLOOKUP($B30,'E-1 Off-Site Hedge Baseline'!$B$1:$L$257,8,FALSE)),"",(VLOOKUP($B30,'E-1 Off-Site Hedge Baseline'!$B$1:$L$257,8,FALSE))))</f>
        <v/>
      </c>
      <c r="I30" s="295" t="str">
        <f>IF(B30="","",IF(ISNA(VLOOKUP($B30,'E-1 Off-Site Hedge Baseline'!$B$1:$L$257,10,FALSE)),"",(VLOOKUP($B30,'E-1 Off-Site Hedge Baseline'!$B$1:$L$257,10,FALSE))))</f>
        <v/>
      </c>
      <c r="J30" s="295" t="str">
        <f>IF(B30="","",IF(ISNA(VLOOKUP($B30,'E-1 Off-Site Hedge Baseline'!$B$1:$L$257,11,FALSE)),"",(VLOOKUP($B30,'E-1 Off-Site Hedge Baseline'!$B$1:$L$257,11,FALSE))))</f>
        <v/>
      </c>
      <c r="K30" s="295" t="str">
        <f>IF(B30="","",IF(ISNA(VLOOKUP($B30,'E-1 Off-Site Hedge Baseline'!$B$1:$X$257,16,FALSE)),"",(VLOOKUP($B30,'E-1 Off-Site Hedge Baseline'!$B$1:$X$257,16,FALSE))))</f>
        <v/>
      </c>
      <c r="L30" s="283" t="str">
        <f>IF(B30="","",IF(ISNA(VLOOKUP($B30,'E-1 Off-Site Hedge Baseline'!$B$1:$X$257,12,FALSE)),"",(VLOOKUP($B30,'E-1 Off-Site Hedge Baseline'!$B$1:$X$257,12,FALSE))))</f>
        <v/>
      </c>
      <c r="M30" s="244"/>
      <c r="N30" s="275" t="str">
        <f>IFERROR(IF(B30="","",INDEX('G-6 Hedgerow Data'!$AN$3:$AZ$15,MATCH(C30,'G-6 Hedgerow Data'!$AM$3:$AM$15,0),MATCH(M30,'G-6 Hedgerow Data'!$AN$2:$AZ$2,0))),"")</f>
        <v/>
      </c>
      <c r="O30" s="276" t="str">
        <f t="shared" si="1"/>
        <v/>
      </c>
      <c r="P30" s="281" t="str">
        <f>IF(B30="","",VLOOKUP(B30,'E-1 Off-Site Hedge Baseline'!$B$10:W275,19,FALSE))</f>
        <v/>
      </c>
      <c r="Q30" s="275" t="str">
        <f>IF(M30="","",VLOOKUP(M30,'G-6 Hedgerow Data'!$B$2:$AG$15,2,FALSE))</f>
        <v/>
      </c>
      <c r="R30" s="276" t="str">
        <f>IF(M30="","",VLOOKUP(M30,'G-6 Hedgerow Data'!$B$2:$AG$15,3,FALSE))</f>
        <v/>
      </c>
      <c r="S30" s="53"/>
      <c r="T30" s="276" t="str">
        <f>IFERROR(IF(S30="","",IF(AND(M30="Non-native and ornamental hedgerow",S30&lt;&gt;"Poor"),"Not possible ▲",(IF(AND(Q30="V.Low",OR(S30="Good",S30="Moderate")),"Error ▲",VLOOKUP(S30,'G-1 All Habitats'!$Z$2:$AA$9,2,FALSE))))),"")</f>
        <v/>
      </c>
      <c r="U30" s="102"/>
      <c r="V30" s="283" t="str">
        <f>IF(U30="","",IF(VLOOKUP(U30,'G-3 Multipliers'!$L$3:$N$6,2,FALSE)=0,"Spatial Data Missing ⚠",VLOOKUP(U30,'G-3 Multipliers'!$L$3:$N$6,2,FALSE)))</f>
        <v/>
      </c>
      <c r="W30" s="281" t="str">
        <f>IF(U30="","",IF(VLOOKUP(U30,'G-3 Multipliers'!$L$3:$N$6,3,FALSE)=0,"Spatial Data Missing ⚠",VLOOKUP(U30,'G-3 Multipliers'!$L$3:$N$6,3,FALSE)))</f>
        <v/>
      </c>
      <c r="X30" s="275" t="str">
        <f>IFERROR(IF(OR(LEFT(O30,5)="Error",LEFT(N30,5)="Error",T30="Error"),"Check Data ⚠",IF(F30&lt;R30,INDEX('G-6 Hedgerow Data'!$S$3:$AE$14,MATCH(C30,'G-6 Hedgerow Data'!$B$3:$B$14,0),MATCH(M30,'G-6 Hedgerow Data'!$S$2:$AE$2,0)),INDEX('G-6 Hedgerow Data'!$K$3:$Q$14,MATCH(M30,'G-6 Hedgerow Data'!$B$3:$B$14,0),MATCH(O30,'G-6 Hedgerow Data'!$K$2:$Q$2,0)))),"")</f>
        <v/>
      </c>
      <c r="Y30" s="133"/>
      <c r="Z30" s="133"/>
      <c r="AA30" s="283" t="str">
        <f t="shared" si="2"/>
        <v/>
      </c>
      <c r="AB30" s="296" t="str">
        <f t="shared" si="3"/>
        <v/>
      </c>
      <c r="AC30" s="297" t="str">
        <f t="shared" si="0"/>
        <v/>
      </c>
      <c r="AD30" s="311" t="str">
        <f>IF(M30="","",VLOOKUP(M30,'G-6 Hedgerow Data'!$B$3:$AG$15,31,FALSE))</f>
        <v/>
      </c>
      <c r="AE30" s="295" t="str">
        <f t="shared" si="4"/>
        <v/>
      </c>
      <c r="AF30" s="283" t="str">
        <f t="shared" si="5"/>
        <v/>
      </c>
      <c r="AG30" s="299" t="str">
        <f>IFERROR(IF(O30="","",VLOOKUP(AD30,'G-3 Multipliers'!$P$3:$Q$6,2,FALSE)),"")</f>
        <v/>
      </c>
      <c r="AH30" s="713" t="str">
        <f>IF(B30="","",IF(ISNA(VLOOKUP($B30,'E-1 Off-Site Hedge Baseline'!$B$1:$Z$257,14,FALSE)),"",(VLOOKUP($B30,'E-1 Off-Site Hedge Baseline'!$B$1:$Z$257,14,FALSE))))</f>
        <v/>
      </c>
      <c r="AI30" s="276" t="str">
        <f>IF(AH30="","",IF(VLOOKUP(AH30,'G-3 Multipliers'!$S$3:$T$10,2,FALSE)=0,"Spatial Data Missing ⚠",VLOOKUP(AH30,'G-3 Multipliers'!$S$3:$T$10,2,FALSE)))</f>
        <v/>
      </c>
      <c r="AJ30" s="317" t="str">
        <f t="shared" si="6"/>
        <v/>
      </c>
      <c r="AK30" s="289" t="str">
        <f t="shared" si="7"/>
        <v/>
      </c>
      <c r="AL30" s="101"/>
      <c r="AM30" s="115"/>
      <c r="AN30" s="104"/>
      <c r="AO30" s="104"/>
      <c r="AQ30" s="30" t="str">
        <f>IFERROR(INDEX('G-6 Hedgerow Data'!$BJ$3:$BJ$15,MATCH(M30,'G-6 Hedgerow Data'!$B$3:$B$15,0)),"")</f>
        <v/>
      </c>
    </row>
    <row r="31" spans="2:43" ht="14">
      <c r="B31" s="305" t="str">
        <f>'E-1 Off-Site Hedge Baseline'!AN29</f>
        <v/>
      </c>
      <c r="C31" s="295" t="str">
        <f>IF(B31="","",IF(ISNA(VLOOKUP($B31,'E-1 Off-Site Hedge Baseline'!$B$1:$L$257,3,FALSE)),"",(VLOOKUP($B31,'E-1 Off-Site Hedge Baseline'!$B$1:$L$257,3,FALSE))))</f>
        <v/>
      </c>
      <c r="D31" s="295" t="str">
        <f>IF(B31="","",IF(ISNA(VLOOKUP($B31,'E-1 Off-Site Hedge Baseline'!$B$1:$L$258,4,FALSE)),"",(VLOOKUP($B31,'E-1 Off-Site Hedge Baseline'!$B$1:$L$258,4,FALSE))))</f>
        <v/>
      </c>
      <c r="E31" s="295" t="str">
        <f>IF(B31="","",IF(ISNA(VLOOKUP($B31,'E-1 Off-Site Hedge Baseline'!$B$1:$L$257,5,FALSE)),"",(VLOOKUP($B31,'E-1 Off-Site Hedge Baseline'!$B$1:$L$257,5,FALSE))))</f>
        <v/>
      </c>
      <c r="F31" s="295" t="str">
        <f>IF(B31="","",IF(ISNA(VLOOKUP($B31,'E-1 Off-Site Hedge Baseline'!$B$1:$L$257,6,FALSE)),"",(VLOOKUP($B31,'E-1 Off-Site Hedge Baseline'!$B$1:$L$257,6,FALSE))))</f>
        <v/>
      </c>
      <c r="G31" s="295" t="str">
        <f>IF(B31="","",IF(ISNA(VLOOKUP($B31,'E-1 Off-Site Hedge Baseline'!$B$1:$L$257,7,FALSE)),"",(VLOOKUP($B31,'E-1 Off-Site Hedge Baseline'!$B$1:$L$257,7,FALSE))))</f>
        <v/>
      </c>
      <c r="H31" s="295" t="str">
        <f>IF(B31="","",IF(ISNA(VLOOKUP($B31,'E-1 Off-Site Hedge Baseline'!$B$1:$L$257,8,FALSE)),"",(VLOOKUP($B31,'E-1 Off-Site Hedge Baseline'!$B$1:$L$257,8,FALSE))))</f>
        <v/>
      </c>
      <c r="I31" s="295" t="str">
        <f>IF(B31="","",IF(ISNA(VLOOKUP($B31,'E-1 Off-Site Hedge Baseline'!$B$1:$L$257,10,FALSE)),"",(VLOOKUP($B31,'E-1 Off-Site Hedge Baseline'!$B$1:$L$257,10,FALSE))))</f>
        <v/>
      </c>
      <c r="J31" s="295" t="str">
        <f>IF(B31="","",IF(ISNA(VLOOKUP($B31,'E-1 Off-Site Hedge Baseline'!$B$1:$L$257,11,FALSE)),"",(VLOOKUP($B31,'E-1 Off-Site Hedge Baseline'!$B$1:$L$257,11,FALSE))))</f>
        <v/>
      </c>
      <c r="K31" s="295" t="str">
        <f>IF(B31="","",IF(ISNA(VLOOKUP($B31,'E-1 Off-Site Hedge Baseline'!$B$1:$X$257,16,FALSE)),"",(VLOOKUP($B31,'E-1 Off-Site Hedge Baseline'!$B$1:$X$257,16,FALSE))))</f>
        <v/>
      </c>
      <c r="L31" s="283" t="str">
        <f>IF(B31="","",IF(ISNA(VLOOKUP($B31,'E-1 Off-Site Hedge Baseline'!$B$1:$X$257,12,FALSE)),"",(VLOOKUP($B31,'E-1 Off-Site Hedge Baseline'!$B$1:$X$257,12,FALSE))))</f>
        <v/>
      </c>
      <c r="M31" s="244"/>
      <c r="N31" s="275" t="str">
        <f>IFERROR(IF(B31="","",INDEX('G-6 Hedgerow Data'!$AN$3:$AZ$15,MATCH(C31,'G-6 Hedgerow Data'!$AM$3:$AM$15,0),MATCH(M31,'G-6 Hedgerow Data'!$AN$2:$AZ$2,0))),"")</f>
        <v/>
      </c>
      <c r="O31" s="276" t="str">
        <f t="shared" si="1"/>
        <v/>
      </c>
      <c r="P31" s="281" t="str">
        <f>IF(B31="","",VLOOKUP(B31,'E-1 Off-Site Hedge Baseline'!$B$10:W276,19,FALSE))</f>
        <v/>
      </c>
      <c r="Q31" s="275" t="str">
        <f>IF(M31="","",VLOOKUP(M31,'G-6 Hedgerow Data'!$B$2:$AG$15,2,FALSE))</f>
        <v/>
      </c>
      <c r="R31" s="276" t="str">
        <f>IF(M31="","",VLOOKUP(M31,'G-6 Hedgerow Data'!$B$2:$AG$15,3,FALSE))</f>
        <v/>
      </c>
      <c r="S31" s="53"/>
      <c r="T31" s="276" t="str">
        <f>IFERROR(IF(S31="","",IF(AND(M31="Non-native and ornamental hedgerow",S31&lt;&gt;"Poor"),"Not possible ▲",(IF(AND(Q31="V.Low",OR(S31="Good",S31="Moderate")),"Error ▲",VLOOKUP(S31,'G-1 All Habitats'!$Z$2:$AA$9,2,FALSE))))),"")</f>
        <v/>
      </c>
      <c r="U31" s="102"/>
      <c r="V31" s="283" t="str">
        <f>IF(U31="","",IF(VLOOKUP(U31,'G-3 Multipliers'!$L$3:$N$6,2,FALSE)=0,"Spatial Data Missing ⚠",VLOOKUP(U31,'G-3 Multipliers'!$L$3:$N$6,2,FALSE)))</f>
        <v/>
      </c>
      <c r="W31" s="281" t="str">
        <f>IF(U31="","",IF(VLOOKUP(U31,'G-3 Multipliers'!$L$3:$N$6,3,FALSE)=0,"Spatial Data Missing ⚠",VLOOKUP(U31,'G-3 Multipliers'!$L$3:$N$6,3,FALSE)))</f>
        <v/>
      </c>
      <c r="X31" s="275" t="str">
        <f>IFERROR(IF(OR(LEFT(O31,5)="Error",LEFT(N31,5)="Error",T31="Error"),"Check Data ⚠",IF(F31&lt;R31,INDEX('G-6 Hedgerow Data'!$S$3:$AE$14,MATCH(C31,'G-6 Hedgerow Data'!$B$3:$B$14,0),MATCH(M31,'G-6 Hedgerow Data'!$S$2:$AE$2,0)),INDEX('G-6 Hedgerow Data'!$K$3:$Q$14,MATCH(M31,'G-6 Hedgerow Data'!$B$3:$B$14,0),MATCH(O31,'G-6 Hedgerow Data'!$K$2:$Q$2,0)))),"")</f>
        <v/>
      </c>
      <c r="Y31" s="133"/>
      <c r="Z31" s="133"/>
      <c r="AA31" s="283" t="str">
        <f t="shared" si="2"/>
        <v/>
      </c>
      <c r="AB31" s="296" t="str">
        <f t="shared" si="3"/>
        <v/>
      </c>
      <c r="AC31" s="297" t="str">
        <f t="shared" si="0"/>
        <v/>
      </c>
      <c r="AD31" s="311" t="str">
        <f>IF(M31="","",VLOOKUP(M31,'G-6 Hedgerow Data'!$B$3:$AG$15,31,FALSE))</f>
        <v/>
      </c>
      <c r="AE31" s="295" t="str">
        <f t="shared" si="4"/>
        <v/>
      </c>
      <c r="AF31" s="283" t="str">
        <f t="shared" si="5"/>
        <v/>
      </c>
      <c r="AG31" s="299" t="str">
        <f>IFERROR(IF(O31="","",VLOOKUP(AD31,'G-3 Multipliers'!$P$3:$Q$6,2,FALSE)),"")</f>
        <v/>
      </c>
      <c r="AH31" s="713" t="str">
        <f>IF(B31="","",IF(ISNA(VLOOKUP($B31,'E-1 Off-Site Hedge Baseline'!$B$1:$Z$257,14,FALSE)),"",(VLOOKUP($B31,'E-1 Off-Site Hedge Baseline'!$B$1:$Z$257,14,FALSE))))</f>
        <v/>
      </c>
      <c r="AI31" s="276" t="str">
        <f>IF(AH31="","",IF(VLOOKUP(AH31,'G-3 Multipliers'!$S$3:$T$10,2,FALSE)=0,"Spatial Data Missing ⚠",VLOOKUP(AH31,'G-3 Multipliers'!$S$3:$T$10,2,FALSE)))</f>
        <v/>
      </c>
      <c r="AJ31" s="317" t="str">
        <f t="shared" si="6"/>
        <v/>
      </c>
      <c r="AK31" s="289" t="str">
        <f t="shared" si="7"/>
        <v/>
      </c>
      <c r="AL31" s="101"/>
      <c r="AM31" s="115"/>
      <c r="AN31" s="104"/>
      <c r="AO31" s="104"/>
      <c r="AQ31" s="30" t="str">
        <f>IFERROR(INDEX('G-6 Hedgerow Data'!$BJ$3:$BJ$15,MATCH(M31,'G-6 Hedgerow Data'!$B$3:$B$15,0)),"")</f>
        <v/>
      </c>
    </row>
    <row r="32" spans="2:43" ht="14">
      <c r="B32" s="305" t="str">
        <f>'E-1 Off-Site Hedge Baseline'!AN30</f>
        <v/>
      </c>
      <c r="C32" s="295" t="str">
        <f>IF(B32="","",IF(ISNA(VLOOKUP($B32,'E-1 Off-Site Hedge Baseline'!$B$1:$L$257,3,FALSE)),"",(VLOOKUP($B32,'E-1 Off-Site Hedge Baseline'!$B$1:$L$257,3,FALSE))))</f>
        <v/>
      </c>
      <c r="D32" s="295" t="str">
        <f>IF(B32="","",IF(ISNA(VLOOKUP($B32,'E-1 Off-Site Hedge Baseline'!$B$1:$L$258,4,FALSE)),"",(VLOOKUP($B32,'E-1 Off-Site Hedge Baseline'!$B$1:$L$258,4,FALSE))))</f>
        <v/>
      </c>
      <c r="E32" s="295" t="str">
        <f>IF(B32="","",IF(ISNA(VLOOKUP($B32,'E-1 Off-Site Hedge Baseline'!$B$1:$L$257,5,FALSE)),"",(VLOOKUP($B32,'E-1 Off-Site Hedge Baseline'!$B$1:$L$257,5,FALSE))))</f>
        <v/>
      </c>
      <c r="F32" s="295" t="str">
        <f>IF(B32="","",IF(ISNA(VLOOKUP($B32,'E-1 Off-Site Hedge Baseline'!$B$1:$L$257,6,FALSE)),"",(VLOOKUP($B32,'E-1 Off-Site Hedge Baseline'!$B$1:$L$257,6,FALSE))))</f>
        <v/>
      </c>
      <c r="G32" s="295" t="str">
        <f>IF(B32="","",IF(ISNA(VLOOKUP($B32,'E-1 Off-Site Hedge Baseline'!$B$1:$L$257,7,FALSE)),"",(VLOOKUP($B32,'E-1 Off-Site Hedge Baseline'!$B$1:$L$257,7,FALSE))))</f>
        <v/>
      </c>
      <c r="H32" s="295" t="str">
        <f>IF(B32="","",IF(ISNA(VLOOKUP($B32,'E-1 Off-Site Hedge Baseline'!$B$1:$L$257,8,FALSE)),"",(VLOOKUP($B32,'E-1 Off-Site Hedge Baseline'!$B$1:$L$257,8,FALSE))))</f>
        <v/>
      </c>
      <c r="I32" s="295" t="str">
        <f>IF(B32="","",IF(ISNA(VLOOKUP($B32,'E-1 Off-Site Hedge Baseline'!$B$1:$L$257,10,FALSE)),"",(VLOOKUP($B32,'E-1 Off-Site Hedge Baseline'!$B$1:$L$257,10,FALSE))))</f>
        <v/>
      </c>
      <c r="J32" s="295" t="str">
        <f>IF(B32="","",IF(ISNA(VLOOKUP($B32,'E-1 Off-Site Hedge Baseline'!$B$1:$L$257,11,FALSE)),"",(VLOOKUP($B32,'E-1 Off-Site Hedge Baseline'!$B$1:$L$257,11,FALSE))))</f>
        <v/>
      </c>
      <c r="K32" s="295" t="str">
        <f>IF(B32="","",IF(ISNA(VLOOKUP($B32,'E-1 Off-Site Hedge Baseline'!$B$1:$X$257,16,FALSE)),"",(VLOOKUP($B32,'E-1 Off-Site Hedge Baseline'!$B$1:$X$257,16,FALSE))))</f>
        <v/>
      </c>
      <c r="L32" s="283" t="str">
        <f>IF(B32="","",IF(ISNA(VLOOKUP($B32,'E-1 Off-Site Hedge Baseline'!$B$1:$X$257,12,FALSE)),"",(VLOOKUP($B32,'E-1 Off-Site Hedge Baseline'!$B$1:$X$257,12,FALSE))))</f>
        <v/>
      </c>
      <c r="M32" s="244"/>
      <c r="N32" s="275" t="str">
        <f>IFERROR(IF(B32="","",INDEX('G-6 Hedgerow Data'!$AN$3:$AZ$15,MATCH(C32,'G-6 Hedgerow Data'!$AM$3:$AM$15,0),MATCH(M32,'G-6 Hedgerow Data'!$AN$2:$AZ$2,0))),"")</f>
        <v/>
      </c>
      <c r="O32" s="276" t="str">
        <f t="shared" si="1"/>
        <v/>
      </c>
      <c r="P32" s="281" t="str">
        <f>IF(B32="","",VLOOKUP(B32,'E-1 Off-Site Hedge Baseline'!$B$10:W277,19,FALSE))</f>
        <v/>
      </c>
      <c r="Q32" s="275" t="str">
        <f>IF(M32="","",VLOOKUP(M32,'G-6 Hedgerow Data'!$B$2:$AG$15,2,FALSE))</f>
        <v/>
      </c>
      <c r="R32" s="276" t="str">
        <f>IF(M32="","",VLOOKUP(M32,'G-6 Hedgerow Data'!$B$2:$AG$15,3,FALSE))</f>
        <v/>
      </c>
      <c r="S32" s="53"/>
      <c r="T32" s="276" t="str">
        <f>IFERROR(IF(S32="","",IF(AND(M32="Non-native and ornamental hedgerow",S32&lt;&gt;"Poor"),"Not possible ▲",(IF(AND(Q32="V.Low",OR(S32="Good",S32="Moderate")),"Error ▲",VLOOKUP(S32,'G-1 All Habitats'!$Z$2:$AA$9,2,FALSE))))),"")</f>
        <v/>
      </c>
      <c r="U32" s="102"/>
      <c r="V32" s="283" t="str">
        <f>IF(U32="","",IF(VLOOKUP(U32,'G-3 Multipliers'!$L$3:$N$6,2,FALSE)=0,"Spatial Data Missing ⚠",VLOOKUP(U32,'G-3 Multipliers'!$L$3:$N$6,2,FALSE)))</f>
        <v/>
      </c>
      <c r="W32" s="281" t="str">
        <f>IF(U32="","",IF(VLOOKUP(U32,'G-3 Multipliers'!$L$3:$N$6,3,FALSE)=0,"Spatial Data Missing ⚠",VLOOKUP(U32,'G-3 Multipliers'!$L$3:$N$6,3,FALSE)))</f>
        <v/>
      </c>
      <c r="X32" s="275" t="str">
        <f>IFERROR(IF(OR(LEFT(O32,5)="Error",LEFT(N32,5)="Error",T32="Error"),"Check Data ⚠",IF(F32&lt;R32,INDEX('G-6 Hedgerow Data'!$S$3:$AE$14,MATCH(C32,'G-6 Hedgerow Data'!$B$3:$B$14,0),MATCH(M32,'G-6 Hedgerow Data'!$S$2:$AE$2,0)),INDEX('G-6 Hedgerow Data'!$K$3:$Q$14,MATCH(M32,'G-6 Hedgerow Data'!$B$3:$B$14,0),MATCH(O32,'G-6 Hedgerow Data'!$K$2:$Q$2,0)))),"")</f>
        <v/>
      </c>
      <c r="Y32" s="133"/>
      <c r="Z32" s="133"/>
      <c r="AA32" s="283" t="str">
        <f t="shared" si="2"/>
        <v/>
      </c>
      <c r="AB32" s="296" t="str">
        <f t="shared" si="3"/>
        <v/>
      </c>
      <c r="AC32" s="297" t="str">
        <f t="shared" si="0"/>
        <v/>
      </c>
      <c r="AD32" s="311" t="str">
        <f>IF(M32="","",VLOOKUP(M32,'G-6 Hedgerow Data'!$B$3:$AG$15,31,FALSE))</f>
        <v/>
      </c>
      <c r="AE32" s="295" t="str">
        <f t="shared" si="4"/>
        <v/>
      </c>
      <c r="AF32" s="283" t="str">
        <f t="shared" si="5"/>
        <v/>
      </c>
      <c r="AG32" s="299" t="str">
        <f>IFERROR(IF(O32="","",VLOOKUP(AD32,'G-3 Multipliers'!$P$3:$Q$6,2,FALSE)),"")</f>
        <v/>
      </c>
      <c r="AH32" s="713" t="str">
        <f>IF(B32="","",IF(ISNA(VLOOKUP($B32,'E-1 Off-Site Hedge Baseline'!$B$1:$Z$257,14,FALSE)),"",(VLOOKUP($B32,'E-1 Off-Site Hedge Baseline'!$B$1:$Z$257,14,FALSE))))</f>
        <v/>
      </c>
      <c r="AI32" s="276" t="str">
        <f>IF(AH32="","",IF(VLOOKUP(AH32,'G-3 Multipliers'!$S$3:$T$10,2,FALSE)=0,"Spatial Data Missing ⚠",VLOOKUP(AH32,'G-3 Multipliers'!$S$3:$T$10,2,FALSE)))</f>
        <v/>
      </c>
      <c r="AJ32" s="317" t="str">
        <f t="shared" si="6"/>
        <v/>
      </c>
      <c r="AK32" s="289" t="str">
        <f t="shared" si="7"/>
        <v/>
      </c>
      <c r="AL32" s="101"/>
      <c r="AM32" s="115"/>
      <c r="AN32" s="104"/>
      <c r="AO32" s="104"/>
      <c r="AQ32" s="30" t="str">
        <f>IFERROR(INDEX('G-6 Hedgerow Data'!$BJ$3:$BJ$15,MATCH(M32,'G-6 Hedgerow Data'!$B$3:$B$15,0)),"")</f>
        <v/>
      </c>
    </row>
    <row r="33" spans="2:43" ht="14">
      <c r="B33" s="305" t="str">
        <f>'E-1 Off-Site Hedge Baseline'!AN31</f>
        <v/>
      </c>
      <c r="C33" s="295" t="str">
        <f>IF(B33="","",IF(ISNA(VLOOKUP($B33,'E-1 Off-Site Hedge Baseline'!$B$1:$L$257,3,FALSE)),"",(VLOOKUP($B33,'E-1 Off-Site Hedge Baseline'!$B$1:$L$257,3,FALSE))))</f>
        <v/>
      </c>
      <c r="D33" s="295" t="str">
        <f>IF(B33="","",IF(ISNA(VLOOKUP($B33,'E-1 Off-Site Hedge Baseline'!$B$1:$L$258,4,FALSE)),"",(VLOOKUP($B33,'E-1 Off-Site Hedge Baseline'!$B$1:$L$258,4,FALSE))))</f>
        <v/>
      </c>
      <c r="E33" s="295" t="str">
        <f>IF(B33="","",IF(ISNA(VLOOKUP($B33,'E-1 Off-Site Hedge Baseline'!$B$1:$L$257,5,FALSE)),"",(VLOOKUP($B33,'E-1 Off-Site Hedge Baseline'!$B$1:$L$257,5,FALSE))))</f>
        <v/>
      </c>
      <c r="F33" s="295" t="str">
        <f>IF(B33="","",IF(ISNA(VLOOKUP($B33,'E-1 Off-Site Hedge Baseline'!$B$1:$L$257,6,FALSE)),"",(VLOOKUP($B33,'E-1 Off-Site Hedge Baseline'!$B$1:$L$257,6,FALSE))))</f>
        <v/>
      </c>
      <c r="G33" s="295" t="str">
        <f>IF(B33="","",IF(ISNA(VLOOKUP($B33,'E-1 Off-Site Hedge Baseline'!$B$1:$L$257,7,FALSE)),"",(VLOOKUP($B33,'E-1 Off-Site Hedge Baseline'!$B$1:$L$257,7,FALSE))))</f>
        <v/>
      </c>
      <c r="H33" s="295" t="str">
        <f>IF(B33="","",IF(ISNA(VLOOKUP($B33,'E-1 Off-Site Hedge Baseline'!$B$1:$L$257,8,FALSE)),"",(VLOOKUP($B33,'E-1 Off-Site Hedge Baseline'!$B$1:$L$257,8,FALSE))))</f>
        <v/>
      </c>
      <c r="I33" s="295" t="str">
        <f>IF(B33="","",IF(ISNA(VLOOKUP($B33,'E-1 Off-Site Hedge Baseline'!$B$1:$L$257,10,FALSE)),"",(VLOOKUP($B33,'E-1 Off-Site Hedge Baseline'!$B$1:$L$257,10,FALSE))))</f>
        <v/>
      </c>
      <c r="J33" s="295" t="str">
        <f>IF(B33="","",IF(ISNA(VLOOKUP($B33,'E-1 Off-Site Hedge Baseline'!$B$1:$L$257,11,FALSE)),"",(VLOOKUP($B33,'E-1 Off-Site Hedge Baseline'!$B$1:$L$257,11,FALSE))))</f>
        <v/>
      </c>
      <c r="K33" s="295" t="str">
        <f>IF(B33="","",IF(ISNA(VLOOKUP($B33,'E-1 Off-Site Hedge Baseline'!$B$1:$X$257,16,FALSE)),"",(VLOOKUP($B33,'E-1 Off-Site Hedge Baseline'!$B$1:$X$257,16,FALSE))))</f>
        <v/>
      </c>
      <c r="L33" s="283" t="str">
        <f>IF(B33="","",IF(ISNA(VLOOKUP($B33,'E-1 Off-Site Hedge Baseline'!$B$1:$X$257,12,FALSE)),"",(VLOOKUP($B33,'E-1 Off-Site Hedge Baseline'!$B$1:$X$257,12,FALSE))))</f>
        <v/>
      </c>
      <c r="M33" s="244"/>
      <c r="N33" s="275" t="str">
        <f>IFERROR(IF(B33="","",INDEX('G-6 Hedgerow Data'!$AN$3:$AZ$15,MATCH(C33,'G-6 Hedgerow Data'!$AM$3:$AM$15,0),MATCH(M33,'G-6 Hedgerow Data'!$AN$2:$AZ$2,0))),"")</f>
        <v/>
      </c>
      <c r="O33" s="276" t="str">
        <f t="shared" si="1"/>
        <v/>
      </c>
      <c r="P33" s="281" t="str">
        <f>IF(B33="","",VLOOKUP(B33,'E-1 Off-Site Hedge Baseline'!$B$10:W278,19,FALSE))</f>
        <v/>
      </c>
      <c r="Q33" s="275" t="str">
        <f>IF(M33="","",VLOOKUP(M33,'G-6 Hedgerow Data'!$B$2:$AG$15,2,FALSE))</f>
        <v/>
      </c>
      <c r="R33" s="276" t="str">
        <f>IF(M33="","",VLOOKUP(M33,'G-6 Hedgerow Data'!$B$2:$AG$15,3,FALSE))</f>
        <v/>
      </c>
      <c r="S33" s="53"/>
      <c r="T33" s="276" t="str">
        <f>IFERROR(IF(S33="","",IF(AND(M33="Non-native and ornamental hedgerow",S33&lt;&gt;"Poor"),"Not possible ▲",(IF(AND(Q33="V.Low",OR(S33="Good",S33="Moderate")),"Error ▲",VLOOKUP(S33,'G-1 All Habitats'!$Z$2:$AA$9,2,FALSE))))),"")</f>
        <v/>
      </c>
      <c r="U33" s="102"/>
      <c r="V33" s="283" t="str">
        <f>IF(U33="","",IF(VLOOKUP(U33,'G-3 Multipliers'!$L$3:$N$6,2,FALSE)=0,"Spatial Data Missing ⚠",VLOOKUP(U33,'G-3 Multipliers'!$L$3:$N$6,2,FALSE)))</f>
        <v/>
      </c>
      <c r="W33" s="281" t="str">
        <f>IF(U33="","",IF(VLOOKUP(U33,'G-3 Multipliers'!$L$3:$N$6,3,FALSE)=0,"Spatial Data Missing ⚠",VLOOKUP(U33,'G-3 Multipliers'!$L$3:$N$6,3,FALSE)))</f>
        <v/>
      </c>
      <c r="X33" s="275" t="str">
        <f>IFERROR(IF(OR(LEFT(O33,5)="Error",LEFT(N33,5)="Error",T33="Error"),"Check Data ⚠",IF(F33&lt;R33,INDEX('G-6 Hedgerow Data'!$S$3:$AE$14,MATCH(C33,'G-6 Hedgerow Data'!$B$3:$B$14,0),MATCH(M33,'G-6 Hedgerow Data'!$S$2:$AE$2,0)),INDEX('G-6 Hedgerow Data'!$K$3:$Q$14,MATCH(M33,'G-6 Hedgerow Data'!$B$3:$B$14,0),MATCH(O33,'G-6 Hedgerow Data'!$K$2:$Q$2,0)))),"")</f>
        <v/>
      </c>
      <c r="Y33" s="133"/>
      <c r="Z33" s="133"/>
      <c r="AA33" s="283" t="str">
        <f t="shared" si="2"/>
        <v/>
      </c>
      <c r="AB33" s="296" t="str">
        <f t="shared" si="3"/>
        <v/>
      </c>
      <c r="AC33" s="297" t="str">
        <f t="shared" si="0"/>
        <v/>
      </c>
      <c r="AD33" s="311" t="str">
        <f>IF(M33="","",VLOOKUP(M33,'G-6 Hedgerow Data'!$B$3:$AG$15,31,FALSE))</f>
        <v/>
      </c>
      <c r="AE33" s="295" t="str">
        <f t="shared" si="4"/>
        <v/>
      </c>
      <c r="AF33" s="283" t="str">
        <f t="shared" si="5"/>
        <v/>
      </c>
      <c r="AG33" s="299" t="str">
        <f>IFERROR(IF(O33="","",VLOOKUP(AD33,'G-3 Multipliers'!$P$3:$Q$6,2,FALSE)),"")</f>
        <v/>
      </c>
      <c r="AH33" s="713" t="str">
        <f>IF(B33="","",IF(ISNA(VLOOKUP($B33,'E-1 Off-Site Hedge Baseline'!$B$1:$Z$257,14,FALSE)),"",(VLOOKUP($B33,'E-1 Off-Site Hedge Baseline'!$B$1:$Z$257,14,FALSE))))</f>
        <v/>
      </c>
      <c r="AI33" s="276" t="str">
        <f>IF(AH33="","",IF(VLOOKUP(AH33,'G-3 Multipliers'!$S$3:$T$10,2,FALSE)=0,"Spatial Data Missing ⚠",VLOOKUP(AH33,'G-3 Multipliers'!$S$3:$T$10,2,FALSE)))</f>
        <v/>
      </c>
      <c r="AJ33" s="317" t="str">
        <f t="shared" si="6"/>
        <v/>
      </c>
      <c r="AK33" s="289" t="str">
        <f t="shared" si="7"/>
        <v/>
      </c>
      <c r="AL33" s="101"/>
      <c r="AM33" s="115"/>
      <c r="AN33" s="104"/>
      <c r="AO33" s="104"/>
      <c r="AQ33" s="30" t="str">
        <f>IFERROR(INDEX('G-6 Hedgerow Data'!$BJ$3:$BJ$15,MATCH(M33,'G-6 Hedgerow Data'!$B$3:$B$15,0)),"")</f>
        <v/>
      </c>
    </row>
    <row r="34" spans="2:43" ht="14">
      <c r="B34" s="305" t="str">
        <f>'E-1 Off-Site Hedge Baseline'!AN32</f>
        <v/>
      </c>
      <c r="C34" s="295" t="str">
        <f>IF(B34="","",IF(ISNA(VLOOKUP($B34,'E-1 Off-Site Hedge Baseline'!$B$1:$L$257,3,FALSE)),"",(VLOOKUP($B34,'E-1 Off-Site Hedge Baseline'!$B$1:$L$257,3,FALSE))))</f>
        <v/>
      </c>
      <c r="D34" s="295" t="str">
        <f>IF(B34="","",IF(ISNA(VLOOKUP($B34,'E-1 Off-Site Hedge Baseline'!$B$1:$L$258,4,FALSE)),"",(VLOOKUP($B34,'E-1 Off-Site Hedge Baseline'!$B$1:$L$258,4,FALSE))))</f>
        <v/>
      </c>
      <c r="E34" s="295" t="str">
        <f>IF(B34="","",IF(ISNA(VLOOKUP($B34,'E-1 Off-Site Hedge Baseline'!$B$1:$L$257,5,FALSE)),"",(VLOOKUP($B34,'E-1 Off-Site Hedge Baseline'!$B$1:$L$257,5,FALSE))))</f>
        <v/>
      </c>
      <c r="F34" s="295" t="str">
        <f>IF(B34="","",IF(ISNA(VLOOKUP($B34,'E-1 Off-Site Hedge Baseline'!$B$1:$L$257,6,FALSE)),"",(VLOOKUP($B34,'E-1 Off-Site Hedge Baseline'!$B$1:$L$257,6,FALSE))))</f>
        <v/>
      </c>
      <c r="G34" s="295" t="str">
        <f>IF(B34="","",IF(ISNA(VLOOKUP($B34,'E-1 Off-Site Hedge Baseline'!$B$1:$L$257,7,FALSE)),"",(VLOOKUP($B34,'E-1 Off-Site Hedge Baseline'!$B$1:$L$257,7,FALSE))))</f>
        <v/>
      </c>
      <c r="H34" s="295" t="str">
        <f>IF(B34="","",IF(ISNA(VLOOKUP($B34,'E-1 Off-Site Hedge Baseline'!$B$1:$L$257,8,FALSE)),"",(VLOOKUP($B34,'E-1 Off-Site Hedge Baseline'!$B$1:$L$257,8,FALSE))))</f>
        <v/>
      </c>
      <c r="I34" s="295" t="str">
        <f>IF(B34="","",IF(ISNA(VLOOKUP($B34,'E-1 Off-Site Hedge Baseline'!$B$1:$L$257,10,FALSE)),"",(VLOOKUP($B34,'E-1 Off-Site Hedge Baseline'!$B$1:$L$257,10,FALSE))))</f>
        <v/>
      </c>
      <c r="J34" s="295" t="str">
        <f>IF(B34="","",IF(ISNA(VLOOKUP($B34,'E-1 Off-Site Hedge Baseline'!$B$1:$L$257,11,FALSE)),"",(VLOOKUP($B34,'E-1 Off-Site Hedge Baseline'!$B$1:$L$257,11,FALSE))))</f>
        <v/>
      </c>
      <c r="K34" s="295" t="str">
        <f>IF(B34="","",IF(ISNA(VLOOKUP($B34,'E-1 Off-Site Hedge Baseline'!$B$1:$X$257,16,FALSE)),"",(VLOOKUP($B34,'E-1 Off-Site Hedge Baseline'!$B$1:$X$257,16,FALSE))))</f>
        <v/>
      </c>
      <c r="L34" s="283" t="str">
        <f>IF(B34="","",IF(ISNA(VLOOKUP($B34,'E-1 Off-Site Hedge Baseline'!$B$1:$X$257,12,FALSE)),"",(VLOOKUP($B34,'E-1 Off-Site Hedge Baseline'!$B$1:$X$257,12,FALSE))))</f>
        <v/>
      </c>
      <c r="M34" s="244"/>
      <c r="N34" s="275" t="str">
        <f>IFERROR(IF(B34="","",INDEX('G-6 Hedgerow Data'!$AN$3:$AZ$15,MATCH(C34,'G-6 Hedgerow Data'!$AM$3:$AM$15,0),MATCH(M34,'G-6 Hedgerow Data'!$AN$2:$AZ$2,0))),"")</f>
        <v/>
      </c>
      <c r="O34" s="276" t="str">
        <f t="shared" si="1"/>
        <v/>
      </c>
      <c r="P34" s="281" t="str">
        <f>IF(B34="","",VLOOKUP(B34,'E-1 Off-Site Hedge Baseline'!$B$10:W279,19,FALSE))</f>
        <v/>
      </c>
      <c r="Q34" s="275" t="str">
        <f>IF(M34="","",VLOOKUP(M34,'G-6 Hedgerow Data'!$B$2:$AG$15,2,FALSE))</f>
        <v/>
      </c>
      <c r="R34" s="276" t="str">
        <f>IF(M34="","",VLOOKUP(M34,'G-6 Hedgerow Data'!$B$2:$AG$15,3,FALSE))</f>
        <v/>
      </c>
      <c r="S34" s="53"/>
      <c r="T34" s="276" t="str">
        <f>IFERROR(IF(S34="","",IF(AND(M34="Non-native and ornamental hedgerow",S34&lt;&gt;"Poor"),"Not possible ▲",(IF(AND(Q34="V.Low",OR(S34="Good",S34="Moderate")),"Error ▲",VLOOKUP(S34,'G-1 All Habitats'!$Z$2:$AA$9,2,FALSE))))),"")</f>
        <v/>
      </c>
      <c r="U34" s="102"/>
      <c r="V34" s="283" t="str">
        <f>IF(U34="","",IF(VLOOKUP(U34,'G-3 Multipliers'!$L$3:$N$6,2,FALSE)=0,"Spatial Data Missing ⚠",VLOOKUP(U34,'G-3 Multipliers'!$L$3:$N$6,2,FALSE)))</f>
        <v/>
      </c>
      <c r="W34" s="281" t="str">
        <f>IF(U34="","",IF(VLOOKUP(U34,'G-3 Multipliers'!$L$3:$N$6,3,FALSE)=0,"Spatial Data Missing ⚠",VLOOKUP(U34,'G-3 Multipliers'!$L$3:$N$6,3,FALSE)))</f>
        <v/>
      </c>
      <c r="X34" s="275" t="str">
        <f>IFERROR(IF(OR(LEFT(O34,5)="Error",LEFT(N34,5)="Error",T34="Error"),"Check Data ⚠",IF(F34&lt;R34,INDEX('G-6 Hedgerow Data'!$S$3:$AE$14,MATCH(C34,'G-6 Hedgerow Data'!$B$3:$B$14,0),MATCH(M34,'G-6 Hedgerow Data'!$S$2:$AE$2,0)),INDEX('G-6 Hedgerow Data'!$K$3:$Q$14,MATCH(M34,'G-6 Hedgerow Data'!$B$3:$B$14,0),MATCH(O34,'G-6 Hedgerow Data'!$K$2:$Q$2,0)))),"")</f>
        <v/>
      </c>
      <c r="Y34" s="133"/>
      <c r="Z34" s="133"/>
      <c r="AA34" s="283" t="str">
        <f t="shared" si="2"/>
        <v/>
      </c>
      <c r="AB34" s="296" t="str">
        <f t="shared" si="3"/>
        <v/>
      </c>
      <c r="AC34" s="297" t="str">
        <f t="shared" si="0"/>
        <v/>
      </c>
      <c r="AD34" s="311" t="str">
        <f>IF(M34="","",VLOOKUP(M34,'G-6 Hedgerow Data'!$B$3:$AG$15,31,FALSE))</f>
        <v/>
      </c>
      <c r="AE34" s="295" t="str">
        <f t="shared" si="4"/>
        <v/>
      </c>
      <c r="AF34" s="283" t="str">
        <f t="shared" si="5"/>
        <v/>
      </c>
      <c r="AG34" s="299" t="str">
        <f>IFERROR(IF(O34="","",VLOOKUP(AD34,'G-3 Multipliers'!$P$3:$Q$6,2,FALSE)),"")</f>
        <v/>
      </c>
      <c r="AH34" s="713" t="str">
        <f>IF(B34="","",IF(ISNA(VLOOKUP($B34,'E-1 Off-Site Hedge Baseline'!$B$1:$Z$257,14,FALSE)),"",(VLOOKUP($B34,'E-1 Off-Site Hedge Baseline'!$B$1:$Z$257,14,FALSE))))</f>
        <v/>
      </c>
      <c r="AI34" s="276" t="str">
        <f>IF(AH34="","",IF(VLOOKUP(AH34,'G-3 Multipliers'!$S$3:$T$10,2,FALSE)=0,"Spatial Data Missing ⚠",VLOOKUP(AH34,'G-3 Multipliers'!$S$3:$T$10,2,FALSE)))</f>
        <v/>
      </c>
      <c r="AJ34" s="317" t="str">
        <f t="shared" si="6"/>
        <v/>
      </c>
      <c r="AK34" s="289" t="str">
        <f t="shared" si="7"/>
        <v/>
      </c>
      <c r="AL34" s="101"/>
      <c r="AM34" s="115"/>
      <c r="AN34" s="104"/>
      <c r="AO34" s="104"/>
      <c r="AQ34" s="30" t="str">
        <f>IFERROR(INDEX('G-6 Hedgerow Data'!$BJ$3:$BJ$15,MATCH(M34,'G-6 Hedgerow Data'!$B$3:$B$15,0)),"")</f>
        <v/>
      </c>
    </row>
    <row r="35" spans="2:43" ht="14">
      <c r="B35" s="305" t="str">
        <f>'E-1 Off-Site Hedge Baseline'!AN33</f>
        <v/>
      </c>
      <c r="C35" s="295" t="str">
        <f>IF(B35="","",IF(ISNA(VLOOKUP($B35,'E-1 Off-Site Hedge Baseline'!$B$1:$L$257,3,FALSE)),"",(VLOOKUP($B35,'E-1 Off-Site Hedge Baseline'!$B$1:$L$257,3,FALSE))))</f>
        <v/>
      </c>
      <c r="D35" s="295" t="str">
        <f>IF(B35="","",IF(ISNA(VLOOKUP($B35,'E-1 Off-Site Hedge Baseline'!$B$1:$L$258,4,FALSE)),"",(VLOOKUP($B35,'E-1 Off-Site Hedge Baseline'!$B$1:$L$258,4,FALSE))))</f>
        <v/>
      </c>
      <c r="E35" s="295" t="str">
        <f>IF(B35="","",IF(ISNA(VLOOKUP($B35,'E-1 Off-Site Hedge Baseline'!$B$1:$L$257,5,FALSE)),"",(VLOOKUP($B35,'E-1 Off-Site Hedge Baseline'!$B$1:$L$257,5,FALSE))))</f>
        <v/>
      </c>
      <c r="F35" s="295" t="str">
        <f>IF(B35="","",IF(ISNA(VLOOKUP($B35,'E-1 Off-Site Hedge Baseline'!$B$1:$L$257,6,FALSE)),"",(VLOOKUP($B35,'E-1 Off-Site Hedge Baseline'!$B$1:$L$257,6,FALSE))))</f>
        <v/>
      </c>
      <c r="G35" s="295" t="str">
        <f>IF(B35="","",IF(ISNA(VLOOKUP($B35,'E-1 Off-Site Hedge Baseline'!$B$1:$L$257,7,FALSE)),"",(VLOOKUP($B35,'E-1 Off-Site Hedge Baseline'!$B$1:$L$257,7,FALSE))))</f>
        <v/>
      </c>
      <c r="H35" s="295" t="str">
        <f>IF(B35="","",IF(ISNA(VLOOKUP($B35,'E-1 Off-Site Hedge Baseline'!$B$1:$L$257,8,FALSE)),"",(VLOOKUP($B35,'E-1 Off-Site Hedge Baseline'!$B$1:$L$257,8,FALSE))))</f>
        <v/>
      </c>
      <c r="I35" s="295" t="str">
        <f>IF(B35="","",IF(ISNA(VLOOKUP($B35,'E-1 Off-Site Hedge Baseline'!$B$1:$L$257,10,FALSE)),"",(VLOOKUP($B35,'E-1 Off-Site Hedge Baseline'!$B$1:$L$257,10,FALSE))))</f>
        <v/>
      </c>
      <c r="J35" s="295" t="str">
        <f>IF(B35="","",IF(ISNA(VLOOKUP($B35,'E-1 Off-Site Hedge Baseline'!$B$1:$L$257,11,FALSE)),"",(VLOOKUP($B35,'E-1 Off-Site Hedge Baseline'!$B$1:$L$257,11,FALSE))))</f>
        <v/>
      </c>
      <c r="K35" s="295" t="str">
        <f>IF(B35="","",IF(ISNA(VLOOKUP($B35,'E-1 Off-Site Hedge Baseline'!$B$1:$X$257,16,FALSE)),"",(VLOOKUP($B35,'E-1 Off-Site Hedge Baseline'!$B$1:$X$257,16,FALSE))))</f>
        <v/>
      </c>
      <c r="L35" s="283" t="str">
        <f>IF(B35="","",IF(ISNA(VLOOKUP($B35,'E-1 Off-Site Hedge Baseline'!$B$1:$X$257,12,FALSE)),"",(VLOOKUP($B35,'E-1 Off-Site Hedge Baseline'!$B$1:$X$257,12,FALSE))))</f>
        <v/>
      </c>
      <c r="M35" s="244"/>
      <c r="N35" s="275" t="str">
        <f>IFERROR(IF(B35="","",INDEX('G-6 Hedgerow Data'!$AN$3:$AZ$15,MATCH(C35,'G-6 Hedgerow Data'!$AM$3:$AM$15,0),MATCH(M35,'G-6 Hedgerow Data'!$AN$2:$AZ$2,0))),"")</f>
        <v/>
      </c>
      <c r="O35" s="276" t="str">
        <f t="shared" si="1"/>
        <v/>
      </c>
      <c r="P35" s="281" t="str">
        <f>IF(B35="","",VLOOKUP(B35,'E-1 Off-Site Hedge Baseline'!$B$10:W280,19,FALSE))</f>
        <v/>
      </c>
      <c r="Q35" s="275" t="str">
        <f>IF(M35="","",VLOOKUP(M35,'G-6 Hedgerow Data'!$B$2:$AG$15,2,FALSE))</f>
        <v/>
      </c>
      <c r="R35" s="276" t="str">
        <f>IF(M35="","",VLOOKUP(M35,'G-6 Hedgerow Data'!$B$2:$AG$15,3,FALSE))</f>
        <v/>
      </c>
      <c r="S35" s="53"/>
      <c r="T35" s="276" t="str">
        <f>IFERROR(IF(S35="","",IF(AND(M35="Non-native and ornamental hedgerow",S35&lt;&gt;"Poor"),"Not possible ▲",(IF(AND(Q35="V.Low",OR(S35="Good",S35="Moderate")),"Error ▲",VLOOKUP(S35,'G-1 All Habitats'!$Z$2:$AA$9,2,FALSE))))),"")</f>
        <v/>
      </c>
      <c r="U35" s="102"/>
      <c r="V35" s="283" t="str">
        <f>IF(U35="","",IF(VLOOKUP(U35,'G-3 Multipliers'!$L$3:$N$6,2,FALSE)=0,"Spatial Data Missing ⚠",VLOOKUP(U35,'G-3 Multipliers'!$L$3:$N$6,2,FALSE)))</f>
        <v/>
      </c>
      <c r="W35" s="281" t="str">
        <f>IF(U35="","",IF(VLOOKUP(U35,'G-3 Multipliers'!$L$3:$N$6,3,FALSE)=0,"Spatial Data Missing ⚠",VLOOKUP(U35,'G-3 Multipliers'!$L$3:$N$6,3,FALSE)))</f>
        <v/>
      </c>
      <c r="X35" s="275" t="str">
        <f>IFERROR(IF(OR(LEFT(O35,5)="Error",LEFT(N35,5)="Error",T35="Error"),"Check Data ⚠",IF(F35&lt;R35,INDEX('G-6 Hedgerow Data'!$S$3:$AE$14,MATCH(C35,'G-6 Hedgerow Data'!$B$3:$B$14,0),MATCH(M35,'G-6 Hedgerow Data'!$S$2:$AE$2,0)),INDEX('G-6 Hedgerow Data'!$K$3:$Q$14,MATCH(M35,'G-6 Hedgerow Data'!$B$3:$B$14,0),MATCH(O35,'G-6 Hedgerow Data'!$K$2:$Q$2,0)))),"")</f>
        <v/>
      </c>
      <c r="Y35" s="133"/>
      <c r="Z35" s="133"/>
      <c r="AA35" s="283" t="str">
        <f t="shared" si="2"/>
        <v/>
      </c>
      <c r="AB35" s="296" t="str">
        <f t="shared" si="3"/>
        <v/>
      </c>
      <c r="AC35" s="297" t="str">
        <f t="shared" si="0"/>
        <v/>
      </c>
      <c r="AD35" s="311" t="str">
        <f>IF(M35="","",VLOOKUP(M35,'G-6 Hedgerow Data'!$B$3:$AG$15,31,FALSE))</f>
        <v/>
      </c>
      <c r="AE35" s="295" t="str">
        <f t="shared" si="4"/>
        <v/>
      </c>
      <c r="AF35" s="283" t="str">
        <f t="shared" si="5"/>
        <v/>
      </c>
      <c r="AG35" s="299" t="str">
        <f>IFERROR(IF(O35="","",VLOOKUP(AD35,'G-3 Multipliers'!$P$3:$Q$6,2,FALSE)),"")</f>
        <v/>
      </c>
      <c r="AH35" s="713" t="str">
        <f>IF(B35="","",IF(ISNA(VLOOKUP($B35,'E-1 Off-Site Hedge Baseline'!$B$1:$Z$257,14,FALSE)),"",(VLOOKUP($B35,'E-1 Off-Site Hedge Baseline'!$B$1:$Z$257,14,FALSE))))</f>
        <v/>
      </c>
      <c r="AI35" s="276" t="str">
        <f>IF(AH35="","",IF(VLOOKUP(AH35,'G-3 Multipliers'!$S$3:$T$10,2,FALSE)=0,"Spatial Data Missing ⚠",VLOOKUP(AH35,'G-3 Multipliers'!$S$3:$T$10,2,FALSE)))</f>
        <v/>
      </c>
      <c r="AJ35" s="317" t="str">
        <f t="shared" si="6"/>
        <v/>
      </c>
      <c r="AK35" s="289" t="str">
        <f t="shared" si="7"/>
        <v/>
      </c>
      <c r="AL35" s="101"/>
      <c r="AM35" s="115"/>
      <c r="AN35" s="104"/>
      <c r="AO35" s="104"/>
      <c r="AQ35" s="30" t="str">
        <f>IFERROR(INDEX('G-6 Hedgerow Data'!$BJ$3:$BJ$15,MATCH(M35,'G-6 Hedgerow Data'!$B$3:$B$15,0)),"")</f>
        <v/>
      </c>
    </row>
    <row r="36" spans="2:43" ht="14">
      <c r="B36" s="305" t="str">
        <f>'E-1 Off-Site Hedge Baseline'!AN34</f>
        <v/>
      </c>
      <c r="C36" s="295" t="str">
        <f>IF(B36="","",IF(ISNA(VLOOKUP($B36,'E-1 Off-Site Hedge Baseline'!$B$1:$L$257,3,FALSE)),"",(VLOOKUP($B36,'E-1 Off-Site Hedge Baseline'!$B$1:$L$257,3,FALSE))))</f>
        <v/>
      </c>
      <c r="D36" s="295" t="str">
        <f>IF(B36="","",IF(ISNA(VLOOKUP($B36,'E-1 Off-Site Hedge Baseline'!$B$1:$L$258,4,FALSE)),"",(VLOOKUP($B36,'E-1 Off-Site Hedge Baseline'!$B$1:$L$258,4,FALSE))))</f>
        <v/>
      </c>
      <c r="E36" s="295" t="str">
        <f>IF(B36="","",IF(ISNA(VLOOKUP($B36,'E-1 Off-Site Hedge Baseline'!$B$1:$L$257,5,FALSE)),"",(VLOOKUP($B36,'E-1 Off-Site Hedge Baseline'!$B$1:$L$257,5,FALSE))))</f>
        <v/>
      </c>
      <c r="F36" s="295" t="str">
        <f>IF(B36="","",IF(ISNA(VLOOKUP($B36,'E-1 Off-Site Hedge Baseline'!$B$1:$L$257,6,FALSE)),"",(VLOOKUP($B36,'E-1 Off-Site Hedge Baseline'!$B$1:$L$257,6,FALSE))))</f>
        <v/>
      </c>
      <c r="G36" s="295" t="str">
        <f>IF(B36="","",IF(ISNA(VLOOKUP($B36,'E-1 Off-Site Hedge Baseline'!$B$1:$L$257,7,FALSE)),"",(VLOOKUP($B36,'E-1 Off-Site Hedge Baseline'!$B$1:$L$257,7,FALSE))))</f>
        <v/>
      </c>
      <c r="H36" s="295" t="str">
        <f>IF(B36="","",IF(ISNA(VLOOKUP($B36,'E-1 Off-Site Hedge Baseline'!$B$1:$L$257,8,FALSE)),"",(VLOOKUP($B36,'E-1 Off-Site Hedge Baseline'!$B$1:$L$257,8,FALSE))))</f>
        <v/>
      </c>
      <c r="I36" s="295" t="str">
        <f>IF(B36="","",IF(ISNA(VLOOKUP($B36,'E-1 Off-Site Hedge Baseline'!$B$1:$L$257,10,FALSE)),"",(VLOOKUP($B36,'E-1 Off-Site Hedge Baseline'!$B$1:$L$257,10,FALSE))))</f>
        <v/>
      </c>
      <c r="J36" s="295" t="str">
        <f>IF(B36="","",IF(ISNA(VLOOKUP($B36,'E-1 Off-Site Hedge Baseline'!$B$1:$L$257,11,FALSE)),"",(VLOOKUP($B36,'E-1 Off-Site Hedge Baseline'!$B$1:$L$257,11,FALSE))))</f>
        <v/>
      </c>
      <c r="K36" s="295" t="str">
        <f>IF(B36="","",IF(ISNA(VLOOKUP($B36,'E-1 Off-Site Hedge Baseline'!$B$1:$X$257,16,FALSE)),"",(VLOOKUP($B36,'E-1 Off-Site Hedge Baseline'!$B$1:$X$257,16,FALSE))))</f>
        <v/>
      </c>
      <c r="L36" s="283" t="str">
        <f>IF(B36="","",IF(ISNA(VLOOKUP($B36,'E-1 Off-Site Hedge Baseline'!$B$1:$X$257,12,FALSE)),"",(VLOOKUP($B36,'E-1 Off-Site Hedge Baseline'!$B$1:$X$257,12,FALSE))))</f>
        <v/>
      </c>
      <c r="M36" s="244"/>
      <c r="N36" s="275" t="str">
        <f>IFERROR(IF(B36="","",INDEX('G-6 Hedgerow Data'!$AN$3:$AZ$15,MATCH(C36,'G-6 Hedgerow Data'!$AM$3:$AM$15,0),MATCH(M36,'G-6 Hedgerow Data'!$AN$2:$AZ$2,0))),"")</f>
        <v/>
      </c>
      <c r="O36" s="276" t="str">
        <f t="shared" si="1"/>
        <v/>
      </c>
      <c r="P36" s="281" t="str">
        <f>IF(B36="","",VLOOKUP(B36,'E-1 Off-Site Hedge Baseline'!$B$10:W281,19,FALSE))</f>
        <v/>
      </c>
      <c r="Q36" s="275" t="str">
        <f>IF(M36="","",VLOOKUP(M36,'G-6 Hedgerow Data'!$B$2:$AG$15,2,FALSE))</f>
        <v/>
      </c>
      <c r="R36" s="276" t="str">
        <f>IF(M36="","",VLOOKUP(M36,'G-6 Hedgerow Data'!$B$2:$AG$15,3,FALSE))</f>
        <v/>
      </c>
      <c r="S36" s="53"/>
      <c r="T36" s="276" t="str">
        <f>IFERROR(IF(S36="","",IF(AND(M36="Non-native and ornamental hedgerow",S36&lt;&gt;"Poor"),"Not possible ▲",(IF(AND(Q36="V.Low",OR(S36="Good",S36="Moderate")),"Error ▲",VLOOKUP(S36,'G-1 All Habitats'!$Z$2:$AA$9,2,FALSE))))),"")</f>
        <v/>
      </c>
      <c r="U36" s="102"/>
      <c r="V36" s="283" t="str">
        <f>IF(U36="","",IF(VLOOKUP(U36,'G-3 Multipliers'!$L$3:$N$6,2,FALSE)=0,"Spatial Data Missing ⚠",VLOOKUP(U36,'G-3 Multipliers'!$L$3:$N$6,2,FALSE)))</f>
        <v/>
      </c>
      <c r="W36" s="281" t="str">
        <f>IF(U36="","",IF(VLOOKUP(U36,'G-3 Multipliers'!$L$3:$N$6,3,FALSE)=0,"Spatial Data Missing ⚠",VLOOKUP(U36,'G-3 Multipliers'!$L$3:$N$6,3,FALSE)))</f>
        <v/>
      </c>
      <c r="X36" s="275" t="str">
        <f>IFERROR(IF(OR(LEFT(O36,5)="Error",LEFT(N36,5)="Error",T36="Error"),"Check Data ⚠",IF(F36&lt;R36,INDEX('G-6 Hedgerow Data'!$S$3:$AE$14,MATCH(C36,'G-6 Hedgerow Data'!$B$3:$B$14,0),MATCH(M36,'G-6 Hedgerow Data'!$S$2:$AE$2,0)),INDEX('G-6 Hedgerow Data'!$K$3:$Q$14,MATCH(M36,'G-6 Hedgerow Data'!$B$3:$B$14,0),MATCH(O36,'G-6 Hedgerow Data'!$K$2:$Q$2,0)))),"")</f>
        <v/>
      </c>
      <c r="Y36" s="133"/>
      <c r="Z36" s="133"/>
      <c r="AA36" s="283" t="str">
        <f t="shared" si="2"/>
        <v/>
      </c>
      <c r="AB36" s="296" t="str">
        <f t="shared" si="3"/>
        <v/>
      </c>
      <c r="AC36" s="297" t="str">
        <f t="shared" si="0"/>
        <v/>
      </c>
      <c r="AD36" s="311" t="str">
        <f>IF(M36="","",VLOOKUP(M36,'G-6 Hedgerow Data'!$B$3:$AG$15,31,FALSE))</f>
        <v/>
      </c>
      <c r="AE36" s="295" t="str">
        <f t="shared" si="4"/>
        <v/>
      </c>
      <c r="AF36" s="283" t="str">
        <f t="shared" si="5"/>
        <v/>
      </c>
      <c r="AG36" s="299" t="str">
        <f>IFERROR(IF(O36="","",VLOOKUP(AD36,'G-3 Multipliers'!$P$3:$Q$6,2,FALSE)),"")</f>
        <v/>
      </c>
      <c r="AH36" s="713" t="str">
        <f>IF(B36="","",IF(ISNA(VLOOKUP($B36,'E-1 Off-Site Hedge Baseline'!$B$1:$Z$257,14,FALSE)),"",(VLOOKUP($B36,'E-1 Off-Site Hedge Baseline'!$B$1:$Z$257,14,FALSE))))</f>
        <v/>
      </c>
      <c r="AI36" s="276" t="str">
        <f>IF(AH36="","",IF(VLOOKUP(AH36,'G-3 Multipliers'!$S$3:$T$10,2,FALSE)=0,"Spatial Data Missing ⚠",VLOOKUP(AH36,'G-3 Multipliers'!$S$3:$T$10,2,FALSE)))</f>
        <v/>
      </c>
      <c r="AJ36" s="317" t="str">
        <f t="shared" si="6"/>
        <v/>
      </c>
      <c r="AK36" s="289" t="str">
        <f t="shared" si="7"/>
        <v/>
      </c>
      <c r="AL36" s="101"/>
      <c r="AM36" s="115"/>
      <c r="AN36" s="104"/>
      <c r="AO36" s="104"/>
      <c r="AQ36" s="30" t="str">
        <f>IFERROR(INDEX('G-6 Hedgerow Data'!$BJ$3:$BJ$15,MATCH(M36,'G-6 Hedgerow Data'!$B$3:$B$15,0)),"")</f>
        <v/>
      </c>
    </row>
    <row r="37" spans="2:43" ht="14">
      <c r="B37" s="305" t="str">
        <f>'E-1 Off-Site Hedge Baseline'!AN35</f>
        <v/>
      </c>
      <c r="C37" s="295" t="str">
        <f>IF(B37="","",IF(ISNA(VLOOKUP($B37,'E-1 Off-Site Hedge Baseline'!$B$1:$L$257,3,FALSE)),"",(VLOOKUP($B37,'E-1 Off-Site Hedge Baseline'!$B$1:$L$257,3,FALSE))))</f>
        <v/>
      </c>
      <c r="D37" s="295" t="str">
        <f>IF(B37="","",IF(ISNA(VLOOKUP($B37,'E-1 Off-Site Hedge Baseline'!$B$1:$L$258,4,FALSE)),"",(VLOOKUP($B37,'E-1 Off-Site Hedge Baseline'!$B$1:$L$258,4,FALSE))))</f>
        <v/>
      </c>
      <c r="E37" s="295" t="str">
        <f>IF(B37="","",IF(ISNA(VLOOKUP($B37,'E-1 Off-Site Hedge Baseline'!$B$1:$L$257,5,FALSE)),"",(VLOOKUP($B37,'E-1 Off-Site Hedge Baseline'!$B$1:$L$257,5,FALSE))))</f>
        <v/>
      </c>
      <c r="F37" s="295" t="str">
        <f>IF(B37="","",IF(ISNA(VLOOKUP($B37,'E-1 Off-Site Hedge Baseline'!$B$1:$L$257,6,FALSE)),"",(VLOOKUP($B37,'E-1 Off-Site Hedge Baseline'!$B$1:$L$257,6,FALSE))))</f>
        <v/>
      </c>
      <c r="G37" s="295" t="str">
        <f>IF(B37="","",IF(ISNA(VLOOKUP($B37,'E-1 Off-Site Hedge Baseline'!$B$1:$L$257,7,FALSE)),"",(VLOOKUP($B37,'E-1 Off-Site Hedge Baseline'!$B$1:$L$257,7,FALSE))))</f>
        <v/>
      </c>
      <c r="H37" s="295" t="str">
        <f>IF(B37="","",IF(ISNA(VLOOKUP($B37,'E-1 Off-Site Hedge Baseline'!$B$1:$L$257,8,FALSE)),"",(VLOOKUP($B37,'E-1 Off-Site Hedge Baseline'!$B$1:$L$257,8,FALSE))))</f>
        <v/>
      </c>
      <c r="I37" s="295" t="str">
        <f>IF(B37="","",IF(ISNA(VLOOKUP($B37,'E-1 Off-Site Hedge Baseline'!$B$1:$L$257,10,FALSE)),"",(VLOOKUP($B37,'E-1 Off-Site Hedge Baseline'!$B$1:$L$257,10,FALSE))))</f>
        <v/>
      </c>
      <c r="J37" s="295" t="str">
        <f>IF(B37="","",IF(ISNA(VLOOKUP($B37,'E-1 Off-Site Hedge Baseline'!$B$1:$L$257,11,FALSE)),"",(VLOOKUP($B37,'E-1 Off-Site Hedge Baseline'!$B$1:$L$257,11,FALSE))))</f>
        <v/>
      </c>
      <c r="K37" s="295" t="str">
        <f>IF(B37="","",IF(ISNA(VLOOKUP($B37,'E-1 Off-Site Hedge Baseline'!$B$1:$X$257,16,FALSE)),"",(VLOOKUP($B37,'E-1 Off-Site Hedge Baseline'!$B$1:$X$257,16,FALSE))))</f>
        <v/>
      </c>
      <c r="L37" s="283" t="str">
        <f>IF(B37="","",IF(ISNA(VLOOKUP($B37,'E-1 Off-Site Hedge Baseline'!$B$1:$X$257,12,FALSE)),"",(VLOOKUP($B37,'E-1 Off-Site Hedge Baseline'!$B$1:$X$257,12,FALSE))))</f>
        <v/>
      </c>
      <c r="M37" s="244"/>
      <c r="N37" s="275" t="str">
        <f>IFERROR(IF(B37="","",INDEX('G-6 Hedgerow Data'!$AN$3:$AZ$15,MATCH(C37,'G-6 Hedgerow Data'!$AM$3:$AM$15,0),MATCH(M37,'G-6 Hedgerow Data'!$AN$2:$AZ$2,0))),"")</f>
        <v/>
      </c>
      <c r="O37" s="276" t="str">
        <f t="shared" si="1"/>
        <v/>
      </c>
      <c r="P37" s="281" t="str">
        <f>IF(B37="","",VLOOKUP(B37,'E-1 Off-Site Hedge Baseline'!$B$10:W282,19,FALSE))</f>
        <v/>
      </c>
      <c r="Q37" s="275" t="str">
        <f>IF(M37="","",VLOOKUP(M37,'G-6 Hedgerow Data'!$B$2:$AG$15,2,FALSE))</f>
        <v/>
      </c>
      <c r="R37" s="276" t="str">
        <f>IF(M37="","",VLOOKUP(M37,'G-6 Hedgerow Data'!$B$2:$AG$15,3,FALSE))</f>
        <v/>
      </c>
      <c r="S37" s="101"/>
      <c r="T37" s="276" t="str">
        <f>IFERROR(IF(S37="","",IF(AND(M37="Non-native and ornamental hedgerow",S37&lt;&gt;"Poor"),"Not possible ▲",(IF(AND(Q37="V.Low",OR(S37="Good",S37="Moderate")),"Error ▲",VLOOKUP(S37,'G-1 All Habitats'!$Z$2:$AA$9,2,FALSE))))),"")</f>
        <v/>
      </c>
      <c r="U37" s="102"/>
      <c r="V37" s="283" t="str">
        <f>IF(U37="","",IF(VLOOKUP(U37,'G-3 Multipliers'!$L$3:$N$6,2,FALSE)=0,"Spatial Data Missing ⚠",VLOOKUP(U37,'G-3 Multipliers'!$L$3:$N$6,2,FALSE)))</f>
        <v/>
      </c>
      <c r="W37" s="281" t="str">
        <f>IF(U37="","",IF(VLOOKUP(U37,'G-3 Multipliers'!$L$3:$N$6,3,FALSE)=0,"Spatial Data Missing ⚠",VLOOKUP(U37,'G-3 Multipliers'!$L$3:$N$6,3,FALSE)))</f>
        <v/>
      </c>
      <c r="X37" s="275" t="str">
        <f>IFERROR(IF(OR(LEFT(O37,5)="Error",LEFT(N37,5)="Error",T37="Error"),"Check Data ⚠",IF(F37&lt;R37,INDEX('G-6 Hedgerow Data'!$S$3:$AE$14,MATCH(C37,'G-6 Hedgerow Data'!$B$3:$B$14,0),MATCH(M37,'G-6 Hedgerow Data'!$S$2:$AE$2,0)),INDEX('G-6 Hedgerow Data'!$K$3:$Q$14,MATCH(M37,'G-6 Hedgerow Data'!$B$3:$B$14,0),MATCH(O37,'G-6 Hedgerow Data'!$K$2:$Q$2,0)))),"")</f>
        <v/>
      </c>
      <c r="Y37" s="133"/>
      <c r="Z37" s="133"/>
      <c r="AA37" s="283" t="str">
        <f t="shared" si="2"/>
        <v/>
      </c>
      <c r="AB37" s="296" t="str">
        <f t="shared" si="3"/>
        <v/>
      </c>
      <c r="AC37" s="297" t="str">
        <f t="shared" si="0"/>
        <v/>
      </c>
      <c r="AD37" s="311" t="str">
        <f>IF(M37="","",VLOOKUP(M37,'G-6 Hedgerow Data'!$B$3:$AG$15,31,FALSE))</f>
        <v/>
      </c>
      <c r="AE37" s="295" t="str">
        <f t="shared" si="4"/>
        <v/>
      </c>
      <c r="AF37" s="283" t="str">
        <f t="shared" si="5"/>
        <v/>
      </c>
      <c r="AG37" s="299" t="str">
        <f>IFERROR(IF(O37="","",VLOOKUP(AD37,'G-3 Multipliers'!$P$3:$Q$6,2,FALSE)),"")</f>
        <v/>
      </c>
      <c r="AH37" s="713" t="str">
        <f>IF(B37="","",IF(ISNA(VLOOKUP($B37,'E-1 Off-Site Hedge Baseline'!$B$1:$Z$257,14,FALSE)),"",(VLOOKUP($B37,'E-1 Off-Site Hedge Baseline'!$B$1:$Z$257,14,FALSE))))</f>
        <v/>
      </c>
      <c r="AI37" s="276" t="str">
        <f>IF(AH37="","",IF(VLOOKUP(AH37,'G-3 Multipliers'!$S$3:$T$10,2,FALSE)=0,"Spatial Data Missing ⚠",VLOOKUP(AH37,'G-3 Multipliers'!$S$3:$T$10,2,FALSE)))</f>
        <v/>
      </c>
      <c r="AJ37" s="317" t="str">
        <f t="shared" si="6"/>
        <v/>
      </c>
      <c r="AK37" s="289" t="str">
        <f t="shared" si="7"/>
        <v/>
      </c>
      <c r="AL37" s="101"/>
      <c r="AM37" s="115"/>
      <c r="AN37" s="104"/>
      <c r="AO37" s="104"/>
      <c r="AQ37" s="30" t="str">
        <f>IFERROR(INDEX('G-6 Hedgerow Data'!$BJ$3:$BJ$15,MATCH(M37,'G-6 Hedgerow Data'!$B$3:$B$15,0)),"")</f>
        <v/>
      </c>
    </row>
    <row r="38" spans="2:43" ht="14">
      <c r="B38" s="305" t="str">
        <f>'E-1 Off-Site Hedge Baseline'!AN36</f>
        <v/>
      </c>
      <c r="C38" s="295" t="str">
        <f>IF(B38="","",IF(ISNA(VLOOKUP($B38,'E-1 Off-Site Hedge Baseline'!$B$1:$L$257,3,FALSE)),"",(VLOOKUP($B38,'E-1 Off-Site Hedge Baseline'!$B$1:$L$257,3,FALSE))))</f>
        <v/>
      </c>
      <c r="D38" s="295" t="str">
        <f>IF(B38="","",IF(ISNA(VLOOKUP($B38,'E-1 Off-Site Hedge Baseline'!$B$1:$L$258,4,FALSE)),"",(VLOOKUP($B38,'E-1 Off-Site Hedge Baseline'!$B$1:$L$258,4,FALSE))))</f>
        <v/>
      </c>
      <c r="E38" s="295" t="str">
        <f>IF(B38="","",IF(ISNA(VLOOKUP($B38,'E-1 Off-Site Hedge Baseline'!$B$1:$L$257,5,FALSE)),"",(VLOOKUP($B38,'E-1 Off-Site Hedge Baseline'!$B$1:$L$257,5,FALSE))))</f>
        <v/>
      </c>
      <c r="F38" s="295" t="str">
        <f>IF(B38="","",IF(ISNA(VLOOKUP($B38,'E-1 Off-Site Hedge Baseline'!$B$1:$L$257,6,FALSE)),"",(VLOOKUP($B38,'E-1 Off-Site Hedge Baseline'!$B$1:$L$257,6,FALSE))))</f>
        <v/>
      </c>
      <c r="G38" s="295" t="str">
        <f>IF(B38="","",IF(ISNA(VLOOKUP($B38,'E-1 Off-Site Hedge Baseline'!$B$1:$L$257,7,FALSE)),"",(VLOOKUP($B38,'E-1 Off-Site Hedge Baseline'!$B$1:$L$257,7,FALSE))))</f>
        <v/>
      </c>
      <c r="H38" s="295" t="str">
        <f>IF(B38="","",IF(ISNA(VLOOKUP($B38,'E-1 Off-Site Hedge Baseline'!$B$1:$L$257,8,FALSE)),"",(VLOOKUP($B38,'E-1 Off-Site Hedge Baseline'!$B$1:$L$257,8,FALSE))))</f>
        <v/>
      </c>
      <c r="I38" s="295" t="str">
        <f>IF(B38="","",IF(ISNA(VLOOKUP($B38,'E-1 Off-Site Hedge Baseline'!$B$1:$L$257,10,FALSE)),"",(VLOOKUP($B38,'E-1 Off-Site Hedge Baseline'!$B$1:$L$257,10,FALSE))))</f>
        <v/>
      </c>
      <c r="J38" s="295" t="str">
        <f>IF(B38="","",IF(ISNA(VLOOKUP($B38,'E-1 Off-Site Hedge Baseline'!$B$1:$L$257,11,FALSE)),"",(VLOOKUP($B38,'E-1 Off-Site Hedge Baseline'!$B$1:$L$257,11,FALSE))))</f>
        <v/>
      </c>
      <c r="K38" s="295" t="str">
        <f>IF(B38="","",IF(ISNA(VLOOKUP($B38,'E-1 Off-Site Hedge Baseline'!$B$1:$X$257,16,FALSE)),"",(VLOOKUP($B38,'E-1 Off-Site Hedge Baseline'!$B$1:$X$257,16,FALSE))))</f>
        <v/>
      </c>
      <c r="L38" s="283" t="str">
        <f>IF(B38="","",IF(ISNA(VLOOKUP($B38,'E-1 Off-Site Hedge Baseline'!$B$1:$X$257,12,FALSE)),"",(VLOOKUP($B38,'E-1 Off-Site Hedge Baseline'!$B$1:$X$257,12,FALSE))))</f>
        <v/>
      </c>
      <c r="M38" s="244"/>
      <c r="N38" s="275" t="str">
        <f>IFERROR(IF(B38="","",INDEX('G-6 Hedgerow Data'!$AN$3:$AZ$15,MATCH(C38,'G-6 Hedgerow Data'!$AM$3:$AM$15,0),MATCH(M38,'G-6 Hedgerow Data'!$AN$2:$AZ$2,0))),"")</f>
        <v/>
      </c>
      <c r="O38" s="276" t="str">
        <f t="shared" si="1"/>
        <v/>
      </c>
      <c r="P38" s="281" t="str">
        <f>IF(B38="","",VLOOKUP(B38,'E-1 Off-Site Hedge Baseline'!$B$10:W283,19,FALSE))</f>
        <v/>
      </c>
      <c r="Q38" s="275" t="str">
        <f>IF(M38="","",VLOOKUP(M38,'G-6 Hedgerow Data'!$B$2:$AG$15,2,FALSE))</f>
        <v/>
      </c>
      <c r="R38" s="276" t="str">
        <f>IF(M38="","",VLOOKUP(M38,'G-6 Hedgerow Data'!$B$2:$AG$15,3,FALSE))</f>
        <v/>
      </c>
      <c r="S38" s="101"/>
      <c r="T38" s="276" t="str">
        <f>IFERROR(IF(S38="","",IF(AND(M38="Non-native and ornamental hedgerow",S38&lt;&gt;"Poor"),"Not possible ▲",(IF(AND(Q38="V.Low",OR(S38="Good",S38="Moderate")),"Error ▲",VLOOKUP(S38,'G-1 All Habitats'!$Z$2:$AA$9,2,FALSE))))),"")</f>
        <v/>
      </c>
      <c r="U38" s="102"/>
      <c r="V38" s="283" t="str">
        <f>IF(U38="","",IF(VLOOKUP(U38,'G-3 Multipliers'!$L$3:$N$6,2,FALSE)=0,"Spatial Data Missing ⚠",VLOOKUP(U38,'G-3 Multipliers'!$L$3:$N$6,2,FALSE)))</f>
        <v/>
      </c>
      <c r="W38" s="281" t="str">
        <f>IF(U38="","",IF(VLOOKUP(U38,'G-3 Multipliers'!$L$3:$N$6,3,FALSE)=0,"Spatial Data Missing ⚠",VLOOKUP(U38,'G-3 Multipliers'!$L$3:$N$6,3,FALSE)))</f>
        <v/>
      </c>
      <c r="X38" s="275" t="str">
        <f>IFERROR(IF(OR(LEFT(O38,5)="Error",LEFT(N38,5)="Error",T38="Error"),"Check Data ⚠",IF(F38&lt;R38,INDEX('G-6 Hedgerow Data'!$S$3:$AE$14,MATCH(C38,'G-6 Hedgerow Data'!$B$3:$B$14,0),MATCH(M38,'G-6 Hedgerow Data'!$S$2:$AE$2,0)),INDEX('G-6 Hedgerow Data'!$K$3:$Q$14,MATCH(M38,'G-6 Hedgerow Data'!$B$3:$B$14,0),MATCH(O38,'G-6 Hedgerow Data'!$K$2:$Q$2,0)))),"")</f>
        <v/>
      </c>
      <c r="Y38" s="133"/>
      <c r="Z38" s="133"/>
      <c r="AA38" s="283" t="str">
        <f t="shared" si="2"/>
        <v/>
      </c>
      <c r="AB38" s="296" t="str">
        <f t="shared" si="3"/>
        <v/>
      </c>
      <c r="AC38" s="297" t="str">
        <f t="shared" si="0"/>
        <v/>
      </c>
      <c r="AD38" s="311" t="str">
        <f>IF(M38="","",VLOOKUP(M38,'G-6 Hedgerow Data'!$B$3:$AG$15,31,FALSE))</f>
        <v/>
      </c>
      <c r="AE38" s="295" t="str">
        <f t="shared" si="4"/>
        <v/>
      </c>
      <c r="AF38" s="283" t="str">
        <f t="shared" si="5"/>
        <v/>
      </c>
      <c r="AG38" s="299" t="str">
        <f>IFERROR(IF(O38="","",VLOOKUP(AD38,'G-3 Multipliers'!$P$3:$Q$6,2,FALSE)),"")</f>
        <v/>
      </c>
      <c r="AH38" s="713" t="str">
        <f>IF(B38="","",IF(ISNA(VLOOKUP($B38,'E-1 Off-Site Hedge Baseline'!$B$1:$Z$257,14,FALSE)),"",(VLOOKUP($B38,'E-1 Off-Site Hedge Baseline'!$B$1:$Z$257,14,FALSE))))</f>
        <v/>
      </c>
      <c r="AI38" s="276" t="str">
        <f>IF(AH38="","",IF(VLOOKUP(AH38,'G-3 Multipliers'!$S$3:$T$10,2,FALSE)=0,"Spatial Data Missing ⚠",VLOOKUP(AH38,'G-3 Multipliers'!$S$3:$T$10,2,FALSE)))</f>
        <v/>
      </c>
      <c r="AJ38" s="317" t="str">
        <f t="shared" si="6"/>
        <v/>
      </c>
      <c r="AK38" s="289" t="str">
        <f t="shared" si="7"/>
        <v/>
      </c>
      <c r="AL38" s="101"/>
      <c r="AM38" s="115"/>
      <c r="AN38" s="104"/>
      <c r="AO38" s="104"/>
      <c r="AQ38" s="30" t="str">
        <f>IFERROR(INDEX('G-6 Hedgerow Data'!$BJ$3:$BJ$15,MATCH(M38,'G-6 Hedgerow Data'!$B$3:$B$15,0)),"")</f>
        <v/>
      </c>
    </row>
    <row r="39" spans="2:43" ht="14">
      <c r="B39" s="305" t="str">
        <f>'E-1 Off-Site Hedge Baseline'!AN37</f>
        <v/>
      </c>
      <c r="C39" s="295" t="str">
        <f>IF(B39="","",IF(ISNA(VLOOKUP($B39,'E-1 Off-Site Hedge Baseline'!$B$1:$L$257,3,FALSE)),"",(VLOOKUP($B39,'E-1 Off-Site Hedge Baseline'!$B$1:$L$257,3,FALSE))))</f>
        <v/>
      </c>
      <c r="D39" s="295" t="str">
        <f>IF(B39="","",IF(ISNA(VLOOKUP($B39,'E-1 Off-Site Hedge Baseline'!$B$1:$L$258,4,FALSE)),"",(VLOOKUP($B39,'E-1 Off-Site Hedge Baseline'!$B$1:$L$258,4,FALSE))))</f>
        <v/>
      </c>
      <c r="E39" s="295" t="str">
        <f>IF(B39="","",IF(ISNA(VLOOKUP($B39,'E-1 Off-Site Hedge Baseline'!$B$1:$L$257,5,FALSE)),"",(VLOOKUP($B39,'E-1 Off-Site Hedge Baseline'!$B$1:$L$257,5,FALSE))))</f>
        <v/>
      </c>
      <c r="F39" s="295" t="str">
        <f>IF(B39="","",IF(ISNA(VLOOKUP($B39,'E-1 Off-Site Hedge Baseline'!$B$1:$L$257,6,FALSE)),"",(VLOOKUP($B39,'E-1 Off-Site Hedge Baseline'!$B$1:$L$257,6,FALSE))))</f>
        <v/>
      </c>
      <c r="G39" s="295" t="str">
        <f>IF(B39="","",IF(ISNA(VLOOKUP($B39,'E-1 Off-Site Hedge Baseline'!$B$1:$L$257,7,FALSE)),"",(VLOOKUP($B39,'E-1 Off-Site Hedge Baseline'!$B$1:$L$257,7,FALSE))))</f>
        <v/>
      </c>
      <c r="H39" s="295" t="str">
        <f>IF(B39="","",IF(ISNA(VLOOKUP($B39,'E-1 Off-Site Hedge Baseline'!$B$1:$L$257,8,FALSE)),"",(VLOOKUP($B39,'E-1 Off-Site Hedge Baseline'!$B$1:$L$257,8,FALSE))))</f>
        <v/>
      </c>
      <c r="I39" s="295" t="str">
        <f>IF(B39="","",IF(ISNA(VLOOKUP($B39,'E-1 Off-Site Hedge Baseline'!$B$1:$L$257,10,FALSE)),"",(VLOOKUP($B39,'E-1 Off-Site Hedge Baseline'!$B$1:$L$257,10,FALSE))))</f>
        <v/>
      </c>
      <c r="J39" s="295" t="str">
        <f>IF(B39="","",IF(ISNA(VLOOKUP($B39,'E-1 Off-Site Hedge Baseline'!$B$1:$L$257,11,FALSE)),"",(VLOOKUP($B39,'E-1 Off-Site Hedge Baseline'!$B$1:$L$257,11,FALSE))))</f>
        <v/>
      </c>
      <c r="K39" s="295" t="str">
        <f>IF(B39="","",IF(ISNA(VLOOKUP($B39,'E-1 Off-Site Hedge Baseline'!$B$1:$X$257,16,FALSE)),"",(VLOOKUP($B39,'E-1 Off-Site Hedge Baseline'!$B$1:$X$257,16,FALSE))))</f>
        <v/>
      </c>
      <c r="L39" s="283" t="str">
        <f>IF(B39="","",IF(ISNA(VLOOKUP($B39,'E-1 Off-Site Hedge Baseline'!$B$1:$X$257,12,FALSE)),"",(VLOOKUP($B39,'E-1 Off-Site Hedge Baseline'!$B$1:$X$257,12,FALSE))))</f>
        <v/>
      </c>
      <c r="M39" s="244"/>
      <c r="N39" s="275" t="str">
        <f>IFERROR(IF(B39="","",INDEX('G-6 Hedgerow Data'!$AN$3:$AZ$15,MATCH(C39,'G-6 Hedgerow Data'!$AM$3:$AM$15,0),MATCH(M39,'G-6 Hedgerow Data'!$AN$2:$AZ$2,0))),"")</f>
        <v/>
      </c>
      <c r="O39" s="276" t="str">
        <f t="shared" si="1"/>
        <v/>
      </c>
      <c r="P39" s="281" t="str">
        <f>IF(B39="","",VLOOKUP(B39,'E-1 Off-Site Hedge Baseline'!$B$10:W284,19,FALSE))</f>
        <v/>
      </c>
      <c r="Q39" s="275" t="str">
        <f>IF(M39="","",VLOOKUP(M39,'G-6 Hedgerow Data'!$B$2:$AG$15,2,FALSE))</f>
        <v/>
      </c>
      <c r="R39" s="276" t="str">
        <f>IF(M39="","",VLOOKUP(M39,'G-6 Hedgerow Data'!$B$2:$AG$15,3,FALSE))</f>
        <v/>
      </c>
      <c r="S39" s="101"/>
      <c r="T39" s="276" t="str">
        <f>IFERROR(IF(S39="","",IF(AND(M39="Non-native and ornamental hedgerow",S39&lt;&gt;"Poor"),"Not possible ▲",(IF(AND(Q39="V.Low",OR(S39="Good",S39="Moderate")),"Error ▲",VLOOKUP(S39,'G-1 All Habitats'!$Z$2:$AA$9,2,FALSE))))),"")</f>
        <v/>
      </c>
      <c r="U39" s="102"/>
      <c r="V39" s="283" t="str">
        <f>IF(U39="","",IF(VLOOKUP(U39,'G-3 Multipliers'!$L$3:$N$6,2,FALSE)=0,"Spatial Data Missing ⚠",VLOOKUP(U39,'G-3 Multipliers'!$L$3:$N$6,2,FALSE)))</f>
        <v/>
      </c>
      <c r="W39" s="281" t="str">
        <f>IF(U39="","",IF(VLOOKUP(U39,'G-3 Multipliers'!$L$3:$N$6,3,FALSE)=0,"Spatial Data Missing ⚠",VLOOKUP(U39,'G-3 Multipliers'!$L$3:$N$6,3,FALSE)))</f>
        <v/>
      </c>
      <c r="X39" s="275" t="str">
        <f>IFERROR(IF(OR(LEFT(O39,5)="Error",LEFT(N39,5)="Error",T39="Error"),"Check Data ⚠",IF(F39&lt;R39,INDEX('G-6 Hedgerow Data'!$S$3:$AE$14,MATCH(C39,'G-6 Hedgerow Data'!$B$3:$B$14,0),MATCH(M39,'G-6 Hedgerow Data'!$S$2:$AE$2,0)),INDEX('G-6 Hedgerow Data'!$K$3:$Q$14,MATCH(M39,'G-6 Hedgerow Data'!$B$3:$B$14,0),MATCH(O39,'G-6 Hedgerow Data'!$K$2:$Q$2,0)))),"")</f>
        <v/>
      </c>
      <c r="Y39" s="133"/>
      <c r="Z39" s="133"/>
      <c r="AA39" s="283" t="str">
        <f t="shared" si="2"/>
        <v/>
      </c>
      <c r="AB39" s="296" t="str">
        <f t="shared" si="3"/>
        <v/>
      </c>
      <c r="AC39" s="297" t="str">
        <f t="shared" si="0"/>
        <v/>
      </c>
      <c r="AD39" s="311" t="str">
        <f>IF(M39="","",VLOOKUP(M39,'G-6 Hedgerow Data'!$B$3:$AG$15,31,FALSE))</f>
        <v/>
      </c>
      <c r="AE39" s="295" t="str">
        <f t="shared" si="4"/>
        <v/>
      </c>
      <c r="AF39" s="283" t="str">
        <f t="shared" si="5"/>
        <v/>
      </c>
      <c r="AG39" s="299" t="str">
        <f>IFERROR(IF(O39="","",VLOOKUP(AD39,'G-3 Multipliers'!$P$3:$Q$6,2,FALSE)),"")</f>
        <v/>
      </c>
      <c r="AH39" s="713" t="str">
        <f>IF(B39="","",IF(ISNA(VLOOKUP($B39,'E-1 Off-Site Hedge Baseline'!$B$1:$Z$257,14,FALSE)),"",(VLOOKUP($B39,'E-1 Off-Site Hedge Baseline'!$B$1:$Z$257,14,FALSE))))</f>
        <v/>
      </c>
      <c r="AI39" s="276" t="str">
        <f>IF(AH39="","",IF(VLOOKUP(AH39,'G-3 Multipliers'!$S$3:$T$10,2,FALSE)=0,"Spatial Data Missing ⚠",VLOOKUP(AH39,'G-3 Multipliers'!$S$3:$T$10,2,FALSE)))</f>
        <v/>
      </c>
      <c r="AJ39" s="317" t="str">
        <f t="shared" si="6"/>
        <v/>
      </c>
      <c r="AK39" s="289" t="str">
        <f t="shared" si="7"/>
        <v/>
      </c>
      <c r="AL39" s="101"/>
      <c r="AM39" s="115"/>
      <c r="AN39" s="104"/>
      <c r="AO39" s="104"/>
      <c r="AQ39" s="30" t="str">
        <f>IFERROR(INDEX('G-6 Hedgerow Data'!$BJ$3:$BJ$15,MATCH(M39,'G-6 Hedgerow Data'!$B$3:$B$15,0)),"")</f>
        <v/>
      </c>
    </row>
    <row r="40" spans="2:43" ht="14">
      <c r="B40" s="305" t="str">
        <f>'E-1 Off-Site Hedge Baseline'!AN38</f>
        <v/>
      </c>
      <c r="C40" s="295" t="str">
        <f>IF(B40="","",IF(ISNA(VLOOKUP($B40,'E-1 Off-Site Hedge Baseline'!$B$1:$L$257,3,FALSE)),"",(VLOOKUP($B40,'E-1 Off-Site Hedge Baseline'!$B$1:$L$257,3,FALSE))))</f>
        <v/>
      </c>
      <c r="D40" s="295" t="str">
        <f>IF(B40="","",IF(ISNA(VLOOKUP($B40,'E-1 Off-Site Hedge Baseline'!$B$1:$L$258,4,FALSE)),"",(VLOOKUP($B40,'E-1 Off-Site Hedge Baseline'!$B$1:$L$258,4,FALSE))))</f>
        <v/>
      </c>
      <c r="E40" s="295" t="str">
        <f>IF(B40="","",IF(ISNA(VLOOKUP($B40,'E-1 Off-Site Hedge Baseline'!$B$1:$L$257,5,FALSE)),"",(VLOOKUP($B40,'E-1 Off-Site Hedge Baseline'!$B$1:$L$257,5,FALSE))))</f>
        <v/>
      </c>
      <c r="F40" s="295" t="str">
        <f>IF(B40="","",IF(ISNA(VLOOKUP($B40,'E-1 Off-Site Hedge Baseline'!$B$1:$L$257,6,FALSE)),"",(VLOOKUP($B40,'E-1 Off-Site Hedge Baseline'!$B$1:$L$257,6,FALSE))))</f>
        <v/>
      </c>
      <c r="G40" s="295" t="str">
        <f>IF(B40="","",IF(ISNA(VLOOKUP($B40,'E-1 Off-Site Hedge Baseline'!$B$1:$L$257,7,FALSE)),"",(VLOOKUP($B40,'E-1 Off-Site Hedge Baseline'!$B$1:$L$257,7,FALSE))))</f>
        <v/>
      </c>
      <c r="H40" s="295" t="str">
        <f>IF(B40="","",IF(ISNA(VLOOKUP($B40,'E-1 Off-Site Hedge Baseline'!$B$1:$L$257,8,FALSE)),"",(VLOOKUP($B40,'E-1 Off-Site Hedge Baseline'!$B$1:$L$257,8,FALSE))))</f>
        <v/>
      </c>
      <c r="I40" s="295" t="str">
        <f>IF(B40="","",IF(ISNA(VLOOKUP($B40,'E-1 Off-Site Hedge Baseline'!$B$1:$L$257,10,FALSE)),"",(VLOOKUP($B40,'E-1 Off-Site Hedge Baseline'!$B$1:$L$257,10,FALSE))))</f>
        <v/>
      </c>
      <c r="J40" s="295" t="str">
        <f>IF(B40="","",IF(ISNA(VLOOKUP($B40,'E-1 Off-Site Hedge Baseline'!$B$1:$L$257,11,FALSE)),"",(VLOOKUP($B40,'E-1 Off-Site Hedge Baseline'!$B$1:$L$257,11,FALSE))))</f>
        <v/>
      </c>
      <c r="K40" s="295" t="str">
        <f>IF(B40="","",IF(ISNA(VLOOKUP($B40,'E-1 Off-Site Hedge Baseline'!$B$1:$X$257,16,FALSE)),"",(VLOOKUP($B40,'E-1 Off-Site Hedge Baseline'!$B$1:$X$257,16,FALSE))))</f>
        <v/>
      </c>
      <c r="L40" s="283" t="str">
        <f>IF(B40="","",IF(ISNA(VLOOKUP($B40,'E-1 Off-Site Hedge Baseline'!$B$1:$X$257,12,FALSE)),"",(VLOOKUP($B40,'E-1 Off-Site Hedge Baseline'!$B$1:$X$257,12,FALSE))))</f>
        <v/>
      </c>
      <c r="M40" s="244"/>
      <c r="N40" s="275" t="str">
        <f>IFERROR(IF(B40="","",INDEX('G-6 Hedgerow Data'!$AN$3:$AZ$15,MATCH(C40,'G-6 Hedgerow Data'!$AM$3:$AM$15,0),MATCH(M40,'G-6 Hedgerow Data'!$AN$2:$AZ$2,0))),"")</f>
        <v/>
      </c>
      <c r="O40" s="276" t="str">
        <f t="shared" si="1"/>
        <v/>
      </c>
      <c r="P40" s="281" t="str">
        <f>IF(B40="","",VLOOKUP(B40,'E-1 Off-Site Hedge Baseline'!$B$10:W285,19,FALSE))</f>
        <v/>
      </c>
      <c r="Q40" s="275" t="str">
        <f>IF(M40="","",VLOOKUP(M40,'G-6 Hedgerow Data'!$B$2:$AG$15,2,FALSE))</f>
        <v/>
      </c>
      <c r="R40" s="276" t="str">
        <f>IF(M40="","",VLOOKUP(M40,'G-6 Hedgerow Data'!$B$2:$AG$15,3,FALSE))</f>
        <v/>
      </c>
      <c r="S40" s="101"/>
      <c r="T40" s="276" t="str">
        <f>IFERROR(IF(S40="","",IF(AND(M40="Non-native and ornamental hedgerow",S40&lt;&gt;"Poor"),"Not possible ▲",(IF(AND(Q40="V.Low",OR(S40="Good",S40="Moderate")),"Error ▲",VLOOKUP(S40,'G-1 All Habitats'!$Z$2:$AA$9,2,FALSE))))),"")</f>
        <v/>
      </c>
      <c r="U40" s="102"/>
      <c r="V40" s="283" t="str">
        <f>IF(U40="","",IF(VLOOKUP(U40,'G-3 Multipliers'!$L$3:$N$6,2,FALSE)=0,"Spatial Data Missing ⚠",VLOOKUP(U40,'G-3 Multipliers'!$L$3:$N$6,2,FALSE)))</f>
        <v/>
      </c>
      <c r="W40" s="281" t="str">
        <f>IF(U40="","",IF(VLOOKUP(U40,'G-3 Multipliers'!$L$3:$N$6,3,FALSE)=0,"Spatial Data Missing ⚠",VLOOKUP(U40,'G-3 Multipliers'!$L$3:$N$6,3,FALSE)))</f>
        <v/>
      </c>
      <c r="X40" s="275" t="str">
        <f>IFERROR(IF(OR(LEFT(O40,5)="Error",LEFT(N40,5)="Error",T40="Error"),"Check Data ⚠",IF(F40&lt;R40,INDEX('G-6 Hedgerow Data'!$S$3:$AE$14,MATCH(C40,'G-6 Hedgerow Data'!$B$3:$B$14,0),MATCH(M40,'G-6 Hedgerow Data'!$S$2:$AE$2,0)),INDEX('G-6 Hedgerow Data'!$K$3:$Q$14,MATCH(M40,'G-6 Hedgerow Data'!$B$3:$B$14,0),MATCH(O40,'G-6 Hedgerow Data'!$K$2:$Q$2,0)))),"")</f>
        <v/>
      </c>
      <c r="Y40" s="133"/>
      <c r="Z40" s="133"/>
      <c r="AA40" s="283" t="str">
        <f t="shared" si="2"/>
        <v/>
      </c>
      <c r="AB40" s="296" t="str">
        <f t="shared" si="3"/>
        <v/>
      </c>
      <c r="AC40" s="297" t="str">
        <f t="shared" si="0"/>
        <v/>
      </c>
      <c r="AD40" s="311" t="str">
        <f>IF(M40="","",VLOOKUP(M40,'G-6 Hedgerow Data'!$B$3:$AG$15,31,FALSE))</f>
        <v/>
      </c>
      <c r="AE40" s="295" t="str">
        <f t="shared" si="4"/>
        <v/>
      </c>
      <c r="AF40" s="283" t="str">
        <f t="shared" si="5"/>
        <v/>
      </c>
      <c r="AG40" s="299" t="str">
        <f>IFERROR(IF(O40="","",VLOOKUP(AD40,'G-3 Multipliers'!$P$3:$Q$6,2,FALSE)),"")</f>
        <v/>
      </c>
      <c r="AH40" s="713" t="str">
        <f>IF(B40="","",IF(ISNA(VLOOKUP($B40,'E-1 Off-Site Hedge Baseline'!$B$1:$Z$257,14,FALSE)),"",(VLOOKUP($B40,'E-1 Off-Site Hedge Baseline'!$B$1:$Z$257,14,FALSE))))</f>
        <v/>
      </c>
      <c r="AI40" s="276" t="str">
        <f>IF(AH40="","",IF(VLOOKUP(AH40,'G-3 Multipliers'!$S$3:$T$10,2,FALSE)=0,"Spatial Data Missing ⚠",VLOOKUP(AH40,'G-3 Multipliers'!$S$3:$T$10,2,FALSE)))</f>
        <v/>
      </c>
      <c r="AJ40" s="317" t="str">
        <f t="shared" si="6"/>
        <v/>
      </c>
      <c r="AK40" s="289" t="str">
        <f t="shared" si="7"/>
        <v/>
      </c>
      <c r="AL40" s="101"/>
      <c r="AM40" s="115"/>
      <c r="AN40" s="104"/>
      <c r="AO40" s="104"/>
      <c r="AQ40" s="30" t="str">
        <f>IFERROR(INDEX('G-6 Hedgerow Data'!$BJ$3:$BJ$15,MATCH(M40,'G-6 Hedgerow Data'!$B$3:$B$15,0)),"")</f>
        <v/>
      </c>
    </row>
    <row r="41" spans="2:43" ht="14">
      <c r="B41" s="305" t="str">
        <f>'E-1 Off-Site Hedge Baseline'!AN39</f>
        <v/>
      </c>
      <c r="C41" s="295" t="str">
        <f>IF(B41="","",IF(ISNA(VLOOKUP($B41,'E-1 Off-Site Hedge Baseline'!$B$1:$L$257,3,FALSE)),"",(VLOOKUP($B41,'E-1 Off-Site Hedge Baseline'!$B$1:$L$257,3,FALSE))))</f>
        <v/>
      </c>
      <c r="D41" s="295" t="str">
        <f>IF(B41="","",IF(ISNA(VLOOKUP($B41,'E-1 Off-Site Hedge Baseline'!$B$1:$L$258,4,FALSE)),"",(VLOOKUP($B41,'E-1 Off-Site Hedge Baseline'!$B$1:$L$258,4,FALSE))))</f>
        <v/>
      </c>
      <c r="E41" s="295" t="str">
        <f>IF(B41="","",IF(ISNA(VLOOKUP($B41,'E-1 Off-Site Hedge Baseline'!$B$1:$L$257,5,FALSE)),"",(VLOOKUP($B41,'E-1 Off-Site Hedge Baseline'!$B$1:$L$257,5,FALSE))))</f>
        <v/>
      </c>
      <c r="F41" s="295" t="str">
        <f>IF(B41="","",IF(ISNA(VLOOKUP($B41,'E-1 Off-Site Hedge Baseline'!$B$1:$L$257,6,FALSE)),"",(VLOOKUP($B41,'E-1 Off-Site Hedge Baseline'!$B$1:$L$257,6,FALSE))))</f>
        <v/>
      </c>
      <c r="G41" s="295" t="str">
        <f>IF(B41="","",IF(ISNA(VLOOKUP($B41,'E-1 Off-Site Hedge Baseline'!$B$1:$L$257,7,FALSE)),"",(VLOOKUP($B41,'E-1 Off-Site Hedge Baseline'!$B$1:$L$257,7,FALSE))))</f>
        <v/>
      </c>
      <c r="H41" s="295" t="str">
        <f>IF(B41="","",IF(ISNA(VLOOKUP($B41,'E-1 Off-Site Hedge Baseline'!$B$1:$L$257,8,FALSE)),"",(VLOOKUP($B41,'E-1 Off-Site Hedge Baseline'!$B$1:$L$257,8,FALSE))))</f>
        <v/>
      </c>
      <c r="I41" s="295" t="str">
        <f>IF(B41="","",IF(ISNA(VLOOKUP($B41,'E-1 Off-Site Hedge Baseline'!$B$1:$L$257,10,FALSE)),"",(VLOOKUP($B41,'E-1 Off-Site Hedge Baseline'!$B$1:$L$257,10,FALSE))))</f>
        <v/>
      </c>
      <c r="J41" s="295" t="str">
        <f>IF(B41="","",IF(ISNA(VLOOKUP($B41,'E-1 Off-Site Hedge Baseline'!$B$1:$L$257,11,FALSE)),"",(VLOOKUP($B41,'E-1 Off-Site Hedge Baseline'!$B$1:$L$257,11,FALSE))))</f>
        <v/>
      </c>
      <c r="K41" s="295" t="str">
        <f>IF(B41="","",IF(ISNA(VLOOKUP($B41,'E-1 Off-Site Hedge Baseline'!$B$1:$X$257,16,FALSE)),"",(VLOOKUP($B41,'E-1 Off-Site Hedge Baseline'!$B$1:$X$257,16,FALSE))))</f>
        <v/>
      </c>
      <c r="L41" s="283" t="str">
        <f>IF(B41="","",IF(ISNA(VLOOKUP($B41,'E-1 Off-Site Hedge Baseline'!$B$1:$X$257,12,FALSE)),"",(VLOOKUP($B41,'E-1 Off-Site Hedge Baseline'!$B$1:$X$257,12,FALSE))))</f>
        <v/>
      </c>
      <c r="M41" s="244"/>
      <c r="N41" s="275" t="str">
        <f>IFERROR(IF(B41="","",INDEX('G-6 Hedgerow Data'!$AN$3:$AZ$15,MATCH(C41,'G-6 Hedgerow Data'!$AM$3:$AM$15,0),MATCH(M41,'G-6 Hedgerow Data'!$AN$2:$AZ$2,0))),"")</f>
        <v/>
      </c>
      <c r="O41" s="276" t="str">
        <f t="shared" si="1"/>
        <v/>
      </c>
      <c r="P41" s="281" t="str">
        <f>IF(B41="","",VLOOKUP(B41,'E-1 Off-Site Hedge Baseline'!$B$10:W286,19,FALSE))</f>
        <v/>
      </c>
      <c r="Q41" s="275" t="str">
        <f>IF(M41="","",VLOOKUP(M41,'G-6 Hedgerow Data'!$B$2:$AG$15,2,FALSE))</f>
        <v/>
      </c>
      <c r="R41" s="276" t="str">
        <f>IF(M41="","",VLOOKUP(M41,'G-6 Hedgerow Data'!$B$2:$AG$15,3,FALSE))</f>
        <v/>
      </c>
      <c r="S41" s="101"/>
      <c r="T41" s="276" t="str">
        <f>IFERROR(IF(S41="","",IF(AND(M41="Non-native and ornamental hedgerow",S41&lt;&gt;"Poor"),"Not possible ▲",(IF(AND(Q41="V.Low",OR(S41="Good",S41="Moderate")),"Error ▲",VLOOKUP(S41,'G-1 All Habitats'!$Z$2:$AA$9,2,FALSE))))),"")</f>
        <v/>
      </c>
      <c r="U41" s="102"/>
      <c r="V41" s="283" t="str">
        <f>IF(U41="","",IF(VLOOKUP(U41,'G-3 Multipliers'!$L$3:$N$6,2,FALSE)=0,"Spatial Data Missing ⚠",VLOOKUP(U41,'G-3 Multipliers'!$L$3:$N$6,2,FALSE)))</f>
        <v/>
      </c>
      <c r="W41" s="281" t="str">
        <f>IF(U41="","",IF(VLOOKUP(U41,'G-3 Multipliers'!$L$3:$N$6,3,FALSE)=0,"Spatial Data Missing ⚠",VLOOKUP(U41,'G-3 Multipliers'!$L$3:$N$6,3,FALSE)))</f>
        <v/>
      </c>
      <c r="X41" s="275" t="str">
        <f>IFERROR(IF(OR(LEFT(O41,5)="Error",LEFT(N41,5)="Error",T41="Error"),"Check Data ⚠",IF(F41&lt;R41,INDEX('G-6 Hedgerow Data'!$S$3:$AE$14,MATCH(C41,'G-6 Hedgerow Data'!$B$3:$B$14,0),MATCH(M41,'G-6 Hedgerow Data'!$S$2:$AE$2,0)),INDEX('G-6 Hedgerow Data'!$K$3:$Q$14,MATCH(M41,'G-6 Hedgerow Data'!$B$3:$B$14,0),MATCH(O41,'G-6 Hedgerow Data'!$K$2:$Q$2,0)))),"")</f>
        <v/>
      </c>
      <c r="Y41" s="133"/>
      <c r="Z41" s="133"/>
      <c r="AA41" s="283" t="str">
        <f t="shared" si="2"/>
        <v/>
      </c>
      <c r="AB41" s="296" t="str">
        <f t="shared" si="3"/>
        <v/>
      </c>
      <c r="AC41" s="297" t="str">
        <f t="shared" si="0"/>
        <v/>
      </c>
      <c r="AD41" s="311" t="str">
        <f>IF(M41="","",VLOOKUP(M41,'G-6 Hedgerow Data'!$B$3:$AG$15,31,FALSE))</f>
        <v/>
      </c>
      <c r="AE41" s="295" t="str">
        <f t="shared" si="4"/>
        <v/>
      </c>
      <c r="AF41" s="283" t="str">
        <f t="shared" si="5"/>
        <v/>
      </c>
      <c r="AG41" s="299" t="str">
        <f>IFERROR(IF(O41="","",VLOOKUP(AD41,'G-3 Multipliers'!$P$3:$Q$6,2,FALSE)),"")</f>
        <v/>
      </c>
      <c r="AH41" s="713" t="str">
        <f>IF(B41="","",IF(ISNA(VLOOKUP($B41,'E-1 Off-Site Hedge Baseline'!$B$1:$Z$257,14,FALSE)),"",(VLOOKUP($B41,'E-1 Off-Site Hedge Baseline'!$B$1:$Z$257,14,FALSE))))</f>
        <v/>
      </c>
      <c r="AI41" s="276" t="str">
        <f>IF(AH41="","",IF(VLOOKUP(AH41,'G-3 Multipliers'!$S$3:$T$10,2,FALSE)=0,"Spatial Data Missing ⚠",VLOOKUP(AH41,'G-3 Multipliers'!$S$3:$T$10,2,FALSE)))</f>
        <v/>
      </c>
      <c r="AJ41" s="317" t="str">
        <f t="shared" si="6"/>
        <v/>
      </c>
      <c r="AK41" s="289" t="str">
        <f t="shared" si="7"/>
        <v/>
      </c>
      <c r="AL41" s="101"/>
      <c r="AM41" s="115"/>
      <c r="AN41" s="104"/>
      <c r="AO41" s="104"/>
      <c r="AQ41" s="30" t="str">
        <f>IFERROR(INDEX('G-6 Hedgerow Data'!$BJ$3:$BJ$15,MATCH(M41,'G-6 Hedgerow Data'!$B$3:$B$15,0)),"")</f>
        <v/>
      </c>
    </row>
    <row r="42" spans="2:43" ht="14">
      <c r="B42" s="305" t="str">
        <f>'E-1 Off-Site Hedge Baseline'!AN40</f>
        <v/>
      </c>
      <c r="C42" s="295" t="str">
        <f>IF(B42="","",IF(ISNA(VLOOKUP($B42,'E-1 Off-Site Hedge Baseline'!$B$1:$L$257,3,FALSE)),"",(VLOOKUP($B42,'E-1 Off-Site Hedge Baseline'!$B$1:$L$257,3,FALSE))))</f>
        <v/>
      </c>
      <c r="D42" s="295" t="str">
        <f>IF(B42="","",IF(ISNA(VLOOKUP($B42,'E-1 Off-Site Hedge Baseline'!$B$1:$L$258,4,FALSE)),"",(VLOOKUP($B42,'E-1 Off-Site Hedge Baseline'!$B$1:$L$258,4,FALSE))))</f>
        <v/>
      </c>
      <c r="E42" s="295" t="str">
        <f>IF(B42="","",IF(ISNA(VLOOKUP($B42,'E-1 Off-Site Hedge Baseline'!$B$1:$L$257,5,FALSE)),"",(VLOOKUP($B42,'E-1 Off-Site Hedge Baseline'!$B$1:$L$257,5,FALSE))))</f>
        <v/>
      </c>
      <c r="F42" s="295" t="str">
        <f>IF(B42="","",IF(ISNA(VLOOKUP($B42,'E-1 Off-Site Hedge Baseline'!$B$1:$L$257,6,FALSE)),"",(VLOOKUP($B42,'E-1 Off-Site Hedge Baseline'!$B$1:$L$257,6,FALSE))))</f>
        <v/>
      </c>
      <c r="G42" s="295" t="str">
        <f>IF(B42="","",IF(ISNA(VLOOKUP($B42,'E-1 Off-Site Hedge Baseline'!$B$1:$L$257,7,FALSE)),"",(VLOOKUP($B42,'E-1 Off-Site Hedge Baseline'!$B$1:$L$257,7,FALSE))))</f>
        <v/>
      </c>
      <c r="H42" s="295" t="str">
        <f>IF(B42="","",IF(ISNA(VLOOKUP($B42,'E-1 Off-Site Hedge Baseline'!$B$1:$L$257,8,FALSE)),"",(VLOOKUP($B42,'E-1 Off-Site Hedge Baseline'!$B$1:$L$257,8,FALSE))))</f>
        <v/>
      </c>
      <c r="I42" s="295" t="str">
        <f>IF(B42="","",IF(ISNA(VLOOKUP($B42,'E-1 Off-Site Hedge Baseline'!$B$1:$L$257,10,FALSE)),"",(VLOOKUP($B42,'E-1 Off-Site Hedge Baseline'!$B$1:$L$257,10,FALSE))))</f>
        <v/>
      </c>
      <c r="J42" s="295" t="str">
        <f>IF(B42="","",IF(ISNA(VLOOKUP($B42,'E-1 Off-Site Hedge Baseline'!$B$1:$L$257,11,FALSE)),"",(VLOOKUP($B42,'E-1 Off-Site Hedge Baseline'!$B$1:$L$257,11,FALSE))))</f>
        <v/>
      </c>
      <c r="K42" s="295" t="str">
        <f>IF(B42="","",IF(ISNA(VLOOKUP($B42,'E-1 Off-Site Hedge Baseline'!$B$1:$X$257,16,FALSE)),"",(VLOOKUP($B42,'E-1 Off-Site Hedge Baseline'!$B$1:$X$257,16,FALSE))))</f>
        <v/>
      </c>
      <c r="L42" s="283" t="str">
        <f>IF(B42="","",IF(ISNA(VLOOKUP($B42,'E-1 Off-Site Hedge Baseline'!$B$1:$X$257,12,FALSE)),"",(VLOOKUP($B42,'E-1 Off-Site Hedge Baseline'!$B$1:$X$257,12,FALSE))))</f>
        <v/>
      </c>
      <c r="M42" s="244"/>
      <c r="N42" s="275" t="str">
        <f>IFERROR(IF(B42="","",INDEX('G-6 Hedgerow Data'!$AN$3:$AZ$15,MATCH(C42,'G-6 Hedgerow Data'!$AM$3:$AM$15,0),MATCH(M42,'G-6 Hedgerow Data'!$AN$2:$AZ$2,0))),"")</f>
        <v/>
      </c>
      <c r="O42" s="276" t="str">
        <f t="shared" si="1"/>
        <v/>
      </c>
      <c r="P42" s="281" t="str">
        <f>IF(B42="","",VLOOKUP(B42,'E-1 Off-Site Hedge Baseline'!$B$10:W287,19,FALSE))</f>
        <v/>
      </c>
      <c r="Q42" s="275" t="str">
        <f>IF(M42="","",VLOOKUP(M42,'G-6 Hedgerow Data'!$B$2:$AG$15,2,FALSE))</f>
        <v/>
      </c>
      <c r="R42" s="276" t="str">
        <f>IF(M42="","",VLOOKUP(M42,'G-6 Hedgerow Data'!$B$2:$AG$15,3,FALSE))</f>
        <v/>
      </c>
      <c r="S42" s="101"/>
      <c r="T42" s="276" t="str">
        <f>IFERROR(IF(S42="","",IF(AND(M42="Non-native and ornamental hedgerow",S42&lt;&gt;"Poor"),"Not possible ▲",(IF(AND(Q42="V.Low",OR(S42="Good",S42="Moderate")),"Error ▲",VLOOKUP(S42,'G-1 All Habitats'!$Z$2:$AA$9,2,FALSE))))),"")</f>
        <v/>
      </c>
      <c r="U42" s="102"/>
      <c r="V42" s="283" t="str">
        <f>IF(U42="","",IF(VLOOKUP(U42,'G-3 Multipliers'!$L$3:$N$6,2,FALSE)=0,"Spatial Data Missing ⚠",VLOOKUP(U42,'G-3 Multipliers'!$L$3:$N$6,2,FALSE)))</f>
        <v/>
      </c>
      <c r="W42" s="281" t="str">
        <f>IF(U42="","",IF(VLOOKUP(U42,'G-3 Multipliers'!$L$3:$N$6,3,FALSE)=0,"Spatial Data Missing ⚠",VLOOKUP(U42,'G-3 Multipliers'!$L$3:$N$6,3,FALSE)))</f>
        <v/>
      </c>
      <c r="X42" s="275" t="str">
        <f>IFERROR(IF(OR(LEFT(O42,5)="Error",LEFT(N42,5)="Error",T42="Error"),"Check Data ⚠",IF(F42&lt;R42,INDEX('G-6 Hedgerow Data'!$S$3:$AE$14,MATCH(C42,'G-6 Hedgerow Data'!$B$3:$B$14,0),MATCH(M42,'G-6 Hedgerow Data'!$S$2:$AE$2,0)),INDEX('G-6 Hedgerow Data'!$K$3:$Q$14,MATCH(M42,'G-6 Hedgerow Data'!$B$3:$B$14,0),MATCH(O42,'G-6 Hedgerow Data'!$K$2:$Q$2,0)))),"")</f>
        <v/>
      </c>
      <c r="Y42" s="133"/>
      <c r="Z42" s="133"/>
      <c r="AA42" s="283" t="str">
        <f t="shared" si="2"/>
        <v/>
      </c>
      <c r="AB42" s="296" t="str">
        <f t="shared" si="3"/>
        <v/>
      </c>
      <c r="AC42" s="297" t="str">
        <f t="shared" si="0"/>
        <v/>
      </c>
      <c r="AD42" s="311" t="str">
        <f>IF(M42="","",VLOOKUP(M42,'G-6 Hedgerow Data'!$B$3:$AG$15,31,FALSE))</f>
        <v/>
      </c>
      <c r="AE42" s="295" t="str">
        <f t="shared" si="4"/>
        <v/>
      </c>
      <c r="AF42" s="283" t="str">
        <f t="shared" si="5"/>
        <v/>
      </c>
      <c r="AG42" s="299" t="str">
        <f>IFERROR(IF(O42="","",VLOOKUP(AD42,'G-3 Multipliers'!$P$3:$Q$6,2,FALSE)),"")</f>
        <v/>
      </c>
      <c r="AH42" s="713" t="str">
        <f>IF(B42="","",IF(ISNA(VLOOKUP($B42,'E-1 Off-Site Hedge Baseline'!$B$1:$Z$257,14,FALSE)),"",(VLOOKUP($B42,'E-1 Off-Site Hedge Baseline'!$B$1:$Z$257,14,FALSE))))</f>
        <v/>
      </c>
      <c r="AI42" s="276" t="str">
        <f>IF(AH42="","",IF(VLOOKUP(AH42,'G-3 Multipliers'!$S$3:$T$10,2,FALSE)=0,"Spatial Data Missing ⚠",VLOOKUP(AH42,'G-3 Multipliers'!$S$3:$T$10,2,FALSE)))</f>
        <v/>
      </c>
      <c r="AJ42" s="317" t="str">
        <f t="shared" si="6"/>
        <v/>
      </c>
      <c r="AK42" s="289" t="str">
        <f t="shared" si="7"/>
        <v/>
      </c>
      <c r="AL42" s="101"/>
      <c r="AM42" s="115"/>
      <c r="AN42" s="104"/>
      <c r="AO42" s="104"/>
      <c r="AQ42" s="30" t="str">
        <f>IFERROR(INDEX('G-6 Hedgerow Data'!$BJ$3:$BJ$15,MATCH(M42,'G-6 Hedgerow Data'!$B$3:$B$15,0)),"")</f>
        <v/>
      </c>
    </row>
    <row r="43" spans="2:43" ht="14">
      <c r="B43" s="305" t="str">
        <f>'E-1 Off-Site Hedge Baseline'!AN41</f>
        <v/>
      </c>
      <c r="C43" s="295" t="str">
        <f>IF(B43="","",IF(ISNA(VLOOKUP($B43,'E-1 Off-Site Hedge Baseline'!$B$1:$L$257,3,FALSE)),"",(VLOOKUP($B43,'E-1 Off-Site Hedge Baseline'!$B$1:$L$257,3,FALSE))))</f>
        <v/>
      </c>
      <c r="D43" s="295" t="str">
        <f>IF(B43="","",IF(ISNA(VLOOKUP($B43,'E-1 Off-Site Hedge Baseline'!$B$1:$L$258,4,FALSE)),"",(VLOOKUP($B43,'E-1 Off-Site Hedge Baseline'!$B$1:$L$258,4,FALSE))))</f>
        <v/>
      </c>
      <c r="E43" s="295" t="str">
        <f>IF(B43="","",IF(ISNA(VLOOKUP($B43,'E-1 Off-Site Hedge Baseline'!$B$1:$L$257,5,FALSE)),"",(VLOOKUP($B43,'E-1 Off-Site Hedge Baseline'!$B$1:$L$257,5,FALSE))))</f>
        <v/>
      </c>
      <c r="F43" s="295" t="str">
        <f>IF(B43="","",IF(ISNA(VLOOKUP($B43,'E-1 Off-Site Hedge Baseline'!$B$1:$L$257,6,FALSE)),"",(VLOOKUP($B43,'E-1 Off-Site Hedge Baseline'!$B$1:$L$257,6,FALSE))))</f>
        <v/>
      </c>
      <c r="G43" s="295" t="str">
        <f>IF(B43="","",IF(ISNA(VLOOKUP($B43,'E-1 Off-Site Hedge Baseline'!$B$1:$L$257,7,FALSE)),"",(VLOOKUP($B43,'E-1 Off-Site Hedge Baseline'!$B$1:$L$257,7,FALSE))))</f>
        <v/>
      </c>
      <c r="H43" s="295" t="str">
        <f>IF(B43="","",IF(ISNA(VLOOKUP($B43,'E-1 Off-Site Hedge Baseline'!$B$1:$L$257,8,FALSE)),"",(VLOOKUP($B43,'E-1 Off-Site Hedge Baseline'!$B$1:$L$257,8,FALSE))))</f>
        <v/>
      </c>
      <c r="I43" s="295" t="str">
        <f>IF(B43="","",IF(ISNA(VLOOKUP($B43,'E-1 Off-Site Hedge Baseline'!$B$1:$L$257,10,FALSE)),"",(VLOOKUP($B43,'E-1 Off-Site Hedge Baseline'!$B$1:$L$257,10,FALSE))))</f>
        <v/>
      </c>
      <c r="J43" s="295" t="str">
        <f>IF(B43="","",IF(ISNA(VLOOKUP($B43,'E-1 Off-Site Hedge Baseline'!$B$1:$L$257,11,FALSE)),"",(VLOOKUP($B43,'E-1 Off-Site Hedge Baseline'!$B$1:$L$257,11,FALSE))))</f>
        <v/>
      </c>
      <c r="K43" s="295" t="str">
        <f>IF(B43="","",IF(ISNA(VLOOKUP($B43,'E-1 Off-Site Hedge Baseline'!$B$1:$X$257,16,FALSE)),"",(VLOOKUP($B43,'E-1 Off-Site Hedge Baseline'!$B$1:$X$257,16,FALSE))))</f>
        <v/>
      </c>
      <c r="L43" s="283" t="str">
        <f>IF(B43="","",IF(ISNA(VLOOKUP($B43,'E-1 Off-Site Hedge Baseline'!$B$1:$X$257,12,FALSE)),"",(VLOOKUP($B43,'E-1 Off-Site Hedge Baseline'!$B$1:$X$257,12,FALSE))))</f>
        <v/>
      </c>
      <c r="M43" s="244"/>
      <c r="N43" s="275" t="str">
        <f>IFERROR(IF(B43="","",INDEX('G-6 Hedgerow Data'!$AN$3:$AZ$15,MATCH(C43,'G-6 Hedgerow Data'!$AM$3:$AM$15,0),MATCH(M43,'G-6 Hedgerow Data'!$AN$2:$AZ$2,0))),"")</f>
        <v/>
      </c>
      <c r="O43" s="276" t="str">
        <f t="shared" si="1"/>
        <v/>
      </c>
      <c r="P43" s="281" t="str">
        <f>IF(B43="","",VLOOKUP(B43,'E-1 Off-Site Hedge Baseline'!$B$10:W288,19,FALSE))</f>
        <v/>
      </c>
      <c r="Q43" s="275" t="str">
        <f>IF(M43="","",VLOOKUP(M43,'G-6 Hedgerow Data'!$B$2:$AG$15,2,FALSE))</f>
        <v/>
      </c>
      <c r="R43" s="276" t="str">
        <f>IF(M43="","",VLOOKUP(M43,'G-6 Hedgerow Data'!$B$2:$AG$15,3,FALSE))</f>
        <v/>
      </c>
      <c r="S43" s="101"/>
      <c r="T43" s="276" t="str">
        <f>IFERROR(IF(S43="","",IF(AND(M43="Non-native and ornamental hedgerow",S43&lt;&gt;"Poor"),"Not possible ▲",(IF(AND(Q43="V.Low",OR(S43="Good",S43="Moderate")),"Error ▲",VLOOKUP(S43,'G-1 All Habitats'!$Z$2:$AA$9,2,FALSE))))),"")</f>
        <v/>
      </c>
      <c r="U43" s="102"/>
      <c r="V43" s="283" t="str">
        <f>IF(U43="","",IF(VLOOKUP(U43,'G-3 Multipliers'!$L$3:$N$6,2,FALSE)=0,"Spatial Data Missing ⚠",VLOOKUP(U43,'G-3 Multipliers'!$L$3:$N$6,2,FALSE)))</f>
        <v/>
      </c>
      <c r="W43" s="281" t="str">
        <f>IF(U43="","",IF(VLOOKUP(U43,'G-3 Multipliers'!$L$3:$N$6,3,FALSE)=0,"Spatial Data Missing ⚠",VLOOKUP(U43,'G-3 Multipliers'!$L$3:$N$6,3,FALSE)))</f>
        <v/>
      </c>
      <c r="X43" s="275" t="str">
        <f>IFERROR(IF(OR(LEFT(O43,5)="Error",LEFT(N43,5)="Error",T43="Error"),"Check Data ⚠",IF(F43&lt;R43,INDEX('G-6 Hedgerow Data'!$S$3:$AE$14,MATCH(C43,'G-6 Hedgerow Data'!$B$3:$B$14,0),MATCH(M43,'G-6 Hedgerow Data'!$S$2:$AE$2,0)),INDEX('G-6 Hedgerow Data'!$K$3:$Q$14,MATCH(M43,'G-6 Hedgerow Data'!$B$3:$B$14,0),MATCH(O43,'G-6 Hedgerow Data'!$K$2:$Q$2,0)))),"")</f>
        <v/>
      </c>
      <c r="Y43" s="133"/>
      <c r="Z43" s="133"/>
      <c r="AA43" s="283" t="str">
        <f t="shared" si="2"/>
        <v/>
      </c>
      <c r="AB43" s="296" t="str">
        <f t="shared" si="3"/>
        <v/>
      </c>
      <c r="AC43" s="297" t="str">
        <f t="shared" si="0"/>
        <v/>
      </c>
      <c r="AD43" s="311" t="str">
        <f>IF(M43="","",VLOOKUP(M43,'G-6 Hedgerow Data'!$B$3:$AG$15,31,FALSE))</f>
        <v/>
      </c>
      <c r="AE43" s="295" t="str">
        <f t="shared" si="4"/>
        <v/>
      </c>
      <c r="AF43" s="283" t="str">
        <f t="shared" si="5"/>
        <v/>
      </c>
      <c r="AG43" s="299" t="str">
        <f>IFERROR(IF(O43="","",VLOOKUP(AD43,'G-3 Multipliers'!$P$3:$Q$6,2,FALSE)),"")</f>
        <v/>
      </c>
      <c r="AH43" s="713" t="str">
        <f>IF(B43="","",IF(ISNA(VLOOKUP($B43,'E-1 Off-Site Hedge Baseline'!$B$1:$Z$257,14,FALSE)),"",(VLOOKUP($B43,'E-1 Off-Site Hedge Baseline'!$B$1:$Z$257,14,FALSE))))</f>
        <v/>
      </c>
      <c r="AI43" s="276" t="str">
        <f>IF(AH43="","",IF(VLOOKUP(AH43,'G-3 Multipliers'!$S$3:$T$10,2,FALSE)=0,"Spatial Data Missing ⚠",VLOOKUP(AH43,'G-3 Multipliers'!$S$3:$T$10,2,FALSE)))</f>
        <v/>
      </c>
      <c r="AJ43" s="317" t="str">
        <f t="shared" si="6"/>
        <v/>
      </c>
      <c r="AK43" s="289" t="str">
        <f t="shared" si="7"/>
        <v/>
      </c>
      <c r="AL43" s="101"/>
      <c r="AM43" s="115"/>
      <c r="AN43" s="104"/>
      <c r="AO43" s="104"/>
      <c r="AQ43" s="30" t="str">
        <f>IFERROR(INDEX('G-6 Hedgerow Data'!$BJ$3:$BJ$15,MATCH(M43,'G-6 Hedgerow Data'!$B$3:$B$15,0)),"")</f>
        <v/>
      </c>
    </row>
    <row r="44" spans="2:43" ht="14">
      <c r="B44" s="305" t="str">
        <f>'E-1 Off-Site Hedge Baseline'!AN42</f>
        <v/>
      </c>
      <c r="C44" s="295" t="str">
        <f>IF(B44="","",IF(ISNA(VLOOKUP($B44,'E-1 Off-Site Hedge Baseline'!$B$1:$L$257,3,FALSE)),"",(VLOOKUP($B44,'E-1 Off-Site Hedge Baseline'!$B$1:$L$257,3,FALSE))))</f>
        <v/>
      </c>
      <c r="D44" s="295" t="str">
        <f>IF(B44="","",IF(ISNA(VLOOKUP($B44,'E-1 Off-Site Hedge Baseline'!$B$1:$L$258,4,FALSE)),"",(VLOOKUP($B44,'E-1 Off-Site Hedge Baseline'!$B$1:$L$258,4,FALSE))))</f>
        <v/>
      </c>
      <c r="E44" s="295" t="str">
        <f>IF(B44="","",IF(ISNA(VLOOKUP($B44,'E-1 Off-Site Hedge Baseline'!$B$1:$L$257,5,FALSE)),"",(VLOOKUP($B44,'E-1 Off-Site Hedge Baseline'!$B$1:$L$257,5,FALSE))))</f>
        <v/>
      </c>
      <c r="F44" s="295" t="str">
        <f>IF(B44="","",IF(ISNA(VLOOKUP($B44,'E-1 Off-Site Hedge Baseline'!$B$1:$L$257,6,FALSE)),"",(VLOOKUP($B44,'E-1 Off-Site Hedge Baseline'!$B$1:$L$257,6,FALSE))))</f>
        <v/>
      </c>
      <c r="G44" s="295" t="str">
        <f>IF(B44="","",IF(ISNA(VLOOKUP($B44,'E-1 Off-Site Hedge Baseline'!$B$1:$L$257,7,FALSE)),"",(VLOOKUP($B44,'E-1 Off-Site Hedge Baseline'!$B$1:$L$257,7,FALSE))))</f>
        <v/>
      </c>
      <c r="H44" s="295" t="str">
        <f>IF(B44="","",IF(ISNA(VLOOKUP($B44,'E-1 Off-Site Hedge Baseline'!$B$1:$L$257,8,FALSE)),"",(VLOOKUP($B44,'E-1 Off-Site Hedge Baseline'!$B$1:$L$257,8,FALSE))))</f>
        <v/>
      </c>
      <c r="I44" s="295" t="str">
        <f>IF(B44="","",IF(ISNA(VLOOKUP($B44,'E-1 Off-Site Hedge Baseline'!$B$1:$L$257,10,FALSE)),"",(VLOOKUP($B44,'E-1 Off-Site Hedge Baseline'!$B$1:$L$257,10,FALSE))))</f>
        <v/>
      </c>
      <c r="J44" s="295" t="str">
        <f>IF(B44="","",IF(ISNA(VLOOKUP($B44,'E-1 Off-Site Hedge Baseline'!$B$1:$L$257,11,FALSE)),"",(VLOOKUP($B44,'E-1 Off-Site Hedge Baseline'!$B$1:$L$257,11,FALSE))))</f>
        <v/>
      </c>
      <c r="K44" s="295" t="str">
        <f>IF(B44="","",IF(ISNA(VLOOKUP($B44,'E-1 Off-Site Hedge Baseline'!$B$1:$X$257,16,FALSE)),"",(VLOOKUP($B44,'E-1 Off-Site Hedge Baseline'!$B$1:$X$257,16,FALSE))))</f>
        <v/>
      </c>
      <c r="L44" s="283" t="str">
        <f>IF(B44="","",IF(ISNA(VLOOKUP($B44,'E-1 Off-Site Hedge Baseline'!$B$1:$X$257,12,FALSE)),"",(VLOOKUP($B44,'E-1 Off-Site Hedge Baseline'!$B$1:$X$257,12,FALSE))))</f>
        <v/>
      </c>
      <c r="M44" s="244"/>
      <c r="N44" s="275" t="str">
        <f>IFERROR(IF(B44="","",INDEX('G-6 Hedgerow Data'!$AN$3:$AZ$15,MATCH(C44,'G-6 Hedgerow Data'!$AM$3:$AM$15,0),MATCH(M44,'G-6 Hedgerow Data'!$AN$2:$AZ$2,0))),"")</f>
        <v/>
      </c>
      <c r="O44" s="276" t="str">
        <f t="shared" si="1"/>
        <v/>
      </c>
      <c r="P44" s="281" t="str">
        <f>IF(B44="","",VLOOKUP(B44,'E-1 Off-Site Hedge Baseline'!$B$10:W289,19,FALSE))</f>
        <v/>
      </c>
      <c r="Q44" s="275" t="str">
        <f>IF(M44="","",VLOOKUP(M44,'G-6 Hedgerow Data'!$B$2:$AG$15,2,FALSE))</f>
        <v/>
      </c>
      <c r="R44" s="276" t="str">
        <f>IF(M44="","",VLOOKUP(M44,'G-6 Hedgerow Data'!$B$2:$AG$15,3,FALSE))</f>
        <v/>
      </c>
      <c r="S44" s="101"/>
      <c r="T44" s="276" t="str">
        <f>IFERROR(IF(S44="","",IF(AND(M44="Non-native and ornamental hedgerow",S44&lt;&gt;"Poor"),"Not possible ▲",(IF(AND(Q44="V.Low",OR(S44="Good",S44="Moderate")),"Error ▲",VLOOKUP(S44,'G-1 All Habitats'!$Z$2:$AA$9,2,FALSE))))),"")</f>
        <v/>
      </c>
      <c r="U44" s="101"/>
      <c r="V44" s="283" t="str">
        <f>IF(U44="","",IF(VLOOKUP(U44,'G-3 Multipliers'!$L$3:$N$6,2,FALSE)=0,"Spatial Data Missing ⚠",VLOOKUP(U44,'G-3 Multipliers'!$L$3:$N$6,2,FALSE)))</f>
        <v/>
      </c>
      <c r="W44" s="281" t="str">
        <f>IF(U44="","",IF(VLOOKUP(U44,'G-3 Multipliers'!$L$3:$N$6,3,FALSE)=0,"Spatial Data Missing ⚠",VLOOKUP(U44,'G-3 Multipliers'!$L$3:$N$6,3,FALSE)))</f>
        <v/>
      </c>
      <c r="X44" s="275" t="str">
        <f>IFERROR(IF(OR(LEFT(O44,5)="Error",LEFT(N44,5)="Error",T44="Error"),"Check Data ⚠",IF(F44&lt;R44,INDEX('G-6 Hedgerow Data'!$S$3:$AE$14,MATCH(C44,'G-6 Hedgerow Data'!$B$3:$B$14,0),MATCH(M44,'G-6 Hedgerow Data'!$S$2:$AE$2,0)),INDEX('G-6 Hedgerow Data'!$K$3:$Q$14,MATCH(M44,'G-6 Hedgerow Data'!$B$3:$B$14,0),MATCH(O44,'G-6 Hedgerow Data'!$K$2:$Q$2,0)))),"")</f>
        <v/>
      </c>
      <c r="Y44" s="133"/>
      <c r="Z44" s="133"/>
      <c r="AA44" s="283" t="str">
        <f t="shared" si="2"/>
        <v/>
      </c>
      <c r="AB44" s="296" t="str">
        <f t="shared" si="3"/>
        <v/>
      </c>
      <c r="AC44" s="297" t="str">
        <f t="shared" si="0"/>
        <v/>
      </c>
      <c r="AD44" s="311" t="str">
        <f>IF(M44="","",VLOOKUP(M44,'G-6 Hedgerow Data'!$B$3:$AG$15,31,FALSE))</f>
        <v/>
      </c>
      <c r="AE44" s="295" t="str">
        <f t="shared" si="4"/>
        <v/>
      </c>
      <c r="AF44" s="283" t="str">
        <f t="shared" si="5"/>
        <v/>
      </c>
      <c r="AG44" s="299" t="str">
        <f>IFERROR(IF(O44="","",VLOOKUP(AD44,'G-3 Multipliers'!$P$3:$Q$6,2,FALSE)),"")</f>
        <v/>
      </c>
      <c r="AH44" s="713" t="str">
        <f>IF(B44="","",IF(ISNA(VLOOKUP($B44,'E-1 Off-Site Hedge Baseline'!$B$1:$Z$257,14,FALSE)),"",(VLOOKUP($B44,'E-1 Off-Site Hedge Baseline'!$B$1:$Z$257,14,FALSE))))</f>
        <v/>
      </c>
      <c r="AI44" s="276" t="str">
        <f>IF(AH44="","",IF(VLOOKUP(AH44,'G-3 Multipliers'!$S$3:$T$10,2,FALSE)=0,"Spatial Data Missing ⚠",VLOOKUP(AH44,'G-3 Multipliers'!$S$3:$T$10,2,FALSE)))</f>
        <v/>
      </c>
      <c r="AJ44" s="317" t="str">
        <f t="shared" si="6"/>
        <v/>
      </c>
      <c r="AK44" s="289" t="str">
        <f t="shared" si="7"/>
        <v/>
      </c>
      <c r="AL44" s="101"/>
      <c r="AM44" s="115"/>
      <c r="AN44" s="104"/>
      <c r="AO44" s="104"/>
      <c r="AQ44" s="30" t="str">
        <f>IFERROR(INDEX('G-6 Hedgerow Data'!$BJ$3:$BJ$15,MATCH(M44,'G-6 Hedgerow Data'!$B$3:$B$15,0)),"")</f>
        <v/>
      </c>
    </row>
    <row r="45" spans="2:43" ht="14">
      <c r="B45" s="305" t="str">
        <f>'E-1 Off-Site Hedge Baseline'!AN43</f>
        <v/>
      </c>
      <c r="C45" s="295" t="str">
        <f>IF(B45="","",IF(ISNA(VLOOKUP($B45,'E-1 Off-Site Hedge Baseline'!$B$1:$L$257,3,FALSE)),"",(VLOOKUP($B45,'E-1 Off-Site Hedge Baseline'!$B$1:$L$257,3,FALSE))))</f>
        <v/>
      </c>
      <c r="D45" s="295" t="str">
        <f>IF(B45="","",IF(ISNA(VLOOKUP($B45,'E-1 Off-Site Hedge Baseline'!$B$1:$L$258,4,FALSE)),"",(VLOOKUP($B45,'E-1 Off-Site Hedge Baseline'!$B$1:$L$258,4,FALSE))))</f>
        <v/>
      </c>
      <c r="E45" s="295" t="str">
        <f>IF(B45="","",IF(ISNA(VLOOKUP($B45,'E-1 Off-Site Hedge Baseline'!$B$1:$L$257,5,FALSE)),"",(VLOOKUP($B45,'E-1 Off-Site Hedge Baseline'!$B$1:$L$257,5,FALSE))))</f>
        <v/>
      </c>
      <c r="F45" s="295" t="str">
        <f>IF(B45="","",IF(ISNA(VLOOKUP($B45,'E-1 Off-Site Hedge Baseline'!$B$1:$L$257,6,FALSE)),"",(VLOOKUP($B45,'E-1 Off-Site Hedge Baseline'!$B$1:$L$257,6,FALSE))))</f>
        <v/>
      </c>
      <c r="G45" s="295" t="str">
        <f>IF(B45="","",IF(ISNA(VLOOKUP($B45,'E-1 Off-Site Hedge Baseline'!$B$1:$L$257,7,FALSE)),"",(VLOOKUP($B45,'E-1 Off-Site Hedge Baseline'!$B$1:$L$257,7,FALSE))))</f>
        <v/>
      </c>
      <c r="H45" s="295" t="str">
        <f>IF(B45="","",IF(ISNA(VLOOKUP($B45,'E-1 Off-Site Hedge Baseline'!$B$1:$L$257,8,FALSE)),"",(VLOOKUP($B45,'E-1 Off-Site Hedge Baseline'!$B$1:$L$257,8,FALSE))))</f>
        <v/>
      </c>
      <c r="I45" s="295" t="str">
        <f>IF(B45="","",IF(ISNA(VLOOKUP($B45,'E-1 Off-Site Hedge Baseline'!$B$1:$L$257,10,FALSE)),"",(VLOOKUP($B45,'E-1 Off-Site Hedge Baseline'!$B$1:$L$257,10,FALSE))))</f>
        <v/>
      </c>
      <c r="J45" s="295" t="str">
        <f>IF(B45="","",IF(ISNA(VLOOKUP($B45,'E-1 Off-Site Hedge Baseline'!$B$1:$L$257,11,FALSE)),"",(VLOOKUP($B45,'E-1 Off-Site Hedge Baseline'!$B$1:$L$257,11,FALSE))))</f>
        <v/>
      </c>
      <c r="K45" s="295" t="str">
        <f>IF(B45="","",IF(ISNA(VLOOKUP($B45,'E-1 Off-Site Hedge Baseline'!$B$1:$X$257,16,FALSE)),"",(VLOOKUP($B45,'E-1 Off-Site Hedge Baseline'!$B$1:$X$257,16,FALSE))))</f>
        <v/>
      </c>
      <c r="L45" s="283" t="str">
        <f>IF(B45="","",IF(ISNA(VLOOKUP($B45,'E-1 Off-Site Hedge Baseline'!$B$1:$X$257,12,FALSE)),"",(VLOOKUP($B45,'E-1 Off-Site Hedge Baseline'!$B$1:$X$257,12,FALSE))))</f>
        <v/>
      </c>
      <c r="M45" s="244"/>
      <c r="N45" s="275" t="str">
        <f>IFERROR(IF(B45="","",INDEX('G-6 Hedgerow Data'!$AN$3:$AZ$15,MATCH(C45,'G-6 Hedgerow Data'!$AM$3:$AM$15,0),MATCH(M45,'G-6 Hedgerow Data'!$AN$2:$AZ$2,0))),"")</f>
        <v/>
      </c>
      <c r="O45" s="276" t="str">
        <f t="shared" si="1"/>
        <v/>
      </c>
      <c r="P45" s="281" t="str">
        <f>IF(B45="","",VLOOKUP(B45,'E-1 Off-Site Hedge Baseline'!$B$10:W290,19,FALSE))</f>
        <v/>
      </c>
      <c r="Q45" s="275" t="str">
        <f>IF(M45="","",VLOOKUP(M45,'G-6 Hedgerow Data'!$B$2:$AG$15,2,FALSE))</f>
        <v/>
      </c>
      <c r="R45" s="276" t="str">
        <f>IF(M45="","",VLOOKUP(M45,'G-6 Hedgerow Data'!$B$2:$AG$15,3,FALSE))</f>
        <v/>
      </c>
      <c r="S45" s="101"/>
      <c r="T45" s="276" t="str">
        <f>IFERROR(IF(S45="","",IF(AND(M45="Non-native and ornamental hedgerow",S45&lt;&gt;"Poor"),"Not possible ▲",(IF(AND(Q45="V.Low",OR(S45="Good",S45="Moderate")),"Error ▲",VLOOKUP(S45,'G-1 All Habitats'!$Z$2:$AA$9,2,FALSE))))),"")</f>
        <v/>
      </c>
      <c r="U45" s="101"/>
      <c r="V45" s="283" t="str">
        <f>IF(U45="","",IF(VLOOKUP(U45,'G-3 Multipliers'!$L$3:$N$6,2,FALSE)=0,"Spatial Data Missing ⚠",VLOOKUP(U45,'G-3 Multipliers'!$L$3:$N$6,2,FALSE)))</f>
        <v/>
      </c>
      <c r="W45" s="281" t="str">
        <f>IF(U45="","",IF(VLOOKUP(U45,'G-3 Multipliers'!$L$3:$N$6,3,FALSE)=0,"Spatial Data Missing ⚠",VLOOKUP(U45,'G-3 Multipliers'!$L$3:$N$6,3,FALSE)))</f>
        <v/>
      </c>
      <c r="X45" s="275" t="str">
        <f>IFERROR(IF(OR(LEFT(O45,5)="Error",LEFT(N45,5)="Error",T45="Error"),"Check Data ⚠",IF(F45&lt;R45,INDEX('G-6 Hedgerow Data'!$S$3:$AE$14,MATCH(C45,'G-6 Hedgerow Data'!$B$3:$B$14,0),MATCH(M45,'G-6 Hedgerow Data'!$S$2:$AE$2,0)),INDEX('G-6 Hedgerow Data'!$K$3:$Q$14,MATCH(M45,'G-6 Hedgerow Data'!$B$3:$B$14,0),MATCH(O45,'G-6 Hedgerow Data'!$K$2:$Q$2,0)))),"")</f>
        <v/>
      </c>
      <c r="Y45" s="133"/>
      <c r="Z45" s="133"/>
      <c r="AA45" s="283" t="str">
        <f t="shared" si="2"/>
        <v/>
      </c>
      <c r="AB45" s="296" t="str">
        <f t="shared" si="3"/>
        <v/>
      </c>
      <c r="AC45" s="297" t="str">
        <f t="shared" si="0"/>
        <v/>
      </c>
      <c r="AD45" s="311" t="str">
        <f>IF(M45="","",VLOOKUP(M45,'G-6 Hedgerow Data'!$B$3:$AG$15,31,FALSE))</f>
        <v/>
      </c>
      <c r="AE45" s="295" t="str">
        <f t="shared" si="4"/>
        <v/>
      </c>
      <c r="AF45" s="283" t="str">
        <f t="shared" si="5"/>
        <v/>
      </c>
      <c r="AG45" s="299" t="str">
        <f>IFERROR(IF(O45="","",VLOOKUP(AD45,'G-3 Multipliers'!$P$3:$Q$6,2,FALSE)),"")</f>
        <v/>
      </c>
      <c r="AH45" s="713" t="str">
        <f>IF(B45="","",IF(ISNA(VLOOKUP($B45,'E-1 Off-Site Hedge Baseline'!$B$1:$Z$257,14,FALSE)),"",(VLOOKUP($B45,'E-1 Off-Site Hedge Baseline'!$B$1:$Z$257,14,FALSE))))</f>
        <v/>
      </c>
      <c r="AI45" s="276" t="str">
        <f>IF(AH45="","",IF(VLOOKUP(AH45,'G-3 Multipliers'!$S$3:$T$10,2,FALSE)=0,"Spatial Data Missing ⚠",VLOOKUP(AH45,'G-3 Multipliers'!$S$3:$T$10,2,FALSE)))</f>
        <v/>
      </c>
      <c r="AJ45" s="317" t="str">
        <f t="shared" si="6"/>
        <v/>
      </c>
      <c r="AK45" s="289" t="str">
        <f t="shared" si="7"/>
        <v/>
      </c>
      <c r="AL45" s="101"/>
      <c r="AM45" s="115"/>
      <c r="AN45" s="104"/>
      <c r="AO45" s="104"/>
      <c r="AQ45" s="30" t="str">
        <f>IFERROR(INDEX('G-6 Hedgerow Data'!$BJ$3:$BJ$15,MATCH(M45,'G-6 Hedgerow Data'!$B$3:$B$15,0)),"")</f>
        <v/>
      </c>
    </row>
    <row r="46" spans="2:43" ht="14">
      <c r="B46" s="305" t="str">
        <f>'E-1 Off-Site Hedge Baseline'!AN44</f>
        <v/>
      </c>
      <c r="C46" s="295" t="str">
        <f>IF(B46="","",IF(ISNA(VLOOKUP($B46,'E-1 Off-Site Hedge Baseline'!$B$1:$L$257,3,FALSE)),"",(VLOOKUP($B46,'E-1 Off-Site Hedge Baseline'!$B$1:$L$257,3,FALSE))))</f>
        <v/>
      </c>
      <c r="D46" s="295" t="str">
        <f>IF(B46="","",IF(ISNA(VLOOKUP($B46,'E-1 Off-Site Hedge Baseline'!$B$1:$L$258,4,FALSE)),"",(VLOOKUP($B46,'E-1 Off-Site Hedge Baseline'!$B$1:$L$258,4,FALSE))))</f>
        <v/>
      </c>
      <c r="E46" s="295" t="str">
        <f>IF(B46="","",IF(ISNA(VLOOKUP($B46,'E-1 Off-Site Hedge Baseline'!$B$1:$L$257,5,FALSE)),"",(VLOOKUP($B46,'E-1 Off-Site Hedge Baseline'!$B$1:$L$257,5,FALSE))))</f>
        <v/>
      </c>
      <c r="F46" s="295" t="str">
        <f>IF(B46="","",IF(ISNA(VLOOKUP($B46,'E-1 Off-Site Hedge Baseline'!$B$1:$L$257,6,FALSE)),"",(VLOOKUP($B46,'E-1 Off-Site Hedge Baseline'!$B$1:$L$257,6,FALSE))))</f>
        <v/>
      </c>
      <c r="G46" s="295" t="str">
        <f>IF(B46="","",IF(ISNA(VLOOKUP($B46,'E-1 Off-Site Hedge Baseline'!$B$1:$L$257,7,FALSE)),"",(VLOOKUP($B46,'E-1 Off-Site Hedge Baseline'!$B$1:$L$257,7,FALSE))))</f>
        <v/>
      </c>
      <c r="H46" s="295" t="str">
        <f>IF(B46="","",IF(ISNA(VLOOKUP($B46,'E-1 Off-Site Hedge Baseline'!$B$1:$L$257,8,FALSE)),"",(VLOOKUP($B46,'E-1 Off-Site Hedge Baseline'!$B$1:$L$257,8,FALSE))))</f>
        <v/>
      </c>
      <c r="I46" s="295" t="str">
        <f>IF(B46="","",IF(ISNA(VLOOKUP($B46,'E-1 Off-Site Hedge Baseline'!$B$1:$L$257,10,FALSE)),"",(VLOOKUP($B46,'E-1 Off-Site Hedge Baseline'!$B$1:$L$257,10,FALSE))))</f>
        <v/>
      </c>
      <c r="J46" s="295" t="str">
        <f>IF(B46="","",IF(ISNA(VLOOKUP($B46,'E-1 Off-Site Hedge Baseline'!$B$1:$L$257,11,FALSE)),"",(VLOOKUP($B46,'E-1 Off-Site Hedge Baseline'!$B$1:$L$257,11,FALSE))))</f>
        <v/>
      </c>
      <c r="K46" s="295" t="str">
        <f>IF(B46="","",IF(ISNA(VLOOKUP($B46,'E-1 Off-Site Hedge Baseline'!$B$1:$X$257,16,FALSE)),"",(VLOOKUP($B46,'E-1 Off-Site Hedge Baseline'!$B$1:$X$257,16,FALSE))))</f>
        <v/>
      </c>
      <c r="L46" s="283" t="str">
        <f>IF(B46="","",IF(ISNA(VLOOKUP($B46,'E-1 Off-Site Hedge Baseline'!$B$1:$X$257,12,FALSE)),"",(VLOOKUP($B46,'E-1 Off-Site Hedge Baseline'!$B$1:$X$257,12,FALSE))))</f>
        <v/>
      </c>
      <c r="M46" s="244"/>
      <c r="N46" s="275" t="str">
        <f>IFERROR(IF(B46="","",INDEX('G-6 Hedgerow Data'!$AN$3:$AZ$15,MATCH(C46,'G-6 Hedgerow Data'!$AM$3:$AM$15,0),MATCH(M46,'G-6 Hedgerow Data'!$AN$2:$AZ$2,0))),"")</f>
        <v/>
      </c>
      <c r="O46" s="276" t="str">
        <f t="shared" si="1"/>
        <v/>
      </c>
      <c r="P46" s="281" t="str">
        <f>IF(B46="","",VLOOKUP(B46,'E-1 Off-Site Hedge Baseline'!$B$10:W291,19,FALSE))</f>
        <v/>
      </c>
      <c r="Q46" s="275" t="str">
        <f>IF(M46="","",VLOOKUP(M46,'G-6 Hedgerow Data'!$B$2:$AG$15,2,FALSE))</f>
        <v/>
      </c>
      <c r="R46" s="276" t="str">
        <f>IF(M46="","",VLOOKUP(M46,'G-6 Hedgerow Data'!$B$2:$AG$15,3,FALSE))</f>
        <v/>
      </c>
      <c r="S46" s="101"/>
      <c r="T46" s="276" t="str">
        <f>IFERROR(IF(S46="","",IF(AND(M46="Non-native and ornamental hedgerow",S46&lt;&gt;"Poor"),"Not possible ▲",(IF(AND(Q46="V.Low",OR(S46="Good",S46="Moderate")),"Error ▲",VLOOKUP(S46,'G-1 All Habitats'!$Z$2:$AA$9,2,FALSE))))),"")</f>
        <v/>
      </c>
      <c r="U46" s="101"/>
      <c r="V46" s="283" t="str">
        <f>IF(U46="","",IF(VLOOKUP(U46,'G-3 Multipliers'!$L$3:$N$6,2,FALSE)=0,"Spatial Data Missing ⚠",VLOOKUP(U46,'G-3 Multipliers'!$L$3:$N$6,2,FALSE)))</f>
        <v/>
      </c>
      <c r="W46" s="281" t="str">
        <f>IF(U46="","",IF(VLOOKUP(U46,'G-3 Multipliers'!$L$3:$N$6,3,FALSE)=0,"Spatial Data Missing ⚠",VLOOKUP(U46,'G-3 Multipliers'!$L$3:$N$6,3,FALSE)))</f>
        <v/>
      </c>
      <c r="X46" s="275" t="str">
        <f>IFERROR(IF(OR(LEFT(O46,5)="Error",LEFT(N46,5)="Error",T46="Error"),"Check Data ⚠",IF(F46&lt;R46,INDEX('G-6 Hedgerow Data'!$S$3:$AE$14,MATCH(C46,'G-6 Hedgerow Data'!$B$3:$B$14,0),MATCH(M46,'G-6 Hedgerow Data'!$S$2:$AE$2,0)),INDEX('G-6 Hedgerow Data'!$K$3:$Q$14,MATCH(M46,'G-6 Hedgerow Data'!$B$3:$B$14,0),MATCH(O46,'G-6 Hedgerow Data'!$K$2:$Q$2,0)))),"")</f>
        <v/>
      </c>
      <c r="Y46" s="133"/>
      <c r="Z46" s="133"/>
      <c r="AA46" s="283" t="str">
        <f t="shared" si="2"/>
        <v/>
      </c>
      <c r="AB46" s="296" t="str">
        <f t="shared" si="3"/>
        <v/>
      </c>
      <c r="AC46" s="297" t="str">
        <f t="shared" si="0"/>
        <v/>
      </c>
      <c r="AD46" s="311" t="str">
        <f>IF(M46="","",VLOOKUP(M46,'G-6 Hedgerow Data'!$B$3:$AG$15,31,FALSE))</f>
        <v/>
      </c>
      <c r="AE46" s="295" t="str">
        <f t="shared" si="4"/>
        <v/>
      </c>
      <c r="AF46" s="283" t="str">
        <f t="shared" si="5"/>
        <v/>
      </c>
      <c r="AG46" s="299" t="str">
        <f>IFERROR(IF(O46="","",VLOOKUP(AD46,'G-3 Multipliers'!$P$3:$Q$6,2,FALSE)),"")</f>
        <v/>
      </c>
      <c r="AH46" s="713" t="str">
        <f>IF(B46="","",IF(ISNA(VLOOKUP($B46,'E-1 Off-Site Hedge Baseline'!$B$1:$Z$257,14,FALSE)),"",(VLOOKUP($B46,'E-1 Off-Site Hedge Baseline'!$B$1:$Z$257,14,FALSE))))</f>
        <v/>
      </c>
      <c r="AI46" s="276" t="str">
        <f>IF(AH46="","",IF(VLOOKUP(AH46,'G-3 Multipliers'!$S$3:$T$10,2,FALSE)=0,"Spatial Data Missing ⚠",VLOOKUP(AH46,'G-3 Multipliers'!$S$3:$T$10,2,FALSE)))</f>
        <v/>
      </c>
      <c r="AJ46" s="317" t="str">
        <f t="shared" si="6"/>
        <v/>
      </c>
      <c r="AK46" s="289" t="str">
        <f t="shared" si="7"/>
        <v/>
      </c>
      <c r="AL46" s="101"/>
      <c r="AM46" s="115"/>
      <c r="AN46" s="104"/>
      <c r="AO46" s="104"/>
      <c r="AQ46" s="30" t="str">
        <f>IFERROR(INDEX('G-6 Hedgerow Data'!$BJ$3:$BJ$15,MATCH(M46,'G-6 Hedgerow Data'!$B$3:$B$15,0)),"")</f>
        <v/>
      </c>
    </row>
    <row r="47" spans="2:43" ht="14">
      <c r="B47" s="305" t="str">
        <f>'E-1 Off-Site Hedge Baseline'!AN45</f>
        <v/>
      </c>
      <c r="C47" s="295" t="str">
        <f>IF(B47="","",IF(ISNA(VLOOKUP($B47,'E-1 Off-Site Hedge Baseline'!$B$1:$L$257,3,FALSE)),"",(VLOOKUP($B47,'E-1 Off-Site Hedge Baseline'!$B$1:$L$257,3,FALSE))))</f>
        <v/>
      </c>
      <c r="D47" s="295" t="str">
        <f>IF(B47="","",IF(ISNA(VLOOKUP($B47,'E-1 Off-Site Hedge Baseline'!$B$1:$L$258,4,FALSE)),"",(VLOOKUP($B47,'E-1 Off-Site Hedge Baseline'!$B$1:$L$258,4,FALSE))))</f>
        <v/>
      </c>
      <c r="E47" s="295" t="str">
        <f>IF(B47="","",IF(ISNA(VLOOKUP($B47,'E-1 Off-Site Hedge Baseline'!$B$1:$L$257,5,FALSE)),"",(VLOOKUP($B47,'E-1 Off-Site Hedge Baseline'!$B$1:$L$257,5,FALSE))))</f>
        <v/>
      </c>
      <c r="F47" s="295" t="str">
        <f>IF(B47="","",IF(ISNA(VLOOKUP($B47,'E-1 Off-Site Hedge Baseline'!$B$1:$L$257,6,FALSE)),"",(VLOOKUP($B47,'E-1 Off-Site Hedge Baseline'!$B$1:$L$257,6,FALSE))))</f>
        <v/>
      </c>
      <c r="G47" s="295" t="str">
        <f>IF(B47="","",IF(ISNA(VLOOKUP($B47,'E-1 Off-Site Hedge Baseline'!$B$1:$L$257,7,FALSE)),"",(VLOOKUP($B47,'E-1 Off-Site Hedge Baseline'!$B$1:$L$257,7,FALSE))))</f>
        <v/>
      </c>
      <c r="H47" s="295" t="str">
        <f>IF(B47="","",IF(ISNA(VLOOKUP($B47,'E-1 Off-Site Hedge Baseline'!$B$1:$L$257,8,FALSE)),"",(VLOOKUP($B47,'E-1 Off-Site Hedge Baseline'!$B$1:$L$257,8,FALSE))))</f>
        <v/>
      </c>
      <c r="I47" s="295" t="str">
        <f>IF(B47="","",IF(ISNA(VLOOKUP($B47,'E-1 Off-Site Hedge Baseline'!$B$1:$L$257,10,FALSE)),"",(VLOOKUP($B47,'E-1 Off-Site Hedge Baseline'!$B$1:$L$257,10,FALSE))))</f>
        <v/>
      </c>
      <c r="J47" s="295" t="str">
        <f>IF(B47="","",IF(ISNA(VLOOKUP($B47,'E-1 Off-Site Hedge Baseline'!$B$1:$L$257,11,FALSE)),"",(VLOOKUP($B47,'E-1 Off-Site Hedge Baseline'!$B$1:$L$257,11,FALSE))))</f>
        <v/>
      </c>
      <c r="K47" s="295" t="str">
        <f>IF(B47="","",IF(ISNA(VLOOKUP($B47,'E-1 Off-Site Hedge Baseline'!$B$1:$X$257,16,FALSE)),"",(VLOOKUP($B47,'E-1 Off-Site Hedge Baseline'!$B$1:$X$257,16,FALSE))))</f>
        <v/>
      </c>
      <c r="L47" s="283" t="str">
        <f>IF(B47="","",IF(ISNA(VLOOKUP($B47,'E-1 Off-Site Hedge Baseline'!$B$1:$X$257,12,FALSE)),"",(VLOOKUP($B47,'E-1 Off-Site Hedge Baseline'!$B$1:$X$257,12,FALSE))))</f>
        <v/>
      </c>
      <c r="M47" s="244"/>
      <c r="N47" s="275" t="str">
        <f>IFERROR(IF(B47="","",INDEX('G-6 Hedgerow Data'!$AN$3:$AZ$15,MATCH(C47,'G-6 Hedgerow Data'!$AM$3:$AM$15,0),MATCH(M47,'G-6 Hedgerow Data'!$AN$2:$AZ$2,0))),"")</f>
        <v/>
      </c>
      <c r="O47" s="276" t="str">
        <f t="shared" si="1"/>
        <v/>
      </c>
      <c r="P47" s="281" t="str">
        <f>IF(B47="","",VLOOKUP(B47,'E-1 Off-Site Hedge Baseline'!$B$10:W292,19,FALSE))</f>
        <v/>
      </c>
      <c r="Q47" s="275" t="str">
        <f>IF(M47="","",VLOOKUP(M47,'G-6 Hedgerow Data'!$B$2:$AG$15,2,FALSE))</f>
        <v/>
      </c>
      <c r="R47" s="276" t="str">
        <f>IF(M47="","",VLOOKUP(M47,'G-6 Hedgerow Data'!$B$2:$AG$15,3,FALSE))</f>
        <v/>
      </c>
      <c r="S47" s="101"/>
      <c r="T47" s="276" t="str">
        <f>IFERROR(IF(S47="","",IF(AND(M47="Non-native and ornamental hedgerow",S47&lt;&gt;"Poor"),"Not possible ▲",(IF(AND(Q47="V.Low",OR(S47="Good",S47="Moderate")),"Error ▲",VLOOKUP(S47,'G-1 All Habitats'!$Z$2:$AA$9,2,FALSE))))),"")</f>
        <v/>
      </c>
      <c r="U47" s="101"/>
      <c r="V47" s="283" t="str">
        <f>IF(U47="","",IF(VLOOKUP(U47,'G-3 Multipliers'!$L$3:$N$6,2,FALSE)=0,"Spatial Data Missing ⚠",VLOOKUP(U47,'G-3 Multipliers'!$L$3:$N$6,2,FALSE)))</f>
        <v/>
      </c>
      <c r="W47" s="281" t="str">
        <f>IF(U47="","",IF(VLOOKUP(U47,'G-3 Multipliers'!$L$3:$N$6,3,FALSE)=0,"Spatial Data Missing ⚠",VLOOKUP(U47,'G-3 Multipliers'!$L$3:$N$6,3,FALSE)))</f>
        <v/>
      </c>
      <c r="X47" s="275" t="str">
        <f>IFERROR(IF(OR(LEFT(O47,5)="Error",LEFT(N47,5)="Error",T47="Error"),"Check Data ⚠",IF(F47&lt;R47,INDEX('G-6 Hedgerow Data'!$S$3:$AE$14,MATCH(C47,'G-6 Hedgerow Data'!$B$3:$B$14,0),MATCH(M47,'G-6 Hedgerow Data'!$S$2:$AE$2,0)),INDEX('G-6 Hedgerow Data'!$K$3:$Q$14,MATCH(M47,'G-6 Hedgerow Data'!$B$3:$B$14,0),MATCH(O47,'G-6 Hedgerow Data'!$K$2:$Q$2,0)))),"")</f>
        <v/>
      </c>
      <c r="Y47" s="133"/>
      <c r="Z47" s="133"/>
      <c r="AA47" s="283" t="str">
        <f t="shared" si="2"/>
        <v/>
      </c>
      <c r="AB47" s="296" t="str">
        <f t="shared" si="3"/>
        <v/>
      </c>
      <c r="AC47" s="297" t="str">
        <f t="shared" si="0"/>
        <v/>
      </c>
      <c r="AD47" s="311" t="str">
        <f>IF(M47="","",VLOOKUP(M47,'G-6 Hedgerow Data'!$B$3:$AG$15,31,FALSE))</f>
        <v/>
      </c>
      <c r="AE47" s="295" t="str">
        <f t="shared" si="4"/>
        <v/>
      </c>
      <c r="AF47" s="283" t="str">
        <f t="shared" si="5"/>
        <v/>
      </c>
      <c r="AG47" s="299" t="str">
        <f>IFERROR(IF(O47="","",VLOOKUP(AD47,'G-3 Multipliers'!$P$3:$Q$6,2,FALSE)),"")</f>
        <v/>
      </c>
      <c r="AH47" s="713" t="str">
        <f>IF(B47="","",IF(ISNA(VLOOKUP($B47,'E-1 Off-Site Hedge Baseline'!$B$1:$Z$257,14,FALSE)),"",(VLOOKUP($B47,'E-1 Off-Site Hedge Baseline'!$B$1:$Z$257,14,FALSE))))</f>
        <v/>
      </c>
      <c r="AI47" s="276" t="str">
        <f>IF(AH47="","",IF(VLOOKUP(AH47,'G-3 Multipliers'!$S$3:$T$10,2,FALSE)=0,"Spatial Data Missing ⚠",VLOOKUP(AH47,'G-3 Multipliers'!$S$3:$T$10,2,FALSE)))</f>
        <v/>
      </c>
      <c r="AJ47" s="317" t="str">
        <f t="shared" si="6"/>
        <v/>
      </c>
      <c r="AK47" s="289" t="str">
        <f t="shared" si="7"/>
        <v/>
      </c>
      <c r="AL47" s="101"/>
      <c r="AM47" s="115"/>
      <c r="AN47" s="104"/>
      <c r="AO47" s="104"/>
      <c r="AQ47" s="30" t="str">
        <f>IFERROR(INDEX('G-6 Hedgerow Data'!$BJ$3:$BJ$15,MATCH(M47,'G-6 Hedgerow Data'!$B$3:$B$15,0)),"")</f>
        <v/>
      </c>
    </row>
    <row r="48" spans="2:43" ht="14">
      <c r="B48" s="305" t="str">
        <f>'E-1 Off-Site Hedge Baseline'!AN46</f>
        <v/>
      </c>
      <c r="C48" s="295" t="str">
        <f>IF(B48="","",IF(ISNA(VLOOKUP($B48,'E-1 Off-Site Hedge Baseline'!$B$1:$L$257,3,FALSE)),"",(VLOOKUP($B48,'E-1 Off-Site Hedge Baseline'!$B$1:$L$257,3,FALSE))))</f>
        <v/>
      </c>
      <c r="D48" s="295" t="str">
        <f>IF(B48="","",IF(ISNA(VLOOKUP($B48,'E-1 Off-Site Hedge Baseline'!$B$1:$L$258,4,FALSE)),"",(VLOOKUP($B48,'E-1 Off-Site Hedge Baseline'!$B$1:$L$258,4,FALSE))))</f>
        <v/>
      </c>
      <c r="E48" s="295" t="str">
        <f>IF(B48="","",IF(ISNA(VLOOKUP($B48,'E-1 Off-Site Hedge Baseline'!$B$1:$L$257,5,FALSE)),"",(VLOOKUP($B48,'E-1 Off-Site Hedge Baseline'!$B$1:$L$257,5,FALSE))))</f>
        <v/>
      </c>
      <c r="F48" s="295" t="str">
        <f>IF(B48="","",IF(ISNA(VLOOKUP($B48,'E-1 Off-Site Hedge Baseline'!$B$1:$L$257,6,FALSE)),"",(VLOOKUP($B48,'E-1 Off-Site Hedge Baseline'!$B$1:$L$257,6,FALSE))))</f>
        <v/>
      </c>
      <c r="G48" s="295" t="str">
        <f>IF(B48="","",IF(ISNA(VLOOKUP($B48,'E-1 Off-Site Hedge Baseline'!$B$1:$L$257,7,FALSE)),"",(VLOOKUP($B48,'E-1 Off-Site Hedge Baseline'!$B$1:$L$257,7,FALSE))))</f>
        <v/>
      </c>
      <c r="H48" s="295" t="str">
        <f>IF(B48="","",IF(ISNA(VLOOKUP($B48,'E-1 Off-Site Hedge Baseline'!$B$1:$L$257,8,FALSE)),"",(VLOOKUP($B48,'E-1 Off-Site Hedge Baseline'!$B$1:$L$257,8,FALSE))))</f>
        <v/>
      </c>
      <c r="I48" s="295" t="str">
        <f>IF(B48="","",IF(ISNA(VLOOKUP($B48,'E-1 Off-Site Hedge Baseline'!$B$1:$L$257,10,FALSE)),"",(VLOOKUP($B48,'E-1 Off-Site Hedge Baseline'!$B$1:$L$257,10,FALSE))))</f>
        <v/>
      </c>
      <c r="J48" s="295" t="str">
        <f>IF(B48="","",IF(ISNA(VLOOKUP($B48,'E-1 Off-Site Hedge Baseline'!$B$1:$L$257,11,FALSE)),"",(VLOOKUP($B48,'E-1 Off-Site Hedge Baseline'!$B$1:$L$257,11,FALSE))))</f>
        <v/>
      </c>
      <c r="K48" s="295" t="str">
        <f>IF(B48="","",IF(ISNA(VLOOKUP($B48,'E-1 Off-Site Hedge Baseline'!$B$1:$X$257,16,FALSE)),"",(VLOOKUP($B48,'E-1 Off-Site Hedge Baseline'!$B$1:$X$257,16,FALSE))))</f>
        <v/>
      </c>
      <c r="L48" s="283" t="str">
        <f>IF(B48="","",IF(ISNA(VLOOKUP($B48,'E-1 Off-Site Hedge Baseline'!$B$1:$X$257,12,FALSE)),"",(VLOOKUP($B48,'E-1 Off-Site Hedge Baseline'!$B$1:$X$257,12,FALSE))))</f>
        <v/>
      </c>
      <c r="M48" s="244"/>
      <c r="N48" s="275" t="str">
        <f>IFERROR(IF(B48="","",INDEX('G-6 Hedgerow Data'!$AN$3:$AZ$15,MATCH(C48,'G-6 Hedgerow Data'!$AM$3:$AM$15,0),MATCH(M48,'G-6 Hedgerow Data'!$AN$2:$AZ$2,0))),"")</f>
        <v/>
      </c>
      <c r="O48" s="276" t="str">
        <f t="shared" si="1"/>
        <v/>
      </c>
      <c r="P48" s="281" t="str">
        <f>IF(B48="","",VLOOKUP(B48,'E-1 Off-Site Hedge Baseline'!$B$10:W293,19,FALSE))</f>
        <v/>
      </c>
      <c r="Q48" s="275" t="str">
        <f>IF(M48="","",VLOOKUP(M48,'G-6 Hedgerow Data'!$B$2:$AG$15,2,FALSE))</f>
        <v/>
      </c>
      <c r="R48" s="276" t="str">
        <f>IF(M48="","",VLOOKUP(M48,'G-6 Hedgerow Data'!$B$2:$AG$15,3,FALSE))</f>
        <v/>
      </c>
      <c r="S48" s="101"/>
      <c r="T48" s="276" t="str">
        <f>IFERROR(IF(S48="","",IF(AND(M48="Non-native and ornamental hedgerow",S48&lt;&gt;"Poor"),"Not possible ▲",(IF(AND(Q48="V.Low",OR(S48="Good",S48="Moderate")),"Error ▲",VLOOKUP(S48,'G-1 All Habitats'!$Z$2:$AA$9,2,FALSE))))),"")</f>
        <v/>
      </c>
      <c r="U48" s="101"/>
      <c r="V48" s="283" t="str">
        <f>IF(U48="","",IF(VLOOKUP(U48,'G-3 Multipliers'!$L$3:$N$6,2,FALSE)=0,"Spatial Data Missing ⚠",VLOOKUP(U48,'G-3 Multipliers'!$L$3:$N$6,2,FALSE)))</f>
        <v/>
      </c>
      <c r="W48" s="281" t="str">
        <f>IF(U48="","",IF(VLOOKUP(U48,'G-3 Multipliers'!$L$3:$N$6,3,FALSE)=0,"Spatial Data Missing ⚠",VLOOKUP(U48,'G-3 Multipliers'!$L$3:$N$6,3,FALSE)))</f>
        <v/>
      </c>
      <c r="X48" s="275" t="str">
        <f>IFERROR(IF(OR(LEFT(O48,5)="Error",LEFT(N48,5)="Error",T48="Error"),"Check Data ⚠",IF(F48&lt;R48,INDEX('G-6 Hedgerow Data'!$S$3:$AE$14,MATCH(C48,'G-6 Hedgerow Data'!$B$3:$B$14,0),MATCH(M48,'G-6 Hedgerow Data'!$S$2:$AE$2,0)),INDEX('G-6 Hedgerow Data'!$K$3:$Q$14,MATCH(M48,'G-6 Hedgerow Data'!$B$3:$B$14,0),MATCH(O48,'G-6 Hedgerow Data'!$K$2:$Q$2,0)))),"")</f>
        <v/>
      </c>
      <c r="Y48" s="133"/>
      <c r="Z48" s="133"/>
      <c r="AA48" s="283" t="str">
        <f t="shared" si="2"/>
        <v/>
      </c>
      <c r="AB48" s="296" t="str">
        <f t="shared" si="3"/>
        <v/>
      </c>
      <c r="AC48" s="297" t="str">
        <f t="shared" si="0"/>
        <v/>
      </c>
      <c r="AD48" s="311" t="str">
        <f>IF(M48="","",VLOOKUP(M48,'G-6 Hedgerow Data'!$B$3:$AG$15,31,FALSE))</f>
        <v/>
      </c>
      <c r="AE48" s="295" t="str">
        <f t="shared" si="4"/>
        <v/>
      </c>
      <c r="AF48" s="283" t="str">
        <f t="shared" si="5"/>
        <v/>
      </c>
      <c r="AG48" s="299" t="str">
        <f>IFERROR(IF(O48="","",VLOOKUP(AD48,'G-3 Multipliers'!$P$3:$Q$6,2,FALSE)),"")</f>
        <v/>
      </c>
      <c r="AH48" s="713" t="str">
        <f>IF(B48="","",IF(ISNA(VLOOKUP($B48,'E-1 Off-Site Hedge Baseline'!$B$1:$Z$257,14,FALSE)),"",(VLOOKUP($B48,'E-1 Off-Site Hedge Baseline'!$B$1:$Z$257,14,FALSE))))</f>
        <v/>
      </c>
      <c r="AI48" s="276" t="str">
        <f>IF(AH48="","",IF(VLOOKUP(AH48,'G-3 Multipliers'!$S$3:$T$10,2,FALSE)=0,"Spatial Data Missing ⚠",VLOOKUP(AH48,'G-3 Multipliers'!$S$3:$T$10,2,FALSE)))</f>
        <v/>
      </c>
      <c r="AJ48" s="317" t="str">
        <f t="shared" si="6"/>
        <v/>
      </c>
      <c r="AK48" s="289" t="str">
        <f t="shared" si="7"/>
        <v/>
      </c>
      <c r="AL48" s="101"/>
      <c r="AM48" s="115"/>
      <c r="AN48" s="104"/>
      <c r="AO48" s="104"/>
      <c r="AQ48" s="30" t="str">
        <f>IFERROR(INDEX('G-6 Hedgerow Data'!$BJ$3:$BJ$15,MATCH(M48,'G-6 Hedgerow Data'!$B$3:$B$15,0)),"")</f>
        <v/>
      </c>
    </row>
    <row r="49" spans="2:43" ht="14">
      <c r="B49" s="305" t="str">
        <f>'E-1 Off-Site Hedge Baseline'!AN47</f>
        <v/>
      </c>
      <c r="C49" s="295" t="str">
        <f>IF(B49="","",IF(ISNA(VLOOKUP($B49,'E-1 Off-Site Hedge Baseline'!$B$1:$L$257,3,FALSE)),"",(VLOOKUP($B49,'E-1 Off-Site Hedge Baseline'!$B$1:$L$257,3,FALSE))))</f>
        <v/>
      </c>
      <c r="D49" s="295" t="str">
        <f>IF(B49="","",IF(ISNA(VLOOKUP($B49,'E-1 Off-Site Hedge Baseline'!$B$1:$L$258,4,FALSE)),"",(VLOOKUP($B49,'E-1 Off-Site Hedge Baseline'!$B$1:$L$258,4,FALSE))))</f>
        <v/>
      </c>
      <c r="E49" s="295" t="str">
        <f>IF(B49="","",IF(ISNA(VLOOKUP($B49,'E-1 Off-Site Hedge Baseline'!$B$1:$L$257,5,FALSE)),"",(VLOOKUP($B49,'E-1 Off-Site Hedge Baseline'!$B$1:$L$257,5,FALSE))))</f>
        <v/>
      </c>
      <c r="F49" s="295" t="str">
        <f>IF(B49="","",IF(ISNA(VLOOKUP($B49,'E-1 Off-Site Hedge Baseline'!$B$1:$L$257,6,FALSE)),"",(VLOOKUP($B49,'E-1 Off-Site Hedge Baseline'!$B$1:$L$257,6,FALSE))))</f>
        <v/>
      </c>
      <c r="G49" s="295" t="str">
        <f>IF(B49="","",IF(ISNA(VLOOKUP($B49,'E-1 Off-Site Hedge Baseline'!$B$1:$L$257,7,FALSE)),"",(VLOOKUP($B49,'E-1 Off-Site Hedge Baseline'!$B$1:$L$257,7,FALSE))))</f>
        <v/>
      </c>
      <c r="H49" s="295" t="str">
        <f>IF(B49="","",IF(ISNA(VLOOKUP($B49,'E-1 Off-Site Hedge Baseline'!$B$1:$L$257,8,FALSE)),"",(VLOOKUP($B49,'E-1 Off-Site Hedge Baseline'!$B$1:$L$257,8,FALSE))))</f>
        <v/>
      </c>
      <c r="I49" s="295" t="str">
        <f>IF(B49="","",IF(ISNA(VLOOKUP($B49,'E-1 Off-Site Hedge Baseline'!$B$1:$L$257,10,FALSE)),"",(VLOOKUP($B49,'E-1 Off-Site Hedge Baseline'!$B$1:$L$257,10,FALSE))))</f>
        <v/>
      </c>
      <c r="J49" s="295" t="str">
        <f>IF(B49="","",IF(ISNA(VLOOKUP($B49,'E-1 Off-Site Hedge Baseline'!$B$1:$L$257,11,FALSE)),"",(VLOOKUP($B49,'E-1 Off-Site Hedge Baseline'!$B$1:$L$257,11,FALSE))))</f>
        <v/>
      </c>
      <c r="K49" s="295" t="str">
        <f>IF(B49="","",IF(ISNA(VLOOKUP($B49,'E-1 Off-Site Hedge Baseline'!$B$1:$X$257,16,FALSE)),"",(VLOOKUP($B49,'E-1 Off-Site Hedge Baseline'!$B$1:$X$257,16,FALSE))))</f>
        <v/>
      </c>
      <c r="L49" s="283" t="str">
        <f>IF(B49="","",IF(ISNA(VLOOKUP($B49,'E-1 Off-Site Hedge Baseline'!$B$1:$X$257,12,FALSE)),"",(VLOOKUP($B49,'E-1 Off-Site Hedge Baseline'!$B$1:$X$257,12,FALSE))))</f>
        <v/>
      </c>
      <c r="M49" s="244"/>
      <c r="N49" s="275" t="str">
        <f>IFERROR(IF(B49="","",INDEX('G-6 Hedgerow Data'!$AN$3:$AZ$15,MATCH(C49,'G-6 Hedgerow Data'!$AM$3:$AM$15,0),MATCH(M49,'G-6 Hedgerow Data'!$AN$2:$AZ$2,0))),"")</f>
        <v/>
      </c>
      <c r="O49" s="276" t="str">
        <f t="shared" si="1"/>
        <v/>
      </c>
      <c r="P49" s="281" t="str">
        <f>IF(B49="","",VLOOKUP(B49,'E-1 Off-Site Hedge Baseline'!$B$10:W294,19,FALSE))</f>
        <v/>
      </c>
      <c r="Q49" s="275" t="str">
        <f>IF(M49="","",VLOOKUP(M49,'G-6 Hedgerow Data'!$B$2:$AG$15,2,FALSE))</f>
        <v/>
      </c>
      <c r="R49" s="276" t="str">
        <f>IF(M49="","",VLOOKUP(M49,'G-6 Hedgerow Data'!$B$2:$AG$15,3,FALSE))</f>
        <v/>
      </c>
      <c r="S49" s="101"/>
      <c r="T49" s="276" t="str">
        <f>IFERROR(IF(S49="","",IF(AND(M49="Non-native and ornamental hedgerow",S49&lt;&gt;"Poor"),"Not possible ▲",(IF(AND(Q49="V.Low",OR(S49="Good",S49="Moderate")),"Error ▲",VLOOKUP(S49,'G-1 All Habitats'!$Z$2:$AA$9,2,FALSE))))),"")</f>
        <v/>
      </c>
      <c r="U49" s="101"/>
      <c r="V49" s="283" t="str">
        <f>IF(U49="","",IF(VLOOKUP(U49,'G-3 Multipliers'!$L$3:$N$6,2,FALSE)=0,"Spatial Data Missing ⚠",VLOOKUP(U49,'G-3 Multipliers'!$L$3:$N$6,2,FALSE)))</f>
        <v/>
      </c>
      <c r="W49" s="281" t="str">
        <f>IF(U49="","",IF(VLOOKUP(U49,'G-3 Multipliers'!$L$3:$N$6,3,FALSE)=0,"Spatial Data Missing ⚠",VLOOKUP(U49,'G-3 Multipliers'!$L$3:$N$6,3,FALSE)))</f>
        <v/>
      </c>
      <c r="X49" s="275" t="str">
        <f>IFERROR(IF(OR(LEFT(O49,5)="Error",LEFT(N49,5)="Error",T49="Error"),"Check Data ⚠",IF(F49&lt;R49,INDEX('G-6 Hedgerow Data'!$S$3:$AE$14,MATCH(C49,'G-6 Hedgerow Data'!$B$3:$B$14,0),MATCH(M49,'G-6 Hedgerow Data'!$S$2:$AE$2,0)),INDEX('G-6 Hedgerow Data'!$K$3:$Q$14,MATCH(M49,'G-6 Hedgerow Data'!$B$3:$B$14,0),MATCH(O49,'G-6 Hedgerow Data'!$K$2:$Q$2,0)))),"")</f>
        <v/>
      </c>
      <c r="Y49" s="133"/>
      <c r="Z49" s="133"/>
      <c r="AA49" s="283" t="str">
        <f t="shared" si="2"/>
        <v/>
      </c>
      <c r="AB49" s="296" t="str">
        <f t="shared" si="3"/>
        <v/>
      </c>
      <c r="AC49" s="297" t="str">
        <f t="shared" si="0"/>
        <v/>
      </c>
      <c r="AD49" s="311" t="str">
        <f>IF(M49="","",VLOOKUP(M49,'G-6 Hedgerow Data'!$B$3:$AG$15,31,FALSE))</f>
        <v/>
      </c>
      <c r="AE49" s="295" t="str">
        <f t="shared" si="4"/>
        <v/>
      </c>
      <c r="AF49" s="283" t="str">
        <f t="shared" si="5"/>
        <v/>
      </c>
      <c r="AG49" s="299" t="str">
        <f>IFERROR(IF(O49="","",VLOOKUP(AD49,'G-3 Multipliers'!$P$3:$Q$6,2,FALSE)),"")</f>
        <v/>
      </c>
      <c r="AH49" s="713" t="str">
        <f>IF(B49="","",IF(ISNA(VLOOKUP($B49,'E-1 Off-Site Hedge Baseline'!$B$1:$Z$257,14,FALSE)),"",(VLOOKUP($B49,'E-1 Off-Site Hedge Baseline'!$B$1:$Z$257,14,FALSE))))</f>
        <v/>
      </c>
      <c r="AI49" s="276" t="str">
        <f>IF(AH49="","",IF(VLOOKUP(AH49,'G-3 Multipliers'!$S$3:$T$10,2,FALSE)=0,"Spatial Data Missing ⚠",VLOOKUP(AH49,'G-3 Multipliers'!$S$3:$T$10,2,FALSE)))</f>
        <v/>
      </c>
      <c r="AJ49" s="317" t="str">
        <f t="shared" si="6"/>
        <v/>
      </c>
      <c r="AK49" s="289" t="str">
        <f t="shared" si="7"/>
        <v/>
      </c>
      <c r="AL49" s="101"/>
      <c r="AM49" s="115"/>
      <c r="AN49" s="104"/>
      <c r="AO49" s="104"/>
      <c r="AQ49" s="30" t="str">
        <f>IFERROR(INDEX('G-6 Hedgerow Data'!$BJ$3:$BJ$15,MATCH(M49,'G-6 Hedgerow Data'!$B$3:$B$15,0)),"")</f>
        <v/>
      </c>
    </row>
    <row r="50" spans="2:43" ht="14">
      <c r="B50" s="305" t="str">
        <f>'E-1 Off-Site Hedge Baseline'!AN48</f>
        <v/>
      </c>
      <c r="C50" s="295" t="str">
        <f>IF(B50="","",IF(ISNA(VLOOKUP($B50,'E-1 Off-Site Hedge Baseline'!$B$1:$L$257,3,FALSE)),"",(VLOOKUP($B50,'E-1 Off-Site Hedge Baseline'!$B$1:$L$257,3,FALSE))))</f>
        <v/>
      </c>
      <c r="D50" s="295" t="str">
        <f>IF(B50="","",IF(ISNA(VLOOKUP($B50,'E-1 Off-Site Hedge Baseline'!$B$1:$L$258,4,FALSE)),"",(VLOOKUP($B50,'E-1 Off-Site Hedge Baseline'!$B$1:$L$258,4,FALSE))))</f>
        <v/>
      </c>
      <c r="E50" s="295" t="str">
        <f>IF(B50="","",IF(ISNA(VLOOKUP($B50,'E-1 Off-Site Hedge Baseline'!$B$1:$L$257,5,FALSE)),"",(VLOOKUP($B50,'E-1 Off-Site Hedge Baseline'!$B$1:$L$257,5,FALSE))))</f>
        <v/>
      </c>
      <c r="F50" s="295" t="str">
        <f>IF(B50="","",IF(ISNA(VLOOKUP($B50,'E-1 Off-Site Hedge Baseline'!$B$1:$L$257,6,FALSE)),"",(VLOOKUP($B50,'E-1 Off-Site Hedge Baseline'!$B$1:$L$257,6,FALSE))))</f>
        <v/>
      </c>
      <c r="G50" s="295" t="str">
        <f>IF(B50="","",IF(ISNA(VLOOKUP($B50,'E-1 Off-Site Hedge Baseline'!$B$1:$L$257,7,FALSE)),"",(VLOOKUP($B50,'E-1 Off-Site Hedge Baseline'!$B$1:$L$257,7,FALSE))))</f>
        <v/>
      </c>
      <c r="H50" s="295" t="str">
        <f>IF(B50="","",IF(ISNA(VLOOKUP($B50,'E-1 Off-Site Hedge Baseline'!$B$1:$L$257,8,FALSE)),"",(VLOOKUP($B50,'E-1 Off-Site Hedge Baseline'!$B$1:$L$257,8,FALSE))))</f>
        <v/>
      </c>
      <c r="I50" s="295" t="str">
        <f>IF(B50="","",IF(ISNA(VLOOKUP($B50,'E-1 Off-Site Hedge Baseline'!$B$1:$L$257,10,FALSE)),"",(VLOOKUP($B50,'E-1 Off-Site Hedge Baseline'!$B$1:$L$257,10,FALSE))))</f>
        <v/>
      </c>
      <c r="J50" s="295" t="str">
        <f>IF(B50="","",IF(ISNA(VLOOKUP($B50,'E-1 Off-Site Hedge Baseline'!$B$1:$L$257,11,FALSE)),"",(VLOOKUP($B50,'E-1 Off-Site Hedge Baseline'!$B$1:$L$257,11,FALSE))))</f>
        <v/>
      </c>
      <c r="K50" s="295" t="str">
        <f>IF(B50="","",IF(ISNA(VLOOKUP($B50,'E-1 Off-Site Hedge Baseline'!$B$1:$X$257,16,FALSE)),"",(VLOOKUP($B50,'E-1 Off-Site Hedge Baseline'!$B$1:$X$257,16,FALSE))))</f>
        <v/>
      </c>
      <c r="L50" s="283" t="str">
        <f>IF(B50="","",IF(ISNA(VLOOKUP($B50,'E-1 Off-Site Hedge Baseline'!$B$1:$X$257,12,FALSE)),"",(VLOOKUP($B50,'E-1 Off-Site Hedge Baseline'!$B$1:$X$257,12,FALSE))))</f>
        <v/>
      </c>
      <c r="M50" s="244"/>
      <c r="N50" s="275" t="str">
        <f>IFERROR(IF(B50="","",INDEX('G-6 Hedgerow Data'!$AN$3:$AZ$15,MATCH(C50,'G-6 Hedgerow Data'!$AM$3:$AM$15,0),MATCH(M50,'G-6 Hedgerow Data'!$AN$2:$AZ$2,0))),"")</f>
        <v/>
      </c>
      <c r="O50" s="276" t="str">
        <f t="shared" si="1"/>
        <v/>
      </c>
      <c r="P50" s="281" t="str">
        <f>IF(B50="","",VLOOKUP(B50,'E-1 Off-Site Hedge Baseline'!$B$10:W295,19,FALSE))</f>
        <v/>
      </c>
      <c r="Q50" s="275" t="str">
        <f>IF(M50="","",VLOOKUP(M50,'G-6 Hedgerow Data'!$B$2:$AG$15,2,FALSE))</f>
        <v/>
      </c>
      <c r="R50" s="276" t="str">
        <f>IF(M50="","",VLOOKUP(M50,'G-6 Hedgerow Data'!$B$2:$AG$15,3,FALSE))</f>
        <v/>
      </c>
      <c r="S50" s="101"/>
      <c r="T50" s="276" t="str">
        <f>IFERROR(IF(S50="","",IF(AND(M50="Non-native and ornamental hedgerow",S50&lt;&gt;"Poor"),"Not possible ▲",(IF(AND(Q50="V.Low",OR(S50="Good",S50="Moderate")),"Error ▲",VLOOKUP(S50,'G-1 All Habitats'!$Z$2:$AA$9,2,FALSE))))),"")</f>
        <v/>
      </c>
      <c r="U50" s="101"/>
      <c r="V50" s="283" t="str">
        <f>IF(U50="","",IF(VLOOKUP(U50,'G-3 Multipliers'!$L$3:$N$6,2,FALSE)=0,"Spatial Data Missing ⚠",VLOOKUP(U50,'G-3 Multipliers'!$L$3:$N$6,2,FALSE)))</f>
        <v/>
      </c>
      <c r="W50" s="281" t="str">
        <f>IF(U50="","",IF(VLOOKUP(U50,'G-3 Multipliers'!$L$3:$N$6,3,FALSE)=0,"Spatial Data Missing ⚠",VLOOKUP(U50,'G-3 Multipliers'!$L$3:$N$6,3,FALSE)))</f>
        <v/>
      </c>
      <c r="X50" s="275" t="str">
        <f>IFERROR(IF(OR(LEFT(O50,5)="Error",LEFT(N50,5)="Error",T50="Error"),"Check Data ⚠",IF(F50&lt;R50,INDEX('G-6 Hedgerow Data'!$S$3:$AE$14,MATCH(C50,'G-6 Hedgerow Data'!$B$3:$B$14,0),MATCH(M50,'G-6 Hedgerow Data'!$S$2:$AE$2,0)),INDEX('G-6 Hedgerow Data'!$K$3:$Q$14,MATCH(M50,'G-6 Hedgerow Data'!$B$3:$B$14,0),MATCH(O50,'G-6 Hedgerow Data'!$K$2:$Q$2,0)))),"")</f>
        <v/>
      </c>
      <c r="Y50" s="133"/>
      <c r="Z50" s="133"/>
      <c r="AA50" s="283" t="str">
        <f t="shared" si="2"/>
        <v/>
      </c>
      <c r="AB50" s="296" t="str">
        <f t="shared" si="3"/>
        <v/>
      </c>
      <c r="AC50" s="297" t="str">
        <f t="shared" si="0"/>
        <v/>
      </c>
      <c r="AD50" s="311" t="str">
        <f>IF(M50="","",VLOOKUP(M50,'G-6 Hedgerow Data'!$B$3:$AG$15,31,FALSE))</f>
        <v/>
      </c>
      <c r="AE50" s="295" t="str">
        <f t="shared" si="4"/>
        <v/>
      </c>
      <c r="AF50" s="283" t="str">
        <f t="shared" si="5"/>
        <v/>
      </c>
      <c r="AG50" s="299" t="str">
        <f>IFERROR(IF(O50="","",VLOOKUP(AD50,'G-3 Multipliers'!$P$3:$Q$6,2,FALSE)),"")</f>
        <v/>
      </c>
      <c r="AH50" s="713" t="str">
        <f>IF(B50="","",IF(ISNA(VLOOKUP($B50,'E-1 Off-Site Hedge Baseline'!$B$1:$Z$257,14,FALSE)),"",(VLOOKUP($B50,'E-1 Off-Site Hedge Baseline'!$B$1:$Z$257,14,FALSE))))</f>
        <v/>
      </c>
      <c r="AI50" s="276" t="str">
        <f>IF(AH50="","",IF(VLOOKUP(AH50,'G-3 Multipliers'!$S$3:$T$10,2,FALSE)=0,"Spatial Data Missing ⚠",VLOOKUP(AH50,'G-3 Multipliers'!$S$3:$T$10,2,FALSE)))</f>
        <v/>
      </c>
      <c r="AJ50" s="317" t="str">
        <f t="shared" si="6"/>
        <v/>
      </c>
      <c r="AK50" s="289" t="str">
        <f t="shared" si="7"/>
        <v/>
      </c>
      <c r="AL50" s="101"/>
      <c r="AM50" s="115"/>
      <c r="AN50" s="104"/>
      <c r="AO50" s="104"/>
      <c r="AQ50" s="30" t="str">
        <f>IFERROR(INDEX('G-6 Hedgerow Data'!$BJ$3:$BJ$15,MATCH(M50,'G-6 Hedgerow Data'!$B$3:$B$15,0)),"")</f>
        <v/>
      </c>
    </row>
    <row r="51" spans="2:43" ht="14">
      <c r="B51" s="305" t="str">
        <f>'E-1 Off-Site Hedge Baseline'!AN49</f>
        <v/>
      </c>
      <c r="C51" s="295" t="str">
        <f>IF(B51="","",IF(ISNA(VLOOKUP($B51,'E-1 Off-Site Hedge Baseline'!$B$1:$L$257,3,FALSE)),"",(VLOOKUP($B51,'E-1 Off-Site Hedge Baseline'!$B$1:$L$257,3,FALSE))))</f>
        <v/>
      </c>
      <c r="D51" s="295" t="str">
        <f>IF(B51="","",IF(ISNA(VLOOKUP($B51,'E-1 Off-Site Hedge Baseline'!$B$1:$L$258,4,FALSE)),"",(VLOOKUP($B51,'E-1 Off-Site Hedge Baseline'!$B$1:$L$258,4,FALSE))))</f>
        <v/>
      </c>
      <c r="E51" s="295" t="str">
        <f>IF(B51="","",IF(ISNA(VLOOKUP($B51,'E-1 Off-Site Hedge Baseline'!$B$1:$L$257,5,FALSE)),"",(VLOOKUP($B51,'E-1 Off-Site Hedge Baseline'!$B$1:$L$257,5,FALSE))))</f>
        <v/>
      </c>
      <c r="F51" s="295" t="str">
        <f>IF(B51="","",IF(ISNA(VLOOKUP($B51,'E-1 Off-Site Hedge Baseline'!$B$1:$L$257,6,FALSE)),"",(VLOOKUP($B51,'E-1 Off-Site Hedge Baseline'!$B$1:$L$257,6,FALSE))))</f>
        <v/>
      </c>
      <c r="G51" s="295" t="str">
        <f>IF(B51="","",IF(ISNA(VLOOKUP($B51,'E-1 Off-Site Hedge Baseline'!$B$1:$L$257,7,FALSE)),"",(VLOOKUP($B51,'E-1 Off-Site Hedge Baseline'!$B$1:$L$257,7,FALSE))))</f>
        <v/>
      </c>
      <c r="H51" s="295" t="str">
        <f>IF(B51="","",IF(ISNA(VLOOKUP($B51,'E-1 Off-Site Hedge Baseline'!$B$1:$L$257,8,FALSE)),"",(VLOOKUP($B51,'E-1 Off-Site Hedge Baseline'!$B$1:$L$257,8,FALSE))))</f>
        <v/>
      </c>
      <c r="I51" s="295" t="str">
        <f>IF(B51="","",IF(ISNA(VLOOKUP($B51,'E-1 Off-Site Hedge Baseline'!$B$1:$L$257,10,FALSE)),"",(VLOOKUP($B51,'E-1 Off-Site Hedge Baseline'!$B$1:$L$257,10,FALSE))))</f>
        <v/>
      </c>
      <c r="J51" s="295" t="str">
        <f>IF(B51="","",IF(ISNA(VLOOKUP($B51,'E-1 Off-Site Hedge Baseline'!$B$1:$L$257,11,FALSE)),"",(VLOOKUP($B51,'E-1 Off-Site Hedge Baseline'!$B$1:$L$257,11,FALSE))))</f>
        <v/>
      </c>
      <c r="K51" s="295" t="str">
        <f>IF(B51="","",IF(ISNA(VLOOKUP($B51,'E-1 Off-Site Hedge Baseline'!$B$1:$X$257,16,FALSE)),"",(VLOOKUP($B51,'E-1 Off-Site Hedge Baseline'!$B$1:$X$257,16,FALSE))))</f>
        <v/>
      </c>
      <c r="L51" s="283" t="str">
        <f>IF(B51="","",IF(ISNA(VLOOKUP($B51,'E-1 Off-Site Hedge Baseline'!$B$1:$X$257,12,FALSE)),"",(VLOOKUP($B51,'E-1 Off-Site Hedge Baseline'!$B$1:$X$257,12,FALSE))))</f>
        <v/>
      </c>
      <c r="M51" s="244"/>
      <c r="N51" s="275" t="str">
        <f>IFERROR(IF(B51="","",INDEX('G-6 Hedgerow Data'!$AN$3:$AZ$15,MATCH(C51,'G-6 Hedgerow Data'!$AM$3:$AM$15,0),MATCH(M51,'G-6 Hedgerow Data'!$AN$2:$AZ$2,0))),"")</f>
        <v/>
      </c>
      <c r="O51" s="276" t="str">
        <f t="shared" si="1"/>
        <v/>
      </c>
      <c r="P51" s="281" t="str">
        <f>IF(B51="","",VLOOKUP(B51,'E-1 Off-Site Hedge Baseline'!$B$10:W296,19,FALSE))</f>
        <v/>
      </c>
      <c r="Q51" s="275" t="str">
        <f>IF(M51="","",VLOOKUP(M51,'G-6 Hedgerow Data'!$B$2:$AG$15,2,FALSE))</f>
        <v/>
      </c>
      <c r="R51" s="276" t="str">
        <f>IF(M51="","",VLOOKUP(M51,'G-6 Hedgerow Data'!$B$2:$AG$15,3,FALSE))</f>
        <v/>
      </c>
      <c r="S51" s="101"/>
      <c r="T51" s="276" t="str">
        <f>IFERROR(IF(S51="","",IF(AND(M51="Non-native and ornamental hedgerow",S51&lt;&gt;"Poor"),"Not possible ▲",(IF(AND(Q51="V.Low",OR(S51="Good",S51="Moderate")),"Error ▲",VLOOKUP(S51,'G-1 All Habitats'!$Z$2:$AA$9,2,FALSE))))),"")</f>
        <v/>
      </c>
      <c r="U51" s="101"/>
      <c r="V51" s="283" t="str">
        <f>IF(U51="","",IF(VLOOKUP(U51,'G-3 Multipliers'!$L$3:$N$6,2,FALSE)=0,"Spatial Data Missing ⚠",VLOOKUP(U51,'G-3 Multipliers'!$L$3:$N$6,2,FALSE)))</f>
        <v/>
      </c>
      <c r="W51" s="281" t="str">
        <f>IF(U51="","",IF(VLOOKUP(U51,'G-3 Multipliers'!$L$3:$N$6,3,FALSE)=0,"Spatial Data Missing ⚠",VLOOKUP(U51,'G-3 Multipliers'!$L$3:$N$6,3,FALSE)))</f>
        <v/>
      </c>
      <c r="X51" s="275" t="str">
        <f>IFERROR(IF(OR(LEFT(O51,5)="Error",LEFT(N51,5)="Error",T51="Error"),"Check Data ⚠",IF(F51&lt;R51,INDEX('G-6 Hedgerow Data'!$S$3:$AE$14,MATCH(C51,'G-6 Hedgerow Data'!$B$3:$B$14,0),MATCH(M51,'G-6 Hedgerow Data'!$S$2:$AE$2,0)),INDEX('G-6 Hedgerow Data'!$K$3:$Q$14,MATCH(M51,'G-6 Hedgerow Data'!$B$3:$B$14,0),MATCH(O51,'G-6 Hedgerow Data'!$K$2:$Q$2,0)))),"")</f>
        <v/>
      </c>
      <c r="Y51" s="133"/>
      <c r="Z51" s="133"/>
      <c r="AA51" s="283" t="str">
        <f t="shared" si="2"/>
        <v/>
      </c>
      <c r="AB51" s="296" t="str">
        <f t="shared" si="3"/>
        <v/>
      </c>
      <c r="AC51" s="297" t="str">
        <f t="shared" si="0"/>
        <v/>
      </c>
      <c r="AD51" s="311" t="str">
        <f>IF(M51="","",VLOOKUP(M51,'G-6 Hedgerow Data'!$B$3:$AG$15,31,FALSE))</f>
        <v/>
      </c>
      <c r="AE51" s="295" t="str">
        <f t="shared" si="4"/>
        <v/>
      </c>
      <c r="AF51" s="283" t="str">
        <f t="shared" si="5"/>
        <v/>
      </c>
      <c r="AG51" s="299" t="str">
        <f>IFERROR(IF(O51="","",VLOOKUP(AD51,'G-3 Multipliers'!$P$3:$Q$6,2,FALSE)),"")</f>
        <v/>
      </c>
      <c r="AH51" s="713" t="str">
        <f>IF(B51="","",IF(ISNA(VLOOKUP($B51,'E-1 Off-Site Hedge Baseline'!$B$1:$Z$257,14,FALSE)),"",(VLOOKUP($B51,'E-1 Off-Site Hedge Baseline'!$B$1:$Z$257,14,FALSE))))</f>
        <v/>
      </c>
      <c r="AI51" s="276" t="str">
        <f>IF(AH51="","",IF(VLOOKUP(AH51,'G-3 Multipliers'!$S$3:$T$10,2,FALSE)=0,"Spatial Data Missing ⚠",VLOOKUP(AH51,'G-3 Multipliers'!$S$3:$T$10,2,FALSE)))</f>
        <v/>
      </c>
      <c r="AJ51" s="317" t="str">
        <f t="shared" si="6"/>
        <v/>
      </c>
      <c r="AK51" s="289" t="str">
        <f t="shared" si="7"/>
        <v/>
      </c>
      <c r="AL51" s="101"/>
      <c r="AM51" s="115"/>
      <c r="AN51" s="104"/>
      <c r="AO51" s="104"/>
      <c r="AQ51" s="30" t="str">
        <f>IFERROR(INDEX('G-6 Hedgerow Data'!$BJ$3:$BJ$15,MATCH(M51,'G-6 Hedgerow Data'!$B$3:$B$15,0)),"")</f>
        <v/>
      </c>
    </row>
    <row r="52" spans="2:43" ht="14">
      <c r="B52" s="305" t="str">
        <f>'E-1 Off-Site Hedge Baseline'!AN50</f>
        <v/>
      </c>
      <c r="C52" s="295" t="str">
        <f>IF(B52="","",IF(ISNA(VLOOKUP($B52,'E-1 Off-Site Hedge Baseline'!$B$1:$L$257,3,FALSE)),"",(VLOOKUP($B52,'E-1 Off-Site Hedge Baseline'!$B$1:$L$257,3,FALSE))))</f>
        <v/>
      </c>
      <c r="D52" s="295" t="str">
        <f>IF(B52="","",IF(ISNA(VLOOKUP($B52,'E-1 Off-Site Hedge Baseline'!$B$1:$L$258,4,FALSE)),"",(VLOOKUP($B52,'E-1 Off-Site Hedge Baseline'!$B$1:$L$258,4,FALSE))))</f>
        <v/>
      </c>
      <c r="E52" s="295" t="str">
        <f>IF(B52="","",IF(ISNA(VLOOKUP($B52,'E-1 Off-Site Hedge Baseline'!$B$1:$L$257,5,FALSE)),"",(VLOOKUP($B52,'E-1 Off-Site Hedge Baseline'!$B$1:$L$257,5,FALSE))))</f>
        <v/>
      </c>
      <c r="F52" s="295" t="str">
        <f>IF(B52="","",IF(ISNA(VLOOKUP($B52,'E-1 Off-Site Hedge Baseline'!$B$1:$L$257,6,FALSE)),"",(VLOOKUP($B52,'E-1 Off-Site Hedge Baseline'!$B$1:$L$257,6,FALSE))))</f>
        <v/>
      </c>
      <c r="G52" s="295" t="str">
        <f>IF(B52="","",IF(ISNA(VLOOKUP($B52,'E-1 Off-Site Hedge Baseline'!$B$1:$L$257,7,FALSE)),"",(VLOOKUP($B52,'E-1 Off-Site Hedge Baseline'!$B$1:$L$257,7,FALSE))))</f>
        <v/>
      </c>
      <c r="H52" s="295" t="str">
        <f>IF(B52="","",IF(ISNA(VLOOKUP($B52,'E-1 Off-Site Hedge Baseline'!$B$1:$L$257,8,FALSE)),"",(VLOOKUP($B52,'E-1 Off-Site Hedge Baseline'!$B$1:$L$257,8,FALSE))))</f>
        <v/>
      </c>
      <c r="I52" s="295" t="str">
        <f>IF(B52="","",IF(ISNA(VLOOKUP($B52,'E-1 Off-Site Hedge Baseline'!$B$1:$L$257,10,FALSE)),"",(VLOOKUP($B52,'E-1 Off-Site Hedge Baseline'!$B$1:$L$257,10,FALSE))))</f>
        <v/>
      </c>
      <c r="J52" s="295" t="str">
        <f>IF(B52="","",IF(ISNA(VLOOKUP($B52,'E-1 Off-Site Hedge Baseline'!$B$1:$L$257,11,FALSE)),"",(VLOOKUP($B52,'E-1 Off-Site Hedge Baseline'!$B$1:$L$257,11,FALSE))))</f>
        <v/>
      </c>
      <c r="K52" s="295" t="str">
        <f>IF(B52="","",IF(ISNA(VLOOKUP($B52,'E-1 Off-Site Hedge Baseline'!$B$1:$X$257,16,FALSE)),"",(VLOOKUP($B52,'E-1 Off-Site Hedge Baseline'!$B$1:$X$257,16,FALSE))))</f>
        <v/>
      </c>
      <c r="L52" s="283" t="str">
        <f>IF(B52="","",IF(ISNA(VLOOKUP($B52,'E-1 Off-Site Hedge Baseline'!$B$1:$X$257,12,FALSE)),"",(VLOOKUP($B52,'E-1 Off-Site Hedge Baseline'!$B$1:$X$257,12,FALSE))))</f>
        <v/>
      </c>
      <c r="M52" s="244"/>
      <c r="N52" s="275" t="str">
        <f>IFERROR(IF(B52="","",INDEX('G-6 Hedgerow Data'!$AN$3:$AZ$15,MATCH(C52,'G-6 Hedgerow Data'!$AM$3:$AM$15,0),MATCH(M52,'G-6 Hedgerow Data'!$AN$2:$AZ$2,0))),"")</f>
        <v/>
      </c>
      <c r="O52" s="276" t="str">
        <f t="shared" si="1"/>
        <v/>
      </c>
      <c r="P52" s="281" t="str">
        <f>IF(B52="","",VLOOKUP(B52,'E-1 Off-Site Hedge Baseline'!$B$10:W297,19,FALSE))</f>
        <v/>
      </c>
      <c r="Q52" s="275" t="str">
        <f>IF(M52="","",VLOOKUP(M52,'G-6 Hedgerow Data'!$B$2:$AG$15,2,FALSE))</f>
        <v/>
      </c>
      <c r="R52" s="276" t="str">
        <f>IF(M52="","",VLOOKUP(M52,'G-6 Hedgerow Data'!$B$2:$AG$15,3,FALSE))</f>
        <v/>
      </c>
      <c r="S52" s="101"/>
      <c r="T52" s="276" t="str">
        <f>IFERROR(IF(S52="","",IF(AND(M52="Non-native and ornamental hedgerow",S52&lt;&gt;"Poor"),"Not possible ▲",(IF(AND(Q52="V.Low",OR(S52="Good",S52="Moderate")),"Error ▲",VLOOKUP(S52,'G-1 All Habitats'!$Z$2:$AA$9,2,FALSE))))),"")</f>
        <v/>
      </c>
      <c r="U52" s="101"/>
      <c r="V52" s="283" t="str">
        <f>IF(U52="","",IF(VLOOKUP(U52,'G-3 Multipliers'!$L$3:$N$6,2,FALSE)=0,"Spatial Data Missing ⚠",VLOOKUP(U52,'G-3 Multipliers'!$L$3:$N$6,2,FALSE)))</f>
        <v/>
      </c>
      <c r="W52" s="281" t="str">
        <f>IF(U52="","",IF(VLOOKUP(U52,'G-3 Multipliers'!$L$3:$N$6,3,FALSE)=0,"Spatial Data Missing ⚠",VLOOKUP(U52,'G-3 Multipliers'!$L$3:$N$6,3,FALSE)))</f>
        <v/>
      </c>
      <c r="X52" s="275" t="str">
        <f>IFERROR(IF(OR(LEFT(O52,5)="Error",LEFT(N52,5)="Error",T52="Error"),"Check Data ⚠",IF(F52&lt;R52,INDEX('G-6 Hedgerow Data'!$S$3:$AE$14,MATCH(C52,'G-6 Hedgerow Data'!$B$3:$B$14,0),MATCH(M52,'G-6 Hedgerow Data'!$S$2:$AE$2,0)),INDEX('G-6 Hedgerow Data'!$K$3:$Q$14,MATCH(M52,'G-6 Hedgerow Data'!$B$3:$B$14,0),MATCH(O52,'G-6 Hedgerow Data'!$K$2:$Q$2,0)))),"")</f>
        <v/>
      </c>
      <c r="Y52" s="133"/>
      <c r="Z52" s="133"/>
      <c r="AA52" s="283" t="str">
        <f t="shared" si="2"/>
        <v/>
      </c>
      <c r="AB52" s="296" t="str">
        <f t="shared" si="3"/>
        <v/>
      </c>
      <c r="AC52" s="297" t="str">
        <f t="shared" si="0"/>
        <v/>
      </c>
      <c r="AD52" s="311" t="str">
        <f>IF(M52="","",VLOOKUP(M52,'G-6 Hedgerow Data'!$B$3:$AG$15,31,FALSE))</f>
        <v/>
      </c>
      <c r="AE52" s="295" t="str">
        <f t="shared" si="4"/>
        <v/>
      </c>
      <c r="AF52" s="283" t="str">
        <f t="shared" si="5"/>
        <v/>
      </c>
      <c r="AG52" s="299" t="str">
        <f>IFERROR(IF(O52="","",VLOOKUP(AD52,'G-3 Multipliers'!$P$3:$Q$6,2,FALSE)),"")</f>
        <v/>
      </c>
      <c r="AH52" s="713" t="str">
        <f>IF(B52="","",IF(ISNA(VLOOKUP($B52,'E-1 Off-Site Hedge Baseline'!$B$1:$Z$257,14,FALSE)),"",(VLOOKUP($B52,'E-1 Off-Site Hedge Baseline'!$B$1:$Z$257,14,FALSE))))</f>
        <v/>
      </c>
      <c r="AI52" s="276" t="str">
        <f>IF(AH52="","",IF(VLOOKUP(AH52,'G-3 Multipliers'!$S$3:$T$10,2,FALSE)=0,"Spatial Data Missing ⚠",VLOOKUP(AH52,'G-3 Multipliers'!$S$3:$T$10,2,FALSE)))</f>
        <v/>
      </c>
      <c r="AJ52" s="317" t="str">
        <f t="shared" si="6"/>
        <v/>
      </c>
      <c r="AK52" s="289" t="str">
        <f t="shared" si="7"/>
        <v/>
      </c>
      <c r="AL52" s="101"/>
      <c r="AM52" s="115"/>
      <c r="AN52" s="104"/>
      <c r="AO52" s="104"/>
      <c r="AQ52" s="30" t="str">
        <f>IFERROR(INDEX('G-6 Hedgerow Data'!$BJ$3:$BJ$15,MATCH(M52,'G-6 Hedgerow Data'!$B$3:$B$15,0)),"")</f>
        <v/>
      </c>
    </row>
    <row r="53" spans="2:43" ht="14">
      <c r="B53" s="305" t="str">
        <f>'E-1 Off-Site Hedge Baseline'!AN51</f>
        <v/>
      </c>
      <c r="C53" s="295" t="str">
        <f>IF(B53="","",IF(ISNA(VLOOKUP($B53,'E-1 Off-Site Hedge Baseline'!$B$1:$L$257,3,FALSE)),"",(VLOOKUP($B53,'E-1 Off-Site Hedge Baseline'!$B$1:$L$257,3,FALSE))))</f>
        <v/>
      </c>
      <c r="D53" s="295" t="str">
        <f>IF(B53="","",IF(ISNA(VLOOKUP($B53,'E-1 Off-Site Hedge Baseline'!$B$1:$L$258,4,FALSE)),"",(VLOOKUP($B53,'E-1 Off-Site Hedge Baseline'!$B$1:$L$258,4,FALSE))))</f>
        <v/>
      </c>
      <c r="E53" s="295" t="str">
        <f>IF(B53="","",IF(ISNA(VLOOKUP($B53,'E-1 Off-Site Hedge Baseline'!$B$1:$L$257,5,FALSE)),"",(VLOOKUP($B53,'E-1 Off-Site Hedge Baseline'!$B$1:$L$257,5,FALSE))))</f>
        <v/>
      </c>
      <c r="F53" s="295" t="str">
        <f>IF(B53="","",IF(ISNA(VLOOKUP($B53,'E-1 Off-Site Hedge Baseline'!$B$1:$L$257,6,FALSE)),"",(VLOOKUP($B53,'E-1 Off-Site Hedge Baseline'!$B$1:$L$257,6,FALSE))))</f>
        <v/>
      </c>
      <c r="G53" s="295" t="str">
        <f>IF(B53="","",IF(ISNA(VLOOKUP($B53,'E-1 Off-Site Hedge Baseline'!$B$1:$L$257,7,FALSE)),"",(VLOOKUP($B53,'E-1 Off-Site Hedge Baseline'!$B$1:$L$257,7,FALSE))))</f>
        <v/>
      </c>
      <c r="H53" s="295" t="str">
        <f>IF(B53="","",IF(ISNA(VLOOKUP($B53,'E-1 Off-Site Hedge Baseline'!$B$1:$L$257,8,FALSE)),"",(VLOOKUP($B53,'E-1 Off-Site Hedge Baseline'!$B$1:$L$257,8,FALSE))))</f>
        <v/>
      </c>
      <c r="I53" s="295" t="str">
        <f>IF(B53="","",IF(ISNA(VLOOKUP($B53,'E-1 Off-Site Hedge Baseline'!$B$1:$L$257,10,FALSE)),"",(VLOOKUP($B53,'E-1 Off-Site Hedge Baseline'!$B$1:$L$257,10,FALSE))))</f>
        <v/>
      </c>
      <c r="J53" s="295" t="str">
        <f>IF(B53="","",IF(ISNA(VLOOKUP($B53,'E-1 Off-Site Hedge Baseline'!$B$1:$L$257,11,FALSE)),"",(VLOOKUP($B53,'E-1 Off-Site Hedge Baseline'!$B$1:$L$257,11,FALSE))))</f>
        <v/>
      </c>
      <c r="K53" s="295" t="str">
        <f>IF(B53="","",IF(ISNA(VLOOKUP($B53,'E-1 Off-Site Hedge Baseline'!$B$1:$X$257,16,FALSE)),"",(VLOOKUP($B53,'E-1 Off-Site Hedge Baseline'!$B$1:$X$257,16,FALSE))))</f>
        <v/>
      </c>
      <c r="L53" s="283" t="str">
        <f>IF(B53="","",IF(ISNA(VLOOKUP($B53,'E-1 Off-Site Hedge Baseline'!$B$1:$X$257,12,FALSE)),"",(VLOOKUP($B53,'E-1 Off-Site Hedge Baseline'!$B$1:$X$257,12,FALSE))))</f>
        <v/>
      </c>
      <c r="M53" s="244"/>
      <c r="N53" s="275" t="str">
        <f>IFERROR(IF(B53="","",INDEX('G-6 Hedgerow Data'!$AN$3:$AZ$15,MATCH(C53,'G-6 Hedgerow Data'!$AM$3:$AM$15,0),MATCH(M53,'G-6 Hedgerow Data'!$AN$2:$AZ$2,0))),"")</f>
        <v/>
      </c>
      <c r="O53" s="276" t="str">
        <f t="shared" si="1"/>
        <v/>
      </c>
      <c r="P53" s="281" t="str">
        <f>IF(B53="","",VLOOKUP(B53,'E-1 Off-Site Hedge Baseline'!$B$10:W298,19,FALSE))</f>
        <v/>
      </c>
      <c r="Q53" s="275" t="str">
        <f>IF(M53="","",VLOOKUP(M53,'G-6 Hedgerow Data'!$B$2:$AG$15,2,FALSE))</f>
        <v/>
      </c>
      <c r="R53" s="276" t="str">
        <f>IF(M53="","",VLOOKUP(M53,'G-6 Hedgerow Data'!$B$2:$AG$15,3,FALSE))</f>
        <v/>
      </c>
      <c r="S53" s="101"/>
      <c r="T53" s="276" t="str">
        <f>IFERROR(IF(S53="","",IF(AND(M53="Non-native and ornamental hedgerow",S53&lt;&gt;"Poor"),"Not possible ▲",(IF(AND(Q53="V.Low",OR(S53="Good",S53="Moderate")),"Error ▲",VLOOKUP(S53,'G-1 All Habitats'!$Z$2:$AA$9,2,FALSE))))),"")</f>
        <v/>
      </c>
      <c r="U53" s="101"/>
      <c r="V53" s="283" t="str">
        <f>IF(U53="","",IF(VLOOKUP(U53,'G-3 Multipliers'!$L$3:$N$6,2,FALSE)=0,"Spatial Data Missing ⚠",VLOOKUP(U53,'G-3 Multipliers'!$L$3:$N$6,2,FALSE)))</f>
        <v/>
      </c>
      <c r="W53" s="281" t="str">
        <f>IF(U53="","",IF(VLOOKUP(U53,'G-3 Multipliers'!$L$3:$N$6,3,FALSE)=0,"Spatial Data Missing ⚠",VLOOKUP(U53,'G-3 Multipliers'!$L$3:$N$6,3,FALSE)))</f>
        <v/>
      </c>
      <c r="X53" s="275" t="str">
        <f>IFERROR(IF(OR(LEFT(O53,5)="Error",LEFT(N53,5)="Error",T53="Error"),"Check Data ⚠",IF(F53&lt;R53,INDEX('G-6 Hedgerow Data'!$S$3:$AE$14,MATCH(C53,'G-6 Hedgerow Data'!$B$3:$B$14,0),MATCH(M53,'G-6 Hedgerow Data'!$S$2:$AE$2,0)),INDEX('G-6 Hedgerow Data'!$K$3:$Q$14,MATCH(M53,'G-6 Hedgerow Data'!$B$3:$B$14,0),MATCH(O53,'G-6 Hedgerow Data'!$K$2:$Q$2,0)))),"")</f>
        <v/>
      </c>
      <c r="Y53" s="133"/>
      <c r="Z53" s="133"/>
      <c r="AA53" s="283" t="str">
        <f t="shared" si="2"/>
        <v/>
      </c>
      <c r="AB53" s="296" t="str">
        <f t="shared" si="3"/>
        <v/>
      </c>
      <c r="AC53" s="297" t="str">
        <f t="shared" si="0"/>
        <v/>
      </c>
      <c r="AD53" s="311" t="str">
        <f>IF(M53="","",VLOOKUP(M53,'G-6 Hedgerow Data'!$B$3:$AG$15,31,FALSE))</f>
        <v/>
      </c>
      <c r="AE53" s="295" t="str">
        <f t="shared" si="4"/>
        <v/>
      </c>
      <c r="AF53" s="283" t="str">
        <f t="shared" si="5"/>
        <v/>
      </c>
      <c r="AG53" s="299" t="str">
        <f>IFERROR(IF(O53="","",VLOOKUP(AD53,'G-3 Multipliers'!$P$3:$Q$6,2,FALSE)),"")</f>
        <v/>
      </c>
      <c r="AH53" s="713" t="str">
        <f>IF(B53="","",IF(ISNA(VLOOKUP($B53,'E-1 Off-Site Hedge Baseline'!$B$1:$Z$257,14,FALSE)),"",(VLOOKUP($B53,'E-1 Off-Site Hedge Baseline'!$B$1:$Z$257,14,FALSE))))</f>
        <v/>
      </c>
      <c r="AI53" s="276" t="str">
        <f>IF(AH53="","",IF(VLOOKUP(AH53,'G-3 Multipliers'!$S$3:$T$10,2,FALSE)=0,"Spatial Data Missing ⚠",VLOOKUP(AH53,'G-3 Multipliers'!$S$3:$T$10,2,FALSE)))</f>
        <v/>
      </c>
      <c r="AJ53" s="317" t="str">
        <f t="shared" si="6"/>
        <v/>
      </c>
      <c r="AK53" s="289" t="str">
        <f t="shared" si="7"/>
        <v/>
      </c>
      <c r="AL53" s="101"/>
      <c r="AM53" s="115"/>
      <c r="AN53" s="104"/>
      <c r="AO53" s="104"/>
      <c r="AQ53" s="30" t="str">
        <f>IFERROR(INDEX('G-6 Hedgerow Data'!$BJ$3:$BJ$15,MATCH(M53,'G-6 Hedgerow Data'!$B$3:$B$15,0)),"")</f>
        <v/>
      </c>
    </row>
    <row r="54" spans="2:43" ht="14">
      <c r="B54" s="305" t="str">
        <f>'E-1 Off-Site Hedge Baseline'!AN52</f>
        <v/>
      </c>
      <c r="C54" s="295" t="str">
        <f>IF(B54="","",IF(ISNA(VLOOKUP($B54,'E-1 Off-Site Hedge Baseline'!$B$1:$L$257,3,FALSE)),"",(VLOOKUP($B54,'E-1 Off-Site Hedge Baseline'!$B$1:$L$257,3,FALSE))))</f>
        <v/>
      </c>
      <c r="D54" s="295" t="str">
        <f>IF(B54="","",IF(ISNA(VLOOKUP($B54,'E-1 Off-Site Hedge Baseline'!$B$1:$L$258,4,FALSE)),"",(VLOOKUP($B54,'E-1 Off-Site Hedge Baseline'!$B$1:$L$258,4,FALSE))))</f>
        <v/>
      </c>
      <c r="E54" s="295" t="str">
        <f>IF(B54="","",IF(ISNA(VLOOKUP($B54,'E-1 Off-Site Hedge Baseline'!$B$1:$L$257,5,FALSE)),"",(VLOOKUP($B54,'E-1 Off-Site Hedge Baseline'!$B$1:$L$257,5,FALSE))))</f>
        <v/>
      </c>
      <c r="F54" s="295" t="str">
        <f>IF(B54="","",IF(ISNA(VLOOKUP($B54,'E-1 Off-Site Hedge Baseline'!$B$1:$L$257,6,FALSE)),"",(VLOOKUP($B54,'E-1 Off-Site Hedge Baseline'!$B$1:$L$257,6,FALSE))))</f>
        <v/>
      </c>
      <c r="G54" s="295" t="str">
        <f>IF(B54="","",IF(ISNA(VLOOKUP($B54,'E-1 Off-Site Hedge Baseline'!$B$1:$L$257,7,FALSE)),"",(VLOOKUP($B54,'E-1 Off-Site Hedge Baseline'!$B$1:$L$257,7,FALSE))))</f>
        <v/>
      </c>
      <c r="H54" s="295" t="str">
        <f>IF(B54="","",IF(ISNA(VLOOKUP($B54,'E-1 Off-Site Hedge Baseline'!$B$1:$L$257,8,FALSE)),"",(VLOOKUP($B54,'E-1 Off-Site Hedge Baseline'!$B$1:$L$257,8,FALSE))))</f>
        <v/>
      </c>
      <c r="I54" s="295" t="str">
        <f>IF(B54="","",IF(ISNA(VLOOKUP($B54,'E-1 Off-Site Hedge Baseline'!$B$1:$L$257,10,FALSE)),"",(VLOOKUP($B54,'E-1 Off-Site Hedge Baseline'!$B$1:$L$257,10,FALSE))))</f>
        <v/>
      </c>
      <c r="J54" s="295" t="str">
        <f>IF(B54="","",IF(ISNA(VLOOKUP($B54,'E-1 Off-Site Hedge Baseline'!$B$1:$L$257,11,FALSE)),"",(VLOOKUP($B54,'E-1 Off-Site Hedge Baseline'!$B$1:$L$257,11,FALSE))))</f>
        <v/>
      </c>
      <c r="K54" s="295" t="str">
        <f>IF(B54="","",IF(ISNA(VLOOKUP($B54,'E-1 Off-Site Hedge Baseline'!$B$1:$X$257,16,FALSE)),"",(VLOOKUP($B54,'E-1 Off-Site Hedge Baseline'!$B$1:$X$257,16,FALSE))))</f>
        <v/>
      </c>
      <c r="L54" s="283" t="str">
        <f>IF(B54="","",IF(ISNA(VLOOKUP($B54,'E-1 Off-Site Hedge Baseline'!$B$1:$X$257,12,FALSE)),"",(VLOOKUP($B54,'E-1 Off-Site Hedge Baseline'!$B$1:$X$257,12,FALSE))))</f>
        <v/>
      </c>
      <c r="M54" s="244"/>
      <c r="N54" s="275" t="str">
        <f>IFERROR(IF(B54="","",INDEX('G-6 Hedgerow Data'!$AN$3:$AZ$15,MATCH(C54,'G-6 Hedgerow Data'!$AM$3:$AM$15,0),MATCH(M54,'G-6 Hedgerow Data'!$AN$2:$AZ$2,0))),"")</f>
        <v/>
      </c>
      <c r="O54" s="276" t="str">
        <f t="shared" si="1"/>
        <v/>
      </c>
      <c r="P54" s="281" t="str">
        <f>IF(B54="","",VLOOKUP(B54,'E-1 Off-Site Hedge Baseline'!$B$10:W299,19,FALSE))</f>
        <v/>
      </c>
      <c r="Q54" s="275" t="str">
        <f>IF(M54="","",VLOOKUP(M54,'G-6 Hedgerow Data'!$B$2:$AG$15,2,FALSE))</f>
        <v/>
      </c>
      <c r="R54" s="276" t="str">
        <f>IF(M54="","",VLOOKUP(M54,'G-6 Hedgerow Data'!$B$2:$AG$15,3,FALSE))</f>
        <v/>
      </c>
      <c r="S54" s="101"/>
      <c r="T54" s="276" t="str">
        <f>IFERROR(IF(S54="","",IF(AND(M54="Non-native and ornamental hedgerow",S54&lt;&gt;"Poor"),"Not possible ▲",(IF(AND(Q54="V.Low",OR(S54="Good",S54="Moderate")),"Error ▲",VLOOKUP(S54,'G-1 All Habitats'!$Z$2:$AA$9,2,FALSE))))),"")</f>
        <v/>
      </c>
      <c r="U54" s="101"/>
      <c r="V54" s="283" t="str">
        <f>IF(U54="","",IF(VLOOKUP(U54,'G-3 Multipliers'!$L$3:$N$6,2,FALSE)=0,"Spatial Data Missing ⚠",VLOOKUP(U54,'G-3 Multipliers'!$L$3:$N$6,2,FALSE)))</f>
        <v/>
      </c>
      <c r="W54" s="281" t="str">
        <f>IF(U54="","",IF(VLOOKUP(U54,'G-3 Multipliers'!$L$3:$N$6,3,FALSE)=0,"Spatial Data Missing ⚠",VLOOKUP(U54,'G-3 Multipliers'!$L$3:$N$6,3,FALSE)))</f>
        <v/>
      </c>
      <c r="X54" s="275" t="str">
        <f>IFERROR(IF(OR(LEFT(O54,5)="Error",LEFT(N54,5)="Error",T54="Error"),"Check Data ⚠",IF(F54&lt;R54,INDEX('G-6 Hedgerow Data'!$S$3:$AE$14,MATCH(C54,'G-6 Hedgerow Data'!$B$3:$B$14,0),MATCH(M54,'G-6 Hedgerow Data'!$S$2:$AE$2,0)),INDEX('G-6 Hedgerow Data'!$K$3:$Q$14,MATCH(M54,'G-6 Hedgerow Data'!$B$3:$B$14,0),MATCH(O54,'G-6 Hedgerow Data'!$K$2:$Q$2,0)))),"")</f>
        <v/>
      </c>
      <c r="Y54" s="133"/>
      <c r="Z54" s="133"/>
      <c r="AA54" s="283" t="str">
        <f t="shared" si="2"/>
        <v/>
      </c>
      <c r="AB54" s="296" t="str">
        <f t="shared" si="3"/>
        <v/>
      </c>
      <c r="AC54" s="297" t="str">
        <f t="shared" si="0"/>
        <v/>
      </c>
      <c r="AD54" s="311" t="str">
        <f>IF(M54="","",VLOOKUP(M54,'G-6 Hedgerow Data'!$B$3:$AG$15,31,FALSE))</f>
        <v/>
      </c>
      <c r="AE54" s="295" t="str">
        <f t="shared" si="4"/>
        <v/>
      </c>
      <c r="AF54" s="283" t="str">
        <f t="shared" si="5"/>
        <v/>
      </c>
      <c r="AG54" s="299" t="str">
        <f>IFERROR(IF(O54="","",VLOOKUP(AD54,'G-3 Multipliers'!$P$3:$Q$6,2,FALSE)),"")</f>
        <v/>
      </c>
      <c r="AH54" s="713" t="str">
        <f>IF(B54="","",IF(ISNA(VLOOKUP($B54,'E-1 Off-Site Hedge Baseline'!$B$1:$Z$257,14,FALSE)),"",(VLOOKUP($B54,'E-1 Off-Site Hedge Baseline'!$B$1:$Z$257,14,FALSE))))</f>
        <v/>
      </c>
      <c r="AI54" s="276" t="str">
        <f>IF(AH54="","",IF(VLOOKUP(AH54,'G-3 Multipliers'!$S$3:$T$10,2,FALSE)=0,"Spatial Data Missing ⚠",VLOOKUP(AH54,'G-3 Multipliers'!$S$3:$T$10,2,FALSE)))</f>
        <v/>
      </c>
      <c r="AJ54" s="317" t="str">
        <f t="shared" si="6"/>
        <v/>
      </c>
      <c r="AK54" s="289" t="str">
        <f t="shared" si="7"/>
        <v/>
      </c>
      <c r="AL54" s="101"/>
      <c r="AM54" s="115"/>
      <c r="AN54" s="104"/>
      <c r="AO54" s="104"/>
      <c r="AQ54" s="30" t="str">
        <f>IFERROR(INDEX('G-6 Hedgerow Data'!$BJ$3:$BJ$15,MATCH(M54,'G-6 Hedgerow Data'!$B$3:$B$15,0)),"")</f>
        <v/>
      </c>
    </row>
    <row r="55" spans="2:43" ht="14">
      <c r="B55" s="305" t="str">
        <f>'E-1 Off-Site Hedge Baseline'!AN53</f>
        <v/>
      </c>
      <c r="C55" s="295" t="str">
        <f>IF(B55="","",IF(ISNA(VLOOKUP($B55,'E-1 Off-Site Hedge Baseline'!$B$1:$L$257,3,FALSE)),"",(VLOOKUP($B55,'E-1 Off-Site Hedge Baseline'!$B$1:$L$257,3,FALSE))))</f>
        <v/>
      </c>
      <c r="D55" s="295" t="str">
        <f>IF(B55="","",IF(ISNA(VLOOKUP($B55,'E-1 Off-Site Hedge Baseline'!$B$1:$L$258,4,FALSE)),"",(VLOOKUP($B55,'E-1 Off-Site Hedge Baseline'!$B$1:$L$258,4,FALSE))))</f>
        <v/>
      </c>
      <c r="E55" s="295" t="str">
        <f>IF(B55="","",IF(ISNA(VLOOKUP($B55,'E-1 Off-Site Hedge Baseline'!$B$1:$L$257,5,FALSE)),"",(VLOOKUP($B55,'E-1 Off-Site Hedge Baseline'!$B$1:$L$257,5,FALSE))))</f>
        <v/>
      </c>
      <c r="F55" s="295" t="str">
        <f>IF(B55="","",IF(ISNA(VLOOKUP($B55,'E-1 Off-Site Hedge Baseline'!$B$1:$L$257,6,FALSE)),"",(VLOOKUP($B55,'E-1 Off-Site Hedge Baseline'!$B$1:$L$257,6,FALSE))))</f>
        <v/>
      </c>
      <c r="G55" s="295" t="str">
        <f>IF(B55="","",IF(ISNA(VLOOKUP($B55,'E-1 Off-Site Hedge Baseline'!$B$1:$L$257,7,FALSE)),"",(VLOOKUP($B55,'E-1 Off-Site Hedge Baseline'!$B$1:$L$257,7,FALSE))))</f>
        <v/>
      </c>
      <c r="H55" s="295" t="str">
        <f>IF(B55="","",IF(ISNA(VLOOKUP($B55,'E-1 Off-Site Hedge Baseline'!$B$1:$L$257,8,FALSE)),"",(VLOOKUP($B55,'E-1 Off-Site Hedge Baseline'!$B$1:$L$257,8,FALSE))))</f>
        <v/>
      </c>
      <c r="I55" s="295" t="str">
        <f>IF(B55="","",IF(ISNA(VLOOKUP($B55,'E-1 Off-Site Hedge Baseline'!$B$1:$L$257,10,FALSE)),"",(VLOOKUP($B55,'E-1 Off-Site Hedge Baseline'!$B$1:$L$257,10,FALSE))))</f>
        <v/>
      </c>
      <c r="J55" s="295" t="str">
        <f>IF(B55="","",IF(ISNA(VLOOKUP($B55,'E-1 Off-Site Hedge Baseline'!$B$1:$L$257,11,FALSE)),"",(VLOOKUP($B55,'E-1 Off-Site Hedge Baseline'!$B$1:$L$257,11,FALSE))))</f>
        <v/>
      </c>
      <c r="K55" s="295" t="str">
        <f>IF(B55="","",IF(ISNA(VLOOKUP($B55,'E-1 Off-Site Hedge Baseline'!$B$1:$X$257,16,FALSE)),"",(VLOOKUP($B55,'E-1 Off-Site Hedge Baseline'!$B$1:$X$257,16,FALSE))))</f>
        <v/>
      </c>
      <c r="L55" s="283" t="str">
        <f>IF(B55="","",IF(ISNA(VLOOKUP($B55,'E-1 Off-Site Hedge Baseline'!$B$1:$X$257,12,FALSE)),"",(VLOOKUP($B55,'E-1 Off-Site Hedge Baseline'!$B$1:$X$257,12,FALSE))))</f>
        <v/>
      </c>
      <c r="M55" s="244"/>
      <c r="N55" s="275" t="str">
        <f>IFERROR(IF(B55="","",INDEX('G-6 Hedgerow Data'!$AN$3:$AZ$15,MATCH(C55,'G-6 Hedgerow Data'!$AM$3:$AM$15,0),MATCH(M55,'G-6 Hedgerow Data'!$AN$2:$AZ$2,0))),"")</f>
        <v/>
      </c>
      <c r="O55" s="276" t="str">
        <f t="shared" si="1"/>
        <v/>
      </c>
      <c r="P55" s="281" t="str">
        <f>IF(B55="","",VLOOKUP(B55,'E-1 Off-Site Hedge Baseline'!$B$10:W300,19,FALSE))</f>
        <v/>
      </c>
      <c r="Q55" s="275" t="str">
        <f>IF(M55="","",VLOOKUP(M55,'G-6 Hedgerow Data'!$B$2:$AG$15,2,FALSE))</f>
        <v/>
      </c>
      <c r="R55" s="276" t="str">
        <f>IF(M55="","",VLOOKUP(M55,'G-6 Hedgerow Data'!$B$2:$AG$15,3,FALSE))</f>
        <v/>
      </c>
      <c r="S55" s="101"/>
      <c r="T55" s="276" t="str">
        <f>IFERROR(IF(S55="","",IF(AND(M55="Non-native and ornamental hedgerow",S55&lt;&gt;"Poor"),"Not possible ▲",(IF(AND(Q55="V.Low",OR(S55="Good",S55="Moderate")),"Error ▲",VLOOKUP(S55,'G-1 All Habitats'!$Z$2:$AA$9,2,FALSE))))),"")</f>
        <v/>
      </c>
      <c r="U55" s="101"/>
      <c r="V55" s="283" t="str">
        <f>IF(U55="","",IF(VLOOKUP(U55,'G-3 Multipliers'!$L$3:$N$6,2,FALSE)=0,"Spatial Data Missing ⚠",VLOOKUP(U55,'G-3 Multipliers'!$L$3:$N$6,2,FALSE)))</f>
        <v/>
      </c>
      <c r="W55" s="281" t="str">
        <f>IF(U55="","",IF(VLOOKUP(U55,'G-3 Multipliers'!$L$3:$N$6,3,FALSE)=0,"Spatial Data Missing ⚠",VLOOKUP(U55,'G-3 Multipliers'!$L$3:$N$6,3,FALSE)))</f>
        <v/>
      </c>
      <c r="X55" s="275" t="str">
        <f>IFERROR(IF(OR(LEFT(O55,5)="Error",LEFT(N55,5)="Error",T55="Error"),"Check Data ⚠",IF(F55&lt;R55,INDEX('G-6 Hedgerow Data'!$S$3:$AE$14,MATCH(C55,'G-6 Hedgerow Data'!$B$3:$B$14,0),MATCH(M55,'G-6 Hedgerow Data'!$S$2:$AE$2,0)),INDEX('G-6 Hedgerow Data'!$K$3:$Q$14,MATCH(M55,'G-6 Hedgerow Data'!$B$3:$B$14,0),MATCH(O55,'G-6 Hedgerow Data'!$K$2:$Q$2,0)))),"")</f>
        <v/>
      </c>
      <c r="Y55" s="133"/>
      <c r="Z55" s="133"/>
      <c r="AA55" s="283" t="str">
        <f t="shared" si="2"/>
        <v/>
      </c>
      <c r="AB55" s="296" t="str">
        <f t="shared" si="3"/>
        <v/>
      </c>
      <c r="AC55" s="297" t="str">
        <f t="shared" si="0"/>
        <v/>
      </c>
      <c r="AD55" s="311" t="str">
        <f>IF(M55="","",VLOOKUP(M55,'G-6 Hedgerow Data'!$B$3:$AG$15,31,FALSE))</f>
        <v/>
      </c>
      <c r="AE55" s="295" t="str">
        <f t="shared" si="4"/>
        <v/>
      </c>
      <c r="AF55" s="283" t="str">
        <f t="shared" si="5"/>
        <v/>
      </c>
      <c r="AG55" s="299" t="str">
        <f>IFERROR(IF(O55="","",VLOOKUP(AD55,'G-3 Multipliers'!$P$3:$Q$6,2,FALSE)),"")</f>
        <v/>
      </c>
      <c r="AH55" s="713" t="str">
        <f>IF(B55="","",IF(ISNA(VLOOKUP($B55,'E-1 Off-Site Hedge Baseline'!$B$1:$Z$257,14,FALSE)),"",(VLOOKUP($B55,'E-1 Off-Site Hedge Baseline'!$B$1:$Z$257,14,FALSE))))</f>
        <v/>
      </c>
      <c r="AI55" s="276" t="str">
        <f>IF(AH55="","",IF(VLOOKUP(AH55,'G-3 Multipliers'!$S$3:$T$10,2,FALSE)=0,"Spatial Data Missing ⚠",VLOOKUP(AH55,'G-3 Multipliers'!$S$3:$T$10,2,FALSE)))</f>
        <v/>
      </c>
      <c r="AJ55" s="317" t="str">
        <f t="shared" si="6"/>
        <v/>
      </c>
      <c r="AK55" s="289" t="str">
        <f t="shared" si="7"/>
        <v/>
      </c>
      <c r="AL55" s="101"/>
      <c r="AM55" s="115"/>
      <c r="AN55" s="104"/>
      <c r="AO55" s="104"/>
      <c r="AQ55" s="30" t="str">
        <f>IFERROR(INDEX('G-6 Hedgerow Data'!$BJ$3:$BJ$15,MATCH(M55,'G-6 Hedgerow Data'!$B$3:$B$15,0)),"")</f>
        <v/>
      </c>
    </row>
    <row r="56" spans="2:43" ht="14">
      <c r="B56" s="305" t="str">
        <f>'E-1 Off-Site Hedge Baseline'!AN54</f>
        <v/>
      </c>
      <c r="C56" s="295" t="str">
        <f>IF(B56="","",IF(ISNA(VLOOKUP($B56,'E-1 Off-Site Hedge Baseline'!$B$1:$L$257,3,FALSE)),"",(VLOOKUP($B56,'E-1 Off-Site Hedge Baseline'!$B$1:$L$257,3,FALSE))))</f>
        <v/>
      </c>
      <c r="D56" s="295" t="str">
        <f>IF(B56="","",IF(ISNA(VLOOKUP($B56,'E-1 Off-Site Hedge Baseline'!$B$1:$L$258,4,FALSE)),"",(VLOOKUP($B56,'E-1 Off-Site Hedge Baseline'!$B$1:$L$258,4,FALSE))))</f>
        <v/>
      </c>
      <c r="E56" s="295" t="str">
        <f>IF(B56="","",IF(ISNA(VLOOKUP($B56,'E-1 Off-Site Hedge Baseline'!$B$1:$L$257,5,FALSE)),"",(VLOOKUP($B56,'E-1 Off-Site Hedge Baseline'!$B$1:$L$257,5,FALSE))))</f>
        <v/>
      </c>
      <c r="F56" s="295" t="str">
        <f>IF(B56="","",IF(ISNA(VLOOKUP($B56,'E-1 Off-Site Hedge Baseline'!$B$1:$L$257,6,FALSE)),"",(VLOOKUP($B56,'E-1 Off-Site Hedge Baseline'!$B$1:$L$257,6,FALSE))))</f>
        <v/>
      </c>
      <c r="G56" s="295" t="str">
        <f>IF(B56="","",IF(ISNA(VLOOKUP($B56,'E-1 Off-Site Hedge Baseline'!$B$1:$L$257,7,FALSE)),"",(VLOOKUP($B56,'E-1 Off-Site Hedge Baseline'!$B$1:$L$257,7,FALSE))))</f>
        <v/>
      </c>
      <c r="H56" s="295" t="str">
        <f>IF(B56="","",IF(ISNA(VLOOKUP($B56,'E-1 Off-Site Hedge Baseline'!$B$1:$L$257,8,FALSE)),"",(VLOOKUP($B56,'E-1 Off-Site Hedge Baseline'!$B$1:$L$257,8,FALSE))))</f>
        <v/>
      </c>
      <c r="I56" s="295" t="str">
        <f>IF(B56="","",IF(ISNA(VLOOKUP($B56,'E-1 Off-Site Hedge Baseline'!$B$1:$L$257,10,FALSE)),"",(VLOOKUP($B56,'E-1 Off-Site Hedge Baseline'!$B$1:$L$257,10,FALSE))))</f>
        <v/>
      </c>
      <c r="J56" s="295" t="str">
        <f>IF(B56="","",IF(ISNA(VLOOKUP($B56,'E-1 Off-Site Hedge Baseline'!$B$1:$L$257,11,FALSE)),"",(VLOOKUP($B56,'E-1 Off-Site Hedge Baseline'!$B$1:$L$257,11,FALSE))))</f>
        <v/>
      </c>
      <c r="K56" s="295" t="str">
        <f>IF(B56="","",IF(ISNA(VLOOKUP($B56,'E-1 Off-Site Hedge Baseline'!$B$1:$X$257,16,FALSE)),"",(VLOOKUP($B56,'E-1 Off-Site Hedge Baseline'!$B$1:$X$257,16,FALSE))))</f>
        <v/>
      </c>
      <c r="L56" s="283" t="str">
        <f>IF(B56="","",IF(ISNA(VLOOKUP($B56,'E-1 Off-Site Hedge Baseline'!$B$1:$X$257,12,FALSE)),"",(VLOOKUP($B56,'E-1 Off-Site Hedge Baseline'!$B$1:$X$257,12,FALSE))))</f>
        <v/>
      </c>
      <c r="M56" s="244"/>
      <c r="N56" s="275" t="str">
        <f>IFERROR(IF(B56="","",INDEX('G-6 Hedgerow Data'!$AN$3:$AZ$15,MATCH(C56,'G-6 Hedgerow Data'!$AM$3:$AM$15,0),MATCH(M56,'G-6 Hedgerow Data'!$AN$2:$AZ$2,0))),"")</f>
        <v/>
      </c>
      <c r="O56" s="276" t="str">
        <f t="shared" si="1"/>
        <v/>
      </c>
      <c r="P56" s="281" t="str">
        <f>IF(B56="","",VLOOKUP(B56,'E-1 Off-Site Hedge Baseline'!$B$10:W301,19,FALSE))</f>
        <v/>
      </c>
      <c r="Q56" s="275" t="str">
        <f>IF(M56="","",VLOOKUP(M56,'G-6 Hedgerow Data'!$B$2:$AG$15,2,FALSE))</f>
        <v/>
      </c>
      <c r="R56" s="276" t="str">
        <f>IF(M56="","",VLOOKUP(M56,'G-6 Hedgerow Data'!$B$2:$AG$15,3,FALSE))</f>
        <v/>
      </c>
      <c r="S56" s="101"/>
      <c r="T56" s="276" t="str">
        <f>IFERROR(IF(S56="","",IF(AND(M56="Non-native and ornamental hedgerow",S56&lt;&gt;"Poor"),"Not possible ▲",(IF(AND(Q56="V.Low",OR(S56="Good",S56="Moderate")),"Error ▲",VLOOKUP(S56,'G-1 All Habitats'!$Z$2:$AA$9,2,FALSE))))),"")</f>
        <v/>
      </c>
      <c r="U56" s="101"/>
      <c r="V56" s="283" t="str">
        <f>IF(U56="","",IF(VLOOKUP(U56,'G-3 Multipliers'!$L$3:$N$6,2,FALSE)=0,"Spatial Data Missing ⚠",VLOOKUP(U56,'G-3 Multipliers'!$L$3:$N$6,2,FALSE)))</f>
        <v/>
      </c>
      <c r="W56" s="281" t="str">
        <f>IF(U56="","",IF(VLOOKUP(U56,'G-3 Multipliers'!$L$3:$N$6,3,FALSE)=0,"Spatial Data Missing ⚠",VLOOKUP(U56,'G-3 Multipliers'!$L$3:$N$6,3,FALSE)))</f>
        <v/>
      </c>
      <c r="X56" s="275" t="str">
        <f>IFERROR(IF(OR(LEFT(O56,5)="Error",LEFT(N56,5)="Error",T56="Error"),"Check Data ⚠",IF(F56&lt;R56,INDEX('G-6 Hedgerow Data'!$S$3:$AE$14,MATCH(C56,'G-6 Hedgerow Data'!$B$3:$B$14,0),MATCH(M56,'G-6 Hedgerow Data'!$S$2:$AE$2,0)),INDEX('G-6 Hedgerow Data'!$K$3:$Q$14,MATCH(M56,'G-6 Hedgerow Data'!$B$3:$B$14,0),MATCH(O56,'G-6 Hedgerow Data'!$K$2:$Q$2,0)))),"")</f>
        <v/>
      </c>
      <c r="Y56" s="133"/>
      <c r="Z56" s="133"/>
      <c r="AA56" s="283" t="str">
        <f t="shared" si="2"/>
        <v/>
      </c>
      <c r="AB56" s="296" t="str">
        <f t="shared" si="3"/>
        <v/>
      </c>
      <c r="AC56" s="297" t="str">
        <f t="shared" si="0"/>
        <v/>
      </c>
      <c r="AD56" s="311" t="str">
        <f>IF(M56="","",VLOOKUP(M56,'G-6 Hedgerow Data'!$B$3:$AG$15,31,FALSE))</f>
        <v/>
      </c>
      <c r="AE56" s="295" t="str">
        <f t="shared" si="4"/>
        <v/>
      </c>
      <c r="AF56" s="283" t="str">
        <f t="shared" si="5"/>
        <v/>
      </c>
      <c r="AG56" s="299" t="str">
        <f>IFERROR(IF(O56="","",VLOOKUP(AD56,'G-3 Multipliers'!$P$3:$Q$6,2,FALSE)),"")</f>
        <v/>
      </c>
      <c r="AH56" s="713" t="str">
        <f>IF(B56="","",IF(ISNA(VLOOKUP($B56,'E-1 Off-Site Hedge Baseline'!$B$1:$Z$257,14,FALSE)),"",(VLOOKUP($B56,'E-1 Off-Site Hedge Baseline'!$B$1:$Z$257,14,FALSE))))</f>
        <v/>
      </c>
      <c r="AI56" s="276" t="str">
        <f>IF(AH56="","",IF(VLOOKUP(AH56,'G-3 Multipliers'!$S$3:$T$10,2,FALSE)=0,"Spatial Data Missing ⚠",VLOOKUP(AH56,'G-3 Multipliers'!$S$3:$T$10,2,FALSE)))</f>
        <v/>
      </c>
      <c r="AJ56" s="317" t="str">
        <f t="shared" si="6"/>
        <v/>
      </c>
      <c r="AK56" s="289" t="str">
        <f t="shared" si="7"/>
        <v/>
      </c>
      <c r="AL56" s="101"/>
      <c r="AM56" s="115"/>
      <c r="AN56" s="104"/>
      <c r="AO56" s="104"/>
      <c r="AQ56" s="30" t="str">
        <f>IFERROR(INDEX('G-6 Hedgerow Data'!$BJ$3:$BJ$15,MATCH(M56,'G-6 Hedgerow Data'!$B$3:$B$15,0)),"")</f>
        <v/>
      </c>
    </row>
    <row r="57" spans="2:43" ht="14">
      <c r="B57" s="305" t="str">
        <f>'E-1 Off-Site Hedge Baseline'!AN55</f>
        <v/>
      </c>
      <c r="C57" s="295" t="str">
        <f>IF(B57="","",IF(ISNA(VLOOKUP($B57,'E-1 Off-Site Hedge Baseline'!$B$1:$L$257,3,FALSE)),"",(VLOOKUP($B57,'E-1 Off-Site Hedge Baseline'!$B$1:$L$257,3,FALSE))))</f>
        <v/>
      </c>
      <c r="D57" s="295" t="str">
        <f>IF(B57="","",IF(ISNA(VLOOKUP($B57,'E-1 Off-Site Hedge Baseline'!$B$1:$L$258,4,FALSE)),"",(VLOOKUP($B57,'E-1 Off-Site Hedge Baseline'!$B$1:$L$258,4,FALSE))))</f>
        <v/>
      </c>
      <c r="E57" s="295" t="str">
        <f>IF(B57="","",IF(ISNA(VLOOKUP($B57,'E-1 Off-Site Hedge Baseline'!$B$1:$L$257,5,FALSE)),"",(VLOOKUP($B57,'E-1 Off-Site Hedge Baseline'!$B$1:$L$257,5,FALSE))))</f>
        <v/>
      </c>
      <c r="F57" s="295" t="str">
        <f>IF(B57="","",IF(ISNA(VLOOKUP($B57,'E-1 Off-Site Hedge Baseline'!$B$1:$L$257,6,FALSE)),"",(VLOOKUP($B57,'E-1 Off-Site Hedge Baseline'!$B$1:$L$257,6,FALSE))))</f>
        <v/>
      </c>
      <c r="G57" s="295" t="str">
        <f>IF(B57="","",IF(ISNA(VLOOKUP($B57,'E-1 Off-Site Hedge Baseline'!$B$1:$L$257,7,FALSE)),"",(VLOOKUP($B57,'E-1 Off-Site Hedge Baseline'!$B$1:$L$257,7,FALSE))))</f>
        <v/>
      </c>
      <c r="H57" s="295" t="str">
        <f>IF(B57="","",IF(ISNA(VLOOKUP($B57,'E-1 Off-Site Hedge Baseline'!$B$1:$L$257,8,FALSE)),"",(VLOOKUP($B57,'E-1 Off-Site Hedge Baseline'!$B$1:$L$257,8,FALSE))))</f>
        <v/>
      </c>
      <c r="I57" s="295" t="str">
        <f>IF(B57="","",IF(ISNA(VLOOKUP($B57,'E-1 Off-Site Hedge Baseline'!$B$1:$L$257,10,FALSE)),"",(VLOOKUP($B57,'E-1 Off-Site Hedge Baseline'!$B$1:$L$257,10,FALSE))))</f>
        <v/>
      </c>
      <c r="J57" s="295" t="str">
        <f>IF(B57="","",IF(ISNA(VLOOKUP($B57,'E-1 Off-Site Hedge Baseline'!$B$1:$L$257,11,FALSE)),"",(VLOOKUP($B57,'E-1 Off-Site Hedge Baseline'!$B$1:$L$257,11,FALSE))))</f>
        <v/>
      </c>
      <c r="K57" s="295" t="str">
        <f>IF(B57="","",IF(ISNA(VLOOKUP($B57,'E-1 Off-Site Hedge Baseline'!$B$1:$X$257,16,FALSE)),"",(VLOOKUP($B57,'E-1 Off-Site Hedge Baseline'!$B$1:$X$257,16,FALSE))))</f>
        <v/>
      </c>
      <c r="L57" s="283" t="str">
        <f>IF(B57="","",IF(ISNA(VLOOKUP($B57,'E-1 Off-Site Hedge Baseline'!$B$1:$X$257,12,FALSE)),"",(VLOOKUP($B57,'E-1 Off-Site Hedge Baseline'!$B$1:$X$257,12,FALSE))))</f>
        <v/>
      </c>
      <c r="M57" s="244"/>
      <c r="N57" s="275" t="str">
        <f>IFERROR(IF(B57="","",INDEX('G-6 Hedgerow Data'!$AN$3:$AZ$15,MATCH(C57,'G-6 Hedgerow Data'!$AM$3:$AM$15,0),MATCH(M57,'G-6 Hedgerow Data'!$AN$2:$AZ$2,0))),"")</f>
        <v/>
      </c>
      <c r="O57" s="276" t="str">
        <f t="shared" si="1"/>
        <v/>
      </c>
      <c r="P57" s="281" t="str">
        <f>IF(B57="","",VLOOKUP(B57,'E-1 Off-Site Hedge Baseline'!$B$10:W302,19,FALSE))</f>
        <v/>
      </c>
      <c r="Q57" s="275" t="str">
        <f>IF(M57="","",VLOOKUP(M57,'G-6 Hedgerow Data'!$B$2:$AG$15,2,FALSE))</f>
        <v/>
      </c>
      <c r="R57" s="276" t="str">
        <f>IF(M57="","",VLOOKUP(M57,'G-6 Hedgerow Data'!$B$2:$AG$15,3,FALSE))</f>
        <v/>
      </c>
      <c r="S57" s="101"/>
      <c r="T57" s="276" t="str">
        <f>IFERROR(IF(S57="","",IF(AND(M57="Non-native and ornamental hedgerow",S57&lt;&gt;"Poor"),"Not possible ▲",(IF(AND(Q57="V.Low",OR(S57="Good",S57="Moderate")),"Error ▲",VLOOKUP(S57,'G-1 All Habitats'!$Z$2:$AA$9,2,FALSE))))),"")</f>
        <v/>
      </c>
      <c r="U57" s="101"/>
      <c r="V57" s="283" t="str">
        <f>IF(U57="","",IF(VLOOKUP(U57,'G-3 Multipliers'!$L$3:$N$6,2,FALSE)=0,"Spatial Data Missing ⚠",VLOOKUP(U57,'G-3 Multipliers'!$L$3:$N$6,2,FALSE)))</f>
        <v/>
      </c>
      <c r="W57" s="281" t="str">
        <f>IF(U57="","",IF(VLOOKUP(U57,'G-3 Multipliers'!$L$3:$N$6,3,FALSE)=0,"Spatial Data Missing ⚠",VLOOKUP(U57,'G-3 Multipliers'!$L$3:$N$6,3,FALSE)))</f>
        <v/>
      </c>
      <c r="X57" s="275" t="str">
        <f>IFERROR(IF(OR(LEFT(O57,5)="Error",LEFT(N57,5)="Error",T57="Error"),"Check Data ⚠",IF(F57&lt;R57,INDEX('G-6 Hedgerow Data'!$S$3:$AE$14,MATCH(C57,'G-6 Hedgerow Data'!$B$3:$B$14,0),MATCH(M57,'G-6 Hedgerow Data'!$S$2:$AE$2,0)),INDEX('G-6 Hedgerow Data'!$K$3:$Q$14,MATCH(M57,'G-6 Hedgerow Data'!$B$3:$B$14,0),MATCH(O57,'G-6 Hedgerow Data'!$K$2:$Q$2,0)))),"")</f>
        <v/>
      </c>
      <c r="Y57" s="133"/>
      <c r="Z57" s="133"/>
      <c r="AA57" s="283" t="str">
        <f t="shared" si="2"/>
        <v/>
      </c>
      <c r="AB57" s="296" t="str">
        <f t="shared" si="3"/>
        <v/>
      </c>
      <c r="AC57" s="297" t="str">
        <f t="shared" si="0"/>
        <v/>
      </c>
      <c r="AD57" s="311" t="str">
        <f>IF(M57="","",VLOOKUP(M57,'G-6 Hedgerow Data'!$B$3:$AG$15,31,FALSE))</f>
        <v/>
      </c>
      <c r="AE57" s="295" t="str">
        <f t="shared" si="4"/>
        <v/>
      </c>
      <c r="AF57" s="283" t="str">
        <f t="shared" si="5"/>
        <v/>
      </c>
      <c r="AG57" s="299" t="str">
        <f>IFERROR(IF(O57="","",VLOOKUP(AD57,'G-3 Multipliers'!$P$3:$Q$6,2,FALSE)),"")</f>
        <v/>
      </c>
      <c r="AH57" s="713" t="str">
        <f>IF(B57="","",IF(ISNA(VLOOKUP($B57,'E-1 Off-Site Hedge Baseline'!$B$1:$Z$257,14,FALSE)),"",(VLOOKUP($B57,'E-1 Off-Site Hedge Baseline'!$B$1:$Z$257,14,FALSE))))</f>
        <v/>
      </c>
      <c r="AI57" s="276" t="str">
        <f>IF(AH57="","",IF(VLOOKUP(AH57,'G-3 Multipliers'!$S$3:$T$10,2,FALSE)=0,"Spatial Data Missing ⚠",VLOOKUP(AH57,'G-3 Multipliers'!$S$3:$T$10,2,FALSE)))</f>
        <v/>
      </c>
      <c r="AJ57" s="317" t="str">
        <f t="shared" si="6"/>
        <v/>
      </c>
      <c r="AK57" s="289" t="str">
        <f t="shared" si="7"/>
        <v/>
      </c>
      <c r="AL57" s="101"/>
      <c r="AM57" s="115"/>
      <c r="AN57" s="104"/>
      <c r="AO57" s="104"/>
      <c r="AQ57" s="30" t="str">
        <f>IFERROR(INDEX('G-6 Hedgerow Data'!$BJ$3:$BJ$15,MATCH(M57,'G-6 Hedgerow Data'!$B$3:$B$15,0)),"")</f>
        <v/>
      </c>
    </row>
    <row r="58" spans="2:43" ht="14">
      <c r="B58" s="305" t="str">
        <f>'E-1 Off-Site Hedge Baseline'!AN56</f>
        <v/>
      </c>
      <c r="C58" s="295" t="str">
        <f>IF(B58="","",IF(ISNA(VLOOKUP($B58,'E-1 Off-Site Hedge Baseline'!$B$1:$L$257,3,FALSE)),"",(VLOOKUP($B58,'E-1 Off-Site Hedge Baseline'!$B$1:$L$257,3,FALSE))))</f>
        <v/>
      </c>
      <c r="D58" s="295" t="str">
        <f>IF(B58="","",IF(ISNA(VLOOKUP($B58,'E-1 Off-Site Hedge Baseline'!$B$1:$L$258,4,FALSE)),"",(VLOOKUP($B58,'E-1 Off-Site Hedge Baseline'!$B$1:$L$258,4,FALSE))))</f>
        <v/>
      </c>
      <c r="E58" s="295" t="str">
        <f>IF(B58="","",IF(ISNA(VLOOKUP($B58,'E-1 Off-Site Hedge Baseline'!$B$1:$L$257,5,FALSE)),"",(VLOOKUP($B58,'E-1 Off-Site Hedge Baseline'!$B$1:$L$257,5,FALSE))))</f>
        <v/>
      </c>
      <c r="F58" s="295" t="str">
        <f>IF(B58="","",IF(ISNA(VLOOKUP($B58,'E-1 Off-Site Hedge Baseline'!$B$1:$L$257,6,FALSE)),"",(VLOOKUP($B58,'E-1 Off-Site Hedge Baseline'!$B$1:$L$257,6,FALSE))))</f>
        <v/>
      </c>
      <c r="G58" s="295" t="str">
        <f>IF(B58="","",IF(ISNA(VLOOKUP($B58,'E-1 Off-Site Hedge Baseline'!$B$1:$L$257,7,FALSE)),"",(VLOOKUP($B58,'E-1 Off-Site Hedge Baseline'!$B$1:$L$257,7,FALSE))))</f>
        <v/>
      </c>
      <c r="H58" s="295" t="str">
        <f>IF(B58="","",IF(ISNA(VLOOKUP($B58,'E-1 Off-Site Hedge Baseline'!$B$1:$L$257,8,FALSE)),"",(VLOOKUP($B58,'E-1 Off-Site Hedge Baseline'!$B$1:$L$257,8,FALSE))))</f>
        <v/>
      </c>
      <c r="I58" s="295" t="str">
        <f>IF(B58="","",IF(ISNA(VLOOKUP($B58,'E-1 Off-Site Hedge Baseline'!$B$1:$L$257,10,FALSE)),"",(VLOOKUP($B58,'E-1 Off-Site Hedge Baseline'!$B$1:$L$257,10,FALSE))))</f>
        <v/>
      </c>
      <c r="J58" s="295" t="str">
        <f>IF(B58="","",IF(ISNA(VLOOKUP($B58,'E-1 Off-Site Hedge Baseline'!$B$1:$L$257,11,FALSE)),"",(VLOOKUP($B58,'E-1 Off-Site Hedge Baseline'!$B$1:$L$257,11,FALSE))))</f>
        <v/>
      </c>
      <c r="K58" s="295" t="str">
        <f>IF(B58="","",IF(ISNA(VLOOKUP($B58,'E-1 Off-Site Hedge Baseline'!$B$1:$X$257,16,FALSE)),"",(VLOOKUP($B58,'E-1 Off-Site Hedge Baseline'!$B$1:$X$257,16,FALSE))))</f>
        <v/>
      </c>
      <c r="L58" s="283" t="str">
        <f>IF(B58="","",IF(ISNA(VLOOKUP($B58,'E-1 Off-Site Hedge Baseline'!$B$1:$X$257,12,FALSE)),"",(VLOOKUP($B58,'E-1 Off-Site Hedge Baseline'!$B$1:$X$257,12,FALSE))))</f>
        <v/>
      </c>
      <c r="M58" s="244"/>
      <c r="N58" s="275" t="str">
        <f>IFERROR(IF(B58="","",INDEX('G-6 Hedgerow Data'!$AN$3:$AZ$15,MATCH(C58,'G-6 Hedgerow Data'!$AM$3:$AM$15,0),MATCH(M58,'G-6 Hedgerow Data'!$AN$2:$AZ$2,0))),"")</f>
        <v/>
      </c>
      <c r="O58" s="276" t="str">
        <f t="shared" si="1"/>
        <v/>
      </c>
      <c r="P58" s="281" t="str">
        <f>IF(B58="","",VLOOKUP(B58,'E-1 Off-Site Hedge Baseline'!$B$10:W303,19,FALSE))</f>
        <v/>
      </c>
      <c r="Q58" s="275" t="str">
        <f>IF(M58="","",VLOOKUP(M58,'G-6 Hedgerow Data'!$B$2:$AG$15,2,FALSE))</f>
        <v/>
      </c>
      <c r="R58" s="276" t="str">
        <f>IF(M58="","",VLOOKUP(M58,'G-6 Hedgerow Data'!$B$2:$AG$15,3,FALSE))</f>
        <v/>
      </c>
      <c r="S58" s="101"/>
      <c r="T58" s="276" t="str">
        <f>IFERROR(IF(S58="","",IF(AND(M58="Non-native and ornamental hedgerow",S58&lt;&gt;"Poor"),"Not possible ▲",(IF(AND(Q58="V.Low",OR(S58="Good",S58="Moderate")),"Error ▲",VLOOKUP(S58,'G-1 All Habitats'!$Z$2:$AA$9,2,FALSE))))),"")</f>
        <v/>
      </c>
      <c r="U58" s="101"/>
      <c r="V58" s="283" t="str">
        <f>IF(U58="","",IF(VLOOKUP(U58,'G-3 Multipliers'!$L$3:$N$6,2,FALSE)=0,"Spatial Data Missing ⚠",VLOOKUP(U58,'G-3 Multipliers'!$L$3:$N$6,2,FALSE)))</f>
        <v/>
      </c>
      <c r="W58" s="281" t="str">
        <f>IF(U58="","",IF(VLOOKUP(U58,'G-3 Multipliers'!$L$3:$N$6,3,FALSE)=0,"Spatial Data Missing ⚠",VLOOKUP(U58,'G-3 Multipliers'!$L$3:$N$6,3,FALSE)))</f>
        <v/>
      </c>
      <c r="X58" s="275" t="str">
        <f>IFERROR(IF(OR(LEFT(O58,5)="Error",LEFT(N58,5)="Error",T58="Error"),"Check Data ⚠",IF(F58&lt;R58,INDEX('G-6 Hedgerow Data'!$S$3:$AE$14,MATCH(C58,'G-6 Hedgerow Data'!$B$3:$B$14,0),MATCH(M58,'G-6 Hedgerow Data'!$S$2:$AE$2,0)),INDEX('G-6 Hedgerow Data'!$K$3:$Q$14,MATCH(M58,'G-6 Hedgerow Data'!$B$3:$B$14,0),MATCH(O58,'G-6 Hedgerow Data'!$K$2:$Q$2,0)))),"")</f>
        <v/>
      </c>
      <c r="Y58" s="133"/>
      <c r="Z58" s="133"/>
      <c r="AA58" s="283" t="str">
        <f t="shared" si="2"/>
        <v/>
      </c>
      <c r="AB58" s="296" t="str">
        <f t="shared" si="3"/>
        <v/>
      </c>
      <c r="AC58" s="297" t="str">
        <f t="shared" si="0"/>
        <v/>
      </c>
      <c r="AD58" s="311" t="str">
        <f>IF(M58="","",VLOOKUP(M58,'G-6 Hedgerow Data'!$B$3:$AG$15,31,FALSE))</f>
        <v/>
      </c>
      <c r="AE58" s="295" t="str">
        <f t="shared" si="4"/>
        <v/>
      </c>
      <c r="AF58" s="283" t="str">
        <f t="shared" si="5"/>
        <v/>
      </c>
      <c r="AG58" s="299" t="str">
        <f>IFERROR(IF(O58="","",VLOOKUP(AD58,'G-3 Multipliers'!$P$3:$Q$6,2,FALSE)),"")</f>
        <v/>
      </c>
      <c r="AH58" s="713" t="str">
        <f>IF(B58="","",IF(ISNA(VLOOKUP($B58,'E-1 Off-Site Hedge Baseline'!$B$1:$Z$257,14,FALSE)),"",(VLOOKUP($B58,'E-1 Off-Site Hedge Baseline'!$B$1:$Z$257,14,FALSE))))</f>
        <v/>
      </c>
      <c r="AI58" s="276" t="str">
        <f>IF(AH58="","",IF(VLOOKUP(AH58,'G-3 Multipliers'!$S$3:$T$10,2,FALSE)=0,"Spatial Data Missing ⚠",VLOOKUP(AH58,'G-3 Multipliers'!$S$3:$T$10,2,FALSE)))</f>
        <v/>
      </c>
      <c r="AJ58" s="317" t="str">
        <f t="shared" si="6"/>
        <v/>
      </c>
      <c r="AK58" s="289" t="str">
        <f t="shared" si="7"/>
        <v/>
      </c>
      <c r="AL58" s="101"/>
      <c r="AM58" s="115"/>
      <c r="AN58" s="104"/>
      <c r="AO58" s="104"/>
      <c r="AQ58" s="30" t="str">
        <f>IFERROR(INDEX('G-6 Hedgerow Data'!$BJ$3:$BJ$15,MATCH(M58,'G-6 Hedgerow Data'!$B$3:$B$15,0)),"")</f>
        <v/>
      </c>
    </row>
    <row r="59" spans="2:43" ht="14">
      <c r="B59" s="305" t="str">
        <f>'E-1 Off-Site Hedge Baseline'!AN57</f>
        <v/>
      </c>
      <c r="C59" s="295" t="str">
        <f>IF(B59="","",IF(ISNA(VLOOKUP($B59,'E-1 Off-Site Hedge Baseline'!$B$1:$L$257,3,FALSE)),"",(VLOOKUP($B59,'E-1 Off-Site Hedge Baseline'!$B$1:$L$257,3,FALSE))))</f>
        <v/>
      </c>
      <c r="D59" s="295" t="str">
        <f>IF(B59="","",IF(ISNA(VLOOKUP($B59,'E-1 Off-Site Hedge Baseline'!$B$1:$L$258,4,FALSE)),"",(VLOOKUP($B59,'E-1 Off-Site Hedge Baseline'!$B$1:$L$258,4,FALSE))))</f>
        <v/>
      </c>
      <c r="E59" s="295" t="str">
        <f>IF(B59="","",IF(ISNA(VLOOKUP($B59,'E-1 Off-Site Hedge Baseline'!$B$1:$L$257,5,FALSE)),"",(VLOOKUP($B59,'E-1 Off-Site Hedge Baseline'!$B$1:$L$257,5,FALSE))))</f>
        <v/>
      </c>
      <c r="F59" s="295" t="str">
        <f>IF(B59="","",IF(ISNA(VLOOKUP($B59,'E-1 Off-Site Hedge Baseline'!$B$1:$L$257,6,FALSE)),"",(VLOOKUP($B59,'E-1 Off-Site Hedge Baseline'!$B$1:$L$257,6,FALSE))))</f>
        <v/>
      </c>
      <c r="G59" s="295" t="str">
        <f>IF(B59="","",IF(ISNA(VLOOKUP($B59,'E-1 Off-Site Hedge Baseline'!$B$1:$L$257,7,FALSE)),"",(VLOOKUP($B59,'E-1 Off-Site Hedge Baseline'!$B$1:$L$257,7,FALSE))))</f>
        <v/>
      </c>
      <c r="H59" s="295" t="str">
        <f>IF(B59="","",IF(ISNA(VLOOKUP($B59,'E-1 Off-Site Hedge Baseline'!$B$1:$L$257,8,FALSE)),"",(VLOOKUP($B59,'E-1 Off-Site Hedge Baseline'!$B$1:$L$257,8,FALSE))))</f>
        <v/>
      </c>
      <c r="I59" s="295" t="str">
        <f>IF(B59="","",IF(ISNA(VLOOKUP($B59,'E-1 Off-Site Hedge Baseline'!$B$1:$L$257,10,FALSE)),"",(VLOOKUP($B59,'E-1 Off-Site Hedge Baseline'!$B$1:$L$257,10,FALSE))))</f>
        <v/>
      </c>
      <c r="J59" s="295" t="str">
        <f>IF(B59="","",IF(ISNA(VLOOKUP($B59,'E-1 Off-Site Hedge Baseline'!$B$1:$L$257,11,FALSE)),"",(VLOOKUP($B59,'E-1 Off-Site Hedge Baseline'!$B$1:$L$257,11,FALSE))))</f>
        <v/>
      </c>
      <c r="K59" s="295" t="str">
        <f>IF(B59="","",IF(ISNA(VLOOKUP($B59,'E-1 Off-Site Hedge Baseline'!$B$1:$X$257,16,FALSE)),"",(VLOOKUP($B59,'E-1 Off-Site Hedge Baseline'!$B$1:$X$257,16,FALSE))))</f>
        <v/>
      </c>
      <c r="L59" s="283" t="str">
        <f>IF(B59="","",IF(ISNA(VLOOKUP($B59,'E-1 Off-Site Hedge Baseline'!$B$1:$X$257,12,FALSE)),"",(VLOOKUP($B59,'E-1 Off-Site Hedge Baseline'!$B$1:$X$257,12,FALSE))))</f>
        <v/>
      </c>
      <c r="M59" s="244"/>
      <c r="N59" s="275" t="str">
        <f>IFERROR(IF(B59="","",INDEX('G-6 Hedgerow Data'!$AN$3:$AZ$15,MATCH(C59,'G-6 Hedgerow Data'!$AM$3:$AM$15,0),MATCH(M59,'G-6 Hedgerow Data'!$AN$2:$AZ$2,0))),"")</f>
        <v/>
      </c>
      <c r="O59" s="276" t="str">
        <f t="shared" si="1"/>
        <v/>
      </c>
      <c r="P59" s="281" t="str">
        <f>IF(B59="","",VLOOKUP(B59,'E-1 Off-Site Hedge Baseline'!$B$10:W304,19,FALSE))</f>
        <v/>
      </c>
      <c r="Q59" s="275" t="str">
        <f>IF(M59="","",VLOOKUP(M59,'G-6 Hedgerow Data'!$B$2:$AG$15,2,FALSE))</f>
        <v/>
      </c>
      <c r="R59" s="276" t="str">
        <f>IF(M59="","",VLOOKUP(M59,'G-6 Hedgerow Data'!$B$2:$AG$15,3,FALSE))</f>
        <v/>
      </c>
      <c r="S59" s="101"/>
      <c r="T59" s="276" t="str">
        <f>IFERROR(IF(S59="","",IF(AND(M59="Non-native and ornamental hedgerow",S59&lt;&gt;"Poor"),"Not possible ▲",(IF(AND(Q59="V.Low",OR(S59="Good",S59="Moderate")),"Error ▲",VLOOKUP(S59,'G-1 All Habitats'!$Z$2:$AA$9,2,FALSE))))),"")</f>
        <v/>
      </c>
      <c r="U59" s="101"/>
      <c r="V59" s="283" t="str">
        <f>IF(U59="","",IF(VLOOKUP(U59,'G-3 Multipliers'!$L$3:$N$6,2,FALSE)=0,"Spatial Data Missing ⚠",VLOOKUP(U59,'G-3 Multipliers'!$L$3:$N$6,2,FALSE)))</f>
        <v/>
      </c>
      <c r="W59" s="281" t="str">
        <f>IF(U59="","",IF(VLOOKUP(U59,'G-3 Multipliers'!$L$3:$N$6,3,FALSE)=0,"Spatial Data Missing ⚠",VLOOKUP(U59,'G-3 Multipliers'!$L$3:$N$6,3,FALSE)))</f>
        <v/>
      </c>
      <c r="X59" s="275" t="str">
        <f>IFERROR(IF(OR(LEFT(O59,5)="Error",LEFT(N59,5)="Error",T59="Error"),"Check Data ⚠",IF(F59&lt;R59,INDEX('G-6 Hedgerow Data'!$S$3:$AE$14,MATCH(C59,'G-6 Hedgerow Data'!$B$3:$B$14,0),MATCH(M59,'G-6 Hedgerow Data'!$S$2:$AE$2,0)),INDEX('G-6 Hedgerow Data'!$K$3:$Q$14,MATCH(M59,'G-6 Hedgerow Data'!$B$3:$B$14,0),MATCH(O59,'G-6 Hedgerow Data'!$K$2:$Q$2,0)))),"")</f>
        <v/>
      </c>
      <c r="Y59" s="133"/>
      <c r="Z59" s="133"/>
      <c r="AA59" s="283" t="str">
        <f t="shared" si="2"/>
        <v/>
      </c>
      <c r="AB59" s="296" t="str">
        <f t="shared" si="3"/>
        <v/>
      </c>
      <c r="AC59" s="297" t="str">
        <f t="shared" si="0"/>
        <v/>
      </c>
      <c r="AD59" s="311" t="str">
        <f>IF(M59="","",VLOOKUP(M59,'G-6 Hedgerow Data'!$B$3:$AG$15,31,FALSE))</f>
        <v/>
      </c>
      <c r="AE59" s="295" t="str">
        <f t="shared" si="4"/>
        <v/>
      </c>
      <c r="AF59" s="283" t="str">
        <f t="shared" si="5"/>
        <v/>
      </c>
      <c r="AG59" s="299" t="str">
        <f>IFERROR(IF(O59="","",VLOOKUP(AD59,'G-3 Multipliers'!$P$3:$Q$6,2,FALSE)),"")</f>
        <v/>
      </c>
      <c r="AH59" s="713" t="str">
        <f>IF(B59="","",IF(ISNA(VLOOKUP($B59,'E-1 Off-Site Hedge Baseline'!$B$1:$Z$257,14,FALSE)),"",(VLOOKUP($B59,'E-1 Off-Site Hedge Baseline'!$B$1:$Z$257,14,FALSE))))</f>
        <v/>
      </c>
      <c r="AI59" s="276" t="str">
        <f>IF(AH59="","",IF(VLOOKUP(AH59,'G-3 Multipliers'!$S$3:$T$10,2,FALSE)=0,"Spatial Data Missing ⚠",VLOOKUP(AH59,'G-3 Multipliers'!$S$3:$T$10,2,FALSE)))</f>
        <v/>
      </c>
      <c r="AJ59" s="317" t="str">
        <f t="shared" si="6"/>
        <v/>
      </c>
      <c r="AK59" s="289" t="str">
        <f t="shared" si="7"/>
        <v/>
      </c>
      <c r="AL59" s="101"/>
      <c r="AM59" s="115"/>
      <c r="AN59" s="104"/>
      <c r="AO59" s="104"/>
      <c r="AQ59" s="30" t="str">
        <f>IFERROR(INDEX('G-6 Hedgerow Data'!$BJ$3:$BJ$15,MATCH(M59,'G-6 Hedgerow Data'!$B$3:$B$15,0)),"")</f>
        <v/>
      </c>
    </row>
    <row r="60" spans="2:43" ht="14">
      <c r="B60" s="305" t="str">
        <f>'E-1 Off-Site Hedge Baseline'!AN58</f>
        <v/>
      </c>
      <c r="C60" s="295" t="str">
        <f>IF(B60="","",IF(ISNA(VLOOKUP($B60,'E-1 Off-Site Hedge Baseline'!$B$1:$L$257,3,FALSE)),"",(VLOOKUP($B60,'E-1 Off-Site Hedge Baseline'!$B$1:$L$257,3,FALSE))))</f>
        <v/>
      </c>
      <c r="D60" s="295" t="str">
        <f>IF(B60="","",IF(ISNA(VLOOKUP($B60,'E-1 Off-Site Hedge Baseline'!$B$1:$L$258,4,FALSE)),"",(VLOOKUP($B60,'E-1 Off-Site Hedge Baseline'!$B$1:$L$258,4,FALSE))))</f>
        <v/>
      </c>
      <c r="E60" s="295" t="str">
        <f>IF(B60="","",IF(ISNA(VLOOKUP($B60,'E-1 Off-Site Hedge Baseline'!$B$1:$L$257,5,FALSE)),"",(VLOOKUP($B60,'E-1 Off-Site Hedge Baseline'!$B$1:$L$257,5,FALSE))))</f>
        <v/>
      </c>
      <c r="F60" s="295" t="str">
        <f>IF(B60="","",IF(ISNA(VLOOKUP($B60,'E-1 Off-Site Hedge Baseline'!$B$1:$L$257,6,FALSE)),"",(VLOOKUP($B60,'E-1 Off-Site Hedge Baseline'!$B$1:$L$257,6,FALSE))))</f>
        <v/>
      </c>
      <c r="G60" s="295" t="str">
        <f>IF(B60="","",IF(ISNA(VLOOKUP($B60,'E-1 Off-Site Hedge Baseline'!$B$1:$L$257,7,FALSE)),"",(VLOOKUP($B60,'E-1 Off-Site Hedge Baseline'!$B$1:$L$257,7,FALSE))))</f>
        <v/>
      </c>
      <c r="H60" s="295" t="str">
        <f>IF(B60="","",IF(ISNA(VLOOKUP($B60,'E-1 Off-Site Hedge Baseline'!$B$1:$L$257,8,FALSE)),"",(VLOOKUP($B60,'E-1 Off-Site Hedge Baseline'!$B$1:$L$257,8,FALSE))))</f>
        <v/>
      </c>
      <c r="I60" s="295" t="str">
        <f>IF(B60="","",IF(ISNA(VLOOKUP($B60,'E-1 Off-Site Hedge Baseline'!$B$1:$L$257,10,FALSE)),"",(VLOOKUP($B60,'E-1 Off-Site Hedge Baseline'!$B$1:$L$257,10,FALSE))))</f>
        <v/>
      </c>
      <c r="J60" s="295" t="str">
        <f>IF(B60="","",IF(ISNA(VLOOKUP($B60,'E-1 Off-Site Hedge Baseline'!$B$1:$L$257,11,FALSE)),"",(VLOOKUP($B60,'E-1 Off-Site Hedge Baseline'!$B$1:$L$257,11,FALSE))))</f>
        <v/>
      </c>
      <c r="K60" s="295" t="str">
        <f>IF(B60="","",IF(ISNA(VLOOKUP($B60,'E-1 Off-Site Hedge Baseline'!$B$1:$X$257,16,FALSE)),"",(VLOOKUP($B60,'E-1 Off-Site Hedge Baseline'!$B$1:$X$257,16,FALSE))))</f>
        <v/>
      </c>
      <c r="L60" s="283" t="str">
        <f>IF(B60="","",IF(ISNA(VLOOKUP($B60,'E-1 Off-Site Hedge Baseline'!$B$1:$X$257,12,FALSE)),"",(VLOOKUP($B60,'E-1 Off-Site Hedge Baseline'!$B$1:$X$257,12,FALSE))))</f>
        <v/>
      </c>
      <c r="M60" s="244"/>
      <c r="N60" s="275" t="str">
        <f>IFERROR(IF(B60="","",INDEX('G-6 Hedgerow Data'!$AN$3:$AZ$15,MATCH(C60,'G-6 Hedgerow Data'!$AM$3:$AM$15,0),MATCH(M60,'G-6 Hedgerow Data'!$AN$2:$AZ$2,0))),"")</f>
        <v/>
      </c>
      <c r="O60" s="276" t="str">
        <f t="shared" si="1"/>
        <v/>
      </c>
      <c r="P60" s="281" t="str">
        <f>IF(B60="","",VLOOKUP(B60,'E-1 Off-Site Hedge Baseline'!$B$10:W305,19,FALSE))</f>
        <v/>
      </c>
      <c r="Q60" s="275" t="str">
        <f>IF(M60="","",VLOOKUP(M60,'G-6 Hedgerow Data'!$B$2:$AG$15,2,FALSE))</f>
        <v/>
      </c>
      <c r="R60" s="276" t="str">
        <f>IF(M60="","",VLOOKUP(M60,'G-6 Hedgerow Data'!$B$2:$AG$15,3,FALSE))</f>
        <v/>
      </c>
      <c r="S60" s="101"/>
      <c r="T60" s="276" t="str">
        <f>IFERROR(IF(S60="","",IF(AND(M60="Non-native and ornamental hedgerow",S60&lt;&gt;"Poor"),"Not possible ▲",(IF(AND(Q60="V.Low",OR(S60="Good",S60="Moderate")),"Error ▲",VLOOKUP(S60,'G-1 All Habitats'!$Z$2:$AA$9,2,FALSE))))),"")</f>
        <v/>
      </c>
      <c r="U60" s="101"/>
      <c r="V60" s="283" t="str">
        <f>IF(U60="","",IF(VLOOKUP(U60,'G-3 Multipliers'!$L$3:$N$6,2,FALSE)=0,"Spatial Data Missing ⚠",VLOOKUP(U60,'G-3 Multipliers'!$L$3:$N$6,2,FALSE)))</f>
        <v/>
      </c>
      <c r="W60" s="281" t="str">
        <f>IF(U60="","",IF(VLOOKUP(U60,'G-3 Multipliers'!$L$3:$N$6,3,FALSE)=0,"Spatial Data Missing ⚠",VLOOKUP(U60,'G-3 Multipliers'!$L$3:$N$6,3,FALSE)))</f>
        <v/>
      </c>
      <c r="X60" s="275" t="str">
        <f>IFERROR(IF(OR(LEFT(O60,5)="Error",LEFT(N60,5)="Error",T60="Error"),"Check Data ⚠",IF(F60&lt;R60,INDEX('G-6 Hedgerow Data'!$S$3:$AE$14,MATCH(C60,'G-6 Hedgerow Data'!$B$3:$B$14,0),MATCH(M60,'G-6 Hedgerow Data'!$S$2:$AE$2,0)),INDEX('G-6 Hedgerow Data'!$K$3:$Q$14,MATCH(M60,'G-6 Hedgerow Data'!$B$3:$B$14,0),MATCH(O60,'G-6 Hedgerow Data'!$K$2:$Q$2,0)))),"")</f>
        <v/>
      </c>
      <c r="Y60" s="133"/>
      <c r="Z60" s="133"/>
      <c r="AA60" s="283" t="str">
        <f t="shared" si="2"/>
        <v/>
      </c>
      <c r="AB60" s="296" t="str">
        <f t="shared" si="3"/>
        <v/>
      </c>
      <c r="AC60" s="297" t="str">
        <f t="shared" si="0"/>
        <v/>
      </c>
      <c r="AD60" s="311" t="str">
        <f>IF(M60="","",VLOOKUP(M60,'G-6 Hedgerow Data'!$B$3:$AG$15,31,FALSE))</f>
        <v/>
      </c>
      <c r="AE60" s="295" t="str">
        <f t="shared" si="4"/>
        <v/>
      </c>
      <c r="AF60" s="283" t="str">
        <f t="shared" si="5"/>
        <v/>
      </c>
      <c r="AG60" s="299" t="str">
        <f>IFERROR(IF(O60="","",VLOOKUP(AD60,'G-3 Multipliers'!$P$3:$Q$6,2,FALSE)),"")</f>
        <v/>
      </c>
      <c r="AH60" s="713" t="str">
        <f>IF(B60="","",IF(ISNA(VLOOKUP($B60,'E-1 Off-Site Hedge Baseline'!$B$1:$Z$257,14,FALSE)),"",(VLOOKUP($B60,'E-1 Off-Site Hedge Baseline'!$B$1:$Z$257,14,FALSE))))</f>
        <v/>
      </c>
      <c r="AI60" s="276" t="str">
        <f>IF(AH60="","",IF(VLOOKUP(AH60,'G-3 Multipliers'!$S$3:$T$10,2,FALSE)=0,"Spatial Data Missing ⚠",VLOOKUP(AH60,'G-3 Multipliers'!$S$3:$T$10,2,FALSE)))</f>
        <v/>
      </c>
      <c r="AJ60" s="317" t="str">
        <f t="shared" si="6"/>
        <v/>
      </c>
      <c r="AK60" s="289" t="str">
        <f t="shared" si="7"/>
        <v/>
      </c>
      <c r="AL60" s="101"/>
      <c r="AM60" s="115"/>
      <c r="AN60" s="104"/>
      <c r="AO60" s="104"/>
      <c r="AQ60" s="30" t="str">
        <f>IFERROR(INDEX('G-6 Hedgerow Data'!$BJ$3:$BJ$15,MATCH(M60,'G-6 Hedgerow Data'!$B$3:$B$15,0)),"")</f>
        <v/>
      </c>
    </row>
    <row r="61" spans="2:43" ht="14">
      <c r="B61" s="305" t="str">
        <f>'E-1 Off-Site Hedge Baseline'!AN59</f>
        <v/>
      </c>
      <c r="C61" s="295" t="str">
        <f>IF(B61="","",IF(ISNA(VLOOKUP($B61,'E-1 Off-Site Hedge Baseline'!$B$1:$L$257,3,FALSE)),"",(VLOOKUP($B61,'E-1 Off-Site Hedge Baseline'!$B$1:$L$257,3,FALSE))))</f>
        <v/>
      </c>
      <c r="D61" s="295" t="str">
        <f>IF(B61="","",IF(ISNA(VLOOKUP($B61,'E-1 Off-Site Hedge Baseline'!$B$1:$L$258,4,FALSE)),"",(VLOOKUP($B61,'E-1 Off-Site Hedge Baseline'!$B$1:$L$258,4,FALSE))))</f>
        <v/>
      </c>
      <c r="E61" s="295" t="str">
        <f>IF(B61="","",IF(ISNA(VLOOKUP($B61,'E-1 Off-Site Hedge Baseline'!$B$1:$L$257,5,FALSE)),"",(VLOOKUP($B61,'E-1 Off-Site Hedge Baseline'!$B$1:$L$257,5,FALSE))))</f>
        <v/>
      </c>
      <c r="F61" s="295" t="str">
        <f>IF(B61="","",IF(ISNA(VLOOKUP($B61,'E-1 Off-Site Hedge Baseline'!$B$1:$L$257,6,FALSE)),"",(VLOOKUP($B61,'E-1 Off-Site Hedge Baseline'!$B$1:$L$257,6,FALSE))))</f>
        <v/>
      </c>
      <c r="G61" s="295" t="str">
        <f>IF(B61="","",IF(ISNA(VLOOKUP($B61,'E-1 Off-Site Hedge Baseline'!$B$1:$L$257,7,FALSE)),"",(VLOOKUP($B61,'E-1 Off-Site Hedge Baseline'!$B$1:$L$257,7,FALSE))))</f>
        <v/>
      </c>
      <c r="H61" s="295" t="str">
        <f>IF(B61="","",IF(ISNA(VLOOKUP($B61,'E-1 Off-Site Hedge Baseline'!$B$1:$L$257,8,FALSE)),"",(VLOOKUP($B61,'E-1 Off-Site Hedge Baseline'!$B$1:$L$257,8,FALSE))))</f>
        <v/>
      </c>
      <c r="I61" s="295" t="str">
        <f>IF(B61="","",IF(ISNA(VLOOKUP($B61,'E-1 Off-Site Hedge Baseline'!$B$1:$L$257,10,FALSE)),"",(VLOOKUP($B61,'E-1 Off-Site Hedge Baseline'!$B$1:$L$257,10,FALSE))))</f>
        <v/>
      </c>
      <c r="J61" s="295" t="str">
        <f>IF(B61="","",IF(ISNA(VLOOKUP($B61,'E-1 Off-Site Hedge Baseline'!$B$1:$L$257,11,FALSE)),"",(VLOOKUP($B61,'E-1 Off-Site Hedge Baseline'!$B$1:$L$257,11,FALSE))))</f>
        <v/>
      </c>
      <c r="K61" s="295" t="str">
        <f>IF(B61="","",IF(ISNA(VLOOKUP($B61,'E-1 Off-Site Hedge Baseline'!$B$1:$X$257,16,FALSE)),"",(VLOOKUP($B61,'E-1 Off-Site Hedge Baseline'!$B$1:$X$257,16,FALSE))))</f>
        <v/>
      </c>
      <c r="L61" s="283" t="str">
        <f>IF(B61="","",IF(ISNA(VLOOKUP($B61,'E-1 Off-Site Hedge Baseline'!$B$1:$X$257,12,FALSE)),"",(VLOOKUP($B61,'E-1 Off-Site Hedge Baseline'!$B$1:$X$257,12,FALSE))))</f>
        <v/>
      </c>
      <c r="M61" s="244"/>
      <c r="N61" s="275" t="str">
        <f>IFERROR(IF(B61="","",INDEX('G-6 Hedgerow Data'!$AN$3:$AZ$15,MATCH(C61,'G-6 Hedgerow Data'!$AM$3:$AM$15,0),MATCH(M61,'G-6 Hedgerow Data'!$AN$2:$AZ$2,0))),"")</f>
        <v/>
      </c>
      <c r="O61" s="276" t="str">
        <f t="shared" si="1"/>
        <v/>
      </c>
      <c r="P61" s="281" t="str">
        <f>IF(B61="","",VLOOKUP(B61,'E-1 Off-Site Hedge Baseline'!$B$10:W306,19,FALSE))</f>
        <v/>
      </c>
      <c r="Q61" s="275" t="str">
        <f>IF(M61="","",VLOOKUP(M61,'G-6 Hedgerow Data'!$B$2:$AG$15,2,FALSE))</f>
        <v/>
      </c>
      <c r="R61" s="276" t="str">
        <f>IF(M61="","",VLOOKUP(M61,'G-6 Hedgerow Data'!$B$2:$AG$15,3,FALSE))</f>
        <v/>
      </c>
      <c r="S61" s="101"/>
      <c r="T61" s="276" t="str">
        <f>IFERROR(IF(S61="","",IF(AND(M61="Non-native and ornamental hedgerow",S61&lt;&gt;"Poor"),"Not possible ▲",(IF(AND(Q61="V.Low",OR(S61="Good",S61="Moderate")),"Error ▲",VLOOKUP(S61,'G-1 All Habitats'!$Z$2:$AA$9,2,FALSE))))),"")</f>
        <v/>
      </c>
      <c r="U61" s="101"/>
      <c r="V61" s="283" t="str">
        <f>IF(U61="","",IF(VLOOKUP(U61,'G-3 Multipliers'!$L$3:$N$6,2,FALSE)=0,"Spatial Data Missing ⚠",VLOOKUP(U61,'G-3 Multipliers'!$L$3:$N$6,2,FALSE)))</f>
        <v/>
      </c>
      <c r="W61" s="281" t="str">
        <f>IF(U61="","",IF(VLOOKUP(U61,'G-3 Multipliers'!$L$3:$N$6,3,FALSE)=0,"Spatial Data Missing ⚠",VLOOKUP(U61,'G-3 Multipliers'!$L$3:$N$6,3,FALSE)))</f>
        <v/>
      </c>
      <c r="X61" s="275" t="str">
        <f>IFERROR(IF(OR(LEFT(O61,5)="Error",LEFT(N61,5)="Error",T61="Error"),"Check Data ⚠",IF(F61&lt;R61,INDEX('G-6 Hedgerow Data'!$S$3:$AE$14,MATCH(C61,'G-6 Hedgerow Data'!$B$3:$B$14,0),MATCH(M61,'G-6 Hedgerow Data'!$S$2:$AE$2,0)),INDEX('G-6 Hedgerow Data'!$K$3:$Q$14,MATCH(M61,'G-6 Hedgerow Data'!$B$3:$B$14,0),MATCH(O61,'G-6 Hedgerow Data'!$K$2:$Q$2,0)))),"")</f>
        <v/>
      </c>
      <c r="Y61" s="133"/>
      <c r="Z61" s="133"/>
      <c r="AA61" s="283" t="str">
        <f t="shared" si="2"/>
        <v/>
      </c>
      <c r="AB61" s="296" t="str">
        <f t="shared" si="3"/>
        <v/>
      </c>
      <c r="AC61" s="297" t="str">
        <f t="shared" si="0"/>
        <v/>
      </c>
      <c r="AD61" s="311" t="str">
        <f>IF(M61="","",VLOOKUP(M61,'G-6 Hedgerow Data'!$B$3:$AG$15,31,FALSE))</f>
        <v/>
      </c>
      <c r="AE61" s="295" t="str">
        <f t="shared" si="4"/>
        <v/>
      </c>
      <c r="AF61" s="283" t="str">
        <f t="shared" si="5"/>
        <v/>
      </c>
      <c r="AG61" s="299" t="str">
        <f>IFERROR(IF(O61="","",VLOOKUP(AD61,'G-3 Multipliers'!$P$3:$Q$6,2,FALSE)),"")</f>
        <v/>
      </c>
      <c r="AH61" s="713" t="str">
        <f>IF(B61="","",IF(ISNA(VLOOKUP($B61,'E-1 Off-Site Hedge Baseline'!$B$1:$Z$257,14,FALSE)),"",(VLOOKUP($B61,'E-1 Off-Site Hedge Baseline'!$B$1:$Z$257,14,FALSE))))</f>
        <v/>
      </c>
      <c r="AI61" s="276" t="str">
        <f>IF(AH61="","",IF(VLOOKUP(AH61,'G-3 Multipliers'!$S$3:$T$10,2,FALSE)=0,"Spatial Data Missing ⚠",VLOOKUP(AH61,'G-3 Multipliers'!$S$3:$T$10,2,FALSE)))</f>
        <v/>
      </c>
      <c r="AJ61" s="317" t="str">
        <f t="shared" si="6"/>
        <v/>
      </c>
      <c r="AK61" s="289" t="str">
        <f t="shared" si="7"/>
        <v/>
      </c>
      <c r="AL61" s="101"/>
      <c r="AM61" s="115"/>
      <c r="AN61" s="104"/>
      <c r="AO61" s="104"/>
      <c r="AQ61" s="30" t="str">
        <f>IFERROR(INDEX('G-6 Hedgerow Data'!$BJ$3:$BJ$15,MATCH(M61,'G-6 Hedgerow Data'!$B$3:$B$15,0)),"")</f>
        <v/>
      </c>
    </row>
    <row r="62" spans="2:43" ht="14">
      <c r="B62" s="305" t="str">
        <f>'E-1 Off-Site Hedge Baseline'!AN60</f>
        <v/>
      </c>
      <c r="C62" s="295" t="str">
        <f>IF(B62="","",IF(ISNA(VLOOKUP($B62,'E-1 Off-Site Hedge Baseline'!$B$1:$L$257,3,FALSE)),"",(VLOOKUP($B62,'E-1 Off-Site Hedge Baseline'!$B$1:$L$257,3,FALSE))))</f>
        <v/>
      </c>
      <c r="D62" s="295" t="str">
        <f>IF(B62="","",IF(ISNA(VLOOKUP($B62,'E-1 Off-Site Hedge Baseline'!$B$1:$L$258,4,FALSE)),"",(VLOOKUP($B62,'E-1 Off-Site Hedge Baseline'!$B$1:$L$258,4,FALSE))))</f>
        <v/>
      </c>
      <c r="E62" s="295" t="str">
        <f>IF(B62="","",IF(ISNA(VLOOKUP($B62,'E-1 Off-Site Hedge Baseline'!$B$1:$L$257,5,FALSE)),"",(VLOOKUP($B62,'E-1 Off-Site Hedge Baseline'!$B$1:$L$257,5,FALSE))))</f>
        <v/>
      </c>
      <c r="F62" s="295" t="str">
        <f>IF(B62="","",IF(ISNA(VLOOKUP($B62,'E-1 Off-Site Hedge Baseline'!$B$1:$L$257,6,FALSE)),"",(VLOOKUP($B62,'E-1 Off-Site Hedge Baseline'!$B$1:$L$257,6,FALSE))))</f>
        <v/>
      </c>
      <c r="G62" s="295" t="str">
        <f>IF(B62="","",IF(ISNA(VLOOKUP($B62,'E-1 Off-Site Hedge Baseline'!$B$1:$L$257,7,FALSE)),"",(VLOOKUP($B62,'E-1 Off-Site Hedge Baseline'!$B$1:$L$257,7,FALSE))))</f>
        <v/>
      </c>
      <c r="H62" s="295" t="str">
        <f>IF(B62="","",IF(ISNA(VLOOKUP($B62,'E-1 Off-Site Hedge Baseline'!$B$1:$L$257,8,FALSE)),"",(VLOOKUP($B62,'E-1 Off-Site Hedge Baseline'!$B$1:$L$257,8,FALSE))))</f>
        <v/>
      </c>
      <c r="I62" s="295" t="str">
        <f>IF(B62="","",IF(ISNA(VLOOKUP($B62,'E-1 Off-Site Hedge Baseline'!$B$1:$L$257,10,FALSE)),"",(VLOOKUP($B62,'E-1 Off-Site Hedge Baseline'!$B$1:$L$257,10,FALSE))))</f>
        <v/>
      </c>
      <c r="J62" s="295" t="str">
        <f>IF(B62="","",IF(ISNA(VLOOKUP($B62,'E-1 Off-Site Hedge Baseline'!$B$1:$L$257,11,FALSE)),"",(VLOOKUP($B62,'E-1 Off-Site Hedge Baseline'!$B$1:$L$257,11,FALSE))))</f>
        <v/>
      </c>
      <c r="K62" s="295" t="str">
        <f>IF(B62="","",IF(ISNA(VLOOKUP($B62,'E-1 Off-Site Hedge Baseline'!$B$1:$X$257,16,FALSE)),"",(VLOOKUP($B62,'E-1 Off-Site Hedge Baseline'!$B$1:$X$257,16,FALSE))))</f>
        <v/>
      </c>
      <c r="L62" s="283" t="str">
        <f>IF(B62="","",IF(ISNA(VLOOKUP($B62,'E-1 Off-Site Hedge Baseline'!$B$1:$X$257,12,FALSE)),"",(VLOOKUP($B62,'E-1 Off-Site Hedge Baseline'!$B$1:$X$257,12,FALSE))))</f>
        <v/>
      </c>
      <c r="M62" s="244"/>
      <c r="N62" s="275" t="str">
        <f>IFERROR(IF(B62="","",INDEX('G-6 Hedgerow Data'!$AN$3:$AZ$15,MATCH(C62,'G-6 Hedgerow Data'!$AM$3:$AM$15,0),MATCH(M62,'G-6 Hedgerow Data'!$AN$2:$AZ$2,0))),"")</f>
        <v/>
      </c>
      <c r="O62" s="276" t="str">
        <f t="shared" si="1"/>
        <v/>
      </c>
      <c r="P62" s="281" t="str">
        <f>IF(B62="","",VLOOKUP(B62,'E-1 Off-Site Hedge Baseline'!$B$10:W307,19,FALSE))</f>
        <v/>
      </c>
      <c r="Q62" s="275" t="str">
        <f>IF(M62="","",VLOOKUP(M62,'G-6 Hedgerow Data'!$B$2:$AG$15,2,FALSE))</f>
        <v/>
      </c>
      <c r="R62" s="276" t="str">
        <f>IF(M62="","",VLOOKUP(M62,'G-6 Hedgerow Data'!$B$2:$AG$15,3,FALSE))</f>
        <v/>
      </c>
      <c r="S62" s="101"/>
      <c r="T62" s="276" t="str">
        <f>IFERROR(IF(S62="","",IF(AND(M62="Non-native and ornamental hedgerow",S62&lt;&gt;"Poor"),"Not possible ▲",(IF(AND(Q62="V.Low",OR(S62="Good",S62="Moderate")),"Error ▲",VLOOKUP(S62,'G-1 All Habitats'!$Z$2:$AA$9,2,FALSE))))),"")</f>
        <v/>
      </c>
      <c r="U62" s="101"/>
      <c r="V62" s="283" t="str">
        <f>IF(U62="","",IF(VLOOKUP(U62,'G-3 Multipliers'!$L$3:$N$6,2,FALSE)=0,"Spatial Data Missing ⚠",VLOOKUP(U62,'G-3 Multipliers'!$L$3:$N$6,2,FALSE)))</f>
        <v/>
      </c>
      <c r="W62" s="281" t="str">
        <f>IF(U62="","",IF(VLOOKUP(U62,'G-3 Multipliers'!$L$3:$N$6,3,FALSE)=0,"Spatial Data Missing ⚠",VLOOKUP(U62,'G-3 Multipliers'!$L$3:$N$6,3,FALSE)))</f>
        <v/>
      </c>
      <c r="X62" s="275" t="str">
        <f>IFERROR(IF(OR(LEFT(O62,5)="Error",LEFT(N62,5)="Error",T62="Error"),"Check Data ⚠",IF(F62&lt;R62,INDEX('G-6 Hedgerow Data'!$S$3:$AE$14,MATCH(C62,'G-6 Hedgerow Data'!$B$3:$B$14,0),MATCH(M62,'G-6 Hedgerow Data'!$S$2:$AE$2,0)),INDEX('G-6 Hedgerow Data'!$K$3:$Q$14,MATCH(M62,'G-6 Hedgerow Data'!$B$3:$B$14,0),MATCH(O62,'G-6 Hedgerow Data'!$K$2:$Q$2,0)))),"")</f>
        <v/>
      </c>
      <c r="Y62" s="133"/>
      <c r="Z62" s="133"/>
      <c r="AA62" s="283" t="str">
        <f t="shared" si="2"/>
        <v/>
      </c>
      <c r="AB62" s="296" t="str">
        <f t="shared" si="3"/>
        <v/>
      </c>
      <c r="AC62" s="297" t="str">
        <f t="shared" si="0"/>
        <v/>
      </c>
      <c r="AD62" s="311" t="str">
        <f>IF(M62="","",VLOOKUP(M62,'G-6 Hedgerow Data'!$B$3:$AG$15,31,FALSE))</f>
        <v/>
      </c>
      <c r="AE62" s="295" t="str">
        <f t="shared" si="4"/>
        <v/>
      </c>
      <c r="AF62" s="283" t="str">
        <f t="shared" si="5"/>
        <v/>
      </c>
      <c r="AG62" s="299" t="str">
        <f>IFERROR(IF(O62="","",VLOOKUP(AD62,'G-3 Multipliers'!$P$3:$Q$6,2,FALSE)),"")</f>
        <v/>
      </c>
      <c r="AH62" s="713" t="str">
        <f>IF(B62="","",IF(ISNA(VLOOKUP($B62,'E-1 Off-Site Hedge Baseline'!$B$1:$Z$257,14,FALSE)),"",(VLOOKUP($B62,'E-1 Off-Site Hedge Baseline'!$B$1:$Z$257,14,FALSE))))</f>
        <v/>
      </c>
      <c r="AI62" s="276" t="str">
        <f>IF(AH62="","",IF(VLOOKUP(AH62,'G-3 Multipliers'!$S$3:$T$10,2,FALSE)=0,"Spatial Data Missing ⚠",VLOOKUP(AH62,'G-3 Multipliers'!$S$3:$T$10,2,FALSE)))</f>
        <v/>
      </c>
      <c r="AJ62" s="317" t="str">
        <f t="shared" si="6"/>
        <v/>
      </c>
      <c r="AK62" s="289" t="str">
        <f t="shared" si="7"/>
        <v/>
      </c>
      <c r="AL62" s="101"/>
      <c r="AM62" s="115"/>
      <c r="AN62" s="104"/>
      <c r="AO62" s="104"/>
      <c r="AQ62" s="30" t="str">
        <f>IFERROR(INDEX('G-6 Hedgerow Data'!$BJ$3:$BJ$15,MATCH(M62,'G-6 Hedgerow Data'!$B$3:$B$15,0)),"")</f>
        <v/>
      </c>
    </row>
    <row r="63" spans="2:43" ht="14">
      <c r="B63" s="305" t="str">
        <f>'E-1 Off-Site Hedge Baseline'!AN61</f>
        <v/>
      </c>
      <c r="C63" s="295" t="str">
        <f>IF(B63="","",IF(ISNA(VLOOKUP($B63,'E-1 Off-Site Hedge Baseline'!$B$1:$L$257,3,FALSE)),"",(VLOOKUP($B63,'E-1 Off-Site Hedge Baseline'!$B$1:$L$257,3,FALSE))))</f>
        <v/>
      </c>
      <c r="D63" s="295" t="str">
        <f>IF(B63="","",IF(ISNA(VLOOKUP($B63,'E-1 Off-Site Hedge Baseline'!$B$1:$L$258,4,FALSE)),"",(VLOOKUP($B63,'E-1 Off-Site Hedge Baseline'!$B$1:$L$258,4,FALSE))))</f>
        <v/>
      </c>
      <c r="E63" s="295" t="str">
        <f>IF(B63="","",IF(ISNA(VLOOKUP($B63,'E-1 Off-Site Hedge Baseline'!$B$1:$L$257,5,FALSE)),"",(VLOOKUP($B63,'E-1 Off-Site Hedge Baseline'!$B$1:$L$257,5,FALSE))))</f>
        <v/>
      </c>
      <c r="F63" s="295" t="str">
        <f>IF(B63="","",IF(ISNA(VLOOKUP($B63,'E-1 Off-Site Hedge Baseline'!$B$1:$L$257,6,FALSE)),"",(VLOOKUP($B63,'E-1 Off-Site Hedge Baseline'!$B$1:$L$257,6,FALSE))))</f>
        <v/>
      </c>
      <c r="G63" s="295" t="str">
        <f>IF(B63="","",IF(ISNA(VLOOKUP($B63,'E-1 Off-Site Hedge Baseline'!$B$1:$L$257,7,FALSE)),"",(VLOOKUP($B63,'E-1 Off-Site Hedge Baseline'!$B$1:$L$257,7,FALSE))))</f>
        <v/>
      </c>
      <c r="H63" s="295" t="str">
        <f>IF(B63="","",IF(ISNA(VLOOKUP($B63,'E-1 Off-Site Hedge Baseline'!$B$1:$L$257,8,FALSE)),"",(VLOOKUP($B63,'E-1 Off-Site Hedge Baseline'!$B$1:$L$257,8,FALSE))))</f>
        <v/>
      </c>
      <c r="I63" s="295" t="str">
        <f>IF(B63="","",IF(ISNA(VLOOKUP($B63,'E-1 Off-Site Hedge Baseline'!$B$1:$L$257,10,FALSE)),"",(VLOOKUP($B63,'E-1 Off-Site Hedge Baseline'!$B$1:$L$257,10,FALSE))))</f>
        <v/>
      </c>
      <c r="J63" s="295" t="str">
        <f>IF(B63="","",IF(ISNA(VLOOKUP($B63,'E-1 Off-Site Hedge Baseline'!$B$1:$L$257,11,FALSE)),"",(VLOOKUP($B63,'E-1 Off-Site Hedge Baseline'!$B$1:$L$257,11,FALSE))))</f>
        <v/>
      </c>
      <c r="K63" s="295" t="str">
        <f>IF(B63="","",IF(ISNA(VLOOKUP($B63,'E-1 Off-Site Hedge Baseline'!$B$1:$X$257,16,FALSE)),"",(VLOOKUP($B63,'E-1 Off-Site Hedge Baseline'!$B$1:$X$257,16,FALSE))))</f>
        <v/>
      </c>
      <c r="L63" s="283" t="str">
        <f>IF(B63="","",IF(ISNA(VLOOKUP($B63,'E-1 Off-Site Hedge Baseline'!$B$1:$X$257,12,FALSE)),"",(VLOOKUP($B63,'E-1 Off-Site Hedge Baseline'!$B$1:$X$257,12,FALSE))))</f>
        <v/>
      </c>
      <c r="M63" s="244"/>
      <c r="N63" s="275" t="str">
        <f>IFERROR(IF(B63="","",INDEX('G-6 Hedgerow Data'!$AN$3:$AZ$15,MATCH(C63,'G-6 Hedgerow Data'!$AM$3:$AM$15,0),MATCH(M63,'G-6 Hedgerow Data'!$AN$2:$AZ$2,0))),"")</f>
        <v/>
      </c>
      <c r="O63" s="276" t="str">
        <f t="shared" si="1"/>
        <v/>
      </c>
      <c r="P63" s="281" t="str">
        <f>IF(B63="","",VLOOKUP(B63,'E-1 Off-Site Hedge Baseline'!$B$10:W308,19,FALSE))</f>
        <v/>
      </c>
      <c r="Q63" s="275" t="str">
        <f>IF(M63="","",VLOOKUP(M63,'G-6 Hedgerow Data'!$B$2:$AG$15,2,FALSE))</f>
        <v/>
      </c>
      <c r="R63" s="276" t="str">
        <f>IF(M63="","",VLOOKUP(M63,'G-6 Hedgerow Data'!$B$2:$AG$15,3,FALSE))</f>
        <v/>
      </c>
      <c r="S63" s="101"/>
      <c r="T63" s="276" t="str">
        <f>IFERROR(IF(S63="","",IF(AND(M63="Non-native and ornamental hedgerow",S63&lt;&gt;"Poor"),"Not possible ▲",(IF(AND(Q63="V.Low",OR(S63="Good",S63="Moderate")),"Error ▲",VLOOKUP(S63,'G-1 All Habitats'!$Z$2:$AA$9,2,FALSE))))),"")</f>
        <v/>
      </c>
      <c r="U63" s="101"/>
      <c r="V63" s="283" t="str">
        <f>IF(U63="","",IF(VLOOKUP(U63,'G-3 Multipliers'!$L$3:$N$6,2,FALSE)=0,"Spatial Data Missing ⚠",VLOOKUP(U63,'G-3 Multipliers'!$L$3:$N$6,2,FALSE)))</f>
        <v/>
      </c>
      <c r="W63" s="281" t="str">
        <f>IF(U63="","",IF(VLOOKUP(U63,'G-3 Multipliers'!$L$3:$N$6,3,FALSE)=0,"Spatial Data Missing ⚠",VLOOKUP(U63,'G-3 Multipliers'!$L$3:$N$6,3,FALSE)))</f>
        <v/>
      </c>
      <c r="X63" s="275" t="str">
        <f>IFERROR(IF(OR(LEFT(O63,5)="Error",LEFT(N63,5)="Error",T63="Error"),"Check Data ⚠",IF(F63&lt;R63,INDEX('G-6 Hedgerow Data'!$S$3:$AE$14,MATCH(C63,'G-6 Hedgerow Data'!$B$3:$B$14,0),MATCH(M63,'G-6 Hedgerow Data'!$S$2:$AE$2,0)),INDEX('G-6 Hedgerow Data'!$K$3:$Q$14,MATCH(M63,'G-6 Hedgerow Data'!$B$3:$B$14,0),MATCH(O63,'G-6 Hedgerow Data'!$K$2:$Q$2,0)))),"")</f>
        <v/>
      </c>
      <c r="Y63" s="133"/>
      <c r="Z63" s="133"/>
      <c r="AA63" s="283" t="str">
        <f t="shared" si="2"/>
        <v/>
      </c>
      <c r="AB63" s="296" t="str">
        <f t="shared" si="3"/>
        <v/>
      </c>
      <c r="AC63" s="297" t="str">
        <f t="shared" si="0"/>
        <v/>
      </c>
      <c r="AD63" s="311" t="str">
        <f>IF(M63="","",VLOOKUP(M63,'G-6 Hedgerow Data'!$B$3:$AG$15,31,FALSE))</f>
        <v/>
      </c>
      <c r="AE63" s="295" t="str">
        <f t="shared" si="4"/>
        <v/>
      </c>
      <c r="AF63" s="283" t="str">
        <f t="shared" si="5"/>
        <v/>
      </c>
      <c r="AG63" s="299" t="str">
        <f>IFERROR(IF(O63="","",VLOOKUP(AD63,'G-3 Multipliers'!$P$3:$Q$6,2,FALSE)),"")</f>
        <v/>
      </c>
      <c r="AH63" s="713" t="str">
        <f>IF(B63="","",IF(ISNA(VLOOKUP($B63,'E-1 Off-Site Hedge Baseline'!$B$1:$Z$257,14,FALSE)),"",(VLOOKUP($B63,'E-1 Off-Site Hedge Baseline'!$B$1:$Z$257,14,FALSE))))</f>
        <v/>
      </c>
      <c r="AI63" s="276" t="str">
        <f>IF(AH63="","",IF(VLOOKUP(AH63,'G-3 Multipliers'!$S$3:$T$10,2,FALSE)=0,"Spatial Data Missing ⚠",VLOOKUP(AH63,'G-3 Multipliers'!$S$3:$T$10,2,FALSE)))</f>
        <v/>
      </c>
      <c r="AJ63" s="317" t="str">
        <f t="shared" si="6"/>
        <v/>
      </c>
      <c r="AK63" s="289" t="str">
        <f t="shared" si="7"/>
        <v/>
      </c>
      <c r="AL63" s="101"/>
      <c r="AM63" s="115"/>
      <c r="AN63" s="104"/>
      <c r="AO63" s="104"/>
      <c r="AQ63" s="30" t="str">
        <f>IFERROR(INDEX('G-6 Hedgerow Data'!$BJ$3:$BJ$15,MATCH(M63,'G-6 Hedgerow Data'!$B$3:$B$15,0)),"")</f>
        <v/>
      </c>
    </row>
    <row r="64" spans="2:43" ht="14">
      <c r="B64" s="305" t="str">
        <f>'E-1 Off-Site Hedge Baseline'!AN62</f>
        <v/>
      </c>
      <c r="C64" s="295" t="str">
        <f>IF(B64="","",IF(ISNA(VLOOKUP($B64,'E-1 Off-Site Hedge Baseline'!$B$1:$L$257,3,FALSE)),"",(VLOOKUP($B64,'E-1 Off-Site Hedge Baseline'!$B$1:$L$257,3,FALSE))))</f>
        <v/>
      </c>
      <c r="D64" s="295" t="str">
        <f>IF(B64="","",IF(ISNA(VLOOKUP($B64,'E-1 Off-Site Hedge Baseline'!$B$1:$L$258,4,FALSE)),"",(VLOOKUP($B64,'E-1 Off-Site Hedge Baseline'!$B$1:$L$258,4,FALSE))))</f>
        <v/>
      </c>
      <c r="E64" s="295" t="str">
        <f>IF(B64="","",IF(ISNA(VLOOKUP($B64,'E-1 Off-Site Hedge Baseline'!$B$1:$L$257,5,FALSE)),"",(VLOOKUP($B64,'E-1 Off-Site Hedge Baseline'!$B$1:$L$257,5,FALSE))))</f>
        <v/>
      </c>
      <c r="F64" s="295" t="str">
        <f>IF(B64="","",IF(ISNA(VLOOKUP($B64,'E-1 Off-Site Hedge Baseline'!$B$1:$L$257,6,FALSE)),"",(VLOOKUP($B64,'E-1 Off-Site Hedge Baseline'!$B$1:$L$257,6,FALSE))))</f>
        <v/>
      </c>
      <c r="G64" s="295" t="str">
        <f>IF(B64="","",IF(ISNA(VLOOKUP($B64,'E-1 Off-Site Hedge Baseline'!$B$1:$L$257,7,FALSE)),"",(VLOOKUP($B64,'E-1 Off-Site Hedge Baseline'!$B$1:$L$257,7,FALSE))))</f>
        <v/>
      </c>
      <c r="H64" s="295" t="str">
        <f>IF(B64="","",IF(ISNA(VLOOKUP($B64,'E-1 Off-Site Hedge Baseline'!$B$1:$L$257,8,FALSE)),"",(VLOOKUP($B64,'E-1 Off-Site Hedge Baseline'!$B$1:$L$257,8,FALSE))))</f>
        <v/>
      </c>
      <c r="I64" s="295" t="str">
        <f>IF(B64="","",IF(ISNA(VLOOKUP($B64,'E-1 Off-Site Hedge Baseline'!$B$1:$L$257,10,FALSE)),"",(VLOOKUP($B64,'E-1 Off-Site Hedge Baseline'!$B$1:$L$257,10,FALSE))))</f>
        <v/>
      </c>
      <c r="J64" s="295" t="str">
        <f>IF(B64="","",IF(ISNA(VLOOKUP($B64,'E-1 Off-Site Hedge Baseline'!$B$1:$L$257,11,FALSE)),"",(VLOOKUP($B64,'E-1 Off-Site Hedge Baseline'!$B$1:$L$257,11,FALSE))))</f>
        <v/>
      </c>
      <c r="K64" s="295" t="str">
        <f>IF(B64="","",IF(ISNA(VLOOKUP($B64,'E-1 Off-Site Hedge Baseline'!$B$1:$X$257,16,FALSE)),"",(VLOOKUP($B64,'E-1 Off-Site Hedge Baseline'!$B$1:$X$257,16,FALSE))))</f>
        <v/>
      </c>
      <c r="L64" s="283" t="str">
        <f>IF(B64="","",IF(ISNA(VLOOKUP($B64,'E-1 Off-Site Hedge Baseline'!$B$1:$X$257,12,FALSE)),"",(VLOOKUP($B64,'E-1 Off-Site Hedge Baseline'!$B$1:$X$257,12,FALSE))))</f>
        <v/>
      </c>
      <c r="M64" s="244"/>
      <c r="N64" s="275" t="str">
        <f>IFERROR(IF(B64="","",INDEX('G-6 Hedgerow Data'!$AN$3:$AZ$15,MATCH(C64,'G-6 Hedgerow Data'!$AM$3:$AM$15,0),MATCH(M64,'G-6 Hedgerow Data'!$AN$2:$AZ$2,0))),"")</f>
        <v/>
      </c>
      <c r="O64" s="276" t="str">
        <f t="shared" si="1"/>
        <v/>
      </c>
      <c r="P64" s="281" t="str">
        <f>IF(B64="","",VLOOKUP(B64,'E-1 Off-Site Hedge Baseline'!$B$10:W309,19,FALSE))</f>
        <v/>
      </c>
      <c r="Q64" s="275" t="str">
        <f>IF(M64="","",VLOOKUP(M64,'G-6 Hedgerow Data'!$B$2:$AG$15,2,FALSE))</f>
        <v/>
      </c>
      <c r="R64" s="276" t="str">
        <f>IF(M64="","",VLOOKUP(M64,'G-6 Hedgerow Data'!$B$2:$AG$15,3,FALSE))</f>
        <v/>
      </c>
      <c r="S64" s="101"/>
      <c r="T64" s="276" t="str">
        <f>IFERROR(IF(S64="","",IF(AND(M64="Non-native and ornamental hedgerow",S64&lt;&gt;"Poor"),"Not possible ▲",(IF(AND(Q64="V.Low",OR(S64="Good",S64="Moderate")),"Error ▲",VLOOKUP(S64,'G-1 All Habitats'!$Z$2:$AA$9,2,FALSE))))),"")</f>
        <v/>
      </c>
      <c r="U64" s="101"/>
      <c r="V64" s="283" t="str">
        <f>IF(U64="","",IF(VLOOKUP(U64,'G-3 Multipliers'!$L$3:$N$6,2,FALSE)=0,"Spatial Data Missing ⚠",VLOOKUP(U64,'G-3 Multipliers'!$L$3:$N$6,2,FALSE)))</f>
        <v/>
      </c>
      <c r="W64" s="281" t="str">
        <f>IF(U64="","",IF(VLOOKUP(U64,'G-3 Multipliers'!$L$3:$N$6,3,FALSE)=0,"Spatial Data Missing ⚠",VLOOKUP(U64,'G-3 Multipliers'!$L$3:$N$6,3,FALSE)))</f>
        <v/>
      </c>
      <c r="X64" s="275" t="str">
        <f>IFERROR(IF(OR(LEFT(O64,5)="Error",LEFT(N64,5)="Error",T64="Error"),"Check Data ⚠",IF(F64&lt;R64,INDEX('G-6 Hedgerow Data'!$S$3:$AE$14,MATCH(C64,'G-6 Hedgerow Data'!$B$3:$B$14,0),MATCH(M64,'G-6 Hedgerow Data'!$S$2:$AE$2,0)),INDEX('G-6 Hedgerow Data'!$K$3:$Q$14,MATCH(M64,'G-6 Hedgerow Data'!$B$3:$B$14,0),MATCH(O64,'G-6 Hedgerow Data'!$K$2:$Q$2,0)))),"")</f>
        <v/>
      </c>
      <c r="Y64" s="133"/>
      <c r="Z64" s="133"/>
      <c r="AA64" s="283" t="str">
        <f t="shared" si="2"/>
        <v/>
      </c>
      <c r="AB64" s="296" t="str">
        <f t="shared" si="3"/>
        <v/>
      </c>
      <c r="AC64" s="297" t="str">
        <f t="shared" si="0"/>
        <v/>
      </c>
      <c r="AD64" s="311" t="str">
        <f>IF(M64="","",VLOOKUP(M64,'G-6 Hedgerow Data'!$B$3:$AG$15,31,FALSE))</f>
        <v/>
      </c>
      <c r="AE64" s="295" t="str">
        <f t="shared" si="4"/>
        <v/>
      </c>
      <c r="AF64" s="283" t="str">
        <f t="shared" si="5"/>
        <v/>
      </c>
      <c r="AG64" s="299" t="str">
        <f>IFERROR(IF(O64="","",VLOOKUP(AD64,'G-3 Multipliers'!$P$3:$Q$6,2,FALSE)),"")</f>
        <v/>
      </c>
      <c r="AH64" s="713" t="str">
        <f>IF(B64="","",IF(ISNA(VLOOKUP($B64,'E-1 Off-Site Hedge Baseline'!$B$1:$Z$257,14,FALSE)),"",(VLOOKUP($B64,'E-1 Off-Site Hedge Baseline'!$B$1:$Z$257,14,FALSE))))</f>
        <v/>
      </c>
      <c r="AI64" s="276" t="str">
        <f>IF(AH64="","",IF(VLOOKUP(AH64,'G-3 Multipliers'!$S$3:$T$10,2,FALSE)=0,"Spatial Data Missing ⚠",VLOOKUP(AH64,'G-3 Multipliers'!$S$3:$T$10,2,FALSE)))</f>
        <v/>
      </c>
      <c r="AJ64" s="317" t="str">
        <f t="shared" si="6"/>
        <v/>
      </c>
      <c r="AK64" s="289" t="str">
        <f t="shared" si="7"/>
        <v/>
      </c>
      <c r="AL64" s="101"/>
      <c r="AM64" s="115"/>
      <c r="AN64" s="104"/>
      <c r="AO64" s="104"/>
      <c r="AQ64" s="30" t="str">
        <f>IFERROR(INDEX('G-6 Hedgerow Data'!$BJ$3:$BJ$15,MATCH(M64,'G-6 Hedgerow Data'!$B$3:$B$15,0)),"")</f>
        <v/>
      </c>
    </row>
    <row r="65" spans="2:43" ht="14">
      <c r="B65" s="305" t="str">
        <f>'E-1 Off-Site Hedge Baseline'!AN63</f>
        <v/>
      </c>
      <c r="C65" s="295" t="str">
        <f>IF(B65="","",IF(ISNA(VLOOKUP($B65,'E-1 Off-Site Hedge Baseline'!$B$1:$L$257,3,FALSE)),"",(VLOOKUP($B65,'E-1 Off-Site Hedge Baseline'!$B$1:$L$257,3,FALSE))))</f>
        <v/>
      </c>
      <c r="D65" s="295" t="str">
        <f>IF(B65="","",IF(ISNA(VLOOKUP($B65,'E-1 Off-Site Hedge Baseline'!$B$1:$L$258,4,FALSE)),"",(VLOOKUP($B65,'E-1 Off-Site Hedge Baseline'!$B$1:$L$258,4,FALSE))))</f>
        <v/>
      </c>
      <c r="E65" s="295" t="str">
        <f>IF(B65="","",IF(ISNA(VLOOKUP($B65,'E-1 Off-Site Hedge Baseline'!$B$1:$L$257,5,FALSE)),"",(VLOOKUP($B65,'E-1 Off-Site Hedge Baseline'!$B$1:$L$257,5,FALSE))))</f>
        <v/>
      </c>
      <c r="F65" s="295" t="str">
        <f>IF(B65="","",IF(ISNA(VLOOKUP($B65,'E-1 Off-Site Hedge Baseline'!$B$1:$L$257,6,FALSE)),"",(VLOOKUP($B65,'E-1 Off-Site Hedge Baseline'!$B$1:$L$257,6,FALSE))))</f>
        <v/>
      </c>
      <c r="G65" s="295" t="str">
        <f>IF(B65="","",IF(ISNA(VLOOKUP($B65,'E-1 Off-Site Hedge Baseline'!$B$1:$L$257,7,FALSE)),"",(VLOOKUP($B65,'E-1 Off-Site Hedge Baseline'!$B$1:$L$257,7,FALSE))))</f>
        <v/>
      </c>
      <c r="H65" s="295" t="str">
        <f>IF(B65="","",IF(ISNA(VLOOKUP($B65,'E-1 Off-Site Hedge Baseline'!$B$1:$L$257,8,FALSE)),"",(VLOOKUP($B65,'E-1 Off-Site Hedge Baseline'!$B$1:$L$257,8,FALSE))))</f>
        <v/>
      </c>
      <c r="I65" s="295" t="str">
        <f>IF(B65="","",IF(ISNA(VLOOKUP($B65,'E-1 Off-Site Hedge Baseline'!$B$1:$L$257,10,FALSE)),"",(VLOOKUP($B65,'E-1 Off-Site Hedge Baseline'!$B$1:$L$257,10,FALSE))))</f>
        <v/>
      </c>
      <c r="J65" s="295" t="str">
        <f>IF(B65="","",IF(ISNA(VLOOKUP($B65,'E-1 Off-Site Hedge Baseline'!$B$1:$L$257,11,FALSE)),"",(VLOOKUP($B65,'E-1 Off-Site Hedge Baseline'!$B$1:$L$257,11,FALSE))))</f>
        <v/>
      </c>
      <c r="K65" s="295" t="str">
        <f>IF(B65="","",IF(ISNA(VLOOKUP($B65,'E-1 Off-Site Hedge Baseline'!$B$1:$X$257,16,FALSE)),"",(VLOOKUP($B65,'E-1 Off-Site Hedge Baseline'!$B$1:$X$257,16,FALSE))))</f>
        <v/>
      </c>
      <c r="L65" s="283" t="str">
        <f>IF(B65="","",IF(ISNA(VLOOKUP($B65,'E-1 Off-Site Hedge Baseline'!$B$1:$X$257,12,FALSE)),"",(VLOOKUP($B65,'E-1 Off-Site Hedge Baseline'!$B$1:$X$257,12,FALSE))))</f>
        <v/>
      </c>
      <c r="M65" s="244"/>
      <c r="N65" s="275" t="str">
        <f>IFERROR(IF(B65="","",INDEX('G-6 Hedgerow Data'!$AN$3:$AZ$15,MATCH(C65,'G-6 Hedgerow Data'!$AM$3:$AM$15,0),MATCH(M65,'G-6 Hedgerow Data'!$AN$2:$AZ$2,0))),"")</f>
        <v/>
      </c>
      <c r="O65" s="276" t="str">
        <f t="shared" si="1"/>
        <v/>
      </c>
      <c r="P65" s="281" t="str">
        <f>IF(B65="","",VLOOKUP(B65,'E-1 Off-Site Hedge Baseline'!$B$10:W310,19,FALSE))</f>
        <v/>
      </c>
      <c r="Q65" s="275" t="str">
        <f>IF(M65="","",VLOOKUP(M65,'G-6 Hedgerow Data'!$B$2:$AG$15,2,FALSE))</f>
        <v/>
      </c>
      <c r="R65" s="276" t="str">
        <f>IF(M65="","",VLOOKUP(M65,'G-6 Hedgerow Data'!$B$2:$AG$15,3,FALSE))</f>
        <v/>
      </c>
      <c r="S65" s="101"/>
      <c r="T65" s="276" t="str">
        <f>IFERROR(IF(S65="","",IF(AND(M65="Non-native and ornamental hedgerow",S65&lt;&gt;"Poor"),"Not possible ▲",(IF(AND(Q65="V.Low",OR(S65="Good",S65="Moderate")),"Error ▲",VLOOKUP(S65,'G-1 All Habitats'!$Z$2:$AA$9,2,FALSE))))),"")</f>
        <v/>
      </c>
      <c r="U65" s="101"/>
      <c r="V65" s="283" t="str">
        <f>IF(U65="","",IF(VLOOKUP(U65,'G-3 Multipliers'!$L$3:$N$6,2,FALSE)=0,"Spatial Data Missing ⚠",VLOOKUP(U65,'G-3 Multipliers'!$L$3:$N$6,2,FALSE)))</f>
        <v/>
      </c>
      <c r="W65" s="281" t="str">
        <f>IF(U65="","",IF(VLOOKUP(U65,'G-3 Multipliers'!$L$3:$N$6,3,FALSE)=0,"Spatial Data Missing ⚠",VLOOKUP(U65,'G-3 Multipliers'!$L$3:$N$6,3,FALSE)))</f>
        <v/>
      </c>
      <c r="X65" s="275" t="str">
        <f>IFERROR(IF(OR(LEFT(O65,5)="Error",LEFT(N65,5)="Error",T65="Error"),"Check Data ⚠",IF(F65&lt;R65,INDEX('G-6 Hedgerow Data'!$S$3:$AE$14,MATCH(C65,'G-6 Hedgerow Data'!$B$3:$B$14,0),MATCH(M65,'G-6 Hedgerow Data'!$S$2:$AE$2,0)),INDEX('G-6 Hedgerow Data'!$K$3:$Q$14,MATCH(M65,'G-6 Hedgerow Data'!$B$3:$B$14,0),MATCH(O65,'G-6 Hedgerow Data'!$K$2:$Q$2,0)))),"")</f>
        <v/>
      </c>
      <c r="Y65" s="133"/>
      <c r="Z65" s="133"/>
      <c r="AA65" s="283" t="str">
        <f t="shared" si="2"/>
        <v/>
      </c>
      <c r="AB65" s="296" t="str">
        <f t="shared" si="3"/>
        <v/>
      </c>
      <c r="AC65" s="297" t="str">
        <f t="shared" si="0"/>
        <v/>
      </c>
      <c r="AD65" s="311" t="str">
        <f>IF(M65="","",VLOOKUP(M65,'G-6 Hedgerow Data'!$B$3:$AG$15,31,FALSE))</f>
        <v/>
      </c>
      <c r="AE65" s="295" t="str">
        <f t="shared" si="4"/>
        <v/>
      </c>
      <c r="AF65" s="283" t="str">
        <f t="shared" si="5"/>
        <v/>
      </c>
      <c r="AG65" s="299" t="str">
        <f>IFERROR(IF(O65="","",VLOOKUP(AD65,'G-3 Multipliers'!$P$3:$Q$6,2,FALSE)),"")</f>
        <v/>
      </c>
      <c r="AH65" s="713" t="str">
        <f>IF(B65="","",IF(ISNA(VLOOKUP($B65,'E-1 Off-Site Hedge Baseline'!$B$1:$Z$257,14,FALSE)),"",(VLOOKUP($B65,'E-1 Off-Site Hedge Baseline'!$B$1:$Z$257,14,FALSE))))</f>
        <v/>
      </c>
      <c r="AI65" s="276" t="str">
        <f>IF(AH65="","",IF(VLOOKUP(AH65,'G-3 Multipliers'!$S$3:$T$10,2,FALSE)=0,"Spatial Data Missing ⚠",VLOOKUP(AH65,'G-3 Multipliers'!$S$3:$T$10,2,FALSE)))</f>
        <v/>
      </c>
      <c r="AJ65" s="317" t="str">
        <f t="shared" si="6"/>
        <v/>
      </c>
      <c r="AK65" s="289" t="str">
        <f t="shared" si="7"/>
        <v/>
      </c>
      <c r="AL65" s="101"/>
      <c r="AM65" s="115"/>
      <c r="AN65" s="104"/>
      <c r="AO65" s="104"/>
      <c r="AQ65" s="30" t="str">
        <f>IFERROR(INDEX('G-6 Hedgerow Data'!$BJ$3:$BJ$15,MATCH(M65,'G-6 Hedgerow Data'!$B$3:$B$15,0)),"")</f>
        <v/>
      </c>
    </row>
    <row r="66" spans="2:43" ht="14">
      <c r="B66" s="305" t="str">
        <f>'E-1 Off-Site Hedge Baseline'!AN64</f>
        <v/>
      </c>
      <c r="C66" s="295" t="str">
        <f>IF(B66="","",IF(ISNA(VLOOKUP($B66,'E-1 Off-Site Hedge Baseline'!$B$1:$L$257,3,FALSE)),"",(VLOOKUP($B66,'E-1 Off-Site Hedge Baseline'!$B$1:$L$257,3,FALSE))))</f>
        <v/>
      </c>
      <c r="D66" s="295" t="str">
        <f>IF(B66="","",IF(ISNA(VLOOKUP($B66,'E-1 Off-Site Hedge Baseline'!$B$1:$L$258,4,FALSE)),"",(VLOOKUP($B66,'E-1 Off-Site Hedge Baseline'!$B$1:$L$258,4,FALSE))))</f>
        <v/>
      </c>
      <c r="E66" s="295" t="str">
        <f>IF(B66="","",IF(ISNA(VLOOKUP($B66,'E-1 Off-Site Hedge Baseline'!$B$1:$L$257,5,FALSE)),"",(VLOOKUP($B66,'E-1 Off-Site Hedge Baseline'!$B$1:$L$257,5,FALSE))))</f>
        <v/>
      </c>
      <c r="F66" s="295" t="str">
        <f>IF(B66="","",IF(ISNA(VLOOKUP($B66,'E-1 Off-Site Hedge Baseline'!$B$1:$L$257,6,FALSE)),"",(VLOOKUP($B66,'E-1 Off-Site Hedge Baseline'!$B$1:$L$257,6,FALSE))))</f>
        <v/>
      </c>
      <c r="G66" s="295" t="str">
        <f>IF(B66="","",IF(ISNA(VLOOKUP($B66,'E-1 Off-Site Hedge Baseline'!$B$1:$L$257,7,FALSE)),"",(VLOOKUP($B66,'E-1 Off-Site Hedge Baseline'!$B$1:$L$257,7,FALSE))))</f>
        <v/>
      </c>
      <c r="H66" s="295" t="str">
        <f>IF(B66="","",IF(ISNA(VLOOKUP($B66,'E-1 Off-Site Hedge Baseline'!$B$1:$L$257,8,FALSE)),"",(VLOOKUP($B66,'E-1 Off-Site Hedge Baseline'!$B$1:$L$257,8,FALSE))))</f>
        <v/>
      </c>
      <c r="I66" s="295" t="str">
        <f>IF(B66="","",IF(ISNA(VLOOKUP($B66,'E-1 Off-Site Hedge Baseline'!$B$1:$L$257,10,FALSE)),"",(VLOOKUP($B66,'E-1 Off-Site Hedge Baseline'!$B$1:$L$257,10,FALSE))))</f>
        <v/>
      </c>
      <c r="J66" s="295" t="str">
        <f>IF(B66="","",IF(ISNA(VLOOKUP($B66,'E-1 Off-Site Hedge Baseline'!$B$1:$L$257,11,FALSE)),"",(VLOOKUP($B66,'E-1 Off-Site Hedge Baseline'!$B$1:$L$257,11,FALSE))))</f>
        <v/>
      </c>
      <c r="K66" s="295" t="str">
        <f>IF(B66="","",IF(ISNA(VLOOKUP($B66,'E-1 Off-Site Hedge Baseline'!$B$1:$X$257,16,FALSE)),"",(VLOOKUP($B66,'E-1 Off-Site Hedge Baseline'!$B$1:$X$257,16,FALSE))))</f>
        <v/>
      </c>
      <c r="L66" s="283" t="str">
        <f>IF(B66="","",IF(ISNA(VLOOKUP($B66,'E-1 Off-Site Hedge Baseline'!$B$1:$X$257,12,FALSE)),"",(VLOOKUP($B66,'E-1 Off-Site Hedge Baseline'!$B$1:$X$257,12,FALSE))))</f>
        <v/>
      </c>
      <c r="M66" s="244"/>
      <c r="N66" s="275" t="str">
        <f>IFERROR(IF(B66="","",INDEX('G-6 Hedgerow Data'!$AN$3:$AZ$15,MATCH(C66,'G-6 Hedgerow Data'!$AM$3:$AM$15,0),MATCH(M66,'G-6 Hedgerow Data'!$AN$2:$AZ$2,0))),"")</f>
        <v/>
      </c>
      <c r="O66" s="276" t="str">
        <f t="shared" si="1"/>
        <v/>
      </c>
      <c r="P66" s="281" t="str">
        <f>IF(B66="","",VLOOKUP(B66,'E-1 Off-Site Hedge Baseline'!$B$10:W311,19,FALSE))</f>
        <v/>
      </c>
      <c r="Q66" s="275" t="str">
        <f>IF(M66="","",VLOOKUP(M66,'G-6 Hedgerow Data'!$B$2:$AG$15,2,FALSE))</f>
        <v/>
      </c>
      <c r="R66" s="276" t="str">
        <f>IF(M66="","",VLOOKUP(M66,'G-6 Hedgerow Data'!$B$2:$AG$15,3,FALSE))</f>
        <v/>
      </c>
      <c r="S66" s="101"/>
      <c r="T66" s="276" t="str">
        <f>IFERROR(IF(S66="","",IF(AND(M66="Non-native and ornamental hedgerow",S66&lt;&gt;"Poor"),"Not possible ▲",(IF(AND(Q66="V.Low",OR(S66="Good",S66="Moderate")),"Error ▲",VLOOKUP(S66,'G-1 All Habitats'!$Z$2:$AA$9,2,FALSE))))),"")</f>
        <v/>
      </c>
      <c r="U66" s="101"/>
      <c r="V66" s="283" t="str">
        <f>IF(U66="","",IF(VLOOKUP(U66,'G-3 Multipliers'!$L$3:$N$6,2,FALSE)=0,"Spatial Data Missing ⚠",VLOOKUP(U66,'G-3 Multipliers'!$L$3:$N$6,2,FALSE)))</f>
        <v/>
      </c>
      <c r="W66" s="281" t="str">
        <f>IF(U66="","",IF(VLOOKUP(U66,'G-3 Multipliers'!$L$3:$N$6,3,FALSE)=0,"Spatial Data Missing ⚠",VLOOKUP(U66,'G-3 Multipliers'!$L$3:$N$6,3,FALSE)))</f>
        <v/>
      </c>
      <c r="X66" s="275" t="str">
        <f>IFERROR(IF(OR(LEFT(O66,5)="Error",LEFT(N66,5)="Error",T66="Error"),"Check Data ⚠",IF(F66&lt;R66,INDEX('G-6 Hedgerow Data'!$S$3:$AE$14,MATCH(C66,'G-6 Hedgerow Data'!$B$3:$B$14,0),MATCH(M66,'G-6 Hedgerow Data'!$S$2:$AE$2,0)),INDEX('G-6 Hedgerow Data'!$K$3:$Q$14,MATCH(M66,'G-6 Hedgerow Data'!$B$3:$B$14,0),MATCH(O66,'G-6 Hedgerow Data'!$K$2:$Q$2,0)))),"")</f>
        <v/>
      </c>
      <c r="Y66" s="133"/>
      <c r="Z66" s="133"/>
      <c r="AA66" s="283" t="str">
        <f t="shared" si="2"/>
        <v/>
      </c>
      <c r="AB66" s="296" t="str">
        <f t="shared" si="3"/>
        <v/>
      </c>
      <c r="AC66" s="297" t="str">
        <f t="shared" si="0"/>
        <v/>
      </c>
      <c r="AD66" s="311" t="str">
        <f>IF(M66="","",VLOOKUP(M66,'G-6 Hedgerow Data'!$B$3:$AG$15,31,FALSE))</f>
        <v/>
      </c>
      <c r="AE66" s="295" t="str">
        <f t="shared" si="4"/>
        <v/>
      </c>
      <c r="AF66" s="283" t="str">
        <f t="shared" si="5"/>
        <v/>
      </c>
      <c r="AG66" s="299" t="str">
        <f>IFERROR(IF(O66="","",VLOOKUP(AD66,'G-3 Multipliers'!$P$3:$Q$6,2,FALSE)),"")</f>
        <v/>
      </c>
      <c r="AH66" s="713" t="str">
        <f>IF(B66="","",IF(ISNA(VLOOKUP($B66,'E-1 Off-Site Hedge Baseline'!$B$1:$Z$257,14,FALSE)),"",(VLOOKUP($B66,'E-1 Off-Site Hedge Baseline'!$B$1:$Z$257,14,FALSE))))</f>
        <v/>
      </c>
      <c r="AI66" s="276" t="str">
        <f>IF(AH66="","",IF(VLOOKUP(AH66,'G-3 Multipliers'!$S$3:$T$10,2,FALSE)=0,"Spatial Data Missing ⚠",VLOOKUP(AH66,'G-3 Multipliers'!$S$3:$T$10,2,FALSE)))</f>
        <v/>
      </c>
      <c r="AJ66" s="317" t="str">
        <f t="shared" si="6"/>
        <v/>
      </c>
      <c r="AK66" s="289" t="str">
        <f t="shared" si="7"/>
        <v/>
      </c>
      <c r="AL66" s="101"/>
      <c r="AM66" s="115"/>
      <c r="AN66" s="104"/>
      <c r="AO66" s="104"/>
      <c r="AQ66" s="30" t="str">
        <f>IFERROR(INDEX('G-6 Hedgerow Data'!$BJ$3:$BJ$15,MATCH(M66,'G-6 Hedgerow Data'!$B$3:$B$15,0)),"")</f>
        <v/>
      </c>
    </row>
    <row r="67" spans="2:43" ht="14">
      <c r="B67" s="305" t="str">
        <f>'E-1 Off-Site Hedge Baseline'!AN65</f>
        <v/>
      </c>
      <c r="C67" s="295" t="str">
        <f>IF(B67="","",IF(ISNA(VLOOKUP($B67,'E-1 Off-Site Hedge Baseline'!$B$1:$L$257,3,FALSE)),"",(VLOOKUP($B67,'E-1 Off-Site Hedge Baseline'!$B$1:$L$257,3,FALSE))))</f>
        <v/>
      </c>
      <c r="D67" s="295" t="str">
        <f>IF(B67="","",IF(ISNA(VLOOKUP($B67,'E-1 Off-Site Hedge Baseline'!$B$1:$L$258,4,FALSE)),"",(VLOOKUP($B67,'E-1 Off-Site Hedge Baseline'!$B$1:$L$258,4,FALSE))))</f>
        <v/>
      </c>
      <c r="E67" s="295" t="str">
        <f>IF(B67="","",IF(ISNA(VLOOKUP($B67,'E-1 Off-Site Hedge Baseline'!$B$1:$L$257,5,FALSE)),"",(VLOOKUP($B67,'E-1 Off-Site Hedge Baseline'!$B$1:$L$257,5,FALSE))))</f>
        <v/>
      </c>
      <c r="F67" s="295" t="str">
        <f>IF(B67="","",IF(ISNA(VLOOKUP($B67,'E-1 Off-Site Hedge Baseline'!$B$1:$L$257,6,FALSE)),"",(VLOOKUP($B67,'E-1 Off-Site Hedge Baseline'!$B$1:$L$257,6,FALSE))))</f>
        <v/>
      </c>
      <c r="G67" s="295" t="str">
        <f>IF(B67="","",IF(ISNA(VLOOKUP($B67,'E-1 Off-Site Hedge Baseline'!$B$1:$L$257,7,FALSE)),"",(VLOOKUP($B67,'E-1 Off-Site Hedge Baseline'!$B$1:$L$257,7,FALSE))))</f>
        <v/>
      </c>
      <c r="H67" s="295" t="str">
        <f>IF(B67="","",IF(ISNA(VLOOKUP($B67,'E-1 Off-Site Hedge Baseline'!$B$1:$L$257,8,FALSE)),"",(VLOOKUP($B67,'E-1 Off-Site Hedge Baseline'!$B$1:$L$257,8,FALSE))))</f>
        <v/>
      </c>
      <c r="I67" s="295" t="str">
        <f>IF(B67="","",IF(ISNA(VLOOKUP($B67,'E-1 Off-Site Hedge Baseline'!$B$1:$L$257,10,FALSE)),"",(VLOOKUP($B67,'E-1 Off-Site Hedge Baseline'!$B$1:$L$257,10,FALSE))))</f>
        <v/>
      </c>
      <c r="J67" s="295" t="str">
        <f>IF(B67="","",IF(ISNA(VLOOKUP($B67,'E-1 Off-Site Hedge Baseline'!$B$1:$L$257,11,FALSE)),"",(VLOOKUP($B67,'E-1 Off-Site Hedge Baseline'!$B$1:$L$257,11,FALSE))))</f>
        <v/>
      </c>
      <c r="K67" s="295" t="str">
        <f>IF(B67="","",IF(ISNA(VLOOKUP($B67,'E-1 Off-Site Hedge Baseline'!$B$1:$X$257,16,FALSE)),"",(VLOOKUP($B67,'E-1 Off-Site Hedge Baseline'!$B$1:$X$257,16,FALSE))))</f>
        <v/>
      </c>
      <c r="L67" s="283" t="str">
        <f>IF(B67="","",IF(ISNA(VLOOKUP($B67,'E-1 Off-Site Hedge Baseline'!$B$1:$X$257,12,FALSE)),"",(VLOOKUP($B67,'E-1 Off-Site Hedge Baseline'!$B$1:$X$257,12,FALSE))))</f>
        <v/>
      </c>
      <c r="M67" s="244"/>
      <c r="N67" s="275" t="str">
        <f>IFERROR(IF(B67="","",INDEX('G-6 Hedgerow Data'!$AN$3:$AZ$15,MATCH(C67,'G-6 Hedgerow Data'!$AM$3:$AM$15,0),MATCH(M67,'G-6 Hedgerow Data'!$AN$2:$AZ$2,0))),"")</f>
        <v/>
      </c>
      <c r="O67" s="276" t="str">
        <f t="shared" si="1"/>
        <v/>
      </c>
      <c r="P67" s="281" t="str">
        <f>IF(B67="","",VLOOKUP(B67,'E-1 Off-Site Hedge Baseline'!$B$10:W312,19,FALSE))</f>
        <v/>
      </c>
      <c r="Q67" s="275" t="str">
        <f>IF(M67="","",VLOOKUP(M67,'G-6 Hedgerow Data'!$B$2:$AG$15,2,FALSE))</f>
        <v/>
      </c>
      <c r="R67" s="276" t="str">
        <f>IF(M67="","",VLOOKUP(M67,'G-6 Hedgerow Data'!$B$2:$AG$15,3,FALSE))</f>
        <v/>
      </c>
      <c r="S67" s="101"/>
      <c r="T67" s="276" t="str">
        <f>IFERROR(IF(S67="","",IF(AND(M67="Non-native and ornamental hedgerow",S67&lt;&gt;"Poor"),"Not possible ▲",(IF(AND(Q67="V.Low",OR(S67="Good",S67="Moderate")),"Error ▲",VLOOKUP(S67,'G-1 All Habitats'!$Z$2:$AA$9,2,FALSE))))),"")</f>
        <v/>
      </c>
      <c r="U67" s="101"/>
      <c r="V67" s="283" t="str">
        <f>IF(U67="","",IF(VLOOKUP(U67,'G-3 Multipliers'!$L$3:$N$6,2,FALSE)=0,"Spatial Data Missing ⚠",VLOOKUP(U67,'G-3 Multipliers'!$L$3:$N$6,2,FALSE)))</f>
        <v/>
      </c>
      <c r="W67" s="281" t="str">
        <f>IF(U67="","",IF(VLOOKUP(U67,'G-3 Multipliers'!$L$3:$N$6,3,FALSE)=0,"Spatial Data Missing ⚠",VLOOKUP(U67,'G-3 Multipliers'!$L$3:$N$6,3,FALSE)))</f>
        <v/>
      </c>
      <c r="X67" s="275" t="str">
        <f>IFERROR(IF(OR(LEFT(O67,5)="Error",LEFT(N67,5)="Error",T67="Error"),"Check Data ⚠",IF(F67&lt;R67,INDEX('G-6 Hedgerow Data'!$S$3:$AE$14,MATCH(C67,'G-6 Hedgerow Data'!$B$3:$B$14,0),MATCH(M67,'G-6 Hedgerow Data'!$S$2:$AE$2,0)),INDEX('G-6 Hedgerow Data'!$K$3:$Q$14,MATCH(M67,'G-6 Hedgerow Data'!$B$3:$B$14,0),MATCH(O67,'G-6 Hedgerow Data'!$K$2:$Q$2,0)))),"")</f>
        <v/>
      </c>
      <c r="Y67" s="133"/>
      <c r="Z67" s="133"/>
      <c r="AA67" s="283" t="str">
        <f t="shared" si="2"/>
        <v/>
      </c>
      <c r="AB67" s="296" t="str">
        <f t="shared" si="3"/>
        <v/>
      </c>
      <c r="AC67" s="297" t="str">
        <f t="shared" si="0"/>
        <v/>
      </c>
      <c r="AD67" s="311" t="str">
        <f>IF(M67="","",VLOOKUP(M67,'G-6 Hedgerow Data'!$B$3:$AG$15,31,FALSE))</f>
        <v/>
      </c>
      <c r="AE67" s="295" t="str">
        <f t="shared" si="4"/>
        <v/>
      </c>
      <c r="AF67" s="283" t="str">
        <f t="shared" si="5"/>
        <v/>
      </c>
      <c r="AG67" s="299" t="str">
        <f>IFERROR(IF(O67="","",VLOOKUP(AD67,'G-3 Multipliers'!$P$3:$Q$6,2,FALSE)),"")</f>
        <v/>
      </c>
      <c r="AH67" s="713" t="str">
        <f>IF(B67="","",IF(ISNA(VLOOKUP($B67,'E-1 Off-Site Hedge Baseline'!$B$1:$Z$257,14,FALSE)),"",(VLOOKUP($B67,'E-1 Off-Site Hedge Baseline'!$B$1:$Z$257,14,FALSE))))</f>
        <v/>
      </c>
      <c r="AI67" s="276" t="str">
        <f>IF(AH67="","",IF(VLOOKUP(AH67,'G-3 Multipliers'!$S$3:$T$10,2,FALSE)=0,"Spatial Data Missing ⚠",VLOOKUP(AH67,'G-3 Multipliers'!$S$3:$T$10,2,FALSE)))</f>
        <v/>
      </c>
      <c r="AJ67" s="317" t="str">
        <f t="shared" si="6"/>
        <v/>
      </c>
      <c r="AK67" s="289" t="str">
        <f t="shared" si="7"/>
        <v/>
      </c>
      <c r="AL67" s="101"/>
      <c r="AM67" s="115"/>
      <c r="AN67" s="104"/>
      <c r="AO67" s="104"/>
      <c r="AQ67" s="30" t="str">
        <f>IFERROR(INDEX('G-6 Hedgerow Data'!$BJ$3:$BJ$15,MATCH(M67,'G-6 Hedgerow Data'!$B$3:$B$15,0)),"")</f>
        <v/>
      </c>
    </row>
    <row r="68" spans="2:43" ht="14">
      <c r="B68" s="305" t="str">
        <f>'E-1 Off-Site Hedge Baseline'!AN66</f>
        <v/>
      </c>
      <c r="C68" s="295" t="str">
        <f>IF(B68="","",IF(ISNA(VLOOKUP($B68,'E-1 Off-Site Hedge Baseline'!$B$1:$L$257,3,FALSE)),"",(VLOOKUP($B68,'E-1 Off-Site Hedge Baseline'!$B$1:$L$257,3,FALSE))))</f>
        <v/>
      </c>
      <c r="D68" s="295" t="str">
        <f>IF(B68="","",IF(ISNA(VLOOKUP($B68,'E-1 Off-Site Hedge Baseline'!$B$1:$L$258,4,FALSE)),"",(VLOOKUP($B68,'E-1 Off-Site Hedge Baseline'!$B$1:$L$258,4,FALSE))))</f>
        <v/>
      </c>
      <c r="E68" s="295" t="str">
        <f>IF(B68="","",IF(ISNA(VLOOKUP($B68,'E-1 Off-Site Hedge Baseline'!$B$1:$L$257,5,FALSE)),"",(VLOOKUP($B68,'E-1 Off-Site Hedge Baseline'!$B$1:$L$257,5,FALSE))))</f>
        <v/>
      </c>
      <c r="F68" s="295" t="str">
        <f>IF(B68="","",IF(ISNA(VLOOKUP($B68,'E-1 Off-Site Hedge Baseline'!$B$1:$L$257,6,FALSE)),"",(VLOOKUP($B68,'E-1 Off-Site Hedge Baseline'!$B$1:$L$257,6,FALSE))))</f>
        <v/>
      </c>
      <c r="G68" s="295" t="str">
        <f>IF(B68="","",IF(ISNA(VLOOKUP($B68,'E-1 Off-Site Hedge Baseline'!$B$1:$L$257,7,FALSE)),"",(VLOOKUP($B68,'E-1 Off-Site Hedge Baseline'!$B$1:$L$257,7,FALSE))))</f>
        <v/>
      </c>
      <c r="H68" s="295" t="str">
        <f>IF(B68="","",IF(ISNA(VLOOKUP($B68,'E-1 Off-Site Hedge Baseline'!$B$1:$L$257,8,FALSE)),"",(VLOOKUP($B68,'E-1 Off-Site Hedge Baseline'!$B$1:$L$257,8,FALSE))))</f>
        <v/>
      </c>
      <c r="I68" s="295" t="str">
        <f>IF(B68="","",IF(ISNA(VLOOKUP($B68,'E-1 Off-Site Hedge Baseline'!$B$1:$L$257,10,FALSE)),"",(VLOOKUP($B68,'E-1 Off-Site Hedge Baseline'!$B$1:$L$257,10,FALSE))))</f>
        <v/>
      </c>
      <c r="J68" s="295" t="str">
        <f>IF(B68="","",IF(ISNA(VLOOKUP($B68,'E-1 Off-Site Hedge Baseline'!$B$1:$L$257,11,FALSE)),"",(VLOOKUP($B68,'E-1 Off-Site Hedge Baseline'!$B$1:$L$257,11,FALSE))))</f>
        <v/>
      </c>
      <c r="K68" s="295" t="str">
        <f>IF(B68="","",IF(ISNA(VLOOKUP($B68,'E-1 Off-Site Hedge Baseline'!$B$1:$X$257,16,FALSE)),"",(VLOOKUP($B68,'E-1 Off-Site Hedge Baseline'!$B$1:$X$257,16,FALSE))))</f>
        <v/>
      </c>
      <c r="L68" s="283" t="str">
        <f>IF(B68="","",IF(ISNA(VLOOKUP($B68,'E-1 Off-Site Hedge Baseline'!$B$1:$X$257,12,FALSE)),"",(VLOOKUP($B68,'E-1 Off-Site Hedge Baseline'!$B$1:$X$257,12,FALSE))))</f>
        <v/>
      </c>
      <c r="M68" s="244"/>
      <c r="N68" s="275" t="str">
        <f>IFERROR(IF(B68="","",INDEX('G-6 Hedgerow Data'!$AN$3:$AZ$15,MATCH(C68,'G-6 Hedgerow Data'!$AM$3:$AM$15,0),MATCH(M68,'G-6 Hedgerow Data'!$AN$2:$AZ$2,0))),"")</f>
        <v/>
      </c>
      <c r="O68" s="276" t="str">
        <f t="shared" si="1"/>
        <v/>
      </c>
      <c r="P68" s="281" t="str">
        <f>IF(B68="","",VLOOKUP(B68,'E-1 Off-Site Hedge Baseline'!$B$10:W313,19,FALSE))</f>
        <v/>
      </c>
      <c r="Q68" s="275" t="str">
        <f>IF(M68="","",VLOOKUP(M68,'G-6 Hedgerow Data'!$B$2:$AG$15,2,FALSE))</f>
        <v/>
      </c>
      <c r="R68" s="276" t="str">
        <f>IF(M68="","",VLOOKUP(M68,'G-6 Hedgerow Data'!$B$2:$AG$15,3,FALSE))</f>
        <v/>
      </c>
      <c r="S68" s="101"/>
      <c r="T68" s="276" t="str">
        <f>IFERROR(IF(S68="","",IF(AND(M68="Non-native and ornamental hedgerow",S68&lt;&gt;"Poor"),"Not possible ▲",(IF(AND(Q68="V.Low",OR(S68="Good",S68="Moderate")),"Error ▲",VLOOKUP(S68,'G-1 All Habitats'!$Z$2:$AA$9,2,FALSE))))),"")</f>
        <v/>
      </c>
      <c r="U68" s="101"/>
      <c r="V68" s="283" t="str">
        <f>IF(U68="","",IF(VLOOKUP(U68,'G-3 Multipliers'!$L$3:$N$6,2,FALSE)=0,"Spatial Data Missing ⚠",VLOOKUP(U68,'G-3 Multipliers'!$L$3:$N$6,2,FALSE)))</f>
        <v/>
      </c>
      <c r="W68" s="281" t="str">
        <f>IF(U68="","",IF(VLOOKUP(U68,'G-3 Multipliers'!$L$3:$N$6,3,FALSE)=0,"Spatial Data Missing ⚠",VLOOKUP(U68,'G-3 Multipliers'!$L$3:$N$6,3,FALSE)))</f>
        <v/>
      </c>
      <c r="X68" s="275" t="str">
        <f>IFERROR(IF(OR(LEFT(O68,5)="Error",LEFT(N68,5)="Error",T68="Error"),"Check Data ⚠",IF(F68&lt;R68,INDEX('G-6 Hedgerow Data'!$S$3:$AE$14,MATCH(C68,'G-6 Hedgerow Data'!$B$3:$B$14,0),MATCH(M68,'G-6 Hedgerow Data'!$S$2:$AE$2,0)),INDEX('G-6 Hedgerow Data'!$K$3:$Q$14,MATCH(M68,'G-6 Hedgerow Data'!$B$3:$B$14,0),MATCH(O68,'G-6 Hedgerow Data'!$K$2:$Q$2,0)))),"")</f>
        <v/>
      </c>
      <c r="Y68" s="133"/>
      <c r="Z68" s="133"/>
      <c r="AA68" s="283" t="str">
        <f t="shared" si="2"/>
        <v/>
      </c>
      <c r="AB68" s="296" t="str">
        <f t="shared" si="3"/>
        <v/>
      </c>
      <c r="AC68" s="297" t="str">
        <f t="shared" si="0"/>
        <v/>
      </c>
      <c r="AD68" s="311" t="str">
        <f>IF(M68="","",VLOOKUP(M68,'G-6 Hedgerow Data'!$B$3:$AG$15,31,FALSE))</f>
        <v/>
      </c>
      <c r="AE68" s="295" t="str">
        <f t="shared" si="4"/>
        <v/>
      </c>
      <c r="AF68" s="283" t="str">
        <f t="shared" si="5"/>
        <v/>
      </c>
      <c r="AG68" s="299" t="str">
        <f>IFERROR(IF(O68="","",VLOOKUP(AD68,'G-3 Multipliers'!$P$3:$Q$6,2,FALSE)),"")</f>
        <v/>
      </c>
      <c r="AH68" s="713" t="str">
        <f>IF(B68="","",IF(ISNA(VLOOKUP($B68,'E-1 Off-Site Hedge Baseline'!$B$1:$Z$257,14,FALSE)),"",(VLOOKUP($B68,'E-1 Off-Site Hedge Baseline'!$B$1:$Z$257,14,FALSE))))</f>
        <v/>
      </c>
      <c r="AI68" s="276" t="str">
        <f>IF(AH68="","",IF(VLOOKUP(AH68,'G-3 Multipliers'!$S$3:$T$10,2,FALSE)=0,"Spatial Data Missing ⚠",VLOOKUP(AH68,'G-3 Multipliers'!$S$3:$T$10,2,FALSE)))</f>
        <v/>
      </c>
      <c r="AJ68" s="317" t="str">
        <f t="shared" si="6"/>
        <v/>
      </c>
      <c r="AK68" s="289" t="str">
        <f t="shared" si="7"/>
        <v/>
      </c>
      <c r="AL68" s="101"/>
      <c r="AM68" s="115"/>
      <c r="AN68" s="104"/>
      <c r="AO68" s="104"/>
      <c r="AQ68" s="30" t="str">
        <f>IFERROR(INDEX('G-6 Hedgerow Data'!$BJ$3:$BJ$15,MATCH(M68,'G-6 Hedgerow Data'!$B$3:$B$15,0)),"")</f>
        <v/>
      </c>
    </row>
    <row r="69" spans="2:43" ht="14">
      <c r="B69" s="305" t="str">
        <f>'E-1 Off-Site Hedge Baseline'!AN67</f>
        <v/>
      </c>
      <c r="C69" s="295" t="str">
        <f>IF(B69="","",IF(ISNA(VLOOKUP($B69,'E-1 Off-Site Hedge Baseline'!$B$1:$L$257,3,FALSE)),"",(VLOOKUP($B69,'E-1 Off-Site Hedge Baseline'!$B$1:$L$257,3,FALSE))))</f>
        <v/>
      </c>
      <c r="D69" s="295" t="str">
        <f>IF(B69="","",IF(ISNA(VLOOKUP($B69,'E-1 Off-Site Hedge Baseline'!$B$1:$L$258,4,FALSE)),"",(VLOOKUP($B69,'E-1 Off-Site Hedge Baseline'!$B$1:$L$258,4,FALSE))))</f>
        <v/>
      </c>
      <c r="E69" s="295" t="str">
        <f>IF(B69="","",IF(ISNA(VLOOKUP($B69,'E-1 Off-Site Hedge Baseline'!$B$1:$L$257,5,FALSE)),"",(VLOOKUP($B69,'E-1 Off-Site Hedge Baseline'!$B$1:$L$257,5,FALSE))))</f>
        <v/>
      </c>
      <c r="F69" s="295" t="str">
        <f>IF(B69="","",IF(ISNA(VLOOKUP($B69,'E-1 Off-Site Hedge Baseline'!$B$1:$L$257,6,FALSE)),"",(VLOOKUP($B69,'E-1 Off-Site Hedge Baseline'!$B$1:$L$257,6,FALSE))))</f>
        <v/>
      </c>
      <c r="G69" s="295" t="str">
        <f>IF(B69="","",IF(ISNA(VLOOKUP($B69,'E-1 Off-Site Hedge Baseline'!$B$1:$L$257,7,FALSE)),"",(VLOOKUP($B69,'E-1 Off-Site Hedge Baseline'!$B$1:$L$257,7,FALSE))))</f>
        <v/>
      </c>
      <c r="H69" s="295" t="str">
        <f>IF(B69="","",IF(ISNA(VLOOKUP($B69,'E-1 Off-Site Hedge Baseline'!$B$1:$L$257,8,FALSE)),"",(VLOOKUP($B69,'E-1 Off-Site Hedge Baseline'!$B$1:$L$257,8,FALSE))))</f>
        <v/>
      </c>
      <c r="I69" s="295" t="str">
        <f>IF(B69="","",IF(ISNA(VLOOKUP($B69,'E-1 Off-Site Hedge Baseline'!$B$1:$L$257,10,FALSE)),"",(VLOOKUP($B69,'E-1 Off-Site Hedge Baseline'!$B$1:$L$257,10,FALSE))))</f>
        <v/>
      </c>
      <c r="J69" s="295" t="str">
        <f>IF(B69="","",IF(ISNA(VLOOKUP($B69,'E-1 Off-Site Hedge Baseline'!$B$1:$L$257,11,FALSE)),"",(VLOOKUP($B69,'E-1 Off-Site Hedge Baseline'!$B$1:$L$257,11,FALSE))))</f>
        <v/>
      </c>
      <c r="K69" s="295" t="str">
        <f>IF(B69="","",IF(ISNA(VLOOKUP($B69,'E-1 Off-Site Hedge Baseline'!$B$1:$X$257,16,FALSE)),"",(VLOOKUP($B69,'E-1 Off-Site Hedge Baseline'!$B$1:$X$257,16,FALSE))))</f>
        <v/>
      </c>
      <c r="L69" s="283" t="str">
        <f>IF(B69="","",IF(ISNA(VLOOKUP($B69,'E-1 Off-Site Hedge Baseline'!$B$1:$X$257,12,FALSE)),"",(VLOOKUP($B69,'E-1 Off-Site Hedge Baseline'!$B$1:$X$257,12,FALSE))))</f>
        <v/>
      </c>
      <c r="M69" s="244"/>
      <c r="N69" s="275" t="str">
        <f>IFERROR(IF(B69="","",INDEX('G-6 Hedgerow Data'!$AN$3:$AZ$15,MATCH(C69,'G-6 Hedgerow Data'!$AM$3:$AM$15,0),MATCH(M69,'G-6 Hedgerow Data'!$AN$2:$AZ$2,0))),"")</f>
        <v/>
      </c>
      <c r="O69" s="276" t="str">
        <f t="shared" si="1"/>
        <v/>
      </c>
      <c r="P69" s="281" t="str">
        <f>IF(B69="","",VLOOKUP(B69,'E-1 Off-Site Hedge Baseline'!$B$10:W314,19,FALSE))</f>
        <v/>
      </c>
      <c r="Q69" s="275" t="str">
        <f>IF(M69="","",VLOOKUP(M69,'G-6 Hedgerow Data'!$B$2:$AG$15,2,FALSE))</f>
        <v/>
      </c>
      <c r="R69" s="276" t="str">
        <f>IF(M69="","",VLOOKUP(M69,'G-6 Hedgerow Data'!$B$2:$AG$15,3,FALSE))</f>
        <v/>
      </c>
      <c r="S69" s="101"/>
      <c r="T69" s="276" t="str">
        <f>IFERROR(IF(S69="","",IF(AND(M69="Non-native and ornamental hedgerow",S69&lt;&gt;"Poor"),"Not possible ▲",(IF(AND(Q69="V.Low",OR(S69="Good",S69="Moderate")),"Error ▲",VLOOKUP(S69,'G-1 All Habitats'!$Z$2:$AA$9,2,FALSE))))),"")</f>
        <v/>
      </c>
      <c r="U69" s="101"/>
      <c r="V69" s="283" t="str">
        <f>IF(U69="","",IF(VLOOKUP(U69,'G-3 Multipliers'!$L$3:$N$6,2,FALSE)=0,"Spatial Data Missing ⚠",VLOOKUP(U69,'G-3 Multipliers'!$L$3:$N$6,2,FALSE)))</f>
        <v/>
      </c>
      <c r="W69" s="281" t="str">
        <f>IF(U69="","",IF(VLOOKUP(U69,'G-3 Multipliers'!$L$3:$N$6,3,FALSE)=0,"Spatial Data Missing ⚠",VLOOKUP(U69,'G-3 Multipliers'!$L$3:$N$6,3,FALSE)))</f>
        <v/>
      </c>
      <c r="X69" s="275" t="str">
        <f>IFERROR(IF(OR(LEFT(O69,5)="Error",LEFT(N69,5)="Error",T69="Error"),"Check Data ⚠",IF(F69&lt;R69,INDEX('G-6 Hedgerow Data'!$S$3:$AE$14,MATCH(C69,'G-6 Hedgerow Data'!$B$3:$B$14,0),MATCH(M69,'G-6 Hedgerow Data'!$S$2:$AE$2,0)),INDEX('G-6 Hedgerow Data'!$K$3:$Q$14,MATCH(M69,'G-6 Hedgerow Data'!$B$3:$B$14,0),MATCH(O69,'G-6 Hedgerow Data'!$K$2:$Q$2,0)))),"")</f>
        <v/>
      </c>
      <c r="Y69" s="133"/>
      <c r="Z69" s="133"/>
      <c r="AA69" s="283" t="str">
        <f t="shared" si="2"/>
        <v/>
      </c>
      <c r="AB69" s="296" t="str">
        <f t="shared" si="3"/>
        <v/>
      </c>
      <c r="AC69" s="297" t="str">
        <f t="shared" si="0"/>
        <v/>
      </c>
      <c r="AD69" s="311" t="str">
        <f>IF(M69="","",VLOOKUP(M69,'G-6 Hedgerow Data'!$B$3:$AG$15,31,FALSE))</f>
        <v/>
      </c>
      <c r="AE69" s="295" t="str">
        <f t="shared" si="4"/>
        <v/>
      </c>
      <c r="AF69" s="283" t="str">
        <f t="shared" si="5"/>
        <v/>
      </c>
      <c r="AG69" s="299" t="str">
        <f>IFERROR(IF(O69="","",VLOOKUP(AD69,'G-3 Multipliers'!$P$3:$Q$6,2,FALSE)),"")</f>
        <v/>
      </c>
      <c r="AH69" s="713" t="str">
        <f>IF(B69="","",IF(ISNA(VLOOKUP($B69,'E-1 Off-Site Hedge Baseline'!$B$1:$Z$257,14,FALSE)),"",(VLOOKUP($B69,'E-1 Off-Site Hedge Baseline'!$B$1:$Z$257,14,FALSE))))</f>
        <v/>
      </c>
      <c r="AI69" s="276" t="str">
        <f>IF(AH69="","",IF(VLOOKUP(AH69,'G-3 Multipliers'!$S$3:$T$10,2,FALSE)=0,"Spatial Data Missing ⚠",VLOOKUP(AH69,'G-3 Multipliers'!$S$3:$T$10,2,FALSE)))</f>
        <v/>
      </c>
      <c r="AJ69" s="317" t="str">
        <f t="shared" si="6"/>
        <v/>
      </c>
      <c r="AK69" s="289" t="str">
        <f t="shared" si="7"/>
        <v/>
      </c>
      <c r="AL69" s="101"/>
      <c r="AM69" s="115"/>
      <c r="AN69" s="104"/>
      <c r="AO69" s="104"/>
      <c r="AQ69" s="30" t="str">
        <f>IFERROR(INDEX('G-6 Hedgerow Data'!$BJ$3:$BJ$15,MATCH(M69,'G-6 Hedgerow Data'!$B$3:$B$15,0)),"")</f>
        <v/>
      </c>
    </row>
    <row r="70" spans="2:43" ht="14">
      <c r="B70" s="305" t="str">
        <f>'E-1 Off-Site Hedge Baseline'!AN68</f>
        <v/>
      </c>
      <c r="C70" s="295" t="str">
        <f>IF(B70="","",IF(ISNA(VLOOKUP($B70,'E-1 Off-Site Hedge Baseline'!$B$1:$L$257,3,FALSE)),"",(VLOOKUP($B70,'E-1 Off-Site Hedge Baseline'!$B$1:$L$257,3,FALSE))))</f>
        <v/>
      </c>
      <c r="D70" s="295" t="str">
        <f>IF(B70="","",IF(ISNA(VLOOKUP($B70,'E-1 Off-Site Hedge Baseline'!$B$1:$L$258,4,FALSE)),"",(VLOOKUP($B70,'E-1 Off-Site Hedge Baseline'!$B$1:$L$258,4,FALSE))))</f>
        <v/>
      </c>
      <c r="E70" s="295" t="str">
        <f>IF(B70="","",IF(ISNA(VLOOKUP($B70,'E-1 Off-Site Hedge Baseline'!$B$1:$L$257,5,FALSE)),"",(VLOOKUP($B70,'E-1 Off-Site Hedge Baseline'!$B$1:$L$257,5,FALSE))))</f>
        <v/>
      </c>
      <c r="F70" s="295" t="str">
        <f>IF(B70="","",IF(ISNA(VLOOKUP($B70,'E-1 Off-Site Hedge Baseline'!$B$1:$L$257,6,FALSE)),"",(VLOOKUP($B70,'E-1 Off-Site Hedge Baseline'!$B$1:$L$257,6,FALSE))))</f>
        <v/>
      </c>
      <c r="G70" s="295" t="str">
        <f>IF(B70="","",IF(ISNA(VLOOKUP($B70,'E-1 Off-Site Hedge Baseline'!$B$1:$L$257,7,FALSE)),"",(VLOOKUP($B70,'E-1 Off-Site Hedge Baseline'!$B$1:$L$257,7,FALSE))))</f>
        <v/>
      </c>
      <c r="H70" s="295" t="str">
        <f>IF(B70="","",IF(ISNA(VLOOKUP($B70,'E-1 Off-Site Hedge Baseline'!$B$1:$L$257,8,FALSE)),"",(VLOOKUP($B70,'E-1 Off-Site Hedge Baseline'!$B$1:$L$257,8,FALSE))))</f>
        <v/>
      </c>
      <c r="I70" s="295" t="str">
        <f>IF(B70="","",IF(ISNA(VLOOKUP($B70,'E-1 Off-Site Hedge Baseline'!$B$1:$L$257,10,FALSE)),"",(VLOOKUP($B70,'E-1 Off-Site Hedge Baseline'!$B$1:$L$257,10,FALSE))))</f>
        <v/>
      </c>
      <c r="J70" s="295" t="str">
        <f>IF(B70="","",IF(ISNA(VLOOKUP($B70,'E-1 Off-Site Hedge Baseline'!$B$1:$L$257,11,FALSE)),"",(VLOOKUP($B70,'E-1 Off-Site Hedge Baseline'!$B$1:$L$257,11,FALSE))))</f>
        <v/>
      </c>
      <c r="K70" s="295" t="str">
        <f>IF(B70="","",IF(ISNA(VLOOKUP($B70,'E-1 Off-Site Hedge Baseline'!$B$1:$X$257,16,FALSE)),"",(VLOOKUP($B70,'E-1 Off-Site Hedge Baseline'!$B$1:$X$257,16,FALSE))))</f>
        <v/>
      </c>
      <c r="L70" s="283" t="str">
        <f>IF(B70="","",IF(ISNA(VLOOKUP($B70,'E-1 Off-Site Hedge Baseline'!$B$1:$X$257,12,FALSE)),"",(VLOOKUP($B70,'E-1 Off-Site Hedge Baseline'!$B$1:$X$257,12,FALSE))))</f>
        <v/>
      </c>
      <c r="M70" s="244"/>
      <c r="N70" s="275" t="str">
        <f>IFERROR(IF(B70="","",INDEX('G-6 Hedgerow Data'!$AN$3:$AZ$15,MATCH(C70,'G-6 Hedgerow Data'!$AM$3:$AM$15,0),MATCH(M70,'G-6 Hedgerow Data'!$AN$2:$AZ$2,0))),"")</f>
        <v/>
      </c>
      <c r="O70" s="276" t="str">
        <f t="shared" si="1"/>
        <v/>
      </c>
      <c r="P70" s="281" t="str">
        <f>IF(B70="","",VLOOKUP(B70,'E-1 Off-Site Hedge Baseline'!$B$10:W315,19,FALSE))</f>
        <v/>
      </c>
      <c r="Q70" s="275" t="str">
        <f>IF(M70="","",VLOOKUP(M70,'G-6 Hedgerow Data'!$B$2:$AG$15,2,FALSE))</f>
        <v/>
      </c>
      <c r="R70" s="276" t="str">
        <f>IF(M70="","",VLOOKUP(M70,'G-6 Hedgerow Data'!$B$2:$AG$15,3,FALSE))</f>
        <v/>
      </c>
      <c r="S70" s="101"/>
      <c r="T70" s="276" t="str">
        <f>IFERROR(IF(S70="","",IF(AND(M70="Non-native and ornamental hedgerow",S70&lt;&gt;"Poor"),"Not possible ▲",(IF(AND(Q70="V.Low",OR(S70="Good",S70="Moderate")),"Error ▲",VLOOKUP(S70,'G-1 All Habitats'!$Z$2:$AA$9,2,FALSE))))),"")</f>
        <v/>
      </c>
      <c r="U70" s="101"/>
      <c r="V70" s="283" t="str">
        <f>IF(U70="","",IF(VLOOKUP(U70,'G-3 Multipliers'!$L$3:$N$6,2,FALSE)=0,"Spatial Data Missing ⚠",VLOOKUP(U70,'G-3 Multipliers'!$L$3:$N$6,2,FALSE)))</f>
        <v/>
      </c>
      <c r="W70" s="281" t="str">
        <f>IF(U70="","",IF(VLOOKUP(U70,'G-3 Multipliers'!$L$3:$N$6,3,FALSE)=0,"Spatial Data Missing ⚠",VLOOKUP(U70,'G-3 Multipliers'!$L$3:$N$6,3,FALSE)))</f>
        <v/>
      </c>
      <c r="X70" s="275" t="str">
        <f>IFERROR(IF(OR(LEFT(O70,5)="Error",LEFT(N70,5)="Error",T70="Error"),"Check Data ⚠",IF(F70&lt;R70,INDEX('G-6 Hedgerow Data'!$S$3:$AE$14,MATCH(C70,'G-6 Hedgerow Data'!$B$3:$B$14,0),MATCH(M70,'G-6 Hedgerow Data'!$S$2:$AE$2,0)),INDEX('G-6 Hedgerow Data'!$K$3:$Q$14,MATCH(M70,'G-6 Hedgerow Data'!$B$3:$B$14,0),MATCH(O70,'G-6 Hedgerow Data'!$K$2:$Q$2,0)))),"")</f>
        <v/>
      </c>
      <c r="Y70" s="133"/>
      <c r="Z70" s="133"/>
      <c r="AA70" s="283" t="str">
        <f t="shared" si="2"/>
        <v/>
      </c>
      <c r="AB70" s="296" t="str">
        <f t="shared" si="3"/>
        <v/>
      </c>
      <c r="AC70" s="297" t="str">
        <f t="shared" si="0"/>
        <v/>
      </c>
      <c r="AD70" s="311" t="str">
        <f>IF(M70="","",VLOOKUP(M70,'G-6 Hedgerow Data'!$B$3:$AG$15,31,FALSE))</f>
        <v/>
      </c>
      <c r="AE70" s="295" t="str">
        <f t="shared" si="4"/>
        <v/>
      </c>
      <c r="AF70" s="283" t="str">
        <f t="shared" si="5"/>
        <v/>
      </c>
      <c r="AG70" s="299" t="str">
        <f>IFERROR(IF(O70="","",VLOOKUP(AD70,'G-3 Multipliers'!$P$3:$Q$6,2,FALSE)),"")</f>
        <v/>
      </c>
      <c r="AH70" s="713" t="str">
        <f>IF(B70="","",IF(ISNA(VLOOKUP($B70,'E-1 Off-Site Hedge Baseline'!$B$1:$Z$257,14,FALSE)),"",(VLOOKUP($B70,'E-1 Off-Site Hedge Baseline'!$B$1:$Z$257,14,FALSE))))</f>
        <v/>
      </c>
      <c r="AI70" s="276" t="str">
        <f>IF(AH70="","",IF(VLOOKUP(AH70,'G-3 Multipliers'!$S$3:$T$10,2,FALSE)=0,"Spatial Data Missing ⚠",VLOOKUP(AH70,'G-3 Multipliers'!$S$3:$T$10,2,FALSE)))</f>
        <v/>
      </c>
      <c r="AJ70" s="317" t="str">
        <f t="shared" si="6"/>
        <v/>
      </c>
      <c r="AK70" s="289" t="str">
        <f t="shared" si="7"/>
        <v/>
      </c>
      <c r="AL70" s="101"/>
      <c r="AM70" s="115"/>
      <c r="AN70" s="104"/>
      <c r="AO70" s="104"/>
      <c r="AQ70" s="30" t="str">
        <f>IFERROR(INDEX('G-6 Hedgerow Data'!$BJ$3:$BJ$15,MATCH(M70,'G-6 Hedgerow Data'!$B$3:$B$15,0)),"")</f>
        <v/>
      </c>
    </row>
    <row r="71" spans="2:43" ht="14">
      <c r="B71" s="305" t="str">
        <f>'E-1 Off-Site Hedge Baseline'!AN69</f>
        <v/>
      </c>
      <c r="C71" s="295" t="str">
        <f>IF(B71="","",IF(ISNA(VLOOKUP($B71,'E-1 Off-Site Hedge Baseline'!$B$1:$L$257,3,FALSE)),"",(VLOOKUP($B71,'E-1 Off-Site Hedge Baseline'!$B$1:$L$257,3,FALSE))))</f>
        <v/>
      </c>
      <c r="D71" s="295" t="str">
        <f>IF(B71="","",IF(ISNA(VLOOKUP($B71,'E-1 Off-Site Hedge Baseline'!$B$1:$L$258,4,FALSE)),"",(VLOOKUP($B71,'E-1 Off-Site Hedge Baseline'!$B$1:$L$258,4,FALSE))))</f>
        <v/>
      </c>
      <c r="E71" s="295" t="str">
        <f>IF(B71="","",IF(ISNA(VLOOKUP($B71,'E-1 Off-Site Hedge Baseline'!$B$1:$L$257,5,FALSE)),"",(VLOOKUP($B71,'E-1 Off-Site Hedge Baseline'!$B$1:$L$257,5,FALSE))))</f>
        <v/>
      </c>
      <c r="F71" s="295" t="str">
        <f>IF(B71="","",IF(ISNA(VLOOKUP($B71,'E-1 Off-Site Hedge Baseline'!$B$1:$L$257,6,FALSE)),"",(VLOOKUP($B71,'E-1 Off-Site Hedge Baseline'!$B$1:$L$257,6,FALSE))))</f>
        <v/>
      </c>
      <c r="G71" s="295" t="str">
        <f>IF(B71="","",IF(ISNA(VLOOKUP($B71,'E-1 Off-Site Hedge Baseline'!$B$1:$L$257,7,FALSE)),"",(VLOOKUP($B71,'E-1 Off-Site Hedge Baseline'!$B$1:$L$257,7,FALSE))))</f>
        <v/>
      </c>
      <c r="H71" s="295" t="str">
        <f>IF(B71="","",IF(ISNA(VLOOKUP($B71,'E-1 Off-Site Hedge Baseline'!$B$1:$L$257,8,FALSE)),"",(VLOOKUP($B71,'E-1 Off-Site Hedge Baseline'!$B$1:$L$257,8,FALSE))))</f>
        <v/>
      </c>
      <c r="I71" s="295" t="str">
        <f>IF(B71="","",IF(ISNA(VLOOKUP($B71,'E-1 Off-Site Hedge Baseline'!$B$1:$L$257,10,FALSE)),"",(VLOOKUP($B71,'E-1 Off-Site Hedge Baseline'!$B$1:$L$257,10,FALSE))))</f>
        <v/>
      </c>
      <c r="J71" s="295" t="str">
        <f>IF(B71="","",IF(ISNA(VLOOKUP($B71,'E-1 Off-Site Hedge Baseline'!$B$1:$L$257,11,FALSE)),"",(VLOOKUP($B71,'E-1 Off-Site Hedge Baseline'!$B$1:$L$257,11,FALSE))))</f>
        <v/>
      </c>
      <c r="K71" s="295" t="str">
        <f>IF(B71="","",IF(ISNA(VLOOKUP($B71,'E-1 Off-Site Hedge Baseline'!$B$1:$X$257,16,FALSE)),"",(VLOOKUP($B71,'E-1 Off-Site Hedge Baseline'!$B$1:$X$257,16,FALSE))))</f>
        <v/>
      </c>
      <c r="L71" s="283" t="str">
        <f>IF(B71="","",IF(ISNA(VLOOKUP($B71,'E-1 Off-Site Hedge Baseline'!$B$1:$X$257,12,FALSE)),"",(VLOOKUP($B71,'E-1 Off-Site Hedge Baseline'!$B$1:$X$257,12,FALSE))))</f>
        <v/>
      </c>
      <c r="M71" s="244"/>
      <c r="N71" s="275" t="str">
        <f>IFERROR(IF(B71="","",INDEX('G-6 Hedgerow Data'!$AN$3:$AZ$15,MATCH(C71,'G-6 Hedgerow Data'!$AM$3:$AM$15,0),MATCH(M71,'G-6 Hedgerow Data'!$AN$2:$AZ$2,0))),"")</f>
        <v/>
      </c>
      <c r="O71" s="276" t="str">
        <f t="shared" si="1"/>
        <v/>
      </c>
      <c r="P71" s="281" t="str">
        <f>IF(B71="","",VLOOKUP(B71,'E-1 Off-Site Hedge Baseline'!$B$10:W316,19,FALSE))</f>
        <v/>
      </c>
      <c r="Q71" s="275" t="str">
        <f>IF(M71="","",VLOOKUP(M71,'G-6 Hedgerow Data'!$B$2:$AG$15,2,FALSE))</f>
        <v/>
      </c>
      <c r="R71" s="276" t="str">
        <f>IF(M71="","",VLOOKUP(M71,'G-6 Hedgerow Data'!$B$2:$AG$15,3,FALSE))</f>
        <v/>
      </c>
      <c r="S71" s="101"/>
      <c r="T71" s="276" t="str">
        <f>IFERROR(IF(S71="","",IF(AND(M71="Non-native and ornamental hedgerow",S71&lt;&gt;"Poor"),"Not possible ▲",(IF(AND(Q71="V.Low",OR(S71="Good",S71="Moderate")),"Error ▲",VLOOKUP(S71,'G-1 All Habitats'!$Z$2:$AA$9,2,FALSE))))),"")</f>
        <v/>
      </c>
      <c r="U71" s="101"/>
      <c r="V71" s="283" t="str">
        <f>IF(U71="","",IF(VLOOKUP(U71,'G-3 Multipliers'!$L$3:$N$6,2,FALSE)=0,"Spatial Data Missing ⚠",VLOOKUP(U71,'G-3 Multipliers'!$L$3:$N$6,2,FALSE)))</f>
        <v/>
      </c>
      <c r="W71" s="281" t="str">
        <f>IF(U71="","",IF(VLOOKUP(U71,'G-3 Multipliers'!$L$3:$N$6,3,FALSE)=0,"Spatial Data Missing ⚠",VLOOKUP(U71,'G-3 Multipliers'!$L$3:$N$6,3,FALSE)))</f>
        <v/>
      </c>
      <c r="X71" s="275" t="str">
        <f>IFERROR(IF(OR(LEFT(O71,5)="Error",LEFT(N71,5)="Error",T71="Error"),"Check Data ⚠",IF(F71&lt;R71,INDEX('G-6 Hedgerow Data'!$S$3:$AE$14,MATCH(C71,'G-6 Hedgerow Data'!$B$3:$B$14,0),MATCH(M71,'G-6 Hedgerow Data'!$S$2:$AE$2,0)),INDEX('G-6 Hedgerow Data'!$K$3:$Q$14,MATCH(M71,'G-6 Hedgerow Data'!$B$3:$B$14,0),MATCH(O71,'G-6 Hedgerow Data'!$K$2:$Q$2,0)))),"")</f>
        <v/>
      </c>
      <c r="Y71" s="133"/>
      <c r="Z71" s="133"/>
      <c r="AA71" s="283" t="str">
        <f t="shared" si="2"/>
        <v/>
      </c>
      <c r="AB71" s="296" t="str">
        <f t="shared" si="3"/>
        <v/>
      </c>
      <c r="AC71" s="297" t="str">
        <f t="shared" si="0"/>
        <v/>
      </c>
      <c r="AD71" s="311" t="str">
        <f>IF(M71="","",VLOOKUP(M71,'G-6 Hedgerow Data'!$B$3:$AG$15,31,FALSE))</f>
        <v/>
      </c>
      <c r="AE71" s="295" t="str">
        <f t="shared" si="4"/>
        <v/>
      </c>
      <c r="AF71" s="283" t="str">
        <f t="shared" si="5"/>
        <v/>
      </c>
      <c r="AG71" s="299" t="str">
        <f>IFERROR(IF(O71="","",VLOOKUP(AD71,'G-3 Multipliers'!$P$3:$Q$6,2,FALSE)),"")</f>
        <v/>
      </c>
      <c r="AH71" s="713" t="str">
        <f>IF(B71="","",IF(ISNA(VLOOKUP($B71,'E-1 Off-Site Hedge Baseline'!$B$1:$Z$257,14,FALSE)),"",(VLOOKUP($B71,'E-1 Off-Site Hedge Baseline'!$B$1:$Z$257,14,FALSE))))</f>
        <v/>
      </c>
      <c r="AI71" s="276" t="str">
        <f>IF(AH71="","",IF(VLOOKUP(AH71,'G-3 Multipliers'!$S$3:$T$10,2,FALSE)=0,"Spatial Data Missing ⚠",VLOOKUP(AH71,'G-3 Multipliers'!$S$3:$T$10,2,FALSE)))</f>
        <v/>
      </c>
      <c r="AJ71" s="317" t="str">
        <f t="shared" si="6"/>
        <v/>
      </c>
      <c r="AK71" s="289" t="str">
        <f t="shared" si="7"/>
        <v/>
      </c>
      <c r="AL71" s="101"/>
      <c r="AM71" s="115"/>
      <c r="AN71" s="104"/>
      <c r="AO71" s="104"/>
      <c r="AQ71" s="30" t="str">
        <f>IFERROR(INDEX('G-6 Hedgerow Data'!$BJ$3:$BJ$15,MATCH(M71,'G-6 Hedgerow Data'!$B$3:$B$15,0)),"")</f>
        <v/>
      </c>
    </row>
    <row r="72" spans="2:43" ht="14">
      <c r="B72" s="305" t="str">
        <f>'E-1 Off-Site Hedge Baseline'!AN70</f>
        <v/>
      </c>
      <c r="C72" s="295" t="str">
        <f>IF(B72="","",IF(ISNA(VLOOKUP($B72,'E-1 Off-Site Hedge Baseline'!$B$1:$L$257,3,FALSE)),"",(VLOOKUP($B72,'E-1 Off-Site Hedge Baseline'!$B$1:$L$257,3,FALSE))))</f>
        <v/>
      </c>
      <c r="D72" s="295" t="str">
        <f>IF(B72="","",IF(ISNA(VLOOKUP($B72,'E-1 Off-Site Hedge Baseline'!$B$1:$L$258,4,FALSE)),"",(VLOOKUP($B72,'E-1 Off-Site Hedge Baseline'!$B$1:$L$258,4,FALSE))))</f>
        <v/>
      </c>
      <c r="E72" s="295" t="str">
        <f>IF(B72="","",IF(ISNA(VLOOKUP($B72,'E-1 Off-Site Hedge Baseline'!$B$1:$L$257,5,FALSE)),"",(VLOOKUP($B72,'E-1 Off-Site Hedge Baseline'!$B$1:$L$257,5,FALSE))))</f>
        <v/>
      </c>
      <c r="F72" s="295" t="str">
        <f>IF(B72="","",IF(ISNA(VLOOKUP($B72,'E-1 Off-Site Hedge Baseline'!$B$1:$L$257,6,FALSE)),"",(VLOOKUP($B72,'E-1 Off-Site Hedge Baseline'!$B$1:$L$257,6,FALSE))))</f>
        <v/>
      </c>
      <c r="G72" s="295" t="str">
        <f>IF(B72="","",IF(ISNA(VLOOKUP($B72,'E-1 Off-Site Hedge Baseline'!$B$1:$L$257,7,FALSE)),"",(VLOOKUP($B72,'E-1 Off-Site Hedge Baseline'!$B$1:$L$257,7,FALSE))))</f>
        <v/>
      </c>
      <c r="H72" s="295" t="str">
        <f>IF(B72="","",IF(ISNA(VLOOKUP($B72,'E-1 Off-Site Hedge Baseline'!$B$1:$L$257,8,FALSE)),"",(VLOOKUP($B72,'E-1 Off-Site Hedge Baseline'!$B$1:$L$257,8,FALSE))))</f>
        <v/>
      </c>
      <c r="I72" s="295" t="str">
        <f>IF(B72="","",IF(ISNA(VLOOKUP($B72,'E-1 Off-Site Hedge Baseline'!$B$1:$L$257,10,FALSE)),"",(VLOOKUP($B72,'E-1 Off-Site Hedge Baseline'!$B$1:$L$257,10,FALSE))))</f>
        <v/>
      </c>
      <c r="J72" s="295" t="str">
        <f>IF(B72="","",IF(ISNA(VLOOKUP($B72,'E-1 Off-Site Hedge Baseline'!$B$1:$L$257,11,FALSE)),"",(VLOOKUP($B72,'E-1 Off-Site Hedge Baseline'!$B$1:$L$257,11,FALSE))))</f>
        <v/>
      </c>
      <c r="K72" s="295" t="str">
        <f>IF(B72="","",IF(ISNA(VLOOKUP($B72,'E-1 Off-Site Hedge Baseline'!$B$1:$X$257,16,FALSE)),"",(VLOOKUP($B72,'E-1 Off-Site Hedge Baseline'!$B$1:$X$257,16,FALSE))))</f>
        <v/>
      </c>
      <c r="L72" s="283" t="str">
        <f>IF(B72="","",IF(ISNA(VLOOKUP($B72,'E-1 Off-Site Hedge Baseline'!$B$1:$X$257,12,FALSE)),"",(VLOOKUP($B72,'E-1 Off-Site Hedge Baseline'!$B$1:$X$257,12,FALSE))))</f>
        <v/>
      </c>
      <c r="M72" s="244"/>
      <c r="N72" s="275" t="str">
        <f>IFERROR(IF(B72="","",INDEX('G-6 Hedgerow Data'!$AN$3:$AZ$15,MATCH(C72,'G-6 Hedgerow Data'!$AM$3:$AM$15,0),MATCH(M72,'G-6 Hedgerow Data'!$AN$2:$AZ$2,0))),"")</f>
        <v/>
      </c>
      <c r="O72" s="276" t="str">
        <f t="shared" si="1"/>
        <v/>
      </c>
      <c r="P72" s="281" t="str">
        <f>IF(B72="","",VLOOKUP(B72,'E-1 Off-Site Hedge Baseline'!$B$10:W317,19,FALSE))</f>
        <v/>
      </c>
      <c r="Q72" s="275" t="str">
        <f>IF(M72="","",VLOOKUP(M72,'G-6 Hedgerow Data'!$B$2:$AG$15,2,FALSE))</f>
        <v/>
      </c>
      <c r="R72" s="276" t="str">
        <f>IF(M72="","",VLOOKUP(M72,'G-6 Hedgerow Data'!$B$2:$AG$15,3,FALSE))</f>
        <v/>
      </c>
      <c r="S72" s="101"/>
      <c r="T72" s="276" t="str">
        <f>IFERROR(IF(S72="","",IF(AND(M72="Non-native and ornamental hedgerow",S72&lt;&gt;"Poor"),"Not possible ▲",(IF(AND(Q72="V.Low",OR(S72="Good",S72="Moderate")),"Error ▲",VLOOKUP(S72,'G-1 All Habitats'!$Z$2:$AA$9,2,FALSE))))),"")</f>
        <v/>
      </c>
      <c r="U72" s="101"/>
      <c r="V72" s="283" t="str">
        <f>IF(U72="","",IF(VLOOKUP(U72,'G-3 Multipliers'!$L$3:$N$6,2,FALSE)=0,"Spatial Data Missing ⚠",VLOOKUP(U72,'G-3 Multipliers'!$L$3:$N$6,2,FALSE)))</f>
        <v/>
      </c>
      <c r="W72" s="281" t="str">
        <f>IF(U72="","",IF(VLOOKUP(U72,'G-3 Multipliers'!$L$3:$N$6,3,FALSE)=0,"Spatial Data Missing ⚠",VLOOKUP(U72,'G-3 Multipliers'!$L$3:$N$6,3,FALSE)))</f>
        <v/>
      </c>
      <c r="X72" s="275" t="str">
        <f>IFERROR(IF(OR(LEFT(O72,5)="Error",LEFT(N72,5)="Error",T72="Error"),"Check Data ⚠",IF(F72&lt;R72,INDEX('G-6 Hedgerow Data'!$S$3:$AE$14,MATCH(C72,'G-6 Hedgerow Data'!$B$3:$B$14,0),MATCH(M72,'G-6 Hedgerow Data'!$S$2:$AE$2,0)),INDEX('G-6 Hedgerow Data'!$K$3:$Q$14,MATCH(M72,'G-6 Hedgerow Data'!$B$3:$B$14,0),MATCH(O72,'G-6 Hedgerow Data'!$K$2:$Q$2,0)))),"")</f>
        <v/>
      </c>
      <c r="Y72" s="133"/>
      <c r="Z72" s="133"/>
      <c r="AA72" s="283" t="str">
        <f t="shared" si="2"/>
        <v/>
      </c>
      <c r="AB72" s="296" t="str">
        <f t="shared" si="3"/>
        <v/>
      </c>
      <c r="AC72" s="297" t="str">
        <f t="shared" si="0"/>
        <v/>
      </c>
      <c r="AD72" s="311" t="str">
        <f>IF(M72="","",VLOOKUP(M72,'G-6 Hedgerow Data'!$B$3:$AG$15,31,FALSE))</f>
        <v/>
      </c>
      <c r="AE72" s="295" t="str">
        <f t="shared" si="4"/>
        <v/>
      </c>
      <c r="AF72" s="283" t="str">
        <f t="shared" si="5"/>
        <v/>
      </c>
      <c r="AG72" s="299" t="str">
        <f>IFERROR(IF(O72="","",VLOOKUP(AD72,'G-3 Multipliers'!$P$3:$Q$6,2,FALSE)),"")</f>
        <v/>
      </c>
      <c r="AH72" s="713" t="str">
        <f>IF(B72="","",IF(ISNA(VLOOKUP($B72,'E-1 Off-Site Hedge Baseline'!$B$1:$Z$257,14,FALSE)),"",(VLOOKUP($B72,'E-1 Off-Site Hedge Baseline'!$B$1:$Z$257,14,FALSE))))</f>
        <v/>
      </c>
      <c r="AI72" s="276" t="str">
        <f>IF(AH72="","",IF(VLOOKUP(AH72,'G-3 Multipliers'!$S$3:$T$10,2,FALSE)=0,"Spatial Data Missing ⚠",VLOOKUP(AH72,'G-3 Multipliers'!$S$3:$T$10,2,FALSE)))</f>
        <v/>
      </c>
      <c r="AJ72" s="317" t="str">
        <f t="shared" si="6"/>
        <v/>
      </c>
      <c r="AK72" s="289" t="str">
        <f t="shared" si="7"/>
        <v/>
      </c>
      <c r="AL72" s="101"/>
      <c r="AM72" s="115"/>
      <c r="AN72" s="104"/>
      <c r="AO72" s="104"/>
      <c r="AQ72" s="30" t="str">
        <f>IFERROR(INDEX('G-6 Hedgerow Data'!$BJ$3:$BJ$15,MATCH(M72,'G-6 Hedgerow Data'!$B$3:$B$15,0)),"")</f>
        <v/>
      </c>
    </row>
    <row r="73" spans="2:43" ht="14">
      <c r="B73" s="305" t="str">
        <f>'E-1 Off-Site Hedge Baseline'!AN71</f>
        <v/>
      </c>
      <c r="C73" s="295" t="str">
        <f>IF(B73="","",IF(ISNA(VLOOKUP($B73,'E-1 Off-Site Hedge Baseline'!$B$1:$L$257,3,FALSE)),"",(VLOOKUP($B73,'E-1 Off-Site Hedge Baseline'!$B$1:$L$257,3,FALSE))))</f>
        <v/>
      </c>
      <c r="D73" s="295" t="str">
        <f>IF(B73="","",IF(ISNA(VLOOKUP($B73,'E-1 Off-Site Hedge Baseline'!$B$1:$L$258,4,FALSE)),"",(VLOOKUP($B73,'E-1 Off-Site Hedge Baseline'!$B$1:$L$258,4,FALSE))))</f>
        <v/>
      </c>
      <c r="E73" s="295" t="str">
        <f>IF(B73="","",IF(ISNA(VLOOKUP($B73,'E-1 Off-Site Hedge Baseline'!$B$1:$L$257,5,FALSE)),"",(VLOOKUP($B73,'E-1 Off-Site Hedge Baseline'!$B$1:$L$257,5,FALSE))))</f>
        <v/>
      </c>
      <c r="F73" s="295" t="str">
        <f>IF(B73="","",IF(ISNA(VLOOKUP($B73,'E-1 Off-Site Hedge Baseline'!$B$1:$L$257,6,FALSE)),"",(VLOOKUP($B73,'E-1 Off-Site Hedge Baseline'!$B$1:$L$257,6,FALSE))))</f>
        <v/>
      </c>
      <c r="G73" s="295" t="str">
        <f>IF(B73="","",IF(ISNA(VLOOKUP($B73,'E-1 Off-Site Hedge Baseline'!$B$1:$L$257,7,FALSE)),"",(VLOOKUP($B73,'E-1 Off-Site Hedge Baseline'!$B$1:$L$257,7,FALSE))))</f>
        <v/>
      </c>
      <c r="H73" s="295" t="str">
        <f>IF(B73="","",IF(ISNA(VLOOKUP($B73,'E-1 Off-Site Hedge Baseline'!$B$1:$L$257,8,FALSE)),"",(VLOOKUP($B73,'E-1 Off-Site Hedge Baseline'!$B$1:$L$257,8,FALSE))))</f>
        <v/>
      </c>
      <c r="I73" s="295" t="str">
        <f>IF(B73="","",IF(ISNA(VLOOKUP($B73,'E-1 Off-Site Hedge Baseline'!$B$1:$L$257,10,FALSE)),"",(VLOOKUP($B73,'E-1 Off-Site Hedge Baseline'!$B$1:$L$257,10,FALSE))))</f>
        <v/>
      </c>
      <c r="J73" s="295" t="str">
        <f>IF(B73="","",IF(ISNA(VLOOKUP($B73,'E-1 Off-Site Hedge Baseline'!$B$1:$L$257,11,FALSE)),"",(VLOOKUP($B73,'E-1 Off-Site Hedge Baseline'!$B$1:$L$257,11,FALSE))))</f>
        <v/>
      </c>
      <c r="K73" s="295" t="str">
        <f>IF(B73="","",IF(ISNA(VLOOKUP($B73,'E-1 Off-Site Hedge Baseline'!$B$1:$X$257,16,FALSE)),"",(VLOOKUP($B73,'E-1 Off-Site Hedge Baseline'!$B$1:$X$257,16,FALSE))))</f>
        <v/>
      </c>
      <c r="L73" s="283" t="str">
        <f>IF(B73="","",IF(ISNA(VLOOKUP($B73,'E-1 Off-Site Hedge Baseline'!$B$1:$X$257,12,FALSE)),"",(VLOOKUP($B73,'E-1 Off-Site Hedge Baseline'!$B$1:$X$257,12,FALSE))))</f>
        <v/>
      </c>
      <c r="M73" s="244"/>
      <c r="N73" s="275" t="str">
        <f>IFERROR(IF(B73="","",INDEX('G-6 Hedgerow Data'!$AN$3:$AZ$15,MATCH(C73,'G-6 Hedgerow Data'!$AM$3:$AM$15,0),MATCH(M73,'G-6 Hedgerow Data'!$AN$2:$AZ$2,0))),"")</f>
        <v/>
      </c>
      <c r="O73" s="276" t="str">
        <f t="shared" si="1"/>
        <v/>
      </c>
      <c r="P73" s="281" t="str">
        <f>IF(B73="","",VLOOKUP(B73,'E-1 Off-Site Hedge Baseline'!$B$10:W318,19,FALSE))</f>
        <v/>
      </c>
      <c r="Q73" s="275" t="str">
        <f>IF(M73="","",VLOOKUP(M73,'G-6 Hedgerow Data'!$B$2:$AG$15,2,FALSE))</f>
        <v/>
      </c>
      <c r="R73" s="276" t="str">
        <f>IF(M73="","",VLOOKUP(M73,'G-6 Hedgerow Data'!$B$2:$AG$15,3,FALSE))</f>
        <v/>
      </c>
      <c r="S73" s="101"/>
      <c r="T73" s="276" t="str">
        <f>IFERROR(IF(S73="","",IF(AND(M73="Non-native and ornamental hedgerow",S73&lt;&gt;"Poor"),"Not possible ▲",(IF(AND(Q73="V.Low",OR(S73="Good",S73="Moderate")),"Error ▲",VLOOKUP(S73,'G-1 All Habitats'!$Z$2:$AA$9,2,FALSE))))),"")</f>
        <v/>
      </c>
      <c r="U73" s="101"/>
      <c r="V73" s="283" t="str">
        <f>IF(U73="","",IF(VLOOKUP(U73,'G-3 Multipliers'!$L$3:$N$6,2,FALSE)=0,"Spatial Data Missing ⚠",VLOOKUP(U73,'G-3 Multipliers'!$L$3:$N$6,2,FALSE)))</f>
        <v/>
      </c>
      <c r="W73" s="281" t="str">
        <f>IF(U73="","",IF(VLOOKUP(U73,'G-3 Multipliers'!$L$3:$N$6,3,FALSE)=0,"Spatial Data Missing ⚠",VLOOKUP(U73,'G-3 Multipliers'!$L$3:$N$6,3,FALSE)))</f>
        <v/>
      </c>
      <c r="X73" s="275" t="str">
        <f>IFERROR(IF(OR(LEFT(O73,5)="Error",LEFT(N73,5)="Error",T73="Error"),"Check Data ⚠",IF(F73&lt;R73,INDEX('G-6 Hedgerow Data'!$S$3:$AE$14,MATCH(C73,'G-6 Hedgerow Data'!$B$3:$B$14,0),MATCH(M73,'G-6 Hedgerow Data'!$S$2:$AE$2,0)),INDEX('G-6 Hedgerow Data'!$K$3:$Q$14,MATCH(M73,'G-6 Hedgerow Data'!$B$3:$B$14,0),MATCH(O73,'G-6 Hedgerow Data'!$K$2:$Q$2,0)))),"")</f>
        <v/>
      </c>
      <c r="Y73" s="133"/>
      <c r="Z73" s="133"/>
      <c r="AA73" s="283" t="str">
        <f t="shared" si="2"/>
        <v/>
      </c>
      <c r="AB73" s="296" t="str">
        <f t="shared" si="3"/>
        <v/>
      </c>
      <c r="AC73" s="297" t="str">
        <f t="shared" si="0"/>
        <v/>
      </c>
      <c r="AD73" s="311" t="str">
        <f>IF(M73="","",VLOOKUP(M73,'G-6 Hedgerow Data'!$B$3:$AG$15,31,FALSE))</f>
        <v/>
      </c>
      <c r="AE73" s="295" t="str">
        <f t="shared" si="4"/>
        <v/>
      </c>
      <c r="AF73" s="283" t="str">
        <f t="shared" si="5"/>
        <v/>
      </c>
      <c r="AG73" s="299" t="str">
        <f>IFERROR(IF(O73="","",VLOOKUP(AD73,'G-3 Multipliers'!$P$3:$Q$6,2,FALSE)),"")</f>
        <v/>
      </c>
      <c r="AH73" s="713" t="str">
        <f>IF(B73="","",IF(ISNA(VLOOKUP($B73,'E-1 Off-Site Hedge Baseline'!$B$1:$Z$257,14,FALSE)),"",(VLOOKUP($B73,'E-1 Off-Site Hedge Baseline'!$B$1:$Z$257,14,FALSE))))</f>
        <v/>
      </c>
      <c r="AI73" s="276" t="str">
        <f>IF(AH73="","",IF(VLOOKUP(AH73,'G-3 Multipliers'!$S$3:$T$10,2,FALSE)=0,"Spatial Data Missing ⚠",VLOOKUP(AH73,'G-3 Multipliers'!$S$3:$T$10,2,FALSE)))</f>
        <v/>
      </c>
      <c r="AJ73" s="317" t="str">
        <f t="shared" si="6"/>
        <v/>
      </c>
      <c r="AK73" s="289" t="str">
        <f t="shared" si="7"/>
        <v/>
      </c>
      <c r="AL73" s="101"/>
      <c r="AM73" s="115"/>
      <c r="AN73" s="104"/>
      <c r="AO73" s="104"/>
      <c r="AQ73" s="30" t="str">
        <f>IFERROR(INDEX('G-6 Hedgerow Data'!$BJ$3:$BJ$15,MATCH(M73,'G-6 Hedgerow Data'!$B$3:$B$15,0)),"")</f>
        <v/>
      </c>
    </row>
    <row r="74" spans="2:43" ht="14">
      <c r="B74" s="305" t="str">
        <f>'E-1 Off-Site Hedge Baseline'!AN72</f>
        <v/>
      </c>
      <c r="C74" s="295" t="str">
        <f>IF(B74="","",IF(ISNA(VLOOKUP($B74,'E-1 Off-Site Hedge Baseline'!$B$1:$L$257,3,FALSE)),"",(VLOOKUP($B74,'E-1 Off-Site Hedge Baseline'!$B$1:$L$257,3,FALSE))))</f>
        <v/>
      </c>
      <c r="D74" s="295" t="str">
        <f>IF(B74="","",IF(ISNA(VLOOKUP($B74,'E-1 Off-Site Hedge Baseline'!$B$1:$L$258,4,FALSE)),"",(VLOOKUP($B74,'E-1 Off-Site Hedge Baseline'!$B$1:$L$258,4,FALSE))))</f>
        <v/>
      </c>
      <c r="E74" s="295" t="str">
        <f>IF(B74="","",IF(ISNA(VLOOKUP($B74,'E-1 Off-Site Hedge Baseline'!$B$1:$L$257,5,FALSE)),"",(VLOOKUP($B74,'E-1 Off-Site Hedge Baseline'!$B$1:$L$257,5,FALSE))))</f>
        <v/>
      </c>
      <c r="F74" s="295" t="str">
        <f>IF(B74="","",IF(ISNA(VLOOKUP($B74,'E-1 Off-Site Hedge Baseline'!$B$1:$L$257,6,FALSE)),"",(VLOOKUP($B74,'E-1 Off-Site Hedge Baseline'!$B$1:$L$257,6,FALSE))))</f>
        <v/>
      </c>
      <c r="G74" s="295" t="str">
        <f>IF(B74="","",IF(ISNA(VLOOKUP($B74,'E-1 Off-Site Hedge Baseline'!$B$1:$L$257,7,FALSE)),"",(VLOOKUP($B74,'E-1 Off-Site Hedge Baseline'!$B$1:$L$257,7,FALSE))))</f>
        <v/>
      </c>
      <c r="H74" s="295" t="str">
        <f>IF(B74="","",IF(ISNA(VLOOKUP($B74,'E-1 Off-Site Hedge Baseline'!$B$1:$L$257,8,FALSE)),"",(VLOOKUP($B74,'E-1 Off-Site Hedge Baseline'!$B$1:$L$257,8,FALSE))))</f>
        <v/>
      </c>
      <c r="I74" s="295" t="str">
        <f>IF(B74="","",IF(ISNA(VLOOKUP($B74,'E-1 Off-Site Hedge Baseline'!$B$1:$L$257,10,FALSE)),"",(VLOOKUP($B74,'E-1 Off-Site Hedge Baseline'!$B$1:$L$257,10,FALSE))))</f>
        <v/>
      </c>
      <c r="J74" s="295" t="str">
        <f>IF(B74="","",IF(ISNA(VLOOKUP($B74,'E-1 Off-Site Hedge Baseline'!$B$1:$L$257,11,FALSE)),"",(VLOOKUP($B74,'E-1 Off-Site Hedge Baseline'!$B$1:$L$257,11,FALSE))))</f>
        <v/>
      </c>
      <c r="K74" s="295" t="str">
        <f>IF(B74="","",IF(ISNA(VLOOKUP($B74,'E-1 Off-Site Hedge Baseline'!$B$1:$X$257,16,FALSE)),"",(VLOOKUP($B74,'E-1 Off-Site Hedge Baseline'!$B$1:$X$257,16,FALSE))))</f>
        <v/>
      </c>
      <c r="L74" s="283" t="str">
        <f>IF(B74="","",IF(ISNA(VLOOKUP($B74,'E-1 Off-Site Hedge Baseline'!$B$1:$X$257,12,FALSE)),"",(VLOOKUP($B74,'E-1 Off-Site Hedge Baseline'!$B$1:$X$257,12,FALSE))))</f>
        <v/>
      </c>
      <c r="M74" s="244"/>
      <c r="N74" s="275" t="str">
        <f>IFERROR(IF(B74="","",INDEX('G-6 Hedgerow Data'!$AN$3:$AZ$15,MATCH(C74,'G-6 Hedgerow Data'!$AM$3:$AM$15,0),MATCH(M74,'G-6 Hedgerow Data'!$AN$2:$AZ$2,0))),"")</f>
        <v/>
      </c>
      <c r="O74" s="276" t="str">
        <f t="shared" si="1"/>
        <v/>
      </c>
      <c r="P74" s="281" t="str">
        <f>IF(B74="","",VLOOKUP(B74,'E-1 Off-Site Hedge Baseline'!$B$10:W319,19,FALSE))</f>
        <v/>
      </c>
      <c r="Q74" s="275" t="str">
        <f>IF(M74="","",VLOOKUP(M74,'G-6 Hedgerow Data'!$B$2:$AG$15,2,FALSE))</f>
        <v/>
      </c>
      <c r="R74" s="276" t="str">
        <f>IF(M74="","",VLOOKUP(M74,'G-6 Hedgerow Data'!$B$2:$AG$15,3,FALSE))</f>
        <v/>
      </c>
      <c r="S74" s="101"/>
      <c r="T74" s="276" t="str">
        <f>IFERROR(IF(S74="","",IF(AND(M74="Non-native and ornamental hedgerow",S74&lt;&gt;"Poor"),"Not possible ▲",(IF(AND(Q74="V.Low",OR(S74="Good",S74="Moderate")),"Error ▲",VLOOKUP(S74,'G-1 All Habitats'!$Z$2:$AA$9,2,FALSE))))),"")</f>
        <v/>
      </c>
      <c r="U74" s="101"/>
      <c r="V74" s="283" t="str">
        <f>IF(U74="","",IF(VLOOKUP(U74,'G-3 Multipliers'!$L$3:$N$6,2,FALSE)=0,"Spatial Data Missing ⚠",VLOOKUP(U74,'G-3 Multipliers'!$L$3:$N$6,2,FALSE)))</f>
        <v/>
      </c>
      <c r="W74" s="281" t="str">
        <f>IF(U74="","",IF(VLOOKUP(U74,'G-3 Multipliers'!$L$3:$N$6,3,FALSE)=0,"Spatial Data Missing ⚠",VLOOKUP(U74,'G-3 Multipliers'!$L$3:$N$6,3,FALSE)))</f>
        <v/>
      </c>
      <c r="X74" s="275" t="str">
        <f>IFERROR(IF(OR(LEFT(O74,5)="Error",LEFT(N74,5)="Error",T74="Error"),"Check Data ⚠",IF(F74&lt;R74,INDEX('G-6 Hedgerow Data'!$S$3:$AE$14,MATCH(C74,'G-6 Hedgerow Data'!$B$3:$B$14,0),MATCH(M74,'G-6 Hedgerow Data'!$S$2:$AE$2,0)),INDEX('G-6 Hedgerow Data'!$K$3:$Q$14,MATCH(M74,'G-6 Hedgerow Data'!$B$3:$B$14,0),MATCH(O74,'G-6 Hedgerow Data'!$K$2:$Q$2,0)))),"")</f>
        <v/>
      </c>
      <c r="Y74" s="133"/>
      <c r="Z74" s="133"/>
      <c r="AA74" s="283" t="str">
        <f t="shared" si="2"/>
        <v/>
      </c>
      <c r="AB74" s="296" t="str">
        <f t="shared" si="3"/>
        <v/>
      </c>
      <c r="AC74" s="297" t="str">
        <f t="shared" si="0"/>
        <v/>
      </c>
      <c r="AD74" s="311" t="str">
        <f>IF(M74="","",VLOOKUP(M74,'G-6 Hedgerow Data'!$B$3:$AG$15,31,FALSE))</f>
        <v/>
      </c>
      <c r="AE74" s="295" t="str">
        <f t="shared" si="4"/>
        <v/>
      </c>
      <c r="AF74" s="283" t="str">
        <f t="shared" si="5"/>
        <v/>
      </c>
      <c r="AG74" s="299" t="str">
        <f>IFERROR(IF(O74="","",VLOOKUP(AD74,'G-3 Multipliers'!$P$3:$Q$6,2,FALSE)),"")</f>
        <v/>
      </c>
      <c r="AH74" s="713" t="str">
        <f>IF(B74="","",IF(ISNA(VLOOKUP($B74,'E-1 Off-Site Hedge Baseline'!$B$1:$Z$257,14,FALSE)),"",(VLOOKUP($B74,'E-1 Off-Site Hedge Baseline'!$B$1:$Z$257,14,FALSE))))</f>
        <v/>
      </c>
      <c r="AI74" s="276" t="str">
        <f>IF(AH74="","",IF(VLOOKUP(AH74,'G-3 Multipliers'!$S$3:$T$10,2,FALSE)=0,"Spatial Data Missing ⚠",VLOOKUP(AH74,'G-3 Multipliers'!$S$3:$T$10,2,FALSE)))</f>
        <v/>
      </c>
      <c r="AJ74" s="317" t="str">
        <f t="shared" si="6"/>
        <v/>
      </c>
      <c r="AK74" s="289" t="str">
        <f t="shared" si="7"/>
        <v/>
      </c>
      <c r="AL74" s="101"/>
      <c r="AM74" s="115"/>
      <c r="AN74" s="104"/>
      <c r="AO74" s="104"/>
      <c r="AQ74" s="30" t="str">
        <f>IFERROR(INDEX('G-6 Hedgerow Data'!$BJ$3:$BJ$15,MATCH(M74,'G-6 Hedgerow Data'!$B$3:$B$15,0)),"")</f>
        <v/>
      </c>
    </row>
    <row r="75" spans="2:43" ht="14">
      <c r="B75" s="305" t="str">
        <f>'E-1 Off-Site Hedge Baseline'!AN73</f>
        <v/>
      </c>
      <c r="C75" s="295" t="str">
        <f>IF(B75="","",IF(ISNA(VLOOKUP($B75,'E-1 Off-Site Hedge Baseline'!$B$1:$L$257,3,FALSE)),"",(VLOOKUP($B75,'E-1 Off-Site Hedge Baseline'!$B$1:$L$257,3,FALSE))))</f>
        <v/>
      </c>
      <c r="D75" s="295" t="str">
        <f>IF(B75="","",IF(ISNA(VLOOKUP($B75,'E-1 Off-Site Hedge Baseline'!$B$1:$L$258,4,FALSE)),"",(VLOOKUP($B75,'E-1 Off-Site Hedge Baseline'!$B$1:$L$258,4,FALSE))))</f>
        <v/>
      </c>
      <c r="E75" s="295" t="str">
        <f>IF(B75="","",IF(ISNA(VLOOKUP($B75,'E-1 Off-Site Hedge Baseline'!$B$1:$L$257,5,FALSE)),"",(VLOOKUP($B75,'E-1 Off-Site Hedge Baseline'!$B$1:$L$257,5,FALSE))))</f>
        <v/>
      </c>
      <c r="F75" s="295" t="str">
        <f>IF(B75="","",IF(ISNA(VLOOKUP($B75,'E-1 Off-Site Hedge Baseline'!$B$1:$L$257,6,FALSE)),"",(VLOOKUP($B75,'E-1 Off-Site Hedge Baseline'!$B$1:$L$257,6,FALSE))))</f>
        <v/>
      </c>
      <c r="G75" s="295" t="str">
        <f>IF(B75="","",IF(ISNA(VLOOKUP($B75,'E-1 Off-Site Hedge Baseline'!$B$1:$L$257,7,FALSE)),"",(VLOOKUP($B75,'E-1 Off-Site Hedge Baseline'!$B$1:$L$257,7,FALSE))))</f>
        <v/>
      </c>
      <c r="H75" s="295" t="str">
        <f>IF(B75="","",IF(ISNA(VLOOKUP($B75,'E-1 Off-Site Hedge Baseline'!$B$1:$L$257,8,FALSE)),"",(VLOOKUP($B75,'E-1 Off-Site Hedge Baseline'!$B$1:$L$257,8,FALSE))))</f>
        <v/>
      </c>
      <c r="I75" s="295" t="str">
        <f>IF(B75="","",IF(ISNA(VLOOKUP($B75,'E-1 Off-Site Hedge Baseline'!$B$1:$L$257,10,FALSE)),"",(VLOOKUP($B75,'E-1 Off-Site Hedge Baseline'!$B$1:$L$257,10,FALSE))))</f>
        <v/>
      </c>
      <c r="J75" s="295" t="str">
        <f>IF(B75="","",IF(ISNA(VLOOKUP($B75,'E-1 Off-Site Hedge Baseline'!$B$1:$L$257,11,FALSE)),"",(VLOOKUP($B75,'E-1 Off-Site Hedge Baseline'!$B$1:$L$257,11,FALSE))))</f>
        <v/>
      </c>
      <c r="K75" s="295" t="str">
        <f>IF(B75="","",IF(ISNA(VLOOKUP($B75,'E-1 Off-Site Hedge Baseline'!$B$1:$X$257,16,FALSE)),"",(VLOOKUP($B75,'E-1 Off-Site Hedge Baseline'!$B$1:$X$257,16,FALSE))))</f>
        <v/>
      </c>
      <c r="L75" s="283" t="str">
        <f>IF(B75="","",IF(ISNA(VLOOKUP($B75,'E-1 Off-Site Hedge Baseline'!$B$1:$X$257,12,FALSE)),"",(VLOOKUP($B75,'E-1 Off-Site Hedge Baseline'!$B$1:$X$257,12,FALSE))))</f>
        <v/>
      </c>
      <c r="M75" s="244"/>
      <c r="N75" s="275" t="str">
        <f>IFERROR(IF(B75="","",INDEX('G-6 Hedgerow Data'!$AN$3:$AZ$15,MATCH(C75,'G-6 Hedgerow Data'!$AM$3:$AM$15,0),MATCH(M75,'G-6 Hedgerow Data'!$AN$2:$AZ$2,0))),"")</f>
        <v/>
      </c>
      <c r="O75" s="276" t="str">
        <f t="shared" si="1"/>
        <v/>
      </c>
      <c r="P75" s="281" t="str">
        <f>IF(B75="","",VLOOKUP(B75,'E-1 Off-Site Hedge Baseline'!$B$10:W320,19,FALSE))</f>
        <v/>
      </c>
      <c r="Q75" s="275" t="str">
        <f>IF(M75="","",VLOOKUP(M75,'G-6 Hedgerow Data'!$B$2:$AG$15,2,FALSE))</f>
        <v/>
      </c>
      <c r="R75" s="276" t="str">
        <f>IF(M75="","",VLOOKUP(M75,'G-6 Hedgerow Data'!$B$2:$AG$15,3,FALSE))</f>
        <v/>
      </c>
      <c r="S75" s="101"/>
      <c r="T75" s="276" t="str">
        <f>IFERROR(IF(S75="","",IF(AND(M75="Non-native and ornamental hedgerow",S75&lt;&gt;"Poor"),"Not possible ▲",(IF(AND(Q75="V.Low",OR(S75="Good",S75="Moderate")),"Error ▲",VLOOKUP(S75,'G-1 All Habitats'!$Z$2:$AA$9,2,FALSE))))),"")</f>
        <v/>
      </c>
      <c r="U75" s="101"/>
      <c r="V75" s="283" t="str">
        <f>IF(U75="","",IF(VLOOKUP(U75,'G-3 Multipliers'!$L$3:$N$6,2,FALSE)=0,"Spatial Data Missing ⚠",VLOOKUP(U75,'G-3 Multipliers'!$L$3:$N$6,2,FALSE)))</f>
        <v/>
      </c>
      <c r="W75" s="281" t="str">
        <f>IF(U75="","",IF(VLOOKUP(U75,'G-3 Multipliers'!$L$3:$N$6,3,FALSE)=0,"Spatial Data Missing ⚠",VLOOKUP(U75,'G-3 Multipliers'!$L$3:$N$6,3,FALSE)))</f>
        <v/>
      </c>
      <c r="X75" s="275" t="str">
        <f>IFERROR(IF(OR(LEFT(O75,5)="Error",LEFT(N75,5)="Error",T75="Error"),"Check Data ⚠",IF(F75&lt;R75,INDEX('G-6 Hedgerow Data'!$S$3:$AE$14,MATCH(C75,'G-6 Hedgerow Data'!$B$3:$B$14,0),MATCH(M75,'G-6 Hedgerow Data'!$S$2:$AE$2,0)),INDEX('G-6 Hedgerow Data'!$K$3:$Q$14,MATCH(M75,'G-6 Hedgerow Data'!$B$3:$B$14,0),MATCH(O75,'G-6 Hedgerow Data'!$K$2:$Q$2,0)))),"")</f>
        <v/>
      </c>
      <c r="Y75" s="133"/>
      <c r="Z75" s="133"/>
      <c r="AA75" s="283" t="str">
        <f t="shared" si="2"/>
        <v/>
      </c>
      <c r="AB75" s="296" t="str">
        <f t="shared" si="3"/>
        <v/>
      </c>
      <c r="AC75" s="297" t="str">
        <f t="shared" si="0"/>
        <v/>
      </c>
      <c r="AD75" s="311" t="str">
        <f>IF(M75="","",VLOOKUP(M75,'G-6 Hedgerow Data'!$B$3:$AG$15,31,FALSE))</f>
        <v/>
      </c>
      <c r="AE75" s="295" t="str">
        <f t="shared" si="4"/>
        <v/>
      </c>
      <c r="AF75" s="283" t="str">
        <f t="shared" si="5"/>
        <v/>
      </c>
      <c r="AG75" s="299" t="str">
        <f>IFERROR(IF(O75="","",VLOOKUP(AD75,'G-3 Multipliers'!$P$3:$Q$6,2,FALSE)),"")</f>
        <v/>
      </c>
      <c r="AH75" s="713" t="str">
        <f>IF(B75="","",IF(ISNA(VLOOKUP($B75,'E-1 Off-Site Hedge Baseline'!$B$1:$Z$257,14,FALSE)),"",(VLOOKUP($B75,'E-1 Off-Site Hedge Baseline'!$B$1:$Z$257,14,FALSE))))</f>
        <v/>
      </c>
      <c r="AI75" s="276" t="str">
        <f>IF(AH75="","",IF(VLOOKUP(AH75,'G-3 Multipliers'!$S$3:$T$10,2,FALSE)=0,"Spatial Data Missing ⚠",VLOOKUP(AH75,'G-3 Multipliers'!$S$3:$T$10,2,FALSE)))</f>
        <v/>
      </c>
      <c r="AJ75" s="317" t="str">
        <f t="shared" si="6"/>
        <v/>
      </c>
      <c r="AK75" s="289" t="str">
        <f t="shared" si="7"/>
        <v/>
      </c>
      <c r="AL75" s="101"/>
      <c r="AM75" s="115"/>
      <c r="AN75" s="104"/>
      <c r="AO75" s="104"/>
      <c r="AQ75" s="30" t="str">
        <f>IFERROR(INDEX('G-6 Hedgerow Data'!$BJ$3:$BJ$15,MATCH(M75,'G-6 Hedgerow Data'!$B$3:$B$15,0)),"")</f>
        <v/>
      </c>
    </row>
    <row r="76" spans="2:43" ht="14">
      <c r="B76" s="305" t="str">
        <f>'E-1 Off-Site Hedge Baseline'!AN74</f>
        <v/>
      </c>
      <c r="C76" s="295" t="str">
        <f>IF(B76="","",IF(ISNA(VLOOKUP($B76,'E-1 Off-Site Hedge Baseline'!$B$1:$L$257,3,FALSE)),"",(VLOOKUP($B76,'E-1 Off-Site Hedge Baseline'!$B$1:$L$257,3,FALSE))))</f>
        <v/>
      </c>
      <c r="D76" s="295" t="str">
        <f>IF(B76="","",IF(ISNA(VLOOKUP($B76,'E-1 Off-Site Hedge Baseline'!$B$1:$L$258,4,FALSE)),"",(VLOOKUP($B76,'E-1 Off-Site Hedge Baseline'!$B$1:$L$258,4,FALSE))))</f>
        <v/>
      </c>
      <c r="E76" s="295" t="str">
        <f>IF(B76="","",IF(ISNA(VLOOKUP($B76,'E-1 Off-Site Hedge Baseline'!$B$1:$L$257,5,FALSE)),"",(VLOOKUP($B76,'E-1 Off-Site Hedge Baseline'!$B$1:$L$257,5,FALSE))))</f>
        <v/>
      </c>
      <c r="F76" s="295" t="str">
        <f>IF(B76="","",IF(ISNA(VLOOKUP($B76,'E-1 Off-Site Hedge Baseline'!$B$1:$L$257,6,FALSE)),"",(VLOOKUP($B76,'E-1 Off-Site Hedge Baseline'!$B$1:$L$257,6,FALSE))))</f>
        <v/>
      </c>
      <c r="G76" s="295" t="str">
        <f>IF(B76="","",IF(ISNA(VLOOKUP($B76,'E-1 Off-Site Hedge Baseline'!$B$1:$L$257,7,FALSE)),"",(VLOOKUP($B76,'E-1 Off-Site Hedge Baseline'!$B$1:$L$257,7,FALSE))))</f>
        <v/>
      </c>
      <c r="H76" s="295" t="str">
        <f>IF(B76="","",IF(ISNA(VLOOKUP($B76,'E-1 Off-Site Hedge Baseline'!$B$1:$L$257,8,FALSE)),"",(VLOOKUP($B76,'E-1 Off-Site Hedge Baseline'!$B$1:$L$257,8,FALSE))))</f>
        <v/>
      </c>
      <c r="I76" s="295" t="str">
        <f>IF(B76="","",IF(ISNA(VLOOKUP($B76,'E-1 Off-Site Hedge Baseline'!$B$1:$L$257,10,FALSE)),"",(VLOOKUP($B76,'E-1 Off-Site Hedge Baseline'!$B$1:$L$257,10,FALSE))))</f>
        <v/>
      </c>
      <c r="J76" s="295" t="str">
        <f>IF(B76="","",IF(ISNA(VLOOKUP($B76,'E-1 Off-Site Hedge Baseline'!$B$1:$L$257,11,FALSE)),"",(VLOOKUP($B76,'E-1 Off-Site Hedge Baseline'!$B$1:$L$257,11,FALSE))))</f>
        <v/>
      </c>
      <c r="K76" s="295" t="str">
        <f>IF(B76="","",IF(ISNA(VLOOKUP($B76,'E-1 Off-Site Hedge Baseline'!$B$1:$X$257,16,FALSE)),"",(VLOOKUP($B76,'E-1 Off-Site Hedge Baseline'!$B$1:$X$257,16,FALSE))))</f>
        <v/>
      </c>
      <c r="L76" s="283" t="str">
        <f>IF(B76="","",IF(ISNA(VLOOKUP($B76,'E-1 Off-Site Hedge Baseline'!$B$1:$X$257,12,FALSE)),"",(VLOOKUP($B76,'E-1 Off-Site Hedge Baseline'!$B$1:$X$257,12,FALSE))))</f>
        <v/>
      </c>
      <c r="M76" s="244"/>
      <c r="N76" s="275" t="str">
        <f>IFERROR(IF(B76="","",INDEX('G-6 Hedgerow Data'!$AN$3:$AZ$15,MATCH(C76,'G-6 Hedgerow Data'!$AM$3:$AM$15,0),MATCH(M76,'G-6 Hedgerow Data'!$AN$2:$AZ$2,0))),"")</f>
        <v/>
      </c>
      <c r="O76" s="276" t="str">
        <f t="shared" si="1"/>
        <v/>
      </c>
      <c r="P76" s="281" t="str">
        <f>IF(B76="","",VLOOKUP(B76,'E-1 Off-Site Hedge Baseline'!$B$10:W321,19,FALSE))</f>
        <v/>
      </c>
      <c r="Q76" s="275" t="str">
        <f>IF(M76="","",VLOOKUP(M76,'G-6 Hedgerow Data'!$B$2:$AG$15,2,FALSE))</f>
        <v/>
      </c>
      <c r="R76" s="276" t="str">
        <f>IF(M76="","",VLOOKUP(M76,'G-6 Hedgerow Data'!$B$2:$AG$15,3,FALSE))</f>
        <v/>
      </c>
      <c r="S76" s="101"/>
      <c r="T76" s="276" t="str">
        <f>IFERROR(IF(S76="","",IF(AND(M76="Non-native and ornamental hedgerow",S76&lt;&gt;"Poor"),"Not possible ▲",(IF(AND(Q76="V.Low",OR(S76="Good",S76="Moderate")),"Error ▲",VLOOKUP(S76,'G-1 All Habitats'!$Z$2:$AA$9,2,FALSE))))),"")</f>
        <v/>
      </c>
      <c r="U76" s="101"/>
      <c r="V76" s="283" t="str">
        <f>IF(U76="","",IF(VLOOKUP(U76,'G-3 Multipliers'!$L$3:$N$6,2,FALSE)=0,"Spatial Data Missing ⚠",VLOOKUP(U76,'G-3 Multipliers'!$L$3:$N$6,2,FALSE)))</f>
        <v/>
      </c>
      <c r="W76" s="281" t="str">
        <f>IF(U76="","",IF(VLOOKUP(U76,'G-3 Multipliers'!$L$3:$N$6,3,FALSE)=0,"Spatial Data Missing ⚠",VLOOKUP(U76,'G-3 Multipliers'!$L$3:$N$6,3,FALSE)))</f>
        <v/>
      </c>
      <c r="X76" s="275" t="str">
        <f>IFERROR(IF(OR(LEFT(O76,5)="Error",LEFT(N76,5)="Error",T76="Error"),"Check Data ⚠",IF(F76&lt;R76,INDEX('G-6 Hedgerow Data'!$S$3:$AE$14,MATCH(C76,'G-6 Hedgerow Data'!$B$3:$B$14,0),MATCH(M76,'G-6 Hedgerow Data'!$S$2:$AE$2,0)),INDEX('G-6 Hedgerow Data'!$K$3:$Q$14,MATCH(M76,'G-6 Hedgerow Data'!$B$3:$B$14,0),MATCH(O76,'G-6 Hedgerow Data'!$K$2:$Q$2,0)))),"")</f>
        <v/>
      </c>
      <c r="Y76" s="133"/>
      <c r="Z76" s="133"/>
      <c r="AA76" s="283" t="str">
        <f t="shared" si="2"/>
        <v/>
      </c>
      <c r="AB76" s="296" t="str">
        <f t="shared" si="3"/>
        <v/>
      </c>
      <c r="AC76" s="297" t="str">
        <f t="shared" si="8" ref="AC76:AC139">IF(OR(S76="",M76=""),"",IF(LEFT(AB76,5)="Error ▲","Check Data ⚠",IF(AB76="Check Data ⚠","Check Data ⚠",VLOOKUP(AB76,TemporalMultipliers,3,FALSE))))</f>
        <v/>
      </c>
      <c r="AD76" s="311" t="str">
        <f>IF(M76="","",VLOOKUP(M76,'G-6 Hedgerow Data'!$B$3:$AG$15,31,FALSE))</f>
        <v/>
      </c>
      <c r="AE76" s="295" t="str">
        <f t="shared" si="4"/>
        <v/>
      </c>
      <c r="AF76" s="283" t="str">
        <f t="shared" si="5"/>
        <v/>
      </c>
      <c r="AG76" s="299" t="str">
        <f>IFERROR(IF(O76="","",VLOOKUP(AD76,'G-3 Multipliers'!$P$3:$Q$6,2,FALSE)),"")</f>
        <v/>
      </c>
      <c r="AH76" s="713" t="str">
        <f>IF(B76="","",IF(ISNA(VLOOKUP($B76,'E-1 Off-Site Hedge Baseline'!$B$1:$Z$257,14,FALSE)),"",(VLOOKUP($B76,'E-1 Off-Site Hedge Baseline'!$B$1:$Z$257,14,FALSE))))</f>
        <v/>
      </c>
      <c r="AI76" s="276" t="str">
        <f>IF(AH76="","",IF(VLOOKUP(AH76,'G-3 Multipliers'!$S$3:$T$10,2,FALSE)=0,"Spatial Data Missing ⚠",VLOOKUP(AH76,'G-3 Multipliers'!$S$3:$T$10,2,FALSE)))</f>
        <v/>
      </c>
      <c r="AJ76" s="317" t="str">
        <f t="shared" si="6"/>
        <v/>
      </c>
      <c r="AK76" s="289" t="str">
        <f t="shared" si="7"/>
        <v/>
      </c>
      <c r="AL76" s="101"/>
      <c r="AM76" s="115"/>
      <c r="AN76" s="104"/>
      <c r="AO76" s="104"/>
      <c r="AQ76" s="30" t="str">
        <f>IFERROR(INDEX('G-6 Hedgerow Data'!$BJ$3:$BJ$15,MATCH(M76,'G-6 Hedgerow Data'!$B$3:$B$15,0)),"")</f>
        <v/>
      </c>
    </row>
    <row r="77" spans="2:43" ht="14">
      <c r="B77" s="305" t="str">
        <f>'E-1 Off-Site Hedge Baseline'!AN75</f>
        <v/>
      </c>
      <c r="C77" s="295" t="str">
        <f>IF(B77="","",IF(ISNA(VLOOKUP($B77,'E-1 Off-Site Hedge Baseline'!$B$1:$L$257,3,FALSE)),"",(VLOOKUP($B77,'E-1 Off-Site Hedge Baseline'!$B$1:$L$257,3,FALSE))))</f>
        <v/>
      </c>
      <c r="D77" s="295" t="str">
        <f>IF(B77="","",IF(ISNA(VLOOKUP($B77,'E-1 Off-Site Hedge Baseline'!$B$1:$L$258,4,FALSE)),"",(VLOOKUP($B77,'E-1 Off-Site Hedge Baseline'!$B$1:$L$258,4,FALSE))))</f>
        <v/>
      </c>
      <c r="E77" s="295" t="str">
        <f>IF(B77="","",IF(ISNA(VLOOKUP($B77,'E-1 Off-Site Hedge Baseline'!$B$1:$L$257,5,FALSE)),"",(VLOOKUP($B77,'E-1 Off-Site Hedge Baseline'!$B$1:$L$257,5,FALSE))))</f>
        <v/>
      </c>
      <c r="F77" s="295" t="str">
        <f>IF(B77="","",IF(ISNA(VLOOKUP($B77,'E-1 Off-Site Hedge Baseline'!$B$1:$L$257,6,FALSE)),"",(VLOOKUP($B77,'E-1 Off-Site Hedge Baseline'!$B$1:$L$257,6,FALSE))))</f>
        <v/>
      </c>
      <c r="G77" s="295" t="str">
        <f>IF(B77="","",IF(ISNA(VLOOKUP($B77,'E-1 Off-Site Hedge Baseline'!$B$1:$L$257,7,FALSE)),"",(VLOOKUP($B77,'E-1 Off-Site Hedge Baseline'!$B$1:$L$257,7,FALSE))))</f>
        <v/>
      </c>
      <c r="H77" s="295" t="str">
        <f>IF(B77="","",IF(ISNA(VLOOKUP($B77,'E-1 Off-Site Hedge Baseline'!$B$1:$L$257,8,FALSE)),"",(VLOOKUP($B77,'E-1 Off-Site Hedge Baseline'!$B$1:$L$257,8,FALSE))))</f>
        <v/>
      </c>
      <c r="I77" s="295" t="str">
        <f>IF(B77="","",IF(ISNA(VLOOKUP($B77,'E-1 Off-Site Hedge Baseline'!$B$1:$L$257,10,FALSE)),"",(VLOOKUP($B77,'E-1 Off-Site Hedge Baseline'!$B$1:$L$257,10,FALSE))))</f>
        <v/>
      </c>
      <c r="J77" s="295" t="str">
        <f>IF(B77="","",IF(ISNA(VLOOKUP($B77,'E-1 Off-Site Hedge Baseline'!$B$1:$L$257,11,FALSE)),"",(VLOOKUP($B77,'E-1 Off-Site Hedge Baseline'!$B$1:$L$257,11,FALSE))))</f>
        <v/>
      </c>
      <c r="K77" s="295" t="str">
        <f>IF(B77="","",IF(ISNA(VLOOKUP($B77,'E-1 Off-Site Hedge Baseline'!$B$1:$X$257,16,FALSE)),"",(VLOOKUP($B77,'E-1 Off-Site Hedge Baseline'!$B$1:$X$257,16,FALSE))))</f>
        <v/>
      </c>
      <c r="L77" s="283" t="str">
        <f>IF(B77="","",IF(ISNA(VLOOKUP($B77,'E-1 Off-Site Hedge Baseline'!$B$1:$X$257,12,FALSE)),"",(VLOOKUP($B77,'E-1 Off-Site Hedge Baseline'!$B$1:$X$257,12,FALSE))))</f>
        <v/>
      </c>
      <c r="M77" s="244"/>
      <c r="N77" s="275" t="str">
        <f>IFERROR(IF(B77="","",INDEX('G-6 Hedgerow Data'!$AN$3:$AZ$15,MATCH(C77,'G-6 Hedgerow Data'!$AM$3:$AM$15,0),MATCH(M77,'G-6 Hedgerow Data'!$AN$2:$AZ$2,0))),"")</f>
        <v/>
      </c>
      <c r="O77" s="276" t="str">
        <f t="shared" si="9" ref="O77:O140">IFERROR(IF(B77="","",IF(AND(LEFT(C77,55)&lt;&gt;LEFT(M77,55),N77="High - High"),"Error - Not like for like ▲",IF(H77&gt;T77,"Error - Can not reduce condition ▲",IF(AND(F77=R77,H77=T77),"Error - No enhancement ▲",IF(AND(C77&lt;&gt;M77,F77&lt;R77),"Lower Distinctiveness Habitat"&amp;" - "&amp;S77,G77&amp;" - "&amp;S77))))),"")</f>
        <v/>
      </c>
      <c r="P77" s="281" t="str">
        <f>IF(B77="","",VLOOKUP(B77,'E-1 Off-Site Hedge Baseline'!$B$10:W322,19,FALSE))</f>
        <v/>
      </c>
      <c r="Q77" s="275" t="str">
        <f>IF(M77="","",VLOOKUP(M77,'G-6 Hedgerow Data'!$B$2:$AG$15,2,FALSE))</f>
        <v/>
      </c>
      <c r="R77" s="276" t="str">
        <f>IF(M77="","",VLOOKUP(M77,'G-6 Hedgerow Data'!$B$2:$AG$15,3,FALSE))</f>
        <v/>
      </c>
      <c r="S77" s="101"/>
      <c r="T77" s="276" t="str">
        <f>IFERROR(IF(S77="","",IF(AND(M77="Non-native and ornamental hedgerow",S77&lt;&gt;"Poor"),"Not possible ▲",(IF(AND(Q77="V.Low",OR(S77="Good",S77="Moderate")),"Error ▲",VLOOKUP(S77,'G-1 All Habitats'!$Z$2:$AA$9,2,FALSE))))),"")</f>
        <v/>
      </c>
      <c r="U77" s="101"/>
      <c r="V77" s="283" t="str">
        <f>IF(U77="","",IF(VLOOKUP(U77,'G-3 Multipliers'!$L$3:$N$6,2,FALSE)=0,"Spatial Data Missing ⚠",VLOOKUP(U77,'G-3 Multipliers'!$L$3:$N$6,2,FALSE)))</f>
        <v/>
      </c>
      <c r="W77" s="281" t="str">
        <f>IF(U77="","",IF(VLOOKUP(U77,'G-3 Multipliers'!$L$3:$N$6,3,FALSE)=0,"Spatial Data Missing ⚠",VLOOKUP(U77,'G-3 Multipliers'!$L$3:$N$6,3,FALSE)))</f>
        <v/>
      </c>
      <c r="X77" s="275" t="str">
        <f>IFERROR(IF(OR(LEFT(O77,5)="Error",LEFT(N77,5)="Error",T77="Error"),"Check Data ⚠",IF(F77&lt;R77,INDEX('G-6 Hedgerow Data'!$S$3:$AE$14,MATCH(C77,'G-6 Hedgerow Data'!$B$3:$B$14,0),MATCH(M77,'G-6 Hedgerow Data'!$S$2:$AE$2,0)),INDEX('G-6 Hedgerow Data'!$K$3:$Q$14,MATCH(M77,'G-6 Hedgerow Data'!$B$3:$B$14,0),MATCH(O77,'G-6 Hedgerow Data'!$K$2:$Q$2,0)))),"")</f>
        <v/>
      </c>
      <c r="Y77" s="133"/>
      <c r="Z77" s="133"/>
      <c r="AA77" s="283" t="str">
        <f t="shared" si="10" ref="AA77:AA14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296" t="str">
        <f t="shared" si="11" ref="AB77:AB140">IF(X77="","",IF(AA77="Check Data ⚠","Check Data ⚠",IF(X77="Not possible ▲","Check data ⚠",IF(Y77="30+",0,IF(Z77="30+","30+",IF(X77+Z77&gt;30,"30+",IF(AA77="Error -both advance and delayed habitat creation ▲","Check Data ⚠",IF(X77+Z77-Y77&gt;0,X77+Z77-Y77,IF(X77-Y77&lt;=0,0,)))))))))</f>
        <v/>
      </c>
      <c r="AC77" s="297" t="str">
        <f t="shared" si="8"/>
        <v/>
      </c>
      <c r="AD77" s="311" t="str">
        <f>IF(M77="","",VLOOKUP(M77,'G-6 Hedgerow Data'!$B$3:$AG$15,31,FALSE))</f>
        <v/>
      </c>
      <c r="AE77" s="295" t="str">
        <f t="shared" si="12" ref="AE77:AE140">IF(M77="","",IF(OR(LEFT(AA77,5)="Error ▲",AA77="Check Data ⚠"),"Check Data ⚠",IF(X77="","",IF($AA77="Check details - Is there evidence that habitat has reached target condition? ⚠","Low Difficulty - only applicable if all habitat created before losses ⚠","Standard difficulty applied"))))</f>
        <v/>
      </c>
      <c r="AF77" s="283" t="str">
        <f t="shared" si="13" ref="AF77:AF140">(IF(AND(AE77="Yes",X77&gt;Y77),AD77,IF(AB77="Check data ⚠","Check data ⚠",IF(AND(AE77="Low Difficulty - only applicable if all habitat created before losses ⚠",Y77&gt;=X77),"Low",AD77))))</f>
        <v/>
      </c>
      <c r="AG77" s="299" t="str">
        <f>IFERROR(IF(O77="","",VLOOKUP(AD77,'G-3 Multipliers'!$P$3:$Q$6,2,FALSE)),"")</f>
        <v/>
      </c>
      <c r="AH77" s="713" t="str">
        <f>IF(B77="","",IF(ISNA(VLOOKUP($B77,'E-1 Off-Site Hedge Baseline'!$B$1:$Z$257,14,FALSE)),"",(VLOOKUP($B77,'E-1 Off-Site Hedge Baseline'!$B$1:$Z$257,14,FALSE))))</f>
        <v/>
      </c>
      <c r="AI77" s="276" t="str">
        <f>IF(AH77="","",IF(VLOOKUP(AH77,'G-3 Multipliers'!$S$3:$T$10,2,FALSE)=0,"Spatial Data Missing ⚠",VLOOKUP(AH77,'G-3 Multipliers'!$S$3:$T$10,2,FALSE)))</f>
        <v/>
      </c>
      <c r="AJ77" s="317" t="str">
        <f t="shared" si="14" ref="AJ77:AJ140">IFERROR(IF(AK77="Check data ⚠","Check data ⚠",(IF(OR(M77="",S77="",U77="",AH77=""),"",(((((P77*R77*T77)-(P77*F77*H77))*(AG77*AC77))+(P77*F77*H77))*(W77)*AI77)))),"")</f>
        <v/>
      </c>
      <c r="AK77" s="289" t="str">
        <f t="shared" si="15" ref="AK77:AK140">IFERROR(IF(K77="Check data ⚠","Check data ⚠",(IF(AND(AH77&lt;&gt;"",AO77=""),"Off-site reference required ▲",(IF(OR(M77="",S77="",U77="",AH77=""),"",IF(AH77="","",(((((P77*R77*T77)-(P77*F77*H77))*(AG77*AC77))+(P77*F77*H77))*(W77)))))))),"")</f>
        <v/>
      </c>
      <c r="AL77" s="101"/>
      <c r="AM77" s="115"/>
      <c r="AN77" s="104"/>
      <c r="AO77" s="104"/>
      <c r="AQ77" s="30" t="str">
        <f>IFERROR(INDEX('G-6 Hedgerow Data'!$BJ$3:$BJ$15,MATCH(M77,'G-6 Hedgerow Data'!$B$3:$B$15,0)),"")</f>
        <v/>
      </c>
    </row>
    <row r="78" spans="2:43" ht="14">
      <c r="B78" s="305" t="str">
        <f>'E-1 Off-Site Hedge Baseline'!AN76</f>
        <v/>
      </c>
      <c r="C78" s="295" t="str">
        <f>IF(B78="","",IF(ISNA(VLOOKUP($B78,'E-1 Off-Site Hedge Baseline'!$B$1:$L$257,3,FALSE)),"",(VLOOKUP($B78,'E-1 Off-Site Hedge Baseline'!$B$1:$L$257,3,FALSE))))</f>
        <v/>
      </c>
      <c r="D78" s="295" t="str">
        <f>IF(B78="","",IF(ISNA(VLOOKUP($B78,'E-1 Off-Site Hedge Baseline'!$B$1:$L$258,4,FALSE)),"",(VLOOKUP($B78,'E-1 Off-Site Hedge Baseline'!$B$1:$L$258,4,FALSE))))</f>
        <v/>
      </c>
      <c r="E78" s="295" t="str">
        <f>IF(B78="","",IF(ISNA(VLOOKUP($B78,'E-1 Off-Site Hedge Baseline'!$B$1:$L$257,5,FALSE)),"",(VLOOKUP($B78,'E-1 Off-Site Hedge Baseline'!$B$1:$L$257,5,FALSE))))</f>
        <v/>
      </c>
      <c r="F78" s="295" t="str">
        <f>IF(B78="","",IF(ISNA(VLOOKUP($B78,'E-1 Off-Site Hedge Baseline'!$B$1:$L$257,6,FALSE)),"",(VLOOKUP($B78,'E-1 Off-Site Hedge Baseline'!$B$1:$L$257,6,FALSE))))</f>
        <v/>
      </c>
      <c r="G78" s="295" t="str">
        <f>IF(B78="","",IF(ISNA(VLOOKUP($B78,'E-1 Off-Site Hedge Baseline'!$B$1:$L$257,7,FALSE)),"",(VLOOKUP($B78,'E-1 Off-Site Hedge Baseline'!$B$1:$L$257,7,FALSE))))</f>
        <v/>
      </c>
      <c r="H78" s="295" t="str">
        <f>IF(B78="","",IF(ISNA(VLOOKUP($B78,'E-1 Off-Site Hedge Baseline'!$B$1:$L$257,8,FALSE)),"",(VLOOKUP($B78,'E-1 Off-Site Hedge Baseline'!$B$1:$L$257,8,FALSE))))</f>
        <v/>
      </c>
      <c r="I78" s="295" t="str">
        <f>IF(B78="","",IF(ISNA(VLOOKUP($B78,'E-1 Off-Site Hedge Baseline'!$B$1:$L$257,10,FALSE)),"",(VLOOKUP($B78,'E-1 Off-Site Hedge Baseline'!$B$1:$L$257,10,FALSE))))</f>
        <v/>
      </c>
      <c r="J78" s="295" t="str">
        <f>IF(B78="","",IF(ISNA(VLOOKUP($B78,'E-1 Off-Site Hedge Baseline'!$B$1:$L$257,11,FALSE)),"",(VLOOKUP($B78,'E-1 Off-Site Hedge Baseline'!$B$1:$L$257,11,FALSE))))</f>
        <v/>
      </c>
      <c r="K78" s="295" t="str">
        <f>IF(B78="","",IF(ISNA(VLOOKUP($B78,'E-1 Off-Site Hedge Baseline'!$B$1:$X$257,16,FALSE)),"",(VLOOKUP($B78,'E-1 Off-Site Hedge Baseline'!$B$1:$X$257,16,FALSE))))</f>
        <v/>
      </c>
      <c r="L78" s="283" t="str">
        <f>IF(B78="","",IF(ISNA(VLOOKUP($B78,'E-1 Off-Site Hedge Baseline'!$B$1:$X$257,12,FALSE)),"",(VLOOKUP($B78,'E-1 Off-Site Hedge Baseline'!$B$1:$X$257,12,FALSE))))</f>
        <v/>
      </c>
      <c r="M78" s="244"/>
      <c r="N78" s="275" t="str">
        <f>IFERROR(IF(B78="","",INDEX('G-6 Hedgerow Data'!$AN$3:$AZ$15,MATCH(C78,'G-6 Hedgerow Data'!$AM$3:$AM$15,0),MATCH(M78,'G-6 Hedgerow Data'!$AN$2:$AZ$2,0))),"")</f>
        <v/>
      </c>
      <c r="O78" s="276" t="str">
        <f t="shared" si="9"/>
        <v/>
      </c>
      <c r="P78" s="281" t="str">
        <f>IF(B78="","",VLOOKUP(B78,'E-1 Off-Site Hedge Baseline'!$B$10:W323,19,FALSE))</f>
        <v/>
      </c>
      <c r="Q78" s="275" t="str">
        <f>IF(M78="","",VLOOKUP(M78,'G-6 Hedgerow Data'!$B$2:$AG$15,2,FALSE))</f>
        <v/>
      </c>
      <c r="R78" s="276" t="str">
        <f>IF(M78="","",VLOOKUP(M78,'G-6 Hedgerow Data'!$B$2:$AG$15,3,FALSE))</f>
        <v/>
      </c>
      <c r="S78" s="101"/>
      <c r="T78" s="276" t="str">
        <f>IFERROR(IF(S78="","",IF(AND(M78="Non-native and ornamental hedgerow",S78&lt;&gt;"Poor"),"Not possible ▲",(IF(AND(Q78="V.Low",OR(S78="Good",S78="Moderate")),"Error ▲",VLOOKUP(S78,'G-1 All Habitats'!$Z$2:$AA$9,2,FALSE))))),"")</f>
        <v/>
      </c>
      <c r="U78" s="101"/>
      <c r="V78" s="283" t="str">
        <f>IF(U78="","",IF(VLOOKUP(U78,'G-3 Multipliers'!$L$3:$N$6,2,FALSE)=0,"Spatial Data Missing ⚠",VLOOKUP(U78,'G-3 Multipliers'!$L$3:$N$6,2,FALSE)))</f>
        <v/>
      </c>
      <c r="W78" s="281" t="str">
        <f>IF(U78="","",IF(VLOOKUP(U78,'G-3 Multipliers'!$L$3:$N$6,3,FALSE)=0,"Spatial Data Missing ⚠",VLOOKUP(U78,'G-3 Multipliers'!$L$3:$N$6,3,FALSE)))</f>
        <v/>
      </c>
      <c r="X78" s="275" t="str">
        <f>IFERROR(IF(OR(LEFT(O78,5)="Error",LEFT(N78,5)="Error",T78="Error"),"Check Data ⚠",IF(F78&lt;R78,INDEX('G-6 Hedgerow Data'!$S$3:$AE$14,MATCH(C78,'G-6 Hedgerow Data'!$B$3:$B$14,0),MATCH(M78,'G-6 Hedgerow Data'!$S$2:$AE$2,0)),INDEX('G-6 Hedgerow Data'!$K$3:$Q$14,MATCH(M78,'G-6 Hedgerow Data'!$B$3:$B$14,0),MATCH(O78,'G-6 Hedgerow Data'!$K$2:$Q$2,0)))),"")</f>
        <v/>
      </c>
      <c r="Y78" s="133"/>
      <c r="Z78" s="133"/>
      <c r="AA78" s="283" t="str">
        <f t="shared" si="10"/>
        <v/>
      </c>
      <c r="AB78" s="296" t="str">
        <f t="shared" si="11"/>
        <v/>
      </c>
      <c r="AC78" s="297" t="str">
        <f t="shared" si="8"/>
        <v/>
      </c>
      <c r="AD78" s="311" t="str">
        <f>IF(M78="","",VLOOKUP(M78,'G-6 Hedgerow Data'!$B$3:$AG$15,31,FALSE))</f>
        <v/>
      </c>
      <c r="AE78" s="295" t="str">
        <f t="shared" si="12"/>
        <v/>
      </c>
      <c r="AF78" s="283" t="str">
        <f t="shared" si="13"/>
        <v/>
      </c>
      <c r="AG78" s="299" t="str">
        <f>IFERROR(IF(O78="","",VLOOKUP(AD78,'G-3 Multipliers'!$P$3:$Q$6,2,FALSE)),"")</f>
        <v/>
      </c>
      <c r="AH78" s="713" t="str">
        <f>IF(B78="","",IF(ISNA(VLOOKUP($B78,'E-1 Off-Site Hedge Baseline'!$B$1:$Z$257,14,FALSE)),"",(VLOOKUP($B78,'E-1 Off-Site Hedge Baseline'!$B$1:$Z$257,14,FALSE))))</f>
        <v/>
      </c>
      <c r="AI78" s="276" t="str">
        <f>IF(AH78="","",IF(VLOOKUP(AH78,'G-3 Multipliers'!$S$3:$T$10,2,FALSE)=0,"Spatial Data Missing ⚠",VLOOKUP(AH78,'G-3 Multipliers'!$S$3:$T$10,2,FALSE)))</f>
        <v/>
      </c>
      <c r="AJ78" s="317" t="str">
        <f t="shared" si="14"/>
        <v/>
      </c>
      <c r="AK78" s="289" t="str">
        <f t="shared" si="15"/>
        <v/>
      </c>
      <c r="AL78" s="101"/>
      <c r="AM78" s="115"/>
      <c r="AN78" s="104"/>
      <c r="AO78" s="104"/>
      <c r="AQ78" s="30" t="str">
        <f>IFERROR(INDEX('G-6 Hedgerow Data'!$BJ$3:$BJ$15,MATCH(M78,'G-6 Hedgerow Data'!$B$3:$B$15,0)),"")</f>
        <v/>
      </c>
    </row>
    <row r="79" spans="2:43" ht="14">
      <c r="B79" s="305" t="str">
        <f>'E-1 Off-Site Hedge Baseline'!AN77</f>
        <v/>
      </c>
      <c r="C79" s="295" t="str">
        <f>IF(B79="","",IF(ISNA(VLOOKUP($B79,'E-1 Off-Site Hedge Baseline'!$B$1:$L$257,3,FALSE)),"",(VLOOKUP($B79,'E-1 Off-Site Hedge Baseline'!$B$1:$L$257,3,FALSE))))</f>
        <v/>
      </c>
      <c r="D79" s="295" t="str">
        <f>IF(B79="","",IF(ISNA(VLOOKUP($B79,'E-1 Off-Site Hedge Baseline'!$B$1:$L$258,4,FALSE)),"",(VLOOKUP($B79,'E-1 Off-Site Hedge Baseline'!$B$1:$L$258,4,FALSE))))</f>
        <v/>
      </c>
      <c r="E79" s="295" t="str">
        <f>IF(B79="","",IF(ISNA(VLOOKUP($B79,'E-1 Off-Site Hedge Baseline'!$B$1:$L$257,5,FALSE)),"",(VLOOKUP($B79,'E-1 Off-Site Hedge Baseline'!$B$1:$L$257,5,FALSE))))</f>
        <v/>
      </c>
      <c r="F79" s="295" t="str">
        <f>IF(B79="","",IF(ISNA(VLOOKUP($B79,'E-1 Off-Site Hedge Baseline'!$B$1:$L$257,6,FALSE)),"",(VLOOKUP($B79,'E-1 Off-Site Hedge Baseline'!$B$1:$L$257,6,FALSE))))</f>
        <v/>
      </c>
      <c r="G79" s="295" t="str">
        <f>IF(B79="","",IF(ISNA(VLOOKUP($B79,'E-1 Off-Site Hedge Baseline'!$B$1:$L$257,7,FALSE)),"",(VLOOKUP($B79,'E-1 Off-Site Hedge Baseline'!$B$1:$L$257,7,FALSE))))</f>
        <v/>
      </c>
      <c r="H79" s="295" t="str">
        <f>IF(B79="","",IF(ISNA(VLOOKUP($B79,'E-1 Off-Site Hedge Baseline'!$B$1:$L$257,8,FALSE)),"",(VLOOKUP($B79,'E-1 Off-Site Hedge Baseline'!$B$1:$L$257,8,FALSE))))</f>
        <v/>
      </c>
      <c r="I79" s="295" t="str">
        <f>IF(B79="","",IF(ISNA(VLOOKUP($B79,'E-1 Off-Site Hedge Baseline'!$B$1:$L$257,10,FALSE)),"",(VLOOKUP($B79,'E-1 Off-Site Hedge Baseline'!$B$1:$L$257,10,FALSE))))</f>
        <v/>
      </c>
      <c r="J79" s="295" t="str">
        <f>IF(B79="","",IF(ISNA(VLOOKUP($B79,'E-1 Off-Site Hedge Baseline'!$B$1:$L$257,11,FALSE)),"",(VLOOKUP($B79,'E-1 Off-Site Hedge Baseline'!$B$1:$L$257,11,FALSE))))</f>
        <v/>
      </c>
      <c r="K79" s="295" t="str">
        <f>IF(B79="","",IF(ISNA(VLOOKUP($B79,'E-1 Off-Site Hedge Baseline'!$B$1:$X$257,16,FALSE)),"",(VLOOKUP($B79,'E-1 Off-Site Hedge Baseline'!$B$1:$X$257,16,FALSE))))</f>
        <v/>
      </c>
      <c r="L79" s="283" t="str">
        <f>IF(B79="","",IF(ISNA(VLOOKUP($B79,'E-1 Off-Site Hedge Baseline'!$B$1:$X$257,12,FALSE)),"",(VLOOKUP($B79,'E-1 Off-Site Hedge Baseline'!$B$1:$X$257,12,FALSE))))</f>
        <v/>
      </c>
      <c r="M79" s="244"/>
      <c r="N79" s="275" t="str">
        <f>IFERROR(IF(B79="","",INDEX('G-6 Hedgerow Data'!$AN$3:$AZ$15,MATCH(C79,'G-6 Hedgerow Data'!$AM$3:$AM$15,0),MATCH(M79,'G-6 Hedgerow Data'!$AN$2:$AZ$2,0))),"")</f>
        <v/>
      </c>
      <c r="O79" s="276" t="str">
        <f t="shared" si="9"/>
        <v/>
      </c>
      <c r="P79" s="281" t="str">
        <f>IF(B79="","",VLOOKUP(B79,'E-1 Off-Site Hedge Baseline'!$B$10:W324,19,FALSE))</f>
        <v/>
      </c>
      <c r="Q79" s="275" t="str">
        <f>IF(M79="","",VLOOKUP(M79,'G-6 Hedgerow Data'!$B$2:$AG$15,2,FALSE))</f>
        <v/>
      </c>
      <c r="R79" s="276" t="str">
        <f>IF(M79="","",VLOOKUP(M79,'G-6 Hedgerow Data'!$B$2:$AG$15,3,FALSE))</f>
        <v/>
      </c>
      <c r="S79" s="101"/>
      <c r="T79" s="276" t="str">
        <f>IFERROR(IF(S79="","",IF(AND(M79="Non-native and ornamental hedgerow",S79&lt;&gt;"Poor"),"Not possible ▲",(IF(AND(Q79="V.Low",OR(S79="Good",S79="Moderate")),"Error ▲",VLOOKUP(S79,'G-1 All Habitats'!$Z$2:$AA$9,2,FALSE))))),"")</f>
        <v/>
      </c>
      <c r="U79" s="101"/>
      <c r="V79" s="283" t="str">
        <f>IF(U79="","",IF(VLOOKUP(U79,'G-3 Multipliers'!$L$3:$N$6,2,FALSE)=0,"Spatial Data Missing ⚠",VLOOKUP(U79,'G-3 Multipliers'!$L$3:$N$6,2,FALSE)))</f>
        <v/>
      </c>
      <c r="W79" s="281" t="str">
        <f>IF(U79="","",IF(VLOOKUP(U79,'G-3 Multipliers'!$L$3:$N$6,3,FALSE)=0,"Spatial Data Missing ⚠",VLOOKUP(U79,'G-3 Multipliers'!$L$3:$N$6,3,FALSE)))</f>
        <v/>
      </c>
      <c r="X79" s="275" t="str">
        <f>IFERROR(IF(OR(LEFT(O79,5)="Error",LEFT(N79,5)="Error",T79="Error"),"Check Data ⚠",IF(F79&lt;R79,INDEX('G-6 Hedgerow Data'!$S$3:$AE$14,MATCH(C79,'G-6 Hedgerow Data'!$B$3:$B$14,0),MATCH(M79,'G-6 Hedgerow Data'!$S$2:$AE$2,0)),INDEX('G-6 Hedgerow Data'!$K$3:$Q$14,MATCH(M79,'G-6 Hedgerow Data'!$B$3:$B$14,0),MATCH(O79,'G-6 Hedgerow Data'!$K$2:$Q$2,0)))),"")</f>
        <v/>
      </c>
      <c r="Y79" s="133"/>
      <c r="Z79" s="133"/>
      <c r="AA79" s="283" t="str">
        <f t="shared" si="10"/>
        <v/>
      </c>
      <c r="AB79" s="296" t="str">
        <f t="shared" si="11"/>
        <v/>
      </c>
      <c r="AC79" s="297" t="str">
        <f t="shared" si="8"/>
        <v/>
      </c>
      <c r="AD79" s="311" t="str">
        <f>IF(M79="","",VLOOKUP(M79,'G-6 Hedgerow Data'!$B$3:$AG$15,31,FALSE))</f>
        <v/>
      </c>
      <c r="AE79" s="295" t="str">
        <f t="shared" si="12"/>
        <v/>
      </c>
      <c r="AF79" s="283" t="str">
        <f t="shared" si="13"/>
        <v/>
      </c>
      <c r="AG79" s="299" t="str">
        <f>IFERROR(IF(O79="","",VLOOKUP(AD79,'G-3 Multipliers'!$P$3:$Q$6,2,FALSE)),"")</f>
        <v/>
      </c>
      <c r="AH79" s="713" t="str">
        <f>IF(B79="","",IF(ISNA(VLOOKUP($B79,'E-1 Off-Site Hedge Baseline'!$B$1:$Z$257,14,FALSE)),"",(VLOOKUP($B79,'E-1 Off-Site Hedge Baseline'!$B$1:$Z$257,14,FALSE))))</f>
        <v/>
      </c>
      <c r="AI79" s="276" t="str">
        <f>IF(AH79="","",IF(VLOOKUP(AH79,'G-3 Multipliers'!$S$3:$T$10,2,FALSE)=0,"Spatial Data Missing ⚠",VLOOKUP(AH79,'G-3 Multipliers'!$S$3:$T$10,2,FALSE)))</f>
        <v/>
      </c>
      <c r="AJ79" s="317" t="str">
        <f t="shared" si="14"/>
        <v/>
      </c>
      <c r="AK79" s="289" t="str">
        <f t="shared" si="15"/>
        <v/>
      </c>
      <c r="AL79" s="101"/>
      <c r="AM79" s="115"/>
      <c r="AN79" s="104"/>
      <c r="AO79" s="104"/>
      <c r="AQ79" s="30" t="str">
        <f>IFERROR(INDEX('G-6 Hedgerow Data'!$BJ$3:$BJ$15,MATCH(M79,'G-6 Hedgerow Data'!$B$3:$B$15,0)),"")</f>
        <v/>
      </c>
    </row>
    <row r="80" spans="2:43" ht="14">
      <c r="B80" s="305" t="str">
        <f>'E-1 Off-Site Hedge Baseline'!AN78</f>
        <v/>
      </c>
      <c r="C80" s="295" t="str">
        <f>IF(B80="","",IF(ISNA(VLOOKUP($B80,'E-1 Off-Site Hedge Baseline'!$B$1:$L$257,3,FALSE)),"",(VLOOKUP($B80,'E-1 Off-Site Hedge Baseline'!$B$1:$L$257,3,FALSE))))</f>
        <v/>
      </c>
      <c r="D80" s="295" t="str">
        <f>IF(B80="","",IF(ISNA(VLOOKUP($B80,'E-1 Off-Site Hedge Baseline'!$B$1:$L$258,4,FALSE)),"",(VLOOKUP($B80,'E-1 Off-Site Hedge Baseline'!$B$1:$L$258,4,FALSE))))</f>
        <v/>
      </c>
      <c r="E80" s="295" t="str">
        <f>IF(B80="","",IF(ISNA(VLOOKUP($B80,'E-1 Off-Site Hedge Baseline'!$B$1:$L$257,5,FALSE)),"",(VLOOKUP($B80,'E-1 Off-Site Hedge Baseline'!$B$1:$L$257,5,FALSE))))</f>
        <v/>
      </c>
      <c r="F80" s="295" t="str">
        <f>IF(B80="","",IF(ISNA(VLOOKUP($B80,'E-1 Off-Site Hedge Baseline'!$B$1:$L$257,6,FALSE)),"",(VLOOKUP($B80,'E-1 Off-Site Hedge Baseline'!$B$1:$L$257,6,FALSE))))</f>
        <v/>
      </c>
      <c r="G80" s="295" t="str">
        <f>IF(B80="","",IF(ISNA(VLOOKUP($B80,'E-1 Off-Site Hedge Baseline'!$B$1:$L$257,7,FALSE)),"",(VLOOKUP($B80,'E-1 Off-Site Hedge Baseline'!$B$1:$L$257,7,FALSE))))</f>
        <v/>
      </c>
      <c r="H80" s="295" t="str">
        <f>IF(B80="","",IF(ISNA(VLOOKUP($B80,'E-1 Off-Site Hedge Baseline'!$B$1:$L$257,8,FALSE)),"",(VLOOKUP($B80,'E-1 Off-Site Hedge Baseline'!$B$1:$L$257,8,FALSE))))</f>
        <v/>
      </c>
      <c r="I80" s="295" t="str">
        <f>IF(B80="","",IF(ISNA(VLOOKUP($B80,'E-1 Off-Site Hedge Baseline'!$B$1:$L$257,10,FALSE)),"",(VLOOKUP($B80,'E-1 Off-Site Hedge Baseline'!$B$1:$L$257,10,FALSE))))</f>
        <v/>
      </c>
      <c r="J80" s="295" t="str">
        <f>IF(B80="","",IF(ISNA(VLOOKUP($B80,'E-1 Off-Site Hedge Baseline'!$B$1:$L$257,11,FALSE)),"",(VLOOKUP($B80,'E-1 Off-Site Hedge Baseline'!$B$1:$L$257,11,FALSE))))</f>
        <v/>
      </c>
      <c r="K80" s="295" t="str">
        <f>IF(B80="","",IF(ISNA(VLOOKUP($B80,'E-1 Off-Site Hedge Baseline'!$B$1:$X$257,16,FALSE)),"",(VLOOKUP($B80,'E-1 Off-Site Hedge Baseline'!$B$1:$X$257,16,FALSE))))</f>
        <v/>
      </c>
      <c r="L80" s="283" t="str">
        <f>IF(B80="","",IF(ISNA(VLOOKUP($B80,'E-1 Off-Site Hedge Baseline'!$B$1:$X$257,12,FALSE)),"",(VLOOKUP($B80,'E-1 Off-Site Hedge Baseline'!$B$1:$X$257,12,FALSE))))</f>
        <v/>
      </c>
      <c r="M80" s="244"/>
      <c r="N80" s="275" t="str">
        <f>IFERROR(IF(B80="","",INDEX('G-6 Hedgerow Data'!$AN$3:$AZ$15,MATCH(C80,'G-6 Hedgerow Data'!$AM$3:$AM$15,0),MATCH(M80,'G-6 Hedgerow Data'!$AN$2:$AZ$2,0))),"")</f>
        <v/>
      </c>
      <c r="O80" s="276" t="str">
        <f t="shared" si="9"/>
        <v/>
      </c>
      <c r="P80" s="281" t="str">
        <f>IF(B80="","",VLOOKUP(B80,'E-1 Off-Site Hedge Baseline'!$B$10:W325,19,FALSE))</f>
        <v/>
      </c>
      <c r="Q80" s="275" t="str">
        <f>IF(M80="","",VLOOKUP(M80,'G-6 Hedgerow Data'!$B$2:$AG$15,2,FALSE))</f>
        <v/>
      </c>
      <c r="R80" s="276" t="str">
        <f>IF(M80="","",VLOOKUP(M80,'G-6 Hedgerow Data'!$B$2:$AG$15,3,FALSE))</f>
        <v/>
      </c>
      <c r="S80" s="101"/>
      <c r="T80" s="276" t="str">
        <f>IFERROR(IF(S80="","",IF(AND(M80="Non-native and ornamental hedgerow",S80&lt;&gt;"Poor"),"Not possible ▲",(IF(AND(Q80="V.Low",OR(S80="Good",S80="Moderate")),"Error ▲",VLOOKUP(S80,'G-1 All Habitats'!$Z$2:$AA$9,2,FALSE))))),"")</f>
        <v/>
      </c>
      <c r="U80" s="101"/>
      <c r="V80" s="283" t="str">
        <f>IF(U80="","",IF(VLOOKUP(U80,'G-3 Multipliers'!$L$3:$N$6,2,FALSE)=0,"Spatial Data Missing ⚠",VLOOKUP(U80,'G-3 Multipliers'!$L$3:$N$6,2,FALSE)))</f>
        <v/>
      </c>
      <c r="W80" s="281" t="str">
        <f>IF(U80="","",IF(VLOOKUP(U80,'G-3 Multipliers'!$L$3:$N$6,3,FALSE)=0,"Spatial Data Missing ⚠",VLOOKUP(U80,'G-3 Multipliers'!$L$3:$N$6,3,FALSE)))</f>
        <v/>
      </c>
      <c r="X80" s="275" t="str">
        <f>IFERROR(IF(OR(LEFT(O80,5)="Error",LEFT(N80,5)="Error",T80="Error"),"Check Data ⚠",IF(F80&lt;R80,INDEX('G-6 Hedgerow Data'!$S$3:$AE$14,MATCH(C80,'G-6 Hedgerow Data'!$B$3:$B$14,0),MATCH(M80,'G-6 Hedgerow Data'!$S$2:$AE$2,0)),INDEX('G-6 Hedgerow Data'!$K$3:$Q$14,MATCH(M80,'G-6 Hedgerow Data'!$B$3:$B$14,0),MATCH(O80,'G-6 Hedgerow Data'!$K$2:$Q$2,0)))),"")</f>
        <v/>
      </c>
      <c r="Y80" s="133"/>
      <c r="Z80" s="133"/>
      <c r="AA80" s="283" t="str">
        <f t="shared" si="10"/>
        <v/>
      </c>
      <c r="AB80" s="296" t="str">
        <f t="shared" si="11"/>
        <v/>
      </c>
      <c r="AC80" s="297" t="str">
        <f t="shared" si="8"/>
        <v/>
      </c>
      <c r="AD80" s="311" t="str">
        <f>IF(M80="","",VLOOKUP(M80,'G-6 Hedgerow Data'!$B$3:$AG$15,31,FALSE))</f>
        <v/>
      </c>
      <c r="AE80" s="295" t="str">
        <f t="shared" si="12"/>
        <v/>
      </c>
      <c r="AF80" s="283" t="str">
        <f t="shared" si="13"/>
        <v/>
      </c>
      <c r="AG80" s="299" t="str">
        <f>IFERROR(IF(O80="","",VLOOKUP(AD80,'G-3 Multipliers'!$P$3:$Q$6,2,FALSE)),"")</f>
        <v/>
      </c>
      <c r="AH80" s="713" t="str">
        <f>IF(B80="","",IF(ISNA(VLOOKUP($B80,'E-1 Off-Site Hedge Baseline'!$B$1:$Z$257,14,FALSE)),"",(VLOOKUP($B80,'E-1 Off-Site Hedge Baseline'!$B$1:$Z$257,14,FALSE))))</f>
        <v/>
      </c>
      <c r="AI80" s="276" t="str">
        <f>IF(AH80="","",IF(VLOOKUP(AH80,'G-3 Multipliers'!$S$3:$T$10,2,FALSE)=0,"Spatial Data Missing ⚠",VLOOKUP(AH80,'G-3 Multipliers'!$S$3:$T$10,2,FALSE)))</f>
        <v/>
      </c>
      <c r="AJ80" s="317" t="str">
        <f t="shared" si="14"/>
        <v/>
      </c>
      <c r="AK80" s="289" t="str">
        <f t="shared" si="15"/>
        <v/>
      </c>
      <c r="AL80" s="101"/>
      <c r="AM80" s="115"/>
      <c r="AN80" s="104"/>
      <c r="AO80" s="104"/>
      <c r="AQ80" s="30" t="str">
        <f>IFERROR(INDEX('G-6 Hedgerow Data'!$BJ$3:$BJ$15,MATCH(M80,'G-6 Hedgerow Data'!$B$3:$B$15,0)),"")</f>
        <v/>
      </c>
    </row>
    <row r="81" spans="2:43" ht="14">
      <c r="B81" s="305" t="str">
        <f>'E-1 Off-Site Hedge Baseline'!AN79</f>
        <v/>
      </c>
      <c r="C81" s="295" t="str">
        <f>IF(B81="","",IF(ISNA(VLOOKUP($B81,'E-1 Off-Site Hedge Baseline'!$B$1:$L$257,3,FALSE)),"",(VLOOKUP($B81,'E-1 Off-Site Hedge Baseline'!$B$1:$L$257,3,FALSE))))</f>
        <v/>
      </c>
      <c r="D81" s="295" t="str">
        <f>IF(B81="","",IF(ISNA(VLOOKUP($B81,'E-1 Off-Site Hedge Baseline'!$B$1:$L$258,4,FALSE)),"",(VLOOKUP($B81,'E-1 Off-Site Hedge Baseline'!$B$1:$L$258,4,FALSE))))</f>
        <v/>
      </c>
      <c r="E81" s="295" t="str">
        <f>IF(B81="","",IF(ISNA(VLOOKUP($B81,'E-1 Off-Site Hedge Baseline'!$B$1:$L$257,5,FALSE)),"",(VLOOKUP($B81,'E-1 Off-Site Hedge Baseline'!$B$1:$L$257,5,FALSE))))</f>
        <v/>
      </c>
      <c r="F81" s="295" t="str">
        <f>IF(B81="","",IF(ISNA(VLOOKUP($B81,'E-1 Off-Site Hedge Baseline'!$B$1:$L$257,6,FALSE)),"",(VLOOKUP($B81,'E-1 Off-Site Hedge Baseline'!$B$1:$L$257,6,FALSE))))</f>
        <v/>
      </c>
      <c r="G81" s="295" t="str">
        <f>IF(B81="","",IF(ISNA(VLOOKUP($B81,'E-1 Off-Site Hedge Baseline'!$B$1:$L$257,7,FALSE)),"",(VLOOKUP($B81,'E-1 Off-Site Hedge Baseline'!$B$1:$L$257,7,FALSE))))</f>
        <v/>
      </c>
      <c r="H81" s="295" t="str">
        <f>IF(B81="","",IF(ISNA(VLOOKUP($B81,'E-1 Off-Site Hedge Baseline'!$B$1:$L$257,8,FALSE)),"",(VLOOKUP($B81,'E-1 Off-Site Hedge Baseline'!$B$1:$L$257,8,FALSE))))</f>
        <v/>
      </c>
      <c r="I81" s="295" t="str">
        <f>IF(B81="","",IF(ISNA(VLOOKUP($B81,'E-1 Off-Site Hedge Baseline'!$B$1:$L$257,10,FALSE)),"",(VLOOKUP($B81,'E-1 Off-Site Hedge Baseline'!$B$1:$L$257,10,FALSE))))</f>
        <v/>
      </c>
      <c r="J81" s="295" t="str">
        <f>IF(B81="","",IF(ISNA(VLOOKUP($B81,'E-1 Off-Site Hedge Baseline'!$B$1:$L$257,11,FALSE)),"",(VLOOKUP($B81,'E-1 Off-Site Hedge Baseline'!$B$1:$L$257,11,FALSE))))</f>
        <v/>
      </c>
      <c r="K81" s="295" t="str">
        <f>IF(B81="","",IF(ISNA(VLOOKUP($B81,'E-1 Off-Site Hedge Baseline'!$B$1:$X$257,16,FALSE)),"",(VLOOKUP($B81,'E-1 Off-Site Hedge Baseline'!$B$1:$X$257,16,FALSE))))</f>
        <v/>
      </c>
      <c r="L81" s="283" t="str">
        <f>IF(B81="","",IF(ISNA(VLOOKUP($B81,'E-1 Off-Site Hedge Baseline'!$B$1:$X$257,12,FALSE)),"",(VLOOKUP($B81,'E-1 Off-Site Hedge Baseline'!$B$1:$X$257,12,FALSE))))</f>
        <v/>
      </c>
      <c r="M81" s="244"/>
      <c r="N81" s="275" t="str">
        <f>IFERROR(IF(B81="","",INDEX('G-6 Hedgerow Data'!$AN$3:$AZ$15,MATCH(C81,'G-6 Hedgerow Data'!$AM$3:$AM$15,0),MATCH(M81,'G-6 Hedgerow Data'!$AN$2:$AZ$2,0))),"")</f>
        <v/>
      </c>
      <c r="O81" s="276" t="str">
        <f t="shared" si="9"/>
        <v/>
      </c>
      <c r="P81" s="281" t="str">
        <f>IF(B81="","",VLOOKUP(B81,'E-1 Off-Site Hedge Baseline'!$B$10:W326,19,FALSE))</f>
        <v/>
      </c>
      <c r="Q81" s="275" t="str">
        <f>IF(M81="","",VLOOKUP(M81,'G-6 Hedgerow Data'!$B$2:$AG$15,2,FALSE))</f>
        <v/>
      </c>
      <c r="R81" s="276" t="str">
        <f>IF(M81="","",VLOOKUP(M81,'G-6 Hedgerow Data'!$B$2:$AG$15,3,FALSE))</f>
        <v/>
      </c>
      <c r="S81" s="101"/>
      <c r="T81" s="276" t="str">
        <f>IFERROR(IF(S81="","",IF(AND(M81="Non-native and ornamental hedgerow",S81&lt;&gt;"Poor"),"Not possible ▲",(IF(AND(Q81="V.Low",OR(S81="Good",S81="Moderate")),"Error ▲",VLOOKUP(S81,'G-1 All Habitats'!$Z$2:$AA$9,2,FALSE))))),"")</f>
        <v/>
      </c>
      <c r="U81" s="101"/>
      <c r="V81" s="283" t="str">
        <f>IF(U81="","",IF(VLOOKUP(U81,'G-3 Multipliers'!$L$3:$N$6,2,FALSE)=0,"Spatial Data Missing ⚠",VLOOKUP(U81,'G-3 Multipliers'!$L$3:$N$6,2,FALSE)))</f>
        <v/>
      </c>
      <c r="W81" s="281" t="str">
        <f>IF(U81="","",IF(VLOOKUP(U81,'G-3 Multipliers'!$L$3:$N$6,3,FALSE)=0,"Spatial Data Missing ⚠",VLOOKUP(U81,'G-3 Multipliers'!$L$3:$N$6,3,FALSE)))</f>
        <v/>
      </c>
      <c r="X81" s="275" t="str">
        <f>IFERROR(IF(OR(LEFT(O81,5)="Error",LEFT(N81,5)="Error",T81="Error"),"Check Data ⚠",IF(F81&lt;R81,INDEX('G-6 Hedgerow Data'!$S$3:$AE$14,MATCH(C81,'G-6 Hedgerow Data'!$B$3:$B$14,0),MATCH(M81,'G-6 Hedgerow Data'!$S$2:$AE$2,0)),INDEX('G-6 Hedgerow Data'!$K$3:$Q$14,MATCH(M81,'G-6 Hedgerow Data'!$B$3:$B$14,0),MATCH(O81,'G-6 Hedgerow Data'!$K$2:$Q$2,0)))),"")</f>
        <v/>
      </c>
      <c r="Y81" s="133"/>
      <c r="Z81" s="133"/>
      <c r="AA81" s="283" t="str">
        <f t="shared" si="10"/>
        <v/>
      </c>
      <c r="AB81" s="296" t="str">
        <f t="shared" si="11"/>
        <v/>
      </c>
      <c r="AC81" s="297" t="str">
        <f t="shared" si="8"/>
        <v/>
      </c>
      <c r="AD81" s="311" t="str">
        <f>IF(M81="","",VLOOKUP(M81,'G-6 Hedgerow Data'!$B$3:$AG$15,31,FALSE))</f>
        <v/>
      </c>
      <c r="AE81" s="295" t="str">
        <f t="shared" si="12"/>
        <v/>
      </c>
      <c r="AF81" s="283" t="str">
        <f t="shared" si="13"/>
        <v/>
      </c>
      <c r="AG81" s="299" t="str">
        <f>IFERROR(IF(O81="","",VLOOKUP(AD81,'G-3 Multipliers'!$P$3:$Q$6,2,FALSE)),"")</f>
        <v/>
      </c>
      <c r="AH81" s="713" t="str">
        <f>IF(B81="","",IF(ISNA(VLOOKUP($B81,'E-1 Off-Site Hedge Baseline'!$B$1:$Z$257,14,FALSE)),"",(VLOOKUP($B81,'E-1 Off-Site Hedge Baseline'!$B$1:$Z$257,14,FALSE))))</f>
        <v/>
      </c>
      <c r="AI81" s="276" t="str">
        <f>IF(AH81="","",IF(VLOOKUP(AH81,'G-3 Multipliers'!$S$3:$T$10,2,FALSE)=0,"Spatial Data Missing ⚠",VLOOKUP(AH81,'G-3 Multipliers'!$S$3:$T$10,2,FALSE)))</f>
        <v/>
      </c>
      <c r="AJ81" s="317" t="str">
        <f t="shared" si="14"/>
        <v/>
      </c>
      <c r="AK81" s="289" t="str">
        <f t="shared" si="15"/>
        <v/>
      </c>
      <c r="AL81" s="101"/>
      <c r="AM81" s="115"/>
      <c r="AN81" s="104"/>
      <c r="AO81" s="104"/>
      <c r="AQ81" s="30" t="str">
        <f>IFERROR(INDEX('G-6 Hedgerow Data'!$BJ$3:$BJ$15,MATCH(M81,'G-6 Hedgerow Data'!$B$3:$B$15,0)),"")</f>
        <v/>
      </c>
    </row>
    <row r="82" spans="2:43" ht="14">
      <c r="B82" s="305" t="str">
        <f>'E-1 Off-Site Hedge Baseline'!AN80</f>
        <v/>
      </c>
      <c r="C82" s="295" t="str">
        <f>IF(B82="","",IF(ISNA(VLOOKUP($B82,'E-1 Off-Site Hedge Baseline'!$B$1:$L$257,3,FALSE)),"",(VLOOKUP($B82,'E-1 Off-Site Hedge Baseline'!$B$1:$L$257,3,FALSE))))</f>
        <v/>
      </c>
      <c r="D82" s="295" t="str">
        <f>IF(B82="","",IF(ISNA(VLOOKUP($B82,'E-1 Off-Site Hedge Baseline'!$B$1:$L$258,4,FALSE)),"",(VLOOKUP($B82,'E-1 Off-Site Hedge Baseline'!$B$1:$L$258,4,FALSE))))</f>
        <v/>
      </c>
      <c r="E82" s="295" t="str">
        <f>IF(B82="","",IF(ISNA(VLOOKUP($B82,'E-1 Off-Site Hedge Baseline'!$B$1:$L$257,5,FALSE)),"",(VLOOKUP($B82,'E-1 Off-Site Hedge Baseline'!$B$1:$L$257,5,FALSE))))</f>
        <v/>
      </c>
      <c r="F82" s="295" t="str">
        <f>IF(B82="","",IF(ISNA(VLOOKUP($B82,'E-1 Off-Site Hedge Baseline'!$B$1:$L$257,6,FALSE)),"",(VLOOKUP($B82,'E-1 Off-Site Hedge Baseline'!$B$1:$L$257,6,FALSE))))</f>
        <v/>
      </c>
      <c r="G82" s="295" t="str">
        <f>IF(B82="","",IF(ISNA(VLOOKUP($B82,'E-1 Off-Site Hedge Baseline'!$B$1:$L$257,7,FALSE)),"",(VLOOKUP($B82,'E-1 Off-Site Hedge Baseline'!$B$1:$L$257,7,FALSE))))</f>
        <v/>
      </c>
      <c r="H82" s="295" t="str">
        <f>IF(B82="","",IF(ISNA(VLOOKUP($B82,'E-1 Off-Site Hedge Baseline'!$B$1:$L$257,8,FALSE)),"",(VLOOKUP($B82,'E-1 Off-Site Hedge Baseline'!$B$1:$L$257,8,FALSE))))</f>
        <v/>
      </c>
      <c r="I82" s="295" t="str">
        <f>IF(B82="","",IF(ISNA(VLOOKUP($B82,'E-1 Off-Site Hedge Baseline'!$B$1:$L$257,10,FALSE)),"",(VLOOKUP($B82,'E-1 Off-Site Hedge Baseline'!$B$1:$L$257,10,FALSE))))</f>
        <v/>
      </c>
      <c r="J82" s="295" t="str">
        <f>IF(B82="","",IF(ISNA(VLOOKUP($B82,'E-1 Off-Site Hedge Baseline'!$B$1:$L$257,11,FALSE)),"",(VLOOKUP($B82,'E-1 Off-Site Hedge Baseline'!$B$1:$L$257,11,FALSE))))</f>
        <v/>
      </c>
      <c r="K82" s="295" t="str">
        <f>IF(B82="","",IF(ISNA(VLOOKUP($B82,'E-1 Off-Site Hedge Baseline'!$B$1:$X$257,16,FALSE)),"",(VLOOKUP($B82,'E-1 Off-Site Hedge Baseline'!$B$1:$X$257,16,FALSE))))</f>
        <v/>
      </c>
      <c r="L82" s="283" t="str">
        <f>IF(B82="","",IF(ISNA(VLOOKUP($B82,'E-1 Off-Site Hedge Baseline'!$B$1:$X$257,12,FALSE)),"",(VLOOKUP($B82,'E-1 Off-Site Hedge Baseline'!$B$1:$X$257,12,FALSE))))</f>
        <v/>
      </c>
      <c r="M82" s="244"/>
      <c r="N82" s="275" t="str">
        <f>IFERROR(IF(B82="","",INDEX('G-6 Hedgerow Data'!$AN$3:$AZ$15,MATCH(C82,'G-6 Hedgerow Data'!$AM$3:$AM$15,0),MATCH(M82,'G-6 Hedgerow Data'!$AN$2:$AZ$2,0))),"")</f>
        <v/>
      </c>
      <c r="O82" s="276" t="str">
        <f t="shared" si="9"/>
        <v/>
      </c>
      <c r="P82" s="281" t="str">
        <f>IF(B82="","",VLOOKUP(B82,'E-1 Off-Site Hedge Baseline'!$B$10:W327,19,FALSE))</f>
        <v/>
      </c>
      <c r="Q82" s="275" t="str">
        <f>IF(M82="","",VLOOKUP(M82,'G-6 Hedgerow Data'!$B$2:$AG$15,2,FALSE))</f>
        <v/>
      </c>
      <c r="R82" s="276" t="str">
        <f>IF(M82="","",VLOOKUP(M82,'G-6 Hedgerow Data'!$B$2:$AG$15,3,FALSE))</f>
        <v/>
      </c>
      <c r="S82" s="101"/>
      <c r="T82" s="276" t="str">
        <f>IFERROR(IF(S82="","",IF(AND(M82="Non-native and ornamental hedgerow",S82&lt;&gt;"Poor"),"Not possible ▲",(IF(AND(Q82="V.Low",OR(S82="Good",S82="Moderate")),"Error ▲",VLOOKUP(S82,'G-1 All Habitats'!$Z$2:$AA$9,2,FALSE))))),"")</f>
        <v/>
      </c>
      <c r="U82" s="101"/>
      <c r="V82" s="283" t="str">
        <f>IF(U82="","",IF(VLOOKUP(U82,'G-3 Multipliers'!$L$3:$N$6,2,FALSE)=0,"Spatial Data Missing ⚠",VLOOKUP(U82,'G-3 Multipliers'!$L$3:$N$6,2,FALSE)))</f>
        <v/>
      </c>
      <c r="W82" s="281" t="str">
        <f>IF(U82="","",IF(VLOOKUP(U82,'G-3 Multipliers'!$L$3:$N$6,3,FALSE)=0,"Spatial Data Missing ⚠",VLOOKUP(U82,'G-3 Multipliers'!$L$3:$N$6,3,FALSE)))</f>
        <v/>
      </c>
      <c r="X82" s="275" t="str">
        <f>IFERROR(IF(OR(LEFT(O82,5)="Error",LEFT(N82,5)="Error",T82="Error"),"Check Data ⚠",IF(F82&lt;R82,INDEX('G-6 Hedgerow Data'!$S$3:$AE$14,MATCH(C82,'G-6 Hedgerow Data'!$B$3:$B$14,0),MATCH(M82,'G-6 Hedgerow Data'!$S$2:$AE$2,0)),INDEX('G-6 Hedgerow Data'!$K$3:$Q$14,MATCH(M82,'G-6 Hedgerow Data'!$B$3:$B$14,0),MATCH(O82,'G-6 Hedgerow Data'!$K$2:$Q$2,0)))),"")</f>
        <v/>
      </c>
      <c r="Y82" s="133"/>
      <c r="Z82" s="133"/>
      <c r="AA82" s="283" t="str">
        <f t="shared" si="10"/>
        <v/>
      </c>
      <c r="AB82" s="296" t="str">
        <f t="shared" si="11"/>
        <v/>
      </c>
      <c r="AC82" s="297" t="str">
        <f t="shared" si="8"/>
        <v/>
      </c>
      <c r="AD82" s="311" t="str">
        <f>IF(M82="","",VLOOKUP(M82,'G-6 Hedgerow Data'!$B$3:$AG$15,31,FALSE))</f>
        <v/>
      </c>
      <c r="AE82" s="295" t="str">
        <f t="shared" si="12"/>
        <v/>
      </c>
      <c r="AF82" s="283" t="str">
        <f t="shared" si="13"/>
        <v/>
      </c>
      <c r="AG82" s="299" t="str">
        <f>IFERROR(IF(O82="","",VLOOKUP(AD82,'G-3 Multipliers'!$P$3:$Q$6,2,FALSE)),"")</f>
        <v/>
      </c>
      <c r="AH82" s="713" t="str">
        <f>IF(B82="","",IF(ISNA(VLOOKUP($B82,'E-1 Off-Site Hedge Baseline'!$B$1:$Z$257,14,FALSE)),"",(VLOOKUP($B82,'E-1 Off-Site Hedge Baseline'!$B$1:$Z$257,14,FALSE))))</f>
        <v/>
      </c>
      <c r="AI82" s="276" t="str">
        <f>IF(AH82="","",IF(VLOOKUP(AH82,'G-3 Multipliers'!$S$3:$T$10,2,FALSE)=0,"Spatial Data Missing ⚠",VLOOKUP(AH82,'G-3 Multipliers'!$S$3:$T$10,2,FALSE)))</f>
        <v/>
      </c>
      <c r="AJ82" s="317" t="str">
        <f t="shared" si="14"/>
        <v/>
      </c>
      <c r="AK82" s="289" t="str">
        <f t="shared" si="15"/>
        <v/>
      </c>
      <c r="AL82" s="101"/>
      <c r="AM82" s="115"/>
      <c r="AN82" s="104"/>
      <c r="AO82" s="104"/>
      <c r="AQ82" s="30" t="str">
        <f>IFERROR(INDEX('G-6 Hedgerow Data'!$BJ$3:$BJ$15,MATCH(M82,'G-6 Hedgerow Data'!$B$3:$B$15,0)),"")</f>
        <v/>
      </c>
    </row>
    <row r="83" spans="2:43" ht="14">
      <c r="B83" s="305" t="str">
        <f>'E-1 Off-Site Hedge Baseline'!AN81</f>
        <v/>
      </c>
      <c r="C83" s="295" t="str">
        <f>IF(B83="","",IF(ISNA(VLOOKUP($B83,'E-1 Off-Site Hedge Baseline'!$B$1:$L$257,3,FALSE)),"",(VLOOKUP($B83,'E-1 Off-Site Hedge Baseline'!$B$1:$L$257,3,FALSE))))</f>
        <v/>
      </c>
      <c r="D83" s="295" t="str">
        <f>IF(B83="","",IF(ISNA(VLOOKUP($B83,'E-1 Off-Site Hedge Baseline'!$B$1:$L$258,4,FALSE)),"",(VLOOKUP($B83,'E-1 Off-Site Hedge Baseline'!$B$1:$L$258,4,FALSE))))</f>
        <v/>
      </c>
      <c r="E83" s="295" t="str">
        <f>IF(B83="","",IF(ISNA(VLOOKUP($B83,'E-1 Off-Site Hedge Baseline'!$B$1:$L$257,5,FALSE)),"",(VLOOKUP($B83,'E-1 Off-Site Hedge Baseline'!$B$1:$L$257,5,FALSE))))</f>
        <v/>
      </c>
      <c r="F83" s="295" t="str">
        <f>IF(B83="","",IF(ISNA(VLOOKUP($B83,'E-1 Off-Site Hedge Baseline'!$B$1:$L$257,6,FALSE)),"",(VLOOKUP($B83,'E-1 Off-Site Hedge Baseline'!$B$1:$L$257,6,FALSE))))</f>
        <v/>
      </c>
      <c r="G83" s="295" t="str">
        <f>IF(B83="","",IF(ISNA(VLOOKUP($B83,'E-1 Off-Site Hedge Baseline'!$B$1:$L$257,7,FALSE)),"",(VLOOKUP($B83,'E-1 Off-Site Hedge Baseline'!$B$1:$L$257,7,FALSE))))</f>
        <v/>
      </c>
      <c r="H83" s="295" t="str">
        <f>IF(B83="","",IF(ISNA(VLOOKUP($B83,'E-1 Off-Site Hedge Baseline'!$B$1:$L$257,8,FALSE)),"",(VLOOKUP($B83,'E-1 Off-Site Hedge Baseline'!$B$1:$L$257,8,FALSE))))</f>
        <v/>
      </c>
      <c r="I83" s="295" t="str">
        <f>IF(B83="","",IF(ISNA(VLOOKUP($B83,'E-1 Off-Site Hedge Baseline'!$B$1:$L$257,10,FALSE)),"",(VLOOKUP($B83,'E-1 Off-Site Hedge Baseline'!$B$1:$L$257,10,FALSE))))</f>
        <v/>
      </c>
      <c r="J83" s="295" t="str">
        <f>IF(B83="","",IF(ISNA(VLOOKUP($B83,'E-1 Off-Site Hedge Baseline'!$B$1:$L$257,11,FALSE)),"",(VLOOKUP($B83,'E-1 Off-Site Hedge Baseline'!$B$1:$L$257,11,FALSE))))</f>
        <v/>
      </c>
      <c r="K83" s="295" t="str">
        <f>IF(B83="","",IF(ISNA(VLOOKUP($B83,'E-1 Off-Site Hedge Baseline'!$B$1:$X$257,16,FALSE)),"",(VLOOKUP($B83,'E-1 Off-Site Hedge Baseline'!$B$1:$X$257,16,FALSE))))</f>
        <v/>
      </c>
      <c r="L83" s="283" t="str">
        <f>IF(B83="","",IF(ISNA(VLOOKUP($B83,'E-1 Off-Site Hedge Baseline'!$B$1:$X$257,12,FALSE)),"",(VLOOKUP($B83,'E-1 Off-Site Hedge Baseline'!$B$1:$X$257,12,FALSE))))</f>
        <v/>
      </c>
      <c r="M83" s="244"/>
      <c r="N83" s="275" t="str">
        <f>IFERROR(IF(B83="","",INDEX('G-6 Hedgerow Data'!$AN$3:$AZ$15,MATCH(C83,'G-6 Hedgerow Data'!$AM$3:$AM$15,0),MATCH(M83,'G-6 Hedgerow Data'!$AN$2:$AZ$2,0))),"")</f>
        <v/>
      </c>
      <c r="O83" s="276" t="str">
        <f t="shared" si="9"/>
        <v/>
      </c>
      <c r="P83" s="281" t="str">
        <f>IF(B83="","",VLOOKUP(B83,'E-1 Off-Site Hedge Baseline'!$B$10:W328,19,FALSE))</f>
        <v/>
      </c>
      <c r="Q83" s="275" t="str">
        <f>IF(M83="","",VLOOKUP(M83,'G-6 Hedgerow Data'!$B$2:$AG$15,2,FALSE))</f>
        <v/>
      </c>
      <c r="R83" s="276" t="str">
        <f>IF(M83="","",VLOOKUP(M83,'G-6 Hedgerow Data'!$B$2:$AG$15,3,FALSE))</f>
        <v/>
      </c>
      <c r="S83" s="101"/>
      <c r="T83" s="276" t="str">
        <f>IFERROR(IF(S83="","",IF(AND(M83="Non-native and ornamental hedgerow",S83&lt;&gt;"Poor"),"Not possible ▲",(IF(AND(Q83="V.Low",OR(S83="Good",S83="Moderate")),"Error ▲",VLOOKUP(S83,'G-1 All Habitats'!$Z$2:$AA$9,2,FALSE))))),"")</f>
        <v/>
      </c>
      <c r="U83" s="101"/>
      <c r="V83" s="283" t="str">
        <f>IF(U83="","",IF(VLOOKUP(U83,'G-3 Multipliers'!$L$3:$N$6,2,FALSE)=0,"Spatial Data Missing ⚠",VLOOKUP(U83,'G-3 Multipliers'!$L$3:$N$6,2,FALSE)))</f>
        <v/>
      </c>
      <c r="W83" s="281" t="str">
        <f>IF(U83="","",IF(VLOOKUP(U83,'G-3 Multipliers'!$L$3:$N$6,3,FALSE)=0,"Spatial Data Missing ⚠",VLOOKUP(U83,'G-3 Multipliers'!$L$3:$N$6,3,FALSE)))</f>
        <v/>
      </c>
      <c r="X83" s="275" t="str">
        <f>IFERROR(IF(OR(LEFT(O83,5)="Error",LEFT(N83,5)="Error",T83="Error"),"Check Data ⚠",IF(F83&lt;R83,INDEX('G-6 Hedgerow Data'!$S$3:$AE$14,MATCH(C83,'G-6 Hedgerow Data'!$B$3:$B$14,0),MATCH(M83,'G-6 Hedgerow Data'!$S$2:$AE$2,0)),INDEX('G-6 Hedgerow Data'!$K$3:$Q$14,MATCH(M83,'G-6 Hedgerow Data'!$B$3:$B$14,0),MATCH(O83,'G-6 Hedgerow Data'!$K$2:$Q$2,0)))),"")</f>
        <v/>
      </c>
      <c r="Y83" s="133"/>
      <c r="Z83" s="133"/>
      <c r="AA83" s="283" t="str">
        <f t="shared" si="10"/>
        <v/>
      </c>
      <c r="AB83" s="296" t="str">
        <f t="shared" si="11"/>
        <v/>
      </c>
      <c r="AC83" s="297" t="str">
        <f t="shared" si="8"/>
        <v/>
      </c>
      <c r="AD83" s="311" t="str">
        <f>IF(M83="","",VLOOKUP(M83,'G-6 Hedgerow Data'!$B$3:$AG$15,31,FALSE))</f>
        <v/>
      </c>
      <c r="AE83" s="295" t="str">
        <f t="shared" si="12"/>
        <v/>
      </c>
      <c r="AF83" s="283" t="str">
        <f t="shared" si="13"/>
        <v/>
      </c>
      <c r="AG83" s="299" t="str">
        <f>IFERROR(IF(O83="","",VLOOKUP(AD83,'G-3 Multipliers'!$P$3:$Q$6,2,FALSE)),"")</f>
        <v/>
      </c>
      <c r="AH83" s="713" t="str">
        <f>IF(B83="","",IF(ISNA(VLOOKUP($B83,'E-1 Off-Site Hedge Baseline'!$B$1:$Z$257,14,FALSE)),"",(VLOOKUP($B83,'E-1 Off-Site Hedge Baseline'!$B$1:$Z$257,14,FALSE))))</f>
        <v/>
      </c>
      <c r="AI83" s="276" t="str">
        <f>IF(AH83="","",IF(VLOOKUP(AH83,'G-3 Multipliers'!$S$3:$T$10,2,FALSE)=0,"Spatial Data Missing ⚠",VLOOKUP(AH83,'G-3 Multipliers'!$S$3:$T$10,2,FALSE)))</f>
        <v/>
      </c>
      <c r="AJ83" s="317" t="str">
        <f t="shared" si="14"/>
        <v/>
      </c>
      <c r="AK83" s="289" t="str">
        <f t="shared" si="15"/>
        <v/>
      </c>
      <c r="AL83" s="101"/>
      <c r="AM83" s="115"/>
      <c r="AN83" s="104"/>
      <c r="AO83" s="104"/>
      <c r="AQ83" s="30" t="str">
        <f>IFERROR(INDEX('G-6 Hedgerow Data'!$BJ$3:$BJ$15,MATCH(M83,'G-6 Hedgerow Data'!$B$3:$B$15,0)),"")</f>
        <v/>
      </c>
    </row>
    <row r="84" spans="2:43" ht="14">
      <c r="B84" s="305" t="str">
        <f>'E-1 Off-Site Hedge Baseline'!AN82</f>
        <v/>
      </c>
      <c r="C84" s="295" t="str">
        <f>IF(B84="","",IF(ISNA(VLOOKUP($B84,'E-1 Off-Site Hedge Baseline'!$B$1:$L$257,3,FALSE)),"",(VLOOKUP($B84,'E-1 Off-Site Hedge Baseline'!$B$1:$L$257,3,FALSE))))</f>
        <v/>
      </c>
      <c r="D84" s="295" t="str">
        <f>IF(B84="","",IF(ISNA(VLOOKUP($B84,'E-1 Off-Site Hedge Baseline'!$B$1:$L$258,4,FALSE)),"",(VLOOKUP($B84,'E-1 Off-Site Hedge Baseline'!$B$1:$L$258,4,FALSE))))</f>
        <v/>
      </c>
      <c r="E84" s="295" t="str">
        <f>IF(B84="","",IF(ISNA(VLOOKUP($B84,'E-1 Off-Site Hedge Baseline'!$B$1:$L$257,5,FALSE)),"",(VLOOKUP($B84,'E-1 Off-Site Hedge Baseline'!$B$1:$L$257,5,FALSE))))</f>
        <v/>
      </c>
      <c r="F84" s="295" t="str">
        <f>IF(B84="","",IF(ISNA(VLOOKUP($B84,'E-1 Off-Site Hedge Baseline'!$B$1:$L$257,6,FALSE)),"",(VLOOKUP($B84,'E-1 Off-Site Hedge Baseline'!$B$1:$L$257,6,FALSE))))</f>
        <v/>
      </c>
      <c r="G84" s="295" t="str">
        <f>IF(B84="","",IF(ISNA(VLOOKUP($B84,'E-1 Off-Site Hedge Baseline'!$B$1:$L$257,7,FALSE)),"",(VLOOKUP($B84,'E-1 Off-Site Hedge Baseline'!$B$1:$L$257,7,FALSE))))</f>
        <v/>
      </c>
      <c r="H84" s="295" t="str">
        <f>IF(B84="","",IF(ISNA(VLOOKUP($B84,'E-1 Off-Site Hedge Baseline'!$B$1:$L$257,8,FALSE)),"",(VLOOKUP($B84,'E-1 Off-Site Hedge Baseline'!$B$1:$L$257,8,FALSE))))</f>
        <v/>
      </c>
      <c r="I84" s="295" t="str">
        <f>IF(B84="","",IF(ISNA(VLOOKUP($B84,'E-1 Off-Site Hedge Baseline'!$B$1:$L$257,10,FALSE)),"",(VLOOKUP($B84,'E-1 Off-Site Hedge Baseline'!$B$1:$L$257,10,FALSE))))</f>
        <v/>
      </c>
      <c r="J84" s="295" t="str">
        <f>IF(B84="","",IF(ISNA(VLOOKUP($B84,'E-1 Off-Site Hedge Baseline'!$B$1:$L$257,11,FALSE)),"",(VLOOKUP($B84,'E-1 Off-Site Hedge Baseline'!$B$1:$L$257,11,FALSE))))</f>
        <v/>
      </c>
      <c r="K84" s="295" t="str">
        <f>IF(B84="","",IF(ISNA(VLOOKUP($B84,'E-1 Off-Site Hedge Baseline'!$B$1:$X$257,16,FALSE)),"",(VLOOKUP($B84,'E-1 Off-Site Hedge Baseline'!$B$1:$X$257,16,FALSE))))</f>
        <v/>
      </c>
      <c r="L84" s="283" t="str">
        <f>IF(B84="","",IF(ISNA(VLOOKUP($B84,'E-1 Off-Site Hedge Baseline'!$B$1:$X$257,12,FALSE)),"",(VLOOKUP($B84,'E-1 Off-Site Hedge Baseline'!$B$1:$X$257,12,FALSE))))</f>
        <v/>
      </c>
      <c r="M84" s="244"/>
      <c r="N84" s="275" t="str">
        <f>IFERROR(IF(B84="","",INDEX('G-6 Hedgerow Data'!$AN$3:$AZ$15,MATCH(C84,'G-6 Hedgerow Data'!$AM$3:$AM$15,0),MATCH(M84,'G-6 Hedgerow Data'!$AN$2:$AZ$2,0))),"")</f>
        <v/>
      </c>
      <c r="O84" s="276" t="str">
        <f t="shared" si="9"/>
        <v/>
      </c>
      <c r="P84" s="281" t="str">
        <f>IF(B84="","",VLOOKUP(B84,'E-1 Off-Site Hedge Baseline'!$B$10:W329,19,FALSE))</f>
        <v/>
      </c>
      <c r="Q84" s="275" t="str">
        <f>IF(M84="","",VLOOKUP(M84,'G-6 Hedgerow Data'!$B$2:$AG$15,2,FALSE))</f>
        <v/>
      </c>
      <c r="R84" s="276" t="str">
        <f>IF(M84="","",VLOOKUP(M84,'G-6 Hedgerow Data'!$B$2:$AG$15,3,FALSE))</f>
        <v/>
      </c>
      <c r="S84" s="101"/>
      <c r="T84" s="276" t="str">
        <f>IFERROR(IF(S84="","",IF(AND(M84="Non-native and ornamental hedgerow",S84&lt;&gt;"Poor"),"Not possible ▲",(IF(AND(Q84="V.Low",OR(S84="Good",S84="Moderate")),"Error ▲",VLOOKUP(S84,'G-1 All Habitats'!$Z$2:$AA$9,2,FALSE))))),"")</f>
        <v/>
      </c>
      <c r="U84" s="101"/>
      <c r="V84" s="283" t="str">
        <f>IF(U84="","",IF(VLOOKUP(U84,'G-3 Multipliers'!$L$3:$N$6,2,FALSE)=0,"Spatial Data Missing ⚠",VLOOKUP(U84,'G-3 Multipliers'!$L$3:$N$6,2,FALSE)))</f>
        <v/>
      </c>
      <c r="W84" s="281" t="str">
        <f>IF(U84="","",IF(VLOOKUP(U84,'G-3 Multipliers'!$L$3:$N$6,3,FALSE)=0,"Spatial Data Missing ⚠",VLOOKUP(U84,'G-3 Multipliers'!$L$3:$N$6,3,FALSE)))</f>
        <v/>
      </c>
      <c r="X84" s="275" t="str">
        <f>IFERROR(IF(OR(LEFT(O84,5)="Error",LEFT(N84,5)="Error",T84="Error"),"Check Data ⚠",IF(F84&lt;R84,INDEX('G-6 Hedgerow Data'!$S$3:$AE$14,MATCH(C84,'G-6 Hedgerow Data'!$B$3:$B$14,0),MATCH(M84,'G-6 Hedgerow Data'!$S$2:$AE$2,0)),INDEX('G-6 Hedgerow Data'!$K$3:$Q$14,MATCH(M84,'G-6 Hedgerow Data'!$B$3:$B$14,0),MATCH(O84,'G-6 Hedgerow Data'!$K$2:$Q$2,0)))),"")</f>
        <v/>
      </c>
      <c r="Y84" s="133"/>
      <c r="Z84" s="133"/>
      <c r="AA84" s="283" t="str">
        <f t="shared" si="10"/>
        <v/>
      </c>
      <c r="AB84" s="296" t="str">
        <f t="shared" si="11"/>
        <v/>
      </c>
      <c r="AC84" s="297" t="str">
        <f t="shared" si="8"/>
        <v/>
      </c>
      <c r="AD84" s="311" t="str">
        <f>IF(M84="","",VLOOKUP(M84,'G-6 Hedgerow Data'!$B$3:$AG$15,31,FALSE))</f>
        <v/>
      </c>
      <c r="AE84" s="295" t="str">
        <f t="shared" si="12"/>
        <v/>
      </c>
      <c r="AF84" s="283" t="str">
        <f t="shared" si="13"/>
        <v/>
      </c>
      <c r="AG84" s="299" t="str">
        <f>IFERROR(IF(O84="","",VLOOKUP(AD84,'G-3 Multipliers'!$P$3:$Q$6,2,FALSE)),"")</f>
        <v/>
      </c>
      <c r="AH84" s="713" t="str">
        <f>IF(B84="","",IF(ISNA(VLOOKUP($B84,'E-1 Off-Site Hedge Baseline'!$B$1:$Z$257,14,FALSE)),"",(VLOOKUP($B84,'E-1 Off-Site Hedge Baseline'!$B$1:$Z$257,14,FALSE))))</f>
        <v/>
      </c>
      <c r="AI84" s="276" t="str">
        <f>IF(AH84="","",IF(VLOOKUP(AH84,'G-3 Multipliers'!$S$3:$T$10,2,FALSE)=0,"Spatial Data Missing ⚠",VLOOKUP(AH84,'G-3 Multipliers'!$S$3:$T$10,2,FALSE)))</f>
        <v/>
      </c>
      <c r="AJ84" s="317" t="str">
        <f t="shared" si="14"/>
        <v/>
      </c>
      <c r="AK84" s="289" t="str">
        <f t="shared" si="15"/>
        <v/>
      </c>
      <c r="AL84" s="101"/>
      <c r="AM84" s="115"/>
      <c r="AN84" s="104"/>
      <c r="AO84" s="104"/>
      <c r="AQ84" s="30" t="str">
        <f>IFERROR(INDEX('G-6 Hedgerow Data'!$BJ$3:$BJ$15,MATCH(M84,'G-6 Hedgerow Data'!$B$3:$B$15,0)),"")</f>
        <v/>
      </c>
    </row>
    <row r="85" spans="2:43" ht="14">
      <c r="B85" s="305" t="str">
        <f>'E-1 Off-Site Hedge Baseline'!AN83</f>
        <v/>
      </c>
      <c r="C85" s="295" t="str">
        <f>IF(B85="","",IF(ISNA(VLOOKUP($B85,'E-1 Off-Site Hedge Baseline'!$B$1:$L$257,3,FALSE)),"",(VLOOKUP($B85,'E-1 Off-Site Hedge Baseline'!$B$1:$L$257,3,FALSE))))</f>
        <v/>
      </c>
      <c r="D85" s="295" t="str">
        <f>IF(B85="","",IF(ISNA(VLOOKUP($B85,'E-1 Off-Site Hedge Baseline'!$B$1:$L$258,4,FALSE)),"",(VLOOKUP($B85,'E-1 Off-Site Hedge Baseline'!$B$1:$L$258,4,FALSE))))</f>
        <v/>
      </c>
      <c r="E85" s="295" t="str">
        <f>IF(B85="","",IF(ISNA(VLOOKUP($B85,'E-1 Off-Site Hedge Baseline'!$B$1:$L$257,5,FALSE)),"",(VLOOKUP($B85,'E-1 Off-Site Hedge Baseline'!$B$1:$L$257,5,FALSE))))</f>
        <v/>
      </c>
      <c r="F85" s="295" t="str">
        <f>IF(B85="","",IF(ISNA(VLOOKUP($B85,'E-1 Off-Site Hedge Baseline'!$B$1:$L$257,6,FALSE)),"",(VLOOKUP($B85,'E-1 Off-Site Hedge Baseline'!$B$1:$L$257,6,FALSE))))</f>
        <v/>
      </c>
      <c r="G85" s="295" t="str">
        <f>IF(B85="","",IF(ISNA(VLOOKUP($B85,'E-1 Off-Site Hedge Baseline'!$B$1:$L$257,7,FALSE)),"",(VLOOKUP($B85,'E-1 Off-Site Hedge Baseline'!$B$1:$L$257,7,FALSE))))</f>
        <v/>
      </c>
      <c r="H85" s="295" t="str">
        <f>IF(B85="","",IF(ISNA(VLOOKUP($B85,'E-1 Off-Site Hedge Baseline'!$B$1:$L$257,8,FALSE)),"",(VLOOKUP($B85,'E-1 Off-Site Hedge Baseline'!$B$1:$L$257,8,FALSE))))</f>
        <v/>
      </c>
      <c r="I85" s="295" t="str">
        <f>IF(B85="","",IF(ISNA(VLOOKUP($B85,'E-1 Off-Site Hedge Baseline'!$B$1:$L$257,10,FALSE)),"",(VLOOKUP($B85,'E-1 Off-Site Hedge Baseline'!$B$1:$L$257,10,FALSE))))</f>
        <v/>
      </c>
      <c r="J85" s="295" t="str">
        <f>IF(B85="","",IF(ISNA(VLOOKUP($B85,'E-1 Off-Site Hedge Baseline'!$B$1:$L$257,11,FALSE)),"",(VLOOKUP($B85,'E-1 Off-Site Hedge Baseline'!$B$1:$L$257,11,FALSE))))</f>
        <v/>
      </c>
      <c r="K85" s="295" t="str">
        <f>IF(B85="","",IF(ISNA(VLOOKUP($B85,'E-1 Off-Site Hedge Baseline'!$B$1:$X$257,16,FALSE)),"",(VLOOKUP($B85,'E-1 Off-Site Hedge Baseline'!$B$1:$X$257,16,FALSE))))</f>
        <v/>
      </c>
      <c r="L85" s="283" t="str">
        <f>IF(B85="","",IF(ISNA(VLOOKUP($B85,'E-1 Off-Site Hedge Baseline'!$B$1:$X$257,12,FALSE)),"",(VLOOKUP($B85,'E-1 Off-Site Hedge Baseline'!$B$1:$X$257,12,FALSE))))</f>
        <v/>
      </c>
      <c r="M85" s="244"/>
      <c r="N85" s="275" t="str">
        <f>IFERROR(IF(B85="","",INDEX('G-6 Hedgerow Data'!$AN$3:$AZ$15,MATCH(C85,'G-6 Hedgerow Data'!$AM$3:$AM$15,0),MATCH(M85,'G-6 Hedgerow Data'!$AN$2:$AZ$2,0))),"")</f>
        <v/>
      </c>
      <c r="O85" s="276" t="str">
        <f t="shared" si="9"/>
        <v/>
      </c>
      <c r="P85" s="281" t="str">
        <f>IF(B85="","",VLOOKUP(B85,'E-1 Off-Site Hedge Baseline'!$B$10:W330,19,FALSE))</f>
        <v/>
      </c>
      <c r="Q85" s="275" t="str">
        <f>IF(M85="","",VLOOKUP(M85,'G-6 Hedgerow Data'!$B$2:$AG$15,2,FALSE))</f>
        <v/>
      </c>
      <c r="R85" s="276" t="str">
        <f>IF(M85="","",VLOOKUP(M85,'G-6 Hedgerow Data'!$B$2:$AG$15,3,FALSE))</f>
        <v/>
      </c>
      <c r="S85" s="101"/>
      <c r="T85" s="276" t="str">
        <f>IFERROR(IF(S85="","",IF(AND(M85="Non-native and ornamental hedgerow",S85&lt;&gt;"Poor"),"Not possible ▲",(IF(AND(Q85="V.Low",OR(S85="Good",S85="Moderate")),"Error ▲",VLOOKUP(S85,'G-1 All Habitats'!$Z$2:$AA$9,2,FALSE))))),"")</f>
        <v/>
      </c>
      <c r="U85" s="101"/>
      <c r="V85" s="283" t="str">
        <f>IF(U85="","",IF(VLOOKUP(U85,'G-3 Multipliers'!$L$3:$N$6,2,FALSE)=0,"Spatial Data Missing ⚠",VLOOKUP(U85,'G-3 Multipliers'!$L$3:$N$6,2,FALSE)))</f>
        <v/>
      </c>
      <c r="W85" s="281" t="str">
        <f>IF(U85="","",IF(VLOOKUP(U85,'G-3 Multipliers'!$L$3:$N$6,3,FALSE)=0,"Spatial Data Missing ⚠",VLOOKUP(U85,'G-3 Multipliers'!$L$3:$N$6,3,FALSE)))</f>
        <v/>
      </c>
      <c r="X85" s="275" t="str">
        <f>IFERROR(IF(OR(LEFT(O85,5)="Error",LEFT(N85,5)="Error",T85="Error"),"Check Data ⚠",IF(F85&lt;R85,INDEX('G-6 Hedgerow Data'!$S$3:$AE$14,MATCH(C85,'G-6 Hedgerow Data'!$B$3:$B$14,0),MATCH(M85,'G-6 Hedgerow Data'!$S$2:$AE$2,0)),INDEX('G-6 Hedgerow Data'!$K$3:$Q$14,MATCH(M85,'G-6 Hedgerow Data'!$B$3:$B$14,0),MATCH(O85,'G-6 Hedgerow Data'!$K$2:$Q$2,0)))),"")</f>
        <v/>
      </c>
      <c r="Y85" s="133"/>
      <c r="Z85" s="133"/>
      <c r="AA85" s="283" t="str">
        <f t="shared" si="10"/>
        <v/>
      </c>
      <c r="AB85" s="296" t="str">
        <f t="shared" si="11"/>
        <v/>
      </c>
      <c r="AC85" s="297" t="str">
        <f t="shared" si="8"/>
        <v/>
      </c>
      <c r="AD85" s="311" t="str">
        <f>IF(M85="","",VLOOKUP(M85,'G-6 Hedgerow Data'!$B$3:$AG$15,31,FALSE))</f>
        <v/>
      </c>
      <c r="AE85" s="295" t="str">
        <f t="shared" si="12"/>
        <v/>
      </c>
      <c r="AF85" s="283" t="str">
        <f t="shared" si="13"/>
        <v/>
      </c>
      <c r="AG85" s="299" t="str">
        <f>IFERROR(IF(O85="","",VLOOKUP(AD85,'G-3 Multipliers'!$P$3:$Q$6,2,FALSE)),"")</f>
        <v/>
      </c>
      <c r="AH85" s="713" t="str">
        <f>IF(B85="","",IF(ISNA(VLOOKUP($B85,'E-1 Off-Site Hedge Baseline'!$B$1:$Z$257,14,FALSE)),"",(VLOOKUP($B85,'E-1 Off-Site Hedge Baseline'!$B$1:$Z$257,14,FALSE))))</f>
        <v/>
      </c>
      <c r="AI85" s="276" t="str">
        <f>IF(AH85="","",IF(VLOOKUP(AH85,'G-3 Multipliers'!$S$3:$T$10,2,FALSE)=0,"Spatial Data Missing ⚠",VLOOKUP(AH85,'G-3 Multipliers'!$S$3:$T$10,2,FALSE)))</f>
        <v/>
      </c>
      <c r="AJ85" s="317" t="str">
        <f t="shared" si="14"/>
        <v/>
      </c>
      <c r="AK85" s="289" t="str">
        <f t="shared" si="15"/>
        <v/>
      </c>
      <c r="AL85" s="101"/>
      <c r="AM85" s="115"/>
      <c r="AN85" s="104"/>
      <c r="AO85" s="104"/>
      <c r="AQ85" s="30" t="str">
        <f>IFERROR(INDEX('G-6 Hedgerow Data'!$BJ$3:$BJ$15,MATCH(M85,'G-6 Hedgerow Data'!$B$3:$B$15,0)),"")</f>
        <v/>
      </c>
    </row>
    <row r="86" spans="2:43" ht="14">
      <c r="B86" s="305" t="str">
        <f>'E-1 Off-Site Hedge Baseline'!AN84</f>
        <v/>
      </c>
      <c r="C86" s="295" t="str">
        <f>IF(B86="","",IF(ISNA(VLOOKUP($B86,'E-1 Off-Site Hedge Baseline'!$B$1:$L$257,3,FALSE)),"",(VLOOKUP($B86,'E-1 Off-Site Hedge Baseline'!$B$1:$L$257,3,FALSE))))</f>
        <v/>
      </c>
      <c r="D86" s="295" t="str">
        <f>IF(B86="","",IF(ISNA(VLOOKUP($B86,'E-1 Off-Site Hedge Baseline'!$B$1:$L$258,4,FALSE)),"",(VLOOKUP($B86,'E-1 Off-Site Hedge Baseline'!$B$1:$L$258,4,FALSE))))</f>
        <v/>
      </c>
      <c r="E86" s="295" t="str">
        <f>IF(B86="","",IF(ISNA(VLOOKUP($B86,'E-1 Off-Site Hedge Baseline'!$B$1:$L$257,5,FALSE)),"",(VLOOKUP($B86,'E-1 Off-Site Hedge Baseline'!$B$1:$L$257,5,FALSE))))</f>
        <v/>
      </c>
      <c r="F86" s="295" t="str">
        <f>IF(B86="","",IF(ISNA(VLOOKUP($B86,'E-1 Off-Site Hedge Baseline'!$B$1:$L$257,6,FALSE)),"",(VLOOKUP($B86,'E-1 Off-Site Hedge Baseline'!$B$1:$L$257,6,FALSE))))</f>
        <v/>
      </c>
      <c r="G86" s="295" t="str">
        <f>IF(B86="","",IF(ISNA(VLOOKUP($B86,'E-1 Off-Site Hedge Baseline'!$B$1:$L$257,7,FALSE)),"",(VLOOKUP($B86,'E-1 Off-Site Hedge Baseline'!$B$1:$L$257,7,FALSE))))</f>
        <v/>
      </c>
      <c r="H86" s="295" t="str">
        <f>IF(B86="","",IF(ISNA(VLOOKUP($B86,'E-1 Off-Site Hedge Baseline'!$B$1:$L$257,8,FALSE)),"",(VLOOKUP($B86,'E-1 Off-Site Hedge Baseline'!$B$1:$L$257,8,FALSE))))</f>
        <v/>
      </c>
      <c r="I86" s="295" t="str">
        <f>IF(B86="","",IF(ISNA(VLOOKUP($B86,'E-1 Off-Site Hedge Baseline'!$B$1:$L$257,10,FALSE)),"",(VLOOKUP($B86,'E-1 Off-Site Hedge Baseline'!$B$1:$L$257,10,FALSE))))</f>
        <v/>
      </c>
      <c r="J86" s="295" t="str">
        <f>IF(B86="","",IF(ISNA(VLOOKUP($B86,'E-1 Off-Site Hedge Baseline'!$B$1:$L$257,11,FALSE)),"",(VLOOKUP($B86,'E-1 Off-Site Hedge Baseline'!$B$1:$L$257,11,FALSE))))</f>
        <v/>
      </c>
      <c r="K86" s="295" t="str">
        <f>IF(B86="","",IF(ISNA(VLOOKUP($B86,'E-1 Off-Site Hedge Baseline'!$B$1:$X$257,16,FALSE)),"",(VLOOKUP($B86,'E-1 Off-Site Hedge Baseline'!$B$1:$X$257,16,FALSE))))</f>
        <v/>
      </c>
      <c r="L86" s="283" t="str">
        <f>IF(B86="","",IF(ISNA(VLOOKUP($B86,'E-1 Off-Site Hedge Baseline'!$B$1:$X$257,12,FALSE)),"",(VLOOKUP($B86,'E-1 Off-Site Hedge Baseline'!$B$1:$X$257,12,FALSE))))</f>
        <v/>
      </c>
      <c r="M86" s="244"/>
      <c r="N86" s="275" t="str">
        <f>IFERROR(IF(B86="","",INDEX('G-6 Hedgerow Data'!$AN$3:$AZ$15,MATCH(C86,'G-6 Hedgerow Data'!$AM$3:$AM$15,0),MATCH(M86,'G-6 Hedgerow Data'!$AN$2:$AZ$2,0))),"")</f>
        <v/>
      </c>
      <c r="O86" s="276" t="str">
        <f t="shared" si="9"/>
        <v/>
      </c>
      <c r="P86" s="281" t="str">
        <f>IF(B86="","",VLOOKUP(B86,'E-1 Off-Site Hedge Baseline'!$B$10:W331,19,FALSE))</f>
        <v/>
      </c>
      <c r="Q86" s="275" t="str">
        <f>IF(M86="","",VLOOKUP(M86,'G-6 Hedgerow Data'!$B$2:$AG$15,2,FALSE))</f>
        <v/>
      </c>
      <c r="R86" s="276" t="str">
        <f>IF(M86="","",VLOOKUP(M86,'G-6 Hedgerow Data'!$B$2:$AG$15,3,FALSE))</f>
        <v/>
      </c>
      <c r="S86" s="101"/>
      <c r="T86" s="276" t="str">
        <f>IFERROR(IF(S86="","",IF(AND(M86="Non-native and ornamental hedgerow",S86&lt;&gt;"Poor"),"Not possible ▲",(IF(AND(Q86="V.Low",OR(S86="Good",S86="Moderate")),"Error ▲",VLOOKUP(S86,'G-1 All Habitats'!$Z$2:$AA$9,2,FALSE))))),"")</f>
        <v/>
      </c>
      <c r="U86" s="101"/>
      <c r="V86" s="283" t="str">
        <f>IF(U86="","",IF(VLOOKUP(U86,'G-3 Multipliers'!$L$3:$N$6,2,FALSE)=0,"Spatial Data Missing ⚠",VLOOKUP(U86,'G-3 Multipliers'!$L$3:$N$6,2,FALSE)))</f>
        <v/>
      </c>
      <c r="W86" s="281" t="str">
        <f>IF(U86="","",IF(VLOOKUP(U86,'G-3 Multipliers'!$L$3:$N$6,3,FALSE)=0,"Spatial Data Missing ⚠",VLOOKUP(U86,'G-3 Multipliers'!$L$3:$N$6,3,FALSE)))</f>
        <v/>
      </c>
      <c r="X86" s="275" t="str">
        <f>IFERROR(IF(OR(LEFT(O86,5)="Error",LEFT(N86,5)="Error",T86="Error"),"Check Data ⚠",IF(F86&lt;R86,INDEX('G-6 Hedgerow Data'!$S$3:$AE$14,MATCH(C86,'G-6 Hedgerow Data'!$B$3:$B$14,0),MATCH(M86,'G-6 Hedgerow Data'!$S$2:$AE$2,0)),INDEX('G-6 Hedgerow Data'!$K$3:$Q$14,MATCH(M86,'G-6 Hedgerow Data'!$B$3:$B$14,0),MATCH(O86,'G-6 Hedgerow Data'!$K$2:$Q$2,0)))),"")</f>
        <v/>
      </c>
      <c r="Y86" s="133"/>
      <c r="Z86" s="133"/>
      <c r="AA86" s="283" t="str">
        <f t="shared" si="10"/>
        <v/>
      </c>
      <c r="AB86" s="296" t="str">
        <f t="shared" si="11"/>
        <v/>
      </c>
      <c r="AC86" s="297" t="str">
        <f t="shared" si="8"/>
        <v/>
      </c>
      <c r="AD86" s="311" t="str">
        <f>IF(M86="","",VLOOKUP(M86,'G-6 Hedgerow Data'!$B$3:$AG$15,31,FALSE))</f>
        <v/>
      </c>
      <c r="AE86" s="295" t="str">
        <f t="shared" si="12"/>
        <v/>
      </c>
      <c r="AF86" s="283" t="str">
        <f t="shared" si="13"/>
        <v/>
      </c>
      <c r="AG86" s="299" t="str">
        <f>IFERROR(IF(O86="","",VLOOKUP(AD86,'G-3 Multipliers'!$P$3:$Q$6,2,FALSE)),"")</f>
        <v/>
      </c>
      <c r="AH86" s="713" t="str">
        <f>IF(B86="","",IF(ISNA(VLOOKUP($B86,'E-1 Off-Site Hedge Baseline'!$B$1:$Z$257,14,FALSE)),"",(VLOOKUP($B86,'E-1 Off-Site Hedge Baseline'!$B$1:$Z$257,14,FALSE))))</f>
        <v/>
      </c>
      <c r="AI86" s="276" t="str">
        <f>IF(AH86="","",IF(VLOOKUP(AH86,'G-3 Multipliers'!$S$3:$T$10,2,FALSE)=0,"Spatial Data Missing ⚠",VLOOKUP(AH86,'G-3 Multipliers'!$S$3:$T$10,2,FALSE)))</f>
        <v/>
      </c>
      <c r="AJ86" s="317" t="str">
        <f t="shared" si="14"/>
        <v/>
      </c>
      <c r="AK86" s="289" t="str">
        <f t="shared" si="15"/>
        <v/>
      </c>
      <c r="AL86" s="101"/>
      <c r="AM86" s="115"/>
      <c r="AN86" s="104"/>
      <c r="AO86" s="104"/>
      <c r="AQ86" s="30" t="str">
        <f>IFERROR(INDEX('G-6 Hedgerow Data'!$BJ$3:$BJ$15,MATCH(M86,'G-6 Hedgerow Data'!$B$3:$B$15,0)),"")</f>
        <v/>
      </c>
    </row>
    <row r="87" spans="2:43" ht="14">
      <c r="B87" s="305" t="str">
        <f>'E-1 Off-Site Hedge Baseline'!AN85</f>
        <v/>
      </c>
      <c r="C87" s="295" t="str">
        <f>IF(B87="","",IF(ISNA(VLOOKUP($B87,'E-1 Off-Site Hedge Baseline'!$B$1:$L$257,3,FALSE)),"",(VLOOKUP($B87,'E-1 Off-Site Hedge Baseline'!$B$1:$L$257,3,FALSE))))</f>
        <v/>
      </c>
      <c r="D87" s="295" t="str">
        <f>IF(B87="","",IF(ISNA(VLOOKUP($B87,'E-1 Off-Site Hedge Baseline'!$B$1:$L$258,4,FALSE)),"",(VLOOKUP($B87,'E-1 Off-Site Hedge Baseline'!$B$1:$L$258,4,FALSE))))</f>
        <v/>
      </c>
      <c r="E87" s="295" t="str">
        <f>IF(B87="","",IF(ISNA(VLOOKUP($B87,'E-1 Off-Site Hedge Baseline'!$B$1:$L$257,5,FALSE)),"",(VLOOKUP($B87,'E-1 Off-Site Hedge Baseline'!$B$1:$L$257,5,FALSE))))</f>
        <v/>
      </c>
      <c r="F87" s="295" t="str">
        <f>IF(B87="","",IF(ISNA(VLOOKUP($B87,'E-1 Off-Site Hedge Baseline'!$B$1:$L$257,6,FALSE)),"",(VLOOKUP($B87,'E-1 Off-Site Hedge Baseline'!$B$1:$L$257,6,FALSE))))</f>
        <v/>
      </c>
      <c r="G87" s="295" t="str">
        <f>IF(B87="","",IF(ISNA(VLOOKUP($B87,'E-1 Off-Site Hedge Baseline'!$B$1:$L$257,7,FALSE)),"",(VLOOKUP($B87,'E-1 Off-Site Hedge Baseline'!$B$1:$L$257,7,FALSE))))</f>
        <v/>
      </c>
      <c r="H87" s="295" t="str">
        <f>IF(B87="","",IF(ISNA(VLOOKUP($B87,'E-1 Off-Site Hedge Baseline'!$B$1:$L$257,8,FALSE)),"",(VLOOKUP($B87,'E-1 Off-Site Hedge Baseline'!$B$1:$L$257,8,FALSE))))</f>
        <v/>
      </c>
      <c r="I87" s="295" t="str">
        <f>IF(B87="","",IF(ISNA(VLOOKUP($B87,'E-1 Off-Site Hedge Baseline'!$B$1:$L$257,10,FALSE)),"",(VLOOKUP($B87,'E-1 Off-Site Hedge Baseline'!$B$1:$L$257,10,FALSE))))</f>
        <v/>
      </c>
      <c r="J87" s="295" t="str">
        <f>IF(B87="","",IF(ISNA(VLOOKUP($B87,'E-1 Off-Site Hedge Baseline'!$B$1:$L$257,11,FALSE)),"",(VLOOKUP($B87,'E-1 Off-Site Hedge Baseline'!$B$1:$L$257,11,FALSE))))</f>
        <v/>
      </c>
      <c r="K87" s="295" t="str">
        <f>IF(B87="","",IF(ISNA(VLOOKUP($B87,'E-1 Off-Site Hedge Baseline'!$B$1:$X$257,16,FALSE)),"",(VLOOKUP($B87,'E-1 Off-Site Hedge Baseline'!$B$1:$X$257,16,FALSE))))</f>
        <v/>
      </c>
      <c r="L87" s="283" t="str">
        <f>IF(B87="","",IF(ISNA(VLOOKUP($B87,'E-1 Off-Site Hedge Baseline'!$B$1:$X$257,12,FALSE)),"",(VLOOKUP($B87,'E-1 Off-Site Hedge Baseline'!$B$1:$X$257,12,FALSE))))</f>
        <v/>
      </c>
      <c r="M87" s="244"/>
      <c r="N87" s="275" t="str">
        <f>IFERROR(IF(B87="","",INDEX('G-6 Hedgerow Data'!$AN$3:$AZ$15,MATCH(C87,'G-6 Hedgerow Data'!$AM$3:$AM$15,0),MATCH(M87,'G-6 Hedgerow Data'!$AN$2:$AZ$2,0))),"")</f>
        <v/>
      </c>
      <c r="O87" s="276" t="str">
        <f t="shared" si="9"/>
        <v/>
      </c>
      <c r="P87" s="281" t="str">
        <f>IF(B87="","",VLOOKUP(B87,'E-1 Off-Site Hedge Baseline'!$B$10:W332,19,FALSE))</f>
        <v/>
      </c>
      <c r="Q87" s="275" t="str">
        <f>IF(M87="","",VLOOKUP(M87,'G-6 Hedgerow Data'!$B$2:$AG$15,2,FALSE))</f>
        <v/>
      </c>
      <c r="R87" s="276" t="str">
        <f>IF(M87="","",VLOOKUP(M87,'G-6 Hedgerow Data'!$B$2:$AG$15,3,FALSE))</f>
        <v/>
      </c>
      <c r="S87" s="101"/>
      <c r="T87" s="276" t="str">
        <f>IFERROR(IF(S87="","",IF(AND(M87="Non-native and ornamental hedgerow",S87&lt;&gt;"Poor"),"Not possible ▲",(IF(AND(Q87="V.Low",OR(S87="Good",S87="Moderate")),"Error ▲",VLOOKUP(S87,'G-1 All Habitats'!$Z$2:$AA$9,2,FALSE))))),"")</f>
        <v/>
      </c>
      <c r="U87" s="101"/>
      <c r="V87" s="283" t="str">
        <f>IF(U87="","",IF(VLOOKUP(U87,'G-3 Multipliers'!$L$3:$N$6,2,FALSE)=0,"Spatial Data Missing ⚠",VLOOKUP(U87,'G-3 Multipliers'!$L$3:$N$6,2,FALSE)))</f>
        <v/>
      </c>
      <c r="W87" s="281" t="str">
        <f>IF(U87="","",IF(VLOOKUP(U87,'G-3 Multipliers'!$L$3:$N$6,3,FALSE)=0,"Spatial Data Missing ⚠",VLOOKUP(U87,'G-3 Multipliers'!$L$3:$N$6,3,FALSE)))</f>
        <v/>
      </c>
      <c r="X87" s="275" t="str">
        <f>IFERROR(IF(OR(LEFT(O87,5)="Error",LEFT(N87,5)="Error",T87="Error"),"Check Data ⚠",IF(F87&lt;R87,INDEX('G-6 Hedgerow Data'!$S$3:$AE$14,MATCH(C87,'G-6 Hedgerow Data'!$B$3:$B$14,0),MATCH(M87,'G-6 Hedgerow Data'!$S$2:$AE$2,0)),INDEX('G-6 Hedgerow Data'!$K$3:$Q$14,MATCH(M87,'G-6 Hedgerow Data'!$B$3:$B$14,0),MATCH(O87,'G-6 Hedgerow Data'!$K$2:$Q$2,0)))),"")</f>
        <v/>
      </c>
      <c r="Y87" s="133"/>
      <c r="Z87" s="133"/>
      <c r="AA87" s="283" t="str">
        <f t="shared" si="10"/>
        <v/>
      </c>
      <c r="AB87" s="296" t="str">
        <f t="shared" si="11"/>
        <v/>
      </c>
      <c r="AC87" s="297" t="str">
        <f t="shared" si="8"/>
        <v/>
      </c>
      <c r="AD87" s="311" t="str">
        <f>IF(M87="","",VLOOKUP(M87,'G-6 Hedgerow Data'!$B$3:$AG$15,31,FALSE))</f>
        <v/>
      </c>
      <c r="AE87" s="295" t="str">
        <f t="shared" si="12"/>
        <v/>
      </c>
      <c r="AF87" s="283" t="str">
        <f t="shared" si="13"/>
        <v/>
      </c>
      <c r="AG87" s="299" t="str">
        <f>IFERROR(IF(O87="","",VLOOKUP(AD87,'G-3 Multipliers'!$P$3:$Q$6,2,FALSE)),"")</f>
        <v/>
      </c>
      <c r="AH87" s="713" t="str">
        <f>IF(B87="","",IF(ISNA(VLOOKUP($B87,'E-1 Off-Site Hedge Baseline'!$B$1:$Z$257,14,FALSE)),"",(VLOOKUP($B87,'E-1 Off-Site Hedge Baseline'!$B$1:$Z$257,14,FALSE))))</f>
        <v/>
      </c>
      <c r="AI87" s="276" t="str">
        <f>IF(AH87="","",IF(VLOOKUP(AH87,'G-3 Multipliers'!$S$3:$T$10,2,FALSE)=0,"Spatial Data Missing ⚠",VLOOKUP(AH87,'G-3 Multipliers'!$S$3:$T$10,2,FALSE)))</f>
        <v/>
      </c>
      <c r="AJ87" s="317" t="str">
        <f t="shared" si="14"/>
        <v/>
      </c>
      <c r="AK87" s="289" t="str">
        <f t="shared" si="15"/>
        <v/>
      </c>
      <c r="AL87" s="101"/>
      <c r="AM87" s="115"/>
      <c r="AN87" s="104"/>
      <c r="AO87" s="104"/>
      <c r="AQ87" s="30" t="str">
        <f>IFERROR(INDEX('G-6 Hedgerow Data'!$BJ$3:$BJ$15,MATCH(M87,'G-6 Hedgerow Data'!$B$3:$B$15,0)),"")</f>
        <v/>
      </c>
    </row>
    <row r="88" spans="2:43" ht="14">
      <c r="B88" s="305" t="str">
        <f>'E-1 Off-Site Hedge Baseline'!AN86</f>
        <v/>
      </c>
      <c r="C88" s="295" t="str">
        <f>IF(B88="","",IF(ISNA(VLOOKUP($B88,'E-1 Off-Site Hedge Baseline'!$B$1:$L$257,3,FALSE)),"",(VLOOKUP($B88,'E-1 Off-Site Hedge Baseline'!$B$1:$L$257,3,FALSE))))</f>
        <v/>
      </c>
      <c r="D88" s="295" t="str">
        <f>IF(B88="","",IF(ISNA(VLOOKUP($B88,'E-1 Off-Site Hedge Baseline'!$B$1:$L$258,4,FALSE)),"",(VLOOKUP($B88,'E-1 Off-Site Hedge Baseline'!$B$1:$L$258,4,FALSE))))</f>
        <v/>
      </c>
      <c r="E88" s="295" t="str">
        <f>IF(B88="","",IF(ISNA(VLOOKUP($B88,'E-1 Off-Site Hedge Baseline'!$B$1:$L$257,5,FALSE)),"",(VLOOKUP($B88,'E-1 Off-Site Hedge Baseline'!$B$1:$L$257,5,FALSE))))</f>
        <v/>
      </c>
      <c r="F88" s="295" t="str">
        <f>IF(B88="","",IF(ISNA(VLOOKUP($B88,'E-1 Off-Site Hedge Baseline'!$B$1:$L$257,6,FALSE)),"",(VLOOKUP($B88,'E-1 Off-Site Hedge Baseline'!$B$1:$L$257,6,FALSE))))</f>
        <v/>
      </c>
      <c r="G88" s="295" t="str">
        <f>IF(B88="","",IF(ISNA(VLOOKUP($B88,'E-1 Off-Site Hedge Baseline'!$B$1:$L$257,7,FALSE)),"",(VLOOKUP($B88,'E-1 Off-Site Hedge Baseline'!$B$1:$L$257,7,FALSE))))</f>
        <v/>
      </c>
      <c r="H88" s="295" t="str">
        <f>IF(B88="","",IF(ISNA(VLOOKUP($B88,'E-1 Off-Site Hedge Baseline'!$B$1:$L$257,8,FALSE)),"",(VLOOKUP($B88,'E-1 Off-Site Hedge Baseline'!$B$1:$L$257,8,FALSE))))</f>
        <v/>
      </c>
      <c r="I88" s="295" t="str">
        <f>IF(B88="","",IF(ISNA(VLOOKUP($B88,'E-1 Off-Site Hedge Baseline'!$B$1:$L$257,10,FALSE)),"",(VLOOKUP($B88,'E-1 Off-Site Hedge Baseline'!$B$1:$L$257,10,FALSE))))</f>
        <v/>
      </c>
      <c r="J88" s="295" t="str">
        <f>IF(B88="","",IF(ISNA(VLOOKUP($B88,'E-1 Off-Site Hedge Baseline'!$B$1:$L$257,11,FALSE)),"",(VLOOKUP($B88,'E-1 Off-Site Hedge Baseline'!$B$1:$L$257,11,FALSE))))</f>
        <v/>
      </c>
      <c r="K88" s="295" t="str">
        <f>IF(B88="","",IF(ISNA(VLOOKUP($B88,'E-1 Off-Site Hedge Baseline'!$B$1:$X$257,16,FALSE)),"",(VLOOKUP($B88,'E-1 Off-Site Hedge Baseline'!$B$1:$X$257,16,FALSE))))</f>
        <v/>
      </c>
      <c r="L88" s="283" t="str">
        <f>IF(B88="","",IF(ISNA(VLOOKUP($B88,'E-1 Off-Site Hedge Baseline'!$B$1:$X$257,12,FALSE)),"",(VLOOKUP($B88,'E-1 Off-Site Hedge Baseline'!$B$1:$X$257,12,FALSE))))</f>
        <v/>
      </c>
      <c r="M88" s="244"/>
      <c r="N88" s="275" t="str">
        <f>IFERROR(IF(B88="","",INDEX('G-6 Hedgerow Data'!$AN$3:$AZ$15,MATCH(C88,'G-6 Hedgerow Data'!$AM$3:$AM$15,0),MATCH(M88,'G-6 Hedgerow Data'!$AN$2:$AZ$2,0))),"")</f>
        <v/>
      </c>
      <c r="O88" s="276" t="str">
        <f t="shared" si="9"/>
        <v/>
      </c>
      <c r="P88" s="281" t="str">
        <f>IF(B88="","",VLOOKUP(B88,'E-1 Off-Site Hedge Baseline'!$B$10:W333,19,FALSE))</f>
        <v/>
      </c>
      <c r="Q88" s="275" t="str">
        <f>IF(M88="","",VLOOKUP(M88,'G-6 Hedgerow Data'!$B$2:$AG$15,2,FALSE))</f>
        <v/>
      </c>
      <c r="R88" s="276" t="str">
        <f>IF(M88="","",VLOOKUP(M88,'G-6 Hedgerow Data'!$B$2:$AG$15,3,FALSE))</f>
        <v/>
      </c>
      <c r="S88" s="101"/>
      <c r="T88" s="276" t="str">
        <f>IFERROR(IF(S88="","",IF(AND(M88="Non-native and ornamental hedgerow",S88&lt;&gt;"Poor"),"Not possible ▲",(IF(AND(Q88="V.Low",OR(S88="Good",S88="Moderate")),"Error ▲",VLOOKUP(S88,'G-1 All Habitats'!$Z$2:$AA$9,2,FALSE))))),"")</f>
        <v/>
      </c>
      <c r="U88" s="101"/>
      <c r="V88" s="283" t="str">
        <f>IF(U88="","",IF(VLOOKUP(U88,'G-3 Multipliers'!$L$3:$N$6,2,FALSE)=0,"Spatial Data Missing ⚠",VLOOKUP(U88,'G-3 Multipliers'!$L$3:$N$6,2,FALSE)))</f>
        <v/>
      </c>
      <c r="W88" s="281" t="str">
        <f>IF(U88="","",IF(VLOOKUP(U88,'G-3 Multipliers'!$L$3:$N$6,3,FALSE)=0,"Spatial Data Missing ⚠",VLOOKUP(U88,'G-3 Multipliers'!$L$3:$N$6,3,FALSE)))</f>
        <v/>
      </c>
      <c r="X88" s="275" t="str">
        <f>IFERROR(IF(OR(LEFT(O88,5)="Error",LEFT(N88,5)="Error",T88="Error"),"Check Data ⚠",IF(F88&lt;R88,INDEX('G-6 Hedgerow Data'!$S$3:$AE$14,MATCH(C88,'G-6 Hedgerow Data'!$B$3:$B$14,0),MATCH(M88,'G-6 Hedgerow Data'!$S$2:$AE$2,0)),INDEX('G-6 Hedgerow Data'!$K$3:$Q$14,MATCH(M88,'G-6 Hedgerow Data'!$B$3:$B$14,0),MATCH(O88,'G-6 Hedgerow Data'!$K$2:$Q$2,0)))),"")</f>
        <v/>
      </c>
      <c r="Y88" s="133"/>
      <c r="Z88" s="133"/>
      <c r="AA88" s="283" t="str">
        <f t="shared" si="10"/>
        <v/>
      </c>
      <c r="AB88" s="296" t="str">
        <f t="shared" si="11"/>
        <v/>
      </c>
      <c r="AC88" s="297" t="str">
        <f t="shared" si="8"/>
        <v/>
      </c>
      <c r="AD88" s="311" t="str">
        <f>IF(M88="","",VLOOKUP(M88,'G-6 Hedgerow Data'!$B$3:$AG$15,31,FALSE))</f>
        <v/>
      </c>
      <c r="AE88" s="295" t="str">
        <f t="shared" si="12"/>
        <v/>
      </c>
      <c r="AF88" s="283" t="str">
        <f t="shared" si="13"/>
        <v/>
      </c>
      <c r="AG88" s="299" t="str">
        <f>IFERROR(IF(O88="","",VLOOKUP(AD88,'G-3 Multipliers'!$P$3:$Q$6,2,FALSE)),"")</f>
        <v/>
      </c>
      <c r="AH88" s="713" t="str">
        <f>IF(B88="","",IF(ISNA(VLOOKUP($B88,'E-1 Off-Site Hedge Baseline'!$B$1:$Z$257,14,FALSE)),"",(VLOOKUP($B88,'E-1 Off-Site Hedge Baseline'!$B$1:$Z$257,14,FALSE))))</f>
        <v/>
      </c>
      <c r="AI88" s="276" t="str">
        <f>IF(AH88="","",IF(VLOOKUP(AH88,'G-3 Multipliers'!$S$3:$T$10,2,FALSE)=0,"Spatial Data Missing ⚠",VLOOKUP(AH88,'G-3 Multipliers'!$S$3:$T$10,2,FALSE)))</f>
        <v/>
      </c>
      <c r="AJ88" s="317" t="str">
        <f t="shared" si="14"/>
        <v/>
      </c>
      <c r="AK88" s="289" t="str">
        <f t="shared" si="15"/>
        <v/>
      </c>
      <c r="AL88" s="101"/>
      <c r="AM88" s="115"/>
      <c r="AN88" s="104"/>
      <c r="AO88" s="104"/>
      <c r="AQ88" s="30" t="str">
        <f>IFERROR(INDEX('G-6 Hedgerow Data'!$BJ$3:$BJ$15,MATCH(M88,'G-6 Hedgerow Data'!$B$3:$B$15,0)),"")</f>
        <v/>
      </c>
    </row>
    <row r="89" spans="2:43" ht="14">
      <c r="B89" s="305" t="str">
        <f>'E-1 Off-Site Hedge Baseline'!AN87</f>
        <v/>
      </c>
      <c r="C89" s="295" t="str">
        <f>IF(B89="","",IF(ISNA(VLOOKUP($B89,'E-1 Off-Site Hedge Baseline'!$B$1:$L$257,3,FALSE)),"",(VLOOKUP($B89,'E-1 Off-Site Hedge Baseline'!$B$1:$L$257,3,FALSE))))</f>
        <v/>
      </c>
      <c r="D89" s="295" t="str">
        <f>IF(B89="","",IF(ISNA(VLOOKUP($B89,'E-1 Off-Site Hedge Baseline'!$B$1:$L$258,4,FALSE)),"",(VLOOKUP($B89,'E-1 Off-Site Hedge Baseline'!$B$1:$L$258,4,FALSE))))</f>
        <v/>
      </c>
      <c r="E89" s="295" t="str">
        <f>IF(B89="","",IF(ISNA(VLOOKUP($B89,'E-1 Off-Site Hedge Baseline'!$B$1:$L$257,5,FALSE)),"",(VLOOKUP($B89,'E-1 Off-Site Hedge Baseline'!$B$1:$L$257,5,FALSE))))</f>
        <v/>
      </c>
      <c r="F89" s="295" t="str">
        <f>IF(B89="","",IF(ISNA(VLOOKUP($B89,'E-1 Off-Site Hedge Baseline'!$B$1:$L$257,6,FALSE)),"",(VLOOKUP($B89,'E-1 Off-Site Hedge Baseline'!$B$1:$L$257,6,FALSE))))</f>
        <v/>
      </c>
      <c r="G89" s="295" t="str">
        <f>IF(B89="","",IF(ISNA(VLOOKUP($B89,'E-1 Off-Site Hedge Baseline'!$B$1:$L$257,7,FALSE)),"",(VLOOKUP($B89,'E-1 Off-Site Hedge Baseline'!$B$1:$L$257,7,FALSE))))</f>
        <v/>
      </c>
      <c r="H89" s="295" t="str">
        <f>IF(B89="","",IF(ISNA(VLOOKUP($B89,'E-1 Off-Site Hedge Baseline'!$B$1:$L$257,8,FALSE)),"",(VLOOKUP($B89,'E-1 Off-Site Hedge Baseline'!$B$1:$L$257,8,FALSE))))</f>
        <v/>
      </c>
      <c r="I89" s="295" t="str">
        <f>IF(B89="","",IF(ISNA(VLOOKUP($B89,'E-1 Off-Site Hedge Baseline'!$B$1:$L$257,10,FALSE)),"",(VLOOKUP($B89,'E-1 Off-Site Hedge Baseline'!$B$1:$L$257,10,FALSE))))</f>
        <v/>
      </c>
      <c r="J89" s="295" t="str">
        <f>IF(B89="","",IF(ISNA(VLOOKUP($B89,'E-1 Off-Site Hedge Baseline'!$B$1:$L$257,11,FALSE)),"",(VLOOKUP($B89,'E-1 Off-Site Hedge Baseline'!$B$1:$L$257,11,FALSE))))</f>
        <v/>
      </c>
      <c r="K89" s="295" t="str">
        <f>IF(B89="","",IF(ISNA(VLOOKUP($B89,'E-1 Off-Site Hedge Baseline'!$B$1:$X$257,16,FALSE)),"",(VLOOKUP($B89,'E-1 Off-Site Hedge Baseline'!$B$1:$X$257,16,FALSE))))</f>
        <v/>
      </c>
      <c r="L89" s="283" t="str">
        <f>IF(B89="","",IF(ISNA(VLOOKUP($B89,'E-1 Off-Site Hedge Baseline'!$B$1:$X$257,12,FALSE)),"",(VLOOKUP($B89,'E-1 Off-Site Hedge Baseline'!$B$1:$X$257,12,FALSE))))</f>
        <v/>
      </c>
      <c r="M89" s="244"/>
      <c r="N89" s="275" t="str">
        <f>IFERROR(IF(B89="","",INDEX('G-6 Hedgerow Data'!$AN$3:$AZ$15,MATCH(C89,'G-6 Hedgerow Data'!$AM$3:$AM$15,0),MATCH(M89,'G-6 Hedgerow Data'!$AN$2:$AZ$2,0))),"")</f>
        <v/>
      </c>
      <c r="O89" s="276" t="str">
        <f t="shared" si="9"/>
        <v/>
      </c>
      <c r="P89" s="281" t="str">
        <f>IF(B89="","",VLOOKUP(B89,'E-1 Off-Site Hedge Baseline'!$B$10:W334,19,FALSE))</f>
        <v/>
      </c>
      <c r="Q89" s="275" t="str">
        <f>IF(M89="","",VLOOKUP(M89,'G-6 Hedgerow Data'!$B$2:$AG$15,2,FALSE))</f>
        <v/>
      </c>
      <c r="R89" s="276" t="str">
        <f>IF(M89="","",VLOOKUP(M89,'G-6 Hedgerow Data'!$B$2:$AG$15,3,FALSE))</f>
        <v/>
      </c>
      <c r="S89" s="101"/>
      <c r="T89" s="276" t="str">
        <f>IFERROR(IF(S89="","",IF(AND(M89="Non-native and ornamental hedgerow",S89&lt;&gt;"Poor"),"Not possible ▲",(IF(AND(Q89="V.Low",OR(S89="Good",S89="Moderate")),"Error ▲",VLOOKUP(S89,'G-1 All Habitats'!$Z$2:$AA$9,2,FALSE))))),"")</f>
        <v/>
      </c>
      <c r="U89" s="101"/>
      <c r="V89" s="283" t="str">
        <f>IF(U89="","",IF(VLOOKUP(U89,'G-3 Multipliers'!$L$3:$N$6,2,FALSE)=0,"Spatial Data Missing ⚠",VLOOKUP(U89,'G-3 Multipliers'!$L$3:$N$6,2,FALSE)))</f>
        <v/>
      </c>
      <c r="W89" s="281" t="str">
        <f>IF(U89="","",IF(VLOOKUP(U89,'G-3 Multipliers'!$L$3:$N$6,3,FALSE)=0,"Spatial Data Missing ⚠",VLOOKUP(U89,'G-3 Multipliers'!$L$3:$N$6,3,FALSE)))</f>
        <v/>
      </c>
      <c r="X89" s="275" t="str">
        <f>IFERROR(IF(OR(LEFT(O89,5)="Error",LEFT(N89,5)="Error",T89="Error"),"Check Data ⚠",IF(F89&lt;R89,INDEX('G-6 Hedgerow Data'!$S$3:$AE$14,MATCH(C89,'G-6 Hedgerow Data'!$B$3:$B$14,0),MATCH(M89,'G-6 Hedgerow Data'!$S$2:$AE$2,0)),INDEX('G-6 Hedgerow Data'!$K$3:$Q$14,MATCH(M89,'G-6 Hedgerow Data'!$B$3:$B$14,0),MATCH(O89,'G-6 Hedgerow Data'!$K$2:$Q$2,0)))),"")</f>
        <v/>
      </c>
      <c r="Y89" s="133"/>
      <c r="Z89" s="133"/>
      <c r="AA89" s="283" t="str">
        <f t="shared" si="10"/>
        <v/>
      </c>
      <c r="AB89" s="296" t="str">
        <f t="shared" si="11"/>
        <v/>
      </c>
      <c r="AC89" s="297" t="str">
        <f t="shared" si="8"/>
        <v/>
      </c>
      <c r="AD89" s="311" t="str">
        <f>IF(M89="","",VLOOKUP(M89,'G-6 Hedgerow Data'!$B$3:$AG$15,31,FALSE))</f>
        <v/>
      </c>
      <c r="AE89" s="295" t="str">
        <f t="shared" si="12"/>
        <v/>
      </c>
      <c r="AF89" s="283" t="str">
        <f t="shared" si="13"/>
        <v/>
      </c>
      <c r="AG89" s="299" t="str">
        <f>IFERROR(IF(O89="","",VLOOKUP(AD89,'G-3 Multipliers'!$P$3:$Q$6,2,FALSE)),"")</f>
        <v/>
      </c>
      <c r="AH89" s="713" t="str">
        <f>IF(B89="","",IF(ISNA(VLOOKUP($B89,'E-1 Off-Site Hedge Baseline'!$B$1:$Z$257,14,FALSE)),"",(VLOOKUP($B89,'E-1 Off-Site Hedge Baseline'!$B$1:$Z$257,14,FALSE))))</f>
        <v/>
      </c>
      <c r="AI89" s="276" t="str">
        <f>IF(AH89="","",IF(VLOOKUP(AH89,'G-3 Multipliers'!$S$3:$T$10,2,FALSE)=0,"Spatial Data Missing ⚠",VLOOKUP(AH89,'G-3 Multipliers'!$S$3:$T$10,2,FALSE)))</f>
        <v/>
      </c>
      <c r="AJ89" s="317" t="str">
        <f t="shared" si="14"/>
        <v/>
      </c>
      <c r="AK89" s="289" t="str">
        <f t="shared" si="15"/>
        <v/>
      </c>
      <c r="AL89" s="101"/>
      <c r="AM89" s="115"/>
      <c r="AN89" s="104"/>
      <c r="AO89" s="104"/>
      <c r="AQ89" s="30" t="str">
        <f>IFERROR(INDEX('G-6 Hedgerow Data'!$BJ$3:$BJ$15,MATCH(M89,'G-6 Hedgerow Data'!$B$3:$B$15,0)),"")</f>
        <v/>
      </c>
    </row>
    <row r="90" spans="2:43" ht="14">
      <c r="B90" s="305" t="str">
        <f>'E-1 Off-Site Hedge Baseline'!AN88</f>
        <v/>
      </c>
      <c r="C90" s="295" t="str">
        <f>IF(B90="","",IF(ISNA(VLOOKUP($B90,'E-1 Off-Site Hedge Baseline'!$B$1:$L$257,3,FALSE)),"",(VLOOKUP($B90,'E-1 Off-Site Hedge Baseline'!$B$1:$L$257,3,FALSE))))</f>
        <v/>
      </c>
      <c r="D90" s="295" t="str">
        <f>IF(B90="","",IF(ISNA(VLOOKUP($B90,'E-1 Off-Site Hedge Baseline'!$B$1:$L$258,4,FALSE)),"",(VLOOKUP($B90,'E-1 Off-Site Hedge Baseline'!$B$1:$L$258,4,FALSE))))</f>
        <v/>
      </c>
      <c r="E90" s="295" t="str">
        <f>IF(B90="","",IF(ISNA(VLOOKUP($B90,'E-1 Off-Site Hedge Baseline'!$B$1:$L$257,5,FALSE)),"",(VLOOKUP($B90,'E-1 Off-Site Hedge Baseline'!$B$1:$L$257,5,FALSE))))</f>
        <v/>
      </c>
      <c r="F90" s="295" t="str">
        <f>IF(B90="","",IF(ISNA(VLOOKUP($B90,'E-1 Off-Site Hedge Baseline'!$B$1:$L$257,6,FALSE)),"",(VLOOKUP($B90,'E-1 Off-Site Hedge Baseline'!$B$1:$L$257,6,FALSE))))</f>
        <v/>
      </c>
      <c r="G90" s="295" t="str">
        <f>IF(B90="","",IF(ISNA(VLOOKUP($B90,'E-1 Off-Site Hedge Baseline'!$B$1:$L$257,7,FALSE)),"",(VLOOKUP($B90,'E-1 Off-Site Hedge Baseline'!$B$1:$L$257,7,FALSE))))</f>
        <v/>
      </c>
      <c r="H90" s="295" t="str">
        <f>IF(B90="","",IF(ISNA(VLOOKUP($B90,'E-1 Off-Site Hedge Baseline'!$B$1:$L$257,8,FALSE)),"",(VLOOKUP($B90,'E-1 Off-Site Hedge Baseline'!$B$1:$L$257,8,FALSE))))</f>
        <v/>
      </c>
      <c r="I90" s="295" t="str">
        <f>IF(B90="","",IF(ISNA(VLOOKUP($B90,'E-1 Off-Site Hedge Baseline'!$B$1:$L$257,10,FALSE)),"",(VLOOKUP($B90,'E-1 Off-Site Hedge Baseline'!$B$1:$L$257,10,FALSE))))</f>
        <v/>
      </c>
      <c r="J90" s="295" t="str">
        <f>IF(B90="","",IF(ISNA(VLOOKUP($B90,'E-1 Off-Site Hedge Baseline'!$B$1:$L$257,11,FALSE)),"",(VLOOKUP($B90,'E-1 Off-Site Hedge Baseline'!$B$1:$L$257,11,FALSE))))</f>
        <v/>
      </c>
      <c r="K90" s="295" t="str">
        <f>IF(B90="","",IF(ISNA(VLOOKUP($B90,'E-1 Off-Site Hedge Baseline'!$B$1:$X$257,16,FALSE)),"",(VLOOKUP($B90,'E-1 Off-Site Hedge Baseline'!$B$1:$X$257,16,FALSE))))</f>
        <v/>
      </c>
      <c r="L90" s="283" t="str">
        <f>IF(B90="","",IF(ISNA(VLOOKUP($B90,'E-1 Off-Site Hedge Baseline'!$B$1:$X$257,12,FALSE)),"",(VLOOKUP($B90,'E-1 Off-Site Hedge Baseline'!$B$1:$X$257,12,FALSE))))</f>
        <v/>
      </c>
      <c r="M90" s="244"/>
      <c r="N90" s="275" t="str">
        <f>IFERROR(IF(B90="","",INDEX('G-6 Hedgerow Data'!$AN$3:$AZ$15,MATCH(C90,'G-6 Hedgerow Data'!$AM$3:$AM$15,0),MATCH(M90,'G-6 Hedgerow Data'!$AN$2:$AZ$2,0))),"")</f>
        <v/>
      </c>
      <c r="O90" s="276" t="str">
        <f t="shared" si="9"/>
        <v/>
      </c>
      <c r="P90" s="281" t="str">
        <f>IF(B90="","",VLOOKUP(B90,'E-1 Off-Site Hedge Baseline'!$B$10:W335,19,FALSE))</f>
        <v/>
      </c>
      <c r="Q90" s="275" t="str">
        <f>IF(M90="","",VLOOKUP(M90,'G-6 Hedgerow Data'!$B$2:$AG$15,2,FALSE))</f>
        <v/>
      </c>
      <c r="R90" s="276" t="str">
        <f>IF(M90="","",VLOOKUP(M90,'G-6 Hedgerow Data'!$B$2:$AG$15,3,FALSE))</f>
        <v/>
      </c>
      <c r="S90" s="101"/>
      <c r="T90" s="276" t="str">
        <f>IFERROR(IF(S90="","",IF(AND(M90="Non-native and ornamental hedgerow",S90&lt;&gt;"Poor"),"Not possible ▲",(IF(AND(Q90="V.Low",OR(S90="Good",S90="Moderate")),"Error ▲",VLOOKUP(S90,'G-1 All Habitats'!$Z$2:$AA$9,2,FALSE))))),"")</f>
        <v/>
      </c>
      <c r="U90" s="101"/>
      <c r="V90" s="283" t="str">
        <f>IF(U90="","",IF(VLOOKUP(U90,'G-3 Multipliers'!$L$3:$N$6,2,FALSE)=0,"Spatial Data Missing ⚠",VLOOKUP(U90,'G-3 Multipliers'!$L$3:$N$6,2,FALSE)))</f>
        <v/>
      </c>
      <c r="W90" s="281" t="str">
        <f>IF(U90="","",IF(VLOOKUP(U90,'G-3 Multipliers'!$L$3:$N$6,3,FALSE)=0,"Spatial Data Missing ⚠",VLOOKUP(U90,'G-3 Multipliers'!$L$3:$N$6,3,FALSE)))</f>
        <v/>
      </c>
      <c r="X90" s="275" t="str">
        <f>IFERROR(IF(OR(LEFT(O90,5)="Error",LEFT(N90,5)="Error",T90="Error"),"Check Data ⚠",IF(F90&lt;R90,INDEX('G-6 Hedgerow Data'!$S$3:$AE$14,MATCH(C90,'G-6 Hedgerow Data'!$B$3:$B$14,0),MATCH(M90,'G-6 Hedgerow Data'!$S$2:$AE$2,0)),INDEX('G-6 Hedgerow Data'!$K$3:$Q$14,MATCH(M90,'G-6 Hedgerow Data'!$B$3:$B$14,0),MATCH(O90,'G-6 Hedgerow Data'!$K$2:$Q$2,0)))),"")</f>
        <v/>
      </c>
      <c r="Y90" s="133"/>
      <c r="Z90" s="133"/>
      <c r="AA90" s="283" t="str">
        <f t="shared" si="10"/>
        <v/>
      </c>
      <c r="AB90" s="296" t="str">
        <f t="shared" si="11"/>
        <v/>
      </c>
      <c r="AC90" s="297" t="str">
        <f t="shared" si="8"/>
        <v/>
      </c>
      <c r="AD90" s="311" t="str">
        <f>IF(M90="","",VLOOKUP(M90,'G-6 Hedgerow Data'!$B$3:$AG$15,31,FALSE))</f>
        <v/>
      </c>
      <c r="AE90" s="295" t="str">
        <f t="shared" si="12"/>
        <v/>
      </c>
      <c r="AF90" s="283" t="str">
        <f t="shared" si="13"/>
        <v/>
      </c>
      <c r="AG90" s="299" t="str">
        <f>IFERROR(IF(O90="","",VLOOKUP(AD90,'G-3 Multipliers'!$P$3:$Q$6,2,FALSE)),"")</f>
        <v/>
      </c>
      <c r="AH90" s="713" t="str">
        <f>IF(B90="","",IF(ISNA(VLOOKUP($B90,'E-1 Off-Site Hedge Baseline'!$B$1:$Z$257,14,FALSE)),"",(VLOOKUP($B90,'E-1 Off-Site Hedge Baseline'!$B$1:$Z$257,14,FALSE))))</f>
        <v/>
      </c>
      <c r="AI90" s="276" t="str">
        <f>IF(AH90="","",IF(VLOOKUP(AH90,'G-3 Multipliers'!$S$3:$T$10,2,FALSE)=0,"Spatial Data Missing ⚠",VLOOKUP(AH90,'G-3 Multipliers'!$S$3:$T$10,2,FALSE)))</f>
        <v/>
      </c>
      <c r="AJ90" s="317" t="str">
        <f t="shared" si="14"/>
        <v/>
      </c>
      <c r="AK90" s="289" t="str">
        <f t="shared" si="15"/>
        <v/>
      </c>
      <c r="AL90" s="101"/>
      <c r="AM90" s="115"/>
      <c r="AN90" s="104"/>
      <c r="AO90" s="104"/>
      <c r="AQ90" s="30" t="str">
        <f>IFERROR(INDEX('G-6 Hedgerow Data'!$BJ$3:$BJ$15,MATCH(M90,'G-6 Hedgerow Data'!$B$3:$B$15,0)),"")</f>
        <v/>
      </c>
    </row>
    <row r="91" spans="2:43" ht="14">
      <c r="B91" s="305" t="str">
        <f>'E-1 Off-Site Hedge Baseline'!AN89</f>
        <v/>
      </c>
      <c r="C91" s="295" t="str">
        <f>IF(B91="","",IF(ISNA(VLOOKUP($B91,'E-1 Off-Site Hedge Baseline'!$B$1:$L$257,3,FALSE)),"",(VLOOKUP($B91,'E-1 Off-Site Hedge Baseline'!$B$1:$L$257,3,FALSE))))</f>
        <v/>
      </c>
      <c r="D91" s="295" t="str">
        <f>IF(B91="","",IF(ISNA(VLOOKUP($B91,'E-1 Off-Site Hedge Baseline'!$B$1:$L$258,4,FALSE)),"",(VLOOKUP($B91,'E-1 Off-Site Hedge Baseline'!$B$1:$L$258,4,FALSE))))</f>
        <v/>
      </c>
      <c r="E91" s="295" t="str">
        <f>IF(B91="","",IF(ISNA(VLOOKUP($B91,'E-1 Off-Site Hedge Baseline'!$B$1:$L$257,5,FALSE)),"",(VLOOKUP($B91,'E-1 Off-Site Hedge Baseline'!$B$1:$L$257,5,FALSE))))</f>
        <v/>
      </c>
      <c r="F91" s="295" t="str">
        <f>IF(B91="","",IF(ISNA(VLOOKUP($B91,'E-1 Off-Site Hedge Baseline'!$B$1:$L$257,6,FALSE)),"",(VLOOKUP($B91,'E-1 Off-Site Hedge Baseline'!$B$1:$L$257,6,FALSE))))</f>
        <v/>
      </c>
      <c r="G91" s="295" t="str">
        <f>IF(B91="","",IF(ISNA(VLOOKUP($B91,'E-1 Off-Site Hedge Baseline'!$B$1:$L$257,7,FALSE)),"",(VLOOKUP($B91,'E-1 Off-Site Hedge Baseline'!$B$1:$L$257,7,FALSE))))</f>
        <v/>
      </c>
      <c r="H91" s="295" t="str">
        <f>IF(B91="","",IF(ISNA(VLOOKUP($B91,'E-1 Off-Site Hedge Baseline'!$B$1:$L$257,8,FALSE)),"",(VLOOKUP($B91,'E-1 Off-Site Hedge Baseline'!$B$1:$L$257,8,FALSE))))</f>
        <v/>
      </c>
      <c r="I91" s="295" t="str">
        <f>IF(B91="","",IF(ISNA(VLOOKUP($B91,'E-1 Off-Site Hedge Baseline'!$B$1:$L$257,10,FALSE)),"",(VLOOKUP($B91,'E-1 Off-Site Hedge Baseline'!$B$1:$L$257,10,FALSE))))</f>
        <v/>
      </c>
      <c r="J91" s="295" t="str">
        <f>IF(B91="","",IF(ISNA(VLOOKUP($B91,'E-1 Off-Site Hedge Baseline'!$B$1:$L$257,11,FALSE)),"",(VLOOKUP($B91,'E-1 Off-Site Hedge Baseline'!$B$1:$L$257,11,FALSE))))</f>
        <v/>
      </c>
      <c r="K91" s="295" t="str">
        <f>IF(B91="","",IF(ISNA(VLOOKUP($B91,'E-1 Off-Site Hedge Baseline'!$B$1:$X$257,16,FALSE)),"",(VLOOKUP($B91,'E-1 Off-Site Hedge Baseline'!$B$1:$X$257,16,FALSE))))</f>
        <v/>
      </c>
      <c r="L91" s="283" t="str">
        <f>IF(B91="","",IF(ISNA(VLOOKUP($B91,'E-1 Off-Site Hedge Baseline'!$B$1:$X$257,12,FALSE)),"",(VLOOKUP($B91,'E-1 Off-Site Hedge Baseline'!$B$1:$X$257,12,FALSE))))</f>
        <v/>
      </c>
      <c r="M91" s="244"/>
      <c r="N91" s="275" t="str">
        <f>IFERROR(IF(B91="","",INDEX('G-6 Hedgerow Data'!$AN$3:$AZ$15,MATCH(C91,'G-6 Hedgerow Data'!$AM$3:$AM$15,0),MATCH(M91,'G-6 Hedgerow Data'!$AN$2:$AZ$2,0))),"")</f>
        <v/>
      </c>
      <c r="O91" s="276" t="str">
        <f t="shared" si="9"/>
        <v/>
      </c>
      <c r="P91" s="281" t="str">
        <f>IF(B91="","",VLOOKUP(B91,'E-1 Off-Site Hedge Baseline'!$B$10:W336,19,FALSE))</f>
        <v/>
      </c>
      <c r="Q91" s="275" t="str">
        <f>IF(M91="","",VLOOKUP(M91,'G-6 Hedgerow Data'!$B$2:$AG$15,2,FALSE))</f>
        <v/>
      </c>
      <c r="R91" s="276" t="str">
        <f>IF(M91="","",VLOOKUP(M91,'G-6 Hedgerow Data'!$B$2:$AG$15,3,FALSE))</f>
        <v/>
      </c>
      <c r="S91" s="101"/>
      <c r="T91" s="276" t="str">
        <f>IFERROR(IF(S91="","",IF(AND(M91="Non-native and ornamental hedgerow",S91&lt;&gt;"Poor"),"Not possible ▲",(IF(AND(Q91="V.Low",OR(S91="Good",S91="Moderate")),"Error ▲",VLOOKUP(S91,'G-1 All Habitats'!$Z$2:$AA$9,2,FALSE))))),"")</f>
        <v/>
      </c>
      <c r="U91" s="101"/>
      <c r="V91" s="283" t="str">
        <f>IF(U91="","",IF(VLOOKUP(U91,'G-3 Multipliers'!$L$3:$N$6,2,FALSE)=0,"Spatial Data Missing ⚠",VLOOKUP(U91,'G-3 Multipliers'!$L$3:$N$6,2,FALSE)))</f>
        <v/>
      </c>
      <c r="W91" s="281" t="str">
        <f>IF(U91="","",IF(VLOOKUP(U91,'G-3 Multipliers'!$L$3:$N$6,3,FALSE)=0,"Spatial Data Missing ⚠",VLOOKUP(U91,'G-3 Multipliers'!$L$3:$N$6,3,FALSE)))</f>
        <v/>
      </c>
      <c r="X91" s="275" t="str">
        <f>IFERROR(IF(OR(LEFT(O91,5)="Error",LEFT(N91,5)="Error",T91="Error"),"Check Data ⚠",IF(F91&lt;R91,INDEX('G-6 Hedgerow Data'!$S$3:$AE$14,MATCH(C91,'G-6 Hedgerow Data'!$B$3:$B$14,0),MATCH(M91,'G-6 Hedgerow Data'!$S$2:$AE$2,0)),INDEX('G-6 Hedgerow Data'!$K$3:$Q$14,MATCH(M91,'G-6 Hedgerow Data'!$B$3:$B$14,0),MATCH(O91,'G-6 Hedgerow Data'!$K$2:$Q$2,0)))),"")</f>
        <v/>
      </c>
      <c r="Y91" s="133"/>
      <c r="Z91" s="133"/>
      <c r="AA91" s="283" t="str">
        <f t="shared" si="10"/>
        <v/>
      </c>
      <c r="AB91" s="296" t="str">
        <f t="shared" si="11"/>
        <v/>
      </c>
      <c r="AC91" s="297" t="str">
        <f t="shared" si="8"/>
        <v/>
      </c>
      <c r="AD91" s="311" t="str">
        <f>IF(M91="","",VLOOKUP(M91,'G-6 Hedgerow Data'!$B$3:$AG$15,31,FALSE))</f>
        <v/>
      </c>
      <c r="AE91" s="295" t="str">
        <f t="shared" si="12"/>
        <v/>
      </c>
      <c r="AF91" s="283" t="str">
        <f t="shared" si="13"/>
        <v/>
      </c>
      <c r="AG91" s="299" t="str">
        <f>IFERROR(IF(O91="","",VLOOKUP(AD91,'G-3 Multipliers'!$P$3:$Q$6,2,FALSE)),"")</f>
        <v/>
      </c>
      <c r="AH91" s="713" t="str">
        <f>IF(B91="","",IF(ISNA(VLOOKUP($B91,'E-1 Off-Site Hedge Baseline'!$B$1:$Z$257,14,FALSE)),"",(VLOOKUP($B91,'E-1 Off-Site Hedge Baseline'!$B$1:$Z$257,14,FALSE))))</f>
        <v/>
      </c>
      <c r="AI91" s="276" t="str">
        <f>IF(AH91="","",IF(VLOOKUP(AH91,'G-3 Multipliers'!$S$3:$T$10,2,FALSE)=0,"Spatial Data Missing ⚠",VLOOKUP(AH91,'G-3 Multipliers'!$S$3:$T$10,2,FALSE)))</f>
        <v/>
      </c>
      <c r="AJ91" s="317" t="str">
        <f t="shared" si="14"/>
        <v/>
      </c>
      <c r="AK91" s="289" t="str">
        <f t="shared" si="15"/>
        <v/>
      </c>
      <c r="AL91" s="101"/>
      <c r="AM91" s="115"/>
      <c r="AN91" s="104"/>
      <c r="AO91" s="104"/>
      <c r="AQ91" s="30" t="str">
        <f>IFERROR(INDEX('G-6 Hedgerow Data'!$BJ$3:$BJ$15,MATCH(M91,'G-6 Hedgerow Data'!$B$3:$B$15,0)),"")</f>
        <v/>
      </c>
    </row>
    <row r="92" spans="2:43" ht="14">
      <c r="B92" s="305" t="str">
        <f>'E-1 Off-Site Hedge Baseline'!AN90</f>
        <v/>
      </c>
      <c r="C92" s="295" t="str">
        <f>IF(B92="","",IF(ISNA(VLOOKUP($B92,'E-1 Off-Site Hedge Baseline'!$B$1:$L$257,3,FALSE)),"",(VLOOKUP($B92,'E-1 Off-Site Hedge Baseline'!$B$1:$L$257,3,FALSE))))</f>
        <v/>
      </c>
      <c r="D92" s="295" t="str">
        <f>IF(B92="","",IF(ISNA(VLOOKUP($B92,'E-1 Off-Site Hedge Baseline'!$B$1:$L$258,4,FALSE)),"",(VLOOKUP($B92,'E-1 Off-Site Hedge Baseline'!$B$1:$L$258,4,FALSE))))</f>
        <v/>
      </c>
      <c r="E92" s="295" t="str">
        <f>IF(B92="","",IF(ISNA(VLOOKUP($B92,'E-1 Off-Site Hedge Baseline'!$B$1:$L$257,5,FALSE)),"",(VLOOKUP($B92,'E-1 Off-Site Hedge Baseline'!$B$1:$L$257,5,FALSE))))</f>
        <v/>
      </c>
      <c r="F92" s="295" t="str">
        <f>IF(B92="","",IF(ISNA(VLOOKUP($B92,'E-1 Off-Site Hedge Baseline'!$B$1:$L$257,6,FALSE)),"",(VLOOKUP($B92,'E-1 Off-Site Hedge Baseline'!$B$1:$L$257,6,FALSE))))</f>
        <v/>
      </c>
      <c r="G92" s="295" t="str">
        <f>IF(B92="","",IF(ISNA(VLOOKUP($B92,'E-1 Off-Site Hedge Baseline'!$B$1:$L$257,7,FALSE)),"",(VLOOKUP($B92,'E-1 Off-Site Hedge Baseline'!$B$1:$L$257,7,FALSE))))</f>
        <v/>
      </c>
      <c r="H92" s="295" t="str">
        <f>IF(B92="","",IF(ISNA(VLOOKUP($B92,'E-1 Off-Site Hedge Baseline'!$B$1:$L$257,8,FALSE)),"",(VLOOKUP($B92,'E-1 Off-Site Hedge Baseline'!$B$1:$L$257,8,FALSE))))</f>
        <v/>
      </c>
      <c r="I92" s="295" t="str">
        <f>IF(B92="","",IF(ISNA(VLOOKUP($B92,'E-1 Off-Site Hedge Baseline'!$B$1:$L$257,10,FALSE)),"",(VLOOKUP($B92,'E-1 Off-Site Hedge Baseline'!$B$1:$L$257,10,FALSE))))</f>
        <v/>
      </c>
      <c r="J92" s="295" t="str">
        <f>IF(B92="","",IF(ISNA(VLOOKUP($B92,'E-1 Off-Site Hedge Baseline'!$B$1:$L$257,11,FALSE)),"",(VLOOKUP($B92,'E-1 Off-Site Hedge Baseline'!$B$1:$L$257,11,FALSE))))</f>
        <v/>
      </c>
      <c r="K92" s="295" t="str">
        <f>IF(B92="","",IF(ISNA(VLOOKUP($B92,'E-1 Off-Site Hedge Baseline'!$B$1:$X$257,16,FALSE)),"",(VLOOKUP($B92,'E-1 Off-Site Hedge Baseline'!$B$1:$X$257,16,FALSE))))</f>
        <v/>
      </c>
      <c r="L92" s="283" t="str">
        <f>IF(B92="","",IF(ISNA(VLOOKUP($B92,'E-1 Off-Site Hedge Baseline'!$B$1:$X$257,12,FALSE)),"",(VLOOKUP($B92,'E-1 Off-Site Hedge Baseline'!$B$1:$X$257,12,FALSE))))</f>
        <v/>
      </c>
      <c r="M92" s="244"/>
      <c r="N92" s="275" t="str">
        <f>IFERROR(IF(B92="","",INDEX('G-6 Hedgerow Data'!$AN$3:$AZ$15,MATCH(C92,'G-6 Hedgerow Data'!$AM$3:$AM$15,0),MATCH(M92,'G-6 Hedgerow Data'!$AN$2:$AZ$2,0))),"")</f>
        <v/>
      </c>
      <c r="O92" s="276" t="str">
        <f t="shared" si="9"/>
        <v/>
      </c>
      <c r="P92" s="281" t="str">
        <f>IF(B92="","",VLOOKUP(B92,'E-1 Off-Site Hedge Baseline'!$B$10:W337,19,FALSE))</f>
        <v/>
      </c>
      <c r="Q92" s="275" t="str">
        <f>IF(M92="","",VLOOKUP(M92,'G-6 Hedgerow Data'!$B$2:$AG$15,2,FALSE))</f>
        <v/>
      </c>
      <c r="R92" s="276" t="str">
        <f>IF(M92="","",VLOOKUP(M92,'G-6 Hedgerow Data'!$B$2:$AG$15,3,FALSE))</f>
        <v/>
      </c>
      <c r="S92" s="101"/>
      <c r="T92" s="276" t="str">
        <f>IFERROR(IF(S92="","",IF(AND(M92="Non-native and ornamental hedgerow",S92&lt;&gt;"Poor"),"Not possible ▲",(IF(AND(Q92="V.Low",OR(S92="Good",S92="Moderate")),"Error ▲",VLOOKUP(S92,'G-1 All Habitats'!$Z$2:$AA$9,2,FALSE))))),"")</f>
        <v/>
      </c>
      <c r="U92" s="101"/>
      <c r="V92" s="283" t="str">
        <f>IF(U92="","",IF(VLOOKUP(U92,'G-3 Multipliers'!$L$3:$N$6,2,FALSE)=0,"Spatial Data Missing ⚠",VLOOKUP(U92,'G-3 Multipliers'!$L$3:$N$6,2,FALSE)))</f>
        <v/>
      </c>
      <c r="W92" s="281" t="str">
        <f>IF(U92="","",IF(VLOOKUP(U92,'G-3 Multipliers'!$L$3:$N$6,3,FALSE)=0,"Spatial Data Missing ⚠",VLOOKUP(U92,'G-3 Multipliers'!$L$3:$N$6,3,FALSE)))</f>
        <v/>
      </c>
      <c r="X92" s="275" t="str">
        <f>IFERROR(IF(OR(LEFT(O92,5)="Error",LEFT(N92,5)="Error",T92="Error"),"Check Data ⚠",IF(F92&lt;R92,INDEX('G-6 Hedgerow Data'!$S$3:$AE$14,MATCH(C92,'G-6 Hedgerow Data'!$B$3:$B$14,0),MATCH(M92,'G-6 Hedgerow Data'!$S$2:$AE$2,0)),INDEX('G-6 Hedgerow Data'!$K$3:$Q$14,MATCH(M92,'G-6 Hedgerow Data'!$B$3:$B$14,0),MATCH(O92,'G-6 Hedgerow Data'!$K$2:$Q$2,0)))),"")</f>
        <v/>
      </c>
      <c r="Y92" s="133"/>
      <c r="Z92" s="133"/>
      <c r="AA92" s="283" t="str">
        <f t="shared" si="10"/>
        <v/>
      </c>
      <c r="AB92" s="296" t="str">
        <f t="shared" si="11"/>
        <v/>
      </c>
      <c r="AC92" s="297" t="str">
        <f t="shared" si="8"/>
        <v/>
      </c>
      <c r="AD92" s="311" t="str">
        <f>IF(M92="","",VLOOKUP(M92,'G-6 Hedgerow Data'!$B$3:$AG$15,31,FALSE))</f>
        <v/>
      </c>
      <c r="AE92" s="295" t="str">
        <f t="shared" si="12"/>
        <v/>
      </c>
      <c r="AF92" s="283" t="str">
        <f t="shared" si="13"/>
        <v/>
      </c>
      <c r="AG92" s="299" t="str">
        <f>IFERROR(IF(O92="","",VLOOKUP(AD92,'G-3 Multipliers'!$P$3:$Q$6,2,FALSE)),"")</f>
        <v/>
      </c>
      <c r="AH92" s="713" t="str">
        <f>IF(B92="","",IF(ISNA(VLOOKUP($B92,'E-1 Off-Site Hedge Baseline'!$B$1:$Z$257,14,FALSE)),"",(VLOOKUP($B92,'E-1 Off-Site Hedge Baseline'!$B$1:$Z$257,14,FALSE))))</f>
        <v/>
      </c>
      <c r="AI92" s="276" t="str">
        <f>IF(AH92="","",IF(VLOOKUP(AH92,'G-3 Multipliers'!$S$3:$T$10,2,FALSE)=0,"Spatial Data Missing ⚠",VLOOKUP(AH92,'G-3 Multipliers'!$S$3:$T$10,2,FALSE)))</f>
        <v/>
      </c>
      <c r="AJ92" s="317" t="str">
        <f t="shared" si="14"/>
        <v/>
      </c>
      <c r="AK92" s="289" t="str">
        <f t="shared" si="15"/>
        <v/>
      </c>
      <c r="AL92" s="101"/>
      <c r="AM92" s="115"/>
      <c r="AN92" s="104"/>
      <c r="AO92" s="104"/>
      <c r="AQ92" s="30" t="str">
        <f>IFERROR(INDEX('G-6 Hedgerow Data'!$BJ$3:$BJ$15,MATCH(M92,'G-6 Hedgerow Data'!$B$3:$B$15,0)),"")</f>
        <v/>
      </c>
    </row>
    <row r="93" spans="2:43" ht="14">
      <c r="B93" s="305" t="str">
        <f>'E-1 Off-Site Hedge Baseline'!AN91</f>
        <v/>
      </c>
      <c r="C93" s="295" t="str">
        <f>IF(B93="","",IF(ISNA(VLOOKUP($B93,'E-1 Off-Site Hedge Baseline'!$B$1:$L$257,3,FALSE)),"",(VLOOKUP($B93,'E-1 Off-Site Hedge Baseline'!$B$1:$L$257,3,FALSE))))</f>
        <v/>
      </c>
      <c r="D93" s="295" t="str">
        <f>IF(B93="","",IF(ISNA(VLOOKUP($B93,'E-1 Off-Site Hedge Baseline'!$B$1:$L$258,4,FALSE)),"",(VLOOKUP($B93,'E-1 Off-Site Hedge Baseline'!$B$1:$L$258,4,FALSE))))</f>
        <v/>
      </c>
      <c r="E93" s="295" t="str">
        <f>IF(B93="","",IF(ISNA(VLOOKUP($B93,'E-1 Off-Site Hedge Baseline'!$B$1:$L$257,5,FALSE)),"",(VLOOKUP($B93,'E-1 Off-Site Hedge Baseline'!$B$1:$L$257,5,FALSE))))</f>
        <v/>
      </c>
      <c r="F93" s="295" t="str">
        <f>IF(B93="","",IF(ISNA(VLOOKUP($B93,'E-1 Off-Site Hedge Baseline'!$B$1:$L$257,6,FALSE)),"",(VLOOKUP($B93,'E-1 Off-Site Hedge Baseline'!$B$1:$L$257,6,FALSE))))</f>
        <v/>
      </c>
      <c r="G93" s="295" t="str">
        <f>IF(B93="","",IF(ISNA(VLOOKUP($B93,'E-1 Off-Site Hedge Baseline'!$B$1:$L$257,7,FALSE)),"",(VLOOKUP($B93,'E-1 Off-Site Hedge Baseline'!$B$1:$L$257,7,FALSE))))</f>
        <v/>
      </c>
      <c r="H93" s="295" t="str">
        <f>IF(B93="","",IF(ISNA(VLOOKUP($B93,'E-1 Off-Site Hedge Baseline'!$B$1:$L$257,8,FALSE)),"",(VLOOKUP($B93,'E-1 Off-Site Hedge Baseline'!$B$1:$L$257,8,FALSE))))</f>
        <v/>
      </c>
      <c r="I93" s="295" t="str">
        <f>IF(B93="","",IF(ISNA(VLOOKUP($B93,'E-1 Off-Site Hedge Baseline'!$B$1:$L$257,10,FALSE)),"",(VLOOKUP($B93,'E-1 Off-Site Hedge Baseline'!$B$1:$L$257,10,FALSE))))</f>
        <v/>
      </c>
      <c r="J93" s="295" t="str">
        <f>IF(B93="","",IF(ISNA(VLOOKUP($B93,'E-1 Off-Site Hedge Baseline'!$B$1:$L$257,11,FALSE)),"",(VLOOKUP($B93,'E-1 Off-Site Hedge Baseline'!$B$1:$L$257,11,FALSE))))</f>
        <v/>
      </c>
      <c r="K93" s="295" t="str">
        <f>IF(B93="","",IF(ISNA(VLOOKUP($B93,'E-1 Off-Site Hedge Baseline'!$B$1:$X$257,16,FALSE)),"",(VLOOKUP($B93,'E-1 Off-Site Hedge Baseline'!$B$1:$X$257,16,FALSE))))</f>
        <v/>
      </c>
      <c r="L93" s="283" t="str">
        <f>IF(B93="","",IF(ISNA(VLOOKUP($B93,'E-1 Off-Site Hedge Baseline'!$B$1:$X$257,12,FALSE)),"",(VLOOKUP($B93,'E-1 Off-Site Hedge Baseline'!$B$1:$X$257,12,FALSE))))</f>
        <v/>
      </c>
      <c r="M93" s="244"/>
      <c r="N93" s="275" t="str">
        <f>IFERROR(IF(B93="","",INDEX('G-6 Hedgerow Data'!$AN$3:$AZ$15,MATCH(C93,'G-6 Hedgerow Data'!$AM$3:$AM$15,0),MATCH(M93,'G-6 Hedgerow Data'!$AN$2:$AZ$2,0))),"")</f>
        <v/>
      </c>
      <c r="O93" s="276" t="str">
        <f t="shared" si="9"/>
        <v/>
      </c>
      <c r="P93" s="281" t="str">
        <f>IF(B93="","",VLOOKUP(B93,'E-1 Off-Site Hedge Baseline'!$B$10:W338,19,FALSE))</f>
        <v/>
      </c>
      <c r="Q93" s="275" t="str">
        <f>IF(M93="","",VLOOKUP(M93,'G-6 Hedgerow Data'!$B$2:$AG$15,2,FALSE))</f>
        <v/>
      </c>
      <c r="R93" s="276" t="str">
        <f>IF(M93="","",VLOOKUP(M93,'G-6 Hedgerow Data'!$B$2:$AG$15,3,FALSE))</f>
        <v/>
      </c>
      <c r="S93" s="101"/>
      <c r="T93" s="276" t="str">
        <f>IFERROR(IF(S93="","",IF(AND(M93="Non-native and ornamental hedgerow",S93&lt;&gt;"Poor"),"Not possible ▲",(IF(AND(Q93="V.Low",OR(S93="Good",S93="Moderate")),"Error ▲",VLOOKUP(S93,'G-1 All Habitats'!$Z$2:$AA$9,2,FALSE))))),"")</f>
        <v/>
      </c>
      <c r="U93" s="101"/>
      <c r="V93" s="283" t="str">
        <f>IF(U93="","",IF(VLOOKUP(U93,'G-3 Multipliers'!$L$3:$N$6,2,FALSE)=0,"Spatial Data Missing ⚠",VLOOKUP(U93,'G-3 Multipliers'!$L$3:$N$6,2,FALSE)))</f>
        <v/>
      </c>
      <c r="W93" s="281" t="str">
        <f>IF(U93="","",IF(VLOOKUP(U93,'G-3 Multipliers'!$L$3:$N$6,3,FALSE)=0,"Spatial Data Missing ⚠",VLOOKUP(U93,'G-3 Multipliers'!$L$3:$N$6,3,FALSE)))</f>
        <v/>
      </c>
      <c r="X93" s="275" t="str">
        <f>IFERROR(IF(OR(LEFT(O93,5)="Error",LEFT(N93,5)="Error",T93="Error"),"Check Data ⚠",IF(F93&lt;R93,INDEX('G-6 Hedgerow Data'!$S$3:$AE$14,MATCH(C93,'G-6 Hedgerow Data'!$B$3:$B$14,0),MATCH(M93,'G-6 Hedgerow Data'!$S$2:$AE$2,0)),INDEX('G-6 Hedgerow Data'!$K$3:$Q$14,MATCH(M93,'G-6 Hedgerow Data'!$B$3:$B$14,0),MATCH(O93,'G-6 Hedgerow Data'!$K$2:$Q$2,0)))),"")</f>
        <v/>
      </c>
      <c r="Y93" s="133"/>
      <c r="Z93" s="133"/>
      <c r="AA93" s="283" t="str">
        <f t="shared" si="10"/>
        <v/>
      </c>
      <c r="AB93" s="296" t="str">
        <f t="shared" si="11"/>
        <v/>
      </c>
      <c r="AC93" s="297" t="str">
        <f t="shared" si="8"/>
        <v/>
      </c>
      <c r="AD93" s="311" t="str">
        <f>IF(M93="","",VLOOKUP(M93,'G-6 Hedgerow Data'!$B$3:$AG$15,31,FALSE))</f>
        <v/>
      </c>
      <c r="AE93" s="295" t="str">
        <f t="shared" si="12"/>
        <v/>
      </c>
      <c r="AF93" s="283" t="str">
        <f t="shared" si="13"/>
        <v/>
      </c>
      <c r="AG93" s="299" t="str">
        <f>IFERROR(IF(O93="","",VLOOKUP(AD93,'G-3 Multipliers'!$P$3:$Q$6,2,FALSE)),"")</f>
        <v/>
      </c>
      <c r="AH93" s="713" t="str">
        <f>IF(B93="","",IF(ISNA(VLOOKUP($B93,'E-1 Off-Site Hedge Baseline'!$B$1:$Z$257,14,FALSE)),"",(VLOOKUP($B93,'E-1 Off-Site Hedge Baseline'!$B$1:$Z$257,14,FALSE))))</f>
        <v/>
      </c>
      <c r="AI93" s="276" t="str">
        <f>IF(AH93="","",IF(VLOOKUP(AH93,'G-3 Multipliers'!$S$3:$T$10,2,FALSE)=0,"Spatial Data Missing ⚠",VLOOKUP(AH93,'G-3 Multipliers'!$S$3:$T$10,2,FALSE)))</f>
        <v/>
      </c>
      <c r="AJ93" s="317" t="str">
        <f t="shared" si="14"/>
        <v/>
      </c>
      <c r="AK93" s="289" t="str">
        <f t="shared" si="15"/>
        <v/>
      </c>
      <c r="AL93" s="101"/>
      <c r="AM93" s="115"/>
      <c r="AN93" s="104"/>
      <c r="AO93" s="104"/>
      <c r="AQ93" s="30" t="str">
        <f>IFERROR(INDEX('G-6 Hedgerow Data'!$BJ$3:$BJ$15,MATCH(M93,'G-6 Hedgerow Data'!$B$3:$B$15,0)),"")</f>
        <v/>
      </c>
    </row>
    <row r="94" spans="2:43" ht="14">
      <c r="B94" s="305" t="str">
        <f>'E-1 Off-Site Hedge Baseline'!AN92</f>
        <v/>
      </c>
      <c r="C94" s="295" t="str">
        <f>IF(B94="","",IF(ISNA(VLOOKUP($B94,'E-1 Off-Site Hedge Baseline'!$B$1:$L$257,3,FALSE)),"",(VLOOKUP($B94,'E-1 Off-Site Hedge Baseline'!$B$1:$L$257,3,FALSE))))</f>
        <v/>
      </c>
      <c r="D94" s="295" t="str">
        <f>IF(B94="","",IF(ISNA(VLOOKUP($B94,'E-1 Off-Site Hedge Baseline'!$B$1:$L$258,4,FALSE)),"",(VLOOKUP($B94,'E-1 Off-Site Hedge Baseline'!$B$1:$L$258,4,FALSE))))</f>
        <v/>
      </c>
      <c r="E94" s="295" t="str">
        <f>IF(B94="","",IF(ISNA(VLOOKUP($B94,'E-1 Off-Site Hedge Baseline'!$B$1:$L$257,5,FALSE)),"",(VLOOKUP($B94,'E-1 Off-Site Hedge Baseline'!$B$1:$L$257,5,FALSE))))</f>
        <v/>
      </c>
      <c r="F94" s="295" t="str">
        <f>IF(B94="","",IF(ISNA(VLOOKUP($B94,'E-1 Off-Site Hedge Baseline'!$B$1:$L$257,6,FALSE)),"",(VLOOKUP($B94,'E-1 Off-Site Hedge Baseline'!$B$1:$L$257,6,FALSE))))</f>
        <v/>
      </c>
      <c r="G94" s="295" t="str">
        <f>IF(B94="","",IF(ISNA(VLOOKUP($B94,'E-1 Off-Site Hedge Baseline'!$B$1:$L$257,7,FALSE)),"",(VLOOKUP($B94,'E-1 Off-Site Hedge Baseline'!$B$1:$L$257,7,FALSE))))</f>
        <v/>
      </c>
      <c r="H94" s="295" t="str">
        <f>IF(B94="","",IF(ISNA(VLOOKUP($B94,'E-1 Off-Site Hedge Baseline'!$B$1:$L$257,8,FALSE)),"",(VLOOKUP($B94,'E-1 Off-Site Hedge Baseline'!$B$1:$L$257,8,FALSE))))</f>
        <v/>
      </c>
      <c r="I94" s="295" t="str">
        <f>IF(B94="","",IF(ISNA(VLOOKUP($B94,'E-1 Off-Site Hedge Baseline'!$B$1:$L$257,10,FALSE)),"",(VLOOKUP($B94,'E-1 Off-Site Hedge Baseline'!$B$1:$L$257,10,FALSE))))</f>
        <v/>
      </c>
      <c r="J94" s="295" t="str">
        <f>IF(B94="","",IF(ISNA(VLOOKUP($B94,'E-1 Off-Site Hedge Baseline'!$B$1:$L$257,11,FALSE)),"",(VLOOKUP($B94,'E-1 Off-Site Hedge Baseline'!$B$1:$L$257,11,FALSE))))</f>
        <v/>
      </c>
      <c r="K94" s="295" t="str">
        <f>IF(B94="","",IF(ISNA(VLOOKUP($B94,'E-1 Off-Site Hedge Baseline'!$B$1:$X$257,16,FALSE)),"",(VLOOKUP($B94,'E-1 Off-Site Hedge Baseline'!$B$1:$X$257,16,FALSE))))</f>
        <v/>
      </c>
      <c r="L94" s="283" t="str">
        <f>IF(B94="","",IF(ISNA(VLOOKUP($B94,'E-1 Off-Site Hedge Baseline'!$B$1:$X$257,12,FALSE)),"",(VLOOKUP($B94,'E-1 Off-Site Hedge Baseline'!$B$1:$X$257,12,FALSE))))</f>
        <v/>
      </c>
      <c r="M94" s="244"/>
      <c r="N94" s="275" t="str">
        <f>IFERROR(IF(B94="","",INDEX('G-6 Hedgerow Data'!$AN$3:$AZ$15,MATCH(C94,'G-6 Hedgerow Data'!$AM$3:$AM$15,0),MATCH(M94,'G-6 Hedgerow Data'!$AN$2:$AZ$2,0))),"")</f>
        <v/>
      </c>
      <c r="O94" s="276" t="str">
        <f t="shared" si="9"/>
        <v/>
      </c>
      <c r="P94" s="281" t="str">
        <f>IF(B94="","",VLOOKUP(B94,'E-1 Off-Site Hedge Baseline'!$B$10:W339,19,FALSE))</f>
        <v/>
      </c>
      <c r="Q94" s="275" t="str">
        <f>IF(M94="","",VLOOKUP(M94,'G-6 Hedgerow Data'!$B$2:$AG$15,2,FALSE))</f>
        <v/>
      </c>
      <c r="R94" s="276" t="str">
        <f>IF(M94="","",VLOOKUP(M94,'G-6 Hedgerow Data'!$B$2:$AG$15,3,FALSE))</f>
        <v/>
      </c>
      <c r="S94" s="101"/>
      <c r="T94" s="276" t="str">
        <f>IFERROR(IF(S94="","",IF(AND(M94="Non-native and ornamental hedgerow",S94&lt;&gt;"Poor"),"Not possible ▲",(IF(AND(Q94="V.Low",OR(S94="Good",S94="Moderate")),"Error ▲",VLOOKUP(S94,'G-1 All Habitats'!$Z$2:$AA$9,2,FALSE))))),"")</f>
        <v/>
      </c>
      <c r="U94" s="101"/>
      <c r="V94" s="283" t="str">
        <f>IF(U94="","",IF(VLOOKUP(U94,'G-3 Multipliers'!$L$3:$N$6,2,FALSE)=0,"Spatial Data Missing ⚠",VLOOKUP(U94,'G-3 Multipliers'!$L$3:$N$6,2,FALSE)))</f>
        <v/>
      </c>
      <c r="W94" s="281" t="str">
        <f>IF(U94="","",IF(VLOOKUP(U94,'G-3 Multipliers'!$L$3:$N$6,3,FALSE)=0,"Spatial Data Missing ⚠",VLOOKUP(U94,'G-3 Multipliers'!$L$3:$N$6,3,FALSE)))</f>
        <v/>
      </c>
      <c r="X94" s="275" t="str">
        <f>IFERROR(IF(OR(LEFT(O94,5)="Error",LEFT(N94,5)="Error",T94="Error"),"Check Data ⚠",IF(F94&lt;R94,INDEX('G-6 Hedgerow Data'!$S$3:$AE$14,MATCH(C94,'G-6 Hedgerow Data'!$B$3:$B$14,0),MATCH(M94,'G-6 Hedgerow Data'!$S$2:$AE$2,0)),INDEX('G-6 Hedgerow Data'!$K$3:$Q$14,MATCH(M94,'G-6 Hedgerow Data'!$B$3:$B$14,0),MATCH(O94,'G-6 Hedgerow Data'!$K$2:$Q$2,0)))),"")</f>
        <v/>
      </c>
      <c r="Y94" s="133"/>
      <c r="Z94" s="133"/>
      <c r="AA94" s="283" t="str">
        <f t="shared" si="10"/>
        <v/>
      </c>
      <c r="AB94" s="296" t="str">
        <f t="shared" si="11"/>
        <v/>
      </c>
      <c r="AC94" s="297" t="str">
        <f t="shared" si="8"/>
        <v/>
      </c>
      <c r="AD94" s="311" t="str">
        <f>IF(M94="","",VLOOKUP(M94,'G-6 Hedgerow Data'!$B$3:$AG$15,31,FALSE))</f>
        <v/>
      </c>
      <c r="AE94" s="295" t="str">
        <f t="shared" si="12"/>
        <v/>
      </c>
      <c r="AF94" s="283" t="str">
        <f t="shared" si="13"/>
        <v/>
      </c>
      <c r="AG94" s="299" t="str">
        <f>IFERROR(IF(O94="","",VLOOKUP(AD94,'G-3 Multipliers'!$P$3:$Q$6,2,FALSE)),"")</f>
        <v/>
      </c>
      <c r="AH94" s="713" t="str">
        <f>IF(B94="","",IF(ISNA(VLOOKUP($B94,'E-1 Off-Site Hedge Baseline'!$B$1:$Z$257,14,FALSE)),"",(VLOOKUP($B94,'E-1 Off-Site Hedge Baseline'!$B$1:$Z$257,14,FALSE))))</f>
        <v/>
      </c>
      <c r="AI94" s="276" t="str">
        <f>IF(AH94="","",IF(VLOOKUP(AH94,'G-3 Multipliers'!$S$3:$T$10,2,FALSE)=0,"Spatial Data Missing ⚠",VLOOKUP(AH94,'G-3 Multipliers'!$S$3:$T$10,2,FALSE)))</f>
        <v/>
      </c>
      <c r="AJ94" s="317" t="str">
        <f t="shared" si="14"/>
        <v/>
      </c>
      <c r="AK94" s="289" t="str">
        <f t="shared" si="15"/>
        <v/>
      </c>
      <c r="AL94" s="101"/>
      <c r="AM94" s="115"/>
      <c r="AN94" s="104"/>
      <c r="AO94" s="104"/>
      <c r="AQ94" s="30" t="str">
        <f>IFERROR(INDEX('G-6 Hedgerow Data'!$BJ$3:$BJ$15,MATCH(M94,'G-6 Hedgerow Data'!$B$3:$B$15,0)),"")</f>
        <v/>
      </c>
    </row>
    <row r="95" spans="2:43" ht="14">
      <c r="B95" s="305" t="str">
        <f>'E-1 Off-Site Hedge Baseline'!AN93</f>
        <v/>
      </c>
      <c r="C95" s="295" t="str">
        <f>IF(B95="","",IF(ISNA(VLOOKUP($B95,'E-1 Off-Site Hedge Baseline'!$B$1:$L$257,3,FALSE)),"",(VLOOKUP($B95,'E-1 Off-Site Hedge Baseline'!$B$1:$L$257,3,FALSE))))</f>
        <v/>
      </c>
      <c r="D95" s="295" t="str">
        <f>IF(B95="","",IF(ISNA(VLOOKUP($B95,'E-1 Off-Site Hedge Baseline'!$B$1:$L$258,4,FALSE)),"",(VLOOKUP($B95,'E-1 Off-Site Hedge Baseline'!$B$1:$L$258,4,FALSE))))</f>
        <v/>
      </c>
      <c r="E95" s="295" t="str">
        <f>IF(B95="","",IF(ISNA(VLOOKUP($B95,'E-1 Off-Site Hedge Baseline'!$B$1:$L$257,5,FALSE)),"",(VLOOKUP($B95,'E-1 Off-Site Hedge Baseline'!$B$1:$L$257,5,FALSE))))</f>
        <v/>
      </c>
      <c r="F95" s="295" t="str">
        <f>IF(B95="","",IF(ISNA(VLOOKUP($B95,'E-1 Off-Site Hedge Baseline'!$B$1:$L$257,6,FALSE)),"",(VLOOKUP($B95,'E-1 Off-Site Hedge Baseline'!$B$1:$L$257,6,FALSE))))</f>
        <v/>
      </c>
      <c r="G95" s="295" t="str">
        <f>IF(B95="","",IF(ISNA(VLOOKUP($B95,'E-1 Off-Site Hedge Baseline'!$B$1:$L$257,7,FALSE)),"",(VLOOKUP($B95,'E-1 Off-Site Hedge Baseline'!$B$1:$L$257,7,FALSE))))</f>
        <v/>
      </c>
      <c r="H95" s="295" t="str">
        <f>IF(B95="","",IF(ISNA(VLOOKUP($B95,'E-1 Off-Site Hedge Baseline'!$B$1:$L$257,8,FALSE)),"",(VLOOKUP($B95,'E-1 Off-Site Hedge Baseline'!$B$1:$L$257,8,FALSE))))</f>
        <v/>
      </c>
      <c r="I95" s="295" t="str">
        <f>IF(B95="","",IF(ISNA(VLOOKUP($B95,'E-1 Off-Site Hedge Baseline'!$B$1:$L$257,10,FALSE)),"",(VLOOKUP($B95,'E-1 Off-Site Hedge Baseline'!$B$1:$L$257,10,FALSE))))</f>
        <v/>
      </c>
      <c r="J95" s="295" t="str">
        <f>IF(B95="","",IF(ISNA(VLOOKUP($B95,'E-1 Off-Site Hedge Baseline'!$B$1:$L$257,11,FALSE)),"",(VLOOKUP($B95,'E-1 Off-Site Hedge Baseline'!$B$1:$L$257,11,FALSE))))</f>
        <v/>
      </c>
      <c r="K95" s="295" t="str">
        <f>IF(B95="","",IF(ISNA(VLOOKUP($B95,'E-1 Off-Site Hedge Baseline'!$B$1:$X$257,16,FALSE)),"",(VLOOKUP($B95,'E-1 Off-Site Hedge Baseline'!$B$1:$X$257,16,FALSE))))</f>
        <v/>
      </c>
      <c r="L95" s="283" t="str">
        <f>IF(B95="","",IF(ISNA(VLOOKUP($B95,'E-1 Off-Site Hedge Baseline'!$B$1:$X$257,12,FALSE)),"",(VLOOKUP($B95,'E-1 Off-Site Hedge Baseline'!$B$1:$X$257,12,FALSE))))</f>
        <v/>
      </c>
      <c r="M95" s="244"/>
      <c r="N95" s="275" t="str">
        <f>IFERROR(IF(B95="","",INDEX('G-6 Hedgerow Data'!$AN$3:$AZ$15,MATCH(C95,'G-6 Hedgerow Data'!$AM$3:$AM$15,0),MATCH(M95,'G-6 Hedgerow Data'!$AN$2:$AZ$2,0))),"")</f>
        <v/>
      </c>
      <c r="O95" s="276" t="str">
        <f t="shared" si="9"/>
        <v/>
      </c>
      <c r="P95" s="281" t="str">
        <f>IF(B95="","",VLOOKUP(B95,'E-1 Off-Site Hedge Baseline'!$B$10:W340,19,FALSE))</f>
        <v/>
      </c>
      <c r="Q95" s="275" t="str">
        <f>IF(M95="","",VLOOKUP(M95,'G-6 Hedgerow Data'!$B$2:$AG$15,2,FALSE))</f>
        <v/>
      </c>
      <c r="R95" s="276" t="str">
        <f>IF(M95="","",VLOOKUP(M95,'G-6 Hedgerow Data'!$B$2:$AG$15,3,FALSE))</f>
        <v/>
      </c>
      <c r="S95" s="101"/>
      <c r="T95" s="276" t="str">
        <f>IFERROR(IF(S95="","",IF(AND(M95="Non-native and ornamental hedgerow",S95&lt;&gt;"Poor"),"Not possible ▲",(IF(AND(Q95="V.Low",OR(S95="Good",S95="Moderate")),"Error ▲",VLOOKUP(S95,'G-1 All Habitats'!$Z$2:$AA$9,2,FALSE))))),"")</f>
        <v/>
      </c>
      <c r="U95" s="101"/>
      <c r="V95" s="283" t="str">
        <f>IF(U95="","",IF(VLOOKUP(U95,'G-3 Multipliers'!$L$3:$N$6,2,FALSE)=0,"Spatial Data Missing ⚠",VLOOKUP(U95,'G-3 Multipliers'!$L$3:$N$6,2,FALSE)))</f>
        <v/>
      </c>
      <c r="W95" s="281" t="str">
        <f>IF(U95="","",IF(VLOOKUP(U95,'G-3 Multipliers'!$L$3:$N$6,3,FALSE)=0,"Spatial Data Missing ⚠",VLOOKUP(U95,'G-3 Multipliers'!$L$3:$N$6,3,FALSE)))</f>
        <v/>
      </c>
      <c r="X95" s="275" t="str">
        <f>IFERROR(IF(OR(LEFT(O95,5)="Error",LEFT(N95,5)="Error",T95="Error"),"Check Data ⚠",IF(F95&lt;R95,INDEX('G-6 Hedgerow Data'!$S$3:$AE$14,MATCH(C95,'G-6 Hedgerow Data'!$B$3:$B$14,0),MATCH(M95,'G-6 Hedgerow Data'!$S$2:$AE$2,0)),INDEX('G-6 Hedgerow Data'!$K$3:$Q$14,MATCH(M95,'G-6 Hedgerow Data'!$B$3:$B$14,0),MATCH(O95,'G-6 Hedgerow Data'!$K$2:$Q$2,0)))),"")</f>
        <v/>
      </c>
      <c r="Y95" s="133"/>
      <c r="Z95" s="133"/>
      <c r="AA95" s="283" t="str">
        <f t="shared" si="10"/>
        <v/>
      </c>
      <c r="AB95" s="296" t="str">
        <f t="shared" si="11"/>
        <v/>
      </c>
      <c r="AC95" s="297" t="str">
        <f t="shared" si="8"/>
        <v/>
      </c>
      <c r="AD95" s="311" t="str">
        <f>IF(M95="","",VLOOKUP(M95,'G-6 Hedgerow Data'!$B$3:$AG$15,31,FALSE))</f>
        <v/>
      </c>
      <c r="AE95" s="295" t="str">
        <f t="shared" si="12"/>
        <v/>
      </c>
      <c r="AF95" s="283" t="str">
        <f t="shared" si="13"/>
        <v/>
      </c>
      <c r="AG95" s="299" t="str">
        <f>IFERROR(IF(O95="","",VLOOKUP(AD95,'G-3 Multipliers'!$P$3:$Q$6,2,FALSE)),"")</f>
        <v/>
      </c>
      <c r="AH95" s="713" t="str">
        <f>IF(B95="","",IF(ISNA(VLOOKUP($B95,'E-1 Off-Site Hedge Baseline'!$B$1:$Z$257,14,FALSE)),"",(VLOOKUP($B95,'E-1 Off-Site Hedge Baseline'!$B$1:$Z$257,14,FALSE))))</f>
        <v/>
      </c>
      <c r="AI95" s="276" t="str">
        <f>IF(AH95="","",IF(VLOOKUP(AH95,'G-3 Multipliers'!$S$3:$T$10,2,FALSE)=0,"Spatial Data Missing ⚠",VLOOKUP(AH95,'G-3 Multipliers'!$S$3:$T$10,2,FALSE)))</f>
        <v/>
      </c>
      <c r="AJ95" s="317" t="str">
        <f t="shared" si="14"/>
        <v/>
      </c>
      <c r="AK95" s="289" t="str">
        <f t="shared" si="15"/>
        <v/>
      </c>
      <c r="AL95" s="101"/>
      <c r="AM95" s="115"/>
      <c r="AN95" s="104"/>
      <c r="AO95" s="104"/>
      <c r="AQ95" s="30" t="str">
        <f>IFERROR(INDEX('G-6 Hedgerow Data'!$BJ$3:$BJ$15,MATCH(M95,'G-6 Hedgerow Data'!$B$3:$B$15,0)),"")</f>
        <v/>
      </c>
    </row>
    <row r="96" spans="2:43" ht="14">
      <c r="B96" s="305" t="str">
        <f>'E-1 Off-Site Hedge Baseline'!AN94</f>
        <v/>
      </c>
      <c r="C96" s="295" t="str">
        <f>IF(B96="","",IF(ISNA(VLOOKUP($B96,'E-1 Off-Site Hedge Baseline'!$B$1:$L$257,3,FALSE)),"",(VLOOKUP($B96,'E-1 Off-Site Hedge Baseline'!$B$1:$L$257,3,FALSE))))</f>
        <v/>
      </c>
      <c r="D96" s="295" t="str">
        <f>IF(B96="","",IF(ISNA(VLOOKUP($B96,'E-1 Off-Site Hedge Baseline'!$B$1:$L$258,4,FALSE)),"",(VLOOKUP($B96,'E-1 Off-Site Hedge Baseline'!$B$1:$L$258,4,FALSE))))</f>
        <v/>
      </c>
      <c r="E96" s="295" t="str">
        <f>IF(B96="","",IF(ISNA(VLOOKUP($B96,'E-1 Off-Site Hedge Baseline'!$B$1:$L$257,5,FALSE)),"",(VLOOKUP($B96,'E-1 Off-Site Hedge Baseline'!$B$1:$L$257,5,FALSE))))</f>
        <v/>
      </c>
      <c r="F96" s="295" t="str">
        <f>IF(B96="","",IF(ISNA(VLOOKUP($B96,'E-1 Off-Site Hedge Baseline'!$B$1:$L$257,6,FALSE)),"",(VLOOKUP($B96,'E-1 Off-Site Hedge Baseline'!$B$1:$L$257,6,FALSE))))</f>
        <v/>
      </c>
      <c r="G96" s="295" t="str">
        <f>IF(B96="","",IF(ISNA(VLOOKUP($B96,'E-1 Off-Site Hedge Baseline'!$B$1:$L$257,7,FALSE)),"",(VLOOKUP($B96,'E-1 Off-Site Hedge Baseline'!$B$1:$L$257,7,FALSE))))</f>
        <v/>
      </c>
      <c r="H96" s="295" t="str">
        <f>IF(B96="","",IF(ISNA(VLOOKUP($B96,'E-1 Off-Site Hedge Baseline'!$B$1:$L$257,8,FALSE)),"",(VLOOKUP($B96,'E-1 Off-Site Hedge Baseline'!$B$1:$L$257,8,FALSE))))</f>
        <v/>
      </c>
      <c r="I96" s="295" t="str">
        <f>IF(B96="","",IF(ISNA(VLOOKUP($B96,'E-1 Off-Site Hedge Baseline'!$B$1:$L$257,10,FALSE)),"",(VLOOKUP($B96,'E-1 Off-Site Hedge Baseline'!$B$1:$L$257,10,FALSE))))</f>
        <v/>
      </c>
      <c r="J96" s="295" t="str">
        <f>IF(B96="","",IF(ISNA(VLOOKUP($B96,'E-1 Off-Site Hedge Baseline'!$B$1:$L$257,11,FALSE)),"",(VLOOKUP($B96,'E-1 Off-Site Hedge Baseline'!$B$1:$L$257,11,FALSE))))</f>
        <v/>
      </c>
      <c r="K96" s="295" t="str">
        <f>IF(B96="","",IF(ISNA(VLOOKUP($B96,'E-1 Off-Site Hedge Baseline'!$B$1:$X$257,16,FALSE)),"",(VLOOKUP($B96,'E-1 Off-Site Hedge Baseline'!$B$1:$X$257,16,FALSE))))</f>
        <v/>
      </c>
      <c r="L96" s="283" t="str">
        <f>IF(B96="","",IF(ISNA(VLOOKUP($B96,'E-1 Off-Site Hedge Baseline'!$B$1:$X$257,12,FALSE)),"",(VLOOKUP($B96,'E-1 Off-Site Hedge Baseline'!$B$1:$X$257,12,FALSE))))</f>
        <v/>
      </c>
      <c r="M96" s="244"/>
      <c r="N96" s="275" t="str">
        <f>IFERROR(IF(B96="","",INDEX('G-6 Hedgerow Data'!$AN$3:$AZ$15,MATCH(C96,'G-6 Hedgerow Data'!$AM$3:$AM$15,0),MATCH(M96,'G-6 Hedgerow Data'!$AN$2:$AZ$2,0))),"")</f>
        <v/>
      </c>
      <c r="O96" s="276" t="str">
        <f t="shared" si="9"/>
        <v/>
      </c>
      <c r="P96" s="281" t="str">
        <f>IF(B96="","",VLOOKUP(B96,'E-1 Off-Site Hedge Baseline'!$B$10:W341,19,FALSE))</f>
        <v/>
      </c>
      <c r="Q96" s="275" t="str">
        <f>IF(M96="","",VLOOKUP(M96,'G-6 Hedgerow Data'!$B$2:$AG$15,2,FALSE))</f>
        <v/>
      </c>
      <c r="R96" s="276" t="str">
        <f>IF(M96="","",VLOOKUP(M96,'G-6 Hedgerow Data'!$B$2:$AG$15,3,FALSE))</f>
        <v/>
      </c>
      <c r="S96" s="101"/>
      <c r="T96" s="276" t="str">
        <f>IFERROR(IF(S96="","",IF(AND(M96="Non-native and ornamental hedgerow",S96&lt;&gt;"Poor"),"Not possible ▲",(IF(AND(Q96="V.Low",OR(S96="Good",S96="Moderate")),"Error ▲",VLOOKUP(S96,'G-1 All Habitats'!$Z$2:$AA$9,2,FALSE))))),"")</f>
        <v/>
      </c>
      <c r="U96" s="101"/>
      <c r="V96" s="283" t="str">
        <f>IF(U96="","",IF(VLOOKUP(U96,'G-3 Multipliers'!$L$3:$N$6,2,FALSE)=0,"Spatial Data Missing ⚠",VLOOKUP(U96,'G-3 Multipliers'!$L$3:$N$6,2,FALSE)))</f>
        <v/>
      </c>
      <c r="W96" s="281" t="str">
        <f>IF(U96="","",IF(VLOOKUP(U96,'G-3 Multipliers'!$L$3:$N$6,3,FALSE)=0,"Spatial Data Missing ⚠",VLOOKUP(U96,'G-3 Multipliers'!$L$3:$N$6,3,FALSE)))</f>
        <v/>
      </c>
      <c r="X96" s="275" t="str">
        <f>IFERROR(IF(OR(LEFT(O96,5)="Error",LEFT(N96,5)="Error",T96="Error"),"Check Data ⚠",IF(F96&lt;R96,INDEX('G-6 Hedgerow Data'!$S$3:$AE$14,MATCH(C96,'G-6 Hedgerow Data'!$B$3:$B$14,0),MATCH(M96,'G-6 Hedgerow Data'!$S$2:$AE$2,0)),INDEX('G-6 Hedgerow Data'!$K$3:$Q$14,MATCH(M96,'G-6 Hedgerow Data'!$B$3:$B$14,0),MATCH(O96,'G-6 Hedgerow Data'!$K$2:$Q$2,0)))),"")</f>
        <v/>
      </c>
      <c r="Y96" s="133"/>
      <c r="Z96" s="133"/>
      <c r="AA96" s="283" t="str">
        <f t="shared" si="10"/>
        <v/>
      </c>
      <c r="AB96" s="296" t="str">
        <f t="shared" si="11"/>
        <v/>
      </c>
      <c r="AC96" s="297" t="str">
        <f t="shared" si="8"/>
        <v/>
      </c>
      <c r="AD96" s="311" t="str">
        <f>IF(M96="","",VLOOKUP(M96,'G-6 Hedgerow Data'!$B$3:$AG$15,31,FALSE))</f>
        <v/>
      </c>
      <c r="AE96" s="295" t="str">
        <f t="shared" si="12"/>
        <v/>
      </c>
      <c r="AF96" s="283" t="str">
        <f t="shared" si="13"/>
        <v/>
      </c>
      <c r="AG96" s="299" t="str">
        <f>IFERROR(IF(O96="","",VLOOKUP(AD96,'G-3 Multipliers'!$P$3:$Q$6,2,FALSE)),"")</f>
        <v/>
      </c>
      <c r="AH96" s="713" t="str">
        <f>IF(B96="","",IF(ISNA(VLOOKUP($B96,'E-1 Off-Site Hedge Baseline'!$B$1:$Z$257,14,FALSE)),"",(VLOOKUP($B96,'E-1 Off-Site Hedge Baseline'!$B$1:$Z$257,14,FALSE))))</f>
        <v/>
      </c>
      <c r="AI96" s="276" t="str">
        <f>IF(AH96="","",IF(VLOOKUP(AH96,'G-3 Multipliers'!$S$3:$T$10,2,FALSE)=0,"Spatial Data Missing ⚠",VLOOKUP(AH96,'G-3 Multipliers'!$S$3:$T$10,2,FALSE)))</f>
        <v/>
      </c>
      <c r="AJ96" s="317" t="str">
        <f t="shared" si="14"/>
        <v/>
      </c>
      <c r="AK96" s="289" t="str">
        <f t="shared" si="15"/>
        <v/>
      </c>
      <c r="AL96" s="101"/>
      <c r="AM96" s="115"/>
      <c r="AN96" s="104"/>
      <c r="AO96" s="104"/>
      <c r="AQ96" s="30" t="str">
        <f>IFERROR(INDEX('G-6 Hedgerow Data'!$BJ$3:$BJ$15,MATCH(M96,'G-6 Hedgerow Data'!$B$3:$B$15,0)),"")</f>
        <v/>
      </c>
    </row>
    <row r="97" spans="2:43" ht="14">
      <c r="B97" s="305" t="str">
        <f>'E-1 Off-Site Hedge Baseline'!AN95</f>
        <v/>
      </c>
      <c r="C97" s="295" t="str">
        <f>IF(B97="","",IF(ISNA(VLOOKUP($B97,'E-1 Off-Site Hedge Baseline'!$B$1:$L$257,3,FALSE)),"",(VLOOKUP($B97,'E-1 Off-Site Hedge Baseline'!$B$1:$L$257,3,FALSE))))</f>
        <v/>
      </c>
      <c r="D97" s="295" t="str">
        <f>IF(B97="","",IF(ISNA(VLOOKUP($B97,'E-1 Off-Site Hedge Baseline'!$B$1:$L$258,4,FALSE)),"",(VLOOKUP($B97,'E-1 Off-Site Hedge Baseline'!$B$1:$L$258,4,FALSE))))</f>
        <v/>
      </c>
      <c r="E97" s="295" t="str">
        <f>IF(B97="","",IF(ISNA(VLOOKUP($B97,'E-1 Off-Site Hedge Baseline'!$B$1:$L$257,5,FALSE)),"",(VLOOKUP($B97,'E-1 Off-Site Hedge Baseline'!$B$1:$L$257,5,FALSE))))</f>
        <v/>
      </c>
      <c r="F97" s="295" t="str">
        <f>IF(B97="","",IF(ISNA(VLOOKUP($B97,'E-1 Off-Site Hedge Baseline'!$B$1:$L$257,6,FALSE)),"",(VLOOKUP($B97,'E-1 Off-Site Hedge Baseline'!$B$1:$L$257,6,FALSE))))</f>
        <v/>
      </c>
      <c r="G97" s="295" t="str">
        <f>IF(B97="","",IF(ISNA(VLOOKUP($B97,'E-1 Off-Site Hedge Baseline'!$B$1:$L$257,7,FALSE)),"",(VLOOKUP($B97,'E-1 Off-Site Hedge Baseline'!$B$1:$L$257,7,FALSE))))</f>
        <v/>
      </c>
      <c r="H97" s="295" t="str">
        <f>IF(B97="","",IF(ISNA(VLOOKUP($B97,'E-1 Off-Site Hedge Baseline'!$B$1:$L$257,8,FALSE)),"",(VLOOKUP($B97,'E-1 Off-Site Hedge Baseline'!$B$1:$L$257,8,FALSE))))</f>
        <v/>
      </c>
      <c r="I97" s="295" t="str">
        <f>IF(B97="","",IF(ISNA(VLOOKUP($B97,'E-1 Off-Site Hedge Baseline'!$B$1:$L$257,10,FALSE)),"",(VLOOKUP($B97,'E-1 Off-Site Hedge Baseline'!$B$1:$L$257,10,FALSE))))</f>
        <v/>
      </c>
      <c r="J97" s="295" t="str">
        <f>IF(B97="","",IF(ISNA(VLOOKUP($B97,'E-1 Off-Site Hedge Baseline'!$B$1:$L$257,11,FALSE)),"",(VLOOKUP($B97,'E-1 Off-Site Hedge Baseline'!$B$1:$L$257,11,FALSE))))</f>
        <v/>
      </c>
      <c r="K97" s="295" t="str">
        <f>IF(B97="","",IF(ISNA(VLOOKUP($B97,'E-1 Off-Site Hedge Baseline'!$B$1:$X$257,16,FALSE)),"",(VLOOKUP($B97,'E-1 Off-Site Hedge Baseline'!$B$1:$X$257,16,FALSE))))</f>
        <v/>
      </c>
      <c r="L97" s="283" t="str">
        <f>IF(B97="","",IF(ISNA(VLOOKUP($B97,'E-1 Off-Site Hedge Baseline'!$B$1:$X$257,12,FALSE)),"",(VLOOKUP($B97,'E-1 Off-Site Hedge Baseline'!$B$1:$X$257,12,FALSE))))</f>
        <v/>
      </c>
      <c r="M97" s="244"/>
      <c r="N97" s="275" t="str">
        <f>IFERROR(IF(B97="","",INDEX('G-6 Hedgerow Data'!$AN$3:$AZ$15,MATCH(C97,'G-6 Hedgerow Data'!$AM$3:$AM$15,0),MATCH(M97,'G-6 Hedgerow Data'!$AN$2:$AZ$2,0))),"")</f>
        <v/>
      </c>
      <c r="O97" s="276" t="str">
        <f t="shared" si="9"/>
        <v/>
      </c>
      <c r="P97" s="281" t="str">
        <f>IF(B97="","",VLOOKUP(B97,'E-1 Off-Site Hedge Baseline'!$B$10:W342,19,FALSE))</f>
        <v/>
      </c>
      <c r="Q97" s="275" t="str">
        <f>IF(M97="","",VLOOKUP(M97,'G-6 Hedgerow Data'!$B$2:$AG$15,2,FALSE))</f>
        <v/>
      </c>
      <c r="R97" s="276" t="str">
        <f>IF(M97="","",VLOOKUP(M97,'G-6 Hedgerow Data'!$B$2:$AG$15,3,FALSE))</f>
        <v/>
      </c>
      <c r="S97" s="101"/>
      <c r="T97" s="276" t="str">
        <f>IFERROR(IF(S97="","",IF(AND(M97="Non-native and ornamental hedgerow",S97&lt;&gt;"Poor"),"Not possible ▲",(IF(AND(Q97="V.Low",OR(S97="Good",S97="Moderate")),"Error ▲",VLOOKUP(S97,'G-1 All Habitats'!$Z$2:$AA$9,2,FALSE))))),"")</f>
        <v/>
      </c>
      <c r="U97" s="101"/>
      <c r="V97" s="283" t="str">
        <f>IF(U97="","",IF(VLOOKUP(U97,'G-3 Multipliers'!$L$3:$N$6,2,FALSE)=0,"Spatial Data Missing ⚠",VLOOKUP(U97,'G-3 Multipliers'!$L$3:$N$6,2,FALSE)))</f>
        <v/>
      </c>
      <c r="W97" s="281" t="str">
        <f>IF(U97="","",IF(VLOOKUP(U97,'G-3 Multipliers'!$L$3:$N$6,3,FALSE)=0,"Spatial Data Missing ⚠",VLOOKUP(U97,'G-3 Multipliers'!$L$3:$N$6,3,FALSE)))</f>
        <v/>
      </c>
      <c r="X97" s="275" t="str">
        <f>IFERROR(IF(OR(LEFT(O97,5)="Error",LEFT(N97,5)="Error",T97="Error"),"Check Data ⚠",IF(F97&lt;R97,INDEX('G-6 Hedgerow Data'!$S$3:$AE$14,MATCH(C97,'G-6 Hedgerow Data'!$B$3:$B$14,0),MATCH(M97,'G-6 Hedgerow Data'!$S$2:$AE$2,0)),INDEX('G-6 Hedgerow Data'!$K$3:$Q$14,MATCH(M97,'G-6 Hedgerow Data'!$B$3:$B$14,0),MATCH(O97,'G-6 Hedgerow Data'!$K$2:$Q$2,0)))),"")</f>
        <v/>
      </c>
      <c r="Y97" s="133"/>
      <c r="Z97" s="133"/>
      <c r="AA97" s="283" t="str">
        <f t="shared" si="10"/>
        <v/>
      </c>
      <c r="AB97" s="296" t="str">
        <f t="shared" si="11"/>
        <v/>
      </c>
      <c r="AC97" s="297" t="str">
        <f t="shared" si="8"/>
        <v/>
      </c>
      <c r="AD97" s="311" t="str">
        <f>IF(M97="","",VLOOKUP(M97,'G-6 Hedgerow Data'!$B$3:$AG$15,31,FALSE))</f>
        <v/>
      </c>
      <c r="AE97" s="295" t="str">
        <f t="shared" si="12"/>
        <v/>
      </c>
      <c r="AF97" s="283" t="str">
        <f t="shared" si="13"/>
        <v/>
      </c>
      <c r="AG97" s="299" t="str">
        <f>IFERROR(IF(O97="","",VLOOKUP(AD97,'G-3 Multipliers'!$P$3:$Q$6,2,FALSE)),"")</f>
        <v/>
      </c>
      <c r="AH97" s="713" t="str">
        <f>IF(B97="","",IF(ISNA(VLOOKUP($B97,'E-1 Off-Site Hedge Baseline'!$B$1:$Z$257,14,FALSE)),"",(VLOOKUP($B97,'E-1 Off-Site Hedge Baseline'!$B$1:$Z$257,14,FALSE))))</f>
        <v/>
      </c>
      <c r="AI97" s="276" t="str">
        <f>IF(AH97="","",IF(VLOOKUP(AH97,'G-3 Multipliers'!$S$3:$T$10,2,FALSE)=0,"Spatial Data Missing ⚠",VLOOKUP(AH97,'G-3 Multipliers'!$S$3:$T$10,2,FALSE)))</f>
        <v/>
      </c>
      <c r="AJ97" s="317" t="str">
        <f t="shared" si="14"/>
        <v/>
      </c>
      <c r="AK97" s="289" t="str">
        <f t="shared" si="15"/>
        <v/>
      </c>
      <c r="AL97" s="101"/>
      <c r="AM97" s="115"/>
      <c r="AN97" s="104"/>
      <c r="AO97" s="104"/>
      <c r="AQ97" s="30" t="str">
        <f>IFERROR(INDEX('G-6 Hedgerow Data'!$BJ$3:$BJ$15,MATCH(M97,'G-6 Hedgerow Data'!$B$3:$B$15,0)),"")</f>
        <v/>
      </c>
    </row>
    <row r="98" spans="2:43" ht="14">
      <c r="B98" s="305" t="str">
        <f>'E-1 Off-Site Hedge Baseline'!AN96</f>
        <v/>
      </c>
      <c r="C98" s="295" t="str">
        <f>IF(B98="","",IF(ISNA(VLOOKUP($B98,'E-1 Off-Site Hedge Baseline'!$B$1:$L$257,3,FALSE)),"",(VLOOKUP($B98,'E-1 Off-Site Hedge Baseline'!$B$1:$L$257,3,FALSE))))</f>
        <v/>
      </c>
      <c r="D98" s="295" t="str">
        <f>IF(B98="","",IF(ISNA(VLOOKUP($B98,'E-1 Off-Site Hedge Baseline'!$B$1:$L$258,4,FALSE)),"",(VLOOKUP($B98,'E-1 Off-Site Hedge Baseline'!$B$1:$L$258,4,FALSE))))</f>
        <v/>
      </c>
      <c r="E98" s="295" t="str">
        <f>IF(B98="","",IF(ISNA(VLOOKUP($B98,'E-1 Off-Site Hedge Baseline'!$B$1:$L$257,5,FALSE)),"",(VLOOKUP($B98,'E-1 Off-Site Hedge Baseline'!$B$1:$L$257,5,FALSE))))</f>
        <v/>
      </c>
      <c r="F98" s="295" t="str">
        <f>IF(B98="","",IF(ISNA(VLOOKUP($B98,'E-1 Off-Site Hedge Baseline'!$B$1:$L$257,6,FALSE)),"",(VLOOKUP($B98,'E-1 Off-Site Hedge Baseline'!$B$1:$L$257,6,FALSE))))</f>
        <v/>
      </c>
      <c r="G98" s="295" t="str">
        <f>IF(B98="","",IF(ISNA(VLOOKUP($B98,'E-1 Off-Site Hedge Baseline'!$B$1:$L$257,7,FALSE)),"",(VLOOKUP($B98,'E-1 Off-Site Hedge Baseline'!$B$1:$L$257,7,FALSE))))</f>
        <v/>
      </c>
      <c r="H98" s="295" t="str">
        <f>IF(B98="","",IF(ISNA(VLOOKUP($B98,'E-1 Off-Site Hedge Baseline'!$B$1:$L$257,8,FALSE)),"",(VLOOKUP($B98,'E-1 Off-Site Hedge Baseline'!$B$1:$L$257,8,FALSE))))</f>
        <v/>
      </c>
      <c r="I98" s="295" t="str">
        <f>IF(B98="","",IF(ISNA(VLOOKUP($B98,'E-1 Off-Site Hedge Baseline'!$B$1:$L$257,10,FALSE)),"",(VLOOKUP($B98,'E-1 Off-Site Hedge Baseline'!$B$1:$L$257,10,FALSE))))</f>
        <v/>
      </c>
      <c r="J98" s="295" t="str">
        <f>IF(B98="","",IF(ISNA(VLOOKUP($B98,'E-1 Off-Site Hedge Baseline'!$B$1:$L$257,11,FALSE)),"",(VLOOKUP($B98,'E-1 Off-Site Hedge Baseline'!$B$1:$L$257,11,FALSE))))</f>
        <v/>
      </c>
      <c r="K98" s="295" t="str">
        <f>IF(B98="","",IF(ISNA(VLOOKUP($B98,'E-1 Off-Site Hedge Baseline'!$B$1:$X$257,16,FALSE)),"",(VLOOKUP($B98,'E-1 Off-Site Hedge Baseline'!$B$1:$X$257,16,FALSE))))</f>
        <v/>
      </c>
      <c r="L98" s="283" t="str">
        <f>IF(B98="","",IF(ISNA(VLOOKUP($B98,'E-1 Off-Site Hedge Baseline'!$B$1:$X$257,12,FALSE)),"",(VLOOKUP($B98,'E-1 Off-Site Hedge Baseline'!$B$1:$X$257,12,FALSE))))</f>
        <v/>
      </c>
      <c r="M98" s="244"/>
      <c r="N98" s="275" t="str">
        <f>IFERROR(IF(B98="","",INDEX('G-6 Hedgerow Data'!$AN$3:$AZ$15,MATCH(C98,'G-6 Hedgerow Data'!$AM$3:$AM$15,0),MATCH(M98,'G-6 Hedgerow Data'!$AN$2:$AZ$2,0))),"")</f>
        <v/>
      </c>
      <c r="O98" s="276" t="str">
        <f t="shared" si="9"/>
        <v/>
      </c>
      <c r="P98" s="281" t="str">
        <f>IF(B98="","",VLOOKUP(B98,'E-1 Off-Site Hedge Baseline'!$B$10:W343,19,FALSE))</f>
        <v/>
      </c>
      <c r="Q98" s="275" t="str">
        <f>IF(M98="","",VLOOKUP(M98,'G-6 Hedgerow Data'!$B$2:$AG$15,2,FALSE))</f>
        <v/>
      </c>
      <c r="R98" s="276" t="str">
        <f>IF(M98="","",VLOOKUP(M98,'G-6 Hedgerow Data'!$B$2:$AG$15,3,FALSE))</f>
        <v/>
      </c>
      <c r="S98" s="101"/>
      <c r="T98" s="276" t="str">
        <f>IFERROR(IF(S98="","",IF(AND(M98="Non-native and ornamental hedgerow",S98&lt;&gt;"Poor"),"Not possible ▲",(IF(AND(Q98="V.Low",OR(S98="Good",S98="Moderate")),"Error ▲",VLOOKUP(S98,'G-1 All Habitats'!$Z$2:$AA$9,2,FALSE))))),"")</f>
        <v/>
      </c>
      <c r="U98" s="101"/>
      <c r="V98" s="283" t="str">
        <f>IF(U98="","",IF(VLOOKUP(U98,'G-3 Multipliers'!$L$3:$N$6,2,FALSE)=0,"Spatial Data Missing ⚠",VLOOKUP(U98,'G-3 Multipliers'!$L$3:$N$6,2,FALSE)))</f>
        <v/>
      </c>
      <c r="W98" s="281" t="str">
        <f>IF(U98="","",IF(VLOOKUP(U98,'G-3 Multipliers'!$L$3:$N$6,3,FALSE)=0,"Spatial Data Missing ⚠",VLOOKUP(U98,'G-3 Multipliers'!$L$3:$N$6,3,FALSE)))</f>
        <v/>
      </c>
      <c r="X98" s="275" t="str">
        <f>IFERROR(IF(OR(LEFT(O98,5)="Error",LEFT(N98,5)="Error",T98="Error"),"Check Data ⚠",IF(F98&lt;R98,INDEX('G-6 Hedgerow Data'!$S$3:$AE$14,MATCH(C98,'G-6 Hedgerow Data'!$B$3:$B$14,0),MATCH(M98,'G-6 Hedgerow Data'!$S$2:$AE$2,0)),INDEX('G-6 Hedgerow Data'!$K$3:$Q$14,MATCH(M98,'G-6 Hedgerow Data'!$B$3:$B$14,0),MATCH(O98,'G-6 Hedgerow Data'!$K$2:$Q$2,0)))),"")</f>
        <v/>
      </c>
      <c r="Y98" s="133"/>
      <c r="Z98" s="133"/>
      <c r="AA98" s="283" t="str">
        <f t="shared" si="10"/>
        <v/>
      </c>
      <c r="AB98" s="296" t="str">
        <f t="shared" si="11"/>
        <v/>
      </c>
      <c r="AC98" s="297" t="str">
        <f t="shared" si="8"/>
        <v/>
      </c>
      <c r="AD98" s="311" t="str">
        <f>IF(M98="","",VLOOKUP(M98,'G-6 Hedgerow Data'!$B$3:$AG$15,31,FALSE))</f>
        <v/>
      </c>
      <c r="AE98" s="295" t="str">
        <f t="shared" si="12"/>
        <v/>
      </c>
      <c r="AF98" s="283" t="str">
        <f t="shared" si="13"/>
        <v/>
      </c>
      <c r="AG98" s="299" t="str">
        <f>IFERROR(IF(O98="","",VLOOKUP(AD98,'G-3 Multipliers'!$P$3:$Q$6,2,FALSE)),"")</f>
        <v/>
      </c>
      <c r="AH98" s="713" t="str">
        <f>IF(B98="","",IF(ISNA(VLOOKUP($B98,'E-1 Off-Site Hedge Baseline'!$B$1:$Z$257,14,FALSE)),"",(VLOOKUP($B98,'E-1 Off-Site Hedge Baseline'!$B$1:$Z$257,14,FALSE))))</f>
        <v/>
      </c>
      <c r="AI98" s="276" t="str">
        <f>IF(AH98="","",IF(VLOOKUP(AH98,'G-3 Multipliers'!$S$3:$T$10,2,FALSE)=0,"Spatial Data Missing ⚠",VLOOKUP(AH98,'G-3 Multipliers'!$S$3:$T$10,2,FALSE)))</f>
        <v/>
      </c>
      <c r="AJ98" s="317" t="str">
        <f t="shared" si="14"/>
        <v/>
      </c>
      <c r="AK98" s="289" t="str">
        <f t="shared" si="15"/>
        <v/>
      </c>
      <c r="AL98" s="101"/>
      <c r="AM98" s="115"/>
      <c r="AN98" s="104"/>
      <c r="AO98" s="104"/>
      <c r="AQ98" s="30" t="str">
        <f>IFERROR(INDEX('G-6 Hedgerow Data'!$BJ$3:$BJ$15,MATCH(M98,'G-6 Hedgerow Data'!$B$3:$B$15,0)),"")</f>
        <v/>
      </c>
    </row>
    <row r="99" spans="2:43" ht="14">
      <c r="B99" s="305" t="str">
        <f>'E-1 Off-Site Hedge Baseline'!AN97</f>
        <v/>
      </c>
      <c r="C99" s="295" t="str">
        <f>IF(B99="","",IF(ISNA(VLOOKUP($B99,'E-1 Off-Site Hedge Baseline'!$B$1:$L$257,3,FALSE)),"",(VLOOKUP($B99,'E-1 Off-Site Hedge Baseline'!$B$1:$L$257,3,FALSE))))</f>
        <v/>
      </c>
      <c r="D99" s="295" t="str">
        <f>IF(B99="","",IF(ISNA(VLOOKUP($B99,'E-1 Off-Site Hedge Baseline'!$B$1:$L$258,4,FALSE)),"",(VLOOKUP($B99,'E-1 Off-Site Hedge Baseline'!$B$1:$L$258,4,FALSE))))</f>
        <v/>
      </c>
      <c r="E99" s="295" t="str">
        <f>IF(B99="","",IF(ISNA(VLOOKUP($B99,'E-1 Off-Site Hedge Baseline'!$B$1:$L$257,5,FALSE)),"",(VLOOKUP($B99,'E-1 Off-Site Hedge Baseline'!$B$1:$L$257,5,FALSE))))</f>
        <v/>
      </c>
      <c r="F99" s="295" t="str">
        <f>IF(B99="","",IF(ISNA(VLOOKUP($B99,'E-1 Off-Site Hedge Baseline'!$B$1:$L$257,6,FALSE)),"",(VLOOKUP($B99,'E-1 Off-Site Hedge Baseline'!$B$1:$L$257,6,FALSE))))</f>
        <v/>
      </c>
      <c r="G99" s="295" t="str">
        <f>IF(B99="","",IF(ISNA(VLOOKUP($B99,'E-1 Off-Site Hedge Baseline'!$B$1:$L$257,7,FALSE)),"",(VLOOKUP($B99,'E-1 Off-Site Hedge Baseline'!$B$1:$L$257,7,FALSE))))</f>
        <v/>
      </c>
      <c r="H99" s="295" t="str">
        <f>IF(B99="","",IF(ISNA(VLOOKUP($B99,'E-1 Off-Site Hedge Baseline'!$B$1:$L$257,8,FALSE)),"",(VLOOKUP($B99,'E-1 Off-Site Hedge Baseline'!$B$1:$L$257,8,FALSE))))</f>
        <v/>
      </c>
      <c r="I99" s="295" t="str">
        <f>IF(B99="","",IF(ISNA(VLOOKUP($B99,'E-1 Off-Site Hedge Baseline'!$B$1:$L$257,10,FALSE)),"",(VLOOKUP($B99,'E-1 Off-Site Hedge Baseline'!$B$1:$L$257,10,FALSE))))</f>
        <v/>
      </c>
      <c r="J99" s="295" t="str">
        <f>IF(B99="","",IF(ISNA(VLOOKUP($B99,'E-1 Off-Site Hedge Baseline'!$B$1:$L$257,11,FALSE)),"",(VLOOKUP($B99,'E-1 Off-Site Hedge Baseline'!$B$1:$L$257,11,FALSE))))</f>
        <v/>
      </c>
      <c r="K99" s="295" t="str">
        <f>IF(B99="","",IF(ISNA(VLOOKUP($B99,'E-1 Off-Site Hedge Baseline'!$B$1:$X$257,16,FALSE)),"",(VLOOKUP($B99,'E-1 Off-Site Hedge Baseline'!$B$1:$X$257,16,FALSE))))</f>
        <v/>
      </c>
      <c r="L99" s="283" t="str">
        <f>IF(B99="","",IF(ISNA(VLOOKUP($B99,'E-1 Off-Site Hedge Baseline'!$B$1:$X$257,12,FALSE)),"",(VLOOKUP($B99,'E-1 Off-Site Hedge Baseline'!$B$1:$X$257,12,FALSE))))</f>
        <v/>
      </c>
      <c r="M99" s="244"/>
      <c r="N99" s="275" t="str">
        <f>IFERROR(IF(B99="","",INDEX('G-6 Hedgerow Data'!$AN$3:$AZ$15,MATCH(C99,'G-6 Hedgerow Data'!$AM$3:$AM$15,0),MATCH(M99,'G-6 Hedgerow Data'!$AN$2:$AZ$2,0))),"")</f>
        <v/>
      </c>
      <c r="O99" s="276" t="str">
        <f t="shared" si="9"/>
        <v/>
      </c>
      <c r="P99" s="281" t="str">
        <f>IF(B99="","",VLOOKUP(B99,'E-1 Off-Site Hedge Baseline'!$B$10:W344,19,FALSE))</f>
        <v/>
      </c>
      <c r="Q99" s="275" t="str">
        <f>IF(M99="","",VLOOKUP(M99,'G-6 Hedgerow Data'!$B$2:$AG$15,2,FALSE))</f>
        <v/>
      </c>
      <c r="R99" s="276" t="str">
        <f>IF(M99="","",VLOOKUP(M99,'G-6 Hedgerow Data'!$B$2:$AG$15,3,FALSE))</f>
        <v/>
      </c>
      <c r="S99" s="101"/>
      <c r="T99" s="276" t="str">
        <f>IFERROR(IF(S99="","",IF(AND(M99="Non-native and ornamental hedgerow",S99&lt;&gt;"Poor"),"Not possible ▲",(IF(AND(Q99="V.Low",OR(S99="Good",S99="Moderate")),"Error ▲",VLOOKUP(S99,'G-1 All Habitats'!$Z$2:$AA$9,2,FALSE))))),"")</f>
        <v/>
      </c>
      <c r="U99" s="101"/>
      <c r="V99" s="283" t="str">
        <f>IF(U99="","",IF(VLOOKUP(U99,'G-3 Multipliers'!$L$3:$N$6,2,FALSE)=0,"Spatial Data Missing ⚠",VLOOKUP(U99,'G-3 Multipliers'!$L$3:$N$6,2,FALSE)))</f>
        <v/>
      </c>
      <c r="W99" s="281" t="str">
        <f>IF(U99="","",IF(VLOOKUP(U99,'G-3 Multipliers'!$L$3:$N$6,3,FALSE)=0,"Spatial Data Missing ⚠",VLOOKUP(U99,'G-3 Multipliers'!$L$3:$N$6,3,FALSE)))</f>
        <v/>
      </c>
      <c r="X99" s="275" t="str">
        <f>IFERROR(IF(OR(LEFT(O99,5)="Error",LEFT(N99,5)="Error",T99="Error"),"Check Data ⚠",IF(F99&lt;R99,INDEX('G-6 Hedgerow Data'!$S$3:$AE$14,MATCH(C99,'G-6 Hedgerow Data'!$B$3:$B$14,0),MATCH(M99,'G-6 Hedgerow Data'!$S$2:$AE$2,0)),INDEX('G-6 Hedgerow Data'!$K$3:$Q$14,MATCH(M99,'G-6 Hedgerow Data'!$B$3:$B$14,0),MATCH(O99,'G-6 Hedgerow Data'!$K$2:$Q$2,0)))),"")</f>
        <v/>
      </c>
      <c r="Y99" s="133"/>
      <c r="Z99" s="133"/>
      <c r="AA99" s="283" t="str">
        <f t="shared" si="10"/>
        <v/>
      </c>
      <c r="AB99" s="296" t="str">
        <f t="shared" si="11"/>
        <v/>
      </c>
      <c r="AC99" s="297" t="str">
        <f t="shared" si="8"/>
        <v/>
      </c>
      <c r="AD99" s="311" t="str">
        <f>IF(M99="","",VLOOKUP(M99,'G-6 Hedgerow Data'!$B$3:$AG$15,31,FALSE))</f>
        <v/>
      </c>
      <c r="AE99" s="295" t="str">
        <f t="shared" si="12"/>
        <v/>
      </c>
      <c r="AF99" s="283" t="str">
        <f t="shared" si="13"/>
        <v/>
      </c>
      <c r="AG99" s="299" t="str">
        <f>IFERROR(IF(O99="","",VLOOKUP(AD99,'G-3 Multipliers'!$P$3:$Q$6,2,FALSE)),"")</f>
        <v/>
      </c>
      <c r="AH99" s="713" t="str">
        <f>IF(B99="","",IF(ISNA(VLOOKUP($B99,'E-1 Off-Site Hedge Baseline'!$B$1:$Z$257,14,FALSE)),"",(VLOOKUP($B99,'E-1 Off-Site Hedge Baseline'!$B$1:$Z$257,14,FALSE))))</f>
        <v/>
      </c>
      <c r="AI99" s="276" t="str">
        <f>IF(AH99="","",IF(VLOOKUP(AH99,'G-3 Multipliers'!$S$3:$T$10,2,FALSE)=0,"Spatial Data Missing ⚠",VLOOKUP(AH99,'G-3 Multipliers'!$S$3:$T$10,2,FALSE)))</f>
        <v/>
      </c>
      <c r="AJ99" s="317" t="str">
        <f t="shared" si="14"/>
        <v/>
      </c>
      <c r="AK99" s="289" t="str">
        <f t="shared" si="15"/>
        <v/>
      </c>
      <c r="AL99" s="101"/>
      <c r="AM99" s="115"/>
      <c r="AN99" s="104"/>
      <c r="AO99" s="104"/>
      <c r="AQ99" s="30" t="str">
        <f>IFERROR(INDEX('G-6 Hedgerow Data'!$BJ$3:$BJ$15,MATCH(M99,'G-6 Hedgerow Data'!$B$3:$B$15,0)),"")</f>
        <v/>
      </c>
    </row>
    <row r="100" spans="2:43" ht="14">
      <c r="B100" s="305" t="str">
        <f>'E-1 Off-Site Hedge Baseline'!AN98</f>
        <v/>
      </c>
      <c r="C100" s="295" t="str">
        <f>IF(B100="","",IF(ISNA(VLOOKUP($B100,'E-1 Off-Site Hedge Baseline'!$B$1:$L$257,3,FALSE)),"",(VLOOKUP($B100,'E-1 Off-Site Hedge Baseline'!$B$1:$L$257,3,FALSE))))</f>
        <v/>
      </c>
      <c r="D100" s="295" t="str">
        <f>IF(B100="","",IF(ISNA(VLOOKUP($B100,'E-1 Off-Site Hedge Baseline'!$B$1:$L$258,4,FALSE)),"",(VLOOKUP($B100,'E-1 Off-Site Hedge Baseline'!$B$1:$L$258,4,FALSE))))</f>
        <v/>
      </c>
      <c r="E100" s="295" t="str">
        <f>IF(B100="","",IF(ISNA(VLOOKUP($B100,'E-1 Off-Site Hedge Baseline'!$B$1:$L$257,5,FALSE)),"",(VLOOKUP($B100,'E-1 Off-Site Hedge Baseline'!$B$1:$L$257,5,FALSE))))</f>
        <v/>
      </c>
      <c r="F100" s="295" t="str">
        <f>IF(B100="","",IF(ISNA(VLOOKUP($B100,'E-1 Off-Site Hedge Baseline'!$B$1:$L$257,6,FALSE)),"",(VLOOKUP($B100,'E-1 Off-Site Hedge Baseline'!$B$1:$L$257,6,FALSE))))</f>
        <v/>
      </c>
      <c r="G100" s="295" t="str">
        <f>IF(B100="","",IF(ISNA(VLOOKUP($B100,'E-1 Off-Site Hedge Baseline'!$B$1:$L$257,7,FALSE)),"",(VLOOKUP($B100,'E-1 Off-Site Hedge Baseline'!$B$1:$L$257,7,FALSE))))</f>
        <v/>
      </c>
      <c r="H100" s="295" t="str">
        <f>IF(B100="","",IF(ISNA(VLOOKUP($B100,'E-1 Off-Site Hedge Baseline'!$B$1:$L$257,8,FALSE)),"",(VLOOKUP($B100,'E-1 Off-Site Hedge Baseline'!$B$1:$L$257,8,FALSE))))</f>
        <v/>
      </c>
      <c r="I100" s="295" t="str">
        <f>IF(B100="","",IF(ISNA(VLOOKUP($B100,'E-1 Off-Site Hedge Baseline'!$B$1:$L$257,10,FALSE)),"",(VLOOKUP($B100,'E-1 Off-Site Hedge Baseline'!$B$1:$L$257,10,FALSE))))</f>
        <v/>
      </c>
      <c r="J100" s="295" t="str">
        <f>IF(B100="","",IF(ISNA(VLOOKUP($B100,'E-1 Off-Site Hedge Baseline'!$B$1:$L$257,11,FALSE)),"",(VLOOKUP($B100,'E-1 Off-Site Hedge Baseline'!$B$1:$L$257,11,FALSE))))</f>
        <v/>
      </c>
      <c r="K100" s="295" t="str">
        <f>IF(B100="","",IF(ISNA(VLOOKUP($B100,'E-1 Off-Site Hedge Baseline'!$B$1:$X$257,16,FALSE)),"",(VLOOKUP($B100,'E-1 Off-Site Hedge Baseline'!$B$1:$X$257,16,FALSE))))</f>
        <v/>
      </c>
      <c r="L100" s="283" t="str">
        <f>IF(B100="","",IF(ISNA(VLOOKUP($B100,'E-1 Off-Site Hedge Baseline'!$B$1:$X$257,12,FALSE)),"",(VLOOKUP($B100,'E-1 Off-Site Hedge Baseline'!$B$1:$X$257,12,FALSE))))</f>
        <v/>
      </c>
      <c r="M100" s="244"/>
      <c r="N100" s="275" t="str">
        <f>IFERROR(IF(B100="","",INDEX('G-6 Hedgerow Data'!$AN$3:$AZ$15,MATCH(C100,'G-6 Hedgerow Data'!$AM$3:$AM$15,0),MATCH(M100,'G-6 Hedgerow Data'!$AN$2:$AZ$2,0))),"")</f>
        <v/>
      </c>
      <c r="O100" s="276" t="str">
        <f t="shared" si="9"/>
        <v/>
      </c>
      <c r="P100" s="281" t="str">
        <f>IF(B100="","",VLOOKUP(B100,'E-1 Off-Site Hedge Baseline'!$B$10:W345,19,FALSE))</f>
        <v/>
      </c>
      <c r="Q100" s="275" t="str">
        <f>IF(M100="","",VLOOKUP(M100,'G-6 Hedgerow Data'!$B$2:$AG$15,2,FALSE))</f>
        <v/>
      </c>
      <c r="R100" s="276" t="str">
        <f>IF(M100="","",VLOOKUP(M100,'G-6 Hedgerow Data'!$B$2:$AG$15,3,FALSE))</f>
        <v/>
      </c>
      <c r="S100" s="101"/>
      <c r="T100" s="276" t="str">
        <f>IFERROR(IF(S100="","",IF(AND(M100="Non-native and ornamental hedgerow",S100&lt;&gt;"Poor"),"Not possible ▲",(IF(AND(Q100="V.Low",OR(S100="Good",S100="Moderate")),"Error ▲",VLOOKUP(S100,'G-1 All Habitats'!$Z$2:$AA$9,2,FALSE))))),"")</f>
        <v/>
      </c>
      <c r="U100" s="101"/>
      <c r="V100" s="283" t="str">
        <f>IF(U100="","",IF(VLOOKUP(U100,'G-3 Multipliers'!$L$3:$N$6,2,FALSE)=0,"Spatial Data Missing ⚠",VLOOKUP(U100,'G-3 Multipliers'!$L$3:$N$6,2,FALSE)))</f>
        <v/>
      </c>
      <c r="W100" s="281" t="str">
        <f>IF(U100="","",IF(VLOOKUP(U100,'G-3 Multipliers'!$L$3:$N$6,3,FALSE)=0,"Spatial Data Missing ⚠",VLOOKUP(U100,'G-3 Multipliers'!$L$3:$N$6,3,FALSE)))</f>
        <v/>
      </c>
      <c r="X100" s="275" t="str">
        <f>IFERROR(IF(OR(LEFT(O100,5)="Error",LEFT(N100,5)="Error",T100="Error"),"Check Data ⚠",IF(F100&lt;R100,INDEX('G-6 Hedgerow Data'!$S$3:$AE$14,MATCH(C100,'G-6 Hedgerow Data'!$B$3:$B$14,0),MATCH(M100,'G-6 Hedgerow Data'!$S$2:$AE$2,0)),INDEX('G-6 Hedgerow Data'!$K$3:$Q$14,MATCH(M100,'G-6 Hedgerow Data'!$B$3:$B$14,0),MATCH(O100,'G-6 Hedgerow Data'!$K$2:$Q$2,0)))),"")</f>
        <v/>
      </c>
      <c r="Y100" s="133"/>
      <c r="Z100" s="133"/>
      <c r="AA100" s="283" t="str">
        <f t="shared" si="10"/>
        <v/>
      </c>
      <c r="AB100" s="296" t="str">
        <f t="shared" si="11"/>
        <v/>
      </c>
      <c r="AC100" s="297" t="str">
        <f t="shared" si="8"/>
        <v/>
      </c>
      <c r="AD100" s="311" t="str">
        <f>IF(M100="","",VLOOKUP(M100,'G-6 Hedgerow Data'!$B$3:$AG$15,31,FALSE))</f>
        <v/>
      </c>
      <c r="AE100" s="295" t="str">
        <f t="shared" si="12"/>
        <v/>
      </c>
      <c r="AF100" s="283" t="str">
        <f t="shared" si="13"/>
        <v/>
      </c>
      <c r="AG100" s="299" t="str">
        <f>IFERROR(IF(O100="","",VLOOKUP(AD100,'G-3 Multipliers'!$P$3:$Q$6,2,FALSE)),"")</f>
        <v/>
      </c>
      <c r="AH100" s="713" t="str">
        <f>IF(B100="","",IF(ISNA(VLOOKUP($B100,'E-1 Off-Site Hedge Baseline'!$B$1:$Z$257,14,FALSE)),"",(VLOOKUP($B100,'E-1 Off-Site Hedge Baseline'!$B$1:$Z$257,14,FALSE))))</f>
        <v/>
      </c>
      <c r="AI100" s="276" t="str">
        <f>IF(AH100="","",IF(VLOOKUP(AH100,'G-3 Multipliers'!$S$3:$T$10,2,FALSE)=0,"Spatial Data Missing ⚠",VLOOKUP(AH100,'G-3 Multipliers'!$S$3:$T$10,2,FALSE)))</f>
        <v/>
      </c>
      <c r="AJ100" s="317" t="str">
        <f t="shared" si="14"/>
        <v/>
      </c>
      <c r="AK100" s="289" t="str">
        <f t="shared" si="15"/>
        <v/>
      </c>
      <c r="AL100" s="101"/>
      <c r="AM100" s="115"/>
      <c r="AN100" s="104"/>
      <c r="AO100" s="104"/>
      <c r="AQ100" s="30" t="str">
        <f>IFERROR(INDEX('G-6 Hedgerow Data'!$BJ$3:$BJ$15,MATCH(M100,'G-6 Hedgerow Data'!$B$3:$B$15,0)),"")</f>
        <v/>
      </c>
    </row>
    <row r="101" spans="2:43" ht="14">
      <c r="B101" s="305" t="str">
        <f>'E-1 Off-Site Hedge Baseline'!AN99</f>
        <v/>
      </c>
      <c r="C101" s="295" t="str">
        <f>IF(B101="","",IF(ISNA(VLOOKUP($B101,'E-1 Off-Site Hedge Baseline'!$B$1:$L$257,3,FALSE)),"",(VLOOKUP($B101,'E-1 Off-Site Hedge Baseline'!$B$1:$L$257,3,FALSE))))</f>
        <v/>
      </c>
      <c r="D101" s="295" t="str">
        <f>IF(B101="","",IF(ISNA(VLOOKUP($B101,'E-1 Off-Site Hedge Baseline'!$B$1:$L$258,4,FALSE)),"",(VLOOKUP($B101,'E-1 Off-Site Hedge Baseline'!$B$1:$L$258,4,FALSE))))</f>
        <v/>
      </c>
      <c r="E101" s="295" t="str">
        <f>IF(B101="","",IF(ISNA(VLOOKUP($B101,'E-1 Off-Site Hedge Baseline'!$B$1:$L$257,5,FALSE)),"",(VLOOKUP($B101,'E-1 Off-Site Hedge Baseline'!$B$1:$L$257,5,FALSE))))</f>
        <v/>
      </c>
      <c r="F101" s="295" t="str">
        <f>IF(B101="","",IF(ISNA(VLOOKUP($B101,'E-1 Off-Site Hedge Baseline'!$B$1:$L$257,6,FALSE)),"",(VLOOKUP($B101,'E-1 Off-Site Hedge Baseline'!$B$1:$L$257,6,FALSE))))</f>
        <v/>
      </c>
      <c r="G101" s="295" t="str">
        <f>IF(B101="","",IF(ISNA(VLOOKUP($B101,'E-1 Off-Site Hedge Baseline'!$B$1:$L$257,7,FALSE)),"",(VLOOKUP($B101,'E-1 Off-Site Hedge Baseline'!$B$1:$L$257,7,FALSE))))</f>
        <v/>
      </c>
      <c r="H101" s="295" t="str">
        <f>IF(B101="","",IF(ISNA(VLOOKUP($B101,'E-1 Off-Site Hedge Baseline'!$B$1:$L$257,8,FALSE)),"",(VLOOKUP($B101,'E-1 Off-Site Hedge Baseline'!$B$1:$L$257,8,FALSE))))</f>
        <v/>
      </c>
      <c r="I101" s="295" t="str">
        <f>IF(B101="","",IF(ISNA(VLOOKUP($B101,'E-1 Off-Site Hedge Baseline'!$B$1:$L$257,10,FALSE)),"",(VLOOKUP($B101,'E-1 Off-Site Hedge Baseline'!$B$1:$L$257,10,FALSE))))</f>
        <v/>
      </c>
      <c r="J101" s="295" t="str">
        <f>IF(B101="","",IF(ISNA(VLOOKUP($B101,'E-1 Off-Site Hedge Baseline'!$B$1:$L$257,11,FALSE)),"",(VLOOKUP($B101,'E-1 Off-Site Hedge Baseline'!$B$1:$L$257,11,FALSE))))</f>
        <v/>
      </c>
      <c r="K101" s="295" t="str">
        <f>IF(B101="","",IF(ISNA(VLOOKUP($B101,'E-1 Off-Site Hedge Baseline'!$B$1:$X$257,16,FALSE)),"",(VLOOKUP($B101,'E-1 Off-Site Hedge Baseline'!$B$1:$X$257,16,FALSE))))</f>
        <v/>
      </c>
      <c r="L101" s="283" t="str">
        <f>IF(B101="","",IF(ISNA(VLOOKUP($B101,'E-1 Off-Site Hedge Baseline'!$B$1:$X$257,12,FALSE)),"",(VLOOKUP($B101,'E-1 Off-Site Hedge Baseline'!$B$1:$X$257,12,FALSE))))</f>
        <v/>
      </c>
      <c r="M101" s="244"/>
      <c r="N101" s="275" t="str">
        <f>IFERROR(IF(B101="","",INDEX('G-6 Hedgerow Data'!$AN$3:$AZ$15,MATCH(C101,'G-6 Hedgerow Data'!$AM$3:$AM$15,0),MATCH(M101,'G-6 Hedgerow Data'!$AN$2:$AZ$2,0))),"")</f>
        <v/>
      </c>
      <c r="O101" s="276" t="str">
        <f t="shared" si="9"/>
        <v/>
      </c>
      <c r="P101" s="281" t="str">
        <f>IF(B101="","",VLOOKUP(B101,'E-1 Off-Site Hedge Baseline'!$B$10:W346,19,FALSE))</f>
        <v/>
      </c>
      <c r="Q101" s="275" t="str">
        <f>IF(M101="","",VLOOKUP(M101,'G-6 Hedgerow Data'!$B$2:$AG$15,2,FALSE))</f>
        <v/>
      </c>
      <c r="R101" s="276" t="str">
        <f>IF(M101="","",VLOOKUP(M101,'G-6 Hedgerow Data'!$B$2:$AG$15,3,FALSE))</f>
        <v/>
      </c>
      <c r="S101" s="101"/>
      <c r="T101" s="276" t="str">
        <f>IFERROR(IF(S101="","",IF(AND(M101="Non-native and ornamental hedgerow",S101&lt;&gt;"Poor"),"Not possible ▲",(IF(AND(Q101="V.Low",OR(S101="Good",S101="Moderate")),"Error ▲",VLOOKUP(S101,'G-1 All Habitats'!$Z$2:$AA$9,2,FALSE))))),"")</f>
        <v/>
      </c>
      <c r="U101" s="101"/>
      <c r="V101" s="283" t="str">
        <f>IF(U101="","",IF(VLOOKUP(U101,'G-3 Multipliers'!$L$3:$N$6,2,FALSE)=0,"Spatial Data Missing ⚠",VLOOKUP(U101,'G-3 Multipliers'!$L$3:$N$6,2,FALSE)))</f>
        <v/>
      </c>
      <c r="W101" s="281" t="str">
        <f>IF(U101="","",IF(VLOOKUP(U101,'G-3 Multipliers'!$L$3:$N$6,3,FALSE)=0,"Spatial Data Missing ⚠",VLOOKUP(U101,'G-3 Multipliers'!$L$3:$N$6,3,FALSE)))</f>
        <v/>
      </c>
      <c r="X101" s="275" t="str">
        <f>IFERROR(IF(OR(LEFT(O101,5)="Error",LEFT(N101,5)="Error",T101="Error"),"Check Data ⚠",IF(F101&lt;R101,INDEX('G-6 Hedgerow Data'!$S$3:$AE$14,MATCH(C101,'G-6 Hedgerow Data'!$B$3:$B$14,0),MATCH(M101,'G-6 Hedgerow Data'!$S$2:$AE$2,0)),INDEX('G-6 Hedgerow Data'!$K$3:$Q$14,MATCH(M101,'G-6 Hedgerow Data'!$B$3:$B$14,0),MATCH(O101,'G-6 Hedgerow Data'!$K$2:$Q$2,0)))),"")</f>
        <v/>
      </c>
      <c r="Y101" s="133"/>
      <c r="Z101" s="133"/>
      <c r="AA101" s="283" t="str">
        <f t="shared" si="10"/>
        <v/>
      </c>
      <c r="AB101" s="296" t="str">
        <f t="shared" si="11"/>
        <v/>
      </c>
      <c r="AC101" s="297" t="str">
        <f t="shared" si="8"/>
        <v/>
      </c>
      <c r="AD101" s="311" t="str">
        <f>IF(M101="","",VLOOKUP(M101,'G-6 Hedgerow Data'!$B$3:$AG$15,31,FALSE))</f>
        <v/>
      </c>
      <c r="AE101" s="295" t="str">
        <f t="shared" si="12"/>
        <v/>
      </c>
      <c r="AF101" s="283" t="str">
        <f t="shared" si="13"/>
        <v/>
      </c>
      <c r="AG101" s="299" t="str">
        <f>IFERROR(IF(O101="","",VLOOKUP(AD101,'G-3 Multipliers'!$P$3:$Q$6,2,FALSE)),"")</f>
        <v/>
      </c>
      <c r="AH101" s="713" t="str">
        <f>IF(B101="","",IF(ISNA(VLOOKUP($B101,'E-1 Off-Site Hedge Baseline'!$B$1:$Z$257,14,FALSE)),"",(VLOOKUP($B101,'E-1 Off-Site Hedge Baseline'!$B$1:$Z$257,14,FALSE))))</f>
        <v/>
      </c>
      <c r="AI101" s="276" t="str">
        <f>IF(AH101="","",IF(VLOOKUP(AH101,'G-3 Multipliers'!$S$3:$T$10,2,FALSE)=0,"Spatial Data Missing ⚠",VLOOKUP(AH101,'G-3 Multipliers'!$S$3:$T$10,2,FALSE)))</f>
        <v/>
      </c>
      <c r="AJ101" s="317" t="str">
        <f t="shared" si="14"/>
        <v/>
      </c>
      <c r="AK101" s="289" t="str">
        <f t="shared" si="15"/>
        <v/>
      </c>
      <c r="AL101" s="101"/>
      <c r="AM101" s="115"/>
      <c r="AN101" s="104"/>
      <c r="AO101" s="104"/>
      <c r="AQ101" s="30" t="str">
        <f>IFERROR(INDEX('G-6 Hedgerow Data'!$BJ$3:$BJ$15,MATCH(M101,'G-6 Hedgerow Data'!$B$3:$B$15,0)),"")</f>
        <v/>
      </c>
    </row>
    <row r="102" spans="2:43" ht="14">
      <c r="B102" s="305" t="str">
        <f>'E-1 Off-Site Hedge Baseline'!AN100</f>
        <v/>
      </c>
      <c r="C102" s="295" t="str">
        <f>IF(B102="","",IF(ISNA(VLOOKUP($B102,'E-1 Off-Site Hedge Baseline'!$B$1:$L$257,3,FALSE)),"",(VLOOKUP($B102,'E-1 Off-Site Hedge Baseline'!$B$1:$L$257,3,FALSE))))</f>
        <v/>
      </c>
      <c r="D102" s="295" t="str">
        <f>IF(B102="","",IF(ISNA(VLOOKUP($B102,'E-1 Off-Site Hedge Baseline'!$B$1:$L$258,4,FALSE)),"",(VLOOKUP($B102,'E-1 Off-Site Hedge Baseline'!$B$1:$L$258,4,FALSE))))</f>
        <v/>
      </c>
      <c r="E102" s="295" t="str">
        <f>IF(B102="","",IF(ISNA(VLOOKUP($B102,'E-1 Off-Site Hedge Baseline'!$B$1:$L$257,5,FALSE)),"",(VLOOKUP($B102,'E-1 Off-Site Hedge Baseline'!$B$1:$L$257,5,FALSE))))</f>
        <v/>
      </c>
      <c r="F102" s="295" t="str">
        <f>IF(B102="","",IF(ISNA(VLOOKUP($B102,'E-1 Off-Site Hedge Baseline'!$B$1:$L$257,6,FALSE)),"",(VLOOKUP($B102,'E-1 Off-Site Hedge Baseline'!$B$1:$L$257,6,FALSE))))</f>
        <v/>
      </c>
      <c r="G102" s="295" t="str">
        <f>IF(B102="","",IF(ISNA(VLOOKUP($B102,'E-1 Off-Site Hedge Baseline'!$B$1:$L$257,7,FALSE)),"",(VLOOKUP($B102,'E-1 Off-Site Hedge Baseline'!$B$1:$L$257,7,FALSE))))</f>
        <v/>
      </c>
      <c r="H102" s="295" t="str">
        <f>IF(B102="","",IF(ISNA(VLOOKUP($B102,'E-1 Off-Site Hedge Baseline'!$B$1:$L$257,8,FALSE)),"",(VLOOKUP($B102,'E-1 Off-Site Hedge Baseline'!$B$1:$L$257,8,FALSE))))</f>
        <v/>
      </c>
      <c r="I102" s="295" t="str">
        <f>IF(B102="","",IF(ISNA(VLOOKUP($B102,'E-1 Off-Site Hedge Baseline'!$B$1:$L$257,10,FALSE)),"",(VLOOKUP($B102,'E-1 Off-Site Hedge Baseline'!$B$1:$L$257,10,FALSE))))</f>
        <v/>
      </c>
      <c r="J102" s="295" t="str">
        <f>IF(B102="","",IF(ISNA(VLOOKUP($B102,'E-1 Off-Site Hedge Baseline'!$B$1:$L$257,11,FALSE)),"",(VLOOKUP($B102,'E-1 Off-Site Hedge Baseline'!$B$1:$L$257,11,FALSE))))</f>
        <v/>
      </c>
      <c r="K102" s="295" t="str">
        <f>IF(B102="","",IF(ISNA(VLOOKUP($B102,'E-1 Off-Site Hedge Baseline'!$B$1:$X$257,16,FALSE)),"",(VLOOKUP($B102,'E-1 Off-Site Hedge Baseline'!$B$1:$X$257,16,FALSE))))</f>
        <v/>
      </c>
      <c r="L102" s="283" t="str">
        <f>IF(B102="","",IF(ISNA(VLOOKUP($B102,'E-1 Off-Site Hedge Baseline'!$B$1:$X$257,12,FALSE)),"",(VLOOKUP($B102,'E-1 Off-Site Hedge Baseline'!$B$1:$X$257,12,FALSE))))</f>
        <v/>
      </c>
      <c r="M102" s="244"/>
      <c r="N102" s="275" t="str">
        <f>IFERROR(IF(B102="","",INDEX('G-6 Hedgerow Data'!$AN$3:$AZ$15,MATCH(C102,'G-6 Hedgerow Data'!$AM$3:$AM$15,0),MATCH(M102,'G-6 Hedgerow Data'!$AN$2:$AZ$2,0))),"")</f>
        <v/>
      </c>
      <c r="O102" s="276" t="str">
        <f t="shared" si="9"/>
        <v/>
      </c>
      <c r="P102" s="281" t="str">
        <f>IF(B102="","",VLOOKUP(B102,'E-1 Off-Site Hedge Baseline'!$B$10:W347,19,FALSE))</f>
        <v/>
      </c>
      <c r="Q102" s="275" t="str">
        <f>IF(M102="","",VLOOKUP(M102,'G-6 Hedgerow Data'!$B$2:$AG$15,2,FALSE))</f>
        <v/>
      </c>
      <c r="R102" s="276" t="str">
        <f>IF(M102="","",VLOOKUP(M102,'G-6 Hedgerow Data'!$B$2:$AG$15,3,FALSE))</f>
        <v/>
      </c>
      <c r="S102" s="101"/>
      <c r="T102" s="276" t="str">
        <f>IFERROR(IF(S102="","",IF(AND(M102="Non-native and ornamental hedgerow",S102&lt;&gt;"Poor"),"Not possible ▲",(IF(AND(Q102="V.Low",OR(S102="Good",S102="Moderate")),"Error ▲",VLOOKUP(S102,'G-1 All Habitats'!$Z$2:$AA$9,2,FALSE))))),"")</f>
        <v/>
      </c>
      <c r="U102" s="101"/>
      <c r="V102" s="283" t="str">
        <f>IF(U102="","",IF(VLOOKUP(U102,'G-3 Multipliers'!$L$3:$N$6,2,FALSE)=0,"Spatial Data Missing ⚠",VLOOKUP(U102,'G-3 Multipliers'!$L$3:$N$6,2,FALSE)))</f>
        <v/>
      </c>
      <c r="W102" s="281" t="str">
        <f>IF(U102="","",IF(VLOOKUP(U102,'G-3 Multipliers'!$L$3:$N$6,3,FALSE)=0,"Spatial Data Missing ⚠",VLOOKUP(U102,'G-3 Multipliers'!$L$3:$N$6,3,FALSE)))</f>
        <v/>
      </c>
      <c r="X102" s="275" t="str">
        <f>IFERROR(IF(OR(LEFT(O102,5)="Error",LEFT(N102,5)="Error",T102="Error"),"Check Data ⚠",IF(F102&lt;R102,INDEX('G-6 Hedgerow Data'!$S$3:$AE$14,MATCH(C102,'G-6 Hedgerow Data'!$B$3:$B$14,0),MATCH(M102,'G-6 Hedgerow Data'!$S$2:$AE$2,0)),INDEX('G-6 Hedgerow Data'!$K$3:$Q$14,MATCH(M102,'G-6 Hedgerow Data'!$B$3:$B$14,0),MATCH(O102,'G-6 Hedgerow Data'!$K$2:$Q$2,0)))),"")</f>
        <v/>
      </c>
      <c r="Y102" s="133"/>
      <c r="Z102" s="133"/>
      <c r="AA102" s="283" t="str">
        <f t="shared" si="10"/>
        <v/>
      </c>
      <c r="AB102" s="296" t="str">
        <f t="shared" si="11"/>
        <v/>
      </c>
      <c r="AC102" s="297" t="str">
        <f t="shared" si="8"/>
        <v/>
      </c>
      <c r="AD102" s="311" t="str">
        <f>IF(M102="","",VLOOKUP(M102,'G-6 Hedgerow Data'!$B$3:$AG$15,31,FALSE))</f>
        <v/>
      </c>
      <c r="AE102" s="295" t="str">
        <f t="shared" si="12"/>
        <v/>
      </c>
      <c r="AF102" s="283" t="str">
        <f t="shared" si="13"/>
        <v/>
      </c>
      <c r="AG102" s="299" t="str">
        <f>IFERROR(IF(O102="","",VLOOKUP(AD102,'G-3 Multipliers'!$P$3:$Q$6,2,FALSE)),"")</f>
        <v/>
      </c>
      <c r="AH102" s="713" t="str">
        <f>IF(B102="","",IF(ISNA(VLOOKUP($B102,'E-1 Off-Site Hedge Baseline'!$B$1:$Z$257,14,FALSE)),"",(VLOOKUP($B102,'E-1 Off-Site Hedge Baseline'!$B$1:$Z$257,14,FALSE))))</f>
        <v/>
      </c>
      <c r="AI102" s="276" t="str">
        <f>IF(AH102="","",IF(VLOOKUP(AH102,'G-3 Multipliers'!$S$3:$T$10,2,FALSE)=0,"Spatial Data Missing ⚠",VLOOKUP(AH102,'G-3 Multipliers'!$S$3:$T$10,2,FALSE)))</f>
        <v/>
      </c>
      <c r="AJ102" s="317" t="str">
        <f t="shared" si="14"/>
        <v/>
      </c>
      <c r="AK102" s="289" t="str">
        <f t="shared" si="15"/>
        <v/>
      </c>
      <c r="AL102" s="101"/>
      <c r="AM102" s="115"/>
      <c r="AN102" s="104"/>
      <c r="AO102" s="104"/>
      <c r="AQ102" s="30" t="str">
        <f>IFERROR(INDEX('G-6 Hedgerow Data'!$BJ$3:$BJ$15,MATCH(M102,'G-6 Hedgerow Data'!$B$3:$B$15,0)),"")</f>
        <v/>
      </c>
    </row>
    <row r="103" spans="2:43" ht="14">
      <c r="B103" s="305" t="str">
        <f>'E-1 Off-Site Hedge Baseline'!AN101</f>
        <v/>
      </c>
      <c r="C103" s="295" t="str">
        <f>IF(B103="","",IF(ISNA(VLOOKUP($B103,'E-1 Off-Site Hedge Baseline'!$B$1:$L$257,3,FALSE)),"",(VLOOKUP($B103,'E-1 Off-Site Hedge Baseline'!$B$1:$L$257,3,FALSE))))</f>
        <v/>
      </c>
      <c r="D103" s="295" t="str">
        <f>IF(B103="","",IF(ISNA(VLOOKUP($B103,'E-1 Off-Site Hedge Baseline'!$B$1:$L$258,4,FALSE)),"",(VLOOKUP($B103,'E-1 Off-Site Hedge Baseline'!$B$1:$L$258,4,FALSE))))</f>
        <v/>
      </c>
      <c r="E103" s="295" t="str">
        <f>IF(B103="","",IF(ISNA(VLOOKUP($B103,'E-1 Off-Site Hedge Baseline'!$B$1:$L$257,5,FALSE)),"",(VLOOKUP($B103,'E-1 Off-Site Hedge Baseline'!$B$1:$L$257,5,FALSE))))</f>
        <v/>
      </c>
      <c r="F103" s="295" t="str">
        <f>IF(B103="","",IF(ISNA(VLOOKUP($B103,'E-1 Off-Site Hedge Baseline'!$B$1:$L$257,6,FALSE)),"",(VLOOKUP($B103,'E-1 Off-Site Hedge Baseline'!$B$1:$L$257,6,FALSE))))</f>
        <v/>
      </c>
      <c r="G103" s="295" t="str">
        <f>IF(B103="","",IF(ISNA(VLOOKUP($B103,'E-1 Off-Site Hedge Baseline'!$B$1:$L$257,7,FALSE)),"",(VLOOKUP($B103,'E-1 Off-Site Hedge Baseline'!$B$1:$L$257,7,FALSE))))</f>
        <v/>
      </c>
      <c r="H103" s="295" t="str">
        <f>IF(B103="","",IF(ISNA(VLOOKUP($B103,'E-1 Off-Site Hedge Baseline'!$B$1:$L$257,8,FALSE)),"",(VLOOKUP($B103,'E-1 Off-Site Hedge Baseline'!$B$1:$L$257,8,FALSE))))</f>
        <v/>
      </c>
      <c r="I103" s="295" t="str">
        <f>IF(B103="","",IF(ISNA(VLOOKUP($B103,'E-1 Off-Site Hedge Baseline'!$B$1:$L$257,10,FALSE)),"",(VLOOKUP($B103,'E-1 Off-Site Hedge Baseline'!$B$1:$L$257,10,FALSE))))</f>
        <v/>
      </c>
      <c r="J103" s="295" t="str">
        <f>IF(B103="","",IF(ISNA(VLOOKUP($B103,'E-1 Off-Site Hedge Baseline'!$B$1:$L$257,11,FALSE)),"",(VLOOKUP($B103,'E-1 Off-Site Hedge Baseline'!$B$1:$L$257,11,FALSE))))</f>
        <v/>
      </c>
      <c r="K103" s="295" t="str">
        <f>IF(B103="","",IF(ISNA(VLOOKUP($B103,'E-1 Off-Site Hedge Baseline'!$B$1:$X$257,16,FALSE)),"",(VLOOKUP($B103,'E-1 Off-Site Hedge Baseline'!$B$1:$X$257,16,FALSE))))</f>
        <v/>
      </c>
      <c r="L103" s="283" t="str">
        <f>IF(B103="","",IF(ISNA(VLOOKUP($B103,'E-1 Off-Site Hedge Baseline'!$B$1:$X$257,12,FALSE)),"",(VLOOKUP($B103,'E-1 Off-Site Hedge Baseline'!$B$1:$X$257,12,FALSE))))</f>
        <v/>
      </c>
      <c r="M103" s="244"/>
      <c r="N103" s="275" t="str">
        <f>IFERROR(IF(B103="","",INDEX('G-6 Hedgerow Data'!$AN$3:$AZ$15,MATCH(C103,'G-6 Hedgerow Data'!$AM$3:$AM$15,0),MATCH(M103,'G-6 Hedgerow Data'!$AN$2:$AZ$2,0))),"")</f>
        <v/>
      </c>
      <c r="O103" s="276" t="str">
        <f t="shared" si="9"/>
        <v/>
      </c>
      <c r="P103" s="281" t="str">
        <f>IF(B103="","",VLOOKUP(B103,'E-1 Off-Site Hedge Baseline'!$B$10:W348,19,FALSE))</f>
        <v/>
      </c>
      <c r="Q103" s="275" t="str">
        <f>IF(M103="","",VLOOKUP(M103,'G-6 Hedgerow Data'!$B$2:$AG$15,2,FALSE))</f>
        <v/>
      </c>
      <c r="R103" s="276" t="str">
        <f>IF(M103="","",VLOOKUP(M103,'G-6 Hedgerow Data'!$B$2:$AG$15,3,FALSE))</f>
        <v/>
      </c>
      <c r="S103" s="101"/>
      <c r="T103" s="276" t="str">
        <f>IFERROR(IF(S103="","",IF(AND(M103="Non-native and ornamental hedgerow",S103&lt;&gt;"Poor"),"Not possible ▲",(IF(AND(Q103="V.Low",OR(S103="Good",S103="Moderate")),"Error ▲",VLOOKUP(S103,'G-1 All Habitats'!$Z$2:$AA$9,2,FALSE))))),"")</f>
        <v/>
      </c>
      <c r="U103" s="101"/>
      <c r="V103" s="283" t="str">
        <f>IF(U103="","",IF(VLOOKUP(U103,'G-3 Multipliers'!$L$3:$N$6,2,FALSE)=0,"Spatial Data Missing ⚠",VLOOKUP(U103,'G-3 Multipliers'!$L$3:$N$6,2,FALSE)))</f>
        <v/>
      </c>
      <c r="W103" s="281" t="str">
        <f>IF(U103="","",IF(VLOOKUP(U103,'G-3 Multipliers'!$L$3:$N$6,3,FALSE)=0,"Spatial Data Missing ⚠",VLOOKUP(U103,'G-3 Multipliers'!$L$3:$N$6,3,FALSE)))</f>
        <v/>
      </c>
      <c r="X103" s="275" t="str">
        <f>IFERROR(IF(OR(LEFT(O103,5)="Error",LEFT(N103,5)="Error",T103="Error"),"Check Data ⚠",IF(F103&lt;R103,INDEX('G-6 Hedgerow Data'!$S$3:$AE$14,MATCH(C103,'G-6 Hedgerow Data'!$B$3:$B$14,0),MATCH(M103,'G-6 Hedgerow Data'!$S$2:$AE$2,0)),INDEX('G-6 Hedgerow Data'!$K$3:$Q$14,MATCH(M103,'G-6 Hedgerow Data'!$B$3:$B$14,0),MATCH(O103,'G-6 Hedgerow Data'!$K$2:$Q$2,0)))),"")</f>
        <v/>
      </c>
      <c r="Y103" s="133"/>
      <c r="Z103" s="133"/>
      <c r="AA103" s="283" t="str">
        <f t="shared" si="10"/>
        <v/>
      </c>
      <c r="AB103" s="296" t="str">
        <f t="shared" si="11"/>
        <v/>
      </c>
      <c r="AC103" s="297" t="str">
        <f t="shared" si="8"/>
        <v/>
      </c>
      <c r="AD103" s="311" t="str">
        <f>IF(M103="","",VLOOKUP(M103,'G-6 Hedgerow Data'!$B$3:$AG$15,31,FALSE))</f>
        <v/>
      </c>
      <c r="AE103" s="295" t="str">
        <f t="shared" si="12"/>
        <v/>
      </c>
      <c r="AF103" s="283" t="str">
        <f t="shared" si="13"/>
        <v/>
      </c>
      <c r="AG103" s="299" t="str">
        <f>IFERROR(IF(O103="","",VLOOKUP(AD103,'G-3 Multipliers'!$P$3:$Q$6,2,FALSE)),"")</f>
        <v/>
      </c>
      <c r="AH103" s="713" t="str">
        <f>IF(B103="","",IF(ISNA(VLOOKUP($B103,'E-1 Off-Site Hedge Baseline'!$B$1:$Z$257,14,FALSE)),"",(VLOOKUP($B103,'E-1 Off-Site Hedge Baseline'!$B$1:$Z$257,14,FALSE))))</f>
        <v/>
      </c>
      <c r="AI103" s="276" t="str">
        <f>IF(AH103="","",IF(VLOOKUP(AH103,'G-3 Multipliers'!$S$3:$T$10,2,FALSE)=0,"Spatial Data Missing ⚠",VLOOKUP(AH103,'G-3 Multipliers'!$S$3:$T$10,2,FALSE)))</f>
        <v/>
      </c>
      <c r="AJ103" s="317" t="str">
        <f t="shared" si="14"/>
        <v/>
      </c>
      <c r="AK103" s="289" t="str">
        <f t="shared" si="15"/>
        <v/>
      </c>
      <c r="AL103" s="101"/>
      <c r="AM103" s="115"/>
      <c r="AN103" s="104"/>
      <c r="AO103" s="104"/>
      <c r="AQ103" s="30" t="str">
        <f>IFERROR(INDEX('G-6 Hedgerow Data'!$BJ$3:$BJ$15,MATCH(M103,'G-6 Hedgerow Data'!$B$3:$B$15,0)),"")</f>
        <v/>
      </c>
    </row>
    <row r="104" spans="2:43" ht="14">
      <c r="B104" s="305" t="str">
        <f>'E-1 Off-Site Hedge Baseline'!AN102</f>
        <v/>
      </c>
      <c r="C104" s="295" t="str">
        <f>IF(B104="","",IF(ISNA(VLOOKUP($B104,'E-1 Off-Site Hedge Baseline'!$B$1:$L$257,3,FALSE)),"",(VLOOKUP($B104,'E-1 Off-Site Hedge Baseline'!$B$1:$L$257,3,FALSE))))</f>
        <v/>
      </c>
      <c r="D104" s="295" t="str">
        <f>IF(B104="","",IF(ISNA(VLOOKUP($B104,'E-1 Off-Site Hedge Baseline'!$B$1:$L$258,4,FALSE)),"",(VLOOKUP($B104,'E-1 Off-Site Hedge Baseline'!$B$1:$L$258,4,FALSE))))</f>
        <v/>
      </c>
      <c r="E104" s="295" t="str">
        <f>IF(B104="","",IF(ISNA(VLOOKUP($B104,'E-1 Off-Site Hedge Baseline'!$B$1:$L$257,5,FALSE)),"",(VLOOKUP($B104,'E-1 Off-Site Hedge Baseline'!$B$1:$L$257,5,FALSE))))</f>
        <v/>
      </c>
      <c r="F104" s="295" t="str">
        <f>IF(B104="","",IF(ISNA(VLOOKUP($B104,'E-1 Off-Site Hedge Baseline'!$B$1:$L$257,6,FALSE)),"",(VLOOKUP($B104,'E-1 Off-Site Hedge Baseline'!$B$1:$L$257,6,FALSE))))</f>
        <v/>
      </c>
      <c r="G104" s="295" t="str">
        <f>IF(B104="","",IF(ISNA(VLOOKUP($B104,'E-1 Off-Site Hedge Baseline'!$B$1:$L$257,7,FALSE)),"",(VLOOKUP($B104,'E-1 Off-Site Hedge Baseline'!$B$1:$L$257,7,FALSE))))</f>
        <v/>
      </c>
      <c r="H104" s="295" t="str">
        <f>IF(B104="","",IF(ISNA(VLOOKUP($B104,'E-1 Off-Site Hedge Baseline'!$B$1:$L$257,8,FALSE)),"",(VLOOKUP($B104,'E-1 Off-Site Hedge Baseline'!$B$1:$L$257,8,FALSE))))</f>
        <v/>
      </c>
      <c r="I104" s="295" t="str">
        <f>IF(B104="","",IF(ISNA(VLOOKUP($B104,'E-1 Off-Site Hedge Baseline'!$B$1:$L$257,10,FALSE)),"",(VLOOKUP($B104,'E-1 Off-Site Hedge Baseline'!$B$1:$L$257,10,FALSE))))</f>
        <v/>
      </c>
      <c r="J104" s="295" t="str">
        <f>IF(B104="","",IF(ISNA(VLOOKUP($B104,'E-1 Off-Site Hedge Baseline'!$B$1:$L$257,11,FALSE)),"",(VLOOKUP($B104,'E-1 Off-Site Hedge Baseline'!$B$1:$L$257,11,FALSE))))</f>
        <v/>
      </c>
      <c r="K104" s="295" t="str">
        <f>IF(B104="","",IF(ISNA(VLOOKUP($B104,'E-1 Off-Site Hedge Baseline'!$B$1:$X$257,16,FALSE)),"",(VLOOKUP($B104,'E-1 Off-Site Hedge Baseline'!$B$1:$X$257,16,FALSE))))</f>
        <v/>
      </c>
      <c r="L104" s="283" t="str">
        <f>IF(B104="","",IF(ISNA(VLOOKUP($B104,'E-1 Off-Site Hedge Baseline'!$B$1:$X$257,12,FALSE)),"",(VLOOKUP($B104,'E-1 Off-Site Hedge Baseline'!$B$1:$X$257,12,FALSE))))</f>
        <v/>
      </c>
      <c r="M104" s="244"/>
      <c r="N104" s="275" t="str">
        <f>IFERROR(IF(B104="","",INDEX('G-6 Hedgerow Data'!$AN$3:$AZ$15,MATCH(C104,'G-6 Hedgerow Data'!$AM$3:$AM$15,0),MATCH(M104,'G-6 Hedgerow Data'!$AN$2:$AZ$2,0))),"")</f>
        <v/>
      </c>
      <c r="O104" s="276" t="str">
        <f t="shared" si="9"/>
        <v/>
      </c>
      <c r="P104" s="281" t="str">
        <f>IF(B104="","",VLOOKUP(B104,'E-1 Off-Site Hedge Baseline'!$B$10:W349,19,FALSE))</f>
        <v/>
      </c>
      <c r="Q104" s="275" t="str">
        <f>IF(M104="","",VLOOKUP(M104,'G-6 Hedgerow Data'!$B$2:$AG$15,2,FALSE))</f>
        <v/>
      </c>
      <c r="R104" s="276" t="str">
        <f>IF(M104="","",VLOOKUP(M104,'G-6 Hedgerow Data'!$B$2:$AG$15,3,FALSE))</f>
        <v/>
      </c>
      <c r="S104" s="101"/>
      <c r="T104" s="276" t="str">
        <f>IFERROR(IF(S104="","",IF(AND(M104="Non-native and ornamental hedgerow",S104&lt;&gt;"Poor"),"Not possible ▲",(IF(AND(Q104="V.Low",OR(S104="Good",S104="Moderate")),"Error ▲",VLOOKUP(S104,'G-1 All Habitats'!$Z$2:$AA$9,2,FALSE))))),"")</f>
        <v/>
      </c>
      <c r="U104" s="101"/>
      <c r="V104" s="283" t="str">
        <f>IF(U104="","",IF(VLOOKUP(U104,'G-3 Multipliers'!$L$3:$N$6,2,FALSE)=0,"Spatial Data Missing ⚠",VLOOKUP(U104,'G-3 Multipliers'!$L$3:$N$6,2,FALSE)))</f>
        <v/>
      </c>
      <c r="W104" s="281" t="str">
        <f>IF(U104="","",IF(VLOOKUP(U104,'G-3 Multipliers'!$L$3:$N$6,3,FALSE)=0,"Spatial Data Missing ⚠",VLOOKUP(U104,'G-3 Multipliers'!$L$3:$N$6,3,FALSE)))</f>
        <v/>
      </c>
      <c r="X104" s="275" t="str">
        <f>IFERROR(IF(OR(LEFT(O104,5)="Error",LEFT(N104,5)="Error",T104="Error"),"Check Data ⚠",IF(F104&lt;R104,INDEX('G-6 Hedgerow Data'!$S$3:$AE$14,MATCH(C104,'G-6 Hedgerow Data'!$B$3:$B$14,0),MATCH(M104,'G-6 Hedgerow Data'!$S$2:$AE$2,0)),INDEX('G-6 Hedgerow Data'!$K$3:$Q$14,MATCH(M104,'G-6 Hedgerow Data'!$B$3:$B$14,0),MATCH(O104,'G-6 Hedgerow Data'!$K$2:$Q$2,0)))),"")</f>
        <v/>
      </c>
      <c r="Y104" s="133"/>
      <c r="Z104" s="133"/>
      <c r="AA104" s="283" t="str">
        <f t="shared" si="10"/>
        <v/>
      </c>
      <c r="AB104" s="296" t="str">
        <f t="shared" si="11"/>
        <v/>
      </c>
      <c r="AC104" s="297" t="str">
        <f t="shared" si="8"/>
        <v/>
      </c>
      <c r="AD104" s="311" t="str">
        <f>IF(M104="","",VLOOKUP(M104,'G-6 Hedgerow Data'!$B$3:$AG$15,31,FALSE))</f>
        <v/>
      </c>
      <c r="AE104" s="295" t="str">
        <f t="shared" si="12"/>
        <v/>
      </c>
      <c r="AF104" s="283" t="str">
        <f t="shared" si="13"/>
        <v/>
      </c>
      <c r="AG104" s="299" t="str">
        <f>IFERROR(IF(O104="","",VLOOKUP(AD104,'G-3 Multipliers'!$P$3:$Q$6,2,FALSE)),"")</f>
        <v/>
      </c>
      <c r="AH104" s="713" t="str">
        <f>IF(B104="","",IF(ISNA(VLOOKUP($B104,'E-1 Off-Site Hedge Baseline'!$B$1:$Z$257,14,FALSE)),"",(VLOOKUP($B104,'E-1 Off-Site Hedge Baseline'!$B$1:$Z$257,14,FALSE))))</f>
        <v/>
      </c>
      <c r="AI104" s="276" t="str">
        <f>IF(AH104="","",IF(VLOOKUP(AH104,'G-3 Multipliers'!$S$3:$T$10,2,FALSE)=0,"Spatial Data Missing ⚠",VLOOKUP(AH104,'G-3 Multipliers'!$S$3:$T$10,2,FALSE)))</f>
        <v/>
      </c>
      <c r="AJ104" s="317" t="str">
        <f t="shared" si="14"/>
        <v/>
      </c>
      <c r="AK104" s="289" t="str">
        <f t="shared" si="15"/>
        <v/>
      </c>
      <c r="AL104" s="101"/>
      <c r="AM104" s="115"/>
      <c r="AN104" s="104"/>
      <c r="AO104" s="104"/>
      <c r="AQ104" s="30" t="str">
        <f>IFERROR(INDEX('G-6 Hedgerow Data'!$BJ$3:$BJ$15,MATCH(M104,'G-6 Hedgerow Data'!$B$3:$B$15,0)),"")</f>
        <v/>
      </c>
    </row>
    <row r="105" spans="2:43" ht="14">
      <c r="B105" s="305" t="str">
        <f>'E-1 Off-Site Hedge Baseline'!AN103</f>
        <v/>
      </c>
      <c r="C105" s="295" t="str">
        <f>IF(B105="","",IF(ISNA(VLOOKUP($B105,'E-1 Off-Site Hedge Baseline'!$B$1:$L$257,3,FALSE)),"",(VLOOKUP($B105,'E-1 Off-Site Hedge Baseline'!$B$1:$L$257,3,FALSE))))</f>
        <v/>
      </c>
      <c r="D105" s="295" t="str">
        <f>IF(B105="","",IF(ISNA(VLOOKUP($B105,'E-1 Off-Site Hedge Baseline'!$B$1:$L$258,4,FALSE)),"",(VLOOKUP($B105,'E-1 Off-Site Hedge Baseline'!$B$1:$L$258,4,FALSE))))</f>
        <v/>
      </c>
      <c r="E105" s="295" t="str">
        <f>IF(B105="","",IF(ISNA(VLOOKUP($B105,'E-1 Off-Site Hedge Baseline'!$B$1:$L$257,5,FALSE)),"",(VLOOKUP($B105,'E-1 Off-Site Hedge Baseline'!$B$1:$L$257,5,FALSE))))</f>
        <v/>
      </c>
      <c r="F105" s="295" t="str">
        <f>IF(B105="","",IF(ISNA(VLOOKUP($B105,'E-1 Off-Site Hedge Baseline'!$B$1:$L$257,6,FALSE)),"",(VLOOKUP($B105,'E-1 Off-Site Hedge Baseline'!$B$1:$L$257,6,FALSE))))</f>
        <v/>
      </c>
      <c r="G105" s="295" t="str">
        <f>IF(B105="","",IF(ISNA(VLOOKUP($B105,'E-1 Off-Site Hedge Baseline'!$B$1:$L$257,7,FALSE)),"",(VLOOKUP($B105,'E-1 Off-Site Hedge Baseline'!$B$1:$L$257,7,FALSE))))</f>
        <v/>
      </c>
      <c r="H105" s="295" t="str">
        <f>IF(B105="","",IF(ISNA(VLOOKUP($B105,'E-1 Off-Site Hedge Baseline'!$B$1:$L$257,8,FALSE)),"",(VLOOKUP($B105,'E-1 Off-Site Hedge Baseline'!$B$1:$L$257,8,FALSE))))</f>
        <v/>
      </c>
      <c r="I105" s="295" t="str">
        <f>IF(B105="","",IF(ISNA(VLOOKUP($B105,'E-1 Off-Site Hedge Baseline'!$B$1:$L$257,10,FALSE)),"",(VLOOKUP($B105,'E-1 Off-Site Hedge Baseline'!$B$1:$L$257,10,FALSE))))</f>
        <v/>
      </c>
      <c r="J105" s="295" t="str">
        <f>IF(B105="","",IF(ISNA(VLOOKUP($B105,'E-1 Off-Site Hedge Baseline'!$B$1:$L$257,11,FALSE)),"",(VLOOKUP($B105,'E-1 Off-Site Hedge Baseline'!$B$1:$L$257,11,FALSE))))</f>
        <v/>
      </c>
      <c r="K105" s="295" t="str">
        <f>IF(B105="","",IF(ISNA(VLOOKUP($B105,'E-1 Off-Site Hedge Baseline'!$B$1:$X$257,16,FALSE)),"",(VLOOKUP($B105,'E-1 Off-Site Hedge Baseline'!$B$1:$X$257,16,FALSE))))</f>
        <v/>
      </c>
      <c r="L105" s="283" t="str">
        <f>IF(B105="","",IF(ISNA(VLOOKUP($B105,'E-1 Off-Site Hedge Baseline'!$B$1:$X$257,12,FALSE)),"",(VLOOKUP($B105,'E-1 Off-Site Hedge Baseline'!$B$1:$X$257,12,FALSE))))</f>
        <v/>
      </c>
      <c r="M105" s="244"/>
      <c r="N105" s="275" t="str">
        <f>IFERROR(IF(B105="","",INDEX('G-6 Hedgerow Data'!$AN$3:$AZ$15,MATCH(C105,'G-6 Hedgerow Data'!$AM$3:$AM$15,0),MATCH(M105,'G-6 Hedgerow Data'!$AN$2:$AZ$2,0))),"")</f>
        <v/>
      </c>
      <c r="O105" s="276" t="str">
        <f t="shared" si="9"/>
        <v/>
      </c>
      <c r="P105" s="281" t="str">
        <f>IF(B105="","",VLOOKUP(B105,'E-1 Off-Site Hedge Baseline'!$B$10:W350,19,FALSE))</f>
        <v/>
      </c>
      <c r="Q105" s="275" t="str">
        <f>IF(M105="","",VLOOKUP(M105,'G-6 Hedgerow Data'!$B$2:$AG$15,2,FALSE))</f>
        <v/>
      </c>
      <c r="R105" s="276" t="str">
        <f>IF(M105="","",VLOOKUP(M105,'G-6 Hedgerow Data'!$B$2:$AG$15,3,FALSE))</f>
        <v/>
      </c>
      <c r="S105" s="101"/>
      <c r="T105" s="276" t="str">
        <f>IFERROR(IF(S105="","",IF(AND(M105="Non-native and ornamental hedgerow",S105&lt;&gt;"Poor"),"Not possible ▲",(IF(AND(Q105="V.Low",OR(S105="Good",S105="Moderate")),"Error ▲",VLOOKUP(S105,'G-1 All Habitats'!$Z$2:$AA$9,2,FALSE))))),"")</f>
        <v/>
      </c>
      <c r="U105" s="101"/>
      <c r="V105" s="283" t="str">
        <f>IF(U105="","",IF(VLOOKUP(U105,'G-3 Multipliers'!$L$3:$N$6,2,FALSE)=0,"Spatial Data Missing ⚠",VLOOKUP(U105,'G-3 Multipliers'!$L$3:$N$6,2,FALSE)))</f>
        <v/>
      </c>
      <c r="W105" s="281" t="str">
        <f>IF(U105="","",IF(VLOOKUP(U105,'G-3 Multipliers'!$L$3:$N$6,3,FALSE)=0,"Spatial Data Missing ⚠",VLOOKUP(U105,'G-3 Multipliers'!$L$3:$N$6,3,FALSE)))</f>
        <v/>
      </c>
      <c r="X105" s="275" t="str">
        <f>IFERROR(IF(OR(LEFT(O105,5)="Error",LEFT(N105,5)="Error",T105="Error"),"Check Data ⚠",IF(F105&lt;R105,INDEX('G-6 Hedgerow Data'!$S$3:$AE$14,MATCH(C105,'G-6 Hedgerow Data'!$B$3:$B$14,0),MATCH(M105,'G-6 Hedgerow Data'!$S$2:$AE$2,0)),INDEX('G-6 Hedgerow Data'!$K$3:$Q$14,MATCH(M105,'G-6 Hedgerow Data'!$B$3:$B$14,0),MATCH(O105,'G-6 Hedgerow Data'!$K$2:$Q$2,0)))),"")</f>
        <v/>
      </c>
      <c r="Y105" s="133"/>
      <c r="Z105" s="133"/>
      <c r="AA105" s="283" t="str">
        <f t="shared" si="10"/>
        <v/>
      </c>
      <c r="AB105" s="296" t="str">
        <f t="shared" si="11"/>
        <v/>
      </c>
      <c r="AC105" s="297" t="str">
        <f t="shared" si="8"/>
        <v/>
      </c>
      <c r="AD105" s="311" t="str">
        <f>IF(M105="","",VLOOKUP(M105,'G-6 Hedgerow Data'!$B$3:$AG$15,31,FALSE))</f>
        <v/>
      </c>
      <c r="AE105" s="295" t="str">
        <f t="shared" si="12"/>
        <v/>
      </c>
      <c r="AF105" s="283" t="str">
        <f t="shared" si="13"/>
        <v/>
      </c>
      <c r="AG105" s="299" t="str">
        <f>IFERROR(IF(O105="","",VLOOKUP(AD105,'G-3 Multipliers'!$P$3:$Q$6,2,FALSE)),"")</f>
        <v/>
      </c>
      <c r="AH105" s="713" t="str">
        <f>IF(B105="","",IF(ISNA(VLOOKUP($B105,'E-1 Off-Site Hedge Baseline'!$B$1:$Z$257,14,FALSE)),"",(VLOOKUP($B105,'E-1 Off-Site Hedge Baseline'!$B$1:$Z$257,14,FALSE))))</f>
        <v/>
      </c>
      <c r="AI105" s="276" t="str">
        <f>IF(AH105="","",IF(VLOOKUP(AH105,'G-3 Multipliers'!$S$3:$T$10,2,FALSE)=0,"Spatial Data Missing ⚠",VLOOKUP(AH105,'G-3 Multipliers'!$S$3:$T$10,2,FALSE)))</f>
        <v/>
      </c>
      <c r="AJ105" s="317" t="str">
        <f t="shared" si="14"/>
        <v/>
      </c>
      <c r="AK105" s="289" t="str">
        <f t="shared" si="15"/>
        <v/>
      </c>
      <c r="AL105" s="101"/>
      <c r="AM105" s="115"/>
      <c r="AN105" s="104"/>
      <c r="AO105" s="104"/>
      <c r="AQ105" s="30" t="str">
        <f>IFERROR(INDEX('G-6 Hedgerow Data'!$BJ$3:$BJ$15,MATCH(M105,'G-6 Hedgerow Data'!$B$3:$B$15,0)),"")</f>
        <v/>
      </c>
    </row>
    <row r="106" spans="2:43" ht="14">
      <c r="B106" s="305" t="str">
        <f>'E-1 Off-Site Hedge Baseline'!AN104</f>
        <v/>
      </c>
      <c r="C106" s="295" t="str">
        <f>IF(B106="","",IF(ISNA(VLOOKUP($B106,'E-1 Off-Site Hedge Baseline'!$B$1:$L$257,3,FALSE)),"",(VLOOKUP($B106,'E-1 Off-Site Hedge Baseline'!$B$1:$L$257,3,FALSE))))</f>
        <v/>
      </c>
      <c r="D106" s="295" t="str">
        <f>IF(B106="","",IF(ISNA(VLOOKUP($B106,'E-1 Off-Site Hedge Baseline'!$B$1:$L$258,4,FALSE)),"",(VLOOKUP($B106,'E-1 Off-Site Hedge Baseline'!$B$1:$L$258,4,FALSE))))</f>
        <v/>
      </c>
      <c r="E106" s="295" t="str">
        <f>IF(B106="","",IF(ISNA(VLOOKUP($B106,'E-1 Off-Site Hedge Baseline'!$B$1:$L$257,5,FALSE)),"",(VLOOKUP($B106,'E-1 Off-Site Hedge Baseline'!$B$1:$L$257,5,FALSE))))</f>
        <v/>
      </c>
      <c r="F106" s="295" t="str">
        <f>IF(B106="","",IF(ISNA(VLOOKUP($B106,'E-1 Off-Site Hedge Baseline'!$B$1:$L$257,6,FALSE)),"",(VLOOKUP($B106,'E-1 Off-Site Hedge Baseline'!$B$1:$L$257,6,FALSE))))</f>
        <v/>
      </c>
      <c r="G106" s="295" t="str">
        <f>IF(B106="","",IF(ISNA(VLOOKUP($B106,'E-1 Off-Site Hedge Baseline'!$B$1:$L$257,7,FALSE)),"",(VLOOKUP($B106,'E-1 Off-Site Hedge Baseline'!$B$1:$L$257,7,FALSE))))</f>
        <v/>
      </c>
      <c r="H106" s="295" t="str">
        <f>IF(B106="","",IF(ISNA(VLOOKUP($B106,'E-1 Off-Site Hedge Baseline'!$B$1:$L$257,8,FALSE)),"",(VLOOKUP($B106,'E-1 Off-Site Hedge Baseline'!$B$1:$L$257,8,FALSE))))</f>
        <v/>
      </c>
      <c r="I106" s="295" t="str">
        <f>IF(B106="","",IF(ISNA(VLOOKUP($B106,'E-1 Off-Site Hedge Baseline'!$B$1:$L$257,10,FALSE)),"",(VLOOKUP($B106,'E-1 Off-Site Hedge Baseline'!$B$1:$L$257,10,FALSE))))</f>
        <v/>
      </c>
      <c r="J106" s="295" t="str">
        <f>IF(B106="","",IF(ISNA(VLOOKUP($B106,'E-1 Off-Site Hedge Baseline'!$B$1:$L$257,11,FALSE)),"",(VLOOKUP($B106,'E-1 Off-Site Hedge Baseline'!$B$1:$L$257,11,FALSE))))</f>
        <v/>
      </c>
      <c r="K106" s="295" t="str">
        <f>IF(B106="","",IF(ISNA(VLOOKUP($B106,'E-1 Off-Site Hedge Baseline'!$B$1:$X$257,16,FALSE)),"",(VLOOKUP($B106,'E-1 Off-Site Hedge Baseline'!$B$1:$X$257,16,FALSE))))</f>
        <v/>
      </c>
      <c r="L106" s="283" t="str">
        <f>IF(B106="","",IF(ISNA(VLOOKUP($B106,'E-1 Off-Site Hedge Baseline'!$B$1:$X$257,12,FALSE)),"",(VLOOKUP($B106,'E-1 Off-Site Hedge Baseline'!$B$1:$X$257,12,FALSE))))</f>
        <v/>
      </c>
      <c r="M106" s="244"/>
      <c r="N106" s="275" t="str">
        <f>IFERROR(IF(B106="","",INDEX('G-6 Hedgerow Data'!$AN$3:$AZ$15,MATCH(C106,'G-6 Hedgerow Data'!$AM$3:$AM$15,0),MATCH(M106,'G-6 Hedgerow Data'!$AN$2:$AZ$2,0))),"")</f>
        <v/>
      </c>
      <c r="O106" s="276" t="str">
        <f t="shared" si="9"/>
        <v/>
      </c>
      <c r="P106" s="281" t="str">
        <f>IF(B106="","",VLOOKUP(B106,'E-1 Off-Site Hedge Baseline'!$B$10:W351,19,FALSE))</f>
        <v/>
      </c>
      <c r="Q106" s="275" t="str">
        <f>IF(M106="","",VLOOKUP(M106,'G-6 Hedgerow Data'!$B$2:$AG$15,2,FALSE))</f>
        <v/>
      </c>
      <c r="R106" s="276" t="str">
        <f>IF(M106="","",VLOOKUP(M106,'G-6 Hedgerow Data'!$B$2:$AG$15,3,FALSE))</f>
        <v/>
      </c>
      <c r="S106" s="101"/>
      <c r="T106" s="276" t="str">
        <f>IFERROR(IF(S106="","",IF(AND(M106="Non-native and ornamental hedgerow",S106&lt;&gt;"Poor"),"Not possible ▲",(IF(AND(Q106="V.Low",OR(S106="Good",S106="Moderate")),"Error ▲",VLOOKUP(S106,'G-1 All Habitats'!$Z$2:$AA$9,2,FALSE))))),"")</f>
        <v/>
      </c>
      <c r="U106" s="101"/>
      <c r="V106" s="283" t="str">
        <f>IF(U106="","",IF(VLOOKUP(U106,'G-3 Multipliers'!$L$3:$N$6,2,FALSE)=0,"Spatial Data Missing ⚠",VLOOKUP(U106,'G-3 Multipliers'!$L$3:$N$6,2,FALSE)))</f>
        <v/>
      </c>
      <c r="W106" s="281" t="str">
        <f>IF(U106="","",IF(VLOOKUP(U106,'G-3 Multipliers'!$L$3:$N$6,3,FALSE)=0,"Spatial Data Missing ⚠",VLOOKUP(U106,'G-3 Multipliers'!$L$3:$N$6,3,FALSE)))</f>
        <v/>
      </c>
      <c r="X106" s="275" t="str">
        <f>IFERROR(IF(OR(LEFT(O106,5)="Error",LEFT(N106,5)="Error",T106="Error"),"Check Data ⚠",IF(F106&lt;R106,INDEX('G-6 Hedgerow Data'!$S$3:$AE$14,MATCH(C106,'G-6 Hedgerow Data'!$B$3:$B$14,0),MATCH(M106,'G-6 Hedgerow Data'!$S$2:$AE$2,0)),INDEX('G-6 Hedgerow Data'!$K$3:$Q$14,MATCH(M106,'G-6 Hedgerow Data'!$B$3:$B$14,0),MATCH(O106,'G-6 Hedgerow Data'!$K$2:$Q$2,0)))),"")</f>
        <v/>
      </c>
      <c r="Y106" s="133"/>
      <c r="Z106" s="133"/>
      <c r="AA106" s="283" t="str">
        <f t="shared" si="10"/>
        <v/>
      </c>
      <c r="AB106" s="296" t="str">
        <f t="shared" si="11"/>
        <v/>
      </c>
      <c r="AC106" s="297" t="str">
        <f t="shared" si="8"/>
        <v/>
      </c>
      <c r="AD106" s="311" t="str">
        <f>IF(M106="","",VLOOKUP(M106,'G-6 Hedgerow Data'!$B$3:$AG$15,31,FALSE))</f>
        <v/>
      </c>
      <c r="AE106" s="295" t="str">
        <f t="shared" si="12"/>
        <v/>
      </c>
      <c r="AF106" s="283" t="str">
        <f t="shared" si="13"/>
        <v/>
      </c>
      <c r="AG106" s="299" t="str">
        <f>IFERROR(IF(O106="","",VLOOKUP(AD106,'G-3 Multipliers'!$P$3:$Q$6,2,FALSE)),"")</f>
        <v/>
      </c>
      <c r="AH106" s="713" t="str">
        <f>IF(B106="","",IF(ISNA(VLOOKUP($B106,'E-1 Off-Site Hedge Baseline'!$B$1:$Z$257,14,FALSE)),"",(VLOOKUP($B106,'E-1 Off-Site Hedge Baseline'!$B$1:$Z$257,14,FALSE))))</f>
        <v/>
      </c>
      <c r="AI106" s="276" t="str">
        <f>IF(AH106="","",IF(VLOOKUP(AH106,'G-3 Multipliers'!$S$3:$T$10,2,FALSE)=0,"Spatial Data Missing ⚠",VLOOKUP(AH106,'G-3 Multipliers'!$S$3:$T$10,2,FALSE)))</f>
        <v/>
      </c>
      <c r="AJ106" s="317" t="str">
        <f t="shared" si="14"/>
        <v/>
      </c>
      <c r="AK106" s="289" t="str">
        <f t="shared" si="15"/>
        <v/>
      </c>
      <c r="AL106" s="101"/>
      <c r="AM106" s="115"/>
      <c r="AN106" s="104"/>
      <c r="AO106" s="104"/>
      <c r="AQ106" s="30" t="str">
        <f>IFERROR(INDEX('G-6 Hedgerow Data'!$BJ$3:$BJ$15,MATCH(M106,'G-6 Hedgerow Data'!$B$3:$B$15,0)),"")</f>
        <v/>
      </c>
    </row>
    <row r="107" spans="2:43" ht="14">
      <c r="B107" s="305" t="str">
        <f>'E-1 Off-Site Hedge Baseline'!AN105</f>
        <v/>
      </c>
      <c r="C107" s="295" t="str">
        <f>IF(B107="","",IF(ISNA(VLOOKUP($B107,'E-1 Off-Site Hedge Baseline'!$B$1:$L$257,3,FALSE)),"",(VLOOKUP($B107,'E-1 Off-Site Hedge Baseline'!$B$1:$L$257,3,FALSE))))</f>
        <v/>
      </c>
      <c r="D107" s="295" t="str">
        <f>IF(B107="","",IF(ISNA(VLOOKUP($B107,'E-1 Off-Site Hedge Baseline'!$B$1:$L$258,4,FALSE)),"",(VLOOKUP($B107,'E-1 Off-Site Hedge Baseline'!$B$1:$L$258,4,FALSE))))</f>
        <v/>
      </c>
      <c r="E107" s="295" t="str">
        <f>IF(B107="","",IF(ISNA(VLOOKUP($B107,'E-1 Off-Site Hedge Baseline'!$B$1:$L$257,5,FALSE)),"",(VLOOKUP($B107,'E-1 Off-Site Hedge Baseline'!$B$1:$L$257,5,FALSE))))</f>
        <v/>
      </c>
      <c r="F107" s="295" t="str">
        <f>IF(B107="","",IF(ISNA(VLOOKUP($B107,'E-1 Off-Site Hedge Baseline'!$B$1:$L$257,6,FALSE)),"",(VLOOKUP($B107,'E-1 Off-Site Hedge Baseline'!$B$1:$L$257,6,FALSE))))</f>
        <v/>
      </c>
      <c r="G107" s="295" t="str">
        <f>IF(B107="","",IF(ISNA(VLOOKUP($B107,'E-1 Off-Site Hedge Baseline'!$B$1:$L$257,7,FALSE)),"",(VLOOKUP($B107,'E-1 Off-Site Hedge Baseline'!$B$1:$L$257,7,FALSE))))</f>
        <v/>
      </c>
      <c r="H107" s="295" t="str">
        <f>IF(B107="","",IF(ISNA(VLOOKUP($B107,'E-1 Off-Site Hedge Baseline'!$B$1:$L$257,8,FALSE)),"",(VLOOKUP($B107,'E-1 Off-Site Hedge Baseline'!$B$1:$L$257,8,FALSE))))</f>
        <v/>
      </c>
      <c r="I107" s="295" t="str">
        <f>IF(B107="","",IF(ISNA(VLOOKUP($B107,'E-1 Off-Site Hedge Baseline'!$B$1:$L$257,10,FALSE)),"",(VLOOKUP($B107,'E-1 Off-Site Hedge Baseline'!$B$1:$L$257,10,FALSE))))</f>
        <v/>
      </c>
      <c r="J107" s="295" t="str">
        <f>IF(B107="","",IF(ISNA(VLOOKUP($B107,'E-1 Off-Site Hedge Baseline'!$B$1:$L$257,11,FALSE)),"",(VLOOKUP($B107,'E-1 Off-Site Hedge Baseline'!$B$1:$L$257,11,FALSE))))</f>
        <v/>
      </c>
      <c r="K107" s="295" t="str">
        <f>IF(B107="","",IF(ISNA(VLOOKUP($B107,'E-1 Off-Site Hedge Baseline'!$B$1:$X$257,16,FALSE)),"",(VLOOKUP($B107,'E-1 Off-Site Hedge Baseline'!$B$1:$X$257,16,FALSE))))</f>
        <v/>
      </c>
      <c r="L107" s="283" t="str">
        <f>IF(B107="","",IF(ISNA(VLOOKUP($B107,'E-1 Off-Site Hedge Baseline'!$B$1:$X$257,12,FALSE)),"",(VLOOKUP($B107,'E-1 Off-Site Hedge Baseline'!$B$1:$X$257,12,FALSE))))</f>
        <v/>
      </c>
      <c r="M107" s="244"/>
      <c r="N107" s="275" t="str">
        <f>IFERROR(IF(B107="","",INDEX('G-6 Hedgerow Data'!$AN$3:$AZ$15,MATCH(C107,'G-6 Hedgerow Data'!$AM$3:$AM$15,0),MATCH(M107,'G-6 Hedgerow Data'!$AN$2:$AZ$2,0))),"")</f>
        <v/>
      </c>
      <c r="O107" s="276" t="str">
        <f t="shared" si="9"/>
        <v/>
      </c>
      <c r="P107" s="281" t="str">
        <f>IF(B107="","",VLOOKUP(B107,'E-1 Off-Site Hedge Baseline'!$B$10:W352,19,FALSE))</f>
        <v/>
      </c>
      <c r="Q107" s="275" t="str">
        <f>IF(M107="","",VLOOKUP(M107,'G-6 Hedgerow Data'!$B$2:$AG$15,2,FALSE))</f>
        <v/>
      </c>
      <c r="R107" s="276" t="str">
        <f>IF(M107="","",VLOOKUP(M107,'G-6 Hedgerow Data'!$B$2:$AG$15,3,FALSE))</f>
        <v/>
      </c>
      <c r="S107" s="101"/>
      <c r="T107" s="276" t="str">
        <f>IFERROR(IF(S107="","",IF(AND(M107="Non-native and ornamental hedgerow",S107&lt;&gt;"Poor"),"Not possible ▲",(IF(AND(Q107="V.Low",OR(S107="Good",S107="Moderate")),"Error ▲",VLOOKUP(S107,'G-1 All Habitats'!$Z$2:$AA$9,2,FALSE))))),"")</f>
        <v/>
      </c>
      <c r="U107" s="101"/>
      <c r="V107" s="283" t="str">
        <f>IF(U107="","",IF(VLOOKUP(U107,'G-3 Multipliers'!$L$3:$N$6,2,FALSE)=0,"Spatial Data Missing ⚠",VLOOKUP(U107,'G-3 Multipliers'!$L$3:$N$6,2,FALSE)))</f>
        <v/>
      </c>
      <c r="W107" s="281" t="str">
        <f>IF(U107="","",IF(VLOOKUP(U107,'G-3 Multipliers'!$L$3:$N$6,3,FALSE)=0,"Spatial Data Missing ⚠",VLOOKUP(U107,'G-3 Multipliers'!$L$3:$N$6,3,FALSE)))</f>
        <v/>
      </c>
      <c r="X107" s="275" t="str">
        <f>IFERROR(IF(OR(LEFT(O107,5)="Error",LEFT(N107,5)="Error",T107="Error"),"Check Data ⚠",IF(F107&lt;R107,INDEX('G-6 Hedgerow Data'!$S$3:$AE$14,MATCH(C107,'G-6 Hedgerow Data'!$B$3:$B$14,0),MATCH(M107,'G-6 Hedgerow Data'!$S$2:$AE$2,0)),INDEX('G-6 Hedgerow Data'!$K$3:$Q$14,MATCH(M107,'G-6 Hedgerow Data'!$B$3:$B$14,0),MATCH(O107,'G-6 Hedgerow Data'!$K$2:$Q$2,0)))),"")</f>
        <v/>
      </c>
      <c r="Y107" s="133"/>
      <c r="Z107" s="133"/>
      <c r="AA107" s="283" t="str">
        <f t="shared" si="10"/>
        <v/>
      </c>
      <c r="AB107" s="296" t="str">
        <f t="shared" si="11"/>
        <v/>
      </c>
      <c r="AC107" s="297" t="str">
        <f t="shared" si="8"/>
        <v/>
      </c>
      <c r="AD107" s="311" t="str">
        <f>IF(M107="","",VLOOKUP(M107,'G-6 Hedgerow Data'!$B$3:$AG$15,31,FALSE))</f>
        <v/>
      </c>
      <c r="AE107" s="295" t="str">
        <f t="shared" si="12"/>
        <v/>
      </c>
      <c r="AF107" s="283" t="str">
        <f t="shared" si="13"/>
        <v/>
      </c>
      <c r="AG107" s="299" t="str">
        <f>IFERROR(IF(O107="","",VLOOKUP(AD107,'G-3 Multipliers'!$P$3:$Q$6,2,FALSE)),"")</f>
        <v/>
      </c>
      <c r="AH107" s="713" t="str">
        <f>IF(B107="","",IF(ISNA(VLOOKUP($B107,'E-1 Off-Site Hedge Baseline'!$B$1:$Z$257,14,FALSE)),"",(VLOOKUP($B107,'E-1 Off-Site Hedge Baseline'!$B$1:$Z$257,14,FALSE))))</f>
        <v/>
      </c>
      <c r="AI107" s="276" t="str">
        <f>IF(AH107="","",IF(VLOOKUP(AH107,'G-3 Multipliers'!$S$3:$T$10,2,FALSE)=0,"Spatial Data Missing ⚠",VLOOKUP(AH107,'G-3 Multipliers'!$S$3:$T$10,2,FALSE)))</f>
        <v/>
      </c>
      <c r="AJ107" s="317" t="str">
        <f t="shared" si="14"/>
        <v/>
      </c>
      <c r="AK107" s="289" t="str">
        <f t="shared" si="15"/>
        <v/>
      </c>
      <c r="AL107" s="101"/>
      <c r="AM107" s="115"/>
      <c r="AN107" s="104"/>
      <c r="AO107" s="104"/>
      <c r="AQ107" s="30" t="str">
        <f>IFERROR(INDEX('G-6 Hedgerow Data'!$BJ$3:$BJ$15,MATCH(M107,'G-6 Hedgerow Data'!$B$3:$B$15,0)),"")</f>
        <v/>
      </c>
    </row>
    <row r="108" spans="2:43" ht="14">
      <c r="B108" s="305" t="str">
        <f>'E-1 Off-Site Hedge Baseline'!AN106</f>
        <v/>
      </c>
      <c r="C108" s="295" t="str">
        <f>IF(B108="","",IF(ISNA(VLOOKUP($B108,'E-1 Off-Site Hedge Baseline'!$B$1:$L$257,3,FALSE)),"",(VLOOKUP($B108,'E-1 Off-Site Hedge Baseline'!$B$1:$L$257,3,FALSE))))</f>
        <v/>
      </c>
      <c r="D108" s="295" t="str">
        <f>IF(B108="","",IF(ISNA(VLOOKUP($B108,'E-1 Off-Site Hedge Baseline'!$B$1:$L$258,4,FALSE)),"",(VLOOKUP($B108,'E-1 Off-Site Hedge Baseline'!$B$1:$L$258,4,FALSE))))</f>
        <v/>
      </c>
      <c r="E108" s="295" t="str">
        <f>IF(B108="","",IF(ISNA(VLOOKUP($B108,'E-1 Off-Site Hedge Baseline'!$B$1:$L$257,5,FALSE)),"",(VLOOKUP($B108,'E-1 Off-Site Hedge Baseline'!$B$1:$L$257,5,FALSE))))</f>
        <v/>
      </c>
      <c r="F108" s="295" t="str">
        <f>IF(B108="","",IF(ISNA(VLOOKUP($B108,'E-1 Off-Site Hedge Baseline'!$B$1:$L$257,6,FALSE)),"",(VLOOKUP($B108,'E-1 Off-Site Hedge Baseline'!$B$1:$L$257,6,FALSE))))</f>
        <v/>
      </c>
      <c r="G108" s="295" t="str">
        <f>IF(B108="","",IF(ISNA(VLOOKUP($B108,'E-1 Off-Site Hedge Baseline'!$B$1:$L$257,7,FALSE)),"",(VLOOKUP($B108,'E-1 Off-Site Hedge Baseline'!$B$1:$L$257,7,FALSE))))</f>
        <v/>
      </c>
      <c r="H108" s="295" t="str">
        <f>IF(B108="","",IF(ISNA(VLOOKUP($B108,'E-1 Off-Site Hedge Baseline'!$B$1:$L$257,8,FALSE)),"",(VLOOKUP($B108,'E-1 Off-Site Hedge Baseline'!$B$1:$L$257,8,FALSE))))</f>
        <v/>
      </c>
      <c r="I108" s="295" t="str">
        <f>IF(B108="","",IF(ISNA(VLOOKUP($B108,'E-1 Off-Site Hedge Baseline'!$B$1:$L$257,10,FALSE)),"",(VLOOKUP($B108,'E-1 Off-Site Hedge Baseline'!$B$1:$L$257,10,FALSE))))</f>
        <v/>
      </c>
      <c r="J108" s="295" t="str">
        <f>IF(B108="","",IF(ISNA(VLOOKUP($B108,'E-1 Off-Site Hedge Baseline'!$B$1:$L$257,11,FALSE)),"",(VLOOKUP($B108,'E-1 Off-Site Hedge Baseline'!$B$1:$L$257,11,FALSE))))</f>
        <v/>
      </c>
      <c r="K108" s="295" t="str">
        <f>IF(B108="","",IF(ISNA(VLOOKUP($B108,'E-1 Off-Site Hedge Baseline'!$B$1:$X$257,16,FALSE)),"",(VLOOKUP($B108,'E-1 Off-Site Hedge Baseline'!$B$1:$X$257,16,FALSE))))</f>
        <v/>
      </c>
      <c r="L108" s="283" t="str">
        <f>IF(B108="","",IF(ISNA(VLOOKUP($B108,'E-1 Off-Site Hedge Baseline'!$B$1:$X$257,12,FALSE)),"",(VLOOKUP($B108,'E-1 Off-Site Hedge Baseline'!$B$1:$X$257,12,FALSE))))</f>
        <v/>
      </c>
      <c r="M108" s="244"/>
      <c r="N108" s="275" t="str">
        <f>IFERROR(IF(B108="","",INDEX('G-6 Hedgerow Data'!$AN$3:$AZ$15,MATCH(C108,'G-6 Hedgerow Data'!$AM$3:$AM$15,0),MATCH(M108,'G-6 Hedgerow Data'!$AN$2:$AZ$2,0))),"")</f>
        <v/>
      </c>
      <c r="O108" s="276" t="str">
        <f t="shared" si="9"/>
        <v/>
      </c>
      <c r="P108" s="281" t="str">
        <f>IF(B108="","",VLOOKUP(B108,'E-1 Off-Site Hedge Baseline'!$B$10:W353,19,FALSE))</f>
        <v/>
      </c>
      <c r="Q108" s="275" t="str">
        <f>IF(M108="","",VLOOKUP(M108,'G-6 Hedgerow Data'!$B$2:$AG$15,2,FALSE))</f>
        <v/>
      </c>
      <c r="R108" s="276" t="str">
        <f>IF(M108="","",VLOOKUP(M108,'G-6 Hedgerow Data'!$B$2:$AG$15,3,FALSE))</f>
        <v/>
      </c>
      <c r="S108" s="101"/>
      <c r="T108" s="276" t="str">
        <f>IFERROR(IF(S108="","",IF(AND(M108="Non-native and ornamental hedgerow",S108&lt;&gt;"Poor"),"Not possible ▲",(IF(AND(Q108="V.Low",OR(S108="Good",S108="Moderate")),"Error ▲",VLOOKUP(S108,'G-1 All Habitats'!$Z$2:$AA$9,2,FALSE))))),"")</f>
        <v/>
      </c>
      <c r="U108" s="101"/>
      <c r="V108" s="283" t="str">
        <f>IF(U108="","",IF(VLOOKUP(U108,'G-3 Multipliers'!$L$3:$N$6,2,FALSE)=0,"Spatial Data Missing ⚠",VLOOKUP(U108,'G-3 Multipliers'!$L$3:$N$6,2,FALSE)))</f>
        <v/>
      </c>
      <c r="W108" s="281" t="str">
        <f>IF(U108="","",IF(VLOOKUP(U108,'G-3 Multipliers'!$L$3:$N$6,3,FALSE)=0,"Spatial Data Missing ⚠",VLOOKUP(U108,'G-3 Multipliers'!$L$3:$N$6,3,FALSE)))</f>
        <v/>
      </c>
      <c r="X108" s="275" t="str">
        <f>IFERROR(IF(OR(LEFT(O108,5)="Error",LEFT(N108,5)="Error",T108="Error"),"Check Data ⚠",IF(F108&lt;R108,INDEX('G-6 Hedgerow Data'!$S$3:$AE$14,MATCH(C108,'G-6 Hedgerow Data'!$B$3:$B$14,0),MATCH(M108,'G-6 Hedgerow Data'!$S$2:$AE$2,0)),INDEX('G-6 Hedgerow Data'!$K$3:$Q$14,MATCH(M108,'G-6 Hedgerow Data'!$B$3:$B$14,0),MATCH(O108,'G-6 Hedgerow Data'!$K$2:$Q$2,0)))),"")</f>
        <v/>
      </c>
      <c r="Y108" s="133"/>
      <c r="Z108" s="133"/>
      <c r="AA108" s="283" t="str">
        <f t="shared" si="10"/>
        <v/>
      </c>
      <c r="AB108" s="296" t="str">
        <f t="shared" si="11"/>
        <v/>
      </c>
      <c r="AC108" s="297" t="str">
        <f t="shared" si="8"/>
        <v/>
      </c>
      <c r="AD108" s="311" t="str">
        <f>IF(M108="","",VLOOKUP(M108,'G-6 Hedgerow Data'!$B$3:$AG$15,31,FALSE))</f>
        <v/>
      </c>
      <c r="AE108" s="295" t="str">
        <f t="shared" si="12"/>
        <v/>
      </c>
      <c r="AF108" s="283" t="str">
        <f t="shared" si="13"/>
        <v/>
      </c>
      <c r="AG108" s="299" t="str">
        <f>IFERROR(IF(O108="","",VLOOKUP(AD108,'G-3 Multipliers'!$P$3:$Q$6,2,FALSE)),"")</f>
        <v/>
      </c>
      <c r="AH108" s="713" t="str">
        <f>IF(B108="","",IF(ISNA(VLOOKUP($B108,'E-1 Off-Site Hedge Baseline'!$B$1:$Z$257,14,FALSE)),"",(VLOOKUP($B108,'E-1 Off-Site Hedge Baseline'!$B$1:$Z$257,14,FALSE))))</f>
        <v/>
      </c>
      <c r="AI108" s="276" t="str">
        <f>IF(AH108="","",IF(VLOOKUP(AH108,'G-3 Multipliers'!$S$3:$T$10,2,FALSE)=0,"Spatial Data Missing ⚠",VLOOKUP(AH108,'G-3 Multipliers'!$S$3:$T$10,2,FALSE)))</f>
        <v/>
      </c>
      <c r="AJ108" s="317" t="str">
        <f t="shared" si="14"/>
        <v/>
      </c>
      <c r="AK108" s="289" t="str">
        <f t="shared" si="15"/>
        <v/>
      </c>
      <c r="AL108" s="101"/>
      <c r="AM108" s="115"/>
      <c r="AN108" s="104"/>
      <c r="AO108" s="104"/>
      <c r="AQ108" s="30" t="str">
        <f>IFERROR(INDEX('G-6 Hedgerow Data'!$BJ$3:$BJ$15,MATCH(M108,'G-6 Hedgerow Data'!$B$3:$B$15,0)),"")</f>
        <v/>
      </c>
    </row>
    <row r="109" spans="2:43" ht="14">
      <c r="B109" s="305" t="str">
        <f>'E-1 Off-Site Hedge Baseline'!AN107</f>
        <v/>
      </c>
      <c r="C109" s="295" t="str">
        <f>IF(B109="","",IF(ISNA(VLOOKUP($B109,'E-1 Off-Site Hedge Baseline'!$B$1:$L$257,3,FALSE)),"",(VLOOKUP($B109,'E-1 Off-Site Hedge Baseline'!$B$1:$L$257,3,FALSE))))</f>
        <v/>
      </c>
      <c r="D109" s="295" t="str">
        <f>IF(B109="","",IF(ISNA(VLOOKUP($B109,'E-1 Off-Site Hedge Baseline'!$B$1:$L$258,4,FALSE)),"",(VLOOKUP($B109,'E-1 Off-Site Hedge Baseline'!$B$1:$L$258,4,FALSE))))</f>
        <v/>
      </c>
      <c r="E109" s="295" t="str">
        <f>IF(B109="","",IF(ISNA(VLOOKUP($B109,'E-1 Off-Site Hedge Baseline'!$B$1:$L$257,5,FALSE)),"",(VLOOKUP($B109,'E-1 Off-Site Hedge Baseline'!$B$1:$L$257,5,FALSE))))</f>
        <v/>
      </c>
      <c r="F109" s="295" t="str">
        <f>IF(B109="","",IF(ISNA(VLOOKUP($B109,'E-1 Off-Site Hedge Baseline'!$B$1:$L$257,6,FALSE)),"",(VLOOKUP($B109,'E-1 Off-Site Hedge Baseline'!$B$1:$L$257,6,FALSE))))</f>
        <v/>
      </c>
      <c r="G109" s="295" t="str">
        <f>IF(B109="","",IF(ISNA(VLOOKUP($B109,'E-1 Off-Site Hedge Baseline'!$B$1:$L$257,7,FALSE)),"",(VLOOKUP($B109,'E-1 Off-Site Hedge Baseline'!$B$1:$L$257,7,FALSE))))</f>
        <v/>
      </c>
      <c r="H109" s="295" t="str">
        <f>IF(B109="","",IF(ISNA(VLOOKUP($B109,'E-1 Off-Site Hedge Baseline'!$B$1:$L$257,8,FALSE)),"",(VLOOKUP($B109,'E-1 Off-Site Hedge Baseline'!$B$1:$L$257,8,FALSE))))</f>
        <v/>
      </c>
      <c r="I109" s="295" t="str">
        <f>IF(B109="","",IF(ISNA(VLOOKUP($B109,'E-1 Off-Site Hedge Baseline'!$B$1:$L$257,10,FALSE)),"",(VLOOKUP($B109,'E-1 Off-Site Hedge Baseline'!$B$1:$L$257,10,FALSE))))</f>
        <v/>
      </c>
      <c r="J109" s="295" t="str">
        <f>IF(B109="","",IF(ISNA(VLOOKUP($B109,'E-1 Off-Site Hedge Baseline'!$B$1:$L$257,11,FALSE)),"",(VLOOKUP($B109,'E-1 Off-Site Hedge Baseline'!$B$1:$L$257,11,FALSE))))</f>
        <v/>
      </c>
      <c r="K109" s="295" t="str">
        <f>IF(B109="","",IF(ISNA(VLOOKUP($B109,'E-1 Off-Site Hedge Baseline'!$B$1:$X$257,16,FALSE)),"",(VLOOKUP($B109,'E-1 Off-Site Hedge Baseline'!$B$1:$X$257,16,FALSE))))</f>
        <v/>
      </c>
      <c r="L109" s="283" t="str">
        <f>IF(B109="","",IF(ISNA(VLOOKUP($B109,'E-1 Off-Site Hedge Baseline'!$B$1:$X$257,12,FALSE)),"",(VLOOKUP($B109,'E-1 Off-Site Hedge Baseline'!$B$1:$X$257,12,FALSE))))</f>
        <v/>
      </c>
      <c r="M109" s="244"/>
      <c r="N109" s="275" t="str">
        <f>IFERROR(IF(B109="","",INDEX('G-6 Hedgerow Data'!$AN$3:$AZ$15,MATCH(C109,'G-6 Hedgerow Data'!$AM$3:$AM$15,0),MATCH(M109,'G-6 Hedgerow Data'!$AN$2:$AZ$2,0))),"")</f>
        <v/>
      </c>
      <c r="O109" s="276" t="str">
        <f t="shared" si="9"/>
        <v/>
      </c>
      <c r="P109" s="281" t="str">
        <f>IF(B109="","",VLOOKUP(B109,'E-1 Off-Site Hedge Baseline'!$B$10:W354,19,FALSE))</f>
        <v/>
      </c>
      <c r="Q109" s="275" t="str">
        <f>IF(M109="","",VLOOKUP(M109,'G-6 Hedgerow Data'!$B$2:$AG$15,2,FALSE))</f>
        <v/>
      </c>
      <c r="R109" s="276" t="str">
        <f>IF(M109="","",VLOOKUP(M109,'G-6 Hedgerow Data'!$B$2:$AG$15,3,FALSE))</f>
        <v/>
      </c>
      <c r="S109" s="101"/>
      <c r="T109" s="276" t="str">
        <f>IFERROR(IF(S109="","",IF(AND(M109="Non-native and ornamental hedgerow",S109&lt;&gt;"Poor"),"Not possible ▲",(IF(AND(Q109="V.Low",OR(S109="Good",S109="Moderate")),"Error ▲",VLOOKUP(S109,'G-1 All Habitats'!$Z$2:$AA$9,2,FALSE))))),"")</f>
        <v/>
      </c>
      <c r="U109" s="101"/>
      <c r="V109" s="283" t="str">
        <f>IF(U109="","",IF(VLOOKUP(U109,'G-3 Multipliers'!$L$3:$N$6,2,FALSE)=0,"Spatial Data Missing ⚠",VLOOKUP(U109,'G-3 Multipliers'!$L$3:$N$6,2,FALSE)))</f>
        <v/>
      </c>
      <c r="W109" s="281" t="str">
        <f>IF(U109="","",IF(VLOOKUP(U109,'G-3 Multipliers'!$L$3:$N$6,3,FALSE)=0,"Spatial Data Missing ⚠",VLOOKUP(U109,'G-3 Multipliers'!$L$3:$N$6,3,FALSE)))</f>
        <v/>
      </c>
      <c r="X109" s="275" t="str">
        <f>IFERROR(IF(OR(LEFT(O109,5)="Error",LEFT(N109,5)="Error",T109="Error"),"Check Data ⚠",IF(F109&lt;R109,INDEX('G-6 Hedgerow Data'!$S$3:$AE$14,MATCH(C109,'G-6 Hedgerow Data'!$B$3:$B$14,0),MATCH(M109,'G-6 Hedgerow Data'!$S$2:$AE$2,0)),INDEX('G-6 Hedgerow Data'!$K$3:$Q$14,MATCH(M109,'G-6 Hedgerow Data'!$B$3:$B$14,0),MATCH(O109,'G-6 Hedgerow Data'!$K$2:$Q$2,0)))),"")</f>
        <v/>
      </c>
      <c r="Y109" s="133"/>
      <c r="Z109" s="133"/>
      <c r="AA109" s="283" t="str">
        <f t="shared" si="10"/>
        <v/>
      </c>
      <c r="AB109" s="296" t="str">
        <f t="shared" si="11"/>
        <v/>
      </c>
      <c r="AC109" s="297" t="str">
        <f t="shared" si="8"/>
        <v/>
      </c>
      <c r="AD109" s="311" t="str">
        <f>IF(M109="","",VLOOKUP(M109,'G-6 Hedgerow Data'!$B$3:$AG$15,31,FALSE))</f>
        <v/>
      </c>
      <c r="AE109" s="295" t="str">
        <f t="shared" si="12"/>
        <v/>
      </c>
      <c r="AF109" s="283" t="str">
        <f t="shared" si="13"/>
        <v/>
      </c>
      <c r="AG109" s="299" t="str">
        <f>IFERROR(IF(O109="","",VLOOKUP(AD109,'G-3 Multipliers'!$P$3:$Q$6,2,FALSE)),"")</f>
        <v/>
      </c>
      <c r="AH109" s="713" t="str">
        <f>IF(B109="","",IF(ISNA(VLOOKUP($B109,'E-1 Off-Site Hedge Baseline'!$B$1:$Z$257,14,FALSE)),"",(VLOOKUP($B109,'E-1 Off-Site Hedge Baseline'!$B$1:$Z$257,14,FALSE))))</f>
        <v/>
      </c>
      <c r="AI109" s="276" t="str">
        <f>IF(AH109="","",IF(VLOOKUP(AH109,'G-3 Multipliers'!$S$3:$T$10,2,FALSE)=0,"Spatial Data Missing ⚠",VLOOKUP(AH109,'G-3 Multipliers'!$S$3:$T$10,2,FALSE)))</f>
        <v/>
      </c>
      <c r="AJ109" s="317" t="str">
        <f t="shared" si="14"/>
        <v/>
      </c>
      <c r="AK109" s="289" t="str">
        <f t="shared" si="15"/>
        <v/>
      </c>
      <c r="AL109" s="101"/>
      <c r="AM109" s="115"/>
      <c r="AN109" s="104"/>
      <c r="AO109" s="104"/>
      <c r="AQ109" s="30" t="str">
        <f>IFERROR(INDEX('G-6 Hedgerow Data'!$BJ$3:$BJ$15,MATCH(M109,'G-6 Hedgerow Data'!$B$3:$B$15,0)),"")</f>
        <v/>
      </c>
    </row>
    <row r="110" spans="2:43" ht="14">
      <c r="B110" s="305" t="str">
        <f>'E-1 Off-Site Hedge Baseline'!AN108</f>
        <v/>
      </c>
      <c r="C110" s="295" t="str">
        <f>IF(B110="","",IF(ISNA(VLOOKUP($B110,'E-1 Off-Site Hedge Baseline'!$B$1:$L$257,3,FALSE)),"",(VLOOKUP($B110,'E-1 Off-Site Hedge Baseline'!$B$1:$L$257,3,FALSE))))</f>
        <v/>
      </c>
      <c r="D110" s="295" t="str">
        <f>IF(B110="","",IF(ISNA(VLOOKUP($B110,'E-1 Off-Site Hedge Baseline'!$B$1:$L$258,4,FALSE)),"",(VLOOKUP($B110,'E-1 Off-Site Hedge Baseline'!$B$1:$L$258,4,FALSE))))</f>
        <v/>
      </c>
      <c r="E110" s="295" t="str">
        <f>IF(B110="","",IF(ISNA(VLOOKUP($B110,'E-1 Off-Site Hedge Baseline'!$B$1:$L$257,5,FALSE)),"",(VLOOKUP($B110,'E-1 Off-Site Hedge Baseline'!$B$1:$L$257,5,FALSE))))</f>
        <v/>
      </c>
      <c r="F110" s="295" t="str">
        <f>IF(B110="","",IF(ISNA(VLOOKUP($B110,'E-1 Off-Site Hedge Baseline'!$B$1:$L$257,6,FALSE)),"",(VLOOKUP($B110,'E-1 Off-Site Hedge Baseline'!$B$1:$L$257,6,FALSE))))</f>
        <v/>
      </c>
      <c r="G110" s="295" t="str">
        <f>IF(B110="","",IF(ISNA(VLOOKUP($B110,'E-1 Off-Site Hedge Baseline'!$B$1:$L$257,7,FALSE)),"",(VLOOKUP($B110,'E-1 Off-Site Hedge Baseline'!$B$1:$L$257,7,FALSE))))</f>
        <v/>
      </c>
      <c r="H110" s="295" t="str">
        <f>IF(B110="","",IF(ISNA(VLOOKUP($B110,'E-1 Off-Site Hedge Baseline'!$B$1:$L$257,8,FALSE)),"",(VLOOKUP($B110,'E-1 Off-Site Hedge Baseline'!$B$1:$L$257,8,FALSE))))</f>
        <v/>
      </c>
      <c r="I110" s="295" t="str">
        <f>IF(B110="","",IF(ISNA(VLOOKUP($B110,'E-1 Off-Site Hedge Baseline'!$B$1:$L$257,10,FALSE)),"",(VLOOKUP($B110,'E-1 Off-Site Hedge Baseline'!$B$1:$L$257,10,FALSE))))</f>
        <v/>
      </c>
      <c r="J110" s="295" t="str">
        <f>IF(B110="","",IF(ISNA(VLOOKUP($B110,'E-1 Off-Site Hedge Baseline'!$B$1:$L$257,11,FALSE)),"",(VLOOKUP($B110,'E-1 Off-Site Hedge Baseline'!$B$1:$L$257,11,FALSE))))</f>
        <v/>
      </c>
      <c r="K110" s="295" t="str">
        <f>IF(B110="","",IF(ISNA(VLOOKUP($B110,'E-1 Off-Site Hedge Baseline'!$B$1:$X$257,16,FALSE)),"",(VLOOKUP($B110,'E-1 Off-Site Hedge Baseline'!$B$1:$X$257,16,FALSE))))</f>
        <v/>
      </c>
      <c r="L110" s="283" t="str">
        <f>IF(B110="","",IF(ISNA(VLOOKUP($B110,'E-1 Off-Site Hedge Baseline'!$B$1:$X$257,12,FALSE)),"",(VLOOKUP($B110,'E-1 Off-Site Hedge Baseline'!$B$1:$X$257,12,FALSE))))</f>
        <v/>
      </c>
      <c r="M110" s="244"/>
      <c r="N110" s="275" t="str">
        <f>IFERROR(IF(B110="","",INDEX('G-6 Hedgerow Data'!$AN$3:$AZ$15,MATCH(C110,'G-6 Hedgerow Data'!$AM$3:$AM$15,0),MATCH(M110,'G-6 Hedgerow Data'!$AN$2:$AZ$2,0))),"")</f>
        <v/>
      </c>
      <c r="O110" s="276" t="str">
        <f t="shared" si="9"/>
        <v/>
      </c>
      <c r="P110" s="281" t="str">
        <f>IF(B110="","",VLOOKUP(B110,'E-1 Off-Site Hedge Baseline'!$B$10:W355,19,FALSE))</f>
        <v/>
      </c>
      <c r="Q110" s="275" t="str">
        <f>IF(M110="","",VLOOKUP(M110,'G-6 Hedgerow Data'!$B$2:$AG$15,2,FALSE))</f>
        <v/>
      </c>
      <c r="R110" s="276" t="str">
        <f>IF(M110="","",VLOOKUP(M110,'G-6 Hedgerow Data'!$B$2:$AG$15,3,FALSE))</f>
        <v/>
      </c>
      <c r="S110" s="101"/>
      <c r="T110" s="276" t="str">
        <f>IFERROR(IF(S110="","",IF(AND(M110="Non-native and ornamental hedgerow",S110&lt;&gt;"Poor"),"Not possible ▲",(IF(AND(Q110="V.Low",OR(S110="Good",S110="Moderate")),"Error ▲",VLOOKUP(S110,'G-1 All Habitats'!$Z$2:$AA$9,2,FALSE))))),"")</f>
        <v/>
      </c>
      <c r="U110" s="101"/>
      <c r="V110" s="283" t="str">
        <f>IF(U110="","",IF(VLOOKUP(U110,'G-3 Multipliers'!$L$3:$N$6,2,FALSE)=0,"Spatial Data Missing ⚠",VLOOKUP(U110,'G-3 Multipliers'!$L$3:$N$6,2,FALSE)))</f>
        <v/>
      </c>
      <c r="W110" s="281" t="str">
        <f>IF(U110="","",IF(VLOOKUP(U110,'G-3 Multipliers'!$L$3:$N$6,3,FALSE)=0,"Spatial Data Missing ⚠",VLOOKUP(U110,'G-3 Multipliers'!$L$3:$N$6,3,FALSE)))</f>
        <v/>
      </c>
      <c r="X110" s="275" t="str">
        <f>IFERROR(IF(OR(LEFT(O110,5)="Error",LEFT(N110,5)="Error",T110="Error"),"Check Data ⚠",IF(F110&lt;R110,INDEX('G-6 Hedgerow Data'!$S$3:$AE$14,MATCH(C110,'G-6 Hedgerow Data'!$B$3:$B$14,0),MATCH(M110,'G-6 Hedgerow Data'!$S$2:$AE$2,0)),INDEX('G-6 Hedgerow Data'!$K$3:$Q$14,MATCH(M110,'G-6 Hedgerow Data'!$B$3:$B$14,0),MATCH(O110,'G-6 Hedgerow Data'!$K$2:$Q$2,0)))),"")</f>
        <v/>
      </c>
      <c r="Y110" s="133"/>
      <c r="Z110" s="133"/>
      <c r="AA110" s="283" t="str">
        <f t="shared" si="10"/>
        <v/>
      </c>
      <c r="AB110" s="296" t="str">
        <f t="shared" si="11"/>
        <v/>
      </c>
      <c r="AC110" s="297" t="str">
        <f t="shared" si="8"/>
        <v/>
      </c>
      <c r="AD110" s="311" t="str">
        <f>IF(M110="","",VLOOKUP(M110,'G-6 Hedgerow Data'!$B$3:$AG$15,31,FALSE))</f>
        <v/>
      </c>
      <c r="AE110" s="295" t="str">
        <f t="shared" si="12"/>
        <v/>
      </c>
      <c r="AF110" s="283" t="str">
        <f t="shared" si="13"/>
        <v/>
      </c>
      <c r="AG110" s="299" t="str">
        <f>IFERROR(IF(O110="","",VLOOKUP(AD110,'G-3 Multipliers'!$P$3:$Q$6,2,FALSE)),"")</f>
        <v/>
      </c>
      <c r="AH110" s="713" t="str">
        <f>IF(B110="","",IF(ISNA(VLOOKUP($B110,'E-1 Off-Site Hedge Baseline'!$B$1:$Z$257,14,FALSE)),"",(VLOOKUP($B110,'E-1 Off-Site Hedge Baseline'!$B$1:$Z$257,14,FALSE))))</f>
        <v/>
      </c>
      <c r="AI110" s="276" t="str">
        <f>IF(AH110="","",IF(VLOOKUP(AH110,'G-3 Multipliers'!$S$3:$T$10,2,FALSE)=0,"Spatial Data Missing ⚠",VLOOKUP(AH110,'G-3 Multipliers'!$S$3:$T$10,2,FALSE)))</f>
        <v/>
      </c>
      <c r="AJ110" s="317" t="str">
        <f t="shared" si="14"/>
        <v/>
      </c>
      <c r="AK110" s="289" t="str">
        <f t="shared" si="15"/>
        <v/>
      </c>
      <c r="AL110" s="101"/>
      <c r="AM110" s="115"/>
      <c r="AN110" s="104"/>
      <c r="AO110" s="104"/>
      <c r="AQ110" s="30" t="str">
        <f>IFERROR(INDEX('G-6 Hedgerow Data'!$BJ$3:$BJ$15,MATCH(M110,'G-6 Hedgerow Data'!$B$3:$B$15,0)),"")</f>
        <v/>
      </c>
    </row>
    <row r="111" spans="2:43" ht="14">
      <c r="B111" s="305" t="str">
        <f>'E-1 Off-Site Hedge Baseline'!AN109</f>
        <v/>
      </c>
      <c r="C111" s="295" t="str">
        <f>IF(B111="","",IF(ISNA(VLOOKUP($B111,'E-1 Off-Site Hedge Baseline'!$B$1:$L$257,3,FALSE)),"",(VLOOKUP($B111,'E-1 Off-Site Hedge Baseline'!$B$1:$L$257,3,FALSE))))</f>
        <v/>
      </c>
      <c r="D111" s="295" t="str">
        <f>IF(B111="","",IF(ISNA(VLOOKUP($B111,'E-1 Off-Site Hedge Baseline'!$B$1:$L$258,4,FALSE)),"",(VLOOKUP($B111,'E-1 Off-Site Hedge Baseline'!$B$1:$L$258,4,FALSE))))</f>
        <v/>
      </c>
      <c r="E111" s="295" t="str">
        <f>IF(B111="","",IF(ISNA(VLOOKUP($B111,'E-1 Off-Site Hedge Baseline'!$B$1:$L$257,5,FALSE)),"",(VLOOKUP($B111,'E-1 Off-Site Hedge Baseline'!$B$1:$L$257,5,FALSE))))</f>
        <v/>
      </c>
      <c r="F111" s="295" t="str">
        <f>IF(B111="","",IF(ISNA(VLOOKUP($B111,'E-1 Off-Site Hedge Baseline'!$B$1:$L$257,6,FALSE)),"",(VLOOKUP($B111,'E-1 Off-Site Hedge Baseline'!$B$1:$L$257,6,FALSE))))</f>
        <v/>
      </c>
      <c r="G111" s="295" t="str">
        <f>IF(B111="","",IF(ISNA(VLOOKUP($B111,'E-1 Off-Site Hedge Baseline'!$B$1:$L$257,7,FALSE)),"",(VLOOKUP($B111,'E-1 Off-Site Hedge Baseline'!$B$1:$L$257,7,FALSE))))</f>
        <v/>
      </c>
      <c r="H111" s="295" t="str">
        <f>IF(B111="","",IF(ISNA(VLOOKUP($B111,'E-1 Off-Site Hedge Baseline'!$B$1:$L$257,8,FALSE)),"",(VLOOKUP($B111,'E-1 Off-Site Hedge Baseline'!$B$1:$L$257,8,FALSE))))</f>
        <v/>
      </c>
      <c r="I111" s="295" t="str">
        <f>IF(B111="","",IF(ISNA(VLOOKUP($B111,'E-1 Off-Site Hedge Baseline'!$B$1:$L$257,10,FALSE)),"",(VLOOKUP($B111,'E-1 Off-Site Hedge Baseline'!$B$1:$L$257,10,FALSE))))</f>
        <v/>
      </c>
      <c r="J111" s="295" t="str">
        <f>IF(B111="","",IF(ISNA(VLOOKUP($B111,'E-1 Off-Site Hedge Baseline'!$B$1:$L$257,11,FALSE)),"",(VLOOKUP($B111,'E-1 Off-Site Hedge Baseline'!$B$1:$L$257,11,FALSE))))</f>
        <v/>
      </c>
      <c r="K111" s="295" t="str">
        <f>IF(B111="","",IF(ISNA(VLOOKUP($B111,'E-1 Off-Site Hedge Baseline'!$B$1:$X$257,16,FALSE)),"",(VLOOKUP($B111,'E-1 Off-Site Hedge Baseline'!$B$1:$X$257,16,FALSE))))</f>
        <v/>
      </c>
      <c r="L111" s="283" t="str">
        <f>IF(B111="","",IF(ISNA(VLOOKUP($B111,'E-1 Off-Site Hedge Baseline'!$B$1:$X$257,12,FALSE)),"",(VLOOKUP($B111,'E-1 Off-Site Hedge Baseline'!$B$1:$X$257,12,FALSE))))</f>
        <v/>
      </c>
      <c r="M111" s="244"/>
      <c r="N111" s="275" t="str">
        <f>IFERROR(IF(B111="","",INDEX('G-6 Hedgerow Data'!$AN$3:$AZ$15,MATCH(C111,'G-6 Hedgerow Data'!$AM$3:$AM$15,0),MATCH(M111,'G-6 Hedgerow Data'!$AN$2:$AZ$2,0))),"")</f>
        <v/>
      </c>
      <c r="O111" s="276" t="str">
        <f t="shared" si="9"/>
        <v/>
      </c>
      <c r="P111" s="281" t="str">
        <f>IF(B111="","",VLOOKUP(B111,'E-1 Off-Site Hedge Baseline'!$B$10:W356,19,FALSE))</f>
        <v/>
      </c>
      <c r="Q111" s="275" t="str">
        <f>IF(M111="","",VLOOKUP(M111,'G-6 Hedgerow Data'!$B$2:$AG$15,2,FALSE))</f>
        <v/>
      </c>
      <c r="R111" s="276" t="str">
        <f>IF(M111="","",VLOOKUP(M111,'G-6 Hedgerow Data'!$B$2:$AG$15,3,FALSE))</f>
        <v/>
      </c>
      <c r="S111" s="101"/>
      <c r="T111" s="276" t="str">
        <f>IFERROR(IF(S111="","",IF(AND(M111="Non-native and ornamental hedgerow",S111&lt;&gt;"Poor"),"Not possible ▲",(IF(AND(Q111="V.Low",OR(S111="Good",S111="Moderate")),"Error ▲",VLOOKUP(S111,'G-1 All Habitats'!$Z$2:$AA$9,2,FALSE))))),"")</f>
        <v/>
      </c>
      <c r="U111" s="101"/>
      <c r="V111" s="283" t="str">
        <f>IF(U111="","",IF(VLOOKUP(U111,'G-3 Multipliers'!$L$3:$N$6,2,FALSE)=0,"Spatial Data Missing ⚠",VLOOKUP(U111,'G-3 Multipliers'!$L$3:$N$6,2,FALSE)))</f>
        <v/>
      </c>
      <c r="W111" s="281" t="str">
        <f>IF(U111="","",IF(VLOOKUP(U111,'G-3 Multipliers'!$L$3:$N$6,3,FALSE)=0,"Spatial Data Missing ⚠",VLOOKUP(U111,'G-3 Multipliers'!$L$3:$N$6,3,FALSE)))</f>
        <v/>
      </c>
      <c r="X111" s="275" t="str">
        <f>IFERROR(IF(OR(LEFT(O111,5)="Error",LEFT(N111,5)="Error",T111="Error"),"Check Data ⚠",IF(F111&lt;R111,INDEX('G-6 Hedgerow Data'!$S$3:$AE$14,MATCH(C111,'G-6 Hedgerow Data'!$B$3:$B$14,0),MATCH(M111,'G-6 Hedgerow Data'!$S$2:$AE$2,0)),INDEX('G-6 Hedgerow Data'!$K$3:$Q$14,MATCH(M111,'G-6 Hedgerow Data'!$B$3:$B$14,0),MATCH(O111,'G-6 Hedgerow Data'!$K$2:$Q$2,0)))),"")</f>
        <v/>
      </c>
      <c r="Y111" s="133"/>
      <c r="Z111" s="133"/>
      <c r="AA111" s="283" t="str">
        <f t="shared" si="10"/>
        <v/>
      </c>
      <c r="AB111" s="296" t="str">
        <f t="shared" si="11"/>
        <v/>
      </c>
      <c r="AC111" s="297" t="str">
        <f t="shared" si="8"/>
        <v/>
      </c>
      <c r="AD111" s="311" t="str">
        <f>IF(M111="","",VLOOKUP(M111,'G-6 Hedgerow Data'!$B$3:$AG$15,31,FALSE))</f>
        <v/>
      </c>
      <c r="AE111" s="295" t="str">
        <f t="shared" si="12"/>
        <v/>
      </c>
      <c r="AF111" s="283" t="str">
        <f t="shared" si="13"/>
        <v/>
      </c>
      <c r="AG111" s="299" t="str">
        <f>IFERROR(IF(O111="","",VLOOKUP(AD111,'G-3 Multipliers'!$P$3:$Q$6,2,FALSE)),"")</f>
        <v/>
      </c>
      <c r="AH111" s="713" t="str">
        <f>IF(B111="","",IF(ISNA(VLOOKUP($B111,'E-1 Off-Site Hedge Baseline'!$B$1:$Z$257,14,FALSE)),"",(VLOOKUP($B111,'E-1 Off-Site Hedge Baseline'!$B$1:$Z$257,14,FALSE))))</f>
        <v/>
      </c>
      <c r="AI111" s="276" t="str">
        <f>IF(AH111="","",IF(VLOOKUP(AH111,'G-3 Multipliers'!$S$3:$T$10,2,FALSE)=0,"Spatial Data Missing ⚠",VLOOKUP(AH111,'G-3 Multipliers'!$S$3:$T$10,2,FALSE)))</f>
        <v/>
      </c>
      <c r="AJ111" s="317" t="str">
        <f t="shared" si="14"/>
        <v/>
      </c>
      <c r="AK111" s="289" t="str">
        <f t="shared" si="15"/>
        <v/>
      </c>
      <c r="AL111" s="101"/>
      <c r="AM111" s="115"/>
      <c r="AN111" s="104"/>
      <c r="AO111" s="104"/>
      <c r="AQ111" s="30" t="str">
        <f>IFERROR(INDEX('G-6 Hedgerow Data'!$BJ$3:$BJ$15,MATCH(M111,'G-6 Hedgerow Data'!$B$3:$B$15,0)),"")</f>
        <v/>
      </c>
    </row>
    <row r="112" spans="2:43" ht="14">
      <c r="B112" s="305" t="str">
        <f>'E-1 Off-Site Hedge Baseline'!AN110</f>
        <v/>
      </c>
      <c r="C112" s="295" t="str">
        <f>IF(B112="","",IF(ISNA(VLOOKUP($B112,'E-1 Off-Site Hedge Baseline'!$B$1:$L$257,3,FALSE)),"",(VLOOKUP($B112,'E-1 Off-Site Hedge Baseline'!$B$1:$L$257,3,FALSE))))</f>
        <v/>
      </c>
      <c r="D112" s="295" t="str">
        <f>IF(B112="","",IF(ISNA(VLOOKUP($B112,'E-1 Off-Site Hedge Baseline'!$B$1:$L$258,4,FALSE)),"",(VLOOKUP($B112,'E-1 Off-Site Hedge Baseline'!$B$1:$L$258,4,FALSE))))</f>
        <v/>
      </c>
      <c r="E112" s="295" t="str">
        <f>IF(B112="","",IF(ISNA(VLOOKUP($B112,'E-1 Off-Site Hedge Baseline'!$B$1:$L$257,5,FALSE)),"",(VLOOKUP($B112,'E-1 Off-Site Hedge Baseline'!$B$1:$L$257,5,FALSE))))</f>
        <v/>
      </c>
      <c r="F112" s="295" t="str">
        <f>IF(B112="","",IF(ISNA(VLOOKUP($B112,'E-1 Off-Site Hedge Baseline'!$B$1:$L$257,6,FALSE)),"",(VLOOKUP($B112,'E-1 Off-Site Hedge Baseline'!$B$1:$L$257,6,FALSE))))</f>
        <v/>
      </c>
      <c r="G112" s="295" t="str">
        <f>IF(B112="","",IF(ISNA(VLOOKUP($B112,'E-1 Off-Site Hedge Baseline'!$B$1:$L$257,7,FALSE)),"",(VLOOKUP($B112,'E-1 Off-Site Hedge Baseline'!$B$1:$L$257,7,FALSE))))</f>
        <v/>
      </c>
      <c r="H112" s="295" t="str">
        <f>IF(B112="","",IF(ISNA(VLOOKUP($B112,'E-1 Off-Site Hedge Baseline'!$B$1:$L$257,8,FALSE)),"",(VLOOKUP($B112,'E-1 Off-Site Hedge Baseline'!$B$1:$L$257,8,FALSE))))</f>
        <v/>
      </c>
      <c r="I112" s="295" t="str">
        <f>IF(B112="","",IF(ISNA(VLOOKUP($B112,'E-1 Off-Site Hedge Baseline'!$B$1:$L$257,10,FALSE)),"",(VLOOKUP($B112,'E-1 Off-Site Hedge Baseline'!$B$1:$L$257,10,FALSE))))</f>
        <v/>
      </c>
      <c r="J112" s="295" t="str">
        <f>IF(B112="","",IF(ISNA(VLOOKUP($B112,'E-1 Off-Site Hedge Baseline'!$B$1:$L$257,11,FALSE)),"",(VLOOKUP($B112,'E-1 Off-Site Hedge Baseline'!$B$1:$L$257,11,FALSE))))</f>
        <v/>
      </c>
      <c r="K112" s="295" t="str">
        <f>IF(B112="","",IF(ISNA(VLOOKUP($B112,'E-1 Off-Site Hedge Baseline'!$B$1:$X$257,16,FALSE)),"",(VLOOKUP($B112,'E-1 Off-Site Hedge Baseline'!$B$1:$X$257,16,FALSE))))</f>
        <v/>
      </c>
      <c r="L112" s="283" t="str">
        <f>IF(B112="","",IF(ISNA(VLOOKUP($B112,'E-1 Off-Site Hedge Baseline'!$B$1:$X$257,12,FALSE)),"",(VLOOKUP($B112,'E-1 Off-Site Hedge Baseline'!$B$1:$X$257,12,FALSE))))</f>
        <v/>
      </c>
      <c r="M112" s="244"/>
      <c r="N112" s="275" t="str">
        <f>IFERROR(IF(B112="","",INDEX('G-6 Hedgerow Data'!$AN$3:$AZ$15,MATCH(C112,'G-6 Hedgerow Data'!$AM$3:$AM$15,0),MATCH(M112,'G-6 Hedgerow Data'!$AN$2:$AZ$2,0))),"")</f>
        <v/>
      </c>
      <c r="O112" s="276" t="str">
        <f t="shared" si="9"/>
        <v/>
      </c>
      <c r="P112" s="281" t="str">
        <f>IF(B112="","",VLOOKUP(B112,'E-1 Off-Site Hedge Baseline'!$B$10:W357,19,FALSE))</f>
        <v/>
      </c>
      <c r="Q112" s="275" t="str">
        <f>IF(M112="","",VLOOKUP(M112,'G-6 Hedgerow Data'!$B$2:$AG$15,2,FALSE))</f>
        <v/>
      </c>
      <c r="R112" s="276" t="str">
        <f>IF(M112="","",VLOOKUP(M112,'G-6 Hedgerow Data'!$B$2:$AG$15,3,FALSE))</f>
        <v/>
      </c>
      <c r="S112" s="101"/>
      <c r="T112" s="276" t="str">
        <f>IFERROR(IF(S112="","",IF(AND(M112="Non-native and ornamental hedgerow",S112&lt;&gt;"Poor"),"Not possible ▲",(IF(AND(Q112="V.Low",OR(S112="Good",S112="Moderate")),"Error ▲",VLOOKUP(S112,'G-1 All Habitats'!$Z$2:$AA$9,2,FALSE))))),"")</f>
        <v/>
      </c>
      <c r="U112" s="101"/>
      <c r="V112" s="283" t="str">
        <f>IF(U112="","",IF(VLOOKUP(U112,'G-3 Multipliers'!$L$3:$N$6,2,FALSE)=0,"Spatial Data Missing ⚠",VLOOKUP(U112,'G-3 Multipliers'!$L$3:$N$6,2,FALSE)))</f>
        <v/>
      </c>
      <c r="W112" s="281" t="str">
        <f>IF(U112="","",IF(VLOOKUP(U112,'G-3 Multipliers'!$L$3:$N$6,3,FALSE)=0,"Spatial Data Missing ⚠",VLOOKUP(U112,'G-3 Multipliers'!$L$3:$N$6,3,FALSE)))</f>
        <v/>
      </c>
      <c r="X112" s="275" t="str">
        <f>IFERROR(IF(OR(LEFT(O112,5)="Error",LEFT(N112,5)="Error",T112="Error"),"Check Data ⚠",IF(F112&lt;R112,INDEX('G-6 Hedgerow Data'!$S$3:$AE$14,MATCH(C112,'G-6 Hedgerow Data'!$B$3:$B$14,0),MATCH(M112,'G-6 Hedgerow Data'!$S$2:$AE$2,0)),INDEX('G-6 Hedgerow Data'!$K$3:$Q$14,MATCH(M112,'G-6 Hedgerow Data'!$B$3:$B$14,0),MATCH(O112,'G-6 Hedgerow Data'!$K$2:$Q$2,0)))),"")</f>
        <v/>
      </c>
      <c r="Y112" s="133"/>
      <c r="Z112" s="133"/>
      <c r="AA112" s="283" t="str">
        <f t="shared" si="10"/>
        <v/>
      </c>
      <c r="AB112" s="296" t="str">
        <f t="shared" si="11"/>
        <v/>
      </c>
      <c r="AC112" s="297" t="str">
        <f t="shared" si="8"/>
        <v/>
      </c>
      <c r="AD112" s="311" t="str">
        <f>IF(M112="","",VLOOKUP(M112,'G-6 Hedgerow Data'!$B$3:$AG$15,31,FALSE))</f>
        <v/>
      </c>
      <c r="AE112" s="295" t="str">
        <f t="shared" si="12"/>
        <v/>
      </c>
      <c r="AF112" s="283" t="str">
        <f t="shared" si="13"/>
        <v/>
      </c>
      <c r="AG112" s="299" t="str">
        <f>IFERROR(IF(O112="","",VLOOKUP(AD112,'G-3 Multipliers'!$P$3:$Q$6,2,FALSE)),"")</f>
        <v/>
      </c>
      <c r="AH112" s="713" t="str">
        <f>IF(B112="","",IF(ISNA(VLOOKUP($B112,'E-1 Off-Site Hedge Baseline'!$B$1:$Z$257,14,FALSE)),"",(VLOOKUP($B112,'E-1 Off-Site Hedge Baseline'!$B$1:$Z$257,14,FALSE))))</f>
        <v/>
      </c>
      <c r="AI112" s="276" t="str">
        <f>IF(AH112="","",IF(VLOOKUP(AH112,'G-3 Multipliers'!$S$3:$T$10,2,FALSE)=0,"Spatial Data Missing ⚠",VLOOKUP(AH112,'G-3 Multipliers'!$S$3:$T$10,2,FALSE)))</f>
        <v/>
      </c>
      <c r="AJ112" s="317" t="str">
        <f t="shared" si="14"/>
        <v/>
      </c>
      <c r="AK112" s="289" t="str">
        <f t="shared" si="15"/>
        <v/>
      </c>
      <c r="AL112" s="101"/>
      <c r="AM112" s="115"/>
      <c r="AN112" s="104"/>
      <c r="AO112" s="104"/>
      <c r="AQ112" s="30" t="str">
        <f>IFERROR(INDEX('G-6 Hedgerow Data'!$BJ$3:$BJ$15,MATCH(M112,'G-6 Hedgerow Data'!$B$3:$B$15,0)),"")</f>
        <v/>
      </c>
    </row>
    <row r="113" spans="2:43" ht="14">
      <c r="B113" s="305" t="str">
        <f>'E-1 Off-Site Hedge Baseline'!AN111</f>
        <v/>
      </c>
      <c r="C113" s="295" t="str">
        <f>IF(B113="","",IF(ISNA(VLOOKUP($B113,'E-1 Off-Site Hedge Baseline'!$B$1:$L$257,3,FALSE)),"",(VLOOKUP($B113,'E-1 Off-Site Hedge Baseline'!$B$1:$L$257,3,FALSE))))</f>
        <v/>
      </c>
      <c r="D113" s="295" t="str">
        <f>IF(B113="","",IF(ISNA(VLOOKUP($B113,'E-1 Off-Site Hedge Baseline'!$B$1:$L$258,4,FALSE)),"",(VLOOKUP($B113,'E-1 Off-Site Hedge Baseline'!$B$1:$L$258,4,FALSE))))</f>
        <v/>
      </c>
      <c r="E113" s="295" t="str">
        <f>IF(B113="","",IF(ISNA(VLOOKUP($B113,'E-1 Off-Site Hedge Baseline'!$B$1:$L$257,5,FALSE)),"",(VLOOKUP($B113,'E-1 Off-Site Hedge Baseline'!$B$1:$L$257,5,FALSE))))</f>
        <v/>
      </c>
      <c r="F113" s="295" t="str">
        <f>IF(B113="","",IF(ISNA(VLOOKUP($B113,'E-1 Off-Site Hedge Baseline'!$B$1:$L$257,6,FALSE)),"",(VLOOKUP($B113,'E-1 Off-Site Hedge Baseline'!$B$1:$L$257,6,FALSE))))</f>
        <v/>
      </c>
      <c r="G113" s="295" t="str">
        <f>IF(B113="","",IF(ISNA(VLOOKUP($B113,'E-1 Off-Site Hedge Baseline'!$B$1:$L$257,7,FALSE)),"",(VLOOKUP($B113,'E-1 Off-Site Hedge Baseline'!$B$1:$L$257,7,FALSE))))</f>
        <v/>
      </c>
      <c r="H113" s="295" t="str">
        <f>IF(B113="","",IF(ISNA(VLOOKUP($B113,'E-1 Off-Site Hedge Baseline'!$B$1:$L$257,8,FALSE)),"",(VLOOKUP($B113,'E-1 Off-Site Hedge Baseline'!$B$1:$L$257,8,FALSE))))</f>
        <v/>
      </c>
      <c r="I113" s="295" t="str">
        <f>IF(B113="","",IF(ISNA(VLOOKUP($B113,'E-1 Off-Site Hedge Baseline'!$B$1:$L$257,10,FALSE)),"",(VLOOKUP($B113,'E-1 Off-Site Hedge Baseline'!$B$1:$L$257,10,FALSE))))</f>
        <v/>
      </c>
      <c r="J113" s="295" t="str">
        <f>IF(B113="","",IF(ISNA(VLOOKUP($B113,'E-1 Off-Site Hedge Baseline'!$B$1:$L$257,11,FALSE)),"",(VLOOKUP($B113,'E-1 Off-Site Hedge Baseline'!$B$1:$L$257,11,FALSE))))</f>
        <v/>
      </c>
      <c r="K113" s="295" t="str">
        <f>IF(B113="","",IF(ISNA(VLOOKUP($B113,'E-1 Off-Site Hedge Baseline'!$B$1:$X$257,16,FALSE)),"",(VLOOKUP($B113,'E-1 Off-Site Hedge Baseline'!$B$1:$X$257,16,FALSE))))</f>
        <v/>
      </c>
      <c r="L113" s="283" t="str">
        <f>IF(B113="","",IF(ISNA(VLOOKUP($B113,'E-1 Off-Site Hedge Baseline'!$B$1:$X$257,12,FALSE)),"",(VLOOKUP($B113,'E-1 Off-Site Hedge Baseline'!$B$1:$X$257,12,FALSE))))</f>
        <v/>
      </c>
      <c r="M113" s="244"/>
      <c r="N113" s="275" t="str">
        <f>IFERROR(IF(B113="","",INDEX('G-6 Hedgerow Data'!$AN$3:$AZ$15,MATCH(C113,'G-6 Hedgerow Data'!$AM$3:$AM$15,0),MATCH(M113,'G-6 Hedgerow Data'!$AN$2:$AZ$2,0))),"")</f>
        <v/>
      </c>
      <c r="O113" s="276" t="str">
        <f t="shared" si="9"/>
        <v/>
      </c>
      <c r="P113" s="281" t="str">
        <f>IF(B113="","",VLOOKUP(B113,'E-1 Off-Site Hedge Baseline'!$B$10:W358,19,FALSE))</f>
        <v/>
      </c>
      <c r="Q113" s="275" t="str">
        <f>IF(M113="","",VLOOKUP(M113,'G-6 Hedgerow Data'!$B$2:$AG$15,2,FALSE))</f>
        <v/>
      </c>
      <c r="R113" s="276" t="str">
        <f>IF(M113="","",VLOOKUP(M113,'G-6 Hedgerow Data'!$B$2:$AG$15,3,FALSE))</f>
        <v/>
      </c>
      <c r="S113" s="101"/>
      <c r="T113" s="276" t="str">
        <f>IFERROR(IF(S113="","",IF(AND(M113="Non-native and ornamental hedgerow",S113&lt;&gt;"Poor"),"Not possible ▲",(IF(AND(Q113="V.Low",OR(S113="Good",S113="Moderate")),"Error ▲",VLOOKUP(S113,'G-1 All Habitats'!$Z$2:$AA$9,2,FALSE))))),"")</f>
        <v/>
      </c>
      <c r="U113" s="101"/>
      <c r="V113" s="283" t="str">
        <f>IF(U113="","",IF(VLOOKUP(U113,'G-3 Multipliers'!$L$3:$N$6,2,FALSE)=0,"Spatial Data Missing ⚠",VLOOKUP(U113,'G-3 Multipliers'!$L$3:$N$6,2,FALSE)))</f>
        <v/>
      </c>
      <c r="W113" s="281" t="str">
        <f>IF(U113="","",IF(VLOOKUP(U113,'G-3 Multipliers'!$L$3:$N$6,3,FALSE)=0,"Spatial Data Missing ⚠",VLOOKUP(U113,'G-3 Multipliers'!$L$3:$N$6,3,FALSE)))</f>
        <v/>
      </c>
      <c r="X113" s="275" t="str">
        <f>IFERROR(IF(OR(LEFT(O113,5)="Error",LEFT(N113,5)="Error",T113="Error"),"Check Data ⚠",IF(F113&lt;R113,INDEX('G-6 Hedgerow Data'!$S$3:$AE$14,MATCH(C113,'G-6 Hedgerow Data'!$B$3:$B$14,0),MATCH(M113,'G-6 Hedgerow Data'!$S$2:$AE$2,0)),INDEX('G-6 Hedgerow Data'!$K$3:$Q$14,MATCH(M113,'G-6 Hedgerow Data'!$B$3:$B$14,0),MATCH(O113,'G-6 Hedgerow Data'!$K$2:$Q$2,0)))),"")</f>
        <v/>
      </c>
      <c r="Y113" s="133"/>
      <c r="Z113" s="133"/>
      <c r="AA113" s="283" t="str">
        <f t="shared" si="10"/>
        <v/>
      </c>
      <c r="AB113" s="296" t="str">
        <f t="shared" si="11"/>
        <v/>
      </c>
      <c r="AC113" s="297" t="str">
        <f t="shared" si="8"/>
        <v/>
      </c>
      <c r="AD113" s="311" t="str">
        <f>IF(M113="","",VLOOKUP(M113,'G-6 Hedgerow Data'!$B$3:$AG$15,31,FALSE))</f>
        <v/>
      </c>
      <c r="AE113" s="295" t="str">
        <f t="shared" si="12"/>
        <v/>
      </c>
      <c r="AF113" s="283" t="str">
        <f t="shared" si="13"/>
        <v/>
      </c>
      <c r="AG113" s="299" t="str">
        <f>IFERROR(IF(O113="","",VLOOKUP(AD113,'G-3 Multipliers'!$P$3:$Q$6,2,FALSE)),"")</f>
        <v/>
      </c>
      <c r="AH113" s="713" t="str">
        <f>IF(B113="","",IF(ISNA(VLOOKUP($B113,'E-1 Off-Site Hedge Baseline'!$B$1:$Z$257,14,FALSE)),"",(VLOOKUP($B113,'E-1 Off-Site Hedge Baseline'!$B$1:$Z$257,14,FALSE))))</f>
        <v/>
      </c>
      <c r="AI113" s="276" t="str">
        <f>IF(AH113="","",IF(VLOOKUP(AH113,'G-3 Multipliers'!$S$3:$T$10,2,FALSE)=0,"Spatial Data Missing ⚠",VLOOKUP(AH113,'G-3 Multipliers'!$S$3:$T$10,2,FALSE)))</f>
        <v/>
      </c>
      <c r="AJ113" s="317" t="str">
        <f t="shared" si="14"/>
        <v/>
      </c>
      <c r="AK113" s="289" t="str">
        <f t="shared" si="15"/>
        <v/>
      </c>
      <c r="AL113" s="101"/>
      <c r="AM113" s="115"/>
      <c r="AN113" s="104"/>
      <c r="AO113" s="104"/>
      <c r="AQ113" s="30" t="str">
        <f>IFERROR(INDEX('G-6 Hedgerow Data'!$BJ$3:$BJ$15,MATCH(M113,'G-6 Hedgerow Data'!$B$3:$B$15,0)),"")</f>
        <v/>
      </c>
    </row>
    <row r="114" spans="2:43" ht="14">
      <c r="B114" s="305" t="str">
        <f>'E-1 Off-Site Hedge Baseline'!AN112</f>
        <v/>
      </c>
      <c r="C114" s="295" t="str">
        <f>IF(B114="","",IF(ISNA(VLOOKUP($B114,'E-1 Off-Site Hedge Baseline'!$B$1:$L$257,3,FALSE)),"",(VLOOKUP($B114,'E-1 Off-Site Hedge Baseline'!$B$1:$L$257,3,FALSE))))</f>
        <v/>
      </c>
      <c r="D114" s="295" t="str">
        <f>IF(B114="","",IF(ISNA(VLOOKUP($B114,'E-1 Off-Site Hedge Baseline'!$B$1:$L$258,4,FALSE)),"",(VLOOKUP($B114,'E-1 Off-Site Hedge Baseline'!$B$1:$L$258,4,FALSE))))</f>
        <v/>
      </c>
      <c r="E114" s="295" t="str">
        <f>IF(B114="","",IF(ISNA(VLOOKUP($B114,'E-1 Off-Site Hedge Baseline'!$B$1:$L$257,5,FALSE)),"",(VLOOKUP($B114,'E-1 Off-Site Hedge Baseline'!$B$1:$L$257,5,FALSE))))</f>
        <v/>
      </c>
      <c r="F114" s="295" t="str">
        <f>IF(B114="","",IF(ISNA(VLOOKUP($B114,'E-1 Off-Site Hedge Baseline'!$B$1:$L$257,6,FALSE)),"",(VLOOKUP($B114,'E-1 Off-Site Hedge Baseline'!$B$1:$L$257,6,FALSE))))</f>
        <v/>
      </c>
      <c r="G114" s="295" t="str">
        <f>IF(B114="","",IF(ISNA(VLOOKUP($B114,'E-1 Off-Site Hedge Baseline'!$B$1:$L$257,7,FALSE)),"",(VLOOKUP($B114,'E-1 Off-Site Hedge Baseline'!$B$1:$L$257,7,FALSE))))</f>
        <v/>
      </c>
      <c r="H114" s="295" t="str">
        <f>IF(B114="","",IF(ISNA(VLOOKUP($B114,'E-1 Off-Site Hedge Baseline'!$B$1:$L$257,8,FALSE)),"",(VLOOKUP($B114,'E-1 Off-Site Hedge Baseline'!$B$1:$L$257,8,FALSE))))</f>
        <v/>
      </c>
      <c r="I114" s="295" t="str">
        <f>IF(B114="","",IF(ISNA(VLOOKUP($B114,'E-1 Off-Site Hedge Baseline'!$B$1:$L$257,10,FALSE)),"",(VLOOKUP($B114,'E-1 Off-Site Hedge Baseline'!$B$1:$L$257,10,FALSE))))</f>
        <v/>
      </c>
      <c r="J114" s="295" t="str">
        <f>IF(B114="","",IF(ISNA(VLOOKUP($B114,'E-1 Off-Site Hedge Baseline'!$B$1:$L$257,11,FALSE)),"",(VLOOKUP($B114,'E-1 Off-Site Hedge Baseline'!$B$1:$L$257,11,FALSE))))</f>
        <v/>
      </c>
      <c r="K114" s="295" t="str">
        <f>IF(B114="","",IF(ISNA(VLOOKUP($B114,'E-1 Off-Site Hedge Baseline'!$B$1:$X$257,16,FALSE)),"",(VLOOKUP($B114,'E-1 Off-Site Hedge Baseline'!$B$1:$X$257,16,FALSE))))</f>
        <v/>
      </c>
      <c r="L114" s="283" t="str">
        <f>IF(B114="","",IF(ISNA(VLOOKUP($B114,'E-1 Off-Site Hedge Baseline'!$B$1:$X$257,12,FALSE)),"",(VLOOKUP($B114,'E-1 Off-Site Hedge Baseline'!$B$1:$X$257,12,FALSE))))</f>
        <v/>
      </c>
      <c r="M114" s="244"/>
      <c r="N114" s="275" t="str">
        <f>IFERROR(IF(B114="","",INDEX('G-6 Hedgerow Data'!$AN$3:$AZ$15,MATCH(C114,'G-6 Hedgerow Data'!$AM$3:$AM$15,0),MATCH(M114,'G-6 Hedgerow Data'!$AN$2:$AZ$2,0))),"")</f>
        <v/>
      </c>
      <c r="O114" s="276" t="str">
        <f t="shared" si="9"/>
        <v/>
      </c>
      <c r="P114" s="281" t="str">
        <f>IF(B114="","",VLOOKUP(B114,'E-1 Off-Site Hedge Baseline'!$B$10:W359,19,FALSE))</f>
        <v/>
      </c>
      <c r="Q114" s="275" t="str">
        <f>IF(M114="","",VLOOKUP(M114,'G-6 Hedgerow Data'!$B$2:$AG$15,2,FALSE))</f>
        <v/>
      </c>
      <c r="R114" s="276" t="str">
        <f>IF(M114="","",VLOOKUP(M114,'G-6 Hedgerow Data'!$B$2:$AG$15,3,FALSE))</f>
        <v/>
      </c>
      <c r="S114" s="101"/>
      <c r="T114" s="276" t="str">
        <f>IFERROR(IF(S114="","",IF(AND(M114="Non-native and ornamental hedgerow",S114&lt;&gt;"Poor"),"Not possible ▲",(IF(AND(Q114="V.Low",OR(S114="Good",S114="Moderate")),"Error ▲",VLOOKUP(S114,'G-1 All Habitats'!$Z$2:$AA$9,2,FALSE))))),"")</f>
        <v/>
      </c>
      <c r="U114" s="101"/>
      <c r="V114" s="283" t="str">
        <f>IF(U114="","",IF(VLOOKUP(U114,'G-3 Multipliers'!$L$3:$N$6,2,FALSE)=0,"Spatial Data Missing ⚠",VLOOKUP(U114,'G-3 Multipliers'!$L$3:$N$6,2,FALSE)))</f>
        <v/>
      </c>
      <c r="W114" s="281" t="str">
        <f>IF(U114="","",IF(VLOOKUP(U114,'G-3 Multipliers'!$L$3:$N$6,3,FALSE)=0,"Spatial Data Missing ⚠",VLOOKUP(U114,'G-3 Multipliers'!$L$3:$N$6,3,FALSE)))</f>
        <v/>
      </c>
      <c r="X114" s="275" t="str">
        <f>IFERROR(IF(OR(LEFT(O114,5)="Error",LEFT(N114,5)="Error",T114="Error"),"Check Data ⚠",IF(F114&lt;R114,INDEX('G-6 Hedgerow Data'!$S$3:$AE$14,MATCH(C114,'G-6 Hedgerow Data'!$B$3:$B$14,0),MATCH(M114,'G-6 Hedgerow Data'!$S$2:$AE$2,0)),INDEX('G-6 Hedgerow Data'!$K$3:$Q$14,MATCH(M114,'G-6 Hedgerow Data'!$B$3:$B$14,0),MATCH(O114,'G-6 Hedgerow Data'!$K$2:$Q$2,0)))),"")</f>
        <v/>
      </c>
      <c r="Y114" s="133"/>
      <c r="Z114" s="133"/>
      <c r="AA114" s="283" t="str">
        <f t="shared" si="10"/>
        <v/>
      </c>
      <c r="AB114" s="296" t="str">
        <f t="shared" si="11"/>
        <v/>
      </c>
      <c r="AC114" s="297" t="str">
        <f t="shared" si="8"/>
        <v/>
      </c>
      <c r="AD114" s="311" t="str">
        <f>IF(M114="","",VLOOKUP(M114,'G-6 Hedgerow Data'!$B$3:$AG$15,31,FALSE))</f>
        <v/>
      </c>
      <c r="AE114" s="295" t="str">
        <f t="shared" si="12"/>
        <v/>
      </c>
      <c r="AF114" s="283" t="str">
        <f t="shared" si="13"/>
        <v/>
      </c>
      <c r="AG114" s="299" t="str">
        <f>IFERROR(IF(O114="","",VLOOKUP(AD114,'G-3 Multipliers'!$P$3:$Q$6,2,FALSE)),"")</f>
        <v/>
      </c>
      <c r="AH114" s="713" t="str">
        <f>IF(B114="","",IF(ISNA(VLOOKUP($B114,'E-1 Off-Site Hedge Baseline'!$B$1:$Z$257,14,FALSE)),"",(VLOOKUP($B114,'E-1 Off-Site Hedge Baseline'!$B$1:$Z$257,14,FALSE))))</f>
        <v/>
      </c>
      <c r="AI114" s="276" t="str">
        <f>IF(AH114="","",IF(VLOOKUP(AH114,'G-3 Multipliers'!$S$3:$T$10,2,FALSE)=0,"Spatial Data Missing ⚠",VLOOKUP(AH114,'G-3 Multipliers'!$S$3:$T$10,2,FALSE)))</f>
        <v/>
      </c>
      <c r="AJ114" s="317" t="str">
        <f t="shared" si="14"/>
        <v/>
      </c>
      <c r="AK114" s="289" t="str">
        <f t="shared" si="15"/>
        <v/>
      </c>
      <c r="AL114" s="101"/>
      <c r="AM114" s="115"/>
      <c r="AN114" s="104"/>
      <c r="AO114" s="104"/>
      <c r="AQ114" s="30" t="str">
        <f>IFERROR(INDEX('G-6 Hedgerow Data'!$BJ$3:$BJ$15,MATCH(M114,'G-6 Hedgerow Data'!$B$3:$B$15,0)),"")</f>
        <v/>
      </c>
    </row>
    <row r="115" spans="2:43" ht="14">
      <c r="B115" s="305" t="str">
        <f>'E-1 Off-Site Hedge Baseline'!AN113</f>
        <v/>
      </c>
      <c r="C115" s="295" t="str">
        <f>IF(B115="","",IF(ISNA(VLOOKUP($B115,'E-1 Off-Site Hedge Baseline'!$B$1:$L$257,3,FALSE)),"",(VLOOKUP($B115,'E-1 Off-Site Hedge Baseline'!$B$1:$L$257,3,FALSE))))</f>
        <v/>
      </c>
      <c r="D115" s="295" t="str">
        <f>IF(B115="","",IF(ISNA(VLOOKUP($B115,'E-1 Off-Site Hedge Baseline'!$B$1:$L$258,4,FALSE)),"",(VLOOKUP($B115,'E-1 Off-Site Hedge Baseline'!$B$1:$L$258,4,FALSE))))</f>
        <v/>
      </c>
      <c r="E115" s="295" t="str">
        <f>IF(B115="","",IF(ISNA(VLOOKUP($B115,'E-1 Off-Site Hedge Baseline'!$B$1:$L$257,5,FALSE)),"",(VLOOKUP($B115,'E-1 Off-Site Hedge Baseline'!$B$1:$L$257,5,FALSE))))</f>
        <v/>
      </c>
      <c r="F115" s="295" t="str">
        <f>IF(B115="","",IF(ISNA(VLOOKUP($B115,'E-1 Off-Site Hedge Baseline'!$B$1:$L$257,6,FALSE)),"",(VLOOKUP($B115,'E-1 Off-Site Hedge Baseline'!$B$1:$L$257,6,FALSE))))</f>
        <v/>
      </c>
      <c r="G115" s="295" t="str">
        <f>IF(B115="","",IF(ISNA(VLOOKUP($B115,'E-1 Off-Site Hedge Baseline'!$B$1:$L$257,7,FALSE)),"",(VLOOKUP($B115,'E-1 Off-Site Hedge Baseline'!$B$1:$L$257,7,FALSE))))</f>
        <v/>
      </c>
      <c r="H115" s="295" t="str">
        <f>IF(B115="","",IF(ISNA(VLOOKUP($B115,'E-1 Off-Site Hedge Baseline'!$B$1:$L$257,8,FALSE)),"",(VLOOKUP($B115,'E-1 Off-Site Hedge Baseline'!$B$1:$L$257,8,FALSE))))</f>
        <v/>
      </c>
      <c r="I115" s="295" t="str">
        <f>IF(B115="","",IF(ISNA(VLOOKUP($B115,'E-1 Off-Site Hedge Baseline'!$B$1:$L$257,10,FALSE)),"",(VLOOKUP($B115,'E-1 Off-Site Hedge Baseline'!$B$1:$L$257,10,FALSE))))</f>
        <v/>
      </c>
      <c r="J115" s="295" t="str">
        <f>IF(B115="","",IF(ISNA(VLOOKUP($B115,'E-1 Off-Site Hedge Baseline'!$B$1:$L$257,11,FALSE)),"",(VLOOKUP($B115,'E-1 Off-Site Hedge Baseline'!$B$1:$L$257,11,FALSE))))</f>
        <v/>
      </c>
      <c r="K115" s="295" t="str">
        <f>IF(B115="","",IF(ISNA(VLOOKUP($B115,'E-1 Off-Site Hedge Baseline'!$B$1:$X$257,16,FALSE)),"",(VLOOKUP($B115,'E-1 Off-Site Hedge Baseline'!$B$1:$X$257,16,FALSE))))</f>
        <v/>
      </c>
      <c r="L115" s="283" t="str">
        <f>IF(B115="","",IF(ISNA(VLOOKUP($B115,'E-1 Off-Site Hedge Baseline'!$B$1:$X$257,12,FALSE)),"",(VLOOKUP($B115,'E-1 Off-Site Hedge Baseline'!$B$1:$X$257,12,FALSE))))</f>
        <v/>
      </c>
      <c r="M115" s="244"/>
      <c r="N115" s="275" t="str">
        <f>IFERROR(IF(B115="","",INDEX('G-6 Hedgerow Data'!$AN$3:$AZ$15,MATCH(C115,'G-6 Hedgerow Data'!$AM$3:$AM$15,0),MATCH(M115,'G-6 Hedgerow Data'!$AN$2:$AZ$2,0))),"")</f>
        <v/>
      </c>
      <c r="O115" s="276" t="str">
        <f t="shared" si="9"/>
        <v/>
      </c>
      <c r="P115" s="281" t="str">
        <f>IF(B115="","",VLOOKUP(B115,'E-1 Off-Site Hedge Baseline'!$B$10:W360,19,FALSE))</f>
        <v/>
      </c>
      <c r="Q115" s="275" t="str">
        <f>IF(M115="","",VLOOKUP(M115,'G-6 Hedgerow Data'!$B$2:$AG$15,2,FALSE))</f>
        <v/>
      </c>
      <c r="R115" s="276" t="str">
        <f>IF(M115="","",VLOOKUP(M115,'G-6 Hedgerow Data'!$B$2:$AG$15,3,FALSE))</f>
        <v/>
      </c>
      <c r="S115" s="101"/>
      <c r="T115" s="276" t="str">
        <f>IFERROR(IF(S115="","",IF(AND(M115="Non-native and ornamental hedgerow",S115&lt;&gt;"Poor"),"Not possible ▲",(IF(AND(Q115="V.Low",OR(S115="Good",S115="Moderate")),"Error ▲",VLOOKUP(S115,'G-1 All Habitats'!$Z$2:$AA$9,2,FALSE))))),"")</f>
        <v/>
      </c>
      <c r="U115" s="101"/>
      <c r="V115" s="283" t="str">
        <f>IF(U115="","",IF(VLOOKUP(U115,'G-3 Multipliers'!$L$3:$N$6,2,FALSE)=0,"Spatial Data Missing ⚠",VLOOKUP(U115,'G-3 Multipliers'!$L$3:$N$6,2,FALSE)))</f>
        <v/>
      </c>
      <c r="W115" s="281" t="str">
        <f>IF(U115="","",IF(VLOOKUP(U115,'G-3 Multipliers'!$L$3:$N$6,3,FALSE)=0,"Spatial Data Missing ⚠",VLOOKUP(U115,'G-3 Multipliers'!$L$3:$N$6,3,FALSE)))</f>
        <v/>
      </c>
      <c r="X115" s="275" t="str">
        <f>IFERROR(IF(OR(LEFT(O115,5)="Error",LEFT(N115,5)="Error",T115="Error"),"Check Data ⚠",IF(F115&lt;R115,INDEX('G-6 Hedgerow Data'!$S$3:$AE$14,MATCH(C115,'G-6 Hedgerow Data'!$B$3:$B$14,0),MATCH(M115,'G-6 Hedgerow Data'!$S$2:$AE$2,0)),INDEX('G-6 Hedgerow Data'!$K$3:$Q$14,MATCH(M115,'G-6 Hedgerow Data'!$B$3:$B$14,0),MATCH(O115,'G-6 Hedgerow Data'!$K$2:$Q$2,0)))),"")</f>
        <v/>
      </c>
      <c r="Y115" s="133"/>
      <c r="Z115" s="133"/>
      <c r="AA115" s="283" t="str">
        <f t="shared" si="10"/>
        <v/>
      </c>
      <c r="AB115" s="296" t="str">
        <f t="shared" si="11"/>
        <v/>
      </c>
      <c r="AC115" s="297" t="str">
        <f t="shared" si="8"/>
        <v/>
      </c>
      <c r="AD115" s="311" t="str">
        <f>IF(M115="","",VLOOKUP(M115,'G-6 Hedgerow Data'!$B$3:$AG$15,31,FALSE))</f>
        <v/>
      </c>
      <c r="AE115" s="295" t="str">
        <f t="shared" si="12"/>
        <v/>
      </c>
      <c r="AF115" s="283" t="str">
        <f t="shared" si="13"/>
        <v/>
      </c>
      <c r="AG115" s="299" t="str">
        <f>IFERROR(IF(O115="","",VLOOKUP(AD115,'G-3 Multipliers'!$P$3:$Q$6,2,FALSE)),"")</f>
        <v/>
      </c>
      <c r="AH115" s="713" t="str">
        <f>IF(B115="","",IF(ISNA(VLOOKUP($B115,'E-1 Off-Site Hedge Baseline'!$B$1:$Z$257,14,FALSE)),"",(VLOOKUP($B115,'E-1 Off-Site Hedge Baseline'!$B$1:$Z$257,14,FALSE))))</f>
        <v/>
      </c>
      <c r="AI115" s="276" t="str">
        <f>IF(AH115="","",IF(VLOOKUP(AH115,'G-3 Multipliers'!$S$3:$T$10,2,FALSE)=0,"Spatial Data Missing ⚠",VLOOKUP(AH115,'G-3 Multipliers'!$S$3:$T$10,2,FALSE)))</f>
        <v/>
      </c>
      <c r="AJ115" s="317" t="str">
        <f t="shared" si="14"/>
        <v/>
      </c>
      <c r="AK115" s="289" t="str">
        <f t="shared" si="15"/>
        <v/>
      </c>
      <c r="AL115" s="101"/>
      <c r="AM115" s="115"/>
      <c r="AN115" s="104"/>
      <c r="AO115" s="104"/>
      <c r="AQ115" s="30" t="str">
        <f>IFERROR(INDEX('G-6 Hedgerow Data'!$BJ$3:$BJ$15,MATCH(M115,'G-6 Hedgerow Data'!$B$3:$B$15,0)),"")</f>
        <v/>
      </c>
    </row>
    <row r="116" spans="2:43" ht="14">
      <c r="B116" s="305" t="str">
        <f>'E-1 Off-Site Hedge Baseline'!AN114</f>
        <v/>
      </c>
      <c r="C116" s="295" t="str">
        <f>IF(B116="","",IF(ISNA(VLOOKUP($B116,'E-1 Off-Site Hedge Baseline'!$B$1:$L$257,3,FALSE)),"",(VLOOKUP($B116,'E-1 Off-Site Hedge Baseline'!$B$1:$L$257,3,FALSE))))</f>
        <v/>
      </c>
      <c r="D116" s="295" t="str">
        <f>IF(B116="","",IF(ISNA(VLOOKUP($B116,'E-1 Off-Site Hedge Baseline'!$B$1:$L$258,4,FALSE)),"",(VLOOKUP($B116,'E-1 Off-Site Hedge Baseline'!$B$1:$L$258,4,FALSE))))</f>
        <v/>
      </c>
      <c r="E116" s="295" t="str">
        <f>IF(B116="","",IF(ISNA(VLOOKUP($B116,'E-1 Off-Site Hedge Baseline'!$B$1:$L$257,5,FALSE)),"",(VLOOKUP($B116,'E-1 Off-Site Hedge Baseline'!$B$1:$L$257,5,FALSE))))</f>
        <v/>
      </c>
      <c r="F116" s="295" t="str">
        <f>IF(B116="","",IF(ISNA(VLOOKUP($B116,'E-1 Off-Site Hedge Baseline'!$B$1:$L$257,6,FALSE)),"",(VLOOKUP($B116,'E-1 Off-Site Hedge Baseline'!$B$1:$L$257,6,FALSE))))</f>
        <v/>
      </c>
      <c r="G116" s="295" t="str">
        <f>IF(B116="","",IF(ISNA(VLOOKUP($B116,'E-1 Off-Site Hedge Baseline'!$B$1:$L$257,7,FALSE)),"",(VLOOKUP($B116,'E-1 Off-Site Hedge Baseline'!$B$1:$L$257,7,FALSE))))</f>
        <v/>
      </c>
      <c r="H116" s="295" t="str">
        <f>IF(B116="","",IF(ISNA(VLOOKUP($B116,'E-1 Off-Site Hedge Baseline'!$B$1:$L$257,8,FALSE)),"",(VLOOKUP($B116,'E-1 Off-Site Hedge Baseline'!$B$1:$L$257,8,FALSE))))</f>
        <v/>
      </c>
      <c r="I116" s="295" t="str">
        <f>IF(B116="","",IF(ISNA(VLOOKUP($B116,'E-1 Off-Site Hedge Baseline'!$B$1:$L$257,10,FALSE)),"",(VLOOKUP($B116,'E-1 Off-Site Hedge Baseline'!$B$1:$L$257,10,FALSE))))</f>
        <v/>
      </c>
      <c r="J116" s="295" t="str">
        <f>IF(B116="","",IF(ISNA(VLOOKUP($B116,'E-1 Off-Site Hedge Baseline'!$B$1:$L$257,11,FALSE)),"",(VLOOKUP($B116,'E-1 Off-Site Hedge Baseline'!$B$1:$L$257,11,FALSE))))</f>
        <v/>
      </c>
      <c r="K116" s="295" t="str">
        <f>IF(B116="","",IF(ISNA(VLOOKUP($B116,'E-1 Off-Site Hedge Baseline'!$B$1:$X$257,16,FALSE)),"",(VLOOKUP($B116,'E-1 Off-Site Hedge Baseline'!$B$1:$X$257,16,FALSE))))</f>
        <v/>
      </c>
      <c r="L116" s="283" t="str">
        <f>IF(B116="","",IF(ISNA(VLOOKUP($B116,'E-1 Off-Site Hedge Baseline'!$B$1:$X$257,12,FALSE)),"",(VLOOKUP($B116,'E-1 Off-Site Hedge Baseline'!$B$1:$X$257,12,FALSE))))</f>
        <v/>
      </c>
      <c r="M116" s="244"/>
      <c r="N116" s="275" t="str">
        <f>IFERROR(IF(B116="","",INDEX('G-6 Hedgerow Data'!$AN$3:$AZ$15,MATCH(C116,'G-6 Hedgerow Data'!$AM$3:$AM$15,0),MATCH(M116,'G-6 Hedgerow Data'!$AN$2:$AZ$2,0))),"")</f>
        <v/>
      </c>
      <c r="O116" s="276" t="str">
        <f t="shared" si="9"/>
        <v/>
      </c>
      <c r="P116" s="281" t="str">
        <f>IF(B116="","",VLOOKUP(B116,'E-1 Off-Site Hedge Baseline'!$B$10:W361,19,FALSE))</f>
        <v/>
      </c>
      <c r="Q116" s="275" t="str">
        <f>IF(M116="","",VLOOKUP(M116,'G-6 Hedgerow Data'!$B$2:$AG$15,2,FALSE))</f>
        <v/>
      </c>
      <c r="R116" s="276" t="str">
        <f>IF(M116="","",VLOOKUP(M116,'G-6 Hedgerow Data'!$B$2:$AG$15,3,FALSE))</f>
        <v/>
      </c>
      <c r="S116" s="101"/>
      <c r="T116" s="276" t="str">
        <f>IFERROR(IF(S116="","",IF(AND(M116="Non-native and ornamental hedgerow",S116&lt;&gt;"Poor"),"Not possible ▲",(IF(AND(Q116="V.Low",OR(S116="Good",S116="Moderate")),"Error ▲",VLOOKUP(S116,'G-1 All Habitats'!$Z$2:$AA$9,2,FALSE))))),"")</f>
        <v/>
      </c>
      <c r="U116" s="101"/>
      <c r="V116" s="283" t="str">
        <f>IF(U116="","",IF(VLOOKUP(U116,'G-3 Multipliers'!$L$3:$N$6,2,FALSE)=0,"Spatial Data Missing ⚠",VLOOKUP(U116,'G-3 Multipliers'!$L$3:$N$6,2,FALSE)))</f>
        <v/>
      </c>
      <c r="W116" s="281" t="str">
        <f>IF(U116="","",IF(VLOOKUP(U116,'G-3 Multipliers'!$L$3:$N$6,3,FALSE)=0,"Spatial Data Missing ⚠",VLOOKUP(U116,'G-3 Multipliers'!$L$3:$N$6,3,FALSE)))</f>
        <v/>
      </c>
      <c r="X116" s="275" t="str">
        <f>IFERROR(IF(OR(LEFT(O116,5)="Error",LEFT(N116,5)="Error",T116="Error"),"Check Data ⚠",IF(F116&lt;R116,INDEX('G-6 Hedgerow Data'!$S$3:$AE$14,MATCH(C116,'G-6 Hedgerow Data'!$B$3:$B$14,0),MATCH(M116,'G-6 Hedgerow Data'!$S$2:$AE$2,0)),INDEX('G-6 Hedgerow Data'!$K$3:$Q$14,MATCH(M116,'G-6 Hedgerow Data'!$B$3:$B$14,0),MATCH(O116,'G-6 Hedgerow Data'!$K$2:$Q$2,0)))),"")</f>
        <v/>
      </c>
      <c r="Y116" s="133"/>
      <c r="Z116" s="133"/>
      <c r="AA116" s="283" t="str">
        <f t="shared" si="10"/>
        <v/>
      </c>
      <c r="AB116" s="296" t="str">
        <f t="shared" si="11"/>
        <v/>
      </c>
      <c r="AC116" s="297" t="str">
        <f t="shared" si="8"/>
        <v/>
      </c>
      <c r="AD116" s="311" t="str">
        <f>IF(M116="","",VLOOKUP(M116,'G-6 Hedgerow Data'!$B$3:$AG$15,31,FALSE))</f>
        <v/>
      </c>
      <c r="AE116" s="295" t="str">
        <f t="shared" si="12"/>
        <v/>
      </c>
      <c r="AF116" s="283" t="str">
        <f t="shared" si="13"/>
        <v/>
      </c>
      <c r="AG116" s="299" t="str">
        <f>IFERROR(IF(O116="","",VLOOKUP(AD116,'G-3 Multipliers'!$P$3:$Q$6,2,FALSE)),"")</f>
        <v/>
      </c>
      <c r="AH116" s="713" t="str">
        <f>IF(B116="","",IF(ISNA(VLOOKUP($B116,'E-1 Off-Site Hedge Baseline'!$B$1:$Z$257,14,FALSE)),"",(VLOOKUP($B116,'E-1 Off-Site Hedge Baseline'!$B$1:$Z$257,14,FALSE))))</f>
        <v/>
      </c>
      <c r="AI116" s="276" t="str">
        <f>IF(AH116="","",IF(VLOOKUP(AH116,'G-3 Multipliers'!$S$3:$T$10,2,FALSE)=0,"Spatial Data Missing ⚠",VLOOKUP(AH116,'G-3 Multipliers'!$S$3:$T$10,2,FALSE)))</f>
        <v/>
      </c>
      <c r="AJ116" s="317" t="str">
        <f t="shared" si="14"/>
        <v/>
      </c>
      <c r="AK116" s="289" t="str">
        <f t="shared" si="15"/>
        <v/>
      </c>
      <c r="AL116" s="101"/>
      <c r="AM116" s="115"/>
      <c r="AN116" s="104"/>
      <c r="AO116" s="104"/>
      <c r="AQ116" s="30" t="str">
        <f>IFERROR(INDEX('G-6 Hedgerow Data'!$BJ$3:$BJ$15,MATCH(M116,'G-6 Hedgerow Data'!$B$3:$B$15,0)),"")</f>
        <v/>
      </c>
    </row>
    <row r="117" spans="2:43" ht="14">
      <c r="B117" s="305" t="str">
        <f>'E-1 Off-Site Hedge Baseline'!AN115</f>
        <v/>
      </c>
      <c r="C117" s="295" t="str">
        <f>IF(B117="","",IF(ISNA(VLOOKUP($B117,'E-1 Off-Site Hedge Baseline'!$B$1:$L$257,3,FALSE)),"",(VLOOKUP($B117,'E-1 Off-Site Hedge Baseline'!$B$1:$L$257,3,FALSE))))</f>
        <v/>
      </c>
      <c r="D117" s="295" t="str">
        <f>IF(B117="","",IF(ISNA(VLOOKUP($B117,'E-1 Off-Site Hedge Baseline'!$B$1:$L$258,4,FALSE)),"",(VLOOKUP($B117,'E-1 Off-Site Hedge Baseline'!$B$1:$L$258,4,FALSE))))</f>
        <v/>
      </c>
      <c r="E117" s="295" t="str">
        <f>IF(B117="","",IF(ISNA(VLOOKUP($B117,'E-1 Off-Site Hedge Baseline'!$B$1:$L$257,5,FALSE)),"",(VLOOKUP($B117,'E-1 Off-Site Hedge Baseline'!$B$1:$L$257,5,FALSE))))</f>
        <v/>
      </c>
      <c r="F117" s="295" t="str">
        <f>IF(B117="","",IF(ISNA(VLOOKUP($B117,'E-1 Off-Site Hedge Baseline'!$B$1:$L$257,6,FALSE)),"",(VLOOKUP($B117,'E-1 Off-Site Hedge Baseline'!$B$1:$L$257,6,FALSE))))</f>
        <v/>
      </c>
      <c r="G117" s="295" t="str">
        <f>IF(B117="","",IF(ISNA(VLOOKUP($B117,'E-1 Off-Site Hedge Baseline'!$B$1:$L$257,7,FALSE)),"",(VLOOKUP($B117,'E-1 Off-Site Hedge Baseline'!$B$1:$L$257,7,FALSE))))</f>
        <v/>
      </c>
      <c r="H117" s="295" t="str">
        <f>IF(B117="","",IF(ISNA(VLOOKUP($B117,'E-1 Off-Site Hedge Baseline'!$B$1:$L$257,8,FALSE)),"",(VLOOKUP($B117,'E-1 Off-Site Hedge Baseline'!$B$1:$L$257,8,FALSE))))</f>
        <v/>
      </c>
      <c r="I117" s="295" t="str">
        <f>IF(B117="","",IF(ISNA(VLOOKUP($B117,'E-1 Off-Site Hedge Baseline'!$B$1:$L$257,10,FALSE)),"",(VLOOKUP($B117,'E-1 Off-Site Hedge Baseline'!$B$1:$L$257,10,FALSE))))</f>
        <v/>
      </c>
      <c r="J117" s="295" t="str">
        <f>IF(B117="","",IF(ISNA(VLOOKUP($B117,'E-1 Off-Site Hedge Baseline'!$B$1:$L$257,11,FALSE)),"",(VLOOKUP($B117,'E-1 Off-Site Hedge Baseline'!$B$1:$L$257,11,FALSE))))</f>
        <v/>
      </c>
      <c r="K117" s="295" t="str">
        <f>IF(B117="","",IF(ISNA(VLOOKUP($B117,'E-1 Off-Site Hedge Baseline'!$B$1:$X$257,16,FALSE)),"",(VLOOKUP($B117,'E-1 Off-Site Hedge Baseline'!$B$1:$X$257,16,FALSE))))</f>
        <v/>
      </c>
      <c r="L117" s="283" t="str">
        <f>IF(B117="","",IF(ISNA(VLOOKUP($B117,'E-1 Off-Site Hedge Baseline'!$B$1:$X$257,12,FALSE)),"",(VLOOKUP($B117,'E-1 Off-Site Hedge Baseline'!$B$1:$X$257,12,FALSE))))</f>
        <v/>
      </c>
      <c r="M117" s="244"/>
      <c r="N117" s="275" t="str">
        <f>IFERROR(IF(B117="","",INDEX('G-6 Hedgerow Data'!$AN$3:$AZ$15,MATCH(C117,'G-6 Hedgerow Data'!$AM$3:$AM$15,0),MATCH(M117,'G-6 Hedgerow Data'!$AN$2:$AZ$2,0))),"")</f>
        <v/>
      </c>
      <c r="O117" s="276" t="str">
        <f t="shared" si="9"/>
        <v/>
      </c>
      <c r="P117" s="281" t="str">
        <f>IF(B117="","",VLOOKUP(B117,'E-1 Off-Site Hedge Baseline'!$B$10:W362,19,FALSE))</f>
        <v/>
      </c>
      <c r="Q117" s="275" t="str">
        <f>IF(M117="","",VLOOKUP(M117,'G-6 Hedgerow Data'!$B$2:$AG$15,2,FALSE))</f>
        <v/>
      </c>
      <c r="R117" s="276" t="str">
        <f>IF(M117="","",VLOOKUP(M117,'G-6 Hedgerow Data'!$B$2:$AG$15,3,FALSE))</f>
        <v/>
      </c>
      <c r="S117" s="101"/>
      <c r="T117" s="276" t="str">
        <f>IFERROR(IF(S117="","",IF(AND(M117="Non-native and ornamental hedgerow",S117&lt;&gt;"Poor"),"Not possible ▲",(IF(AND(Q117="V.Low",OR(S117="Good",S117="Moderate")),"Error ▲",VLOOKUP(S117,'G-1 All Habitats'!$Z$2:$AA$9,2,FALSE))))),"")</f>
        <v/>
      </c>
      <c r="U117" s="101"/>
      <c r="V117" s="283" t="str">
        <f>IF(U117="","",IF(VLOOKUP(U117,'G-3 Multipliers'!$L$3:$N$6,2,FALSE)=0,"Spatial Data Missing ⚠",VLOOKUP(U117,'G-3 Multipliers'!$L$3:$N$6,2,FALSE)))</f>
        <v/>
      </c>
      <c r="W117" s="281" t="str">
        <f>IF(U117="","",IF(VLOOKUP(U117,'G-3 Multipliers'!$L$3:$N$6,3,FALSE)=0,"Spatial Data Missing ⚠",VLOOKUP(U117,'G-3 Multipliers'!$L$3:$N$6,3,FALSE)))</f>
        <v/>
      </c>
      <c r="X117" s="275" t="str">
        <f>IFERROR(IF(OR(LEFT(O117,5)="Error",LEFT(N117,5)="Error",T117="Error"),"Check Data ⚠",IF(F117&lt;R117,INDEX('G-6 Hedgerow Data'!$S$3:$AE$14,MATCH(C117,'G-6 Hedgerow Data'!$B$3:$B$14,0),MATCH(M117,'G-6 Hedgerow Data'!$S$2:$AE$2,0)),INDEX('G-6 Hedgerow Data'!$K$3:$Q$14,MATCH(M117,'G-6 Hedgerow Data'!$B$3:$B$14,0),MATCH(O117,'G-6 Hedgerow Data'!$K$2:$Q$2,0)))),"")</f>
        <v/>
      </c>
      <c r="Y117" s="133"/>
      <c r="Z117" s="133"/>
      <c r="AA117" s="283" t="str">
        <f t="shared" si="10"/>
        <v/>
      </c>
      <c r="AB117" s="296" t="str">
        <f t="shared" si="11"/>
        <v/>
      </c>
      <c r="AC117" s="297" t="str">
        <f t="shared" si="8"/>
        <v/>
      </c>
      <c r="AD117" s="311" t="str">
        <f>IF(M117="","",VLOOKUP(M117,'G-6 Hedgerow Data'!$B$3:$AG$15,31,FALSE))</f>
        <v/>
      </c>
      <c r="AE117" s="295" t="str">
        <f t="shared" si="12"/>
        <v/>
      </c>
      <c r="AF117" s="283" t="str">
        <f t="shared" si="13"/>
        <v/>
      </c>
      <c r="AG117" s="299" t="str">
        <f>IFERROR(IF(O117="","",VLOOKUP(AD117,'G-3 Multipliers'!$P$3:$Q$6,2,FALSE)),"")</f>
        <v/>
      </c>
      <c r="AH117" s="713" t="str">
        <f>IF(B117="","",IF(ISNA(VLOOKUP($B117,'E-1 Off-Site Hedge Baseline'!$B$1:$Z$257,14,FALSE)),"",(VLOOKUP($B117,'E-1 Off-Site Hedge Baseline'!$B$1:$Z$257,14,FALSE))))</f>
        <v/>
      </c>
      <c r="AI117" s="276" t="str">
        <f>IF(AH117="","",IF(VLOOKUP(AH117,'G-3 Multipliers'!$S$3:$T$10,2,FALSE)=0,"Spatial Data Missing ⚠",VLOOKUP(AH117,'G-3 Multipliers'!$S$3:$T$10,2,FALSE)))</f>
        <v/>
      </c>
      <c r="AJ117" s="317" t="str">
        <f t="shared" si="14"/>
        <v/>
      </c>
      <c r="AK117" s="289" t="str">
        <f t="shared" si="15"/>
        <v/>
      </c>
      <c r="AL117" s="101"/>
      <c r="AM117" s="115"/>
      <c r="AN117" s="104"/>
      <c r="AO117" s="104"/>
      <c r="AQ117" s="30" t="str">
        <f>IFERROR(INDEX('G-6 Hedgerow Data'!$BJ$3:$BJ$15,MATCH(M117,'G-6 Hedgerow Data'!$B$3:$B$15,0)),"")</f>
        <v/>
      </c>
    </row>
    <row r="118" spans="2:43" ht="14">
      <c r="B118" s="305" t="str">
        <f>'E-1 Off-Site Hedge Baseline'!AN116</f>
        <v/>
      </c>
      <c r="C118" s="295" t="str">
        <f>IF(B118="","",IF(ISNA(VLOOKUP($B118,'E-1 Off-Site Hedge Baseline'!$B$1:$L$257,3,FALSE)),"",(VLOOKUP($B118,'E-1 Off-Site Hedge Baseline'!$B$1:$L$257,3,FALSE))))</f>
        <v/>
      </c>
      <c r="D118" s="295" t="str">
        <f>IF(B118="","",IF(ISNA(VLOOKUP($B118,'E-1 Off-Site Hedge Baseline'!$B$1:$L$258,4,FALSE)),"",(VLOOKUP($B118,'E-1 Off-Site Hedge Baseline'!$B$1:$L$258,4,FALSE))))</f>
        <v/>
      </c>
      <c r="E118" s="295" t="str">
        <f>IF(B118="","",IF(ISNA(VLOOKUP($B118,'E-1 Off-Site Hedge Baseline'!$B$1:$L$257,5,FALSE)),"",(VLOOKUP($B118,'E-1 Off-Site Hedge Baseline'!$B$1:$L$257,5,FALSE))))</f>
        <v/>
      </c>
      <c r="F118" s="295" t="str">
        <f>IF(B118="","",IF(ISNA(VLOOKUP($B118,'E-1 Off-Site Hedge Baseline'!$B$1:$L$257,6,FALSE)),"",(VLOOKUP($B118,'E-1 Off-Site Hedge Baseline'!$B$1:$L$257,6,FALSE))))</f>
        <v/>
      </c>
      <c r="G118" s="295" t="str">
        <f>IF(B118="","",IF(ISNA(VLOOKUP($B118,'E-1 Off-Site Hedge Baseline'!$B$1:$L$257,7,FALSE)),"",(VLOOKUP($B118,'E-1 Off-Site Hedge Baseline'!$B$1:$L$257,7,FALSE))))</f>
        <v/>
      </c>
      <c r="H118" s="295" t="str">
        <f>IF(B118="","",IF(ISNA(VLOOKUP($B118,'E-1 Off-Site Hedge Baseline'!$B$1:$L$257,8,FALSE)),"",(VLOOKUP($B118,'E-1 Off-Site Hedge Baseline'!$B$1:$L$257,8,FALSE))))</f>
        <v/>
      </c>
      <c r="I118" s="295" t="str">
        <f>IF(B118="","",IF(ISNA(VLOOKUP($B118,'E-1 Off-Site Hedge Baseline'!$B$1:$L$257,10,FALSE)),"",(VLOOKUP($B118,'E-1 Off-Site Hedge Baseline'!$B$1:$L$257,10,FALSE))))</f>
        <v/>
      </c>
      <c r="J118" s="295" t="str">
        <f>IF(B118="","",IF(ISNA(VLOOKUP($B118,'E-1 Off-Site Hedge Baseline'!$B$1:$L$257,11,FALSE)),"",(VLOOKUP($B118,'E-1 Off-Site Hedge Baseline'!$B$1:$L$257,11,FALSE))))</f>
        <v/>
      </c>
      <c r="K118" s="295" t="str">
        <f>IF(B118="","",IF(ISNA(VLOOKUP($B118,'E-1 Off-Site Hedge Baseline'!$B$1:$X$257,16,FALSE)),"",(VLOOKUP($B118,'E-1 Off-Site Hedge Baseline'!$B$1:$X$257,16,FALSE))))</f>
        <v/>
      </c>
      <c r="L118" s="283" t="str">
        <f>IF(B118="","",IF(ISNA(VLOOKUP($B118,'E-1 Off-Site Hedge Baseline'!$B$1:$X$257,12,FALSE)),"",(VLOOKUP($B118,'E-1 Off-Site Hedge Baseline'!$B$1:$X$257,12,FALSE))))</f>
        <v/>
      </c>
      <c r="M118" s="244"/>
      <c r="N118" s="275" t="str">
        <f>IFERROR(IF(B118="","",INDEX('G-6 Hedgerow Data'!$AN$3:$AZ$15,MATCH(C118,'G-6 Hedgerow Data'!$AM$3:$AM$15,0),MATCH(M118,'G-6 Hedgerow Data'!$AN$2:$AZ$2,0))),"")</f>
        <v/>
      </c>
      <c r="O118" s="276" t="str">
        <f t="shared" si="9"/>
        <v/>
      </c>
      <c r="P118" s="281" t="str">
        <f>IF(B118="","",VLOOKUP(B118,'E-1 Off-Site Hedge Baseline'!$B$10:W363,19,FALSE))</f>
        <v/>
      </c>
      <c r="Q118" s="275" t="str">
        <f>IF(M118="","",VLOOKUP(M118,'G-6 Hedgerow Data'!$B$2:$AG$15,2,FALSE))</f>
        <v/>
      </c>
      <c r="R118" s="276" t="str">
        <f>IF(M118="","",VLOOKUP(M118,'G-6 Hedgerow Data'!$B$2:$AG$15,3,FALSE))</f>
        <v/>
      </c>
      <c r="S118" s="101"/>
      <c r="T118" s="276" t="str">
        <f>IFERROR(IF(S118="","",IF(AND(M118="Non-native and ornamental hedgerow",S118&lt;&gt;"Poor"),"Not possible ▲",(IF(AND(Q118="V.Low",OR(S118="Good",S118="Moderate")),"Error ▲",VLOOKUP(S118,'G-1 All Habitats'!$Z$2:$AA$9,2,FALSE))))),"")</f>
        <v/>
      </c>
      <c r="U118" s="101"/>
      <c r="V118" s="283" t="str">
        <f>IF(U118="","",IF(VLOOKUP(U118,'G-3 Multipliers'!$L$3:$N$6,2,FALSE)=0,"Spatial Data Missing ⚠",VLOOKUP(U118,'G-3 Multipliers'!$L$3:$N$6,2,FALSE)))</f>
        <v/>
      </c>
      <c r="W118" s="281" t="str">
        <f>IF(U118="","",IF(VLOOKUP(U118,'G-3 Multipliers'!$L$3:$N$6,3,FALSE)=0,"Spatial Data Missing ⚠",VLOOKUP(U118,'G-3 Multipliers'!$L$3:$N$6,3,FALSE)))</f>
        <v/>
      </c>
      <c r="X118" s="275" t="str">
        <f>IFERROR(IF(OR(LEFT(O118,5)="Error",LEFT(N118,5)="Error",T118="Error"),"Check Data ⚠",IF(F118&lt;R118,INDEX('G-6 Hedgerow Data'!$S$3:$AE$14,MATCH(C118,'G-6 Hedgerow Data'!$B$3:$B$14,0),MATCH(M118,'G-6 Hedgerow Data'!$S$2:$AE$2,0)),INDEX('G-6 Hedgerow Data'!$K$3:$Q$14,MATCH(M118,'G-6 Hedgerow Data'!$B$3:$B$14,0),MATCH(O118,'G-6 Hedgerow Data'!$K$2:$Q$2,0)))),"")</f>
        <v/>
      </c>
      <c r="Y118" s="133"/>
      <c r="Z118" s="133"/>
      <c r="AA118" s="283" t="str">
        <f t="shared" si="10"/>
        <v/>
      </c>
      <c r="AB118" s="296" t="str">
        <f t="shared" si="11"/>
        <v/>
      </c>
      <c r="AC118" s="297" t="str">
        <f t="shared" si="8"/>
        <v/>
      </c>
      <c r="AD118" s="311" t="str">
        <f>IF(M118="","",VLOOKUP(M118,'G-6 Hedgerow Data'!$B$3:$AG$15,31,FALSE))</f>
        <v/>
      </c>
      <c r="AE118" s="295" t="str">
        <f t="shared" si="12"/>
        <v/>
      </c>
      <c r="AF118" s="283" t="str">
        <f t="shared" si="13"/>
        <v/>
      </c>
      <c r="AG118" s="299" t="str">
        <f>IFERROR(IF(O118="","",VLOOKUP(AD118,'G-3 Multipliers'!$P$3:$Q$6,2,FALSE)),"")</f>
        <v/>
      </c>
      <c r="AH118" s="713" t="str">
        <f>IF(B118="","",IF(ISNA(VLOOKUP($B118,'E-1 Off-Site Hedge Baseline'!$B$1:$Z$257,14,FALSE)),"",(VLOOKUP($B118,'E-1 Off-Site Hedge Baseline'!$B$1:$Z$257,14,FALSE))))</f>
        <v/>
      </c>
      <c r="AI118" s="276" t="str">
        <f>IF(AH118="","",IF(VLOOKUP(AH118,'G-3 Multipliers'!$S$3:$T$10,2,FALSE)=0,"Spatial Data Missing ⚠",VLOOKUP(AH118,'G-3 Multipliers'!$S$3:$T$10,2,FALSE)))</f>
        <v/>
      </c>
      <c r="AJ118" s="317" t="str">
        <f t="shared" si="14"/>
        <v/>
      </c>
      <c r="AK118" s="289" t="str">
        <f t="shared" si="15"/>
        <v/>
      </c>
      <c r="AL118" s="101"/>
      <c r="AM118" s="115"/>
      <c r="AN118" s="104"/>
      <c r="AO118" s="104"/>
      <c r="AQ118" s="30" t="str">
        <f>IFERROR(INDEX('G-6 Hedgerow Data'!$BJ$3:$BJ$15,MATCH(M118,'G-6 Hedgerow Data'!$B$3:$B$15,0)),"")</f>
        <v/>
      </c>
    </row>
    <row r="119" spans="2:43" ht="14">
      <c r="B119" s="305" t="str">
        <f>'E-1 Off-Site Hedge Baseline'!AN117</f>
        <v/>
      </c>
      <c r="C119" s="295" t="str">
        <f>IF(B119="","",IF(ISNA(VLOOKUP($B119,'E-1 Off-Site Hedge Baseline'!$B$1:$L$257,3,FALSE)),"",(VLOOKUP($B119,'E-1 Off-Site Hedge Baseline'!$B$1:$L$257,3,FALSE))))</f>
        <v/>
      </c>
      <c r="D119" s="295" t="str">
        <f>IF(B119="","",IF(ISNA(VLOOKUP($B119,'E-1 Off-Site Hedge Baseline'!$B$1:$L$258,4,FALSE)),"",(VLOOKUP($B119,'E-1 Off-Site Hedge Baseline'!$B$1:$L$258,4,FALSE))))</f>
        <v/>
      </c>
      <c r="E119" s="295" t="str">
        <f>IF(B119="","",IF(ISNA(VLOOKUP($B119,'E-1 Off-Site Hedge Baseline'!$B$1:$L$257,5,FALSE)),"",(VLOOKUP($B119,'E-1 Off-Site Hedge Baseline'!$B$1:$L$257,5,FALSE))))</f>
        <v/>
      </c>
      <c r="F119" s="295" t="str">
        <f>IF(B119="","",IF(ISNA(VLOOKUP($B119,'E-1 Off-Site Hedge Baseline'!$B$1:$L$257,6,FALSE)),"",(VLOOKUP($B119,'E-1 Off-Site Hedge Baseline'!$B$1:$L$257,6,FALSE))))</f>
        <v/>
      </c>
      <c r="G119" s="295" t="str">
        <f>IF(B119="","",IF(ISNA(VLOOKUP($B119,'E-1 Off-Site Hedge Baseline'!$B$1:$L$257,7,FALSE)),"",(VLOOKUP($B119,'E-1 Off-Site Hedge Baseline'!$B$1:$L$257,7,FALSE))))</f>
        <v/>
      </c>
      <c r="H119" s="295" t="str">
        <f>IF(B119="","",IF(ISNA(VLOOKUP($B119,'E-1 Off-Site Hedge Baseline'!$B$1:$L$257,8,FALSE)),"",(VLOOKUP($B119,'E-1 Off-Site Hedge Baseline'!$B$1:$L$257,8,FALSE))))</f>
        <v/>
      </c>
      <c r="I119" s="295" t="str">
        <f>IF(B119="","",IF(ISNA(VLOOKUP($B119,'E-1 Off-Site Hedge Baseline'!$B$1:$L$257,10,FALSE)),"",(VLOOKUP($B119,'E-1 Off-Site Hedge Baseline'!$B$1:$L$257,10,FALSE))))</f>
        <v/>
      </c>
      <c r="J119" s="295" t="str">
        <f>IF(B119="","",IF(ISNA(VLOOKUP($B119,'E-1 Off-Site Hedge Baseline'!$B$1:$L$257,11,FALSE)),"",(VLOOKUP($B119,'E-1 Off-Site Hedge Baseline'!$B$1:$L$257,11,FALSE))))</f>
        <v/>
      </c>
      <c r="K119" s="295" t="str">
        <f>IF(B119="","",IF(ISNA(VLOOKUP($B119,'E-1 Off-Site Hedge Baseline'!$B$1:$X$257,16,FALSE)),"",(VLOOKUP($B119,'E-1 Off-Site Hedge Baseline'!$B$1:$X$257,16,FALSE))))</f>
        <v/>
      </c>
      <c r="L119" s="283" t="str">
        <f>IF(B119="","",IF(ISNA(VLOOKUP($B119,'E-1 Off-Site Hedge Baseline'!$B$1:$X$257,12,FALSE)),"",(VLOOKUP($B119,'E-1 Off-Site Hedge Baseline'!$B$1:$X$257,12,FALSE))))</f>
        <v/>
      </c>
      <c r="M119" s="244"/>
      <c r="N119" s="275" t="str">
        <f>IFERROR(IF(B119="","",INDEX('G-6 Hedgerow Data'!$AN$3:$AZ$15,MATCH(C119,'G-6 Hedgerow Data'!$AM$3:$AM$15,0),MATCH(M119,'G-6 Hedgerow Data'!$AN$2:$AZ$2,0))),"")</f>
        <v/>
      </c>
      <c r="O119" s="276" t="str">
        <f t="shared" si="9"/>
        <v/>
      </c>
      <c r="P119" s="281" t="str">
        <f>IF(B119="","",VLOOKUP(B119,'E-1 Off-Site Hedge Baseline'!$B$10:W364,19,FALSE))</f>
        <v/>
      </c>
      <c r="Q119" s="275" t="str">
        <f>IF(M119="","",VLOOKUP(M119,'G-6 Hedgerow Data'!$B$2:$AG$15,2,FALSE))</f>
        <v/>
      </c>
      <c r="R119" s="276" t="str">
        <f>IF(M119="","",VLOOKUP(M119,'G-6 Hedgerow Data'!$B$2:$AG$15,3,FALSE))</f>
        <v/>
      </c>
      <c r="S119" s="101"/>
      <c r="T119" s="276" t="str">
        <f>IFERROR(IF(S119="","",IF(AND(M119="Non-native and ornamental hedgerow",S119&lt;&gt;"Poor"),"Not possible ▲",(IF(AND(Q119="V.Low",OR(S119="Good",S119="Moderate")),"Error ▲",VLOOKUP(S119,'G-1 All Habitats'!$Z$2:$AA$9,2,FALSE))))),"")</f>
        <v/>
      </c>
      <c r="U119" s="101"/>
      <c r="V119" s="283" t="str">
        <f>IF(U119="","",IF(VLOOKUP(U119,'G-3 Multipliers'!$L$3:$N$6,2,FALSE)=0,"Spatial Data Missing ⚠",VLOOKUP(U119,'G-3 Multipliers'!$L$3:$N$6,2,FALSE)))</f>
        <v/>
      </c>
      <c r="W119" s="281" t="str">
        <f>IF(U119="","",IF(VLOOKUP(U119,'G-3 Multipliers'!$L$3:$N$6,3,FALSE)=0,"Spatial Data Missing ⚠",VLOOKUP(U119,'G-3 Multipliers'!$L$3:$N$6,3,FALSE)))</f>
        <v/>
      </c>
      <c r="X119" s="275" t="str">
        <f>IFERROR(IF(OR(LEFT(O119,5)="Error",LEFT(N119,5)="Error",T119="Error"),"Check Data ⚠",IF(F119&lt;R119,INDEX('G-6 Hedgerow Data'!$S$3:$AE$14,MATCH(C119,'G-6 Hedgerow Data'!$B$3:$B$14,0),MATCH(M119,'G-6 Hedgerow Data'!$S$2:$AE$2,0)),INDEX('G-6 Hedgerow Data'!$K$3:$Q$14,MATCH(M119,'G-6 Hedgerow Data'!$B$3:$B$14,0),MATCH(O119,'G-6 Hedgerow Data'!$K$2:$Q$2,0)))),"")</f>
        <v/>
      </c>
      <c r="Y119" s="133"/>
      <c r="Z119" s="133"/>
      <c r="AA119" s="283" t="str">
        <f t="shared" si="10"/>
        <v/>
      </c>
      <c r="AB119" s="296" t="str">
        <f t="shared" si="11"/>
        <v/>
      </c>
      <c r="AC119" s="297" t="str">
        <f t="shared" si="8"/>
        <v/>
      </c>
      <c r="AD119" s="311" t="str">
        <f>IF(M119="","",VLOOKUP(M119,'G-6 Hedgerow Data'!$B$3:$AG$15,31,FALSE))</f>
        <v/>
      </c>
      <c r="AE119" s="295" t="str">
        <f t="shared" si="12"/>
        <v/>
      </c>
      <c r="AF119" s="283" t="str">
        <f t="shared" si="13"/>
        <v/>
      </c>
      <c r="AG119" s="299" t="str">
        <f>IFERROR(IF(O119="","",VLOOKUP(AD119,'G-3 Multipliers'!$P$3:$Q$6,2,FALSE)),"")</f>
        <v/>
      </c>
      <c r="AH119" s="713" t="str">
        <f>IF(B119="","",IF(ISNA(VLOOKUP($B119,'E-1 Off-Site Hedge Baseline'!$B$1:$Z$257,14,FALSE)),"",(VLOOKUP($B119,'E-1 Off-Site Hedge Baseline'!$B$1:$Z$257,14,FALSE))))</f>
        <v/>
      </c>
      <c r="AI119" s="276" t="str">
        <f>IF(AH119="","",IF(VLOOKUP(AH119,'G-3 Multipliers'!$S$3:$T$10,2,FALSE)=0,"Spatial Data Missing ⚠",VLOOKUP(AH119,'G-3 Multipliers'!$S$3:$T$10,2,FALSE)))</f>
        <v/>
      </c>
      <c r="AJ119" s="317" t="str">
        <f t="shared" si="14"/>
        <v/>
      </c>
      <c r="AK119" s="289" t="str">
        <f t="shared" si="15"/>
        <v/>
      </c>
      <c r="AL119" s="101"/>
      <c r="AM119" s="115"/>
      <c r="AN119" s="104"/>
      <c r="AO119" s="104"/>
      <c r="AQ119" s="30" t="str">
        <f>IFERROR(INDEX('G-6 Hedgerow Data'!$BJ$3:$BJ$15,MATCH(M119,'G-6 Hedgerow Data'!$B$3:$B$15,0)),"")</f>
        <v/>
      </c>
    </row>
    <row r="120" spans="2:43" ht="14">
      <c r="B120" s="305" t="str">
        <f>'E-1 Off-Site Hedge Baseline'!AN118</f>
        <v/>
      </c>
      <c r="C120" s="295" t="str">
        <f>IF(B120="","",IF(ISNA(VLOOKUP($B120,'E-1 Off-Site Hedge Baseline'!$B$1:$L$257,3,FALSE)),"",(VLOOKUP($B120,'E-1 Off-Site Hedge Baseline'!$B$1:$L$257,3,FALSE))))</f>
        <v/>
      </c>
      <c r="D120" s="295" t="str">
        <f>IF(B120="","",IF(ISNA(VLOOKUP($B120,'E-1 Off-Site Hedge Baseline'!$B$1:$L$258,4,FALSE)),"",(VLOOKUP($B120,'E-1 Off-Site Hedge Baseline'!$B$1:$L$258,4,FALSE))))</f>
        <v/>
      </c>
      <c r="E120" s="295" t="str">
        <f>IF(B120="","",IF(ISNA(VLOOKUP($B120,'E-1 Off-Site Hedge Baseline'!$B$1:$L$257,5,FALSE)),"",(VLOOKUP($B120,'E-1 Off-Site Hedge Baseline'!$B$1:$L$257,5,FALSE))))</f>
        <v/>
      </c>
      <c r="F120" s="295" t="str">
        <f>IF(B120="","",IF(ISNA(VLOOKUP($B120,'E-1 Off-Site Hedge Baseline'!$B$1:$L$257,6,FALSE)),"",(VLOOKUP($B120,'E-1 Off-Site Hedge Baseline'!$B$1:$L$257,6,FALSE))))</f>
        <v/>
      </c>
      <c r="G120" s="295" t="str">
        <f>IF(B120="","",IF(ISNA(VLOOKUP($B120,'E-1 Off-Site Hedge Baseline'!$B$1:$L$257,7,FALSE)),"",(VLOOKUP($B120,'E-1 Off-Site Hedge Baseline'!$B$1:$L$257,7,FALSE))))</f>
        <v/>
      </c>
      <c r="H120" s="295" t="str">
        <f>IF(B120="","",IF(ISNA(VLOOKUP($B120,'E-1 Off-Site Hedge Baseline'!$B$1:$L$257,8,FALSE)),"",(VLOOKUP($B120,'E-1 Off-Site Hedge Baseline'!$B$1:$L$257,8,FALSE))))</f>
        <v/>
      </c>
      <c r="I120" s="295" t="str">
        <f>IF(B120="","",IF(ISNA(VLOOKUP($B120,'E-1 Off-Site Hedge Baseline'!$B$1:$L$257,10,FALSE)),"",(VLOOKUP($B120,'E-1 Off-Site Hedge Baseline'!$B$1:$L$257,10,FALSE))))</f>
        <v/>
      </c>
      <c r="J120" s="295" t="str">
        <f>IF(B120="","",IF(ISNA(VLOOKUP($B120,'E-1 Off-Site Hedge Baseline'!$B$1:$L$257,11,FALSE)),"",(VLOOKUP($B120,'E-1 Off-Site Hedge Baseline'!$B$1:$L$257,11,FALSE))))</f>
        <v/>
      </c>
      <c r="K120" s="295" t="str">
        <f>IF(B120="","",IF(ISNA(VLOOKUP($B120,'E-1 Off-Site Hedge Baseline'!$B$1:$X$257,16,FALSE)),"",(VLOOKUP($B120,'E-1 Off-Site Hedge Baseline'!$B$1:$X$257,16,FALSE))))</f>
        <v/>
      </c>
      <c r="L120" s="283" t="str">
        <f>IF(B120="","",IF(ISNA(VLOOKUP($B120,'E-1 Off-Site Hedge Baseline'!$B$1:$X$257,12,FALSE)),"",(VLOOKUP($B120,'E-1 Off-Site Hedge Baseline'!$B$1:$X$257,12,FALSE))))</f>
        <v/>
      </c>
      <c r="M120" s="244"/>
      <c r="N120" s="275" t="str">
        <f>IFERROR(IF(B120="","",INDEX('G-6 Hedgerow Data'!$AN$3:$AZ$15,MATCH(C120,'G-6 Hedgerow Data'!$AM$3:$AM$15,0),MATCH(M120,'G-6 Hedgerow Data'!$AN$2:$AZ$2,0))),"")</f>
        <v/>
      </c>
      <c r="O120" s="276" t="str">
        <f t="shared" si="9"/>
        <v/>
      </c>
      <c r="P120" s="281" t="str">
        <f>IF(B120="","",VLOOKUP(B120,'E-1 Off-Site Hedge Baseline'!$B$10:W365,19,FALSE))</f>
        <v/>
      </c>
      <c r="Q120" s="275" t="str">
        <f>IF(M120="","",VLOOKUP(M120,'G-6 Hedgerow Data'!$B$2:$AG$15,2,FALSE))</f>
        <v/>
      </c>
      <c r="R120" s="276" t="str">
        <f>IF(M120="","",VLOOKUP(M120,'G-6 Hedgerow Data'!$B$2:$AG$15,3,FALSE))</f>
        <v/>
      </c>
      <c r="S120" s="101"/>
      <c r="T120" s="276" t="str">
        <f>IFERROR(IF(S120="","",IF(AND(M120="Non-native and ornamental hedgerow",S120&lt;&gt;"Poor"),"Not possible ▲",(IF(AND(Q120="V.Low",OR(S120="Good",S120="Moderate")),"Error ▲",VLOOKUP(S120,'G-1 All Habitats'!$Z$2:$AA$9,2,FALSE))))),"")</f>
        <v/>
      </c>
      <c r="U120" s="101"/>
      <c r="V120" s="283" t="str">
        <f>IF(U120="","",IF(VLOOKUP(U120,'G-3 Multipliers'!$L$3:$N$6,2,FALSE)=0,"Spatial Data Missing ⚠",VLOOKUP(U120,'G-3 Multipliers'!$L$3:$N$6,2,FALSE)))</f>
        <v/>
      </c>
      <c r="W120" s="281" t="str">
        <f>IF(U120="","",IF(VLOOKUP(U120,'G-3 Multipliers'!$L$3:$N$6,3,FALSE)=0,"Spatial Data Missing ⚠",VLOOKUP(U120,'G-3 Multipliers'!$L$3:$N$6,3,FALSE)))</f>
        <v/>
      </c>
      <c r="X120" s="275" t="str">
        <f>IFERROR(IF(OR(LEFT(O120,5)="Error",LEFT(N120,5)="Error",T120="Error"),"Check Data ⚠",IF(F120&lt;R120,INDEX('G-6 Hedgerow Data'!$S$3:$AE$14,MATCH(C120,'G-6 Hedgerow Data'!$B$3:$B$14,0),MATCH(M120,'G-6 Hedgerow Data'!$S$2:$AE$2,0)),INDEX('G-6 Hedgerow Data'!$K$3:$Q$14,MATCH(M120,'G-6 Hedgerow Data'!$B$3:$B$14,0),MATCH(O120,'G-6 Hedgerow Data'!$K$2:$Q$2,0)))),"")</f>
        <v/>
      </c>
      <c r="Y120" s="133"/>
      <c r="Z120" s="133"/>
      <c r="AA120" s="283" t="str">
        <f t="shared" si="10"/>
        <v/>
      </c>
      <c r="AB120" s="296" t="str">
        <f t="shared" si="11"/>
        <v/>
      </c>
      <c r="AC120" s="297" t="str">
        <f t="shared" si="8"/>
        <v/>
      </c>
      <c r="AD120" s="311" t="str">
        <f>IF(M120="","",VLOOKUP(M120,'G-6 Hedgerow Data'!$B$3:$AG$15,31,FALSE))</f>
        <v/>
      </c>
      <c r="AE120" s="295" t="str">
        <f t="shared" si="12"/>
        <v/>
      </c>
      <c r="AF120" s="283" t="str">
        <f t="shared" si="13"/>
        <v/>
      </c>
      <c r="AG120" s="299" t="str">
        <f>IFERROR(IF(O120="","",VLOOKUP(AD120,'G-3 Multipliers'!$P$3:$Q$6,2,FALSE)),"")</f>
        <v/>
      </c>
      <c r="AH120" s="713" t="str">
        <f>IF(B120="","",IF(ISNA(VLOOKUP($B120,'E-1 Off-Site Hedge Baseline'!$B$1:$Z$257,14,FALSE)),"",(VLOOKUP($B120,'E-1 Off-Site Hedge Baseline'!$B$1:$Z$257,14,FALSE))))</f>
        <v/>
      </c>
      <c r="AI120" s="276" t="str">
        <f>IF(AH120="","",IF(VLOOKUP(AH120,'G-3 Multipliers'!$S$3:$T$10,2,FALSE)=0,"Spatial Data Missing ⚠",VLOOKUP(AH120,'G-3 Multipliers'!$S$3:$T$10,2,FALSE)))</f>
        <v/>
      </c>
      <c r="AJ120" s="317" t="str">
        <f t="shared" si="14"/>
        <v/>
      </c>
      <c r="AK120" s="289" t="str">
        <f t="shared" si="15"/>
        <v/>
      </c>
      <c r="AL120" s="101"/>
      <c r="AM120" s="115"/>
      <c r="AN120" s="104"/>
      <c r="AO120" s="104"/>
      <c r="AQ120" s="30" t="str">
        <f>IFERROR(INDEX('G-6 Hedgerow Data'!$BJ$3:$BJ$15,MATCH(M120,'G-6 Hedgerow Data'!$B$3:$B$15,0)),"")</f>
        <v/>
      </c>
    </row>
    <row r="121" spans="2:43" ht="14">
      <c r="B121" s="305" t="str">
        <f>'E-1 Off-Site Hedge Baseline'!AN119</f>
        <v/>
      </c>
      <c r="C121" s="295" t="str">
        <f>IF(B121="","",IF(ISNA(VLOOKUP($B121,'E-1 Off-Site Hedge Baseline'!$B$1:$L$257,3,FALSE)),"",(VLOOKUP($B121,'E-1 Off-Site Hedge Baseline'!$B$1:$L$257,3,FALSE))))</f>
        <v/>
      </c>
      <c r="D121" s="295" t="str">
        <f>IF(B121="","",IF(ISNA(VLOOKUP($B121,'E-1 Off-Site Hedge Baseline'!$B$1:$L$258,4,FALSE)),"",(VLOOKUP($B121,'E-1 Off-Site Hedge Baseline'!$B$1:$L$258,4,FALSE))))</f>
        <v/>
      </c>
      <c r="E121" s="295" t="str">
        <f>IF(B121="","",IF(ISNA(VLOOKUP($B121,'E-1 Off-Site Hedge Baseline'!$B$1:$L$257,5,FALSE)),"",(VLOOKUP($B121,'E-1 Off-Site Hedge Baseline'!$B$1:$L$257,5,FALSE))))</f>
        <v/>
      </c>
      <c r="F121" s="295" t="str">
        <f>IF(B121="","",IF(ISNA(VLOOKUP($B121,'E-1 Off-Site Hedge Baseline'!$B$1:$L$257,6,FALSE)),"",(VLOOKUP($B121,'E-1 Off-Site Hedge Baseline'!$B$1:$L$257,6,FALSE))))</f>
        <v/>
      </c>
      <c r="G121" s="295" t="str">
        <f>IF(B121="","",IF(ISNA(VLOOKUP($B121,'E-1 Off-Site Hedge Baseline'!$B$1:$L$257,7,FALSE)),"",(VLOOKUP($B121,'E-1 Off-Site Hedge Baseline'!$B$1:$L$257,7,FALSE))))</f>
        <v/>
      </c>
      <c r="H121" s="295" t="str">
        <f>IF(B121="","",IF(ISNA(VLOOKUP($B121,'E-1 Off-Site Hedge Baseline'!$B$1:$L$257,8,FALSE)),"",(VLOOKUP($B121,'E-1 Off-Site Hedge Baseline'!$B$1:$L$257,8,FALSE))))</f>
        <v/>
      </c>
      <c r="I121" s="295" t="str">
        <f>IF(B121="","",IF(ISNA(VLOOKUP($B121,'E-1 Off-Site Hedge Baseline'!$B$1:$L$257,10,FALSE)),"",(VLOOKUP($B121,'E-1 Off-Site Hedge Baseline'!$B$1:$L$257,10,FALSE))))</f>
        <v/>
      </c>
      <c r="J121" s="295" t="str">
        <f>IF(B121="","",IF(ISNA(VLOOKUP($B121,'E-1 Off-Site Hedge Baseline'!$B$1:$L$257,11,FALSE)),"",(VLOOKUP($B121,'E-1 Off-Site Hedge Baseline'!$B$1:$L$257,11,FALSE))))</f>
        <v/>
      </c>
      <c r="K121" s="295" t="str">
        <f>IF(B121="","",IF(ISNA(VLOOKUP($B121,'E-1 Off-Site Hedge Baseline'!$B$1:$X$257,16,FALSE)),"",(VLOOKUP($B121,'E-1 Off-Site Hedge Baseline'!$B$1:$X$257,16,FALSE))))</f>
        <v/>
      </c>
      <c r="L121" s="283" t="str">
        <f>IF(B121="","",IF(ISNA(VLOOKUP($B121,'E-1 Off-Site Hedge Baseline'!$B$1:$X$257,12,FALSE)),"",(VLOOKUP($B121,'E-1 Off-Site Hedge Baseline'!$B$1:$X$257,12,FALSE))))</f>
        <v/>
      </c>
      <c r="M121" s="244"/>
      <c r="N121" s="275" t="str">
        <f>IFERROR(IF(B121="","",INDEX('G-6 Hedgerow Data'!$AN$3:$AZ$15,MATCH(C121,'G-6 Hedgerow Data'!$AM$3:$AM$15,0),MATCH(M121,'G-6 Hedgerow Data'!$AN$2:$AZ$2,0))),"")</f>
        <v/>
      </c>
      <c r="O121" s="276" t="str">
        <f t="shared" si="9"/>
        <v/>
      </c>
      <c r="P121" s="281" t="str">
        <f>IF(B121="","",VLOOKUP(B121,'E-1 Off-Site Hedge Baseline'!$B$10:W366,19,FALSE))</f>
        <v/>
      </c>
      <c r="Q121" s="275" t="str">
        <f>IF(M121="","",VLOOKUP(M121,'G-6 Hedgerow Data'!$B$2:$AG$15,2,FALSE))</f>
        <v/>
      </c>
      <c r="R121" s="276" t="str">
        <f>IF(M121="","",VLOOKUP(M121,'G-6 Hedgerow Data'!$B$2:$AG$15,3,FALSE))</f>
        <v/>
      </c>
      <c r="S121" s="101"/>
      <c r="T121" s="276" t="str">
        <f>IFERROR(IF(S121="","",IF(AND(M121="Non-native and ornamental hedgerow",S121&lt;&gt;"Poor"),"Not possible ▲",(IF(AND(Q121="V.Low",OR(S121="Good",S121="Moderate")),"Error ▲",VLOOKUP(S121,'G-1 All Habitats'!$Z$2:$AA$9,2,FALSE))))),"")</f>
        <v/>
      </c>
      <c r="U121" s="101"/>
      <c r="V121" s="283" t="str">
        <f>IF(U121="","",IF(VLOOKUP(U121,'G-3 Multipliers'!$L$3:$N$6,2,FALSE)=0,"Spatial Data Missing ⚠",VLOOKUP(U121,'G-3 Multipliers'!$L$3:$N$6,2,FALSE)))</f>
        <v/>
      </c>
      <c r="W121" s="281" t="str">
        <f>IF(U121="","",IF(VLOOKUP(U121,'G-3 Multipliers'!$L$3:$N$6,3,FALSE)=0,"Spatial Data Missing ⚠",VLOOKUP(U121,'G-3 Multipliers'!$L$3:$N$6,3,FALSE)))</f>
        <v/>
      </c>
      <c r="X121" s="275" t="str">
        <f>IFERROR(IF(OR(LEFT(O121,5)="Error",LEFT(N121,5)="Error",T121="Error"),"Check Data ⚠",IF(F121&lt;R121,INDEX('G-6 Hedgerow Data'!$S$3:$AE$14,MATCH(C121,'G-6 Hedgerow Data'!$B$3:$B$14,0),MATCH(M121,'G-6 Hedgerow Data'!$S$2:$AE$2,0)),INDEX('G-6 Hedgerow Data'!$K$3:$Q$14,MATCH(M121,'G-6 Hedgerow Data'!$B$3:$B$14,0),MATCH(O121,'G-6 Hedgerow Data'!$K$2:$Q$2,0)))),"")</f>
        <v/>
      </c>
      <c r="Y121" s="133"/>
      <c r="Z121" s="133"/>
      <c r="AA121" s="283" t="str">
        <f t="shared" si="10"/>
        <v/>
      </c>
      <c r="AB121" s="296" t="str">
        <f t="shared" si="11"/>
        <v/>
      </c>
      <c r="AC121" s="297" t="str">
        <f t="shared" si="8"/>
        <v/>
      </c>
      <c r="AD121" s="311" t="str">
        <f>IF(M121="","",VLOOKUP(M121,'G-6 Hedgerow Data'!$B$3:$AG$15,31,FALSE))</f>
        <v/>
      </c>
      <c r="AE121" s="295" t="str">
        <f t="shared" si="12"/>
        <v/>
      </c>
      <c r="AF121" s="283" t="str">
        <f t="shared" si="13"/>
        <v/>
      </c>
      <c r="AG121" s="299" t="str">
        <f>IFERROR(IF(O121="","",VLOOKUP(AD121,'G-3 Multipliers'!$P$3:$Q$6,2,FALSE)),"")</f>
        <v/>
      </c>
      <c r="AH121" s="713" t="str">
        <f>IF(B121="","",IF(ISNA(VLOOKUP($B121,'E-1 Off-Site Hedge Baseline'!$B$1:$Z$257,14,FALSE)),"",(VLOOKUP($B121,'E-1 Off-Site Hedge Baseline'!$B$1:$Z$257,14,FALSE))))</f>
        <v/>
      </c>
      <c r="AI121" s="276" t="str">
        <f>IF(AH121="","",IF(VLOOKUP(AH121,'G-3 Multipliers'!$S$3:$T$10,2,FALSE)=0,"Spatial Data Missing ⚠",VLOOKUP(AH121,'G-3 Multipliers'!$S$3:$T$10,2,FALSE)))</f>
        <v/>
      </c>
      <c r="AJ121" s="317" t="str">
        <f t="shared" si="14"/>
        <v/>
      </c>
      <c r="AK121" s="289" t="str">
        <f t="shared" si="15"/>
        <v/>
      </c>
      <c r="AL121" s="101"/>
      <c r="AM121" s="115"/>
      <c r="AN121" s="104"/>
      <c r="AO121" s="104"/>
      <c r="AQ121" s="30" t="str">
        <f>IFERROR(INDEX('G-6 Hedgerow Data'!$BJ$3:$BJ$15,MATCH(M121,'G-6 Hedgerow Data'!$B$3:$B$15,0)),"")</f>
        <v/>
      </c>
    </row>
    <row r="122" spans="2:43" ht="14">
      <c r="B122" s="305" t="str">
        <f>'E-1 Off-Site Hedge Baseline'!AN120</f>
        <v/>
      </c>
      <c r="C122" s="295" t="str">
        <f>IF(B122="","",IF(ISNA(VLOOKUP($B122,'E-1 Off-Site Hedge Baseline'!$B$1:$L$257,3,FALSE)),"",(VLOOKUP($B122,'E-1 Off-Site Hedge Baseline'!$B$1:$L$257,3,FALSE))))</f>
        <v/>
      </c>
      <c r="D122" s="295" t="str">
        <f>IF(B122="","",IF(ISNA(VLOOKUP($B122,'E-1 Off-Site Hedge Baseline'!$B$1:$L$258,4,FALSE)),"",(VLOOKUP($B122,'E-1 Off-Site Hedge Baseline'!$B$1:$L$258,4,FALSE))))</f>
        <v/>
      </c>
      <c r="E122" s="295" t="str">
        <f>IF(B122="","",IF(ISNA(VLOOKUP($B122,'E-1 Off-Site Hedge Baseline'!$B$1:$L$257,5,FALSE)),"",(VLOOKUP($B122,'E-1 Off-Site Hedge Baseline'!$B$1:$L$257,5,FALSE))))</f>
        <v/>
      </c>
      <c r="F122" s="295" t="str">
        <f>IF(B122="","",IF(ISNA(VLOOKUP($B122,'E-1 Off-Site Hedge Baseline'!$B$1:$L$257,6,FALSE)),"",(VLOOKUP($B122,'E-1 Off-Site Hedge Baseline'!$B$1:$L$257,6,FALSE))))</f>
        <v/>
      </c>
      <c r="G122" s="295" t="str">
        <f>IF(B122="","",IF(ISNA(VLOOKUP($B122,'E-1 Off-Site Hedge Baseline'!$B$1:$L$257,7,FALSE)),"",(VLOOKUP($B122,'E-1 Off-Site Hedge Baseline'!$B$1:$L$257,7,FALSE))))</f>
        <v/>
      </c>
      <c r="H122" s="295" t="str">
        <f>IF(B122="","",IF(ISNA(VLOOKUP($B122,'E-1 Off-Site Hedge Baseline'!$B$1:$L$257,8,FALSE)),"",(VLOOKUP($B122,'E-1 Off-Site Hedge Baseline'!$B$1:$L$257,8,FALSE))))</f>
        <v/>
      </c>
      <c r="I122" s="295" t="str">
        <f>IF(B122="","",IF(ISNA(VLOOKUP($B122,'E-1 Off-Site Hedge Baseline'!$B$1:$L$257,10,FALSE)),"",(VLOOKUP($B122,'E-1 Off-Site Hedge Baseline'!$B$1:$L$257,10,FALSE))))</f>
        <v/>
      </c>
      <c r="J122" s="295" t="str">
        <f>IF(B122="","",IF(ISNA(VLOOKUP($B122,'E-1 Off-Site Hedge Baseline'!$B$1:$L$257,11,FALSE)),"",(VLOOKUP($B122,'E-1 Off-Site Hedge Baseline'!$B$1:$L$257,11,FALSE))))</f>
        <v/>
      </c>
      <c r="K122" s="295" t="str">
        <f>IF(B122="","",IF(ISNA(VLOOKUP($B122,'E-1 Off-Site Hedge Baseline'!$B$1:$X$257,16,FALSE)),"",(VLOOKUP($B122,'E-1 Off-Site Hedge Baseline'!$B$1:$X$257,16,FALSE))))</f>
        <v/>
      </c>
      <c r="L122" s="283" t="str">
        <f>IF(B122="","",IF(ISNA(VLOOKUP($B122,'E-1 Off-Site Hedge Baseline'!$B$1:$X$257,12,FALSE)),"",(VLOOKUP($B122,'E-1 Off-Site Hedge Baseline'!$B$1:$X$257,12,FALSE))))</f>
        <v/>
      </c>
      <c r="M122" s="244"/>
      <c r="N122" s="275" t="str">
        <f>IFERROR(IF(B122="","",INDEX('G-6 Hedgerow Data'!$AN$3:$AZ$15,MATCH(C122,'G-6 Hedgerow Data'!$AM$3:$AM$15,0),MATCH(M122,'G-6 Hedgerow Data'!$AN$2:$AZ$2,0))),"")</f>
        <v/>
      </c>
      <c r="O122" s="276" t="str">
        <f t="shared" si="9"/>
        <v/>
      </c>
      <c r="P122" s="281" t="str">
        <f>IF(B122="","",VLOOKUP(B122,'E-1 Off-Site Hedge Baseline'!$B$10:W367,19,FALSE))</f>
        <v/>
      </c>
      <c r="Q122" s="275" t="str">
        <f>IF(M122="","",VLOOKUP(M122,'G-6 Hedgerow Data'!$B$2:$AG$15,2,FALSE))</f>
        <v/>
      </c>
      <c r="R122" s="276" t="str">
        <f>IF(M122="","",VLOOKUP(M122,'G-6 Hedgerow Data'!$B$2:$AG$15,3,FALSE))</f>
        <v/>
      </c>
      <c r="S122" s="101"/>
      <c r="T122" s="276" t="str">
        <f>IFERROR(IF(S122="","",IF(AND(M122="Non-native and ornamental hedgerow",S122&lt;&gt;"Poor"),"Not possible ▲",(IF(AND(Q122="V.Low",OR(S122="Good",S122="Moderate")),"Error ▲",VLOOKUP(S122,'G-1 All Habitats'!$Z$2:$AA$9,2,FALSE))))),"")</f>
        <v/>
      </c>
      <c r="U122" s="101"/>
      <c r="V122" s="283" t="str">
        <f>IF(U122="","",IF(VLOOKUP(U122,'G-3 Multipliers'!$L$3:$N$6,2,FALSE)=0,"Spatial Data Missing ⚠",VLOOKUP(U122,'G-3 Multipliers'!$L$3:$N$6,2,FALSE)))</f>
        <v/>
      </c>
      <c r="W122" s="281" t="str">
        <f>IF(U122="","",IF(VLOOKUP(U122,'G-3 Multipliers'!$L$3:$N$6,3,FALSE)=0,"Spatial Data Missing ⚠",VLOOKUP(U122,'G-3 Multipliers'!$L$3:$N$6,3,FALSE)))</f>
        <v/>
      </c>
      <c r="X122" s="275" t="str">
        <f>IFERROR(IF(OR(LEFT(O122,5)="Error",LEFT(N122,5)="Error",T122="Error"),"Check Data ⚠",IF(F122&lt;R122,INDEX('G-6 Hedgerow Data'!$S$3:$AE$14,MATCH(C122,'G-6 Hedgerow Data'!$B$3:$B$14,0),MATCH(M122,'G-6 Hedgerow Data'!$S$2:$AE$2,0)),INDEX('G-6 Hedgerow Data'!$K$3:$Q$14,MATCH(M122,'G-6 Hedgerow Data'!$B$3:$B$14,0),MATCH(O122,'G-6 Hedgerow Data'!$K$2:$Q$2,0)))),"")</f>
        <v/>
      </c>
      <c r="Y122" s="133"/>
      <c r="Z122" s="133"/>
      <c r="AA122" s="283" t="str">
        <f t="shared" si="10"/>
        <v/>
      </c>
      <c r="AB122" s="296" t="str">
        <f t="shared" si="11"/>
        <v/>
      </c>
      <c r="AC122" s="297" t="str">
        <f t="shared" si="8"/>
        <v/>
      </c>
      <c r="AD122" s="311" t="str">
        <f>IF(M122="","",VLOOKUP(M122,'G-6 Hedgerow Data'!$B$3:$AG$15,31,FALSE))</f>
        <v/>
      </c>
      <c r="AE122" s="295" t="str">
        <f t="shared" si="12"/>
        <v/>
      </c>
      <c r="AF122" s="283" t="str">
        <f t="shared" si="13"/>
        <v/>
      </c>
      <c r="AG122" s="299" t="str">
        <f>IFERROR(IF(O122="","",VLOOKUP(AD122,'G-3 Multipliers'!$P$3:$Q$6,2,FALSE)),"")</f>
        <v/>
      </c>
      <c r="AH122" s="713" t="str">
        <f>IF(B122="","",IF(ISNA(VLOOKUP($B122,'E-1 Off-Site Hedge Baseline'!$B$1:$Z$257,14,FALSE)),"",(VLOOKUP($B122,'E-1 Off-Site Hedge Baseline'!$B$1:$Z$257,14,FALSE))))</f>
        <v/>
      </c>
      <c r="AI122" s="276" t="str">
        <f>IF(AH122="","",IF(VLOOKUP(AH122,'G-3 Multipliers'!$S$3:$T$10,2,FALSE)=0,"Spatial Data Missing ⚠",VLOOKUP(AH122,'G-3 Multipliers'!$S$3:$T$10,2,FALSE)))</f>
        <v/>
      </c>
      <c r="AJ122" s="317" t="str">
        <f t="shared" si="14"/>
        <v/>
      </c>
      <c r="AK122" s="289" t="str">
        <f t="shared" si="15"/>
        <v/>
      </c>
      <c r="AL122" s="101"/>
      <c r="AM122" s="115"/>
      <c r="AN122" s="104"/>
      <c r="AO122" s="104"/>
      <c r="AQ122" s="30" t="str">
        <f>IFERROR(INDEX('G-6 Hedgerow Data'!$BJ$3:$BJ$15,MATCH(M122,'G-6 Hedgerow Data'!$B$3:$B$15,0)),"")</f>
        <v/>
      </c>
    </row>
    <row r="123" spans="2:43" ht="14">
      <c r="B123" s="305" t="str">
        <f>'E-1 Off-Site Hedge Baseline'!AN121</f>
        <v/>
      </c>
      <c r="C123" s="295" t="str">
        <f>IF(B123="","",IF(ISNA(VLOOKUP($B123,'E-1 Off-Site Hedge Baseline'!$B$1:$L$257,3,FALSE)),"",(VLOOKUP($B123,'E-1 Off-Site Hedge Baseline'!$B$1:$L$257,3,FALSE))))</f>
        <v/>
      </c>
      <c r="D123" s="295" t="str">
        <f>IF(B123="","",IF(ISNA(VLOOKUP($B123,'E-1 Off-Site Hedge Baseline'!$B$1:$L$258,4,FALSE)),"",(VLOOKUP($B123,'E-1 Off-Site Hedge Baseline'!$B$1:$L$258,4,FALSE))))</f>
        <v/>
      </c>
      <c r="E123" s="295" t="str">
        <f>IF(B123="","",IF(ISNA(VLOOKUP($B123,'E-1 Off-Site Hedge Baseline'!$B$1:$L$257,5,FALSE)),"",(VLOOKUP($B123,'E-1 Off-Site Hedge Baseline'!$B$1:$L$257,5,FALSE))))</f>
        <v/>
      </c>
      <c r="F123" s="295" t="str">
        <f>IF(B123="","",IF(ISNA(VLOOKUP($B123,'E-1 Off-Site Hedge Baseline'!$B$1:$L$257,6,FALSE)),"",(VLOOKUP($B123,'E-1 Off-Site Hedge Baseline'!$B$1:$L$257,6,FALSE))))</f>
        <v/>
      </c>
      <c r="G123" s="295" t="str">
        <f>IF(B123="","",IF(ISNA(VLOOKUP($B123,'E-1 Off-Site Hedge Baseline'!$B$1:$L$257,7,FALSE)),"",(VLOOKUP($B123,'E-1 Off-Site Hedge Baseline'!$B$1:$L$257,7,FALSE))))</f>
        <v/>
      </c>
      <c r="H123" s="295" t="str">
        <f>IF(B123="","",IF(ISNA(VLOOKUP($B123,'E-1 Off-Site Hedge Baseline'!$B$1:$L$257,8,FALSE)),"",(VLOOKUP($B123,'E-1 Off-Site Hedge Baseline'!$B$1:$L$257,8,FALSE))))</f>
        <v/>
      </c>
      <c r="I123" s="295" t="str">
        <f>IF(B123="","",IF(ISNA(VLOOKUP($B123,'E-1 Off-Site Hedge Baseline'!$B$1:$L$257,10,FALSE)),"",(VLOOKUP($B123,'E-1 Off-Site Hedge Baseline'!$B$1:$L$257,10,FALSE))))</f>
        <v/>
      </c>
      <c r="J123" s="295" t="str">
        <f>IF(B123="","",IF(ISNA(VLOOKUP($B123,'E-1 Off-Site Hedge Baseline'!$B$1:$L$257,11,FALSE)),"",(VLOOKUP($B123,'E-1 Off-Site Hedge Baseline'!$B$1:$L$257,11,FALSE))))</f>
        <v/>
      </c>
      <c r="K123" s="295" t="str">
        <f>IF(B123="","",IF(ISNA(VLOOKUP($B123,'E-1 Off-Site Hedge Baseline'!$B$1:$X$257,16,FALSE)),"",(VLOOKUP($B123,'E-1 Off-Site Hedge Baseline'!$B$1:$X$257,16,FALSE))))</f>
        <v/>
      </c>
      <c r="L123" s="283" t="str">
        <f>IF(B123="","",IF(ISNA(VLOOKUP($B123,'E-1 Off-Site Hedge Baseline'!$B$1:$X$257,12,FALSE)),"",(VLOOKUP($B123,'E-1 Off-Site Hedge Baseline'!$B$1:$X$257,12,FALSE))))</f>
        <v/>
      </c>
      <c r="M123" s="244"/>
      <c r="N123" s="275" t="str">
        <f>IFERROR(IF(B123="","",INDEX('G-6 Hedgerow Data'!$AN$3:$AZ$15,MATCH(C123,'G-6 Hedgerow Data'!$AM$3:$AM$15,0),MATCH(M123,'G-6 Hedgerow Data'!$AN$2:$AZ$2,0))),"")</f>
        <v/>
      </c>
      <c r="O123" s="276" t="str">
        <f t="shared" si="9"/>
        <v/>
      </c>
      <c r="P123" s="281" t="str">
        <f>IF(B123="","",VLOOKUP(B123,'E-1 Off-Site Hedge Baseline'!$B$10:W368,19,FALSE))</f>
        <v/>
      </c>
      <c r="Q123" s="275" t="str">
        <f>IF(M123="","",VLOOKUP(M123,'G-6 Hedgerow Data'!$B$2:$AG$15,2,FALSE))</f>
        <v/>
      </c>
      <c r="R123" s="276" t="str">
        <f>IF(M123="","",VLOOKUP(M123,'G-6 Hedgerow Data'!$B$2:$AG$15,3,FALSE))</f>
        <v/>
      </c>
      <c r="S123" s="101"/>
      <c r="T123" s="276" t="str">
        <f>IFERROR(IF(S123="","",IF(AND(M123="Non-native and ornamental hedgerow",S123&lt;&gt;"Poor"),"Not possible ▲",(IF(AND(Q123="V.Low",OR(S123="Good",S123="Moderate")),"Error ▲",VLOOKUP(S123,'G-1 All Habitats'!$Z$2:$AA$9,2,FALSE))))),"")</f>
        <v/>
      </c>
      <c r="U123" s="101"/>
      <c r="V123" s="283" t="str">
        <f>IF(U123="","",IF(VLOOKUP(U123,'G-3 Multipliers'!$L$3:$N$6,2,FALSE)=0,"Spatial Data Missing ⚠",VLOOKUP(U123,'G-3 Multipliers'!$L$3:$N$6,2,FALSE)))</f>
        <v/>
      </c>
      <c r="W123" s="281" t="str">
        <f>IF(U123="","",IF(VLOOKUP(U123,'G-3 Multipliers'!$L$3:$N$6,3,FALSE)=0,"Spatial Data Missing ⚠",VLOOKUP(U123,'G-3 Multipliers'!$L$3:$N$6,3,FALSE)))</f>
        <v/>
      </c>
      <c r="X123" s="275" t="str">
        <f>IFERROR(IF(OR(LEFT(O123,5)="Error",LEFT(N123,5)="Error",T123="Error"),"Check Data ⚠",IF(F123&lt;R123,INDEX('G-6 Hedgerow Data'!$S$3:$AE$14,MATCH(C123,'G-6 Hedgerow Data'!$B$3:$B$14,0),MATCH(M123,'G-6 Hedgerow Data'!$S$2:$AE$2,0)),INDEX('G-6 Hedgerow Data'!$K$3:$Q$14,MATCH(M123,'G-6 Hedgerow Data'!$B$3:$B$14,0),MATCH(O123,'G-6 Hedgerow Data'!$K$2:$Q$2,0)))),"")</f>
        <v/>
      </c>
      <c r="Y123" s="133"/>
      <c r="Z123" s="133"/>
      <c r="AA123" s="283" t="str">
        <f t="shared" si="10"/>
        <v/>
      </c>
      <c r="AB123" s="296" t="str">
        <f t="shared" si="11"/>
        <v/>
      </c>
      <c r="AC123" s="297" t="str">
        <f t="shared" si="8"/>
        <v/>
      </c>
      <c r="AD123" s="311" t="str">
        <f>IF(M123="","",VLOOKUP(M123,'G-6 Hedgerow Data'!$B$3:$AG$15,31,FALSE))</f>
        <v/>
      </c>
      <c r="AE123" s="295" t="str">
        <f t="shared" si="12"/>
        <v/>
      </c>
      <c r="AF123" s="283" t="str">
        <f t="shared" si="13"/>
        <v/>
      </c>
      <c r="AG123" s="299" t="str">
        <f>IFERROR(IF(O123="","",VLOOKUP(AD123,'G-3 Multipliers'!$P$3:$Q$6,2,FALSE)),"")</f>
        <v/>
      </c>
      <c r="AH123" s="713" t="str">
        <f>IF(B123="","",IF(ISNA(VLOOKUP($B123,'E-1 Off-Site Hedge Baseline'!$B$1:$Z$257,14,FALSE)),"",(VLOOKUP($B123,'E-1 Off-Site Hedge Baseline'!$B$1:$Z$257,14,FALSE))))</f>
        <v/>
      </c>
      <c r="AI123" s="276" t="str">
        <f>IF(AH123="","",IF(VLOOKUP(AH123,'G-3 Multipliers'!$S$3:$T$10,2,FALSE)=0,"Spatial Data Missing ⚠",VLOOKUP(AH123,'G-3 Multipliers'!$S$3:$T$10,2,FALSE)))</f>
        <v/>
      </c>
      <c r="AJ123" s="317" t="str">
        <f t="shared" si="14"/>
        <v/>
      </c>
      <c r="AK123" s="289" t="str">
        <f t="shared" si="15"/>
        <v/>
      </c>
      <c r="AL123" s="101"/>
      <c r="AM123" s="115"/>
      <c r="AN123" s="104"/>
      <c r="AO123" s="104"/>
      <c r="AQ123" s="30" t="str">
        <f>IFERROR(INDEX('G-6 Hedgerow Data'!$BJ$3:$BJ$15,MATCH(M123,'G-6 Hedgerow Data'!$B$3:$B$15,0)),"")</f>
        <v/>
      </c>
    </row>
    <row r="124" spans="2:43" ht="14">
      <c r="B124" s="305" t="str">
        <f>'E-1 Off-Site Hedge Baseline'!AN122</f>
        <v/>
      </c>
      <c r="C124" s="295" t="str">
        <f>IF(B124="","",IF(ISNA(VLOOKUP($B124,'E-1 Off-Site Hedge Baseline'!$B$1:$L$257,3,FALSE)),"",(VLOOKUP($B124,'E-1 Off-Site Hedge Baseline'!$B$1:$L$257,3,FALSE))))</f>
        <v/>
      </c>
      <c r="D124" s="295" t="str">
        <f>IF(B124="","",IF(ISNA(VLOOKUP($B124,'E-1 Off-Site Hedge Baseline'!$B$1:$L$258,4,FALSE)),"",(VLOOKUP($B124,'E-1 Off-Site Hedge Baseline'!$B$1:$L$258,4,FALSE))))</f>
        <v/>
      </c>
      <c r="E124" s="295" t="str">
        <f>IF(B124="","",IF(ISNA(VLOOKUP($B124,'E-1 Off-Site Hedge Baseline'!$B$1:$L$257,5,FALSE)),"",(VLOOKUP($B124,'E-1 Off-Site Hedge Baseline'!$B$1:$L$257,5,FALSE))))</f>
        <v/>
      </c>
      <c r="F124" s="295" t="str">
        <f>IF(B124="","",IF(ISNA(VLOOKUP($B124,'E-1 Off-Site Hedge Baseline'!$B$1:$L$257,6,FALSE)),"",(VLOOKUP($B124,'E-1 Off-Site Hedge Baseline'!$B$1:$L$257,6,FALSE))))</f>
        <v/>
      </c>
      <c r="G124" s="295" t="str">
        <f>IF(B124="","",IF(ISNA(VLOOKUP($B124,'E-1 Off-Site Hedge Baseline'!$B$1:$L$257,7,FALSE)),"",(VLOOKUP($B124,'E-1 Off-Site Hedge Baseline'!$B$1:$L$257,7,FALSE))))</f>
        <v/>
      </c>
      <c r="H124" s="295" t="str">
        <f>IF(B124="","",IF(ISNA(VLOOKUP($B124,'E-1 Off-Site Hedge Baseline'!$B$1:$L$257,8,FALSE)),"",(VLOOKUP($B124,'E-1 Off-Site Hedge Baseline'!$B$1:$L$257,8,FALSE))))</f>
        <v/>
      </c>
      <c r="I124" s="295" t="str">
        <f>IF(B124="","",IF(ISNA(VLOOKUP($B124,'E-1 Off-Site Hedge Baseline'!$B$1:$L$257,10,FALSE)),"",(VLOOKUP($B124,'E-1 Off-Site Hedge Baseline'!$B$1:$L$257,10,FALSE))))</f>
        <v/>
      </c>
      <c r="J124" s="295" t="str">
        <f>IF(B124="","",IF(ISNA(VLOOKUP($B124,'E-1 Off-Site Hedge Baseline'!$B$1:$L$257,11,FALSE)),"",(VLOOKUP($B124,'E-1 Off-Site Hedge Baseline'!$B$1:$L$257,11,FALSE))))</f>
        <v/>
      </c>
      <c r="K124" s="295" t="str">
        <f>IF(B124="","",IF(ISNA(VLOOKUP($B124,'E-1 Off-Site Hedge Baseline'!$B$1:$X$257,16,FALSE)),"",(VLOOKUP($B124,'E-1 Off-Site Hedge Baseline'!$B$1:$X$257,16,FALSE))))</f>
        <v/>
      </c>
      <c r="L124" s="283" t="str">
        <f>IF(B124="","",IF(ISNA(VLOOKUP($B124,'E-1 Off-Site Hedge Baseline'!$B$1:$X$257,12,FALSE)),"",(VLOOKUP($B124,'E-1 Off-Site Hedge Baseline'!$B$1:$X$257,12,FALSE))))</f>
        <v/>
      </c>
      <c r="M124" s="244"/>
      <c r="N124" s="275" t="str">
        <f>IFERROR(IF(B124="","",INDEX('G-6 Hedgerow Data'!$AN$3:$AZ$15,MATCH(C124,'G-6 Hedgerow Data'!$AM$3:$AM$15,0),MATCH(M124,'G-6 Hedgerow Data'!$AN$2:$AZ$2,0))),"")</f>
        <v/>
      </c>
      <c r="O124" s="276" t="str">
        <f t="shared" si="9"/>
        <v/>
      </c>
      <c r="P124" s="281" t="str">
        <f>IF(B124="","",VLOOKUP(B124,'E-1 Off-Site Hedge Baseline'!$B$10:W369,19,FALSE))</f>
        <v/>
      </c>
      <c r="Q124" s="275" t="str">
        <f>IF(M124="","",VLOOKUP(M124,'G-6 Hedgerow Data'!$B$2:$AG$15,2,FALSE))</f>
        <v/>
      </c>
      <c r="R124" s="276" t="str">
        <f>IF(M124="","",VLOOKUP(M124,'G-6 Hedgerow Data'!$B$2:$AG$15,3,FALSE))</f>
        <v/>
      </c>
      <c r="S124" s="101"/>
      <c r="T124" s="276" t="str">
        <f>IFERROR(IF(S124="","",IF(AND(M124="Non-native and ornamental hedgerow",S124&lt;&gt;"Poor"),"Not possible ▲",(IF(AND(Q124="V.Low",OR(S124="Good",S124="Moderate")),"Error ▲",VLOOKUP(S124,'G-1 All Habitats'!$Z$2:$AA$9,2,FALSE))))),"")</f>
        <v/>
      </c>
      <c r="U124" s="101"/>
      <c r="V124" s="283" t="str">
        <f>IF(U124="","",IF(VLOOKUP(U124,'G-3 Multipliers'!$L$3:$N$6,2,FALSE)=0,"Spatial Data Missing ⚠",VLOOKUP(U124,'G-3 Multipliers'!$L$3:$N$6,2,FALSE)))</f>
        <v/>
      </c>
      <c r="W124" s="281" t="str">
        <f>IF(U124="","",IF(VLOOKUP(U124,'G-3 Multipliers'!$L$3:$N$6,3,FALSE)=0,"Spatial Data Missing ⚠",VLOOKUP(U124,'G-3 Multipliers'!$L$3:$N$6,3,FALSE)))</f>
        <v/>
      </c>
      <c r="X124" s="275" t="str">
        <f>IFERROR(IF(OR(LEFT(O124,5)="Error",LEFT(N124,5)="Error",T124="Error"),"Check Data ⚠",IF(F124&lt;R124,INDEX('G-6 Hedgerow Data'!$S$3:$AE$14,MATCH(C124,'G-6 Hedgerow Data'!$B$3:$B$14,0),MATCH(M124,'G-6 Hedgerow Data'!$S$2:$AE$2,0)),INDEX('G-6 Hedgerow Data'!$K$3:$Q$14,MATCH(M124,'G-6 Hedgerow Data'!$B$3:$B$14,0),MATCH(O124,'G-6 Hedgerow Data'!$K$2:$Q$2,0)))),"")</f>
        <v/>
      </c>
      <c r="Y124" s="133"/>
      <c r="Z124" s="133"/>
      <c r="AA124" s="283" t="str">
        <f t="shared" si="10"/>
        <v/>
      </c>
      <c r="AB124" s="296" t="str">
        <f t="shared" si="11"/>
        <v/>
      </c>
      <c r="AC124" s="297" t="str">
        <f t="shared" si="8"/>
        <v/>
      </c>
      <c r="AD124" s="311" t="str">
        <f>IF(M124="","",VLOOKUP(M124,'G-6 Hedgerow Data'!$B$3:$AG$15,31,FALSE))</f>
        <v/>
      </c>
      <c r="AE124" s="295" t="str">
        <f t="shared" si="12"/>
        <v/>
      </c>
      <c r="AF124" s="283" t="str">
        <f t="shared" si="13"/>
        <v/>
      </c>
      <c r="AG124" s="299" t="str">
        <f>IFERROR(IF(O124="","",VLOOKUP(AD124,'G-3 Multipliers'!$P$3:$Q$6,2,FALSE)),"")</f>
        <v/>
      </c>
      <c r="AH124" s="713" t="str">
        <f>IF(B124="","",IF(ISNA(VLOOKUP($B124,'E-1 Off-Site Hedge Baseline'!$B$1:$Z$257,14,FALSE)),"",(VLOOKUP($B124,'E-1 Off-Site Hedge Baseline'!$B$1:$Z$257,14,FALSE))))</f>
        <v/>
      </c>
      <c r="AI124" s="276" t="str">
        <f>IF(AH124="","",IF(VLOOKUP(AH124,'G-3 Multipliers'!$S$3:$T$10,2,FALSE)=0,"Spatial Data Missing ⚠",VLOOKUP(AH124,'G-3 Multipliers'!$S$3:$T$10,2,FALSE)))</f>
        <v/>
      </c>
      <c r="AJ124" s="317" t="str">
        <f t="shared" si="14"/>
        <v/>
      </c>
      <c r="AK124" s="289" t="str">
        <f t="shared" si="15"/>
        <v/>
      </c>
      <c r="AL124" s="101"/>
      <c r="AM124" s="115"/>
      <c r="AN124" s="104"/>
      <c r="AO124" s="104"/>
      <c r="AQ124" s="30" t="str">
        <f>IFERROR(INDEX('G-6 Hedgerow Data'!$BJ$3:$BJ$15,MATCH(M124,'G-6 Hedgerow Data'!$B$3:$B$15,0)),"")</f>
        <v/>
      </c>
    </row>
    <row r="125" spans="2:43" ht="14">
      <c r="B125" s="305" t="str">
        <f>'E-1 Off-Site Hedge Baseline'!AN123</f>
        <v/>
      </c>
      <c r="C125" s="295" t="str">
        <f>IF(B125="","",IF(ISNA(VLOOKUP($B125,'E-1 Off-Site Hedge Baseline'!$B$1:$L$257,3,FALSE)),"",(VLOOKUP($B125,'E-1 Off-Site Hedge Baseline'!$B$1:$L$257,3,FALSE))))</f>
        <v/>
      </c>
      <c r="D125" s="295" t="str">
        <f>IF(B125="","",IF(ISNA(VLOOKUP($B125,'E-1 Off-Site Hedge Baseline'!$B$1:$L$258,4,FALSE)),"",(VLOOKUP($B125,'E-1 Off-Site Hedge Baseline'!$B$1:$L$258,4,FALSE))))</f>
        <v/>
      </c>
      <c r="E125" s="295" t="str">
        <f>IF(B125="","",IF(ISNA(VLOOKUP($B125,'E-1 Off-Site Hedge Baseline'!$B$1:$L$257,5,FALSE)),"",(VLOOKUP($B125,'E-1 Off-Site Hedge Baseline'!$B$1:$L$257,5,FALSE))))</f>
        <v/>
      </c>
      <c r="F125" s="295" t="str">
        <f>IF(B125="","",IF(ISNA(VLOOKUP($B125,'E-1 Off-Site Hedge Baseline'!$B$1:$L$257,6,FALSE)),"",(VLOOKUP($B125,'E-1 Off-Site Hedge Baseline'!$B$1:$L$257,6,FALSE))))</f>
        <v/>
      </c>
      <c r="G125" s="295" t="str">
        <f>IF(B125="","",IF(ISNA(VLOOKUP($B125,'E-1 Off-Site Hedge Baseline'!$B$1:$L$257,7,FALSE)),"",(VLOOKUP($B125,'E-1 Off-Site Hedge Baseline'!$B$1:$L$257,7,FALSE))))</f>
        <v/>
      </c>
      <c r="H125" s="295" t="str">
        <f>IF(B125="","",IF(ISNA(VLOOKUP($B125,'E-1 Off-Site Hedge Baseline'!$B$1:$L$257,8,FALSE)),"",(VLOOKUP($B125,'E-1 Off-Site Hedge Baseline'!$B$1:$L$257,8,FALSE))))</f>
        <v/>
      </c>
      <c r="I125" s="295" t="str">
        <f>IF(B125="","",IF(ISNA(VLOOKUP($B125,'E-1 Off-Site Hedge Baseline'!$B$1:$L$257,10,FALSE)),"",(VLOOKUP($B125,'E-1 Off-Site Hedge Baseline'!$B$1:$L$257,10,FALSE))))</f>
        <v/>
      </c>
      <c r="J125" s="295" t="str">
        <f>IF(B125="","",IF(ISNA(VLOOKUP($B125,'E-1 Off-Site Hedge Baseline'!$B$1:$L$257,11,FALSE)),"",(VLOOKUP($B125,'E-1 Off-Site Hedge Baseline'!$B$1:$L$257,11,FALSE))))</f>
        <v/>
      </c>
      <c r="K125" s="295" t="str">
        <f>IF(B125="","",IF(ISNA(VLOOKUP($B125,'E-1 Off-Site Hedge Baseline'!$B$1:$X$257,16,FALSE)),"",(VLOOKUP($B125,'E-1 Off-Site Hedge Baseline'!$B$1:$X$257,16,FALSE))))</f>
        <v/>
      </c>
      <c r="L125" s="283" t="str">
        <f>IF(B125="","",IF(ISNA(VLOOKUP($B125,'E-1 Off-Site Hedge Baseline'!$B$1:$X$257,12,FALSE)),"",(VLOOKUP($B125,'E-1 Off-Site Hedge Baseline'!$B$1:$X$257,12,FALSE))))</f>
        <v/>
      </c>
      <c r="M125" s="244"/>
      <c r="N125" s="275" t="str">
        <f>IFERROR(IF(B125="","",INDEX('G-6 Hedgerow Data'!$AN$3:$AZ$15,MATCH(C125,'G-6 Hedgerow Data'!$AM$3:$AM$15,0),MATCH(M125,'G-6 Hedgerow Data'!$AN$2:$AZ$2,0))),"")</f>
        <v/>
      </c>
      <c r="O125" s="276" t="str">
        <f t="shared" si="9"/>
        <v/>
      </c>
      <c r="P125" s="281" t="str">
        <f>IF(B125="","",VLOOKUP(B125,'E-1 Off-Site Hedge Baseline'!$B$10:W370,19,FALSE))</f>
        <v/>
      </c>
      <c r="Q125" s="275" t="str">
        <f>IF(M125="","",VLOOKUP(M125,'G-6 Hedgerow Data'!$B$2:$AG$15,2,FALSE))</f>
        <v/>
      </c>
      <c r="R125" s="276" t="str">
        <f>IF(M125="","",VLOOKUP(M125,'G-6 Hedgerow Data'!$B$2:$AG$15,3,FALSE))</f>
        <v/>
      </c>
      <c r="S125" s="101"/>
      <c r="T125" s="276" t="str">
        <f>IFERROR(IF(S125="","",IF(AND(M125="Non-native and ornamental hedgerow",S125&lt;&gt;"Poor"),"Not possible ▲",(IF(AND(Q125="V.Low",OR(S125="Good",S125="Moderate")),"Error ▲",VLOOKUP(S125,'G-1 All Habitats'!$Z$2:$AA$9,2,FALSE))))),"")</f>
        <v/>
      </c>
      <c r="U125" s="101"/>
      <c r="V125" s="283" t="str">
        <f>IF(U125="","",IF(VLOOKUP(U125,'G-3 Multipliers'!$L$3:$N$6,2,FALSE)=0,"Spatial Data Missing ⚠",VLOOKUP(U125,'G-3 Multipliers'!$L$3:$N$6,2,FALSE)))</f>
        <v/>
      </c>
      <c r="W125" s="281" t="str">
        <f>IF(U125="","",IF(VLOOKUP(U125,'G-3 Multipliers'!$L$3:$N$6,3,FALSE)=0,"Spatial Data Missing ⚠",VLOOKUP(U125,'G-3 Multipliers'!$L$3:$N$6,3,FALSE)))</f>
        <v/>
      </c>
      <c r="X125" s="275" t="str">
        <f>IFERROR(IF(OR(LEFT(O125,5)="Error",LEFT(N125,5)="Error",T125="Error"),"Check Data ⚠",IF(F125&lt;R125,INDEX('G-6 Hedgerow Data'!$S$3:$AE$14,MATCH(C125,'G-6 Hedgerow Data'!$B$3:$B$14,0),MATCH(M125,'G-6 Hedgerow Data'!$S$2:$AE$2,0)),INDEX('G-6 Hedgerow Data'!$K$3:$Q$14,MATCH(M125,'G-6 Hedgerow Data'!$B$3:$B$14,0),MATCH(O125,'G-6 Hedgerow Data'!$K$2:$Q$2,0)))),"")</f>
        <v/>
      </c>
      <c r="Y125" s="133"/>
      <c r="Z125" s="133"/>
      <c r="AA125" s="283" t="str">
        <f t="shared" si="10"/>
        <v/>
      </c>
      <c r="AB125" s="296" t="str">
        <f t="shared" si="11"/>
        <v/>
      </c>
      <c r="AC125" s="297" t="str">
        <f t="shared" si="8"/>
        <v/>
      </c>
      <c r="AD125" s="311" t="str">
        <f>IF(M125="","",VLOOKUP(M125,'G-6 Hedgerow Data'!$B$3:$AG$15,31,FALSE))</f>
        <v/>
      </c>
      <c r="AE125" s="295" t="str">
        <f t="shared" si="12"/>
        <v/>
      </c>
      <c r="AF125" s="283" t="str">
        <f t="shared" si="13"/>
        <v/>
      </c>
      <c r="AG125" s="299" t="str">
        <f>IFERROR(IF(O125="","",VLOOKUP(AD125,'G-3 Multipliers'!$P$3:$Q$6,2,FALSE)),"")</f>
        <v/>
      </c>
      <c r="AH125" s="713" t="str">
        <f>IF(B125="","",IF(ISNA(VLOOKUP($B125,'E-1 Off-Site Hedge Baseline'!$B$1:$Z$257,14,FALSE)),"",(VLOOKUP($B125,'E-1 Off-Site Hedge Baseline'!$B$1:$Z$257,14,FALSE))))</f>
        <v/>
      </c>
      <c r="AI125" s="276" t="str">
        <f>IF(AH125="","",IF(VLOOKUP(AH125,'G-3 Multipliers'!$S$3:$T$10,2,FALSE)=0,"Spatial Data Missing ⚠",VLOOKUP(AH125,'G-3 Multipliers'!$S$3:$T$10,2,FALSE)))</f>
        <v/>
      </c>
      <c r="AJ125" s="317" t="str">
        <f t="shared" si="14"/>
        <v/>
      </c>
      <c r="AK125" s="289" t="str">
        <f t="shared" si="15"/>
        <v/>
      </c>
      <c r="AL125" s="101"/>
      <c r="AM125" s="115"/>
      <c r="AN125" s="104"/>
      <c r="AO125" s="104"/>
      <c r="AQ125" s="30" t="str">
        <f>IFERROR(INDEX('G-6 Hedgerow Data'!$BJ$3:$BJ$15,MATCH(M125,'G-6 Hedgerow Data'!$B$3:$B$15,0)),"")</f>
        <v/>
      </c>
    </row>
    <row r="126" spans="2:43" ht="14">
      <c r="B126" s="305" t="str">
        <f>'E-1 Off-Site Hedge Baseline'!AN124</f>
        <v/>
      </c>
      <c r="C126" s="295" t="str">
        <f>IF(B126="","",IF(ISNA(VLOOKUP($B126,'E-1 Off-Site Hedge Baseline'!$B$1:$L$257,3,FALSE)),"",(VLOOKUP($B126,'E-1 Off-Site Hedge Baseline'!$B$1:$L$257,3,FALSE))))</f>
        <v/>
      </c>
      <c r="D126" s="295" t="str">
        <f>IF(B126="","",IF(ISNA(VLOOKUP($B126,'E-1 Off-Site Hedge Baseline'!$B$1:$L$258,4,FALSE)),"",(VLOOKUP($B126,'E-1 Off-Site Hedge Baseline'!$B$1:$L$258,4,FALSE))))</f>
        <v/>
      </c>
      <c r="E126" s="295" t="str">
        <f>IF(B126="","",IF(ISNA(VLOOKUP($B126,'E-1 Off-Site Hedge Baseline'!$B$1:$L$257,5,FALSE)),"",(VLOOKUP($B126,'E-1 Off-Site Hedge Baseline'!$B$1:$L$257,5,FALSE))))</f>
        <v/>
      </c>
      <c r="F126" s="295" t="str">
        <f>IF(B126="","",IF(ISNA(VLOOKUP($B126,'E-1 Off-Site Hedge Baseline'!$B$1:$L$257,6,FALSE)),"",(VLOOKUP($B126,'E-1 Off-Site Hedge Baseline'!$B$1:$L$257,6,FALSE))))</f>
        <v/>
      </c>
      <c r="G126" s="295" t="str">
        <f>IF(B126="","",IF(ISNA(VLOOKUP($B126,'E-1 Off-Site Hedge Baseline'!$B$1:$L$257,7,FALSE)),"",(VLOOKUP($B126,'E-1 Off-Site Hedge Baseline'!$B$1:$L$257,7,FALSE))))</f>
        <v/>
      </c>
      <c r="H126" s="295" t="str">
        <f>IF(B126="","",IF(ISNA(VLOOKUP($B126,'E-1 Off-Site Hedge Baseline'!$B$1:$L$257,8,FALSE)),"",(VLOOKUP($B126,'E-1 Off-Site Hedge Baseline'!$B$1:$L$257,8,FALSE))))</f>
        <v/>
      </c>
      <c r="I126" s="295" t="str">
        <f>IF(B126="","",IF(ISNA(VLOOKUP($B126,'E-1 Off-Site Hedge Baseline'!$B$1:$L$257,10,FALSE)),"",(VLOOKUP($B126,'E-1 Off-Site Hedge Baseline'!$B$1:$L$257,10,FALSE))))</f>
        <v/>
      </c>
      <c r="J126" s="295" t="str">
        <f>IF(B126="","",IF(ISNA(VLOOKUP($B126,'E-1 Off-Site Hedge Baseline'!$B$1:$L$257,11,FALSE)),"",(VLOOKUP($B126,'E-1 Off-Site Hedge Baseline'!$B$1:$L$257,11,FALSE))))</f>
        <v/>
      </c>
      <c r="K126" s="295" t="str">
        <f>IF(B126="","",IF(ISNA(VLOOKUP($B126,'E-1 Off-Site Hedge Baseline'!$B$1:$X$257,16,FALSE)),"",(VLOOKUP($B126,'E-1 Off-Site Hedge Baseline'!$B$1:$X$257,16,FALSE))))</f>
        <v/>
      </c>
      <c r="L126" s="283" t="str">
        <f>IF(B126="","",IF(ISNA(VLOOKUP($B126,'E-1 Off-Site Hedge Baseline'!$B$1:$X$257,12,FALSE)),"",(VLOOKUP($B126,'E-1 Off-Site Hedge Baseline'!$B$1:$X$257,12,FALSE))))</f>
        <v/>
      </c>
      <c r="M126" s="244"/>
      <c r="N126" s="275" t="str">
        <f>IFERROR(IF(B126="","",INDEX('G-6 Hedgerow Data'!$AN$3:$AZ$15,MATCH(C126,'G-6 Hedgerow Data'!$AM$3:$AM$15,0),MATCH(M126,'G-6 Hedgerow Data'!$AN$2:$AZ$2,0))),"")</f>
        <v/>
      </c>
      <c r="O126" s="276" t="str">
        <f t="shared" si="9"/>
        <v/>
      </c>
      <c r="P126" s="281" t="str">
        <f>IF(B126="","",VLOOKUP(B126,'E-1 Off-Site Hedge Baseline'!$B$10:W371,19,FALSE))</f>
        <v/>
      </c>
      <c r="Q126" s="275" t="str">
        <f>IF(M126="","",VLOOKUP(M126,'G-6 Hedgerow Data'!$B$2:$AG$15,2,FALSE))</f>
        <v/>
      </c>
      <c r="R126" s="276" t="str">
        <f>IF(M126="","",VLOOKUP(M126,'G-6 Hedgerow Data'!$B$2:$AG$15,3,FALSE))</f>
        <v/>
      </c>
      <c r="S126" s="101"/>
      <c r="T126" s="276" t="str">
        <f>IFERROR(IF(S126="","",IF(AND(M126="Non-native and ornamental hedgerow",S126&lt;&gt;"Poor"),"Not possible ▲",(IF(AND(Q126="V.Low",OR(S126="Good",S126="Moderate")),"Error ▲",VLOOKUP(S126,'G-1 All Habitats'!$Z$2:$AA$9,2,FALSE))))),"")</f>
        <v/>
      </c>
      <c r="U126" s="101"/>
      <c r="V126" s="283" t="str">
        <f>IF(U126="","",IF(VLOOKUP(U126,'G-3 Multipliers'!$L$3:$N$6,2,FALSE)=0,"Spatial Data Missing ⚠",VLOOKUP(U126,'G-3 Multipliers'!$L$3:$N$6,2,FALSE)))</f>
        <v/>
      </c>
      <c r="W126" s="281" t="str">
        <f>IF(U126="","",IF(VLOOKUP(U126,'G-3 Multipliers'!$L$3:$N$6,3,FALSE)=0,"Spatial Data Missing ⚠",VLOOKUP(U126,'G-3 Multipliers'!$L$3:$N$6,3,FALSE)))</f>
        <v/>
      </c>
      <c r="X126" s="275" t="str">
        <f>IFERROR(IF(OR(LEFT(O126,5)="Error",LEFT(N126,5)="Error",T126="Error"),"Check Data ⚠",IF(F126&lt;R126,INDEX('G-6 Hedgerow Data'!$S$3:$AE$14,MATCH(C126,'G-6 Hedgerow Data'!$B$3:$B$14,0),MATCH(M126,'G-6 Hedgerow Data'!$S$2:$AE$2,0)),INDEX('G-6 Hedgerow Data'!$K$3:$Q$14,MATCH(M126,'G-6 Hedgerow Data'!$B$3:$B$14,0),MATCH(O126,'G-6 Hedgerow Data'!$K$2:$Q$2,0)))),"")</f>
        <v/>
      </c>
      <c r="Y126" s="133"/>
      <c r="Z126" s="133"/>
      <c r="AA126" s="283" t="str">
        <f t="shared" si="10"/>
        <v/>
      </c>
      <c r="AB126" s="296" t="str">
        <f t="shared" si="11"/>
        <v/>
      </c>
      <c r="AC126" s="297" t="str">
        <f t="shared" si="8"/>
        <v/>
      </c>
      <c r="AD126" s="311" t="str">
        <f>IF(M126="","",VLOOKUP(M126,'G-6 Hedgerow Data'!$B$3:$AG$15,31,FALSE))</f>
        <v/>
      </c>
      <c r="AE126" s="295" t="str">
        <f t="shared" si="12"/>
        <v/>
      </c>
      <c r="AF126" s="283" t="str">
        <f t="shared" si="13"/>
        <v/>
      </c>
      <c r="AG126" s="299" t="str">
        <f>IFERROR(IF(O126="","",VLOOKUP(AD126,'G-3 Multipliers'!$P$3:$Q$6,2,FALSE)),"")</f>
        <v/>
      </c>
      <c r="AH126" s="713" t="str">
        <f>IF(B126="","",IF(ISNA(VLOOKUP($B126,'E-1 Off-Site Hedge Baseline'!$B$1:$Z$257,14,FALSE)),"",(VLOOKUP($B126,'E-1 Off-Site Hedge Baseline'!$B$1:$Z$257,14,FALSE))))</f>
        <v/>
      </c>
      <c r="AI126" s="276" t="str">
        <f>IF(AH126="","",IF(VLOOKUP(AH126,'G-3 Multipliers'!$S$3:$T$10,2,FALSE)=0,"Spatial Data Missing ⚠",VLOOKUP(AH126,'G-3 Multipliers'!$S$3:$T$10,2,FALSE)))</f>
        <v/>
      </c>
      <c r="AJ126" s="317" t="str">
        <f t="shared" si="14"/>
        <v/>
      </c>
      <c r="AK126" s="289" t="str">
        <f t="shared" si="15"/>
        <v/>
      </c>
      <c r="AL126" s="101"/>
      <c r="AM126" s="115"/>
      <c r="AN126" s="104"/>
      <c r="AO126" s="104"/>
      <c r="AQ126" s="30" t="str">
        <f>IFERROR(INDEX('G-6 Hedgerow Data'!$BJ$3:$BJ$15,MATCH(M126,'G-6 Hedgerow Data'!$B$3:$B$15,0)),"")</f>
        <v/>
      </c>
    </row>
    <row r="127" spans="2:43" ht="14">
      <c r="B127" s="305" t="str">
        <f>'E-1 Off-Site Hedge Baseline'!AN125</f>
        <v/>
      </c>
      <c r="C127" s="295" t="str">
        <f>IF(B127="","",IF(ISNA(VLOOKUP($B127,'E-1 Off-Site Hedge Baseline'!$B$1:$L$257,3,FALSE)),"",(VLOOKUP($B127,'E-1 Off-Site Hedge Baseline'!$B$1:$L$257,3,FALSE))))</f>
        <v/>
      </c>
      <c r="D127" s="295" t="str">
        <f>IF(B127="","",IF(ISNA(VLOOKUP($B127,'E-1 Off-Site Hedge Baseline'!$B$1:$L$258,4,FALSE)),"",(VLOOKUP($B127,'E-1 Off-Site Hedge Baseline'!$B$1:$L$258,4,FALSE))))</f>
        <v/>
      </c>
      <c r="E127" s="295" t="str">
        <f>IF(B127="","",IF(ISNA(VLOOKUP($B127,'E-1 Off-Site Hedge Baseline'!$B$1:$L$257,5,FALSE)),"",(VLOOKUP($B127,'E-1 Off-Site Hedge Baseline'!$B$1:$L$257,5,FALSE))))</f>
        <v/>
      </c>
      <c r="F127" s="295" t="str">
        <f>IF(B127="","",IF(ISNA(VLOOKUP($B127,'E-1 Off-Site Hedge Baseline'!$B$1:$L$257,6,FALSE)),"",(VLOOKUP($B127,'E-1 Off-Site Hedge Baseline'!$B$1:$L$257,6,FALSE))))</f>
        <v/>
      </c>
      <c r="G127" s="295" t="str">
        <f>IF(B127="","",IF(ISNA(VLOOKUP($B127,'E-1 Off-Site Hedge Baseline'!$B$1:$L$257,7,FALSE)),"",(VLOOKUP($B127,'E-1 Off-Site Hedge Baseline'!$B$1:$L$257,7,FALSE))))</f>
        <v/>
      </c>
      <c r="H127" s="295" t="str">
        <f>IF(B127="","",IF(ISNA(VLOOKUP($B127,'E-1 Off-Site Hedge Baseline'!$B$1:$L$257,8,FALSE)),"",(VLOOKUP($B127,'E-1 Off-Site Hedge Baseline'!$B$1:$L$257,8,FALSE))))</f>
        <v/>
      </c>
      <c r="I127" s="295" t="str">
        <f>IF(B127="","",IF(ISNA(VLOOKUP($B127,'E-1 Off-Site Hedge Baseline'!$B$1:$L$257,10,FALSE)),"",(VLOOKUP($B127,'E-1 Off-Site Hedge Baseline'!$B$1:$L$257,10,FALSE))))</f>
        <v/>
      </c>
      <c r="J127" s="295" t="str">
        <f>IF(B127="","",IF(ISNA(VLOOKUP($B127,'E-1 Off-Site Hedge Baseline'!$B$1:$L$257,11,FALSE)),"",(VLOOKUP($B127,'E-1 Off-Site Hedge Baseline'!$B$1:$L$257,11,FALSE))))</f>
        <v/>
      </c>
      <c r="K127" s="295" t="str">
        <f>IF(B127="","",IF(ISNA(VLOOKUP($B127,'E-1 Off-Site Hedge Baseline'!$B$1:$X$257,16,FALSE)),"",(VLOOKUP($B127,'E-1 Off-Site Hedge Baseline'!$B$1:$X$257,16,FALSE))))</f>
        <v/>
      </c>
      <c r="L127" s="283" t="str">
        <f>IF(B127="","",IF(ISNA(VLOOKUP($B127,'E-1 Off-Site Hedge Baseline'!$B$1:$X$257,12,FALSE)),"",(VLOOKUP($B127,'E-1 Off-Site Hedge Baseline'!$B$1:$X$257,12,FALSE))))</f>
        <v/>
      </c>
      <c r="M127" s="244"/>
      <c r="N127" s="275" t="str">
        <f>IFERROR(IF(B127="","",INDEX('G-6 Hedgerow Data'!$AN$3:$AZ$15,MATCH(C127,'G-6 Hedgerow Data'!$AM$3:$AM$15,0),MATCH(M127,'G-6 Hedgerow Data'!$AN$2:$AZ$2,0))),"")</f>
        <v/>
      </c>
      <c r="O127" s="276" t="str">
        <f t="shared" si="9"/>
        <v/>
      </c>
      <c r="P127" s="281" t="str">
        <f>IF(B127="","",VLOOKUP(B127,'E-1 Off-Site Hedge Baseline'!$B$10:W372,19,FALSE))</f>
        <v/>
      </c>
      <c r="Q127" s="275" t="str">
        <f>IF(M127="","",VLOOKUP(M127,'G-6 Hedgerow Data'!$B$2:$AG$15,2,FALSE))</f>
        <v/>
      </c>
      <c r="R127" s="276" t="str">
        <f>IF(M127="","",VLOOKUP(M127,'G-6 Hedgerow Data'!$B$2:$AG$15,3,FALSE))</f>
        <v/>
      </c>
      <c r="S127" s="101"/>
      <c r="T127" s="276" t="str">
        <f>IFERROR(IF(S127="","",IF(AND(M127="Non-native and ornamental hedgerow",S127&lt;&gt;"Poor"),"Not possible ▲",(IF(AND(Q127="V.Low",OR(S127="Good",S127="Moderate")),"Error ▲",VLOOKUP(S127,'G-1 All Habitats'!$Z$2:$AA$9,2,FALSE))))),"")</f>
        <v/>
      </c>
      <c r="U127" s="101"/>
      <c r="V127" s="283" t="str">
        <f>IF(U127="","",IF(VLOOKUP(U127,'G-3 Multipliers'!$L$3:$N$6,2,FALSE)=0,"Spatial Data Missing ⚠",VLOOKUP(U127,'G-3 Multipliers'!$L$3:$N$6,2,FALSE)))</f>
        <v/>
      </c>
      <c r="W127" s="281" t="str">
        <f>IF(U127="","",IF(VLOOKUP(U127,'G-3 Multipliers'!$L$3:$N$6,3,FALSE)=0,"Spatial Data Missing ⚠",VLOOKUP(U127,'G-3 Multipliers'!$L$3:$N$6,3,FALSE)))</f>
        <v/>
      </c>
      <c r="X127" s="275" t="str">
        <f>IFERROR(IF(OR(LEFT(O127,5)="Error",LEFT(N127,5)="Error",T127="Error"),"Check Data ⚠",IF(F127&lt;R127,INDEX('G-6 Hedgerow Data'!$S$3:$AE$14,MATCH(C127,'G-6 Hedgerow Data'!$B$3:$B$14,0),MATCH(M127,'G-6 Hedgerow Data'!$S$2:$AE$2,0)),INDEX('G-6 Hedgerow Data'!$K$3:$Q$14,MATCH(M127,'G-6 Hedgerow Data'!$B$3:$B$14,0),MATCH(O127,'G-6 Hedgerow Data'!$K$2:$Q$2,0)))),"")</f>
        <v/>
      </c>
      <c r="Y127" s="133"/>
      <c r="Z127" s="133"/>
      <c r="AA127" s="283" t="str">
        <f t="shared" si="10"/>
        <v/>
      </c>
      <c r="AB127" s="296" t="str">
        <f t="shared" si="11"/>
        <v/>
      </c>
      <c r="AC127" s="297" t="str">
        <f t="shared" si="8"/>
        <v/>
      </c>
      <c r="AD127" s="311" t="str">
        <f>IF(M127="","",VLOOKUP(M127,'G-6 Hedgerow Data'!$B$3:$AG$15,31,FALSE))</f>
        <v/>
      </c>
      <c r="AE127" s="295" t="str">
        <f t="shared" si="12"/>
        <v/>
      </c>
      <c r="AF127" s="283" t="str">
        <f t="shared" si="13"/>
        <v/>
      </c>
      <c r="AG127" s="299" t="str">
        <f>IFERROR(IF(O127="","",VLOOKUP(AD127,'G-3 Multipliers'!$P$3:$Q$6,2,FALSE)),"")</f>
        <v/>
      </c>
      <c r="AH127" s="713" t="str">
        <f>IF(B127="","",IF(ISNA(VLOOKUP($B127,'E-1 Off-Site Hedge Baseline'!$B$1:$Z$257,14,FALSE)),"",(VLOOKUP($B127,'E-1 Off-Site Hedge Baseline'!$B$1:$Z$257,14,FALSE))))</f>
        <v/>
      </c>
      <c r="AI127" s="276" t="str">
        <f>IF(AH127="","",IF(VLOOKUP(AH127,'G-3 Multipliers'!$S$3:$T$10,2,FALSE)=0,"Spatial Data Missing ⚠",VLOOKUP(AH127,'G-3 Multipliers'!$S$3:$T$10,2,FALSE)))</f>
        <v/>
      </c>
      <c r="AJ127" s="317" t="str">
        <f t="shared" si="14"/>
        <v/>
      </c>
      <c r="AK127" s="289" t="str">
        <f t="shared" si="15"/>
        <v/>
      </c>
      <c r="AL127" s="101"/>
      <c r="AM127" s="115"/>
      <c r="AN127" s="104"/>
      <c r="AO127" s="104"/>
      <c r="AQ127" s="30" t="str">
        <f>IFERROR(INDEX('G-6 Hedgerow Data'!$BJ$3:$BJ$15,MATCH(M127,'G-6 Hedgerow Data'!$B$3:$B$15,0)),"")</f>
        <v/>
      </c>
    </row>
    <row r="128" spans="2:43" ht="14">
      <c r="B128" s="305" t="str">
        <f>'E-1 Off-Site Hedge Baseline'!AN126</f>
        <v/>
      </c>
      <c r="C128" s="295" t="str">
        <f>IF(B128="","",IF(ISNA(VLOOKUP($B128,'E-1 Off-Site Hedge Baseline'!$B$1:$L$257,3,FALSE)),"",(VLOOKUP($B128,'E-1 Off-Site Hedge Baseline'!$B$1:$L$257,3,FALSE))))</f>
        <v/>
      </c>
      <c r="D128" s="295" t="str">
        <f>IF(B128="","",IF(ISNA(VLOOKUP($B128,'E-1 Off-Site Hedge Baseline'!$B$1:$L$258,4,FALSE)),"",(VLOOKUP($B128,'E-1 Off-Site Hedge Baseline'!$B$1:$L$258,4,FALSE))))</f>
        <v/>
      </c>
      <c r="E128" s="295" t="str">
        <f>IF(B128="","",IF(ISNA(VLOOKUP($B128,'E-1 Off-Site Hedge Baseline'!$B$1:$L$257,5,FALSE)),"",(VLOOKUP($B128,'E-1 Off-Site Hedge Baseline'!$B$1:$L$257,5,FALSE))))</f>
        <v/>
      </c>
      <c r="F128" s="295" t="str">
        <f>IF(B128="","",IF(ISNA(VLOOKUP($B128,'E-1 Off-Site Hedge Baseline'!$B$1:$L$257,6,FALSE)),"",(VLOOKUP($B128,'E-1 Off-Site Hedge Baseline'!$B$1:$L$257,6,FALSE))))</f>
        <v/>
      </c>
      <c r="G128" s="295" t="str">
        <f>IF(B128="","",IF(ISNA(VLOOKUP($B128,'E-1 Off-Site Hedge Baseline'!$B$1:$L$257,7,FALSE)),"",(VLOOKUP($B128,'E-1 Off-Site Hedge Baseline'!$B$1:$L$257,7,FALSE))))</f>
        <v/>
      </c>
      <c r="H128" s="295" t="str">
        <f>IF(B128="","",IF(ISNA(VLOOKUP($B128,'E-1 Off-Site Hedge Baseline'!$B$1:$L$257,8,FALSE)),"",(VLOOKUP($B128,'E-1 Off-Site Hedge Baseline'!$B$1:$L$257,8,FALSE))))</f>
        <v/>
      </c>
      <c r="I128" s="295" t="str">
        <f>IF(B128="","",IF(ISNA(VLOOKUP($B128,'E-1 Off-Site Hedge Baseline'!$B$1:$L$257,10,FALSE)),"",(VLOOKUP($B128,'E-1 Off-Site Hedge Baseline'!$B$1:$L$257,10,FALSE))))</f>
        <v/>
      </c>
      <c r="J128" s="295" t="str">
        <f>IF(B128="","",IF(ISNA(VLOOKUP($B128,'E-1 Off-Site Hedge Baseline'!$B$1:$L$257,11,FALSE)),"",(VLOOKUP($B128,'E-1 Off-Site Hedge Baseline'!$B$1:$L$257,11,FALSE))))</f>
        <v/>
      </c>
      <c r="K128" s="295" t="str">
        <f>IF(B128="","",IF(ISNA(VLOOKUP($B128,'E-1 Off-Site Hedge Baseline'!$B$1:$X$257,16,FALSE)),"",(VLOOKUP($B128,'E-1 Off-Site Hedge Baseline'!$B$1:$X$257,16,FALSE))))</f>
        <v/>
      </c>
      <c r="L128" s="283" t="str">
        <f>IF(B128="","",IF(ISNA(VLOOKUP($B128,'E-1 Off-Site Hedge Baseline'!$B$1:$X$257,12,FALSE)),"",(VLOOKUP($B128,'E-1 Off-Site Hedge Baseline'!$B$1:$X$257,12,FALSE))))</f>
        <v/>
      </c>
      <c r="M128" s="244"/>
      <c r="N128" s="275" t="str">
        <f>IFERROR(IF(B128="","",INDEX('G-6 Hedgerow Data'!$AN$3:$AZ$15,MATCH(C128,'G-6 Hedgerow Data'!$AM$3:$AM$15,0),MATCH(M128,'G-6 Hedgerow Data'!$AN$2:$AZ$2,0))),"")</f>
        <v/>
      </c>
      <c r="O128" s="276" t="str">
        <f t="shared" si="9"/>
        <v/>
      </c>
      <c r="P128" s="281" t="str">
        <f>IF(B128="","",VLOOKUP(B128,'E-1 Off-Site Hedge Baseline'!$B$10:W373,19,FALSE))</f>
        <v/>
      </c>
      <c r="Q128" s="275" t="str">
        <f>IF(M128="","",VLOOKUP(M128,'G-6 Hedgerow Data'!$B$2:$AG$15,2,FALSE))</f>
        <v/>
      </c>
      <c r="R128" s="276" t="str">
        <f>IF(M128="","",VLOOKUP(M128,'G-6 Hedgerow Data'!$B$2:$AG$15,3,FALSE))</f>
        <v/>
      </c>
      <c r="S128" s="101"/>
      <c r="T128" s="276" t="str">
        <f>IFERROR(IF(S128="","",IF(AND(M128="Non-native and ornamental hedgerow",S128&lt;&gt;"Poor"),"Not possible ▲",(IF(AND(Q128="V.Low",OR(S128="Good",S128="Moderate")),"Error ▲",VLOOKUP(S128,'G-1 All Habitats'!$Z$2:$AA$9,2,FALSE))))),"")</f>
        <v/>
      </c>
      <c r="U128" s="101"/>
      <c r="V128" s="283" t="str">
        <f>IF(U128="","",IF(VLOOKUP(U128,'G-3 Multipliers'!$L$3:$N$6,2,FALSE)=0,"Spatial Data Missing ⚠",VLOOKUP(U128,'G-3 Multipliers'!$L$3:$N$6,2,FALSE)))</f>
        <v/>
      </c>
      <c r="W128" s="281" t="str">
        <f>IF(U128="","",IF(VLOOKUP(U128,'G-3 Multipliers'!$L$3:$N$6,3,FALSE)=0,"Spatial Data Missing ⚠",VLOOKUP(U128,'G-3 Multipliers'!$L$3:$N$6,3,FALSE)))</f>
        <v/>
      </c>
      <c r="X128" s="275" t="str">
        <f>IFERROR(IF(OR(LEFT(O128,5)="Error",LEFT(N128,5)="Error",T128="Error"),"Check Data ⚠",IF(F128&lt;R128,INDEX('G-6 Hedgerow Data'!$S$3:$AE$14,MATCH(C128,'G-6 Hedgerow Data'!$B$3:$B$14,0),MATCH(M128,'G-6 Hedgerow Data'!$S$2:$AE$2,0)),INDEX('G-6 Hedgerow Data'!$K$3:$Q$14,MATCH(M128,'G-6 Hedgerow Data'!$B$3:$B$14,0),MATCH(O128,'G-6 Hedgerow Data'!$K$2:$Q$2,0)))),"")</f>
        <v/>
      </c>
      <c r="Y128" s="133"/>
      <c r="Z128" s="133"/>
      <c r="AA128" s="283" t="str">
        <f t="shared" si="10"/>
        <v/>
      </c>
      <c r="AB128" s="296" t="str">
        <f t="shared" si="11"/>
        <v/>
      </c>
      <c r="AC128" s="297" t="str">
        <f t="shared" si="8"/>
        <v/>
      </c>
      <c r="AD128" s="311" t="str">
        <f>IF(M128="","",VLOOKUP(M128,'G-6 Hedgerow Data'!$B$3:$AG$15,31,FALSE))</f>
        <v/>
      </c>
      <c r="AE128" s="295" t="str">
        <f t="shared" si="12"/>
        <v/>
      </c>
      <c r="AF128" s="283" t="str">
        <f t="shared" si="13"/>
        <v/>
      </c>
      <c r="AG128" s="299" t="str">
        <f>IFERROR(IF(O128="","",VLOOKUP(AD128,'G-3 Multipliers'!$P$3:$Q$6,2,FALSE)),"")</f>
        <v/>
      </c>
      <c r="AH128" s="713" t="str">
        <f>IF(B128="","",IF(ISNA(VLOOKUP($B128,'E-1 Off-Site Hedge Baseline'!$B$1:$Z$257,14,FALSE)),"",(VLOOKUP($B128,'E-1 Off-Site Hedge Baseline'!$B$1:$Z$257,14,FALSE))))</f>
        <v/>
      </c>
      <c r="AI128" s="276" t="str">
        <f>IF(AH128="","",IF(VLOOKUP(AH128,'G-3 Multipliers'!$S$3:$T$10,2,FALSE)=0,"Spatial Data Missing ⚠",VLOOKUP(AH128,'G-3 Multipliers'!$S$3:$T$10,2,FALSE)))</f>
        <v/>
      </c>
      <c r="AJ128" s="317" t="str">
        <f t="shared" si="14"/>
        <v/>
      </c>
      <c r="AK128" s="289" t="str">
        <f t="shared" si="15"/>
        <v/>
      </c>
      <c r="AL128" s="101"/>
      <c r="AM128" s="115"/>
      <c r="AN128" s="104"/>
      <c r="AO128" s="104"/>
      <c r="AQ128" s="30" t="str">
        <f>IFERROR(INDEX('G-6 Hedgerow Data'!$BJ$3:$BJ$15,MATCH(M128,'G-6 Hedgerow Data'!$B$3:$B$15,0)),"")</f>
        <v/>
      </c>
    </row>
    <row r="129" spans="2:43" ht="14">
      <c r="B129" s="305" t="str">
        <f>'E-1 Off-Site Hedge Baseline'!AN127</f>
        <v/>
      </c>
      <c r="C129" s="295" t="str">
        <f>IF(B129="","",IF(ISNA(VLOOKUP($B129,'E-1 Off-Site Hedge Baseline'!$B$1:$L$257,3,FALSE)),"",(VLOOKUP($B129,'E-1 Off-Site Hedge Baseline'!$B$1:$L$257,3,FALSE))))</f>
        <v/>
      </c>
      <c r="D129" s="295" t="str">
        <f>IF(B129="","",IF(ISNA(VLOOKUP($B129,'E-1 Off-Site Hedge Baseline'!$B$1:$L$258,4,FALSE)),"",(VLOOKUP($B129,'E-1 Off-Site Hedge Baseline'!$B$1:$L$258,4,FALSE))))</f>
        <v/>
      </c>
      <c r="E129" s="295" t="str">
        <f>IF(B129="","",IF(ISNA(VLOOKUP($B129,'E-1 Off-Site Hedge Baseline'!$B$1:$L$257,5,FALSE)),"",(VLOOKUP($B129,'E-1 Off-Site Hedge Baseline'!$B$1:$L$257,5,FALSE))))</f>
        <v/>
      </c>
      <c r="F129" s="295" t="str">
        <f>IF(B129="","",IF(ISNA(VLOOKUP($B129,'E-1 Off-Site Hedge Baseline'!$B$1:$L$257,6,FALSE)),"",(VLOOKUP($B129,'E-1 Off-Site Hedge Baseline'!$B$1:$L$257,6,FALSE))))</f>
        <v/>
      </c>
      <c r="G129" s="295" t="str">
        <f>IF(B129="","",IF(ISNA(VLOOKUP($B129,'E-1 Off-Site Hedge Baseline'!$B$1:$L$257,7,FALSE)),"",(VLOOKUP($B129,'E-1 Off-Site Hedge Baseline'!$B$1:$L$257,7,FALSE))))</f>
        <v/>
      </c>
      <c r="H129" s="295" t="str">
        <f>IF(B129="","",IF(ISNA(VLOOKUP($B129,'E-1 Off-Site Hedge Baseline'!$B$1:$L$257,8,FALSE)),"",(VLOOKUP($B129,'E-1 Off-Site Hedge Baseline'!$B$1:$L$257,8,FALSE))))</f>
        <v/>
      </c>
      <c r="I129" s="295" t="str">
        <f>IF(B129="","",IF(ISNA(VLOOKUP($B129,'E-1 Off-Site Hedge Baseline'!$B$1:$L$257,10,FALSE)),"",(VLOOKUP($B129,'E-1 Off-Site Hedge Baseline'!$B$1:$L$257,10,FALSE))))</f>
        <v/>
      </c>
      <c r="J129" s="295" t="str">
        <f>IF(B129="","",IF(ISNA(VLOOKUP($B129,'E-1 Off-Site Hedge Baseline'!$B$1:$L$257,11,FALSE)),"",(VLOOKUP($B129,'E-1 Off-Site Hedge Baseline'!$B$1:$L$257,11,FALSE))))</f>
        <v/>
      </c>
      <c r="K129" s="295" t="str">
        <f>IF(B129="","",IF(ISNA(VLOOKUP($B129,'E-1 Off-Site Hedge Baseline'!$B$1:$X$257,16,FALSE)),"",(VLOOKUP($B129,'E-1 Off-Site Hedge Baseline'!$B$1:$X$257,16,FALSE))))</f>
        <v/>
      </c>
      <c r="L129" s="283" t="str">
        <f>IF(B129="","",IF(ISNA(VLOOKUP($B129,'E-1 Off-Site Hedge Baseline'!$B$1:$X$257,12,FALSE)),"",(VLOOKUP($B129,'E-1 Off-Site Hedge Baseline'!$B$1:$X$257,12,FALSE))))</f>
        <v/>
      </c>
      <c r="M129" s="244"/>
      <c r="N129" s="275" t="str">
        <f>IFERROR(IF(B129="","",INDEX('G-6 Hedgerow Data'!$AN$3:$AZ$15,MATCH(C129,'G-6 Hedgerow Data'!$AM$3:$AM$15,0),MATCH(M129,'G-6 Hedgerow Data'!$AN$2:$AZ$2,0))),"")</f>
        <v/>
      </c>
      <c r="O129" s="276" t="str">
        <f t="shared" si="9"/>
        <v/>
      </c>
      <c r="P129" s="281" t="str">
        <f>IF(B129="","",VLOOKUP(B129,'E-1 Off-Site Hedge Baseline'!$B$10:W374,19,FALSE))</f>
        <v/>
      </c>
      <c r="Q129" s="275" t="str">
        <f>IF(M129="","",VLOOKUP(M129,'G-6 Hedgerow Data'!$B$2:$AG$15,2,FALSE))</f>
        <v/>
      </c>
      <c r="R129" s="276" t="str">
        <f>IF(M129="","",VLOOKUP(M129,'G-6 Hedgerow Data'!$B$2:$AG$15,3,FALSE))</f>
        <v/>
      </c>
      <c r="S129" s="101"/>
      <c r="T129" s="276" t="str">
        <f>IFERROR(IF(S129="","",IF(AND(M129="Non-native and ornamental hedgerow",S129&lt;&gt;"Poor"),"Not possible ▲",(IF(AND(Q129="V.Low",OR(S129="Good",S129="Moderate")),"Error ▲",VLOOKUP(S129,'G-1 All Habitats'!$Z$2:$AA$9,2,FALSE))))),"")</f>
        <v/>
      </c>
      <c r="U129" s="101"/>
      <c r="V129" s="283" t="str">
        <f>IF(U129="","",IF(VLOOKUP(U129,'G-3 Multipliers'!$L$3:$N$6,2,FALSE)=0,"Spatial Data Missing ⚠",VLOOKUP(U129,'G-3 Multipliers'!$L$3:$N$6,2,FALSE)))</f>
        <v/>
      </c>
      <c r="W129" s="281" t="str">
        <f>IF(U129="","",IF(VLOOKUP(U129,'G-3 Multipliers'!$L$3:$N$6,3,FALSE)=0,"Spatial Data Missing ⚠",VLOOKUP(U129,'G-3 Multipliers'!$L$3:$N$6,3,FALSE)))</f>
        <v/>
      </c>
      <c r="X129" s="275" t="str">
        <f>IFERROR(IF(OR(LEFT(O129,5)="Error",LEFT(N129,5)="Error",T129="Error"),"Check Data ⚠",IF(F129&lt;R129,INDEX('G-6 Hedgerow Data'!$S$3:$AE$14,MATCH(C129,'G-6 Hedgerow Data'!$B$3:$B$14,0),MATCH(M129,'G-6 Hedgerow Data'!$S$2:$AE$2,0)),INDEX('G-6 Hedgerow Data'!$K$3:$Q$14,MATCH(M129,'G-6 Hedgerow Data'!$B$3:$B$14,0),MATCH(O129,'G-6 Hedgerow Data'!$K$2:$Q$2,0)))),"")</f>
        <v/>
      </c>
      <c r="Y129" s="133"/>
      <c r="Z129" s="133"/>
      <c r="AA129" s="283" t="str">
        <f t="shared" si="10"/>
        <v/>
      </c>
      <c r="AB129" s="296" t="str">
        <f t="shared" si="11"/>
        <v/>
      </c>
      <c r="AC129" s="297" t="str">
        <f t="shared" si="8"/>
        <v/>
      </c>
      <c r="AD129" s="311" t="str">
        <f>IF(M129="","",VLOOKUP(M129,'G-6 Hedgerow Data'!$B$3:$AG$15,31,FALSE))</f>
        <v/>
      </c>
      <c r="AE129" s="295" t="str">
        <f t="shared" si="12"/>
        <v/>
      </c>
      <c r="AF129" s="283" t="str">
        <f t="shared" si="13"/>
        <v/>
      </c>
      <c r="AG129" s="299" t="str">
        <f>IFERROR(IF(O129="","",VLOOKUP(AD129,'G-3 Multipliers'!$P$3:$Q$6,2,FALSE)),"")</f>
        <v/>
      </c>
      <c r="AH129" s="713" t="str">
        <f>IF(B129="","",IF(ISNA(VLOOKUP($B129,'E-1 Off-Site Hedge Baseline'!$B$1:$Z$257,14,FALSE)),"",(VLOOKUP($B129,'E-1 Off-Site Hedge Baseline'!$B$1:$Z$257,14,FALSE))))</f>
        <v/>
      </c>
      <c r="AI129" s="276" t="str">
        <f>IF(AH129="","",IF(VLOOKUP(AH129,'G-3 Multipliers'!$S$3:$T$10,2,FALSE)=0,"Spatial Data Missing ⚠",VLOOKUP(AH129,'G-3 Multipliers'!$S$3:$T$10,2,FALSE)))</f>
        <v/>
      </c>
      <c r="AJ129" s="317" t="str">
        <f t="shared" si="14"/>
        <v/>
      </c>
      <c r="AK129" s="289" t="str">
        <f t="shared" si="15"/>
        <v/>
      </c>
      <c r="AL129" s="101"/>
      <c r="AM129" s="115"/>
      <c r="AN129" s="104"/>
      <c r="AO129" s="104"/>
      <c r="AQ129" s="30" t="str">
        <f>IFERROR(INDEX('G-6 Hedgerow Data'!$BJ$3:$BJ$15,MATCH(M129,'G-6 Hedgerow Data'!$B$3:$B$15,0)),"")</f>
        <v/>
      </c>
    </row>
    <row r="130" spans="2:43" ht="14">
      <c r="B130" s="305" t="str">
        <f>'E-1 Off-Site Hedge Baseline'!AN128</f>
        <v/>
      </c>
      <c r="C130" s="295" t="str">
        <f>IF(B130="","",IF(ISNA(VLOOKUP($B130,'E-1 Off-Site Hedge Baseline'!$B$1:$L$257,3,FALSE)),"",(VLOOKUP($B130,'E-1 Off-Site Hedge Baseline'!$B$1:$L$257,3,FALSE))))</f>
        <v/>
      </c>
      <c r="D130" s="295" t="str">
        <f>IF(B130="","",IF(ISNA(VLOOKUP($B130,'E-1 Off-Site Hedge Baseline'!$B$1:$L$258,4,FALSE)),"",(VLOOKUP($B130,'E-1 Off-Site Hedge Baseline'!$B$1:$L$258,4,FALSE))))</f>
        <v/>
      </c>
      <c r="E130" s="295" t="str">
        <f>IF(B130="","",IF(ISNA(VLOOKUP($B130,'E-1 Off-Site Hedge Baseline'!$B$1:$L$257,5,FALSE)),"",(VLOOKUP($B130,'E-1 Off-Site Hedge Baseline'!$B$1:$L$257,5,FALSE))))</f>
        <v/>
      </c>
      <c r="F130" s="295" t="str">
        <f>IF(B130="","",IF(ISNA(VLOOKUP($B130,'E-1 Off-Site Hedge Baseline'!$B$1:$L$257,6,FALSE)),"",(VLOOKUP($B130,'E-1 Off-Site Hedge Baseline'!$B$1:$L$257,6,FALSE))))</f>
        <v/>
      </c>
      <c r="G130" s="295" t="str">
        <f>IF(B130="","",IF(ISNA(VLOOKUP($B130,'E-1 Off-Site Hedge Baseline'!$B$1:$L$257,7,FALSE)),"",(VLOOKUP($B130,'E-1 Off-Site Hedge Baseline'!$B$1:$L$257,7,FALSE))))</f>
        <v/>
      </c>
      <c r="H130" s="295" t="str">
        <f>IF(B130="","",IF(ISNA(VLOOKUP($B130,'E-1 Off-Site Hedge Baseline'!$B$1:$L$257,8,FALSE)),"",(VLOOKUP($B130,'E-1 Off-Site Hedge Baseline'!$B$1:$L$257,8,FALSE))))</f>
        <v/>
      </c>
      <c r="I130" s="295" t="str">
        <f>IF(B130="","",IF(ISNA(VLOOKUP($B130,'E-1 Off-Site Hedge Baseline'!$B$1:$L$257,10,FALSE)),"",(VLOOKUP($B130,'E-1 Off-Site Hedge Baseline'!$B$1:$L$257,10,FALSE))))</f>
        <v/>
      </c>
      <c r="J130" s="295" t="str">
        <f>IF(B130="","",IF(ISNA(VLOOKUP($B130,'E-1 Off-Site Hedge Baseline'!$B$1:$L$257,11,FALSE)),"",(VLOOKUP($B130,'E-1 Off-Site Hedge Baseline'!$B$1:$L$257,11,FALSE))))</f>
        <v/>
      </c>
      <c r="K130" s="295" t="str">
        <f>IF(B130="","",IF(ISNA(VLOOKUP($B130,'E-1 Off-Site Hedge Baseline'!$B$1:$X$257,16,FALSE)),"",(VLOOKUP($B130,'E-1 Off-Site Hedge Baseline'!$B$1:$X$257,16,FALSE))))</f>
        <v/>
      </c>
      <c r="L130" s="283" t="str">
        <f>IF(B130="","",IF(ISNA(VLOOKUP($B130,'E-1 Off-Site Hedge Baseline'!$B$1:$X$257,12,FALSE)),"",(VLOOKUP($B130,'E-1 Off-Site Hedge Baseline'!$B$1:$X$257,12,FALSE))))</f>
        <v/>
      </c>
      <c r="M130" s="244"/>
      <c r="N130" s="275" t="str">
        <f>IFERROR(IF(B130="","",INDEX('G-6 Hedgerow Data'!$AN$3:$AZ$15,MATCH(C130,'G-6 Hedgerow Data'!$AM$3:$AM$15,0),MATCH(M130,'G-6 Hedgerow Data'!$AN$2:$AZ$2,0))),"")</f>
        <v/>
      </c>
      <c r="O130" s="276" t="str">
        <f t="shared" si="9"/>
        <v/>
      </c>
      <c r="P130" s="281" t="str">
        <f>IF(B130="","",VLOOKUP(B130,'E-1 Off-Site Hedge Baseline'!$B$10:W375,19,FALSE))</f>
        <v/>
      </c>
      <c r="Q130" s="275" t="str">
        <f>IF(M130="","",VLOOKUP(M130,'G-6 Hedgerow Data'!$B$2:$AG$15,2,FALSE))</f>
        <v/>
      </c>
      <c r="R130" s="276" t="str">
        <f>IF(M130="","",VLOOKUP(M130,'G-6 Hedgerow Data'!$B$2:$AG$15,3,FALSE))</f>
        <v/>
      </c>
      <c r="S130" s="101"/>
      <c r="T130" s="276" t="str">
        <f>IFERROR(IF(S130="","",IF(AND(M130="Non-native and ornamental hedgerow",S130&lt;&gt;"Poor"),"Not possible ▲",(IF(AND(Q130="V.Low",OR(S130="Good",S130="Moderate")),"Error ▲",VLOOKUP(S130,'G-1 All Habitats'!$Z$2:$AA$9,2,FALSE))))),"")</f>
        <v/>
      </c>
      <c r="U130" s="101"/>
      <c r="V130" s="283" t="str">
        <f>IF(U130="","",IF(VLOOKUP(U130,'G-3 Multipliers'!$L$3:$N$6,2,FALSE)=0,"Spatial Data Missing ⚠",VLOOKUP(U130,'G-3 Multipliers'!$L$3:$N$6,2,FALSE)))</f>
        <v/>
      </c>
      <c r="W130" s="281" t="str">
        <f>IF(U130="","",IF(VLOOKUP(U130,'G-3 Multipliers'!$L$3:$N$6,3,FALSE)=0,"Spatial Data Missing ⚠",VLOOKUP(U130,'G-3 Multipliers'!$L$3:$N$6,3,FALSE)))</f>
        <v/>
      </c>
      <c r="X130" s="275" t="str">
        <f>IFERROR(IF(OR(LEFT(O130,5)="Error",LEFT(N130,5)="Error",T130="Error"),"Check Data ⚠",IF(F130&lt;R130,INDEX('G-6 Hedgerow Data'!$S$3:$AE$14,MATCH(C130,'G-6 Hedgerow Data'!$B$3:$B$14,0),MATCH(M130,'G-6 Hedgerow Data'!$S$2:$AE$2,0)),INDEX('G-6 Hedgerow Data'!$K$3:$Q$14,MATCH(M130,'G-6 Hedgerow Data'!$B$3:$B$14,0),MATCH(O130,'G-6 Hedgerow Data'!$K$2:$Q$2,0)))),"")</f>
        <v/>
      </c>
      <c r="Y130" s="133"/>
      <c r="Z130" s="133"/>
      <c r="AA130" s="283" t="str">
        <f t="shared" si="10"/>
        <v/>
      </c>
      <c r="AB130" s="296" t="str">
        <f t="shared" si="11"/>
        <v/>
      </c>
      <c r="AC130" s="297" t="str">
        <f t="shared" si="8"/>
        <v/>
      </c>
      <c r="AD130" s="311" t="str">
        <f>IF(M130="","",VLOOKUP(M130,'G-6 Hedgerow Data'!$B$3:$AG$15,31,FALSE))</f>
        <v/>
      </c>
      <c r="AE130" s="295" t="str">
        <f t="shared" si="12"/>
        <v/>
      </c>
      <c r="AF130" s="283" t="str">
        <f t="shared" si="13"/>
        <v/>
      </c>
      <c r="AG130" s="299" t="str">
        <f>IFERROR(IF(O130="","",VLOOKUP(AD130,'G-3 Multipliers'!$P$3:$Q$6,2,FALSE)),"")</f>
        <v/>
      </c>
      <c r="AH130" s="713" t="str">
        <f>IF(B130="","",IF(ISNA(VLOOKUP($B130,'E-1 Off-Site Hedge Baseline'!$B$1:$Z$257,14,FALSE)),"",(VLOOKUP($B130,'E-1 Off-Site Hedge Baseline'!$B$1:$Z$257,14,FALSE))))</f>
        <v/>
      </c>
      <c r="AI130" s="276" t="str">
        <f>IF(AH130="","",IF(VLOOKUP(AH130,'G-3 Multipliers'!$S$3:$T$10,2,FALSE)=0,"Spatial Data Missing ⚠",VLOOKUP(AH130,'G-3 Multipliers'!$S$3:$T$10,2,FALSE)))</f>
        <v/>
      </c>
      <c r="AJ130" s="317" t="str">
        <f t="shared" si="14"/>
        <v/>
      </c>
      <c r="AK130" s="289" t="str">
        <f t="shared" si="15"/>
        <v/>
      </c>
      <c r="AL130" s="101"/>
      <c r="AM130" s="115"/>
      <c r="AN130" s="104"/>
      <c r="AO130" s="104"/>
      <c r="AQ130" s="30" t="str">
        <f>IFERROR(INDEX('G-6 Hedgerow Data'!$BJ$3:$BJ$15,MATCH(M130,'G-6 Hedgerow Data'!$B$3:$B$15,0)),"")</f>
        <v/>
      </c>
    </row>
    <row r="131" spans="2:43" ht="14">
      <c r="B131" s="305" t="str">
        <f>'E-1 Off-Site Hedge Baseline'!AN129</f>
        <v/>
      </c>
      <c r="C131" s="295" t="str">
        <f>IF(B131="","",IF(ISNA(VLOOKUP($B131,'E-1 Off-Site Hedge Baseline'!$B$1:$L$257,3,FALSE)),"",(VLOOKUP($B131,'E-1 Off-Site Hedge Baseline'!$B$1:$L$257,3,FALSE))))</f>
        <v/>
      </c>
      <c r="D131" s="295" t="str">
        <f>IF(B131="","",IF(ISNA(VLOOKUP($B131,'E-1 Off-Site Hedge Baseline'!$B$1:$L$258,4,FALSE)),"",(VLOOKUP($B131,'E-1 Off-Site Hedge Baseline'!$B$1:$L$258,4,FALSE))))</f>
        <v/>
      </c>
      <c r="E131" s="295" t="str">
        <f>IF(B131="","",IF(ISNA(VLOOKUP($B131,'E-1 Off-Site Hedge Baseline'!$B$1:$L$257,5,FALSE)),"",(VLOOKUP($B131,'E-1 Off-Site Hedge Baseline'!$B$1:$L$257,5,FALSE))))</f>
        <v/>
      </c>
      <c r="F131" s="295" t="str">
        <f>IF(B131="","",IF(ISNA(VLOOKUP($B131,'E-1 Off-Site Hedge Baseline'!$B$1:$L$257,6,FALSE)),"",(VLOOKUP($B131,'E-1 Off-Site Hedge Baseline'!$B$1:$L$257,6,FALSE))))</f>
        <v/>
      </c>
      <c r="G131" s="295" t="str">
        <f>IF(B131="","",IF(ISNA(VLOOKUP($B131,'E-1 Off-Site Hedge Baseline'!$B$1:$L$257,7,FALSE)),"",(VLOOKUP($B131,'E-1 Off-Site Hedge Baseline'!$B$1:$L$257,7,FALSE))))</f>
        <v/>
      </c>
      <c r="H131" s="295" t="str">
        <f>IF(B131="","",IF(ISNA(VLOOKUP($B131,'E-1 Off-Site Hedge Baseline'!$B$1:$L$257,8,FALSE)),"",(VLOOKUP($B131,'E-1 Off-Site Hedge Baseline'!$B$1:$L$257,8,FALSE))))</f>
        <v/>
      </c>
      <c r="I131" s="295" t="str">
        <f>IF(B131="","",IF(ISNA(VLOOKUP($B131,'E-1 Off-Site Hedge Baseline'!$B$1:$L$257,10,FALSE)),"",(VLOOKUP($B131,'E-1 Off-Site Hedge Baseline'!$B$1:$L$257,10,FALSE))))</f>
        <v/>
      </c>
      <c r="J131" s="295" t="str">
        <f>IF(B131="","",IF(ISNA(VLOOKUP($B131,'E-1 Off-Site Hedge Baseline'!$B$1:$L$257,11,FALSE)),"",(VLOOKUP($B131,'E-1 Off-Site Hedge Baseline'!$B$1:$L$257,11,FALSE))))</f>
        <v/>
      </c>
      <c r="K131" s="295" t="str">
        <f>IF(B131="","",IF(ISNA(VLOOKUP($B131,'E-1 Off-Site Hedge Baseline'!$B$1:$X$257,16,FALSE)),"",(VLOOKUP($B131,'E-1 Off-Site Hedge Baseline'!$B$1:$X$257,16,FALSE))))</f>
        <v/>
      </c>
      <c r="L131" s="283" t="str">
        <f>IF(B131="","",IF(ISNA(VLOOKUP($B131,'E-1 Off-Site Hedge Baseline'!$B$1:$X$257,12,FALSE)),"",(VLOOKUP($B131,'E-1 Off-Site Hedge Baseline'!$B$1:$X$257,12,FALSE))))</f>
        <v/>
      </c>
      <c r="M131" s="244"/>
      <c r="N131" s="275" t="str">
        <f>IFERROR(IF(B131="","",INDEX('G-6 Hedgerow Data'!$AN$3:$AZ$15,MATCH(C131,'G-6 Hedgerow Data'!$AM$3:$AM$15,0),MATCH(M131,'G-6 Hedgerow Data'!$AN$2:$AZ$2,0))),"")</f>
        <v/>
      </c>
      <c r="O131" s="276" t="str">
        <f t="shared" si="9"/>
        <v/>
      </c>
      <c r="P131" s="281" t="str">
        <f>IF(B131="","",VLOOKUP(B131,'E-1 Off-Site Hedge Baseline'!$B$10:W376,19,FALSE))</f>
        <v/>
      </c>
      <c r="Q131" s="275" t="str">
        <f>IF(M131="","",VLOOKUP(M131,'G-6 Hedgerow Data'!$B$2:$AG$15,2,FALSE))</f>
        <v/>
      </c>
      <c r="R131" s="276" t="str">
        <f>IF(M131="","",VLOOKUP(M131,'G-6 Hedgerow Data'!$B$2:$AG$15,3,FALSE))</f>
        <v/>
      </c>
      <c r="S131" s="101"/>
      <c r="T131" s="276" t="str">
        <f>IFERROR(IF(S131="","",IF(AND(M131="Non-native and ornamental hedgerow",S131&lt;&gt;"Poor"),"Not possible ▲",(IF(AND(Q131="V.Low",OR(S131="Good",S131="Moderate")),"Error ▲",VLOOKUP(S131,'G-1 All Habitats'!$Z$2:$AA$9,2,FALSE))))),"")</f>
        <v/>
      </c>
      <c r="U131" s="101"/>
      <c r="V131" s="283" t="str">
        <f>IF(U131="","",IF(VLOOKUP(U131,'G-3 Multipliers'!$L$3:$N$6,2,FALSE)=0,"Spatial Data Missing ⚠",VLOOKUP(U131,'G-3 Multipliers'!$L$3:$N$6,2,FALSE)))</f>
        <v/>
      </c>
      <c r="W131" s="281" t="str">
        <f>IF(U131="","",IF(VLOOKUP(U131,'G-3 Multipliers'!$L$3:$N$6,3,FALSE)=0,"Spatial Data Missing ⚠",VLOOKUP(U131,'G-3 Multipliers'!$L$3:$N$6,3,FALSE)))</f>
        <v/>
      </c>
      <c r="X131" s="275" t="str">
        <f>IFERROR(IF(OR(LEFT(O131,5)="Error",LEFT(N131,5)="Error",T131="Error"),"Check Data ⚠",IF(F131&lt;R131,INDEX('G-6 Hedgerow Data'!$S$3:$AE$14,MATCH(C131,'G-6 Hedgerow Data'!$B$3:$B$14,0),MATCH(M131,'G-6 Hedgerow Data'!$S$2:$AE$2,0)),INDEX('G-6 Hedgerow Data'!$K$3:$Q$14,MATCH(M131,'G-6 Hedgerow Data'!$B$3:$B$14,0),MATCH(O131,'G-6 Hedgerow Data'!$K$2:$Q$2,0)))),"")</f>
        <v/>
      </c>
      <c r="Y131" s="133"/>
      <c r="Z131" s="133"/>
      <c r="AA131" s="283" t="str">
        <f t="shared" si="10"/>
        <v/>
      </c>
      <c r="AB131" s="296" t="str">
        <f t="shared" si="11"/>
        <v/>
      </c>
      <c r="AC131" s="297" t="str">
        <f t="shared" si="8"/>
        <v/>
      </c>
      <c r="AD131" s="311" t="str">
        <f>IF(M131="","",VLOOKUP(M131,'G-6 Hedgerow Data'!$B$3:$AG$15,31,FALSE))</f>
        <v/>
      </c>
      <c r="AE131" s="295" t="str">
        <f t="shared" si="12"/>
        <v/>
      </c>
      <c r="AF131" s="283" t="str">
        <f t="shared" si="13"/>
        <v/>
      </c>
      <c r="AG131" s="299" t="str">
        <f>IFERROR(IF(O131="","",VLOOKUP(AD131,'G-3 Multipliers'!$P$3:$Q$6,2,FALSE)),"")</f>
        <v/>
      </c>
      <c r="AH131" s="713" t="str">
        <f>IF(B131="","",IF(ISNA(VLOOKUP($B131,'E-1 Off-Site Hedge Baseline'!$B$1:$Z$257,14,FALSE)),"",(VLOOKUP($B131,'E-1 Off-Site Hedge Baseline'!$B$1:$Z$257,14,FALSE))))</f>
        <v/>
      </c>
      <c r="AI131" s="276" t="str">
        <f>IF(AH131="","",IF(VLOOKUP(AH131,'G-3 Multipliers'!$S$3:$T$10,2,FALSE)=0,"Spatial Data Missing ⚠",VLOOKUP(AH131,'G-3 Multipliers'!$S$3:$T$10,2,FALSE)))</f>
        <v/>
      </c>
      <c r="AJ131" s="317" t="str">
        <f t="shared" si="14"/>
        <v/>
      </c>
      <c r="AK131" s="289" t="str">
        <f t="shared" si="15"/>
        <v/>
      </c>
      <c r="AL131" s="101"/>
      <c r="AM131" s="115"/>
      <c r="AN131" s="104"/>
      <c r="AO131" s="104"/>
      <c r="AQ131" s="30" t="str">
        <f>IFERROR(INDEX('G-6 Hedgerow Data'!$BJ$3:$BJ$15,MATCH(M131,'G-6 Hedgerow Data'!$B$3:$B$15,0)),"")</f>
        <v/>
      </c>
    </row>
    <row r="132" spans="2:43" ht="14">
      <c r="B132" s="305" t="str">
        <f>'E-1 Off-Site Hedge Baseline'!AN130</f>
        <v/>
      </c>
      <c r="C132" s="295" t="str">
        <f>IF(B132="","",IF(ISNA(VLOOKUP($B132,'E-1 Off-Site Hedge Baseline'!$B$1:$L$257,3,FALSE)),"",(VLOOKUP($B132,'E-1 Off-Site Hedge Baseline'!$B$1:$L$257,3,FALSE))))</f>
        <v/>
      </c>
      <c r="D132" s="295" t="str">
        <f>IF(B132="","",IF(ISNA(VLOOKUP($B132,'E-1 Off-Site Hedge Baseline'!$B$1:$L$258,4,FALSE)),"",(VLOOKUP($B132,'E-1 Off-Site Hedge Baseline'!$B$1:$L$258,4,FALSE))))</f>
        <v/>
      </c>
      <c r="E132" s="295" t="str">
        <f>IF(B132="","",IF(ISNA(VLOOKUP($B132,'E-1 Off-Site Hedge Baseline'!$B$1:$L$257,5,FALSE)),"",(VLOOKUP($B132,'E-1 Off-Site Hedge Baseline'!$B$1:$L$257,5,FALSE))))</f>
        <v/>
      </c>
      <c r="F132" s="295" t="str">
        <f>IF(B132="","",IF(ISNA(VLOOKUP($B132,'E-1 Off-Site Hedge Baseline'!$B$1:$L$257,6,FALSE)),"",(VLOOKUP($B132,'E-1 Off-Site Hedge Baseline'!$B$1:$L$257,6,FALSE))))</f>
        <v/>
      </c>
      <c r="G132" s="295" t="str">
        <f>IF(B132="","",IF(ISNA(VLOOKUP($B132,'E-1 Off-Site Hedge Baseline'!$B$1:$L$257,7,FALSE)),"",(VLOOKUP($B132,'E-1 Off-Site Hedge Baseline'!$B$1:$L$257,7,FALSE))))</f>
        <v/>
      </c>
      <c r="H132" s="295" t="str">
        <f>IF(B132="","",IF(ISNA(VLOOKUP($B132,'E-1 Off-Site Hedge Baseline'!$B$1:$L$257,8,FALSE)),"",(VLOOKUP($B132,'E-1 Off-Site Hedge Baseline'!$B$1:$L$257,8,FALSE))))</f>
        <v/>
      </c>
      <c r="I132" s="295" t="str">
        <f>IF(B132="","",IF(ISNA(VLOOKUP($B132,'E-1 Off-Site Hedge Baseline'!$B$1:$L$257,10,FALSE)),"",(VLOOKUP($B132,'E-1 Off-Site Hedge Baseline'!$B$1:$L$257,10,FALSE))))</f>
        <v/>
      </c>
      <c r="J132" s="295" t="str">
        <f>IF(B132="","",IF(ISNA(VLOOKUP($B132,'E-1 Off-Site Hedge Baseline'!$B$1:$L$257,11,FALSE)),"",(VLOOKUP($B132,'E-1 Off-Site Hedge Baseline'!$B$1:$L$257,11,FALSE))))</f>
        <v/>
      </c>
      <c r="K132" s="295" t="str">
        <f>IF(B132="","",IF(ISNA(VLOOKUP($B132,'E-1 Off-Site Hedge Baseline'!$B$1:$X$257,16,FALSE)),"",(VLOOKUP($B132,'E-1 Off-Site Hedge Baseline'!$B$1:$X$257,16,FALSE))))</f>
        <v/>
      </c>
      <c r="L132" s="283" t="str">
        <f>IF(B132="","",IF(ISNA(VLOOKUP($B132,'E-1 Off-Site Hedge Baseline'!$B$1:$X$257,12,FALSE)),"",(VLOOKUP($B132,'E-1 Off-Site Hedge Baseline'!$B$1:$X$257,12,FALSE))))</f>
        <v/>
      </c>
      <c r="M132" s="244"/>
      <c r="N132" s="275" t="str">
        <f>IFERROR(IF(B132="","",INDEX('G-6 Hedgerow Data'!$AN$3:$AZ$15,MATCH(C132,'G-6 Hedgerow Data'!$AM$3:$AM$15,0),MATCH(M132,'G-6 Hedgerow Data'!$AN$2:$AZ$2,0))),"")</f>
        <v/>
      </c>
      <c r="O132" s="276" t="str">
        <f t="shared" si="9"/>
        <v/>
      </c>
      <c r="P132" s="281" t="str">
        <f>IF(B132="","",VLOOKUP(B132,'E-1 Off-Site Hedge Baseline'!$B$10:W377,19,FALSE))</f>
        <v/>
      </c>
      <c r="Q132" s="275" t="str">
        <f>IF(M132="","",VLOOKUP(M132,'G-6 Hedgerow Data'!$B$2:$AG$15,2,FALSE))</f>
        <v/>
      </c>
      <c r="R132" s="276" t="str">
        <f>IF(M132="","",VLOOKUP(M132,'G-6 Hedgerow Data'!$B$2:$AG$15,3,FALSE))</f>
        <v/>
      </c>
      <c r="S132" s="101"/>
      <c r="T132" s="276" t="str">
        <f>IFERROR(IF(S132="","",IF(AND(M132="Non-native and ornamental hedgerow",S132&lt;&gt;"Poor"),"Not possible ▲",(IF(AND(Q132="V.Low",OR(S132="Good",S132="Moderate")),"Error ▲",VLOOKUP(S132,'G-1 All Habitats'!$Z$2:$AA$9,2,FALSE))))),"")</f>
        <v/>
      </c>
      <c r="U132" s="101"/>
      <c r="V132" s="283" t="str">
        <f>IF(U132="","",IF(VLOOKUP(U132,'G-3 Multipliers'!$L$3:$N$6,2,FALSE)=0,"Spatial Data Missing ⚠",VLOOKUP(U132,'G-3 Multipliers'!$L$3:$N$6,2,FALSE)))</f>
        <v/>
      </c>
      <c r="W132" s="281" t="str">
        <f>IF(U132="","",IF(VLOOKUP(U132,'G-3 Multipliers'!$L$3:$N$6,3,FALSE)=0,"Spatial Data Missing ⚠",VLOOKUP(U132,'G-3 Multipliers'!$L$3:$N$6,3,FALSE)))</f>
        <v/>
      </c>
      <c r="X132" s="275" t="str">
        <f>IFERROR(IF(OR(LEFT(O132,5)="Error",LEFT(N132,5)="Error",T132="Error"),"Check Data ⚠",IF(F132&lt;R132,INDEX('G-6 Hedgerow Data'!$S$3:$AE$14,MATCH(C132,'G-6 Hedgerow Data'!$B$3:$B$14,0),MATCH(M132,'G-6 Hedgerow Data'!$S$2:$AE$2,0)),INDEX('G-6 Hedgerow Data'!$K$3:$Q$14,MATCH(M132,'G-6 Hedgerow Data'!$B$3:$B$14,0),MATCH(O132,'G-6 Hedgerow Data'!$K$2:$Q$2,0)))),"")</f>
        <v/>
      </c>
      <c r="Y132" s="133"/>
      <c r="Z132" s="133"/>
      <c r="AA132" s="283" t="str">
        <f t="shared" si="10"/>
        <v/>
      </c>
      <c r="AB132" s="296" t="str">
        <f t="shared" si="11"/>
        <v/>
      </c>
      <c r="AC132" s="297" t="str">
        <f t="shared" si="8"/>
        <v/>
      </c>
      <c r="AD132" s="311" t="str">
        <f>IF(M132="","",VLOOKUP(M132,'G-6 Hedgerow Data'!$B$3:$AG$15,31,FALSE))</f>
        <v/>
      </c>
      <c r="AE132" s="295" t="str">
        <f t="shared" si="12"/>
        <v/>
      </c>
      <c r="AF132" s="283" t="str">
        <f t="shared" si="13"/>
        <v/>
      </c>
      <c r="AG132" s="299" t="str">
        <f>IFERROR(IF(O132="","",VLOOKUP(AD132,'G-3 Multipliers'!$P$3:$Q$6,2,FALSE)),"")</f>
        <v/>
      </c>
      <c r="AH132" s="713" t="str">
        <f>IF(B132="","",IF(ISNA(VLOOKUP($B132,'E-1 Off-Site Hedge Baseline'!$B$1:$Z$257,14,FALSE)),"",(VLOOKUP($B132,'E-1 Off-Site Hedge Baseline'!$B$1:$Z$257,14,FALSE))))</f>
        <v/>
      </c>
      <c r="AI132" s="276" t="str">
        <f>IF(AH132="","",IF(VLOOKUP(AH132,'G-3 Multipliers'!$S$3:$T$10,2,FALSE)=0,"Spatial Data Missing ⚠",VLOOKUP(AH132,'G-3 Multipliers'!$S$3:$T$10,2,FALSE)))</f>
        <v/>
      </c>
      <c r="AJ132" s="317" t="str">
        <f t="shared" si="14"/>
        <v/>
      </c>
      <c r="AK132" s="289" t="str">
        <f t="shared" si="15"/>
        <v/>
      </c>
      <c r="AL132" s="101"/>
      <c r="AM132" s="115"/>
      <c r="AN132" s="104"/>
      <c r="AO132" s="104"/>
      <c r="AQ132" s="30" t="str">
        <f>IFERROR(INDEX('G-6 Hedgerow Data'!$BJ$3:$BJ$15,MATCH(M132,'G-6 Hedgerow Data'!$B$3:$B$15,0)),"")</f>
        <v/>
      </c>
    </row>
    <row r="133" spans="2:43" ht="14">
      <c r="B133" s="305" t="str">
        <f>'E-1 Off-Site Hedge Baseline'!AN131</f>
        <v/>
      </c>
      <c r="C133" s="295" t="str">
        <f>IF(B133="","",IF(ISNA(VLOOKUP($B133,'E-1 Off-Site Hedge Baseline'!$B$1:$L$257,3,FALSE)),"",(VLOOKUP($B133,'E-1 Off-Site Hedge Baseline'!$B$1:$L$257,3,FALSE))))</f>
        <v/>
      </c>
      <c r="D133" s="295" t="str">
        <f>IF(B133="","",IF(ISNA(VLOOKUP($B133,'E-1 Off-Site Hedge Baseline'!$B$1:$L$258,4,FALSE)),"",(VLOOKUP($B133,'E-1 Off-Site Hedge Baseline'!$B$1:$L$258,4,FALSE))))</f>
        <v/>
      </c>
      <c r="E133" s="295" t="str">
        <f>IF(B133="","",IF(ISNA(VLOOKUP($B133,'E-1 Off-Site Hedge Baseline'!$B$1:$L$257,5,FALSE)),"",(VLOOKUP($B133,'E-1 Off-Site Hedge Baseline'!$B$1:$L$257,5,FALSE))))</f>
        <v/>
      </c>
      <c r="F133" s="295" t="str">
        <f>IF(B133="","",IF(ISNA(VLOOKUP($B133,'E-1 Off-Site Hedge Baseline'!$B$1:$L$257,6,FALSE)),"",(VLOOKUP($B133,'E-1 Off-Site Hedge Baseline'!$B$1:$L$257,6,FALSE))))</f>
        <v/>
      </c>
      <c r="G133" s="295" t="str">
        <f>IF(B133="","",IF(ISNA(VLOOKUP($B133,'E-1 Off-Site Hedge Baseline'!$B$1:$L$257,7,FALSE)),"",(VLOOKUP($B133,'E-1 Off-Site Hedge Baseline'!$B$1:$L$257,7,FALSE))))</f>
        <v/>
      </c>
      <c r="H133" s="295" t="str">
        <f>IF(B133="","",IF(ISNA(VLOOKUP($B133,'E-1 Off-Site Hedge Baseline'!$B$1:$L$257,8,FALSE)),"",(VLOOKUP($B133,'E-1 Off-Site Hedge Baseline'!$B$1:$L$257,8,FALSE))))</f>
        <v/>
      </c>
      <c r="I133" s="295" t="str">
        <f>IF(B133="","",IF(ISNA(VLOOKUP($B133,'E-1 Off-Site Hedge Baseline'!$B$1:$L$257,10,FALSE)),"",(VLOOKUP($B133,'E-1 Off-Site Hedge Baseline'!$B$1:$L$257,10,FALSE))))</f>
        <v/>
      </c>
      <c r="J133" s="295" t="str">
        <f>IF(B133="","",IF(ISNA(VLOOKUP($B133,'E-1 Off-Site Hedge Baseline'!$B$1:$L$257,11,FALSE)),"",(VLOOKUP($B133,'E-1 Off-Site Hedge Baseline'!$B$1:$L$257,11,FALSE))))</f>
        <v/>
      </c>
      <c r="K133" s="295" t="str">
        <f>IF(B133="","",IF(ISNA(VLOOKUP($B133,'E-1 Off-Site Hedge Baseline'!$B$1:$X$257,16,FALSE)),"",(VLOOKUP($B133,'E-1 Off-Site Hedge Baseline'!$B$1:$X$257,16,FALSE))))</f>
        <v/>
      </c>
      <c r="L133" s="283" t="str">
        <f>IF(B133="","",IF(ISNA(VLOOKUP($B133,'E-1 Off-Site Hedge Baseline'!$B$1:$X$257,12,FALSE)),"",(VLOOKUP($B133,'E-1 Off-Site Hedge Baseline'!$B$1:$X$257,12,FALSE))))</f>
        <v/>
      </c>
      <c r="M133" s="244"/>
      <c r="N133" s="275" t="str">
        <f>IFERROR(IF(B133="","",INDEX('G-6 Hedgerow Data'!$AN$3:$AZ$15,MATCH(C133,'G-6 Hedgerow Data'!$AM$3:$AM$15,0),MATCH(M133,'G-6 Hedgerow Data'!$AN$2:$AZ$2,0))),"")</f>
        <v/>
      </c>
      <c r="O133" s="276" t="str">
        <f t="shared" si="9"/>
        <v/>
      </c>
      <c r="P133" s="281" t="str">
        <f>IF(B133="","",VLOOKUP(B133,'E-1 Off-Site Hedge Baseline'!$B$10:W378,19,FALSE))</f>
        <v/>
      </c>
      <c r="Q133" s="275" t="str">
        <f>IF(M133="","",VLOOKUP(M133,'G-6 Hedgerow Data'!$B$2:$AG$15,2,FALSE))</f>
        <v/>
      </c>
      <c r="R133" s="276" t="str">
        <f>IF(M133="","",VLOOKUP(M133,'G-6 Hedgerow Data'!$B$2:$AG$15,3,FALSE))</f>
        <v/>
      </c>
      <c r="S133" s="101"/>
      <c r="T133" s="276" t="str">
        <f>IFERROR(IF(S133="","",IF(AND(M133="Non-native and ornamental hedgerow",S133&lt;&gt;"Poor"),"Not possible ▲",(IF(AND(Q133="V.Low",OR(S133="Good",S133="Moderate")),"Error ▲",VLOOKUP(S133,'G-1 All Habitats'!$Z$2:$AA$9,2,FALSE))))),"")</f>
        <v/>
      </c>
      <c r="U133" s="101"/>
      <c r="V133" s="283" t="str">
        <f>IF(U133="","",IF(VLOOKUP(U133,'G-3 Multipliers'!$L$3:$N$6,2,FALSE)=0,"Spatial Data Missing ⚠",VLOOKUP(U133,'G-3 Multipliers'!$L$3:$N$6,2,FALSE)))</f>
        <v/>
      </c>
      <c r="W133" s="281" t="str">
        <f>IF(U133="","",IF(VLOOKUP(U133,'G-3 Multipliers'!$L$3:$N$6,3,FALSE)=0,"Spatial Data Missing ⚠",VLOOKUP(U133,'G-3 Multipliers'!$L$3:$N$6,3,FALSE)))</f>
        <v/>
      </c>
      <c r="X133" s="275" t="str">
        <f>IFERROR(IF(OR(LEFT(O133,5)="Error",LEFT(N133,5)="Error",T133="Error"),"Check Data ⚠",IF(F133&lt;R133,INDEX('G-6 Hedgerow Data'!$S$3:$AE$14,MATCH(C133,'G-6 Hedgerow Data'!$B$3:$B$14,0),MATCH(M133,'G-6 Hedgerow Data'!$S$2:$AE$2,0)),INDEX('G-6 Hedgerow Data'!$K$3:$Q$14,MATCH(M133,'G-6 Hedgerow Data'!$B$3:$B$14,0),MATCH(O133,'G-6 Hedgerow Data'!$K$2:$Q$2,0)))),"")</f>
        <v/>
      </c>
      <c r="Y133" s="133"/>
      <c r="Z133" s="133"/>
      <c r="AA133" s="283" t="str">
        <f t="shared" si="10"/>
        <v/>
      </c>
      <c r="AB133" s="296" t="str">
        <f t="shared" si="11"/>
        <v/>
      </c>
      <c r="AC133" s="297" t="str">
        <f t="shared" si="8"/>
        <v/>
      </c>
      <c r="AD133" s="311" t="str">
        <f>IF(M133="","",VLOOKUP(M133,'G-6 Hedgerow Data'!$B$3:$AG$15,31,FALSE))</f>
        <v/>
      </c>
      <c r="AE133" s="295" t="str">
        <f t="shared" si="12"/>
        <v/>
      </c>
      <c r="AF133" s="283" t="str">
        <f t="shared" si="13"/>
        <v/>
      </c>
      <c r="AG133" s="299" t="str">
        <f>IFERROR(IF(O133="","",VLOOKUP(AD133,'G-3 Multipliers'!$P$3:$Q$6,2,FALSE)),"")</f>
        <v/>
      </c>
      <c r="AH133" s="713" t="str">
        <f>IF(B133="","",IF(ISNA(VLOOKUP($B133,'E-1 Off-Site Hedge Baseline'!$B$1:$Z$257,14,FALSE)),"",(VLOOKUP($B133,'E-1 Off-Site Hedge Baseline'!$B$1:$Z$257,14,FALSE))))</f>
        <v/>
      </c>
      <c r="AI133" s="276" t="str">
        <f>IF(AH133="","",IF(VLOOKUP(AH133,'G-3 Multipliers'!$S$3:$T$10,2,FALSE)=0,"Spatial Data Missing ⚠",VLOOKUP(AH133,'G-3 Multipliers'!$S$3:$T$10,2,FALSE)))</f>
        <v/>
      </c>
      <c r="AJ133" s="317" t="str">
        <f t="shared" si="14"/>
        <v/>
      </c>
      <c r="AK133" s="289" t="str">
        <f t="shared" si="15"/>
        <v/>
      </c>
      <c r="AL133" s="101"/>
      <c r="AM133" s="115"/>
      <c r="AN133" s="104"/>
      <c r="AO133" s="104"/>
      <c r="AQ133" s="30" t="str">
        <f>IFERROR(INDEX('G-6 Hedgerow Data'!$BJ$3:$BJ$15,MATCH(M133,'G-6 Hedgerow Data'!$B$3:$B$15,0)),"")</f>
        <v/>
      </c>
    </row>
    <row r="134" spans="2:43" ht="14">
      <c r="B134" s="305" t="str">
        <f>'E-1 Off-Site Hedge Baseline'!AN132</f>
        <v/>
      </c>
      <c r="C134" s="295" t="str">
        <f>IF(B134="","",IF(ISNA(VLOOKUP($B134,'E-1 Off-Site Hedge Baseline'!$B$1:$L$257,3,FALSE)),"",(VLOOKUP($B134,'E-1 Off-Site Hedge Baseline'!$B$1:$L$257,3,FALSE))))</f>
        <v/>
      </c>
      <c r="D134" s="295" t="str">
        <f>IF(B134="","",IF(ISNA(VLOOKUP($B134,'E-1 Off-Site Hedge Baseline'!$B$1:$L$258,4,FALSE)),"",(VLOOKUP($B134,'E-1 Off-Site Hedge Baseline'!$B$1:$L$258,4,FALSE))))</f>
        <v/>
      </c>
      <c r="E134" s="295" t="str">
        <f>IF(B134="","",IF(ISNA(VLOOKUP($B134,'E-1 Off-Site Hedge Baseline'!$B$1:$L$257,5,FALSE)),"",(VLOOKUP($B134,'E-1 Off-Site Hedge Baseline'!$B$1:$L$257,5,FALSE))))</f>
        <v/>
      </c>
      <c r="F134" s="295" t="str">
        <f>IF(B134="","",IF(ISNA(VLOOKUP($B134,'E-1 Off-Site Hedge Baseline'!$B$1:$L$257,6,FALSE)),"",(VLOOKUP($B134,'E-1 Off-Site Hedge Baseline'!$B$1:$L$257,6,FALSE))))</f>
        <v/>
      </c>
      <c r="G134" s="295" t="str">
        <f>IF(B134="","",IF(ISNA(VLOOKUP($B134,'E-1 Off-Site Hedge Baseline'!$B$1:$L$257,7,FALSE)),"",(VLOOKUP($B134,'E-1 Off-Site Hedge Baseline'!$B$1:$L$257,7,FALSE))))</f>
        <v/>
      </c>
      <c r="H134" s="295" t="str">
        <f>IF(B134="","",IF(ISNA(VLOOKUP($B134,'E-1 Off-Site Hedge Baseline'!$B$1:$L$257,8,FALSE)),"",(VLOOKUP($B134,'E-1 Off-Site Hedge Baseline'!$B$1:$L$257,8,FALSE))))</f>
        <v/>
      </c>
      <c r="I134" s="295" t="str">
        <f>IF(B134="","",IF(ISNA(VLOOKUP($B134,'E-1 Off-Site Hedge Baseline'!$B$1:$L$257,10,FALSE)),"",(VLOOKUP($B134,'E-1 Off-Site Hedge Baseline'!$B$1:$L$257,10,FALSE))))</f>
        <v/>
      </c>
      <c r="J134" s="295" t="str">
        <f>IF(B134="","",IF(ISNA(VLOOKUP($B134,'E-1 Off-Site Hedge Baseline'!$B$1:$L$257,11,FALSE)),"",(VLOOKUP($B134,'E-1 Off-Site Hedge Baseline'!$B$1:$L$257,11,FALSE))))</f>
        <v/>
      </c>
      <c r="K134" s="295" t="str">
        <f>IF(B134="","",IF(ISNA(VLOOKUP($B134,'E-1 Off-Site Hedge Baseline'!$B$1:$X$257,16,FALSE)),"",(VLOOKUP($B134,'E-1 Off-Site Hedge Baseline'!$B$1:$X$257,16,FALSE))))</f>
        <v/>
      </c>
      <c r="L134" s="283" t="str">
        <f>IF(B134="","",IF(ISNA(VLOOKUP($B134,'E-1 Off-Site Hedge Baseline'!$B$1:$X$257,12,FALSE)),"",(VLOOKUP($B134,'E-1 Off-Site Hedge Baseline'!$B$1:$X$257,12,FALSE))))</f>
        <v/>
      </c>
      <c r="M134" s="244"/>
      <c r="N134" s="275" t="str">
        <f>IFERROR(IF(B134="","",INDEX('G-6 Hedgerow Data'!$AN$3:$AZ$15,MATCH(C134,'G-6 Hedgerow Data'!$AM$3:$AM$15,0),MATCH(M134,'G-6 Hedgerow Data'!$AN$2:$AZ$2,0))),"")</f>
        <v/>
      </c>
      <c r="O134" s="276" t="str">
        <f t="shared" si="9"/>
        <v/>
      </c>
      <c r="P134" s="281" t="str">
        <f>IF(B134="","",VLOOKUP(B134,'E-1 Off-Site Hedge Baseline'!$B$10:W379,19,FALSE))</f>
        <v/>
      </c>
      <c r="Q134" s="275" t="str">
        <f>IF(M134="","",VLOOKUP(M134,'G-6 Hedgerow Data'!$B$2:$AG$15,2,FALSE))</f>
        <v/>
      </c>
      <c r="R134" s="276" t="str">
        <f>IF(M134="","",VLOOKUP(M134,'G-6 Hedgerow Data'!$B$2:$AG$15,3,FALSE))</f>
        <v/>
      </c>
      <c r="S134" s="101"/>
      <c r="T134" s="276" t="str">
        <f>IFERROR(IF(S134="","",IF(AND(M134="Non-native and ornamental hedgerow",S134&lt;&gt;"Poor"),"Not possible ▲",(IF(AND(Q134="V.Low",OR(S134="Good",S134="Moderate")),"Error ▲",VLOOKUP(S134,'G-1 All Habitats'!$Z$2:$AA$9,2,FALSE))))),"")</f>
        <v/>
      </c>
      <c r="U134" s="101"/>
      <c r="V134" s="283" t="str">
        <f>IF(U134="","",IF(VLOOKUP(U134,'G-3 Multipliers'!$L$3:$N$6,2,FALSE)=0,"Spatial Data Missing ⚠",VLOOKUP(U134,'G-3 Multipliers'!$L$3:$N$6,2,FALSE)))</f>
        <v/>
      </c>
      <c r="W134" s="281" t="str">
        <f>IF(U134="","",IF(VLOOKUP(U134,'G-3 Multipliers'!$L$3:$N$6,3,FALSE)=0,"Spatial Data Missing ⚠",VLOOKUP(U134,'G-3 Multipliers'!$L$3:$N$6,3,FALSE)))</f>
        <v/>
      </c>
      <c r="X134" s="275" t="str">
        <f>IFERROR(IF(OR(LEFT(O134,5)="Error",LEFT(N134,5)="Error",T134="Error"),"Check Data ⚠",IF(F134&lt;R134,INDEX('G-6 Hedgerow Data'!$S$3:$AE$14,MATCH(C134,'G-6 Hedgerow Data'!$B$3:$B$14,0),MATCH(M134,'G-6 Hedgerow Data'!$S$2:$AE$2,0)),INDEX('G-6 Hedgerow Data'!$K$3:$Q$14,MATCH(M134,'G-6 Hedgerow Data'!$B$3:$B$14,0),MATCH(O134,'G-6 Hedgerow Data'!$K$2:$Q$2,0)))),"")</f>
        <v/>
      </c>
      <c r="Y134" s="133"/>
      <c r="Z134" s="133"/>
      <c r="AA134" s="283" t="str">
        <f t="shared" si="10"/>
        <v/>
      </c>
      <c r="AB134" s="296" t="str">
        <f t="shared" si="11"/>
        <v/>
      </c>
      <c r="AC134" s="297" t="str">
        <f t="shared" si="8"/>
        <v/>
      </c>
      <c r="AD134" s="311" t="str">
        <f>IF(M134="","",VLOOKUP(M134,'G-6 Hedgerow Data'!$B$3:$AG$15,31,FALSE))</f>
        <v/>
      </c>
      <c r="AE134" s="295" t="str">
        <f t="shared" si="12"/>
        <v/>
      </c>
      <c r="AF134" s="283" t="str">
        <f t="shared" si="13"/>
        <v/>
      </c>
      <c r="AG134" s="299" t="str">
        <f>IFERROR(IF(O134="","",VLOOKUP(AD134,'G-3 Multipliers'!$P$3:$Q$6,2,FALSE)),"")</f>
        <v/>
      </c>
      <c r="AH134" s="713" t="str">
        <f>IF(B134="","",IF(ISNA(VLOOKUP($B134,'E-1 Off-Site Hedge Baseline'!$B$1:$Z$257,14,FALSE)),"",(VLOOKUP($B134,'E-1 Off-Site Hedge Baseline'!$B$1:$Z$257,14,FALSE))))</f>
        <v/>
      </c>
      <c r="AI134" s="276" t="str">
        <f>IF(AH134="","",IF(VLOOKUP(AH134,'G-3 Multipliers'!$S$3:$T$10,2,FALSE)=0,"Spatial Data Missing ⚠",VLOOKUP(AH134,'G-3 Multipliers'!$S$3:$T$10,2,FALSE)))</f>
        <v/>
      </c>
      <c r="AJ134" s="317" t="str">
        <f t="shared" si="14"/>
        <v/>
      </c>
      <c r="AK134" s="289" t="str">
        <f t="shared" si="15"/>
        <v/>
      </c>
      <c r="AL134" s="101"/>
      <c r="AM134" s="115"/>
      <c r="AN134" s="104"/>
      <c r="AO134" s="104"/>
      <c r="AQ134" s="30" t="str">
        <f>IFERROR(INDEX('G-6 Hedgerow Data'!$BJ$3:$BJ$15,MATCH(M134,'G-6 Hedgerow Data'!$B$3:$B$15,0)),"")</f>
        <v/>
      </c>
    </row>
    <row r="135" spans="2:43" ht="14">
      <c r="B135" s="305" t="str">
        <f>'E-1 Off-Site Hedge Baseline'!AN133</f>
        <v/>
      </c>
      <c r="C135" s="295" t="str">
        <f>IF(B135="","",IF(ISNA(VLOOKUP($B135,'E-1 Off-Site Hedge Baseline'!$B$1:$L$257,3,FALSE)),"",(VLOOKUP($B135,'E-1 Off-Site Hedge Baseline'!$B$1:$L$257,3,FALSE))))</f>
        <v/>
      </c>
      <c r="D135" s="295" t="str">
        <f>IF(B135="","",IF(ISNA(VLOOKUP($B135,'E-1 Off-Site Hedge Baseline'!$B$1:$L$258,4,FALSE)),"",(VLOOKUP($B135,'E-1 Off-Site Hedge Baseline'!$B$1:$L$258,4,FALSE))))</f>
        <v/>
      </c>
      <c r="E135" s="295" t="str">
        <f>IF(B135="","",IF(ISNA(VLOOKUP($B135,'E-1 Off-Site Hedge Baseline'!$B$1:$L$257,5,FALSE)),"",(VLOOKUP($B135,'E-1 Off-Site Hedge Baseline'!$B$1:$L$257,5,FALSE))))</f>
        <v/>
      </c>
      <c r="F135" s="295" t="str">
        <f>IF(B135="","",IF(ISNA(VLOOKUP($B135,'E-1 Off-Site Hedge Baseline'!$B$1:$L$257,6,FALSE)),"",(VLOOKUP($B135,'E-1 Off-Site Hedge Baseline'!$B$1:$L$257,6,FALSE))))</f>
        <v/>
      </c>
      <c r="G135" s="295" t="str">
        <f>IF(B135="","",IF(ISNA(VLOOKUP($B135,'E-1 Off-Site Hedge Baseline'!$B$1:$L$257,7,FALSE)),"",(VLOOKUP($B135,'E-1 Off-Site Hedge Baseline'!$B$1:$L$257,7,FALSE))))</f>
        <v/>
      </c>
      <c r="H135" s="295" t="str">
        <f>IF(B135="","",IF(ISNA(VLOOKUP($B135,'E-1 Off-Site Hedge Baseline'!$B$1:$L$257,8,FALSE)),"",(VLOOKUP($B135,'E-1 Off-Site Hedge Baseline'!$B$1:$L$257,8,FALSE))))</f>
        <v/>
      </c>
      <c r="I135" s="295" t="str">
        <f>IF(B135="","",IF(ISNA(VLOOKUP($B135,'E-1 Off-Site Hedge Baseline'!$B$1:$L$257,10,FALSE)),"",(VLOOKUP($B135,'E-1 Off-Site Hedge Baseline'!$B$1:$L$257,10,FALSE))))</f>
        <v/>
      </c>
      <c r="J135" s="295" t="str">
        <f>IF(B135="","",IF(ISNA(VLOOKUP($B135,'E-1 Off-Site Hedge Baseline'!$B$1:$L$257,11,FALSE)),"",(VLOOKUP($B135,'E-1 Off-Site Hedge Baseline'!$B$1:$L$257,11,FALSE))))</f>
        <v/>
      </c>
      <c r="K135" s="295" t="str">
        <f>IF(B135="","",IF(ISNA(VLOOKUP($B135,'E-1 Off-Site Hedge Baseline'!$B$1:$X$257,16,FALSE)),"",(VLOOKUP($B135,'E-1 Off-Site Hedge Baseline'!$B$1:$X$257,16,FALSE))))</f>
        <v/>
      </c>
      <c r="L135" s="283" t="str">
        <f>IF(B135="","",IF(ISNA(VLOOKUP($B135,'E-1 Off-Site Hedge Baseline'!$B$1:$X$257,12,FALSE)),"",(VLOOKUP($B135,'E-1 Off-Site Hedge Baseline'!$B$1:$X$257,12,FALSE))))</f>
        <v/>
      </c>
      <c r="M135" s="244"/>
      <c r="N135" s="275" t="str">
        <f>IFERROR(IF(B135="","",INDEX('G-6 Hedgerow Data'!$AN$3:$AZ$15,MATCH(C135,'G-6 Hedgerow Data'!$AM$3:$AM$15,0),MATCH(M135,'G-6 Hedgerow Data'!$AN$2:$AZ$2,0))),"")</f>
        <v/>
      </c>
      <c r="O135" s="276" t="str">
        <f t="shared" si="9"/>
        <v/>
      </c>
      <c r="P135" s="281" t="str">
        <f>IF(B135="","",VLOOKUP(B135,'E-1 Off-Site Hedge Baseline'!$B$10:W380,19,FALSE))</f>
        <v/>
      </c>
      <c r="Q135" s="275" t="str">
        <f>IF(M135="","",VLOOKUP(M135,'G-6 Hedgerow Data'!$B$2:$AG$15,2,FALSE))</f>
        <v/>
      </c>
      <c r="R135" s="276" t="str">
        <f>IF(M135="","",VLOOKUP(M135,'G-6 Hedgerow Data'!$B$2:$AG$15,3,FALSE))</f>
        <v/>
      </c>
      <c r="S135" s="101"/>
      <c r="T135" s="276" t="str">
        <f>IFERROR(IF(S135="","",IF(AND(M135="Non-native and ornamental hedgerow",S135&lt;&gt;"Poor"),"Not possible ▲",(IF(AND(Q135="V.Low",OR(S135="Good",S135="Moderate")),"Error ▲",VLOOKUP(S135,'G-1 All Habitats'!$Z$2:$AA$9,2,FALSE))))),"")</f>
        <v/>
      </c>
      <c r="U135" s="101"/>
      <c r="V135" s="283" t="str">
        <f>IF(U135="","",IF(VLOOKUP(U135,'G-3 Multipliers'!$L$3:$N$6,2,FALSE)=0,"Spatial Data Missing ⚠",VLOOKUP(U135,'G-3 Multipliers'!$L$3:$N$6,2,FALSE)))</f>
        <v/>
      </c>
      <c r="W135" s="281" t="str">
        <f>IF(U135="","",IF(VLOOKUP(U135,'G-3 Multipliers'!$L$3:$N$6,3,FALSE)=0,"Spatial Data Missing ⚠",VLOOKUP(U135,'G-3 Multipliers'!$L$3:$N$6,3,FALSE)))</f>
        <v/>
      </c>
      <c r="X135" s="275" t="str">
        <f>IFERROR(IF(OR(LEFT(O135,5)="Error",LEFT(N135,5)="Error",T135="Error"),"Check Data ⚠",IF(F135&lt;R135,INDEX('G-6 Hedgerow Data'!$S$3:$AE$14,MATCH(C135,'G-6 Hedgerow Data'!$B$3:$B$14,0),MATCH(M135,'G-6 Hedgerow Data'!$S$2:$AE$2,0)),INDEX('G-6 Hedgerow Data'!$K$3:$Q$14,MATCH(M135,'G-6 Hedgerow Data'!$B$3:$B$14,0),MATCH(O135,'G-6 Hedgerow Data'!$K$2:$Q$2,0)))),"")</f>
        <v/>
      </c>
      <c r="Y135" s="133"/>
      <c r="Z135" s="133"/>
      <c r="AA135" s="283" t="str">
        <f t="shared" si="10"/>
        <v/>
      </c>
      <c r="AB135" s="296" t="str">
        <f t="shared" si="11"/>
        <v/>
      </c>
      <c r="AC135" s="297" t="str">
        <f t="shared" si="8"/>
        <v/>
      </c>
      <c r="AD135" s="311" t="str">
        <f>IF(M135="","",VLOOKUP(M135,'G-6 Hedgerow Data'!$B$3:$AG$15,31,FALSE))</f>
        <v/>
      </c>
      <c r="AE135" s="295" t="str">
        <f t="shared" si="12"/>
        <v/>
      </c>
      <c r="AF135" s="283" t="str">
        <f t="shared" si="13"/>
        <v/>
      </c>
      <c r="AG135" s="299" t="str">
        <f>IFERROR(IF(O135="","",VLOOKUP(AD135,'G-3 Multipliers'!$P$3:$Q$6,2,FALSE)),"")</f>
        <v/>
      </c>
      <c r="AH135" s="713" t="str">
        <f>IF(B135="","",IF(ISNA(VLOOKUP($B135,'E-1 Off-Site Hedge Baseline'!$B$1:$Z$257,14,FALSE)),"",(VLOOKUP($B135,'E-1 Off-Site Hedge Baseline'!$B$1:$Z$257,14,FALSE))))</f>
        <v/>
      </c>
      <c r="AI135" s="276" t="str">
        <f>IF(AH135="","",IF(VLOOKUP(AH135,'G-3 Multipliers'!$S$3:$T$10,2,FALSE)=0,"Spatial Data Missing ⚠",VLOOKUP(AH135,'G-3 Multipliers'!$S$3:$T$10,2,FALSE)))</f>
        <v/>
      </c>
      <c r="AJ135" s="317" t="str">
        <f t="shared" si="14"/>
        <v/>
      </c>
      <c r="AK135" s="289" t="str">
        <f t="shared" si="15"/>
        <v/>
      </c>
      <c r="AL135" s="101"/>
      <c r="AM135" s="115"/>
      <c r="AN135" s="104"/>
      <c r="AO135" s="104"/>
      <c r="AQ135" s="30" t="str">
        <f>IFERROR(INDEX('G-6 Hedgerow Data'!$BJ$3:$BJ$15,MATCH(M135,'G-6 Hedgerow Data'!$B$3:$B$15,0)),"")</f>
        <v/>
      </c>
    </row>
    <row r="136" spans="2:43" ht="14">
      <c r="B136" s="305" t="str">
        <f>'E-1 Off-Site Hedge Baseline'!AN134</f>
        <v/>
      </c>
      <c r="C136" s="295" t="str">
        <f>IF(B136="","",IF(ISNA(VLOOKUP($B136,'E-1 Off-Site Hedge Baseline'!$B$1:$L$257,3,FALSE)),"",(VLOOKUP($B136,'E-1 Off-Site Hedge Baseline'!$B$1:$L$257,3,FALSE))))</f>
        <v/>
      </c>
      <c r="D136" s="295" t="str">
        <f>IF(B136="","",IF(ISNA(VLOOKUP($B136,'E-1 Off-Site Hedge Baseline'!$B$1:$L$258,4,FALSE)),"",(VLOOKUP($B136,'E-1 Off-Site Hedge Baseline'!$B$1:$L$258,4,FALSE))))</f>
        <v/>
      </c>
      <c r="E136" s="295" t="str">
        <f>IF(B136="","",IF(ISNA(VLOOKUP($B136,'E-1 Off-Site Hedge Baseline'!$B$1:$L$257,5,FALSE)),"",(VLOOKUP($B136,'E-1 Off-Site Hedge Baseline'!$B$1:$L$257,5,FALSE))))</f>
        <v/>
      </c>
      <c r="F136" s="295" t="str">
        <f>IF(B136="","",IF(ISNA(VLOOKUP($B136,'E-1 Off-Site Hedge Baseline'!$B$1:$L$257,6,FALSE)),"",(VLOOKUP($B136,'E-1 Off-Site Hedge Baseline'!$B$1:$L$257,6,FALSE))))</f>
        <v/>
      </c>
      <c r="G136" s="295" t="str">
        <f>IF(B136="","",IF(ISNA(VLOOKUP($B136,'E-1 Off-Site Hedge Baseline'!$B$1:$L$257,7,FALSE)),"",(VLOOKUP($B136,'E-1 Off-Site Hedge Baseline'!$B$1:$L$257,7,FALSE))))</f>
        <v/>
      </c>
      <c r="H136" s="295" t="str">
        <f>IF(B136="","",IF(ISNA(VLOOKUP($B136,'E-1 Off-Site Hedge Baseline'!$B$1:$L$257,8,FALSE)),"",(VLOOKUP($B136,'E-1 Off-Site Hedge Baseline'!$B$1:$L$257,8,FALSE))))</f>
        <v/>
      </c>
      <c r="I136" s="295" t="str">
        <f>IF(B136="","",IF(ISNA(VLOOKUP($B136,'E-1 Off-Site Hedge Baseline'!$B$1:$L$257,10,FALSE)),"",(VLOOKUP($B136,'E-1 Off-Site Hedge Baseline'!$B$1:$L$257,10,FALSE))))</f>
        <v/>
      </c>
      <c r="J136" s="295" t="str">
        <f>IF(B136="","",IF(ISNA(VLOOKUP($B136,'E-1 Off-Site Hedge Baseline'!$B$1:$L$257,11,FALSE)),"",(VLOOKUP($B136,'E-1 Off-Site Hedge Baseline'!$B$1:$L$257,11,FALSE))))</f>
        <v/>
      </c>
      <c r="K136" s="295" t="str">
        <f>IF(B136="","",IF(ISNA(VLOOKUP($B136,'E-1 Off-Site Hedge Baseline'!$B$1:$X$257,16,FALSE)),"",(VLOOKUP($B136,'E-1 Off-Site Hedge Baseline'!$B$1:$X$257,16,FALSE))))</f>
        <v/>
      </c>
      <c r="L136" s="283" t="str">
        <f>IF(B136="","",IF(ISNA(VLOOKUP($B136,'E-1 Off-Site Hedge Baseline'!$B$1:$X$257,12,FALSE)),"",(VLOOKUP($B136,'E-1 Off-Site Hedge Baseline'!$B$1:$X$257,12,FALSE))))</f>
        <v/>
      </c>
      <c r="M136" s="244"/>
      <c r="N136" s="275" t="str">
        <f>IFERROR(IF(B136="","",INDEX('G-6 Hedgerow Data'!$AN$3:$AZ$15,MATCH(C136,'G-6 Hedgerow Data'!$AM$3:$AM$15,0),MATCH(M136,'G-6 Hedgerow Data'!$AN$2:$AZ$2,0))),"")</f>
        <v/>
      </c>
      <c r="O136" s="276" t="str">
        <f t="shared" si="9"/>
        <v/>
      </c>
      <c r="P136" s="281" t="str">
        <f>IF(B136="","",VLOOKUP(B136,'E-1 Off-Site Hedge Baseline'!$B$10:W381,19,FALSE))</f>
        <v/>
      </c>
      <c r="Q136" s="275" t="str">
        <f>IF(M136="","",VLOOKUP(M136,'G-6 Hedgerow Data'!$B$2:$AG$15,2,FALSE))</f>
        <v/>
      </c>
      <c r="R136" s="276" t="str">
        <f>IF(M136="","",VLOOKUP(M136,'G-6 Hedgerow Data'!$B$2:$AG$15,3,FALSE))</f>
        <v/>
      </c>
      <c r="S136" s="101"/>
      <c r="T136" s="276" t="str">
        <f>IFERROR(IF(S136="","",IF(AND(M136="Non-native and ornamental hedgerow",S136&lt;&gt;"Poor"),"Not possible ▲",(IF(AND(Q136="V.Low",OR(S136="Good",S136="Moderate")),"Error ▲",VLOOKUP(S136,'G-1 All Habitats'!$Z$2:$AA$9,2,FALSE))))),"")</f>
        <v/>
      </c>
      <c r="U136" s="101"/>
      <c r="V136" s="283" t="str">
        <f>IF(U136="","",IF(VLOOKUP(U136,'G-3 Multipliers'!$L$3:$N$6,2,FALSE)=0,"Spatial Data Missing ⚠",VLOOKUP(U136,'G-3 Multipliers'!$L$3:$N$6,2,FALSE)))</f>
        <v/>
      </c>
      <c r="W136" s="281" t="str">
        <f>IF(U136="","",IF(VLOOKUP(U136,'G-3 Multipliers'!$L$3:$N$6,3,FALSE)=0,"Spatial Data Missing ⚠",VLOOKUP(U136,'G-3 Multipliers'!$L$3:$N$6,3,FALSE)))</f>
        <v/>
      </c>
      <c r="X136" s="275" t="str">
        <f>IFERROR(IF(OR(LEFT(O136,5)="Error",LEFT(N136,5)="Error",T136="Error"),"Check Data ⚠",IF(F136&lt;R136,INDEX('G-6 Hedgerow Data'!$S$3:$AE$14,MATCH(C136,'G-6 Hedgerow Data'!$B$3:$B$14,0),MATCH(M136,'G-6 Hedgerow Data'!$S$2:$AE$2,0)),INDEX('G-6 Hedgerow Data'!$K$3:$Q$14,MATCH(M136,'G-6 Hedgerow Data'!$B$3:$B$14,0),MATCH(O136,'G-6 Hedgerow Data'!$K$2:$Q$2,0)))),"")</f>
        <v/>
      </c>
      <c r="Y136" s="133"/>
      <c r="Z136" s="133"/>
      <c r="AA136" s="283" t="str">
        <f t="shared" si="10"/>
        <v/>
      </c>
      <c r="AB136" s="296" t="str">
        <f t="shared" si="11"/>
        <v/>
      </c>
      <c r="AC136" s="297" t="str">
        <f t="shared" si="8"/>
        <v/>
      </c>
      <c r="AD136" s="311" t="str">
        <f>IF(M136="","",VLOOKUP(M136,'G-6 Hedgerow Data'!$B$3:$AG$15,31,FALSE))</f>
        <v/>
      </c>
      <c r="AE136" s="295" t="str">
        <f t="shared" si="12"/>
        <v/>
      </c>
      <c r="AF136" s="283" t="str">
        <f t="shared" si="13"/>
        <v/>
      </c>
      <c r="AG136" s="299" t="str">
        <f>IFERROR(IF(O136="","",VLOOKUP(AD136,'G-3 Multipliers'!$P$3:$Q$6,2,FALSE)),"")</f>
        <v/>
      </c>
      <c r="AH136" s="713" t="str">
        <f>IF(B136="","",IF(ISNA(VLOOKUP($B136,'E-1 Off-Site Hedge Baseline'!$B$1:$Z$257,14,FALSE)),"",(VLOOKUP($B136,'E-1 Off-Site Hedge Baseline'!$B$1:$Z$257,14,FALSE))))</f>
        <v/>
      </c>
      <c r="AI136" s="276" t="str">
        <f>IF(AH136="","",IF(VLOOKUP(AH136,'G-3 Multipliers'!$S$3:$T$10,2,FALSE)=0,"Spatial Data Missing ⚠",VLOOKUP(AH136,'G-3 Multipliers'!$S$3:$T$10,2,FALSE)))</f>
        <v/>
      </c>
      <c r="AJ136" s="317" t="str">
        <f t="shared" si="14"/>
        <v/>
      </c>
      <c r="AK136" s="289" t="str">
        <f t="shared" si="15"/>
        <v/>
      </c>
      <c r="AL136" s="101"/>
      <c r="AM136" s="115"/>
      <c r="AN136" s="104"/>
      <c r="AO136" s="104"/>
      <c r="AQ136" s="30" t="str">
        <f>IFERROR(INDEX('G-6 Hedgerow Data'!$BJ$3:$BJ$15,MATCH(M136,'G-6 Hedgerow Data'!$B$3:$B$15,0)),"")</f>
        <v/>
      </c>
    </row>
    <row r="137" spans="2:43" ht="14">
      <c r="B137" s="305" t="str">
        <f>'E-1 Off-Site Hedge Baseline'!AN135</f>
        <v/>
      </c>
      <c r="C137" s="295" t="str">
        <f>IF(B137="","",IF(ISNA(VLOOKUP($B137,'E-1 Off-Site Hedge Baseline'!$B$1:$L$257,3,FALSE)),"",(VLOOKUP($B137,'E-1 Off-Site Hedge Baseline'!$B$1:$L$257,3,FALSE))))</f>
        <v/>
      </c>
      <c r="D137" s="295" t="str">
        <f>IF(B137="","",IF(ISNA(VLOOKUP($B137,'E-1 Off-Site Hedge Baseline'!$B$1:$L$258,4,FALSE)),"",(VLOOKUP($B137,'E-1 Off-Site Hedge Baseline'!$B$1:$L$258,4,FALSE))))</f>
        <v/>
      </c>
      <c r="E137" s="295" t="str">
        <f>IF(B137="","",IF(ISNA(VLOOKUP($B137,'E-1 Off-Site Hedge Baseline'!$B$1:$L$257,5,FALSE)),"",(VLOOKUP($B137,'E-1 Off-Site Hedge Baseline'!$B$1:$L$257,5,FALSE))))</f>
        <v/>
      </c>
      <c r="F137" s="295" t="str">
        <f>IF(B137="","",IF(ISNA(VLOOKUP($B137,'E-1 Off-Site Hedge Baseline'!$B$1:$L$257,6,FALSE)),"",(VLOOKUP($B137,'E-1 Off-Site Hedge Baseline'!$B$1:$L$257,6,FALSE))))</f>
        <v/>
      </c>
      <c r="G137" s="295" t="str">
        <f>IF(B137="","",IF(ISNA(VLOOKUP($B137,'E-1 Off-Site Hedge Baseline'!$B$1:$L$257,7,FALSE)),"",(VLOOKUP($B137,'E-1 Off-Site Hedge Baseline'!$B$1:$L$257,7,FALSE))))</f>
        <v/>
      </c>
      <c r="H137" s="295" t="str">
        <f>IF(B137="","",IF(ISNA(VLOOKUP($B137,'E-1 Off-Site Hedge Baseline'!$B$1:$L$257,8,FALSE)),"",(VLOOKUP($B137,'E-1 Off-Site Hedge Baseline'!$B$1:$L$257,8,FALSE))))</f>
        <v/>
      </c>
      <c r="I137" s="295" t="str">
        <f>IF(B137="","",IF(ISNA(VLOOKUP($B137,'E-1 Off-Site Hedge Baseline'!$B$1:$L$257,10,FALSE)),"",(VLOOKUP($B137,'E-1 Off-Site Hedge Baseline'!$B$1:$L$257,10,FALSE))))</f>
        <v/>
      </c>
      <c r="J137" s="295" t="str">
        <f>IF(B137="","",IF(ISNA(VLOOKUP($B137,'E-1 Off-Site Hedge Baseline'!$B$1:$L$257,11,FALSE)),"",(VLOOKUP($B137,'E-1 Off-Site Hedge Baseline'!$B$1:$L$257,11,FALSE))))</f>
        <v/>
      </c>
      <c r="K137" s="295" t="str">
        <f>IF(B137="","",IF(ISNA(VLOOKUP($B137,'E-1 Off-Site Hedge Baseline'!$B$1:$X$257,16,FALSE)),"",(VLOOKUP($B137,'E-1 Off-Site Hedge Baseline'!$B$1:$X$257,16,FALSE))))</f>
        <v/>
      </c>
      <c r="L137" s="283" t="str">
        <f>IF(B137="","",IF(ISNA(VLOOKUP($B137,'E-1 Off-Site Hedge Baseline'!$B$1:$X$257,12,FALSE)),"",(VLOOKUP($B137,'E-1 Off-Site Hedge Baseline'!$B$1:$X$257,12,FALSE))))</f>
        <v/>
      </c>
      <c r="M137" s="244"/>
      <c r="N137" s="275" t="str">
        <f>IFERROR(IF(B137="","",INDEX('G-6 Hedgerow Data'!$AN$3:$AZ$15,MATCH(C137,'G-6 Hedgerow Data'!$AM$3:$AM$15,0),MATCH(M137,'G-6 Hedgerow Data'!$AN$2:$AZ$2,0))),"")</f>
        <v/>
      </c>
      <c r="O137" s="276" t="str">
        <f t="shared" si="9"/>
        <v/>
      </c>
      <c r="P137" s="281" t="str">
        <f>IF(B137="","",VLOOKUP(B137,'E-1 Off-Site Hedge Baseline'!$B$10:W382,19,FALSE))</f>
        <v/>
      </c>
      <c r="Q137" s="275" t="str">
        <f>IF(M137="","",VLOOKUP(M137,'G-6 Hedgerow Data'!$B$2:$AG$15,2,FALSE))</f>
        <v/>
      </c>
      <c r="R137" s="276" t="str">
        <f>IF(M137="","",VLOOKUP(M137,'G-6 Hedgerow Data'!$B$2:$AG$15,3,FALSE))</f>
        <v/>
      </c>
      <c r="S137" s="101"/>
      <c r="T137" s="276" t="str">
        <f>IFERROR(IF(S137="","",IF(AND(M137="Non-native and ornamental hedgerow",S137&lt;&gt;"Poor"),"Not possible ▲",(IF(AND(Q137="V.Low",OR(S137="Good",S137="Moderate")),"Error ▲",VLOOKUP(S137,'G-1 All Habitats'!$Z$2:$AA$9,2,FALSE))))),"")</f>
        <v/>
      </c>
      <c r="U137" s="101"/>
      <c r="V137" s="283" t="str">
        <f>IF(U137="","",IF(VLOOKUP(U137,'G-3 Multipliers'!$L$3:$N$6,2,FALSE)=0,"Spatial Data Missing ⚠",VLOOKUP(U137,'G-3 Multipliers'!$L$3:$N$6,2,FALSE)))</f>
        <v/>
      </c>
      <c r="W137" s="281" t="str">
        <f>IF(U137="","",IF(VLOOKUP(U137,'G-3 Multipliers'!$L$3:$N$6,3,FALSE)=0,"Spatial Data Missing ⚠",VLOOKUP(U137,'G-3 Multipliers'!$L$3:$N$6,3,FALSE)))</f>
        <v/>
      </c>
      <c r="X137" s="275" t="str">
        <f>IFERROR(IF(OR(LEFT(O137,5)="Error",LEFT(N137,5)="Error",T137="Error"),"Check Data ⚠",IF(F137&lt;R137,INDEX('G-6 Hedgerow Data'!$S$3:$AE$14,MATCH(C137,'G-6 Hedgerow Data'!$B$3:$B$14,0),MATCH(M137,'G-6 Hedgerow Data'!$S$2:$AE$2,0)),INDEX('G-6 Hedgerow Data'!$K$3:$Q$14,MATCH(M137,'G-6 Hedgerow Data'!$B$3:$B$14,0),MATCH(O137,'G-6 Hedgerow Data'!$K$2:$Q$2,0)))),"")</f>
        <v/>
      </c>
      <c r="Y137" s="133"/>
      <c r="Z137" s="133"/>
      <c r="AA137" s="283" t="str">
        <f t="shared" si="10"/>
        <v/>
      </c>
      <c r="AB137" s="296" t="str">
        <f t="shared" si="11"/>
        <v/>
      </c>
      <c r="AC137" s="297" t="str">
        <f t="shared" si="8"/>
        <v/>
      </c>
      <c r="AD137" s="311" t="str">
        <f>IF(M137="","",VLOOKUP(M137,'G-6 Hedgerow Data'!$B$3:$AG$15,31,FALSE))</f>
        <v/>
      </c>
      <c r="AE137" s="295" t="str">
        <f t="shared" si="12"/>
        <v/>
      </c>
      <c r="AF137" s="283" t="str">
        <f t="shared" si="13"/>
        <v/>
      </c>
      <c r="AG137" s="299" t="str">
        <f>IFERROR(IF(O137="","",VLOOKUP(AD137,'G-3 Multipliers'!$P$3:$Q$6,2,FALSE)),"")</f>
        <v/>
      </c>
      <c r="AH137" s="713" t="str">
        <f>IF(B137="","",IF(ISNA(VLOOKUP($B137,'E-1 Off-Site Hedge Baseline'!$B$1:$Z$257,14,FALSE)),"",(VLOOKUP($B137,'E-1 Off-Site Hedge Baseline'!$B$1:$Z$257,14,FALSE))))</f>
        <v/>
      </c>
      <c r="AI137" s="276" t="str">
        <f>IF(AH137="","",IF(VLOOKUP(AH137,'G-3 Multipliers'!$S$3:$T$10,2,FALSE)=0,"Spatial Data Missing ⚠",VLOOKUP(AH137,'G-3 Multipliers'!$S$3:$T$10,2,FALSE)))</f>
        <v/>
      </c>
      <c r="AJ137" s="317" t="str">
        <f t="shared" si="14"/>
        <v/>
      </c>
      <c r="AK137" s="289" t="str">
        <f t="shared" si="15"/>
        <v/>
      </c>
      <c r="AL137" s="101"/>
      <c r="AM137" s="115"/>
      <c r="AN137" s="104"/>
      <c r="AO137" s="104"/>
      <c r="AQ137" s="30" t="str">
        <f>IFERROR(INDEX('G-6 Hedgerow Data'!$BJ$3:$BJ$15,MATCH(M137,'G-6 Hedgerow Data'!$B$3:$B$15,0)),"")</f>
        <v/>
      </c>
    </row>
    <row r="138" spans="2:43" ht="14">
      <c r="B138" s="305" t="str">
        <f>'E-1 Off-Site Hedge Baseline'!AN136</f>
        <v/>
      </c>
      <c r="C138" s="295" t="str">
        <f>IF(B138="","",IF(ISNA(VLOOKUP($B138,'E-1 Off-Site Hedge Baseline'!$B$1:$L$257,3,FALSE)),"",(VLOOKUP($B138,'E-1 Off-Site Hedge Baseline'!$B$1:$L$257,3,FALSE))))</f>
        <v/>
      </c>
      <c r="D138" s="295" t="str">
        <f>IF(B138="","",IF(ISNA(VLOOKUP($B138,'E-1 Off-Site Hedge Baseline'!$B$1:$L$258,4,FALSE)),"",(VLOOKUP($B138,'E-1 Off-Site Hedge Baseline'!$B$1:$L$258,4,FALSE))))</f>
        <v/>
      </c>
      <c r="E138" s="295" t="str">
        <f>IF(B138="","",IF(ISNA(VLOOKUP($B138,'E-1 Off-Site Hedge Baseline'!$B$1:$L$257,5,FALSE)),"",(VLOOKUP($B138,'E-1 Off-Site Hedge Baseline'!$B$1:$L$257,5,FALSE))))</f>
        <v/>
      </c>
      <c r="F138" s="295" t="str">
        <f>IF(B138="","",IF(ISNA(VLOOKUP($B138,'E-1 Off-Site Hedge Baseline'!$B$1:$L$257,6,FALSE)),"",(VLOOKUP($B138,'E-1 Off-Site Hedge Baseline'!$B$1:$L$257,6,FALSE))))</f>
        <v/>
      </c>
      <c r="G138" s="295" t="str">
        <f>IF(B138="","",IF(ISNA(VLOOKUP($B138,'E-1 Off-Site Hedge Baseline'!$B$1:$L$257,7,FALSE)),"",(VLOOKUP($B138,'E-1 Off-Site Hedge Baseline'!$B$1:$L$257,7,FALSE))))</f>
        <v/>
      </c>
      <c r="H138" s="295" t="str">
        <f>IF(B138="","",IF(ISNA(VLOOKUP($B138,'E-1 Off-Site Hedge Baseline'!$B$1:$L$257,8,FALSE)),"",(VLOOKUP($B138,'E-1 Off-Site Hedge Baseline'!$B$1:$L$257,8,FALSE))))</f>
        <v/>
      </c>
      <c r="I138" s="295" t="str">
        <f>IF(B138="","",IF(ISNA(VLOOKUP($B138,'E-1 Off-Site Hedge Baseline'!$B$1:$L$257,10,FALSE)),"",(VLOOKUP($B138,'E-1 Off-Site Hedge Baseline'!$B$1:$L$257,10,FALSE))))</f>
        <v/>
      </c>
      <c r="J138" s="295" t="str">
        <f>IF(B138="","",IF(ISNA(VLOOKUP($B138,'E-1 Off-Site Hedge Baseline'!$B$1:$L$257,11,FALSE)),"",(VLOOKUP($B138,'E-1 Off-Site Hedge Baseline'!$B$1:$L$257,11,FALSE))))</f>
        <v/>
      </c>
      <c r="K138" s="295" t="str">
        <f>IF(B138="","",IF(ISNA(VLOOKUP($B138,'E-1 Off-Site Hedge Baseline'!$B$1:$X$257,16,FALSE)),"",(VLOOKUP($B138,'E-1 Off-Site Hedge Baseline'!$B$1:$X$257,16,FALSE))))</f>
        <v/>
      </c>
      <c r="L138" s="283" t="str">
        <f>IF(B138="","",IF(ISNA(VLOOKUP($B138,'E-1 Off-Site Hedge Baseline'!$B$1:$X$257,12,FALSE)),"",(VLOOKUP($B138,'E-1 Off-Site Hedge Baseline'!$B$1:$X$257,12,FALSE))))</f>
        <v/>
      </c>
      <c r="M138" s="244"/>
      <c r="N138" s="275" t="str">
        <f>IFERROR(IF(B138="","",INDEX('G-6 Hedgerow Data'!$AN$3:$AZ$15,MATCH(C138,'G-6 Hedgerow Data'!$AM$3:$AM$15,0),MATCH(M138,'G-6 Hedgerow Data'!$AN$2:$AZ$2,0))),"")</f>
        <v/>
      </c>
      <c r="O138" s="276" t="str">
        <f t="shared" si="9"/>
        <v/>
      </c>
      <c r="P138" s="281" t="str">
        <f>IF(B138="","",VLOOKUP(B138,'E-1 Off-Site Hedge Baseline'!$B$10:W383,19,FALSE))</f>
        <v/>
      </c>
      <c r="Q138" s="275" t="str">
        <f>IF(M138="","",VLOOKUP(M138,'G-6 Hedgerow Data'!$B$2:$AG$15,2,FALSE))</f>
        <v/>
      </c>
      <c r="R138" s="276" t="str">
        <f>IF(M138="","",VLOOKUP(M138,'G-6 Hedgerow Data'!$B$2:$AG$15,3,FALSE))</f>
        <v/>
      </c>
      <c r="S138" s="101"/>
      <c r="T138" s="276" t="str">
        <f>IFERROR(IF(S138="","",IF(AND(M138="Non-native and ornamental hedgerow",S138&lt;&gt;"Poor"),"Not possible ▲",(IF(AND(Q138="V.Low",OR(S138="Good",S138="Moderate")),"Error ▲",VLOOKUP(S138,'G-1 All Habitats'!$Z$2:$AA$9,2,FALSE))))),"")</f>
        <v/>
      </c>
      <c r="U138" s="101"/>
      <c r="V138" s="283" t="str">
        <f>IF(U138="","",IF(VLOOKUP(U138,'G-3 Multipliers'!$L$3:$N$6,2,FALSE)=0,"Spatial Data Missing ⚠",VLOOKUP(U138,'G-3 Multipliers'!$L$3:$N$6,2,FALSE)))</f>
        <v/>
      </c>
      <c r="W138" s="281" t="str">
        <f>IF(U138="","",IF(VLOOKUP(U138,'G-3 Multipliers'!$L$3:$N$6,3,FALSE)=0,"Spatial Data Missing ⚠",VLOOKUP(U138,'G-3 Multipliers'!$L$3:$N$6,3,FALSE)))</f>
        <v/>
      </c>
      <c r="X138" s="275" t="str">
        <f>IFERROR(IF(OR(LEFT(O138,5)="Error",LEFT(N138,5)="Error",T138="Error"),"Check Data ⚠",IF(F138&lt;R138,INDEX('G-6 Hedgerow Data'!$S$3:$AE$14,MATCH(C138,'G-6 Hedgerow Data'!$B$3:$B$14,0),MATCH(M138,'G-6 Hedgerow Data'!$S$2:$AE$2,0)),INDEX('G-6 Hedgerow Data'!$K$3:$Q$14,MATCH(M138,'G-6 Hedgerow Data'!$B$3:$B$14,0),MATCH(O138,'G-6 Hedgerow Data'!$K$2:$Q$2,0)))),"")</f>
        <v/>
      </c>
      <c r="Y138" s="133"/>
      <c r="Z138" s="133"/>
      <c r="AA138" s="283" t="str">
        <f t="shared" si="10"/>
        <v/>
      </c>
      <c r="AB138" s="296" t="str">
        <f t="shared" si="11"/>
        <v/>
      </c>
      <c r="AC138" s="297" t="str">
        <f t="shared" si="8"/>
        <v/>
      </c>
      <c r="AD138" s="311" t="str">
        <f>IF(M138="","",VLOOKUP(M138,'G-6 Hedgerow Data'!$B$3:$AG$15,31,FALSE))</f>
        <v/>
      </c>
      <c r="AE138" s="295" t="str">
        <f t="shared" si="12"/>
        <v/>
      </c>
      <c r="AF138" s="283" t="str">
        <f t="shared" si="13"/>
        <v/>
      </c>
      <c r="AG138" s="299" t="str">
        <f>IFERROR(IF(O138="","",VLOOKUP(AD138,'G-3 Multipliers'!$P$3:$Q$6,2,FALSE)),"")</f>
        <v/>
      </c>
      <c r="AH138" s="713" t="str">
        <f>IF(B138="","",IF(ISNA(VLOOKUP($B138,'E-1 Off-Site Hedge Baseline'!$B$1:$Z$257,14,FALSE)),"",(VLOOKUP($B138,'E-1 Off-Site Hedge Baseline'!$B$1:$Z$257,14,FALSE))))</f>
        <v/>
      </c>
      <c r="AI138" s="276" t="str">
        <f>IF(AH138="","",IF(VLOOKUP(AH138,'G-3 Multipliers'!$S$3:$T$10,2,FALSE)=0,"Spatial Data Missing ⚠",VLOOKUP(AH138,'G-3 Multipliers'!$S$3:$T$10,2,FALSE)))</f>
        <v/>
      </c>
      <c r="AJ138" s="317" t="str">
        <f t="shared" si="14"/>
        <v/>
      </c>
      <c r="AK138" s="289" t="str">
        <f t="shared" si="15"/>
        <v/>
      </c>
      <c r="AL138" s="101"/>
      <c r="AM138" s="115"/>
      <c r="AN138" s="104"/>
      <c r="AO138" s="104"/>
      <c r="AQ138" s="30" t="str">
        <f>IFERROR(INDEX('G-6 Hedgerow Data'!$BJ$3:$BJ$15,MATCH(M138,'G-6 Hedgerow Data'!$B$3:$B$15,0)),"")</f>
        <v/>
      </c>
    </row>
    <row r="139" spans="2:43" ht="14">
      <c r="B139" s="305" t="str">
        <f>'E-1 Off-Site Hedge Baseline'!AN137</f>
        <v/>
      </c>
      <c r="C139" s="295" t="str">
        <f>IF(B139="","",IF(ISNA(VLOOKUP($B139,'E-1 Off-Site Hedge Baseline'!$B$1:$L$257,3,FALSE)),"",(VLOOKUP($B139,'E-1 Off-Site Hedge Baseline'!$B$1:$L$257,3,FALSE))))</f>
        <v/>
      </c>
      <c r="D139" s="295" t="str">
        <f>IF(B139="","",IF(ISNA(VLOOKUP($B139,'E-1 Off-Site Hedge Baseline'!$B$1:$L$258,4,FALSE)),"",(VLOOKUP($B139,'E-1 Off-Site Hedge Baseline'!$B$1:$L$258,4,FALSE))))</f>
        <v/>
      </c>
      <c r="E139" s="295" t="str">
        <f>IF(B139="","",IF(ISNA(VLOOKUP($B139,'E-1 Off-Site Hedge Baseline'!$B$1:$L$257,5,FALSE)),"",(VLOOKUP($B139,'E-1 Off-Site Hedge Baseline'!$B$1:$L$257,5,FALSE))))</f>
        <v/>
      </c>
      <c r="F139" s="295" t="str">
        <f>IF(B139="","",IF(ISNA(VLOOKUP($B139,'E-1 Off-Site Hedge Baseline'!$B$1:$L$257,6,FALSE)),"",(VLOOKUP($B139,'E-1 Off-Site Hedge Baseline'!$B$1:$L$257,6,FALSE))))</f>
        <v/>
      </c>
      <c r="G139" s="295" t="str">
        <f>IF(B139="","",IF(ISNA(VLOOKUP($B139,'E-1 Off-Site Hedge Baseline'!$B$1:$L$257,7,FALSE)),"",(VLOOKUP($B139,'E-1 Off-Site Hedge Baseline'!$B$1:$L$257,7,FALSE))))</f>
        <v/>
      </c>
      <c r="H139" s="295" t="str">
        <f>IF(B139="","",IF(ISNA(VLOOKUP($B139,'E-1 Off-Site Hedge Baseline'!$B$1:$L$257,8,FALSE)),"",(VLOOKUP($B139,'E-1 Off-Site Hedge Baseline'!$B$1:$L$257,8,FALSE))))</f>
        <v/>
      </c>
      <c r="I139" s="295" t="str">
        <f>IF(B139="","",IF(ISNA(VLOOKUP($B139,'E-1 Off-Site Hedge Baseline'!$B$1:$L$257,10,FALSE)),"",(VLOOKUP($B139,'E-1 Off-Site Hedge Baseline'!$B$1:$L$257,10,FALSE))))</f>
        <v/>
      </c>
      <c r="J139" s="295" t="str">
        <f>IF(B139="","",IF(ISNA(VLOOKUP($B139,'E-1 Off-Site Hedge Baseline'!$B$1:$L$257,11,FALSE)),"",(VLOOKUP($B139,'E-1 Off-Site Hedge Baseline'!$B$1:$L$257,11,FALSE))))</f>
        <v/>
      </c>
      <c r="K139" s="295" t="str">
        <f>IF(B139="","",IF(ISNA(VLOOKUP($B139,'E-1 Off-Site Hedge Baseline'!$B$1:$X$257,16,FALSE)),"",(VLOOKUP($B139,'E-1 Off-Site Hedge Baseline'!$B$1:$X$257,16,FALSE))))</f>
        <v/>
      </c>
      <c r="L139" s="283" t="str">
        <f>IF(B139="","",IF(ISNA(VLOOKUP($B139,'E-1 Off-Site Hedge Baseline'!$B$1:$X$257,12,FALSE)),"",(VLOOKUP($B139,'E-1 Off-Site Hedge Baseline'!$B$1:$X$257,12,FALSE))))</f>
        <v/>
      </c>
      <c r="M139" s="244"/>
      <c r="N139" s="275" t="str">
        <f>IFERROR(IF(B139="","",INDEX('G-6 Hedgerow Data'!$AN$3:$AZ$15,MATCH(C139,'G-6 Hedgerow Data'!$AM$3:$AM$15,0),MATCH(M139,'G-6 Hedgerow Data'!$AN$2:$AZ$2,0))),"")</f>
        <v/>
      </c>
      <c r="O139" s="276" t="str">
        <f t="shared" si="9"/>
        <v/>
      </c>
      <c r="P139" s="281" t="str">
        <f>IF(B139="","",VLOOKUP(B139,'E-1 Off-Site Hedge Baseline'!$B$10:W384,19,FALSE))</f>
        <v/>
      </c>
      <c r="Q139" s="275" t="str">
        <f>IF(M139="","",VLOOKUP(M139,'G-6 Hedgerow Data'!$B$2:$AG$15,2,FALSE))</f>
        <v/>
      </c>
      <c r="R139" s="276" t="str">
        <f>IF(M139="","",VLOOKUP(M139,'G-6 Hedgerow Data'!$B$2:$AG$15,3,FALSE))</f>
        <v/>
      </c>
      <c r="S139" s="101"/>
      <c r="T139" s="276" t="str">
        <f>IFERROR(IF(S139="","",IF(AND(M139="Non-native and ornamental hedgerow",S139&lt;&gt;"Poor"),"Not possible ▲",(IF(AND(Q139="V.Low",OR(S139="Good",S139="Moderate")),"Error ▲",VLOOKUP(S139,'G-1 All Habitats'!$Z$2:$AA$9,2,FALSE))))),"")</f>
        <v/>
      </c>
      <c r="U139" s="101"/>
      <c r="V139" s="283" t="str">
        <f>IF(U139="","",IF(VLOOKUP(U139,'G-3 Multipliers'!$L$3:$N$6,2,FALSE)=0,"Spatial Data Missing ⚠",VLOOKUP(U139,'G-3 Multipliers'!$L$3:$N$6,2,FALSE)))</f>
        <v/>
      </c>
      <c r="W139" s="281" t="str">
        <f>IF(U139="","",IF(VLOOKUP(U139,'G-3 Multipliers'!$L$3:$N$6,3,FALSE)=0,"Spatial Data Missing ⚠",VLOOKUP(U139,'G-3 Multipliers'!$L$3:$N$6,3,FALSE)))</f>
        <v/>
      </c>
      <c r="X139" s="275" t="str">
        <f>IFERROR(IF(OR(LEFT(O139,5)="Error",LEFT(N139,5)="Error",T139="Error"),"Check Data ⚠",IF(F139&lt;R139,INDEX('G-6 Hedgerow Data'!$S$3:$AE$14,MATCH(C139,'G-6 Hedgerow Data'!$B$3:$B$14,0),MATCH(M139,'G-6 Hedgerow Data'!$S$2:$AE$2,0)),INDEX('G-6 Hedgerow Data'!$K$3:$Q$14,MATCH(M139,'G-6 Hedgerow Data'!$B$3:$B$14,0),MATCH(O139,'G-6 Hedgerow Data'!$K$2:$Q$2,0)))),"")</f>
        <v/>
      </c>
      <c r="Y139" s="133"/>
      <c r="Z139" s="133"/>
      <c r="AA139" s="283" t="str">
        <f t="shared" si="10"/>
        <v/>
      </c>
      <c r="AB139" s="296" t="str">
        <f t="shared" si="11"/>
        <v/>
      </c>
      <c r="AC139" s="297" t="str">
        <f t="shared" si="8"/>
        <v/>
      </c>
      <c r="AD139" s="311" t="str">
        <f>IF(M139="","",VLOOKUP(M139,'G-6 Hedgerow Data'!$B$3:$AG$15,31,FALSE))</f>
        <v/>
      </c>
      <c r="AE139" s="295" t="str">
        <f t="shared" si="12"/>
        <v/>
      </c>
      <c r="AF139" s="283" t="str">
        <f t="shared" si="13"/>
        <v/>
      </c>
      <c r="AG139" s="299" t="str">
        <f>IFERROR(IF(O139="","",VLOOKUP(AD139,'G-3 Multipliers'!$P$3:$Q$6,2,FALSE)),"")</f>
        <v/>
      </c>
      <c r="AH139" s="713" t="str">
        <f>IF(B139="","",IF(ISNA(VLOOKUP($B139,'E-1 Off-Site Hedge Baseline'!$B$1:$Z$257,14,FALSE)),"",(VLOOKUP($B139,'E-1 Off-Site Hedge Baseline'!$B$1:$Z$257,14,FALSE))))</f>
        <v/>
      </c>
      <c r="AI139" s="276" t="str">
        <f>IF(AH139="","",IF(VLOOKUP(AH139,'G-3 Multipliers'!$S$3:$T$10,2,FALSE)=0,"Spatial Data Missing ⚠",VLOOKUP(AH139,'G-3 Multipliers'!$S$3:$T$10,2,FALSE)))</f>
        <v/>
      </c>
      <c r="AJ139" s="317" t="str">
        <f t="shared" si="14"/>
        <v/>
      </c>
      <c r="AK139" s="289" t="str">
        <f t="shared" si="15"/>
        <v/>
      </c>
      <c r="AL139" s="101"/>
      <c r="AM139" s="115"/>
      <c r="AN139" s="104"/>
      <c r="AO139" s="104"/>
      <c r="AQ139" s="30" t="str">
        <f>IFERROR(INDEX('G-6 Hedgerow Data'!$BJ$3:$BJ$15,MATCH(M139,'G-6 Hedgerow Data'!$B$3:$B$15,0)),"")</f>
        <v/>
      </c>
    </row>
    <row r="140" spans="2:43" ht="14">
      <c r="B140" s="305" t="str">
        <f>'E-1 Off-Site Hedge Baseline'!AN138</f>
        <v/>
      </c>
      <c r="C140" s="295" t="str">
        <f>IF(B140="","",IF(ISNA(VLOOKUP($B140,'E-1 Off-Site Hedge Baseline'!$B$1:$L$257,3,FALSE)),"",(VLOOKUP($B140,'E-1 Off-Site Hedge Baseline'!$B$1:$L$257,3,FALSE))))</f>
        <v/>
      </c>
      <c r="D140" s="295" t="str">
        <f>IF(B140="","",IF(ISNA(VLOOKUP($B140,'E-1 Off-Site Hedge Baseline'!$B$1:$L$258,4,FALSE)),"",(VLOOKUP($B140,'E-1 Off-Site Hedge Baseline'!$B$1:$L$258,4,FALSE))))</f>
        <v/>
      </c>
      <c r="E140" s="295" t="str">
        <f>IF(B140="","",IF(ISNA(VLOOKUP($B140,'E-1 Off-Site Hedge Baseline'!$B$1:$L$257,5,FALSE)),"",(VLOOKUP($B140,'E-1 Off-Site Hedge Baseline'!$B$1:$L$257,5,FALSE))))</f>
        <v/>
      </c>
      <c r="F140" s="295" t="str">
        <f>IF(B140="","",IF(ISNA(VLOOKUP($B140,'E-1 Off-Site Hedge Baseline'!$B$1:$L$257,6,FALSE)),"",(VLOOKUP($B140,'E-1 Off-Site Hedge Baseline'!$B$1:$L$257,6,FALSE))))</f>
        <v/>
      </c>
      <c r="G140" s="295" t="str">
        <f>IF(B140="","",IF(ISNA(VLOOKUP($B140,'E-1 Off-Site Hedge Baseline'!$B$1:$L$257,7,FALSE)),"",(VLOOKUP($B140,'E-1 Off-Site Hedge Baseline'!$B$1:$L$257,7,FALSE))))</f>
        <v/>
      </c>
      <c r="H140" s="295" t="str">
        <f>IF(B140="","",IF(ISNA(VLOOKUP($B140,'E-1 Off-Site Hedge Baseline'!$B$1:$L$257,8,FALSE)),"",(VLOOKUP($B140,'E-1 Off-Site Hedge Baseline'!$B$1:$L$257,8,FALSE))))</f>
        <v/>
      </c>
      <c r="I140" s="295" t="str">
        <f>IF(B140="","",IF(ISNA(VLOOKUP($B140,'E-1 Off-Site Hedge Baseline'!$B$1:$L$257,10,FALSE)),"",(VLOOKUP($B140,'E-1 Off-Site Hedge Baseline'!$B$1:$L$257,10,FALSE))))</f>
        <v/>
      </c>
      <c r="J140" s="295" t="str">
        <f>IF(B140="","",IF(ISNA(VLOOKUP($B140,'E-1 Off-Site Hedge Baseline'!$B$1:$L$257,11,FALSE)),"",(VLOOKUP($B140,'E-1 Off-Site Hedge Baseline'!$B$1:$L$257,11,FALSE))))</f>
        <v/>
      </c>
      <c r="K140" s="295" t="str">
        <f>IF(B140="","",IF(ISNA(VLOOKUP($B140,'E-1 Off-Site Hedge Baseline'!$B$1:$X$257,16,FALSE)),"",(VLOOKUP($B140,'E-1 Off-Site Hedge Baseline'!$B$1:$X$257,16,FALSE))))</f>
        <v/>
      </c>
      <c r="L140" s="283" t="str">
        <f>IF(B140="","",IF(ISNA(VLOOKUP($B140,'E-1 Off-Site Hedge Baseline'!$B$1:$X$257,12,FALSE)),"",(VLOOKUP($B140,'E-1 Off-Site Hedge Baseline'!$B$1:$X$257,12,FALSE))))</f>
        <v/>
      </c>
      <c r="M140" s="244"/>
      <c r="N140" s="275" t="str">
        <f>IFERROR(IF(B140="","",INDEX('G-6 Hedgerow Data'!$AN$3:$AZ$15,MATCH(C140,'G-6 Hedgerow Data'!$AM$3:$AM$15,0),MATCH(M140,'G-6 Hedgerow Data'!$AN$2:$AZ$2,0))),"")</f>
        <v/>
      </c>
      <c r="O140" s="276" t="str">
        <f t="shared" si="9"/>
        <v/>
      </c>
      <c r="P140" s="281" t="str">
        <f>IF(B140="","",VLOOKUP(B140,'E-1 Off-Site Hedge Baseline'!$B$10:W385,19,FALSE))</f>
        <v/>
      </c>
      <c r="Q140" s="275" t="str">
        <f>IF(M140="","",VLOOKUP(M140,'G-6 Hedgerow Data'!$B$2:$AG$15,2,FALSE))</f>
        <v/>
      </c>
      <c r="R140" s="276" t="str">
        <f>IF(M140="","",VLOOKUP(M140,'G-6 Hedgerow Data'!$B$2:$AG$15,3,FALSE))</f>
        <v/>
      </c>
      <c r="S140" s="101"/>
      <c r="T140" s="276" t="str">
        <f>IFERROR(IF(S140="","",IF(AND(M140="Non-native and ornamental hedgerow",S140&lt;&gt;"Poor"),"Not possible ▲",(IF(AND(Q140="V.Low",OR(S140="Good",S140="Moderate")),"Error ▲",VLOOKUP(S140,'G-1 All Habitats'!$Z$2:$AA$9,2,FALSE))))),"")</f>
        <v/>
      </c>
      <c r="U140" s="101"/>
      <c r="V140" s="283" t="str">
        <f>IF(U140="","",IF(VLOOKUP(U140,'G-3 Multipliers'!$L$3:$N$6,2,FALSE)=0,"Spatial Data Missing ⚠",VLOOKUP(U140,'G-3 Multipliers'!$L$3:$N$6,2,FALSE)))</f>
        <v/>
      </c>
      <c r="W140" s="281" t="str">
        <f>IF(U140="","",IF(VLOOKUP(U140,'G-3 Multipliers'!$L$3:$N$6,3,FALSE)=0,"Spatial Data Missing ⚠",VLOOKUP(U140,'G-3 Multipliers'!$L$3:$N$6,3,FALSE)))</f>
        <v/>
      </c>
      <c r="X140" s="275" t="str">
        <f>IFERROR(IF(OR(LEFT(O140,5)="Error",LEFT(N140,5)="Error",T140="Error"),"Check Data ⚠",IF(F140&lt;R140,INDEX('G-6 Hedgerow Data'!$S$3:$AE$14,MATCH(C140,'G-6 Hedgerow Data'!$B$3:$B$14,0),MATCH(M140,'G-6 Hedgerow Data'!$S$2:$AE$2,0)),INDEX('G-6 Hedgerow Data'!$K$3:$Q$14,MATCH(M140,'G-6 Hedgerow Data'!$B$3:$B$14,0),MATCH(O140,'G-6 Hedgerow Data'!$K$2:$Q$2,0)))),"")</f>
        <v/>
      </c>
      <c r="Y140" s="133"/>
      <c r="Z140" s="133"/>
      <c r="AA140" s="283" t="str">
        <f t="shared" si="10"/>
        <v/>
      </c>
      <c r="AB140" s="296" t="str">
        <f t="shared" si="11"/>
        <v/>
      </c>
      <c r="AC140" s="297" t="str">
        <f t="shared" si="16" ref="AC140:AC203">IF(OR(S140="",M140=""),"",IF(LEFT(AB140,5)="Error ▲","Check Data ⚠",IF(AB140="Check Data ⚠","Check Data ⚠",VLOOKUP(AB140,TemporalMultipliers,3,FALSE))))</f>
        <v/>
      </c>
      <c r="AD140" s="311" t="str">
        <f>IF(M140="","",VLOOKUP(M140,'G-6 Hedgerow Data'!$B$3:$AG$15,31,FALSE))</f>
        <v/>
      </c>
      <c r="AE140" s="295" t="str">
        <f t="shared" si="12"/>
        <v/>
      </c>
      <c r="AF140" s="283" t="str">
        <f t="shared" si="13"/>
        <v/>
      </c>
      <c r="AG140" s="299" t="str">
        <f>IFERROR(IF(O140="","",VLOOKUP(AD140,'G-3 Multipliers'!$P$3:$Q$6,2,FALSE)),"")</f>
        <v/>
      </c>
      <c r="AH140" s="713" t="str">
        <f>IF(B140="","",IF(ISNA(VLOOKUP($B140,'E-1 Off-Site Hedge Baseline'!$B$1:$Z$257,14,FALSE)),"",(VLOOKUP($B140,'E-1 Off-Site Hedge Baseline'!$B$1:$Z$257,14,FALSE))))</f>
        <v/>
      </c>
      <c r="AI140" s="276" t="str">
        <f>IF(AH140="","",IF(VLOOKUP(AH140,'G-3 Multipliers'!$S$3:$T$10,2,FALSE)=0,"Spatial Data Missing ⚠",VLOOKUP(AH140,'G-3 Multipliers'!$S$3:$T$10,2,FALSE)))</f>
        <v/>
      </c>
      <c r="AJ140" s="317" t="str">
        <f t="shared" si="14"/>
        <v/>
      </c>
      <c r="AK140" s="289" t="str">
        <f t="shared" si="15"/>
        <v/>
      </c>
      <c r="AL140" s="101"/>
      <c r="AM140" s="115"/>
      <c r="AN140" s="104"/>
      <c r="AO140" s="104"/>
      <c r="AQ140" s="30" t="str">
        <f>IFERROR(INDEX('G-6 Hedgerow Data'!$BJ$3:$BJ$15,MATCH(M140,'G-6 Hedgerow Data'!$B$3:$B$15,0)),"")</f>
        <v/>
      </c>
    </row>
    <row r="141" spans="2:43" ht="14">
      <c r="B141" s="305" t="str">
        <f>'E-1 Off-Site Hedge Baseline'!AN139</f>
        <v/>
      </c>
      <c r="C141" s="295" t="str">
        <f>IF(B141="","",IF(ISNA(VLOOKUP($B141,'E-1 Off-Site Hedge Baseline'!$B$1:$L$257,3,FALSE)),"",(VLOOKUP($B141,'E-1 Off-Site Hedge Baseline'!$B$1:$L$257,3,FALSE))))</f>
        <v/>
      </c>
      <c r="D141" s="295" t="str">
        <f>IF(B141="","",IF(ISNA(VLOOKUP($B141,'E-1 Off-Site Hedge Baseline'!$B$1:$L$258,4,FALSE)),"",(VLOOKUP($B141,'E-1 Off-Site Hedge Baseline'!$B$1:$L$258,4,FALSE))))</f>
        <v/>
      </c>
      <c r="E141" s="295" t="str">
        <f>IF(B141="","",IF(ISNA(VLOOKUP($B141,'E-1 Off-Site Hedge Baseline'!$B$1:$L$257,5,FALSE)),"",(VLOOKUP($B141,'E-1 Off-Site Hedge Baseline'!$B$1:$L$257,5,FALSE))))</f>
        <v/>
      </c>
      <c r="F141" s="295" t="str">
        <f>IF(B141="","",IF(ISNA(VLOOKUP($B141,'E-1 Off-Site Hedge Baseline'!$B$1:$L$257,6,FALSE)),"",(VLOOKUP($B141,'E-1 Off-Site Hedge Baseline'!$B$1:$L$257,6,FALSE))))</f>
        <v/>
      </c>
      <c r="G141" s="295" t="str">
        <f>IF(B141="","",IF(ISNA(VLOOKUP($B141,'E-1 Off-Site Hedge Baseline'!$B$1:$L$257,7,FALSE)),"",(VLOOKUP($B141,'E-1 Off-Site Hedge Baseline'!$B$1:$L$257,7,FALSE))))</f>
        <v/>
      </c>
      <c r="H141" s="295" t="str">
        <f>IF(B141="","",IF(ISNA(VLOOKUP($B141,'E-1 Off-Site Hedge Baseline'!$B$1:$L$257,8,FALSE)),"",(VLOOKUP($B141,'E-1 Off-Site Hedge Baseline'!$B$1:$L$257,8,FALSE))))</f>
        <v/>
      </c>
      <c r="I141" s="295" t="str">
        <f>IF(B141="","",IF(ISNA(VLOOKUP($B141,'E-1 Off-Site Hedge Baseline'!$B$1:$L$257,10,FALSE)),"",(VLOOKUP($B141,'E-1 Off-Site Hedge Baseline'!$B$1:$L$257,10,FALSE))))</f>
        <v/>
      </c>
      <c r="J141" s="295" t="str">
        <f>IF(B141="","",IF(ISNA(VLOOKUP($B141,'E-1 Off-Site Hedge Baseline'!$B$1:$L$257,11,FALSE)),"",(VLOOKUP($B141,'E-1 Off-Site Hedge Baseline'!$B$1:$L$257,11,FALSE))))</f>
        <v/>
      </c>
      <c r="K141" s="295" t="str">
        <f>IF(B141="","",IF(ISNA(VLOOKUP($B141,'E-1 Off-Site Hedge Baseline'!$B$1:$X$257,16,FALSE)),"",(VLOOKUP($B141,'E-1 Off-Site Hedge Baseline'!$B$1:$X$257,16,FALSE))))</f>
        <v/>
      </c>
      <c r="L141" s="283" t="str">
        <f>IF(B141="","",IF(ISNA(VLOOKUP($B141,'E-1 Off-Site Hedge Baseline'!$B$1:$X$257,12,FALSE)),"",(VLOOKUP($B141,'E-1 Off-Site Hedge Baseline'!$B$1:$X$257,12,FALSE))))</f>
        <v/>
      </c>
      <c r="M141" s="244"/>
      <c r="N141" s="275" t="str">
        <f>IFERROR(IF(B141="","",INDEX('G-6 Hedgerow Data'!$AN$3:$AZ$15,MATCH(C141,'G-6 Hedgerow Data'!$AM$3:$AM$15,0),MATCH(M141,'G-6 Hedgerow Data'!$AN$2:$AZ$2,0))),"")</f>
        <v/>
      </c>
      <c r="O141" s="276" t="str">
        <f t="shared" si="17" ref="O141:O204">IFERROR(IF(B141="","",IF(AND(LEFT(C141,55)&lt;&gt;LEFT(M141,55),N141="High - High"),"Error - Not like for like ▲",IF(H141&gt;T141,"Error - Can not reduce condition ▲",IF(AND(F141=R141,H141=T141),"Error - No enhancement ▲",IF(AND(C141&lt;&gt;M141,F141&lt;R141),"Lower Distinctiveness Habitat"&amp;" - "&amp;S141,G141&amp;" - "&amp;S141))))),"")</f>
        <v/>
      </c>
      <c r="P141" s="281" t="str">
        <f>IF(B141="","",VLOOKUP(B141,'E-1 Off-Site Hedge Baseline'!$B$10:W386,19,FALSE))</f>
        <v/>
      </c>
      <c r="Q141" s="275" t="str">
        <f>IF(M141="","",VLOOKUP(M141,'G-6 Hedgerow Data'!$B$2:$AG$15,2,FALSE))</f>
        <v/>
      </c>
      <c r="R141" s="276" t="str">
        <f>IF(M141="","",VLOOKUP(M141,'G-6 Hedgerow Data'!$B$2:$AG$15,3,FALSE))</f>
        <v/>
      </c>
      <c r="S141" s="101"/>
      <c r="T141" s="276" t="str">
        <f>IFERROR(IF(S141="","",IF(AND(M141="Non-native and ornamental hedgerow",S141&lt;&gt;"Poor"),"Not possible ▲",(IF(AND(Q141="V.Low",OR(S141="Good",S141="Moderate")),"Error ▲",VLOOKUP(S141,'G-1 All Habitats'!$Z$2:$AA$9,2,FALSE))))),"")</f>
        <v/>
      </c>
      <c r="U141" s="101"/>
      <c r="V141" s="283" t="str">
        <f>IF(U141="","",IF(VLOOKUP(U141,'G-3 Multipliers'!$L$3:$N$6,2,FALSE)=0,"Spatial Data Missing ⚠",VLOOKUP(U141,'G-3 Multipliers'!$L$3:$N$6,2,FALSE)))</f>
        <v/>
      </c>
      <c r="W141" s="281" t="str">
        <f>IF(U141="","",IF(VLOOKUP(U141,'G-3 Multipliers'!$L$3:$N$6,3,FALSE)=0,"Spatial Data Missing ⚠",VLOOKUP(U141,'G-3 Multipliers'!$L$3:$N$6,3,FALSE)))</f>
        <v/>
      </c>
      <c r="X141" s="275" t="str">
        <f>IFERROR(IF(OR(LEFT(O141,5)="Error",LEFT(N141,5)="Error",T141="Error"),"Check Data ⚠",IF(F141&lt;R141,INDEX('G-6 Hedgerow Data'!$S$3:$AE$14,MATCH(C141,'G-6 Hedgerow Data'!$B$3:$B$14,0),MATCH(M141,'G-6 Hedgerow Data'!$S$2:$AE$2,0)),INDEX('G-6 Hedgerow Data'!$K$3:$Q$14,MATCH(M141,'G-6 Hedgerow Data'!$B$3:$B$14,0),MATCH(O141,'G-6 Hedgerow Data'!$K$2:$Q$2,0)))),"")</f>
        <v/>
      </c>
      <c r="Y141" s="133"/>
      <c r="Z141" s="133"/>
      <c r="AA141" s="283" t="str">
        <f t="shared" si="18" ref="AA141:AA204">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296" t="str">
        <f t="shared" si="19" ref="AB141:AB204">IF(X141="","",IF(AA141="Check Data ⚠","Check Data ⚠",IF(X141="Not possible ▲","Check data ⚠",IF(Y141="30+",0,IF(Z141="30+","30+",IF(X141+Z141&gt;30,"30+",IF(AA141="Error -both advance and delayed habitat creation ▲","Check Data ⚠",IF(X141+Z141-Y141&gt;0,X141+Z141-Y141,IF(X141-Y141&lt;=0,0,)))))))))</f>
        <v/>
      </c>
      <c r="AC141" s="297" t="str">
        <f t="shared" si="16"/>
        <v/>
      </c>
      <c r="AD141" s="311" t="str">
        <f>IF(M141="","",VLOOKUP(M141,'G-6 Hedgerow Data'!$B$3:$AG$15,31,FALSE))</f>
        <v/>
      </c>
      <c r="AE141" s="295" t="str">
        <f t="shared" si="20" ref="AE141:AE204">IF(M141="","",IF(OR(LEFT(AA141,5)="Error ▲",AA141="Check Data ⚠"),"Check Data ⚠",IF(X141="","",IF($AA141="Check details - Is there evidence that habitat has reached target condition? ⚠","Low Difficulty - only applicable if all habitat created before losses ⚠","Standard difficulty applied"))))</f>
        <v/>
      </c>
      <c r="AF141" s="283" t="str">
        <f t="shared" si="21" ref="AF141:AF204">(IF(AND(AE141="Yes",X141&gt;Y141),AD141,IF(AB141="Check data ⚠","Check data ⚠",IF(AND(AE141="Low Difficulty - only applicable if all habitat created before losses ⚠",Y141&gt;=X141),"Low",AD141))))</f>
        <v/>
      </c>
      <c r="AG141" s="299" t="str">
        <f>IFERROR(IF(O141="","",VLOOKUP(AD141,'G-3 Multipliers'!$P$3:$Q$6,2,FALSE)),"")</f>
        <v/>
      </c>
      <c r="AH141" s="713" t="str">
        <f>IF(B141="","",IF(ISNA(VLOOKUP($B141,'E-1 Off-Site Hedge Baseline'!$B$1:$Z$257,14,FALSE)),"",(VLOOKUP($B141,'E-1 Off-Site Hedge Baseline'!$B$1:$Z$257,14,FALSE))))</f>
        <v/>
      </c>
      <c r="AI141" s="276" t="str">
        <f>IF(AH141="","",IF(VLOOKUP(AH141,'G-3 Multipliers'!$S$3:$T$10,2,FALSE)=0,"Spatial Data Missing ⚠",VLOOKUP(AH141,'G-3 Multipliers'!$S$3:$T$10,2,FALSE)))</f>
        <v/>
      </c>
      <c r="AJ141" s="317" t="str">
        <f t="shared" si="22" ref="AJ141:AJ204">IFERROR(IF(AK141="Check data ⚠","Check data ⚠",(IF(OR(M141="",S141="",U141="",AH141=""),"",(((((P141*R141*T141)-(P141*F141*H141))*(AG141*AC141))+(P141*F141*H141))*(W141)*AI141)))),"")</f>
        <v/>
      </c>
      <c r="AK141" s="289" t="str">
        <f t="shared" si="23" ref="AK141:AK204">IFERROR(IF(K141="Check data ⚠","Check data ⚠",(IF(AND(AH141&lt;&gt;"",AO141=""),"Off-site reference required ▲",(IF(OR(M141="",S141="",U141="",AH141=""),"",IF(AH141="","",(((((P141*R141*T141)-(P141*F141*H141))*(AG141*AC141))+(P141*F141*H141))*(W141)))))))),"")</f>
        <v/>
      </c>
      <c r="AL141" s="101"/>
      <c r="AM141" s="115"/>
      <c r="AN141" s="104"/>
      <c r="AO141" s="104"/>
      <c r="AQ141" s="30" t="str">
        <f>IFERROR(INDEX('G-6 Hedgerow Data'!$BJ$3:$BJ$15,MATCH(M141,'G-6 Hedgerow Data'!$B$3:$B$15,0)),"")</f>
        <v/>
      </c>
    </row>
    <row r="142" spans="2:43" ht="14">
      <c r="B142" s="305" t="str">
        <f>'E-1 Off-Site Hedge Baseline'!AN140</f>
        <v/>
      </c>
      <c r="C142" s="295" t="str">
        <f>IF(B142="","",IF(ISNA(VLOOKUP($B142,'E-1 Off-Site Hedge Baseline'!$B$1:$L$257,3,FALSE)),"",(VLOOKUP($B142,'E-1 Off-Site Hedge Baseline'!$B$1:$L$257,3,FALSE))))</f>
        <v/>
      </c>
      <c r="D142" s="295" t="str">
        <f>IF(B142="","",IF(ISNA(VLOOKUP($B142,'E-1 Off-Site Hedge Baseline'!$B$1:$L$258,4,FALSE)),"",(VLOOKUP($B142,'E-1 Off-Site Hedge Baseline'!$B$1:$L$258,4,FALSE))))</f>
        <v/>
      </c>
      <c r="E142" s="295" t="str">
        <f>IF(B142="","",IF(ISNA(VLOOKUP($B142,'E-1 Off-Site Hedge Baseline'!$B$1:$L$257,5,FALSE)),"",(VLOOKUP($B142,'E-1 Off-Site Hedge Baseline'!$B$1:$L$257,5,FALSE))))</f>
        <v/>
      </c>
      <c r="F142" s="295" t="str">
        <f>IF(B142="","",IF(ISNA(VLOOKUP($B142,'E-1 Off-Site Hedge Baseline'!$B$1:$L$257,6,FALSE)),"",(VLOOKUP($B142,'E-1 Off-Site Hedge Baseline'!$B$1:$L$257,6,FALSE))))</f>
        <v/>
      </c>
      <c r="G142" s="295" t="str">
        <f>IF(B142="","",IF(ISNA(VLOOKUP($B142,'E-1 Off-Site Hedge Baseline'!$B$1:$L$257,7,FALSE)),"",(VLOOKUP($B142,'E-1 Off-Site Hedge Baseline'!$B$1:$L$257,7,FALSE))))</f>
        <v/>
      </c>
      <c r="H142" s="295" t="str">
        <f>IF(B142="","",IF(ISNA(VLOOKUP($B142,'E-1 Off-Site Hedge Baseline'!$B$1:$L$257,8,FALSE)),"",(VLOOKUP($B142,'E-1 Off-Site Hedge Baseline'!$B$1:$L$257,8,FALSE))))</f>
        <v/>
      </c>
      <c r="I142" s="295" t="str">
        <f>IF(B142="","",IF(ISNA(VLOOKUP($B142,'E-1 Off-Site Hedge Baseline'!$B$1:$L$257,10,FALSE)),"",(VLOOKUP($B142,'E-1 Off-Site Hedge Baseline'!$B$1:$L$257,10,FALSE))))</f>
        <v/>
      </c>
      <c r="J142" s="295" t="str">
        <f>IF(B142="","",IF(ISNA(VLOOKUP($B142,'E-1 Off-Site Hedge Baseline'!$B$1:$L$257,11,FALSE)),"",(VLOOKUP($B142,'E-1 Off-Site Hedge Baseline'!$B$1:$L$257,11,FALSE))))</f>
        <v/>
      </c>
      <c r="K142" s="295" t="str">
        <f>IF(B142="","",IF(ISNA(VLOOKUP($B142,'E-1 Off-Site Hedge Baseline'!$B$1:$X$257,16,FALSE)),"",(VLOOKUP($B142,'E-1 Off-Site Hedge Baseline'!$B$1:$X$257,16,FALSE))))</f>
        <v/>
      </c>
      <c r="L142" s="283" t="str">
        <f>IF(B142="","",IF(ISNA(VLOOKUP($B142,'E-1 Off-Site Hedge Baseline'!$B$1:$X$257,12,FALSE)),"",(VLOOKUP($B142,'E-1 Off-Site Hedge Baseline'!$B$1:$X$257,12,FALSE))))</f>
        <v/>
      </c>
      <c r="M142" s="244"/>
      <c r="N142" s="275" t="str">
        <f>IFERROR(IF(B142="","",INDEX('G-6 Hedgerow Data'!$AN$3:$AZ$15,MATCH(C142,'G-6 Hedgerow Data'!$AM$3:$AM$15,0),MATCH(M142,'G-6 Hedgerow Data'!$AN$2:$AZ$2,0))),"")</f>
        <v/>
      </c>
      <c r="O142" s="276" t="str">
        <f t="shared" si="17"/>
        <v/>
      </c>
      <c r="P142" s="281" t="str">
        <f>IF(B142="","",VLOOKUP(B142,'E-1 Off-Site Hedge Baseline'!$B$10:W387,19,FALSE))</f>
        <v/>
      </c>
      <c r="Q142" s="275" t="str">
        <f>IF(M142="","",VLOOKUP(M142,'G-6 Hedgerow Data'!$B$2:$AG$15,2,FALSE))</f>
        <v/>
      </c>
      <c r="R142" s="276" t="str">
        <f>IF(M142="","",VLOOKUP(M142,'G-6 Hedgerow Data'!$B$2:$AG$15,3,FALSE))</f>
        <v/>
      </c>
      <c r="S142" s="101"/>
      <c r="T142" s="276" t="str">
        <f>IFERROR(IF(S142="","",IF(AND(M142="Non-native and ornamental hedgerow",S142&lt;&gt;"Poor"),"Not possible ▲",(IF(AND(Q142="V.Low",OR(S142="Good",S142="Moderate")),"Error ▲",VLOOKUP(S142,'G-1 All Habitats'!$Z$2:$AA$9,2,FALSE))))),"")</f>
        <v/>
      </c>
      <c r="U142" s="101"/>
      <c r="V142" s="283" t="str">
        <f>IF(U142="","",IF(VLOOKUP(U142,'G-3 Multipliers'!$L$3:$N$6,2,FALSE)=0,"Spatial Data Missing ⚠",VLOOKUP(U142,'G-3 Multipliers'!$L$3:$N$6,2,FALSE)))</f>
        <v/>
      </c>
      <c r="W142" s="281" t="str">
        <f>IF(U142="","",IF(VLOOKUP(U142,'G-3 Multipliers'!$L$3:$N$6,3,FALSE)=0,"Spatial Data Missing ⚠",VLOOKUP(U142,'G-3 Multipliers'!$L$3:$N$6,3,FALSE)))</f>
        <v/>
      </c>
      <c r="X142" s="275" t="str">
        <f>IFERROR(IF(OR(LEFT(O142,5)="Error",LEFT(N142,5)="Error",T142="Error"),"Check Data ⚠",IF(F142&lt;R142,INDEX('G-6 Hedgerow Data'!$S$3:$AE$14,MATCH(C142,'G-6 Hedgerow Data'!$B$3:$B$14,0),MATCH(M142,'G-6 Hedgerow Data'!$S$2:$AE$2,0)),INDEX('G-6 Hedgerow Data'!$K$3:$Q$14,MATCH(M142,'G-6 Hedgerow Data'!$B$3:$B$14,0),MATCH(O142,'G-6 Hedgerow Data'!$K$2:$Q$2,0)))),"")</f>
        <v/>
      </c>
      <c r="Y142" s="133"/>
      <c r="Z142" s="133"/>
      <c r="AA142" s="283" t="str">
        <f t="shared" si="18"/>
        <v/>
      </c>
      <c r="AB142" s="296" t="str">
        <f t="shared" si="19"/>
        <v/>
      </c>
      <c r="AC142" s="297" t="str">
        <f t="shared" si="16"/>
        <v/>
      </c>
      <c r="AD142" s="311" t="str">
        <f>IF(M142="","",VLOOKUP(M142,'G-6 Hedgerow Data'!$B$3:$AG$15,31,FALSE))</f>
        <v/>
      </c>
      <c r="AE142" s="295" t="str">
        <f t="shared" si="20"/>
        <v/>
      </c>
      <c r="AF142" s="283" t="str">
        <f t="shared" si="21"/>
        <v/>
      </c>
      <c r="AG142" s="299" t="str">
        <f>IFERROR(IF(O142="","",VLOOKUP(AD142,'G-3 Multipliers'!$P$3:$Q$6,2,FALSE)),"")</f>
        <v/>
      </c>
      <c r="AH142" s="713" t="str">
        <f>IF(B142="","",IF(ISNA(VLOOKUP($B142,'E-1 Off-Site Hedge Baseline'!$B$1:$Z$257,14,FALSE)),"",(VLOOKUP($B142,'E-1 Off-Site Hedge Baseline'!$B$1:$Z$257,14,FALSE))))</f>
        <v/>
      </c>
      <c r="AI142" s="276" t="str">
        <f>IF(AH142="","",IF(VLOOKUP(AH142,'G-3 Multipliers'!$S$3:$T$10,2,FALSE)=0,"Spatial Data Missing ⚠",VLOOKUP(AH142,'G-3 Multipliers'!$S$3:$T$10,2,FALSE)))</f>
        <v/>
      </c>
      <c r="AJ142" s="317" t="str">
        <f t="shared" si="22"/>
        <v/>
      </c>
      <c r="AK142" s="289" t="str">
        <f t="shared" si="23"/>
        <v/>
      </c>
      <c r="AL142" s="101"/>
      <c r="AM142" s="115"/>
      <c r="AN142" s="104"/>
      <c r="AO142" s="104"/>
      <c r="AQ142" s="30" t="str">
        <f>IFERROR(INDEX('G-6 Hedgerow Data'!$BJ$3:$BJ$15,MATCH(M142,'G-6 Hedgerow Data'!$B$3:$B$15,0)),"")</f>
        <v/>
      </c>
    </row>
    <row r="143" spans="2:43" ht="14">
      <c r="B143" s="305" t="str">
        <f>'E-1 Off-Site Hedge Baseline'!AN141</f>
        <v/>
      </c>
      <c r="C143" s="295" t="str">
        <f>IF(B143="","",IF(ISNA(VLOOKUP($B143,'E-1 Off-Site Hedge Baseline'!$B$1:$L$257,3,FALSE)),"",(VLOOKUP($B143,'E-1 Off-Site Hedge Baseline'!$B$1:$L$257,3,FALSE))))</f>
        <v/>
      </c>
      <c r="D143" s="295" t="str">
        <f>IF(B143="","",IF(ISNA(VLOOKUP($B143,'E-1 Off-Site Hedge Baseline'!$B$1:$L$258,4,FALSE)),"",(VLOOKUP($B143,'E-1 Off-Site Hedge Baseline'!$B$1:$L$258,4,FALSE))))</f>
        <v/>
      </c>
      <c r="E143" s="295" t="str">
        <f>IF(B143="","",IF(ISNA(VLOOKUP($B143,'E-1 Off-Site Hedge Baseline'!$B$1:$L$257,5,FALSE)),"",(VLOOKUP($B143,'E-1 Off-Site Hedge Baseline'!$B$1:$L$257,5,FALSE))))</f>
        <v/>
      </c>
      <c r="F143" s="295" t="str">
        <f>IF(B143="","",IF(ISNA(VLOOKUP($B143,'E-1 Off-Site Hedge Baseline'!$B$1:$L$257,6,FALSE)),"",(VLOOKUP($B143,'E-1 Off-Site Hedge Baseline'!$B$1:$L$257,6,FALSE))))</f>
        <v/>
      </c>
      <c r="G143" s="295" t="str">
        <f>IF(B143="","",IF(ISNA(VLOOKUP($B143,'E-1 Off-Site Hedge Baseline'!$B$1:$L$257,7,FALSE)),"",(VLOOKUP($B143,'E-1 Off-Site Hedge Baseline'!$B$1:$L$257,7,FALSE))))</f>
        <v/>
      </c>
      <c r="H143" s="295" t="str">
        <f>IF(B143="","",IF(ISNA(VLOOKUP($B143,'E-1 Off-Site Hedge Baseline'!$B$1:$L$257,8,FALSE)),"",(VLOOKUP($B143,'E-1 Off-Site Hedge Baseline'!$B$1:$L$257,8,FALSE))))</f>
        <v/>
      </c>
      <c r="I143" s="295" t="str">
        <f>IF(B143="","",IF(ISNA(VLOOKUP($B143,'E-1 Off-Site Hedge Baseline'!$B$1:$L$257,10,FALSE)),"",(VLOOKUP($B143,'E-1 Off-Site Hedge Baseline'!$B$1:$L$257,10,FALSE))))</f>
        <v/>
      </c>
      <c r="J143" s="295" t="str">
        <f>IF(B143="","",IF(ISNA(VLOOKUP($B143,'E-1 Off-Site Hedge Baseline'!$B$1:$L$257,11,FALSE)),"",(VLOOKUP($B143,'E-1 Off-Site Hedge Baseline'!$B$1:$L$257,11,FALSE))))</f>
        <v/>
      </c>
      <c r="K143" s="295" t="str">
        <f>IF(B143="","",IF(ISNA(VLOOKUP($B143,'E-1 Off-Site Hedge Baseline'!$B$1:$X$257,16,FALSE)),"",(VLOOKUP($B143,'E-1 Off-Site Hedge Baseline'!$B$1:$X$257,16,FALSE))))</f>
        <v/>
      </c>
      <c r="L143" s="283" t="str">
        <f>IF(B143="","",IF(ISNA(VLOOKUP($B143,'E-1 Off-Site Hedge Baseline'!$B$1:$X$257,12,FALSE)),"",(VLOOKUP($B143,'E-1 Off-Site Hedge Baseline'!$B$1:$X$257,12,FALSE))))</f>
        <v/>
      </c>
      <c r="M143" s="244"/>
      <c r="N143" s="275" t="str">
        <f>IFERROR(IF(B143="","",INDEX('G-6 Hedgerow Data'!$AN$3:$AZ$15,MATCH(C143,'G-6 Hedgerow Data'!$AM$3:$AM$15,0),MATCH(M143,'G-6 Hedgerow Data'!$AN$2:$AZ$2,0))),"")</f>
        <v/>
      </c>
      <c r="O143" s="276" t="str">
        <f t="shared" si="17"/>
        <v/>
      </c>
      <c r="P143" s="281" t="str">
        <f>IF(B143="","",VLOOKUP(B143,'E-1 Off-Site Hedge Baseline'!$B$10:W388,19,FALSE))</f>
        <v/>
      </c>
      <c r="Q143" s="275" t="str">
        <f>IF(M143="","",VLOOKUP(M143,'G-6 Hedgerow Data'!$B$2:$AG$15,2,FALSE))</f>
        <v/>
      </c>
      <c r="R143" s="276" t="str">
        <f>IF(M143="","",VLOOKUP(M143,'G-6 Hedgerow Data'!$B$2:$AG$15,3,FALSE))</f>
        <v/>
      </c>
      <c r="S143" s="101"/>
      <c r="T143" s="276" t="str">
        <f>IFERROR(IF(S143="","",IF(AND(M143="Non-native and ornamental hedgerow",S143&lt;&gt;"Poor"),"Not possible ▲",(IF(AND(Q143="V.Low",OR(S143="Good",S143="Moderate")),"Error ▲",VLOOKUP(S143,'G-1 All Habitats'!$Z$2:$AA$9,2,FALSE))))),"")</f>
        <v/>
      </c>
      <c r="U143" s="101"/>
      <c r="V143" s="283" t="str">
        <f>IF(U143="","",IF(VLOOKUP(U143,'G-3 Multipliers'!$L$3:$N$6,2,FALSE)=0,"Spatial Data Missing ⚠",VLOOKUP(U143,'G-3 Multipliers'!$L$3:$N$6,2,FALSE)))</f>
        <v/>
      </c>
      <c r="W143" s="281" t="str">
        <f>IF(U143="","",IF(VLOOKUP(U143,'G-3 Multipliers'!$L$3:$N$6,3,FALSE)=0,"Spatial Data Missing ⚠",VLOOKUP(U143,'G-3 Multipliers'!$L$3:$N$6,3,FALSE)))</f>
        <v/>
      </c>
      <c r="X143" s="275" t="str">
        <f>IFERROR(IF(OR(LEFT(O143,5)="Error",LEFT(N143,5)="Error",T143="Error"),"Check Data ⚠",IF(F143&lt;R143,INDEX('G-6 Hedgerow Data'!$S$3:$AE$14,MATCH(C143,'G-6 Hedgerow Data'!$B$3:$B$14,0),MATCH(M143,'G-6 Hedgerow Data'!$S$2:$AE$2,0)),INDEX('G-6 Hedgerow Data'!$K$3:$Q$14,MATCH(M143,'G-6 Hedgerow Data'!$B$3:$B$14,0),MATCH(O143,'G-6 Hedgerow Data'!$K$2:$Q$2,0)))),"")</f>
        <v/>
      </c>
      <c r="Y143" s="133"/>
      <c r="Z143" s="133"/>
      <c r="AA143" s="283" t="str">
        <f t="shared" si="18"/>
        <v/>
      </c>
      <c r="AB143" s="296" t="str">
        <f t="shared" si="19"/>
        <v/>
      </c>
      <c r="AC143" s="297" t="str">
        <f t="shared" si="16"/>
        <v/>
      </c>
      <c r="AD143" s="311" t="str">
        <f>IF(M143="","",VLOOKUP(M143,'G-6 Hedgerow Data'!$B$3:$AG$15,31,FALSE))</f>
        <v/>
      </c>
      <c r="AE143" s="295" t="str">
        <f t="shared" si="20"/>
        <v/>
      </c>
      <c r="AF143" s="283" t="str">
        <f t="shared" si="21"/>
        <v/>
      </c>
      <c r="AG143" s="299" t="str">
        <f>IFERROR(IF(O143="","",VLOOKUP(AD143,'G-3 Multipliers'!$P$3:$Q$6,2,FALSE)),"")</f>
        <v/>
      </c>
      <c r="AH143" s="713" t="str">
        <f>IF(B143="","",IF(ISNA(VLOOKUP($B143,'E-1 Off-Site Hedge Baseline'!$B$1:$Z$257,14,FALSE)),"",(VLOOKUP($B143,'E-1 Off-Site Hedge Baseline'!$B$1:$Z$257,14,FALSE))))</f>
        <v/>
      </c>
      <c r="AI143" s="276" t="str">
        <f>IF(AH143="","",IF(VLOOKUP(AH143,'G-3 Multipliers'!$S$3:$T$10,2,FALSE)=0,"Spatial Data Missing ⚠",VLOOKUP(AH143,'G-3 Multipliers'!$S$3:$T$10,2,FALSE)))</f>
        <v/>
      </c>
      <c r="AJ143" s="317" t="str">
        <f t="shared" si="22"/>
        <v/>
      </c>
      <c r="AK143" s="289" t="str">
        <f t="shared" si="23"/>
        <v/>
      </c>
      <c r="AL143" s="101"/>
      <c r="AM143" s="115"/>
      <c r="AN143" s="104"/>
      <c r="AO143" s="104"/>
      <c r="AQ143" s="30" t="str">
        <f>IFERROR(INDEX('G-6 Hedgerow Data'!$BJ$3:$BJ$15,MATCH(M143,'G-6 Hedgerow Data'!$B$3:$B$15,0)),"")</f>
        <v/>
      </c>
    </row>
    <row r="144" spans="2:43" ht="14">
      <c r="B144" s="305" t="str">
        <f>'E-1 Off-Site Hedge Baseline'!AN142</f>
        <v/>
      </c>
      <c r="C144" s="295" t="str">
        <f>IF(B144="","",IF(ISNA(VLOOKUP($B144,'E-1 Off-Site Hedge Baseline'!$B$1:$L$257,3,FALSE)),"",(VLOOKUP($B144,'E-1 Off-Site Hedge Baseline'!$B$1:$L$257,3,FALSE))))</f>
        <v/>
      </c>
      <c r="D144" s="295" t="str">
        <f>IF(B144="","",IF(ISNA(VLOOKUP($B144,'E-1 Off-Site Hedge Baseline'!$B$1:$L$258,4,FALSE)),"",(VLOOKUP($B144,'E-1 Off-Site Hedge Baseline'!$B$1:$L$258,4,FALSE))))</f>
        <v/>
      </c>
      <c r="E144" s="295" t="str">
        <f>IF(B144="","",IF(ISNA(VLOOKUP($B144,'E-1 Off-Site Hedge Baseline'!$B$1:$L$257,5,FALSE)),"",(VLOOKUP($B144,'E-1 Off-Site Hedge Baseline'!$B$1:$L$257,5,FALSE))))</f>
        <v/>
      </c>
      <c r="F144" s="295" t="str">
        <f>IF(B144="","",IF(ISNA(VLOOKUP($B144,'E-1 Off-Site Hedge Baseline'!$B$1:$L$257,6,FALSE)),"",(VLOOKUP($B144,'E-1 Off-Site Hedge Baseline'!$B$1:$L$257,6,FALSE))))</f>
        <v/>
      </c>
      <c r="G144" s="295" t="str">
        <f>IF(B144="","",IF(ISNA(VLOOKUP($B144,'E-1 Off-Site Hedge Baseline'!$B$1:$L$257,7,FALSE)),"",(VLOOKUP($B144,'E-1 Off-Site Hedge Baseline'!$B$1:$L$257,7,FALSE))))</f>
        <v/>
      </c>
      <c r="H144" s="295" t="str">
        <f>IF(B144="","",IF(ISNA(VLOOKUP($B144,'E-1 Off-Site Hedge Baseline'!$B$1:$L$257,8,FALSE)),"",(VLOOKUP($B144,'E-1 Off-Site Hedge Baseline'!$B$1:$L$257,8,FALSE))))</f>
        <v/>
      </c>
      <c r="I144" s="295" t="str">
        <f>IF(B144="","",IF(ISNA(VLOOKUP($B144,'E-1 Off-Site Hedge Baseline'!$B$1:$L$257,10,FALSE)),"",(VLOOKUP($B144,'E-1 Off-Site Hedge Baseline'!$B$1:$L$257,10,FALSE))))</f>
        <v/>
      </c>
      <c r="J144" s="295" t="str">
        <f>IF(B144="","",IF(ISNA(VLOOKUP($B144,'E-1 Off-Site Hedge Baseline'!$B$1:$L$257,11,FALSE)),"",(VLOOKUP($B144,'E-1 Off-Site Hedge Baseline'!$B$1:$L$257,11,FALSE))))</f>
        <v/>
      </c>
      <c r="K144" s="295" t="str">
        <f>IF(B144="","",IF(ISNA(VLOOKUP($B144,'E-1 Off-Site Hedge Baseline'!$B$1:$X$257,16,FALSE)),"",(VLOOKUP($B144,'E-1 Off-Site Hedge Baseline'!$B$1:$X$257,16,FALSE))))</f>
        <v/>
      </c>
      <c r="L144" s="283" t="str">
        <f>IF(B144="","",IF(ISNA(VLOOKUP($B144,'E-1 Off-Site Hedge Baseline'!$B$1:$X$257,12,FALSE)),"",(VLOOKUP($B144,'E-1 Off-Site Hedge Baseline'!$B$1:$X$257,12,FALSE))))</f>
        <v/>
      </c>
      <c r="M144" s="244"/>
      <c r="N144" s="275" t="str">
        <f>IFERROR(IF(B144="","",INDEX('G-6 Hedgerow Data'!$AN$3:$AZ$15,MATCH(C144,'G-6 Hedgerow Data'!$AM$3:$AM$15,0),MATCH(M144,'G-6 Hedgerow Data'!$AN$2:$AZ$2,0))),"")</f>
        <v/>
      </c>
      <c r="O144" s="276" t="str">
        <f t="shared" si="17"/>
        <v/>
      </c>
      <c r="P144" s="281" t="str">
        <f>IF(B144="","",VLOOKUP(B144,'E-1 Off-Site Hedge Baseline'!$B$10:W389,19,FALSE))</f>
        <v/>
      </c>
      <c r="Q144" s="275" t="str">
        <f>IF(M144="","",VLOOKUP(M144,'G-6 Hedgerow Data'!$B$2:$AG$15,2,FALSE))</f>
        <v/>
      </c>
      <c r="R144" s="276" t="str">
        <f>IF(M144="","",VLOOKUP(M144,'G-6 Hedgerow Data'!$B$2:$AG$15,3,FALSE))</f>
        <v/>
      </c>
      <c r="S144" s="101"/>
      <c r="T144" s="276" t="str">
        <f>IFERROR(IF(S144="","",IF(AND(M144="Non-native and ornamental hedgerow",S144&lt;&gt;"Poor"),"Not possible ▲",(IF(AND(Q144="V.Low",OR(S144="Good",S144="Moderate")),"Error ▲",VLOOKUP(S144,'G-1 All Habitats'!$Z$2:$AA$9,2,FALSE))))),"")</f>
        <v/>
      </c>
      <c r="U144" s="101"/>
      <c r="V144" s="283" t="str">
        <f>IF(U144="","",IF(VLOOKUP(U144,'G-3 Multipliers'!$L$3:$N$6,2,FALSE)=0,"Spatial Data Missing ⚠",VLOOKUP(U144,'G-3 Multipliers'!$L$3:$N$6,2,FALSE)))</f>
        <v/>
      </c>
      <c r="W144" s="281" t="str">
        <f>IF(U144="","",IF(VLOOKUP(U144,'G-3 Multipliers'!$L$3:$N$6,3,FALSE)=0,"Spatial Data Missing ⚠",VLOOKUP(U144,'G-3 Multipliers'!$L$3:$N$6,3,FALSE)))</f>
        <v/>
      </c>
      <c r="X144" s="275" t="str">
        <f>IFERROR(IF(OR(LEFT(O144,5)="Error",LEFT(N144,5)="Error",T144="Error"),"Check Data ⚠",IF(F144&lt;R144,INDEX('G-6 Hedgerow Data'!$S$3:$AE$14,MATCH(C144,'G-6 Hedgerow Data'!$B$3:$B$14,0),MATCH(M144,'G-6 Hedgerow Data'!$S$2:$AE$2,0)),INDEX('G-6 Hedgerow Data'!$K$3:$Q$14,MATCH(M144,'G-6 Hedgerow Data'!$B$3:$B$14,0),MATCH(O144,'G-6 Hedgerow Data'!$K$2:$Q$2,0)))),"")</f>
        <v/>
      </c>
      <c r="Y144" s="133"/>
      <c r="Z144" s="133"/>
      <c r="AA144" s="283" t="str">
        <f t="shared" si="18"/>
        <v/>
      </c>
      <c r="AB144" s="296" t="str">
        <f t="shared" si="19"/>
        <v/>
      </c>
      <c r="AC144" s="297" t="str">
        <f t="shared" si="16"/>
        <v/>
      </c>
      <c r="AD144" s="311" t="str">
        <f>IF(M144="","",VLOOKUP(M144,'G-6 Hedgerow Data'!$B$3:$AG$15,31,FALSE))</f>
        <v/>
      </c>
      <c r="AE144" s="295" t="str">
        <f t="shared" si="20"/>
        <v/>
      </c>
      <c r="AF144" s="283" t="str">
        <f t="shared" si="21"/>
        <v/>
      </c>
      <c r="AG144" s="299" t="str">
        <f>IFERROR(IF(O144="","",VLOOKUP(AD144,'G-3 Multipliers'!$P$3:$Q$6,2,FALSE)),"")</f>
        <v/>
      </c>
      <c r="AH144" s="713" t="str">
        <f>IF(B144="","",IF(ISNA(VLOOKUP($B144,'E-1 Off-Site Hedge Baseline'!$B$1:$Z$257,14,FALSE)),"",(VLOOKUP($B144,'E-1 Off-Site Hedge Baseline'!$B$1:$Z$257,14,FALSE))))</f>
        <v/>
      </c>
      <c r="AI144" s="276" t="str">
        <f>IF(AH144="","",IF(VLOOKUP(AH144,'G-3 Multipliers'!$S$3:$T$10,2,FALSE)=0,"Spatial Data Missing ⚠",VLOOKUP(AH144,'G-3 Multipliers'!$S$3:$T$10,2,FALSE)))</f>
        <v/>
      </c>
      <c r="AJ144" s="317" t="str">
        <f t="shared" si="22"/>
        <v/>
      </c>
      <c r="AK144" s="289" t="str">
        <f t="shared" si="23"/>
        <v/>
      </c>
      <c r="AL144" s="101"/>
      <c r="AM144" s="115"/>
      <c r="AN144" s="104"/>
      <c r="AO144" s="104"/>
      <c r="AQ144" s="30" t="str">
        <f>IFERROR(INDEX('G-6 Hedgerow Data'!$BJ$3:$BJ$15,MATCH(M144,'G-6 Hedgerow Data'!$B$3:$B$15,0)),"")</f>
        <v/>
      </c>
    </row>
    <row r="145" spans="2:43" ht="14">
      <c r="B145" s="305" t="str">
        <f>'E-1 Off-Site Hedge Baseline'!AN143</f>
        <v/>
      </c>
      <c r="C145" s="295" t="str">
        <f>IF(B145="","",IF(ISNA(VLOOKUP($B145,'E-1 Off-Site Hedge Baseline'!$B$1:$L$257,3,FALSE)),"",(VLOOKUP($B145,'E-1 Off-Site Hedge Baseline'!$B$1:$L$257,3,FALSE))))</f>
        <v/>
      </c>
      <c r="D145" s="295" t="str">
        <f>IF(B145="","",IF(ISNA(VLOOKUP($B145,'E-1 Off-Site Hedge Baseline'!$B$1:$L$258,4,FALSE)),"",(VLOOKUP($B145,'E-1 Off-Site Hedge Baseline'!$B$1:$L$258,4,FALSE))))</f>
        <v/>
      </c>
      <c r="E145" s="295" t="str">
        <f>IF(B145="","",IF(ISNA(VLOOKUP($B145,'E-1 Off-Site Hedge Baseline'!$B$1:$L$257,5,FALSE)),"",(VLOOKUP($B145,'E-1 Off-Site Hedge Baseline'!$B$1:$L$257,5,FALSE))))</f>
        <v/>
      </c>
      <c r="F145" s="295" t="str">
        <f>IF(B145="","",IF(ISNA(VLOOKUP($B145,'E-1 Off-Site Hedge Baseline'!$B$1:$L$257,6,FALSE)),"",(VLOOKUP($B145,'E-1 Off-Site Hedge Baseline'!$B$1:$L$257,6,FALSE))))</f>
        <v/>
      </c>
      <c r="G145" s="295" t="str">
        <f>IF(B145="","",IF(ISNA(VLOOKUP($B145,'E-1 Off-Site Hedge Baseline'!$B$1:$L$257,7,FALSE)),"",(VLOOKUP($B145,'E-1 Off-Site Hedge Baseline'!$B$1:$L$257,7,FALSE))))</f>
        <v/>
      </c>
      <c r="H145" s="295" t="str">
        <f>IF(B145="","",IF(ISNA(VLOOKUP($B145,'E-1 Off-Site Hedge Baseline'!$B$1:$L$257,8,FALSE)),"",(VLOOKUP($B145,'E-1 Off-Site Hedge Baseline'!$B$1:$L$257,8,FALSE))))</f>
        <v/>
      </c>
      <c r="I145" s="295" t="str">
        <f>IF(B145="","",IF(ISNA(VLOOKUP($B145,'E-1 Off-Site Hedge Baseline'!$B$1:$L$257,10,FALSE)),"",(VLOOKUP($B145,'E-1 Off-Site Hedge Baseline'!$B$1:$L$257,10,FALSE))))</f>
        <v/>
      </c>
      <c r="J145" s="295" t="str">
        <f>IF(B145="","",IF(ISNA(VLOOKUP($B145,'E-1 Off-Site Hedge Baseline'!$B$1:$L$257,11,FALSE)),"",(VLOOKUP($B145,'E-1 Off-Site Hedge Baseline'!$B$1:$L$257,11,FALSE))))</f>
        <v/>
      </c>
      <c r="K145" s="295" t="str">
        <f>IF(B145="","",IF(ISNA(VLOOKUP($B145,'E-1 Off-Site Hedge Baseline'!$B$1:$X$257,16,FALSE)),"",(VLOOKUP($B145,'E-1 Off-Site Hedge Baseline'!$B$1:$X$257,16,FALSE))))</f>
        <v/>
      </c>
      <c r="L145" s="283" t="str">
        <f>IF(B145="","",IF(ISNA(VLOOKUP($B145,'E-1 Off-Site Hedge Baseline'!$B$1:$X$257,12,FALSE)),"",(VLOOKUP($B145,'E-1 Off-Site Hedge Baseline'!$B$1:$X$257,12,FALSE))))</f>
        <v/>
      </c>
      <c r="M145" s="244"/>
      <c r="N145" s="275" t="str">
        <f>IFERROR(IF(B145="","",INDEX('G-6 Hedgerow Data'!$AN$3:$AZ$15,MATCH(C145,'G-6 Hedgerow Data'!$AM$3:$AM$15,0),MATCH(M145,'G-6 Hedgerow Data'!$AN$2:$AZ$2,0))),"")</f>
        <v/>
      </c>
      <c r="O145" s="276" t="str">
        <f t="shared" si="17"/>
        <v/>
      </c>
      <c r="P145" s="281" t="str">
        <f>IF(B145="","",VLOOKUP(B145,'E-1 Off-Site Hedge Baseline'!$B$10:W390,19,FALSE))</f>
        <v/>
      </c>
      <c r="Q145" s="275" t="str">
        <f>IF(M145="","",VLOOKUP(M145,'G-6 Hedgerow Data'!$B$2:$AG$15,2,FALSE))</f>
        <v/>
      </c>
      <c r="R145" s="276" t="str">
        <f>IF(M145="","",VLOOKUP(M145,'G-6 Hedgerow Data'!$B$2:$AG$15,3,FALSE))</f>
        <v/>
      </c>
      <c r="S145" s="101"/>
      <c r="T145" s="276" t="str">
        <f>IFERROR(IF(S145="","",IF(AND(M145="Non-native and ornamental hedgerow",S145&lt;&gt;"Poor"),"Not possible ▲",(IF(AND(Q145="V.Low",OR(S145="Good",S145="Moderate")),"Error ▲",VLOOKUP(S145,'G-1 All Habitats'!$Z$2:$AA$9,2,FALSE))))),"")</f>
        <v/>
      </c>
      <c r="U145" s="101"/>
      <c r="V145" s="283" t="str">
        <f>IF(U145="","",IF(VLOOKUP(U145,'G-3 Multipliers'!$L$3:$N$6,2,FALSE)=0,"Spatial Data Missing ⚠",VLOOKUP(U145,'G-3 Multipliers'!$L$3:$N$6,2,FALSE)))</f>
        <v/>
      </c>
      <c r="W145" s="281" t="str">
        <f>IF(U145="","",IF(VLOOKUP(U145,'G-3 Multipliers'!$L$3:$N$6,3,FALSE)=0,"Spatial Data Missing ⚠",VLOOKUP(U145,'G-3 Multipliers'!$L$3:$N$6,3,FALSE)))</f>
        <v/>
      </c>
      <c r="X145" s="275" t="str">
        <f>IFERROR(IF(OR(LEFT(O145,5)="Error",LEFT(N145,5)="Error",T145="Error"),"Check Data ⚠",IF(F145&lt;R145,INDEX('G-6 Hedgerow Data'!$S$3:$AE$14,MATCH(C145,'G-6 Hedgerow Data'!$B$3:$B$14,0),MATCH(M145,'G-6 Hedgerow Data'!$S$2:$AE$2,0)),INDEX('G-6 Hedgerow Data'!$K$3:$Q$14,MATCH(M145,'G-6 Hedgerow Data'!$B$3:$B$14,0),MATCH(O145,'G-6 Hedgerow Data'!$K$2:$Q$2,0)))),"")</f>
        <v/>
      </c>
      <c r="Y145" s="133"/>
      <c r="Z145" s="133"/>
      <c r="AA145" s="283" t="str">
        <f t="shared" si="18"/>
        <v/>
      </c>
      <c r="AB145" s="296" t="str">
        <f t="shared" si="19"/>
        <v/>
      </c>
      <c r="AC145" s="297" t="str">
        <f t="shared" si="16"/>
        <v/>
      </c>
      <c r="AD145" s="311" t="str">
        <f>IF(M145="","",VLOOKUP(M145,'G-6 Hedgerow Data'!$B$3:$AG$15,31,FALSE))</f>
        <v/>
      </c>
      <c r="AE145" s="295" t="str">
        <f t="shared" si="20"/>
        <v/>
      </c>
      <c r="AF145" s="283" t="str">
        <f t="shared" si="21"/>
        <v/>
      </c>
      <c r="AG145" s="299" t="str">
        <f>IFERROR(IF(O145="","",VLOOKUP(AD145,'G-3 Multipliers'!$P$3:$Q$6,2,FALSE)),"")</f>
        <v/>
      </c>
      <c r="AH145" s="713" t="str">
        <f>IF(B145="","",IF(ISNA(VLOOKUP($B145,'E-1 Off-Site Hedge Baseline'!$B$1:$Z$257,14,FALSE)),"",(VLOOKUP($B145,'E-1 Off-Site Hedge Baseline'!$B$1:$Z$257,14,FALSE))))</f>
        <v/>
      </c>
      <c r="AI145" s="276" t="str">
        <f>IF(AH145="","",IF(VLOOKUP(AH145,'G-3 Multipliers'!$S$3:$T$10,2,FALSE)=0,"Spatial Data Missing ⚠",VLOOKUP(AH145,'G-3 Multipliers'!$S$3:$T$10,2,FALSE)))</f>
        <v/>
      </c>
      <c r="AJ145" s="317" t="str">
        <f t="shared" si="22"/>
        <v/>
      </c>
      <c r="AK145" s="289" t="str">
        <f t="shared" si="23"/>
        <v/>
      </c>
      <c r="AL145" s="101"/>
      <c r="AM145" s="115"/>
      <c r="AN145" s="104"/>
      <c r="AO145" s="104"/>
      <c r="AQ145" s="30" t="str">
        <f>IFERROR(INDEX('G-6 Hedgerow Data'!$BJ$3:$BJ$15,MATCH(M145,'G-6 Hedgerow Data'!$B$3:$B$15,0)),"")</f>
        <v/>
      </c>
    </row>
    <row r="146" spans="2:43" ht="14">
      <c r="B146" s="305" t="str">
        <f>'E-1 Off-Site Hedge Baseline'!AN144</f>
        <v/>
      </c>
      <c r="C146" s="295" t="str">
        <f>IF(B146="","",IF(ISNA(VLOOKUP($B146,'E-1 Off-Site Hedge Baseline'!$B$1:$L$257,3,FALSE)),"",(VLOOKUP($B146,'E-1 Off-Site Hedge Baseline'!$B$1:$L$257,3,FALSE))))</f>
        <v/>
      </c>
      <c r="D146" s="295" t="str">
        <f>IF(B146="","",IF(ISNA(VLOOKUP($B146,'E-1 Off-Site Hedge Baseline'!$B$1:$L$258,4,FALSE)),"",(VLOOKUP($B146,'E-1 Off-Site Hedge Baseline'!$B$1:$L$258,4,FALSE))))</f>
        <v/>
      </c>
      <c r="E146" s="295" t="str">
        <f>IF(B146="","",IF(ISNA(VLOOKUP($B146,'E-1 Off-Site Hedge Baseline'!$B$1:$L$257,5,FALSE)),"",(VLOOKUP($B146,'E-1 Off-Site Hedge Baseline'!$B$1:$L$257,5,FALSE))))</f>
        <v/>
      </c>
      <c r="F146" s="295" t="str">
        <f>IF(B146="","",IF(ISNA(VLOOKUP($B146,'E-1 Off-Site Hedge Baseline'!$B$1:$L$257,6,FALSE)),"",(VLOOKUP($B146,'E-1 Off-Site Hedge Baseline'!$B$1:$L$257,6,FALSE))))</f>
        <v/>
      </c>
      <c r="G146" s="295" t="str">
        <f>IF(B146="","",IF(ISNA(VLOOKUP($B146,'E-1 Off-Site Hedge Baseline'!$B$1:$L$257,7,FALSE)),"",(VLOOKUP($B146,'E-1 Off-Site Hedge Baseline'!$B$1:$L$257,7,FALSE))))</f>
        <v/>
      </c>
      <c r="H146" s="295" t="str">
        <f>IF(B146="","",IF(ISNA(VLOOKUP($B146,'E-1 Off-Site Hedge Baseline'!$B$1:$L$257,8,FALSE)),"",(VLOOKUP($B146,'E-1 Off-Site Hedge Baseline'!$B$1:$L$257,8,FALSE))))</f>
        <v/>
      </c>
      <c r="I146" s="295" t="str">
        <f>IF(B146="","",IF(ISNA(VLOOKUP($B146,'E-1 Off-Site Hedge Baseline'!$B$1:$L$257,10,FALSE)),"",(VLOOKUP($B146,'E-1 Off-Site Hedge Baseline'!$B$1:$L$257,10,FALSE))))</f>
        <v/>
      </c>
      <c r="J146" s="295" t="str">
        <f>IF(B146="","",IF(ISNA(VLOOKUP($B146,'E-1 Off-Site Hedge Baseline'!$B$1:$L$257,11,FALSE)),"",(VLOOKUP($B146,'E-1 Off-Site Hedge Baseline'!$B$1:$L$257,11,FALSE))))</f>
        <v/>
      </c>
      <c r="K146" s="295" t="str">
        <f>IF(B146="","",IF(ISNA(VLOOKUP($B146,'E-1 Off-Site Hedge Baseline'!$B$1:$X$257,16,FALSE)),"",(VLOOKUP($B146,'E-1 Off-Site Hedge Baseline'!$B$1:$X$257,16,FALSE))))</f>
        <v/>
      </c>
      <c r="L146" s="283" t="str">
        <f>IF(B146="","",IF(ISNA(VLOOKUP($B146,'E-1 Off-Site Hedge Baseline'!$B$1:$X$257,12,FALSE)),"",(VLOOKUP($B146,'E-1 Off-Site Hedge Baseline'!$B$1:$X$257,12,FALSE))))</f>
        <v/>
      </c>
      <c r="M146" s="244"/>
      <c r="N146" s="275" t="str">
        <f>IFERROR(IF(B146="","",INDEX('G-6 Hedgerow Data'!$AN$3:$AZ$15,MATCH(C146,'G-6 Hedgerow Data'!$AM$3:$AM$15,0),MATCH(M146,'G-6 Hedgerow Data'!$AN$2:$AZ$2,0))),"")</f>
        <v/>
      </c>
      <c r="O146" s="276" t="str">
        <f t="shared" si="17"/>
        <v/>
      </c>
      <c r="P146" s="281" t="str">
        <f>IF(B146="","",VLOOKUP(B146,'E-1 Off-Site Hedge Baseline'!$B$10:W391,19,FALSE))</f>
        <v/>
      </c>
      <c r="Q146" s="275" t="str">
        <f>IF(M146="","",VLOOKUP(M146,'G-6 Hedgerow Data'!$B$2:$AG$15,2,FALSE))</f>
        <v/>
      </c>
      <c r="R146" s="276" t="str">
        <f>IF(M146="","",VLOOKUP(M146,'G-6 Hedgerow Data'!$B$2:$AG$15,3,FALSE))</f>
        <v/>
      </c>
      <c r="S146" s="101"/>
      <c r="T146" s="276" t="str">
        <f>IFERROR(IF(S146="","",IF(AND(M146="Non-native and ornamental hedgerow",S146&lt;&gt;"Poor"),"Not possible ▲",(IF(AND(Q146="V.Low",OR(S146="Good",S146="Moderate")),"Error ▲",VLOOKUP(S146,'G-1 All Habitats'!$Z$2:$AA$9,2,FALSE))))),"")</f>
        <v/>
      </c>
      <c r="U146" s="101"/>
      <c r="V146" s="283" t="str">
        <f>IF(U146="","",IF(VLOOKUP(U146,'G-3 Multipliers'!$L$3:$N$6,2,FALSE)=0,"Spatial Data Missing ⚠",VLOOKUP(U146,'G-3 Multipliers'!$L$3:$N$6,2,FALSE)))</f>
        <v/>
      </c>
      <c r="W146" s="281" t="str">
        <f>IF(U146="","",IF(VLOOKUP(U146,'G-3 Multipliers'!$L$3:$N$6,3,FALSE)=0,"Spatial Data Missing ⚠",VLOOKUP(U146,'G-3 Multipliers'!$L$3:$N$6,3,FALSE)))</f>
        <v/>
      </c>
      <c r="X146" s="275" t="str">
        <f>IFERROR(IF(OR(LEFT(O146,5)="Error",LEFT(N146,5)="Error",T146="Error"),"Check Data ⚠",IF(F146&lt;R146,INDEX('G-6 Hedgerow Data'!$S$3:$AE$14,MATCH(C146,'G-6 Hedgerow Data'!$B$3:$B$14,0),MATCH(M146,'G-6 Hedgerow Data'!$S$2:$AE$2,0)),INDEX('G-6 Hedgerow Data'!$K$3:$Q$14,MATCH(M146,'G-6 Hedgerow Data'!$B$3:$B$14,0),MATCH(O146,'G-6 Hedgerow Data'!$K$2:$Q$2,0)))),"")</f>
        <v/>
      </c>
      <c r="Y146" s="133"/>
      <c r="Z146" s="133"/>
      <c r="AA146" s="283" t="str">
        <f t="shared" si="18"/>
        <v/>
      </c>
      <c r="AB146" s="296" t="str">
        <f t="shared" si="19"/>
        <v/>
      </c>
      <c r="AC146" s="297" t="str">
        <f t="shared" si="16"/>
        <v/>
      </c>
      <c r="AD146" s="311" t="str">
        <f>IF(M146="","",VLOOKUP(M146,'G-6 Hedgerow Data'!$B$3:$AG$15,31,FALSE))</f>
        <v/>
      </c>
      <c r="AE146" s="295" t="str">
        <f t="shared" si="20"/>
        <v/>
      </c>
      <c r="AF146" s="283" t="str">
        <f t="shared" si="21"/>
        <v/>
      </c>
      <c r="AG146" s="299" t="str">
        <f>IFERROR(IF(O146="","",VLOOKUP(AD146,'G-3 Multipliers'!$P$3:$Q$6,2,FALSE)),"")</f>
        <v/>
      </c>
      <c r="AH146" s="713" t="str">
        <f>IF(B146="","",IF(ISNA(VLOOKUP($B146,'E-1 Off-Site Hedge Baseline'!$B$1:$Z$257,14,FALSE)),"",(VLOOKUP($B146,'E-1 Off-Site Hedge Baseline'!$B$1:$Z$257,14,FALSE))))</f>
        <v/>
      </c>
      <c r="AI146" s="276" t="str">
        <f>IF(AH146="","",IF(VLOOKUP(AH146,'G-3 Multipliers'!$S$3:$T$10,2,FALSE)=0,"Spatial Data Missing ⚠",VLOOKUP(AH146,'G-3 Multipliers'!$S$3:$T$10,2,FALSE)))</f>
        <v/>
      </c>
      <c r="AJ146" s="317" t="str">
        <f t="shared" si="22"/>
        <v/>
      </c>
      <c r="AK146" s="289" t="str">
        <f t="shared" si="23"/>
        <v/>
      </c>
      <c r="AL146" s="101"/>
      <c r="AM146" s="115"/>
      <c r="AN146" s="104"/>
      <c r="AO146" s="104"/>
      <c r="AQ146" s="30" t="str">
        <f>IFERROR(INDEX('G-6 Hedgerow Data'!$BJ$3:$BJ$15,MATCH(M146,'G-6 Hedgerow Data'!$B$3:$B$15,0)),"")</f>
        <v/>
      </c>
    </row>
    <row r="147" spans="2:43" ht="14">
      <c r="B147" s="305" t="str">
        <f>'E-1 Off-Site Hedge Baseline'!AN145</f>
        <v/>
      </c>
      <c r="C147" s="295" t="str">
        <f>IF(B147="","",IF(ISNA(VLOOKUP($B147,'E-1 Off-Site Hedge Baseline'!$B$1:$L$257,3,FALSE)),"",(VLOOKUP($B147,'E-1 Off-Site Hedge Baseline'!$B$1:$L$257,3,FALSE))))</f>
        <v/>
      </c>
      <c r="D147" s="295" t="str">
        <f>IF(B147="","",IF(ISNA(VLOOKUP($B147,'E-1 Off-Site Hedge Baseline'!$B$1:$L$258,4,FALSE)),"",(VLOOKUP($B147,'E-1 Off-Site Hedge Baseline'!$B$1:$L$258,4,FALSE))))</f>
        <v/>
      </c>
      <c r="E147" s="295" t="str">
        <f>IF(B147="","",IF(ISNA(VLOOKUP($B147,'E-1 Off-Site Hedge Baseline'!$B$1:$L$257,5,FALSE)),"",(VLOOKUP($B147,'E-1 Off-Site Hedge Baseline'!$B$1:$L$257,5,FALSE))))</f>
        <v/>
      </c>
      <c r="F147" s="295" t="str">
        <f>IF(B147="","",IF(ISNA(VLOOKUP($B147,'E-1 Off-Site Hedge Baseline'!$B$1:$L$257,6,FALSE)),"",(VLOOKUP($B147,'E-1 Off-Site Hedge Baseline'!$B$1:$L$257,6,FALSE))))</f>
        <v/>
      </c>
      <c r="G147" s="295" t="str">
        <f>IF(B147="","",IF(ISNA(VLOOKUP($B147,'E-1 Off-Site Hedge Baseline'!$B$1:$L$257,7,FALSE)),"",(VLOOKUP($B147,'E-1 Off-Site Hedge Baseline'!$B$1:$L$257,7,FALSE))))</f>
        <v/>
      </c>
      <c r="H147" s="295" t="str">
        <f>IF(B147="","",IF(ISNA(VLOOKUP($B147,'E-1 Off-Site Hedge Baseline'!$B$1:$L$257,8,FALSE)),"",(VLOOKUP($B147,'E-1 Off-Site Hedge Baseline'!$B$1:$L$257,8,FALSE))))</f>
        <v/>
      </c>
      <c r="I147" s="295" t="str">
        <f>IF(B147="","",IF(ISNA(VLOOKUP($B147,'E-1 Off-Site Hedge Baseline'!$B$1:$L$257,10,FALSE)),"",(VLOOKUP($B147,'E-1 Off-Site Hedge Baseline'!$B$1:$L$257,10,FALSE))))</f>
        <v/>
      </c>
      <c r="J147" s="295" t="str">
        <f>IF(B147="","",IF(ISNA(VLOOKUP($B147,'E-1 Off-Site Hedge Baseline'!$B$1:$L$257,11,FALSE)),"",(VLOOKUP($B147,'E-1 Off-Site Hedge Baseline'!$B$1:$L$257,11,FALSE))))</f>
        <v/>
      </c>
      <c r="K147" s="295" t="str">
        <f>IF(B147="","",IF(ISNA(VLOOKUP($B147,'E-1 Off-Site Hedge Baseline'!$B$1:$X$257,16,FALSE)),"",(VLOOKUP($B147,'E-1 Off-Site Hedge Baseline'!$B$1:$X$257,16,FALSE))))</f>
        <v/>
      </c>
      <c r="L147" s="283" t="str">
        <f>IF(B147="","",IF(ISNA(VLOOKUP($B147,'E-1 Off-Site Hedge Baseline'!$B$1:$X$257,12,FALSE)),"",(VLOOKUP($B147,'E-1 Off-Site Hedge Baseline'!$B$1:$X$257,12,FALSE))))</f>
        <v/>
      </c>
      <c r="M147" s="244"/>
      <c r="N147" s="275" t="str">
        <f>IFERROR(IF(B147="","",INDEX('G-6 Hedgerow Data'!$AN$3:$AZ$15,MATCH(C147,'G-6 Hedgerow Data'!$AM$3:$AM$15,0),MATCH(M147,'G-6 Hedgerow Data'!$AN$2:$AZ$2,0))),"")</f>
        <v/>
      </c>
      <c r="O147" s="276" t="str">
        <f t="shared" si="17"/>
        <v/>
      </c>
      <c r="P147" s="281" t="str">
        <f>IF(B147="","",VLOOKUP(B147,'E-1 Off-Site Hedge Baseline'!$B$10:W392,19,FALSE))</f>
        <v/>
      </c>
      <c r="Q147" s="275" t="str">
        <f>IF(M147="","",VLOOKUP(M147,'G-6 Hedgerow Data'!$B$2:$AG$15,2,FALSE))</f>
        <v/>
      </c>
      <c r="R147" s="276" t="str">
        <f>IF(M147="","",VLOOKUP(M147,'G-6 Hedgerow Data'!$B$2:$AG$15,3,FALSE))</f>
        <v/>
      </c>
      <c r="S147" s="101"/>
      <c r="T147" s="276" t="str">
        <f>IFERROR(IF(S147="","",IF(AND(M147="Non-native and ornamental hedgerow",S147&lt;&gt;"Poor"),"Not possible ▲",(IF(AND(Q147="V.Low",OR(S147="Good",S147="Moderate")),"Error ▲",VLOOKUP(S147,'G-1 All Habitats'!$Z$2:$AA$9,2,FALSE))))),"")</f>
        <v/>
      </c>
      <c r="U147" s="101"/>
      <c r="V147" s="283" t="str">
        <f>IF(U147="","",IF(VLOOKUP(U147,'G-3 Multipliers'!$L$3:$N$6,2,FALSE)=0,"Spatial Data Missing ⚠",VLOOKUP(U147,'G-3 Multipliers'!$L$3:$N$6,2,FALSE)))</f>
        <v/>
      </c>
      <c r="W147" s="281" t="str">
        <f>IF(U147="","",IF(VLOOKUP(U147,'G-3 Multipliers'!$L$3:$N$6,3,FALSE)=0,"Spatial Data Missing ⚠",VLOOKUP(U147,'G-3 Multipliers'!$L$3:$N$6,3,FALSE)))</f>
        <v/>
      </c>
      <c r="X147" s="275" t="str">
        <f>IFERROR(IF(OR(LEFT(O147,5)="Error",LEFT(N147,5)="Error",T147="Error"),"Check Data ⚠",IF(F147&lt;R147,INDEX('G-6 Hedgerow Data'!$S$3:$AE$14,MATCH(C147,'G-6 Hedgerow Data'!$B$3:$B$14,0),MATCH(M147,'G-6 Hedgerow Data'!$S$2:$AE$2,0)),INDEX('G-6 Hedgerow Data'!$K$3:$Q$14,MATCH(M147,'G-6 Hedgerow Data'!$B$3:$B$14,0),MATCH(O147,'G-6 Hedgerow Data'!$K$2:$Q$2,0)))),"")</f>
        <v/>
      </c>
      <c r="Y147" s="133"/>
      <c r="Z147" s="133"/>
      <c r="AA147" s="283" t="str">
        <f t="shared" si="18"/>
        <v/>
      </c>
      <c r="AB147" s="296" t="str">
        <f t="shared" si="19"/>
        <v/>
      </c>
      <c r="AC147" s="297" t="str">
        <f t="shared" si="16"/>
        <v/>
      </c>
      <c r="AD147" s="311" t="str">
        <f>IF(M147="","",VLOOKUP(M147,'G-6 Hedgerow Data'!$B$3:$AG$15,31,FALSE))</f>
        <v/>
      </c>
      <c r="AE147" s="295" t="str">
        <f t="shared" si="20"/>
        <v/>
      </c>
      <c r="AF147" s="283" t="str">
        <f t="shared" si="21"/>
        <v/>
      </c>
      <c r="AG147" s="299" t="str">
        <f>IFERROR(IF(O147="","",VLOOKUP(AD147,'G-3 Multipliers'!$P$3:$Q$6,2,FALSE)),"")</f>
        <v/>
      </c>
      <c r="AH147" s="713" t="str">
        <f>IF(B147="","",IF(ISNA(VLOOKUP($B147,'E-1 Off-Site Hedge Baseline'!$B$1:$Z$257,14,FALSE)),"",(VLOOKUP($B147,'E-1 Off-Site Hedge Baseline'!$B$1:$Z$257,14,FALSE))))</f>
        <v/>
      </c>
      <c r="AI147" s="276" t="str">
        <f>IF(AH147="","",IF(VLOOKUP(AH147,'G-3 Multipliers'!$S$3:$T$10,2,FALSE)=0,"Spatial Data Missing ⚠",VLOOKUP(AH147,'G-3 Multipliers'!$S$3:$T$10,2,FALSE)))</f>
        <v/>
      </c>
      <c r="AJ147" s="317" t="str">
        <f t="shared" si="22"/>
        <v/>
      </c>
      <c r="AK147" s="289" t="str">
        <f t="shared" si="23"/>
        <v/>
      </c>
      <c r="AL147" s="101"/>
      <c r="AM147" s="115"/>
      <c r="AN147" s="104"/>
      <c r="AO147" s="104"/>
      <c r="AQ147" s="30" t="str">
        <f>IFERROR(INDEX('G-6 Hedgerow Data'!$BJ$3:$BJ$15,MATCH(M147,'G-6 Hedgerow Data'!$B$3:$B$15,0)),"")</f>
        <v/>
      </c>
    </row>
    <row r="148" spans="2:43" ht="14">
      <c r="B148" s="305" t="str">
        <f>'E-1 Off-Site Hedge Baseline'!AN146</f>
        <v/>
      </c>
      <c r="C148" s="295" t="str">
        <f>IF(B148="","",IF(ISNA(VLOOKUP($B148,'E-1 Off-Site Hedge Baseline'!$B$1:$L$257,3,FALSE)),"",(VLOOKUP($B148,'E-1 Off-Site Hedge Baseline'!$B$1:$L$257,3,FALSE))))</f>
        <v/>
      </c>
      <c r="D148" s="295" t="str">
        <f>IF(B148="","",IF(ISNA(VLOOKUP($B148,'E-1 Off-Site Hedge Baseline'!$B$1:$L$258,4,FALSE)),"",(VLOOKUP($B148,'E-1 Off-Site Hedge Baseline'!$B$1:$L$258,4,FALSE))))</f>
        <v/>
      </c>
      <c r="E148" s="295" t="str">
        <f>IF(B148="","",IF(ISNA(VLOOKUP($B148,'E-1 Off-Site Hedge Baseline'!$B$1:$L$257,5,FALSE)),"",(VLOOKUP($B148,'E-1 Off-Site Hedge Baseline'!$B$1:$L$257,5,FALSE))))</f>
        <v/>
      </c>
      <c r="F148" s="295" t="str">
        <f>IF(B148="","",IF(ISNA(VLOOKUP($B148,'E-1 Off-Site Hedge Baseline'!$B$1:$L$257,6,FALSE)),"",(VLOOKUP($B148,'E-1 Off-Site Hedge Baseline'!$B$1:$L$257,6,FALSE))))</f>
        <v/>
      </c>
      <c r="G148" s="295" t="str">
        <f>IF(B148="","",IF(ISNA(VLOOKUP($B148,'E-1 Off-Site Hedge Baseline'!$B$1:$L$257,7,FALSE)),"",(VLOOKUP($B148,'E-1 Off-Site Hedge Baseline'!$B$1:$L$257,7,FALSE))))</f>
        <v/>
      </c>
      <c r="H148" s="295" t="str">
        <f>IF(B148="","",IF(ISNA(VLOOKUP($B148,'E-1 Off-Site Hedge Baseline'!$B$1:$L$257,8,FALSE)),"",(VLOOKUP($B148,'E-1 Off-Site Hedge Baseline'!$B$1:$L$257,8,FALSE))))</f>
        <v/>
      </c>
      <c r="I148" s="295" t="str">
        <f>IF(B148="","",IF(ISNA(VLOOKUP($B148,'E-1 Off-Site Hedge Baseline'!$B$1:$L$257,10,FALSE)),"",(VLOOKUP($B148,'E-1 Off-Site Hedge Baseline'!$B$1:$L$257,10,FALSE))))</f>
        <v/>
      </c>
      <c r="J148" s="295" t="str">
        <f>IF(B148="","",IF(ISNA(VLOOKUP($B148,'E-1 Off-Site Hedge Baseline'!$B$1:$L$257,11,FALSE)),"",(VLOOKUP($B148,'E-1 Off-Site Hedge Baseline'!$B$1:$L$257,11,FALSE))))</f>
        <v/>
      </c>
      <c r="K148" s="295" t="str">
        <f>IF(B148="","",IF(ISNA(VLOOKUP($B148,'E-1 Off-Site Hedge Baseline'!$B$1:$X$257,16,FALSE)),"",(VLOOKUP($B148,'E-1 Off-Site Hedge Baseline'!$B$1:$X$257,16,FALSE))))</f>
        <v/>
      </c>
      <c r="L148" s="283" t="str">
        <f>IF(B148="","",IF(ISNA(VLOOKUP($B148,'E-1 Off-Site Hedge Baseline'!$B$1:$X$257,12,FALSE)),"",(VLOOKUP($B148,'E-1 Off-Site Hedge Baseline'!$B$1:$X$257,12,FALSE))))</f>
        <v/>
      </c>
      <c r="M148" s="244"/>
      <c r="N148" s="275" t="str">
        <f>IFERROR(IF(B148="","",INDEX('G-6 Hedgerow Data'!$AN$3:$AZ$15,MATCH(C148,'G-6 Hedgerow Data'!$AM$3:$AM$15,0),MATCH(M148,'G-6 Hedgerow Data'!$AN$2:$AZ$2,0))),"")</f>
        <v/>
      </c>
      <c r="O148" s="276" t="str">
        <f t="shared" si="17"/>
        <v/>
      </c>
      <c r="P148" s="281" t="str">
        <f>IF(B148="","",VLOOKUP(B148,'E-1 Off-Site Hedge Baseline'!$B$10:W393,19,FALSE))</f>
        <v/>
      </c>
      <c r="Q148" s="275" t="str">
        <f>IF(M148="","",VLOOKUP(M148,'G-6 Hedgerow Data'!$B$2:$AG$15,2,FALSE))</f>
        <v/>
      </c>
      <c r="R148" s="276" t="str">
        <f>IF(M148="","",VLOOKUP(M148,'G-6 Hedgerow Data'!$B$2:$AG$15,3,FALSE))</f>
        <v/>
      </c>
      <c r="S148" s="101"/>
      <c r="T148" s="276" t="str">
        <f>IFERROR(IF(S148="","",IF(AND(M148="Non-native and ornamental hedgerow",S148&lt;&gt;"Poor"),"Not possible ▲",(IF(AND(Q148="V.Low",OR(S148="Good",S148="Moderate")),"Error ▲",VLOOKUP(S148,'G-1 All Habitats'!$Z$2:$AA$9,2,FALSE))))),"")</f>
        <v/>
      </c>
      <c r="U148" s="101"/>
      <c r="V148" s="283" t="str">
        <f>IF(U148="","",IF(VLOOKUP(U148,'G-3 Multipliers'!$L$3:$N$6,2,FALSE)=0,"Spatial Data Missing ⚠",VLOOKUP(U148,'G-3 Multipliers'!$L$3:$N$6,2,FALSE)))</f>
        <v/>
      </c>
      <c r="W148" s="281" t="str">
        <f>IF(U148="","",IF(VLOOKUP(U148,'G-3 Multipliers'!$L$3:$N$6,3,FALSE)=0,"Spatial Data Missing ⚠",VLOOKUP(U148,'G-3 Multipliers'!$L$3:$N$6,3,FALSE)))</f>
        <v/>
      </c>
      <c r="X148" s="275" t="str">
        <f>IFERROR(IF(OR(LEFT(O148,5)="Error",LEFT(N148,5)="Error",T148="Error"),"Check Data ⚠",IF(F148&lt;R148,INDEX('G-6 Hedgerow Data'!$S$3:$AE$14,MATCH(C148,'G-6 Hedgerow Data'!$B$3:$B$14,0),MATCH(M148,'G-6 Hedgerow Data'!$S$2:$AE$2,0)),INDEX('G-6 Hedgerow Data'!$K$3:$Q$14,MATCH(M148,'G-6 Hedgerow Data'!$B$3:$B$14,0),MATCH(O148,'G-6 Hedgerow Data'!$K$2:$Q$2,0)))),"")</f>
        <v/>
      </c>
      <c r="Y148" s="133"/>
      <c r="Z148" s="133"/>
      <c r="AA148" s="283" t="str">
        <f t="shared" si="18"/>
        <v/>
      </c>
      <c r="AB148" s="296" t="str">
        <f t="shared" si="19"/>
        <v/>
      </c>
      <c r="AC148" s="297" t="str">
        <f t="shared" si="16"/>
        <v/>
      </c>
      <c r="AD148" s="311" t="str">
        <f>IF(M148="","",VLOOKUP(M148,'G-6 Hedgerow Data'!$B$3:$AG$15,31,FALSE))</f>
        <v/>
      </c>
      <c r="AE148" s="295" t="str">
        <f t="shared" si="20"/>
        <v/>
      </c>
      <c r="AF148" s="283" t="str">
        <f t="shared" si="21"/>
        <v/>
      </c>
      <c r="AG148" s="299" t="str">
        <f>IFERROR(IF(O148="","",VLOOKUP(AD148,'G-3 Multipliers'!$P$3:$Q$6,2,FALSE)),"")</f>
        <v/>
      </c>
      <c r="AH148" s="713" t="str">
        <f>IF(B148="","",IF(ISNA(VLOOKUP($B148,'E-1 Off-Site Hedge Baseline'!$B$1:$Z$257,14,FALSE)),"",(VLOOKUP($B148,'E-1 Off-Site Hedge Baseline'!$B$1:$Z$257,14,FALSE))))</f>
        <v/>
      </c>
      <c r="AI148" s="276" t="str">
        <f>IF(AH148="","",IF(VLOOKUP(AH148,'G-3 Multipliers'!$S$3:$T$10,2,FALSE)=0,"Spatial Data Missing ⚠",VLOOKUP(AH148,'G-3 Multipliers'!$S$3:$T$10,2,FALSE)))</f>
        <v/>
      </c>
      <c r="AJ148" s="317" t="str">
        <f t="shared" si="22"/>
        <v/>
      </c>
      <c r="AK148" s="289" t="str">
        <f t="shared" si="23"/>
        <v/>
      </c>
      <c r="AL148" s="101"/>
      <c r="AM148" s="115"/>
      <c r="AN148" s="104"/>
      <c r="AO148" s="104"/>
      <c r="AQ148" s="30" t="str">
        <f>IFERROR(INDEX('G-6 Hedgerow Data'!$BJ$3:$BJ$15,MATCH(M148,'G-6 Hedgerow Data'!$B$3:$B$15,0)),"")</f>
        <v/>
      </c>
    </row>
    <row r="149" spans="2:43" ht="14">
      <c r="B149" s="305" t="str">
        <f>'E-1 Off-Site Hedge Baseline'!AN147</f>
        <v/>
      </c>
      <c r="C149" s="295" t="str">
        <f>IF(B149="","",IF(ISNA(VLOOKUP($B149,'E-1 Off-Site Hedge Baseline'!$B$1:$L$257,3,FALSE)),"",(VLOOKUP($B149,'E-1 Off-Site Hedge Baseline'!$B$1:$L$257,3,FALSE))))</f>
        <v/>
      </c>
      <c r="D149" s="295" t="str">
        <f>IF(B149="","",IF(ISNA(VLOOKUP($B149,'E-1 Off-Site Hedge Baseline'!$B$1:$L$258,4,FALSE)),"",(VLOOKUP($B149,'E-1 Off-Site Hedge Baseline'!$B$1:$L$258,4,FALSE))))</f>
        <v/>
      </c>
      <c r="E149" s="295" t="str">
        <f>IF(B149="","",IF(ISNA(VLOOKUP($B149,'E-1 Off-Site Hedge Baseline'!$B$1:$L$257,5,FALSE)),"",(VLOOKUP($B149,'E-1 Off-Site Hedge Baseline'!$B$1:$L$257,5,FALSE))))</f>
        <v/>
      </c>
      <c r="F149" s="295" t="str">
        <f>IF(B149="","",IF(ISNA(VLOOKUP($B149,'E-1 Off-Site Hedge Baseline'!$B$1:$L$257,6,FALSE)),"",(VLOOKUP($B149,'E-1 Off-Site Hedge Baseline'!$B$1:$L$257,6,FALSE))))</f>
        <v/>
      </c>
      <c r="G149" s="295" t="str">
        <f>IF(B149="","",IF(ISNA(VLOOKUP($B149,'E-1 Off-Site Hedge Baseline'!$B$1:$L$257,7,FALSE)),"",(VLOOKUP($B149,'E-1 Off-Site Hedge Baseline'!$B$1:$L$257,7,FALSE))))</f>
        <v/>
      </c>
      <c r="H149" s="295" t="str">
        <f>IF(B149="","",IF(ISNA(VLOOKUP($B149,'E-1 Off-Site Hedge Baseline'!$B$1:$L$257,8,FALSE)),"",(VLOOKUP($B149,'E-1 Off-Site Hedge Baseline'!$B$1:$L$257,8,FALSE))))</f>
        <v/>
      </c>
      <c r="I149" s="295" t="str">
        <f>IF(B149="","",IF(ISNA(VLOOKUP($B149,'E-1 Off-Site Hedge Baseline'!$B$1:$L$257,10,FALSE)),"",(VLOOKUP($B149,'E-1 Off-Site Hedge Baseline'!$B$1:$L$257,10,FALSE))))</f>
        <v/>
      </c>
      <c r="J149" s="295" t="str">
        <f>IF(B149="","",IF(ISNA(VLOOKUP($B149,'E-1 Off-Site Hedge Baseline'!$B$1:$L$257,11,FALSE)),"",(VLOOKUP($B149,'E-1 Off-Site Hedge Baseline'!$B$1:$L$257,11,FALSE))))</f>
        <v/>
      </c>
      <c r="K149" s="295" t="str">
        <f>IF(B149="","",IF(ISNA(VLOOKUP($B149,'E-1 Off-Site Hedge Baseline'!$B$1:$X$257,16,FALSE)),"",(VLOOKUP($B149,'E-1 Off-Site Hedge Baseline'!$B$1:$X$257,16,FALSE))))</f>
        <v/>
      </c>
      <c r="L149" s="283" t="str">
        <f>IF(B149="","",IF(ISNA(VLOOKUP($B149,'E-1 Off-Site Hedge Baseline'!$B$1:$X$257,12,FALSE)),"",(VLOOKUP($B149,'E-1 Off-Site Hedge Baseline'!$B$1:$X$257,12,FALSE))))</f>
        <v/>
      </c>
      <c r="M149" s="244"/>
      <c r="N149" s="275" t="str">
        <f>IFERROR(IF(B149="","",INDEX('G-6 Hedgerow Data'!$AN$3:$AZ$15,MATCH(C149,'G-6 Hedgerow Data'!$AM$3:$AM$15,0),MATCH(M149,'G-6 Hedgerow Data'!$AN$2:$AZ$2,0))),"")</f>
        <v/>
      </c>
      <c r="O149" s="276" t="str">
        <f t="shared" si="17"/>
        <v/>
      </c>
      <c r="P149" s="281" t="str">
        <f>IF(B149="","",VLOOKUP(B149,'E-1 Off-Site Hedge Baseline'!$B$10:W394,19,FALSE))</f>
        <v/>
      </c>
      <c r="Q149" s="275" t="str">
        <f>IF(M149="","",VLOOKUP(M149,'G-6 Hedgerow Data'!$B$2:$AG$15,2,FALSE))</f>
        <v/>
      </c>
      <c r="R149" s="276" t="str">
        <f>IF(M149="","",VLOOKUP(M149,'G-6 Hedgerow Data'!$B$2:$AG$15,3,FALSE))</f>
        <v/>
      </c>
      <c r="S149" s="101"/>
      <c r="T149" s="276" t="str">
        <f>IFERROR(IF(S149="","",IF(AND(M149="Non-native and ornamental hedgerow",S149&lt;&gt;"Poor"),"Not possible ▲",(IF(AND(Q149="V.Low",OR(S149="Good",S149="Moderate")),"Error ▲",VLOOKUP(S149,'G-1 All Habitats'!$Z$2:$AA$9,2,FALSE))))),"")</f>
        <v/>
      </c>
      <c r="U149" s="101"/>
      <c r="V149" s="283" t="str">
        <f>IF(U149="","",IF(VLOOKUP(U149,'G-3 Multipliers'!$L$3:$N$6,2,FALSE)=0,"Spatial Data Missing ⚠",VLOOKUP(U149,'G-3 Multipliers'!$L$3:$N$6,2,FALSE)))</f>
        <v/>
      </c>
      <c r="W149" s="281" t="str">
        <f>IF(U149="","",IF(VLOOKUP(U149,'G-3 Multipliers'!$L$3:$N$6,3,FALSE)=0,"Spatial Data Missing ⚠",VLOOKUP(U149,'G-3 Multipliers'!$L$3:$N$6,3,FALSE)))</f>
        <v/>
      </c>
      <c r="X149" s="275" t="str">
        <f>IFERROR(IF(OR(LEFT(O149,5)="Error",LEFT(N149,5)="Error",T149="Error"),"Check Data ⚠",IF(F149&lt;R149,INDEX('G-6 Hedgerow Data'!$S$3:$AE$14,MATCH(C149,'G-6 Hedgerow Data'!$B$3:$B$14,0),MATCH(M149,'G-6 Hedgerow Data'!$S$2:$AE$2,0)),INDEX('G-6 Hedgerow Data'!$K$3:$Q$14,MATCH(M149,'G-6 Hedgerow Data'!$B$3:$B$14,0),MATCH(O149,'G-6 Hedgerow Data'!$K$2:$Q$2,0)))),"")</f>
        <v/>
      </c>
      <c r="Y149" s="133"/>
      <c r="Z149" s="133"/>
      <c r="AA149" s="283" t="str">
        <f t="shared" si="18"/>
        <v/>
      </c>
      <c r="AB149" s="296" t="str">
        <f t="shared" si="19"/>
        <v/>
      </c>
      <c r="AC149" s="297" t="str">
        <f t="shared" si="16"/>
        <v/>
      </c>
      <c r="AD149" s="311" t="str">
        <f>IF(M149="","",VLOOKUP(M149,'G-6 Hedgerow Data'!$B$3:$AG$15,31,FALSE))</f>
        <v/>
      </c>
      <c r="AE149" s="295" t="str">
        <f t="shared" si="20"/>
        <v/>
      </c>
      <c r="AF149" s="283" t="str">
        <f t="shared" si="21"/>
        <v/>
      </c>
      <c r="AG149" s="299" t="str">
        <f>IFERROR(IF(O149="","",VLOOKUP(AD149,'G-3 Multipliers'!$P$3:$Q$6,2,FALSE)),"")</f>
        <v/>
      </c>
      <c r="AH149" s="713" t="str">
        <f>IF(B149="","",IF(ISNA(VLOOKUP($B149,'E-1 Off-Site Hedge Baseline'!$B$1:$Z$257,14,FALSE)),"",(VLOOKUP($B149,'E-1 Off-Site Hedge Baseline'!$B$1:$Z$257,14,FALSE))))</f>
        <v/>
      </c>
      <c r="AI149" s="276" t="str">
        <f>IF(AH149="","",IF(VLOOKUP(AH149,'G-3 Multipliers'!$S$3:$T$10,2,FALSE)=0,"Spatial Data Missing ⚠",VLOOKUP(AH149,'G-3 Multipliers'!$S$3:$T$10,2,FALSE)))</f>
        <v/>
      </c>
      <c r="AJ149" s="317" t="str">
        <f t="shared" si="22"/>
        <v/>
      </c>
      <c r="AK149" s="289" t="str">
        <f t="shared" si="23"/>
        <v/>
      </c>
      <c r="AL149" s="101"/>
      <c r="AM149" s="115"/>
      <c r="AN149" s="104"/>
      <c r="AO149" s="104"/>
      <c r="AQ149" s="30" t="str">
        <f>IFERROR(INDEX('G-6 Hedgerow Data'!$BJ$3:$BJ$15,MATCH(M149,'G-6 Hedgerow Data'!$B$3:$B$15,0)),"")</f>
        <v/>
      </c>
    </row>
    <row r="150" spans="2:43" ht="14">
      <c r="B150" s="305" t="str">
        <f>'E-1 Off-Site Hedge Baseline'!AN148</f>
        <v/>
      </c>
      <c r="C150" s="295" t="str">
        <f>IF(B150="","",IF(ISNA(VLOOKUP($B150,'E-1 Off-Site Hedge Baseline'!$B$1:$L$257,3,FALSE)),"",(VLOOKUP($B150,'E-1 Off-Site Hedge Baseline'!$B$1:$L$257,3,FALSE))))</f>
        <v/>
      </c>
      <c r="D150" s="295" t="str">
        <f>IF(B150="","",IF(ISNA(VLOOKUP($B150,'E-1 Off-Site Hedge Baseline'!$B$1:$L$258,4,FALSE)),"",(VLOOKUP($B150,'E-1 Off-Site Hedge Baseline'!$B$1:$L$258,4,FALSE))))</f>
        <v/>
      </c>
      <c r="E150" s="295" t="str">
        <f>IF(B150="","",IF(ISNA(VLOOKUP($B150,'E-1 Off-Site Hedge Baseline'!$B$1:$L$257,5,FALSE)),"",(VLOOKUP($B150,'E-1 Off-Site Hedge Baseline'!$B$1:$L$257,5,FALSE))))</f>
        <v/>
      </c>
      <c r="F150" s="295" t="str">
        <f>IF(B150="","",IF(ISNA(VLOOKUP($B150,'E-1 Off-Site Hedge Baseline'!$B$1:$L$257,6,FALSE)),"",(VLOOKUP($B150,'E-1 Off-Site Hedge Baseline'!$B$1:$L$257,6,FALSE))))</f>
        <v/>
      </c>
      <c r="G150" s="295" t="str">
        <f>IF(B150="","",IF(ISNA(VLOOKUP($B150,'E-1 Off-Site Hedge Baseline'!$B$1:$L$257,7,FALSE)),"",(VLOOKUP($B150,'E-1 Off-Site Hedge Baseline'!$B$1:$L$257,7,FALSE))))</f>
        <v/>
      </c>
      <c r="H150" s="295" t="str">
        <f>IF(B150="","",IF(ISNA(VLOOKUP($B150,'E-1 Off-Site Hedge Baseline'!$B$1:$L$257,8,FALSE)),"",(VLOOKUP($B150,'E-1 Off-Site Hedge Baseline'!$B$1:$L$257,8,FALSE))))</f>
        <v/>
      </c>
      <c r="I150" s="295" t="str">
        <f>IF(B150="","",IF(ISNA(VLOOKUP($B150,'E-1 Off-Site Hedge Baseline'!$B$1:$L$257,10,FALSE)),"",(VLOOKUP($B150,'E-1 Off-Site Hedge Baseline'!$B$1:$L$257,10,FALSE))))</f>
        <v/>
      </c>
      <c r="J150" s="295" t="str">
        <f>IF(B150="","",IF(ISNA(VLOOKUP($B150,'E-1 Off-Site Hedge Baseline'!$B$1:$L$257,11,FALSE)),"",(VLOOKUP($B150,'E-1 Off-Site Hedge Baseline'!$B$1:$L$257,11,FALSE))))</f>
        <v/>
      </c>
      <c r="K150" s="295" t="str">
        <f>IF(B150="","",IF(ISNA(VLOOKUP($B150,'E-1 Off-Site Hedge Baseline'!$B$1:$X$257,16,FALSE)),"",(VLOOKUP($B150,'E-1 Off-Site Hedge Baseline'!$B$1:$X$257,16,FALSE))))</f>
        <v/>
      </c>
      <c r="L150" s="283" t="str">
        <f>IF(B150="","",IF(ISNA(VLOOKUP($B150,'E-1 Off-Site Hedge Baseline'!$B$1:$X$257,12,FALSE)),"",(VLOOKUP($B150,'E-1 Off-Site Hedge Baseline'!$B$1:$X$257,12,FALSE))))</f>
        <v/>
      </c>
      <c r="M150" s="244"/>
      <c r="N150" s="275" t="str">
        <f>IFERROR(IF(B150="","",INDEX('G-6 Hedgerow Data'!$AN$3:$AZ$15,MATCH(C150,'G-6 Hedgerow Data'!$AM$3:$AM$15,0),MATCH(M150,'G-6 Hedgerow Data'!$AN$2:$AZ$2,0))),"")</f>
        <v/>
      </c>
      <c r="O150" s="276" t="str">
        <f t="shared" si="17"/>
        <v/>
      </c>
      <c r="P150" s="281" t="str">
        <f>IF(B150="","",VLOOKUP(B150,'E-1 Off-Site Hedge Baseline'!$B$10:W395,19,FALSE))</f>
        <v/>
      </c>
      <c r="Q150" s="275" t="str">
        <f>IF(M150="","",VLOOKUP(M150,'G-6 Hedgerow Data'!$B$2:$AG$15,2,FALSE))</f>
        <v/>
      </c>
      <c r="R150" s="276" t="str">
        <f>IF(M150="","",VLOOKUP(M150,'G-6 Hedgerow Data'!$B$2:$AG$15,3,FALSE))</f>
        <v/>
      </c>
      <c r="S150" s="101"/>
      <c r="T150" s="276" t="str">
        <f>IFERROR(IF(S150="","",IF(AND(M150="Non-native and ornamental hedgerow",S150&lt;&gt;"Poor"),"Not possible ▲",(IF(AND(Q150="V.Low",OR(S150="Good",S150="Moderate")),"Error ▲",VLOOKUP(S150,'G-1 All Habitats'!$Z$2:$AA$9,2,FALSE))))),"")</f>
        <v/>
      </c>
      <c r="U150" s="101"/>
      <c r="V150" s="283" t="str">
        <f>IF(U150="","",IF(VLOOKUP(U150,'G-3 Multipliers'!$L$3:$N$6,2,FALSE)=0,"Spatial Data Missing ⚠",VLOOKUP(U150,'G-3 Multipliers'!$L$3:$N$6,2,FALSE)))</f>
        <v/>
      </c>
      <c r="W150" s="281" t="str">
        <f>IF(U150="","",IF(VLOOKUP(U150,'G-3 Multipliers'!$L$3:$N$6,3,FALSE)=0,"Spatial Data Missing ⚠",VLOOKUP(U150,'G-3 Multipliers'!$L$3:$N$6,3,FALSE)))</f>
        <v/>
      </c>
      <c r="X150" s="275" t="str">
        <f>IFERROR(IF(OR(LEFT(O150,5)="Error",LEFT(N150,5)="Error",T150="Error"),"Check Data ⚠",IF(F150&lt;R150,INDEX('G-6 Hedgerow Data'!$S$3:$AE$14,MATCH(C150,'G-6 Hedgerow Data'!$B$3:$B$14,0),MATCH(M150,'G-6 Hedgerow Data'!$S$2:$AE$2,0)),INDEX('G-6 Hedgerow Data'!$K$3:$Q$14,MATCH(M150,'G-6 Hedgerow Data'!$B$3:$B$14,0),MATCH(O150,'G-6 Hedgerow Data'!$K$2:$Q$2,0)))),"")</f>
        <v/>
      </c>
      <c r="Y150" s="133"/>
      <c r="Z150" s="133"/>
      <c r="AA150" s="283" t="str">
        <f t="shared" si="18"/>
        <v/>
      </c>
      <c r="AB150" s="296" t="str">
        <f t="shared" si="19"/>
        <v/>
      </c>
      <c r="AC150" s="297" t="str">
        <f t="shared" si="16"/>
        <v/>
      </c>
      <c r="AD150" s="311" t="str">
        <f>IF(M150="","",VLOOKUP(M150,'G-6 Hedgerow Data'!$B$3:$AG$15,31,FALSE))</f>
        <v/>
      </c>
      <c r="AE150" s="295" t="str">
        <f t="shared" si="20"/>
        <v/>
      </c>
      <c r="AF150" s="283" t="str">
        <f t="shared" si="21"/>
        <v/>
      </c>
      <c r="AG150" s="299" t="str">
        <f>IFERROR(IF(O150="","",VLOOKUP(AD150,'G-3 Multipliers'!$P$3:$Q$6,2,FALSE)),"")</f>
        <v/>
      </c>
      <c r="AH150" s="713" t="str">
        <f>IF(B150="","",IF(ISNA(VLOOKUP($B150,'E-1 Off-Site Hedge Baseline'!$B$1:$Z$257,14,FALSE)),"",(VLOOKUP($B150,'E-1 Off-Site Hedge Baseline'!$B$1:$Z$257,14,FALSE))))</f>
        <v/>
      </c>
      <c r="AI150" s="276" t="str">
        <f>IF(AH150="","",IF(VLOOKUP(AH150,'G-3 Multipliers'!$S$3:$T$10,2,FALSE)=0,"Spatial Data Missing ⚠",VLOOKUP(AH150,'G-3 Multipliers'!$S$3:$T$10,2,FALSE)))</f>
        <v/>
      </c>
      <c r="AJ150" s="317" t="str">
        <f t="shared" si="22"/>
        <v/>
      </c>
      <c r="AK150" s="289" t="str">
        <f t="shared" si="23"/>
        <v/>
      </c>
      <c r="AL150" s="101"/>
      <c r="AM150" s="115"/>
      <c r="AN150" s="104"/>
      <c r="AO150" s="104"/>
      <c r="AQ150" s="30" t="str">
        <f>IFERROR(INDEX('G-6 Hedgerow Data'!$BJ$3:$BJ$15,MATCH(M150,'G-6 Hedgerow Data'!$B$3:$B$15,0)),"")</f>
        <v/>
      </c>
    </row>
    <row r="151" spans="2:43" ht="14">
      <c r="B151" s="305" t="str">
        <f>'E-1 Off-Site Hedge Baseline'!AN149</f>
        <v/>
      </c>
      <c r="C151" s="295" t="str">
        <f>IF(B151="","",IF(ISNA(VLOOKUP($B151,'E-1 Off-Site Hedge Baseline'!$B$1:$L$257,3,FALSE)),"",(VLOOKUP($B151,'E-1 Off-Site Hedge Baseline'!$B$1:$L$257,3,FALSE))))</f>
        <v/>
      </c>
      <c r="D151" s="295" t="str">
        <f>IF(B151="","",IF(ISNA(VLOOKUP($B151,'E-1 Off-Site Hedge Baseline'!$B$1:$L$258,4,FALSE)),"",(VLOOKUP($B151,'E-1 Off-Site Hedge Baseline'!$B$1:$L$258,4,FALSE))))</f>
        <v/>
      </c>
      <c r="E151" s="295" t="str">
        <f>IF(B151="","",IF(ISNA(VLOOKUP($B151,'E-1 Off-Site Hedge Baseline'!$B$1:$L$257,5,FALSE)),"",(VLOOKUP($B151,'E-1 Off-Site Hedge Baseline'!$B$1:$L$257,5,FALSE))))</f>
        <v/>
      </c>
      <c r="F151" s="295" t="str">
        <f>IF(B151="","",IF(ISNA(VLOOKUP($B151,'E-1 Off-Site Hedge Baseline'!$B$1:$L$257,6,FALSE)),"",(VLOOKUP($B151,'E-1 Off-Site Hedge Baseline'!$B$1:$L$257,6,FALSE))))</f>
        <v/>
      </c>
      <c r="G151" s="295" t="str">
        <f>IF(B151="","",IF(ISNA(VLOOKUP($B151,'E-1 Off-Site Hedge Baseline'!$B$1:$L$257,7,FALSE)),"",(VLOOKUP($B151,'E-1 Off-Site Hedge Baseline'!$B$1:$L$257,7,FALSE))))</f>
        <v/>
      </c>
      <c r="H151" s="295" t="str">
        <f>IF(B151="","",IF(ISNA(VLOOKUP($B151,'E-1 Off-Site Hedge Baseline'!$B$1:$L$257,8,FALSE)),"",(VLOOKUP($B151,'E-1 Off-Site Hedge Baseline'!$B$1:$L$257,8,FALSE))))</f>
        <v/>
      </c>
      <c r="I151" s="295" t="str">
        <f>IF(B151="","",IF(ISNA(VLOOKUP($B151,'E-1 Off-Site Hedge Baseline'!$B$1:$L$257,10,FALSE)),"",(VLOOKUP($B151,'E-1 Off-Site Hedge Baseline'!$B$1:$L$257,10,FALSE))))</f>
        <v/>
      </c>
      <c r="J151" s="295" t="str">
        <f>IF(B151="","",IF(ISNA(VLOOKUP($B151,'E-1 Off-Site Hedge Baseline'!$B$1:$L$257,11,FALSE)),"",(VLOOKUP($B151,'E-1 Off-Site Hedge Baseline'!$B$1:$L$257,11,FALSE))))</f>
        <v/>
      </c>
      <c r="K151" s="295" t="str">
        <f>IF(B151="","",IF(ISNA(VLOOKUP($B151,'E-1 Off-Site Hedge Baseline'!$B$1:$X$257,16,FALSE)),"",(VLOOKUP($B151,'E-1 Off-Site Hedge Baseline'!$B$1:$X$257,16,FALSE))))</f>
        <v/>
      </c>
      <c r="L151" s="283" t="str">
        <f>IF(B151="","",IF(ISNA(VLOOKUP($B151,'E-1 Off-Site Hedge Baseline'!$B$1:$X$257,12,FALSE)),"",(VLOOKUP($B151,'E-1 Off-Site Hedge Baseline'!$B$1:$X$257,12,FALSE))))</f>
        <v/>
      </c>
      <c r="M151" s="244"/>
      <c r="N151" s="275" t="str">
        <f>IFERROR(IF(B151="","",INDEX('G-6 Hedgerow Data'!$AN$3:$AZ$15,MATCH(C151,'G-6 Hedgerow Data'!$AM$3:$AM$15,0),MATCH(M151,'G-6 Hedgerow Data'!$AN$2:$AZ$2,0))),"")</f>
        <v/>
      </c>
      <c r="O151" s="276" t="str">
        <f t="shared" si="17"/>
        <v/>
      </c>
      <c r="P151" s="281" t="str">
        <f>IF(B151="","",VLOOKUP(B151,'E-1 Off-Site Hedge Baseline'!$B$10:W396,19,FALSE))</f>
        <v/>
      </c>
      <c r="Q151" s="275" t="str">
        <f>IF(M151="","",VLOOKUP(M151,'G-6 Hedgerow Data'!$B$2:$AG$15,2,FALSE))</f>
        <v/>
      </c>
      <c r="R151" s="276" t="str">
        <f>IF(M151="","",VLOOKUP(M151,'G-6 Hedgerow Data'!$B$2:$AG$15,3,FALSE))</f>
        <v/>
      </c>
      <c r="S151" s="101"/>
      <c r="T151" s="276" t="str">
        <f>IFERROR(IF(S151="","",IF(AND(M151="Non-native and ornamental hedgerow",S151&lt;&gt;"Poor"),"Not possible ▲",(IF(AND(Q151="V.Low",OR(S151="Good",S151="Moderate")),"Error ▲",VLOOKUP(S151,'G-1 All Habitats'!$Z$2:$AA$9,2,FALSE))))),"")</f>
        <v/>
      </c>
      <c r="U151" s="101"/>
      <c r="V151" s="283" t="str">
        <f>IF(U151="","",IF(VLOOKUP(U151,'G-3 Multipliers'!$L$3:$N$6,2,FALSE)=0,"Spatial Data Missing ⚠",VLOOKUP(U151,'G-3 Multipliers'!$L$3:$N$6,2,FALSE)))</f>
        <v/>
      </c>
      <c r="W151" s="281" t="str">
        <f>IF(U151="","",IF(VLOOKUP(U151,'G-3 Multipliers'!$L$3:$N$6,3,FALSE)=0,"Spatial Data Missing ⚠",VLOOKUP(U151,'G-3 Multipliers'!$L$3:$N$6,3,FALSE)))</f>
        <v/>
      </c>
      <c r="X151" s="275" t="str">
        <f>IFERROR(IF(OR(LEFT(O151,5)="Error",LEFT(N151,5)="Error",T151="Error"),"Check Data ⚠",IF(F151&lt;R151,INDEX('G-6 Hedgerow Data'!$S$3:$AE$14,MATCH(C151,'G-6 Hedgerow Data'!$B$3:$B$14,0),MATCH(M151,'G-6 Hedgerow Data'!$S$2:$AE$2,0)),INDEX('G-6 Hedgerow Data'!$K$3:$Q$14,MATCH(M151,'G-6 Hedgerow Data'!$B$3:$B$14,0),MATCH(O151,'G-6 Hedgerow Data'!$K$2:$Q$2,0)))),"")</f>
        <v/>
      </c>
      <c r="Y151" s="133"/>
      <c r="Z151" s="133"/>
      <c r="AA151" s="283" t="str">
        <f t="shared" si="18"/>
        <v/>
      </c>
      <c r="AB151" s="296" t="str">
        <f t="shared" si="19"/>
        <v/>
      </c>
      <c r="AC151" s="297" t="str">
        <f t="shared" si="16"/>
        <v/>
      </c>
      <c r="AD151" s="311" t="str">
        <f>IF(M151="","",VLOOKUP(M151,'G-6 Hedgerow Data'!$B$3:$AG$15,31,FALSE))</f>
        <v/>
      </c>
      <c r="AE151" s="295" t="str">
        <f t="shared" si="20"/>
        <v/>
      </c>
      <c r="AF151" s="283" t="str">
        <f t="shared" si="21"/>
        <v/>
      </c>
      <c r="AG151" s="299" t="str">
        <f>IFERROR(IF(O151="","",VLOOKUP(AD151,'G-3 Multipliers'!$P$3:$Q$6,2,FALSE)),"")</f>
        <v/>
      </c>
      <c r="AH151" s="713" t="str">
        <f>IF(B151="","",IF(ISNA(VLOOKUP($B151,'E-1 Off-Site Hedge Baseline'!$B$1:$Z$257,14,FALSE)),"",(VLOOKUP($B151,'E-1 Off-Site Hedge Baseline'!$B$1:$Z$257,14,FALSE))))</f>
        <v/>
      </c>
      <c r="AI151" s="276" t="str">
        <f>IF(AH151="","",IF(VLOOKUP(AH151,'G-3 Multipliers'!$S$3:$T$10,2,FALSE)=0,"Spatial Data Missing ⚠",VLOOKUP(AH151,'G-3 Multipliers'!$S$3:$T$10,2,FALSE)))</f>
        <v/>
      </c>
      <c r="AJ151" s="317" t="str">
        <f t="shared" si="22"/>
        <v/>
      </c>
      <c r="AK151" s="289" t="str">
        <f t="shared" si="23"/>
        <v/>
      </c>
      <c r="AL151" s="101"/>
      <c r="AM151" s="115"/>
      <c r="AN151" s="104"/>
      <c r="AO151" s="104"/>
      <c r="AQ151" s="30" t="str">
        <f>IFERROR(INDEX('G-6 Hedgerow Data'!$BJ$3:$BJ$15,MATCH(M151,'G-6 Hedgerow Data'!$B$3:$B$15,0)),"")</f>
        <v/>
      </c>
    </row>
    <row r="152" spans="2:43" ht="14">
      <c r="B152" s="305" t="str">
        <f>'E-1 Off-Site Hedge Baseline'!AN150</f>
        <v/>
      </c>
      <c r="C152" s="295" t="str">
        <f>IF(B152="","",IF(ISNA(VLOOKUP($B152,'E-1 Off-Site Hedge Baseline'!$B$1:$L$257,3,FALSE)),"",(VLOOKUP($B152,'E-1 Off-Site Hedge Baseline'!$B$1:$L$257,3,FALSE))))</f>
        <v/>
      </c>
      <c r="D152" s="295" t="str">
        <f>IF(B152="","",IF(ISNA(VLOOKUP($B152,'E-1 Off-Site Hedge Baseline'!$B$1:$L$258,4,FALSE)),"",(VLOOKUP($B152,'E-1 Off-Site Hedge Baseline'!$B$1:$L$258,4,FALSE))))</f>
        <v/>
      </c>
      <c r="E152" s="295" t="str">
        <f>IF(B152="","",IF(ISNA(VLOOKUP($B152,'E-1 Off-Site Hedge Baseline'!$B$1:$L$257,5,FALSE)),"",(VLOOKUP($B152,'E-1 Off-Site Hedge Baseline'!$B$1:$L$257,5,FALSE))))</f>
        <v/>
      </c>
      <c r="F152" s="295" t="str">
        <f>IF(B152="","",IF(ISNA(VLOOKUP($B152,'E-1 Off-Site Hedge Baseline'!$B$1:$L$257,6,FALSE)),"",(VLOOKUP($B152,'E-1 Off-Site Hedge Baseline'!$B$1:$L$257,6,FALSE))))</f>
        <v/>
      </c>
      <c r="G152" s="295" t="str">
        <f>IF(B152="","",IF(ISNA(VLOOKUP($B152,'E-1 Off-Site Hedge Baseline'!$B$1:$L$257,7,FALSE)),"",(VLOOKUP($B152,'E-1 Off-Site Hedge Baseline'!$B$1:$L$257,7,FALSE))))</f>
        <v/>
      </c>
      <c r="H152" s="295" t="str">
        <f>IF(B152="","",IF(ISNA(VLOOKUP($B152,'E-1 Off-Site Hedge Baseline'!$B$1:$L$257,8,FALSE)),"",(VLOOKUP($B152,'E-1 Off-Site Hedge Baseline'!$B$1:$L$257,8,FALSE))))</f>
        <v/>
      </c>
      <c r="I152" s="295" t="str">
        <f>IF(B152="","",IF(ISNA(VLOOKUP($B152,'E-1 Off-Site Hedge Baseline'!$B$1:$L$257,10,FALSE)),"",(VLOOKUP($B152,'E-1 Off-Site Hedge Baseline'!$B$1:$L$257,10,FALSE))))</f>
        <v/>
      </c>
      <c r="J152" s="295" t="str">
        <f>IF(B152="","",IF(ISNA(VLOOKUP($B152,'E-1 Off-Site Hedge Baseline'!$B$1:$L$257,11,FALSE)),"",(VLOOKUP($B152,'E-1 Off-Site Hedge Baseline'!$B$1:$L$257,11,FALSE))))</f>
        <v/>
      </c>
      <c r="K152" s="295" t="str">
        <f>IF(B152="","",IF(ISNA(VLOOKUP($B152,'E-1 Off-Site Hedge Baseline'!$B$1:$X$257,16,FALSE)),"",(VLOOKUP($B152,'E-1 Off-Site Hedge Baseline'!$B$1:$X$257,16,FALSE))))</f>
        <v/>
      </c>
      <c r="L152" s="283" t="str">
        <f>IF(B152="","",IF(ISNA(VLOOKUP($B152,'E-1 Off-Site Hedge Baseline'!$B$1:$X$257,12,FALSE)),"",(VLOOKUP($B152,'E-1 Off-Site Hedge Baseline'!$B$1:$X$257,12,FALSE))))</f>
        <v/>
      </c>
      <c r="M152" s="244"/>
      <c r="N152" s="275" t="str">
        <f>IFERROR(IF(B152="","",INDEX('G-6 Hedgerow Data'!$AN$3:$AZ$15,MATCH(C152,'G-6 Hedgerow Data'!$AM$3:$AM$15,0),MATCH(M152,'G-6 Hedgerow Data'!$AN$2:$AZ$2,0))),"")</f>
        <v/>
      </c>
      <c r="O152" s="276" t="str">
        <f t="shared" si="17"/>
        <v/>
      </c>
      <c r="P152" s="281" t="str">
        <f>IF(B152="","",VLOOKUP(B152,'E-1 Off-Site Hedge Baseline'!$B$10:W397,19,FALSE))</f>
        <v/>
      </c>
      <c r="Q152" s="275" t="str">
        <f>IF(M152="","",VLOOKUP(M152,'G-6 Hedgerow Data'!$B$2:$AG$15,2,FALSE))</f>
        <v/>
      </c>
      <c r="R152" s="276" t="str">
        <f>IF(M152="","",VLOOKUP(M152,'G-6 Hedgerow Data'!$B$2:$AG$15,3,FALSE))</f>
        <v/>
      </c>
      <c r="S152" s="101"/>
      <c r="T152" s="276" t="str">
        <f>IFERROR(IF(S152="","",IF(AND(M152="Non-native and ornamental hedgerow",S152&lt;&gt;"Poor"),"Not possible ▲",(IF(AND(Q152="V.Low",OR(S152="Good",S152="Moderate")),"Error ▲",VLOOKUP(S152,'G-1 All Habitats'!$Z$2:$AA$9,2,FALSE))))),"")</f>
        <v/>
      </c>
      <c r="U152" s="101"/>
      <c r="V152" s="283" t="str">
        <f>IF(U152="","",IF(VLOOKUP(U152,'G-3 Multipliers'!$L$3:$N$6,2,FALSE)=0,"Spatial Data Missing ⚠",VLOOKUP(U152,'G-3 Multipliers'!$L$3:$N$6,2,FALSE)))</f>
        <v/>
      </c>
      <c r="W152" s="281" t="str">
        <f>IF(U152="","",IF(VLOOKUP(U152,'G-3 Multipliers'!$L$3:$N$6,3,FALSE)=0,"Spatial Data Missing ⚠",VLOOKUP(U152,'G-3 Multipliers'!$L$3:$N$6,3,FALSE)))</f>
        <v/>
      </c>
      <c r="X152" s="275" t="str">
        <f>IFERROR(IF(OR(LEFT(O152,5)="Error",LEFT(N152,5)="Error",T152="Error"),"Check Data ⚠",IF(F152&lt;R152,INDEX('G-6 Hedgerow Data'!$S$3:$AE$14,MATCH(C152,'G-6 Hedgerow Data'!$B$3:$B$14,0),MATCH(M152,'G-6 Hedgerow Data'!$S$2:$AE$2,0)),INDEX('G-6 Hedgerow Data'!$K$3:$Q$14,MATCH(M152,'G-6 Hedgerow Data'!$B$3:$B$14,0),MATCH(O152,'G-6 Hedgerow Data'!$K$2:$Q$2,0)))),"")</f>
        <v/>
      </c>
      <c r="Y152" s="133"/>
      <c r="Z152" s="133"/>
      <c r="AA152" s="283" t="str">
        <f t="shared" si="18"/>
        <v/>
      </c>
      <c r="AB152" s="296" t="str">
        <f t="shared" si="19"/>
        <v/>
      </c>
      <c r="AC152" s="297" t="str">
        <f t="shared" si="16"/>
        <v/>
      </c>
      <c r="AD152" s="311" t="str">
        <f>IF(M152="","",VLOOKUP(M152,'G-6 Hedgerow Data'!$B$3:$AG$15,31,FALSE))</f>
        <v/>
      </c>
      <c r="AE152" s="295" t="str">
        <f t="shared" si="20"/>
        <v/>
      </c>
      <c r="AF152" s="283" t="str">
        <f t="shared" si="21"/>
        <v/>
      </c>
      <c r="AG152" s="299" t="str">
        <f>IFERROR(IF(O152="","",VLOOKUP(AD152,'G-3 Multipliers'!$P$3:$Q$6,2,FALSE)),"")</f>
        <v/>
      </c>
      <c r="AH152" s="713" t="str">
        <f>IF(B152="","",IF(ISNA(VLOOKUP($B152,'E-1 Off-Site Hedge Baseline'!$B$1:$Z$257,14,FALSE)),"",(VLOOKUP($B152,'E-1 Off-Site Hedge Baseline'!$B$1:$Z$257,14,FALSE))))</f>
        <v/>
      </c>
      <c r="AI152" s="276" t="str">
        <f>IF(AH152="","",IF(VLOOKUP(AH152,'G-3 Multipliers'!$S$3:$T$10,2,FALSE)=0,"Spatial Data Missing ⚠",VLOOKUP(AH152,'G-3 Multipliers'!$S$3:$T$10,2,FALSE)))</f>
        <v/>
      </c>
      <c r="AJ152" s="317" t="str">
        <f t="shared" si="22"/>
        <v/>
      </c>
      <c r="AK152" s="289" t="str">
        <f t="shared" si="23"/>
        <v/>
      </c>
      <c r="AL152" s="101"/>
      <c r="AM152" s="115"/>
      <c r="AN152" s="104"/>
      <c r="AO152" s="104"/>
      <c r="AQ152" s="30" t="str">
        <f>IFERROR(INDEX('G-6 Hedgerow Data'!$BJ$3:$BJ$15,MATCH(M152,'G-6 Hedgerow Data'!$B$3:$B$15,0)),"")</f>
        <v/>
      </c>
    </row>
    <row r="153" spans="2:43" ht="14">
      <c r="B153" s="305" t="str">
        <f>'E-1 Off-Site Hedge Baseline'!AN151</f>
        <v/>
      </c>
      <c r="C153" s="295" t="str">
        <f>IF(B153="","",IF(ISNA(VLOOKUP($B153,'E-1 Off-Site Hedge Baseline'!$B$1:$L$257,3,FALSE)),"",(VLOOKUP($B153,'E-1 Off-Site Hedge Baseline'!$B$1:$L$257,3,FALSE))))</f>
        <v/>
      </c>
      <c r="D153" s="295" t="str">
        <f>IF(B153="","",IF(ISNA(VLOOKUP($B153,'E-1 Off-Site Hedge Baseline'!$B$1:$L$258,4,FALSE)),"",(VLOOKUP($B153,'E-1 Off-Site Hedge Baseline'!$B$1:$L$258,4,FALSE))))</f>
        <v/>
      </c>
      <c r="E153" s="295" t="str">
        <f>IF(B153="","",IF(ISNA(VLOOKUP($B153,'E-1 Off-Site Hedge Baseline'!$B$1:$L$257,5,FALSE)),"",(VLOOKUP($B153,'E-1 Off-Site Hedge Baseline'!$B$1:$L$257,5,FALSE))))</f>
        <v/>
      </c>
      <c r="F153" s="295" t="str">
        <f>IF(B153="","",IF(ISNA(VLOOKUP($B153,'E-1 Off-Site Hedge Baseline'!$B$1:$L$257,6,FALSE)),"",(VLOOKUP($B153,'E-1 Off-Site Hedge Baseline'!$B$1:$L$257,6,FALSE))))</f>
        <v/>
      </c>
      <c r="G153" s="295" t="str">
        <f>IF(B153="","",IF(ISNA(VLOOKUP($B153,'E-1 Off-Site Hedge Baseline'!$B$1:$L$257,7,FALSE)),"",(VLOOKUP($B153,'E-1 Off-Site Hedge Baseline'!$B$1:$L$257,7,FALSE))))</f>
        <v/>
      </c>
      <c r="H153" s="295" t="str">
        <f>IF(B153="","",IF(ISNA(VLOOKUP($B153,'E-1 Off-Site Hedge Baseline'!$B$1:$L$257,8,FALSE)),"",(VLOOKUP($B153,'E-1 Off-Site Hedge Baseline'!$B$1:$L$257,8,FALSE))))</f>
        <v/>
      </c>
      <c r="I153" s="295" t="str">
        <f>IF(B153="","",IF(ISNA(VLOOKUP($B153,'E-1 Off-Site Hedge Baseline'!$B$1:$L$257,10,FALSE)),"",(VLOOKUP($B153,'E-1 Off-Site Hedge Baseline'!$B$1:$L$257,10,FALSE))))</f>
        <v/>
      </c>
      <c r="J153" s="295" t="str">
        <f>IF(B153="","",IF(ISNA(VLOOKUP($B153,'E-1 Off-Site Hedge Baseline'!$B$1:$L$257,11,FALSE)),"",(VLOOKUP($B153,'E-1 Off-Site Hedge Baseline'!$B$1:$L$257,11,FALSE))))</f>
        <v/>
      </c>
      <c r="K153" s="295" t="str">
        <f>IF(B153="","",IF(ISNA(VLOOKUP($B153,'E-1 Off-Site Hedge Baseline'!$B$1:$X$257,16,FALSE)),"",(VLOOKUP($B153,'E-1 Off-Site Hedge Baseline'!$B$1:$X$257,16,FALSE))))</f>
        <v/>
      </c>
      <c r="L153" s="283" t="str">
        <f>IF(B153="","",IF(ISNA(VLOOKUP($B153,'E-1 Off-Site Hedge Baseline'!$B$1:$X$257,12,FALSE)),"",(VLOOKUP($B153,'E-1 Off-Site Hedge Baseline'!$B$1:$X$257,12,FALSE))))</f>
        <v/>
      </c>
      <c r="M153" s="244"/>
      <c r="N153" s="275" t="str">
        <f>IFERROR(IF(B153="","",INDEX('G-6 Hedgerow Data'!$AN$3:$AZ$15,MATCH(C153,'G-6 Hedgerow Data'!$AM$3:$AM$15,0),MATCH(M153,'G-6 Hedgerow Data'!$AN$2:$AZ$2,0))),"")</f>
        <v/>
      </c>
      <c r="O153" s="276" t="str">
        <f t="shared" si="17"/>
        <v/>
      </c>
      <c r="P153" s="281" t="str">
        <f>IF(B153="","",VLOOKUP(B153,'E-1 Off-Site Hedge Baseline'!$B$10:W398,19,FALSE))</f>
        <v/>
      </c>
      <c r="Q153" s="275" t="str">
        <f>IF(M153="","",VLOOKUP(M153,'G-6 Hedgerow Data'!$B$2:$AG$15,2,FALSE))</f>
        <v/>
      </c>
      <c r="R153" s="276" t="str">
        <f>IF(M153="","",VLOOKUP(M153,'G-6 Hedgerow Data'!$B$2:$AG$15,3,FALSE))</f>
        <v/>
      </c>
      <c r="S153" s="101"/>
      <c r="T153" s="276" t="str">
        <f>IFERROR(IF(S153="","",IF(AND(M153="Non-native and ornamental hedgerow",S153&lt;&gt;"Poor"),"Not possible ▲",(IF(AND(Q153="V.Low",OR(S153="Good",S153="Moderate")),"Error ▲",VLOOKUP(S153,'G-1 All Habitats'!$Z$2:$AA$9,2,FALSE))))),"")</f>
        <v/>
      </c>
      <c r="U153" s="101"/>
      <c r="V153" s="283" t="str">
        <f>IF(U153="","",IF(VLOOKUP(U153,'G-3 Multipliers'!$L$3:$N$6,2,FALSE)=0,"Spatial Data Missing ⚠",VLOOKUP(U153,'G-3 Multipliers'!$L$3:$N$6,2,FALSE)))</f>
        <v/>
      </c>
      <c r="W153" s="281" t="str">
        <f>IF(U153="","",IF(VLOOKUP(U153,'G-3 Multipliers'!$L$3:$N$6,3,FALSE)=0,"Spatial Data Missing ⚠",VLOOKUP(U153,'G-3 Multipliers'!$L$3:$N$6,3,FALSE)))</f>
        <v/>
      </c>
      <c r="X153" s="275" t="str">
        <f>IFERROR(IF(OR(LEFT(O153,5)="Error",LEFT(N153,5)="Error",T153="Error"),"Check Data ⚠",IF(F153&lt;R153,INDEX('G-6 Hedgerow Data'!$S$3:$AE$14,MATCH(C153,'G-6 Hedgerow Data'!$B$3:$B$14,0),MATCH(M153,'G-6 Hedgerow Data'!$S$2:$AE$2,0)),INDEX('G-6 Hedgerow Data'!$K$3:$Q$14,MATCH(M153,'G-6 Hedgerow Data'!$B$3:$B$14,0),MATCH(O153,'G-6 Hedgerow Data'!$K$2:$Q$2,0)))),"")</f>
        <v/>
      </c>
      <c r="Y153" s="133"/>
      <c r="Z153" s="133"/>
      <c r="AA153" s="283" t="str">
        <f t="shared" si="18"/>
        <v/>
      </c>
      <c r="AB153" s="296" t="str">
        <f t="shared" si="19"/>
        <v/>
      </c>
      <c r="AC153" s="297" t="str">
        <f t="shared" si="16"/>
        <v/>
      </c>
      <c r="AD153" s="311" t="str">
        <f>IF(M153="","",VLOOKUP(M153,'G-6 Hedgerow Data'!$B$3:$AG$15,31,FALSE))</f>
        <v/>
      </c>
      <c r="AE153" s="295" t="str">
        <f t="shared" si="20"/>
        <v/>
      </c>
      <c r="AF153" s="283" t="str">
        <f t="shared" si="21"/>
        <v/>
      </c>
      <c r="AG153" s="299" t="str">
        <f>IFERROR(IF(O153="","",VLOOKUP(AD153,'G-3 Multipliers'!$P$3:$Q$6,2,FALSE)),"")</f>
        <v/>
      </c>
      <c r="AH153" s="713" t="str">
        <f>IF(B153="","",IF(ISNA(VLOOKUP($B153,'E-1 Off-Site Hedge Baseline'!$B$1:$Z$257,14,FALSE)),"",(VLOOKUP($B153,'E-1 Off-Site Hedge Baseline'!$B$1:$Z$257,14,FALSE))))</f>
        <v/>
      </c>
      <c r="AI153" s="276" t="str">
        <f>IF(AH153="","",IF(VLOOKUP(AH153,'G-3 Multipliers'!$S$3:$T$10,2,FALSE)=0,"Spatial Data Missing ⚠",VLOOKUP(AH153,'G-3 Multipliers'!$S$3:$T$10,2,FALSE)))</f>
        <v/>
      </c>
      <c r="AJ153" s="317" t="str">
        <f t="shared" si="22"/>
        <v/>
      </c>
      <c r="AK153" s="289" t="str">
        <f t="shared" si="23"/>
        <v/>
      </c>
      <c r="AL153" s="101"/>
      <c r="AM153" s="115"/>
      <c r="AN153" s="104"/>
      <c r="AO153" s="104"/>
      <c r="AQ153" s="30" t="str">
        <f>IFERROR(INDEX('G-6 Hedgerow Data'!$BJ$3:$BJ$15,MATCH(M153,'G-6 Hedgerow Data'!$B$3:$B$15,0)),"")</f>
        <v/>
      </c>
    </row>
    <row r="154" spans="2:43" ht="14">
      <c r="B154" s="305" t="str">
        <f>'E-1 Off-Site Hedge Baseline'!AN152</f>
        <v/>
      </c>
      <c r="C154" s="295" t="str">
        <f>IF(B154="","",IF(ISNA(VLOOKUP($B154,'E-1 Off-Site Hedge Baseline'!$B$1:$L$257,3,FALSE)),"",(VLOOKUP($B154,'E-1 Off-Site Hedge Baseline'!$B$1:$L$257,3,FALSE))))</f>
        <v/>
      </c>
      <c r="D154" s="295" t="str">
        <f>IF(B154="","",IF(ISNA(VLOOKUP($B154,'E-1 Off-Site Hedge Baseline'!$B$1:$L$258,4,FALSE)),"",(VLOOKUP($B154,'E-1 Off-Site Hedge Baseline'!$B$1:$L$258,4,FALSE))))</f>
        <v/>
      </c>
      <c r="E154" s="295" t="str">
        <f>IF(B154="","",IF(ISNA(VLOOKUP($B154,'E-1 Off-Site Hedge Baseline'!$B$1:$L$257,5,FALSE)),"",(VLOOKUP($B154,'E-1 Off-Site Hedge Baseline'!$B$1:$L$257,5,FALSE))))</f>
        <v/>
      </c>
      <c r="F154" s="295" t="str">
        <f>IF(B154="","",IF(ISNA(VLOOKUP($B154,'E-1 Off-Site Hedge Baseline'!$B$1:$L$257,6,FALSE)),"",(VLOOKUP($B154,'E-1 Off-Site Hedge Baseline'!$B$1:$L$257,6,FALSE))))</f>
        <v/>
      </c>
      <c r="G154" s="295" t="str">
        <f>IF(B154="","",IF(ISNA(VLOOKUP($B154,'E-1 Off-Site Hedge Baseline'!$B$1:$L$257,7,FALSE)),"",(VLOOKUP($B154,'E-1 Off-Site Hedge Baseline'!$B$1:$L$257,7,FALSE))))</f>
        <v/>
      </c>
      <c r="H154" s="295" t="str">
        <f>IF(B154="","",IF(ISNA(VLOOKUP($B154,'E-1 Off-Site Hedge Baseline'!$B$1:$L$257,8,FALSE)),"",(VLOOKUP($B154,'E-1 Off-Site Hedge Baseline'!$B$1:$L$257,8,FALSE))))</f>
        <v/>
      </c>
      <c r="I154" s="295" t="str">
        <f>IF(B154="","",IF(ISNA(VLOOKUP($B154,'E-1 Off-Site Hedge Baseline'!$B$1:$L$257,10,FALSE)),"",(VLOOKUP($B154,'E-1 Off-Site Hedge Baseline'!$B$1:$L$257,10,FALSE))))</f>
        <v/>
      </c>
      <c r="J154" s="295" t="str">
        <f>IF(B154="","",IF(ISNA(VLOOKUP($B154,'E-1 Off-Site Hedge Baseline'!$B$1:$L$257,11,FALSE)),"",(VLOOKUP($B154,'E-1 Off-Site Hedge Baseline'!$B$1:$L$257,11,FALSE))))</f>
        <v/>
      </c>
      <c r="K154" s="295" t="str">
        <f>IF(B154="","",IF(ISNA(VLOOKUP($B154,'E-1 Off-Site Hedge Baseline'!$B$1:$X$257,16,FALSE)),"",(VLOOKUP($B154,'E-1 Off-Site Hedge Baseline'!$B$1:$X$257,16,FALSE))))</f>
        <v/>
      </c>
      <c r="L154" s="283" t="str">
        <f>IF(B154="","",IF(ISNA(VLOOKUP($B154,'E-1 Off-Site Hedge Baseline'!$B$1:$X$257,12,FALSE)),"",(VLOOKUP($B154,'E-1 Off-Site Hedge Baseline'!$B$1:$X$257,12,FALSE))))</f>
        <v/>
      </c>
      <c r="M154" s="244"/>
      <c r="N154" s="275" t="str">
        <f>IFERROR(IF(B154="","",INDEX('G-6 Hedgerow Data'!$AN$3:$AZ$15,MATCH(C154,'G-6 Hedgerow Data'!$AM$3:$AM$15,0),MATCH(M154,'G-6 Hedgerow Data'!$AN$2:$AZ$2,0))),"")</f>
        <v/>
      </c>
      <c r="O154" s="276" t="str">
        <f t="shared" si="17"/>
        <v/>
      </c>
      <c r="P154" s="281" t="str">
        <f>IF(B154="","",VLOOKUP(B154,'E-1 Off-Site Hedge Baseline'!$B$10:W399,19,FALSE))</f>
        <v/>
      </c>
      <c r="Q154" s="275" t="str">
        <f>IF(M154="","",VLOOKUP(M154,'G-6 Hedgerow Data'!$B$2:$AG$15,2,FALSE))</f>
        <v/>
      </c>
      <c r="R154" s="276" t="str">
        <f>IF(M154="","",VLOOKUP(M154,'G-6 Hedgerow Data'!$B$2:$AG$15,3,FALSE))</f>
        <v/>
      </c>
      <c r="S154" s="101"/>
      <c r="T154" s="276" t="str">
        <f>IFERROR(IF(S154="","",IF(AND(M154="Non-native and ornamental hedgerow",S154&lt;&gt;"Poor"),"Not possible ▲",(IF(AND(Q154="V.Low",OR(S154="Good",S154="Moderate")),"Error ▲",VLOOKUP(S154,'G-1 All Habitats'!$Z$2:$AA$9,2,FALSE))))),"")</f>
        <v/>
      </c>
      <c r="U154" s="101"/>
      <c r="V154" s="283" t="str">
        <f>IF(U154="","",IF(VLOOKUP(U154,'G-3 Multipliers'!$L$3:$N$6,2,FALSE)=0,"Spatial Data Missing ⚠",VLOOKUP(U154,'G-3 Multipliers'!$L$3:$N$6,2,FALSE)))</f>
        <v/>
      </c>
      <c r="W154" s="281" t="str">
        <f>IF(U154="","",IF(VLOOKUP(U154,'G-3 Multipliers'!$L$3:$N$6,3,FALSE)=0,"Spatial Data Missing ⚠",VLOOKUP(U154,'G-3 Multipliers'!$L$3:$N$6,3,FALSE)))</f>
        <v/>
      </c>
      <c r="X154" s="275" t="str">
        <f>IFERROR(IF(OR(LEFT(O154,5)="Error",LEFT(N154,5)="Error",T154="Error"),"Check Data ⚠",IF(F154&lt;R154,INDEX('G-6 Hedgerow Data'!$S$3:$AE$14,MATCH(C154,'G-6 Hedgerow Data'!$B$3:$B$14,0),MATCH(M154,'G-6 Hedgerow Data'!$S$2:$AE$2,0)),INDEX('G-6 Hedgerow Data'!$K$3:$Q$14,MATCH(M154,'G-6 Hedgerow Data'!$B$3:$B$14,0),MATCH(O154,'G-6 Hedgerow Data'!$K$2:$Q$2,0)))),"")</f>
        <v/>
      </c>
      <c r="Y154" s="133"/>
      <c r="Z154" s="133"/>
      <c r="AA154" s="283" t="str">
        <f t="shared" si="18"/>
        <v/>
      </c>
      <c r="AB154" s="296" t="str">
        <f t="shared" si="19"/>
        <v/>
      </c>
      <c r="AC154" s="297" t="str">
        <f t="shared" si="16"/>
        <v/>
      </c>
      <c r="AD154" s="311" t="str">
        <f>IF(M154="","",VLOOKUP(M154,'G-6 Hedgerow Data'!$B$3:$AG$15,31,FALSE))</f>
        <v/>
      </c>
      <c r="AE154" s="295" t="str">
        <f t="shared" si="20"/>
        <v/>
      </c>
      <c r="AF154" s="283" t="str">
        <f t="shared" si="21"/>
        <v/>
      </c>
      <c r="AG154" s="299" t="str">
        <f>IFERROR(IF(O154="","",VLOOKUP(AD154,'G-3 Multipliers'!$P$3:$Q$6,2,FALSE)),"")</f>
        <v/>
      </c>
      <c r="AH154" s="713" t="str">
        <f>IF(B154="","",IF(ISNA(VLOOKUP($B154,'E-1 Off-Site Hedge Baseline'!$B$1:$Z$257,14,FALSE)),"",(VLOOKUP($B154,'E-1 Off-Site Hedge Baseline'!$B$1:$Z$257,14,FALSE))))</f>
        <v/>
      </c>
      <c r="AI154" s="276" t="str">
        <f>IF(AH154="","",IF(VLOOKUP(AH154,'G-3 Multipliers'!$S$3:$T$10,2,FALSE)=0,"Spatial Data Missing ⚠",VLOOKUP(AH154,'G-3 Multipliers'!$S$3:$T$10,2,FALSE)))</f>
        <v/>
      </c>
      <c r="AJ154" s="317" t="str">
        <f t="shared" si="22"/>
        <v/>
      </c>
      <c r="AK154" s="289" t="str">
        <f t="shared" si="23"/>
        <v/>
      </c>
      <c r="AL154" s="101"/>
      <c r="AM154" s="115"/>
      <c r="AN154" s="104"/>
      <c r="AO154" s="104"/>
      <c r="AQ154" s="30" t="str">
        <f>IFERROR(INDEX('G-6 Hedgerow Data'!$BJ$3:$BJ$15,MATCH(M154,'G-6 Hedgerow Data'!$B$3:$B$15,0)),"")</f>
        <v/>
      </c>
    </row>
    <row r="155" spans="2:43" ht="14">
      <c r="B155" s="305" t="str">
        <f>'E-1 Off-Site Hedge Baseline'!AN153</f>
        <v/>
      </c>
      <c r="C155" s="295" t="str">
        <f>IF(B155="","",IF(ISNA(VLOOKUP($B155,'E-1 Off-Site Hedge Baseline'!$B$1:$L$257,3,FALSE)),"",(VLOOKUP($B155,'E-1 Off-Site Hedge Baseline'!$B$1:$L$257,3,FALSE))))</f>
        <v/>
      </c>
      <c r="D155" s="295" t="str">
        <f>IF(B155="","",IF(ISNA(VLOOKUP($B155,'E-1 Off-Site Hedge Baseline'!$B$1:$L$258,4,FALSE)),"",(VLOOKUP($B155,'E-1 Off-Site Hedge Baseline'!$B$1:$L$258,4,FALSE))))</f>
        <v/>
      </c>
      <c r="E155" s="295" t="str">
        <f>IF(B155="","",IF(ISNA(VLOOKUP($B155,'E-1 Off-Site Hedge Baseline'!$B$1:$L$257,5,FALSE)),"",(VLOOKUP($B155,'E-1 Off-Site Hedge Baseline'!$B$1:$L$257,5,FALSE))))</f>
        <v/>
      </c>
      <c r="F155" s="295" t="str">
        <f>IF(B155="","",IF(ISNA(VLOOKUP($B155,'E-1 Off-Site Hedge Baseline'!$B$1:$L$257,6,FALSE)),"",(VLOOKUP($B155,'E-1 Off-Site Hedge Baseline'!$B$1:$L$257,6,FALSE))))</f>
        <v/>
      </c>
      <c r="G155" s="295" t="str">
        <f>IF(B155="","",IF(ISNA(VLOOKUP($B155,'E-1 Off-Site Hedge Baseline'!$B$1:$L$257,7,FALSE)),"",(VLOOKUP($B155,'E-1 Off-Site Hedge Baseline'!$B$1:$L$257,7,FALSE))))</f>
        <v/>
      </c>
      <c r="H155" s="295" t="str">
        <f>IF(B155="","",IF(ISNA(VLOOKUP($B155,'E-1 Off-Site Hedge Baseline'!$B$1:$L$257,8,FALSE)),"",(VLOOKUP($B155,'E-1 Off-Site Hedge Baseline'!$B$1:$L$257,8,FALSE))))</f>
        <v/>
      </c>
      <c r="I155" s="295" t="str">
        <f>IF(B155="","",IF(ISNA(VLOOKUP($B155,'E-1 Off-Site Hedge Baseline'!$B$1:$L$257,10,FALSE)),"",(VLOOKUP($B155,'E-1 Off-Site Hedge Baseline'!$B$1:$L$257,10,FALSE))))</f>
        <v/>
      </c>
      <c r="J155" s="295" t="str">
        <f>IF(B155="","",IF(ISNA(VLOOKUP($B155,'E-1 Off-Site Hedge Baseline'!$B$1:$L$257,11,FALSE)),"",(VLOOKUP($B155,'E-1 Off-Site Hedge Baseline'!$B$1:$L$257,11,FALSE))))</f>
        <v/>
      </c>
      <c r="K155" s="295" t="str">
        <f>IF(B155="","",IF(ISNA(VLOOKUP($B155,'E-1 Off-Site Hedge Baseline'!$B$1:$X$257,16,FALSE)),"",(VLOOKUP($B155,'E-1 Off-Site Hedge Baseline'!$B$1:$X$257,16,FALSE))))</f>
        <v/>
      </c>
      <c r="L155" s="283" t="str">
        <f>IF(B155="","",IF(ISNA(VLOOKUP($B155,'E-1 Off-Site Hedge Baseline'!$B$1:$X$257,12,FALSE)),"",(VLOOKUP($B155,'E-1 Off-Site Hedge Baseline'!$B$1:$X$257,12,FALSE))))</f>
        <v/>
      </c>
      <c r="M155" s="244"/>
      <c r="N155" s="275" t="str">
        <f>IFERROR(IF(B155="","",INDEX('G-6 Hedgerow Data'!$AN$3:$AZ$15,MATCH(C155,'G-6 Hedgerow Data'!$AM$3:$AM$15,0),MATCH(M155,'G-6 Hedgerow Data'!$AN$2:$AZ$2,0))),"")</f>
        <v/>
      </c>
      <c r="O155" s="276" t="str">
        <f t="shared" si="17"/>
        <v/>
      </c>
      <c r="P155" s="281" t="str">
        <f>IF(B155="","",VLOOKUP(B155,'E-1 Off-Site Hedge Baseline'!$B$10:W400,19,FALSE))</f>
        <v/>
      </c>
      <c r="Q155" s="275" t="str">
        <f>IF(M155="","",VLOOKUP(M155,'G-6 Hedgerow Data'!$B$2:$AG$15,2,FALSE))</f>
        <v/>
      </c>
      <c r="R155" s="276" t="str">
        <f>IF(M155="","",VLOOKUP(M155,'G-6 Hedgerow Data'!$B$2:$AG$15,3,FALSE))</f>
        <v/>
      </c>
      <c r="S155" s="101"/>
      <c r="T155" s="276" t="str">
        <f>IFERROR(IF(S155="","",IF(AND(M155="Non-native and ornamental hedgerow",S155&lt;&gt;"Poor"),"Not possible ▲",(IF(AND(Q155="V.Low",OR(S155="Good",S155="Moderate")),"Error ▲",VLOOKUP(S155,'G-1 All Habitats'!$Z$2:$AA$9,2,FALSE))))),"")</f>
        <v/>
      </c>
      <c r="U155" s="101"/>
      <c r="V155" s="283" t="str">
        <f>IF(U155="","",IF(VLOOKUP(U155,'G-3 Multipliers'!$L$3:$N$6,2,FALSE)=0,"Spatial Data Missing ⚠",VLOOKUP(U155,'G-3 Multipliers'!$L$3:$N$6,2,FALSE)))</f>
        <v/>
      </c>
      <c r="W155" s="281" t="str">
        <f>IF(U155="","",IF(VLOOKUP(U155,'G-3 Multipliers'!$L$3:$N$6,3,FALSE)=0,"Spatial Data Missing ⚠",VLOOKUP(U155,'G-3 Multipliers'!$L$3:$N$6,3,FALSE)))</f>
        <v/>
      </c>
      <c r="X155" s="275" t="str">
        <f>IFERROR(IF(OR(LEFT(O155,5)="Error",LEFT(N155,5)="Error",T155="Error"),"Check Data ⚠",IF(F155&lt;R155,INDEX('G-6 Hedgerow Data'!$S$3:$AE$14,MATCH(C155,'G-6 Hedgerow Data'!$B$3:$B$14,0),MATCH(M155,'G-6 Hedgerow Data'!$S$2:$AE$2,0)),INDEX('G-6 Hedgerow Data'!$K$3:$Q$14,MATCH(M155,'G-6 Hedgerow Data'!$B$3:$B$14,0),MATCH(O155,'G-6 Hedgerow Data'!$K$2:$Q$2,0)))),"")</f>
        <v/>
      </c>
      <c r="Y155" s="133"/>
      <c r="Z155" s="133"/>
      <c r="AA155" s="283" t="str">
        <f t="shared" si="18"/>
        <v/>
      </c>
      <c r="AB155" s="296" t="str">
        <f t="shared" si="19"/>
        <v/>
      </c>
      <c r="AC155" s="297" t="str">
        <f t="shared" si="16"/>
        <v/>
      </c>
      <c r="AD155" s="311" t="str">
        <f>IF(M155="","",VLOOKUP(M155,'G-6 Hedgerow Data'!$B$3:$AG$15,31,FALSE))</f>
        <v/>
      </c>
      <c r="AE155" s="295" t="str">
        <f t="shared" si="20"/>
        <v/>
      </c>
      <c r="AF155" s="283" t="str">
        <f t="shared" si="21"/>
        <v/>
      </c>
      <c r="AG155" s="299" t="str">
        <f>IFERROR(IF(O155="","",VLOOKUP(AD155,'G-3 Multipliers'!$P$3:$Q$6,2,FALSE)),"")</f>
        <v/>
      </c>
      <c r="AH155" s="713" t="str">
        <f>IF(B155="","",IF(ISNA(VLOOKUP($B155,'E-1 Off-Site Hedge Baseline'!$B$1:$Z$257,14,FALSE)),"",(VLOOKUP($B155,'E-1 Off-Site Hedge Baseline'!$B$1:$Z$257,14,FALSE))))</f>
        <v/>
      </c>
      <c r="AI155" s="276" t="str">
        <f>IF(AH155="","",IF(VLOOKUP(AH155,'G-3 Multipliers'!$S$3:$T$10,2,FALSE)=0,"Spatial Data Missing ⚠",VLOOKUP(AH155,'G-3 Multipliers'!$S$3:$T$10,2,FALSE)))</f>
        <v/>
      </c>
      <c r="AJ155" s="317" t="str">
        <f t="shared" si="22"/>
        <v/>
      </c>
      <c r="AK155" s="289" t="str">
        <f t="shared" si="23"/>
        <v/>
      </c>
      <c r="AL155" s="101"/>
      <c r="AM155" s="115"/>
      <c r="AN155" s="104"/>
      <c r="AO155" s="104"/>
      <c r="AQ155" s="30" t="str">
        <f>IFERROR(INDEX('G-6 Hedgerow Data'!$BJ$3:$BJ$15,MATCH(M155,'G-6 Hedgerow Data'!$B$3:$B$15,0)),"")</f>
        <v/>
      </c>
    </row>
    <row r="156" spans="2:43" ht="14">
      <c r="B156" s="305" t="str">
        <f>'E-1 Off-Site Hedge Baseline'!AN154</f>
        <v/>
      </c>
      <c r="C156" s="295" t="str">
        <f>IF(B156="","",IF(ISNA(VLOOKUP($B156,'E-1 Off-Site Hedge Baseline'!$B$1:$L$257,3,FALSE)),"",(VLOOKUP($B156,'E-1 Off-Site Hedge Baseline'!$B$1:$L$257,3,FALSE))))</f>
        <v/>
      </c>
      <c r="D156" s="295" t="str">
        <f>IF(B156="","",IF(ISNA(VLOOKUP($B156,'E-1 Off-Site Hedge Baseline'!$B$1:$L$258,4,FALSE)),"",(VLOOKUP($B156,'E-1 Off-Site Hedge Baseline'!$B$1:$L$258,4,FALSE))))</f>
        <v/>
      </c>
      <c r="E156" s="295" t="str">
        <f>IF(B156="","",IF(ISNA(VLOOKUP($B156,'E-1 Off-Site Hedge Baseline'!$B$1:$L$257,5,FALSE)),"",(VLOOKUP($B156,'E-1 Off-Site Hedge Baseline'!$B$1:$L$257,5,FALSE))))</f>
        <v/>
      </c>
      <c r="F156" s="295" t="str">
        <f>IF(B156="","",IF(ISNA(VLOOKUP($B156,'E-1 Off-Site Hedge Baseline'!$B$1:$L$257,6,FALSE)),"",(VLOOKUP($B156,'E-1 Off-Site Hedge Baseline'!$B$1:$L$257,6,FALSE))))</f>
        <v/>
      </c>
      <c r="G156" s="295" t="str">
        <f>IF(B156="","",IF(ISNA(VLOOKUP($B156,'E-1 Off-Site Hedge Baseline'!$B$1:$L$257,7,FALSE)),"",(VLOOKUP($B156,'E-1 Off-Site Hedge Baseline'!$B$1:$L$257,7,FALSE))))</f>
        <v/>
      </c>
      <c r="H156" s="295" t="str">
        <f>IF(B156="","",IF(ISNA(VLOOKUP($B156,'E-1 Off-Site Hedge Baseline'!$B$1:$L$257,8,FALSE)),"",(VLOOKUP($B156,'E-1 Off-Site Hedge Baseline'!$B$1:$L$257,8,FALSE))))</f>
        <v/>
      </c>
      <c r="I156" s="295" t="str">
        <f>IF(B156="","",IF(ISNA(VLOOKUP($B156,'E-1 Off-Site Hedge Baseline'!$B$1:$L$257,10,FALSE)),"",(VLOOKUP($B156,'E-1 Off-Site Hedge Baseline'!$B$1:$L$257,10,FALSE))))</f>
        <v/>
      </c>
      <c r="J156" s="295" t="str">
        <f>IF(B156="","",IF(ISNA(VLOOKUP($B156,'E-1 Off-Site Hedge Baseline'!$B$1:$L$257,11,FALSE)),"",(VLOOKUP($B156,'E-1 Off-Site Hedge Baseline'!$B$1:$L$257,11,FALSE))))</f>
        <v/>
      </c>
      <c r="K156" s="295" t="str">
        <f>IF(B156="","",IF(ISNA(VLOOKUP($B156,'E-1 Off-Site Hedge Baseline'!$B$1:$X$257,16,FALSE)),"",(VLOOKUP($B156,'E-1 Off-Site Hedge Baseline'!$B$1:$X$257,16,FALSE))))</f>
        <v/>
      </c>
      <c r="L156" s="283" t="str">
        <f>IF(B156="","",IF(ISNA(VLOOKUP($B156,'E-1 Off-Site Hedge Baseline'!$B$1:$X$257,12,FALSE)),"",(VLOOKUP($B156,'E-1 Off-Site Hedge Baseline'!$B$1:$X$257,12,FALSE))))</f>
        <v/>
      </c>
      <c r="M156" s="244"/>
      <c r="N156" s="275" t="str">
        <f>IFERROR(IF(B156="","",INDEX('G-6 Hedgerow Data'!$AN$3:$AZ$15,MATCH(C156,'G-6 Hedgerow Data'!$AM$3:$AM$15,0),MATCH(M156,'G-6 Hedgerow Data'!$AN$2:$AZ$2,0))),"")</f>
        <v/>
      </c>
      <c r="O156" s="276" t="str">
        <f t="shared" si="17"/>
        <v/>
      </c>
      <c r="P156" s="281" t="str">
        <f>IF(B156="","",VLOOKUP(B156,'E-1 Off-Site Hedge Baseline'!$B$10:W401,19,FALSE))</f>
        <v/>
      </c>
      <c r="Q156" s="275" t="str">
        <f>IF(M156="","",VLOOKUP(M156,'G-6 Hedgerow Data'!$B$2:$AG$15,2,FALSE))</f>
        <v/>
      </c>
      <c r="R156" s="276" t="str">
        <f>IF(M156="","",VLOOKUP(M156,'G-6 Hedgerow Data'!$B$2:$AG$15,3,FALSE))</f>
        <v/>
      </c>
      <c r="S156" s="101"/>
      <c r="T156" s="276" t="str">
        <f>IFERROR(IF(S156="","",IF(AND(M156="Non-native and ornamental hedgerow",S156&lt;&gt;"Poor"),"Not possible ▲",(IF(AND(Q156="V.Low",OR(S156="Good",S156="Moderate")),"Error ▲",VLOOKUP(S156,'G-1 All Habitats'!$Z$2:$AA$9,2,FALSE))))),"")</f>
        <v/>
      </c>
      <c r="U156" s="101"/>
      <c r="V156" s="283" t="str">
        <f>IF(U156="","",IF(VLOOKUP(U156,'G-3 Multipliers'!$L$3:$N$6,2,FALSE)=0,"Spatial Data Missing ⚠",VLOOKUP(U156,'G-3 Multipliers'!$L$3:$N$6,2,FALSE)))</f>
        <v/>
      </c>
      <c r="W156" s="281" t="str">
        <f>IF(U156="","",IF(VLOOKUP(U156,'G-3 Multipliers'!$L$3:$N$6,3,FALSE)=0,"Spatial Data Missing ⚠",VLOOKUP(U156,'G-3 Multipliers'!$L$3:$N$6,3,FALSE)))</f>
        <v/>
      </c>
      <c r="X156" s="275" t="str">
        <f>IFERROR(IF(OR(LEFT(O156,5)="Error",LEFT(N156,5)="Error",T156="Error"),"Check Data ⚠",IF(F156&lt;R156,INDEX('G-6 Hedgerow Data'!$S$3:$AE$14,MATCH(C156,'G-6 Hedgerow Data'!$B$3:$B$14,0),MATCH(M156,'G-6 Hedgerow Data'!$S$2:$AE$2,0)),INDEX('G-6 Hedgerow Data'!$K$3:$Q$14,MATCH(M156,'G-6 Hedgerow Data'!$B$3:$B$14,0),MATCH(O156,'G-6 Hedgerow Data'!$K$2:$Q$2,0)))),"")</f>
        <v/>
      </c>
      <c r="Y156" s="133"/>
      <c r="Z156" s="133"/>
      <c r="AA156" s="283" t="str">
        <f t="shared" si="18"/>
        <v/>
      </c>
      <c r="AB156" s="296" t="str">
        <f t="shared" si="19"/>
        <v/>
      </c>
      <c r="AC156" s="297" t="str">
        <f t="shared" si="16"/>
        <v/>
      </c>
      <c r="AD156" s="311" t="str">
        <f>IF(M156="","",VLOOKUP(M156,'G-6 Hedgerow Data'!$B$3:$AG$15,31,FALSE))</f>
        <v/>
      </c>
      <c r="AE156" s="295" t="str">
        <f t="shared" si="20"/>
        <v/>
      </c>
      <c r="AF156" s="283" t="str">
        <f t="shared" si="21"/>
        <v/>
      </c>
      <c r="AG156" s="299" t="str">
        <f>IFERROR(IF(O156="","",VLOOKUP(AD156,'G-3 Multipliers'!$P$3:$Q$6,2,FALSE)),"")</f>
        <v/>
      </c>
      <c r="AH156" s="713" t="str">
        <f>IF(B156="","",IF(ISNA(VLOOKUP($B156,'E-1 Off-Site Hedge Baseline'!$B$1:$Z$257,14,FALSE)),"",(VLOOKUP($B156,'E-1 Off-Site Hedge Baseline'!$B$1:$Z$257,14,FALSE))))</f>
        <v/>
      </c>
      <c r="AI156" s="276" t="str">
        <f>IF(AH156="","",IF(VLOOKUP(AH156,'G-3 Multipliers'!$S$3:$T$10,2,FALSE)=0,"Spatial Data Missing ⚠",VLOOKUP(AH156,'G-3 Multipliers'!$S$3:$T$10,2,FALSE)))</f>
        <v/>
      </c>
      <c r="AJ156" s="317" t="str">
        <f t="shared" si="22"/>
        <v/>
      </c>
      <c r="AK156" s="289" t="str">
        <f t="shared" si="23"/>
        <v/>
      </c>
      <c r="AL156" s="101"/>
      <c r="AM156" s="115"/>
      <c r="AN156" s="104"/>
      <c r="AO156" s="104"/>
      <c r="AQ156" s="30" t="str">
        <f>IFERROR(INDEX('G-6 Hedgerow Data'!$BJ$3:$BJ$15,MATCH(M156,'G-6 Hedgerow Data'!$B$3:$B$15,0)),"")</f>
        <v/>
      </c>
    </row>
    <row r="157" spans="2:43" ht="14">
      <c r="B157" s="305" t="str">
        <f>'E-1 Off-Site Hedge Baseline'!AN155</f>
        <v/>
      </c>
      <c r="C157" s="295" t="str">
        <f>IF(B157="","",IF(ISNA(VLOOKUP($B157,'E-1 Off-Site Hedge Baseline'!$B$1:$L$257,3,FALSE)),"",(VLOOKUP($B157,'E-1 Off-Site Hedge Baseline'!$B$1:$L$257,3,FALSE))))</f>
        <v/>
      </c>
      <c r="D157" s="295" t="str">
        <f>IF(B157="","",IF(ISNA(VLOOKUP($B157,'E-1 Off-Site Hedge Baseline'!$B$1:$L$258,4,FALSE)),"",(VLOOKUP($B157,'E-1 Off-Site Hedge Baseline'!$B$1:$L$258,4,FALSE))))</f>
        <v/>
      </c>
      <c r="E157" s="295" t="str">
        <f>IF(B157="","",IF(ISNA(VLOOKUP($B157,'E-1 Off-Site Hedge Baseline'!$B$1:$L$257,5,FALSE)),"",(VLOOKUP($B157,'E-1 Off-Site Hedge Baseline'!$B$1:$L$257,5,FALSE))))</f>
        <v/>
      </c>
      <c r="F157" s="295" t="str">
        <f>IF(B157="","",IF(ISNA(VLOOKUP($B157,'E-1 Off-Site Hedge Baseline'!$B$1:$L$257,6,FALSE)),"",(VLOOKUP($B157,'E-1 Off-Site Hedge Baseline'!$B$1:$L$257,6,FALSE))))</f>
        <v/>
      </c>
      <c r="G157" s="295" t="str">
        <f>IF(B157="","",IF(ISNA(VLOOKUP($B157,'E-1 Off-Site Hedge Baseline'!$B$1:$L$257,7,FALSE)),"",(VLOOKUP($B157,'E-1 Off-Site Hedge Baseline'!$B$1:$L$257,7,FALSE))))</f>
        <v/>
      </c>
      <c r="H157" s="295" t="str">
        <f>IF(B157="","",IF(ISNA(VLOOKUP($B157,'E-1 Off-Site Hedge Baseline'!$B$1:$L$257,8,FALSE)),"",(VLOOKUP($B157,'E-1 Off-Site Hedge Baseline'!$B$1:$L$257,8,FALSE))))</f>
        <v/>
      </c>
      <c r="I157" s="295" t="str">
        <f>IF(B157="","",IF(ISNA(VLOOKUP($B157,'E-1 Off-Site Hedge Baseline'!$B$1:$L$257,10,FALSE)),"",(VLOOKUP($B157,'E-1 Off-Site Hedge Baseline'!$B$1:$L$257,10,FALSE))))</f>
        <v/>
      </c>
      <c r="J157" s="295" t="str">
        <f>IF(B157="","",IF(ISNA(VLOOKUP($B157,'E-1 Off-Site Hedge Baseline'!$B$1:$L$257,11,FALSE)),"",(VLOOKUP($B157,'E-1 Off-Site Hedge Baseline'!$B$1:$L$257,11,FALSE))))</f>
        <v/>
      </c>
      <c r="K157" s="295" t="str">
        <f>IF(B157="","",IF(ISNA(VLOOKUP($B157,'E-1 Off-Site Hedge Baseline'!$B$1:$X$257,16,FALSE)),"",(VLOOKUP($B157,'E-1 Off-Site Hedge Baseline'!$B$1:$X$257,16,FALSE))))</f>
        <v/>
      </c>
      <c r="L157" s="283" t="str">
        <f>IF(B157="","",IF(ISNA(VLOOKUP($B157,'E-1 Off-Site Hedge Baseline'!$B$1:$X$257,12,FALSE)),"",(VLOOKUP($B157,'E-1 Off-Site Hedge Baseline'!$B$1:$X$257,12,FALSE))))</f>
        <v/>
      </c>
      <c r="M157" s="244"/>
      <c r="N157" s="275" t="str">
        <f>IFERROR(IF(B157="","",INDEX('G-6 Hedgerow Data'!$AN$3:$AZ$15,MATCH(C157,'G-6 Hedgerow Data'!$AM$3:$AM$15,0),MATCH(M157,'G-6 Hedgerow Data'!$AN$2:$AZ$2,0))),"")</f>
        <v/>
      </c>
      <c r="O157" s="276" t="str">
        <f t="shared" si="17"/>
        <v/>
      </c>
      <c r="P157" s="281" t="str">
        <f>IF(B157="","",VLOOKUP(B157,'E-1 Off-Site Hedge Baseline'!$B$10:W402,19,FALSE))</f>
        <v/>
      </c>
      <c r="Q157" s="275" t="str">
        <f>IF(M157="","",VLOOKUP(M157,'G-6 Hedgerow Data'!$B$2:$AG$15,2,FALSE))</f>
        <v/>
      </c>
      <c r="R157" s="276" t="str">
        <f>IF(M157="","",VLOOKUP(M157,'G-6 Hedgerow Data'!$B$2:$AG$15,3,FALSE))</f>
        <v/>
      </c>
      <c r="S157" s="101"/>
      <c r="T157" s="276" t="str">
        <f>IFERROR(IF(S157="","",IF(AND(M157="Non-native and ornamental hedgerow",S157&lt;&gt;"Poor"),"Not possible ▲",(IF(AND(Q157="V.Low",OR(S157="Good",S157="Moderate")),"Error ▲",VLOOKUP(S157,'G-1 All Habitats'!$Z$2:$AA$9,2,FALSE))))),"")</f>
        <v/>
      </c>
      <c r="U157" s="101"/>
      <c r="V157" s="283" t="str">
        <f>IF(U157="","",IF(VLOOKUP(U157,'G-3 Multipliers'!$L$3:$N$6,2,FALSE)=0,"Spatial Data Missing ⚠",VLOOKUP(U157,'G-3 Multipliers'!$L$3:$N$6,2,FALSE)))</f>
        <v/>
      </c>
      <c r="W157" s="281" t="str">
        <f>IF(U157="","",IF(VLOOKUP(U157,'G-3 Multipliers'!$L$3:$N$6,3,FALSE)=0,"Spatial Data Missing ⚠",VLOOKUP(U157,'G-3 Multipliers'!$L$3:$N$6,3,FALSE)))</f>
        <v/>
      </c>
      <c r="X157" s="275" t="str">
        <f>IFERROR(IF(OR(LEFT(O157,5)="Error",LEFT(N157,5)="Error",T157="Error"),"Check Data ⚠",IF(F157&lt;R157,INDEX('G-6 Hedgerow Data'!$S$3:$AE$14,MATCH(C157,'G-6 Hedgerow Data'!$B$3:$B$14,0),MATCH(M157,'G-6 Hedgerow Data'!$S$2:$AE$2,0)),INDEX('G-6 Hedgerow Data'!$K$3:$Q$14,MATCH(M157,'G-6 Hedgerow Data'!$B$3:$B$14,0),MATCH(O157,'G-6 Hedgerow Data'!$K$2:$Q$2,0)))),"")</f>
        <v/>
      </c>
      <c r="Y157" s="133"/>
      <c r="Z157" s="133"/>
      <c r="AA157" s="283" t="str">
        <f t="shared" si="18"/>
        <v/>
      </c>
      <c r="AB157" s="296" t="str">
        <f t="shared" si="19"/>
        <v/>
      </c>
      <c r="AC157" s="297" t="str">
        <f t="shared" si="16"/>
        <v/>
      </c>
      <c r="AD157" s="311" t="str">
        <f>IF(M157="","",VLOOKUP(M157,'G-6 Hedgerow Data'!$B$3:$AG$15,31,FALSE))</f>
        <v/>
      </c>
      <c r="AE157" s="295" t="str">
        <f t="shared" si="20"/>
        <v/>
      </c>
      <c r="AF157" s="283" t="str">
        <f t="shared" si="21"/>
        <v/>
      </c>
      <c r="AG157" s="299" t="str">
        <f>IFERROR(IF(O157="","",VLOOKUP(AD157,'G-3 Multipliers'!$P$3:$Q$6,2,FALSE)),"")</f>
        <v/>
      </c>
      <c r="AH157" s="713" t="str">
        <f>IF(B157="","",IF(ISNA(VLOOKUP($B157,'E-1 Off-Site Hedge Baseline'!$B$1:$Z$257,14,FALSE)),"",(VLOOKUP($B157,'E-1 Off-Site Hedge Baseline'!$B$1:$Z$257,14,FALSE))))</f>
        <v/>
      </c>
      <c r="AI157" s="276" t="str">
        <f>IF(AH157="","",IF(VLOOKUP(AH157,'G-3 Multipliers'!$S$3:$T$10,2,FALSE)=0,"Spatial Data Missing ⚠",VLOOKUP(AH157,'G-3 Multipliers'!$S$3:$T$10,2,FALSE)))</f>
        <v/>
      </c>
      <c r="AJ157" s="317" t="str">
        <f t="shared" si="22"/>
        <v/>
      </c>
      <c r="AK157" s="289" t="str">
        <f t="shared" si="23"/>
        <v/>
      </c>
      <c r="AL157" s="101"/>
      <c r="AM157" s="115"/>
      <c r="AN157" s="104"/>
      <c r="AO157" s="104"/>
      <c r="AQ157" s="30" t="str">
        <f>IFERROR(INDEX('G-6 Hedgerow Data'!$BJ$3:$BJ$15,MATCH(M157,'G-6 Hedgerow Data'!$B$3:$B$15,0)),"")</f>
        <v/>
      </c>
    </row>
    <row r="158" spans="2:43" ht="14">
      <c r="B158" s="305" t="str">
        <f>'E-1 Off-Site Hedge Baseline'!AN156</f>
        <v/>
      </c>
      <c r="C158" s="295" t="str">
        <f>IF(B158="","",IF(ISNA(VLOOKUP($B158,'E-1 Off-Site Hedge Baseline'!$B$1:$L$257,3,FALSE)),"",(VLOOKUP($B158,'E-1 Off-Site Hedge Baseline'!$B$1:$L$257,3,FALSE))))</f>
        <v/>
      </c>
      <c r="D158" s="295" t="str">
        <f>IF(B158="","",IF(ISNA(VLOOKUP($B158,'E-1 Off-Site Hedge Baseline'!$B$1:$L$258,4,FALSE)),"",(VLOOKUP($B158,'E-1 Off-Site Hedge Baseline'!$B$1:$L$258,4,FALSE))))</f>
        <v/>
      </c>
      <c r="E158" s="295" t="str">
        <f>IF(B158="","",IF(ISNA(VLOOKUP($B158,'E-1 Off-Site Hedge Baseline'!$B$1:$L$257,5,FALSE)),"",(VLOOKUP($B158,'E-1 Off-Site Hedge Baseline'!$B$1:$L$257,5,FALSE))))</f>
        <v/>
      </c>
      <c r="F158" s="295" t="str">
        <f>IF(B158="","",IF(ISNA(VLOOKUP($B158,'E-1 Off-Site Hedge Baseline'!$B$1:$L$257,6,FALSE)),"",(VLOOKUP($B158,'E-1 Off-Site Hedge Baseline'!$B$1:$L$257,6,FALSE))))</f>
        <v/>
      </c>
      <c r="G158" s="295" t="str">
        <f>IF(B158="","",IF(ISNA(VLOOKUP($B158,'E-1 Off-Site Hedge Baseline'!$B$1:$L$257,7,FALSE)),"",(VLOOKUP($B158,'E-1 Off-Site Hedge Baseline'!$B$1:$L$257,7,FALSE))))</f>
        <v/>
      </c>
      <c r="H158" s="295" t="str">
        <f>IF(B158="","",IF(ISNA(VLOOKUP($B158,'E-1 Off-Site Hedge Baseline'!$B$1:$L$257,8,FALSE)),"",(VLOOKUP($B158,'E-1 Off-Site Hedge Baseline'!$B$1:$L$257,8,FALSE))))</f>
        <v/>
      </c>
      <c r="I158" s="295" t="str">
        <f>IF(B158="","",IF(ISNA(VLOOKUP($B158,'E-1 Off-Site Hedge Baseline'!$B$1:$L$257,10,FALSE)),"",(VLOOKUP($B158,'E-1 Off-Site Hedge Baseline'!$B$1:$L$257,10,FALSE))))</f>
        <v/>
      </c>
      <c r="J158" s="295" t="str">
        <f>IF(B158="","",IF(ISNA(VLOOKUP($B158,'E-1 Off-Site Hedge Baseline'!$B$1:$L$257,11,FALSE)),"",(VLOOKUP($B158,'E-1 Off-Site Hedge Baseline'!$B$1:$L$257,11,FALSE))))</f>
        <v/>
      </c>
      <c r="K158" s="295" t="str">
        <f>IF(B158="","",IF(ISNA(VLOOKUP($B158,'E-1 Off-Site Hedge Baseline'!$B$1:$X$257,16,FALSE)),"",(VLOOKUP($B158,'E-1 Off-Site Hedge Baseline'!$B$1:$X$257,16,FALSE))))</f>
        <v/>
      </c>
      <c r="L158" s="283" t="str">
        <f>IF(B158="","",IF(ISNA(VLOOKUP($B158,'E-1 Off-Site Hedge Baseline'!$B$1:$X$257,12,FALSE)),"",(VLOOKUP($B158,'E-1 Off-Site Hedge Baseline'!$B$1:$X$257,12,FALSE))))</f>
        <v/>
      </c>
      <c r="M158" s="244"/>
      <c r="N158" s="275" t="str">
        <f>IFERROR(IF(B158="","",INDEX('G-6 Hedgerow Data'!$AN$3:$AZ$15,MATCH(C158,'G-6 Hedgerow Data'!$AM$3:$AM$15,0),MATCH(M158,'G-6 Hedgerow Data'!$AN$2:$AZ$2,0))),"")</f>
        <v/>
      </c>
      <c r="O158" s="276" t="str">
        <f t="shared" si="17"/>
        <v/>
      </c>
      <c r="P158" s="281" t="str">
        <f>IF(B158="","",VLOOKUP(B158,'E-1 Off-Site Hedge Baseline'!$B$10:W403,19,FALSE))</f>
        <v/>
      </c>
      <c r="Q158" s="275" t="str">
        <f>IF(M158="","",VLOOKUP(M158,'G-6 Hedgerow Data'!$B$2:$AG$15,2,FALSE))</f>
        <v/>
      </c>
      <c r="R158" s="276" t="str">
        <f>IF(M158="","",VLOOKUP(M158,'G-6 Hedgerow Data'!$B$2:$AG$15,3,FALSE))</f>
        <v/>
      </c>
      <c r="S158" s="101"/>
      <c r="T158" s="276" t="str">
        <f>IFERROR(IF(S158="","",IF(AND(M158="Non-native and ornamental hedgerow",S158&lt;&gt;"Poor"),"Not possible ▲",(IF(AND(Q158="V.Low",OR(S158="Good",S158="Moderate")),"Error ▲",VLOOKUP(S158,'G-1 All Habitats'!$Z$2:$AA$9,2,FALSE))))),"")</f>
        <v/>
      </c>
      <c r="U158" s="101"/>
      <c r="V158" s="283" t="str">
        <f>IF(U158="","",IF(VLOOKUP(U158,'G-3 Multipliers'!$L$3:$N$6,2,FALSE)=0,"Spatial Data Missing ⚠",VLOOKUP(U158,'G-3 Multipliers'!$L$3:$N$6,2,FALSE)))</f>
        <v/>
      </c>
      <c r="W158" s="281" t="str">
        <f>IF(U158="","",IF(VLOOKUP(U158,'G-3 Multipliers'!$L$3:$N$6,3,FALSE)=0,"Spatial Data Missing ⚠",VLOOKUP(U158,'G-3 Multipliers'!$L$3:$N$6,3,FALSE)))</f>
        <v/>
      </c>
      <c r="X158" s="275" t="str">
        <f>IFERROR(IF(OR(LEFT(O158,5)="Error",LEFT(N158,5)="Error",T158="Error"),"Check Data ⚠",IF(F158&lt;R158,INDEX('G-6 Hedgerow Data'!$S$3:$AE$14,MATCH(C158,'G-6 Hedgerow Data'!$B$3:$B$14,0),MATCH(M158,'G-6 Hedgerow Data'!$S$2:$AE$2,0)),INDEX('G-6 Hedgerow Data'!$K$3:$Q$14,MATCH(M158,'G-6 Hedgerow Data'!$B$3:$B$14,0),MATCH(O158,'G-6 Hedgerow Data'!$K$2:$Q$2,0)))),"")</f>
        <v/>
      </c>
      <c r="Y158" s="133"/>
      <c r="Z158" s="133"/>
      <c r="AA158" s="283" t="str">
        <f t="shared" si="18"/>
        <v/>
      </c>
      <c r="AB158" s="296" t="str">
        <f t="shared" si="19"/>
        <v/>
      </c>
      <c r="AC158" s="297" t="str">
        <f t="shared" si="16"/>
        <v/>
      </c>
      <c r="AD158" s="311" t="str">
        <f>IF(M158="","",VLOOKUP(M158,'G-6 Hedgerow Data'!$B$3:$AG$15,31,FALSE))</f>
        <v/>
      </c>
      <c r="AE158" s="295" t="str">
        <f t="shared" si="20"/>
        <v/>
      </c>
      <c r="AF158" s="283" t="str">
        <f t="shared" si="21"/>
        <v/>
      </c>
      <c r="AG158" s="299" t="str">
        <f>IFERROR(IF(O158="","",VLOOKUP(AD158,'G-3 Multipliers'!$P$3:$Q$6,2,FALSE)),"")</f>
        <v/>
      </c>
      <c r="AH158" s="713" t="str">
        <f>IF(B158="","",IF(ISNA(VLOOKUP($B158,'E-1 Off-Site Hedge Baseline'!$B$1:$Z$257,14,FALSE)),"",(VLOOKUP($B158,'E-1 Off-Site Hedge Baseline'!$B$1:$Z$257,14,FALSE))))</f>
        <v/>
      </c>
      <c r="AI158" s="276" t="str">
        <f>IF(AH158="","",IF(VLOOKUP(AH158,'G-3 Multipliers'!$S$3:$T$10,2,FALSE)=0,"Spatial Data Missing ⚠",VLOOKUP(AH158,'G-3 Multipliers'!$S$3:$T$10,2,FALSE)))</f>
        <v/>
      </c>
      <c r="AJ158" s="317" t="str">
        <f t="shared" si="22"/>
        <v/>
      </c>
      <c r="AK158" s="289" t="str">
        <f t="shared" si="23"/>
        <v/>
      </c>
      <c r="AL158" s="101"/>
      <c r="AM158" s="115"/>
      <c r="AN158" s="104"/>
      <c r="AO158" s="104"/>
      <c r="AQ158" s="30" t="str">
        <f>IFERROR(INDEX('G-6 Hedgerow Data'!$BJ$3:$BJ$15,MATCH(M158,'G-6 Hedgerow Data'!$B$3:$B$15,0)),"")</f>
        <v/>
      </c>
    </row>
    <row r="159" spans="2:43" ht="14">
      <c r="B159" s="305" t="str">
        <f>'E-1 Off-Site Hedge Baseline'!AN157</f>
        <v/>
      </c>
      <c r="C159" s="295" t="str">
        <f>IF(B159="","",IF(ISNA(VLOOKUP($B159,'E-1 Off-Site Hedge Baseline'!$B$1:$L$257,3,FALSE)),"",(VLOOKUP($B159,'E-1 Off-Site Hedge Baseline'!$B$1:$L$257,3,FALSE))))</f>
        <v/>
      </c>
      <c r="D159" s="295" t="str">
        <f>IF(B159="","",IF(ISNA(VLOOKUP($B159,'E-1 Off-Site Hedge Baseline'!$B$1:$L$258,4,FALSE)),"",(VLOOKUP($B159,'E-1 Off-Site Hedge Baseline'!$B$1:$L$258,4,FALSE))))</f>
        <v/>
      </c>
      <c r="E159" s="295" t="str">
        <f>IF(B159="","",IF(ISNA(VLOOKUP($B159,'E-1 Off-Site Hedge Baseline'!$B$1:$L$257,5,FALSE)),"",(VLOOKUP($B159,'E-1 Off-Site Hedge Baseline'!$B$1:$L$257,5,FALSE))))</f>
        <v/>
      </c>
      <c r="F159" s="295" t="str">
        <f>IF(B159="","",IF(ISNA(VLOOKUP($B159,'E-1 Off-Site Hedge Baseline'!$B$1:$L$257,6,FALSE)),"",(VLOOKUP($B159,'E-1 Off-Site Hedge Baseline'!$B$1:$L$257,6,FALSE))))</f>
        <v/>
      </c>
      <c r="G159" s="295" t="str">
        <f>IF(B159="","",IF(ISNA(VLOOKUP($B159,'E-1 Off-Site Hedge Baseline'!$B$1:$L$257,7,FALSE)),"",(VLOOKUP($B159,'E-1 Off-Site Hedge Baseline'!$B$1:$L$257,7,FALSE))))</f>
        <v/>
      </c>
      <c r="H159" s="295" t="str">
        <f>IF(B159="","",IF(ISNA(VLOOKUP($B159,'E-1 Off-Site Hedge Baseline'!$B$1:$L$257,8,FALSE)),"",(VLOOKUP($B159,'E-1 Off-Site Hedge Baseline'!$B$1:$L$257,8,FALSE))))</f>
        <v/>
      </c>
      <c r="I159" s="295" t="str">
        <f>IF(B159="","",IF(ISNA(VLOOKUP($B159,'E-1 Off-Site Hedge Baseline'!$B$1:$L$257,10,FALSE)),"",(VLOOKUP($B159,'E-1 Off-Site Hedge Baseline'!$B$1:$L$257,10,FALSE))))</f>
        <v/>
      </c>
      <c r="J159" s="295" t="str">
        <f>IF(B159="","",IF(ISNA(VLOOKUP($B159,'E-1 Off-Site Hedge Baseline'!$B$1:$L$257,11,FALSE)),"",(VLOOKUP($B159,'E-1 Off-Site Hedge Baseline'!$B$1:$L$257,11,FALSE))))</f>
        <v/>
      </c>
      <c r="K159" s="295" t="str">
        <f>IF(B159="","",IF(ISNA(VLOOKUP($B159,'E-1 Off-Site Hedge Baseline'!$B$1:$X$257,16,FALSE)),"",(VLOOKUP($B159,'E-1 Off-Site Hedge Baseline'!$B$1:$X$257,16,FALSE))))</f>
        <v/>
      </c>
      <c r="L159" s="283" t="str">
        <f>IF(B159="","",IF(ISNA(VLOOKUP($B159,'E-1 Off-Site Hedge Baseline'!$B$1:$X$257,12,FALSE)),"",(VLOOKUP($B159,'E-1 Off-Site Hedge Baseline'!$B$1:$X$257,12,FALSE))))</f>
        <v/>
      </c>
      <c r="M159" s="244"/>
      <c r="N159" s="275" t="str">
        <f>IFERROR(IF(B159="","",INDEX('G-6 Hedgerow Data'!$AN$3:$AZ$15,MATCH(C159,'G-6 Hedgerow Data'!$AM$3:$AM$15,0),MATCH(M159,'G-6 Hedgerow Data'!$AN$2:$AZ$2,0))),"")</f>
        <v/>
      </c>
      <c r="O159" s="276" t="str">
        <f t="shared" si="17"/>
        <v/>
      </c>
      <c r="P159" s="281" t="str">
        <f>IF(B159="","",VLOOKUP(B159,'E-1 Off-Site Hedge Baseline'!$B$10:W404,19,FALSE))</f>
        <v/>
      </c>
      <c r="Q159" s="275" t="str">
        <f>IF(M159="","",VLOOKUP(M159,'G-6 Hedgerow Data'!$B$2:$AG$15,2,FALSE))</f>
        <v/>
      </c>
      <c r="R159" s="276" t="str">
        <f>IF(M159="","",VLOOKUP(M159,'G-6 Hedgerow Data'!$B$2:$AG$15,3,FALSE))</f>
        <v/>
      </c>
      <c r="S159" s="101"/>
      <c r="T159" s="276" t="str">
        <f>IFERROR(IF(S159="","",IF(AND(M159="Non-native and ornamental hedgerow",S159&lt;&gt;"Poor"),"Not possible ▲",(IF(AND(Q159="V.Low",OR(S159="Good",S159="Moderate")),"Error ▲",VLOOKUP(S159,'G-1 All Habitats'!$Z$2:$AA$9,2,FALSE))))),"")</f>
        <v/>
      </c>
      <c r="U159" s="101"/>
      <c r="V159" s="283" t="str">
        <f>IF(U159="","",IF(VLOOKUP(U159,'G-3 Multipliers'!$L$3:$N$6,2,FALSE)=0,"Spatial Data Missing ⚠",VLOOKUP(U159,'G-3 Multipliers'!$L$3:$N$6,2,FALSE)))</f>
        <v/>
      </c>
      <c r="W159" s="281" t="str">
        <f>IF(U159="","",IF(VLOOKUP(U159,'G-3 Multipliers'!$L$3:$N$6,3,FALSE)=0,"Spatial Data Missing ⚠",VLOOKUP(U159,'G-3 Multipliers'!$L$3:$N$6,3,FALSE)))</f>
        <v/>
      </c>
      <c r="X159" s="275" t="str">
        <f>IFERROR(IF(OR(LEFT(O159,5)="Error",LEFT(N159,5)="Error",T159="Error"),"Check Data ⚠",IF(F159&lt;R159,INDEX('G-6 Hedgerow Data'!$S$3:$AE$14,MATCH(C159,'G-6 Hedgerow Data'!$B$3:$B$14,0),MATCH(M159,'G-6 Hedgerow Data'!$S$2:$AE$2,0)),INDEX('G-6 Hedgerow Data'!$K$3:$Q$14,MATCH(M159,'G-6 Hedgerow Data'!$B$3:$B$14,0),MATCH(O159,'G-6 Hedgerow Data'!$K$2:$Q$2,0)))),"")</f>
        <v/>
      </c>
      <c r="Y159" s="133"/>
      <c r="Z159" s="133"/>
      <c r="AA159" s="283" t="str">
        <f t="shared" si="18"/>
        <v/>
      </c>
      <c r="AB159" s="296" t="str">
        <f t="shared" si="19"/>
        <v/>
      </c>
      <c r="AC159" s="297" t="str">
        <f t="shared" si="16"/>
        <v/>
      </c>
      <c r="AD159" s="311" t="str">
        <f>IF(M159="","",VLOOKUP(M159,'G-6 Hedgerow Data'!$B$3:$AG$15,31,FALSE))</f>
        <v/>
      </c>
      <c r="AE159" s="295" t="str">
        <f t="shared" si="20"/>
        <v/>
      </c>
      <c r="AF159" s="283" t="str">
        <f t="shared" si="21"/>
        <v/>
      </c>
      <c r="AG159" s="299" t="str">
        <f>IFERROR(IF(O159="","",VLOOKUP(AD159,'G-3 Multipliers'!$P$3:$Q$6,2,FALSE)),"")</f>
        <v/>
      </c>
      <c r="AH159" s="713" t="str">
        <f>IF(B159="","",IF(ISNA(VLOOKUP($B159,'E-1 Off-Site Hedge Baseline'!$B$1:$Z$257,14,FALSE)),"",(VLOOKUP($B159,'E-1 Off-Site Hedge Baseline'!$B$1:$Z$257,14,FALSE))))</f>
        <v/>
      </c>
      <c r="AI159" s="276" t="str">
        <f>IF(AH159="","",IF(VLOOKUP(AH159,'G-3 Multipliers'!$S$3:$T$10,2,FALSE)=0,"Spatial Data Missing ⚠",VLOOKUP(AH159,'G-3 Multipliers'!$S$3:$T$10,2,FALSE)))</f>
        <v/>
      </c>
      <c r="AJ159" s="317" t="str">
        <f t="shared" si="22"/>
        <v/>
      </c>
      <c r="AK159" s="289" t="str">
        <f t="shared" si="23"/>
        <v/>
      </c>
      <c r="AL159" s="101"/>
      <c r="AM159" s="115"/>
      <c r="AN159" s="104"/>
      <c r="AO159" s="104"/>
      <c r="AQ159" s="30" t="str">
        <f>IFERROR(INDEX('G-6 Hedgerow Data'!$BJ$3:$BJ$15,MATCH(M159,'G-6 Hedgerow Data'!$B$3:$B$15,0)),"")</f>
        <v/>
      </c>
    </row>
    <row r="160" spans="2:43" ht="14">
      <c r="B160" s="305" t="str">
        <f>'E-1 Off-Site Hedge Baseline'!AN158</f>
        <v/>
      </c>
      <c r="C160" s="295" t="str">
        <f>IF(B160="","",IF(ISNA(VLOOKUP($B160,'E-1 Off-Site Hedge Baseline'!$B$1:$L$257,3,FALSE)),"",(VLOOKUP($B160,'E-1 Off-Site Hedge Baseline'!$B$1:$L$257,3,FALSE))))</f>
        <v/>
      </c>
      <c r="D160" s="295" t="str">
        <f>IF(B160="","",IF(ISNA(VLOOKUP($B160,'E-1 Off-Site Hedge Baseline'!$B$1:$L$258,4,FALSE)),"",(VLOOKUP($B160,'E-1 Off-Site Hedge Baseline'!$B$1:$L$258,4,FALSE))))</f>
        <v/>
      </c>
      <c r="E160" s="295" t="str">
        <f>IF(B160="","",IF(ISNA(VLOOKUP($B160,'E-1 Off-Site Hedge Baseline'!$B$1:$L$257,5,FALSE)),"",(VLOOKUP($B160,'E-1 Off-Site Hedge Baseline'!$B$1:$L$257,5,FALSE))))</f>
        <v/>
      </c>
      <c r="F160" s="295" t="str">
        <f>IF(B160="","",IF(ISNA(VLOOKUP($B160,'E-1 Off-Site Hedge Baseline'!$B$1:$L$257,6,FALSE)),"",(VLOOKUP($B160,'E-1 Off-Site Hedge Baseline'!$B$1:$L$257,6,FALSE))))</f>
        <v/>
      </c>
      <c r="G160" s="295" t="str">
        <f>IF(B160="","",IF(ISNA(VLOOKUP($B160,'E-1 Off-Site Hedge Baseline'!$B$1:$L$257,7,FALSE)),"",(VLOOKUP($B160,'E-1 Off-Site Hedge Baseline'!$B$1:$L$257,7,FALSE))))</f>
        <v/>
      </c>
      <c r="H160" s="295" t="str">
        <f>IF(B160="","",IF(ISNA(VLOOKUP($B160,'E-1 Off-Site Hedge Baseline'!$B$1:$L$257,8,FALSE)),"",(VLOOKUP($B160,'E-1 Off-Site Hedge Baseline'!$B$1:$L$257,8,FALSE))))</f>
        <v/>
      </c>
      <c r="I160" s="295" t="str">
        <f>IF(B160="","",IF(ISNA(VLOOKUP($B160,'E-1 Off-Site Hedge Baseline'!$B$1:$L$257,10,FALSE)),"",(VLOOKUP($B160,'E-1 Off-Site Hedge Baseline'!$B$1:$L$257,10,FALSE))))</f>
        <v/>
      </c>
      <c r="J160" s="295" t="str">
        <f>IF(B160="","",IF(ISNA(VLOOKUP($B160,'E-1 Off-Site Hedge Baseline'!$B$1:$L$257,11,FALSE)),"",(VLOOKUP($B160,'E-1 Off-Site Hedge Baseline'!$B$1:$L$257,11,FALSE))))</f>
        <v/>
      </c>
      <c r="K160" s="295" t="str">
        <f>IF(B160="","",IF(ISNA(VLOOKUP($B160,'E-1 Off-Site Hedge Baseline'!$B$1:$X$257,16,FALSE)),"",(VLOOKUP($B160,'E-1 Off-Site Hedge Baseline'!$B$1:$X$257,16,FALSE))))</f>
        <v/>
      </c>
      <c r="L160" s="283" t="str">
        <f>IF(B160="","",IF(ISNA(VLOOKUP($B160,'E-1 Off-Site Hedge Baseline'!$B$1:$X$257,12,FALSE)),"",(VLOOKUP($B160,'E-1 Off-Site Hedge Baseline'!$B$1:$X$257,12,FALSE))))</f>
        <v/>
      </c>
      <c r="M160" s="244"/>
      <c r="N160" s="275" t="str">
        <f>IFERROR(IF(B160="","",INDEX('G-6 Hedgerow Data'!$AN$3:$AZ$15,MATCH(C160,'G-6 Hedgerow Data'!$AM$3:$AM$15,0),MATCH(M160,'G-6 Hedgerow Data'!$AN$2:$AZ$2,0))),"")</f>
        <v/>
      </c>
      <c r="O160" s="276" t="str">
        <f t="shared" si="17"/>
        <v/>
      </c>
      <c r="P160" s="281" t="str">
        <f>IF(B160="","",VLOOKUP(B160,'E-1 Off-Site Hedge Baseline'!$B$10:W405,19,FALSE))</f>
        <v/>
      </c>
      <c r="Q160" s="275" t="str">
        <f>IF(M160="","",VLOOKUP(M160,'G-6 Hedgerow Data'!$B$2:$AG$15,2,FALSE))</f>
        <v/>
      </c>
      <c r="R160" s="276" t="str">
        <f>IF(M160="","",VLOOKUP(M160,'G-6 Hedgerow Data'!$B$2:$AG$15,3,FALSE))</f>
        <v/>
      </c>
      <c r="S160" s="101"/>
      <c r="T160" s="276" t="str">
        <f>IFERROR(IF(S160="","",IF(AND(M160="Non-native and ornamental hedgerow",S160&lt;&gt;"Poor"),"Not possible ▲",(IF(AND(Q160="V.Low",OR(S160="Good",S160="Moderate")),"Error ▲",VLOOKUP(S160,'G-1 All Habitats'!$Z$2:$AA$9,2,FALSE))))),"")</f>
        <v/>
      </c>
      <c r="U160" s="101"/>
      <c r="V160" s="283" t="str">
        <f>IF(U160="","",IF(VLOOKUP(U160,'G-3 Multipliers'!$L$3:$N$6,2,FALSE)=0,"Spatial Data Missing ⚠",VLOOKUP(U160,'G-3 Multipliers'!$L$3:$N$6,2,FALSE)))</f>
        <v/>
      </c>
      <c r="W160" s="281" t="str">
        <f>IF(U160="","",IF(VLOOKUP(U160,'G-3 Multipliers'!$L$3:$N$6,3,FALSE)=0,"Spatial Data Missing ⚠",VLOOKUP(U160,'G-3 Multipliers'!$L$3:$N$6,3,FALSE)))</f>
        <v/>
      </c>
      <c r="X160" s="275" t="str">
        <f>IFERROR(IF(OR(LEFT(O160,5)="Error",LEFT(N160,5)="Error",T160="Error"),"Check Data ⚠",IF(F160&lt;R160,INDEX('G-6 Hedgerow Data'!$S$3:$AE$14,MATCH(C160,'G-6 Hedgerow Data'!$B$3:$B$14,0),MATCH(M160,'G-6 Hedgerow Data'!$S$2:$AE$2,0)),INDEX('G-6 Hedgerow Data'!$K$3:$Q$14,MATCH(M160,'G-6 Hedgerow Data'!$B$3:$B$14,0),MATCH(O160,'G-6 Hedgerow Data'!$K$2:$Q$2,0)))),"")</f>
        <v/>
      </c>
      <c r="Y160" s="133"/>
      <c r="Z160" s="133"/>
      <c r="AA160" s="283" t="str">
        <f t="shared" si="18"/>
        <v/>
      </c>
      <c r="AB160" s="296" t="str">
        <f t="shared" si="19"/>
        <v/>
      </c>
      <c r="AC160" s="297" t="str">
        <f t="shared" si="16"/>
        <v/>
      </c>
      <c r="AD160" s="311" t="str">
        <f>IF(M160="","",VLOOKUP(M160,'G-6 Hedgerow Data'!$B$3:$AG$15,31,FALSE))</f>
        <v/>
      </c>
      <c r="AE160" s="295" t="str">
        <f t="shared" si="20"/>
        <v/>
      </c>
      <c r="AF160" s="283" t="str">
        <f t="shared" si="21"/>
        <v/>
      </c>
      <c r="AG160" s="299" t="str">
        <f>IFERROR(IF(O160="","",VLOOKUP(AD160,'G-3 Multipliers'!$P$3:$Q$6,2,FALSE)),"")</f>
        <v/>
      </c>
      <c r="AH160" s="713" t="str">
        <f>IF(B160="","",IF(ISNA(VLOOKUP($B160,'E-1 Off-Site Hedge Baseline'!$B$1:$Z$257,14,FALSE)),"",(VLOOKUP($B160,'E-1 Off-Site Hedge Baseline'!$B$1:$Z$257,14,FALSE))))</f>
        <v/>
      </c>
      <c r="AI160" s="276" t="str">
        <f>IF(AH160="","",IF(VLOOKUP(AH160,'G-3 Multipliers'!$S$3:$T$10,2,FALSE)=0,"Spatial Data Missing ⚠",VLOOKUP(AH160,'G-3 Multipliers'!$S$3:$T$10,2,FALSE)))</f>
        <v/>
      </c>
      <c r="AJ160" s="317" t="str">
        <f t="shared" si="22"/>
        <v/>
      </c>
      <c r="AK160" s="289" t="str">
        <f t="shared" si="23"/>
        <v/>
      </c>
      <c r="AL160" s="101"/>
      <c r="AM160" s="115"/>
      <c r="AN160" s="104"/>
      <c r="AO160" s="104"/>
      <c r="AQ160" s="30" t="str">
        <f>IFERROR(INDEX('G-6 Hedgerow Data'!$BJ$3:$BJ$15,MATCH(M160,'G-6 Hedgerow Data'!$B$3:$B$15,0)),"")</f>
        <v/>
      </c>
    </row>
    <row r="161" spans="2:43" ht="14">
      <c r="B161" s="305" t="str">
        <f>'E-1 Off-Site Hedge Baseline'!AN159</f>
        <v/>
      </c>
      <c r="C161" s="295" t="str">
        <f>IF(B161="","",IF(ISNA(VLOOKUP($B161,'E-1 Off-Site Hedge Baseline'!$B$1:$L$257,3,FALSE)),"",(VLOOKUP($B161,'E-1 Off-Site Hedge Baseline'!$B$1:$L$257,3,FALSE))))</f>
        <v/>
      </c>
      <c r="D161" s="295" t="str">
        <f>IF(B161="","",IF(ISNA(VLOOKUP($B161,'E-1 Off-Site Hedge Baseline'!$B$1:$L$258,4,FALSE)),"",(VLOOKUP($B161,'E-1 Off-Site Hedge Baseline'!$B$1:$L$258,4,FALSE))))</f>
        <v/>
      </c>
      <c r="E161" s="295" t="str">
        <f>IF(B161="","",IF(ISNA(VLOOKUP($B161,'E-1 Off-Site Hedge Baseline'!$B$1:$L$257,5,FALSE)),"",(VLOOKUP($B161,'E-1 Off-Site Hedge Baseline'!$B$1:$L$257,5,FALSE))))</f>
        <v/>
      </c>
      <c r="F161" s="295" t="str">
        <f>IF(B161="","",IF(ISNA(VLOOKUP($B161,'E-1 Off-Site Hedge Baseline'!$B$1:$L$257,6,FALSE)),"",(VLOOKUP($B161,'E-1 Off-Site Hedge Baseline'!$B$1:$L$257,6,FALSE))))</f>
        <v/>
      </c>
      <c r="G161" s="295" t="str">
        <f>IF(B161="","",IF(ISNA(VLOOKUP($B161,'E-1 Off-Site Hedge Baseline'!$B$1:$L$257,7,FALSE)),"",(VLOOKUP($B161,'E-1 Off-Site Hedge Baseline'!$B$1:$L$257,7,FALSE))))</f>
        <v/>
      </c>
      <c r="H161" s="295" t="str">
        <f>IF(B161="","",IF(ISNA(VLOOKUP($B161,'E-1 Off-Site Hedge Baseline'!$B$1:$L$257,8,FALSE)),"",(VLOOKUP($B161,'E-1 Off-Site Hedge Baseline'!$B$1:$L$257,8,FALSE))))</f>
        <v/>
      </c>
      <c r="I161" s="295" t="str">
        <f>IF(B161="","",IF(ISNA(VLOOKUP($B161,'E-1 Off-Site Hedge Baseline'!$B$1:$L$257,10,FALSE)),"",(VLOOKUP($B161,'E-1 Off-Site Hedge Baseline'!$B$1:$L$257,10,FALSE))))</f>
        <v/>
      </c>
      <c r="J161" s="295" t="str">
        <f>IF(B161="","",IF(ISNA(VLOOKUP($B161,'E-1 Off-Site Hedge Baseline'!$B$1:$L$257,11,FALSE)),"",(VLOOKUP($B161,'E-1 Off-Site Hedge Baseline'!$B$1:$L$257,11,FALSE))))</f>
        <v/>
      </c>
      <c r="K161" s="295" t="str">
        <f>IF(B161="","",IF(ISNA(VLOOKUP($B161,'E-1 Off-Site Hedge Baseline'!$B$1:$X$257,16,FALSE)),"",(VLOOKUP($B161,'E-1 Off-Site Hedge Baseline'!$B$1:$X$257,16,FALSE))))</f>
        <v/>
      </c>
      <c r="L161" s="283" t="str">
        <f>IF(B161="","",IF(ISNA(VLOOKUP($B161,'E-1 Off-Site Hedge Baseline'!$B$1:$X$257,12,FALSE)),"",(VLOOKUP($B161,'E-1 Off-Site Hedge Baseline'!$B$1:$X$257,12,FALSE))))</f>
        <v/>
      </c>
      <c r="M161" s="244"/>
      <c r="N161" s="275" t="str">
        <f>IFERROR(IF(B161="","",INDEX('G-6 Hedgerow Data'!$AN$3:$AZ$15,MATCH(C161,'G-6 Hedgerow Data'!$AM$3:$AM$15,0),MATCH(M161,'G-6 Hedgerow Data'!$AN$2:$AZ$2,0))),"")</f>
        <v/>
      </c>
      <c r="O161" s="276" t="str">
        <f t="shared" si="17"/>
        <v/>
      </c>
      <c r="P161" s="281" t="str">
        <f>IF(B161="","",VLOOKUP(B161,'E-1 Off-Site Hedge Baseline'!$B$10:W406,19,FALSE))</f>
        <v/>
      </c>
      <c r="Q161" s="275" t="str">
        <f>IF(M161="","",VLOOKUP(M161,'G-6 Hedgerow Data'!$B$2:$AG$15,2,FALSE))</f>
        <v/>
      </c>
      <c r="R161" s="276" t="str">
        <f>IF(M161="","",VLOOKUP(M161,'G-6 Hedgerow Data'!$B$2:$AG$15,3,FALSE))</f>
        <v/>
      </c>
      <c r="S161" s="101"/>
      <c r="T161" s="276" t="str">
        <f>IFERROR(IF(S161="","",IF(AND(M161="Non-native and ornamental hedgerow",S161&lt;&gt;"Poor"),"Not possible ▲",(IF(AND(Q161="V.Low",OR(S161="Good",S161="Moderate")),"Error ▲",VLOOKUP(S161,'G-1 All Habitats'!$Z$2:$AA$9,2,FALSE))))),"")</f>
        <v/>
      </c>
      <c r="U161" s="101"/>
      <c r="V161" s="283" t="str">
        <f>IF(U161="","",IF(VLOOKUP(U161,'G-3 Multipliers'!$L$3:$N$6,2,FALSE)=0,"Spatial Data Missing ⚠",VLOOKUP(U161,'G-3 Multipliers'!$L$3:$N$6,2,FALSE)))</f>
        <v/>
      </c>
      <c r="W161" s="281" t="str">
        <f>IF(U161="","",IF(VLOOKUP(U161,'G-3 Multipliers'!$L$3:$N$6,3,FALSE)=0,"Spatial Data Missing ⚠",VLOOKUP(U161,'G-3 Multipliers'!$L$3:$N$6,3,FALSE)))</f>
        <v/>
      </c>
      <c r="X161" s="275" t="str">
        <f>IFERROR(IF(OR(LEFT(O161,5)="Error",LEFT(N161,5)="Error",T161="Error"),"Check Data ⚠",IF(F161&lt;R161,INDEX('G-6 Hedgerow Data'!$S$3:$AE$14,MATCH(C161,'G-6 Hedgerow Data'!$B$3:$B$14,0),MATCH(M161,'G-6 Hedgerow Data'!$S$2:$AE$2,0)),INDEX('G-6 Hedgerow Data'!$K$3:$Q$14,MATCH(M161,'G-6 Hedgerow Data'!$B$3:$B$14,0),MATCH(O161,'G-6 Hedgerow Data'!$K$2:$Q$2,0)))),"")</f>
        <v/>
      </c>
      <c r="Y161" s="133"/>
      <c r="Z161" s="133"/>
      <c r="AA161" s="283" t="str">
        <f t="shared" si="18"/>
        <v/>
      </c>
      <c r="AB161" s="296" t="str">
        <f t="shared" si="19"/>
        <v/>
      </c>
      <c r="AC161" s="297" t="str">
        <f t="shared" si="16"/>
        <v/>
      </c>
      <c r="AD161" s="311" t="str">
        <f>IF(M161="","",VLOOKUP(M161,'G-6 Hedgerow Data'!$B$3:$AG$15,31,FALSE))</f>
        <v/>
      </c>
      <c r="AE161" s="295" t="str">
        <f t="shared" si="20"/>
        <v/>
      </c>
      <c r="AF161" s="283" t="str">
        <f t="shared" si="21"/>
        <v/>
      </c>
      <c r="AG161" s="299" t="str">
        <f>IFERROR(IF(O161="","",VLOOKUP(AD161,'G-3 Multipliers'!$P$3:$Q$6,2,FALSE)),"")</f>
        <v/>
      </c>
      <c r="AH161" s="713" t="str">
        <f>IF(B161="","",IF(ISNA(VLOOKUP($B161,'E-1 Off-Site Hedge Baseline'!$B$1:$Z$257,14,FALSE)),"",(VLOOKUP($B161,'E-1 Off-Site Hedge Baseline'!$B$1:$Z$257,14,FALSE))))</f>
        <v/>
      </c>
      <c r="AI161" s="276" t="str">
        <f>IF(AH161="","",IF(VLOOKUP(AH161,'G-3 Multipliers'!$S$3:$T$10,2,FALSE)=0,"Spatial Data Missing ⚠",VLOOKUP(AH161,'G-3 Multipliers'!$S$3:$T$10,2,FALSE)))</f>
        <v/>
      </c>
      <c r="AJ161" s="317" t="str">
        <f t="shared" si="22"/>
        <v/>
      </c>
      <c r="AK161" s="289" t="str">
        <f t="shared" si="23"/>
        <v/>
      </c>
      <c r="AL161" s="101"/>
      <c r="AM161" s="115"/>
      <c r="AN161" s="104"/>
      <c r="AO161" s="104"/>
      <c r="AQ161" s="30" t="str">
        <f>IFERROR(INDEX('G-6 Hedgerow Data'!$BJ$3:$BJ$15,MATCH(M161,'G-6 Hedgerow Data'!$B$3:$B$15,0)),"")</f>
        <v/>
      </c>
    </row>
    <row r="162" spans="2:43" ht="14">
      <c r="B162" s="305" t="str">
        <f>'E-1 Off-Site Hedge Baseline'!AN160</f>
        <v/>
      </c>
      <c r="C162" s="295" t="str">
        <f>IF(B162="","",IF(ISNA(VLOOKUP($B162,'E-1 Off-Site Hedge Baseline'!$B$1:$L$257,3,FALSE)),"",(VLOOKUP($B162,'E-1 Off-Site Hedge Baseline'!$B$1:$L$257,3,FALSE))))</f>
        <v/>
      </c>
      <c r="D162" s="295" t="str">
        <f>IF(B162="","",IF(ISNA(VLOOKUP($B162,'E-1 Off-Site Hedge Baseline'!$B$1:$L$258,4,FALSE)),"",(VLOOKUP($B162,'E-1 Off-Site Hedge Baseline'!$B$1:$L$258,4,FALSE))))</f>
        <v/>
      </c>
      <c r="E162" s="295" t="str">
        <f>IF(B162="","",IF(ISNA(VLOOKUP($B162,'E-1 Off-Site Hedge Baseline'!$B$1:$L$257,5,FALSE)),"",(VLOOKUP($B162,'E-1 Off-Site Hedge Baseline'!$B$1:$L$257,5,FALSE))))</f>
        <v/>
      </c>
      <c r="F162" s="295" t="str">
        <f>IF(B162="","",IF(ISNA(VLOOKUP($B162,'E-1 Off-Site Hedge Baseline'!$B$1:$L$257,6,FALSE)),"",(VLOOKUP($B162,'E-1 Off-Site Hedge Baseline'!$B$1:$L$257,6,FALSE))))</f>
        <v/>
      </c>
      <c r="G162" s="295" t="str">
        <f>IF(B162="","",IF(ISNA(VLOOKUP($B162,'E-1 Off-Site Hedge Baseline'!$B$1:$L$257,7,FALSE)),"",(VLOOKUP($B162,'E-1 Off-Site Hedge Baseline'!$B$1:$L$257,7,FALSE))))</f>
        <v/>
      </c>
      <c r="H162" s="295" t="str">
        <f>IF(B162="","",IF(ISNA(VLOOKUP($B162,'E-1 Off-Site Hedge Baseline'!$B$1:$L$257,8,FALSE)),"",(VLOOKUP($B162,'E-1 Off-Site Hedge Baseline'!$B$1:$L$257,8,FALSE))))</f>
        <v/>
      </c>
      <c r="I162" s="295" t="str">
        <f>IF(B162="","",IF(ISNA(VLOOKUP($B162,'E-1 Off-Site Hedge Baseline'!$B$1:$L$257,10,FALSE)),"",(VLOOKUP($B162,'E-1 Off-Site Hedge Baseline'!$B$1:$L$257,10,FALSE))))</f>
        <v/>
      </c>
      <c r="J162" s="295" t="str">
        <f>IF(B162="","",IF(ISNA(VLOOKUP($B162,'E-1 Off-Site Hedge Baseline'!$B$1:$L$257,11,FALSE)),"",(VLOOKUP($B162,'E-1 Off-Site Hedge Baseline'!$B$1:$L$257,11,FALSE))))</f>
        <v/>
      </c>
      <c r="K162" s="295" t="str">
        <f>IF(B162="","",IF(ISNA(VLOOKUP($B162,'E-1 Off-Site Hedge Baseline'!$B$1:$X$257,16,FALSE)),"",(VLOOKUP($B162,'E-1 Off-Site Hedge Baseline'!$B$1:$X$257,16,FALSE))))</f>
        <v/>
      </c>
      <c r="L162" s="283" t="str">
        <f>IF(B162="","",IF(ISNA(VLOOKUP($B162,'E-1 Off-Site Hedge Baseline'!$B$1:$X$257,12,FALSE)),"",(VLOOKUP($B162,'E-1 Off-Site Hedge Baseline'!$B$1:$X$257,12,FALSE))))</f>
        <v/>
      </c>
      <c r="M162" s="244"/>
      <c r="N162" s="275" t="str">
        <f>IFERROR(IF(B162="","",INDEX('G-6 Hedgerow Data'!$AN$3:$AZ$15,MATCH(C162,'G-6 Hedgerow Data'!$AM$3:$AM$15,0),MATCH(M162,'G-6 Hedgerow Data'!$AN$2:$AZ$2,0))),"")</f>
        <v/>
      </c>
      <c r="O162" s="276" t="str">
        <f t="shared" si="17"/>
        <v/>
      </c>
      <c r="P162" s="281" t="str">
        <f>IF(B162="","",VLOOKUP(B162,'E-1 Off-Site Hedge Baseline'!$B$10:W407,19,FALSE))</f>
        <v/>
      </c>
      <c r="Q162" s="275" t="str">
        <f>IF(M162="","",VLOOKUP(M162,'G-6 Hedgerow Data'!$B$2:$AG$15,2,FALSE))</f>
        <v/>
      </c>
      <c r="R162" s="276" t="str">
        <f>IF(M162="","",VLOOKUP(M162,'G-6 Hedgerow Data'!$B$2:$AG$15,3,FALSE))</f>
        <v/>
      </c>
      <c r="S162" s="101"/>
      <c r="T162" s="276" t="str">
        <f>IFERROR(IF(S162="","",IF(AND(M162="Non-native and ornamental hedgerow",S162&lt;&gt;"Poor"),"Not possible ▲",(IF(AND(Q162="V.Low",OR(S162="Good",S162="Moderate")),"Error ▲",VLOOKUP(S162,'G-1 All Habitats'!$Z$2:$AA$9,2,FALSE))))),"")</f>
        <v/>
      </c>
      <c r="U162" s="101"/>
      <c r="V162" s="283" t="str">
        <f>IF(U162="","",IF(VLOOKUP(U162,'G-3 Multipliers'!$L$3:$N$6,2,FALSE)=0,"Spatial Data Missing ⚠",VLOOKUP(U162,'G-3 Multipliers'!$L$3:$N$6,2,FALSE)))</f>
        <v/>
      </c>
      <c r="W162" s="281" t="str">
        <f>IF(U162="","",IF(VLOOKUP(U162,'G-3 Multipliers'!$L$3:$N$6,3,FALSE)=0,"Spatial Data Missing ⚠",VLOOKUP(U162,'G-3 Multipliers'!$L$3:$N$6,3,FALSE)))</f>
        <v/>
      </c>
      <c r="X162" s="275" t="str">
        <f>IFERROR(IF(OR(LEFT(O162,5)="Error",LEFT(N162,5)="Error",T162="Error"),"Check Data ⚠",IF(F162&lt;R162,INDEX('G-6 Hedgerow Data'!$S$3:$AE$14,MATCH(C162,'G-6 Hedgerow Data'!$B$3:$B$14,0),MATCH(M162,'G-6 Hedgerow Data'!$S$2:$AE$2,0)),INDEX('G-6 Hedgerow Data'!$K$3:$Q$14,MATCH(M162,'G-6 Hedgerow Data'!$B$3:$B$14,0),MATCH(O162,'G-6 Hedgerow Data'!$K$2:$Q$2,0)))),"")</f>
        <v/>
      </c>
      <c r="Y162" s="133"/>
      <c r="Z162" s="133"/>
      <c r="AA162" s="283" t="str">
        <f t="shared" si="18"/>
        <v/>
      </c>
      <c r="AB162" s="296" t="str">
        <f t="shared" si="19"/>
        <v/>
      </c>
      <c r="AC162" s="297" t="str">
        <f t="shared" si="16"/>
        <v/>
      </c>
      <c r="AD162" s="311" t="str">
        <f>IF(M162="","",VLOOKUP(M162,'G-6 Hedgerow Data'!$B$3:$AG$15,31,FALSE))</f>
        <v/>
      </c>
      <c r="AE162" s="295" t="str">
        <f t="shared" si="20"/>
        <v/>
      </c>
      <c r="AF162" s="283" t="str">
        <f t="shared" si="21"/>
        <v/>
      </c>
      <c r="AG162" s="299" t="str">
        <f>IFERROR(IF(O162="","",VLOOKUP(AD162,'G-3 Multipliers'!$P$3:$Q$6,2,FALSE)),"")</f>
        <v/>
      </c>
      <c r="AH162" s="713" t="str">
        <f>IF(B162="","",IF(ISNA(VLOOKUP($B162,'E-1 Off-Site Hedge Baseline'!$B$1:$Z$257,14,FALSE)),"",(VLOOKUP($B162,'E-1 Off-Site Hedge Baseline'!$B$1:$Z$257,14,FALSE))))</f>
        <v/>
      </c>
      <c r="AI162" s="276" t="str">
        <f>IF(AH162="","",IF(VLOOKUP(AH162,'G-3 Multipliers'!$S$3:$T$10,2,FALSE)=0,"Spatial Data Missing ⚠",VLOOKUP(AH162,'G-3 Multipliers'!$S$3:$T$10,2,FALSE)))</f>
        <v/>
      </c>
      <c r="AJ162" s="317" t="str">
        <f t="shared" si="22"/>
        <v/>
      </c>
      <c r="AK162" s="289" t="str">
        <f t="shared" si="23"/>
        <v/>
      </c>
      <c r="AL162" s="101"/>
      <c r="AM162" s="115"/>
      <c r="AN162" s="104"/>
      <c r="AO162" s="104"/>
      <c r="AQ162" s="30" t="str">
        <f>IFERROR(INDEX('G-6 Hedgerow Data'!$BJ$3:$BJ$15,MATCH(M162,'G-6 Hedgerow Data'!$B$3:$B$15,0)),"")</f>
        <v/>
      </c>
    </row>
    <row r="163" spans="2:43" ht="14">
      <c r="B163" s="305" t="str">
        <f>'E-1 Off-Site Hedge Baseline'!AN161</f>
        <v/>
      </c>
      <c r="C163" s="295" t="str">
        <f>IF(B163="","",IF(ISNA(VLOOKUP($B163,'E-1 Off-Site Hedge Baseline'!$B$1:$L$257,3,FALSE)),"",(VLOOKUP($B163,'E-1 Off-Site Hedge Baseline'!$B$1:$L$257,3,FALSE))))</f>
        <v/>
      </c>
      <c r="D163" s="295" t="str">
        <f>IF(B163="","",IF(ISNA(VLOOKUP($B163,'E-1 Off-Site Hedge Baseline'!$B$1:$L$258,4,FALSE)),"",(VLOOKUP($B163,'E-1 Off-Site Hedge Baseline'!$B$1:$L$258,4,FALSE))))</f>
        <v/>
      </c>
      <c r="E163" s="295" t="str">
        <f>IF(B163="","",IF(ISNA(VLOOKUP($B163,'E-1 Off-Site Hedge Baseline'!$B$1:$L$257,5,FALSE)),"",(VLOOKUP($B163,'E-1 Off-Site Hedge Baseline'!$B$1:$L$257,5,FALSE))))</f>
        <v/>
      </c>
      <c r="F163" s="295" t="str">
        <f>IF(B163="","",IF(ISNA(VLOOKUP($B163,'E-1 Off-Site Hedge Baseline'!$B$1:$L$257,6,FALSE)),"",(VLOOKUP($B163,'E-1 Off-Site Hedge Baseline'!$B$1:$L$257,6,FALSE))))</f>
        <v/>
      </c>
      <c r="G163" s="295" t="str">
        <f>IF(B163="","",IF(ISNA(VLOOKUP($B163,'E-1 Off-Site Hedge Baseline'!$B$1:$L$257,7,FALSE)),"",(VLOOKUP($B163,'E-1 Off-Site Hedge Baseline'!$B$1:$L$257,7,FALSE))))</f>
        <v/>
      </c>
      <c r="H163" s="295" t="str">
        <f>IF(B163="","",IF(ISNA(VLOOKUP($B163,'E-1 Off-Site Hedge Baseline'!$B$1:$L$257,8,FALSE)),"",(VLOOKUP($B163,'E-1 Off-Site Hedge Baseline'!$B$1:$L$257,8,FALSE))))</f>
        <v/>
      </c>
      <c r="I163" s="295" t="str">
        <f>IF(B163="","",IF(ISNA(VLOOKUP($B163,'E-1 Off-Site Hedge Baseline'!$B$1:$L$257,10,FALSE)),"",(VLOOKUP($B163,'E-1 Off-Site Hedge Baseline'!$B$1:$L$257,10,FALSE))))</f>
        <v/>
      </c>
      <c r="J163" s="295" t="str">
        <f>IF(B163="","",IF(ISNA(VLOOKUP($B163,'E-1 Off-Site Hedge Baseline'!$B$1:$L$257,11,FALSE)),"",(VLOOKUP($B163,'E-1 Off-Site Hedge Baseline'!$B$1:$L$257,11,FALSE))))</f>
        <v/>
      </c>
      <c r="K163" s="295" t="str">
        <f>IF(B163="","",IF(ISNA(VLOOKUP($B163,'E-1 Off-Site Hedge Baseline'!$B$1:$X$257,16,FALSE)),"",(VLOOKUP($B163,'E-1 Off-Site Hedge Baseline'!$B$1:$X$257,16,FALSE))))</f>
        <v/>
      </c>
      <c r="L163" s="283" t="str">
        <f>IF(B163="","",IF(ISNA(VLOOKUP($B163,'E-1 Off-Site Hedge Baseline'!$B$1:$X$257,12,FALSE)),"",(VLOOKUP($B163,'E-1 Off-Site Hedge Baseline'!$B$1:$X$257,12,FALSE))))</f>
        <v/>
      </c>
      <c r="M163" s="244"/>
      <c r="N163" s="275" t="str">
        <f>IFERROR(IF(B163="","",INDEX('G-6 Hedgerow Data'!$AN$3:$AZ$15,MATCH(C163,'G-6 Hedgerow Data'!$AM$3:$AM$15,0),MATCH(M163,'G-6 Hedgerow Data'!$AN$2:$AZ$2,0))),"")</f>
        <v/>
      </c>
      <c r="O163" s="276" t="str">
        <f t="shared" si="17"/>
        <v/>
      </c>
      <c r="P163" s="281" t="str">
        <f>IF(B163="","",VLOOKUP(B163,'E-1 Off-Site Hedge Baseline'!$B$10:W408,19,FALSE))</f>
        <v/>
      </c>
      <c r="Q163" s="275" t="str">
        <f>IF(M163="","",VLOOKUP(M163,'G-6 Hedgerow Data'!$B$2:$AG$15,2,FALSE))</f>
        <v/>
      </c>
      <c r="R163" s="276" t="str">
        <f>IF(M163="","",VLOOKUP(M163,'G-6 Hedgerow Data'!$B$2:$AG$15,3,FALSE))</f>
        <v/>
      </c>
      <c r="S163" s="101"/>
      <c r="T163" s="276" t="str">
        <f>IFERROR(IF(S163="","",IF(AND(M163="Non-native and ornamental hedgerow",S163&lt;&gt;"Poor"),"Not possible ▲",(IF(AND(Q163="V.Low",OR(S163="Good",S163="Moderate")),"Error ▲",VLOOKUP(S163,'G-1 All Habitats'!$Z$2:$AA$9,2,FALSE))))),"")</f>
        <v/>
      </c>
      <c r="U163" s="101"/>
      <c r="V163" s="283" t="str">
        <f>IF(U163="","",IF(VLOOKUP(U163,'G-3 Multipliers'!$L$3:$N$6,2,FALSE)=0,"Spatial Data Missing ⚠",VLOOKUP(U163,'G-3 Multipliers'!$L$3:$N$6,2,FALSE)))</f>
        <v/>
      </c>
      <c r="W163" s="281" t="str">
        <f>IF(U163="","",IF(VLOOKUP(U163,'G-3 Multipliers'!$L$3:$N$6,3,FALSE)=0,"Spatial Data Missing ⚠",VLOOKUP(U163,'G-3 Multipliers'!$L$3:$N$6,3,FALSE)))</f>
        <v/>
      </c>
      <c r="X163" s="275" t="str">
        <f>IFERROR(IF(OR(LEFT(O163,5)="Error",LEFT(N163,5)="Error",T163="Error"),"Check Data ⚠",IF(F163&lt;R163,INDEX('G-6 Hedgerow Data'!$S$3:$AE$14,MATCH(C163,'G-6 Hedgerow Data'!$B$3:$B$14,0),MATCH(M163,'G-6 Hedgerow Data'!$S$2:$AE$2,0)),INDEX('G-6 Hedgerow Data'!$K$3:$Q$14,MATCH(M163,'G-6 Hedgerow Data'!$B$3:$B$14,0),MATCH(O163,'G-6 Hedgerow Data'!$K$2:$Q$2,0)))),"")</f>
        <v/>
      </c>
      <c r="Y163" s="133"/>
      <c r="Z163" s="133"/>
      <c r="AA163" s="283" t="str">
        <f t="shared" si="18"/>
        <v/>
      </c>
      <c r="AB163" s="296" t="str">
        <f t="shared" si="19"/>
        <v/>
      </c>
      <c r="AC163" s="297" t="str">
        <f t="shared" si="16"/>
        <v/>
      </c>
      <c r="AD163" s="311" t="str">
        <f>IF(M163="","",VLOOKUP(M163,'G-6 Hedgerow Data'!$B$3:$AG$15,31,FALSE))</f>
        <v/>
      </c>
      <c r="AE163" s="295" t="str">
        <f t="shared" si="20"/>
        <v/>
      </c>
      <c r="AF163" s="283" t="str">
        <f t="shared" si="21"/>
        <v/>
      </c>
      <c r="AG163" s="299" t="str">
        <f>IFERROR(IF(O163="","",VLOOKUP(AD163,'G-3 Multipliers'!$P$3:$Q$6,2,FALSE)),"")</f>
        <v/>
      </c>
      <c r="AH163" s="713" t="str">
        <f>IF(B163="","",IF(ISNA(VLOOKUP($B163,'E-1 Off-Site Hedge Baseline'!$B$1:$Z$257,14,FALSE)),"",(VLOOKUP($B163,'E-1 Off-Site Hedge Baseline'!$B$1:$Z$257,14,FALSE))))</f>
        <v/>
      </c>
      <c r="AI163" s="276" t="str">
        <f>IF(AH163="","",IF(VLOOKUP(AH163,'G-3 Multipliers'!$S$3:$T$10,2,FALSE)=0,"Spatial Data Missing ⚠",VLOOKUP(AH163,'G-3 Multipliers'!$S$3:$T$10,2,FALSE)))</f>
        <v/>
      </c>
      <c r="AJ163" s="317" t="str">
        <f t="shared" si="22"/>
        <v/>
      </c>
      <c r="AK163" s="289" t="str">
        <f t="shared" si="23"/>
        <v/>
      </c>
      <c r="AL163" s="101"/>
      <c r="AM163" s="115"/>
      <c r="AN163" s="104"/>
      <c r="AO163" s="104"/>
      <c r="AQ163" s="30" t="str">
        <f>IFERROR(INDEX('G-6 Hedgerow Data'!$BJ$3:$BJ$15,MATCH(M163,'G-6 Hedgerow Data'!$B$3:$B$15,0)),"")</f>
        <v/>
      </c>
    </row>
    <row r="164" spans="2:43" ht="14">
      <c r="B164" s="305" t="str">
        <f>'E-1 Off-Site Hedge Baseline'!AN162</f>
        <v/>
      </c>
      <c r="C164" s="295" t="str">
        <f>IF(B164="","",IF(ISNA(VLOOKUP($B164,'E-1 Off-Site Hedge Baseline'!$B$1:$L$257,3,FALSE)),"",(VLOOKUP($B164,'E-1 Off-Site Hedge Baseline'!$B$1:$L$257,3,FALSE))))</f>
        <v/>
      </c>
      <c r="D164" s="295" t="str">
        <f>IF(B164="","",IF(ISNA(VLOOKUP($B164,'E-1 Off-Site Hedge Baseline'!$B$1:$L$258,4,FALSE)),"",(VLOOKUP($B164,'E-1 Off-Site Hedge Baseline'!$B$1:$L$258,4,FALSE))))</f>
        <v/>
      </c>
      <c r="E164" s="295" t="str">
        <f>IF(B164="","",IF(ISNA(VLOOKUP($B164,'E-1 Off-Site Hedge Baseline'!$B$1:$L$257,5,FALSE)),"",(VLOOKUP($B164,'E-1 Off-Site Hedge Baseline'!$B$1:$L$257,5,FALSE))))</f>
        <v/>
      </c>
      <c r="F164" s="295" t="str">
        <f>IF(B164="","",IF(ISNA(VLOOKUP($B164,'E-1 Off-Site Hedge Baseline'!$B$1:$L$257,6,FALSE)),"",(VLOOKUP($B164,'E-1 Off-Site Hedge Baseline'!$B$1:$L$257,6,FALSE))))</f>
        <v/>
      </c>
      <c r="G164" s="295" t="str">
        <f>IF(B164="","",IF(ISNA(VLOOKUP($B164,'E-1 Off-Site Hedge Baseline'!$B$1:$L$257,7,FALSE)),"",(VLOOKUP($B164,'E-1 Off-Site Hedge Baseline'!$B$1:$L$257,7,FALSE))))</f>
        <v/>
      </c>
      <c r="H164" s="295" t="str">
        <f>IF(B164="","",IF(ISNA(VLOOKUP($B164,'E-1 Off-Site Hedge Baseline'!$B$1:$L$257,8,FALSE)),"",(VLOOKUP($B164,'E-1 Off-Site Hedge Baseline'!$B$1:$L$257,8,FALSE))))</f>
        <v/>
      </c>
      <c r="I164" s="295" t="str">
        <f>IF(B164="","",IF(ISNA(VLOOKUP($B164,'E-1 Off-Site Hedge Baseline'!$B$1:$L$257,10,FALSE)),"",(VLOOKUP($B164,'E-1 Off-Site Hedge Baseline'!$B$1:$L$257,10,FALSE))))</f>
        <v/>
      </c>
      <c r="J164" s="295" t="str">
        <f>IF(B164="","",IF(ISNA(VLOOKUP($B164,'E-1 Off-Site Hedge Baseline'!$B$1:$L$257,11,FALSE)),"",(VLOOKUP($B164,'E-1 Off-Site Hedge Baseline'!$B$1:$L$257,11,FALSE))))</f>
        <v/>
      </c>
      <c r="K164" s="295" t="str">
        <f>IF(B164="","",IF(ISNA(VLOOKUP($B164,'E-1 Off-Site Hedge Baseline'!$B$1:$X$257,16,FALSE)),"",(VLOOKUP($B164,'E-1 Off-Site Hedge Baseline'!$B$1:$X$257,16,FALSE))))</f>
        <v/>
      </c>
      <c r="L164" s="283" t="str">
        <f>IF(B164="","",IF(ISNA(VLOOKUP($B164,'E-1 Off-Site Hedge Baseline'!$B$1:$X$257,12,FALSE)),"",(VLOOKUP($B164,'E-1 Off-Site Hedge Baseline'!$B$1:$X$257,12,FALSE))))</f>
        <v/>
      </c>
      <c r="M164" s="244"/>
      <c r="N164" s="275" t="str">
        <f>IFERROR(IF(B164="","",INDEX('G-6 Hedgerow Data'!$AN$3:$AZ$15,MATCH(C164,'G-6 Hedgerow Data'!$AM$3:$AM$15,0),MATCH(M164,'G-6 Hedgerow Data'!$AN$2:$AZ$2,0))),"")</f>
        <v/>
      </c>
      <c r="O164" s="276" t="str">
        <f t="shared" si="17"/>
        <v/>
      </c>
      <c r="P164" s="281" t="str">
        <f>IF(B164="","",VLOOKUP(B164,'E-1 Off-Site Hedge Baseline'!$B$10:W409,19,FALSE))</f>
        <v/>
      </c>
      <c r="Q164" s="275" t="str">
        <f>IF(M164="","",VLOOKUP(M164,'G-6 Hedgerow Data'!$B$2:$AG$15,2,FALSE))</f>
        <v/>
      </c>
      <c r="R164" s="276" t="str">
        <f>IF(M164="","",VLOOKUP(M164,'G-6 Hedgerow Data'!$B$2:$AG$15,3,FALSE))</f>
        <v/>
      </c>
      <c r="S164" s="101"/>
      <c r="T164" s="276" t="str">
        <f>IFERROR(IF(S164="","",IF(AND(M164="Non-native and ornamental hedgerow",S164&lt;&gt;"Poor"),"Not possible ▲",(IF(AND(Q164="V.Low",OR(S164="Good",S164="Moderate")),"Error ▲",VLOOKUP(S164,'G-1 All Habitats'!$Z$2:$AA$9,2,FALSE))))),"")</f>
        <v/>
      </c>
      <c r="U164" s="101"/>
      <c r="V164" s="283" t="str">
        <f>IF(U164="","",IF(VLOOKUP(U164,'G-3 Multipliers'!$L$3:$N$6,2,FALSE)=0,"Spatial Data Missing ⚠",VLOOKUP(U164,'G-3 Multipliers'!$L$3:$N$6,2,FALSE)))</f>
        <v/>
      </c>
      <c r="W164" s="281" t="str">
        <f>IF(U164="","",IF(VLOOKUP(U164,'G-3 Multipliers'!$L$3:$N$6,3,FALSE)=0,"Spatial Data Missing ⚠",VLOOKUP(U164,'G-3 Multipliers'!$L$3:$N$6,3,FALSE)))</f>
        <v/>
      </c>
      <c r="X164" s="275" t="str">
        <f>IFERROR(IF(OR(LEFT(O164,5)="Error",LEFT(N164,5)="Error",T164="Error"),"Check Data ⚠",IF(F164&lt;R164,INDEX('G-6 Hedgerow Data'!$S$3:$AE$14,MATCH(C164,'G-6 Hedgerow Data'!$B$3:$B$14,0),MATCH(M164,'G-6 Hedgerow Data'!$S$2:$AE$2,0)),INDEX('G-6 Hedgerow Data'!$K$3:$Q$14,MATCH(M164,'G-6 Hedgerow Data'!$B$3:$B$14,0),MATCH(O164,'G-6 Hedgerow Data'!$K$2:$Q$2,0)))),"")</f>
        <v/>
      </c>
      <c r="Y164" s="133"/>
      <c r="Z164" s="133"/>
      <c r="AA164" s="283" t="str">
        <f t="shared" si="18"/>
        <v/>
      </c>
      <c r="AB164" s="296" t="str">
        <f t="shared" si="19"/>
        <v/>
      </c>
      <c r="AC164" s="297" t="str">
        <f t="shared" si="16"/>
        <v/>
      </c>
      <c r="AD164" s="311" t="str">
        <f>IF(M164="","",VLOOKUP(M164,'G-6 Hedgerow Data'!$B$3:$AG$15,31,FALSE))</f>
        <v/>
      </c>
      <c r="AE164" s="295" t="str">
        <f t="shared" si="20"/>
        <v/>
      </c>
      <c r="AF164" s="283" t="str">
        <f t="shared" si="21"/>
        <v/>
      </c>
      <c r="AG164" s="299" t="str">
        <f>IFERROR(IF(O164="","",VLOOKUP(AD164,'G-3 Multipliers'!$P$3:$Q$6,2,FALSE)),"")</f>
        <v/>
      </c>
      <c r="AH164" s="713" t="str">
        <f>IF(B164="","",IF(ISNA(VLOOKUP($B164,'E-1 Off-Site Hedge Baseline'!$B$1:$Z$257,14,FALSE)),"",(VLOOKUP($B164,'E-1 Off-Site Hedge Baseline'!$B$1:$Z$257,14,FALSE))))</f>
        <v/>
      </c>
      <c r="AI164" s="276" t="str">
        <f>IF(AH164="","",IF(VLOOKUP(AH164,'G-3 Multipliers'!$S$3:$T$10,2,FALSE)=0,"Spatial Data Missing ⚠",VLOOKUP(AH164,'G-3 Multipliers'!$S$3:$T$10,2,FALSE)))</f>
        <v/>
      </c>
      <c r="AJ164" s="317" t="str">
        <f t="shared" si="22"/>
        <v/>
      </c>
      <c r="AK164" s="289" t="str">
        <f t="shared" si="23"/>
        <v/>
      </c>
      <c r="AL164" s="101"/>
      <c r="AM164" s="115"/>
      <c r="AN164" s="104"/>
      <c r="AO164" s="104"/>
      <c r="AQ164" s="30" t="str">
        <f>IFERROR(INDEX('G-6 Hedgerow Data'!$BJ$3:$BJ$15,MATCH(M164,'G-6 Hedgerow Data'!$B$3:$B$15,0)),"")</f>
        <v/>
      </c>
    </row>
    <row r="165" spans="2:43" ht="14">
      <c r="B165" s="305" t="str">
        <f>'E-1 Off-Site Hedge Baseline'!AN163</f>
        <v/>
      </c>
      <c r="C165" s="295" t="str">
        <f>IF(B165="","",IF(ISNA(VLOOKUP($B165,'E-1 Off-Site Hedge Baseline'!$B$1:$L$257,3,FALSE)),"",(VLOOKUP($B165,'E-1 Off-Site Hedge Baseline'!$B$1:$L$257,3,FALSE))))</f>
        <v/>
      </c>
      <c r="D165" s="295" t="str">
        <f>IF(B165="","",IF(ISNA(VLOOKUP($B165,'E-1 Off-Site Hedge Baseline'!$B$1:$L$258,4,FALSE)),"",(VLOOKUP($B165,'E-1 Off-Site Hedge Baseline'!$B$1:$L$258,4,FALSE))))</f>
        <v/>
      </c>
      <c r="E165" s="295" t="str">
        <f>IF(B165="","",IF(ISNA(VLOOKUP($B165,'E-1 Off-Site Hedge Baseline'!$B$1:$L$257,5,FALSE)),"",(VLOOKUP($B165,'E-1 Off-Site Hedge Baseline'!$B$1:$L$257,5,FALSE))))</f>
        <v/>
      </c>
      <c r="F165" s="295" t="str">
        <f>IF(B165="","",IF(ISNA(VLOOKUP($B165,'E-1 Off-Site Hedge Baseline'!$B$1:$L$257,6,FALSE)),"",(VLOOKUP($B165,'E-1 Off-Site Hedge Baseline'!$B$1:$L$257,6,FALSE))))</f>
        <v/>
      </c>
      <c r="G165" s="295" t="str">
        <f>IF(B165="","",IF(ISNA(VLOOKUP($B165,'E-1 Off-Site Hedge Baseline'!$B$1:$L$257,7,FALSE)),"",(VLOOKUP($B165,'E-1 Off-Site Hedge Baseline'!$B$1:$L$257,7,FALSE))))</f>
        <v/>
      </c>
      <c r="H165" s="295" t="str">
        <f>IF(B165="","",IF(ISNA(VLOOKUP($B165,'E-1 Off-Site Hedge Baseline'!$B$1:$L$257,8,FALSE)),"",(VLOOKUP($B165,'E-1 Off-Site Hedge Baseline'!$B$1:$L$257,8,FALSE))))</f>
        <v/>
      </c>
      <c r="I165" s="295" t="str">
        <f>IF(B165="","",IF(ISNA(VLOOKUP($B165,'E-1 Off-Site Hedge Baseline'!$B$1:$L$257,10,FALSE)),"",(VLOOKUP($B165,'E-1 Off-Site Hedge Baseline'!$B$1:$L$257,10,FALSE))))</f>
        <v/>
      </c>
      <c r="J165" s="295" t="str">
        <f>IF(B165="","",IF(ISNA(VLOOKUP($B165,'E-1 Off-Site Hedge Baseline'!$B$1:$L$257,11,FALSE)),"",(VLOOKUP($B165,'E-1 Off-Site Hedge Baseline'!$B$1:$L$257,11,FALSE))))</f>
        <v/>
      </c>
      <c r="K165" s="295" t="str">
        <f>IF(B165="","",IF(ISNA(VLOOKUP($B165,'E-1 Off-Site Hedge Baseline'!$B$1:$X$257,16,FALSE)),"",(VLOOKUP($B165,'E-1 Off-Site Hedge Baseline'!$B$1:$X$257,16,FALSE))))</f>
        <v/>
      </c>
      <c r="L165" s="283" t="str">
        <f>IF(B165="","",IF(ISNA(VLOOKUP($B165,'E-1 Off-Site Hedge Baseline'!$B$1:$X$257,12,FALSE)),"",(VLOOKUP($B165,'E-1 Off-Site Hedge Baseline'!$B$1:$X$257,12,FALSE))))</f>
        <v/>
      </c>
      <c r="M165" s="244"/>
      <c r="N165" s="275" t="str">
        <f>IFERROR(IF(B165="","",INDEX('G-6 Hedgerow Data'!$AN$3:$AZ$15,MATCH(C165,'G-6 Hedgerow Data'!$AM$3:$AM$15,0),MATCH(M165,'G-6 Hedgerow Data'!$AN$2:$AZ$2,0))),"")</f>
        <v/>
      </c>
      <c r="O165" s="276" t="str">
        <f t="shared" si="17"/>
        <v/>
      </c>
      <c r="P165" s="281" t="str">
        <f>IF(B165="","",VLOOKUP(B165,'E-1 Off-Site Hedge Baseline'!$B$10:W410,19,FALSE))</f>
        <v/>
      </c>
      <c r="Q165" s="275" t="str">
        <f>IF(M165="","",VLOOKUP(M165,'G-6 Hedgerow Data'!$B$2:$AG$15,2,FALSE))</f>
        <v/>
      </c>
      <c r="R165" s="276" t="str">
        <f>IF(M165="","",VLOOKUP(M165,'G-6 Hedgerow Data'!$B$2:$AG$15,3,FALSE))</f>
        <v/>
      </c>
      <c r="S165" s="101"/>
      <c r="T165" s="276" t="str">
        <f>IFERROR(IF(S165="","",IF(AND(M165="Non-native and ornamental hedgerow",S165&lt;&gt;"Poor"),"Not possible ▲",(IF(AND(Q165="V.Low",OR(S165="Good",S165="Moderate")),"Error ▲",VLOOKUP(S165,'G-1 All Habitats'!$Z$2:$AA$9,2,FALSE))))),"")</f>
        <v/>
      </c>
      <c r="U165" s="101"/>
      <c r="V165" s="283" t="str">
        <f>IF(U165="","",IF(VLOOKUP(U165,'G-3 Multipliers'!$L$3:$N$6,2,FALSE)=0,"Spatial Data Missing ⚠",VLOOKUP(U165,'G-3 Multipliers'!$L$3:$N$6,2,FALSE)))</f>
        <v/>
      </c>
      <c r="W165" s="281" t="str">
        <f>IF(U165="","",IF(VLOOKUP(U165,'G-3 Multipliers'!$L$3:$N$6,3,FALSE)=0,"Spatial Data Missing ⚠",VLOOKUP(U165,'G-3 Multipliers'!$L$3:$N$6,3,FALSE)))</f>
        <v/>
      </c>
      <c r="X165" s="275" t="str">
        <f>IFERROR(IF(OR(LEFT(O165,5)="Error",LEFT(N165,5)="Error",T165="Error"),"Check Data ⚠",IF(F165&lt;R165,INDEX('G-6 Hedgerow Data'!$S$3:$AE$14,MATCH(C165,'G-6 Hedgerow Data'!$B$3:$B$14,0),MATCH(M165,'G-6 Hedgerow Data'!$S$2:$AE$2,0)),INDEX('G-6 Hedgerow Data'!$K$3:$Q$14,MATCH(M165,'G-6 Hedgerow Data'!$B$3:$B$14,0),MATCH(O165,'G-6 Hedgerow Data'!$K$2:$Q$2,0)))),"")</f>
        <v/>
      </c>
      <c r="Y165" s="133"/>
      <c r="Z165" s="133"/>
      <c r="AA165" s="283" t="str">
        <f t="shared" si="18"/>
        <v/>
      </c>
      <c r="AB165" s="296" t="str">
        <f t="shared" si="19"/>
        <v/>
      </c>
      <c r="AC165" s="297" t="str">
        <f t="shared" si="16"/>
        <v/>
      </c>
      <c r="AD165" s="311" t="str">
        <f>IF(M165="","",VLOOKUP(M165,'G-6 Hedgerow Data'!$B$3:$AG$15,31,FALSE))</f>
        <v/>
      </c>
      <c r="AE165" s="295" t="str">
        <f t="shared" si="20"/>
        <v/>
      </c>
      <c r="AF165" s="283" t="str">
        <f t="shared" si="21"/>
        <v/>
      </c>
      <c r="AG165" s="299" t="str">
        <f>IFERROR(IF(O165="","",VLOOKUP(AD165,'G-3 Multipliers'!$P$3:$Q$6,2,FALSE)),"")</f>
        <v/>
      </c>
      <c r="AH165" s="713" t="str">
        <f>IF(B165="","",IF(ISNA(VLOOKUP($B165,'E-1 Off-Site Hedge Baseline'!$B$1:$Z$257,14,FALSE)),"",(VLOOKUP($B165,'E-1 Off-Site Hedge Baseline'!$B$1:$Z$257,14,FALSE))))</f>
        <v/>
      </c>
      <c r="AI165" s="276" t="str">
        <f>IF(AH165="","",IF(VLOOKUP(AH165,'G-3 Multipliers'!$S$3:$T$10,2,FALSE)=0,"Spatial Data Missing ⚠",VLOOKUP(AH165,'G-3 Multipliers'!$S$3:$T$10,2,FALSE)))</f>
        <v/>
      </c>
      <c r="AJ165" s="317" t="str">
        <f t="shared" si="22"/>
        <v/>
      </c>
      <c r="AK165" s="289" t="str">
        <f t="shared" si="23"/>
        <v/>
      </c>
      <c r="AL165" s="101"/>
      <c r="AM165" s="115"/>
      <c r="AN165" s="104"/>
      <c r="AO165" s="104"/>
      <c r="AQ165" s="30" t="str">
        <f>IFERROR(INDEX('G-6 Hedgerow Data'!$BJ$3:$BJ$15,MATCH(M165,'G-6 Hedgerow Data'!$B$3:$B$15,0)),"")</f>
        <v/>
      </c>
    </row>
    <row r="166" spans="2:43" ht="14">
      <c r="B166" s="305" t="str">
        <f>'E-1 Off-Site Hedge Baseline'!AN164</f>
        <v/>
      </c>
      <c r="C166" s="295" t="str">
        <f>IF(B166="","",IF(ISNA(VLOOKUP($B166,'E-1 Off-Site Hedge Baseline'!$B$1:$L$257,3,FALSE)),"",(VLOOKUP($B166,'E-1 Off-Site Hedge Baseline'!$B$1:$L$257,3,FALSE))))</f>
        <v/>
      </c>
      <c r="D166" s="295" t="str">
        <f>IF(B166="","",IF(ISNA(VLOOKUP($B166,'E-1 Off-Site Hedge Baseline'!$B$1:$L$258,4,FALSE)),"",(VLOOKUP($B166,'E-1 Off-Site Hedge Baseline'!$B$1:$L$258,4,FALSE))))</f>
        <v/>
      </c>
      <c r="E166" s="295" t="str">
        <f>IF(B166="","",IF(ISNA(VLOOKUP($B166,'E-1 Off-Site Hedge Baseline'!$B$1:$L$257,5,FALSE)),"",(VLOOKUP($B166,'E-1 Off-Site Hedge Baseline'!$B$1:$L$257,5,FALSE))))</f>
        <v/>
      </c>
      <c r="F166" s="295" t="str">
        <f>IF(B166="","",IF(ISNA(VLOOKUP($B166,'E-1 Off-Site Hedge Baseline'!$B$1:$L$257,6,FALSE)),"",(VLOOKUP($B166,'E-1 Off-Site Hedge Baseline'!$B$1:$L$257,6,FALSE))))</f>
        <v/>
      </c>
      <c r="G166" s="295" t="str">
        <f>IF(B166="","",IF(ISNA(VLOOKUP($B166,'E-1 Off-Site Hedge Baseline'!$B$1:$L$257,7,FALSE)),"",(VLOOKUP($B166,'E-1 Off-Site Hedge Baseline'!$B$1:$L$257,7,FALSE))))</f>
        <v/>
      </c>
      <c r="H166" s="295" t="str">
        <f>IF(B166="","",IF(ISNA(VLOOKUP($B166,'E-1 Off-Site Hedge Baseline'!$B$1:$L$257,8,FALSE)),"",(VLOOKUP($B166,'E-1 Off-Site Hedge Baseline'!$B$1:$L$257,8,FALSE))))</f>
        <v/>
      </c>
      <c r="I166" s="295" t="str">
        <f>IF(B166="","",IF(ISNA(VLOOKUP($B166,'E-1 Off-Site Hedge Baseline'!$B$1:$L$257,10,FALSE)),"",(VLOOKUP($B166,'E-1 Off-Site Hedge Baseline'!$B$1:$L$257,10,FALSE))))</f>
        <v/>
      </c>
      <c r="J166" s="295" t="str">
        <f>IF(B166="","",IF(ISNA(VLOOKUP($B166,'E-1 Off-Site Hedge Baseline'!$B$1:$L$257,11,FALSE)),"",(VLOOKUP($B166,'E-1 Off-Site Hedge Baseline'!$B$1:$L$257,11,FALSE))))</f>
        <v/>
      </c>
      <c r="K166" s="295" t="str">
        <f>IF(B166="","",IF(ISNA(VLOOKUP($B166,'E-1 Off-Site Hedge Baseline'!$B$1:$X$257,16,FALSE)),"",(VLOOKUP($B166,'E-1 Off-Site Hedge Baseline'!$B$1:$X$257,16,FALSE))))</f>
        <v/>
      </c>
      <c r="L166" s="283" t="str">
        <f>IF(B166="","",IF(ISNA(VLOOKUP($B166,'E-1 Off-Site Hedge Baseline'!$B$1:$X$257,12,FALSE)),"",(VLOOKUP($B166,'E-1 Off-Site Hedge Baseline'!$B$1:$X$257,12,FALSE))))</f>
        <v/>
      </c>
      <c r="M166" s="244"/>
      <c r="N166" s="275" t="str">
        <f>IFERROR(IF(B166="","",INDEX('G-6 Hedgerow Data'!$AN$3:$AZ$15,MATCH(C166,'G-6 Hedgerow Data'!$AM$3:$AM$15,0),MATCH(M166,'G-6 Hedgerow Data'!$AN$2:$AZ$2,0))),"")</f>
        <v/>
      </c>
      <c r="O166" s="276" t="str">
        <f t="shared" si="17"/>
        <v/>
      </c>
      <c r="P166" s="281" t="str">
        <f>IF(B166="","",VLOOKUP(B166,'E-1 Off-Site Hedge Baseline'!$B$10:W411,19,FALSE))</f>
        <v/>
      </c>
      <c r="Q166" s="275" t="str">
        <f>IF(M166="","",VLOOKUP(M166,'G-6 Hedgerow Data'!$B$2:$AG$15,2,FALSE))</f>
        <v/>
      </c>
      <c r="R166" s="276" t="str">
        <f>IF(M166="","",VLOOKUP(M166,'G-6 Hedgerow Data'!$B$2:$AG$15,3,FALSE))</f>
        <v/>
      </c>
      <c r="S166" s="101"/>
      <c r="T166" s="276" t="str">
        <f>IFERROR(IF(S166="","",IF(AND(M166="Non-native and ornamental hedgerow",S166&lt;&gt;"Poor"),"Not possible ▲",(IF(AND(Q166="V.Low",OR(S166="Good",S166="Moderate")),"Error ▲",VLOOKUP(S166,'G-1 All Habitats'!$Z$2:$AA$9,2,FALSE))))),"")</f>
        <v/>
      </c>
      <c r="U166" s="101"/>
      <c r="V166" s="283" t="str">
        <f>IF(U166="","",IF(VLOOKUP(U166,'G-3 Multipliers'!$L$3:$N$6,2,FALSE)=0,"Spatial Data Missing ⚠",VLOOKUP(U166,'G-3 Multipliers'!$L$3:$N$6,2,FALSE)))</f>
        <v/>
      </c>
      <c r="W166" s="281" t="str">
        <f>IF(U166="","",IF(VLOOKUP(U166,'G-3 Multipliers'!$L$3:$N$6,3,FALSE)=0,"Spatial Data Missing ⚠",VLOOKUP(U166,'G-3 Multipliers'!$L$3:$N$6,3,FALSE)))</f>
        <v/>
      </c>
      <c r="X166" s="275" t="str">
        <f>IFERROR(IF(OR(LEFT(O166,5)="Error",LEFT(N166,5)="Error",T166="Error"),"Check Data ⚠",IF(F166&lt;R166,INDEX('G-6 Hedgerow Data'!$S$3:$AE$14,MATCH(C166,'G-6 Hedgerow Data'!$B$3:$B$14,0),MATCH(M166,'G-6 Hedgerow Data'!$S$2:$AE$2,0)),INDEX('G-6 Hedgerow Data'!$K$3:$Q$14,MATCH(M166,'G-6 Hedgerow Data'!$B$3:$B$14,0),MATCH(O166,'G-6 Hedgerow Data'!$K$2:$Q$2,0)))),"")</f>
        <v/>
      </c>
      <c r="Y166" s="133"/>
      <c r="Z166" s="133"/>
      <c r="AA166" s="283" t="str">
        <f t="shared" si="18"/>
        <v/>
      </c>
      <c r="AB166" s="296" t="str">
        <f t="shared" si="19"/>
        <v/>
      </c>
      <c r="AC166" s="297" t="str">
        <f t="shared" si="16"/>
        <v/>
      </c>
      <c r="AD166" s="311" t="str">
        <f>IF(M166="","",VLOOKUP(M166,'G-6 Hedgerow Data'!$B$3:$AG$15,31,FALSE))</f>
        <v/>
      </c>
      <c r="AE166" s="295" t="str">
        <f t="shared" si="20"/>
        <v/>
      </c>
      <c r="AF166" s="283" t="str">
        <f t="shared" si="21"/>
        <v/>
      </c>
      <c r="AG166" s="299" t="str">
        <f>IFERROR(IF(O166="","",VLOOKUP(AD166,'G-3 Multipliers'!$P$3:$Q$6,2,FALSE)),"")</f>
        <v/>
      </c>
      <c r="AH166" s="713" t="str">
        <f>IF(B166="","",IF(ISNA(VLOOKUP($B166,'E-1 Off-Site Hedge Baseline'!$B$1:$Z$257,14,FALSE)),"",(VLOOKUP($B166,'E-1 Off-Site Hedge Baseline'!$B$1:$Z$257,14,FALSE))))</f>
        <v/>
      </c>
      <c r="AI166" s="276" t="str">
        <f>IF(AH166="","",IF(VLOOKUP(AH166,'G-3 Multipliers'!$S$3:$T$10,2,FALSE)=0,"Spatial Data Missing ⚠",VLOOKUP(AH166,'G-3 Multipliers'!$S$3:$T$10,2,FALSE)))</f>
        <v/>
      </c>
      <c r="AJ166" s="317" t="str">
        <f t="shared" si="22"/>
        <v/>
      </c>
      <c r="AK166" s="289" t="str">
        <f t="shared" si="23"/>
        <v/>
      </c>
      <c r="AL166" s="101"/>
      <c r="AM166" s="115"/>
      <c r="AN166" s="104"/>
      <c r="AO166" s="104"/>
      <c r="AQ166" s="30" t="str">
        <f>IFERROR(INDEX('G-6 Hedgerow Data'!$BJ$3:$BJ$15,MATCH(M166,'G-6 Hedgerow Data'!$B$3:$B$15,0)),"")</f>
        <v/>
      </c>
    </row>
    <row r="167" spans="2:43" ht="14">
      <c r="B167" s="305" t="str">
        <f>'E-1 Off-Site Hedge Baseline'!AN165</f>
        <v/>
      </c>
      <c r="C167" s="295" t="str">
        <f>IF(B167="","",IF(ISNA(VLOOKUP($B167,'E-1 Off-Site Hedge Baseline'!$B$1:$L$257,3,FALSE)),"",(VLOOKUP($B167,'E-1 Off-Site Hedge Baseline'!$B$1:$L$257,3,FALSE))))</f>
        <v/>
      </c>
      <c r="D167" s="295" t="str">
        <f>IF(B167="","",IF(ISNA(VLOOKUP($B167,'E-1 Off-Site Hedge Baseline'!$B$1:$L$258,4,FALSE)),"",(VLOOKUP($B167,'E-1 Off-Site Hedge Baseline'!$B$1:$L$258,4,FALSE))))</f>
        <v/>
      </c>
      <c r="E167" s="295" t="str">
        <f>IF(B167="","",IF(ISNA(VLOOKUP($B167,'E-1 Off-Site Hedge Baseline'!$B$1:$L$257,5,FALSE)),"",(VLOOKUP($B167,'E-1 Off-Site Hedge Baseline'!$B$1:$L$257,5,FALSE))))</f>
        <v/>
      </c>
      <c r="F167" s="295" t="str">
        <f>IF(B167="","",IF(ISNA(VLOOKUP($B167,'E-1 Off-Site Hedge Baseline'!$B$1:$L$257,6,FALSE)),"",(VLOOKUP($B167,'E-1 Off-Site Hedge Baseline'!$B$1:$L$257,6,FALSE))))</f>
        <v/>
      </c>
      <c r="G167" s="295" t="str">
        <f>IF(B167="","",IF(ISNA(VLOOKUP($B167,'E-1 Off-Site Hedge Baseline'!$B$1:$L$257,7,FALSE)),"",(VLOOKUP($B167,'E-1 Off-Site Hedge Baseline'!$B$1:$L$257,7,FALSE))))</f>
        <v/>
      </c>
      <c r="H167" s="295" t="str">
        <f>IF(B167="","",IF(ISNA(VLOOKUP($B167,'E-1 Off-Site Hedge Baseline'!$B$1:$L$257,8,FALSE)),"",(VLOOKUP($B167,'E-1 Off-Site Hedge Baseline'!$B$1:$L$257,8,FALSE))))</f>
        <v/>
      </c>
      <c r="I167" s="295" t="str">
        <f>IF(B167="","",IF(ISNA(VLOOKUP($B167,'E-1 Off-Site Hedge Baseline'!$B$1:$L$257,10,FALSE)),"",(VLOOKUP($B167,'E-1 Off-Site Hedge Baseline'!$B$1:$L$257,10,FALSE))))</f>
        <v/>
      </c>
      <c r="J167" s="295" t="str">
        <f>IF(B167="","",IF(ISNA(VLOOKUP($B167,'E-1 Off-Site Hedge Baseline'!$B$1:$L$257,11,FALSE)),"",(VLOOKUP($B167,'E-1 Off-Site Hedge Baseline'!$B$1:$L$257,11,FALSE))))</f>
        <v/>
      </c>
      <c r="K167" s="295" t="str">
        <f>IF(B167="","",IF(ISNA(VLOOKUP($B167,'E-1 Off-Site Hedge Baseline'!$B$1:$X$257,16,FALSE)),"",(VLOOKUP($B167,'E-1 Off-Site Hedge Baseline'!$B$1:$X$257,16,FALSE))))</f>
        <v/>
      </c>
      <c r="L167" s="283" t="str">
        <f>IF(B167="","",IF(ISNA(VLOOKUP($B167,'E-1 Off-Site Hedge Baseline'!$B$1:$X$257,12,FALSE)),"",(VLOOKUP($B167,'E-1 Off-Site Hedge Baseline'!$B$1:$X$257,12,FALSE))))</f>
        <v/>
      </c>
      <c r="M167" s="244"/>
      <c r="N167" s="275" t="str">
        <f>IFERROR(IF(B167="","",INDEX('G-6 Hedgerow Data'!$AN$3:$AZ$15,MATCH(C167,'G-6 Hedgerow Data'!$AM$3:$AM$15,0),MATCH(M167,'G-6 Hedgerow Data'!$AN$2:$AZ$2,0))),"")</f>
        <v/>
      </c>
      <c r="O167" s="276" t="str">
        <f t="shared" si="17"/>
        <v/>
      </c>
      <c r="P167" s="281" t="str">
        <f>IF(B167="","",VLOOKUP(B167,'E-1 Off-Site Hedge Baseline'!$B$10:W412,19,FALSE))</f>
        <v/>
      </c>
      <c r="Q167" s="275" t="str">
        <f>IF(M167="","",VLOOKUP(M167,'G-6 Hedgerow Data'!$B$2:$AG$15,2,FALSE))</f>
        <v/>
      </c>
      <c r="R167" s="276" t="str">
        <f>IF(M167="","",VLOOKUP(M167,'G-6 Hedgerow Data'!$B$2:$AG$15,3,FALSE))</f>
        <v/>
      </c>
      <c r="S167" s="101"/>
      <c r="T167" s="276" t="str">
        <f>IFERROR(IF(S167="","",IF(AND(M167="Non-native and ornamental hedgerow",S167&lt;&gt;"Poor"),"Not possible ▲",(IF(AND(Q167="V.Low",OR(S167="Good",S167="Moderate")),"Error ▲",VLOOKUP(S167,'G-1 All Habitats'!$Z$2:$AA$9,2,FALSE))))),"")</f>
        <v/>
      </c>
      <c r="U167" s="101"/>
      <c r="V167" s="283" t="str">
        <f>IF(U167="","",IF(VLOOKUP(U167,'G-3 Multipliers'!$L$3:$N$6,2,FALSE)=0,"Spatial Data Missing ⚠",VLOOKUP(U167,'G-3 Multipliers'!$L$3:$N$6,2,FALSE)))</f>
        <v/>
      </c>
      <c r="W167" s="281" t="str">
        <f>IF(U167="","",IF(VLOOKUP(U167,'G-3 Multipliers'!$L$3:$N$6,3,FALSE)=0,"Spatial Data Missing ⚠",VLOOKUP(U167,'G-3 Multipliers'!$L$3:$N$6,3,FALSE)))</f>
        <v/>
      </c>
      <c r="X167" s="275" t="str">
        <f>IFERROR(IF(OR(LEFT(O167,5)="Error",LEFT(N167,5)="Error",T167="Error"),"Check Data ⚠",IF(F167&lt;R167,INDEX('G-6 Hedgerow Data'!$S$3:$AE$14,MATCH(C167,'G-6 Hedgerow Data'!$B$3:$B$14,0),MATCH(M167,'G-6 Hedgerow Data'!$S$2:$AE$2,0)),INDEX('G-6 Hedgerow Data'!$K$3:$Q$14,MATCH(M167,'G-6 Hedgerow Data'!$B$3:$B$14,0),MATCH(O167,'G-6 Hedgerow Data'!$K$2:$Q$2,0)))),"")</f>
        <v/>
      </c>
      <c r="Y167" s="133"/>
      <c r="Z167" s="133"/>
      <c r="AA167" s="283" t="str">
        <f t="shared" si="18"/>
        <v/>
      </c>
      <c r="AB167" s="296" t="str">
        <f t="shared" si="19"/>
        <v/>
      </c>
      <c r="AC167" s="297" t="str">
        <f t="shared" si="16"/>
        <v/>
      </c>
      <c r="AD167" s="311" t="str">
        <f>IF(M167="","",VLOOKUP(M167,'G-6 Hedgerow Data'!$B$3:$AG$15,31,FALSE))</f>
        <v/>
      </c>
      <c r="AE167" s="295" t="str">
        <f t="shared" si="20"/>
        <v/>
      </c>
      <c r="AF167" s="283" t="str">
        <f t="shared" si="21"/>
        <v/>
      </c>
      <c r="AG167" s="299" t="str">
        <f>IFERROR(IF(O167="","",VLOOKUP(AD167,'G-3 Multipliers'!$P$3:$Q$6,2,FALSE)),"")</f>
        <v/>
      </c>
      <c r="AH167" s="713" t="str">
        <f>IF(B167="","",IF(ISNA(VLOOKUP($B167,'E-1 Off-Site Hedge Baseline'!$B$1:$Z$257,14,FALSE)),"",(VLOOKUP($B167,'E-1 Off-Site Hedge Baseline'!$B$1:$Z$257,14,FALSE))))</f>
        <v/>
      </c>
      <c r="AI167" s="276" t="str">
        <f>IF(AH167="","",IF(VLOOKUP(AH167,'G-3 Multipliers'!$S$3:$T$10,2,FALSE)=0,"Spatial Data Missing ⚠",VLOOKUP(AH167,'G-3 Multipliers'!$S$3:$T$10,2,FALSE)))</f>
        <v/>
      </c>
      <c r="AJ167" s="317" t="str">
        <f t="shared" si="22"/>
        <v/>
      </c>
      <c r="AK167" s="289" t="str">
        <f t="shared" si="23"/>
        <v/>
      </c>
      <c r="AL167" s="101"/>
      <c r="AM167" s="115"/>
      <c r="AN167" s="104"/>
      <c r="AO167" s="104"/>
      <c r="AQ167" s="30" t="str">
        <f>IFERROR(INDEX('G-6 Hedgerow Data'!$BJ$3:$BJ$15,MATCH(M167,'G-6 Hedgerow Data'!$B$3:$B$15,0)),"")</f>
        <v/>
      </c>
    </row>
    <row r="168" spans="2:43" ht="14">
      <c r="B168" s="305" t="str">
        <f>'E-1 Off-Site Hedge Baseline'!AN166</f>
        <v/>
      </c>
      <c r="C168" s="295" t="str">
        <f>IF(B168="","",IF(ISNA(VLOOKUP($B168,'E-1 Off-Site Hedge Baseline'!$B$1:$L$257,3,FALSE)),"",(VLOOKUP($B168,'E-1 Off-Site Hedge Baseline'!$B$1:$L$257,3,FALSE))))</f>
        <v/>
      </c>
      <c r="D168" s="295" t="str">
        <f>IF(B168="","",IF(ISNA(VLOOKUP($B168,'E-1 Off-Site Hedge Baseline'!$B$1:$L$258,4,FALSE)),"",(VLOOKUP($B168,'E-1 Off-Site Hedge Baseline'!$B$1:$L$258,4,FALSE))))</f>
        <v/>
      </c>
      <c r="E168" s="295" t="str">
        <f>IF(B168="","",IF(ISNA(VLOOKUP($B168,'E-1 Off-Site Hedge Baseline'!$B$1:$L$257,5,FALSE)),"",(VLOOKUP($B168,'E-1 Off-Site Hedge Baseline'!$B$1:$L$257,5,FALSE))))</f>
        <v/>
      </c>
      <c r="F168" s="295" t="str">
        <f>IF(B168="","",IF(ISNA(VLOOKUP($B168,'E-1 Off-Site Hedge Baseline'!$B$1:$L$257,6,FALSE)),"",(VLOOKUP($B168,'E-1 Off-Site Hedge Baseline'!$B$1:$L$257,6,FALSE))))</f>
        <v/>
      </c>
      <c r="G168" s="295" t="str">
        <f>IF(B168="","",IF(ISNA(VLOOKUP($B168,'E-1 Off-Site Hedge Baseline'!$B$1:$L$257,7,FALSE)),"",(VLOOKUP($B168,'E-1 Off-Site Hedge Baseline'!$B$1:$L$257,7,FALSE))))</f>
        <v/>
      </c>
      <c r="H168" s="295" t="str">
        <f>IF(B168="","",IF(ISNA(VLOOKUP($B168,'E-1 Off-Site Hedge Baseline'!$B$1:$L$257,8,FALSE)),"",(VLOOKUP($B168,'E-1 Off-Site Hedge Baseline'!$B$1:$L$257,8,FALSE))))</f>
        <v/>
      </c>
      <c r="I168" s="295" t="str">
        <f>IF(B168="","",IF(ISNA(VLOOKUP($B168,'E-1 Off-Site Hedge Baseline'!$B$1:$L$257,10,FALSE)),"",(VLOOKUP($B168,'E-1 Off-Site Hedge Baseline'!$B$1:$L$257,10,FALSE))))</f>
        <v/>
      </c>
      <c r="J168" s="295" t="str">
        <f>IF(B168="","",IF(ISNA(VLOOKUP($B168,'E-1 Off-Site Hedge Baseline'!$B$1:$L$257,11,FALSE)),"",(VLOOKUP($B168,'E-1 Off-Site Hedge Baseline'!$B$1:$L$257,11,FALSE))))</f>
        <v/>
      </c>
      <c r="K168" s="295" t="str">
        <f>IF(B168="","",IF(ISNA(VLOOKUP($B168,'E-1 Off-Site Hedge Baseline'!$B$1:$X$257,16,FALSE)),"",(VLOOKUP($B168,'E-1 Off-Site Hedge Baseline'!$B$1:$X$257,16,FALSE))))</f>
        <v/>
      </c>
      <c r="L168" s="283" t="str">
        <f>IF(B168="","",IF(ISNA(VLOOKUP($B168,'E-1 Off-Site Hedge Baseline'!$B$1:$X$257,12,FALSE)),"",(VLOOKUP($B168,'E-1 Off-Site Hedge Baseline'!$B$1:$X$257,12,FALSE))))</f>
        <v/>
      </c>
      <c r="M168" s="244"/>
      <c r="N168" s="275" t="str">
        <f>IFERROR(IF(B168="","",INDEX('G-6 Hedgerow Data'!$AN$3:$AZ$15,MATCH(C168,'G-6 Hedgerow Data'!$AM$3:$AM$15,0),MATCH(M168,'G-6 Hedgerow Data'!$AN$2:$AZ$2,0))),"")</f>
        <v/>
      </c>
      <c r="O168" s="276" t="str">
        <f t="shared" si="17"/>
        <v/>
      </c>
      <c r="P168" s="281" t="str">
        <f>IF(B168="","",VLOOKUP(B168,'E-1 Off-Site Hedge Baseline'!$B$10:W413,19,FALSE))</f>
        <v/>
      </c>
      <c r="Q168" s="275" t="str">
        <f>IF(M168="","",VLOOKUP(M168,'G-6 Hedgerow Data'!$B$2:$AG$15,2,FALSE))</f>
        <v/>
      </c>
      <c r="R168" s="276" t="str">
        <f>IF(M168="","",VLOOKUP(M168,'G-6 Hedgerow Data'!$B$2:$AG$15,3,FALSE))</f>
        <v/>
      </c>
      <c r="S168" s="101"/>
      <c r="T168" s="276" t="str">
        <f>IFERROR(IF(S168="","",IF(AND(M168="Non-native and ornamental hedgerow",S168&lt;&gt;"Poor"),"Not possible ▲",(IF(AND(Q168="V.Low",OR(S168="Good",S168="Moderate")),"Error ▲",VLOOKUP(S168,'G-1 All Habitats'!$Z$2:$AA$9,2,FALSE))))),"")</f>
        <v/>
      </c>
      <c r="U168" s="101"/>
      <c r="V168" s="283" t="str">
        <f>IF(U168="","",IF(VLOOKUP(U168,'G-3 Multipliers'!$L$3:$N$6,2,FALSE)=0,"Spatial Data Missing ⚠",VLOOKUP(U168,'G-3 Multipliers'!$L$3:$N$6,2,FALSE)))</f>
        <v/>
      </c>
      <c r="W168" s="281" t="str">
        <f>IF(U168="","",IF(VLOOKUP(U168,'G-3 Multipliers'!$L$3:$N$6,3,FALSE)=0,"Spatial Data Missing ⚠",VLOOKUP(U168,'G-3 Multipliers'!$L$3:$N$6,3,FALSE)))</f>
        <v/>
      </c>
      <c r="X168" s="275" t="str">
        <f>IFERROR(IF(OR(LEFT(O168,5)="Error",LEFT(N168,5)="Error",T168="Error"),"Check Data ⚠",IF(F168&lt;R168,INDEX('G-6 Hedgerow Data'!$S$3:$AE$14,MATCH(C168,'G-6 Hedgerow Data'!$B$3:$B$14,0),MATCH(M168,'G-6 Hedgerow Data'!$S$2:$AE$2,0)),INDEX('G-6 Hedgerow Data'!$K$3:$Q$14,MATCH(M168,'G-6 Hedgerow Data'!$B$3:$B$14,0),MATCH(O168,'G-6 Hedgerow Data'!$K$2:$Q$2,0)))),"")</f>
        <v/>
      </c>
      <c r="Y168" s="133"/>
      <c r="Z168" s="133"/>
      <c r="AA168" s="283" t="str">
        <f t="shared" si="18"/>
        <v/>
      </c>
      <c r="AB168" s="296" t="str">
        <f t="shared" si="19"/>
        <v/>
      </c>
      <c r="AC168" s="297" t="str">
        <f t="shared" si="16"/>
        <v/>
      </c>
      <c r="AD168" s="311" t="str">
        <f>IF(M168="","",VLOOKUP(M168,'G-6 Hedgerow Data'!$B$3:$AG$15,31,FALSE))</f>
        <v/>
      </c>
      <c r="AE168" s="295" t="str">
        <f t="shared" si="20"/>
        <v/>
      </c>
      <c r="AF168" s="283" t="str">
        <f t="shared" si="21"/>
        <v/>
      </c>
      <c r="AG168" s="299" t="str">
        <f>IFERROR(IF(O168="","",VLOOKUP(AD168,'G-3 Multipliers'!$P$3:$Q$6,2,FALSE)),"")</f>
        <v/>
      </c>
      <c r="AH168" s="713" t="str">
        <f>IF(B168="","",IF(ISNA(VLOOKUP($B168,'E-1 Off-Site Hedge Baseline'!$B$1:$Z$257,14,FALSE)),"",(VLOOKUP($B168,'E-1 Off-Site Hedge Baseline'!$B$1:$Z$257,14,FALSE))))</f>
        <v/>
      </c>
      <c r="AI168" s="276" t="str">
        <f>IF(AH168="","",IF(VLOOKUP(AH168,'G-3 Multipliers'!$S$3:$T$10,2,FALSE)=0,"Spatial Data Missing ⚠",VLOOKUP(AH168,'G-3 Multipliers'!$S$3:$T$10,2,FALSE)))</f>
        <v/>
      </c>
      <c r="AJ168" s="317" t="str">
        <f t="shared" si="22"/>
        <v/>
      </c>
      <c r="AK168" s="289" t="str">
        <f t="shared" si="23"/>
        <v/>
      </c>
      <c r="AL168" s="101"/>
      <c r="AM168" s="115"/>
      <c r="AN168" s="104"/>
      <c r="AO168" s="104"/>
      <c r="AQ168" s="30" t="str">
        <f>IFERROR(INDEX('G-6 Hedgerow Data'!$BJ$3:$BJ$15,MATCH(M168,'G-6 Hedgerow Data'!$B$3:$B$15,0)),"")</f>
        <v/>
      </c>
    </row>
    <row r="169" spans="2:43" ht="14">
      <c r="B169" s="305" t="str">
        <f>'E-1 Off-Site Hedge Baseline'!AN167</f>
        <v/>
      </c>
      <c r="C169" s="295" t="str">
        <f>IF(B169="","",IF(ISNA(VLOOKUP($B169,'E-1 Off-Site Hedge Baseline'!$B$1:$L$257,3,FALSE)),"",(VLOOKUP($B169,'E-1 Off-Site Hedge Baseline'!$B$1:$L$257,3,FALSE))))</f>
        <v/>
      </c>
      <c r="D169" s="295" t="str">
        <f>IF(B169="","",IF(ISNA(VLOOKUP($B169,'E-1 Off-Site Hedge Baseline'!$B$1:$L$258,4,FALSE)),"",(VLOOKUP($B169,'E-1 Off-Site Hedge Baseline'!$B$1:$L$258,4,FALSE))))</f>
        <v/>
      </c>
      <c r="E169" s="295" t="str">
        <f>IF(B169="","",IF(ISNA(VLOOKUP($B169,'E-1 Off-Site Hedge Baseline'!$B$1:$L$257,5,FALSE)),"",(VLOOKUP($B169,'E-1 Off-Site Hedge Baseline'!$B$1:$L$257,5,FALSE))))</f>
        <v/>
      </c>
      <c r="F169" s="295" t="str">
        <f>IF(B169="","",IF(ISNA(VLOOKUP($B169,'E-1 Off-Site Hedge Baseline'!$B$1:$L$257,6,FALSE)),"",(VLOOKUP($B169,'E-1 Off-Site Hedge Baseline'!$B$1:$L$257,6,FALSE))))</f>
        <v/>
      </c>
      <c r="G169" s="295" t="str">
        <f>IF(B169="","",IF(ISNA(VLOOKUP($B169,'E-1 Off-Site Hedge Baseline'!$B$1:$L$257,7,FALSE)),"",(VLOOKUP($B169,'E-1 Off-Site Hedge Baseline'!$B$1:$L$257,7,FALSE))))</f>
        <v/>
      </c>
      <c r="H169" s="295" t="str">
        <f>IF(B169="","",IF(ISNA(VLOOKUP($B169,'E-1 Off-Site Hedge Baseline'!$B$1:$L$257,8,FALSE)),"",(VLOOKUP($B169,'E-1 Off-Site Hedge Baseline'!$B$1:$L$257,8,FALSE))))</f>
        <v/>
      </c>
      <c r="I169" s="295" t="str">
        <f>IF(B169="","",IF(ISNA(VLOOKUP($B169,'E-1 Off-Site Hedge Baseline'!$B$1:$L$257,10,FALSE)),"",(VLOOKUP($B169,'E-1 Off-Site Hedge Baseline'!$B$1:$L$257,10,FALSE))))</f>
        <v/>
      </c>
      <c r="J169" s="295" t="str">
        <f>IF(B169="","",IF(ISNA(VLOOKUP($B169,'E-1 Off-Site Hedge Baseline'!$B$1:$L$257,11,FALSE)),"",(VLOOKUP($B169,'E-1 Off-Site Hedge Baseline'!$B$1:$L$257,11,FALSE))))</f>
        <v/>
      </c>
      <c r="K169" s="295" t="str">
        <f>IF(B169="","",IF(ISNA(VLOOKUP($B169,'E-1 Off-Site Hedge Baseline'!$B$1:$X$257,16,FALSE)),"",(VLOOKUP($B169,'E-1 Off-Site Hedge Baseline'!$B$1:$X$257,16,FALSE))))</f>
        <v/>
      </c>
      <c r="L169" s="283" t="str">
        <f>IF(B169="","",IF(ISNA(VLOOKUP($B169,'E-1 Off-Site Hedge Baseline'!$B$1:$X$257,12,FALSE)),"",(VLOOKUP($B169,'E-1 Off-Site Hedge Baseline'!$B$1:$X$257,12,FALSE))))</f>
        <v/>
      </c>
      <c r="M169" s="244"/>
      <c r="N169" s="275" t="str">
        <f>IFERROR(IF(B169="","",INDEX('G-6 Hedgerow Data'!$AN$3:$AZ$15,MATCH(C169,'G-6 Hedgerow Data'!$AM$3:$AM$15,0),MATCH(M169,'G-6 Hedgerow Data'!$AN$2:$AZ$2,0))),"")</f>
        <v/>
      </c>
      <c r="O169" s="276" t="str">
        <f t="shared" si="17"/>
        <v/>
      </c>
      <c r="P169" s="281" t="str">
        <f>IF(B169="","",VLOOKUP(B169,'E-1 Off-Site Hedge Baseline'!$B$10:W414,19,FALSE))</f>
        <v/>
      </c>
      <c r="Q169" s="275" t="str">
        <f>IF(M169="","",VLOOKUP(M169,'G-6 Hedgerow Data'!$B$2:$AG$15,2,FALSE))</f>
        <v/>
      </c>
      <c r="R169" s="276" t="str">
        <f>IF(M169="","",VLOOKUP(M169,'G-6 Hedgerow Data'!$B$2:$AG$15,3,FALSE))</f>
        <v/>
      </c>
      <c r="S169" s="101"/>
      <c r="T169" s="276" t="str">
        <f>IFERROR(IF(S169="","",IF(AND(M169="Non-native and ornamental hedgerow",S169&lt;&gt;"Poor"),"Not possible ▲",(IF(AND(Q169="V.Low",OR(S169="Good",S169="Moderate")),"Error ▲",VLOOKUP(S169,'G-1 All Habitats'!$Z$2:$AA$9,2,FALSE))))),"")</f>
        <v/>
      </c>
      <c r="U169" s="101"/>
      <c r="V169" s="283" t="str">
        <f>IF(U169="","",IF(VLOOKUP(U169,'G-3 Multipliers'!$L$3:$N$6,2,FALSE)=0,"Spatial Data Missing ⚠",VLOOKUP(U169,'G-3 Multipliers'!$L$3:$N$6,2,FALSE)))</f>
        <v/>
      </c>
      <c r="W169" s="281" t="str">
        <f>IF(U169="","",IF(VLOOKUP(U169,'G-3 Multipliers'!$L$3:$N$6,3,FALSE)=0,"Spatial Data Missing ⚠",VLOOKUP(U169,'G-3 Multipliers'!$L$3:$N$6,3,FALSE)))</f>
        <v/>
      </c>
      <c r="X169" s="275" t="str">
        <f>IFERROR(IF(OR(LEFT(O169,5)="Error",LEFT(N169,5)="Error",T169="Error"),"Check Data ⚠",IF(F169&lt;R169,INDEX('G-6 Hedgerow Data'!$S$3:$AE$14,MATCH(C169,'G-6 Hedgerow Data'!$B$3:$B$14,0),MATCH(M169,'G-6 Hedgerow Data'!$S$2:$AE$2,0)),INDEX('G-6 Hedgerow Data'!$K$3:$Q$14,MATCH(M169,'G-6 Hedgerow Data'!$B$3:$B$14,0),MATCH(O169,'G-6 Hedgerow Data'!$K$2:$Q$2,0)))),"")</f>
        <v/>
      </c>
      <c r="Y169" s="133"/>
      <c r="Z169" s="133"/>
      <c r="AA169" s="283" t="str">
        <f t="shared" si="18"/>
        <v/>
      </c>
      <c r="AB169" s="296" t="str">
        <f t="shared" si="19"/>
        <v/>
      </c>
      <c r="AC169" s="297" t="str">
        <f t="shared" si="16"/>
        <v/>
      </c>
      <c r="AD169" s="311" t="str">
        <f>IF(M169="","",VLOOKUP(M169,'G-6 Hedgerow Data'!$B$3:$AG$15,31,FALSE))</f>
        <v/>
      </c>
      <c r="AE169" s="295" t="str">
        <f t="shared" si="20"/>
        <v/>
      </c>
      <c r="AF169" s="283" t="str">
        <f t="shared" si="21"/>
        <v/>
      </c>
      <c r="AG169" s="299" t="str">
        <f>IFERROR(IF(O169="","",VLOOKUP(AD169,'G-3 Multipliers'!$P$3:$Q$6,2,FALSE)),"")</f>
        <v/>
      </c>
      <c r="AH169" s="713" t="str">
        <f>IF(B169="","",IF(ISNA(VLOOKUP($B169,'E-1 Off-Site Hedge Baseline'!$B$1:$Z$257,14,FALSE)),"",(VLOOKUP($B169,'E-1 Off-Site Hedge Baseline'!$B$1:$Z$257,14,FALSE))))</f>
        <v/>
      </c>
      <c r="AI169" s="276" t="str">
        <f>IF(AH169="","",IF(VLOOKUP(AH169,'G-3 Multipliers'!$S$3:$T$10,2,FALSE)=0,"Spatial Data Missing ⚠",VLOOKUP(AH169,'G-3 Multipliers'!$S$3:$T$10,2,FALSE)))</f>
        <v/>
      </c>
      <c r="AJ169" s="317" t="str">
        <f t="shared" si="22"/>
        <v/>
      </c>
      <c r="AK169" s="289" t="str">
        <f t="shared" si="23"/>
        <v/>
      </c>
      <c r="AL169" s="101"/>
      <c r="AM169" s="115"/>
      <c r="AN169" s="104"/>
      <c r="AO169" s="104"/>
      <c r="AQ169" s="30" t="str">
        <f>IFERROR(INDEX('G-6 Hedgerow Data'!$BJ$3:$BJ$15,MATCH(M169,'G-6 Hedgerow Data'!$B$3:$B$15,0)),"")</f>
        <v/>
      </c>
    </row>
    <row r="170" spans="2:43" ht="14">
      <c r="B170" s="305" t="str">
        <f>'E-1 Off-Site Hedge Baseline'!AN168</f>
        <v/>
      </c>
      <c r="C170" s="295" t="str">
        <f>IF(B170="","",IF(ISNA(VLOOKUP($B170,'E-1 Off-Site Hedge Baseline'!$B$1:$L$257,3,FALSE)),"",(VLOOKUP($B170,'E-1 Off-Site Hedge Baseline'!$B$1:$L$257,3,FALSE))))</f>
        <v/>
      </c>
      <c r="D170" s="295" t="str">
        <f>IF(B170="","",IF(ISNA(VLOOKUP($B170,'E-1 Off-Site Hedge Baseline'!$B$1:$L$258,4,FALSE)),"",(VLOOKUP($B170,'E-1 Off-Site Hedge Baseline'!$B$1:$L$258,4,FALSE))))</f>
        <v/>
      </c>
      <c r="E170" s="295" t="str">
        <f>IF(B170="","",IF(ISNA(VLOOKUP($B170,'E-1 Off-Site Hedge Baseline'!$B$1:$L$257,5,FALSE)),"",(VLOOKUP($B170,'E-1 Off-Site Hedge Baseline'!$B$1:$L$257,5,FALSE))))</f>
        <v/>
      </c>
      <c r="F170" s="295" t="str">
        <f>IF(B170="","",IF(ISNA(VLOOKUP($B170,'E-1 Off-Site Hedge Baseline'!$B$1:$L$257,6,FALSE)),"",(VLOOKUP($B170,'E-1 Off-Site Hedge Baseline'!$B$1:$L$257,6,FALSE))))</f>
        <v/>
      </c>
      <c r="G170" s="295" t="str">
        <f>IF(B170="","",IF(ISNA(VLOOKUP($B170,'E-1 Off-Site Hedge Baseline'!$B$1:$L$257,7,FALSE)),"",(VLOOKUP($B170,'E-1 Off-Site Hedge Baseline'!$B$1:$L$257,7,FALSE))))</f>
        <v/>
      </c>
      <c r="H170" s="295" t="str">
        <f>IF(B170="","",IF(ISNA(VLOOKUP($B170,'E-1 Off-Site Hedge Baseline'!$B$1:$L$257,8,FALSE)),"",(VLOOKUP($B170,'E-1 Off-Site Hedge Baseline'!$B$1:$L$257,8,FALSE))))</f>
        <v/>
      </c>
      <c r="I170" s="295" t="str">
        <f>IF(B170="","",IF(ISNA(VLOOKUP($B170,'E-1 Off-Site Hedge Baseline'!$B$1:$L$257,10,FALSE)),"",(VLOOKUP($B170,'E-1 Off-Site Hedge Baseline'!$B$1:$L$257,10,FALSE))))</f>
        <v/>
      </c>
      <c r="J170" s="295" t="str">
        <f>IF(B170="","",IF(ISNA(VLOOKUP($B170,'E-1 Off-Site Hedge Baseline'!$B$1:$L$257,11,FALSE)),"",(VLOOKUP($B170,'E-1 Off-Site Hedge Baseline'!$B$1:$L$257,11,FALSE))))</f>
        <v/>
      </c>
      <c r="K170" s="295" t="str">
        <f>IF(B170="","",IF(ISNA(VLOOKUP($B170,'E-1 Off-Site Hedge Baseline'!$B$1:$X$257,16,FALSE)),"",(VLOOKUP($B170,'E-1 Off-Site Hedge Baseline'!$B$1:$X$257,16,FALSE))))</f>
        <v/>
      </c>
      <c r="L170" s="283" t="str">
        <f>IF(B170="","",IF(ISNA(VLOOKUP($B170,'E-1 Off-Site Hedge Baseline'!$B$1:$X$257,12,FALSE)),"",(VLOOKUP($B170,'E-1 Off-Site Hedge Baseline'!$B$1:$X$257,12,FALSE))))</f>
        <v/>
      </c>
      <c r="M170" s="244"/>
      <c r="N170" s="275" t="str">
        <f>IFERROR(IF(B170="","",INDEX('G-6 Hedgerow Data'!$AN$3:$AZ$15,MATCH(C170,'G-6 Hedgerow Data'!$AM$3:$AM$15,0),MATCH(M170,'G-6 Hedgerow Data'!$AN$2:$AZ$2,0))),"")</f>
        <v/>
      </c>
      <c r="O170" s="276" t="str">
        <f t="shared" si="17"/>
        <v/>
      </c>
      <c r="P170" s="281" t="str">
        <f>IF(B170="","",VLOOKUP(B170,'E-1 Off-Site Hedge Baseline'!$B$10:W415,19,FALSE))</f>
        <v/>
      </c>
      <c r="Q170" s="275" t="str">
        <f>IF(M170="","",VLOOKUP(M170,'G-6 Hedgerow Data'!$B$2:$AG$15,2,FALSE))</f>
        <v/>
      </c>
      <c r="R170" s="276" t="str">
        <f>IF(M170="","",VLOOKUP(M170,'G-6 Hedgerow Data'!$B$2:$AG$15,3,FALSE))</f>
        <v/>
      </c>
      <c r="S170" s="101"/>
      <c r="T170" s="276" t="str">
        <f>IFERROR(IF(S170="","",IF(AND(M170="Non-native and ornamental hedgerow",S170&lt;&gt;"Poor"),"Not possible ▲",(IF(AND(Q170="V.Low",OR(S170="Good",S170="Moderate")),"Error ▲",VLOOKUP(S170,'G-1 All Habitats'!$Z$2:$AA$9,2,FALSE))))),"")</f>
        <v/>
      </c>
      <c r="U170" s="101"/>
      <c r="V170" s="283" t="str">
        <f>IF(U170="","",IF(VLOOKUP(U170,'G-3 Multipliers'!$L$3:$N$6,2,FALSE)=0,"Spatial Data Missing ⚠",VLOOKUP(U170,'G-3 Multipliers'!$L$3:$N$6,2,FALSE)))</f>
        <v/>
      </c>
      <c r="W170" s="281" t="str">
        <f>IF(U170="","",IF(VLOOKUP(U170,'G-3 Multipliers'!$L$3:$N$6,3,FALSE)=0,"Spatial Data Missing ⚠",VLOOKUP(U170,'G-3 Multipliers'!$L$3:$N$6,3,FALSE)))</f>
        <v/>
      </c>
      <c r="X170" s="275" t="str">
        <f>IFERROR(IF(OR(LEFT(O170,5)="Error",LEFT(N170,5)="Error",T170="Error"),"Check Data ⚠",IF(F170&lt;R170,INDEX('G-6 Hedgerow Data'!$S$3:$AE$14,MATCH(C170,'G-6 Hedgerow Data'!$B$3:$B$14,0),MATCH(M170,'G-6 Hedgerow Data'!$S$2:$AE$2,0)),INDEX('G-6 Hedgerow Data'!$K$3:$Q$14,MATCH(M170,'G-6 Hedgerow Data'!$B$3:$B$14,0),MATCH(O170,'G-6 Hedgerow Data'!$K$2:$Q$2,0)))),"")</f>
        <v/>
      </c>
      <c r="Y170" s="133"/>
      <c r="Z170" s="133"/>
      <c r="AA170" s="283" t="str">
        <f t="shared" si="18"/>
        <v/>
      </c>
      <c r="AB170" s="296" t="str">
        <f t="shared" si="19"/>
        <v/>
      </c>
      <c r="AC170" s="297" t="str">
        <f t="shared" si="16"/>
        <v/>
      </c>
      <c r="AD170" s="311" t="str">
        <f>IF(M170="","",VLOOKUP(M170,'G-6 Hedgerow Data'!$B$3:$AG$15,31,FALSE))</f>
        <v/>
      </c>
      <c r="AE170" s="295" t="str">
        <f t="shared" si="20"/>
        <v/>
      </c>
      <c r="AF170" s="283" t="str">
        <f t="shared" si="21"/>
        <v/>
      </c>
      <c r="AG170" s="299" t="str">
        <f>IFERROR(IF(O170="","",VLOOKUP(AD170,'G-3 Multipliers'!$P$3:$Q$6,2,FALSE)),"")</f>
        <v/>
      </c>
      <c r="AH170" s="713" t="str">
        <f>IF(B170="","",IF(ISNA(VLOOKUP($B170,'E-1 Off-Site Hedge Baseline'!$B$1:$Z$257,14,FALSE)),"",(VLOOKUP($B170,'E-1 Off-Site Hedge Baseline'!$B$1:$Z$257,14,FALSE))))</f>
        <v/>
      </c>
      <c r="AI170" s="276" t="str">
        <f>IF(AH170="","",IF(VLOOKUP(AH170,'G-3 Multipliers'!$S$3:$T$10,2,FALSE)=0,"Spatial Data Missing ⚠",VLOOKUP(AH170,'G-3 Multipliers'!$S$3:$T$10,2,FALSE)))</f>
        <v/>
      </c>
      <c r="AJ170" s="317" t="str">
        <f t="shared" si="22"/>
        <v/>
      </c>
      <c r="AK170" s="289" t="str">
        <f t="shared" si="23"/>
        <v/>
      </c>
      <c r="AL170" s="101"/>
      <c r="AM170" s="115"/>
      <c r="AN170" s="104"/>
      <c r="AO170" s="104"/>
      <c r="AQ170" s="30" t="str">
        <f>IFERROR(INDEX('G-6 Hedgerow Data'!$BJ$3:$BJ$15,MATCH(M170,'G-6 Hedgerow Data'!$B$3:$B$15,0)),"")</f>
        <v/>
      </c>
    </row>
    <row r="171" spans="2:43" ht="14">
      <c r="B171" s="305" t="str">
        <f>'E-1 Off-Site Hedge Baseline'!AN169</f>
        <v/>
      </c>
      <c r="C171" s="295" t="str">
        <f>IF(B171="","",IF(ISNA(VLOOKUP($B171,'E-1 Off-Site Hedge Baseline'!$B$1:$L$257,3,FALSE)),"",(VLOOKUP($B171,'E-1 Off-Site Hedge Baseline'!$B$1:$L$257,3,FALSE))))</f>
        <v/>
      </c>
      <c r="D171" s="295" t="str">
        <f>IF(B171="","",IF(ISNA(VLOOKUP($B171,'E-1 Off-Site Hedge Baseline'!$B$1:$L$258,4,FALSE)),"",(VLOOKUP($B171,'E-1 Off-Site Hedge Baseline'!$B$1:$L$258,4,FALSE))))</f>
        <v/>
      </c>
      <c r="E171" s="295" t="str">
        <f>IF(B171="","",IF(ISNA(VLOOKUP($B171,'E-1 Off-Site Hedge Baseline'!$B$1:$L$257,5,FALSE)),"",(VLOOKUP($B171,'E-1 Off-Site Hedge Baseline'!$B$1:$L$257,5,FALSE))))</f>
        <v/>
      </c>
      <c r="F171" s="295" t="str">
        <f>IF(B171="","",IF(ISNA(VLOOKUP($B171,'E-1 Off-Site Hedge Baseline'!$B$1:$L$257,6,FALSE)),"",(VLOOKUP($B171,'E-1 Off-Site Hedge Baseline'!$B$1:$L$257,6,FALSE))))</f>
        <v/>
      </c>
      <c r="G171" s="295" t="str">
        <f>IF(B171="","",IF(ISNA(VLOOKUP($B171,'E-1 Off-Site Hedge Baseline'!$B$1:$L$257,7,FALSE)),"",(VLOOKUP($B171,'E-1 Off-Site Hedge Baseline'!$B$1:$L$257,7,FALSE))))</f>
        <v/>
      </c>
      <c r="H171" s="295" t="str">
        <f>IF(B171="","",IF(ISNA(VLOOKUP($B171,'E-1 Off-Site Hedge Baseline'!$B$1:$L$257,8,FALSE)),"",(VLOOKUP($B171,'E-1 Off-Site Hedge Baseline'!$B$1:$L$257,8,FALSE))))</f>
        <v/>
      </c>
      <c r="I171" s="295" t="str">
        <f>IF(B171="","",IF(ISNA(VLOOKUP($B171,'E-1 Off-Site Hedge Baseline'!$B$1:$L$257,10,FALSE)),"",(VLOOKUP($B171,'E-1 Off-Site Hedge Baseline'!$B$1:$L$257,10,FALSE))))</f>
        <v/>
      </c>
      <c r="J171" s="295" t="str">
        <f>IF(B171="","",IF(ISNA(VLOOKUP($B171,'E-1 Off-Site Hedge Baseline'!$B$1:$L$257,11,FALSE)),"",(VLOOKUP($B171,'E-1 Off-Site Hedge Baseline'!$B$1:$L$257,11,FALSE))))</f>
        <v/>
      </c>
      <c r="K171" s="295" t="str">
        <f>IF(B171="","",IF(ISNA(VLOOKUP($B171,'E-1 Off-Site Hedge Baseline'!$B$1:$X$257,16,FALSE)),"",(VLOOKUP($B171,'E-1 Off-Site Hedge Baseline'!$B$1:$X$257,16,FALSE))))</f>
        <v/>
      </c>
      <c r="L171" s="283" t="str">
        <f>IF(B171="","",IF(ISNA(VLOOKUP($B171,'E-1 Off-Site Hedge Baseline'!$B$1:$X$257,12,FALSE)),"",(VLOOKUP($B171,'E-1 Off-Site Hedge Baseline'!$B$1:$X$257,12,FALSE))))</f>
        <v/>
      </c>
      <c r="M171" s="244"/>
      <c r="N171" s="275" t="str">
        <f>IFERROR(IF(B171="","",INDEX('G-6 Hedgerow Data'!$AN$3:$AZ$15,MATCH(C171,'G-6 Hedgerow Data'!$AM$3:$AM$15,0),MATCH(M171,'G-6 Hedgerow Data'!$AN$2:$AZ$2,0))),"")</f>
        <v/>
      </c>
      <c r="O171" s="276" t="str">
        <f t="shared" si="17"/>
        <v/>
      </c>
      <c r="P171" s="281" t="str">
        <f>IF(B171="","",VLOOKUP(B171,'E-1 Off-Site Hedge Baseline'!$B$10:W416,19,FALSE))</f>
        <v/>
      </c>
      <c r="Q171" s="275" t="str">
        <f>IF(M171="","",VLOOKUP(M171,'G-6 Hedgerow Data'!$B$2:$AG$15,2,FALSE))</f>
        <v/>
      </c>
      <c r="R171" s="276" t="str">
        <f>IF(M171="","",VLOOKUP(M171,'G-6 Hedgerow Data'!$B$2:$AG$15,3,FALSE))</f>
        <v/>
      </c>
      <c r="S171" s="101"/>
      <c r="T171" s="276" t="str">
        <f>IFERROR(IF(S171="","",IF(AND(M171="Non-native and ornamental hedgerow",S171&lt;&gt;"Poor"),"Not possible ▲",(IF(AND(Q171="V.Low",OR(S171="Good",S171="Moderate")),"Error ▲",VLOOKUP(S171,'G-1 All Habitats'!$Z$2:$AA$9,2,FALSE))))),"")</f>
        <v/>
      </c>
      <c r="U171" s="101"/>
      <c r="V171" s="283" t="str">
        <f>IF(U171="","",IF(VLOOKUP(U171,'G-3 Multipliers'!$L$3:$N$6,2,FALSE)=0,"Spatial Data Missing ⚠",VLOOKUP(U171,'G-3 Multipliers'!$L$3:$N$6,2,FALSE)))</f>
        <v/>
      </c>
      <c r="W171" s="281" t="str">
        <f>IF(U171="","",IF(VLOOKUP(U171,'G-3 Multipliers'!$L$3:$N$6,3,FALSE)=0,"Spatial Data Missing ⚠",VLOOKUP(U171,'G-3 Multipliers'!$L$3:$N$6,3,FALSE)))</f>
        <v/>
      </c>
      <c r="X171" s="275" t="str">
        <f>IFERROR(IF(OR(LEFT(O171,5)="Error",LEFT(N171,5)="Error",T171="Error"),"Check Data ⚠",IF(F171&lt;R171,INDEX('G-6 Hedgerow Data'!$S$3:$AE$14,MATCH(C171,'G-6 Hedgerow Data'!$B$3:$B$14,0),MATCH(M171,'G-6 Hedgerow Data'!$S$2:$AE$2,0)),INDEX('G-6 Hedgerow Data'!$K$3:$Q$14,MATCH(M171,'G-6 Hedgerow Data'!$B$3:$B$14,0),MATCH(O171,'G-6 Hedgerow Data'!$K$2:$Q$2,0)))),"")</f>
        <v/>
      </c>
      <c r="Y171" s="133"/>
      <c r="Z171" s="133"/>
      <c r="AA171" s="283" t="str">
        <f t="shared" si="18"/>
        <v/>
      </c>
      <c r="AB171" s="296" t="str">
        <f t="shared" si="19"/>
        <v/>
      </c>
      <c r="AC171" s="297" t="str">
        <f t="shared" si="16"/>
        <v/>
      </c>
      <c r="AD171" s="311" t="str">
        <f>IF(M171="","",VLOOKUP(M171,'G-6 Hedgerow Data'!$B$3:$AG$15,31,FALSE))</f>
        <v/>
      </c>
      <c r="AE171" s="295" t="str">
        <f t="shared" si="20"/>
        <v/>
      </c>
      <c r="AF171" s="283" t="str">
        <f t="shared" si="21"/>
        <v/>
      </c>
      <c r="AG171" s="299" t="str">
        <f>IFERROR(IF(O171="","",VLOOKUP(AD171,'G-3 Multipliers'!$P$3:$Q$6,2,FALSE)),"")</f>
        <v/>
      </c>
      <c r="AH171" s="713" t="str">
        <f>IF(B171="","",IF(ISNA(VLOOKUP($B171,'E-1 Off-Site Hedge Baseline'!$B$1:$Z$257,14,FALSE)),"",(VLOOKUP($B171,'E-1 Off-Site Hedge Baseline'!$B$1:$Z$257,14,FALSE))))</f>
        <v/>
      </c>
      <c r="AI171" s="276" t="str">
        <f>IF(AH171="","",IF(VLOOKUP(AH171,'G-3 Multipliers'!$S$3:$T$10,2,FALSE)=0,"Spatial Data Missing ⚠",VLOOKUP(AH171,'G-3 Multipliers'!$S$3:$T$10,2,FALSE)))</f>
        <v/>
      </c>
      <c r="AJ171" s="317" t="str">
        <f t="shared" si="22"/>
        <v/>
      </c>
      <c r="AK171" s="289" t="str">
        <f t="shared" si="23"/>
        <v/>
      </c>
      <c r="AL171" s="101"/>
      <c r="AM171" s="115"/>
      <c r="AN171" s="104"/>
      <c r="AO171" s="104"/>
      <c r="AQ171" s="30" t="str">
        <f>IFERROR(INDEX('G-6 Hedgerow Data'!$BJ$3:$BJ$15,MATCH(M171,'G-6 Hedgerow Data'!$B$3:$B$15,0)),"")</f>
        <v/>
      </c>
    </row>
    <row r="172" spans="2:43" ht="14">
      <c r="B172" s="305" t="str">
        <f>'E-1 Off-Site Hedge Baseline'!AN170</f>
        <v/>
      </c>
      <c r="C172" s="295" t="str">
        <f>IF(B172="","",IF(ISNA(VLOOKUP($B172,'E-1 Off-Site Hedge Baseline'!$B$1:$L$257,3,FALSE)),"",(VLOOKUP($B172,'E-1 Off-Site Hedge Baseline'!$B$1:$L$257,3,FALSE))))</f>
        <v/>
      </c>
      <c r="D172" s="295" t="str">
        <f>IF(B172="","",IF(ISNA(VLOOKUP($B172,'E-1 Off-Site Hedge Baseline'!$B$1:$L$258,4,FALSE)),"",(VLOOKUP($B172,'E-1 Off-Site Hedge Baseline'!$B$1:$L$258,4,FALSE))))</f>
        <v/>
      </c>
      <c r="E172" s="295" t="str">
        <f>IF(B172="","",IF(ISNA(VLOOKUP($B172,'E-1 Off-Site Hedge Baseline'!$B$1:$L$257,5,FALSE)),"",(VLOOKUP($B172,'E-1 Off-Site Hedge Baseline'!$B$1:$L$257,5,FALSE))))</f>
        <v/>
      </c>
      <c r="F172" s="295" t="str">
        <f>IF(B172="","",IF(ISNA(VLOOKUP($B172,'E-1 Off-Site Hedge Baseline'!$B$1:$L$257,6,FALSE)),"",(VLOOKUP($B172,'E-1 Off-Site Hedge Baseline'!$B$1:$L$257,6,FALSE))))</f>
        <v/>
      </c>
      <c r="G172" s="295" t="str">
        <f>IF(B172="","",IF(ISNA(VLOOKUP($B172,'E-1 Off-Site Hedge Baseline'!$B$1:$L$257,7,FALSE)),"",(VLOOKUP($B172,'E-1 Off-Site Hedge Baseline'!$B$1:$L$257,7,FALSE))))</f>
        <v/>
      </c>
      <c r="H172" s="295" t="str">
        <f>IF(B172="","",IF(ISNA(VLOOKUP($B172,'E-1 Off-Site Hedge Baseline'!$B$1:$L$257,8,FALSE)),"",(VLOOKUP($B172,'E-1 Off-Site Hedge Baseline'!$B$1:$L$257,8,FALSE))))</f>
        <v/>
      </c>
      <c r="I172" s="295" t="str">
        <f>IF(B172="","",IF(ISNA(VLOOKUP($B172,'E-1 Off-Site Hedge Baseline'!$B$1:$L$257,10,FALSE)),"",(VLOOKUP($B172,'E-1 Off-Site Hedge Baseline'!$B$1:$L$257,10,FALSE))))</f>
        <v/>
      </c>
      <c r="J172" s="295" t="str">
        <f>IF(B172="","",IF(ISNA(VLOOKUP($B172,'E-1 Off-Site Hedge Baseline'!$B$1:$L$257,11,FALSE)),"",(VLOOKUP($B172,'E-1 Off-Site Hedge Baseline'!$B$1:$L$257,11,FALSE))))</f>
        <v/>
      </c>
      <c r="K172" s="295" t="str">
        <f>IF(B172="","",IF(ISNA(VLOOKUP($B172,'E-1 Off-Site Hedge Baseline'!$B$1:$X$257,16,FALSE)),"",(VLOOKUP($B172,'E-1 Off-Site Hedge Baseline'!$B$1:$X$257,16,FALSE))))</f>
        <v/>
      </c>
      <c r="L172" s="283" t="str">
        <f>IF(B172="","",IF(ISNA(VLOOKUP($B172,'E-1 Off-Site Hedge Baseline'!$B$1:$X$257,12,FALSE)),"",(VLOOKUP($B172,'E-1 Off-Site Hedge Baseline'!$B$1:$X$257,12,FALSE))))</f>
        <v/>
      </c>
      <c r="M172" s="244"/>
      <c r="N172" s="275" t="str">
        <f>IFERROR(IF(B172="","",INDEX('G-6 Hedgerow Data'!$AN$3:$AZ$15,MATCH(C172,'G-6 Hedgerow Data'!$AM$3:$AM$15,0),MATCH(M172,'G-6 Hedgerow Data'!$AN$2:$AZ$2,0))),"")</f>
        <v/>
      </c>
      <c r="O172" s="276" t="str">
        <f t="shared" si="17"/>
        <v/>
      </c>
      <c r="P172" s="281" t="str">
        <f>IF(B172="","",VLOOKUP(B172,'E-1 Off-Site Hedge Baseline'!$B$10:W417,19,FALSE))</f>
        <v/>
      </c>
      <c r="Q172" s="275" t="str">
        <f>IF(M172="","",VLOOKUP(M172,'G-6 Hedgerow Data'!$B$2:$AG$15,2,FALSE))</f>
        <v/>
      </c>
      <c r="R172" s="276" t="str">
        <f>IF(M172="","",VLOOKUP(M172,'G-6 Hedgerow Data'!$B$2:$AG$15,3,FALSE))</f>
        <v/>
      </c>
      <c r="S172" s="101"/>
      <c r="T172" s="276" t="str">
        <f>IFERROR(IF(S172="","",IF(AND(M172="Non-native and ornamental hedgerow",S172&lt;&gt;"Poor"),"Not possible ▲",(IF(AND(Q172="V.Low",OR(S172="Good",S172="Moderate")),"Error ▲",VLOOKUP(S172,'G-1 All Habitats'!$Z$2:$AA$9,2,FALSE))))),"")</f>
        <v/>
      </c>
      <c r="U172" s="101"/>
      <c r="V172" s="283" t="str">
        <f>IF(U172="","",IF(VLOOKUP(U172,'G-3 Multipliers'!$L$3:$N$6,2,FALSE)=0,"Spatial Data Missing ⚠",VLOOKUP(U172,'G-3 Multipliers'!$L$3:$N$6,2,FALSE)))</f>
        <v/>
      </c>
      <c r="W172" s="281" t="str">
        <f>IF(U172="","",IF(VLOOKUP(U172,'G-3 Multipliers'!$L$3:$N$6,3,FALSE)=0,"Spatial Data Missing ⚠",VLOOKUP(U172,'G-3 Multipliers'!$L$3:$N$6,3,FALSE)))</f>
        <v/>
      </c>
      <c r="X172" s="275" t="str">
        <f>IFERROR(IF(OR(LEFT(O172,5)="Error",LEFT(N172,5)="Error",T172="Error"),"Check Data ⚠",IF(F172&lt;R172,INDEX('G-6 Hedgerow Data'!$S$3:$AE$14,MATCH(C172,'G-6 Hedgerow Data'!$B$3:$B$14,0),MATCH(M172,'G-6 Hedgerow Data'!$S$2:$AE$2,0)),INDEX('G-6 Hedgerow Data'!$K$3:$Q$14,MATCH(M172,'G-6 Hedgerow Data'!$B$3:$B$14,0),MATCH(O172,'G-6 Hedgerow Data'!$K$2:$Q$2,0)))),"")</f>
        <v/>
      </c>
      <c r="Y172" s="133"/>
      <c r="Z172" s="133"/>
      <c r="AA172" s="283" t="str">
        <f t="shared" si="18"/>
        <v/>
      </c>
      <c r="AB172" s="296" t="str">
        <f t="shared" si="19"/>
        <v/>
      </c>
      <c r="AC172" s="297" t="str">
        <f t="shared" si="16"/>
        <v/>
      </c>
      <c r="AD172" s="311" t="str">
        <f>IF(M172="","",VLOOKUP(M172,'G-6 Hedgerow Data'!$B$3:$AG$15,31,FALSE))</f>
        <v/>
      </c>
      <c r="AE172" s="295" t="str">
        <f t="shared" si="20"/>
        <v/>
      </c>
      <c r="AF172" s="283" t="str">
        <f t="shared" si="21"/>
        <v/>
      </c>
      <c r="AG172" s="299" t="str">
        <f>IFERROR(IF(O172="","",VLOOKUP(AD172,'G-3 Multipliers'!$P$3:$Q$6,2,FALSE)),"")</f>
        <v/>
      </c>
      <c r="AH172" s="713" t="str">
        <f>IF(B172="","",IF(ISNA(VLOOKUP($B172,'E-1 Off-Site Hedge Baseline'!$B$1:$Z$257,14,FALSE)),"",(VLOOKUP($B172,'E-1 Off-Site Hedge Baseline'!$B$1:$Z$257,14,FALSE))))</f>
        <v/>
      </c>
      <c r="AI172" s="276" t="str">
        <f>IF(AH172="","",IF(VLOOKUP(AH172,'G-3 Multipliers'!$S$3:$T$10,2,FALSE)=0,"Spatial Data Missing ⚠",VLOOKUP(AH172,'G-3 Multipliers'!$S$3:$T$10,2,FALSE)))</f>
        <v/>
      </c>
      <c r="AJ172" s="317" t="str">
        <f t="shared" si="22"/>
        <v/>
      </c>
      <c r="AK172" s="289" t="str">
        <f t="shared" si="23"/>
        <v/>
      </c>
      <c r="AL172" s="101"/>
      <c r="AM172" s="115"/>
      <c r="AN172" s="104"/>
      <c r="AO172" s="104"/>
      <c r="AQ172" s="30" t="str">
        <f>IFERROR(INDEX('G-6 Hedgerow Data'!$BJ$3:$BJ$15,MATCH(M172,'G-6 Hedgerow Data'!$B$3:$B$15,0)),"")</f>
        <v/>
      </c>
    </row>
    <row r="173" spans="2:43" ht="14">
      <c r="B173" s="305" t="str">
        <f>'E-1 Off-Site Hedge Baseline'!AN171</f>
        <v/>
      </c>
      <c r="C173" s="295" t="str">
        <f>IF(B173="","",IF(ISNA(VLOOKUP($B173,'E-1 Off-Site Hedge Baseline'!$B$1:$L$257,3,FALSE)),"",(VLOOKUP($B173,'E-1 Off-Site Hedge Baseline'!$B$1:$L$257,3,FALSE))))</f>
        <v/>
      </c>
      <c r="D173" s="295" t="str">
        <f>IF(B173="","",IF(ISNA(VLOOKUP($B173,'E-1 Off-Site Hedge Baseline'!$B$1:$L$258,4,FALSE)),"",(VLOOKUP($B173,'E-1 Off-Site Hedge Baseline'!$B$1:$L$258,4,FALSE))))</f>
        <v/>
      </c>
      <c r="E173" s="295" t="str">
        <f>IF(B173="","",IF(ISNA(VLOOKUP($B173,'E-1 Off-Site Hedge Baseline'!$B$1:$L$257,5,FALSE)),"",(VLOOKUP($B173,'E-1 Off-Site Hedge Baseline'!$B$1:$L$257,5,FALSE))))</f>
        <v/>
      </c>
      <c r="F173" s="295" t="str">
        <f>IF(B173="","",IF(ISNA(VLOOKUP($B173,'E-1 Off-Site Hedge Baseline'!$B$1:$L$257,6,FALSE)),"",(VLOOKUP($B173,'E-1 Off-Site Hedge Baseline'!$B$1:$L$257,6,FALSE))))</f>
        <v/>
      </c>
      <c r="G173" s="295" t="str">
        <f>IF(B173="","",IF(ISNA(VLOOKUP($B173,'E-1 Off-Site Hedge Baseline'!$B$1:$L$257,7,FALSE)),"",(VLOOKUP($B173,'E-1 Off-Site Hedge Baseline'!$B$1:$L$257,7,FALSE))))</f>
        <v/>
      </c>
      <c r="H173" s="295" t="str">
        <f>IF(B173="","",IF(ISNA(VLOOKUP($B173,'E-1 Off-Site Hedge Baseline'!$B$1:$L$257,8,FALSE)),"",(VLOOKUP($B173,'E-1 Off-Site Hedge Baseline'!$B$1:$L$257,8,FALSE))))</f>
        <v/>
      </c>
      <c r="I173" s="295" t="str">
        <f>IF(B173="","",IF(ISNA(VLOOKUP($B173,'E-1 Off-Site Hedge Baseline'!$B$1:$L$257,10,FALSE)),"",(VLOOKUP($B173,'E-1 Off-Site Hedge Baseline'!$B$1:$L$257,10,FALSE))))</f>
        <v/>
      </c>
      <c r="J173" s="295" t="str">
        <f>IF(B173="","",IF(ISNA(VLOOKUP($B173,'E-1 Off-Site Hedge Baseline'!$B$1:$L$257,11,FALSE)),"",(VLOOKUP($B173,'E-1 Off-Site Hedge Baseline'!$B$1:$L$257,11,FALSE))))</f>
        <v/>
      </c>
      <c r="K173" s="295" t="str">
        <f>IF(B173="","",IF(ISNA(VLOOKUP($B173,'E-1 Off-Site Hedge Baseline'!$B$1:$X$257,16,FALSE)),"",(VLOOKUP($B173,'E-1 Off-Site Hedge Baseline'!$B$1:$X$257,16,FALSE))))</f>
        <v/>
      </c>
      <c r="L173" s="283" t="str">
        <f>IF(B173="","",IF(ISNA(VLOOKUP($B173,'E-1 Off-Site Hedge Baseline'!$B$1:$X$257,12,FALSE)),"",(VLOOKUP($B173,'E-1 Off-Site Hedge Baseline'!$B$1:$X$257,12,FALSE))))</f>
        <v/>
      </c>
      <c r="M173" s="244"/>
      <c r="N173" s="275" t="str">
        <f>IFERROR(IF(B173="","",INDEX('G-6 Hedgerow Data'!$AN$3:$AZ$15,MATCH(C173,'G-6 Hedgerow Data'!$AM$3:$AM$15,0),MATCH(M173,'G-6 Hedgerow Data'!$AN$2:$AZ$2,0))),"")</f>
        <v/>
      </c>
      <c r="O173" s="276" t="str">
        <f t="shared" si="17"/>
        <v/>
      </c>
      <c r="P173" s="281" t="str">
        <f>IF(B173="","",VLOOKUP(B173,'E-1 Off-Site Hedge Baseline'!$B$10:W418,19,FALSE))</f>
        <v/>
      </c>
      <c r="Q173" s="275" t="str">
        <f>IF(M173="","",VLOOKUP(M173,'G-6 Hedgerow Data'!$B$2:$AG$15,2,FALSE))</f>
        <v/>
      </c>
      <c r="R173" s="276" t="str">
        <f>IF(M173="","",VLOOKUP(M173,'G-6 Hedgerow Data'!$B$2:$AG$15,3,FALSE))</f>
        <v/>
      </c>
      <c r="S173" s="101"/>
      <c r="T173" s="276" t="str">
        <f>IFERROR(IF(S173="","",IF(AND(M173="Non-native and ornamental hedgerow",S173&lt;&gt;"Poor"),"Not possible ▲",(IF(AND(Q173="V.Low",OR(S173="Good",S173="Moderate")),"Error ▲",VLOOKUP(S173,'G-1 All Habitats'!$Z$2:$AA$9,2,FALSE))))),"")</f>
        <v/>
      </c>
      <c r="U173" s="101"/>
      <c r="V173" s="283" t="str">
        <f>IF(U173="","",IF(VLOOKUP(U173,'G-3 Multipliers'!$L$3:$N$6,2,FALSE)=0,"Spatial Data Missing ⚠",VLOOKUP(U173,'G-3 Multipliers'!$L$3:$N$6,2,FALSE)))</f>
        <v/>
      </c>
      <c r="W173" s="281" t="str">
        <f>IF(U173="","",IF(VLOOKUP(U173,'G-3 Multipliers'!$L$3:$N$6,3,FALSE)=0,"Spatial Data Missing ⚠",VLOOKUP(U173,'G-3 Multipliers'!$L$3:$N$6,3,FALSE)))</f>
        <v/>
      </c>
      <c r="X173" s="275" t="str">
        <f>IFERROR(IF(OR(LEFT(O173,5)="Error",LEFT(N173,5)="Error",T173="Error"),"Check Data ⚠",IF(F173&lt;R173,INDEX('G-6 Hedgerow Data'!$S$3:$AE$14,MATCH(C173,'G-6 Hedgerow Data'!$B$3:$B$14,0),MATCH(M173,'G-6 Hedgerow Data'!$S$2:$AE$2,0)),INDEX('G-6 Hedgerow Data'!$K$3:$Q$14,MATCH(M173,'G-6 Hedgerow Data'!$B$3:$B$14,0),MATCH(O173,'G-6 Hedgerow Data'!$K$2:$Q$2,0)))),"")</f>
        <v/>
      </c>
      <c r="Y173" s="133"/>
      <c r="Z173" s="133"/>
      <c r="AA173" s="283" t="str">
        <f t="shared" si="18"/>
        <v/>
      </c>
      <c r="AB173" s="296" t="str">
        <f t="shared" si="19"/>
        <v/>
      </c>
      <c r="AC173" s="297" t="str">
        <f t="shared" si="16"/>
        <v/>
      </c>
      <c r="AD173" s="311" t="str">
        <f>IF(M173="","",VLOOKUP(M173,'G-6 Hedgerow Data'!$B$3:$AG$15,31,FALSE))</f>
        <v/>
      </c>
      <c r="AE173" s="295" t="str">
        <f t="shared" si="20"/>
        <v/>
      </c>
      <c r="AF173" s="283" t="str">
        <f t="shared" si="21"/>
        <v/>
      </c>
      <c r="AG173" s="299" t="str">
        <f>IFERROR(IF(O173="","",VLOOKUP(AD173,'G-3 Multipliers'!$P$3:$Q$6,2,FALSE)),"")</f>
        <v/>
      </c>
      <c r="AH173" s="713" t="str">
        <f>IF(B173="","",IF(ISNA(VLOOKUP($B173,'E-1 Off-Site Hedge Baseline'!$B$1:$Z$257,14,FALSE)),"",(VLOOKUP($B173,'E-1 Off-Site Hedge Baseline'!$B$1:$Z$257,14,FALSE))))</f>
        <v/>
      </c>
      <c r="AI173" s="276" t="str">
        <f>IF(AH173="","",IF(VLOOKUP(AH173,'G-3 Multipliers'!$S$3:$T$10,2,FALSE)=0,"Spatial Data Missing ⚠",VLOOKUP(AH173,'G-3 Multipliers'!$S$3:$T$10,2,FALSE)))</f>
        <v/>
      </c>
      <c r="AJ173" s="317" t="str">
        <f t="shared" si="22"/>
        <v/>
      </c>
      <c r="AK173" s="289" t="str">
        <f t="shared" si="23"/>
        <v/>
      </c>
      <c r="AL173" s="101"/>
      <c r="AM173" s="115"/>
      <c r="AN173" s="104"/>
      <c r="AO173" s="104"/>
      <c r="AQ173" s="30" t="str">
        <f>IFERROR(INDEX('G-6 Hedgerow Data'!$BJ$3:$BJ$15,MATCH(M173,'G-6 Hedgerow Data'!$B$3:$B$15,0)),"")</f>
        <v/>
      </c>
    </row>
    <row r="174" spans="2:43" ht="14">
      <c r="B174" s="305" t="str">
        <f>'E-1 Off-Site Hedge Baseline'!AN172</f>
        <v/>
      </c>
      <c r="C174" s="295" t="str">
        <f>IF(B174="","",IF(ISNA(VLOOKUP($B174,'E-1 Off-Site Hedge Baseline'!$B$1:$L$257,3,FALSE)),"",(VLOOKUP($B174,'E-1 Off-Site Hedge Baseline'!$B$1:$L$257,3,FALSE))))</f>
        <v/>
      </c>
      <c r="D174" s="295" t="str">
        <f>IF(B174="","",IF(ISNA(VLOOKUP($B174,'E-1 Off-Site Hedge Baseline'!$B$1:$L$258,4,FALSE)),"",(VLOOKUP($B174,'E-1 Off-Site Hedge Baseline'!$B$1:$L$258,4,FALSE))))</f>
        <v/>
      </c>
      <c r="E174" s="295" t="str">
        <f>IF(B174="","",IF(ISNA(VLOOKUP($B174,'E-1 Off-Site Hedge Baseline'!$B$1:$L$257,5,FALSE)),"",(VLOOKUP($B174,'E-1 Off-Site Hedge Baseline'!$B$1:$L$257,5,FALSE))))</f>
        <v/>
      </c>
      <c r="F174" s="295" t="str">
        <f>IF(B174="","",IF(ISNA(VLOOKUP($B174,'E-1 Off-Site Hedge Baseline'!$B$1:$L$257,6,FALSE)),"",(VLOOKUP($B174,'E-1 Off-Site Hedge Baseline'!$B$1:$L$257,6,FALSE))))</f>
        <v/>
      </c>
      <c r="G174" s="295" t="str">
        <f>IF(B174="","",IF(ISNA(VLOOKUP($B174,'E-1 Off-Site Hedge Baseline'!$B$1:$L$257,7,FALSE)),"",(VLOOKUP($B174,'E-1 Off-Site Hedge Baseline'!$B$1:$L$257,7,FALSE))))</f>
        <v/>
      </c>
      <c r="H174" s="295" t="str">
        <f>IF(B174="","",IF(ISNA(VLOOKUP($B174,'E-1 Off-Site Hedge Baseline'!$B$1:$L$257,8,FALSE)),"",(VLOOKUP($B174,'E-1 Off-Site Hedge Baseline'!$B$1:$L$257,8,FALSE))))</f>
        <v/>
      </c>
      <c r="I174" s="295" t="str">
        <f>IF(B174="","",IF(ISNA(VLOOKUP($B174,'E-1 Off-Site Hedge Baseline'!$B$1:$L$257,10,FALSE)),"",(VLOOKUP($B174,'E-1 Off-Site Hedge Baseline'!$B$1:$L$257,10,FALSE))))</f>
        <v/>
      </c>
      <c r="J174" s="295" t="str">
        <f>IF(B174="","",IF(ISNA(VLOOKUP($B174,'E-1 Off-Site Hedge Baseline'!$B$1:$L$257,11,FALSE)),"",(VLOOKUP($B174,'E-1 Off-Site Hedge Baseline'!$B$1:$L$257,11,FALSE))))</f>
        <v/>
      </c>
      <c r="K174" s="295" t="str">
        <f>IF(B174="","",IF(ISNA(VLOOKUP($B174,'E-1 Off-Site Hedge Baseline'!$B$1:$X$257,16,FALSE)),"",(VLOOKUP($B174,'E-1 Off-Site Hedge Baseline'!$B$1:$X$257,16,FALSE))))</f>
        <v/>
      </c>
      <c r="L174" s="283" t="str">
        <f>IF(B174="","",IF(ISNA(VLOOKUP($B174,'E-1 Off-Site Hedge Baseline'!$B$1:$X$257,12,FALSE)),"",(VLOOKUP($B174,'E-1 Off-Site Hedge Baseline'!$B$1:$X$257,12,FALSE))))</f>
        <v/>
      </c>
      <c r="M174" s="244"/>
      <c r="N174" s="275" t="str">
        <f>IFERROR(IF(B174="","",INDEX('G-6 Hedgerow Data'!$AN$3:$AZ$15,MATCH(C174,'G-6 Hedgerow Data'!$AM$3:$AM$15,0),MATCH(M174,'G-6 Hedgerow Data'!$AN$2:$AZ$2,0))),"")</f>
        <v/>
      </c>
      <c r="O174" s="276" t="str">
        <f t="shared" si="17"/>
        <v/>
      </c>
      <c r="P174" s="281" t="str">
        <f>IF(B174="","",VLOOKUP(B174,'E-1 Off-Site Hedge Baseline'!$B$10:W419,19,FALSE))</f>
        <v/>
      </c>
      <c r="Q174" s="275" t="str">
        <f>IF(M174="","",VLOOKUP(M174,'G-6 Hedgerow Data'!$B$2:$AG$15,2,FALSE))</f>
        <v/>
      </c>
      <c r="R174" s="276" t="str">
        <f>IF(M174="","",VLOOKUP(M174,'G-6 Hedgerow Data'!$B$2:$AG$15,3,FALSE))</f>
        <v/>
      </c>
      <c r="S174" s="101"/>
      <c r="T174" s="276" t="str">
        <f>IFERROR(IF(S174="","",IF(AND(M174="Non-native and ornamental hedgerow",S174&lt;&gt;"Poor"),"Not possible ▲",(IF(AND(Q174="V.Low",OR(S174="Good",S174="Moderate")),"Error ▲",VLOOKUP(S174,'G-1 All Habitats'!$Z$2:$AA$9,2,FALSE))))),"")</f>
        <v/>
      </c>
      <c r="U174" s="101"/>
      <c r="V174" s="283" t="str">
        <f>IF(U174="","",IF(VLOOKUP(U174,'G-3 Multipliers'!$L$3:$N$6,2,FALSE)=0,"Spatial Data Missing ⚠",VLOOKUP(U174,'G-3 Multipliers'!$L$3:$N$6,2,FALSE)))</f>
        <v/>
      </c>
      <c r="W174" s="281" t="str">
        <f>IF(U174="","",IF(VLOOKUP(U174,'G-3 Multipliers'!$L$3:$N$6,3,FALSE)=0,"Spatial Data Missing ⚠",VLOOKUP(U174,'G-3 Multipliers'!$L$3:$N$6,3,FALSE)))</f>
        <v/>
      </c>
      <c r="X174" s="275" t="str">
        <f>IFERROR(IF(OR(LEFT(O174,5)="Error",LEFT(N174,5)="Error",T174="Error"),"Check Data ⚠",IF(F174&lt;R174,INDEX('G-6 Hedgerow Data'!$S$3:$AE$14,MATCH(C174,'G-6 Hedgerow Data'!$B$3:$B$14,0),MATCH(M174,'G-6 Hedgerow Data'!$S$2:$AE$2,0)),INDEX('G-6 Hedgerow Data'!$K$3:$Q$14,MATCH(M174,'G-6 Hedgerow Data'!$B$3:$B$14,0),MATCH(O174,'G-6 Hedgerow Data'!$K$2:$Q$2,0)))),"")</f>
        <v/>
      </c>
      <c r="Y174" s="133"/>
      <c r="Z174" s="133"/>
      <c r="AA174" s="283" t="str">
        <f t="shared" si="18"/>
        <v/>
      </c>
      <c r="AB174" s="296" t="str">
        <f t="shared" si="19"/>
        <v/>
      </c>
      <c r="AC174" s="297" t="str">
        <f t="shared" si="16"/>
        <v/>
      </c>
      <c r="AD174" s="311" t="str">
        <f>IF(M174="","",VLOOKUP(M174,'G-6 Hedgerow Data'!$B$3:$AG$15,31,FALSE))</f>
        <v/>
      </c>
      <c r="AE174" s="295" t="str">
        <f t="shared" si="20"/>
        <v/>
      </c>
      <c r="AF174" s="283" t="str">
        <f t="shared" si="21"/>
        <v/>
      </c>
      <c r="AG174" s="299" t="str">
        <f>IFERROR(IF(O174="","",VLOOKUP(AD174,'G-3 Multipliers'!$P$3:$Q$6,2,FALSE)),"")</f>
        <v/>
      </c>
      <c r="AH174" s="713" t="str">
        <f>IF(B174="","",IF(ISNA(VLOOKUP($B174,'E-1 Off-Site Hedge Baseline'!$B$1:$Z$257,14,FALSE)),"",(VLOOKUP($B174,'E-1 Off-Site Hedge Baseline'!$B$1:$Z$257,14,FALSE))))</f>
        <v/>
      </c>
      <c r="AI174" s="276" t="str">
        <f>IF(AH174="","",IF(VLOOKUP(AH174,'G-3 Multipliers'!$S$3:$T$10,2,FALSE)=0,"Spatial Data Missing ⚠",VLOOKUP(AH174,'G-3 Multipliers'!$S$3:$T$10,2,FALSE)))</f>
        <v/>
      </c>
      <c r="AJ174" s="317" t="str">
        <f t="shared" si="22"/>
        <v/>
      </c>
      <c r="AK174" s="289" t="str">
        <f t="shared" si="23"/>
        <v/>
      </c>
      <c r="AL174" s="101"/>
      <c r="AM174" s="115"/>
      <c r="AN174" s="104"/>
      <c r="AO174" s="104"/>
      <c r="AQ174" s="30" t="str">
        <f>IFERROR(INDEX('G-6 Hedgerow Data'!$BJ$3:$BJ$15,MATCH(M174,'G-6 Hedgerow Data'!$B$3:$B$15,0)),"")</f>
        <v/>
      </c>
    </row>
    <row r="175" spans="2:43" ht="14">
      <c r="B175" s="305" t="str">
        <f>'E-1 Off-Site Hedge Baseline'!AN173</f>
        <v/>
      </c>
      <c r="C175" s="295" t="str">
        <f>IF(B175="","",IF(ISNA(VLOOKUP($B175,'E-1 Off-Site Hedge Baseline'!$B$1:$L$257,3,FALSE)),"",(VLOOKUP($B175,'E-1 Off-Site Hedge Baseline'!$B$1:$L$257,3,FALSE))))</f>
        <v/>
      </c>
      <c r="D175" s="295" t="str">
        <f>IF(B175="","",IF(ISNA(VLOOKUP($B175,'E-1 Off-Site Hedge Baseline'!$B$1:$L$258,4,FALSE)),"",(VLOOKUP($B175,'E-1 Off-Site Hedge Baseline'!$B$1:$L$258,4,FALSE))))</f>
        <v/>
      </c>
      <c r="E175" s="295" t="str">
        <f>IF(B175="","",IF(ISNA(VLOOKUP($B175,'E-1 Off-Site Hedge Baseline'!$B$1:$L$257,5,FALSE)),"",(VLOOKUP($B175,'E-1 Off-Site Hedge Baseline'!$B$1:$L$257,5,FALSE))))</f>
        <v/>
      </c>
      <c r="F175" s="295" t="str">
        <f>IF(B175="","",IF(ISNA(VLOOKUP($B175,'E-1 Off-Site Hedge Baseline'!$B$1:$L$257,6,FALSE)),"",(VLOOKUP($B175,'E-1 Off-Site Hedge Baseline'!$B$1:$L$257,6,FALSE))))</f>
        <v/>
      </c>
      <c r="G175" s="295" t="str">
        <f>IF(B175="","",IF(ISNA(VLOOKUP($B175,'E-1 Off-Site Hedge Baseline'!$B$1:$L$257,7,FALSE)),"",(VLOOKUP($B175,'E-1 Off-Site Hedge Baseline'!$B$1:$L$257,7,FALSE))))</f>
        <v/>
      </c>
      <c r="H175" s="295" t="str">
        <f>IF(B175="","",IF(ISNA(VLOOKUP($B175,'E-1 Off-Site Hedge Baseline'!$B$1:$L$257,8,FALSE)),"",(VLOOKUP($B175,'E-1 Off-Site Hedge Baseline'!$B$1:$L$257,8,FALSE))))</f>
        <v/>
      </c>
      <c r="I175" s="295" t="str">
        <f>IF(B175="","",IF(ISNA(VLOOKUP($B175,'E-1 Off-Site Hedge Baseline'!$B$1:$L$257,10,FALSE)),"",(VLOOKUP($B175,'E-1 Off-Site Hedge Baseline'!$B$1:$L$257,10,FALSE))))</f>
        <v/>
      </c>
      <c r="J175" s="295" t="str">
        <f>IF(B175="","",IF(ISNA(VLOOKUP($B175,'E-1 Off-Site Hedge Baseline'!$B$1:$L$257,11,FALSE)),"",(VLOOKUP($B175,'E-1 Off-Site Hedge Baseline'!$B$1:$L$257,11,FALSE))))</f>
        <v/>
      </c>
      <c r="K175" s="295" t="str">
        <f>IF(B175="","",IF(ISNA(VLOOKUP($B175,'E-1 Off-Site Hedge Baseline'!$B$1:$X$257,16,FALSE)),"",(VLOOKUP($B175,'E-1 Off-Site Hedge Baseline'!$B$1:$X$257,16,FALSE))))</f>
        <v/>
      </c>
      <c r="L175" s="283" t="str">
        <f>IF(B175="","",IF(ISNA(VLOOKUP($B175,'E-1 Off-Site Hedge Baseline'!$B$1:$X$257,12,FALSE)),"",(VLOOKUP($B175,'E-1 Off-Site Hedge Baseline'!$B$1:$X$257,12,FALSE))))</f>
        <v/>
      </c>
      <c r="M175" s="244"/>
      <c r="N175" s="275" t="str">
        <f>IFERROR(IF(B175="","",INDEX('G-6 Hedgerow Data'!$AN$3:$AZ$15,MATCH(C175,'G-6 Hedgerow Data'!$AM$3:$AM$15,0),MATCH(M175,'G-6 Hedgerow Data'!$AN$2:$AZ$2,0))),"")</f>
        <v/>
      </c>
      <c r="O175" s="276" t="str">
        <f t="shared" si="17"/>
        <v/>
      </c>
      <c r="P175" s="281" t="str">
        <f>IF(B175="","",VLOOKUP(B175,'E-1 Off-Site Hedge Baseline'!$B$10:W420,19,FALSE))</f>
        <v/>
      </c>
      <c r="Q175" s="275" t="str">
        <f>IF(M175="","",VLOOKUP(M175,'G-6 Hedgerow Data'!$B$2:$AG$15,2,FALSE))</f>
        <v/>
      </c>
      <c r="R175" s="276" t="str">
        <f>IF(M175="","",VLOOKUP(M175,'G-6 Hedgerow Data'!$B$2:$AG$15,3,FALSE))</f>
        <v/>
      </c>
      <c r="S175" s="101"/>
      <c r="T175" s="276" t="str">
        <f>IFERROR(IF(S175="","",IF(AND(M175="Non-native and ornamental hedgerow",S175&lt;&gt;"Poor"),"Not possible ▲",(IF(AND(Q175="V.Low",OR(S175="Good",S175="Moderate")),"Error ▲",VLOOKUP(S175,'G-1 All Habitats'!$Z$2:$AA$9,2,FALSE))))),"")</f>
        <v/>
      </c>
      <c r="U175" s="101"/>
      <c r="V175" s="283" t="str">
        <f>IF(U175="","",IF(VLOOKUP(U175,'G-3 Multipliers'!$L$3:$N$6,2,FALSE)=0,"Spatial Data Missing ⚠",VLOOKUP(U175,'G-3 Multipliers'!$L$3:$N$6,2,FALSE)))</f>
        <v/>
      </c>
      <c r="W175" s="281" t="str">
        <f>IF(U175="","",IF(VLOOKUP(U175,'G-3 Multipliers'!$L$3:$N$6,3,FALSE)=0,"Spatial Data Missing ⚠",VLOOKUP(U175,'G-3 Multipliers'!$L$3:$N$6,3,FALSE)))</f>
        <v/>
      </c>
      <c r="X175" s="275" t="str">
        <f>IFERROR(IF(OR(LEFT(O175,5)="Error",LEFT(N175,5)="Error",T175="Error"),"Check Data ⚠",IF(F175&lt;R175,INDEX('G-6 Hedgerow Data'!$S$3:$AE$14,MATCH(C175,'G-6 Hedgerow Data'!$B$3:$B$14,0),MATCH(M175,'G-6 Hedgerow Data'!$S$2:$AE$2,0)),INDEX('G-6 Hedgerow Data'!$K$3:$Q$14,MATCH(M175,'G-6 Hedgerow Data'!$B$3:$B$14,0),MATCH(O175,'G-6 Hedgerow Data'!$K$2:$Q$2,0)))),"")</f>
        <v/>
      </c>
      <c r="Y175" s="133"/>
      <c r="Z175" s="133"/>
      <c r="AA175" s="283" t="str">
        <f t="shared" si="18"/>
        <v/>
      </c>
      <c r="AB175" s="296" t="str">
        <f t="shared" si="19"/>
        <v/>
      </c>
      <c r="AC175" s="297" t="str">
        <f t="shared" si="16"/>
        <v/>
      </c>
      <c r="AD175" s="311" t="str">
        <f>IF(M175="","",VLOOKUP(M175,'G-6 Hedgerow Data'!$B$3:$AG$15,31,FALSE))</f>
        <v/>
      </c>
      <c r="AE175" s="295" t="str">
        <f t="shared" si="20"/>
        <v/>
      </c>
      <c r="AF175" s="283" t="str">
        <f t="shared" si="21"/>
        <v/>
      </c>
      <c r="AG175" s="299" t="str">
        <f>IFERROR(IF(O175="","",VLOOKUP(AD175,'G-3 Multipliers'!$P$3:$Q$6,2,FALSE)),"")</f>
        <v/>
      </c>
      <c r="AH175" s="713" t="str">
        <f>IF(B175="","",IF(ISNA(VLOOKUP($B175,'E-1 Off-Site Hedge Baseline'!$B$1:$Z$257,14,FALSE)),"",(VLOOKUP($B175,'E-1 Off-Site Hedge Baseline'!$B$1:$Z$257,14,FALSE))))</f>
        <v/>
      </c>
      <c r="AI175" s="276" t="str">
        <f>IF(AH175="","",IF(VLOOKUP(AH175,'G-3 Multipliers'!$S$3:$T$10,2,FALSE)=0,"Spatial Data Missing ⚠",VLOOKUP(AH175,'G-3 Multipliers'!$S$3:$T$10,2,FALSE)))</f>
        <v/>
      </c>
      <c r="AJ175" s="317" t="str">
        <f t="shared" si="22"/>
        <v/>
      </c>
      <c r="AK175" s="289" t="str">
        <f t="shared" si="23"/>
        <v/>
      </c>
      <c r="AL175" s="101"/>
      <c r="AM175" s="115"/>
      <c r="AN175" s="104"/>
      <c r="AO175" s="104"/>
      <c r="AQ175" s="30" t="str">
        <f>IFERROR(INDEX('G-6 Hedgerow Data'!$BJ$3:$BJ$15,MATCH(M175,'G-6 Hedgerow Data'!$B$3:$B$15,0)),"")</f>
        <v/>
      </c>
    </row>
    <row r="176" spans="2:43" ht="14">
      <c r="B176" s="305" t="str">
        <f>'E-1 Off-Site Hedge Baseline'!AN174</f>
        <v/>
      </c>
      <c r="C176" s="295" t="str">
        <f>IF(B176="","",IF(ISNA(VLOOKUP($B176,'E-1 Off-Site Hedge Baseline'!$B$1:$L$257,3,FALSE)),"",(VLOOKUP($B176,'E-1 Off-Site Hedge Baseline'!$B$1:$L$257,3,FALSE))))</f>
        <v/>
      </c>
      <c r="D176" s="295" t="str">
        <f>IF(B176="","",IF(ISNA(VLOOKUP($B176,'E-1 Off-Site Hedge Baseline'!$B$1:$L$258,4,FALSE)),"",(VLOOKUP($B176,'E-1 Off-Site Hedge Baseline'!$B$1:$L$258,4,FALSE))))</f>
        <v/>
      </c>
      <c r="E176" s="295" t="str">
        <f>IF(B176="","",IF(ISNA(VLOOKUP($B176,'E-1 Off-Site Hedge Baseline'!$B$1:$L$257,5,FALSE)),"",(VLOOKUP($B176,'E-1 Off-Site Hedge Baseline'!$B$1:$L$257,5,FALSE))))</f>
        <v/>
      </c>
      <c r="F176" s="295" t="str">
        <f>IF(B176="","",IF(ISNA(VLOOKUP($B176,'E-1 Off-Site Hedge Baseline'!$B$1:$L$257,6,FALSE)),"",(VLOOKUP($B176,'E-1 Off-Site Hedge Baseline'!$B$1:$L$257,6,FALSE))))</f>
        <v/>
      </c>
      <c r="G176" s="295" t="str">
        <f>IF(B176="","",IF(ISNA(VLOOKUP($B176,'E-1 Off-Site Hedge Baseline'!$B$1:$L$257,7,FALSE)),"",(VLOOKUP($B176,'E-1 Off-Site Hedge Baseline'!$B$1:$L$257,7,FALSE))))</f>
        <v/>
      </c>
      <c r="H176" s="295" t="str">
        <f>IF(B176="","",IF(ISNA(VLOOKUP($B176,'E-1 Off-Site Hedge Baseline'!$B$1:$L$257,8,FALSE)),"",(VLOOKUP($B176,'E-1 Off-Site Hedge Baseline'!$B$1:$L$257,8,FALSE))))</f>
        <v/>
      </c>
      <c r="I176" s="295" t="str">
        <f>IF(B176="","",IF(ISNA(VLOOKUP($B176,'E-1 Off-Site Hedge Baseline'!$B$1:$L$257,10,FALSE)),"",(VLOOKUP($B176,'E-1 Off-Site Hedge Baseline'!$B$1:$L$257,10,FALSE))))</f>
        <v/>
      </c>
      <c r="J176" s="295" t="str">
        <f>IF(B176="","",IF(ISNA(VLOOKUP($B176,'E-1 Off-Site Hedge Baseline'!$B$1:$L$257,11,FALSE)),"",(VLOOKUP($B176,'E-1 Off-Site Hedge Baseline'!$B$1:$L$257,11,FALSE))))</f>
        <v/>
      </c>
      <c r="K176" s="295" t="str">
        <f>IF(B176="","",IF(ISNA(VLOOKUP($B176,'E-1 Off-Site Hedge Baseline'!$B$1:$X$257,16,FALSE)),"",(VLOOKUP($B176,'E-1 Off-Site Hedge Baseline'!$B$1:$X$257,16,FALSE))))</f>
        <v/>
      </c>
      <c r="L176" s="283" t="str">
        <f>IF(B176="","",IF(ISNA(VLOOKUP($B176,'E-1 Off-Site Hedge Baseline'!$B$1:$X$257,12,FALSE)),"",(VLOOKUP($B176,'E-1 Off-Site Hedge Baseline'!$B$1:$X$257,12,FALSE))))</f>
        <v/>
      </c>
      <c r="M176" s="244"/>
      <c r="N176" s="275" t="str">
        <f>IFERROR(IF(B176="","",INDEX('G-6 Hedgerow Data'!$AN$3:$AZ$15,MATCH(C176,'G-6 Hedgerow Data'!$AM$3:$AM$15,0),MATCH(M176,'G-6 Hedgerow Data'!$AN$2:$AZ$2,0))),"")</f>
        <v/>
      </c>
      <c r="O176" s="276" t="str">
        <f t="shared" si="17"/>
        <v/>
      </c>
      <c r="P176" s="281" t="str">
        <f>IF(B176="","",VLOOKUP(B176,'E-1 Off-Site Hedge Baseline'!$B$10:W421,19,FALSE))</f>
        <v/>
      </c>
      <c r="Q176" s="275" t="str">
        <f>IF(M176="","",VLOOKUP(M176,'G-6 Hedgerow Data'!$B$2:$AG$15,2,FALSE))</f>
        <v/>
      </c>
      <c r="R176" s="276" t="str">
        <f>IF(M176="","",VLOOKUP(M176,'G-6 Hedgerow Data'!$B$2:$AG$15,3,FALSE))</f>
        <v/>
      </c>
      <c r="S176" s="101"/>
      <c r="T176" s="276" t="str">
        <f>IFERROR(IF(S176="","",IF(AND(M176="Non-native and ornamental hedgerow",S176&lt;&gt;"Poor"),"Not possible ▲",(IF(AND(Q176="V.Low",OR(S176="Good",S176="Moderate")),"Error ▲",VLOOKUP(S176,'G-1 All Habitats'!$Z$2:$AA$9,2,FALSE))))),"")</f>
        <v/>
      </c>
      <c r="U176" s="101"/>
      <c r="V176" s="283" t="str">
        <f>IF(U176="","",IF(VLOOKUP(U176,'G-3 Multipliers'!$L$3:$N$6,2,FALSE)=0,"Spatial Data Missing ⚠",VLOOKUP(U176,'G-3 Multipliers'!$L$3:$N$6,2,FALSE)))</f>
        <v/>
      </c>
      <c r="W176" s="281" t="str">
        <f>IF(U176="","",IF(VLOOKUP(U176,'G-3 Multipliers'!$L$3:$N$6,3,FALSE)=0,"Spatial Data Missing ⚠",VLOOKUP(U176,'G-3 Multipliers'!$L$3:$N$6,3,FALSE)))</f>
        <v/>
      </c>
      <c r="X176" s="275" t="str">
        <f>IFERROR(IF(OR(LEFT(O176,5)="Error",LEFT(N176,5)="Error",T176="Error"),"Check Data ⚠",IF(F176&lt;R176,INDEX('G-6 Hedgerow Data'!$S$3:$AE$14,MATCH(C176,'G-6 Hedgerow Data'!$B$3:$B$14,0),MATCH(M176,'G-6 Hedgerow Data'!$S$2:$AE$2,0)),INDEX('G-6 Hedgerow Data'!$K$3:$Q$14,MATCH(M176,'G-6 Hedgerow Data'!$B$3:$B$14,0),MATCH(O176,'G-6 Hedgerow Data'!$K$2:$Q$2,0)))),"")</f>
        <v/>
      </c>
      <c r="Y176" s="133"/>
      <c r="Z176" s="133"/>
      <c r="AA176" s="283" t="str">
        <f t="shared" si="18"/>
        <v/>
      </c>
      <c r="AB176" s="296" t="str">
        <f t="shared" si="19"/>
        <v/>
      </c>
      <c r="AC176" s="297" t="str">
        <f t="shared" si="16"/>
        <v/>
      </c>
      <c r="AD176" s="311" t="str">
        <f>IF(M176="","",VLOOKUP(M176,'G-6 Hedgerow Data'!$B$3:$AG$15,31,FALSE))</f>
        <v/>
      </c>
      <c r="AE176" s="295" t="str">
        <f t="shared" si="20"/>
        <v/>
      </c>
      <c r="AF176" s="283" t="str">
        <f t="shared" si="21"/>
        <v/>
      </c>
      <c r="AG176" s="299" t="str">
        <f>IFERROR(IF(O176="","",VLOOKUP(AD176,'G-3 Multipliers'!$P$3:$Q$6,2,FALSE)),"")</f>
        <v/>
      </c>
      <c r="AH176" s="713" t="str">
        <f>IF(B176="","",IF(ISNA(VLOOKUP($B176,'E-1 Off-Site Hedge Baseline'!$B$1:$Z$257,14,FALSE)),"",(VLOOKUP($B176,'E-1 Off-Site Hedge Baseline'!$B$1:$Z$257,14,FALSE))))</f>
        <v/>
      </c>
      <c r="AI176" s="276" t="str">
        <f>IF(AH176="","",IF(VLOOKUP(AH176,'G-3 Multipliers'!$S$3:$T$10,2,FALSE)=0,"Spatial Data Missing ⚠",VLOOKUP(AH176,'G-3 Multipliers'!$S$3:$T$10,2,FALSE)))</f>
        <v/>
      </c>
      <c r="AJ176" s="317" t="str">
        <f t="shared" si="22"/>
        <v/>
      </c>
      <c r="AK176" s="289" t="str">
        <f t="shared" si="23"/>
        <v/>
      </c>
      <c r="AL176" s="101"/>
      <c r="AM176" s="115"/>
      <c r="AN176" s="104"/>
      <c r="AO176" s="104"/>
      <c r="AQ176" s="30" t="str">
        <f>IFERROR(INDEX('G-6 Hedgerow Data'!$BJ$3:$BJ$15,MATCH(M176,'G-6 Hedgerow Data'!$B$3:$B$15,0)),"")</f>
        <v/>
      </c>
    </row>
    <row r="177" spans="2:43" ht="14">
      <c r="B177" s="305" t="str">
        <f>'E-1 Off-Site Hedge Baseline'!AN175</f>
        <v/>
      </c>
      <c r="C177" s="295" t="str">
        <f>IF(B177="","",IF(ISNA(VLOOKUP($B177,'E-1 Off-Site Hedge Baseline'!$B$1:$L$257,3,FALSE)),"",(VLOOKUP($B177,'E-1 Off-Site Hedge Baseline'!$B$1:$L$257,3,FALSE))))</f>
        <v/>
      </c>
      <c r="D177" s="295" t="str">
        <f>IF(B177="","",IF(ISNA(VLOOKUP($B177,'E-1 Off-Site Hedge Baseline'!$B$1:$L$258,4,FALSE)),"",(VLOOKUP($B177,'E-1 Off-Site Hedge Baseline'!$B$1:$L$258,4,FALSE))))</f>
        <v/>
      </c>
      <c r="E177" s="295" t="str">
        <f>IF(B177="","",IF(ISNA(VLOOKUP($B177,'E-1 Off-Site Hedge Baseline'!$B$1:$L$257,5,FALSE)),"",(VLOOKUP($B177,'E-1 Off-Site Hedge Baseline'!$B$1:$L$257,5,FALSE))))</f>
        <v/>
      </c>
      <c r="F177" s="295" t="str">
        <f>IF(B177="","",IF(ISNA(VLOOKUP($B177,'E-1 Off-Site Hedge Baseline'!$B$1:$L$257,6,FALSE)),"",(VLOOKUP($B177,'E-1 Off-Site Hedge Baseline'!$B$1:$L$257,6,FALSE))))</f>
        <v/>
      </c>
      <c r="G177" s="295" t="str">
        <f>IF(B177="","",IF(ISNA(VLOOKUP($B177,'E-1 Off-Site Hedge Baseline'!$B$1:$L$257,7,FALSE)),"",(VLOOKUP($B177,'E-1 Off-Site Hedge Baseline'!$B$1:$L$257,7,FALSE))))</f>
        <v/>
      </c>
      <c r="H177" s="295" t="str">
        <f>IF(B177="","",IF(ISNA(VLOOKUP($B177,'E-1 Off-Site Hedge Baseline'!$B$1:$L$257,8,FALSE)),"",(VLOOKUP($B177,'E-1 Off-Site Hedge Baseline'!$B$1:$L$257,8,FALSE))))</f>
        <v/>
      </c>
      <c r="I177" s="295" t="str">
        <f>IF(B177="","",IF(ISNA(VLOOKUP($B177,'E-1 Off-Site Hedge Baseline'!$B$1:$L$257,10,FALSE)),"",(VLOOKUP($B177,'E-1 Off-Site Hedge Baseline'!$B$1:$L$257,10,FALSE))))</f>
        <v/>
      </c>
      <c r="J177" s="295" t="str">
        <f>IF(B177="","",IF(ISNA(VLOOKUP($B177,'E-1 Off-Site Hedge Baseline'!$B$1:$L$257,11,FALSE)),"",(VLOOKUP($B177,'E-1 Off-Site Hedge Baseline'!$B$1:$L$257,11,FALSE))))</f>
        <v/>
      </c>
      <c r="K177" s="295" t="str">
        <f>IF(B177="","",IF(ISNA(VLOOKUP($B177,'E-1 Off-Site Hedge Baseline'!$B$1:$X$257,16,FALSE)),"",(VLOOKUP($B177,'E-1 Off-Site Hedge Baseline'!$B$1:$X$257,16,FALSE))))</f>
        <v/>
      </c>
      <c r="L177" s="283" t="str">
        <f>IF(B177="","",IF(ISNA(VLOOKUP($B177,'E-1 Off-Site Hedge Baseline'!$B$1:$X$257,12,FALSE)),"",(VLOOKUP($B177,'E-1 Off-Site Hedge Baseline'!$B$1:$X$257,12,FALSE))))</f>
        <v/>
      </c>
      <c r="M177" s="244"/>
      <c r="N177" s="275" t="str">
        <f>IFERROR(IF(B177="","",INDEX('G-6 Hedgerow Data'!$AN$3:$AZ$15,MATCH(C177,'G-6 Hedgerow Data'!$AM$3:$AM$15,0),MATCH(M177,'G-6 Hedgerow Data'!$AN$2:$AZ$2,0))),"")</f>
        <v/>
      </c>
      <c r="O177" s="276" t="str">
        <f t="shared" si="17"/>
        <v/>
      </c>
      <c r="P177" s="281" t="str">
        <f>IF(B177="","",VLOOKUP(B177,'E-1 Off-Site Hedge Baseline'!$B$10:W422,19,FALSE))</f>
        <v/>
      </c>
      <c r="Q177" s="275" t="str">
        <f>IF(M177="","",VLOOKUP(M177,'G-6 Hedgerow Data'!$B$2:$AG$15,2,FALSE))</f>
        <v/>
      </c>
      <c r="R177" s="276" t="str">
        <f>IF(M177="","",VLOOKUP(M177,'G-6 Hedgerow Data'!$B$2:$AG$15,3,FALSE))</f>
        <v/>
      </c>
      <c r="S177" s="101"/>
      <c r="T177" s="276" t="str">
        <f>IFERROR(IF(S177="","",IF(AND(M177="Non-native and ornamental hedgerow",S177&lt;&gt;"Poor"),"Not possible ▲",(IF(AND(Q177="V.Low",OR(S177="Good",S177="Moderate")),"Error ▲",VLOOKUP(S177,'G-1 All Habitats'!$Z$2:$AA$9,2,FALSE))))),"")</f>
        <v/>
      </c>
      <c r="U177" s="101"/>
      <c r="V177" s="283" t="str">
        <f>IF(U177="","",IF(VLOOKUP(U177,'G-3 Multipliers'!$L$3:$N$6,2,FALSE)=0,"Spatial Data Missing ⚠",VLOOKUP(U177,'G-3 Multipliers'!$L$3:$N$6,2,FALSE)))</f>
        <v/>
      </c>
      <c r="W177" s="281" t="str">
        <f>IF(U177="","",IF(VLOOKUP(U177,'G-3 Multipliers'!$L$3:$N$6,3,FALSE)=0,"Spatial Data Missing ⚠",VLOOKUP(U177,'G-3 Multipliers'!$L$3:$N$6,3,FALSE)))</f>
        <v/>
      </c>
      <c r="X177" s="275" t="str">
        <f>IFERROR(IF(OR(LEFT(O177,5)="Error",LEFT(N177,5)="Error",T177="Error"),"Check Data ⚠",IF(F177&lt;R177,INDEX('G-6 Hedgerow Data'!$S$3:$AE$14,MATCH(C177,'G-6 Hedgerow Data'!$B$3:$B$14,0),MATCH(M177,'G-6 Hedgerow Data'!$S$2:$AE$2,0)),INDEX('G-6 Hedgerow Data'!$K$3:$Q$14,MATCH(M177,'G-6 Hedgerow Data'!$B$3:$B$14,0),MATCH(O177,'G-6 Hedgerow Data'!$K$2:$Q$2,0)))),"")</f>
        <v/>
      </c>
      <c r="Y177" s="133"/>
      <c r="Z177" s="133"/>
      <c r="AA177" s="283" t="str">
        <f t="shared" si="18"/>
        <v/>
      </c>
      <c r="AB177" s="296" t="str">
        <f t="shared" si="19"/>
        <v/>
      </c>
      <c r="AC177" s="297" t="str">
        <f t="shared" si="16"/>
        <v/>
      </c>
      <c r="AD177" s="311" t="str">
        <f>IF(M177="","",VLOOKUP(M177,'G-6 Hedgerow Data'!$B$3:$AG$15,31,FALSE))</f>
        <v/>
      </c>
      <c r="AE177" s="295" t="str">
        <f t="shared" si="20"/>
        <v/>
      </c>
      <c r="AF177" s="283" t="str">
        <f t="shared" si="21"/>
        <v/>
      </c>
      <c r="AG177" s="299" t="str">
        <f>IFERROR(IF(O177="","",VLOOKUP(AD177,'G-3 Multipliers'!$P$3:$Q$6,2,FALSE)),"")</f>
        <v/>
      </c>
      <c r="AH177" s="713" t="str">
        <f>IF(B177="","",IF(ISNA(VLOOKUP($B177,'E-1 Off-Site Hedge Baseline'!$B$1:$Z$257,14,FALSE)),"",(VLOOKUP($B177,'E-1 Off-Site Hedge Baseline'!$B$1:$Z$257,14,FALSE))))</f>
        <v/>
      </c>
      <c r="AI177" s="276" t="str">
        <f>IF(AH177="","",IF(VLOOKUP(AH177,'G-3 Multipliers'!$S$3:$T$10,2,FALSE)=0,"Spatial Data Missing ⚠",VLOOKUP(AH177,'G-3 Multipliers'!$S$3:$T$10,2,FALSE)))</f>
        <v/>
      </c>
      <c r="AJ177" s="317" t="str">
        <f t="shared" si="22"/>
        <v/>
      </c>
      <c r="AK177" s="289" t="str">
        <f t="shared" si="23"/>
        <v/>
      </c>
      <c r="AL177" s="101"/>
      <c r="AM177" s="115"/>
      <c r="AN177" s="104"/>
      <c r="AO177" s="104"/>
      <c r="AQ177" s="30" t="str">
        <f>IFERROR(INDEX('G-6 Hedgerow Data'!$BJ$3:$BJ$15,MATCH(M177,'G-6 Hedgerow Data'!$B$3:$B$15,0)),"")</f>
        <v/>
      </c>
    </row>
    <row r="178" spans="2:43" ht="14">
      <c r="B178" s="305" t="str">
        <f>'E-1 Off-Site Hedge Baseline'!AN176</f>
        <v/>
      </c>
      <c r="C178" s="295" t="str">
        <f>IF(B178="","",IF(ISNA(VLOOKUP($B178,'E-1 Off-Site Hedge Baseline'!$B$1:$L$257,3,FALSE)),"",(VLOOKUP($B178,'E-1 Off-Site Hedge Baseline'!$B$1:$L$257,3,FALSE))))</f>
        <v/>
      </c>
      <c r="D178" s="295" t="str">
        <f>IF(B178="","",IF(ISNA(VLOOKUP($B178,'E-1 Off-Site Hedge Baseline'!$B$1:$L$258,4,FALSE)),"",(VLOOKUP($B178,'E-1 Off-Site Hedge Baseline'!$B$1:$L$258,4,FALSE))))</f>
        <v/>
      </c>
      <c r="E178" s="295" t="str">
        <f>IF(B178="","",IF(ISNA(VLOOKUP($B178,'E-1 Off-Site Hedge Baseline'!$B$1:$L$257,5,FALSE)),"",(VLOOKUP($B178,'E-1 Off-Site Hedge Baseline'!$B$1:$L$257,5,FALSE))))</f>
        <v/>
      </c>
      <c r="F178" s="295" t="str">
        <f>IF(B178="","",IF(ISNA(VLOOKUP($B178,'E-1 Off-Site Hedge Baseline'!$B$1:$L$257,6,FALSE)),"",(VLOOKUP($B178,'E-1 Off-Site Hedge Baseline'!$B$1:$L$257,6,FALSE))))</f>
        <v/>
      </c>
      <c r="G178" s="295" t="str">
        <f>IF(B178="","",IF(ISNA(VLOOKUP($B178,'E-1 Off-Site Hedge Baseline'!$B$1:$L$257,7,FALSE)),"",(VLOOKUP($B178,'E-1 Off-Site Hedge Baseline'!$B$1:$L$257,7,FALSE))))</f>
        <v/>
      </c>
      <c r="H178" s="295" t="str">
        <f>IF(B178="","",IF(ISNA(VLOOKUP($B178,'E-1 Off-Site Hedge Baseline'!$B$1:$L$257,8,FALSE)),"",(VLOOKUP($B178,'E-1 Off-Site Hedge Baseline'!$B$1:$L$257,8,FALSE))))</f>
        <v/>
      </c>
      <c r="I178" s="295" t="str">
        <f>IF(B178="","",IF(ISNA(VLOOKUP($B178,'E-1 Off-Site Hedge Baseline'!$B$1:$L$257,10,FALSE)),"",(VLOOKUP($B178,'E-1 Off-Site Hedge Baseline'!$B$1:$L$257,10,FALSE))))</f>
        <v/>
      </c>
      <c r="J178" s="295" t="str">
        <f>IF(B178="","",IF(ISNA(VLOOKUP($B178,'E-1 Off-Site Hedge Baseline'!$B$1:$L$257,11,FALSE)),"",(VLOOKUP($B178,'E-1 Off-Site Hedge Baseline'!$B$1:$L$257,11,FALSE))))</f>
        <v/>
      </c>
      <c r="K178" s="295" t="str">
        <f>IF(B178="","",IF(ISNA(VLOOKUP($B178,'E-1 Off-Site Hedge Baseline'!$B$1:$X$257,16,FALSE)),"",(VLOOKUP($B178,'E-1 Off-Site Hedge Baseline'!$B$1:$X$257,16,FALSE))))</f>
        <v/>
      </c>
      <c r="L178" s="283" t="str">
        <f>IF(B178="","",IF(ISNA(VLOOKUP($B178,'E-1 Off-Site Hedge Baseline'!$B$1:$X$257,12,FALSE)),"",(VLOOKUP($B178,'E-1 Off-Site Hedge Baseline'!$B$1:$X$257,12,FALSE))))</f>
        <v/>
      </c>
      <c r="M178" s="244"/>
      <c r="N178" s="275" t="str">
        <f>IFERROR(IF(B178="","",INDEX('G-6 Hedgerow Data'!$AN$3:$AZ$15,MATCH(C178,'G-6 Hedgerow Data'!$AM$3:$AM$15,0),MATCH(M178,'G-6 Hedgerow Data'!$AN$2:$AZ$2,0))),"")</f>
        <v/>
      </c>
      <c r="O178" s="276" t="str">
        <f t="shared" si="17"/>
        <v/>
      </c>
      <c r="P178" s="281" t="str">
        <f>IF(B178="","",VLOOKUP(B178,'E-1 Off-Site Hedge Baseline'!$B$10:W423,19,FALSE))</f>
        <v/>
      </c>
      <c r="Q178" s="275" t="str">
        <f>IF(M178="","",VLOOKUP(M178,'G-6 Hedgerow Data'!$B$2:$AG$15,2,FALSE))</f>
        <v/>
      </c>
      <c r="R178" s="276" t="str">
        <f>IF(M178="","",VLOOKUP(M178,'G-6 Hedgerow Data'!$B$2:$AG$15,3,FALSE))</f>
        <v/>
      </c>
      <c r="S178" s="101"/>
      <c r="T178" s="276" t="str">
        <f>IFERROR(IF(S178="","",IF(AND(M178="Non-native and ornamental hedgerow",S178&lt;&gt;"Poor"),"Not possible ▲",(IF(AND(Q178="V.Low",OR(S178="Good",S178="Moderate")),"Error ▲",VLOOKUP(S178,'G-1 All Habitats'!$Z$2:$AA$9,2,FALSE))))),"")</f>
        <v/>
      </c>
      <c r="U178" s="101"/>
      <c r="V178" s="283" t="str">
        <f>IF(U178="","",IF(VLOOKUP(U178,'G-3 Multipliers'!$L$3:$N$6,2,FALSE)=0,"Spatial Data Missing ⚠",VLOOKUP(U178,'G-3 Multipliers'!$L$3:$N$6,2,FALSE)))</f>
        <v/>
      </c>
      <c r="W178" s="281" t="str">
        <f>IF(U178="","",IF(VLOOKUP(U178,'G-3 Multipliers'!$L$3:$N$6,3,FALSE)=0,"Spatial Data Missing ⚠",VLOOKUP(U178,'G-3 Multipliers'!$L$3:$N$6,3,FALSE)))</f>
        <v/>
      </c>
      <c r="X178" s="275" t="str">
        <f>IFERROR(IF(OR(LEFT(O178,5)="Error",LEFT(N178,5)="Error",T178="Error"),"Check Data ⚠",IF(F178&lt;R178,INDEX('G-6 Hedgerow Data'!$S$3:$AE$14,MATCH(C178,'G-6 Hedgerow Data'!$B$3:$B$14,0),MATCH(M178,'G-6 Hedgerow Data'!$S$2:$AE$2,0)),INDEX('G-6 Hedgerow Data'!$K$3:$Q$14,MATCH(M178,'G-6 Hedgerow Data'!$B$3:$B$14,0),MATCH(O178,'G-6 Hedgerow Data'!$K$2:$Q$2,0)))),"")</f>
        <v/>
      </c>
      <c r="Y178" s="133"/>
      <c r="Z178" s="133"/>
      <c r="AA178" s="283" t="str">
        <f t="shared" si="18"/>
        <v/>
      </c>
      <c r="AB178" s="296" t="str">
        <f t="shared" si="19"/>
        <v/>
      </c>
      <c r="AC178" s="297" t="str">
        <f t="shared" si="16"/>
        <v/>
      </c>
      <c r="AD178" s="311" t="str">
        <f>IF(M178="","",VLOOKUP(M178,'G-6 Hedgerow Data'!$B$3:$AG$15,31,FALSE))</f>
        <v/>
      </c>
      <c r="AE178" s="295" t="str">
        <f t="shared" si="20"/>
        <v/>
      </c>
      <c r="AF178" s="283" t="str">
        <f t="shared" si="21"/>
        <v/>
      </c>
      <c r="AG178" s="299" t="str">
        <f>IFERROR(IF(O178="","",VLOOKUP(AD178,'G-3 Multipliers'!$P$3:$Q$6,2,FALSE)),"")</f>
        <v/>
      </c>
      <c r="AH178" s="713" t="str">
        <f>IF(B178="","",IF(ISNA(VLOOKUP($B178,'E-1 Off-Site Hedge Baseline'!$B$1:$Z$257,14,FALSE)),"",(VLOOKUP($B178,'E-1 Off-Site Hedge Baseline'!$B$1:$Z$257,14,FALSE))))</f>
        <v/>
      </c>
      <c r="AI178" s="276" t="str">
        <f>IF(AH178="","",IF(VLOOKUP(AH178,'G-3 Multipliers'!$S$3:$T$10,2,FALSE)=0,"Spatial Data Missing ⚠",VLOOKUP(AH178,'G-3 Multipliers'!$S$3:$T$10,2,FALSE)))</f>
        <v/>
      </c>
      <c r="AJ178" s="317" t="str">
        <f t="shared" si="22"/>
        <v/>
      </c>
      <c r="AK178" s="289" t="str">
        <f t="shared" si="23"/>
        <v/>
      </c>
      <c r="AL178" s="101"/>
      <c r="AM178" s="115"/>
      <c r="AN178" s="104"/>
      <c r="AO178" s="104"/>
      <c r="AQ178" s="30" t="str">
        <f>IFERROR(INDEX('G-6 Hedgerow Data'!$BJ$3:$BJ$15,MATCH(M178,'G-6 Hedgerow Data'!$B$3:$B$15,0)),"")</f>
        <v/>
      </c>
    </row>
    <row r="179" spans="2:43" ht="14">
      <c r="B179" s="305" t="str">
        <f>'E-1 Off-Site Hedge Baseline'!AN177</f>
        <v/>
      </c>
      <c r="C179" s="295" t="str">
        <f>IF(B179="","",IF(ISNA(VLOOKUP($B179,'E-1 Off-Site Hedge Baseline'!$B$1:$L$257,3,FALSE)),"",(VLOOKUP($B179,'E-1 Off-Site Hedge Baseline'!$B$1:$L$257,3,FALSE))))</f>
        <v/>
      </c>
      <c r="D179" s="295" t="str">
        <f>IF(B179="","",IF(ISNA(VLOOKUP($B179,'E-1 Off-Site Hedge Baseline'!$B$1:$L$258,4,FALSE)),"",(VLOOKUP($B179,'E-1 Off-Site Hedge Baseline'!$B$1:$L$258,4,FALSE))))</f>
        <v/>
      </c>
      <c r="E179" s="295" t="str">
        <f>IF(B179="","",IF(ISNA(VLOOKUP($B179,'E-1 Off-Site Hedge Baseline'!$B$1:$L$257,5,FALSE)),"",(VLOOKUP($B179,'E-1 Off-Site Hedge Baseline'!$B$1:$L$257,5,FALSE))))</f>
        <v/>
      </c>
      <c r="F179" s="295" t="str">
        <f>IF(B179="","",IF(ISNA(VLOOKUP($B179,'E-1 Off-Site Hedge Baseline'!$B$1:$L$257,6,FALSE)),"",(VLOOKUP($B179,'E-1 Off-Site Hedge Baseline'!$B$1:$L$257,6,FALSE))))</f>
        <v/>
      </c>
      <c r="G179" s="295" t="str">
        <f>IF(B179="","",IF(ISNA(VLOOKUP($B179,'E-1 Off-Site Hedge Baseline'!$B$1:$L$257,7,FALSE)),"",(VLOOKUP($B179,'E-1 Off-Site Hedge Baseline'!$B$1:$L$257,7,FALSE))))</f>
        <v/>
      </c>
      <c r="H179" s="295" t="str">
        <f>IF(B179="","",IF(ISNA(VLOOKUP($B179,'E-1 Off-Site Hedge Baseline'!$B$1:$L$257,8,FALSE)),"",(VLOOKUP($B179,'E-1 Off-Site Hedge Baseline'!$B$1:$L$257,8,FALSE))))</f>
        <v/>
      </c>
      <c r="I179" s="295" t="str">
        <f>IF(B179="","",IF(ISNA(VLOOKUP($B179,'E-1 Off-Site Hedge Baseline'!$B$1:$L$257,10,FALSE)),"",(VLOOKUP($B179,'E-1 Off-Site Hedge Baseline'!$B$1:$L$257,10,FALSE))))</f>
        <v/>
      </c>
      <c r="J179" s="295" t="str">
        <f>IF(B179="","",IF(ISNA(VLOOKUP($B179,'E-1 Off-Site Hedge Baseline'!$B$1:$L$257,11,FALSE)),"",(VLOOKUP($B179,'E-1 Off-Site Hedge Baseline'!$B$1:$L$257,11,FALSE))))</f>
        <v/>
      </c>
      <c r="K179" s="295" t="str">
        <f>IF(B179="","",IF(ISNA(VLOOKUP($B179,'E-1 Off-Site Hedge Baseline'!$B$1:$X$257,16,FALSE)),"",(VLOOKUP($B179,'E-1 Off-Site Hedge Baseline'!$B$1:$X$257,16,FALSE))))</f>
        <v/>
      </c>
      <c r="L179" s="283" t="str">
        <f>IF(B179="","",IF(ISNA(VLOOKUP($B179,'E-1 Off-Site Hedge Baseline'!$B$1:$X$257,12,FALSE)),"",(VLOOKUP($B179,'E-1 Off-Site Hedge Baseline'!$B$1:$X$257,12,FALSE))))</f>
        <v/>
      </c>
      <c r="M179" s="244"/>
      <c r="N179" s="275" t="str">
        <f>IFERROR(IF(B179="","",INDEX('G-6 Hedgerow Data'!$AN$3:$AZ$15,MATCH(C179,'G-6 Hedgerow Data'!$AM$3:$AM$15,0),MATCH(M179,'G-6 Hedgerow Data'!$AN$2:$AZ$2,0))),"")</f>
        <v/>
      </c>
      <c r="O179" s="276" t="str">
        <f t="shared" si="17"/>
        <v/>
      </c>
      <c r="P179" s="281" t="str">
        <f>IF(B179="","",VLOOKUP(B179,'E-1 Off-Site Hedge Baseline'!$B$10:W424,19,FALSE))</f>
        <v/>
      </c>
      <c r="Q179" s="275" t="str">
        <f>IF(M179="","",VLOOKUP(M179,'G-6 Hedgerow Data'!$B$2:$AG$15,2,FALSE))</f>
        <v/>
      </c>
      <c r="R179" s="276" t="str">
        <f>IF(M179="","",VLOOKUP(M179,'G-6 Hedgerow Data'!$B$2:$AG$15,3,FALSE))</f>
        <v/>
      </c>
      <c r="S179" s="101"/>
      <c r="T179" s="276" t="str">
        <f>IFERROR(IF(S179="","",IF(AND(M179="Non-native and ornamental hedgerow",S179&lt;&gt;"Poor"),"Not possible ▲",(IF(AND(Q179="V.Low",OR(S179="Good",S179="Moderate")),"Error ▲",VLOOKUP(S179,'G-1 All Habitats'!$Z$2:$AA$9,2,FALSE))))),"")</f>
        <v/>
      </c>
      <c r="U179" s="101"/>
      <c r="V179" s="283" t="str">
        <f>IF(U179="","",IF(VLOOKUP(U179,'G-3 Multipliers'!$L$3:$N$6,2,FALSE)=0,"Spatial Data Missing ⚠",VLOOKUP(U179,'G-3 Multipliers'!$L$3:$N$6,2,FALSE)))</f>
        <v/>
      </c>
      <c r="W179" s="281" t="str">
        <f>IF(U179="","",IF(VLOOKUP(U179,'G-3 Multipliers'!$L$3:$N$6,3,FALSE)=0,"Spatial Data Missing ⚠",VLOOKUP(U179,'G-3 Multipliers'!$L$3:$N$6,3,FALSE)))</f>
        <v/>
      </c>
      <c r="X179" s="275" t="str">
        <f>IFERROR(IF(OR(LEFT(O179,5)="Error",LEFT(N179,5)="Error",T179="Error"),"Check Data ⚠",IF(F179&lt;R179,INDEX('G-6 Hedgerow Data'!$S$3:$AE$14,MATCH(C179,'G-6 Hedgerow Data'!$B$3:$B$14,0),MATCH(M179,'G-6 Hedgerow Data'!$S$2:$AE$2,0)),INDEX('G-6 Hedgerow Data'!$K$3:$Q$14,MATCH(M179,'G-6 Hedgerow Data'!$B$3:$B$14,0),MATCH(O179,'G-6 Hedgerow Data'!$K$2:$Q$2,0)))),"")</f>
        <v/>
      </c>
      <c r="Y179" s="133"/>
      <c r="Z179" s="133"/>
      <c r="AA179" s="283" t="str">
        <f t="shared" si="18"/>
        <v/>
      </c>
      <c r="AB179" s="296" t="str">
        <f t="shared" si="19"/>
        <v/>
      </c>
      <c r="AC179" s="297" t="str">
        <f t="shared" si="16"/>
        <v/>
      </c>
      <c r="AD179" s="311" t="str">
        <f>IF(M179="","",VLOOKUP(M179,'G-6 Hedgerow Data'!$B$3:$AG$15,31,FALSE))</f>
        <v/>
      </c>
      <c r="AE179" s="295" t="str">
        <f t="shared" si="20"/>
        <v/>
      </c>
      <c r="AF179" s="283" t="str">
        <f t="shared" si="21"/>
        <v/>
      </c>
      <c r="AG179" s="299" t="str">
        <f>IFERROR(IF(O179="","",VLOOKUP(AD179,'G-3 Multipliers'!$P$3:$Q$6,2,FALSE)),"")</f>
        <v/>
      </c>
      <c r="AH179" s="713" t="str">
        <f>IF(B179="","",IF(ISNA(VLOOKUP($B179,'E-1 Off-Site Hedge Baseline'!$B$1:$Z$257,14,FALSE)),"",(VLOOKUP($B179,'E-1 Off-Site Hedge Baseline'!$B$1:$Z$257,14,FALSE))))</f>
        <v/>
      </c>
      <c r="AI179" s="276" t="str">
        <f>IF(AH179="","",IF(VLOOKUP(AH179,'G-3 Multipliers'!$S$3:$T$10,2,FALSE)=0,"Spatial Data Missing ⚠",VLOOKUP(AH179,'G-3 Multipliers'!$S$3:$T$10,2,FALSE)))</f>
        <v/>
      </c>
      <c r="AJ179" s="317" t="str">
        <f t="shared" si="22"/>
        <v/>
      </c>
      <c r="AK179" s="289" t="str">
        <f t="shared" si="23"/>
        <v/>
      </c>
      <c r="AL179" s="101"/>
      <c r="AM179" s="115"/>
      <c r="AN179" s="104"/>
      <c r="AO179" s="104"/>
      <c r="AQ179" s="30" t="str">
        <f>IFERROR(INDEX('G-6 Hedgerow Data'!$BJ$3:$BJ$15,MATCH(M179,'G-6 Hedgerow Data'!$B$3:$B$15,0)),"")</f>
        <v/>
      </c>
    </row>
    <row r="180" spans="2:43" ht="14">
      <c r="B180" s="305" t="str">
        <f>'E-1 Off-Site Hedge Baseline'!AN178</f>
        <v/>
      </c>
      <c r="C180" s="295" t="str">
        <f>IF(B180="","",IF(ISNA(VLOOKUP($B180,'E-1 Off-Site Hedge Baseline'!$B$1:$L$257,3,FALSE)),"",(VLOOKUP($B180,'E-1 Off-Site Hedge Baseline'!$B$1:$L$257,3,FALSE))))</f>
        <v/>
      </c>
      <c r="D180" s="295" t="str">
        <f>IF(B180="","",IF(ISNA(VLOOKUP($B180,'E-1 Off-Site Hedge Baseline'!$B$1:$L$258,4,FALSE)),"",(VLOOKUP($B180,'E-1 Off-Site Hedge Baseline'!$B$1:$L$258,4,FALSE))))</f>
        <v/>
      </c>
      <c r="E180" s="295" t="str">
        <f>IF(B180="","",IF(ISNA(VLOOKUP($B180,'E-1 Off-Site Hedge Baseline'!$B$1:$L$257,5,FALSE)),"",(VLOOKUP($B180,'E-1 Off-Site Hedge Baseline'!$B$1:$L$257,5,FALSE))))</f>
        <v/>
      </c>
      <c r="F180" s="295" t="str">
        <f>IF(B180="","",IF(ISNA(VLOOKUP($B180,'E-1 Off-Site Hedge Baseline'!$B$1:$L$257,6,FALSE)),"",(VLOOKUP($B180,'E-1 Off-Site Hedge Baseline'!$B$1:$L$257,6,FALSE))))</f>
        <v/>
      </c>
      <c r="G180" s="295" t="str">
        <f>IF(B180="","",IF(ISNA(VLOOKUP($B180,'E-1 Off-Site Hedge Baseline'!$B$1:$L$257,7,FALSE)),"",(VLOOKUP($B180,'E-1 Off-Site Hedge Baseline'!$B$1:$L$257,7,FALSE))))</f>
        <v/>
      </c>
      <c r="H180" s="295" t="str">
        <f>IF(B180="","",IF(ISNA(VLOOKUP($B180,'E-1 Off-Site Hedge Baseline'!$B$1:$L$257,8,FALSE)),"",(VLOOKUP($B180,'E-1 Off-Site Hedge Baseline'!$B$1:$L$257,8,FALSE))))</f>
        <v/>
      </c>
      <c r="I180" s="295" t="str">
        <f>IF(B180="","",IF(ISNA(VLOOKUP($B180,'E-1 Off-Site Hedge Baseline'!$B$1:$L$257,10,FALSE)),"",(VLOOKUP($B180,'E-1 Off-Site Hedge Baseline'!$B$1:$L$257,10,FALSE))))</f>
        <v/>
      </c>
      <c r="J180" s="295" t="str">
        <f>IF(B180="","",IF(ISNA(VLOOKUP($B180,'E-1 Off-Site Hedge Baseline'!$B$1:$L$257,11,FALSE)),"",(VLOOKUP($B180,'E-1 Off-Site Hedge Baseline'!$B$1:$L$257,11,FALSE))))</f>
        <v/>
      </c>
      <c r="K180" s="295" t="str">
        <f>IF(B180="","",IF(ISNA(VLOOKUP($B180,'E-1 Off-Site Hedge Baseline'!$B$1:$X$257,16,FALSE)),"",(VLOOKUP($B180,'E-1 Off-Site Hedge Baseline'!$B$1:$X$257,16,FALSE))))</f>
        <v/>
      </c>
      <c r="L180" s="283" t="str">
        <f>IF(B180="","",IF(ISNA(VLOOKUP($B180,'E-1 Off-Site Hedge Baseline'!$B$1:$X$257,12,FALSE)),"",(VLOOKUP($B180,'E-1 Off-Site Hedge Baseline'!$B$1:$X$257,12,FALSE))))</f>
        <v/>
      </c>
      <c r="M180" s="244"/>
      <c r="N180" s="275" t="str">
        <f>IFERROR(IF(B180="","",INDEX('G-6 Hedgerow Data'!$AN$3:$AZ$15,MATCH(C180,'G-6 Hedgerow Data'!$AM$3:$AM$15,0),MATCH(M180,'G-6 Hedgerow Data'!$AN$2:$AZ$2,0))),"")</f>
        <v/>
      </c>
      <c r="O180" s="276" t="str">
        <f t="shared" si="17"/>
        <v/>
      </c>
      <c r="P180" s="281" t="str">
        <f>IF(B180="","",VLOOKUP(B180,'E-1 Off-Site Hedge Baseline'!$B$10:W425,19,FALSE))</f>
        <v/>
      </c>
      <c r="Q180" s="275" t="str">
        <f>IF(M180="","",VLOOKUP(M180,'G-6 Hedgerow Data'!$B$2:$AG$15,2,FALSE))</f>
        <v/>
      </c>
      <c r="R180" s="276" t="str">
        <f>IF(M180="","",VLOOKUP(M180,'G-6 Hedgerow Data'!$B$2:$AG$15,3,FALSE))</f>
        <v/>
      </c>
      <c r="S180" s="101"/>
      <c r="T180" s="276" t="str">
        <f>IFERROR(IF(S180="","",IF(AND(M180="Non-native and ornamental hedgerow",S180&lt;&gt;"Poor"),"Not possible ▲",(IF(AND(Q180="V.Low",OR(S180="Good",S180="Moderate")),"Error ▲",VLOOKUP(S180,'G-1 All Habitats'!$Z$2:$AA$9,2,FALSE))))),"")</f>
        <v/>
      </c>
      <c r="U180" s="101"/>
      <c r="V180" s="283" t="str">
        <f>IF(U180="","",IF(VLOOKUP(U180,'G-3 Multipliers'!$L$3:$N$6,2,FALSE)=0,"Spatial Data Missing ⚠",VLOOKUP(U180,'G-3 Multipliers'!$L$3:$N$6,2,FALSE)))</f>
        <v/>
      </c>
      <c r="W180" s="281" t="str">
        <f>IF(U180="","",IF(VLOOKUP(U180,'G-3 Multipliers'!$L$3:$N$6,3,FALSE)=0,"Spatial Data Missing ⚠",VLOOKUP(U180,'G-3 Multipliers'!$L$3:$N$6,3,FALSE)))</f>
        <v/>
      </c>
      <c r="X180" s="275" t="str">
        <f>IFERROR(IF(OR(LEFT(O180,5)="Error",LEFT(N180,5)="Error",T180="Error"),"Check Data ⚠",IF(F180&lt;R180,INDEX('G-6 Hedgerow Data'!$S$3:$AE$14,MATCH(C180,'G-6 Hedgerow Data'!$B$3:$B$14,0),MATCH(M180,'G-6 Hedgerow Data'!$S$2:$AE$2,0)),INDEX('G-6 Hedgerow Data'!$K$3:$Q$14,MATCH(M180,'G-6 Hedgerow Data'!$B$3:$B$14,0),MATCH(O180,'G-6 Hedgerow Data'!$K$2:$Q$2,0)))),"")</f>
        <v/>
      </c>
      <c r="Y180" s="133"/>
      <c r="Z180" s="133"/>
      <c r="AA180" s="283" t="str">
        <f t="shared" si="18"/>
        <v/>
      </c>
      <c r="AB180" s="296" t="str">
        <f t="shared" si="19"/>
        <v/>
      </c>
      <c r="AC180" s="297" t="str">
        <f t="shared" si="16"/>
        <v/>
      </c>
      <c r="AD180" s="311" t="str">
        <f>IF(M180="","",VLOOKUP(M180,'G-6 Hedgerow Data'!$B$3:$AG$15,31,FALSE))</f>
        <v/>
      </c>
      <c r="AE180" s="295" t="str">
        <f t="shared" si="20"/>
        <v/>
      </c>
      <c r="AF180" s="283" t="str">
        <f t="shared" si="21"/>
        <v/>
      </c>
      <c r="AG180" s="299" t="str">
        <f>IFERROR(IF(O180="","",VLOOKUP(AD180,'G-3 Multipliers'!$P$3:$Q$6,2,FALSE)),"")</f>
        <v/>
      </c>
      <c r="AH180" s="713" t="str">
        <f>IF(B180="","",IF(ISNA(VLOOKUP($B180,'E-1 Off-Site Hedge Baseline'!$B$1:$Z$257,14,FALSE)),"",(VLOOKUP($B180,'E-1 Off-Site Hedge Baseline'!$B$1:$Z$257,14,FALSE))))</f>
        <v/>
      </c>
      <c r="AI180" s="276" t="str">
        <f>IF(AH180="","",IF(VLOOKUP(AH180,'G-3 Multipliers'!$S$3:$T$10,2,FALSE)=0,"Spatial Data Missing ⚠",VLOOKUP(AH180,'G-3 Multipliers'!$S$3:$T$10,2,FALSE)))</f>
        <v/>
      </c>
      <c r="AJ180" s="317" t="str">
        <f t="shared" si="22"/>
        <v/>
      </c>
      <c r="AK180" s="289" t="str">
        <f t="shared" si="23"/>
        <v/>
      </c>
      <c r="AL180" s="101"/>
      <c r="AM180" s="115"/>
      <c r="AN180" s="104"/>
      <c r="AO180" s="104"/>
      <c r="AQ180" s="30" t="str">
        <f>IFERROR(INDEX('G-6 Hedgerow Data'!$BJ$3:$BJ$15,MATCH(M180,'G-6 Hedgerow Data'!$B$3:$B$15,0)),"")</f>
        <v/>
      </c>
    </row>
    <row r="181" spans="2:43" ht="14">
      <c r="B181" s="305" t="str">
        <f>'E-1 Off-Site Hedge Baseline'!AN179</f>
        <v/>
      </c>
      <c r="C181" s="295" t="str">
        <f>IF(B181="","",IF(ISNA(VLOOKUP($B181,'E-1 Off-Site Hedge Baseline'!$B$1:$L$257,3,FALSE)),"",(VLOOKUP($B181,'E-1 Off-Site Hedge Baseline'!$B$1:$L$257,3,FALSE))))</f>
        <v/>
      </c>
      <c r="D181" s="295" t="str">
        <f>IF(B181="","",IF(ISNA(VLOOKUP($B181,'E-1 Off-Site Hedge Baseline'!$B$1:$L$258,4,FALSE)),"",(VLOOKUP($B181,'E-1 Off-Site Hedge Baseline'!$B$1:$L$258,4,FALSE))))</f>
        <v/>
      </c>
      <c r="E181" s="295" t="str">
        <f>IF(B181="","",IF(ISNA(VLOOKUP($B181,'E-1 Off-Site Hedge Baseline'!$B$1:$L$257,5,FALSE)),"",(VLOOKUP($B181,'E-1 Off-Site Hedge Baseline'!$B$1:$L$257,5,FALSE))))</f>
        <v/>
      </c>
      <c r="F181" s="295" t="str">
        <f>IF(B181="","",IF(ISNA(VLOOKUP($B181,'E-1 Off-Site Hedge Baseline'!$B$1:$L$257,6,FALSE)),"",(VLOOKUP($B181,'E-1 Off-Site Hedge Baseline'!$B$1:$L$257,6,FALSE))))</f>
        <v/>
      </c>
      <c r="G181" s="295" t="str">
        <f>IF(B181="","",IF(ISNA(VLOOKUP($B181,'E-1 Off-Site Hedge Baseline'!$B$1:$L$257,7,FALSE)),"",(VLOOKUP($B181,'E-1 Off-Site Hedge Baseline'!$B$1:$L$257,7,FALSE))))</f>
        <v/>
      </c>
      <c r="H181" s="295" t="str">
        <f>IF(B181="","",IF(ISNA(VLOOKUP($B181,'E-1 Off-Site Hedge Baseline'!$B$1:$L$257,8,FALSE)),"",(VLOOKUP($B181,'E-1 Off-Site Hedge Baseline'!$B$1:$L$257,8,FALSE))))</f>
        <v/>
      </c>
      <c r="I181" s="295" t="str">
        <f>IF(B181="","",IF(ISNA(VLOOKUP($B181,'E-1 Off-Site Hedge Baseline'!$B$1:$L$257,10,FALSE)),"",(VLOOKUP($B181,'E-1 Off-Site Hedge Baseline'!$B$1:$L$257,10,FALSE))))</f>
        <v/>
      </c>
      <c r="J181" s="295" t="str">
        <f>IF(B181="","",IF(ISNA(VLOOKUP($B181,'E-1 Off-Site Hedge Baseline'!$B$1:$L$257,11,FALSE)),"",(VLOOKUP($B181,'E-1 Off-Site Hedge Baseline'!$B$1:$L$257,11,FALSE))))</f>
        <v/>
      </c>
      <c r="K181" s="295" t="str">
        <f>IF(B181="","",IF(ISNA(VLOOKUP($B181,'E-1 Off-Site Hedge Baseline'!$B$1:$X$257,16,FALSE)),"",(VLOOKUP($B181,'E-1 Off-Site Hedge Baseline'!$B$1:$X$257,16,FALSE))))</f>
        <v/>
      </c>
      <c r="L181" s="283" t="str">
        <f>IF(B181="","",IF(ISNA(VLOOKUP($B181,'E-1 Off-Site Hedge Baseline'!$B$1:$X$257,12,FALSE)),"",(VLOOKUP($B181,'E-1 Off-Site Hedge Baseline'!$B$1:$X$257,12,FALSE))))</f>
        <v/>
      </c>
      <c r="M181" s="244"/>
      <c r="N181" s="275" t="str">
        <f>IFERROR(IF(B181="","",INDEX('G-6 Hedgerow Data'!$AN$3:$AZ$15,MATCH(C181,'G-6 Hedgerow Data'!$AM$3:$AM$15,0),MATCH(M181,'G-6 Hedgerow Data'!$AN$2:$AZ$2,0))),"")</f>
        <v/>
      </c>
      <c r="O181" s="276" t="str">
        <f t="shared" si="17"/>
        <v/>
      </c>
      <c r="P181" s="281" t="str">
        <f>IF(B181="","",VLOOKUP(B181,'E-1 Off-Site Hedge Baseline'!$B$10:W426,19,FALSE))</f>
        <v/>
      </c>
      <c r="Q181" s="275" t="str">
        <f>IF(M181="","",VLOOKUP(M181,'G-6 Hedgerow Data'!$B$2:$AG$15,2,FALSE))</f>
        <v/>
      </c>
      <c r="R181" s="276" t="str">
        <f>IF(M181="","",VLOOKUP(M181,'G-6 Hedgerow Data'!$B$2:$AG$15,3,FALSE))</f>
        <v/>
      </c>
      <c r="S181" s="101"/>
      <c r="T181" s="276" t="str">
        <f>IFERROR(IF(S181="","",IF(AND(M181="Non-native and ornamental hedgerow",S181&lt;&gt;"Poor"),"Not possible ▲",(IF(AND(Q181="V.Low",OR(S181="Good",S181="Moderate")),"Error ▲",VLOOKUP(S181,'G-1 All Habitats'!$Z$2:$AA$9,2,FALSE))))),"")</f>
        <v/>
      </c>
      <c r="U181" s="101"/>
      <c r="V181" s="283" t="str">
        <f>IF(U181="","",IF(VLOOKUP(U181,'G-3 Multipliers'!$L$3:$N$6,2,FALSE)=0,"Spatial Data Missing ⚠",VLOOKUP(U181,'G-3 Multipliers'!$L$3:$N$6,2,FALSE)))</f>
        <v/>
      </c>
      <c r="W181" s="281" t="str">
        <f>IF(U181="","",IF(VLOOKUP(U181,'G-3 Multipliers'!$L$3:$N$6,3,FALSE)=0,"Spatial Data Missing ⚠",VLOOKUP(U181,'G-3 Multipliers'!$L$3:$N$6,3,FALSE)))</f>
        <v/>
      </c>
      <c r="X181" s="275" t="str">
        <f>IFERROR(IF(OR(LEFT(O181,5)="Error",LEFT(N181,5)="Error",T181="Error"),"Check Data ⚠",IF(F181&lt;R181,INDEX('G-6 Hedgerow Data'!$S$3:$AE$14,MATCH(C181,'G-6 Hedgerow Data'!$B$3:$B$14,0),MATCH(M181,'G-6 Hedgerow Data'!$S$2:$AE$2,0)),INDEX('G-6 Hedgerow Data'!$K$3:$Q$14,MATCH(M181,'G-6 Hedgerow Data'!$B$3:$B$14,0),MATCH(O181,'G-6 Hedgerow Data'!$K$2:$Q$2,0)))),"")</f>
        <v/>
      </c>
      <c r="Y181" s="133"/>
      <c r="Z181" s="133"/>
      <c r="AA181" s="283" t="str">
        <f t="shared" si="18"/>
        <v/>
      </c>
      <c r="AB181" s="296" t="str">
        <f t="shared" si="19"/>
        <v/>
      </c>
      <c r="AC181" s="297" t="str">
        <f t="shared" si="16"/>
        <v/>
      </c>
      <c r="AD181" s="311" t="str">
        <f>IF(M181="","",VLOOKUP(M181,'G-6 Hedgerow Data'!$B$3:$AG$15,31,FALSE))</f>
        <v/>
      </c>
      <c r="AE181" s="295" t="str">
        <f t="shared" si="20"/>
        <v/>
      </c>
      <c r="AF181" s="283" t="str">
        <f t="shared" si="21"/>
        <v/>
      </c>
      <c r="AG181" s="299" t="str">
        <f>IFERROR(IF(O181="","",VLOOKUP(AD181,'G-3 Multipliers'!$P$3:$Q$6,2,FALSE)),"")</f>
        <v/>
      </c>
      <c r="AH181" s="713" t="str">
        <f>IF(B181="","",IF(ISNA(VLOOKUP($B181,'E-1 Off-Site Hedge Baseline'!$B$1:$Z$257,14,FALSE)),"",(VLOOKUP($B181,'E-1 Off-Site Hedge Baseline'!$B$1:$Z$257,14,FALSE))))</f>
        <v/>
      </c>
      <c r="AI181" s="276" t="str">
        <f>IF(AH181="","",IF(VLOOKUP(AH181,'G-3 Multipliers'!$S$3:$T$10,2,FALSE)=0,"Spatial Data Missing ⚠",VLOOKUP(AH181,'G-3 Multipliers'!$S$3:$T$10,2,FALSE)))</f>
        <v/>
      </c>
      <c r="AJ181" s="317" t="str">
        <f t="shared" si="22"/>
        <v/>
      </c>
      <c r="AK181" s="289" t="str">
        <f t="shared" si="23"/>
        <v/>
      </c>
      <c r="AL181" s="101"/>
      <c r="AM181" s="115"/>
      <c r="AN181" s="104"/>
      <c r="AO181" s="104"/>
      <c r="AQ181" s="30" t="str">
        <f>IFERROR(INDEX('G-6 Hedgerow Data'!$BJ$3:$BJ$15,MATCH(M181,'G-6 Hedgerow Data'!$B$3:$B$15,0)),"")</f>
        <v/>
      </c>
    </row>
    <row r="182" spans="2:43" ht="14">
      <c r="B182" s="305" t="str">
        <f>'E-1 Off-Site Hedge Baseline'!AN180</f>
        <v/>
      </c>
      <c r="C182" s="295" t="str">
        <f>IF(B182="","",IF(ISNA(VLOOKUP($B182,'E-1 Off-Site Hedge Baseline'!$B$1:$L$257,3,FALSE)),"",(VLOOKUP($B182,'E-1 Off-Site Hedge Baseline'!$B$1:$L$257,3,FALSE))))</f>
        <v/>
      </c>
      <c r="D182" s="295" t="str">
        <f>IF(B182="","",IF(ISNA(VLOOKUP($B182,'E-1 Off-Site Hedge Baseline'!$B$1:$L$258,4,FALSE)),"",(VLOOKUP($B182,'E-1 Off-Site Hedge Baseline'!$B$1:$L$258,4,FALSE))))</f>
        <v/>
      </c>
      <c r="E182" s="295" t="str">
        <f>IF(B182="","",IF(ISNA(VLOOKUP($B182,'E-1 Off-Site Hedge Baseline'!$B$1:$L$257,5,FALSE)),"",(VLOOKUP($B182,'E-1 Off-Site Hedge Baseline'!$B$1:$L$257,5,FALSE))))</f>
        <v/>
      </c>
      <c r="F182" s="295" t="str">
        <f>IF(B182="","",IF(ISNA(VLOOKUP($B182,'E-1 Off-Site Hedge Baseline'!$B$1:$L$257,6,FALSE)),"",(VLOOKUP($B182,'E-1 Off-Site Hedge Baseline'!$B$1:$L$257,6,FALSE))))</f>
        <v/>
      </c>
      <c r="G182" s="295" t="str">
        <f>IF(B182="","",IF(ISNA(VLOOKUP($B182,'E-1 Off-Site Hedge Baseline'!$B$1:$L$257,7,FALSE)),"",(VLOOKUP($B182,'E-1 Off-Site Hedge Baseline'!$B$1:$L$257,7,FALSE))))</f>
        <v/>
      </c>
      <c r="H182" s="295" t="str">
        <f>IF(B182="","",IF(ISNA(VLOOKUP($B182,'E-1 Off-Site Hedge Baseline'!$B$1:$L$257,8,FALSE)),"",(VLOOKUP($B182,'E-1 Off-Site Hedge Baseline'!$B$1:$L$257,8,FALSE))))</f>
        <v/>
      </c>
      <c r="I182" s="295" t="str">
        <f>IF(B182="","",IF(ISNA(VLOOKUP($B182,'E-1 Off-Site Hedge Baseline'!$B$1:$L$257,10,FALSE)),"",(VLOOKUP($B182,'E-1 Off-Site Hedge Baseline'!$B$1:$L$257,10,FALSE))))</f>
        <v/>
      </c>
      <c r="J182" s="295" t="str">
        <f>IF(B182="","",IF(ISNA(VLOOKUP($B182,'E-1 Off-Site Hedge Baseline'!$B$1:$L$257,11,FALSE)),"",(VLOOKUP($B182,'E-1 Off-Site Hedge Baseline'!$B$1:$L$257,11,FALSE))))</f>
        <v/>
      </c>
      <c r="K182" s="295" t="str">
        <f>IF(B182="","",IF(ISNA(VLOOKUP($B182,'E-1 Off-Site Hedge Baseline'!$B$1:$X$257,16,FALSE)),"",(VLOOKUP($B182,'E-1 Off-Site Hedge Baseline'!$B$1:$X$257,16,FALSE))))</f>
        <v/>
      </c>
      <c r="L182" s="283" t="str">
        <f>IF(B182="","",IF(ISNA(VLOOKUP($B182,'E-1 Off-Site Hedge Baseline'!$B$1:$X$257,12,FALSE)),"",(VLOOKUP($B182,'E-1 Off-Site Hedge Baseline'!$B$1:$X$257,12,FALSE))))</f>
        <v/>
      </c>
      <c r="M182" s="244"/>
      <c r="N182" s="275" t="str">
        <f>IFERROR(IF(B182="","",INDEX('G-6 Hedgerow Data'!$AN$3:$AZ$15,MATCH(C182,'G-6 Hedgerow Data'!$AM$3:$AM$15,0),MATCH(M182,'G-6 Hedgerow Data'!$AN$2:$AZ$2,0))),"")</f>
        <v/>
      </c>
      <c r="O182" s="276" t="str">
        <f t="shared" si="17"/>
        <v/>
      </c>
      <c r="P182" s="281" t="str">
        <f>IF(B182="","",VLOOKUP(B182,'E-1 Off-Site Hedge Baseline'!$B$10:W427,19,FALSE))</f>
        <v/>
      </c>
      <c r="Q182" s="275" t="str">
        <f>IF(M182="","",VLOOKUP(M182,'G-6 Hedgerow Data'!$B$2:$AG$15,2,FALSE))</f>
        <v/>
      </c>
      <c r="R182" s="276" t="str">
        <f>IF(M182="","",VLOOKUP(M182,'G-6 Hedgerow Data'!$B$2:$AG$15,3,FALSE))</f>
        <v/>
      </c>
      <c r="S182" s="101"/>
      <c r="T182" s="276" t="str">
        <f>IFERROR(IF(S182="","",IF(AND(M182="Non-native and ornamental hedgerow",S182&lt;&gt;"Poor"),"Not possible ▲",(IF(AND(Q182="V.Low",OR(S182="Good",S182="Moderate")),"Error ▲",VLOOKUP(S182,'G-1 All Habitats'!$Z$2:$AA$9,2,FALSE))))),"")</f>
        <v/>
      </c>
      <c r="U182" s="101"/>
      <c r="V182" s="283" t="str">
        <f>IF(U182="","",IF(VLOOKUP(U182,'G-3 Multipliers'!$L$3:$N$6,2,FALSE)=0,"Spatial Data Missing ⚠",VLOOKUP(U182,'G-3 Multipliers'!$L$3:$N$6,2,FALSE)))</f>
        <v/>
      </c>
      <c r="W182" s="281" t="str">
        <f>IF(U182="","",IF(VLOOKUP(U182,'G-3 Multipliers'!$L$3:$N$6,3,FALSE)=0,"Spatial Data Missing ⚠",VLOOKUP(U182,'G-3 Multipliers'!$L$3:$N$6,3,FALSE)))</f>
        <v/>
      </c>
      <c r="X182" s="275" t="str">
        <f>IFERROR(IF(OR(LEFT(O182,5)="Error",LEFT(N182,5)="Error",T182="Error"),"Check Data ⚠",IF(F182&lt;R182,INDEX('G-6 Hedgerow Data'!$S$3:$AE$14,MATCH(C182,'G-6 Hedgerow Data'!$B$3:$B$14,0),MATCH(M182,'G-6 Hedgerow Data'!$S$2:$AE$2,0)),INDEX('G-6 Hedgerow Data'!$K$3:$Q$14,MATCH(M182,'G-6 Hedgerow Data'!$B$3:$B$14,0),MATCH(O182,'G-6 Hedgerow Data'!$K$2:$Q$2,0)))),"")</f>
        <v/>
      </c>
      <c r="Y182" s="133"/>
      <c r="Z182" s="133"/>
      <c r="AA182" s="283" t="str">
        <f t="shared" si="18"/>
        <v/>
      </c>
      <c r="AB182" s="296" t="str">
        <f t="shared" si="19"/>
        <v/>
      </c>
      <c r="AC182" s="297" t="str">
        <f t="shared" si="16"/>
        <v/>
      </c>
      <c r="AD182" s="311" t="str">
        <f>IF(M182="","",VLOOKUP(M182,'G-6 Hedgerow Data'!$B$3:$AG$15,31,FALSE))</f>
        <v/>
      </c>
      <c r="AE182" s="295" t="str">
        <f t="shared" si="20"/>
        <v/>
      </c>
      <c r="AF182" s="283" t="str">
        <f t="shared" si="21"/>
        <v/>
      </c>
      <c r="AG182" s="299" t="str">
        <f>IFERROR(IF(O182="","",VLOOKUP(AD182,'G-3 Multipliers'!$P$3:$Q$6,2,FALSE)),"")</f>
        <v/>
      </c>
      <c r="AH182" s="713" t="str">
        <f>IF(B182="","",IF(ISNA(VLOOKUP($B182,'E-1 Off-Site Hedge Baseline'!$B$1:$Z$257,14,FALSE)),"",(VLOOKUP($B182,'E-1 Off-Site Hedge Baseline'!$B$1:$Z$257,14,FALSE))))</f>
        <v/>
      </c>
      <c r="AI182" s="276" t="str">
        <f>IF(AH182="","",IF(VLOOKUP(AH182,'G-3 Multipliers'!$S$3:$T$10,2,FALSE)=0,"Spatial Data Missing ⚠",VLOOKUP(AH182,'G-3 Multipliers'!$S$3:$T$10,2,FALSE)))</f>
        <v/>
      </c>
      <c r="AJ182" s="317" t="str">
        <f t="shared" si="22"/>
        <v/>
      </c>
      <c r="AK182" s="289" t="str">
        <f t="shared" si="23"/>
        <v/>
      </c>
      <c r="AL182" s="101"/>
      <c r="AM182" s="115"/>
      <c r="AN182" s="104"/>
      <c r="AO182" s="104"/>
      <c r="AQ182" s="30" t="str">
        <f>IFERROR(INDEX('G-6 Hedgerow Data'!$BJ$3:$BJ$15,MATCH(M182,'G-6 Hedgerow Data'!$B$3:$B$15,0)),"")</f>
        <v/>
      </c>
    </row>
    <row r="183" spans="2:43" ht="14">
      <c r="B183" s="305" t="str">
        <f>'E-1 Off-Site Hedge Baseline'!AN181</f>
        <v/>
      </c>
      <c r="C183" s="295" t="str">
        <f>IF(B183="","",IF(ISNA(VLOOKUP($B183,'E-1 Off-Site Hedge Baseline'!$B$1:$L$257,3,FALSE)),"",(VLOOKUP($B183,'E-1 Off-Site Hedge Baseline'!$B$1:$L$257,3,FALSE))))</f>
        <v/>
      </c>
      <c r="D183" s="295" t="str">
        <f>IF(B183="","",IF(ISNA(VLOOKUP($B183,'E-1 Off-Site Hedge Baseline'!$B$1:$L$258,4,FALSE)),"",(VLOOKUP($B183,'E-1 Off-Site Hedge Baseline'!$B$1:$L$258,4,FALSE))))</f>
        <v/>
      </c>
      <c r="E183" s="295" t="str">
        <f>IF(B183="","",IF(ISNA(VLOOKUP($B183,'E-1 Off-Site Hedge Baseline'!$B$1:$L$257,5,FALSE)),"",(VLOOKUP($B183,'E-1 Off-Site Hedge Baseline'!$B$1:$L$257,5,FALSE))))</f>
        <v/>
      </c>
      <c r="F183" s="295" t="str">
        <f>IF(B183="","",IF(ISNA(VLOOKUP($B183,'E-1 Off-Site Hedge Baseline'!$B$1:$L$257,6,FALSE)),"",(VLOOKUP($B183,'E-1 Off-Site Hedge Baseline'!$B$1:$L$257,6,FALSE))))</f>
        <v/>
      </c>
      <c r="G183" s="295" t="str">
        <f>IF(B183="","",IF(ISNA(VLOOKUP($B183,'E-1 Off-Site Hedge Baseline'!$B$1:$L$257,7,FALSE)),"",(VLOOKUP($B183,'E-1 Off-Site Hedge Baseline'!$B$1:$L$257,7,FALSE))))</f>
        <v/>
      </c>
      <c r="H183" s="295" t="str">
        <f>IF(B183="","",IF(ISNA(VLOOKUP($B183,'E-1 Off-Site Hedge Baseline'!$B$1:$L$257,8,FALSE)),"",(VLOOKUP($B183,'E-1 Off-Site Hedge Baseline'!$B$1:$L$257,8,FALSE))))</f>
        <v/>
      </c>
      <c r="I183" s="295" t="str">
        <f>IF(B183="","",IF(ISNA(VLOOKUP($B183,'E-1 Off-Site Hedge Baseline'!$B$1:$L$257,10,FALSE)),"",(VLOOKUP($B183,'E-1 Off-Site Hedge Baseline'!$B$1:$L$257,10,FALSE))))</f>
        <v/>
      </c>
      <c r="J183" s="295" t="str">
        <f>IF(B183="","",IF(ISNA(VLOOKUP($B183,'E-1 Off-Site Hedge Baseline'!$B$1:$L$257,11,FALSE)),"",(VLOOKUP($B183,'E-1 Off-Site Hedge Baseline'!$B$1:$L$257,11,FALSE))))</f>
        <v/>
      </c>
      <c r="K183" s="295" t="str">
        <f>IF(B183="","",IF(ISNA(VLOOKUP($B183,'E-1 Off-Site Hedge Baseline'!$B$1:$X$257,16,FALSE)),"",(VLOOKUP($B183,'E-1 Off-Site Hedge Baseline'!$B$1:$X$257,16,FALSE))))</f>
        <v/>
      </c>
      <c r="L183" s="283" t="str">
        <f>IF(B183="","",IF(ISNA(VLOOKUP($B183,'E-1 Off-Site Hedge Baseline'!$B$1:$X$257,12,FALSE)),"",(VLOOKUP($B183,'E-1 Off-Site Hedge Baseline'!$B$1:$X$257,12,FALSE))))</f>
        <v/>
      </c>
      <c r="M183" s="244"/>
      <c r="N183" s="275" t="str">
        <f>IFERROR(IF(B183="","",INDEX('G-6 Hedgerow Data'!$AN$3:$AZ$15,MATCH(C183,'G-6 Hedgerow Data'!$AM$3:$AM$15,0),MATCH(M183,'G-6 Hedgerow Data'!$AN$2:$AZ$2,0))),"")</f>
        <v/>
      </c>
      <c r="O183" s="276" t="str">
        <f t="shared" si="17"/>
        <v/>
      </c>
      <c r="P183" s="281" t="str">
        <f>IF(B183="","",VLOOKUP(B183,'E-1 Off-Site Hedge Baseline'!$B$10:W428,19,FALSE))</f>
        <v/>
      </c>
      <c r="Q183" s="275" t="str">
        <f>IF(M183="","",VLOOKUP(M183,'G-6 Hedgerow Data'!$B$2:$AG$15,2,FALSE))</f>
        <v/>
      </c>
      <c r="R183" s="276" t="str">
        <f>IF(M183="","",VLOOKUP(M183,'G-6 Hedgerow Data'!$B$2:$AG$15,3,FALSE))</f>
        <v/>
      </c>
      <c r="S183" s="101"/>
      <c r="T183" s="276" t="str">
        <f>IFERROR(IF(S183="","",IF(AND(M183="Non-native and ornamental hedgerow",S183&lt;&gt;"Poor"),"Not possible ▲",(IF(AND(Q183="V.Low",OR(S183="Good",S183="Moderate")),"Error ▲",VLOOKUP(S183,'G-1 All Habitats'!$Z$2:$AA$9,2,FALSE))))),"")</f>
        <v/>
      </c>
      <c r="U183" s="101"/>
      <c r="V183" s="283" t="str">
        <f>IF(U183="","",IF(VLOOKUP(U183,'G-3 Multipliers'!$L$3:$N$6,2,FALSE)=0,"Spatial Data Missing ⚠",VLOOKUP(U183,'G-3 Multipliers'!$L$3:$N$6,2,FALSE)))</f>
        <v/>
      </c>
      <c r="W183" s="281" t="str">
        <f>IF(U183="","",IF(VLOOKUP(U183,'G-3 Multipliers'!$L$3:$N$6,3,FALSE)=0,"Spatial Data Missing ⚠",VLOOKUP(U183,'G-3 Multipliers'!$L$3:$N$6,3,FALSE)))</f>
        <v/>
      </c>
      <c r="X183" s="275" t="str">
        <f>IFERROR(IF(OR(LEFT(O183,5)="Error",LEFT(N183,5)="Error",T183="Error"),"Check Data ⚠",IF(F183&lt;R183,INDEX('G-6 Hedgerow Data'!$S$3:$AE$14,MATCH(C183,'G-6 Hedgerow Data'!$B$3:$B$14,0),MATCH(M183,'G-6 Hedgerow Data'!$S$2:$AE$2,0)),INDEX('G-6 Hedgerow Data'!$K$3:$Q$14,MATCH(M183,'G-6 Hedgerow Data'!$B$3:$B$14,0),MATCH(O183,'G-6 Hedgerow Data'!$K$2:$Q$2,0)))),"")</f>
        <v/>
      </c>
      <c r="Y183" s="133"/>
      <c r="Z183" s="133"/>
      <c r="AA183" s="283" t="str">
        <f t="shared" si="18"/>
        <v/>
      </c>
      <c r="AB183" s="296" t="str">
        <f t="shared" si="19"/>
        <v/>
      </c>
      <c r="AC183" s="297" t="str">
        <f t="shared" si="16"/>
        <v/>
      </c>
      <c r="AD183" s="311" t="str">
        <f>IF(M183="","",VLOOKUP(M183,'G-6 Hedgerow Data'!$B$3:$AG$15,31,FALSE))</f>
        <v/>
      </c>
      <c r="AE183" s="295" t="str">
        <f t="shared" si="20"/>
        <v/>
      </c>
      <c r="AF183" s="283" t="str">
        <f t="shared" si="21"/>
        <v/>
      </c>
      <c r="AG183" s="299" t="str">
        <f>IFERROR(IF(O183="","",VLOOKUP(AD183,'G-3 Multipliers'!$P$3:$Q$6,2,FALSE)),"")</f>
        <v/>
      </c>
      <c r="AH183" s="713" t="str">
        <f>IF(B183="","",IF(ISNA(VLOOKUP($B183,'E-1 Off-Site Hedge Baseline'!$B$1:$Z$257,14,FALSE)),"",(VLOOKUP($B183,'E-1 Off-Site Hedge Baseline'!$B$1:$Z$257,14,FALSE))))</f>
        <v/>
      </c>
      <c r="AI183" s="276" t="str">
        <f>IF(AH183="","",IF(VLOOKUP(AH183,'G-3 Multipliers'!$S$3:$T$10,2,FALSE)=0,"Spatial Data Missing ⚠",VLOOKUP(AH183,'G-3 Multipliers'!$S$3:$T$10,2,FALSE)))</f>
        <v/>
      </c>
      <c r="AJ183" s="317" t="str">
        <f t="shared" si="22"/>
        <v/>
      </c>
      <c r="AK183" s="289" t="str">
        <f t="shared" si="23"/>
        <v/>
      </c>
      <c r="AL183" s="101"/>
      <c r="AM183" s="115"/>
      <c r="AN183" s="104"/>
      <c r="AO183" s="104"/>
      <c r="AQ183" s="30" t="str">
        <f>IFERROR(INDEX('G-6 Hedgerow Data'!$BJ$3:$BJ$15,MATCH(M183,'G-6 Hedgerow Data'!$B$3:$B$15,0)),"")</f>
        <v/>
      </c>
    </row>
    <row r="184" spans="2:43" ht="14">
      <c r="B184" s="305" t="str">
        <f>'E-1 Off-Site Hedge Baseline'!AN182</f>
        <v/>
      </c>
      <c r="C184" s="295" t="str">
        <f>IF(B184="","",IF(ISNA(VLOOKUP($B184,'E-1 Off-Site Hedge Baseline'!$B$1:$L$257,3,FALSE)),"",(VLOOKUP($B184,'E-1 Off-Site Hedge Baseline'!$B$1:$L$257,3,FALSE))))</f>
        <v/>
      </c>
      <c r="D184" s="295" t="str">
        <f>IF(B184="","",IF(ISNA(VLOOKUP($B184,'E-1 Off-Site Hedge Baseline'!$B$1:$L$258,4,FALSE)),"",(VLOOKUP($B184,'E-1 Off-Site Hedge Baseline'!$B$1:$L$258,4,FALSE))))</f>
        <v/>
      </c>
      <c r="E184" s="295" t="str">
        <f>IF(B184="","",IF(ISNA(VLOOKUP($B184,'E-1 Off-Site Hedge Baseline'!$B$1:$L$257,5,FALSE)),"",(VLOOKUP($B184,'E-1 Off-Site Hedge Baseline'!$B$1:$L$257,5,FALSE))))</f>
        <v/>
      </c>
      <c r="F184" s="295" t="str">
        <f>IF(B184="","",IF(ISNA(VLOOKUP($B184,'E-1 Off-Site Hedge Baseline'!$B$1:$L$257,6,FALSE)),"",(VLOOKUP($B184,'E-1 Off-Site Hedge Baseline'!$B$1:$L$257,6,FALSE))))</f>
        <v/>
      </c>
      <c r="G184" s="295" t="str">
        <f>IF(B184="","",IF(ISNA(VLOOKUP($B184,'E-1 Off-Site Hedge Baseline'!$B$1:$L$257,7,FALSE)),"",(VLOOKUP($B184,'E-1 Off-Site Hedge Baseline'!$B$1:$L$257,7,FALSE))))</f>
        <v/>
      </c>
      <c r="H184" s="295" t="str">
        <f>IF(B184="","",IF(ISNA(VLOOKUP($B184,'E-1 Off-Site Hedge Baseline'!$B$1:$L$257,8,FALSE)),"",(VLOOKUP($B184,'E-1 Off-Site Hedge Baseline'!$B$1:$L$257,8,FALSE))))</f>
        <v/>
      </c>
      <c r="I184" s="295" t="str">
        <f>IF(B184="","",IF(ISNA(VLOOKUP($B184,'E-1 Off-Site Hedge Baseline'!$B$1:$L$257,10,FALSE)),"",(VLOOKUP($B184,'E-1 Off-Site Hedge Baseline'!$B$1:$L$257,10,FALSE))))</f>
        <v/>
      </c>
      <c r="J184" s="295" t="str">
        <f>IF(B184="","",IF(ISNA(VLOOKUP($B184,'E-1 Off-Site Hedge Baseline'!$B$1:$L$257,11,FALSE)),"",(VLOOKUP($B184,'E-1 Off-Site Hedge Baseline'!$B$1:$L$257,11,FALSE))))</f>
        <v/>
      </c>
      <c r="K184" s="295" t="str">
        <f>IF(B184="","",IF(ISNA(VLOOKUP($B184,'E-1 Off-Site Hedge Baseline'!$B$1:$X$257,16,FALSE)),"",(VLOOKUP($B184,'E-1 Off-Site Hedge Baseline'!$B$1:$X$257,16,FALSE))))</f>
        <v/>
      </c>
      <c r="L184" s="283" t="str">
        <f>IF(B184="","",IF(ISNA(VLOOKUP($B184,'E-1 Off-Site Hedge Baseline'!$B$1:$X$257,12,FALSE)),"",(VLOOKUP($B184,'E-1 Off-Site Hedge Baseline'!$B$1:$X$257,12,FALSE))))</f>
        <v/>
      </c>
      <c r="M184" s="244"/>
      <c r="N184" s="275" t="str">
        <f>IFERROR(IF(B184="","",INDEX('G-6 Hedgerow Data'!$AN$3:$AZ$15,MATCH(C184,'G-6 Hedgerow Data'!$AM$3:$AM$15,0),MATCH(M184,'G-6 Hedgerow Data'!$AN$2:$AZ$2,0))),"")</f>
        <v/>
      </c>
      <c r="O184" s="276" t="str">
        <f t="shared" si="17"/>
        <v/>
      </c>
      <c r="P184" s="281" t="str">
        <f>IF(B184="","",VLOOKUP(B184,'E-1 Off-Site Hedge Baseline'!$B$10:W429,19,FALSE))</f>
        <v/>
      </c>
      <c r="Q184" s="275" t="str">
        <f>IF(M184="","",VLOOKUP(M184,'G-6 Hedgerow Data'!$B$2:$AG$15,2,FALSE))</f>
        <v/>
      </c>
      <c r="R184" s="276" t="str">
        <f>IF(M184="","",VLOOKUP(M184,'G-6 Hedgerow Data'!$B$2:$AG$15,3,FALSE))</f>
        <v/>
      </c>
      <c r="S184" s="101"/>
      <c r="T184" s="276" t="str">
        <f>IFERROR(IF(S184="","",IF(AND(M184="Non-native and ornamental hedgerow",S184&lt;&gt;"Poor"),"Not possible ▲",(IF(AND(Q184="V.Low",OR(S184="Good",S184="Moderate")),"Error ▲",VLOOKUP(S184,'G-1 All Habitats'!$Z$2:$AA$9,2,FALSE))))),"")</f>
        <v/>
      </c>
      <c r="U184" s="101"/>
      <c r="V184" s="283" t="str">
        <f>IF(U184="","",IF(VLOOKUP(U184,'G-3 Multipliers'!$L$3:$N$6,2,FALSE)=0,"Spatial Data Missing ⚠",VLOOKUP(U184,'G-3 Multipliers'!$L$3:$N$6,2,FALSE)))</f>
        <v/>
      </c>
      <c r="W184" s="281" t="str">
        <f>IF(U184="","",IF(VLOOKUP(U184,'G-3 Multipliers'!$L$3:$N$6,3,FALSE)=0,"Spatial Data Missing ⚠",VLOOKUP(U184,'G-3 Multipliers'!$L$3:$N$6,3,FALSE)))</f>
        <v/>
      </c>
      <c r="X184" s="275" t="str">
        <f>IFERROR(IF(OR(LEFT(O184,5)="Error",LEFT(N184,5)="Error",T184="Error"),"Check Data ⚠",IF(F184&lt;R184,INDEX('G-6 Hedgerow Data'!$S$3:$AE$14,MATCH(C184,'G-6 Hedgerow Data'!$B$3:$B$14,0),MATCH(M184,'G-6 Hedgerow Data'!$S$2:$AE$2,0)),INDEX('G-6 Hedgerow Data'!$K$3:$Q$14,MATCH(M184,'G-6 Hedgerow Data'!$B$3:$B$14,0),MATCH(O184,'G-6 Hedgerow Data'!$K$2:$Q$2,0)))),"")</f>
        <v/>
      </c>
      <c r="Y184" s="133"/>
      <c r="Z184" s="133"/>
      <c r="AA184" s="283" t="str">
        <f t="shared" si="18"/>
        <v/>
      </c>
      <c r="AB184" s="296" t="str">
        <f t="shared" si="19"/>
        <v/>
      </c>
      <c r="AC184" s="297" t="str">
        <f t="shared" si="16"/>
        <v/>
      </c>
      <c r="AD184" s="311" t="str">
        <f>IF(M184="","",VLOOKUP(M184,'G-6 Hedgerow Data'!$B$3:$AG$15,31,FALSE))</f>
        <v/>
      </c>
      <c r="AE184" s="295" t="str">
        <f t="shared" si="20"/>
        <v/>
      </c>
      <c r="AF184" s="283" t="str">
        <f t="shared" si="21"/>
        <v/>
      </c>
      <c r="AG184" s="299" t="str">
        <f>IFERROR(IF(O184="","",VLOOKUP(AD184,'G-3 Multipliers'!$P$3:$Q$6,2,FALSE)),"")</f>
        <v/>
      </c>
      <c r="AH184" s="713" t="str">
        <f>IF(B184="","",IF(ISNA(VLOOKUP($B184,'E-1 Off-Site Hedge Baseline'!$B$1:$Z$257,14,FALSE)),"",(VLOOKUP($B184,'E-1 Off-Site Hedge Baseline'!$B$1:$Z$257,14,FALSE))))</f>
        <v/>
      </c>
      <c r="AI184" s="276" t="str">
        <f>IF(AH184="","",IF(VLOOKUP(AH184,'G-3 Multipliers'!$S$3:$T$10,2,FALSE)=0,"Spatial Data Missing ⚠",VLOOKUP(AH184,'G-3 Multipliers'!$S$3:$T$10,2,FALSE)))</f>
        <v/>
      </c>
      <c r="AJ184" s="317" t="str">
        <f t="shared" si="22"/>
        <v/>
      </c>
      <c r="AK184" s="289" t="str">
        <f t="shared" si="23"/>
        <v/>
      </c>
      <c r="AL184" s="101"/>
      <c r="AM184" s="115"/>
      <c r="AN184" s="104"/>
      <c r="AO184" s="104"/>
      <c r="AQ184" s="30" t="str">
        <f>IFERROR(INDEX('G-6 Hedgerow Data'!$BJ$3:$BJ$15,MATCH(M184,'G-6 Hedgerow Data'!$B$3:$B$15,0)),"")</f>
        <v/>
      </c>
    </row>
    <row r="185" spans="2:43" ht="14">
      <c r="B185" s="305" t="str">
        <f>'E-1 Off-Site Hedge Baseline'!AN183</f>
        <v/>
      </c>
      <c r="C185" s="295" t="str">
        <f>IF(B185="","",IF(ISNA(VLOOKUP($B185,'E-1 Off-Site Hedge Baseline'!$B$1:$L$257,3,FALSE)),"",(VLOOKUP($B185,'E-1 Off-Site Hedge Baseline'!$B$1:$L$257,3,FALSE))))</f>
        <v/>
      </c>
      <c r="D185" s="295" t="str">
        <f>IF(B185="","",IF(ISNA(VLOOKUP($B185,'E-1 Off-Site Hedge Baseline'!$B$1:$L$258,4,FALSE)),"",(VLOOKUP($B185,'E-1 Off-Site Hedge Baseline'!$B$1:$L$258,4,FALSE))))</f>
        <v/>
      </c>
      <c r="E185" s="295" t="str">
        <f>IF(B185="","",IF(ISNA(VLOOKUP($B185,'E-1 Off-Site Hedge Baseline'!$B$1:$L$257,5,FALSE)),"",(VLOOKUP($B185,'E-1 Off-Site Hedge Baseline'!$B$1:$L$257,5,FALSE))))</f>
        <v/>
      </c>
      <c r="F185" s="295" t="str">
        <f>IF(B185="","",IF(ISNA(VLOOKUP($B185,'E-1 Off-Site Hedge Baseline'!$B$1:$L$257,6,FALSE)),"",(VLOOKUP($B185,'E-1 Off-Site Hedge Baseline'!$B$1:$L$257,6,FALSE))))</f>
        <v/>
      </c>
      <c r="G185" s="295" t="str">
        <f>IF(B185="","",IF(ISNA(VLOOKUP($B185,'E-1 Off-Site Hedge Baseline'!$B$1:$L$257,7,FALSE)),"",(VLOOKUP($B185,'E-1 Off-Site Hedge Baseline'!$B$1:$L$257,7,FALSE))))</f>
        <v/>
      </c>
      <c r="H185" s="295" t="str">
        <f>IF(B185="","",IF(ISNA(VLOOKUP($B185,'E-1 Off-Site Hedge Baseline'!$B$1:$L$257,8,FALSE)),"",(VLOOKUP($B185,'E-1 Off-Site Hedge Baseline'!$B$1:$L$257,8,FALSE))))</f>
        <v/>
      </c>
      <c r="I185" s="295" t="str">
        <f>IF(B185="","",IF(ISNA(VLOOKUP($B185,'E-1 Off-Site Hedge Baseline'!$B$1:$L$257,10,FALSE)),"",(VLOOKUP($B185,'E-1 Off-Site Hedge Baseline'!$B$1:$L$257,10,FALSE))))</f>
        <v/>
      </c>
      <c r="J185" s="295" t="str">
        <f>IF(B185="","",IF(ISNA(VLOOKUP($B185,'E-1 Off-Site Hedge Baseline'!$B$1:$L$257,11,FALSE)),"",(VLOOKUP($B185,'E-1 Off-Site Hedge Baseline'!$B$1:$L$257,11,FALSE))))</f>
        <v/>
      </c>
      <c r="K185" s="295" t="str">
        <f>IF(B185="","",IF(ISNA(VLOOKUP($B185,'E-1 Off-Site Hedge Baseline'!$B$1:$X$257,16,FALSE)),"",(VLOOKUP($B185,'E-1 Off-Site Hedge Baseline'!$B$1:$X$257,16,FALSE))))</f>
        <v/>
      </c>
      <c r="L185" s="283" t="str">
        <f>IF(B185="","",IF(ISNA(VLOOKUP($B185,'E-1 Off-Site Hedge Baseline'!$B$1:$X$257,12,FALSE)),"",(VLOOKUP($B185,'E-1 Off-Site Hedge Baseline'!$B$1:$X$257,12,FALSE))))</f>
        <v/>
      </c>
      <c r="M185" s="244"/>
      <c r="N185" s="275" t="str">
        <f>IFERROR(IF(B185="","",INDEX('G-6 Hedgerow Data'!$AN$3:$AZ$15,MATCH(C185,'G-6 Hedgerow Data'!$AM$3:$AM$15,0),MATCH(M185,'G-6 Hedgerow Data'!$AN$2:$AZ$2,0))),"")</f>
        <v/>
      </c>
      <c r="O185" s="276" t="str">
        <f t="shared" si="17"/>
        <v/>
      </c>
      <c r="P185" s="281" t="str">
        <f>IF(B185="","",VLOOKUP(B185,'E-1 Off-Site Hedge Baseline'!$B$10:W430,19,FALSE))</f>
        <v/>
      </c>
      <c r="Q185" s="275" t="str">
        <f>IF(M185="","",VLOOKUP(M185,'G-6 Hedgerow Data'!$B$2:$AG$15,2,FALSE))</f>
        <v/>
      </c>
      <c r="R185" s="276" t="str">
        <f>IF(M185="","",VLOOKUP(M185,'G-6 Hedgerow Data'!$B$2:$AG$15,3,FALSE))</f>
        <v/>
      </c>
      <c r="S185" s="101"/>
      <c r="T185" s="276" t="str">
        <f>IFERROR(IF(S185="","",IF(AND(M185="Non-native and ornamental hedgerow",S185&lt;&gt;"Poor"),"Not possible ▲",(IF(AND(Q185="V.Low",OR(S185="Good",S185="Moderate")),"Error ▲",VLOOKUP(S185,'G-1 All Habitats'!$Z$2:$AA$9,2,FALSE))))),"")</f>
        <v/>
      </c>
      <c r="U185" s="101"/>
      <c r="V185" s="283" t="str">
        <f>IF(U185="","",IF(VLOOKUP(U185,'G-3 Multipliers'!$L$3:$N$6,2,FALSE)=0,"Spatial Data Missing ⚠",VLOOKUP(U185,'G-3 Multipliers'!$L$3:$N$6,2,FALSE)))</f>
        <v/>
      </c>
      <c r="W185" s="281" t="str">
        <f>IF(U185="","",IF(VLOOKUP(U185,'G-3 Multipliers'!$L$3:$N$6,3,FALSE)=0,"Spatial Data Missing ⚠",VLOOKUP(U185,'G-3 Multipliers'!$L$3:$N$6,3,FALSE)))</f>
        <v/>
      </c>
      <c r="X185" s="275" t="str">
        <f>IFERROR(IF(OR(LEFT(O185,5)="Error",LEFT(N185,5)="Error",T185="Error"),"Check Data ⚠",IF(F185&lt;R185,INDEX('G-6 Hedgerow Data'!$S$3:$AE$14,MATCH(C185,'G-6 Hedgerow Data'!$B$3:$B$14,0),MATCH(M185,'G-6 Hedgerow Data'!$S$2:$AE$2,0)),INDEX('G-6 Hedgerow Data'!$K$3:$Q$14,MATCH(M185,'G-6 Hedgerow Data'!$B$3:$B$14,0),MATCH(O185,'G-6 Hedgerow Data'!$K$2:$Q$2,0)))),"")</f>
        <v/>
      </c>
      <c r="Y185" s="133"/>
      <c r="Z185" s="133"/>
      <c r="AA185" s="283" t="str">
        <f t="shared" si="18"/>
        <v/>
      </c>
      <c r="AB185" s="296" t="str">
        <f t="shared" si="19"/>
        <v/>
      </c>
      <c r="AC185" s="297" t="str">
        <f t="shared" si="16"/>
        <v/>
      </c>
      <c r="AD185" s="311" t="str">
        <f>IF(M185="","",VLOOKUP(M185,'G-6 Hedgerow Data'!$B$3:$AG$15,31,FALSE))</f>
        <v/>
      </c>
      <c r="AE185" s="295" t="str">
        <f t="shared" si="20"/>
        <v/>
      </c>
      <c r="AF185" s="283" t="str">
        <f t="shared" si="21"/>
        <v/>
      </c>
      <c r="AG185" s="299" t="str">
        <f>IFERROR(IF(O185="","",VLOOKUP(AD185,'G-3 Multipliers'!$P$3:$Q$6,2,FALSE)),"")</f>
        <v/>
      </c>
      <c r="AH185" s="713" t="str">
        <f>IF(B185="","",IF(ISNA(VLOOKUP($B185,'E-1 Off-Site Hedge Baseline'!$B$1:$Z$257,14,FALSE)),"",(VLOOKUP($B185,'E-1 Off-Site Hedge Baseline'!$B$1:$Z$257,14,FALSE))))</f>
        <v/>
      </c>
      <c r="AI185" s="276" t="str">
        <f>IF(AH185="","",IF(VLOOKUP(AH185,'G-3 Multipliers'!$S$3:$T$10,2,FALSE)=0,"Spatial Data Missing ⚠",VLOOKUP(AH185,'G-3 Multipliers'!$S$3:$T$10,2,FALSE)))</f>
        <v/>
      </c>
      <c r="AJ185" s="317" t="str">
        <f t="shared" si="22"/>
        <v/>
      </c>
      <c r="AK185" s="289" t="str">
        <f t="shared" si="23"/>
        <v/>
      </c>
      <c r="AL185" s="101"/>
      <c r="AM185" s="115"/>
      <c r="AN185" s="104"/>
      <c r="AO185" s="104"/>
      <c r="AQ185" s="30" t="str">
        <f>IFERROR(INDEX('G-6 Hedgerow Data'!$BJ$3:$BJ$15,MATCH(M185,'G-6 Hedgerow Data'!$B$3:$B$15,0)),"")</f>
        <v/>
      </c>
    </row>
    <row r="186" spans="2:43" ht="14">
      <c r="B186" s="305" t="str">
        <f>'E-1 Off-Site Hedge Baseline'!AN184</f>
        <v/>
      </c>
      <c r="C186" s="295" t="str">
        <f>IF(B186="","",IF(ISNA(VLOOKUP($B186,'E-1 Off-Site Hedge Baseline'!$B$1:$L$257,3,FALSE)),"",(VLOOKUP($B186,'E-1 Off-Site Hedge Baseline'!$B$1:$L$257,3,FALSE))))</f>
        <v/>
      </c>
      <c r="D186" s="295" t="str">
        <f>IF(B186="","",IF(ISNA(VLOOKUP($B186,'E-1 Off-Site Hedge Baseline'!$B$1:$L$258,4,FALSE)),"",(VLOOKUP($B186,'E-1 Off-Site Hedge Baseline'!$B$1:$L$258,4,FALSE))))</f>
        <v/>
      </c>
      <c r="E186" s="295" t="str">
        <f>IF(B186="","",IF(ISNA(VLOOKUP($B186,'E-1 Off-Site Hedge Baseline'!$B$1:$L$257,5,FALSE)),"",(VLOOKUP($B186,'E-1 Off-Site Hedge Baseline'!$B$1:$L$257,5,FALSE))))</f>
        <v/>
      </c>
      <c r="F186" s="295" t="str">
        <f>IF(B186="","",IF(ISNA(VLOOKUP($B186,'E-1 Off-Site Hedge Baseline'!$B$1:$L$257,6,FALSE)),"",(VLOOKUP($B186,'E-1 Off-Site Hedge Baseline'!$B$1:$L$257,6,FALSE))))</f>
        <v/>
      </c>
      <c r="G186" s="295" t="str">
        <f>IF(B186="","",IF(ISNA(VLOOKUP($B186,'E-1 Off-Site Hedge Baseline'!$B$1:$L$257,7,FALSE)),"",(VLOOKUP($B186,'E-1 Off-Site Hedge Baseline'!$B$1:$L$257,7,FALSE))))</f>
        <v/>
      </c>
      <c r="H186" s="295" t="str">
        <f>IF(B186="","",IF(ISNA(VLOOKUP($B186,'E-1 Off-Site Hedge Baseline'!$B$1:$L$257,8,FALSE)),"",(VLOOKUP($B186,'E-1 Off-Site Hedge Baseline'!$B$1:$L$257,8,FALSE))))</f>
        <v/>
      </c>
      <c r="I186" s="295" t="str">
        <f>IF(B186="","",IF(ISNA(VLOOKUP($B186,'E-1 Off-Site Hedge Baseline'!$B$1:$L$257,10,FALSE)),"",(VLOOKUP($B186,'E-1 Off-Site Hedge Baseline'!$B$1:$L$257,10,FALSE))))</f>
        <v/>
      </c>
      <c r="J186" s="295" t="str">
        <f>IF(B186="","",IF(ISNA(VLOOKUP($B186,'E-1 Off-Site Hedge Baseline'!$B$1:$L$257,11,FALSE)),"",(VLOOKUP($B186,'E-1 Off-Site Hedge Baseline'!$B$1:$L$257,11,FALSE))))</f>
        <v/>
      </c>
      <c r="K186" s="295" t="str">
        <f>IF(B186="","",IF(ISNA(VLOOKUP($B186,'E-1 Off-Site Hedge Baseline'!$B$1:$X$257,16,FALSE)),"",(VLOOKUP($B186,'E-1 Off-Site Hedge Baseline'!$B$1:$X$257,16,FALSE))))</f>
        <v/>
      </c>
      <c r="L186" s="283" t="str">
        <f>IF(B186="","",IF(ISNA(VLOOKUP($B186,'E-1 Off-Site Hedge Baseline'!$B$1:$X$257,12,FALSE)),"",(VLOOKUP($B186,'E-1 Off-Site Hedge Baseline'!$B$1:$X$257,12,FALSE))))</f>
        <v/>
      </c>
      <c r="M186" s="244"/>
      <c r="N186" s="275" t="str">
        <f>IFERROR(IF(B186="","",INDEX('G-6 Hedgerow Data'!$AN$3:$AZ$15,MATCH(C186,'G-6 Hedgerow Data'!$AM$3:$AM$15,0),MATCH(M186,'G-6 Hedgerow Data'!$AN$2:$AZ$2,0))),"")</f>
        <v/>
      </c>
      <c r="O186" s="276" t="str">
        <f t="shared" si="17"/>
        <v/>
      </c>
      <c r="P186" s="281" t="str">
        <f>IF(B186="","",VLOOKUP(B186,'E-1 Off-Site Hedge Baseline'!$B$10:W431,19,FALSE))</f>
        <v/>
      </c>
      <c r="Q186" s="275" t="str">
        <f>IF(M186="","",VLOOKUP(M186,'G-6 Hedgerow Data'!$B$2:$AG$15,2,FALSE))</f>
        <v/>
      </c>
      <c r="R186" s="276" t="str">
        <f>IF(M186="","",VLOOKUP(M186,'G-6 Hedgerow Data'!$B$2:$AG$15,3,FALSE))</f>
        <v/>
      </c>
      <c r="S186" s="101"/>
      <c r="T186" s="276" t="str">
        <f>IFERROR(IF(S186="","",IF(AND(M186="Non-native and ornamental hedgerow",S186&lt;&gt;"Poor"),"Not possible ▲",(IF(AND(Q186="V.Low",OR(S186="Good",S186="Moderate")),"Error ▲",VLOOKUP(S186,'G-1 All Habitats'!$Z$2:$AA$9,2,FALSE))))),"")</f>
        <v/>
      </c>
      <c r="U186" s="101"/>
      <c r="V186" s="283" t="str">
        <f>IF(U186="","",IF(VLOOKUP(U186,'G-3 Multipliers'!$L$3:$N$6,2,FALSE)=0,"Spatial Data Missing ⚠",VLOOKUP(U186,'G-3 Multipliers'!$L$3:$N$6,2,FALSE)))</f>
        <v/>
      </c>
      <c r="W186" s="281" t="str">
        <f>IF(U186="","",IF(VLOOKUP(U186,'G-3 Multipliers'!$L$3:$N$6,3,FALSE)=0,"Spatial Data Missing ⚠",VLOOKUP(U186,'G-3 Multipliers'!$L$3:$N$6,3,FALSE)))</f>
        <v/>
      </c>
      <c r="X186" s="275" t="str">
        <f>IFERROR(IF(OR(LEFT(O186,5)="Error",LEFT(N186,5)="Error",T186="Error"),"Check Data ⚠",IF(F186&lt;R186,INDEX('G-6 Hedgerow Data'!$S$3:$AE$14,MATCH(C186,'G-6 Hedgerow Data'!$B$3:$B$14,0),MATCH(M186,'G-6 Hedgerow Data'!$S$2:$AE$2,0)),INDEX('G-6 Hedgerow Data'!$K$3:$Q$14,MATCH(M186,'G-6 Hedgerow Data'!$B$3:$B$14,0),MATCH(O186,'G-6 Hedgerow Data'!$K$2:$Q$2,0)))),"")</f>
        <v/>
      </c>
      <c r="Y186" s="133"/>
      <c r="Z186" s="133"/>
      <c r="AA186" s="283" t="str">
        <f t="shared" si="18"/>
        <v/>
      </c>
      <c r="AB186" s="296" t="str">
        <f t="shared" si="19"/>
        <v/>
      </c>
      <c r="AC186" s="297" t="str">
        <f t="shared" si="16"/>
        <v/>
      </c>
      <c r="AD186" s="311" t="str">
        <f>IF(M186="","",VLOOKUP(M186,'G-6 Hedgerow Data'!$B$3:$AG$15,31,FALSE))</f>
        <v/>
      </c>
      <c r="AE186" s="295" t="str">
        <f t="shared" si="20"/>
        <v/>
      </c>
      <c r="AF186" s="283" t="str">
        <f t="shared" si="21"/>
        <v/>
      </c>
      <c r="AG186" s="299" t="str">
        <f>IFERROR(IF(O186="","",VLOOKUP(AD186,'G-3 Multipliers'!$P$3:$Q$6,2,FALSE)),"")</f>
        <v/>
      </c>
      <c r="AH186" s="713" t="str">
        <f>IF(B186="","",IF(ISNA(VLOOKUP($B186,'E-1 Off-Site Hedge Baseline'!$B$1:$Z$257,14,FALSE)),"",(VLOOKUP($B186,'E-1 Off-Site Hedge Baseline'!$B$1:$Z$257,14,FALSE))))</f>
        <v/>
      </c>
      <c r="AI186" s="276" t="str">
        <f>IF(AH186="","",IF(VLOOKUP(AH186,'G-3 Multipliers'!$S$3:$T$10,2,FALSE)=0,"Spatial Data Missing ⚠",VLOOKUP(AH186,'G-3 Multipliers'!$S$3:$T$10,2,FALSE)))</f>
        <v/>
      </c>
      <c r="AJ186" s="317" t="str">
        <f t="shared" si="22"/>
        <v/>
      </c>
      <c r="AK186" s="289" t="str">
        <f t="shared" si="23"/>
        <v/>
      </c>
      <c r="AL186" s="101"/>
      <c r="AM186" s="115"/>
      <c r="AN186" s="104"/>
      <c r="AO186" s="104"/>
      <c r="AQ186" s="30" t="str">
        <f>IFERROR(INDEX('G-6 Hedgerow Data'!$BJ$3:$BJ$15,MATCH(M186,'G-6 Hedgerow Data'!$B$3:$B$15,0)),"")</f>
        <v/>
      </c>
    </row>
    <row r="187" spans="2:43" ht="14">
      <c r="B187" s="305" t="str">
        <f>'E-1 Off-Site Hedge Baseline'!AN185</f>
        <v/>
      </c>
      <c r="C187" s="295" t="str">
        <f>IF(B187="","",IF(ISNA(VLOOKUP($B187,'E-1 Off-Site Hedge Baseline'!$B$1:$L$257,3,FALSE)),"",(VLOOKUP($B187,'E-1 Off-Site Hedge Baseline'!$B$1:$L$257,3,FALSE))))</f>
        <v/>
      </c>
      <c r="D187" s="295" t="str">
        <f>IF(B187="","",IF(ISNA(VLOOKUP($B187,'E-1 Off-Site Hedge Baseline'!$B$1:$L$258,4,FALSE)),"",(VLOOKUP($B187,'E-1 Off-Site Hedge Baseline'!$B$1:$L$258,4,FALSE))))</f>
        <v/>
      </c>
      <c r="E187" s="295" t="str">
        <f>IF(B187="","",IF(ISNA(VLOOKUP($B187,'E-1 Off-Site Hedge Baseline'!$B$1:$L$257,5,FALSE)),"",(VLOOKUP($B187,'E-1 Off-Site Hedge Baseline'!$B$1:$L$257,5,FALSE))))</f>
        <v/>
      </c>
      <c r="F187" s="295" t="str">
        <f>IF(B187="","",IF(ISNA(VLOOKUP($B187,'E-1 Off-Site Hedge Baseline'!$B$1:$L$257,6,FALSE)),"",(VLOOKUP($B187,'E-1 Off-Site Hedge Baseline'!$B$1:$L$257,6,FALSE))))</f>
        <v/>
      </c>
      <c r="G187" s="295" t="str">
        <f>IF(B187="","",IF(ISNA(VLOOKUP($B187,'E-1 Off-Site Hedge Baseline'!$B$1:$L$257,7,FALSE)),"",(VLOOKUP($B187,'E-1 Off-Site Hedge Baseline'!$B$1:$L$257,7,FALSE))))</f>
        <v/>
      </c>
      <c r="H187" s="295" t="str">
        <f>IF(B187="","",IF(ISNA(VLOOKUP($B187,'E-1 Off-Site Hedge Baseline'!$B$1:$L$257,8,FALSE)),"",(VLOOKUP($B187,'E-1 Off-Site Hedge Baseline'!$B$1:$L$257,8,FALSE))))</f>
        <v/>
      </c>
      <c r="I187" s="295" t="str">
        <f>IF(B187="","",IF(ISNA(VLOOKUP($B187,'E-1 Off-Site Hedge Baseline'!$B$1:$L$257,10,FALSE)),"",(VLOOKUP($B187,'E-1 Off-Site Hedge Baseline'!$B$1:$L$257,10,FALSE))))</f>
        <v/>
      </c>
      <c r="J187" s="295" t="str">
        <f>IF(B187="","",IF(ISNA(VLOOKUP($B187,'E-1 Off-Site Hedge Baseline'!$B$1:$L$257,11,FALSE)),"",(VLOOKUP($B187,'E-1 Off-Site Hedge Baseline'!$B$1:$L$257,11,FALSE))))</f>
        <v/>
      </c>
      <c r="K187" s="295" t="str">
        <f>IF(B187="","",IF(ISNA(VLOOKUP($B187,'E-1 Off-Site Hedge Baseline'!$B$1:$X$257,16,FALSE)),"",(VLOOKUP($B187,'E-1 Off-Site Hedge Baseline'!$B$1:$X$257,16,FALSE))))</f>
        <v/>
      </c>
      <c r="L187" s="283" t="str">
        <f>IF(B187="","",IF(ISNA(VLOOKUP($B187,'E-1 Off-Site Hedge Baseline'!$B$1:$X$257,12,FALSE)),"",(VLOOKUP($B187,'E-1 Off-Site Hedge Baseline'!$B$1:$X$257,12,FALSE))))</f>
        <v/>
      </c>
      <c r="M187" s="244"/>
      <c r="N187" s="275" t="str">
        <f>IFERROR(IF(B187="","",INDEX('G-6 Hedgerow Data'!$AN$3:$AZ$15,MATCH(C187,'G-6 Hedgerow Data'!$AM$3:$AM$15,0),MATCH(M187,'G-6 Hedgerow Data'!$AN$2:$AZ$2,0))),"")</f>
        <v/>
      </c>
      <c r="O187" s="276" t="str">
        <f t="shared" si="17"/>
        <v/>
      </c>
      <c r="P187" s="281" t="str">
        <f>IF(B187="","",VLOOKUP(B187,'E-1 Off-Site Hedge Baseline'!$B$10:W432,19,FALSE))</f>
        <v/>
      </c>
      <c r="Q187" s="275" t="str">
        <f>IF(M187="","",VLOOKUP(M187,'G-6 Hedgerow Data'!$B$2:$AG$15,2,FALSE))</f>
        <v/>
      </c>
      <c r="R187" s="276" t="str">
        <f>IF(M187="","",VLOOKUP(M187,'G-6 Hedgerow Data'!$B$2:$AG$15,3,FALSE))</f>
        <v/>
      </c>
      <c r="S187" s="101"/>
      <c r="T187" s="276" t="str">
        <f>IFERROR(IF(S187="","",IF(AND(M187="Non-native and ornamental hedgerow",S187&lt;&gt;"Poor"),"Not possible ▲",(IF(AND(Q187="V.Low",OR(S187="Good",S187="Moderate")),"Error ▲",VLOOKUP(S187,'G-1 All Habitats'!$Z$2:$AA$9,2,FALSE))))),"")</f>
        <v/>
      </c>
      <c r="U187" s="101"/>
      <c r="V187" s="283" t="str">
        <f>IF(U187="","",IF(VLOOKUP(U187,'G-3 Multipliers'!$L$3:$N$6,2,FALSE)=0,"Spatial Data Missing ⚠",VLOOKUP(U187,'G-3 Multipliers'!$L$3:$N$6,2,FALSE)))</f>
        <v/>
      </c>
      <c r="W187" s="281" t="str">
        <f>IF(U187="","",IF(VLOOKUP(U187,'G-3 Multipliers'!$L$3:$N$6,3,FALSE)=0,"Spatial Data Missing ⚠",VLOOKUP(U187,'G-3 Multipliers'!$L$3:$N$6,3,FALSE)))</f>
        <v/>
      </c>
      <c r="X187" s="275" t="str">
        <f>IFERROR(IF(OR(LEFT(O187,5)="Error",LEFT(N187,5)="Error",T187="Error"),"Check Data ⚠",IF(F187&lt;R187,INDEX('G-6 Hedgerow Data'!$S$3:$AE$14,MATCH(C187,'G-6 Hedgerow Data'!$B$3:$B$14,0),MATCH(M187,'G-6 Hedgerow Data'!$S$2:$AE$2,0)),INDEX('G-6 Hedgerow Data'!$K$3:$Q$14,MATCH(M187,'G-6 Hedgerow Data'!$B$3:$B$14,0),MATCH(O187,'G-6 Hedgerow Data'!$K$2:$Q$2,0)))),"")</f>
        <v/>
      </c>
      <c r="Y187" s="133"/>
      <c r="Z187" s="133"/>
      <c r="AA187" s="283" t="str">
        <f t="shared" si="18"/>
        <v/>
      </c>
      <c r="AB187" s="296" t="str">
        <f t="shared" si="19"/>
        <v/>
      </c>
      <c r="AC187" s="297" t="str">
        <f t="shared" si="16"/>
        <v/>
      </c>
      <c r="AD187" s="311" t="str">
        <f>IF(M187="","",VLOOKUP(M187,'G-6 Hedgerow Data'!$B$3:$AG$15,31,FALSE))</f>
        <v/>
      </c>
      <c r="AE187" s="295" t="str">
        <f t="shared" si="20"/>
        <v/>
      </c>
      <c r="AF187" s="283" t="str">
        <f t="shared" si="21"/>
        <v/>
      </c>
      <c r="AG187" s="299" t="str">
        <f>IFERROR(IF(O187="","",VLOOKUP(AD187,'G-3 Multipliers'!$P$3:$Q$6,2,FALSE)),"")</f>
        <v/>
      </c>
      <c r="AH187" s="713" t="str">
        <f>IF(B187="","",IF(ISNA(VLOOKUP($B187,'E-1 Off-Site Hedge Baseline'!$B$1:$Z$257,14,FALSE)),"",(VLOOKUP($B187,'E-1 Off-Site Hedge Baseline'!$B$1:$Z$257,14,FALSE))))</f>
        <v/>
      </c>
      <c r="AI187" s="276" t="str">
        <f>IF(AH187="","",IF(VLOOKUP(AH187,'G-3 Multipliers'!$S$3:$T$10,2,FALSE)=0,"Spatial Data Missing ⚠",VLOOKUP(AH187,'G-3 Multipliers'!$S$3:$T$10,2,FALSE)))</f>
        <v/>
      </c>
      <c r="AJ187" s="317" t="str">
        <f t="shared" si="22"/>
        <v/>
      </c>
      <c r="AK187" s="289" t="str">
        <f t="shared" si="23"/>
        <v/>
      </c>
      <c r="AL187" s="101"/>
      <c r="AM187" s="115"/>
      <c r="AN187" s="104"/>
      <c r="AO187" s="104"/>
      <c r="AQ187" s="30" t="str">
        <f>IFERROR(INDEX('G-6 Hedgerow Data'!$BJ$3:$BJ$15,MATCH(M187,'G-6 Hedgerow Data'!$B$3:$B$15,0)),"")</f>
        <v/>
      </c>
    </row>
    <row r="188" spans="2:43" ht="14">
      <c r="B188" s="305" t="str">
        <f>'E-1 Off-Site Hedge Baseline'!AN186</f>
        <v/>
      </c>
      <c r="C188" s="295" t="str">
        <f>IF(B188="","",IF(ISNA(VLOOKUP($B188,'E-1 Off-Site Hedge Baseline'!$B$1:$L$257,3,FALSE)),"",(VLOOKUP($B188,'E-1 Off-Site Hedge Baseline'!$B$1:$L$257,3,FALSE))))</f>
        <v/>
      </c>
      <c r="D188" s="295" t="str">
        <f>IF(B188="","",IF(ISNA(VLOOKUP($B188,'E-1 Off-Site Hedge Baseline'!$B$1:$L$258,4,FALSE)),"",(VLOOKUP($B188,'E-1 Off-Site Hedge Baseline'!$B$1:$L$258,4,FALSE))))</f>
        <v/>
      </c>
      <c r="E188" s="295" t="str">
        <f>IF(B188="","",IF(ISNA(VLOOKUP($B188,'E-1 Off-Site Hedge Baseline'!$B$1:$L$257,5,FALSE)),"",(VLOOKUP($B188,'E-1 Off-Site Hedge Baseline'!$B$1:$L$257,5,FALSE))))</f>
        <v/>
      </c>
      <c r="F188" s="295" t="str">
        <f>IF(B188="","",IF(ISNA(VLOOKUP($B188,'E-1 Off-Site Hedge Baseline'!$B$1:$L$257,6,FALSE)),"",(VLOOKUP($B188,'E-1 Off-Site Hedge Baseline'!$B$1:$L$257,6,FALSE))))</f>
        <v/>
      </c>
      <c r="G188" s="295" t="str">
        <f>IF(B188="","",IF(ISNA(VLOOKUP($B188,'E-1 Off-Site Hedge Baseline'!$B$1:$L$257,7,FALSE)),"",(VLOOKUP($B188,'E-1 Off-Site Hedge Baseline'!$B$1:$L$257,7,FALSE))))</f>
        <v/>
      </c>
      <c r="H188" s="295" t="str">
        <f>IF(B188="","",IF(ISNA(VLOOKUP($B188,'E-1 Off-Site Hedge Baseline'!$B$1:$L$257,8,FALSE)),"",(VLOOKUP($B188,'E-1 Off-Site Hedge Baseline'!$B$1:$L$257,8,FALSE))))</f>
        <v/>
      </c>
      <c r="I188" s="295" t="str">
        <f>IF(B188="","",IF(ISNA(VLOOKUP($B188,'E-1 Off-Site Hedge Baseline'!$B$1:$L$257,10,FALSE)),"",(VLOOKUP($B188,'E-1 Off-Site Hedge Baseline'!$B$1:$L$257,10,FALSE))))</f>
        <v/>
      </c>
      <c r="J188" s="295" t="str">
        <f>IF(B188="","",IF(ISNA(VLOOKUP($B188,'E-1 Off-Site Hedge Baseline'!$B$1:$L$257,11,FALSE)),"",(VLOOKUP($B188,'E-1 Off-Site Hedge Baseline'!$B$1:$L$257,11,FALSE))))</f>
        <v/>
      </c>
      <c r="K188" s="295" t="str">
        <f>IF(B188="","",IF(ISNA(VLOOKUP($B188,'E-1 Off-Site Hedge Baseline'!$B$1:$X$257,16,FALSE)),"",(VLOOKUP($B188,'E-1 Off-Site Hedge Baseline'!$B$1:$X$257,16,FALSE))))</f>
        <v/>
      </c>
      <c r="L188" s="283" t="str">
        <f>IF(B188="","",IF(ISNA(VLOOKUP($B188,'E-1 Off-Site Hedge Baseline'!$B$1:$X$257,12,FALSE)),"",(VLOOKUP($B188,'E-1 Off-Site Hedge Baseline'!$B$1:$X$257,12,FALSE))))</f>
        <v/>
      </c>
      <c r="M188" s="244"/>
      <c r="N188" s="275" t="str">
        <f>IFERROR(IF(B188="","",INDEX('G-6 Hedgerow Data'!$AN$3:$AZ$15,MATCH(C188,'G-6 Hedgerow Data'!$AM$3:$AM$15,0),MATCH(M188,'G-6 Hedgerow Data'!$AN$2:$AZ$2,0))),"")</f>
        <v/>
      </c>
      <c r="O188" s="276" t="str">
        <f t="shared" si="17"/>
        <v/>
      </c>
      <c r="P188" s="281" t="str">
        <f>IF(B188="","",VLOOKUP(B188,'E-1 Off-Site Hedge Baseline'!$B$10:W433,19,FALSE))</f>
        <v/>
      </c>
      <c r="Q188" s="275" t="str">
        <f>IF(M188="","",VLOOKUP(M188,'G-6 Hedgerow Data'!$B$2:$AG$15,2,FALSE))</f>
        <v/>
      </c>
      <c r="R188" s="276" t="str">
        <f>IF(M188="","",VLOOKUP(M188,'G-6 Hedgerow Data'!$B$2:$AG$15,3,FALSE))</f>
        <v/>
      </c>
      <c r="S188" s="101"/>
      <c r="T188" s="276" t="str">
        <f>IFERROR(IF(S188="","",IF(AND(M188="Non-native and ornamental hedgerow",S188&lt;&gt;"Poor"),"Not possible ▲",(IF(AND(Q188="V.Low",OR(S188="Good",S188="Moderate")),"Error ▲",VLOOKUP(S188,'G-1 All Habitats'!$Z$2:$AA$9,2,FALSE))))),"")</f>
        <v/>
      </c>
      <c r="U188" s="101"/>
      <c r="V188" s="283" t="str">
        <f>IF(U188="","",IF(VLOOKUP(U188,'G-3 Multipliers'!$L$3:$N$6,2,FALSE)=0,"Spatial Data Missing ⚠",VLOOKUP(U188,'G-3 Multipliers'!$L$3:$N$6,2,FALSE)))</f>
        <v/>
      </c>
      <c r="W188" s="281" t="str">
        <f>IF(U188="","",IF(VLOOKUP(U188,'G-3 Multipliers'!$L$3:$N$6,3,FALSE)=0,"Spatial Data Missing ⚠",VLOOKUP(U188,'G-3 Multipliers'!$L$3:$N$6,3,FALSE)))</f>
        <v/>
      </c>
      <c r="X188" s="275" t="str">
        <f>IFERROR(IF(OR(LEFT(O188,5)="Error",LEFT(N188,5)="Error",T188="Error"),"Check Data ⚠",IF(F188&lt;R188,INDEX('G-6 Hedgerow Data'!$S$3:$AE$14,MATCH(C188,'G-6 Hedgerow Data'!$B$3:$B$14,0),MATCH(M188,'G-6 Hedgerow Data'!$S$2:$AE$2,0)),INDEX('G-6 Hedgerow Data'!$K$3:$Q$14,MATCH(M188,'G-6 Hedgerow Data'!$B$3:$B$14,0),MATCH(O188,'G-6 Hedgerow Data'!$K$2:$Q$2,0)))),"")</f>
        <v/>
      </c>
      <c r="Y188" s="133"/>
      <c r="Z188" s="133"/>
      <c r="AA188" s="283" t="str">
        <f t="shared" si="18"/>
        <v/>
      </c>
      <c r="AB188" s="296" t="str">
        <f t="shared" si="19"/>
        <v/>
      </c>
      <c r="AC188" s="297" t="str">
        <f t="shared" si="16"/>
        <v/>
      </c>
      <c r="AD188" s="311" t="str">
        <f>IF(M188="","",VLOOKUP(M188,'G-6 Hedgerow Data'!$B$3:$AG$15,31,FALSE))</f>
        <v/>
      </c>
      <c r="AE188" s="295" t="str">
        <f t="shared" si="20"/>
        <v/>
      </c>
      <c r="AF188" s="283" t="str">
        <f t="shared" si="21"/>
        <v/>
      </c>
      <c r="AG188" s="299" t="str">
        <f>IFERROR(IF(O188="","",VLOOKUP(AD188,'G-3 Multipliers'!$P$3:$Q$6,2,FALSE)),"")</f>
        <v/>
      </c>
      <c r="AH188" s="713" t="str">
        <f>IF(B188="","",IF(ISNA(VLOOKUP($B188,'E-1 Off-Site Hedge Baseline'!$B$1:$Z$257,14,FALSE)),"",(VLOOKUP($B188,'E-1 Off-Site Hedge Baseline'!$B$1:$Z$257,14,FALSE))))</f>
        <v/>
      </c>
      <c r="AI188" s="276" t="str">
        <f>IF(AH188="","",IF(VLOOKUP(AH188,'G-3 Multipliers'!$S$3:$T$10,2,FALSE)=0,"Spatial Data Missing ⚠",VLOOKUP(AH188,'G-3 Multipliers'!$S$3:$T$10,2,FALSE)))</f>
        <v/>
      </c>
      <c r="AJ188" s="317" t="str">
        <f t="shared" si="22"/>
        <v/>
      </c>
      <c r="AK188" s="289" t="str">
        <f t="shared" si="23"/>
        <v/>
      </c>
      <c r="AL188" s="101"/>
      <c r="AM188" s="115"/>
      <c r="AN188" s="104"/>
      <c r="AO188" s="104"/>
      <c r="AQ188" s="30" t="str">
        <f>IFERROR(INDEX('G-6 Hedgerow Data'!$BJ$3:$BJ$15,MATCH(M188,'G-6 Hedgerow Data'!$B$3:$B$15,0)),"")</f>
        <v/>
      </c>
    </row>
    <row r="189" spans="2:43" ht="14">
      <c r="B189" s="305" t="str">
        <f>'E-1 Off-Site Hedge Baseline'!AN187</f>
        <v/>
      </c>
      <c r="C189" s="295" t="str">
        <f>IF(B189="","",IF(ISNA(VLOOKUP($B189,'E-1 Off-Site Hedge Baseline'!$B$1:$L$257,3,FALSE)),"",(VLOOKUP($B189,'E-1 Off-Site Hedge Baseline'!$B$1:$L$257,3,FALSE))))</f>
        <v/>
      </c>
      <c r="D189" s="295" t="str">
        <f>IF(B189="","",IF(ISNA(VLOOKUP($B189,'E-1 Off-Site Hedge Baseline'!$B$1:$L$258,4,FALSE)),"",(VLOOKUP($B189,'E-1 Off-Site Hedge Baseline'!$B$1:$L$258,4,FALSE))))</f>
        <v/>
      </c>
      <c r="E189" s="295" t="str">
        <f>IF(B189="","",IF(ISNA(VLOOKUP($B189,'E-1 Off-Site Hedge Baseline'!$B$1:$L$257,5,FALSE)),"",(VLOOKUP($B189,'E-1 Off-Site Hedge Baseline'!$B$1:$L$257,5,FALSE))))</f>
        <v/>
      </c>
      <c r="F189" s="295" t="str">
        <f>IF(B189="","",IF(ISNA(VLOOKUP($B189,'E-1 Off-Site Hedge Baseline'!$B$1:$L$257,6,FALSE)),"",(VLOOKUP($B189,'E-1 Off-Site Hedge Baseline'!$B$1:$L$257,6,FALSE))))</f>
        <v/>
      </c>
      <c r="G189" s="295" t="str">
        <f>IF(B189="","",IF(ISNA(VLOOKUP($B189,'E-1 Off-Site Hedge Baseline'!$B$1:$L$257,7,FALSE)),"",(VLOOKUP($B189,'E-1 Off-Site Hedge Baseline'!$B$1:$L$257,7,FALSE))))</f>
        <v/>
      </c>
      <c r="H189" s="295" t="str">
        <f>IF(B189="","",IF(ISNA(VLOOKUP($B189,'E-1 Off-Site Hedge Baseline'!$B$1:$L$257,8,FALSE)),"",(VLOOKUP($B189,'E-1 Off-Site Hedge Baseline'!$B$1:$L$257,8,FALSE))))</f>
        <v/>
      </c>
      <c r="I189" s="295" t="str">
        <f>IF(B189="","",IF(ISNA(VLOOKUP($B189,'E-1 Off-Site Hedge Baseline'!$B$1:$L$257,10,FALSE)),"",(VLOOKUP($B189,'E-1 Off-Site Hedge Baseline'!$B$1:$L$257,10,FALSE))))</f>
        <v/>
      </c>
      <c r="J189" s="295" t="str">
        <f>IF(B189="","",IF(ISNA(VLOOKUP($B189,'E-1 Off-Site Hedge Baseline'!$B$1:$L$257,11,FALSE)),"",(VLOOKUP($B189,'E-1 Off-Site Hedge Baseline'!$B$1:$L$257,11,FALSE))))</f>
        <v/>
      </c>
      <c r="K189" s="295" t="str">
        <f>IF(B189="","",IF(ISNA(VLOOKUP($B189,'E-1 Off-Site Hedge Baseline'!$B$1:$X$257,16,FALSE)),"",(VLOOKUP($B189,'E-1 Off-Site Hedge Baseline'!$B$1:$X$257,16,FALSE))))</f>
        <v/>
      </c>
      <c r="L189" s="283" t="str">
        <f>IF(B189="","",IF(ISNA(VLOOKUP($B189,'E-1 Off-Site Hedge Baseline'!$B$1:$X$257,12,FALSE)),"",(VLOOKUP($B189,'E-1 Off-Site Hedge Baseline'!$B$1:$X$257,12,FALSE))))</f>
        <v/>
      </c>
      <c r="M189" s="244"/>
      <c r="N189" s="275" t="str">
        <f>IFERROR(IF(B189="","",INDEX('G-6 Hedgerow Data'!$AN$3:$AZ$15,MATCH(C189,'G-6 Hedgerow Data'!$AM$3:$AM$15,0),MATCH(M189,'G-6 Hedgerow Data'!$AN$2:$AZ$2,0))),"")</f>
        <v/>
      </c>
      <c r="O189" s="276" t="str">
        <f t="shared" si="17"/>
        <v/>
      </c>
      <c r="P189" s="281" t="str">
        <f>IF(B189="","",VLOOKUP(B189,'E-1 Off-Site Hedge Baseline'!$B$10:W434,19,FALSE))</f>
        <v/>
      </c>
      <c r="Q189" s="275" t="str">
        <f>IF(M189="","",VLOOKUP(M189,'G-6 Hedgerow Data'!$B$2:$AG$15,2,FALSE))</f>
        <v/>
      </c>
      <c r="R189" s="276" t="str">
        <f>IF(M189="","",VLOOKUP(M189,'G-6 Hedgerow Data'!$B$2:$AG$15,3,FALSE))</f>
        <v/>
      </c>
      <c r="S189" s="101"/>
      <c r="T189" s="276" t="str">
        <f>IFERROR(IF(S189="","",IF(AND(M189="Non-native and ornamental hedgerow",S189&lt;&gt;"Poor"),"Not possible ▲",(IF(AND(Q189="V.Low",OR(S189="Good",S189="Moderate")),"Error ▲",VLOOKUP(S189,'G-1 All Habitats'!$Z$2:$AA$9,2,FALSE))))),"")</f>
        <v/>
      </c>
      <c r="U189" s="101"/>
      <c r="V189" s="283" t="str">
        <f>IF(U189="","",IF(VLOOKUP(U189,'G-3 Multipliers'!$L$3:$N$6,2,FALSE)=0,"Spatial Data Missing ⚠",VLOOKUP(U189,'G-3 Multipliers'!$L$3:$N$6,2,FALSE)))</f>
        <v/>
      </c>
      <c r="W189" s="281" t="str">
        <f>IF(U189="","",IF(VLOOKUP(U189,'G-3 Multipliers'!$L$3:$N$6,3,FALSE)=0,"Spatial Data Missing ⚠",VLOOKUP(U189,'G-3 Multipliers'!$L$3:$N$6,3,FALSE)))</f>
        <v/>
      </c>
      <c r="X189" s="275" t="str">
        <f>IFERROR(IF(OR(LEFT(O189,5)="Error",LEFT(N189,5)="Error",T189="Error"),"Check Data ⚠",IF(F189&lt;R189,INDEX('G-6 Hedgerow Data'!$S$3:$AE$14,MATCH(C189,'G-6 Hedgerow Data'!$B$3:$B$14,0),MATCH(M189,'G-6 Hedgerow Data'!$S$2:$AE$2,0)),INDEX('G-6 Hedgerow Data'!$K$3:$Q$14,MATCH(M189,'G-6 Hedgerow Data'!$B$3:$B$14,0),MATCH(O189,'G-6 Hedgerow Data'!$K$2:$Q$2,0)))),"")</f>
        <v/>
      </c>
      <c r="Y189" s="133"/>
      <c r="Z189" s="133"/>
      <c r="AA189" s="283" t="str">
        <f t="shared" si="18"/>
        <v/>
      </c>
      <c r="AB189" s="296" t="str">
        <f t="shared" si="19"/>
        <v/>
      </c>
      <c r="AC189" s="297" t="str">
        <f t="shared" si="16"/>
        <v/>
      </c>
      <c r="AD189" s="311" t="str">
        <f>IF(M189="","",VLOOKUP(M189,'G-6 Hedgerow Data'!$B$3:$AG$15,31,FALSE))</f>
        <v/>
      </c>
      <c r="AE189" s="295" t="str">
        <f t="shared" si="20"/>
        <v/>
      </c>
      <c r="AF189" s="283" t="str">
        <f t="shared" si="21"/>
        <v/>
      </c>
      <c r="AG189" s="299" t="str">
        <f>IFERROR(IF(O189="","",VLOOKUP(AD189,'G-3 Multipliers'!$P$3:$Q$6,2,FALSE)),"")</f>
        <v/>
      </c>
      <c r="AH189" s="713" t="str">
        <f>IF(B189="","",IF(ISNA(VLOOKUP($B189,'E-1 Off-Site Hedge Baseline'!$B$1:$Z$257,14,FALSE)),"",(VLOOKUP($B189,'E-1 Off-Site Hedge Baseline'!$B$1:$Z$257,14,FALSE))))</f>
        <v/>
      </c>
      <c r="AI189" s="276" t="str">
        <f>IF(AH189="","",IF(VLOOKUP(AH189,'G-3 Multipliers'!$S$3:$T$10,2,FALSE)=0,"Spatial Data Missing ⚠",VLOOKUP(AH189,'G-3 Multipliers'!$S$3:$T$10,2,FALSE)))</f>
        <v/>
      </c>
      <c r="AJ189" s="317" t="str">
        <f t="shared" si="22"/>
        <v/>
      </c>
      <c r="AK189" s="289" t="str">
        <f t="shared" si="23"/>
        <v/>
      </c>
      <c r="AL189" s="101"/>
      <c r="AM189" s="115"/>
      <c r="AN189" s="104"/>
      <c r="AO189" s="104"/>
      <c r="AQ189" s="30" t="str">
        <f>IFERROR(INDEX('G-6 Hedgerow Data'!$BJ$3:$BJ$15,MATCH(M189,'G-6 Hedgerow Data'!$B$3:$B$15,0)),"")</f>
        <v/>
      </c>
    </row>
    <row r="190" spans="2:43" ht="14">
      <c r="B190" s="305" t="str">
        <f>'E-1 Off-Site Hedge Baseline'!AN188</f>
        <v/>
      </c>
      <c r="C190" s="295" t="str">
        <f>IF(B190="","",IF(ISNA(VLOOKUP($B190,'E-1 Off-Site Hedge Baseline'!$B$1:$L$257,3,FALSE)),"",(VLOOKUP($B190,'E-1 Off-Site Hedge Baseline'!$B$1:$L$257,3,FALSE))))</f>
        <v/>
      </c>
      <c r="D190" s="295" t="str">
        <f>IF(B190="","",IF(ISNA(VLOOKUP($B190,'E-1 Off-Site Hedge Baseline'!$B$1:$L$258,4,FALSE)),"",(VLOOKUP($B190,'E-1 Off-Site Hedge Baseline'!$B$1:$L$258,4,FALSE))))</f>
        <v/>
      </c>
      <c r="E190" s="295" t="str">
        <f>IF(B190="","",IF(ISNA(VLOOKUP($B190,'E-1 Off-Site Hedge Baseline'!$B$1:$L$257,5,FALSE)),"",(VLOOKUP($B190,'E-1 Off-Site Hedge Baseline'!$B$1:$L$257,5,FALSE))))</f>
        <v/>
      </c>
      <c r="F190" s="295" t="str">
        <f>IF(B190="","",IF(ISNA(VLOOKUP($B190,'E-1 Off-Site Hedge Baseline'!$B$1:$L$257,6,FALSE)),"",(VLOOKUP($B190,'E-1 Off-Site Hedge Baseline'!$B$1:$L$257,6,FALSE))))</f>
        <v/>
      </c>
      <c r="G190" s="295" t="str">
        <f>IF(B190="","",IF(ISNA(VLOOKUP($B190,'E-1 Off-Site Hedge Baseline'!$B$1:$L$257,7,FALSE)),"",(VLOOKUP($B190,'E-1 Off-Site Hedge Baseline'!$B$1:$L$257,7,FALSE))))</f>
        <v/>
      </c>
      <c r="H190" s="295" t="str">
        <f>IF(B190="","",IF(ISNA(VLOOKUP($B190,'E-1 Off-Site Hedge Baseline'!$B$1:$L$257,8,FALSE)),"",(VLOOKUP($B190,'E-1 Off-Site Hedge Baseline'!$B$1:$L$257,8,FALSE))))</f>
        <v/>
      </c>
      <c r="I190" s="295" t="str">
        <f>IF(B190="","",IF(ISNA(VLOOKUP($B190,'E-1 Off-Site Hedge Baseline'!$B$1:$L$257,10,FALSE)),"",(VLOOKUP($B190,'E-1 Off-Site Hedge Baseline'!$B$1:$L$257,10,FALSE))))</f>
        <v/>
      </c>
      <c r="J190" s="295" t="str">
        <f>IF(B190="","",IF(ISNA(VLOOKUP($B190,'E-1 Off-Site Hedge Baseline'!$B$1:$L$257,11,FALSE)),"",(VLOOKUP($B190,'E-1 Off-Site Hedge Baseline'!$B$1:$L$257,11,FALSE))))</f>
        <v/>
      </c>
      <c r="K190" s="295" t="str">
        <f>IF(B190="","",IF(ISNA(VLOOKUP($B190,'E-1 Off-Site Hedge Baseline'!$B$1:$X$257,16,FALSE)),"",(VLOOKUP($B190,'E-1 Off-Site Hedge Baseline'!$B$1:$X$257,16,FALSE))))</f>
        <v/>
      </c>
      <c r="L190" s="283" t="str">
        <f>IF(B190="","",IF(ISNA(VLOOKUP($B190,'E-1 Off-Site Hedge Baseline'!$B$1:$X$257,12,FALSE)),"",(VLOOKUP($B190,'E-1 Off-Site Hedge Baseline'!$B$1:$X$257,12,FALSE))))</f>
        <v/>
      </c>
      <c r="M190" s="244"/>
      <c r="N190" s="275" t="str">
        <f>IFERROR(IF(B190="","",INDEX('G-6 Hedgerow Data'!$AN$3:$AZ$15,MATCH(C190,'G-6 Hedgerow Data'!$AM$3:$AM$15,0),MATCH(M190,'G-6 Hedgerow Data'!$AN$2:$AZ$2,0))),"")</f>
        <v/>
      </c>
      <c r="O190" s="276" t="str">
        <f t="shared" si="17"/>
        <v/>
      </c>
      <c r="P190" s="281" t="str">
        <f>IF(B190="","",VLOOKUP(B190,'E-1 Off-Site Hedge Baseline'!$B$10:W435,19,FALSE))</f>
        <v/>
      </c>
      <c r="Q190" s="275" t="str">
        <f>IF(M190="","",VLOOKUP(M190,'G-6 Hedgerow Data'!$B$2:$AG$15,2,FALSE))</f>
        <v/>
      </c>
      <c r="R190" s="276" t="str">
        <f>IF(M190="","",VLOOKUP(M190,'G-6 Hedgerow Data'!$B$2:$AG$15,3,FALSE))</f>
        <v/>
      </c>
      <c r="S190" s="101"/>
      <c r="T190" s="276" t="str">
        <f>IFERROR(IF(S190="","",IF(AND(M190="Non-native and ornamental hedgerow",S190&lt;&gt;"Poor"),"Not possible ▲",(IF(AND(Q190="V.Low",OR(S190="Good",S190="Moderate")),"Error ▲",VLOOKUP(S190,'G-1 All Habitats'!$Z$2:$AA$9,2,FALSE))))),"")</f>
        <v/>
      </c>
      <c r="U190" s="101"/>
      <c r="V190" s="283" t="str">
        <f>IF(U190="","",IF(VLOOKUP(U190,'G-3 Multipliers'!$L$3:$N$6,2,FALSE)=0,"Spatial Data Missing ⚠",VLOOKUP(U190,'G-3 Multipliers'!$L$3:$N$6,2,FALSE)))</f>
        <v/>
      </c>
      <c r="W190" s="281" t="str">
        <f>IF(U190="","",IF(VLOOKUP(U190,'G-3 Multipliers'!$L$3:$N$6,3,FALSE)=0,"Spatial Data Missing ⚠",VLOOKUP(U190,'G-3 Multipliers'!$L$3:$N$6,3,FALSE)))</f>
        <v/>
      </c>
      <c r="X190" s="275" t="str">
        <f>IFERROR(IF(OR(LEFT(O190,5)="Error",LEFT(N190,5)="Error",T190="Error"),"Check Data ⚠",IF(F190&lt;R190,INDEX('G-6 Hedgerow Data'!$S$3:$AE$14,MATCH(C190,'G-6 Hedgerow Data'!$B$3:$B$14,0),MATCH(M190,'G-6 Hedgerow Data'!$S$2:$AE$2,0)),INDEX('G-6 Hedgerow Data'!$K$3:$Q$14,MATCH(M190,'G-6 Hedgerow Data'!$B$3:$B$14,0),MATCH(O190,'G-6 Hedgerow Data'!$K$2:$Q$2,0)))),"")</f>
        <v/>
      </c>
      <c r="Y190" s="133"/>
      <c r="Z190" s="133"/>
      <c r="AA190" s="283" t="str">
        <f t="shared" si="18"/>
        <v/>
      </c>
      <c r="AB190" s="296" t="str">
        <f t="shared" si="19"/>
        <v/>
      </c>
      <c r="AC190" s="297" t="str">
        <f t="shared" si="16"/>
        <v/>
      </c>
      <c r="AD190" s="311" t="str">
        <f>IF(M190="","",VLOOKUP(M190,'G-6 Hedgerow Data'!$B$3:$AG$15,31,FALSE))</f>
        <v/>
      </c>
      <c r="AE190" s="295" t="str">
        <f t="shared" si="20"/>
        <v/>
      </c>
      <c r="AF190" s="283" t="str">
        <f t="shared" si="21"/>
        <v/>
      </c>
      <c r="AG190" s="299" t="str">
        <f>IFERROR(IF(O190="","",VLOOKUP(AD190,'G-3 Multipliers'!$P$3:$Q$6,2,FALSE)),"")</f>
        <v/>
      </c>
      <c r="AH190" s="713" t="str">
        <f>IF(B190="","",IF(ISNA(VLOOKUP($B190,'E-1 Off-Site Hedge Baseline'!$B$1:$Z$257,14,FALSE)),"",(VLOOKUP($B190,'E-1 Off-Site Hedge Baseline'!$B$1:$Z$257,14,FALSE))))</f>
        <v/>
      </c>
      <c r="AI190" s="276" t="str">
        <f>IF(AH190="","",IF(VLOOKUP(AH190,'G-3 Multipliers'!$S$3:$T$10,2,FALSE)=0,"Spatial Data Missing ⚠",VLOOKUP(AH190,'G-3 Multipliers'!$S$3:$T$10,2,FALSE)))</f>
        <v/>
      </c>
      <c r="AJ190" s="317" t="str">
        <f t="shared" si="22"/>
        <v/>
      </c>
      <c r="AK190" s="289" t="str">
        <f t="shared" si="23"/>
        <v/>
      </c>
      <c r="AL190" s="101"/>
      <c r="AM190" s="115"/>
      <c r="AN190" s="104"/>
      <c r="AO190" s="104"/>
      <c r="AQ190" s="30" t="str">
        <f>IFERROR(INDEX('G-6 Hedgerow Data'!$BJ$3:$BJ$15,MATCH(M190,'G-6 Hedgerow Data'!$B$3:$B$15,0)),"")</f>
        <v/>
      </c>
    </row>
    <row r="191" spans="2:43" ht="14">
      <c r="B191" s="305" t="str">
        <f>'E-1 Off-Site Hedge Baseline'!AN189</f>
        <v/>
      </c>
      <c r="C191" s="295" t="str">
        <f>IF(B191="","",IF(ISNA(VLOOKUP($B191,'E-1 Off-Site Hedge Baseline'!$B$1:$L$257,3,FALSE)),"",(VLOOKUP($B191,'E-1 Off-Site Hedge Baseline'!$B$1:$L$257,3,FALSE))))</f>
        <v/>
      </c>
      <c r="D191" s="295" t="str">
        <f>IF(B191="","",IF(ISNA(VLOOKUP($B191,'E-1 Off-Site Hedge Baseline'!$B$1:$L$258,4,FALSE)),"",(VLOOKUP($B191,'E-1 Off-Site Hedge Baseline'!$B$1:$L$258,4,FALSE))))</f>
        <v/>
      </c>
      <c r="E191" s="295" t="str">
        <f>IF(B191="","",IF(ISNA(VLOOKUP($B191,'E-1 Off-Site Hedge Baseline'!$B$1:$L$257,5,FALSE)),"",(VLOOKUP($B191,'E-1 Off-Site Hedge Baseline'!$B$1:$L$257,5,FALSE))))</f>
        <v/>
      </c>
      <c r="F191" s="295" t="str">
        <f>IF(B191="","",IF(ISNA(VLOOKUP($B191,'E-1 Off-Site Hedge Baseline'!$B$1:$L$257,6,FALSE)),"",(VLOOKUP($B191,'E-1 Off-Site Hedge Baseline'!$B$1:$L$257,6,FALSE))))</f>
        <v/>
      </c>
      <c r="G191" s="295" t="str">
        <f>IF(B191="","",IF(ISNA(VLOOKUP($B191,'E-1 Off-Site Hedge Baseline'!$B$1:$L$257,7,FALSE)),"",(VLOOKUP($B191,'E-1 Off-Site Hedge Baseline'!$B$1:$L$257,7,FALSE))))</f>
        <v/>
      </c>
      <c r="H191" s="295" t="str">
        <f>IF(B191="","",IF(ISNA(VLOOKUP($B191,'E-1 Off-Site Hedge Baseline'!$B$1:$L$257,8,FALSE)),"",(VLOOKUP($B191,'E-1 Off-Site Hedge Baseline'!$B$1:$L$257,8,FALSE))))</f>
        <v/>
      </c>
      <c r="I191" s="295" t="str">
        <f>IF(B191="","",IF(ISNA(VLOOKUP($B191,'E-1 Off-Site Hedge Baseline'!$B$1:$L$257,10,FALSE)),"",(VLOOKUP($B191,'E-1 Off-Site Hedge Baseline'!$B$1:$L$257,10,FALSE))))</f>
        <v/>
      </c>
      <c r="J191" s="295" t="str">
        <f>IF(B191="","",IF(ISNA(VLOOKUP($B191,'E-1 Off-Site Hedge Baseline'!$B$1:$L$257,11,FALSE)),"",(VLOOKUP($B191,'E-1 Off-Site Hedge Baseline'!$B$1:$L$257,11,FALSE))))</f>
        <v/>
      </c>
      <c r="K191" s="295" t="str">
        <f>IF(B191="","",IF(ISNA(VLOOKUP($B191,'E-1 Off-Site Hedge Baseline'!$B$1:$X$257,16,FALSE)),"",(VLOOKUP($B191,'E-1 Off-Site Hedge Baseline'!$B$1:$X$257,16,FALSE))))</f>
        <v/>
      </c>
      <c r="L191" s="283" t="str">
        <f>IF(B191="","",IF(ISNA(VLOOKUP($B191,'E-1 Off-Site Hedge Baseline'!$B$1:$X$257,12,FALSE)),"",(VLOOKUP($B191,'E-1 Off-Site Hedge Baseline'!$B$1:$X$257,12,FALSE))))</f>
        <v/>
      </c>
      <c r="M191" s="244"/>
      <c r="N191" s="275" t="str">
        <f>IFERROR(IF(B191="","",INDEX('G-6 Hedgerow Data'!$AN$3:$AZ$15,MATCH(C191,'G-6 Hedgerow Data'!$AM$3:$AM$15,0),MATCH(M191,'G-6 Hedgerow Data'!$AN$2:$AZ$2,0))),"")</f>
        <v/>
      </c>
      <c r="O191" s="276" t="str">
        <f t="shared" si="17"/>
        <v/>
      </c>
      <c r="P191" s="281" t="str">
        <f>IF(B191="","",VLOOKUP(B191,'E-1 Off-Site Hedge Baseline'!$B$10:W436,19,FALSE))</f>
        <v/>
      </c>
      <c r="Q191" s="275" t="str">
        <f>IF(M191="","",VLOOKUP(M191,'G-6 Hedgerow Data'!$B$2:$AG$15,2,FALSE))</f>
        <v/>
      </c>
      <c r="R191" s="276" t="str">
        <f>IF(M191="","",VLOOKUP(M191,'G-6 Hedgerow Data'!$B$2:$AG$15,3,FALSE))</f>
        <v/>
      </c>
      <c r="S191" s="101"/>
      <c r="T191" s="276" t="str">
        <f>IFERROR(IF(S191="","",IF(AND(M191="Non-native and ornamental hedgerow",S191&lt;&gt;"Poor"),"Not possible ▲",(IF(AND(Q191="V.Low",OR(S191="Good",S191="Moderate")),"Error ▲",VLOOKUP(S191,'G-1 All Habitats'!$Z$2:$AA$9,2,FALSE))))),"")</f>
        <v/>
      </c>
      <c r="U191" s="101"/>
      <c r="V191" s="283" t="str">
        <f>IF(U191="","",IF(VLOOKUP(U191,'G-3 Multipliers'!$L$3:$N$6,2,FALSE)=0,"Spatial Data Missing ⚠",VLOOKUP(U191,'G-3 Multipliers'!$L$3:$N$6,2,FALSE)))</f>
        <v/>
      </c>
      <c r="W191" s="281" t="str">
        <f>IF(U191="","",IF(VLOOKUP(U191,'G-3 Multipliers'!$L$3:$N$6,3,FALSE)=0,"Spatial Data Missing ⚠",VLOOKUP(U191,'G-3 Multipliers'!$L$3:$N$6,3,FALSE)))</f>
        <v/>
      </c>
      <c r="X191" s="275" t="str">
        <f>IFERROR(IF(OR(LEFT(O191,5)="Error",LEFT(N191,5)="Error",T191="Error"),"Check Data ⚠",IF(F191&lt;R191,INDEX('G-6 Hedgerow Data'!$S$3:$AE$14,MATCH(C191,'G-6 Hedgerow Data'!$B$3:$B$14,0),MATCH(M191,'G-6 Hedgerow Data'!$S$2:$AE$2,0)),INDEX('G-6 Hedgerow Data'!$K$3:$Q$14,MATCH(M191,'G-6 Hedgerow Data'!$B$3:$B$14,0),MATCH(O191,'G-6 Hedgerow Data'!$K$2:$Q$2,0)))),"")</f>
        <v/>
      </c>
      <c r="Y191" s="133"/>
      <c r="Z191" s="133"/>
      <c r="AA191" s="283" t="str">
        <f t="shared" si="18"/>
        <v/>
      </c>
      <c r="AB191" s="296" t="str">
        <f t="shared" si="19"/>
        <v/>
      </c>
      <c r="AC191" s="297" t="str">
        <f t="shared" si="16"/>
        <v/>
      </c>
      <c r="AD191" s="311" t="str">
        <f>IF(M191="","",VLOOKUP(M191,'G-6 Hedgerow Data'!$B$3:$AG$15,31,FALSE))</f>
        <v/>
      </c>
      <c r="AE191" s="295" t="str">
        <f t="shared" si="20"/>
        <v/>
      </c>
      <c r="AF191" s="283" t="str">
        <f t="shared" si="21"/>
        <v/>
      </c>
      <c r="AG191" s="299" t="str">
        <f>IFERROR(IF(O191="","",VLOOKUP(AD191,'G-3 Multipliers'!$P$3:$Q$6,2,FALSE)),"")</f>
        <v/>
      </c>
      <c r="AH191" s="713" t="str">
        <f>IF(B191="","",IF(ISNA(VLOOKUP($B191,'E-1 Off-Site Hedge Baseline'!$B$1:$Z$257,14,FALSE)),"",(VLOOKUP($B191,'E-1 Off-Site Hedge Baseline'!$B$1:$Z$257,14,FALSE))))</f>
        <v/>
      </c>
      <c r="AI191" s="276" t="str">
        <f>IF(AH191="","",IF(VLOOKUP(AH191,'G-3 Multipliers'!$S$3:$T$10,2,FALSE)=0,"Spatial Data Missing ⚠",VLOOKUP(AH191,'G-3 Multipliers'!$S$3:$T$10,2,FALSE)))</f>
        <v/>
      </c>
      <c r="AJ191" s="317" t="str">
        <f t="shared" si="22"/>
        <v/>
      </c>
      <c r="AK191" s="289" t="str">
        <f t="shared" si="23"/>
        <v/>
      </c>
      <c r="AL191" s="101"/>
      <c r="AM191" s="115"/>
      <c r="AN191" s="104"/>
      <c r="AO191" s="104"/>
      <c r="AQ191" s="30" t="str">
        <f>IFERROR(INDEX('G-6 Hedgerow Data'!$BJ$3:$BJ$15,MATCH(M191,'G-6 Hedgerow Data'!$B$3:$B$15,0)),"")</f>
        <v/>
      </c>
    </row>
    <row r="192" spans="2:43" ht="14">
      <c r="B192" s="305" t="str">
        <f>'E-1 Off-Site Hedge Baseline'!AN190</f>
        <v/>
      </c>
      <c r="C192" s="295" t="str">
        <f>IF(B192="","",IF(ISNA(VLOOKUP($B192,'E-1 Off-Site Hedge Baseline'!$B$1:$L$257,3,FALSE)),"",(VLOOKUP($B192,'E-1 Off-Site Hedge Baseline'!$B$1:$L$257,3,FALSE))))</f>
        <v/>
      </c>
      <c r="D192" s="295" t="str">
        <f>IF(B192="","",IF(ISNA(VLOOKUP($B192,'E-1 Off-Site Hedge Baseline'!$B$1:$L$258,4,FALSE)),"",(VLOOKUP($B192,'E-1 Off-Site Hedge Baseline'!$B$1:$L$258,4,FALSE))))</f>
        <v/>
      </c>
      <c r="E192" s="295" t="str">
        <f>IF(B192="","",IF(ISNA(VLOOKUP($B192,'E-1 Off-Site Hedge Baseline'!$B$1:$L$257,5,FALSE)),"",(VLOOKUP($B192,'E-1 Off-Site Hedge Baseline'!$B$1:$L$257,5,FALSE))))</f>
        <v/>
      </c>
      <c r="F192" s="295" t="str">
        <f>IF(B192="","",IF(ISNA(VLOOKUP($B192,'E-1 Off-Site Hedge Baseline'!$B$1:$L$257,6,FALSE)),"",(VLOOKUP($B192,'E-1 Off-Site Hedge Baseline'!$B$1:$L$257,6,FALSE))))</f>
        <v/>
      </c>
      <c r="G192" s="295" t="str">
        <f>IF(B192="","",IF(ISNA(VLOOKUP($B192,'E-1 Off-Site Hedge Baseline'!$B$1:$L$257,7,FALSE)),"",(VLOOKUP($B192,'E-1 Off-Site Hedge Baseline'!$B$1:$L$257,7,FALSE))))</f>
        <v/>
      </c>
      <c r="H192" s="295" t="str">
        <f>IF(B192="","",IF(ISNA(VLOOKUP($B192,'E-1 Off-Site Hedge Baseline'!$B$1:$L$257,8,FALSE)),"",(VLOOKUP($B192,'E-1 Off-Site Hedge Baseline'!$B$1:$L$257,8,FALSE))))</f>
        <v/>
      </c>
      <c r="I192" s="295" t="str">
        <f>IF(B192="","",IF(ISNA(VLOOKUP($B192,'E-1 Off-Site Hedge Baseline'!$B$1:$L$257,10,FALSE)),"",(VLOOKUP($B192,'E-1 Off-Site Hedge Baseline'!$B$1:$L$257,10,FALSE))))</f>
        <v/>
      </c>
      <c r="J192" s="295" t="str">
        <f>IF(B192="","",IF(ISNA(VLOOKUP($B192,'E-1 Off-Site Hedge Baseline'!$B$1:$L$257,11,FALSE)),"",(VLOOKUP($B192,'E-1 Off-Site Hedge Baseline'!$B$1:$L$257,11,FALSE))))</f>
        <v/>
      </c>
      <c r="K192" s="295" t="str">
        <f>IF(B192="","",IF(ISNA(VLOOKUP($B192,'E-1 Off-Site Hedge Baseline'!$B$1:$X$257,16,FALSE)),"",(VLOOKUP($B192,'E-1 Off-Site Hedge Baseline'!$B$1:$X$257,16,FALSE))))</f>
        <v/>
      </c>
      <c r="L192" s="283" t="str">
        <f>IF(B192="","",IF(ISNA(VLOOKUP($B192,'E-1 Off-Site Hedge Baseline'!$B$1:$X$257,12,FALSE)),"",(VLOOKUP($B192,'E-1 Off-Site Hedge Baseline'!$B$1:$X$257,12,FALSE))))</f>
        <v/>
      </c>
      <c r="M192" s="244"/>
      <c r="N192" s="275" t="str">
        <f>IFERROR(IF(B192="","",INDEX('G-6 Hedgerow Data'!$AN$3:$AZ$15,MATCH(C192,'G-6 Hedgerow Data'!$AM$3:$AM$15,0),MATCH(M192,'G-6 Hedgerow Data'!$AN$2:$AZ$2,0))),"")</f>
        <v/>
      </c>
      <c r="O192" s="276" t="str">
        <f t="shared" si="17"/>
        <v/>
      </c>
      <c r="P192" s="281" t="str">
        <f>IF(B192="","",VLOOKUP(B192,'E-1 Off-Site Hedge Baseline'!$B$10:W437,19,FALSE))</f>
        <v/>
      </c>
      <c r="Q192" s="275" t="str">
        <f>IF(M192="","",VLOOKUP(M192,'G-6 Hedgerow Data'!$B$2:$AG$15,2,FALSE))</f>
        <v/>
      </c>
      <c r="R192" s="276" t="str">
        <f>IF(M192="","",VLOOKUP(M192,'G-6 Hedgerow Data'!$B$2:$AG$15,3,FALSE))</f>
        <v/>
      </c>
      <c r="S192" s="101"/>
      <c r="T192" s="276" t="str">
        <f>IFERROR(IF(S192="","",IF(AND(M192="Non-native and ornamental hedgerow",S192&lt;&gt;"Poor"),"Not possible ▲",(IF(AND(Q192="V.Low",OR(S192="Good",S192="Moderate")),"Error ▲",VLOOKUP(S192,'G-1 All Habitats'!$Z$2:$AA$9,2,FALSE))))),"")</f>
        <v/>
      </c>
      <c r="U192" s="101"/>
      <c r="V192" s="283" t="str">
        <f>IF(U192="","",IF(VLOOKUP(U192,'G-3 Multipliers'!$L$3:$N$6,2,FALSE)=0,"Spatial Data Missing ⚠",VLOOKUP(U192,'G-3 Multipliers'!$L$3:$N$6,2,FALSE)))</f>
        <v/>
      </c>
      <c r="W192" s="281" t="str">
        <f>IF(U192="","",IF(VLOOKUP(U192,'G-3 Multipliers'!$L$3:$N$6,3,FALSE)=0,"Spatial Data Missing ⚠",VLOOKUP(U192,'G-3 Multipliers'!$L$3:$N$6,3,FALSE)))</f>
        <v/>
      </c>
      <c r="X192" s="275" t="str">
        <f>IFERROR(IF(OR(LEFT(O192,5)="Error",LEFT(N192,5)="Error",T192="Error"),"Check Data ⚠",IF(F192&lt;R192,INDEX('G-6 Hedgerow Data'!$S$3:$AE$14,MATCH(C192,'G-6 Hedgerow Data'!$B$3:$B$14,0),MATCH(M192,'G-6 Hedgerow Data'!$S$2:$AE$2,0)),INDEX('G-6 Hedgerow Data'!$K$3:$Q$14,MATCH(M192,'G-6 Hedgerow Data'!$B$3:$B$14,0),MATCH(O192,'G-6 Hedgerow Data'!$K$2:$Q$2,0)))),"")</f>
        <v/>
      </c>
      <c r="Y192" s="133"/>
      <c r="Z192" s="133"/>
      <c r="AA192" s="283" t="str">
        <f t="shared" si="18"/>
        <v/>
      </c>
      <c r="AB192" s="296" t="str">
        <f t="shared" si="19"/>
        <v/>
      </c>
      <c r="AC192" s="297" t="str">
        <f t="shared" si="16"/>
        <v/>
      </c>
      <c r="AD192" s="311" t="str">
        <f>IF(M192="","",VLOOKUP(M192,'G-6 Hedgerow Data'!$B$3:$AG$15,31,FALSE))</f>
        <v/>
      </c>
      <c r="AE192" s="295" t="str">
        <f t="shared" si="20"/>
        <v/>
      </c>
      <c r="AF192" s="283" t="str">
        <f t="shared" si="21"/>
        <v/>
      </c>
      <c r="AG192" s="299" t="str">
        <f>IFERROR(IF(O192="","",VLOOKUP(AD192,'G-3 Multipliers'!$P$3:$Q$6,2,FALSE)),"")</f>
        <v/>
      </c>
      <c r="AH192" s="713" t="str">
        <f>IF(B192="","",IF(ISNA(VLOOKUP($B192,'E-1 Off-Site Hedge Baseline'!$B$1:$Z$257,14,FALSE)),"",(VLOOKUP($B192,'E-1 Off-Site Hedge Baseline'!$B$1:$Z$257,14,FALSE))))</f>
        <v/>
      </c>
      <c r="AI192" s="276" t="str">
        <f>IF(AH192="","",IF(VLOOKUP(AH192,'G-3 Multipliers'!$S$3:$T$10,2,FALSE)=0,"Spatial Data Missing ⚠",VLOOKUP(AH192,'G-3 Multipliers'!$S$3:$T$10,2,FALSE)))</f>
        <v/>
      </c>
      <c r="AJ192" s="317" t="str">
        <f t="shared" si="22"/>
        <v/>
      </c>
      <c r="AK192" s="289" t="str">
        <f t="shared" si="23"/>
        <v/>
      </c>
      <c r="AL192" s="101"/>
      <c r="AM192" s="115"/>
      <c r="AN192" s="104"/>
      <c r="AO192" s="104"/>
      <c r="AQ192" s="30" t="str">
        <f>IFERROR(INDEX('G-6 Hedgerow Data'!$BJ$3:$BJ$15,MATCH(M192,'G-6 Hedgerow Data'!$B$3:$B$15,0)),"")</f>
        <v/>
      </c>
    </row>
    <row r="193" spans="2:43" ht="14">
      <c r="B193" s="305" t="str">
        <f>'E-1 Off-Site Hedge Baseline'!AN191</f>
        <v/>
      </c>
      <c r="C193" s="295" t="str">
        <f>IF(B193="","",IF(ISNA(VLOOKUP($B193,'E-1 Off-Site Hedge Baseline'!$B$1:$L$257,3,FALSE)),"",(VLOOKUP($B193,'E-1 Off-Site Hedge Baseline'!$B$1:$L$257,3,FALSE))))</f>
        <v/>
      </c>
      <c r="D193" s="295" t="str">
        <f>IF(B193="","",IF(ISNA(VLOOKUP($B193,'E-1 Off-Site Hedge Baseline'!$B$1:$L$258,4,FALSE)),"",(VLOOKUP($B193,'E-1 Off-Site Hedge Baseline'!$B$1:$L$258,4,FALSE))))</f>
        <v/>
      </c>
      <c r="E193" s="295" t="str">
        <f>IF(B193="","",IF(ISNA(VLOOKUP($B193,'E-1 Off-Site Hedge Baseline'!$B$1:$L$257,5,FALSE)),"",(VLOOKUP($B193,'E-1 Off-Site Hedge Baseline'!$B$1:$L$257,5,FALSE))))</f>
        <v/>
      </c>
      <c r="F193" s="295" t="str">
        <f>IF(B193="","",IF(ISNA(VLOOKUP($B193,'E-1 Off-Site Hedge Baseline'!$B$1:$L$257,6,FALSE)),"",(VLOOKUP($B193,'E-1 Off-Site Hedge Baseline'!$B$1:$L$257,6,FALSE))))</f>
        <v/>
      </c>
      <c r="G193" s="295" t="str">
        <f>IF(B193="","",IF(ISNA(VLOOKUP($B193,'E-1 Off-Site Hedge Baseline'!$B$1:$L$257,7,FALSE)),"",(VLOOKUP($B193,'E-1 Off-Site Hedge Baseline'!$B$1:$L$257,7,FALSE))))</f>
        <v/>
      </c>
      <c r="H193" s="295" t="str">
        <f>IF(B193="","",IF(ISNA(VLOOKUP($B193,'E-1 Off-Site Hedge Baseline'!$B$1:$L$257,8,FALSE)),"",(VLOOKUP($B193,'E-1 Off-Site Hedge Baseline'!$B$1:$L$257,8,FALSE))))</f>
        <v/>
      </c>
      <c r="I193" s="295" t="str">
        <f>IF(B193="","",IF(ISNA(VLOOKUP($B193,'E-1 Off-Site Hedge Baseline'!$B$1:$L$257,10,FALSE)),"",(VLOOKUP($B193,'E-1 Off-Site Hedge Baseline'!$B$1:$L$257,10,FALSE))))</f>
        <v/>
      </c>
      <c r="J193" s="295" t="str">
        <f>IF(B193="","",IF(ISNA(VLOOKUP($B193,'E-1 Off-Site Hedge Baseline'!$B$1:$L$257,11,FALSE)),"",(VLOOKUP($B193,'E-1 Off-Site Hedge Baseline'!$B$1:$L$257,11,FALSE))))</f>
        <v/>
      </c>
      <c r="K193" s="295" t="str">
        <f>IF(B193="","",IF(ISNA(VLOOKUP($B193,'E-1 Off-Site Hedge Baseline'!$B$1:$X$257,16,FALSE)),"",(VLOOKUP($B193,'E-1 Off-Site Hedge Baseline'!$B$1:$X$257,16,FALSE))))</f>
        <v/>
      </c>
      <c r="L193" s="283" t="str">
        <f>IF(B193="","",IF(ISNA(VLOOKUP($B193,'E-1 Off-Site Hedge Baseline'!$B$1:$X$257,12,FALSE)),"",(VLOOKUP($B193,'E-1 Off-Site Hedge Baseline'!$B$1:$X$257,12,FALSE))))</f>
        <v/>
      </c>
      <c r="M193" s="244"/>
      <c r="N193" s="275" t="str">
        <f>IFERROR(IF(B193="","",INDEX('G-6 Hedgerow Data'!$AN$3:$AZ$15,MATCH(C193,'G-6 Hedgerow Data'!$AM$3:$AM$15,0),MATCH(M193,'G-6 Hedgerow Data'!$AN$2:$AZ$2,0))),"")</f>
        <v/>
      </c>
      <c r="O193" s="276" t="str">
        <f t="shared" si="17"/>
        <v/>
      </c>
      <c r="P193" s="281" t="str">
        <f>IF(B193="","",VLOOKUP(B193,'E-1 Off-Site Hedge Baseline'!$B$10:W438,19,FALSE))</f>
        <v/>
      </c>
      <c r="Q193" s="275" t="str">
        <f>IF(M193="","",VLOOKUP(M193,'G-6 Hedgerow Data'!$B$2:$AG$15,2,FALSE))</f>
        <v/>
      </c>
      <c r="R193" s="276" t="str">
        <f>IF(M193="","",VLOOKUP(M193,'G-6 Hedgerow Data'!$B$2:$AG$15,3,FALSE))</f>
        <v/>
      </c>
      <c r="S193" s="101"/>
      <c r="T193" s="276" t="str">
        <f>IFERROR(IF(S193="","",IF(AND(M193="Non-native and ornamental hedgerow",S193&lt;&gt;"Poor"),"Not possible ▲",(IF(AND(Q193="V.Low",OR(S193="Good",S193="Moderate")),"Error ▲",VLOOKUP(S193,'G-1 All Habitats'!$Z$2:$AA$9,2,FALSE))))),"")</f>
        <v/>
      </c>
      <c r="U193" s="101"/>
      <c r="V193" s="283" t="str">
        <f>IF(U193="","",IF(VLOOKUP(U193,'G-3 Multipliers'!$L$3:$N$6,2,FALSE)=0,"Spatial Data Missing ⚠",VLOOKUP(U193,'G-3 Multipliers'!$L$3:$N$6,2,FALSE)))</f>
        <v/>
      </c>
      <c r="W193" s="281" t="str">
        <f>IF(U193="","",IF(VLOOKUP(U193,'G-3 Multipliers'!$L$3:$N$6,3,FALSE)=0,"Spatial Data Missing ⚠",VLOOKUP(U193,'G-3 Multipliers'!$L$3:$N$6,3,FALSE)))</f>
        <v/>
      </c>
      <c r="X193" s="275" t="str">
        <f>IFERROR(IF(OR(LEFT(O193,5)="Error",LEFT(N193,5)="Error",T193="Error"),"Check Data ⚠",IF(F193&lt;R193,INDEX('G-6 Hedgerow Data'!$S$3:$AE$14,MATCH(C193,'G-6 Hedgerow Data'!$B$3:$B$14,0),MATCH(M193,'G-6 Hedgerow Data'!$S$2:$AE$2,0)),INDEX('G-6 Hedgerow Data'!$K$3:$Q$14,MATCH(M193,'G-6 Hedgerow Data'!$B$3:$B$14,0),MATCH(O193,'G-6 Hedgerow Data'!$K$2:$Q$2,0)))),"")</f>
        <v/>
      </c>
      <c r="Y193" s="133"/>
      <c r="Z193" s="133"/>
      <c r="AA193" s="283" t="str">
        <f t="shared" si="18"/>
        <v/>
      </c>
      <c r="AB193" s="296" t="str">
        <f t="shared" si="19"/>
        <v/>
      </c>
      <c r="AC193" s="297" t="str">
        <f t="shared" si="16"/>
        <v/>
      </c>
      <c r="AD193" s="311" t="str">
        <f>IF(M193="","",VLOOKUP(M193,'G-6 Hedgerow Data'!$B$3:$AG$15,31,FALSE))</f>
        <v/>
      </c>
      <c r="AE193" s="295" t="str">
        <f t="shared" si="20"/>
        <v/>
      </c>
      <c r="AF193" s="283" t="str">
        <f t="shared" si="21"/>
        <v/>
      </c>
      <c r="AG193" s="299" t="str">
        <f>IFERROR(IF(O193="","",VLOOKUP(AD193,'G-3 Multipliers'!$P$3:$Q$6,2,FALSE)),"")</f>
        <v/>
      </c>
      <c r="AH193" s="713" t="str">
        <f>IF(B193="","",IF(ISNA(VLOOKUP($B193,'E-1 Off-Site Hedge Baseline'!$B$1:$Z$257,14,FALSE)),"",(VLOOKUP($B193,'E-1 Off-Site Hedge Baseline'!$B$1:$Z$257,14,FALSE))))</f>
        <v/>
      </c>
      <c r="AI193" s="276" t="str">
        <f>IF(AH193="","",IF(VLOOKUP(AH193,'G-3 Multipliers'!$S$3:$T$10,2,FALSE)=0,"Spatial Data Missing ⚠",VLOOKUP(AH193,'G-3 Multipliers'!$S$3:$T$10,2,FALSE)))</f>
        <v/>
      </c>
      <c r="AJ193" s="317" t="str">
        <f t="shared" si="22"/>
        <v/>
      </c>
      <c r="AK193" s="289" t="str">
        <f t="shared" si="23"/>
        <v/>
      </c>
      <c r="AL193" s="101"/>
      <c r="AM193" s="115"/>
      <c r="AN193" s="104"/>
      <c r="AO193" s="104"/>
      <c r="AQ193" s="30" t="str">
        <f>IFERROR(INDEX('G-6 Hedgerow Data'!$BJ$3:$BJ$15,MATCH(M193,'G-6 Hedgerow Data'!$B$3:$B$15,0)),"")</f>
        <v/>
      </c>
    </row>
    <row r="194" spans="2:43" ht="14">
      <c r="B194" s="305" t="str">
        <f>'E-1 Off-Site Hedge Baseline'!AN192</f>
        <v/>
      </c>
      <c r="C194" s="295" t="str">
        <f>IF(B194="","",IF(ISNA(VLOOKUP($B194,'E-1 Off-Site Hedge Baseline'!$B$1:$L$257,3,FALSE)),"",(VLOOKUP($B194,'E-1 Off-Site Hedge Baseline'!$B$1:$L$257,3,FALSE))))</f>
        <v/>
      </c>
      <c r="D194" s="295" t="str">
        <f>IF(B194="","",IF(ISNA(VLOOKUP($B194,'E-1 Off-Site Hedge Baseline'!$B$1:$L$258,4,FALSE)),"",(VLOOKUP($B194,'E-1 Off-Site Hedge Baseline'!$B$1:$L$258,4,FALSE))))</f>
        <v/>
      </c>
      <c r="E194" s="295" t="str">
        <f>IF(B194="","",IF(ISNA(VLOOKUP($B194,'E-1 Off-Site Hedge Baseline'!$B$1:$L$257,5,FALSE)),"",(VLOOKUP($B194,'E-1 Off-Site Hedge Baseline'!$B$1:$L$257,5,FALSE))))</f>
        <v/>
      </c>
      <c r="F194" s="295" t="str">
        <f>IF(B194="","",IF(ISNA(VLOOKUP($B194,'E-1 Off-Site Hedge Baseline'!$B$1:$L$257,6,FALSE)),"",(VLOOKUP($B194,'E-1 Off-Site Hedge Baseline'!$B$1:$L$257,6,FALSE))))</f>
        <v/>
      </c>
      <c r="G194" s="295" t="str">
        <f>IF(B194="","",IF(ISNA(VLOOKUP($B194,'E-1 Off-Site Hedge Baseline'!$B$1:$L$257,7,FALSE)),"",(VLOOKUP($B194,'E-1 Off-Site Hedge Baseline'!$B$1:$L$257,7,FALSE))))</f>
        <v/>
      </c>
      <c r="H194" s="295" t="str">
        <f>IF(B194="","",IF(ISNA(VLOOKUP($B194,'E-1 Off-Site Hedge Baseline'!$B$1:$L$257,8,FALSE)),"",(VLOOKUP($B194,'E-1 Off-Site Hedge Baseline'!$B$1:$L$257,8,FALSE))))</f>
        <v/>
      </c>
      <c r="I194" s="295" t="str">
        <f>IF(B194="","",IF(ISNA(VLOOKUP($B194,'E-1 Off-Site Hedge Baseline'!$B$1:$L$257,10,FALSE)),"",(VLOOKUP($B194,'E-1 Off-Site Hedge Baseline'!$B$1:$L$257,10,FALSE))))</f>
        <v/>
      </c>
      <c r="J194" s="295" t="str">
        <f>IF(B194="","",IF(ISNA(VLOOKUP($B194,'E-1 Off-Site Hedge Baseline'!$B$1:$L$257,11,FALSE)),"",(VLOOKUP($B194,'E-1 Off-Site Hedge Baseline'!$B$1:$L$257,11,FALSE))))</f>
        <v/>
      </c>
      <c r="K194" s="295" t="str">
        <f>IF(B194="","",IF(ISNA(VLOOKUP($B194,'E-1 Off-Site Hedge Baseline'!$B$1:$X$257,16,FALSE)),"",(VLOOKUP($B194,'E-1 Off-Site Hedge Baseline'!$B$1:$X$257,16,FALSE))))</f>
        <v/>
      </c>
      <c r="L194" s="283" t="str">
        <f>IF(B194="","",IF(ISNA(VLOOKUP($B194,'E-1 Off-Site Hedge Baseline'!$B$1:$X$257,12,FALSE)),"",(VLOOKUP($B194,'E-1 Off-Site Hedge Baseline'!$B$1:$X$257,12,FALSE))))</f>
        <v/>
      </c>
      <c r="M194" s="244"/>
      <c r="N194" s="275" t="str">
        <f>IFERROR(IF(B194="","",INDEX('G-6 Hedgerow Data'!$AN$3:$AZ$15,MATCH(C194,'G-6 Hedgerow Data'!$AM$3:$AM$15,0),MATCH(M194,'G-6 Hedgerow Data'!$AN$2:$AZ$2,0))),"")</f>
        <v/>
      </c>
      <c r="O194" s="276" t="str">
        <f t="shared" si="17"/>
        <v/>
      </c>
      <c r="P194" s="281" t="str">
        <f>IF(B194="","",VLOOKUP(B194,'E-1 Off-Site Hedge Baseline'!$B$10:W439,19,FALSE))</f>
        <v/>
      </c>
      <c r="Q194" s="275" t="str">
        <f>IF(M194="","",VLOOKUP(M194,'G-6 Hedgerow Data'!$B$2:$AG$15,2,FALSE))</f>
        <v/>
      </c>
      <c r="R194" s="276" t="str">
        <f>IF(M194="","",VLOOKUP(M194,'G-6 Hedgerow Data'!$B$2:$AG$15,3,FALSE))</f>
        <v/>
      </c>
      <c r="S194" s="101"/>
      <c r="T194" s="276" t="str">
        <f>IFERROR(IF(S194="","",IF(AND(M194="Non-native and ornamental hedgerow",S194&lt;&gt;"Poor"),"Not possible ▲",(IF(AND(Q194="V.Low",OR(S194="Good",S194="Moderate")),"Error ▲",VLOOKUP(S194,'G-1 All Habitats'!$Z$2:$AA$9,2,FALSE))))),"")</f>
        <v/>
      </c>
      <c r="U194" s="101"/>
      <c r="V194" s="283" t="str">
        <f>IF(U194="","",IF(VLOOKUP(U194,'G-3 Multipliers'!$L$3:$N$6,2,FALSE)=0,"Spatial Data Missing ⚠",VLOOKUP(U194,'G-3 Multipliers'!$L$3:$N$6,2,FALSE)))</f>
        <v/>
      </c>
      <c r="W194" s="281" t="str">
        <f>IF(U194="","",IF(VLOOKUP(U194,'G-3 Multipliers'!$L$3:$N$6,3,FALSE)=0,"Spatial Data Missing ⚠",VLOOKUP(U194,'G-3 Multipliers'!$L$3:$N$6,3,FALSE)))</f>
        <v/>
      </c>
      <c r="X194" s="275" t="str">
        <f>IFERROR(IF(OR(LEFT(O194,5)="Error",LEFT(N194,5)="Error",T194="Error"),"Check Data ⚠",IF(F194&lt;R194,INDEX('G-6 Hedgerow Data'!$S$3:$AE$14,MATCH(C194,'G-6 Hedgerow Data'!$B$3:$B$14,0),MATCH(M194,'G-6 Hedgerow Data'!$S$2:$AE$2,0)),INDEX('G-6 Hedgerow Data'!$K$3:$Q$14,MATCH(M194,'G-6 Hedgerow Data'!$B$3:$B$14,0),MATCH(O194,'G-6 Hedgerow Data'!$K$2:$Q$2,0)))),"")</f>
        <v/>
      </c>
      <c r="Y194" s="133"/>
      <c r="Z194" s="133"/>
      <c r="AA194" s="283" t="str">
        <f t="shared" si="18"/>
        <v/>
      </c>
      <c r="AB194" s="296" t="str">
        <f t="shared" si="19"/>
        <v/>
      </c>
      <c r="AC194" s="297" t="str">
        <f t="shared" si="16"/>
        <v/>
      </c>
      <c r="AD194" s="311" t="str">
        <f>IF(M194="","",VLOOKUP(M194,'G-6 Hedgerow Data'!$B$3:$AG$15,31,FALSE))</f>
        <v/>
      </c>
      <c r="AE194" s="295" t="str">
        <f t="shared" si="20"/>
        <v/>
      </c>
      <c r="AF194" s="283" t="str">
        <f t="shared" si="21"/>
        <v/>
      </c>
      <c r="AG194" s="299" t="str">
        <f>IFERROR(IF(O194="","",VLOOKUP(AD194,'G-3 Multipliers'!$P$3:$Q$6,2,FALSE)),"")</f>
        <v/>
      </c>
      <c r="AH194" s="713" t="str">
        <f>IF(B194="","",IF(ISNA(VLOOKUP($B194,'E-1 Off-Site Hedge Baseline'!$B$1:$Z$257,14,FALSE)),"",(VLOOKUP($B194,'E-1 Off-Site Hedge Baseline'!$B$1:$Z$257,14,FALSE))))</f>
        <v/>
      </c>
      <c r="AI194" s="276" t="str">
        <f>IF(AH194="","",IF(VLOOKUP(AH194,'G-3 Multipliers'!$S$3:$T$10,2,FALSE)=0,"Spatial Data Missing ⚠",VLOOKUP(AH194,'G-3 Multipliers'!$S$3:$T$10,2,FALSE)))</f>
        <v/>
      </c>
      <c r="AJ194" s="317" t="str">
        <f t="shared" si="22"/>
        <v/>
      </c>
      <c r="AK194" s="289" t="str">
        <f t="shared" si="23"/>
        <v/>
      </c>
      <c r="AL194" s="101"/>
      <c r="AM194" s="115"/>
      <c r="AN194" s="104"/>
      <c r="AO194" s="104"/>
      <c r="AQ194" s="30" t="str">
        <f>IFERROR(INDEX('G-6 Hedgerow Data'!$BJ$3:$BJ$15,MATCH(M194,'G-6 Hedgerow Data'!$B$3:$B$15,0)),"")</f>
        <v/>
      </c>
    </row>
    <row r="195" spans="2:43" ht="14">
      <c r="B195" s="305" t="str">
        <f>'E-1 Off-Site Hedge Baseline'!AN193</f>
        <v/>
      </c>
      <c r="C195" s="295" t="str">
        <f>IF(B195="","",IF(ISNA(VLOOKUP($B195,'E-1 Off-Site Hedge Baseline'!$B$1:$L$257,3,FALSE)),"",(VLOOKUP($B195,'E-1 Off-Site Hedge Baseline'!$B$1:$L$257,3,FALSE))))</f>
        <v/>
      </c>
      <c r="D195" s="295" t="str">
        <f>IF(B195="","",IF(ISNA(VLOOKUP($B195,'E-1 Off-Site Hedge Baseline'!$B$1:$L$258,4,FALSE)),"",(VLOOKUP($B195,'E-1 Off-Site Hedge Baseline'!$B$1:$L$258,4,FALSE))))</f>
        <v/>
      </c>
      <c r="E195" s="295" t="str">
        <f>IF(B195="","",IF(ISNA(VLOOKUP($B195,'E-1 Off-Site Hedge Baseline'!$B$1:$L$257,5,FALSE)),"",(VLOOKUP($B195,'E-1 Off-Site Hedge Baseline'!$B$1:$L$257,5,FALSE))))</f>
        <v/>
      </c>
      <c r="F195" s="295" t="str">
        <f>IF(B195="","",IF(ISNA(VLOOKUP($B195,'E-1 Off-Site Hedge Baseline'!$B$1:$L$257,6,FALSE)),"",(VLOOKUP($B195,'E-1 Off-Site Hedge Baseline'!$B$1:$L$257,6,FALSE))))</f>
        <v/>
      </c>
      <c r="G195" s="295" t="str">
        <f>IF(B195="","",IF(ISNA(VLOOKUP($B195,'E-1 Off-Site Hedge Baseline'!$B$1:$L$257,7,FALSE)),"",(VLOOKUP($B195,'E-1 Off-Site Hedge Baseline'!$B$1:$L$257,7,FALSE))))</f>
        <v/>
      </c>
      <c r="H195" s="295" t="str">
        <f>IF(B195="","",IF(ISNA(VLOOKUP($B195,'E-1 Off-Site Hedge Baseline'!$B$1:$L$257,8,FALSE)),"",(VLOOKUP($B195,'E-1 Off-Site Hedge Baseline'!$B$1:$L$257,8,FALSE))))</f>
        <v/>
      </c>
      <c r="I195" s="295" t="str">
        <f>IF(B195="","",IF(ISNA(VLOOKUP($B195,'E-1 Off-Site Hedge Baseline'!$B$1:$L$257,10,FALSE)),"",(VLOOKUP($B195,'E-1 Off-Site Hedge Baseline'!$B$1:$L$257,10,FALSE))))</f>
        <v/>
      </c>
      <c r="J195" s="295" t="str">
        <f>IF(B195="","",IF(ISNA(VLOOKUP($B195,'E-1 Off-Site Hedge Baseline'!$B$1:$L$257,11,FALSE)),"",(VLOOKUP($B195,'E-1 Off-Site Hedge Baseline'!$B$1:$L$257,11,FALSE))))</f>
        <v/>
      </c>
      <c r="K195" s="295" t="str">
        <f>IF(B195="","",IF(ISNA(VLOOKUP($B195,'E-1 Off-Site Hedge Baseline'!$B$1:$X$257,16,FALSE)),"",(VLOOKUP($B195,'E-1 Off-Site Hedge Baseline'!$B$1:$X$257,16,FALSE))))</f>
        <v/>
      </c>
      <c r="L195" s="283" t="str">
        <f>IF(B195="","",IF(ISNA(VLOOKUP($B195,'E-1 Off-Site Hedge Baseline'!$B$1:$X$257,12,FALSE)),"",(VLOOKUP($B195,'E-1 Off-Site Hedge Baseline'!$B$1:$X$257,12,FALSE))))</f>
        <v/>
      </c>
      <c r="M195" s="244"/>
      <c r="N195" s="275" t="str">
        <f>IFERROR(IF(B195="","",INDEX('G-6 Hedgerow Data'!$AN$3:$AZ$15,MATCH(C195,'G-6 Hedgerow Data'!$AM$3:$AM$15,0),MATCH(M195,'G-6 Hedgerow Data'!$AN$2:$AZ$2,0))),"")</f>
        <v/>
      </c>
      <c r="O195" s="276" t="str">
        <f t="shared" si="17"/>
        <v/>
      </c>
      <c r="P195" s="281" t="str">
        <f>IF(B195="","",VLOOKUP(B195,'E-1 Off-Site Hedge Baseline'!$B$10:W440,19,FALSE))</f>
        <v/>
      </c>
      <c r="Q195" s="275" t="str">
        <f>IF(M195="","",VLOOKUP(M195,'G-6 Hedgerow Data'!$B$2:$AG$15,2,FALSE))</f>
        <v/>
      </c>
      <c r="R195" s="276" t="str">
        <f>IF(M195="","",VLOOKUP(M195,'G-6 Hedgerow Data'!$B$2:$AG$15,3,FALSE))</f>
        <v/>
      </c>
      <c r="S195" s="101"/>
      <c r="T195" s="276" t="str">
        <f>IFERROR(IF(S195="","",IF(AND(M195="Non-native and ornamental hedgerow",S195&lt;&gt;"Poor"),"Not possible ▲",(IF(AND(Q195="V.Low",OR(S195="Good",S195="Moderate")),"Error ▲",VLOOKUP(S195,'G-1 All Habitats'!$Z$2:$AA$9,2,FALSE))))),"")</f>
        <v/>
      </c>
      <c r="U195" s="101"/>
      <c r="V195" s="283" t="str">
        <f>IF(U195="","",IF(VLOOKUP(U195,'G-3 Multipliers'!$L$3:$N$6,2,FALSE)=0,"Spatial Data Missing ⚠",VLOOKUP(U195,'G-3 Multipliers'!$L$3:$N$6,2,FALSE)))</f>
        <v/>
      </c>
      <c r="W195" s="281" t="str">
        <f>IF(U195="","",IF(VLOOKUP(U195,'G-3 Multipliers'!$L$3:$N$6,3,FALSE)=0,"Spatial Data Missing ⚠",VLOOKUP(U195,'G-3 Multipliers'!$L$3:$N$6,3,FALSE)))</f>
        <v/>
      </c>
      <c r="X195" s="275" t="str">
        <f>IFERROR(IF(OR(LEFT(O195,5)="Error",LEFT(N195,5)="Error",T195="Error"),"Check Data ⚠",IF(F195&lt;R195,INDEX('G-6 Hedgerow Data'!$S$3:$AE$14,MATCH(C195,'G-6 Hedgerow Data'!$B$3:$B$14,0),MATCH(M195,'G-6 Hedgerow Data'!$S$2:$AE$2,0)),INDEX('G-6 Hedgerow Data'!$K$3:$Q$14,MATCH(M195,'G-6 Hedgerow Data'!$B$3:$B$14,0),MATCH(O195,'G-6 Hedgerow Data'!$K$2:$Q$2,0)))),"")</f>
        <v/>
      </c>
      <c r="Y195" s="133"/>
      <c r="Z195" s="133"/>
      <c r="AA195" s="283" t="str">
        <f t="shared" si="18"/>
        <v/>
      </c>
      <c r="AB195" s="296" t="str">
        <f t="shared" si="19"/>
        <v/>
      </c>
      <c r="AC195" s="297" t="str">
        <f t="shared" si="16"/>
        <v/>
      </c>
      <c r="AD195" s="311" t="str">
        <f>IF(M195="","",VLOOKUP(M195,'G-6 Hedgerow Data'!$B$3:$AG$15,31,FALSE))</f>
        <v/>
      </c>
      <c r="AE195" s="295" t="str">
        <f t="shared" si="20"/>
        <v/>
      </c>
      <c r="AF195" s="283" t="str">
        <f t="shared" si="21"/>
        <v/>
      </c>
      <c r="AG195" s="299" t="str">
        <f>IFERROR(IF(O195="","",VLOOKUP(AD195,'G-3 Multipliers'!$P$3:$Q$6,2,FALSE)),"")</f>
        <v/>
      </c>
      <c r="AH195" s="713" t="str">
        <f>IF(B195="","",IF(ISNA(VLOOKUP($B195,'E-1 Off-Site Hedge Baseline'!$B$1:$Z$257,14,FALSE)),"",(VLOOKUP($B195,'E-1 Off-Site Hedge Baseline'!$B$1:$Z$257,14,FALSE))))</f>
        <v/>
      </c>
      <c r="AI195" s="276" t="str">
        <f>IF(AH195="","",IF(VLOOKUP(AH195,'G-3 Multipliers'!$S$3:$T$10,2,FALSE)=0,"Spatial Data Missing ⚠",VLOOKUP(AH195,'G-3 Multipliers'!$S$3:$T$10,2,FALSE)))</f>
        <v/>
      </c>
      <c r="AJ195" s="317" t="str">
        <f t="shared" si="22"/>
        <v/>
      </c>
      <c r="AK195" s="289" t="str">
        <f t="shared" si="23"/>
        <v/>
      </c>
      <c r="AL195" s="101"/>
      <c r="AM195" s="115"/>
      <c r="AN195" s="104"/>
      <c r="AO195" s="104"/>
      <c r="AQ195" s="30" t="str">
        <f>IFERROR(INDEX('G-6 Hedgerow Data'!$BJ$3:$BJ$15,MATCH(M195,'G-6 Hedgerow Data'!$B$3:$B$15,0)),"")</f>
        <v/>
      </c>
    </row>
    <row r="196" spans="2:43" ht="14">
      <c r="B196" s="305" t="str">
        <f>'E-1 Off-Site Hedge Baseline'!AN194</f>
        <v/>
      </c>
      <c r="C196" s="295" t="str">
        <f>IF(B196="","",IF(ISNA(VLOOKUP($B196,'E-1 Off-Site Hedge Baseline'!$B$1:$L$257,3,FALSE)),"",(VLOOKUP($B196,'E-1 Off-Site Hedge Baseline'!$B$1:$L$257,3,FALSE))))</f>
        <v/>
      </c>
      <c r="D196" s="295" t="str">
        <f>IF(B196="","",IF(ISNA(VLOOKUP($B196,'E-1 Off-Site Hedge Baseline'!$B$1:$L$258,4,FALSE)),"",(VLOOKUP($B196,'E-1 Off-Site Hedge Baseline'!$B$1:$L$258,4,FALSE))))</f>
        <v/>
      </c>
      <c r="E196" s="295" t="str">
        <f>IF(B196="","",IF(ISNA(VLOOKUP($B196,'E-1 Off-Site Hedge Baseline'!$B$1:$L$257,5,FALSE)),"",(VLOOKUP($B196,'E-1 Off-Site Hedge Baseline'!$B$1:$L$257,5,FALSE))))</f>
        <v/>
      </c>
      <c r="F196" s="295" t="str">
        <f>IF(B196="","",IF(ISNA(VLOOKUP($B196,'E-1 Off-Site Hedge Baseline'!$B$1:$L$257,6,FALSE)),"",(VLOOKUP($B196,'E-1 Off-Site Hedge Baseline'!$B$1:$L$257,6,FALSE))))</f>
        <v/>
      </c>
      <c r="G196" s="295" t="str">
        <f>IF(B196="","",IF(ISNA(VLOOKUP($B196,'E-1 Off-Site Hedge Baseline'!$B$1:$L$257,7,FALSE)),"",(VLOOKUP($B196,'E-1 Off-Site Hedge Baseline'!$B$1:$L$257,7,FALSE))))</f>
        <v/>
      </c>
      <c r="H196" s="295" t="str">
        <f>IF(B196="","",IF(ISNA(VLOOKUP($B196,'E-1 Off-Site Hedge Baseline'!$B$1:$L$257,8,FALSE)),"",(VLOOKUP($B196,'E-1 Off-Site Hedge Baseline'!$B$1:$L$257,8,FALSE))))</f>
        <v/>
      </c>
      <c r="I196" s="295" t="str">
        <f>IF(B196="","",IF(ISNA(VLOOKUP($B196,'E-1 Off-Site Hedge Baseline'!$B$1:$L$257,10,FALSE)),"",(VLOOKUP($B196,'E-1 Off-Site Hedge Baseline'!$B$1:$L$257,10,FALSE))))</f>
        <v/>
      </c>
      <c r="J196" s="295" t="str">
        <f>IF(B196="","",IF(ISNA(VLOOKUP($B196,'E-1 Off-Site Hedge Baseline'!$B$1:$L$257,11,FALSE)),"",(VLOOKUP($B196,'E-1 Off-Site Hedge Baseline'!$B$1:$L$257,11,FALSE))))</f>
        <v/>
      </c>
      <c r="K196" s="295" t="str">
        <f>IF(B196="","",IF(ISNA(VLOOKUP($B196,'E-1 Off-Site Hedge Baseline'!$B$1:$X$257,16,FALSE)),"",(VLOOKUP($B196,'E-1 Off-Site Hedge Baseline'!$B$1:$X$257,16,FALSE))))</f>
        <v/>
      </c>
      <c r="L196" s="283" t="str">
        <f>IF(B196="","",IF(ISNA(VLOOKUP($B196,'E-1 Off-Site Hedge Baseline'!$B$1:$X$257,12,FALSE)),"",(VLOOKUP($B196,'E-1 Off-Site Hedge Baseline'!$B$1:$X$257,12,FALSE))))</f>
        <v/>
      </c>
      <c r="M196" s="244"/>
      <c r="N196" s="275" t="str">
        <f>IFERROR(IF(B196="","",INDEX('G-6 Hedgerow Data'!$AN$3:$AZ$15,MATCH(C196,'G-6 Hedgerow Data'!$AM$3:$AM$15,0),MATCH(M196,'G-6 Hedgerow Data'!$AN$2:$AZ$2,0))),"")</f>
        <v/>
      </c>
      <c r="O196" s="276" t="str">
        <f t="shared" si="17"/>
        <v/>
      </c>
      <c r="P196" s="281" t="str">
        <f>IF(B196="","",VLOOKUP(B196,'E-1 Off-Site Hedge Baseline'!$B$10:W441,19,FALSE))</f>
        <v/>
      </c>
      <c r="Q196" s="275" t="str">
        <f>IF(M196="","",VLOOKUP(M196,'G-6 Hedgerow Data'!$B$2:$AG$15,2,FALSE))</f>
        <v/>
      </c>
      <c r="R196" s="276" t="str">
        <f>IF(M196="","",VLOOKUP(M196,'G-6 Hedgerow Data'!$B$2:$AG$15,3,FALSE))</f>
        <v/>
      </c>
      <c r="S196" s="101"/>
      <c r="T196" s="276" t="str">
        <f>IFERROR(IF(S196="","",IF(AND(M196="Non-native and ornamental hedgerow",S196&lt;&gt;"Poor"),"Not possible ▲",(IF(AND(Q196="V.Low",OR(S196="Good",S196="Moderate")),"Error ▲",VLOOKUP(S196,'G-1 All Habitats'!$Z$2:$AA$9,2,FALSE))))),"")</f>
        <v/>
      </c>
      <c r="U196" s="101"/>
      <c r="V196" s="283" t="str">
        <f>IF(U196="","",IF(VLOOKUP(U196,'G-3 Multipliers'!$L$3:$N$6,2,FALSE)=0,"Spatial Data Missing ⚠",VLOOKUP(U196,'G-3 Multipliers'!$L$3:$N$6,2,FALSE)))</f>
        <v/>
      </c>
      <c r="W196" s="281" t="str">
        <f>IF(U196="","",IF(VLOOKUP(U196,'G-3 Multipliers'!$L$3:$N$6,3,FALSE)=0,"Spatial Data Missing ⚠",VLOOKUP(U196,'G-3 Multipliers'!$L$3:$N$6,3,FALSE)))</f>
        <v/>
      </c>
      <c r="X196" s="275" t="str">
        <f>IFERROR(IF(OR(LEFT(O196,5)="Error",LEFT(N196,5)="Error",T196="Error"),"Check Data ⚠",IF(F196&lt;R196,INDEX('G-6 Hedgerow Data'!$S$3:$AE$14,MATCH(C196,'G-6 Hedgerow Data'!$B$3:$B$14,0),MATCH(M196,'G-6 Hedgerow Data'!$S$2:$AE$2,0)),INDEX('G-6 Hedgerow Data'!$K$3:$Q$14,MATCH(M196,'G-6 Hedgerow Data'!$B$3:$B$14,0),MATCH(O196,'G-6 Hedgerow Data'!$K$2:$Q$2,0)))),"")</f>
        <v/>
      </c>
      <c r="Y196" s="133"/>
      <c r="Z196" s="133"/>
      <c r="AA196" s="283" t="str">
        <f t="shared" si="18"/>
        <v/>
      </c>
      <c r="AB196" s="296" t="str">
        <f t="shared" si="19"/>
        <v/>
      </c>
      <c r="AC196" s="297" t="str">
        <f t="shared" si="16"/>
        <v/>
      </c>
      <c r="AD196" s="311" t="str">
        <f>IF(M196="","",VLOOKUP(M196,'G-6 Hedgerow Data'!$B$3:$AG$15,31,FALSE))</f>
        <v/>
      </c>
      <c r="AE196" s="295" t="str">
        <f t="shared" si="20"/>
        <v/>
      </c>
      <c r="AF196" s="283" t="str">
        <f t="shared" si="21"/>
        <v/>
      </c>
      <c r="AG196" s="299" t="str">
        <f>IFERROR(IF(O196="","",VLOOKUP(AD196,'G-3 Multipliers'!$P$3:$Q$6,2,FALSE)),"")</f>
        <v/>
      </c>
      <c r="AH196" s="713" t="str">
        <f>IF(B196="","",IF(ISNA(VLOOKUP($B196,'E-1 Off-Site Hedge Baseline'!$B$1:$Z$257,14,FALSE)),"",(VLOOKUP($B196,'E-1 Off-Site Hedge Baseline'!$B$1:$Z$257,14,FALSE))))</f>
        <v/>
      </c>
      <c r="AI196" s="276" t="str">
        <f>IF(AH196="","",IF(VLOOKUP(AH196,'G-3 Multipliers'!$S$3:$T$10,2,FALSE)=0,"Spatial Data Missing ⚠",VLOOKUP(AH196,'G-3 Multipliers'!$S$3:$T$10,2,FALSE)))</f>
        <v/>
      </c>
      <c r="AJ196" s="317" t="str">
        <f t="shared" si="22"/>
        <v/>
      </c>
      <c r="AK196" s="289" t="str">
        <f t="shared" si="23"/>
        <v/>
      </c>
      <c r="AL196" s="101"/>
      <c r="AM196" s="115"/>
      <c r="AN196" s="104"/>
      <c r="AO196" s="104"/>
      <c r="AQ196" s="30" t="str">
        <f>IFERROR(INDEX('G-6 Hedgerow Data'!$BJ$3:$BJ$15,MATCH(M196,'G-6 Hedgerow Data'!$B$3:$B$15,0)),"")</f>
        <v/>
      </c>
    </row>
    <row r="197" spans="2:43" ht="14">
      <c r="B197" s="305" t="str">
        <f>'E-1 Off-Site Hedge Baseline'!AN195</f>
        <v/>
      </c>
      <c r="C197" s="295" t="str">
        <f>IF(B197="","",IF(ISNA(VLOOKUP($B197,'E-1 Off-Site Hedge Baseline'!$B$1:$L$257,3,FALSE)),"",(VLOOKUP($B197,'E-1 Off-Site Hedge Baseline'!$B$1:$L$257,3,FALSE))))</f>
        <v/>
      </c>
      <c r="D197" s="295" t="str">
        <f>IF(B197="","",IF(ISNA(VLOOKUP($B197,'E-1 Off-Site Hedge Baseline'!$B$1:$L$258,4,FALSE)),"",(VLOOKUP($B197,'E-1 Off-Site Hedge Baseline'!$B$1:$L$258,4,FALSE))))</f>
        <v/>
      </c>
      <c r="E197" s="295" t="str">
        <f>IF(B197="","",IF(ISNA(VLOOKUP($B197,'E-1 Off-Site Hedge Baseline'!$B$1:$L$257,5,FALSE)),"",(VLOOKUP($B197,'E-1 Off-Site Hedge Baseline'!$B$1:$L$257,5,FALSE))))</f>
        <v/>
      </c>
      <c r="F197" s="295" t="str">
        <f>IF(B197="","",IF(ISNA(VLOOKUP($B197,'E-1 Off-Site Hedge Baseline'!$B$1:$L$257,6,FALSE)),"",(VLOOKUP($B197,'E-1 Off-Site Hedge Baseline'!$B$1:$L$257,6,FALSE))))</f>
        <v/>
      </c>
      <c r="G197" s="295" t="str">
        <f>IF(B197="","",IF(ISNA(VLOOKUP($B197,'E-1 Off-Site Hedge Baseline'!$B$1:$L$257,7,FALSE)),"",(VLOOKUP($B197,'E-1 Off-Site Hedge Baseline'!$B$1:$L$257,7,FALSE))))</f>
        <v/>
      </c>
      <c r="H197" s="295" t="str">
        <f>IF(B197="","",IF(ISNA(VLOOKUP($B197,'E-1 Off-Site Hedge Baseline'!$B$1:$L$257,8,FALSE)),"",(VLOOKUP($B197,'E-1 Off-Site Hedge Baseline'!$B$1:$L$257,8,FALSE))))</f>
        <v/>
      </c>
      <c r="I197" s="295" t="str">
        <f>IF(B197="","",IF(ISNA(VLOOKUP($B197,'E-1 Off-Site Hedge Baseline'!$B$1:$L$257,10,FALSE)),"",(VLOOKUP($B197,'E-1 Off-Site Hedge Baseline'!$B$1:$L$257,10,FALSE))))</f>
        <v/>
      </c>
      <c r="J197" s="295" t="str">
        <f>IF(B197="","",IF(ISNA(VLOOKUP($B197,'E-1 Off-Site Hedge Baseline'!$B$1:$L$257,11,FALSE)),"",(VLOOKUP($B197,'E-1 Off-Site Hedge Baseline'!$B$1:$L$257,11,FALSE))))</f>
        <v/>
      </c>
      <c r="K197" s="295" t="str">
        <f>IF(B197="","",IF(ISNA(VLOOKUP($B197,'E-1 Off-Site Hedge Baseline'!$B$1:$X$257,16,FALSE)),"",(VLOOKUP($B197,'E-1 Off-Site Hedge Baseline'!$B$1:$X$257,16,FALSE))))</f>
        <v/>
      </c>
      <c r="L197" s="283" t="str">
        <f>IF(B197="","",IF(ISNA(VLOOKUP($B197,'E-1 Off-Site Hedge Baseline'!$B$1:$X$257,12,FALSE)),"",(VLOOKUP($B197,'E-1 Off-Site Hedge Baseline'!$B$1:$X$257,12,FALSE))))</f>
        <v/>
      </c>
      <c r="M197" s="244"/>
      <c r="N197" s="275" t="str">
        <f>IFERROR(IF(B197="","",INDEX('G-6 Hedgerow Data'!$AN$3:$AZ$15,MATCH(C197,'G-6 Hedgerow Data'!$AM$3:$AM$15,0),MATCH(M197,'G-6 Hedgerow Data'!$AN$2:$AZ$2,0))),"")</f>
        <v/>
      </c>
      <c r="O197" s="276" t="str">
        <f t="shared" si="17"/>
        <v/>
      </c>
      <c r="P197" s="281" t="str">
        <f>IF(B197="","",VLOOKUP(B197,'E-1 Off-Site Hedge Baseline'!$B$10:W442,19,FALSE))</f>
        <v/>
      </c>
      <c r="Q197" s="275" t="str">
        <f>IF(M197="","",VLOOKUP(M197,'G-6 Hedgerow Data'!$B$2:$AG$15,2,FALSE))</f>
        <v/>
      </c>
      <c r="R197" s="276" t="str">
        <f>IF(M197="","",VLOOKUP(M197,'G-6 Hedgerow Data'!$B$2:$AG$15,3,FALSE))</f>
        <v/>
      </c>
      <c r="S197" s="101"/>
      <c r="T197" s="276" t="str">
        <f>IFERROR(IF(S197="","",IF(AND(M197="Non-native and ornamental hedgerow",S197&lt;&gt;"Poor"),"Not possible ▲",(IF(AND(Q197="V.Low",OR(S197="Good",S197="Moderate")),"Error ▲",VLOOKUP(S197,'G-1 All Habitats'!$Z$2:$AA$9,2,FALSE))))),"")</f>
        <v/>
      </c>
      <c r="U197" s="101"/>
      <c r="V197" s="283" t="str">
        <f>IF(U197="","",IF(VLOOKUP(U197,'G-3 Multipliers'!$L$3:$N$6,2,FALSE)=0,"Spatial Data Missing ⚠",VLOOKUP(U197,'G-3 Multipliers'!$L$3:$N$6,2,FALSE)))</f>
        <v/>
      </c>
      <c r="W197" s="281" t="str">
        <f>IF(U197="","",IF(VLOOKUP(U197,'G-3 Multipliers'!$L$3:$N$6,3,FALSE)=0,"Spatial Data Missing ⚠",VLOOKUP(U197,'G-3 Multipliers'!$L$3:$N$6,3,FALSE)))</f>
        <v/>
      </c>
      <c r="X197" s="275" t="str">
        <f>IFERROR(IF(OR(LEFT(O197,5)="Error",LEFT(N197,5)="Error",T197="Error"),"Check Data ⚠",IF(F197&lt;R197,INDEX('G-6 Hedgerow Data'!$S$3:$AE$14,MATCH(C197,'G-6 Hedgerow Data'!$B$3:$B$14,0),MATCH(M197,'G-6 Hedgerow Data'!$S$2:$AE$2,0)),INDEX('G-6 Hedgerow Data'!$K$3:$Q$14,MATCH(M197,'G-6 Hedgerow Data'!$B$3:$B$14,0),MATCH(O197,'G-6 Hedgerow Data'!$K$2:$Q$2,0)))),"")</f>
        <v/>
      </c>
      <c r="Y197" s="133"/>
      <c r="Z197" s="133"/>
      <c r="AA197" s="283" t="str">
        <f t="shared" si="18"/>
        <v/>
      </c>
      <c r="AB197" s="296" t="str">
        <f t="shared" si="19"/>
        <v/>
      </c>
      <c r="AC197" s="297" t="str">
        <f t="shared" si="16"/>
        <v/>
      </c>
      <c r="AD197" s="311" t="str">
        <f>IF(M197="","",VLOOKUP(M197,'G-6 Hedgerow Data'!$B$3:$AG$15,31,FALSE))</f>
        <v/>
      </c>
      <c r="AE197" s="295" t="str">
        <f t="shared" si="20"/>
        <v/>
      </c>
      <c r="AF197" s="283" t="str">
        <f t="shared" si="21"/>
        <v/>
      </c>
      <c r="AG197" s="299" t="str">
        <f>IFERROR(IF(O197="","",VLOOKUP(AD197,'G-3 Multipliers'!$P$3:$Q$6,2,FALSE)),"")</f>
        <v/>
      </c>
      <c r="AH197" s="713" t="str">
        <f>IF(B197="","",IF(ISNA(VLOOKUP($B197,'E-1 Off-Site Hedge Baseline'!$B$1:$Z$257,14,FALSE)),"",(VLOOKUP($B197,'E-1 Off-Site Hedge Baseline'!$B$1:$Z$257,14,FALSE))))</f>
        <v/>
      </c>
      <c r="AI197" s="276" t="str">
        <f>IF(AH197="","",IF(VLOOKUP(AH197,'G-3 Multipliers'!$S$3:$T$10,2,FALSE)=0,"Spatial Data Missing ⚠",VLOOKUP(AH197,'G-3 Multipliers'!$S$3:$T$10,2,FALSE)))</f>
        <v/>
      </c>
      <c r="AJ197" s="317" t="str">
        <f t="shared" si="22"/>
        <v/>
      </c>
      <c r="AK197" s="289" t="str">
        <f t="shared" si="23"/>
        <v/>
      </c>
      <c r="AL197" s="101"/>
      <c r="AM197" s="115"/>
      <c r="AN197" s="104"/>
      <c r="AO197" s="104"/>
      <c r="AQ197" s="30" t="str">
        <f>IFERROR(INDEX('G-6 Hedgerow Data'!$BJ$3:$BJ$15,MATCH(M197,'G-6 Hedgerow Data'!$B$3:$B$15,0)),"")</f>
        <v/>
      </c>
    </row>
    <row r="198" spans="2:43" ht="14">
      <c r="B198" s="305" t="str">
        <f>'E-1 Off-Site Hedge Baseline'!AN196</f>
        <v/>
      </c>
      <c r="C198" s="295" t="str">
        <f>IF(B198="","",IF(ISNA(VLOOKUP($B198,'E-1 Off-Site Hedge Baseline'!$B$1:$L$257,3,FALSE)),"",(VLOOKUP($B198,'E-1 Off-Site Hedge Baseline'!$B$1:$L$257,3,FALSE))))</f>
        <v/>
      </c>
      <c r="D198" s="295" t="str">
        <f>IF(B198="","",IF(ISNA(VLOOKUP($B198,'E-1 Off-Site Hedge Baseline'!$B$1:$L$258,4,FALSE)),"",(VLOOKUP($B198,'E-1 Off-Site Hedge Baseline'!$B$1:$L$258,4,FALSE))))</f>
        <v/>
      </c>
      <c r="E198" s="295" t="str">
        <f>IF(B198="","",IF(ISNA(VLOOKUP($B198,'E-1 Off-Site Hedge Baseline'!$B$1:$L$257,5,FALSE)),"",(VLOOKUP($B198,'E-1 Off-Site Hedge Baseline'!$B$1:$L$257,5,FALSE))))</f>
        <v/>
      </c>
      <c r="F198" s="295" t="str">
        <f>IF(B198="","",IF(ISNA(VLOOKUP($B198,'E-1 Off-Site Hedge Baseline'!$B$1:$L$257,6,FALSE)),"",(VLOOKUP($B198,'E-1 Off-Site Hedge Baseline'!$B$1:$L$257,6,FALSE))))</f>
        <v/>
      </c>
      <c r="G198" s="295" t="str">
        <f>IF(B198="","",IF(ISNA(VLOOKUP($B198,'E-1 Off-Site Hedge Baseline'!$B$1:$L$257,7,FALSE)),"",(VLOOKUP($B198,'E-1 Off-Site Hedge Baseline'!$B$1:$L$257,7,FALSE))))</f>
        <v/>
      </c>
      <c r="H198" s="295" t="str">
        <f>IF(B198="","",IF(ISNA(VLOOKUP($B198,'E-1 Off-Site Hedge Baseline'!$B$1:$L$257,8,FALSE)),"",(VLOOKUP($B198,'E-1 Off-Site Hedge Baseline'!$B$1:$L$257,8,FALSE))))</f>
        <v/>
      </c>
      <c r="I198" s="295" t="str">
        <f>IF(B198="","",IF(ISNA(VLOOKUP($B198,'E-1 Off-Site Hedge Baseline'!$B$1:$L$257,10,FALSE)),"",(VLOOKUP($B198,'E-1 Off-Site Hedge Baseline'!$B$1:$L$257,10,FALSE))))</f>
        <v/>
      </c>
      <c r="J198" s="295" t="str">
        <f>IF(B198="","",IF(ISNA(VLOOKUP($B198,'E-1 Off-Site Hedge Baseline'!$B$1:$L$257,11,FALSE)),"",(VLOOKUP($B198,'E-1 Off-Site Hedge Baseline'!$B$1:$L$257,11,FALSE))))</f>
        <v/>
      </c>
      <c r="K198" s="295" t="str">
        <f>IF(B198="","",IF(ISNA(VLOOKUP($B198,'E-1 Off-Site Hedge Baseline'!$B$1:$X$257,16,FALSE)),"",(VLOOKUP($B198,'E-1 Off-Site Hedge Baseline'!$B$1:$X$257,16,FALSE))))</f>
        <v/>
      </c>
      <c r="L198" s="283" t="str">
        <f>IF(B198="","",IF(ISNA(VLOOKUP($B198,'E-1 Off-Site Hedge Baseline'!$B$1:$X$257,12,FALSE)),"",(VLOOKUP($B198,'E-1 Off-Site Hedge Baseline'!$B$1:$X$257,12,FALSE))))</f>
        <v/>
      </c>
      <c r="M198" s="244"/>
      <c r="N198" s="275" t="str">
        <f>IFERROR(IF(B198="","",INDEX('G-6 Hedgerow Data'!$AN$3:$AZ$15,MATCH(C198,'G-6 Hedgerow Data'!$AM$3:$AM$15,0),MATCH(M198,'G-6 Hedgerow Data'!$AN$2:$AZ$2,0))),"")</f>
        <v/>
      </c>
      <c r="O198" s="276" t="str">
        <f t="shared" si="17"/>
        <v/>
      </c>
      <c r="P198" s="281" t="str">
        <f>IF(B198="","",VLOOKUP(B198,'E-1 Off-Site Hedge Baseline'!$B$10:W443,19,FALSE))</f>
        <v/>
      </c>
      <c r="Q198" s="275" t="str">
        <f>IF(M198="","",VLOOKUP(M198,'G-6 Hedgerow Data'!$B$2:$AG$15,2,FALSE))</f>
        <v/>
      </c>
      <c r="R198" s="276" t="str">
        <f>IF(M198="","",VLOOKUP(M198,'G-6 Hedgerow Data'!$B$2:$AG$15,3,FALSE))</f>
        <v/>
      </c>
      <c r="S198" s="101"/>
      <c r="T198" s="276" t="str">
        <f>IFERROR(IF(S198="","",IF(AND(M198="Non-native and ornamental hedgerow",S198&lt;&gt;"Poor"),"Not possible ▲",(IF(AND(Q198="V.Low",OR(S198="Good",S198="Moderate")),"Error ▲",VLOOKUP(S198,'G-1 All Habitats'!$Z$2:$AA$9,2,FALSE))))),"")</f>
        <v/>
      </c>
      <c r="U198" s="101"/>
      <c r="V198" s="283" t="str">
        <f>IF(U198="","",IF(VLOOKUP(U198,'G-3 Multipliers'!$L$3:$N$6,2,FALSE)=0,"Spatial Data Missing ⚠",VLOOKUP(U198,'G-3 Multipliers'!$L$3:$N$6,2,FALSE)))</f>
        <v/>
      </c>
      <c r="W198" s="281" t="str">
        <f>IF(U198="","",IF(VLOOKUP(U198,'G-3 Multipliers'!$L$3:$N$6,3,FALSE)=0,"Spatial Data Missing ⚠",VLOOKUP(U198,'G-3 Multipliers'!$L$3:$N$6,3,FALSE)))</f>
        <v/>
      </c>
      <c r="X198" s="275" t="str">
        <f>IFERROR(IF(OR(LEFT(O198,5)="Error",LEFT(N198,5)="Error",T198="Error"),"Check Data ⚠",IF(F198&lt;R198,INDEX('G-6 Hedgerow Data'!$S$3:$AE$14,MATCH(C198,'G-6 Hedgerow Data'!$B$3:$B$14,0),MATCH(M198,'G-6 Hedgerow Data'!$S$2:$AE$2,0)),INDEX('G-6 Hedgerow Data'!$K$3:$Q$14,MATCH(M198,'G-6 Hedgerow Data'!$B$3:$B$14,0),MATCH(O198,'G-6 Hedgerow Data'!$K$2:$Q$2,0)))),"")</f>
        <v/>
      </c>
      <c r="Y198" s="133"/>
      <c r="Z198" s="133"/>
      <c r="AA198" s="283" t="str">
        <f t="shared" si="18"/>
        <v/>
      </c>
      <c r="AB198" s="296" t="str">
        <f t="shared" si="19"/>
        <v/>
      </c>
      <c r="AC198" s="297" t="str">
        <f t="shared" si="16"/>
        <v/>
      </c>
      <c r="AD198" s="311" t="str">
        <f>IF(M198="","",VLOOKUP(M198,'G-6 Hedgerow Data'!$B$3:$AG$15,31,FALSE))</f>
        <v/>
      </c>
      <c r="AE198" s="295" t="str">
        <f t="shared" si="20"/>
        <v/>
      </c>
      <c r="AF198" s="283" t="str">
        <f t="shared" si="21"/>
        <v/>
      </c>
      <c r="AG198" s="299" t="str">
        <f>IFERROR(IF(O198="","",VLOOKUP(AD198,'G-3 Multipliers'!$P$3:$Q$6,2,FALSE)),"")</f>
        <v/>
      </c>
      <c r="AH198" s="713" t="str">
        <f>IF(B198="","",IF(ISNA(VLOOKUP($B198,'E-1 Off-Site Hedge Baseline'!$B$1:$Z$257,14,FALSE)),"",(VLOOKUP($B198,'E-1 Off-Site Hedge Baseline'!$B$1:$Z$257,14,FALSE))))</f>
        <v/>
      </c>
      <c r="AI198" s="276" t="str">
        <f>IF(AH198="","",IF(VLOOKUP(AH198,'G-3 Multipliers'!$S$3:$T$10,2,FALSE)=0,"Spatial Data Missing ⚠",VLOOKUP(AH198,'G-3 Multipliers'!$S$3:$T$10,2,FALSE)))</f>
        <v/>
      </c>
      <c r="AJ198" s="317" t="str">
        <f t="shared" si="22"/>
        <v/>
      </c>
      <c r="AK198" s="289" t="str">
        <f t="shared" si="23"/>
        <v/>
      </c>
      <c r="AL198" s="101"/>
      <c r="AM198" s="115"/>
      <c r="AN198" s="104"/>
      <c r="AO198" s="104"/>
      <c r="AQ198" s="30" t="str">
        <f>IFERROR(INDEX('G-6 Hedgerow Data'!$BJ$3:$BJ$15,MATCH(M198,'G-6 Hedgerow Data'!$B$3:$B$15,0)),"")</f>
        <v/>
      </c>
    </row>
    <row r="199" spans="2:43" ht="14">
      <c r="B199" s="305" t="str">
        <f>'E-1 Off-Site Hedge Baseline'!AN197</f>
        <v/>
      </c>
      <c r="C199" s="295" t="str">
        <f>IF(B199="","",IF(ISNA(VLOOKUP($B199,'E-1 Off-Site Hedge Baseline'!$B$1:$L$257,3,FALSE)),"",(VLOOKUP($B199,'E-1 Off-Site Hedge Baseline'!$B$1:$L$257,3,FALSE))))</f>
        <v/>
      </c>
      <c r="D199" s="295" t="str">
        <f>IF(B199="","",IF(ISNA(VLOOKUP($B199,'E-1 Off-Site Hedge Baseline'!$B$1:$L$258,4,FALSE)),"",(VLOOKUP($B199,'E-1 Off-Site Hedge Baseline'!$B$1:$L$258,4,FALSE))))</f>
        <v/>
      </c>
      <c r="E199" s="295" t="str">
        <f>IF(B199="","",IF(ISNA(VLOOKUP($B199,'E-1 Off-Site Hedge Baseline'!$B$1:$L$257,5,FALSE)),"",(VLOOKUP($B199,'E-1 Off-Site Hedge Baseline'!$B$1:$L$257,5,FALSE))))</f>
        <v/>
      </c>
      <c r="F199" s="295" t="str">
        <f>IF(B199="","",IF(ISNA(VLOOKUP($B199,'E-1 Off-Site Hedge Baseline'!$B$1:$L$257,6,FALSE)),"",(VLOOKUP($B199,'E-1 Off-Site Hedge Baseline'!$B$1:$L$257,6,FALSE))))</f>
        <v/>
      </c>
      <c r="G199" s="295" t="str">
        <f>IF(B199="","",IF(ISNA(VLOOKUP($B199,'E-1 Off-Site Hedge Baseline'!$B$1:$L$257,7,FALSE)),"",(VLOOKUP($B199,'E-1 Off-Site Hedge Baseline'!$B$1:$L$257,7,FALSE))))</f>
        <v/>
      </c>
      <c r="H199" s="295" t="str">
        <f>IF(B199="","",IF(ISNA(VLOOKUP($B199,'E-1 Off-Site Hedge Baseline'!$B$1:$L$257,8,FALSE)),"",(VLOOKUP($B199,'E-1 Off-Site Hedge Baseline'!$B$1:$L$257,8,FALSE))))</f>
        <v/>
      </c>
      <c r="I199" s="295" t="str">
        <f>IF(B199="","",IF(ISNA(VLOOKUP($B199,'E-1 Off-Site Hedge Baseline'!$B$1:$L$257,10,FALSE)),"",(VLOOKUP($B199,'E-1 Off-Site Hedge Baseline'!$B$1:$L$257,10,FALSE))))</f>
        <v/>
      </c>
      <c r="J199" s="295" t="str">
        <f>IF(B199="","",IF(ISNA(VLOOKUP($B199,'E-1 Off-Site Hedge Baseline'!$B$1:$L$257,11,FALSE)),"",(VLOOKUP($B199,'E-1 Off-Site Hedge Baseline'!$B$1:$L$257,11,FALSE))))</f>
        <v/>
      </c>
      <c r="K199" s="295" t="str">
        <f>IF(B199="","",IF(ISNA(VLOOKUP($B199,'E-1 Off-Site Hedge Baseline'!$B$1:$X$257,16,FALSE)),"",(VLOOKUP($B199,'E-1 Off-Site Hedge Baseline'!$B$1:$X$257,16,FALSE))))</f>
        <v/>
      </c>
      <c r="L199" s="283" t="str">
        <f>IF(B199="","",IF(ISNA(VLOOKUP($B199,'E-1 Off-Site Hedge Baseline'!$B$1:$X$257,12,FALSE)),"",(VLOOKUP($B199,'E-1 Off-Site Hedge Baseline'!$B$1:$X$257,12,FALSE))))</f>
        <v/>
      </c>
      <c r="M199" s="244"/>
      <c r="N199" s="275" t="str">
        <f>IFERROR(IF(B199="","",INDEX('G-6 Hedgerow Data'!$AN$3:$AZ$15,MATCH(C199,'G-6 Hedgerow Data'!$AM$3:$AM$15,0),MATCH(M199,'G-6 Hedgerow Data'!$AN$2:$AZ$2,0))),"")</f>
        <v/>
      </c>
      <c r="O199" s="276" t="str">
        <f t="shared" si="17"/>
        <v/>
      </c>
      <c r="P199" s="281" t="str">
        <f>IF(B199="","",VLOOKUP(B199,'E-1 Off-Site Hedge Baseline'!$B$10:W444,19,FALSE))</f>
        <v/>
      </c>
      <c r="Q199" s="275" t="str">
        <f>IF(M199="","",VLOOKUP(M199,'G-6 Hedgerow Data'!$B$2:$AG$15,2,FALSE))</f>
        <v/>
      </c>
      <c r="R199" s="276" t="str">
        <f>IF(M199="","",VLOOKUP(M199,'G-6 Hedgerow Data'!$B$2:$AG$15,3,FALSE))</f>
        <v/>
      </c>
      <c r="S199" s="101"/>
      <c r="T199" s="276" t="str">
        <f>IFERROR(IF(S199="","",IF(AND(M199="Non-native and ornamental hedgerow",S199&lt;&gt;"Poor"),"Not possible ▲",(IF(AND(Q199="V.Low",OR(S199="Good",S199="Moderate")),"Error ▲",VLOOKUP(S199,'G-1 All Habitats'!$Z$2:$AA$9,2,FALSE))))),"")</f>
        <v/>
      </c>
      <c r="U199" s="101"/>
      <c r="V199" s="283" t="str">
        <f>IF(U199="","",IF(VLOOKUP(U199,'G-3 Multipliers'!$L$3:$N$6,2,FALSE)=0,"Spatial Data Missing ⚠",VLOOKUP(U199,'G-3 Multipliers'!$L$3:$N$6,2,FALSE)))</f>
        <v/>
      </c>
      <c r="W199" s="281" t="str">
        <f>IF(U199="","",IF(VLOOKUP(U199,'G-3 Multipliers'!$L$3:$N$6,3,FALSE)=0,"Spatial Data Missing ⚠",VLOOKUP(U199,'G-3 Multipliers'!$L$3:$N$6,3,FALSE)))</f>
        <v/>
      </c>
      <c r="X199" s="275" t="str">
        <f>IFERROR(IF(OR(LEFT(O199,5)="Error",LEFT(N199,5)="Error",T199="Error"),"Check Data ⚠",IF(F199&lt;R199,INDEX('G-6 Hedgerow Data'!$S$3:$AE$14,MATCH(C199,'G-6 Hedgerow Data'!$B$3:$B$14,0),MATCH(M199,'G-6 Hedgerow Data'!$S$2:$AE$2,0)),INDEX('G-6 Hedgerow Data'!$K$3:$Q$14,MATCH(M199,'G-6 Hedgerow Data'!$B$3:$B$14,0),MATCH(O199,'G-6 Hedgerow Data'!$K$2:$Q$2,0)))),"")</f>
        <v/>
      </c>
      <c r="Y199" s="133"/>
      <c r="Z199" s="133"/>
      <c r="AA199" s="283" t="str">
        <f t="shared" si="18"/>
        <v/>
      </c>
      <c r="AB199" s="296" t="str">
        <f t="shared" si="19"/>
        <v/>
      </c>
      <c r="AC199" s="297" t="str">
        <f t="shared" si="16"/>
        <v/>
      </c>
      <c r="AD199" s="311" t="str">
        <f>IF(M199="","",VLOOKUP(M199,'G-6 Hedgerow Data'!$B$3:$AG$15,31,FALSE))</f>
        <v/>
      </c>
      <c r="AE199" s="295" t="str">
        <f t="shared" si="20"/>
        <v/>
      </c>
      <c r="AF199" s="283" t="str">
        <f t="shared" si="21"/>
        <v/>
      </c>
      <c r="AG199" s="299" t="str">
        <f>IFERROR(IF(O199="","",VLOOKUP(AD199,'G-3 Multipliers'!$P$3:$Q$6,2,FALSE)),"")</f>
        <v/>
      </c>
      <c r="AH199" s="713" t="str">
        <f>IF(B199="","",IF(ISNA(VLOOKUP($B199,'E-1 Off-Site Hedge Baseline'!$B$1:$Z$257,14,FALSE)),"",(VLOOKUP($B199,'E-1 Off-Site Hedge Baseline'!$B$1:$Z$257,14,FALSE))))</f>
        <v/>
      </c>
      <c r="AI199" s="276" t="str">
        <f>IF(AH199="","",IF(VLOOKUP(AH199,'G-3 Multipliers'!$S$3:$T$10,2,FALSE)=0,"Spatial Data Missing ⚠",VLOOKUP(AH199,'G-3 Multipliers'!$S$3:$T$10,2,FALSE)))</f>
        <v/>
      </c>
      <c r="AJ199" s="317" t="str">
        <f t="shared" si="22"/>
        <v/>
      </c>
      <c r="AK199" s="289" t="str">
        <f t="shared" si="23"/>
        <v/>
      </c>
      <c r="AL199" s="101"/>
      <c r="AM199" s="115"/>
      <c r="AN199" s="104"/>
      <c r="AO199" s="104"/>
      <c r="AQ199" s="30" t="str">
        <f>IFERROR(INDEX('G-6 Hedgerow Data'!$BJ$3:$BJ$15,MATCH(M199,'G-6 Hedgerow Data'!$B$3:$B$15,0)),"")</f>
        <v/>
      </c>
    </row>
    <row r="200" spans="2:43" ht="14">
      <c r="B200" s="305" t="str">
        <f>'E-1 Off-Site Hedge Baseline'!AN198</f>
        <v/>
      </c>
      <c r="C200" s="295" t="str">
        <f>IF(B200="","",IF(ISNA(VLOOKUP($B200,'E-1 Off-Site Hedge Baseline'!$B$1:$L$257,3,FALSE)),"",(VLOOKUP($B200,'E-1 Off-Site Hedge Baseline'!$B$1:$L$257,3,FALSE))))</f>
        <v/>
      </c>
      <c r="D200" s="295" t="str">
        <f>IF(B200="","",IF(ISNA(VLOOKUP($B200,'E-1 Off-Site Hedge Baseline'!$B$1:$L$258,4,FALSE)),"",(VLOOKUP($B200,'E-1 Off-Site Hedge Baseline'!$B$1:$L$258,4,FALSE))))</f>
        <v/>
      </c>
      <c r="E200" s="295" t="str">
        <f>IF(B200="","",IF(ISNA(VLOOKUP($B200,'E-1 Off-Site Hedge Baseline'!$B$1:$L$257,5,FALSE)),"",(VLOOKUP($B200,'E-1 Off-Site Hedge Baseline'!$B$1:$L$257,5,FALSE))))</f>
        <v/>
      </c>
      <c r="F200" s="295" t="str">
        <f>IF(B200="","",IF(ISNA(VLOOKUP($B200,'E-1 Off-Site Hedge Baseline'!$B$1:$L$257,6,FALSE)),"",(VLOOKUP($B200,'E-1 Off-Site Hedge Baseline'!$B$1:$L$257,6,FALSE))))</f>
        <v/>
      </c>
      <c r="G200" s="295" t="str">
        <f>IF(B200="","",IF(ISNA(VLOOKUP($B200,'E-1 Off-Site Hedge Baseline'!$B$1:$L$257,7,FALSE)),"",(VLOOKUP($B200,'E-1 Off-Site Hedge Baseline'!$B$1:$L$257,7,FALSE))))</f>
        <v/>
      </c>
      <c r="H200" s="295" t="str">
        <f>IF(B200="","",IF(ISNA(VLOOKUP($B200,'E-1 Off-Site Hedge Baseline'!$B$1:$L$257,8,FALSE)),"",(VLOOKUP($B200,'E-1 Off-Site Hedge Baseline'!$B$1:$L$257,8,FALSE))))</f>
        <v/>
      </c>
      <c r="I200" s="295" t="str">
        <f>IF(B200="","",IF(ISNA(VLOOKUP($B200,'E-1 Off-Site Hedge Baseline'!$B$1:$L$257,10,FALSE)),"",(VLOOKUP($B200,'E-1 Off-Site Hedge Baseline'!$B$1:$L$257,10,FALSE))))</f>
        <v/>
      </c>
      <c r="J200" s="295" t="str">
        <f>IF(B200="","",IF(ISNA(VLOOKUP($B200,'E-1 Off-Site Hedge Baseline'!$B$1:$L$257,11,FALSE)),"",(VLOOKUP($B200,'E-1 Off-Site Hedge Baseline'!$B$1:$L$257,11,FALSE))))</f>
        <v/>
      </c>
      <c r="K200" s="295" t="str">
        <f>IF(B200="","",IF(ISNA(VLOOKUP($B200,'E-1 Off-Site Hedge Baseline'!$B$1:$X$257,16,FALSE)),"",(VLOOKUP($B200,'E-1 Off-Site Hedge Baseline'!$B$1:$X$257,16,FALSE))))</f>
        <v/>
      </c>
      <c r="L200" s="283" t="str">
        <f>IF(B200="","",IF(ISNA(VLOOKUP($B200,'E-1 Off-Site Hedge Baseline'!$B$1:$X$257,12,FALSE)),"",(VLOOKUP($B200,'E-1 Off-Site Hedge Baseline'!$B$1:$X$257,12,FALSE))))</f>
        <v/>
      </c>
      <c r="M200" s="244"/>
      <c r="N200" s="275" t="str">
        <f>IFERROR(IF(B200="","",INDEX('G-6 Hedgerow Data'!$AN$3:$AZ$15,MATCH(C200,'G-6 Hedgerow Data'!$AM$3:$AM$15,0),MATCH(M200,'G-6 Hedgerow Data'!$AN$2:$AZ$2,0))),"")</f>
        <v/>
      </c>
      <c r="O200" s="276" t="str">
        <f t="shared" si="17"/>
        <v/>
      </c>
      <c r="P200" s="281" t="str">
        <f>IF(B200="","",VLOOKUP(B200,'E-1 Off-Site Hedge Baseline'!$B$10:W445,19,FALSE))</f>
        <v/>
      </c>
      <c r="Q200" s="275" t="str">
        <f>IF(M200="","",VLOOKUP(M200,'G-6 Hedgerow Data'!$B$2:$AG$15,2,FALSE))</f>
        <v/>
      </c>
      <c r="R200" s="276" t="str">
        <f>IF(M200="","",VLOOKUP(M200,'G-6 Hedgerow Data'!$B$2:$AG$15,3,FALSE))</f>
        <v/>
      </c>
      <c r="S200" s="101"/>
      <c r="T200" s="276" t="str">
        <f>IFERROR(IF(S200="","",IF(AND(M200="Non-native and ornamental hedgerow",S200&lt;&gt;"Poor"),"Not possible ▲",(IF(AND(Q200="V.Low",OR(S200="Good",S200="Moderate")),"Error ▲",VLOOKUP(S200,'G-1 All Habitats'!$Z$2:$AA$9,2,FALSE))))),"")</f>
        <v/>
      </c>
      <c r="U200" s="101"/>
      <c r="V200" s="283" t="str">
        <f>IF(U200="","",IF(VLOOKUP(U200,'G-3 Multipliers'!$L$3:$N$6,2,FALSE)=0,"Spatial Data Missing ⚠",VLOOKUP(U200,'G-3 Multipliers'!$L$3:$N$6,2,FALSE)))</f>
        <v/>
      </c>
      <c r="W200" s="281" t="str">
        <f>IF(U200="","",IF(VLOOKUP(U200,'G-3 Multipliers'!$L$3:$N$6,3,FALSE)=0,"Spatial Data Missing ⚠",VLOOKUP(U200,'G-3 Multipliers'!$L$3:$N$6,3,FALSE)))</f>
        <v/>
      </c>
      <c r="X200" s="275" t="str">
        <f>IFERROR(IF(OR(LEFT(O200,5)="Error",LEFT(N200,5)="Error",T200="Error"),"Check Data ⚠",IF(F200&lt;R200,INDEX('G-6 Hedgerow Data'!$S$3:$AE$14,MATCH(C200,'G-6 Hedgerow Data'!$B$3:$B$14,0),MATCH(M200,'G-6 Hedgerow Data'!$S$2:$AE$2,0)),INDEX('G-6 Hedgerow Data'!$K$3:$Q$14,MATCH(M200,'G-6 Hedgerow Data'!$B$3:$B$14,0),MATCH(O200,'G-6 Hedgerow Data'!$K$2:$Q$2,0)))),"")</f>
        <v/>
      </c>
      <c r="Y200" s="133"/>
      <c r="Z200" s="133"/>
      <c r="AA200" s="283" t="str">
        <f t="shared" si="18"/>
        <v/>
      </c>
      <c r="AB200" s="296" t="str">
        <f t="shared" si="19"/>
        <v/>
      </c>
      <c r="AC200" s="297" t="str">
        <f t="shared" si="16"/>
        <v/>
      </c>
      <c r="AD200" s="311" t="str">
        <f>IF(M200="","",VLOOKUP(M200,'G-6 Hedgerow Data'!$B$3:$AG$15,31,FALSE))</f>
        <v/>
      </c>
      <c r="AE200" s="295" t="str">
        <f t="shared" si="20"/>
        <v/>
      </c>
      <c r="AF200" s="283" t="str">
        <f t="shared" si="21"/>
        <v/>
      </c>
      <c r="AG200" s="299" t="str">
        <f>IFERROR(IF(O200="","",VLOOKUP(AD200,'G-3 Multipliers'!$P$3:$Q$6,2,FALSE)),"")</f>
        <v/>
      </c>
      <c r="AH200" s="713" t="str">
        <f>IF(B200="","",IF(ISNA(VLOOKUP($B200,'E-1 Off-Site Hedge Baseline'!$B$1:$Z$257,14,FALSE)),"",(VLOOKUP($B200,'E-1 Off-Site Hedge Baseline'!$B$1:$Z$257,14,FALSE))))</f>
        <v/>
      </c>
      <c r="AI200" s="276" t="str">
        <f>IF(AH200="","",IF(VLOOKUP(AH200,'G-3 Multipliers'!$S$3:$T$10,2,FALSE)=0,"Spatial Data Missing ⚠",VLOOKUP(AH200,'G-3 Multipliers'!$S$3:$T$10,2,FALSE)))</f>
        <v/>
      </c>
      <c r="AJ200" s="317" t="str">
        <f t="shared" si="22"/>
        <v/>
      </c>
      <c r="AK200" s="289" t="str">
        <f t="shared" si="23"/>
        <v/>
      </c>
      <c r="AL200" s="101"/>
      <c r="AM200" s="115"/>
      <c r="AN200" s="104"/>
      <c r="AO200" s="104"/>
      <c r="AQ200" s="30" t="str">
        <f>IFERROR(INDEX('G-6 Hedgerow Data'!$BJ$3:$BJ$15,MATCH(M200,'G-6 Hedgerow Data'!$B$3:$B$15,0)),"")</f>
        <v/>
      </c>
    </row>
    <row r="201" spans="2:43" ht="14">
      <c r="B201" s="305" t="str">
        <f>'E-1 Off-Site Hedge Baseline'!AN199</f>
        <v/>
      </c>
      <c r="C201" s="295" t="str">
        <f>IF(B201="","",IF(ISNA(VLOOKUP($B201,'E-1 Off-Site Hedge Baseline'!$B$1:$L$257,3,FALSE)),"",(VLOOKUP($B201,'E-1 Off-Site Hedge Baseline'!$B$1:$L$257,3,FALSE))))</f>
        <v/>
      </c>
      <c r="D201" s="295" t="str">
        <f>IF(B201="","",IF(ISNA(VLOOKUP($B201,'E-1 Off-Site Hedge Baseline'!$B$1:$L$258,4,FALSE)),"",(VLOOKUP($B201,'E-1 Off-Site Hedge Baseline'!$B$1:$L$258,4,FALSE))))</f>
        <v/>
      </c>
      <c r="E201" s="295" t="str">
        <f>IF(B201="","",IF(ISNA(VLOOKUP($B201,'E-1 Off-Site Hedge Baseline'!$B$1:$L$257,5,FALSE)),"",(VLOOKUP($B201,'E-1 Off-Site Hedge Baseline'!$B$1:$L$257,5,FALSE))))</f>
        <v/>
      </c>
      <c r="F201" s="295" t="str">
        <f>IF(B201="","",IF(ISNA(VLOOKUP($B201,'E-1 Off-Site Hedge Baseline'!$B$1:$L$257,6,FALSE)),"",(VLOOKUP($B201,'E-1 Off-Site Hedge Baseline'!$B$1:$L$257,6,FALSE))))</f>
        <v/>
      </c>
      <c r="G201" s="295" t="str">
        <f>IF(B201="","",IF(ISNA(VLOOKUP($B201,'E-1 Off-Site Hedge Baseline'!$B$1:$L$257,7,FALSE)),"",(VLOOKUP($B201,'E-1 Off-Site Hedge Baseline'!$B$1:$L$257,7,FALSE))))</f>
        <v/>
      </c>
      <c r="H201" s="295" t="str">
        <f>IF(B201="","",IF(ISNA(VLOOKUP($B201,'E-1 Off-Site Hedge Baseline'!$B$1:$L$257,8,FALSE)),"",(VLOOKUP($B201,'E-1 Off-Site Hedge Baseline'!$B$1:$L$257,8,FALSE))))</f>
        <v/>
      </c>
      <c r="I201" s="295" t="str">
        <f>IF(B201="","",IF(ISNA(VLOOKUP($B201,'E-1 Off-Site Hedge Baseline'!$B$1:$L$257,10,FALSE)),"",(VLOOKUP($B201,'E-1 Off-Site Hedge Baseline'!$B$1:$L$257,10,FALSE))))</f>
        <v/>
      </c>
      <c r="J201" s="295" t="str">
        <f>IF(B201="","",IF(ISNA(VLOOKUP($B201,'E-1 Off-Site Hedge Baseline'!$B$1:$L$257,11,FALSE)),"",(VLOOKUP($B201,'E-1 Off-Site Hedge Baseline'!$B$1:$L$257,11,FALSE))))</f>
        <v/>
      </c>
      <c r="K201" s="295" t="str">
        <f>IF(B201="","",IF(ISNA(VLOOKUP($B201,'E-1 Off-Site Hedge Baseline'!$B$1:$X$257,16,FALSE)),"",(VLOOKUP($B201,'E-1 Off-Site Hedge Baseline'!$B$1:$X$257,16,FALSE))))</f>
        <v/>
      </c>
      <c r="L201" s="283" t="str">
        <f>IF(B201="","",IF(ISNA(VLOOKUP($B201,'E-1 Off-Site Hedge Baseline'!$B$1:$X$257,12,FALSE)),"",(VLOOKUP($B201,'E-1 Off-Site Hedge Baseline'!$B$1:$X$257,12,FALSE))))</f>
        <v/>
      </c>
      <c r="M201" s="244"/>
      <c r="N201" s="275" t="str">
        <f>IFERROR(IF(B201="","",INDEX('G-6 Hedgerow Data'!$AN$3:$AZ$15,MATCH(C201,'G-6 Hedgerow Data'!$AM$3:$AM$15,0),MATCH(M201,'G-6 Hedgerow Data'!$AN$2:$AZ$2,0))),"")</f>
        <v/>
      </c>
      <c r="O201" s="276" t="str">
        <f t="shared" si="17"/>
        <v/>
      </c>
      <c r="P201" s="281" t="str">
        <f>IF(B201="","",VLOOKUP(B201,'E-1 Off-Site Hedge Baseline'!$B$10:W446,19,FALSE))</f>
        <v/>
      </c>
      <c r="Q201" s="275" t="str">
        <f>IF(M201="","",VLOOKUP(M201,'G-6 Hedgerow Data'!$B$2:$AG$15,2,FALSE))</f>
        <v/>
      </c>
      <c r="R201" s="276" t="str">
        <f>IF(M201="","",VLOOKUP(M201,'G-6 Hedgerow Data'!$B$2:$AG$15,3,FALSE))</f>
        <v/>
      </c>
      <c r="S201" s="101"/>
      <c r="T201" s="276" t="str">
        <f>IFERROR(IF(S201="","",IF(AND(M201="Non-native and ornamental hedgerow",S201&lt;&gt;"Poor"),"Not possible ▲",(IF(AND(Q201="V.Low",OR(S201="Good",S201="Moderate")),"Error ▲",VLOOKUP(S201,'G-1 All Habitats'!$Z$2:$AA$9,2,FALSE))))),"")</f>
        <v/>
      </c>
      <c r="U201" s="101"/>
      <c r="V201" s="283" t="str">
        <f>IF(U201="","",IF(VLOOKUP(U201,'G-3 Multipliers'!$L$3:$N$6,2,FALSE)=0,"Spatial Data Missing ⚠",VLOOKUP(U201,'G-3 Multipliers'!$L$3:$N$6,2,FALSE)))</f>
        <v/>
      </c>
      <c r="W201" s="281" t="str">
        <f>IF(U201="","",IF(VLOOKUP(U201,'G-3 Multipliers'!$L$3:$N$6,3,FALSE)=0,"Spatial Data Missing ⚠",VLOOKUP(U201,'G-3 Multipliers'!$L$3:$N$6,3,FALSE)))</f>
        <v/>
      </c>
      <c r="X201" s="275" t="str">
        <f>IFERROR(IF(OR(LEFT(O201,5)="Error",LEFT(N201,5)="Error",T201="Error"),"Check Data ⚠",IF(F201&lt;R201,INDEX('G-6 Hedgerow Data'!$S$3:$AE$14,MATCH(C201,'G-6 Hedgerow Data'!$B$3:$B$14,0),MATCH(M201,'G-6 Hedgerow Data'!$S$2:$AE$2,0)),INDEX('G-6 Hedgerow Data'!$K$3:$Q$14,MATCH(M201,'G-6 Hedgerow Data'!$B$3:$B$14,0),MATCH(O201,'G-6 Hedgerow Data'!$K$2:$Q$2,0)))),"")</f>
        <v/>
      </c>
      <c r="Y201" s="133"/>
      <c r="Z201" s="133"/>
      <c r="AA201" s="283" t="str">
        <f t="shared" si="18"/>
        <v/>
      </c>
      <c r="AB201" s="296" t="str">
        <f t="shared" si="19"/>
        <v/>
      </c>
      <c r="AC201" s="297" t="str">
        <f t="shared" si="16"/>
        <v/>
      </c>
      <c r="AD201" s="311" t="str">
        <f>IF(M201="","",VLOOKUP(M201,'G-6 Hedgerow Data'!$B$3:$AG$15,31,FALSE))</f>
        <v/>
      </c>
      <c r="AE201" s="295" t="str">
        <f t="shared" si="20"/>
        <v/>
      </c>
      <c r="AF201" s="283" t="str">
        <f t="shared" si="21"/>
        <v/>
      </c>
      <c r="AG201" s="299" t="str">
        <f>IFERROR(IF(O201="","",VLOOKUP(AD201,'G-3 Multipliers'!$P$3:$Q$6,2,FALSE)),"")</f>
        <v/>
      </c>
      <c r="AH201" s="713" t="str">
        <f>IF(B201="","",IF(ISNA(VLOOKUP($B201,'E-1 Off-Site Hedge Baseline'!$B$1:$Z$257,14,FALSE)),"",(VLOOKUP($B201,'E-1 Off-Site Hedge Baseline'!$B$1:$Z$257,14,FALSE))))</f>
        <v/>
      </c>
      <c r="AI201" s="276" t="str">
        <f>IF(AH201="","",IF(VLOOKUP(AH201,'G-3 Multipliers'!$S$3:$T$10,2,FALSE)=0,"Spatial Data Missing ⚠",VLOOKUP(AH201,'G-3 Multipliers'!$S$3:$T$10,2,FALSE)))</f>
        <v/>
      </c>
      <c r="AJ201" s="317" t="str">
        <f t="shared" si="22"/>
        <v/>
      </c>
      <c r="AK201" s="289" t="str">
        <f t="shared" si="23"/>
        <v/>
      </c>
      <c r="AL201" s="101"/>
      <c r="AM201" s="115"/>
      <c r="AN201" s="104"/>
      <c r="AO201" s="104"/>
      <c r="AQ201" s="30" t="str">
        <f>IFERROR(INDEX('G-6 Hedgerow Data'!$BJ$3:$BJ$15,MATCH(M201,'G-6 Hedgerow Data'!$B$3:$B$15,0)),"")</f>
        <v/>
      </c>
    </row>
    <row r="202" spans="2:43" ht="14">
      <c r="B202" s="305" t="str">
        <f>'E-1 Off-Site Hedge Baseline'!AN200</f>
        <v/>
      </c>
      <c r="C202" s="295" t="str">
        <f>IF(B202="","",IF(ISNA(VLOOKUP($B202,'E-1 Off-Site Hedge Baseline'!$B$1:$L$257,3,FALSE)),"",(VLOOKUP($B202,'E-1 Off-Site Hedge Baseline'!$B$1:$L$257,3,FALSE))))</f>
        <v/>
      </c>
      <c r="D202" s="295" t="str">
        <f>IF(B202="","",IF(ISNA(VLOOKUP($B202,'E-1 Off-Site Hedge Baseline'!$B$1:$L$258,4,FALSE)),"",(VLOOKUP($B202,'E-1 Off-Site Hedge Baseline'!$B$1:$L$258,4,FALSE))))</f>
        <v/>
      </c>
      <c r="E202" s="295" t="str">
        <f>IF(B202="","",IF(ISNA(VLOOKUP($B202,'E-1 Off-Site Hedge Baseline'!$B$1:$L$257,5,FALSE)),"",(VLOOKUP($B202,'E-1 Off-Site Hedge Baseline'!$B$1:$L$257,5,FALSE))))</f>
        <v/>
      </c>
      <c r="F202" s="295" t="str">
        <f>IF(B202="","",IF(ISNA(VLOOKUP($B202,'E-1 Off-Site Hedge Baseline'!$B$1:$L$257,6,FALSE)),"",(VLOOKUP($B202,'E-1 Off-Site Hedge Baseline'!$B$1:$L$257,6,FALSE))))</f>
        <v/>
      </c>
      <c r="G202" s="295" t="str">
        <f>IF(B202="","",IF(ISNA(VLOOKUP($B202,'E-1 Off-Site Hedge Baseline'!$B$1:$L$257,7,FALSE)),"",(VLOOKUP($B202,'E-1 Off-Site Hedge Baseline'!$B$1:$L$257,7,FALSE))))</f>
        <v/>
      </c>
      <c r="H202" s="295" t="str">
        <f>IF(B202="","",IF(ISNA(VLOOKUP($B202,'E-1 Off-Site Hedge Baseline'!$B$1:$L$257,8,FALSE)),"",(VLOOKUP($B202,'E-1 Off-Site Hedge Baseline'!$B$1:$L$257,8,FALSE))))</f>
        <v/>
      </c>
      <c r="I202" s="295" t="str">
        <f>IF(B202="","",IF(ISNA(VLOOKUP($B202,'E-1 Off-Site Hedge Baseline'!$B$1:$L$257,10,FALSE)),"",(VLOOKUP($B202,'E-1 Off-Site Hedge Baseline'!$B$1:$L$257,10,FALSE))))</f>
        <v/>
      </c>
      <c r="J202" s="295" t="str">
        <f>IF(B202="","",IF(ISNA(VLOOKUP($B202,'E-1 Off-Site Hedge Baseline'!$B$1:$L$257,11,FALSE)),"",(VLOOKUP($B202,'E-1 Off-Site Hedge Baseline'!$B$1:$L$257,11,FALSE))))</f>
        <v/>
      </c>
      <c r="K202" s="295" t="str">
        <f>IF(B202="","",IF(ISNA(VLOOKUP($B202,'E-1 Off-Site Hedge Baseline'!$B$1:$X$257,16,FALSE)),"",(VLOOKUP($B202,'E-1 Off-Site Hedge Baseline'!$B$1:$X$257,16,FALSE))))</f>
        <v/>
      </c>
      <c r="L202" s="283" t="str">
        <f>IF(B202="","",IF(ISNA(VLOOKUP($B202,'E-1 Off-Site Hedge Baseline'!$B$1:$X$257,12,FALSE)),"",(VLOOKUP($B202,'E-1 Off-Site Hedge Baseline'!$B$1:$X$257,12,FALSE))))</f>
        <v/>
      </c>
      <c r="M202" s="244"/>
      <c r="N202" s="275" t="str">
        <f>IFERROR(IF(B202="","",INDEX('G-6 Hedgerow Data'!$AN$3:$AZ$15,MATCH(C202,'G-6 Hedgerow Data'!$AM$3:$AM$15,0),MATCH(M202,'G-6 Hedgerow Data'!$AN$2:$AZ$2,0))),"")</f>
        <v/>
      </c>
      <c r="O202" s="276" t="str">
        <f t="shared" si="17"/>
        <v/>
      </c>
      <c r="P202" s="281" t="str">
        <f>IF(B202="","",VLOOKUP(B202,'E-1 Off-Site Hedge Baseline'!$B$10:W447,19,FALSE))</f>
        <v/>
      </c>
      <c r="Q202" s="275" t="str">
        <f>IF(M202="","",VLOOKUP(M202,'G-6 Hedgerow Data'!$B$2:$AG$15,2,FALSE))</f>
        <v/>
      </c>
      <c r="R202" s="276" t="str">
        <f>IF(M202="","",VLOOKUP(M202,'G-6 Hedgerow Data'!$B$2:$AG$15,3,FALSE))</f>
        <v/>
      </c>
      <c r="S202" s="101"/>
      <c r="T202" s="276" t="str">
        <f>IFERROR(IF(S202="","",IF(AND(M202="Non-native and ornamental hedgerow",S202&lt;&gt;"Poor"),"Not possible ▲",(IF(AND(Q202="V.Low",OR(S202="Good",S202="Moderate")),"Error ▲",VLOOKUP(S202,'G-1 All Habitats'!$Z$2:$AA$9,2,FALSE))))),"")</f>
        <v/>
      </c>
      <c r="U202" s="101"/>
      <c r="V202" s="283" t="str">
        <f>IF(U202="","",IF(VLOOKUP(U202,'G-3 Multipliers'!$L$3:$N$6,2,FALSE)=0,"Spatial Data Missing ⚠",VLOOKUP(U202,'G-3 Multipliers'!$L$3:$N$6,2,FALSE)))</f>
        <v/>
      </c>
      <c r="W202" s="281" t="str">
        <f>IF(U202="","",IF(VLOOKUP(U202,'G-3 Multipliers'!$L$3:$N$6,3,FALSE)=0,"Spatial Data Missing ⚠",VLOOKUP(U202,'G-3 Multipliers'!$L$3:$N$6,3,FALSE)))</f>
        <v/>
      </c>
      <c r="X202" s="275" t="str">
        <f>IFERROR(IF(OR(LEFT(O202,5)="Error",LEFT(N202,5)="Error",T202="Error"),"Check Data ⚠",IF(F202&lt;R202,INDEX('G-6 Hedgerow Data'!$S$3:$AE$14,MATCH(C202,'G-6 Hedgerow Data'!$B$3:$B$14,0),MATCH(M202,'G-6 Hedgerow Data'!$S$2:$AE$2,0)),INDEX('G-6 Hedgerow Data'!$K$3:$Q$14,MATCH(M202,'G-6 Hedgerow Data'!$B$3:$B$14,0),MATCH(O202,'G-6 Hedgerow Data'!$K$2:$Q$2,0)))),"")</f>
        <v/>
      </c>
      <c r="Y202" s="133"/>
      <c r="Z202" s="133"/>
      <c r="AA202" s="283" t="str">
        <f t="shared" si="18"/>
        <v/>
      </c>
      <c r="AB202" s="296" t="str">
        <f t="shared" si="19"/>
        <v/>
      </c>
      <c r="AC202" s="297" t="str">
        <f t="shared" si="16"/>
        <v/>
      </c>
      <c r="AD202" s="311" t="str">
        <f>IF(M202="","",VLOOKUP(M202,'G-6 Hedgerow Data'!$B$3:$AG$15,31,FALSE))</f>
        <v/>
      </c>
      <c r="AE202" s="295" t="str">
        <f t="shared" si="20"/>
        <v/>
      </c>
      <c r="AF202" s="283" t="str">
        <f t="shared" si="21"/>
        <v/>
      </c>
      <c r="AG202" s="299" t="str">
        <f>IFERROR(IF(O202="","",VLOOKUP(AD202,'G-3 Multipliers'!$P$3:$Q$6,2,FALSE)),"")</f>
        <v/>
      </c>
      <c r="AH202" s="713" t="str">
        <f>IF(B202="","",IF(ISNA(VLOOKUP($B202,'E-1 Off-Site Hedge Baseline'!$B$1:$Z$257,14,FALSE)),"",(VLOOKUP($B202,'E-1 Off-Site Hedge Baseline'!$B$1:$Z$257,14,FALSE))))</f>
        <v/>
      </c>
      <c r="AI202" s="276" t="str">
        <f>IF(AH202="","",IF(VLOOKUP(AH202,'G-3 Multipliers'!$S$3:$T$10,2,FALSE)=0,"Spatial Data Missing ⚠",VLOOKUP(AH202,'G-3 Multipliers'!$S$3:$T$10,2,FALSE)))</f>
        <v/>
      </c>
      <c r="AJ202" s="317" t="str">
        <f t="shared" si="22"/>
        <v/>
      </c>
      <c r="AK202" s="289" t="str">
        <f t="shared" si="23"/>
        <v/>
      </c>
      <c r="AL202" s="101"/>
      <c r="AM202" s="115"/>
      <c r="AN202" s="104"/>
      <c r="AO202" s="104"/>
      <c r="AQ202" s="30" t="str">
        <f>IFERROR(INDEX('G-6 Hedgerow Data'!$BJ$3:$BJ$15,MATCH(M202,'G-6 Hedgerow Data'!$B$3:$B$15,0)),"")</f>
        <v/>
      </c>
    </row>
    <row r="203" spans="2:43" ht="14">
      <c r="B203" s="305" t="str">
        <f>'E-1 Off-Site Hedge Baseline'!AN201</f>
        <v/>
      </c>
      <c r="C203" s="295" t="str">
        <f>IF(B203="","",IF(ISNA(VLOOKUP($B203,'E-1 Off-Site Hedge Baseline'!$B$1:$L$257,3,FALSE)),"",(VLOOKUP($B203,'E-1 Off-Site Hedge Baseline'!$B$1:$L$257,3,FALSE))))</f>
        <v/>
      </c>
      <c r="D203" s="295" t="str">
        <f>IF(B203="","",IF(ISNA(VLOOKUP($B203,'E-1 Off-Site Hedge Baseline'!$B$1:$L$258,4,FALSE)),"",(VLOOKUP($B203,'E-1 Off-Site Hedge Baseline'!$B$1:$L$258,4,FALSE))))</f>
        <v/>
      </c>
      <c r="E203" s="295" t="str">
        <f>IF(B203="","",IF(ISNA(VLOOKUP($B203,'E-1 Off-Site Hedge Baseline'!$B$1:$L$257,5,FALSE)),"",(VLOOKUP($B203,'E-1 Off-Site Hedge Baseline'!$B$1:$L$257,5,FALSE))))</f>
        <v/>
      </c>
      <c r="F203" s="295" t="str">
        <f>IF(B203="","",IF(ISNA(VLOOKUP($B203,'E-1 Off-Site Hedge Baseline'!$B$1:$L$257,6,FALSE)),"",(VLOOKUP($B203,'E-1 Off-Site Hedge Baseline'!$B$1:$L$257,6,FALSE))))</f>
        <v/>
      </c>
      <c r="G203" s="295" t="str">
        <f>IF(B203="","",IF(ISNA(VLOOKUP($B203,'E-1 Off-Site Hedge Baseline'!$B$1:$L$257,7,FALSE)),"",(VLOOKUP($B203,'E-1 Off-Site Hedge Baseline'!$B$1:$L$257,7,FALSE))))</f>
        <v/>
      </c>
      <c r="H203" s="295" t="str">
        <f>IF(B203="","",IF(ISNA(VLOOKUP($B203,'E-1 Off-Site Hedge Baseline'!$B$1:$L$257,8,FALSE)),"",(VLOOKUP($B203,'E-1 Off-Site Hedge Baseline'!$B$1:$L$257,8,FALSE))))</f>
        <v/>
      </c>
      <c r="I203" s="295" t="str">
        <f>IF(B203="","",IF(ISNA(VLOOKUP($B203,'E-1 Off-Site Hedge Baseline'!$B$1:$L$257,10,FALSE)),"",(VLOOKUP($B203,'E-1 Off-Site Hedge Baseline'!$B$1:$L$257,10,FALSE))))</f>
        <v/>
      </c>
      <c r="J203" s="295" t="str">
        <f>IF(B203="","",IF(ISNA(VLOOKUP($B203,'E-1 Off-Site Hedge Baseline'!$B$1:$L$257,11,FALSE)),"",(VLOOKUP($B203,'E-1 Off-Site Hedge Baseline'!$B$1:$L$257,11,FALSE))))</f>
        <v/>
      </c>
      <c r="K203" s="295" t="str">
        <f>IF(B203="","",IF(ISNA(VLOOKUP($B203,'E-1 Off-Site Hedge Baseline'!$B$1:$X$257,16,FALSE)),"",(VLOOKUP($B203,'E-1 Off-Site Hedge Baseline'!$B$1:$X$257,16,FALSE))))</f>
        <v/>
      </c>
      <c r="L203" s="283" t="str">
        <f>IF(B203="","",IF(ISNA(VLOOKUP($B203,'E-1 Off-Site Hedge Baseline'!$B$1:$X$257,12,FALSE)),"",(VLOOKUP($B203,'E-1 Off-Site Hedge Baseline'!$B$1:$X$257,12,FALSE))))</f>
        <v/>
      </c>
      <c r="M203" s="244"/>
      <c r="N203" s="275" t="str">
        <f>IFERROR(IF(B203="","",INDEX('G-6 Hedgerow Data'!$AN$3:$AZ$15,MATCH(C203,'G-6 Hedgerow Data'!$AM$3:$AM$15,0),MATCH(M203,'G-6 Hedgerow Data'!$AN$2:$AZ$2,0))),"")</f>
        <v/>
      </c>
      <c r="O203" s="276" t="str">
        <f t="shared" si="17"/>
        <v/>
      </c>
      <c r="P203" s="281" t="str">
        <f>IF(B203="","",VLOOKUP(B203,'E-1 Off-Site Hedge Baseline'!$B$10:W448,19,FALSE))</f>
        <v/>
      </c>
      <c r="Q203" s="275" t="str">
        <f>IF(M203="","",VLOOKUP(M203,'G-6 Hedgerow Data'!$B$2:$AG$15,2,FALSE))</f>
        <v/>
      </c>
      <c r="R203" s="276" t="str">
        <f>IF(M203="","",VLOOKUP(M203,'G-6 Hedgerow Data'!$B$2:$AG$15,3,FALSE))</f>
        <v/>
      </c>
      <c r="S203" s="101"/>
      <c r="T203" s="276" t="str">
        <f>IFERROR(IF(S203="","",IF(AND(M203="Non-native and ornamental hedgerow",S203&lt;&gt;"Poor"),"Not possible ▲",(IF(AND(Q203="V.Low",OR(S203="Good",S203="Moderate")),"Error ▲",VLOOKUP(S203,'G-1 All Habitats'!$Z$2:$AA$9,2,FALSE))))),"")</f>
        <v/>
      </c>
      <c r="U203" s="101"/>
      <c r="V203" s="283" t="str">
        <f>IF(U203="","",IF(VLOOKUP(U203,'G-3 Multipliers'!$L$3:$N$6,2,FALSE)=0,"Spatial Data Missing ⚠",VLOOKUP(U203,'G-3 Multipliers'!$L$3:$N$6,2,FALSE)))</f>
        <v/>
      </c>
      <c r="W203" s="281" t="str">
        <f>IF(U203="","",IF(VLOOKUP(U203,'G-3 Multipliers'!$L$3:$N$6,3,FALSE)=0,"Spatial Data Missing ⚠",VLOOKUP(U203,'G-3 Multipliers'!$L$3:$N$6,3,FALSE)))</f>
        <v/>
      </c>
      <c r="X203" s="275" t="str">
        <f>IFERROR(IF(OR(LEFT(O203,5)="Error",LEFT(N203,5)="Error",T203="Error"),"Check Data ⚠",IF(F203&lt;R203,INDEX('G-6 Hedgerow Data'!$S$3:$AE$14,MATCH(C203,'G-6 Hedgerow Data'!$B$3:$B$14,0),MATCH(M203,'G-6 Hedgerow Data'!$S$2:$AE$2,0)),INDEX('G-6 Hedgerow Data'!$K$3:$Q$14,MATCH(M203,'G-6 Hedgerow Data'!$B$3:$B$14,0),MATCH(O203,'G-6 Hedgerow Data'!$K$2:$Q$2,0)))),"")</f>
        <v/>
      </c>
      <c r="Y203" s="133"/>
      <c r="Z203" s="133"/>
      <c r="AA203" s="283" t="str">
        <f t="shared" si="18"/>
        <v/>
      </c>
      <c r="AB203" s="296" t="str">
        <f t="shared" si="19"/>
        <v/>
      </c>
      <c r="AC203" s="297" t="str">
        <f t="shared" si="16"/>
        <v/>
      </c>
      <c r="AD203" s="311" t="str">
        <f>IF(M203="","",VLOOKUP(M203,'G-6 Hedgerow Data'!$B$3:$AG$15,31,FALSE))</f>
        <v/>
      </c>
      <c r="AE203" s="295" t="str">
        <f t="shared" si="20"/>
        <v/>
      </c>
      <c r="AF203" s="283" t="str">
        <f t="shared" si="21"/>
        <v/>
      </c>
      <c r="AG203" s="299" t="str">
        <f>IFERROR(IF(O203="","",VLOOKUP(AD203,'G-3 Multipliers'!$P$3:$Q$6,2,FALSE)),"")</f>
        <v/>
      </c>
      <c r="AH203" s="713" t="str">
        <f>IF(B203="","",IF(ISNA(VLOOKUP($B203,'E-1 Off-Site Hedge Baseline'!$B$1:$Z$257,14,FALSE)),"",(VLOOKUP($B203,'E-1 Off-Site Hedge Baseline'!$B$1:$Z$257,14,FALSE))))</f>
        <v/>
      </c>
      <c r="AI203" s="276" t="str">
        <f>IF(AH203="","",IF(VLOOKUP(AH203,'G-3 Multipliers'!$S$3:$T$10,2,FALSE)=0,"Spatial Data Missing ⚠",VLOOKUP(AH203,'G-3 Multipliers'!$S$3:$T$10,2,FALSE)))</f>
        <v/>
      </c>
      <c r="AJ203" s="317" t="str">
        <f t="shared" si="22"/>
        <v/>
      </c>
      <c r="AK203" s="289" t="str">
        <f t="shared" si="23"/>
        <v/>
      </c>
      <c r="AL203" s="101"/>
      <c r="AM203" s="115"/>
      <c r="AN203" s="104"/>
      <c r="AO203" s="104"/>
      <c r="AQ203" s="30" t="str">
        <f>IFERROR(INDEX('G-6 Hedgerow Data'!$BJ$3:$BJ$15,MATCH(M203,'G-6 Hedgerow Data'!$B$3:$B$15,0)),"")</f>
        <v/>
      </c>
    </row>
    <row r="204" spans="2:43" ht="14">
      <c r="B204" s="305" t="str">
        <f>'E-1 Off-Site Hedge Baseline'!AN202</f>
        <v/>
      </c>
      <c r="C204" s="295" t="str">
        <f>IF(B204="","",IF(ISNA(VLOOKUP($B204,'E-1 Off-Site Hedge Baseline'!$B$1:$L$257,3,FALSE)),"",(VLOOKUP($B204,'E-1 Off-Site Hedge Baseline'!$B$1:$L$257,3,FALSE))))</f>
        <v/>
      </c>
      <c r="D204" s="295" t="str">
        <f>IF(B204="","",IF(ISNA(VLOOKUP($B204,'E-1 Off-Site Hedge Baseline'!$B$1:$L$258,4,FALSE)),"",(VLOOKUP($B204,'E-1 Off-Site Hedge Baseline'!$B$1:$L$258,4,FALSE))))</f>
        <v/>
      </c>
      <c r="E204" s="295" t="str">
        <f>IF(B204="","",IF(ISNA(VLOOKUP($B204,'E-1 Off-Site Hedge Baseline'!$B$1:$L$257,5,FALSE)),"",(VLOOKUP($B204,'E-1 Off-Site Hedge Baseline'!$B$1:$L$257,5,FALSE))))</f>
        <v/>
      </c>
      <c r="F204" s="295" t="str">
        <f>IF(B204="","",IF(ISNA(VLOOKUP($B204,'E-1 Off-Site Hedge Baseline'!$B$1:$L$257,6,FALSE)),"",(VLOOKUP($B204,'E-1 Off-Site Hedge Baseline'!$B$1:$L$257,6,FALSE))))</f>
        <v/>
      </c>
      <c r="G204" s="295" t="str">
        <f>IF(B204="","",IF(ISNA(VLOOKUP($B204,'E-1 Off-Site Hedge Baseline'!$B$1:$L$257,7,FALSE)),"",(VLOOKUP($B204,'E-1 Off-Site Hedge Baseline'!$B$1:$L$257,7,FALSE))))</f>
        <v/>
      </c>
      <c r="H204" s="295" t="str">
        <f>IF(B204="","",IF(ISNA(VLOOKUP($B204,'E-1 Off-Site Hedge Baseline'!$B$1:$L$257,8,FALSE)),"",(VLOOKUP($B204,'E-1 Off-Site Hedge Baseline'!$B$1:$L$257,8,FALSE))))</f>
        <v/>
      </c>
      <c r="I204" s="295" t="str">
        <f>IF(B204="","",IF(ISNA(VLOOKUP($B204,'E-1 Off-Site Hedge Baseline'!$B$1:$L$257,10,FALSE)),"",(VLOOKUP($B204,'E-1 Off-Site Hedge Baseline'!$B$1:$L$257,10,FALSE))))</f>
        <v/>
      </c>
      <c r="J204" s="295" t="str">
        <f>IF(B204="","",IF(ISNA(VLOOKUP($B204,'E-1 Off-Site Hedge Baseline'!$B$1:$L$257,11,FALSE)),"",(VLOOKUP($B204,'E-1 Off-Site Hedge Baseline'!$B$1:$L$257,11,FALSE))))</f>
        <v/>
      </c>
      <c r="K204" s="295" t="str">
        <f>IF(B204="","",IF(ISNA(VLOOKUP($B204,'E-1 Off-Site Hedge Baseline'!$B$1:$X$257,16,FALSE)),"",(VLOOKUP($B204,'E-1 Off-Site Hedge Baseline'!$B$1:$X$257,16,FALSE))))</f>
        <v/>
      </c>
      <c r="L204" s="283" t="str">
        <f>IF(B204="","",IF(ISNA(VLOOKUP($B204,'E-1 Off-Site Hedge Baseline'!$B$1:$X$257,12,FALSE)),"",(VLOOKUP($B204,'E-1 Off-Site Hedge Baseline'!$B$1:$X$257,12,FALSE))))</f>
        <v/>
      </c>
      <c r="M204" s="244"/>
      <c r="N204" s="275" t="str">
        <f>IFERROR(IF(B204="","",INDEX('G-6 Hedgerow Data'!$AN$3:$AZ$15,MATCH(C204,'G-6 Hedgerow Data'!$AM$3:$AM$15,0),MATCH(M204,'G-6 Hedgerow Data'!$AN$2:$AZ$2,0))),"")</f>
        <v/>
      </c>
      <c r="O204" s="276" t="str">
        <f t="shared" si="17"/>
        <v/>
      </c>
      <c r="P204" s="281" t="str">
        <f>IF(B204="","",VLOOKUP(B204,'E-1 Off-Site Hedge Baseline'!$B$10:W449,19,FALSE))</f>
        <v/>
      </c>
      <c r="Q204" s="275" t="str">
        <f>IF(M204="","",VLOOKUP(M204,'G-6 Hedgerow Data'!$B$2:$AG$15,2,FALSE))</f>
        <v/>
      </c>
      <c r="R204" s="276" t="str">
        <f>IF(M204="","",VLOOKUP(M204,'G-6 Hedgerow Data'!$B$2:$AG$15,3,FALSE))</f>
        <v/>
      </c>
      <c r="S204" s="101"/>
      <c r="T204" s="276" t="str">
        <f>IFERROR(IF(S204="","",IF(AND(M204="Non-native and ornamental hedgerow",S204&lt;&gt;"Poor"),"Not possible ▲",(IF(AND(Q204="V.Low",OR(S204="Good",S204="Moderate")),"Error ▲",VLOOKUP(S204,'G-1 All Habitats'!$Z$2:$AA$9,2,FALSE))))),"")</f>
        <v/>
      </c>
      <c r="U204" s="101"/>
      <c r="V204" s="283" t="str">
        <f>IF(U204="","",IF(VLOOKUP(U204,'G-3 Multipliers'!$L$3:$N$6,2,FALSE)=0,"Spatial Data Missing ⚠",VLOOKUP(U204,'G-3 Multipliers'!$L$3:$N$6,2,FALSE)))</f>
        <v/>
      </c>
      <c r="W204" s="281" t="str">
        <f>IF(U204="","",IF(VLOOKUP(U204,'G-3 Multipliers'!$L$3:$N$6,3,FALSE)=0,"Spatial Data Missing ⚠",VLOOKUP(U204,'G-3 Multipliers'!$L$3:$N$6,3,FALSE)))</f>
        <v/>
      </c>
      <c r="X204" s="275" t="str">
        <f>IFERROR(IF(OR(LEFT(O204,5)="Error",LEFT(N204,5)="Error",T204="Error"),"Check Data ⚠",IF(F204&lt;R204,INDEX('G-6 Hedgerow Data'!$S$3:$AE$14,MATCH(C204,'G-6 Hedgerow Data'!$B$3:$B$14,0),MATCH(M204,'G-6 Hedgerow Data'!$S$2:$AE$2,0)),INDEX('G-6 Hedgerow Data'!$K$3:$Q$14,MATCH(M204,'G-6 Hedgerow Data'!$B$3:$B$14,0),MATCH(O204,'G-6 Hedgerow Data'!$K$2:$Q$2,0)))),"")</f>
        <v/>
      </c>
      <c r="Y204" s="133"/>
      <c r="Z204" s="133"/>
      <c r="AA204" s="283" t="str">
        <f t="shared" si="18"/>
        <v/>
      </c>
      <c r="AB204" s="296" t="str">
        <f t="shared" si="19"/>
        <v/>
      </c>
      <c r="AC204" s="297" t="str">
        <f t="shared" si="24" ref="AC204:AC257">IF(OR(S204="",M204=""),"",IF(LEFT(AB204,5)="Error ▲","Check Data ⚠",IF(AB204="Check Data ⚠","Check Data ⚠",VLOOKUP(AB204,TemporalMultipliers,3,FALSE))))</f>
        <v/>
      </c>
      <c r="AD204" s="311" t="str">
        <f>IF(M204="","",VLOOKUP(M204,'G-6 Hedgerow Data'!$B$3:$AG$15,31,FALSE))</f>
        <v/>
      </c>
      <c r="AE204" s="295" t="str">
        <f t="shared" si="20"/>
        <v/>
      </c>
      <c r="AF204" s="283" t="str">
        <f t="shared" si="21"/>
        <v/>
      </c>
      <c r="AG204" s="299" t="str">
        <f>IFERROR(IF(O204="","",VLOOKUP(AD204,'G-3 Multipliers'!$P$3:$Q$6,2,FALSE)),"")</f>
        <v/>
      </c>
      <c r="AH204" s="713" t="str">
        <f>IF(B204="","",IF(ISNA(VLOOKUP($B204,'E-1 Off-Site Hedge Baseline'!$B$1:$Z$257,14,FALSE)),"",(VLOOKUP($B204,'E-1 Off-Site Hedge Baseline'!$B$1:$Z$257,14,FALSE))))</f>
        <v/>
      </c>
      <c r="AI204" s="276" t="str">
        <f>IF(AH204="","",IF(VLOOKUP(AH204,'G-3 Multipliers'!$S$3:$T$10,2,FALSE)=0,"Spatial Data Missing ⚠",VLOOKUP(AH204,'G-3 Multipliers'!$S$3:$T$10,2,FALSE)))</f>
        <v/>
      </c>
      <c r="AJ204" s="317" t="str">
        <f t="shared" si="22"/>
        <v/>
      </c>
      <c r="AK204" s="289" t="str">
        <f t="shared" si="23"/>
        <v/>
      </c>
      <c r="AL204" s="101"/>
      <c r="AM204" s="115"/>
      <c r="AN204" s="104"/>
      <c r="AO204" s="104"/>
      <c r="AQ204" s="30" t="str">
        <f>IFERROR(INDEX('G-6 Hedgerow Data'!$BJ$3:$BJ$15,MATCH(M204,'G-6 Hedgerow Data'!$B$3:$B$15,0)),"")</f>
        <v/>
      </c>
    </row>
    <row r="205" spans="2:43" ht="14">
      <c r="B205" s="305" t="str">
        <f>'E-1 Off-Site Hedge Baseline'!AN203</f>
        <v/>
      </c>
      <c r="C205" s="295" t="str">
        <f>IF(B205="","",IF(ISNA(VLOOKUP($B205,'E-1 Off-Site Hedge Baseline'!$B$1:$L$257,3,FALSE)),"",(VLOOKUP($B205,'E-1 Off-Site Hedge Baseline'!$B$1:$L$257,3,FALSE))))</f>
        <v/>
      </c>
      <c r="D205" s="295" t="str">
        <f>IF(B205="","",IF(ISNA(VLOOKUP($B205,'E-1 Off-Site Hedge Baseline'!$B$1:$L$258,4,FALSE)),"",(VLOOKUP($B205,'E-1 Off-Site Hedge Baseline'!$B$1:$L$258,4,FALSE))))</f>
        <v/>
      </c>
      <c r="E205" s="295" t="str">
        <f>IF(B205="","",IF(ISNA(VLOOKUP($B205,'E-1 Off-Site Hedge Baseline'!$B$1:$L$257,5,FALSE)),"",(VLOOKUP($B205,'E-1 Off-Site Hedge Baseline'!$B$1:$L$257,5,FALSE))))</f>
        <v/>
      </c>
      <c r="F205" s="295" t="str">
        <f>IF(B205="","",IF(ISNA(VLOOKUP($B205,'E-1 Off-Site Hedge Baseline'!$B$1:$L$257,6,FALSE)),"",(VLOOKUP($B205,'E-1 Off-Site Hedge Baseline'!$B$1:$L$257,6,FALSE))))</f>
        <v/>
      </c>
      <c r="G205" s="295" t="str">
        <f>IF(B205="","",IF(ISNA(VLOOKUP($B205,'E-1 Off-Site Hedge Baseline'!$B$1:$L$257,7,FALSE)),"",(VLOOKUP($B205,'E-1 Off-Site Hedge Baseline'!$B$1:$L$257,7,FALSE))))</f>
        <v/>
      </c>
      <c r="H205" s="295" t="str">
        <f>IF(B205="","",IF(ISNA(VLOOKUP($B205,'E-1 Off-Site Hedge Baseline'!$B$1:$L$257,8,FALSE)),"",(VLOOKUP($B205,'E-1 Off-Site Hedge Baseline'!$B$1:$L$257,8,FALSE))))</f>
        <v/>
      </c>
      <c r="I205" s="295" t="str">
        <f>IF(B205="","",IF(ISNA(VLOOKUP($B205,'E-1 Off-Site Hedge Baseline'!$B$1:$L$257,10,FALSE)),"",(VLOOKUP($B205,'E-1 Off-Site Hedge Baseline'!$B$1:$L$257,10,FALSE))))</f>
        <v/>
      </c>
      <c r="J205" s="295" t="str">
        <f>IF(B205="","",IF(ISNA(VLOOKUP($B205,'E-1 Off-Site Hedge Baseline'!$B$1:$L$257,11,FALSE)),"",(VLOOKUP($B205,'E-1 Off-Site Hedge Baseline'!$B$1:$L$257,11,FALSE))))</f>
        <v/>
      </c>
      <c r="K205" s="295" t="str">
        <f>IF(B205="","",IF(ISNA(VLOOKUP($B205,'E-1 Off-Site Hedge Baseline'!$B$1:$X$257,16,FALSE)),"",(VLOOKUP($B205,'E-1 Off-Site Hedge Baseline'!$B$1:$X$257,16,FALSE))))</f>
        <v/>
      </c>
      <c r="L205" s="283" t="str">
        <f>IF(B205="","",IF(ISNA(VLOOKUP($B205,'E-1 Off-Site Hedge Baseline'!$B$1:$X$257,12,FALSE)),"",(VLOOKUP($B205,'E-1 Off-Site Hedge Baseline'!$B$1:$X$257,12,FALSE))))</f>
        <v/>
      </c>
      <c r="M205" s="244"/>
      <c r="N205" s="275" t="str">
        <f>IFERROR(IF(B205="","",INDEX('G-6 Hedgerow Data'!$AN$3:$AZ$15,MATCH(C205,'G-6 Hedgerow Data'!$AM$3:$AM$15,0),MATCH(M205,'G-6 Hedgerow Data'!$AN$2:$AZ$2,0))),"")</f>
        <v/>
      </c>
      <c r="O205" s="276" t="str">
        <f t="shared" si="25" ref="O205:O257">IFERROR(IF(B205="","",IF(AND(LEFT(C205,55)&lt;&gt;LEFT(M205,55),N205="High - High"),"Error - Not like for like ▲",IF(H205&gt;T205,"Error - Can not reduce condition ▲",IF(AND(F205=R205,H205=T205),"Error - No enhancement ▲",IF(AND(C205&lt;&gt;M205,F205&lt;R205),"Lower Distinctiveness Habitat"&amp;" - "&amp;S205,G205&amp;" - "&amp;S205))))),"")</f>
        <v/>
      </c>
      <c r="P205" s="281" t="str">
        <f>IF(B205="","",VLOOKUP(B205,'E-1 Off-Site Hedge Baseline'!$B$10:W450,19,FALSE))</f>
        <v/>
      </c>
      <c r="Q205" s="275" t="str">
        <f>IF(M205="","",VLOOKUP(M205,'G-6 Hedgerow Data'!$B$2:$AG$15,2,FALSE))</f>
        <v/>
      </c>
      <c r="R205" s="276" t="str">
        <f>IF(M205="","",VLOOKUP(M205,'G-6 Hedgerow Data'!$B$2:$AG$15,3,FALSE))</f>
        <v/>
      </c>
      <c r="S205" s="101"/>
      <c r="T205" s="276" t="str">
        <f>IFERROR(IF(S205="","",IF(AND(M205="Non-native and ornamental hedgerow",S205&lt;&gt;"Poor"),"Not possible ▲",(IF(AND(Q205="V.Low",OR(S205="Good",S205="Moderate")),"Error ▲",VLOOKUP(S205,'G-1 All Habitats'!$Z$2:$AA$9,2,FALSE))))),"")</f>
        <v/>
      </c>
      <c r="U205" s="101"/>
      <c r="V205" s="283" t="str">
        <f>IF(U205="","",IF(VLOOKUP(U205,'G-3 Multipliers'!$L$3:$N$6,2,FALSE)=0,"Spatial Data Missing ⚠",VLOOKUP(U205,'G-3 Multipliers'!$L$3:$N$6,2,FALSE)))</f>
        <v/>
      </c>
      <c r="W205" s="281" t="str">
        <f>IF(U205="","",IF(VLOOKUP(U205,'G-3 Multipliers'!$L$3:$N$6,3,FALSE)=0,"Spatial Data Missing ⚠",VLOOKUP(U205,'G-3 Multipliers'!$L$3:$N$6,3,FALSE)))</f>
        <v/>
      </c>
      <c r="X205" s="275" t="str">
        <f>IFERROR(IF(OR(LEFT(O205,5)="Error",LEFT(N205,5)="Error",T205="Error"),"Check Data ⚠",IF(F205&lt;R205,INDEX('G-6 Hedgerow Data'!$S$3:$AE$14,MATCH(C205,'G-6 Hedgerow Data'!$B$3:$B$14,0),MATCH(M205,'G-6 Hedgerow Data'!$S$2:$AE$2,0)),INDEX('G-6 Hedgerow Data'!$K$3:$Q$14,MATCH(M205,'G-6 Hedgerow Data'!$B$3:$B$14,0),MATCH(O205,'G-6 Hedgerow Data'!$K$2:$Q$2,0)))),"")</f>
        <v/>
      </c>
      <c r="Y205" s="133"/>
      <c r="Z205" s="133"/>
      <c r="AA205" s="283" t="str">
        <f t="shared" si="26" ref="AA205:AA25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296" t="str">
        <f t="shared" si="27" ref="AB205:AB257">IF(X205="","",IF(AA205="Check Data ⚠","Check Data ⚠",IF(X205="Not possible ▲","Check data ⚠",IF(Y205="30+",0,IF(Z205="30+","30+",IF(X205+Z205&gt;30,"30+",IF(AA205="Error -both advance and delayed habitat creation ▲","Check Data ⚠",IF(X205+Z205-Y205&gt;0,X205+Z205-Y205,IF(X205-Y205&lt;=0,0,)))))))))</f>
        <v/>
      </c>
      <c r="AC205" s="297" t="str">
        <f t="shared" si="24"/>
        <v/>
      </c>
      <c r="AD205" s="311" t="str">
        <f>IF(M205="","",VLOOKUP(M205,'G-6 Hedgerow Data'!$B$3:$AG$15,31,FALSE))</f>
        <v/>
      </c>
      <c r="AE205" s="295" t="str">
        <f t="shared" si="28" ref="AE205:AE257">IF(M205="","",IF(OR(LEFT(AA205,5)="Error ▲",AA205="Check Data ⚠"),"Check Data ⚠",IF(X205="","",IF($AA205="Check details - Is there evidence that habitat has reached target condition? ⚠","Low Difficulty - only applicable if all habitat created before losses ⚠","Standard difficulty applied"))))</f>
        <v/>
      </c>
      <c r="AF205" s="283" t="str">
        <f t="shared" si="29" ref="AF205:AF257">(IF(AND(AE205="Yes",X205&gt;Y205),AD205,IF(AB205="Check data ⚠","Check data ⚠",IF(AND(AE205="Low Difficulty - only applicable if all habitat created before losses ⚠",Y205&gt;=X205),"Low",AD205))))</f>
        <v/>
      </c>
      <c r="AG205" s="299" t="str">
        <f>IFERROR(IF(O205="","",VLOOKUP(AD205,'G-3 Multipliers'!$P$3:$Q$6,2,FALSE)),"")</f>
        <v/>
      </c>
      <c r="AH205" s="713" t="str">
        <f>IF(B205="","",IF(ISNA(VLOOKUP($B205,'E-1 Off-Site Hedge Baseline'!$B$1:$Z$257,14,FALSE)),"",(VLOOKUP($B205,'E-1 Off-Site Hedge Baseline'!$B$1:$Z$257,14,FALSE))))</f>
        <v/>
      </c>
      <c r="AI205" s="276" t="str">
        <f>IF(AH205="","",IF(VLOOKUP(AH205,'G-3 Multipliers'!$S$3:$T$10,2,FALSE)=0,"Spatial Data Missing ⚠",VLOOKUP(AH205,'G-3 Multipliers'!$S$3:$T$10,2,FALSE)))</f>
        <v/>
      </c>
      <c r="AJ205" s="317" t="str">
        <f t="shared" si="30" ref="AJ205:AJ257">IFERROR(IF(AK205="Check data ⚠","Check data ⚠",(IF(OR(M205="",S205="",U205="",AH205=""),"",(((((P205*R205*T205)-(P205*F205*H205))*(AG205*AC205))+(P205*F205*H205))*(W205)*AI205)))),"")</f>
        <v/>
      </c>
      <c r="AK205" s="289" t="str">
        <f t="shared" si="31" ref="AK205:AK257">IFERROR(IF(K205="Check data ⚠","Check data ⚠",(IF(AND(AH205&lt;&gt;"",AO205=""),"Off-site reference required ▲",(IF(OR(M205="",S205="",U205="",AH205=""),"",IF(AH205="","",(((((P205*R205*T205)-(P205*F205*H205))*(AG205*AC205))+(P205*F205*H205))*(W205)))))))),"")</f>
        <v/>
      </c>
      <c r="AL205" s="101"/>
      <c r="AM205" s="115"/>
      <c r="AN205" s="104"/>
      <c r="AO205" s="104"/>
      <c r="AQ205" s="30" t="str">
        <f>IFERROR(INDEX('G-6 Hedgerow Data'!$BJ$3:$BJ$15,MATCH(M205,'G-6 Hedgerow Data'!$B$3:$B$15,0)),"")</f>
        <v/>
      </c>
    </row>
    <row r="206" spans="2:43" ht="14">
      <c r="B206" s="305" t="str">
        <f>'E-1 Off-Site Hedge Baseline'!AN204</f>
        <v/>
      </c>
      <c r="C206" s="295" t="str">
        <f>IF(B206="","",IF(ISNA(VLOOKUP($B206,'E-1 Off-Site Hedge Baseline'!$B$1:$L$257,3,FALSE)),"",(VLOOKUP($B206,'E-1 Off-Site Hedge Baseline'!$B$1:$L$257,3,FALSE))))</f>
        <v/>
      </c>
      <c r="D206" s="295" t="str">
        <f>IF(B206="","",IF(ISNA(VLOOKUP($B206,'E-1 Off-Site Hedge Baseline'!$B$1:$L$258,4,FALSE)),"",(VLOOKUP($B206,'E-1 Off-Site Hedge Baseline'!$B$1:$L$258,4,FALSE))))</f>
        <v/>
      </c>
      <c r="E206" s="295" t="str">
        <f>IF(B206="","",IF(ISNA(VLOOKUP($B206,'E-1 Off-Site Hedge Baseline'!$B$1:$L$257,5,FALSE)),"",(VLOOKUP($B206,'E-1 Off-Site Hedge Baseline'!$B$1:$L$257,5,FALSE))))</f>
        <v/>
      </c>
      <c r="F206" s="295" t="str">
        <f>IF(B206="","",IF(ISNA(VLOOKUP($B206,'E-1 Off-Site Hedge Baseline'!$B$1:$L$257,6,FALSE)),"",(VLOOKUP($B206,'E-1 Off-Site Hedge Baseline'!$B$1:$L$257,6,FALSE))))</f>
        <v/>
      </c>
      <c r="G206" s="295" t="str">
        <f>IF(B206="","",IF(ISNA(VLOOKUP($B206,'E-1 Off-Site Hedge Baseline'!$B$1:$L$257,7,FALSE)),"",(VLOOKUP($B206,'E-1 Off-Site Hedge Baseline'!$B$1:$L$257,7,FALSE))))</f>
        <v/>
      </c>
      <c r="H206" s="295" t="str">
        <f>IF(B206="","",IF(ISNA(VLOOKUP($B206,'E-1 Off-Site Hedge Baseline'!$B$1:$L$257,8,FALSE)),"",(VLOOKUP($B206,'E-1 Off-Site Hedge Baseline'!$B$1:$L$257,8,FALSE))))</f>
        <v/>
      </c>
      <c r="I206" s="295" t="str">
        <f>IF(B206="","",IF(ISNA(VLOOKUP($B206,'E-1 Off-Site Hedge Baseline'!$B$1:$L$257,10,FALSE)),"",(VLOOKUP($B206,'E-1 Off-Site Hedge Baseline'!$B$1:$L$257,10,FALSE))))</f>
        <v/>
      </c>
      <c r="J206" s="295" t="str">
        <f>IF(B206="","",IF(ISNA(VLOOKUP($B206,'E-1 Off-Site Hedge Baseline'!$B$1:$L$257,11,FALSE)),"",(VLOOKUP($B206,'E-1 Off-Site Hedge Baseline'!$B$1:$L$257,11,FALSE))))</f>
        <v/>
      </c>
      <c r="K206" s="295" t="str">
        <f>IF(B206="","",IF(ISNA(VLOOKUP($B206,'E-1 Off-Site Hedge Baseline'!$B$1:$X$257,16,FALSE)),"",(VLOOKUP($B206,'E-1 Off-Site Hedge Baseline'!$B$1:$X$257,16,FALSE))))</f>
        <v/>
      </c>
      <c r="L206" s="283" t="str">
        <f>IF(B206="","",IF(ISNA(VLOOKUP($B206,'E-1 Off-Site Hedge Baseline'!$B$1:$X$257,12,FALSE)),"",(VLOOKUP($B206,'E-1 Off-Site Hedge Baseline'!$B$1:$X$257,12,FALSE))))</f>
        <v/>
      </c>
      <c r="M206" s="244"/>
      <c r="N206" s="275" t="str">
        <f>IFERROR(IF(B206="","",INDEX('G-6 Hedgerow Data'!$AN$3:$AZ$15,MATCH(C206,'G-6 Hedgerow Data'!$AM$3:$AM$15,0),MATCH(M206,'G-6 Hedgerow Data'!$AN$2:$AZ$2,0))),"")</f>
        <v/>
      </c>
      <c r="O206" s="276" t="str">
        <f t="shared" si="25"/>
        <v/>
      </c>
      <c r="P206" s="281" t="str">
        <f>IF(B206="","",VLOOKUP(B206,'E-1 Off-Site Hedge Baseline'!$B$10:W451,19,FALSE))</f>
        <v/>
      </c>
      <c r="Q206" s="275" t="str">
        <f>IF(M206="","",VLOOKUP(M206,'G-6 Hedgerow Data'!$B$2:$AG$15,2,FALSE))</f>
        <v/>
      </c>
      <c r="R206" s="276" t="str">
        <f>IF(M206="","",VLOOKUP(M206,'G-6 Hedgerow Data'!$B$2:$AG$15,3,FALSE))</f>
        <v/>
      </c>
      <c r="S206" s="101"/>
      <c r="T206" s="276" t="str">
        <f>IFERROR(IF(S206="","",IF(AND(M206="Non-native and ornamental hedgerow",S206&lt;&gt;"Poor"),"Not possible ▲",(IF(AND(Q206="V.Low",OR(S206="Good",S206="Moderate")),"Error ▲",VLOOKUP(S206,'G-1 All Habitats'!$Z$2:$AA$9,2,FALSE))))),"")</f>
        <v/>
      </c>
      <c r="U206" s="101"/>
      <c r="V206" s="283" t="str">
        <f>IF(U206="","",IF(VLOOKUP(U206,'G-3 Multipliers'!$L$3:$N$6,2,FALSE)=0,"Spatial Data Missing ⚠",VLOOKUP(U206,'G-3 Multipliers'!$L$3:$N$6,2,FALSE)))</f>
        <v/>
      </c>
      <c r="W206" s="281" t="str">
        <f>IF(U206="","",IF(VLOOKUP(U206,'G-3 Multipliers'!$L$3:$N$6,3,FALSE)=0,"Spatial Data Missing ⚠",VLOOKUP(U206,'G-3 Multipliers'!$L$3:$N$6,3,FALSE)))</f>
        <v/>
      </c>
      <c r="X206" s="275" t="str">
        <f>IFERROR(IF(OR(LEFT(O206,5)="Error",LEFT(N206,5)="Error",T206="Error"),"Check Data ⚠",IF(F206&lt;R206,INDEX('G-6 Hedgerow Data'!$S$3:$AE$14,MATCH(C206,'G-6 Hedgerow Data'!$B$3:$B$14,0),MATCH(M206,'G-6 Hedgerow Data'!$S$2:$AE$2,0)),INDEX('G-6 Hedgerow Data'!$K$3:$Q$14,MATCH(M206,'G-6 Hedgerow Data'!$B$3:$B$14,0),MATCH(O206,'G-6 Hedgerow Data'!$K$2:$Q$2,0)))),"")</f>
        <v/>
      </c>
      <c r="Y206" s="133"/>
      <c r="Z206" s="133"/>
      <c r="AA206" s="283" t="str">
        <f t="shared" si="26"/>
        <v/>
      </c>
      <c r="AB206" s="296" t="str">
        <f t="shared" si="27"/>
        <v/>
      </c>
      <c r="AC206" s="297" t="str">
        <f t="shared" si="24"/>
        <v/>
      </c>
      <c r="AD206" s="311" t="str">
        <f>IF(M206="","",VLOOKUP(M206,'G-6 Hedgerow Data'!$B$3:$AG$15,31,FALSE))</f>
        <v/>
      </c>
      <c r="AE206" s="295" t="str">
        <f t="shared" si="28"/>
        <v/>
      </c>
      <c r="AF206" s="283" t="str">
        <f t="shared" si="29"/>
        <v/>
      </c>
      <c r="AG206" s="299" t="str">
        <f>IFERROR(IF(O206="","",VLOOKUP(AD206,'G-3 Multipliers'!$P$3:$Q$6,2,FALSE)),"")</f>
        <v/>
      </c>
      <c r="AH206" s="713" t="str">
        <f>IF(B206="","",IF(ISNA(VLOOKUP($B206,'E-1 Off-Site Hedge Baseline'!$B$1:$Z$257,14,FALSE)),"",(VLOOKUP($B206,'E-1 Off-Site Hedge Baseline'!$B$1:$Z$257,14,FALSE))))</f>
        <v/>
      </c>
      <c r="AI206" s="276" t="str">
        <f>IF(AH206="","",IF(VLOOKUP(AH206,'G-3 Multipliers'!$S$3:$T$10,2,FALSE)=0,"Spatial Data Missing ⚠",VLOOKUP(AH206,'G-3 Multipliers'!$S$3:$T$10,2,FALSE)))</f>
        <v/>
      </c>
      <c r="AJ206" s="317" t="str">
        <f t="shared" si="30"/>
        <v/>
      </c>
      <c r="AK206" s="289" t="str">
        <f t="shared" si="31"/>
        <v/>
      </c>
      <c r="AL206" s="101"/>
      <c r="AM206" s="115"/>
      <c r="AN206" s="104"/>
      <c r="AO206" s="104"/>
      <c r="AQ206" s="30" t="str">
        <f>IFERROR(INDEX('G-6 Hedgerow Data'!$BJ$3:$BJ$15,MATCH(M206,'G-6 Hedgerow Data'!$B$3:$B$15,0)),"")</f>
        <v/>
      </c>
    </row>
    <row r="207" spans="2:43" ht="14">
      <c r="B207" s="305" t="str">
        <f>'E-1 Off-Site Hedge Baseline'!AN205</f>
        <v/>
      </c>
      <c r="C207" s="295" t="str">
        <f>IF(B207="","",IF(ISNA(VLOOKUP($B207,'E-1 Off-Site Hedge Baseline'!$B$1:$L$257,3,FALSE)),"",(VLOOKUP($B207,'E-1 Off-Site Hedge Baseline'!$B$1:$L$257,3,FALSE))))</f>
        <v/>
      </c>
      <c r="D207" s="295" t="str">
        <f>IF(B207="","",IF(ISNA(VLOOKUP($B207,'E-1 Off-Site Hedge Baseline'!$B$1:$L$258,4,FALSE)),"",(VLOOKUP($B207,'E-1 Off-Site Hedge Baseline'!$B$1:$L$258,4,FALSE))))</f>
        <v/>
      </c>
      <c r="E207" s="295" t="str">
        <f>IF(B207="","",IF(ISNA(VLOOKUP($B207,'E-1 Off-Site Hedge Baseline'!$B$1:$L$257,5,FALSE)),"",(VLOOKUP($B207,'E-1 Off-Site Hedge Baseline'!$B$1:$L$257,5,FALSE))))</f>
        <v/>
      </c>
      <c r="F207" s="295" t="str">
        <f>IF(B207="","",IF(ISNA(VLOOKUP($B207,'E-1 Off-Site Hedge Baseline'!$B$1:$L$257,6,FALSE)),"",(VLOOKUP($B207,'E-1 Off-Site Hedge Baseline'!$B$1:$L$257,6,FALSE))))</f>
        <v/>
      </c>
      <c r="G207" s="295" t="str">
        <f>IF(B207="","",IF(ISNA(VLOOKUP($B207,'E-1 Off-Site Hedge Baseline'!$B$1:$L$257,7,FALSE)),"",(VLOOKUP($B207,'E-1 Off-Site Hedge Baseline'!$B$1:$L$257,7,FALSE))))</f>
        <v/>
      </c>
      <c r="H207" s="295" t="str">
        <f>IF(B207="","",IF(ISNA(VLOOKUP($B207,'E-1 Off-Site Hedge Baseline'!$B$1:$L$257,8,FALSE)),"",(VLOOKUP($B207,'E-1 Off-Site Hedge Baseline'!$B$1:$L$257,8,FALSE))))</f>
        <v/>
      </c>
      <c r="I207" s="295" t="str">
        <f>IF(B207="","",IF(ISNA(VLOOKUP($B207,'E-1 Off-Site Hedge Baseline'!$B$1:$L$257,10,FALSE)),"",(VLOOKUP($B207,'E-1 Off-Site Hedge Baseline'!$B$1:$L$257,10,FALSE))))</f>
        <v/>
      </c>
      <c r="J207" s="295" t="str">
        <f>IF(B207="","",IF(ISNA(VLOOKUP($B207,'E-1 Off-Site Hedge Baseline'!$B$1:$L$257,11,FALSE)),"",(VLOOKUP($B207,'E-1 Off-Site Hedge Baseline'!$B$1:$L$257,11,FALSE))))</f>
        <v/>
      </c>
      <c r="K207" s="295" t="str">
        <f>IF(B207="","",IF(ISNA(VLOOKUP($B207,'E-1 Off-Site Hedge Baseline'!$B$1:$X$257,16,FALSE)),"",(VLOOKUP($B207,'E-1 Off-Site Hedge Baseline'!$B$1:$X$257,16,FALSE))))</f>
        <v/>
      </c>
      <c r="L207" s="283" t="str">
        <f>IF(B207="","",IF(ISNA(VLOOKUP($B207,'E-1 Off-Site Hedge Baseline'!$B$1:$X$257,12,FALSE)),"",(VLOOKUP($B207,'E-1 Off-Site Hedge Baseline'!$B$1:$X$257,12,FALSE))))</f>
        <v/>
      </c>
      <c r="M207" s="244"/>
      <c r="N207" s="275" t="str">
        <f>IFERROR(IF(B207="","",INDEX('G-6 Hedgerow Data'!$AN$3:$AZ$15,MATCH(C207,'G-6 Hedgerow Data'!$AM$3:$AM$15,0),MATCH(M207,'G-6 Hedgerow Data'!$AN$2:$AZ$2,0))),"")</f>
        <v/>
      </c>
      <c r="O207" s="276" t="str">
        <f t="shared" si="25"/>
        <v/>
      </c>
      <c r="P207" s="281" t="str">
        <f>IF(B207="","",VLOOKUP(B207,'E-1 Off-Site Hedge Baseline'!$B$10:W452,19,FALSE))</f>
        <v/>
      </c>
      <c r="Q207" s="275" t="str">
        <f>IF(M207="","",VLOOKUP(M207,'G-6 Hedgerow Data'!$B$2:$AG$15,2,FALSE))</f>
        <v/>
      </c>
      <c r="R207" s="276" t="str">
        <f>IF(M207="","",VLOOKUP(M207,'G-6 Hedgerow Data'!$B$2:$AG$15,3,FALSE))</f>
        <v/>
      </c>
      <c r="S207" s="101"/>
      <c r="T207" s="276" t="str">
        <f>IFERROR(IF(S207="","",IF(AND(M207="Non-native and ornamental hedgerow",S207&lt;&gt;"Poor"),"Not possible ▲",(IF(AND(Q207="V.Low",OR(S207="Good",S207="Moderate")),"Error ▲",VLOOKUP(S207,'G-1 All Habitats'!$Z$2:$AA$9,2,FALSE))))),"")</f>
        <v/>
      </c>
      <c r="U207" s="101"/>
      <c r="V207" s="283" t="str">
        <f>IF(U207="","",IF(VLOOKUP(U207,'G-3 Multipliers'!$L$3:$N$6,2,FALSE)=0,"Spatial Data Missing ⚠",VLOOKUP(U207,'G-3 Multipliers'!$L$3:$N$6,2,FALSE)))</f>
        <v/>
      </c>
      <c r="W207" s="281" t="str">
        <f>IF(U207="","",IF(VLOOKUP(U207,'G-3 Multipliers'!$L$3:$N$6,3,FALSE)=0,"Spatial Data Missing ⚠",VLOOKUP(U207,'G-3 Multipliers'!$L$3:$N$6,3,FALSE)))</f>
        <v/>
      </c>
      <c r="X207" s="275" t="str">
        <f>IFERROR(IF(OR(LEFT(O207,5)="Error",LEFT(N207,5)="Error",T207="Error"),"Check Data ⚠",IF(F207&lt;R207,INDEX('G-6 Hedgerow Data'!$S$3:$AE$14,MATCH(C207,'G-6 Hedgerow Data'!$B$3:$B$14,0),MATCH(M207,'G-6 Hedgerow Data'!$S$2:$AE$2,0)),INDEX('G-6 Hedgerow Data'!$K$3:$Q$14,MATCH(M207,'G-6 Hedgerow Data'!$B$3:$B$14,0),MATCH(O207,'G-6 Hedgerow Data'!$K$2:$Q$2,0)))),"")</f>
        <v/>
      </c>
      <c r="Y207" s="133"/>
      <c r="Z207" s="133"/>
      <c r="AA207" s="283" t="str">
        <f t="shared" si="26"/>
        <v/>
      </c>
      <c r="AB207" s="296" t="str">
        <f t="shared" si="27"/>
        <v/>
      </c>
      <c r="AC207" s="297" t="str">
        <f t="shared" si="24"/>
        <v/>
      </c>
      <c r="AD207" s="311" t="str">
        <f>IF(M207="","",VLOOKUP(M207,'G-6 Hedgerow Data'!$B$3:$AG$15,31,FALSE))</f>
        <v/>
      </c>
      <c r="AE207" s="295" t="str">
        <f t="shared" si="28"/>
        <v/>
      </c>
      <c r="AF207" s="283" t="str">
        <f t="shared" si="29"/>
        <v/>
      </c>
      <c r="AG207" s="299" t="str">
        <f>IFERROR(IF(O207="","",VLOOKUP(AD207,'G-3 Multipliers'!$P$3:$Q$6,2,FALSE)),"")</f>
        <v/>
      </c>
      <c r="AH207" s="713" t="str">
        <f>IF(B207="","",IF(ISNA(VLOOKUP($B207,'E-1 Off-Site Hedge Baseline'!$B$1:$Z$257,14,FALSE)),"",(VLOOKUP($B207,'E-1 Off-Site Hedge Baseline'!$B$1:$Z$257,14,FALSE))))</f>
        <v/>
      </c>
      <c r="AI207" s="276" t="str">
        <f>IF(AH207="","",IF(VLOOKUP(AH207,'G-3 Multipliers'!$S$3:$T$10,2,FALSE)=0,"Spatial Data Missing ⚠",VLOOKUP(AH207,'G-3 Multipliers'!$S$3:$T$10,2,FALSE)))</f>
        <v/>
      </c>
      <c r="AJ207" s="317" t="str">
        <f t="shared" si="30"/>
        <v/>
      </c>
      <c r="AK207" s="289" t="str">
        <f t="shared" si="31"/>
        <v/>
      </c>
      <c r="AL207" s="101"/>
      <c r="AM207" s="115"/>
      <c r="AN207" s="104"/>
      <c r="AO207" s="104"/>
      <c r="AQ207" s="30" t="str">
        <f>IFERROR(INDEX('G-6 Hedgerow Data'!$BJ$3:$BJ$15,MATCH(M207,'G-6 Hedgerow Data'!$B$3:$B$15,0)),"")</f>
        <v/>
      </c>
    </row>
    <row r="208" spans="2:43" ht="14">
      <c r="B208" s="305" t="str">
        <f>'E-1 Off-Site Hedge Baseline'!AN206</f>
        <v/>
      </c>
      <c r="C208" s="295" t="str">
        <f>IF(B208="","",IF(ISNA(VLOOKUP($B208,'E-1 Off-Site Hedge Baseline'!$B$1:$L$257,3,FALSE)),"",(VLOOKUP($B208,'E-1 Off-Site Hedge Baseline'!$B$1:$L$257,3,FALSE))))</f>
        <v/>
      </c>
      <c r="D208" s="295" t="str">
        <f>IF(B208="","",IF(ISNA(VLOOKUP($B208,'E-1 Off-Site Hedge Baseline'!$B$1:$L$258,4,FALSE)),"",(VLOOKUP($B208,'E-1 Off-Site Hedge Baseline'!$B$1:$L$258,4,FALSE))))</f>
        <v/>
      </c>
      <c r="E208" s="295" t="str">
        <f>IF(B208="","",IF(ISNA(VLOOKUP($B208,'E-1 Off-Site Hedge Baseline'!$B$1:$L$257,5,FALSE)),"",(VLOOKUP($B208,'E-1 Off-Site Hedge Baseline'!$B$1:$L$257,5,FALSE))))</f>
        <v/>
      </c>
      <c r="F208" s="295" t="str">
        <f>IF(B208="","",IF(ISNA(VLOOKUP($B208,'E-1 Off-Site Hedge Baseline'!$B$1:$L$257,6,FALSE)),"",(VLOOKUP($B208,'E-1 Off-Site Hedge Baseline'!$B$1:$L$257,6,FALSE))))</f>
        <v/>
      </c>
      <c r="G208" s="295" t="str">
        <f>IF(B208="","",IF(ISNA(VLOOKUP($B208,'E-1 Off-Site Hedge Baseline'!$B$1:$L$257,7,FALSE)),"",(VLOOKUP($B208,'E-1 Off-Site Hedge Baseline'!$B$1:$L$257,7,FALSE))))</f>
        <v/>
      </c>
      <c r="H208" s="295" t="str">
        <f>IF(B208="","",IF(ISNA(VLOOKUP($B208,'E-1 Off-Site Hedge Baseline'!$B$1:$L$257,8,FALSE)),"",(VLOOKUP($B208,'E-1 Off-Site Hedge Baseline'!$B$1:$L$257,8,FALSE))))</f>
        <v/>
      </c>
      <c r="I208" s="295" t="str">
        <f>IF(B208="","",IF(ISNA(VLOOKUP($B208,'E-1 Off-Site Hedge Baseline'!$B$1:$L$257,10,FALSE)),"",(VLOOKUP($B208,'E-1 Off-Site Hedge Baseline'!$B$1:$L$257,10,FALSE))))</f>
        <v/>
      </c>
      <c r="J208" s="295" t="str">
        <f>IF(B208="","",IF(ISNA(VLOOKUP($B208,'E-1 Off-Site Hedge Baseline'!$B$1:$L$257,11,FALSE)),"",(VLOOKUP($B208,'E-1 Off-Site Hedge Baseline'!$B$1:$L$257,11,FALSE))))</f>
        <v/>
      </c>
      <c r="K208" s="295" t="str">
        <f>IF(B208="","",IF(ISNA(VLOOKUP($B208,'E-1 Off-Site Hedge Baseline'!$B$1:$X$257,16,FALSE)),"",(VLOOKUP($B208,'E-1 Off-Site Hedge Baseline'!$B$1:$X$257,16,FALSE))))</f>
        <v/>
      </c>
      <c r="L208" s="283" t="str">
        <f>IF(B208="","",IF(ISNA(VLOOKUP($B208,'E-1 Off-Site Hedge Baseline'!$B$1:$X$257,12,FALSE)),"",(VLOOKUP($B208,'E-1 Off-Site Hedge Baseline'!$B$1:$X$257,12,FALSE))))</f>
        <v/>
      </c>
      <c r="M208" s="244"/>
      <c r="N208" s="275" t="str">
        <f>IFERROR(IF(B208="","",INDEX('G-6 Hedgerow Data'!$AN$3:$AZ$15,MATCH(C208,'G-6 Hedgerow Data'!$AM$3:$AM$15,0),MATCH(M208,'G-6 Hedgerow Data'!$AN$2:$AZ$2,0))),"")</f>
        <v/>
      </c>
      <c r="O208" s="276" t="str">
        <f t="shared" si="25"/>
        <v/>
      </c>
      <c r="P208" s="281" t="str">
        <f>IF(B208="","",VLOOKUP(B208,'E-1 Off-Site Hedge Baseline'!$B$10:W453,19,FALSE))</f>
        <v/>
      </c>
      <c r="Q208" s="275" t="str">
        <f>IF(M208="","",VLOOKUP(M208,'G-6 Hedgerow Data'!$B$2:$AG$15,2,FALSE))</f>
        <v/>
      </c>
      <c r="R208" s="276" t="str">
        <f>IF(M208="","",VLOOKUP(M208,'G-6 Hedgerow Data'!$B$2:$AG$15,3,FALSE))</f>
        <v/>
      </c>
      <c r="S208" s="101"/>
      <c r="T208" s="276" t="str">
        <f>IFERROR(IF(S208="","",IF(AND(M208="Non-native and ornamental hedgerow",S208&lt;&gt;"Poor"),"Not possible ▲",(IF(AND(Q208="V.Low",OR(S208="Good",S208="Moderate")),"Error ▲",VLOOKUP(S208,'G-1 All Habitats'!$Z$2:$AA$9,2,FALSE))))),"")</f>
        <v/>
      </c>
      <c r="U208" s="101"/>
      <c r="V208" s="283" t="str">
        <f>IF(U208="","",IF(VLOOKUP(U208,'G-3 Multipliers'!$L$3:$N$6,2,FALSE)=0,"Spatial Data Missing ⚠",VLOOKUP(U208,'G-3 Multipliers'!$L$3:$N$6,2,FALSE)))</f>
        <v/>
      </c>
      <c r="W208" s="281" t="str">
        <f>IF(U208="","",IF(VLOOKUP(U208,'G-3 Multipliers'!$L$3:$N$6,3,FALSE)=0,"Spatial Data Missing ⚠",VLOOKUP(U208,'G-3 Multipliers'!$L$3:$N$6,3,FALSE)))</f>
        <v/>
      </c>
      <c r="X208" s="275" t="str">
        <f>IFERROR(IF(OR(LEFT(O208,5)="Error",LEFT(N208,5)="Error",T208="Error"),"Check Data ⚠",IF(F208&lt;R208,INDEX('G-6 Hedgerow Data'!$S$3:$AE$14,MATCH(C208,'G-6 Hedgerow Data'!$B$3:$B$14,0),MATCH(M208,'G-6 Hedgerow Data'!$S$2:$AE$2,0)),INDEX('G-6 Hedgerow Data'!$K$3:$Q$14,MATCH(M208,'G-6 Hedgerow Data'!$B$3:$B$14,0),MATCH(O208,'G-6 Hedgerow Data'!$K$2:$Q$2,0)))),"")</f>
        <v/>
      </c>
      <c r="Y208" s="133"/>
      <c r="Z208" s="133"/>
      <c r="AA208" s="283" t="str">
        <f t="shared" si="26"/>
        <v/>
      </c>
      <c r="AB208" s="296" t="str">
        <f t="shared" si="27"/>
        <v/>
      </c>
      <c r="AC208" s="297" t="str">
        <f t="shared" si="24"/>
        <v/>
      </c>
      <c r="AD208" s="311" t="str">
        <f>IF(M208="","",VLOOKUP(M208,'G-6 Hedgerow Data'!$B$3:$AG$15,31,FALSE))</f>
        <v/>
      </c>
      <c r="AE208" s="295" t="str">
        <f t="shared" si="28"/>
        <v/>
      </c>
      <c r="AF208" s="283" t="str">
        <f t="shared" si="29"/>
        <v/>
      </c>
      <c r="AG208" s="299" t="str">
        <f>IFERROR(IF(O208="","",VLOOKUP(AD208,'G-3 Multipliers'!$P$3:$Q$6,2,FALSE)),"")</f>
        <v/>
      </c>
      <c r="AH208" s="713" t="str">
        <f>IF(B208="","",IF(ISNA(VLOOKUP($B208,'E-1 Off-Site Hedge Baseline'!$B$1:$Z$257,14,FALSE)),"",(VLOOKUP($B208,'E-1 Off-Site Hedge Baseline'!$B$1:$Z$257,14,FALSE))))</f>
        <v/>
      </c>
      <c r="AI208" s="276" t="str">
        <f>IF(AH208="","",IF(VLOOKUP(AH208,'G-3 Multipliers'!$S$3:$T$10,2,FALSE)=0,"Spatial Data Missing ⚠",VLOOKUP(AH208,'G-3 Multipliers'!$S$3:$T$10,2,FALSE)))</f>
        <v/>
      </c>
      <c r="AJ208" s="317" t="str">
        <f t="shared" si="30"/>
        <v/>
      </c>
      <c r="AK208" s="289" t="str">
        <f t="shared" si="31"/>
        <v/>
      </c>
      <c r="AL208" s="101"/>
      <c r="AM208" s="115"/>
      <c r="AN208" s="104"/>
      <c r="AO208" s="104"/>
      <c r="AQ208" s="30" t="str">
        <f>IFERROR(INDEX('G-6 Hedgerow Data'!$BJ$3:$BJ$15,MATCH(M208,'G-6 Hedgerow Data'!$B$3:$B$15,0)),"")</f>
        <v/>
      </c>
    </row>
    <row r="209" spans="2:43" ht="14">
      <c r="B209" s="305" t="str">
        <f>'E-1 Off-Site Hedge Baseline'!AN207</f>
        <v/>
      </c>
      <c r="C209" s="295" t="str">
        <f>IF(B209="","",IF(ISNA(VLOOKUP($B209,'E-1 Off-Site Hedge Baseline'!$B$1:$L$257,3,FALSE)),"",(VLOOKUP($B209,'E-1 Off-Site Hedge Baseline'!$B$1:$L$257,3,FALSE))))</f>
        <v/>
      </c>
      <c r="D209" s="295" t="str">
        <f>IF(B209="","",IF(ISNA(VLOOKUP($B209,'E-1 Off-Site Hedge Baseline'!$B$1:$L$258,4,FALSE)),"",(VLOOKUP($B209,'E-1 Off-Site Hedge Baseline'!$B$1:$L$258,4,FALSE))))</f>
        <v/>
      </c>
      <c r="E209" s="295" t="str">
        <f>IF(B209="","",IF(ISNA(VLOOKUP($B209,'E-1 Off-Site Hedge Baseline'!$B$1:$L$257,5,FALSE)),"",(VLOOKUP($B209,'E-1 Off-Site Hedge Baseline'!$B$1:$L$257,5,FALSE))))</f>
        <v/>
      </c>
      <c r="F209" s="295" t="str">
        <f>IF(B209="","",IF(ISNA(VLOOKUP($B209,'E-1 Off-Site Hedge Baseline'!$B$1:$L$257,6,FALSE)),"",(VLOOKUP($B209,'E-1 Off-Site Hedge Baseline'!$B$1:$L$257,6,FALSE))))</f>
        <v/>
      </c>
      <c r="G209" s="295" t="str">
        <f>IF(B209="","",IF(ISNA(VLOOKUP($B209,'E-1 Off-Site Hedge Baseline'!$B$1:$L$257,7,FALSE)),"",(VLOOKUP($B209,'E-1 Off-Site Hedge Baseline'!$B$1:$L$257,7,FALSE))))</f>
        <v/>
      </c>
      <c r="H209" s="295" t="str">
        <f>IF(B209="","",IF(ISNA(VLOOKUP($B209,'E-1 Off-Site Hedge Baseline'!$B$1:$L$257,8,FALSE)),"",(VLOOKUP($B209,'E-1 Off-Site Hedge Baseline'!$B$1:$L$257,8,FALSE))))</f>
        <v/>
      </c>
      <c r="I209" s="295" t="str">
        <f>IF(B209="","",IF(ISNA(VLOOKUP($B209,'E-1 Off-Site Hedge Baseline'!$B$1:$L$257,10,FALSE)),"",(VLOOKUP($B209,'E-1 Off-Site Hedge Baseline'!$B$1:$L$257,10,FALSE))))</f>
        <v/>
      </c>
      <c r="J209" s="295" t="str">
        <f>IF(B209="","",IF(ISNA(VLOOKUP($B209,'E-1 Off-Site Hedge Baseline'!$B$1:$L$257,11,FALSE)),"",(VLOOKUP($B209,'E-1 Off-Site Hedge Baseline'!$B$1:$L$257,11,FALSE))))</f>
        <v/>
      </c>
      <c r="K209" s="295" t="str">
        <f>IF(B209="","",IF(ISNA(VLOOKUP($B209,'E-1 Off-Site Hedge Baseline'!$B$1:$X$257,16,FALSE)),"",(VLOOKUP($B209,'E-1 Off-Site Hedge Baseline'!$B$1:$X$257,16,FALSE))))</f>
        <v/>
      </c>
      <c r="L209" s="283" t="str">
        <f>IF(B209="","",IF(ISNA(VLOOKUP($B209,'E-1 Off-Site Hedge Baseline'!$B$1:$X$257,12,FALSE)),"",(VLOOKUP($B209,'E-1 Off-Site Hedge Baseline'!$B$1:$X$257,12,FALSE))))</f>
        <v/>
      </c>
      <c r="M209" s="244"/>
      <c r="N209" s="275" t="str">
        <f>IFERROR(IF(B209="","",INDEX('G-6 Hedgerow Data'!$AN$3:$AZ$15,MATCH(C209,'G-6 Hedgerow Data'!$AM$3:$AM$15,0),MATCH(M209,'G-6 Hedgerow Data'!$AN$2:$AZ$2,0))),"")</f>
        <v/>
      </c>
      <c r="O209" s="276" t="str">
        <f t="shared" si="25"/>
        <v/>
      </c>
      <c r="P209" s="281" t="str">
        <f>IF(B209="","",VLOOKUP(B209,'E-1 Off-Site Hedge Baseline'!$B$10:W454,19,FALSE))</f>
        <v/>
      </c>
      <c r="Q209" s="275" t="str">
        <f>IF(M209="","",VLOOKUP(M209,'G-6 Hedgerow Data'!$B$2:$AG$15,2,FALSE))</f>
        <v/>
      </c>
      <c r="R209" s="276" t="str">
        <f>IF(M209="","",VLOOKUP(M209,'G-6 Hedgerow Data'!$B$2:$AG$15,3,FALSE))</f>
        <v/>
      </c>
      <c r="S209" s="101"/>
      <c r="T209" s="276" t="str">
        <f>IFERROR(IF(S209="","",IF(AND(M209="Non-native and ornamental hedgerow",S209&lt;&gt;"Poor"),"Not possible ▲",(IF(AND(Q209="V.Low",OR(S209="Good",S209="Moderate")),"Error ▲",VLOOKUP(S209,'G-1 All Habitats'!$Z$2:$AA$9,2,FALSE))))),"")</f>
        <v/>
      </c>
      <c r="U209" s="101"/>
      <c r="V209" s="283" t="str">
        <f>IF(U209="","",IF(VLOOKUP(U209,'G-3 Multipliers'!$L$3:$N$6,2,FALSE)=0,"Spatial Data Missing ⚠",VLOOKUP(U209,'G-3 Multipliers'!$L$3:$N$6,2,FALSE)))</f>
        <v/>
      </c>
      <c r="W209" s="281" t="str">
        <f>IF(U209="","",IF(VLOOKUP(U209,'G-3 Multipliers'!$L$3:$N$6,3,FALSE)=0,"Spatial Data Missing ⚠",VLOOKUP(U209,'G-3 Multipliers'!$L$3:$N$6,3,FALSE)))</f>
        <v/>
      </c>
      <c r="X209" s="275" t="str">
        <f>IFERROR(IF(OR(LEFT(O209,5)="Error",LEFT(N209,5)="Error",T209="Error"),"Check Data ⚠",IF(F209&lt;R209,INDEX('G-6 Hedgerow Data'!$S$3:$AE$14,MATCH(C209,'G-6 Hedgerow Data'!$B$3:$B$14,0),MATCH(M209,'G-6 Hedgerow Data'!$S$2:$AE$2,0)),INDEX('G-6 Hedgerow Data'!$K$3:$Q$14,MATCH(M209,'G-6 Hedgerow Data'!$B$3:$B$14,0),MATCH(O209,'G-6 Hedgerow Data'!$K$2:$Q$2,0)))),"")</f>
        <v/>
      </c>
      <c r="Y209" s="133"/>
      <c r="Z209" s="133"/>
      <c r="AA209" s="283" t="str">
        <f t="shared" si="26"/>
        <v/>
      </c>
      <c r="AB209" s="296" t="str">
        <f t="shared" si="27"/>
        <v/>
      </c>
      <c r="AC209" s="297" t="str">
        <f t="shared" si="24"/>
        <v/>
      </c>
      <c r="AD209" s="311" t="str">
        <f>IF(M209="","",VLOOKUP(M209,'G-6 Hedgerow Data'!$B$3:$AG$15,31,FALSE))</f>
        <v/>
      </c>
      <c r="AE209" s="295" t="str">
        <f t="shared" si="28"/>
        <v/>
      </c>
      <c r="AF209" s="283" t="str">
        <f t="shared" si="29"/>
        <v/>
      </c>
      <c r="AG209" s="299" t="str">
        <f>IFERROR(IF(O209="","",VLOOKUP(AD209,'G-3 Multipliers'!$P$3:$Q$6,2,FALSE)),"")</f>
        <v/>
      </c>
      <c r="AH209" s="713" t="str">
        <f>IF(B209="","",IF(ISNA(VLOOKUP($B209,'E-1 Off-Site Hedge Baseline'!$B$1:$Z$257,14,FALSE)),"",(VLOOKUP($B209,'E-1 Off-Site Hedge Baseline'!$B$1:$Z$257,14,FALSE))))</f>
        <v/>
      </c>
      <c r="AI209" s="276" t="str">
        <f>IF(AH209="","",IF(VLOOKUP(AH209,'G-3 Multipliers'!$S$3:$T$10,2,FALSE)=0,"Spatial Data Missing ⚠",VLOOKUP(AH209,'G-3 Multipliers'!$S$3:$T$10,2,FALSE)))</f>
        <v/>
      </c>
      <c r="AJ209" s="317" t="str">
        <f t="shared" si="30"/>
        <v/>
      </c>
      <c r="AK209" s="289" t="str">
        <f t="shared" si="31"/>
        <v/>
      </c>
      <c r="AL209" s="101"/>
      <c r="AM209" s="115"/>
      <c r="AN209" s="104"/>
      <c r="AO209" s="104"/>
      <c r="AQ209" s="30" t="str">
        <f>IFERROR(INDEX('G-6 Hedgerow Data'!$BJ$3:$BJ$15,MATCH(M209,'G-6 Hedgerow Data'!$B$3:$B$15,0)),"")</f>
        <v/>
      </c>
    </row>
    <row r="210" spans="2:43" ht="14">
      <c r="B210" s="305" t="str">
        <f>'E-1 Off-Site Hedge Baseline'!AN208</f>
        <v/>
      </c>
      <c r="C210" s="295" t="str">
        <f>IF(B210="","",IF(ISNA(VLOOKUP($B210,'E-1 Off-Site Hedge Baseline'!$B$1:$L$257,3,FALSE)),"",(VLOOKUP($B210,'E-1 Off-Site Hedge Baseline'!$B$1:$L$257,3,FALSE))))</f>
        <v/>
      </c>
      <c r="D210" s="295" t="str">
        <f>IF(B210="","",IF(ISNA(VLOOKUP($B210,'E-1 Off-Site Hedge Baseline'!$B$1:$L$258,4,FALSE)),"",(VLOOKUP($B210,'E-1 Off-Site Hedge Baseline'!$B$1:$L$258,4,FALSE))))</f>
        <v/>
      </c>
      <c r="E210" s="295" t="str">
        <f>IF(B210="","",IF(ISNA(VLOOKUP($B210,'E-1 Off-Site Hedge Baseline'!$B$1:$L$257,5,FALSE)),"",(VLOOKUP($B210,'E-1 Off-Site Hedge Baseline'!$B$1:$L$257,5,FALSE))))</f>
        <v/>
      </c>
      <c r="F210" s="295" t="str">
        <f>IF(B210="","",IF(ISNA(VLOOKUP($B210,'E-1 Off-Site Hedge Baseline'!$B$1:$L$257,6,FALSE)),"",(VLOOKUP($B210,'E-1 Off-Site Hedge Baseline'!$B$1:$L$257,6,FALSE))))</f>
        <v/>
      </c>
      <c r="G210" s="295" t="str">
        <f>IF(B210="","",IF(ISNA(VLOOKUP($B210,'E-1 Off-Site Hedge Baseline'!$B$1:$L$257,7,FALSE)),"",(VLOOKUP($B210,'E-1 Off-Site Hedge Baseline'!$B$1:$L$257,7,FALSE))))</f>
        <v/>
      </c>
      <c r="H210" s="295" t="str">
        <f>IF(B210="","",IF(ISNA(VLOOKUP($B210,'E-1 Off-Site Hedge Baseline'!$B$1:$L$257,8,FALSE)),"",(VLOOKUP($B210,'E-1 Off-Site Hedge Baseline'!$B$1:$L$257,8,FALSE))))</f>
        <v/>
      </c>
      <c r="I210" s="295" t="str">
        <f>IF(B210="","",IF(ISNA(VLOOKUP($B210,'E-1 Off-Site Hedge Baseline'!$B$1:$L$257,10,FALSE)),"",(VLOOKUP($B210,'E-1 Off-Site Hedge Baseline'!$B$1:$L$257,10,FALSE))))</f>
        <v/>
      </c>
      <c r="J210" s="295" t="str">
        <f>IF(B210="","",IF(ISNA(VLOOKUP($B210,'E-1 Off-Site Hedge Baseline'!$B$1:$L$257,11,FALSE)),"",(VLOOKUP($B210,'E-1 Off-Site Hedge Baseline'!$B$1:$L$257,11,FALSE))))</f>
        <v/>
      </c>
      <c r="K210" s="295" t="str">
        <f>IF(B210="","",IF(ISNA(VLOOKUP($B210,'E-1 Off-Site Hedge Baseline'!$B$1:$X$257,16,FALSE)),"",(VLOOKUP($B210,'E-1 Off-Site Hedge Baseline'!$B$1:$X$257,16,FALSE))))</f>
        <v/>
      </c>
      <c r="L210" s="283" t="str">
        <f>IF(B210="","",IF(ISNA(VLOOKUP($B210,'E-1 Off-Site Hedge Baseline'!$B$1:$X$257,12,FALSE)),"",(VLOOKUP($B210,'E-1 Off-Site Hedge Baseline'!$B$1:$X$257,12,FALSE))))</f>
        <v/>
      </c>
      <c r="M210" s="244"/>
      <c r="N210" s="275" t="str">
        <f>IFERROR(IF(B210="","",INDEX('G-6 Hedgerow Data'!$AN$3:$AZ$15,MATCH(C210,'G-6 Hedgerow Data'!$AM$3:$AM$15,0),MATCH(M210,'G-6 Hedgerow Data'!$AN$2:$AZ$2,0))),"")</f>
        <v/>
      </c>
      <c r="O210" s="276" t="str">
        <f t="shared" si="25"/>
        <v/>
      </c>
      <c r="P210" s="281" t="str">
        <f>IF(B210="","",VLOOKUP(B210,'E-1 Off-Site Hedge Baseline'!$B$10:W455,19,FALSE))</f>
        <v/>
      </c>
      <c r="Q210" s="275" t="str">
        <f>IF(M210="","",VLOOKUP(M210,'G-6 Hedgerow Data'!$B$2:$AG$15,2,FALSE))</f>
        <v/>
      </c>
      <c r="R210" s="276" t="str">
        <f>IF(M210="","",VLOOKUP(M210,'G-6 Hedgerow Data'!$B$2:$AG$15,3,FALSE))</f>
        <v/>
      </c>
      <c r="S210" s="101"/>
      <c r="T210" s="276" t="str">
        <f>IFERROR(IF(S210="","",IF(AND(M210="Non-native and ornamental hedgerow",S210&lt;&gt;"Poor"),"Not possible ▲",(IF(AND(Q210="V.Low",OR(S210="Good",S210="Moderate")),"Error ▲",VLOOKUP(S210,'G-1 All Habitats'!$Z$2:$AA$9,2,FALSE))))),"")</f>
        <v/>
      </c>
      <c r="U210" s="101"/>
      <c r="V210" s="283" t="str">
        <f>IF(U210="","",IF(VLOOKUP(U210,'G-3 Multipliers'!$L$3:$N$6,2,FALSE)=0,"Spatial Data Missing ⚠",VLOOKUP(U210,'G-3 Multipliers'!$L$3:$N$6,2,FALSE)))</f>
        <v/>
      </c>
      <c r="W210" s="281" t="str">
        <f>IF(U210="","",IF(VLOOKUP(U210,'G-3 Multipliers'!$L$3:$N$6,3,FALSE)=0,"Spatial Data Missing ⚠",VLOOKUP(U210,'G-3 Multipliers'!$L$3:$N$6,3,FALSE)))</f>
        <v/>
      </c>
      <c r="X210" s="275" t="str">
        <f>IFERROR(IF(OR(LEFT(O210,5)="Error",LEFT(N210,5)="Error",T210="Error"),"Check Data ⚠",IF(F210&lt;R210,INDEX('G-6 Hedgerow Data'!$S$3:$AE$14,MATCH(C210,'G-6 Hedgerow Data'!$B$3:$B$14,0),MATCH(M210,'G-6 Hedgerow Data'!$S$2:$AE$2,0)),INDEX('G-6 Hedgerow Data'!$K$3:$Q$14,MATCH(M210,'G-6 Hedgerow Data'!$B$3:$B$14,0),MATCH(O210,'G-6 Hedgerow Data'!$K$2:$Q$2,0)))),"")</f>
        <v/>
      </c>
      <c r="Y210" s="133"/>
      <c r="Z210" s="133"/>
      <c r="AA210" s="283" t="str">
        <f t="shared" si="26"/>
        <v/>
      </c>
      <c r="AB210" s="296" t="str">
        <f t="shared" si="27"/>
        <v/>
      </c>
      <c r="AC210" s="297" t="str">
        <f t="shared" si="24"/>
        <v/>
      </c>
      <c r="AD210" s="311" t="str">
        <f>IF(M210="","",VLOOKUP(M210,'G-6 Hedgerow Data'!$B$3:$AG$15,31,FALSE))</f>
        <v/>
      </c>
      <c r="AE210" s="295" t="str">
        <f t="shared" si="28"/>
        <v/>
      </c>
      <c r="AF210" s="283" t="str">
        <f t="shared" si="29"/>
        <v/>
      </c>
      <c r="AG210" s="299" t="str">
        <f>IFERROR(IF(O210="","",VLOOKUP(AD210,'G-3 Multipliers'!$P$3:$Q$6,2,FALSE)),"")</f>
        <v/>
      </c>
      <c r="AH210" s="713" t="str">
        <f>IF(B210="","",IF(ISNA(VLOOKUP($B210,'E-1 Off-Site Hedge Baseline'!$B$1:$Z$257,14,FALSE)),"",(VLOOKUP($B210,'E-1 Off-Site Hedge Baseline'!$B$1:$Z$257,14,FALSE))))</f>
        <v/>
      </c>
      <c r="AI210" s="276" t="str">
        <f>IF(AH210="","",IF(VLOOKUP(AH210,'G-3 Multipliers'!$S$3:$T$10,2,FALSE)=0,"Spatial Data Missing ⚠",VLOOKUP(AH210,'G-3 Multipliers'!$S$3:$T$10,2,FALSE)))</f>
        <v/>
      </c>
      <c r="AJ210" s="317" t="str">
        <f t="shared" si="30"/>
        <v/>
      </c>
      <c r="AK210" s="289" t="str">
        <f t="shared" si="31"/>
        <v/>
      </c>
      <c r="AL210" s="101"/>
      <c r="AM210" s="115"/>
      <c r="AN210" s="104"/>
      <c r="AO210" s="104"/>
      <c r="AQ210" s="30" t="str">
        <f>IFERROR(INDEX('G-6 Hedgerow Data'!$BJ$3:$BJ$15,MATCH(M210,'G-6 Hedgerow Data'!$B$3:$B$15,0)),"")</f>
        <v/>
      </c>
    </row>
    <row r="211" spans="2:43" ht="14">
      <c r="B211" s="305" t="str">
        <f>'E-1 Off-Site Hedge Baseline'!AN209</f>
        <v/>
      </c>
      <c r="C211" s="295" t="str">
        <f>IF(B211="","",IF(ISNA(VLOOKUP($B211,'E-1 Off-Site Hedge Baseline'!$B$1:$L$257,3,FALSE)),"",(VLOOKUP($B211,'E-1 Off-Site Hedge Baseline'!$B$1:$L$257,3,FALSE))))</f>
        <v/>
      </c>
      <c r="D211" s="295" t="str">
        <f>IF(B211="","",IF(ISNA(VLOOKUP($B211,'E-1 Off-Site Hedge Baseline'!$B$1:$L$258,4,FALSE)),"",(VLOOKUP($B211,'E-1 Off-Site Hedge Baseline'!$B$1:$L$258,4,FALSE))))</f>
        <v/>
      </c>
      <c r="E211" s="295" t="str">
        <f>IF(B211="","",IF(ISNA(VLOOKUP($B211,'E-1 Off-Site Hedge Baseline'!$B$1:$L$257,5,FALSE)),"",(VLOOKUP($B211,'E-1 Off-Site Hedge Baseline'!$B$1:$L$257,5,FALSE))))</f>
        <v/>
      </c>
      <c r="F211" s="295" t="str">
        <f>IF(B211="","",IF(ISNA(VLOOKUP($B211,'E-1 Off-Site Hedge Baseline'!$B$1:$L$257,6,FALSE)),"",(VLOOKUP($B211,'E-1 Off-Site Hedge Baseline'!$B$1:$L$257,6,FALSE))))</f>
        <v/>
      </c>
      <c r="G211" s="295" t="str">
        <f>IF(B211="","",IF(ISNA(VLOOKUP($B211,'E-1 Off-Site Hedge Baseline'!$B$1:$L$257,7,FALSE)),"",(VLOOKUP($B211,'E-1 Off-Site Hedge Baseline'!$B$1:$L$257,7,FALSE))))</f>
        <v/>
      </c>
      <c r="H211" s="295" t="str">
        <f>IF(B211="","",IF(ISNA(VLOOKUP($B211,'E-1 Off-Site Hedge Baseline'!$B$1:$L$257,8,FALSE)),"",(VLOOKUP($B211,'E-1 Off-Site Hedge Baseline'!$B$1:$L$257,8,FALSE))))</f>
        <v/>
      </c>
      <c r="I211" s="295" t="str">
        <f>IF(B211="","",IF(ISNA(VLOOKUP($B211,'E-1 Off-Site Hedge Baseline'!$B$1:$L$257,10,FALSE)),"",(VLOOKUP($B211,'E-1 Off-Site Hedge Baseline'!$B$1:$L$257,10,FALSE))))</f>
        <v/>
      </c>
      <c r="J211" s="295" t="str">
        <f>IF(B211="","",IF(ISNA(VLOOKUP($B211,'E-1 Off-Site Hedge Baseline'!$B$1:$L$257,11,FALSE)),"",(VLOOKUP($B211,'E-1 Off-Site Hedge Baseline'!$B$1:$L$257,11,FALSE))))</f>
        <v/>
      </c>
      <c r="K211" s="295" t="str">
        <f>IF(B211="","",IF(ISNA(VLOOKUP($B211,'E-1 Off-Site Hedge Baseline'!$B$1:$X$257,16,FALSE)),"",(VLOOKUP($B211,'E-1 Off-Site Hedge Baseline'!$B$1:$X$257,16,FALSE))))</f>
        <v/>
      </c>
      <c r="L211" s="283" t="str">
        <f>IF(B211="","",IF(ISNA(VLOOKUP($B211,'E-1 Off-Site Hedge Baseline'!$B$1:$X$257,12,FALSE)),"",(VLOOKUP($B211,'E-1 Off-Site Hedge Baseline'!$B$1:$X$257,12,FALSE))))</f>
        <v/>
      </c>
      <c r="M211" s="244"/>
      <c r="N211" s="275" t="str">
        <f>IFERROR(IF(B211="","",INDEX('G-6 Hedgerow Data'!$AN$3:$AZ$15,MATCH(C211,'G-6 Hedgerow Data'!$AM$3:$AM$15,0),MATCH(M211,'G-6 Hedgerow Data'!$AN$2:$AZ$2,0))),"")</f>
        <v/>
      </c>
      <c r="O211" s="276" t="str">
        <f t="shared" si="25"/>
        <v/>
      </c>
      <c r="P211" s="281" t="str">
        <f>IF(B211="","",VLOOKUP(B211,'E-1 Off-Site Hedge Baseline'!$B$10:W456,19,FALSE))</f>
        <v/>
      </c>
      <c r="Q211" s="275" t="str">
        <f>IF(M211="","",VLOOKUP(M211,'G-6 Hedgerow Data'!$B$2:$AG$15,2,FALSE))</f>
        <v/>
      </c>
      <c r="R211" s="276" t="str">
        <f>IF(M211="","",VLOOKUP(M211,'G-6 Hedgerow Data'!$B$2:$AG$15,3,FALSE))</f>
        <v/>
      </c>
      <c r="S211" s="101"/>
      <c r="T211" s="276" t="str">
        <f>IFERROR(IF(S211="","",IF(AND(M211="Non-native and ornamental hedgerow",S211&lt;&gt;"Poor"),"Not possible ▲",(IF(AND(Q211="V.Low",OR(S211="Good",S211="Moderate")),"Error ▲",VLOOKUP(S211,'G-1 All Habitats'!$Z$2:$AA$9,2,FALSE))))),"")</f>
        <v/>
      </c>
      <c r="U211" s="101"/>
      <c r="V211" s="283" t="str">
        <f>IF(U211="","",IF(VLOOKUP(U211,'G-3 Multipliers'!$L$3:$N$6,2,FALSE)=0,"Spatial Data Missing ⚠",VLOOKUP(U211,'G-3 Multipliers'!$L$3:$N$6,2,FALSE)))</f>
        <v/>
      </c>
      <c r="W211" s="281" t="str">
        <f>IF(U211="","",IF(VLOOKUP(U211,'G-3 Multipliers'!$L$3:$N$6,3,FALSE)=0,"Spatial Data Missing ⚠",VLOOKUP(U211,'G-3 Multipliers'!$L$3:$N$6,3,FALSE)))</f>
        <v/>
      </c>
      <c r="X211" s="275" t="str">
        <f>IFERROR(IF(OR(LEFT(O211,5)="Error",LEFT(N211,5)="Error",T211="Error"),"Check Data ⚠",IF(F211&lt;R211,INDEX('G-6 Hedgerow Data'!$S$3:$AE$14,MATCH(C211,'G-6 Hedgerow Data'!$B$3:$B$14,0),MATCH(M211,'G-6 Hedgerow Data'!$S$2:$AE$2,0)),INDEX('G-6 Hedgerow Data'!$K$3:$Q$14,MATCH(M211,'G-6 Hedgerow Data'!$B$3:$B$14,0),MATCH(O211,'G-6 Hedgerow Data'!$K$2:$Q$2,0)))),"")</f>
        <v/>
      </c>
      <c r="Y211" s="133"/>
      <c r="Z211" s="133"/>
      <c r="AA211" s="283" t="str">
        <f t="shared" si="26"/>
        <v/>
      </c>
      <c r="AB211" s="296" t="str">
        <f t="shared" si="27"/>
        <v/>
      </c>
      <c r="AC211" s="297" t="str">
        <f t="shared" si="24"/>
        <v/>
      </c>
      <c r="AD211" s="311" t="str">
        <f>IF(M211="","",VLOOKUP(M211,'G-6 Hedgerow Data'!$B$3:$AG$15,31,FALSE))</f>
        <v/>
      </c>
      <c r="AE211" s="295" t="str">
        <f t="shared" si="28"/>
        <v/>
      </c>
      <c r="AF211" s="283" t="str">
        <f t="shared" si="29"/>
        <v/>
      </c>
      <c r="AG211" s="299" t="str">
        <f>IFERROR(IF(O211="","",VLOOKUP(AD211,'G-3 Multipliers'!$P$3:$Q$6,2,FALSE)),"")</f>
        <v/>
      </c>
      <c r="AH211" s="713" t="str">
        <f>IF(B211="","",IF(ISNA(VLOOKUP($B211,'E-1 Off-Site Hedge Baseline'!$B$1:$Z$257,14,FALSE)),"",(VLOOKUP($B211,'E-1 Off-Site Hedge Baseline'!$B$1:$Z$257,14,FALSE))))</f>
        <v/>
      </c>
      <c r="AI211" s="276" t="str">
        <f>IF(AH211="","",IF(VLOOKUP(AH211,'G-3 Multipliers'!$S$3:$T$10,2,FALSE)=0,"Spatial Data Missing ⚠",VLOOKUP(AH211,'G-3 Multipliers'!$S$3:$T$10,2,FALSE)))</f>
        <v/>
      </c>
      <c r="AJ211" s="317" t="str">
        <f t="shared" si="30"/>
        <v/>
      </c>
      <c r="AK211" s="289" t="str">
        <f t="shared" si="31"/>
        <v/>
      </c>
      <c r="AL211" s="101"/>
      <c r="AM211" s="115"/>
      <c r="AN211" s="104"/>
      <c r="AO211" s="104"/>
      <c r="AQ211" s="30" t="str">
        <f>IFERROR(INDEX('G-6 Hedgerow Data'!$BJ$3:$BJ$15,MATCH(M211,'G-6 Hedgerow Data'!$B$3:$B$15,0)),"")</f>
        <v/>
      </c>
    </row>
    <row r="212" spans="2:43" ht="14">
      <c r="B212" s="305" t="str">
        <f>'E-1 Off-Site Hedge Baseline'!AN210</f>
        <v/>
      </c>
      <c r="C212" s="295" t="str">
        <f>IF(B212="","",IF(ISNA(VLOOKUP($B212,'E-1 Off-Site Hedge Baseline'!$B$1:$L$257,3,FALSE)),"",(VLOOKUP($B212,'E-1 Off-Site Hedge Baseline'!$B$1:$L$257,3,FALSE))))</f>
        <v/>
      </c>
      <c r="D212" s="295" t="str">
        <f>IF(B212="","",IF(ISNA(VLOOKUP($B212,'E-1 Off-Site Hedge Baseline'!$B$1:$L$258,4,FALSE)),"",(VLOOKUP($B212,'E-1 Off-Site Hedge Baseline'!$B$1:$L$258,4,FALSE))))</f>
        <v/>
      </c>
      <c r="E212" s="295" t="str">
        <f>IF(B212="","",IF(ISNA(VLOOKUP($B212,'E-1 Off-Site Hedge Baseline'!$B$1:$L$257,5,FALSE)),"",(VLOOKUP($B212,'E-1 Off-Site Hedge Baseline'!$B$1:$L$257,5,FALSE))))</f>
        <v/>
      </c>
      <c r="F212" s="295" t="str">
        <f>IF(B212="","",IF(ISNA(VLOOKUP($B212,'E-1 Off-Site Hedge Baseline'!$B$1:$L$257,6,FALSE)),"",(VLOOKUP($B212,'E-1 Off-Site Hedge Baseline'!$B$1:$L$257,6,FALSE))))</f>
        <v/>
      </c>
      <c r="G212" s="295" t="str">
        <f>IF(B212="","",IF(ISNA(VLOOKUP($B212,'E-1 Off-Site Hedge Baseline'!$B$1:$L$257,7,FALSE)),"",(VLOOKUP($B212,'E-1 Off-Site Hedge Baseline'!$B$1:$L$257,7,FALSE))))</f>
        <v/>
      </c>
      <c r="H212" s="295" t="str">
        <f>IF(B212="","",IF(ISNA(VLOOKUP($B212,'E-1 Off-Site Hedge Baseline'!$B$1:$L$257,8,FALSE)),"",(VLOOKUP($B212,'E-1 Off-Site Hedge Baseline'!$B$1:$L$257,8,FALSE))))</f>
        <v/>
      </c>
      <c r="I212" s="295" t="str">
        <f>IF(B212="","",IF(ISNA(VLOOKUP($B212,'E-1 Off-Site Hedge Baseline'!$B$1:$L$257,10,FALSE)),"",(VLOOKUP($B212,'E-1 Off-Site Hedge Baseline'!$B$1:$L$257,10,FALSE))))</f>
        <v/>
      </c>
      <c r="J212" s="295" t="str">
        <f>IF(B212="","",IF(ISNA(VLOOKUP($B212,'E-1 Off-Site Hedge Baseline'!$B$1:$L$257,11,FALSE)),"",(VLOOKUP($B212,'E-1 Off-Site Hedge Baseline'!$B$1:$L$257,11,FALSE))))</f>
        <v/>
      </c>
      <c r="K212" s="295" t="str">
        <f>IF(B212="","",IF(ISNA(VLOOKUP($B212,'E-1 Off-Site Hedge Baseline'!$B$1:$X$257,16,FALSE)),"",(VLOOKUP($B212,'E-1 Off-Site Hedge Baseline'!$B$1:$X$257,16,FALSE))))</f>
        <v/>
      </c>
      <c r="L212" s="283" t="str">
        <f>IF(B212="","",IF(ISNA(VLOOKUP($B212,'E-1 Off-Site Hedge Baseline'!$B$1:$X$257,12,FALSE)),"",(VLOOKUP($B212,'E-1 Off-Site Hedge Baseline'!$B$1:$X$257,12,FALSE))))</f>
        <v/>
      </c>
      <c r="M212" s="244"/>
      <c r="N212" s="275" t="str">
        <f>IFERROR(IF(B212="","",INDEX('G-6 Hedgerow Data'!$AN$3:$AZ$15,MATCH(C212,'G-6 Hedgerow Data'!$AM$3:$AM$15,0),MATCH(M212,'G-6 Hedgerow Data'!$AN$2:$AZ$2,0))),"")</f>
        <v/>
      </c>
      <c r="O212" s="276" t="str">
        <f t="shared" si="25"/>
        <v/>
      </c>
      <c r="P212" s="281" t="str">
        <f>IF(B212="","",VLOOKUP(B212,'E-1 Off-Site Hedge Baseline'!$B$10:W457,19,FALSE))</f>
        <v/>
      </c>
      <c r="Q212" s="275" t="str">
        <f>IF(M212="","",VLOOKUP(M212,'G-6 Hedgerow Data'!$B$2:$AG$15,2,FALSE))</f>
        <v/>
      </c>
      <c r="R212" s="276" t="str">
        <f>IF(M212="","",VLOOKUP(M212,'G-6 Hedgerow Data'!$B$2:$AG$15,3,FALSE))</f>
        <v/>
      </c>
      <c r="S212" s="101"/>
      <c r="T212" s="276" t="str">
        <f>IFERROR(IF(S212="","",IF(AND(M212="Non-native and ornamental hedgerow",S212&lt;&gt;"Poor"),"Not possible ▲",(IF(AND(Q212="V.Low",OR(S212="Good",S212="Moderate")),"Error ▲",VLOOKUP(S212,'G-1 All Habitats'!$Z$2:$AA$9,2,FALSE))))),"")</f>
        <v/>
      </c>
      <c r="U212" s="101"/>
      <c r="V212" s="283" t="str">
        <f>IF(U212="","",IF(VLOOKUP(U212,'G-3 Multipliers'!$L$3:$N$6,2,FALSE)=0,"Spatial Data Missing ⚠",VLOOKUP(U212,'G-3 Multipliers'!$L$3:$N$6,2,FALSE)))</f>
        <v/>
      </c>
      <c r="W212" s="281" t="str">
        <f>IF(U212="","",IF(VLOOKUP(U212,'G-3 Multipliers'!$L$3:$N$6,3,FALSE)=0,"Spatial Data Missing ⚠",VLOOKUP(U212,'G-3 Multipliers'!$L$3:$N$6,3,FALSE)))</f>
        <v/>
      </c>
      <c r="X212" s="275" t="str">
        <f>IFERROR(IF(OR(LEFT(O212,5)="Error",LEFT(N212,5)="Error",T212="Error"),"Check Data ⚠",IF(F212&lt;R212,INDEX('G-6 Hedgerow Data'!$S$3:$AE$14,MATCH(C212,'G-6 Hedgerow Data'!$B$3:$B$14,0),MATCH(M212,'G-6 Hedgerow Data'!$S$2:$AE$2,0)),INDEX('G-6 Hedgerow Data'!$K$3:$Q$14,MATCH(M212,'G-6 Hedgerow Data'!$B$3:$B$14,0),MATCH(O212,'G-6 Hedgerow Data'!$K$2:$Q$2,0)))),"")</f>
        <v/>
      </c>
      <c r="Y212" s="133"/>
      <c r="Z212" s="133"/>
      <c r="AA212" s="283" t="str">
        <f t="shared" si="26"/>
        <v/>
      </c>
      <c r="AB212" s="296" t="str">
        <f t="shared" si="27"/>
        <v/>
      </c>
      <c r="AC212" s="297" t="str">
        <f t="shared" si="24"/>
        <v/>
      </c>
      <c r="AD212" s="311" t="str">
        <f>IF(M212="","",VLOOKUP(M212,'G-6 Hedgerow Data'!$B$3:$AG$15,31,FALSE))</f>
        <v/>
      </c>
      <c r="AE212" s="295" t="str">
        <f t="shared" si="28"/>
        <v/>
      </c>
      <c r="AF212" s="283" t="str">
        <f t="shared" si="29"/>
        <v/>
      </c>
      <c r="AG212" s="299" t="str">
        <f>IFERROR(IF(O212="","",VLOOKUP(AD212,'G-3 Multipliers'!$P$3:$Q$6,2,FALSE)),"")</f>
        <v/>
      </c>
      <c r="AH212" s="713" t="str">
        <f>IF(B212="","",IF(ISNA(VLOOKUP($B212,'E-1 Off-Site Hedge Baseline'!$B$1:$Z$257,14,FALSE)),"",(VLOOKUP($B212,'E-1 Off-Site Hedge Baseline'!$B$1:$Z$257,14,FALSE))))</f>
        <v/>
      </c>
      <c r="AI212" s="276" t="str">
        <f>IF(AH212="","",IF(VLOOKUP(AH212,'G-3 Multipliers'!$S$3:$T$10,2,FALSE)=0,"Spatial Data Missing ⚠",VLOOKUP(AH212,'G-3 Multipliers'!$S$3:$T$10,2,FALSE)))</f>
        <v/>
      </c>
      <c r="AJ212" s="317" t="str">
        <f t="shared" si="30"/>
        <v/>
      </c>
      <c r="AK212" s="289" t="str">
        <f t="shared" si="31"/>
        <v/>
      </c>
      <c r="AL212" s="101"/>
      <c r="AM212" s="115"/>
      <c r="AN212" s="104"/>
      <c r="AO212" s="104"/>
      <c r="AQ212" s="30" t="str">
        <f>IFERROR(INDEX('G-6 Hedgerow Data'!$BJ$3:$BJ$15,MATCH(M212,'G-6 Hedgerow Data'!$B$3:$B$15,0)),"")</f>
        <v/>
      </c>
    </row>
    <row r="213" spans="2:43" ht="14">
      <c r="B213" s="305" t="str">
        <f>'E-1 Off-Site Hedge Baseline'!AN211</f>
        <v/>
      </c>
      <c r="C213" s="295" t="str">
        <f>IF(B213="","",IF(ISNA(VLOOKUP($B213,'E-1 Off-Site Hedge Baseline'!$B$1:$L$257,3,FALSE)),"",(VLOOKUP($B213,'E-1 Off-Site Hedge Baseline'!$B$1:$L$257,3,FALSE))))</f>
        <v/>
      </c>
      <c r="D213" s="295" t="str">
        <f>IF(B213="","",IF(ISNA(VLOOKUP($B213,'E-1 Off-Site Hedge Baseline'!$B$1:$L$258,4,FALSE)),"",(VLOOKUP($B213,'E-1 Off-Site Hedge Baseline'!$B$1:$L$258,4,FALSE))))</f>
        <v/>
      </c>
      <c r="E213" s="295" t="str">
        <f>IF(B213="","",IF(ISNA(VLOOKUP($B213,'E-1 Off-Site Hedge Baseline'!$B$1:$L$257,5,FALSE)),"",(VLOOKUP($B213,'E-1 Off-Site Hedge Baseline'!$B$1:$L$257,5,FALSE))))</f>
        <v/>
      </c>
      <c r="F213" s="295" t="str">
        <f>IF(B213="","",IF(ISNA(VLOOKUP($B213,'E-1 Off-Site Hedge Baseline'!$B$1:$L$257,6,FALSE)),"",(VLOOKUP($B213,'E-1 Off-Site Hedge Baseline'!$B$1:$L$257,6,FALSE))))</f>
        <v/>
      </c>
      <c r="G213" s="295" t="str">
        <f>IF(B213="","",IF(ISNA(VLOOKUP($B213,'E-1 Off-Site Hedge Baseline'!$B$1:$L$257,7,FALSE)),"",(VLOOKUP($B213,'E-1 Off-Site Hedge Baseline'!$B$1:$L$257,7,FALSE))))</f>
        <v/>
      </c>
      <c r="H213" s="295" t="str">
        <f>IF(B213="","",IF(ISNA(VLOOKUP($B213,'E-1 Off-Site Hedge Baseline'!$B$1:$L$257,8,FALSE)),"",(VLOOKUP($B213,'E-1 Off-Site Hedge Baseline'!$B$1:$L$257,8,FALSE))))</f>
        <v/>
      </c>
      <c r="I213" s="295" t="str">
        <f>IF(B213="","",IF(ISNA(VLOOKUP($B213,'E-1 Off-Site Hedge Baseline'!$B$1:$L$257,10,FALSE)),"",(VLOOKUP($B213,'E-1 Off-Site Hedge Baseline'!$B$1:$L$257,10,FALSE))))</f>
        <v/>
      </c>
      <c r="J213" s="295" t="str">
        <f>IF(B213="","",IF(ISNA(VLOOKUP($B213,'E-1 Off-Site Hedge Baseline'!$B$1:$L$257,11,FALSE)),"",(VLOOKUP($B213,'E-1 Off-Site Hedge Baseline'!$B$1:$L$257,11,FALSE))))</f>
        <v/>
      </c>
      <c r="K213" s="295" t="str">
        <f>IF(B213="","",IF(ISNA(VLOOKUP($B213,'E-1 Off-Site Hedge Baseline'!$B$1:$X$257,16,FALSE)),"",(VLOOKUP($B213,'E-1 Off-Site Hedge Baseline'!$B$1:$X$257,16,FALSE))))</f>
        <v/>
      </c>
      <c r="L213" s="283" t="str">
        <f>IF(B213="","",IF(ISNA(VLOOKUP($B213,'E-1 Off-Site Hedge Baseline'!$B$1:$X$257,12,FALSE)),"",(VLOOKUP($B213,'E-1 Off-Site Hedge Baseline'!$B$1:$X$257,12,FALSE))))</f>
        <v/>
      </c>
      <c r="M213" s="244"/>
      <c r="N213" s="275" t="str">
        <f>IFERROR(IF(B213="","",INDEX('G-6 Hedgerow Data'!$AN$3:$AZ$15,MATCH(C213,'G-6 Hedgerow Data'!$AM$3:$AM$15,0),MATCH(M213,'G-6 Hedgerow Data'!$AN$2:$AZ$2,0))),"")</f>
        <v/>
      </c>
      <c r="O213" s="276" t="str">
        <f t="shared" si="25"/>
        <v/>
      </c>
      <c r="P213" s="281" t="str">
        <f>IF(B213="","",VLOOKUP(B213,'E-1 Off-Site Hedge Baseline'!$B$10:W458,19,FALSE))</f>
        <v/>
      </c>
      <c r="Q213" s="275" t="str">
        <f>IF(M213="","",VLOOKUP(M213,'G-6 Hedgerow Data'!$B$2:$AG$15,2,FALSE))</f>
        <v/>
      </c>
      <c r="R213" s="276" t="str">
        <f>IF(M213="","",VLOOKUP(M213,'G-6 Hedgerow Data'!$B$2:$AG$15,3,FALSE))</f>
        <v/>
      </c>
      <c r="S213" s="101"/>
      <c r="T213" s="276" t="str">
        <f>IFERROR(IF(S213="","",IF(AND(M213="Non-native and ornamental hedgerow",S213&lt;&gt;"Poor"),"Not possible ▲",(IF(AND(Q213="V.Low",OR(S213="Good",S213="Moderate")),"Error ▲",VLOOKUP(S213,'G-1 All Habitats'!$Z$2:$AA$9,2,FALSE))))),"")</f>
        <v/>
      </c>
      <c r="U213" s="101"/>
      <c r="V213" s="283" t="str">
        <f>IF(U213="","",IF(VLOOKUP(U213,'G-3 Multipliers'!$L$3:$N$6,2,FALSE)=0,"Spatial Data Missing ⚠",VLOOKUP(U213,'G-3 Multipliers'!$L$3:$N$6,2,FALSE)))</f>
        <v/>
      </c>
      <c r="W213" s="281" t="str">
        <f>IF(U213="","",IF(VLOOKUP(U213,'G-3 Multipliers'!$L$3:$N$6,3,FALSE)=0,"Spatial Data Missing ⚠",VLOOKUP(U213,'G-3 Multipliers'!$L$3:$N$6,3,FALSE)))</f>
        <v/>
      </c>
      <c r="X213" s="275" t="str">
        <f>IFERROR(IF(OR(LEFT(O213,5)="Error",LEFT(N213,5)="Error",T213="Error"),"Check Data ⚠",IF(F213&lt;R213,INDEX('G-6 Hedgerow Data'!$S$3:$AE$14,MATCH(C213,'G-6 Hedgerow Data'!$B$3:$B$14,0),MATCH(M213,'G-6 Hedgerow Data'!$S$2:$AE$2,0)),INDEX('G-6 Hedgerow Data'!$K$3:$Q$14,MATCH(M213,'G-6 Hedgerow Data'!$B$3:$B$14,0),MATCH(O213,'G-6 Hedgerow Data'!$K$2:$Q$2,0)))),"")</f>
        <v/>
      </c>
      <c r="Y213" s="133"/>
      <c r="Z213" s="133"/>
      <c r="AA213" s="283" t="str">
        <f t="shared" si="26"/>
        <v/>
      </c>
      <c r="AB213" s="296" t="str">
        <f t="shared" si="27"/>
        <v/>
      </c>
      <c r="AC213" s="297" t="str">
        <f t="shared" si="24"/>
        <v/>
      </c>
      <c r="AD213" s="311" t="str">
        <f>IF(M213="","",VLOOKUP(M213,'G-6 Hedgerow Data'!$B$3:$AG$15,31,FALSE))</f>
        <v/>
      </c>
      <c r="AE213" s="295" t="str">
        <f t="shared" si="28"/>
        <v/>
      </c>
      <c r="AF213" s="283" t="str">
        <f t="shared" si="29"/>
        <v/>
      </c>
      <c r="AG213" s="299" t="str">
        <f>IFERROR(IF(O213="","",VLOOKUP(AD213,'G-3 Multipliers'!$P$3:$Q$6,2,FALSE)),"")</f>
        <v/>
      </c>
      <c r="AH213" s="713" t="str">
        <f>IF(B213="","",IF(ISNA(VLOOKUP($B213,'E-1 Off-Site Hedge Baseline'!$B$1:$Z$257,14,FALSE)),"",(VLOOKUP($B213,'E-1 Off-Site Hedge Baseline'!$B$1:$Z$257,14,FALSE))))</f>
        <v/>
      </c>
      <c r="AI213" s="276" t="str">
        <f>IF(AH213="","",IF(VLOOKUP(AH213,'G-3 Multipliers'!$S$3:$T$10,2,FALSE)=0,"Spatial Data Missing ⚠",VLOOKUP(AH213,'G-3 Multipliers'!$S$3:$T$10,2,FALSE)))</f>
        <v/>
      </c>
      <c r="AJ213" s="317" t="str">
        <f t="shared" si="30"/>
        <v/>
      </c>
      <c r="AK213" s="289" t="str">
        <f t="shared" si="31"/>
        <v/>
      </c>
      <c r="AL213" s="101"/>
      <c r="AM213" s="115"/>
      <c r="AN213" s="104"/>
      <c r="AO213" s="104"/>
      <c r="AQ213" s="30" t="str">
        <f>IFERROR(INDEX('G-6 Hedgerow Data'!$BJ$3:$BJ$15,MATCH(M213,'G-6 Hedgerow Data'!$B$3:$B$15,0)),"")</f>
        <v/>
      </c>
    </row>
    <row r="214" spans="2:43" ht="14">
      <c r="B214" s="305" t="str">
        <f>'E-1 Off-Site Hedge Baseline'!AN212</f>
        <v/>
      </c>
      <c r="C214" s="295" t="str">
        <f>IF(B214="","",IF(ISNA(VLOOKUP($B214,'E-1 Off-Site Hedge Baseline'!$B$1:$L$257,3,FALSE)),"",(VLOOKUP($B214,'E-1 Off-Site Hedge Baseline'!$B$1:$L$257,3,FALSE))))</f>
        <v/>
      </c>
      <c r="D214" s="295" t="str">
        <f>IF(B214="","",IF(ISNA(VLOOKUP($B214,'E-1 Off-Site Hedge Baseline'!$B$1:$L$258,4,FALSE)),"",(VLOOKUP($B214,'E-1 Off-Site Hedge Baseline'!$B$1:$L$258,4,FALSE))))</f>
        <v/>
      </c>
      <c r="E214" s="295" t="str">
        <f>IF(B214="","",IF(ISNA(VLOOKUP($B214,'E-1 Off-Site Hedge Baseline'!$B$1:$L$257,5,FALSE)),"",(VLOOKUP($B214,'E-1 Off-Site Hedge Baseline'!$B$1:$L$257,5,FALSE))))</f>
        <v/>
      </c>
      <c r="F214" s="295" t="str">
        <f>IF(B214="","",IF(ISNA(VLOOKUP($B214,'E-1 Off-Site Hedge Baseline'!$B$1:$L$257,6,FALSE)),"",(VLOOKUP($B214,'E-1 Off-Site Hedge Baseline'!$B$1:$L$257,6,FALSE))))</f>
        <v/>
      </c>
      <c r="G214" s="295" t="str">
        <f>IF(B214="","",IF(ISNA(VLOOKUP($B214,'E-1 Off-Site Hedge Baseline'!$B$1:$L$257,7,FALSE)),"",(VLOOKUP($B214,'E-1 Off-Site Hedge Baseline'!$B$1:$L$257,7,FALSE))))</f>
        <v/>
      </c>
      <c r="H214" s="295" t="str">
        <f>IF(B214="","",IF(ISNA(VLOOKUP($B214,'E-1 Off-Site Hedge Baseline'!$B$1:$L$257,8,FALSE)),"",(VLOOKUP($B214,'E-1 Off-Site Hedge Baseline'!$B$1:$L$257,8,FALSE))))</f>
        <v/>
      </c>
      <c r="I214" s="295" t="str">
        <f>IF(B214="","",IF(ISNA(VLOOKUP($B214,'E-1 Off-Site Hedge Baseline'!$B$1:$L$257,10,FALSE)),"",(VLOOKUP($B214,'E-1 Off-Site Hedge Baseline'!$B$1:$L$257,10,FALSE))))</f>
        <v/>
      </c>
      <c r="J214" s="295" t="str">
        <f>IF(B214="","",IF(ISNA(VLOOKUP($B214,'E-1 Off-Site Hedge Baseline'!$B$1:$L$257,11,FALSE)),"",(VLOOKUP($B214,'E-1 Off-Site Hedge Baseline'!$B$1:$L$257,11,FALSE))))</f>
        <v/>
      </c>
      <c r="K214" s="295" t="str">
        <f>IF(B214="","",IF(ISNA(VLOOKUP($B214,'E-1 Off-Site Hedge Baseline'!$B$1:$X$257,16,FALSE)),"",(VLOOKUP($B214,'E-1 Off-Site Hedge Baseline'!$B$1:$X$257,16,FALSE))))</f>
        <v/>
      </c>
      <c r="L214" s="283" t="str">
        <f>IF(B214="","",IF(ISNA(VLOOKUP($B214,'E-1 Off-Site Hedge Baseline'!$B$1:$X$257,12,FALSE)),"",(VLOOKUP($B214,'E-1 Off-Site Hedge Baseline'!$B$1:$X$257,12,FALSE))))</f>
        <v/>
      </c>
      <c r="M214" s="244"/>
      <c r="N214" s="275" t="str">
        <f>IFERROR(IF(B214="","",INDEX('G-6 Hedgerow Data'!$AN$3:$AZ$15,MATCH(C214,'G-6 Hedgerow Data'!$AM$3:$AM$15,0),MATCH(M214,'G-6 Hedgerow Data'!$AN$2:$AZ$2,0))),"")</f>
        <v/>
      </c>
      <c r="O214" s="276" t="str">
        <f t="shared" si="25"/>
        <v/>
      </c>
      <c r="P214" s="281" t="str">
        <f>IF(B214="","",VLOOKUP(B214,'E-1 Off-Site Hedge Baseline'!$B$10:W459,19,FALSE))</f>
        <v/>
      </c>
      <c r="Q214" s="275" t="str">
        <f>IF(M214="","",VLOOKUP(M214,'G-6 Hedgerow Data'!$B$2:$AG$15,2,FALSE))</f>
        <v/>
      </c>
      <c r="R214" s="276" t="str">
        <f>IF(M214="","",VLOOKUP(M214,'G-6 Hedgerow Data'!$B$2:$AG$15,3,FALSE))</f>
        <v/>
      </c>
      <c r="S214" s="101"/>
      <c r="T214" s="276" t="str">
        <f>IFERROR(IF(S214="","",IF(AND(M214="Non-native and ornamental hedgerow",S214&lt;&gt;"Poor"),"Not possible ▲",(IF(AND(Q214="V.Low",OR(S214="Good",S214="Moderate")),"Error ▲",VLOOKUP(S214,'G-1 All Habitats'!$Z$2:$AA$9,2,FALSE))))),"")</f>
        <v/>
      </c>
      <c r="U214" s="101"/>
      <c r="V214" s="283" t="str">
        <f>IF(U214="","",IF(VLOOKUP(U214,'G-3 Multipliers'!$L$3:$N$6,2,FALSE)=0,"Spatial Data Missing ⚠",VLOOKUP(U214,'G-3 Multipliers'!$L$3:$N$6,2,FALSE)))</f>
        <v/>
      </c>
      <c r="W214" s="281" t="str">
        <f>IF(U214="","",IF(VLOOKUP(U214,'G-3 Multipliers'!$L$3:$N$6,3,FALSE)=0,"Spatial Data Missing ⚠",VLOOKUP(U214,'G-3 Multipliers'!$L$3:$N$6,3,FALSE)))</f>
        <v/>
      </c>
      <c r="X214" s="275" t="str">
        <f>IFERROR(IF(OR(LEFT(O214,5)="Error",LEFT(N214,5)="Error",T214="Error"),"Check Data ⚠",IF(F214&lt;R214,INDEX('G-6 Hedgerow Data'!$S$3:$AE$14,MATCH(C214,'G-6 Hedgerow Data'!$B$3:$B$14,0),MATCH(M214,'G-6 Hedgerow Data'!$S$2:$AE$2,0)),INDEX('G-6 Hedgerow Data'!$K$3:$Q$14,MATCH(M214,'G-6 Hedgerow Data'!$B$3:$B$14,0),MATCH(O214,'G-6 Hedgerow Data'!$K$2:$Q$2,0)))),"")</f>
        <v/>
      </c>
      <c r="Y214" s="133"/>
      <c r="Z214" s="133"/>
      <c r="AA214" s="283" t="str">
        <f t="shared" si="26"/>
        <v/>
      </c>
      <c r="AB214" s="296" t="str">
        <f t="shared" si="27"/>
        <v/>
      </c>
      <c r="AC214" s="297" t="str">
        <f t="shared" si="24"/>
        <v/>
      </c>
      <c r="AD214" s="311" t="str">
        <f>IF(M214="","",VLOOKUP(M214,'G-6 Hedgerow Data'!$B$3:$AG$15,31,FALSE))</f>
        <v/>
      </c>
      <c r="AE214" s="295" t="str">
        <f t="shared" si="28"/>
        <v/>
      </c>
      <c r="AF214" s="283" t="str">
        <f t="shared" si="29"/>
        <v/>
      </c>
      <c r="AG214" s="299" t="str">
        <f>IFERROR(IF(O214="","",VLOOKUP(AD214,'G-3 Multipliers'!$P$3:$Q$6,2,FALSE)),"")</f>
        <v/>
      </c>
      <c r="AH214" s="713" t="str">
        <f>IF(B214="","",IF(ISNA(VLOOKUP($B214,'E-1 Off-Site Hedge Baseline'!$B$1:$Z$257,14,FALSE)),"",(VLOOKUP($B214,'E-1 Off-Site Hedge Baseline'!$B$1:$Z$257,14,FALSE))))</f>
        <v/>
      </c>
      <c r="AI214" s="276" t="str">
        <f>IF(AH214="","",IF(VLOOKUP(AH214,'G-3 Multipliers'!$S$3:$T$10,2,FALSE)=0,"Spatial Data Missing ⚠",VLOOKUP(AH214,'G-3 Multipliers'!$S$3:$T$10,2,FALSE)))</f>
        <v/>
      </c>
      <c r="AJ214" s="317" t="str">
        <f t="shared" si="30"/>
        <v/>
      </c>
      <c r="AK214" s="289" t="str">
        <f t="shared" si="31"/>
        <v/>
      </c>
      <c r="AL214" s="101"/>
      <c r="AM214" s="115"/>
      <c r="AN214" s="104"/>
      <c r="AO214" s="104"/>
      <c r="AQ214" s="30" t="str">
        <f>IFERROR(INDEX('G-6 Hedgerow Data'!$BJ$3:$BJ$15,MATCH(M214,'G-6 Hedgerow Data'!$B$3:$B$15,0)),"")</f>
        <v/>
      </c>
    </row>
    <row r="215" spans="2:43" ht="14">
      <c r="B215" s="305" t="str">
        <f>'E-1 Off-Site Hedge Baseline'!AN213</f>
        <v/>
      </c>
      <c r="C215" s="295" t="str">
        <f>IF(B215="","",IF(ISNA(VLOOKUP($B215,'E-1 Off-Site Hedge Baseline'!$B$1:$L$257,3,FALSE)),"",(VLOOKUP($B215,'E-1 Off-Site Hedge Baseline'!$B$1:$L$257,3,FALSE))))</f>
        <v/>
      </c>
      <c r="D215" s="295" t="str">
        <f>IF(B215="","",IF(ISNA(VLOOKUP($B215,'E-1 Off-Site Hedge Baseline'!$B$1:$L$258,4,FALSE)),"",(VLOOKUP($B215,'E-1 Off-Site Hedge Baseline'!$B$1:$L$258,4,FALSE))))</f>
        <v/>
      </c>
      <c r="E215" s="295" t="str">
        <f>IF(B215="","",IF(ISNA(VLOOKUP($B215,'E-1 Off-Site Hedge Baseline'!$B$1:$L$257,5,FALSE)),"",(VLOOKUP($B215,'E-1 Off-Site Hedge Baseline'!$B$1:$L$257,5,FALSE))))</f>
        <v/>
      </c>
      <c r="F215" s="295" t="str">
        <f>IF(B215="","",IF(ISNA(VLOOKUP($B215,'E-1 Off-Site Hedge Baseline'!$B$1:$L$257,6,FALSE)),"",(VLOOKUP($B215,'E-1 Off-Site Hedge Baseline'!$B$1:$L$257,6,FALSE))))</f>
        <v/>
      </c>
      <c r="G215" s="295" t="str">
        <f>IF(B215="","",IF(ISNA(VLOOKUP($B215,'E-1 Off-Site Hedge Baseline'!$B$1:$L$257,7,FALSE)),"",(VLOOKUP($B215,'E-1 Off-Site Hedge Baseline'!$B$1:$L$257,7,FALSE))))</f>
        <v/>
      </c>
      <c r="H215" s="295" t="str">
        <f>IF(B215="","",IF(ISNA(VLOOKUP($B215,'E-1 Off-Site Hedge Baseline'!$B$1:$L$257,8,FALSE)),"",(VLOOKUP($B215,'E-1 Off-Site Hedge Baseline'!$B$1:$L$257,8,FALSE))))</f>
        <v/>
      </c>
      <c r="I215" s="295" t="str">
        <f>IF(B215="","",IF(ISNA(VLOOKUP($B215,'E-1 Off-Site Hedge Baseline'!$B$1:$L$257,10,FALSE)),"",(VLOOKUP($B215,'E-1 Off-Site Hedge Baseline'!$B$1:$L$257,10,FALSE))))</f>
        <v/>
      </c>
      <c r="J215" s="295" t="str">
        <f>IF(B215="","",IF(ISNA(VLOOKUP($B215,'E-1 Off-Site Hedge Baseline'!$B$1:$L$257,11,FALSE)),"",(VLOOKUP($B215,'E-1 Off-Site Hedge Baseline'!$B$1:$L$257,11,FALSE))))</f>
        <v/>
      </c>
      <c r="K215" s="295" t="str">
        <f>IF(B215="","",IF(ISNA(VLOOKUP($B215,'E-1 Off-Site Hedge Baseline'!$B$1:$X$257,16,FALSE)),"",(VLOOKUP($B215,'E-1 Off-Site Hedge Baseline'!$B$1:$X$257,16,FALSE))))</f>
        <v/>
      </c>
      <c r="L215" s="283" t="str">
        <f>IF(B215="","",IF(ISNA(VLOOKUP($B215,'E-1 Off-Site Hedge Baseline'!$B$1:$X$257,12,FALSE)),"",(VLOOKUP($B215,'E-1 Off-Site Hedge Baseline'!$B$1:$X$257,12,FALSE))))</f>
        <v/>
      </c>
      <c r="M215" s="244"/>
      <c r="N215" s="275" t="str">
        <f>IFERROR(IF(B215="","",INDEX('G-6 Hedgerow Data'!$AN$3:$AZ$15,MATCH(C215,'G-6 Hedgerow Data'!$AM$3:$AM$15,0),MATCH(M215,'G-6 Hedgerow Data'!$AN$2:$AZ$2,0))),"")</f>
        <v/>
      </c>
      <c r="O215" s="276" t="str">
        <f t="shared" si="25"/>
        <v/>
      </c>
      <c r="P215" s="281" t="str">
        <f>IF(B215="","",VLOOKUP(B215,'E-1 Off-Site Hedge Baseline'!$B$10:W460,19,FALSE))</f>
        <v/>
      </c>
      <c r="Q215" s="275" t="str">
        <f>IF(M215="","",VLOOKUP(M215,'G-6 Hedgerow Data'!$B$2:$AG$15,2,FALSE))</f>
        <v/>
      </c>
      <c r="R215" s="276" t="str">
        <f>IF(M215="","",VLOOKUP(M215,'G-6 Hedgerow Data'!$B$2:$AG$15,3,FALSE))</f>
        <v/>
      </c>
      <c r="S215" s="101"/>
      <c r="T215" s="276" t="str">
        <f>IFERROR(IF(S215="","",IF(AND(M215="Non-native and ornamental hedgerow",S215&lt;&gt;"Poor"),"Not possible ▲",(IF(AND(Q215="V.Low",OR(S215="Good",S215="Moderate")),"Error ▲",VLOOKUP(S215,'G-1 All Habitats'!$Z$2:$AA$9,2,FALSE))))),"")</f>
        <v/>
      </c>
      <c r="U215" s="101"/>
      <c r="V215" s="283" t="str">
        <f>IF(U215="","",IF(VLOOKUP(U215,'G-3 Multipliers'!$L$3:$N$6,2,FALSE)=0,"Spatial Data Missing ⚠",VLOOKUP(U215,'G-3 Multipliers'!$L$3:$N$6,2,FALSE)))</f>
        <v/>
      </c>
      <c r="W215" s="281" t="str">
        <f>IF(U215="","",IF(VLOOKUP(U215,'G-3 Multipliers'!$L$3:$N$6,3,FALSE)=0,"Spatial Data Missing ⚠",VLOOKUP(U215,'G-3 Multipliers'!$L$3:$N$6,3,FALSE)))</f>
        <v/>
      </c>
      <c r="X215" s="275" t="str">
        <f>IFERROR(IF(OR(LEFT(O215,5)="Error",LEFT(N215,5)="Error",T215="Error"),"Check Data ⚠",IF(F215&lt;R215,INDEX('G-6 Hedgerow Data'!$S$3:$AE$14,MATCH(C215,'G-6 Hedgerow Data'!$B$3:$B$14,0),MATCH(M215,'G-6 Hedgerow Data'!$S$2:$AE$2,0)),INDEX('G-6 Hedgerow Data'!$K$3:$Q$14,MATCH(M215,'G-6 Hedgerow Data'!$B$3:$B$14,0),MATCH(O215,'G-6 Hedgerow Data'!$K$2:$Q$2,0)))),"")</f>
        <v/>
      </c>
      <c r="Y215" s="133"/>
      <c r="Z215" s="133"/>
      <c r="AA215" s="283" t="str">
        <f t="shared" si="26"/>
        <v/>
      </c>
      <c r="AB215" s="296" t="str">
        <f t="shared" si="27"/>
        <v/>
      </c>
      <c r="AC215" s="297" t="str">
        <f t="shared" si="24"/>
        <v/>
      </c>
      <c r="AD215" s="311" t="str">
        <f>IF(M215="","",VLOOKUP(M215,'G-6 Hedgerow Data'!$B$3:$AG$15,31,FALSE))</f>
        <v/>
      </c>
      <c r="AE215" s="295" t="str">
        <f t="shared" si="28"/>
        <v/>
      </c>
      <c r="AF215" s="283" t="str">
        <f t="shared" si="29"/>
        <v/>
      </c>
      <c r="AG215" s="299" t="str">
        <f>IFERROR(IF(O215="","",VLOOKUP(AD215,'G-3 Multipliers'!$P$3:$Q$6,2,FALSE)),"")</f>
        <v/>
      </c>
      <c r="AH215" s="713" t="str">
        <f>IF(B215="","",IF(ISNA(VLOOKUP($B215,'E-1 Off-Site Hedge Baseline'!$B$1:$Z$257,14,FALSE)),"",(VLOOKUP($B215,'E-1 Off-Site Hedge Baseline'!$B$1:$Z$257,14,FALSE))))</f>
        <v/>
      </c>
      <c r="AI215" s="276" t="str">
        <f>IF(AH215="","",IF(VLOOKUP(AH215,'G-3 Multipliers'!$S$3:$T$10,2,FALSE)=0,"Spatial Data Missing ⚠",VLOOKUP(AH215,'G-3 Multipliers'!$S$3:$T$10,2,FALSE)))</f>
        <v/>
      </c>
      <c r="AJ215" s="317" t="str">
        <f t="shared" si="30"/>
        <v/>
      </c>
      <c r="AK215" s="289" t="str">
        <f t="shared" si="31"/>
        <v/>
      </c>
      <c r="AL215" s="101"/>
      <c r="AM215" s="115"/>
      <c r="AN215" s="104"/>
      <c r="AO215" s="104"/>
      <c r="AQ215" s="30" t="str">
        <f>IFERROR(INDEX('G-6 Hedgerow Data'!$BJ$3:$BJ$15,MATCH(M215,'G-6 Hedgerow Data'!$B$3:$B$15,0)),"")</f>
        <v/>
      </c>
    </row>
    <row r="216" spans="2:43" ht="14">
      <c r="B216" s="305" t="str">
        <f>'E-1 Off-Site Hedge Baseline'!AN214</f>
        <v/>
      </c>
      <c r="C216" s="295" t="str">
        <f>IF(B216="","",IF(ISNA(VLOOKUP($B216,'E-1 Off-Site Hedge Baseline'!$B$1:$L$257,3,FALSE)),"",(VLOOKUP($B216,'E-1 Off-Site Hedge Baseline'!$B$1:$L$257,3,FALSE))))</f>
        <v/>
      </c>
      <c r="D216" s="295" t="str">
        <f>IF(B216="","",IF(ISNA(VLOOKUP($B216,'E-1 Off-Site Hedge Baseline'!$B$1:$L$258,4,FALSE)),"",(VLOOKUP($B216,'E-1 Off-Site Hedge Baseline'!$B$1:$L$258,4,FALSE))))</f>
        <v/>
      </c>
      <c r="E216" s="295" t="str">
        <f>IF(B216="","",IF(ISNA(VLOOKUP($B216,'E-1 Off-Site Hedge Baseline'!$B$1:$L$257,5,FALSE)),"",(VLOOKUP($B216,'E-1 Off-Site Hedge Baseline'!$B$1:$L$257,5,FALSE))))</f>
        <v/>
      </c>
      <c r="F216" s="295" t="str">
        <f>IF(B216="","",IF(ISNA(VLOOKUP($B216,'E-1 Off-Site Hedge Baseline'!$B$1:$L$257,6,FALSE)),"",(VLOOKUP($B216,'E-1 Off-Site Hedge Baseline'!$B$1:$L$257,6,FALSE))))</f>
        <v/>
      </c>
      <c r="G216" s="295" t="str">
        <f>IF(B216="","",IF(ISNA(VLOOKUP($B216,'E-1 Off-Site Hedge Baseline'!$B$1:$L$257,7,FALSE)),"",(VLOOKUP($B216,'E-1 Off-Site Hedge Baseline'!$B$1:$L$257,7,FALSE))))</f>
        <v/>
      </c>
      <c r="H216" s="295" t="str">
        <f>IF(B216="","",IF(ISNA(VLOOKUP($B216,'E-1 Off-Site Hedge Baseline'!$B$1:$L$257,8,FALSE)),"",(VLOOKUP($B216,'E-1 Off-Site Hedge Baseline'!$B$1:$L$257,8,FALSE))))</f>
        <v/>
      </c>
      <c r="I216" s="295" t="str">
        <f>IF(B216="","",IF(ISNA(VLOOKUP($B216,'E-1 Off-Site Hedge Baseline'!$B$1:$L$257,10,FALSE)),"",(VLOOKUP($B216,'E-1 Off-Site Hedge Baseline'!$B$1:$L$257,10,FALSE))))</f>
        <v/>
      </c>
      <c r="J216" s="295" t="str">
        <f>IF(B216="","",IF(ISNA(VLOOKUP($B216,'E-1 Off-Site Hedge Baseline'!$B$1:$L$257,11,FALSE)),"",(VLOOKUP($B216,'E-1 Off-Site Hedge Baseline'!$B$1:$L$257,11,FALSE))))</f>
        <v/>
      </c>
      <c r="K216" s="295" t="str">
        <f>IF(B216="","",IF(ISNA(VLOOKUP($B216,'E-1 Off-Site Hedge Baseline'!$B$1:$X$257,16,FALSE)),"",(VLOOKUP($B216,'E-1 Off-Site Hedge Baseline'!$B$1:$X$257,16,FALSE))))</f>
        <v/>
      </c>
      <c r="L216" s="283" t="str">
        <f>IF(B216="","",IF(ISNA(VLOOKUP($B216,'E-1 Off-Site Hedge Baseline'!$B$1:$X$257,12,FALSE)),"",(VLOOKUP($B216,'E-1 Off-Site Hedge Baseline'!$B$1:$X$257,12,FALSE))))</f>
        <v/>
      </c>
      <c r="M216" s="244"/>
      <c r="N216" s="275" t="str">
        <f>IFERROR(IF(B216="","",INDEX('G-6 Hedgerow Data'!$AN$3:$AZ$15,MATCH(C216,'G-6 Hedgerow Data'!$AM$3:$AM$15,0),MATCH(M216,'G-6 Hedgerow Data'!$AN$2:$AZ$2,0))),"")</f>
        <v/>
      </c>
      <c r="O216" s="276" t="str">
        <f t="shared" si="25"/>
        <v/>
      </c>
      <c r="P216" s="281" t="str">
        <f>IF(B216="","",VLOOKUP(B216,'E-1 Off-Site Hedge Baseline'!$B$10:W461,19,FALSE))</f>
        <v/>
      </c>
      <c r="Q216" s="275" t="str">
        <f>IF(M216="","",VLOOKUP(M216,'G-6 Hedgerow Data'!$B$2:$AG$15,2,FALSE))</f>
        <v/>
      </c>
      <c r="R216" s="276" t="str">
        <f>IF(M216="","",VLOOKUP(M216,'G-6 Hedgerow Data'!$B$2:$AG$15,3,FALSE))</f>
        <v/>
      </c>
      <c r="S216" s="101"/>
      <c r="T216" s="276" t="str">
        <f>IFERROR(IF(S216="","",IF(AND(M216="Non-native and ornamental hedgerow",S216&lt;&gt;"Poor"),"Not possible ▲",(IF(AND(Q216="V.Low",OR(S216="Good",S216="Moderate")),"Error ▲",VLOOKUP(S216,'G-1 All Habitats'!$Z$2:$AA$9,2,FALSE))))),"")</f>
        <v/>
      </c>
      <c r="U216" s="101"/>
      <c r="V216" s="283" t="str">
        <f>IF(U216="","",IF(VLOOKUP(U216,'G-3 Multipliers'!$L$3:$N$6,2,FALSE)=0,"Spatial Data Missing ⚠",VLOOKUP(U216,'G-3 Multipliers'!$L$3:$N$6,2,FALSE)))</f>
        <v/>
      </c>
      <c r="W216" s="281" t="str">
        <f>IF(U216="","",IF(VLOOKUP(U216,'G-3 Multipliers'!$L$3:$N$6,3,FALSE)=0,"Spatial Data Missing ⚠",VLOOKUP(U216,'G-3 Multipliers'!$L$3:$N$6,3,FALSE)))</f>
        <v/>
      </c>
      <c r="X216" s="275" t="str">
        <f>IFERROR(IF(OR(LEFT(O216,5)="Error",LEFT(N216,5)="Error",T216="Error"),"Check Data ⚠",IF(F216&lt;R216,INDEX('G-6 Hedgerow Data'!$S$3:$AE$14,MATCH(C216,'G-6 Hedgerow Data'!$B$3:$B$14,0),MATCH(M216,'G-6 Hedgerow Data'!$S$2:$AE$2,0)),INDEX('G-6 Hedgerow Data'!$K$3:$Q$14,MATCH(M216,'G-6 Hedgerow Data'!$B$3:$B$14,0),MATCH(O216,'G-6 Hedgerow Data'!$K$2:$Q$2,0)))),"")</f>
        <v/>
      </c>
      <c r="Y216" s="133"/>
      <c r="Z216" s="133"/>
      <c r="AA216" s="283" t="str">
        <f t="shared" si="26"/>
        <v/>
      </c>
      <c r="AB216" s="296" t="str">
        <f t="shared" si="27"/>
        <v/>
      </c>
      <c r="AC216" s="297" t="str">
        <f t="shared" si="24"/>
        <v/>
      </c>
      <c r="AD216" s="311" t="str">
        <f>IF(M216="","",VLOOKUP(M216,'G-6 Hedgerow Data'!$B$3:$AG$15,31,FALSE))</f>
        <v/>
      </c>
      <c r="AE216" s="295" t="str">
        <f t="shared" si="28"/>
        <v/>
      </c>
      <c r="AF216" s="283" t="str">
        <f t="shared" si="29"/>
        <v/>
      </c>
      <c r="AG216" s="299" t="str">
        <f>IFERROR(IF(O216="","",VLOOKUP(AD216,'G-3 Multipliers'!$P$3:$Q$6,2,FALSE)),"")</f>
        <v/>
      </c>
      <c r="AH216" s="713" t="str">
        <f>IF(B216="","",IF(ISNA(VLOOKUP($B216,'E-1 Off-Site Hedge Baseline'!$B$1:$Z$257,14,FALSE)),"",(VLOOKUP($B216,'E-1 Off-Site Hedge Baseline'!$B$1:$Z$257,14,FALSE))))</f>
        <v/>
      </c>
      <c r="AI216" s="276" t="str">
        <f>IF(AH216="","",IF(VLOOKUP(AH216,'G-3 Multipliers'!$S$3:$T$10,2,FALSE)=0,"Spatial Data Missing ⚠",VLOOKUP(AH216,'G-3 Multipliers'!$S$3:$T$10,2,FALSE)))</f>
        <v/>
      </c>
      <c r="AJ216" s="317" t="str">
        <f t="shared" si="30"/>
        <v/>
      </c>
      <c r="AK216" s="289" t="str">
        <f t="shared" si="31"/>
        <v/>
      </c>
      <c r="AL216" s="101"/>
      <c r="AM216" s="115"/>
      <c r="AN216" s="104"/>
      <c r="AO216" s="104"/>
      <c r="AQ216" s="30" t="str">
        <f>IFERROR(INDEX('G-6 Hedgerow Data'!$BJ$3:$BJ$15,MATCH(M216,'G-6 Hedgerow Data'!$B$3:$B$15,0)),"")</f>
        <v/>
      </c>
    </row>
    <row r="217" spans="2:43" ht="14">
      <c r="B217" s="305" t="str">
        <f>'E-1 Off-Site Hedge Baseline'!AN215</f>
        <v/>
      </c>
      <c r="C217" s="295" t="str">
        <f>IF(B217="","",IF(ISNA(VLOOKUP($B217,'E-1 Off-Site Hedge Baseline'!$B$1:$L$257,3,FALSE)),"",(VLOOKUP($B217,'E-1 Off-Site Hedge Baseline'!$B$1:$L$257,3,FALSE))))</f>
        <v/>
      </c>
      <c r="D217" s="295" t="str">
        <f>IF(B217="","",IF(ISNA(VLOOKUP($B217,'E-1 Off-Site Hedge Baseline'!$B$1:$L$258,4,FALSE)),"",(VLOOKUP($B217,'E-1 Off-Site Hedge Baseline'!$B$1:$L$258,4,FALSE))))</f>
        <v/>
      </c>
      <c r="E217" s="295" t="str">
        <f>IF(B217="","",IF(ISNA(VLOOKUP($B217,'E-1 Off-Site Hedge Baseline'!$B$1:$L$257,5,FALSE)),"",(VLOOKUP($B217,'E-1 Off-Site Hedge Baseline'!$B$1:$L$257,5,FALSE))))</f>
        <v/>
      </c>
      <c r="F217" s="295" t="str">
        <f>IF(B217="","",IF(ISNA(VLOOKUP($B217,'E-1 Off-Site Hedge Baseline'!$B$1:$L$257,6,FALSE)),"",(VLOOKUP($B217,'E-1 Off-Site Hedge Baseline'!$B$1:$L$257,6,FALSE))))</f>
        <v/>
      </c>
      <c r="G217" s="295" t="str">
        <f>IF(B217="","",IF(ISNA(VLOOKUP($B217,'E-1 Off-Site Hedge Baseline'!$B$1:$L$257,7,FALSE)),"",(VLOOKUP($B217,'E-1 Off-Site Hedge Baseline'!$B$1:$L$257,7,FALSE))))</f>
        <v/>
      </c>
      <c r="H217" s="295" t="str">
        <f>IF(B217="","",IF(ISNA(VLOOKUP($B217,'E-1 Off-Site Hedge Baseline'!$B$1:$L$257,8,FALSE)),"",(VLOOKUP($B217,'E-1 Off-Site Hedge Baseline'!$B$1:$L$257,8,FALSE))))</f>
        <v/>
      </c>
      <c r="I217" s="295" t="str">
        <f>IF(B217="","",IF(ISNA(VLOOKUP($B217,'E-1 Off-Site Hedge Baseline'!$B$1:$L$257,10,FALSE)),"",(VLOOKUP($B217,'E-1 Off-Site Hedge Baseline'!$B$1:$L$257,10,FALSE))))</f>
        <v/>
      </c>
      <c r="J217" s="295" t="str">
        <f>IF(B217="","",IF(ISNA(VLOOKUP($B217,'E-1 Off-Site Hedge Baseline'!$B$1:$L$257,11,FALSE)),"",(VLOOKUP($B217,'E-1 Off-Site Hedge Baseline'!$B$1:$L$257,11,FALSE))))</f>
        <v/>
      </c>
      <c r="K217" s="295" t="str">
        <f>IF(B217="","",IF(ISNA(VLOOKUP($B217,'E-1 Off-Site Hedge Baseline'!$B$1:$X$257,16,FALSE)),"",(VLOOKUP($B217,'E-1 Off-Site Hedge Baseline'!$B$1:$X$257,16,FALSE))))</f>
        <v/>
      </c>
      <c r="L217" s="283" t="str">
        <f>IF(B217="","",IF(ISNA(VLOOKUP($B217,'E-1 Off-Site Hedge Baseline'!$B$1:$X$257,12,FALSE)),"",(VLOOKUP($B217,'E-1 Off-Site Hedge Baseline'!$B$1:$X$257,12,FALSE))))</f>
        <v/>
      </c>
      <c r="M217" s="244"/>
      <c r="N217" s="275" t="str">
        <f>IFERROR(IF(B217="","",INDEX('G-6 Hedgerow Data'!$AN$3:$AZ$15,MATCH(C217,'G-6 Hedgerow Data'!$AM$3:$AM$15,0),MATCH(M217,'G-6 Hedgerow Data'!$AN$2:$AZ$2,0))),"")</f>
        <v/>
      </c>
      <c r="O217" s="276" t="str">
        <f t="shared" si="25"/>
        <v/>
      </c>
      <c r="P217" s="281" t="str">
        <f>IF(B217="","",VLOOKUP(B217,'E-1 Off-Site Hedge Baseline'!$B$10:W462,19,FALSE))</f>
        <v/>
      </c>
      <c r="Q217" s="275" t="str">
        <f>IF(M217="","",VLOOKUP(M217,'G-6 Hedgerow Data'!$B$2:$AG$15,2,FALSE))</f>
        <v/>
      </c>
      <c r="R217" s="276" t="str">
        <f>IF(M217="","",VLOOKUP(M217,'G-6 Hedgerow Data'!$B$2:$AG$15,3,FALSE))</f>
        <v/>
      </c>
      <c r="S217" s="101"/>
      <c r="T217" s="276" t="str">
        <f>IFERROR(IF(S217="","",IF(AND(M217="Non-native and ornamental hedgerow",S217&lt;&gt;"Poor"),"Not possible ▲",(IF(AND(Q217="V.Low",OR(S217="Good",S217="Moderate")),"Error ▲",VLOOKUP(S217,'G-1 All Habitats'!$Z$2:$AA$9,2,FALSE))))),"")</f>
        <v/>
      </c>
      <c r="U217" s="101"/>
      <c r="V217" s="283" t="str">
        <f>IF(U217="","",IF(VLOOKUP(U217,'G-3 Multipliers'!$L$3:$N$6,2,FALSE)=0,"Spatial Data Missing ⚠",VLOOKUP(U217,'G-3 Multipliers'!$L$3:$N$6,2,FALSE)))</f>
        <v/>
      </c>
      <c r="W217" s="281" t="str">
        <f>IF(U217="","",IF(VLOOKUP(U217,'G-3 Multipliers'!$L$3:$N$6,3,FALSE)=0,"Spatial Data Missing ⚠",VLOOKUP(U217,'G-3 Multipliers'!$L$3:$N$6,3,FALSE)))</f>
        <v/>
      </c>
      <c r="X217" s="275" t="str">
        <f>IFERROR(IF(OR(LEFT(O217,5)="Error",LEFT(N217,5)="Error",T217="Error"),"Check Data ⚠",IF(F217&lt;R217,INDEX('G-6 Hedgerow Data'!$S$3:$AE$14,MATCH(C217,'G-6 Hedgerow Data'!$B$3:$B$14,0),MATCH(M217,'G-6 Hedgerow Data'!$S$2:$AE$2,0)),INDEX('G-6 Hedgerow Data'!$K$3:$Q$14,MATCH(M217,'G-6 Hedgerow Data'!$B$3:$B$14,0),MATCH(O217,'G-6 Hedgerow Data'!$K$2:$Q$2,0)))),"")</f>
        <v/>
      </c>
      <c r="Y217" s="133"/>
      <c r="Z217" s="133"/>
      <c r="AA217" s="283" t="str">
        <f t="shared" si="26"/>
        <v/>
      </c>
      <c r="AB217" s="296" t="str">
        <f t="shared" si="27"/>
        <v/>
      </c>
      <c r="AC217" s="297" t="str">
        <f t="shared" si="24"/>
        <v/>
      </c>
      <c r="AD217" s="311" t="str">
        <f>IF(M217="","",VLOOKUP(M217,'G-6 Hedgerow Data'!$B$3:$AG$15,31,FALSE))</f>
        <v/>
      </c>
      <c r="AE217" s="295" t="str">
        <f t="shared" si="28"/>
        <v/>
      </c>
      <c r="AF217" s="283" t="str">
        <f t="shared" si="29"/>
        <v/>
      </c>
      <c r="AG217" s="299" t="str">
        <f>IFERROR(IF(O217="","",VLOOKUP(AD217,'G-3 Multipliers'!$P$3:$Q$6,2,FALSE)),"")</f>
        <v/>
      </c>
      <c r="AH217" s="713" t="str">
        <f>IF(B217="","",IF(ISNA(VLOOKUP($B217,'E-1 Off-Site Hedge Baseline'!$B$1:$Z$257,14,FALSE)),"",(VLOOKUP($B217,'E-1 Off-Site Hedge Baseline'!$B$1:$Z$257,14,FALSE))))</f>
        <v/>
      </c>
      <c r="AI217" s="276" t="str">
        <f>IF(AH217="","",IF(VLOOKUP(AH217,'G-3 Multipliers'!$S$3:$T$10,2,FALSE)=0,"Spatial Data Missing ⚠",VLOOKUP(AH217,'G-3 Multipliers'!$S$3:$T$10,2,FALSE)))</f>
        <v/>
      </c>
      <c r="AJ217" s="317" t="str">
        <f t="shared" si="30"/>
        <v/>
      </c>
      <c r="AK217" s="289" t="str">
        <f t="shared" si="31"/>
        <v/>
      </c>
      <c r="AL217" s="101"/>
      <c r="AM217" s="115"/>
      <c r="AN217" s="104"/>
      <c r="AO217" s="104"/>
      <c r="AQ217" s="30" t="str">
        <f>IFERROR(INDEX('G-6 Hedgerow Data'!$BJ$3:$BJ$15,MATCH(M217,'G-6 Hedgerow Data'!$B$3:$B$15,0)),"")</f>
        <v/>
      </c>
    </row>
    <row r="218" spans="2:43" ht="14">
      <c r="B218" s="305" t="str">
        <f>'E-1 Off-Site Hedge Baseline'!AN216</f>
        <v/>
      </c>
      <c r="C218" s="295" t="str">
        <f>IF(B218="","",IF(ISNA(VLOOKUP($B218,'E-1 Off-Site Hedge Baseline'!$B$1:$L$257,3,FALSE)),"",(VLOOKUP($B218,'E-1 Off-Site Hedge Baseline'!$B$1:$L$257,3,FALSE))))</f>
        <v/>
      </c>
      <c r="D218" s="295" t="str">
        <f>IF(B218="","",IF(ISNA(VLOOKUP($B218,'E-1 Off-Site Hedge Baseline'!$B$1:$L$258,4,FALSE)),"",(VLOOKUP($B218,'E-1 Off-Site Hedge Baseline'!$B$1:$L$258,4,FALSE))))</f>
        <v/>
      </c>
      <c r="E218" s="295" t="str">
        <f>IF(B218="","",IF(ISNA(VLOOKUP($B218,'E-1 Off-Site Hedge Baseline'!$B$1:$L$257,5,FALSE)),"",(VLOOKUP($B218,'E-1 Off-Site Hedge Baseline'!$B$1:$L$257,5,FALSE))))</f>
        <v/>
      </c>
      <c r="F218" s="295" t="str">
        <f>IF(B218="","",IF(ISNA(VLOOKUP($B218,'E-1 Off-Site Hedge Baseline'!$B$1:$L$257,6,FALSE)),"",(VLOOKUP($B218,'E-1 Off-Site Hedge Baseline'!$B$1:$L$257,6,FALSE))))</f>
        <v/>
      </c>
      <c r="G218" s="295" t="str">
        <f>IF(B218="","",IF(ISNA(VLOOKUP($B218,'E-1 Off-Site Hedge Baseline'!$B$1:$L$257,7,FALSE)),"",(VLOOKUP($B218,'E-1 Off-Site Hedge Baseline'!$B$1:$L$257,7,FALSE))))</f>
        <v/>
      </c>
      <c r="H218" s="295" t="str">
        <f>IF(B218="","",IF(ISNA(VLOOKUP($B218,'E-1 Off-Site Hedge Baseline'!$B$1:$L$257,8,FALSE)),"",(VLOOKUP($B218,'E-1 Off-Site Hedge Baseline'!$B$1:$L$257,8,FALSE))))</f>
        <v/>
      </c>
      <c r="I218" s="295" t="str">
        <f>IF(B218="","",IF(ISNA(VLOOKUP($B218,'E-1 Off-Site Hedge Baseline'!$B$1:$L$257,10,FALSE)),"",(VLOOKUP($B218,'E-1 Off-Site Hedge Baseline'!$B$1:$L$257,10,FALSE))))</f>
        <v/>
      </c>
      <c r="J218" s="295" t="str">
        <f>IF(B218="","",IF(ISNA(VLOOKUP($B218,'E-1 Off-Site Hedge Baseline'!$B$1:$L$257,11,FALSE)),"",(VLOOKUP($B218,'E-1 Off-Site Hedge Baseline'!$B$1:$L$257,11,FALSE))))</f>
        <v/>
      </c>
      <c r="K218" s="295" t="str">
        <f>IF(B218="","",IF(ISNA(VLOOKUP($B218,'E-1 Off-Site Hedge Baseline'!$B$1:$X$257,16,FALSE)),"",(VLOOKUP($B218,'E-1 Off-Site Hedge Baseline'!$B$1:$X$257,16,FALSE))))</f>
        <v/>
      </c>
      <c r="L218" s="283" t="str">
        <f>IF(B218="","",IF(ISNA(VLOOKUP($B218,'E-1 Off-Site Hedge Baseline'!$B$1:$X$257,12,FALSE)),"",(VLOOKUP($B218,'E-1 Off-Site Hedge Baseline'!$B$1:$X$257,12,FALSE))))</f>
        <v/>
      </c>
      <c r="M218" s="244"/>
      <c r="N218" s="275" t="str">
        <f>IFERROR(IF(B218="","",INDEX('G-6 Hedgerow Data'!$AN$3:$AZ$15,MATCH(C218,'G-6 Hedgerow Data'!$AM$3:$AM$15,0),MATCH(M218,'G-6 Hedgerow Data'!$AN$2:$AZ$2,0))),"")</f>
        <v/>
      </c>
      <c r="O218" s="276" t="str">
        <f t="shared" si="25"/>
        <v/>
      </c>
      <c r="P218" s="281" t="str">
        <f>IF(B218="","",VLOOKUP(B218,'E-1 Off-Site Hedge Baseline'!$B$10:W463,19,FALSE))</f>
        <v/>
      </c>
      <c r="Q218" s="275" t="str">
        <f>IF(M218="","",VLOOKUP(M218,'G-6 Hedgerow Data'!$B$2:$AG$15,2,FALSE))</f>
        <v/>
      </c>
      <c r="R218" s="276" t="str">
        <f>IF(M218="","",VLOOKUP(M218,'G-6 Hedgerow Data'!$B$2:$AG$15,3,FALSE))</f>
        <v/>
      </c>
      <c r="S218" s="101"/>
      <c r="T218" s="276" t="str">
        <f>IFERROR(IF(S218="","",IF(AND(M218="Non-native and ornamental hedgerow",S218&lt;&gt;"Poor"),"Not possible ▲",(IF(AND(Q218="V.Low",OR(S218="Good",S218="Moderate")),"Error ▲",VLOOKUP(S218,'G-1 All Habitats'!$Z$2:$AA$9,2,FALSE))))),"")</f>
        <v/>
      </c>
      <c r="U218" s="101"/>
      <c r="V218" s="283" t="str">
        <f>IF(U218="","",IF(VLOOKUP(U218,'G-3 Multipliers'!$L$3:$N$6,2,FALSE)=0,"Spatial Data Missing ⚠",VLOOKUP(U218,'G-3 Multipliers'!$L$3:$N$6,2,FALSE)))</f>
        <v/>
      </c>
      <c r="W218" s="281" t="str">
        <f>IF(U218="","",IF(VLOOKUP(U218,'G-3 Multipliers'!$L$3:$N$6,3,FALSE)=0,"Spatial Data Missing ⚠",VLOOKUP(U218,'G-3 Multipliers'!$L$3:$N$6,3,FALSE)))</f>
        <v/>
      </c>
      <c r="X218" s="275" t="str">
        <f>IFERROR(IF(OR(LEFT(O218,5)="Error",LEFT(N218,5)="Error",T218="Error"),"Check Data ⚠",IF(F218&lt;R218,INDEX('G-6 Hedgerow Data'!$S$3:$AE$14,MATCH(C218,'G-6 Hedgerow Data'!$B$3:$B$14,0),MATCH(M218,'G-6 Hedgerow Data'!$S$2:$AE$2,0)),INDEX('G-6 Hedgerow Data'!$K$3:$Q$14,MATCH(M218,'G-6 Hedgerow Data'!$B$3:$B$14,0),MATCH(O218,'G-6 Hedgerow Data'!$K$2:$Q$2,0)))),"")</f>
        <v/>
      </c>
      <c r="Y218" s="133"/>
      <c r="Z218" s="133"/>
      <c r="AA218" s="283" t="str">
        <f t="shared" si="26"/>
        <v/>
      </c>
      <c r="AB218" s="296" t="str">
        <f t="shared" si="27"/>
        <v/>
      </c>
      <c r="AC218" s="297" t="str">
        <f t="shared" si="24"/>
        <v/>
      </c>
      <c r="AD218" s="311" t="str">
        <f>IF(M218="","",VLOOKUP(M218,'G-6 Hedgerow Data'!$B$3:$AG$15,31,FALSE))</f>
        <v/>
      </c>
      <c r="AE218" s="295" t="str">
        <f t="shared" si="28"/>
        <v/>
      </c>
      <c r="AF218" s="283" t="str">
        <f t="shared" si="29"/>
        <v/>
      </c>
      <c r="AG218" s="299" t="str">
        <f>IFERROR(IF(O218="","",VLOOKUP(AD218,'G-3 Multipliers'!$P$3:$Q$6,2,FALSE)),"")</f>
        <v/>
      </c>
      <c r="AH218" s="713" t="str">
        <f>IF(B218="","",IF(ISNA(VLOOKUP($B218,'E-1 Off-Site Hedge Baseline'!$B$1:$Z$257,14,FALSE)),"",(VLOOKUP($B218,'E-1 Off-Site Hedge Baseline'!$B$1:$Z$257,14,FALSE))))</f>
        <v/>
      </c>
      <c r="AI218" s="276" t="str">
        <f>IF(AH218="","",IF(VLOOKUP(AH218,'G-3 Multipliers'!$S$3:$T$10,2,FALSE)=0,"Spatial Data Missing ⚠",VLOOKUP(AH218,'G-3 Multipliers'!$S$3:$T$10,2,FALSE)))</f>
        <v/>
      </c>
      <c r="AJ218" s="317" t="str">
        <f t="shared" si="30"/>
        <v/>
      </c>
      <c r="AK218" s="289" t="str">
        <f t="shared" si="31"/>
        <v/>
      </c>
      <c r="AL218" s="101"/>
      <c r="AM218" s="115"/>
      <c r="AN218" s="104"/>
      <c r="AO218" s="104"/>
      <c r="AQ218" s="30" t="str">
        <f>IFERROR(INDEX('G-6 Hedgerow Data'!$BJ$3:$BJ$15,MATCH(M218,'G-6 Hedgerow Data'!$B$3:$B$15,0)),"")</f>
        <v/>
      </c>
    </row>
    <row r="219" spans="2:43" ht="14">
      <c r="B219" s="305" t="str">
        <f>'E-1 Off-Site Hedge Baseline'!AN217</f>
        <v/>
      </c>
      <c r="C219" s="295" t="str">
        <f>IF(B219="","",IF(ISNA(VLOOKUP($B219,'E-1 Off-Site Hedge Baseline'!$B$1:$L$257,3,FALSE)),"",(VLOOKUP($B219,'E-1 Off-Site Hedge Baseline'!$B$1:$L$257,3,FALSE))))</f>
        <v/>
      </c>
      <c r="D219" s="295" t="str">
        <f>IF(B219="","",IF(ISNA(VLOOKUP($B219,'E-1 Off-Site Hedge Baseline'!$B$1:$L$258,4,FALSE)),"",(VLOOKUP($B219,'E-1 Off-Site Hedge Baseline'!$B$1:$L$258,4,FALSE))))</f>
        <v/>
      </c>
      <c r="E219" s="295" t="str">
        <f>IF(B219="","",IF(ISNA(VLOOKUP($B219,'E-1 Off-Site Hedge Baseline'!$B$1:$L$257,5,FALSE)),"",(VLOOKUP($B219,'E-1 Off-Site Hedge Baseline'!$B$1:$L$257,5,FALSE))))</f>
        <v/>
      </c>
      <c r="F219" s="295" t="str">
        <f>IF(B219="","",IF(ISNA(VLOOKUP($B219,'E-1 Off-Site Hedge Baseline'!$B$1:$L$257,6,FALSE)),"",(VLOOKUP($B219,'E-1 Off-Site Hedge Baseline'!$B$1:$L$257,6,FALSE))))</f>
        <v/>
      </c>
      <c r="G219" s="295" t="str">
        <f>IF(B219="","",IF(ISNA(VLOOKUP($B219,'E-1 Off-Site Hedge Baseline'!$B$1:$L$257,7,FALSE)),"",(VLOOKUP($B219,'E-1 Off-Site Hedge Baseline'!$B$1:$L$257,7,FALSE))))</f>
        <v/>
      </c>
      <c r="H219" s="295" t="str">
        <f>IF(B219="","",IF(ISNA(VLOOKUP($B219,'E-1 Off-Site Hedge Baseline'!$B$1:$L$257,8,FALSE)),"",(VLOOKUP($B219,'E-1 Off-Site Hedge Baseline'!$B$1:$L$257,8,FALSE))))</f>
        <v/>
      </c>
      <c r="I219" s="295" t="str">
        <f>IF(B219="","",IF(ISNA(VLOOKUP($B219,'E-1 Off-Site Hedge Baseline'!$B$1:$L$257,10,FALSE)),"",(VLOOKUP($B219,'E-1 Off-Site Hedge Baseline'!$B$1:$L$257,10,FALSE))))</f>
        <v/>
      </c>
      <c r="J219" s="295" t="str">
        <f>IF(B219="","",IF(ISNA(VLOOKUP($B219,'E-1 Off-Site Hedge Baseline'!$B$1:$L$257,11,FALSE)),"",(VLOOKUP($B219,'E-1 Off-Site Hedge Baseline'!$B$1:$L$257,11,FALSE))))</f>
        <v/>
      </c>
      <c r="K219" s="295" t="str">
        <f>IF(B219="","",IF(ISNA(VLOOKUP($B219,'E-1 Off-Site Hedge Baseline'!$B$1:$X$257,16,FALSE)),"",(VLOOKUP($B219,'E-1 Off-Site Hedge Baseline'!$B$1:$X$257,16,FALSE))))</f>
        <v/>
      </c>
      <c r="L219" s="283" t="str">
        <f>IF(B219="","",IF(ISNA(VLOOKUP($B219,'E-1 Off-Site Hedge Baseline'!$B$1:$X$257,12,FALSE)),"",(VLOOKUP($B219,'E-1 Off-Site Hedge Baseline'!$B$1:$X$257,12,FALSE))))</f>
        <v/>
      </c>
      <c r="M219" s="244"/>
      <c r="N219" s="275" t="str">
        <f>IFERROR(IF(B219="","",INDEX('G-6 Hedgerow Data'!$AN$3:$AZ$15,MATCH(C219,'G-6 Hedgerow Data'!$AM$3:$AM$15,0),MATCH(M219,'G-6 Hedgerow Data'!$AN$2:$AZ$2,0))),"")</f>
        <v/>
      </c>
      <c r="O219" s="276" t="str">
        <f t="shared" si="25"/>
        <v/>
      </c>
      <c r="P219" s="281" t="str">
        <f>IF(B219="","",VLOOKUP(B219,'E-1 Off-Site Hedge Baseline'!$B$10:W464,19,FALSE))</f>
        <v/>
      </c>
      <c r="Q219" s="275" t="str">
        <f>IF(M219="","",VLOOKUP(M219,'G-6 Hedgerow Data'!$B$2:$AG$15,2,FALSE))</f>
        <v/>
      </c>
      <c r="R219" s="276" t="str">
        <f>IF(M219="","",VLOOKUP(M219,'G-6 Hedgerow Data'!$B$2:$AG$15,3,FALSE))</f>
        <v/>
      </c>
      <c r="S219" s="101"/>
      <c r="T219" s="276" t="str">
        <f>IFERROR(IF(S219="","",IF(AND(M219="Non-native and ornamental hedgerow",S219&lt;&gt;"Poor"),"Not possible ▲",(IF(AND(Q219="V.Low",OR(S219="Good",S219="Moderate")),"Error ▲",VLOOKUP(S219,'G-1 All Habitats'!$Z$2:$AA$9,2,FALSE))))),"")</f>
        <v/>
      </c>
      <c r="U219" s="101"/>
      <c r="V219" s="283" t="str">
        <f>IF(U219="","",IF(VLOOKUP(U219,'G-3 Multipliers'!$L$3:$N$6,2,FALSE)=0,"Spatial Data Missing ⚠",VLOOKUP(U219,'G-3 Multipliers'!$L$3:$N$6,2,FALSE)))</f>
        <v/>
      </c>
      <c r="W219" s="281" t="str">
        <f>IF(U219="","",IF(VLOOKUP(U219,'G-3 Multipliers'!$L$3:$N$6,3,FALSE)=0,"Spatial Data Missing ⚠",VLOOKUP(U219,'G-3 Multipliers'!$L$3:$N$6,3,FALSE)))</f>
        <v/>
      </c>
      <c r="X219" s="275" t="str">
        <f>IFERROR(IF(OR(LEFT(O219,5)="Error",LEFT(N219,5)="Error",T219="Error"),"Check Data ⚠",IF(F219&lt;R219,INDEX('G-6 Hedgerow Data'!$S$3:$AE$14,MATCH(C219,'G-6 Hedgerow Data'!$B$3:$B$14,0),MATCH(M219,'G-6 Hedgerow Data'!$S$2:$AE$2,0)),INDEX('G-6 Hedgerow Data'!$K$3:$Q$14,MATCH(M219,'G-6 Hedgerow Data'!$B$3:$B$14,0),MATCH(O219,'G-6 Hedgerow Data'!$K$2:$Q$2,0)))),"")</f>
        <v/>
      </c>
      <c r="Y219" s="133"/>
      <c r="Z219" s="133"/>
      <c r="AA219" s="283" t="str">
        <f t="shared" si="26"/>
        <v/>
      </c>
      <c r="AB219" s="296" t="str">
        <f t="shared" si="27"/>
        <v/>
      </c>
      <c r="AC219" s="297" t="str">
        <f t="shared" si="24"/>
        <v/>
      </c>
      <c r="AD219" s="311" t="str">
        <f>IF(M219="","",VLOOKUP(M219,'G-6 Hedgerow Data'!$B$3:$AG$15,31,FALSE))</f>
        <v/>
      </c>
      <c r="AE219" s="295" t="str">
        <f t="shared" si="28"/>
        <v/>
      </c>
      <c r="AF219" s="283" t="str">
        <f t="shared" si="29"/>
        <v/>
      </c>
      <c r="AG219" s="299" t="str">
        <f>IFERROR(IF(O219="","",VLOOKUP(AD219,'G-3 Multipliers'!$P$3:$Q$6,2,FALSE)),"")</f>
        <v/>
      </c>
      <c r="AH219" s="713" t="str">
        <f>IF(B219="","",IF(ISNA(VLOOKUP($B219,'E-1 Off-Site Hedge Baseline'!$B$1:$Z$257,14,FALSE)),"",(VLOOKUP($B219,'E-1 Off-Site Hedge Baseline'!$B$1:$Z$257,14,FALSE))))</f>
        <v/>
      </c>
      <c r="AI219" s="276" t="str">
        <f>IF(AH219="","",IF(VLOOKUP(AH219,'G-3 Multipliers'!$S$3:$T$10,2,FALSE)=0,"Spatial Data Missing ⚠",VLOOKUP(AH219,'G-3 Multipliers'!$S$3:$T$10,2,FALSE)))</f>
        <v/>
      </c>
      <c r="AJ219" s="317" t="str">
        <f t="shared" si="30"/>
        <v/>
      </c>
      <c r="AK219" s="289" t="str">
        <f t="shared" si="31"/>
        <v/>
      </c>
      <c r="AL219" s="101"/>
      <c r="AM219" s="115"/>
      <c r="AN219" s="104"/>
      <c r="AO219" s="104"/>
      <c r="AQ219" s="30" t="str">
        <f>IFERROR(INDEX('G-6 Hedgerow Data'!$BJ$3:$BJ$15,MATCH(M219,'G-6 Hedgerow Data'!$B$3:$B$15,0)),"")</f>
        <v/>
      </c>
    </row>
    <row r="220" spans="2:43" ht="14">
      <c r="B220" s="305" t="str">
        <f>'E-1 Off-Site Hedge Baseline'!AN218</f>
        <v/>
      </c>
      <c r="C220" s="295" t="str">
        <f>IF(B220="","",IF(ISNA(VLOOKUP($B220,'E-1 Off-Site Hedge Baseline'!$B$1:$L$257,3,FALSE)),"",(VLOOKUP($B220,'E-1 Off-Site Hedge Baseline'!$B$1:$L$257,3,FALSE))))</f>
        <v/>
      </c>
      <c r="D220" s="295" t="str">
        <f>IF(B220="","",IF(ISNA(VLOOKUP($B220,'E-1 Off-Site Hedge Baseline'!$B$1:$L$258,4,FALSE)),"",(VLOOKUP($B220,'E-1 Off-Site Hedge Baseline'!$B$1:$L$258,4,FALSE))))</f>
        <v/>
      </c>
      <c r="E220" s="295" t="str">
        <f>IF(B220="","",IF(ISNA(VLOOKUP($B220,'E-1 Off-Site Hedge Baseline'!$B$1:$L$257,5,FALSE)),"",(VLOOKUP($B220,'E-1 Off-Site Hedge Baseline'!$B$1:$L$257,5,FALSE))))</f>
        <v/>
      </c>
      <c r="F220" s="295" t="str">
        <f>IF(B220="","",IF(ISNA(VLOOKUP($B220,'E-1 Off-Site Hedge Baseline'!$B$1:$L$257,6,FALSE)),"",(VLOOKUP($B220,'E-1 Off-Site Hedge Baseline'!$B$1:$L$257,6,FALSE))))</f>
        <v/>
      </c>
      <c r="G220" s="295" t="str">
        <f>IF(B220="","",IF(ISNA(VLOOKUP($B220,'E-1 Off-Site Hedge Baseline'!$B$1:$L$257,7,FALSE)),"",(VLOOKUP($B220,'E-1 Off-Site Hedge Baseline'!$B$1:$L$257,7,FALSE))))</f>
        <v/>
      </c>
      <c r="H220" s="295" t="str">
        <f>IF(B220="","",IF(ISNA(VLOOKUP($B220,'E-1 Off-Site Hedge Baseline'!$B$1:$L$257,8,FALSE)),"",(VLOOKUP($B220,'E-1 Off-Site Hedge Baseline'!$B$1:$L$257,8,FALSE))))</f>
        <v/>
      </c>
      <c r="I220" s="295" t="str">
        <f>IF(B220="","",IF(ISNA(VLOOKUP($B220,'E-1 Off-Site Hedge Baseline'!$B$1:$L$257,10,FALSE)),"",(VLOOKUP($B220,'E-1 Off-Site Hedge Baseline'!$B$1:$L$257,10,FALSE))))</f>
        <v/>
      </c>
      <c r="J220" s="295" t="str">
        <f>IF(B220="","",IF(ISNA(VLOOKUP($B220,'E-1 Off-Site Hedge Baseline'!$B$1:$L$257,11,FALSE)),"",(VLOOKUP($B220,'E-1 Off-Site Hedge Baseline'!$B$1:$L$257,11,FALSE))))</f>
        <v/>
      </c>
      <c r="K220" s="295" t="str">
        <f>IF(B220="","",IF(ISNA(VLOOKUP($B220,'E-1 Off-Site Hedge Baseline'!$B$1:$X$257,16,FALSE)),"",(VLOOKUP($B220,'E-1 Off-Site Hedge Baseline'!$B$1:$X$257,16,FALSE))))</f>
        <v/>
      </c>
      <c r="L220" s="283" t="str">
        <f>IF(B220="","",IF(ISNA(VLOOKUP($B220,'E-1 Off-Site Hedge Baseline'!$B$1:$X$257,12,FALSE)),"",(VLOOKUP($B220,'E-1 Off-Site Hedge Baseline'!$B$1:$X$257,12,FALSE))))</f>
        <v/>
      </c>
      <c r="M220" s="244"/>
      <c r="N220" s="275" t="str">
        <f>IFERROR(IF(B220="","",INDEX('G-6 Hedgerow Data'!$AN$3:$AZ$15,MATCH(C220,'G-6 Hedgerow Data'!$AM$3:$AM$15,0),MATCH(M220,'G-6 Hedgerow Data'!$AN$2:$AZ$2,0))),"")</f>
        <v/>
      </c>
      <c r="O220" s="276" t="str">
        <f t="shared" si="25"/>
        <v/>
      </c>
      <c r="P220" s="281" t="str">
        <f>IF(B220="","",VLOOKUP(B220,'E-1 Off-Site Hedge Baseline'!$B$10:W465,19,FALSE))</f>
        <v/>
      </c>
      <c r="Q220" s="275" t="str">
        <f>IF(M220="","",VLOOKUP(M220,'G-6 Hedgerow Data'!$B$2:$AG$15,2,FALSE))</f>
        <v/>
      </c>
      <c r="R220" s="276" t="str">
        <f>IF(M220="","",VLOOKUP(M220,'G-6 Hedgerow Data'!$B$2:$AG$15,3,FALSE))</f>
        <v/>
      </c>
      <c r="S220" s="101"/>
      <c r="T220" s="276" t="str">
        <f>IFERROR(IF(S220="","",IF(AND(M220="Non-native and ornamental hedgerow",S220&lt;&gt;"Poor"),"Not possible ▲",(IF(AND(Q220="V.Low",OR(S220="Good",S220="Moderate")),"Error ▲",VLOOKUP(S220,'G-1 All Habitats'!$Z$2:$AA$9,2,FALSE))))),"")</f>
        <v/>
      </c>
      <c r="U220" s="101"/>
      <c r="V220" s="283" t="str">
        <f>IF(U220="","",IF(VLOOKUP(U220,'G-3 Multipliers'!$L$3:$N$6,2,FALSE)=0,"Spatial Data Missing ⚠",VLOOKUP(U220,'G-3 Multipliers'!$L$3:$N$6,2,FALSE)))</f>
        <v/>
      </c>
      <c r="W220" s="281" t="str">
        <f>IF(U220="","",IF(VLOOKUP(U220,'G-3 Multipliers'!$L$3:$N$6,3,FALSE)=0,"Spatial Data Missing ⚠",VLOOKUP(U220,'G-3 Multipliers'!$L$3:$N$6,3,FALSE)))</f>
        <v/>
      </c>
      <c r="X220" s="275" t="str">
        <f>IFERROR(IF(OR(LEFT(O220,5)="Error",LEFT(N220,5)="Error",T220="Error"),"Check Data ⚠",IF(F220&lt;R220,INDEX('G-6 Hedgerow Data'!$S$3:$AE$14,MATCH(C220,'G-6 Hedgerow Data'!$B$3:$B$14,0),MATCH(M220,'G-6 Hedgerow Data'!$S$2:$AE$2,0)),INDEX('G-6 Hedgerow Data'!$K$3:$Q$14,MATCH(M220,'G-6 Hedgerow Data'!$B$3:$B$14,0),MATCH(O220,'G-6 Hedgerow Data'!$K$2:$Q$2,0)))),"")</f>
        <v/>
      </c>
      <c r="Y220" s="133"/>
      <c r="Z220" s="133"/>
      <c r="AA220" s="283" t="str">
        <f t="shared" si="26"/>
        <v/>
      </c>
      <c r="AB220" s="296" t="str">
        <f t="shared" si="27"/>
        <v/>
      </c>
      <c r="AC220" s="297" t="str">
        <f t="shared" si="24"/>
        <v/>
      </c>
      <c r="AD220" s="311" t="str">
        <f>IF(M220="","",VLOOKUP(M220,'G-6 Hedgerow Data'!$B$3:$AG$15,31,FALSE))</f>
        <v/>
      </c>
      <c r="AE220" s="295" t="str">
        <f t="shared" si="28"/>
        <v/>
      </c>
      <c r="AF220" s="283" t="str">
        <f t="shared" si="29"/>
        <v/>
      </c>
      <c r="AG220" s="299" t="str">
        <f>IFERROR(IF(O220="","",VLOOKUP(AD220,'G-3 Multipliers'!$P$3:$Q$6,2,FALSE)),"")</f>
        <v/>
      </c>
      <c r="AH220" s="713" t="str">
        <f>IF(B220="","",IF(ISNA(VLOOKUP($B220,'E-1 Off-Site Hedge Baseline'!$B$1:$Z$257,14,FALSE)),"",(VLOOKUP($B220,'E-1 Off-Site Hedge Baseline'!$B$1:$Z$257,14,FALSE))))</f>
        <v/>
      </c>
      <c r="AI220" s="276" t="str">
        <f>IF(AH220="","",IF(VLOOKUP(AH220,'G-3 Multipliers'!$S$3:$T$10,2,FALSE)=0,"Spatial Data Missing ⚠",VLOOKUP(AH220,'G-3 Multipliers'!$S$3:$T$10,2,FALSE)))</f>
        <v/>
      </c>
      <c r="AJ220" s="317" t="str">
        <f t="shared" si="30"/>
        <v/>
      </c>
      <c r="AK220" s="289" t="str">
        <f t="shared" si="31"/>
        <v/>
      </c>
      <c r="AL220" s="101"/>
      <c r="AM220" s="115"/>
      <c r="AN220" s="104"/>
      <c r="AO220" s="104"/>
      <c r="AQ220" s="30" t="str">
        <f>IFERROR(INDEX('G-6 Hedgerow Data'!$BJ$3:$BJ$15,MATCH(M220,'G-6 Hedgerow Data'!$B$3:$B$15,0)),"")</f>
        <v/>
      </c>
    </row>
    <row r="221" spans="2:43" ht="14">
      <c r="B221" s="305" t="str">
        <f>'E-1 Off-Site Hedge Baseline'!AN219</f>
        <v/>
      </c>
      <c r="C221" s="295" t="str">
        <f>IF(B221="","",IF(ISNA(VLOOKUP($B221,'E-1 Off-Site Hedge Baseline'!$B$1:$L$257,3,FALSE)),"",(VLOOKUP($B221,'E-1 Off-Site Hedge Baseline'!$B$1:$L$257,3,FALSE))))</f>
        <v/>
      </c>
      <c r="D221" s="295" t="str">
        <f>IF(B221="","",IF(ISNA(VLOOKUP($B221,'E-1 Off-Site Hedge Baseline'!$B$1:$L$258,4,FALSE)),"",(VLOOKUP($B221,'E-1 Off-Site Hedge Baseline'!$B$1:$L$258,4,FALSE))))</f>
        <v/>
      </c>
      <c r="E221" s="295" t="str">
        <f>IF(B221="","",IF(ISNA(VLOOKUP($B221,'E-1 Off-Site Hedge Baseline'!$B$1:$L$257,5,FALSE)),"",(VLOOKUP($B221,'E-1 Off-Site Hedge Baseline'!$B$1:$L$257,5,FALSE))))</f>
        <v/>
      </c>
      <c r="F221" s="295" t="str">
        <f>IF(B221="","",IF(ISNA(VLOOKUP($B221,'E-1 Off-Site Hedge Baseline'!$B$1:$L$257,6,FALSE)),"",(VLOOKUP($B221,'E-1 Off-Site Hedge Baseline'!$B$1:$L$257,6,FALSE))))</f>
        <v/>
      </c>
      <c r="G221" s="295" t="str">
        <f>IF(B221="","",IF(ISNA(VLOOKUP($B221,'E-1 Off-Site Hedge Baseline'!$B$1:$L$257,7,FALSE)),"",(VLOOKUP($B221,'E-1 Off-Site Hedge Baseline'!$B$1:$L$257,7,FALSE))))</f>
        <v/>
      </c>
      <c r="H221" s="295" t="str">
        <f>IF(B221="","",IF(ISNA(VLOOKUP($B221,'E-1 Off-Site Hedge Baseline'!$B$1:$L$257,8,FALSE)),"",(VLOOKUP($B221,'E-1 Off-Site Hedge Baseline'!$B$1:$L$257,8,FALSE))))</f>
        <v/>
      </c>
      <c r="I221" s="295" t="str">
        <f>IF(B221="","",IF(ISNA(VLOOKUP($B221,'E-1 Off-Site Hedge Baseline'!$B$1:$L$257,10,FALSE)),"",(VLOOKUP($B221,'E-1 Off-Site Hedge Baseline'!$B$1:$L$257,10,FALSE))))</f>
        <v/>
      </c>
      <c r="J221" s="295" t="str">
        <f>IF(B221="","",IF(ISNA(VLOOKUP($B221,'E-1 Off-Site Hedge Baseline'!$B$1:$L$257,11,FALSE)),"",(VLOOKUP($B221,'E-1 Off-Site Hedge Baseline'!$B$1:$L$257,11,FALSE))))</f>
        <v/>
      </c>
      <c r="K221" s="295" t="str">
        <f>IF(B221="","",IF(ISNA(VLOOKUP($B221,'E-1 Off-Site Hedge Baseline'!$B$1:$X$257,16,FALSE)),"",(VLOOKUP($B221,'E-1 Off-Site Hedge Baseline'!$B$1:$X$257,16,FALSE))))</f>
        <v/>
      </c>
      <c r="L221" s="283" t="str">
        <f>IF(B221="","",IF(ISNA(VLOOKUP($B221,'E-1 Off-Site Hedge Baseline'!$B$1:$X$257,12,FALSE)),"",(VLOOKUP($B221,'E-1 Off-Site Hedge Baseline'!$B$1:$X$257,12,FALSE))))</f>
        <v/>
      </c>
      <c r="M221" s="244"/>
      <c r="N221" s="275" t="str">
        <f>IFERROR(IF(B221="","",INDEX('G-6 Hedgerow Data'!$AN$3:$AZ$15,MATCH(C221,'G-6 Hedgerow Data'!$AM$3:$AM$15,0),MATCH(M221,'G-6 Hedgerow Data'!$AN$2:$AZ$2,0))),"")</f>
        <v/>
      </c>
      <c r="O221" s="276" t="str">
        <f t="shared" si="25"/>
        <v/>
      </c>
      <c r="P221" s="281" t="str">
        <f>IF(B221="","",VLOOKUP(B221,'E-1 Off-Site Hedge Baseline'!$B$10:W466,19,FALSE))</f>
        <v/>
      </c>
      <c r="Q221" s="275" t="str">
        <f>IF(M221="","",VLOOKUP(M221,'G-6 Hedgerow Data'!$B$2:$AG$15,2,FALSE))</f>
        <v/>
      </c>
      <c r="R221" s="276" t="str">
        <f>IF(M221="","",VLOOKUP(M221,'G-6 Hedgerow Data'!$B$2:$AG$15,3,FALSE))</f>
        <v/>
      </c>
      <c r="S221" s="101"/>
      <c r="T221" s="276" t="str">
        <f>IFERROR(IF(S221="","",IF(AND(M221="Non-native and ornamental hedgerow",S221&lt;&gt;"Poor"),"Not possible ▲",(IF(AND(Q221="V.Low",OR(S221="Good",S221="Moderate")),"Error ▲",VLOOKUP(S221,'G-1 All Habitats'!$Z$2:$AA$9,2,FALSE))))),"")</f>
        <v/>
      </c>
      <c r="U221" s="101"/>
      <c r="V221" s="283" t="str">
        <f>IF(U221="","",IF(VLOOKUP(U221,'G-3 Multipliers'!$L$3:$N$6,2,FALSE)=0,"Spatial Data Missing ⚠",VLOOKUP(U221,'G-3 Multipliers'!$L$3:$N$6,2,FALSE)))</f>
        <v/>
      </c>
      <c r="W221" s="281" t="str">
        <f>IF(U221="","",IF(VLOOKUP(U221,'G-3 Multipliers'!$L$3:$N$6,3,FALSE)=0,"Spatial Data Missing ⚠",VLOOKUP(U221,'G-3 Multipliers'!$L$3:$N$6,3,FALSE)))</f>
        <v/>
      </c>
      <c r="X221" s="275" t="str">
        <f>IFERROR(IF(OR(LEFT(O221,5)="Error",LEFT(N221,5)="Error",T221="Error"),"Check Data ⚠",IF(F221&lt;R221,INDEX('G-6 Hedgerow Data'!$S$3:$AE$14,MATCH(C221,'G-6 Hedgerow Data'!$B$3:$B$14,0),MATCH(M221,'G-6 Hedgerow Data'!$S$2:$AE$2,0)),INDEX('G-6 Hedgerow Data'!$K$3:$Q$14,MATCH(M221,'G-6 Hedgerow Data'!$B$3:$B$14,0),MATCH(O221,'G-6 Hedgerow Data'!$K$2:$Q$2,0)))),"")</f>
        <v/>
      </c>
      <c r="Y221" s="133"/>
      <c r="Z221" s="133"/>
      <c r="AA221" s="283" t="str">
        <f t="shared" si="26"/>
        <v/>
      </c>
      <c r="AB221" s="296" t="str">
        <f t="shared" si="27"/>
        <v/>
      </c>
      <c r="AC221" s="297" t="str">
        <f t="shared" si="24"/>
        <v/>
      </c>
      <c r="AD221" s="311" t="str">
        <f>IF(M221="","",VLOOKUP(M221,'G-6 Hedgerow Data'!$B$3:$AG$15,31,FALSE))</f>
        <v/>
      </c>
      <c r="AE221" s="295" t="str">
        <f t="shared" si="28"/>
        <v/>
      </c>
      <c r="AF221" s="283" t="str">
        <f t="shared" si="29"/>
        <v/>
      </c>
      <c r="AG221" s="299" t="str">
        <f>IFERROR(IF(O221="","",VLOOKUP(AD221,'G-3 Multipliers'!$P$3:$Q$6,2,FALSE)),"")</f>
        <v/>
      </c>
      <c r="AH221" s="713" t="str">
        <f>IF(B221="","",IF(ISNA(VLOOKUP($B221,'E-1 Off-Site Hedge Baseline'!$B$1:$Z$257,14,FALSE)),"",(VLOOKUP($B221,'E-1 Off-Site Hedge Baseline'!$B$1:$Z$257,14,FALSE))))</f>
        <v/>
      </c>
      <c r="AI221" s="276" t="str">
        <f>IF(AH221="","",IF(VLOOKUP(AH221,'G-3 Multipliers'!$S$3:$T$10,2,FALSE)=0,"Spatial Data Missing ⚠",VLOOKUP(AH221,'G-3 Multipliers'!$S$3:$T$10,2,FALSE)))</f>
        <v/>
      </c>
      <c r="AJ221" s="317" t="str">
        <f t="shared" si="30"/>
        <v/>
      </c>
      <c r="AK221" s="289" t="str">
        <f t="shared" si="31"/>
        <v/>
      </c>
      <c r="AL221" s="101"/>
      <c r="AM221" s="115"/>
      <c r="AN221" s="104"/>
      <c r="AO221" s="104"/>
      <c r="AQ221" s="30" t="str">
        <f>IFERROR(INDEX('G-6 Hedgerow Data'!$BJ$3:$BJ$15,MATCH(M221,'G-6 Hedgerow Data'!$B$3:$B$15,0)),"")</f>
        <v/>
      </c>
    </row>
    <row r="222" spans="2:43" ht="14">
      <c r="B222" s="305" t="str">
        <f>'E-1 Off-Site Hedge Baseline'!AN220</f>
        <v/>
      </c>
      <c r="C222" s="295" t="str">
        <f>IF(B222="","",IF(ISNA(VLOOKUP($B222,'E-1 Off-Site Hedge Baseline'!$B$1:$L$257,3,FALSE)),"",(VLOOKUP($B222,'E-1 Off-Site Hedge Baseline'!$B$1:$L$257,3,FALSE))))</f>
        <v/>
      </c>
      <c r="D222" s="295" t="str">
        <f>IF(B222="","",IF(ISNA(VLOOKUP($B222,'E-1 Off-Site Hedge Baseline'!$B$1:$L$258,4,FALSE)),"",(VLOOKUP($B222,'E-1 Off-Site Hedge Baseline'!$B$1:$L$258,4,FALSE))))</f>
        <v/>
      </c>
      <c r="E222" s="295" t="str">
        <f>IF(B222="","",IF(ISNA(VLOOKUP($B222,'E-1 Off-Site Hedge Baseline'!$B$1:$L$257,5,FALSE)),"",(VLOOKUP($B222,'E-1 Off-Site Hedge Baseline'!$B$1:$L$257,5,FALSE))))</f>
        <v/>
      </c>
      <c r="F222" s="295" t="str">
        <f>IF(B222="","",IF(ISNA(VLOOKUP($B222,'E-1 Off-Site Hedge Baseline'!$B$1:$L$257,6,FALSE)),"",(VLOOKUP($B222,'E-1 Off-Site Hedge Baseline'!$B$1:$L$257,6,FALSE))))</f>
        <v/>
      </c>
      <c r="G222" s="295" t="str">
        <f>IF(B222="","",IF(ISNA(VLOOKUP($B222,'E-1 Off-Site Hedge Baseline'!$B$1:$L$257,7,FALSE)),"",(VLOOKUP($B222,'E-1 Off-Site Hedge Baseline'!$B$1:$L$257,7,FALSE))))</f>
        <v/>
      </c>
      <c r="H222" s="295" t="str">
        <f>IF(B222="","",IF(ISNA(VLOOKUP($B222,'E-1 Off-Site Hedge Baseline'!$B$1:$L$257,8,FALSE)),"",(VLOOKUP($B222,'E-1 Off-Site Hedge Baseline'!$B$1:$L$257,8,FALSE))))</f>
        <v/>
      </c>
      <c r="I222" s="295" t="str">
        <f>IF(B222="","",IF(ISNA(VLOOKUP($B222,'E-1 Off-Site Hedge Baseline'!$B$1:$L$257,10,FALSE)),"",(VLOOKUP($B222,'E-1 Off-Site Hedge Baseline'!$B$1:$L$257,10,FALSE))))</f>
        <v/>
      </c>
      <c r="J222" s="295" t="str">
        <f>IF(B222="","",IF(ISNA(VLOOKUP($B222,'E-1 Off-Site Hedge Baseline'!$B$1:$L$257,11,FALSE)),"",(VLOOKUP($B222,'E-1 Off-Site Hedge Baseline'!$B$1:$L$257,11,FALSE))))</f>
        <v/>
      </c>
      <c r="K222" s="295" t="str">
        <f>IF(B222="","",IF(ISNA(VLOOKUP($B222,'E-1 Off-Site Hedge Baseline'!$B$1:$X$257,16,FALSE)),"",(VLOOKUP($B222,'E-1 Off-Site Hedge Baseline'!$B$1:$X$257,16,FALSE))))</f>
        <v/>
      </c>
      <c r="L222" s="283" t="str">
        <f>IF(B222="","",IF(ISNA(VLOOKUP($B222,'E-1 Off-Site Hedge Baseline'!$B$1:$X$257,12,FALSE)),"",(VLOOKUP($B222,'E-1 Off-Site Hedge Baseline'!$B$1:$X$257,12,FALSE))))</f>
        <v/>
      </c>
      <c r="M222" s="244"/>
      <c r="N222" s="275" t="str">
        <f>IFERROR(IF(B222="","",INDEX('G-6 Hedgerow Data'!$AN$3:$AZ$15,MATCH(C222,'G-6 Hedgerow Data'!$AM$3:$AM$15,0),MATCH(M222,'G-6 Hedgerow Data'!$AN$2:$AZ$2,0))),"")</f>
        <v/>
      </c>
      <c r="O222" s="276" t="str">
        <f t="shared" si="25"/>
        <v/>
      </c>
      <c r="P222" s="281" t="str">
        <f>IF(B222="","",VLOOKUP(B222,'E-1 Off-Site Hedge Baseline'!$B$10:W467,19,FALSE))</f>
        <v/>
      </c>
      <c r="Q222" s="275" t="str">
        <f>IF(M222="","",VLOOKUP(M222,'G-6 Hedgerow Data'!$B$2:$AG$15,2,FALSE))</f>
        <v/>
      </c>
      <c r="R222" s="276" t="str">
        <f>IF(M222="","",VLOOKUP(M222,'G-6 Hedgerow Data'!$B$2:$AG$15,3,FALSE))</f>
        <v/>
      </c>
      <c r="S222" s="101"/>
      <c r="T222" s="276" t="str">
        <f>IFERROR(IF(S222="","",IF(AND(M222="Non-native and ornamental hedgerow",S222&lt;&gt;"Poor"),"Not possible ▲",(IF(AND(Q222="V.Low",OR(S222="Good",S222="Moderate")),"Error ▲",VLOOKUP(S222,'G-1 All Habitats'!$Z$2:$AA$9,2,FALSE))))),"")</f>
        <v/>
      </c>
      <c r="U222" s="101"/>
      <c r="V222" s="283" t="str">
        <f>IF(U222="","",IF(VLOOKUP(U222,'G-3 Multipliers'!$L$3:$N$6,2,FALSE)=0,"Spatial Data Missing ⚠",VLOOKUP(U222,'G-3 Multipliers'!$L$3:$N$6,2,FALSE)))</f>
        <v/>
      </c>
      <c r="W222" s="281" t="str">
        <f>IF(U222="","",IF(VLOOKUP(U222,'G-3 Multipliers'!$L$3:$N$6,3,FALSE)=0,"Spatial Data Missing ⚠",VLOOKUP(U222,'G-3 Multipliers'!$L$3:$N$6,3,FALSE)))</f>
        <v/>
      </c>
      <c r="X222" s="275" t="str">
        <f>IFERROR(IF(OR(LEFT(O222,5)="Error",LEFT(N222,5)="Error",T222="Error"),"Check Data ⚠",IF(F222&lt;R222,INDEX('G-6 Hedgerow Data'!$S$3:$AE$14,MATCH(C222,'G-6 Hedgerow Data'!$B$3:$B$14,0),MATCH(M222,'G-6 Hedgerow Data'!$S$2:$AE$2,0)),INDEX('G-6 Hedgerow Data'!$K$3:$Q$14,MATCH(M222,'G-6 Hedgerow Data'!$B$3:$B$14,0),MATCH(O222,'G-6 Hedgerow Data'!$K$2:$Q$2,0)))),"")</f>
        <v/>
      </c>
      <c r="Y222" s="133"/>
      <c r="Z222" s="133"/>
      <c r="AA222" s="283" t="str">
        <f t="shared" si="26"/>
        <v/>
      </c>
      <c r="AB222" s="296" t="str">
        <f t="shared" si="27"/>
        <v/>
      </c>
      <c r="AC222" s="297" t="str">
        <f t="shared" si="24"/>
        <v/>
      </c>
      <c r="AD222" s="311" t="str">
        <f>IF(M222="","",VLOOKUP(M222,'G-6 Hedgerow Data'!$B$3:$AG$15,31,FALSE))</f>
        <v/>
      </c>
      <c r="AE222" s="295" t="str">
        <f t="shared" si="28"/>
        <v/>
      </c>
      <c r="AF222" s="283" t="str">
        <f t="shared" si="29"/>
        <v/>
      </c>
      <c r="AG222" s="299" t="str">
        <f>IFERROR(IF(O222="","",VLOOKUP(AD222,'G-3 Multipliers'!$P$3:$Q$6,2,FALSE)),"")</f>
        <v/>
      </c>
      <c r="AH222" s="713" t="str">
        <f>IF(B222="","",IF(ISNA(VLOOKUP($B222,'E-1 Off-Site Hedge Baseline'!$B$1:$Z$257,14,FALSE)),"",(VLOOKUP($B222,'E-1 Off-Site Hedge Baseline'!$B$1:$Z$257,14,FALSE))))</f>
        <v/>
      </c>
      <c r="AI222" s="276" t="str">
        <f>IF(AH222="","",IF(VLOOKUP(AH222,'G-3 Multipliers'!$S$3:$T$10,2,FALSE)=0,"Spatial Data Missing ⚠",VLOOKUP(AH222,'G-3 Multipliers'!$S$3:$T$10,2,FALSE)))</f>
        <v/>
      </c>
      <c r="AJ222" s="317" t="str">
        <f t="shared" si="30"/>
        <v/>
      </c>
      <c r="AK222" s="289" t="str">
        <f t="shared" si="31"/>
        <v/>
      </c>
      <c r="AL222" s="101"/>
      <c r="AM222" s="115"/>
      <c r="AN222" s="104"/>
      <c r="AO222" s="104"/>
      <c r="AQ222" s="30" t="str">
        <f>IFERROR(INDEX('G-6 Hedgerow Data'!$BJ$3:$BJ$15,MATCH(M222,'G-6 Hedgerow Data'!$B$3:$B$15,0)),"")</f>
        <v/>
      </c>
    </row>
    <row r="223" spans="2:43" ht="14">
      <c r="B223" s="305" t="str">
        <f>'E-1 Off-Site Hedge Baseline'!AN221</f>
        <v/>
      </c>
      <c r="C223" s="295" t="str">
        <f>IF(B223="","",IF(ISNA(VLOOKUP($B223,'E-1 Off-Site Hedge Baseline'!$B$1:$L$257,3,FALSE)),"",(VLOOKUP($B223,'E-1 Off-Site Hedge Baseline'!$B$1:$L$257,3,FALSE))))</f>
        <v/>
      </c>
      <c r="D223" s="295" t="str">
        <f>IF(B223="","",IF(ISNA(VLOOKUP($B223,'E-1 Off-Site Hedge Baseline'!$B$1:$L$258,4,FALSE)),"",(VLOOKUP($B223,'E-1 Off-Site Hedge Baseline'!$B$1:$L$258,4,FALSE))))</f>
        <v/>
      </c>
      <c r="E223" s="295" t="str">
        <f>IF(B223="","",IF(ISNA(VLOOKUP($B223,'E-1 Off-Site Hedge Baseline'!$B$1:$L$257,5,FALSE)),"",(VLOOKUP($B223,'E-1 Off-Site Hedge Baseline'!$B$1:$L$257,5,FALSE))))</f>
        <v/>
      </c>
      <c r="F223" s="295" t="str">
        <f>IF(B223="","",IF(ISNA(VLOOKUP($B223,'E-1 Off-Site Hedge Baseline'!$B$1:$L$257,6,FALSE)),"",(VLOOKUP($B223,'E-1 Off-Site Hedge Baseline'!$B$1:$L$257,6,FALSE))))</f>
        <v/>
      </c>
      <c r="G223" s="295" t="str">
        <f>IF(B223="","",IF(ISNA(VLOOKUP($B223,'E-1 Off-Site Hedge Baseline'!$B$1:$L$257,7,FALSE)),"",(VLOOKUP($B223,'E-1 Off-Site Hedge Baseline'!$B$1:$L$257,7,FALSE))))</f>
        <v/>
      </c>
      <c r="H223" s="295" t="str">
        <f>IF(B223="","",IF(ISNA(VLOOKUP($B223,'E-1 Off-Site Hedge Baseline'!$B$1:$L$257,8,FALSE)),"",(VLOOKUP($B223,'E-1 Off-Site Hedge Baseline'!$B$1:$L$257,8,FALSE))))</f>
        <v/>
      </c>
      <c r="I223" s="295" t="str">
        <f>IF(B223="","",IF(ISNA(VLOOKUP($B223,'E-1 Off-Site Hedge Baseline'!$B$1:$L$257,10,FALSE)),"",(VLOOKUP($B223,'E-1 Off-Site Hedge Baseline'!$B$1:$L$257,10,FALSE))))</f>
        <v/>
      </c>
      <c r="J223" s="295" t="str">
        <f>IF(B223="","",IF(ISNA(VLOOKUP($B223,'E-1 Off-Site Hedge Baseline'!$B$1:$L$257,11,FALSE)),"",(VLOOKUP($B223,'E-1 Off-Site Hedge Baseline'!$B$1:$L$257,11,FALSE))))</f>
        <v/>
      </c>
      <c r="K223" s="295" t="str">
        <f>IF(B223="","",IF(ISNA(VLOOKUP($B223,'E-1 Off-Site Hedge Baseline'!$B$1:$X$257,16,FALSE)),"",(VLOOKUP($B223,'E-1 Off-Site Hedge Baseline'!$B$1:$X$257,16,FALSE))))</f>
        <v/>
      </c>
      <c r="L223" s="283" t="str">
        <f>IF(B223="","",IF(ISNA(VLOOKUP($B223,'E-1 Off-Site Hedge Baseline'!$B$1:$X$257,12,FALSE)),"",(VLOOKUP($B223,'E-1 Off-Site Hedge Baseline'!$B$1:$X$257,12,FALSE))))</f>
        <v/>
      </c>
      <c r="M223" s="244"/>
      <c r="N223" s="275" t="str">
        <f>IFERROR(IF(B223="","",INDEX('G-6 Hedgerow Data'!$AN$3:$AZ$15,MATCH(C223,'G-6 Hedgerow Data'!$AM$3:$AM$15,0),MATCH(M223,'G-6 Hedgerow Data'!$AN$2:$AZ$2,0))),"")</f>
        <v/>
      </c>
      <c r="O223" s="276" t="str">
        <f t="shared" si="25"/>
        <v/>
      </c>
      <c r="P223" s="281" t="str">
        <f>IF(B223="","",VLOOKUP(B223,'E-1 Off-Site Hedge Baseline'!$B$10:W468,19,FALSE))</f>
        <v/>
      </c>
      <c r="Q223" s="275" t="str">
        <f>IF(M223="","",VLOOKUP(M223,'G-6 Hedgerow Data'!$B$2:$AG$15,2,FALSE))</f>
        <v/>
      </c>
      <c r="R223" s="276" t="str">
        <f>IF(M223="","",VLOOKUP(M223,'G-6 Hedgerow Data'!$B$2:$AG$15,3,FALSE))</f>
        <v/>
      </c>
      <c r="S223" s="101"/>
      <c r="T223" s="276" t="str">
        <f>IFERROR(IF(S223="","",IF(AND(M223="Non-native and ornamental hedgerow",S223&lt;&gt;"Poor"),"Not possible ▲",(IF(AND(Q223="V.Low",OR(S223="Good",S223="Moderate")),"Error ▲",VLOOKUP(S223,'G-1 All Habitats'!$Z$2:$AA$9,2,FALSE))))),"")</f>
        <v/>
      </c>
      <c r="U223" s="101"/>
      <c r="V223" s="283" t="str">
        <f>IF(U223="","",IF(VLOOKUP(U223,'G-3 Multipliers'!$L$3:$N$6,2,FALSE)=0,"Spatial Data Missing ⚠",VLOOKUP(U223,'G-3 Multipliers'!$L$3:$N$6,2,FALSE)))</f>
        <v/>
      </c>
      <c r="W223" s="281" t="str">
        <f>IF(U223="","",IF(VLOOKUP(U223,'G-3 Multipliers'!$L$3:$N$6,3,FALSE)=0,"Spatial Data Missing ⚠",VLOOKUP(U223,'G-3 Multipliers'!$L$3:$N$6,3,FALSE)))</f>
        <v/>
      </c>
      <c r="X223" s="275" t="str">
        <f>IFERROR(IF(OR(LEFT(O223,5)="Error",LEFT(N223,5)="Error",T223="Error"),"Check Data ⚠",IF(F223&lt;R223,INDEX('G-6 Hedgerow Data'!$S$3:$AE$14,MATCH(C223,'G-6 Hedgerow Data'!$B$3:$B$14,0),MATCH(M223,'G-6 Hedgerow Data'!$S$2:$AE$2,0)),INDEX('G-6 Hedgerow Data'!$K$3:$Q$14,MATCH(M223,'G-6 Hedgerow Data'!$B$3:$B$14,0),MATCH(O223,'G-6 Hedgerow Data'!$K$2:$Q$2,0)))),"")</f>
        <v/>
      </c>
      <c r="Y223" s="133"/>
      <c r="Z223" s="133"/>
      <c r="AA223" s="283" t="str">
        <f t="shared" si="26"/>
        <v/>
      </c>
      <c r="AB223" s="296" t="str">
        <f t="shared" si="27"/>
        <v/>
      </c>
      <c r="AC223" s="297" t="str">
        <f t="shared" si="24"/>
        <v/>
      </c>
      <c r="AD223" s="311" t="str">
        <f>IF(M223="","",VLOOKUP(M223,'G-6 Hedgerow Data'!$B$3:$AG$15,31,FALSE))</f>
        <v/>
      </c>
      <c r="AE223" s="295" t="str">
        <f t="shared" si="28"/>
        <v/>
      </c>
      <c r="AF223" s="283" t="str">
        <f t="shared" si="29"/>
        <v/>
      </c>
      <c r="AG223" s="299" t="str">
        <f>IFERROR(IF(O223="","",VLOOKUP(AD223,'G-3 Multipliers'!$P$3:$Q$6,2,FALSE)),"")</f>
        <v/>
      </c>
      <c r="AH223" s="713" t="str">
        <f>IF(B223="","",IF(ISNA(VLOOKUP($B223,'E-1 Off-Site Hedge Baseline'!$B$1:$Z$257,14,FALSE)),"",(VLOOKUP($B223,'E-1 Off-Site Hedge Baseline'!$B$1:$Z$257,14,FALSE))))</f>
        <v/>
      </c>
      <c r="AI223" s="276" t="str">
        <f>IF(AH223="","",IF(VLOOKUP(AH223,'G-3 Multipliers'!$S$3:$T$10,2,FALSE)=0,"Spatial Data Missing ⚠",VLOOKUP(AH223,'G-3 Multipliers'!$S$3:$T$10,2,FALSE)))</f>
        <v/>
      </c>
      <c r="AJ223" s="317" t="str">
        <f t="shared" si="30"/>
        <v/>
      </c>
      <c r="AK223" s="289" t="str">
        <f t="shared" si="31"/>
        <v/>
      </c>
      <c r="AL223" s="101"/>
      <c r="AM223" s="115"/>
      <c r="AN223" s="104"/>
      <c r="AO223" s="104"/>
      <c r="AQ223" s="30" t="str">
        <f>IFERROR(INDEX('G-6 Hedgerow Data'!$BJ$3:$BJ$15,MATCH(M223,'G-6 Hedgerow Data'!$B$3:$B$15,0)),"")</f>
        <v/>
      </c>
    </row>
    <row r="224" spans="2:43" ht="14">
      <c r="B224" s="305" t="str">
        <f>'E-1 Off-Site Hedge Baseline'!AN222</f>
        <v/>
      </c>
      <c r="C224" s="295" t="str">
        <f>IF(B224="","",IF(ISNA(VLOOKUP($B224,'E-1 Off-Site Hedge Baseline'!$B$1:$L$257,3,FALSE)),"",(VLOOKUP($B224,'E-1 Off-Site Hedge Baseline'!$B$1:$L$257,3,FALSE))))</f>
        <v/>
      </c>
      <c r="D224" s="295" t="str">
        <f>IF(B224="","",IF(ISNA(VLOOKUP($B224,'E-1 Off-Site Hedge Baseline'!$B$1:$L$258,4,FALSE)),"",(VLOOKUP($B224,'E-1 Off-Site Hedge Baseline'!$B$1:$L$258,4,FALSE))))</f>
        <v/>
      </c>
      <c r="E224" s="295" t="str">
        <f>IF(B224="","",IF(ISNA(VLOOKUP($B224,'E-1 Off-Site Hedge Baseline'!$B$1:$L$257,5,FALSE)),"",(VLOOKUP($B224,'E-1 Off-Site Hedge Baseline'!$B$1:$L$257,5,FALSE))))</f>
        <v/>
      </c>
      <c r="F224" s="295" t="str">
        <f>IF(B224="","",IF(ISNA(VLOOKUP($B224,'E-1 Off-Site Hedge Baseline'!$B$1:$L$257,6,FALSE)),"",(VLOOKUP($B224,'E-1 Off-Site Hedge Baseline'!$B$1:$L$257,6,FALSE))))</f>
        <v/>
      </c>
      <c r="G224" s="295" t="str">
        <f>IF(B224="","",IF(ISNA(VLOOKUP($B224,'E-1 Off-Site Hedge Baseline'!$B$1:$L$257,7,FALSE)),"",(VLOOKUP($B224,'E-1 Off-Site Hedge Baseline'!$B$1:$L$257,7,FALSE))))</f>
        <v/>
      </c>
      <c r="H224" s="295" t="str">
        <f>IF(B224="","",IF(ISNA(VLOOKUP($B224,'E-1 Off-Site Hedge Baseline'!$B$1:$L$257,8,FALSE)),"",(VLOOKUP($B224,'E-1 Off-Site Hedge Baseline'!$B$1:$L$257,8,FALSE))))</f>
        <v/>
      </c>
      <c r="I224" s="295" t="str">
        <f>IF(B224="","",IF(ISNA(VLOOKUP($B224,'E-1 Off-Site Hedge Baseline'!$B$1:$L$257,10,FALSE)),"",(VLOOKUP($B224,'E-1 Off-Site Hedge Baseline'!$B$1:$L$257,10,FALSE))))</f>
        <v/>
      </c>
      <c r="J224" s="295" t="str">
        <f>IF(B224="","",IF(ISNA(VLOOKUP($B224,'E-1 Off-Site Hedge Baseline'!$B$1:$L$257,11,FALSE)),"",(VLOOKUP($B224,'E-1 Off-Site Hedge Baseline'!$B$1:$L$257,11,FALSE))))</f>
        <v/>
      </c>
      <c r="K224" s="295" t="str">
        <f>IF(B224="","",IF(ISNA(VLOOKUP($B224,'E-1 Off-Site Hedge Baseline'!$B$1:$X$257,16,FALSE)),"",(VLOOKUP($B224,'E-1 Off-Site Hedge Baseline'!$B$1:$X$257,16,FALSE))))</f>
        <v/>
      </c>
      <c r="L224" s="283" t="str">
        <f>IF(B224="","",IF(ISNA(VLOOKUP($B224,'E-1 Off-Site Hedge Baseline'!$B$1:$X$257,12,FALSE)),"",(VLOOKUP($B224,'E-1 Off-Site Hedge Baseline'!$B$1:$X$257,12,FALSE))))</f>
        <v/>
      </c>
      <c r="M224" s="244"/>
      <c r="N224" s="275" t="str">
        <f>IFERROR(IF(B224="","",INDEX('G-6 Hedgerow Data'!$AN$3:$AZ$15,MATCH(C224,'G-6 Hedgerow Data'!$AM$3:$AM$15,0),MATCH(M224,'G-6 Hedgerow Data'!$AN$2:$AZ$2,0))),"")</f>
        <v/>
      </c>
      <c r="O224" s="276" t="str">
        <f t="shared" si="25"/>
        <v/>
      </c>
      <c r="P224" s="281" t="str">
        <f>IF(B224="","",VLOOKUP(B224,'E-1 Off-Site Hedge Baseline'!$B$10:W469,19,FALSE))</f>
        <v/>
      </c>
      <c r="Q224" s="275" t="str">
        <f>IF(M224="","",VLOOKUP(M224,'G-6 Hedgerow Data'!$B$2:$AG$15,2,FALSE))</f>
        <v/>
      </c>
      <c r="R224" s="276" t="str">
        <f>IF(M224="","",VLOOKUP(M224,'G-6 Hedgerow Data'!$B$2:$AG$15,3,FALSE))</f>
        <v/>
      </c>
      <c r="S224" s="101"/>
      <c r="T224" s="276" t="str">
        <f>IFERROR(IF(S224="","",IF(AND(M224="Non-native and ornamental hedgerow",S224&lt;&gt;"Poor"),"Not possible ▲",(IF(AND(Q224="V.Low",OR(S224="Good",S224="Moderate")),"Error ▲",VLOOKUP(S224,'G-1 All Habitats'!$Z$2:$AA$9,2,FALSE))))),"")</f>
        <v/>
      </c>
      <c r="U224" s="101"/>
      <c r="V224" s="283" t="str">
        <f>IF(U224="","",IF(VLOOKUP(U224,'G-3 Multipliers'!$L$3:$N$6,2,FALSE)=0,"Spatial Data Missing ⚠",VLOOKUP(U224,'G-3 Multipliers'!$L$3:$N$6,2,FALSE)))</f>
        <v/>
      </c>
      <c r="W224" s="281" t="str">
        <f>IF(U224="","",IF(VLOOKUP(U224,'G-3 Multipliers'!$L$3:$N$6,3,FALSE)=0,"Spatial Data Missing ⚠",VLOOKUP(U224,'G-3 Multipliers'!$L$3:$N$6,3,FALSE)))</f>
        <v/>
      </c>
      <c r="X224" s="275" t="str">
        <f>IFERROR(IF(OR(LEFT(O224,5)="Error",LEFT(N224,5)="Error",T224="Error"),"Check Data ⚠",IF(F224&lt;R224,INDEX('G-6 Hedgerow Data'!$S$3:$AE$14,MATCH(C224,'G-6 Hedgerow Data'!$B$3:$B$14,0),MATCH(M224,'G-6 Hedgerow Data'!$S$2:$AE$2,0)),INDEX('G-6 Hedgerow Data'!$K$3:$Q$14,MATCH(M224,'G-6 Hedgerow Data'!$B$3:$B$14,0),MATCH(O224,'G-6 Hedgerow Data'!$K$2:$Q$2,0)))),"")</f>
        <v/>
      </c>
      <c r="Y224" s="133"/>
      <c r="Z224" s="133"/>
      <c r="AA224" s="283" t="str">
        <f t="shared" si="26"/>
        <v/>
      </c>
      <c r="AB224" s="296" t="str">
        <f t="shared" si="27"/>
        <v/>
      </c>
      <c r="AC224" s="297" t="str">
        <f t="shared" si="24"/>
        <v/>
      </c>
      <c r="AD224" s="311" t="str">
        <f>IF(M224="","",VLOOKUP(M224,'G-6 Hedgerow Data'!$B$3:$AG$15,31,FALSE))</f>
        <v/>
      </c>
      <c r="AE224" s="295" t="str">
        <f t="shared" si="28"/>
        <v/>
      </c>
      <c r="AF224" s="283" t="str">
        <f t="shared" si="29"/>
        <v/>
      </c>
      <c r="AG224" s="299" t="str">
        <f>IFERROR(IF(O224="","",VLOOKUP(AD224,'G-3 Multipliers'!$P$3:$Q$6,2,FALSE)),"")</f>
        <v/>
      </c>
      <c r="AH224" s="713" t="str">
        <f>IF(B224="","",IF(ISNA(VLOOKUP($B224,'E-1 Off-Site Hedge Baseline'!$B$1:$Z$257,14,FALSE)),"",(VLOOKUP($B224,'E-1 Off-Site Hedge Baseline'!$B$1:$Z$257,14,FALSE))))</f>
        <v/>
      </c>
      <c r="AI224" s="276" t="str">
        <f>IF(AH224="","",IF(VLOOKUP(AH224,'G-3 Multipliers'!$S$3:$T$10,2,FALSE)=0,"Spatial Data Missing ⚠",VLOOKUP(AH224,'G-3 Multipliers'!$S$3:$T$10,2,FALSE)))</f>
        <v/>
      </c>
      <c r="AJ224" s="317" t="str">
        <f t="shared" si="30"/>
        <v/>
      </c>
      <c r="AK224" s="289" t="str">
        <f t="shared" si="31"/>
        <v/>
      </c>
      <c r="AL224" s="101"/>
      <c r="AM224" s="115"/>
      <c r="AN224" s="104"/>
      <c r="AO224" s="104"/>
      <c r="AQ224" s="30" t="str">
        <f>IFERROR(INDEX('G-6 Hedgerow Data'!$BJ$3:$BJ$15,MATCH(M224,'G-6 Hedgerow Data'!$B$3:$B$15,0)),"")</f>
        <v/>
      </c>
    </row>
    <row r="225" spans="2:43" ht="14">
      <c r="B225" s="305" t="str">
        <f>'E-1 Off-Site Hedge Baseline'!AN223</f>
        <v/>
      </c>
      <c r="C225" s="295" t="str">
        <f>IF(B225="","",IF(ISNA(VLOOKUP($B225,'E-1 Off-Site Hedge Baseline'!$B$1:$L$257,3,FALSE)),"",(VLOOKUP($B225,'E-1 Off-Site Hedge Baseline'!$B$1:$L$257,3,FALSE))))</f>
        <v/>
      </c>
      <c r="D225" s="295" t="str">
        <f>IF(B225="","",IF(ISNA(VLOOKUP($B225,'E-1 Off-Site Hedge Baseline'!$B$1:$L$258,4,FALSE)),"",(VLOOKUP($B225,'E-1 Off-Site Hedge Baseline'!$B$1:$L$258,4,FALSE))))</f>
        <v/>
      </c>
      <c r="E225" s="295" t="str">
        <f>IF(B225="","",IF(ISNA(VLOOKUP($B225,'E-1 Off-Site Hedge Baseline'!$B$1:$L$257,5,FALSE)),"",(VLOOKUP($B225,'E-1 Off-Site Hedge Baseline'!$B$1:$L$257,5,FALSE))))</f>
        <v/>
      </c>
      <c r="F225" s="295" t="str">
        <f>IF(B225="","",IF(ISNA(VLOOKUP($B225,'E-1 Off-Site Hedge Baseline'!$B$1:$L$257,6,FALSE)),"",(VLOOKUP($B225,'E-1 Off-Site Hedge Baseline'!$B$1:$L$257,6,FALSE))))</f>
        <v/>
      </c>
      <c r="G225" s="295" t="str">
        <f>IF(B225="","",IF(ISNA(VLOOKUP($B225,'E-1 Off-Site Hedge Baseline'!$B$1:$L$257,7,FALSE)),"",(VLOOKUP($B225,'E-1 Off-Site Hedge Baseline'!$B$1:$L$257,7,FALSE))))</f>
        <v/>
      </c>
      <c r="H225" s="295" t="str">
        <f>IF(B225="","",IF(ISNA(VLOOKUP($B225,'E-1 Off-Site Hedge Baseline'!$B$1:$L$257,8,FALSE)),"",(VLOOKUP($B225,'E-1 Off-Site Hedge Baseline'!$B$1:$L$257,8,FALSE))))</f>
        <v/>
      </c>
      <c r="I225" s="295" t="str">
        <f>IF(B225="","",IF(ISNA(VLOOKUP($B225,'E-1 Off-Site Hedge Baseline'!$B$1:$L$257,10,FALSE)),"",(VLOOKUP($B225,'E-1 Off-Site Hedge Baseline'!$B$1:$L$257,10,FALSE))))</f>
        <v/>
      </c>
      <c r="J225" s="295" t="str">
        <f>IF(B225="","",IF(ISNA(VLOOKUP($B225,'E-1 Off-Site Hedge Baseline'!$B$1:$L$257,11,FALSE)),"",(VLOOKUP($B225,'E-1 Off-Site Hedge Baseline'!$B$1:$L$257,11,FALSE))))</f>
        <v/>
      </c>
      <c r="K225" s="295" t="str">
        <f>IF(B225="","",IF(ISNA(VLOOKUP($B225,'E-1 Off-Site Hedge Baseline'!$B$1:$X$257,16,FALSE)),"",(VLOOKUP($B225,'E-1 Off-Site Hedge Baseline'!$B$1:$X$257,16,FALSE))))</f>
        <v/>
      </c>
      <c r="L225" s="283" t="str">
        <f>IF(B225="","",IF(ISNA(VLOOKUP($B225,'E-1 Off-Site Hedge Baseline'!$B$1:$X$257,12,FALSE)),"",(VLOOKUP($B225,'E-1 Off-Site Hedge Baseline'!$B$1:$X$257,12,FALSE))))</f>
        <v/>
      </c>
      <c r="M225" s="244"/>
      <c r="N225" s="275" t="str">
        <f>IFERROR(IF(B225="","",INDEX('G-6 Hedgerow Data'!$AN$3:$AZ$15,MATCH(C225,'G-6 Hedgerow Data'!$AM$3:$AM$15,0),MATCH(M225,'G-6 Hedgerow Data'!$AN$2:$AZ$2,0))),"")</f>
        <v/>
      </c>
      <c r="O225" s="276" t="str">
        <f t="shared" si="25"/>
        <v/>
      </c>
      <c r="P225" s="281" t="str">
        <f>IF(B225="","",VLOOKUP(B225,'E-1 Off-Site Hedge Baseline'!$B$10:W470,19,FALSE))</f>
        <v/>
      </c>
      <c r="Q225" s="275" t="str">
        <f>IF(M225="","",VLOOKUP(M225,'G-6 Hedgerow Data'!$B$2:$AG$15,2,FALSE))</f>
        <v/>
      </c>
      <c r="R225" s="276" t="str">
        <f>IF(M225="","",VLOOKUP(M225,'G-6 Hedgerow Data'!$B$2:$AG$15,3,FALSE))</f>
        <v/>
      </c>
      <c r="S225" s="101"/>
      <c r="T225" s="276" t="str">
        <f>IFERROR(IF(S225="","",IF(AND(M225="Non-native and ornamental hedgerow",S225&lt;&gt;"Poor"),"Not possible ▲",(IF(AND(Q225="V.Low",OR(S225="Good",S225="Moderate")),"Error ▲",VLOOKUP(S225,'G-1 All Habitats'!$Z$2:$AA$9,2,FALSE))))),"")</f>
        <v/>
      </c>
      <c r="U225" s="101"/>
      <c r="V225" s="283" t="str">
        <f>IF(U225="","",IF(VLOOKUP(U225,'G-3 Multipliers'!$L$3:$N$6,2,FALSE)=0,"Spatial Data Missing ⚠",VLOOKUP(U225,'G-3 Multipliers'!$L$3:$N$6,2,FALSE)))</f>
        <v/>
      </c>
      <c r="W225" s="281" t="str">
        <f>IF(U225="","",IF(VLOOKUP(U225,'G-3 Multipliers'!$L$3:$N$6,3,FALSE)=0,"Spatial Data Missing ⚠",VLOOKUP(U225,'G-3 Multipliers'!$L$3:$N$6,3,FALSE)))</f>
        <v/>
      </c>
      <c r="X225" s="275" t="str">
        <f>IFERROR(IF(OR(LEFT(O225,5)="Error",LEFT(N225,5)="Error",T225="Error"),"Check Data ⚠",IF(F225&lt;R225,INDEX('G-6 Hedgerow Data'!$S$3:$AE$14,MATCH(C225,'G-6 Hedgerow Data'!$B$3:$B$14,0),MATCH(M225,'G-6 Hedgerow Data'!$S$2:$AE$2,0)),INDEX('G-6 Hedgerow Data'!$K$3:$Q$14,MATCH(M225,'G-6 Hedgerow Data'!$B$3:$B$14,0),MATCH(O225,'G-6 Hedgerow Data'!$K$2:$Q$2,0)))),"")</f>
        <v/>
      </c>
      <c r="Y225" s="133"/>
      <c r="Z225" s="133"/>
      <c r="AA225" s="283" t="str">
        <f t="shared" si="26"/>
        <v/>
      </c>
      <c r="AB225" s="296" t="str">
        <f t="shared" si="27"/>
        <v/>
      </c>
      <c r="AC225" s="297" t="str">
        <f t="shared" si="24"/>
        <v/>
      </c>
      <c r="AD225" s="311" t="str">
        <f>IF(M225="","",VLOOKUP(M225,'G-6 Hedgerow Data'!$B$3:$AG$15,31,FALSE))</f>
        <v/>
      </c>
      <c r="AE225" s="295" t="str">
        <f t="shared" si="28"/>
        <v/>
      </c>
      <c r="AF225" s="283" t="str">
        <f t="shared" si="29"/>
        <v/>
      </c>
      <c r="AG225" s="299" t="str">
        <f>IFERROR(IF(O225="","",VLOOKUP(AD225,'G-3 Multipliers'!$P$3:$Q$6,2,FALSE)),"")</f>
        <v/>
      </c>
      <c r="AH225" s="713" t="str">
        <f>IF(B225="","",IF(ISNA(VLOOKUP($B225,'E-1 Off-Site Hedge Baseline'!$B$1:$Z$257,14,FALSE)),"",(VLOOKUP($B225,'E-1 Off-Site Hedge Baseline'!$B$1:$Z$257,14,FALSE))))</f>
        <v/>
      </c>
      <c r="AI225" s="276" t="str">
        <f>IF(AH225="","",IF(VLOOKUP(AH225,'G-3 Multipliers'!$S$3:$T$10,2,FALSE)=0,"Spatial Data Missing ⚠",VLOOKUP(AH225,'G-3 Multipliers'!$S$3:$T$10,2,FALSE)))</f>
        <v/>
      </c>
      <c r="AJ225" s="317" t="str">
        <f t="shared" si="30"/>
        <v/>
      </c>
      <c r="AK225" s="289" t="str">
        <f t="shared" si="31"/>
        <v/>
      </c>
      <c r="AL225" s="101"/>
      <c r="AM225" s="115"/>
      <c r="AN225" s="104"/>
      <c r="AO225" s="104"/>
      <c r="AQ225" s="30" t="str">
        <f>IFERROR(INDEX('G-6 Hedgerow Data'!$BJ$3:$BJ$15,MATCH(M225,'G-6 Hedgerow Data'!$B$3:$B$15,0)),"")</f>
        <v/>
      </c>
    </row>
    <row r="226" spans="2:43" ht="14">
      <c r="B226" s="305" t="str">
        <f>'E-1 Off-Site Hedge Baseline'!AN224</f>
        <v/>
      </c>
      <c r="C226" s="295" t="str">
        <f>IF(B226="","",IF(ISNA(VLOOKUP($B226,'E-1 Off-Site Hedge Baseline'!$B$1:$L$257,3,FALSE)),"",(VLOOKUP($B226,'E-1 Off-Site Hedge Baseline'!$B$1:$L$257,3,FALSE))))</f>
        <v/>
      </c>
      <c r="D226" s="295" t="str">
        <f>IF(B226="","",IF(ISNA(VLOOKUP($B226,'E-1 Off-Site Hedge Baseline'!$B$1:$L$258,4,FALSE)),"",(VLOOKUP($B226,'E-1 Off-Site Hedge Baseline'!$B$1:$L$258,4,FALSE))))</f>
        <v/>
      </c>
      <c r="E226" s="295" t="str">
        <f>IF(B226="","",IF(ISNA(VLOOKUP($B226,'E-1 Off-Site Hedge Baseline'!$B$1:$L$257,5,FALSE)),"",(VLOOKUP($B226,'E-1 Off-Site Hedge Baseline'!$B$1:$L$257,5,FALSE))))</f>
        <v/>
      </c>
      <c r="F226" s="295" t="str">
        <f>IF(B226="","",IF(ISNA(VLOOKUP($B226,'E-1 Off-Site Hedge Baseline'!$B$1:$L$257,6,FALSE)),"",(VLOOKUP($B226,'E-1 Off-Site Hedge Baseline'!$B$1:$L$257,6,FALSE))))</f>
        <v/>
      </c>
      <c r="G226" s="295" t="str">
        <f>IF(B226="","",IF(ISNA(VLOOKUP($B226,'E-1 Off-Site Hedge Baseline'!$B$1:$L$257,7,FALSE)),"",(VLOOKUP($B226,'E-1 Off-Site Hedge Baseline'!$B$1:$L$257,7,FALSE))))</f>
        <v/>
      </c>
      <c r="H226" s="295" t="str">
        <f>IF(B226="","",IF(ISNA(VLOOKUP($B226,'E-1 Off-Site Hedge Baseline'!$B$1:$L$257,8,FALSE)),"",(VLOOKUP($B226,'E-1 Off-Site Hedge Baseline'!$B$1:$L$257,8,FALSE))))</f>
        <v/>
      </c>
      <c r="I226" s="295" t="str">
        <f>IF(B226="","",IF(ISNA(VLOOKUP($B226,'E-1 Off-Site Hedge Baseline'!$B$1:$L$257,10,FALSE)),"",(VLOOKUP($B226,'E-1 Off-Site Hedge Baseline'!$B$1:$L$257,10,FALSE))))</f>
        <v/>
      </c>
      <c r="J226" s="295" t="str">
        <f>IF(B226="","",IF(ISNA(VLOOKUP($B226,'E-1 Off-Site Hedge Baseline'!$B$1:$L$257,11,FALSE)),"",(VLOOKUP($B226,'E-1 Off-Site Hedge Baseline'!$B$1:$L$257,11,FALSE))))</f>
        <v/>
      </c>
      <c r="K226" s="295" t="str">
        <f>IF(B226="","",IF(ISNA(VLOOKUP($B226,'E-1 Off-Site Hedge Baseline'!$B$1:$X$257,16,FALSE)),"",(VLOOKUP($B226,'E-1 Off-Site Hedge Baseline'!$B$1:$X$257,16,FALSE))))</f>
        <v/>
      </c>
      <c r="L226" s="283" t="str">
        <f>IF(B226="","",IF(ISNA(VLOOKUP($B226,'E-1 Off-Site Hedge Baseline'!$B$1:$X$257,12,FALSE)),"",(VLOOKUP($B226,'E-1 Off-Site Hedge Baseline'!$B$1:$X$257,12,FALSE))))</f>
        <v/>
      </c>
      <c r="M226" s="244"/>
      <c r="N226" s="275" t="str">
        <f>IFERROR(IF(B226="","",INDEX('G-6 Hedgerow Data'!$AN$3:$AZ$15,MATCH(C226,'G-6 Hedgerow Data'!$AM$3:$AM$15,0),MATCH(M226,'G-6 Hedgerow Data'!$AN$2:$AZ$2,0))),"")</f>
        <v/>
      </c>
      <c r="O226" s="276" t="str">
        <f t="shared" si="25"/>
        <v/>
      </c>
      <c r="P226" s="281" t="str">
        <f>IF(B226="","",VLOOKUP(B226,'E-1 Off-Site Hedge Baseline'!$B$10:W471,19,FALSE))</f>
        <v/>
      </c>
      <c r="Q226" s="275" t="str">
        <f>IF(M226="","",VLOOKUP(M226,'G-6 Hedgerow Data'!$B$2:$AG$15,2,FALSE))</f>
        <v/>
      </c>
      <c r="R226" s="276" t="str">
        <f>IF(M226="","",VLOOKUP(M226,'G-6 Hedgerow Data'!$B$2:$AG$15,3,FALSE))</f>
        <v/>
      </c>
      <c r="S226" s="101"/>
      <c r="T226" s="276" t="str">
        <f>IFERROR(IF(S226="","",IF(AND(M226="Non-native and ornamental hedgerow",S226&lt;&gt;"Poor"),"Not possible ▲",(IF(AND(Q226="V.Low",OR(S226="Good",S226="Moderate")),"Error ▲",VLOOKUP(S226,'G-1 All Habitats'!$Z$2:$AA$9,2,FALSE))))),"")</f>
        <v/>
      </c>
      <c r="U226" s="101"/>
      <c r="V226" s="283" t="str">
        <f>IF(U226="","",IF(VLOOKUP(U226,'G-3 Multipliers'!$L$3:$N$6,2,FALSE)=0,"Spatial Data Missing ⚠",VLOOKUP(U226,'G-3 Multipliers'!$L$3:$N$6,2,FALSE)))</f>
        <v/>
      </c>
      <c r="W226" s="281" t="str">
        <f>IF(U226="","",IF(VLOOKUP(U226,'G-3 Multipliers'!$L$3:$N$6,3,FALSE)=0,"Spatial Data Missing ⚠",VLOOKUP(U226,'G-3 Multipliers'!$L$3:$N$6,3,FALSE)))</f>
        <v/>
      </c>
      <c r="X226" s="275" t="str">
        <f>IFERROR(IF(OR(LEFT(O226,5)="Error",LEFT(N226,5)="Error",T226="Error"),"Check Data ⚠",IF(F226&lt;R226,INDEX('G-6 Hedgerow Data'!$S$3:$AE$14,MATCH(C226,'G-6 Hedgerow Data'!$B$3:$B$14,0),MATCH(M226,'G-6 Hedgerow Data'!$S$2:$AE$2,0)),INDEX('G-6 Hedgerow Data'!$K$3:$Q$14,MATCH(M226,'G-6 Hedgerow Data'!$B$3:$B$14,0),MATCH(O226,'G-6 Hedgerow Data'!$K$2:$Q$2,0)))),"")</f>
        <v/>
      </c>
      <c r="Y226" s="133"/>
      <c r="Z226" s="133"/>
      <c r="AA226" s="283" t="str">
        <f t="shared" si="26"/>
        <v/>
      </c>
      <c r="AB226" s="296" t="str">
        <f t="shared" si="27"/>
        <v/>
      </c>
      <c r="AC226" s="297" t="str">
        <f t="shared" si="24"/>
        <v/>
      </c>
      <c r="AD226" s="311" t="str">
        <f>IF(M226="","",VLOOKUP(M226,'G-6 Hedgerow Data'!$B$3:$AG$15,31,FALSE))</f>
        <v/>
      </c>
      <c r="AE226" s="295" t="str">
        <f t="shared" si="28"/>
        <v/>
      </c>
      <c r="AF226" s="283" t="str">
        <f t="shared" si="29"/>
        <v/>
      </c>
      <c r="AG226" s="299" t="str">
        <f>IFERROR(IF(O226="","",VLOOKUP(AD226,'G-3 Multipliers'!$P$3:$Q$6,2,FALSE)),"")</f>
        <v/>
      </c>
      <c r="AH226" s="713" t="str">
        <f>IF(B226="","",IF(ISNA(VLOOKUP($B226,'E-1 Off-Site Hedge Baseline'!$B$1:$Z$257,14,FALSE)),"",(VLOOKUP($B226,'E-1 Off-Site Hedge Baseline'!$B$1:$Z$257,14,FALSE))))</f>
        <v/>
      </c>
      <c r="AI226" s="276" t="str">
        <f>IF(AH226="","",IF(VLOOKUP(AH226,'G-3 Multipliers'!$S$3:$T$10,2,FALSE)=0,"Spatial Data Missing ⚠",VLOOKUP(AH226,'G-3 Multipliers'!$S$3:$T$10,2,FALSE)))</f>
        <v/>
      </c>
      <c r="AJ226" s="317" t="str">
        <f t="shared" si="30"/>
        <v/>
      </c>
      <c r="AK226" s="289" t="str">
        <f t="shared" si="31"/>
        <v/>
      </c>
      <c r="AL226" s="101"/>
      <c r="AM226" s="115"/>
      <c r="AN226" s="104"/>
      <c r="AO226" s="104"/>
      <c r="AQ226" s="30" t="str">
        <f>IFERROR(INDEX('G-6 Hedgerow Data'!$BJ$3:$BJ$15,MATCH(M226,'G-6 Hedgerow Data'!$B$3:$B$15,0)),"")</f>
        <v/>
      </c>
    </row>
    <row r="227" spans="2:43" ht="14">
      <c r="B227" s="305" t="str">
        <f>'E-1 Off-Site Hedge Baseline'!AN225</f>
        <v/>
      </c>
      <c r="C227" s="295" t="str">
        <f>IF(B227="","",IF(ISNA(VLOOKUP($B227,'E-1 Off-Site Hedge Baseline'!$B$1:$L$257,3,FALSE)),"",(VLOOKUP($B227,'E-1 Off-Site Hedge Baseline'!$B$1:$L$257,3,FALSE))))</f>
        <v/>
      </c>
      <c r="D227" s="295" t="str">
        <f>IF(B227="","",IF(ISNA(VLOOKUP($B227,'E-1 Off-Site Hedge Baseline'!$B$1:$L$258,4,FALSE)),"",(VLOOKUP($B227,'E-1 Off-Site Hedge Baseline'!$B$1:$L$258,4,FALSE))))</f>
        <v/>
      </c>
      <c r="E227" s="295" t="str">
        <f>IF(B227="","",IF(ISNA(VLOOKUP($B227,'E-1 Off-Site Hedge Baseline'!$B$1:$L$257,5,FALSE)),"",(VLOOKUP($B227,'E-1 Off-Site Hedge Baseline'!$B$1:$L$257,5,FALSE))))</f>
        <v/>
      </c>
      <c r="F227" s="295" t="str">
        <f>IF(B227="","",IF(ISNA(VLOOKUP($B227,'E-1 Off-Site Hedge Baseline'!$B$1:$L$257,6,FALSE)),"",(VLOOKUP($B227,'E-1 Off-Site Hedge Baseline'!$B$1:$L$257,6,FALSE))))</f>
        <v/>
      </c>
      <c r="G227" s="295" t="str">
        <f>IF(B227="","",IF(ISNA(VLOOKUP($B227,'E-1 Off-Site Hedge Baseline'!$B$1:$L$257,7,FALSE)),"",(VLOOKUP($B227,'E-1 Off-Site Hedge Baseline'!$B$1:$L$257,7,FALSE))))</f>
        <v/>
      </c>
      <c r="H227" s="295" t="str">
        <f>IF(B227="","",IF(ISNA(VLOOKUP($B227,'E-1 Off-Site Hedge Baseline'!$B$1:$L$257,8,FALSE)),"",(VLOOKUP($B227,'E-1 Off-Site Hedge Baseline'!$B$1:$L$257,8,FALSE))))</f>
        <v/>
      </c>
      <c r="I227" s="295" t="str">
        <f>IF(B227="","",IF(ISNA(VLOOKUP($B227,'E-1 Off-Site Hedge Baseline'!$B$1:$L$257,10,FALSE)),"",(VLOOKUP($B227,'E-1 Off-Site Hedge Baseline'!$B$1:$L$257,10,FALSE))))</f>
        <v/>
      </c>
      <c r="J227" s="295" t="str">
        <f>IF(B227="","",IF(ISNA(VLOOKUP($B227,'E-1 Off-Site Hedge Baseline'!$B$1:$L$257,11,FALSE)),"",(VLOOKUP($B227,'E-1 Off-Site Hedge Baseline'!$B$1:$L$257,11,FALSE))))</f>
        <v/>
      </c>
      <c r="K227" s="295" t="str">
        <f>IF(B227="","",IF(ISNA(VLOOKUP($B227,'E-1 Off-Site Hedge Baseline'!$B$1:$X$257,16,FALSE)),"",(VLOOKUP($B227,'E-1 Off-Site Hedge Baseline'!$B$1:$X$257,16,FALSE))))</f>
        <v/>
      </c>
      <c r="L227" s="283" t="str">
        <f>IF(B227="","",IF(ISNA(VLOOKUP($B227,'E-1 Off-Site Hedge Baseline'!$B$1:$X$257,12,FALSE)),"",(VLOOKUP($B227,'E-1 Off-Site Hedge Baseline'!$B$1:$X$257,12,FALSE))))</f>
        <v/>
      </c>
      <c r="M227" s="244"/>
      <c r="N227" s="275" t="str">
        <f>IFERROR(IF(B227="","",INDEX('G-6 Hedgerow Data'!$AN$3:$AZ$15,MATCH(C227,'G-6 Hedgerow Data'!$AM$3:$AM$15,0),MATCH(M227,'G-6 Hedgerow Data'!$AN$2:$AZ$2,0))),"")</f>
        <v/>
      </c>
      <c r="O227" s="276" t="str">
        <f t="shared" si="25"/>
        <v/>
      </c>
      <c r="P227" s="281" t="str">
        <f>IF(B227="","",VLOOKUP(B227,'E-1 Off-Site Hedge Baseline'!$B$10:W472,19,FALSE))</f>
        <v/>
      </c>
      <c r="Q227" s="275" t="str">
        <f>IF(M227="","",VLOOKUP(M227,'G-6 Hedgerow Data'!$B$2:$AG$15,2,FALSE))</f>
        <v/>
      </c>
      <c r="R227" s="276" t="str">
        <f>IF(M227="","",VLOOKUP(M227,'G-6 Hedgerow Data'!$B$2:$AG$15,3,FALSE))</f>
        <v/>
      </c>
      <c r="S227" s="101"/>
      <c r="T227" s="276" t="str">
        <f>IFERROR(IF(S227="","",IF(AND(M227="Non-native and ornamental hedgerow",S227&lt;&gt;"Poor"),"Not possible ▲",(IF(AND(Q227="V.Low",OR(S227="Good",S227="Moderate")),"Error ▲",VLOOKUP(S227,'G-1 All Habitats'!$Z$2:$AA$9,2,FALSE))))),"")</f>
        <v/>
      </c>
      <c r="U227" s="101"/>
      <c r="V227" s="283" t="str">
        <f>IF(U227="","",IF(VLOOKUP(U227,'G-3 Multipliers'!$L$3:$N$6,2,FALSE)=0,"Spatial Data Missing ⚠",VLOOKUP(U227,'G-3 Multipliers'!$L$3:$N$6,2,FALSE)))</f>
        <v/>
      </c>
      <c r="W227" s="281" t="str">
        <f>IF(U227="","",IF(VLOOKUP(U227,'G-3 Multipliers'!$L$3:$N$6,3,FALSE)=0,"Spatial Data Missing ⚠",VLOOKUP(U227,'G-3 Multipliers'!$L$3:$N$6,3,FALSE)))</f>
        <v/>
      </c>
      <c r="X227" s="275" t="str">
        <f>IFERROR(IF(OR(LEFT(O227,5)="Error",LEFT(N227,5)="Error",T227="Error"),"Check Data ⚠",IF(F227&lt;R227,INDEX('G-6 Hedgerow Data'!$S$3:$AE$14,MATCH(C227,'G-6 Hedgerow Data'!$B$3:$B$14,0),MATCH(M227,'G-6 Hedgerow Data'!$S$2:$AE$2,0)),INDEX('G-6 Hedgerow Data'!$K$3:$Q$14,MATCH(M227,'G-6 Hedgerow Data'!$B$3:$B$14,0),MATCH(O227,'G-6 Hedgerow Data'!$K$2:$Q$2,0)))),"")</f>
        <v/>
      </c>
      <c r="Y227" s="133"/>
      <c r="Z227" s="133"/>
      <c r="AA227" s="283" t="str">
        <f t="shared" si="26"/>
        <v/>
      </c>
      <c r="AB227" s="296" t="str">
        <f t="shared" si="27"/>
        <v/>
      </c>
      <c r="AC227" s="297" t="str">
        <f t="shared" si="24"/>
        <v/>
      </c>
      <c r="AD227" s="311" t="str">
        <f>IF(M227="","",VLOOKUP(M227,'G-6 Hedgerow Data'!$B$3:$AG$15,31,FALSE))</f>
        <v/>
      </c>
      <c r="AE227" s="295" t="str">
        <f t="shared" si="28"/>
        <v/>
      </c>
      <c r="AF227" s="283" t="str">
        <f t="shared" si="29"/>
        <v/>
      </c>
      <c r="AG227" s="299" t="str">
        <f>IFERROR(IF(O227="","",VLOOKUP(AD227,'G-3 Multipliers'!$P$3:$Q$6,2,FALSE)),"")</f>
        <v/>
      </c>
      <c r="AH227" s="713" t="str">
        <f>IF(B227="","",IF(ISNA(VLOOKUP($B227,'E-1 Off-Site Hedge Baseline'!$B$1:$Z$257,14,FALSE)),"",(VLOOKUP($B227,'E-1 Off-Site Hedge Baseline'!$B$1:$Z$257,14,FALSE))))</f>
        <v/>
      </c>
      <c r="AI227" s="276" t="str">
        <f>IF(AH227="","",IF(VLOOKUP(AH227,'G-3 Multipliers'!$S$3:$T$10,2,FALSE)=0,"Spatial Data Missing ⚠",VLOOKUP(AH227,'G-3 Multipliers'!$S$3:$T$10,2,FALSE)))</f>
        <v/>
      </c>
      <c r="AJ227" s="317" t="str">
        <f t="shared" si="30"/>
        <v/>
      </c>
      <c r="AK227" s="289" t="str">
        <f t="shared" si="31"/>
        <v/>
      </c>
      <c r="AL227" s="101"/>
      <c r="AM227" s="115"/>
      <c r="AN227" s="104"/>
      <c r="AO227" s="104"/>
      <c r="AQ227" s="30" t="str">
        <f>IFERROR(INDEX('G-6 Hedgerow Data'!$BJ$3:$BJ$15,MATCH(M227,'G-6 Hedgerow Data'!$B$3:$B$15,0)),"")</f>
        <v/>
      </c>
    </row>
    <row r="228" spans="2:43" ht="14">
      <c r="B228" s="305" t="str">
        <f>'E-1 Off-Site Hedge Baseline'!AN226</f>
        <v/>
      </c>
      <c r="C228" s="295" t="str">
        <f>IF(B228="","",IF(ISNA(VLOOKUP($B228,'E-1 Off-Site Hedge Baseline'!$B$1:$L$257,3,FALSE)),"",(VLOOKUP($B228,'E-1 Off-Site Hedge Baseline'!$B$1:$L$257,3,FALSE))))</f>
        <v/>
      </c>
      <c r="D228" s="295" t="str">
        <f>IF(B228="","",IF(ISNA(VLOOKUP($B228,'E-1 Off-Site Hedge Baseline'!$B$1:$L$258,4,FALSE)),"",(VLOOKUP($B228,'E-1 Off-Site Hedge Baseline'!$B$1:$L$258,4,FALSE))))</f>
        <v/>
      </c>
      <c r="E228" s="295" t="str">
        <f>IF(B228="","",IF(ISNA(VLOOKUP($B228,'E-1 Off-Site Hedge Baseline'!$B$1:$L$257,5,FALSE)),"",(VLOOKUP($B228,'E-1 Off-Site Hedge Baseline'!$B$1:$L$257,5,FALSE))))</f>
        <v/>
      </c>
      <c r="F228" s="295" t="str">
        <f>IF(B228="","",IF(ISNA(VLOOKUP($B228,'E-1 Off-Site Hedge Baseline'!$B$1:$L$257,6,FALSE)),"",(VLOOKUP($B228,'E-1 Off-Site Hedge Baseline'!$B$1:$L$257,6,FALSE))))</f>
        <v/>
      </c>
      <c r="G228" s="295" t="str">
        <f>IF(B228="","",IF(ISNA(VLOOKUP($B228,'E-1 Off-Site Hedge Baseline'!$B$1:$L$257,7,FALSE)),"",(VLOOKUP($B228,'E-1 Off-Site Hedge Baseline'!$B$1:$L$257,7,FALSE))))</f>
        <v/>
      </c>
      <c r="H228" s="295" t="str">
        <f>IF(B228="","",IF(ISNA(VLOOKUP($B228,'E-1 Off-Site Hedge Baseline'!$B$1:$L$257,8,FALSE)),"",(VLOOKUP($B228,'E-1 Off-Site Hedge Baseline'!$B$1:$L$257,8,FALSE))))</f>
        <v/>
      </c>
      <c r="I228" s="295" t="str">
        <f>IF(B228="","",IF(ISNA(VLOOKUP($B228,'E-1 Off-Site Hedge Baseline'!$B$1:$L$257,10,FALSE)),"",(VLOOKUP($B228,'E-1 Off-Site Hedge Baseline'!$B$1:$L$257,10,FALSE))))</f>
        <v/>
      </c>
      <c r="J228" s="295" t="str">
        <f>IF(B228="","",IF(ISNA(VLOOKUP($B228,'E-1 Off-Site Hedge Baseline'!$B$1:$L$257,11,FALSE)),"",(VLOOKUP($B228,'E-1 Off-Site Hedge Baseline'!$B$1:$L$257,11,FALSE))))</f>
        <v/>
      </c>
      <c r="K228" s="295" t="str">
        <f>IF(B228="","",IF(ISNA(VLOOKUP($B228,'E-1 Off-Site Hedge Baseline'!$B$1:$X$257,16,FALSE)),"",(VLOOKUP($B228,'E-1 Off-Site Hedge Baseline'!$B$1:$X$257,16,FALSE))))</f>
        <v/>
      </c>
      <c r="L228" s="283" t="str">
        <f>IF(B228="","",IF(ISNA(VLOOKUP($B228,'E-1 Off-Site Hedge Baseline'!$B$1:$X$257,12,FALSE)),"",(VLOOKUP($B228,'E-1 Off-Site Hedge Baseline'!$B$1:$X$257,12,FALSE))))</f>
        <v/>
      </c>
      <c r="M228" s="244"/>
      <c r="N228" s="275" t="str">
        <f>IFERROR(IF(B228="","",INDEX('G-6 Hedgerow Data'!$AN$3:$AZ$15,MATCH(C228,'G-6 Hedgerow Data'!$AM$3:$AM$15,0),MATCH(M228,'G-6 Hedgerow Data'!$AN$2:$AZ$2,0))),"")</f>
        <v/>
      </c>
      <c r="O228" s="276" t="str">
        <f t="shared" si="25"/>
        <v/>
      </c>
      <c r="P228" s="281" t="str">
        <f>IF(B228="","",VLOOKUP(B228,'E-1 Off-Site Hedge Baseline'!$B$10:W473,19,FALSE))</f>
        <v/>
      </c>
      <c r="Q228" s="275" t="str">
        <f>IF(M228="","",VLOOKUP(M228,'G-6 Hedgerow Data'!$B$2:$AG$15,2,FALSE))</f>
        <v/>
      </c>
      <c r="R228" s="276" t="str">
        <f>IF(M228="","",VLOOKUP(M228,'G-6 Hedgerow Data'!$B$2:$AG$15,3,FALSE))</f>
        <v/>
      </c>
      <c r="S228" s="101"/>
      <c r="T228" s="276" t="str">
        <f>IFERROR(IF(S228="","",IF(AND(M228="Non-native and ornamental hedgerow",S228&lt;&gt;"Poor"),"Not possible ▲",(IF(AND(Q228="V.Low",OR(S228="Good",S228="Moderate")),"Error ▲",VLOOKUP(S228,'G-1 All Habitats'!$Z$2:$AA$9,2,FALSE))))),"")</f>
        <v/>
      </c>
      <c r="U228" s="101"/>
      <c r="V228" s="283" t="str">
        <f>IF(U228="","",IF(VLOOKUP(U228,'G-3 Multipliers'!$L$3:$N$6,2,FALSE)=0,"Spatial Data Missing ⚠",VLOOKUP(U228,'G-3 Multipliers'!$L$3:$N$6,2,FALSE)))</f>
        <v/>
      </c>
      <c r="W228" s="281" t="str">
        <f>IF(U228="","",IF(VLOOKUP(U228,'G-3 Multipliers'!$L$3:$N$6,3,FALSE)=0,"Spatial Data Missing ⚠",VLOOKUP(U228,'G-3 Multipliers'!$L$3:$N$6,3,FALSE)))</f>
        <v/>
      </c>
      <c r="X228" s="275" t="str">
        <f>IFERROR(IF(OR(LEFT(O228,5)="Error",LEFT(N228,5)="Error",T228="Error"),"Check Data ⚠",IF(F228&lt;R228,INDEX('G-6 Hedgerow Data'!$S$3:$AE$14,MATCH(C228,'G-6 Hedgerow Data'!$B$3:$B$14,0),MATCH(M228,'G-6 Hedgerow Data'!$S$2:$AE$2,0)),INDEX('G-6 Hedgerow Data'!$K$3:$Q$14,MATCH(M228,'G-6 Hedgerow Data'!$B$3:$B$14,0),MATCH(O228,'G-6 Hedgerow Data'!$K$2:$Q$2,0)))),"")</f>
        <v/>
      </c>
      <c r="Y228" s="133"/>
      <c r="Z228" s="133"/>
      <c r="AA228" s="283" t="str">
        <f t="shared" si="26"/>
        <v/>
      </c>
      <c r="AB228" s="296" t="str">
        <f t="shared" si="27"/>
        <v/>
      </c>
      <c r="AC228" s="297" t="str">
        <f t="shared" si="24"/>
        <v/>
      </c>
      <c r="AD228" s="311" t="str">
        <f>IF(M228="","",VLOOKUP(M228,'G-6 Hedgerow Data'!$B$3:$AG$15,31,FALSE))</f>
        <v/>
      </c>
      <c r="AE228" s="295" t="str">
        <f t="shared" si="28"/>
        <v/>
      </c>
      <c r="AF228" s="283" t="str">
        <f t="shared" si="29"/>
        <v/>
      </c>
      <c r="AG228" s="299" t="str">
        <f>IFERROR(IF(O228="","",VLOOKUP(AD228,'G-3 Multipliers'!$P$3:$Q$6,2,FALSE)),"")</f>
        <v/>
      </c>
      <c r="AH228" s="713" t="str">
        <f>IF(B228="","",IF(ISNA(VLOOKUP($B228,'E-1 Off-Site Hedge Baseline'!$B$1:$Z$257,14,FALSE)),"",(VLOOKUP($B228,'E-1 Off-Site Hedge Baseline'!$B$1:$Z$257,14,FALSE))))</f>
        <v/>
      </c>
      <c r="AI228" s="276" t="str">
        <f>IF(AH228="","",IF(VLOOKUP(AH228,'G-3 Multipliers'!$S$3:$T$10,2,FALSE)=0,"Spatial Data Missing ⚠",VLOOKUP(AH228,'G-3 Multipliers'!$S$3:$T$10,2,FALSE)))</f>
        <v/>
      </c>
      <c r="AJ228" s="317" t="str">
        <f t="shared" si="30"/>
        <v/>
      </c>
      <c r="AK228" s="289" t="str">
        <f t="shared" si="31"/>
        <v/>
      </c>
      <c r="AL228" s="101"/>
      <c r="AM228" s="115"/>
      <c r="AN228" s="104"/>
      <c r="AO228" s="104"/>
      <c r="AQ228" s="30" t="str">
        <f>IFERROR(INDEX('G-6 Hedgerow Data'!$BJ$3:$BJ$15,MATCH(M228,'G-6 Hedgerow Data'!$B$3:$B$15,0)),"")</f>
        <v/>
      </c>
    </row>
    <row r="229" spans="2:43" ht="14">
      <c r="B229" s="305" t="str">
        <f>'E-1 Off-Site Hedge Baseline'!AN227</f>
        <v/>
      </c>
      <c r="C229" s="295" t="str">
        <f>IF(B229="","",IF(ISNA(VLOOKUP($B229,'E-1 Off-Site Hedge Baseline'!$B$1:$L$257,3,FALSE)),"",(VLOOKUP($B229,'E-1 Off-Site Hedge Baseline'!$B$1:$L$257,3,FALSE))))</f>
        <v/>
      </c>
      <c r="D229" s="295" t="str">
        <f>IF(B229="","",IF(ISNA(VLOOKUP($B229,'E-1 Off-Site Hedge Baseline'!$B$1:$L$258,4,FALSE)),"",(VLOOKUP($B229,'E-1 Off-Site Hedge Baseline'!$B$1:$L$258,4,FALSE))))</f>
        <v/>
      </c>
      <c r="E229" s="295" t="str">
        <f>IF(B229="","",IF(ISNA(VLOOKUP($B229,'E-1 Off-Site Hedge Baseline'!$B$1:$L$257,5,FALSE)),"",(VLOOKUP($B229,'E-1 Off-Site Hedge Baseline'!$B$1:$L$257,5,FALSE))))</f>
        <v/>
      </c>
      <c r="F229" s="295" t="str">
        <f>IF(B229="","",IF(ISNA(VLOOKUP($B229,'E-1 Off-Site Hedge Baseline'!$B$1:$L$257,6,FALSE)),"",(VLOOKUP($B229,'E-1 Off-Site Hedge Baseline'!$B$1:$L$257,6,FALSE))))</f>
        <v/>
      </c>
      <c r="G229" s="295" t="str">
        <f>IF(B229="","",IF(ISNA(VLOOKUP($B229,'E-1 Off-Site Hedge Baseline'!$B$1:$L$257,7,FALSE)),"",(VLOOKUP($B229,'E-1 Off-Site Hedge Baseline'!$B$1:$L$257,7,FALSE))))</f>
        <v/>
      </c>
      <c r="H229" s="295" t="str">
        <f>IF(B229="","",IF(ISNA(VLOOKUP($B229,'E-1 Off-Site Hedge Baseline'!$B$1:$L$257,8,FALSE)),"",(VLOOKUP($B229,'E-1 Off-Site Hedge Baseline'!$B$1:$L$257,8,FALSE))))</f>
        <v/>
      </c>
      <c r="I229" s="295" t="str">
        <f>IF(B229="","",IF(ISNA(VLOOKUP($B229,'E-1 Off-Site Hedge Baseline'!$B$1:$L$257,10,FALSE)),"",(VLOOKUP($B229,'E-1 Off-Site Hedge Baseline'!$B$1:$L$257,10,FALSE))))</f>
        <v/>
      </c>
      <c r="J229" s="295" t="str">
        <f>IF(B229="","",IF(ISNA(VLOOKUP($B229,'E-1 Off-Site Hedge Baseline'!$B$1:$L$257,11,FALSE)),"",(VLOOKUP($B229,'E-1 Off-Site Hedge Baseline'!$B$1:$L$257,11,FALSE))))</f>
        <v/>
      </c>
      <c r="K229" s="295" t="str">
        <f>IF(B229="","",IF(ISNA(VLOOKUP($B229,'E-1 Off-Site Hedge Baseline'!$B$1:$X$257,16,FALSE)),"",(VLOOKUP($B229,'E-1 Off-Site Hedge Baseline'!$B$1:$X$257,16,FALSE))))</f>
        <v/>
      </c>
      <c r="L229" s="283" t="str">
        <f>IF(B229="","",IF(ISNA(VLOOKUP($B229,'E-1 Off-Site Hedge Baseline'!$B$1:$X$257,12,FALSE)),"",(VLOOKUP($B229,'E-1 Off-Site Hedge Baseline'!$B$1:$X$257,12,FALSE))))</f>
        <v/>
      </c>
      <c r="M229" s="244"/>
      <c r="N229" s="275" t="str">
        <f>IFERROR(IF(B229="","",INDEX('G-6 Hedgerow Data'!$AN$3:$AZ$15,MATCH(C229,'G-6 Hedgerow Data'!$AM$3:$AM$15,0),MATCH(M229,'G-6 Hedgerow Data'!$AN$2:$AZ$2,0))),"")</f>
        <v/>
      </c>
      <c r="O229" s="276" t="str">
        <f t="shared" si="25"/>
        <v/>
      </c>
      <c r="P229" s="281" t="str">
        <f>IF(B229="","",VLOOKUP(B229,'E-1 Off-Site Hedge Baseline'!$B$10:W474,19,FALSE))</f>
        <v/>
      </c>
      <c r="Q229" s="275" t="str">
        <f>IF(M229="","",VLOOKUP(M229,'G-6 Hedgerow Data'!$B$2:$AG$15,2,FALSE))</f>
        <v/>
      </c>
      <c r="R229" s="276" t="str">
        <f>IF(M229="","",VLOOKUP(M229,'G-6 Hedgerow Data'!$B$2:$AG$15,3,FALSE))</f>
        <v/>
      </c>
      <c r="S229" s="101"/>
      <c r="T229" s="276" t="str">
        <f>IFERROR(IF(S229="","",IF(AND(M229="Non-native and ornamental hedgerow",S229&lt;&gt;"Poor"),"Not possible ▲",(IF(AND(Q229="V.Low",OR(S229="Good",S229="Moderate")),"Error ▲",VLOOKUP(S229,'G-1 All Habitats'!$Z$2:$AA$9,2,FALSE))))),"")</f>
        <v/>
      </c>
      <c r="U229" s="101"/>
      <c r="V229" s="283" t="str">
        <f>IF(U229="","",IF(VLOOKUP(U229,'G-3 Multipliers'!$L$3:$N$6,2,FALSE)=0,"Spatial Data Missing ⚠",VLOOKUP(U229,'G-3 Multipliers'!$L$3:$N$6,2,FALSE)))</f>
        <v/>
      </c>
      <c r="W229" s="281" t="str">
        <f>IF(U229="","",IF(VLOOKUP(U229,'G-3 Multipliers'!$L$3:$N$6,3,FALSE)=0,"Spatial Data Missing ⚠",VLOOKUP(U229,'G-3 Multipliers'!$L$3:$N$6,3,FALSE)))</f>
        <v/>
      </c>
      <c r="X229" s="275" t="str">
        <f>IFERROR(IF(OR(LEFT(O229,5)="Error",LEFT(N229,5)="Error",T229="Error"),"Check Data ⚠",IF(F229&lt;R229,INDEX('G-6 Hedgerow Data'!$S$3:$AE$14,MATCH(C229,'G-6 Hedgerow Data'!$B$3:$B$14,0),MATCH(M229,'G-6 Hedgerow Data'!$S$2:$AE$2,0)),INDEX('G-6 Hedgerow Data'!$K$3:$Q$14,MATCH(M229,'G-6 Hedgerow Data'!$B$3:$B$14,0),MATCH(O229,'G-6 Hedgerow Data'!$K$2:$Q$2,0)))),"")</f>
        <v/>
      </c>
      <c r="Y229" s="133"/>
      <c r="Z229" s="133"/>
      <c r="AA229" s="283" t="str">
        <f t="shared" si="26"/>
        <v/>
      </c>
      <c r="AB229" s="296" t="str">
        <f t="shared" si="27"/>
        <v/>
      </c>
      <c r="AC229" s="297" t="str">
        <f t="shared" si="24"/>
        <v/>
      </c>
      <c r="AD229" s="311" t="str">
        <f>IF(M229="","",VLOOKUP(M229,'G-6 Hedgerow Data'!$B$3:$AG$15,31,FALSE))</f>
        <v/>
      </c>
      <c r="AE229" s="295" t="str">
        <f t="shared" si="28"/>
        <v/>
      </c>
      <c r="AF229" s="283" t="str">
        <f t="shared" si="29"/>
        <v/>
      </c>
      <c r="AG229" s="299" t="str">
        <f>IFERROR(IF(O229="","",VLOOKUP(AD229,'G-3 Multipliers'!$P$3:$Q$6,2,FALSE)),"")</f>
        <v/>
      </c>
      <c r="AH229" s="713" t="str">
        <f>IF(B229="","",IF(ISNA(VLOOKUP($B229,'E-1 Off-Site Hedge Baseline'!$B$1:$Z$257,14,FALSE)),"",(VLOOKUP($B229,'E-1 Off-Site Hedge Baseline'!$B$1:$Z$257,14,FALSE))))</f>
        <v/>
      </c>
      <c r="AI229" s="276" t="str">
        <f>IF(AH229="","",IF(VLOOKUP(AH229,'G-3 Multipliers'!$S$3:$T$10,2,FALSE)=0,"Spatial Data Missing ⚠",VLOOKUP(AH229,'G-3 Multipliers'!$S$3:$T$10,2,FALSE)))</f>
        <v/>
      </c>
      <c r="AJ229" s="317" t="str">
        <f t="shared" si="30"/>
        <v/>
      </c>
      <c r="AK229" s="289" t="str">
        <f t="shared" si="31"/>
        <v/>
      </c>
      <c r="AL229" s="101"/>
      <c r="AM229" s="115"/>
      <c r="AN229" s="104"/>
      <c r="AO229" s="104"/>
      <c r="AQ229" s="30" t="str">
        <f>IFERROR(INDEX('G-6 Hedgerow Data'!$BJ$3:$BJ$15,MATCH(M229,'G-6 Hedgerow Data'!$B$3:$B$15,0)),"")</f>
        <v/>
      </c>
    </row>
    <row r="230" spans="2:43" ht="14">
      <c r="B230" s="305" t="str">
        <f>'E-1 Off-Site Hedge Baseline'!AN228</f>
        <v/>
      </c>
      <c r="C230" s="295" t="str">
        <f>IF(B230="","",IF(ISNA(VLOOKUP($B230,'E-1 Off-Site Hedge Baseline'!$B$1:$L$257,3,FALSE)),"",(VLOOKUP($B230,'E-1 Off-Site Hedge Baseline'!$B$1:$L$257,3,FALSE))))</f>
        <v/>
      </c>
      <c r="D230" s="295" t="str">
        <f>IF(B230="","",IF(ISNA(VLOOKUP($B230,'E-1 Off-Site Hedge Baseline'!$B$1:$L$258,4,FALSE)),"",(VLOOKUP($B230,'E-1 Off-Site Hedge Baseline'!$B$1:$L$258,4,FALSE))))</f>
        <v/>
      </c>
      <c r="E230" s="295" t="str">
        <f>IF(B230="","",IF(ISNA(VLOOKUP($B230,'E-1 Off-Site Hedge Baseline'!$B$1:$L$257,5,FALSE)),"",(VLOOKUP($B230,'E-1 Off-Site Hedge Baseline'!$B$1:$L$257,5,FALSE))))</f>
        <v/>
      </c>
      <c r="F230" s="295" t="str">
        <f>IF(B230="","",IF(ISNA(VLOOKUP($B230,'E-1 Off-Site Hedge Baseline'!$B$1:$L$257,6,FALSE)),"",(VLOOKUP($B230,'E-1 Off-Site Hedge Baseline'!$B$1:$L$257,6,FALSE))))</f>
        <v/>
      </c>
      <c r="G230" s="295" t="str">
        <f>IF(B230="","",IF(ISNA(VLOOKUP($B230,'E-1 Off-Site Hedge Baseline'!$B$1:$L$257,7,FALSE)),"",(VLOOKUP($B230,'E-1 Off-Site Hedge Baseline'!$B$1:$L$257,7,FALSE))))</f>
        <v/>
      </c>
      <c r="H230" s="295" t="str">
        <f>IF(B230="","",IF(ISNA(VLOOKUP($B230,'E-1 Off-Site Hedge Baseline'!$B$1:$L$257,8,FALSE)),"",(VLOOKUP($B230,'E-1 Off-Site Hedge Baseline'!$B$1:$L$257,8,FALSE))))</f>
        <v/>
      </c>
      <c r="I230" s="295" t="str">
        <f>IF(B230="","",IF(ISNA(VLOOKUP($B230,'E-1 Off-Site Hedge Baseline'!$B$1:$L$257,10,FALSE)),"",(VLOOKUP($B230,'E-1 Off-Site Hedge Baseline'!$B$1:$L$257,10,FALSE))))</f>
        <v/>
      </c>
      <c r="J230" s="295" t="str">
        <f>IF(B230="","",IF(ISNA(VLOOKUP($B230,'E-1 Off-Site Hedge Baseline'!$B$1:$L$257,11,FALSE)),"",(VLOOKUP($B230,'E-1 Off-Site Hedge Baseline'!$B$1:$L$257,11,FALSE))))</f>
        <v/>
      </c>
      <c r="K230" s="295" t="str">
        <f>IF(B230="","",IF(ISNA(VLOOKUP($B230,'E-1 Off-Site Hedge Baseline'!$B$1:$X$257,16,FALSE)),"",(VLOOKUP($B230,'E-1 Off-Site Hedge Baseline'!$B$1:$X$257,16,FALSE))))</f>
        <v/>
      </c>
      <c r="L230" s="283" t="str">
        <f>IF(B230="","",IF(ISNA(VLOOKUP($B230,'E-1 Off-Site Hedge Baseline'!$B$1:$X$257,12,FALSE)),"",(VLOOKUP($B230,'E-1 Off-Site Hedge Baseline'!$B$1:$X$257,12,FALSE))))</f>
        <v/>
      </c>
      <c r="M230" s="244"/>
      <c r="N230" s="275" t="str">
        <f>IFERROR(IF(B230="","",INDEX('G-6 Hedgerow Data'!$AN$3:$AZ$15,MATCH(C230,'G-6 Hedgerow Data'!$AM$3:$AM$15,0),MATCH(M230,'G-6 Hedgerow Data'!$AN$2:$AZ$2,0))),"")</f>
        <v/>
      </c>
      <c r="O230" s="276" t="str">
        <f t="shared" si="25"/>
        <v/>
      </c>
      <c r="P230" s="281" t="str">
        <f>IF(B230="","",VLOOKUP(B230,'E-1 Off-Site Hedge Baseline'!$B$10:W475,19,FALSE))</f>
        <v/>
      </c>
      <c r="Q230" s="275" t="str">
        <f>IF(M230="","",VLOOKUP(M230,'G-6 Hedgerow Data'!$B$2:$AG$15,2,FALSE))</f>
        <v/>
      </c>
      <c r="R230" s="276" t="str">
        <f>IF(M230="","",VLOOKUP(M230,'G-6 Hedgerow Data'!$B$2:$AG$15,3,FALSE))</f>
        <v/>
      </c>
      <c r="S230" s="101"/>
      <c r="T230" s="276" t="str">
        <f>IFERROR(IF(S230="","",IF(AND(M230="Non-native and ornamental hedgerow",S230&lt;&gt;"Poor"),"Not possible ▲",(IF(AND(Q230="V.Low",OR(S230="Good",S230="Moderate")),"Error ▲",VLOOKUP(S230,'G-1 All Habitats'!$Z$2:$AA$9,2,FALSE))))),"")</f>
        <v/>
      </c>
      <c r="U230" s="101"/>
      <c r="V230" s="283" t="str">
        <f>IF(U230="","",IF(VLOOKUP(U230,'G-3 Multipliers'!$L$3:$N$6,2,FALSE)=0,"Spatial Data Missing ⚠",VLOOKUP(U230,'G-3 Multipliers'!$L$3:$N$6,2,FALSE)))</f>
        <v/>
      </c>
      <c r="W230" s="281" t="str">
        <f>IF(U230="","",IF(VLOOKUP(U230,'G-3 Multipliers'!$L$3:$N$6,3,FALSE)=0,"Spatial Data Missing ⚠",VLOOKUP(U230,'G-3 Multipliers'!$L$3:$N$6,3,FALSE)))</f>
        <v/>
      </c>
      <c r="X230" s="275" t="str">
        <f>IFERROR(IF(OR(LEFT(O230,5)="Error",LEFT(N230,5)="Error",T230="Error"),"Check Data ⚠",IF(F230&lt;R230,INDEX('G-6 Hedgerow Data'!$S$3:$AE$14,MATCH(C230,'G-6 Hedgerow Data'!$B$3:$B$14,0),MATCH(M230,'G-6 Hedgerow Data'!$S$2:$AE$2,0)),INDEX('G-6 Hedgerow Data'!$K$3:$Q$14,MATCH(M230,'G-6 Hedgerow Data'!$B$3:$B$14,0),MATCH(O230,'G-6 Hedgerow Data'!$K$2:$Q$2,0)))),"")</f>
        <v/>
      </c>
      <c r="Y230" s="133"/>
      <c r="Z230" s="133"/>
      <c r="AA230" s="283" t="str">
        <f t="shared" si="26"/>
        <v/>
      </c>
      <c r="AB230" s="296" t="str">
        <f t="shared" si="27"/>
        <v/>
      </c>
      <c r="AC230" s="297" t="str">
        <f t="shared" si="24"/>
        <v/>
      </c>
      <c r="AD230" s="311" t="str">
        <f>IF(M230="","",VLOOKUP(M230,'G-6 Hedgerow Data'!$B$3:$AG$15,31,FALSE))</f>
        <v/>
      </c>
      <c r="AE230" s="295" t="str">
        <f t="shared" si="28"/>
        <v/>
      </c>
      <c r="AF230" s="283" t="str">
        <f t="shared" si="29"/>
        <v/>
      </c>
      <c r="AG230" s="299" t="str">
        <f>IFERROR(IF(O230="","",VLOOKUP(AD230,'G-3 Multipliers'!$P$3:$Q$6,2,FALSE)),"")</f>
        <v/>
      </c>
      <c r="AH230" s="713" t="str">
        <f>IF(B230="","",IF(ISNA(VLOOKUP($B230,'E-1 Off-Site Hedge Baseline'!$B$1:$Z$257,14,FALSE)),"",(VLOOKUP($B230,'E-1 Off-Site Hedge Baseline'!$B$1:$Z$257,14,FALSE))))</f>
        <v/>
      </c>
      <c r="AI230" s="276" t="str">
        <f>IF(AH230="","",IF(VLOOKUP(AH230,'G-3 Multipliers'!$S$3:$T$10,2,FALSE)=0,"Spatial Data Missing ⚠",VLOOKUP(AH230,'G-3 Multipliers'!$S$3:$T$10,2,FALSE)))</f>
        <v/>
      </c>
      <c r="AJ230" s="317" t="str">
        <f t="shared" si="30"/>
        <v/>
      </c>
      <c r="AK230" s="289" t="str">
        <f t="shared" si="31"/>
        <v/>
      </c>
      <c r="AL230" s="101"/>
      <c r="AM230" s="115"/>
      <c r="AN230" s="104"/>
      <c r="AO230" s="104"/>
      <c r="AQ230" s="30" t="str">
        <f>IFERROR(INDEX('G-6 Hedgerow Data'!$BJ$3:$BJ$15,MATCH(M230,'G-6 Hedgerow Data'!$B$3:$B$15,0)),"")</f>
        <v/>
      </c>
    </row>
    <row r="231" spans="2:43" ht="14">
      <c r="B231" s="305" t="str">
        <f>'E-1 Off-Site Hedge Baseline'!AN229</f>
        <v/>
      </c>
      <c r="C231" s="295" t="str">
        <f>IF(B231="","",IF(ISNA(VLOOKUP($B231,'E-1 Off-Site Hedge Baseline'!$B$1:$L$257,3,FALSE)),"",(VLOOKUP($B231,'E-1 Off-Site Hedge Baseline'!$B$1:$L$257,3,FALSE))))</f>
        <v/>
      </c>
      <c r="D231" s="295" t="str">
        <f>IF(B231="","",IF(ISNA(VLOOKUP($B231,'E-1 Off-Site Hedge Baseline'!$B$1:$L$258,4,FALSE)),"",(VLOOKUP($B231,'E-1 Off-Site Hedge Baseline'!$B$1:$L$258,4,FALSE))))</f>
        <v/>
      </c>
      <c r="E231" s="295" t="str">
        <f>IF(B231="","",IF(ISNA(VLOOKUP($B231,'E-1 Off-Site Hedge Baseline'!$B$1:$L$257,5,FALSE)),"",(VLOOKUP($B231,'E-1 Off-Site Hedge Baseline'!$B$1:$L$257,5,FALSE))))</f>
        <v/>
      </c>
      <c r="F231" s="295" t="str">
        <f>IF(B231="","",IF(ISNA(VLOOKUP($B231,'E-1 Off-Site Hedge Baseline'!$B$1:$L$257,6,FALSE)),"",(VLOOKUP($B231,'E-1 Off-Site Hedge Baseline'!$B$1:$L$257,6,FALSE))))</f>
        <v/>
      </c>
      <c r="G231" s="295" t="str">
        <f>IF(B231="","",IF(ISNA(VLOOKUP($B231,'E-1 Off-Site Hedge Baseline'!$B$1:$L$257,7,FALSE)),"",(VLOOKUP($B231,'E-1 Off-Site Hedge Baseline'!$B$1:$L$257,7,FALSE))))</f>
        <v/>
      </c>
      <c r="H231" s="295" t="str">
        <f>IF(B231="","",IF(ISNA(VLOOKUP($B231,'E-1 Off-Site Hedge Baseline'!$B$1:$L$257,8,FALSE)),"",(VLOOKUP($B231,'E-1 Off-Site Hedge Baseline'!$B$1:$L$257,8,FALSE))))</f>
        <v/>
      </c>
      <c r="I231" s="295" t="str">
        <f>IF(B231="","",IF(ISNA(VLOOKUP($B231,'E-1 Off-Site Hedge Baseline'!$B$1:$L$257,10,FALSE)),"",(VLOOKUP($B231,'E-1 Off-Site Hedge Baseline'!$B$1:$L$257,10,FALSE))))</f>
        <v/>
      </c>
      <c r="J231" s="295" t="str">
        <f>IF(B231="","",IF(ISNA(VLOOKUP($B231,'E-1 Off-Site Hedge Baseline'!$B$1:$L$257,11,FALSE)),"",(VLOOKUP($B231,'E-1 Off-Site Hedge Baseline'!$B$1:$L$257,11,FALSE))))</f>
        <v/>
      </c>
      <c r="K231" s="295" t="str">
        <f>IF(B231="","",IF(ISNA(VLOOKUP($B231,'E-1 Off-Site Hedge Baseline'!$B$1:$X$257,16,FALSE)),"",(VLOOKUP($B231,'E-1 Off-Site Hedge Baseline'!$B$1:$X$257,16,FALSE))))</f>
        <v/>
      </c>
      <c r="L231" s="283" t="str">
        <f>IF(B231="","",IF(ISNA(VLOOKUP($B231,'E-1 Off-Site Hedge Baseline'!$B$1:$X$257,12,FALSE)),"",(VLOOKUP($B231,'E-1 Off-Site Hedge Baseline'!$B$1:$X$257,12,FALSE))))</f>
        <v/>
      </c>
      <c r="M231" s="244"/>
      <c r="N231" s="275" t="str">
        <f>IFERROR(IF(B231="","",INDEX('G-6 Hedgerow Data'!$AN$3:$AZ$15,MATCH(C231,'G-6 Hedgerow Data'!$AM$3:$AM$15,0),MATCH(M231,'G-6 Hedgerow Data'!$AN$2:$AZ$2,0))),"")</f>
        <v/>
      </c>
      <c r="O231" s="276" t="str">
        <f t="shared" si="25"/>
        <v/>
      </c>
      <c r="P231" s="281" t="str">
        <f>IF(B231="","",VLOOKUP(B231,'E-1 Off-Site Hedge Baseline'!$B$10:W476,19,FALSE))</f>
        <v/>
      </c>
      <c r="Q231" s="275" t="str">
        <f>IF(M231="","",VLOOKUP(M231,'G-6 Hedgerow Data'!$B$2:$AG$15,2,FALSE))</f>
        <v/>
      </c>
      <c r="R231" s="276" t="str">
        <f>IF(M231="","",VLOOKUP(M231,'G-6 Hedgerow Data'!$B$2:$AG$15,3,FALSE))</f>
        <v/>
      </c>
      <c r="S231" s="101"/>
      <c r="T231" s="276" t="str">
        <f>IFERROR(IF(S231="","",IF(AND(M231="Non-native and ornamental hedgerow",S231&lt;&gt;"Poor"),"Not possible ▲",(IF(AND(Q231="V.Low",OR(S231="Good",S231="Moderate")),"Error ▲",VLOOKUP(S231,'G-1 All Habitats'!$Z$2:$AA$9,2,FALSE))))),"")</f>
        <v/>
      </c>
      <c r="U231" s="101"/>
      <c r="V231" s="283" t="str">
        <f>IF(U231="","",IF(VLOOKUP(U231,'G-3 Multipliers'!$L$3:$N$6,2,FALSE)=0,"Spatial Data Missing ⚠",VLOOKUP(U231,'G-3 Multipliers'!$L$3:$N$6,2,FALSE)))</f>
        <v/>
      </c>
      <c r="W231" s="281" t="str">
        <f>IF(U231="","",IF(VLOOKUP(U231,'G-3 Multipliers'!$L$3:$N$6,3,FALSE)=0,"Spatial Data Missing ⚠",VLOOKUP(U231,'G-3 Multipliers'!$L$3:$N$6,3,FALSE)))</f>
        <v/>
      </c>
      <c r="X231" s="275" t="str">
        <f>IFERROR(IF(OR(LEFT(O231,5)="Error",LEFT(N231,5)="Error",T231="Error"),"Check Data ⚠",IF(F231&lt;R231,INDEX('G-6 Hedgerow Data'!$S$3:$AE$14,MATCH(C231,'G-6 Hedgerow Data'!$B$3:$B$14,0),MATCH(M231,'G-6 Hedgerow Data'!$S$2:$AE$2,0)),INDEX('G-6 Hedgerow Data'!$K$3:$Q$14,MATCH(M231,'G-6 Hedgerow Data'!$B$3:$B$14,0),MATCH(O231,'G-6 Hedgerow Data'!$K$2:$Q$2,0)))),"")</f>
        <v/>
      </c>
      <c r="Y231" s="133"/>
      <c r="Z231" s="133"/>
      <c r="AA231" s="283" t="str">
        <f t="shared" si="26"/>
        <v/>
      </c>
      <c r="AB231" s="296" t="str">
        <f t="shared" si="27"/>
        <v/>
      </c>
      <c r="AC231" s="297" t="str">
        <f t="shared" si="24"/>
        <v/>
      </c>
      <c r="AD231" s="311" t="str">
        <f>IF(M231="","",VLOOKUP(M231,'G-6 Hedgerow Data'!$B$3:$AG$15,31,FALSE))</f>
        <v/>
      </c>
      <c r="AE231" s="295" t="str">
        <f t="shared" si="28"/>
        <v/>
      </c>
      <c r="AF231" s="283" t="str">
        <f t="shared" si="29"/>
        <v/>
      </c>
      <c r="AG231" s="299" t="str">
        <f>IFERROR(IF(O231="","",VLOOKUP(AD231,'G-3 Multipliers'!$P$3:$Q$6,2,FALSE)),"")</f>
        <v/>
      </c>
      <c r="AH231" s="713" t="str">
        <f>IF(B231="","",IF(ISNA(VLOOKUP($B231,'E-1 Off-Site Hedge Baseline'!$B$1:$Z$257,14,FALSE)),"",(VLOOKUP($B231,'E-1 Off-Site Hedge Baseline'!$B$1:$Z$257,14,FALSE))))</f>
        <v/>
      </c>
      <c r="AI231" s="276" t="str">
        <f>IF(AH231="","",IF(VLOOKUP(AH231,'G-3 Multipliers'!$S$3:$T$10,2,FALSE)=0,"Spatial Data Missing ⚠",VLOOKUP(AH231,'G-3 Multipliers'!$S$3:$T$10,2,FALSE)))</f>
        <v/>
      </c>
      <c r="AJ231" s="317" t="str">
        <f t="shared" si="30"/>
        <v/>
      </c>
      <c r="AK231" s="289" t="str">
        <f t="shared" si="31"/>
        <v/>
      </c>
      <c r="AL231" s="101"/>
      <c r="AM231" s="115"/>
      <c r="AN231" s="104"/>
      <c r="AO231" s="104"/>
      <c r="AQ231" s="30" t="str">
        <f>IFERROR(INDEX('G-6 Hedgerow Data'!$BJ$3:$BJ$15,MATCH(M231,'G-6 Hedgerow Data'!$B$3:$B$15,0)),"")</f>
        <v/>
      </c>
    </row>
    <row r="232" spans="2:43" ht="14">
      <c r="B232" s="305" t="str">
        <f>'E-1 Off-Site Hedge Baseline'!AN230</f>
        <v/>
      </c>
      <c r="C232" s="295" t="str">
        <f>IF(B232="","",IF(ISNA(VLOOKUP($B232,'E-1 Off-Site Hedge Baseline'!$B$1:$L$257,3,FALSE)),"",(VLOOKUP($B232,'E-1 Off-Site Hedge Baseline'!$B$1:$L$257,3,FALSE))))</f>
        <v/>
      </c>
      <c r="D232" s="295" t="str">
        <f>IF(B232="","",IF(ISNA(VLOOKUP($B232,'E-1 Off-Site Hedge Baseline'!$B$1:$L$258,4,FALSE)),"",(VLOOKUP($B232,'E-1 Off-Site Hedge Baseline'!$B$1:$L$258,4,FALSE))))</f>
        <v/>
      </c>
      <c r="E232" s="295" t="str">
        <f>IF(B232="","",IF(ISNA(VLOOKUP($B232,'E-1 Off-Site Hedge Baseline'!$B$1:$L$257,5,FALSE)),"",(VLOOKUP($B232,'E-1 Off-Site Hedge Baseline'!$B$1:$L$257,5,FALSE))))</f>
        <v/>
      </c>
      <c r="F232" s="295" t="str">
        <f>IF(B232="","",IF(ISNA(VLOOKUP($B232,'E-1 Off-Site Hedge Baseline'!$B$1:$L$257,6,FALSE)),"",(VLOOKUP($B232,'E-1 Off-Site Hedge Baseline'!$B$1:$L$257,6,FALSE))))</f>
        <v/>
      </c>
      <c r="G232" s="295" t="str">
        <f>IF(B232="","",IF(ISNA(VLOOKUP($B232,'E-1 Off-Site Hedge Baseline'!$B$1:$L$257,7,FALSE)),"",(VLOOKUP($B232,'E-1 Off-Site Hedge Baseline'!$B$1:$L$257,7,FALSE))))</f>
        <v/>
      </c>
      <c r="H232" s="295" t="str">
        <f>IF(B232="","",IF(ISNA(VLOOKUP($B232,'E-1 Off-Site Hedge Baseline'!$B$1:$L$257,8,FALSE)),"",(VLOOKUP($B232,'E-1 Off-Site Hedge Baseline'!$B$1:$L$257,8,FALSE))))</f>
        <v/>
      </c>
      <c r="I232" s="295" t="str">
        <f>IF(B232="","",IF(ISNA(VLOOKUP($B232,'E-1 Off-Site Hedge Baseline'!$B$1:$L$257,10,FALSE)),"",(VLOOKUP($B232,'E-1 Off-Site Hedge Baseline'!$B$1:$L$257,10,FALSE))))</f>
        <v/>
      </c>
      <c r="J232" s="295" t="str">
        <f>IF(B232="","",IF(ISNA(VLOOKUP($B232,'E-1 Off-Site Hedge Baseline'!$B$1:$L$257,11,FALSE)),"",(VLOOKUP($B232,'E-1 Off-Site Hedge Baseline'!$B$1:$L$257,11,FALSE))))</f>
        <v/>
      </c>
      <c r="K232" s="295" t="str">
        <f>IF(B232="","",IF(ISNA(VLOOKUP($B232,'E-1 Off-Site Hedge Baseline'!$B$1:$X$257,16,FALSE)),"",(VLOOKUP($B232,'E-1 Off-Site Hedge Baseline'!$B$1:$X$257,16,FALSE))))</f>
        <v/>
      </c>
      <c r="L232" s="283" t="str">
        <f>IF(B232="","",IF(ISNA(VLOOKUP($B232,'E-1 Off-Site Hedge Baseline'!$B$1:$X$257,12,FALSE)),"",(VLOOKUP($B232,'E-1 Off-Site Hedge Baseline'!$B$1:$X$257,12,FALSE))))</f>
        <v/>
      </c>
      <c r="M232" s="244"/>
      <c r="N232" s="275" t="str">
        <f>IFERROR(IF(B232="","",INDEX('G-6 Hedgerow Data'!$AN$3:$AZ$15,MATCH(C232,'G-6 Hedgerow Data'!$AM$3:$AM$15,0),MATCH(M232,'G-6 Hedgerow Data'!$AN$2:$AZ$2,0))),"")</f>
        <v/>
      </c>
      <c r="O232" s="276" t="str">
        <f t="shared" si="25"/>
        <v/>
      </c>
      <c r="P232" s="281" t="str">
        <f>IF(B232="","",VLOOKUP(B232,'E-1 Off-Site Hedge Baseline'!$B$10:W477,19,FALSE))</f>
        <v/>
      </c>
      <c r="Q232" s="275" t="str">
        <f>IF(M232="","",VLOOKUP(M232,'G-6 Hedgerow Data'!$B$2:$AG$15,2,FALSE))</f>
        <v/>
      </c>
      <c r="R232" s="276" t="str">
        <f>IF(M232="","",VLOOKUP(M232,'G-6 Hedgerow Data'!$B$2:$AG$15,3,FALSE))</f>
        <v/>
      </c>
      <c r="S232" s="101"/>
      <c r="T232" s="276" t="str">
        <f>IFERROR(IF(S232="","",IF(AND(M232="Non-native and ornamental hedgerow",S232&lt;&gt;"Poor"),"Not possible ▲",(IF(AND(Q232="V.Low",OR(S232="Good",S232="Moderate")),"Error ▲",VLOOKUP(S232,'G-1 All Habitats'!$Z$2:$AA$9,2,FALSE))))),"")</f>
        <v/>
      </c>
      <c r="U232" s="101"/>
      <c r="V232" s="283" t="str">
        <f>IF(U232="","",IF(VLOOKUP(U232,'G-3 Multipliers'!$L$3:$N$6,2,FALSE)=0,"Spatial Data Missing ⚠",VLOOKUP(U232,'G-3 Multipliers'!$L$3:$N$6,2,FALSE)))</f>
        <v/>
      </c>
      <c r="W232" s="281" t="str">
        <f>IF(U232="","",IF(VLOOKUP(U232,'G-3 Multipliers'!$L$3:$N$6,3,FALSE)=0,"Spatial Data Missing ⚠",VLOOKUP(U232,'G-3 Multipliers'!$L$3:$N$6,3,FALSE)))</f>
        <v/>
      </c>
      <c r="X232" s="275" t="str">
        <f>IFERROR(IF(OR(LEFT(O232,5)="Error",LEFT(N232,5)="Error",T232="Error"),"Check Data ⚠",IF(F232&lt;R232,INDEX('G-6 Hedgerow Data'!$S$3:$AE$14,MATCH(C232,'G-6 Hedgerow Data'!$B$3:$B$14,0),MATCH(M232,'G-6 Hedgerow Data'!$S$2:$AE$2,0)),INDEX('G-6 Hedgerow Data'!$K$3:$Q$14,MATCH(M232,'G-6 Hedgerow Data'!$B$3:$B$14,0),MATCH(O232,'G-6 Hedgerow Data'!$K$2:$Q$2,0)))),"")</f>
        <v/>
      </c>
      <c r="Y232" s="133"/>
      <c r="Z232" s="133"/>
      <c r="AA232" s="283" t="str">
        <f t="shared" si="26"/>
        <v/>
      </c>
      <c r="AB232" s="296" t="str">
        <f t="shared" si="27"/>
        <v/>
      </c>
      <c r="AC232" s="297" t="str">
        <f t="shared" si="24"/>
        <v/>
      </c>
      <c r="AD232" s="311" t="str">
        <f>IF(M232="","",VLOOKUP(M232,'G-6 Hedgerow Data'!$B$3:$AG$15,31,FALSE))</f>
        <v/>
      </c>
      <c r="AE232" s="295" t="str">
        <f t="shared" si="28"/>
        <v/>
      </c>
      <c r="AF232" s="283" t="str">
        <f t="shared" si="29"/>
        <v/>
      </c>
      <c r="AG232" s="299" t="str">
        <f>IFERROR(IF(O232="","",VLOOKUP(AD232,'G-3 Multipliers'!$P$3:$Q$6,2,FALSE)),"")</f>
        <v/>
      </c>
      <c r="AH232" s="713" t="str">
        <f>IF(B232="","",IF(ISNA(VLOOKUP($B232,'E-1 Off-Site Hedge Baseline'!$B$1:$Z$257,14,FALSE)),"",(VLOOKUP($B232,'E-1 Off-Site Hedge Baseline'!$B$1:$Z$257,14,FALSE))))</f>
        <v/>
      </c>
      <c r="AI232" s="276" t="str">
        <f>IF(AH232="","",IF(VLOOKUP(AH232,'G-3 Multipliers'!$S$3:$T$10,2,FALSE)=0,"Spatial Data Missing ⚠",VLOOKUP(AH232,'G-3 Multipliers'!$S$3:$T$10,2,FALSE)))</f>
        <v/>
      </c>
      <c r="AJ232" s="317" t="str">
        <f t="shared" si="30"/>
        <v/>
      </c>
      <c r="AK232" s="289" t="str">
        <f t="shared" si="31"/>
        <v/>
      </c>
      <c r="AL232" s="101"/>
      <c r="AM232" s="115"/>
      <c r="AN232" s="104"/>
      <c r="AO232" s="104"/>
      <c r="AQ232" s="30" t="str">
        <f>IFERROR(INDEX('G-6 Hedgerow Data'!$BJ$3:$BJ$15,MATCH(M232,'G-6 Hedgerow Data'!$B$3:$B$15,0)),"")</f>
        <v/>
      </c>
    </row>
    <row r="233" spans="2:43" ht="14">
      <c r="B233" s="305" t="str">
        <f>'E-1 Off-Site Hedge Baseline'!AN231</f>
        <v/>
      </c>
      <c r="C233" s="295" t="str">
        <f>IF(B233="","",IF(ISNA(VLOOKUP($B233,'E-1 Off-Site Hedge Baseline'!$B$1:$L$257,3,FALSE)),"",(VLOOKUP($B233,'E-1 Off-Site Hedge Baseline'!$B$1:$L$257,3,FALSE))))</f>
        <v/>
      </c>
      <c r="D233" s="295" t="str">
        <f>IF(B233="","",IF(ISNA(VLOOKUP($B233,'E-1 Off-Site Hedge Baseline'!$B$1:$L$258,4,FALSE)),"",(VLOOKUP($B233,'E-1 Off-Site Hedge Baseline'!$B$1:$L$258,4,FALSE))))</f>
        <v/>
      </c>
      <c r="E233" s="295" t="str">
        <f>IF(B233="","",IF(ISNA(VLOOKUP($B233,'E-1 Off-Site Hedge Baseline'!$B$1:$L$257,5,FALSE)),"",(VLOOKUP($B233,'E-1 Off-Site Hedge Baseline'!$B$1:$L$257,5,FALSE))))</f>
        <v/>
      </c>
      <c r="F233" s="295" t="str">
        <f>IF(B233="","",IF(ISNA(VLOOKUP($B233,'E-1 Off-Site Hedge Baseline'!$B$1:$L$257,6,FALSE)),"",(VLOOKUP($B233,'E-1 Off-Site Hedge Baseline'!$B$1:$L$257,6,FALSE))))</f>
        <v/>
      </c>
      <c r="G233" s="295" t="str">
        <f>IF(B233="","",IF(ISNA(VLOOKUP($B233,'E-1 Off-Site Hedge Baseline'!$B$1:$L$257,7,FALSE)),"",(VLOOKUP($B233,'E-1 Off-Site Hedge Baseline'!$B$1:$L$257,7,FALSE))))</f>
        <v/>
      </c>
      <c r="H233" s="295" t="str">
        <f>IF(B233="","",IF(ISNA(VLOOKUP($B233,'E-1 Off-Site Hedge Baseline'!$B$1:$L$257,8,FALSE)),"",(VLOOKUP($B233,'E-1 Off-Site Hedge Baseline'!$B$1:$L$257,8,FALSE))))</f>
        <v/>
      </c>
      <c r="I233" s="295" t="str">
        <f>IF(B233="","",IF(ISNA(VLOOKUP($B233,'E-1 Off-Site Hedge Baseline'!$B$1:$L$257,10,FALSE)),"",(VLOOKUP($B233,'E-1 Off-Site Hedge Baseline'!$B$1:$L$257,10,FALSE))))</f>
        <v/>
      </c>
      <c r="J233" s="295" t="str">
        <f>IF(B233="","",IF(ISNA(VLOOKUP($B233,'E-1 Off-Site Hedge Baseline'!$B$1:$L$257,11,FALSE)),"",(VLOOKUP($B233,'E-1 Off-Site Hedge Baseline'!$B$1:$L$257,11,FALSE))))</f>
        <v/>
      </c>
      <c r="K233" s="295" t="str">
        <f>IF(B233="","",IF(ISNA(VLOOKUP($B233,'E-1 Off-Site Hedge Baseline'!$B$1:$X$257,16,FALSE)),"",(VLOOKUP($B233,'E-1 Off-Site Hedge Baseline'!$B$1:$X$257,16,FALSE))))</f>
        <v/>
      </c>
      <c r="L233" s="283" t="str">
        <f>IF(B233="","",IF(ISNA(VLOOKUP($B233,'E-1 Off-Site Hedge Baseline'!$B$1:$X$257,12,FALSE)),"",(VLOOKUP($B233,'E-1 Off-Site Hedge Baseline'!$B$1:$X$257,12,FALSE))))</f>
        <v/>
      </c>
      <c r="M233" s="244"/>
      <c r="N233" s="275" t="str">
        <f>IFERROR(IF(B233="","",INDEX('G-6 Hedgerow Data'!$AN$3:$AZ$15,MATCH(C233,'G-6 Hedgerow Data'!$AM$3:$AM$15,0),MATCH(M233,'G-6 Hedgerow Data'!$AN$2:$AZ$2,0))),"")</f>
        <v/>
      </c>
      <c r="O233" s="276" t="str">
        <f t="shared" si="25"/>
        <v/>
      </c>
      <c r="P233" s="281" t="str">
        <f>IF(B233="","",VLOOKUP(B233,'E-1 Off-Site Hedge Baseline'!$B$10:W478,19,FALSE))</f>
        <v/>
      </c>
      <c r="Q233" s="275" t="str">
        <f>IF(M233="","",VLOOKUP(M233,'G-6 Hedgerow Data'!$B$2:$AG$15,2,FALSE))</f>
        <v/>
      </c>
      <c r="R233" s="276" t="str">
        <f>IF(M233="","",VLOOKUP(M233,'G-6 Hedgerow Data'!$B$2:$AG$15,3,FALSE))</f>
        <v/>
      </c>
      <c r="S233" s="101"/>
      <c r="T233" s="276" t="str">
        <f>IFERROR(IF(S233="","",IF(AND(M233="Non-native and ornamental hedgerow",S233&lt;&gt;"Poor"),"Not possible ▲",(IF(AND(Q233="V.Low",OR(S233="Good",S233="Moderate")),"Error ▲",VLOOKUP(S233,'G-1 All Habitats'!$Z$2:$AA$9,2,FALSE))))),"")</f>
        <v/>
      </c>
      <c r="U233" s="101"/>
      <c r="V233" s="283" t="str">
        <f>IF(U233="","",IF(VLOOKUP(U233,'G-3 Multipliers'!$L$3:$N$6,2,FALSE)=0,"Spatial Data Missing ⚠",VLOOKUP(U233,'G-3 Multipliers'!$L$3:$N$6,2,FALSE)))</f>
        <v/>
      </c>
      <c r="W233" s="281" t="str">
        <f>IF(U233="","",IF(VLOOKUP(U233,'G-3 Multipliers'!$L$3:$N$6,3,FALSE)=0,"Spatial Data Missing ⚠",VLOOKUP(U233,'G-3 Multipliers'!$L$3:$N$6,3,FALSE)))</f>
        <v/>
      </c>
      <c r="X233" s="275" t="str">
        <f>IFERROR(IF(OR(LEFT(O233,5)="Error",LEFT(N233,5)="Error",T233="Error"),"Check Data ⚠",IF(F233&lt;R233,INDEX('G-6 Hedgerow Data'!$S$3:$AE$14,MATCH(C233,'G-6 Hedgerow Data'!$B$3:$B$14,0),MATCH(M233,'G-6 Hedgerow Data'!$S$2:$AE$2,0)),INDEX('G-6 Hedgerow Data'!$K$3:$Q$14,MATCH(M233,'G-6 Hedgerow Data'!$B$3:$B$14,0),MATCH(O233,'G-6 Hedgerow Data'!$K$2:$Q$2,0)))),"")</f>
        <v/>
      </c>
      <c r="Y233" s="133"/>
      <c r="Z233" s="133"/>
      <c r="AA233" s="283" t="str">
        <f t="shared" si="26"/>
        <v/>
      </c>
      <c r="AB233" s="296" t="str">
        <f t="shared" si="27"/>
        <v/>
      </c>
      <c r="AC233" s="297" t="str">
        <f t="shared" si="24"/>
        <v/>
      </c>
      <c r="AD233" s="311" t="str">
        <f>IF(M233="","",VLOOKUP(M233,'G-6 Hedgerow Data'!$B$3:$AG$15,31,FALSE))</f>
        <v/>
      </c>
      <c r="AE233" s="295" t="str">
        <f t="shared" si="28"/>
        <v/>
      </c>
      <c r="AF233" s="283" t="str">
        <f t="shared" si="29"/>
        <v/>
      </c>
      <c r="AG233" s="299" t="str">
        <f>IFERROR(IF(O233="","",VLOOKUP(AD233,'G-3 Multipliers'!$P$3:$Q$6,2,FALSE)),"")</f>
        <v/>
      </c>
      <c r="AH233" s="713" t="str">
        <f>IF(B233="","",IF(ISNA(VLOOKUP($B233,'E-1 Off-Site Hedge Baseline'!$B$1:$Z$257,14,FALSE)),"",(VLOOKUP($B233,'E-1 Off-Site Hedge Baseline'!$B$1:$Z$257,14,FALSE))))</f>
        <v/>
      </c>
      <c r="AI233" s="276" t="str">
        <f>IF(AH233="","",IF(VLOOKUP(AH233,'G-3 Multipliers'!$S$3:$T$10,2,FALSE)=0,"Spatial Data Missing ⚠",VLOOKUP(AH233,'G-3 Multipliers'!$S$3:$T$10,2,FALSE)))</f>
        <v/>
      </c>
      <c r="AJ233" s="317" t="str">
        <f t="shared" si="30"/>
        <v/>
      </c>
      <c r="AK233" s="289" t="str">
        <f t="shared" si="31"/>
        <v/>
      </c>
      <c r="AL233" s="101"/>
      <c r="AM233" s="115"/>
      <c r="AN233" s="104"/>
      <c r="AO233" s="104"/>
      <c r="AQ233" s="30" t="str">
        <f>IFERROR(INDEX('G-6 Hedgerow Data'!$BJ$3:$BJ$15,MATCH(M233,'G-6 Hedgerow Data'!$B$3:$B$15,0)),"")</f>
        <v/>
      </c>
    </row>
    <row r="234" spans="2:43" ht="14">
      <c r="B234" s="305" t="str">
        <f>'E-1 Off-Site Hedge Baseline'!AN232</f>
        <v/>
      </c>
      <c r="C234" s="295" t="str">
        <f>IF(B234="","",IF(ISNA(VLOOKUP($B234,'E-1 Off-Site Hedge Baseline'!$B$1:$L$257,3,FALSE)),"",(VLOOKUP($B234,'E-1 Off-Site Hedge Baseline'!$B$1:$L$257,3,FALSE))))</f>
        <v/>
      </c>
      <c r="D234" s="295" t="str">
        <f>IF(B234="","",IF(ISNA(VLOOKUP($B234,'E-1 Off-Site Hedge Baseline'!$B$1:$L$258,4,FALSE)),"",(VLOOKUP($B234,'E-1 Off-Site Hedge Baseline'!$B$1:$L$258,4,FALSE))))</f>
        <v/>
      </c>
      <c r="E234" s="295" t="str">
        <f>IF(B234="","",IF(ISNA(VLOOKUP($B234,'E-1 Off-Site Hedge Baseline'!$B$1:$L$257,5,FALSE)),"",(VLOOKUP($B234,'E-1 Off-Site Hedge Baseline'!$B$1:$L$257,5,FALSE))))</f>
        <v/>
      </c>
      <c r="F234" s="295" t="str">
        <f>IF(B234="","",IF(ISNA(VLOOKUP($B234,'E-1 Off-Site Hedge Baseline'!$B$1:$L$257,6,FALSE)),"",(VLOOKUP($B234,'E-1 Off-Site Hedge Baseline'!$B$1:$L$257,6,FALSE))))</f>
        <v/>
      </c>
      <c r="G234" s="295" t="str">
        <f>IF(B234="","",IF(ISNA(VLOOKUP($B234,'E-1 Off-Site Hedge Baseline'!$B$1:$L$257,7,FALSE)),"",(VLOOKUP($B234,'E-1 Off-Site Hedge Baseline'!$B$1:$L$257,7,FALSE))))</f>
        <v/>
      </c>
      <c r="H234" s="295" t="str">
        <f>IF(B234="","",IF(ISNA(VLOOKUP($B234,'E-1 Off-Site Hedge Baseline'!$B$1:$L$257,8,FALSE)),"",(VLOOKUP($B234,'E-1 Off-Site Hedge Baseline'!$B$1:$L$257,8,FALSE))))</f>
        <v/>
      </c>
      <c r="I234" s="295" t="str">
        <f>IF(B234="","",IF(ISNA(VLOOKUP($B234,'E-1 Off-Site Hedge Baseline'!$B$1:$L$257,10,FALSE)),"",(VLOOKUP($B234,'E-1 Off-Site Hedge Baseline'!$B$1:$L$257,10,FALSE))))</f>
        <v/>
      </c>
      <c r="J234" s="295" t="str">
        <f>IF(B234="","",IF(ISNA(VLOOKUP($B234,'E-1 Off-Site Hedge Baseline'!$B$1:$L$257,11,FALSE)),"",(VLOOKUP($B234,'E-1 Off-Site Hedge Baseline'!$B$1:$L$257,11,FALSE))))</f>
        <v/>
      </c>
      <c r="K234" s="295" t="str">
        <f>IF(B234="","",IF(ISNA(VLOOKUP($B234,'E-1 Off-Site Hedge Baseline'!$B$1:$X$257,16,FALSE)),"",(VLOOKUP($B234,'E-1 Off-Site Hedge Baseline'!$B$1:$X$257,16,FALSE))))</f>
        <v/>
      </c>
      <c r="L234" s="283" t="str">
        <f>IF(B234="","",IF(ISNA(VLOOKUP($B234,'E-1 Off-Site Hedge Baseline'!$B$1:$X$257,12,FALSE)),"",(VLOOKUP($B234,'E-1 Off-Site Hedge Baseline'!$B$1:$X$257,12,FALSE))))</f>
        <v/>
      </c>
      <c r="M234" s="244"/>
      <c r="N234" s="275" t="str">
        <f>IFERROR(IF(B234="","",INDEX('G-6 Hedgerow Data'!$AN$3:$AZ$15,MATCH(C234,'G-6 Hedgerow Data'!$AM$3:$AM$15,0),MATCH(M234,'G-6 Hedgerow Data'!$AN$2:$AZ$2,0))),"")</f>
        <v/>
      </c>
      <c r="O234" s="276" t="str">
        <f t="shared" si="25"/>
        <v/>
      </c>
      <c r="P234" s="281" t="str">
        <f>IF(B234="","",VLOOKUP(B234,'E-1 Off-Site Hedge Baseline'!$B$10:W479,19,FALSE))</f>
        <v/>
      </c>
      <c r="Q234" s="275" t="str">
        <f>IF(M234="","",VLOOKUP(M234,'G-6 Hedgerow Data'!$B$2:$AG$15,2,FALSE))</f>
        <v/>
      </c>
      <c r="R234" s="276" t="str">
        <f>IF(M234="","",VLOOKUP(M234,'G-6 Hedgerow Data'!$B$2:$AG$15,3,FALSE))</f>
        <v/>
      </c>
      <c r="S234" s="101"/>
      <c r="T234" s="276" t="str">
        <f>IFERROR(IF(S234="","",IF(AND(M234="Non-native and ornamental hedgerow",S234&lt;&gt;"Poor"),"Not possible ▲",(IF(AND(Q234="V.Low",OR(S234="Good",S234="Moderate")),"Error ▲",VLOOKUP(S234,'G-1 All Habitats'!$Z$2:$AA$9,2,FALSE))))),"")</f>
        <v/>
      </c>
      <c r="U234" s="101"/>
      <c r="V234" s="283" t="str">
        <f>IF(U234="","",IF(VLOOKUP(U234,'G-3 Multipliers'!$L$3:$N$6,2,FALSE)=0,"Spatial Data Missing ⚠",VLOOKUP(U234,'G-3 Multipliers'!$L$3:$N$6,2,FALSE)))</f>
        <v/>
      </c>
      <c r="W234" s="281" t="str">
        <f>IF(U234="","",IF(VLOOKUP(U234,'G-3 Multipliers'!$L$3:$N$6,3,FALSE)=0,"Spatial Data Missing ⚠",VLOOKUP(U234,'G-3 Multipliers'!$L$3:$N$6,3,FALSE)))</f>
        <v/>
      </c>
      <c r="X234" s="275" t="str">
        <f>IFERROR(IF(OR(LEFT(O234,5)="Error",LEFT(N234,5)="Error",T234="Error"),"Check Data ⚠",IF(F234&lt;R234,INDEX('G-6 Hedgerow Data'!$S$3:$AE$14,MATCH(C234,'G-6 Hedgerow Data'!$B$3:$B$14,0),MATCH(M234,'G-6 Hedgerow Data'!$S$2:$AE$2,0)),INDEX('G-6 Hedgerow Data'!$K$3:$Q$14,MATCH(M234,'G-6 Hedgerow Data'!$B$3:$B$14,0),MATCH(O234,'G-6 Hedgerow Data'!$K$2:$Q$2,0)))),"")</f>
        <v/>
      </c>
      <c r="Y234" s="133"/>
      <c r="Z234" s="133"/>
      <c r="AA234" s="283" t="str">
        <f t="shared" si="26"/>
        <v/>
      </c>
      <c r="AB234" s="296" t="str">
        <f t="shared" si="27"/>
        <v/>
      </c>
      <c r="AC234" s="297" t="str">
        <f t="shared" si="24"/>
        <v/>
      </c>
      <c r="AD234" s="311" t="str">
        <f>IF(M234="","",VLOOKUP(M234,'G-6 Hedgerow Data'!$B$3:$AG$15,31,FALSE))</f>
        <v/>
      </c>
      <c r="AE234" s="295" t="str">
        <f t="shared" si="28"/>
        <v/>
      </c>
      <c r="AF234" s="283" t="str">
        <f t="shared" si="29"/>
        <v/>
      </c>
      <c r="AG234" s="299" t="str">
        <f>IFERROR(IF(O234="","",VLOOKUP(AD234,'G-3 Multipliers'!$P$3:$Q$6,2,FALSE)),"")</f>
        <v/>
      </c>
      <c r="AH234" s="713" t="str">
        <f>IF(B234="","",IF(ISNA(VLOOKUP($B234,'E-1 Off-Site Hedge Baseline'!$B$1:$Z$257,14,FALSE)),"",(VLOOKUP($B234,'E-1 Off-Site Hedge Baseline'!$B$1:$Z$257,14,FALSE))))</f>
        <v/>
      </c>
      <c r="AI234" s="276" t="str">
        <f>IF(AH234="","",IF(VLOOKUP(AH234,'G-3 Multipliers'!$S$3:$T$10,2,FALSE)=0,"Spatial Data Missing ⚠",VLOOKUP(AH234,'G-3 Multipliers'!$S$3:$T$10,2,FALSE)))</f>
        <v/>
      </c>
      <c r="AJ234" s="317" t="str">
        <f t="shared" si="30"/>
        <v/>
      </c>
      <c r="AK234" s="289" t="str">
        <f t="shared" si="31"/>
        <v/>
      </c>
      <c r="AL234" s="101"/>
      <c r="AM234" s="115"/>
      <c r="AN234" s="104"/>
      <c r="AO234" s="104"/>
      <c r="AQ234" s="30" t="str">
        <f>IFERROR(INDEX('G-6 Hedgerow Data'!$BJ$3:$BJ$15,MATCH(M234,'G-6 Hedgerow Data'!$B$3:$B$15,0)),"")</f>
        <v/>
      </c>
    </row>
    <row r="235" spans="2:43" ht="14">
      <c r="B235" s="305" t="str">
        <f>'E-1 Off-Site Hedge Baseline'!AN233</f>
        <v/>
      </c>
      <c r="C235" s="295" t="str">
        <f>IF(B235="","",IF(ISNA(VLOOKUP($B235,'E-1 Off-Site Hedge Baseline'!$B$1:$L$257,3,FALSE)),"",(VLOOKUP($B235,'E-1 Off-Site Hedge Baseline'!$B$1:$L$257,3,FALSE))))</f>
        <v/>
      </c>
      <c r="D235" s="295" t="str">
        <f>IF(B235="","",IF(ISNA(VLOOKUP($B235,'E-1 Off-Site Hedge Baseline'!$B$1:$L$258,4,FALSE)),"",(VLOOKUP($B235,'E-1 Off-Site Hedge Baseline'!$B$1:$L$258,4,FALSE))))</f>
        <v/>
      </c>
      <c r="E235" s="295" t="str">
        <f>IF(B235="","",IF(ISNA(VLOOKUP($B235,'E-1 Off-Site Hedge Baseline'!$B$1:$L$257,5,FALSE)),"",(VLOOKUP($B235,'E-1 Off-Site Hedge Baseline'!$B$1:$L$257,5,FALSE))))</f>
        <v/>
      </c>
      <c r="F235" s="295" t="str">
        <f>IF(B235="","",IF(ISNA(VLOOKUP($B235,'E-1 Off-Site Hedge Baseline'!$B$1:$L$257,6,FALSE)),"",(VLOOKUP($B235,'E-1 Off-Site Hedge Baseline'!$B$1:$L$257,6,FALSE))))</f>
        <v/>
      </c>
      <c r="G235" s="295" t="str">
        <f>IF(B235="","",IF(ISNA(VLOOKUP($B235,'E-1 Off-Site Hedge Baseline'!$B$1:$L$257,7,FALSE)),"",(VLOOKUP($B235,'E-1 Off-Site Hedge Baseline'!$B$1:$L$257,7,FALSE))))</f>
        <v/>
      </c>
      <c r="H235" s="295" t="str">
        <f>IF(B235="","",IF(ISNA(VLOOKUP($B235,'E-1 Off-Site Hedge Baseline'!$B$1:$L$257,8,FALSE)),"",(VLOOKUP($B235,'E-1 Off-Site Hedge Baseline'!$B$1:$L$257,8,FALSE))))</f>
        <v/>
      </c>
      <c r="I235" s="295" t="str">
        <f>IF(B235="","",IF(ISNA(VLOOKUP($B235,'E-1 Off-Site Hedge Baseline'!$B$1:$L$257,10,FALSE)),"",(VLOOKUP($B235,'E-1 Off-Site Hedge Baseline'!$B$1:$L$257,10,FALSE))))</f>
        <v/>
      </c>
      <c r="J235" s="295" t="str">
        <f>IF(B235="","",IF(ISNA(VLOOKUP($B235,'E-1 Off-Site Hedge Baseline'!$B$1:$L$257,11,FALSE)),"",(VLOOKUP($B235,'E-1 Off-Site Hedge Baseline'!$B$1:$L$257,11,FALSE))))</f>
        <v/>
      </c>
      <c r="K235" s="295" t="str">
        <f>IF(B235="","",IF(ISNA(VLOOKUP($B235,'E-1 Off-Site Hedge Baseline'!$B$1:$X$257,16,FALSE)),"",(VLOOKUP($B235,'E-1 Off-Site Hedge Baseline'!$B$1:$X$257,16,FALSE))))</f>
        <v/>
      </c>
      <c r="L235" s="283" t="str">
        <f>IF(B235="","",IF(ISNA(VLOOKUP($B235,'E-1 Off-Site Hedge Baseline'!$B$1:$X$257,12,FALSE)),"",(VLOOKUP($B235,'E-1 Off-Site Hedge Baseline'!$B$1:$X$257,12,FALSE))))</f>
        <v/>
      </c>
      <c r="M235" s="244"/>
      <c r="N235" s="275" t="str">
        <f>IFERROR(IF(B235="","",INDEX('G-6 Hedgerow Data'!$AN$3:$AZ$15,MATCH(C235,'G-6 Hedgerow Data'!$AM$3:$AM$15,0),MATCH(M235,'G-6 Hedgerow Data'!$AN$2:$AZ$2,0))),"")</f>
        <v/>
      </c>
      <c r="O235" s="276" t="str">
        <f t="shared" si="25"/>
        <v/>
      </c>
      <c r="P235" s="281" t="str">
        <f>IF(B235="","",VLOOKUP(B235,'E-1 Off-Site Hedge Baseline'!$B$10:W480,19,FALSE))</f>
        <v/>
      </c>
      <c r="Q235" s="275" t="str">
        <f>IF(M235="","",VLOOKUP(M235,'G-6 Hedgerow Data'!$B$2:$AG$15,2,FALSE))</f>
        <v/>
      </c>
      <c r="R235" s="276" t="str">
        <f>IF(M235="","",VLOOKUP(M235,'G-6 Hedgerow Data'!$B$2:$AG$15,3,FALSE))</f>
        <v/>
      </c>
      <c r="S235" s="101"/>
      <c r="T235" s="276" t="str">
        <f>IFERROR(IF(S235="","",IF(AND(M235="Non-native and ornamental hedgerow",S235&lt;&gt;"Poor"),"Not possible ▲",(IF(AND(Q235="V.Low",OR(S235="Good",S235="Moderate")),"Error ▲",VLOOKUP(S235,'G-1 All Habitats'!$Z$2:$AA$9,2,FALSE))))),"")</f>
        <v/>
      </c>
      <c r="U235" s="101"/>
      <c r="V235" s="283" t="str">
        <f>IF(U235="","",IF(VLOOKUP(U235,'G-3 Multipliers'!$L$3:$N$6,2,FALSE)=0,"Spatial Data Missing ⚠",VLOOKUP(U235,'G-3 Multipliers'!$L$3:$N$6,2,FALSE)))</f>
        <v/>
      </c>
      <c r="W235" s="281" t="str">
        <f>IF(U235="","",IF(VLOOKUP(U235,'G-3 Multipliers'!$L$3:$N$6,3,FALSE)=0,"Spatial Data Missing ⚠",VLOOKUP(U235,'G-3 Multipliers'!$L$3:$N$6,3,FALSE)))</f>
        <v/>
      </c>
      <c r="X235" s="275" t="str">
        <f>IFERROR(IF(OR(LEFT(O235,5)="Error",LEFT(N235,5)="Error",T235="Error"),"Check Data ⚠",IF(F235&lt;R235,INDEX('G-6 Hedgerow Data'!$S$3:$AE$14,MATCH(C235,'G-6 Hedgerow Data'!$B$3:$B$14,0),MATCH(M235,'G-6 Hedgerow Data'!$S$2:$AE$2,0)),INDEX('G-6 Hedgerow Data'!$K$3:$Q$14,MATCH(M235,'G-6 Hedgerow Data'!$B$3:$B$14,0),MATCH(O235,'G-6 Hedgerow Data'!$K$2:$Q$2,0)))),"")</f>
        <v/>
      </c>
      <c r="Y235" s="133"/>
      <c r="Z235" s="133"/>
      <c r="AA235" s="283" t="str">
        <f t="shared" si="26"/>
        <v/>
      </c>
      <c r="AB235" s="296" t="str">
        <f t="shared" si="27"/>
        <v/>
      </c>
      <c r="AC235" s="297" t="str">
        <f t="shared" si="24"/>
        <v/>
      </c>
      <c r="AD235" s="311" t="str">
        <f>IF(M235="","",VLOOKUP(M235,'G-6 Hedgerow Data'!$B$3:$AG$15,31,FALSE))</f>
        <v/>
      </c>
      <c r="AE235" s="295" t="str">
        <f t="shared" si="28"/>
        <v/>
      </c>
      <c r="AF235" s="283" t="str">
        <f t="shared" si="29"/>
        <v/>
      </c>
      <c r="AG235" s="299" t="str">
        <f>IFERROR(IF(O235="","",VLOOKUP(AD235,'G-3 Multipliers'!$P$3:$Q$6,2,FALSE)),"")</f>
        <v/>
      </c>
      <c r="AH235" s="713" t="str">
        <f>IF(B235="","",IF(ISNA(VLOOKUP($B235,'E-1 Off-Site Hedge Baseline'!$B$1:$Z$257,14,FALSE)),"",(VLOOKUP($B235,'E-1 Off-Site Hedge Baseline'!$B$1:$Z$257,14,FALSE))))</f>
        <v/>
      </c>
      <c r="AI235" s="276" t="str">
        <f>IF(AH235="","",IF(VLOOKUP(AH235,'G-3 Multipliers'!$S$3:$T$10,2,FALSE)=0,"Spatial Data Missing ⚠",VLOOKUP(AH235,'G-3 Multipliers'!$S$3:$T$10,2,FALSE)))</f>
        <v/>
      </c>
      <c r="AJ235" s="317" t="str">
        <f t="shared" si="30"/>
        <v/>
      </c>
      <c r="AK235" s="289" t="str">
        <f t="shared" si="31"/>
        <v/>
      </c>
      <c r="AL235" s="101"/>
      <c r="AM235" s="115"/>
      <c r="AN235" s="104"/>
      <c r="AO235" s="104"/>
      <c r="AQ235" s="30" t="str">
        <f>IFERROR(INDEX('G-6 Hedgerow Data'!$BJ$3:$BJ$15,MATCH(M235,'G-6 Hedgerow Data'!$B$3:$B$15,0)),"")</f>
        <v/>
      </c>
    </row>
    <row r="236" spans="2:43" ht="14">
      <c r="B236" s="305" t="str">
        <f>'E-1 Off-Site Hedge Baseline'!AN234</f>
        <v/>
      </c>
      <c r="C236" s="295" t="str">
        <f>IF(B236="","",IF(ISNA(VLOOKUP($B236,'E-1 Off-Site Hedge Baseline'!$B$1:$L$257,3,FALSE)),"",(VLOOKUP($B236,'E-1 Off-Site Hedge Baseline'!$B$1:$L$257,3,FALSE))))</f>
        <v/>
      </c>
      <c r="D236" s="295" t="str">
        <f>IF(B236="","",IF(ISNA(VLOOKUP($B236,'E-1 Off-Site Hedge Baseline'!$B$1:$L$258,4,FALSE)),"",(VLOOKUP($B236,'E-1 Off-Site Hedge Baseline'!$B$1:$L$258,4,FALSE))))</f>
        <v/>
      </c>
      <c r="E236" s="295" t="str">
        <f>IF(B236="","",IF(ISNA(VLOOKUP($B236,'E-1 Off-Site Hedge Baseline'!$B$1:$L$257,5,FALSE)),"",(VLOOKUP($B236,'E-1 Off-Site Hedge Baseline'!$B$1:$L$257,5,FALSE))))</f>
        <v/>
      </c>
      <c r="F236" s="295" t="str">
        <f>IF(B236="","",IF(ISNA(VLOOKUP($B236,'E-1 Off-Site Hedge Baseline'!$B$1:$L$257,6,FALSE)),"",(VLOOKUP($B236,'E-1 Off-Site Hedge Baseline'!$B$1:$L$257,6,FALSE))))</f>
        <v/>
      </c>
      <c r="G236" s="295" t="str">
        <f>IF(B236="","",IF(ISNA(VLOOKUP($B236,'E-1 Off-Site Hedge Baseline'!$B$1:$L$257,7,FALSE)),"",(VLOOKUP($B236,'E-1 Off-Site Hedge Baseline'!$B$1:$L$257,7,FALSE))))</f>
        <v/>
      </c>
      <c r="H236" s="295" t="str">
        <f>IF(B236="","",IF(ISNA(VLOOKUP($B236,'E-1 Off-Site Hedge Baseline'!$B$1:$L$257,8,FALSE)),"",(VLOOKUP($B236,'E-1 Off-Site Hedge Baseline'!$B$1:$L$257,8,FALSE))))</f>
        <v/>
      </c>
      <c r="I236" s="295" t="str">
        <f>IF(B236="","",IF(ISNA(VLOOKUP($B236,'E-1 Off-Site Hedge Baseline'!$B$1:$L$257,10,FALSE)),"",(VLOOKUP($B236,'E-1 Off-Site Hedge Baseline'!$B$1:$L$257,10,FALSE))))</f>
        <v/>
      </c>
      <c r="J236" s="295" t="str">
        <f>IF(B236="","",IF(ISNA(VLOOKUP($B236,'E-1 Off-Site Hedge Baseline'!$B$1:$L$257,11,FALSE)),"",(VLOOKUP($B236,'E-1 Off-Site Hedge Baseline'!$B$1:$L$257,11,FALSE))))</f>
        <v/>
      </c>
      <c r="K236" s="295" t="str">
        <f>IF(B236="","",IF(ISNA(VLOOKUP($B236,'E-1 Off-Site Hedge Baseline'!$B$1:$X$257,16,FALSE)),"",(VLOOKUP($B236,'E-1 Off-Site Hedge Baseline'!$B$1:$X$257,16,FALSE))))</f>
        <v/>
      </c>
      <c r="L236" s="283" t="str">
        <f>IF(B236="","",IF(ISNA(VLOOKUP($B236,'E-1 Off-Site Hedge Baseline'!$B$1:$X$257,12,FALSE)),"",(VLOOKUP($B236,'E-1 Off-Site Hedge Baseline'!$B$1:$X$257,12,FALSE))))</f>
        <v/>
      </c>
      <c r="M236" s="244"/>
      <c r="N236" s="275" t="str">
        <f>IFERROR(IF(B236="","",INDEX('G-6 Hedgerow Data'!$AN$3:$AZ$15,MATCH(C236,'G-6 Hedgerow Data'!$AM$3:$AM$15,0),MATCH(M236,'G-6 Hedgerow Data'!$AN$2:$AZ$2,0))),"")</f>
        <v/>
      </c>
      <c r="O236" s="276" t="str">
        <f t="shared" si="25"/>
        <v/>
      </c>
      <c r="P236" s="281" t="str">
        <f>IF(B236="","",VLOOKUP(B236,'E-1 Off-Site Hedge Baseline'!$B$10:W481,19,FALSE))</f>
        <v/>
      </c>
      <c r="Q236" s="275" t="str">
        <f>IF(M236="","",VLOOKUP(M236,'G-6 Hedgerow Data'!$B$2:$AG$15,2,FALSE))</f>
        <v/>
      </c>
      <c r="R236" s="276" t="str">
        <f>IF(M236="","",VLOOKUP(M236,'G-6 Hedgerow Data'!$B$2:$AG$15,3,FALSE))</f>
        <v/>
      </c>
      <c r="S236" s="101"/>
      <c r="T236" s="276" t="str">
        <f>IFERROR(IF(S236="","",IF(AND(M236="Non-native and ornamental hedgerow",S236&lt;&gt;"Poor"),"Not possible ▲",(IF(AND(Q236="V.Low",OR(S236="Good",S236="Moderate")),"Error ▲",VLOOKUP(S236,'G-1 All Habitats'!$Z$2:$AA$9,2,FALSE))))),"")</f>
        <v/>
      </c>
      <c r="U236" s="101"/>
      <c r="V236" s="283" t="str">
        <f>IF(U236="","",IF(VLOOKUP(U236,'G-3 Multipliers'!$L$3:$N$6,2,FALSE)=0,"Spatial Data Missing ⚠",VLOOKUP(U236,'G-3 Multipliers'!$L$3:$N$6,2,FALSE)))</f>
        <v/>
      </c>
      <c r="W236" s="281" t="str">
        <f>IF(U236="","",IF(VLOOKUP(U236,'G-3 Multipliers'!$L$3:$N$6,3,FALSE)=0,"Spatial Data Missing ⚠",VLOOKUP(U236,'G-3 Multipliers'!$L$3:$N$6,3,FALSE)))</f>
        <v/>
      </c>
      <c r="X236" s="275" t="str">
        <f>IFERROR(IF(OR(LEFT(O236,5)="Error",LEFT(N236,5)="Error",T236="Error"),"Check Data ⚠",IF(F236&lt;R236,INDEX('G-6 Hedgerow Data'!$S$3:$AE$14,MATCH(C236,'G-6 Hedgerow Data'!$B$3:$B$14,0),MATCH(M236,'G-6 Hedgerow Data'!$S$2:$AE$2,0)),INDEX('G-6 Hedgerow Data'!$K$3:$Q$14,MATCH(M236,'G-6 Hedgerow Data'!$B$3:$B$14,0),MATCH(O236,'G-6 Hedgerow Data'!$K$2:$Q$2,0)))),"")</f>
        <v/>
      </c>
      <c r="Y236" s="133"/>
      <c r="Z236" s="133"/>
      <c r="AA236" s="283" t="str">
        <f t="shared" si="26"/>
        <v/>
      </c>
      <c r="AB236" s="296" t="str">
        <f t="shared" si="27"/>
        <v/>
      </c>
      <c r="AC236" s="297" t="str">
        <f t="shared" si="24"/>
        <v/>
      </c>
      <c r="AD236" s="311" t="str">
        <f>IF(M236="","",VLOOKUP(M236,'G-6 Hedgerow Data'!$B$3:$AG$15,31,FALSE))</f>
        <v/>
      </c>
      <c r="AE236" s="295" t="str">
        <f t="shared" si="28"/>
        <v/>
      </c>
      <c r="AF236" s="283" t="str">
        <f t="shared" si="29"/>
        <v/>
      </c>
      <c r="AG236" s="299" t="str">
        <f>IFERROR(IF(O236="","",VLOOKUP(AD236,'G-3 Multipliers'!$P$3:$Q$6,2,FALSE)),"")</f>
        <v/>
      </c>
      <c r="AH236" s="713" t="str">
        <f>IF(B236="","",IF(ISNA(VLOOKUP($B236,'E-1 Off-Site Hedge Baseline'!$B$1:$Z$257,14,FALSE)),"",(VLOOKUP($B236,'E-1 Off-Site Hedge Baseline'!$B$1:$Z$257,14,FALSE))))</f>
        <v/>
      </c>
      <c r="AI236" s="276" t="str">
        <f>IF(AH236="","",IF(VLOOKUP(AH236,'G-3 Multipliers'!$S$3:$T$10,2,FALSE)=0,"Spatial Data Missing ⚠",VLOOKUP(AH236,'G-3 Multipliers'!$S$3:$T$10,2,FALSE)))</f>
        <v/>
      </c>
      <c r="AJ236" s="317" t="str">
        <f t="shared" si="30"/>
        <v/>
      </c>
      <c r="AK236" s="289" t="str">
        <f t="shared" si="31"/>
        <v/>
      </c>
      <c r="AL236" s="101"/>
      <c r="AM236" s="115"/>
      <c r="AN236" s="104"/>
      <c r="AO236" s="104"/>
      <c r="AQ236" s="30" t="str">
        <f>IFERROR(INDEX('G-6 Hedgerow Data'!$BJ$3:$BJ$15,MATCH(M236,'G-6 Hedgerow Data'!$B$3:$B$15,0)),"")</f>
        <v/>
      </c>
    </row>
    <row r="237" spans="2:43" ht="14">
      <c r="B237" s="305" t="str">
        <f>'E-1 Off-Site Hedge Baseline'!AN235</f>
        <v/>
      </c>
      <c r="C237" s="295" t="str">
        <f>IF(B237="","",IF(ISNA(VLOOKUP($B237,'E-1 Off-Site Hedge Baseline'!$B$1:$L$257,3,FALSE)),"",(VLOOKUP($B237,'E-1 Off-Site Hedge Baseline'!$B$1:$L$257,3,FALSE))))</f>
        <v/>
      </c>
      <c r="D237" s="295" t="str">
        <f>IF(B237="","",IF(ISNA(VLOOKUP($B237,'E-1 Off-Site Hedge Baseline'!$B$1:$L$258,4,FALSE)),"",(VLOOKUP($B237,'E-1 Off-Site Hedge Baseline'!$B$1:$L$258,4,FALSE))))</f>
        <v/>
      </c>
      <c r="E237" s="295" t="str">
        <f>IF(B237="","",IF(ISNA(VLOOKUP($B237,'E-1 Off-Site Hedge Baseline'!$B$1:$L$257,5,FALSE)),"",(VLOOKUP($B237,'E-1 Off-Site Hedge Baseline'!$B$1:$L$257,5,FALSE))))</f>
        <v/>
      </c>
      <c r="F237" s="295" t="str">
        <f>IF(B237="","",IF(ISNA(VLOOKUP($B237,'E-1 Off-Site Hedge Baseline'!$B$1:$L$257,6,FALSE)),"",(VLOOKUP($B237,'E-1 Off-Site Hedge Baseline'!$B$1:$L$257,6,FALSE))))</f>
        <v/>
      </c>
      <c r="G237" s="295" t="str">
        <f>IF(B237="","",IF(ISNA(VLOOKUP($B237,'E-1 Off-Site Hedge Baseline'!$B$1:$L$257,7,FALSE)),"",(VLOOKUP($B237,'E-1 Off-Site Hedge Baseline'!$B$1:$L$257,7,FALSE))))</f>
        <v/>
      </c>
      <c r="H237" s="295" t="str">
        <f>IF(B237="","",IF(ISNA(VLOOKUP($B237,'E-1 Off-Site Hedge Baseline'!$B$1:$L$257,8,FALSE)),"",(VLOOKUP($B237,'E-1 Off-Site Hedge Baseline'!$B$1:$L$257,8,FALSE))))</f>
        <v/>
      </c>
      <c r="I237" s="295" t="str">
        <f>IF(B237="","",IF(ISNA(VLOOKUP($B237,'E-1 Off-Site Hedge Baseline'!$B$1:$L$257,10,FALSE)),"",(VLOOKUP($B237,'E-1 Off-Site Hedge Baseline'!$B$1:$L$257,10,FALSE))))</f>
        <v/>
      </c>
      <c r="J237" s="295" t="str">
        <f>IF(B237="","",IF(ISNA(VLOOKUP($B237,'E-1 Off-Site Hedge Baseline'!$B$1:$L$257,11,FALSE)),"",(VLOOKUP($B237,'E-1 Off-Site Hedge Baseline'!$B$1:$L$257,11,FALSE))))</f>
        <v/>
      </c>
      <c r="K237" s="295" t="str">
        <f>IF(B237="","",IF(ISNA(VLOOKUP($B237,'E-1 Off-Site Hedge Baseline'!$B$1:$X$257,16,FALSE)),"",(VLOOKUP($B237,'E-1 Off-Site Hedge Baseline'!$B$1:$X$257,16,FALSE))))</f>
        <v/>
      </c>
      <c r="L237" s="283" t="str">
        <f>IF(B237="","",IF(ISNA(VLOOKUP($B237,'E-1 Off-Site Hedge Baseline'!$B$1:$X$257,12,FALSE)),"",(VLOOKUP($B237,'E-1 Off-Site Hedge Baseline'!$B$1:$X$257,12,FALSE))))</f>
        <v/>
      </c>
      <c r="M237" s="244"/>
      <c r="N237" s="275" t="str">
        <f>IFERROR(IF(B237="","",INDEX('G-6 Hedgerow Data'!$AN$3:$AZ$15,MATCH(C237,'G-6 Hedgerow Data'!$AM$3:$AM$15,0),MATCH(M237,'G-6 Hedgerow Data'!$AN$2:$AZ$2,0))),"")</f>
        <v/>
      </c>
      <c r="O237" s="276" t="str">
        <f t="shared" si="25"/>
        <v/>
      </c>
      <c r="P237" s="281" t="str">
        <f>IF(B237="","",VLOOKUP(B237,'E-1 Off-Site Hedge Baseline'!$B$10:W482,19,FALSE))</f>
        <v/>
      </c>
      <c r="Q237" s="275" t="str">
        <f>IF(M237="","",VLOOKUP(M237,'G-6 Hedgerow Data'!$B$2:$AG$15,2,FALSE))</f>
        <v/>
      </c>
      <c r="R237" s="276" t="str">
        <f>IF(M237="","",VLOOKUP(M237,'G-6 Hedgerow Data'!$B$2:$AG$15,3,FALSE))</f>
        <v/>
      </c>
      <c r="S237" s="101"/>
      <c r="T237" s="276" t="str">
        <f>IFERROR(IF(S237="","",IF(AND(M237="Non-native and ornamental hedgerow",S237&lt;&gt;"Poor"),"Not possible ▲",(IF(AND(Q237="V.Low",OR(S237="Good",S237="Moderate")),"Error ▲",VLOOKUP(S237,'G-1 All Habitats'!$Z$2:$AA$9,2,FALSE))))),"")</f>
        <v/>
      </c>
      <c r="U237" s="101"/>
      <c r="V237" s="283" t="str">
        <f>IF(U237="","",IF(VLOOKUP(U237,'G-3 Multipliers'!$L$3:$N$6,2,FALSE)=0,"Spatial Data Missing ⚠",VLOOKUP(U237,'G-3 Multipliers'!$L$3:$N$6,2,FALSE)))</f>
        <v/>
      </c>
      <c r="W237" s="281" t="str">
        <f>IF(U237="","",IF(VLOOKUP(U237,'G-3 Multipliers'!$L$3:$N$6,3,FALSE)=0,"Spatial Data Missing ⚠",VLOOKUP(U237,'G-3 Multipliers'!$L$3:$N$6,3,FALSE)))</f>
        <v/>
      </c>
      <c r="X237" s="275" t="str">
        <f>IFERROR(IF(OR(LEFT(O237,5)="Error",LEFT(N237,5)="Error",T237="Error"),"Check Data ⚠",IF(F237&lt;R237,INDEX('G-6 Hedgerow Data'!$S$3:$AE$14,MATCH(C237,'G-6 Hedgerow Data'!$B$3:$B$14,0),MATCH(M237,'G-6 Hedgerow Data'!$S$2:$AE$2,0)),INDEX('G-6 Hedgerow Data'!$K$3:$Q$14,MATCH(M237,'G-6 Hedgerow Data'!$B$3:$B$14,0),MATCH(O237,'G-6 Hedgerow Data'!$K$2:$Q$2,0)))),"")</f>
        <v/>
      </c>
      <c r="Y237" s="133"/>
      <c r="Z237" s="133"/>
      <c r="AA237" s="283" t="str">
        <f t="shared" si="26"/>
        <v/>
      </c>
      <c r="AB237" s="296" t="str">
        <f t="shared" si="27"/>
        <v/>
      </c>
      <c r="AC237" s="297" t="str">
        <f t="shared" si="24"/>
        <v/>
      </c>
      <c r="AD237" s="311" t="str">
        <f>IF(M237="","",VLOOKUP(M237,'G-6 Hedgerow Data'!$B$3:$AG$15,31,FALSE))</f>
        <v/>
      </c>
      <c r="AE237" s="295" t="str">
        <f t="shared" si="28"/>
        <v/>
      </c>
      <c r="AF237" s="283" t="str">
        <f t="shared" si="29"/>
        <v/>
      </c>
      <c r="AG237" s="299" t="str">
        <f>IFERROR(IF(O237="","",VLOOKUP(AD237,'G-3 Multipliers'!$P$3:$Q$6,2,FALSE)),"")</f>
        <v/>
      </c>
      <c r="AH237" s="713" t="str">
        <f>IF(B237="","",IF(ISNA(VLOOKUP($B237,'E-1 Off-Site Hedge Baseline'!$B$1:$Z$257,14,FALSE)),"",(VLOOKUP($B237,'E-1 Off-Site Hedge Baseline'!$B$1:$Z$257,14,FALSE))))</f>
        <v/>
      </c>
      <c r="AI237" s="276" t="str">
        <f>IF(AH237="","",IF(VLOOKUP(AH237,'G-3 Multipliers'!$S$3:$T$10,2,FALSE)=0,"Spatial Data Missing ⚠",VLOOKUP(AH237,'G-3 Multipliers'!$S$3:$T$10,2,FALSE)))</f>
        <v/>
      </c>
      <c r="AJ237" s="317" t="str">
        <f t="shared" si="30"/>
        <v/>
      </c>
      <c r="AK237" s="289" t="str">
        <f t="shared" si="31"/>
        <v/>
      </c>
      <c r="AL237" s="101"/>
      <c r="AM237" s="115"/>
      <c r="AN237" s="104"/>
      <c r="AO237" s="104"/>
      <c r="AQ237" s="30" t="str">
        <f>IFERROR(INDEX('G-6 Hedgerow Data'!$BJ$3:$BJ$15,MATCH(M237,'G-6 Hedgerow Data'!$B$3:$B$15,0)),"")</f>
        <v/>
      </c>
    </row>
    <row r="238" spans="2:43" ht="14">
      <c r="B238" s="305" t="str">
        <f>'E-1 Off-Site Hedge Baseline'!AN236</f>
        <v/>
      </c>
      <c r="C238" s="295" t="str">
        <f>IF(B238="","",IF(ISNA(VLOOKUP($B238,'E-1 Off-Site Hedge Baseline'!$B$1:$L$257,3,FALSE)),"",(VLOOKUP($B238,'E-1 Off-Site Hedge Baseline'!$B$1:$L$257,3,FALSE))))</f>
        <v/>
      </c>
      <c r="D238" s="295" t="str">
        <f>IF(B238="","",IF(ISNA(VLOOKUP($B238,'E-1 Off-Site Hedge Baseline'!$B$1:$L$258,4,FALSE)),"",(VLOOKUP($B238,'E-1 Off-Site Hedge Baseline'!$B$1:$L$258,4,FALSE))))</f>
        <v/>
      </c>
      <c r="E238" s="295" t="str">
        <f>IF(B238="","",IF(ISNA(VLOOKUP($B238,'E-1 Off-Site Hedge Baseline'!$B$1:$L$257,5,FALSE)),"",(VLOOKUP($B238,'E-1 Off-Site Hedge Baseline'!$B$1:$L$257,5,FALSE))))</f>
        <v/>
      </c>
      <c r="F238" s="295" t="str">
        <f>IF(B238="","",IF(ISNA(VLOOKUP($B238,'E-1 Off-Site Hedge Baseline'!$B$1:$L$257,6,FALSE)),"",(VLOOKUP($B238,'E-1 Off-Site Hedge Baseline'!$B$1:$L$257,6,FALSE))))</f>
        <v/>
      </c>
      <c r="G238" s="295" t="str">
        <f>IF(B238="","",IF(ISNA(VLOOKUP($B238,'E-1 Off-Site Hedge Baseline'!$B$1:$L$257,7,FALSE)),"",(VLOOKUP($B238,'E-1 Off-Site Hedge Baseline'!$B$1:$L$257,7,FALSE))))</f>
        <v/>
      </c>
      <c r="H238" s="295" t="str">
        <f>IF(B238="","",IF(ISNA(VLOOKUP($B238,'E-1 Off-Site Hedge Baseline'!$B$1:$L$257,8,FALSE)),"",(VLOOKUP($B238,'E-1 Off-Site Hedge Baseline'!$B$1:$L$257,8,FALSE))))</f>
        <v/>
      </c>
      <c r="I238" s="295" t="str">
        <f>IF(B238="","",IF(ISNA(VLOOKUP($B238,'E-1 Off-Site Hedge Baseline'!$B$1:$L$257,10,FALSE)),"",(VLOOKUP($B238,'E-1 Off-Site Hedge Baseline'!$B$1:$L$257,10,FALSE))))</f>
        <v/>
      </c>
      <c r="J238" s="295" t="str">
        <f>IF(B238="","",IF(ISNA(VLOOKUP($B238,'E-1 Off-Site Hedge Baseline'!$B$1:$L$257,11,FALSE)),"",(VLOOKUP($B238,'E-1 Off-Site Hedge Baseline'!$B$1:$L$257,11,FALSE))))</f>
        <v/>
      </c>
      <c r="K238" s="295" t="str">
        <f>IF(B238="","",IF(ISNA(VLOOKUP($B238,'E-1 Off-Site Hedge Baseline'!$B$1:$X$257,16,FALSE)),"",(VLOOKUP($B238,'E-1 Off-Site Hedge Baseline'!$B$1:$X$257,16,FALSE))))</f>
        <v/>
      </c>
      <c r="L238" s="283" t="str">
        <f>IF(B238="","",IF(ISNA(VLOOKUP($B238,'E-1 Off-Site Hedge Baseline'!$B$1:$X$257,12,FALSE)),"",(VLOOKUP($B238,'E-1 Off-Site Hedge Baseline'!$B$1:$X$257,12,FALSE))))</f>
        <v/>
      </c>
      <c r="M238" s="244"/>
      <c r="N238" s="275" t="str">
        <f>IFERROR(IF(B238="","",INDEX('G-6 Hedgerow Data'!$AN$3:$AZ$15,MATCH(C238,'G-6 Hedgerow Data'!$AM$3:$AM$15,0),MATCH(M238,'G-6 Hedgerow Data'!$AN$2:$AZ$2,0))),"")</f>
        <v/>
      </c>
      <c r="O238" s="276" t="str">
        <f t="shared" si="25"/>
        <v/>
      </c>
      <c r="P238" s="281" t="str">
        <f>IF(B238="","",VLOOKUP(B238,'E-1 Off-Site Hedge Baseline'!$B$10:W483,19,FALSE))</f>
        <v/>
      </c>
      <c r="Q238" s="275" t="str">
        <f>IF(M238="","",VLOOKUP(M238,'G-6 Hedgerow Data'!$B$2:$AG$15,2,FALSE))</f>
        <v/>
      </c>
      <c r="R238" s="276" t="str">
        <f>IF(M238="","",VLOOKUP(M238,'G-6 Hedgerow Data'!$B$2:$AG$15,3,FALSE))</f>
        <v/>
      </c>
      <c r="S238" s="101"/>
      <c r="T238" s="276" t="str">
        <f>IFERROR(IF(S238="","",IF(AND(M238="Non-native and ornamental hedgerow",S238&lt;&gt;"Poor"),"Not possible ▲",(IF(AND(Q238="V.Low",OR(S238="Good",S238="Moderate")),"Error ▲",VLOOKUP(S238,'G-1 All Habitats'!$Z$2:$AA$9,2,FALSE))))),"")</f>
        <v/>
      </c>
      <c r="U238" s="101"/>
      <c r="V238" s="283" t="str">
        <f>IF(U238="","",IF(VLOOKUP(U238,'G-3 Multipliers'!$L$3:$N$6,2,FALSE)=0,"Spatial Data Missing ⚠",VLOOKUP(U238,'G-3 Multipliers'!$L$3:$N$6,2,FALSE)))</f>
        <v/>
      </c>
      <c r="W238" s="281" t="str">
        <f>IF(U238="","",IF(VLOOKUP(U238,'G-3 Multipliers'!$L$3:$N$6,3,FALSE)=0,"Spatial Data Missing ⚠",VLOOKUP(U238,'G-3 Multipliers'!$L$3:$N$6,3,FALSE)))</f>
        <v/>
      </c>
      <c r="X238" s="275" t="str">
        <f>IFERROR(IF(OR(LEFT(O238,5)="Error",LEFT(N238,5)="Error",T238="Error"),"Check Data ⚠",IF(F238&lt;R238,INDEX('G-6 Hedgerow Data'!$S$3:$AE$14,MATCH(C238,'G-6 Hedgerow Data'!$B$3:$B$14,0),MATCH(M238,'G-6 Hedgerow Data'!$S$2:$AE$2,0)),INDEX('G-6 Hedgerow Data'!$K$3:$Q$14,MATCH(M238,'G-6 Hedgerow Data'!$B$3:$B$14,0),MATCH(O238,'G-6 Hedgerow Data'!$K$2:$Q$2,0)))),"")</f>
        <v/>
      </c>
      <c r="Y238" s="133"/>
      <c r="Z238" s="133"/>
      <c r="AA238" s="283" t="str">
        <f t="shared" si="26"/>
        <v/>
      </c>
      <c r="AB238" s="296" t="str">
        <f t="shared" si="27"/>
        <v/>
      </c>
      <c r="AC238" s="297" t="str">
        <f t="shared" si="24"/>
        <v/>
      </c>
      <c r="AD238" s="311" t="str">
        <f>IF(M238="","",VLOOKUP(M238,'G-6 Hedgerow Data'!$B$3:$AG$15,31,FALSE))</f>
        <v/>
      </c>
      <c r="AE238" s="295" t="str">
        <f t="shared" si="28"/>
        <v/>
      </c>
      <c r="AF238" s="283" t="str">
        <f t="shared" si="29"/>
        <v/>
      </c>
      <c r="AG238" s="299" t="str">
        <f>IFERROR(IF(O238="","",VLOOKUP(AD238,'G-3 Multipliers'!$P$3:$Q$6,2,FALSE)),"")</f>
        <v/>
      </c>
      <c r="AH238" s="713" t="str">
        <f>IF(B238="","",IF(ISNA(VLOOKUP($B238,'E-1 Off-Site Hedge Baseline'!$B$1:$Z$257,14,FALSE)),"",(VLOOKUP($B238,'E-1 Off-Site Hedge Baseline'!$B$1:$Z$257,14,FALSE))))</f>
        <v/>
      </c>
      <c r="AI238" s="276" t="str">
        <f>IF(AH238="","",IF(VLOOKUP(AH238,'G-3 Multipliers'!$S$3:$T$10,2,FALSE)=0,"Spatial Data Missing ⚠",VLOOKUP(AH238,'G-3 Multipliers'!$S$3:$T$10,2,FALSE)))</f>
        <v/>
      </c>
      <c r="AJ238" s="317" t="str">
        <f t="shared" si="30"/>
        <v/>
      </c>
      <c r="AK238" s="289" t="str">
        <f t="shared" si="31"/>
        <v/>
      </c>
      <c r="AL238" s="101"/>
      <c r="AM238" s="115"/>
      <c r="AN238" s="104"/>
      <c r="AO238" s="104"/>
      <c r="AQ238" s="30" t="str">
        <f>IFERROR(INDEX('G-6 Hedgerow Data'!$BJ$3:$BJ$15,MATCH(M238,'G-6 Hedgerow Data'!$B$3:$B$15,0)),"")</f>
        <v/>
      </c>
    </row>
    <row r="239" spans="2:43" ht="14">
      <c r="B239" s="305" t="str">
        <f>'E-1 Off-Site Hedge Baseline'!AN237</f>
        <v/>
      </c>
      <c r="C239" s="295" t="str">
        <f>IF(B239="","",IF(ISNA(VLOOKUP($B239,'E-1 Off-Site Hedge Baseline'!$B$1:$L$257,3,FALSE)),"",(VLOOKUP($B239,'E-1 Off-Site Hedge Baseline'!$B$1:$L$257,3,FALSE))))</f>
        <v/>
      </c>
      <c r="D239" s="295" t="str">
        <f>IF(B239="","",IF(ISNA(VLOOKUP($B239,'E-1 Off-Site Hedge Baseline'!$B$1:$L$258,4,FALSE)),"",(VLOOKUP($B239,'E-1 Off-Site Hedge Baseline'!$B$1:$L$258,4,FALSE))))</f>
        <v/>
      </c>
      <c r="E239" s="295" t="str">
        <f>IF(B239="","",IF(ISNA(VLOOKUP($B239,'E-1 Off-Site Hedge Baseline'!$B$1:$L$257,5,FALSE)),"",(VLOOKUP($B239,'E-1 Off-Site Hedge Baseline'!$B$1:$L$257,5,FALSE))))</f>
        <v/>
      </c>
      <c r="F239" s="295" t="str">
        <f>IF(B239="","",IF(ISNA(VLOOKUP($B239,'E-1 Off-Site Hedge Baseline'!$B$1:$L$257,6,FALSE)),"",(VLOOKUP($B239,'E-1 Off-Site Hedge Baseline'!$B$1:$L$257,6,FALSE))))</f>
        <v/>
      </c>
      <c r="G239" s="295" t="str">
        <f>IF(B239="","",IF(ISNA(VLOOKUP($B239,'E-1 Off-Site Hedge Baseline'!$B$1:$L$257,7,FALSE)),"",(VLOOKUP($B239,'E-1 Off-Site Hedge Baseline'!$B$1:$L$257,7,FALSE))))</f>
        <v/>
      </c>
      <c r="H239" s="295" t="str">
        <f>IF(B239="","",IF(ISNA(VLOOKUP($B239,'E-1 Off-Site Hedge Baseline'!$B$1:$L$257,8,FALSE)),"",(VLOOKUP($B239,'E-1 Off-Site Hedge Baseline'!$B$1:$L$257,8,FALSE))))</f>
        <v/>
      </c>
      <c r="I239" s="295" t="str">
        <f>IF(B239="","",IF(ISNA(VLOOKUP($B239,'E-1 Off-Site Hedge Baseline'!$B$1:$L$257,10,FALSE)),"",(VLOOKUP($B239,'E-1 Off-Site Hedge Baseline'!$B$1:$L$257,10,FALSE))))</f>
        <v/>
      </c>
      <c r="J239" s="295" t="str">
        <f>IF(B239="","",IF(ISNA(VLOOKUP($B239,'E-1 Off-Site Hedge Baseline'!$B$1:$L$257,11,FALSE)),"",(VLOOKUP($B239,'E-1 Off-Site Hedge Baseline'!$B$1:$L$257,11,FALSE))))</f>
        <v/>
      </c>
      <c r="K239" s="295" t="str">
        <f>IF(B239="","",IF(ISNA(VLOOKUP($B239,'E-1 Off-Site Hedge Baseline'!$B$1:$X$257,16,FALSE)),"",(VLOOKUP($B239,'E-1 Off-Site Hedge Baseline'!$B$1:$X$257,16,FALSE))))</f>
        <v/>
      </c>
      <c r="L239" s="283" t="str">
        <f>IF(B239="","",IF(ISNA(VLOOKUP($B239,'E-1 Off-Site Hedge Baseline'!$B$1:$X$257,12,FALSE)),"",(VLOOKUP($B239,'E-1 Off-Site Hedge Baseline'!$B$1:$X$257,12,FALSE))))</f>
        <v/>
      </c>
      <c r="M239" s="244"/>
      <c r="N239" s="275" t="str">
        <f>IFERROR(IF(B239="","",INDEX('G-6 Hedgerow Data'!$AN$3:$AZ$15,MATCH(C239,'G-6 Hedgerow Data'!$AM$3:$AM$15,0),MATCH(M239,'G-6 Hedgerow Data'!$AN$2:$AZ$2,0))),"")</f>
        <v/>
      </c>
      <c r="O239" s="276" t="str">
        <f t="shared" si="25"/>
        <v/>
      </c>
      <c r="P239" s="281" t="str">
        <f>IF(B239="","",VLOOKUP(B239,'E-1 Off-Site Hedge Baseline'!$B$10:W484,19,FALSE))</f>
        <v/>
      </c>
      <c r="Q239" s="275" t="str">
        <f>IF(M239="","",VLOOKUP(M239,'G-6 Hedgerow Data'!$B$2:$AG$15,2,FALSE))</f>
        <v/>
      </c>
      <c r="R239" s="276" t="str">
        <f>IF(M239="","",VLOOKUP(M239,'G-6 Hedgerow Data'!$B$2:$AG$15,3,FALSE))</f>
        <v/>
      </c>
      <c r="S239" s="101"/>
      <c r="T239" s="276" t="str">
        <f>IFERROR(IF(S239="","",IF(AND(M239="Non-native and ornamental hedgerow",S239&lt;&gt;"Poor"),"Not possible ▲",(IF(AND(Q239="V.Low",OR(S239="Good",S239="Moderate")),"Error ▲",VLOOKUP(S239,'G-1 All Habitats'!$Z$2:$AA$9,2,FALSE))))),"")</f>
        <v/>
      </c>
      <c r="U239" s="101"/>
      <c r="V239" s="283" t="str">
        <f>IF(U239="","",IF(VLOOKUP(U239,'G-3 Multipliers'!$L$3:$N$6,2,FALSE)=0,"Spatial Data Missing ⚠",VLOOKUP(U239,'G-3 Multipliers'!$L$3:$N$6,2,FALSE)))</f>
        <v/>
      </c>
      <c r="W239" s="281" t="str">
        <f>IF(U239="","",IF(VLOOKUP(U239,'G-3 Multipliers'!$L$3:$N$6,3,FALSE)=0,"Spatial Data Missing ⚠",VLOOKUP(U239,'G-3 Multipliers'!$L$3:$N$6,3,FALSE)))</f>
        <v/>
      </c>
      <c r="X239" s="275" t="str">
        <f>IFERROR(IF(OR(LEFT(O239,5)="Error",LEFT(N239,5)="Error",T239="Error"),"Check Data ⚠",IF(F239&lt;R239,INDEX('G-6 Hedgerow Data'!$S$3:$AE$14,MATCH(C239,'G-6 Hedgerow Data'!$B$3:$B$14,0),MATCH(M239,'G-6 Hedgerow Data'!$S$2:$AE$2,0)),INDEX('G-6 Hedgerow Data'!$K$3:$Q$14,MATCH(M239,'G-6 Hedgerow Data'!$B$3:$B$14,0),MATCH(O239,'G-6 Hedgerow Data'!$K$2:$Q$2,0)))),"")</f>
        <v/>
      </c>
      <c r="Y239" s="133"/>
      <c r="Z239" s="133"/>
      <c r="AA239" s="283" t="str">
        <f t="shared" si="26"/>
        <v/>
      </c>
      <c r="AB239" s="296" t="str">
        <f t="shared" si="27"/>
        <v/>
      </c>
      <c r="AC239" s="297" t="str">
        <f t="shared" si="24"/>
        <v/>
      </c>
      <c r="AD239" s="311" t="str">
        <f>IF(M239="","",VLOOKUP(M239,'G-6 Hedgerow Data'!$B$3:$AG$15,31,FALSE))</f>
        <v/>
      </c>
      <c r="AE239" s="295" t="str">
        <f t="shared" si="28"/>
        <v/>
      </c>
      <c r="AF239" s="283" t="str">
        <f t="shared" si="29"/>
        <v/>
      </c>
      <c r="AG239" s="299" t="str">
        <f>IFERROR(IF(O239="","",VLOOKUP(AD239,'G-3 Multipliers'!$P$3:$Q$6,2,FALSE)),"")</f>
        <v/>
      </c>
      <c r="AH239" s="713" t="str">
        <f>IF(B239="","",IF(ISNA(VLOOKUP($B239,'E-1 Off-Site Hedge Baseline'!$B$1:$Z$257,14,FALSE)),"",(VLOOKUP($B239,'E-1 Off-Site Hedge Baseline'!$B$1:$Z$257,14,FALSE))))</f>
        <v/>
      </c>
      <c r="AI239" s="276" t="str">
        <f>IF(AH239="","",IF(VLOOKUP(AH239,'G-3 Multipliers'!$S$3:$T$10,2,FALSE)=0,"Spatial Data Missing ⚠",VLOOKUP(AH239,'G-3 Multipliers'!$S$3:$T$10,2,FALSE)))</f>
        <v/>
      </c>
      <c r="AJ239" s="317" t="str">
        <f t="shared" si="30"/>
        <v/>
      </c>
      <c r="AK239" s="289" t="str">
        <f t="shared" si="31"/>
        <v/>
      </c>
      <c r="AL239" s="101"/>
      <c r="AM239" s="115"/>
      <c r="AN239" s="104"/>
      <c r="AO239" s="104"/>
      <c r="AQ239" s="30" t="str">
        <f>IFERROR(INDEX('G-6 Hedgerow Data'!$BJ$3:$BJ$15,MATCH(M239,'G-6 Hedgerow Data'!$B$3:$B$15,0)),"")</f>
        <v/>
      </c>
    </row>
    <row r="240" spans="2:43" ht="14">
      <c r="B240" s="305" t="str">
        <f>'E-1 Off-Site Hedge Baseline'!AN238</f>
        <v/>
      </c>
      <c r="C240" s="295" t="str">
        <f>IF(B240="","",IF(ISNA(VLOOKUP($B240,'E-1 Off-Site Hedge Baseline'!$B$1:$L$257,3,FALSE)),"",(VLOOKUP($B240,'E-1 Off-Site Hedge Baseline'!$B$1:$L$257,3,FALSE))))</f>
        <v/>
      </c>
      <c r="D240" s="295" t="str">
        <f>IF(B240="","",IF(ISNA(VLOOKUP($B240,'E-1 Off-Site Hedge Baseline'!$B$1:$L$258,4,FALSE)),"",(VLOOKUP($B240,'E-1 Off-Site Hedge Baseline'!$B$1:$L$258,4,FALSE))))</f>
        <v/>
      </c>
      <c r="E240" s="295" t="str">
        <f>IF(B240="","",IF(ISNA(VLOOKUP($B240,'E-1 Off-Site Hedge Baseline'!$B$1:$L$257,5,FALSE)),"",(VLOOKUP($B240,'E-1 Off-Site Hedge Baseline'!$B$1:$L$257,5,FALSE))))</f>
        <v/>
      </c>
      <c r="F240" s="295" t="str">
        <f>IF(B240="","",IF(ISNA(VLOOKUP($B240,'E-1 Off-Site Hedge Baseline'!$B$1:$L$257,6,FALSE)),"",(VLOOKUP($B240,'E-1 Off-Site Hedge Baseline'!$B$1:$L$257,6,FALSE))))</f>
        <v/>
      </c>
      <c r="G240" s="295" t="str">
        <f>IF(B240="","",IF(ISNA(VLOOKUP($B240,'E-1 Off-Site Hedge Baseline'!$B$1:$L$257,7,FALSE)),"",(VLOOKUP($B240,'E-1 Off-Site Hedge Baseline'!$B$1:$L$257,7,FALSE))))</f>
        <v/>
      </c>
      <c r="H240" s="295" t="str">
        <f>IF(B240="","",IF(ISNA(VLOOKUP($B240,'E-1 Off-Site Hedge Baseline'!$B$1:$L$257,8,FALSE)),"",(VLOOKUP($B240,'E-1 Off-Site Hedge Baseline'!$B$1:$L$257,8,FALSE))))</f>
        <v/>
      </c>
      <c r="I240" s="295" t="str">
        <f>IF(B240="","",IF(ISNA(VLOOKUP($B240,'E-1 Off-Site Hedge Baseline'!$B$1:$L$257,10,FALSE)),"",(VLOOKUP($B240,'E-1 Off-Site Hedge Baseline'!$B$1:$L$257,10,FALSE))))</f>
        <v/>
      </c>
      <c r="J240" s="295" t="str">
        <f>IF(B240="","",IF(ISNA(VLOOKUP($B240,'E-1 Off-Site Hedge Baseline'!$B$1:$L$257,11,FALSE)),"",(VLOOKUP($B240,'E-1 Off-Site Hedge Baseline'!$B$1:$L$257,11,FALSE))))</f>
        <v/>
      </c>
      <c r="K240" s="295" t="str">
        <f>IF(B240="","",IF(ISNA(VLOOKUP($B240,'E-1 Off-Site Hedge Baseline'!$B$1:$X$257,16,FALSE)),"",(VLOOKUP($B240,'E-1 Off-Site Hedge Baseline'!$B$1:$X$257,16,FALSE))))</f>
        <v/>
      </c>
      <c r="L240" s="283" t="str">
        <f>IF(B240="","",IF(ISNA(VLOOKUP($B240,'E-1 Off-Site Hedge Baseline'!$B$1:$X$257,12,FALSE)),"",(VLOOKUP($B240,'E-1 Off-Site Hedge Baseline'!$B$1:$X$257,12,FALSE))))</f>
        <v/>
      </c>
      <c r="M240" s="244"/>
      <c r="N240" s="275" t="str">
        <f>IFERROR(IF(B240="","",INDEX('G-6 Hedgerow Data'!$AN$3:$AZ$15,MATCH(C240,'G-6 Hedgerow Data'!$AM$3:$AM$15,0),MATCH(M240,'G-6 Hedgerow Data'!$AN$2:$AZ$2,0))),"")</f>
        <v/>
      </c>
      <c r="O240" s="276" t="str">
        <f t="shared" si="25"/>
        <v/>
      </c>
      <c r="P240" s="281" t="str">
        <f>IF(B240="","",VLOOKUP(B240,'E-1 Off-Site Hedge Baseline'!$B$10:W485,19,FALSE))</f>
        <v/>
      </c>
      <c r="Q240" s="275" t="str">
        <f>IF(M240="","",VLOOKUP(M240,'G-6 Hedgerow Data'!$B$2:$AG$15,2,FALSE))</f>
        <v/>
      </c>
      <c r="R240" s="276" t="str">
        <f>IF(M240="","",VLOOKUP(M240,'G-6 Hedgerow Data'!$B$2:$AG$15,3,FALSE))</f>
        <v/>
      </c>
      <c r="S240" s="101"/>
      <c r="T240" s="276" t="str">
        <f>IFERROR(IF(S240="","",IF(AND(M240="Non-native and ornamental hedgerow",S240&lt;&gt;"Poor"),"Not possible ▲",(IF(AND(Q240="V.Low",OR(S240="Good",S240="Moderate")),"Error ▲",VLOOKUP(S240,'G-1 All Habitats'!$Z$2:$AA$9,2,FALSE))))),"")</f>
        <v/>
      </c>
      <c r="U240" s="101"/>
      <c r="V240" s="283" t="str">
        <f>IF(U240="","",IF(VLOOKUP(U240,'G-3 Multipliers'!$L$3:$N$6,2,FALSE)=0,"Spatial Data Missing ⚠",VLOOKUP(U240,'G-3 Multipliers'!$L$3:$N$6,2,FALSE)))</f>
        <v/>
      </c>
      <c r="W240" s="281" t="str">
        <f>IF(U240="","",IF(VLOOKUP(U240,'G-3 Multipliers'!$L$3:$N$6,3,FALSE)=0,"Spatial Data Missing ⚠",VLOOKUP(U240,'G-3 Multipliers'!$L$3:$N$6,3,FALSE)))</f>
        <v/>
      </c>
      <c r="X240" s="275" t="str">
        <f>IFERROR(IF(OR(LEFT(O240,5)="Error",LEFT(N240,5)="Error",T240="Error"),"Check Data ⚠",IF(F240&lt;R240,INDEX('G-6 Hedgerow Data'!$S$3:$AE$14,MATCH(C240,'G-6 Hedgerow Data'!$B$3:$B$14,0),MATCH(M240,'G-6 Hedgerow Data'!$S$2:$AE$2,0)),INDEX('G-6 Hedgerow Data'!$K$3:$Q$14,MATCH(M240,'G-6 Hedgerow Data'!$B$3:$B$14,0),MATCH(O240,'G-6 Hedgerow Data'!$K$2:$Q$2,0)))),"")</f>
        <v/>
      </c>
      <c r="Y240" s="133"/>
      <c r="Z240" s="133"/>
      <c r="AA240" s="283" t="str">
        <f t="shared" si="26"/>
        <v/>
      </c>
      <c r="AB240" s="296" t="str">
        <f t="shared" si="27"/>
        <v/>
      </c>
      <c r="AC240" s="297" t="str">
        <f t="shared" si="24"/>
        <v/>
      </c>
      <c r="AD240" s="311" t="str">
        <f>IF(M240="","",VLOOKUP(M240,'G-6 Hedgerow Data'!$B$3:$AG$15,31,FALSE))</f>
        <v/>
      </c>
      <c r="AE240" s="295" t="str">
        <f t="shared" si="28"/>
        <v/>
      </c>
      <c r="AF240" s="283" t="str">
        <f t="shared" si="29"/>
        <v/>
      </c>
      <c r="AG240" s="299" t="str">
        <f>IFERROR(IF(O240="","",VLOOKUP(AD240,'G-3 Multipliers'!$P$3:$Q$6,2,FALSE)),"")</f>
        <v/>
      </c>
      <c r="AH240" s="713" t="str">
        <f>IF(B240="","",IF(ISNA(VLOOKUP($B240,'E-1 Off-Site Hedge Baseline'!$B$1:$Z$257,14,FALSE)),"",(VLOOKUP($B240,'E-1 Off-Site Hedge Baseline'!$B$1:$Z$257,14,FALSE))))</f>
        <v/>
      </c>
      <c r="AI240" s="276" t="str">
        <f>IF(AH240="","",IF(VLOOKUP(AH240,'G-3 Multipliers'!$S$3:$T$10,2,FALSE)=0,"Spatial Data Missing ⚠",VLOOKUP(AH240,'G-3 Multipliers'!$S$3:$T$10,2,FALSE)))</f>
        <v/>
      </c>
      <c r="AJ240" s="317" t="str">
        <f t="shared" si="30"/>
        <v/>
      </c>
      <c r="AK240" s="289" t="str">
        <f t="shared" si="31"/>
        <v/>
      </c>
      <c r="AL240" s="101"/>
      <c r="AM240" s="115"/>
      <c r="AN240" s="104"/>
      <c r="AO240" s="104"/>
      <c r="AQ240" s="30" t="str">
        <f>IFERROR(INDEX('G-6 Hedgerow Data'!$BJ$3:$BJ$15,MATCH(M240,'G-6 Hedgerow Data'!$B$3:$B$15,0)),"")</f>
        <v/>
      </c>
    </row>
    <row r="241" spans="2:43" ht="14">
      <c r="B241" s="305" t="str">
        <f>'E-1 Off-Site Hedge Baseline'!AN239</f>
        <v/>
      </c>
      <c r="C241" s="295" t="str">
        <f>IF(B241="","",IF(ISNA(VLOOKUP($B241,'E-1 Off-Site Hedge Baseline'!$B$1:$L$257,3,FALSE)),"",(VLOOKUP($B241,'E-1 Off-Site Hedge Baseline'!$B$1:$L$257,3,FALSE))))</f>
        <v/>
      </c>
      <c r="D241" s="295" t="str">
        <f>IF(B241="","",IF(ISNA(VLOOKUP($B241,'E-1 Off-Site Hedge Baseline'!$B$1:$L$258,4,FALSE)),"",(VLOOKUP($B241,'E-1 Off-Site Hedge Baseline'!$B$1:$L$258,4,FALSE))))</f>
        <v/>
      </c>
      <c r="E241" s="295" t="str">
        <f>IF(B241="","",IF(ISNA(VLOOKUP($B241,'E-1 Off-Site Hedge Baseline'!$B$1:$L$257,5,FALSE)),"",(VLOOKUP($B241,'E-1 Off-Site Hedge Baseline'!$B$1:$L$257,5,FALSE))))</f>
        <v/>
      </c>
      <c r="F241" s="295" t="str">
        <f>IF(B241="","",IF(ISNA(VLOOKUP($B241,'E-1 Off-Site Hedge Baseline'!$B$1:$L$257,6,FALSE)),"",(VLOOKUP($B241,'E-1 Off-Site Hedge Baseline'!$B$1:$L$257,6,FALSE))))</f>
        <v/>
      </c>
      <c r="G241" s="295" t="str">
        <f>IF(B241="","",IF(ISNA(VLOOKUP($B241,'E-1 Off-Site Hedge Baseline'!$B$1:$L$257,7,FALSE)),"",(VLOOKUP($B241,'E-1 Off-Site Hedge Baseline'!$B$1:$L$257,7,FALSE))))</f>
        <v/>
      </c>
      <c r="H241" s="295" t="str">
        <f>IF(B241="","",IF(ISNA(VLOOKUP($B241,'E-1 Off-Site Hedge Baseline'!$B$1:$L$257,8,FALSE)),"",(VLOOKUP($B241,'E-1 Off-Site Hedge Baseline'!$B$1:$L$257,8,FALSE))))</f>
        <v/>
      </c>
      <c r="I241" s="295" t="str">
        <f>IF(B241="","",IF(ISNA(VLOOKUP($B241,'E-1 Off-Site Hedge Baseline'!$B$1:$L$257,10,FALSE)),"",(VLOOKUP($B241,'E-1 Off-Site Hedge Baseline'!$B$1:$L$257,10,FALSE))))</f>
        <v/>
      </c>
      <c r="J241" s="295" t="str">
        <f>IF(B241="","",IF(ISNA(VLOOKUP($B241,'E-1 Off-Site Hedge Baseline'!$B$1:$L$257,11,FALSE)),"",(VLOOKUP($B241,'E-1 Off-Site Hedge Baseline'!$B$1:$L$257,11,FALSE))))</f>
        <v/>
      </c>
      <c r="K241" s="295" t="str">
        <f>IF(B241="","",IF(ISNA(VLOOKUP($B241,'E-1 Off-Site Hedge Baseline'!$B$1:$X$257,16,FALSE)),"",(VLOOKUP($B241,'E-1 Off-Site Hedge Baseline'!$B$1:$X$257,16,FALSE))))</f>
        <v/>
      </c>
      <c r="L241" s="283" t="str">
        <f>IF(B241="","",IF(ISNA(VLOOKUP($B241,'E-1 Off-Site Hedge Baseline'!$B$1:$X$257,12,FALSE)),"",(VLOOKUP($B241,'E-1 Off-Site Hedge Baseline'!$B$1:$X$257,12,FALSE))))</f>
        <v/>
      </c>
      <c r="M241" s="244"/>
      <c r="N241" s="275" t="str">
        <f>IFERROR(IF(B241="","",INDEX('G-6 Hedgerow Data'!$AN$3:$AZ$15,MATCH(C241,'G-6 Hedgerow Data'!$AM$3:$AM$15,0),MATCH(M241,'G-6 Hedgerow Data'!$AN$2:$AZ$2,0))),"")</f>
        <v/>
      </c>
      <c r="O241" s="276" t="str">
        <f t="shared" si="25"/>
        <v/>
      </c>
      <c r="P241" s="281" t="str">
        <f>IF(B241="","",VLOOKUP(B241,'E-1 Off-Site Hedge Baseline'!$B$10:W486,19,FALSE))</f>
        <v/>
      </c>
      <c r="Q241" s="275" t="str">
        <f>IF(M241="","",VLOOKUP(M241,'G-6 Hedgerow Data'!$B$2:$AG$15,2,FALSE))</f>
        <v/>
      </c>
      <c r="R241" s="276" t="str">
        <f>IF(M241="","",VLOOKUP(M241,'G-6 Hedgerow Data'!$B$2:$AG$15,3,FALSE))</f>
        <v/>
      </c>
      <c r="S241" s="101"/>
      <c r="T241" s="276" t="str">
        <f>IFERROR(IF(S241="","",IF(AND(M241="Non-native and ornamental hedgerow",S241&lt;&gt;"Poor"),"Not possible ▲",(IF(AND(Q241="V.Low",OR(S241="Good",S241="Moderate")),"Error ▲",VLOOKUP(S241,'G-1 All Habitats'!$Z$2:$AA$9,2,FALSE))))),"")</f>
        <v/>
      </c>
      <c r="U241" s="101"/>
      <c r="V241" s="283" t="str">
        <f>IF(U241="","",IF(VLOOKUP(U241,'G-3 Multipliers'!$L$3:$N$6,2,FALSE)=0,"Spatial Data Missing ⚠",VLOOKUP(U241,'G-3 Multipliers'!$L$3:$N$6,2,FALSE)))</f>
        <v/>
      </c>
      <c r="W241" s="281" t="str">
        <f>IF(U241="","",IF(VLOOKUP(U241,'G-3 Multipliers'!$L$3:$N$6,3,FALSE)=0,"Spatial Data Missing ⚠",VLOOKUP(U241,'G-3 Multipliers'!$L$3:$N$6,3,FALSE)))</f>
        <v/>
      </c>
      <c r="X241" s="275" t="str">
        <f>IFERROR(IF(OR(LEFT(O241,5)="Error",LEFT(N241,5)="Error",T241="Error"),"Check Data ⚠",IF(F241&lt;R241,INDEX('G-6 Hedgerow Data'!$S$3:$AE$14,MATCH(C241,'G-6 Hedgerow Data'!$B$3:$B$14,0),MATCH(M241,'G-6 Hedgerow Data'!$S$2:$AE$2,0)),INDEX('G-6 Hedgerow Data'!$K$3:$Q$14,MATCH(M241,'G-6 Hedgerow Data'!$B$3:$B$14,0),MATCH(O241,'G-6 Hedgerow Data'!$K$2:$Q$2,0)))),"")</f>
        <v/>
      </c>
      <c r="Y241" s="133"/>
      <c r="Z241" s="133"/>
      <c r="AA241" s="283" t="str">
        <f t="shared" si="26"/>
        <v/>
      </c>
      <c r="AB241" s="296" t="str">
        <f t="shared" si="27"/>
        <v/>
      </c>
      <c r="AC241" s="297" t="str">
        <f t="shared" si="24"/>
        <v/>
      </c>
      <c r="AD241" s="311" t="str">
        <f>IF(M241="","",VLOOKUP(M241,'G-6 Hedgerow Data'!$B$3:$AG$15,31,FALSE))</f>
        <v/>
      </c>
      <c r="AE241" s="295" t="str">
        <f t="shared" si="28"/>
        <v/>
      </c>
      <c r="AF241" s="283" t="str">
        <f t="shared" si="29"/>
        <v/>
      </c>
      <c r="AG241" s="299" t="str">
        <f>IFERROR(IF(O241="","",VLOOKUP(AD241,'G-3 Multipliers'!$P$3:$Q$6,2,FALSE)),"")</f>
        <v/>
      </c>
      <c r="AH241" s="713" t="str">
        <f>IF(B241="","",IF(ISNA(VLOOKUP($B241,'E-1 Off-Site Hedge Baseline'!$B$1:$Z$257,14,FALSE)),"",(VLOOKUP($B241,'E-1 Off-Site Hedge Baseline'!$B$1:$Z$257,14,FALSE))))</f>
        <v/>
      </c>
      <c r="AI241" s="276" t="str">
        <f>IF(AH241="","",IF(VLOOKUP(AH241,'G-3 Multipliers'!$S$3:$T$10,2,FALSE)=0,"Spatial Data Missing ⚠",VLOOKUP(AH241,'G-3 Multipliers'!$S$3:$T$10,2,FALSE)))</f>
        <v/>
      </c>
      <c r="AJ241" s="317" t="str">
        <f t="shared" si="30"/>
        <v/>
      </c>
      <c r="AK241" s="289" t="str">
        <f t="shared" si="31"/>
        <v/>
      </c>
      <c r="AL241" s="101"/>
      <c r="AM241" s="115"/>
      <c r="AN241" s="104"/>
      <c r="AO241" s="104"/>
      <c r="AQ241" s="30" t="str">
        <f>IFERROR(INDEX('G-6 Hedgerow Data'!$BJ$3:$BJ$15,MATCH(M241,'G-6 Hedgerow Data'!$B$3:$B$15,0)),"")</f>
        <v/>
      </c>
    </row>
    <row r="242" spans="2:43" ht="14">
      <c r="B242" s="305" t="str">
        <f>'E-1 Off-Site Hedge Baseline'!AN240</f>
        <v/>
      </c>
      <c r="C242" s="295" t="str">
        <f>IF(B242="","",IF(ISNA(VLOOKUP($B242,'E-1 Off-Site Hedge Baseline'!$B$1:$L$257,3,FALSE)),"",(VLOOKUP($B242,'E-1 Off-Site Hedge Baseline'!$B$1:$L$257,3,FALSE))))</f>
        <v/>
      </c>
      <c r="D242" s="295" t="str">
        <f>IF(B242="","",IF(ISNA(VLOOKUP($B242,'E-1 Off-Site Hedge Baseline'!$B$1:$L$258,4,FALSE)),"",(VLOOKUP($B242,'E-1 Off-Site Hedge Baseline'!$B$1:$L$258,4,FALSE))))</f>
        <v/>
      </c>
      <c r="E242" s="295" t="str">
        <f>IF(B242="","",IF(ISNA(VLOOKUP($B242,'E-1 Off-Site Hedge Baseline'!$B$1:$L$257,5,FALSE)),"",(VLOOKUP($B242,'E-1 Off-Site Hedge Baseline'!$B$1:$L$257,5,FALSE))))</f>
        <v/>
      </c>
      <c r="F242" s="295" t="str">
        <f>IF(B242="","",IF(ISNA(VLOOKUP($B242,'E-1 Off-Site Hedge Baseline'!$B$1:$L$257,6,FALSE)),"",(VLOOKUP($B242,'E-1 Off-Site Hedge Baseline'!$B$1:$L$257,6,FALSE))))</f>
        <v/>
      </c>
      <c r="G242" s="295" t="str">
        <f>IF(B242="","",IF(ISNA(VLOOKUP($B242,'E-1 Off-Site Hedge Baseline'!$B$1:$L$257,7,FALSE)),"",(VLOOKUP($B242,'E-1 Off-Site Hedge Baseline'!$B$1:$L$257,7,FALSE))))</f>
        <v/>
      </c>
      <c r="H242" s="295" t="str">
        <f>IF(B242="","",IF(ISNA(VLOOKUP($B242,'E-1 Off-Site Hedge Baseline'!$B$1:$L$257,8,FALSE)),"",(VLOOKUP($B242,'E-1 Off-Site Hedge Baseline'!$B$1:$L$257,8,FALSE))))</f>
        <v/>
      </c>
      <c r="I242" s="295" t="str">
        <f>IF(B242="","",IF(ISNA(VLOOKUP($B242,'E-1 Off-Site Hedge Baseline'!$B$1:$L$257,10,FALSE)),"",(VLOOKUP($B242,'E-1 Off-Site Hedge Baseline'!$B$1:$L$257,10,FALSE))))</f>
        <v/>
      </c>
      <c r="J242" s="295" t="str">
        <f>IF(B242="","",IF(ISNA(VLOOKUP($B242,'E-1 Off-Site Hedge Baseline'!$B$1:$L$257,11,FALSE)),"",(VLOOKUP($B242,'E-1 Off-Site Hedge Baseline'!$B$1:$L$257,11,FALSE))))</f>
        <v/>
      </c>
      <c r="K242" s="295" t="str">
        <f>IF(B242="","",IF(ISNA(VLOOKUP($B242,'E-1 Off-Site Hedge Baseline'!$B$1:$X$257,16,FALSE)),"",(VLOOKUP($B242,'E-1 Off-Site Hedge Baseline'!$B$1:$X$257,16,FALSE))))</f>
        <v/>
      </c>
      <c r="L242" s="283" t="str">
        <f>IF(B242="","",IF(ISNA(VLOOKUP($B242,'E-1 Off-Site Hedge Baseline'!$B$1:$X$257,12,FALSE)),"",(VLOOKUP($B242,'E-1 Off-Site Hedge Baseline'!$B$1:$X$257,12,FALSE))))</f>
        <v/>
      </c>
      <c r="M242" s="244"/>
      <c r="N242" s="275" t="str">
        <f>IFERROR(IF(B242="","",INDEX('G-6 Hedgerow Data'!$AN$3:$AZ$15,MATCH(C242,'G-6 Hedgerow Data'!$AM$3:$AM$15,0),MATCH(M242,'G-6 Hedgerow Data'!$AN$2:$AZ$2,0))),"")</f>
        <v/>
      </c>
      <c r="O242" s="276" t="str">
        <f t="shared" si="25"/>
        <v/>
      </c>
      <c r="P242" s="281" t="str">
        <f>IF(B242="","",VLOOKUP(B242,'E-1 Off-Site Hedge Baseline'!$B$10:W487,19,FALSE))</f>
        <v/>
      </c>
      <c r="Q242" s="275" t="str">
        <f>IF(M242="","",VLOOKUP(M242,'G-6 Hedgerow Data'!$B$2:$AG$15,2,FALSE))</f>
        <v/>
      </c>
      <c r="R242" s="276" t="str">
        <f>IF(M242="","",VLOOKUP(M242,'G-6 Hedgerow Data'!$B$2:$AG$15,3,FALSE))</f>
        <v/>
      </c>
      <c r="S242" s="101"/>
      <c r="T242" s="276" t="str">
        <f>IFERROR(IF(S242="","",IF(AND(M242="Non-native and ornamental hedgerow",S242&lt;&gt;"Poor"),"Not possible ▲",(IF(AND(Q242="V.Low",OR(S242="Good",S242="Moderate")),"Error ▲",VLOOKUP(S242,'G-1 All Habitats'!$Z$2:$AA$9,2,FALSE))))),"")</f>
        <v/>
      </c>
      <c r="U242" s="101"/>
      <c r="V242" s="283" t="str">
        <f>IF(U242="","",IF(VLOOKUP(U242,'G-3 Multipliers'!$L$3:$N$6,2,FALSE)=0,"Spatial Data Missing ⚠",VLOOKUP(U242,'G-3 Multipliers'!$L$3:$N$6,2,FALSE)))</f>
        <v/>
      </c>
      <c r="W242" s="281" t="str">
        <f>IF(U242="","",IF(VLOOKUP(U242,'G-3 Multipliers'!$L$3:$N$6,3,FALSE)=0,"Spatial Data Missing ⚠",VLOOKUP(U242,'G-3 Multipliers'!$L$3:$N$6,3,FALSE)))</f>
        <v/>
      </c>
      <c r="X242" s="275" t="str">
        <f>IFERROR(IF(OR(LEFT(O242,5)="Error",LEFT(N242,5)="Error",T242="Error"),"Check Data ⚠",IF(F242&lt;R242,INDEX('G-6 Hedgerow Data'!$S$3:$AE$14,MATCH(C242,'G-6 Hedgerow Data'!$B$3:$B$14,0),MATCH(M242,'G-6 Hedgerow Data'!$S$2:$AE$2,0)),INDEX('G-6 Hedgerow Data'!$K$3:$Q$14,MATCH(M242,'G-6 Hedgerow Data'!$B$3:$B$14,0),MATCH(O242,'G-6 Hedgerow Data'!$K$2:$Q$2,0)))),"")</f>
        <v/>
      </c>
      <c r="Y242" s="133"/>
      <c r="Z242" s="133"/>
      <c r="AA242" s="283" t="str">
        <f t="shared" si="26"/>
        <v/>
      </c>
      <c r="AB242" s="296" t="str">
        <f t="shared" si="27"/>
        <v/>
      </c>
      <c r="AC242" s="297" t="str">
        <f t="shared" si="24"/>
        <v/>
      </c>
      <c r="AD242" s="311" t="str">
        <f>IF(M242="","",VLOOKUP(M242,'G-6 Hedgerow Data'!$B$3:$AG$15,31,FALSE))</f>
        <v/>
      </c>
      <c r="AE242" s="295" t="str">
        <f t="shared" si="28"/>
        <v/>
      </c>
      <c r="AF242" s="283" t="str">
        <f t="shared" si="29"/>
        <v/>
      </c>
      <c r="AG242" s="299" t="str">
        <f>IFERROR(IF(O242="","",VLOOKUP(AD242,'G-3 Multipliers'!$P$3:$Q$6,2,FALSE)),"")</f>
        <v/>
      </c>
      <c r="AH242" s="713" t="str">
        <f>IF(B242="","",IF(ISNA(VLOOKUP($B242,'E-1 Off-Site Hedge Baseline'!$B$1:$Z$257,14,FALSE)),"",(VLOOKUP($B242,'E-1 Off-Site Hedge Baseline'!$B$1:$Z$257,14,FALSE))))</f>
        <v/>
      </c>
      <c r="AI242" s="276" t="str">
        <f>IF(AH242="","",IF(VLOOKUP(AH242,'G-3 Multipliers'!$S$3:$T$10,2,FALSE)=0,"Spatial Data Missing ⚠",VLOOKUP(AH242,'G-3 Multipliers'!$S$3:$T$10,2,FALSE)))</f>
        <v/>
      </c>
      <c r="AJ242" s="317" t="str">
        <f t="shared" si="30"/>
        <v/>
      </c>
      <c r="AK242" s="289" t="str">
        <f t="shared" si="31"/>
        <v/>
      </c>
      <c r="AL242" s="101"/>
      <c r="AM242" s="115"/>
      <c r="AN242" s="104"/>
      <c r="AO242" s="104"/>
      <c r="AQ242" s="30" t="str">
        <f>IFERROR(INDEX('G-6 Hedgerow Data'!$BJ$3:$BJ$15,MATCH(M242,'G-6 Hedgerow Data'!$B$3:$B$15,0)),"")</f>
        <v/>
      </c>
    </row>
    <row r="243" spans="2:43" ht="14">
      <c r="B243" s="305" t="str">
        <f>'E-1 Off-Site Hedge Baseline'!AN241</f>
        <v/>
      </c>
      <c r="C243" s="295" t="str">
        <f>IF(B243="","",IF(ISNA(VLOOKUP($B243,'E-1 Off-Site Hedge Baseline'!$B$1:$L$257,3,FALSE)),"",(VLOOKUP($B243,'E-1 Off-Site Hedge Baseline'!$B$1:$L$257,3,FALSE))))</f>
        <v/>
      </c>
      <c r="D243" s="295" t="str">
        <f>IF(B243="","",IF(ISNA(VLOOKUP($B243,'E-1 Off-Site Hedge Baseline'!$B$1:$L$258,4,FALSE)),"",(VLOOKUP($B243,'E-1 Off-Site Hedge Baseline'!$B$1:$L$258,4,FALSE))))</f>
        <v/>
      </c>
      <c r="E243" s="295" t="str">
        <f>IF(B243="","",IF(ISNA(VLOOKUP($B243,'E-1 Off-Site Hedge Baseline'!$B$1:$L$257,5,FALSE)),"",(VLOOKUP($B243,'E-1 Off-Site Hedge Baseline'!$B$1:$L$257,5,FALSE))))</f>
        <v/>
      </c>
      <c r="F243" s="295" t="str">
        <f>IF(B243="","",IF(ISNA(VLOOKUP($B243,'E-1 Off-Site Hedge Baseline'!$B$1:$L$257,6,FALSE)),"",(VLOOKUP($B243,'E-1 Off-Site Hedge Baseline'!$B$1:$L$257,6,FALSE))))</f>
        <v/>
      </c>
      <c r="G243" s="295" t="str">
        <f>IF(B243="","",IF(ISNA(VLOOKUP($B243,'E-1 Off-Site Hedge Baseline'!$B$1:$L$257,7,FALSE)),"",(VLOOKUP($B243,'E-1 Off-Site Hedge Baseline'!$B$1:$L$257,7,FALSE))))</f>
        <v/>
      </c>
      <c r="H243" s="295" t="str">
        <f>IF(B243="","",IF(ISNA(VLOOKUP($B243,'E-1 Off-Site Hedge Baseline'!$B$1:$L$257,8,FALSE)),"",(VLOOKUP($B243,'E-1 Off-Site Hedge Baseline'!$B$1:$L$257,8,FALSE))))</f>
        <v/>
      </c>
      <c r="I243" s="295" t="str">
        <f>IF(B243="","",IF(ISNA(VLOOKUP($B243,'E-1 Off-Site Hedge Baseline'!$B$1:$L$257,10,FALSE)),"",(VLOOKUP($B243,'E-1 Off-Site Hedge Baseline'!$B$1:$L$257,10,FALSE))))</f>
        <v/>
      </c>
      <c r="J243" s="295" t="str">
        <f>IF(B243="","",IF(ISNA(VLOOKUP($B243,'E-1 Off-Site Hedge Baseline'!$B$1:$L$257,11,FALSE)),"",(VLOOKUP($B243,'E-1 Off-Site Hedge Baseline'!$B$1:$L$257,11,FALSE))))</f>
        <v/>
      </c>
      <c r="K243" s="295" t="str">
        <f>IF(B243="","",IF(ISNA(VLOOKUP($B243,'E-1 Off-Site Hedge Baseline'!$B$1:$X$257,16,FALSE)),"",(VLOOKUP($B243,'E-1 Off-Site Hedge Baseline'!$B$1:$X$257,16,FALSE))))</f>
        <v/>
      </c>
      <c r="L243" s="283" t="str">
        <f>IF(B243="","",IF(ISNA(VLOOKUP($B243,'E-1 Off-Site Hedge Baseline'!$B$1:$X$257,12,FALSE)),"",(VLOOKUP($B243,'E-1 Off-Site Hedge Baseline'!$B$1:$X$257,12,FALSE))))</f>
        <v/>
      </c>
      <c r="M243" s="244"/>
      <c r="N243" s="275" t="str">
        <f>IFERROR(IF(B243="","",INDEX('G-6 Hedgerow Data'!$AN$3:$AZ$15,MATCH(C243,'G-6 Hedgerow Data'!$AM$3:$AM$15,0),MATCH(M243,'G-6 Hedgerow Data'!$AN$2:$AZ$2,0))),"")</f>
        <v/>
      </c>
      <c r="O243" s="276" t="str">
        <f t="shared" si="25"/>
        <v/>
      </c>
      <c r="P243" s="281" t="str">
        <f>IF(B243="","",VLOOKUP(B243,'E-1 Off-Site Hedge Baseline'!$B$10:W488,19,FALSE))</f>
        <v/>
      </c>
      <c r="Q243" s="275" t="str">
        <f>IF(M243="","",VLOOKUP(M243,'G-6 Hedgerow Data'!$B$2:$AG$15,2,FALSE))</f>
        <v/>
      </c>
      <c r="R243" s="276" t="str">
        <f>IF(M243="","",VLOOKUP(M243,'G-6 Hedgerow Data'!$B$2:$AG$15,3,FALSE))</f>
        <v/>
      </c>
      <c r="S243" s="101"/>
      <c r="T243" s="276" t="str">
        <f>IFERROR(IF(S243="","",IF(AND(M243="Non-native and ornamental hedgerow",S243&lt;&gt;"Poor"),"Not possible ▲",(IF(AND(Q243="V.Low",OR(S243="Good",S243="Moderate")),"Error ▲",VLOOKUP(S243,'G-1 All Habitats'!$Z$2:$AA$9,2,FALSE))))),"")</f>
        <v/>
      </c>
      <c r="U243" s="101"/>
      <c r="V243" s="283" t="str">
        <f>IF(U243="","",IF(VLOOKUP(U243,'G-3 Multipliers'!$L$3:$N$6,2,FALSE)=0,"Spatial Data Missing ⚠",VLOOKUP(U243,'G-3 Multipliers'!$L$3:$N$6,2,FALSE)))</f>
        <v/>
      </c>
      <c r="W243" s="281" t="str">
        <f>IF(U243="","",IF(VLOOKUP(U243,'G-3 Multipliers'!$L$3:$N$6,3,FALSE)=0,"Spatial Data Missing ⚠",VLOOKUP(U243,'G-3 Multipliers'!$L$3:$N$6,3,FALSE)))</f>
        <v/>
      </c>
      <c r="X243" s="275" t="str">
        <f>IFERROR(IF(OR(LEFT(O243,5)="Error",LEFT(N243,5)="Error",T243="Error"),"Check Data ⚠",IF(F243&lt;R243,INDEX('G-6 Hedgerow Data'!$S$3:$AE$14,MATCH(C243,'G-6 Hedgerow Data'!$B$3:$B$14,0),MATCH(M243,'G-6 Hedgerow Data'!$S$2:$AE$2,0)),INDEX('G-6 Hedgerow Data'!$K$3:$Q$14,MATCH(M243,'G-6 Hedgerow Data'!$B$3:$B$14,0),MATCH(O243,'G-6 Hedgerow Data'!$K$2:$Q$2,0)))),"")</f>
        <v/>
      </c>
      <c r="Y243" s="133"/>
      <c r="Z243" s="133"/>
      <c r="AA243" s="283" t="str">
        <f t="shared" si="26"/>
        <v/>
      </c>
      <c r="AB243" s="296" t="str">
        <f t="shared" si="27"/>
        <v/>
      </c>
      <c r="AC243" s="297" t="str">
        <f t="shared" si="24"/>
        <v/>
      </c>
      <c r="AD243" s="311" t="str">
        <f>IF(M243="","",VLOOKUP(M243,'G-6 Hedgerow Data'!$B$3:$AG$15,31,FALSE))</f>
        <v/>
      </c>
      <c r="AE243" s="295" t="str">
        <f t="shared" si="28"/>
        <v/>
      </c>
      <c r="AF243" s="283" t="str">
        <f t="shared" si="29"/>
        <v/>
      </c>
      <c r="AG243" s="299" t="str">
        <f>IFERROR(IF(O243="","",VLOOKUP(AD243,'G-3 Multipliers'!$P$3:$Q$6,2,FALSE)),"")</f>
        <v/>
      </c>
      <c r="AH243" s="713" t="str">
        <f>IF(B243="","",IF(ISNA(VLOOKUP($B243,'E-1 Off-Site Hedge Baseline'!$B$1:$Z$257,14,FALSE)),"",(VLOOKUP($B243,'E-1 Off-Site Hedge Baseline'!$B$1:$Z$257,14,FALSE))))</f>
        <v/>
      </c>
      <c r="AI243" s="276" t="str">
        <f>IF(AH243="","",IF(VLOOKUP(AH243,'G-3 Multipliers'!$S$3:$T$10,2,FALSE)=0,"Spatial Data Missing ⚠",VLOOKUP(AH243,'G-3 Multipliers'!$S$3:$T$10,2,FALSE)))</f>
        <v/>
      </c>
      <c r="AJ243" s="317" t="str">
        <f t="shared" si="30"/>
        <v/>
      </c>
      <c r="AK243" s="289" t="str">
        <f t="shared" si="31"/>
        <v/>
      </c>
      <c r="AL243" s="101"/>
      <c r="AM243" s="115"/>
      <c r="AN243" s="104"/>
      <c r="AO243" s="104"/>
      <c r="AQ243" s="30" t="str">
        <f>IFERROR(INDEX('G-6 Hedgerow Data'!$BJ$3:$BJ$15,MATCH(M243,'G-6 Hedgerow Data'!$B$3:$B$15,0)),"")</f>
        <v/>
      </c>
    </row>
    <row r="244" spans="2:43" ht="14">
      <c r="B244" s="305" t="str">
        <f>'E-1 Off-Site Hedge Baseline'!AN242</f>
        <v/>
      </c>
      <c r="C244" s="295" t="str">
        <f>IF(B244="","",IF(ISNA(VLOOKUP($B244,'E-1 Off-Site Hedge Baseline'!$B$1:$L$257,3,FALSE)),"",(VLOOKUP($B244,'E-1 Off-Site Hedge Baseline'!$B$1:$L$257,3,FALSE))))</f>
        <v/>
      </c>
      <c r="D244" s="295" t="str">
        <f>IF(B244="","",IF(ISNA(VLOOKUP($B244,'E-1 Off-Site Hedge Baseline'!$B$1:$L$258,4,FALSE)),"",(VLOOKUP($B244,'E-1 Off-Site Hedge Baseline'!$B$1:$L$258,4,FALSE))))</f>
        <v/>
      </c>
      <c r="E244" s="295" t="str">
        <f>IF(B244="","",IF(ISNA(VLOOKUP($B244,'E-1 Off-Site Hedge Baseline'!$B$1:$L$257,5,FALSE)),"",(VLOOKUP($B244,'E-1 Off-Site Hedge Baseline'!$B$1:$L$257,5,FALSE))))</f>
        <v/>
      </c>
      <c r="F244" s="295" t="str">
        <f>IF(B244="","",IF(ISNA(VLOOKUP($B244,'E-1 Off-Site Hedge Baseline'!$B$1:$L$257,6,FALSE)),"",(VLOOKUP($B244,'E-1 Off-Site Hedge Baseline'!$B$1:$L$257,6,FALSE))))</f>
        <v/>
      </c>
      <c r="G244" s="295" t="str">
        <f>IF(B244="","",IF(ISNA(VLOOKUP($B244,'E-1 Off-Site Hedge Baseline'!$B$1:$L$257,7,FALSE)),"",(VLOOKUP($B244,'E-1 Off-Site Hedge Baseline'!$B$1:$L$257,7,FALSE))))</f>
        <v/>
      </c>
      <c r="H244" s="295" t="str">
        <f>IF(B244="","",IF(ISNA(VLOOKUP($B244,'E-1 Off-Site Hedge Baseline'!$B$1:$L$257,8,FALSE)),"",(VLOOKUP($B244,'E-1 Off-Site Hedge Baseline'!$B$1:$L$257,8,FALSE))))</f>
        <v/>
      </c>
      <c r="I244" s="295" t="str">
        <f>IF(B244="","",IF(ISNA(VLOOKUP($B244,'E-1 Off-Site Hedge Baseline'!$B$1:$L$257,10,FALSE)),"",(VLOOKUP($B244,'E-1 Off-Site Hedge Baseline'!$B$1:$L$257,10,FALSE))))</f>
        <v/>
      </c>
      <c r="J244" s="295" t="str">
        <f>IF(B244="","",IF(ISNA(VLOOKUP($B244,'E-1 Off-Site Hedge Baseline'!$B$1:$L$257,11,FALSE)),"",(VLOOKUP($B244,'E-1 Off-Site Hedge Baseline'!$B$1:$L$257,11,FALSE))))</f>
        <v/>
      </c>
      <c r="K244" s="295" t="str">
        <f>IF(B244="","",IF(ISNA(VLOOKUP($B244,'E-1 Off-Site Hedge Baseline'!$B$1:$X$257,16,FALSE)),"",(VLOOKUP($B244,'E-1 Off-Site Hedge Baseline'!$B$1:$X$257,16,FALSE))))</f>
        <v/>
      </c>
      <c r="L244" s="283" t="str">
        <f>IF(B244="","",IF(ISNA(VLOOKUP($B244,'E-1 Off-Site Hedge Baseline'!$B$1:$X$257,12,FALSE)),"",(VLOOKUP($B244,'E-1 Off-Site Hedge Baseline'!$B$1:$X$257,12,FALSE))))</f>
        <v/>
      </c>
      <c r="M244" s="244"/>
      <c r="N244" s="275" t="str">
        <f>IFERROR(IF(B244="","",INDEX('G-6 Hedgerow Data'!$AN$3:$AZ$15,MATCH(C244,'G-6 Hedgerow Data'!$AM$3:$AM$15,0),MATCH(M244,'G-6 Hedgerow Data'!$AN$2:$AZ$2,0))),"")</f>
        <v/>
      </c>
      <c r="O244" s="276" t="str">
        <f t="shared" si="25"/>
        <v/>
      </c>
      <c r="P244" s="281" t="str">
        <f>IF(B244="","",VLOOKUP(B244,'E-1 Off-Site Hedge Baseline'!$B$10:W489,19,FALSE))</f>
        <v/>
      </c>
      <c r="Q244" s="275" t="str">
        <f>IF(M244="","",VLOOKUP(M244,'G-6 Hedgerow Data'!$B$2:$AG$15,2,FALSE))</f>
        <v/>
      </c>
      <c r="R244" s="276" t="str">
        <f>IF(M244="","",VLOOKUP(M244,'G-6 Hedgerow Data'!$B$2:$AG$15,3,FALSE))</f>
        <v/>
      </c>
      <c r="S244" s="101"/>
      <c r="T244" s="276" t="str">
        <f>IFERROR(IF(S244="","",IF(AND(M244="Non-native and ornamental hedgerow",S244&lt;&gt;"Poor"),"Not possible ▲",(IF(AND(Q244="V.Low",OR(S244="Good",S244="Moderate")),"Error ▲",VLOOKUP(S244,'G-1 All Habitats'!$Z$2:$AA$9,2,FALSE))))),"")</f>
        <v/>
      </c>
      <c r="U244" s="101"/>
      <c r="V244" s="283" t="str">
        <f>IF(U244="","",IF(VLOOKUP(U244,'G-3 Multipliers'!$L$3:$N$6,2,FALSE)=0,"Spatial Data Missing ⚠",VLOOKUP(U244,'G-3 Multipliers'!$L$3:$N$6,2,FALSE)))</f>
        <v/>
      </c>
      <c r="W244" s="281" t="str">
        <f>IF(U244="","",IF(VLOOKUP(U244,'G-3 Multipliers'!$L$3:$N$6,3,FALSE)=0,"Spatial Data Missing ⚠",VLOOKUP(U244,'G-3 Multipliers'!$L$3:$N$6,3,FALSE)))</f>
        <v/>
      </c>
      <c r="X244" s="275" t="str">
        <f>IFERROR(IF(OR(LEFT(O244,5)="Error",LEFT(N244,5)="Error",T244="Error"),"Check Data ⚠",IF(F244&lt;R244,INDEX('G-6 Hedgerow Data'!$S$3:$AE$14,MATCH(C244,'G-6 Hedgerow Data'!$B$3:$B$14,0),MATCH(M244,'G-6 Hedgerow Data'!$S$2:$AE$2,0)),INDEX('G-6 Hedgerow Data'!$K$3:$Q$14,MATCH(M244,'G-6 Hedgerow Data'!$B$3:$B$14,0),MATCH(O244,'G-6 Hedgerow Data'!$K$2:$Q$2,0)))),"")</f>
        <v/>
      </c>
      <c r="Y244" s="133"/>
      <c r="Z244" s="133"/>
      <c r="AA244" s="283" t="str">
        <f t="shared" si="26"/>
        <v/>
      </c>
      <c r="AB244" s="296" t="str">
        <f t="shared" si="27"/>
        <v/>
      </c>
      <c r="AC244" s="297" t="str">
        <f t="shared" si="24"/>
        <v/>
      </c>
      <c r="AD244" s="311" t="str">
        <f>IF(M244="","",VLOOKUP(M244,'G-6 Hedgerow Data'!$B$3:$AG$15,31,FALSE))</f>
        <v/>
      </c>
      <c r="AE244" s="295" t="str">
        <f t="shared" si="28"/>
        <v/>
      </c>
      <c r="AF244" s="283" t="str">
        <f t="shared" si="29"/>
        <v/>
      </c>
      <c r="AG244" s="299" t="str">
        <f>IFERROR(IF(O244="","",VLOOKUP(AD244,'G-3 Multipliers'!$P$3:$Q$6,2,FALSE)),"")</f>
        <v/>
      </c>
      <c r="AH244" s="713" t="str">
        <f>IF(B244="","",IF(ISNA(VLOOKUP($B244,'E-1 Off-Site Hedge Baseline'!$B$1:$Z$257,14,FALSE)),"",(VLOOKUP($B244,'E-1 Off-Site Hedge Baseline'!$B$1:$Z$257,14,FALSE))))</f>
        <v/>
      </c>
      <c r="AI244" s="276" t="str">
        <f>IF(AH244="","",IF(VLOOKUP(AH244,'G-3 Multipliers'!$S$3:$T$10,2,FALSE)=0,"Spatial Data Missing ⚠",VLOOKUP(AH244,'G-3 Multipliers'!$S$3:$T$10,2,FALSE)))</f>
        <v/>
      </c>
      <c r="AJ244" s="317" t="str">
        <f t="shared" si="30"/>
        <v/>
      </c>
      <c r="AK244" s="289" t="str">
        <f t="shared" si="31"/>
        <v/>
      </c>
      <c r="AL244" s="101"/>
      <c r="AM244" s="115"/>
      <c r="AN244" s="104"/>
      <c r="AO244" s="104"/>
      <c r="AQ244" s="30" t="str">
        <f>IFERROR(INDEX('G-6 Hedgerow Data'!$BJ$3:$BJ$15,MATCH(M244,'G-6 Hedgerow Data'!$B$3:$B$15,0)),"")</f>
        <v/>
      </c>
    </row>
    <row r="245" spans="2:43" ht="14">
      <c r="B245" s="305" t="str">
        <f>'E-1 Off-Site Hedge Baseline'!AN243</f>
        <v/>
      </c>
      <c r="C245" s="295" t="str">
        <f>IF(B245="","",IF(ISNA(VLOOKUP($B245,'E-1 Off-Site Hedge Baseline'!$B$1:$L$257,3,FALSE)),"",(VLOOKUP($B245,'E-1 Off-Site Hedge Baseline'!$B$1:$L$257,3,FALSE))))</f>
        <v/>
      </c>
      <c r="D245" s="295" t="str">
        <f>IF(B245="","",IF(ISNA(VLOOKUP($B245,'E-1 Off-Site Hedge Baseline'!$B$1:$L$258,4,FALSE)),"",(VLOOKUP($B245,'E-1 Off-Site Hedge Baseline'!$B$1:$L$258,4,FALSE))))</f>
        <v/>
      </c>
      <c r="E245" s="295" t="str">
        <f>IF(B245="","",IF(ISNA(VLOOKUP($B245,'E-1 Off-Site Hedge Baseline'!$B$1:$L$257,5,FALSE)),"",(VLOOKUP($B245,'E-1 Off-Site Hedge Baseline'!$B$1:$L$257,5,FALSE))))</f>
        <v/>
      </c>
      <c r="F245" s="295" t="str">
        <f>IF(B245="","",IF(ISNA(VLOOKUP($B245,'E-1 Off-Site Hedge Baseline'!$B$1:$L$257,6,FALSE)),"",(VLOOKUP($B245,'E-1 Off-Site Hedge Baseline'!$B$1:$L$257,6,FALSE))))</f>
        <v/>
      </c>
      <c r="G245" s="295" t="str">
        <f>IF(B245="","",IF(ISNA(VLOOKUP($B245,'E-1 Off-Site Hedge Baseline'!$B$1:$L$257,7,FALSE)),"",(VLOOKUP($B245,'E-1 Off-Site Hedge Baseline'!$B$1:$L$257,7,FALSE))))</f>
        <v/>
      </c>
      <c r="H245" s="295" t="str">
        <f>IF(B245="","",IF(ISNA(VLOOKUP($B245,'E-1 Off-Site Hedge Baseline'!$B$1:$L$257,8,FALSE)),"",(VLOOKUP($B245,'E-1 Off-Site Hedge Baseline'!$B$1:$L$257,8,FALSE))))</f>
        <v/>
      </c>
      <c r="I245" s="295" t="str">
        <f>IF(B245="","",IF(ISNA(VLOOKUP($B245,'E-1 Off-Site Hedge Baseline'!$B$1:$L$257,10,FALSE)),"",(VLOOKUP($B245,'E-1 Off-Site Hedge Baseline'!$B$1:$L$257,10,FALSE))))</f>
        <v/>
      </c>
      <c r="J245" s="295" t="str">
        <f>IF(B245="","",IF(ISNA(VLOOKUP($B245,'E-1 Off-Site Hedge Baseline'!$B$1:$L$257,11,FALSE)),"",(VLOOKUP($B245,'E-1 Off-Site Hedge Baseline'!$B$1:$L$257,11,FALSE))))</f>
        <v/>
      </c>
      <c r="K245" s="295" t="str">
        <f>IF(B245="","",IF(ISNA(VLOOKUP($B245,'E-1 Off-Site Hedge Baseline'!$B$1:$X$257,16,FALSE)),"",(VLOOKUP($B245,'E-1 Off-Site Hedge Baseline'!$B$1:$X$257,16,FALSE))))</f>
        <v/>
      </c>
      <c r="L245" s="283" t="str">
        <f>IF(B245="","",IF(ISNA(VLOOKUP($B245,'E-1 Off-Site Hedge Baseline'!$B$1:$X$257,12,FALSE)),"",(VLOOKUP($B245,'E-1 Off-Site Hedge Baseline'!$B$1:$X$257,12,FALSE))))</f>
        <v/>
      </c>
      <c r="M245" s="244"/>
      <c r="N245" s="275" t="str">
        <f>IFERROR(IF(B245="","",INDEX('G-6 Hedgerow Data'!$AN$3:$AZ$15,MATCH(C245,'G-6 Hedgerow Data'!$AM$3:$AM$15,0),MATCH(M245,'G-6 Hedgerow Data'!$AN$2:$AZ$2,0))),"")</f>
        <v/>
      </c>
      <c r="O245" s="276" t="str">
        <f t="shared" si="25"/>
        <v/>
      </c>
      <c r="P245" s="281" t="str">
        <f>IF(B245="","",VLOOKUP(B245,'E-1 Off-Site Hedge Baseline'!$B$10:W490,19,FALSE))</f>
        <v/>
      </c>
      <c r="Q245" s="275" t="str">
        <f>IF(M245="","",VLOOKUP(M245,'G-6 Hedgerow Data'!$B$2:$AG$15,2,FALSE))</f>
        <v/>
      </c>
      <c r="R245" s="276" t="str">
        <f>IF(M245="","",VLOOKUP(M245,'G-6 Hedgerow Data'!$B$2:$AG$15,3,FALSE))</f>
        <v/>
      </c>
      <c r="S245" s="101"/>
      <c r="T245" s="276" t="str">
        <f>IFERROR(IF(S245="","",IF(AND(M245="Non-native and ornamental hedgerow",S245&lt;&gt;"Poor"),"Not possible ▲",(IF(AND(Q245="V.Low",OR(S245="Good",S245="Moderate")),"Error ▲",VLOOKUP(S245,'G-1 All Habitats'!$Z$2:$AA$9,2,FALSE))))),"")</f>
        <v/>
      </c>
      <c r="U245" s="101"/>
      <c r="V245" s="283" t="str">
        <f>IF(U245="","",IF(VLOOKUP(U245,'G-3 Multipliers'!$L$3:$N$6,2,FALSE)=0,"Spatial Data Missing ⚠",VLOOKUP(U245,'G-3 Multipliers'!$L$3:$N$6,2,FALSE)))</f>
        <v/>
      </c>
      <c r="W245" s="281" t="str">
        <f>IF(U245="","",IF(VLOOKUP(U245,'G-3 Multipliers'!$L$3:$N$6,3,FALSE)=0,"Spatial Data Missing ⚠",VLOOKUP(U245,'G-3 Multipliers'!$L$3:$N$6,3,FALSE)))</f>
        <v/>
      </c>
      <c r="X245" s="275" t="str">
        <f>IFERROR(IF(OR(LEFT(O245,5)="Error",LEFT(N245,5)="Error",T245="Error"),"Check Data ⚠",IF(F245&lt;R245,INDEX('G-6 Hedgerow Data'!$S$3:$AE$14,MATCH(C245,'G-6 Hedgerow Data'!$B$3:$B$14,0),MATCH(M245,'G-6 Hedgerow Data'!$S$2:$AE$2,0)),INDEX('G-6 Hedgerow Data'!$K$3:$Q$14,MATCH(M245,'G-6 Hedgerow Data'!$B$3:$B$14,0),MATCH(O245,'G-6 Hedgerow Data'!$K$2:$Q$2,0)))),"")</f>
        <v/>
      </c>
      <c r="Y245" s="133"/>
      <c r="Z245" s="133"/>
      <c r="AA245" s="283" t="str">
        <f t="shared" si="26"/>
        <v/>
      </c>
      <c r="AB245" s="296" t="str">
        <f t="shared" si="27"/>
        <v/>
      </c>
      <c r="AC245" s="297" t="str">
        <f t="shared" si="24"/>
        <v/>
      </c>
      <c r="AD245" s="311" t="str">
        <f>IF(M245="","",VLOOKUP(M245,'G-6 Hedgerow Data'!$B$3:$AG$15,31,FALSE))</f>
        <v/>
      </c>
      <c r="AE245" s="295" t="str">
        <f t="shared" si="28"/>
        <v/>
      </c>
      <c r="AF245" s="283" t="str">
        <f t="shared" si="29"/>
        <v/>
      </c>
      <c r="AG245" s="299" t="str">
        <f>IFERROR(IF(O245="","",VLOOKUP(AD245,'G-3 Multipliers'!$P$3:$Q$6,2,FALSE)),"")</f>
        <v/>
      </c>
      <c r="AH245" s="713" t="str">
        <f>IF(B245="","",IF(ISNA(VLOOKUP($B245,'E-1 Off-Site Hedge Baseline'!$B$1:$Z$257,14,FALSE)),"",(VLOOKUP($B245,'E-1 Off-Site Hedge Baseline'!$B$1:$Z$257,14,FALSE))))</f>
        <v/>
      </c>
      <c r="AI245" s="276" t="str">
        <f>IF(AH245="","",IF(VLOOKUP(AH245,'G-3 Multipliers'!$S$3:$T$10,2,FALSE)=0,"Spatial Data Missing ⚠",VLOOKUP(AH245,'G-3 Multipliers'!$S$3:$T$10,2,FALSE)))</f>
        <v/>
      </c>
      <c r="AJ245" s="317" t="str">
        <f t="shared" si="30"/>
        <v/>
      </c>
      <c r="AK245" s="289" t="str">
        <f t="shared" si="31"/>
        <v/>
      </c>
      <c r="AL245" s="101"/>
      <c r="AM245" s="115"/>
      <c r="AN245" s="104"/>
      <c r="AO245" s="104"/>
      <c r="AQ245" s="30" t="str">
        <f>IFERROR(INDEX('G-6 Hedgerow Data'!$BJ$3:$BJ$15,MATCH(M245,'G-6 Hedgerow Data'!$B$3:$B$15,0)),"")</f>
        <v/>
      </c>
    </row>
    <row r="246" spans="2:43" ht="14">
      <c r="B246" s="305" t="str">
        <f>'E-1 Off-Site Hedge Baseline'!AN244</f>
        <v/>
      </c>
      <c r="C246" s="295" t="str">
        <f>IF(B246="","",IF(ISNA(VLOOKUP($B246,'E-1 Off-Site Hedge Baseline'!$B$1:$L$257,3,FALSE)),"",(VLOOKUP($B246,'E-1 Off-Site Hedge Baseline'!$B$1:$L$257,3,FALSE))))</f>
        <v/>
      </c>
      <c r="D246" s="295" t="str">
        <f>IF(B246="","",IF(ISNA(VLOOKUP($B246,'E-1 Off-Site Hedge Baseline'!$B$1:$L$258,4,FALSE)),"",(VLOOKUP($B246,'E-1 Off-Site Hedge Baseline'!$B$1:$L$258,4,FALSE))))</f>
        <v/>
      </c>
      <c r="E246" s="295" t="str">
        <f>IF(B246="","",IF(ISNA(VLOOKUP($B246,'E-1 Off-Site Hedge Baseline'!$B$1:$L$257,5,FALSE)),"",(VLOOKUP($B246,'E-1 Off-Site Hedge Baseline'!$B$1:$L$257,5,FALSE))))</f>
        <v/>
      </c>
      <c r="F246" s="295" t="str">
        <f>IF(B246="","",IF(ISNA(VLOOKUP($B246,'E-1 Off-Site Hedge Baseline'!$B$1:$L$257,6,FALSE)),"",(VLOOKUP($B246,'E-1 Off-Site Hedge Baseline'!$B$1:$L$257,6,FALSE))))</f>
        <v/>
      </c>
      <c r="G246" s="295" t="str">
        <f>IF(B246="","",IF(ISNA(VLOOKUP($B246,'E-1 Off-Site Hedge Baseline'!$B$1:$L$257,7,FALSE)),"",(VLOOKUP($B246,'E-1 Off-Site Hedge Baseline'!$B$1:$L$257,7,FALSE))))</f>
        <v/>
      </c>
      <c r="H246" s="295" t="str">
        <f>IF(B246="","",IF(ISNA(VLOOKUP($B246,'E-1 Off-Site Hedge Baseline'!$B$1:$L$257,8,FALSE)),"",(VLOOKUP($B246,'E-1 Off-Site Hedge Baseline'!$B$1:$L$257,8,FALSE))))</f>
        <v/>
      </c>
      <c r="I246" s="295" t="str">
        <f>IF(B246="","",IF(ISNA(VLOOKUP($B246,'E-1 Off-Site Hedge Baseline'!$B$1:$L$257,10,FALSE)),"",(VLOOKUP($B246,'E-1 Off-Site Hedge Baseline'!$B$1:$L$257,10,FALSE))))</f>
        <v/>
      </c>
      <c r="J246" s="295" t="str">
        <f>IF(B246="","",IF(ISNA(VLOOKUP($B246,'E-1 Off-Site Hedge Baseline'!$B$1:$L$257,11,FALSE)),"",(VLOOKUP($B246,'E-1 Off-Site Hedge Baseline'!$B$1:$L$257,11,FALSE))))</f>
        <v/>
      </c>
      <c r="K246" s="295" t="str">
        <f>IF(B246="","",IF(ISNA(VLOOKUP($B246,'E-1 Off-Site Hedge Baseline'!$B$1:$X$257,16,FALSE)),"",(VLOOKUP($B246,'E-1 Off-Site Hedge Baseline'!$B$1:$X$257,16,FALSE))))</f>
        <v/>
      </c>
      <c r="L246" s="283" t="str">
        <f>IF(B246="","",IF(ISNA(VLOOKUP($B246,'E-1 Off-Site Hedge Baseline'!$B$1:$X$257,12,FALSE)),"",(VLOOKUP($B246,'E-1 Off-Site Hedge Baseline'!$B$1:$X$257,12,FALSE))))</f>
        <v/>
      </c>
      <c r="M246" s="244"/>
      <c r="N246" s="275" t="str">
        <f>IFERROR(IF(B246="","",INDEX('G-6 Hedgerow Data'!$AN$3:$AZ$15,MATCH(C246,'G-6 Hedgerow Data'!$AM$3:$AM$15,0),MATCH(M246,'G-6 Hedgerow Data'!$AN$2:$AZ$2,0))),"")</f>
        <v/>
      </c>
      <c r="O246" s="276" t="str">
        <f t="shared" si="25"/>
        <v/>
      </c>
      <c r="P246" s="281" t="str">
        <f>IF(B246="","",VLOOKUP(B246,'E-1 Off-Site Hedge Baseline'!$B$10:W491,19,FALSE))</f>
        <v/>
      </c>
      <c r="Q246" s="275" t="str">
        <f>IF(M246="","",VLOOKUP(M246,'G-6 Hedgerow Data'!$B$2:$AG$15,2,FALSE))</f>
        <v/>
      </c>
      <c r="R246" s="276" t="str">
        <f>IF(M246="","",VLOOKUP(M246,'G-6 Hedgerow Data'!$B$2:$AG$15,3,FALSE))</f>
        <v/>
      </c>
      <c r="S246" s="101"/>
      <c r="T246" s="276" t="str">
        <f>IFERROR(IF(S246="","",IF(AND(M246="Non-native and ornamental hedgerow",S246&lt;&gt;"Poor"),"Not possible ▲",(IF(AND(Q246="V.Low",OR(S246="Good",S246="Moderate")),"Error ▲",VLOOKUP(S246,'G-1 All Habitats'!$Z$2:$AA$9,2,FALSE))))),"")</f>
        <v/>
      </c>
      <c r="U246" s="101"/>
      <c r="V246" s="283" t="str">
        <f>IF(U246="","",IF(VLOOKUP(U246,'G-3 Multipliers'!$L$3:$N$6,2,FALSE)=0,"Spatial Data Missing ⚠",VLOOKUP(U246,'G-3 Multipliers'!$L$3:$N$6,2,FALSE)))</f>
        <v/>
      </c>
      <c r="W246" s="281" t="str">
        <f>IF(U246="","",IF(VLOOKUP(U246,'G-3 Multipliers'!$L$3:$N$6,3,FALSE)=0,"Spatial Data Missing ⚠",VLOOKUP(U246,'G-3 Multipliers'!$L$3:$N$6,3,FALSE)))</f>
        <v/>
      </c>
      <c r="X246" s="275" t="str">
        <f>IFERROR(IF(OR(LEFT(O246,5)="Error",LEFT(N246,5)="Error",T246="Error"),"Check Data ⚠",IF(F246&lt;R246,INDEX('G-6 Hedgerow Data'!$S$3:$AE$14,MATCH(C246,'G-6 Hedgerow Data'!$B$3:$B$14,0),MATCH(M246,'G-6 Hedgerow Data'!$S$2:$AE$2,0)),INDEX('G-6 Hedgerow Data'!$K$3:$Q$14,MATCH(M246,'G-6 Hedgerow Data'!$B$3:$B$14,0),MATCH(O246,'G-6 Hedgerow Data'!$K$2:$Q$2,0)))),"")</f>
        <v/>
      </c>
      <c r="Y246" s="133"/>
      <c r="Z246" s="133"/>
      <c r="AA246" s="283" t="str">
        <f t="shared" si="26"/>
        <v/>
      </c>
      <c r="AB246" s="296" t="str">
        <f t="shared" si="27"/>
        <v/>
      </c>
      <c r="AC246" s="297" t="str">
        <f t="shared" si="24"/>
        <v/>
      </c>
      <c r="AD246" s="311" t="str">
        <f>IF(M246="","",VLOOKUP(M246,'G-6 Hedgerow Data'!$B$3:$AG$15,31,FALSE))</f>
        <v/>
      </c>
      <c r="AE246" s="295" t="str">
        <f t="shared" si="28"/>
        <v/>
      </c>
      <c r="AF246" s="283" t="str">
        <f t="shared" si="29"/>
        <v/>
      </c>
      <c r="AG246" s="299" t="str">
        <f>IFERROR(IF(O246="","",VLOOKUP(AD246,'G-3 Multipliers'!$P$3:$Q$6,2,FALSE)),"")</f>
        <v/>
      </c>
      <c r="AH246" s="713" t="str">
        <f>IF(B246="","",IF(ISNA(VLOOKUP($B246,'E-1 Off-Site Hedge Baseline'!$B$1:$Z$257,14,FALSE)),"",(VLOOKUP($B246,'E-1 Off-Site Hedge Baseline'!$B$1:$Z$257,14,FALSE))))</f>
        <v/>
      </c>
      <c r="AI246" s="276" t="str">
        <f>IF(AH246="","",IF(VLOOKUP(AH246,'G-3 Multipliers'!$S$3:$T$10,2,FALSE)=0,"Spatial Data Missing ⚠",VLOOKUP(AH246,'G-3 Multipliers'!$S$3:$T$10,2,FALSE)))</f>
        <v/>
      </c>
      <c r="AJ246" s="317" t="str">
        <f t="shared" si="30"/>
        <v/>
      </c>
      <c r="AK246" s="289" t="str">
        <f t="shared" si="31"/>
        <v/>
      </c>
      <c r="AL246" s="101"/>
      <c r="AM246" s="115"/>
      <c r="AN246" s="104"/>
      <c r="AO246" s="104"/>
      <c r="AQ246" s="30" t="str">
        <f>IFERROR(INDEX('G-6 Hedgerow Data'!$BJ$3:$BJ$15,MATCH(M246,'G-6 Hedgerow Data'!$B$3:$B$15,0)),"")</f>
        <v/>
      </c>
    </row>
    <row r="247" spans="2:43" ht="14">
      <c r="B247" s="305" t="str">
        <f>'E-1 Off-Site Hedge Baseline'!AN245</f>
        <v/>
      </c>
      <c r="C247" s="295" t="str">
        <f>IF(B247="","",IF(ISNA(VLOOKUP($B247,'E-1 Off-Site Hedge Baseline'!$B$1:$L$257,3,FALSE)),"",(VLOOKUP($B247,'E-1 Off-Site Hedge Baseline'!$B$1:$L$257,3,FALSE))))</f>
        <v/>
      </c>
      <c r="D247" s="295" t="str">
        <f>IF(B247="","",IF(ISNA(VLOOKUP($B247,'E-1 Off-Site Hedge Baseline'!$B$1:$L$258,4,FALSE)),"",(VLOOKUP($B247,'E-1 Off-Site Hedge Baseline'!$B$1:$L$258,4,FALSE))))</f>
        <v/>
      </c>
      <c r="E247" s="295" t="str">
        <f>IF(B247="","",IF(ISNA(VLOOKUP($B247,'E-1 Off-Site Hedge Baseline'!$B$1:$L$257,5,FALSE)),"",(VLOOKUP($B247,'E-1 Off-Site Hedge Baseline'!$B$1:$L$257,5,FALSE))))</f>
        <v/>
      </c>
      <c r="F247" s="295" t="str">
        <f>IF(B247="","",IF(ISNA(VLOOKUP($B247,'E-1 Off-Site Hedge Baseline'!$B$1:$L$257,6,FALSE)),"",(VLOOKUP($B247,'E-1 Off-Site Hedge Baseline'!$B$1:$L$257,6,FALSE))))</f>
        <v/>
      </c>
      <c r="G247" s="295" t="str">
        <f>IF(B247="","",IF(ISNA(VLOOKUP($B247,'E-1 Off-Site Hedge Baseline'!$B$1:$L$257,7,FALSE)),"",(VLOOKUP($B247,'E-1 Off-Site Hedge Baseline'!$B$1:$L$257,7,FALSE))))</f>
        <v/>
      </c>
      <c r="H247" s="295" t="str">
        <f>IF(B247="","",IF(ISNA(VLOOKUP($B247,'E-1 Off-Site Hedge Baseline'!$B$1:$L$257,8,FALSE)),"",(VLOOKUP($B247,'E-1 Off-Site Hedge Baseline'!$B$1:$L$257,8,FALSE))))</f>
        <v/>
      </c>
      <c r="I247" s="295" t="str">
        <f>IF(B247="","",IF(ISNA(VLOOKUP($B247,'E-1 Off-Site Hedge Baseline'!$B$1:$L$257,10,FALSE)),"",(VLOOKUP($B247,'E-1 Off-Site Hedge Baseline'!$B$1:$L$257,10,FALSE))))</f>
        <v/>
      </c>
      <c r="J247" s="295" t="str">
        <f>IF(B247="","",IF(ISNA(VLOOKUP($B247,'E-1 Off-Site Hedge Baseline'!$B$1:$L$257,11,FALSE)),"",(VLOOKUP($B247,'E-1 Off-Site Hedge Baseline'!$B$1:$L$257,11,FALSE))))</f>
        <v/>
      </c>
      <c r="K247" s="295" t="str">
        <f>IF(B247="","",IF(ISNA(VLOOKUP($B247,'E-1 Off-Site Hedge Baseline'!$B$1:$X$257,16,FALSE)),"",(VLOOKUP($B247,'E-1 Off-Site Hedge Baseline'!$B$1:$X$257,16,FALSE))))</f>
        <v/>
      </c>
      <c r="L247" s="283" t="str">
        <f>IF(B247="","",IF(ISNA(VLOOKUP($B247,'E-1 Off-Site Hedge Baseline'!$B$1:$X$257,12,FALSE)),"",(VLOOKUP($B247,'E-1 Off-Site Hedge Baseline'!$B$1:$X$257,12,FALSE))))</f>
        <v/>
      </c>
      <c r="M247" s="244"/>
      <c r="N247" s="275" t="str">
        <f>IFERROR(IF(B247="","",INDEX('G-6 Hedgerow Data'!$AN$3:$AZ$15,MATCH(C247,'G-6 Hedgerow Data'!$AM$3:$AM$15,0),MATCH(M247,'G-6 Hedgerow Data'!$AN$2:$AZ$2,0))),"")</f>
        <v/>
      </c>
      <c r="O247" s="276" t="str">
        <f t="shared" si="25"/>
        <v/>
      </c>
      <c r="P247" s="281" t="str">
        <f>IF(B247="","",VLOOKUP(B247,'E-1 Off-Site Hedge Baseline'!$B$10:W492,19,FALSE))</f>
        <v/>
      </c>
      <c r="Q247" s="275" t="str">
        <f>IF(M247="","",VLOOKUP(M247,'G-6 Hedgerow Data'!$B$2:$AG$15,2,FALSE))</f>
        <v/>
      </c>
      <c r="R247" s="276" t="str">
        <f>IF(M247="","",VLOOKUP(M247,'G-6 Hedgerow Data'!$B$2:$AG$15,3,FALSE))</f>
        <v/>
      </c>
      <c r="S247" s="101"/>
      <c r="T247" s="276" t="str">
        <f>IFERROR(IF(S247="","",IF(AND(M247="Non-native and ornamental hedgerow",S247&lt;&gt;"Poor"),"Not possible ▲",(IF(AND(Q247="V.Low",OR(S247="Good",S247="Moderate")),"Error ▲",VLOOKUP(S247,'G-1 All Habitats'!$Z$2:$AA$9,2,FALSE))))),"")</f>
        <v/>
      </c>
      <c r="U247" s="101"/>
      <c r="V247" s="283" t="str">
        <f>IF(U247="","",IF(VLOOKUP(U247,'G-3 Multipliers'!$L$3:$N$6,2,FALSE)=0,"Spatial Data Missing ⚠",VLOOKUP(U247,'G-3 Multipliers'!$L$3:$N$6,2,FALSE)))</f>
        <v/>
      </c>
      <c r="W247" s="281" t="str">
        <f>IF(U247="","",IF(VLOOKUP(U247,'G-3 Multipliers'!$L$3:$N$6,3,FALSE)=0,"Spatial Data Missing ⚠",VLOOKUP(U247,'G-3 Multipliers'!$L$3:$N$6,3,FALSE)))</f>
        <v/>
      </c>
      <c r="X247" s="275" t="str">
        <f>IFERROR(IF(OR(LEFT(O247,5)="Error",LEFT(N247,5)="Error",T247="Error"),"Check Data ⚠",IF(F247&lt;R247,INDEX('G-6 Hedgerow Data'!$S$3:$AE$14,MATCH(C247,'G-6 Hedgerow Data'!$B$3:$B$14,0),MATCH(M247,'G-6 Hedgerow Data'!$S$2:$AE$2,0)),INDEX('G-6 Hedgerow Data'!$K$3:$Q$14,MATCH(M247,'G-6 Hedgerow Data'!$B$3:$B$14,0),MATCH(O247,'G-6 Hedgerow Data'!$K$2:$Q$2,0)))),"")</f>
        <v/>
      </c>
      <c r="Y247" s="133"/>
      <c r="Z247" s="133"/>
      <c r="AA247" s="283" t="str">
        <f t="shared" si="26"/>
        <v/>
      </c>
      <c r="AB247" s="296" t="str">
        <f t="shared" si="27"/>
        <v/>
      </c>
      <c r="AC247" s="297" t="str">
        <f t="shared" si="24"/>
        <v/>
      </c>
      <c r="AD247" s="311" t="str">
        <f>IF(M247="","",VLOOKUP(M247,'G-6 Hedgerow Data'!$B$3:$AG$15,31,FALSE))</f>
        <v/>
      </c>
      <c r="AE247" s="295" t="str">
        <f t="shared" si="28"/>
        <v/>
      </c>
      <c r="AF247" s="283" t="str">
        <f t="shared" si="29"/>
        <v/>
      </c>
      <c r="AG247" s="299" t="str">
        <f>IFERROR(IF(O247="","",VLOOKUP(AD247,'G-3 Multipliers'!$P$3:$Q$6,2,FALSE)),"")</f>
        <v/>
      </c>
      <c r="AH247" s="713" t="str">
        <f>IF(B247="","",IF(ISNA(VLOOKUP($B247,'E-1 Off-Site Hedge Baseline'!$B$1:$Z$257,14,FALSE)),"",(VLOOKUP($B247,'E-1 Off-Site Hedge Baseline'!$B$1:$Z$257,14,FALSE))))</f>
        <v/>
      </c>
      <c r="AI247" s="276" t="str">
        <f>IF(AH247="","",IF(VLOOKUP(AH247,'G-3 Multipliers'!$S$3:$T$10,2,FALSE)=0,"Spatial Data Missing ⚠",VLOOKUP(AH247,'G-3 Multipliers'!$S$3:$T$10,2,FALSE)))</f>
        <v/>
      </c>
      <c r="AJ247" s="317" t="str">
        <f t="shared" si="30"/>
        <v/>
      </c>
      <c r="AK247" s="289" t="str">
        <f t="shared" si="31"/>
        <v/>
      </c>
      <c r="AL247" s="101"/>
      <c r="AM247" s="115"/>
      <c r="AN247" s="104"/>
      <c r="AO247" s="104"/>
      <c r="AQ247" s="30" t="str">
        <f>IFERROR(INDEX('G-6 Hedgerow Data'!$BJ$3:$BJ$15,MATCH(M247,'G-6 Hedgerow Data'!$B$3:$B$15,0)),"")</f>
        <v/>
      </c>
    </row>
    <row r="248" spans="2:43" ht="14">
      <c r="B248" s="305" t="str">
        <f>'E-1 Off-Site Hedge Baseline'!AN246</f>
        <v/>
      </c>
      <c r="C248" s="295" t="str">
        <f>IF(B248="","",IF(ISNA(VLOOKUP($B248,'E-1 Off-Site Hedge Baseline'!$B$1:$L$257,3,FALSE)),"",(VLOOKUP($B248,'E-1 Off-Site Hedge Baseline'!$B$1:$L$257,3,FALSE))))</f>
        <v/>
      </c>
      <c r="D248" s="295" t="str">
        <f>IF(B248="","",IF(ISNA(VLOOKUP($B248,'E-1 Off-Site Hedge Baseline'!$B$1:$L$258,4,FALSE)),"",(VLOOKUP($B248,'E-1 Off-Site Hedge Baseline'!$B$1:$L$258,4,FALSE))))</f>
        <v/>
      </c>
      <c r="E248" s="295" t="str">
        <f>IF(B248="","",IF(ISNA(VLOOKUP($B248,'E-1 Off-Site Hedge Baseline'!$B$1:$L$257,5,FALSE)),"",(VLOOKUP($B248,'E-1 Off-Site Hedge Baseline'!$B$1:$L$257,5,FALSE))))</f>
        <v/>
      </c>
      <c r="F248" s="295" t="str">
        <f>IF(B248="","",IF(ISNA(VLOOKUP($B248,'E-1 Off-Site Hedge Baseline'!$B$1:$L$257,6,FALSE)),"",(VLOOKUP($B248,'E-1 Off-Site Hedge Baseline'!$B$1:$L$257,6,FALSE))))</f>
        <v/>
      </c>
      <c r="G248" s="295" t="str">
        <f>IF(B248="","",IF(ISNA(VLOOKUP($B248,'E-1 Off-Site Hedge Baseline'!$B$1:$L$257,7,FALSE)),"",(VLOOKUP($B248,'E-1 Off-Site Hedge Baseline'!$B$1:$L$257,7,FALSE))))</f>
        <v/>
      </c>
      <c r="H248" s="295" t="str">
        <f>IF(B248="","",IF(ISNA(VLOOKUP($B248,'E-1 Off-Site Hedge Baseline'!$B$1:$L$257,8,FALSE)),"",(VLOOKUP($B248,'E-1 Off-Site Hedge Baseline'!$B$1:$L$257,8,FALSE))))</f>
        <v/>
      </c>
      <c r="I248" s="295" t="str">
        <f>IF(B248="","",IF(ISNA(VLOOKUP($B248,'E-1 Off-Site Hedge Baseline'!$B$1:$L$257,10,FALSE)),"",(VLOOKUP($B248,'E-1 Off-Site Hedge Baseline'!$B$1:$L$257,10,FALSE))))</f>
        <v/>
      </c>
      <c r="J248" s="295" t="str">
        <f>IF(B248="","",IF(ISNA(VLOOKUP($B248,'E-1 Off-Site Hedge Baseline'!$B$1:$L$257,11,FALSE)),"",(VLOOKUP($B248,'E-1 Off-Site Hedge Baseline'!$B$1:$L$257,11,FALSE))))</f>
        <v/>
      </c>
      <c r="K248" s="295" t="str">
        <f>IF(B248="","",IF(ISNA(VLOOKUP($B248,'E-1 Off-Site Hedge Baseline'!$B$1:$X$257,16,FALSE)),"",(VLOOKUP($B248,'E-1 Off-Site Hedge Baseline'!$B$1:$X$257,16,FALSE))))</f>
        <v/>
      </c>
      <c r="L248" s="283" t="str">
        <f>IF(B248="","",IF(ISNA(VLOOKUP($B248,'E-1 Off-Site Hedge Baseline'!$B$1:$X$257,12,FALSE)),"",(VLOOKUP($B248,'E-1 Off-Site Hedge Baseline'!$B$1:$X$257,12,FALSE))))</f>
        <v/>
      </c>
      <c r="M248" s="244"/>
      <c r="N248" s="275" t="str">
        <f>IFERROR(IF(B248="","",INDEX('G-6 Hedgerow Data'!$AN$3:$AZ$15,MATCH(C248,'G-6 Hedgerow Data'!$AM$3:$AM$15,0),MATCH(M248,'G-6 Hedgerow Data'!$AN$2:$AZ$2,0))),"")</f>
        <v/>
      </c>
      <c r="O248" s="276" t="str">
        <f t="shared" si="25"/>
        <v/>
      </c>
      <c r="P248" s="281" t="str">
        <f>IF(B248="","",VLOOKUP(B248,'E-1 Off-Site Hedge Baseline'!$B$10:W493,19,FALSE))</f>
        <v/>
      </c>
      <c r="Q248" s="275" t="str">
        <f>IF(M248="","",VLOOKUP(M248,'G-6 Hedgerow Data'!$B$2:$AG$15,2,FALSE))</f>
        <v/>
      </c>
      <c r="R248" s="276" t="str">
        <f>IF(M248="","",VLOOKUP(M248,'G-6 Hedgerow Data'!$B$2:$AG$15,3,FALSE))</f>
        <v/>
      </c>
      <c r="S248" s="101"/>
      <c r="T248" s="276" t="str">
        <f>IFERROR(IF(S248="","",IF(AND(M248="Non-native and ornamental hedgerow",S248&lt;&gt;"Poor"),"Not possible ▲",(IF(AND(Q248="V.Low",OR(S248="Good",S248="Moderate")),"Error ▲",VLOOKUP(S248,'G-1 All Habitats'!$Z$2:$AA$9,2,FALSE))))),"")</f>
        <v/>
      </c>
      <c r="U248" s="101"/>
      <c r="V248" s="283" t="str">
        <f>IF(U248="","",IF(VLOOKUP(U248,'G-3 Multipliers'!$L$3:$N$6,2,FALSE)=0,"Spatial Data Missing ⚠",VLOOKUP(U248,'G-3 Multipliers'!$L$3:$N$6,2,FALSE)))</f>
        <v/>
      </c>
      <c r="W248" s="281" t="str">
        <f>IF(U248="","",IF(VLOOKUP(U248,'G-3 Multipliers'!$L$3:$N$6,3,FALSE)=0,"Spatial Data Missing ⚠",VLOOKUP(U248,'G-3 Multipliers'!$L$3:$N$6,3,FALSE)))</f>
        <v/>
      </c>
      <c r="X248" s="275" t="str">
        <f>IFERROR(IF(OR(LEFT(O248,5)="Error",LEFT(N248,5)="Error",T248="Error"),"Check Data ⚠",IF(F248&lt;R248,INDEX('G-6 Hedgerow Data'!$S$3:$AE$14,MATCH(C248,'G-6 Hedgerow Data'!$B$3:$B$14,0),MATCH(M248,'G-6 Hedgerow Data'!$S$2:$AE$2,0)),INDEX('G-6 Hedgerow Data'!$K$3:$Q$14,MATCH(M248,'G-6 Hedgerow Data'!$B$3:$B$14,0),MATCH(O248,'G-6 Hedgerow Data'!$K$2:$Q$2,0)))),"")</f>
        <v/>
      </c>
      <c r="Y248" s="133"/>
      <c r="Z248" s="133"/>
      <c r="AA248" s="283" t="str">
        <f t="shared" si="26"/>
        <v/>
      </c>
      <c r="AB248" s="296" t="str">
        <f t="shared" si="27"/>
        <v/>
      </c>
      <c r="AC248" s="297" t="str">
        <f t="shared" si="24"/>
        <v/>
      </c>
      <c r="AD248" s="311" t="str">
        <f>IF(M248="","",VLOOKUP(M248,'G-6 Hedgerow Data'!$B$3:$AG$15,31,FALSE))</f>
        <v/>
      </c>
      <c r="AE248" s="295" t="str">
        <f t="shared" si="28"/>
        <v/>
      </c>
      <c r="AF248" s="283" t="str">
        <f t="shared" si="29"/>
        <v/>
      </c>
      <c r="AG248" s="299" t="str">
        <f>IFERROR(IF(O248="","",VLOOKUP(AD248,'G-3 Multipliers'!$P$3:$Q$6,2,FALSE)),"")</f>
        <v/>
      </c>
      <c r="AH248" s="713" t="str">
        <f>IF(B248="","",IF(ISNA(VLOOKUP($B248,'E-1 Off-Site Hedge Baseline'!$B$1:$Z$257,14,FALSE)),"",(VLOOKUP($B248,'E-1 Off-Site Hedge Baseline'!$B$1:$Z$257,14,FALSE))))</f>
        <v/>
      </c>
      <c r="AI248" s="276" t="str">
        <f>IF(AH248="","",IF(VLOOKUP(AH248,'G-3 Multipliers'!$S$3:$T$10,2,FALSE)=0,"Spatial Data Missing ⚠",VLOOKUP(AH248,'G-3 Multipliers'!$S$3:$T$10,2,FALSE)))</f>
        <v/>
      </c>
      <c r="AJ248" s="317" t="str">
        <f t="shared" si="30"/>
        <v/>
      </c>
      <c r="AK248" s="289" t="str">
        <f t="shared" si="31"/>
        <v/>
      </c>
      <c r="AL248" s="101"/>
      <c r="AM248" s="115"/>
      <c r="AN248" s="104"/>
      <c r="AO248" s="104"/>
      <c r="AQ248" s="30" t="str">
        <f>IFERROR(INDEX('G-6 Hedgerow Data'!$BJ$3:$BJ$15,MATCH(M248,'G-6 Hedgerow Data'!$B$3:$B$15,0)),"")</f>
        <v/>
      </c>
    </row>
    <row r="249" spans="2:43" ht="14">
      <c r="B249" s="305" t="str">
        <f>'E-1 Off-Site Hedge Baseline'!AN247</f>
        <v/>
      </c>
      <c r="C249" s="295" t="str">
        <f>IF(B249="","",IF(ISNA(VLOOKUP($B249,'E-1 Off-Site Hedge Baseline'!$B$1:$L$257,3,FALSE)),"",(VLOOKUP($B249,'E-1 Off-Site Hedge Baseline'!$B$1:$L$257,3,FALSE))))</f>
        <v/>
      </c>
      <c r="D249" s="295" t="str">
        <f>IF(B249="","",IF(ISNA(VLOOKUP($B249,'E-1 Off-Site Hedge Baseline'!$B$1:$L$258,4,FALSE)),"",(VLOOKUP($B249,'E-1 Off-Site Hedge Baseline'!$B$1:$L$258,4,FALSE))))</f>
        <v/>
      </c>
      <c r="E249" s="295" t="str">
        <f>IF(B249="","",IF(ISNA(VLOOKUP($B249,'E-1 Off-Site Hedge Baseline'!$B$1:$L$257,5,FALSE)),"",(VLOOKUP($B249,'E-1 Off-Site Hedge Baseline'!$B$1:$L$257,5,FALSE))))</f>
        <v/>
      </c>
      <c r="F249" s="295" t="str">
        <f>IF(B249="","",IF(ISNA(VLOOKUP($B249,'E-1 Off-Site Hedge Baseline'!$B$1:$L$257,6,FALSE)),"",(VLOOKUP($B249,'E-1 Off-Site Hedge Baseline'!$B$1:$L$257,6,FALSE))))</f>
        <v/>
      </c>
      <c r="G249" s="295" t="str">
        <f>IF(B249="","",IF(ISNA(VLOOKUP($B249,'E-1 Off-Site Hedge Baseline'!$B$1:$L$257,7,FALSE)),"",(VLOOKUP($B249,'E-1 Off-Site Hedge Baseline'!$B$1:$L$257,7,FALSE))))</f>
        <v/>
      </c>
      <c r="H249" s="295" t="str">
        <f>IF(B249="","",IF(ISNA(VLOOKUP($B249,'E-1 Off-Site Hedge Baseline'!$B$1:$L$257,8,FALSE)),"",(VLOOKUP($B249,'E-1 Off-Site Hedge Baseline'!$B$1:$L$257,8,FALSE))))</f>
        <v/>
      </c>
      <c r="I249" s="295" t="str">
        <f>IF(B249="","",IF(ISNA(VLOOKUP($B249,'E-1 Off-Site Hedge Baseline'!$B$1:$L$257,10,FALSE)),"",(VLOOKUP($B249,'E-1 Off-Site Hedge Baseline'!$B$1:$L$257,10,FALSE))))</f>
        <v/>
      </c>
      <c r="J249" s="295" t="str">
        <f>IF(B249="","",IF(ISNA(VLOOKUP($B249,'E-1 Off-Site Hedge Baseline'!$B$1:$L$257,11,FALSE)),"",(VLOOKUP($B249,'E-1 Off-Site Hedge Baseline'!$B$1:$L$257,11,FALSE))))</f>
        <v/>
      </c>
      <c r="K249" s="295" t="str">
        <f>IF(B249="","",IF(ISNA(VLOOKUP($B249,'E-1 Off-Site Hedge Baseline'!$B$1:$X$257,16,FALSE)),"",(VLOOKUP($B249,'E-1 Off-Site Hedge Baseline'!$B$1:$X$257,16,FALSE))))</f>
        <v/>
      </c>
      <c r="L249" s="283" t="str">
        <f>IF(B249="","",IF(ISNA(VLOOKUP($B249,'E-1 Off-Site Hedge Baseline'!$B$1:$X$257,12,FALSE)),"",(VLOOKUP($B249,'E-1 Off-Site Hedge Baseline'!$B$1:$X$257,12,FALSE))))</f>
        <v/>
      </c>
      <c r="M249" s="244"/>
      <c r="N249" s="275" t="str">
        <f>IFERROR(IF(B249="","",INDEX('G-6 Hedgerow Data'!$AN$3:$AZ$15,MATCH(C249,'G-6 Hedgerow Data'!$AM$3:$AM$15,0),MATCH(M249,'G-6 Hedgerow Data'!$AN$2:$AZ$2,0))),"")</f>
        <v/>
      </c>
      <c r="O249" s="276" t="str">
        <f t="shared" si="25"/>
        <v/>
      </c>
      <c r="P249" s="281" t="str">
        <f>IF(B249="","",VLOOKUP(B249,'E-1 Off-Site Hedge Baseline'!$B$10:W494,19,FALSE))</f>
        <v/>
      </c>
      <c r="Q249" s="275" t="str">
        <f>IF(M249="","",VLOOKUP(M249,'G-6 Hedgerow Data'!$B$2:$AG$15,2,FALSE))</f>
        <v/>
      </c>
      <c r="R249" s="276" t="str">
        <f>IF(M249="","",VLOOKUP(M249,'G-6 Hedgerow Data'!$B$2:$AG$15,3,FALSE))</f>
        <v/>
      </c>
      <c r="S249" s="101"/>
      <c r="T249" s="276" t="str">
        <f>IFERROR(IF(S249="","",IF(AND(M249="Non-native and ornamental hedgerow",S249&lt;&gt;"Poor"),"Not possible ▲",(IF(AND(Q249="V.Low",OR(S249="Good",S249="Moderate")),"Error ▲",VLOOKUP(S249,'G-1 All Habitats'!$Z$2:$AA$9,2,FALSE))))),"")</f>
        <v/>
      </c>
      <c r="U249" s="101"/>
      <c r="V249" s="283" t="str">
        <f>IF(U249="","",IF(VLOOKUP(U249,'G-3 Multipliers'!$L$3:$N$6,2,FALSE)=0,"Spatial Data Missing ⚠",VLOOKUP(U249,'G-3 Multipliers'!$L$3:$N$6,2,FALSE)))</f>
        <v/>
      </c>
      <c r="W249" s="281" t="str">
        <f>IF(U249="","",IF(VLOOKUP(U249,'G-3 Multipliers'!$L$3:$N$6,3,FALSE)=0,"Spatial Data Missing ⚠",VLOOKUP(U249,'G-3 Multipliers'!$L$3:$N$6,3,FALSE)))</f>
        <v/>
      </c>
      <c r="X249" s="275" t="str">
        <f>IFERROR(IF(OR(LEFT(O249,5)="Error",LEFT(N249,5)="Error",T249="Error"),"Check Data ⚠",IF(F249&lt;R249,INDEX('G-6 Hedgerow Data'!$S$3:$AE$14,MATCH(C249,'G-6 Hedgerow Data'!$B$3:$B$14,0),MATCH(M249,'G-6 Hedgerow Data'!$S$2:$AE$2,0)),INDEX('G-6 Hedgerow Data'!$K$3:$Q$14,MATCH(M249,'G-6 Hedgerow Data'!$B$3:$B$14,0),MATCH(O249,'G-6 Hedgerow Data'!$K$2:$Q$2,0)))),"")</f>
        <v/>
      </c>
      <c r="Y249" s="133"/>
      <c r="Z249" s="133"/>
      <c r="AA249" s="283" t="str">
        <f t="shared" si="26"/>
        <v/>
      </c>
      <c r="AB249" s="296" t="str">
        <f t="shared" si="27"/>
        <v/>
      </c>
      <c r="AC249" s="297" t="str">
        <f t="shared" si="24"/>
        <v/>
      </c>
      <c r="AD249" s="311" t="str">
        <f>IF(M249="","",VLOOKUP(M249,'G-6 Hedgerow Data'!$B$3:$AG$15,31,FALSE))</f>
        <v/>
      </c>
      <c r="AE249" s="295" t="str">
        <f t="shared" si="28"/>
        <v/>
      </c>
      <c r="AF249" s="283" t="str">
        <f t="shared" si="29"/>
        <v/>
      </c>
      <c r="AG249" s="299" t="str">
        <f>IFERROR(IF(O249="","",VLOOKUP(AD249,'G-3 Multipliers'!$P$3:$Q$6,2,FALSE)),"")</f>
        <v/>
      </c>
      <c r="AH249" s="713" t="str">
        <f>IF(B249="","",IF(ISNA(VLOOKUP($B249,'E-1 Off-Site Hedge Baseline'!$B$1:$Z$257,14,FALSE)),"",(VLOOKUP($B249,'E-1 Off-Site Hedge Baseline'!$B$1:$Z$257,14,FALSE))))</f>
        <v/>
      </c>
      <c r="AI249" s="276" t="str">
        <f>IF(AH249="","",IF(VLOOKUP(AH249,'G-3 Multipliers'!$S$3:$T$10,2,FALSE)=0,"Spatial Data Missing ⚠",VLOOKUP(AH249,'G-3 Multipliers'!$S$3:$T$10,2,FALSE)))</f>
        <v/>
      </c>
      <c r="AJ249" s="317" t="str">
        <f t="shared" si="30"/>
        <v/>
      </c>
      <c r="AK249" s="289" t="str">
        <f t="shared" si="31"/>
        <v/>
      </c>
      <c r="AL249" s="101"/>
      <c r="AM249" s="115"/>
      <c r="AN249" s="104"/>
      <c r="AO249" s="104"/>
      <c r="AQ249" s="30" t="str">
        <f>IFERROR(INDEX('G-6 Hedgerow Data'!$BJ$3:$BJ$15,MATCH(M249,'G-6 Hedgerow Data'!$B$3:$B$15,0)),"")</f>
        <v/>
      </c>
    </row>
    <row r="250" spans="2:43" ht="14">
      <c r="B250" s="305" t="str">
        <f>'E-1 Off-Site Hedge Baseline'!AN248</f>
        <v/>
      </c>
      <c r="C250" s="295" t="str">
        <f>IF(B250="","",IF(ISNA(VLOOKUP($B250,'E-1 Off-Site Hedge Baseline'!$B$1:$L$257,3,FALSE)),"",(VLOOKUP($B250,'E-1 Off-Site Hedge Baseline'!$B$1:$L$257,3,FALSE))))</f>
        <v/>
      </c>
      <c r="D250" s="295" t="str">
        <f>IF(B250="","",IF(ISNA(VLOOKUP($B250,'E-1 Off-Site Hedge Baseline'!$B$1:$L$258,4,FALSE)),"",(VLOOKUP($B250,'E-1 Off-Site Hedge Baseline'!$B$1:$L$258,4,FALSE))))</f>
        <v/>
      </c>
      <c r="E250" s="295" t="str">
        <f>IF(B250="","",IF(ISNA(VLOOKUP($B250,'E-1 Off-Site Hedge Baseline'!$B$1:$L$257,5,FALSE)),"",(VLOOKUP($B250,'E-1 Off-Site Hedge Baseline'!$B$1:$L$257,5,FALSE))))</f>
        <v/>
      </c>
      <c r="F250" s="295" t="str">
        <f>IF(B250="","",IF(ISNA(VLOOKUP($B250,'E-1 Off-Site Hedge Baseline'!$B$1:$L$257,6,FALSE)),"",(VLOOKUP($B250,'E-1 Off-Site Hedge Baseline'!$B$1:$L$257,6,FALSE))))</f>
        <v/>
      </c>
      <c r="G250" s="295" t="str">
        <f>IF(B250="","",IF(ISNA(VLOOKUP($B250,'E-1 Off-Site Hedge Baseline'!$B$1:$L$257,7,FALSE)),"",(VLOOKUP($B250,'E-1 Off-Site Hedge Baseline'!$B$1:$L$257,7,FALSE))))</f>
        <v/>
      </c>
      <c r="H250" s="295" t="str">
        <f>IF(B250="","",IF(ISNA(VLOOKUP($B250,'E-1 Off-Site Hedge Baseline'!$B$1:$L$257,8,FALSE)),"",(VLOOKUP($B250,'E-1 Off-Site Hedge Baseline'!$B$1:$L$257,8,FALSE))))</f>
        <v/>
      </c>
      <c r="I250" s="295" t="str">
        <f>IF(B250="","",IF(ISNA(VLOOKUP($B250,'E-1 Off-Site Hedge Baseline'!$B$1:$L$257,10,FALSE)),"",(VLOOKUP($B250,'E-1 Off-Site Hedge Baseline'!$B$1:$L$257,10,FALSE))))</f>
        <v/>
      </c>
      <c r="J250" s="295" t="str">
        <f>IF(B250="","",IF(ISNA(VLOOKUP($B250,'E-1 Off-Site Hedge Baseline'!$B$1:$L$257,11,FALSE)),"",(VLOOKUP($B250,'E-1 Off-Site Hedge Baseline'!$B$1:$L$257,11,FALSE))))</f>
        <v/>
      </c>
      <c r="K250" s="295" t="str">
        <f>IF(B250="","",IF(ISNA(VLOOKUP($B250,'E-1 Off-Site Hedge Baseline'!$B$1:$X$257,16,FALSE)),"",(VLOOKUP($B250,'E-1 Off-Site Hedge Baseline'!$B$1:$X$257,16,FALSE))))</f>
        <v/>
      </c>
      <c r="L250" s="283" t="str">
        <f>IF(B250="","",IF(ISNA(VLOOKUP($B250,'E-1 Off-Site Hedge Baseline'!$B$1:$X$257,12,FALSE)),"",(VLOOKUP($B250,'E-1 Off-Site Hedge Baseline'!$B$1:$X$257,12,FALSE))))</f>
        <v/>
      </c>
      <c r="M250" s="244"/>
      <c r="N250" s="275" t="str">
        <f>IFERROR(IF(B250="","",INDEX('G-6 Hedgerow Data'!$AN$3:$AZ$15,MATCH(C250,'G-6 Hedgerow Data'!$AM$3:$AM$15,0),MATCH(M250,'G-6 Hedgerow Data'!$AN$2:$AZ$2,0))),"")</f>
        <v/>
      </c>
      <c r="O250" s="276" t="str">
        <f t="shared" si="25"/>
        <v/>
      </c>
      <c r="P250" s="281" t="str">
        <f>IF(B250="","",VLOOKUP(B250,'E-1 Off-Site Hedge Baseline'!$B$10:W495,19,FALSE))</f>
        <v/>
      </c>
      <c r="Q250" s="275" t="str">
        <f>IF(M250="","",VLOOKUP(M250,'G-6 Hedgerow Data'!$B$2:$AG$15,2,FALSE))</f>
        <v/>
      </c>
      <c r="R250" s="276" t="str">
        <f>IF(M250="","",VLOOKUP(M250,'G-6 Hedgerow Data'!$B$2:$AG$15,3,FALSE))</f>
        <v/>
      </c>
      <c r="S250" s="101"/>
      <c r="T250" s="276" t="str">
        <f>IFERROR(IF(S250="","",IF(AND(M250="Non-native and ornamental hedgerow",S250&lt;&gt;"Poor"),"Not possible ▲",(IF(AND(Q250="V.Low",OR(S250="Good",S250="Moderate")),"Error ▲",VLOOKUP(S250,'G-1 All Habitats'!$Z$2:$AA$9,2,FALSE))))),"")</f>
        <v/>
      </c>
      <c r="U250" s="101"/>
      <c r="V250" s="283" t="str">
        <f>IF(U250="","",IF(VLOOKUP(U250,'G-3 Multipliers'!$L$3:$N$6,2,FALSE)=0,"Spatial Data Missing ⚠",VLOOKUP(U250,'G-3 Multipliers'!$L$3:$N$6,2,FALSE)))</f>
        <v/>
      </c>
      <c r="W250" s="281" t="str">
        <f>IF(U250="","",IF(VLOOKUP(U250,'G-3 Multipliers'!$L$3:$N$6,3,FALSE)=0,"Spatial Data Missing ⚠",VLOOKUP(U250,'G-3 Multipliers'!$L$3:$N$6,3,FALSE)))</f>
        <v/>
      </c>
      <c r="X250" s="275" t="str">
        <f>IFERROR(IF(OR(LEFT(O250,5)="Error",LEFT(N250,5)="Error",T250="Error"),"Check Data ⚠",IF(F250&lt;R250,INDEX('G-6 Hedgerow Data'!$S$3:$AE$14,MATCH(C250,'G-6 Hedgerow Data'!$B$3:$B$14,0),MATCH(M250,'G-6 Hedgerow Data'!$S$2:$AE$2,0)),INDEX('G-6 Hedgerow Data'!$K$3:$Q$14,MATCH(M250,'G-6 Hedgerow Data'!$B$3:$B$14,0),MATCH(O250,'G-6 Hedgerow Data'!$K$2:$Q$2,0)))),"")</f>
        <v/>
      </c>
      <c r="Y250" s="133"/>
      <c r="Z250" s="133"/>
      <c r="AA250" s="283" t="str">
        <f t="shared" si="26"/>
        <v/>
      </c>
      <c r="AB250" s="296" t="str">
        <f t="shared" si="27"/>
        <v/>
      </c>
      <c r="AC250" s="297" t="str">
        <f t="shared" si="24"/>
        <v/>
      </c>
      <c r="AD250" s="311" t="str">
        <f>IF(M250="","",VLOOKUP(M250,'G-6 Hedgerow Data'!$B$3:$AG$15,31,FALSE))</f>
        <v/>
      </c>
      <c r="AE250" s="295" t="str">
        <f t="shared" si="28"/>
        <v/>
      </c>
      <c r="AF250" s="283" t="str">
        <f t="shared" si="29"/>
        <v/>
      </c>
      <c r="AG250" s="299" t="str">
        <f>IFERROR(IF(O250="","",VLOOKUP(AD250,'G-3 Multipliers'!$P$3:$Q$6,2,FALSE)),"")</f>
        <v/>
      </c>
      <c r="AH250" s="713" t="str">
        <f>IF(B250="","",IF(ISNA(VLOOKUP($B250,'E-1 Off-Site Hedge Baseline'!$B$1:$Z$257,14,FALSE)),"",(VLOOKUP($B250,'E-1 Off-Site Hedge Baseline'!$B$1:$Z$257,14,FALSE))))</f>
        <v/>
      </c>
      <c r="AI250" s="276" t="str">
        <f>IF(AH250="","",IF(VLOOKUP(AH250,'G-3 Multipliers'!$S$3:$T$10,2,FALSE)=0,"Spatial Data Missing ⚠",VLOOKUP(AH250,'G-3 Multipliers'!$S$3:$T$10,2,FALSE)))</f>
        <v/>
      </c>
      <c r="AJ250" s="317" t="str">
        <f t="shared" si="30"/>
        <v/>
      </c>
      <c r="AK250" s="289" t="str">
        <f t="shared" si="31"/>
        <v/>
      </c>
      <c r="AL250" s="101"/>
      <c r="AM250" s="115"/>
      <c r="AN250" s="104"/>
      <c r="AO250" s="104"/>
      <c r="AQ250" s="30" t="str">
        <f>IFERROR(INDEX('G-6 Hedgerow Data'!$BJ$3:$BJ$15,MATCH(M250,'G-6 Hedgerow Data'!$B$3:$B$15,0)),"")</f>
        <v/>
      </c>
    </row>
    <row r="251" spans="2:43" ht="14">
      <c r="B251" s="305" t="str">
        <f>'E-1 Off-Site Hedge Baseline'!AN249</f>
        <v/>
      </c>
      <c r="C251" s="295" t="str">
        <f>IF(B251="","",IF(ISNA(VLOOKUP($B251,'E-1 Off-Site Hedge Baseline'!$B$1:$L$257,3,FALSE)),"",(VLOOKUP($B251,'E-1 Off-Site Hedge Baseline'!$B$1:$L$257,3,FALSE))))</f>
        <v/>
      </c>
      <c r="D251" s="295" t="str">
        <f>IF(B251="","",IF(ISNA(VLOOKUP($B251,'E-1 Off-Site Hedge Baseline'!$B$1:$L$258,4,FALSE)),"",(VLOOKUP($B251,'E-1 Off-Site Hedge Baseline'!$B$1:$L$258,4,FALSE))))</f>
        <v/>
      </c>
      <c r="E251" s="295" t="str">
        <f>IF(B251="","",IF(ISNA(VLOOKUP($B251,'E-1 Off-Site Hedge Baseline'!$B$1:$L$257,5,FALSE)),"",(VLOOKUP($B251,'E-1 Off-Site Hedge Baseline'!$B$1:$L$257,5,FALSE))))</f>
        <v/>
      </c>
      <c r="F251" s="295" t="str">
        <f>IF(B251="","",IF(ISNA(VLOOKUP($B251,'E-1 Off-Site Hedge Baseline'!$B$1:$L$257,6,FALSE)),"",(VLOOKUP($B251,'E-1 Off-Site Hedge Baseline'!$B$1:$L$257,6,FALSE))))</f>
        <v/>
      </c>
      <c r="G251" s="295" t="str">
        <f>IF(B251="","",IF(ISNA(VLOOKUP($B251,'E-1 Off-Site Hedge Baseline'!$B$1:$L$257,7,FALSE)),"",(VLOOKUP($B251,'E-1 Off-Site Hedge Baseline'!$B$1:$L$257,7,FALSE))))</f>
        <v/>
      </c>
      <c r="H251" s="295" t="str">
        <f>IF(B251="","",IF(ISNA(VLOOKUP($B251,'E-1 Off-Site Hedge Baseline'!$B$1:$L$257,8,FALSE)),"",(VLOOKUP($B251,'E-1 Off-Site Hedge Baseline'!$B$1:$L$257,8,FALSE))))</f>
        <v/>
      </c>
      <c r="I251" s="295" t="str">
        <f>IF(B251="","",IF(ISNA(VLOOKUP($B251,'E-1 Off-Site Hedge Baseline'!$B$1:$L$257,10,FALSE)),"",(VLOOKUP($B251,'E-1 Off-Site Hedge Baseline'!$B$1:$L$257,10,FALSE))))</f>
        <v/>
      </c>
      <c r="J251" s="295" t="str">
        <f>IF(B251="","",IF(ISNA(VLOOKUP($B251,'E-1 Off-Site Hedge Baseline'!$B$1:$L$257,11,FALSE)),"",(VLOOKUP($B251,'E-1 Off-Site Hedge Baseline'!$B$1:$L$257,11,FALSE))))</f>
        <v/>
      </c>
      <c r="K251" s="295" t="str">
        <f>IF(B251="","",IF(ISNA(VLOOKUP($B251,'E-1 Off-Site Hedge Baseline'!$B$1:$X$257,16,FALSE)),"",(VLOOKUP($B251,'E-1 Off-Site Hedge Baseline'!$B$1:$X$257,16,FALSE))))</f>
        <v/>
      </c>
      <c r="L251" s="283" t="str">
        <f>IF(B251="","",IF(ISNA(VLOOKUP($B251,'E-1 Off-Site Hedge Baseline'!$B$1:$X$257,12,FALSE)),"",(VLOOKUP($B251,'E-1 Off-Site Hedge Baseline'!$B$1:$X$257,12,FALSE))))</f>
        <v/>
      </c>
      <c r="M251" s="244"/>
      <c r="N251" s="275" t="str">
        <f>IFERROR(IF(B251="","",INDEX('G-6 Hedgerow Data'!$AN$3:$AZ$15,MATCH(C251,'G-6 Hedgerow Data'!$AM$3:$AM$15,0),MATCH(M251,'G-6 Hedgerow Data'!$AN$2:$AZ$2,0))),"")</f>
        <v/>
      </c>
      <c r="O251" s="276" t="str">
        <f t="shared" si="25"/>
        <v/>
      </c>
      <c r="P251" s="281" t="str">
        <f>IF(B251="","",VLOOKUP(B251,'E-1 Off-Site Hedge Baseline'!$B$10:W496,19,FALSE))</f>
        <v/>
      </c>
      <c r="Q251" s="275" t="str">
        <f>IF(M251="","",VLOOKUP(M251,'G-6 Hedgerow Data'!$B$2:$AG$15,2,FALSE))</f>
        <v/>
      </c>
      <c r="R251" s="276" t="str">
        <f>IF(M251="","",VLOOKUP(M251,'G-6 Hedgerow Data'!$B$2:$AG$15,3,FALSE))</f>
        <v/>
      </c>
      <c r="S251" s="101"/>
      <c r="T251" s="276" t="str">
        <f>IFERROR(IF(S251="","",IF(AND(M251="Non-native and ornamental hedgerow",S251&lt;&gt;"Poor"),"Not possible ▲",(IF(AND(Q251="V.Low",OR(S251="Good",S251="Moderate")),"Error ▲",VLOOKUP(S251,'G-1 All Habitats'!$Z$2:$AA$9,2,FALSE))))),"")</f>
        <v/>
      </c>
      <c r="U251" s="101"/>
      <c r="V251" s="283" t="str">
        <f>IF(U251="","",IF(VLOOKUP(U251,'G-3 Multipliers'!$L$3:$N$6,2,FALSE)=0,"Spatial Data Missing ⚠",VLOOKUP(U251,'G-3 Multipliers'!$L$3:$N$6,2,FALSE)))</f>
        <v/>
      </c>
      <c r="W251" s="281" t="str">
        <f>IF(U251="","",IF(VLOOKUP(U251,'G-3 Multipliers'!$L$3:$N$6,3,FALSE)=0,"Spatial Data Missing ⚠",VLOOKUP(U251,'G-3 Multipliers'!$L$3:$N$6,3,FALSE)))</f>
        <v/>
      </c>
      <c r="X251" s="275" t="str">
        <f>IFERROR(IF(OR(LEFT(O251,5)="Error",LEFT(N251,5)="Error",T251="Error"),"Check Data ⚠",IF(F251&lt;R251,INDEX('G-6 Hedgerow Data'!$S$3:$AE$14,MATCH(C251,'G-6 Hedgerow Data'!$B$3:$B$14,0),MATCH(M251,'G-6 Hedgerow Data'!$S$2:$AE$2,0)),INDEX('G-6 Hedgerow Data'!$K$3:$Q$14,MATCH(M251,'G-6 Hedgerow Data'!$B$3:$B$14,0),MATCH(O251,'G-6 Hedgerow Data'!$K$2:$Q$2,0)))),"")</f>
        <v/>
      </c>
      <c r="Y251" s="133"/>
      <c r="Z251" s="133"/>
      <c r="AA251" s="283" t="str">
        <f t="shared" si="26"/>
        <v/>
      </c>
      <c r="AB251" s="296" t="str">
        <f t="shared" si="27"/>
        <v/>
      </c>
      <c r="AC251" s="297" t="str">
        <f t="shared" si="24"/>
        <v/>
      </c>
      <c r="AD251" s="311" t="str">
        <f>IF(M251="","",VLOOKUP(M251,'G-6 Hedgerow Data'!$B$3:$AG$15,31,FALSE))</f>
        <v/>
      </c>
      <c r="AE251" s="295" t="str">
        <f t="shared" si="28"/>
        <v/>
      </c>
      <c r="AF251" s="283" t="str">
        <f t="shared" si="29"/>
        <v/>
      </c>
      <c r="AG251" s="299" t="str">
        <f>IFERROR(IF(O251="","",VLOOKUP(AD251,'G-3 Multipliers'!$P$3:$Q$6,2,FALSE)),"")</f>
        <v/>
      </c>
      <c r="AH251" s="713" t="str">
        <f>IF(B251="","",IF(ISNA(VLOOKUP($B251,'E-1 Off-Site Hedge Baseline'!$B$1:$Z$257,14,FALSE)),"",(VLOOKUP($B251,'E-1 Off-Site Hedge Baseline'!$B$1:$Z$257,14,FALSE))))</f>
        <v/>
      </c>
      <c r="AI251" s="276" t="str">
        <f>IF(AH251="","",IF(VLOOKUP(AH251,'G-3 Multipliers'!$S$3:$T$10,2,FALSE)=0,"Spatial Data Missing ⚠",VLOOKUP(AH251,'G-3 Multipliers'!$S$3:$T$10,2,FALSE)))</f>
        <v/>
      </c>
      <c r="AJ251" s="317" t="str">
        <f t="shared" si="30"/>
        <v/>
      </c>
      <c r="AK251" s="289" t="str">
        <f t="shared" si="31"/>
        <v/>
      </c>
      <c r="AL251" s="101"/>
      <c r="AM251" s="115"/>
      <c r="AN251" s="104"/>
      <c r="AO251" s="104"/>
      <c r="AQ251" s="30" t="str">
        <f>IFERROR(INDEX('G-6 Hedgerow Data'!$BJ$3:$BJ$15,MATCH(M251,'G-6 Hedgerow Data'!$B$3:$B$15,0)),"")</f>
        <v/>
      </c>
    </row>
    <row r="252" spans="2:43" ht="14">
      <c r="B252" s="305" t="str">
        <f>'E-1 Off-Site Hedge Baseline'!AN250</f>
        <v/>
      </c>
      <c r="C252" s="295" t="str">
        <f>IF(B252="","",IF(ISNA(VLOOKUP($B252,'E-1 Off-Site Hedge Baseline'!$B$1:$L$257,3,FALSE)),"",(VLOOKUP($B252,'E-1 Off-Site Hedge Baseline'!$B$1:$L$257,3,FALSE))))</f>
        <v/>
      </c>
      <c r="D252" s="295" t="str">
        <f>IF(B252="","",IF(ISNA(VLOOKUP($B252,'E-1 Off-Site Hedge Baseline'!$B$1:$L$258,4,FALSE)),"",(VLOOKUP($B252,'E-1 Off-Site Hedge Baseline'!$B$1:$L$258,4,FALSE))))</f>
        <v/>
      </c>
      <c r="E252" s="295" t="str">
        <f>IF(B252="","",IF(ISNA(VLOOKUP($B252,'E-1 Off-Site Hedge Baseline'!$B$1:$L$257,5,FALSE)),"",(VLOOKUP($B252,'E-1 Off-Site Hedge Baseline'!$B$1:$L$257,5,FALSE))))</f>
        <v/>
      </c>
      <c r="F252" s="295" t="str">
        <f>IF(B252="","",IF(ISNA(VLOOKUP($B252,'E-1 Off-Site Hedge Baseline'!$B$1:$L$257,6,FALSE)),"",(VLOOKUP($B252,'E-1 Off-Site Hedge Baseline'!$B$1:$L$257,6,FALSE))))</f>
        <v/>
      </c>
      <c r="G252" s="295" t="str">
        <f>IF(B252="","",IF(ISNA(VLOOKUP($B252,'E-1 Off-Site Hedge Baseline'!$B$1:$L$257,7,FALSE)),"",(VLOOKUP($B252,'E-1 Off-Site Hedge Baseline'!$B$1:$L$257,7,FALSE))))</f>
        <v/>
      </c>
      <c r="H252" s="295" t="str">
        <f>IF(B252="","",IF(ISNA(VLOOKUP($B252,'E-1 Off-Site Hedge Baseline'!$B$1:$L$257,8,FALSE)),"",(VLOOKUP($B252,'E-1 Off-Site Hedge Baseline'!$B$1:$L$257,8,FALSE))))</f>
        <v/>
      </c>
      <c r="I252" s="295" t="str">
        <f>IF(B252="","",IF(ISNA(VLOOKUP($B252,'E-1 Off-Site Hedge Baseline'!$B$1:$L$257,10,FALSE)),"",(VLOOKUP($B252,'E-1 Off-Site Hedge Baseline'!$B$1:$L$257,10,FALSE))))</f>
        <v/>
      </c>
      <c r="J252" s="295" t="str">
        <f>IF(B252="","",IF(ISNA(VLOOKUP($B252,'E-1 Off-Site Hedge Baseline'!$B$1:$L$257,11,FALSE)),"",(VLOOKUP($B252,'E-1 Off-Site Hedge Baseline'!$B$1:$L$257,11,FALSE))))</f>
        <v/>
      </c>
      <c r="K252" s="295" t="str">
        <f>IF(B252="","",IF(ISNA(VLOOKUP($B252,'E-1 Off-Site Hedge Baseline'!$B$1:$X$257,16,FALSE)),"",(VLOOKUP($B252,'E-1 Off-Site Hedge Baseline'!$B$1:$X$257,16,FALSE))))</f>
        <v/>
      </c>
      <c r="L252" s="283" t="str">
        <f>IF(B252="","",IF(ISNA(VLOOKUP($B252,'E-1 Off-Site Hedge Baseline'!$B$1:$X$257,12,FALSE)),"",(VLOOKUP($B252,'E-1 Off-Site Hedge Baseline'!$B$1:$X$257,12,FALSE))))</f>
        <v/>
      </c>
      <c r="M252" s="244"/>
      <c r="N252" s="275" t="str">
        <f>IFERROR(IF(B252="","",INDEX('G-6 Hedgerow Data'!$AN$3:$AZ$15,MATCH(C252,'G-6 Hedgerow Data'!$AM$3:$AM$15,0),MATCH(M252,'G-6 Hedgerow Data'!$AN$2:$AZ$2,0))),"")</f>
        <v/>
      </c>
      <c r="O252" s="276" t="str">
        <f t="shared" si="25"/>
        <v/>
      </c>
      <c r="P252" s="281" t="str">
        <f>IF(B252="","",VLOOKUP(B252,'E-1 Off-Site Hedge Baseline'!$B$10:W497,19,FALSE))</f>
        <v/>
      </c>
      <c r="Q252" s="275" t="str">
        <f>IF(M252="","",VLOOKUP(M252,'G-6 Hedgerow Data'!$B$2:$AG$15,2,FALSE))</f>
        <v/>
      </c>
      <c r="R252" s="276" t="str">
        <f>IF(M252="","",VLOOKUP(M252,'G-6 Hedgerow Data'!$B$2:$AG$15,3,FALSE))</f>
        <v/>
      </c>
      <c r="S252" s="101"/>
      <c r="T252" s="276" t="str">
        <f>IFERROR(IF(S252="","",IF(AND(M252="Non-native and ornamental hedgerow",S252&lt;&gt;"Poor"),"Not possible ▲",(IF(AND(Q252="V.Low",OR(S252="Good",S252="Moderate")),"Error ▲",VLOOKUP(S252,'G-1 All Habitats'!$Z$2:$AA$9,2,FALSE))))),"")</f>
        <v/>
      </c>
      <c r="U252" s="101"/>
      <c r="V252" s="283" t="str">
        <f>IF(U252="","",IF(VLOOKUP(U252,'G-3 Multipliers'!$L$3:$N$6,2,FALSE)=0,"Spatial Data Missing ⚠",VLOOKUP(U252,'G-3 Multipliers'!$L$3:$N$6,2,FALSE)))</f>
        <v/>
      </c>
      <c r="W252" s="281" t="str">
        <f>IF(U252="","",IF(VLOOKUP(U252,'G-3 Multipliers'!$L$3:$N$6,3,FALSE)=0,"Spatial Data Missing ⚠",VLOOKUP(U252,'G-3 Multipliers'!$L$3:$N$6,3,FALSE)))</f>
        <v/>
      </c>
      <c r="X252" s="275" t="str">
        <f>IFERROR(IF(OR(LEFT(O252,5)="Error",LEFT(N252,5)="Error",T252="Error"),"Check Data ⚠",IF(F252&lt;R252,INDEX('G-6 Hedgerow Data'!$S$3:$AE$14,MATCH(C252,'G-6 Hedgerow Data'!$B$3:$B$14,0),MATCH(M252,'G-6 Hedgerow Data'!$S$2:$AE$2,0)),INDEX('G-6 Hedgerow Data'!$K$3:$Q$14,MATCH(M252,'G-6 Hedgerow Data'!$B$3:$B$14,0),MATCH(O252,'G-6 Hedgerow Data'!$K$2:$Q$2,0)))),"")</f>
        <v/>
      </c>
      <c r="Y252" s="133"/>
      <c r="Z252" s="133"/>
      <c r="AA252" s="283" t="str">
        <f t="shared" si="26"/>
        <v/>
      </c>
      <c r="AB252" s="296" t="str">
        <f t="shared" si="27"/>
        <v/>
      </c>
      <c r="AC252" s="297" t="str">
        <f t="shared" si="24"/>
        <v/>
      </c>
      <c r="AD252" s="311" t="str">
        <f>IF(M252="","",VLOOKUP(M252,'G-6 Hedgerow Data'!$B$3:$AG$15,31,FALSE))</f>
        <v/>
      </c>
      <c r="AE252" s="295" t="str">
        <f t="shared" si="28"/>
        <v/>
      </c>
      <c r="AF252" s="283" t="str">
        <f t="shared" si="29"/>
        <v/>
      </c>
      <c r="AG252" s="299" t="str">
        <f>IFERROR(IF(O252="","",VLOOKUP(AD252,'G-3 Multipliers'!$P$3:$Q$6,2,FALSE)),"")</f>
        <v/>
      </c>
      <c r="AH252" s="713" t="str">
        <f>IF(B252="","",IF(ISNA(VLOOKUP($B252,'E-1 Off-Site Hedge Baseline'!$B$1:$Z$257,14,FALSE)),"",(VLOOKUP($B252,'E-1 Off-Site Hedge Baseline'!$B$1:$Z$257,14,FALSE))))</f>
        <v/>
      </c>
      <c r="AI252" s="276" t="str">
        <f>IF(AH252="","",IF(VLOOKUP(AH252,'G-3 Multipliers'!$S$3:$T$10,2,FALSE)=0,"Spatial Data Missing ⚠",VLOOKUP(AH252,'G-3 Multipliers'!$S$3:$T$10,2,FALSE)))</f>
        <v/>
      </c>
      <c r="AJ252" s="317" t="str">
        <f t="shared" si="30"/>
        <v/>
      </c>
      <c r="AK252" s="289" t="str">
        <f t="shared" si="31"/>
        <v/>
      </c>
      <c r="AL252" s="101"/>
      <c r="AM252" s="115"/>
      <c r="AN252" s="104"/>
      <c r="AO252" s="104"/>
      <c r="AQ252" s="30" t="str">
        <f>IFERROR(INDEX('G-6 Hedgerow Data'!$BJ$3:$BJ$15,MATCH(M252,'G-6 Hedgerow Data'!$B$3:$B$15,0)),"")</f>
        <v/>
      </c>
    </row>
    <row r="253" spans="2:43" ht="14">
      <c r="B253" s="305" t="str">
        <f>'E-1 Off-Site Hedge Baseline'!AN251</f>
        <v/>
      </c>
      <c r="C253" s="295" t="str">
        <f>IF(B253="","",IF(ISNA(VLOOKUP($B253,'E-1 Off-Site Hedge Baseline'!$B$1:$L$257,3,FALSE)),"",(VLOOKUP($B253,'E-1 Off-Site Hedge Baseline'!$B$1:$L$257,3,FALSE))))</f>
        <v/>
      </c>
      <c r="D253" s="295" t="str">
        <f>IF(B253="","",IF(ISNA(VLOOKUP($B253,'E-1 Off-Site Hedge Baseline'!$B$1:$L$258,4,FALSE)),"",(VLOOKUP($B253,'E-1 Off-Site Hedge Baseline'!$B$1:$L$258,4,FALSE))))</f>
        <v/>
      </c>
      <c r="E253" s="295" t="str">
        <f>IF(B253="","",IF(ISNA(VLOOKUP($B253,'E-1 Off-Site Hedge Baseline'!$B$1:$L$257,5,FALSE)),"",(VLOOKUP($B253,'E-1 Off-Site Hedge Baseline'!$B$1:$L$257,5,FALSE))))</f>
        <v/>
      </c>
      <c r="F253" s="295" t="str">
        <f>IF(B253="","",IF(ISNA(VLOOKUP($B253,'E-1 Off-Site Hedge Baseline'!$B$1:$L$257,6,FALSE)),"",(VLOOKUP($B253,'E-1 Off-Site Hedge Baseline'!$B$1:$L$257,6,FALSE))))</f>
        <v/>
      </c>
      <c r="G253" s="295" t="str">
        <f>IF(B253="","",IF(ISNA(VLOOKUP($B253,'E-1 Off-Site Hedge Baseline'!$B$1:$L$257,7,FALSE)),"",(VLOOKUP($B253,'E-1 Off-Site Hedge Baseline'!$B$1:$L$257,7,FALSE))))</f>
        <v/>
      </c>
      <c r="H253" s="295" t="str">
        <f>IF(B253="","",IF(ISNA(VLOOKUP($B253,'E-1 Off-Site Hedge Baseline'!$B$1:$L$257,8,FALSE)),"",(VLOOKUP($B253,'E-1 Off-Site Hedge Baseline'!$B$1:$L$257,8,FALSE))))</f>
        <v/>
      </c>
      <c r="I253" s="295" t="str">
        <f>IF(B253="","",IF(ISNA(VLOOKUP($B253,'E-1 Off-Site Hedge Baseline'!$B$1:$L$257,10,FALSE)),"",(VLOOKUP($B253,'E-1 Off-Site Hedge Baseline'!$B$1:$L$257,10,FALSE))))</f>
        <v/>
      </c>
      <c r="J253" s="295" t="str">
        <f>IF(B253="","",IF(ISNA(VLOOKUP($B253,'E-1 Off-Site Hedge Baseline'!$B$1:$L$257,11,FALSE)),"",(VLOOKUP($B253,'E-1 Off-Site Hedge Baseline'!$B$1:$L$257,11,FALSE))))</f>
        <v/>
      </c>
      <c r="K253" s="295" t="str">
        <f>IF(B253="","",IF(ISNA(VLOOKUP($B253,'E-1 Off-Site Hedge Baseline'!$B$1:$X$257,16,FALSE)),"",(VLOOKUP($B253,'E-1 Off-Site Hedge Baseline'!$B$1:$X$257,16,FALSE))))</f>
        <v/>
      </c>
      <c r="L253" s="283" t="str">
        <f>IF(B253="","",IF(ISNA(VLOOKUP($B253,'E-1 Off-Site Hedge Baseline'!$B$1:$X$257,12,FALSE)),"",(VLOOKUP($B253,'E-1 Off-Site Hedge Baseline'!$B$1:$X$257,12,FALSE))))</f>
        <v/>
      </c>
      <c r="M253" s="244"/>
      <c r="N253" s="275" t="str">
        <f>IFERROR(IF(B253="","",INDEX('G-6 Hedgerow Data'!$AN$3:$AZ$15,MATCH(C253,'G-6 Hedgerow Data'!$AM$3:$AM$15,0),MATCH(M253,'G-6 Hedgerow Data'!$AN$2:$AZ$2,0))),"")</f>
        <v/>
      </c>
      <c r="O253" s="276" t="str">
        <f t="shared" si="25"/>
        <v/>
      </c>
      <c r="P253" s="281" t="str">
        <f>IF(B253="","",VLOOKUP(B253,'E-1 Off-Site Hedge Baseline'!$B$10:W498,19,FALSE))</f>
        <v/>
      </c>
      <c r="Q253" s="275" t="str">
        <f>IF(M253="","",VLOOKUP(M253,'G-6 Hedgerow Data'!$B$2:$AG$15,2,FALSE))</f>
        <v/>
      </c>
      <c r="R253" s="276" t="str">
        <f>IF(M253="","",VLOOKUP(M253,'G-6 Hedgerow Data'!$B$2:$AG$15,3,FALSE))</f>
        <v/>
      </c>
      <c r="S253" s="101"/>
      <c r="T253" s="276" t="str">
        <f>IFERROR(IF(S253="","",IF(AND(M253="Non-native and ornamental hedgerow",S253&lt;&gt;"Poor"),"Not possible ▲",(IF(AND(Q253="V.Low",OR(S253="Good",S253="Moderate")),"Error ▲",VLOOKUP(S253,'G-1 All Habitats'!$Z$2:$AA$9,2,FALSE))))),"")</f>
        <v/>
      </c>
      <c r="U253" s="101"/>
      <c r="V253" s="283" t="str">
        <f>IF(U253="","",IF(VLOOKUP(U253,'G-3 Multipliers'!$L$3:$N$6,2,FALSE)=0,"Spatial Data Missing ⚠",VLOOKUP(U253,'G-3 Multipliers'!$L$3:$N$6,2,FALSE)))</f>
        <v/>
      </c>
      <c r="W253" s="281" t="str">
        <f>IF(U253="","",IF(VLOOKUP(U253,'G-3 Multipliers'!$L$3:$N$6,3,FALSE)=0,"Spatial Data Missing ⚠",VLOOKUP(U253,'G-3 Multipliers'!$L$3:$N$6,3,FALSE)))</f>
        <v/>
      </c>
      <c r="X253" s="275" t="str">
        <f>IFERROR(IF(OR(LEFT(O253,5)="Error",LEFT(N253,5)="Error",T253="Error"),"Check Data ⚠",IF(F253&lt;R253,INDEX('G-6 Hedgerow Data'!$S$3:$AE$14,MATCH(C253,'G-6 Hedgerow Data'!$B$3:$B$14,0),MATCH(M253,'G-6 Hedgerow Data'!$S$2:$AE$2,0)),INDEX('G-6 Hedgerow Data'!$K$3:$Q$14,MATCH(M253,'G-6 Hedgerow Data'!$B$3:$B$14,0),MATCH(O253,'G-6 Hedgerow Data'!$K$2:$Q$2,0)))),"")</f>
        <v/>
      </c>
      <c r="Y253" s="133"/>
      <c r="Z253" s="133"/>
      <c r="AA253" s="283" t="str">
        <f t="shared" si="26"/>
        <v/>
      </c>
      <c r="AB253" s="296" t="str">
        <f t="shared" si="27"/>
        <v/>
      </c>
      <c r="AC253" s="297" t="str">
        <f t="shared" si="24"/>
        <v/>
      </c>
      <c r="AD253" s="311" t="str">
        <f>IF(M253="","",VLOOKUP(M253,'G-6 Hedgerow Data'!$B$3:$AG$15,31,FALSE))</f>
        <v/>
      </c>
      <c r="AE253" s="295" t="str">
        <f t="shared" si="28"/>
        <v/>
      </c>
      <c r="AF253" s="283" t="str">
        <f t="shared" si="29"/>
        <v/>
      </c>
      <c r="AG253" s="299" t="str">
        <f>IFERROR(IF(O253="","",VLOOKUP(AD253,'G-3 Multipliers'!$P$3:$Q$6,2,FALSE)),"")</f>
        <v/>
      </c>
      <c r="AH253" s="713" t="str">
        <f>IF(B253="","",IF(ISNA(VLOOKUP($B253,'E-1 Off-Site Hedge Baseline'!$B$1:$Z$257,14,FALSE)),"",(VLOOKUP($B253,'E-1 Off-Site Hedge Baseline'!$B$1:$Z$257,14,FALSE))))</f>
        <v/>
      </c>
      <c r="AI253" s="276" t="str">
        <f>IF(AH253="","",IF(VLOOKUP(AH253,'G-3 Multipliers'!$S$3:$T$10,2,FALSE)=0,"Spatial Data Missing ⚠",VLOOKUP(AH253,'G-3 Multipliers'!$S$3:$T$10,2,FALSE)))</f>
        <v/>
      </c>
      <c r="AJ253" s="317" t="str">
        <f t="shared" si="30"/>
        <v/>
      </c>
      <c r="AK253" s="289" t="str">
        <f t="shared" si="31"/>
        <v/>
      </c>
      <c r="AL253" s="101"/>
      <c r="AM253" s="115"/>
      <c r="AN253" s="104"/>
      <c r="AO253" s="104"/>
      <c r="AQ253" s="30" t="str">
        <f>IFERROR(INDEX('G-6 Hedgerow Data'!$BJ$3:$BJ$15,MATCH(M253,'G-6 Hedgerow Data'!$B$3:$B$15,0)),"")</f>
        <v/>
      </c>
    </row>
    <row r="254" spans="2:43" ht="14">
      <c r="B254" s="305" t="str">
        <f>'E-1 Off-Site Hedge Baseline'!AN252</f>
        <v/>
      </c>
      <c r="C254" s="295" t="str">
        <f>IF(B254="","",IF(ISNA(VLOOKUP($B254,'E-1 Off-Site Hedge Baseline'!$B$1:$L$257,3,FALSE)),"",(VLOOKUP($B254,'E-1 Off-Site Hedge Baseline'!$B$1:$L$257,3,FALSE))))</f>
        <v/>
      </c>
      <c r="D254" s="295" t="str">
        <f>IF(B254="","",IF(ISNA(VLOOKUP($B254,'E-1 Off-Site Hedge Baseline'!$B$1:$L$258,4,FALSE)),"",(VLOOKUP($B254,'E-1 Off-Site Hedge Baseline'!$B$1:$L$258,4,FALSE))))</f>
        <v/>
      </c>
      <c r="E254" s="295" t="str">
        <f>IF(B254="","",IF(ISNA(VLOOKUP($B254,'E-1 Off-Site Hedge Baseline'!$B$1:$L$257,5,FALSE)),"",(VLOOKUP($B254,'E-1 Off-Site Hedge Baseline'!$B$1:$L$257,5,FALSE))))</f>
        <v/>
      </c>
      <c r="F254" s="295" t="str">
        <f>IF(B254="","",IF(ISNA(VLOOKUP($B254,'E-1 Off-Site Hedge Baseline'!$B$1:$L$257,6,FALSE)),"",(VLOOKUP($B254,'E-1 Off-Site Hedge Baseline'!$B$1:$L$257,6,FALSE))))</f>
        <v/>
      </c>
      <c r="G254" s="295" t="str">
        <f>IF(B254="","",IF(ISNA(VLOOKUP($B254,'E-1 Off-Site Hedge Baseline'!$B$1:$L$257,7,FALSE)),"",(VLOOKUP($B254,'E-1 Off-Site Hedge Baseline'!$B$1:$L$257,7,FALSE))))</f>
        <v/>
      </c>
      <c r="H254" s="295" t="str">
        <f>IF(B254="","",IF(ISNA(VLOOKUP($B254,'E-1 Off-Site Hedge Baseline'!$B$1:$L$257,8,FALSE)),"",(VLOOKUP($B254,'E-1 Off-Site Hedge Baseline'!$B$1:$L$257,8,FALSE))))</f>
        <v/>
      </c>
      <c r="I254" s="295" t="str">
        <f>IF(B254="","",IF(ISNA(VLOOKUP($B254,'E-1 Off-Site Hedge Baseline'!$B$1:$L$257,10,FALSE)),"",(VLOOKUP($B254,'E-1 Off-Site Hedge Baseline'!$B$1:$L$257,10,FALSE))))</f>
        <v/>
      </c>
      <c r="J254" s="295" t="str">
        <f>IF(B254="","",IF(ISNA(VLOOKUP($B254,'E-1 Off-Site Hedge Baseline'!$B$1:$L$257,11,FALSE)),"",(VLOOKUP($B254,'E-1 Off-Site Hedge Baseline'!$B$1:$L$257,11,FALSE))))</f>
        <v/>
      </c>
      <c r="K254" s="295" t="str">
        <f>IF(B254="","",IF(ISNA(VLOOKUP($B254,'E-1 Off-Site Hedge Baseline'!$B$1:$X$257,16,FALSE)),"",(VLOOKUP($B254,'E-1 Off-Site Hedge Baseline'!$B$1:$X$257,16,FALSE))))</f>
        <v/>
      </c>
      <c r="L254" s="283" t="str">
        <f>IF(B254="","",IF(ISNA(VLOOKUP($B254,'E-1 Off-Site Hedge Baseline'!$B$1:$X$257,12,FALSE)),"",(VLOOKUP($B254,'E-1 Off-Site Hedge Baseline'!$B$1:$X$257,12,FALSE))))</f>
        <v/>
      </c>
      <c r="M254" s="244"/>
      <c r="N254" s="275" t="str">
        <f>IFERROR(IF(B254="","",INDEX('G-6 Hedgerow Data'!$AN$3:$AZ$15,MATCH(C254,'G-6 Hedgerow Data'!$AM$3:$AM$15,0),MATCH(M254,'G-6 Hedgerow Data'!$AN$2:$AZ$2,0))),"")</f>
        <v/>
      </c>
      <c r="O254" s="276" t="str">
        <f t="shared" si="25"/>
        <v/>
      </c>
      <c r="P254" s="281" t="str">
        <f>IF(B254="","",VLOOKUP(B254,'E-1 Off-Site Hedge Baseline'!$B$10:W499,19,FALSE))</f>
        <v/>
      </c>
      <c r="Q254" s="275" t="str">
        <f>IF(M254="","",VLOOKUP(M254,'G-6 Hedgerow Data'!$B$2:$AG$15,2,FALSE))</f>
        <v/>
      </c>
      <c r="R254" s="276" t="str">
        <f>IF(M254="","",VLOOKUP(M254,'G-6 Hedgerow Data'!$B$2:$AG$15,3,FALSE))</f>
        <v/>
      </c>
      <c r="S254" s="101"/>
      <c r="T254" s="276" t="str">
        <f>IFERROR(IF(S254="","",IF(AND(M254="Non-native and ornamental hedgerow",S254&lt;&gt;"Poor"),"Not possible ▲",(IF(AND(Q254="V.Low",OR(S254="Good",S254="Moderate")),"Error ▲",VLOOKUP(S254,'G-1 All Habitats'!$Z$2:$AA$9,2,FALSE))))),"")</f>
        <v/>
      </c>
      <c r="U254" s="101"/>
      <c r="V254" s="283" t="str">
        <f>IF(U254="","",IF(VLOOKUP(U254,'G-3 Multipliers'!$L$3:$N$6,2,FALSE)=0,"Spatial Data Missing ⚠",VLOOKUP(U254,'G-3 Multipliers'!$L$3:$N$6,2,FALSE)))</f>
        <v/>
      </c>
      <c r="W254" s="281" t="str">
        <f>IF(U254="","",IF(VLOOKUP(U254,'G-3 Multipliers'!$L$3:$N$6,3,FALSE)=0,"Spatial Data Missing ⚠",VLOOKUP(U254,'G-3 Multipliers'!$L$3:$N$6,3,FALSE)))</f>
        <v/>
      </c>
      <c r="X254" s="275" t="str">
        <f>IFERROR(IF(OR(LEFT(O254,5)="Error",LEFT(N254,5)="Error",T254="Error"),"Check Data ⚠",IF(F254&lt;R254,INDEX('G-6 Hedgerow Data'!$S$3:$AE$14,MATCH(C254,'G-6 Hedgerow Data'!$B$3:$B$14,0),MATCH(M254,'G-6 Hedgerow Data'!$S$2:$AE$2,0)),INDEX('G-6 Hedgerow Data'!$K$3:$Q$14,MATCH(M254,'G-6 Hedgerow Data'!$B$3:$B$14,0),MATCH(O254,'G-6 Hedgerow Data'!$K$2:$Q$2,0)))),"")</f>
        <v/>
      </c>
      <c r="Y254" s="133"/>
      <c r="Z254" s="133"/>
      <c r="AA254" s="283" t="str">
        <f t="shared" si="26"/>
        <v/>
      </c>
      <c r="AB254" s="296" t="str">
        <f t="shared" si="27"/>
        <v/>
      </c>
      <c r="AC254" s="297" t="str">
        <f t="shared" si="24"/>
        <v/>
      </c>
      <c r="AD254" s="311" t="str">
        <f>IF(M254="","",VLOOKUP(M254,'G-6 Hedgerow Data'!$B$3:$AG$15,31,FALSE))</f>
        <v/>
      </c>
      <c r="AE254" s="295" t="str">
        <f t="shared" si="28"/>
        <v/>
      </c>
      <c r="AF254" s="283" t="str">
        <f t="shared" si="29"/>
        <v/>
      </c>
      <c r="AG254" s="299" t="str">
        <f>IFERROR(IF(O254="","",VLOOKUP(AD254,'G-3 Multipliers'!$P$3:$Q$6,2,FALSE)),"")</f>
        <v/>
      </c>
      <c r="AH254" s="713" t="str">
        <f>IF(B254="","",IF(ISNA(VLOOKUP($B254,'E-1 Off-Site Hedge Baseline'!$B$1:$Z$257,14,FALSE)),"",(VLOOKUP($B254,'E-1 Off-Site Hedge Baseline'!$B$1:$Z$257,14,FALSE))))</f>
        <v/>
      </c>
      <c r="AI254" s="276" t="str">
        <f>IF(AH254="","",IF(VLOOKUP(AH254,'G-3 Multipliers'!$S$3:$T$10,2,FALSE)=0,"Spatial Data Missing ⚠",VLOOKUP(AH254,'G-3 Multipliers'!$S$3:$T$10,2,FALSE)))</f>
        <v/>
      </c>
      <c r="AJ254" s="317" t="str">
        <f t="shared" si="30"/>
        <v/>
      </c>
      <c r="AK254" s="289" t="str">
        <f t="shared" si="31"/>
        <v/>
      </c>
      <c r="AL254" s="101"/>
      <c r="AM254" s="115"/>
      <c r="AN254" s="104"/>
      <c r="AO254" s="104"/>
      <c r="AQ254" s="30" t="str">
        <f>IFERROR(INDEX('G-6 Hedgerow Data'!$BJ$3:$BJ$15,MATCH(M254,'G-6 Hedgerow Data'!$B$3:$B$15,0)),"")</f>
        <v/>
      </c>
    </row>
    <row r="255" spans="2:43" ht="14">
      <c r="B255" s="305" t="str">
        <f>'E-1 Off-Site Hedge Baseline'!AN253</f>
        <v/>
      </c>
      <c r="C255" s="295" t="str">
        <f>IF(B255="","",IF(ISNA(VLOOKUP($B255,'E-1 Off-Site Hedge Baseline'!$B$1:$L$257,3,FALSE)),"",(VLOOKUP($B255,'E-1 Off-Site Hedge Baseline'!$B$1:$L$257,3,FALSE))))</f>
        <v/>
      </c>
      <c r="D255" s="295" t="str">
        <f>IF(B255="","",IF(ISNA(VLOOKUP($B255,'E-1 Off-Site Hedge Baseline'!$B$1:$L$258,4,FALSE)),"",(VLOOKUP($B255,'E-1 Off-Site Hedge Baseline'!$B$1:$L$258,4,FALSE))))</f>
        <v/>
      </c>
      <c r="E255" s="295" t="str">
        <f>IF(B255="","",IF(ISNA(VLOOKUP($B255,'E-1 Off-Site Hedge Baseline'!$B$1:$L$257,5,FALSE)),"",(VLOOKUP($B255,'E-1 Off-Site Hedge Baseline'!$B$1:$L$257,5,FALSE))))</f>
        <v/>
      </c>
      <c r="F255" s="295" t="str">
        <f>IF(B255="","",IF(ISNA(VLOOKUP($B255,'E-1 Off-Site Hedge Baseline'!$B$1:$L$257,6,FALSE)),"",(VLOOKUP($B255,'E-1 Off-Site Hedge Baseline'!$B$1:$L$257,6,FALSE))))</f>
        <v/>
      </c>
      <c r="G255" s="295" t="str">
        <f>IF(B255="","",IF(ISNA(VLOOKUP($B255,'E-1 Off-Site Hedge Baseline'!$B$1:$L$257,7,FALSE)),"",(VLOOKUP($B255,'E-1 Off-Site Hedge Baseline'!$B$1:$L$257,7,FALSE))))</f>
        <v/>
      </c>
      <c r="H255" s="295" t="str">
        <f>IF(B255="","",IF(ISNA(VLOOKUP($B255,'E-1 Off-Site Hedge Baseline'!$B$1:$L$257,8,FALSE)),"",(VLOOKUP($B255,'E-1 Off-Site Hedge Baseline'!$B$1:$L$257,8,FALSE))))</f>
        <v/>
      </c>
      <c r="I255" s="295" t="str">
        <f>IF(B255="","",IF(ISNA(VLOOKUP($B255,'E-1 Off-Site Hedge Baseline'!$B$1:$L$257,10,FALSE)),"",(VLOOKUP($B255,'E-1 Off-Site Hedge Baseline'!$B$1:$L$257,10,FALSE))))</f>
        <v/>
      </c>
      <c r="J255" s="295" t="str">
        <f>IF(B255="","",IF(ISNA(VLOOKUP($B255,'E-1 Off-Site Hedge Baseline'!$B$1:$L$257,11,FALSE)),"",(VLOOKUP($B255,'E-1 Off-Site Hedge Baseline'!$B$1:$L$257,11,FALSE))))</f>
        <v/>
      </c>
      <c r="K255" s="295" t="str">
        <f>IF(B255="","",IF(ISNA(VLOOKUP($B255,'E-1 Off-Site Hedge Baseline'!$B$1:$X$257,16,FALSE)),"",(VLOOKUP($B255,'E-1 Off-Site Hedge Baseline'!$B$1:$X$257,16,FALSE))))</f>
        <v/>
      </c>
      <c r="L255" s="283" t="str">
        <f>IF(B255="","",IF(ISNA(VLOOKUP($B255,'E-1 Off-Site Hedge Baseline'!$B$1:$X$257,12,FALSE)),"",(VLOOKUP($B255,'E-1 Off-Site Hedge Baseline'!$B$1:$X$257,12,FALSE))))</f>
        <v/>
      </c>
      <c r="M255" s="244"/>
      <c r="N255" s="275" t="str">
        <f>IFERROR(IF(B255="","",INDEX('G-6 Hedgerow Data'!$AN$3:$AZ$15,MATCH(C255,'G-6 Hedgerow Data'!$AM$3:$AM$15,0),MATCH(M255,'G-6 Hedgerow Data'!$AN$2:$AZ$2,0))),"")</f>
        <v/>
      </c>
      <c r="O255" s="276" t="str">
        <f t="shared" si="25"/>
        <v/>
      </c>
      <c r="P255" s="281" t="str">
        <f>IF(B255="","",VLOOKUP(B255,'E-1 Off-Site Hedge Baseline'!$B$10:W500,19,FALSE))</f>
        <v/>
      </c>
      <c r="Q255" s="275" t="str">
        <f>IF(M255="","",VLOOKUP(M255,'G-6 Hedgerow Data'!$B$2:$AG$15,2,FALSE))</f>
        <v/>
      </c>
      <c r="R255" s="276" t="str">
        <f>IF(M255="","",VLOOKUP(M255,'G-6 Hedgerow Data'!$B$2:$AG$15,3,FALSE))</f>
        <v/>
      </c>
      <c r="S255" s="101"/>
      <c r="T255" s="276" t="str">
        <f>IFERROR(IF(S255="","",IF(AND(M255="Non-native and ornamental hedgerow",S255&lt;&gt;"Poor"),"Not possible ▲",(IF(AND(Q255="V.Low",OR(S255="Good",S255="Moderate")),"Error ▲",VLOOKUP(S255,'G-1 All Habitats'!$Z$2:$AA$9,2,FALSE))))),"")</f>
        <v/>
      </c>
      <c r="U255" s="101"/>
      <c r="V255" s="283" t="str">
        <f>IF(U255="","",IF(VLOOKUP(U255,'G-3 Multipliers'!$L$3:$N$6,2,FALSE)=0,"Spatial Data Missing ⚠",VLOOKUP(U255,'G-3 Multipliers'!$L$3:$N$6,2,FALSE)))</f>
        <v/>
      </c>
      <c r="W255" s="281" t="str">
        <f>IF(U255="","",IF(VLOOKUP(U255,'G-3 Multipliers'!$L$3:$N$6,3,FALSE)=0,"Spatial Data Missing ⚠",VLOOKUP(U255,'G-3 Multipliers'!$L$3:$N$6,3,FALSE)))</f>
        <v/>
      </c>
      <c r="X255" s="275" t="str">
        <f>IFERROR(IF(OR(LEFT(O255,5)="Error",LEFT(N255,5)="Error",T255="Error"),"Check Data ⚠",IF(F255&lt;R255,INDEX('G-6 Hedgerow Data'!$S$3:$AE$14,MATCH(C255,'G-6 Hedgerow Data'!$B$3:$B$14,0),MATCH(M255,'G-6 Hedgerow Data'!$S$2:$AE$2,0)),INDEX('G-6 Hedgerow Data'!$K$3:$Q$14,MATCH(M255,'G-6 Hedgerow Data'!$B$3:$B$14,0),MATCH(O255,'G-6 Hedgerow Data'!$K$2:$Q$2,0)))),"")</f>
        <v/>
      </c>
      <c r="Y255" s="133"/>
      <c r="Z255" s="133"/>
      <c r="AA255" s="283" t="str">
        <f t="shared" si="26"/>
        <v/>
      </c>
      <c r="AB255" s="296" t="str">
        <f t="shared" si="27"/>
        <v/>
      </c>
      <c r="AC255" s="297" t="str">
        <f t="shared" si="24"/>
        <v/>
      </c>
      <c r="AD255" s="311" t="str">
        <f>IF(M255="","",VLOOKUP(M255,'G-6 Hedgerow Data'!$B$3:$AG$15,31,FALSE))</f>
        <v/>
      </c>
      <c r="AE255" s="295" t="str">
        <f t="shared" si="28"/>
        <v/>
      </c>
      <c r="AF255" s="283" t="str">
        <f t="shared" si="29"/>
        <v/>
      </c>
      <c r="AG255" s="299" t="str">
        <f>IFERROR(IF(O255="","",VLOOKUP(AD255,'G-3 Multipliers'!$P$3:$Q$6,2,FALSE)),"")</f>
        <v/>
      </c>
      <c r="AH255" s="713" t="str">
        <f>IF(B255="","",IF(ISNA(VLOOKUP($B255,'E-1 Off-Site Hedge Baseline'!$B$1:$Z$257,14,FALSE)),"",(VLOOKUP($B255,'E-1 Off-Site Hedge Baseline'!$B$1:$Z$257,14,FALSE))))</f>
        <v/>
      </c>
      <c r="AI255" s="276" t="str">
        <f>IF(AH255="","",IF(VLOOKUP(AH255,'G-3 Multipliers'!$S$3:$T$10,2,FALSE)=0,"Spatial Data Missing ⚠",VLOOKUP(AH255,'G-3 Multipliers'!$S$3:$T$10,2,FALSE)))</f>
        <v/>
      </c>
      <c r="AJ255" s="317" t="str">
        <f t="shared" si="30"/>
        <v/>
      </c>
      <c r="AK255" s="289" t="str">
        <f t="shared" si="31"/>
        <v/>
      </c>
      <c r="AL255" s="101"/>
      <c r="AM255" s="115"/>
      <c r="AN255" s="104"/>
      <c r="AO255" s="104"/>
      <c r="AQ255" s="30" t="str">
        <f>IFERROR(INDEX('G-6 Hedgerow Data'!$BJ$3:$BJ$15,MATCH(M255,'G-6 Hedgerow Data'!$B$3:$B$15,0)),"")</f>
        <v/>
      </c>
    </row>
    <row r="256" spans="2:43" ht="14">
      <c r="B256" s="305" t="str">
        <f>'E-1 Off-Site Hedge Baseline'!AN254</f>
        <v/>
      </c>
      <c r="C256" s="295" t="str">
        <f>IF(B256="","",IF(ISNA(VLOOKUP($B256,'E-1 Off-Site Hedge Baseline'!$B$1:$L$257,3,FALSE)),"",(VLOOKUP($B256,'E-1 Off-Site Hedge Baseline'!$B$1:$L$257,3,FALSE))))</f>
        <v/>
      </c>
      <c r="D256" s="295" t="str">
        <f>IF(B256="","",IF(ISNA(VLOOKUP($B256,'E-1 Off-Site Hedge Baseline'!$B$1:$L$258,4,FALSE)),"",(VLOOKUP($B256,'E-1 Off-Site Hedge Baseline'!$B$1:$L$258,4,FALSE))))</f>
        <v/>
      </c>
      <c r="E256" s="295" t="str">
        <f>IF(B256="","",IF(ISNA(VLOOKUP($B256,'E-1 Off-Site Hedge Baseline'!$B$1:$L$257,5,FALSE)),"",(VLOOKUP($B256,'E-1 Off-Site Hedge Baseline'!$B$1:$L$257,5,FALSE))))</f>
        <v/>
      </c>
      <c r="F256" s="295" t="str">
        <f>IF(B256="","",IF(ISNA(VLOOKUP($B256,'E-1 Off-Site Hedge Baseline'!$B$1:$L$257,6,FALSE)),"",(VLOOKUP($B256,'E-1 Off-Site Hedge Baseline'!$B$1:$L$257,6,FALSE))))</f>
        <v/>
      </c>
      <c r="G256" s="295" t="str">
        <f>IF(B256="","",IF(ISNA(VLOOKUP($B256,'E-1 Off-Site Hedge Baseline'!$B$1:$L$257,7,FALSE)),"",(VLOOKUP($B256,'E-1 Off-Site Hedge Baseline'!$B$1:$L$257,7,FALSE))))</f>
        <v/>
      </c>
      <c r="H256" s="295" t="str">
        <f>IF(B256="","",IF(ISNA(VLOOKUP($B256,'E-1 Off-Site Hedge Baseline'!$B$1:$L$257,8,FALSE)),"",(VLOOKUP($B256,'E-1 Off-Site Hedge Baseline'!$B$1:$L$257,8,FALSE))))</f>
        <v/>
      </c>
      <c r="I256" s="295" t="str">
        <f>IF(B256="","",IF(ISNA(VLOOKUP($B256,'E-1 Off-Site Hedge Baseline'!$B$1:$L$257,10,FALSE)),"",(VLOOKUP($B256,'E-1 Off-Site Hedge Baseline'!$B$1:$L$257,10,FALSE))))</f>
        <v/>
      </c>
      <c r="J256" s="295" t="str">
        <f>IF(B256="","",IF(ISNA(VLOOKUP($B256,'E-1 Off-Site Hedge Baseline'!$B$1:$L$257,11,FALSE)),"",(VLOOKUP($B256,'E-1 Off-Site Hedge Baseline'!$B$1:$L$257,11,FALSE))))</f>
        <v/>
      </c>
      <c r="K256" s="295" t="str">
        <f>IF(B256="","",IF(ISNA(VLOOKUP($B256,'E-1 Off-Site Hedge Baseline'!$B$1:$X$257,16,FALSE)),"",(VLOOKUP($B256,'E-1 Off-Site Hedge Baseline'!$B$1:$X$257,16,FALSE))))</f>
        <v/>
      </c>
      <c r="L256" s="283" t="str">
        <f>IF(B256="","",IF(ISNA(VLOOKUP($B256,'E-1 Off-Site Hedge Baseline'!$B$1:$X$257,12,FALSE)),"",(VLOOKUP($B256,'E-1 Off-Site Hedge Baseline'!$B$1:$X$257,12,FALSE))))</f>
        <v/>
      </c>
      <c r="M256" s="244"/>
      <c r="N256" s="275" t="str">
        <f>IFERROR(IF(B256="","",INDEX('G-6 Hedgerow Data'!$AN$3:$AZ$15,MATCH(C256,'G-6 Hedgerow Data'!$AM$3:$AM$15,0),MATCH(M256,'G-6 Hedgerow Data'!$AN$2:$AZ$2,0))),"")</f>
        <v/>
      </c>
      <c r="O256" s="276" t="str">
        <f t="shared" si="25"/>
        <v/>
      </c>
      <c r="P256" s="281" t="str">
        <f>IF(B256="","",VLOOKUP(B256,'E-1 Off-Site Hedge Baseline'!$B$10:W501,19,FALSE))</f>
        <v/>
      </c>
      <c r="Q256" s="275" t="str">
        <f>IF(M256="","",VLOOKUP(M256,'G-6 Hedgerow Data'!$B$2:$AG$15,2,FALSE))</f>
        <v/>
      </c>
      <c r="R256" s="276" t="str">
        <f>IF(M256="","",VLOOKUP(M256,'G-6 Hedgerow Data'!$B$2:$AG$15,3,FALSE))</f>
        <v/>
      </c>
      <c r="S256" s="101"/>
      <c r="T256" s="276" t="str">
        <f>IFERROR(IF(S256="","",IF(AND(M256="Non-native and ornamental hedgerow",S256&lt;&gt;"Poor"),"Not possible ▲",(IF(AND(Q256="V.Low",OR(S256="Good",S256="Moderate")),"Error ▲",VLOOKUP(S256,'G-1 All Habitats'!$Z$2:$AA$9,2,FALSE))))),"")</f>
        <v/>
      </c>
      <c r="U256" s="101"/>
      <c r="V256" s="283" t="str">
        <f>IF(U256="","",IF(VLOOKUP(U256,'G-3 Multipliers'!$L$3:$N$6,2,FALSE)=0,"Spatial Data Missing ⚠",VLOOKUP(U256,'G-3 Multipliers'!$L$3:$N$6,2,FALSE)))</f>
        <v/>
      </c>
      <c r="W256" s="281" t="str">
        <f>IF(U256="","",IF(VLOOKUP(U256,'G-3 Multipliers'!$L$3:$N$6,3,FALSE)=0,"Spatial Data Missing ⚠",VLOOKUP(U256,'G-3 Multipliers'!$L$3:$N$6,3,FALSE)))</f>
        <v/>
      </c>
      <c r="X256" s="275" t="str">
        <f>IFERROR(IF(OR(LEFT(O256,5)="Error",LEFT(N256,5)="Error",T256="Error"),"Check Data ⚠",IF(F256&lt;R256,INDEX('G-6 Hedgerow Data'!$S$3:$AE$14,MATCH(C256,'G-6 Hedgerow Data'!$B$3:$B$14,0),MATCH(M256,'G-6 Hedgerow Data'!$S$2:$AE$2,0)),INDEX('G-6 Hedgerow Data'!$K$3:$Q$14,MATCH(M256,'G-6 Hedgerow Data'!$B$3:$B$14,0),MATCH(O256,'G-6 Hedgerow Data'!$K$2:$Q$2,0)))),"")</f>
        <v/>
      </c>
      <c r="Y256" s="133"/>
      <c r="Z256" s="133"/>
      <c r="AA256" s="283" t="str">
        <f t="shared" si="26"/>
        <v/>
      </c>
      <c r="AB256" s="296" t="str">
        <f t="shared" si="27"/>
        <v/>
      </c>
      <c r="AC256" s="297" t="str">
        <f t="shared" si="24"/>
        <v/>
      </c>
      <c r="AD256" s="311" t="str">
        <f>IF(M256="","",VLOOKUP(M256,'G-6 Hedgerow Data'!$B$3:$AG$15,31,FALSE))</f>
        <v/>
      </c>
      <c r="AE256" s="295" t="str">
        <f t="shared" si="28"/>
        <v/>
      </c>
      <c r="AF256" s="283" t="str">
        <f t="shared" si="29"/>
        <v/>
      </c>
      <c r="AG256" s="299" t="str">
        <f>IFERROR(IF(O256="","",VLOOKUP(AD256,'G-3 Multipliers'!$P$3:$Q$6,2,FALSE)),"")</f>
        <v/>
      </c>
      <c r="AH256" s="713" t="str">
        <f>IF(B256="","",IF(ISNA(VLOOKUP($B256,'E-1 Off-Site Hedge Baseline'!$B$1:$Z$257,14,FALSE)),"",(VLOOKUP($B256,'E-1 Off-Site Hedge Baseline'!$B$1:$Z$257,14,FALSE))))</f>
        <v/>
      </c>
      <c r="AI256" s="276" t="str">
        <f>IF(AH256="","",IF(VLOOKUP(AH256,'G-3 Multipliers'!$S$3:$T$10,2,FALSE)=0,"Spatial Data Missing ⚠",VLOOKUP(AH256,'G-3 Multipliers'!$S$3:$T$10,2,FALSE)))</f>
        <v/>
      </c>
      <c r="AJ256" s="317" t="str">
        <f t="shared" si="30"/>
        <v/>
      </c>
      <c r="AK256" s="289" t="str">
        <f t="shared" si="31"/>
        <v/>
      </c>
      <c r="AL256" s="101"/>
      <c r="AM256" s="115"/>
      <c r="AN256" s="104"/>
      <c r="AO256" s="104"/>
      <c r="AQ256" s="30" t="str">
        <f>IFERROR(INDEX('G-6 Hedgerow Data'!$BJ$3:$BJ$15,MATCH(M256,'G-6 Hedgerow Data'!$B$3:$B$15,0)),"")</f>
        <v/>
      </c>
    </row>
    <row r="257" spans="2:43" ht="14.5" thickBot="1">
      <c r="B257" s="328" t="str">
        <f>'E-1 Off-Site Hedge Baseline'!AN255</f>
        <v/>
      </c>
      <c r="C257" s="284" t="str">
        <f>IF(B257="","",IF(ISNA(VLOOKUP($B257,'E-1 Off-Site Hedge Baseline'!$B$1:$L$257,3,FALSE)),"",(VLOOKUP($B257,'E-1 Off-Site Hedge Baseline'!$B$1:$L$257,3,FALSE))))</f>
        <v/>
      </c>
      <c r="D257" s="284" t="str">
        <f>IF(B257="","",IF(ISNA(VLOOKUP($B257,'E-1 Off-Site Hedge Baseline'!$B$1:$L$258,4,FALSE)),"",(VLOOKUP($B257,'E-1 Off-Site Hedge Baseline'!$B$1:$L$258,4,FALSE))))</f>
        <v/>
      </c>
      <c r="E257" s="284" t="str">
        <f>IF(B257="","",IF(ISNA(VLOOKUP($B257,'E-1 Off-Site Hedge Baseline'!$B$1:$L$257,5,FALSE)),"",(VLOOKUP($B257,'E-1 Off-Site Hedge Baseline'!$B$1:$L$257,5,FALSE))))</f>
        <v/>
      </c>
      <c r="F257" s="284" t="str">
        <f>IF(B257="","",IF(ISNA(VLOOKUP($B257,'E-1 Off-Site Hedge Baseline'!$B$1:$L$257,6,FALSE)),"",(VLOOKUP($B257,'E-1 Off-Site Hedge Baseline'!$B$1:$L$257,6,FALSE))))</f>
        <v/>
      </c>
      <c r="G257" s="284" t="str">
        <f>IF(B257="","",IF(ISNA(VLOOKUP($B257,'E-1 Off-Site Hedge Baseline'!$B$1:$L$257,7,FALSE)),"",(VLOOKUP($B257,'E-1 Off-Site Hedge Baseline'!$B$1:$L$257,7,FALSE))))</f>
        <v/>
      </c>
      <c r="H257" s="284" t="str">
        <f>IF(B257="","",IF(ISNA(VLOOKUP($B257,'E-1 Off-Site Hedge Baseline'!$B$1:$L$257,8,FALSE)),"",(VLOOKUP($B257,'E-1 Off-Site Hedge Baseline'!$B$1:$L$257,8,FALSE))))</f>
        <v/>
      </c>
      <c r="I257" s="284" t="str">
        <f>IF(B257="","",IF(ISNA(VLOOKUP($B257,'E-1 Off-Site Hedge Baseline'!$B$1:$L$257,10,FALSE)),"",(VLOOKUP($B257,'E-1 Off-Site Hedge Baseline'!$B$1:$L$257,10,FALSE))))</f>
        <v/>
      </c>
      <c r="J257" s="284" t="str">
        <f>IF(B257="","",IF(ISNA(VLOOKUP($B257,'E-1 Off-Site Hedge Baseline'!$B$1:$L$257,11,FALSE)),"",(VLOOKUP($B257,'E-1 Off-Site Hedge Baseline'!$B$1:$L$257,11,FALSE))))</f>
        <v/>
      </c>
      <c r="K257" s="284" t="str">
        <f>IF(B257="","",IF(ISNA(VLOOKUP($B257,'E-1 Off-Site Hedge Baseline'!$B$1:$X$257,16,FALSE)),"",(VLOOKUP($B257,'E-1 Off-Site Hedge Baseline'!$B$1:$X$257,16,FALSE))))</f>
        <v/>
      </c>
      <c r="L257" s="284" t="str">
        <f>IF(B257="","",IF(ISNA(VLOOKUP($B257,'E-1 Off-Site Hedge Baseline'!$B$1:$X$257,12,FALSE)),"",(VLOOKUP($B257,'E-1 Off-Site Hedge Baseline'!$B$1:$X$257,12,FALSE))))</f>
        <v/>
      </c>
      <c r="M257" s="244"/>
      <c r="N257" s="277" t="str">
        <f>IFERROR(IF(B257="","",INDEX('G-6 Hedgerow Data'!$AN$3:$AZ$15,MATCH(C257,'G-6 Hedgerow Data'!$AM$3:$AM$15,0),MATCH(M257,'G-6 Hedgerow Data'!$AN$2:$AZ$2,0))),"")</f>
        <v/>
      </c>
      <c r="O257" s="276" t="str">
        <f t="shared" si="25"/>
        <v/>
      </c>
      <c r="P257" s="281" t="str">
        <f>IF(B257="","",VLOOKUP(B257,'E-1 Off-Site Hedge Baseline'!$B$10:W502,19,FALSE))</f>
        <v/>
      </c>
      <c r="Q257" s="277" t="str">
        <f>IF(M257="","",VLOOKUP(M257,'G-6 Hedgerow Data'!$B$2:$AG$15,2,FALSE))</f>
        <v/>
      </c>
      <c r="R257" s="276" t="str">
        <f>IF(M257="","",VLOOKUP(M257,'G-6 Hedgerow Data'!$B$2:$AG$15,3,FALSE))</f>
        <v/>
      </c>
      <c r="S257" s="111"/>
      <c r="T257" s="276" t="str">
        <f>IFERROR(IF(S257="","",IF(AND(M257="Non-native and ornamental hedgerow",S257&lt;&gt;"Poor"),"Not possible ▲",(IF(AND(Q257="V.Low",OR(S257="Good",S257="Moderate")),"Error ▲",VLOOKUP(S257,'G-1 All Habitats'!$Z$2:$AA$9,2,FALSE))))),"")</f>
        <v/>
      </c>
      <c r="U257" s="111"/>
      <c r="V257" s="283" t="str">
        <f>IF(U257="","",IF(VLOOKUP(U257,'G-3 Multipliers'!$L$3:$N$6,2,FALSE)=0,"Spatial Data Missing ⚠",VLOOKUP(U257,'G-3 Multipliers'!$L$3:$N$6,2,FALSE)))</f>
        <v/>
      </c>
      <c r="W257" s="281" t="str">
        <f>IF(U257="","",IF(VLOOKUP(U257,'G-3 Multipliers'!$L$3:$N$6,3,FALSE)=0,"Spatial Data Missing ⚠",VLOOKUP(U257,'G-3 Multipliers'!$L$3:$N$6,3,FALSE)))</f>
        <v/>
      </c>
      <c r="X257" s="275" t="str">
        <f>IFERROR(IF(OR(LEFT(O257,5)="Error",LEFT(N257,5)="Error",T257="Error"),"Check Data ⚠",IF(F257&lt;R257,INDEX('G-6 Hedgerow Data'!$S$3:$AE$14,MATCH(C257,'G-6 Hedgerow Data'!$B$3:$B$14,0),MATCH(M257,'G-6 Hedgerow Data'!$S$2:$AE$2,0)),INDEX('G-6 Hedgerow Data'!$K$3:$Q$14,MATCH(M257,'G-6 Hedgerow Data'!$B$3:$B$14,0),MATCH(O257,'G-6 Hedgerow Data'!$K$2:$Q$2,0)))),"")</f>
        <v/>
      </c>
      <c r="Y257" s="141"/>
      <c r="Z257" s="141"/>
      <c r="AA257" s="283" t="str">
        <f t="shared" si="26"/>
        <v/>
      </c>
      <c r="AB257" s="296" t="str">
        <f t="shared" si="27"/>
        <v/>
      </c>
      <c r="AC257" s="297" t="str">
        <f t="shared" si="24"/>
        <v/>
      </c>
      <c r="AD257" s="277" t="str">
        <f>IF(M257="","",VLOOKUP(M257,'G-6 Hedgerow Data'!$B$3:$AG$15,31,FALSE))</f>
        <v/>
      </c>
      <c r="AE257" s="295" t="str">
        <f t="shared" si="28"/>
        <v/>
      </c>
      <c r="AF257" s="283" t="str">
        <f t="shared" si="29"/>
        <v/>
      </c>
      <c r="AG257" s="278" t="str">
        <f>IFERROR(IF(O257="","",VLOOKUP(AD257,'G-3 Multipliers'!$P$3:$Q$6,2,FALSE)),"")</f>
        <v/>
      </c>
      <c r="AH257" s="713" t="str">
        <f>IF(B257="","",IF(ISNA(VLOOKUP($B257,'E-1 Off-Site Hedge Baseline'!$B$1:$Z$257,14,FALSE)),"",(VLOOKUP($B257,'E-1 Off-Site Hedge Baseline'!$B$1:$Z$257,14,FALSE))))</f>
        <v/>
      </c>
      <c r="AI257" s="276" t="str">
        <f>IF(AH257="","",IF(VLOOKUP(AH257,'G-3 Multipliers'!$S$3:$T$10,2,FALSE)=0,"Spatial Data Missing ⚠",VLOOKUP(AH257,'G-3 Multipliers'!$S$3:$T$10,2,FALSE)))</f>
        <v/>
      </c>
      <c r="AJ257" s="318" t="str">
        <f t="shared" si="30"/>
        <v/>
      </c>
      <c r="AK257" s="289" t="str">
        <f t="shared" si="31"/>
        <v/>
      </c>
      <c r="AL257" s="111"/>
      <c r="AM257" s="110"/>
      <c r="AN257" s="929"/>
      <c r="AO257" s="110"/>
      <c r="AQ257" s="30" t="str">
        <f>IFERROR(INDEX('G-6 Hedgerow Data'!$BJ$3:$BJ$15,MATCH(M257,'G-6 Hedgerow Data'!$B$3:$B$15,0)),"")</f>
        <v/>
      </c>
    </row>
    <row r="258" spans="2:39" ht="14.5" thickBot="1">
      <c r="B258" s="34"/>
      <c r="C258" s="34"/>
      <c r="D258" s="34"/>
      <c r="E258" s="34"/>
      <c r="F258" s="34"/>
      <c r="G258" s="34"/>
      <c r="H258" s="34"/>
      <c r="I258" s="34"/>
      <c r="J258" s="34"/>
      <c r="K258" s="34"/>
      <c r="L258" s="34"/>
      <c r="M258" s="34"/>
      <c r="N258" s="34"/>
      <c r="O258" s="178"/>
      <c r="P258" s="279">
        <f>SUM(P12:P257)</f>
        <v>0</v>
      </c>
      <c r="Q258" s="34"/>
      <c r="R258" s="34"/>
      <c r="S258" s="34"/>
      <c r="T258" s="34"/>
      <c r="U258" s="34"/>
      <c r="V258" s="34"/>
      <c r="W258" s="34"/>
      <c r="X258" s="34"/>
      <c r="Y258" s="34"/>
      <c r="Z258" s="34"/>
      <c r="AA258" s="34"/>
      <c r="AB258" s="34"/>
      <c r="AC258" s="34"/>
      <c r="AD258" s="34"/>
      <c r="AE258" s="34"/>
      <c r="AF258" s="34"/>
      <c r="AG258" s="34"/>
      <c r="AH258" s="246"/>
      <c r="AI258" s="246"/>
      <c r="AJ258" s="279">
        <f>SUM(AJ12:AJ257)</f>
        <v>0</v>
      </c>
      <c r="AK258" s="279">
        <f>SUM(AK12:AK257)</f>
        <v>0</v>
      </c>
      <c r="AL258" s="34"/>
      <c r="AM258" s="34"/>
    </row>
    <row r="259" ht="14"/>
    <row r="260" ht="14"/>
    <row r="261" ht="14"/>
    <row r="262" ht="14"/>
    <row r="263" ht="14"/>
    <row r="264" ht="14"/>
    <row r="265" ht="14" hidden="1"/>
    <row r="266" ht="14" hidden="1"/>
    <row r="267" ht="15" customHeight="1" hidden="1"/>
    <row r="268" ht="15" customHeight="1" hidden="1"/>
    <row r="269" ht="15" customHeight="1" hidden="1"/>
    <row r="270" ht="15" customHeight="1" hidden="1"/>
    <row r="271" ht="15" customHeight="1" hidden="1"/>
    <row r="272" ht="15" customHeight="1" hidden="1"/>
    <row r="273" ht="15" customHeight="1" hidden="1"/>
    <row r="274" ht="15" customHeight="1" hidden="1"/>
    <row r="275" ht="15" customHeight="1" hidden="1"/>
    <row r="276" ht="15" customHeight="1" hidden="1"/>
    <row r="277" ht="15" customHeight="1" hidden="1"/>
    <row r="278" ht="15" customHeight="1" hidden="1"/>
    <row r="279" ht="15" customHeight="1" hidden="1"/>
    <row r="280" ht="15" customHeight="1" hidden="1"/>
    <row r="281" ht="15" customHeight="1" hidden="1"/>
    <row r="282" ht="15" customHeight="1" hidden="1"/>
    <row r="283" ht="15" customHeight="1" hidden="1"/>
    <row r="284" ht="15" customHeight="1" hidden="1"/>
    <row r="285" ht="15" customHeight="1" hidden="1"/>
    <row r="286" ht="15" customHeight="1" hidden="1"/>
    <row r="287" ht="15" customHeight="1" hidden="1"/>
    <row r="288" ht="15" customHeight="1" hidden="1"/>
    <row r="289" ht="15" customHeight="1" hidden="1"/>
    <row r="290" ht="15" customHeight="1" hidden="1"/>
    <row r="291" ht="15" customHeight="1" hidden="1"/>
    <row r="292" ht="15" customHeight="1" hidden="1"/>
    <row r="293" ht="15" customHeight="1" hidden="1"/>
    <row r="294" ht="15" customHeight="1" hidden="1"/>
    <row r="295" ht="15" customHeight="1" hidden="1"/>
    <row r="296" ht="15" customHeight="1" hidden="1"/>
    <row r="297" ht="15" customHeight="1" hidden="1"/>
    <row r="298" ht="15" customHeight="1" hidden="1"/>
    <row r="299" ht="15" customHeight="1" hidden="1"/>
    <row r="300" ht="15" customHeight="1" hidden="1"/>
    <row r="301" ht="15" customHeight="1" hidden="1"/>
    <row r="302" ht="15" customHeight="1" hidden="1"/>
    <row r="303" ht="15" customHeight="1" hidden="1"/>
    <row r="304" ht="15" customHeight="1" hidden="1"/>
    <row r="305" ht="15" customHeight="1" hidden="1"/>
    <row r="306" ht="15" customHeight="1" hidden="1"/>
    <row r="307" ht="15" customHeight="1" hidden="1"/>
    <row r="308" ht="15" customHeight="1" hidden="1"/>
    <row r="309" ht="15" customHeight="1" hidden="1"/>
    <row r="310" ht="15" customHeight="1" hidden="1"/>
    <row r="311" ht="15" customHeight="1" hidden="1"/>
    <row r="312" ht="15" customHeight="1" hidden="1"/>
    <row r="313" ht="15" customHeight="1" hidden="1"/>
    <row r="314" ht="15" customHeight="1" hidden="1"/>
    <row r="315" ht="15" customHeight="1" hidden="1"/>
    <row r="316" ht="15" customHeight="1" hidden="1"/>
    <row r="317" ht="15" customHeight="1" hidden="1"/>
    <row r="318" ht="15" customHeight="1" hidden="1"/>
    <row r="319" ht="15" customHeight="1" hidden="1"/>
    <row r="320" ht="15" customHeight="1" hidden="1"/>
    <row r="321" ht="15" customHeight="1" hidden="1"/>
    <row r="322" ht="15" customHeight="1" hidden="1"/>
    <row r="323" ht="15" customHeight="1" hidden="1"/>
    <row r="324" ht="15" customHeight="1" hidden="1"/>
    <row r="325" ht="15" customHeight="1" hidden="1"/>
    <row r="326" ht="15" customHeight="1" hidden="1"/>
    <row r="327" ht="15" customHeight="1" hidden="1"/>
    <row r="328" ht="15" customHeight="1" hidden="1"/>
    <row r="329" ht="15" customHeight="1" hidden="1"/>
    <row r="330" ht="15" customHeight="1" hidden="1"/>
    <row r="331" ht="15" customHeight="1" hidden="1"/>
    <row r="332" ht="15" customHeight="1" hidden="1"/>
    <row r="333" ht="15" customHeight="1" hidden="1"/>
    <row r="334" ht="15" customHeight="1" hidden="1"/>
    <row r="335" ht="15" customHeight="1" hidden="1"/>
    <row r="336" ht="15" customHeight="1" hidden="1"/>
    <row r="337" ht="15" customHeight="1" hidden="1"/>
    <row r="338" ht="15" customHeight="1" hidden="1"/>
    <row r="339" ht="15" customHeight="1" hidden="1"/>
    <row r="340" ht="15" customHeight="1" hidden="1"/>
    <row r="341" ht="15" customHeight="1" hidden="1"/>
    <row r="342" ht="15" customHeight="1" hidden="1"/>
    <row r="343" ht="15" customHeight="1" hidden="1"/>
    <row r="344" ht="15" customHeight="1" hidden="1"/>
    <row r="345" ht="15" customHeight="1" hidden="1"/>
    <row r="346" ht="15" customHeight="1" hidden="1"/>
    <row r="347" ht="15" customHeight="1" hidden="1"/>
    <row r="348" ht="15" customHeight="1" hidden="1"/>
    <row r="349" ht="15" customHeight="1" hidden="1"/>
    <row r="350" ht="15" customHeight="1" hidden="1"/>
    <row r="351" ht="15" customHeight="1" hidden="1"/>
    <row r="352" ht="15" customHeight="1" hidden="1"/>
    <row r="353" ht="15" customHeight="1" hidden="1"/>
    <row r="354" ht="15" customHeight="1" hidden="1"/>
    <row r="355" ht="15" customHeight="1" hidden="1"/>
    <row r="356" ht="15" customHeight="1" hidden="1"/>
    <row r="357" ht="15" customHeight="1" hidden="1"/>
    <row r="358" ht="15" customHeight="1" hidden="1"/>
    <row r="359" ht="15" customHeight="1" hidden="1"/>
    <row r="360" ht="15" customHeight="1" hidden="1"/>
    <row r="361" ht="15" customHeight="1" hidden="1"/>
    <row r="362" ht="15" customHeight="1" hidden="1"/>
    <row r="363" ht="15" customHeight="1" hidden="1"/>
    <row r="364" ht="15" customHeight="1" hidden="1"/>
    <row r="365" ht="15" customHeight="1" hidden="1"/>
    <row r="366" ht="15" customHeight="1" hidden="1"/>
    <row r="367" ht="15" customHeight="1" hidden="1"/>
    <row r="368" ht="15" customHeight="1" hidden="1"/>
    <row r="369" ht="15" customHeight="1" hidden="1"/>
    <row r="370" ht="15" customHeight="1" hidden="1"/>
    <row r="371" ht="15" customHeight="1" hidden="1"/>
    <row r="372" ht="15" customHeight="1" hidden="1"/>
    <row r="373" ht="15" customHeight="1" hidden="1"/>
    <row r="374" ht="15" customHeight="1" hidden="1"/>
    <row r="375" ht="15" customHeight="1" hidden="1"/>
    <row r="376" ht="15" customHeight="1" hidden="1"/>
    <row r="377" ht="15" customHeight="1" hidden="1"/>
    <row r="378" ht="15" customHeight="1" hidden="1"/>
    <row r="379" ht="15" customHeight="1" hidden="1"/>
    <row r="380" ht="15" customHeight="1" hidden="1"/>
    <row r="381" ht="15" customHeight="1" hidden="1"/>
    <row r="382" ht="15" customHeight="1" hidden="1"/>
    <row r="383" ht="15" customHeight="1" hidden="1"/>
    <row r="384" ht="15" customHeight="1" hidden="1"/>
    <row r="385" ht="15" customHeight="1" hidden="1"/>
    <row r="386" ht="15" customHeight="1" hidden="1"/>
    <row r="387" ht="15" customHeight="1" hidden="1"/>
    <row r="388" ht="15" customHeight="1" hidden="1"/>
    <row r="389" ht="15" customHeight="1" hidden="1"/>
    <row r="390" ht="15" customHeight="1" hidden="1"/>
    <row r="391" ht="15" customHeight="1" hidden="1"/>
    <row r="392" ht="15" customHeight="1" hidden="1"/>
    <row r="393" ht="15" customHeight="1" hidden="1"/>
    <row r="394" ht="15" customHeight="1" hidden="1"/>
    <row r="395" ht="15" customHeight="1" hidden="1"/>
    <row r="396" ht="15" customHeight="1" hidden="1"/>
    <row r="397" ht="15" customHeight="1" hidden="1"/>
    <row r="398" ht="15" customHeight="1" hidden="1"/>
    <row r="399" ht="15" customHeight="1" hidden="1"/>
    <row r="400" ht="15" customHeight="1" hidden="1"/>
    <row r="401" ht="15" customHeight="1" hidden="1"/>
    <row r="402" ht="15" customHeight="1" hidden="1"/>
    <row r="403" ht="15" customHeight="1" hidden="1"/>
    <row r="404" ht="15" customHeight="1" hidden="1"/>
    <row r="405" ht="15" customHeight="1" hidden="1"/>
    <row r="406" ht="15" customHeight="1" hidden="1"/>
    <row r="407" ht="15" customHeight="1" hidden="1"/>
    <row r="408" ht="15" customHeight="1" hidden="1"/>
    <row r="409" ht="15" customHeight="1" hidden="1"/>
    <row r="410" ht="15" customHeight="1" hidden="1"/>
    <row r="411" ht="15" customHeight="1" hidden="1"/>
    <row r="412" ht="15" customHeight="1" hidden="1"/>
    <row r="413" ht="15" customHeight="1" hidden="1"/>
    <row r="414" ht="15" customHeight="1" hidden="1"/>
    <row r="415" ht="15" customHeight="1" hidden="1"/>
    <row r="416" ht="15" customHeight="1" hidden="1"/>
    <row r="417" ht="15" customHeight="1" hidden="1"/>
    <row r="418" ht="15" customHeight="1" hidden="1"/>
    <row r="419" ht="15" customHeight="1" hidden="1"/>
    <row r="420" ht="15" customHeight="1" hidden="1"/>
    <row r="421" ht="15" customHeight="1" hidden="1"/>
    <row r="422" ht="15" customHeight="1" hidden="1"/>
    <row r="423" ht="15" customHeight="1" hidden="1"/>
    <row r="424" ht="15" customHeight="1" hidden="1"/>
    <row r="425" ht="15" customHeight="1" hidden="1"/>
    <row r="426" ht="15" customHeight="1" hidden="1"/>
    <row r="427" ht="15" customHeight="1" hidden="1"/>
    <row r="428" ht="15" customHeight="1" hidden="1"/>
    <row r="429" ht="15" customHeight="1" hidden="1"/>
    <row r="430" ht="15" customHeight="1" hidden="1"/>
    <row r="431" ht="15" customHeight="1" hidden="1"/>
    <row r="432" ht="15" customHeight="1" hidden="1"/>
    <row r="433" ht="15" customHeight="1" hidden="1"/>
    <row r="434" ht="15" customHeight="1" hidden="1"/>
    <row r="435" ht="15" customHeight="1" hidden="1"/>
    <row r="436" ht="15" customHeight="1" hidden="1"/>
    <row r="437" ht="15" customHeight="1" hidden="1"/>
    <row r="438" ht="15" customHeight="1" hidden="1"/>
    <row r="439" ht="15" customHeight="1" hidden="1"/>
    <row r="440" ht="15" customHeight="1" hidden="1"/>
    <row r="441" ht="15" customHeight="1" hidden="1"/>
    <row r="442" ht="15" customHeight="1" hidden="1"/>
    <row r="443" ht="15" customHeight="1" hidden="1"/>
    <row r="444" ht="15" customHeight="1" hidden="1"/>
    <row r="445" ht="15" customHeight="1" hidden="1"/>
    <row r="446" ht="15" customHeight="1" hidden="1"/>
    <row r="447" ht="15" customHeight="1" hidden="1"/>
    <row r="448" ht="15" customHeight="1" hidden="1"/>
    <row r="449" ht="15" customHeight="1" hidden="1"/>
    <row r="450" ht="15" customHeight="1" hidden="1"/>
    <row r="451" ht="15" customHeight="1" hidden="1"/>
    <row r="452" ht="15" customHeight="1" hidden="1"/>
    <row r="453" ht="15" customHeight="1" hidden="1"/>
    <row r="454" ht="15" customHeight="1" hidden="1"/>
    <row r="455" ht="15" customHeight="1" hidden="1"/>
    <row r="456" ht="15" customHeight="1" hidden="1"/>
    <row r="457" ht="15" customHeight="1" hidden="1"/>
    <row r="458" ht="15" customHeight="1" hidden="1"/>
    <row r="459" ht="15" customHeight="1" hidden="1"/>
    <row r="460" ht="15" customHeight="1" hidden="1"/>
    <row r="461" ht="15" customHeight="1" hidden="1"/>
    <row r="462" ht="15" customHeight="1" hidden="1"/>
    <row r="463" ht="15" customHeight="1" hidden="1"/>
    <row r="464" ht="15" customHeight="1" hidden="1"/>
    <row r="465" ht="15" customHeight="1" hidden="1"/>
    <row r="466" ht="15" customHeight="1" hidden="1"/>
    <row r="467" ht="15" customHeight="1" hidden="1"/>
    <row r="468" ht="15" customHeight="1" hidden="1"/>
    <row r="469" ht="15" customHeight="1" hidden="1"/>
    <row r="470" ht="15" customHeight="1" hidden="1"/>
    <row r="471" ht="15" customHeight="1" hidden="1"/>
    <row r="472" ht="15" customHeight="1" hidden="1"/>
    <row r="473" ht="15" customHeight="1" hidden="1"/>
    <row r="474" ht="15" customHeight="1" hidden="1"/>
    <row r="475" ht="15" customHeight="1" hidden="1"/>
    <row r="476" ht="15" customHeight="1" hidden="1"/>
    <row r="477" ht="15" customHeight="1" hidden="1"/>
    <row r="478" ht="15" customHeight="1" hidden="1"/>
    <row r="479" ht="15" customHeight="1" hidden="1"/>
    <row r="480" ht="15" customHeight="1" hidden="1"/>
    <row r="481" ht="15" customHeight="1" hidden="1"/>
    <row r="482" ht="15" customHeight="1" hidden="1"/>
    <row r="483" ht="15" customHeight="1" hidden="1"/>
    <row r="484" ht="15" customHeight="1" hidden="1"/>
    <row r="485" ht="15" customHeight="1" hidden="1"/>
    <row r="486" ht="15" customHeight="1" hidden="1"/>
    <row r="487" ht="15" customHeight="1" hidden="1"/>
    <row r="488" ht="15" customHeight="1" hidden="1"/>
    <row r="489" ht="15" customHeight="1" hidden="1"/>
    <row r="490" ht="15" customHeight="1" hidden="1"/>
    <row r="491" ht="15" customHeight="1" hidden="1"/>
    <row r="492" ht="15" customHeight="1" hidden="1"/>
    <row r="493" ht="15" customHeight="1" hidden="1"/>
    <row r="494" ht="15" customHeight="1" hidden="1"/>
    <row r="495" ht="15" customHeight="1" hidden="1"/>
    <row r="496" ht="15" customHeight="1" hidden="1"/>
    <row r="497" ht="15" customHeight="1" hidden="1"/>
    <row r="498" ht="15" customHeight="1" hidden="1"/>
    <row r="499" ht="15" customHeight="1" hidden="1"/>
    <row r="500" ht="15" customHeight="1" hidden="1"/>
    <row r="501" ht="15" customHeight="1" hidden="1"/>
    <row r="502" ht="15" customHeight="1" hidden="1"/>
  </sheetData>
  <sheetProtection algorithmName="SHA-512" hashValue="ZI4CBL+zorRnkR8K+qi31F3ZHezDaaIY5Tt30w9aC7R8iZ6y5ANjD6edBtBDbrKX6f4xkvxlYklsJE2EdFNBJA==" saltValue="3VULZ0jsiJIUQRqf9ae6Fw=="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19">
    <mergeCell ref="AL10:AO10"/>
    <mergeCell ref="AJ10:AJ11"/>
    <mergeCell ref="C10:L10"/>
    <mergeCell ref="U10:W10"/>
    <mergeCell ref="P10:P11"/>
    <mergeCell ref="AK10:AK11"/>
    <mergeCell ref="N2:O2"/>
    <mergeCell ref="M9:AI9"/>
    <mergeCell ref="M10:M11"/>
    <mergeCell ref="B3:C4"/>
    <mergeCell ref="X10:AC10"/>
    <mergeCell ref="AD10:AG10"/>
    <mergeCell ref="AI10:AI11"/>
    <mergeCell ref="N10:O10"/>
    <mergeCell ref="Q10:R10"/>
    <mergeCell ref="S10:T10"/>
    <mergeCell ref="X2:AC4"/>
    <mergeCell ref="B2:C2"/>
    <mergeCell ref="M8:AH8"/>
  </mergeCells>
  <conditionalFormatting sqref="L12:L257">
    <cfRule type="cellIs" priority="256" dxfId="665" operator="equal">
      <formula>"Same distinctiveness band or better"</formula>
    </cfRule>
    <cfRule type="cellIs" priority="257" dxfId="667" operator="equal">
      <formula>"Like for like or better"</formula>
    </cfRule>
    <cfRule type="cellIs" priority="258" dxfId="666" operator="equal">
      <formula>"Like for Like"</formula>
    </cfRule>
  </conditionalFormatting>
  <conditionalFormatting sqref="N12:R12 T12:T257 V12:AG12 AI12:AJ257 N13:P257 Q13:R37 V13:W43 X13:AG257 Q38:S257 U44:W257">
    <cfRule type="containsText" priority="251" dxfId="1267" operator="containsText" text="30+">
      <formula>NOT(ISERROR(SEARCH("30+",N12)))</formula>
    </cfRule>
    <cfRule type="beginsWith" priority="252" dxfId="1267" operator="beginsWith" text="No">
      <formula>LEFT(N12,LEN("No"))="No"</formula>
    </cfRule>
    <cfRule type="containsText" priority="253" dxfId="1267" operator="containsText" text="Spatial">
      <formula>NOT(ISERROR(SEARCH("Spatial",N12)))</formula>
    </cfRule>
    <cfRule type="containsText" priority="254" dxfId="1267" operator="containsText" text="Check">
      <formula>NOT(ISERROR(SEARCH("Check",N12)))</formula>
    </cfRule>
    <cfRule type="containsText" priority="255" dxfId="1273" operator="containsText" text="Error">
      <formula>NOT(ISERROR(SEARCH("Error",N12)))</formula>
    </cfRule>
  </conditionalFormatting>
  <conditionalFormatting sqref="X2">
    <cfRule type="containsText" priority="250" dxfId="1281" operator="containsText" text="Note">
      <formula>NOT(ISERROR(SEARCH("Note",X2)))</formula>
    </cfRule>
  </conditionalFormatting>
  <conditionalFormatting sqref="U12:U27">
    <cfRule type="containsText" priority="249" dxfId="1273" operator="containsText" text="Error">
      <formula>NOT(ISERROR(SEARCH("Error",U12)))</formula>
    </cfRule>
  </conditionalFormatting>
  <conditionalFormatting sqref="AH12:AH257">
    <cfRule type="containsText" priority="247" dxfId="1273" operator="containsText" text="Existing Value Not Required">
      <formula>NOT(ISERROR(SEARCH("Existing Value Not Required",AH12)))</formula>
    </cfRule>
    <cfRule type="containsText" priority="248" dxfId="1273" operator="containsText" text="Existing Value Required">
      <formula>NOT(ISERROR(SEARCH("Existing Value Required",AH12)))</formula>
    </cfRule>
  </conditionalFormatting>
  <conditionalFormatting sqref="AH12:AH257">
    <cfRule type="containsText" priority="244" dxfId="1273" operator="containsText" text="Error">
      <formula>NOT(ISERROR(SEARCH("Error",AH12)))</formula>
    </cfRule>
  </conditionalFormatting>
  <conditionalFormatting sqref="U28:U43">
    <cfRule type="containsText" priority="26" dxfId="1273" operator="containsText" text="Error">
      <formula>NOT(ISERROR(SEARCH("Error",U28)))</formula>
    </cfRule>
  </conditionalFormatting>
  <conditionalFormatting sqref="O3">
    <cfRule type="containsText" priority="24" dxfId="1273" operator="containsText" text="Error">
      <formula>NOT(ISERROR(SEARCH("Error",O3)))</formula>
    </cfRule>
    <cfRule type="containsText" priority="25" dxfId="1267" operator="containsText" text="Check">
      <formula>NOT(ISERROR(SEARCH("Check",O3)))</formula>
    </cfRule>
  </conditionalFormatting>
  <conditionalFormatting sqref="O4">
    <cfRule type="containsText" priority="5" dxfId="397" operator="containsText" text="Error">
      <formula>NOT(ISERROR(SEARCH("Error",O4)))</formula>
    </cfRule>
    <cfRule type="cellIs" priority="10" dxfId="881" operator="equal">
      <formula>0</formula>
    </cfRule>
    <cfRule type="containsText" priority="20" dxfId="1267" operator="containsText" text="Check">
      <formula>NOT(ISERROR(SEARCH("Check",O4)))</formula>
    </cfRule>
    <cfRule type="cellIs" priority="450" dxfId="397" operator="lessThan">
      <formula>0</formula>
    </cfRule>
  </conditionalFormatting>
  <conditionalFormatting sqref="O5">
    <cfRule type="containsText" priority="18" dxfId="1273" operator="containsText" text="No">
      <formula>NOT(ISERROR(SEARCH("No",O5)))</formula>
    </cfRule>
    <cfRule type="containsText" priority="19" dxfId="1253" operator="containsText" text="Yes">
      <formula>NOT(ISERROR(SEARCH("Yes",O5)))</formula>
    </cfRule>
  </conditionalFormatting>
  <conditionalFormatting sqref="T12:T257">
    <cfRule type="containsText" priority="17" dxfId="1273" operator="containsText" text="Not possible">
      <formula>NOT(ISERROR(SEARCH("Not possible",T12)))</formula>
    </cfRule>
  </conditionalFormatting>
  <conditionalFormatting sqref="AK12:AK257">
    <cfRule type="containsText" priority="3" dxfId="1273" operator="containsText" text="▲">
      <formula>NOT(ISERROR(SEARCH("▲",AK12)))</formula>
    </cfRule>
    <cfRule type="containsText" priority="12" dxfId="1267" operator="containsText" text="30+">
      <formula>NOT(ISERROR(SEARCH("30+",AK12)))</formula>
    </cfRule>
    <cfRule type="beginsWith" priority="13" dxfId="1267" operator="beginsWith" text="No">
      <formula>LEFT(AK12,LEN("No"))="No"</formula>
    </cfRule>
    <cfRule type="containsText" priority="14" dxfId="1267" operator="containsText" text="Spatial">
      <formula>NOT(ISERROR(SEARCH("Spatial",AK12)))</formula>
    </cfRule>
    <cfRule type="containsText" priority="15" dxfId="1267" operator="containsText" text="Check">
      <formula>NOT(ISERROR(SEARCH("Check",AK12)))</formula>
    </cfRule>
    <cfRule type="containsText" priority="16" dxfId="1273" operator="containsText" text="Error">
      <formula>NOT(ISERROR(SEARCH("Error",AK12)))</formula>
    </cfRule>
  </conditionalFormatting>
  <conditionalFormatting sqref="O3:O5">
    <cfRule type="containsText" priority="9" dxfId="932" operator="containsText" text="N/A">
      <formula>NOT(ISERROR(SEARCH("N/A",O3)))</formula>
    </cfRule>
  </conditionalFormatting>
  <conditionalFormatting sqref="K1:K1048576">
    <cfRule type="containsText" priority="6" dxfId="1281" operator="containsText" text="⚠">
      <formula>NOT(ISERROR(SEARCH("⚠",K1)))</formula>
    </cfRule>
  </conditionalFormatting>
  <conditionalFormatting sqref="AE1:AE7 AE9:AE1048576">
    <cfRule type="containsText" priority="4" dxfId="1281" operator="containsText" text="⚠">
      <formula>NOT(ISERROR(SEARCH("⚠",AE1)))</formula>
    </cfRule>
  </conditionalFormatting>
  <conditionalFormatting sqref="AO12:AO257">
    <cfRule type="expression" priority="2" dxfId="1275">
      <formula>$AK12="Off-site reference required ▲"</formula>
    </cfRule>
  </conditionalFormatting>
  <conditionalFormatting sqref="X1:X1048576">
    <cfRule type="containsText" priority="1" dxfId="1273" operator="containsText" text="▲">
      <formula>NOT(ISERROR(SEARCH("▲",X1)))</formula>
    </cfRule>
  </conditionalFormatting>
  <conditionalFormatting sqref="O4">
    <cfRule type="expression" priority="7" dxfId="1289">
      <formula>'Headline Results'!$H$9:$I$9=0</formula>
    </cfRule>
  </conditionalFormatting>
  <conditionalFormatting sqref="O4">
    <cfRule type="cellIs" priority="21" dxfId="1284" operator="greaterThanOrEqual">
      <formula>Start!$F$22</formula>
    </cfRule>
  </conditionalFormatting>
  <conditionalFormatting sqref="O4">
    <cfRule type="cellIs" priority="8" dxfId="1294" operator="lessThan">
      <formula>Start!$F$22</formula>
    </cfRule>
  </conditionalFormatting>
  <dataValidations count="4">
    <dataValidation type="list" allowBlank="1" showInputMessage="1" showErrorMessage="1" sqref="S12:S257">
      <formula1>INDIRECT(AQ12)</formula1>
    </dataValidation>
    <dataValidation errorStyle="warning" type="list" allowBlank="1" showInputMessage="1" showErrorMessage="1" sqref="M12:M257">
      <formula1>'G-6 Hedgerow Data'!$B$3:$B$15</formula1>
    </dataValidation>
    <dataValidation type="list" allowBlank="1" showInputMessage="1" showErrorMessage="1" sqref="U12:U257">
      <formula1>'G-3 Multipliers'!$L$4:$L$6</formula1>
    </dataValidation>
    <dataValidation type="list" allowBlank="1" showInputMessage="1" showErrorMessage="1" sqref="Y12:Z257">
      <formula1>'G-4 Temporal multipliers'!$A$4:$A$36</formula1>
    </dataValidation>
  </dataValidations>
  <pageMargins left="0.7" right="0.7" top="0.75" bottom="0.75" header="0.3" footer="0.3"/>
  <pageSetup horizontalDpi="90" verticalDpi="90" orientation="portrait" paperSize="9"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X259"/>
  <sheetViews>
    <sheetView zoomScale="55" zoomScaleNormal="55" workbookViewId="0" topLeftCell="A1">
      <pane ySplit="9" topLeftCell="A10" activePane="bottomLeft" state="frozen"/>
      <selection pane="topLeft" activeCell="A1" sqref="A1"/>
      <selection pane="bottomLeft" activeCell="I265" sqref="I265"/>
    </sheetView>
  </sheetViews>
  <sheetFormatPr defaultColWidth="18.0042857142857" defaultRowHeight="14"/>
  <cols>
    <col min="1" max="1" width="3" style="30" customWidth="1"/>
    <col min="2" max="2" width="3.42857142857143" style="89" customWidth="1"/>
    <col min="3" max="3" width="13.5714285714286" style="89" customWidth="1"/>
    <col min="4" max="4" width="55" style="30" customWidth="1"/>
    <col min="5" max="5" width="10.5714285714286" style="30" customWidth="1"/>
    <col min="6" max="6" width="17.5714285714286" style="30" customWidth="1"/>
    <col min="7" max="7" width="8.57142857142857" style="30" customWidth="1"/>
    <col min="8" max="8" width="14.4285714285714" style="30" bestFit="1" customWidth="1"/>
    <col min="9" max="9" width="11.5714285714286" style="30" customWidth="1"/>
    <col min="10" max="10" width="33.5714285714286" style="30" customWidth="1"/>
    <col min="11" max="12" width="14.5714285714286" style="30" customWidth="1"/>
    <col min="13" max="13" width="17.4285714285714" style="30" customWidth="1"/>
    <col min="14" max="14" width="13.5714285714286" style="30" customWidth="1"/>
    <col min="15" max="15" width="25.4285714285714" style="30" customWidth="1"/>
    <col min="16" max="16" width="14.4285714285714" style="30" customWidth="1"/>
    <col min="17" max="17" width="16.4285714285714" style="30" customWidth="1"/>
    <col min="18" max="18" width="15" style="30" customWidth="1"/>
    <col min="19" max="19" width="3.42857142857143" style="30" hidden="1" customWidth="1"/>
    <col min="20" max="20" width="3.57142857142857" style="30" customWidth="1"/>
    <col min="21" max="22" width="12.4285714285714" style="30" customWidth="1"/>
    <col min="23" max="23" width="13.4285714285714" style="30" customWidth="1"/>
    <col min="24" max="24" width="12.4285714285714" style="30" customWidth="1"/>
    <col min="25" max="25" width="19.4285714285714" style="30" customWidth="1"/>
    <col min="26" max="26" width="16.4285714285714" style="30" customWidth="1"/>
    <col min="27" max="27" width="25.5714285714286" style="30" customWidth="1"/>
    <col min="28" max="29" width="50.4285714285714" style="30" customWidth="1"/>
    <col min="30" max="30" width="18" style="30" customWidth="1"/>
    <col min="31" max="16381" width="0" style="30" hidden="1" customWidth="1"/>
    <col min="16382" max="16384" width="18" style="30"/>
  </cols>
  <sheetData>
    <row r="1" spans="2:3" ht="14.5" thickBot="1">
      <c r="B1" s="30"/>
      <c r="C1" s="30"/>
    </row>
    <row r="2" spans="2:19" ht="18" thickBot="1">
      <c r="B2" s="1784" t="str">
        <f>CONCATENATE("Project Name:"," ",Start!F12,"     ","Map Reference:"," ",Start!F55)</f>
        <v xml:space="preserve">Project Name: Land east of Calne Road, Lyneham     Map Reference: </v>
      </c>
      <c r="C2" s="1786"/>
      <c r="D2" s="1785"/>
      <c r="F2" s="1597" t="s">
        <v>475</v>
      </c>
      <c r="G2" s="1598"/>
      <c r="H2" s="1598"/>
      <c r="I2" s="1598"/>
      <c r="J2" s="1599"/>
      <c r="L2" s="1681" t="str" cm="1">
        <f t="array" ref="L2">IF(OR(AX10:AX258="Yes"),"A 'Fairly' Category has been used for ditches - check evidence to ensure this is appropriate ⚠","")</f>
        <v/>
      </c>
      <c r="M2" s="1681"/>
      <c r="N2" s="1681"/>
      <c r="O2" s="1681"/>
      <c r="P2" s="1681"/>
      <c r="Q2" s="1681"/>
      <c r="R2" s="1681"/>
      <c r="S2" s="689"/>
    </row>
    <row r="3" spans="2:19" ht="16.5">
      <c r="B3" s="1787" t="str">
        <f ca="1">MID(CELL("filename",A1),FIND("]",CELL("filename",A1))+1,256)</f>
        <v>C-1 On-Site WaterC' Baseline</v>
      </c>
      <c r="C3" s="1788"/>
      <c r="D3" s="1789"/>
      <c r="F3" s="1663" t="s">
        <v>306</v>
      </c>
      <c r="G3" s="1664"/>
      <c r="H3" s="1664"/>
      <c r="I3" s="1658">
        <f>'Headline Results'!H49</f>
        <v>0</v>
      </c>
      <c r="J3" s="1659"/>
      <c r="L3" s="1681"/>
      <c r="M3" s="1681"/>
      <c r="N3" s="1681"/>
      <c r="O3" s="1681"/>
      <c r="P3" s="1681"/>
      <c r="Q3" s="1681"/>
      <c r="R3" s="1681"/>
      <c r="S3" s="689"/>
    </row>
    <row r="4" spans="2:19" ht="17" thickBot="1">
      <c r="B4" s="1201"/>
      <c r="C4" s="1202"/>
      <c r="D4" s="1203"/>
      <c r="F4" s="1772" t="s">
        <v>308</v>
      </c>
      <c r="G4" s="1773"/>
      <c r="H4" s="1773"/>
      <c r="I4" s="1660">
        <f>'Headline Results'!H53</f>
        <v>0</v>
      </c>
      <c r="J4" s="1661"/>
      <c r="L4" s="1681"/>
      <c r="M4" s="1681"/>
      <c r="N4" s="1681"/>
      <c r="O4" s="1681"/>
      <c r="P4" s="1681"/>
      <c r="Q4" s="1681"/>
      <c r="R4" s="1681"/>
      <c r="S4" s="689"/>
    </row>
    <row r="5" spans="2:27" ht="23" thickBot="1">
      <c r="B5" s="30"/>
      <c r="C5" s="30"/>
      <c r="F5" s="1774" t="s">
        <v>310</v>
      </c>
      <c r="G5" s="1750"/>
      <c r="H5" s="1750"/>
      <c r="I5" s="1750" t="str" cm="1">
        <f t="array" ref="I5">IF(OR('Trading Summary WaterC''s'!G5:H8="No ▲"),"No - check trading summary ▲","Yes ✓")</f>
        <v>Yes ✓</v>
      </c>
      <c r="J5" s="1751"/>
      <c r="U5" s="1791" t="str">
        <f>IF(SUM(AI10:AI257)&gt;0,"Check Lengths ⚠","")</f>
        <v/>
      </c>
      <c r="V5" s="1791"/>
      <c r="W5" s="1791"/>
      <c r="X5" s="1791"/>
      <c r="Y5" s="1791"/>
      <c r="Z5" s="1791"/>
      <c r="AA5" s="490"/>
    </row>
    <row r="6" spans="2:27" ht="15" customHeight="1">
      <c r="B6" s="30"/>
      <c r="C6" s="30"/>
      <c r="U6" s="1791"/>
      <c r="V6" s="1791"/>
      <c r="W6" s="1791"/>
      <c r="X6" s="1791"/>
      <c r="Y6" s="1791"/>
      <c r="Z6" s="1791"/>
      <c r="AA6" s="490"/>
    </row>
    <row r="7" ht="63.65" customHeight="1" thickBot="1"/>
    <row r="8" spans="3:32" ht="38.9" customHeight="1" thickBot="1">
      <c r="C8" s="1699" t="s">
        <v>476</v>
      </c>
      <c r="D8" s="1699"/>
      <c r="E8" s="1699"/>
      <c r="F8" s="1692" t="s">
        <v>312</v>
      </c>
      <c r="G8" s="1692"/>
      <c r="H8" s="1692" t="s">
        <v>407</v>
      </c>
      <c r="I8" s="1692"/>
      <c r="J8" s="1699" t="s">
        <v>314</v>
      </c>
      <c r="K8" s="1699"/>
      <c r="L8" s="1699"/>
      <c r="M8" s="1692" t="s">
        <v>477</v>
      </c>
      <c r="N8" s="1692"/>
      <c r="O8" s="1692" t="s">
        <v>478</v>
      </c>
      <c r="P8" s="1692"/>
      <c r="Q8" s="1698" t="s">
        <v>315</v>
      </c>
      <c r="R8" s="114" t="s">
        <v>316</v>
      </c>
      <c r="S8" s="1692" t="s">
        <v>326</v>
      </c>
      <c r="T8" s="90"/>
      <c r="U8" s="1719"/>
      <c r="V8" s="1719"/>
      <c r="W8" s="1719"/>
      <c r="X8" s="1719"/>
      <c r="Y8" s="1719"/>
      <c r="Z8" s="1719"/>
      <c r="AA8" s="1429" t="s">
        <v>479</v>
      </c>
      <c r="AB8" s="1709" t="s">
        <v>318</v>
      </c>
      <c r="AC8" s="1710"/>
      <c r="AD8" s="1711"/>
      <c r="AE8" s="37" t="s">
        <v>309</v>
      </c>
      <c r="AF8" s="37" t="s">
        <v>309</v>
      </c>
    </row>
    <row r="9" spans="3:50" ht="54.65" customHeight="1" thickBot="1">
      <c r="C9" s="506" t="s">
        <v>323</v>
      </c>
      <c r="D9" s="949" t="s">
        <v>175</v>
      </c>
      <c r="E9" s="120" t="s">
        <v>451</v>
      </c>
      <c r="F9" s="116" t="s">
        <v>312</v>
      </c>
      <c r="G9" s="120" t="s">
        <v>328</v>
      </c>
      <c r="H9" s="116" t="s">
        <v>313</v>
      </c>
      <c r="I9" s="120" t="s">
        <v>328</v>
      </c>
      <c r="J9" s="116" t="s">
        <v>314</v>
      </c>
      <c r="K9" s="121" t="s">
        <v>314</v>
      </c>
      <c r="L9" s="120" t="s">
        <v>329</v>
      </c>
      <c r="M9" s="116" t="s">
        <v>480</v>
      </c>
      <c r="N9" s="120" t="s">
        <v>481</v>
      </c>
      <c r="O9" s="116" t="s">
        <v>482</v>
      </c>
      <c r="P9" s="120" t="s">
        <v>481</v>
      </c>
      <c r="Q9" s="1698"/>
      <c r="R9" s="797" t="s">
        <v>483</v>
      </c>
      <c r="S9" s="1748"/>
      <c r="T9" s="94"/>
      <c r="U9" s="112" t="s">
        <v>453</v>
      </c>
      <c r="V9" s="564" t="s">
        <v>454</v>
      </c>
      <c r="W9" s="564" t="s">
        <v>455</v>
      </c>
      <c r="X9" s="564" t="s">
        <v>456</v>
      </c>
      <c r="Y9" s="564" t="s">
        <v>484</v>
      </c>
      <c r="Z9" s="530" t="s">
        <v>485</v>
      </c>
      <c r="AA9" s="1780"/>
      <c r="AB9" s="528" t="s">
        <v>486</v>
      </c>
      <c r="AC9" s="528" t="s">
        <v>279</v>
      </c>
      <c r="AD9" s="617" t="s">
        <v>280</v>
      </c>
      <c r="AE9" s="49" t="s">
        <v>335</v>
      </c>
      <c r="AF9" s="49" t="s">
        <v>336</v>
      </c>
      <c r="AI9" s="33" t="s">
        <v>487</v>
      </c>
      <c r="AJ9" s="107" t="s">
        <v>337</v>
      </c>
      <c r="AK9" s="107" t="s">
        <v>338</v>
      </c>
      <c r="AM9" s="107" t="s">
        <v>340</v>
      </c>
      <c r="AO9" s="107" t="s">
        <v>337</v>
      </c>
      <c r="AP9" s="107" t="s">
        <v>338</v>
      </c>
      <c r="AR9" s="88" t="s">
        <v>322</v>
      </c>
      <c r="AS9" s="88" t="s">
        <v>488</v>
      </c>
      <c r="AT9" s="886" t="s">
        <v>341</v>
      </c>
      <c r="AX9" s="33" t="s">
        <v>489</v>
      </c>
    </row>
    <row r="10" spans="3:50" ht="42">
      <c r="C10" s="226">
        <v>1</v>
      </c>
      <c r="D10" s="260" t="s">
        <v>180</v>
      </c>
      <c r="E10" s="51">
        <v>0.01</v>
      </c>
      <c r="F10" s="275" t="str">
        <f>IF(D10="","",VLOOKUP(D10,'G-7 WaterC'' Data'!$B$2:$G$8,2,FALSE))</f>
        <v>Medium</v>
      </c>
      <c r="G10" s="276">
        <f>IFERROR(VLOOKUP(F10,'G-7 WaterC'' Data'!$C$4:$D$8,2,FALSE),"")</f>
        <v>4</v>
      </c>
      <c r="H10" s="52" t="s">
        <v>43</v>
      </c>
      <c r="I10" s="276">
        <f>IFERROR(INDEX('G-7 WaterC'' Data'!$H$4:$L$8,MATCH(D10,'G-7 WaterC'' Data'!$B$4:$B$8,0),MATCH(H10,'G-7 WaterC'' Data'!$H$3:$L$3,0)),"")</f>
        <v>2</v>
      </c>
      <c r="J10" s="777" t="s">
        <v>351</v>
      </c>
      <c r="K10" s="275" t="str">
        <f>IF(J10="","",IF(VLOOKUP(J10,'G-7 WaterC'' Data'!$AK$4:$AM$6,2,FALSE)=0,"Spatial Data Missing ⚠",VLOOKUP(J10,'G-7 WaterC'' Data'!$AK$4:$AM$6,2,FALSE)))</f>
        <v xml:space="preserve">Medium strategic significance </v>
      </c>
      <c r="L10" s="281">
        <f>IF(J10="","",IF(VLOOKUP(J10,'G-7 WaterC'' Data'!$AK$4:$AM$9,3,FALSE)=0,"Spatial Data Missing ⚠",VLOOKUP(J10,'G-7 WaterC'' Data'!$AK$4:$AM$6,3,FALSE)))</f>
        <v>1.1</v>
      </c>
      <c r="M10" s="52" t="s">
        <v>490</v>
      </c>
      <c r="N10" s="276">
        <f>IF(M10="","",IF(AND(D10&lt;&gt;"Culvert",M10="N/A - Culvert"),"Not possible ▲",IF(AND(D10="Culvert",M10&lt;&gt;"N/A - Culvert"),"Not possible ▲",IF(VLOOKUP(M10,'G-7 WaterC'' Data'!$AA$4:$AB$7,2,FALSE)=0,"Spatial Data Missing ⚠",VLOOKUP(M10,'G-7 WaterC'' Data'!$AA$4:$AB$7,2,FALSE)))))</f>
        <v>0.80</v>
      </c>
      <c r="O10" s="56" t="s">
        <v>491</v>
      </c>
      <c r="P10" s="276">
        <f>IF(O10="","",IF(AND(O10="N/A - Culvert",D10&lt;&gt;"Culvert"),"Not possible ▲",IF(AND(D10="Culvert",O10&lt;&gt;"N/A - Culvert"),"Not possible ▲",IF(VLOOKUP(O10,'G-7 WaterC'' Data'!$AD$4:$AE$14,2,FALSE)=0,"Spatial Data Missing ⚠",VLOOKUP(O10,'G-7 WaterC'' Data'!$AD$4:$AE$14,2,FALSE)))))</f>
        <v>0.95</v>
      </c>
      <c r="Q10" s="282" t="str">
        <f>IF(D10="","",VLOOKUP(D10,'G-7 WaterC'' Data'!$B$2:$G$8,6,FALSE))</f>
        <v>Same habitat required =</v>
      </c>
      <c r="R10" s="548">
        <f>IFERROR(IF(AND(U10&gt;0,V10&gt;0,U10+V10&gt;E10),"Split retained and enhanced into separate entries ▲",IF(OR(K10="Check data ⚠",I10="Check data ⚠"),"Check data ▲",E10*G10*I10*L10*N10*P10))," ")</f>
        <v>0.06688</v>
      </c>
      <c r="S10" s="802" t="str">
        <f>AU10</f>
        <v>No</v>
      </c>
      <c r="T10" s="32"/>
      <c r="U10" s="545">
        <v>0.01</v>
      </c>
      <c r="V10" s="554">
        <v>0</v>
      </c>
      <c r="W10" s="555">
        <f>IFERROR(IF(U10&gt;E10,"Error in Lengths ▲",U10*G10*I10*L10*N10*P10),"")</f>
        <v>0.06688</v>
      </c>
      <c r="X10" s="555">
        <f>IFERROR(IF(D10="","",V10*G10*I10*L10*N10*P10),"")</f>
        <v>0</v>
      </c>
      <c r="Y10" s="287">
        <f>IFERROR(IF(D10="","",IF(E10&gt;(U10+V10),E10-U10-V10,0)),"")</f>
        <v>0</v>
      </c>
      <c r="Z10" s="597">
        <f>IFERROR(IF(OR(E10="",R10=""),"",IF(AND(Q10='G-7 WaterC'' Data'!$G$4,AA10="Yes"),"Alternative Compensation ✓",IF(AND(AA10="Pending",Q10='G-7 WaterC'' Data'!$G$4),"Bespoke compensation must be agreed ▲",IF((W10+X10)&gt;=R10,0,R10-W10-X10)))),"Check Data ⚠")</f>
        <v>0</v>
      </c>
      <c r="AA10" s="799"/>
      <c r="AB10" s="595" t="s">
        <v>360</v>
      </c>
      <c r="AC10" s="607"/>
      <c r="AD10" s="607"/>
      <c r="AE10" s="54" t="str">
        <f>IF(OR(Q10="",AA10="Yes"),"",IF(Q10='G-1 All Habitats'!$X$9,E10-U10-V10,"None"))</f>
        <v>None</v>
      </c>
      <c r="AF10" s="55" t="str">
        <f>IF(Q10="","",IF(Q10='G-1 All Habitats'!$X$9,AE10*G10*I10*L10*N10*P10,"None"))</f>
        <v>None</v>
      </c>
      <c r="AI10" s="30">
        <f>IFERROR(IF(U10+V10&gt;E10,1,0),"")</f>
        <v>0</v>
      </c>
      <c r="AJ10" s="107" t="b">
        <f>IF(D10="","",IF(U10&gt;0,TRUE,FALSE))</f>
        <v>1</v>
      </c>
      <c r="AK10" s="107" t="b">
        <f>IF(D10="","",IF(V10&gt;0,TRUE,FALSE))</f>
        <v>0</v>
      </c>
      <c r="AM10" s="107">
        <v>1</v>
      </c>
      <c r="AO10" s="107">
        <f t="array" ref="AO10">IFERROR(INDEX($AM$10:$AM$258,MATCH(0,IF(TRUE=$AJ$10:$AJ$258,COUNTIF($AO9:$AO$9,$AM$10:$AM$258),""),0)),"")</f>
        <v>1</v>
      </c>
      <c r="AP10" s="107" t="str">
        <f t="array" ref="AP10">IFERROR(INDEX($AM$10:$AM$258,MATCH(0,IF(TRUE=$AK$10:$AK$258,COUNTIF($AP9:$AP$9,$AM$10:$AM$258),""),0)),"")</f>
        <v/>
      </c>
      <c r="AR10" s="30" t="str">
        <f>IFERROR(INDEX('G-7 WaterC'' Data'!$AZ$3:$AZ$7,MATCH(D10,'G-7 WaterC'' Data'!$AY$3:$AY$7,0)),"")</f>
        <v>Rivercond1</v>
      </c>
      <c r="AS10" s="30" t="str">
        <f>IFERROR(INDEX('G-7 WaterC'' Data'!AZ10:AZ14,MATCH(D10,'G-7 WaterC'' Data'!$AY$10:$AY$14,0)),"")</f>
        <v/>
      </c>
      <c r="AT10" s="885" t="str">
        <f>IF(AND(OR(AA10="Yes",AA10="Pending"),Q10='G-7 WaterC'' Data'!$G$4),R10-W10-X10,"")</f>
        <v/>
      </c>
      <c r="AU10" s="30" t="str">
        <f>IF(D10="","",VLOOKUP(D10,'G-7 WaterC'' Data'!B$4:M$8,12,FALSE))</f>
        <v>No</v>
      </c>
      <c r="AV10" s="30" t="str">
        <f t="shared" si="0" ref="AV10:AV73">IF(AA10="","",IF(AA10="Yes","Yes ✓","No ▲"))</f>
        <v/>
      </c>
      <c r="AX10" s="30" t="str">
        <f>IF(AND(D10="Ditches",(OR(H10="Fairly Poor",H10="Fairly Good"))),"Yes","No")</f>
        <v>No</v>
      </c>
    </row>
    <row r="11" spans="3:50" ht="14">
      <c r="C11" s="97">
        <v>2</v>
      </c>
      <c r="D11" s="260"/>
      <c r="E11" s="51"/>
      <c r="F11" s="275" t="str">
        <f>IF(D11="","",VLOOKUP(D11,'G-7 WaterC'' Data'!$B$2:$G$8,2,FALSE))</f>
        <v/>
      </c>
      <c r="G11" s="276" t="str">
        <f>IFERROR(VLOOKUP(F11,'G-7 WaterC'' Data'!$C$4:$D$8,2,FALSE),"")</f>
        <v/>
      </c>
      <c r="H11" s="52"/>
      <c r="I11" s="276" t="str">
        <f>IFERROR(INDEX('G-7 WaterC'' Data'!$H$4:$L$8,MATCH(D11,'G-7 WaterC'' Data'!$B$4:$B$8,0),MATCH(H11,'G-7 WaterC'' Data'!$H$3:$L$3,0)),"")</f>
        <v/>
      </c>
      <c r="J11" s="777"/>
      <c r="K11" s="311" t="str">
        <f>IF(J11="","",IF(VLOOKUP(J11,'G-7 WaterC'' Data'!$AK$4:$AM$6,2,FALSE)=0,"Spatial Data Missing ⚠",VLOOKUP(J11,'G-7 WaterC'' Data'!$AK$4:$AM$6,2,FALSE)))</f>
        <v/>
      </c>
      <c r="L11" s="281" t="str">
        <f>IF(J11="","",IF(VLOOKUP(J11,'G-7 WaterC'' Data'!$AK$4:$AM$9,3,FALSE)=0,"Spatial Data Missing ⚠",VLOOKUP(J11,'G-7 WaterC'' Data'!$AK$4:$AM$6,3,FALSE)))</f>
        <v/>
      </c>
      <c r="M11" s="52"/>
      <c r="N11" s="276" t="str">
        <f>IF(M11="","",IF(AND(D11&lt;&gt;"Culvert",M11="N/A - Culvert"),"Not possible ▲",IF(AND(D11="Culvert",M11&lt;&gt;"N/A - Culvert"),"Not possible ▲",IF(VLOOKUP(M11,'G-7 WaterC'' Data'!$AA$4:$AB$7,2,FALSE)=0,"Spatial Data Missing ⚠",VLOOKUP(M11,'G-7 WaterC'' Data'!$AA$4:$AB$7,2,FALSE)))))</f>
        <v/>
      </c>
      <c r="O11" s="56"/>
      <c r="P11" s="276" t="str">
        <f>IF(O11="","",IF(AND(O11="N/A - Culvert",D11&lt;&gt;"Culvert"),"Not possible ▲",IF(AND(D11="Culvert",O11&lt;&gt;"N/A - Culvert"),"Not possible ▲",IF(VLOOKUP(O11,'G-7 WaterC'' Data'!$AD$4:$AE$14,2,FALSE)=0,"Spatial Data Missing ⚠",VLOOKUP(O11,'G-7 WaterC'' Data'!$AD$4:$AE$14,2,FALSE)))))</f>
        <v/>
      </c>
      <c r="Q11" s="282" t="str">
        <f>IF(D11="","",VLOOKUP(D11,'G-7 WaterC'' Data'!$B$2:$G$8,6,FALSE))</f>
        <v/>
      </c>
      <c r="R11" s="289" t="str">
        <f t="shared" si="1" ref="R11:R74">IFERROR(IF(AND(U11&gt;0,V11&gt;0,U11+V11&gt;E11),"Split retained and enhanced into separate entries ▲",IF(OR(K11="Check data ⚠",I11="Check data ⚠"),"Check data ▲",E11*G11*I11*L11*N11*P11))," ")</f>
        <v xml:space="preserve"> </v>
      </c>
      <c r="S11" s="803" t="str">
        <f t="shared" si="2" ref="S11:S74">AU11</f>
        <v/>
      </c>
      <c r="T11" s="32"/>
      <c r="U11" s="52"/>
      <c r="V11" s="108"/>
      <c r="W11" s="287" t="str">
        <f t="shared" si="3" ref="W11:W74">IFERROR(IF(U11&gt;E11,"Error in Lengths ▲",U11*G11*I11*L11*N11*P11),"")</f>
        <v/>
      </c>
      <c r="X11" s="287" t="str">
        <f t="shared" si="4" ref="X11:X74">IFERROR(IF(D11="","",V11*G11*I11*L11*N11*P11),"")</f>
        <v/>
      </c>
      <c r="Y11" s="287" t="str">
        <f t="shared" si="5" ref="Y11:Y74">IFERROR(IF(D11="","",IF(E11&gt;(U11+V11),E11-U11-V11,0)),"")</f>
        <v/>
      </c>
      <c r="Z11" s="317" t="str">
        <f>IFERROR(IF(OR(E11="",R11=""),"",IF(AND(Q11='G-7 WaterC'' Data'!$G$4,AA11="Yes"),"Alternative Compensation ✓",IF(AND(AA11="Pending",Q11='G-7 WaterC'' Data'!$G$4),"Bespoke compensation must be agreed ▲",IF((W11+X11)&gt;=R11,0,R11-W11-X11)))),"Check Data ⚠")</f>
        <v/>
      </c>
      <c r="AA11" s="800"/>
      <c r="AB11" s="136"/>
      <c r="AC11" s="104"/>
      <c r="AD11" s="104"/>
      <c r="AE11" s="54" t="str">
        <f>IF(OR(Q11="",AA11="Yes"),"",IF(Q11='G-1 All Habitats'!$X$9,E11-U11-V11,"None"))</f>
        <v/>
      </c>
      <c r="AF11" s="55" t="str">
        <f>IF(Q11="","",IF(Q11='G-1 All Habitats'!$X$9,AE11*G11*I11*L11*N11*P11,"None"))</f>
        <v/>
      </c>
      <c r="AG11" s="447"/>
      <c r="AH11" s="447"/>
      <c r="AI11" s="447">
        <f>IFERROR(IF(U11+V11&gt;E11,1,0),"")</f>
        <v>0</v>
      </c>
      <c r="AJ11" s="778" t="str">
        <f t="shared" si="6" ref="AJ11:AJ74">IF(D11="","",IF(U11&gt;0,TRUE,FALSE))</f>
        <v/>
      </c>
      <c r="AK11" s="778" t="str">
        <f t="shared" si="7" ref="AK11:AK74">IF(D11="","",IF(V11&gt;0,TRUE,FALSE))</f>
        <v/>
      </c>
      <c r="AL11" s="447"/>
      <c r="AM11" s="778">
        <v>2</v>
      </c>
      <c r="AN11" s="447"/>
      <c r="AO11" s="778" t="str">
        <f t="array" ref="AO11">IFERROR(INDEX($AM$10:$AM$258,MATCH(0,IF(TRUE=$AJ$10:$AJ$258,COUNTIF($AO$9:$AO10,$AM$10:$AM$258),""),0)),"")</f>
        <v/>
      </c>
      <c r="AP11" s="778" t="str">
        <f t="array" ref="AP11">IFERROR(INDEX($AM$10:$AM$258,MATCH(0,IF(TRUE=$AK$10:$AK$258,COUNTIF($AP$9:$AP10,$AM$10:$AM$258),""),0)),"")</f>
        <v/>
      </c>
      <c r="AQ11" s="447"/>
      <c r="AR11" s="447" t="str">
        <f>IFERROR(INDEX('G-7 WaterC'' Data'!$AZ$3:$AZ$7,MATCH(D11,'G-7 WaterC'' Data'!$AY$3:$AY$7,0)),"")</f>
        <v/>
      </c>
      <c r="AS11" s="447" t="str">
        <f>IFERROR(INDEX('G-7 WaterC'' Data'!AZ11:AZ15,MATCH(D11,'G-7 WaterC'' Data'!$AY$10:$AY$14,0)),"")</f>
        <v/>
      </c>
      <c r="AT11" s="885" t="str">
        <f>IF(AND(OR(AA11="Yes",AA11="Pending"),Q11='G-7 WaterC'' Data'!$G$4),R11-W11-X11,"")</f>
        <v/>
      </c>
      <c r="AU11" s="447" t="str">
        <f>IF(D11="","",VLOOKUP(D11,'G-7 WaterC'' Data'!B$4:M$8,12,FALSE))</f>
        <v/>
      </c>
      <c r="AV11" s="30" t="str">
        <f t="shared" si="0"/>
        <v/>
      </c>
      <c r="AX11" s="30" t="str">
        <f t="shared" si="8" ref="AX11:AX74">IF(AND(D11="Ditches",(OR(H11="Fairly Poor",H11="Fairly Good"))),"Yes","No")</f>
        <v>No</v>
      </c>
    </row>
    <row r="12" spans="3:50" ht="14">
      <c r="C12" s="97">
        <v>3</v>
      </c>
      <c r="D12" s="260"/>
      <c r="E12" s="51"/>
      <c r="F12" s="275" t="str">
        <f>IF(D12="","",VLOOKUP(D12,'G-7 WaterC'' Data'!$B$2:$G$8,2,FALSE))</f>
        <v/>
      </c>
      <c r="G12" s="276" t="str">
        <f>IFERROR(VLOOKUP(F12,'G-7 WaterC'' Data'!$C$4:$D$8,2,FALSE),"")</f>
        <v/>
      </c>
      <c r="H12" s="52"/>
      <c r="I12" s="276" t="str">
        <f>IFERROR(INDEX('G-7 WaterC'' Data'!$H$4:$L$8,MATCH(D12,'G-7 WaterC'' Data'!$B$4:$B$8,0),MATCH(H12,'G-7 WaterC'' Data'!$H$3:$L$3,0)),"")</f>
        <v/>
      </c>
      <c r="J12" s="777"/>
      <c r="K12" s="311" t="str">
        <f>IF(J12="","",IF(VLOOKUP(J12,'G-7 WaterC'' Data'!$AK$4:$AM$6,2,FALSE)=0,"Spatial Data Missing ⚠",VLOOKUP(J12,'G-7 WaterC'' Data'!$AK$4:$AM$6,2,FALSE)))</f>
        <v/>
      </c>
      <c r="L12" s="281" t="str">
        <f>IF(J12="","",IF(VLOOKUP(J12,'G-7 WaterC'' Data'!$AK$4:$AM$9,3,FALSE)=0,"Spatial Data Missing ⚠",VLOOKUP(J12,'G-7 WaterC'' Data'!$AK$4:$AM$6,3,FALSE)))</f>
        <v/>
      </c>
      <c r="M12" s="52"/>
      <c r="N12" s="276" t="str">
        <f>IF(M12="","",IF(AND(D12&lt;&gt;"Culvert",M12="N/A - Culvert"),"Not possible ▲",IF(AND(D12="Culvert",M12&lt;&gt;"N/A - Culvert"),"Not possible ▲",IF(VLOOKUP(M12,'G-7 WaterC'' Data'!$AA$4:$AB$7,2,FALSE)=0,"Spatial Data Missing ⚠",VLOOKUP(M12,'G-7 WaterC'' Data'!$AA$4:$AB$7,2,FALSE)))))</f>
        <v/>
      </c>
      <c r="O12" s="56"/>
      <c r="P12" s="276" t="str">
        <f>IF(O12="","",IF(AND(O12="N/A - Culvert",D12&lt;&gt;"Culvert"),"Not possible ▲",IF(AND(D12="Culvert",O12&lt;&gt;"N/A - Culvert"),"Not possible ▲",IF(VLOOKUP(O12,'G-7 WaterC'' Data'!$AD$4:$AE$14,2,FALSE)=0,"Spatial Data Missing ⚠",VLOOKUP(O12,'G-7 WaterC'' Data'!$AD$4:$AE$14,2,FALSE)))))</f>
        <v/>
      </c>
      <c r="Q12" s="282" t="str">
        <f>IF(D12="","",VLOOKUP(D12,'G-7 WaterC'' Data'!$B$2:$G$8,6,FALSE))</f>
        <v/>
      </c>
      <c r="R12" s="289" t="str">
        <f t="shared" si="1"/>
        <v xml:space="preserve"> </v>
      </c>
      <c r="S12" s="803" t="str">
        <f t="shared" si="2"/>
        <v/>
      </c>
      <c r="T12" s="32"/>
      <c r="U12" s="52"/>
      <c r="V12" s="108"/>
      <c r="W12" s="287" t="str">
        <f t="shared" si="3"/>
        <v/>
      </c>
      <c r="X12" s="287" t="str">
        <f t="shared" si="4"/>
        <v/>
      </c>
      <c r="Y12" s="287" t="str">
        <f t="shared" si="5"/>
        <v/>
      </c>
      <c r="Z12" s="317" t="str">
        <f>IFERROR(IF(OR(E12="",R12=""),"",IF(AND(Q12='G-7 WaterC'' Data'!$G$4,AA12="Yes"),"Alternative Compensation ✓",IF(AND(AA12="Pending",Q12='G-7 WaterC'' Data'!$G$4),"Bespoke compensation must be agreed ▲",IF((W12+X12)&gt;=R12,0,R12-W12-X12)))),"Check Data ⚠")</f>
        <v/>
      </c>
      <c r="AA12" s="800"/>
      <c r="AB12" s="136"/>
      <c r="AC12" s="104"/>
      <c r="AD12" s="104"/>
      <c r="AE12" s="54" t="str">
        <f>IF(OR(Q12="",AA12="Yes"),"",IF(Q12='G-1 All Habitats'!$X$9,E12-U12-V12,"None"))</f>
        <v/>
      </c>
      <c r="AF12" s="55" t="str">
        <f>IF(Q12="","",IF(Q12='G-1 All Habitats'!$X$9,AE12*G12*I12*L12*N12*P12,"None"))</f>
        <v/>
      </c>
      <c r="AI12" s="30">
        <f t="shared" si="9" ref="AI12:AI74">IFERROR(IF(U12+V12&gt;E12,1,0),"")</f>
        <v>0</v>
      </c>
      <c r="AJ12" s="107" t="str">
        <f t="shared" si="6"/>
        <v/>
      </c>
      <c r="AK12" s="107" t="str">
        <f t="shared" si="7"/>
        <v/>
      </c>
      <c r="AM12" s="107">
        <v>3</v>
      </c>
      <c r="AO12" s="107" t="str">
        <f t="array" ref="AO12">IFERROR(INDEX($AM$10:$AM$258,MATCH(0,IF(TRUE=$AJ$10:$AJ$258,COUNTIF($AO$9:$AO11,$AM$10:$AM$258),""),0)),"")</f>
        <v/>
      </c>
      <c r="AP12" s="107" t="str">
        <f t="array" ref="AP12">IFERROR(INDEX($AM$10:$AM$258,MATCH(0,IF(TRUE=$AK$10:$AK$258,COUNTIF($AP$9:$AP11,$AM$10:$AM$258),""),0)),"")</f>
        <v/>
      </c>
      <c r="AR12" s="30" t="str">
        <f>IFERROR(INDEX('G-7 WaterC'' Data'!$AZ$3:$AZ$7,MATCH(D12,'G-7 WaterC'' Data'!$AY$3:$AY$7,0)),"")</f>
        <v/>
      </c>
      <c r="AS12" s="30" t="str">
        <f>IFERROR(INDEX('G-7 WaterC'' Data'!AZ12:AZ16,MATCH(D12,'G-7 WaterC'' Data'!$AY$10:$AY$14,0)),"")</f>
        <v/>
      </c>
      <c r="AT12" s="885" t="str">
        <f>IF(AND(OR(AA12="Yes",AA12="Pending"),Q12='G-7 WaterC'' Data'!$G$4),R12-W12-X12,"")</f>
        <v/>
      </c>
      <c r="AU12" s="30" t="str">
        <f>IF(D12="","",VLOOKUP(D12,'G-7 WaterC'' Data'!B$4:M$8,12,FALSE))</f>
        <v/>
      </c>
      <c r="AV12" s="30" t="str">
        <f t="shared" si="0"/>
        <v/>
      </c>
      <c r="AX12" s="30" t="str">
        <f t="shared" si="8"/>
        <v>No</v>
      </c>
    </row>
    <row r="13" spans="3:50" ht="14">
      <c r="C13" s="97">
        <v>4</v>
      </c>
      <c r="D13" s="260"/>
      <c r="E13" s="51"/>
      <c r="F13" s="275" t="str">
        <f>IF(D13="","",VLOOKUP(D13,'G-7 WaterC'' Data'!$B$2:$G$8,2,FALSE))</f>
        <v/>
      </c>
      <c r="G13" s="276" t="str">
        <f>IFERROR(VLOOKUP(F13,'G-7 WaterC'' Data'!$C$4:$D$8,2,FALSE),"")</f>
        <v/>
      </c>
      <c r="H13" s="52"/>
      <c r="I13" s="276" t="str">
        <f>IFERROR(INDEX('G-7 WaterC'' Data'!$H$4:$L$8,MATCH(D13,'G-7 WaterC'' Data'!$B$4:$B$8,0),MATCH(H13,'G-7 WaterC'' Data'!$H$3:$L$3,0)),"")</f>
        <v/>
      </c>
      <c r="J13" s="777"/>
      <c r="K13" s="311" t="str">
        <f>IF(J13="","",IF(VLOOKUP(J13,'G-7 WaterC'' Data'!$AK$4:$AM$6,2,FALSE)=0,"Spatial Data Missing ⚠",VLOOKUP(J13,'G-7 WaterC'' Data'!$AK$4:$AM$6,2,FALSE)))</f>
        <v/>
      </c>
      <c r="L13" s="281" t="str">
        <f>IF(J13="","",IF(VLOOKUP(J13,'G-7 WaterC'' Data'!$AK$4:$AM$9,3,FALSE)=0,"Spatial Data Missing ⚠",VLOOKUP(J13,'G-7 WaterC'' Data'!$AK$4:$AM$6,3,FALSE)))</f>
        <v/>
      </c>
      <c r="M13" s="52"/>
      <c r="N13" s="276" t="str">
        <f>IF(M13="","",IF(AND(D13&lt;&gt;"Culvert",M13="N/A - Culvert"),"Not possible ▲",IF(AND(D13="Culvert",M13&lt;&gt;"N/A - Culvert"),"Not possible ▲",IF(VLOOKUP(M13,'G-7 WaterC'' Data'!$AA$4:$AB$7,2,FALSE)=0,"Spatial Data Missing ⚠",VLOOKUP(M13,'G-7 WaterC'' Data'!$AA$4:$AB$7,2,FALSE)))))</f>
        <v/>
      </c>
      <c r="O13" s="56"/>
      <c r="P13" s="276" t="str">
        <f>IF(O13="","",IF(AND(O13="N/A - Culvert",D13&lt;&gt;"Culvert"),"Not possible ▲",IF(AND(D13="Culvert",O13&lt;&gt;"N/A - Culvert"),"Not possible ▲",IF(VLOOKUP(O13,'G-7 WaterC'' Data'!$AD$4:$AE$14,2,FALSE)=0,"Spatial Data Missing ⚠",VLOOKUP(O13,'G-7 WaterC'' Data'!$AD$4:$AE$14,2,FALSE)))))</f>
        <v/>
      </c>
      <c r="Q13" s="282" t="str">
        <f>IF(D13="","",VLOOKUP(D13,'G-7 WaterC'' Data'!$B$2:$G$8,6,FALSE))</f>
        <v/>
      </c>
      <c r="R13" s="289" t="str">
        <f t="shared" si="1"/>
        <v xml:space="preserve"> </v>
      </c>
      <c r="S13" s="803" t="str">
        <f t="shared" si="2"/>
        <v/>
      </c>
      <c r="T13" s="32"/>
      <c r="U13" s="52"/>
      <c r="V13" s="108"/>
      <c r="W13" s="287" t="str">
        <f t="shared" si="3"/>
        <v/>
      </c>
      <c r="X13" s="287" t="str">
        <f>IFERROR(IF(D13="","",V13*G13*I13*L13*N13*P13),"")</f>
        <v/>
      </c>
      <c r="Y13" s="287" t="str">
        <f>IFERROR(IF(D13="","",IF(E13&gt;(U13+V13),E13-U13-V13,0)),"")</f>
        <v/>
      </c>
      <c r="Z13" s="317" t="str">
        <f>IFERROR(IF(OR(E13="",R13=""),"",IF(AND(Q13='G-7 WaterC'' Data'!$G$4,AA13="Yes"),"Alternative Compensation ✓",IF(AND(AA13="Pending",Q13='G-7 WaterC'' Data'!$G$4),"Bespoke compensation must be agreed ▲",IF((W13+X13)&gt;=R13,0,R13-W13-X13)))),"Check Data ⚠")</f>
        <v/>
      </c>
      <c r="AA13" s="800"/>
      <c r="AB13" s="136"/>
      <c r="AC13" s="104"/>
      <c r="AD13" s="104"/>
      <c r="AE13" s="54" t="str">
        <f>IF(OR(Q13="",AA13="Yes"),"",IF(Q13='G-1 All Habitats'!$X$9,E13-U13-V13,"None"))</f>
        <v/>
      </c>
      <c r="AF13" s="55" t="str">
        <f>IF(Q13="","",IF(Q13='G-1 All Habitats'!$X$9,AE13*G13*I13*L13*N13*P13,"None"))</f>
        <v/>
      </c>
      <c r="AI13" s="30">
        <f>IFERROR(IF(U13+V13&gt;E13,1,0),"")</f>
        <v>0</v>
      </c>
      <c r="AJ13" s="107" t="str">
        <f t="shared" si="6"/>
        <v/>
      </c>
      <c r="AK13" s="107" t="str">
        <f>IF(D13="","",IF(V13&gt;0,TRUE,FALSE))</f>
        <v/>
      </c>
      <c r="AM13" s="107">
        <v>4</v>
      </c>
      <c r="AO13" s="107" t="str">
        <f t="array" ref="AO13">IFERROR(INDEX($AM$10:$AM$258,MATCH(0,IF(TRUE=$AJ$10:$AJ$258,COUNTIF($AO$9:$AO12,$AM$10:$AM$258),""),0)),"")</f>
        <v/>
      </c>
      <c r="AP13" s="107" t="str">
        <f t="array" ref="AP13">IFERROR(INDEX($AM$10:$AM$258,MATCH(0,IF(TRUE=$AK$10:$AK$258,COUNTIF($AP$9:$AP12,$AM$10:$AM$258),""),0)),"")</f>
        <v/>
      </c>
      <c r="AR13" s="30" t="str">
        <f>IFERROR(INDEX('G-7 WaterC'' Data'!$AZ$3:$AZ$7,MATCH(D13,'G-7 WaterC'' Data'!$AY$3:$AY$7,0)),"")</f>
        <v/>
      </c>
      <c r="AS13" s="30" t="str">
        <f>IFERROR(INDEX('G-7 WaterC'' Data'!AZ13:AZ17,MATCH(D13,'G-7 WaterC'' Data'!$AY$10:$AY$14,0)),"")</f>
        <v/>
      </c>
      <c r="AT13" s="885" t="str">
        <f>IF(AND(OR(AA13="Yes",AA13="Pending"),Q13='G-7 WaterC'' Data'!$G$4),R13-W13-X13,"")</f>
        <v/>
      </c>
      <c r="AU13" s="30" t="str">
        <f>IF(D13="","",VLOOKUP(D13,'G-7 WaterC'' Data'!B$4:M$8,12,FALSE))</f>
        <v/>
      </c>
      <c r="AV13" s="30" t="str">
        <f t="shared" si="0"/>
        <v/>
      </c>
      <c r="AX13" s="30" t="str">
        <f t="shared" si="8"/>
        <v>No</v>
      </c>
    </row>
    <row r="14" spans="3:50" ht="14">
      <c r="C14" s="97">
        <v>5</v>
      </c>
      <c r="D14" s="260"/>
      <c r="E14" s="115"/>
      <c r="F14" s="275" t="str">
        <f>IF(D14="","",VLOOKUP(D14,'G-7 WaterC'' Data'!$B$2:$G$8,2,FALSE))</f>
        <v/>
      </c>
      <c r="G14" s="276" t="str">
        <f>IFERROR(VLOOKUP(F14,'G-7 WaterC'' Data'!$C$4:$D$8,2,FALSE),"")</f>
        <v/>
      </c>
      <c r="H14" s="52"/>
      <c r="I14" s="276" t="str">
        <f>IFERROR(INDEX('G-7 WaterC'' Data'!$H$4:$L$8,MATCH(D14,'G-7 WaterC'' Data'!$B$4:$B$8,0),MATCH(H14,'G-7 WaterC'' Data'!$H$3:$L$3,0)),"")</f>
        <v/>
      </c>
      <c r="J14" s="777"/>
      <c r="K14" s="311" t="str">
        <f>IF(J14="","",IF(VLOOKUP(J14,'G-7 WaterC'' Data'!$AK$4:$AM$6,2,FALSE)=0,"Spatial Data Missing ⚠",VLOOKUP(J14,'G-7 WaterC'' Data'!$AK$4:$AM$6,2,FALSE)))</f>
        <v/>
      </c>
      <c r="L14" s="281" t="str">
        <f>IF(J14="","",IF(VLOOKUP(J14,'G-7 WaterC'' Data'!$AK$4:$AM$9,3,FALSE)=0,"Spatial Data Missing ⚠",VLOOKUP(J14,'G-7 WaterC'' Data'!$AK$4:$AM$6,3,FALSE)))</f>
        <v/>
      </c>
      <c r="M14" s="52"/>
      <c r="N14" s="276" t="str">
        <f>IF(M14="","",IF(AND(D14&lt;&gt;"Culvert",M14="N/A - Culvert"),"Not possible ▲",IF(AND(D14="Culvert",M14&lt;&gt;"N/A - Culvert"),"Not possible ▲",IF(VLOOKUP(M14,'G-7 WaterC'' Data'!$AA$4:$AB$7,2,FALSE)=0,"Spatial Data Missing ⚠",VLOOKUP(M14,'G-7 WaterC'' Data'!$AA$4:$AB$7,2,FALSE)))))</f>
        <v/>
      </c>
      <c r="O14" s="56"/>
      <c r="P14" s="276" t="str">
        <f>IF(O14="","",IF(AND(O14="N/A - Culvert",D14&lt;&gt;"Culvert"),"Not possible ▲",IF(AND(D14="Culvert",O14&lt;&gt;"N/A - Culvert"),"Not possible ▲",IF(VLOOKUP(O14,'G-7 WaterC'' Data'!$AD$4:$AE$14,2,FALSE)=0,"Spatial Data Missing ⚠",VLOOKUP(O14,'G-7 WaterC'' Data'!$AD$4:$AE$14,2,FALSE)))))</f>
        <v/>
      </c>
      <c r="Q14" s="282" t="str">
        <f>IF(D14="","",VLOOKUP(D14,'G-7 WaterC'' Data'!$B$2:$G$8,6,FALSE))</f>
        <v/>
      </c>
      <c r="R14" s="289" t="str">
        <f t="shared" si="1"/>
        <v xml:space="preserve"> </v>
      </c>
      <c r="S14" s="803" t="str">
        <f t="shared" si="2"/>
        <v/>
      </c>
      <c r="T14" s="32"/>
      <c r="U14" s="52"/>
      <c r="V14" s="108"/>
      <c r="W14" s="287" t="str">
        <f t="shared" si="3"/>
        <v/>
      </c>
      <c r="X14" s="287" t="str">
        <f t="shared" si="4"/>
        <v/>
      </c>
      <c r="Y14" s="287" t="str">
        <f t="shared" si="5"/>
        <v/>
      </c>
      <c r="Z14" s="317" t="str">
        <f>IFERROR(IF(OR(E14="",R14=""),"",IF(AND(Q14='G-7 WaterC'' Data'!$G$4,AA14="Yes"),"Alternative Compensation ✓",IF(AND(AA14="Pending",Q14='G-7 WaterC'' Data'!$G$4),"Bespoke compensation must be agreed ▲",IF((W14+X14)&gt;=R14,0,R14-W14-X14)))),"Check Data ⚠")</f>
        <v/>
      </c>
      <c r="AA14" s="800"/>
      <c r="AB14" s="136"/>
      <c r="AC14" s="104"/>
      <c r="AD14" s="104"/>
      <c r="AE14" s="54" t="str">
        <f>IF(OR(Q14="",AA14="Yes"),"",IF(Q14='G-1 All Habitats'!$X$9,E14-U14-V14,"None"))</f>
        <v/>
      </c>
      <c r="AF14" s="55" t="str">
        <f>IF(Q14="","",IF(Q14='G-1 All Habitats'!$X$9,AE14*G14*I14*L14*N14*P14,"None"))</f>
        <v/>
      </c>
      <c r="AI14" s="30">
        <f t="shared" si="9"/>
        <v>0</v>
      </c>
      <c r="AJ14" s="107" t="str">
        <f t="shared" si="6"/>
        <v/>
      </c>
      <c r="AK14" s="107" t="str">
        <f t="shared" si="7"/>
        <v/>
      </c>
      <c r="AM14" s="107">
        <v>5</v>
      </c>
      <c r="AO14" s="107" t="str">
        <f t="array" ref="AO14">IFERROR(INDEX($AM$10:$AM$258,MATCH(0,IF(TRUE=$AJ$10:$AJ$258,COUNTIF($AO$9:$AO13,$AM$10:$AM$258),""),0)),"")</f>
        <v/>
      </c>
      <c r="AP14" s="107" t="str">
        <f t="array" ref="AP14">IFERROR(INDEX($AM$10:$AM$258,MATCH(0,IF(TRUE=$AK$10:$AK$258,COUNTIF($AP$9:$AP13,$AM$10:$AM$258),""),0)),"")</f>
        <v/>
      </c>
      <c r="AR14" s="30" t="str">
        <f>IFERROR(INDEX('G-7 WaterC'' Data'!$AZ$3:$AZ$7,MATCH(D14,'G-7 WaterC'' Data'!$AY$3:$AY$7,0)),"")</f>
        <v/>
      </c>
      <c r="AS14" s="30" t="str">
        <f>IFERROR(INDEX('G-7 WaterC'' Data'!AZ14:AZ18,MATCH(D14,'G-7 WaterC'' Data'!$AY$10:$AY$14,0)),"")</f>
        <v/>
      </c>
      <c r="AT14" s="885" t="str">
        <f>IF(AND(OR(AA14="Yes",AA14="Pending"),Q14='G-7 WaterC'' Data'!$G$4),R14-W14-X14,"")</f>
        <v/>
      </c>
      <c r="AU14" s="30" t="str">
        <f>IF(D14="","",VLOOKUP(D14,'G-7 WaterC'' Data'!B$4:M$8,12,FALSE))</f>
        <v/>
      </c>
      <c r="AV14" s="30" t="str">
        <f t="shared" si="0"/>
        <v/>
      </c>
      <c r="AX14" s="30" t="str">
        <f t="shared" si="8"/>
        <v>No</v>
      </c>
    </row>
    <row r="15" spans="3:50" ht="14.5">
      <c r="C15" s="97">
        <v>6</v>
      </c>
      <c r="D15" s="260"/>
      <c r="E15" s="115"/>
      <c r="F15" s="275" t="str">
        <f>IF(D15="","",VLOOKUP(D15,'G-7 WaterC'' Data'!$B$2:$G$8,2,FALSE))</f>
        <v/>
      </c>
      <c r="G15" s="276" t="str">
        <f>IFERROR(VLOOKUP(F15,'G-7 WaterC'' Data'!$C$4:$D$8,2,FALSE),"")</f>
        <v/>
      </c>
      <c r="H15" s="52"/>
      <c r="I15" s="276" t="str">
        <f>IFERROR(INDEX('G-7 WaterC'' Data'!$H$4:$L$8,MATCH(D15,'G-7 WaterC'' Data'!$B$4:$B$8,0),MATCH(H15,'G-7 WaterC'' Data'!$H$3:$L$3,0)),"")</f>
        <v/>
      </c>
      <c r="J15" s="777"/>
      <c r="K15" s="311" t="str">
        <f>IF(J15="","",IF(VLOOKUP(J15,'G-7 WaterC'' Data'!$AK$4:$AM$6,2,FALSE)=0,"Spatial Data Missing ⚠",VLOOKUP(J15,'G-7 WaterC'' Data'!$AK$4:$AM$6,2,FALSE)))</f>
        <v/>
      </c>
      <c r="L15" s="281" t="str">
        <f>IF(J15="","",IF(VLOOKUP(J15,'G-7 WaterC'' Data'!$AK$4:$AM$9,3,FALSE)=0,"Spatial Data Missing ⚠",VLOOKUP(J15,'G-7 WaterC'' Data'!$AK$4:$AM$6,3,FALSE)))</f>
        <v/>
      </c>
      <c r="M15" s="52"/>
      <c r="N15" s="276" t="str">
        <f>IF(M15="","",IF(AND(D15&lt;&gt;"Culvert",M15="N/A - Culvert"),"Not possible ▲",IF(AND(D15="Culvert",M15&lt;&gt;"N/A - Culvert"),"Not possible ▲",IF(VLOOKUP(M15,'G-7 WaterC'' Data'!$AA$4:$AB$7,2,FALSE)=0,"Spatial Data Missing ⚠",VLOOKUP(M15,'G-7 WaterC'' Data'!$AA$4:$AB$7,2,FALSE)))))</f>
        <v/>
      </c>
      <c r="O15" s="56"/>
      <c r="P15" s="276" t="str">
        <f>IF(O15="","",IF(AND(O15="N/A - Culvert",D15&lt;&gt;"Culvert"),"Not possible ▲",IF(AND(D15="Culvert",O15&lt;&gt;"N/A - Culvert"),"Not possible ▲",IF(VLOOKUP(O15,'G-7 WaterC'' Data'!$AD$4:$AE$14,2,FALSE)=0,"Spatial Data Missing ⚠",VLOOKUP(O15,'G-7 WaterC'' Data'!$AD$4:$AE$14,2,FALSE)))))</f>
        <v/>
      </c>
      <c r="Q15" s="282" t="str">
        <f>IF(D15="","",VLOOKUP(D15,'G-7 WaterC'' Data'!$B$2:$G$8,6,FALSE))</f>
        <v/>
      </c>
      <c r="R15" s="289" t="str">
        <f t="shared" si="1"/>
        <v xml:space="preserve"> </v>
      </c>
      <c r="S15" s="803" t="str">
        <f t="shared" si="2"/>
        <v/>
      </c>
      <c r="T15" s="32"/>
      <c r="U15" s="101"/>
      <c r="V15" s="108"/>
      <c r="W15" s="287" t="str">
        <f t="shared" si="3"/>
        <v/>
      </c>
      <c r="X15" s="287" t="str">
        <f t="shared" si="4"/>
        <v/>
      </c>
      <c r="Y15" s="287" t="str">
        <f t="shared" si="5"/>
        <v/>
      </c>
      <c r="Z15" s="317" t="str">
        <f>IFERROR(IF(OR(E15="",R15=""),"",IF(AND(Q15='G-7 WaterC'' Data'!$G$4,AA15="Yes"),"Alternative Compensation ✓",IF(AND(AA15="Pending",Q15='G-7 WaterC'' Data'!$G$4),"Bespoke compensation must be agreed ▲",IF((W15+X15)&gt;=R15,0,R15-W15-X15)))),"Check Data ⚠")</f>
        <v/>
      </c>
      <c r="AA15" s="800"/>
      <c r="AB15" s="136"/>
      <c r="AC15" s="104"/>
      <c r="AD15" s="104"/>
      <c r="AE15" s="54" t="str">
        <f>IF(OR(Q15="",AA15="Yes"),"",IF(Q15='G-1 All Habitats'!$X$9,E15-U15-V15,"None"))</f>
        <v/>
      </c>
      <c r="AF15" s="55" t="str">
        <f>IF(Q15="","",IF(Q15='G-1 All Habitats'!$X$9,AE15*G15*I15*L15*N15*P15,"None"))</f>
        <v/>
      </c>
      <c r="AI15" s="30">
        <f t="shared" si="9"/>
        <v>0</v>
      </c>
      <c r="AJ15" s="107" t="str">
        <f t="shared" si="6"/>
        <v/>
      </c>
      <c r="AK15" s="107" t="str">
        <f t="shared" si="7"/>
        <v/>
      </c>
      <c r="AM15" s="107">
        <v>6</v>
      </c>
      <c r="AO15" s="107" t="str">
        <f t="array" ref="AO15">IFERROR(INDEX($AM$10:$AM$258,MATCH(0,IF(TRUE=$AJ$10:$AJ$258,COUNTIF($AO$9:$AO14,$AM$10:$AM$258),""),0)),"")</f>
        <v/>
      </c>
      <c r="AP15" s="107" t="str">
        <f t="array" ref="AP15">IFERROR(INDEX($AM$10:$AM$258,MATCH(0,IF(TRUE=$AK$10:$AK$258,COUNTIF($AP$9:$AP14,$AM$10:$AM$258),""),0)),"")</f>
        <v/>
      </c>
      <c r="AR15" s="30" t="str">
        <f>IFERROR(INDEX('G-7 WaterC'' Data'!$AZ$3:$AZ$7,MATCH(D15,'G-7 WaterC'' Data'!$AY$3:$AY$7,0)),"")</f>
        <v/>
      </c>
      <c r="AS15" s="30" t="str">
        <f>IFERROR(INDEX('G-7 WaterC'' Data'!AZ15:AZ19,MATCH(D15,'G-7 WaterC'' Data'!$AY$10:$AY$14,0)),"")</f>
        <v/>
      </c>
      <c r="AT15" s="885" t="str">
        <f>IF(AND(OR(AA15="Yes",AA15="Pending"),Q15='G-7 WaterC'' Data'!$G$4),R15-W15-X15,"")</f>
        <v/>
      </c>
      <c r="AU15" s="30" t="str">
        <f>IF(D15="","",VLOOKUP(D15,'G-7 WaterC'' Data'!B$4:M$8,12,FALSE))</f>
        <v/>
      </c>
      <c r="AV15" s="30" t="str">
        <f t="shared" si="0"/>
        <v/>
      </c>
      <c r="AX15" s="30" t="str">
        <f t="shared" si="8"/>
        <v>No</v>
      </c>
    </row>
    <row r="16" spans="3:50" ht="14" hidden="1">
      <c r="C16" s="97">
        <v>7</v>
      </c>
      <c r="D16" s="260"/>
      <c r="E16" s="115"/>
      <c r="F16" s="275" t="str">
        <f>IF(D16="","",VLOOKUP(D16,'G-7 WaterC'' Data'!$B$2:$G$8,2,FALSE))</f>
        <v/>
      </c>
      <c r="G16" s="276" t="str">
        <f>IFERROR(VLOOKUP(F16,'G-7 WaterC'' Data'!$C$4:$D$8,2,FALSE),"")</f>
        <v/>
      </c>
      <c r="H16" s="52"/>
      <c r="I16" s="276" t="str">
        <f>IFERROR(INDEX('G-7 WaterC'' Data'!$H$4:$L$8,MATCH(D16,'G-7 WaterC'' Data'!$B$4:$B$8,0),MATCH(H16,'G-7 WaterC'' Data'!$H$3:$L$3,0)),"")</f>
        <v/>
      </c>
      <c r="J16" s="777"/>
      <c r="K16" s="311" t="str">
        <f>IF(J16="","",IF(VLOOKUP(J16,'G-7 WaterC'' Data'!$AK$4:$AM$6,2,FALSE)=0,"Spatial Data Missing ⚠",VLOOKUP(J16,'G-7 WaterC'' Data'!$AK$4:$AM$6,2,FALSE)))</f>
        <v/>
      </c>
      <c r="L16" s="281" t="str">
        <f>IF(J16="","",IF(VLOOKUP(J16,'G-7 WaterC'' Data'!$AK$4:$AM$9,3,FALSE)=0,"Spatial Data Missing ⚠",VLOOKUP(J16,'G-7 WaterC'' Data'!$AK$4:$AM$6,3,FALSE)))</f>
        <v/>
      </c>
      <c r="M16" s="52"/>
      <c r="N16" s="276" t="str">
        <f>IF(M16="","",IF(AND(D16&lt;&gt;"Culvert",M16="N/A - Culvert"),"Not possible ▲",IF(AND(D16="Culvert",M16&lt;&gt;"N/A - Culvert"),"Not possible ▲",IF(VLOOKUP(M16,'G-7 WaterC'' Data'!$AA$4:$AB$7,2,FALSE)=0,"Spatial Data Missing ⚠",VLOOKUP(M16,'G-7 WaterC'' Data'!$AA$4:$AB$7,2,FALSE)))))</f>
        <v/>
      </c>
      <c r="O16" s="56"/>
      <c r="P16" s="276" t="str">
        <f>IF(O16="","",IF(AND(O16="N/A - Culvert",D16&lt;&gt;"Culvert"),"Not possible ▲",IF(AND(D16="Culvert",O16&lt;&gt;"N/A - Culvert"),"Not possible ▲",IF(VLOOKUP(O16,'G-7 WaterC'' Data'!$AD$4:$AE$14,2,FALSE)=0,"Spatial Data Missing ⚠",VLOOKUP(O16,'G-7 WaterC'' Data'!$AD$4:$AE$14,2,FALSE)))))</f>
        <v/>
      </c>
      <c r="Q16" s="282" t="str">
        <f>IF(D16="","",VLOOKUP(D16,'G-7 WaterC'' Data'!$B$2:$G$8,6,FALSE))</f>
        <v/>
      </c>
      <c r="R16" s="289" t="str">
        <f t="shared" si="1"/>
        <v xml:space="preserve"> </v>
      </c>
      <c r="S16" s="803" t="str">
        <f t="shared" si="2"/>
        <v/>
      </c>
      <c r="T16" s="32"/>
      <c r="U16" s="101"/>
      <c r="V16" s="108"/>
      <c r="W16" s="287" t="str">
        <f t="shared" si="3"/>
        <v/>
      </c>
      <c r="X16" s="287" t="str">
        <f t="shared" si="4"/>
        <v/>
      </c>
      <c r="Y16" s="287" t="str">
        <f t="shared" si="5"/>
        <v/>
      </c>
      <c r="Z16" s="317" t="str">
        <f>IFERROR(IF(OR(E16="",R16=""),"",IF(AND(Q16='G-7 WaterC'' Data'!$G$4,AA16="Yes"),"Alternative Compensation ✓",IF(AND(AA16="Pending",Q16='G-7 WaterC'' Data'!$G$4),"Bespoke compensation must be agreed ▲",IF((W16+X16)&gt;=R16,0,R16-W16-X16)))),"Check Data ⚠")</f>
        <v/>
      </c>
      <c r="AA16" s="800"/>
      <c r="AB16" s="136"/>
      <c r="AC16" s="104"/>
      <c r="AD16" s="104"/>
      <c r="AE16" s="54" t="str">
        <f>IF(OR(Q16="",AA16="Yes"),"",IF(Q16='G-1 All Habitats'!$X$9,E16-U16-V16,"None"))</f>
        <v/>
      </c>
      <c r="AF16" s="55" t="str">
        <f>IF(Q16="","",IF(Q16='G-1 All Habitats'!$X$9,AE16*G16*I16*L16*N16*P16,"None"))</f>
        <v/>
      </c>
      <c r="AI16" s="30">
        <f t="shared" si="9"/>
        <v>0</v>
      </c>
      <c r="AJ16" s="107" t="str">
        <f t="shared" si="6"/>
        <v/>
      </c>
      <c r="AK16" s="107" t="str">
        <f t="shared" si="7"/>
        <v/>
      </c>
      <c r="AM16" s="107">
        <v>7</v>
      </c>
      <c r="AO16" s="107" t="str">
        <f t="array" ref="AO16">IFERROR(INDEX($AM$10:$AM$258,MATCH(0,IF(TRUE=$AJ$10:$AJ$258,COUNTIF($AO$9:$AO15,$AM$10:$AM$258),""),0)),"")</f>
        <v/>
      </c>
      <c r="AP16" s="107" t="str">
        <f t="array" ref="AP16">IFERROR(INDEX($AM$10:$AM$258,MATCH(0,IF(TRUE=$AK$10:$AK$258,COUNTIF($AP$9:$AP15,$AM$10:$AM$258),""),0)),"")</f>
        <v/>
      </c>
      <c r="AR16" s="30" t="str">
        <f>IFERROR(INDEX('G-7 WaterC'' Data'!$AZ$3:$AZ$7,MATCH(D16,'G-7 WaterC'' Data'!$AY$3:$AY$7,0)),"")</f>
        <v/>
      </c>
      <c r="AS16" s="30" t="str">
        <f>IFERROR(INDEX('G-7 WaterC'' Data'!AZ16:AZ20,MATCH(D16,'G-7 WaterC'' Data'!$AY$10:$AY$14,0)),"")</f>
        <v/>
      </c>
      <c r="AT16" s="885" t="str">
        <f>IF(AND(OR(AA16="Yes",AA16="Pending"),Q16='G-7 WaterC'' Data'!$G$4),R16-W16-X16,"")</f>
        <v/>
      </c>
      <c r="AU16" s="30" t="str">
        <f>IF(D16="","",VLOOKUP(D16,'G-7 WaterC'' Data'!B$4:M$8,12,FALSE))</f>
        <v/>
      </c>
      <c r="AV16" s="30" t="str">
        <f t="shared" si="0"/>
        <v/>
      </c>
      <c r="AX16" s="30" t="str">
        <f t="shared" si="8"/>
        <v>No</v>
      </c>
    </row>
    <row r="17" spans="3:50" ht="14" hidden="1">
      <c r="C17" s="97">
        <v>8</v>
      </c>
      <c r="D17" s="260"/>
      <c r="E17" s="115"/>
      <c r="F17" s="275" t="str">
        <f>IF(D17="","",VLOOKUP(D17,'G-7 WaterC'' Data'!$B$2:$G$8,2,FALSE))</f>
        <v/>
      </c>
      <c r="G17" s="276" t="str">
        <f>IFERROR(VLOOKUP(F17,'G-7 WaterC'' Data'!$C$4:$D$8,2,FALSE),"")</f>
        <v/>
      </c>
      <c r="H17" s="52"/>
      <c r="I17" s="276" t="str">
        <f>IFERROR(INDEX('G-7 WaterC'' Data'!$H$4:$L$8,MATCH(D17,'G-7 WaterC'' Data'!$B$4:$B$8,0),MATCH(H17,'G-7 WaterC'' Data'!$H$3:$L$3,0)),"")</f>
        <v/>
      </c>
      <c r="J17" s="777"/>
      <c r="K17" s="311" t="str">
        <f>IF(J17="","",IF(VLOOKUP(J17,'G-7 WaterC'' Data'!$AK$4:$AM$6,2,FALSE)=0,"Spatial Data Missing ⚠",VLOOKUP(J17,'G-7 WaterC'' Data'!$AK$4:$AM$6,2,FALSE)))</f>
        <v/>
      </c>
      <c r="L17" s="281" t="str">
        <f>IF(J17="","",IF(VLOOKUP(J17,'G-7 WaterC'' Data'!$AK$4:$AM$9,3,FALSE)=0,"Spatial Data Missing ⚠",VLOOKUP(J17,'G-7 WaterC'' Data'!$AK$4:$AM$6,3,FALSE)))</f>
        <v/>
      </c>
      <c r="M17" s="52"/>
      <c r="N17" s="276" t="str">
        <f>IF(M17="","",IF(AND(D17&lt;&gt;"Culvert",M17="N/A - Culvert"),"Not possible ▲",IF(AND(D17="Culvert",M17&lt;&gt;"N/A - Culvert"),"Not possible ▲",IF(VLOOKUP(M17,'G-7 WaterC'' Data'!$AA$4:$AB$7,2,FALSE)=0,"Spatial Data Missing ⚠",VLOOKUP(M17,'G-7 WaterC'' Data'!$AA$4:$AB$7,2,FALSE)))))</f>
        <v/>
      </c>
      <c r="O17" s="56"/>
      <c r="P17" s="276" t="str">
        <f>IF(O17="","",IF(AND(O17="N/A - Culvert",D17&lt;&gt;"Culvert"),"Not possible ▲",IF(AND(D17="Culvert",O17&lt;&gt;"N/A - Culvert"),"Not possible ▲",IF(VLOOKUP(O17,'G-7 WaterC'' Data'!$AD$4:$AE$14,2,FALSE)=0,"Spatial Data Missing ⚠",VLOOKUP(O17,'G-7 WaterC'' Data'!$AD$4:$AE$14,2,FALSE)))))</f>
        <v/>
      </c>
      <c r="Q17" s="282" t="str">
        <f>IF(D17="","",VLOOKUP(D17,'G-7 WaterC'' Data'!$B$2:$G$8,6,FALSE))</f>
        <v/>
      </c>
      <c r="R17" s="289" t="str">
        <f t="shared" si="1"/>
        <v xml:space="preserve"> </v>
      </c>
      <c r="S17" s="803" t="str">
        <f t="shared" si="2"/>
        <v/>
      </c>
      <c r="T17" s="32"/>
      <c r="U17" s="101"/>
      <c r="V17" s="108"/>
      <c r="W17" s="287" t="str">
        <f t="shared" si="3"/>
        <v/>
      </c>
      <c r="X17" s="287" t="str">
        <f t="shared" si="4"/>
        <v/>
      </c>
      <c r="Y17" s="287" t="str">
        <f t="shared" si="5"/>
        <v/>
      </c>
      <c r="Z17" s="317" t="str">
        <f>IFERROR(IF(OR(E17="",R17=""),"",IF(AND(Q17='G-7 WaterC'' Data'!$G$4,AA17="Yes"),"Alternative Compensation ✓",IF(AND(AA17="Pending",Q17='G-7 WaterC'' Data'!$G$4),"Bespoke compensation must be agreed ▲",IF((W17+X17)&gt;=R17,0,R17-W17-X17)))),"Check Data ⚠")</f>
        <v/>
      </c>
      <c r="AA17" s="800"/>
      <c r="AB17" s="136"/>
      <c r="AC17" s="104"/>
      <c r="AD17" s="104"/>
      <c r="AE17" s="54" t="str">
        <f>IF(OR(Q17="",AA17="Yes"),"",IF(Q17='G-1 All Habitats'!$X$9,E17-U17-V17,"None"))</f>
        <v/>
      </c>
      <c r="AF17" s="55" t="str">
        <f>IF(Q17="","",IF(Q17='G-1 All Habitats'!$X$9,AE17*G17*I17*L17*N17*P17,"None"))</f>
        <v/>
      </c>
      <c r="AI17" s="30">
        <f t="shared" si="9"/>
        <v>0</v>
      </c>
      <c r="AJ17" s="107" t="str">
        <f t="shared" si="6"/>
        <v/>
      </c>
      <c r="AK17" s="107" t="str">
        <f t="shared" si="7"/>
        <v/>
      </c>
      <c r="AM17" s="107">
        <v>8</v>
      </c>
      <c r="AO17" s="107" t="str">
        <f t="array" ref="AO17">IFERROR(INDEX($AM$10:$AM$258,MATCH(0,IF(TRUE=$AJ$10:$AJ$258,COUNTIF($AO$9:$AO16,$AM$10:$AM$258),""),0)),"")</f>
        <v/>
      </c>
      <c r="AP17" s="107" t="str">
        <f t="array" ref="AP17">IFERROR(INDEX($AM$10:$AM$258,MATCH(0,IF(TRUE=$AK$10:$AK$258,COUNTIF($AP$9:$AP16,$AM$10:$AM$258),""),0)),"")</f>
        <v/>
      </c>
      <c r="AR17" s="30" t="str">
        <f>IFERROR(INDEX('G-7 WaterC'' Data'!$AZ$3:$AZ$7,MATCH(D17,'G-7 WaterC'' Data'!$AY$3:$AY$7,0)),"")</f>
        <v/>
      </c>
      <c r="AS17" s="30" t="str">
        <f>IFERROR(INDEX('G-7 WaterC'' Data'!AZ17:AZ21,MATCH(D17,'G-7 WaterC'' Data'!$AY$10:$AY$14,0)),"")</f>
        <v/>
      </c>
      <c r="AT17" s="885" t="str">
        <f>IF(AND(OR(AA17="Yes",AA17="Pending"),Q17='G-7 WaterC'' Data'!$G$4),R17-W17-X17,"")</f>
        <v/>
      </c>
      <c r="AU17" s="30" t="str">
        <f>IF(D17="","",VLOOKUP(D17,'G-7 WaterC'' Data'!B$4:M$8,12,FALSE))</f>
        <v/>
      </c>
      <c r="AV17" s="30" t="str">
        <f t="shared" si="0"/>
        <v/>
      </c>
      <c r="AX17" s="30" t="str">
        <f t="shared" si="8"/>
        <v>No</v>
      </c>
    </row>
    <row r="18" spans="3:50" ht="14" hidden="1">
      <c r="C18" s="97">
        <v>9</v>
      </c>
      <c r="D18" s="260"/>
      <c r="E18" s="115"/>
      <c r="F18" s="275" t="str">
        <f>IF(D18="","",VLOOKUP(D18,'G-7 WaterC'' Data'!$B$2:$G$8,2,FALSE))</f>
        <v/>
      </c>
      <c r="G18" s="276" t="str">
        <f>IFERROR(VLOOKUP(F18,'G-7 WaterC'' Data'!$C$4:$D$8,2,FALSE),"")</f>
        <v/>
      </c>
      <c r="H18" s="52"/>
      <c r="I18" s="276" t="str">
        <f>IFERROR(INDEX('G-7 WaterC'' Data'!$H$4:$L$8,MATCH(D18,'G-7 WaterC'' Data'!$B$4:$B$8,0),MATCH(H18,'G-7 WaterC'' Data'!$H$3:$L$3,0)),"")</f>
        <v/>
      </c>
      <c r="J18" s="777"/>
      <c r="K18" s="311" t="str">
        <f>IF(J18="","",IF(VLOOKUP(J18,'G-7 WaterC'' Data'!$AK$4:$AM$6,2,FALSE)=0,"Spatial Data Missing ⚠",VLOOKUP(J18,'G-7 WaterC'' Data'!$AK$4:$AM$6,2,FALSE)))</f>
        <v/>
      </c>
      <c r="L18" s="281" t="str">
        <f>IF(J18="","",IF(VLOOKUP(J18,'G-7 WaterC'' Data'!$AK$4:$AM$9,3,FALSE)=0,"Spatial Data Missing ⚠",VLOOKUP(J18,'G-7 WaterC'' Data'!$AK$4:$AM$6,3,FALSE)))</f>
        <v/>
      </c>
      <c r="M18" s="52"/>
      <c r="N18" s="276" t="str">
        <f>IF(M18="","",IF(AND(D18&lt;&gt;"Culvert",M18="N/A - Culvert"),"Not possible ▲",IF(AND(D18="Culvert",M18&lt;&gt;"N/A - Culvert"),"Not possible ▲",IF(VLOOKUP(M18,'G-7 WaterC'' Data'!$AA$4:$AB$7,2,FALSE)=0,"Spatial Data Missing ⚠",VLOOKUP(M18,'G-7 WaterC'' Data'!$AA$4:$AB$7,2,FALSE)))))</f>
        <v/>
      </c>
      <c r="O18" s="56"/>
      <c r="P18" s="276" t="str">
        <f>IF(O18="","",IF(AND(O18="N/A - Culvert",D18&lt;&gt;"Culvert"),"Not possible ▲",IF(AND(D18="Culvert",O18&lt;&gt;"N/A - Culvert"),"Not possible ▲",IF(VLOOKUP(O18,'G-7 WaterC'' Data'!$AD$4:$AE$14,2,FALSE)=0,"Spatial Data Missing ⚠",VLOOKUP(O18,'G-7 WaterC'' Data'!$AD$4:$AE$14,2,FALSE)))))</f>
        <v/>
      </c>
      <c r="Q18" s="282" t="str">
        <f>IF(D18="","",VLOOKUP(D18,'G-7 WaterC'' Data'!$B$2:$G$8,6,FALSE))</f>
        <v/>
      </c>
      <c r="R18" s="289" t="str">
        <f t="shared" si="1"/>
        <v xml:space="preserve"> </v>
      </c>
      <c r="S18" s="803" t="str">
        <f t="shared" si="2"/>
        <v/>
      </c>
      <c r="T18" s="32"/>
      <c r="U18" s="101"/>
      <c r="V18" s="108"/>
      <c r="W18" s="287" t="str">
        <f t="shared" si="3"/>
        <v/>
      </c>
      <c r="X18" s="287" t="str">
        <f t="shared" si="4"/>
        <v/>
      </c>
      <c r="Y18" s="287" t="str">
        <f t="shared" si="5"/>
        <v/>
      </c>
      <c r="Z18" s="317" t="str">
        <f>IFERROR(IF(OR(E18="",R18=""),"",IF(AND(Q18='G-7 WaterC'' Data'!$G$4,AA18="Yes"),"Alternative Compensation ✓",IF(AND(AA18="Pending",Q18='G-7 WaterC'' Data'!$G$4),"Bespoke compensation must be agreed ▲",IF((W18+X18)&gt;=R18,0,R18-W18-X18)))),"Check Data ⚠")</f>
        <v/>
      </c>
      <c r="AA18" s="800"/>
      <c r="AB18" s="136"/>
      <c r="AC18" s="104"/>
      <c r="AD18" s="104"/>
      <c r="AE18" s="54" t="str">
        <f>IF(OR(Q18="",AA18="Yes"),"",IF(Q18='G-1 All Habitats'!$X$9,E18-U18-V18,"None"))</f>
        <v/>
      </c>
      <c r="AF18" s="55" t="str">
        <f>IF(Q18="","",IF(Q18='G-1 All Habitats'!$X$9,AE18*G18*I18*L18*N18*P18,"None"))</f>
        <v/>
      </c>
      <c r="AI18" s="30">
        <f t="shared" si="9"/>
        <v>0</v>
      </c>
      <c r="AJ18" s="107" t="str">
        <f t="shared" si="6"/>
        <v/>
      </c>
      <c r="AK18" s="107" t="str">
        <f t="shared" si="7"/>
        <v/>
      </c>
      <c r="AM18" s="107">
        <v>9</v>
      </c>
      <c r="AO18" s="107" t="str">
        <f t="array" ref="AO18">IFERROR(INDEX($AM$10:$AM$258,MATCH(0,IF(TRUE=$AJ$10:$AJ$258,COUNTIF($AO$9:$AO17,$AM$10:$AM$258),""),0)),"")</f>
        <v/>
      </c>
      <c r="AP18" s="107" t="str">
        <f t="array" ref="AP18">IFERROR(INDEX($AM$10:$AM$258,MATCH(0,IF(TRUE=$AK$10:$AK$258,COUNTIF($AP$9:$AP17,$AM$10:$AM$258),""),0)),"")</f>
        <v/>
      </c>
      <c r="AR18" s="30" t="str">
        <f>IFERROR(INDEX('G-7 WaterC'' Data'!$AZ$3:$AZ$7,MATCH(D18,'G-7 WaterC'' Data'!$AY$3:$AY$7,0)),"")</f>
        <v/>
      </c>
      <c r="AS18" s="30" t="str">
        <f>IFERROR(INDEX('G-7 WaterC'' Data'!AZ18:AZ22,MATCH(D18,'G-7 WaterC'' Data'!$AY$10:$AY$14,0)),"")</f>
        <v/>
      </c>
      <c r="AT18" s="885" t="str">
        <f>IF(AND(OR(AA18="Yes",AA18="Pending"),Q18='G-7 WaterC'' Data'!$G$4),R18-W18-X18,"")</f>
        <v/>
      </c>
      <c r="AU18" s="30" t="str">
        <f>IF(D18="","",VLOOKUP(D18,'G-7 WaterC'' Data'!B$4:M$8,12,FALSE))</f>
        <v/>
      </c>
      <c r="AV18" s="30" t="str">
        <f t="shared" si="0"/>
        <v/>
      </c>
      <c r="AX18" s="30" t="str">
        <f t="shared" si="8"/>
        <v>No</v>
      </c>
    </row>
    <row r="19" spans="3:50" ht="14" hidden="1">
      <c r="C19" s="97">
        <v>10</v>
      </c>
      <c r="D19" s="260"/>
      <c r="E19" s="115"/>
      <c r="F19" s="275" t="str">
        <f>IF(D19="","",VLOOKUP(D19,'G-7 WaterC'' Data'!$B$2:$G$8,2,FALSE))</f>
        <v/>
      </c>
      <c r="G19" s="276" t="str">
        <f>IFERROR(VLOOKUP(F19,'G-7 WaterC'' Data'!$C$4:$D$8,2,FALSE),"")</f>
        <v/>
      </c>
      <c r="H19" s="52"/>
      <c r="I19" s="276" t="str">
        <f>IFERROR(INDEX('G-7 WaterC'' Data'!$H$4:$L$8,MATCH(D19,'G-7 WaterC'' Data'!$B$4:$B$8,0),MATCH(H19,'G-7 WaterC'' Data'!$H$3:$L$3,0)),"")</f>
        <v/>
      </c>
      <c r="J19" s="777"/>
      <c r="K19" s="311" t="str">
        <f>IF(J19="","",IF(VLOOKUP(J19,'G-7 WaterC'' Data'!$AK$4:$AM$6,2,FALSE)=0,"Spatial Data Missing ⚠",VLOOKUP(J19,'G-7 WaterC'' Data'!$AK$4:$AM$6,2,FALSE)))</f>
        <v/>
      </c>
      <c r="L19" s="281" t="str">
        <f>IF(J19="","",IF(VLOOKUP(J19,'G-7 WaterC'' Data'!$AK$4:$AM$9,3,FALSE)=0,"Spatial Data Missing ⚠",VLOOKUP(J19,'G-7 WaterC'' Data'!$AK$4:$AM$6,3,FALSE)))</f>
        <v/>
      </c>
      <c r="M19" s="52"/>
      <c r="N19" s="276" t="str">
        <f>IF(M19="","",IF(AND(D19&lt;&gt;"Culvert",M19="N/A - Culvert"),"Not possible ▲",IF(AND(D19="Culvert",M19&lt;&gt;"N/A - Culvert"),"Not possible ▲",IF(VLOOKUP(M19,'G-7 WaterC'' Data'!$AA$4:$AB$7,2,FALSE)=0,"Spatial Data Missing ⚠",VLOOKUP(M19,'G-7 WaterC'' Data'!$AA$4:$AB$7,2,FALSE)))))</f>
        <v/>
      </c>
      <c r="O19" s="56"/>
      <c r="P19" s="276" t="str">
        <f>IF(O19="","",IF(AND(O19="N/A - Culvert",D19&lt;&gt;"Culvert"),"Not possible ▲",IF(AND(D19="Culvert",O19&lt;&gt;"N/A - Culvert"),"Not possible ▲",IF(VLOOKUP(O19,'G-7 WaterC'' Data'!$AD$4:$AE$14,2,FALSE)=0,"Spatial Data Missing ⚠",VLOOKUP(O19,'G-7 WaterC'' Data'!$AD$4:$AE$14,2,FALSE)))))</f>
        <v/>
      </c>
      <c r="Q19" s="282" t="str">
        <f>IF(D19="","",VLOOKUP(D19,'G-7 WaterC'' Data'!$B$2:$G$8,6,FALSE))</f>
        <v/>
      </c>
      <c r="R19" s="289" t="str">
        <f t="shared" si="1"/>
        <v xml:space="preserve"> </v>
      </c>
      <c r="S19" s="803" t="str">
        <f t="shared" si="2"/>
        <v/>
      </c>
      <c r="T19" s="32"/>
      <c r="U19" s="101"/>
      <c r="V19" s="108"/>
      <c r="W19" s="287" t="str">
        <f t="shared" si="3"/>
        <v/>
      </c>
      <c r="X19" s="287" t="str">
        <f t="shared" si="4"/>
        <v/>
      </c>
      <c r="Y19" s="287" t="str">
        <f t="shared" si="5"/>
        <v/>
      </c>
      <c r="Z19" s="317" t="str">
        <f>IFERROR(IF(OR(E19="",R19=""),"",IF(AND(Q19='G-7 WaterC'' Data'!$G$4,AA19="Yes"),"Alternative Compensation ✓",IF(AND(AA19="Pending",Q19='G-7 WaterC'' Data'!$G$4),"Bespoke compensation must be agreed ▲",IF((W19+X19)&gt;=R19,0,R19-W19-X19)))),"Check Data ⚠")</f>
        <v/>
      </c>
      <c r="AA19" s="800"/>
      <c r="AB19" s="136"/>
      <c r="AC19" s="104"/>
      <c r="AD19" s="104"/>
      <c r="AE19" s="54" t="str">
        <f>IF(OR(Q19="",AA19="Yes"),"",IF(Q19='G-1 All Habitats'!$X$9,E19-U19-V19,"None"))</f>
        <v/>
      </c>
      <c r="AF19" s="55" t="str">
        <f>IF(Q19="","",IF(Q19='G-1 All Habitats'!$X$9,AE19*G19*I19*L19*N19*P19,"None"))</f>
        <v/>
      </c>
      <c r="AI19" s="30">
        <f t="shared" si="9"/>
        <v>0</v>
      </c>
      <c r="AJ19" s="107" t="str">
        <f t="shared" si="6"/>
        <v/>
      </c>
      <c r="AK19" s="107" t="str">
        <f t="shared" si="7"/>
        <v/>
      </c>
      <c r="AM19" s="107">
        <v>10</v>
      </c>
      <c r="AO19" s="107" t="str">
        <f t="array" ref="AO19">IFERROR(INDEX($AM$10:$AM$258,MATCH(0,IF(TRUE=$AJ$10:$AJ$258,COUNTIF($AO$9:$AO18,$AM$10:$AM$258),""),0)),"")</f>
        <v/>
      </c>
      <c r="AP19" s="107" t="str">
        <f t="array" ref="AP19">IFERROR(INDEX($AM$10:$AM$258,MATCH(0,IF(TRUE=$AK$10:$AK$258,COUNTIF($AP$9:$AP18,$AM$10:$AM$258),""),0)),"")</f>
        <v/>
      </c>
      <c r="AR19" s="30" t="str">
        <f>IFERROR(INDEX('G-7 WaterC'' Data'!$AZ$3:$AZ$7,MATCH(D19,'G-7 WaterC'' Data'!$AY$3:$AY$7,0)),"")</f>
        <v/>
      </c>
      <c r="AS19" s="30" t="str">
        <f>IFERROR(INDEX('G-7 WaterC'' Data'!AZ19:AZ23,MATCH(D19,'G-7 WaterC'' Data'!$AY$10:$AY$14,0)),"")</f>
        <v/>
      </c>
      <c r="AT19" s="885" t="str">
        <f>IF(AND(OR(AA19="Yes",AA19="Pending"),Q19='G-7 WaterC'' Data'!$G$4),R19-W19-X19,"")</f>
        <v/>
      </c>
      <c r="AU19" s="30" t="str">
        <f>IF(D19="","",VLOOKUP(D19,'G-7 WaterC'' Data'!B$4:M$8,12,FALSE))</f>
        <v/>
      </c>
      <c r="AV19" s="30" t="str">
        <f t="shared" si="0"/>
        <v/>
      </c>
      <c r="AX19" s="30" t="str">
        <f t="shared" si="8"/>
        <v>No</v>
      </c>
    </row>
    <row r="20" spans="3:50" ht="14" hidden="1">
      <c r="C20" s="97">
        <v>11</v>
      </c>
      <c r="D20" s="260"/>
      <c r="E20" s="115"/>
      <c r="F20" s="275" t="str">
        <f>IF(D20="","",VLOOKUP(D20,'G-7 WaterC'' Data'!$B$2:$G$8,2,FALSE))</f>
        <v/>
      </c>
      <c r="G20" s="276" t="str">
        <f>IFERROR(VLOOKUP(F20,'G-7 WaterC'' Data'!$C$4:$D$8,2,FALSE),"")</f>
        <v/>
      </c>
      <c r="H20" s="52"/>
      <c r="I20" s="276" t="str">
        <f>IFERROR(INDEX('G-7 WaterC'' Data'!$H$4:$L$8,MATCH(D20,'G-7 WaterC'' Data'!$B$4:$B$8,0),MATCH(H20,'G-7 WaterC'' Data'!$H$3:$L$3,0)),"")</f>
        <v/>
      </c>
      <c r="J20" s="777"/>
      <c r="K20" s="311" t="str">
        <f>IF(J20="","",IF(VLOOKUP(J20,'G-7 WaterC'' Data'!$AK$4:$AM$6,2,FALSE)=0,"Spatial Data Missing ⚠",VLOOKUP(J20,'G-7 WaterC'' Data'!$AK$4:$AM$6,2,FALSE)))</f>
        <v/>
      </c>
      <c r="L20" s="281" t="str">
        <f>IF(J20="","",IF(VLOOKUP(J20,'G-7 WaterC'' Data'!$AK$4:$AM$9,3,FALSE)=0,"Spatial Data Missing ⚠",VLOOKUP(J20,'G-7 WaterC'' Data'!$AK$4:$AM$6,3,FALSE)))</f>
        <v/>
      </c>
      <c r="M20" s="52"/>
      <c r="N20" s="276" t="str">
        <f>IF(M20="","",IF(AND(D20&lt;&gt;"Culvert",M20="N/A - Culvert"),"Not possible ▲",IF(AND(D20="Culvert",M20&lt;&gt;"N/A - Culvert"),"Not possible ▲",IF(VLOOKUP(M20,'G-7 WaterC'' Data'!$AA$4:$AB$7,2,FALSE)=0,"Spatial Data Missing ⚠",VLOOKUP(M20,'G-7 WaterC'' Data'!$AA$4:$AB$7,2,FALSE)))))</f>
        <v/>
      </c>
      <c r="O20" s="56"/>
      <c r="P20" s="276" t="str">
        <f>IF(O20="","",IF(AND(O20="N/A - Culvert",D20&lt;&gt;"Culvert"),"Not possible ▲",IF(AND(D20="Culvert",O20&lt;&gt;"N/A - Culvert"),"Not possible ▲",IF(VLOOKUP(O20,'G-7 WaterC'' Data'!$AD$4:$AE$14,2,FALSE)=0,"Spatial Data Missing ⚠",VLOOKUP(O20,'G-7 WaterC'' Data'!$AD$4:$AE$14,2,FALSE)))))</f>
        <v/>
      </c>
      <c r="Q20" s="282" t="str">
        <f>IF(D20="","",VLOOKUP(D20,'G-7 WaterC'' Data'!$B$2:$G$8,6,FALSE))</f>
        <v/>
      </c>
      <c r="R20" s="289" t="str">
        <f t="shared" si="1"/>
        <v xml:space="preserve"> </v>
      </c>
      <c r="S20" s="803" t="str">
        <f t="shared" si="2"/>
        <v/>
      </c>
      <c r="T20" s="32"/>
      <c r="U20" s="101"/>
      <c r="V20" s="108"/>
      <c r="W20" s="287" t="str">
        <f t="shared" si="3"/>
        <v/>
      </c>
      <c r="X20" s="287" t="str">
        <f t="shared" si="4"/>
        <v/>
      </c>
      <c r="Y20" s="287" t="str">
        <f t="shared" si="5"/>
        <v/>
      </c>
      <c r="Z20" s="317" t="str">
        <f>IFERROR(IF(OR(E20="",R20=""),"",IF(AND(Q20='G-7 WaterC'' Data'!$G$4,AA20="Yes"),"Alternative Compensation ✓",IF(AND(AA20="Pending",Q20='G-7 WaterC'' Data'!$G$4),"Bespoke compensation must be agreed ▲",IF((W20+X20)&gt;=R20,0,R20-W20-X20)))),"Check Data ⚠")</f>
        <v/>
      </c>
      <c r="AA20" s="800"/>
      <c r="AB20" s="136"/>
      <c r="AC20" s="104"/>
      <c r="AD20" s="104"/>
      <c r="AE20" s="54" t="str">
        <f>IF(OR(Q20="",AA20="Yes"),"",IF(Q20='G-1 All Habitats'!$X$9,E20-U20-V20,"None"))</f>
        <v/>
      </c>
      <c r="AF20" s="55" t="str">
        <f>IF(Q20="","",IF(Q20='G-1 All Habitats'!$X$9,AE20*G20*I20*L20*N20*P20,"None"))</f>
        <v/>
      </c>
      <c r="AI20" s="30">
        <f t="shared" si="9"/>
        <v>0</v>
      </c>
      <c r="AJ20" s="107" t="str">
        <f t="shared" si="6"/>
        <v/>
      </c>
      <c r="AK20" s="107" t="str">
        <f t="shared" si="7"/>
        <v/>
      </c>
      <c r="AM20" s="107">
        <v>11</v>
      </c>
      <c r="AO20" s="107" t="str">
        <f t="array" ref="AO20">IFERROR(INDEX($AM$10:$AM$258,MATCH(0,IF(TRUE=$AJ$10:$AJ$258,COUNTIF($AO$9:$AO19,$AM$10:$AM$258),""),0)),"")</f>
        <v/>
      </c>
      <c r="AP20" s="107" t="str">
        <f t="array" ref="AP20">IFERROR(INDEX($AM$10:$AM$258,MATCH(0,IF(TRUE=$AK$10:$AK$258,COUNTIF($AP$9:$AP19,$AM$10:$AM$258),""),0)),"")</f>
        <v/>
      </c>
      <c r="AR20" s="30" t="str">
        <f>IFERROR(INDEX('G-7 WaterC'' Data'!$AZ$3:$AZ$7,MATCH(D20,'G-7 WaterC'' Data'!$AY$3:$AY$7,0)),"")</f>
        <v/>
      </c>
      <c r="AS20" s="30" t="str">
        <f>IFERROR(INDEX('G-7 WaterC'' Data'!AZ20:AZ24,MATCH(D20,'G-7 WaterC'' Data'!$AY$10:$AY$14,0)),"")</f>
        <v/>
      </c>
      <c r="AT20" s="885" t="str">
        <f>IF(AND(OR(AA20="Yes",AA20="Pending"),Q20='G-7 WaterC'' Data'!$G$4),R20-W20-X20,"")</f>
        <v/>
      </c>
      <c r="AU20" s="30" t="str">
        <f>IF(D20="","",VLOOKUP(D20,'G-7 WaterC'' Data'!B$4:M$8,12,FALSE))</f>
        <v/>
      </c>
      <c r="AV20" s="30" t="str">
        <f t="shared" si="0"/>
        <v/>
      </c>
      <c r="AX20" s="30" t="str">
        <f t="shared" si="8"/>
        <v>No</v>
      </c>
    </row>
    <row r="21" spans="3:50" ht="14" hidden="1">
      <c r="C21" s="97">
        <v>12</v>
      </c>
      <c r="D21" s="260"/>
      <c r="E21" s="115"/>
      <c r="F21" s="275" t="str">
        <f>IF(D21="","",VLOOKUP(D21,'G-7 WaterC'' Data'!$B$2:$G$8,2,FALSE))</f>
        <v/>
      </c>
      <c r="G21" s="276" t="str">
        <f>IFERROR(VLOOKUP(F21,'G-7 WaterC'' Data'!$C$4:$D$8,2,FALSE),"")</f>
        <v/>
      </c>
      <c r="H21" s="52"/>
      <c r="I21" s="276" t="str">
        <f>IFERROR(INDEX('G-7 WaterC'' Data'!$H$4:$L$8,MATCH(D21,'G-7 WaterC'' Data'!$B$4:$B$8,0),MATCH(H21,'G-7 WaterC'' Data'!$H$3:$L$3,0)),"")</f>
        <v/>
      </c>
      <c r="J21" s="777"/>
      <c r="K21" s="311" t="str">
        <f>IF(J21="","",IF(VLOOKUP(J21,'G-7 WaterC'' Data'!$AK$4:$AM$6,2,FALSE)=0,"Spatial Data Missing ⚠",VLOOKUP(J21,'G-7 WaterC'' Data'!$AK$4:$AM$6,2,FALSE)))</f>
        <v/>
      </c>
      <c r="L21" s="281" t="str">
        <f>IF(J21="","",IF(VLOOKUP(J21,'G-7 WaterC'' Data'!$AK$4:$AM$9,3,FALSE)=0,"Spatial Data Missing ⚠",VLOOKUP(J21,'G-7 WaterC'' Data'!$AK$4:$AM$6,3,FALSE)))</f>
        <v/>
      </c>
      <c r="M21" s="52"/>
      <c r="N21" s="276" t="str">
        <f>IF(M21="","",IF(AND(D21&lt;&gt;"Culvert",M21="N/A - Culvert"),"Not possible ▲",IF(AND(D21="Culvert",M21&lt;&gt;"N/A - Culvert"),"Not possible ▲",IF(VLOOKUP(M21,'G-7 WaterC'' Data'!$AA$4:$AB$7,2,FALSE)=0,"Spatial Data Missing ⚠",VLOOKUP(M21,'G-7 WaterC'' Data'!$AA$4:$AB$7,2,FALSE)))))</f>
        <v/>
      </c>
      <c r="O21" s="56"/>
      <c r="P21" s="276" t="str">
        <f>IF(O21="","",IF(AND(O21="N/A - Culvert",D21&lt;&gt;"Culvert"),"Not possible ▲",IF(AND(D21="Culvert",O21&lt;&gt;"N/A - Culvert"),"Not possible ▲",IF(VLOOKUP(O21,'G-7 WaterC'' Data'!$AD$4:$AE$14,2,FALSE)=0,"Spatial Data Missing ⚠",VLOOKUP(O21,'G-7 WaterC'' Data'!$AD$4:$AE$14,2,FALSE)))))</f>
        <v/>
      </c>
      <c r="Q21" s="282" t="str">
        <f>IF(D21="","",VLOOKUP(D21,'G-7 WaterC'' Data'!$B$2:$G$8,6,FALSE))</f>
        <v/>
      </c>
      <c r="R21" s="289" t="str">
        <f t="shared" si="1"/>
        <v xml:space="preserve"> </v>
      </c>
      <c r="S21" s="803" t="str">
        <f t="shared" si="2"/>
        <v/>
      </c>
      <c r="T21" s="32"/>
      <c r="U21" s="101"/>
      <c r="V21" s="108"/>
      <c r="W21" s="287" t="str">
        <f t="shared" si="3"/>
        <v/>
      </c>
      <c r="X21" s="287" t="str">
        <f t="shared" si="4"/>
        <v/>
      </c>
      <c r="Y21" s="287" t="str">
        <f t="shared" si="5"/>
        <v/>
      </c>
      <c r="Z21" s="317" t="str">
        <f>IFERROR(IF(OR(E21="",R21=""),"",IF(AND(Q21='G-7 WaterC'' Data'!$G$4,AA21="Yes"),"Alternative Compensation ✓",IF(AND(AA21="Pending",Q21='G-7 WaterC'' Data'!$G$4),"Bespoke compensation must be agreed ▲",IF((W21+X21)&gt;=R21,0,R21-W21-X21)))),"Check Data ⚠")</f>
        <v/>
      </c>
      <c r="AA21" s="800"/>
      <c r="AB21" s="136"/>
      <c r="AC21" s="104"/>
      <c r="AD21" s="104"/>
      <c r="AE21" s="54" t="str">
        <f>IF(OR(Q21="",AA21="Yes"),"",IF(Q21='G-1 All Habitats'!$X$9,E21-U21-V21,"None"))</f>
        <v/>
      </c>
      <c r="AF21" s="55" t="str">
        <f>IF(Q21="","",IF(Q21='G-1 All Habitats'!$X$9,AE21*G21*I21*L21*N21*P21,"None"))</f>
        <v/>
      </c>
      <c r="AI21" s="30">
        <f t="shared" si="9"/>
        <v>0</v>
      </c>
      <c r="AJ21" s="107" t="str">
        <f t="shared" si="6"/>
        <v/>
      </c>
      <c r="AK21" s="107" t="str">
        <f t="shared" si="7"/>
        <v/>
      </c>
      <c r="AM21" s="107">
        <v>12</v>
      </c>
      <c r="AO21" s="107" t="str">
        <f t="array" ref="AO21">IFERROR(INDEX($AM$10:$AM$258,MATCH(0,IF(TRUE=$AJ$10:$AJ$258,COUNTIF($AO$9:$AO20,$AM$10:$AM$258),""),0)),"")</f>
        <v/>
      </c>
      <c r="AP21" s="107" t="str">
        <f t="array" ref="AP21">IFERROR(INDEX($AM$10:$AM$258,MATCH(0,IF(TRUE=$AK$10:$AK$258,COUNTIF($AP$9:$AP20,$AM$10:$AM$258),""),0)),"")</f>
        <v/>
      </c>
      <c r="AR21" s="30" t="str">
        <f>IFERROR(INDEX('G-7 WaterC'' Data'!$AZ$3:$AZ$7,MATCH(D21,'G-7 WaterC'' Data'!$AY$3:$AY$7,0)),"")</f>
        <v/>
      </c>
      <c r="AS21" s="30" t="str">
        <f>IFERROR(INDEX('G-7 WaterC'' Data'!AZ21:AZ25,MATCH(D21,'G-7 WaterC'' Data'!$AY$10:$AY$14,0)),"")</f>
        <v/>
      </c>
      <c r="AT21" s="885" t="str">
        <f>IF(AND(OR(AA21="Yes",AA21="Pending"),Q21='G-7 WaterC'' Data'!$G$4),R21-W21-X21,"")</f>
        <v/>
      </c>
      <c r="AU21" s="30" t="str">
        <f>IF(D21="","",VLOOKUP(D21,'G-7 WaterC'' Data'!B$4:M$8,12,FALSE))</f>
        <v/>
      </c>
      <c r="AV21" s="30" t="str">
        <f t="shared" si="0"/>
        <v/>
      </c>
      <c r="AX21" s="30" t="str">
        <f t="shared" si="8"/>
        <v>No</v>
      </c>
    </row>
    <row r="22" spans="3:50" ht="14" hidden="1">
      <c r="C22" s="97">
        <v>13</v>
      </c>
      <c r="D22" s="260"/>
      <c r="E22" s="115"/>
      <c r="F22" s="275" t="str">
        <f>IF(D22="","",VLOOKUP(D22,'G-7 WaterC'' Data'!$B$2:$G$8,2,FALSE))</f>
        <v/>
      </c>
      <c r="G22" s="276" t="str">
        <f>IFERROR(VLOOKUP(F22,'G-7 WaterC'' Data'!$C$4:$D$8,2,FALSE),"")</f>
        <v/>
      </c>
      <c r="H22" s="52"/>
      <c r="I22" s="276" t="str">
        <f>IFERROR(INDEX('G-7 WaterC'' Data'!$H$4:$L$8,MATCH(D22,'G-7 WaterC'' Data'!$B$4:$B$8,0),MATCH(H22,'G-7 WaterC'' Data'!$H$3:$L$3,0)),"")</f>
        <v/>
      </c>
      <c r="J22" s="777"/>
      <c r="K22" s="311" t="str">
        <f>IF(J22="","",IF(VLOOKUP(J22,'G-7 WaterC'' Data'!$AK$4:$AM$6,2,FALSE)=0,"Spatial Data Missing ⚠",VLOOKUP(J22,'G-7 WaterC'' Data'!$AK$4:$AM$6,2,FALSE)))</f>
        <v/>
      </c>
      <c r="L22" s="281" t="str">
        <f>IF(J22="","",IF(VLOOKUP(J22,'G-7 WaterC'' Data'!$AK$4:$AM$9,3,FALSE)=0,"Spatial Data Missing ⚠",VLOOKUP(J22,'G-7 WaterC'' Data'!$AK$4:$AM$6,3,FALSE)))</f>
        <v/>
      </c>
      <c r="M22" s="52"/>
      <c r="N22" s="276" t="str">
        <f>IF(M22="","",IF(AND(D22&lt;&gt;"Culvert",M22="N/A - Culvert"),"Not possible ▲",IF(AND(D22="Culvert",M22&lt;&gt;"N/A - Culvert"),"Not possible ▲",IF(VLOOKUP(M22,'G-7 WaterC'' Data'!$AA$4:$AB$7,2,FALSE)=0,"Spatial Data Missing ⚠",VLOOKUP(M22,'G-7 WaterC'' Data'!$AA$4:$AB$7,2,FALSE)))))</f>
        <v/>
      </c>
      <c r="O22" s="56"/>
      <c r="P22" s="276" t="str">
        <f>IF(O22="","",IF(AND(O22="N/A - Culvert",D22&lt;&gt;"Culvert"),"Not possible ▲",IF(AND(D22="Culvert",O22&lt;&gt;"N/A - Culvert"),"Not possible ▲",IF(VLOOKUP(O22,'G-7 WaterC'' Data'!$AD$4:$AE$14,2,FALSE)=0,"Spatial Data Missing ⚠",VLOOKUP(O22,'G-7 WaterC'' Data'!$AD$4:$AE$14,2,FALSE)))))</f>
        <v/>
      </c>
      <c r="Q22" s="282" t="str">
        <f>IF(D22="","",VLOOKUP(D22,'G-7 WaterC'' Data'!$B$2:$G$8,6,FALSE))</f>
        <v/>
      </c>
      <c r="R22" s="289" t="str">
        <f t="shared" si="1"/>
        <v xml:space="preserve"> </v>
      </c>
      <c r="S22" s="803" t="str">
        <f t="shared" si="2"/>
        <v/>
      </c>
      <c r="T22" s="32"/>
      <c r="U22" s="101"/>
      <c r="V22" s="108"/>
      <c r="W22" s="287" t="str">
        <f t="shared" si="3"/>
        <v/>
      </c>
      <c r="X22" s="287" t="str">
        <f t="shared" si="4"/>
        <v/>
      </c>
      <c r="Y22" s="287" t="str">
        <f t="shared" si="5"/>
        <v/>
      </c>
      <c r="Z22" s="317" t="str">
        <f>IFERROR(IF(OR(E22="",R22=""),"",IF(AND(Q22='G-7 WaterC'' Data'!$G$4,AA22="Yes"),"Alternative Compensation ✓",IF(AND(AA22="Pending",Q22='G-7 WaterC'' Data'!$G$4),"Bespoke compensation must be agreed ▲",IF((W22+X22)&gt;=R22,0,R22-W22-X22)))),"Check Data ⚠")</f>
        <v/>
      </c>
      <c r="AA22" s="800"/>
      <c r="AB22" s="136"/>
      <c r="AC22" s="104"/>
      <c r="AD22" s="104"/>
      <c r="AE22" s="54" t="str">
        <f>IF(OR(Q22="",AA22="Yes"),"",IF(Q22='G-1 All Habitats'!$X$9,E22-U22-V22,"None"))</f>
        <v/>
      </c>
      <c r="AF22" s="55" t="str">
        <f>IF(Q22="","",IF(Q22='G-1 All Habitats'!$X$9,AE22*G22*I22*L22*N22*P22,"None"))</f>
        <v/>
      </c>
      <c r="AI22" s="30">
        <f t="shared" si="9"/>
        <v>0</v>
      </c>
      <c r="AJ22" s="107" t="str">
        <f t="shared" si="6"/>
        <v/>
      </c>
      <c r="AK22" s="107" t="str">
        <f t="shared" si="7"/>
        <v/>
      </c>
      <c r="AM22" s="107">
        <v>13</v>
      </c>
      <c r="AO22" s="107" t="str">
        <f t="array" ref="AO22">IFERROR(INDEX($AM$10:$AM$258,MATCH(0,IF(TRUE=$AJ$10:$AJ$258,COUNTIF($AO$9:$AO21,$AM$10:$AM$258),""),0)),"")</f>
        <v/>
      </c>
      <c r="AP22" s="107" t="str">
        <f t="array" ref="AP22">IFERROR(INDEX($AM$10:$AM$258,MATCH(0,IF(TRUE=$AK$10:$AK$258,COUNTIF($AP$9:$AP21,$AM$10:$AM$258),""),0)),"")</f>
        <v/>
      </c>
      <c r="AR22" s="30" t="str">
        <f>IFERROR(INDEX('G-7 WaterC'' Data'!$AZ$3:$AZ$7,MATCH(D22,'G-7 WaterC'' Data'!$AY$3:$AY$7,0)),"")</f>
        <v/>
      </c>
      <c r="AS22" s="30" t="str">
        <f>IFERROR(INDEX('G-7 WaterC'' Data'!AZ22:AZ26,MATCH(D22,'G-7 WaterC'' Data'!$AY$10:$AY$14,0)),"")</f>
        <v/>
      </c>
      <c r="AT22" s="885" t="str">
        <f>IF(AND(OR(AA22="Yes",AA22="Pending"),Q22='G-7 WaterC'' Data'!$G$4),R22-W22-X22,"")</f>
        <v/>
      </c>
      <c r="AU22" s="30" t="str">
        <f>IF(D22="","",VLOOKUP(D22,'G-7 WaterC'' Data'!B$4:M$8,12,FALSE))</f>
        <v/>
      </c>
      <c r="AV22" s="30" t="str">
        <f t="shared" si="0"/>
        <v/>
      </c>
      <c r="AX22" s="30" t="str">
        <f t="shared" si="8"/>
        <v>No</v>
      </c>
    </row>
    <row r="23" spans="3:50" ht="14" hidden="1">
      <c r="C23" s="97">
        <v>14</v>
      </c>
      <c r="D23" s="260"/>
      <c r="E23" s="115"/>
      <c r="F23" s="275" t="str">
        <f>IF(D23="","",VLOOKUP(D23,'G-7 WaterC'' Data'!$B$2:$G$8,2,FALSE))</f>
        <v/>
      </c>
      <c r="G23" s="276" t="str">
        <f>IFERROR(VLOOKUP(F23,'G-7 WaterC'' Data'!$C$4:$D$8,2,FALSE),"")</f>
        <v/>
      </c>
      <c r="H23" s="52"/>
      <c r="I23" s="276" t="str">
        <f>IFERROR(INDEX('G-7 WaterC'' Data'!$H$4:$L$8,MATCH(D23,'G-7 WaterC'' Data'!$B$4:$B$8,0),MATCH(H23,'G-7 WaterC'' Data'!$H$3:$L$3,0)),"")</f>
        <v/>
      </c>
      <c r="J23" s="777"/>
      <c r="K23" s="311" t="str">
        <f>IF(J23="","",IF(VLOOKUP(J23,'G-7 WaterC'' Data'!$AK$4:$AM$6,2,FALSE)=0,"Spatial Data Missing ⚠",VLOOKUP(J23,'G-7 WaterC'' Data'!$AK$4:$AM$6,2,FALSE)))</f>
        <v/>
      </c>
      <c r="L23" s="281" t="str">
        <f>IF(J23="","",IF(VLOOKUP(J23,'G-7 WaterC'' Data'!$AK$4:$AM$9,3,FALSE)=0,"Spatial Data Missing ⚠",VLOOKUP(J23,'G-7 WaterC'' Data'!$AK$4:$AM$6,3,FALSE)))</f>
        <v/>
      </c>
      <c r="M23" s="52"/>
      <c r="N23" s="276" t="str">
        <f>IF(M23="","",IF(AND(D23&lt;&gt;"Culvert",M23="N/A - Culvert"),"Not possible ▲",IF(AND(D23="Culvert",M23&lt;&gt;"N/A - Culvert"),"Not possible ▲",IF(VLOOKUP(M23,'G-7 WaterC'' Data'!$AA$4:$AB$7,2,FALSE)=0,"Spatial Data Missing ⚠",VLOOKUP(M23,'G-7 WaterC'' Data'!$AA$4:$AB$7,2,FALSE)))))</f>
        <v/>
      </c>
      <c r="O23" s="56"/>
      <c r="P23" s="276" t="str">
        <f>IF(O23="","",IF(AND(O23="N/A - Culvert",D23&lt;&gt;"Culvert"),"Not possible ▲",IF(AND(D23="Culvert",O23&lt;&gt;"N/A - Culvert"),"Not possible ▲",IF(VLOOKUP(O23,'G-7 WaterC'' Data'!$AD$4:$AE$14,2,FALSE)=0,"Spatial Data Missing ⚠",VLOOKUP(O23,'G-7 WaterC'' Data'!$AD$4:$AE$14,2,FALSE)))))</f>
        <v/>
      </c>
      <c r="Q23" s="282" t="str">
        <f>IF(D23="","",VLOOKUP(D23,'G-7 WaterC'' Data'!$B$2:$G$8,6,FALSE))</f>
        <v/>
      </c>
      <c r="R23" s="289" t="str">
        <f t="shared" si="1"/>
        <v xml:space="preserve"> </v>
      </c>
      <c r="S23" s="803" t="str">
        <f t="shared" si="2"/>
        <v/>
      </c>
      <c r="T23" s="32"/>
      <c r="U23" s="101"/>
      <c r="V23" s="108"/>
      <c r="W23" s="287" t="str">
        <f t="shared" si="3"/>
        <v/>
      </c>
      <c r="X23" s="287" t="str">
        <f t="shared" si="4"/>
        <v/>
      </c>
      <c r="Y23" s="287" t="str">
        <f t="shared" si="5"/>
        <v/>
      </c>
      <c r="Z23" s="317" t="str">
        <f>IFERROR(IF(OR(E23="",R23=""),"",IF(AND(Q23='G-7 WaterC'' Data'!$G$4,AA23="Yes"),"Alternative Compensation ✓",IF(AND(AA23="Pending",Q23='G-7 WaterC'' Data'!$G$4),"Bespoke compensation must be agreed ▲",IF((W23+X23)&gt;=R23,0,R23-W23-X23)))),"Check Data ⚠")</f>
        <v/>
      </c>
      <c r="AA23" s="800"/>
      <c r="AB23" s="136"/>
      <c r="AC23" s="104"/>
      <c r="AD23" s="104"/>
      <c r="AE23" s="54" t="str">
        <f>IF(OR(Q23="",AA23="Yes"),"",IF(Q23='G-1 All Habitats'!$X$9,E23-U23-V23,"None"))</f>
        <v/>
      </c>
      <c r="AF23" s="55" t="str">
        <f>IF(Q23="","",IF(Q23='G-1 All Habitats'!$X$9,AE23*G23*I23*L23*N23*P23,"None"))</f>
        <v/>
      </c>
      <c r="AI23" s="30">
        <f t="shared" si="9"/>
        <v>0</v>
      </c>
      <c r="AJ23" s="107" t="str">
        <f t="shared" si="6"/>
        <v/>
      </c>
      <c r="AK23" s="107" t="str">
        <f t="shared" si="7"/>
        <v/>
      </c>
      <c r="AM23" s="107">
        <v>14</v>
      </c>
      <c r="AO23" s="107" t="str">
        <f t="array" ref="AO23">IFERROR(INDEX($AM$10:$AM$258,MATCH(0,IF(TRUE=$AJ$10:$AJ$258,COUNTIF($AO$9:$AO22,$AM$10:$AM$258),""),0)),"")</f>
        <v/>
      </c>
      <c r="AP23" s="107" t="str">
        <f t="array" ref="AP23">IFERROR(INDEX($AM$10:$AM$258,MATCH(0,IF(TRUE=$AK$10:$AK$258,COUNTIF($AP$9:$AP22,$AM$10:$AM$258),""),0)),"")</f>
        <v/>
      </c>
      <c r="AR23" s="30" t="str">
        <f>IFERROR(INDEX('G-7 WaterC'' Data'!$AZ$3:$AZ$7,MATCH(D23,'G-7 WaterC'' Data'!$AY$3:$AY$7,0)),"")</f>
        <v/>
      </c>
      <c r="AS23" s="30" t="str">
        <f>IFERROR(INDEX('G-7 WaterC'' Data'!AZ23:AZ27,MATCH(D23,'G-7 WaterC'' Data'!$AY$10:$AY$14,0)),"")</f>
        <v/>
      </c>
      <c r="AT23" s="885" t="str">
        <f>IF(AND(OR(AA23="Yes",AA23="Pending"),Q23='G-7 WaterC'' Data'!$G$4),R23-W23-X23,"")</f>
        <v/>
      </c>
      <c r="AU23" s="30" t="str">
        <f>IF(D23="","",VLOOKUP(D23,'G-7 WaterC'' Data'!B$4:M$8,12,FALSE))</f>
        <v/>
      </c>
      <c r="AV23" s="30" t="str">
        <f t="shared" si="0"/>
        <v/>
      </c>
      <c r="AX23" s="30" t="str">
        <f t="shared" si="8"/>
        <v>No</v>
      </c>
    </row>
    <row r="24" spans="3:50" ht="14" hidden="1">
      <c r="C24" s="97">
        <v>15</v>
      </c>
      <c r="D24" s="260"/>
      <c r="E24" s="115"/>
      <c r="F24" s="275" t="str">
        <f>IF(D24="","",VLOOKUP(D24,'G-7 WaterC'' Data'!$B$2:$G$8,2,FALSE))</f>
        <v/>
      </c>
      <c r="G24" s="276" t="str">
        <f>IFERROR(VLOOKUP(F24,'G-7 WaterC'' Data'!$C$4:$D$8,2,FALSE),"")</f>
        <v/>
      </c>
      <c r="H24" s="52"/>
      <c r="I24" s="276" t="str">
        <f>IFERROR(INDEX('G-7 WaterC'' Data'!$H$4:$L$8,MATCH(D24,'G-7 WaterC'' Data'!$B$4:$B$8,0),MATCH(H24,'G-7 WaterC'' Data'!$H$3:$L$3,0)),"")</f>
        <v/>
      </c>
      <c r="J24" s="777"/>
      <c r="K24" s="311" t="str">
        <f>IF(J24="","",IF(VLOOKUP(J24,'G-7 WaterC'' Data'!$AK$4:$AM$6,2,FALSE)=0,"Spatial Data Missing ⚠",VLOOKUP(J24,'G-7 WaterC'' Data'!$AK$4:$AM$6,2,FALSE)))</f>
        <v/>
      </c>
      <c r="L24" s="281" t="str">
        <f>IF(J24="","",IF(VLOOKUP(J24,'G-7 WaterC'' Data'!$AK$4:$AM$9,3,FALSE)=0,"Spatial Data Missing ⚠",VLOOKUP(J24,'G-7 WaterC'' Data'!$AK$4:$AM$6,3,FALSE)))</f>
        <v/>
      </c>
      <c r="M24" s="52"/>
      <c r="N24" s="276" t="str">
        <f>IF(M24="","",IF(AND(D24&lt;&gt;"Culvert",M24="N/A - Culvert"),"Not possible ▲",IF(AND(D24="Culvert",M24&lt;&gt;"N/A - Culvert"),"Not possible ▲",IF(VLOOKUP(M24,'G-7 WaterC'' Data'!$AA$4:$AB$7,2,FALSE)=0,"Spatial Data Missing ⚠",VLOOKUP(M24,'G-7 WaterC'' Data'!$AA$4:$AB$7,2,FALSE)))))</f>
        <v/>
      </c>
      <c r="O24" s="56"/>
      <c r="P24" s="276" t="str">
        <f>IF(O24="","",IF(AND(O24="N/A - Culvert",D24&lt;&gt;"Culvert"),"Not possible ▲",IF(AND(D24="Culvert",O24&lt;&gt;"N/A - Culvert"),"Not possible ▲",IF(VLOOKUP(O24,'G-7 WaterC'' Data'!$AD$4:$AE$14,2,FALSE)=0,"Spatial Data Missing ⚠",VLOOKUP(O24,'G-7 WaterC'' Data'!$AD$4:$AE$14,2,FALSE)))))</f>
        <v/>
      </c>
      <c r="Q24" s="282" t="str">
        <f>IF(D24="","",VLOOKUP(D24,'G-7 WaterC'' Data'!$B$2:$G$8,6,FALSE))</f>
        <v/>
      </c>
      <c r="R24" s="289" t="str">
        <f t="shared" si="1"/>
        <v xml:space="preserve"> </v>
      </c>
      <c r="S24" s="803" t="str">
        <f t="shared" si="2"/>
        <v/>
      </c>
      <c r="T24" s="32"/>
      <c r="U24" s="101"/>
      <c r="V24" s="108"/>
      <c r="W24" s="287" t="str">
        <f t="shared" si="3"/>
        <v/>
      </c>
      <c r="X24" s="287" t="str">
        <f t="shared" si="4"/>
        <v/>
      </c>
      <c r="Y24" s="287" t="str">
        <f t="shared" si="5"/>
        <v/>
      </c>
      <c r="Z24" s="317" t="str">
        <f>IFERROR(IF(OR(E24="",R24=""),"",IF(AND(Q24='G-7 WaterC'' Data'!$G$4,AA24="Yes"),"Alternative Compensation ✓",IF(AND(AA24="Pending",Q24='G-7 WaterC'' Data'!$G$4),"Bespoke compensation must be agreed ▲",IF((W24+X24)&gt;=R24,0,R24-W24-X24)))),"Check Data ⚠")</f>
        <v/>
      </c>
      <c r="AA24" s="800"/>
      <c r="AB24" s="136"/>
      <c r="AC24" s="104"/>
      <c r="AD24" s="104"/>
      <c r="AE24" s="54" t="str">
        <f>IF(OR(Q24="",AA24="Yes"),"",IF(Q24='G-1 All Habitats'!$X$9,E24-U24-V24,"None"))</f>
        <v/>
      </c>
      <c r="AF24" s="55" t="str">
        <f>IF(Q24="","",IF(Q24='G-1 All Habitats'!$X$9,AE24*G24*I24*L24*N24*P24,"None"))</f>
        <v/>
      </c>
      <c r="AI24" s="30">
        <f t="shared" si="9"/>
        <v>0</v>
      </c>
      <c r="AJ24" s="107" t="str">
        <f t="shared" si="6"/>
        <v/>
      </c>
      <c r="AK24" s="107" t="str">
        <f t="shared" si="7"/>
        <v/>
      </c>
      <c r="AM24" s="107">
        <v>15</v>
      </c>
      <c r="AO24" s="107" t="str">
        <f t="array" ref="AO24">IFERROR(INDEX($AM$10:$AM$258,MATCH(0,IF(TRUE=$AJ$10:$AJ$258,COUNTIF($AO$9:$AO23,$AM$10:$AM$258),""),0)),"")</f>
        <v/>
      </c>
      <c r="AP24" s="107" t="str">
        <f t="array" ref="AP24">IFERROR(INDEX($AM$10:$AM$258,MATCH(0,IF(TRUE=$AK$10:$AK$258,COUNTIF($AP$9:$AP23,$AM$10:$AM$258),""),0)),"")</f>
        <v/>
      </c>
      <c r="AR24" s="30" t="str">
        <f>IFERROR(INDEX('G-7 WaterC'' Data'!$AZ$3:$AZ$7,MATCH(D24,'G-7 WaterC'' Data'!$AY$3:$AY$7,0)),"")</f>
        <v/>
      </c>
      <c r="AS24" s="30" t="str">
        <f>IFERROR(INDEX('G-7 WaterC'' Data'!AZ24:AZ28,MATCH(D24,'G-7 WaterC'' Data'!$AY$10:$AY$14,0)),"")</f>
        <v/>
      </c>
      <c r="AT24" s="885" t="str">
        <f>IF(AND(OR(AA24="Yes",AA24="Pending"),Q24='G-7 WaterC'' Data'!$G$4),R24-W24-X24,"")</f>
        <v/>
      </c>
      <c r="AU24" s="30" t="str">
        <f>IF(D24="","",VLOOKUP(D24,'G-7 WaterC'' Data'!B$4:M$8,12,FALSE))</f>
        <v/>
      </c>
      <c r="AV24" s="30" t="str">
        <f t="shared" si="0"/>
        <v/>
      </c>
      <c r="AX24" s="30" t="str">
        <f t="shared" si="8"/>
        <v>No</v>
      </c>
    </row>
    <row r="25" spans="3:50" ht="14" hidden="1">
      <c r="C25" s="97">
        <v>16</v>
      </c>
      <c r="D25" s="260"/>
      <c r="E25" s="115"/>
      <c r="F25" s="275" t="str">
        <f>IF(D25="","",VLOOKUP(D25,'G-7 WaterC'' Data'!$B$2:$G$8,2,FALSE))</f>
        <v/>
      </c>
      <c r="G25" s="276" t="str">
        <f>IFERROR(VLOOKUP(F25,'G-7 WaterC'' Data'!$C$4:$D$8,2,FALSE),"")</f>
        <v/>
      </c>
      <c r="H25" s="52"/>
      <c r="I25" s="276" t="str">
        <f>IFERROR(INDEX('G-7 WaterC'' Data'!$H$4:$L$8,MATCH(D25,'G-7 WaterC'' Data'!$B$4:$B$8,0),MATCH(H25,'G-7 WaterC'' Data'!$H$3:$L$3,0)),"")</f>
        <v/>
      </c>
      <c r="J25" s="777"/>
      <c r="K25" s="311" t="str">
        <f>IF(J25="","",IF(VLOOKUP(J25,'G-7 WaterC'' Data'!$AK$4:$AM$6,2,FALSE)=0,"Spatial Data Missing ⚠",VLOOKUP(J25,'G-7 WaterC'' Data'!$AK$4:$AM$6,2,FALSE)))</f>
        <v/>
      </c>
      <c r="L25" s="281" t="str">
        <f>IF(J25="","",IF(VLOOKUP(J25,'G-7 WaterC'' Data'!$AK$4:$AM$9,3,FALSE)=0,"Spatial Data Missing ⚠",VLOOKUP(J25,'G-7 WaterC'' Data'!$AK$4:$AM$6,3,FALSE)))</f>
        <v/>
      </c>
      <c r="M25" s="52"/>
      <c r="N25" s="276" t="str">
        <f>IF(M25="","",IF(AND(D25&lt;&gt;"Culvert",M25="N/A - Culvert"),"Not possible ▲",IF(AND(D25="Culvert",M25&lt;&gt;"N/A - Culvert"),"Not possible ▲",IF(VLOOKUP(M25,'G-7 WaterC'' Data'!$AA$4:$AB$7,2,FALSE)=0,"Spatial Data Missing ⚠",VLOOKUP(M25,'G-7 WaterC'' Data'!$AA$4:$AB$7,2,FALSE)))))</f>
        <v/>
      </c>
      <c r="O25" s="56"/>
      <c r="P25" s="276" t="str">
        <f>IF(O25="","",IF(AND(O25="N/A - Culvert",D25&lt;&gt;"Culvert"),"Not possible ▲",IF(AND(D25="Culvert",O25&lt;&gt;"N/A - Culvert"),"Not possible ▲",IF(VLOOKUP(O25,'G-7 WaterC'' Data'!$AD$4:$AE$14,2,FALSE)=0,"Spatial Data Missing ⚠",VLOOKUP(O25,'G-7 WaterC'' Data'!$AD$4:$AE$14,2,FALSE)))))</f>
        <v/>
      </c>
      <c r="Q25" s="282" t="str">
        <f>IF(D25="","",VLOOKUP(D25,'G-7 WaterC'' Data'!$B$2:$G$8,6,FALSE))</f>
        <v/>
      </c>
      <c r="R25" s="289" t="str">
        <f t="shared" si="1"/>
        <v xml:space="preserve"> </v>
      </c>
      <c r="S25" s="803" t="str">
        <f t="shared" si="2"/>
        <v/>
      </c>
      <c r="T25" s="32"/>
      <c r="U25" s="101"/>
      <c r="V25" s="108"/>
      <c r="W25" s="287" t="str">
        <f t="shared" si="3"/>
        <v/>
      </c>
      <c r="X25" s="287" t="str">
        <f t="shared" si="4"/>
        <v/>
      </c>
      <c r="Y25" s="287" t="str">
        <f t="shared" si="5"/>
        <v/>
      </c>
      <c r="Z25" s="317" t="str">
        <f>IFERROR(IF(OR(E25="",R25=""),"",IF(AND(Q25='G-7 WaterC'' Data'!$G$4,AA25="Yes"),"Alternative Compensation ✓",IF(AND(AA25="Pending",Q25='G-7 WaterC'' Data'!$G$4),"Bespoke compensation must be agreed ▲",IF((W25+X25)&gt;=R25,0,R25-W25-X25)))),"Check Data ⚠")</f>
        <v/>
      </c>
      <c r="AA25" s="800"/>
      <c r="AB25" s="136"/>
      <c r="AC25" s="104"/>
      <c r="AD25" s="104"/>
      <c r="AE25" s="54" t="str">
        <f>IF(OR(Q25="",AA25="Yes"),"",IF(Q25='G-1 All Habitats'!$X$9,E25-U25-V25,"None"))</f>
        <v/>
      </c>
      <c r="AF25" s="55" t="str">
        <f>IF(Q25="","",IF(Q25='G-1 All Habitats'!$X$9,AE25*G25*I25*L25*N25*P25,"None"))</f>
        <v/>
      </c>
      <c r="AI25" s="30">
        <f t="shared" si="9"/>
        <v>0</v>
      </c>
      <c r="AJ25" s="107" t="str">
        <f t="shared" si="6"/>
        <v/>
      </c>
      <c r="AK25" s="107" t="str">
        <f t="shared" si="7"/>
        <v/>
      </c>
      <c r="AM25" s="107">
        <v>16</v>
      </c>
      <c r="AO25" s="107" t="str">
        <f t="array" ref="AO25">IFERROR(INDEX($AM$10:$AM$258,MATCH(0,IF(TRUE=$AJ$10:$AJ$258,COUNTIF($AO$9:$AO24,$AM$10:$AM$258),""),0)),"")</f>
        <v/>
      </c>
      <c r="AP25" s="107" t="str">
        <f t="array" ref="AP25">IFERROR(INDEX($AM$10:$AM$258,MATCH(0,IF(TRUE=$AK$10:$AK$258,COUNTIF($AP$9:$AP24,$AM$10:$AM$258),""),0)),"")</f>
        <v/>
      </c>
      <c r="AR25" s="30" t="str">
        <f>IFERROR(INDEX('G-7 WaterC'' Data'!$AZ$3:$AZ$7,MATCH(D25,'G-7 WaterC'' Data'!$AY$3:$AY$7,0)),"")</f>
        <v/>
      </c>
      <c r="AS25" s="30" t="str">
        <f>IFERROR(INDEX('G-7 WaterC'' Data'!AZ25:AZ29,MATCH(D25,'G-7 WaterC'' Data'!$AY$10:$AY$14,0)),"")</f>
        <v/>
      </c>
      <c r="AT25" s="885" t="str">
        <f>IF(AND(OR(AA25="Yes",AA25="Pending"),Q25='G-7 WaterC'' Data'!$G$4),R25-W25-X25,"")</f>
        <v/>
      </c>
      <c r="AU25" s="30" t="str">
        <f>IF(D25="","",VLOOKUP(D25,'G-7 WaterC'' Data'!B$4:M$8,12,FALSE))</f>
        <v/>
      </c>
      <c r="AV25" s="30" t="str">
        <f t="shared" si="0"/>
        <v/>
      </c>
      <c r="AX25" s="30" t="str">
        <f t="shared" si="8"/>
        <v>No</v>
      </c>
    </row>
    <row r="26" spans="3:50" ht="14" hidden="1">
      <c r="C26" s="97">
        <v>17</v>
      </c>
      <c r="D26" s="260"/>
      <c r="E26" s="115"/>
      <c r="F26" s="275" t="str">
        <f>IF(D26="","",VLOOKUP(D26,'G-7 WaterC'' Data'!$B$2:$G$8,2,FALSE))</f>
        <v/>
      </c>
      <c r="G26" s="276" t="str">
        <f>IFERROR(VLOOKUP(F26,'G-7 WaterC'' Data'!$C$4:$D$8,2,FALSE),"")</f>
        <v/>
      </c>
      <c r="H26" s="52"/>
      <c r="I26" s="276" t="str">
        <f>IFERROR(INDEX('G-7 WaterC'' Data'!$H$4:$L$8,MATCH(D26,'G-7 WaterC'' Data'!$B$4:$B$8,0),MATCH(H26,'G-7 WaterC'' Data'!$H$3:$L$3,0)),"")</f>
        <v/>
      </c>
      <c r="J26" s="777"/>
      <c r="K26" s="311" t="str">
        <f>IF(J26="","",IF(VLOOKUP(J26,'G-7 WaterC'' Data'!$AK$4:$AM$6,2,FALSE)=0,"Spatial Data Missing ⚠",VLOOKUP(J26,'G-7 WaterC'' Data'!$AK$4:$AM$6,2,FALSE)))</f>
        <v/>
      </c>
      <c r="L26" s="281" t="str">
        <f>IF(J26="","",IF(VLOOKUP(J26,'G-7 WaterC'' Data'!$AK$4:$AM$9,3,FALSE)=0,"Spatial Data Missing ⚠",VLOOKUP(J26,'G-7 WaterC'' Data'!$AK$4:$AM$6,3,FALSE)))</f>
        <v/>
      </c>
      <c r="M26" s="52"/>
      <c r="N26" s="276" t="str">
        <f>IF(M26="","",IF(AND(D26&lt;&gt;"Culvert",M26="N/A - Culvert"),"Not possible ▲",IF(AND(D26="Culvert",M26&lt;&gt;"N/A - Culvert"),"Not possible ▲",IF(VLOOKUP(M26,'G-7 WaterC'' Data'!$AA$4:$AB$7,2,FALSE)=0,"Spatial Data Missing ⚠",VLOOKUP(M26,'G-7 WaterC'' Data'!$AA$4:$AB$7,2,FALSE)))))</f>
        <v/>
      </c>
      <c r="O26" s="56"/>
      <c r="P26" s="276" t="str">
        <f>IF(O26="","",IF(AND(O26="N/A - Culvert",D26&lt;&gt;"Culvert"),"Not possible ▲",IF(AND(D26="Culvert",O26&lt;&gt;"N/A - Culvert"),"Not possible ▲",IF(VLOOKUP(O26,'G-7 WaterC'' Data'!$AD$4:$AE$14,2,FALSE)=0,"Spatial Data Missing ⚠",VLOOKUP(O26,'G-7 WaterC'' Data'!$AD$4:$AE$14,2,FALSE)))))</f>
        <v/>
      </c>
      <c r="Q26" s="282" t="str">
        <f>IF(D26="","",VLOOKUP(D26,'G-7 WaterC'' Data'!$B$2:$G$8,6,FALSE))</f>
        <v/>
      </c>
      <c r="R26" s="289" t="str">
        <f t="shared" si="1"/>
        <v xml:space="preserve"> </v>
      </c>
      <c r="S26" s="803" t="str">
        <f t="shared" si="2"/>
        <v/>
      </c>
      <c r="T26" s="32"/>
      <c r="U26" s="101"/>
      <c r="V26" s="108"/>
      <c r="W26" s="287" t="str">
        <f t="shared" si="3"/>
        <v/>
      </c>
      <c r="X26" s="287" t="str">
        <f t="shared" si="4"/>
        <v/>
      </c>
      <c r="Y26" s="287" t="str">
        <f t="shared" si="5"/>
        <v/>
      </c>
      <c r="Z26" s="317" t="str">
        <f>IFERROR(IF(OR(E26="",R26=""),"",IF(AND(Q26='G-7 WaterC'' Data'!$G$4,AA26="Yes"),"Alternative Compensation ✓",IF(AND(AA26="Pending",Q26='G-7 WaterC'' Data'!$G$4),"Bespoke compensation must be agreed ▲",IF((W26+X26)&gt;=R26,0,R26-W26-X26)))),"Check Data ⚠")</f>
        <v/>
      </c>
      <c r="AA26" s="800"/>
      <c r="AB26" s="136"/>
      <c r="AC26" s="104"/>
      <c r="AD26" s="104"/>
      <c r="AE26" s="54" t="str">
        <f>IF(OR(Q26="",AA26="Yes"),"",IF(Q26='G-1 All Habitats'!$X$9,E26-U26-V26,"None"))</f>
        <v/>
      </c>
      <c r="AF26" s="55" t="str">
        <f>IF(Q26="","",IF(Q26='G-1 All Habitats'!$X$9,AE26*G26*I26*L26*N26*P26,"None"))</f>
        <v/>
      </c>
      <c r="AI26" s="30">
        <f t="shared" si="9"/>
        <v>0</v>
      </c>
      <c r="AJ26" s="107" t="str">
        <f t="shared" si="6"/>
        <v/>
      </c>
      <c r="AK26" s="107" t="str">
        <f t="shared" si="7"/>
        <v/>
      </c>
      <c r="AM26" s="107">
        <v>17</v>
      </c>
      <c r="AO26" s="107" t="str">
        <f t="array" ref="AO26">IFERROR(INDEX($AM$10:$AM$258,MATCH(0,IF(TRUE=$AJ$10:$AJ$258,COUNTIF($AO$9:$AO25,$AM$10:$AM$258),""),0)),"")</f>
        <v/>
      </c>
      <c r="AP26" s="107" t="str">
        <f t="array" ref="AP26">IFERROR(INDEX($AM$10:$AM$258,MATCH(0,IF(TRUE=$AK$10:$AK$258,COUNTIF($AP$9:$AP25,$AM$10:$AM$258),""),0)),"")</f>
        <v/>
      </c>
      <c r="AR26" s="30" t="str">
        <f>IFERROR(INDEX('G-7 WaterC'' Data'!$AZ$3:$AZ$7,MATCH(D26,'G-7 WaterC'' Data'!$AY$3:$AY$7,0)),"")</f>
        <v/>
      </c>
      <c r="AS26" s="30" t="str">
        <f>IFERROR(INDEX('G-7 WaterC'' Data'!AZ26:AZ30,MATCH(D26,'G-7 WaterC'' Data'!$AY$10:$AY$14,0)),"")</f>
        <v/>
      </c>
      <c r="AT26" s="885" t="str">
        <f>IF(AND(OR(AA26="Yes",AA26="Pending"),Q26='G-7 WaterC'' Data'!$G$4),R26-W26-X26,"")</f>
        <v/>
      </c>
      <c r="AU26" s="30" t="str">
        <f>IF(D26="","",VLOOKUP(D26,'G-7 WaterC'' Data'!B$4:M$8,12,FALSE))</f>
        <v/>
      </c>
      <c r="AV26" s="30" t="str">
        <f t="shared" si="0"/>
        <v/>
      </c>
      <c r="AX26" s="30" t="str">
        <f t="shared" si="8"/>
        <v>No</v>
      </c>
    </row>
    <row r="27" spans="3:50" ht="14" hidden="1">
      <c r="C27" s="97">
        <v>18</v>
      </c>
      <c r="D27" s="260"/>
      <c r="E27" s="115"/>
      <c r="F27" s="275" t="str">
        <f>IF(D27="","",VLOOKUP(D27,'G-7 WaterC'' Data'!$B$2:$G$8,2,FALSE))</f>
        <v/>
      </c>
      <c r="G27" s="276" t="str">
        <f>IFERROR(VLOOKUP(F27,'G-7 WaterC'' Data'!$C$4:$D$8,2,FALSE),"")</f>
        <v/>
      </c>
      <c r="H27" s="52"/>
      <c r="I27" s="276" t="str">
        <f>IFERROR(INDEX('G-7 WaterC'' Data'!$H$4:$L$8,MATCH(D27,'G-7 WaterC'' Data'!$B$4:$B$8,0),MATCH(H27,'G-7 WaterC'' Data'!$H$3:$L$3,0)),"")</f>
        <v/>
      </c>
      <c r="J27" s="777"/>
      <c r="K27" s="311" t="str">
        <f>IF(J27="","",IF(VLOOKUP(J27,'G-7 WaterC'' Data'!$AK$4:$AM$6,2,FALSE)=0,"Spatial Data Missing ⚠",VLOOKUP(J27,'G-7 WaterC'' Data'!$AK$4:$AM$6,2,FALSE)))</f>
        <v/>
      </c>
      <c r="L27" s="281" t="str">
        <f>IF(J27="","",IF(VLOOKUP(J27,'G-7 WaterC'' Data'!$AK$4:$AM$9,3,FALSE)=0,"Spatial Data Missing ⚠",VLOOKUP(J27,'G-7 WaterC'' Data'!$AK$4:$AM$6,3,FALSE)))</f>
        <v/>
      </c>
      <c r="M27" s="52"/>
      <c r="N27" s="276" t="str">
        <f>IF(M27="","",IF(AND(D27&lt;&gt;"Culvert",M27="N/A - Culvert"),"Not possible ▲",IF(AND(D27="Culvert",M27&lt;&gt;"N/A - Culvert"),"Not possible ▲",IF(VLOOKUP(M27,'G-7 WaterC'' Data'!$AA$4:$AB$7,2,FALSE)=0,"Spatial Data Missing ⚠",VLOOKUP(M27,'G-7 WaterC'' Data'!$AA$4:$AB$7,2,FALSE)))))</f>
        <v/>
      </c>
      <c r="O27" s="56"/>
      <c r="P27" s="276" t="str">
        <f>IF(O27="","",IF(AND(O27="N/A - Culvert",D27&lt;&gt;"Culvert"),"Not possible ▲",IF(AND(D27="Culvert",O27&lt;&gt;"N/A - Culvert"),"Not possible ▲",IF(VLOOKUP(O27,'G-7 WaterC'' Data'!$AD$4:$AE$14,2,FALSE)=0,"Spatial Data Missing ⚠",VLOOKUP(O27,'G-7 WaterC'' Data'!$AD$4:$AE$14,2,FALSE)))))</f>
        <v/>
      </c>
      <c r="Q27" s="282" t="str">
        <f>IF(D27="","",VLOOKUP(D27,'G-7 WaterC'' Data'!$B$2:$G$8,6,FALSE))</f>
        <v/>
      </c>
      <c r="R27" s="289" t="str">
        <f t="shared" si="1"/>
        <v xml:space="preserve"> </v>
      </c>
      <c r="S27" s="803" t="str">
        <f t="shared" si="2"/>
        <v/>
      </c>
      <c r="T27" s="32"/>
      <c r="U27" s="101"/>
      <c r="V27" s="108"/>
      <c r="W27" s="287" t="str">
        <f t="shared" si="3"/>
        <v/>
      </c>
      <c r="X27" s="287" t="str">
        <f t="shared" si="4"/>
        <v/>
      </c>
      <c r="Y27" s="287" t="str">
        <f t="shared" si="5"/>
        <v/>
      </c>
      <c r="Z27" s="317" t="str">
        <f>IFERROR(IF(OR(E27="",R27=""),"",IF(AND(Q27='G-7 WaterC'' Data'!$G$4,AA27="Yes"),"Alternative Compensation ✓",IF(AND(AA27="Pending",Q27='G-7 WaterC'' Data'!$G$4),"Bespoke compensation must be agreed ▲",IF((W27+X27)&gt;=R27,0,R27-W27-X27)))),"Check Data ⚠")</f>
        <v/>
      </c>
      <c r="AA27" s="800"/>
      <c r="AB27" s="136"/>
      <c r="AC27" s="104"/>
      <c r="AD27" s="104"/>
      <c r="AE27" s="54" t="str">
        <f>IF(OR(Q27="",AA27="Yes"),"",IF(Q27='G-1 All Habitats'!$X$9,E27-U27-V27,"None"))</f>
        <v/>
      </c>
      <c r="AF27" s="55" t="str">
        <f>IF(Q27="","",IF(Q27='G-1 All Habitats'!$X$9,AE27*G27*I27*L27*N27*P27,"None"))</f>
        <v/>
      </c>
      <c r="AI27" s="30">
        <f t="shared" si="9"/>
        <v>0</v>
      </c>
      <c r="AJ27" s="107" t="str">
        <f t="shared" si="6"/>
        <v/>
      </c>
      <c r="AK27" s="107" t="str">
        <f t="shared" si="7"/>
        <v/>
      </c>
      <c r="AM27" s="107">
        <v>18</v>
      </c>
      <c r="AO27" s="107" t="str">
        <f t="array" ref="AO27">IFERROR(INDEX($AM$10:$AM$258,MATCH(0,IF(TRUE=$AJ$10:$AJ$258,COUNTIF($AO$9:$AO26,$AM$10:$AM$258),""),0)),"")</f>
        <v/>
      </c>
      <c r="AP27" s="107" t="str">
        <f t="array" ref="AP27">IFERROR(INDEX($AM$10:$AM$258,MATCH(0,IF(TRUE=$AK$10:$AK$258,COUNTIF($AP$9:$AP26,$AM$10:$AM$258),""),0)),"")</f>
        <v/>
      </c>
      <c r="AR27" s="30" t="str">
        <f>IFERROR(INDEX('G-7 WaterC'' Data'!$AZ$3:$AZ$7,MATCH(D27,'G-7 WaterC'' Data'!$AY$3:$AY$7,0)),"")</f>
        <v/>
      </c>
      <c r="AS27" s="30" t="str">
        <f>IFERROR(INDEX('G-7 WaterC'' Data'!AZ27:AZ31,MATCH(D27,'G-7 WaterC'' Data'!$AY$10:$AY$14,0)),"")</f>
        <v/>
      </c>
      <c r="AT27" s="885" t="str">
        <f>IF(AND(OR(AA27="Yes",AA27="Pending"),Q27='G-7 WaterC'' Data'!$G$4),R27-W27-X27,"")</f>
        <v/>
      </c>
      <c r="AU27" s="30" t="str">
        <f>IF(D27="","",VLOOKUP(D27,'G-7 WaterC'' Data'!B$4:M$8,12,FALSE))</f>
        <v/>
      </c>
      <c r="AV27" s="30" t="str">
        <f t="shared" si="0"/>
        <v/>
      </c>
      <c r="AX27" s="30" t="str">
        <f t="shared" si="8"/>
        <v>No</v>
      </c>
    </row>
    <row r="28" spans="3:50" ht="14" hidden="1">
      <c r="C28" s="97">
        <v>19</v>
      </c>
      <c r="D28" s="260"/>
      <c r="E28" s="115"/>
      <c r="F28" s="275" t="str">
        <f>IF(D28="","",VLOOKUP(D28,'G-7 WaterC'' Data'!$B$2:$G$8,2,FALSE))</f>
        <v/>
      </c>
      <c r="G28" s="276" t="str">
        <f>IFERROR(VLOOKUP(F28,'G-7 WaterC'' Data'!$C$4:$D$8,2,FALSE),"")</f>
        <v/>
      </c>
      <c r="H28" s="52"/>
      <c r="I28" s="276" t="str">
        <f>IFERROR(INDEX('G-7 WaterC'' Data'!$H$4:$L$8,MATCH(D28,'G-7 WaterC'' Data'!$B$4:$B$8,0),MATCH(H28,'G-7 WaterC'' Data'!$H$3:$L$3,0)),"")</f>
        <v/>
      </c>
      <c r="J28" s="777"/>
      <c r="K28" s="311" t="str">
        <f>IF(J28="","",IF(VLOOKUP(J28,'G-7 WaterC'' Data'!$AK$4:$AM$6,2,FALSE)=0,"Spatial Data Missing ⚠",VLOOKUP(J28,'G-7 WaterC'' Data'!$AK$4:$AM$6,2,FALSE)))</f>
        <v/>
      </c>
      <c r="L28" s="281" t="str">
        <f>IF(J28="","",IF(VLOOKUP(J28,'G-7 WaterC'' Data'!$AK$4:$AM$9,3,FALSE)=0,"Spatial Data Missing ⚠",VLOOKUP(J28,'G-7 WaterC'' Data'!$AK$4:$AM$6,3,FALSE)))</f>
        <v/>
      </c>
      <c r="M28" s="52"/>
      <c r="N28" s="276" t="str">
        <f>IF(M28="","",IF(AND(D28&lt;&gt;"Culvert",M28="N/A - Culvert"),"Not possible ▲",IF(AND(D28="Culvert",M28&lt;&gt;"N/A - Culvert"),"Not possible ▲",IF(VLOOKUP(M28,'G-7 WaterC'' Data'!$AA$4:$AB$7,2,FALSE)=0,"Spatial Data Missing ⚠",VLOOKUP(M28,'G-7 WaterC'' Data'!$AA$4:$AB$7,2,FALSE)))))</f>
        <v/>
      </c>
      <c r="O28" s="56"/>
      <c r="P28" s="276" t="str">
        <f>IF(O28="","",IF(AND(O28="N/A - Culvert",D28&lt;&gt;"Culvert"),"Not possible ▲",IF(AND(D28="Culvert",O28&lt;&gt;"N/A - Culvert"),"Not possible ▲",IF(VLOOKUP(O28,'G-7 WaterC'' Data'!$AD$4:$AE$14,2,FALSE)=0,"Spatial Data Missing ⚠",VLOOKUP(O28,'G-7 WaterC'' Data'!$AD$4:$AE$14,2,FALSE)))))</f>
        <v/>
      </c>
      <c r="Q28" s="282" t="str">
        <f>IF(D28="","",VLOOKUP(D28,'G-7 WaterC'' Data'!$B$2:$G$8,6,FALSE))</f>
        <v/>
      </c>
      <c r="R28" s="289" t="str">
        <f t="shared" si="1"/>
        <v xml:space="preserve"> </v>
      </c>
      <c r="S28" s="803" t="str">
        <f t="shared" si="2"/>
        <v/>
      </c>
      <c r="T28" s="32"/>
      <c r="U28" s="101"/>
      <c r="V28" s="108"/>
      <c r="W28" s="287" t="str">
        <f t="shared" si="3"/>
        <v/>
      </c>
      <c r="X28" s="287" t="str">
        <f t="shared" si="4"/>
        <v/>
      </c>
      <c r="Y28" s="287" t="str">
        <f t="shared" si="5"/>
        <v/>
      </c>
      <c r="Z28" s="317" t="str">
        <f>IFERROR(IF(OR(E28="",R28=""),"",IF(AND(Q28='G-7 WaterC'' Data'!$G$4,AA28="Yes"),"Alternative Compensation ✓",IF(AND(AA28="Pending",Q28='G-7 WaterC'' Data'!$G$4),"Bespoke compensation must be agreed ▲",IF((W28+X28)&gt;=R28,0,R28-W28-X28)))),"Check Data ⚠")</f>
        <v/>
      </c>
      <c r="AA28" s="800"/>
      <c r="AB28" s="136"/>
      <c r="AC28" s="104"/>
      <c r="AD28" s="104"/>
      <c r="AE28" s="54" t="str">
        <f>IF(OR(Q28="",AA28="Yes"),"",IF(Q28='G-1 All Habitats'!$X$9,E28-U28-V28,"None"))</f>
        <v/>
      </c>
      <c r="AF28" s="55" t="str">
        <f>IF(Q28="","",IF(Q28='G-1 All Habitats'!$X$9,AE28*G28*I28*L28*N28*P28,"None"))</f>
        <v/>
      </c>
      <c r="AI28" s="30">
        <f t="shared" si="9"/>
        <v>0</v>
      </c>
      <c r="AJ28" s="107" t="str">
        <f t="shared" si="6"/>
        <v/>
      </c>
      <c r="AK28" s="107" t="str">
        <f t="shared" si="7"/>
        <v/>
      </c>
      <c r="AM28" s="107">
        <v>19</v>
      </c>
      <c r="AO28" s="107" t="str">
        <f t="array" ref="AO28">IFERROR(INDEX($AM$10:$AM$258,MATCH(0,IF(TRUE=$AJ$10:$AJ$258,COUNTIF($AO$9:$AO27,$AM$10:$AM$258),""),0)),"")</f>
        <v/>
      </c>
      <c r="AP28" s="107" t="str">
        <f t="array" ref="AP28">IFERROR(INDEX($AM$10:$AM$258,MATCH(0,IF(TRUE=$AK$10:$AK$258,COUNTIF($AP$9:$AP27,$AM$10:$AM$258),""),0)),"")</f>
        <v/>
      </c>
      <c r="AR28" s="30" t="str">
        <f>IFERROR(INDEX('G-7 WaterC'' Data'!$AZ$3:$AZ$7,MATCH(D28,'G-7 WaterC'' Data'!$AY$3:$AY$7,0)),"")</f>
        <v/>
      </c>
      <c r="AS28" s="30" t="str">
        <f>IFERROR(INDEX('G-7 WaterC'' Data'!AZ28:AZ32,MATCH(D28,'G-7 WaterC'' Data'!$AY$10:$AY$14,0)),"")</f>
        <v/>
      </c>
      <c r="AT28" s="885" t="str">
        <f>IF(AND(OR(AA28="Yes",AA28="Pending"),Q28='G-7 WaterC'' Data'!$G$4),R28-W28-X28,"")</f>
        <v/>
      </c>
      <c r="AU28" s="30" t="str">
        <f>IF(D28="","",VLOOKUP(D28,'G-7 WaterC'' Data'!B$4:M$8,12,FALSE))</f>
        <v/>
      </c>
      <c r="AV28" s="30" t="str">
        <f t="shared" si="0"/>
        <v/>
      </c>
      <c r="AX28" s="30" t="str">
        <f t="shared" si="8"/>
        <v>No</v>
      </c>
    </row>
    <row r="29" spans="3:50" ht="14" hidden="1">
      <c r="C29" s="97">
        <v>20</v>
      </c>
      <c r="D29" s="260"/>
      <c r="E29" s="115"/>
      <c r="F29" s="275" t="str">
        <f>IF(D29="","",VLOOKUP(D29,'G-7 WaterC'' Data'!$B$2:$G$8,2,FALSE))</f>
        <v/>
      </c>
      <c r="G29" s="276" t="str">
        <f>IFERROR(VLOOKUP(F29,'G-7 WaterC'' Data'!$C$4:$D$8,2,FALSE),"")</f>
        <v/>
      </c>
      <c r="H29" s="52"/>
      <c r="I29" s="276" t="str">
        <f>IFERROR(INDEX('G-7 WaterC'' Data'!$H$4:$L$8,MATCH(D29,'G-7 WaterC'' Data'!$B$4:$B$8,0),MATCH(H29,'G-7 WaterC'' Data'!$H$3:$L$3,0)),"")</f>
        <v/>
      </c>
      <c r="J29" s="777"/>
      <c r="K29" s="311" t="str">
        <f>IF(J29="","",IF(VLOOKUP(J29,'G-7 WaterC'' Data'!$AK$4:$AM$6,2,FALSE)=0,"Spatial Data Missing ⚠",VLOOKUP(J29,'G-7 WaterC'' Data'!$AK$4:$AM$6,2,FALSE)))</f>
        <v/>
      </c>
      <c r="L29" s="281" t="str">
        <f>IF(J29="","",IF(VLOOKUP(J29,'G-7 WaterC'' Data'!$AK$4:$AM$9,3,FALSE)=0,"Spatial Data Missing ⚠",VLOOKUP(J29,'G-7 WaterC'' Data'!$AK$4:$AM$6,3,FALSE)))</f>
        <v/>
      </c>
      <c r="M29" s="52"/>
      <c r="N29" s="276" t="str">
        <f>IF(M29="","",IF(AND(D29&lt;&gt;"Culvert",M29="N/A - Culvert"),"Not possible ▲",IF(AND(D29="Culvert",M29&lt;&gt;"N/A - Culvert"),"Not possible ▲",IF(VLOOKUP(M29,'G-7 WaterC'' Data'!$AA$4:$AB$7,2,FALSE)=0,"Spatial Data Missing ⚠",VLOOKUP(M29,'G-7 WaterC'' Data'!$AA$4:$AB$7,2,FALSE)))))</f>
        <v/>
      </c>
      <c r="O29" s="56"/>
      <c r="P29" s="276" t="str">
        <f>IF(O29="","",IF(AND(O29="N/A - Culvert",D29&lt;&gt;"Culvert"),"Not possible ▲",IF(AND(D29="Culvert",O29&lt;&gt;"N/A - Culvert"),"Not possible ▲",IF(VLOOKUP(O29,'G-7 WaterC'' Data'!$AD$4:$AE$14,2,FALSE)=0,"Spatial Data Missing ⚠",VLOOKUP(O29,'G-7 WaterC'' Data'!$AD$4:$AE$14,2,FALSE)))))</f>
        <v/>
      </c>
      <c r="Q29" s="282" t="str">
        <f>IF(D29="","",VLOOKUP(D29,'G-7 WaterC'' Data'!$B$2:$G$8,6,FALSE))</f>
        <v/>
      </c>
      <c r="R29" s="289" t="str">
        <f t="shared" si="1"/>
        <v xml:space="preserve"> </v>
      </c>
      <c r="S29" s="803" t="str">
        <f t="shared" si="2"/>
        <v/>
      </c>
      <c r="T29" s="32"/>
      <c r="U29" s="101"/>
      <c r="V29" s="108"/>
      <c r="W29" s="287" t="str">
        <f t="shared" si="3"/>
        <v/>
      </c>
      <c r="X29" s="287" t="str">
        <f t="shared" si="4"/>
        <v/>
      </c>
      <c r="Y29" s="287" t="str">
        <f t="shared" si="5"/>
        <v/>
      </c>
      <c r="Z29" s="317" t="str">
        <f>IFERROR(IF(OR(E29="",R29=""),"",IF(AND(Q29='G-7 WaterC'' Data'!$G$4,AA29="Yes"),"Alternative Compensation ✓",IF(AND(AA29="Pending",Q29='G-7 WaterC'' Data'!$G$4),"Bespoke compensation must be agreed ▲",IF((W29+X29)&gt;=R29,0,R29-W29-X29)))),"Check Data ⚠")</f>
        <v/>
      </c>
      <c r="AA29" s="800"/>
      <c r="AB29" s="136"/>
      <c r="AC29" s="104"/>
      <c r="AD29" s="104"/>
      <c r="AE29" s="54" t="str">
        <f>IF(OR(Q29="",AA29="Yes"),"",IF(Q29='G-1 All Habitats'!$X$9,E29-U29-V29,"None"))</f>
        <v/>
      </c>
      <c r="AF29" s="55" t="str">
        <f>IF(Q29="","",IF(Q29='G-1 All Habitats'!$X$9,AE29*G29*I29*L29*N29*P29,"None"))</f>
        <v/>
      </c>
      <c r="AI29" s="30">
        <f t="shared" si="9"/>
        <v>0</v>
      </c>
      <c r="AJ29" s="107" t="str">
        <f t="shared" si="6"/>
        <v/>
      </c>
      <c r="AK29" s="107" t="str">
        <f t="shared" si="7"/>
        <v/>
      </c>
      <c r="AM29" s="107">
        <v>20</v>
      </c>
      <c r="AO29" s="107" t="str">
        <f t="array" ref="AO29">IFERROR(INDEX($AM$10:$AM$258,MATCH(0,IF(TRUE=$AJ$10:$AJ$258,COUNTIF($AO$9:$AO28,$AM$10:$AM$258),""),0)),"")</f>
        <v/>
      </c>
      <c r="AP29" s="107" t="str">
        <f t="array" ref="AP29">IFERROR(INDEX($AM$10:$AM$258,MATCH(0,IF(TRUE=$AK$10:$AK$258,COUNTIF($AP$9:$AP28,$AM$10:$AM$258),""),0)),"")</f>
        <v/>
      </c>
      <c r="AR29" s="30" t="str">
        <f>IFERROR(INDEX('G-7 WaterC'' Data'!$AZ$3:$AZ$7,MATCH(D29,'G-7 WaterC'' Data'!$AY$3:$AY$7,0)),"")</f>
        <v/>
      </c>
      <c r="AS29" s="30" t="str">
        <f>IFERROR(INDEX('G-7 WaterC'' Data'!AZ29:AZ33,MATCH(D29,'G-7 WaterC'' Data'!$AY$10:$AY$14,0)),"")</f>
        <v/>
      </c>
      <c r="AT29" s="885" t="str">
        <f>IF(AND(OR(AA29="Yes",AA29="Pending"),Q29='G-7 WaterC'' Data'!$G$4),R29-W29-X29,"")</f>
        <v/>
      </c>
      <c r="AU29" s="30" t="str">
        <f>IF(D29="","",VLOOKUP(D29,'G-7 WaterC'' Data'!B$4:M$8,12,FALSE))</f>
        <v/>
      </c>
      <c r="AV29" s="30" t="str">
        <f t="shared" si="0"/>
        <v/>
      </c>
      <c r="AX29" s="30" t="str">
        <f t="shared" si="8"/>
        <v>No</v>
      </c>
    </row>
    <row r="30" spans="3:50" ht="14" hidden="1">
      <c r="C30" s="97">
        <v>21</v>
      </c>
      <c r="D30" s="260"/>
      <c r="E30" s="115"/>
      <c r="F30" s="275" t="str">
        <f>IF(D30="","",VLOOKUP(D30,'G-7 WaterC'' Data'!$B$2:$G$8,2,FALSE))</f>
        <v/>
      </c>
      <c r="G30" s="276" t="str">
        <f>IFERROR(VLOOKUP(F30,'G-7 WaterC'' Data'!$C$4:$D$8,2,FALSE),"")</f>
        <v/>
      </c>
      <c r="H30" s="52"/>
      <c r="I30" s="276" t="str">
        <f>IFERROR(INDEX('G-7 WaterC'' Data'!$H$4:$L$8,MATCH(D30,'G-7 WaterC'' Data'!$B$4:$B$8,0),MATCH(H30,'G-7 WaterC'' Data'!$H$3:$L$3,0)),"")</f>
        <v/>
      </c>
      <c r="J30" s="777"/>
      <c r="K30" s="311" t="str">
        <f>IF(J30="","",IF(VLOOKUP(J30,'G-7 WaterC'' Data'!$AK$4:$AM$6,2,FALSE)=0,"Spatial Data Missing ⚠",VLOOKUP(J30,'G-7 WaterC'' Data'!$AK$4:$AM$6,2,FALSE)))</f>
        <v/>
      </c>
      <c r="L30" s="281" t="str">
        <f>IF(J30="","",IF(VLOOKUP(J30,'G-7 WaterC'' Data'!$AK$4:$AM$9,3,FALSE)=0,"Spatial Data Missing ⚠",VLOOKUP(J30,'G-7 WaterC'' Data'!$AK$4:$AM$6,3,FALSE)))</f>
        <v/>
      </c>
      <c r="M30" s="52"/>
      <c r="N30" s="276" t="str">
        <f>IF(M30="","",IF(AND(D30&lt;&gt;"Culvert",M30="N/A - Culvert"),"Not possible ▲",IF(AND(D30="Culvert",M30&lt;&gt;"N/A - Culvert"),"Not possible ▲",IF(VLOOKUP(M30,'G-7 WaterC'' Data'!$AA$4:$AB$7,2,FALSE)=0,"Spatial Data Missing ⚠",VLOOKUP(M30,'G-7 WaterC'' Data'!$AA$4:$AB$7,2,FALSE)))))</f>
        <v/>
      </c>
      <c r="O30" s="56"/>
      <c r="P30" s="276" t="str">
        <f>IF(O30="","",IF(AND(O30="N/A - Culvert",D30&lt;&gt;"Culvert"),"Not possible ▲",IF(AND(D30="Culvert",O30&lt;&gt;"N/A - Culvert"),"Not possible ▲",IF(VLOOKUP(O30,'G-7 WaterC'' Data'!$AD$4:$AE$14,2,FALSE)=0,"Spatial Data Missing ⚠",VLOOKUP(O30,'G-7 WaterC'' Data'!$AD$4:$AE$14,2,FALSE)))))</f>
        <v/>
      </c>
      <c r="Q30" s="282" t="str">
        <f>IF(D30="","",VLOOKUP(D30,'G-7 WaterC'' Data'!$B$2:$G$8,6,FALSE))</f>
        <v/>
      </c>
      <c r="R30" s="289" t="str">
        <f t="shared" si="1"/>
        <v xml:space="preserve"> </v>
      </c>
      <c r="S30" s="803" t="str">
        <f t="shared" si="2"/>
        <v/>
      </c>
      <c r="T30" s="32"/>
      <c r="U30" s="101"/>
      <c r="V30" s="108"/>
      <c r="W30" s="287" t="str">
        <f t="shared" si="3"/>
        <v/>
      </c>
      <c r="X30" s="287" t="str">
        <f t="shared" si="4"/>
        <v/>
      </c>
      <c r="Y30" s="287" t="str">
        <f t="shared" si="5"/>
        <v/>
      </c>
      <c r="Z30" s="317" t="str">
        <f>IFERROR(IF(OR(E30="",R30=""),"",IF(AND(Q30='G-7 WaterC'' Data'!$G$4,AA30="Yes"),"Alternative Compensation ✓",IF(AND(AA30="Pending",Q30='G-7 WaterC'' Data'!$G$4),"Bespoke compensation must be agreed ▲",IF((W30+X30)&gt;=R30,0,R30-W30-X30)))),"Check Data ⚠")</f>
        <v/>
      </c>
      <c r="AA30" s="800"/>
      <c r="AB30" s="136"/>
      <c r="AC30" s="104"/>
      <c r="AD30" s="104"/>
      <c r="AE30" s="54" t="str">
        <f>IF(OR(Q30="",AA30="Yes"),"",IF(Q30='G-1 All Habitats'!$X$9,E30-U30-V30,"None"))</f>
        <v/>
      </c>
      <c r="AF30" s="55" t="str">
        <f>IF(Q30="","",IF(Q30='G-1 All Habitats'!$X$9,AE30*G30*I30*L30*N30*P30,"None"))</f>
        <v/>
      </c>
      <c r="AI30" s="30">
        <f t="shared" si="9"/>
        <v>0</v>
      </c>
      <c r="AJ30" s="107" t="str">
        <f t="shared" si="6"/>
        <v/>
      </c>
      <c r="AK30" s="107" t="str">
        <f t="shared" si="7"/>
        <v/>
      </c>
      <c r="AM30" s="107">
        <v>21</v>
      </c>
      <c r="AO30" s="107" t="str">
        <f t="array" ref="AO30">IFERROR(INDEX($AM$10:$AM$258,MATCH(0,IF(TRUE=$AJ$10:$AJ$258,COUNTIF($AO$9:$AO29,$AM$10:$AM$258),""),0)),"")</f>
        <v/>
      </c>
      <c r="AP30" s="107" t="str">
        <f t="array" ref="AP30">IFERROR(INDEX($AM$10:$AM$258,MATCH(0,IF(TRUE=$AK$10:$AK$258,COUNTIF($AP$9:$AP29,$AM$10:$AM$258),""),0)),"")</f>
        <v/>
      </c>
      <c r="AR30" s="30" t="str">
        <f>IFERROR(INDEX('G-7 WaterC'' Data'!$AZ$3:$AZ$7,MATCH(D30,'G-7 WaterC'' Data'!$AY$3:$AY$7,0)),"")</f>
        <v/>
      </c>
      <c r="AS30" s="30" t="str">
        <f>IFERROR(INDEX('G-7 WaterC'' Data'!AZ30:AZ34,MATCH(D30,'G-7 WaterC'' Data'!$AY$10:$AY$14,0)),"")</f>
        <v/>
      </c>
      <c r="AT30" s="885" t="str">
        <f>IF(AND(OR(AA30="Yes",AA30="Pending"),Q30='G-7 WaterC'' Data'!$G$4),R30-W30-X30,"")</f>
        <v/>
      </c>
      <c r="AU30" s="30" t="str">
        <f>IF(D30="","",VLOOKUP(D30,'G-7 WaterC'' Data'!B$4:M$8,12,FALSE))</f>
        <v/>
      </c>
      <c r="AV30" s="30" t="str">
        <f t="shared" si="0"/>
        <v/>
      </c>
      <c r="AX30" s="30" t="str">
        <f t="shared" si="8"/>
        <v>No</v>
      </c>
    </row>
    <row r="31" spans="3:50" ht="14" hidden="1">
      <c r="C31" s="97">
        <v>22</v>
      </c>
      <c r="D31" s="260"/>
      <c r="E31" s="115"/>
      <c r="F31" s="275" t="str">
        <f>IF(D31="","",VLOOKUP(D31,'G-7 WaterC'' Data'!$B$2:$G$8,2,FALSE))</f>
        <v/>
      </c>
      <c r="G31" s="276" t="str">
        <f>IFERROR(VLOOKUP(F31,'G-7 WaterC'' Data'!$C$4:$D$8,2,FALSE),"")</f>
        <v/>
      </c>
      <c r="H31" s="52"/>
      <c r="I31" s="276" t="str">
        <f>IFERROR(INDEX('G-7 WaterC'' Data'!$H$4:$L$8,MATCH(D31,'G-7 WaterC'' Data'!$B$4:$B$8,0),MATCH(H31,'G-7 WaterC'' Data'!$H$3:$L$3,0)),"")</f>
        <v/>
      </c>
      <c r="J31" s="777"/>
      <c r="K31" s="311" t="str">
        <f>IF(J31="","",IF(VLOOKUP(J31,'G-7 WaterC'' Data'!$AK$4:$AM$6,2,FALSE)=0,"Spatial Data Missing ⚠",VLOOKUP(J31,'G-7 WaterC'' Data'!$AK$4:$AM$6,2,FALSE)))</f>
        <v/>
      </c>
      <c r="L31" s="281" t="str">
        <f>IF(J31="","",IF(VLOOKUP(J31,'G-7 WaterC'' Data'!$AK$4:$AM$9,3,FALSE)=0,"Spatial Data Missing ⚠",VLOOKUP(J31,'G-7 WaterC'' Data'!$AK$4:$AM$6,3,FALSE)))</f>
        <v/>
      </c>
      <c r="M31" s="52"/>
      <c r="N31" s="276" t="str">
        <f>IF(M31="","",IF(AND(D31&lt;&gt;"Culvert",M31="N/A - Culvert"),"Not possible ▲",IF(AND(D31="Culvert",M31&lt;&gt;"N/A - Culvert"),"Not possible ▲",IF(VLOOKUP(M31,'G-7 WaterC'' Data'!$AA$4:$AB$7,2,FALSE)=0,"Spatial Data Missing ⚠",VLOOKUP(M31,'G-7 WaterC'' Data'!$AA$4:$AB$7,2,FALSE)))))</f>
        <v/>
      </c>
      <c r="O31" s="56"/>
      <c r="P31" s="276" t="str">
        <f>IF(O31="","",IF(AND(O31="N/A - Culvert",D31&lt;&gt;"Culvert"),"Not possible ▲",IF(AND(D31="Culvert",O31&lt;&gt;"N/A - Culvert"),"Not possible ▲",IF(VLOOKUP(O31,'G-7 WaterC'' Data'!$AD$4:$AE$14,2,FALSE)=0,"Spatial Data Missing ⚠",VLOOKUP(O31,'G-7 WaterC'' Data'!$AD$4:$AE$14,2,FALSE)))))</f>
        <v/>
      </c>
      <c r="Q31" s="282" t="str">
        <f>IF(D31="","",VLOOKUP(D31,'G-7 WaterC'' Data'!$B$2:$G$8,6,FALSE))</f>
        <v/>
      </c>
      <c r="R31" s="289" t="str">
        <f t="shared" si="1"/>
        <v xml:space="preserve"> </v>
      </c>
      <c r="S31" s="803" t="str">
        <f t="shared" si="2"/>
        <v/>
      </c>
      <c r="T31" s="32"/>
      <c r="U31" s="101"/>
      <c r="V31" s="108"/>
      <c r="W31" s="287" t="str">
        <f t="shared" si="3"/>
        <v/>
      </c>
      <c r="X31" s="287" t="str">
        <f t="shared" si="4"/>
        <v/>
      </c>
      <c r="Y31" s="287" t="str">
        <f t="shared" si="5"/>
        <v/>
      </c>
      <c r="Z31" s="317" t="str">
        <f>IFERROR(IF(OR(E31="",R31=""),"",IF(AND(Q31='G-7 WaterC'' Data'!$G$4,AA31="Yes"),"Alternative Compensation ✓",IF(AND(AA31="Pending",Q31='G-7 WaterC'' Data'!$G$4),"Bespoke compensation must be agreed ▲",IF((W31+X31)&gt;=R31,0,R31-W31-X31)))),"Check Data ⚠")</f>
        <v/>
      </c>
      <c r="AA31" s="800"/>
      <c r="AB31" s="136"/>
      <c r="AC31" s="104"/>
      <c r="AD31" s="104"/>
      <c r="AE31" s="54" t="str">
        <f>IF(OR(Q31="",AA31="Yes"),"",IF(Q31='G-1 All Habitats'!$X$9,E31-U31-V31,"None"))</f>
        <v/>
      </c>
      <c r="AF31" s="55" t="str">
        <f>IF(Q31="","",IF(Q31='G-1 All Habitats'!$X$9,AE31*G31*I31*L31*N31*P31,"None"))</f>
        <v/>
      </c>
      <c r="AI31" s="30">
        <f t="shared" si="9"/>
        <v>0</v>
      </c>
      <c r="AJ31" s="107" t="str">
        <f t="shared" si="6"/>
        <v/>
      </c>
      <c r="AK31" s="107" t="str">
        <f t="shared" si="7"/>
        <v/>
      </c>
      <c r="AM31" s="107">
        <v>22</v>
      </c>
      <c r="AO31" s="107" t="str">
        <f t="array" ref="AO31">IFERROR(INDEX($AM$10:$AM$258,MATCH(0,IF(TRUE=$AJ$10:$AJ$258,COUNTIF($AO$9:$AO30,$AM$10:$AM$258),""),0)),"")</f>
        <v/>
      </c>
      <c r="AP31" s="107" t="str">
        <f t="array" ref="AP31">IFERROR(INDEX($AM$10:$AM$258,MATCH(0,IF(TRUE=$AK$10:$AK$258,COUNTIF($AP$9:$AP30,$AM$10:$AM$258),""),0)),"")</f>
        <v/>
      </c>
      <c r="AR31" s="30" t="str">
        <f>IFERROR(INDEX('G-7 WaterC'' Data'!$AZ$3:$AZ$7,MATCH(D31,'G-7 WaterC'' Data'!$AY$3:$AY$7,0)),"")</f>
        <v/>
      </c>
      <c r="AS31" s="30" t="str">
        <f>IFERROR(INDEX('G-7 WaterC'' Data'!AZ31:AZ35,MATCH(D31,'G-7 WaterC'' Data'!$AY$10:$AY$14,0)),"")</f>
        <v/>
      </c>
      <c r="AT31" s="885" t="str">
        <f>IF(AND(OR(AA31="Yes",AA31="Pending"),Q31='G-7 WaterC'' Data'!$G$4),R31-W31-X31,"")</f>
        <v/>
      </c>
      <c r="AU31" s="30" t="str">
        <f>IF(D31="","",VLOOKUP(D31,'G-7 WaterC'' Data'!B$4:M$8,12,FALSE))</f>
        <v/>
      </c>
      <c r="AV31" s="30" t="str">
        <f t="shared" si="0"/>
        <v/>
      </c>
      <c r="AX31" s="30" t="str">
        <f t="shared" si="8"/>
        <v>No</v>
      </c>
    </row>
    <row r="32" spans="3:50" ht="14" hidden="1">
      <c r="C32" s="97">
        <v>23</v>
      </c>
      <c r="D32" s="260"/>
      <c r="E32" s="115"/>
      <c r="F32" s="275" t="str">
        <f>IF(D32="","",VLOOKUP(D32,'G-7 WaterC'' Data'!$B$2:$G$8,2,FALSE))</f>
        <v/>
      </c>
      <c r="G32" s="276" t="str">
        <f>IFERROR(VLOOKUP(F32,'G-7 WaterC'' Data'!$C$4:$D$8,2,FALSE),"")</f>
        <v/>
      </c>
      <c r="H32" s="52"/>
      <c r="I32" s="276" t="str">
        <f>IFERROR(INDEX('G-7 WaterC'' Data'!$H$4:$L$8,MATCH(D32,'G-7 WaterC'' Data'!$B$4:$B$8,0),MATCH(H32,'G-7 WaterC'' Data'!$H$3:$L$3,0)),"")</f>
        <v/>
      </c>
      <c r="J32" s="777"/>
      <c r="K32" s="311" t="str">
        <f>IF(J32="","",IF(VLOOKUP(J32,'G-7 WaterC'' Data'!$AK$4:$AM$6,2,FALSE)=0,"Spatial Data Missing ⚠",VLOOKUP(J32,'G-7 WaterC'' Data'!$AK$4:$AM$6,2,FALSE)))</f>
        <v/>
      </c>
      <c r="L32" s="281" t="str">
        <f>IF(J32="","",IF(VLOOKUP(J32,'G-7 WaterC'' Data'!$AK$4:$AM$9,3,FALSE)=0,"Spatial Data Missing ⚠",VLOOKUP(J32,'G-7 WaterC'' Data'!$AK$4:$AM$6,3,FALSE)))</f>
        <v/>
      </c>
      <c r="M32" s="52"/>
      <c r="N32" s="276" t="str">
        <f>IF(M32="","",IF(AND(D32&lt;&gt;"Culvert",M32="N/A - Culvert"),"Not possible ▲",IF(AND(D32="Culvert",M32&lt;&gt;"N/A - Culvert"),"Not possible ▲",IF(VLOOKUP(M32,'G-7 WaterC'' Data'!$AA$4:$AB$7,2,FALSE)=0,"Spatial Data Missing ⚠",VLOOKUP(M32,'G-7 WaterC'' Data'!$AA$4:$AB$7,2,FALSE)))))</f>
        <v/>
      </c>
      <c r="O32" s="56"/>
      <c r="P32" s="276" t="str">
        <f>IF(O32="","",IF(AND(O32="N/A - Culvert",D32&lt;&gt;"Culvert"),"Not possible ▲",IF(AND(D32="Culvert",O32&lt;&gt;"N/A - Culvert"),"Not possible ▲",IF(VLOOKUP(O32,'G-7 WaterC'' Data'!$AD$4:$AE$14,2,FALSE)=0,"Spatial Data Missing ⚠",VLOOKUP(O32,'G-7 WaterC'' Data'!$AD$4:$AE$14,2,FALSE)))))</f>
        <v/>
      </c>
      <c r="Q32" s="282" t="str">
        <f>IF(D32="","",VLOOKUP(D32,'G-7 WaterC'' Data'!$B$2:$G$8,6,FALSE))</f>
        <v/>
      </c>
      <c r="R32" s="289" t="str">
        <f t="shared" si="1"/>
        <v xml:space="preserve"> </v>
      </c>
      <c r="S32" s="803" t="str">
        <f t="shared" si="2"/>
        <v/>
      </c>
      <c r="T32" s="32"/>
      <c r="U32" s="101"/>
      <c r="V32" s="108"/>
      <c r="W32" s="287" t="str">
        <f t="shared" si="3"/>
        <v/>
      </c>
      <c r="X32" s="287" t="str">
        <f t="shared" si="4"/>
        <v/>
      </c>
      <c r="Y32" s="287" t="str">
        <f t="shared" si="5"/>
        <v/>
      </c>
      <c r="Z32" s="317" t="str">
        <f>IFERROR(IF(OR(E32="",R32=""),"",IF(AND(Q32='G-7 WaterC'' Data'!$G$4,AA32="Yes"),"Alternative Compensation ✓",IF(AND(AA32="Pending",Q32='G-7 WaterC'' Data'!$G$4),"Bespoke compensation must be agreed ▲",IF((W32+X32)&gt;=R32,0,R32-W32-X32)))),"Check Data ⚠")</f>
        <v/>
      </c>
      <c r="AA32" s="800"/>
      <c r="AB32" s="136"/>
      <c r="AC32" s="104"/>
      <c r="AD32" s="104"/>
      <c r="AE32" s="54" t="str">
        <f>IF(OR(Q32="",AA32="Yes"),"",IF(Q32='G-1 All Habitats'!$X$9,E32-U32-V32,"None"))</f>
        <v/>
      </c>
      <c r="AF32" s="55" t="str">
        <f>IF(Q32="","",IF(Q32='G-1 All Habitats'!$X$9,AE32*G32*I32*L32*N32*P32,"None"))</f>
        <v/>
      </c>
      <c r="AI32" s="30">
        <f t="shared" si="9"/>
        <v>0</v>
      </c>
      <c r="AJ32" s="107" t="str">
        <f t="shared" si="6"/>
        <v/>
      </c>
      <c r="AK32" s="107" t="str">
        <f t="shared" si="7"/>
        <v/>
      </c>
      <c r="AM32" s="107">
        <v>23</v>
      </c>
      <c r="AO32" s="107" t="str">
        <f t="array" ref="AO32">IFERROR(INDEX($AM$10:$AM$258,MATCH(0,IF(TRUE=$AJ$10:$AJ$258,COUNTIF($AO$9:$AO31,$AM$10:$AM$258),""),0)),"")</f>
        <v/>
      </c>
      <c r="AP32" s="107" t="str">
        <f t="array" ref="AP32">IFERROR(INDEX($AM$10:$AM$258,MATCH(0,IF(TRUE=$AK$10:$AK$258,COUNTIF($AP$9:$AP31,$AM$10:$AM$258),""),0)),"")</f>
        <v/>
      </c>
      <c r="AR32" s="30" t="str">
        <f>IFERROR(INDEX('G-7 WaterC'' Data'!$AZ$3:$AZ$7,MATCH(D32,'G-7 WaterC'' Data'!$AY$3:$AY$7,0)),"")</f>
        <v/>
      </c>
      <c r="AS32" s="30" t="str">
        <f>IFERROR(INDEX('G-7 WaterC'' Data'!AZ32:AZ36,MATCH(D32,'G-7 WaterC'' Data'!$AY$10:$AY$14,0)),"")</f>
        <v/>
      </c>
      <c r="AT32" s="885" t="str">
        <f>IF(AND(OR(AA32="Yes",AA32="Pending"),Q32='G-7 WaterC'' Data'!$G$4),R32-W32-X32,"")</f>
        <v/>
      </c>
      <c r="AU32" s="30" t="str">
        <f>IF(D32="","",VLOOKUP(D32,'G-7 WaterC'' Data'!B$4:M$8,12,FALSE))</f>
        <v/>
      </c>
      <c r="AV32" s="30" t="str">
        <f t="shared" si="0"/>
        <v/>
      </c>
      <c r="AX32" s="30" t="str">
        <f t="shared" si="8"/>
        <v>No</v>
      </c>
    </row>
    <row r="33" spans="3:50" ht="14" hidden="1">
      <c r="C33" s="97">
        <v>24</v>
      </c>
      <c r="D33" s="261"/>
      <c r="E33" s="115"/>
      <c r="F33" s="275" t="str">
        <f>IF(D33="","",VLOOKUP(D33,'G-7 WaterC'' Data'!$B$2:$G$8,2,FALSE))</f>
        <v/>
      </c>
      <c r="G33" s="276" t="str">
        <f>IFERROR(VLOOKUP(F33,'G-7 WaterC'' Data'!$C$4:$D$8,2,FALSE),"")</f>
        <v/>
      </c>
      <c r="H33" s="52"/>
      <c r="I33" s="276" t="str">
        <f>IFERROR(INDEX('G-7 WaterC'' Data'!$H$4:$L$8,MATCH(D33,'G-7 WaterC'' Data'!$B$4:$B$8,0),MATCH(H33,'G-7 WaterC'' Data'!$H$3:$L$3,0)),"")</f>
        <v/>
      </c>
      <c r="J33" s="777"/>
      <c r="K33" s="311" t="str">
        <f>IF(J33="","",IF(VLOOKUP(J33,'G-7 WaterC'' Data'!$AK$4:$AM$6,2,FALSE)=0,"Spatial Data Missing ⚠",VLOOKUP(J33,'G-7 WaterC'' Data'!$AK$4:$AM$6,2,FALSE)))</f>
        <v/>
      </c>
      <c r="L33" s="281" t="str">
        <f>IF(J33="","",IF(VLOOKUP(J33,'G-7 WaterC'' Data'!$AK$4:$AM$9,3,FALSE)=0,"Spatial Data Missing ⚠",VLOOKUP(J33,'G-7 WaterC'' Data'!$AK$4:$AM$6,3,FALSE)))</f>
        <v/>
      </c>
      <c r="M33" s="52"/>
      <c r="N33" s="276" t="str">
        <f>IF(M33="","",IF(AND(D33&lt;&gt;"Culvert",M33="N/A - Culvert"),"Not possible ▲",IF(AND(D33="Culvert",M33&lt;&gt;"N/A - Culvert"),"Not possible ▲",IF(VLOOKUP(M33,'G-7 WaterC'' Data'!$AA$4:$AB$7,2,FALSE)=0,"Spatial Data Missing ⚠",VLOOKUP(M33,'G-7 WaterC'' Data'!$AA$4:$AB$7,2,FALSE)))))</f>
        <v/>
      </c>
      <c r="O33" s="56"/>
      <c r="P33" s="276" t="str">
        <f>IF(O33="","",IF(AND(O33="N/A - Culvert",D33&lt;&gt;"Culvert"),"Not possible ▲",IF(AND(D33="Culvert",O33&lt;&gt;"N/A - Culvert"),"Not possible ▲",IF(VLOOKUP(O33,'G-7 WaterC'' Data'!$AD$4:$AE$14,2,FALSE)=0,"Spatial Data Missing ⚠",VLOOKUP(O33,'G-7 WaterC'' Data'!$AD$4:$AE$14,2,FALSE)))))</f>
        <v/>
      </c>
      <c r="Q33" s="282" t="str">
        <f>IF(D33="","",VLOOKUP(D33,'G-7 WaterC'' Data'!$B$2:$G$8,6,FALSE))</f>
        <v/>
      </c>
      <c r="R33" s="289" t="str">
        <f t="shared" si="1"/>
        <v xml:space="preserve"> </v>
      </c>
      <c r="S33" s="803" t="str">
        <f t="shared" si="2"/>
        <v/>
      </c>
      <c r="T33" s="32"/>
      <c r="U33" s="101"/>
      <c r="V33" s="108"/>
      <c r="W33" s="287" t="str">
        <f t="shared" si="3"/>
        <v/>
      </c>
      <c r="X33" s="287" t="str">
        <f t="shared" si="4"/>
        <v/>
      </c>
      <c r="Y33" s="287" t="str">
        <f t="shared" si="5"/>
        <v/>
      </c>
      <c r="Z33" s="317" t="str">
        <f>IFERROR(IF(OR(E33="",R33=""),"",IF(AND(Q33='G-7 WaterC'' Data'!$G$4,AA33="Yes"),"Alternative Compensation ✓",IF(AND(AA33="Pending",Q33='G-7 WaterC'' Data'!$G$4),"Bespoke compensation must be agreed ▲",IF((W33+X33)&gt;=R33,0,R33-W33-X33)))),"Check Data ⚠")</f>
        <v/>
      </c>
      <c r="AA33" s="800"/>
      <c r="AB33" s="136"/>
      <c r="AC33" s="104"/>
      <c r="AD33" s="104"/>
      <c r="AE33" s="54" t="str">
        <f>IF(OR(Q33="",AA33="Yes"),"",IF(Q33='G-1 All Habitats'!$X$9,E33-U33-V33,"None"))</f>
        <v/>
      </c>
      <c r="AF33" s="55" t="str">
        <f>IF(Q33="","",IF(Q33='G-1 All Habitats'!$X$9,AE33*G33*I33*L33*N33*P33,"None"))</f>
        <v/>
      </c>
      <c r="AI33" s="30">
        <f t="shared" si="9"/>
        <v>0</v>
      </c>
      <c r="AJ33" s="107" t="str">
        <f t="shared" si="6"/>
        <v/>
      </c>
      <c r="AK33" s="107" t="str">
        <f t="shared" si="7"/>
        <v/>
      </c>
      <c r="AM33" s="107">
        <v>24</v>
      </c>
      <c r="AO33" s="107" t="str">
        <f t="array" ref="AO33">IFERROR(INDEX($AM$10:$AM$258,MATCH(0,IF(TRUE=$AJ$10:$AJ$258,COUNTIF($AO$9:$AO32,$AM$10:$AM$258),""),0)),"")</f>
        <v/>
      </c>
      <c r="AP33" s="107" t="str">
        <f t="array" ref="AP33">IFERROR(INDEX($AM$10:$AM$258,MATCH(0,IF(TRUE=$AK$10:$AK$258,COUNTIF($AP$9:$AP32,$AM$10:$AM$258),""),0)),"")</f>
        <v/>
      </c>
      <c r="AR33" s="30" t="str">
        <f>IFERROR(INDEX('G-7 WaterC'' Data'!$AZ$3:$AZ$7,MATCH(D33,'G-7 WaterC'' Data'!$AY$3:$AY$7,0)),"")</f>
        <v/>
      </c>
      <c r="AS33" s="30" t="str">
        <f>IFERROR(INDEX('G-7 WaterC'' Data'!AZ33:AZ37,MATCH(D33,'G-7 WaterC'' Data'!$AY$10:$AY$14,0)),"")</f>
        <v/>
      </c>
      <c r="AT33" s="885" t="str">
        <f>IF(AND(OR(AA33="Yes",AA33="Pending"),Q33='G-7 WaterC'' Data'!$G$4),R33-W33-X33,"")</f>
        <v/>
      </c>
      <c r="AU33" s="30" t="str">
        <f>IF(D33="","",VLOOKUP(D33,'G-7 WaterC'' Data'!B$4:M$8,12,FALSE))</f>
        <v/>
      </c>
      <c r="AV33" s="30" t="str">
        <f t="shared" si="0"/>
        <v/>
      </c>
      <c r="AX33" s="30" t="str">
        <f t="shared" si="8"/>
        <v>No</v>
      </c>
    </row>
    <row r="34" spans="3:50" ht="14" hidden="1">
      <c r="C34" s="97">
        <v>25</v>
      </c>
      <c r="D34" s="261"/>
      <c r="E34" s="115"/>
      <c r="F34" s="275" t="str">
        <f>IF(D34="","",VLOOKUP(D34,'G-7 WaterC'' Data'!$B$2:$G$8,2,FALSE))</f>
        <v/>
      </c>
      <c r="G34" s="276" t="str">
        <f>IFERROR(VLOOKUP(F34,'G-7 WaterC'' Data'!$C$4:$D$8,2,FALSE),"")</f>
        <v/>
      </c>
      <c r="H34" s="52"/>
      <c r="I34" s="276" t="str">
        <f>IFERROR(INDEX('G-7 WaterC'' Data'!$H$4:$L$8,MATCH(D34,'G-7 WaterC'' Data'!$B$4:$B$8,0),MATCH(H34,'G-7 WaterC'' Data'!$H$3:$L$3,0)),"")</f>
        <v/>
      </c>
      <c r="J34" s="777"/>
      <c r="K34" s="311" t="str">
        <f>IF(J34="","",IF(VLOOKUP(J34,'G-7 WaterC'' Data'!$AK$4:$AM$6,2,FALSE)=0,"Spatial Data Missing ⚠",VLOOKUP(J34,'G-7 WaterC'' Data'!$AK$4:$AM$6,2,FALSE)))</f>
        <v/>
      </c>
      <c r="L34" s="281" t="str">
        <f>IF(J34="","",IF(VLOOKUP(J34,'G-7 WaterC'' Data'!$AK$4:$AM$9,3,FALSE)=0,"Spatial Data Missing ⚠",VLOOKUP(J34,'G-7 WaterC'' Data'!$AK$4:$AM$6,3,FALSE)))</f>
        <v/>
      </c>
      <c r="M34" s="52"/>
      <c r="N34" s="276" t="str">
        <f>IF(M34="","",IF(AND(D34&lt;&gt;"Culvert",M34="N/A - Culvert"),"Not possible ▲",IF(AND(D34="Culvert",M34&lt;&gt;"N/A - Culvert"),"Not possible ▲",IF(VLOOKUP(M34,'G-7 WaterC'' Data'!$AA$4:$AB$7,2,FALSE)=0,"Spatial Data Missing ⚠",VLOOKUP(M34,'G-7 WaterC'' Data'!$AA$4:$AB$7,2,FALSE)))))</f>
        <v/>
      </c>
      <c r="O34" s="56"/>
      <c r="P34" s="276" t="str">
        <f>IF(O34="","",IF(AND(O34="N/A - Culvert",D34&lt;&gt;"Culvert"),"Not possible ▲",IF(AND(D34="Culvert",O34&lt;&gt;"N/A - Culvert"),"Not possible ▲",IF(VLOOKUP(O34,'G-7 WaterC'' Data'!$AD$4:$AE$14,2,FALSE)=0,"Spatial Data Missing ⚠",VLOOKUP(O34,'G-7 WaterC'' Data'!$AD$4:$AE$14,2,FALSE)))))</f>
        <v/>
      </c>
      <c r="Q34" s="282" t="str">
        <f>IF(D34="","",VLOOKUP(D34,'G-7 WaterC'' Data'!$B$2:$G$8,6,FALSE))</f>
        <v/>
      </c>
      <c r="R34" s="289" t="str">
        <f t="shared" si="1"/>
        <v xml:space="preserve"> </v>
      </c>
      <c r="S34" s="803" t="str">
        <f t="shared" si="2"/>
        <v/>
      </c>
      <c r="T34" s="32"/>
      <c r="U34" s="101"/>
      <c r="V34" s="108"/>
      <c r="W34" s="287" t="str">
        <f t="shared" si="3"/>
        <v/>
      </c>
      <c r="X34" s="287" t="str">
        <f t="shared" si="4"/>
        <v/>
      </c>
      <c r="Y34" s="287" t="str">
        <f t="shared" si="5"/>
        <v/>
      </c>
      <c r="Z34" s="317" t="str">
        <f>IFERROR(IF(OR(E34="",R34=""),"",IF(AND(Q34='G-7 WaterC'' Data'!$G$4,AA34="Yes"),"Alternative Compensation ✓",IF(AND(AA34="Pending",Q34='G-7 WaterC'' Data'!$G$4),"Bespoke compensation must be agreed ▲",IF((W34+X34)&gt;=R34,0,R34-W34-X34)))),"Check Data ⚠")</f>
        <v/>
      </c>
      <c r="AA34" s="800"/>
      <c r="AB34" s="136"/>
      <c r="AC34" s="104"/>
      <c r="AD34" s="104"/>
      <c r="AE34" s="54" t="str">
        <f>IF(OR(Q34="",AA34="Yes"),"",IF(Q34='G-1 All Habitats'!$X$9,E34-U34-V34,"None"))</f>
        <v/>
      </c>
      <c r="AF34" s="55" t="str">
        <f>IF(Q34="","",IF(Q34='G-1 All Habitats'!$X$9,AE34*G34*I34*L34*N34*P34,"None"))</f>
        <v/>
      </c>
      <c r="AI34" s="30">
        <f t="shared" si="9"/>
        <v>0</v>
      </c>
      <c r="AJ34" s="107" t="str">
        <f t="shared" si="6"/>
        <v/>
      </c>
      <c r="AK34" s="107" t="str">
        <f t="shared" si="7"/>
        <v/>
      </c>
      <c r="AM34" s="107">
        <v>25</v>
      </c>
      <c r="AO34" s="107" t="str">
        <f t="array" ref="AO34">IFERROR(INDEX($AM$10:$AM$258,MATCH(0,IF(TRUE=$AJ$10:$AJ$258,COUNTIF($AO$9:$AO33,$AM$10:$AM$258),""),0)),"")</f>
        <v/>
      </c>
      <c r="AP34" s="107" t="str">
        <f t="array" ref="AP34">IFERROR(INDEX($AM$10:$AM$258,MATCH(0,IF(TRUE=$AK$10:$AK$258,COUNTIF($AP$9:$AP33,$AM$10:$AM$258),""),0)),"")</f>
        <v/>
      </c>
      <c r="AR34" s="30" t="str">
        <f>IFERROR(INDEX('G-7 WaterC'' Data'!$AZ$3:$AZ$7,MATCH(D34,'G-7 WaterC'' Data'!$AY$3:$AY$7,0)),"")</f>
        <v/>
      </c>
      <c r="AS34" s="30" t="str">
        <f>IFERROR(INDEX('G-7 WaterC'' Data'!AZ34:AZ38,MATCH(D34,'G-7 WaterC'' Data'!$AY$10:$AY$14,0)),"")</f>
        <v/>
      </c>
      <c r="AT34" s="885" t="str">
        <f>IF(AND(OR(AA34="Yes",AA34="Pending"),Q34='G-7 WaterC'' Data'!$G$4),R34-W34-X34,"")</f>
        <v/>
      </c>
      <c r="AU34" s="30" t="str">
        <f>IF(D34="","",VLOOKUP(D34,'G-7 WaterC'' Data'!B$4:M$8,12,FALSE))</f>
        <v/>
      </c>
      <c r="AV34" s="30" t="str">
        <f t="shared" si="0"/>
        <v/>
      </c>
      <c r="AX34" s="30" t="str">
        <f t="shared" si="8"/>
        <v>No</v>
      </c>
    </row>
    <row r="35" spans="3:50" ht="14" hidden="1">
      <c r="C35" s="97">
        <v>26</v>
      </c>
      <c r="D35" s="261"/>
      <c r="E35" s="115"/>
      <c r="F35" s="275" t="str">
        <f>IF(D35="","",VLOOKUP(D35,'G-7 WaterC'' Data'!$B$2:$G$8,2,FALSE))</f>
        <v/>
      </c>
      <c r="G35" s="276" t="str">
        <f>IFERROR(VLOOKUP(F35,'G-7 WaterC'' Data'!$C$4:$D$8,2,FALSE),"")</f>
        <v/>
      </c>
      <c r="H35" s="52"/>
      <c r="I35" s="276" t="str">
        <f>IFERROR(INDEX('G-7 WaterC'' Data'!$H$4:$L$8,MATCH(D35,'G-7 WaterC'' Data'!$B$4:$B$8,0),MATCH(H35,'G-7 WaterC'' Data'!$H$3:$L$3,0)),"")</f>
        <v/>
      </c>
      <c r="J35" s="777"/>
      <c r="K35" s="311" t="str">
        <f>IF(J35="","",IF(VLOOKUP(J35,'G-7 WaterC'' Data'!$AK$4:$AM$6,2,FALSE)=0,"Spatial Data Missing ⚠",VLOOKUP(J35,'G-7 WaterC'' Data'!$AK$4:$AM$6,2,FALSE)))</f>
        <v/>
      </c>
      <c r="L35" s="281" t="str">
        <f>IF(J35="","",IF(VLOOKUP(J35,'G-7 WaterC'' Data'!$AK$4:$AM$9,3,FALSE)=0,"Spatial Data Missing ⚠",VLOOKUP(J35,'G-7 WaterC'' Data'!$AK$4:$AM$6,3,FALSE)))</f>
        <v/>
      </c>
      <c r="M35" s="52"/>
      <c r="N35" s="276" t="str">
        <f>IF(M35="","",IF(AND(D35&lt;&gt;"Culvert",M35="N/A - Culvert"),"Not possible ▲",IF(AND(D35="Culvert",M35&lt;&gt;"N/A - Culvert"),"Not possible ▲",IF(VLOOKUP(M35,'G-7 WaterC'' Data'!$AA$4:$AB$7,2,FALSE)=0,"Spatial Data Missing ⚠",VLOOKUP(M35,'G-7 WaterC'' Data'!$AA$4:$AB$7,2,FALSE)))))</f>
        <v/>
      </c>
      <c r="O35" s="56"/>
      <c r="P35" s="276" t="str">
        <f>IF(O35="","",IF(AND(O35="N/A - Culvert",D35&lt;&gt;"Culvert"),"Not possible ▲",IF(AND(D35="Culvert",O35&lt;&gt;"N/A - Culvert"),"Not possible ▲",IF(VLOOKUP(O35,'G-7 WaterC'' Data'!$AD$4:$AE$14,2,FALSE)=0,"Spatial Data Missing ⚠",VLOOKUP(O35,'G-7 WaterC'' Data'!$AD$4:$AE$14,2,FALSE)))))</f>
        <v/>
      </c>
      <c r="Q35" s="282" t="str">
        <f>IF(D35="","",VLOOKUP(D35,'G-7 WaterC'' Data'!$B$2:$G$8,6,FALSE))</f>
        <v/>
      </c>
      <c r="R35" s="289" t="str">
        <f t="shared" si="1"/>
        <v xml:space="preserve"> </v>
      </c>
      <c r="S35" s="803" t="str">
        <f t="shared" si="2"/>
        <v/>
      </c>
      <c r="T35" s="32"/>
      <c r="U35" s="101"/>
      <c r="V35" s="108"/>
      <c r="W35" s="287" t="str">
        <f t="shared" si="3"/>
        <v/>
      </c>
      <c r="X35" s="287" t="str">
        <f t="shared" si="4"/>
        <v/>
      </c>
      <c r="Y35" s="287" t="str">
        <f t="shared" si="5"/>
        <v/>
      </c>
      <c r="Z35" s="317" t="str">
        <f>IFERROR(IF(OR(E35="",R35=""),"",IF(AND(Q35='G-7 WaterC'' Data'!$G$4,AA35="Yes"),"Alternative Compensation ✓",IF(AND(AA35="Pending",Q35='G-7 WaterC'' Data'!$G$4),"Bespoke compensation must be agreed ▲",IF((W35+X35)&gt;=R35,0,R35-W35-X35)))),"Check Data ⚠")</f>
        <v/>
      </c>
      <c r="AA35" s="800"/>
      <c r="AB35" s="136"/>
      <c r="AC35" s="104"/>
      <c r="AD35" s="104"/>
      <c r="AE35" s="54" t="str">
        <f>IF(OR(Q35="",AA35="Yes"),"",IF(Q35='G-1 All Habitats'!$X$9,E35-U35-V35,"None"))</f>
        <v/>
      </c>
      <c r="AF35" s="55" t="str">
        <f>IF(Q35="","",IF(Q35='G-1 All Habitats'!$X$9,AE35*G35*I35*L35*N35*P35,"None"))</f>
        <v/>
      </c>
      <c r="AI35" s="30">
        <f t="shared" si="9"/>
        <v>0</v>
      </c>
      <c r="AJ35" s="107" t="str">
        <f t="shared" si="6"/>
        <v/>
      </c>
      <c r="AK35" s="107" t="str">
        <f t="shared" si="7"/>
        <v/>
      </c>
      <c r="AM35" s="107">
        <v>26</v>
      </c>
      <c r="AO35" s="107" t="str">
        <f t="array" ref="AO35">IFERROR(INDEX($AM$10:$AM$258,MATCH(0,IF(TRUE=$AJ$10:$AJ$258,COUNTIF($AO$9:$AO34,$AM$10:$AM$258),""),0)),"")</f>
        <v/>
      </c>
      <c r="AP35" s="107" t="str">
        <f t="array" ref="AP35">IFERROR(INDEX($AM$10:$AM$258,MATCH(0,IF(TRUE=$AK$10:$AK$258,COUNTIF($AP$9:$AP34,$AM$10:$AM$258),""),0)),"")</f>
        <v/>
      </c>
      <c r="AR35" s="30" t="str">
        <f>IFERROR(INDEX('G-7 WaterC'' Data'!$AZ$3:$AZ$7,MATCH(D35,'G-7 WaterC'' Data'!$AY$3:$AY$7,0)),"")</f>
        <v/>
      </c>
      <c r="AS35" s="30" t="str">
        <f>IFERROR(INDEX('G-7 WaterC'' Data'!AZ35:AZ39,MATCH(D35,'G-7 WaterC'' Data'!$AY$10:$AY$14,0)),"")</f>
        <v/>
      </c>
      <c r="AT35" s="885" t="str">
        <f>IF(AND(OR(AA35="Yes",AA35="Pending"),Q35='G-7 WaterC'' Data'!$G$4),R35-W35-X35,"")</f>
        <v/>
      </c>
      <c r="AU35" s="30" t="str">
        <f>IF(D35="","",VLOOKUP(D35,'G-7 WaterC'' Data'!B$4:M$8,12,FALSE))</f>
        <v/>
      </c>
      <c r="AV35" s="30" t="str">
        <f t="shared" si="0"/>
        <v/>
      </c>
      <c r="AX35" s="30" t="str">
        <f t="shared" si="8"/>
        <v>No</v>
      </c>
    </row>
    <row r="36" spans="3:50" ht="14" hidden="1">
      <c r="C36" s="97">
        <v>27</v>
      </c>
      <c r="D36" s="261"/>
      <c r="E36" s="115"/>
      <c r="F36" s="275" t="str">
        <f>IF(D36="","",VLOOKUP(D36,'G-7 WaterC'' Data'!$B$2:$G$8,2,FALSE))</f>
        <v/>
      </c>
      <c r="G36" s="276" t="str">
        <f>IFERROR(VLOOKUP(F36,'G-7 WaterC'' Data'!$C$4:$D$8,2,FALSE),"")</f>
        <v/>
      </c>
      <c r="H36" s="52"/>
      <c r="I36" s="276" t="str">
        <f>IFERROR(INDEX('G-7 WaterC'' Data'!$H$4:$L$8,MATCH(D36,'G-7 WaterC'' Data'!$B$4:$B$8,0),MATCH(H36,'G-7 WaterC'' Data'!$H$3:$L$3,0)),"")</f>
        <v/>
      </c>
      <c r="J36" s="777"/>
      <c r="K36" s="311" t="str">
        <f>IF(J36="","",IF(VLOOKUP(J36,'G-7 WaterC'' Data'!$AK$4:$AM$6,2,FALSE)=0,"Spatial Data Missing ⚠",VLOOKUP(J36,'G-7 WaterC'' Data'!$AK$4:$AM$6,2,FALSE)))</f>
        <v/>
      </c>
      <c r="L36" s="281" t="str">
        <f>IF(J36="","",IF(VLOOKUP(J36,'G-7 WaterC'' Data'!$AK$4:$AM$9,3,FALSE)=0,"Spatial Data Missing ⚠",VLOOKUP(J36,'G-7 WaterC'' Data'!$AK$4:$AM$6,3,FALSE)))</f>
        <v/>
      </c>
      <c r="M36" s="52"/>
      <c r="N36" s="276" t="str">
        <f>IF(M36="","",IF(AND(D36&lt;&gt;"Culvert",M36="N/A - Culvert"),"Not possible ▲",IF(AND(D36="Culvert",M36&lt;&gt;"N/A - Culvert"),"Not possible ▲",IF(VLOOKUP(M36,'G-7 WaterC'' Data'!$AA$4:$AB$7,2,FALSE)=0,"Spatial Data Missing ⚠",VLOOKUP(M36,'G-7 WaterC'' Data'!$AA$4:$AB$7,2,FALSE)))))</f>
        <v/>
      </c>
      <c r="O36" s="56"/>
      <c r="P36" s="276" t="str">
        <f>IF(O36="","",IF(AND(O36="N/A - Culvert",D36&lt;&gt;"Culvert"),"Not possible ▲",IF(AND(D36="Culvert",O36&lt;&gt;"N/A - Culvert"),"Not possible ▲",IF(VLOOKUP(O36,'G-7 WaterC'' Data'!$AD$4:$AE$14,2,FALSE)=0,"Spatial Data Missing ⚠",VLOOKUP(O36,'G-7 WaterC'' Data'!$AD$4:$AE$14,2,FALSE)))))</f>
        <v/>
      </c>
      <c r="Q36" s="282" t="str">
        <f>IF(D36="","",VLOOKUP(D36,'G-7 WaterC'' Data'!$B$2:$G$8,6,FALSE))</f>
        <v/>
      </c>
      <c r="R36" s="289" t="str">
        <f t="shared" si="1"/>
        <v xml:space="preserve"> </v>
      </c>
      <c r="S36" s="803" t="str">
        <f t="shared" si="2"/>
        <v/>
      </c>
      <c r="T36" s="32"/>
      <c r="U36" s="101"/>
      <c r="V36" s="108"/>
      <c r="W36" s="287" t="str">
        <f t="shared" si="3"/>
        <v/>
      </c>
      <c r="X36" s="287" t="str">
        <f t="shared" si="4"/>
        <v/>
      </c>
      <c r="Y36" s="287" t="str">
        <f t="shared" si="5"/>
        <v/>
      </c>
      <c r="Z36" s="317" t="str">
        <f>IFERROR(IF(OR(E36="",R36=""),"",IF(AND(Q36='G-7 WaterC'' Data'!$G$4,AA36="Yes"),"Alternative Compensation ✓",IF(AND(AA36="Pending",Q36='G-7 WaterC'' Data'!$G$4),"Bespoke compensation must be agreed ▲",IF((W36+X36)&gt;=R36,0,R36-W36-X36)))),"Check Data ⚠")</f>
        <v/>
      </c>
      <c r="AA36" s="800"/>
      <c r="AB36" s="136"/>
      <c r="AC36" s="104"/>
      <c r="AD36" s="104"/>
      <c r="AE36" s="54" t="str">
        <f>IF(OR(Q36="",AA36="Yes"),"",IF(Q36='G-1 All Habitats'!$X$9,E36-U36-V36,"None"))</f>
        <v/>
      </c>
      <c r="AF36" s="55" t="str">
        <f>IF(Q36="","",IF(Q36='G-1 All Habitats'!$X$9,AE36*G36*I36*L36*N36*P36,"None"))</f>
        <v/>
      </c>
      <c r="AI36" s="30">
        <f t="shared" si="9"/>
        <v>0</v>
      </c>
      <c r="AJ36" s="107" t="str">
        <f t="shared" si="6"/>
        <v/>
      </c>
      <c r="AK36" s="107" t="str">
        <f t="shared" si="7"/>
        <v/>
      </c>
      <c r="AM36" s="107">
        <v>27</v>
      </c>
      <c r="AO36" s="107" t="str">
        <f t="array" ref="AO36">IFERROR(INDEX($AM$10:$AM$258,MATCH(0,IF(TRUE=$AJ$10:$AJ$258,COUNTIF($AO$9:$AO35,$AM$10:$AM$258),""),0)),"")</f>
        <v/>
      </c>
      <c r="AP36" s="107" t="str">
        <f t="array" ref="AP36">IFERROR(INDEX($AM$10:$AM$258,MATCH(0,IF(TRUE=$AK$10:$AK$258,COUNTIF($AP$9:$AP35,$AM$10:$AM$258),""),0)),"")</f>
        <v/>
      </c>
      <c r="AR36" s="30" t="str">
        <f>IFERROR(INDEX('G-7 WaterC'' Data'!$AZ$3:$AZ$7,MATCH(D36,'G-7 WaterC'' Data'!$AY$3:$AY$7,0)),"")</f>
        <v/>
      </c>
      <c r="AS36" s="30" t="str">
        <f>IFERROR(INDEX('G-7 WaterC'' Data'!AZ36:AZ40,MATCH(D36,'G-7 WaterC'' Data'!$AY$10:$AY$14,0)),"")</f>
        <v/>
      </c>
      <c r="AT36" s="885" t="str">
        <f>IF(AND(OR(AA36="Yes",AA36="Pending"),Q36='G-7 WaterC'' Data'!$G$4),R36-W36-X36,"")</f>
        <v/>
      </c>
      <c r="AU36" s="30" t="str">
        <f>IF(D36="","",VLOOKUP(D36,'G-7 WaterC'' Data'!B$4:M$8,12,FALSE))</f>
        <v/>
      </c>
      <c r="AV36" s="30" t="str">
        <f t="shared" si="0"/>
        <v/>
      </c>
      <c r="AX36" s="30" t="str">
        <f t="shared" si="8"/>
        <v>No</v>
      </c>
    </row>
    <row r="37" spans="3:50" ht="14" hidden="1">
      <c r="C37" s="97">
        <v>28</v>
      </c>
      <c r="D37" s="261"/>
      <c r="E37" s="115"/>
      <c r="F37" s="275" t="str">
        <f>IF(D37="","",VLOOKUP(D37,'G-7 WaterC'' Data'!$B$2:$G$8,2,FALSE))</f>
        <v/>
      </c>
      <c r="G37" s="276" t="str">
        <f>IFERROR(VLOOKUP(F37,'G-7 WaterC'' Data'!$C$4:$D$8,2,FALSE),"")</f>
        <v/>
      </c>
      <c r="H37" s="52"/>
      <c r="I37" s="276" t="str">
        <f>IFERROR(INDEX('G-7 WaterC'' Data'!$H$4:$L$8,MATCH(D37,'G-7 WaterC'' Data'!$B$4:$B$8,0),MATCH(H37,'G-7 WaterC'' Data'!$H$3:$L$3,0)),"")</f>
        <v/>
      </c>
      <c r="J37" s="777"/>
      <c r="K37" s="311" t="str">
        <f>IF(J37="","",IF(VLOOKUP(J37,'G-7 WaterC'' Data'!$AK$4:$AM$6,2,FALSE)=0,"Spatial Data Missing ⚠",VLOOKUP(J37,'G-7 WaterC'' Data'!$AK$4:$AM$6,2,FALSE)))</f>
        <v/>
      </c>
      <c r="L37" s="281" t="str">
        <f>IF(J37="","",IF(VLOOKUP(J37,'G-7 WaterC'' Data'!$AK$4:$AM$9,3,FALSE)=0,"Spatial Data Missing ⚠",VLOOKUP(J37,'G-7 WaterC'' Data'!$AK$4:$AM$6,3,FALSE)))</f>
        <v/>
      </c>
      <c r="M37" s="52"/>
      <c r="N37" s="276" t="str">
        <f>IF(M37="","",IF(AND(D37&lt;&gt;"Culvert",M37="N/A - Culvert"),"Not possible ▲",IF(AND(D37="Culvert",M37&lt;&gt;"N/A - Culvert"),"Not possible ▲",IF(VLOOKUP(M37,'G-7 WaterC'' Data'!$AA$4:$AB$7,2,FALSE)=0,"Spatial Data Missing ⚠",VLOOKUP(M37,'G-7 WaterC'' Data'!$AA$4:$AB$7,2,FALSE)))))</f>
        <v/>
      </c>
      <c r="O37" s="56"/>
      <c r="P37" s="276" t="str">
        <f>IF(O37="","",IF(AND(O37="N/A - Culvert",D37&lt;&gt;"Culvert"),"Not possible ▲",IF(AND(D37="Culvert",O37&lt;&gt;"N/A - Culvert"),"Not possible ▲",IF(VLOOKUP(O37,'G-7 WaterC'' Data'!$AD$4:$AE$14,2,FALSE)=0,"Spatial Data Missing ⚠",VLOOKUP(O37,'G-7 WaterC'' Data'!$AD$4:$AE$14,2,FALSE)))))</f>
        <v/>
      </c>
      <c r="Q37" s="282" t="str">
        <f>IF(D37="","",VLOOKUP(D37,'G-7 WaterC'' Data'!$B$2:$G$8,6,FALSE))</f>
        <v/>
      </c>
      <c r="R37" s="289" t="str">
        <f t="shared" si="1"/>
        <v xml:space="preserve"> </v>
      </c>
      <c r="S37" s="803" t="str">
        <f t="shared" si="2"/>
        <v/>
      </c>
      <c r="T37" s="32"/>
      <c r="U37" s="101"/>
      <c r="V37" s="108"/>
      <c r="W37" s="287" t="str">
        <f t="shared" si="3"/>
        <v/>
      </c>
      <c r="X37" s="287" t="str">
        <f t="shared" si="4"/>
        <v/>
      </c>
      <c r="Y37" s="287" t="str">
        <f t="shared" si="5"/>
        <v/>
      </c>
      <c r="Z37" s="317" t="str">
        <f>IFERROR(IF(OR(E37="",R37=""),"",IF(AND(Q37='G-7 WaterC'' Data'!$G$4,AA37="Yes"),"Alternative Compensation ✓",IF(AND(AA37="Pending",Q37='G-7 WaterC'' Data'!$G$4),"Bespoke compensation must be agreed ▲",IF((W37+X37)&gt;=R37,0,R37-W37-X37)))),"Check Data ⚠")</f>
        <v/>
      </c>
      <c r="AA37" s="800"/>
      <c r="AB37" s="136"/>
      <c r="AC37" s="104"/>
      <c r="AD37" s="104"/>
      <c r="AE37" s="54" t="str">
        <f>IF(OR(Q37="",AA37="Yes"),"",IF(Q37='G-1 All Habitats'!$X$9,E37-U37-V37,"None"))</f>
        <v/>
      </c>
      <c r="AF37" s="55" t="str">
        <f>IF(Q37="","",IF(Q37='G-1 All Habitats'!$X$9,AE37*G37*I37*L37*N37*P37,"None"))</f>
        <v/>
      </c>
      <c r="AI37" s="30">
        <f t="shared" si="9"/>
        <v>0</v>
      </c>
      <c r="AJ37" s="107" t="str">
        <f t="shared" si="6"/>
        <v/>
      </c>
      <c r="AK37" s="107" t="str">
        <f t="shared" si="7"/>
        <v/>
      </c>
      <c r="AM37" s="107">
        <v>28</v>
      </c>
      <c r="AO37" s="107" t="str">
        <f t="array" ref="AO37">IFERROR(INDEX($AM$10:$AM$258,MATCH(0,IF(TRUE=$AJ$10:$AJ$258,COUNTIF($AO$9:$AO36,$AM$10:$AM$258),""),0)),"")</f>
        <v/>
      </c>
      <c r="AP37" s="107" t="str">
        <f t="array" ref="AP37">IFERROR(INDEX($AM$10:$AM$258,MATCH(0,IF(TRUE=$AK$10:$AK$258,COUNTIF($AP$9:$AP36,$AM$10:$AM$258),""),0)),"")</f>
        <v/>
      </c>
      <c r="AR37" s="30" t="str">
        <f>IFERROR(INDEX('G-7 WaterC'' Data'!$AZ$3:$AZ$7,MATCH(D37,'G-7 WaterC'' Data'!$AY$3:$AY$7,0)),"")</f>
        <v/>
      </c>
      <c r="AS37" s="30" t="str">
        <f>IFERROR(INDEX('G-7 WaterC'' Data'!AZ37:AZ41,MATCH(D37,'G-7 WaterC'' Data'!$AY$10:$AY$14,0)),"")</f>
        <v/>
      </c>
      <c r="AT37" s="885" t="str">
        <f>IF(AND(OR(AA37="Yes",AA37="Pending"),Q37='G-7 WaterC'' Data'!$G$4),R37-W37-X37,"")</f>
        <v/>
      </c>
      <c r="AU37" s="30" t="str">
        <f>IF(D37="","",VLOOKUP(D37,'G-7 WaterC'' Data'!B$4:M$8,12,FALSE))</f>
        <v/>
      </c>
      <c r="AV37" s="30" t="str">
        <f t="shared" si="0"/>
        <v/>
      </c>
      <c r="AX37" s="30" t="str">
        <f t="shared" si="8"/>
        <v>No</v>
      </c>
    </row>
    <row r="38" spans="3:50" ht="14" hidden="1">
      <c r="C38" s="97">
        <v>29</v>
      </c>
      <c r="D38" s="261"/>
      <c r="E38" s="115"/>
      <c r="F38" s="275" t="str">
        <f>IF(D38="","",VLOOKUP(D38,'G-7 WaterC'' Data'!$B$2:$G$8,2,FALSE))</f>
        <v/>
      </c>
      <c r="G38" s="276" t="str">
        <f>IFERROR(VLOOKUP(F38,'G-7 WaterC'' Data'!$C$4:$D$8,2,FALSE),"")</f>
        <v/>
      </c>
      <c r="H38" s="52"/>
      <c r="I38" s="276" t="str">
        <f>IFERROR(INDEX('G-7 WaterC'' Data'!$H$4:$L$8,MATCH(D38,'G-7 WaterC'' Data'!$B$4:$B$8,0),MATCH(H38,'G-7 WaterC'' Data'!$H$3:$L$3,0)),"")</f>
        <v/>
      </c>
      <c r="J38" s="777"/>
      <c r="K38" s="311" t="str">
        <f>IF(J38="","",IF(VLOOKUP(J38,'G-7 WaterC'' Data'!$AK$4:$AM$6,2,FALSE)=0,"Spatial Data Missing ⚠",VLOOKUP(J38,'G-7 WaterC'' Data'!$AK$4:$AM$6,2,FALSE)))</f>
        <v/>
      </c>
      <c r="L38" s="281" t="str">
        <f>IF(J38="","",IF(VLOOKUP(J38,'G-7 WaterC'' Data'!$AK$4:$AM$9,3,FALSE)=0,"Spatial Data Missing ⚠",VLOOKUP(J38,'G-7 WaterC'' Data'!$AK$4:$AM$6,3,FALSE)))</f>
        <v/>
      </c>
      <c r="M38" s="52"/>
      <c r="N38" s="276" t="str">
        <f>IF(M38="","",IF(AND(D38&lt;&gt;"Culvert",M38="N/A - Culvert"),"Not possible ▲",IF(AND(D38="Culvert",M38&lt;&gt;"N/A - Culvert"),"Not possible ▲",IF(VLOOKUP(M38,'G-7 WaterC'' Data'!$AA$4:$AB$7,2,FALSE)=0,"Spatial Data Missing ⚠",VLOOKUP(M38,'G-7 WaterC'' Data'!$AA$4:$AB$7,2,FALSE)))))</f>
        <v/>
      </c>
      <c r="O38" s="56"/>
      <c r="P38" s="276" t="str">
        <f>IF(O38="","",IF(AND(O38="N/A - Culvert",D38&lt;&gt;"Culvert"),"Not possible ▲",IF(AND(D38="Culvert",O38&lt;&gt;"N/A - Culvert"),"Not possible ▲",IF(VLOOKUP(O38,'G-7 WaterC'' Data'!$AD$4:$AE$14,2,FALSE)=0,"Spatial Data Missing ⚠",VLOOKUP(O38,'G-7 WaterC'' Data'!$AD$4:$AE$14,2,FALSE)))))</f>
        <v/>
      </c>
      <c r="Q38" s="282" t="str">
        <f>IF(D38="","",VLOOKUP(D38,'G-7 WaterC'' Data'!$B$2:$G$8,6,FALSE))</f>
        <v/>
      </c>
      <c r="R38" s="289" t="str">
        <f t="shared" si="1"/>
        <v xml:space="preserve"> </v>
      </c>
      <c r="S38" s="803" t="str">
        <f t="shared" si="2"/>
        <v/>
      </c>
      <c r="T38" s="32"/>
      <c r="U38" s="101"/>
      <c r="V38" s="108"/>
      <c r="W38" s="287" t="str">
        <f t="shared" si="3"/>
        <v/>
      </c>
      <c r="X38" s="287" t="str">
        <f t="shared" si="4"/>
        <v/>
      </c>
      <c r="Y38" s="287" t="str">
        <f t="shared" si="5"/>
        <v/>
      </c>
      <c r="Z38" s="317" t="str">
        <f>IFERROR(IF(OR(E38="",R38=""),"",IF(AND(Q38='G-7 WaterC'' Data'!$G$4,AA38="Yes"),"Alternative Compensation ✓",IF(AND(AA38="Pending",Q38='G-7 WaterC'' Data'!$G$4),"Bespoke compensation must be agreed ▲",IF((W38+X38)&gt;=R38,0,R38-W38-X38)))),"Check Data ⚠")</f>
        <v/>
      </c>
      <c r="AA38" s="800"/>
      <c r="AB38" s="136"/>
      <c r="AC38" s="104"/>
      <c r="AD38" s="104"/>
      <c r="AE38" s="54" t="str">
        <f>IF(OR(Q38="",AA38="Yes"),"",IF(Q38='G-1 All Habitats'!$X$9,E38-U38-V38,"None"))</f>
        <v/>
      </c>
      <c r="AF38" s="55" t="str">
        <f>IF(Q38="","",IF(Q38='G-1 All Habitats'!$X$9,AE38*G38*I38*L38*N38*P38,"None"))</f>
        <v/>
      </c>
      <c r="AI38" s="30">
        <f t="shared" si="9"/>
        <v>0</v>
      </c>
      <c r="AJ38" s="107" t="str">
        <f t="shared" si="6"/>
        <v/>
      </c>
      <c r="AK38" s="107" t="str">
        <f t="shared" si="7"/>
        <v/>
      </c>
      <c r="AM38" s="107">
        <v>29</v>
      </c>
      <c r="AO38" s="107" t="str">
        <f t="array" ref="AO38">IFERROR(INDEX($AM$10:$AM$258,MATCH(0,IF(TRUE=$AJ$10:$AJ$258,COUNTIF($AO$9:$AO37,$AM$10:$AM$258),""),0)),"")</f>
        <v/>
      </c>
      <c r="AP38" s="107" t="str">
        <f t="array" ref="AP38">IFERROR(INDEX($AM$10:$AM$258,MATCH(0,IF(TRUE=$AK$10:$AK$258,COUNTIF($AP$9:$AP37,$AM$10:$AM$258),""),0)),"")</f>
        <v/>
      </c>
      <c r="AR38" s="30" t="str">
        <f>IFERROR(INDEX('G-7 WaterC'' Data'!$AZ$3:$AZ$7,MATCH(D38,'G-7 WaterC'' Data'!$AY$3:$AY$7,0)),"")</f>
        <v/>
      </c>
      <c r="AS38" s="30" t="str">
        <f>IFERROR(INDEX('G-7 WaterC'' Data'!AZ38:AZ42,MATCH(D38,'G-7 WaterC'' Data'!$AY$10:$AY$14,0)),"")</f>
        <v/>
      </c>
      <c r="AT38" s="885" t="str">
        <f>IF(AND(OR(AA38="Yes",AA38="Pending"),Q38='G-7 WaterC'' Data'!$G$4),R38-W38-X38,"")</f>
        <v/>
      </c>
      <c r="AU38" s="30" t="str">
        <f>IF(D38="","",VLOOKUP(D38,'G-7 WaterC'' Data'!B$4:M$8,12,FALSE))</f>
        <v/>
      </c>
      <c r="AV38" s="30" t="str">
        <f t="shared" si="0"/>
        <v/>
      </c>
      <c r="AX38" s="30" t="str">
        <f t="shared" si="8"/>
        <v>No</v>
      </c>
    </row>
    <row r="39" spans="3:50" ht="14" hidden="1">
      <c r="C39" s="97">
        <v>30</v>
      </c>
      <c r="D39" s="261"/>
      <c r="E39" s="115"/>
      <c r="F39" s="275" t="str">
        <f>IF(D39="","",VLOOKUP(D39,'G-7 WaterC'' Data'!$B$2:$G$8,2,FALSE))</f>
        <v/>
      </c>
      <c r="G39" s="276" t="str">
        <f>IFERROR(VLOOKUP(F39,'G-7 WaterC'' Data'!$C$4:$D$8,2,FALSE),"")</f>
        <v/>
      </c>
      <c r="H39" s="52"/>
      <c r="I39" s="276" t="str">
        <f>IFERROR(INDEX('G-7 WaterC'' Data'!$H$4:$L$8,MATCH(D39,'G-7 WaterC'' Data'!$B$4:$B$8,0),MATCH(H39,'G-7 WaterC'' Data'!$H$3:$L$3,0)),"")</f>
        <v/>
      </c>
      <c r="J39" s="777"/>
      <c r="K39" s="311" t="str">
        <f>IF(J39="","",IF(VLOOKUP(J39,'G-7 WaterC'' Data'!$AK$4:$AM$6,2,FALSE)=0,"Spatial Data Missing ⚠",VLOOKUP(J39,'G-7 WaterC'' Data'!$AK$4:$AM$6,2,FALSE)))</f>
        <v/>
      </c>
      <c r="L39" s="281" t="str">
        <f>IF(J39="","",IF(VLOOKUP(J39,'G-7 WaterC'' Data'!$AK$4:$AM$9,3,FALSE)=0,"Spatial Data Missing ⚠",VLOOKUP(J39,'G-7 WaterC'' Data'!$AK$4:$AM$6,3,FALSE)))</f>
        <v/>
      </c>
      <c r="M39" s="52"/>
      <c r="N39" s="276" t="str">
        <f>IF(M39="","",IF(AND(D39&lt;&gt;"Culvert",M39="N/A - Culvert"),"Not possible ▲",IF(AND(D39="Culvert",M39&lt;&gt;"N/A - Culvert"),"Not possible ▲",IF(VLOOKUP(M39,'G-7 WaterC'' Data'!$AA$4:$AB$7,2,FALSE)=0,"Spatial Data Missing ⚠",VLOOKUP(M39,'G-7 WaterC'' Data'!$AA$4:$AB$7,2,FALSE)))))</f>
        <v/>
      </c>
      <c r="O39" s="56"/>
      <c r="P39" s="276" t="str">
        <f>IF(O39="","",IF(AND(O39="N/A - Culvert",D39&lt;&gt;"Culvert"),"Not possible ▲",IF(AND(D39="Culvert",O39&lt;&gt;"N/A - Culvert"),"Not possible ▲",IF(VLOOKUP(O39,'G-7 WaterC'' Data'!$AD$4:$AE$14,2,FALSE)=0,"Spatial Data Missing ⚠",VLOOKUP(O39,'G-7 WaterC'' Data'!$AD$4:$AE$14,2,FALSE)))))</f>
        <v/>
      </c>
      <c r="Q39" s="282" t="str">
        <f>IF(D39="","",VLOOKUP(D39,'G-7 WaterC'' Data'!$B$2:$G$8,6,FALSE))</f>
        <v/>
      </c>
      <c r="R39" s="289" t="str">
        <f t="shared" si="1"/>
        <v xml:space="preserve"> </v>
      </c>
      <c r="S39" s="803" t="str">
        <f t="shared" si="2"/>
        <v/>
      </c>
      <c r="T39" s="32"/>
      <c r="U39" s="101"/>
      <c r="V39" s="108"/>
      <c r="W39" s="287" t="str">
        <f t="shared" si="3"/>
        <v/>
      </c>
      <c r="X39" s="287" t="str">
        <f t="shared" si="4"/>
        <v/>
      </c>
      <c r="Y39" s="287" t="str">
        <f t="shared" si="5"/>
        <v/>
      </c>
      <c r="Z39" s="317" t="str">
        <f>IFERROR(IF(OR(E39="",R39=""),"",IF(AND(Q39='G-7 WaterC'' Data'!$G$4,AA39="Yes"),"Alternative Compensation ✓",IF(AND(AA39="Pending",Q39='G-7 WaterC'' Data'!$G$4),"Bespoke compensation must be agreed ▲",IF((W39+X39)&gt;=R39,0,R39-W39-X39)))),"Check Data ⚠")</f>
        <v/>
      </c>
      <c r="AA39" s="800"/>
      <c r="AB39" s="136"/>
      <c r="AC39" s="104"/>
      <c r="AD39" s="104"/>
      <c r="AE39" s="54" t="str">
        <f>IF(OR(Q39="",AA39="Yes"),"",IF(Q39='G-1 All Habitats'!$X$9,E39-U39-V39,"None"))</f>
        <v/>
      </c>
      <c r="AF39" s="55" t="str">
        <f>IF(Q39="","",IF(Q39='G-1 All Habitats'!$X$9,AE39*G39*I39*L39*N39*P39,"None"))</f>
        <v/>
      </c>
      <c r="AI39" s="30">
        <f t="shared" si="9"/>
        <v>0</v>
      </c>
      <c r="AJ39" s="107" t="str">
        <f t="shared" si="6"/>
        <v/>
      </c>
      <c r="AK39" s="107" t="str">
        <f t="shared" si="7"/>
        <v/>
      </c>
      <c r="AM39" s="107">
        <v>30</v>
      </c>
      <c r="AO39" s="107" t="str">
        <f t="array" ref="AO39">IFERROR(INDEX($AM$10:$AM$258,MATCH(0,IF(TRUE=$AJ$10:$AJ$258,COUNTIF($AO$9:$AO38,$AM$10:$AM$258),""),0)),"")</f>
        <v/>
      </c>
      <c r="AP39" s="107" t="str">
        <f t="array" ref="AP39">IFERROR(INDEX($AM$10:$AM$258,MATCH(0,IF(TRUE=$AK$10:$AK$258,COUNTIF($AP$9:$AP38,$AM$10:$AM$258),""),0)),"")</f>
        <v/>
      </c>
      <c r="AR39" s="30" t="str">
        <f>IFERROR(INDEX('G-7 WaterC'' Data'!$AZ$3:$AZ$7,MATCH(D39,'G-7 WaterC'' Data'!$AY$3:$AY$7,0)),"")</f>
        <v/>
      </c>
      <c r="AS39" s="30" t="str">
        <f>IFERROR(INDEX('G-7 WaterC'' Data'!AZ39:AZ43,MATCH(D39,'G-7 WaterC'' Data'!$AY$10:$AY$14,0)),"")</f>
        <v/>
      </c>
      <c r="AT39" s="885" t="str">
        <f>IF(AND(OR(AA39="Yes",AA39="Pending"),Q39='G-7 WaterC'' Data'!$G$4),R39-W39-X39,"")</f>
        <v/>
      </c>
      <c r="AU39" s="30" t="str">
        <f>IF(D39="","",VLOOKUP(D39,'G-7 WaterC'' Data'!B$4:M$8,12,FALSE))</f>
        <v/>
      </c>
      <c r="AV39" s="30" t="str">
        <f t="shared" si="0"/>
        <v/>
      </c>
      <c r="AX39" s="30" t="str">
        <f t="shared" si="8"/>
        <v>No</v>
      </c>
    </row>
    <row r="40" spans="3:50" ht="14" hidden="1">
      <c r="C40" s="97">
        <v>31</v>
      </c>
      <c r="D40" s="261"/>
      <c r="E40" s="115"/>
      <c r="F40" s="275" t="str">
        <f>IF(D40="","",VLOOKUP(D40,'G-7 WaterC'' Data'!$B$2:$G$8,2,FALSE))</f>
        <v/>
      </c>
      <c r="G40" s="276" t="str">
        <f>IFERROR(VLOOKUP(F40,'G-7 WaterC'' Data'!$C$4:$D$8,2,FALSE),"")</f>
        <v/>
      </c>
      <c r="H40" s="52"/>
      <c r="I40" s="276" t="str">
        <f>IFERROR(INDEX('G-7 WaterC'' Data'!$H$4:$L$8,MATCH(D40,'G-7 WaterC'' Data'!$B$4:$B$8,0),MATCH(H40,'G-7 WaterC'' Data'!$H$3:$L$3,0)),"")</f>
        <v/>
      </c>
      <c r="J40" s="777"/>
      <c r="K40" s="311" t="str">
        <f>IF(J40="","",IF(VLOOKUP(J40,'G-7 WaterC'' Data'!$AK$4:$AM$6,2,FALSE)=0,"Spatial Data Missing ⚠",VLOOKUP(J40,'G-7 WaterC'' Data'!$AK$4:$AM$6,2,FALSE)))</f>
        <v/>
      </c>
      <c r="L40" s="281" t="str">
        <f>IF(J40="","",IF(VLOOKUP(J40,'G-7 WaterC'' Data'!$AK$4:$AM$9,3,FALSE)=0,"Spatial Data Missing ⚠",VLOOKUP(J40,'G-7 WaterC'' Data'!$AK$4:$AM$6,3,FALSE)))</f>
        <v/>
      </c>
      <c r="M40" s="52"/>
      <c r="N40" s="276" t="str">
        <f>IF(M40="","",IF(AND(D40&lt;&gt;"Culvert",M40="N/A - Culvert"),"Not possible ▲",IF(AND(D40="Culvert",M40&lt;&gt;"N/A - Culvert"),"Not possible ▲",IF(VLOOKUP(M40,'G-7 WaterC'' Data'!$AA$4:$AB$7,2,FALSE)=0,"Spatial Data Missing ⚠",VLOOKUP(M40,'G-7 WaterC'' Data'!$AA$4:$AB$7,2,FALSE)))))</f>
        <v/>
      </c>
      <c r="O40" s="56"/>
      <c r="P40" s="276" t="str">
        <f>IF(O40="","",IF(AND(O40="N/A - Culvert",D40&lt;&gt;"Culvert"),"Not possible ▲",IF(AND(D40="Culvert",O40&lt;&gt;"N/A - Culvert"),"Not possible ▲",IF(VLOOKUP(O40,'G-7 WaterC'' Data'!$AD$4:$AE$14,2,FALSE)=0,"Spatial Data Missing ⚠",VLOOKUP(O40,'G-7 WaterC'' Data'!$AD$4:$AE$14,2,FALSE)))))</f>
        <v/>
      </c>
      <c r="Q40" s="282" t="str">
        <f>IF(D40="","",VLOOKUP(D40,'G-7 WaterC'' Data'!$B$2:$G$8,6,FALSE))</f>
        <v/>
      </c>
      <c r="R40" s="289" t="str">
        <f t="shared" si="1"/>
        <v xml:space="preserve"> </v>
      </c>
      <c r="S40" s="803" t="str">
        <f t="shared" si="2"/>
        <v/>
      </c>
      <c r="T40" s="32"/>
      <c r="U40" s="101"/>
      <c r="V40" s="108"/>
      <c r="W40" s="287" t="str">
        <f t="shared" si="3"/>
        <v/>
      </c>
      <c r="X40" s="287" t="str">
        <f t="shared" si="4"/>
        <v/>
      </c>
      <c r="Y40" s="287" t="str">
        <f t="shared" si="5"/>
        <v/>
      </c>
      <c r="Z40" s="317" t="str">
        <f>IFERROR(IF(OR(E40="",R40=""),"",IF(AND(Q40='G-7 WaterC'' Data'!$G$4,AA40="Yes"),"Alternative Compensation ✓",IF(AND(AA40="Pending",Q40='G-7 WaterC'' Data'!$G$4),"Bespoke compensation must be agreed ▲",IF((W40+X40)&gt;=R40,0,R40-W40-X40)))),"Check Data ⚠")</f>
        <v/>
      </c>
      <c r="AA40" s="800"/>
      <c r="AB40" s="136"/>
      <c r="AC40" s="104"/>
      <c r="AD40" s="104"/>
      <c r="AE40" s="54" t="str">
        <f>IF(OR(Q40="",AA40="Yes"),"",IF(Q40='G-1 All Habitats'!$X$9,E40-U40-V40,"None"))</f>
        <v/>
      </c>
      <c r="AF40" s="55" t="str">
        <f>IF(Q40="","",IF(Q40='G-1 All Habitats'!$X$9,AE40*G40*I40*L40*N40*P40,"None"))</f>
        <v/>
      </c>
      <c r="AI40" s="30">
        <f t="shared" si="9"/>
        <v>0</v>
      </c>
      <c r="AJ40" s="107" t="str">
        <f t="shared" si="6"/>
        <v/>
      </c>
      <c r="AK40" s="107" t="str">
        <f t="shared" si="7"/>
        <v/>
      </c>
      <c r="AM40" s="107">
        <v>31</v>
      </c>
      <c r="AO40" s="107" t="str">
        <f t="array" ref="AO40">IFERROR(INDEX($AM$10:$AM$258,MATCH(0,IF(TRUE=$AJ$10:$AJ$258,COUNTIF($AO$9:$AO39,$AM$10:$AM$258),""),0)),"")</f>
        <v/>
      </c>
      <c r="AP40" s="107" t="str">
        <f t="array" ref="AP40">IFERROR(INDEX($AM$10:$AM$258,MATCH(0,IF(TRUE=$AK$10:$AK$258,COUNTIF($AP$9:$AP39,$AM$10:$AM$258),""),0)),"")</f>
        <v/>
      </c>
      <c r="AR40" s="30" t="str">
        <f>IFERROR(INDEX('G-7 WaterC'' Data'!$AZ$3:$AZ$7,MATCH(D40,'G-7 WaterC'' Data'!$AY$3:$AY$7,0)),"")</f>
        <v/>
      </c>
      <c r="AS40" s="30" t="str">
        <f>IFERROR(INDEX('G-7 WaterC'' Data'!AZ40:AZ44,MATCH(D40,'G-7 WaterC'' Data'!$AY$10:$AY$14,0)),"")</f>
        <v/>
      </c>
      <c r="AT40" s="885" t="str">
        <f>IF(AND(OR(AA40="Yes",AA40="Pending"),Q40='G-7 WaterC'' Data'!$G$4),R40-W40-X40,"")</f>
        <v/>
      </c>
      <c r="AU40" s="30" t="str">
        <f>IF(D40="","",VLOOKUP(D40,'G-7 WaterC'' Data'!B$4:M$8,12,FALSE))</f>
        <v/>
      </c>
      <c r="AV40" s="30" t="str">
        <f t="shared" si="0"/>
        <v/>
      </c>
      <c r="AX40" s="30" t="str">
        <f t="shared" si="8"/>
        <v>No</v>
      </c>
    </row>
    <row r="41" spans="3:50" ht="14" hidden="1">
      <c r="C41" s="97">
        <v>32</v>
      </c>
      <c r="D41" s="261"/>
      <c r="E41" s="115"/>
      <c r="F41" s="275" t="str">
        <f>IF(D41="","",VLOOKUP(D41,'G-7 WaterC'' Data'!$B$2:$G$8,2,FALSE))</f>
        <v/>
      </c>
      <c r="G41" s="276" t="str">
        <f>IFERROR(VLOOKUP(F41,'G-7 WaterC'' Data'!$C$4:$D$8,2,FALSE),"")</f>
        <v/>
      </c>
      <c r="H41" s="52"/>
      <c r="I41" s="276" t="str">
        <f>IFERROR(INDEX('G-7 WaterC'' Data'!$H$4:$L$8,MATCH(D41,'G-7 WaterC'' Data'!$B$4:$B$8,0),MATCH(H41,'G-7 WaterC'' Data'!$H$3:$L$3,0)),"")</f>
        <v/>
      </c>
      <c r="J41" s="777"/>
      <c r="K41" s="311" t="str">
        <f>IF(J41="","",IF(VLOOKUP(J41,'G-7 WaterC'' Data'!$AK$4:$AM$6,2,FALSE)=0,"Spatial Data Missing ⚠",VLOOKUP(J41,'G-7 WaterC'' Data'!$AK$4:$AM$6,2,FALSE)))</f>
        <v/>
      </c>
      <c r="L41" s="281" t="str">
        <f>IF(J41="","",IF(VLOOKUP(J41,'G-7 WaterC'' Data'!$AK$4:$AM$9,3,FALSE)=0,"Spatial Data Missing ⚠",VLOOKUP(J41,'G-7 WaterC'' Data'!$AK$4:$AM$6,3,FALSE)))</f>
        <v/>
      </c>
      <c r="M41" s="52"/>
      <c r="N41" s="276" t="str">
        <f>IF(M41="","",IF(AND(D41&lt;&gt;"Culvert",M41="N/A - Culvert"),"Not possible ▲",IF(AND(D41="Culvert",M41&lt;&gt;"N/A - Culvert"),"Not possible ▲",IF(VLOOKUP(M41,'G-7 WaterC'' Data'!$AA$4:$AB$7,2,FALSE)=0,"Spatial Data Missing ⚠",VLOOKUP(M41,'G-7 WaterC'' Data'!$AA$4:$AB$7,2,FALSE)))))</f>
        <v/>
      </c>
      <c r="O41" s="56"/>
      <c r="P41" s="276" t="str">
        <f>IF(O41="","",IF(AND(O41="N/A - Culvert",D41&lt;&gt;"Culvert"),"Not possible ▲",IF(AND(D41="Culvert",O41&lt;&gt;"N/A - Culvert"),"Not possible ▲",IF(VLOOKUP(O41,'G-7 WaterC'' Data'!$AD$4:$AE$14,2,FALSE)=0,"Spatial Data Missing ⚠",VLOOKUP(O41,'G-7 WaterC'' Data'!$AD$4:$AE$14,2,FALSE)))))</f>
        <v/>
      </c>
      <c r="Q41" s="282" t="str">
        <f>IF(D41="","",VLOOKUP(D41,'G-7 WaterC'' Data'!$B$2:$G$8,6,FALSE))</f>
        <v/>
      </c>
      <c r="R41" s="289" t="str">
        <f t="shared" si="1"/>
        <v xml:space="preserve"> </v>
      </c>
      <c r="S41" s="803" t="str">
        <f t="shared" si="2"/>
        <v/>
      </c>
      <c r="T41" s="32"/>
      <c r="U41" s="101"/>
      <c r="V41" s="108"/>
      <c r="W41" s="287" t="str">
        <f t="shared" si="3"/>
        <v/>
      </c>
      <c r="X41" s="287" t="str">
        <f t="shared" si="4"/>
        <v/>
      </c>
      <c r="Y41" s="287" t="str">
        <f t="shared" si="5"/>
        <v/>
      </c>
      <c r="Z41" s="317" t="str">
        <f>IFERROR(IF(OR(E41="",R41=""),"",IF(AND(Q41='G-7 WaterC'' Data'!$G$4,AA41="Yes"),"Alternative Compensation ✓",IF(AND(AA41="Pending",Q41='G-7 WaterC'' Data'!$G$4),"Bespoke compensation must be agreed ▲",IF((W41+X41)&gt;=R41,0,R41-W41-X41)))),"Check Data ⚠")</f>
        <v/>
      </c>
      <c r="AA41" s="800"/>
      <c r="AB41" s="136"/>
      <c r="AC41" s="104"/>
      <c r="AD41" s="104"/>
      <c r="AE41" s="54" t="str">
        <f>IF(OR(Q41="",AA41="Yes"),"",IF(Q41='G-1 All Habitats'!$X$9,E41-U41-V41,"None"))</f>
        <v/>
      </c>
      <c r="AF41" s="55" t="str">
        <f>IF(Q41="","",IF(Q41='G-1 All Habitats'!$X$9,AE41*G41*I41*L41*N41*P41,"None"))</f>
        <v/>
      </c>
      <c r="AI41" s="30">
        <f t="shared" si="9"/>
        <v>0</v>
      </c>
      <c r="AJ41" s="107" t="str">
        <f t="shared" si="6"/>
        <v/>
      </c>
      <c r="AK41" s="107" t="str">
        <f t="shared" si="7"/>
        <v/>
      </c>
      <c r="AM41" s="107">
        <v>32</v>
      </c>
      <c r="AO41" s="107" t="str">
        <f t="array" ref="AO41">IFERROR(INDEX($AM$10:$AM$258,MATCH(0,IF(TRUE=$AJ$10:$AJ$258,COUNTIF($AO$9:$AO40,$AM$10:$AM$258),""),0)),"")</f>
        <v/>
      </c>
      <c r="AP41" s="107" t="str">
        <f t="array" ref="AP41">IFERROR(INDEX($AM$10:$AM$258,MATCH(0,IF(TRUE=$AK$10:$AK$258,COUNTIF($AP$9:$AP40,$AM$10:$AM$258),""),0)),"")</f>
        <v/>
      </c>
      <c r="AR41" s="30" t="str">
        <f>IFERROR(INDEX('G-7 WaterC'' Data'!$AZ$3:$AZ$7,MATCH(D41,'G-7 WaterC'' Data'!$AY$3:$AY$7,0)),"")</f>
        <v/>
      </c>
      <c r="AS41" s="30" t="str">
        <f>IFERROR(INDEX('G-7 WaterC'' Data'!AZ41:AZ45,MATCH(D41,'G-7 WaterC'' Data'!$AY$10:$AY$14,0)),"")</f>
        <v/>
      </c>
      <c r="AT41" s="885" t="str">
        <f>IF(AND(OR(AA41="Yes",AA41="Pending"),Q41='G-7 WaterC'' Data'!$G$4),R41-W41-X41,"")</f>
        <v/>
      </c>
      <c r="AU41" s="30" t="str">
        <f>IF(D41="","",VLOOKUP(D41,'G-7 WaterC'' Data'!B$4:M$8,12,FALSE))</f>
        <v/>
      </c>
      <c r="AV41" s="30" t="str">
        <f t="shared" si="0"/>
        <v/>
      </c>
      <c r="AX41" s="30" t="str">
        <f t="shared" si="8"/>
        <v>No</v>
      </c>
    </row>
    <row r="42" spans="3:50" ht="14" hidden="1">
      <c r="C42" s="97">
        <v>33</v>
      </c>
      <c r="D42" s="261"/>
      <c r="E42" s="115"/>
      <c r="F42" s="275" t="str">
        <f>IF(D42="","",VLOOKUP(D42,'G-7 WaterC'' Data'!$B$2:$G$8,2,FALSE))</f>
        <v/>
      </c>
      <c r="G42" s="276" t="str">
        <f>IFERROR(VLOOKUP(F42,'G-7 WaterC'' Data'!$C$4:$D$8,2,FALSE),"")</f>
        <v/>
      </c>
      <c r="H42" s="52"/>
      <c r="I42" s="276" t="str">
        <f>IFERROR(INDEX('G-7 WaterC'' Data'!$H$4:$L$8,MATCH(D42,'G-7 WaterC'' Data'!$B$4:$B$8,0),MATCH(H42,'G-7 WaterC'' Data'!$H$3:$L$3,0)),"")</f>
        <v/>
      </c>
      <c r="J42" s="777"/>
      <c r="K42" s="311" t="str">
        <f>IF(J42="","",IF(VLOOKUP(J42,'G-7 WaterC'' Data'!$AK$4:$AM$6,2,FALSE)=0,"Spatial Data Missing ⚠",VLOOKUP(J42,'G-7 WaterC'' Data'!$AK$4:$AM$6,2,FALSE)))</f>
        <v/>
      </c>
      <c r="L42" s="281" t="str">
        <f>IF(J42="","",IF(VLOOKUP(J42,'G-7 WaterC'' Data'!$AK$4:$AM$9,3,FALSE)=0,"Spatial Data Missing ⚠",VLOOKUP(J42,'G-7 WaterC'' Data'!$AK$4:$AM$6,3,FALSE)))</f>
        <v/>
      </c>
      <c r="M42" s="52"/>
      <c r="N42" s="276" t="str">
        <f>IF(M42="","",IF(AND(D42&lt;&gt;"Culvert",M42="N/A - Culvert"),"Not possible ▲",IF(AND(D42="Culvert",M42&lt;&gt;"N/A - Culvert"),"Not possible ▲",IF(VLOOKUP(M42,'G-7 WaterC'' Data'!$AA$4:$AB$7,2,FALSE)=0,"Spatial Data Missing ⚠",VLOOKUP(M42,'G-7 WaterC'' Data'!$AA$4:$AB$7,2,FALSE)))))</f>
        <v/>
      </c>
      <c r="O42" s="56"/>
      <c r="P42" s="276" t="str">
        <f>IF(O42="","",IF(AND(O42="N/A - Culvert",D42&lt;&gt;"Culvert"),"Not possible ▲",IF(AND(D42="Culvert",O42&lt;&gt;"N/A - Culvert"),"Not possible ▲",IF(VLOOKUP(O42,'G-7 WaterC'' Data'!$AD$4:$AE$14,2,FALSE)=0,"Spatial Data Missing ⚠",VLOOKUP(O42,'G-7 WaterC'' Data'!$AD$4:$AE$14,2,FALSE)))))</f>
        <v/>
      </c>
      <c r="Q42" s="282" t="str">
        <f>IF(D42="","",VLOOKUP(D42,'G-7 WaterC'' Data'!$B$2:$G$8,6,FALSE))</f>
        <v/>
      </c>
      <c r="R42" s="289" t="str">
        <f t="shared" si="1"/>
        <v xml:space="preserve"> </v>
      </c>
      <c r="S42" s="803" t="str">
        <f t="shared" si="2"/>
        <v/>
      </c>
      <c r="T42" s="32"/>
      <c r="U42" s="101"/>
      <c r="V42" s="108"/>
      <c r="W42" s="287" t="str">
        <f t="shared" si="3"/>
        <v/>
      </c>
      <c r="X42" s="287" t="str">
        <f t="shared" si="4"/>
        <v/>
      </c>
      <c r="Y42" s="287" t="str">
        <f t="shared" si="5"/>
        <v/>
      </c>
      <c r="Z42" s="317" t="str">
        <f>IFERROR(IF(OR(E42="",R42=""),"",IF(AND(Q42='G-7 WaterC'' Data'!$G$4,AA42="Yes"),"Alternative Compensation ✓",IF(AND(AA42="Pending",Q42='G-7 WaterC'' Data'!$G$4),"Bespoke compensation must be agreed ▲",IF((W42+X42)&gt;=R42,0,R42-W42-X42)))),"Check Data ⚠")</f>
        <v/>
      </c>
      <c r="AA42" s="800"/>
      <c r="AB42" s="136"/>
      <c r="AC42" s="104"/>
      <c r="AD42" s="104"/>
      <c r="AE42" s="54" t="str">
        <f>IF(OR(Q42="",AA42="Yes"),"",IF(Q42='G-1 All Habitats'!$X$9,E42-U42-V42,"None"))</f>
        <v/>
      </c>
      <c r="AF42" s="55" t="str">
        <f>IF(Q42="","",IF(Q42='G-1 All Habitats'!$X$9,AE42*G42*I42*L42*N42*P42,"None"))</f>
        <v/>
      </c>
      <c r="AI42" s="30">
        <f t="shared" si="9"/>
        <v>0</v>
      </c>
      <c r="AJ42" s="107" t="str">
        <f t="shared" si="6"/>
        <v/>
      </c>
      <c r="AK42" s="107" t="str">
        <f t="shared" si="7"/>
        <v/>
      </c>
      <c r="AM42" s="107">
        <v>33</v>
      </c>
      <c r="AO42" s="107" t="str">
        <f t="array" ref="AO42">IFERROR(INDEX($AM$10:$AM$258,MATCH(0,IF(TRUE=$AJ$10:$AJ$258,COUNTIF($AO$9:$AO41,$AM$10:$AM$258),""),0)),"")</f>
        <v/>
      </c>
      <c r="AP42" s="107" t="str">
        <f t="array" ref="AP42">IFERROR(INDEX($AM$10:$AM$258,MATCH(0,IF(TRUE=$AK$10:$AK$258,COUNTIF($AP$9:$AP41,$AM$10:$AM$258),""),0)),"")</f>
        <v/>
      </c>
      <c r="AR42" s="30" t="str">
        <f>IFERROR(INDEX('G-7 WaterC'' Data'!$AZ$3:$AZ$7,MATCH(D42,'G-7 WaterC'' Data'!$AY$3:$AY$7,0)),"")</f>
        <v/>
      </c>
      <c r="AS42" s="30" t="str">
        <f>IFERROR(INDEX('G-7 WaterC'' Data'!AZ42:AZ46,MATCH(D42,'G-7 WaterC'' Data'!$AY$10:$AY$14,0)),"")</f>
        <v/>
      </c>
      <c r="AT42" s="885" t="str">
        <f>IF(AND(OR(AA42="Yes",AA42="Pending"),Q42='G-7 WaterC'' Data'!$G$4),R42-W42-X42,"")</f>
        <v/>
      </c>
      <c r="AU42" s="30" t="str">
        <f>IF(D42="","",VLOOKUP(D42,'G-7 WaterC'' Data'!B$4:M$8,12,FALSE))</f>
        <v/>
      </c>
      <c r="AV42" s="30" t="str">
        <f t="shared" si="0"/>
        <v/>
      </c>
      <c r="AX42" s="30" t="str">
        <f t="shared" si="8"/>
        <v>No</v>
      </c>
    </row>
    <row r="43" spans="3:50" ht="14" hidden="1">
      <c r="C43" s="97">
        <v>34</v>
      </c>
      <c r="D43" s="261"/>
      <c r="E43" s="115"/>
      <c r="F43" s="275" t="str">
        <f>IF(D43="","",VLOOKUP(D43,'G-7 WaterC'' Data'!$B$2:$G$8,2,FALSE))</f>
        <v/>
      </c>
      <c r="G43" s="276" t="str">
        <f>IFERROR(VLOOKUP(F43,'G-7 WaterC'' Data'!$C$4:$D$8,2,FALSE),"")</f>
        <v/>
      </c>
      <c r="H43" s="52"/>
      <c r="I43" s="276" t="str">
        <f>IFERROR(INDEX('G-7 WaterC'' Data'!$H$4:$L$8,MATCH(D43,'G-7 WaterC'' Data'!$B$4:$B$8,0),MATCH(H43,'G-7 WaterC'' Data'!$H$3:$L$3,0)),"")</f>
        <v/>
      </c>
      <c r="J43" s="777"/>
      <c r="K43" s="311" t="str">
        <f>IF(J43="","",IF(VLOOKUP(J43,'G-7 WaterC'' Data'!$AK$4:$AM$6,2,FALSE)=0,"Spatial Data Missing ⚠",VLOOKUP(J43,'G-7 WaterC'' Data'!$AK$4:$AM$6,2,FALSE)))</f>
        <v/>
      </c>
      <c r="L43" s="281" t="str">
        <f>IF(J43="","",IF(VLOOKUP(J43,'G-7 WaterC'' Data'!$AK$4:$AM$9,3,FALSE)=0,"Spatial Data Missing ⚠",VLOOKUP(J43,'G-7 WaterC'' Data'!$AK$4:$AM$6,3,FALSE)))</f>
        <v/>
      </c>
      <c r="M43" s="52"/>
      <c r="N43" s="276" t="str">
        <f>IF(M43="","",IF(AND(D43&lt;&gt;"Culvert",M43="N/A - Culvert"),"Not possible ▲",IF(AND(D43="Culvert",M43&lt;&gt;"N/A - Culvert"),"Not possible ▲",IF(VLOOKUP(M43,'G-7 WaterC'' Data'!$AA$4:$AB$7,2,FALSE)=0,"Spatial Data Missing ⚠",VLOOKUP(M43,'G-7 WaterC'' Data'!$AA$4:$AB$7,2,FALSE)))))</f>
        <v/>
      </c>
      <c r="O43" s="56"/>
      <c r="P43" s="276" t="str">
        <f>IF(O43="","",IF(AND(O43="N/A - Culvert",D43&lt;&gt;"Culvert"),"Not possible ▲",IF(AND(D43="Culvert",O43&lt;&gt;"N/A - Culvert"),"Not possible ▲",IF(VLOOKUP(O43,'G-7 WaterC'' Data'!$AD$4:$AE$14,2,FALSE)=0,"Spatial Data Missing ⚠",VLOOKUP(O43,'G-7 WaterC'' Data'!$AD$4:$AE$14,2,FALSE)))))</f>
        <v/>
      </c>
      <c r="Q43" s="282" t="str">
        <f>IF(D43="","",VLOOKUP(D43,'G-7 WaterC'' Data'!$B$2:$G$8,6,FALSE))</f>
        <v/>
      </c>
      <c r="R43" s="289" t="str">
        <f t="shared" si="1"/>
        <v xml:space="preserve"> </v>
      </c>
      <c r="S43" s="803" t="str">
        <f t="shared" si="2"/>
        <v/>
      </c>
      <c r="T43" s="32"/>
      <c r="U43" s="101"/>
      <c r="V43" s="108"/>
      <c r="W43" s="287" t="str">
        <f t="shared" si="3"/>
        <v/>
      </c>
      <c r="X43" s="287" t="str">
        <f t="shared" si="4"/>
        <v/>
      </c>
      <c r="Y43" s="287" t="str">
        <f t="shared" si="5"/>
        <v/>
      </c>
      <c r="Z43" s="317" t="str">
        <f>IFERROR(IF(OR(E43="",R43=""),"",IF(AND(Q43='G-7 WaterC'' Data'!$G$4,AA43="Yes"),"Alternative Compensation ✓",IF(AND(AA43="Pending",Q43='G-7 WaterC'' Data'!$G$4),"Bespoke compensation must be agreed ▲",IF((W43+X43)&gt;=R43,0,R43-W43-X43)))),"Check Data ⚠")</f>
        <v/>
      </c>
      <c r="AA43" s="800"/>
      <c r="AB43" s="136"/>
      <c r="AC43" s="104"/>
      <c r="AD43" s="104"/>
      <c r="AE43" s="54" t="str">
        <f>IF(OR(Q43="",AA43="Yes"),"",IF(Q43='G-1 All Habitats'!$X$9,E43-U43-V43,"None"))</f>
        <v/>
      </c>
      <c r="AF43" s="55" t="str">
        <f>IF(Q43="","",IF(Q43='G-1 All Habitats'!$X$9,AE43*G43*I43*L43*N43*P43,"None"))</f>
        <v/>
      </c>
      <c r="AI43" s="30">
        <f t="shared" si="9"/>
        <v>0</v>
      </c>
      <c r="AJ43" s="107" t="str">
        <f t="shared" si="6"/>
        <v/>
      </c>
      <c r="AK43" s="107" t="str">
        <f t="shared" si="7"/>
        <v/>
      </c>
      <c r="AM43" s="107">
        <v>34</v>
      </c>
      <c r="AO43" s="107" t="str">
        <f t="array" ref="AO43">IFERROR(INDEX($AM$10:$AM$258,MATCH(0,IF(TRUE=$AJ$10:$AJ$258,COUNTIF($AO$9:$AO42,$AM$10:$AM$258),""),0)),"")</f>
        <v/>
      </c>
      <c r="AP43" s="107" t="str">
        <f t="array" ref="AP43">IFERROR(INDEX($AM$10:$AM$258,MATCH(0,IF(TRUE=$AK$10:$AK$258,COUNTIF($AP$9:$AP42,$AM$10:$AM$258),""),0)),"")</f>
        <v/>
      </c>
      <c r="AR43" s="30" t="str">
        <f>IFERROR(INDEX('G-7 WaterC'' Data'!$AZ$3:$AZ$7,MATCH(D43,'G-7 WaterC'' Data'!$AY$3:$AY$7,0)),"")</f>
        <v/>
      </c>
      <c r="AS43" s="30" t="str">
        <f>IFERROR(INDEX('G-7 WaterC'' Data'!AZ43:AZ47,MATCH(D43,'G-7 WaterC'' Data'!$AY$10:$AY$14,0)),"")</f>
        <v/>
      </c>
      <c r="AT43" s="885" t="str">
        <f>IF(AND(OR(AA43="Yes",AA43="Pending"),Q43='G-7 WaterC'' Data'!$G$4),R43-W43-X43,"")</f>
        <v/>
      </c>
      <c r="AU43" s="30" t="str">
        <f>IF(D43="","",VLOOKUP(D43,'G-7 WaterC'' Data'!B$4:M$8,12,FALSE))</f>
        <v/>
      </c>
      <c r="AV43" s="30" t="str">
        <f t="shared" si="0"/>
        <v/>
      </c>
      <c r="AX43" s="30" t="str">
        <f t="shared" si="8"/>
        <v>No</v>
      </c>
    </row>
    <row r="44" spans="3:50" ht="14" hidden="1">
      <c r="C44" s="97">
        <v>35</v>
      </c>
      <c r="D44" s="261"/>
      <c r="E44" s="115"/>
      <c r="F44" s="275" t="str">
        <f>IF(D44="","",VLOOKUP(D44,'G-7 WaterC'' Data'!$B$2:$G$8,2,FALSE))</f>
        <v/>
      </c>
      <c r="G44" s="276" t="str">
        <f>IFERROR(VLOOKUP(F44,'G-7 WaterC'' Data'!$C$4:$D$8,2,FALSE),"")</f>
        <v/>
      </c>
      <c r="H44" s="52"/>
      <c r="I44" s="276" t="str">
        <f>IFERROR(INDEX('G-7 WaterC'' Data'!$H$4:$L$8,MATCH(D44,'G-7 WaterC'' Data'!$B$4:$B$8,0),MATCH(H44,'G-7 WaterC'' Data'!$H$3:$L$3,0)),"")</f>
        <v/>
      </c>
      <c r="J44" s="777"/>
      <c r="K44" s="311" t="str">
        <f>IF(J44="","",IF(VLOOKUP(J44,'G-7 WaterC'' Data'!$AK$4:$AM$6,2,FALSE)=0,"Spatial Data Missing ⚠",VLOOKUP(J44,'G-7 WaterC'' Data'!$AK$4:$AM$6,2,FALSE)))</f>
        <v/>
      </c>
      <c r="L44" s="281" t="str">
        <f>IF(J44="","",IF(VLOOKUP(J44,'G-7 WaterC'' Data'!$AK$4:$AM$9,3,FALSE)=0,"Spatial Data Missing ⚠",VLOOKUP(J44,'G-7 WaterC'' Data'!$AK$4:$AM$6,3,FALSE)))</f>
        <v/>
      </c>
      <c r="M44" s="52"/>
      <c r="N44" s="276" t="str">
        <f>IF(M44="","",IF(AND(D44&lt;&gt;"Culvert",M44="N/A - Culvert"),"Not possible ▲",IF(AND(D44="Culvert",M44&lt;&gt;"N/A - Culvert"),"Not possible ▲",IF(VLOOKUP(M44,'G-7 WaterC'' Data'!$AA$4:$AB$7,2,FALSE)=0,"Spatial Data Missing ⚠",VLOOKUP(M44,'G-7 WaterC'' Data'!$AA$4:$AB$7,2,FALSE)))))</f>
        <v/>
      </c>
      <c r="O44" s="56"/>
      <c r="P44" s="276" t="str">
        <f>IF(O44="","",IF(AND(O44="N/A - Culvert",D44&lt;&gt;"Culvert"),"Not possible ▲",IF(AND(D44="Culvert",O44&lt;&gt;"N/A - Culvert"),"Not possible ▲",IF(VLOOKUP(O44,'G-7 WaterC'' Data'!$AD$4:$AE$14,2,FALSE)=0,"Spatial Data Missing ⚠",VLOOKUP(O44,'G-7 WaterC'' Data'!$AD$4:$AE$14,2,FALSE)))))</f>
        <v/>
      </c>
      <c r="Q44" s="282" t="str">
        <f>IF(D44="","",VLOOKUP(D44,'G-7 WaterC'' Data'!$B$2:$G$8,6,FALSE))</f>
        <v/>
      </c>
      <c r="R44" s="289" t="str">
        <f t="shared" si="1"/>
        <v xml:space="preserve"> </v>
      </c>
      <c r="S44" s="803" t="str">
        <f t="shared" si="2"/>
        <v/>
      </c>
      <c r="T44" s="32"/>
      <c r="U44" s="101"/>
      <c r="V44" s="108"/>
      <c r="W44" s="287" t="str">
        <f t="shared" si="3"/>
        <v/>
      </c>
      <c r="X44" s="287" t="str">
        <f t="shared" si="4"/>
        <v/>
      </c>
      <c r="Y44" s="287" t="str">
        <f t="shared" si="5"/>
        <v/>
      </c>
      <c r="Z44" s="317" t="str">
        <f>IFERROR(IF(OR(E44="",R44=""),"",IF(AND(Q44='G-7 WaterC'' Data'!$G$4,AA44="Yes"),"Alternative Compensation ✓",IF(AND(AA44="Pending",Q44='G-7 WaterC'' Data'!$G$4),"Bespoke compensation must be agreed ▲",IF((W44+X44)&gt;=R44,0,R44-W44-X44)))),"Check Data ⚠")</f>
        <v/>
      </c>
      <c r="AA44" s="800"/>
      <c r="AB44" s="136"/>
      <c r="AC44" s="104"/>
      <c r="AD44" s="104"/>
      <c r="AE44" s="54" t="str">
        <f>IF(OR(Q44="",AA44="Yes"),"",IF(Q44='G-1 All Habitats'!$X$9,E44-U44-V44,"None"))</f>
        <v/>
      </c>
      <c r="AF44" s="55" t="str">
        <f>IF(Q44="","",IF(Q44='G-1 All Habitats'!$X$9,AE44*G44*I44*L44*N44*P44,"None"))</f>
        <v/>
      </c>
      <c r="AI44" s="30">
        <f t="shared" si="9"/>
        <v>0</v>
      </c>
      <c r="AJ44" s="107" t="str">
        <f t="shared" si="6"/>
        <v/>
      </c>
      <c r="AK44" s="107" t="str">
        <f t="shared" si="7"/>
        <v/>
      </c>
      <c r="AM44" s="107">
        <v>35</v>
      </c>
      <c r="AO44" s="107" t="str">
        <f t="array" ref="AO44">IFERROR(INDEX($AM$10:$AM$258,MATCH(0,IF(TRUE=$AJ$10:$AJ$258,COUNTIF($AO$9:$AO43,$AM$10:$AM$258),""),0)),"")</f>
        <v/>
      </c>
      <c r="AP44" s="107" t="str">
        <f t="array" ref="AP44">IFERROR(INDEX($AM$10:$AM$258,MATCH(0,IF(TRUE=$AK$10:$AK$258,COUNTIF($AP$9:$AP43,$AM$10:$AM$258),""),0)),"")</f>
        <v/>
      </c>
      <c r="AR44" s="30" t="str">
        <f>IFERROR(INDEX('G-7 WaterC'' Data'!$AZ$3:$AZ$7,MATCH(D44,'G-7 WaterC'' Data'!$AY$3:$AY$7,0)),"")</f>
        <v/>
      </c>
      <c r="AS44" s="30" t="str">
        <f>IFERROR(INDEX('G-7 WaterC'' Data'!AZ44:AZ48,MATCH(D44,'G-7 WaterC'' Data'!$AY$10:$AY$14,0)),"")</f>
        <v/>
      </c>
      <c r="AT44" s="885" t="str">
        <f>IF(AND(OR(AA44="Yes",AA44="Pending"),Q44='G-7 WaterC'' Data'!$G$4),R44-W44-X44,"")</f>
        <v/>
      </c>
      <c r="AU44" s="30" t="str">
        <f>IF(D44="","",VLOOKUP(D44,'G-7 WaterC'' Data'!B$4:M$8,12,FALSE))</f>
        <v/>
      </c>
      <c r="AV44" s="30" t="str">
        <f t="shared" si="0"/>
        <v/>
      </c>
      <c r="AX44" s="30" t="str">
        <f t="shared" si="8"/>
        <v>No</v>
      </c>
    </row>
    <row r="45" spans="3:50" ht="14" hidden="1">
      <c r="C45" s="97">
        <v>36</v>
      </c>
      <c r="D45" s="261"/>
      <c r="E45" s="115"/>
      <c r="F45" s="275" t="str">
        <f>IF(D45="","",VLOOKUP(D45,'G-7 WaterC'' Data'!$B$2:$G$8,2,FALSE))</f>
        <v/>
      </c>
      <c r="G45" s="276" t="str">
        <f>IFERROR(VLOOKUP(F45,'G-7 WaterC'' Data'!$C$4:$D$8,2,FALSE),"")</f>
        <v/>
      </c>
      <c r="H45" s="52"/>
      <c r="I45" s="276" t="str">
        <f>IFERROR(INDEX('G-7 WaterC'' Data'!$H$4:$L$8,MATCH(D45,'G-7 WaterC'' Data'!$B$4:$B$8,0),MATCH(H45,'G-7 WaterC'' Data'!$H$3:$L$3,0)),"")</f>
        <v/>
      </c>
      <c r="J45" s="777"/>
      <c r="K45" s="311" t="str">
        <f>IF(J45="","",IF(VLOOKUP(J45,'G-7 WaterC'' Data'!$AK$4:$AM$6,2,FALSE)=0,"Spatial Data Missing ⚠",VLOOKUP(J45,'G-7 WaterC'' Data'!$AK$4:$AM$6,2,FALSE)))</f>
        <v/>
      </c>
      <c r="L45" s="281" t="str">
        <f>IF(J45="","",IF(VLOOKUP(J45,'G-7 WaterC'' Data'!$AK$4:$AM$9,3,FALSE)=0,"Spatial Data Missing ⚠",VLOOKUP(J45,'G-7 WaterC'' Data'!$AK$4:$AM$6,3,FALSE)))</f>
        <v/>
      </c>
      <c r="M45" s="52"/>
      <c r="N45" s="276" t="str">
        <f>IF(M45="","",IF(AND(D45&lt;&gt;"Culvert",M45="N/A - Culvert"),"Not possible ▲",IF(AND(D45="Culvert",M45&lt;&gt;"N/A - Culvert"),"Not possible ▲",IF(VLOOKUP(M45,'G-7 WaterC'' Data'!$AA$4:$AB$7,2,FALSE)=0,"Spatial Data Missing ⚠",VLOOKUP(M45,'G-7 WaterC'' Data'!$AA$4:$AB$7,2,FALSE)))))</f>
        <v/>
      </c>
      <c r="O45" s="56"/>
      <c r="P45" s="276" t="str">
        <f>IF(O45="","",IF(AND(O45="N/A - Culvert",D45&lt;&gt;"Culvert"),"Not possible ▲",IF(AND(D45="Culvert",O45&lt;&gt;"N/A - Culvert"),"Not possible ▲",IF(VLOOKUP(O45,'G-7 WaterC'' Data'!$AD$4:$AE$14,2,FALSE)=0,"Spatial Data Missing ⚠",VLOOKUP(O45,'G-7 WaterC'' Data'!$AD$4:$AE$14,2,FALSE)))))</f>
        <v/>
      </c>
      <c r="Q45" s="282" t="str">
        <f>IF(D45="","",VLOOKUP(D45,'G-7 WaterC'' Data'!$B$2:$G$8,6,FALSE))</f>
        <v/>
      </c>
      <c r="R45" s="289" t="str">
        <f t="shared" si="1"/>
        <v xml:space="preserve"> </v>
      </c>
      <c r="S45" s="803" t="str">
        <f t="shared" si="2"/>
        <v/>
      </c>
      <c r="T45" s="32"/>
      <c r="U45" s="101"/>
      <c r="V45" s="108"/>
      <c r="W45" s="287" t="str">
        <f t="shared" si="3"/>
        <v/>
      </c>
      <c r="X45" s="287" t="str">
        <f t="shared" si="4"/>
        <v/>
      </c>
      <c r="Y45" s="287" t="str">
        <f t="shared" si="5"/>
        <v/>
      </c>
      <c r="Z45" s="317" t="str">
        <f>IFERROR(IF(OR(E45="",R45=""),"",IF(AND(Q45='G-7 WaterC'' Data'!$G$4,AA45="Yes"),"Alternative Compensation ✓",IF(AND(AA45="Pending",Q45='G-7 WaterC'' Data'!$G$4),"Bespoke compensation must be agreed ▲",IF((W45+X45)&gt;=R45,0,R45-W45-X45)))),"Check Data ⚠")</f>
        <v/>
      </c>
      <c r="AA45" s="800"/>
      <c r="AB45" s="136"/>
      <c r="AC45" s="104"/>
      <c r="AD45" s="104"/>
      <c r="AE45" s="54" t="str">
        <f>IF(OR(Q45="",AA45="Yes"),"",IF(Q45='G-1 All Habitats'!$X$9,E45-U45-V45,"None"))</f>
        <v/>
      </c>
      <c r="AF45" s="55" t="str">
        <f>IF(Q45="","",IF(Q45='G-1 All Habitats'!$X$9,AE45*G45*I45*L45*N45*P45,"None"))</f>
        <v/>
      </c>
      <c r="AI45" s="30">
        <f t="shared" si="9"/>
        <v>0</v>
      </c>
      <c r="AJ45" s="107" t="str">
        <f t="shared" si="6"/>
        <v/>
      </c>
      <c r="AK45" s="107" t="str">
        <f t="shared" si="7"/>
        <v/>
      </c>
      <c r="AM45" s="107">
        <v>36</v>
      </c>
      <c r="AO45" s="107" t="str">
        <f t="array" ref="AO45">IFERROR(INDEX($AM$10:$AM$258,MATCH(0,IF(TRUE=$AJ$10:$AJ$258,COUNTIF($AO$9:$AO44,$AM$10:$AM$258),""),0)),"")</f>
        <v/>
      </c>
      <c r="AP45" s="107" t="str">
        <f t="array" ref="AP45">IFERROR(INDEX($AM$10:$AM$258,MATCH(0,IF(TRUE=$AK$10:$AK$258,COUNTIF($AP$9:$AP44,$AM$10:$AM$258),""),0)),"")</f>
        <v/>
      </c>
      <c r="AR45" s="30" t="str">
        <f>IFERROR(INDEX('G-7 WaterC'' Data'!$AZ$3:$AZ$7,MATCH(D45,'G-7 WaterC'' Data'!$AY$3:$AY$7,0)),"")</f>
        <v/>
      </c>
      <c r="AS45" s="30" t="str">
        <f>IFERROR(INDEX('G-7 WaterC'' Data'!AZ45:AZ49,MATCH(D45,'G-7 WaterC'' Data'!$AY$10:$AY$14,0)),"")</f>
        <v/>
      </c>
      <c r="AT45" s="885" t="str">
        <f>IF(AND(OR(AA45="Yes",AA45="Pending"),Q45='G-7 WaterC'' Data'!$G$4),R45-W45-X45,"")</f>
        <v/>
      </c>
      <c r="AU45" s="30" t="str">
        <f>IF(D45="","",VLOOKUP(D45,'G-7 WaterC'' Data'!B$4:M$8,12,FALSE))</f>
        <v/>
      </c>
      <c r="AV45" s="30" t="str">
        <f t="shared" si="0"/>
        <v/>
      </c>
      <c r="AX45" s="30" t="str">
        <f t="shared" si="8"/>
        <v>No</v>
      </c>
    </row>
    <row r="46" spans="3:50" ht="14" hidden="1">
      <c r="C46" s="97">
        <v>37</v>
      </c>
      <c r="D46" s="261"/>
      <c r="E46" s="115"/>
      <c r="F46" s="275" t="str">
        <f>IF(D46="","",VLOOKUP(D46,'G-7 WaterC'' Data'!$B$2:$G$8,2,FALSE))</f>
        <v/>
      </c>
      <c r="G46" s="276" t="str">
        <f>IFERROR(VLOOKUP(F46,'G-7 WaterC'' Data'!$C$4:$D$8,2,FALSE),"")</f>
        <v/>
      </c>
      <c r="H46" s="52"/>
      <c r="I46" s="276" t="str">
        <f>IFERROR(INDEX('G-7 WaterC'' Data'!$H$4:$L$8,MATCH(D46,'G-7 WaterC'' Data'!$B$4:$B$8,0),MATCH(H46,'G-7 WaterC'' Data'!$H$3:$L$3,0)),"")</f>
        <v/>
      </c>
      <c r="J46" s="777"/>
      <c r="K46" s="311" t="str">
        <f>IF(J46="","",IF(VLOOKUP(J46,'G-7 WaterC'' Data'!$AK$4:$AM$6,2,FALSE)=0,"Spatial Data Missing ⚠",VLOOKUP(J46,'G-7 WaterC'' Data'!$AK$4:$AM$6,2,FALSE)))</f>
        <v/>
      </c>
      <c r="L46" s="281" t="str">
        <f>IF(J46="","",IF(VLOOKUP(J46,'G-7 WaterC'' Data'!$AK$4:$AM$9,3,FALSE)=0,"Spatial Data Missing ⚠",VLOOKUP(J46,'G-7 WaterC'' Data'!$AK$4:$AM$6,3,FALSE)))</f>
        <v/>
      </c>
      <c r="M46" s="52"/>
      <c r="N46" s="276" t="str">
        <f>IF(M46="","",IF(AND(D46&lt;&gt;"Culvert",M46="N/A - Culvert"),"Not possible ▲",IF(AND(D46="Culvert",M46&lt;&gt;"N/A - Culvert"),"Not possible ▲",IF(VLOOKUP(M46,'G-7 WaterC'' Data'!$AA$4:$AB$7,2,FALSE)=0,"Spatial Data Missing ⚠",VLOOKUP(M46,'G-7 WaterC'' Data'!$AA$4:$AB$7,2,FALSE)))))</f>
        <v/>
      </c>
      <c r="O46" s="56"/>
      <c r="P46" s="276" t="str">
        <f>IF(O46="","",IF(AND(O46="N/A - Culvert",D46&lt;&gt;"Culvert"),"Not possible ▲",IF(AND(D46="Culvert",O46&lt;&gt;"N/A - Culvert"),"Not possible ▲",IF(VLOOKUP(O46,'G-7 WaterC'' Data'!$AD$4:$AE$14,2,FALSE)=0,"Spatial Data Missing ⚠",VLOOKUP(O46,'G-7 WaterC'' Data'!$AD$4:$AE$14,2,FALSE)))))</f>
        <v/>
      </c>
      <c r="Q46" s="282" t="str">
        <f>IF(D46="","",VLOOKUP(D46,'G-7 WaterC'' Data'!$B$2:$G$8,6,FALSE))</f>
        <v/>
      </c>
      <c r="R46" s="289" t="str">
        <f t="shared" si="1"/>
        <v xml:space="preserve"> </v>
      </c>
      <c r="S46" s="803" t="str">
        <f t="shared" si="2"/>
        <v/>
      </c>
      <c r="T46" s="32"/>
      <c r="U46" s="101"/>
      <c r="V46" s="108"/>
      <c r="W46" s="287" t="str">
        <f t="shared" si="3"/>
        <v/>
      </c>
      <c r="X46" s="287" t="str">
        <f t="shared" si="4"/>
        <v/>
      </c>
      <c r="Y46" s="287" t="str">
        <f t="shared" si="5"/>
        <v/>
      </c>
      <c r="Z46" s="317" t="str">
        <f>IFERROR(IF(OR(E46="",R46=""),"",IF(AND(Q46='G-7 WaterC'' Data'!$G$4,AA46="Yes"),"Alternative Compensation ✓",IF(AND(AA46="Pending",Q46='G-7 WaterC'' Data'!$G$4),"Bespoke compensation must be agreed ▲",IF((W46+X46)&gt;=R46,0,R46-W46-X46)))),"Check Data ⚠")</f>
        <v/>
      </c>
      <c r="AA46" s="800"/>
      <c r="AB46" s="136"/>
      <c r="AC46" s="104"/>
      <c r="AD46" s="104"/>
      <c r="AE46" s="54" t="str">
        <f>IF(OR(Q46="",AA46="Yes"),"",IF(Q46='G-1 All Habitats'!$X$9,E46-U46-V46,"None"))</f>
        <v/>
      </c>
      <c r="AF46" s="55" t="str">
        <f>IF(Q46="","",IF(Q46='G-1 All Habitats'!$X$9,AE46*G46*I46*L46*N46*P46,"None"))</f>
        <v/>
      </c>
      <c r="AI46" s="30">
        <f t="shared" si="9"/>
        <v>0</v>
      </c>
      <c r="AJ46" s="107" t="str">
        <f t="shared" si="6"/>
        <v/>
      </c>
      <c r="AK46" s="107" t="str">
        <f t="shared" si="7"/>
        <v/>
      </c>
      <c r="AM46" s="107">
        <v>37</v>
      </c>
      <c r="AO46" s="107" t="str">
        <f t="array" ref="AO46">IFERROR(INDEX($AM$10:$AM$258,MATCH(0,IF(TRUE=$AJ$10:$AJ$258,COUNTIF($AO$9:$AO45,$AM$10:$AM$258),""),0)),"")</f>
        <v/>
      </c>
      <c r="AP46" s="107" t="str">
        <f t="array" ref="AP46">IFERROR(INDEX($AM$10:$AM$258,MATCH(0,IF(TRUE=$AK$10:$AK$258,COUNTIF($AP$9:$AP45,$AM$10:$AM$258),""),0)),"")</f>
        <v/>
      </c>
      <c r="AR46" s="30" t="str">
        <f>IFERROR(INDEX('G-7 WaterC'' Data'!$AZ$3:$AZ$7,MATCH(D46,'G-7 WaterC'' Data'!$AY$3:$AY$7,0)),"")</f>
        <v/>
      </c>
      <c r="AS46" s="30" t="str">
        <f>IFERROR(INDEX('G-7 WaterC'' Data'!AZ46:AZ50,MATCH(D46,'G-7 WaterC'' Data'!$AY$10:$AY$14,0)),"")</f>
        <v/>
      </c>
      <c r="AT46" s="885" t="str">
        <f>IF(AND(OR(AA46="Yes",AA46="Pending"),Q46='G-7 WaterC'' Data'!$G$4),R46-W46-X46,"")</f>
        <v/>
      </c>
      <c r="AU46" s="30" t="str">
        <f>IF(D46="","",VLOOKUP(D46,'G-7 WaterC'' Data'!B$4:M$8,12,FALSE))</f>
        <v/>
      </c>
      <c r="AV46" s="30" t="str">
        <f t="shared" si="0"/>
        <v/>
      </c>
      <c r="AX46" s="30" t="str">
        <f t="shared" si="8"/>
        <v>No</v>
      </c>
    </row>
    <row r="47" spans="3:50" ht="14" hidden="1">
      <c r="C47" s="97">
        <v>38</v>
      </c>
      <c r="D47" s="261"/>
      <c r="E47" s="115"/>
      <c r="F47" s="275" t="str">
        <f>IF(D47="","",VLOOKUP(D47,'G-7 WaterC'' Data'!$B$2:$G$8,2,FALSE))</f>
        <v/>
      </c>
      <c r="G47" s="276" t="str">
        <f>IFERROR(VLOOKUP(F47,'G-7 WaterC'' Data'!$C$4:$D$8,2,FALSE),"")</f>
        <v/>
      </c>
      <c r="H47" s="52"/>
      <c r="I47" s="276" t="str">
        <f>IFERROR(INDEX('G-7 WaterC'' Data'!$H$4:$L$8,MATCH(D47,'G-7 WaterC'' Data'!$B$4:$B$8,0),MATCH(H47,'G-7 WaterC'' Data'!$H$3:$L$3,0)),"")</f>
        <v/>
      </c>
      <c r="J47" s="777"/>
      <c r="K47" s="311" t="str">
        <f>IF(J47="","",IF(VLOOKUP(J47,'G-7 WaterC'' Data'!$AK$4:$AM$6,2,FALSE)=0,"Spatial Data Missing ⚠",VLOOKUP(J47,'G-7 WaterC'' Data'!$AK$4:$AM$6,2,FALSE)))</f>
        <v/>
      </c>
      <c r="L47" s="281" t="str">
        <f>IF(J47="","",IF(VLOOKUP(J47,'G-7 WaterC'' Data'!$AK$4:$AM$9,3,FALSE)=0,"Spatial Data Missing ⚠",VLOOKUP(J47,'G-7 WaterC'' Data'!$AK$4:$AM$6,3,FALSE)))</f>
        <v/>
      </c>
      <c r="M47" s="52"/>
      <c r="N47" s="276" t="str">
        <f>IF(M47="","",IF(AND(D47&lt;&gt;"Culvert",M47="N/A - Culvert"),"Not possible ▲",IF(AND(D47="Culvert",M47&lt;&gt;"N/A - Culvert"),"Not possible ▲",IF(VLOOKUP(M47,'G-7 WaterC'' Data'!$AA$4:$AB$7,2,FALSE)=0,"Spatial Data Missing ⚠",VLOOKUP(M47,'G-7 WaterC'' Data'!$AA$4:$AB$7,2,FALSE)))))</f>
        <v/>
      </c>
      <c r="O47" s="56"/>
      <c r="P47" s="276" t="str">
        <f>IF(O47="","",IF(AND(O47="N/A - Culvert",D47&lt;&gt;"Culvert"),"Not possible ▲",IF(AND(D47="Culvert",O47&lt;&gt;"N/A - Culvert"),"Not possible ▲",IF(VLOOKUP(O47,'G-7 WaterC'' Data'!$AD$4:$AE$14,2,FALSE)=0,"Spatial Data Missing ⚠",VLOOKUP(O47,'G-7 WaterC'' Data'!$AD$4:$AE$14,2,FALSE)))))</f>
        <v/>
      </c>
      <c r="Q47" s="282" t="str">
        <f>IF(D47="","",VLOOKUP(D47,'G-7 WaterC'' Data'!$B$2:$G$8,6,FALSE))</f>
        <v/>
      </c>
      <c r="R47" s="289" t="str">
        <f t="shared" si="1"/>
        <v xml:space="preserve"> </v>
      </c>
      <c r="S47" s="803" t="str">
        <f t="shared" si="2"/>
        <v/>
      </c>
      <c r="T47" s="32"/>
      <c r="U47" s="101"/>
      <c r="V47" s="108"/>
      <c r="W47" s="287" t="str">
        <f t="shared" si="3"/>
        <v/>
      </c>
      <c r="X47" s="287" t="str">
        <f t="shared" si="4"/>
        <v/>
      </c>
      <c r="Y47" s="287" t="str">
        <f t="shared" si="5"/>
        <v/>
      </c>
      <c r="Z47" s="317" t="str">
        <f>IFERROR(IF(OR(E47="",R47=""),"",IF(AND(Q47='G-7 WaterC'' Data'!$G$4,AA47="Yes"),"Alternative Compensation ✓",IF(AND(AA47="Pending",Q47='G-7 WaterC'' Data'!$G$4),"Bespoke compensation must be agreed ▲",IF((W47+X47)&gt;=R47,0,R47-W47-X47)))),"Check Data ⚠")</f>
        <v/>
      </c>
      <c r="AA47" s="800"/>
      <c r="AB47" s="136"/>
      <c r="AC47" s="104"/>
      <c r="AD47" s="104"/>
      <c r="AE47" s="54" t="str">
        <f>IF(OR(Q47="",AA47="Yes"),"",IF(Q47='G-1 All Habitats'!$X$9,E47-U47-V47,"None"))</f>
        <v/>
      </c>
      <c r="AF47" s="55" t="str">
        <f>IF(Q47="","",IF(Q47='G-1 All Habitats'!$X$9,AE47*G47*I47*L47*N47*P47,"None"))</f>
        <v/>
      </c>
      <c r="AI47" s="30">
        <f t="shared" si="9"/>
        <v>0</v>
      </c>
      <c r="AJ47" s="107" t="str">
        <f t="shared" si="6"/>
        <v/>
      </c>
      <c r="AK47" s="107" t="str">
        <f t="shared" si="7"/>
        <v/>
      </c>
      <c r="AM47" s="107">
        <v>38</v>
      </c>
      <c r="AO47" s="107" t="str">
        <f t="array" ref="AO47">IFERROR(INDEX($AM$10:$AM$258,MATCH(0,IF(TRUE=$AJ$10:$AJ$258,COUNTIF($AO$9:$AO46,$AM$10:$AM$258),""),0)),"")</f>
        <v/>
      </c>
      <c r="AP47" s="107" t="str">
        <f t="array" ref="AP47">IFERROR(INDEX($AM$10:$AM$258,MATCH(0,IF(TRUE=$AK$10:$AK$258,COUNTIF($AP$9:$AP46,$AM$10:$AM$258),""),0)),"")</f>
        <v/>
      </c>
      <c r="AR47" s="30" t="str">
        <f>IFERROR(INDEX('G-7 WaterC'' Data'!$AZ$3:$AZ$7,MATCH(D47,'G-7 WaterC'' Data'!$AY$3:$AY$7,0)),"")</f>
        <v/>
      </c>
      <c r="AS47" s="30" t="str">
        <f>IFERROR(INDEX('G-7 WaterC'' Data'!AZ47:AZ51,MATCH(D47,'G-7 WaterC'' Data'!$AY$10:$AY$14,0)),"")</f>
        <v/>
      </c>
      <c r="AT47" s="885" t="str">
        <f>IF(AND(OR(AA47="Yes",AA47="Pending"),Q47='G-7 WaterC'' Data'!$G$4),R47-W47-X47,"")</f>
        <v/>
      </c>
      <c r="AU47" s="30" t="str">
        <f>IF(D47="","",VLOOKUP(D47,'G-7 WaterC'' Data'!B$4:M$8,12,FALSE))</f>
        <v/>
      </c>
      <c r="AV47" s="30" t="str">
        <f t="shared" si="0"/>
        <v/>
      </c>
      <c r="AX47" s="30" t="str">
        <f t="shared" si="8"/>
        <v>No</v>
      </c>
    </row>
    <row r="48" spans="3:50" ht="14" hidden="1">
      <c r="C48" s="97">
        <v>39</v>
      </c>
      <c r="D48" s="261"/>
      <c r="E48" s="115"/>
      <c r="F48" s="275" t="str">
        <f>IF(D48="","",VLOOKUP(D48,'G-7 WaterC'' Data'!$B$2:$G$8,2,FALSE))</f>
        <v/>
      </c>
      <c r="G48" s="276" t="str">
        <f>IFERROR(VLOOKUP(F48,'G-7 WaterC'' Data'!$C$4:$D$8,2,FALSE),"")</f>
        <v/>
      </c>
      <c r="H48" s="52"/>
      <c r="I48" s="276" t="str">
        <f>IFERROR(INDEX('G-7 WaterC'' Data'!$H$4:$L$8,MATCH(D48,'G-7 WaterC'' Data'!$B$4:$B$8,0),MATCH(H48,'G-7 WaterC'' Data'!$H$3:$L$3,0)),"")</f>
        <v/>
      </c>
      <c r="J48" s="777"/>
      <c r="K48" s="311" t="str">
        <f>IF(J48="","",IF(VLOOKUP(J48,'G-7 WaterC'' Data'!$AK$4:$AM$6,2,FALSE)=0,"Spatial Data Missing ⚠",VLOOKUP(J48,'G-7 WaterC'' Data'!$AK$4:$AM$6,2,FALSE)))</f>
        <v/>
      </c>
      <c r="L48" s="281" t="str">
        <f>IF(J48="","",IF(VLOOKUP(J48,'G-7 WaterC'' Data'!$AK$4:$AM$9,3,FALSE)=0,"Spatial Data Missing ⚠",VLOOKUP(J48,'G-7 WaterC'' Data'!$AK$4:$AM$6,3,FALSE)))</f>
        <v/>
      </c>
      <c r="M48" s="52"/>
      <c r="N48" s="276" t="str">
        <f>IF(M48="","",IF(AND(D48&lt;&gt;"Culvert",M48="N/A - Culvert"),"Not possible ▲",IF(AND(D48="Culvert",M48&lt;&gt;"N/A - Culvert"),"Not possible ▲",IF(VLOOKUP(M48,'G-7 WaterC'' Data'!$AA$4:$AB$7,2,FALSE)=0,"Spatial Data Missing ⚠",VLOOKUP(M48,'G-7 WaterC'' Data'!$AA$4:$AB$7,2,FALSE)))))</f>
        <v/>
      </c>
      <c r="O48" s="56"/>
      <c r="P48" s="276" t="str">
        <f>IF(O48="","",IF(AND(O48="N/A - Culvert",D48&lt;&gt;"Culvert"),"Not possible ▲",IF(AND(D48="Culvert",O48&lt;&gt;"N/A - Culvert"),"Not possible ▲",IF(VLOOKUP(O48,'G-7 WaterC'' Data'!$AD$4:$AE$14,2,FALSE)=0,"Spatial Data Missing ⚠",VLOOKUP(O48,'G-7 WaterC'' Data'!$AD$4:$AE$14,2,FALSE)))))</f>
        <v/>
      </c>
      <c r="Q48" s="282" t="str">
        <f>IF(D48="","",VLOOKUP(D48,'G-7 WaterC'' Data'!$B$2:$G$8,6,FALSE))</f>
        <v/>
      </c>
      <c r="R48" s="289" t="str">
        <f t="shared" si="1"/>
        <v xml:space="preserve"> </v>
      </c>
      <c r="S48" s="803" t="str">
        <f t="shared" si="2"/>
        <v/>
      </c>
      <c r="T48" s="32"/>
      <c r="U48" s="101"/>
      <c r="V48" s="108"/>
      <c r="W48" s="287" t="str">
        <f t="shared" si="3"/>
        <v/>
      </c>
      <c r="X48" s="287" t="str">
        <f t="shared" si="4"/>
        <v/>
      </c>
      <c r="Y48" s="287" t="str">
        <f t="shared" si="5"/>
        <v/>
      </c>
      <c r="Z48" s="317" t="str">
        <f>IFERROR(IF(OR(E48="",R48=""),"",IF(AND(Q48='G-7 WaterC'' Data'!$G$4,AA48="Yes"),"Alternative Compensation ✓",IF(AND(AA48="Pending",Q48='G-7 WaterC'' Data'!$G$4),"Bespoke compensation must be agreed ▲",IF((W48+X48)&gt;=R48,0,R48-W48-X48)))),"Check Data ⚠")</f>
        <v/>
      </c>
      <c r="AA48" s="800"/>
      <c r="AB48" s="136"/>
      <c r="AC48" s="104"/>
      <c r="AD48" s="104"/>
      <c r="AE48" s="54" t="str">
        <f>IF(OR(Q48="",AA48="Yes"),"",IF(Q48='G-1 All Habitats'!$X$9,E48-U48-V48,"None"))</f>
        <v/>
      </c>
      <c r="AF48" s="55" t="str">
        <f>IF(Q48="","",IF(Q48='G-1 All Habitats'!$X$9,AE48*G48*I48*L48*N48*P48,"None"))</f>
        <v/>
      </c>
      <c r="AI48" s="30">
        <f t="shared" si="9"/>
        <v>0</v>
      </c>
      <c r="AJ48" s="107" t="str">
        <f t="shared" si="6"/>
        <v/>
      </c>
      <c r="AK48" s="107" t="str">
        <f t="shared" si="7"/>
        <v/>
      </c>
      <c r="AM48" s="107">
        <v>39</v>
      </c>
      <c r="AO48" s="107" t="str">
        <f t="array" ref="AO48">IFERROR(INDEX($AM$10:$AM$258,MATCH(0,IF(TRUE=$AJ$10:$AJ$258,COUNTIF($AO$9:$AO47,$AM$10:$AM$258),""),0)),"")</f>
        <v/>
      </c>
      <c r="AP48" s="107" t="str">
        <f t="array" ref="AP48">IFERROR(INDEX($AM$10:$AM$258,MATCH(0,IF(TRUE=$AK$10:$AK$258,COUNTIF($AP$9:$AP47,$AM$10:$AM$258),""),0)),"")</f>
        <v/>
      </c>
      <c r="AR48" s="30" t="str">
        <f>IFERROR(INDEX('G-7 WaterC'' Data'!$AZ$3:$AZ$7,MATCH(D48,'G-7 WaterC'' Data'!$AY$3:$AY$7,0)),"")</f>
        <v/>
      </c>
      <c r="AS48" s="30" t="str">
        <f>IFERROR(INDEX('G-7 WaterC'' Data'!AZ48:AZ52,MATCH(D48,'G-7 WaterC'' Data'!$AY$10:$AY$14,0)),"")</f>
        <v/>
      </c>
      <c r="AT48" s="885" t="str">
        <f>IF(AND(OR(AA48="Yes",AA48="Pending"),Q48='G-7 WaterC'' Data'!$G$4),R48-W48-X48,"")</f>
        <v/>
      </c>
      <c r="AU48" s="30" t="str">
        <f>IF(D48="","",VLOOKUP(D48,'G-7 WaterC'' Data'!B$4:M$8,12,FALSE))</f>
        <v/>
      </c>
      <c r="AV48" s="30" t="str">
        <f t="shared" si="0"/>
        <v/>
      </c>
      <c r="AX48" s="30" t="str">
        <f t="shared" si="8"/>
        <v>No</v>
      </c>
    </row>
    <row r="49" spans="3:50" ht="14" hidden="1">
      <c r="C49" s="97">
        <v>40</v>
      </c>
      <c r="D49" s="261"/>
      <c r="E49" s="115"/>
      <c r="F49" s="275" t="str">
        <f>IF(D49="","",VLOOKUP(D49,'G-7 WaterC'' Data'!$B$2:$G$8,2,FALSE))</f>
        <v/>
      </c>
      <c r="G49" s="276" t="str">
        <f>IFERROR(VLOOKUP(F49,'G-7 WaterC'' Data'!$C$4:$D$8,2,FALSE),"")</f>
        <v/>
      </c>
      <c r="H49" s="52"/>
      <c r="I49" s="276" t="str">
        <f>IFERROR(INDEX('G-7 WaterC'' Data'!$H$4:$L$8,MATCH(D49,'G-7 WaterC'' Data'!$B$4:$B$8,0),MATCH(H49,'G-7 WaterC'' Data'!$H$3:$L$3,0)),"")</f>
        <v/>
      </c>
      <c r="J49" s="777"/>
      <c r="K49" s="311" t="str">
        <f>IF(J49="","",IF(VLOOKUP(J49,'G-7 WaterC'' Data'!$AK$4:$AM$6,2,FALSE)=0,"Spatial Data Missing ⚠",VLOOKUP(J49,'G-7 WaterC'' Data'!$AK$4:$AM$6,2,FALSE)))</f>
        <v/>
      </c>
      <c r="L49" s="281" t="str">
        <f>IF(J49="","",IF(VLOOKUP(J49,'G-7 WaterC'' Data'!$AK$4:$AM$9,3,FALSE)=0,"Spatial Data Missing ⚠",VLOOKUP(J49,'G-7 WaterC'' Data'!$AK$4:$AM$6,3,FALSE)))</f>
        <v/>
      </c>
      <c r="M49" s="52"/>
      <c r="N49" s="276" t="str">
        <f>IF(M49="","",IF(AND(D49&lt;&gt;"Culvert",M49="N/A - Culvert"),"Not possible ▲",IF(AND(D49="Culvert",M49&lt;&gt;"N/A - Culvert"),"Not possible ▲",IF(VLOOKUP(M49,'G-7 WaterC'' Data'!$AA$4:$AB$7,2,FALSE)=0,"Spatial Data Missing ⚠",VLOOKUP(M49,'G-7 WaterC'' Data'!$AA$4:$AB$7,2,FALSE)))))</f>
        <v/>
      </c>
      <c r="O49" s="56"/>
      <c r="P49" s="276" t="str">
        <f>IF(O49="","",IF(AND(O49="N/A - Culvert",D49&lt;&gt;"Culvert"),"Not possible ▲",IF(AND(D49="Culvert",O49&lt;&gt;"N/A - Culvert"),"Not possible ▲",IF(VLOOKUP(O49,'G-7 WaterC'' Data'!$AD$4:$AE$14,2,FALSE)=0,"Spatial Data Missing ⚠",VLOOKUP(O49,'G-7 WaterC'' Data'!$AD$4:$AE$14,2,FALSE)))))</f>
        <v/>
      </c>
      <c r="Q49" s="282" t="str">
        <f>IF(D49="","",VLOOKUP(D49,'G-7 WaterC'' Data'!$B$2:$G$8,6,FALSE))</f>
        <v/>
      </c>
      <c r="R49" s="289" t="str">
        <f t="shared" si="1"/>
        <v xml:space="preserve"> </v>
      </c>
      <c r="S49" s="803" t="str">
        <f t="shared" si="2"/>
        <v/>
      </c>
      <c r="T49" s="32"/>
      <c r="U49" s="101"/>
      <c r="V49" s="108"/>
      <c r="W49" s="287" t="str">
        <f t="shared" si="3"/>
        <v/>
      </c>
      <c r="X49" s="287" t="str">
        <f t="shared" si="4"/>
        <v/>
      </c>
      <c r="Y49" s="287" t="str">
        <f t="shared" si="5"/>
        <v/>
      </c>
      <c r="Z49" s="317" t="str">
        <f>IFERROR(IF(OR(E49="",R49=""),"",IF(AND(Q49='G-7 WaterC'' Data'!$G$4,AA49="Yes"),"Alternative Compensation ✓",IF(AND(AA49="Pending",Q49='G-7 WaterC'' Data'!$G$4),"Bespoke compensation must be agreed ▲",IF((W49+X49)&gt;=R49,0,R49-W49-X49)))),"Check Data ⚠")</f>
        <v/>
      </c>
      <c r="AA49" s="800"/>
      <c r="AB49" s="136"/>
      <c r="AC49" s="104"/>
      <c r="AD49" s="104"/>
      <c r="AE49" s="54" t="str">
        <f>IF(OR(Q49="",AA49="Yes"),"",IF(Q49='G-1 All Habitats'!$X$9,E49-U49-V49,"None"))</f>
        <v/>
      </c>
      <c r="AF49" s="55" t="str">
        <f>IF(Q49="","",IF(Q49='G-1 All Habitats'!$X$9,AE49*G49*I49*L49*N49*P49,"None"))</f>
        <v/>
      </c>
      <c r="AI49" s="30">
        <f t="shared" si="9"/>
        <v>0</v>
      </c>
      <c r="AJ49" s="107" t="str">
        <f t="shared" si="6"/>
        <v/>
      </c>
      <c r="AK49" s="107" t="str">
        <f t="shared" si="7"/>
        <v/>
      </c>
      <c r="AM49" s="107">
        <v>40</v>
      </c>
      <c r="AO49" s="107" t="str">
        <f t="array" ref="AO49">IFERROR(INDEX($AM$10:$AM$258,MATCH(0,IF(TRUE=$AJ$10:$AJ$258,COUNTIF($AO$9:$AO48,$AM$10:$AM$258),""),0)),"")</f>
        <v/>
      </c>
      <c r="AP49" s="107" t="str">
        <f t="array" ref="AP49">IFERROR(INDEX($AM$10:$AM$258,MATCH(0,IF(TRUE=$AK$10:$AK$258,COUNTIF($AP$9:$AP48,$AM$10:$AM$258),""),0)),"")</f>
        <v/>
      </c>
      <c r="AR49" s="30" t="str">
        <f>IFERROR(INDEX('G-7 WaterC'' Data'!$AZ$3:$AZ$7,MATCH(D49,'G-7 WaterC'' Data'!$AY$3:$AY$7,0)),"")</f>
        <v/>
      </c>
      <c r="AS49" s="30" t="str">
        <f>IFERROR(INDEX('G-7 WaterC'' Data'!AZ49:AZ53,MATCH(D49,'G-7 WaterC'' Data'!$AY$10:$AY$14,0)),"")</f>
        <v/>
      </c>
      <c r="AT49" s="885" t="str">
        <f>IF(AND(OR(AA49="Yes",AA49="Pending"),Q49='G-7 WaterC'' Data'!$G$4),R49-W49-X49,"")</f>
        <v/>
      </c>
      <c r="AU49" s="30" t="str">
        <f>IF(D49="","",VLOOKUP(D49,'G-7 WaterC'' Data'!B$4:M$8,12,FALSE))</f>
        <v/>
      </c>
      <c r="AV49" s="30" t="str">
        <f t="shared" si="0"/>
        <v/>
      </c>
      <c r="AX49" s="30" t="str">
        <f t="shared" si="8"/>
        <v>No</v>
      </c>
    </row>
    <row r="50" spans="3:50" ht="14" hidden="1">
      <c r="C50" s="97">
        <v>41</v>
      </c>
      <c r="D50" s="261"/>
      <c r="E50" s="115"/>
      <c r="F50" s="275" t="str">
        <f>IF(D50="","",VLOOKUP(D50,'G-7 WaterC'' Data'!$B$2:$G$8,2,FALSE))</f>
        <v/>
      </c>
      <c r="G50" s="276" t="str">
        <f>IFERROR(VLOOKUP(F50,'G-7 WaterC'' Data'!$C$4:$D$8,2,FALSE),"")</f>
        <v/>
      </c>
      <c r="H50" s="52"/>
      <c r="I50" s="276" t="str">
        <f>IFERROR(INDEX('G-7 WaterC'' Data'!$H$4:$L$8,MATCH(D50,'G-7 WaterC'' Data'!$B$4:$B$8,0),MATCH(H50,'G-7 WaterC'' Data'!$H$3:$L$3,0)),"")</f>
        <v/>
      </c>
      <c r="J50" s="777"/>
      <c r="K50" s="311" t="str">
        <f>IF(J50="","",IF(VLOOKUP(J50,'G-7 WaterC'' Data'!$AK$4:$AM$6,2,FALSE)=0,"Spatial Data Missing ⚠",VLOOKUP(J50,'G-7 WaterC'' Data'!$AK$4:$AM$6,2,FALSE)))</f>
        <v/>
      </c>
      <c r="L50" s="281" t="str">
        <f>IF(J50="","",IF(VLOOKUP(J50,'G-7 WaterC'' Data'!$AK$4:$AM$9,3,FALSE)=0,"Spatial Data Missing ⚠",VLOOKUP(J50,'G-7 WaterC'' Data'!$AK$4:$AM$6,3,FALSE)))</f>
        <v/>
      </c>
      <c r="M50" s="52"/>
      <c r="N50" s="276" t="str">
        <f>IF(M50="","",IF(AND(D50&lt;&gt;"Culvert",M50="N/A - Culvert"),"Not possible ▲",IF(AND(D50="Culvert",M50&lt;&gt;"N/A - Culvert"),"Not possible ▲",IF(VLOOKUP(M50,'G-7 WaterC'' Data'!$AA$4:$AB$7,2,FALSE)=0,"Spatial Data Missing ⚠",VLOOKUP(M50,'G-7 WaterC'' Data'!$AA$4:$AB$7,2,FALSE)))))</f>
        <v/>
      </c>
      <c r="O50" s="56"/>
      <c r="P50" s="276" t="str">
        <f>IF(O50="","",IF(AND(O50="N/A - Culvert",D50&lt;&gt;"Culvert"),"Not possible ▲",IF(AND(D50="Culvert",O50&lt;&gt;"N/A - Culvert"),"Not possible ▲",IF(VLOOKUP(O50,'G-7 WaterC'' Data'!$AD$4:$AE$14,2,FALSE)=0,"Spatial Data Missing ⚠",VLOOKUP(O50,'G-7 WaterC'' Data'!$AD$4:$AE$14,2,FALSE)))))</f>
        <v/>
      </c>
      <c r="Q50" s="282" t="str">
        <f>IF(D50="","",VLOOKUP(D50,'G-7 WaterC'' Data'!$B$2:$G$8,6,FALSE))</f>
        <v/>
      </c>
      <c r="R50" s="289" t="str">
        <f t="shared" si="1"/>
        <v xml:space="preserve"> </v>
      </c>
      <c r="S50" s="803" t="str">
        <f t="shared" si="2"/>
        <v/>
      </c>
      <c r="T50" s="32"/>
      <c r="U50" s="101"/>
      <c r="V50" s="108"/>
      <c r="W50" s="287" t="str">
        <f t="shared" si="3"/>
        <v/>
      </c>
      <c r="X50" s="287" t="str">
        <f t="shared" si="4"/>
        <v/>
      </c>
      <c r="Y50" s="287" t="str">
        <f t="shared" si="5"/>
        <v/>
      </c>
      <c r="Z50" s="317" t="str">
        <f>IFERROR(IF(OR(E50="",R50=""),"",IF(AND(Q50='G-7 WaterC'' Data'!$G$4,AA50="Yes"),"Alternative Compensation ✓",IF(AND(AA50="Pending",Q50='G-7 WaterC'' Data'!$G$4),"Bespoke compensation must be agreed ▲",IF((W50+X50)&gt;=R50,0,R50-W50-X50)))),"Check Data ⚠")</f>
        <v/>
      </c>
      <c r="AA50" s="800"/>
      <c r="AB50" s="136"/>
      <c r="AC50" s="104"/>
      <c r="AD50" s="104"/>
      <c r="AE50" s="54" t="str">
        <f>IF(OR(Q50="",AA50="Yes"),"",IF(Q50='G-1 All Habitats'!$X$9,E50-U50-V50,"None"))</f>
        <v/>
      </c>
      <c r="AF50" s="55" t="str">
        <f>IF(Q50="","",IF(Q50='G-1 All Habitats'!$X$9,AE50*G50*I50*L50*N50*P50,"None"))</f>
        <v/>
      </c>
      <c r="AI50" s="30">
        <f t="shared" si="9"/>
        <v>0</v>
      </c>
      <c r="AJ50" s="107" t="str">
        <f t="shared" si="6"/>
        <v/>
      </c>
      <c r="AK50" s="107" t="str">
        <f t="shared" si="7"/>
        <v/>
      </c>
      <c r="AM50" s="107">
        <v>41</v>
      </c>
      <c r="AO50" s="107" t="str">
        <f t="array" ref="AO50">IFERROR(INDEX($AM$10:$AM$258,MATCH(0,IF(TRUE=$AJ$10:$AJ$258,COUNTIF($AO$9:$AO49,$AM$10:$AM$258),""),0)),"")</f>
        <v/>
      </c>
      <c r="AP50" s="107" t="str">
        <f t="array" ref="AP50">IFERROR(INDEX($AM$10:$AM$258,MATCH(0,IF(TRUE=$AK$10:$AK$258,COUNTIF($AP$9:$AP49,$AM$10:$AM$258),""),0)),"")</f>
        <v/>
      </c>
      <c r="AR50" s="30" t="str">
        <f>IFERROR(INDEX('G-7 WaterC'' Data'!$AZ$3:$AZ$7,MATCH(D50,'G-7 WaterC'' Data'!$AY$3:$AY$7,0)),"")</f>
        <v/>
      </c>
      <c r="AS50" s="30" t="str">
        <f>IFERROR(INDEX('G-7 WaterC'' Data'!AZ50:AZ54,MATCH(D50,'G-7 WaterC'' Data'!$AY$10:$AY$14,0)),"")</f>
        <v/>
      </c>
      <c r="AT50" s="885" t="str">
        <f>IF(AND(OR(AA50="Yes",AA50="Pending"),Q50='G-7 WaterC'' Data'!$G$4),R50-W50-X50,"")</f>
        <v/>
      </c>
      <c r="AU50" s="30" t="str">
        <f>IF(D50="","",VLOOKUP(D50,'G-7 WaterC'' Data'!B$4:M$8,12,FALSE))</f>
        <v/>
      </c>
      <c r="AV50" s="30" t="str">
        <f t="shared" si="0"/>
        <v/>
      </c>
      <c r="AX50" s="30" t="str">
        <f t="shared" si="8"/>
        <v>No</v>
      </c>
    </row>
    <row r="51" spans="3:50" ht="14" hidden="1">
      <c r="C51" s="97">
        <v>42</v>
      </c>
      <c r="D51" s="261"/>
      <c r="E51" s="115"/>
      <c r="F51" s="275" t="str">
        <f>IF(D51="","",VLOOKUP(D51,'G-7 WaterC'' Data'!$B$2:$G$8,2,FALSE))</f>
        <v/>
      </c>
      <c r="G51" s="276" t="str">
        <f>IFERROR(VLOOKUP(F51,'G-7 WaterC'' Data'!$C$4:$D$8,2,FALSE),"")</f>
        <v/>
      </c>
      <c r="H51" s="52"/>
      <c r="I51" s="276" t="str">
        <f>IFERROR(INDEX('G-7 WaterC'' Data'!$H$4:$L$8,MATCH(D51,'G-7 WaterC'' Data'!$B$4:$B$8,0),MATCH(H51,'G-7 WaterC'' Data'!$H$3:$L$3,0)),"")</f>
        <v/>
      </c>
      <c r="J51" s="777"/>
      <c r="K51" s="311" t="str">
        <f>IF(J51="","",IF(VLOOKUP(J51,'G-7 WaterC'' Data'!$AK$4:$AM$6,2,FALSE)=0,"Spatial Data Missing ⚠",VLOOKUP(J51,'G-7 WaterC'' Data'!$AK$4:$AM$6,2,FALSE)))</f>
        <v/>
      </c>
      <c r="L51" s="281" t="str">
        <f>IF(J51="","",IF(VLOOKUP(J51,'G-7 WaterC'' Data'!$AK$4:$AM$9,3,FALSE)=0,"Spatial Data Missing ⚠",VLOOKUP(J51,'G-7 WaterC'' Data'!$AK$4:$AM$6,3,FALSE)))</f>
        <v/>
      </c>
      <c r="M51" s="52"/>
      <c r="N51" s="276" t="str">
        <f>IF(M51="","",IF(AND(D51&lt;&gt;"Culvert",M51="N/A - Culvert"),"Not possible ▲",IF(AND(D51="Culvert",M51&lt;&gt;"N/A - Culvert"),"Not possible ▲",IF(VLOOKUP(M51,'G-7 WaterC'' Data'!$AA$4:$AB$7,2,FALSE)=0,"Spatial Data Missing ⚠",VLOOKUP(M51,'G-7 WaterC'' Data'!$AA$4:$AB$7,2,FALSE)))))</f>
        <v/>
      </c>
      <c r="O51" s="56"/>
      <c r="P51" s="276" t="str">
        <f>IF(O51="","",IF(AND(O51="N/A - Culvert",D51&lt;&gt;"Culvert"),"Not possible ▲",IF(AND(D51="Culvert",O51&lt;&gt;"N/A - Culvert"),"Not possible ▲",IF(VLOOKUP(O51,'G-7 WaterC'' Data'!$AD$4:$AE$14,2,FALSE)=0,"Spatial Data Missing ⚠",VLOOKUP(O51,'G-7 WaterC'' Data'!$AD$4:$AE$14,2,FALSE)))))</f>
        <v/>
      </c>
      <c r="Q51" s="282" t="str">
        <f>IF(D51="","",VLOOKUP(D51,'G-7 WaterC'' Data'!$B$2:$G$8,6,FALSE))</f>
        <v/>
      </c>
      <c r="R51" s="289" t="str">
        <f t="shared" si="1"/>
        <v xml:space="preserve"> </v>
      </c>
      <c r="S51" s="803" t="str">
        <f t="shared" si="2"/>
        <v/>
      </c>
      <c r="T51" s="32"/>
      <c r="U51" s="101"/>
      <c r="V51" s="108"/>
      <c r="W51" s="287" t="str">
        <f t="shared" si="3"/>
        <v/>
      </c>
      <c r="X51" s="287" t="str">
        <f t="shared" si="4"/>
        <v/>
      </c>
      <c r="Y51" s="287" t="str">
        <f t="shared" si="5"/>
        <v/>
      </c>
      <c r="Z51" s="317" t="str">
        <f>IFERROR(IF(OR(E51="",R51=""),"",IF(AND(Q51='G-7 WaterC'' Data'!$G$4,AA51="Yes"),"Alternative Compensation ✓",IF(AND(AA51="Pending",Q51='G-7 WaterC'' Data'!$G$4),"Bespoke compensation must be agreed ▲",IF((W51+X51)&gt;=R51,0,R51-W51-X51)))),"Check Data ⚠")</f>
        <v/>
      </c>
      <c r="AA51" s="800"/>
      <c r="AB51" s="136"/>
      <c r="AC51" s="104"/>
      <c r="AD51" s="104"/>
      <c r="AE51" s="54" t="str">
        <f>IF(OR(Q51="",AA51="Yes"),"",IF(Q51='G-1 All Habitats'!$X$9,E51-U51-V51,"None"))</f>
        <v/>
      </c>
      <c r="AF51" s="55" t="str">
        <f>IF(Q51="","",IF(Q51='G-1 All Habitats'!$X$9,AE51*G51*I51*L51*N51*P51,"None"))</f>
        <v/>
      </c>
      <c r="AI51" s="30">
        <f t="shared" si="9"/>
        <v>0</v>
      </c>
      <c r="AJ51" s="107" t="str">
        <f t="shared" si="6"/>
        <v/>
      </c>
      <c r="AK51" s="107" t="str">
        <f t="shared" si="7"/>
        <v/>
      </c>
      <c r="AM51" s="107">
        <v>42</v>
      </c>
      <c r="AO51" s="107" t="str">
        <f t="array" ref="AO51">IFERROR(INDEX($AM$10:$AM$258,MATCH(0,IF(TRUE=$AJ$10:$AJ$258,COUNTIF($AO$9:$AO50,$AM$10:$AM$258),""),0)),"")</f>
        <v/>
      </c>
      <c r="AP51" s="107" t="str">
        <f t="array" ref="AP51">IFERROR(INDEX($AM$10:$AM$258,MATCH(0,IF(TRUE=$AK$10:$AK$258,COUNTIF($AP$9:$AP50,$AM$10:$AM$258),""),0)),"")</f>
        <v/>
      </c>
      <c r="AR51" s="30" t="str">
        <f>IFERROR(INDEX('G-7 WaterC'' Data'!$AZ$3:$AZ$7,MATCH(D51,'G-7 WaterC'' Data'!$AY$3:$AY$7,0)),"")</f>
        <v/>
      </c>
      <c r="AS51" s="30" t="str">
        <f>IFERROR(INDEX('G-7 WaterC'' Data'!AZ51:AZ55,MATCH(D51,'G-7 WaterC'' Data'!$AY$10:$AY$14,0)),"")</f>
        <v/>
      </c>
      <c r="AT51" s="885" t="str">
        <f>IF(AND(OR(AA51="Yes",AA51="Pending"),Q51='G-7 WaterC'' Data'!$G$4),R51-W51-X51,"")</f>
        <v/>
      </c>
      <c r="AU51" s="30" t="str">
        <f>IF(D51="","",VLOOKUP(D51,'G-7 WaterC'' Data'!B$4:M$8,12,FALSE))</f>
        <v/>
      </c>
      <c r="AV51" s="30" t="str">
        <f t="shared" si="0"/>
        <v/>
      </c>
      <c r="AX51" s="30" t="str">
        <f t="shared" si="8"/>
        <v>No</v>
      </c>
    </row>
    <row r="52" spans="3:50" ht="14" hidden="1">
      <c r="C52" s="97">
        <v>43</v>
      </c>
      <c r="D52" s="261"/>
      <c r="E52" s="115"/>
      <c r="F52" s="275" t="str">
        <f>IF(D52="","",VLOOKUP(D52,'G-7 WaterC'' Data'!$B$2:$G$8,2,FALSE))</f>
        <v/>
      </c>
      <c r="G52" s="276" t="str">
        <f>IFERROR(VLOOKUP(F52,'G-7 WaterC'' Data'!$C$4:$D$8,2,FALSE),"")</f>
        <v/>
      </c>
      <c r="H52" s="52"/>
      <c r="I52" s="276" t="str">
        <f>IFERROR(INDEX('G-7 WaterC'' Data'!$H$4:$L$8,MATCH(D52,'G-7 WaterC'' Data'!$B$4:$B$8,0),MATCH(H52,'G-7 WaterC'' Data'!$H$3:$L$3,0)),"")</f>
        <v/>
      </c>
      <c r="J52" s="777"/>
      <c r="K52" s="311" t="str">
        <f>IF(J52="","",IF(VLOOKUP(J52,'G-7 WaterC'' Data'!$AK$4:$AM$6,2,FALSE)=0,"Spatial Data Missing ⚠",VLOOKUP(J52,'G-7 WaterC'' Data'!$AK$4:$AM$6,2,FALSE)))</f>
        <v/>
      </c>
      <c r="L52" s="281" t="str">
        <f>IF(J52="","",IF(VLOOKUP(J52,'G-7 WaterC'' Data'!$AK$4:$AM$9,3,FALSE)=0,"Spatial Data Missing ⚠",VLOOKUP(J52,'G-7 WaterC'' Data'!$AK$4:$AM$6,3,FALSE)))</f>
        <v/>
      </c>
      <c r="M52" s="52"/>
      <c r="N52" s="276" t="str">
        <f>IF(M52="","",IF(AND(D52&lt;&gt;"Culvert",M52="N/A - Culvert"),"Not possible ▲",IF(AND(D52="Culvert",M52&lt;&gt;"N/A - Culvert"),"Not possible ▲",IF(VLOOKUP(M52,'G-7 WaterC'' Data'!$AA$4:$AB$7,2,FALSE)=0,"Spatial Data Missing ⚠",VLOOKUP(M52,'G-7 WaterC'' Data'!$AA$4:$AB$7,2,FALSE)))))</f>
        <v/>
      </c>
      <c r="O52" s="56"/>
      <c r="P52" s="276" t="str">
        <f>IF(O52="","",IF(AND(O52="N/A - Culvert",D52&lt;&gt;"Culvert"),"Not possible ▲",IF(AND(D52="Culvert",O52&lt;&gt;"N/A - Culvert"),"Not possible ▲",IF(VLOOKUP(O52,'G-7 WaterC'' Data'!$AD$4:$AE$14,2,FALSE)=0,"Spatial Data Missing ⚠",VLOOKUP(O52,'G-7 WaterC'' Data'!$AD$4:$AE$14,2,FALSE)))))</f>
        <v/>
      </c>
      <c r="Q52" s="282" t="str">
        <f>IF(D52="","",VLOOKUP(D52,'G-7 WaterC'' Data'!$B$2:$G$8,6,FALSE))</f>
        <v/>
      </c>
      <c r="R52" s="289" t="str">
        <f t="shared" si="1"/>
        <v xml:space="preserve"> </v>
      </c>
      <c r="S52" s="803" t="str">
        <f t="shared" si="2"/>
        <v/>
      </c>
      <c r="T52" s="32"/>
      <c r="U52" s="101"/>
      <c r="V52" s="108"/>
      <c r="W52" s="287" t="str">
        <f t="shared" si="3"/>
        <v/>
      </c>
      <c r="X52" s="287" t="str">
        <f t="shared" si="4"/>
        <v/>
      </c>
      <c r="Y52" s="287" t="str">
        <f t="shared" si="5"/>
        <v/>
      </c>
      <c r="Z52" s="317" t="str">
        <f>IFERROR(IF(OR(E52="",R52=""),"",IF(AND(Q52='G-7 WaterC'' Data'!$G$4,AA52="Yes"),"Alternative Compensation ✓",IF(AND(AA52="Pending",Q52='G-7 WaterC'' Data'!$G$4),"Bespoke compensation must be agreed ▲",IF((W52+X52)&gt;=R52,0,R52-W52-X52)))),"Check Data ⚠")</f>
        <v/>
      </c>
      <c r="AA52" s="800"/>
      <c r="AB52" s="136"/>
      <c r="AC52" s="104"/>
      <c r="AD52" s="104"/>
      <c r="AE52" s="54" t="str">
        <f>IF(OR(Q52="",AA52="Yes"),"",IF(Q52='G-1 All Habitats'!$X$9,E52-U52-V52,"None"))</f>
        <v/>
      </c>
      <c r="AF52" s="55" t="str">
        <f>IF(Q52="","",IF(Q52='G-1 All Habitats'!$X$9,AE52*G52*I52*L52*N52*P52,"None"))</f>
        <v/>
      </c>
      <c r="AI52" s="30">
        <f t="shared" si="9"/>
        <v>0</v>
      </c>
      <c r="AJ52" s="107" t="str">
        <f t="shared" si="6"/>
        <v/>
      </c>
      <c r="AK52" s="107" t="str">
        <f t="shared" si="7"/>
        <v/>
      </c>
      <c r="AM52" s="107">
        <v>43</v>
      </c>
      <c r="AO52" s="107" t="str">
        <f t="array" ref="AO52">IFERROR(INDEX($AM$10:$AM$258,MATCH(0,IF(TRUE=$AJ$10:$AJ$258,COUNTIF($AO$9:$AO51,$AM$10:$AM$258),""),0)),"")</f>
        <v/>
      </c>
      <c r="AP52" s="107" t="str">
        <f t="array" ref="AP52">IFERROR(INDEX($AM$10:$AM$258,MATCH(0,IF(TRUE=$AK$10:$AK$258,COUNTIF($AP$9:$AP51,$AM$10:$AM$258),""),0)),"")</f>
        <v/>
      </c>
      <c r="AR52" s="30" t="str">
        <f>IFERROR(INDEX('G-7 WaterC'' Data'!$AZ$3:$AZ$7,MATCH(D52,'G-7 WaterC'' Data'!$AY$3:$AY$7,0)),"")</f>
        <v/>
      </c>
      <c r="AS52" s="30" t="str">
        <f>IFERROR(INDEX('G-7 WaterC'' Data'!AZ52:AZ56,MATCH(D52,'G-7 WaterC'' Data'!$AY$10:$AY$14,0)),"")</f>
        <v/>
      </c>
      <c r="AT52" s="885" t="str">
        <f>IF(AND(OR(AA52="Yes",AA52="Pending"),Q52='G-7 WaterC'' Data'!$G$4),R52-W52-X52,"")</f>
        <v/>
      </c>
      <c r="AU52" s="30" t="str">
        <f>IF(D52="","",VLOOKUP(D52,'G-7 WaterC'' Data'!B$4:M$8,12,FALSE))</f>
        <v/>
      </c>
      <c r="AV52" s="30" t="str">
        <f t="shared" si="0"/>
        <v/>
      </c>
      <c r="AX52" s="30" t="str">
        <f t="shared" si="8"/>
        <v>No</v>
      </c>
    </row>
    <row r="53" spans="3:50" ht="14" hidden="1">
      <c r="C53" s="97">
        <v>44</v>
      </c>
      <c r="D53" s="261"/>
      <c r="E53" s="115"/>
      <c r="F53" s="275" t="str">
        <f>IF(D53="","",VLOOKUP(D53,'G-7 WaterC'' Data'!$B$2:$G$8,2,FALSE))</f>
        <v/>
      </c>
      <c r="G53" s="276" t="str">
        <f>IFERROR(VLOOKUP(F53,'G-7 WaterC'' Data'!$C$4:$D$8,2,FALSE),"")</f>
        <v/>
      </c>
      <c r="H53" s="52"/>
      <c r="I53" s="276" t="str">
        <f>IFERROR(INDEX('G-7 WaterC'' Data'!$H$4:$L$8,MATCH(D53,'G-7 WaterC'' Data'!$B$4:$B$8,0),MATCH(H53,'G-7 WaterC'' Data'!$H$3:$L$3,0)),"")</f>
        <v/>
      </c>
      <c r="J53" s="777"/>
      <c r="K53" s="311" t="str">
        <f>IF(J53="","",IF(VLOOKUP(J53,'G-7 WaterC'' Data'!$AK$4:$AM$6,2,FALSE)=0,"Spatial Data Missing ⚠",VLOOKUP(J53,'G-7 WaterC'' Data'!$AK$4:$AM$6,2,FALSE)))</f>
        <v/>
      </c>
      <c r="L53" s="281" t="str">
        <f>IF(J53="","",IF(VLOOKUP(J53,'G-7 WaterC'' Data'!$AK$4:$AM$9,3,FALSE)=0,"Spatial Data Missing ⚠",VLOOKUP(J53,'G-7 WaterC'' Data'!$AK$4:$AM$6,3,FALSE)))</f>
        <v/>
      </c>
      <c r="M53" s="52"/>
      <c r="N53" s="276" t="str">
        <f>IF(M53="","",IF(AND(D53&lt;&gt;"Culvert",M53="N/A - Culvert"),"Not possible ▲",IF(AND(D53="Culvert",M53&lt;&gt;"N/A - Culvert"),"Not possible ▲",IF(VLOOKUP(M53,'G-7 WaterC'' Data'!$AA$4:$AB$7,2,FALSE)=0,"Spatial Data Missing ⚠",VLOOKUP(M53,'G-7 WaterC'' Data'!$AA$4:$AB$7,2,FALSE)))))</f>
        <v/>
      </c>
      <c r="O53" s="56"/>
      <c r="P53" s="276" t="str">
        <f>IF(O53="","",IF(AND(O53="N/A - Culvert",D53&lt;&gt;"Culvert"),"Not possible ▲",IF(AND(D53="Culvert",O53&lt;&gt;"N/A - Culvert"),"Not possible ▲",IF(VLOOKUP(O53,'G-7 WaterC'' Data'!$AD$4:$AE$14,2,FALSE)=0,"Spatial Data Missing ⚠",VLOOKUP(O53,'G-7 WaterC'' Data'!$AD$4:$AE$14,2,FALSE)))))</f>
        <v/>
      </c>
      <c r="Q53" s="282" t="str">
        <f>IF(D53="","",VLOOKUP(D53,'G-7 WaterC'' Data'!$B$2:$G$8,6,FALSE))</f>
        <v/>
      </c>
      <c r="R53" s="289" t="str">
        <f t="shared" si="1"/>
        <v xml:space="preserve"> </v>
      </c>
      <c r="S53" s="803" t="str">
        <f t="shared" si="2"/>
        <v/>
      </c>
      <c r="T53" s="32"/>
      <c r="U53" s="101"/>
      <c r="V53" s="108"/>
      <c r="W53" s="287" t="str">
        <f t="shared" si="3"/>
        <v/>
      </c>
      <c r="X53" s="287" t="str">
        <f t="shared" si="4"/>
        <v/>
      </c>
      <c r="Y53" s="287" t="str">
        <f t="shared" si="5"/>
        <v/>
      </c>
      <c r="Z53" s="317" t="str">
        <f>IFERROR(IF(OR(E53="",R53=""),"",IF(AND(Q53='G-7 WaterC'' Data'!$G$4,AA53="Yes"),"Alternative Compensation ✓",IF(AND(AA53="Pending",Q53='G-7 WaterC'' Data'!$G$4),"Bespoke compensation must be agreed ▲",IF((W53+X53)&gt;=R53,0,R53-W53-X53)))),"Check Data ⚠")</f>
        <v/>
      </c>
      <c r="AA53" s="800"/>
      <c r="AB53" s="136"/>
      <c r="AC53" s="104"/>
      <c r="AD53" s="104"/>
      <c r="AE53" s="54" t="str">
        <f>IF(OR(Q53="",AA53="Yes"),"",IF(Q53='G-1 All Habitats'!$X$9,E53-U53-V53,"None"))</f>
        <v/>
      </c>
      <c r="AF53" s="55" t="str">
        <f>IF(Q53="","",IF(Q53='G-1 All Habitats'!$X$9,AE53*G53*I53*L53*N53*P53,"None"))</f>
        <v/>
      </c>
      <c r="AI53" s="30">
        <f t="shared" si="9"/>
        <v>0</v>
      </c>
      <c r="AJ53" s="107" t="str">
        <f t="shared" si="6"/>
        <v/>
      </c>
      <c r="AK53" s="107" t="str">
        <f t="shared" si="7"/>
        <v/>
      </c>
      <c r="AM53" s="107">
        <v>44</v>
      </c>
      <c r="AO53" s="107" t="str">
        <f t="array" ref="AO53">IFERROR(INDEX($AM$10:$AM$258,MATCH(0,IF(TRUE=$AJ$10:$AJ$258,COUNTIF($AO$9:$AO52,$AM$10:$AM$258),""),0)),"")</f>
        <v/>
      </c>
      <c r="AP53" s="107" t="str">
        <f t="array" ref="AP53">IFERROR(INDEX($AM$10:$AM$258,MATCH(0,IF(TRUE=$AK$10:$AK$258,COUNTIF($AP$9:$AP52,$AM$10:$AM$258),""),0)),"")</f>
        <v/>
      </c>
      <c r="AR53" s="30" t="str">
        <f>IFERROR(INDEX('G-7 WaterC'' Data'!$AZ$3:$AZ$7,MATCH(D53,'G-7 WaterC'' Data'!$AY$3:$AY$7,0)),"")</f>
        <v/>
      </c>
      <c r="AS53" s="30" t="str">
        <f>IFERROR(INDEX('G-7 WaterC'' Data'!AZ53:AZ57,MATCH(D53,'G-7 WaterC'' Data'!$AY$10:$AY$14,0)),"")</f>
        <v/>
      </c>
      <c r="AT53" s="885" t="str">
        <f>IF(AND(OR(AA53="Yes",AA53="Pending"),Q53='G-7 WaterC'' Data'!$G$4),R53-W53-X53,"")</f>
        <v/>
      </c>
      <c r="AU53" s="30" t="str">
        <f>IF(D53="","",VLOOKUP(D53,'G-7 WaterC'' Data'!B$4:M$8,12,FALSE))</f>
        <v/>
      </c>
      <c r="AV53" s="30" t="str">
        <f t="shared" si="0"/>
        <v/>
      </c>
      <c r="AX53" s="30" t="str">
        <f t="shared" si="8"/>
        <v>No</v>
      </c>
    </row>
    <row r="54" spans="3:50" ht="14" hidden="1">
      <c r="C54" s="97">
        <v>45</v>
      </c>
      <c r="D54" s="261"/>
      <c r="E54" s="115"/>
      <c r="F54" s="275" t="str">
        <f>IF(D54="","",VLOOKUP(D54,'G-7 WaterC'' Data'!$B$2:$G$8,2,FALSE))</f>
        <v/>
      </c>
      <c r="G54" s="276" t="str">
        <f>IFERROR(VLOOKUP(F54,'G-7 WaterC'' Data'!$C$4:$D$8,2,FALSE),"")</f>
        <v/>
      </c>
      <c r="H54" s="52"/>
      <c r="I54" s="276" t="str">
        <f>IFERROR(INDEX('G-7 WaterC'' Data'!$H$4:$L$8,MATCH(D54,'G-7 WaterC'' Data'!$B$4:$B$8,0),MATCH(H54,'G-7 WaterC'' Data'!$H$3:$L$3,0)),"")</f>
        <v/>
      </c>
      <c r="J54" s="777"/>
      <c r="K54" s="311" t="str">
        <f>IF(J54="","",IF(VLOOKUP(J54,'G-7 WaterC'' Data'!$AK$4:$AM$6,2,FALSE)=0,"Spatial Data Missing ⚠",VLOOKUP(J54,'G-7 WaterC'' Data'!$AK$4:$AM$6,2,FALSE)))</f>
        <v/>
      </c>
      <c r="L54" s="281" t="str">
        <f>IF(J54="","",IF(VLOOKUP(J54,'G-7 WaterC'' Data'!$AK$4:$AM$9,3,FALSE)=0,"Spatial Data Missing ⚠",VLOOKUP(J54,'G-7 WaterC'' Data'!$AK$4:$AM$6,3,FALSE)))</f>
        <v/>
      </c>
      <c r="M54" s="52"/>
      <c r="N54" s="276" t="str">
        <f>IF(M54="","",IF(AND(D54&lt;&gt;"Culvert",M54="N/A - Culvert"),"Not possible ▲",IF(AND(D54="Culvert",M54&lt;&gt;"N/A - Culvert"),"Not possible ▲",IF(VLOOKUP(M54,'G-7 WaterC'' Data'!$AA$4:$AB$7,2,FALSE)=0,"Spatial Data Missing ⚠",VLOOKUP(M54,'G-7 WaterC'' Data'!$AA$4:$AB$7,2,FALSE)))))</f>
        <v/>
      </c>
      <c r="O54" s="56"/>
      <c r="P54" s="276" t="str">
        <f>IF(O54="","",IF(AND(O54="N/A - Culvert",D54&lt;&gt;"Culvert"),"Not possible ▲",IF(AND(D54="Culvert",O54&lt;&gt;"N/A - Culvert"),"Not possible ▲",IF(VLOOKUP(O54,'G-7 WaterC'' Data'!$AD$4:$AE$14,2,FALSE)=0,"Spatial Data Missing ⚠",VLOOKUP(O54,'G-7 WaterC'' Data'!$AD$4:$AE$14,2,FALSE)))))</f>
        <v/>
      </c>
      <c r="Q54" s="282" t="str">
        <f>IF(D54="","",VLOOKUP(D54,'G-7 WaterC'' Data'!$B$2:$G$8,6,FALSE))</f>
        <v/>
      </c>
      <c r="R54" s="289" t="str">
        <f t="shared" si="1"/>
        <v xml:space="preserve"> </v>
      </c>
      <c r="S54" s="803" t="str">
        <f t="shared" si="2"/>
        <v/>
      </c>
      <c r="T54" s="32"/>
      <c r="U54" s="101"/>
      <c r="V54" s="108"/>
      <c r="W54" s="287" t="str">
        <f t="shared" si="3"/>
        <v/>
      </c>
      <c r="X54" s="287" t="str">
        <f t="shared" si="4"/>
        <v/>
      </c>
      <c r="Y54" s="287" t="str">
        <f t="shared" si="5"/>
        <v/>
      </c>
      <c r="Z54" s="317" t="str">
        <f>IFERROR(IF(OR(E54="",R54=""),"",IF(AND(Q54='G-7 WaterC'' Data'!$G$4,AA54="Yes"),"Alternative Compensation ✓",IF(AND(AA54="Pending",Q54='G-7 WaterC'' Data'!$G$4),"Bespoke compensation must be agreed ▲",IF((W54+X54)&gt;=R54,0,R54-W54-X54)))),"Check Data ⚠")</f>
        <v/>
      </c>
      <c r="AA54" s="800"/>
      <c r="AB54" s="136"/>
      <c r="AC54" s="104"/>
      <c r="AD54" s="104"/>
      <c r="AE54" s="54" t="str">
        <f>IF(OR(Q54="",AA54="Yes"),"",IF(Q54='G-1 All Habitats'!$X$9,E54-U54-V54,"None"))</f>
        <v/>
      </c>
      <c r="AF54" s="55" t="str">
        <f>IF(Q54="","",IF(Q54='G-1 All Habitats'!$X$9,AE54*G54*I54*L54*N54*P54,"None"))</f>
        <v/>
      </c>
      <c r="AI54" s="30">
        <f t="shared" si="9"/>
        <v>0</v>
      </c>
      <c r="AJ54" s="107" t="str">
        <f t="shared" si="6"/>
        <v/>
      </c>
      <c r="AK54" s="107" t="str">
        <f t="shared" si="7"/>
        <v/>
      </c>
      <c r="AM54" s="107">
        <v>45</v>
      </c>
      <c r="AO54" s="107" t="str">
        <f t="array" ref="AO54">IFERROR(INDEX($AM$10:$AM$258,MATCH(0,IF(TRUE=$AJ$10:$AJ$258,COUNTIF($AO$9:$AO53,$AM$10:$AM$258),""),0)),"")</f>
        <v/>
      </c>
      <c r="AP54" s="107" t="str">
        <f t="array" ref="AP54">IFERROR(INDEX($AM$10:$AM$258,MATCH(0,IF(TRUE=$AK$10:$AK$258,COUNTIF($AP$9:$AP53,$AM$10:$AM$258),""),0)),"")</f>
        <v/>
      </c>
      <c r="AR54" s="30" t="str">
        <f>IFERROR(INDEX('G-7 WaterC'' Data'!$AZ$3:$AZ$7,MATCH(D54,'G-7 WaterC'' Data'!$AY$3:$AY$7,0)),"")</f>
        <v/>
      </c>
      <c r="AS54" s="30" t="str">
        <f>IFERROR(INDEX('G-7 WaterC'' Data'!AZ54:AZ58,MATCH(D54,'G-7 WaterC'' Data'!$AY$10:$AY$14,0)),"")</f>
        <v/>
      </c>
      <c r="AT54" s="885" t="str">
        <f>IF(AND(OR(AA54="Yes",AA54="Pending"),Q54='G-7 WaterC'' Data'!$G$4),R54-W54-X54,"")</f>
        <v/>
      </c>
      <c r="AU54" s="30" t="str">
        <f>IF(D54="","",VLOOKUP(D54,'G-7 WaterC'' Data'!B$4:M$8,12,FALSE))</f>
        <v/>
      </c>
      <c r="AV54" s="30" t="str">
        <f t="shared" si="0"/>
        <v/>
      </c>
      <c r="AX54" s="30" t="str">
        <f t="shared" si="8"/>
        <v>No</v>
      </c>
    </row>
    <row r="55" spans="3:50" ht="14" hidden="1">
      <c r="C55" s="97">
        <v>46</v>
      </c>
      <c r="D55" s="261"/>
      <c r="E55" s="115"/>
      <c r="F55" s="275" t="str">
        <f>IF(D55="","",VLOOKUP(D55,'G-7 WaterC'' Data'!$B$2:$G$8,2,FALSE))</f>
        <v/>
      </c>
      <c r="G55" s="276" t="str">
        <f>IFERROR(VLOOKUP(F55,'G-7 WaterC'' Data'!$C$4:$D$8,2,FALSE),"")</f>
        <v/>
      </c>
      <c r="H55" s="52"/>
      <c r="I55" s="276" t="str">
        <f>IFERROR(INDEX('G-7 WaterC'' Data'!$H$4:$L$8,MATCH(D55,'G-7 WaterC'' Data'!$B$4:$B$8,0),MATCH(H55,'G-7 WaterC'' Data'!$H$3:$L$3,0)),"")</f>
        <v/>
      </c>
      <c r="J55" s="777"/>
      <c r="K55" s="311" t="str">
        <f>IF(J55="","",IF(VLOOKUP(J55,'G-7 WaterC'' Data'!$AK$4:$AM$6,2,FALSE)=0,"Spatial Data Missing ⚠",VLOOKUP(J55,'G-7 WaterC'' Data'!$AK$4:$AM$6,2,FALSE)))</f>
        <v/>
      </c>
      <c r="L55" s="281" t="str">
        <f>IF(J55="","",IF(VLOOKUP(J55,'G-7 WaterC'' Data'!$AK$4:$AM$9,3,FALSE)=0,"Spatial Data Missing ⚠",VLOOKUP(J55,'G-7 WaterC'' Data'!$AK$4:$AM$6,3,FALSE)))</f>
        <v/>
      </c>
      <c r="M55" s="52"/>
      <c r="N55" s="276" t="str">
        <f>IF(M55="","",IF(AND(D55&lt;&gt;"Culvert",M55="N/A - Culvert"),"Not possible ▲",IF(AND(D55="Culvert",M55&lt;&gt;"N/A - Culvert"),"Not possible ▲",IF(VLOOKUP(M55,'G-7 WaterC'' Data'!$AA$4:$AB$7,2,FALSE)=0,"Spatial Data Missing ⚠",VLOOKUP(M55,'G-7 WaterC'' Data'!$AA$4:$AB$7,2,FALSE)))))</f>
        <v/>
      </c>
      <c r="O55" s="56"/>
      <c r="P55" s="276" t="str">
        <f>IF(O55="","",IF(AND(O55="N/A - Culvert",D55&lt;&gt;"Culvert"),"Not possible ▲",IF(AND(D55="Culvert",O55&lt;&gt;"N/A - Culvert"),"Not possible ▲",IF(VLOOKUP(O55,'G-7 WaterC'' Data'!$AD$4:$AE$14,2,FALSE)=0,"Spatial Data Missing ⚠",VLOOKUP(O55,'G-7 WaterC'' Data'!$AD$4:$AE$14,2,FALSE)))))</f>
        <v/>
      </c>
      <c r="Q55" s="282" t="str">
        <f>IF(D55="","",VLOOKUP(D55,'G-7 WaterC'' Data'!$B$2:$G$8,6,FALSE))</f>
        <v/>
      </c>
      <c r="R55" s="289" t="str">
        <f t="shared" si="1"/>
        <v xml:space="preserve"> </v>
      </c>
      <c r="S55" s="803" t="str">
        <f t="shared" si="2"/>
        <v/>
      </c>
      <c r="T55" s="32"/>
      <c r="U55" s="101"/>
      <c r="V55" s="108"/>
      <c r="W55" s="287" t="str">
        <f t="shared" si="3"/>
        <v/>
      </c>
      <c r="X55" s="287" t="str">
        <f t="shared" si="4"/>
        <v/>
      </c>
      <c r="Y55" s="287" t="str">
        <f t="shared" si="5"/>
        <v/>
      </c>
      <c r="Z55" s="317" t="str">
        <f>IFERROR(IF(OR(E55="",R55=""),"",IF(AND(Q55='G-7 WaterC'' Data'!$G$4,AA55="Yes"),"Alternative Compensation ✓",IF(AND(AA55="Pending",Q55='G-7 WaterC'' Data'!$G$4),"Bespoke compensation must be agreed ▲",IF((W55+X55)&gt;=R55,0,R55-W55-X55)))),"Check Data ⚠")</f>
        <v/>
      </c>
      <c r="AA55" s="800"/>
      <c r="AB55" s="136"/>
      <c r="AC55" s="104"/>
      <c r="AD55" s="104"/>
      <c r="AE55" s="54" t="str">
        <f>IF(OR(Q55="",AA55="Yes"),"",IF(Q55='G-1 All Habitats'!$X$9,E55-U55-V55,"None"))</f>
        <v/>
      </c>
      <c r="AF55" s="55" t="str">
        <f>IF(Q55="","",IF(Q55='G-1 All Habitats'!$X$9,AE55*G55*I55*L55*N55*P55,"None"))</f>
        <v/>
      </c>
      <c r="AI55" s="30">
        <f t="shared" si="9"/>
        <v>0</v>
      </c>
      <c r="AJ55" s="107" t="str">
        <f t="shared" si="6"/>
        <v/>
      </c>
      <c r="AK55" s="107" t="str">
        <f t="shared" si="7"/>
        <v/>
      </c>
      <c r="AM55" s="107">
        <v>46</v>
      </c>
      <c r="AO55" s="107" t="str">
        <f t="array" ref="AO55">IFERROR(INDEX($AM$10:$AM$258,MATCH(0,IF(TRUE=$AJ$10:$AJ$258,COUNTIF($AO$9:$AO54,$AM$10:$AM$258),""),0)),"")</f>
        <v/>
      </c>
      <c r="AP55" s="107" t="str">
        <f t="array" ref="AP55">IFERROR(INDEX($AM$10:$AM$258,MATCH(0,IF(TRUE=$AK$10:$AK$258,COUNTIF($AP$9:$AP54,$AM$10:$AM$258),""),0)),"")</f>
        <v/>
      </c>
      <c r="AR55" s="30" t="str">
        <f>IFERROR(INDEX('G-7 WaterC'' Data'!$AZ$3:$AZ$7,MATCH(D55,'G-7 WaterC'' Data'!$AY$3:$AY$7,0)),"")</f>
        <v/>
      </c>
      <c r="AS55" s="30" t="str">
        <f>IFERROR(INDEX('G-7 WaterC'' Data'!AZ55:AZ59,MATCH(D55,'G-7 WaterC'' Data'!$AY$10:$AY$14,0)),"")</f>
        <v/>
      </c>
      <c r="AT55" s="885" t="str">
        <f>IF(AND(OR(AA55="Yes",AA55="Pending"),Q55='G-7 WaterC'' Data'!$G$4),R55-W55-X55,"")</f>
        <v/>
      </c>
      <c r="AU55" s="30" t="str">
        <f>IF(D55="","",VLOOKUP(D55,'G-7 WaterC'' Data'!B$4:M$8,12,FALSE))</f>
        <v/>
      </c>
      <c r="AV55" s="30" t="str">
        <f t="shared" si="0"/>
        <v/>
      </c>
      <c r="AX55" s="30" t="str">
        <f t="shared" si="8"/>
        <v>No</v>
      </c>
    </row>
    <row r="56" spans="3:50" ht="14" hidden="1">
      <c r="C56" s="97">
        <v>47</v>
      </c>
      <c r="D56" s="261"/>
      <c r="E56" s="115"/>
      <c r="F56" s="275" t="str">
        <f>IF(D56="","",VLOOKUP(D56,'G-7 WaterC'' Data'!$B$2:$G$8,2,FALSE))</f>
        <v/>
      </c>
      <c r="G56" s="276" t="str">
        <f>IFERROR(VLOOKUP(F56,'G-7 WaterC'' Data'!$C$4:$D$8,2,FALSE),"")</f>
        <v/>
      </c>
      <c r="H56" s="52"/>
      <c r="I56" s="276" t="str">
        <f>IFERROR(INDEX('G-7 WaterC'' Data'!$H$4:$L$8,MATCH(D56,'G-7 WaterC'' Data'!$B$4:$B$8,0),MATCH(H56,'G-7 WaterC'' Data'!$H$3:$L$3,0)),"")</f>
        <v/>
      </c>
      <c r="J56" s="777"/>
      <c r="K56" s="311" t="str">
        <f>IF(J56="","",IF(VLOOKUP(J56,'G-7 WaterC'' Data'!$AK$4:$AM$6,2,FALSE)=0,"Spatial Data Missing ⚠",VLOOKUP(J56,'G-7 WaterC'' Data'!$AK$4:$AM$6,2,FALSE)))</f>
        <v/>
      </c>
      <c r="L56" s="281" t="str">
        <f>IF(J56="","",IF(VLOOKUP(J56,'G-7 WaterC'' Data'!$AK$4:$AM$9,3,FALSE)=0,"Spatial Data Missing ⚠",VLOOKUP(J56,'G-7 WaterC'' Data'!$AK$4:$AM$6,3,FALSE)))</f>
        <v/>
      </c>
      <c r="M56" s="52"/>
      <c r="N56" s="276" t="str">
        <f>IF(M56="","",IF(AND(D56&lt;&gt;"Culvert",M56="N/A - Culvert"),"Not possible ▲",IF(AND(D56="Culvert",M56&lt;&gt;"N/A - Culvert"),"Not possible ▲",IF(VLOOKUP(M56,'G-7 WaterC'' Data'!$AA$4:$AB$7,2,FALSE)=0,"Spatial Data Missing ⚠",VLOOKUP(M56,'G-7 WaterC'' Data'!$AA$4:$AB$7,2,FALSE)))))</f>
        <v/>
      </c>
      <c r="O56" s="56"/>
      <c r="P56" s="276" t="str">
        <f>IF(O56="","",IF(AND(O56="N/A - Culvert",D56&lt;&gt;"Culvert"),"Not possible ▲",IF(AND(D56="Culvert",O56&lt;&gt;"N/A - Culvert"),"Not possible ▲",IF(VLOOKUP(O56,'G-7 WaterC'' Data'!$AD$4:$AE$14,2,FALSE)=0,"Spatial Data Missing ⚠",VLOOKUP(O56,'G-7 WaterC'' Data'!$AD$4:$AE$14,2,FALSE)))))</f>
        <v/>
      </c>
      <c r="Q56" s="282" t="str">
        <f>IF(D56="","",VLOOKUP(D56,'G-7 WaterC'' Data'!$B$2:$G$8,6,FALSE))</f>
        <v/>
      </c>
      <c r="R56" s="289" t="str">
        <f t="shared" si="1"/>
        <v xml:space="preserve"> </v>
      </c>
      <c r="S56" s="803" t="str">
        <f t="shared" si="2"/>
        <v/>
      </c>
      <c r="T56" s="32"/>
      <c r="U56" s="101"/>
      <c r="V56" s="108"/>
      <c r="W56" s="287" t="str">
        <f t="shared" si="3"/>
        <v/>
      </c>
      <c r="X56" s="287" t="str">
        <f t="shared" si="4"/>
        <v/>
      </c>
      <c r="Y56" s="287" t="str">
        <f t="shared" si="5"/>
        <v/>
      </c>
      <c r="Z56" s="317" t="str">
        <f>IFERROR(IF(OR(E56="",R56=""),"",IF(AND(Q56='G-7 WaterC'' Data'!$G$4,AA56="Yes"),"Alternative Compensation ✓",IF(AND(AA56="Pending",Q56='G-7 WaterC'' Data'!$G$4),"Bespoke compensation must be agreed ▲",IF((W56+X56)&gt;=R56,0,R56-W56-X56)))),"Check Data ⚠")</f>
        <v/>
      </c>
      <c r="AA56" s="800"/>
      <c r="AB56" s="136"/>
      <c r="AC56" s="104"/>
      <c r="AD56" s="104"/>
      <c r="AE56" s="54" t="str">
        <f>IF(OR(Q56="",AA56="Yes"),"",IF(Q56='G-1 All Habitats'!$X$9,E56-U56-V56,"None"))</f>
        <v/>
      </c>
      <c r="AF56" s="55" t="str">
        <f>IF(Q56="","",IF(Q56='G-1 All Habitats'!$X$9,AE56*G56*I56*L56*N56*P56,"None"))</f>
        <v/>
      </c>
      <c r="AI56" s="30">
        <f t="shared" si="9"/>
        <v>0</v>
      </c>
      <c r="AJ56" s="107" t="str">
        <f t="shared" si="6"/>
        <v/>
      </c>
      <c r="AK56" s="107" t="str">
        <f t="shared" si="7"/>
        <v/>
      </c>
      <c r="AM56" s="107">
        <v>47</v>
      </c>
      <c r="AO56" s="107" t="str">
        <f t="array" ref="AO56">IFERROR(INDEX($AM$10:$AM$258,MATCH(0,IF(TRUE=$AJ$10:$AJ$258,COUNTIF($AO$9:$AO55,$AM$10:$AM$258),""),0)),"")</f>
        <v/>
      </c>
      <c r="AP56" s="107" t="str">
        <f t="array" ref="AP56">IFERROR(INDEX($AM$10:$AM$258,MATCH(0,IF(TRUE=$AK$10:$AK$258,COUNTIF($AP$9:$AP55,$AM$10:$AM$258),""),0)),"")</f>
        <v/>
      </c>
      <c r="AR56" s="30" t="str">
        <f>IFERROR(INDEX('G-7 WaterC'' Data'!$AZ$3:$AZ$7,MATCH(D56,'G-7 WaterC'' Data'!$AY$3:$AY$7,0)),"")</f>
        <v/>
      </c>
      <c r="AS56" s="30" t="str">
        <f>IFERROR(INDEX('G-7 WaterC'' Data'!AZ56:AZ60,MATCH(D56,'G-7 WaterC'' Data'!$AY$10:$AY$14,0)),"")</f>
        <v/>
      </c>
      <c r="AT56" s="885" t="str">
        <f>IF(AND(OR(AA56="Yes",AA56="Pending"),Q56='G-7 WaterC'' Data'!$G$4),R56-W56-X56,"")</f>
        <v/>
      </c>
      <c r="AU56" s="30" t="str">
        <f>IF(D56="","",VLOOKUP(D56,'G-7 WaterC'' Data'!B$4:M$8,12,FALSE))</f>
        <v/>
      </c>
      <c r="AV56" s="30" t="str">
        <f t="shared" si="0"/>
        <v/>
      </c>
      <c r="AX56" s="30" t="str">
        <f t="shared" si="8"/>
        <v>No</v>
      </c>
    </row>
    <row r="57" spans="3:50" ht="14" hidden="1">
      <c r="C57" s="97">
        <v>48</v>
      </c>
      <c r="D57" s="261"/>
      <c r="E57" s="115"/>
      <c r="F57" s="275" t="str">
        <f>IF(D57="","",VLOOKUP(D57,'G-7 WaterC'' Data'!$B$2:$G$8,2,FALSE))</f>
        <v/>
      </c>
      <c r="G57" s="276" t="str">
        <f>IFERROR(VLOOKUP(F57,'G-7 WaterC'' Data'!$C$4:$D$8,2,FALSE),"")</f>
        <v/>
      </c>
      <c r="H57" s="52"/>
      <c r="I57" s="276" t="str">
        <f>IFERROR(INDEX('G-7 WaterC'' Data'!$H$4:$L$8,MATCH(D57,'G-7 WaterC'' Data'!$B$4:$B$8,0),MATCH(H57,'G-7 WaterC'' Data'!$H$3:$L$3,0)),"")</f>
        <v/>
      </c>
      <c r="J57" s="777"/>
      <c r="K57" s="311" t="str">
        <f>IF(J57="","",IF(VLOOKUP(J57,'G-7 WaterC'' Data'!$AK$4:$AM$6,2,FALSE)=0,"Spatial Data Missing ⚠",VLOOKUP(J57,'G-7 WaterC'' Data'!$AK$4:$AM$6,2,FALSE)))</f>
        <v/>
      </c>
      <c r="L57" s="281" t="str">
        <f>IF(J57="","",IF(VLOOKUP(J57,'G-7 WaterC'' Data'!$AK$4:$AM$9,3,FALSE)=0,"Spatial Data Missing ⚠",VLOOKUP(J57,'G-7 WaterC'' Data'!$AK$4:$AM$6,3,FALSE)))</f>
        <v/>
      </c>
      <c r="M57" s="52"/>
      <c r="N57" s="276" t="str">
        <f>IF(M57="","",IF(AND(D57&lt;&gt;"Culvert",M57="N/A - Culvert"),"Not possible ▲",IF(AND(D57="Culvert",M57&lt;&gt;"N/A - Culvert"),"Not possible ▲",IF(VLOOKUP(M57,'G-7 WaterC'' Data'!$AA$4:$AB$7,2,FALSE)=0,"Spatial Data Missing ⚠",VLOOKUP(M57,'G-7 WaterC'' Data'!$AA$4:$AB$7,2,FALSE)))))</f>
        <v/>
      </c>
      <c r="O57" s="56"/>
      <c r="P57" s="276" t="str">
        <f>IF(O57="","",IF(AND(O57="N/A - Culvert",D57&lt;&gt;"Culvert"),"Not possible ▲",IF(AND(D57="Culvert",O57&lt;&gt;"N/A - Culvert"),"Not possible ▲",IF(VLOOKUP(O57,'G-7 WaterC'' Data'!$AD$4:$AE$14,2,FALSE)=0,"Spatial Data Missing ⚠",VLOOKUP(O57,'G-7 WaterC'' Data'!$AD$4:$AE$14,2,FALSE)))))</f>
        <v/>
      </c>
      <c r="Q57" s="282" t="str">
        <f>IF(D57="","",VLOOKUP(D57,'G-7 WaterC'' Data'!$B$2:$G$8,6,FALSE))</f>
        <v/>
      </c>
      <c r="R57" s="289" t="str">
        <f t="shared" si="1"/>
        <v xml:space="preserve"> </v>
      </c>
      <c r="S57" s="803" t="str">
        <f t="shared" si="2"/>
        <v/>
      </c>
      <c r="T57" s="32"/>
      <c r="U57" s="101"/>
      <c r="V57" s="108"/>
      <c r="W57" s="287" t="str">
        <f t="shared" si="3"/>
        <v/>
      </c>
      <c r="X57" s="287" t="str">
        <f t="shared" si="4"/>
        <v/>
      </c>
      <c r="Y57" s="287" t="str">
        <f t="shared" si="5"/>
        <v/>
      </c>
      <c r="Z57" s="317" t="str">
        <f>IFERROR(IF(OR(E57="",R57=""),"",IF(AND(Q57='G-7 WaterC'' Data'!$G$4,AA57="Yes"),"Alternative Compensation ✓",IF(AND(AA57="Pending",Q57='G-7 WaterC'' Data'!$G$4),"Bespoke compensation must be agreed ▲",IF((W57+X57)&gt;=R57,0,R57-W57-X57)))),"Check Data ⚠")</f>
        <v/>
      </c>
      <c r="AA57" s="800"/>
      <c r="AB57" s="136"/>
      <c r="AC57" s="104"/>
      <c r="AD57" s="104"/>
      <c r="AE57" s="54" t="str">
        <f>IF(OR(Q57="",AA57="Yes"),"",IF(Q57='G-1 All Habitats'!$X$9,E57-U57-V57,"None"))</f>
        <v/>
      </c>
      <c r="AF57" s="55" t="str">
        <f>IF(Q57="","",IF(Q57='G-1 All Habitats'!$X$9,AE57*G57*I57*L57*N57*P57,"None"))</f>
        <v/>
      </c>
      <c r="AI57" s="30">
        <f t="shared" si="9"/>
        <v>0</v>
      </c>
      <c r="AJ57" s="107" t="str">
        <f t="shared" si="6"/>
        <v/>
      </c>
      <c r="AK57" s="107" t="str">
        <f t="shared" si="7"/>
        <v/>
      </c>
      <c r="AM57" s="107">
        <v>48</v>
      </c>
      <c r="AO57" s="107" t="str">
        <f t="array" ref="AO57">IFERROR(INDEX($AM$10:$AM$258,MATCH(0,IF(TRUE=$AJ$10:$AJ$258,COUNTIF($AO$9:$AO56,$AM$10:$AM$258),""),0)),"")</f>
        <v/>
      </c>
      <c r="AP57" s="107" t="str">
        <f t="array" ref="AP57">IFERROR(INDEX($AM$10:$AM$258,MATCH(0,IF(TRUE=$AK$10:$AK$258,COUNTIF($AP$9:$AP56,$AM$10:$AM$258),""),0)),"")</f>
        <v/>
      </c>
      <c r="AR57" s="30" t="str">
        <f>IFERROR(INDEX('G-7 WaterC'' Data'!$AZ$3:$AZ$7,MATCH(D57,'G-7 WaterC'' Data'!$AY$3:$AY$7,0)),"")</f>
        <v/>
      </c>
      <c r="AS57" s="30" t="str">
        <f>IFERROR(INDEX('G-7 WaterC'' Data'!AZ57:AZ61,MATCH(D57,'G-7 WaterC'' Data'!$AY$10:$AY$14,0)),"")</f>
        <v/>
      </c>
      <c r="AT57" s="885" t="str">
        <f>IF(AND(OR(AA57="Yes",AA57="Pending"),Q57='G-7 WaterC'' Data'!$G$4),R57-W57-X57,"")</f>
        <v/>
      </c>
      <c r="AU57" s="30" t="str">
        <f>IF(D57="","",VLOOKUP(D57,'G-7 WaterC'' Data'!B$4:M$8,12,FALSE))</f>
        <v/>
      </c>
      <c r="AV57" s="30" t="str">
        <f t="shared" si="0"/>
        <v/>
      </c>
      <c r="AX57" s="30" t="str">
        <f t="shared" si="8"/>
        <v>No</v>
      </c>
    </row>
    <row r="58" spans="3:50" ht="14" hidden="1">
      <c r="C58" s="97">
        <v>49</v>
      </c>
      <c r="D58" s="261"/>
      <c r="E58" s="115"/>
      <c r="F58" s="275" t="str">
        <f>IF(D58="","",VLOOKUP(D58,'G-7 WaterC'' Data'!$B$2:$G$8,2,FALSE))</f>
        <v/>
      </c>
      <c r="G58" s="276" t="str">
        <f>IFERROR(VLOOKUP(F58,'G-7 WaterC'' Data'!$C$4:$D$8,2,FALSE),"")</f>
        <v/>
      </c>
      <c r="H58" s="52"/>
      <c r="I58" s="276" t="str">
        <f>IFERROR(INDEX('G-7 WaterC'' Data'!$H$4:$L$8,MATCH(D58,'G-7 WaterC'' Data'!$B$4:$B$8,0),MATCH(H58,'G-7 WaterC'' Data'!$H$3:$L$3,0)),"")</f>
        <v/>
      </c>
      <c r="J58" s="777"/>
      <c r="K58" s="311" t="str">
        <f>IF(J58="","",IF(VLOOKUP(J58,'G-7 WaterC'' Data'!$AK$4:$AM$6,2,FALSE)=0,"Spatial Data Missing ⚠",VLOOKUP(J58,'G-7 WaterC'' Data'!$AK$4:$AM$6,2,FALSE)))</f>
        <v/>
      </c>
      <c r="L58" s="281" t="str">
        <f>IF(J58="","",IF(VLOOKUP(J58,'G-7 WaterC'' Data'!$AK$4:$AM$9,3,FALSE)=0,"Spatial Data Missing ⚠",VLOOKUP(J58,'G-7 WaterC'' Data'!$AK$4:$AM$6,3,FALSE)))</f>
        <v/>
      </c>
      <c r="M58" s="52"/>
      <c r="N58" s="276" t="str">
        <f>IF(M58="","",IF(AND(D58&lt;&gt;"Culvert",M58="N/A - Culvert"),"Not possible ▲",IF(AND(D58="Culvert",M58&lt;&gt;"N/A - Culvert"),"Not possible ▲",IF(VLOOKUP(M58,'G-7 WaterC'' Data'!$AA$4:$AB$7,2,FALSE)=0,"Spatial Data Missing ⚠",VLOOKUP(M58,'G-7 WaterC'' Data'!$AA$4:$AB$7,2,FALSE)))))</f>
        <v/>
      </c>
      <c r="O58" s="56"/>
      <c r="P58" s="276" t="str">
        <f>IF(O58="","",IF(AND(O58="N/A - Culvert",D58&lt;&gt;"Culvert"),"Not possible ▲",IF(AND(D58="Culvert",O58&lt;&gt;"N/A - Culvert"),"Not possible ▲",IF(VLOOKUP(O58,'G-7 WaterC'' Data'!$AD$4:$AE$14,2,FALSE)=0,"Spatial Data Missing ⚠",VLOOKUP(O58,'G-7 WaterC'' Data'!$AD$4:$AE$14,2,FALSE)))))</f>
        <v/>
      </c>
      <c r="Q58" s="282" t="str">
        <f>IF(D58="","",VLOOKUP(D58,'G-7 WaterC'' Data'!$B$2:$G$8,6,FALSE))</f>
        <v/>
      </c>
      <c r="R58" s="289" t="str">
        <f t="shared" si="1"/>
        <v xml:space="preserve"> </v>
      </c>
      <c r="S58" s="803" t="str">
        <f t="shared" si="2"/>
        <v/>
      </c>
      <c r="T58" s="32"/>
      <c r="U58" s="101"/>
      <c r="V58" s="108"/>
      <c r="W58" s="287" t="str">
        <f t="shared" si="3"/>
        <v/>
      </c>
      <c r="X58" s="287" t="str">
        <f t="shared" si="4"/>
        <v/>
      </c>
      <c r="Y58" s="287" t="str">
        <f t="shared" si="5"/>
        <v/>
      </c>
      <c r="Z58" s="317" t="str">
        <f>IFERROR(IF(OR(E58="",R58=""),"",IF(AND(Q58='G-7 WaterC'' Data'!$G$4,AA58="Yes"),"Alternative Compensation ✓",IF(AND(AA58="Pending",Q58='G-7 WaterC'' Data'!$G$4),"Bespoke compensation must be agreed ▲",IF((W58+X58)&gt;=R58,0,R58-W58-X58)))),"Check Data ⚠")</f>
        <v/>
      </c>
      <c r="AA58" s="800"/>
      <c r="AB58" s="136"/>
      <c r="AC58" s="104"/>
      <c r="AD58" s="104"/>
      <c r="AE58" s="54" t="str">
        <f>IF(OR(Q58="",AA58="Yes"),"",IF(Q58='G-1 All Habitats'!$X$9,E58-U58-V58,"None"))</f>
        <v/>
      </c>
      <c r="AF58" s="55" t="str">
        <f>IF(Q58="","",IF(Q58='G-1 All Habitats'!$X$9,AE58*G58*I58*L58*N58*P58,"None"))</f>
        <v/>
      </c>
      <c r="AI58" s="30">
        <f t="shared" si="9"/>
        <v>0</v>
      </c>
      <c r="AJ58" s="107" t="str">
        <f t="shared" si="6"/>
        <v/>
      </c>
      <c r="AK58" s="107" t="str">
        <f t="shared" si="7"/>
        <v/>
      </c>
      <c r="AM58" s="107">
        <v>49</v>
      </c>
      <c r="AO58" s="107" t="str">
        <f t="array" ref="AO58">IFERROR(INDEX($AM$10:$AM$258,MATCH(0,IF(TRUE=$AJ$10:$AJ$258,COUNTIF($AO$9:$AO57,$AM$10:$AM$258),""),0)),"")</f>
        <v/>
      </c>
      <c r="AP58" s="107" t="str">
        <f t="array" ref="AP58">IFERROR(INDEX($AM$10:$AM$258,MATCH(0,IF(TRUE=$AK$10:$AK$258,COUNTIF($AP$9:$AP57,$AM$10:$AM$258),""),0)),"")</f>
        <v/>
      </c>
      <c r="AR58" s="30" t="str">
        <f>IFERROR(INDEX('G-7 WaterC'' Data'!$AZ$3:$AZ$7,MATCH(D58,'G-7 WaterC'' Data'!$AY$3:$AY$7,0)),"")</f>
        <v/>
      </c>
      <c r="AS58" s="30" t="str">
        <f>IFERROR(INDEX('G-7 WaterC'' Data'!AZ58:AZ62,MATCH(D58,'G-7 WaterC'' Data'!$AY$10:$AY$14,0)),"")</f>
        <v/>
      </c>
      <c r="AT58" s="885" t="str">
        <f>IF(AND(OR(AA58="Yes",AA58="Pending"),Q58='G-7 WaterC'' Data'!$G$4),R58-W58-X58,"")</f>
        <v/>
      </c>
      <c r="AU58" s="30" t="str">
        <f>IF(D58="","",VLOOKUP(D58,'G-7 WaterC'' Data'!B$4:M$8,12,FALSE))</f>
        <v/>
      </c>
      <c r="AV58" s="30" t="str">
        <f t="shared" si="0"/>
        <v/>
      </c>
      <c r="AX58" s="30" t="str">
        <f t="shared" si="8"/>
        <v>No</v>
      </c>
    </row>
    <row r="59" spans="3:50" ht="14" hidden="1">
      <c r="C59" s="97">
        <v>50</v>
      </c>
      <c r="D59" s="261"/>
      <c r="E59" s="115"/>
      <c r="F59" s="275" t="str">
        <f>IF(D59="","",VLOOKUP(D59,'G-7 WaterC'' Data'!$B$2:$G$8,2,FALSE))</f>
        <v/>
      </c>
      <c r="G59" s="276" t="str">
        <f>IFERROR(VLOOKUP(F59,'G-7 WaterC'' Data'!$C$4:$D$8,2,FALSE),"")</f>
        <v/>
      </c>
      <c r="H59" s="52"/>
      <c r="I59" s="276" t="str">
        <f>IFERROR(INDEX('G-7 WaterC'' Data'!$H$4:$L$8,MATCH(D59,'G-7 WaterC'' Data'!$B$4:$B$8,0),MATCH(H59,'G-7 WaterC'' Data'!$H$3:$L$3,0)),"")</f>
        <v/>
      </c>
      <c r="J59" s="777"/>
      <c r="K59" s="311" t="str">
        <f>IF(J59="","",IF(VLOOKUP(J59,'G-7 WaterC'' Data'!$AK$4:$AM$6,2,FALSE)=0,"Spatial Data Missing ⚠",VLOOKUP(J59,'G-7 WaterC'' Data'!$AK$4:$AM$6,2,FALSE)))</f>
        <v/>
      </c>
      <c r="L59" s="281" t="str">
        <f>IF(J59="","",IF(VLOOKUP(J59,'G-7 WaterC'' Data'!$AK$4:$AM$9,3,FALSE)=0,"Spatial Data Missing ⚠",VLOOKUP(J59,'G-7 WaterC'' Data'!$AK$4:$AM$6,3,FALSE)))</f>
        <v/>
      </c>
      <c r="M59" s="52"/>
      <c r="N59" s="276" t="str">
        <f>IF(M59="","",IF(AND(D59&lt;&gt;"Culvert",M59="N/A - Culvert"),"Not possible ▲",IF(AND(D59="Culvert",M59&lt;&gt;"N/A - Culvert"),"Not possible ▲",IF(VLOOKUP(M59,'G-7 WaterC'' Data'!$AA$4:$AB$7,2,FALSE)=0,"Spatial Data Missing ⚠",VLOOKUP(M59,'G-7 WaterC'' Data'!$AA$4:$AB$7,2,FALSE)))))</f>
        <v/>
      </c>
      <c r="O59" s="56"/>
      <c r="P59" s="276" t="str">
        <f>IF(O59="","",IF(AND(O59="N/A - Culvert",D59&lt;&gt;"Culvert"),"Not possible ▲",IF(AND(D59="Culvert",O59&lt;&gt;"N/A - Culvert"),"Not possible ▲",IF(VLOOKUP(O59,'G-7 WaterC'' Data'!$AD$4:$AE$14,2,FALSE)=0,"Spatial Data Missing ⚠",VLOOKUP(O59,'G-7 WaterC'' Data'!$AD$4:$AE$14,2,FALSE)))))</f>
        <v/>
      </c>
      <c r="Q59" s="282" t="str">
        <f>IF(D59="","",VLOOKUP(D59,'G-7 WaterC'' Data'!$B$2:$G$8,6,FALSE))</f>
        <v/>
      </c>
      <c r="R59" s="289" t="str">
        <f t="shared" si="1"/>
        <v xml:space="preserve"> </v>
      </c>
      <c r="S59" s="803" t="str">
        <f t="shared" si="2"/>
        <v/>
      </c>
      <c r="T59" s="32"/>
      <c r="U59" s="101"/>
      <c r="V59" s="108"/>
      <c r="W59" s="287" t="str">
        <f t="shared" si="3"/>
        <v/>
      </c>
      <c r="X59" s="287" t="str">
        <f t="shared" si="4"/>
        <v/>
      </c>
      <c r="Y59" s="287" t="str">
        <f t="shared" si="5"/>
        <v/>
      </c>
      <c r="Z59" s="317" t="str">
        <f>IFERROR(IF(OR(E59="",R59=""),"",IF(AND(Q59='G-7 WaterC'' Data'!$G$4,AA59="Yes"),"Alternative Compensation ✓",IF(AND(AA59="Pending",Q59='G-7 WaterC'' Data'!$G$4),"Bespoke compensation must be agreed ▲",IF((W59+X59)&gt;=R59,0,R59-W59-X59)))),"Check Data ⚠")</f>
        <v/>
      </c>
      <c r="AA59" s="800"/>
      <c r="AB59" s="136"/>
      <c r="AC59" s="104"/>
      <c r="AD59" s="104"/>
      <c r="AE59" s="54" t="str">
        <f>IF(OR(Q59="",AA59="Yes"),"",IF(Q59='G-1 All Habitats'!$X$9,E59-U59-V59,"None"))</f>
        <v/>
      </c>
      <c r="AF59" s="55" t="str">
        <f>IF(Q59="","",IF(Q59='G-1 All Habitats'!$X$9,AE59*G59*I59*L59*N59*P59,"None"))</f>
        <v/>
      </c>
      <c r="AI59" s="30">
        <f t="shared" si="9"/>
        <v>0</v>
      </c>
      <c r="AJ59" s="107" t="str">
        <f t="shared" si="6"/>
        <v/>
      </c>
      <c r="AK59" s="107" t="str">
        <f t="shared" si="7"/>
        <v/>
      </c>
      <c r="AM59" s="107">
        <v>50</v>
      </c>
      <c r="AO59" s="107" t="str">
        <f t="array" ref="AO59">IFERROR(INDEX($AM$10:$AM$258,MATCH(0,IF(TRUE=$AJ$10:$AJ$258,COUNTIF($AO$9:$AO58,$AM$10:$AM$258),""),0)),"")</f>
        <v/>
      </c>
      <c r="AP59" s="107" t="str">
        <f t="array" ref="AP59">IFERROR(INDEX($AM$10:$AM$258,MATCH(0,IF(TRUE=$AK$10:$AK$258,COUNTIF($AP$9:$AP58,$AM$10:$AM$258),""),0)),"")</f>
        <v/>
      </c>
      <c r="AR59" s="30" t="str">
        <f>IFERROR(INDEX('G-7 WaterC'' Data'!$AZ$3:$AZ$7,MATCH(D59,'G-7 WaterC'' Data'!$AY$3:$AY$7,0)),"")</f>
        <v/>
      </c>
      <c r="AS59" s="30" t="str">
        <f>IFERROR(INDEX('G-7 WaterC'' Data'!AZ59:AZ63,MATCH(D59,'G-7 WaterC'' Data'!$AY$10:$AY$14,0)),"")</f>
        <v/>
      </c>
      <c r="AT59" s="885" t="str">
        <f>IF(AND(OR(AA59="Yes",AA59="Pending"),Q59='G-7 WaterC'' Data'!$G$4),R59-W59-X59,"")</f>
        <v/>
      </c>
      <c r="AU59" s="30" t="str">
        <f>IF(D59="","",VLOOKUP(D59,'G-7 WaterC'' Data'!B$4:M$8,12,FALSE))</f>
        <v/>
      </c>
      <c r="AV59" s="30" t="str">
        <f t="shared" si="0"/>
        <v/>
      </c>
      <c r="AX59" s="30" t="str">
        <f t="shared" si="8"/>
        <v>No</v>
      </c>
    </row>
    <row r="60" spans="3:50" ht="14" hidden="1">
      <c r="C60" s="97">
        <v>51</v>
      </c>
      <c r="D60" s="261"/>
      <c r="E60" s="115"/>
      <c r="F60" s="275" t="str">
        <f>IF(D60="","",VLOOKUP(D60,'G-7 WaterC'' Data'!$B$2:$G$8,2,FALSE))</f>
        <v/>
      </c>
      <c r="G60" s="276" t="str">
        <f>IFERROR(VLOOKUP(F60,'G-7 WaterC'' Data'!$C$4:$D$8,2,FALSE),"")</f>
        <v/>
      </c>
      <c r="H60" s="52"/>
      <c r="I60" s="276" t="str">
        <f>IFERROR(INDEX('G-7 WaterC'' Data'!$H$4:$L$8,MATCH(D60,'G-7 WaterC'' Data'!$B$4:$B$8,0),MATCH(H60,'G-7 WaterC'' Data'!$H$3:$L$3,0)),"")</f>
        <v/>
      </c>
      <c r="J60" s="777"/>
      <c r="K60" s="311" t="str">
        <f>IF(J60="","",IF(VLOOKUP(J60,'G-7 WaterC'' Data'!$AK$4:$AM$6,2,FALSE)=0,"Spatial Data Missing ⚠",VLOOKUP(J60,'G-7 WaterC'' Data'!$AK$4:$AM$6,2,FALSE)))</f>
        <v/>
      </c>
      <c r="L60" s="281" t="str">
        <f>IF(J60="","",IF(VLOOKUP(J60,'G-7 WaterC'' Data'!$AK$4:$AM$9,3,FALSE)=0,"Spatial Data Missing ⚠",VLOOKUP(J60,'G-7 WaterC'' Data'!$AK$4:$AM$6,3,FALSE)))</f>
        <v/>
      </c>
      <c r="M60" s="52"/>
      <c r="N60" s="276" t="str">
        <f>IF(M60="","",IF(AND(D60&lt;&gt;"Culvert",M60="N/A - Culvert"),"Not possible ▲",IF(AND(D60="Culvert",M60&lt;&gt;"N/A - Culvert"),"Not possible ▲",IF(VLOOKUP(M60,'G-7 WaterC'' Data'!$AA$4:$AB$7,2,FALSE)=0,"Spatial Data Missing ⚠",VLOOKUP(M60,'G-7 WaterC'' Data'!$AA$4:$AB$7,2,FALSE)))))</f>
        <v/>
      </c>
      <c r="O60" s="56"/>
      <c r="P60" s="276" t="str">
        <f>IF(O60="","",IF(AND(O60="N/A - Culvert",D60&lt;&gt;"Culvert"),"Not possible ▲",IF(AND(D60="Culvert",O60&lt;&gt;"N/A - Culvert"),"Not possible ▲",IF(VLOOKUP(O60,'G-7 WaterC'' Data'!$AD$4:$AE$14,2,FALSE)=0,"Spatial Data Missing ⚠",VLOOKUP(O60,'G-7 WaterC'' Data'!$AD$4:$AE$14,2,FALSE)))))</f>
        <v/>
      </c>
      <c r="Q60" s="282" t="str">
        <f>IF(D60="","",VLOOKUP(D60,'G-7 WaterC'' Data'!$B$2:$G$8,6,FALSE))</f>
        <v/>
      </c>
      <c r="R60" s="289" t="str">
        <f t="shared" si="1"/>
        <v xml:space="preserve"> </v>
      </c>
      <c r="S60" s="803" t="str">
        <f t="shared" si="2"/>
        <v/>
      </c>
      <c r="T60" s="32"/>
      <c r="U60" s="101"/>
      <c r="V60" s="108"/>
      <c r="W60" s="287" t="str">
        <f t="shared" si="3"/>
        <v/>
      </c>
      <c r="X60" s="287" t="str">
        <f t="shared" si="4"/>
        <v/>
      </c>
      <c r="Y60" s="287" t="str">
        <f t="shared" si="5"/>
        <v/>
      </c>
      <c r="Z60" s="317" t="str">
        <f>IFERROR(IF(OR(E60="",R60=""),"",IF(AND(Q60='G-7 WaterC'' Data'!$G$4,AA60="Yes"),"Alternative Compensation ✓",IF(AND(AA60="Pending",Q60='G-7 WaterC'' Data'!$G$4),"Bespoke compensation must be agreed ▲",IF((W60+X60)&gt;=R60,0,R60-W60-X60)))),"Check Data ⚠")</f>
        <v/>
      </c>
      <c r="AA60" s="800"/>
      <c r="AB60" s="136"/>
      <c r="AC60" s="104"/>
      <c r="AD60" s="104"/>
      <c r="AE60" s="54" t="str">
        <f>IF(OR(Q60="",AA60="Yes"),"",IF(Q60='G-1 All Habitats'!$X$9,E60-U60-V60,"None"))</f>
        <v/>
      </c>
      <c r="AF60" s="55" t="str">
        <f>IF(Q60="","",IF(Q60='G-1 All Habitats'!$X$9,AE60*G60*I60*L60*N60*P60,"None"))</f>
        <v/>
      </c>
      <c r="AI60" s="30">
        <f t="shared" si="9"/>
        <v>0</v>
      </c>
      <c r="AJ60" s="107" t="str">
        <f t="shared" si="6"/>
        <v/>
      </c>
      <c r="AK60" s="107" t="str">
        <f t="shared" si="7"/>
        <v/>
      </c>
      <c r="AM60" s="107">
        <v>51</v>
      </c>
      <c r="AO60" s="107" t="str">
        <f t="array" ref="AO60">IFERROR(INDEX($AM$10:$AM$258,MATCH(0,IF(TRUE=$AJ$10:$AJ$258,COUNTIF($AO$9:$AO59,$AM$10:$AM$258),""),0)),"")</f>
        <v/>
      </c>
      <c r="AP60" s="107" t="str">
        <f t="array" ref="AP60">IFERROR(INDEX($AM$10:$AM$258,MATCH(0,IF(TRUE=$AK$10:$AK$258,COUNTIF($AP$9:$AP59,$AM$10:$AM$258),""),0)),"")</f>
        <v/>
      </c>
      <c r="AR60" s="30" t="str">
        <f>IFERROR(INDEX('G-7 WaterC'' Data'!$AZ$3:$AZ$7,MATCH(D60,'G-7 WaterC'' Data'!$AY$3:$AY$7,0)),"")</f>
        <v/>
      </c>
      <c r="AS60" s="30" t="str">
        <f>IFERROR(INDEX('G-7 WaterC'' Data'!AZ60:AZ64,MATCH(D60,'G-7 WaterC'' Data'!$AY$10:$AY$14,0)),"")</f>
        <v/>
      </c>
      <c r="AT60" s="885" t="str">
        <f>IF(AND(OR(AA60="Yes",AA60="Pending"),Q60='G-7 WaterC'' Data'!$G$4),R60-W60-X60,"")</f>
        <v/>
      </c>
      <c r="AU60" s="30" t="str">
        <f>IF(D60="","",VLOOKUP(D60,'G-7 WaterC'' Data'!B$4:M$8,12,FALSE))</f>
        <v/>
      </c>
      <c r="AV60" s="30" t="str">
        <f t="shared" si="0"/>
        <v/>
      </c>
      <c r="AX60" s="30" t="str">
        <f t="shared" si="8"/>
        <v>No</v>
      </c>
    </row>
    <row r="61" spans="3:50" ht="14" hidden="1">
      <c r="C61" s="97">
        <v>52</v>
      </c>
      <c r="D61" s="261"/>
      <c r="E61" s="115"/>
      <c r="F61" s="275" t="str">
        <f>IF(D61="","",VLOOKUP(D61,'G-7 WaterC'' Data'!$B$2:$G$8,2,FALSE))</f>
        <v/>
      </c>
      <c r="G61" s="276" t="str">
        <f>IFERROR(VLOOKUP(F61,'G-7 WaterC'' Data'!$C$4:$D$8,2,FALSE),"")</f>
        <v/>
      </c>
      <c r="H61" s="52"/>
      <c r="I61" s="276" t="str">
        <f>IFERROR(INDEX('G-7 WaterC'' Data'!$H$4:$L$8,MATCH(D61,'G-7 WaterC'' Data'!$B$4:$B$8,0),MATCH(H61,'G-7 WaterC'' Data'!$H$3:$L$3,0)),"")</f>
        <v/>
      </c>
      <c r="J61" s="777"/>
      <c r="K61" s="311" t="str">
        <f>IF(J61="","",IF(VLOOKUP(J61,'G-7 WaterC'' Data'!$AK$4:$AM$6,2,FALSE)=0,"Spatial Data Missing ⚠",VLOOKUP(J61,'G-7 WaterC'' Data'!$AK$4:$AM$6,2,FALSE)))</f>
        <v/>
      </c>
      <c r="L61" s="281" t="str">
        <f>IF(J61="","",IF(VLOOKUP(J61,'G-7 WaterC'' Data'!$AK$4:$AM$9,3,FALSE)=0,"Spatial Data Missing ⚠",VLOOKUP(J61,'G-7 WaterC'' Data'!$AK$4:$AM$6,3,FALSE)))</f>
        <v/>
      </c>
      <c r="M61" s="52"/>
      <c r="N61" s="276" t="str">
        <f>IF(M61="","",IF(AND(D61&lt;&gt;"Culvert",M61="N/A - Culvert"),"Not possible ▲",IF(AND(D61="Culvert",M61&lt;&gt;"N/A - Culvert"),"Not possible ▲",IF(VLOOKUP(M61,'G-7 WaterC'' Data'!$AA$4:$AB$7,2,FALSE)=0,"Spatial Data Missing ⚠",VLOOKUP(M61,'G-7 WaterC'' Data'!$AA$4:$AB$7,2,FALSE)))))</f>
        <v/>
      </c>
      <c r="O61" s="56"/>
      <c r="P61" s="276" t="str">
        <f>IF(O61="","",IF(AND(O61="N/A - Culvert",D61&lt;&gt;"Culvert"),"Not possible ▲",IF(AND(D61="Culvert",O61&lt;&gt;"N/A - Culvert"),"Not possible ▲",IF(VLOOKUP(O61,'G-7 WaterC'' Data'!$AD$4:$AE$14,2,FALSE)=0,"Spatial Data Missing ⚠",VLOOKUP(O61,'G-7 WaterC'' Data'!$AD$4:$AE$14,2,FALSE)))))</f>
        <v/>
      </c>
      <c r="Q61" s="282" t="str">
        <f>IF(D61="","",VLOOKUP(D61,'G-7 WaterC'' Data'!$B$2:$G$8,6,FALSE))</f>
        <v/>
      </c>
      <c r="R61" s="289" t="str">
        <f t="shared" si="1"/>
        <v xml:space="preserve"> </v>
      </c>
      <c r="S61" s="803" t="str">
        <f t="shared" si="2"/>
        <v/>
      </c>
      <c r="T61" s="32"/>
      <c r="U61" s="101"/>
      <c r="V61" s="108"/>
      <c r="W61" s="287" t="str">
        <f t="shared" si="3"/>
        <v/>
      </c>
      <c r="X61" s="287" t="str">
        <f t="shared" si="4"/>
        <v/>
      </c>
      <c r="Y61" s="287" t="str">
        <f t="shared" si="5"/>
        <v/>
      </c>
      <c r="Z61" s="317" t="str">
        <f>IFERROR(IF(OR(E61="",R61=""),"",IF(AND(Q61='G-7 WaterC'' Data'!$G$4,AA61="Yes"),"Alternative Compensation ✓",IF(AND(AA61="Pending",Q61='G-7 WaterC'' Data'!$G$4),"Bespoke compensation must be agreed ▲",IF((W61+X61)&gt;=R61,0,R61-W61-X61)))),"Check Data ⚠")</f>
        <v/>
      </c>
      <c r="AA61" s="800"/>
      <c r="AB61" s="136"/>
      <c r="AC61" s="104"/>
      <c r="AD61" s="104"/>
      <c r="AE61" s="54" t="str">
        <f>IF(OR(Q61="",AA61="Yes"),"",IF(Q61='G-1 All Habitats'!$X$9,E61-U61-V61,"None"))</f>
        <v/>
      </c>
      <c r="AF61" s="55" t="str">
        <f>IF(Q61="","",IF(Q61='G-1 All Habitats'!$X$9,AE61*G61*I61*L61*N61*P61,"None"))</f>
        <v/>
      </c>
      <c r="AI61" s="30">
        <f t="shared" si="9"/>
        <v>0</v>
      </c>
      <c r="AJ61" s="107" t="str">
        <f t="shared" si="6"/>
        <v/>
      </c>
      <c r="AK61" s="107" t="str">
        <f t="shared" si="7"/>
        <v/>
      </c>
      <c r="AM61" s="107">
        <v>52</v>
      </c>
      <c r="AO61" s="107" t="str">
        <f t="array" ref="AO61">IFERROR(INDEX($AM$10:$AM$258,MATCH(0,IF(TRUE=$AJ$10:$AJ$258,COUNTIF($AO$9:$AO60,$AM$10:$AM$258),""),0)),"")</f>
        <v/>
      </c>
      <c r="AP61" s="107" t="str">
        <f t="array" ref="AP61">IFERROR(INDEX($AM$10:$AM$258,MATCH(0,IF(TRUE=$AK$10:$AK$258,COUNTIF($AP$9:$AP60,$AM$10:$AM$258),""),0)),"")</f>
        <v/>
      </c>
      <c r="AR61" s="30" t="str">
        <f>IFERROR(INDEX('G-7 WaterC'' Data'!$AZ$3:$AZ$7,MATCH(D61,'G-7 WaterC'' Data'!$AY$3:$AY$7,0)),"")</f>
        <v/>
      </c>
      <c r="AS61" s="30" t="str">
        <f>IFERROR(INDEX('G-7 WaterC'' Data'!AZ61:AZ65,MATCH(D61,'G-7 WaterC'' Data'!$AY$10:$AY$14,0)),"")</f>
        <v/>
      </c>
      <c r="AT61" s="885" t="str">
        <f>IF(AND(OR(AA61="Yes",AA61="Pending"),Q61='G-7 WaterC'' Data'!$G$4),R61-W61-X61,"")</f>
        <v/>
      </c>
      <c r="AU61" s="30" t="str">
        <f>IF(D61="","",VLOOKUP(D61,'G-7 WaterC'' Data'!B$4:M$8,12,FALSE))</f>
        <v/>
      </c>
      <c r="AV61" s="30" t="str">
        <f t="shared" si="0"/>
        <v/>
      </c>
      <c r="AX61" s="30" t="str">
        <f t="shared" si="8"/>
        <v>No</v>
      </c>
    </row>
    <row r="62" spans="3:50" ht="14" hidden="1">
      <c r="C62" s="97">
        <v>53</v>
      </c>
      <c r="D62" s="261"/>
      <c r="E62" s="115"/>
      <c r="F62" s="275" t="str">
        <f>IF(D62="","",VLOOKUP(D62,'G-7 WaterC'' Data'!$B$2:$G$8,2,FALSE))</f>
        <v/>
      </c>
      <c r="G62" s="276" t="str">
        <f>IFERROR(VLOOKUP(F62,'G-7 WaterC'' Data'!$C$4:$D$8,2,FALSE),"")</f>
        <v/>
      </c>
      <c r="H62" s="52"/>
      <c r="I62" s="276" t="str">
        <f>IFERROR(INDEX('G-7 WaterC'' Data'!$H$4:$L$8,MATCH(D62,'G-7 WaterC'' Data'!$B$4:$B$8,0),MATCH(H62,'G-7 WaterC'' Data'!$H$3:$L$3,0)),"")</f>
        <v/>
      </c>
      <c r="J62" s="777"/>
      <c r="K62" s="311" t="str">
        <f>IF(J62="","",IF(VLOOKUP(J62,'G-7 WaterC'' Data'!$AK$4:$AM$6,2,FALSE)=0,"Spatial Data Missing ⚠",VLOOKUP(J62,'G-7 WaterC'' Data'!$AK$4:$AM$6,2,FALSE)))</f>
        <v/>
      </c>
      <c r="L62" s="281" t="str">
        <f>IF(J62="","",IF(VLOOKUP(J62,'G-7 WaterC'' Data'!$AK$4:$AM$9,3,FALSE)=0,"Spatial Data Missing ⚠",VLOOKUP(J62,'G-7 WaterC'' Data'!$AK$4:$AM$6,3,FALSE)))</f>
        <v/>
      </c>
      <c r="M62" s="52"/>
      <c r="N62" s="276" t="str">
        <f>IF(M62="","",IF(AND(D62&lt;&gt;"Culvert",M62="N/A - Culvert"),"Not possible ▲",IF(AND(D62="Culvert",M62&lt;&gt;"N/A - Culvert"),"Not possible ▲",IF(VLOOKUP(M62,'G-7 WaterC'' Data'!$AA$4:$AB$7,2,FALSE)=0,"Spatial Data Missing ⚠",VLOOKUP(M62,'G-7 WaterC'' Data'!$AA$4:$AB$7,2,FALSE)))))</f>
        <v/>
      </c>
      <c r="O62" s="56"/>
      <c r="P62" s="276" t="str">
        <f>IF(O62="","",IF(AND(O62="N/A - Culvert",D62&lt;&gt;"Culvert"),"Not possible ▲",IF(AND(D62="Culvert",O62&lt;&gt;"N/A - Culvert"),"Not possible ▲",IF(VLOOKUP(O62,'G-7 WaterC'' Data'!$AD$4:$AE$14,2,FALSE)=0,"Spatial Data Missing ⚠",VLOOKUP(O62,'G-7 WaterC'' Data'!$AD$4:$AE$14,2,FALSE)))))</f>
        <v/>
      </c>
      <c r="Q62" s="282" t="str">
        <f>IF(D62="","",VLOOKUP(D62,'G-7 WaterC'' Data'!$B$2:$G$8,6,FALSE))</f>
        <v/>
      </c>
      <c r="R62" s="289" t="str">
        <f t="shared" si="1"/>
        <v xml:space="preserve"> </v>
      </c>
      <c r="S62" s="803" t="str">
        <f t="shared" si="2"/>
        <v/>
      </c>
      <c r="T62" s="32"/>
      <c r="U62" s="101"/>
      <c r="V62" s="108"/>
      <c r="W62" s="287" t="str">
        <f t="shared" si="3"/>
        <v/>
      </c>
      <c r="X62" s="287" t="str">
        <f t="shared" si="4"/>
        <v/>
      </c>
      <c r="Y62" s="287" t="str">
        <f t="shared" si="5"/>
        <v/>
      </c>
      <c r="Z62" s="317" t="str">
        <f>IFERROR(IF(OR(E62="",R62=""),"",IF(AND(Q62='G-7 WaterC'' Data'!$G$4,AA62="Yes"),"Alternative Compensation ✓",IF(AND(AA62="Pending",Q62='G-7 WaterC'' Data'!$G$4),"Bespoke compensation must be agreed ▲",IF((W62+X62)&gt;=R62,0,R62-W62-X62)))),"Check Data ⚠")</f>
        <v/>
      </c>
      <c r="AA62" s="800"/>
      <c r="AB62" s="136"/>
      <c r="AC62" s="104"/>
      <c r="AD62" s="104"/>
      <c r="AE62" s="54" t="str">
        <f>IF(OR(Q62="",AA62="Yes"),"",IF(Q62='G-1 All Habitats'!$X$9,E62-U62-V62,"None"))</f>
        <v/>
      </c>
      <c r="AF62" s="55" t="str">
        <f>IF(Q62="","",IF(Q62='G-1 All Habitats'!$X$9,AE62*G62*I62*L62*N62*P62,"None"))</f>
        <v/>
      </c>
      <c r="AI62" s="30">
        <f t="shared" si="9"/>
        <v>0</v>
      </c>
      <c r="AJ62" s="107" t="str">
        <f t="shared" si="6"/>
        <v/>
      </c>
      <c r="AK62" s="107" t="str">
        <f t="shared" si="7"/>
        <v/>
      </c>
      <c r="AM62" s="107">
        <v>53</v>
      </c>
      <c r="AO62" s="107" t="str">
        <f t="array" ref="AO62">IFERROR(INDEX($AM$10:$AM$258,MATCH(0,IF(TRUE=$AJ$10:$AJ$258,COUNTIF($AO$9:$AO61,$AM$10:$AM$258),""),0)),"")</f>
        <v/>
      </c>
      <c r="AP62" s="107" t="str">
        <f t="array" ref="AP62">IFERROR(INDEX($AM$10:$AM$258,MATCH(0,IF(TRUE=$AK$10:$AK$258,COUNTIF($AP$9:$AP61,$AM$10:$AM$258),""),0)),"")</f>
        <v/>
      </c>
      <c r="AR62" s="30" t="str">
        <f>IFERROR(INDEX('G-7 WaterC'' Data'!$AZ$3:$AZ$7,MATCH(D62,'G-7 WaterC'' Data'!$AY$3:$AY$7,0)),"")</f>
        <v/>
      </c>
      <c r="AS62" s="30" t="str">
        <f>IFERROR(INDEX('G-7 WaterC'' Data'!AZ62:AZ66,MATCH(D62,'G-7 WaterC'' Data'!$AY$10:$AY$14,0)),"")</f>
        <v/>
      </c>
      <c r="AT62" s="885" t="str">
        <f>IF(AND(OR(AA62="Yes",AA62="Pending"),Q62='G-7 WaterC'' Data'!$G$4),R62-W62-X62,"")</f>
        <v/>
      </c>
      <c r="AU62" s="30" t="str">
        <f>IF(D62="","",VLOOKUP(D62,'G-7 WaterC'' Data'!B$4:M$8,12,FALSE))</f>
        <v/>
      </c>
      <c r="AV62" s="30" t="str">
        <f t="shared" si="0"/>
        <v/>
      </c>
      <c r="AX62" s="30" t="str">
        <f t="shared" si="8"/>
        <v>No</v>
      </c>
    </row>
    <row r="63" spans="3:50" ht="14" hidden="1">
      <c r="C63" s="97">
        <v>54</v>
      </c>
      <c r="D63" s="261"/>
      <c r="E63" s="115"/>
      <c r="F63" s="275" t="str">
        <f>IF(D63="","",VLOOKUP(D63,'G-7 WaterC'' Data'!$B$2:$G$8,2,FALSE))</f>
        <v/>
      </c>
      <c r="G63" s="276" t="str">
        <f>IFERROR(VLOOKUP(F63,'G-7 WaterC'' Data'!$C$4:$D$8,2,FALSE),"")</f>
        <v/>
      </c>
      <c r="H63" s="52"/>
      <c r="I63" s="276" t="str">
        <f>IFERROR(INDEX('G-7 WaterC'' Data'!$H$4:$L$8,MATCH(D63,'G-7 WaterC'' Data'!$B$4:$B$8,0),MATCH(H63,'G-7 WaterC'' Data'!$H$3:$L$3,0)),"")</f>
        <v/>
      </c>
      <c r="J63" s="777"/>
      <c r="K63" s="311" t="str">
        <f>IF(J63="","",IF(VLOOKUP(J63,'G-7 WaterC'' Data'!$AK$4:$AM$6,2,FALSE)=0,"Spatial Data Missing ⚠",VLOOKUP(J63,'G-7 WaterC'' Data'!$AK$4:$AM$6,2,FALSE)))</f>
        <v/>
      </c>
      <c r="L63" s="281" t="str">
        <f>IF(J63="","",IF(VLOOKUP(J63,'G-7 WaterC'' Data'!$AK$4:$AM$9,3,FALSE)=0,"Spatial Data Missing ⚠",VLOOKUP(J63,'G-7 WaterC'' Data'!$AK$4:$AM$6,3,FALSE)))</f>
        <v/>
      </c>
      <c r="M63" s="52"/>
      <c r="N63" s="276" t="str">
        <f>IF(M63="","",IF(AND(D63&lt;&gt;"Culvert",M63="N/A - Culvert"),"Not possible ▲",IF(AND(D63="Culvert",M63&lt;&gt;"N/A - Culvert"),"Not possible ▲",IF(VLOOKUP(M63,'G-7 WaterC'' Data'!$AA$4:$AB$7,2,FALSE)=0,"Spatial Data Missing ⚠",VLOOKUP(M63,'G-7 WaterC'' Data'!$AA$4:$AB$7,2,FALSE)))))</f>
        <v/>
      </c>
      <c r="O63" s="56"/>
      <c r="P63" s="276" t="str">
        <f>IF(O63="","",IF(AND(O63="N/A - Culvert",D63&lt;&gt;"Culvert"),"Not possible ▲",IF(AND(D63="Culvert",O63&lt;&gt;"N/A - Culvert"),"Not possible ▲",IF(VLOOKUP(O63,'G-7 WaterC'' Data'!$AD$4:$AE$14,2,FALSE)=0,"Spatial Data Missing ⚠",VLOOKUP(O63,'G-7 WaterC'' Data'!$AD$4:$AE$14,2,FALSE)))))</f>
        <v/>
      </c>
      <c r="Q63" s="282" t="str">
        <f>IF(D63="","",VLOOKUP(D63,'G-7 WaterC'' Data'!$B$2:$G$8,6,FALSE))</f>
        <v/>
      </c>
      <c r="R63" s="289" t="str">
        <f t="shared" si="1"/>
        <v xml:space="preserve"> </v>
      </c>
      <c r="S63" s="803" t="str">
        <f t="shared" si="2"/>
        <v/>
      </c>
      <c r="T63" s="32"/>
      <c r="U63" s="101"/>
      <c r="V63" s="108"/>
      <c r="W63" s="287" t="str">
        <f t="shared" si="3"/>
        <v/>
      </c>
      <c r="X63" s="287" t="str">
        <f t="shared" si="4"/>
        <v/>
      </c>
      <c r="Y63" s="287" t="str">
        <f t="shared" si="5"/>
        <v/>
      </c>
      <c r="Z63" s="317" t="str">
        <f>IFERROR(IF(OR(E63="",R63=""),"",IF(AND(Q63='G-7 WaterC'' Data'!$G$4,AA63="Yes"),"Alternative Compensation ✓",IF(AND(AA63="Pending",Q63='G-7 WaterC'' Data'!$G$4),"Bespoke compensation must be agreed ▲",IF((W63+X63)&gt;=R63,0,R63-W63-X63)))),"Check Data ⚠")</f>
        <v/>
      </c>
      <c r="AA63" s="800"/>
      <c r="AB63" s="136"/>
      <c r="AC63" s="104"/>
      <c r="AD63" s="104"/>
      <c r="AE63" s="54" t="str">
        <f>IF(OR(Q63="",AA63="Yes"),"",IF(Q63='G-1 All Habitats'!$X$9,E63-U63-V63,"None"))</f>
        <v/>
      </c>
      <c r="AF63" s="55" t="str">
        <f>IF(Q63="","",IF(Q63='G-1 All Habitats'!$X$9,AE63*G63*I63*L63*N63*P63,"None"))</f>
        <v/>
      </c>
      <c r="AI63" s="30">
        <f t="shared" si="9"/>
        <v>0</v>
      </c>
      <c r="AJ63" s="107" t="str">
        <f t="shared" si="6"/>
        <v/>
      </c>
      <c r="AK63" s="107" t="str">
        <f t="shared" si="7"/>
        <v/>
      </c>
      <c r="AM63" s="107">
        <v>54</v>
      </c>
      <c r="AO63" s="107" t="str">
        <f t="array" ref="AO63">IFERROR(INDEX($AM$10:$AM$258,MATCH(0,IF(TRUE=$AJ$10:$AJ$258,COUNTIF($AO$9:$AO62,$AM$10:$AM$258),""),0)),"")</f>
        <v/>
      </c>
      <c r="AP63" s="107" t="str">
        <f t="array" ref="AP63">IFERROR(INDEX($AM$10:$AM$258,MATCH(0,IF(TRUE=$AK$10:$AK$258,COUNTIF($AP$9:$AP62,$AM$10:$AM$258),""),0)),"")</f>
        <v/>
      </c>
      <c r="AR63" s="30" t="str">
        <f>IFERROR(INDEX('G-7 WaterC'' Data'!$AZ$3:$AZ$7,MATCH(D63,'G-7 WaterC'' Data'!$AY$3:$AY$7,0)),"")</f>
        <v/>
      </c>
      <c r="AS63" s="30" t="str">
        <f>IFERROR(INDEX('G-7 WaterC'' Data'!AZ63:AZ67,MATCH(D63,'G-7 WaterC'' Data'!$AY$10:$AY$14,0)),"")</f>
        <v/>
      </c>
      <c r="AT63" s="885" t="str">
        <f>IF(AND(OR(AA63="Yes",AA63="Pending"),Q63='G-7 WaterC'' Data'!$G$4),R63-W63-X63,"")</f>
        <v/>
      </c>
      <c r="AU63" s="30" t="str">
        <f>IF(D63="","",VLOOKUP(D63,'G-7 WaterC'' Data'!B$4:M$8,12,FALSE))</f>
        <v/>
      </c>
      <c r="AV63" s="30" t="str">
        <f t="shared" si="0"/>
        <v/>
      </c>
      <c r="AX63" s="30" t="str">
        <f t="shared" si="8"/>
        <v>No</v>
      </c>
    </row>
    <row r="64" spans="3:50" ht="14" hidden="1">
      <c r="C64" s="97">
        <v>55</v>
      </c>
      <c r="D64" s="261"/>
      <c r="E64" s="115"/>
      <c r="F64" s="275" t="str">
        <f>IF(D64="","",VLOOKUP(D64,'G-7 WaterC'' Data'!$B$2:$G$8,2,FALSE))</f>
        <v/>
      </c>
      <c r="G64" s="276" t="str">
        <f>IFERROR(VLOOKUP(F64,'G-7 WaterC'' Data'!$C$4:$D$8,2,FALSE),"")</f>
        <v/>
      </c>
      <c r="H64" s="52"/>
      <c r="I64" s="276" t="str">
        <f>IFERROR(INDEX('G-7 WaterC'' Data'!$H$4:$L$8,MATCH(D64,'G-7 WaterC'' Data'!$B$4:$B$8,0),MATCH(H64,'G-7 WaterC'' Data'!$H$3:$L$3,0)),"")</f>
        <v/>
      </c>
      <c r="J64" s="777"/>
      <c r="K64" s="311" t="str">
        <f>IF(J64="","",IF(VLOOKUP(J64,'G-7 WaterC'' Data'!$AK$4:$AM$6,2,FALSE)=0,"Spatial Data Missing ⚠",VLOOKUP(J64,'G-7 WaterC'' Data'!$AK$4:$AM$6,2,FALSE)))</f>
        <v/>
      </c>
      <c r="L64" s="281" t="str">
        <f>IF(J64="","",IF(VLOOKUP(J64,'G-7 WaterC'' Data'!$AK$4:$AM$9,3,FALSE)=0,"Spatial Data Missing ⚠",VLOOKUP(J64,'G-7 WaterC'' Data'!$AK$4:$AM$6,3,FALSE)))</f>
        <v/>
      </c>
      <c r="M64" s="52"/>
      <c r="N64" s="276" t="str">
        <f>IF(M64="","",IF(AND(D64&lt;&gt;"Culvert",M64="N/A - Culvert"),"Not possible ▲",IF(AND(D64="Culvert",M64&lt;&gt;"N/A - Culvert"),"Not possible ▲",IF(VLOOKUP(M64,'G-7 WaterC'' Data'!$AA$4:$AB$7,2,FALSE)=0,"Spatial Data Missing ⚠",VLOOKUP(M64,'G-7 WaterC'' Data'!$AA$4:$AB$7,2,FALSE)))))</f>
        <v/>
      </c>
      <c r="O64" s="56"/>
      <c r="P64" s="276" t="str">
        <f>IF(O64="","",IF(AND(O64="N/A - Culvert",D64&lt;&gt;"Culvert"),"Not possible ▲",IF(AND(D64="Culvert",O64&lt;&gt;"N/A - Culvert"),"Not possible ▲",IF(VLOOKUP(O64,'G-7 WaterC'' Data'!$AD$4:$AE$14,2,FALSE)=0,"Spatial Data Missing ⚠",VLOOKUP(O64,'G-7 WaterC'' Data'!$AD$4:$AE$14,2,FALSE)))))</f>
        <v/>
      </c>
      <c r="Q64" s="282" t="str">
        <f>IF(D64="","",VLOOKUP(D64,'G-7 WaterC'' Data'!$B$2:$G$8,6,FALSE))</f>
        <v/>
      </c>
      <c r="R64" s="289" t="str">
        <f t="shared" si="1"/>
        <v xml:space="preserve"> </v>
      </c>
      <c r="S64" s="803" t="str">
        <f t="shared" si="2"/>
        <v/>
      </c>
      <c r="T64" s="32"/>
      <c r="U64" s="101"/>
      <c r="V64" s="108"/>
      <c r="W64" s="287" t="str">
        <f t="shared" si="3"/>
        <v/>
      </c>
      <c r="X64" s="287" t="str">
        <f t="shared" si="4"/>
        <v/>
      </c>
      <c r="Y64" s="287" t="str">
        <f t="shared" si="5"/>
        <v/>
      </c>
      <c r="Z64" s="317" t="str">
        <f>IFERROR(IF(OR(E64="",R64=""),"",IF(AND(Q64='G-7 WaterC'' Data'!$G$4,AA64="Yes"),"Alternative Compensation ✓",IF(AND(AA64="Pending",Q64='G-7 WaterC'' Data'!$G$4),"Bespoke compensation must be agreed ▲",IF((W64+X64)&gt;=R64,0,R64-W64-X64)))),"Check Data ⚠")</f>
        <v/>
      </c>
      <c r="AA64" s="800"/>
      <c r="AB64" s="136"/>
      <c r="AC64" s="104"/>
      <c r="AD64" s="104"/>
      <c r="AE64" s="54" t="str">
        <f>IF(OR(Q64="",AA64="Yes"),"",IF(Q64='G-1 All Habitats'!$X$9,E64-U64-V64,"None"))</f>
        <v/>
      </c>
      <c r="AF64" s="55" t="str">
        <f>IF(Q64="","",IF(Q64='G-1 All Habitats'!$X$9,AE64*G64*I64*L64*N64*P64,"None"))</f>
        <v/>
      </c>
      <c r="AI64" s="30">
        <f t="shared" si="9"/>
        <v>0</v>
      </c>
      <c r="AJ64" s="107" t="str">
        <f t="shared" si="6"/>
        <v/>
      </c>
      <c r="AK64" s="107" t="str">
        <f t="shared" si="7"/>
        <v/>
      </c>
      <c r="AM64" s="107">
        <v>55</v>
      </c>
      <c r="AO64" s="107" t="str">
        <f t="array" ref="AO64">IFERROR(INDEX($AM$10:$AM$258,MATCH(0,IF(TRUE=$AJ$10:$AJ$258,COUNTIF($AO$9:$AO63,$AM$10:$AM$258),""),0)),"")</f>
        <v/>
      </c>
      <c r="AP64" s="107" t="str">
        <f t="array" ref="AP64">IFERROR(INDEX($AM$10:$AM$258,MATCH(0,IF(TRUE=$AK$10:$AK$258,COUNTIF($AP$9:$AP63,$AM$10:$AM$258),""),0)),"")</f>
        <v/>
      </c>
      <c r="AR64" s="30" t="str">
        <f>IFERROR(INDEX('G-7 WaterC'' Data'!$AZ$3:$AZ$7,MATCH(D64,'G-7 WaterC'' Data'!$AY$3:$AY$7,0)),"")</f>
        <v/>
      </c>
      <c r="AS64" s="30" t="str">
        <f>IFERROR(INDEX('G-7 WaterC'' Data'!AZ64:AZ68,MATCH(D64,'G-7 WaterC'' Data'!$AY$10:$AY$14,0)),"")</f>
        <v/>
      </c>
      <c r="AT64" s="885" t="str">
        <f>IF(AND(OR(AA64="Yes",AA64="Pending"),Q64='G-7 WaterC'' Data'!$G$4),R64-W64-X64,"")</f>
        <v/>
      </c>
      <c r="AU64" s="30" t="str">
        <f>IF(D64="","",VLOOKUP(D64,'G-7 WaterC'' Data'!B$4:M$8,12,FALSE))</f>
        <v/>
      </c>
      <c r="AV64" s="30" t="str">
        <f t="shared" si="0"/>
        <v/>
      </c>
      <c r="AX64" s="30" t="str">
        <f t="shared" si="8"/>
        <v>No</v>
      </c>
    </row>
    <row r="65" spans="3:50" ht="14" hidden="1">
      <c r="C65" s="97">
        <v>56</v>
      </c>
      <c r="D65" s="261"/>
      <c r="E65" s="115"/>
      <c r="F65" s="275" t="str">
        <f>IF(D65="","",VLOOKUP(D65,'G-7 WaterC'' Data'!$B$2:$G$8,2,FALSE))</f>
        <v/>
      </c>
      <c r="G65" s="276" t="str">
        <f>IFERROR(VLOOKUP(F65,'G-7 WaterC'' Data'!$C$4:$D$8,2,FALSE),"")</f>
        <v/>
      </c>
      <c r="H65" s="52"/>
      <c r="I65" s="276" t="str">
        <f>IFERROR(INDEX('G-7 WaterC'' Data'!$H$4:$L$8,MATCH(D65,'G-7 WaterC'' Data'!$B$4:$B$8,0),MATCH(H65,'G-7 WaterC'' Data'!$H$3:$L$3,0)),"")</f>
        <v/>
      </c>
      <c r="J65" s="777"/>
      <c r="K65" s="311" t="str">
        <f>IF(J65="","",IF(VLOOKUP(J65,'G-7 WaterC'' Data'!$AK$4:$AM$6,2,FALSE)=0,"Spatial Data Missing ⚠",VLOOKUP(J65,'G-7 WaterC'' Data'!$AK$4:$AM$6,2,FALSE)))</f>
        <v/>
      </c>
      <c r="L65" s="281" t="str">
        <f>IF(J65="","",IF(VLOOKUP(J65,'G-7 WaterC'' Data'!$AK$4:$AM$9,3,FALSE)=0,"Spatial Data Missing ⚠",VLOOKUP(J65,'G-7 WaterC'' Data'!$AK$4:$AM$6,3,FALSE)))</f>
        <v/>
      </c>
      <c r="M65" s="52"/>
      <c r="N65" s="276" t="str">
        <f>IF(M65="","",IF(AND(D65&lt;&gt;"Culvert",M65="N/A - Culvert"),"Not possible ▲",IF(AND(D65="Culvert",M65&lt;&gt;"N/A - Culvert"),"Not possible ▲",IF(VLOOKUP(M65,'G-7 WaterC'' Data'!$AA$4:$AB$7,2,FALSE)=0,"Spatial Data Missing ⚠",VLOOKUP(M65,'G-7 WaterC'' Data'!$AA$4:$AB$7,2,FALSE)))))</f>
        <v/>
      </c>
      <c r="O65" s="56"/>
      <c r="P65" s="276" t="str">
        <f>IF(O65="","",IF(AND(O65="N/A - Culvert",D65&lt;&gt;"Culvert"),"Not possible ▲",IF(AND(D65="Culvert",O65&lt;&gt;"N/A - Culvert"),"Not possible ▲",IF(VLOOKUP(O65,'G-7 WaterC'' Data'!$AD$4:$AE$14,2,FALSE)=0,"Spatial Data Missing ⚠",VLOOKUP(O65,'G-7 WaterC'' Data'!$AD$4:$AE$14,2,FALSE)))))</f>
        <v/>
      </c>
      <c r="Q65" s="282" t="str">
        <f>IF(D65="","",VLOOKUP(D65,'G-7 WaterC'' Data'!$B$2:$G$8,6,FALSE))</f>
        <v/>
      </c>
      <c r="R65" s="289" t="str">
        <f t="shared" si="1"/>
        <v xml:space="preserve"> </v>
      </c>
      <c r="S65" s="803" t="str">
        <f t="shared" si="2"/>
        <v/>
      </c>
      <c r="T65" s="32"/>
      <c r="U65" s="101"/>
      <c r="V65" s="108"/>
      <c r="W65" s="287" t="str">
        <f t="shared" si="3"/>
        <v/>
      </c>
      <c r="X65" s="287" t="str">
        <f t="shared" si="4"/>
        <v/>
      </c>
      <c r="Y65" s="287" t="str">
        <f t="shared" si="5"/>
        <v/>
      </c>
      <c r="Z65" s="317" t="str">
        <f>IFERROR(IF(OR(E65="",R65=""),"",IF(AND(Q65='G-7 WaterC'' Data'!$G$4,AA65="Yes"),"Alternative Compensation ✓",IF(AND(AA65="Pending",Q65='G-7 WaterC'' Data'!$G$4),"Bespoke compensation must be agreed ▲",IF((W65+X65)&gt;=R65,0,R65-W65-X65)))),"Check Data ⚠")</f>
        <v/>
      </c>
      <c r="AA65" s="800"/>
      <c r="AB65" s="136"/>
      <c r="AC65" s="104"/>
      <c r="AD65" s="104"/>
      <c r="AE65" s="54" t="str">
        <f>IF(OR(Q65="",AA65="Yes"),"",IF(Q65='G-1 All Habitats'!$X$9,E65-U65-V65,"None"))</f>
        <v/>
      </c>
      <c r="AF65" s="55" t="str">
        <f>IF(Q65="","",IF(Q65='G-1 All Habitats'!$X$9,AE65*G65*I65*L65*N65*P65,"None"))</f>
        <v/>
      </c>
      <c r="AI65" s="30">
        <f t="shared" si="9"/>
        <v>0</v>
      </c>
      <c r="AJ65" s="107" t="str">
        <f t="shared" si="6"/>
        <v/>
      </c>
      <c r="AK65" s="107" t="str">
        <f t="shared" si="7"/>
        <v/>
      </c>
      <c r="AM65" s="107">
        <v>56</v>
      </c>
      <c r="AO65" s="107" t="str">
        <f t="array" ref="AO65">IFERROR(INDEX($AM$10:$AM$258,MATCH(0,IF(TRUE=$AJ$10:$AJ$258,COUNTIF($AO$9:$AO64,$AM$10:$AM$258),""),0)),"")</f>
        <v/>
      </c>
      <c r="AP65" s="107" t="str">
        <f t="array" ref="AP65">IFERROR(INDEX($AM$10:$AM$258,MATCH(0,IF(TRUE=$AK$10:$AK$258,COUNTIF($AP$9:$AP64,$AM$10:$AM$258),""),0)),"")</f>
        <v/>
      </c>
      <c r="AR65" s="30" t="str">
        <f>IFERROR(INDEX('G-7 WaterC'' Data'!$AZ$3:$AZ$7,MATCH(D65,'G-7 WaterC'' Data'!$AY$3:$AY$7,0)),"")</f>
        <v/>
      </c>
      <c r="AS65" s="30" t="str">
        <f>IFERROR(INDEX('G-7 WaterC'' Data'!AZ65:AZ69,MATCH(D65,'G-7 WaterC'' Data'!$AY$10:$AY$14,0)),"")</f>
        <v/>
      </c>
      <c r="AT65" s="885" t="str">
        <f>IF(AND(OR(AA65="Yes",AA65="Pending"),Q65='G-7 WaterC'' Data'!$G$4),R65-W65-X65,"")</f>
        <v/>
      </c>
      <c r="AU65" s="30" t="str">
        <f>IF(D65="","",VLOOKUP(D65,'G-7 WaterC'' Data'!B$4:M$8,12,FALSE))</f>
        <v/>
      </c>
      <c r="AV65" s="30" t="str">
        <f t="shared" si="0"/>
        <v/>
      </c>
      <c r="AX65" s="30" t="str">
        <f t="shared" si="8"/>
        <v>No</v>
      </c>
    </row>
    <row r="66" spans="3:50" ht="14" hidden="1">
      <c r="C66" s="97">
        <v>57</v>
      </c>
      <c r="D66" s="261"/>
      <c r="E66" s="115"/>
      <c r="F66" s="275" t="str">
        <f>IF(D66="","",VLOOKUP(D66,'G-7 WaterC'' Data'!$B$2:$G$8,2,FALSE))</f>
        <v/>
      </c>
      <c r="G66" s="276" t="str">
        <f>IFERROR(VLOOKUP(F66,'G-7 WaterC'' Data'!$C$4:$D$8,2,FALSE),"")</f>
        <v/>
      </c>
      <c r="H66" s="52"/>
      <c r="I66" s="276" t="str">
        <f>IFERROR(INDEX('G-7 WaterC'' Data'!$H$4:$L$8,MATCH(D66,'G-7 WaterC'' Data'!$B$4:$B$8,0),MATCH(H66,'G-7 WaterC'' Data'!$H$3:$L$3,0)),"")</f>
        <v/>
      </c>
      <c r="J66" s="777"/>
      <c r="K66" s="311" t="str">
        <f>IF(J66="","",IF(VLOOKUP(J66,'G-7 WaterC'' Data'!$AK$4:$AM$6,2,FALSE)=0,"Spatial Data Missing ⚠",VLOOKUP(J66,'G-7 WaterC'' Data'!$AK$4:$AM$6,2,FALSE)))</f>
        <v/>
      </c>
      <c r="L66" s="281" t="str">
        <f>IF(J66="","",IF(VLOOKUP(J66,'G-7 WaterC'' Data'!$AK$4:$AM$9,3,FALSE)=0,"Spatial Data Missing ⚠",VLOOKUP(J66,'G-7 WaterC'' Data'!$AK$4:$AM$6,3,FALSE)))</f>
        <v/>
      </c>
      <c r="M66" s="52"/>
      <c r="N66" s="276" t="str">
        <f>IF(M66="","",IF(AND(D66&lt;&gt;"Culvert",M66="N/A - Culvert"),"Not possible ▲",IF(AND(D66="Culvert",M66&lt;&gt;"N/A - Culvert"),"Not possible ▲",IF(VLOOKUP(M66,'G-7 WaterC'' Data'!$AA$4:$AB$7,2,FALSE)=0,"Spatial Data Missing ⚠",VLOOKUP(M66,'G-7 WaterC'' Data'!$AA$4:$AB$7,2,FALSE)))))</f>
        <v/>
      </c>
      <c r="O66" s="56"/>
      <c r="P66" s="276" t="str">
        <f>IF(O66="","",IF(AND(O66="N/A - Culvert",D66&lt;&gt;"Culvert"),"Not possible ▲",IF(AND(D66="Culvert",O66&lt;&gt;"N/A - Culvert"),"Not possible ▲",IF(VLOOKUP(O66,'G-7 WaterC'' Data'!$AD$4:$AE$14,2,FALSE)=0,"Spatial Data Missing ⚠",VLOOKUP(O66,'G-7 WaterC'' Data'!$AD$4:$AE$14,2,FALSE)))))</f>
        <v/>
      </c>
      <c r="Q66" s="282" t="str">
        <f>IF(D66="","",VLOOKUP(D66,'G-7 WaterC'' Data'!$B$2:$G$8,6,FALSE))</f>
        <v/>
      </c>
      <c r="R66" s="289" t="str">
        <f t="shared" si="1"/>
        <v xml:space="preserve"> </v>
      </c>
      <c r="S66" s="803" t="str">
        <f t="shared" si="2"/>
        <v/>
      </c>
      <c r="T66" s="32"/>
      <c r="U66" s="101"/>
      <c r="V66" s="108"/>
      <c r="W66" s="287" t="str">
        <f t="shared" si="3"/>
        <v/>
      </c>
      <c r="X66" s="287" t="str">
        <f t="shared" si="4"/>
        <v/>
      </c>
      <c r="Y66" s="287" t="str">
        <f t="shared" si="5"/>
        <v/>
      </c>
      <c r="Z66" s="317" t="str">
        <f>IFERROR(IF(OR(E66="",R66=""),"",IF(AND(Q66='G-7 WaterC'' Data'!$G$4,AA66="Yes"),"Alternative Compensation ✓",IF(AND(AA66="Pending",Q66='G-7 WaterC'' Data'!$G$4),"Bespoke compensation must be agreed ▲",IF((W66+X66)&gt;=R66,0,R66-W66-X66)))),"Check Data ⚠")</f>
        <v/>
      </c>
      <c r="AA66" s="800"/>
      <c r="AB66" s="136"/>
      <c r="AC66" s="104"/>
      <c r="AD66" s="104"/>
      <c r="AE66" s="54" t="str">
        <f>IF(OR(Q66="",AA66="Yes"),"",IF(Q66='G-1 All Habitats'!$X$9,E66-U66-V66,"None"))</f>
        <v/>
      </c>
      <c r="AF66" s="55" t="str">
        <f>IF(Q66="","",IF(Q66='G-1 All Habitats'!$X$9,AE66*G66*I66*L66*N66*P66,"None"))</f>
        <v/>
      </c>
      <c r="AI66" s="30">
        <f t="shared" si="9"/>
        <v>0</v>
      </c>
      <c r="AJ66" s="107" t="str">
        <f t="shared" si="6"/>
        <v/>
      </c>
      <c r="AK66" s="107" t="str">
        <f t="shared" si="7"/>
        <v/>
      </c>
      <c r="AM66" s="107">
        <v>57</v>
      </c>
      <c r="AO66" s="107" t="str">
        <f t="array" ref="AO66">IFERROR(INDEX($AM$10:$AM$258,MATCH(0,IF(TRUE=$AJ$10:$AJ$258,COUNTIF($AO$9:$AO65,$AM$10:$AM$258),""),0)),"")</f>
        <v/>
      </c>
      <c r="AP66" s="107" t="str">
        <f t="array" ref="AP66">IFERROR(INDEX($AM$10:$AM$258,MATCH(0,IF(TRUE=$AK$10:$AK$258,COUNTIF($AP$9:$AP65,$AM$10:$AM$258),""),0)),"")</f>
        <v/>
      </c>
      <c r="AR66" s="30" t="str">
        <f>IFERROR(INDEX('G-7 WaterC'' Data'!$AZ$3:$AZ$7,MATCH(D66,'G-7 WaterC'' Data'!$AY$3:$AY$7,0)),"")</f>
        <v/>
      </c>
      <c r="AS66" s="30" t="str">
        <f>IFERROR(INDEX('G-7 WaterC'' Data'!AZ66:AZ70,MATCH(D66,'G-7 WaterC'' Data'!$AY$10:$AY$14,0)),"")</f>
        <v/>
      </c>
      <c r="AT66" s="885" t="str">
        <f>IF(AND(OR(AA66="Yes",AA66="Pending"),Q66='G-7 WaterC'' Data'!$G$4),R66-W66-X66,"")</f>
        <v/>
      </c>
      <c r="AU66" s="30" t="str">
        <f>IF(D66="","",VLOOKUP(D66,'G-7 WaterC'' Data'!B$4:M$8,12,FALSE))</f>
        <v/>
      </c>
      <c r="AV66" s="30" t="str">
        <f t="shared" si="0"/>
        <v/>
      </c>
      <c r="AX66" s="30" t="str">
        <f t="shared" si="8"/>
        <v>No</v>
      </c>
    </row>
    <row r="67" spans="3:50" ht="14" hidden="1">
      <c r="C67" s="97">
        <v>58</v>
      </c>
      <c r="D67" s="261"/>
      <c r="E67" s="115"/>
      <c r="F67" s="275" t="str">
        <f>IF(D67="","",VLOOKUP(D67,'G-7 WaterC'' Data'!$B$2:$G$8,2,FALSE))</f>
        <v/>
      </c>
      <c r="G67" s="276" t="str">
        <f>IFERROR(VLOOKUP(F67,'G-7 WaterC'' Data'!$C$4:$D$8,2,FALSE),"")</f>
        <v/>
      </c>
      <c r="H67" s="52"/>
      <c r="I67" s="276" t="str">
        <f>IFERROR(INDEX('G-7 WaterC'' Data'!$H$4:$L$8,MATCH(D67,'G-7 WaterC'' Data'!$B$4:$B$8,0),MATCH(H67,'G-7 WaterC'' Data'!$H$3:$L$3,0)),"")</f>
        <v/>
      </c>
      <c r="J67" s="777"/>
      <c r="K67" s="311" t="str">
        <f>IF(J67="","",IF(VLOOKUP(J67,'G-7 WaterC'' Data'!$AK$4:$AM$6,2,FALSE)=0,"Spatial Data Missing ⚠",VLOOKUP(J67,'G-7 WaterC'' Data'!$AK$4:$AM$6,2,FALSE)))</f>
        <v/>
      </c>
      <c r="L67" s="281" t="str">
        <f>IF(J67="","",IF(VLOOKUP(J67,'G-7 WaterC'' Data'!$AK$4:$AM$9,3,FALSE)=0,"Spatial Data Missing ⚠",VLOOKUP(J67,'G-7 WaterC'' Data'!$AK$4:$AM$6,3,FALSE)))</f>
        <v/>
      </c>
      <c r="M67" s="52"/>
      <c r="N67" s="276" t="str">
        <f>IF(M67="","",IF(AND(D67&lt;&gt;"Culvert",M67="N/A - Culvert"),"Not possible ▲",IF(AND(D67="Culvert",M67&lt;&gt;"N/A - Culvert"),"Not possible ▲",IF(VLOOKUP(M67,'G-7 WaterC'' Data'!$AA$4:$AB$7,2,FALSE)=0,"Spatial Data Missing ⚠",VLOOKUP(M67,'G-7 WaterC'' Data'!$AA$4:$AB$7,2,FALSE)))))</f>
        <v/>
      </c>
      <c r="O67" s="56"/>
      <c r="P67" s="276" t="str">
        <f>IF(O67="","",IF(AND(O67="N/A - Culvert",D67&lt;&gt;"Culvert"),"Not possible ▲",IF(AND(D67="Culvert",O67&lt;&gt;"N/A - Culvert"),"Not possible ▲",IF(VLOOKUP(O67,'G-7 WaterC'' Data'!$AD$4:$AE$14,2,FALSE)=0,"Spatial Data Missing ⚠",VLOOKUP(O67,'G-7 WaterC'' Data'!$AD$4:$AE$14,2,FALSE)))))</f>
        <v/>
      </c>
      <c r="Q67" s="282" t="str">
        <f>IF(D67="","",VLOOKUP(D67,'G-7 WaterC'' Data'!$B$2:$G$8,6,FALSE))</f>
        <v/>
      </c>
      <c r="R67" s="289" t="str">
        <f t="shared" si="1"/>
        <v xml:space="preserve"> </v>
      </c>
      <c r="S67" s="803" t="str">
        <f t="shared" si="2"/>
        <v/>
      </c>
      <c r="T67" s="32"/>
      <c r="U67" s="101"/>
      <c r="V67" s="108"/>
      <c r="W67" s="287" t="str">
        <f t="shared" si="3"/>
        <v/>
      </c>
      <c r="X67" s="287" t="str">
        <f t="shared" si="4"/>
        <v/>
      </c>
      <c r="Y67" s="287" t="str">
        <f t="shared" si="5"/>
        <v/>
      </c>
      <c r="Z67" s="317" t="str">
        <f>IFERROR(IF(OR(E67="",R67=""),"",IF(AND(Q67='G-7 WaterC'' Data'!$G$4,AA67="Yes"),"Alternative Compensation ✓",IF(AND(AA67="Pending",Q67='G-7 WaterC'' Data'!$G$4),"Bespoke compensation must be agreed ▲",IF((W67+X67)&gt;=R67,0,R67-W67-X67)))),"Check Data ⚠")</f>
        <v/>
      </c>
      <c r="AA67" s="800"/>
      <c r="AB67" s="136"/>
      <c r="AC67" s="104"/>
      <c r="AD67" s="104"/>
      <c r="AE67" s="54" t="str">
        <f>IF(OR(Q67="",AA67="Yes"),"",IF(Q67='G-1 All Habitats'!$X$9,E67-U67-V67,"None"))</f>
        <v/>
      </c>
      <c r="AF67" s="55" t="str">
        <f>IF(Q67="","",IF(Q67='G-1 All Habitats'!$X$9,AE67*G67*I67*L67*N67*P67,"None"))</f>
        <v/>
      </c>
      <c r="AI67" s="30">
        <f t="shared" si="9"/>
        <v>0</v>
      </c>
      <c r="AJ67" s="107" t="str">
        <f t="shared" si="6"/>
        <v/>
      </c>
      <c r="AK67" s="107" t="str">
        <f t="shared" si="7"/>
        <v/>
      </c>
      <c r="AM67" s="107">
        <v>58</v>
      </c>
      <c r="AO67" s="107" t="str">
        <f t="array" ref="AO67">IFERROR(INDEX($AM$10:$AM$258,MATCH(0,IF(TRUE=$AJ$10:$AJ$258,COUNTIF($AO$9:$AO66,$AM$10:$AM$258),""),0)),"")</f>
        <v/>
      </c>
      <c r="AP67" s="107" t="str">
        <f t="array" ref="AP67">IFERROR(INDEX($AM$10:$AM$258,MATCH(0,IF(TRUE=$AK$10:$AK$258,COUNTIF($AP$9:$AP66,$AM$10:$AM$258),""),0)),"")</f>
        <v/>
      </c>
      <c r="AR67" s="30" t="str">
        <f>IFERROR(INDEX('G-7 WaterC'' Data'!$AZ$3:$AZ$7,MATCH(D67,'G-7 WaterC'' Data'!$AY$3:$AY$7,0)),"")</f>
        <v/>
      </c>
      <c r="AS67" s="30" t="str">
        <f>IFERROR(INDEX('G-7 WaterC'' Data'!AZ67:AZ71,MATCH(D67,'G-7 WaterC'' Data'!$AY$10:$AY$14,0)),"")</f>
        <v/>
      </c>
      <c r="AT67" s="885" t="str">
        <f>IF(AND(OR(AA67="Yes",AA67="Pending"),Q67='G-7 WaterC'' Data'!$G$4),R67-W67-X67,"")</f>
        <v/>
      </c>
      <c r="AU67" s="30" t="str">
        <f>IF(D67="","",VLOOKUP(D67,'G-7 WaterC'' Data'!B$4:M$8,12,FALSE))</f>
        <v/>
      </c>
      <c r="AV67" s="30" t="str">
        <f t="shared" si="0"/>
        <v/>
      </c>
      <c r="AX67" s="30" t="str">
        <f t="shared" si="8"/>
        <v>No</v>
      </c>
    </row>
    <row r="68" spans="3:50" ht="14" hidden="1">
      <c r="C68" s="97">
        <v>59</v>
      </c>
      <c r="D68" s="261"/>
      <c r="E68" s="115"/>
      <c r="F68" s="275" t="str">
        <f>IF(D68="","",VLOOKUP(D68,'G-7 WaterC'' Data'!$B$2:$G$8,2,FALSE))</f>
        <v/>
      </c>
      <c r="G68" s="276" t="str">
        <f>IFERROR(VLOOKUP(F68,'G-7 WaterC'' Data'!$C$4:$D$8,2,FALSE),"")</f>
        <v/>
      </c>
      <c r="H68" s="52"/>
      <c r="I68" s="276" t="str">
        <f>IFERROR(INDEX('G-7 WaterC'' Data'!$H$4:$L$8,MATCH(D68,'G-7 WaterC'' Data'!$B$4:$B$8,0),MATCH(H68,'G-7 WaterC'' Data'!$H$3:$L$3,0)),"")</f>
        <v/>
      </c>
      <c r="J68" s="777"/>
      <c r="K68" s="311" t="str">
        <f>IF(J68="","",IF(VLOOKUP(J68,'G-7 WaterC'' Data'!$AK$4:$AM$6,2,FALSE)=0,"Spatial Data Missing ⚠",VLOOKUP(J68,'G-7 WaterC'' Data'!$AK$4:$AM$6,2,FALSE)))</f>
        <v/>
      </c>
      <c r="L68" s="281" t="str">
        <f>IF(J68="","",IF(VLOOKUP(J68,'G-7 WaterC'' Data'!$AK$4:$AM$9,3,FALSE)=0,"Spatial Data Missing ⚠",VLOOKUP(J68,'G-7 WaterC'' Data'!$AK$4:$AM$6,3,FALSE)))</f>
        <v/>
      </c>
      <c r="M68" s="52"/>
      <c r="N68" s="276" t="str">
        <f>IF(M68="","",IF(AND(D68&lt;&gt;"Culvert",M68="N/A - Culvert"),"Not possible ▲",IF(AND(D68="Culvert",M68&lt;&gt;"N/A - Culvert"),"Not possible ▲",IF(VLOOKUP(M68,'G-7 WaterC'' Data'!$AA$4:$AB$7,2,FALSE)=0,"Spatial Data Missing ⚠",VLOOKUP(M68,'G-7 WaterC'' Data'!$AA$4:$AB$7,2,FALSE)))))</f>
        <v/>
      </c>
      <c r="O68" s="56"/>
      <c r="P68" s="276" t="str">
        <f>IF(O68="","",IF(AND(O68="N/A - Culvert",D68&lt;&gt;"Culvert"),"Not possible ▲",IF(AND(D68="Culvert",O68&lt;&gt;"N/A - Culvert"),"Not possible ▲",IF(VLOOKUP(O68,'G-7 WaterC'' Data'!$AD$4:$AE$14,2,FALSE)=0,"Spatial Data Missing ⚠",VLOOKUP(O68,'G-7 WaterC'' Data'!$AD$4:$AE$14,2,FALSE)))))</f>
        <v/>
      </c>
      <c r="Q68" s="282" t="str">
        <f>IF(D68="","",VLOOKUP(D68,'G-7 WaterC'' Data'!$B$2:$G$8,6,FALSE))</f>
        <v/>
      </c>
      <c r="R68" s="289" t="str">
        <f t="shared" si="1"/>
        <v xml:space="preserve"> </v>
      </c>
      <c r="S68" s="803" t="str">
        <f t="shared" si="2"/>
        <v/>
      </c>
      <c r="T68" s="32"/>
      <c r="U68" s="101"/>
      <c r="V68" s="108"/>
      <c r="W68" s="287" t="str">
        <f t="shared" si="3"/>
        <v/>
      </c>
      <c r="X68" s="287" t="str">
        <f t="shared" si="4"/>
        <v/>
      </c>
      <c r="Y68" s="287" t="str">
        <f t="shared" si="5"/>
        <v/>
      </c>
      <c r="Z68" s="317" t="str">
        <f>IFERROR(IF(OR(E68="",R68=""),"",IF(AND(Q68='G-7 WaterC'' Data'!$G$4,AA68="Yes"),"Alternative Compensation ✓",IF(AND(AA68="Pending",Q68='G-7 WaterC'' Data'!$G$4),"Bespoke compensation must be agreed ▲",IF((W68+X68)&gt;=R68,0,R68-W68-X68)))),"Check Data ⚠")</f>
        <v/>
      </c>
      <c r="AA68" s="800"/>
      <c r="AB68" s="136"/>
      <c r="AC68" s="104"/>
      <c r="AD68" s="104"/>
      <c r="AE68" s="54" t="str">
        <f>IF(OR(Q68="",AA68="Yes"),"",IF(Q68='G-1 All Habitats'!$X$9,E68-U68-V68,"None"))</f>
        <v/>
      </c>
      <c r="AF68" s="55" t="str">
        <f>IF(Q68="","",IF(Q68='G-1 All Habitats'!$X$9,AE68*G68*I68*L68*N68*P68,"None"))</f>
        <v/>
      </c>
      <c r="AI68" s="30">
        <f t="shared" si="9"/>
        <v>0</v>
      </c>
      <c r="AJ68" s="107" t="str">
        <f t="shared" si="6"/>
        <v/>
      </c>
      <c r="AK68" s="107" t="str">
        <f t="shared" si="7"/>
        <v/>
      </c>
      <c r="AM68" s="107">
        <v>59</v>
      </c>
      <c r="AO68" s="107" t="str">
        <f t="array" ref="AO68">IFERROR(INDEX($AM$10:$AM$258,MATCH(0,IF(TRUE=$AJ$10:$AJ$258,COUNTIF($AO$9:$AO67,$AM$10:$AM$258),""),0)),"")</f>
        <v/>
      </c>
      <c r="AP68" s="107" t="str">
        <f t="array" ref="AP68">IFERROR(INDEX($AM$10:$AM$258,MATCH(0,IF(TRUE=$AK$10:$AK$258,COUNTIF($AP$9:$AP67,$AM$10:$AM$258),""),0)),"")</f>
        <v/>
      </c>
      <c r="AR68" s="30" t="str">
        <f>IFERROR(INDEX('G-7 WaterC'' Data'!$AZ$3:$AZ$7,MATCH(D68,'G-7 WaterC'' Data'!$AY$3:$AY$7,0)),"")</f>
        <v/>
      </c>
      <c r="AS68" s="30" t="str">
        <f>IFERROR(INDEX('G-7 WaterC'' Data'!AZ68:AZ72,MATCH(D68,'G-7 WaterC'' Data'!$AY$10:$AY$14,0)),"")</f>
        <v/>
      </c>
      <c r="AT68" s="885" t="str">
        <f>IF(AND(OR(AA68="Yes",AA68="Pending"),Q68='G-7 WaterC'' Data'!$G$4),R68-W68-X68,"")</f>
        <v/>
      </c>
      <c r="AU68" s="30" t="str">
        <f>IF(D68="","",VLOOKUP(D68,'G-7 WaterC'' Data'!B$4:M$8,12,FALSE))</f>
        <v/>
      </c>
      <c r="AV68" s="30" t="str">
        <f t="shared" si="0"/>
        <v/>
      </c>
      <c r="AX68" s="30" t="str">
        <f t="shared" si="8"/>
        <v>No</v>
      </c>
    </row>
    <row r="69" spans="3:50" ht="14" hidden="1">
      <c r="C69" s="97">
        <v>60</v>
      </c>
      <c r="D69" s="261"/>
      <c r="E69" s="115"/>
      <c r="F69" s="275" t="str">
        <f>IF(D69="","",VLOOKUP(D69,'G-7 WaterC'' Data'!$B$2:$G$8,2,FALSE))</f>
        <v/>
      </c>
      <c r="G69" s="276" t="str">
        <f>IFERROR(VLOOKUP(F69,'G-7 WaterC'' Data'!$C$4:$D$8,2,FALSE),"")</f>
        <v/>
      </c>
      <c r="H69" s="52"/>
      <c r="I69" s="276" t="str">
        <f>IFERROR(INDEX('G-7 WaterC'' Data'!$H$4:$L$8,MATCH(D69,'G-7 WaterC'' Data'!$B$4:$B$8,0),MATCH(H69,'G-7 WaterC'' Data'!$H$3:$L$3,0)),"")</f>
        <v/>
      </c>
      <c r="J69" s="777"/>
      <c r="K69" s="311" t="str">
        <f>IF(J69="","",IF(VLOOKUP(J69,'G-7 WaterC'' Data'!$AK$4:$AM$6,2,FALSE)=0,"Spatial Data Missing ⚠",VLOOKUP(J69,'G-7 WaterC'' Data'!$AK$4:$AM$6,2,FALSE)))</f>
        <v/>
      </c>
      <c r="L69" s="281" t="str">
        <f>IF(J69="","",IF(VLOOKUP(J69,'G-7 WaterC'' Data'!$AK$4:$AM$9,3,FALSE)=0,"Spatial Data Missing ⚠",VLOOKUP(J69,'G-7 WaterC'' Data'!$AK$4:$AM$6,3,FALSE)))</f>
        <v/>
      </c>
      <c r="M69" s="52"/>
      <c r="N69" s="276" t="str">
        <f>IF(M69="","",IF(AND(D69&lt;&gt;"Culvert",M69="N/A - Culvert"),"Not possible ▲",IF(AND(D69="Culvert",M69&lt;&gt;"N/A - Culvert"),"Not possible ▲",IF(VLOOKUP(M69,'G-7 WaterC'' Data'!$AA$4:$AB$7,2,FALSE)=0,"Spatial Data Missing ⚠",VLOOKUP(M69,'G-7 WaterC'' Data'!$AA$4:$AB$7,2,FALSE)))))</f>
        <v/>
      </c>
      <c r="O69" s="56"/>
      <c r="P69" s="276" t="str">
        <f>IF(O69="","",IF(AND(O69="N/A - Culvert",D69&lt;&gt;"Culvert"),"Not possible ▲",IF(AND(D69="Culvert",O69&lt;&gt;"N/A - Culvert"),"Not possible ▲",IF(VLOOKUP(O69,'G-7 WaterC'' Data'!$AD$4:$AE$14,2,FALSE)=0,"Spatial Data Missing ⚠",VLOOKUP(O69,'G-7 WaterC'' Data'!$AD$4:$AE$14,2,FALSE)))))</f>
        <v/>
      </c>
      <c r="Q69" s="282" t="str">
        <f>IF(D69="","",VLOOKUP(D69,'G-7 WaterC'' Data'!$B$2:$G$8,6,FALSE))</f>
        <v/>
      </c>
      <c r="R69" s="289" t="str">
        <f t="shared" si="1"/>
        <v xml:space="preserve"> </v>
      </c>
      <c r="S69" s="803" t="str">
        <f t="shared" si="2"/>
        <v/>
      </c>
      <c r="T69" s="32"/>
      <c r="U69" s="101"/>
      <c r="V69" s="108"/>
      <c r="W69" s="287" t="str">
        <f t="shared" si="3"/>
        <v/>
      </c>
      <c r="X69" s="287" t="str">
        <f t="shared" si="4"/>
        <v/>
      </c>
      <c r="Y69" s="287" t="str">
        <f t="shared" si="5"/>
        <v/>
      </c>
      <c r="Z69" s="317" t="str">
        <f>IFERROR(IF(OR(E69="",R69=""),"",IF(AND(Q69='G-7 WaterC'' Data'!$G$4,AA69="Yes"),"Alternative Compensation ✓",IF(AND(AA69="Pending",Q69='G-7 WaterC'' Data'!$G$4),"Bespoke compensation must be agreed ▲",IF((W69+X69)&gt;=R69,0,R69-W69-X69)))),"Check Data ⚠")</f>
        <v/>
      </c>
      <c r="AA69" s="800"/>
      <c r="AB69" s="136"/>
      <c r="AC69" s="104"/>
      <c r="AD69" s="104"/>
      <c r="AE69" s="54" t="str">
        <f>IF(OR(Q69="",AA69="Yes"),"",IF(Q69='G-1 All Habitats'!$X$9,E69-U69-V69,"None"))</f>
        <v/>
      </c>
      <c r="AF69" s="55" t="str">
        <f>IF(Q69="","",IF(Q69='G-1 All Habitats'!$X$9,AE69*G69*I69*L69*N69*P69,"None"))</f>
        <v/>
      </c>
      <c r="AI69" s="30">
        <f t="shared" si="9"/>
        <v>0</v>
      </c>
      <c r="AJ69" s="107" t="str">
        <f t="shared" si="6"/>
        <v/>
      </c>
      <c r="AK69" s="107" t="str">
        <f t="shared" si="7"/>
        <v/>
      </c>
      <c r="AM69" s="107">
        <v>60</v>
      </c>
      <c r="AO69" s="107" t="str">
        <f t="array" ref="AO69">IFERROR(INDEX($AM$10:$AM$258,MATCH(0,IF(TRUE=$AJ$10:$AJ$258,COUNTIF($AO$9:$AO68,$AM$10:$AM$258),""),0)),"")</f>
        <v/>
      </c>
      <c r="AP69" s="107" t="str">
        <f t="array" ref="AP69">IFERROR(INDEX($AM$10:$AM$258,MATCH(0,IF(TRUE=$AK$10:$AK$258,COUNTIF($AP$9:$AP68,$AM$10:$AM$258),""),0)),"")</f>
        <v/>
      </c>
      <c r="AR69" s="30" t="str">
        <f>IFERROR(INDEX('G-7 WaterC'' Data'!$AZ$3:$AZ$7,MATCH(D69,'G-7 WaterC'' Data'!$AY$3:$AY$7,0)),"")</f>
        <v/>
      </c>
      <c r="AS69" s="30" t="str">
        <f>IFERROR(INDEX('G-7 WaterC'' Data'!AZ69:AZ73,MATCH(D69,'G-7 WaterC'' Data'!$AY$10:$AY$14,0)),"")</f>
        <v/>
      </c>
      <c r="AT69" s="885" t="str">
        <f>IF(AND(OR(AA69="Yes",AA69="Pending"),Q69='G-7 WaterC'' Data'!$G$4),R69-W69-X69,"")</f>
        <v/>
      </c>
      <c r="AU69" s="30" t="str">
        <f>IF(D69="","",VLOOKUP(D69,'G-7 WaterC'' Data'!B$4:M$8,12,FALSE))</f>
        <v/>
      </c>
      <c r="AV69" s="30" t="str">
        <f t="shared" si="0"/>
        <v/>
      </c>
      <c r="AX69" s="30" t="str">
        <f t="shared" si="8"/>
        <v>No</v>
      </c>
    </row>
    <row r="70" spans="3:50" ht="14" hidden="1">
      <c r="C70" s="97">
        <v>61</v>
      </c>
      <c r="D70" s="261"/>
      <c r="E70" s="115"/>
      <c r="F70" s="275" t="str">
        <f>IF(D70="","",VLOOKUP(D70,'G-7 WaterC'' Data'!$B$2:$G$8,2,FALSE))</f>
        <v/>
      </c>
      <c r="G70" s="276" t="str">
        <f>IFERROR(VLOOKUP(F70,'G-7 WaterC'' Data'!$C$4:$D$8,2,FALSE),"")</f>
        <v/>
      </c>
      <c r="H70" s="52"/>
      <c r="I70" s="276" t="str">
        <f>IFERROR(INDEX('G-7 WaterC'' Data'!$H$4:$L$8,MATCH(D70,'G-7 WaterC'' Data'!$B$4:$B$8,0),MATCH(H70,'G-7 WaterC'' Data'!$H$3:$L$3,0)),"")</f>
        <v/>
      </c>
      <c r="J70" s="777"/>
      <c r="K70" s="311" t="str">
        <f>IF(J70="","",IF(VLOOKUP(J70,'G-7 WaterC'' Data'!$AK$4:$AM$6,2,FALSE)=0,"Spatial Data Missing ⚠",VLOOKUP(J70,'G-7 WaterC'' Data'!$AK$4:$AM$6,2,FALSE)))</f>
        <v/>
      </c>
      <c r="L70" s="281" t="str">
        <f>IF(J70="","",IF(VLOOKUP(J70,'G-7 WaterC'' Data'!$AK$4:$AM$9,3,FALSE)=0,"Spatial Data Missing ⚠",VLOOKUP(J70,'G-7 WaterC'' Data'!$AK$4:$AM$6,3,FALSE)))</f>
        <v/>
      </c>
      <c r="M70" s="52"/>
      <c r="N70" s="276" t="str">
        <f>IF(M70="","",IF(AND(D70&lt;&gt;"Culvert",M70="N/A - Culvert"),"Not possible ▲",IF(AND(D70="Culvert",M70&lt;&gt;"N/A - Culvert"),"Not possible ▲",IF(VLOOKUP(M70,'G-7 WaterC'' Data'!$AA$4:$AB$7,2,FALSE)=0,"Spatial Data Missing ⚠",VLOOKUP(M70,'G-7 WaterC'' Data'!$AA$4:$AB$7,2,FALSE)))))</f>
        <v/>
      </c>
      <c r="O70" s="56"/>
      <c r="P70" s="276" t="str">
        <f>IF(O70="","",IF(AND(O70="N/A - Culvert",D70&lt;&gt;"Culvert"),"Not possible ▲",IF(AND(D70="Culvert",O70&lt;&gt;"N/A - Culvert"),"Not possible ▲",IF(VLOOKUP(O70,'G-7 WaterC'' Data'!$AD$4:$AE$14,2,FALSE)=0,"Spatial Data Missing ⚠",VLOOKUP(O70,'G-7 WaterC'' Data'!$AD$4:$AE$14,2,FALSE)))))</f>
        <v/>
      </c>
      <c r="Q70" s="282" t="str">
        <f>IF(D70="","",VLOOKUP(D70,'G-7 WaterC'' Data'!$B$2:$G$8,6,FALSE))</f>
        <v/>
      </c>
      <c r="R70" s="289" t="str">
        <f t="shared" si="1"/>
        <v xml:space="preserve"> </v>
      </c>
      <c r="S70" s="803" t="str">
        <f t="shared" si="2"/>
        <v/>
      </c>
      <c r="T70" s="32"/>
      <c r="U70" s="101"/>
      <c r="V70" s="108"/>
      <c r="W70" s="287" t="str">
        <f t="shared" si="3"/>
        <v/>
      </c>
      <c r="X70" s="287" t="str">
        <f t="shared" si="4"/>
        <v/>
      </c>
      <c r="Y70" s="287" t="str">
        <f t="shared" si="5"/>
        <v/>
      </c>
      <c r="Z70" s="317" t="str">
        <f>IFERROR(IF(OR(E70="",R70=""),"",IF(AND(Q70='G-7 WaterC'' Data'!$G$4,AA70="Yes"),"Alternative Compensation ✓",IF(AND(AA70="Pending",Q70='G-7 WaterC'' Data'!$G$4),"Bespoke compensation must be agreed ▲",IF((W70+X70)&gt;=R70,0,R70-W70-X70)))),"Check Data ⚠")</f>
        <v/>
      </c>
      <c r="AA70" s="800"/>
      <c r="AB70" s="136"/>
      <c r="AC70" s="104"/>
      <c r="AD70" s="104"/>
      <c r="AE70" s="54" t="str">
        <f>IF(OR(Q70="",AA70="Yes"),"",IF(Q70='G-1 All Habitats'!$X$9,E70-U70-V70,"None"))</f>
        <v/>
      </c>
      <c r="AF70" s="55" t="str">
        <f>IF(Q70="","",IF(Q70='G-1 All Habitats'!$X$9,AE70*G70*I70*L70*N70*P70,"None"))</f>
        <v/>
      </c>
      <c r="AI70" s="30">
        <f t="shared" si="9"/>
        <v>0</v>
      </c>
      <c r="AJ70" s="107" t="str">
        <f t="shared" si="6"/>
        <v/>
      </c>
      <c r="AK70" s="107" t="str">
        <f t="shared" si="7"/>
        <v/>
      </c>
      <c r="AM70" s="107">
        <v>61</v>
      </c>
      <c r="AO70" s="107" t="str">
        <f t="array" ref="AO70">IFERROR(INDEX($AM$10:$AM$258,MATCH(0,IF(TRUE=$AJ$10:$AJ$258,COUNTIF($AO$9:$AO69,$AM$10:$AM$258),""),0)),"")</f>
        <v/>
      </c>
      <c r="AP70" s="107" t="str">
        <f t="array" ref="AP70">IFERROR(INDEX($AM$10:$AM$258,MATCH(0,IF(TRUE=$AK$10:$AK$258,COUNTIF($AP$9:$AP69,$AM$10:$AM$258),""),0)),"")</f>
        <v/>
      </c>
      <c r="AR70" s="30" t="str">
        <f>IFERROR(INDEX('G-7 WaterC'' Data'!$AZ$3:$AZ$7,MATCH(D70,'G-7 WaterC'' Data'!$AY$3:$AY$7,0)),"")</f>
        <v/>
      </c>
      <c r="AS70" s="30" t="str">
        <f>IFERROR(INDEX('G-7 WaterC'' Data'!AZ70:AZ74,MATCH(D70,'G-7 WaterC'' Data'!$AY$10:$AY$14,0)),"")</f>
        <v/>
      </c>
      <c r="AT70" s="885" t="str">
        <f>IF(AND(OR(AA70="Yes",AA70="Pending"),Q70='G-7 WaterC'' Data'!$G$4),R70-W70-X70,"")</f>
        <v/>
      </c>
      <c r="AU70" s="30" t="str">
        <f>IF(D70="","",VLOOKUP(D70,'G-7 WaterC'' Data'!B$4:M$8,12,FALSE))</f>
        <v/>
      </c>
      <c r="AV70" s="30" t="str">
        <f t="shared" si="0"/>
        <v/>
      </c>
      <c r="AX70" s="30" t="str">
        <f t="shared" si="8"/>
        <v>No</v>
      </c>
    </row>
    <row r="71" spans="3:50" ht="14" hidden="1">
      <c r="C71" s="97">
        <v>62</v>
      </c>
      <c r="D71" s="261"/>
      <c r="E71" s="115"/>
      <c r="F71" s="275" t="str">
        <f>IF(D71="","",VLOOKUP(D71,'G-7 WaterC'' Data'!$B$2:$G$8,2,FALSE))</f>
        <v/>
      </c>
      <c r="G71" s="276" t="str">
        <f>IFERROR(VLOOKUP(F71,'G-7 WaterC'' Data'!$C$4:$D$8,2,FALSE),"")</f>
        <v/>
      </c>
      <c r="H71" s="52"/>
      <c r="I71" s="276" t="str">
        <f>IFERROR(INDEX('G-7 WaterC'' Data'!$H$4:$L$8,MATCH(D71,'G-7 WaterC'' Data'!$B$4:$B$8,0),MATCH(H71,'G-7 WaterC'' Data'!$H$3:$L$3,0)),"")</f>
        <v/>
      </c>
      <c r="J71" s="777"/>
      <c r="K71" s="311" t="str">
        <f>IF(J71="","",IF(VLOOKUP(J71,'G-7 WaterC'' Data'!$AK$4:$AM$6,2,FALSE)=0,"Spatial Data Missing ⚠",VLOOKUP(J71,'G-7 WaterC'' Data'!$AK$4:$AM$6,2,FALSE)))</f>
        <v/>
      </c>
      <c r="L71" s="281" t="str">
        <f>IF(J71="","",IF(VLOOKUP(J71,'G-7 WaterC'' Data'!$AK$4:$AM$9,3,FALSE)=0,"Spatial Data Missing ⚠",VLOOKUP(J71,'G-7 WaterC'' Data'!$AK$4:$AM$6,3,FALSE)))</f>
        <v/>
      </c>
      <c r="M71" s="52"/>
      <c r="N71" s="276" t="str">
        <f>IF(M71="","",IF(AND(D71&lt;&gt;"Culvert",M71="N/A - Culvert"),"Not possible ▲",IF(AND(D71="Culvert",M71&lt;&gt;"N/A - Culvert"),"Not possible ▲",IF(VLOOKUP(M71,'G-7 WaterC'' Data'!$AA$4:$AB$7,2,FALSE)=0,"Spatial Data Missing ⚠",VLOOKUP(M71,'G-7 WaterC'' Data'!$AA$4:$AB$7,2,FALSE)))))</f>
        <v/>
      </c>
      <c r="O71" s="56"/>
      <c r="P71" s="276" t="str">
        <f>IF(O71="","",IF(AND(O71="N/A - Culvert",D71&lt;&gt;"Culvert"),"Not possible ▲",IF(AND(D71="Culvert",O71&lt;&gt;"N/A - Culvert"),"Not possible ▲",IF(VLOOKUP(O71,'G-7 WaterC'' Data'!$AD$4:$AE$14,2,FALSE)=0,"Spatial Data Missing ⚠",VLOOKUP(O71,'G-7 WaterC'' Data'!$AD$4:$AE$14,2,FALSE)))))</f>
        <v/>
      </c>
      <c r="Q71" s="282" t="str">
        <f>IF(D71="","",VLOOKUP(D71,'G-7 WaterC'' Data'!$B$2:$G$8,6,FALSE))</f>
        <v/>
      </c>
      <c r="R71" s="289" t="str">
        <f t="shared" si="1"/>
        <v xml:space="preserve"> </v>
      </c>
      <c r="S71" s="803" t="str">
        <f t="shared" si="2"/>
        <v/>
      </c>
      <c r="T71" s="32"/>
      <c r="U71" s="101"/>
      <c r="V71" s="108"/>
      <c r="W71" s="287" t="str">
        <f t="shared" si="3"/>
        <v/>
      </c>
      <c r="X71" s="287" t="str">
        <f t="shared" si="4"/>
        <v/>
      </c>
      <c r="Y71" s="287" t="str">
        <f t="shared" si="5"/>
        <v/>
      </c>
      <c r="Z71" s="317" t="str">
        <f>IFERROR(IF(OR(E71="",R71=""),"",IF(AND(Q71='G-7 WaterC'' Data'!$G$4,AA71="Yes"),"Alternative Compensation ✓",IF(AND(AA71="Pending",Q71='G-7 WaterC'' Data'!$G$4),"Bespoke compensation must be agreed ▲",IF((W71+X71)&gt;=R71,0,R71-W71-X71)))),"Check Data ⚠")</f>
        <v/>
      </c>
      <c r="AA71" s="800"/>
      <c r="AB71" s="136"/>
      <c r="AC71" s="104"/>
      <c r="AD71" s="104"/>
      <c r="AE71" s="54" t="str">
        <f>IF(OR(Q71="",AA71="Yes"),"",IF(Q71='G-1 All Habitats'!$X$9,E71-U71-V71,"None"))</f>
        <v/>
      </c>
      <c r="AF71" s="55" t="str">
        <f>IF(Q71="","",IF(Q71='G-1 All Habitats'!$X$9,AE71*G71*I71*L71*N71*P71,"None"))</f>
        <v/>
      </c>
      <c r="AI71" s="30">
        <f t="shared" si="9"/>
        <v>0</v>
      </c>
      <c r="AJ71" s="107" t="str">
        <f t="shared" si="6"/>
        <v/>
      </c>
      <c r="AK71" s="107" t="str">
        <f t="shared" si="7"/>
        <v/>
      </c>
      <c r="AM71" s="107">
        <v>62</v>
      </c>
      <c r="AO71" s="107" t="str">
        <f t="array" ref="AO71">IFERROR(INDEX($AM$10:$AM$258,MATCH(0,IF(TRUE=$AJ$10:$AJ$258,COUNTIF($AO$9:$AO70,$AM$10:$AM$258),""),0)),"")</f>
        <v/>
      </c>
      <c r="AP71" s="107" t="str">
        <f t="array" ref="AP71">IFERROR(INDEX($AM$10:$AM$258,MATCH(0,IF(TRUE=$AK$10:$AK$258,COUNTIF($AP$9:$AP70,$AM$10:$AM$258),""),0)),"")</f>
        <v/>
      </c>
      <c r="AR71" s="30" t="str">
        <f>IFERROR(INDEX('G-7 WaterC'' Data'!$AZ$3:$AZ$7,MATCH(D71,'G-7 WaterC'' Data'!$AY$3:$AY$7,0)),"")</f>
        <v/>
      </c>
      <c r="AS71" s="30" t="str">
        <f>IFERROR(INDEX('G-7 WaterC'' Data'!AZ71:AZ75,MATCH(D71,'G-7 WaterC'' Data'!$AY$10:$AY$14,0)),"")</f>
        <v/>
      </c>
      <c r="AT71" s="885" t="str">
        <f>IF(AND(OR(AA71="Yes",AA71="Pending"),Q71='G-7 WaterC'' Data'!$G$4),R71-W71-X71,"")</f>
        <v/>
      </c>
      <c r="AU71" s="30" t="str">
        <f>IF(D71="","",VLOOKUP(D71,'G-7 WaterC'' Data'!B$4:M$8,12,FALSE))</f>
        <v/>
      </c>
      <c r="AV71" s="30" t="str">
        <f t="shared" si="0"/>
        <v/>
      </c>
      <c r="AX71" s="30" t="str">
        <f t="shared" si="8"/>
        <v>No</v>
      </c>
    </row>
    <row r="72" spans="3:50" ht="14" hidden="1">
      <c r="C72" s="97">
        <v>63</v>
      </c>
      <c r="D72" s="261"/>
      <c r="E72" s="115"/>
      <c r="F72" s="275" t="str">
        <f>IF(D72="","",VLOOKUP(D72,'G-7 WaterC'' Data'!$B$2:$G$8,2,FALSE))</f>
        <v/>
      </c>
      <c r="G72" s="276" t="str">
        <f>IFERROR(VLOOKUP(F72,'G-7 WaterC'' Data'!$C$4:$D$8,2,FALSE),"")</f>
        <v/>
      </c>
      <c r="H72" s="52"/>
      <c r="I72" s="276" t="str">
        <f>IFERROR(INDEX('G-7 WaterC'' Data'!$H$4:$L$8,MATCH(D72,'G-7 WaterC'' Data'!$B$4:$B$8,0),MATCH(H72,'G-7 WaterC'' Data'!$H$3:$L$3,0)),"")</f>
        <v/>
      </c>
      <c r="J72" s="777"/>
      <c r="K72" s="311" t="str">
        <f>IF(J72="","",IF(VLOOKUP(J72,'G-7 WaterC'' Data'!$AK$4:$AM$6,2,FALSE)=0,"Spatial Data Missing ⚠",VLOOKUP(J72,'G-7 WaterC'' Data'!$AK$4:$AM$6,2,FALSE)))</f>
        <v/>
      </c>
      <c r="L72" s="281" t="str">
        <f>IF(J72="","",IF(VLOOKUP(J72,'G-7 WaterC'' Data'!$AK$4:$AM$9,3,FALSE)=0,"Spatial Data Missing ⚠",VLOOKUP(J72,'G-7 WaterC'' Data'!$AK$4:$AM$6,3,FALSE)))</f>
        <v/>
      </c>
      <c r="M72" s="52"/>
      <c r="N72" s="276" t="str">
        <f>IF(M72="","",IF(AND(D72&lt;&gt;"Culvert",M72="N/A - Culvert"),"Not possible ▲",IF(AND(D72="Culvert",M72&lt;&gt;"N/A - Culvert"),"Not possible ▲",IF(VLOOKUP(M72,'G-7 WaterC'' Data'!$AA$4:$AB$7,2,FALSE)=0,"Spatial Data Missing ⚠",VLOOKUP(M72,'G-7 WaterC'' Data'!$AA$4:$AB$7,2,FALSE)))))</f>
        <v/>
      </c>
      <c r="O72" s="56"/>
      <c r="P72" s="276" t="str">
        <f>IF(O72="","",IF(AND(O72="N/A - Culvert",D72&lt;&gt;"Culvert"),"Not possible ▲",IF(AND(D72="Culvert",O72&lt;&gt;"N/A - Culvert"),"Not possible ▲",IF(VLOOKUP(O72,'G-7 WaterC'' Data'!$AD$4:$AE$14,2,FALSE)=0,"Spatial Data Missing ⚠",VLOOKUP(O72,'G-7 WaterC'' Data'!$AD$4:$AE$14,2,FALSE)))))</f>
        <v/>
      </c>
      <c r="Q72" s="282" t="str">
        <f>IF(D72="","",VLOOKUP(D72,'G-7 WaterC'' Data'!$B$2:$G$8,6,FALSE))</f>
        <v/>
      </c>
      <c r="R72" s="289" t="str">
        <f t="shared" si="1"/>
        <v xml:space="preserve"> </v>
      </c>
      <c r="S72" s="803" t="str">
        <f t="shared" si="2"/>
        <v/>
      </c>
      <c r="T72" s="32"/>
      <c r="U72" s="101"/>
      <c r="V72" s="108"/>
      <c r="W72" s="287" t="str">
        <f t="shared" si="3"/>
        <v/>
      </c>
      <c r="X72" s="287" t="str">
        <f t="shared" si="4"/>
        <v/>
      </c>
      <c r="Y72" s="287" t="str">
        <f t="shared" si="5"/>
        <v/>
      </c>
      <c r="Z72" s="317" t="str">
        <f>IFERROR(IF(OR(E72="",R72=""),"",IF(AND(Q72='G-7 WaterC'' Data'!$G$4,AA72="Yes"),"Alternative Compensation ✓",IF(AND(AA72="Pending",Q72='G-7 WaterC'' Data'!$G$4),"Bespoke compensation must be agreed ▲",IF((W72+X72)&gt;=R72,0,R72-W72-X72)))),"Check Data ⚠")</f>
        <v/>
      </c>
      <c r="AA72" s="800"/>
      <c r="AB72" s="136"/>
      <c r="AC72" s="104"/>
      <c r="AD72" s="104"/>
      <c r="AE72" s="54" t="str">
        <f>IF(OR(Q72="",AA72="Yes"),"",IF(Q72='G-1 All Habitats'!$X$9,E72-U72-V72,"None"))</f>
        <v/>
      </c>
      <c r="AF72" s="55" t="str">
        <f>IF(Q72="","",IF(Q72='G-1 All Habitats'!$X$9,AE72*G72*I72*L72*N72*P72,"None"))</f>
        <v/>
      </c>
      <c r="AI72" s="30">
        <f t="shared" si="9"/>
        <v>0</v>
      </c>
      <c r="AJ72" s="107" t="str">
        <f t="shared" si="6"/>
        <v/>
      </c>
      <c r="AK72" s="107" t="str">
        <f t="shared" si="7"/>
        <v/>
      </c>
      <c r="AM72" s="107">
        <v>63</v>
      </c>
      <c r="AO72" s="107" t="str">
        <f t="array" ref="AO72">IFERROR(INDEX($AM$10:$AM$258,MATCH(0,IF(TRUE=$AJ$10:$AJ$258,COUNTIF($AO$9:$AO71,$AM$10:$AM$258),""),0)),"")</f>
        <v/>
      </c>
      <c r="AP72" s="107" t="str">
        <f t="array" ref="AP72">IFERROR(INDEX($AM$10:$AM$258,MATCH(0,IF(TRUE=$AK$10:$AK$258,COUNTIF($AP$9:$AP71,$AM$10:$AM$258),""),0)),"")</f>
        <v/>
      </c>
      <c r="AR72" s="30" t="str">
        <f>IFERROR(INDEX('G-7 WaterC'' Data'!$AZ$3:$AZ$7,MATCH(D72,'G-7 WaterC'' Data'!$AY$3:$AY$7,0)),"")</f>
        <v/>
      </c>
      <c r="AS72" s="30" t="str">
        <f>IFERROR(INDEX('G-7 WaterC'' Data'!AZ72:AZ76,MATCH(D72,'G-7 WaterC'' Data'!$AY$10:$AY$14,0)),"")</f>
        <v/>
      </c>
      <c r="AT72" s="885" t="str">
        <f>IF(AND(OR(AA72="Yes",AA72="Pending"),Q72='G-7 WaterC'' Data'!$G$4),R72-W72-X72,"")</f>
        <v/>
      </c>
      <c r="AU72" s="30" t="str">
        <f>IF(D72="","",VLOOKUP(D72,'G-7 WaterC'' Data'!B$4:M$8,12,FALSE))</f>
        <v/>
      </c>
      <c r="AV72" s="30" t="str">
        <f t="shared" si="0"/>
        <v/>
      </c>
      <c r="AX72" s="30" t="str">
        <f t="shared" si="8"/>
        <v>No</v>
      </c>
    </row>
    <row r="73" spans="3:50" ht="14" hidden="1">
      <c r="C73" s="97">
        <v>64</v>
      </c>
      <c r="D73" s="261"/>
      <c r="E73" s="115"/>
      <c r="F73" s="275" t="str">
        <f>IF(D73="","",VLOOKUP(D73,'G-7 WaterC'' Data'!$B$2:$G$8,2,FALSE))</f>
        <v/>
      </c>
      <c r="G73" s="276" t="str">
        <f>IFERROR(VLOOKUP(F73,'G-7 WaterC'' Data'!$C$4:$D$8,2,FALSE),"")</f>
        <v/>
      </c>
      <c r="H73" s="52"/>
      <c r="I73" s="276" t="str">
        <f>IFERROR(INDEX('G-7 WaterC'' Data'!$H$4:$L$8,MATCH(D73,'G-7 WaterC'' Data'!$B$4:$B$8,0),MATCH(H73,'G-7 WaterC'' Data'!$H$3:$L$3,0)),"")</f>
        <v/>
      </c>
      <c r="J73" s="777"/>
      <c r="K73" s="311" t="str">
        <f>IF(J73="","",IF(VLOOKUP(J73,'G-7 WaterC'' Data'!$AK$4:$AM$6,2,FALSE)=0,"Spatial Data Missing ⚠",VLOOKUP(J73,'G-7 WaterC'' Data'!$AK$4:$AM$6,2,FALSE)))</f>
        <v/>
      </c>
      <c r="L73" s="281" t="str">
        <f>IF(J73="","",IF(VLOOKUP(J73,'G-7 WaterC'' Data'!$AK$4:$AM$9,3,FALSE)=0,"Spatial Data Missing ⚠",VLOOKUP(J73,'G-7 WaterC'' Data'!$AK$4:$AM$6,3,FALSE)))</f>
        <v/>
      </c>
      <c r="M73" s="52"/>
      <c r="N73" s="276" t="str">
        <f>IF(M73="","",IF(AND(D73&lt;&gt;"Culvert",M73="N/A - Culvert"),"Not possible ▲",IF(AND(D73="Culvert",M73&lt;&gt;"N/A - Culvert"),"Not possible ▲",IF(VLOOKUP(M73,'G-7 WaterC'' Data'!$AA$4:$AB$7,2,FALSE)=0,"Spatial Data Missing ⚠",VLOOKUP(M73,'G-7 WaterC'' Data'!$AA$4:$AB$7,2,FALSE)))))</f>
        <v/>
      </c>
      <c r="O73" s="56"/>
      <c r="P73" s="276" t="str">
        <f>IF(O73="","",IF(AND(O73="N/A - Culvert",D73&lt;&gt;"Culvert"),"Not possible ▲",IF(AND(D73="Culvert",O73&lt;&gt;"N/A - Culvert"),"Not possible ▲",IF(VLOOKUP(O73,'G-7 WaterC'' Data'!$AD$4:$AE$14,2,FALSE)=0,"Spatial Data Missing ⚠",VLOOKUP(O73,'G-7 WaterC'' Data'!$AD$4:$AE$14,2,FALSE)))))</f>
        <v/>
      </c>
      <c r="Q73" s="282" t="str">
        <f>IF(D73="","",VLOOKUP(D73,'G-7 WaterC'' Data'!$B$2:$G$8,6,FALSE))</f>
        <v/>
      </c>
      <c r="R73" s="289" t="str">
        <f t="shared" si="1"/>
        <v xml:space="preserve"> </v>
      </c>
      <c r="S73" s="803" t="str">
        <f t="shared" si="2"/>
        <v/>
      </c>
      <c r="T73" s="32"/>
      <c r="U73" s="101"/>
      <c r="V73" s="108"/>
      <c r="W73" s="287" t="str">
        <f t="shared" si="3"/>
        <v/>
      </c>
      <c r="X73" s="287" t="str">
        <f t="shared" si="4"/>
        <v/>
      </c>
      <c r="Y73" s="287" t="str">
        <f t="shared" si="5"/>
        <v/>
      </c>
      <c r="Z73" s="317" t="str">
        <f>IFERROR(IF(OR(E73="",R73=""),"",IF(AND(Q73='G-7 WaterC'' Data'!$G$4,AA73="Yes"),"Alternative Compensation ✓",IF(AND(AA73="Pending",Q73='G-7 WaterC'' Data'!$G$4),"Bespoke compensation must be agreed ▲",IF((W73+X73)&gt;=R73,0,R73-W73-X73)))),"Check Data ⚠")</f>
        <v/>
      </c>
      <c r="AA73" s="800"/>
      <c r="AB73" s="136"/>
      <c r="AC73" s="104"/>
      <c r="AD73" s="104"/>
      <c r="AE73" s="54" t="str">
        <f>IF(OR(Q73="",AA73="Yes"),"",IF(Q73='G-1 All Habitats'!$X$9,E73-U73-V73,"None"))</f>
        <v/>
      </c>
      <c r="AF73" s="55" t="str">
        <f>IF(Q73="","",IF(Q73='G-1 All Habitats'!$X$9,AE73*G73*I73*L73*N73*P73,"None"))</f>
        <v/>
      </c>
      <c r="AI73" s="30">
        <f t="shared" si="9"/>
        <v>0</v>
      </c>
      <c r="AJ73" s="107" t="str">
        <f t="shared" si="6"/>
        <v/>
      </c>
      <c r="AK73" s="107" t="str">
        <f t="shared" si="7"/>
        <v/>
      </c>
      <c r="AM73" s="107">
        <v>64</v>
      </c>
      <c r="AO73" s="107" t="str">
        <f t="array" ref="AO73">IFERROR(INDEX($AM$10:$AM$258,MATCH(0,IF(TRUE=$AJ$10:$AJ$258,COUNTIF($AO$9:$AO72,$AM$10:$AM$258),""),0)),"")</f>
        <v/>
      </c>
      <c r="AP73" s="107" t="str">
        <f t="array" ref="AP73">IFERROR(INDEX($AM$10:$AM$258,MATCH(0,IF(TRUE=$AK$10:$AK$258,COUNTIF($AP$9:$AP72,$AM$10:$AM$258),""),0)),"")</f>
        <v/>
      </c>
      <c r="AR73" s="30" t="str">
        <f>IFERROR(INDEX('G-7 WaterC'' Data'!$AZ$3:$AZ$7,MATCH(D73,'G-7 WaterC'' Data'!$AY$3:$AY$7,0)),"")</f>
        <v/>
      </c>
      <c r="AS73" s="30" t="str">
        <f>IFERROR(INDEX('G-7 WaterC'' Data'!AZ73:AZ77,MATCH(D73,'G-7 WaterC'' Data'!$AY$10:$AY$14,0)),"")</f>
        <v/>
      </c>
      <c r="AT73" s="885" t="str">
        <f>IF(AND(OR(AA73="Yes",AA73="Pending"),Q73='G-7 WaterC'' Data'!$G$4),R73-W73-X73,"")</f>
        <v/>
      </c>
      <c r="AU73" s="30" t="str">
        <f>IF(D73="","",VLOOKUP(D73,'G-7 WaterC'' Data'!B$4:M$8,12,FALSE))</f>
        <v/>
      </c>
      <c r="AV73" s="30" t="str">
        <f t="shared" si="0"/>
        <v/>
      </c>
      <c r="AX73" s="30" t="str">
        <f t="shared" si="8"/>
        <v>No</v>
      </c>
    </row>
    <row r="74" spans="3:50" ht="14" hidden="1">
      <c r="C74" s="97">
        <v>65</v>
      </c>
      <c r="D74" s="261"/>
      <c r="E74" s="115"/>
      <c r="F74" s="275" t="str">
        <f>IF(D74="","",VLOOKUP(D74,'G-7 WaterC'' Data'!$B$2:$G$8,2,FALSE))</f>
        <v/>
      </c>
      <c r="G74" s="276" t="str">
        <f>IFERROR(VLOOKUP(F74,'G-7 WaterC'' Data'!$C$4:$D$8,2,FALSE),"")</f>
        <v/>
      </c>
      <c r="H74" s="52"/>
      <c r="I74" s="276" t="str">
        <f>IFERROR(INDEX('G-7 WaterC'' Data'!$H$4:$L$8,MATCH(D74,'G-7 WaterC'' Data'!$B$4:$B$8,0),MATCH(H74,'G-7 WaterC'' Data'!$H$3:$L$3,0)),"")</f>
        <v/>
      </c>
      <c r="J74" s="777"/>
      <c r="K74" s="311" t="str">
        <f>IF(J74="","",IF(VLOOKUP(J74,'G-7 WaterC'' Data'!$AK$4:$AM$6,2,FALSE)=0,"Spatial Data Missing ⚠",VLOOKUP(J74,'G-7 WaterC'' Data'!$AK$4:$AM$6,2,FALSE)))</f>
        <v/>
      </c>
      <c r="L74" s="281" t="str">
        <f>IF(J74="","",IF(VLOOKUP(J74,'G-7 WaterC'' Data'!$AK$4:$AM$9,3,FALSE)=0,"Spatial Data Missing ⚠",VLOOKUP(J74,'G-7 WaterC'' Data'!$AK$4:$AM$6,3,FALSE)))</f>
        <v/>
      </c>
      <c r="M74" s="52"/>
      <c r="N74" s="276" t="str">
        <f>IF(M74="","",IF(AND(D74&lt;&gt;"Culvert",M74="N/A - Culvert"),"Not possible ▲",IF(AND(D74="Culvert",M74&lt;&gt;"N/A - Culvert"),"Not possible ▲",IF(VLOOKUP(M74,'G-7 WaterC'' Data'!$AA$4:$AB$7,2,FALSE)=0,"Spatial Data Missing ⚠",VLOOKUP(M74,'G-7 WaterC'' Data'!$AA$4:$AB$7,2,FALSE)))))</f>
        <v/>
      </c>
      <c r="O74" s="56"/>
      <c r="P74" s="276" t="str">
        <f>IF(O74="","",IF(AND(O74="N/A - Culvert",D74&lt;&gt;"Culvert"),"Not possible ▲",IF(AND(D74="Culvert",O74&lt;&gt;"N/A - Culvert"),"Not possible ▲",IF(VLOOKUP(O74,'G-7 WaterC'' Data'!$AD$4:$AE$14,2,FALSE)=0,"Spatial Data Missing ⚠",VLOOKUP(O74,'G-7 WaterC'' Data'!$AD$4:$AE$14,2,FALSE)))))</f>
        <v/>
      </c>
      <c r="Q74" s="282" t="str">
        <f>IF(D74="","",VLOOKUP(D74,'G-7 WaterC'' Data'!$B$2:$G$8,6,FALSE))</f>
        <v/>
      </c>
      <c r="R74" s="289" t="str">
        <f t="shared" si="1"/>
        <v xml:space="preserve"> </v>
      </c>
      <c r="S74" s="803" t="str">
        <f t="shared" si="2"/>
        <v/>
      </c>
      <c r="T74" s="32"/>
      <c r="U74" s="101"/>
      <c r="V74" s="108"/>
      <c r="W74" s="287" t="str">
        <f t="shared" si="3"/>
        <v/>
      </c>
      <c r="X74" s="287" t="str">
        <f t="shared" si="4"/>
        <v/>
      </c>
      <c r="Y74" s="287" t="str">
        <f t="shared" si="5"/>
        <v/>
      </c>
      <c r="Z74" s="317" t="str">
        <f>IFERROR(IF(OR(E74="",R74=""),"",IF(AND(Q74='G-7 WaterC'' Data'!$G$4,AA74="Yes"),"Alternative Compensation ✓",IF(AND(AA74="Pending",Q74='G-7 WaterC'' Data'!$G$4),"Bespoke compensation must be agreed ▲",IF((W74+X74)&gt;=R74,0,R74-W74-X74)))),"Check Data ⚠")</f>
        <v/>
      </c>
      <c r="AA74" s="800"/>
      <c r="AB74" s="136"/>
      <c r="AC74" s="104"/>
      <c r="AD74" s="104"/>
      <c r="AE74" s="54" t="str">
        <f>IF(OR(Q74="",AA74="Yes"),"",IF(Q74='G-1 All Habitats'!$X$9,E74-U74-V74,"None"))</f>
        <v/>
      </c>
      <c r="AF74" s="55" t="str">
        <f>IF(Q74="","",IF(Q74='G-1 All Habitats'!$X$9,AE74*G74*I74*L74*N74*P74,"None"))</f>
        <v/>
      </c>
      <c r="AI74" s="30">
        <f t="shared" si="9"/>
        <v>0</v>
      </c>
      <c r="AJ74" s="107" t="str">
        <f t="shared" si="6"/>
        <v/>
      </c>
      <c r="AK74" s="107" t="str">
        <f t="shared" si="7"/>
        <v/>
      </c>
      <c r="AM74" s="107">
        <v>65</v>
      </c>
      <c r="AO74" s="107" t="str">
        <f t="array" ref="AO74">IFERROR(INDEX($AM$10:$AM$258,MATCH(0,IF(TRUE=$AJ$10:$AJ$258,COUNTIF($AO$9:$AO73,$AM$10:$AM$258),""),0)),"")</f>
        <v/>
      </c>
      <c r="AP74" s="107" t="str">
        <f t="array" ref="AP74">IFERROR(INDEX($AM$10:$AM$258,MATCH(0,IF(TRUE=$AK$10:$AK$258,COUNTIF($AP$9:$AP73,$AM$10:$AM$258),""),0)),"")</f>
        <v/>
      </c>
      <c r="AR74" s="30" t="str">
        <f>IFERROR(INDEX('G-7 WaterC'' Data'!$AZ$3:$AZ$7,MATCH(D74,'G-7 WaterC'' Data'!$AY$3:$AY$7,0)),"")</f>
        <v/>
      </c>
      <c r="AS74" s="30" t="str">
        <f>IFERROR(INDEX('G-7 WaterC'' Data'!AZ74:AZ78,MATCH(D74,'G-7 WaterC'' Data'!$AY$10:$AY$14,0)),"")</f>
        <v/>
      </c>
      <c r="AT74" s="885" t="str">
        <f>IF(AND(OR(AA74="Yes",AA74="Pending"),Q74='G-7 WaterC'' Data'!$G$4),R74-W74-X74,"")</f>
        <v/>
      </c>
      <c r="AU74" s="30" t="str">
        <f>IF(D74="","",VLOOKUP(D74,'G-7 WaterC'' Data'!B$4:M$8,12,FALSE))</f>
        <v/>
      </c>
      <c r="AV74" s="30" t="str">
        <f t="shared" si="10" ref="AV74:AV137">IF(AA74="","",IF(AA74="Yes","Yes ✓","No ▲"))</f>
        <v/>
      </c>
      <c r="AX74" s="30" t="str">
        <f t="shared" si="8"/>
        <v>No</v>
      </c>
    </row>
    <row r="75" spans="3:50" ht="14" hidden="1">
      <c r="C75" s="97">
        <v>66</v>
      </c>
      <c r="D75" s="261"/>
      <c r="E75" s="115"/>
      <c r="F75" s="275" t="str">
        <f>IF(D75="","",VLOOKUP(D75,'G-7 WaterC'' Data'!$B$2:$G$8,2,FALSE))</f>
        <v/>
      </c>
      <c r="G75" s="276" t="str">
        <f>IFERROR(VLOOKUP(F75,'G-7 WaterC'' Data'!$C$4:$D$8,2,FALSE),"")</f>
        <v/>
      </c>
      <c r="H75" s="52"/>
      <c r="I75" s="276" t="str">
        <f>IFERROR(INDEX('G-7 WaterC'' Data'!$H$4:$L$8,MATCH(D75,'G-7 WaterC'' Data'!$B$4:$B$8,0),MATCH(H75,'G-7 WaterC'' Data'!$H$3:$L$3,0)),"")</f>
        <v/>
      </c>
      <c r="J75" s="777"/>
      <c r="K75" s="311" t="str">
        <f>IF(J75="","",IF(VLOOKUP(J75,'G-7 WaterC'' Data'!$AK$4:$AM$6,2,FALSE)=0,"Spatial Data Missing ⚠",VLOOKUP(J75,'G-7 WaterC'' Data'!$AK$4:$AM$6,2,FALSE)))</f>
        <v/>
      </c>
      <c r="L75" s="281" t="str">
        <f>IF(J75="","",IF(VLOOKUP(J75,'G-7 WaterC'' Data'!$AK$4:$AM$9,3,FALSE)=0,"Spatial Data Missing ⚠",VLOOKUP(J75,'G-7 WaterC'' Data'!$AK$4:$AM$6,3,FALSE)))</f>
        <v/>
      </c>
      <c r="M75" s="52"/>
      <c r="N75" s="276" t="str">
        <f>IF(M75="","",IF(AND(D75&lt;&gt;"Culvert",M75="N/A - Culvert"),"Not possible ▲",IF(AND(D75="Culvert",M75&lt;&gt;"N/A - Culvert"),"Not possible ▲",IF(VLOOKUP(M75,'G-7 WaterC'' Data'!$AA$4:$AB$7,2,FALSE)=0,"Spatial Data Missing ⚠",VLOOKUP(M75,'G-7 WaterC'' Data'!$AA$4:$AB$7,2,FALSE)))))</f>
        <v/>
      </c>
      <c r="O75" s="56"/>
      <c r="P75" s="276" t="str">
        <f>IF(O75="","",IF(AND(O75="N/A - Culvert",D75&lt;&gt;"Culvert"),"Not possible ▲",IF(AND(D75="Culvert",O75&lt;&gt;"N/A - Culvert"),"Not possible ▲",IF(VLOOKUP(O75,'G-7 WaterC'' Data'!$AD$4:$AE$14,2,FALSE)=0,"Spatial Data Missing ⚠",VLOOKUP(O75,'G-7 WaterC'' Data'!$AD$4:$AE$14,2,FALSE)))))</f>
        <v/>
      </c>
      <c r="Q75" s="282" t="str">
        <f>IF(D75="","",VLOOKUP(D75,'G-7 WaterC'' Data'!$B$2:$G$8,6,FALSE))</f>
        <v/>
      </c>
      <c r="R75" s="289" t="str">
        <f t="shared" si="11" ref="R75:R138">IFERROR(IF(AND(U75&gt;0,V75&gt;0,U75+V75&gt;E75),"Split retained and enhanced into separate entries ▲",IF(OR(K75="Check data ⚠",I75="Check data ⚠"),"Check data ▲",E75*G75*I75*L75*N75*P75))," ")</f>
        <v xml:space="preserve"> </v>
      </c>
      <c r="S75" s="803" t="str">
        <f t="shared" si="12" ref="S75:S138">AU75</f>
        <v/>
      </c>
      <c r="T75" s="32"/>
      <c r="U75" s="101"/>
      <c r="V75" s="108"/>
      <c r="W75" s="287" t="str">
        <f t="shared" si="13" ref="W75:W138">IFERROR(IF(U75&gt;E75,"Error in Lengths ▲",U75*G75*I75*L75*N75*P75),"")</f>
        <v/>
      </c>
      <c r="X75" s="287" t="str">
        <f t="shared" si="14" ref="X75:X138">IFERROR(IF(D75="","",V75*G75*I75*L75*N75*P75),"")</f>
        <v/>
      </c>
      <c r="Y75" s="287" t="str">
        <f t="shared" si="15" ref="Y75:Y138">IFERROR(IF(D75="","",IF(E75&gt;(U75+V75),E75-U75-V75,0)),"")</f>
        <v/>
      </c>
      <c r="Z75" s="317" t="str">
        <f>IFERROR(IF(OR(E75="",R75=""),"",IF(AND(Q75='G-7 WaterC'' Data'!$G$4,AA75="Yes"),"Alternative Compensation ✓",IF(AND(AA75="Pending",Q75='G-7 WaterC'' Data'!$G$4),"Bespoke compensation must be agreed ▲",IF((W75+X75)&gt;=R75,0,R75-W75-X75)))),"Check Data ⚠")</f>
        <v/>
      </c>
      <c r="AA75" s="800"/>
      <c r="AB75" s="136"/>
      <c r="AC75" s="104"/>
      <c r="AD75" s="104"/>
      <c r="AE75" s="54" t="str">
        <f>IF(OR(Q75="",AA75="Yes"),"",IF(Q75='G-1 All Habitats'!$X$9,E75-U75-V75,"None"))</f>
        <v/>
      </c>
      <c r="AF75" s="55" t="str">
        <f>IF(Q75="","",IF(Q75='G-1 All Habitats'!$X$9,AE75*G75*I75*L75*N75*P75,"None"))</f>
        <v/>
      </c>
      <c r="AI75" s="30">
        <f t="shared" si="16" ref="AI75:AI138">IFERROR(IF(U75+V75&gt;E75,1,0),"")</f>
        <v>0</v>
      </c>
      <c r="AJ75" s="107" t="str">
        <f t="shared" si="17" ref="AJ75:AJ138">IF(D75="","",IF(U75&gt;0,TRUE,FALSE))</f>
        <v/>
      </c>
      <c r="AK75" s="107" t="str">
        <f t="shared" si="18" ref="AK75:AK138">IF(D75="","",IF(V75&gt;0,TRUE,FALSE))</f>
        <v/>
      </c>
      <c r="AM75" s="107">
        <v>66</v>
      </c>
      <c r="AO75" s="107" t="str">
        <f t="array" ref="AO75">IFERROR(INDEX($AM$10:$AM$258,MATCH(0,IF(TRUE=$AJ$10:$AJ$258,COUNTIF($AO$9:$AO74,$AM$10:$AM$258),""),0)),"")</f>
        <v/>
      </c>
      <c r="AP75" s="107" t="str">
        <f t="array" ref="AP75">IFERROR(INDEX($AM$10:$AM$258,MATCH(0,IF(TRUE=$AK$10:$AK$258,COUNTIF($AP$9:$AP74,$AM$10:$AM$258),""),0)),"")</f>
        <v/>
      </c>
      <c r="AR75" s="30" t="str">
        <f>IFERROR(INDEX('G-7 WaterC'' Data'!$AZ$3:$AZ$7,MATCH(D75,'G-7 WaterC'' Data'!$AY$3:$AY$7,0)),"")</f>
        <v/>
      </c>
      <c r="AS75" s="30" t="str">
        <f>IFERROR(INDEX('G-7 WaterC'' Data'!AZ75:AZ79,MATCH(D75,'G-7 WaterC'' Data'!$AY$10:$AY$14,0)),"")</f>
        <v/>
      </c>
      <c r="AT75" s="885" t="str">
        <f>IF(AND(OR(AA75="Yes",AA75="Pending"),Q75='G-7 WaterC'' Data'!$G$4),R75-W75-X75,"")</f>
        <v/>
      </c>
      <c r="AU75" s="30" t="str">
        <f>IF(D75="","",VLOOKUP(D75,'G-7 WaterC'' Data'!B$4:M$8,12,FALSE))</f>
        <v/>
      </c>
      <c r="AV75" s="30" t="str">
        <f t="shared" si="10"/>
        <v/>
      </c>
      <c r="AX75" s="30" t="str">
        <f t="shared" si="19" ref="AX75:AX138">IF(AND(D75="Ditches",(OR(H75="Fairly Poor",H75="Fairly Good"))),"Yes","No")</f>
        <v>No</v>
      </c>
    </row>
    <row r="76" spans="3:50" ht="14" hidden="1">
      <c r="C76" s="97">
        <v>67</v>
      </c>
      <c r="D76" s="261"/>
      <c r="E76" s="115"/>
      <c r="F76" s="275" t="str">
        <f>IF(D76="","",VLOOKUP(D76,'G-7 WaterC'' Data'!$B$2:$G$8,2,FALSE))</f>
        <v/>
      </c>
      <c r="G76" s="276" t="str">
        <f>IFERROR(VLOOKUP(F76,'G-7 WaterC'' Data'!$C$4:$D$8,2,FALSE),"")</f>
        <v/>
      </c>
      <c r="H76" s="52"/>
      <c r="I76" s="276" t="str">
        <f>IFERROR(INDEX('G-7 WaterC'' Data'!$H$4:$L$8,MATCH(D76,'G-7 WaterC'' Data'!$B$4:$B$8,0),MATCH(H76,'G-7 WaterC'' Data'!$H$3:$L$3,0)),"")</f>
        <v/>
      </c>
      <c r="J76" s="777"/>
      <c r="K76" s="311" t="str">
        <f>IF(J76="","",IF(VLOOKUP(J76,'G-7 WaterC'' Data'!$AK$4:$AM$6,2,FALSE)=0,"Spatial Data Missing ⚠",VLOOKUP(J76,'G-7 WaterC'' Data'!$AK$4:$AM$6,2,FALSE)))</f>
        <v/>
      </c>
      <c r="L76" s="281" t="str">
        <f>IF(J76="","",IF(VLOOKUP(J76,'G-7 WaterC'' Data'!$AK$4:$AM$9,3,FALSE)=0,"Spatial Data Missing ⚠",VLOOKUP(J76,'G-7 WaterC'' Data'!$AK$4:$AM$6,3,FALSE)))</f>
        <v/>
      </c>
      <c r="M76" s="52"/>
      <c r="N76" s="276" t="str">
        <f>IF(M76="","",IF(AND(D76&lt;&gt;"Culvert",M76="N/A - Culvert"),"Not possible ▲",IF(AND(D76="Culvert",M76&lt;&gt;"N/A - Culvert"),"Not possible ▲",IF(VLOOKUP(M76,'G-7 WaterC'' Data'!$AA$4:$AB$7,2,FALSE)=0,"Spatial Data Missing ⚠",VLOOKUP(M76,'G-7 WaterC'' Data'!$AA$4:$AB$7,2,FALSE)))))</f>
        <v/>
      </c>
      <c r="O76" s="56"/>
      <c r="P76" s="276" t="str">
        <f>IF(O76="","",IF(AND(O76="N/A - Culvert",D76&lt;&gt;"Culvert"),"Not possible ▲",IF(AND(D76="Culvert",O76&lt;&gt;"N/A - Culvert"),"Not possible ▲",IF(VLOOKUP(O76,'G-7 WaterC'' Data'!$AD$4:$AE$14,2,FALSE)=0,"Spatial Data Missing ⚠",VLOOKUP(O76,'G-7 WaterC'' Data'!$AD$4:$AE$14,2,FALSE)))))</f>
        <v/>
      </c>
      <c r="Q76" s="282" t="str">
        <f>IF(D76="","",VLOOKUP(D76,'G-7 WaterC'' Data'!$B$2:$G$8,6,FALSE))</f>
        <v/>
      </c>
      <c r="R76" s="289" t="str">
        <f t="shared" si="11"/>
        <v xml:space="preserve"> </v>
      </c>
      <c r="S76" s="803" t="str">
        <f t="shared" si="12"/>
        <v/>
      </c>
      <c r="T76" s="32"/>
      <c r="U76" s="101"/>
      <c r="V76" s="108"/>
      <c r="W76" s="287" t="str">
        <f t="shared" si="13"/>
        <v/>
      </c>
      <c r="X76" s="287" t="str">
        <f t="shared" si="14"/>
        <v/>
      </c>
      <c r="Y76" s="287" t="str">
        <f t="shared" si="15"/>
        <v/>
      </c>
      <c r="Z76" s="317" t="str">
        <f>IFERROR(IF(OR(E76="",R76=""),"",IF(AND(Q76='G-7 WaterC'' Data'!$G$4,AA76="Yes"),"Alternative Compensation ✓",IF(AND(AA76="Pending",Q76='G-7 WaterC'' Data'!$G$4),"Bespoke compensation must be agreed ▲",IF((W76+X76)&gt;=R76,0,R76-W76-X76)))),"Check Data ⚠")</f>
        <v/>
      </c>
      <c r="AA76" s="800"/>
      <c r="AB76" s="136"/>
      <c r="AC76" s="104"/>
      <c r="AD76" s="104"/>
      <c r="AE76" s="54" t="str">
        <f>IF(OR(Q76="",AA76="Yes"),"",IF(Q76='G-1 All Habitats'!$X$9,E76-U76-V76,"None"))</f>
        <v/>
      </c>
      <c r="AF76" s="55" t="str">
        <f>IF(Q76="","",IF(Q76='G-1 All Habitats'!$X$9,AE76*G76*I76*L76*N76*P76,"None"))</f>
        <v/>
      </c>
      <c r="AI76" s="30">
        <f t="shared" si="16"/>
        <v>0</v>
      </c>
      <c r="AJ76" s="107" t="str">
        <f t="shared" si="17"/>
        <v/>
      </c>
      <c r="AK76" s="107" t="str">
        <f t="shared" si="18"/>
        <v/>
      </c>
      <c r="AM76" s="107">
        <v>67</v>
      </c>
      <c r="AO76" s="107" t="str">
        <f t="array" ref="AO76">IFERROR(INDEX($AM$10:$AM$258,MATCH(0,IF(TRUE=$AJ$10:$AJ$258,COUNTIF($AO$9:$AO75,$AM$10:$AM$258),""),0)),"")</f>
        <v/>
      </c>
      <c r="AP76" s="107" t="str">
        <f t="array" ref="AP76">IFERROR(INDEX($AM$10:$AM$258,MATCH(0,IF(TRUE=$AK$10:$AK$258,COUNTIF($AP$9:$AP75,$AM$10:$AM$258),""),0)),"")</f>
        <v/>
      </c>
      <c r="AR76" s="30" t="str">
        <f>IFERROR(INDEX('G-7 WaterC'' Data'!$AZ$3:$AZ$7,MATCH(D76,'G-7 WaterC'' Data'!$AY$3:$AY$7,0)),"")</f>
        <v/>
      </c>
      <c r="AS76" s="30" t="str">
        <f>IFERROR(INDEX('G-7 WaterC'' Data'!AZ76:AZ80,MATCH(D76,'G-7 WaterC'' Data'!$AY$10:$AY$14,0)),"")</f>
        <v/>
      </c>
      <c r="AT76" s="885" t="str">
        <f>IF(AND(OR(AA76="Yes",AA76="Pending"),Q76='G-7 WaterC'' Data'!$G$4),R76-W76-X76,"")</f>
        <v/>
      </c>
      <c r="AU76" s="30" t="str">
        <f>IF(D76="","",VLOOKUP(D76,'G-7 WaterC'' Data'!B$4:M$8,12,FALSE))</f>
        <v/>
      </c>
      <c r="AV76" s="30" t="str">
        <f t="shared" si="10"/>
        <v/>
      </c>
      <c r="AX76" s="30" t="str">
        <f t="shared" si="19"/>
        <v>No</v>
      </c>
    </row>
    <row r="77" spans="3:50" ht="14" hidden="1">
      <c r="C77" s="97">
        <v>68</v>
      </c>
      <c r="D77" s="261"/>
      <c r="E77" s="115"/>
      <c r="F77" s="275" t="str">
        <f>IF(D77="","",VLOOKUP(D77,'G-7 WaterC'' Data'!$B$2:$G$8,2,FALSE))</f>
        <v/>
      </c>
      <c r="G77" s="276" t="str">
        <f>IFERROR(VLOOKUP(F77,'G-7 WaterC'' Data'!$C$4:$D$8,2,FALSE),"")</f>
        <v/>
      </c>
      <c r="H77" s="52"/>
      <c r="I77" s="276" t="str">
        <f>IFERROR(INDEX('G-7 WaterC'' Data'!$H$4:$L$8,MATCH(D77,'G-7 WaterC'' Data'!$B$4:$B$8,0),MATCH(H77,'G-7 WaterC'' Data'!$H$3:$L$3,0)),"")</f>
        <v/>
      </c>
      <c r="J77" s="777"/>
      <c r="K77" s="311" t="str">
        <f>IF(J77="","",IF(VLOOKUP(J77,'G-7 WaterC'' Data'!$AK$4:$AM$6,2,FALSE)=0,"Spatial Data Missing ⚠",VLOOKUP(J77,'G-7 WaterC'' Data'!$AK$4:$AM$6,2,FALSE)))</f>
        <v/>
      </c>
      <c r="L77" s="281" t="str">
        <f>IF(J77="","",IF(VLOOKUP(J77,'G-7 WaterC'' Data'!$AK$4:$AM$9,3,FALSE)=0,"Spatial Data Missing ⚠",VLOOKUP(J77,'G-7 WaterC'' Data'!$AK$4:$AM$6,3,FALSE)))</f>
        <v/>
      </c>
      <c r="M77" s="52"/>
      <c r="N77" s="276" t="str">
        <f>IF(M77="","",IF(AND(D77&lt;&gt;"Culvert",M77="N/A - Culvert"),"Not possible ▲",IF(AND(D77="Culvert",M77&lt;&gt;"N/A - Culvert"),"Not possible ▲",IF(VLOOKUP(M77,'G-7 WaterC'' Data'!$AA$4:$AB$7,2,FALSE)=0,"Spatial Data Missing ⚠",VLOOKUP(M77,'G-7 WaterC'' Data'!$AA$4:$AB$7,2,FALSE)))))</f>
        <v/>
      </c>
      <c r="O77" s="56"/>
      <c r="P77" s="276" t="str">
        <f>IF(O77="","",IF(AND(O77="N/A - Culvert",D77&lt;&gt;"Culvert"),"Not possible ▲",IF(AND(D77="Culvert",O77&lt;&gt;"N/A - Culvert"),"Not possible ▲",IF(VLOOKUP(O77,'G-7 WaterC'' Data'!$AD$4:$AE$14,2,FALSE)=0,"Spatial Data Missing ⚠",VLOOKUP(O77,'G-7 WaterC'' Data'!$AD$4:$AE$14,2,FALSE)))))</f>
        <v/>
      </c>
      <c r="Q77" s="282" t="str">
        <f>IF(D77="","",VLOOKUP(D77,'G-7 WaterC'' Data'!$B$2:$G$8,6,FALSE))</f>
        <v/>
      </c>
      <c r="R77" s="289" t="str">
        <f t="shared" si="11"/>
        <v xml:space="preserve"> </v>
      </c>
      <c r="S77" s="803" t="str">
        <f t="shared" si="12"/>
        <v/>
      </c>
      <c r="T77" s="32"/>
      <c r="U77" s="101"/>
      <c r="V77" s="108"/>
      <c r="W77" s="287" t="str">
        <f t="shared" si="13"/>
        <v/>
      </c>
      <c r="X77" s="287" t="str">
        <f t="shared" si="14"/>
        <v/>
      </c>
      <c r="Y77" s="287" t="str">
        <f t="shared" si="15"/>
        <v/>
      </c>
      <c r="Z77" s="317" t="str">
        <f>IFERROR(IF(OR(E77="",R77=""),"",IF(AND(Q77='G-7 WaterC'' Data'!$G$4,AA77="Yes"),"Alternative Compensation ✓",IF(AND(AA77="Pending",Q77='G-7 WaterC'' Data'!$G$4),"Bespoke compensation must be agreed ▲",IF((W77+X77)&gt;=R77,0,R77-W77-X77)))),"Check Data ⚠")</f>
        <v/>
      </c>
      <c r="AA77" s="800"/>
      <c r="AB77" s="136"/>
      <c r="AC77" s="104"/>
      <c r="AD77" s="104"/>
      <c r="AE77" s="54" t="str">
        <f>IF(OR(Q77="",AA77="Yes"),"",IF(Q77='G-1 All Habitats'!$X$9,E77-U77-V77,"None"))</f>
        <v/>
      </c>
      <c r="AF77" s="55" t="str">
        <f>IF(Q77="","",IF(Q77='G-1 All Habitats'!$X$9,AE77*G77*I77*L77*N77*P77,"None"))</f>
        <v/>
      </c>
      <c r="AI77" s="30">
        <f t="shared" si="16"/>
        <v>0</v>
      </c>
      <c r="AJ77" s="107" t="str">
        <f t="shared" si="17"/>
        <v/>
      </c>
      <c r="AK77" s="107" t="str">
        <f t="shared" si="18"/>
        <v/>
      </c>
      <c r="AM77" s="107">
        <v>68</v>
      </c>
      <c r="AO77" s="107" t="str">
        <f t="array" ref="AO77">IFERROR(INDEX($AM$10:$AM$258,MATCH(0,IF(TRUE=$AJ$10:$AJ$258,COUNTIF($AO$9:$AO76,$AM$10:$AM$258),""),0)),"")</f>
        <v/>
      </c>
      <c r="AP77" s="107" t="str">
        <f t="array" ref="AP77">IFERROR(INDEX($AM$10:$AM$258,MATCH(0,IF(TRUE=$AK$10:$AK$258,COUNTIF($AP$9:$AP76,$AM$10:$AM$258),""),0)),"")</f>
        <v/>
      </c>
      <c r="AR77" s="30" t="str">
        <f>IFERROR(INDEX('G-7 WaterC'' Data'!$AZ$3:$AZ$7,MATCH(D77,'G-7 WaterC'' Data'!$AY$3:$AY$7,0)),"")</f>
        <v/>
      </c>
      <c r="AS77" s="30" t="str">
        <f>IFERROR(INDEX('G-7 WaterC'' Data'!AZ77:AZ81,MATCH(D77,'G-7 WaterC'' Data'!$AY$10:$AY$14,0)),"")</f>
        <v/>
      </c>
      <c r="AT77" s="885" t="str">
        <f>IF(AND(OR(AA77="Yes",AA77="Pending"),Q77='G-7 WaterC'' Data'!$G$4),R77-W77-X77,"")</f>
        <v/>
      </c>
      <c r="AU77" s="30" t="str">
        <f>IF(D77="","",VLOOKUP(D77,'G-7 WaterC'' Data'!B$4:M$8,12,FALSE))</f>
        <v/>
      </c>
      <c r="AV77" s="30" t="str">
        <f t="shared" si="10"/>
        <v/>
      </c>
      <c r="AX77" s="30" t="str">
        <f t="shared" si="19"/>
        <v>No</v>
      </c>
    </row>
    <row r="78" spans="3:50" ht="14" hidden="1">
      <c r="C78" s="97">
        <v>69</v>
      </c>
      <c r="D78" s="261"/>
      <c r="E78" s="115"/>
      <c r="F78" s="275" t="str">
        <f>IF(D78="","",VLOOKUP(D78,'G-7 WaterC'' Data'!$B$2:$G$8,2,FALSE))</f>
        <v/>
      </c>
      <c r="G78" s="276" t="str">
        <f>IFERROR(VLOOKUP(F78,'G-7 WaterC'' Data'!$C$4:$D$8,2,FALSE),"")</f>
        <v/>
      </c>
      <c r="H78" s="52"/>
      <c r="I78" s="276" t="str">
        <f>IFERROR(INDEX('G-7 WaterC'' Data'!$H$4:$L$8,MATCH(D78,'G-7 WaterC'' Data'!$B$4:$B$8,0),MATCH(H78,'G-7 WaterC'' Data'!$H$3:$L$3,0)),"")</f>
        <v/>
      </c>
      <c r="J78" s="777"/>
      <c r="K78" s="311" t="str">
        <f>IF(J78="","",IF(VLOOKUP(J78,'G-7 WaterC'' Data'!$AK$4:$AM$6,2,FALSE)=0,"Spatial Data Missing ⚠",VLOOKUP(J78,'G-7 WaterC'' Data'!$AK$4:$AM$6,2,FALSE)))</f>
        <v/>
      </c>
      <c r="L78" s="281" t="str">
        <f>IF(J78="","",IF(VLOOKUP(J78,'G-7 WaterC'' Data'!$AK$4:$AM$9,3,FALSE)=0,"Spatial Data Missing ⚠",VLOOKUP(J78,'G-7 WaterC'' Data'!$AK$4:$AM$6,3,FALSE)))</f>
        <v/>
      </c>
      <c r="M78" s="52"/>
      <c r="N78" s="276" t="str">
        <f>IF(M78="","",IF(AND(D78&lt;&gt;"Culvert",M78="N/A - Culvert"),"Not possible ▲",IF(AND(D78="Culvert",M78&lt;&gt;"N/A - Culvert"),"Not possible ▲",IF(VLOOKUP(M78,'G-7 WaterC'' Data'!$AA$4:$AB$7,2,FALSE)=0,"Spatial Data Missing ⚠",VLOOKUP(M78,'G-7 WaterC'' Data'!$AA$4:$AB$7,2,FALSE)))))</f>
        <v/>
      </c>
      <c r="O78" s="56"/>
      <c r="P78" s="276" t="str">
        <f>IF(O78="","",IF(AND(O78="N/A - Culvert",D78&lt;&gt;"Culvert"),"Not possible ▲",IF(AND(D78="Culvert",O78&lt;&gt;"N/A - Culvert"),"Not possible ▲",IF(VLOOKUP(O78,'G-7 WaterC'' Data'!$AD$4:$AE$14,2,FALSE)=0,"Spatial Data Missing ⚠",VLOOKUP(O78,'G-7 WaterC'' Data'!$AD$4:$AE$14,2,FALSE)))))</f>
        <v/>
      </c>
      <c r="Q78" s="282" t="str">
        <f>IF(D78="","",VLOOKUP(D78,'G-7 WaterC'' Data'!$B$2:$G$8,6,FALSE))</f>
        <v/>
      </c>
      <c r="R78" s="289" t="str">
        <f t="shared" si="11"/>
        <v xml:space="preserve"> </v>
      </c>
      <c r="S78" s="803" t="str">
        <f t="shared" si="12"/>
        <v/>
      </c>
      <c r="T78" s="32"/>
      <c r="U78" s="101"/>
      <c r="V78" s="108"/>
      <c r="W78" s="287" t="str">
        <f t="shared" si="13"/>
        <v/>
      </c>
      <c r="X78" s="287" t="str">
        <f t="shared" si="14"/>
        <v/>
      </c>
      <c r="Y78" s="287" t="str">
        <f t="shared" si="15"/>
        <v/>
      </c>
      <c r="Z78" s="317" t="str">
        <f>IFERROR(IF(OR(E78="",R78=""),"",IF(AND(Q78='G-7 WaterC'' Data'!$G$4,AA78="Yes"),"Alternative Compensation ✓",IF(AND(AA78="Pending",Q78='G-7 WaterC'' Data'!$G$4),"Bespoke compensation must be agreed ▲",IF((W78+X78)&gt;=R78,0,R78-W78-X78)))),"Check Data ⚠")</f>
        <v/>
      </c>
      <c r="AA78" s="800"/>
      <c r="AB78" s="136"/>
      <c r="AC78" s="104"/>
      <c r="AD78" s="104"/>
      <c r="AE78" s="54" t="str">
        <f>IF(OR(Q78="",AA78="Yes"),"",IF(Q78='G-1 All Habitats'!$X$9,E78-U78-V78,"None"))</f>
        <v/>
      </c>
      <c r="AF78" s="55" t="str">
        <f>IF(Q78="","",IF(Q78='G-1 All Habitats'!$X$9,AE78*G78*I78*L78*N78*P78,"None"))</f>
        <v/>
      </c>
      <c r="AI78" s="30">
        <f t="shared" si="16"/>
        <v>0</v>
      </c>
      <c r="AJ78" s="107" t="str">
        <f t="shared" si="17"/>
        <v/>
      </c>
      <c r="AK78" s="107" t="str">
        <f t="shared" si="18"/>
        <v/>
      </c>
      <c r="AM78" s="107">
        <v>69</v>
      </c>
      <c r="AO78" s="107" t="str">
        <f t="array" ref="AO78">IFERROR(INDEX($AM$10:$AM$258,MATCH(0,IF(TRUE=$AJ$10:$AJ$258,COUNTIF($AO$9:$AO77,$AM$10:$AM$258),""),0)),"")</f>
        <v/>
      </c>
      <c r="AP78" s="107" t="str">
        <f t="array" ref="AP78">IFERROR(INDEX($AM$10:$AM$258,MATCH(0,IF(TRUE=$AK$10:$AK$258,COUNTIF($AP$9:$AP77,$AM$10:$AM$258),""),0)),"")</f>
        <v/>
      </c>
      <c r="AR78" s="30" t="str">
        <f>IFERROR(INDEX('G-7 WaterC'' Data'!$AZ$3:$AZ$7,MATCH(D78,'G-7 WaterC'' Data'!$AY$3:$AY$7,0)),"")</f>
        <v/>
      </c>
      <c r="AS78" s="30" t="str">
        <f>IFERROR(INDEX('G-7 WaterC'' Data'!AZ78:AZ82,MATCH(D78,'G-7 WaterC'' Data'!$AY$10:$AY$14,0)),"")</f>
        <v/>
      </c>
      <c r="AT78" s="885" t="str">
        <f>IF(AND(OR(AA78="Yes",AA78="Pending"),Q78='G-7 WaterC'' Data'!$G$4),R78-W78-X78,"")</f>
        <v/>
      </c>
      <c r="AU78" s="30" t="str">
        <f>IF(D78="","",VLOOKUP(D78,'G-7 WaterC'' Data'!B$4:M$8,12,FALSE))</f>
        <v/>
      </c>
      <c r="AV78" s="30" t="str">
        <f t="shared" si="10"/>
        <v/>
      </c>
      <c r="AX78" s="30" t="str">
        <f t="shared" si="19"/>
        <v>No</v>
      </c>
    </row>
    <row r="79" spans="3:50" ht="14" hidden="1">
      <c r="C79" s="97">
        <v>70</v>
      </c>
      <c r="D79" s="261"/>
      <c r="E79" s="115"/>
      <c r="F79" s="275" t="str">
        <f>IF(D79="","",VLOOKUP(D79,'G-7 WaterC'' Data'!$B$2:$G$8,2,FALSE))</f>
        <v/>
      </c>
      <c r="G79" s="276" t="str">
        <f>IFERROR(VLOOKUP(F79,'G-7 WaterC'' Data'!$C$4:$D$8,2,FALSE),"")</f>
        <v/>
      </c>
      <c r="H79" s="52"/>
      <c r="I79" s="276" t="str">
        <f>IFERROR(INDEX('G-7 WaterC'' Data'!$H$4:$L$8,MATCH(D79,'G-7 WaterC'' Data'!$B$4:$B$8,0),MATCH(H79,'G-7 WaterC'' Data'!$H$3:$L$3,0)),"")</f>
        <v/>
      </c>
      <c r="J79" s="777"/>
      <c r="K79" s="311" t="str">
        <f>IF(J79="","",IF(VLOOKUP(J79,'G-7 WaterC'' Data'!$AK$4:$AM$6,2,FALSE)=0,"Spatial Data Missing ⚠",VLOOKUP(J79,'G-7 WaterC'' Data'!$AK$4:$AM$6,2,FALSE)))</f>
        <v/>
      </c>
      <c r="L79" s="281" t="str">
        <f>IF(J79="","",IF(VLOOKUP(J79,'G-7 WaterC'' Data'!$AK$4:$AM$9,3,FALSE)=0,"Spatial Data Missing ⚠",VLOOKUP(J79,'G-7 WaterC'' Data'!$AK$4:$AM$6,3,FALSE)))</f>
        <v/>
      </c>
      <c r="M79" s="52"/>
      <c r="N79" s="276" t="str">
        <f>IF(M79="","",IF(AND(D79&lt;&gt;"Culvert",M79="N/A - Culvert"),"Not possible ▲",IF(AND(D79="Culvert",M79&lt;&gt;"N/A - Culvert"),"Not possible ▲",IF(VLOOKUP(M79,'G-7 WaterC'' Data'!$AA$4:$AB$7,2,FALSE)=0,"Spatial Data Missing ⚠",VLOOKUP(M79,'G-7 WaterC'' Data'!$AA$4:$AB$7,2,FALSE)))))</f>
        <v/>
      </c>
      <c r="O79" s="56"/>
      <c r="P79" s="276" t="str">
        <f>IF(O79="","",IF(AND(O79="N/A - Culvert",D79&lt;&gt;"Culvert"),"Not possible ▲",IF(AND(D79="Culvert",O79&lt;&gt;"N/A - Culvert"),"Not possible ▲",IF(VLOOKUP(O79,'G-7 WaterC'' Data'!$AD$4:$AE$14,2,FALSE)=0,"Spatial Data Missing ⚠",VLOOKUP(O79,'G-7 WaterC'' Data'!$AD$4:$AE$14,2,FALSE)))))</f>
        <v/>
      </c>
      <c r="Q79" s="282" t="str">
        <f>IF(D79="","",VLOOKUP(D79,'G-7 WaterC'' Data'!$B$2:$G$8,6,FALSE))</f>
        <v/>
      </c>
      <c r="R79" s="289" t="str">
        <f t="shared" si="11"/>
        <v xml:space="preserve"> </v>
      </c>
      <c r="S79" s="803" t="str">
        <f t="shared" si="12"/>
        <v/>
      </c>
      <c r="T79" s="32"/>
      <c r="U79" s="101"/>
      <c r="V79" s="108"/>
      <c r="W79" s="287" t="str">
        <f t="shared" si="13"/>
        <v/>
      </c>
      <c r="X79" s="287" t="str">
        <f t="shared" si="14"/>
        <v/>
      </c>
      <c r="Y79" s="287" t="str">
        <f t="shared" si="15"/>
        <v/>
      </c>
      <c r="Z79" s="317" t="str">
        <f>IFERROR(IF(OR(E79="",R79=""),"",IF(AND(Q79='G-7 WaterC'' Data'!$G$4,AA79="Yes"),"Alternative Compensation ✓",IF(AND(AA79="Pending",Q79='G-7 WaterC'' Data'!$G$4),"Bespoke compensation must be agreed ▲",IF((W79+X79)&gt;=R79,0,R79-W79-X79)))),"Check Data ⚠")</f>
        <v/>
      </c>
      <c r="AA79" s="800"/>
      <c r="AB79" s="136"/>
      <c r="AC79" s="104"/>
      <c r="AD79" s="104"/>
      <c r="AE79" s="54" t="str">
        <f>IF(OR(Q79="",AA79="Yes"),"",IF(Q79='G-1 All Habitats'!$X$9,E79-U79-V79,"None"))</f>
        <v/>
      </c>
      <c r="AF79" s="55" t="str">
        <f>IF(Q79="","",IF(Q79='G-1 All Habitats'!$X$9,AE79*G79*I79*L79*N79*P79,"None"))</f>
        <v/>
      </c>
      <c r="AI79" s="30">
        <f t="shared" si="16"/>
        <v>0</v>
      </c>
      <c r="AJ79" s="107" t="str">
        <f t="shared" si="17"/>
        <v/>
      </c>
      <c r="AK79" s="107" t="str">
        <f t="shared" si="18"/>
        <v/>
      </c>
      <c r="AM79" s="107">
        <v>70</v>
      </c>
      <c r="AO79" s="107" t="str">
        <f t="array" ref="AO79">IFERROR(INDEX($AM$10:$AM$258,MATCH(0,IF(TRUE=$AJ$10:$AJ$258,COUNTIF($AO$9:$AO78,$AM$10:$AM$258),""),0)),"")</f>
        <v/>
      </c>
      <c r="AP79" s="107" t="str">
        <f t="array" ref="AP79">IFERROR(INDEX($AM$10:$AM$258,MATCH(0,IF(TRUE=$AK$10:$AK$258,COUNTIF($AP$9:$AP78,$AM$10:$AM$258),""),0)),"")</f>
        <v/>
      </c>
      <c r="AR79" s="30" t="str">
        <f>IFERROR(INDEX('G-7 WaterC'' Data'!$AZ$3:$AZ$7,MATCH(D79,'G-7 WaterC'' Data'!$AY$3:$AY$7,0)),"")</f>
        <v/>
      </c>
      <c r="AS79" s="30" t="str">
        <f>IFERROR(INDEX('G-7 WaterC'' Data'!AZ79:AZ83,MATCH(D79,'G-7 WaterC'' Data'!$AY$10:$AY$14,0)),"")</f>
        <v/>
      </c>
      <c r="AT79" s="885" t="str">
        <f>IF(AND(OR(AA79="Yes",AA79="Pending"),Q79='G-7 WaterC'' Data'!$G$4),R79-W79-X79,"")</f>
        <v/>
      </c>
      <c r="AU79" s="30" t="str">
        <f>IF(D79="","",VLOOKUP(D79,'G-7 WaterC'' Data'!B$4:M$8,12,FALSE))</f>
        <v/>
      </c>
      <c r="AV79" s="30" t="str">
        <f t="shared" si="10"/>
        <v/>
      </c>
      <c r="AX79" s="30" t="str">
        <f t="shared" si="19"/>
        <v>No</v>
      </c>
    </row>
    <row r="80" spans="3:50" ht="14" hidden="1">
      <c r="C80" s="97">
        <v>71</v>
      </c>
      <c r="D80" s="261"/>
      <c r="E80" s="115"/>
      <c r="F80" s="275" t="str">
        <f>IF(D80="","",VLOOKUP(D80,'G-7 WaterC'' Data'!$B$2:$G$8,2,FALSE))</f>
        <v/>
      </c>
      <c r="G80" s="276" t="str">
        <f>IFERROR(VLOOKUP(F80,'G-7 WaterC'' Data'!$C$4:$D$8,2,FALSE),"")</f>
        <v/>
      </c>
      <c r="H80" s="52"/>
      <c r="I80" s="276" t="str">
        <f>IFERROR(INDEX('G-7 WaterC'' Data'!$H$4:$L$8,MATCH(D80,'G-7 WaterC'' Data'!$B$4:$B$8,0),MATCH(H80,'G-7 WaterC'' Data'!$H$3:$L$3,0)),"")</f>
        <v/>
      </c>
      <c r="J80" s="777"/>
      <c r="K80" s="311" t="str">
        <f>IF(J80="","",IF(VLOOKUP(J80,'G-7 WaterC'' Data'!$AK$4:$AM$6,2,FALSE)=0,"Spatial Data Missing ⚠",VLOOKUP(J80,'G-7 WaterC'' Data'!$AK$4:$AM$6,2,FALSE)))</f>
        <v/>
      </c>
      <c r="L80" s="281" t="str">
        <f>IF(J80="","",IF(VLOOKUP(J80,'G-7 WaterC'' Data'!$AK$4:$AM$9,3,FALSE)=0,"Spatial Data Missing ⚠",VLOOKUP(J80,'G-7 WaterC'' Data'!$AK$4:$AM$6,3,FALSE)))</f>
        <v/>
      </c>
      <c r="M80" s="52"/>
      <c r="N80" s="276" t="str">
        <f>IF(M80="","",IF(AND(D80&lt;&gt;"Culvert",M80="N/A - Culvert"),"Not possible ▲",IF(AND(D80="Culvert",M80&lt;&gt;"N/A - Culvert"),"Not possible ▲",IF(VLOOKUP(M80,'G-7 WaterC'' Data'!$AA$4:$AB$7,2,FALSE)=0,"Spatial Data Missing ⚠",VLOOKUP(M80,'G-7 WaterC'' Data'!$AA$4:$AB$7,2,FALSE)))))</f>
        <v/>
      </c>
      <c r="O80" s="56"/>
      <c r="P80" s="276" t="str">
        <f>IF(O80="","",IF(AND(O80="N/A - Culvert",D80&lt;&gt;"Culvert"),"Not possible ▲",IF(AND(D80="Culvert",O80&lt;&gt;"N/A - Culvert"),"Not possible ▲",IF(VLOOKUP(O80,'G-7 WaterC'' Data'!$AD$4:$AE$14,2,FALSE)=0,"Spatial Data Missing ⚠",VLOOKUP(O80,'G-7 WaterC'' Data'!$AD$4:$AE$14,2,FALSE)))))</f>
        <v/>
      </c>
      <c r="Q80" s="282" t="str">
        <f>IF(D80="","",VLOOKUP(D80,'G-7 WaterC'' Data'!$B$2:$G$8,6,FALSE))</f>
        <v/>
      </c>
      <c r="R80" s="289" t="str">
        <f t="shared" si="11"/>
        <v xml:space="preserve"> </v>
      </c>
      <c r="S80" s="803" t="str">
        <f t="shared" si="12"/>
        <v/>
      </c>
      <c r="T80" s="32"/>
      <c r="U80" s="101"/>
      <c r="V80" s="108"/>
      <c r="W80" s="287" t="str">
        <f t="shared" si="13"/>
        <v/>
      </c>
      <c r="X80" s="287" t="str">
        <f t="shared" si="14"/>
        <v/>
      </c>
      <c r="Y80" s="287" t="str">
        <f t="shared" si="15"/>
        <v/>
      </c>
      <c r="Z80" s="317" t="str">
        <f>IFERROR(IF(OR(E80="",R80=""),"",IF(AND(Q80='G-7 WaterC'' Data'!$G$4,AA80="Yes"),"Alternative Compensation ✓",IF(AND(AA80="Pending",Q80='G-7 WaterC'' Data'!$G$4),"Bespoke compensation must be agreed ▲",IF((W80+X80)&gt;=R80,0,R80-W80-X80)))),"Check Data ⚠")</f>
        <v/>
      </c>
      <c r="AA80" s="800"/>
      <c r="AB80" s="136"/>
      <c r="AC80" s="104"/>
      <c r="AD80" s="104"/>
      <c r="AE80" s="54" t="str">
        <f>IF(OR(Q80="",AA80="Yes"),"",IF(Q80='G-1 All Habitats'!$X$9,E80-U80-V80,"None"))</f>
        <v/>
      </c>
      <c r="AF80" s="55" t="str">
        <f>IF(Q80="","",IF(Q80='G-1 All Habitats'!$X$9,AE80*G80*I80*L80*N80*P80,"None"))</f>
        <v/>
      </c>
      <c r="AI80" s="30">
        <f t="shared" si="16"/>
        <v>0</v>
      </c>
      <c r="AJ80" s="107" t="str">
        <f t="shared" si="17"/>
        <v/>
      </c>
      <c r="AK80" s="107" t="str">
        <f t="shared" si="18"/>
        <v/>
      </c>
      <c r="AM80" s="107">
        <v>71</v>
      </c>
      <c r="AO80" s="107" t="str">
        <f t="array" ref="AO80">IFERROR(INDEX($AM$10:$AM$258,MATCH(0,IF(TRUE=$AJ$10:$AJ$258,COUNTIF($AO$9:$AO79,$AM$10:$AM$258),""),0)),"")</f>
        <v/>
      </c>
      <c r="AP80" s="107" t="str">
        <f t="array" ref="AP80">IFERROR(INDEX($AM$10:$AM$258,MATCH(0,IF(TRUE=$AK$10:$AK$258,COUNTIF($AP$9:$AP79,$AM$10:$AM$258),""),0)),"")</f>
        <v/>
      </c>
      <c r="AR80" s="30" t="str">
        <f>IFERROR(INDEX('G-7 WaterC'' Data'!$AZ$3:$AZ$7,MATCH(D80,'G-7 WaterC'' Data'!$AY$3:$AY$7,0)),"")</f>
        <v/>
      </c>
      <c r="AS80" s="30" t="str">
        <f>IFERROR(INDEX('G-7 WaterC'' Data'!AZ80:AZ84,MATCH(D80,'G-7 WaterC'' Data'!$AY$10:$AY$14,0)),"")</f>
        <v/>
      </c>
      <c r="AT80" s="885" t="str">
        <f>IF(AND(OR(AA80="Yes",AA80="Pending"),Q80='G-7 WaterC'' Data'!$G$4),R80-W80-X80,"")</f>
        <v/>
      </c>
      <c r="AU80" s="30" t="str">
        <f>IF(D80="","",VLOOKUP(D80,'G-7 WaterC'' Data'!B$4:M$8,12,FALSE))</f>
        <v/>
      </c>
      <c r="AV80" s="30" t="str">
        <f t="shared" si="10"/>
        <v/>
      </c>
      <c r="AX80" s="30" t="str">
        <f t="shared" si="19"/>
        <v>No</v>
      </c>
    </row>
    <row r="81" spans="3:50" ht="14" hidden="1">
      <c r="C81" s="97">
        <v>72</v>
      </c>
      <c r="D81" s="261"/>
      <c r="E81" s="115"/>
      <c r="F81" s="275" t="str">
        <f>IF(D81="","",VLOOKUP(D81,'G-7 WaterC'' Data'!$B$2:$G$8,2,FALSE))</f>
        <v/>
      </c>
      <c r="G81" s="276" t="str">
        <f>IFERROR(VLOOKUP(F81,'G-7 WaterC'' Data'!$C$4:$D$8,2,FALSE),"")</f>
        <v/>
      </c>
      <c r="H81" s="52"/>
      <c r="I81" s="276" t="str">
        <f>IFERROR(INDEX('G-7 WaterC'' Data'!$H$4:$L$8,MATCH(D81,'G-7 WaterC'' Data'!$B$4:$B$8,0),MATCH(H81,'G-7 WaterC'' Data'!$H$3:$L$3,0)),"")</f>
        <v/>
      </c>
      <c r="J81" s="777"/>
      <c r="K81" s="311" t="str">
        <f>IF(J81="","",IF(VLOOKUP(J81,'G-7 WaterC'' Data'!$AK$4:$AM$6,2,FALSE)=0,"Spatial Data Missing ⚠",VLOOKUP(J81,'G-7 WaterC'' Data'!$AK$4:$AM$6,2,FALSE)))</f>
        <v/>
      </c>
      <c r="L81" s="281" t="str">
        <f>IF(J81="","",IF(VLOOKUP(J81,'G-7 WaterC'' Data'!$AK$4:$AM$9,3,FALSE)=0,"Spatial Data Missing ⚠",VLOOKUP(J81,'G-7 WaterC'' Data'!$AK$4:$AM$6,3,FALSE)))</f>
        <v/>
      </c>
      <c r="M81" s="52"/>
      <c r="N81" s="276" t="str">
        <f>IF(M81="","",IF(AND(D81&lt;&gt;"Culvert",M81="N/A - Culvert"),"Not possible ▲",IF(AND(D81="Culvert",M81&lt;&gt;"N/A - Culvert"),"Not possible ▲",IF(VLOOKUP(M81,'G-7 WaterC'' Data'!$AA$4:$AB$7,2,FALSE)=0,"Spatial Data Missing ⚠",VLOOKUP(M81,'G-7 WaterC'' Data'!$AA$4:$AB$7,2,FALSE)))))</f>
        <v/>
      </c>
      <c r="O81" s="56"/>
      <c r="P81" s="276" t="str">
        <f>IF(O81="","",IF(AND(O81="N/A - Culvert",D81&lt;&gt;"Culvert"),"Not possible ▲",IF(AND(D81="Culvert",O81&lt;&gt;"N/A - Culvert"),"Not possible ▲",IF(VLOOKUP(O81,'G-7 WaterC'' Data'!$AD$4:$AE$14,2,FALSE)=0,"Spatial Data Missing ⚠",VLOOKUP(O81,'G-7 WaterC'' Data'!$AD$4:$AE$14,2,FALSE)))))</f>
        <v/>
      </c>
      <c r="Q81" s="282" t="str">
        <f>IF(D81="","",VLOOKUP(D81,'G-7 WaterC'' Data'!$B$2:$G$8,6,FALSE))</f>
        <v/>
      </c>
      <c r="R81" s="289" t="str">
        <f t="shared" si="11"/>
        <v xml:space="preserve"> </v>
      </c>
      <c r="S81" s="803" t="str">
        <f t="shared" si="12"/>
        <v/>
      </c>
      <c r="T81" s="32"/>
      <c r="U81" s="101"/>
      <c r="V81" s="108"/>
      <c r="W81" s="287" t="str">
        <f t="shared" si="13"/>
        <v/>
      </c>
      <c r="X81" s="287" t="str">
        <f t="shared" si="14"/>
        <v/>
      </c>
      <c r="Y81" s="287" t="str">
        <f t="shared" si="15"/>
        <v/>
      </c>
      <c r="Z81" s="317" t="str">
        <f>IFERROR(IF(OR(E81="",R81=""),"",IF(AND(Q81='G-7 WaterC'' Data'!$G$4,AA81="Yes"),"Alternative Compensation ✓",IF(AND(AA81="Pending",Q81='G-7 WaterC'' Data'!$G$4),"Bespoke compensation must be agreed ▲",IF((W81+X81)&gt;=R81,0,R81-W81-X81)))),"Check Data ⚠")</f>
        <v/>
      </c>
      <c r="AA81" s="800"/>
      <c r="AB81" s="136"/>
      <c r="AC81" s="104"/>
      <c r="AD81" s="104"/>
      <c r="AE81" s="54" t="str">
        <f>IF(OR(Q81="",AA81="Yes"),"",IF(Q81='G-1 All Habitats'!$X$9,E81-U81-V81,"None"))</f>
        <v/>
      </c>
      <c r="AF81" s="55" t="str">
        <f>IF(Q81="","",IF(Q81='G-1 All Habitats'!$X$9,AE81*G81*I81*L81*N81*P81,"None"))</f>
        <v/>
      </c>
      <c r="AI81" s="30">
        <f t="shared" si="16"/>
        <v>0</v>
      </c>
      <c r="AJ81" s="107" t="str">
        <f t="shared" si="17"/>
        <v/>
      </c>
      <c r="AK81" s="107" t="str">
        <f t="shared" si="18"/>
        <v/>
      </c>
      <c r="AM81" s="107">
        <v>72</v>
      </c>
      <c r="AO81" s="107" t="str">
        <f t="array" ref="AO81">IFERROR(INDEX($AM$10:$AM$258,MATCH(0,IF(TRUE=$AJ$10:$AJ$258,COUNTIF($AO$9:$AO80,$AM$10:$AM$258),""),0)),"")</f>
        <v/>
      </c>
      <c r="AP81" s="107" t="str">
        <f t="array" ref="AP81">IFERROR(INDEX($AM$10:$AM$258,MATCH(0,IF(TRUE=$AK$10:$AK$258,COUNTIF($AP$9:$AP80,$AM$10:$AM$258),""),0)),"")</f>
        <v/>
      </c>
      <c r="AR81" s="30" t="str">
        <f>IFERROR(INDEX('G-7 WaterC'' Data'!$AZ$3:$AZ$7,MATCH(D81,'G-7 WaterC'' Data'!$AY$3:$AY$7,0)),"")</f>
        <v/>
      </c>
      <c r="AS81" s="30" t="str">
        <f>IFERROR(INDEX('G-7 WaterC'' Data'!AZ81:AZ85,MATCH(D81,'G-7 WaterC'' Data'!$AY$10:$AY$14,0)),"")</f>
        <v/>
      </c>
      <c r="AT81" s="885" t="str">
        <f>IF(AND(OR(AA81="Yes",AA81="Pending"),Q81='G-7 WaterC'' Data'!$G$4),R81-W81-X81,"")</f>
        <v/>
      </c>
      <c r="AU81" s="30" t="str">
        <f>IF(D81="","",VLOOKUP(D81,'G-7 WaterC'' Data'!B$4:M$8,12,FALSE))</f>
        <v/>
      </c>
      <c r="AV81" s="30" t="str">
        <f t="shared" si="10"/>
        <v/>
      </c>
      <c r="AX81" s="30" t="str">
        <f t="shared" si="19"/>
        <v>No</v>
      </c>
    </row>
    <row r="82" spans="3:50" ht="14" hidden="1">
      <c r="C82" s="97">
        <v>73</v>
      </c>
      <c r="D82" s="261"/>
      <c r="E82" s="115"/>
      <c r="F82" s="275" t="str">
        <f>IF(D82="","",VLOOKUP(D82,'G-7 WaterC'' Data'!$B$2:$G$8,2,FALSE))</f>
        <v/>
      </c>
      <c r="G82" s="276" t="str">
        <f>IFERROR(VLOOKUP(F82,'G-7 WaterC'' Data'!$C$4:$D$8,2,FALSE),"")</f>
        <v/>
      </c>
      <c r="H82" s="52"/>
      <c r="I82" s="276" t="str">
        <f>IFERROR(INDEX('G-7 WaterC'' Data'!$H$4:$L$8,MATCH(D82,'G-7 WaterC'' Data'!$B$4:$B$8,0),MATCH(H82,'G-7 WaterC'' Data'!$H$3:$L$3,0)),"")</f>
        <v/>
      </c>
      <c r="J82" s="777"/>
      <c r="K82" s="311" t="str">
        <f>IF(J82="","",IF(VLOOKUP(J82,'G-7 WaterC'' Data'!$AK$4:$AM$6,2,FALSE)=0,"Spatial Data Missing ⚠",VLOOKUP(J82,'G-7 WaterC'' Data'!$AK$4:$AM$6,2,FALSE)))</f>
        <v/>
      </c>
      <c r="L82" s="281" t="str">
        <f>IF(J82="","",IF(VLOOKUP(J82,'G-7 WaterC'' Data'!$AK$4:$AM$9,3,FALSE)=0,"Spatial Data Missing ⚠",VLOOKUP(J82,'G-7 WaterC'' Data'!$AK$4:$AM$6,3,FALSE)))</f>
        <v/>
      </c>
      <c r="M82" s="52"/>
      <c r="N82" s="276" t="str">
        <f>IF(M82="","",IF(AND(D82&lt;&gt;"Culvert",M82="N/A - Culvert"),"Not possible ▲",IF(AND(D82="Culvert",M82&lt;&gt;"N/A - Culvert"),"Not possible ▲",IF(VLOOKUP(M82,'G-7 WaterC'' Data'!$AA$4:$AB$7,2,FALSE)=0,"Spatial Data Missing ⚠",VLOOKUP(M82,'G-7 WaterC'' Data'!$AA$4:$AB$7,2,FALSE)))))</f>
        <v/>
      </c>
      <c r="O82" s="56"/>
      <c r="P82" s="276" t="str">
        <f>IF(O82="","",IF(AND(O82="N/A - Culvert",D82&lt;&gt;"Culvert"),"Not possible ▲",IF(AND(D82="Culvert",O82&lt;&gt;"N/A - Culvert"),"Not possible ▲",IF(VLOOKUP(O82,'G-7 WaterC'' Data'!$AD$4:$AE$14,2,FALSE)=0,"Spatial Data Missing ⚠",VLOOKUP(O82,'G-7 WaterC'' Data'!$AD$4:$AE$14,2,FALSE)))))</f>
        <v/>
      </c>
      <c r="Q82" s="282" t="str">
        <f>IF(D82="","",VLOOKUP(D82,'G-7 WaterC'' Data'!$B$2:$G$8,6,FALSE))</f>
        <v/>
      </c>
      <c r="R82" s="289" t="str">
        <f t="shared" si="11"/>
        <v xml:space="preserve"> </v>
      </c>
      <c r="S82" s="803" t="str">
        <f t="shared" si="12"/>
        <v/>
      </c>
      <c r="T82" s="32"/>
      <c r="U82" s="101"/>
      <c r="V82" s="108"/>
      <c r="W82" s="287" t="str">
        <f t="shared" si="13"/>
        <v/>
      </c>
      <c r="X82" s="287" t="str">
        <f t="shared" si="14"/>
        <v/>
      </c>
      <c r="Y82" s="287" t="str">
        <f t="shared" si="15"/>
        <v/>
      </c>
      <c r="Z82" s="317" t="str">
        <f>IFERROR(IF(OR(E82="",R82=""),"",IF(AND(Q82='G-7 WaterC'' Data'!$G$4,AA82="Yes"),"Alternative Compensation ✓",IF(AND(AA82="Pending",Q82='G-7 WaterC'' Data'!$G$4),"Bespoke compensation must be agreed ▲",IF((W82+X82)&gt;=R82,0,R82-W82-X82)))),"Check Data ⚠")</f>
        <v/>
      </c>
      <c r="AA82" s="800"/>
      <c r="AB82" s="136"/>
      <c r="AC82" s="104"/>
      <c r="AD82" s="104"/>
      <c r="AE82" s="54" t="str">
        <f>IF(OR(Q82="",AA82="Yes"),"",IF(Q82='G-1 All Habitats'!$X$9,E82-U82-V82,"None"))</f>
        <v/>
      </c>
      <c r="AF82" s="55" t="str">
        <f>IF(Q82="","",IF(Q82='G-1 All Habitats'!$X$9,AE82*G82*I82*L82*N82*P82,"None"))</f>
        <v/>
      </c>
      <c r="AI82" s="30">
        <f t="shared" si="16"/>
        <v>0</v>
      </c>
      <c r="AJ82" s="107" t="str">
        <f t="shared" si="17"/>
        <v/>
      </c>
      <c r="AK82" s="107" t="str">
        <f t="shared" si="18"/>
        <v/>
      </c>
      <c r="AM82" s="107">
        <v>73</v>
      </c>
      <c r="AO82" s="107" t="str">
        <f t="array" ref="AO82">IFERROR(INDEX($AM$10:$AM$258,MATCH(0,IF(TRUE=$AJ$10:$AJ$258,COUNTIF($AO$9:$AO81,$AM$10:$AM$258),""),0)),"")</f>
        <v/>
      </c>
      <c r="AP82" s="107" t="str">
        <f t="array" ref="AP82">IFERROR(INDEX($AM$10:$AM$258,MATCH(0,IF(TRUE=$AK$10:$AK$258,COUNTIF($AP$9:$AP81,$AM$10:$AM$258),""),0)),"")</f>
        <v/>
      </c>
      <c r="AR82" s="30" t="str">
        <f>IFERROR(INDEX('G-7 WaterC'' Data'!$AZ$3:$AZ$7,MATCH(D82,'G-7 WaterC'' Data'!$AY$3:$AY$7,0)),"")</f>
        <v/>
      </c>
      <c r="AS82" s="30" t="str">
        <f>IFERROR(INDEX('G-7 WaterC'' Data'!AZ82:AZ86,MATCH(D82,'G-7 WaterC'' Data'!$AY$10:$AY$14,0)),"")</f>
        <v/>
      </c>
      <c r="AT82" s="885" t="str">
        <f>IF(AND(OR(AA82="Yes",AA82="Pending"),Q82='G-7 WaterC'' Data'!$G$4),R82-W82-X82,"")</f>
        <v/>
      </c>
      <c r="AU82" s="30" t="str">
        <f>IF(D82="","",VLOOKUP(D82,'G-7 WaterC'' Data'!B$4:M$8,12,FALSE))</f>
        <v/>
      </c>
      <c r="AV82" s="30" t="str">
        <f t="shared" si="10"/>
        <v/>
      </c>
      <c r="AX82" s="30" t="str">
        <f t="shared" si="19"/>
        <v>No</v>
      </c>
    </row>
    <row r="83" spans="3:50" ht="14" hidden="1">
      <c r="C83" s="97">
        <v>74</v>
      </c>
      <c r="D83" s="261"/>
      <c r="E83" s="115"/>
      <c r="F83" s="275" t="str">
        <f>IF(D83="","",VLOOKUP(D83,'G-7 WaterC'' Data'!$B$2:$G$8,2,FALSE))</f>
        <v/>
      </c>
      <c r="G83" s="276" t="str">
        <f>IFERROR(VLOOKUP(F83,'G-7 WaterC'' Data'!$C$4:$D$8,2,FALSE),"")</f>
        <v/>
      </c>
      <c r="H83" s="52"/>
      <c r="I83" s="276" t="str">
        <f>IFERROR(INDEX('G-7 WaterC'' Data'!$H$4:$L$8,MATCH(D83,'G-7 WaterC'' Data'!$B$4:$B$8,0),MATCH(H83,'G-7 WaterC'' Data'!$H$3:$L$3,0)),"")</f>
        <v/>
      </c>
      <c r="J83" s="777"/>
      <c r="K83" s="311" t="str">
        <f>IF(J83="","",IF(VLOOKUP(J83,'G-7 WaterC'' Data'!$AK$4:$AM$6,2,FALSE)=0,"Spatial Data Missing ⚠",VLOOKUP(J83,'G-7 WaterC'' Data'!$AK$4:$AM$6,2,FALSE)))</f>
        <v/>
      </c>
      <c r="L83" s="281" t="str">
        <f>IF(J83="","",IF(VLOOKUP(J83,'G-7 WaterC'' Data'!$AK$4:$AM$9,3,FALSE)=0,"Spatial Data Missing ⚠",VLOOKUP(J83,'G-7 WaterC'' Data'!$AK$4:$AM$6,3,FALSE)))</f>
        <v/>
      </c>
      <c r="M83" s="52"/>
      <c r="N83" s="276" t="str">
        <f>IF(M83="","",IF(AND(D83&lt;&gt;"Culvert",M83="N/A - Culvert"),"Not possible ▲",IF(AND(D83="Culvert",M83&lt;&gt;"N/A - Culvert"),"Not possible ▲",IF(VLOOKUP(M83,'G-7 WaterC'' Data'!$AA$4:$AB$7,2,FALSE)=0,"Spatial Data Missing ⚠",VLOOKUP(M83,'G-7 WaterC'' Data'!$AA$4:$AB$7,2,FALSE)))))</f>
        <v/>
      </c>
      <c r="O83" s="56"/>
      <c r="P83" s="276" t="str">
        <f>IF(O83="","",IF(AND(O83="N/A - Culvert",D83&lt;&gt;"Culvert"),"Not possible ▲",IF(AND(D83="Culvert",O83&lt;&gt;"N/A - Culvert"),"Not possible ▲",IF(VLOOKUP(O83,'G-7 WaterC'' Data'!$AD$4:$AE$14,2,FALSE)=0,"Spatial Data Missing ⚠",VLOOKUP(O83,'G-7 WaterC'' Data'!$AD$4:$AE$14,2,FALSE)))))</f>
        <v/>
      </c>
      <c r="Q83" s="282" t="str">
        <f>IF(D83="","",VLOOKUP(D83,'G-7 WaterC'' Data'!$B$2:$G$8,6,FALSE))</f>
        <v/>
      </c>
      <c r="R83" s="289" t="str">
        <f t="shared" si="11"/>
        <v xml:space="preserve"> </v>
      </c>
      <c r="S83" s="803" t="str">
        <f t="shared" si="12"/>
        <v/>
      </c>
      <c r="T83" s="32"/>
      <c r="U83" s="101"/>
      <c r="V83" s="108"/>
      <c r="W83" s="287" t="str">
        <f t="shared" si="13"/>
        <v/>
      </c>
      <c r="X83" s="287" t="str">
        <f t="shared" si="14"/>
        <v/>
      </c>
      <c r="Y83" s="287" t="str">
        <f t="shared" si="15"/>
        <v/>
      </c>
      <c r="Z83" s="317" t="str">
        <f>IFERROR(IF(OR(E83="",R83=""),"",IF(AND(Q83='G-7 WaterC'' Data'!$G$4,AA83="Yes"),"Alternative Compensation ✓",IF(AND(AA83="Pending",Q83='G-7 WaterC'' Data'!$G$4),"Bespoke compensation must be agreed ▲",IF((W83+X83)&gt;=R83,0,R83-W83-X83)))),"Check Data ⚠")</f>
        <v/>
      </c>
      <c r="AA83" s="800"/>
      <c r="AB83" s="136"/>
      <c r="AC83" s="104"/>
      <c r="AD83" s="104"/>
      <c r="AE83" s="54" t="str">
        <f>IF(OR(Q83="",AA83="Yes"),"",IF(Q83='G-1 All Habitats'!$X$9,E83-U83-V83,"None"))</f>
        <v/>
      </c>
      <c r="AF83" s="55" t="str">
        <f>IF(Q83="","",IF(Q83='G-1 All Habitats'!$X$9,AE83*G83*I83*L83*N83*P83,"None"))</f>
        <v/>
      </c>
      <c r="AI83" s="30">
        <f t="shared" si="16"/>
        <v>0</v>
      </c>
      <c r="AJ83" s="107" t="str">
        <f t="shared" si="17"/>
        <v/>
      </c>
      <c r="AK83" s="107" t="str">
        <f t="shared" si="18"/>
        <v/>
      </c>
      <c r="AM83" s="107">
        <v>74</v>
      </c>
      <c r="AO83" s="107" t="str">
        <f t="array" ref="AO83">IFERROR(INDEX($AM$10:$AM$258,MATCH(0,IF(TRUE=$AJ$10:$AJ$258,COUNTIF($AO$9:$AO82,$AM$10:$AM$258),""),0)),"")</f>
        <v/>
      </c>
      <c r="AP83" s="107" t="str">
        <f t="array" ref="AP83">IFERROR(INDEX($AM$10:$AM$258,MATCH(0,IF(TRUE=$AK$10:$AK$258,COUNTIF($AP$9:$AP82,$AM$10:$AM$258),""),0)),"")</f>
        <v/>
      </c>
      <c r="AR83" s="30" t="str">
        <f>IFERROR(INDEX('G-7 WaterC'' Data'!$AZ$3:$AZ$7,MATCH(D83,'G-7 WaterC'' Data'!$AY$3:$AY$7,0)),"")</f>
        <v/>
      </c>
      <c r="AS83" s="30" t="str">
        <f>IFERROR(INDEX('G-7 WaterC'' Data'!AZ83:AZ87,MATCH(D83,'G-7 WaterC'' Data'!$AY$10:$AY$14,0)),"")</f>
        <v/>
      </c>
      <c r="AT83" s="885" t="str">
        <f>IF(AND(OR(AA83="Yes",AA83="Pending"),Q83='G-7 WaterC'' Data'!$G$4),R83-W83-X83,"")</f>
        <v/>
      </c>
      <c r="AU83" s="30" t="str">
        <f>IF(D83="","",VLOOKUP(D83,'G-7 WaterC'' Data'!B$4:M$8,12,FALSE))</f>
        <v/>
      </c>
      <c r="AV83" s="30" t="str">
        <f t="shared" si="10"/>
        <v/>
      </c>
      <c r="AX83" s="30" t="str">
        <f t="shared" si="19"/>
        <v>No</v>
      </c>
    </row>
    <row r="84" spans="3:50" ht="14" hidden="1">
      <c r="C84" s="97">
        <v>75</v>
      </c>
      <c r="D84" s="261"/>
      <c r="E84" s="115"/>
      <c r="F84" s="275" t="str">
        <f>IF(D84="","",VLOOKUP(D84,'G-7 WaterC'' Data'!$B$2:$G$8,2,FALSE))</f>
        <v/>
      </c>
      <c r="G84" s="276" t="str">
        <f>IFERROR(VLOOKUP(F84,'G-7 WaterC'' Data'!$C$4:$D$8,2,FALSE),"")</f>
        <v/>
      </c>
      <c r="H84" s="52"/>
      <c r="I84" s="276" t="str">
        <f>IFERROR(INDEX('G-7 WaterC'' Data'!$H$4:$L$8,MATCH(D84,'G-7 WaterC'' Data'!$B$4:$B$8,0),MATCH(H84,'G-7 WaterC'' Data'!$H$3:$L$3,0)),"")</f>
        <v/>
      </c>
      <c r="J84" s="777"/>
      <c r="K84" s="311" t="str">
        <f>IF(J84="","",IF(VLOOKUP(J84,'G-7 WaterC'' Data'!$AK$4:$AM$6,2,FALSE)=0,"Spatial Data Missing ⚠",VLOOKUP(J84,'G-7 WaterC'' Data'!$AK$4:$AM$6,2,FALSE)))</f>
        <v/>
      </c>
      <c r="L84" s="281" t="str">
        <f>IF(J84="","",IF(VLOOKUP(J84,'G-7 WaterC'' Data'!$AK$4:$AM$9,3,FALSE)=0,"Spatial Data Missing ⚠",VLOOKUP(J84,'G-7 WaterC'' Data'!$AK$4:$AM$6,3,FALSE)))</f>
        <v/>
      </c>
      <c r="M84" s="52"/>
      <c r="N84" s="276" t="str">
        <f>IF(M84="","",IF(AND(D84&lt;&gt;"Culvert",M84="N/A - Culvert"),"Not possible ▲",IF(AND(D84="Culvert",M84&lt;&gt;"N/A - Culvert"),"Not possible ▲",IF(VLOOKUP(M84,'G-7 WaterC'' Data'!$AA$4:$AB$7,2,FALSE)=0,"Spatial Data Missing ⚠",VLOOKUP(M84,'G-7 WaterC'' Data'!$AA$4:$AB$7,2,FALSE)))))</f>
        <v/>
      </c>
      <c r="O84" s="56"/>
      <c r="P84" s="276" t="str">
        <f>IF(O84="","",IF(AND(O84="N/A - Culvert",D84&lt;&gt;"Culvert"),"Not possible ▲",IF(AND(D84="Culvert",O84&lt;&gt;"N/A - Culvert"),"Not possible ▲",IF(VLOOKUP(O84,'G-7 WaterC'' Data'!$AD$4:$AE$14,2,FALSE)=0,"Spatial Data Missing ⚠",VLOOKUP(O84,'G-7 WaterC'' Data'!$AD$4:$AE$14,2,FALSE)))))</f>
        <v/>
      </c>
      <c r="Q84" s="282" t="str">
        <f>IF(D84="","",VLOOKUP(D84,'G-7 WaterC'' Data'!$B$2:$G$8,6,FALSE))</f>
        <v/>
      </c>
      <c r="R84" s="289" t="str">
        <f t="shared" si="11"/>
        <v xml:space="preserve"> </v>
      </c>
      <c r="S84" s="803" t="str">
        <f t="shared" si="12"/>
        <v/>
      </c>
      <c r="T84" s="32"/>
      <c r="U84" s="101"/>
      <c r="V84" s="108"/>
      <c r="W84" s="287" t="str">
        <f t="shared" si="13"/>
        <v/>
      </c>
      <c r="X84" s="287" t="str">
        <f t="shared" si="14"/>
        <v/>
      </c>
      <c r="Y84" s="287" t="str">
        <f t="shared" si="15"/>
        <v/>
      </c>
      <c r="Z84" s="317" t="str">
        <f>IFERROR(IF(OR(E84="",R84=""),"",IF(AND(Q84='G-7 WaterC'' Data'!$G$4,AA84="Yes"),"Alternative Compensation ✓",IF(AND(AA84="Pending",Q84='G-7 WaterC'' Data'!$G$4),"Bespoke compensation must be agreed ▲",IF((W84+X84)&gt;=R84,0,R84-W84-X84)))),"Check Data ⚠")</f>
        <v/>
      </c>
      <c r="AA84" s="800"/>
      <c r="AB84" s="136"/>
      <c r="AC84" s="104"/>
      <c r="AD84" s="104"/>
      <c r="AE84" s="54" t="str">
        <f>IF(OR(Q84="",AA84="Yes"),"",IF(Q84='G-1 All Habitats'!$X$9,E84-U84-V84,"None"))</f>
        <v/>
      </c>
      <c r="AF84" s="55" t="str">
        <f>IF(Q84="","",IF(Q84='G-1 All Habitats'!$X$9,AE84*G84*I84*L84*N84*P84,"None"))</f>
        <v/>
      </c>
      <c r="AI84" s="30">
        <f t="shared" si="16"/>
        <v>0</v>
      </c>
      <c r="AJ84" s="107" t="str">
        <f t="shared" si="17"/>
        <v/>
      </c>
      <c r="AK84" s="107" t="str">
        <f t="shared" si="18"/>
        <v/>
      </c>
      <c r="AM84" s="107">
        <v>75</v>
      </c>
      <c r="AO84" s="107" t="str">
        <f t="array" ref="AO84">IFERROR(INDEX($AM$10:$AM$258,MATCH(0,IF(TRUE=$AJ$10:$AJ$258,COUNTIF($AO$9:$AO83,$AM$10:$AM$258),""),0)),"")</f>
        <v/>
      </c>
      <c r="AP84" s="107" t="str">
        <f t="array" ref="AP84">IFERROR(INDEX($AM$10:$AM$258,MATCH(0,IF(TRUE=$AK$10:$AK$258,COUNTIF($AP$9:$AP83,$AM$10:$AM$258),""),0)),"")</f>
        <v/>
      </c>
      <c r="AR84" s="30" t="str">
        <f>IFERROR(INDEX('G-7 WaterC'' Data'!$AZ$3:$AZ$7,MATCH(D84,'G-7 WaterC'' Data'!$AY$3:$AY$7,0)),"")</f>
        <v/>
      </c>
      <c r="AS84" s="30" t="str">
        <f>IFERROR(INDEX('G-7 WaterC'' Data'!AZ84:AZ88,MATCH(D84,'G-7 WaterC'' Data'!$AY$10:$AY$14,0)),"")</f>
        <v/>
      </c>
      <c r="AT84" s="885" t="str">
        <f>IF(AND(OR(AA84="Yes",AA84="Pending"),Q84='G-7 WaterC'' Data'!$G$4),R84-W84-X84,"")</f>
        <v/>
      </c>
      <c r="AU84" s="30" t="str">
        <f>IF(D84="","",VLOOKUP(D84,'G-7 WaterC'' Data'!B$4:M$8,12,FALSE))</f>
        <v/>
      </c>
      <c r="AV84" s="30" t="str">
        <f t="shared" si="10"/>
        <v/>
      </c>
      <c r="AX84" s="30" t="str">
        <f t="shared" si="19"/>
        <v>No</v>
      </c>
    </row>
    <row r="85" spans="3:50" ht="14" hidden="1">
      <c r="C85" s="97">
        <v>76</v>
      </c>
      <c r="D85" s="261"/>
      <c r="E85" s="115"/>
      <c r="F85" s="275" t="str">
        <f>IF(D85="","",VLOOKUP(D85,'G-7 WaterC'' Data'!$B$2:$G$8,2,FALSE))</f>
        <v/>
      </c>
      <c r="G85" s="276" t="str">
        <f>IFERROR(VLOOKUP(F85,'G-7 WaterC'' Data'!$C$4:$D$8,2,FALSE),"")</f>
        <v/>
      </c>
      <c r="H85" s="52"/>
      <c r="I85" s="276" t="str">
        <f>IFERROR(INDEX('G-7 WaterC'' Data'!$H$4:$L$8,MATCH(D85,'G-7 WaterC'' Data'!$B$4:$B$8,0),MATCH(H85,'G-7 WaterC'' Data'!$H$3:$L$3,0)),"")</f>
        <v/>
      </c>
      <c r="J85" s="777"/>
      <c r="K85" s="311" t="str">
        <f>IF(J85="","",IF(VLOOKUP(J85,'G-7 WaterC'' Data'!$AK$4:$AM$6,2,FALSE)=0,"Spatial Data Missing ⚠",VLOOKUP(J85,'G-7 WaterC'' Data'!$AK$4:$AM$6,2,FALSE)))</f>
        <v/>
      </c>
      <c r="L85" s="281" t="str">
        <f>IF(J85="","",IF(VLOOKUP(J85,'G-7 WaterC'' Data'!$AK$4:$AM$9,3,FALSE)=0,"Spatial Data Missing ⚠",VLOOKUP(J85,'G-7 WaterC'' Data'!$AK$4:$AM$6,3,FALSE)))</f>
        <v/>
      </c>
      <c r="M85" s="52"/>
      <c r="N85" s="276" t="str">
        <f>IF(M85="","",IF(AND(D85&lt;&gt;"Culvert",M85="N/A - Culvert"),"Not possible ▲",IF(AND(D85="Culvert",M85&lt;&gt;"N/A - Culvert"),"Not possible ▲",IF(VLOOKUP(M85,'G-7 WaterC'' Data'!$AA$4:$AB$7,2,FALSE)=0,"Spatial Data Missing ⚠",VLOOKUP(M85,'G-7 WaterC'' Data'!$AA$4:$AB$7,2,FALSE)))))</f>
        <v/>
      </c>
      <c r="O85" s="56"/>
      <c r="P85" s="276" t="str">
        <f>IF(O85="","",IF(AND(O85="N/A - Culvert",D85&lt;&gt;"Culvert"),"Not possible ▲",IF(AND(D85="Culvert",O85&lt;&gt;"N/A - Culvert"),"Not possible ▲",IF(VLOOKUP(O85,'G-7 WaterC'' Data'!$AD$4:$AE$14,2,FALSE)=0,"Spatial Data Missing ⚠",VLOOKUP(O85,'G-7 WaterC'' Data'!$AD$4:$AE$14,2,FALSE)))))</f>
        <v/>
      </c>
      <c r="Q85" s="282" t="str">
        <f>IF(D85="","",VLOOKUP(D85,'G-7 WaterC'' Data'!$B$2:$G$8,6,FALSE))</f>
        <v/>
      </c>
      <c r="R85" s="289" t="str">
        <f t="shared" si="11"/>
        <v xml:space="preserve"> </v>
      </c>
      <c r="S85" s="803" t="str">
        <f t="shared" si="12"/>
        <v/>
      </c>
      <c r="T85" s="32"/>
      <c r="U85" s="101"/>
      <c r="V85" s="108"/>
      <c r="W85" s="287" t="str">
        <f t="shared" si="13"/>
        <v/>
      </c>
      <c r="X85" s="287" t="str">
        <f t="shared" si="14"/>
        <v/>
      </c>
      <c r="Y85" s="287" t="str">
        <f t="shared" si="15"/>
        <v/>
      </c>
      <c r="Z85" s="317" t="str">
        <f>IFERROR(IF(OR(E85="",R85=""),"",IF(AND(Q85='G-7 WaterC'' Data'!$G$4,AA85="Yes"),"Alternative Compensation ✓",IF(AND(AA85="Pending",Q85='G-7 WaterC'' Data'!$G$4),"Bespoke compensation must be agreed ▲",IF((W85+X85)&gt;=R85,0,R85-W85-X85)))),"Check Data ⚠")</f>
        <v/>
      </c>
      <c r="AA85" s="800"/>
      <c r="AB85" s="136"/>
      <c r="AC85" s="104"/>
      <c r="AD85" s="104"/>
      <c r="AE85" s="54" t="str">
        <f>IF(OR(Q85="",AA85="Yes"),"",IF(Q85='G-1 All Habitats'!$X$9,E85-U85-V85,"None"))</f>
        <v/>
      </c>
      <c r="AF85" s="55" t="str">
        <f>IF(Q85="","",IF(Q85='G-1 All Habitats'!$X$9,AE85*G85*I85*L85*N85*P85,"None"))</f>
        <v/>
      </c>
      <c r="AI85" s="30">
        <f t="shared" si="16"/>
        <v>0</v>
      </c>
      <c r="AJ85" s="107" t="str">
        <f t="shared" si="17"/>
        <v/>
      </c>
      <c r="AK85" s="107" t="str">
        <f t="shared" si="18"/>
        <v/>
      </c>
      <c r="AM85" s="107">
        <v>76</v>
      </c>
      <c r="AO85" s="107" t="str">
        <f t="array" ref="AO85">IFERROR(INDEX($AM$10:$AM$258,MATCH(0,IF(TRUE=$AJ$10:$AJ$258,COUNTIF($AO$9:$AO84,$AM$10:$AM$258),""),0)),"")</f>
        <v/>
      </c>
      <c r="AP85" s="107" t="str">
        <f t="array" ref="AP85">IFERROR(INDEX($AM$10:$AM$258,MATCH(0,IF(TRUE=$AK$10:$AK$258,COUNTIF($AP$9:$AP84,$AM$10:$AM$258),""),0)),"")</f>
        <v/>
      </c>
      <c r="AR85" s="30" t="str">
        <f>IFERROR(INDEX('G-7 WaterC'' Data'!$AZ$3:$AZ$7,MATCH(D85,'G-7 WaterC'' Data'!$AY$3:$AY$7,0)),"")</f>
        <v/>
      </c>
      <c r="AS85" s="30" t="str">
        <f>IFERROR(INDEX('G-7 WaterC'' Data'!AZ85:AZ89,MATCH(D85,'G-7 WaterC'' Data'!$AY$10:$AY$14,0)),"")</f>
        <v/>
      </c>
      <c r="AT85" s="885" t="str">
        <f>IF(AND(OR(AA85="Yes",AA85="Pending"),Q85='G-7 WaterC'' Data'!$G$4),R85-W85-X85,"")</f>
        <v/>
      </c>
      <c r="AU85" s="30" t="str">
        <f>IF(D85="","",VLOOKUP(D85,'G-7 WaterC'' Data'!B$4:M$8,12,FALSE))</f>
        <v/>
      </c>
      <c r="AV85" s="30" t="str">
        <f t="shared" si="10"/>
        <v/>
      </c>
      <c r="AX85" s="30" t="str">
        <f t="shared" si="19"/>
        <v>No</v>
      </c>
    </row>
    <row r="86" spans="3:50" ht="14" hidden="1">
      <c r="C86" s="97">
        <v>77</v>
      </c>
      <c r="D86" s="261"/>
      <c r="E86" s="115"/>
      <c r="F86" s="275" t="str">
        <f>IF(D86="","",VLOOKUP(D86,'G-7 WaterC'' Data'!$B$2:$G$8,2,FALSE))</f>
        <v/>
      </c>
      <c r="G86" s="276" t="str">
        <f>IFERROR(VLOOKUP(F86,'G-7 WaterC'' Data'!$C$4:$D$8,2,FALSE),"")</f>
        <v/>
      </c>
      <c r="H86" s="52"/>
      <c r="I86" s="276" t="str">
        <f>IFERROR(INDEX('G-7 WaterC'' Data'!$H$4:$L$8,MATCH(D86,'G-7 WaterC'' Data'!$B$4:$B$8,0),MATCH(H86,'G-7 WaterC'' Data'!$H$3:$L$3,0)),"")</f>
        <v/>
      </c>
      <c r="J86" s="777"/>
      <c r="K86" s="311" t="str">
        <f>IF(J86="","",IF(VLOOKUP(J86,'G-7 WaterC'' Data'!$AK$4:$AM$6,2,FALSE)=0,"Spatial Data Missing ⚠",VLOOKUP(J86,'G-7 WaterC'' Data'!$AK$4:$AM$6,2,FALSE)))</f>
        <v/>
      </c>
      <c r="L86" s="281" t="str">
        <f>IF(J86="","",IF(VLOOKUP(J86,'G-7 WaterC'' Data'!$AK$4:$AM$9,3,FALSE)=0,"Spatial Data Missing ⚠",VLOOKUP(J86,'G-7 WaterC'' Data'!$AK$4:$AM$6,3,FALSE)))</f>
        <v/>
      </c>
      <c r="M86" s="52"/>
      <c r="N86" s="276" t="str">
        <f>IF(M86="","",IF(AND(D86&lt;&gt;"Culvert",M86="N/A - Culvert"),"Not possible ▲",IF(AND(D86="Culvert",M86&lt;&gt;"N/A - Culvert"),"Not possible ▲",IF(VLOOKUP(M86,'G-7 WaterC'' Data'!$AA$4:$AB$7,2,FALSE)=0,"Spatial Data Missing ⚠",VLOOKUP(M86,'G-7 WaterC'' Data'!$AA$4:$AB$7,2,FALSE)))))</f>
        <v/>
      </c>
      <c r="O86" s="56"/>
      <c r="P86" s="276" t="str">
        <f>IF(O86="","",IF(AND(O86="N/A - Culvert",D86&lt;&gt;"Culvert"),"Not possible ▲",IF(AND(D86="Culvert",O86&lt;&gt;"N/A - Culvert"),"Not possible ▲",IF(VLOOKUP(O86,'G-7 WaterC'' Data'!$AD$4:$AE$14,2,FALSE)=0,"Spatial Data Missing ⚠",VLOOKUP(O86,'G-7 WaterC'' Data'!$AD$4:$AE$14,2,FALSE)))))</f>
        <v/>
      </c>
      <c r="Q86" s="282" t="str">
        <f>IF(D86="","",VLOOKUP(D86,'G-7 WaterC'' Data'!$B$2:$G$8,6,FALSE))</f>
        <v/>
      </c>
      <c r="R86" s="289" t="str">
        <f t="shared" si="11"/>
        <v xml:space="preserve"> </v>
      </c>
      <c r="S86" s="803" t="str">
        <f t="shared" si="12"/>
        <v/>
      </c>
      <c r="T86" s="32"/>
      <c r="U86" s="101"/>
      <c r="V86" s="108"/>
      <c r="W86" s="287" t="str">
        <f t="shared" si="13"/>
        <v/>
      </c>
      <c r="X86" s="287" t="str">
        <f t="shared" si="14"/>
        <v/>
      </c>
      <c r="Y86" s="287" t="str">
        <f t="shared" si="15"/>
        <v/>
      </c>
      <c r="Z86" s="317" t="str">
        <f>IFERROR(IF(OR(E86="",R86=""),"",IF(AND(Q86='G-7 WaterC'' Data'!$G$4,AA86="Yes"),"Alternative Compensation ✓",IF(AND(AA86="Pending",Q86='G-7 WaterC'' Data'!$G$4),"Bespoke compensation must be agreed ▲",IF((W86+X86)&gt;=R86,0,R86-W86-X86)))),"Check Data ⚠")</f>
        <v/>
      </c>
      <c r="AA86" s="800"/>
      <c r="AB86" s="136"/>
      <c r="AC86" s="104"/>
      <c r="AD86" s="104"/>
      <c r="AE86" s="54" t="str">
        <f>IF(OR(Q86="",AA86="Yes"),"",IF(Q86='G-1 All Habitats'!$X$9,E86-U86-V86,"None"))</f>
        <v/>
      </c>
      <c r="AF86" s="55" t="str">
        <f>IF(Q86="","",IF(Q86='G-1 All Habitats'!$X$9,AE86*G86*I86*L86*N86*P86,"None"))</f>
        <v/>
      </c>
      <c r="AI86" s="30">
        <f t="shared" si="16"/>
        <v>0</v>
      </c>
      <c r="AJ86" s="107" t="str">
        <f t="shared" si="17"/>
        <v/>
      </c>
      <c r="AK86" s="107" t="str">
        <f t="shared" si="18"/>
        <v/>
      </c>
      <c r="AM86" s="107">
        <v>77</v>
      </c>
      <c r="AO86" s="107" t="str">
        <f t="array" ref="AO86">IFERROR(INDEX($AM$10:$AM$258,MATCH(0,IF(TRUE=$AJ$10:$AJ$258,COUNTIF($AO$9:$AO85,$AM$10:$AM$258),""),0)),"")</f>
        <v/>
      </c>
      <c r="AP86" s="107" t="str">
        <f t="array" ref="AP86">IFERROR(INDEX($AM$10:$AM$258,MATCH(0,IF(TRUE=$AK$10:$AK$258,COUNTIF($AP$9:$AP85,$AM$10:$AM$258),""),0)),"")</f>
        <v/>
      </c>
      <c r="AR86" s="30" t="str">
        <f>IFERROR(INDEX('G-7 WaterC'' Data'!$AZ$3:$AZ$7,MATCH(D86,'G-7 WaterC'' Data'!$AY$3:$AY$7,0)),"")</f>
        <v/>
      </c>
      <c r="AS86" s="30" t="str">
        <f>IFERROR(INDEX('G-7 WaterC'' Data'!AZ86:AZ90,MATCH(D86,'G-7 WaterC'' Data'!$AY$10:$AY$14,0)),"")</f>
        <v/>
      </c>
      <c r="AT86" s="885" t="str">
        <f>IF(AND(OR(AA86="Yes",AA86="Pending"),Q86='G-7 WaterC'' Data'!$G$4),R86-W86-X86,"")</f>
        <v/>
      </c>
      <c r="AU86" s="30" t="str">
        <f>IF(D86="","",VLOOKUP(D86,'G-7 WaterC'' Data'!B$4:M$8,12,FALSE))</f>
        <v/>
      </c>
      <c r="AV86" s="30" t="str">
        <f t="shared" si="10"/>
        <v/>
      </c>
      <c r="AX86" s="30" t="str">
        <f t="shared" si="19"/>
        <v>No</v>
      </c>
    </row>
    <row r="87" spans="3:50" ht="14" hidden="1">
      <c r="C87" s="97">
        <v>78</v>
      </c>
      <c r="D87" s="261"/>
      <c r="E87" s="115"/>
      <c r="F87" s="275" t="str">
        <f>IF(D87="","",VLOOKUP(D87,'G-7 WaterC'' Data'!$B$2:$G$8,2,FALSE))</f>
        <v/>
      </c>
      <c r="G87" s="276" t="str">
        <f>IFERROR(VLOOKUP(F87,'G-7 WaterC'' Data'!$C$4:$D$8,2,FALSE),"")</f>
        <v/>
      </c>
      <c r="H87" s="52"/>
      <c r="I87" s="276" t="str">
        <f>IFERROR(INDEX('G-7 WaterC'' Data'!$H$4:$L$8,MATCH(D87,'G-7 WaterC'' Data'!$B$4:$B$8,0),MATCH(H87,'G-7 WaterC'' Data'!$H$3:$L$3,0)),"")</f>
        <v/>
      </c>
      <c r="J87" s="777"/>
      <c r="K87" s="311" t="str">
        <f>IF(J87="","",IF(VLOOKUP(J87,'G-7 WaterC'' Data'!$AK$4:$AM$6,2,FALSE)=0,"Spatial Data Missing ⚠",VLOOKUP(J87,'G-7 WaterC'' Data'!$AK$4:$AM$6,2,FALSE)))</f>
        <v/>
      </c>
      <c r="L87" s="281" t="str">
        <f>IF(J87="","",IF(VLOOKUP(J87,'G-7 WaterC'' Data'!$AK$4:$AM$9,3,FALSE)=0,"Spatial Data Missing ⚠",VLOOKUP(J87,'G-7 WaterC'' Data'!$AK$4:$AM$6,3,FALSE)))</f>
        <v/>
      </c>
      <c r="M87" s="52"/>
      <c r="N87" s="276" t="str">
        <f>IF(M87="","",IF(AND(D87&lt;&gt;"Culvert",M87="N/A - Culvert"),"Not possible ▲",IF(AND(D87="Culvert",M87&lt;&gt;"N/A - Culvert"),"Not possible ▲",IF(VLOOKUP(M87,'G-7 WaterC'' Data'!$AA$4:$AB$7,2,FALSE)=0,"Spatial Data Missing ⚠",VLOOKUP(M87,'G-7 WaterC'' Data'!$AA$4:$AB$7,2,FALSE)))))</f>
        <v/>
      </c>
      <c r="O87" s="56"/>
      <c r="P87" s="276" t="str">
        <f>IF(O87="","",IF(AND(O87="N/A - Culvert",D87&lt;&gt;"Culvert"),"Not possible ▲",IF(AND(D87="Culvert",O87&lt;&gt;"N/A - Culvert"),"Not possible ▲",IF(VLOOKUP(O87,'G-7 WaterC'' Data'!$AD$4:$AE$14,2,FALSE)=0,"Spatial Data Missing ⚠",VLOOKUP(O87,'G-7 WaterC'' Data'!$AD$4:$AE$14,2,FALSE)))))</f>
        <v/>
      </c>
      <c r="Q87" s="282" t="str">
        <f>IF(D87="","",VLOOKUP(D87,'G-7 WaterC'' Data'!$B$2:$G$8,6,FALSE))</f>
        <v/>
      </c>
      <c r="R87" s="289" t="str">
        <f t="shared" si="11"/>
        <v xml:space="preserve"> </v>
      </c>
      <c r="S87" s="803" t="str">
        <f t="shared" si="12"/>
        <v/>
      </c>
      <c r="T87" s="32"/>
      <c r="U87" s="101"/>
      <c r="V87" s="108"/>
      <c r="W87" s="287" t="str">
        <f t="shared" si="13"/>
        <v/>
      </c>
      <c r="X87" s="287" t="str">
        <f t="shared" si="14"/>
        <v/>
      </c>
      <c r="Y87" s="287" t="str">
        <f t="shared" si="15"/>
        <v/>
      </c>
      <c r="Z87" s="317" t="str">
        <f>IFERROR(IF(OR(E87="",R87=""),"",IF(AND(Q87='G-7 WaterC'' Data'!$G$4,AA87="Yes"),"Alternative Compensation ✓",IF(AND(AA87="Pending",Q87='G-7 WaterC'' Data'!$G$4),"Bespoke compensation must be agreed ▲",IF((W87+X87)&gt;=R87,0,R87-W87-X87)))),"Check Data ⚠")</f>
        <v/>
      </c>
      <c r="AA87" s="800"/>
      <c r="AB87" s="136"/>
      <c r="AC87" s="104"/>
      <c r="AD87" s="104"/>
      <c r="AE87" s="54" t="str">
        <f>IF(OR(Q87="",AA87="Yes"),"",IF(Q87='G-1 All Habitats'!$X$9,E87-U87-V87,"None"))</f>
        <v/>
      </c>
      <c r="AF87" s="55" t="str">
        <f>IF(Q87="","",IF(Q87='G-1 All Habitats'!$X$9,AE87*G87*I87*L87*N87*P87,"None"))</f>
        <v/>
      </c>
      <c r="AI87" s="30">
        <f t="shared" si="16"/>
        <v>0</v>
      </c>
      <c r="AJ87" s="107" t="str">
        <f t="shared" si="17"/>
        <v/>
      </c>
      <c r="AK87" s="107" t="str">
        <f t="shared" si="18"/>
        <v/>
      </c>
      <c r="AM87" s="107">
        <v>78</v>
      </c>
      <c r="AO87" s="107" t="str">
        <f t="array" ref="AO87">IFERROR(INDEX($AM$10:$AM$258,MATCH(0,IF(TRUE=$AJ$10:$AJ$258,COUNTIF($AO$9:$AO86,$AM$10:$AM$258),""),0)),"")</f>
        <v/>
      </c>
      <c r="AP87" s="107" t="str">
        <f t="array" ref="AP87">IFERROR(INDEX($AM$10:$AM$258,MATCH(0,IF(TRUE=$AK$10:$AK$258,COUNTIF($AP$9:$AP86,$AM$10:$AM$258),""),0)),"")</f>
        <v/>
      </c>
      <c r="AR87" s="30" t="str">
        <f>IFERROR(INDEX('G-7 WaterC'' Data'!$AZ$3:$AZ$7,MATCH(D87,'G-7 WaterC'' Data'!$AY$3:$AY$7,0)),"")</f>
        <v/>
      </c>
      <c r="AS87" s="30" t="str">
        <f>IFERROR(INDEX('G-7 WaterC'' Data'!AZ87:AZ91,MATCH(D87,'G-7 WaterC'' Data'!$AY$10:$AY$14,0)),"")</f>
        <v/>
      </c>
      <c r="AT87" s="885" t="str">
        <f>IF(AND(OR(AA87="Yes",AA87="Pending"),Q87='G-7 WaterC'' Data'!$G$4),R87-W87-X87,"")</f>
        <v/>
      </c>
      <c r="AU87" s="30" t="str">
        <f>IF(D87="","",VLOOKUP(D87,'G-7 WaterC'' Data'!B$4:M$8,12,FALSE))</f>
        <v/>
      </c>
      <c r="AV87" s="30" t="str">
        <f t="shared" si="10"/>
        <v/>
      </c>
      <c r="AX87" s="30" t="str">
        <f t="shared" si="19"/>
        <v>No</v>
      </c>
    </row>
    <row r="88" spans="3:50" ht="14" hidden="1">
      <c r="C88" s="97">
        <v>79</v>
      </c>
      <c r="D88" s="261"/>
      <c r="E88" s="115"/>
      <c r="F88" s="275" t="str">
        <f>IF(D88="","",VLOOKUP(D88,'G-7 WaterC'' Data'!$B$2:$G$8,2,FALSE))</f>
        <v/>
      </c>
      <c r="G88" s="276" t="str">
        <f>IFERROR(VLOOKUP(F88,'G-7 WaterC'' Data'!$C$4:$D$8,2,FALSE),"")</f>
        <v/>
      </c>
      <c r="H88" s="52"/>
      <c r="I88" s="276" t="str">
        <f>IFERROR(INDEX('G-7 WaterC'' Data'!$H$4:$L$8,MATCH(D88,'G-7 WaterC'' Data'!$B$4:$B$8,0),MATCH(H88,'G-7 WaterC'' Data'!$H$3:$L$3,0)),"")</f>
        <v/>
      </c>
      <c r="J88" s="777"/>
      <c r="K88" s="311" t="str">
        <f>IF(J88="","",IF(VLOOKUP(J88,'G-7 WaterC'' Data'!$AK$4:$AM$6,2,FALSE)=0,"Spatial Data Missing ⚠",VLOOKUP(J88,'G-7 WaterC'' Data'!$AK$4:$AM$6,2,FALSE)))</f>
        <v/>
      </c>
      <c r="L88" s="281" t="str">
        <f>IF(J88="","",IF(VLOOKUP(J88,'G-7 WaterC'' Data'!$AK$4:$AM$9,3,FALSE)=0,"Spatial Data Missing ⚠",VLOOKUP(J88,'G-7 WaterC'' Data'!$AK$4:$AM$6,3,FALSE)))</f>
        <v/>
      </c>
      <c r="M88" s="52"/>
      <c r="N88" s="276" t="str">
        <f>IF(M88="","",IF(AND(D88&lt;&gt;"Culvert",M88="N/A - Culvert"),"Not possible ▲",IF(AND(D88="Culvert",M88&lt;&gt;"N/A - Culvert"),"Not possible ▲",IF(VLOOKUP(M88,'G-7 WaterC'' Data'!$AA$4:$AB$7,2,FALSE)=0,"Spatial Data Missing ⚠",VLOOKUP(M88,'G-7 WaterC'' Data'!$AA$4:$AB$7,2,FALSE)))))</f>
        <v/>
      </c>
      <c r="O88" s="56"/>
      <c r="P88" s="276" t="str">
        <f>IF(O88="","",IF(AND(O88="N/A - Culvert",D88&lt;&gt;"Culvert"),"Not possible ▲",IF(AND(D88="Culvert",O88&lt;&gt;"N/A - Culvert"),"Not possible ▲",IF(VLOOKUP(O88,'G-7 WaterC'' Data'!$AD$4:$AE$14,2,FALSE)=0,"Spatial Data Missing ⚠",VLOOKUP(O88,'G-7 WaterC'' Data'!$AD$4:$AE$14,2,FALSE)))))</f>
        <v/>
      </c>
      <c r="Q88" s="282" t="str">
        <f>IF(D88="","",VLOOKUP(D88,'G-7 WaterC'' Data'!$B$2:$G$8,6,FALSE))</f>
        <v/>
      </c>
      <c r="R88" s="289" t="str">
        <f t="shared" si="11"/>
        <v xml:space="preserve"> </v>
      </c>
      <c r="S88" s="803" t="str">
        <f t="shared" si="12"/>
        <v/>
      </c>
      <c r="T88" s="32"/>
      <c r="U88" s="101"/>
      <c r="V88" s="108"/>
      <c r="W88" s="287" t="str">
        <f t="shared" si="13"/>
        <v/>
      </c>
      <c r="X88" s="287" t="str">
        <f t="shared" si="14"/>
        <v/>
      </c>
      <c r="Y88" s="287" t="str">
        <f t="shared" si="15"/>
        <v/>
      </c>
      <c r="Z88" s="317" t="str">
        <f>IFERROR(IF(OR(E88="",R88=""),"",IF(AND(Q88='G-7 WaterC'' Data'!$G$4,AA88="Yes"),"Alternative Compensation ✓",IF(AND(AA88="Pending",Q88='G-7 WaterC'' Data'!$G$4),"Bespoke compensation must be agreed ▲",IF((W88+X88)&gt;=R88,0,R88-W88-X88)))),"Check Data ⚠")</f>
        <v/>
      </c>
      <c r="AA88" s="800"/>
      <c r="AB88" s="136"/>
      <c r="AC88" s="104"/>
      <c r="AD88" s="104"/>
      <c r="AE88" s="54" t="str">
        <f>IF(OR(Q88="",AA88="Yes"),"",IF(Q88='G-1 All Habitats'!$X$9,E88-U88-V88,"None"))</f>
        <v/>
      </c>
      <c r="AF88" s="55" t="str">
        <f>IF(Q88="","",IF(Q88='G-1 All Habitats'!$X$9,AE88*G88*I88*L88*N88*P88,"None"))</f>
        <v/>
      </c>
      <c r="AI88" s="30">
        <f t="shared" si="16"/>
        <v>0</v>
      </c>
      <c r="AJ88" s="107" t="str">
        <f t="shared" si="17"/>
        <v/>
      </c>
      <c r="AK88" s="107" t="str">
        <f t="shared" si="18"/>
        <v/>
      </c>
      <c r="AM88" s="107">
        <v>79</v>
      </c>
      <c r="AO88" s="107" t="str">
        <f t="array" ref="AO88">IFERROR(INDEX($AM$10:$AM$258,MATCH(0,IF(TRUE=$AJ$10:$AJ$258,COUNTIF($AO$9:$AO87,$AM$10:$AM$258),""),0)),"")</f>
        <v/>
      </c>
      <c r="AP88" s="107" t="str">
        <f t="array" ref="AP88">IFERROR(INDEX($AM$10:$AM$258,MATCH(0,IF(TRUE=$AK$10:$AK$258,COUNTIF($AP$9:$AP87,$AM$10:$AM$258),""),0)),"")</f>
        <v/>
      </c>
      <c r="AR88" s="30" t="str">
        <f>IFERROR(INDEX('G-7 WaterC'' Data'!$AZ$3:$AZ$7,MATCH(D88,'G-7 WaterC'' Data'!$AY$3:$AY$7,0)),"")</f>
        <v/>
      </c>
      <c r="AS88" s="30" t="str">
        <f>IFERROR(INDEX('G-7 WaterC'' Data'!AZ88:AZ92,MATCH(D88,'G-7 WaterC'' Data'!$AY$10:$AY$14,0)),"")</f>
        <v/>
      </c>
      <c r="AT88" s="885" t="str">
        <f>IF(AND(OR(AA88="Yes",AA88="Pending"),Q88='G-7 WaterC'' Data'!$G$4),R88-W88-X88,"")</f>
        <v/>
      </c>
      <c r="AU88" s="30" t="str">
        <f>IF(D88="","",VLOOKUP(D88,'G-7 WaterC'' Data'!B$4:M$8,12,FALSE))</f>
        <v/>
      </c>
      <c r="AV88" s="30" t="str">
        <f t="shared" si="10"/>
        <v/>
      </c>
      <c r="AX88" s="30" t="str">
        <f t="shared" si="19"/>
        <v>No</v>
      </c>
    </row>
    <row r="89" spans="3:50" ht="14" hidden="1">
      <c r="C89" s="97">
        <v>80</v>
      </c>
      <c r="D89" s="261"/>
      <c r="E89" s="115"/>
      <c r="F89" s="275" t="str">
        <f>IF(D89="","",VLOOKUP(D89,'G-7 WaterC'' Data'!$B$2:$G$8,2,FALSE))</f>
        <v/>
      </c>
      <c r="G89" s="276" t="str">
        <f>IFERROR(VLOOKUP(F89,'G-7 WaterC'' Data'!$C$4:$D$8,2,FALSE),"")</f>
        <v/>
      </c>
      <c r="H89" s="52"/>
      <c r="I89" s="276" t="str">
        <f>IFERROR(INDEX('G-7 WaterC'' Data'!$H$4:$L$8,MATCH(D89,'G-7 WaterC'' Data'!$B$4:$B$8,0),MATCH(H89,'G-7 WaterC'' Data'!$H$3:$L$3,0)),"")</f>
        <v/>
      </c>
      <c r="J89" s="777"/>
      <c r="K89" s="311" t="str">
        <f>IF(J89="","",IF(VLOOKUP(J89,'G-7 WaterC'' Data'!$AK$4:$AM$6,2,FALSE)=0,"Spatial Data Missing ⚠",VLOOKUP(J89,'G-7 WaterC'' Data'!$AK$4:$AM$6,2,FALSE)))</f>
        <v/>
      </c>
      <c r="L89" s="281" t="str">
        <f>IF(J89="","",IF(VLOOKUP(J89,'G-7 WaterC'' Data'!$AK$4:$AM$9,3,FALSE)=0,"Spatial Data Missing ⚠",VLOOKUP(J89,'G-7 WaterC'' Data'!$AK$4:$AM$6,3,FALSE)))</f>
        <v/>
      </c>
      <c r="M89" s="52"/>
      <c r="N89" s="276" t="str">
        <f>IF(M89="","",IF(AND(D89&lt;&gt;"Culvert",M89="N/A - Culvert"),"Not possible ▲",IF(AND(D89="Culvert",M89&lt;&gt;"N/A - Culvert"),"Not possible ▲",IF(VLOOKUP(M89,'G-7 WaterC'' Data'!$AA$4:$AB$7,2,FALSE)=0,"Spatial Data Missing ⚠",VLOOKUP(M89,'G-7 WaterC'' Data'!$AA$4:$AB$7,2,FALSE)))))</f>
        <v/>
      </c>
      <c r="O89" s="56"/>
      <c r="P89" s="276" t="str">
        <f>IF(O89="","",IF(AND(O89="N/A - Culvert",D89&lt;&gt;"Culvert"),"Not possible ▲",IF(AND(D89="Culvert",O89&lt;&gt;"N/A - Culvert"),"Not possible ▲",IF(VLOOKUP(O89,'G-7 WaterC'' Data'!$AD$4:$AE$14,2,FALSE)=0,"Spatial Data Missing ⚠",VLOOKUP(O89,'G-7 WaterC'' Data'!$AD$4:$AE$14,2,FALSE)))))</f>
        <v/>
      </c>
      <c r="Q89" s="282" t="str">
        <f>IF(D89="","",VLOOKUP(D89,'G-7 WaterC'' Data'!$B$2:$G$8,6,FALSE))</f>
        <v/>
      </c>
      <c r="R89" s="289" t="str">
        <f t="shared" si="11"/>
        <v xml:space="preserve"> </v>
      </c>
      <c r="S89" s="803" t="str">
        <f t="shared" si="12"/>
        <v/>
      </c>
      <c r="T89" s="32"/>
      <c r="U89" s="101"/>
      <c r="V89" s="108"/>
      <c r="W89" s="287" t="str">
        <f t="shared" si="13"/>
        <v/>
      </c>
      <c r="X89" s="287" t="str">
        <f t="shared" si="14"/>
        <v/>
      </c>
      <c r="Y89" s="287" t="str">
        <f t="shared" si="15"/>
        <v/>
      </c>
      <c r="Z89" s="317" t="str">
        <f>IFERROR(IF(OR(E89="",R89=""),"",IF(AND(Q89='G-7 WaterC'' Data'!$G$4,AA89="Yes"),"Alternative Compensation ✓",IF(AND(AA89="Pending",Q89='G-7 WaterC'' Data'!$G$4),"Bespoke compensation must be agreed ▲",IF((W89+X89)&gt;=R89,0,R89-W89-X89)))),"Check Data ⚠")</f>
        <v/>
      </c>
      <c r="AA89" s="800"/>
      <c r="AB89" s="136"/>
      <c r="AC89" s="104"/>
      <c r="AD89" s="104"/>
      <c r="AE89" s="54" t="str">
        <f>IF(OR(Q89="",AA89="Yes"),"",IF(Q89='G-1 All Habitats'!$X$9,E89-U89-V89,"None"))</f>
        <v/>
      </c>
      <c r="AF89" s="55" t="str">
        <f>IF(Q89="","",IF(Q89='G-1 All Habitats'!$X$9,AE89*G89*I89*L89*N89*P89,"None"))</f>
        <v/>
      </c>
      <c r="AI89" s="30">
        <f t="shared" si="16"/>
        <v>0</v>
      </c>
      <c r="AJ89" s="107" t="str">
        <f t="shared" si="17"/>
        <v/>
      </c>
      <c r="AK89" s="107" t="str">
        <f t="shared" si="18"/>
        <v/>
      </c>
      <c r="AM89" s="107">
        <v>80</v>
      </c>
      <c r="AO89" s="107" t="str">
        <f t="array" ref="AO89">IFERROR(INDEX($AM$10:$AM$258,MATCH(0,IF(TRUE=$AJ$10:$AJ$258,COUNTIF($AO$9:$AO88,$AM$10:$AM$258),""),0)),"")</f>
        <v/>
      </c>
      <c r="AP89" s="107" t="str">
        <f t="array" ref="AP89">IFERROR(INDEX($AM$10:$AM$258,MATCH(0,IF(TRUE=$AK$10:$AK$258,COUNTIF($AP$9:$AP88,$AM$10:$AM$258),""),0)),"")</f>
        <v/>
      </c>
      <c r="AR89" s="30" t="str">
        <f>IFERROR(INDEX('G-7 WaterC'' Data'!$AZ$3:$AZ$7,MATCH(D89,'G-7 WaterC'' Data'!$AY$3:$AY$7,0)),"")</f>
        <v/>
      </c>
      <c r="AS89" s="30" t="str">
        <f>IFERROR(INDEX('G-7 WaterC'' Data'!AZ89:AZ93,MATCH(D89,'G-7 WaterC'' Data'!$AY$10:$AY$14,0)),"")</f>
        <v/>
      </c>
      <c r="AT89" s="885" t="str">
        <f>IF(AND(OR(AA89="Yes",AA89="Pending"),Q89='G-7 WaterC'' Data'!$G$4),R89-W89-X89,"")</f>
        <v/>
      </c>
      <c r="AU89" s="30" t="str">
        <f>IF(D89="","",VLOOKUP(D89,'G-7 WaterC'' Data'!B$4:M$8,12,FALSE))</f>
        <v/>
      </c>
      <c r="AV89" s="30" t="str">
        <f t="shared" si="10"/>
        <v/>
      </c>
      <c r="AX89" s="30" t="str">
        <f t="shared" si="19"/>
        <v>No</v>
      </c>
    </row>
    <row r="90" spans="3:50" ht="14" hidden="1">
      <c r="C90" s="97">
        <v>81</v>
      </c>
      <c r="D90" s="261"/>
      <c r="E90" s="115"/>
      <c r="F90" s="275" t="str">
        <f>IF(D90="","",VLOOKUP(D90,'G-7 WaterC'' Data'!$B$2:$G$8,2,FALSE))</f>
        <v/>
      </c>
      <c r="G90" s="276" t="str">
        <f>IFERROR(VLOOKUP(F90,'G-7 WaterC'' Data'!$C$4:$D$8,2,FALSE),"")</f>
        <v/>
      </c>
      <c r="H90" s="52"/>
      <c r="I90" s="276" t="str">
        <f>IFERROR(INDEX('G-7 WaterC'' Data'!$H$4:$L$8,MATCH(D90,'G-7 WaterC'' Data'!$B$4:$B$8,0),MATCH(H90,'G-7 WaterC'' Data'!$H$3:$L$3,0)),"")</f>
        <v/>
      </c>
      <c r="J90" s="777"/>
      <c r="K90" s="311" t="str">
        <f>IF(J90="","",IF(VLOOKUP(J90,'G-7 WaterC'' Data'!$AK$4:$AM$6,2,FALSE)=0,"Spatial Data Missing ⚠",VLOOKUP(J90,'G-7 WaterC'' Data'!$AK$4:$AM$6,2,FALSE)))</f>
        <v/>
      </c>
      <c r="L90" s="281" t="str">
        <f>IF(J90="","",IF(VLOOKUP(J90,'G-7 WaterC'' Data'!$AK$4:$AM$9,3,FALSE)=0,"Spatial Data Missing ⚠",VLOOKUP(J90,'G-7 WaterC'' Data'!$AK$4:$AM$6,3,FALSE)))</f>
        <v/>
      </c>
      <c r="M90" s="52"/>
      <c r="N90" s="276" t="str">
        <f>IF(M90="","",IF(AND(D90&lt;&gt;"Culvert",M90="N/A - Culvert"),"Not possible ▲",IF(AND(D90="Culvert",M90&lt;&gt;"N/A - Culvert"),"Not possible ▲",IF(VLOOKUP(M90,'G-7 WaterC'' Data'!$AA$4:$AB$7,2,FALSE)=0,"Spatial Data Missing ⚠",VLOOKUP(M90,'G-7 WaterC'' Data'!$AA$4:$AB$7,2,FALSE)))))</f>
        <v/>
      </c>
      <c r="O90" s="56"/>
      <c r="P90" s="276" t="str">
        <f>IF(O90="","",IF(AND(O90="N/A - Culvert",D90&lt;&gt;"Culvert"),"Not possible ▲",IF(AND(D90="Culvert",O90&lt;&gt;"N/A - Culvert"),"Not possible ▲",IF(VLOOKUP(O90,'G-7 WaterC'' Data'!$AD$4:$AE$14,2,FALSE)=0,"Spatial Data Missing ⚠",VLOOKUP(O90,'G-7 WaterC'' Data'!$AD$4:$AE$14,2,FALSE)))))</f>
        <v/>
      </c>
      <c r="Q90" s="282" t="str">
        <f>IF(D90="","",VLOOKUP(D90,'G-7 WaterC'' Data'!$B$2:$G$8,6,FALSE))</f>
        <v/>
      </c>
      <c r="R90" s="289" t="str">
        <f t="shared" si="11"/>
        <v xml:space="preserve"> </v>
      </c>
      <c r="S90" s="803" t="str">
        <f t="shared" si="12"/>
        <v/>
      </c>
      <c r="T90" s="32"/>
      <c r="U90" s="101"/>
      <c r="V90" s="108"/>
      <c r="W90" s="287" t="str">
        <f t="shared" si="13"/>
        <v/>
      </c>
      <c r="X90" s="287" t="str">
        <f t="shared" si="14"/>
        <v/>
      </c>
      <c r="Y90" s="287" t="str">
        <f t="shared" si="15"/>
        <v/>
      </c>
      <c r="Z90" s="317" t="str">
        <f>IFERROR(IF(OR(E90="",R90=""),"",IF(AND(Q90='G-7 WaterC'' Data'!$G$4,AA90="Yes"),"Alternative Compensation ✓",IF(AND(AA90="Pending",Q90='G-7 WaterC'' Data'!$G$4),"Bespoke compensation must be agreed ▲",IF((W90+X90)&gt;=R90,0,R90-W90-X90)))),"Check Data ⚠")</f>
        <v/>
      </c>
      <c r="AA90" s="800"/>
      <c r="AB90" s="136"/>
      <c r="AC90" s="104"/>
      <c r="AD90" s="104"/>
      <c r="AE90" s="54" t="str">
        <f>IF(OR(Q90="",AA90="Yes"),"",IF(Q90='G-1 All Habitats'!$X$9,E90-U90-V90,"None"))</f>
        <v/>
      </c>
      <c r="AF90" s="55" t="str">
        <f>IF(Q90="","",IF(Q90='G-1 All Habitats'!$X$9,AE90*G90*I90*L90*N90*P90,"None"))</f>
        <v/>
      </c>
      <c r="AI90" s="30">
        <f t="shared" si="16"/>
        <v>0</v>
      </c>
      <c r="AJ90" s="107" t="str">
        <f t="shared" si="17"/>
        <v/>
      </c>
      <c r="AK90" s="107" t="str">
        <f t="shared" si="18"/>
        <v/>
      </c>
      <c r="AM90" s="107">
        <v>81</v>
      </c>
      <c r="AO90" s="107" t="str">
        <f t="array" ref="AO90">IFERROR(INDEX($AM$10:$AM$258,MATCH(0,IF(TRUE=$AJ$10:$AJ$258,COUNTIF($AO$9:$AO89,$AM$10:$AM$258),""),0)),"")</f>
        <v/>
      </c>
      <c r="AP90" s="107" t="str">
        <f t="array" ref="AP90">IFERROR(INDEX($AM$10:$AM$258,MATCH(0,IF(TRUE=$AK$10:$AK$258,COUNTIF($AP$9:$AP89,$AM$10:$AM$258),""),0)),"")</f>
        <v/>
      </c>
      <c r="AR90" s="30" t="str">
        <f>IFERROR(INDEX('G-7 WaterC'' Data'!$AZ$3:$AZ$7,MATCH(D90,'G-7 WaterC'' Data'!$AY$3:$AY$7,0)),"")</f>
        <v/>
      </c>
      <c r="AS90" s="30" t="str">
        <f>IFERROR(INDEX('G-7 WaterC'' Data'!AZ90:AZ94,MATCH(D90,'G-7 WaterC'' Data'!$AY$10:$AY$14,0)),"")</f>
        <v/>
      </c>
      <c r="AT90" s="885" t="str">
        <f>IF(AND(OR(AA90="Yes",AA90="Pending"),Q90='G-7 WaterC'' Data'!$G$4),R90-W90-X90,"")</f>
        <v/>
      </c>
      <c r="AU90" s="30" t="str">
        <f>IF(D90="","",VLOOKUP(D90,'G-7 WaterC'' Data'!B$4:M$8,12,FALSE))</f>
        <v/>
      </c>
      <c r="AV90" s="30" t="str">
        <f t="shared" si="10"/>
        <v/>
      </c>
      <c r="AX90" s="30" t="str">
        <f t="shared" si="19"/>
        <v>No</v>
      </c>
    </row>
    <row r="91" spans="3:50" ht="14" hidden="1">
      <c r="C91" s="97">
        <v>82</v>
      </c>
      <c r="D91" s="261"/>
      <c r="E91" s="115"/>
      <c r="F91" s="275" t="str">
        <f>IF(D91="","",VLOOKUP(D91,'G-7 WaterC'' Data'!$B$2:$G$8,2,FALSE))</f>
        <v/>
      </c>
      <c r="G91" s="276" t="str">
        <f>IFERROR(VLOOKUP(F91,'G-7 WaterC'' Data'!$C$4:$D$8,2,FALSE),"")</f>
        <v/>
      </c>
      <c r="H91" s="52"/>
      <c r="I91" s="276" t="str">
        <f>IFERROR(INDEX('G-7 WaterC'' Data'!$H$4:$L$8,MATCH(D91,'G-7 WaterC'' Data'!$B$4:$B$8,0),MATCH(H91,'G-7 WaterC'' Data'!$H$3:$L$3,0)),"")</f>
        <v/>
      </c>
      <c r="J91" s="777"/>
      <c r="K91" s="311" t="str">
        <f>IF(J91="","",IF(VLOOKUP(J91,'G-7 WaterC'' Data'!$AK$4:$AM$6,2,FALSE)=0,"Spatial Data Missing ⚠",VLOOKUP(J91,'G-7 WaterC'' Data'!$AK$4:$AM$6,2,FALSE)))</f>
        <v/>
      </c>
      <c r="L91" s="281" t="str">
        <f>IF(J91="","",IF(VLOOKUP(J91,'G-7 WaterC'' Data'!$AK$4:$AM$9,3,FALSE)=0,"Spatial Data Missing ⚠",VLOOKUP(J91,'G-7 WaterC'' Data'!$AK$4:$AM$6,3,FALSE)))</f>
        <v/>
      </c>
      <c r="M91" s="52"/>
      <c r="N91" s="276" t="str">
        <f>IF(M91="","",IF(AND(D91&lt;&gt;"Culvert",M91="N/A - Culvert"),"Not possible ▲",IF(AND(D91="Culvert",M91&lt;&gt;"N/A - Culvert"),"Not possible ▲",IF(VLOOKUP(M91,'G-7 WaterC'' Data'!$AA$4:$AB$7,2,FALSE)=0,"Spatial Data Missing ⚠",VLOOKUP(M91,'G-7 WaterC'' Data'!$AA$4:$AB$7,2,FALSE)))))</f>
        <v/>
      </c>
      <c r="O91" s="56"/>
      <c r="P91" s="276" t="str">
        <f>IF(O91="","",IF(AND(O91="N/A - Culvert",D91&lt;&gt;"Culvert"),"Not possible ▲",IF(AND(D91="Culvert",O91&lt;&gt;"N/A - Culvert"),"Not possible ▲",IF(VLOOKUP(O91,'G-7 WaterC'' Data'!$AD$4:$AE$14,2,FALSE)=0,"Spatial Data Missing ⚠",VLOOKUP(O91,'G-7 WaterC'' Data'!$AD$4:$AE$14,2,FALSE)))))</f>
        <v/>
      </c>
      <c r="Q91" s="282" t="str">
        <f>IF(D91="","",VLOOKUP(D91,'G-7 WaterC'' Data'!$B$2:$G$8,6,FALSE))</f>
        <v/>
      </c>
      <c r="R91" s="289" t="str">
        <f t="shared" si="11"/>
        <v xml:space="preserve"> </v>
      </c>
      <c r="S91" s="803" t="str">
        <f t="shared" si="12"/>
        <v/>
      </c>
      <c r="T91" s="32"/>
      <c r="U91" s="101"/>
      <c r="V91" s="108"/>
      <c r="W91" s="287" t="str">
        <f t="shared" si="13"/>
        <v/>
      </c>
      <c r="X91" s="287" t="str">
        <f t="shared" si="14"/>
        <v/>
      </c>
      <c r="Y91" s="287" t="str">
        <f t="shared" si="15"/>
        <v/>
      </c>
      <c r="Z91" s="317" t="str">
        <f>IFERROR(IF(OR(E91="",R91=""),"",IF(AND(Q91='G-7 WaterC'' Data'!$G$4,AA91="Yes"),"Alternative Compensation ✓",IF(AND(AA91="Pending",Q91='G-7 WaterC'' Data'!$G$4),"Bespoke compensation must be agreed ▲",IF((W91+X91)&gt;=R91,0,R91-W91-X91)))),"Check Data ⚠")</f>
        <v/>
      </c>
      <c r="AA91" s="800"/>
      <c r="AB91" s="136"/>
      <c r="AC91" s="104"/>
      <c r="AD91" s="104"/>
      <c r="AE91" s="54" t="str">
        <f>IF(OR(Q91="",AA91="Yes"),"",IF(Q91='G-1 All Habitats'!$X$9,E91-U91-V91,"None"))</f>
        <v/>
      </c>
      <c r="AF91" s="55" t="str">
        <f>IF(Q91="","",IF(Q91='G-1 All Habitats'!$X$9,AE91*G91*I91*L91*N91*P91,"None"))</f>
        <v/>
      </c>
      <c r="AI91" s="30">
        <f t="shared" si="16"/>
        <v>0</v>
      </c>
      <c r="AJ91" s="107" t="str">
        <f t="shared" si="17"/>
        <v/>
      </c>
      <c r="AK91" s="107" t="str">
        <f t="shared" si="18"/>
        <v/>
      </c>
      <c r="AM91" s="107">
        <v>82</v>
      </c>
      <c r="AO91" s="107" t="str">
        <f t="array" ref="AO91">IFERROR(INDEX($AM$10:$AM$258,MATCH(0,IF(TRUE=$AJ$10:$AJ$258,COUNTIF($AO$9:$AO90,$AM$10:$AM$258),""),0)),"")</f>
        <v/>
      </c>
      <c r="AP91" s="107" t="str">
        <f t="array" ref="AP91">IFERROR(INDEX($AM$10:$AM$258,MATCH(0,IF(TRUE=$AK$10:$AK$258,COUNTIF($AP$9:$AP90,$AM$10:$AM$258),""),0)),"")</f>
        <v/>
      </c>
      <c r="AR91" s="30" t="str">
        <f>IFERROR(INDEX('G-7 WaterC'' Data'!$AZ$3:$AZ$7,MATCH(D91,'G-7 WaterC'' Data'!$AY$3:$AY$7,0)),"")</f>
        <v/>
      </c>
      <c r="AS91" s="30" t="str">
        <f>IFERROR(INDEX('G-7 WaterC'' Data'!AZ91:AZ95,MATCH(D91,'G-7 WaterC'' Data'!$AY$10:$AY$14,0)),"")</f>
        <v/>
      </c>
      <c r="AT91" s="885" t="str">
        <f>IF(AND(OR(AA91="Yes",AA91="Pending"),Q91='G-7 WaterC'' Data'!$G$4),R91-W91-X91,"")</f>
        <v/>
      </c>
      <c r="AU91" s="30" t="str">
        <f>IF(D91="","",VLOOKUP(D91,'G-7 WaterC'' Data'!B$4:M$8,12,FALSE))</f>
        <v/>
      </c>
      <c r="AV91" s="30" t="str">
        <f t="shared" si="10"/>
        <v/>
      </c>
      <c r="AX91" s="30" t="str">
        <f t="shared" si="19"/>
        <v>No</v>
      </c>
    </row>
    <row r="92" spans="3:50" ht="14" hidden="1">
      <c r="C92" s="97">
        <v>83</v>
      </c>
      <c r="D92" s="261"/>
      <c r="E92" s="115"/>
      <c r="F92" s="275" t="str">
        <f>IF(D92="","",VLOOKUP(D92,'G-7 WaterC'' Data'!$B$2:$G$8,2,FALSE))</f>
        <v/>
      </c>
      <c r="G92" s="276" t="str">
        <f>IFERROR(VLOOKUP(F92,'G-7 WaterC'' Data'!$C$4:$D$8,2,FALSE),"")</f>
        <v/>
      </c>
      <c r="H92" s="52"/>
      <c r="I92" s="276" t="str">
        <f>IFERROR(INDEX('G-7 WaterC'' Data'!$H$4:$L$8,MATCH(D92,'G-7 WaterC'' Data'!$B$4:$B$8,0),MATCH(H92,'G-7 WaterC'' Data'!$H$3:$L$3,0)),"")</f>
        <v/>
      </c>
      <c r="J92" s="777"/>
      <c r="K92" s="311" t="str">
        <f>IF(J92="","",IF(VLOOKUP(J92,'G-7 WaterC'' Data'!$AK$4:$AM$6,2,FALSE)=0,"Spatial Data Missing ⚠",VLOOKUP(J92,'G-7 WaterC'' Data'!$AK$4:$AM$6,2,FALSE)))</f>
        <v/>
      </c>
      <c r="L92" s="281" t="str">
        <f>IF(J92="","",IF(VLOOKUP(J92,'G-7 WaterC'' Data'!$AK$4:$AM$9,3,FALSE)=0,"Spatial Data Missing ⚠",VLOOKUP(J92,'G-7 WaterC'' Data'!$AK$4:$AM$6,3,FALSE)))</f>
        <v/>
      </c>
      <c r="M92" s="52"/>
      <c r="N92" s="276" t="str">
        <f>IF(M92="","",IF(AND(D92&lt;&gt;"Culvert",M92="N/A - Culvert"),"Not possible ▲",IF(AND(D92="Culvert",M92&lt;&gt;"N/A - Culvert"),"Not possible ▲",IF(VLOOKUP(M92,'G-7 WaterC'' Data'!$AA$4:$AB$7,2,FALSE)=0,"Spatial Data Missing ⚠",VLOOKUP(M92,'G-7 WaterC'' Data'!$AA$4:$AB$7,2,FALSE)))))</f>
        <v/>
      </c>
      <c r="O92" s="56"/>
      <c r="P92" s="276" t="str">
        <f>IF(O92="","",IF(AND(O92="N/A - Culvert",D92&lt;&gt;"Culvert"),"Not possible ▲",IF(AND(D92="Culvert",O92&lt;&gt;"N/A - Culvert"),"Not possible ▲",IF(VLOOKUP(O92,'G-7 WaterC'' Data'!$AD$4:$AE$14,2,FALSE)=0,"Spatial Data Missing ⚠",VLOOKUP(O92,'G-7 WaterC'' Data'!$AD$4:$AE$14,2,FALSE)))))</f>
        <v/>
      </c>
      <c r="Q92" s="282" t="str">
        <f>IF(D92="","",VLOOKUP(D92,'G-7 WaterC'' Data'!$B$2:$G$8,6,FALSE))</f>
        <v/>
      </c>
      <c r="R92" s="289" t="str">
        <f t="shared" si="11"/>
        <v xml:space="preserve"> </v>
      </c>
      <c r="S92" s="803" t="str">
        <f t="shared" si="12"/>
        <v/>
      </c>
      <c r="T92" s="32"/>
      <c r="U92" s="101"/>
      <c r="V92" s="108"/>
      <c r="W92" s="287" t="str">
        <f t="shared" si="13"/>
        <v/>
      </c>
      <c r="X92" s="287" t="str">
        <f t="shared" si="14"/>
        <v/>
      </c>
      <c r="Y92" s="287" t="str">
        <f t="shared" si="15"/>
        <v/>
      </c>
      <c r="Z92" s="317" t="str">
        <f>IFERROR(IF(OR(E92="",R92=""),"",IF(AND(Q92='G-7 WaterC'' Data'!$G$4,AA92="Yes"),"Alternative Compensation ✓",IF(AND(AA92="Pending",Q92='G-7 WaterC'' Data'!$G$4),"Bespoke compensation must be agreed ▲",IF((W92+X92)&gt;=R92,0,R92-W92-X92)))),"Check Data ⚠")</f>
        <v/>
      </c>
      <c r="AA92" s="800"/>
      <c r="AB92" s="136"/>
      <c r="AC92" s="104"/>
      <c r="AD92" s="104"/>
      <c r="AE92" s="54" t="str">
        <f>IF(OR(Q92="",AA92="Yes"),"",IF(Q92='G-1 All Habitats'!$X$9,E92-U92-V92,"None"))</f>
        <v/>
      </c>
      <c r="AF92" s="55" t="str">
        <f>IF(Q92="","",IF(Q92='G-1 All Habitats'!$X$9,AE92*G92*I92*L92*N92*P92,"None"))</f>
        <v/>
      </c>
      <c r="AI92" s="30">
        <f t="shared" si="16"/>
        <v>0</v>
      </c>
      <c r="AJ92" s="107" t="str">
        <f t="shared" si="17"/>
        <v/>
      </c>
      <c r="AK92" s="107" t="str">
        <f t="shared" si="18"/>
        <v/>
      </c>
      <c r="AM92" s="107">
        <v>83</v>
      </c>
      <c r="AO92" s="107" t="str">
        <f t="array" ref="AO92">IFERROR(INDEX($AM$10:$AM$258,MATCH(0,IF(TRUE=$AJ$10:$AJ$258,COUNTIF($AO$9:$AO91,$AM$10:$AM$258),""),0)),"")</f>
        <v/>
      </c>
      <c r="AP92" s="107" t="str">
        <f t="array" ref="AP92">IFERROR(INDEX($AM$10:$AM$258,MATCH(0,IF(TRUE=$AK$10:$AK$258,COUNTIF($AP$9:$AP91,$AM$10:$AM$258),""),0)),"")</f>
        <v/>
      </c>
      <c r="AR92" s="30" t="str">
        <f>IFERROR(INDEX('G-7 WaterC'' Data'!$AZ$3:$AZ$7,MATCH(D92,'G-7 WaterC'' Data'!$AY$3:$AY$7,0)),"")</f>
        <v/>
      </c>
      <c r="AS92" s="30" t="str">
        <f>IFERROR(INDEX('G-7 WaterC'' Data'!AZ92:AZ96,MATCH(D92,'G-7 WaterC'' Data'!$AY$10:$AY$14,0)),"")</f>
        <v/>
      </c>
      <c r="AT92" s="885" t="str">
        <f>IF(AND(OR(AA92="Yes",AA92="Pending"),Q92='G-7 WaterC'' Data'!$G$4),R92-W92-X92,"")</f>
        <v/>
      </c>
      <c r="AU92" s="30" t="str">
        <f>IF(D92="","",VLOOKUP(D92,'G-7 WaterC'' Data'!B$4:M$8,12,FALSE))</f>
        <v/>
      </c>
      <c r="AV92" s="30" t="str">
        <f t="shared" si="10"/>
        <v/>
      </c>
      <c r="AX92" s="30" t="str">
        <f t="shared" si="19"/>
        <v>No</v>
      </c>
    </row>
    <row r="93" spans="3:50" ht="14" hidden="1">
      <c r="C93" s="97">
        <v>84</v>
      </c>
      <c r="D93" s="261"/>
      <c r="E93" s="115"/>
      <c r="F93" s="275" t="str">
        <f>IF(D93="","",VLOOKUP(D93,'G-7 WaterC'' Data'!$B$2:$G$8,2,FALSE))</f>
        <v/>
      </c>
      <c r="G93" s="276" t="str">
        <f>IFERROR(VLOOKUP(F93,'G-7 WaterC'' Data'!$C$4:$D$8,2,FALSE),"")</f>
        <v/>
      </c>
      <c r="H93" s="52"/>
      <c r="I93" s="276" t="str">
        <f>IFERROR(INDEX('G-7 WaterC'' Data'!$H$4:$L$8,MATCH(D93,'G-7 WaterC'' Data'!$B$4:$B$8,0),MATCH(H93,'G-7 WaterC'' Data'!$H$3:$L$3,0)),"")</f>
        <v/>
      </c>
      <c r="J93" s="777"/>
      <c r="K93" s="311" t="str">
        <f>IF(J93="","",IF(VLOOKUP(J93,'G-7 WaterC'' Data'!$AK$4:$AM$6,2,FALSE)=0,"Spatial Data Missing ⚠",VLOOKUP(J93,'G-7 WaterC'' Data'!$AK$4:$AM$6,2,FALSE)))</f>
        <v/>
      </c>
      <c r="L93" s="281" t="str">
        <f>IF(J93="","",IF(VLOOKUP(J93,'G-7 WaterC'' Data'!$AK$4:$AM$9,3,FALSE)=0,"Spatial Data Missing ⚠",VLOOKUP(J93,'G-7 WaterC'' Data'!$AK$4:$AM$6,3,FALSE)))</f>
        <v/>
      </c>
      <c r="M93" s="52"/>
      <c r="N93" s="276" t="str">
        <f>IF(M93="","",IF(AND(D93&lt;&gt;"Culvert",M93="N/A - Culvert"),"Not possible ▲",IF(AND(D93="Culvert",M93&lt;&gt;"N/A - Culvert"),"Not possible ▲",IF(VLOOKUP(M93,'G-7 WaterC'' Data'!$AA$4:$AB$7,2,FALSE)=0,"Spatial Data Missing ⚠",VLOOKUP(M93,'G-7 WaterC'' Data'!$AA$4:$AB$7,2,FALSE)))))</f>
        <v/>
      </c>
      <c r="O93" s="56"/>
      <c r="P93" s="276" t="str">
        <f>IF(O93="","",IF(AND(O93="N/A - Culvert",D93&lt;&gt;"Culvert"),"Not possible ▲",IF(AND(D93="Culvert",O93&lt;&gt;"N/A - Culvert"),"Not possible ▲",IF(VLOOKUP(O93,'G-7 WaterC'' Data'!$AD$4:$AE$14,2,FALSE)=0,"Spatial Data Missing ⚠",VLOOKUP(O93,'G-7 WaterC'' Data'!$AD$4:$AE$14,2,FALSE)))))</f>
        <v/>
      </c>
      <c r="Q93" s="282" t="str">
        <f>IF(D93="","",VLOOKUP(D93,'G-7 WaterC'' Data'!$B$2:$G$8,6,FALSE))</f>
        <v/>
      </c>
      <c r="R93" s="289" t="str">
        <f t="shared" si="11"/>
        <v xml:space="preserve"> </v>
      </c>
      <c r="S93" s="803" t="str">
        <f t="shared" si="12"/>
        <v/>
      </c>
      <c r="T93" s="32"/>
      <c r="U93" s="101"/>
      <c r="V93" s="108"/>
      <c r="W93" s="287" t="str">
        <f t="shared" si="13"/>
        <v/>
      </c>
      <c r="X93" s="287" t="str">
        <f t="shared" si="14"/>
        <v/>
      </c>
      <c r="Y93" s="287" t="str">
        <f t="shared" si="15"/>
        <v/>
      </c>
      <c r="Z93" s="317" t="str">
        <f>IFERROR(IF(OR(E93="",R93=""),"",IF(AND(Q93='G-7 WaterC'' Data'!$G$4,AA93="Yes"),"Alternative Compensation ✓",IF(AND(AA93="Pending",Q93='G-7 WaterC'' Data'!$G$4),"Bespoke compensation must be agreed ▲",IF((W93+X93)&gt;=R93,0,R93-W93-X93)))),"Check Data ⚠")</f>
        <v/>
      </c>
      <c r="AA93" s="800"/>
      <c r="AB93" s="136"/>
      <c r="AC93" s="104"/>
      <c r="AD93" s="104"/>
      <c r="AE93" s="54" t="str">
        <f>IF(OR(Q93="",AA93="Yes"),"",IF(Q93='G-1 All Habitats'!$X$9,E93-U93-V93,"None"))</f>
        <v/>
      </c>
      <c r="AF93" s="55" t="str">
        <f>IF(Q93="","",IF(Q93='G-1 All Habitats'!$X$9,AE93*G93*I93*L93*N93*P93,"None"))</f>
        <v/>
      </c>
      <c r="AI93" s="30">
        <f t="shared" si="16"/>
        <v>0</v>
      </c>
      <c r="AJ93" s="107" t="str">
        <f t="shared" si="17"/>
        <v/>
      </c>
      <c r="AK93" s="107" t="str">
        <f t="shared" si="18"/>
        <v/>
      </c>
      <c r="AM93" s="107">
        <v>84</v>
      </c>
      <c r="AO93" s="107" t="str">
        <f t="array" ref="AO93">IFERROR(INDEX($AM$10:$AM$258,MATCH(0,IF(TRUE=$AJ$10:$AJ$258,COUNTIF($AO$9:$AO92,$AM$10:$AM$258),""),0)),"")</f>
        <v/>
      </c>
      <c r="AP93" s="107" t="str">
        <f t="array" ref="AP93">IFERROR(INDEX($AM$10:$AM$258,MATCH(0,IF(TRUE=$AK$10:$AK$258,COUNTIF($AP$9:$AP92,$AM$10:$AM$258),""),0)),"")</f>
        <v/>
      </c>
      <c r="AR93" s="30" t="str">
        <f>IFERROR(INDEX('G-7 WaterC'' Data'!$AZ$3:$AZ$7,MATCH(D93,'G-7 WaterC'' Data'!$AY$3:$AY$7,0)),"")</f>
        <v/>
      </c>
      <c r="AS93" s="30" t="str">
        <f>IFERROR(INDEX('G-7 WaterC'' Data'!AZ93:AZ97,MATCH(D93,'G-7 WaterC'' Data'!$AY$10:$AY$14,0)),"")</f>
        <v/>
      </c>
      <c r="AT93" s="885" t="str">
        <f>IF(AND(OR(AA93="Yes",AA93="Pending"),Q93='G-7 WaterC'' Data'!$G$4),R93-W93-X93,"")</f>
        <v/>
      </c>
      <c r="AU93" s="30" t="str">
        <f>IF(D93="","",VLOOKUP(D93,'G-7 WaterC'' Data'!B$4:M$8,12,FALSE))</f>
        <v/>
      </c>
      <c r="AV93" s="30" t="str">
        <f t="shared" si="10"/>
        <v/>
      </c>
      <c r="AX93" s="30" t="str">
        <f t="shared" si="19"/>
        <v>No</v>
      </c>
    </row>
    <row r="94" spans="3:50" ht="14" hidden="1">
      <c r="C94" s="97">
        <v>85</v>
      </c>
      <c r="D94" s="261"/>
      <c r="E94" s="115"/>
      <c r="F94" s="275" t="str">
        <f>IF(D94="","",VLOOKUP(D94,'G-7 WaterC'' Data'!$B$2:$G$8,2,FALSE))</f>
        <v/>
      </c>
      <c r="G94" s="276" t="str">
        <f>IFERROR(VLOOKUP(F94,'G-7 WaterC'' Data'!$C$4:$D$8,2,FALSE),"")</f>
        <v/>
      </c>
      <c r="H94" s="52"/>
      <c r="I94" s="276" t="str">
        <f>IFERROR(INDEX('G-7 WaterC'' Data'!$H$4:$L$8,MATCH(D94,'G-7 WaterC'' Data'!$B$4:$B$8,0),MATCH(H94,'G-7 WaterC'' Data'!$H$3:$L$3,0)),"")</f>
        <v/>
      </c>
      <c r="J94" s="777"/>
      <c r="K94" s="311" t="str">
        <f>IF(J94="","",IF(VLOOKUP(J94,'G-7 WaterC'' Data'!$AK$4:$AM$6,2,FALSE)=0,"Spatial Data Missing ⚠",VLOOKUP(J94,'G-7 WaterC'' Data'!$AK$4:$AM$6,2,FALSE)))</f>
        <v/>
      </c>
      <c r="L94" s="281" t="str">
        <f>IF(J94="","",IF(VLOOKUP(J94,'G-7 WaterC'' Data'!$AK$4:$AM$9,3,FALSE)=0,"Spatial Data Missing ⚠",VLOOKUP(J94,'G-7 WaterC'' Data'!$AK$4:$AM$6,3,FALSE)))</f>
        <v/>
      </c>
      <c r="M94" s="52"/>
      <c r="N94" s="276" t="str">
        <f>IF(M94="","",IF(AND(D94&lt;&gt;"Culvert",M94="N/A - Culvert"),"Not possible ▲",IF(AND(D94="Culvert",M94&lt;&gt;"N/A - Culvert"),"Not possible ▲",IF(VLOOKUP(M94,'G-7 WaterC'' Data'!$AA$4:$AB$7,2,FALSE)=0,"Spatial Data Missing ⚠",VLOOKUP(M94,'G-7 WaterC'' Data'!$AA$4:$AB$7,2,FALSE)))))</f>
        <v/>
      </c>
      <c r="O94" s="56"/>
      <c r="P94" s="276" t="str">
        <f>IF(O94="","",IF(AND(O94="N/A - Culvert",D94&lt;&gt;"Culvert"),"Not possible ▲",IF(AND(D94="Culvert",O94&lt;&gt;"N/A - Culvert"),"Not possible ▲",IF(VLOOKUP(O94,'G-7 WaterC'' Data'!$AD$4:$AE$14,2,FALSE)=0,"Spatial Data Missing ⚠",VLOOKUP(O94,'G-7 WaterC'' Data'!$AD$4:$AE$14,2,FALSE)))))</f>
        <v/>
      </c>
      <c r="Q94" s="282" t="str">
        <f>IF(D94="","",VLOOKUP(D94,'G-7 WaterC'' Data'!$B$2:$G$8,6,FALSE))</f>
        <v/>
      </c>
      <c r="R94" s="289" t="str">
        <f t="shared" si="11"/>
        <v xml:space="preserve"> </v>
      </c>
      <c r="S94" s="803" t="str">
        <f t="shared" si="12"/>
        <v/>
      </c>
      <c r="T94" s="32"/>
      <c r="U94" s="101"/>
      <c r="V94" s="108"/>
      <c r="W94" s="287" t="str">
        <f t="shared" si="13"/>
        <v/>
      </c>
      <c r="X94" s="287" t="str">
        <f t="shared" si="14"/>
        <v/>
      </c>
      <c r="Y94" s="287" t="str">
        <f t="shared" si="15"/>
        <v/>
      </c>
      <c r="Z94" s="317" t="str">
        <f>IFERROR(IF(OR(E94="",R94=""),"",IF(AND(Q94='G-7 WaterC'' Data'!$G$4,AA94="Yes"),"Alternative Compensation ✓",IF(AND(AA94="Pending",Q94='G-7 WaterC'' Data'!$G$4),"Bespoke compensation must be agreed ▲",IF((W94+X94)&gt;=R94,0,R94-W94-X94)))),"Check Data ⚠")</f>
        <v/>
      </c>
      <c r="AA94" s="800"/>
      <c r="AB94" s="136"/>
      <c r="AC94" s="104"/>
      <c r="AD94" s="104"/>
      <c r="AE94" s="54" t="str">
        <f>IF(OR(Q94="",AA94="Yes"),"",IF(Q94='G-1 All Habitats'!$X$9,E94-U94-V94,"None"))</f>
        <v/>
      </c>
      <c r="AF94" s="55" t="str">
        <f>IF(Q94="","",IF(Q94='G-1 All Habitats'!$X$9,AE94*G94*I94*L94*N94*P94,"None"))</f>
        <v/>
      </c>
      <c r="AI94" s="30">
        <f t="shared" si="16"/>
        <v>0</v>
      </c>
      <c r="AJ94" s="107" t="str">
        <f t="shared" si="17"/>
        <v/>
      </c>
      <c r="AK94" s="107" t="str">
        <f t="shared" si="18"/>
        <v/>
      </c>
      <c r="AM94" s="107">
        <v>85</v>
      </c>
      <c r="AO94" s="107" t="str">
        <f t="array" ref="AO94">IFERROR(INDEX($AM$10:$AM$258,MATCH(0,IF(TRUE=$AJ$10:$AJ$258,COUNTIF($AO$9:$AO93,$AM$10:$AM$258),""),0)),"")</f>
        <v/>
      </c>
      <c r="AP94" s="107" t="str">
        <f t="array" ref="AP94">IFERROR(INDEX($AM$10:$AM$258,MATCH(0,IF(TRUE=$AK$10:$AK$258,COUNTIF($AP$9:$AP93,$AM$10:$AM$258),""),0)),"")</f>
        <v/>
      </c>
      <c r="AR94" s="30" t="str">
        <f>IFERROR(INDEX('G-7 WaterC'' Data'!$AZ$3:$AZ$7,MATCH(D94,'G-7 WaterC'' Data'!$AY$3:$AY$7,0)),"")</f>
        <v/>
      </c>
      <c r="AS94" s="30" t="str">
        <f>IFERROR(INDEX('G-7 WaterC'' Data'!AZ94:AZ98,MATCH(D94,'G-7 WaterC'' Data'!$AY$10:$AY$14,0)),"")</f>
        <v/>
      </c>
      <c r="AT94" s="885" t="str">
        <f>IF(AND(OR(AA94="Yes",AA94="Pending"),Q94='G-7 WaterC'' Data'!$G$4),R94-W94-X94,"")</f>
        <v/>
      </c>
      <c r="AU94" s="30" t="str">
        <f>IF(D94="","",VLOOKUP(D94,'G-7 WaterC'' Data'!B$4:M$8,12,FALSE))</f>
        <v/>
      </c>
      <c r="AV94" s="30" t="str">
        <f t="shared" si="10"/>
        <v/>
      </c>
      <c r="AX94" s="30" t="str">
        <f t="shared" si="19"/>
        <v>No</v>
      </c>
    </row>
    <row r="95" spans="3:50" ht="14" hidden="1">
      <c r="C95" s="97">
        <v>86</v>
      </c>
      <c r="D95" s="261"/>
      <c r="E95" s="115"/>
      <c r="F95" s="275" t="str">
        <f>IF(D95="","",VLOOKUP(D95,'G-7 WaterC'' Data'!$B$2:$G$8,2,FALSE))</f>
        <v/>
      </c>
      <c r="G95" s="276" t="str">
        <f>IFERROR(VLOOKUP(F95,'G-7 WaterC'' Data'!$C$4:$D$8,2,FALSE),"")</f>
        <v/>
      </c>
      <c r="H95" s="52"/>
      <c r="I95" s="276" t="str">
        <f>IFERROR(INDEX('G-7 WaterC'' Data'!$H$4:$L$8,MATCH(D95,'G-7 WaterC'' Data'!$B$4:$B$8,0),MATCH(H95,'G-7 WaterC'' Data'!$H$3:$L$3,0)),"")</f>
        <v/>
      </c>
      <c r="J95" s="777"/>
      <c r="K95" s="311" t="str">
        <f>IF(J95="","",IF(VLOOKUP(J95,'G-7 WaterC'' Data'!$AK$4:$AM$6,2,FALSE)=0,"Spatial Data Missing ⚠",VLOOKUP(J95,'G-7 WaterC'' Data'!$AK$4:$AM$6,2,FALSE)))</f>
        <v/>
      </c>
      <c r="L95" s="281" t="str">
        <f>IF(J95="","",IF(VLOOKUP(J95,'G-7 WaterC'' Data'!$AK$4:$AM$9,3,FALSE)=0,"Spatial Data Missing ⚠",VLOOKUP(J95,'G-7 WaterC'' Data'!$AK$4:$AM$6,3,FALSE)))</f>
        <v/>
      </c>
      <c r="M95" s="52"/>
      <c r="N95" s="276" t="str">
        <f>IF(M95="","",IF(AND(D95&lt;&gt;"Culvert",M95="N/A - Culvert"),"Not possible ▲",IF(AND(D95="Culvert",M95&lt;&gt;"N/A - Culvert"),"Not possible ▲",IF(VLOOKUP(M95,'G-7 WaterC'' Data'!$AA$4:$AB$7,2,FALSE)=0,"Spatial Data Missing ⚠",VLOOKUP(M95,'G-7 WaterC'' Data'!$AA$4:$AB$7,2,FALSE)))))</f>
        <v/>
      </c>
      <c r="O95" s="56"/>
      <c r="P95" s="276" t="str">
        <f>IF(O95="","",IF(AND(O95="N/A - Culvert",D95&lt;&gt;"Culvert"),"Not possible ▲",IF(AND(D95="Culvert",O95&lt;&gt;"N/A - Culvert"),"Not possible ▲",IF(VLOOKUP(O95,'G-7 WaterC'' Data'!$AD$4:$AE$14,2,FALSE)=0,"Spatial Data Missing ⚠",VLOOKUP(O95,'G-7 WaterC'' Data'!$AD$4:$AE$14,2,FALSE)))))</f>
        <v/>
      </c>
      <c r="Q95" s="282" t="str">
        <f>IF(D95="","",VLOOKUP(D95,'G-7 WaterC'' Data'!$B$2:$G$8,6,FALSE))</f>
        <v/>
      </c>
      <c r="R95" s="289" t="str">
        <f t="shared" si="11"/>
        <v xml:space="preserve"> </v>
      </c>
      <c r="S95" s="803" t="str">
        <f t="shared" si="12"/>
        <v/>
      </c>
      <c r="T95" s="32"/>
      <c r="U95" s="101"/>
      <c r="V95" s="108"/>
      <c r="W95" s="287" t="str">
        <f t="shared" si="13"/>
        <v/>
      </c>
      <c r="X95" s="287" t="str">
        <f t="shared" si="14"/>
        <v/>
      </c>
      <c r="Y95" s="287" t="str">
        <f t="shared" si="15"/>
        <v/>
      </c>
      <c r="Z95" s="317" t="str">
        <f>IFERROR(IF(OR(E95="",R95=""),"",IF(AND(Q95='G-7 WaterC'' Data'!$G$4,AA95="Yes"),"Alternative Compensation ✓",IF(AND(AA95="Pending",Q95='G-7 WaterC'' Data'!$G$4),"Bespoke compensation must be agreed ▲",IF((W95+X95)&gt;=R95,0,R95-W95-X95)))),"Check Data ⚠")</f>
        <v/>
      </c>
      <c r="AA95" s="800"/>
      <c r="AB95" s="136"/>
      <c r="AC95" s="104"/>
      <c r="AD95" s="104"/>
      <c r="AE95" s="54" t="str">
        <f>IF(OR(Q95="",AA95="Yes"),"",IF(Q95='G-1 All Habitats'!$X$9,E95-U95-V95,"None"))</f>
        <v/>
      </c>
      <c r="AF95" s="55" t="str">
        <f>IF(Q95="","",IF(Q95='G-1 All Habitats'!$X$9,AE95*G95*I95*L95*N95*P95,"None"))</f>
        <v/>
      </c>
      <c r="AI95" s="30">
        <f t="shared" si="16"/>
        <v>0</v>
      </c>
      <c r="AJ95" s="107" t="str">
        <f t="shared" si="17"/>
        <v/>
      </c>
      <c r="AK95" s="107" t="str">
        <f t="shared" si="18"/>
        <v/>
      </c>
      <c r="AM95" s="107">
        <v>86</v>
      </c>
      <c r="AO95" s="107" t="str">
        <f t="array" ref="AO95">IFERROR(INDEX($AM$10:$AM$258,MATCH(0,IF(TRUE=$AJ$10:$AJ$258,COUNTIF($AO$9:$AO94,$AM$10:$AM$258),""),0)),"")</f>
        <v/>
      </c>
      <c r="AP95" s="107" t="str">
        <f t="array" ref="AP95">IFERROR(INDEX($AM$10:$AM$258,MATCH(0,IF(TRUE=$AK$10:$AK$258,COUNTIF($AP$9:$AP94,$AM$10:$AM$258),""),0)),"")</f>
        <v/>
      </c>
      <c r="AR95" s="30" t="str">
        <f>IFERROR(INDEX('G-7 WaterC'' Data'!$AZ$3:$AZ$7,MATCH(D95,'G-7 WaterC'' Data'!$AY$3:$AY$7,0)),"")</f>
        <v/>
      </c>
      <c r="AS95" s="30" t="str">
        <f>IFERROR(INDEX('G-7 WaterC'' Data'!AZ95:AZ99,MATCH(D95,'G-7 WaterC'' Data'!$AY$10:$AY$14,0)),"")</f>
        <v/>
      </c>
      <c r="AT95" s="885" t="str">
        <f>IF(AND(OR(AA95="Yes",AA95="Pending"),Q95='G-7 WaterC'' Data'!$G$4),R95-W95-X95,"")</f>
        <v/>
      </c>
      <c r="AU95" s="30" t="str">
        <f>IF(D95="","",VLOOKUP(D95,'G-7 WaterC'' Data'!B$4:M$8,12,FALSE))</f>
        <v/>
      </c>
      <c r="AV95" s="30" t="str">
        <f t="shared" si="10"/>
        <v/>
      </c>
      <c r="AX95" s="30" t="str">
        <f t="shared" si="19"/>
        <v>No</v>
      </c>
    </row>
    <row r="96" spans="3:50" ht="14" hidden="1">
      <c r="C96" s="97">
        <v>87</v>
      </c>
      <c r="D96" s="261"/>
      <c r="E96" s="115"/>
      <c r="F96" s="275" t="str">
        <f>IF(D96="","",VLOOKUP(D96,'G-7 WaterC'' Data'!$B$2:$G$8,2,FALSE))</f>
        <v/>
      </c>
      <c r="G96" s="276" t="str">
        <f>IFERROR(VLOOKUP(F96,'G-7 WaterC'' Data'!$C$4:$D$8,2,FALSE),"")</f>
        <v/>
      </c>
      <c r="H96" s="52"/>
      <c r="I96" s="276" t="str">
        <f>IFERROR(INDEX('G-7 WaterC'' Data'!$H$4:$L$8,MATCH(D96,'G-7 WaterC'' Data'!$B$4:$B$8,0),MATCH(H96,'G-7 WaterC'' Data'!$H$3:$L$3,0)),"")</f>
        <v/>
      </c>
      <c r="J96" s="777"/>
      <c r="K96" s="311" t="str">
        <f>IF(J96="","",IF(VLOOKUP(J96,'G-7 WaterC'' Data'!$AK$4:$AM$6,2,FALSE)=0,"Spatial Data Missing ⚠",VLOOKUP(J96,'G-7 WaterC'' Data'!$AK$4:$AM$6,2,FALSE)))</f>
        <v/>
      </c>
      <c r="L96" s="281" t="str">
        <f>IF(J96="","",IF(VLOOKUP(J96,'G-7 WaterC'' Data'!$AK$4:$AM$9,3,FALSE)=0,"Spatial Data Missing ⚠",VLOOKUP(J96,'G-7 WaterC'' Data'!$AK$4:$AM$6,3,FALSE)))</f>
        <v/>
      </c>
      <c r="M96" s="52"/>
      <c r="N96" s="276" t="str">
        <f>IF(M96="","",IF(AND(D96&lt;&gt;"Culvert",M96="N/A - Culvert"),"Not possible ▲",IF(AND(D96="Culvert",M96&lt;&gt;"N/A - Culvert"),"Not possible ▲",IF(VLOOKUP(M96,'G-7 WaterC'' Data'!$AA$4:$AB$7,2,FALSE)=0,"Spatial Data Missing ⚠",VLOOKUP(M96,'G-7 WaterC'' Data'!$AA$4:$AB$7,2,FALSE)))))</f>
        <v/>
      </c>
      <c r="O96" s="56"/>
      <c r="P96" s="276" t="str">
        <f>IF(O96="","",IF(AND(O96="N/A - Culvert",D96&lt;&gt;"Culvert"),"Not possible ▲",IF(AND(D96="Culvert",O96&lt;&gt;"N/A - Culvert"),"Not possible ▲",IF(VLOOKUP(O96,'G-7 WaterC'' Data'!$AD$4:$AE$14,2,FALSE)=0,"Spatial Data Missing ⚠",VLOOKUP(O96,'G-7 WaterC'' Data'!$AD$4:$AE$14,2,FALSE)))))</f>
        <v/>
      </c>
      <c r="Q96" s="282" t="str">
        <f>IF(D96="","",VLOOKUP(D96,'G-7 WaterC'' Data'!$B$2:$G$8,6,FALSE))</f>
        <v/>
      </c>
      <c r="R96" s="289" t="str">
        <f t="shared" si="11"/>
        <v xml:space="preserve"> </v>
      </c>
      <c r="S96" s="803" t="str">
        <f t="shared" si="12"/>
        <v/>
      </c>
      <c r="T96" s="32"/>
      <c r="U96" s="101"/>
      <c r="V96" s="108"/>
      <c r="W96" s="287" t="str">
        <f t="shared" si="13"/>
        <v/>
      </c>
      <c r="X96" s="287" t="str">
        <f t="shared" si="14"/>
        <v/>
      </c>
      <c r="Y96" s="287" t="str">
        <f t="shared" si="15"/>
        <v/>
      </c>
      <c r="Z96" s="317" t="str">
        <f>IFERROR(IF(OR(E96="",R96=""),"",IF(AND(Q96='G-7 WaterC'' Data'!$G$4,AA96="Yes"),"Alternative Compensation ✓",IF(AND(AA96="Pending",Q96='G-7 WaterC'' Data'!$G$4),"Bespoke compensation must be agreed ▲",IF((W96+X96)&gt;=R96,0,R96-W96-X96)))),"Check Data ⚠")</f>
        <v/>
      </c>
      <c r="AA96" s="800"/>
      <c r="AB96" s="136"/>
      <c r="AC96" s="104"/>
      <c r="AD96" s="104"/>
      <c r="AE96" s="54" t="str">
        <f>IF(OR(Q96="",AA96="Yes"),"",IF(Q96='G-1 All Habitats'!$X$9,E96-U96-V96,"None"))</f>
        <v/>
      </c>
      <c r="AF96" s="55" t="str">
        <f>IF(Q96="","",IF(Q96='G-1 All Habitats'!$X$9,AE96*G96*I96*L96*N96*P96,"None"))</f>
        <v/>
      </c>
      <c r="AI96" s="30">
        <f t="shared" si="16"/>
        <v>0</v>
      </c>
      <c r="AJ96" s="107" t="str">
        <f t="shared" si="17"/>
        <v/>
      </c>
      <c r="AK96" s="107" t="str">
        <f t="shared" si="18"/>
        <v/>
      </c>
      <c r="AM96" s="107">
        <v>87</v>
      </c>
      <c r="AO96" s="107" t="str">
        <f t="array" ref="AO96">IFERROR(INDEX($AM$10:$AM$258,MATCH(0,IF(TRUE=$AJ$10:$AJ$258,COUNTIF($AO$9:$AO95,$AM$10:$AM$258),""),0)),"")</f>
        <v/>
      </c>
      <c r="AP96" s="107" t="str">
        <f t="array" ref="AP96">IFERROR(INDEX($AM$10:$AM$258,MATCH(0,IF(TRUE=$AK$10:$AK$258,COUNTIF($AP$9:$AP95,$AM$10:$AM$258),""),0)),"")</f>
        <v/>
      </c>
      <c r="AR96" s="30" t="str">
        <f>IFERROR(INDEX('G-7 WaterC'' Data'!$AZ$3:$AZ$7,MATCH(D96,'G-7 WaterC'' Data'!$AY$3:$AY$7,0)),"")</f>
        <v/>
      </c>
      <c r="AS96" s="30" t="str">
        <f>IFERROR(INDEX('G-7 WaterC'' Data'!AZ96:AZ100,MATCH(D96,'G-7 WaterC'' Data'!$AY$10:$AY$14,0)),"")</f>
        <v/>
      </c>
      <c r="AT96" s="885" t="str">
        <f>IF(AND(OR(AA96="Yes",AA96="Pending"),Q96='G-7 WaterC'' Data'!$G$4),R96-W96-X96,"")</f>
        <v/>
      </c>
      <c r="AU96" s="30" t="str">
        <f>IF(D96="","",VLOOKUP(D96,'G-7 WaterC'' Data'!B$4:M$8,12,FALSE))</f>
        <v/>
      </c>
      <c r="AV96" s="30" t="str">
        <f t="shared" si="10"/>
        <v/>
      </c>
      <c r="AX96" s="30" t="str">
        <f t="shared" si="19"/>
        <v>No</v>
      </c>
    </row>
    <row r="97" spans="3:50" ht="14" hidden="1">
      <c r="C97" s="97">
        <v>88</v>
      </c>
      <c r="D97" s="261"/>
      <c r="E97" s="115"/>
      <c r="F97" s="275" t="str">
        <f>IF(D97="","",VLOOKUP(D97,'G-7 WaterC'' Data'!$B$2:$G$8,2,FALSE))</f>
        <v/>
      </c>
      <c r="G97" s="276" t="str">
        <f>IFERROR(VLOOKUP(F97,'G-7 WaterC'' Data'!$C$4:$D$8,2,FALSE),"")</f>
        <v/>
      </c>
      <c r="H97" s="52"/>
      <c r="I97" s="276" t="str">
        <f>IFERROR(INDEX('G-7 WaterC'' Data'!$H$4:$L$8,MATCH(D97,'G-7 WaterC'' Data'!$B$4:$B$8,0),MATCH(H97,'G-7 WaterC'' Data'!$H$3:$L$3,0)),"")</f>
        <v/>
      </c>
      <c r="J97" s="777"/>
      <c r="K97" s="311" t="str">
        <f>IF(J97="","",IF(VLOOKUP(J97,'G-7 WaterC'' Data'!$AK$4:$AM$6,2,FALSE)=0,"Spatial Data Missing ⚠",VLOOKUP(J97,'G-7 WaterC'' Data'!$AK$4:$AM$6,2,FALSE)))</f>
        <v/>
      </c>
      <c r="L97" s="281" t="str">
        <f>IF(J97="","",IF(VLOOKUP(J97,'G-7 WaterC'' Data'!$AK$4:$AM$9,3,FALSE)=0,"Spatial Data Missing ⚠",VLOOKUP(J97,'G-7 WaterC'' Data'!$AK$4:$AM$6,3,FALSE)))</f>
        <v/>
      </c>
      <c r="M97" s="52"/>
      <c r="N97" s="276" t="str">
        <f>IF(M97="","",IF(AND(D97&lt;&gt;"Culvert",M97="N/A - Culvert"),"Not possible ▲",IF(AND(D97="Culvert",M97&lt;&gt;"N/A - Culvert"),"Not possible ▲",IF(VLOOKUP(M97,'G-7 WaterC'' Data'!$AA$4:$AB$7,2,FALSE)=0,"Spatial Data Missing ⚠",VLOOKUP(M97,'G-7 WaterC'' Data'!$AA$4:$AB$7,2,FALSE)))))</f>
        <v/>
      </c>
      <c r="O97" s="56"/>
      <c r="P97" s="276" t="str">
        <f>IF(O97="","",IF(AND(O97="N/A - Culvert",D97&lt;&gt;"Culvert"),"Not possible ▲",IF(AND(D97="Culvert",O97&lt;&gt;"N/A - Culvert"),"Not possible ▲",IF(VLOOKUP(O97,'G-7 WaterC'' Data'!$AD$4:$AE$14,2,FALSE)=0,"Spatial Data Missing ⚠",VLOOKUP(O97,'G-7 WaterC'' Data'!$AD$4:$AE$14,2,FALSE)))))</f>
        <v/>
      </c>
      <c r="Q97" s="282" t="str">
        <f>IF(D97="","",VLOOKUP(D97,'G-7 WaterC'' Data'!$B$2:$G$8,6,FALSE))</f>
        <v/>
      </c>
      <c r="R97" s="289" t="str">
        <f t="shared" si="11"/>
        <v xml:space="preserve"> </v>
      </c>
      <c r="S97" s="803" t="str">
        <f t="shared" si="12"/>
        <v/>
      </c>
      <c r="T97" s="32"/>
      <c r="U97" s="101"/>
      <c r="V97" s="108"/>
      <c r="W97" s="287" t="str">
        <f t="shared" si="13"/>
        <v/>
      </c>
      <c r="X97" s="287" t="str">
        <f t="shared" si="14"/>
        <v/>
      </c>
      <c r="Y97" s="287" t="str">
        <f t="shared" si="15"/>
        <v/>
      </c>
      <c r="Z97" s="317" t="str">
        <f>IFERROR(IF(OR(E97="",R97=""),"",IF(AND(Q97='G-7 WaterC'' Data'!$G$4,AA97="Yes"),"Alternative Compensation ✓",IF(AND(AA97="Pending",Q97='G-7 WaterC'' Data'!$G$4),"Bespoke compensation must be agreed ▲",IF((W97+X97)&gt;=R97,0,R97-W97-X97)))),"Check Data ⚠")</f>
        <v/>
      </c>
      <c r="AA97" s="800"/>
      <c r="AB97" s="136"/>
      <c r="AC97" s="104"/>
      <c r="AD97" s="104"/>
      <c r="AE97" s="54" t="str">
        <f>IF(OR(Q97="",AA97="Yes"),"",IF(Q97='G-1 All Habitats'!$X$9,E97-U97-V97,"None"))</f>
        <v/>
      </c>
      <c r="AF97" s="55" t="str">
        <f>IF(Q97="","",IF(Q97='G-1 All Habitats'!$X$9,AE97*G97*I97*L97*N97*P97,"None"))</f>
        <v/>
      </c>
      <c r="AI97" s="30">
        <f t="shared" si="16"/>
        <v>0</v>
      </c>
      <c r="AJ97" s="107" t="str">
        <f t="shared" si="17"/>
        <v/>
      </c>
      <c r="AK97" s="107" t="str">
        <f t="shared" si="18"/>
        <v/>
      </c>
      <c r="AM97" s="107">
        <v>88</v>
      </c>
      <c r="AO97" s="107" t="str">
        <f t="array" ref="AO97">IFERROR(INDEX($AM$10:$AM$258,MATCH(0,IF(TRUE=$AJ$10:$AJ$258,COUNTIF($AO$9:$AO96,$AM$10:$AM$258),""),0)),"")</f>
        <v/>
      </c>
      <c r="AP97" s="107" t="str">
        <f t="array" ref="AP97">IFERROR(INDEX($AM$10:$AM$258,MATCH(0,IF(TRUE=$AK$10:$AK$258,COUNTIF($AP$9:$AP96,$AM$10:$AM$258),""),0)),"")</f>
        <v/>
      </c>
      <c r="AR97" s="30" t="str">
        <f>IFERROR(INDEX('G-7 WaterC'' Data'!$AZ$3:$AZ$7,MATCH(D97,'G-7 WaterC'' Data'!$AY$3:$AY$7,0)),"")</f>
        <v/>
      </c>
      <c r="AS97" s="30" t="str">
        <f>IFERROR(INDEX('G-7 WaterC'' Data'!AZ97:AZ101,MATCH(D97,'G-7 WaterC'' Data'!$AY$10:$AY$14,0)),"")</f>
        <v/>
      </c>
      <c r="AT97" s="885" t="str">
        <f>IF(AND(OR(AA97="Yes",AA97="Pending"),Q97='G-7 WaterC'' Data'!$G$4),R97-W97-X97,"")</f>
        <v/>
      </c>
      <c r="AU97" s="30" t="str">
        <f>IF(D97="","",VLOOKUP(D97,'G-7 WaterC'' Data'!B$4:M$8,12,FALSE))</f>
        <v/>
      </c>
      <c r="AV97" s="30" t="str">
        <f t="shared" si="10"/>
        <v/>
      </c>
      <c r="AX97" s="30" t="str">
        <f t="shared" si="19"/>
        <v>No</v>
      </c>
    </row>
    <row r="98" spans="3:50" ht="14" hidden="1">
      <c r="C98" s="97">
        <v>89</v>
      </c>
      <c r="D98" s="261"/>
      <c r="E98" s="115"/>
      <c r="F98" s="275" t="str">
        <f>IF(D98="","",VLOOKUP(D98,'G-7 WaterC'' Data'!$B$2:$G$8,2,FALSE))</f>
        <v/>
      </c>
      <c r="G98" s="276" t="str">
        <f>IFERROR(VLOOKUP(F98,'G-7 WaterC'' Data'!$C$4:$D$8,2,FALSE),"")</f>
        <v/>
      </c>
      <c r="H98" s="52"/>
      <c r="I98" s="276" t="str">
        <f>IFERROR(INDEX('G-7 WaterC'' Data'!$H$4:$L$8,MATCH(D98,'G-7 WaterC'' Data'!$B$4:$B$8,0),MATCH(H98,'G-7 WaterC'' Data'!$H$3:$L$3,0)),"")</f>
        <v/>
      </c>
      <c r="J98" s="777"/>
      <c r="K98" s="311" t="str">
        <f>IF(J98="","",IF(VLOOKUP(J98,'G-7 WaterC'' Data'!$AK$4:$AM$6,2,FALSE)=0,"Spatial Data Missing ⚠",VLOOKUP(J98,'G-7 WaterC'' Data'!$AK$4:$AM$6,2,FALSE)))</f>
        <v/>
      </c>
      <c r="L98" s="281" t="str">
        <f>IF(J98="","",IF(VLOOKUP(J98,'G-7 WaterC'' Data'!$AK$4:$AM$9,3,FALSE)=0,"Spatial Data Missing ⚠",VLOOKUP(J98,'G-7 WaterC'' Data'!$AK$4:$AM$6,3,FALSE)))</f>
        <v/>
      </c>
      <c r="M98" s="52"/>
      <c r="N98" s="276" t="str">
        <f>IF(M98="","",IF(AND(D98&lt;&gt;"Culvert",M98="N/A - Culvert"),"Not possible ▲",IF(AND(D98="Culvert",M98&lt;&gt;"N/A - Culvert"),"Not possible ▲",IF(VLOOKUP(M98,'G-7 WaterC'' Data'!$AA$4:$AB$7,2,FALSE)=0,"Spatial Data Missing ⚠",VLOOKUP(M98,'G-7 WaterC'' Data'!$AA$4:$AB$7,2,FALSE)))))</f>
        <v/>
      </c>
      <c r="O98" s="56"/>
      <c r="P98" s="276" t="str">
        <f>IF(O98="","",IF(AND(O98="N/A - Culvert",D98&lt;&gt;"Culvert"),"Not possible ▲",IF(AND(D98="Culvert",O98&lt;&gt;"N/A - Culvert"),"Not possible ▲",IF(VLOOKUP(O98,'G-7 WaterC'' Data'!$AD$4:$AE$14,2,FALSE)=0,"Spatial Data Missing ⚠",VLOOKUP(O98,'G-7 WaterC'' Data'!$AD$4:$AE$14,2,FALSE)))))</f>
        <v/>
      </c>
      <c r="Q98" s="282" t="str">
        <f>IF(D98="","",VLOOKUP(D98,'G-7 WaterC'' Data'!$B$2:$G$8,6,FALSE))</f>
        <v/>
      </c>
      <c r="R98" s="289" t="str">
        <f t="shared" si="11"/>
        <v xml:space="preserve"> </v>
      </c>
      <c r="S98" s="803" t="str">
        <f t="shared" si="12"/>
        <v/>
      </c>
      <c r="T98" s="32"/>
      <c r="U98" s="101"/>
      <c r="V98" s="108"/>
      <c r="W98" s="287" t="str">
        <f t="shared" si="13"/>
        <v/>
      </c>
      <c r="X98" s="287" t="str">
        <f t="shared" si="14"/>
        <v/>
      </c>
      <c r="Y98" s="287" t="str">
        <f t="shared" si="15"/>
        <v/>
      </c>
      <c r="Z98" s="317" t="str">
        <f>IFERROR(IF(OR(E98="",R98=""),"",IF(AND(Q98='G-7 WaterC'' Data'!$G$4,AA98="Yes"),"Alternative Compensation ✓",IF(AND(AA98="Pending",Q98='G-7 WaterC'' Data'!$G$4),"Bespoke compensation must be agreed ▲",IF((W98+X98)&gt;=R98,0,R98-W98-X98)))),"Check Data ⚠")</f>
        <v/>
      </c>
      <c r="AA98" s="800"/>
      <c r="AB98" s="136"/>
      <c r="AC98" s="104"/>
      <c r="AD98" s="104"/>
      <c r="AE98" s="54" t="str">
        <f>IF(OR(Q98="",AA98="Yes"),"",IF(Q98='G-1 All Habitats'!$X$9,E98-U98-V98,"None"))</f>
        <v/>
      </c>
      <c r="AF98" s="55" t="str">
        <f>IF(Q98="","",IF(Q98='G-1 All Habitats'!$X$9,AE98*G98*I98*L98*N98*P98,"None"))</f>
        <v/>
      </c>
      <c r="AI98" s="30">
        <f t="shared" si="16"/>
        <v>0</v>
      </c>
      <c r="AJ98" s="107" t="str">
        <f t="shared" si="17"/>
        <v/>
      </c>
      <c r="AK98" s="107" t="str">
        <f t="shared" si="18"/>
        <v/>
      </c>
      <c r="AM98" s="107">
        <v>89</v>
      </c>
      <c r="AO98" s="107" t="str">
        <f t="array" ref="AO98">IFERROR(INDEX($AM$10:$AM$258,MATCH(0,IF(TRUE=$AJ$10:$AJ$258,COUNTIF($AO$9:$AO97,$AM$10:$AM$258),""),0)),"")</f>
        <v/>
      </c>
      <c r="AP98" s="107" t="str">
        <f t="array" ref="AP98">IFERROR(INDEX($AM$10:$AM$258,MATCH(0,IF(TRUE=$AK$10:$AK$258,COUNTIF($AP$9:$AP97,$AM$10:$AM$258),""),0)),"")</f>
        <v/>
      </c>
      <c r="AR98" s="30" t="str">
        <f>IFERROR(INDEX('G-7 WaterC'' Data'!$AZ$3:$AZ$7,MATCH(D98,'G-7 WaterC'' Data'!$AY$3:$AY$7,0)),"")</f>
        <v/>
      </c>
      <c r="AS98" s="30" t="str">
        <f>IFERROR(INDEX('G-7 WaterC'' Data'!AZ98:AZ102,MATCH(D98,'G-7 WaterC'' Data'!$AY$10:$AY$14,0)),"")</f>
        <v/>
      </c>
      <c r="AT98" s="885" t="str">
        <f>IF(AND(OR(AA98="Yes",AA98="Pending"),Q98='G-7 WaterC'' Data'!$G$4),R98-W98-X98,"")</f>
        <v/>
      </c>
      <c r="AU98" s="30" t="str">
        <f>IF(D98="","",VLOOKUP(D98,'G-7 WaterC'' Data'!B$4:M$8,12,FALSE))</f>
        <v/>
      </c>
      <c r="AV98" s="30" t="str">
        <f t="shared" si="10"/>
        <v/>
      </c>
      <c r="AX98" s="30" t="str">
        <f t="shared" si="19"/>
        <v>No</v>
      </c>
    </row>
    <row r="99" spans="3:50" ht="14" hidden="1">
      <c r="C99" s="97">
        <v>90</v>
      </c>
      <c r="D99" s="261"/>
      <c r="E99" s="115"/>
      <c r="F99" s="275" t="str">
        <f>IF(D99="","",VLOOKUP(D99,'G-7 WaterC'' Data'!$B$2:$G$8,2,FALSE))</f>
        <v/>
      </c>
      <c r="G99" s="276" t="str">
        <f>IFERROR(VLOOKUP(F99,'G-7 WaterC'' Data'!$C$4:$D$8,2,FALSE),"")</f>
        <v/>
      </c>
      <c r="H99" s="52"/>
      <c r="I99" s="276" t="str">
        <f>IFERROR(INDEX('G-7 WaterC'' Data'!$H$4:$L$8,MATCH(D99,'G-7 WaterC'' Data'!$B$4:$B$8,0),MATCH(H99,'G-7 WaterC'' Data'!$H$3:$L$3,0)),"")</f>
        <v/>
      </c>
      <c r="J99" s="777"/>
      <c r="K99" s="311" t="str">
        <f>IF(J99="","",IF(VLOOKUP(J99,'G-7 WaterC'' Data'!$AK$4:$AM$6,2,FALSE)=0,"Spatial Data Missing ⚠",VLOOKUP(J99,'G-7 WaterC'' Data'!$AK$4:$AM$6,2,FALSE)))</f>
        <v/>
      </c>
      <c r="L99" s="281" t="str">
        <f>IF(J99="","",IF(VLOOKUP(J99,'G-7 WaterC'' Data'!$AK$4:$AM$9,3,FALSE)=0,"Spatial Data Missing ⚠",VLOOKUP(J99,'G-7 WaterC'' Data'!$AK$4:$AM$6,3,FALSE)))</f>
        <v/>
      </c>
      <c r="M99" s="52"/>
      <c r="N99" s="276" t="str">
        <f>IF(M99="","",IF(AND(D99&lt;&gt;"Culvert",M99="N/A - Culvert"),"Not possible ▲",IF(AND(D99="Culvert",M99&lt;&gt;"N/A - Culvert"),"Not possible ▲",IF(VLOOKUP(M99,'G-7 WaterC'' Data'!$AA$4:$AB$7,2,FALSE)=0,"Spatial Data Missing ⚠",VLOOKUP(M99,'G-7 WaterC'' Data'!$AA$4:$AB$7,2,FALSE)))))</f>
        <v/>
      </c>
      <c r="O99" s="56"/>
      <c r="P99" s="276" t="str">
        <f>IF(O99="","",IF(AND(O99="N/A - Culvert",D99&lt;&gt;"Culvert"),"Not possible ▲",IF(AND(D99="Culvert",O99&lt;&gt;"N/A - Culvert"),"Not possible ▲",IF(VLOOKUP(O99,'G-7 WaterC'' Data'!$AD$4:$AE$14,2,FALSE)=0,"Spatial Data Missing ⚠",VLOOKUP(O99,'G-7 WaterC'' Data'!$AD$4:$AE$14,2,FALSE)))))</f>
        <v/>
      </c>
      <c r="Q99" s="282" t="str">
        <f>IF(D99="","",VLOOKUP(D99,'G-7 WaterC'' Data'!$B$2:$G$8,6,FALSE))</f>
        <v/>
      </c>
      <c r="R99" s="289" t="str">
        <f t="shared" si="11"/>
        <v xml:space="preserve"> </v>
      </c>
      <c r="S99" s="803" t="str">
        <f t="shared" si="12"/>
        <v/>
      </c>
      <c r="T99" s="32"/>
      <c r="U99" s="101"/>
      <c r="V99" s="108"/>
      <c r="W99" s="287" t="str">
        <f t="shared" si="13"/>
        <v/>
      </c>
      <c r="X99" s="287" t="str">
        <f t="shared" si="14"/>
        <v/>
      </c>
      <c r="Y99" s="287" t="str">
        <f t="shared" si="15"/>
        <v/>
      </c>
      <c r="Z99" s="317" t="str">
        <f>IFERROR(IF(OR(E99="",R99=""),"",IF(AND(Q99='G-7 WaterC'' Data'!$G$4,AA99="Yes"),"Alternative Compensation ✓",IF(AND(AA99="Pending",Q99='G-7 WaterC'' Data'!$G$4),"Bespoke compensation must be agreed ▲",IF((W99+X99)&gt;=R99,0,R99-W99-X99)))),"Check Data ⚠")</f>
        <v/>
      </c>
      <c r="AA99" s="800"/>
      <c r="AB99" s="136"/>
      <c r="AC99" s="104"/>
      <c r="AD99" s="104"/>
      <c r="AE99" s="54" t="str">
        <f>IF(OR(Q99="",AA99="Yes"),"",IF(Q99='G-1 All Habitats'!$X$9,E99-U99-V99,"None"))</f>
        <v/>
      </c>
      <c r="AF99" s="55" t="str">
        <f>IF(Q99="","",IF(Q99='G-1 All Habitats'!$X$9,AE99*G99*I99*L99*N99*P99,"None"))</f>
        <v/>
      </c>
      <c r="AI99" s="30">
        <f t="shared" si="16"/>
        <v>0</v>
      </c>
      <c r="AJ99" s="107" t="str">
        <f t="shared" si="17"/>
        <v/>
      </c>
      <c r="AK99" s="107" t="str">
        <f t="shared" si="18"/>
        <v/>
      </c>
      <c r="AM99" s="107">
        <v>90</v>
      </c>
      <c r="AO99" s="107" t="str">
        <f t="array" ref="AO99">IFERROR(INDEX($AM$10:$AM$258,MATCH(0,IF(TRUE=$AJ$10:$AJ$258,COUNTIF($AO$9:$AO98,$AM$10:$AM$258),""),0)),"")</f>
        <v/>
      </c>
      <c r="AP99" s="107" t="str">
        <f t="array" ref="AP99">IFERROR(INDEX($AM$10:$AM$258,MATCH(0,IF(TRUE=$AK$10:$AK$258,COUNTIF($AP$9:$AP98,$AM$10:$AM$258),""),0)),"")</f>
        <v/>
      </c>
      <c r="AR99" s="30" t="str">
        <f>IFERROR(INDEX('G-7 WaterC'' Data'!$AZ$3:$AZ$7,MATCH(D99,'G-7 WaterC'' Data'!$AY$3:$AY$7,0)),"")</f>
        <v/>
      </c>
      <c r="AS99" s="30" t="str">
        <f>IFERROR(INDEX('G-7 WaterC'' Data'!AZ99:AZ103,MATCH(D99,'G-7 WaterC'' Data'!$AY$10:$AY$14,0)),"")</f>
        <v/>
      </c>
      <c r="AT99" s="885" t="str">
        <f>IF(AND(OR(AA99="Yes",AA99="Pending"),Q99='G-7 WaterC'' Data'!$G$4),R99-W99-X99,"")</f>
        <v/>
      </c>
      <c r="AU99" s="30" t="str">
        <f>IF(D99="","",VLOOKUP(D99,'G-7 WaterC'' Data'!B$4:M$8,12,FALSE))</f>
        <v/>
      </c>
      <c r="AV99" s="30" t="str">
        <f t="shared" si="10"/>
        <v/>
      </c>
      <c r="AX99" s="30" t="str">
        <f t="shared" si="19"/>
        <v>No</v>
      </c>
    </row>
    <row r="100" spans="3:50" ht="14" hidden="1">
      <c r="C100" s="97">
        <v>91</v>
      </c>
      <c r="D100" s="261"/>
      <c r="E100" s="115"/>
      <c r="F100" s="275" t="str">
        <f>IF(D100="","",VLOOKUP(D100,'G-7 WaterC'' Data'!$B$2:$G$8,2,FALSE))</f>
        <v/>
      </c>
      <c r="G100" s="276" t="str">
        <f>IFERROR(VLOOKUP(F100,'G-7 WaterC'' Data'!$C$4:$D$8,2,FALSE),"")</f>
        <v/>
      </c>
      <c r="H100" s="52"/>
      <c r="I100" s="276" t="str">
        <f>IFERROR(INDEX('G-7 WaterC'' Data'!$H$4:$L$8,MATCH(D100,'G-7 WaterC'' Data'!$B$4:$B$8,0),MATCH(H100,'G-7 WaterC'' Data'!$H$3:$L$3,0)),"")</f>
        <v/>
      </c>
      <c r="J100" s="777"/>
      <c r="K100" s="311" t="str">
        <f>IF(J100="","",IF(VLOOKUP(J100,'G-7 WaterC'' Data'!$AK$4:$AM$6,2,FALSE)=0,"Spatial Data Missing ⚠",VLOOKUP(J100,'G-7 WaterC'' Data'!$AK$4:$AM$6,2,FALSE)))</f>
        <v/>
      </c>
      <c r="L100" s="281" t="str">
        <f>IF(J100="","",IF(VLOOKUP(J100,'G-7 WaterC'' Data'!$AK$4:$AM$9,3,FALSE)=0,"Spatial Data Missing ⚠",VLOOKUP(J100,'G-7 WaterC'' Data'!$AK$4:$AM$6,3,FALSE)))</f>
        <v/>
      </c>
      <c r="M100" s="52"/>
      <c r="N100" s="276" t="str">
        <f>IF(M100="","",IF(AND(D100&lt;&gt;"Culvert",M100="N/A - Culvert"),"Not possible ▲",IF(AND(D100="Culvert",M100&lt;&gt;"N/A - Culvert"),"Not possible ▲",IF(VLOOKUP(M100,'G-7 WaterC'' Data'!$AA$4:$AB$7,2,FALSE)=0,"Spatial Data Missing ⚠",VLOOKUP(M100,'G-7 WaterC'' Data'!$AA$4:$AB$7,2,FALSE)))))</f>
        <v/>
      </c>
      <c r="O100" s="56"/>
      <c r="P100" s="276" t="str">
        <f>IF(O100="","",IF(AND(O100="N/A - Culvert",D100&lt;&gt;"Culvert"),"Not possible ▲",IF(AND(D100="Culvert",O100&lt;&gt;"N/A - Culvert"),"Not possible ▲",IF(VLOOKUP(O100,'G-7 WaterC'' Data'!$AD$4:$AE$14,2,FALSE)=0,"Spatial Data Missing ⚠",VLOOKUP(O100,'G-7 WaterC'' Data'!$AD$4:$AE$14,2,FALSE)))))</f>
        <v/>
      </c>
      <c r="Q100" s="282" t="str">
        <f>IF(D100="","",VLOOKUP(D100,'G-7 WaterC'' Data'!$B$2:$G$8,6,FALSE))</f>
        <v/>
      </c>
      <c r="R100" s="289" t="str">
        <f t="shared" si="11"/>
        <v xml:space="preserve"> </v>
      </c>
      <c r="S100" s="803" t="str">
        <f t="shared" si="12"/>
        <v/>
      </c>
      <c r="T100" s="32"/>
      <c r="U100" s="101"/>
      <c r="V100" s="108"/>
      <c r="W100" s="287" t="str">
        <f t="shared" si="13"/>
        <v/>
      </c>
      <c r="X100" s="287" t="str">
        <f t="shared" si="14"/>
        <v/>
      </c>
      <c r="Y100" s="287" t="str">
        <f t="shared" si="15"/>
        <v/>
      </c>
      <c r="Z100" s="317" t="str">
        <f>IFERROR(IF(OR(E100="",R100=""),"",IF(AND(Q100='G-7 WaterC'' Data'!$G$4,AA100="Yes"),"Alternative Compensation ✓",IF(AND(AA100="Pending",Q100='G-7 WaterC'' Data'!$G$4),"Bespoke compensation must be agreed ▲",IF((W100+X100)&gt;=R100,0,R100-W100-X100)))),"Check Data ⚠")</f>
        <v/>
      </c>
      <c r="AA100" s="800"/>
      <c r="AB100" s="136"/>
      <c r="AC100" s="104"/>
      <c r="AD100" s="104"/>
      <c r="AE100" s="54" t="str">
        <f>IF(OR(Q100="",AA100="Yes"),"",IF(Q100='G-1 All Habitats'!$X$9,E100-U100-V100,"None"))</f>
        <v/>
      </c>
      <c r="AF100" s="55" t="str">
        <f>IF(Q100="","",IF(Q100='G-1 All Habitats'!$X$9,AE100*G100*I100*L100*N100*P100,"None"))</f>
        <v/>
      </c>
      <c r="AI100" s="30">
        <f t="shared" si="16"/>
        <v>0</v>
      </c>
      <c r="AJ100" s="107" t="str">
        <f t="shared" si="17"/>
        <v/>
      </c>
      <c r="AK100" s="107" t="str">
        <f t="shared" si="18"/>
        <v/>
      </c>
      <c r="AM100" s="107">
        <v>91</v>
      </c>
      <c r="AO100" s="107" t="str">
        <f t="array" ref="AO100">IFERROR(INDEX($AM$10:$AM$258,MATCH(0,IF(TRUE=$AJ$10:$AJ$258,COUNTIF($AO$9:$AO99,$AM$10:$AM$258),""),0)),"")</f>
        <v/>
      </c>
      <c r="AP100" s="107" t="str">
        <f t="array" ref="AP100">IFERROR(INDEX($AM$10:$AM$258,MATCH(0,IF(TRUE=$AK$10:$AK$258,COUNTIF($AP$9:$AP99,$AM$10:$AM$258),""),0)),"")</f>
        <v/>
      </c>
      <c r="AR100" s="30" t="str">
        <f>IFERROR(INDEX('G-7 WaterC'' Data'!$AZ$3:$AZ$7,MATCH(D100,'G-7 WaterC'' Data'!$AY$3:$AY$7,0)),"")</f>
        <v/>
      </c>
      <c r="AS100" s="30" t="str">
        <f>IFERROR(INDEX('G-7 WaterC'' Data'!AZ100:AZ104,MATCH(D100,'G-7 WaterC'' Data'!$AY$10:$AY$14,0)),"")</f>
        <v/>
      </c>
      <c r="AT100" s="885" t="str">
        <f>IF(AND(OR(AA100="Yes",AA100="Pending"),Q100='G-7 WaterC'' Data'!$G$4),R100-W100-X100,"")</f>
        <v/>
      </c>
      <c r="AU100" s="30" t="str">
        <f>IF(D100="","",VLOOKUP(D100,'G-7 WaterC'' Data'!B$4:M$8,12,FALSE))</f>
        <v/>
      </c>
      <c r="AV100" s="30" t="str">
        <f t="shared" si="10"/>
        <v/>
      </c>
      <c r="AX100" s="30" t="str">
        <f t="shared" si="19"/>
        <v>No</v>
      </c>
    </row>
    <row r="101" spans="3:50" ht="14" hidden="1">
      <c r="C101" s="97">
        <v>92</v>
      </c>
      <c r="D101" s="261"/>
      <c r="E101" s="115"/>
      <c r="F101" s="275" t="str">
        <f>IF(D101="","",VLOOKUP(D101,'G-7 WaterC'' Data'!$B$2:$G$8,2,FALSE))</f>
        <v/>
      </c>
      <c r="G101" s="276" t="str">
        <f>IFERROR(VLOOKUP(F101,'G-7 WaterC'' Data'!$C$4:$D$8,2,FALSE),"")</f>
        <v/>
      </c>
      <c r="H101" s="52"/>
      <c r="I101" s="276" t="str">
        <f>IFERROR(INDEX('G-7 WaterC'' Data'!$H$4:$L$8,MATCH(D101,'G-7 WaterC'' Data'!$B$4:$B$8,0),MATCH(H101,'G-7 WaterC'' Data'!$H$3:$L$3,0)),"")</f>
        <v/>
      </c>
      <c r="J101" s="777"/>
      <c r="K101" s="311" t="str">
        <f>IF(J101="","",IF(VLOOKUP(J101,'G-7 WaterC'' Data'!$AK$4:$AM$6,2,FALSE)=0,"Spatial Data Missing ⚠",VLOOKUP(J101,'G-7 WaterC'' Data'!$AK$4:$AM$6,2,FALSE)))</f>
        <v/>
      </c>
      <c r="L101" s="281" t="str">
        <f>IF(J101="","",IF(VLOOKUP(J101,'G-7 WaterC'' Data'!$AK$4:$AM$9,3,FALSE)=0,"Spatial Data Missing ⚠",VLOOKUP(J101,'G-7 WaterC'' Data'!$AK$4:$AM$6,3,FALSE)))</f>
        <v/>
      </c>
      <c r="M101" s="52"/>
      <c r="N101" s="276" t="str">
        <f>IF(M101="","",IF(AND(D101&lt;&gt;"Culvert",M101="N/A - Culvert"),"Not possible ▲",IF(AND(D101="Culvert",M101&lt;&gt;"N/A - Culvert"),"Not possible ▲",IF(VLOOKUP(M101,'G-7 WaterC'' Data'!$AA$4:$AB$7,2,FALSE)=0,"Spatial Data Missing ⚠",VLOOKUP(M101,'G-7 WaterC'' Data'!$AA$4:$AB$7,2,FALSE)))))</f>
        <v/>
      </c>
      <c r="O101" s="56"/>
      <c r="P101" s="276" t="str">
        <f>IF(O101="","",IF(AND(O101="N/A - Culvert",D101&lt;&gt;"Culvert"),"Not possible ▲",IF(AND(D101="Culvert",O101&lt;&gt;"N/A - Culvert"),"Not possible ▲",IF(VLOOKUP(O101,'G-7 WaterC'' Data'!$AD$4:$AE$14,2,FALSE)=0,"Spatial Data Missing ⚠",VLOOKUP(O101,'G-7 WaterC'' Data'!$AD$4:$AE$14,2,FALSE)))))</f>
        <v/>
      </c>
      <c r="Q101" s="282" t="str">
        <f>IF(D101="","",VLOOKUP(D101,'G-7 WaterC'' Data'!$B$2:$G$8,6,FALSE))</f>
        <v/>
      </c>
      <c r="R101" s="289" t="str">
        <f t="shared" si="11"/>
        <v xml:space="preserve"> </v>
      </c>
      <c r="S101" s="803" t="str">
        <f t="shared" si="12"/>
        <v/>
      </c>
      <c r="T101" s="32"/>
      <c r="U101" s="101"/>
      <c r="V101" s="108"/>
      <c r="W101" s="287" t="str">
        <f t="shared" si="13"/>
        <v/>
      </c>
      <c r="X101" s="287" t="str">
        <f t="shared" si="14"/>
        <v/>
      </c>
      <c r="Y101" s="287" t="str">
        <f t="shared" si="15"/>
        <v/>
      </c>
      <c r="Z101" s="317" t="str">
        <f>IFERROR(IF(OR(E101="",R101=""),"",IF(AND(Q101='G-7 WaterC'' Data'!$G$4,AA101="Yes"),"Alternative Compensation ✓",IF(AND(AA101="Pending",Q101='G-7 WaterC'' Data'!$G$4),"Bespoke compensation must be agreed ▲",IF((W101+X101)&gt;=R101,0,R101-W101-X101)))),"Check Data ⚠")</f>
        <v/>
      </c>
      <c r="AA101" s="800"/>
      <c r="AB101" s="136"/>
      <c r="AC101" s="104"/>
      <c r="AD101" s="104"/>
      <c r="AE101" s="54" t="str">
        <f>IF(OR(Q101="",AA101="Yes"),"",IF(Q101='G-1 All Habitats'!$X$9,E101-U101-V101,"None"))</f>
        <v/>
      </c>
      <c r="AF101" s="55" t="str">
        <f>IF(Q101="","",IF(Q101='G-1 All Habitats'!$X$9,AE101*G101*I101*L101*N101*P101,"None"))</f>
        <v/>
      </c>
      <c r="AI101" s="30">
        <f t="shared" si="16"/>
        <v>0</v>
      </c>
      <c r="AJ101" s="107" t="str">
        <f t="shared" si="17"/>
        <v/>
      </c>
      <c r="AK101" s="107" t="str">
        <f t="shared" si="18"/>
        <v/>
      </c>
      <c r="AM101" s="107">
        <v>92</v>
      </c>
      <c r="AO101" s="107" t="str">
        <f t="array" ref="AO101">IFERROR(INDEX($AM$10:$AM$258,MATCH(0,IF(TRUE=$AJ$10:$AJ$258,COUNTIF($AO$9:$AO100,$AM$10:$AM$258),""),0)),"")</f>
        <v/>
      </c>
      <c r="AP101" s="107" t="str">
        <f t="array" ref="AP101">IFERROR(INDEX($AM$10:$AM$258,MATCH(0,IF(TRUE=$AK$10:$AK$258,COUNTIF($AP$9:$AP100,$AM$10:$AM$258),""),0)),"")</f>
        <v/>
      </c>
      <c r="AR101" s="30" t="str">
        <f>IFERROR(INDEX('G-7 WaterC'' Data'!$AZ$3:$AZ$7,MATCH(D101,'G-7 WaterC'' Data'!$AY$3:$AY$7,0)),"")</f>
        <v/>
      </c>
      <c r="AS101" s="30" t="str">
        <f>IFERROR(INDEX('G-7 WaterC'' Data'!AZ101:AZ105,MATCH(D101,'G-7 WaterC'' Data'!$AY$10:$AY$14,0)),"")</f>
        <v/>
      </c>
      <c r="AT101" s="885" t="str">
        <f>IF(AND(OR(AA101="Yes",AA101="Pending"),Q101='G-7 WaterC'' Data'!$G$4),R101-W101-X101,"")</f>
        <v/>
      </c>
      <c r="AU101" s="30" t="str">
        <f>IF(D101="","",VLOOKUP(D101,'G-7 WaterC'' Data'!B$4:M$8,12,FALSE))</f>
        <v/>
      </c>
      <c r="AV101" s="30" t="str">
        <f t="shared" si="10"/>
        <v/>
      </c>
      <c r="AX101" s="30" t="str">
        <f t="shared" si="19"/>
        <v>No</v>
      </c>
    </row>
    <row r="102" spans="3:50" ht="14" hidden="1">
      <c r="C102" s="97">
        <v>93</v>
      </c>
      <c r="D102" s="261"/>
      <c r="E102" s="115"/>
      <c r="F102" s="275" t="str">
        <f>IF(D102="","",VLOOKUP(D102,'G-7 WaterC'' Data'!$B$2:$G$8,2,FALSE))</f>
        <v/>
      </c>
      <c r="G102" s="276" t="str">
        <f>IFERROR(VLOOKUP(F102,'G-7 WaterC'' Data'!$C$4:$D$8,2,FALSE),"")</f>
        <v/>
      </c>
      <c r="H102" s="52"/>
      <c r="I102" s="276" t="str">
        <f>IFERROR(INDEX('G-7 WaterC'' Data'!$H$4:$L$8,MATCH(D102,'G-7 WaterC'' Data'!$B$4:$B$8,0),MATCH(H102,'G-7 WaterC'' Data'!$H$3:$L$3,0)),"")</f>
        <v/>
      </c>
      <c r="J102" s="777"/>
      <c r="K102" s="311" t="str">
        <f>IF(J102="","",IF(VLOOKUP(J102,'G-7 WaterC'' Data'!$AK$4:$AM$6,2,FALSE)=0,"Spatial Data Missing ⚠",VLOOKUP(J102,'G-7 WaterC'' Data'!$AK$4:$AM$6,2,FALSE)))</f>
        <v/>
      </c>
      <c r="L102" s="281" t="str">
        <f>IF(J102="","",IF(VLOOKUP(J102,'G-7 WaterC'' Data'!$AK$4:$AM$9,3,FALSE)=0,"Spatial Data Missing ⚠",VLOOKUP(J102,'G-7 WaterC'' Data'!$AK$4:$AM$6,3,FALSE)))</f>
        <v/>
      </c>
      <c r="M102" s="52"/>
      <c r="N102" s="276" t="str">
        <f>IF(M102="","",IF(AND(D102&lt;&gt;"Culvert",M102="N/A - Culvert"),"Not possible ▲",IF(AND(D102="Culvert",M102&lt;&gt;"N/A - Culvert"),"Not possible ▲",IF(VLOOKUP(M102,'G-7 WaterC'' Data'!$AA$4:$AB$7,2,FALSE)=0,"Spatial Data Missing ⚠",VLOOKUP(M102,'G-7 WaterC'' Data'!$AA$4:$AB$7,2,FALSE)))))</f>
        <v/>
      </c>
      <c r="O102" s="56"/>
      <c r="P102" s="276" t="str">
        <f>IF(O102="","",IF(AND(O102="N/A - Culvert",D102&lt;&gt;"Culvert"),"Not possible ▲",IF(AND(D102="Culvert",O102&lt;&gt;"N/A - Culvert"),"Not possible ▲",IF(VLOOKUP(O102,'G-7 WaterC'' Data'!$AD$4:$AE$14,2,FALSE)=0,"Spatial Data Missing ⚠",VLOOKUP(O102,'G-7 WaterC'' Data'!$AD$4:$AE$14,2,FALSE)))))</f>
        <v/>
      </c>
      <c r="Q102" s="282" t="str">
        <f>IF(D102="","",VLOOKUP(D102,'G-7 WaterC'' Data'!$B$2:$G$8,6,FALSE))</f>
        <v/>
      </c>
      <c r="R102" s="289" t="str">
        <f t="shared" si="11"/>
        <v xml:space="preserve"> </v>
      </c>
      <c r="S102" s="803" t="str">
        <f t="shared" si="12"/>
        <v/>
      </c>
      <c r="T102" s="32"/>
      <c r="U102" s="101"/>
      <c r="V102" s="108"/>
      <c r="W102" s="287" t="str">
        <f t="shared" si="13"/>
        <v/>
      </c>
      <c r="X102" s="287" t="str">
        <f t="shared" si="14"/>
        <v/>
      </c>
      <c r="Y102" s="287" t="str">
        <f t="shared" si="15"/>
        <v/>
      </c>
      <c r="Z102" s="317" t="str">
        <f>IFERROR(IF(OR(E102="",R102=""),"",IF(AND(Q102='G-7 WaterC'' Data'!$G$4,AA102="Yes"),"Alternative Compensation ✓",IF(AND(AA102="Pending",Q102='G-7 WaterC'' Data'!$G$4),"Bespoke compensation must be agreed ▲",IF((W102+X102)&gt;=R102,0,R102-W102-X102)))),"Check Data ⚠")</f>
        <v/>
      </c>
      <c r="AA102" s="800"/>
      <c r="AB102" s="136"/>
      <c r="AC102" s="104"/>
      <c r="AD102" s="104"/>
      <c r="AE102" s="54" t="str">
        <f>IF(OR(Q102="",AA102="Yes"),"",IF(Q102='G-1 All Habitats'!$X$9,E102-U102-V102,"None"))</f>
        <v/>
      </c>
      <c r="AF102" s="55" t="str">
        <f>IF(Q102="","",IF(Q102='G-1 All Habitats'!$X$9,AE102*G102*I102*L102*N102*P102,"None"))</f>
        <v/>
      </c>
      <c r="AI102" s="30">
        <f t="shared" si="16"/>
        <v>0</v>
      </c>
      <c r="AJ102" s="107" t="str">
        <f t="shared" si="17"/>
        <v/>
      </c>
      <c r="AK102" s="107" t="str">
        <f t="shared" si="18"/>
        <v/>
      </c>
      <c r="AM102" s="107">
        <v>93</v>
      </c>
      <c r="AO102" s="107" t="str">
        <f t="array" ref="AO102">IFERROR(INDEX($AM$10:$AM$258,MATCH(0,IF(TRUE=$AJ$10:$AJ$258,COUNTIF($AO$9:$AO101,$AM$10:$AM$258),""),0)),"")</f>
        <v/>
      </c>
      <c r="AP102" s="107" t="str">
        <f t="array" ref="AP102">IFERROR(INDEX($AM$10:$AM$258,MATCH(0,IF(TRUE=$AK$10:$AK$258,COUNTIF($AP$9:$AP101,$AM$10:$AM$258),""),0)),"")</f>
        <v/>
      </c>
      <c r="AR102" s="30" t="str">
        <f>IFERROR(INDEX('G-7 WaterC'' Data'!$AZ$3:$AZ$7,MATCH(D102,'G-7 WaterC'' Data'!$AY$3:$AY$7,0)),"")</f>
        <v/>
      </c>
      <c r="AS102" s="30" t="str">
        <f>IFERROR(INDEX('G-7 WaterC'' Data'!AZ102:AZ106,MATCH(D102,'G-7 WaterC'' Data'!$AY$10:$AY$14,0)),"")</f>
        <v/>
      </c>
      <c r="AT102" s="885" t="str">
        <f>IF(AND(OR(AA102="Yes",AA102="Pending"),Q102='G-7 WaterC'' Data'!$G$4),R102-W102-X102,"")</f>
        <v/>
      </c>
      <c r="AU102" s="30" t="str">
        <f>IF(D102="","",VLOOKUP(D102,'G-7 WaterC'' Data'!B$4:M$8,12,FALSE))</f>
        <v/>
      </c>
      <c r="AV102" s="30" t="str">
        <f t="shared" si="10"/>
        <v/>
      </c>
      <c r="AX102" s="30" t="str">
        <f t="shared" si="19"/>
        <v>No</v>
      </c>
    </row>
    <row r="103" spans="3:50" ht="14" hidden="1">
      <c r="C103" s="97">
        <v>94</v>
      </c>
      <c r="D103" s="261"/>
      <c r="E103" s="115"/>
      <c r="F103" s="275" t="str">
        <f>IF(D103="","",VLOOKUP(D103,'G-7 WaterC'' Data'!$B$2:$G$8,2,FALSE))</f>
        <v/>
      </c>
      <c r="G103" s="276" t="str">
        <f>IFERROR(VLOOKUP(F103,'G-7 WaterC'' Data'!$C$4:$D$8,2,FALSE),"")</f>
        <v/>
      </c>
      <c r="H103" s="52"/>
      <c r="I103" s="276" t="str">
        <f>IFERROR(INDEX('G-7 WaterC'' Data'!$H$4:$L$8,MATCH(D103,'G-7 WaterC'' Data'!$B$4:$B$8,0),MATCH(H103,'G-7 WaterC'' Data'!$H$3:$L$3,0)),"")</f>
        <v/>
      </c>
      <c r="J103" s="777"/>
      <c r="K103" s="311" t="str">
        <f>IF(J103="","",IF(VLOOKUP(J103,'G-7 WaterC'' Data'!$AK$4:$AM$6,2,FALSE)=0,"Spatial Data Missing ⚠",VLOOKUP(J103,'G-7 WaterC'' Data'!$AK$4:$AM$6,2,FALSE)))</f>
        <v/>
      </c>
      <c r="L103" s="281" t="str">
        <f>IF(J103="","",IF(VLOOKUP(J103,'G-7 WaterC'' Data'!$AK$4:$AM$9,3,FALSE)=0,"Spatial Data Missing ⚠",VLOOKUP(J103,'G-7 WaterC'' Data'!$AK$4:$AM$6,3,FALSE)))</f>
        <v/>
      </c>
      <c r="M103" s="52"/>
      <c r="N103" s="276" t="str">
        <f>IF(M103="","",IF(AND(D103&lt;&gt;"Culvert",M103="N/A - Culvert"),"Not possible ▲",IF(AND(D103="Culvert",M103&lt;&gt;"N/A - Culvert"),"Not possible ▲",IF(VLOOKUP(M103,'G-7 WaterC'' Data'!$AA$4:$AB$7,2,FALSE)=0,"Spatial Data Missing ⚠",VLOOKUP(M103,'G-7 WaterC'' Data'!$AA$4:$AB$7,2,FALSE)))))</f>
        <v/>
      </c>
      <c r="O103" s="56"/>
      <c r="P103" s="276" t="str">
        <f>IF(O103="","",IF(AND(O103="N/A - Culvert",D103&lt;&gt;"Culvert"),"Not possible ▲",IF(AND(D103="Culvert",O103&lt;&gt;"N/A - Culvert"),"Not possible ▲",IF(VLOOKUP(O103,'G-7 WaterC'' Data'!$AD$4:$AE$14,2,FALSE)=0,"Spatial Data Missing ⚠",VLOOKUP(O103,'G-7 WaterC'' Data'!$AD$4:$AE$14,2,FALSE)))))</f>
        <v/>
      </c>
      <c r="Q103" s="282" t="str">
        <f>IF(D103="","",VLOOKUP(D103,'G-7 WaterC'' Data'!$B$2:$G$8,6,FALSE))</f>
        <v/>
      </c>
      <c r="R103" s="289" t="str">
        <f t="shared" si="11"/>
        <v xml:space="preserve"> </v>
      </c>
      <c r="S103" s="803" t="str">
        <f t="shared" si="12"/>
        <v/>
      </c>
      <c r="T103" s="32"/>
      <c r="U103" s="101"/>
      <c r="V103" s="108"/>
      <c r="W103" s="287" t="str">
        <f t="shared" si="13"/>
        <v/>
      </c>
      <c r="X103" s="287" t="str">
        <f t="shared" si="14"/>
        <v/>
      </c>
      <c r="Y103" s="287" t="str">
        <f t="shared" si="15"/>
        <v/>
      </c>
      <c r="Z103" s="317" t="str">
        <f>IFERROR(IF(OR(E103="",R103=""),"",IF(AND(Q103='G-7 WaterC'' Data'!$G$4,AA103="Yes"),"Alternative Compensation ✓",IF(AND(AA103="Pending",Q103='G-7 WaterC'' Data'!$G$4),"Bespoke compensation must be agreed ▲",IF((W103+X103)&gt;=R103,0,R103-W103-X103)))),"Check Data ⚠")</f>
        <v/>
      </c>
      <c r="AA103" s="800"/>
      <c r="AB103" s="136"/>
      <c r="AC103" s="104"/>
      <c r="AD103" s="104"/>
      <c r="AE103" s="54" t="str">
        <f>IF(OR(Q103="",AA103="Yes"),"",IF(Q103='G-1 All Habitats'!$X$9,E103-U103-V103,"None"))</f>
        <v/>
      </c>
      <c r="AF103" s="55" t="str">
        <f>IF(Q103="","",IF(Q103='G-1 All Habitats'!$X$9,AE103*G103*I103*L103*N103*P103,"None"))</f>
        <v/>
      </c>
      <c r="AI103" s="30">
        <f t="shared" si="16"/>
        <v>0</v>
      </c>
      <c r="AJ103" s="107" t="str">
        <f t="shared" si="17"/>
        <v/>
      </c>
      <c r="AK103" s="107" t="str">
        <f t="shared" si="18"/>
        <v/>
      </c>
      <c r="AM103" s="107">
        <v>94</v>
      </c>
      <c r="AO103" s="107" t="str">
        <f t="array" ref="AO103">IFERROR(INDEX($AM$10:$AM$258,MATCH(0,IF(TRUE=$AJ$10:$AJ$258,COUNTIF($AO$9:$AO102,$AM$10:$AM$258),""),0)),"")</f>
        <v/>
      </c>
      <c r="AP103" s="107" t="str">
        <f t="array" ref="AP103">IFERROR(INDEX($AM$10:$AM$258,MATCH(0,IF(TRUE=$AK$10:$AK$258,COUNTIF($AP$9:$AP102,$AM$10:$AM$258),""),0)),"")</f>
        <v/>
      </c>
      <c r="AR103" s="30" t="str">
        <f>IFERROR(INDEX('G-7 WaterC'' Data'!$AZ$3:$AZ$7,MATCH(D103,'G-7 WaterC'' Data'!$AY$3:$AY$7,0)),"")</f>
        <v/>
      </c>
      <c r="AS103" s="30" t="str">
        <f>IFERROR(INDEX('G-7 WaterC'' Data'!AZ103:AZ107,MATCH(D103,'G-7 WaterC'' Data'!$AY$10:$AY$14,0)),"")</f>
        <v/>
      </c>
      <c r="AT103" s="885" t="str">
        <f>IF(AND(OR(AA103="Yes",AA103="Pending"),Q103='G-7 WaterC'' Data'!$G$4),R103-W103-X103,"")</f>
        <v/>
      </c>
      <c r="AU103" s="30" t="str">
        <f>IF(D103="","",VLOOKUP(D103,'G-7 WaterC'' Data'!B$4:M$8,12,FALSE))</f>
        <v/>
      </c>
      <c r="AV103" s="30" t="str">
        <f t="shared" si="10"/>
        <v/>
      </c>
      <c r="AX103" s="30" t="str">
        <f t="shared" si="19"/>
        <v>No</v>
      </c>
    </row>
    <row r="104" spans="3:50" ht="14" hidden="1">
      <c r="C104" s="97">
        <v>95</v>
      </c>
      <c r="D104" s="261"/>
      <c r="E104" s="115"/>
      <c r="F104" s="275" t="str">
        <f>IF(D104="","",VLOOKUP(D104,'G-7 WaterC'' Data'!$B$2:$G$8,2,FALSE))</f>
        <v/>
      </c>
      <c r="G104" s="276" t="str">
        <f>IFERROR(VLOOKUP(F104,'G-7 WaterC'' Data'!$C$4:$D$8,2,FALSE),"")</f>
        <v/>
      </c>
      <c r="H104" s="52"/>
      <c r="I104" s="276" t="str">
        <f>IFERROR(INDEX('G-7 WaterC'' Data'!$H$4:$L$8,MATCH(D104,'G-7 WaterC'' Data'!$B$4:$B$8,0),MATCH(H104,'G-7 WaterC'' Data'!$H$3:$L$3,0)),"")</f>
        <v/>
      </c>
      <c r="J104" s="777"/>
      <c r="K104" s="311" t="str">
        <f>IF(J104="","",IF(VLOOKUP(J104,'G-7 WaterC'' Data'!$AK$4:$AM$6,2,FALSE)=0,"Spatial Data Missing ⚠",VLOOKUP(J104,'G-7 WaterC'' Data'!$AK$4:$AM$6,2,FALSE)))</f>
        <v/>
      </c>
      <c r="L104" s="281" t="str">
        <f>IF(J104="","",IF(VLOOKUP(J104,'G-7 WaterC'' Data'!$AK$4:$AM$9,3,FALSE)=0,"Spatial Data Missing ⚠",VLOOKUP(J104,'G-7 WaterC'' Data'!$AK$4:$AM$6,3,FALSE)))</f>
        <v/>
      </c>
      <c r="M104" s="52"/>
      <c r="N104" s="276" t="str">
        <f>IF(M104="","",IF(AND(D104&lt;&gt;"Culvert",M104="N/A - Culvert"),"Not possible ▲",IF(AND(D104="Culvert",M104&lt;&gt;"N/A - Culvert"),"Not possible ▲",IF(VLOOKUP(M104,'G-7 WaterC'' Data'!$AA$4:$AB$7,2,FALSE)=0,"Spatial Data Missing ⚠",VLOOKUP(M104,'G-7 WaterC'' Data'!$AA$4:$AB$7,2,FALSE)))))</f>
        <v/>
      </c>
      <c r="O104" s="56"/>
      <c r="P104" s="276" t="str">
        <f>IF(O104="","",IF(AND(O104="N/A - Culvert",D104&lt;&gt;"Culvert"),"Not possible ▲",IF(AND(D104="Culvert",O104&lt;&gt;"N/A - Culvert"),"Not possible ▲",IF(VLOOKUP(O104,'G-7 WaterC'' Data'!$AD$4:$AE$14,2,FALSE)=0,"Spatial Data Missing ⚠",VLOOKUP(O104,'G-7 WaterC'' Data'!$AD$4:$AE$14,2,FALSE)))))</f>
        <v/>
      </c>
      <c r="Q104" s="282" t="str">
        <f>IF(D104="","",VLOOKUP(D104,'G-7 WaterC'' Data'!$B$2:$G$8,6,FALSE))</f>
        <v/>
      </c>
      <c r="R104" s="289" t="str">
        <f t="shared" si="11"/>
        <v xml:space="preserve"> </v>
      </c>
      <c r="S104" s="803" t="str">
        <f t="shared" si="12"/>
        <v/>
      </c>
      <c r="T104" s="32"/>
      <c r="U104" s="101"/>
      <c r="V104" s="108"/>
      <c r="W104" s="287" t="str">
        <f t="shared" si="13"/>
        <v/>
      </c>
      <c r="X104" s="287" t="str">
        <f t="shared" si="14"/>
        <v/>
      </c>
      <c r="Y104" s="287" t="str">
        <f t="shared" si="15"/>
        <v/>
      </c>
      <c r="Z104" s="317" t="str">
        <f>IFERROR(IF(OR(E104="",R104=""),"",IF(AND(Q104='G-7 WaterC'' Data'!$G$4,AA104="Yes"),"Alternative Compensation ✓",IF(AND(AA104="Pending",Q104='G-7 WaterC'' Data'!$G$4),"Bespoke compensation must be agreed ▲",IF((W104+X104)&gt;=R104,0,R104-W104-X104)))),"Check Data ⚠")</f>
        <v/>
      </c>
      <c r="AA104" s="800"/>
      <c r="AB104" s="136"/>
      <c r="AC104" s="104"/>
      <c r="AD104" s="104"/>
      <c r="AE104" s="54" t="str">
        <f>IF(OR(Q104="",AA104="Yes"),"",IF(Q104='G-1 All Habitats'!$X$9,E104-U104-V104,"None"))</f>
        <v/>
      </c>
      <c r="AF104" s="55" t="str">
        <f>IF(Q104="","",IF(Q104='G-1 All Habitats'!$X$9,AE104*G104*I104*L104*N104*P104,"None"))</f>
        <v/>
      </c>
      <c r="AI104" s="30">
        <f t="shared" si="16"/>
        <v>0</v>
      </c>
      <c r="AJ104" s="107" t="str">
        <f t="shared" si="17"/>
        <v/>
      </c>
      <c r="AK104" s="107" t="str">
        <f t="shared" si="18"/>
        <v/>
      </c>
      <c r="AM104" s="107">
        <v>95</v>
      </c>
      <c r="AO104" s="107" t="str">
        <f t="array" ref="AO104">IFERROR(INDEX($AM$10:$AM$258,MATCH(0,IF(TRUE=$AJ$10:$AJ$258,COUNTIF($AO$9:$AO103,$AM$10:$AM$258),""),0)),"")</f>
        <v/>
      </c>
      <c r="AP104" s="107" t="str">
        <f t="array" ref="AP104">IFERROR(INDEX($AM$10:$AM$258,MATCH(0,IF(TRUE=$AK$10:$AK$258,COUNTIF($AP$9:$AP103,$AM$10:$AM$258),""),0)),"")</f>
        <v/>
      </c>
      <c r="AR104" s="30" t="str">
        <f>IFERROR(INDEX('G-7 WaterC'' Data'!$AZ$3:$AZ$7,MATCH(D104,'G-7 WaterC'' Data'!$AY$3:$AY$7,0)),"")</f>
        <v/>
      </c>
      <c r="AS104" s="30" t="str">
        <f>IFERROR(INDEX('G-7 WaterC'' Data'!AZ104:AZ108,MATCH(D104,'G-7 WaterC'' Data'!$AY$10:$AY$14,0)),"")</f>
        <v/>
      </c>
      <c r="AT104" s="885" t="str">
        <f>IF(AND(OR(AA104="Yes",AA104="Pending"),Q104='G-7 WaterC'' Data'!$G$4),R104-W104-X104,"")</f>
        <v/>
      </c>
      <c r="AU104" s="30" t="str">
        <f>IF(D104="","",VLOOKUP(D104,'G-7 WaterC'' Data'!B$4:M$8,12,FALSE))</f>
        <v/>
      </c>
      <c r="AV104" s="30" t="str">
        <f t="shared" si="10"/>
        <v/>
      </c>
      <c r="AX104" s="30" t="str">
        <f t="shared" si="19"/>
        <v>No</v>
      </c>
    </row>
    <row r="105" spans="3:50" ht="14" hidden="1">
      <c r="C105" s="97">
        <v>96</v>
      </c>
      <c r="D105" s="261"/>
      <c r="E105" s="115"/>
      <c r="F105" s="275" t="str">
        <f>IF(D105="","",VLOOKUP(D105,'G-7 WaterC'' Data'!$B$2:$G$8,2,FALSE))</f>
        <v/>
      </c>
      <c r="G105" s="276" t="str">
        <f>IFERROR(VLOOKUP(F105,'G-7 WaterC'' Data'!$C$4:$D$8,2,FALSE),"")</f>
        <v/>
      </c>
      <c r="H105" s="52"/>
      <c r="I105" s="276" t="str">
        <f>IFERROR(INDEX('G-7 WaterC'' Data'!$H$4:$L$8,MATCH(D105,'G-7 WaterC'' Data'!$B$4:$B$8,0),MATCH(H105,'G-7 WaterC'' Data'!$H$3:$L$3,0)),"")</f>
        <v/>
      </c>
      <c r="J105" s="777"/>
      <c r="K105" s="311" t="str">
        <f>IF(J105="","",IF(VLOOKUP(J105,'G-7 WaterC'' Data'!$AK$4:$AM$6,2,FALSE)=0,"Spatial Data Missing ⚠",VLOOKUP(J105,'G-7 WaterC'' Data'!$AK$4:$AM$6,2,FALSE)))</f>
        <v/>
      </c>
      <c r="L105" s="281" t="str">
        <f>IF(J105="","",IF(VLOOKUP(J105,'G-7 WaterC'' Data'!$AK$4:$AM$9,3,FALSE)=0,"Spatial Data Missing ⚠",VLOOKUP(J105,'G-7 WaterC'' Data'!$AK$4:$AM$6,3,FALSE)))</f>
        <v/>
      </c>
      <c r="M105" s="52"/>
      <c r="N105" s="276" t="str">
        <f>IF(M105="","",IF(AND(D105&lt;&gt;"Culvert",M105="N/A - Culvert"),"Not possible ▲",IF(AND(D105="Culvert",M105&lt;&gt;"N/A - Culvert"),"Not possible ▲",IF(VLOOKUP(M105,'G-7 WaterC'' Data'!$AA$4:$AB$7,2,FALSE)=0,"Spatial Data Missing ⚠",VLOOKUP(M105,'G-7 WaterC'' Data'!$AA$4:$AB$7,2,FALSE)))))</f>
        <v/>
      </c>
      <c r="O105" s="56"/>
      <c r="P105" s="276" t="str">
        <f>IF(O105="","",IF(AND(O105="N/A - Culvert",D105&lt;&gt;"Culvert"),"Not possible ▲",IF(AND(D105="Culvert",O105&lt;&gt;"N/A - Culvert"),"Not possible ▲",IF(VLOOKUP(O105,'G-7 WaterC'' Data'!$AD$4:$AE$14,2,FALSE)=0,"Spatial Data Missing ⚠",VLOOKUP(O105,'G-7 WaterC'' Data'!$AD$4:$AE$14,2,FALSE)))))</f>
        <v/>
      </c>
      <c r="Q105" s="282" t="str">
        <f>IF(D105="","",VLOOKUP(D105,'G-7 WaterC'' Data'!$B$2:$G$8,6,FALSE))</f>
        <v/>
      </c>
      <c r="R105" s="289" t="str">
        <f t="shared" si="11"/>
        <v xml:space="preserve"> </v>
      </c>
      <c r="S105" s="803" t="str">
        <f t="shared" si="12"/>
        <v/>
      </c>
      <c r="T105" s="32"/>
      <c r="U105" s="101"/>
      <c r="V105" s="108"/>
      <c r="W105" s="287" t="str">
        <f t="shared" si="13"/>
        <v/>
      </c>
      <c r="X105" s="287" t="str">
        <f t="shared" si="14"/>
        <v/>
      </c>
      <c r="Y105" s="287" t="str">
        <f t="shared" si="15"/>
        <v/>
      </c>
      <c r="Z105" s="317" t="str">
        <f>IFERROR(IF(OR(E105="",R105=""),"",IF(AND(Q105='G-7 WaterC'' Data'!$G$4,AA105="Yes"),"Alternative Compensation ✓",IF(AND(AA105="Pending",Q105='G-7 WaterC'' Data'!$G$4),"Bespoke compensation must be agreed ▲",IF((W105+X105)&gt;=R105,0,R105-W105-X105)))),"Check Data ⚠")</f>
        <v/>
      </c>
      <c r="AA105" s="800"/>
      <c r="AB105" s="136"/>
      <c r="AC105" s="104"/>
      <c r="AD105" s="104"/>
      <c r="AE105" s="54" t="str">
        <f>IF(OR(Q105="",AA105="Yes"),"",IF(Q105='G-1 All Habitats'!$X$9,E105-U105-V105,"None"))</f>
        <v/>
      </c>
      <c r="AF105" s="55" t="str">
        <f>IF(Q105="","",IF(Q105='G-1 All Habitats'!$X$9,AE105*G105*I105*L105*N105*P105,"None"))</f>
        <v/>
      </c>
      <c r="AI105" s="30">
        <f t="shared" si="16"/>
        <v>0</v>
      </c>
      <c r="AJ105" s="107" t="str">
        <f t="shared" si="17"/>
        <v/>
      </c>
      <c r="AK105" s="107" t="str">
        <f t="shared" si="18"/>
        <v/>
      </c>
      <c r="AM105" s="107">
        <v>96</v>
      </c>
      <c r="AO105" s="107" t="str">
        <f t="array" ref="AO105">IFERROR(INDEX($AM$10:$AM$258,MATCH(0,IF(TRUE=$AJ$10:$AJ$258,COUNTIF($AO$9:$AO104,$AM$10:$AM$258),""),0)),"")</f>
        <v/>
      </c>
      <c r="AP105" s="107" t="str">
        <f t="array" ref="AP105">IFERROR(INDEX($AM$10:$AM$258,MATCH(0,IF(TRUE=$AK$10:$AK$258,COUNTIF($AP$9:$AP104,$AM$10:$AM$258),""),0)),"")</f>
        <v/>
      </c>
      <c r="AR105" s="30" t="str">
        <f>IFERROR(INDEX('G-7 WaterC'' Data'!$AZ$3:$AZ$7,MATCH(D105,'G-7 WaterC'' Data'!$AY$3:$AY$7,0)),"")</f>
        <v/>
      </c>
      <c r="AS105" s="30" t="str">
        <f>IFERROR(INDEX('G-7 WaterC'' Data'!AZ105:AZ109,MATCH(D105,'G-7 WaterC'' Data'!$AY$10:$AY$14,0)),"")</f>
        <v/>
      </c>
      <c r="AT105" s="885" t="str">
        <f>IF(AND(OR(AA105="Yes",AA105="Pending"),Q105='G-7 WaterC'' Data'!$G$4),R105-W105-X105,"")</f>
        <v/>
      </c>
      <c r="AU105" s="30" t="str">
        <f>IF(D105="","",VLOOKUP(D105,'G-7 WaterC'' Data'!B$4:M$8,12,FALSE))</f>
        <v/>
      </c>
      <c r="AV105" s="30" t="str">
        <f t="shared" si="10"/>
        <v/>
      </c>
      <c r="AX105" s="30" t="str">
        <f t="shared" si="19"/>
        <v>No</v>
      </c>
    </row>
    <row r="106" spans="3:50" ht="14" hidden="1">
      <c r="C106" s="97">
        <v>97</v>
      </c>
      <c r="D106" s="261"/>
      <c r="E106" s="115"/>
      <c r="F106" s="275" t="str">
        <f>IF(D106="","",VLOOKUP(D106,'G-7 WaterC'' Data'!$B$2:$G$8,2,FALSE))</f>
        <v/>
      </c>
      <c r="G106" s="276" t="str">
        <f>IFERROR(VLOOKUP(F106,'G-7 WaterC'' Data'!$C$4:$D$8,2,FALSE),"")</f>
        <v/>
      </c>
      <c r="H106" s="52"/>
      <c r="I106" s="276" t="str">
        <f>IFERROR(INDEX('G-7 WaterC'' Data'!$H$4:$L$8,MATCH(D106,'G-7 WaterC'' Data'!$B$4:$B$8,0),MATCH(H106,'G-7 WaterC'' Data'!$H$3:$L$3,0)),"")</f>
        <v/>
      </c>
      <c r="J106" s="777"/>
      <c r="K106" s="311" t="str">
        <f>IF(J106="","",IF(VLOOKUP(J106,'G-7 WaterC'' Data'!$AK$4:$AM$6,2,FALSE)=0,"Spatial Data Missing ⚠",VLOOKUP(J106,'G-7 WaterC'' Data'!$AK$4:$AM$6,2,FALSE)))</f>
        <v/>
      </c>
      <c r="L106" s="281" t="str">
        <f>IF(J106="","",IF(VLOOKUP(J106,'G-7 WaterC'' Data'!$AK$4:$AM$9,3,FALSE)=0,"Spatial Data Missing ⚠",VLOOKUP(J106,'G-7 WaterC'' Data'!$AK$4:$AM$6,3,FALSE)))</f>
        <v/>
      </c>
      <c r="M106" s="52"/>
      <c r="N106" s="276" t="str">
        <f>IF(M106="","",IF(AND(D106&lt;&gt;"Culvert",M106="N/A - Culvert"),"Not possible ▲",IF(AND(D106="Culvert",M106&lt;&gt;"N/A - Culvert"),"Not possible ▲",IF(VLOOKUP(M106,'G-7 WaterC'' Data'!$AA$4:$AB$7,2,FALSE)=0,"Spatial Data Missing ⚠",VLOOKUP(M106,'G-7 WaterC'' Data'!$AA$4:$AB$7,2,FALSE)))))</f>
        <v/>
      </c>
      <c r="O106" s="56"/>
      <c r="P106" s="276" t="str">
        <f>IF(O106="","",IF(AND(O106="N/A - Culvert",D106&lt;&gt;"Culvert"),"Not possible ▲",IF(AND(D106="Culvert",O106&lt;&gt;"N/A - Culvert"),"Not possible ▲",IF(VLOOKUP(O106,'G-7 WaterC'' Data'!$AD$4:$AE$14,2,FALSE)=0,"Spatial Data Missing ⚠",VLOOKUP(O106,'G-7 WaterC'' Data'!$AD$4:$AE$14,2,FALSE)))))</f>
        <v/>
      </c>
      <c r="Q106" s="282" t="str">
        <f>IF(D106="","",VLOOKUP(D106,'G-7 WaterC'' Data'!$B$2:$G$8,6,FALSE))</f>
        <v/>
      </c>
      <c r="R106" s="289" t="str">
        <f t="shared" si="11"/>
        <v xml:space="preserve"> </v>
      </c>
      <c r="S106" s="803" t="str">
        <f t="shared" si="12"/>
        <v/>
      </c>
      <c r="T106" s="32"/>
      <c r="U106" s="101"/>
      <c r="V106" s="108"/>
      <c r="W106" s="287" t="str">
        <f t="shared" si="13"/>
        <v/>
      </c>
      <c r="X106" s="287" t="str">
        <f t="shared" si="14"/>
        <v/>
      </c>
      <c r="Y106" s="287" t="str">
        <f t="shared" si="15"/>
        <v/>
      </c>
      <c r="Z106" s="317" t="str">
        <f>IFERROR(IF(OR(E106="",R106=""),"",IF(AND(Q106='G-7 WaterC'' Data'!$G$4,AA106="Yes"),"Alternative Compensation ✓",IF(AND(AA106="Pending",Q106='G-7 WaterC'' Data'!$G$4),"Bespoke compensation must be agreed ▲",IF((W106+X106)&gt;=R106,0,R106-W106-X106)))),"Check Data ⚠")</f>
        <v/>
      </c>
      <c r="AA106" s="800"/>
      <c r="AB106" s="136"/>
      <c r="AC106" s="104"/>
      <c r="AD106" s="104"/>
      <c r="AE106" s="54" t="str">
        <f>IF(OR(Q106="",AA106="Yes"),"",IF(Q106='G-1 All Habitats'!$X$9,E106-U106-V106,"None"))</f>
        <v/>
      </c>
      <c r="AF106" s="55" t="str">
        <f>IF(Q106="","",IF(Q106='G-1 All Habitats'!$X$9,AE106*G106*I106*L106*N106*P106,"None"))</f>
        <v/>
      </c>
      <c r="AI106" s="30">
        <f t="shared" si="16"/>
        <v>0</v>
      </c>
      <c r="AJ106" s="107" t="str">
        <f t="shared" si="17"/>
        <v/>
      </c>
      <c r="AK106" s="107" t="str">
        <f t="shared" si="18"/>
        <v/>
      </c>
      <c r="AM106" s="107">
        <v>97</v>
      </c>
      <c r="AO106" s="107" t="str">
        <f t="array" ref="AO106">IFERROR(INDEX($AM$10:$AM$258,MATCH(0,IF(TRUE=$AJ$10:$AJ$258,COUNTIF($AO$9:$AO105,$AM$10:$AM$258),""),0)),"")</f>
        <v/>
      </c>
      <c r="AP106" s="107" t="str">
        <f t="array" ref="AP106">IFERROR(INDEX($AM$10:$AM$258,MATCH(0,IF(TRUE=$AK$10:$AK$258,COUNTIF($AP$9:$AP105,$AM$10:$AM$258),""),0)),"")</f>
        <v/>
      </c>
      <c r="AR106" s="30" t="str">
        <f>IFERROR(INDEX('G-7 WaterC'' Data'!$AZ$3:$AZ$7,MATCH(D106,'G-7 WaterC'' Data'!$AY$3:$AY$7,0)),"")</f>
        <v/>
      </c>
      <c r="AS106" s="30" t="str">
        <f>IFERROR(INDEX('G-7 WaterC'' Data'!AZ106:AZ110,MATCH(D106,'G-7 WaterC'' Data'!$AY$10:$AY$14,0)),"")</f>
        <v/>
      </c>
      <c r="AT106" s="885" t="str">
        <f>IF(AND(OR(AA106="Yes",AA106="Pending"),Q106='G-7 WaterC'' Data'!$G$4),R106-W106-X106,"")</f>
        <v/>
      </c>
      <c r="AU106" s="30" t="str">
        <f>IF(D106="","",VLOOKUP(D106,'G-7 WaterC'' Data'!B$4:M$8,12,FALSE))</f>
        <v/>
      </c>
      <c r="AV106" s="30" t="str">
        <f t="shared" si="10"/>
        <v/>
      </c>
      <c r="AX106" s="30" t="str">
        <f t="shared" si="19"/>
        <v>No</v>
      </c>
    </row>
    <row r="107" spans="3:50" ht="14" hidden="1">
      <c r="C107" s="97">
        <v>98</v>
      </c>
      <c r="D107" s="261"/>
      <c r="E107" s="115"/>
      <c r="F107" s="275" t="str">
        <f>IF(D107="","",VLOOKUP(D107,'G-7 WaterC'' Data'!$B$2:$G$8,2,FALSE))</f>
        <v/>
      </c>
      <c r="G107" s="276" t="str">
        <f>IFERROR(VLOOKUP(F107,'G-7 WaterC'' Data'!$C$4:$D$8,2,FALSE),"")</f>
        <v/>
      </c>
      <c r="H107" s="52"/>
      <c r="I107" s="276" t="str">
        <f>IFERROR(INDEX('G-7 WaterC'' Data'!$H$4:$L$8,MATCH(D107,'G-7 WaterC'' Data'!$B$4:$B$8,0),MATCH(H107,'G-7 WaterC'' Data'!$H$3:$L$3,0)),"")</f>
        <v/>
      </c>
      <c r="J107" s="777"/>
      <c r="K107" s="311" t="str">
        <f>IF(J107="","",IF(VLOOKUP(J107,'G-7 WaterC'' Data'!$AK$4:$AM$6,2,FALSE)=0,"Spatial Data Missing ⚠",VLOOKUP(J107,'G-7 WaterC'' Data'!$AK$4:$AM$6,2,FALSE)))</f>
        <v/>
      </c>
      <c r="L107" s="281" t="str">
        <f>IF(J107="","",IF(VLOOKUP(J107,'G-7 WaterC'' Data'!$AK$4:$AM$9,3,FALSE)=0,"Spatial Data Missing ⚠",VLOOKUP(J107,'G-7 WaterC'' Data'!$AK$4:$AM$6,3,FALSE)))</f>
        <v/>
      </c>
      <c r="M107" s="52"/>
      <c r="N107" s="276" t="str">
        <f>IF(M107="","",IF(AND(D107&lt;&gt;"Culvert",M107="N/A - Culvert"),"Not possible ▲",IF(AND(D107="Culvert",M107&lt;&gt;"N/A - Culvert"),"Not possible ▲",IF(VLOOKUP(M107,'G-7 WaterC'' Data'!$AA$4:$AB$7,2,FALSE)=0,"Spatial Data Missing ⚠",VLOOKUP(M107,'G-7 WaterC'' Data'!$AA$4:$AB$7,2,FALSE)))))</f>
        <v/>
      </c>
      <c r="O107" s="56"/>
      <c r="P107" s="276" t="str">
        <f>IF(O107="","",IF(AND(O107="N/A - Culvert",D107&lt;&gt;"Culvert"),"Not possible ▲",IF(AND(D107="Culvert",O107&lt;&gt;"N/A - Culvert"),"Not possible ▲",IF(VLOOKUP(O107,'G-7 WaterC'' Data'!$AD$4:$AE$14,2,FALSE)=0,"Spatial Data Missing ⚠",VLOOKUP(O107,'G-7 WaterC'' Data'!$AD$4:$AE$14,2,FALSE)))))</f>
        <v/>
      </c>
      <c r="Q107" s="282" t="str">
        <f>IF(D107="","",VLOOKUP(D107,'G-7 WaterC'' Data'!$B$2:$G$8,6,FALSE))</f>
        <v/>
      </c>
      <c r="R107" s="289" t="str">
        <f t="shared" si="11"/>
        <v xml:space="preserve"> </v>
      </c>
      <c r="S107" s="803" t="str">
        <f t="shared" si="12"/>
        <v/>
      </c>
      <c r="T107" s="32"/>
      <c r="U107" s="101"/>
      <c r="V107" s="108"/>
      <c r="W107" s="287" t="str">
        <f t="shared" si="13"/>
        <v/>
      </c>
      <c r="X107" s="287" t="str">
        <f t="shared" si="14"/>
        <v/>
      </c>
      <c r="Y107" s="287" t="str">
        <f t="shared" si="15"/>
        <v/>
      </c>
      <c r="Z107" s="317" t="str">
        <f>IFERROR(IF(OR(E107="",R107=""),"",IF(AND(Q107='G-7 WaterC'' Data'!$G$4,AA107="Yes"),"Alternative Compensation ✓",IF(AND(AA107="Pending",Q107='G-7 WaterC'' Data'!$G$4),"Bespoke compensation must be agreed ▲",IF((W107+X107)&gt;=R107,0,R107-W107-X107)))),"Check Data ⚠")</f>
        <v/>
      </c>
      <c r="AA107" s="800"/>
      <c r="AB107" s="136"/>
      <c r="AC107" s="104"/>
      <c r="AD107" s="104"/>
      <c r="AE107" s="54" t="str">
        <f>IF(OR(Q107="",AA107="Yes"),"",IF(Q107='G-1 All Habitats'!$X$9,E107-U107-V107,"None"))</f>
        <v/>
      </c>
      <c r="AF107" s="55" t="str">
        <f>IF(Q107="","",IF(Q107='G-1 All Habitats'!$X$9,AE107*G107*I107*L107*N107*P107,"None"))</f>
        <v/>
      </c>
      <c r="AI107" s="30">
        <f t="shared" si="16"/>
        <v>0</v>
      </c>
      <c r="AJ107" s="107" t="str">
        <f t="shared" si="17"/>
        <v/>
      </c>
      <c r="AK107" s="107" t="str">
        <f t="shared" si="18"/>
        <v/>
      </c>
      <c r="AM107" s="107">
        <v>98</v>
      </c>
      <c r="AO107" s="107" t="str">
        <f t="array" ref="AO107">IFERROR(INDEX($AM$10:$AM$258,MATCH(0,IF(TRUE=$AJ$10:$AJ$258,COUNTIF($AO$9:$AO106,$AM$10:$AM$258),""),0)),"")</f>
        <v/>
      </c>
      <c r="AP107" s="107" t="str">
        <f t="array" ref="AP107">IFERROR(INDEX($AM$10:$AM$258,MATCH(0,IF(TRUE=$AK$10:$AK$258,COUNTIF($AP$9:$AP106,$AM$10:$AM$258),""),0)),"")</f>
        <v/>
      </c>
      <c r="AR107" s="30" t="str">
        <f>IFERROR(INDEX('G-7 WaterC'' Data'!$AZ$3:$AZ$7,MATCH(D107,'G-7 WaterC'' Data'!$AY$3:$AY$7,0)),"")</f>
        <v/>
      </c>
      <c r="AS107" s="30" t="str">
        <f>IFERROR(INDEX('G-7 WaterC'' Data'!AZ107:AZ111,MATCH(D107,'G-7 WaterC'' Data'!$AY$10:$AY$14,0)),"")</f>
        <v/>
      </c>
      <c r="AT107" s="885" t="str">
        <f>IF(AND(OR(AA107="Yes",AA107="Pending"),Q107='G-7 WaterC'' Data'!$G$4),R107-W107-X107,"")</f>
        <v/>
      </c>
      <c r="AU107" s="30" t="str">
        <f>IF(D107="","",VLOOKUP(D107,'G-7 WaterC'' Data'!B$4:M$8,12,FALSE))</f>
        <v/>
      </c>
      <c r="AV107" s="30" t="str">
        <f t="shared" si="10"/>
        <v/>
      </c>
      <c r="AX107" s="30" t="str">
        <f t="shared" si="19"/>
        <v>No</v>
      </c>
    </row>
    <row r="108" spans="3:50" ht="14" hidden="1">
      <c r="C108" s="97">
        <v>99</v>
      </c>
      <c r="D108" s="261"/>
      <c r="E108" s="115"/>
      <c r="F108" s="275" t="str">
        <f>IF(D108="","",VLOOKUP(D108,'G-7 WaterC'' Data'!$B$2:$G$8,2,FALSE))</f>
        <v/>
      </c>
      <c r="G108" s="276" t="str">
        <f>IFERROR(VLOOKUP(F108,'G-7 WaterC'' Data'!$C$4:$D$8,2,FALSE),"")</f>
        <v/>
      </c>
      <c r="H108" s="52"/>
      <c r="I108" s="276" t="str">
        <f>IFERROR(INDEX('G-7 WaterC'' Data'!$H$4:$L$8,MATCH(D108,'G-7 WaterC'' Data'!$B$4:$B$8,0),MATCH(H108,'G-7 WaterC'' Data'!$H$3:$L$3,0)),"")</f>
        <v/>
      </c>
      <c r="J108" s="777"/>
      <c r="K108" s="311" t="str">
        <f>IF(J108="","",IF(VLOOKUP(J108,'G-7 WaterC'' Data'!$AK$4:$AM$6,2,FALSE)=0,"Spatial Data Missing ⚠",VLOOKUP(J108,'G-7 WaterC'' Data'!$AK$4:$AM$6,2,FALSE)))</f>
        <v/>
      </c>
      <c r="L108" s="281" t="str">
        <f>IF(J108="","",IF(VLOOKUP(J108,'G-7 WaterC'' Data'!$AK$4:$AM$9,3,FALSE)=0,"Spatial Data Missing ⚠",VLOOKUP(J108,'G-7 WaterC'' Data'!$AK$4:$AM$6,3,FALSE)))</f>
        <v/>
      </c>
      <c r="M108" s="52"/>
      <c r="N108" s="276" t="str">
        <f>IF(M108="","",IF(AND(D108&lt;&gt;"Culvert",M108="N/A - Culvert"),"Not possible ▲",IF(AND(D108="Culvert",M108&lt;&gt;"N/A - Culvert"),"Not possible ▲",IF(VLOOKUP(M108,'G-7 WaterC'' Data'!$AA$4:$AB$7,2,FALSE)=0,"Spatial Data Missing ⚠",VLOOKUP(M108,'G-7 WaterC'' Data'!$AA$4:$AB$7,2,FALSE)))))</f>
        <v/>
      </c>
      <c r="O108" s="56"/>
      <c r="P108" s="276" t="str">
        <f>IF(O108="","",IF(AND(O108="N/A - Culvert",D108&lt;&gt;"Culvert"),"Not possible ▲",IF(AND(D108="Culvert",O108&lt;&gt;"N/A - Culvert"),"Not possible ▲",IF(VLOOKUP(O108,'G-7 WaterC'' Data'!$AD$4:$AE$14,2,FALSE)=0,"Spatial Data Missing ⚠",VLOOKUP(O108,'G-7 WaterC'' Data'!$AD$4:$AE$14,2,FALSE)))))</f>
        <v/>
      </c>
      <c r="Q108" s="282" t="str">
        <f>IF(D108="","",VLOOKUP(D108,'G-7 WaterC'' Data'!$B$2:$G$8,6,FALSE))</f>
        <v/>
      </c>
      <c r="R108" s="289" t="str">
        <f t="shared" si="11"/>
        <v xml:space="preserve"> </v>
      </c>
      <c r="S108" s="803" t="str">
        <f t="shared" si="12"/>
        <v/>
      </c>
      <c r="T108" s="32"/>
      <c r="U108" s="101"/>
      <c r="V108" s="108"/>
      <c r="W108" s="287" t="str">
        <f t="shared" si="13"/>
        <v/>
      </c>
      <c r="X108" s="287" t="str">
        <f t="shared" si="14"/>
        <v/>
      </c>
      <c r="Y108" s="287" t="str">
        <f t="shared" si="15"/>
        <v/>
      </c>
      <c r="Z108" s="317" t="str">
        <f>IFERROR(IF(OR(E108="",R108=""),"",IF(AND(Q108='G-7 WaterC'' Data'!$G$4,AA108="Yes"),"Alternative Compensation ✓",IF(AND(AA108="Pending",Q108='G-7 WaterC'' Data'!$G$4),"Bespoke compensation must be agreed ▲",IF((W108+X108)&gt;=R108,0,R108-W108-X108)))),"Check Data ⚠")</f>
        <v/>
      </c>
      <c r="AA108" s="800"/>
      <c r="AB108" s="136"/>
      <c r="AC108" s="104"/>
      <c r="AD108" s="104"/>
      <c r="AE108" s="54" t="str">
        <f>IF(OR(Q108="",AA108="Yes"),"",IF(Q108='G-1 All Habitats'!$X$9,E108-U108-V108,"None"))</f>
        <v/>
      </c>
      <c r="AF108" s="55" t="str">
        <f>IF(Q108="","",IF(Q108='G-1 All Habitats'!$X$9,AE108*G108*I108*L108*N108*P108,"None"))</f>
        <v/>
      </c>
      <c r="AI108" s="30">
        <f t="shared" si="16"/>
        <v>0</v>
      </c>
      <c r="AJ108" s="107" t="str">
        <f t="shared" si="17"/>
        <v/>
      </c>
      <c r="AK108" s="107" t="str">
        <f t="shared" si="18"/>
        <v/>
      </c>
      <c r="AM108" s="107">
        <v>99</v>
      </c>
      <c r="AO108" s="107" t="str">
        <f t="array" ref="AO108">IFERROR(INDEX($AM$10:$AM$258,MATCH(0,IF(TRUE=$AJ$10:$AJ$258,COUNTIF($AO$9:$AO107,$AM$10:$AM$258),""),0)),"")</f>
        <v/>
      </c>
      <c r="AP108" s="107" t="str">
        <f t="array" ref="AP108">IFERROR(INDEX($AM$10:$AM$258,MATCH(0,IF(TRUE=$AK$10:$AK$258,COUNTIF($AP$9:$AP107,$AM$10:$AM$258),""),0)),"")</f>
        <v/>
      </c>
      <c r="AR108" s="30" t="str">
        <f>IFERROR(INDEX('G-7 WaterC'' Data'!$AZ$3:$AZ$7,MATCH(D108,'G-7 WaterC'' Data'!$AY$3:$AY$7,0)),"")</f>
        <v/>
      </c>
      <c r="AS108" s="30" t="str">
        <f>IFERROR(INDEX('G-7 WaterC'' Data'!AZ108:AZ112,MATCH(D108,'G-7 WaterC'' Data'!$AY$10:$AY$14,0)),"")</f>
        <v/>
      </c>
      <c r="AT108" s="885" t="str">
        <f>IF(AND(OR(AA108="Yes",AA108="Pending"),Q108='G-7 WaterC'' Data'!$G$4),R108-W108-X108,"")</f>
        <v/>
      </c>
      <c r="AU108" s="30" t="str">
        <f>IF(D108="","",VLOOKUP(D108,'G-7 WaterC'' Data'!B$4:M$8,12,FALSE))</f>
        <v/>
      </c>
      <c r="AV108" s="30" t="str">
        <f t="shared" si="10"/>
        <v/>
      </c>
      <c r="AX108" s="30" t="str">
        <f t="shared" si="19"/>
        <v>No</v>
      </c>
    </row>
    <row r="109" spans="3:50" ht="14" hidden="1">
      <c r="C109" s="97">
        <v>100</v>
      </c>
      <c r="D109" s="261"/>
      <c r="E109" s="115"/>
      <c r="F109" s="275" t="str">
        <f>IF(D109="","",VLOOKUP(D109,'G-7 WaterC'' Data'!$B$2:$G$8,2,FALSE))</f>
        <v/>
      </c>
      <c r="G109" s="276" t="str">
        <f>IFERROR(VLOOKUP(F109,'G-7 WaterC'' Data'!$C$4:$D$8,2,FALSE),"")</f>
        <v/>
      </c>
      <c r="H109" s="52"/>
      <c r="I109" s="276" t="str">
        <f>IFERROR(INDEX('G-7 WaterC'' Data'!$H$4:$L$8,MATCH(D109,'G-7 WaterC'' Data'!$B$4:$B$8,0),MATCH(H109,'G-7 WaterC'' Data'!$H$3:$L$3,0)),"")</f>
        <v/>
      </c>
      <c r="J109" s="777"/>
      <c r="K109" s="311" t="str">
        <f>IF(J109="","",IF(VLOOKUP(J109,'G-7 WaterC'' Data'!$AK$4:$AM$6,2,FALSE)=0,"Spatial Data Missing ⚠",VLOOKUP(J109,'G-7 WaterC'' Data'!$AK$4:$AM$6,2,FALSE)))</f>
        <v/>
      </c>
      <c r="L109" s="281" t="str">
        <f>IF(J109="","",IF(VLOOKUP(J109,'G-7 WaterC'' Data'!$AK$4:$AM$9,3,FALSE)=0,"Spatial Data Missing ⚠",VLOOKUP(J109,'G-7 WaterC'' Data'!$AK$4:$AM$6,3,FALSE)))</f>
        <v/>
      </c>
      <c r="M109" s="52"/>
      <c r="N109" s="276" t="str">
        <f>IF(M109="","",IF(AND(D109&lt;&gt;"Culvert",M109="N/A - Culvert"),"Not possible ▲",IF(AND(D109="Culvert",M109&lt;&gt;"N/A - Culvert"),"Not possible ▲",IF(VLOOKUP(M109,'G-7 WaterC'' Data'!$AA$4:$AB$7,2,FALSE)=0,"Spatial Data Missing ⚠",VLOOKUP(M109,'G-7 WaterC'' Data'!$AA$4:$AB$7,2,FALSE)))))</f>
        <v/>
      </c>
      <c r="O109" s="56"/>
      <c r="P109" s="276" t="str">
        <f>IF(O109="","",IF(AND(O109="N/A - Culvert",D109&lt;&gt;"Culvert"),"Not possible ▲",IF(AND(D109="Culvert",O109&lt;&gt;"N/A - Culvert"),"Not possible ▲",IF(VLOOKUP(O109,'G-7 WaterC'' Data'!$AD$4:$AE$14,2,FALSE)=0,"Spatial Data Missing ⚠",VLOOKUP(O109,'G-7 WaterC'' Data'!$AD$4:$AE$14,2,FALSE)))))</f>
        <v/>
      </c>
      <c r="Q109" s="282" t="str">
        <f>IF(D109="","",VLOOKUP(D109,'G-7 WaterC'' Data'!$B$2:$G$8,6,FALSE))</f>
        <v/>
      </c>
      <c r="R109" s="289" t="str">
        <f t="shared" si="11"/>
        <v xml:space="preserve"> </v>
      </c>
      <c r="S109" s="803" t="str">
        <f t="shared" si="12"/>
        <v/>
      </c>
      <c r="T109" s="32"/>
      <c r="U109" s="101"/>
      <c r="V109" s="108"/>
      <c r="W109" s="287" t="str">
        <f t="shared" si="13"/>
        <v/>
      </c>
      <c r="X109" s="287" t="str">
        <f t="shared" si="14"/>
        <v/>
      </c>
      <c r="Y109" s="287" t="str">
        <f t="shared" si="15"/>
        <v/>
      </c>
      <c r="Z109" s="317" t="str">
        <f>IFERROR(IF(OR(E109="",R109=""),"",IF(AND(Q109='G-7 WaterC'' Data'!$G$4,AA109="Yes"),"Alternative Compensation ✓",IF(AND(AA109="Pending",Q109='G-7 WaterC'' Data'!$G$4),"Bespoke compensation must be agreed ▲",IF((W109+X109)&gt;=R109,0,R109-W109-X109)))),"Check Data ⚠")</f>
        <v/>
      </c>
      <c r="AA109" s="800"/>
      <c r="AB109" s="136"/>
      <c r="AC109" s="104"/>
      <c r="AD109" s="104"/>
      <c r="AE109" s="54" t="str">
        <f>IF(OR(Q109="",AA109="Yes"),"",IF(Q109='G-1 All Habitats'!$X$9,E109-U109-V109,"None"))</f>
        <v/>
      </c>
      <c r="AF109" s="55" t="str">
        <f>IF(Q109="","",IF(Q109='G-1 All Habitats'!$X$9,AE109*G109*I109*L109*N109*P109,"None"))</f>
        <v/>
      </c>
      <c r="AI109" s="30">
        <f t="shared" si="16"/>
        <v>0</v>
      </c>
      <c r="AJ109" s="107" t="str">
        <f t="shared" si="17"/>
        <v/>
      </c>
      <c r="AK109" s="107" t="str">
        <f t="shared" si="18"/>
        <v/>
      </c>
      <c r="AM109" s="107">
        <v>100</v>
      </c>
      <c r="AO109" s="107" t="str">
        <f t="array" ref="AO109">IFERROR(INDEX($AM$10:$AM$258,MATCH(0,IF(TRUE=$AJ$10:$AJ$258,COUNTIF($AO$9:$AO108,$AM$10:$AM$258),""),0)),"")</f>
        <v/>
      </c>
      <c r="AP109" s="107" t="str">
        <f t="array" ref="AP109">IFERROR(INDEX($AM$10:$AM$258,MATCH(0,IF(TRUE=$AK$10:$AK$258,COUNTIF($AP$9:$AP108,$AM$10:$AM$258),""),0)),"")</f>
        <v/>
      </c>
      <c r="AR109" s="30" t="str">
        <f>IFERROR(INDEX('G-7 WaterC'' Data'!$AZ$3:$AZ$7,MATCH(D109,'G-7 WaterC'' Data'!$AY$3:$AY$7,0)),"")</f>
        <v/>
      </c>
      <c r="AS109" s="30" t="str">
        <f>IFERROR(INDEX('G-7 WaterC'' Data'!AZ109:AZ113,MATCH(D109,'G-7 WaterC'' Data'!$AY$10:$AY$14,0)),"")</f>
        <v/>
      </c>
      <c r="AT109" s="885" t="str">
        <f>IF(AND(OR(AA109="Yes",AA109="Pending"),Q109='G-7 WaterC'' Data'!$G$4),R109-W109-X109,"")</f>
        <v/>
      </c>
      <c r="AU109" s="30" t="str">
        <f>IF(D109="","",VLOOKUP(D109,'G-7 WaterC'' Data'!B$4:M$8,12,FALSE))</f>
        <v/>
      </c>
      <c r="AV109" s="30" t="str">
        <f t="shared" si="10"/>
        <v/>
      </c>
      <c r="AX109" s="30" t="str">
        <f t="shared" si="19"/>
        <v>No</v>
      </c>
    </row>
    <row r="110" spans="3:50" ht="14" hidden="1">
      <c r="C110" s="97">
        <v>101</v>
      </c>
      <c r="D110" s="261"/>
      <c r="E110" s="115"/>
      <c r="F110" s="275" t="str">
        <f>IF(D110="","",VLOOKUP(D110,'G-7 WaterC'' Data'!$B$2:$G$8,2,FALSE))</f>
        <v/>
      </c>
      <c r="G110" s="276" t="str">
        <f>IFERROR(VLOOKUP(F110,'G-7 WaterC'' Data'!$C$4:$D$8,2,FALSE),"")</f>
        <v/>
      </c>
      <c r="H110" s="52"/>
      <c r="I110" s="276" t="str">
        <f>IFERROR(INDEX('G-7 WaterC'' Data'!$H$4:$L$8,MATCH(D110,'G-7 WaterC'' Data'!$B$4:$B$8,0),MATCH(H110,'G-7 WaterC'' Data'!$H$3:$L$3,0)),"")</f>
        <v/>
      </c>
      <c r="J110" s="777"/>
      <c r="K110" s="311" t="str">
        <f>IF(J110="","",IF(VLOOKUP(J110,'G-7 WaterC'' Data'!$AK$4:$AM$6,2,FALSE)=0,"Spatial Data Missing ⚠",VLOOKUP(J110,'G-7 WaterC'' Data'!$AK$4:$AM$6,2,FALSE)))</f>
        <v/>
      </c>
      <c r="L110" s="281" t="str">
        <f>IF(J110="","",IF(VLOOKUP(J110,'G-7 WaterC'' Data'!$AK$4:$AM$9,3,FALSE)=0,"Spatial Data Missing ⚠",VLOOKUP(J110,'G-7 WaterC'' Data'!$AK$4:$AM$6,3,FALSE)))</f>
        <v/>
      </c>
      <c r="M110" s="52"/>
      <c r="N110" s="276" t="str">
        <f>IF(M110="","",IF(AND(D110&lt;&gt;"Culvert",M110="N/A - Culvert"),"Not possible ▲",IF(AND(D110="Culvert",M110&lt;&gt;"N/A - Culvert"),"Not possible ▲",IF(VLOOKUP(M110,'G-7 WaterC'' Data'!$AA$4:$AB$7,2,FALSE)=0,"Spatial Data Missing ⚠",VLOOKUP(M110,'G-7 WaterC'' Data'!$AA$4:$AB$7,2,FALSE)))))</f>
        <v/>
      </c>
      <c r="O110" s="56"/>
      <c r="P110" s="276" t="str">
        <f>IF(O110="","",IF(AND(O110="N/A - Culvert",D110&lt;&gt;"Culvert"),"Not possible ▲",IF(AND(D110="Culvert",O110&lt;&gt;"N/A - Culvert"),"Not possible ▲",IF(VLOOKUP(O110,'G-7 WaterC'' Data'!$AD$4:$AE$14,2,FALSE)=0,"Spatial Data Missing ⚠",VLOOKUP(O110,'G-7 WaterC'' Data'!$AD$4:$AE$14,2,FALSE)))))</f>
        <v/>
      </c>
      <c r="Q110" s="282" t="str">
        <f>IF(D110="","",VLOOKUP(D110,'G-7 WaterC'' Data'!$B$2:$G$8,6,FALSE))</f>
        <v/>
      </c>
      <c r="R110" s="289" t="str">
        <f t="shared" si="11"/>
        <v xml:space="preserve"> </v>
      </c>
      <c r="S110" s="803" t="str">
        <f t="shared" si="12"/>
        <v/>
      </c>
      <c r="T110" s="32"/>
      <c r="U110" s="101"/>
      <c r="V110" s="108"/>
      <c r="W110" s="287" t="str">
        <f t="shared" si="13"/>
        <v/>
      </c>
      <c r="X110" s="287" t="str">
        <f t="shared" si="14"/>
        <v/>
      </c>
      <c r="Y110" s="287" t="str">
        <f t="shared" si="15"/>
        <v/>
      </c>
      <c r="Z110" s="317" t="str">
        <f>IFERROR(IF(OR(E110="",R110=""),"",IF(AND(Q110='G-7 WaterC'' Data'!$G$4,AA110="Yes"),"Alternative Compensation ✓",IF(AND(AA110="Pending",Q110='G-7 WaterC'' Data'!$G$4),"Bespoke compensation must be agreed ▲",IF((W110+X110)&gt;=R110,0,R110-W110-X110)))),"Check Data ⚠")</f>
        <v/>
      </c>
      <c r="AA110" s="800"/>
      <c r="AB110" s="136"/>
      <c r="AC110" s="104"/>
      <c r="AD110" s="104"/>
      <c r="AE110" s="54" t="str">
        <f>IF(OR(Q110="",AA110="Yes"),"",IF(Q110='G-1 All Habitats'!$X$9,E110-U110-V110,"None"))</f>
        <v/>
      </c>
      <c r="AF110" s="55" t="str">
        <f>IF(Q110="","",IF(Q110='G-1 All Habitats'!$X$9,AE110*G110*I110*L110*N110*P110,"None"))</f>
        <v/>
      </c>
      <c r="AI110" s="30">
        <f t="shared" si="16"/>
        <v>0</v>
      </c>
      <c r="AJ110" s="107" t="str">
        <f t="shared" si="17"/>
        <v/>
      </c>
      <c r="AK110" s="107" t="str">
        <f t="shared" si="18"/>
        <v/>
      </c>
      <c r="AM110" s="107">
        <v>101</v>
      </c>
      <c r="AO110" s="107" t="str">
        <f t="array" ref="AO110">IFERROR(INDEX($AM$10:$AM$258,MATCH(0,IF(TRUE=$AJ$10:$AJ$258,COUNTIF($AO$9:$AO109,$AM$10:$AM$258),""),0)),"")</f>
        <v/>
      </c>
      <c r="AP110" s="107" t="str">
        <f t="array" ref="AP110">IFERROR(INDEX($AM$10:$AM$258,MATCH(0,IF(TRUE=$AK$10:$AK$258,COUNTIF($AP$9:$AP109,$AM$10:$AM$258),""),0)),"")</f>
        <v/>
      </c>
      <c r="AR110" s="30" t="str">
        <f>IFERROR(INDEX('G-7 WaterC'' Data'!$AZ$3:$AZ$7,MATCH(D110,'G-7 WaterC'' Data'!$AY$3:$AY$7,0)),"")</f>
        <v/>
      </c>
      <c r="AS110" s="30" t="str">
        <f>IFERROR(INDEX('G-7 WaterC'' Data'!AZ110:AZ114,MATCH(D110,'G-7 WaterC'' Data'!$AY$10:$AY$14,0)),"")</f>
        <v/>
      </c>
      <c r="AT110" s="885" t="str">
        <f>IF(AND(OR(AA110="Yes",AA110="Pending"),Q110='G-7 WaterC'' Data'!$G$4),R110-W110-X110,"")</f>
        <v/>
      </c>
      <c r="AU110" s="30" t="str">
        <f>IF(D110="","",VLOOKUP(D110,'G-7 WaterC'' Data'!B$4:M$8,12,FALSE))</f>
        <v/>
      </c>
      <c r="AV110" s="30" t="str">
        <f t="shared" si="10"/>
        <v/>
      </c>
      <c r="AX110" s="30" t="str">
        <f t="shared" si="19"/>
        <v>No</v>
      </c>
    </row>
    <row r="111" spans="3:50" ht="14" hidden="1">
      <c r="C111" s="97">
        <v>102</v>
      </c>
      <c r="D111" s="261"/>
      <c r="E111" s="115"/>
      <c r="F111" s="275" t="str">
        <f>IF(D111="","",VLOOKUP(D111,'G-7 WaterC'' Data'!$B$2:$G$8,2,FALSE))</f>
        <v/>
      </c>
      <c r="G111" s="276" t="str">
        <f>IFERROR(VLOOKUP(F111,'G-7 WaterC'' Data'!$C$4:$D$8,2,FALSE),"")</f>
        <v/>
      </c>
      <c r="H111" s="52"/>
      <c r="I111" s="276" t="str">
        <f>IFERROR(INDEX('G-7 WaterC'' Data'!$H$4:$L$8,MATCH(D111,'G-7 WaterC'' Data'!$B$4:$B$8,0),MATCH(H111,'G-7 WaterC'' Data'!$H$3:$L$3,0)),"")</f>
        <v/>
      </c>
      <c r="J111" s="777"/>
      <c r="K111" s="311" t="str">
        <f>IF(J111="","",IF(VLOOKUP(J111,'G-7 WaterC'' Data'!$AK$4:$AM$6,2,FALSE)=0,"Spatial Data Missing ⚠",VLOOKUP(J111,'G-7 WaterC'' Data'!$AK$4:$AM$6,2,FALSE)))</f>
        <v/>
      </c>
      <c r="L111" s="281" t="str">
        <f>IF(J111="","",IF(VLOOKUP(J111,'G-7 WaterC'' Data'!$AK$4:$AM$9,3,FALSE)=0,"Spatial Data Missing ⚠",VLOOKUP(J111,'G-7 WaterC'' Data'!$AK$4:$AM$6,3,FALSE)))</f>
        <v/>
      </c>
      <c r="M111" s="52"/>
      <c r="N111" s="276" t="str">
        <f>IF(M111="","",IF(AND(D111&lt;&gt;"Culvert",M111="N/A - Culvert"),"Not possible ▲",IF(AND(D111="Culvert",M111&lt;&gt;"N/A - Culvert"),"Not possible ▲",IF(VLOOKUP(M111,'G-7 WaterC'' Data'!$AA$4:$AB$7,2,FALSE)=0,"Spatial Data Missing ⚠",VLOOKUP(M111,'G-7 WaterC'' Data'!$AA$4:$AB$7,2,FALSE)))))</f>
        <v/>
      </c>
      <c r="O111" s="56"/>
      <c r="P111" s="276" t="str">
        <f>IF(O111="","",IF(AND(O111="N/A - Culvert",D111&lt;&gt;"Culvert"),"Not possible ▲",IF(AND(D111="Culvert",O111&lt;&gt;"N/A - Culvert"),"Not possible ▲",IF(VLOOKUP(O111,'G-7 WaterC'' Data'!$AD$4:$AE$14,2,FALSE)=0,"Spatial Data Missing ⚠",VLOOKUP(O111,'G-7 WaterC'' Data'!$AD$4:$AE$14,2,FALSE)))))</f>
        <v/>
      </c>
      <c r="Q111" s="282" t="str">
        <f>IF(D111="","",VLOOKUP(D111,'G-7 WaterC'' Data'!$B$2:$G$8,6,FALSE))</f>
        <v/>
      </c>
      <c r="R111" s="289" t="str">
        <f t="shared" si="11"/>
        <v xml:space="preserve"> </v>
      </c>
      <c r="S111" s="803" t="str">
        <f t="shared" si="12"/>
        <v/>
      </c>
      <c r="T111" s="32"/>
      <c r="U111" s="101"/>
      <c r="V111" s="108"/>
      <c r="W111" s="287" t="str">
        <f t="shared" si="13"/>
        <v/>
      </c>
      <c r="X111" s="287" t="str">
        <f t="shared" si="14"/>
        <v/>
      </c>
      <c r="Y111" s="287" t="str">
        <f t="shared" si="15"/>
        <v/>
      </c>
      <c r="Z111" s="317" t="str">
        <f>IFERROR(IF(OR(E111="",R111=""),"",IF(AND(Q111='G-7 WaterC'' Data'!$G$4,AA111="Yes"),"Alternative Compensation ✓",IF(AND(AA111="Pending",Q111='G-7 WaterC'' Data'!$G$4),"Bespoke compensation must be agreed ▲",IF((W111+X111)&gt;=R111,0,R111-W111-X111)))),"Check Data ⚠")</f>
        <v/>
      </c>
      <c r="AA111" s="800"/>
      <c r="AB111" s="136"/>
      <c r="AC111" s="104"/>
      <c r="AD111" s="104"/>
      <c r="AE111" s="54" t="str">
        <f>IF(OR(Q111="",AA111="Yes"),"",IF(Q111='G-1 All Habitats'!$X$9,E111-U111-V111,"None"))</f>
        <v/>
      </c>
      <c r="AF111" s="55" t="str">
        <f>IF(Q111="","",IF(Q111='G-1 All Habitats'!$X$9,AE111*G111*I111*L111*N111*P111,"None"))</f>
        <v/>
      </c>
      <c r="AI111" s="30">
        <f t="shared" si="16"/>
        <v>0</v>
      </c>
      <c r="AJ111" s="107" t="str">
        <f t="shared" si="17"/>
        <v/>
      </c>
      <c r="AK111" s="107" t="str">
        <f t="shared" si="18"/>
        <v/>
      </c>
      <c r="AM111" s="107">
        <v>102</v>
      </c>
      <c r="AO111" s="107" t="str">
        <f t="array" ref="AO111">IFERROR(INDEX($AM$10:$AM$258,MATCH(0,IF(TRUE=$AJ$10:$AJ$258,COUNTIF($AO$9:$AO110,$AM$10:$AM$258),""),0)),"")</f>
        <v/>
      </c>
      <c r="AP111" s="107" t="str">
        <f t="array" ref="AP111">IFERROR(INDEX($AM$10:$AM$258,MATCH(0,IF(TRUE=$AK$10:$AK$258,COUNTIF($AP$9:$AP110,$AM$10:$AM$258),""),0)),"")</f>
        <v/>
      </c>
      <c r="AR111" s="30" t="str">
        <f>IFERROR(INDEX('G-7 WaterC'' Data'!$AZ$3:$AZ$7,MATCH(D111,'G-7 WaterC'' Data'!$AY$3:$AY$7,0)),"")</f>
        <v/>
      </c>
      <c r="AS111" s="30" t="str">
        <f>IFERROR(INDEX('G-7 WaterC'' Data'!AZ111:AZ115,MATCH(D111,'G-7 WaterC'' Data'!$AY$10:$AY$14,0)),"")</f>
        <v/>
      </c>
      <c r="AT111" s="885" t="str">
        <f>IF(AND(OR(AA111="Yes",AA111="Pending"),Q111='G-7 WaterC'' Data'!$G$4),R111-W111-X111,"")</f>
        <v/>
      </c>
      <c r="AU111" s="30" t="str">
        <f>IF(D111="","",VLOOKUP(D111,'G-7 WaterC'' Data'!B$4:M$8,12,FALSE))</f>
        <v/>
      </c>
      <c r="AV111" s="30" t="str">
        <f t="shared" si="10"/>
        <v/>
      </c>
      <c r="AX111" s="30" t="str">
        <f t="shared" si="19"/>
        <v>No</v>
      </c>
    </row>
    <row r="112" spans="3:50" ht="14" hidden="1">
      <c r="C112" s="97">
        <v>103</v>
      </c>
      <c r="D112" s="261"/>
      <c r="E112" s="115"/>
      <c r="F112" s="275" t="str">
        <f>IF(D112="","",VLOOKUP(D112,'G-7 WaterC'' Data'!$B$2:$G$8,2,FALSE))</f>
        <v/>
      </c>
      <c r="G112" s="276" t="str">
        <f>IFERROR(VLOOKUP(F112,'G-7 WaterC'' Data'!$C$4:$D$8,2,FALSE),"")</f>
        <v/>
      </c>
      <c r="H112" s="52"/>
      <c r="I112" s="276" t="str">
        <f>IFERROR(INDEX('G-7 WaterC'' Data'!$H$4:$L$8,MATCH(D112,'G-7 WaterC'' Data'!$B$4:$B$8,0),MATCH(H112,'G-7 WaterC'' Data'!$H$3:$L$3,0)),"")</f>
        <v/>
      </c>
      <c r="J112" s="777"/>
      <c r="K112" s="311" t="str">
        <f>IF(J112="","",IF(VLOOKUP(J112,'G-7 WaterC'' Data'!$AK$4:$AM$6,2,FALSE)=0,"Spatial Data Missing ⚠",VLOOKUP(J112,'G-7 WaterC'' Data'!$AK$4:$AM$6,2,FALSE)))</f>
        <v/>
      </c>
      <c r="L112" s="281" t="str">
        <f>IF(J112="","",IF(VLOOKUP(J112,'G-7 WaterC'' Data'!$AK$4:$AM$9,3,FALSE)=0,"Spatial Data Missing ⚠",VLOOKUP(J112,'G-7 WaterC'' Data'!$AK$4:$AM$6,3,FALSE)))</f>
        <v/>
      </c>
      <c r="M112" s="52"/>
      <c r="N112" s="276" t="str">
        <f>IF(M112="","",IF(AND(D112&lt;&gt;"Culvert",M112="N/A - Culvert"),"Not possible ▲",IF(AND(D112="Culvert",M112&lt;&gt;"N/A - Culvert"),"Not possible ▲",IF(VLOOKUP(M112,'G-7 WaterC'' Data'!$AA$4:$AB$7,2,FALSE)=0,"Spatial Data Missing ⚠",VLOOKUP(M112,'G-7 WaterC'' Data'!$AA$4:$AB$7,2,FALSE)))))</f>
        <v/>
      </c>
      <c r="O112" s="56"/>
      <c r="P112" s="276" t="str">
        <f>IF(O112="","",IF(AND(O112="N/A - Culvert",D112&lt;&gt;"Culvert"),"Not possible ▲",IF(AND(D112="Culvert",O112&lt;&gt;"N/A - Culvert"),"Not possible ▲",IF(VLOOKUP(O112,'G-7 WaterC'' Data'!$AD$4:$AE$14,2,FALSE)=0,"Spatial Data Missing ⚠",VLOOKUP(O112,'G-7 WaterC'' Data'!$AD$4:$AE$14,2,FALSE)))))</f>
        <v/>
      </c>
      <c r="Q112" s="282" t="str">
        <f>IF(D112="","",VLOOKUP(D112,'G-7 WaterC'' Data'!$B$2:$G$8,6,FALSE))</f>
        <v/>
      </c>
      <c r="R112" s="289" t="str">
        <f t="shared" si="11"/>
        <v xml:space="preserve"> </v>
      </c>
      <c r="S112" s="803" t="str">
        <f t="shared" si="12"/>
        <v/>
      </c>
      <c r="T112" s="32"/>
      <c r="U112" s="101"/>
      <c r="V112" s="108"/>
      <c r="W112" s="287" t="str">
        <f t="shared" si="13"/>
        <v/>
      </c>
      <c r="X112" s="287" t="str">
        <f t="shared" si="14"/>
        <v/>
      </c>
      <c r="Y112" s="287" t="str">
        <f t="shared" si="15"/>
        <v/>
      </c>
      <c r="Z112" s="317" t="str">
        <f>IFERROR(IF(OR(E112="",R112=""),"",IF(AND(Q112='G-7 WaterC'' Data'!$G$4,AA112="Yes"),"Alternative Compensation ✓",IF(AND(AA112="Pending",Q112='G-7 WaterC'' Data'!$G$4),"Bespoke compensation must be agreed ▲",IF((W112+X112)&gt;=R112,0,R112-W112-X112)))),"Check Data ⚠")</f>
        <v/>
      </c>
      <c r="AA112" s="800"/>
      <c r="AB112" s="136"/>
      <c r="AC112" s="104"/>
      <c r="AD112" s="104"/>
      <c r="AE112" s="54" t="str">
        <f>IF(OR(Q112="",AA112="Yes"),"",IF(Q112='G-1 All Habitats'!$X$9,E112-U112-V112,"None"))</f>
        <v/>
      </c>
      <c r="AF112" s="55" t="str">
        <f>IF(Q112="","",IF(Q112='G-1 All Habitats'!$X$9,AE112*G112*I112*L112*N112*P112,"None"))</f>
        <v/>
      </c>
      <c r="AI112" s="30">
        <f t="shared" si="16"/>
        <v>0</v>
      </c>
      <c r="AJ112" s="107" t="str">
        <f t="shared" si="17"/>
        <v/>
      </c>
      <c r="AK112" s="107" t="str">
        <f t="shared" si="18"/>
        <v/>
      </c>
      <c r="AM112" s="107">
        <v>103</v>
      </c>
      <c r="AO112" s="107" t="str">
        <f t="array" ref="AO112">IFERROR(INDEX($AM$10:$AM$258,MATCH(0,IF(TRUE=$AJ$10:$AJ$258,COUNTIF($AO$9:$AO111,$AM$10:$AM$258),""),0)),"")</f>
        <v/>
      </c>
      <c r="AP112" s="107" t="str">
        <f t="array" ref="AP112">IFERROR(INDEX($AM$10:$AM$258,MATCH(0,IF(TRUE=$AK$10:$AK$258,COUNTIF($AP$9:$AP111,$AM$10:$AM$258),""),0)),"")</f>
        <v/>
      </c>
      <c r="AR112" s="30" t="str">
        <f>IFERROR(INDEX('G-7 WaterC'' Data'!$AZ$3:$AZ$7,MATCH(D112,'G-7 WaterC'' Data'!$AY$3:$AY$7,0)),"")</f>
        <v/>
      </c>
      <c r="AS112" s="30" t="str">
        <f>IFERROR(INDEX('G-7 WaterC'' Data'!AZ112:AZ116,MATCH(D112,'G-7 WaterC'' Data'!$AY$10:$AY$14,0)),"")</f>
        <v/>
      </c>
      <c r="AT112" s="885" t="str">
        <f>IF(AND(OR(AA112="Yes",AA112="Pending"),Q112='G-7 WaterC'' Data'!$G$4),R112-W112-X112,"")</f>
        <v/>
      </c>
      <c r="AU112" s="30" t="str">
        <f>IF(D112="","",VLOOKUP(D112,'G-7 WaterC'' Data'!B$4:M$8,12,FALSE))</f>
        <v/>
      </c>
      <c r="AV112" s="30" t="str">
        <f t="shared" si="10"/>
        <v/>
      </c>
      <c r="AX112" s="30" t="str">
        <f t="shared" si="19"/>
        <v>No</v>
      </c>
    </row>
    <row r="113" spans="3:50" ht="14" hidden="1">
      <c r="C113" s="97">
        <v>104</v>
      </c>
      <c r="D113" s="261"/>
      <c r="E113" s="115"/>
      <c r="F113" s="275" t="str">
        <f>IF(D113="","",VLOOKUP(D113,'G-7 WaterC'' Data'!$B$2:$G$8,2,FALSE))</f>
        <v/>
      </c>
      <c r="G113" s="276" t="str">
        <f>IFERROR(VLOOKUP(F113,'G-7 WaterC'' Data'!$C$4:$D$8,2,FALSE),"")</f>
        <v/>
      </c>
      <c r="H113" s="52"/>
      <c r="I113" s="276" t="str">
        <f>IFERROR(INDEX('G-7 WaterC'' Data'!$H$4:$L$8,MATCH(D113,'G-7 WaterC'' Data'!$B$4:$B$8,0),MATCH(H113,'G-7 WaterC'' Data'!$H$3:$L$3,0)),"")</f>
        <v/>
      </c>
      <c r="J113" s="777"/>
      <c r="K113" s="311" t="str">
        <f>IF(J113="","",IF(VLOOKUP(J113,'G-7 WaterC'' Data'!$AK$4:$AM$6,2,FALSE)=0,"Spatial Data Missing ⚠",VLOOKUP(J113,'G-7 WaterC'' Data'!$AK$4:$AM$6,2,FALSE)))</f>
        <v/>
      </c>
      <c r="L113" s="281" t="str">
        <f>IF(J113="","",IF(VLOOKUP(J113,'G-7 WaterC'' Data'!$AK$4:$AM$9,3,FALSE)=0,"Spatial Data Missing ⚠",VLOOKUP(J113,'G-7 WaterC'' Data'!$AK$4:$AM$6,3,FALSE)))</f>
        <v/>
      </c>
      <c r="M113" s="52"/>
      <c r="N113" s="276" t="str">
        <f>IF(M113="","",IF(AND(D113&lt;&gt;"Culvert",M113="N/A - Culvert"),"Not possible ▲",IF(AND(D113="Culvert",M113&lt;&gt;"N/A - Culvert"),"Not possible ▲",IF(VLOOKUP(M113,'G-7 WaterC'' Data'!$AA$4:$AB$7,2,FALSE)=0,"Spatial Data Missing ⚠",VLOOKUP(M113,'G-7 WaterC'' Data'!$AA$4:$AB$7,2,FALSE)))))</f>
        <v/>
      </c>
      <c r="O113" s="56"/>
      <c r="P113" s="276" t="str">
        <f>IF(O113="","",IF(AND(O113="N/A - Culvert",D113&lt;&gt;"Culvert"),"Not possible ▲",IF(AND(D113="Culvert",O113&lt;&gt;"N/A - Culvert"),"Not possible ▲",IF(VLOOKUP(O113,'G-7 WaterC'' Data'!$AD$4:$AE$14,2,FALSE)=0,"Spatial Data Missing ⚠",VLOOKUP(O113,'G-7 WaterC'' Data'!$AD$4:$AE$14,2,FALSE)))))</f>
        <v/>
      </c>
      <c r="Q113" s="282" t="str">
        <f>IF(D113="","",VLOOKUP(D113,'G-7 WaterC'' Data'!$B$2:$G$8,6,FALSE))</f>
        <v/>
      </c>
      <c r="R113" s="289" t="str">
        <f t="shared" si="11"/>
        <v xml:space="preserve"> </v>
      </c>
      <c r="S113" s="803" t="str">
        <f t="shared" si="12"/>
        <v/>
      </c>
      <c r="T113" s="32"/>
      <c r="U113" s="101"/>
      <c r="V113" s="108"/>
      <c r="W113" s="287" t="str">
        <f t="shared" si="13"/>
        <v/>
      </c>
      <c r="X113" s="287" t="str">
        <f t="shared" si="14"/>
        <v/>
      </c>
      <c r="Y113" s="287" t="str">
        <f t="shared" si="15"/>
        <v/>
      </c>
      <c r="Z113" s="317" t="str">
        <f>IFERROR(IF(OR(E113="",R113=""),"",IF(AND(Q113='G-7 WaterC'' Data'!$G$4,AA113="Yes"),"Alternative Compensation ✓",IF(AND(AA113="Pending",Q113='G-7 WaterC'' Data'!$G$4),"Bespoke compensation must be agreed ▲",IF((W113+X113)&gt;=R113,0,R113-W113-X113)))),"Check Data ⚠")</f>
        <v/>
      </c>
      <c r="AA113" s="800"/>
      <c r="AB113" s="136"/>
      <c r="AC113" s="104"/>
      <c r="AD113" s="104"/>
      <c r="AE113" s="54" t="str">
        <f>IF(OR(Q113="",AA113="Yes"),"",IF(Q113='G-1 All Habitats'!$X$9,E113-U113-V113,"None"))</f>
        <v/>
      </c>
      <c r="AF113" s="55" t="str">
        <f>IF(Q113="","",IF(Q113='G-1 All Habitats'!$X$9,AE113*G113*I113*L113*N113*P113,"None"))</f>
        <v/>
      </c>
      <c r="AI113" s="30">
        <f t="shared" si="16"/>
        <v>0</v>
      </c>
      <c r="AJ113" s="107" t="str">
        <f t="shared" si="17"/>
        <v/>
      </c>
      <c r="AK113" s="107" t="str">
        <f t="shared" si="18"/>
        <v/>
      </c>
      <c r="AM113" s="107">
        <v>104</v>
      </c>
      <c r="AO113" s="107" t="str">
        <f t="array" ref="AO113">IFERROR(INDEX($AM$10:$AM$258,MATCH(0,IF(TRUE=$AJ$10:$AJ$258,COUNTIF($AO$9:$AO112,$AM$10:$AM$258),""),0)),"")</f>
        <v/>
      </c>
      <c r="AP113" s="107" t="str">
        <f t="array" ref="AP113">IFERROR(INDEX($AM$10:$AM$258,MATCH(0,IF(TRUE=$AK$10:$AK$258,COUNTIF($AP$9:$AP112,$AM$10:$AM$258),""),0)),"")</f>
        <v/>
      </c>
      <c r="AR113" s="30" t="str">
        <f>IFERROR(INDEX('G-7 WaterC'' Data'!$AZ$3:$AZ$7,MATCH(D113,'G-7 WaterC'' Data'!$AY$3:$AY$7,0)),"")</f>
        <v/>
      </c>
      <c r="AS113" s="30" t="str">
        <f>IFERROR(INDEX('G-7 WaterC'' Data'!AZ113:AZ117,MATCH(D113,'G-7 WaterC'' Data'!$AY$10:$AY$14,0)),"")</f>
        <v/>
      </c>
      <c r="AT113" s="885" t="str">
        <f>IF(AND(OR(AA113="Yes",AA113="Pending"),Q113='G-7 WaterC'' Data'!$G$4),R113-W113-X113,"")</f>
        <v/>
      </c>
      <c r="AU113" s="30" t="str">
        <f>IF(D113="","",VLOOKUP(D113,'G-7 WaterC'' Data'!B$4:M$8,12,FALSE))</f>
        <v/>
      </c>
      <c r="AV113" s="30" t="str">
        <f t="shared" si="10"/>
        <v/>
      </c>
      <c r="AX113" s="30" t="str">
        <f t="shared" si="19"/>
        <v>No</v>
      </c>
    </row>
    <row r="114" spans="3:50" ht="14" hidden="1">
      <c r="C114" s="97">
        <v>105</v>
      </c>
      <c r="D114" s="261"/>
      <c r="E114" s="115"/>
      <c r="F114" s="275" t="str">
        <f>IF(D114="","",VLOOKUP(D114,'G-7 WaterC'' Data'!$B$2:$G$8,2,FALSE))</f>
        <v/>
      </c>
      <c r="G114" s="276" t="str">
        <f>IFERROR(VLOOKUP(F114,'G-7 WaterC'' Data'!$C$4:$D$8,2,FALSE),"")</f>
        <v/>
      </c>
      <c r="H114" s="52"/>
      <c r="I114" s="276" t="str">
        <f>IFERROR(INDEX('G-7 WaterC'' Data'!$H$4:$L$8,MATCH(D114,'G-7 WaterC'' Data'!$B$4:$B$8,0),MATCH(H114,'G-7 WaterC'' Data'!$H$3:$L$3,0)),"")</f>
        <v/>
      </c>
      <c r="J114" s="777"/>
      <c r="K114" s="311" t="str">
        <f>IF(J114="","",IF(VLOOKUP(J114,'G-7 WaterC'' Data'!$AK$4:$AM$6,2,FALSE)=0,"Spatial Data Missing ⚠",VLOOKUP(J114,'G-7 WaterC'' Data'!$AK$4:$AM$6,2,FALSE)))</f>
        <v/>
      </c>
      <c r="L114" s="281" t="str">
        <f>IF(J114="","",IF(VLOOKUP(J114,'G-7 WaterC'' Data'!$AK$4:$AM$9,3,FALSE)=0,"Spatial Data Missing ⚠",VLOOKUP(J114,'G-7 WaterC'' Data'!$AK$4:$AM$6,3,FALSE)))</f>
        <v/>
      </c>
      <c r="M114" s="52"/>
      <c r="N114" s="276" t="str">
        <f>IF(M114="","",IF(AND(D114&lt;&gt;"Culvert",M114="N/A - Culvert"),"Not possible ▲",IF(AND(D114="Culvert",M114&lt;&gt;"N/A - Culvert"),"Not possible ▲",IF(VLOOKUP(M114,'G-7 WaterC'' Data'!$AA$4:$AB$7,2,FALSE)=0,"Spatial Data Missing ⚠",VLOOKUP(M114,'G-7 WaterC'' Data'!$AA$4:$AB$7,2,FALSE)))))</f>
        <v/>
      </c>
      <c r="O114" s="56"/>
      <c r="P114" s="276" t="str">
        <f>IF(O114="","",IF(AND(O114="N/A - Culvert",D114&lt;&gt;"Culvert"),"Not possible ▲",IF(AND(D114="Culvert",O114&lt;&gt;"N/A - Culvert"),"Not possible ▲",IF(VLOOKUP(O114,'G-7 WaterC'' Data'!$AD$4:$AE$14,2,FALSE)=0,"Spatial Data Missing ⚠",VLOOKUP(O114,'G-7 WaterC'' Data'!$AD$4:$AE$14,2,FALSE)))))</f>
        <v/>
      </c>
      <c r="Q114" s="282" t="str">
        <f>IF(D114="","",VLOOKUP(D114,'G-7 WaterC'' Data'!$B$2:$G$8,6,FALSE))</f>
        <v/>
      </c>
      <c r="R114" s="289" t="str">
        <f t="shared" si="11"/>
        <v xml:space="preserve"> </v>
      </c>
      <c r="S114" s="803" t="str">
        <f t="shared" si="12"/>
        <v/>
      </c>
      <c r="T114" s="32"/>
      <c r="U114" s="101"/>
      <c r="V114" s="108"/>
      <c r="W114" s="287" t="str">
        <f t="shared" si="13"/>
        <v/>
      </c>
      <c r="X114" s="287" t="str">
        <f t="shared" si="14"/>
        <v/>
      </c>
      <c r="Y114" s="287" t="str">
        <f t="shared" si="15"/>
        <v/>
      </c>
      <c r="Z114" s="317" t="str">
        <f>IFERROR(IF(OR(E114="",R114=""),"",IF(AND(Q114='G-7 WaterC'' Data'!$G$4,AA114="Yes"),"Alternative Compensation ✓",IF(AND(AA114="Pending",Q114='G-7 WaterC'' Data'!$G$4),"Bespoke compensation must be agreed ▲",IF((W114+X114)&gt;=R114,0,R114-W114-X114)))),"Check Data ⚠")</f>
        <v/>
      </c>
      <c r="AA114" s="800"/>
      <c r="AB114" s="136"/>
      <c r="AC114" s="104"/>
      <c r="AD114" s="104"/>
      <c r="AE114" s="54" t="str">
        <f>IF(OR(Q114="",AA114="Yes"),"",IF(Q114='G-1 All Habitats'!$X$9,E114-U114-V114,"None"))</f>
        <v/>
      </c>
      <c r="AF114" s="55" t="str">
        <f>IF(Q114="","",IF(Q114='G-1 All Habitats'!$X$9,AE114*G114*I114*L114*N114*P114,"None"))</f>
        <v/>
      </c>
      <c r="AI114" s="30">
        <f t="shared" si="16"/>
        <v>0</v>
      </c>
      <c r="AJ114" s="107" t="str">
        <f t="shared" si="17"/>
        <v/>
      </c>
      <c r="AK114" s="107" t="str">
        <f t="shared" si="18"/>
        <v/>
      </c>
      <c r="AM114" s="107">
        <v>105</v>
      </c>
      <c r="AO114" s="107" t="str">
        <f t="array" ref="AO114">IFERROR(INDEX($AM$10:$AM$258,MATCH(0,IF(TRUE=$AJ$10:$AJ$258,COUNTIF($AO$9:$AO113,$AM$10:$AM$258),""),0)),"")</f>
        <v/>
      </c>
      <c r="AP114" s="107" t="str">
        <f t="array" ref="AP114">IFERROR(INDEX($AM$10:$AM$258,MATCH(0,IF(TRUE=$AK$10:$AK$258,COUNTIF($AP$9:$AP113,$AM$10:$AM$258),""),0)),"")</f>
        <v/>
      </c>
      <c r="AR114" s="30" t="str">
        <f>IFERROR(INDEX('G-7 WaterC'' Data'!$AZ$3:$AZ$7,MATCH(D114,'G-7 WaterC'' Data'!$AY$3:$AY$7,0)),"")</f>
        <v/>
      </c>
      <c r="AS114" s="30" t="str">
        <f>IFERROR(INDEX('G-7 WaterC'' Data'!AZ114:AZ118,MATCH(D114,'G-7 WaterC'' Data'!$AY$10:$AY$14,0)),"")</f>
        <v/>
      </c>
      <c r="AT114" s="885" t="str">
        <f>IF(AND(OR(AA114="Yes",AA114="Pending"),Q114='G-7 WaterC'' Data'!$G$4),R114-W114-X114,"")</f>
        <v/>
      </c>
      <c r="AU114" s="30" t="str">
        <f>IF(D114="","",VLOOKUP(D114,'G-7 WaterC'' Data'!B$4:M$8,12,FALSE))</f>
        <v/>
      </c>
      <c r="AV114" s="30" t="str">
        <f t="shared" si="10"/>
        <v/>
      </c>
      <c r="AX114" s="30" t="str">
        <f t="shared" si="19"/>
        <v>No</v>
      </c>
    </row>
    <row r="115" spans="3:50" ht="14" hidden="1">
      <c r="C115" s="97">
        <v>106</v>
      </c>
      <c r="D115" s="261"/>
      <c r="E115" s="115"/>
      <c r="F115" s="275" t="str">
        <f>IF(D115="","",VLOOKUP(D115,'G-7 WaterC'' Data'!$B$2:$G$8,2,FALSE))</f>
        <v/>
      </c>
      <c r="G115" s="276" t="str">
        <f>IFERROR(VLOOKUP(F115,'G-7 WaterC'' Data'!$C$4:$D$8,2,FALSE),"")</f>
        <v/>
      </c>
      <c r="H115" s="52"/>
      <c r="I115" s="276" t="str">
        <f>IFERROR(INDEX('G-7 WaterC'' Data'!$H$4:$L$8,MATCH(D115,'G-7 WaterC'' Data'!$B$4:$B$8,0),MATCH(H115,'G-7 WaterC'' Data'!$H$3:$L$3,0)),"")</f>
        <v/>
      </c>
      <c r="J115" s="777"/>
      <c r="K115" s="311" t="str">
        <f>IF(J115="","",IF(VLOOKUP(J115,'G-7 WaterC'' Data'!$AK$4:$AM$6,2,FALSE)=0,"Spatial Data Missing ⚠",VLOOKUP(J115,'G-7 WaterC'' Data'!$AK$4:$AM$6,2,FALSE)))</f>
        <v/>
      </c>
      <c r="L115" s="281" t="str">
        <f>IF(J115="","",IF(VLOOKUP(J115,'G-7 WaterC'' Data'!$AK$4:$AM$9,3,FALSE)=0,"Spatial Data Missing ⚠",VLOOKUP(J115,'G-7 WaterC'' Data'!$AK$4:$AM$6,3,FALSE)))</f>
        <v/>
      </c>
      <c r="M115" s="52"/>
      <c r="N115" s="276" t="str">
        <f>IF(M115="","",IF(AND(D115&lt;&gt;"Culvert",M115="N/A - Culvert"),"Not possible ▲",IF(AND(D115="Culvert",M115&lt;&gt;"N/A - Culvert"),"Not possible ▲",IF(VLOOKUP(M115,'G-7 WaterC'' Data'!$AA$4:$AB$7,2,FALSE)=0,"Spatial Data Missing ⚠",VLOOKUP(M115,'G-7 WaterC'' Data'!$AA$4:$AB$7,2,FALSE)))))</f>
        <v/>
      </c>
      <c r="O115" s="56"/>
      <c r="P115" s="276" t="str">
        <f>IF(O115="","",IF(AND(O115="N/A - Culvert",D115&lt;&gt;"Culvert"),"Not possible ▲",IF(AND(D115="Culvert",O115&lt;&gt;"N/A - Culvert"),"Not possible ▲",IF(VLOOKUP(O115,'G-7 WaterC'' Data'!$AD$4:$AE$14,2,FALSE)=0,"Spatial Data Missing ⚠",VLOOKUP(O115,'G-7 WaterC'' Data'!$AD$4:$AE$14,2,FALSE)))))</f>
        <v/>
      </c>
      <c r="Q115" s="282" t="str">
        <f>IF(D115="","",VLOOKUP(D115,'G-7 WaterC'' Data'!$B$2:$G$8,6,FALSE))</f>
        <v/>
      </c>
      <c r="R115" s="289" t="str">
        <f t="shared" si="11"/>
        <v xml:space="preserve"> </v>
      </c>
      <c r="S115" s="803" t="str">
        <f t="shared" si="12"/>
        <v/>
      </c>
      <c r="T115" s="32"/>
      <c r="U115" s="101"/>
      <c r="V115" s="108"/>
      <c r="W115" s="287" t="str">
        <f t="shared" si="13"/>
        <v/>
      </c>
      <c r="X115" s="287" t="str">
        <f t="shared" si="14"/>
        <v/>
      </c>
      <c r="Y115" s="287" t="str">
        <f t="shared" si="15"/>
        <v/>
      </c>
      <c r="Z115" s="317" t="str">
        <f>IFERROR(IF(OR(E115="",R115=""),"",IF(AND(Q115='G-7 WaterC'' Data'!$G$4,AA115="Yes"),"Alternative Compensation ✓",IF(AND(AA115="Pending",Q115='G-7 WaterC'' Data'!$G$4),"Bespoke compensation must be agreed ▲",IF((W115+X115)&gt;=R115,0,R115-W115-X115)))),"Check Data ⚠")</f>
        <v/>
      </c>
      <c r="AA115" s="800"/>
      <c r="AB115" s="136"/>
      <c r="AC115" s="104"/>
      <c r="AD115" s="104"/>
      <c r="AE115" s="54" t="str">
        <f>IF(OR(Q115="",AA115="Yes"),"",IF(Q115='G-1 All Habitats'!$X$9,E115-U115-V115,"None"))</f>
        <v/>
      </c>
      <c r="AF115" s="55" t="str">
        <f>IF(Q115="","",IF(Q115='G-1 All Habitats'!$X$9,AE115*G115*I115*L115*N115*P115,"None"))</f>
        <v/>
      </c>
      <c r="AI115" s="30">
        <f t="shared" si="16"/>
        <v>0</v>
      </c>
      <c r="AJ115" s="107" t="str">
        <f t="shared" si="17"/>
        <v/>
      </c>
      <c r="AK115" s="107" t="str">
        <f t="shared" si="18"/>
        <v/>
      </c>
      <c r="AM115" s="107">
        <v>106</v>
      </c>
      <c r="AO115" s="107" t="str">
        <f t="array" ref="AO115">IFERROR(INDEX($AM$10:$AM$258,MATCH(0,IF(TRUE=$AJ$10:$AJ$258,COUNTIF($AO$9:$AO114,$AM$10:$AM$258),""),0)),"")</f>
        <v/>
      </c>
      <c r="AP115" s="107" t="str">
        <f t="array" ref="AP115">IFERROR(INDEX($AM$10:$AM$258,MATCH(0,IF(TRUE=$AK$10:$AK$258,COUNTIF($AP$9:$AP114,$AM$10:$AM$258),""),0)),"")</f>
        <v/>
      </c>
      <c r="AR115" s="30" t="str">
        <f>IFERROR(INDEX('G-7 WaterC'' Data'!$AZ$3:$AZ$7,MATCH(D115,'G-7 WaterC'' Data'!$AY$3:$AY$7,0)),"")</f>
        <v/>
      </c>
      <c r="AS115" s="30" t="str">
        <f>IFERROR(INDEX('G-7 WaterC'' Data'!AZ115:AZ119,MATCH(D115,'G-7 WaterC'' Data'!$AY$10:$AY$14,0)),"")</f>
        <v/>
      </c>
      <c r="AT115" s="885" t="str">
        <f>IF(AND(OR(AA115="Yes",AA115="Pending"),Q115='G-7 WaterC'' Data'!$G$4),R115-W115-X115,"")</f>
        <v/>
      </c>
      <c r="AU115" s="30" t="str">
        <f>IF(D115="","",VLOOKUP(D115,'G-7 WaterC'' Data'!B$4:M$8,12,FALSE))</f>
        <v/>
      </c>
      <c r="AV115" s="30" t="str">
        <f t="shared" si="10"/>
        <v/>
      </c>
      <c r="AX115" s="30" t="str">
        <f t="shared" si="19"/>
        <v>No</v>
      </c>
    </row>
    <row r="116" spans="3:50" ht="14" hidden="1">
      <c r="C116" s="97">
        <v>107</v>
      </c>
      <c r="D116" s="261"/>
      <c r="E116" s="115"/>
      <c r="F116" s="275" t="str">
        <f>IF(D116="","",VLOOKUP(D116,'G-7 WaterC'' Data'!$B$2:$G$8,2,FALSE))</f>
        <v/>
      </c>
      <c r="G116" s="276" t="str">
        <f>IFERROR(VLOOKUP(F116,'G-7 WaterC'' Data'!$C$4:$D$8,2,FALSE),"")</f>
        <v/>
      </c>
      <c r="H116" s="52"/>
      <c r="I116" s="276" t="str">
        <f>IFERROR(INDEX('G-7 WaterC'' Data'!$H$4:$L$8,MATCH(D116,'G-7 WaterC'' Data'!$B$4:$B$8,0),MATCH(H116,'G-7 WaterC'' Data'!$H$3:$L$3,0)),"")</f>
        <v/>
      </c>
      <c r="J116" s="777"/>
      <c r="K116" s="311" t="str">
        <f>IF(J116="","",IF(VLOOKUP(J116,'G-7 WaterC'' Data'!$AK$4:$AM$6,2,FALSE)=0,"Spatial Data Missing ⚠",VLOOKUP(J116,'G-7 WaterC'' Data'!$AK$4:$AM$6,2,FALSE)))</f>
        <v/>
      </c>
      <c r="L116" s="281" t="str">
        <f>IF(J116="","",IF(VLOOKUP(J116,'G-7 WaterC'' Data'!$AK$4:$AM$9,3,FALSE)=0,"Spatial Data Missing ⚠",VLOOKUP(J116,'G-7 WaterC'' Data'!$AK$4:$AM$6,3,FALSE)))</f>
        <v/>
      </c>
      <c r="M116" s="52"/>
      <c r="N116" s="276" t="str">
        <f>IF(M116="","",IF(AND(D116&lt;&gt;"Culvert",M116="N/A - Culvert"),"Not possible ▲",IF(AND(D116="Culvert",M116&lt;&gt;"N/A - Culvert"),"Not possible ▲",IF(VLOOKUP(M116,'G-7 WaterC'' Data'!$AA$4:$AB$7,2,FALSE)=0,"Spatial Data Missing ⚠",VLOOKUP(M116,'G-7 WaterC'' Data'!$AA$4:$AB$7,2,FALSE)))))</f>
        <v/>
      </c>
      <c r="O116" s="56"/>
      <c r="P116" s="276" t="str">
        <f>IF(O116="","",IF(AND(O116="N/A - Culvert",D116&lt;&gt;"Culvert"),"Not possible ▲",IF(AND(D116="Culvert",O116&lt;&gt;"N/A - Culvert"),"Not possible ▲",IF(VLOOKUP(O116,'G-7 WaterC'' Data'!$AD$4:$AE$14,2,FALSE)=0,"Spatial Data Missing ⚠",VLOOKUP(O116,'G-7 WaterC'' Data'!$AD$4:$AE$14,2,FALSE)))))</f>
        <v/>
      </c>
      <c r="Q116" s="282" t="str">
        <f>IF(D116="","",VLOOKUP(D116,'G-7 WaterC'' Data'!$B$2:$G$8,6,FALSE))</f>
        <v/>
      </c>
      <c r="R116" s="289" t="str">
        <f t="shared" si="11"/>
        <v xml:space="preserve"> </v>
      </c>
      <c r="S116" s="803" t="str">
        <f t="shared" si="12"/>
        <v/>
      </c>
      <c r="T116" s="32"/>
      <c r="U116" s="101"/>
      <c r="V116" s="108"/>
      <c r="W116" s="287" t="str">
        <f t="shared" si="13"/>
        <v/>
      </c>
      <c r="X116" s="287" t="str">
        <f t="shared" si="14"/>
        <v/>
      </c>
      <c r="Y116" s="287" t="str">
        <f t="shared" si="15"/>
        <v/>
      </c>
      <c r="Z116" s="317" t="str">
        <f>IFERROR(IF(OR(E116="",R116=""),"",IF(AND(Q116='G-7 WaterC'' Data'!$G$4,AA116="Yes"),"Alternative Compensation ✓",IF(AND(AA116="Pending",Q116='G-7 WaterC'' Data'!$G$4),"Bespoke compensation must be agreed ▲",IF((W116+X116)&gt;=R116,0,R116-W116-X116)))),"Check Data ⚠")</f>
        <v/>
      </c>
      <c r="AA116" s="800"/>
      <c r="AB116" s="136"/>
      <c r="AC116" s="104"/>
      <c r="AD116" s="104"/>
      <c r="AE116" s="54" t="str">
        <f>IF(OR(Q116="",AA116="Yes"),"",IF(Q116='G-1 All Habitats'!$X$9,E116-U116-V116,"None"))</f>
        <v/>
      </c>
      <c r="AF116" s="55" t="str">
        <f>IF(Q116="","",IF(Q116='G-1 All Habitats'!$X$9,AE116*G116*I116*L116*N116*P116,"None"))</f>
        <v/>
      </c>
      <c r="AI116" s="30">
        <f t="shared" si="16"/>
        <v>0</v>
      </c>
      <c r="AJ116" s="107" t="str">
        <f t="shared" si="17"/>
        <v/>
      </c>
      <c r="AK116" s="107" t="str">
        <f t="shared" si="18"/>
        <v/>
      </c>
      <c r="AM116" s="107">
        <v>107</v>
      </c>
      <c r="AO116" s="107" t="str">
        <f t="array" ref="AO116">IFERROR(INDEX($AM$10:$AM$258,MATCH(0,IF(TRUE=$AJ$10:$AJ$258,COUNTIF($AO$9:$AO115,$AM$10:$AM$258),""),0)),"")</f>
        <v/>
      </c>
      <c r="AP116" s="107" t="str">
        <f t="array" ref="AP116">IFERROR(INDEX($AM$10:$AM$258,MATCH(0,IF(TRUE=$AK$10:$AK$258,COUNTIF($AP$9:$AP115,$AM$10:$AM$258),""),0)),"")</f>
        <v/>
      </c>
      <c r="AR116" s="30" t="str">
        <f>IFERROR(INDEX('G-7 WaterC'' Data'!$AZ$3:$AZ$7,MATCH(D116,'G-7 WaterC'' Data'!$AY$3:$AY$7,0)),"")</f>
        <v/>
      </c>
      <c r="AS116" s="30" t="str">
        <f>IFERROR(INDEX('G-7 WaterC'' Data'!AZ116:AZ120,MATCH(D116,'G-7 WaterC'' Data'!$AY$10:$AY$14,0)),"")</f>
        <v/>
      </c>
      <c r="AT116" s="885" t="str">
        <f>IF(AND(OR(AA116="Yes",AA116="Pending"),Q116='G-7 WaterC'' Data'!$G$4),R116-W116-X116,"")</f>
        <v/>
      </c>
      <c r="AU116" s="30" t="str">
        <f>IF(D116="","",VLOOKUP(D116,'G-7 WaterC'' Data'!B$4:M$8,12,FALSE))</f>
        <v/>
      </c>
      <c r="AV116" s="30" t="str">
        <f t="shared" si="10"/>
        <v/>
      </c>
      <c r="AX116" s="30" t="str">
        <f t="shared" si="19"/>
        <v>No</v>
      </c>
    </row>
    <row r="117" spans="3:50" ht="14" hidden="1">
      <c r="C117" s="97">
        <v>108</v>
      </c>
      <c r="D117" s="261"/>
      <c r="E117" s="115"/>
      <c r="F117" s="275" t="str">
        <f>IF(D117="","",VLOOKUP(D117,'G-7 WaterC'' Data'!$B$2:$G$8,2,FALSE))</f>
        <v/>
      </c>
      <c r="G117" s="276" t="str">
        <f>IFERROR(VLOOKUP(F117,'G-7 WaterC'' Data'!$C$4:$D$8,2,FALSE),"")</f>
        <v/>
      </c>
      <c r="H117" s="52"/>
      <c r="I117" s="276" t="str">
        <f>IFERROR(INDEX('G-7 WaterC'' Data'!$H$4:$L$8,MATCH(D117,'G-7 WaterC'' Data'!$B$4:$B$8,0),MATCH(H117,'G-7 WaterC'' Data'!$H$3:$L$3,0)),"")</f>
        <v/>
      </c>
      <c r="J117" s="777"/>
      <c r="K117" s="311" t="str">
        <f>IF(J117="","",IF(VLOOKUP(J117,'G-7 WaterC'' Data'!$AK$4:$AM$6,2,FALSE)=0,"Spatial Data Missing ⚠",VLOOKUP(J117,'G-7 WaterC'' Data'!$AK$4:$AM$6,2,FALSE)))</f>
        <v/>
      </c>
      <c r="L117" s="281" t="str">
        <f>IF(J117="","",IF(VLOOKUP(J117,'G-7 WaterC'' Data'!$AK$4:$AM$9,3,FALSE)=0,"Spatial Data Missing ⚠",VLOOKUP(J117,'G-7 WaterC'' Data'!$AK$4:$AM$6,3,FALSE)))</f>
        <v/>
      </c>
      <c r="M117" s="52"/>
      <c r="N117" s="276" t="str">
        <f>IF(M117="","",IF(AND(D117&lt;&gt;"Culvert",M117="N/A - Culvert"),"Not possible ▲",IF(AND(D117="Culvert",M117&lt;&gt;"N/A - Culvert"),"Not possible ▲",IF(VLOOKUP(M117,'G-7 WaterC'' Data'!$AA$4:$AB$7,2,FALSE)=0,"Spatial Data Missing ⚠",VLOOKUP(M117,'G-7 WaterC'' Data'!$AA$4:$AB$7,2,FALSE)))))</f>
        <v/>
      </c>
      <c r="O117" s="56"/>
      <c r="P117" s="276" t="str">
        <f>IF(O117="","",IF(AND(O117="N/A - Culvert",D117&lt;&gt;"Culvert"),"Not possible ▲",IF(AND(D117="Culvert",O117&lt;&gt;"N/A - Culvert"),"Not possible ▲",IF(VLOOKUP(O117,'G-7 WaterC'' Data'!$AD$4:$AE$14,2,FALSE)=0,"Spatial Data Missing ⚠",VLOOKUP(O117,'G-7 WaterC'' Data'!$AD$4:$AE$14,2,FALSE)))))</f>
        <v/>
      </c>
      <c r="Q117" s="282" t="str">
        <f>IF(D117="","",VLOOKUP(D117,'G-7 WaterC'' Data'!$B$2:$G$8,6,FALSE))</f>
        <v/>
      </c>
      <c r="R117" s="289" t="str">
        <f t="shared" si="11"/>
        <v xml:space="preserve"> </v>
      </c>
      <c r="S117" s="803" t="str">
        <f t="shared" si="12"/>
        <v/>
      </c>
      <c r="T117" s="32"/>
      <c r="U117" s="101"/>
      <c r="V117" s="108"/>
      <c r="W117" s="287" t="str">
        <f t="shared" si="13"/>
        <v/>
      </c>
      <c r="X117" s="287" t="str">
        <f t="shared" si="14"/>
        <v/>
      </c>
      <c r="Y117" s="287" t="str">
        <f t="shared" si="15"/>
        <v/>
      </c>
      <c r="Z117" s="317" t="str">
        <f>IFERROR(IF(OR(E117="",R117=""),"",IF(AND(Q117='G-7 WaterC'' Data'!$G$4,AA117="Yes"),"Alternative Compensation ✓",IF(AND(AA117="Pending",Q117='G-7 WaterC'' Data'!$G$4),"Bespoke compensation must be agreed ▲",IF((W117+X117)&gt;=R117,0,R117-W117-X117)))),"Check Data ⚠")</f>
        <v/>
      </c>
      <c r="AA117" s="800"/>
      <c r="AB117" s="136"/>
      <c r="AC117" s="104"/>
      <c r="AD117" s="104"/>
      <c r="AE117" s="54" t="str">
        <f>IF(OR(Q117="",AA117="Yes"),"",IF(Q117='G-1 All Habitats'!$X$9,E117-U117-V117,"None"))</f>
        <v/>
      </c>
      <c r="AF117" s="55" t="str">
        <f>IF(Q117="","",IF(Q117='G-1 All Habitats'!$X$9,AE117*G117*I117*L117*N117*P117,"None"))</f>
        <v/>
      </c>
      <c r="AI117" s="30">
        <f t="shared" si="16"/>
        <v>0</v>
      </c>
      <c r="AJ117" s="107" t="str">
        <f t="shared" si="17"/>
        <v/>
      </c>
      <c r="AK117" s="107" t="str">
        <f t="shared" si="18"/>
        <v/>
      </c>
      <c r="AM117" s="107">
        <v>108</v>
      </c>
      <c r="AO117" s="107" t="str">
        <f t="array" ref="AO117">IFERROR(INDEX($AM$10:$AM$258,MATCH(0,IF(TRUE=$AJ$10:$AJ$258,COUNTIF($AO$9:$AO116,$AM$10:$AM$258),""),0)),"")</f>
        <v/>
      </c>
      <c r="AP117" s="107" t="str">
        <f t="array" ref="AP117">IFERROR(INDEX($AM$10:$AM$258,MATCH(0,IF(TRUE=$AK$10:$AK$258,COUNTIF($AP$9:$AP116,$AM$10:$AM$258),""),0)),"")</f>
        <v/>
      </c>
      <c r="AR117" s="30" t="str">
        <f>IFERROR(INDEX('G-7 WaterC'' Data'!$AZ$3:$AZ$7,MATCH(D117,'G-7 WaterC'' Data'!$AY$3:$AY$7,0)),"")</f>
        <v/>
      </c>
      <c r="AS117" s="30" t="str">
        <f>IFERROR(INDEX('G-7 WaterC'' Data'!AZ117:AZ121,MATCH(D117,'G-7 WaterC'' Data'!$AY$10:$AY$14,0)),"")</f>
        <v/>
      </c>
      <c r="AT117" s="885" t="str">
        <f>IF(AND(OR(AA117="Yes",AA117="Pending"),Q117='G-7 WaterC'' Data'!$G$4),R117-W117-X117,"")</f>
        <v/>
      </c>
      <c r="AU117" s="30" t="str">
        <f>IF(D117="","",VLOOKUP(D117,'G-7 WaterC'' Data'!B$4:M$8,12,FALSE))</f>
        <v/>
      </c>
      <c r="AV117" s="30" t="str">
        <f t="shared" si="10"/>
        <v/>
      </c>
      <c r="AX117" s="30" t="str">
        <f t="shared" si="19"/>
        <v>No</v>
      </c>
    </row>
    <row r="118" spans="3:50" ht="14" hidden="1">
      <c r="C118" s="97">
        <v>109</v>
      </c>
      <c r="D118" s="261"/>
      <c r="E118" s="115"/>
      <c r="F118" s="275" t="str">
        <f>IF(D118="","",VLOOKUP(D118,'G-7 WaterC'' Data'!$B$2:$G$8,2,FALSE))</f>
        <v/>
      </c>
      <c r="G118" s="276" t="str">
        <f>IFERROR(VLOOKUP(F118,'G-7 WaterC'' Data'!$C$4:$D$8,2,FALSE),"")</f>
        <v/>
      </c>
      <c r="H118" s="52"/>
      <c r="I118" s="276" t="str">
        <f>IFERROR(INDEX('G-7 WaterC'' Data'!$H$4:$L$8,MATCH(D118,'G-7 WaterC'' Data'!$B$4:$B$8,0),MATCH(H118,'G-7 WaterC'' Data'!$H$3:$L$3,0)),"")</f>
        <v/>
      </c>
      <c r="J118" s="777"/>
      <c r="K118" s="311" t="str">
        <f>IF(J118="","",IF(VLOOKUP(J118,'G-7 WaterC'' Data'!$AK$4:$AM$6,2,FALSE)=0,"Spatial Data Missing ⚠",VLOOKUP(J118,'G-7 WaterC'' Data'!$AK$4:$AM$6,2,FALSE)))</f>
        <v/>
      </c>
      <c r="L118" s="281" t="str">
        <f>IF(J118="","",IF(VLOOKUP(J118,'G-7 WaterC'' Data'!$AK$4:$AM$9,3,FALSE)=0,"Spatial Data Missing ⚠",VLOOKUP(J118,'G-7 WaterC'' Data'!$AK$4:$AM$6,3,FALSE)))</f>
        <v/>
      </c>
      <c r="M118" s="52"/>
      <c r="N118" s="276" t="str">
        <f>IF(M118="","",IF(AND(D118&lt;&gt;"Culvert",M118="N/A - Culvert"),"Not possible ▲",IF(AND(D118="Culvert",M118&lt;&gt;"N/A - Culvert"),"Not possible ▲",IF(VLOOKUP(M118,'G-7 WaterC'' Data'!$AA$4:$AB$7,2,FALSE)=0,"Spatial Data Missing ⚠",VLOOKUP(M118,'G-7 WaterC'' Data'!$AA$4:$AB$7,2,FALSE)))))</f>
        <v/>
      </c>
      <c r="O118" s="56"/>
      <c r="P118" s="276" t="str">
        <f>IF(O118="","",IF(AND(O118="N/A - Culvert",D118&lt;&gt;"Culvert"),"Not possible ▲",IF(AND(D118="Culvert",O118&lt;&gt;"N/A - Culvert"),"Not possible ▲",IF(VLOOKUP(O118,'G-7 WaterC'' Data'!$AD$4:$AE$14,2,FALSE)=0,"Spatial Data Missing ⚠",VLOOKUP(O118,'G-7 WaterC'' Data'!$AD$4:$AE$14,2,FALSE)))))</f>
        <v/>
      </c>
      <c r="Q118" s="282" t="str">
        <f>IF(D118="","",VLOOKUP(D118,'G-7 WaterC'' Data'!$B$2:$G$8,6,FALSE))</f>
        <v/>
      </c>
      <c r="R118" s="289" t="str">
        <f t="shared" si="11"/>
        <v xml:space="preserve"> </v>
      </c>
      <c r="S118" s="803" t="str">
        <f t="shared" si="12"/>
        <v/>
      </c>
      <c r="T118" s="32"/>
      <c r="U118" s="101"/>
      <c r="V118" s="108"/>
      <c r="W118" s="287" t="str">
        <f t="shared" si="13"/>
        <v/>
      </c>
      <c r="X118" s="287" t="str">
        <f t="shared" si="14"/>
        <v/>
      </c>
      <c r="Y118" s="287" t="str">
        <f t="shared" si="15"/>
        <v/>
      </c>
      <c r="Z118" s="317" t="str">
        <f>IFERROR(IF(OR(E118="",R118=""),"",IF(AND(Q118='G-7 WaterC'' Data'!$G$4,AA118="Yes"),"Alternative Compensation ✓",IF(AND(AA118="Pending",Q118='G-7 WaterC'' Data'!$G$4),"Bespoke compensation must be agreed ▲",IF((W118+X118)&gt;=R118,0,R118-W118-X118)))),"Check Data ⚠")</f>
        <v/>
      </c>
      <c r="AA118" s="800"/>
      <c r="AB118" s="136"/>
      <c r="AC118" s="104"/>
      <c r="AD118" s="104"/>
      <c r="AE118" s="54" t="str">
        <f>IF(OR(Q118="",AA118="Yes"),"",IF(Q118='G-1 All Habitats'!$X$9,E118-U118-V118,"None"))</f>
        <v/>
      </c>
      <c r="AF118" s="55" t="str">
        <f>IF(Q118="","",IF(Q118='G-1 All Habitats'!$X$9,AE118*G118*I118*L118*N118*P118,"None"))</f>
        <v/>
      </c>
      <c r="AI118" s="30">
        <f t="shared" si="16"/>
        <v>0</v>
      </c>
      <c r="AJ118" s="107" t="str">
        <f t="shared" si="17"/>
        <v/>
      </c>
      <c r="AK118" s="107" t="str">
        <f t="shared" si="18"/>
        <v/>
      </c>
      <c r="AM118" s="107">
        <v>109</v>
      </c>
      <c r="AO118" s="107" t="str">
        <f t="array" ref="AO118">IFERROR(INDEX($AM$10:$AM$258,MATCH(0,IF(TRUE=$AJ$10:$AJ$258,COUNTIF($AO$9:$AO117,$AM$10:$AM$258),""),0)),"")</f>
        <v/>
      </c>
      <c r="AP118" s="107" t="str">
        <f t="array" ref="AP118">IFERROR(INDEX($AM$10:$AM$258,MATCH(0,IF(TRUE=$AK$10:$AK$258,COUNTIF($AP$9:$AP117,$AM$10:$AM$258),""),0)),"")</f>
        <v/>
      </c>
      <c r="AR118" s="30" t="str">
        <f>IFERROR(INDEX('G-7 WaterC'' Data'!$AZ$3:$AZ$7,MATCH(D118,'G-7 WaterC'' Data'!$AY$3:$AY$7,0)),"")</f>
        <v/>
      </c>
      <c r="AS118" s="30" t="str">
        <f>IFERROR(INDEX('G-7 WaterC'' Data'!AZ118:AZ122,MATCH(D118,'G-7 WaterC'' Data'!$AY$10:$AY$14,0)),"")</f>
        <v/>
      </c>
      <c r="AT118" s="885" t="str">
        <f>IF(AND(OR(AA118="Yes",AA118="Pending"),Q118='G-7 WaterC'' Data'!$G$4),R118-W118-X118,"")</f>
        <v/>
      </c>
      <c r="AU118" s="30" t="str">
        <f>IF(D118="","",VLOOKUP(D118,'G-7 WaterC'' Data'!B$4:M$8,12,FALSE))</f>
        <v/>
      </c>
      <c r="AV118" s="30" t="str">
        <f t="shared" si="10"/>
        <v/>
      </c>
      <c r="AX118" s="30" t="str">
        <f t="shared" si="19"/>
        <v>No</v>
      </c>
    </row>
    <row r="119" spans="3:50" ht="14" hidden="1">
      <c r="C119" s="97">
        <v>110</v>
      </c>
      <c r="D119" s="261"/>
      <c r="E119" s="115"/>
      <c r="F119" s="275" t="str">
        <f>IF(D119="","",VLOOKUP(D119,'G-7 WaterC'' Data'!$B$2:$G$8,2,FALSE))</f>
        <v/>
      </c>
      <c r="G119" s="276" t="str">
        <f>IFERROR(VLOOKUP(F119,'G-7 WaterC'' Data'!$C$4:$D$8,2,FALSE),"")</f>
        <v/>
      </c>
      <c r="H119" s="52"/>
      <c r="I119" s="276" t="str">
        <f>IFERROR(INDEX('G-7 WaterC'' Data'!$H$4:$L$8,MATCH(D119,'G-7 WaterC'' Data'!$B$4:$B$8,0),MATCH(H119,'G-7 WaterC'' Data'!$H$3:$L$3,0)),"")</f>
        <v/>
      </c>
      <c r="J119" s="777"/>
      <c r="K119" s="311" t="str">
        <f>IF(J119="","",IF(VLOOKUP(J119,'G-7 WaterC'' Data'!$AK$4:$AM$6,2,FALSE)=0,"Spatial Data Missing ⚠",VLOOKUP(J119,'G-7 WaterC'' Data'!$AK$4:$AM$6,2,FALSE)))</f>
        <v/>
      </c>
      <c r="L119" s="281" t="str">
        <f>IF(J119="","",IF(VLOOKUP(J119,'G-7 WaterC'' Data'!$AK$4:$AM$9,3,FALSE)=0,"Spatial Data Missing ⚠",VLOOKUP(J119,'G-7 WaterC'' Data'!$AK$4:$AM$6,3,FALSE)))</f>
        <v/>
      </c>
      <c r="M119" s="52"/>
      <c r="N119" s="276" t="str">
        <f>IF(M119="","",IF(AND(D119&lt;&gt;"Culvert",M119="N/A - Culvert"),"Not possible ▲",IF(AND(D119="Culvert",M119&lt;&gt;"N/A - Culvert"),"Not possible ▲",IF(VLOOKUP(M119,'G-7 WaterC'' Data'!$AA$4:$AB$7,2,FALSE)=0,"Spatial Data Missing ⚠",VLOOKUP(M119,'G-7 WaterC'' Data'!$AA$4:$AB$7,2,FALSE)))))</f>
        <v/>
      </c>
      <c r="O119" s="56"/>
      <c r="P119" s="276" t="str">
        <f>IF(O119="","",IF(AND(O119="N/A - Culvert",D119&lt;&gt;"Culvert"),"Not possible ▲",IF(AND(D119="Culvert",O119&lt;&gt;"N/A - Culvert"),"Not possible ▲",IF(VLOOKUP(O119,'G-7 WaterC'' Data'!$AD$4:$AE$14,2,FALSE)=0,"Spatial Data Missing ⚠",VLOOKUP(O119,'G-7 WaterC'' Data'!$AD$4:$AE$14,2,FALSE)))))</f>
        <v/>
      </c>
      <c r="Q119" s="282" t="str">
        <f>IF(D119="","",VLOOKUP(D119,'G-7 WaterC'' Data'!$B$2:$G$8,6,FALSE))</f>
        <v/>
      </c>
      <c r="R119" s="289" t="str">
        <f t="shared" si="11"/>
        <v xml:space="preserve"> </v>
      </c>
      <c r="S119" s="803" t="str">
        <f t="shared" si="12"/>
        <v/>
      </c>
      <c r="T119" s="32"/>
      <c r="U119" s="101"/>
      <c r="V119" s="108"/>
      <c r="W119" s="287" t="str">
        <f t="shared" si="13"/>
        <v/>
      </c>
      <c r="X119" s="287" t="str">
        <f t="shared" si="14"/>
        <v/>
      </c>
      <c r="Y119" s="287" t="str">
        <f t="shared" si="15"/>
        <v/>
      </c>
      <c r="Z119" s="317" t="str">
        <f>IFERROR(IF(OR(E119="",R119=""),"",IF(AND(Q119='G-7 WaterC'' Data'!$G$4,AA119="Yes"),"Alternative Compensation ✓",IF(AND(AA119="Pending",Q119='G-7 WaterC'' Data'!$G$4),"Bespoke compensation must be agreed ▲",IF((W119+X119)&gt;=R119,0,R119-W119-X119)))),"Check Data ⚠")</f>
        <v/>
      </c>
      <c r="AA119" s="800"/>
      <c r="AB119" s="136"/>
      <c r="AC119" s="104"/>
      <c r="AD119" s="104"/>
      <c r="AE119" s="54" t="str">
        <f>IF(OR(Q119="",AA119="Yes"),"",IF(Q119='G-1 All Habitats'!$X$9,E119-U119-V119,"None"))</f>
        <v/>
      </c>
      <c r="AF119" s="55" t="str">
        <f>IF(Q119="","",IF(Q119='G-1 All Habitats'!$X$9,AE119*G119*I119*L119*N119*P119,"None"))</f>
        <v/>
      </c>
      <c r="AI119" s="30">
        <f t="shared" si="16"/>
        <v>0</v>
      </c>
      <c r="AJ119" s="107" t="str">
        <f t="shared" si="17"/>
        <v/>
      </c>
      <c r="AK119" s="107" t="str">
        <f t="shared" si="18"/>
        <v/>
      </c>
      <c r="AM119" s="107">
        <v>110</v>
      </c>
      <c r="AO119" s="107" t="str">
        <f t="array" ref="AO119">IFERROR(INDEX($AM$10:$AM$258,MATCH(0,IF(TRUE=$AJ$10:$AJ$258,COUNTIF($AO$9:$AO118,$AM$10:$AM$258),""),0)),"")</f>
        <v/>
      </c>
      <c r="AP119" s="107" t="str">
        <f t="array" ref="AP119">IFERROR(INDEX($AM$10:$AM$258,MATCH(0,IF(TRUE=$AK$10:$AK$258,COUNTIF($AP$9:$AP118,$AM$10:$AM$258),""),0)),"")</f>
        <v/>
      </c>
      <c r="AR119" s="30" t="str">
        <f>IFERROR(INDEX('G-7 WaterC'' Data'!$AZ$3:$AZ$7,MATCH(D119,'G-7 WaterC'' Data'!$AY$3:$AY$7,0)),"")</f>
        <v/>
      </c>
      <c r="AS119" s="30" t="str">
        <f>IFERROR(INDEX('G-7 WaterC'' Data'!AZ119:AZ123,MATCH(D119,'G-7 WaterC'' Data'!$AY$10:$AY$14,0)),"")</f>
        <v/>
      </c>
      <c r="AT119" s="885" t="str">
        <f>IF(AND(OR(AA119="Yes",AA119="Pending"),Q119='G-7 WaterC'' Data'!$G$4),R119-W119-X119,"")</f>
        <v/>
      </c>
      <c r="AU119" s="30" t="str">
        <f>IF(D119="","",VLOOKUP(D119,'G-7 WaterC'' Data'!B$4:M$8,12,FALSE))</f>
        <v/>
      </c>
      <c r="AV119" s="30" t="str">
        <f t="shared" si="10"/>
        <v/>
      </c>
      <c r="AX119" s="30" t="str">
        <f t="shared" si="19"/>
        <v>No</v>
      </c>
    </row>
    <row r="120" spans="3:50" ht="14" hidden="1">
      <c r="C120" s="97">
        <v>111</v>
      </c>
      <c r="D120" s="261"/>
      <c r="E120" s="115"/>
      <c r="F120" s="275" t="str">
        <f>IF(D120="","",VLOOKUP(D120,'G-7 WaterC'' Data'!$B$2:$G$8,2,FALSE))</f>
        <v/>
      </c>
      <c r="G120" s="276" t="str">
        <f>IFERROR(VLOOKUP(F120,'G-7 WaterC'' Data'!$C$4:$D$8,2,FALSE),"")</f>
        <v/>
      </c>
      <c r="H120" s="52"/>
      <c r="I120" s="276" t="str">
        <f>IFERROR(INDEX('G-7 WaterC'' Data'!$H$4:$L$8,MATCH(D120,'G-7 WaterC'' Data'!$B$4:$B$8,0),MATCH(H120,'G-7 WaterC'' Data'!$H$3:$L$3,0)),"")</f>
        <v/>
      </c>
      <c r="J120" s="777"/>
      <c r="K120" s="311" t="str">
        <f>IF(J120="","",IF(VLOOKUP(J120,'G-7 WaterC'' Data'!$AK$4:$AM$6,2,FALSE)=0,"Spatial Data Missing ⚠",VLOOKUP(J120,'G-7 WaterC'' Data'!$AK$4:$AM$6,2,FALSE)))</f>
        <v/>
      </c>
      <c r="L120" s="281" t="str">
        <f>IF(J120="","",IF(VLOOKUP(J120,'G-7 WaterC'' Data'!$AK$4:$AM$9,3,FALSE)=0,"Spatial Data Missing ⚠",VLOOKUP(J120,'G-7 WaterC'' Data'!$AK$4:$AM$6,3,FALSE)))</f>
        <v/>
      </c>
      <c r="M120" s="52"/>
      <c r="N120" s="276" t="str">
        <f>IF(M120="","",IF(AND(D120&lt;&gt;"Culvert",M120="N/A - Culvert"),"Not possible ▲",IF(AND(D120="Culvert",M120&lt;&gt;"N/A - Culvert"),"Not possible ▲",IF(VLOOKUP(M120,'G-7 WaterC'' Data'!$AA$4:$AB$7,2,FALSE)=0,"Spatial Data Missing ⚠",VLOOKUP(M120,'G-7 WaterC'' Data'!$AA$4:$AB$7,2,FALSE)))))</f>
        <v/>
      </c>
      <c r="O120" s="56"/>
      <c r="P120" s="276" t="str">
        <f>IF(O120="","",IF(AND(O120="N/A - Culvert",D120&lt;&gt;"Culvert"),"Not possible ▲",IF(AND(D120="Culvert",O120&lt;&gt;"N/A - Culvert"),"Not possible ▲",IF(VLOOKUP(O120,'G-7 WaterC'' Data'!$AD$4:$AE$14,2,FALSE)=0,"Spatial Data Missing ⚠",VLOOKUP(O120,'G-7 WaterC'' Data'!$AD$4:$AE$14,2,FALSE)))))</f>
        <v/>
      </c>
      <c r="Q120" s="282" t="str">
        <f>IF(D120="","",VLOOKUP(D120,'G-7 WaterC'' Data'!$B$2:$G$8,6,FALSE))</f>
        <v/>
      </c>
      <c r="R120" s="289" t="str">
        <f t="shared" si="11"/>
        <v xml:space="preserve"> </v>
      </c>
      <c r="S120" s="803" t="str">
        <f t="shared" si="12"/>
        <v/>
      </c>
      <c r="T120" s="32"/>
      <c r="U120" s="101"/>
      <c r="V120" s="108"/>
      <c r="W120" s="287" t="str">
        <f t="shared" si="13"/>
        <v/>
      </c>
      <c r="X120" s="287" t="str">
        <f t="shared" si="14"/>
        <v/>
      </c>
      <c r="Y120" s="287" t="str">
        <f t="shared" si="15"/>
        <v/>
      </c>
      <c r="Z120" s="317" t="str">
        <f>IFERROR(IF(OR(E120="",R120=""),"",IF(AND(Q120='G-7 WaterC'' Data'!$G$4,AA120="Yes"),"Alternative Compensation ✓",IF(AND(AA120="Pending",Q120='G-7 WaterC'' Data'!$G$4),"Bespoke compensation must be agreed ▲",IF((W120+X120)&gt;=R120,0,R120-W120-X120)))),"Check Data ⚠")</f>
        <v/>
      </c>
      <c r="AA120" s="800"/>
      <c r="AB120" s="136"/>
      <c r="AC120" s="104"/>
      <c r="AD120" s="104"/>
      <c r="AE120" s="54" t="str">
        <f>IF(OR(Q120="",AA120="Yes"),"",IF(Q120='G-1 All Habitats'!$X$9,E120-U120-V120,"None"))</f>
        <v/>
      </c>
      <c r="AF120" s="55" t="str">
        <f>IF(Q120="","",IF(Q120='G-1 All Habitats'!$X$9,AE120*G120*I120*L120*N120*P120,"None"))</f>
        <v/>
      </c>
      <c r="AI120" s="30">
        <f t="shared" si="16"/>
        <v>0</v>
      </c>
      <c r="AJ120" s="107" t="str">
        <f t="shared" si="17"/>
        <v/>
      </c>
      <c r="AK120" s="107" t="str">
        <f t="shared" si="18"/>
        <v/>
      </c>
      <c r="AM120" s="107">
        <v>111</v>
      </c>
      <c r="AO120" s="107" t="str">
        <f t="array" ref="AO120">IFERROR(INDEX($AM$10:$AM$258,MATCH(0,IF(TRUE=$AJ$10:$AJ$258,COUNTIF($AO$9:$AO119,$AM$10:$AM$258),""),0)),"")</f>
        <v/>
      </c>
      <c r="AP120" s="107" t="str">
        <f t="array" ref="AP120">IFERROR(INDEX($AM$10:$AM$258,MATCH(0,IF(TRUE=$AK$10:$AK$258,COUNTIF($AP$9:$AP119,$AM$10:$AM$258),""),0)),"")</f>
        <v/>
      </c>
      <c r="AR120" s="30" t="str">
        <f>IFERROR(INDEX('G-7 WaterC'' Data'!$AZ$3:$AZ$7,MATCH(D120,'G-7 WaterC'' Data'!$AY$3:$AY$7,0)),"")</f>
        <v/>
      </c>
      <c r="AS120" s="30" t="str">
        <f>IFERROR(INDEX('G-7 WaterC'' Data'!AZ120:AZ124,MATCH(D120,'G-7 WaterC'' Data'!$AY$10:$AY$14,0)),"")</f>
        <v/>
      </c>
      <c r="AT120" s="885" t="str">
        <f>IF(AND(OR(AA120="Yes",AA120="Pending"),Q120='G-7 WaterC'' Data'!$G$4),R120-W120-X120,"")</f>
        <v/>
      </c>
      <c r="AU120" s="30" t="str">
        <f>IF(D120="","",VLOOKUP(D120,'G-7 WaterC'' Data'!B$4:M$8,12,FALSE))</f>
        <v/>
      </c>
      <c r="AV120" s="30" t="str">
        <f t="shared" si="10"/>
        <v/>
      </c>
      <c r="AX120" s="30" t="str">
        <f t="shared" si="19"/>
        <v>No</v>
      </c>
    </row>
    <row r="121" spans="3:50" ht="14" hidden="1">
      <c r="C121" s="97">
        <v>112</v>
      </c>
      <c r="D121" s="261"/>
      <c r="E121" s="115"/>
      <c r="F121" s="275" t="str">
        <f>IF(D121="","",VLOOKUP(D121,'G-7 WaterC'' Data'!$B$2:$G$8,2,FALSE))</f>
        <v/>
      </c>
      <c r="G121" s="276" t="str">
        <f>IFERROR(VLOOKUP(F121,'G-7 WaterC'' Data'!$C$4:$D$8,2,FALSE),"")</f>
        <v/>
      </c>
      <c r="H121" s="52"/>
      <c r="I121" s="276" t="str">
        <f>IFERROR(INDEX('G-7 WaterC'' Data'!$H$4:$L$8,MATCH(D121,'G-7 WaterC'' Data'!$B$4:$B$8,0),MATCH(H121,'G-7 WaterC'' Data'!$H$3:$L$3,0)),"")</f>
        <v/>
      </c>
      <c r="J121" s="777"/>
      <c r="K121" s="311" t="str">
        <f>IF(J121="","",IF(VLOOKUP(J121,'G-7 WaterC'' Data'!$AK$4:$AM$6,2,FALSE)=0,"Spatial Data Missing ⚠",VLOOKUP(J121,'G-7 WaterC'' Data'!$AK$4:$AM$6,2,FALSE)))</f>
        <v/>
      </c>
      <c r="L121" s="281" t="str">
        <f>IF(J121="","",IF(VLOOKUP(J121,'G-7 WaterC'' Data'!$AK$4:$AM$9,3,FALSE)=0,"Spatial Data Missing ⚠",VLOOKUP(J121,'G-7 WaterC'' Data'!$AK$4:$AM$6,3,FALSE)))</f>
        <v/>
      </c>
      <c r="M121" s="52"/>
      <c r="N121" s="276" t="str">
        <f>IF(M121="","",IF(AND(D121&lt;&gt;"Culvert",M121="N/A - Culvert"),"Not possible ▲",IF(AND(D121="Culvert",M121&lt;&gt;"N/A - Culvert"),"Not possible ▲",IF(VLOOKUP(M121,'G-7 WaterC'' Data'!$AA$4:$AB$7,2,FALSE)=0,"Spatial Data Missing ⚠",VLOOKUP(M121,'G-7 WaterC'' Data'!$AA$4:$AB$7,2,FALSE)))))</f>
        <v/>
      </c>
      <c r="O121" s="56"/>
      <c r="P121" s="276" t="str">
        <f>IF(O121="","",IF(AND(O121="N/A - Culvert",D121&lt;&gt;"Culvert"),"Not possible ▲",IF(AND(D121="Culvert",O121&lt;&gt;"N/A - Culvert"),"Not possible ▲",IF(VLOOKUP(O121,'G-7 WaterC'' Data'!$AD$4:$AE$14,2,FALSE)=0,"Spatial Data Missing ⚠",VLOOKUP(O121,'G-7 WaterC'' Data'!$AD$4:$AE$14,2,FALSE)))))</f>
        <v/>
      </c>
      <c r="Q121" s="282" t="str">
        <f>IF(D121="","",VLOOKUP(D121,'G-7 WaterC'' Data'!$B$2:$G$8,6,FALSE))</f>
        <v/>
      </c>
      <c r="R121" s="289" t="str">
        <f t="shared" si="11"/>
        <v xml:space="preserve"> </v>
      </c>
      <c r="S121" s="803" t="str">
        <f t="shared" si="12"/>
        <v/>
      </c>
      <c r="T121" s="32"/>
      <c r="U121" s="101"/>
      <c r="V121" s="108"/>
      <c r="W121" s="287" t="str">
        <f t="shared" si="13"/>
        <v/>
      </c>
      <c r="X121" s="287" t="str">
        <f t="shared" si="14"/>
        <v/>
      </c>
      <c r="Y121" s="287" t="str">
        <f t="shared" si="15"/>
        <v/>
      </c>
      <c r="Z121" s="317" t="str">
        <f>IFERROR(IF(OR(E121="",R121=""),"",IF(AND(Q121='G-7 WaterC'' Data'!$G$4,AA121="Yes"),"Alternative Compensation ✓",IF(AND(AA121="Pending",Q121='G-7 WaterC'' Data'!$G$4),"Bespoke compensation must be agreed ▲",IF((W121+X121)&gt;=R121,0,R121-W121-X121)))),"Check Data ⚠")</f>
        <v/>
      </c>
      <c r="AA121" s="800"/>
      <c r="AB121" s="136"/>
      <c r="AC121" s="104"/>
      <c r="AD121" s="104"/>
      <c r="AE121" s="54" t="str">
        <f>IF(OR(Q121="",AA121="Yes"),"",IF(Q121='G-1 All Habitats'!$X$9,E121-U121-V121,"None"))</f>
        <v/>
      </c>
      <c r="AF121" s="55" t="str">
        <f>IF(Q121="","",IF(Q121='G-1 All Habitats'!$X$9,AE121*G121*I121*L121*N121*P121,"None"))</f>
        <v/>
      </c>
      <c r="AI121" s="30">
        <f t="shared" si="16"/>
        <v>0</v>
      </c>
      <c r="AJ121" s="107" t="str">
        <f t="shared" si="17"/>
        <v/>
      </c>
      <c r="AK121" s="107" t="str">
        <f t="shared" si="18"/>
        <v/>
      </c>
      <c r="AM121" s="107">
        <v>112</v>
      </c>
      <c r="AO121" s="107" t="str">
        <f t="array" ref="AO121">IFERROR(INDEX($AM$10:$AM$258,MATCH(0,IF(TRUE=$AJ$10:$AJ$258,COUNTIF($AO$9:$AO120,$AM$10:$AM$258),""),0)),"")</f>
        <v/>
      </c>
      <c r="AP121" s="107" t="str">
        <f t="array" ref="AP121">IFERROR(INDEX($AM$10:$AM$258,MATCH(0,IF(TRUE=$AK$10:$AK$258,COUNTIF($AP$9:$AP120,$AM$10:$AM$258),""),0)),"")</f>
        <v/>
      </c>
      <c r="AR121" s="30" t="str">
        <f>IFERROR(INDEX('G-7 WaterC'' Data'!$AZ$3:$AZ$7,MATCH(D121,'G-7 WaterC'' Data'!$AY$3:$AY$7,0)),"")</f>
        <v/>
      </c>
      <c r="AS121" s="30" t="str">
        <f>IFERROR(INDEX('G-7 WaterC'' Data'!AZ121:AZ125,MATCH(D121,'G-7 WaterC'' Data'!$AY$10:$AY$14,0)),"")</f>
        <v/>
      </c>
      <c r="AT121" s="885" t="str">
        <f>IF(AND(OR(AA121="Yes",AA121="Pending"),Q121='G-7 WaterC'' Data'!$G$4),R121-W121-X121,"")</f>
        <v/>
      </c>
      <c r="AU121" s="30" t="str">
        <f>IF(D121="","",VLOOKUP(D121,'G-7 WaterC'' Data'!B$4:M$8,12,FALSE))</f>
        <v/>
      </c>
      <c r="AV121" s="30" t="str">
        <f t="shared" si="10"/>
        <v/>
      </c>
      <c r="AX121" s="30" t="str">
        <f t="shared" si="19"/>
        <v>No</v>
      </c>
    </row>
    <row r="122" spans="3:50" ht="14" hidden="1">
      <c r="C122" s="97">
        <v>113</v>
      </c>
      <c r="D122" s="261"/>
      <c r="E122" s="115"/>
      <c r="F122" s="275" t="str">
        <f>IF(D122="","",VLOOKUP(D122,'G-7 WaterC'' Data'!$B$2:$G$8,2,FALSE))</f>
        <v/>
      </c>
      <c r="G122" s="276" t="str">
        <f>IFERROR(VLOOKUP(F122,'G-7 WaterC'' Data'!$C$4:$D$8,2,FALSE),"")</f>
        <v/>
      </c>
      <c r="H122" s="52"/>
      <c r="I122" s="276" t="str">
        <f>IFERROR(INDEX('G-7 WaterC'' Data'!$H$4:$L$8,MATCH(D122,'G-7 WaterC'' Data'!$B$4:$B$8,0),MATCH(H122,'G-7 WaterC'' Data'!$H$3:$L$3,0)),"")</f>
        <v/>
      </c>
      <c r="J122" s="777"/>
      <c r="K122" s="311" t="str">
        <f>IF(J122="","",IF(VLOOKUP(J122,'G-7 WaterC'' Data'!$AK$4:$AM$6,2,FALSE)=0,"Spatial Data Missing ⚠",VLOOKUP(J122,'G-7 WaterC'' Data'!$AK$4:$AM$6,2,FALSE)))</f>
        <v/>
      </c>
      <c r="L122" s="281" t="str">
        <f>IF(J122="","",IF(VLOOKUP(J122,'G-7 WaterC'' Data'!$AK$4:$AM$9,3,FALSE)=0,"Spatial Data Missing ⚠",VLOOKUP(J122,'G-7 WaterC'' Data'!$AK$4:$AM$6,3,FALSE)))</f>
        <v/>
      </c>
      <c r="M122" s="52"/>
      <c r="N122" s="276" t="str">
        <f>IF(M122="","",IF(AND(D122&lt;&gt;"Culvert",M122="N/A - Culvert"),"Not possible ▲",IF(AND(D122="Culvert",M122&lt;&gt;"N/A - Culvert"),"Not possible ▲",IF(VLOOKUP(M122,'G-7 WaterC'' Data'!$AA$4:$AB$7,2,FALSE)=0,"Spatial Data Missing ⚠",VLOOKUP(M122,'G-7 WaterC'' Data'!$AA$4:$AB$7,2,FALSE)))))</f>
        <v/>
      </c>
      <c r="O122" s="56"/>
      <c r="P122" s="276" t="str">
        <f>IF(O122="","",IF(AND(O122="N/A - Culvert",D122&lt;&gt;"Culvert"),"Not possible ▲",IF(AND(D122="Culvert",O122&lt;&gt;"N/A - Culvert"),"Not possible ▲",IF(VLOOKUP(O122,'G-7 WaterC'' Data'!$AD$4:$AE$14,2,FALSE)=0,"Spatial Data Missing ⚠",VLOOKUP(O122,'G-7 WaterC'' Data'!$AD$4:$AE$14,2,FALSE)))))</f>
        <v/>
      </c>
      <c r="Q122" s="282" t="str">
        <f>IF(D122="","",VLOOKUP(D122,'G-7 WaterC'' Data'!$B$2:$G$8,6,FALSE))</f>
        <v/>
      </c>
      <c r="R122" s="289" t="str">
        <f t="shared" si="11"/>
        <v xml:space="preserve"> </v>
      </c>
      <c r="S122" s="803" t="str">
        <f t="shared" si="12"/>
        <v/>
      </c>
      <c r="T122" s="32"/>
      <c r="U122" s="101"/>
      <c r="V122" s="108"/>
      <c r="W122" s="287" t="str">
        <f t="shared" si="13"/>
        <v/>
      </c>
      <c r="X122" s="287" t="str">
        <f t="shared" si="14"/>
        <v/>
      </c>
      <c r="Y122" s="287" t="str">
        <f t="shared" si="15"/>
        <v/>
      </c>
      <c r="Z122" s="317" t="str">
        <f>IFERROR(IF(OR(E122="",R122=""),"",IF(AND(Q122='G-7 WaterC'' Data'!$G$4,AA122="Yes"),"Alternative Compensation ✓",IF(AND(AA122="Pending",Q122='G-7 WaterC'' Data'!$G$4),"Bespoke compensation must be agreed ▲",IF((W122+X122)&gt;=R122,0,R122-W122-X122)))),"Check Data ⚠")</f>
        <v/>
      </c>
      <c r="AA122" s="800"/>
      <c r="AB122" s="136"/>
      <c r="AC122" s="104"/>
      <c r="AD122" s="104"/>
      <c r="AE122" s="54" t="str">
        <f>IF(OR(Q122="",AA122="Yes"),"",IF(Q122='G-1 All Habitats'!$X$9,E122-U122-V122,"None"))</f>
        <v/>
      </c>
      <c r="AF122" s="55" t="str">
        <f>IF(Q122="","",IF(Q122='G-1 All Habitats'!$X$9,AE122*G122*I122*L122*N122*P122,"None"))</f>
        <v/>
      </c>
      <c r="AI122" s="30">
        <f t="shared" si="16"/>
        <v>0</v>
      </c>
      <c r="AJ122" s="107" t="str">
        <f t="shared" si="17"/>
        <v/>
      </c>
      <c r="AK122" s="107" t="str">
        <f t="shared" si="18"/>
        <v/>
      </c>
      <c r="AM122" s="107">
        <v>113</v>
      </c>
      <c r="AO122" s="107" t="str">
        <f t="array" ref="AO122">IFERROR(INDEX($AM$10:$AM$258,MATCH(0,IF(TRUE=$AJ$10:$AJ$258,COUNTIF($AO$9:$AO121,$AM$10:$AM$258),""),0)),"")</f>
        <v/>
      </c>
      <c r="AP122" s="107" t="str">
        <f t="array" ref="AP122">IFERROR(INDEX($AM$10:$AM$258,MATCH(0,IF(TRUE=$AK$10:$AK$258,COUNTIF($AP$9:$AP121,$AM$10:$AM$258),""),0)),"")</f>
        <v/>
      </c>
      <c r="AR122" s="30" t="str">
        <f>IFERROR(INDEX('G-7 WaterC'' Data'!$AZ$3:$AZ$7,MATCH(D122,'G-7 WaterC'' Data'!$AY$3:$AY$7,0)),"")</f>
        <v/>
      </c>
      <c r="AS122" s="30" t="str">
        <f>IFERROR(INDEX('G-7 WaterC'' Data'!AZ122:AZ126,MATCH(D122,'G-7 WaterC'' Data'!$AY$10:$AY$14,0)),"")</f>
        <v/>
      </c>
      <c r="AT122" s="885" t="str">
        <f>IF(AND(OR(AA122="Yes",AA122="Pending"),Q122='G-7 WaterC'' Data'!$G$4),R122-W122-X122,"")</f>
        <v/>
      </c>
      <c r="AU122" s="30" t="str">
        <f>IF(D122="","",VLOOKUP(D122,'G-7 WaterC'' Data'!B$4:M$8,12,FALSE))</f>
        <v/>
      </c>
      <c r="AV122" s="30" t="str">
        <f t="shared" si="10"/>
        <v/>
      </c>
      <c r="AX122" s="30" t="str">
        <f t="shared" si="19"/>
        <v>No</v>
      </c>
    </row>
    <row r="123" spans="3:50" ht="14" hidden="1">
      <c r="C123" s="97">
        <v>114</v>
      </c>
      <c r="D123" s="261"/>
      <c r="E123" s="115"/>
      <c r="F123" s="275" t="str">
        <f>IF(D123="","",VLOOKUP(D123,'G-7 WaterC'' Data'!$B$2:$G$8,2,FALSE))</f>
        <v/>
      </c>
      <c r="G123" s="276" t="str">
        <f>IFERROR(VLOOKUP(F123,'G-7 WaterC'' Data'!$C$4:$D$8,2,FALSE),"")</f>
        <v/>
      </c>
      <c r="H123" s="52"/>
      <c r="I123" s="276" t="str">
        <f>IFERROR(INDEX('G-7 WaterC'' Data'!$H$4:$L$8,MATCH(D123,'G-7 WaterC'' Data'!$B$4:$B$8,0),MATCH(H123,'G-7 WaterC'' Data'!$H$3:$L$3,0)),"")</f>
        <v/>
      </c>
      <c r="J123" s="777"/>
      <c r="K123" s="311" t="str">
        <f>IF(J123="","",IF(VLOOKUP(J123,'G-7 WaterC'' Data'!$AK$4:$AM$6,2,FALSE)=0,"Spatial Data Missing ⚠",VLOOKUP(J123,'G-7 WaterC'' Data'!$AK$4:$AM$6,2,FALSE)))</f>
        <v/>
      </c>
      <c r="L123" s="281" t="str">
        <f>IF(J123="","",IF(VLOOKUP(J123,'G-7 WaterC'' Data'!$AK$4:$AM$9,3,FALSE)=0,"Spatial Data Missing ⚠",VLOOKUP(J123,'G-7 WaterC'' Data'!$AK$4:$AM$6,3,FALSE)))</f>
        <v/>
      </c>
      <c r="M123" s="52"/>
      <c r="N123" s="276" t="str">
        <f>IF(M123="","",IF(AND(D123&lt;&gt;"Culvert",M123="N/A - Culvert"),"Not possible ▲",IF(AND(D123="Culvert",M123&lt;&gt;"N/A - Culvert"),"Not possible ▲",IF(VLOOKUP(M123,'G-7 WaterC'' Data'!$AA$4:$AB$7,2,FALSE)=0,"Spatial Data Missing ⚠",VLOOKUP(M123,'G-7 WaterC'' Data'!$AA$4:$AB$7,2,FALSE)))))</f>
        <v/>
      </c>
      <c r="O123" s="56"/>
      <c r="P123" s="276" t="str">
        <f>IF(O123="","",IF(AND(O123="N/A - Culvert",D123&lt;&gt;"Culvert"),"Not possible ▲",IF(AND(D123="Culvert",O123&lt;&gt;"N/A - Culvert"),"Not possible ▲",IF(VLOOKUP(O123,'G-7 WaterC'' Data'!$AD$4:$AE$14,2,FALSE)=0,"Spatial Data Missing ⚠",VLOOKUP(O123,'G-7 WaterC'' Data'!$AD$4:$AE$14,2,FALSE)))))</f>
        <v/>
      </c>
      <c r="Q123" s="282" t="str">
        <f>IF(D123="","",VLOOKUP(D123,'G-7 WaterC'' Data'!$B$2:$G$8,6,FALSE))</f>
        <v/>
      </c>
      <c r="R123" s="289" t="str">
        <f t="shared" si="11"/>
        <v xml:space="preserve"> </v>
      </c>
      <c r="S123" s="803" t="str">
        <f t="shared" si="12"/>
        <v/>
      </c>
      <c r="T123" s="32"/>
      <c r="U123" s="101"/>
      <c r="V123" s="108"/>
      <c r="W123" s="287" t="str">
        <f t="shared" si="13"/>
        <v/>
      </c>
      <c r="X123" s="287" t="str">
        <f t="shared" si="14"/>
        <v/>
      </c>
      <c r="Y123" s="287" t="str">
        <f t="shared" si="15"/>
        <v/>
      </c>
      <c r="Z123" s="317" t="str">
        <f>IFERROR(IF(OR(E123="",R123=""),"",IF(AND(Q123='G-7 WaterC'' Data'!$G$4,AA123="Yes"),"Alternative Compensation ✓",IF(AND(AA123="Pending",Q123='G-7 WaterC'' Data'!$G$4),"Bespoke compensation must be agreed ▲",IF((W123+X123)&gt;=R123,0,R123-W123-X123)))),"Check Data ⚠")</f>
        <v/>
      </c>
      <c r="AA123" s="800"/>
      <c r="AB123" s="136"/>
      <c r="AC123" s="104"/>
      <c r="AD123" s="104"/>
      <c r="AE123" s="54" t="str">
        <f>IF(OR(Q123="",AA123="Yes"),"",IF(Q123='G-1 All Habitats'!$X$9,E123-U123-V123,"None"))</f>
        <v/>
      </c>
      <c r="AF123" s="55" t="str">
        <f>IF(Q123="","",IF(Q123='G-1 All Habitats'!$X$9,AE123*G123*I123*L123*N123*P123,"None"))</f>
        <v/>
      </c>
      <c r="AI123" s="30">
        <f t="shared" si="16"/>
        <v>0</v>
      </c>
      <c r="AJ123" s="107" t="str">
        <f t="shared" si="17"/>
        <v/>
      </c>
      <c r="AK123" s="107" t="str">
        <f t="shared" si="18"/>
        <v/>
      </c>
      <c r="AM123" s="107">
        <v>114</v>
      </c>
      <c r="AO123" s="107" t="str">
        <f t="array" ref="AO123">IFERROR(INDEX($AM$10:$AM$258,MATCH(0,IF(TRUE=$AJ$10:$AJ$258,COUNTIF($AO$9:$AO122,$AM$10:$AM$258),""),0)),"")</f>
        <v/>
      </c>
      <c r="AP123" s="107" t="str">
        <f t="array" ref="AP123">IFERROR(INDEX($AM$10:$AM$258,MATCH(0,IF(TRUE=$AK$10:$AK$258,COUNTIF($AP$9:$AP122,$AM$10:$AM$258),""),0)),"")</f>
        <v/>
      </c>
      <c r="AR123" s="30" t="str">
        <f>IFERROR(INDEX('G-7 WaterC'' Data'!$AZ$3:$AZ$7,MATCH(D123,'G-7 WaterC'' Data'!$AY$3:$AY$7,0)),"")</f>
        <v/>
      </c>
      <c r="AS123" s="30" t="str">
        <f>IFERROR(INDEX('G-7 WaterC'' Data'!AZ123:AZ127,MATCH(D123,'G-7 WaterC'' Data'!$AY$10:$AY$14,0)),"")</f>
        <v/>
      </c>
      <c r="AT123" s="885" t="str">
        <f>IF(AND(OR(AA123="Yes",AA123="Pending"),Q123='G-7 WaterC'' Data'!$G$4),R123-W123-X123,"")</f>
        <v/>
      </c>
      <c r="AU123" s="30" t="str">
        <f>IF(D123="","",VLOOKUP(D123,'G-7 WaterC'' Data'!B$4:M$8,12,FALSE))</f>
        <v/>
      </c>
      <c r="AV123" s="30" t="str">
        <f t="shared" si="10"/>
        <v/>
      </c>
      <c r="AX123" s="30" t="str">
        <f t="shared" si="19"/>
        <v>No</v>
      </c>
    </row>
    <row r="124" spans="3:50" ht="14" hidden="1">
      <c r="C124" s="97">
        <v>115</v>
      </c>
      <c r="D124" s="261"/>
      <c r="E124" s="115"/>
      <c r="F124" s="275" t="str">
        <f>IF(D124="","",VLOOKUP(D124,'G-7 WaterC'' Data'!$B$2:$G$8,2,FALSE))</f>
        <v/>
      </c>
      <c r="G124" s="276" t="str">
        <f>IFERROR(VLOOKUP(F124,'G-7 WaterC'' Data'!$C$4:$D$8,2,FALSE),"")</f>
        <v/>
      </c>
      <c r="H124" s="52"/>
      <c r="I124" s="276" t="str">
        <f>IFERROR(INDEX('G-7 WaterC'' Data'!$H$4:$L$8,MATCH(D124,'G-7 WaterC'' Data'!$B$4:$B$8,0),MATCH(H124,'G-7 WaterC'' Data'!$H$3:$L$3,0)),"")</f>
        <v/>
      </c>
      <c r="J124" s="777"/>
      <c r="K124" s="311" t="str">
        <f>IF(J124="","",IF(VLOOKUP(J124,'G-7 WaterC'' Data'!$AK$4:$AM$6,2,FALSE)=0,"Spatial Data Missing ⚠",VLOOKUP(J124,'G-7 WaterC'' Data'!$AK$4:$AM$6,2,FALSE)))</f>
        <v/>
      </c>
      <c r="L124" s="281" t="str">
        <f>IF(J124="","",IF(VLOOKUP(J124,'G-7 WaterC'' Data'!$AK$4:$AM$9,3,FALSE)=0,"Spatial Data Missing ⚠",VLOOKUP(J124,'G-7 WaterC'' Data'!$AK$4:$AM$6,3,FALSE)))</f>
        <v/>
      </c>
      <c r="M124" s="52"/>
      <c r="N124" s="276" t="str">
        <f>IF(M124="","",IF(AND(D124&lt;&gt;"Culvert",M124="N/A - Culvert"),"Not possible ▲",IF(AND(D124="Culvert",M124&lt;&gt;"N/A - Culvert"),"Not possible ▲",IF(VLOOKUP(M124,'G-7 WaterC'' Data'!$AA$4:$AB$7,2,FALSE)=0,"Spatial Data Missing ⚠",VLOOKUP(M124,'G-7 WaterC'' Data'!$AA$4:$AB$7,2,FALSE)))))</f>
        <v/>
      </c>
      <c r="O124" s="56"/>
      <c r="P124" s="276" t="str">
        <f>IF(O124="","",IF(AND(O124="N/A - Culvert",D124&lt;&gt;"Culvert"),"Not possible ▲",IF(AND(D124="Culvert",O124&lt;&gt;"N/A - Culvert"),"Not possible ▲",IF(VLOOKUP(O124,'G-7 WaterC'' Data'!$AD$4:$AE$14,2,FALSE)=0,"Spatial Data Missing ⚠",VLOOKUP(O124,'G-7 WaterC'' Data'!$AD$4:$AE$14,2,FALSE)))))</f>
        <v/>
      </c>
      <c r="Q124" s="282" t="str">
        <f>IF(D124="","",VLOOKUP(D124,'G-7 WaterC'' Data'!$B$2:$G$8,6,FALSE))</f>
        <v/>
      </c>
      <c r="R124" s="289" t="str">
        <f t="shared" si="11"/>
        <v xml:space="preserve"> </v>
      </c>
      <c r="S124" s="803" t="str">
        <f t="shared" si="12"/>
        <v/>
      </c>
      <c r="T124" s="32"/>
      <c r="U124" s="101"/>
      <c r="V124" s="108"/>
      <c r="W124" s="287" t="str">
        <f t="shared" si="13"/>
        <v/>
      </c>
      <c r="X124" s="287" t="str">
        <f t="shared" si="14"/>
        <v/>
      </c>
      <c r="Y124" s="287" t="str">
        <f t="shared" si="15"/>
        <v/>
      </c>
      <c r="Z124" s="317" t="str">
        <f>IFERROR(IF(OR(E124="",R124=""),"",IF(AND(Q124='G-7 WaterC'' Data'!$G$4,AA124="Yes"),"Alternative Compensation ✓",IF(AND(AA124="Pending",Q124='G-7 WaterC'' Data'!$G$4),"Bespoke compensation must be agreed ▲",IF((W124+X124)&gt;=R124,0,R124-W124-X124)))),"Check Data ⚠")</f>
        <v/>
      </c>
      <c r="AA124" s="800"/>
      <c r="AB124" s="136"/>
      <c r="AC124" s="104"/>
      <c r="AD124" s="104"/>
      <c r="AE124" s="54" t="str">
        <f>IF(OR(Q124="",AA124="Yes"),"",IF(Q124='G-1 All Habitats'!$X$9,E124-U124-V124,"None"))</f>
        <v/>
      </c>
      <c r="AF124" s="55" t="str">
        <f>IF(Q124="","",IF(Q124='G-1 All Habitats'!$X$9,AE124*G124*I124*L124*N124*P124,"None"))</f>
        <v/>
      </c>
      <c r="AI124" s="30">
        <f t="shared" si="16"/>
        <v>0</v>
      </c>
      <c r="AJ124" s="107" t="str">
        <f t="shared" si="17"/>
        <v/>
      </c>
      <c r="AK124" s="107" t="str">
        <f t="shared" si="18"/>
        <v/>
      </c>
      <c r="AM124" s="107">
        <v>115</v>
      </c>
      <c r="AO124" s="107" t="str">
        <f t="array" ref="AO124">IFERROR(INDEX($AM$10:$AM$258,MATCH(0,IF(TRUE=$AJ$10:$AJ$258,COUNTIF($AO$9:$AO123,$AM$10:$AM$258),""),0)),"")</f>
        <v/>
      </c>
      <c r="AP124" s="107" t="str">
        <f t="array" ref="AP124">IFERROR(INDEX($AM$10:$AM$258,MATCH(0,IF(TRUE=$AK$10:$AK$258,COUNTIF($AP$9:$AP123,$AM$10:$AM$258),""),0)),"")</f>
        <v/>
      </c>
      <c r="AR124" s="30" t="str">
        <f>IFERROR(INDEX('G-7 WaterC'' Data'!$AZ$3:$AZ$7,MATCH(D124,'G-7 WaterC'' Data'!$AY$3:$AY$7,0)),"")</f>
        <v/>
      </c>
      <c r="AS124" s="30" t="str">
        <f>IFERROR(INDEX('G-7 WaterC'' Data'!AZ124:AZ128,MATCH(D124,'G-7 WaterC'' Data'!$AY$10:$AY$14,0)),"")</f>
        <v/>
      </c>
      <c r="AT124" s="885" t="str">
        <f>IF(AND(OR(AA124="Yes",AA124="Pending"),Q124='G-7 WaterC'' Data'!$G$4),R124-W124-X124,"")</f>
        <v/>
      </c>
      <c r="AU124" s="30" t="str">
        <f>IF(D124="","",VLOOKUP(D124,'G-7 WaterC'' Data'!B$4:M$8,12,FALSE))</f>
        <v/>
      </c>
      <c r="AV124" s="30" t="str">
        <f t="shared" si="10"/>
        <v/>
      </c>
      <c r="AX124" s="30" t="str">
        <f t="shared" si="19"/>
        <v>No</v>
      </c>
    </row>
    <row r="125" spans="3:50" ht="14" hidden="1">
      <c r="C125" s="97">
        <v>116</v>
      </c>
      <c r="D125" s="261"/>
      <c r="E125" s="115"/>
      <c r="F125" s="275" t="str">
        <f>IF(D125="","",VLOOKUP(D125,'G-7 WaterC'' Data'!$B$2:$G$8,2,FALSE))</f>
        <v/>
      </c>
      <c r="G125" s="276" t="str">
        <f>IFERROR(VLOOKUP(F125,'G-7 WaterC'' Data'!$C$4:$D$8,2,FALSE),"")</f>
        <v/>
      </c>
      <c r="H125" s="52"/>
      <c r="I125" s="276" t="str">
        <f>IFERROR(INDEX('G-7 WaterC'' Data'!$H$4:$L$8,MATCH(D125,'G-7 WaterC'' Data'!$B$4:$B$8,0),MATCH(H125,'G-7 WaterC'' Data'!$H$3:$L$3,0)),"")</f>
        <v/>
      </c>
      <c r="J125" s="777"/>
      <c r="K125" s="311" t="str">
        <f>IF(J125="","",IF(VLOOKUP(J125,'G-7 WaterC'' Data'!$AK$4:$AM$6,2,FALSE)=0,"Spatial Data Missing ⚠",VLOOKUP(J125,'G-7 WaterC'' Data'!$AK$4:$AM$6,2,FALSE)))</f>
        <v/>
      </c>
      <c r="L125" s="281" t="str">
        <f>IF(J125="","",IF(VLOOKUP(J125,'G-7 WaterC'' Data'!$AK$4:$AM$9,3,FALSE)=0,"Spatial Data Missing ⚠",VLOOKUP(J125,'G-7 WaterC'' Data'!$AK$4:$AM$6,3,FALSE)))</f>
        <v/>
      </c>
      <c r="M125" s="52"/>
      <c r="N125" s="276" t="str">
        <f>IF(M125="","",IF(AND(D125&lt;&gt;"Culvert",M125="N/A - Culvert"),"Not possible ▲",IF(AND(D125="Culvert",M125&lt;&gt;"N/A - Culvert"),"Not possible ▲",IF(VLOOKUP(M125,'G-7 WaterC'' Data'!$AA$4:$AB$7,2,FALSE)=0,"Spatial Data Missing ⚠",VLOOKUP(M125,'G-7 WaterC'' Data'!$AA$4:$AB$7,2,FALSE)))))</f>
        <v/>
      </c>
      <c r="O125" s="56"/>
      <c r="P125" s="276" t="str">
        <f>IF(O125="","",IF(AND(O125="N/A - Culvert",D125&lt;&gt;"Culvert"),"Not possible ▲",IF(AND(D125="Culvert",O125&lt;&gt;"N/A - Culvert"),"Not possible ▲",IF(VLOOKUP(O125,'G-7 WaterC'' Data'!$AD$4:$AE$14,2,FALSE)=0,"Spatial Data Missing ⚠",VLOOKUP(O125,'G-7 WaterC'' Data'!$AD$4:$AE$14,2,FALSE)))))</f>
        <v/>
      </c>
      <c r="Q125" s="282" t="str">
        <f>IF(D125="","",VLOOKUP(D125,'G-7 WaterC'' Data'!$B$2:$G$8,6,FALSE))</f>
        <v/>
      </c>
      <c r="R125" s="289" t="str">
        <f t="shared" si="11"/>
        <v xml:space="preserve"> </v>
      </c>
      <c r="S125" s="803" t="str">
        <f t="shared" si="12"/>
        <v/>
      </c>
      <c r="T125" s="32"/>
      <c r="U125" s="101"/>
      <c r="V125" s="108"/>
      <c r="W125" s="287" t="str">
        <f t="shared" si="13"/>
        <v/>
      </c>
      <c r="X125" s="287" t="str">
        <f t="shared" si="14"/>
        <v/>
      </c>
      <c r="Y125" s="287" t="str">
        <f t="shared" si="15"/>
        <v/>
      </c>
      <c r="Z125" s="317" t="str">
        <f>IFERROR(IF(OR(E125="",R125=""),"",IF(AND(Q125='G-7 WaterC'' Data'!$G$4,AA125="Yes"),"Alternative Compensation ✓",IF(AND(AA125="Pending",Q125='G-7 WaterC'' Data'!$G$4),"Bespoke compensation must be agreed ▲",IF((W125+X125)&gt;=R125,0,R125-W125-X125)))),"Check Data ⚠")</f>
        <v/>
      </c>
      <c r="AA125" s="800"/>
      <c r="AB125" s="136"/>
      <c r="AC125" s="104"/>
      <c r="AD125" s="104"/>
      <c r="AE125" s="54" t="str">
        <f>IF(OR(Q125="",AA125="Yes"),"",IF(Q125='G-1 All Habitats'!$X$9,E125-U125-V125,"None"))</f>
        <v/>
      </c>
      <c r="AF125" s="55" t="str">
        <f>IF(Q125="","",IF(Q125='G-1 All Habitats'!$X$9,AE125*G125*I125*L125*N125*P125,"None"))</f>
        <v/>
      </c>
      <c r="AI125" s="30">
        <f t="shared" si="16"/>
        <v>0</v>
      </c>
      <c r="AJ125" s="107" t="str">
        <f t="shared" si="17"/>
        <v/>
      </c>
      <c r="AK125" s="107" t="str">
        <f t="shared" si="18"/>
        <v/>
      </c>
      <c r="AM125" s="107">
        <v>116</v>
      </c>
      <c r="AO125" s="107" t="str">
        <f t="array" ref="AO125">IFERROR(INDEX($AM$10:$AM$258,MATCH(0,IF(TRUE=$AJ$10:$AJ$258,COUNTIF($AO$9:$AO124,$AM$10:$AM$258),""),0)),"")</f>
        <v/>
      </c>
      <c r="AP125" s="107" t="str">
        <f t="array" ref="AP125">IFERROR(INDEX($AM$10:$AM$258,MATCH(0,IF(TRUE=$AK$10:$AK$258,COUNTIF($AP$9:$AP124,$AM$10:$AM$258),""),0)),"")</f>
        <v/>
      </c>
      <c r="AR125" s="30" t="str">
        <f>IFERROR(INDEX('G-7 WaterC'' Data'!$AZ$3:$AZ$7,MATCH(D125,'G-7 WaterC'' Data'!$AY$3:$AY$7,0)),"")</f>
        <v/>
      </c>
      <c r="AS125" s="30" t="str">
        <f>IFERROR(INDEX('G-7 WaterC'' Data'!AZ125:AZ129,MATCH(D125,'G-7 WaterC'' Data'!$AY$10:$AY$14,0)),"")</f>
        <v/>
      </c>
      <c r="AT125" s="885" t="str">
        <f>IF(AND(OR(AA125="Yes",AA125="Pending"),Q125='G-7 WaterC'' Data'!$G$4),R125-W125-X125,"")</f>
        <v/>
      </c>
      <c r="AU125" s="30" t="str">
        <f>IF(D125="","",VLOOKUP(D125,'G-7 WaterC'' Data'!B$4:M$8,12,FALSE))</f>
        <v/>
      </c>
      <c r="AV125" s="30" t="str">
        <f t="shared" si="10"/>
        <v/>
      </c>
      <c r="AX125" s="30" t="str">
        <f t="shared" si="19"/>
        <v>No</v>
      </c>
    </row>
    <row r="126" spans="3:50" ht="14" hidden="1">
      <c r="C126" s="97">
        <v>117</v>
      </c>
      <c r="D126" s="261"/>
      <c r="E126" s="115"/>
      <c r="F126" s="275" t="str">
        <f>IF(D126="","",VLOOKUP(D126,'G-7 WaterC'' Data'!$B$2:$G$8,2,FALSE))</f>
        <v/>
      </c>
      <c r="G126" s="276" t="str">
        <f>IFERROR(VLOOKUP(F126,'G-7 WaterC'' Data'!$C$4:$D$8,2,FALSE),"")</f>
        <v/>
      </c>
      <c r="H126" s="52"/>
      <c r="I126" s="276" t="str">
        <f>IFERROR(INDEX('G-7 WaterC'' Data'!$H$4:$L$8,MATCH(D126,'G-7 WaterC'' Data'!$B$4:$B$8,0),MATCH(H126,'G-7 WaterC'' Data'!$H$3:$L$3,0)),"")</f>
        <v/>
      </c>
      <c r="J126" s="777"/>
      <c r="K126" s="311" t="str">
        <f>IF(J126="","",IF(VLOOKUP(J126,'G-7 WaterC'' Data'!$AK$4:$AM$6,2,FALSE)=0,"Spatial Data Missing ⚠",VLOOKUP(J126,'G-7 WaterC'' Data'!$AK$4:$AM$6,2,FALSE)))</f>
        <v/>
      </c>
      <c r="L126" s="281" t="str">
        <f>IF(J126="","",IF(VLOOKUP(J126,'G-7 WaterC'' Data'!$AK$4:$AM$9,3,FALSE)=0,"Spatial Data Missing ⚠",VLOOKUP(J126,'G-7 WaterC'' Data'!$AK$4:$AM$6,3,FALSE)))</f>
        <v/>
      </c>
      <c r="M126" s="52"/>
      <c r="N126" s="276" t="str">
        <f>IF(M126="","",IF(AND(D126&lt;&gt;"Culvert",M126="N/A - Culvert"),"Not possible ▲",IF(AND(D126="Culvert",M126&lt;&gt;"N/A - Culvert"),"Not possible ▲",IF(VLOOKUP(M126,'G-7 WaterC'' Data'!$AA$4:$AB$7,2,FALSE)=0,"Spatial Data Missing ⚠",VLOOKUP(M126,'G-7 WaterC'' Data'!$AA$4:$AB$7,2,FALSE)))))</f>
        <v/>
      </c>
      <c r="O126" s="56"/>
      <c r="P126" s="276" t="str">
        <f>IF(O126="","",IF(AND(O126="N/A - Culvert",D126&lt;&gt;"Culvert"),"Not possible ▲",IF(AND(D126="Culvert",O126&lt;&gt;"N/A - Culvert"),"Not possible ▲",IF(VLOOKUP(O126,'G-7 WaterC'' Data'!$AD$4:$AE$14,2,FALSE)=0,"Spatial Data Missing ⚠",VLOOKUP(O126,'G-7 WaterC'' Data'!$AD$4:$AE$14,2,FALSE)))))</f>
        <v/>
      </c>
      <c r="Q126" s="282" t="str">
        <f>IF(D126="","",VLOOKUP(D126,'G-7 WaterC'' Data'!$B$2:$G$8,6,FALSE))</f>
        <v/>
      </c>
      <c r="R126" s="289" t="str">
        <f t="shared" si="11"/>
        <v xml:space="preserve"> </v>
      </c>
      <c r="S126" s="803" t="str">
        <f t="shared" si="12"/>
        <v/>
      </c>
      <c r="T126" s="32"/>
      <c r="U126" s="101"/>
      <c r="V126" s="108"/>
      <c r="W126" s="287" t="str">
        <f t="shared" si="13"/>
        <v/>
      </c>
      <c r="X126" s="287" t="str">
        <f t="shared" si="14"/>
        <v/>
      </c>
      <c r="Y126" s="287" t="str">
        <f t="shared" si="15"/>
        <v/>
      </c>
      <c r="Z126" s="317" t="str">
        <f>IFERROR(IF(OR(E126="",R126=""),"",IF(AND(Q126='G-7 WaterC'' Data'!$G$4,AA126="Yes"),"Alternative Compensation ✓",IF(AND(AA126="Pending",Q126='G-7 WaterC'' Data'!$G$4),"Bespoke compensation must be agreed ▲",IF((W126+X126)&gt;=R126,0,R126-W126-X126)))),"Check Data ⚠")</f>
        <v/>
      </c>
      <c r="AA126" s="800"/>
      <c r="AB126" s="136"/>
      <c r="AC126" s="104"/>
      <c r="AD126" s="104"/>
      <c r="AE126" s="54" t="str">
        <f>IF(OR(Q126="",AA126="Yes"),"",IF(Q126='G-1 All Habitats'!$X$9,E126-U126-V126,"None"))</f>
        <v/>
      </c>
      <c r="AF126" s="55" t="str">
        <f>IF(Q126="","",IF(Q126='G-1 All Habitats'!$X$9,AE126*G126*I126*L126*N126*P126,"None"))</f>
        <v/>
      </c>
      <c r="AI126" s="30">
        <f t="shared" si="16"/>
        <v>0</v>
      </c>
      <c r="AJ126" s="107" t="str">
        <f t="shared" si="17"/>
        <v/>
      </c>
      <c r="AK126" s="107" t="str">
        <f t="shared" si="18"/>
        <v/>
      </c>
      <c r="AM126" s="107">
        <v>117</v>
      </c>
      <c r="AO126" s="107" t="str">
        <f t="array" ref="AO126">IFERROR(INDEX($AM$10:$AM$258,MATCH(0,IF(TRUE=$AJ$10:$AJ$258,COUNTIF($AO$9:$AO125,$AM$10:$AM$258),""),0)),"")</f>
        <v/>
      </c>
      <c r="AP126" s="107" t="str">
        <f t="array" ref="AP126">IFERROR(INDEX($AM$10:$AM$258,MATCH(0,IF(TRUE=$AK$10:$AK$258,COUNTIF($AP$9:$AP125,$AM$10:$AM$258),""),0)),"")</f>
        <v/>
      </c>
      <c r="AR126" s="30" t="str">
        <f>IFERROR(INDEX('G-7 WaterC'' Data'!$AZ$3:$AZ$7,MATCH(D126,'G-7 WaterC'' Data'!$AY$3:$AY$7,0)),"")</f>
        <v/>
      </c>
      <c r="AS126" s="30" t="str">
        <f>IFERROR(INDEX('G-7 WaterC'' Data'!AZ126:AZ130,MATCH(D126,'G-7 WaterC'' Data'!$AY$10:$AY$14,0)),"")</f>
        <v/>
      </c>
      <c r="AT126" s="885" t="str">
        <f>IF(AND(OR(AA126="Yes",AA126="Pending"),Q126='G-7 WaterC'' Data'!$G$4),R126-W126-X126,"")</f>
        <v/>
      </c>
      <c r="AU126" s="30" t="str">
        <f>IF(D126="","",VLOOKUP(D126,'G-7 WaterC'' Data'!B$4:M$8,12,FALSE))</f>
        <v/>
      </c>
      <c r="AV126" s="30" t="str">
        <f t="shared" si="10"/>
        <v/>
      </c>
      <c r="AX126" s="30" t="str">
        <f t="shared" si="19"/>
        <v>No</v>
      </c>
    </row>
    <row r="127" spans="3:50" ht="14" hidden="1">
      <c r="C127" s="97">
        <v>118</v>
      </c>
      <c r="D127" s="261"/>
      <c r="E127" s="115"/>
      <c r="F127" s="275" t="str">
        <f>IF(D127="","",VLOOKUP(D127,'G-7 WaterC'' Data'!$B$2:$G$8,2,FALSE))</f>
        <v/>
      </c>
      <c r="G127" s="276" t="str">
        <f>IFERROR(VLOOKUP(F127,'G-7 WaterC'' Data'!$C$4:$D$8,2,FALSE),"")</f>
        <v/>
      </c>
      <c r="H127" s="52"/>
      <c r="I127" s="276" t="str">
        <f>IFERROR(INDEX('G-7 WaterC'' Data'!$H$4:$L$8,MATCH(D127,'G-7 WaterC'' Data'!$B$4:$B$8,0),MATCH(H127,'G-7 WaterC'' Data'!$H$3:$L$3,0)),"")</f>
        <v/>
      </c>
      <c r="J127" s="777"/>
      <c r="K127" s="311" t="str">
        <f>IF(J127="","",IF(VLOOKUP(J127,'G-7 WaterC'' Data'!$AK$4:$AM$6,2,FALSE)=0,"Spatial Data Missing ⚠",VLOOKUP(J127,'G-7 WaterC'' Data'!$AK$4:$AM$6,2,FALSE)))</f>
        <v/>
      </c>
      <c r="L127" s="281" t="str">
        <f>IF(J127="","",IF(VLOOKUP(J127,'G-7 WaterC'' Data'!$AK$4:$AM$9,3,FALSE)=0,"Spatial Data Missing ⚠",VLOOKUP(J127,'G-7 WaterC'' Data'!$AK$4:$AM$6,3,FALSE)))</f>
        <v/>
      </c>
      <c r="M127" s="52"/>
      <c r="N127" s="276" t="str">
        <f>IF(M127="","",IF(AND(D127&lt;&gt;"Culvert",M127="N/A - Culvert"),"Not possible ▲",IF(AND(D127="Culvert",M127&lt;&gt;"N/A - Culvert"),"Not possible ▲",IF(VLOOKUP(M127,'G-7 WaterC'' Data'!$AA$4:$AB$7,2,FALSE)=0,"Spatial Data Missing ⚠",VLOOKUP(M127,'G-7 WaterC'' Data'!$AA$4:$AB$7,2,FALSE)))))</f>
        <v/>
      </c>
      <c r="O127" s="56"/>
      <c r="P127" s="276" t="str">
        <f>IF(O127="","",IF(AND(O127="N/A - Culvert",D127&lt;&gt;"Culvert"),"Not possible ▲",IF(AND(D127="Culvert",O127&lt;&gt;"N/A - Culvert"),"Not possible ▲",IF(VLOOKUP(O127,'G-7 WaterC'' Data'!$AD$4:$AE$14,2,FALSE)=0,"Spatial Data Missing ⚠",VLOOKUP(O127,'G-7 WaterC'' Data'!$AD$4:$AE$14,2,FALSE)))))</f>
        <v/>
      </c>
      <c r="Q127" s="282" t="str">
        <f>IF(D127="","",VLOOKUP(D127,'G-7 WaterC'' Data'!$B$2:$G$8,6,FALSE))</f>
        <v/>
      </c>
      <c r="R127" s="289" t="str">
        <f t="shared" si="11"/>
        <v xml:space="preserve"> </v>
      </c>
      <c r="S127" s="803" t="str">
        <f t="shared" si="12"/>
        <v/>
      </c>
      <c r="T127" s="32"/>
      <c r="U127" s="101"/>
      <c r="V127" s="108"/>
      <c r="W127" s="287" t="str">
        <f t="shared" si="13"/>
        <v/>
      </c>
      <c r="X127" s="287" t="str">
        <f t="shared" si="14"/>
        <v/>
      </c>
      <c r="Y127" s="287" t="str">
        <f t="shared" si="15"/>
        <v/>
      </c>
      <c r="Z127" s="317" t="str">
        <f>IFERROR(IF(OR(E127="",R127=""),"",IF(AND(Q127='G-7 WaterC'' Data'!$G$4,AA127="Yes"),"Alternative Compensation ✓",IF(AND(AA127="Pending",Q127='G-7 WaterC'' Data'!$G$4),"Bespoke compensation must be agreed ▲",IF((W127+X127)&gt;=R127,0,R127-W127-X127)))),"Check Data ⚠")</f>
        <v/>
      </c>
      <c r="AA127" s="800"/>
      <c r="AB127" s="136"/>
      <c r="AC127" s="104"/>
      <c r="AD127" s="104"/>
      <c r="AE127" s="54" t="str">
        <f>IF(OR(Q127="",AA127="Yes"),"",IF(Q127='G-1 All Habitats'!$X$9,E127-U127-V127,"None"))</f>
        <v/>
      </c>
      <c r="AF127" s="55" t="str">
        <f>IF(Q127="","",IF(Q127='G-1 All Habitats'!$X$9,AE127*G127*I127*L127*N127*P127,"None"))</f>
        <v/>
      </c>
      <c r="AI127" s="30">
        <f t="shared" si="16"/>
        <v>0</v>
      </c>
      <c r="AJ127" s="107" t="str">
        <f t="shared" si="17"/>
        <v/>
      </c>
      <c r="AK127" s="107" t="str">
        <f t="shared" si="18"/>
        <v/>
      </c>
      <c r="AM127" s="107">
        <v>118</v>
      </c>
      <c r="AO127" s="107" t="str">
        <f t="array" ref="AO127">IFERROR(INDEX($AM$10:$AM$258,MATCH(0,IF(TRUE=$AJ$10:$AJ$258,COUNTIF($AO$9:$AO126,$AM$10:$AM$258),""),0)),"")</f>
        <v/>
      </c>
      <c r="AP127" s="107" t="str">
        <f t="array" ref="AP127">IFERROR(INDEX($AM$10:$AM$258,MATCH(0,IF(TRUE=$AK$10:$AK$258,COUNTIF($AP$9:$AP126,$AM$10:$AM$258),""),0)),"")</f>
        <v/>
      </c>
      <c r="AR127" s="30" t="str">
        <f>IFERROR(INDEX('G-7 WaterC'' Data'!$AZ$3:$AZ$7,MATCH(D127,'G-7 WaterC'' Data'!$AY$3:$AY$7,0)),"")</f>
        <v/>
      </c>
      <c r="AS127" s="30" t="str">
        <f>IFERROR(INDEX('G-7 WaterC'' Data'!AZ127:AZ131,MATCH(D127,'G-7 WaterC'' Data'!$AY$10:$AY$14,0)),"")</f>
        <v/>
      </c>
      <c r="AT127" s="885" t="str">
        <f>IF(AND(OR(AA127="Yes",AA127="Pending"),Q127='G-7 WaterC'' Data'!$G$4),R127-W127-X127,"")</f>
        <v/>
      </c>
      <c r="AU127" s="30" t="str">
        <f>IF(D127="","",VLOOKUP(D127,'G-7 WaterC'' Data'!B$4:M$8,12,FALSE))</f>
        <v/>
      </c>
      <c r="AV127" s="30" t="str">
        <f t="shared" si="10"/>
        <v/>
      </c>
      <c r="AX127" s="30" t="str">
        <f t="shared" si="19"/>
        <v>No</v>
      </c>
    </row>
    <row r="128" spans="3:50" ht="14" hidden="1">
      <c r="C128" s="97">
        <v>119</v>
      </c>
      <c r="D128" s="261"/>
      <c r="E128" s="115"/>
      <c r="F128" s="275" t="str">
        <f>IF(D128="","",VLOOKUP(D128,'G-7 WaterC'' Data'!$B$2:$G$8,2,FALSE))</f>
        <v/>
      </c>
      <c r="G128" s="276" t="str">
        <f>IFERROR(VLOOKUP(F128,'G-7 WaterC'' Data'!$C$4:$D$8,2,FALSE),"")</f>
        <v/>
      </c>
      <c r="H128" s="52"/>
      <c r="I128" s="276" t="str">
        <f>IFERROR(INDEX('G-7 WaterC'' Data'!$H$4:$L$8,MATCH(D128,'G-7 WaterC'' Data'!$B$4:$B$8,0),MATCH(H128,'G-7 WaterC'' Data'!$H$3:$L$3,0)),"")</f>
        <v/>
      </c>
      <c r="J128" s="777"/>
      <c r="K128" s="311" t="str">
        <f>IF(J128="","",IF(VLOOKUP(J128,'G-7 WaterC'' Data'!$AK$4:$AM$6,2,FALSE)=0,"Spatial Data Missing ⚠",VLOOKUP(J128,'G-7 WaterC'' Data'!$AK$4:$AM$6,2,FALSE)))</f>
        <v/>
      </c>
      <c r="L128" s="281" t="str">
        <f>IF(J128="","",IF(VLOOKUP(J128,'G-7 WaterC'' Data'!$AK$4:$AM$9,3,FALSE)=0,"Spatial Data Missing ⚠",VLOOKUP(J128,'G-7 WaterC'' Data'!$AK$4:$AM$6,3,FALSE)))</f>
        <v/>
      </c>
      <c r="M128" s="52"/>
      <c r="N128" s="276" t="str">
        <f>IF(M128="","",IF(AND(D128&lt;&gt;"Culvert",M128="N/A - Culvert"),"Not possible ▲",IF(AND(D128="Culvert",M128&lt;&gt;"N/A - Culvert"),"Not possible ▲",IF(VLOOKUP(M128,'G-7 WaterC'' Data'!$AA$4:$AB$7,2,FALSE)=0,"Spatial Data Missing ⚠",VLOOKUP(M128,'G-7 WaterC'' Data'!$AA$4:$AB$7,2,FALSE)))))</f>
        <v/>
      </c>
      <c r="O128" s="56"/>
      <c r="P128" s="276" t="str">
        <f>IF(O128="","",IF(AND(O128="N/A - Culvert",D128&lt;&gt;"Culvert"),"Not possible ▲",IF(AND(D128="Culvert",O128&lt;&gt;"N/A - Culvert"),"Not possible ▲",IF(VLOOKUP(O128,'G-7 WaterC'' Data'!$AD$4:$AE$14,2,FALSE)=0,"Spatial Data Missing ⚠",VLOOKUP(O128,'G-7 WaterC'' Data'!$AD$4:$AE$14,2,FALSE)))))</f>
        <v/>
      </c>
      <c r="Q128" s="282" t="str">
        <f>IF(D128="","",VLOOKUP(D128,'G-7 WaterC'' Data'!$B$2:$G$8,6,FALSE))</f>
        <v/>
      </c>
      <c r="R128" s="289" t="str">
        <f t="shared" si="11"/>
        <v xml:space="preserve"> </v>
      </c>
      <c r="S128" s="803" t="str">
        <f t="shared" si="12"/>
        <v/>
      </c>
      <c r="T128" s="32"/>
      <c r="U128" s="101"/>
      <c r="V128" s="108"/>
      <c r="W128" s="287" t="str">
        <f t="shared" si="13"/>
        <v/>
      </c>
      <c r="X128" s="287" t="str">
        <f t="shared" si="14"/>
        <v/>
      </c>
      <c r="Y128" s="287" t="str">
        <f t="shared" si="15"/>
        <v/>
      </c>
      <c r="Z128" s="317" t="str">
        <f>IFERROR(IF(OR(E128="",R128=""),"",IF(AND(Q128='G-7 WaterC'' Data'!$G$4,AA128="Yes"),"Alternative Compensation ✓",IF(AND(AA128="Pending",Q128='G-7 WaterC'' Data'!$G$4),"Bespoke compensation must be agreed ▲",IF((W128+X128)&gt;=R128,0,R128-W128-X128)))),"Check Data ⚠")</f>
        <v/>
      </c>
      <c r="AA128" s="800"/>
      <c r="AB128" s="136"/>
      <c r="AC128" s="104"/>
      <c r="AD128" s="104"/>
      <c r="AE128" s="54" t="str">
        <f>IF(OR(Q128="",AA128="Yes"),"",IF(Q128='G-1 All Habitats'!$X$9,E128-U128-V128,"None"))</f>
        <v/>
      </c>
      <c r="AF128" s="55" t="str">
        <f>IF(Q128="","",IF(Q128='G-1 All Habitats'!$X$9,AE128*G128*I128*L128*N128*P128,"None"))</f>
        <v/>
      </c>
      <c r="AI128" s="30">
        <f t="shared" si="16"/>
        <v>0</v>
      </c>
      <c r="AJ128" s="107" t="str">
        <f t="shared" si="17"/>
        <v/>
      </c>
      <c r="AK128" s="107" t="str">
        <f t="shared" si="18"/>
        <v/>
      </c>
      <c r="AM128" s="107">
        <v>119</v>
      </c>
      <c r="AO128" s="107" t="str">
        <f t="array" ref="AO128">IFERROR(INDEX($AM$10:$AM$258,MATCH(0,IF(TRUE=$AJ$10:$AJ$258,COUNTIF($AO$9:$AO127,$AM$10:$AM$258),""),0)),"")</f>
        <v/>
      </c>
      <c r="AP128" s="107" t="str">
        <f t="array" ref="AP128">IFERROR(INDEX($AM$10:$AM$258,MATCH(0,IF(TRUE=$AK$10:$AK$258,COUNTIF($AP$9:$AP127,$AM$10:$AM$258),""),0)),"")</f>
        <v/>
      </c>
      <c r="AR128" s="30" t="str">
        <f>IFERROR(INDEX('G-7 WaterC'' Data'!$AZ$3:$AZ$7,MATCH(D128,'G-7 WaterC'' Data'!$AY$3:$AY$7,0)),"")</f>
        <v/>
      </c>
      <c r="AS128" s="30" t="str">
        <f>IFERROR(INDEX('G-7 WaterC'' Data'!AZ128:AZ132,MATCH(D128,'G-7 WaterC'' Data'!$AY$10:$AY$14,0)),"")</f>
        <v/>
      </c>
      <c r="AT128" s="885" t="str">
        <f>IF(AND(OR(AA128="Yes",AA128="Pending"),Q128='G-7 WaterC'' Data'!$G$4),R128-W128-X128,"")</f>
        <v/>
      </c>
      <c r="AU128" s="30" t="str">
        <f>IF(D128="","",VLOOKUP(D128,'G-7 WaterC'' Data'!B$4:M$8,12,FALSE))</f>
        <v/>
      </c>
      <c r="AV128" s="30" t="str">
        <f t="shared" si="10"/>
        <v/>
      </c>
      <c r="AX128" s="30" t="str">
        <f t="shared" si="19"/>
        <v>No</v>
      </c>
    </row>
    <row r="129" spans="3:50" ht="14" hidden="1">
      <c r="C129" s="97">
        <v>120</v>
      </c>
      <c r="D129" s="261"/>
      <c r="E129" s="115"/>
      <c r="F129" s="275" t="str">
        <f>IF(D129="","",VLOOKUP(D129,'G-7 WaterC'' Data'!$B$2:$G$8,2,FALSE))</f>
        <v/>
      </c>
      <c r="G129" s="276" t="str">
        <f>IFERROR(VLOOKUP(F129,'G-7 WaterC'' Data'!$C$4:$D$8,2,FALSE),"")</f>
        <v/>
      </c>
      <c r="H129" s="52"/>
      <c r="I129" s="276" t="str">
        <f>IFERROR(INDEX('G-7 WaterC'' Data'!$H$4:$L$8,MATCH(D129,'G-7 WaterC'' Data'!$B$4:$B$8,0),MATCH(H129,'G-7 WaterC'' Data'!$H$3:$L$3,0)),"")</f>
        <v/>
      </c>
      <c r="J129" s="777"/>
      <c r="K129" s="311" t="str">
        <f>IF(J129="","",IF(VLOOKUP(J129,'G-7 WaterC'' Data'!$AK$4:$AM$6,2,FALSE)=0,"Spatial Data Missing ⚠",VLOOKUP(J129,'G-7 WaterC'' Data'!$AK$4:$AM$6,2,FALSE)))</f>
        <v/>
      </c>
      <c r="L129" s="281" t="str">
        <f>IF(J129="","",IF(VLOOKUP(J129,'G-7 WaterC'' Data'!$AK$4:$AM$9,3,FALSE)=0,"Spatial Data Missing ⚠",VLOOKUP(J129,'G-7 WaterC'' Data'!$AK$4:$AM$6,3,FALSE)))</f>
        <v/>
      </c>
      <c r="M129" s="52"/>
      <c r="N129" s="276" t="str">
        <f>IF(M129="","",IF(AND(D129&lt;&gt;"Culvert",M129="N/A - Culvert"),"Not possible ▲",IF(AND(D129="Culvert",M129&lt;&gt;"N/A - Culvert"),"Not possible ▲",IF(VLOOKUP(M129,'G-7 WaterC'' Data'!$AA$4:$AB$7,2,FALSE)=0,"Spatial Data Missing ⚠",VLOOKUP(M129,'G-7 WaterC'' Data'!$AA$4:$AB$7,2,FALSE)))))</f>
        <v/>
      </c>
      <c r="O129" s="56"/>
      <c r="P129" s="276" t="str">
        <f>IF(O129="","",IF(AND(O129="N/A - Culvert",D129&lt;&gt;"Culvert"),"Not possible ▲",IF(AND(D129="Culvert",O129&lt;&gt;"N/A - Culvert"),"Not possible ▲",IF(VLOOKUP(O129,'G-7 WaterC'' Data'!$AD$4:$AE$14,2,FALSE)=0,"Spatial Data Missing ⚠",VLOOKUP(O129,'G-7 WaterC'' Data'!$AD$4:$AE$14,2,FALSE)))))</f>
        <v/>
      </c>
      <c r="Q129" s="282" t="str">
        <f>IF(D129="","",VLOOKUP(D129,'G-7 WaterC'' Data'!$B$2:$G$8,6,FALSE))</f>
        <v/>
      </c>
      <c r="R129" s="289" t="str">
        <f t="shared" si="11"/>
        <v xml:space="preserve"> </v>
      </c>
      <c r="S129" s="803" t="str">
        <f t="shared" si="12"/>
        <v/>
      </c>
      <c r="T129" s="32"/>
      <c r="U129" s="101"/>
      <c r="V129" s="108"/>
      <c r="W129" s="287" t="str">
        <f t="shared" si="13"/>
        <v/>
      </c>
      <c r="X129" s="287" t="str">
        <f t="shared" si="14"/>
        <v/>
      </c>
      <c r="Y129" s="287" t="str">
        <f t="shared" si="15"/>
        <v/>
      </c>
      <c r="Z129" s="317" t="str">
        <f>IFERROR(IF(OR(E129="",R129=""),"",IF(AND(Q129='G-7 WaterC'' Data'!$G$4,AA129="Yes"),"Alternative Compensation ✓",IF(AND(AA129="Pending",Q129='G-7 WaterC'' Data'!$G$4),"Bespoke compensation must be agreed ▲",IF((W129+X129)&gt;=R129,0,R129-W129-X129)))),"Check Data ⚠")</f>
        <v/>
      </c>
      <c r="AA129" s="800"/>
      <c r="AB129" s="136"/>
      <c r="AC129" s="104"/>
      <c r="AD129" s="104"/>
      <c r="AE129" s="54" t="str">
        <f>IF(OR(Q129="",AA129="Yes"),"",IF(Q129='G-1 All Habitats'!$X$9,E129-U129-V129,"None"))</f>
        <v/>
      </c>
      <c r="AF129" s="55" t="str">
        <f>IF(Q129="","",IF(Q129='G-1 All Habitats'!$X$9,AE129*G129*I129*L129*N129*P129,"None"))</f>
        <v/>
      </c>
      <c r="AI129" s="30">
        <f t="shared" si="16"/>
        <v>0</v>
      </c>
      <c r="AJ129" s="107" t="str">
        <f t="shared" si="17"/>
        <v/>
      </c>
      <c r="AK129" s="107" t="str">
        <f t="shared" si="18"/>
        <v/>
      </c>
      <c r="AM129" s="107">
        <v>120</v>
      </c>
      <c r="AO129" s="107" t="str">
        <f t="array" ref="AO129">IFERROR(INDEX($AM$10:$AM$258,MATCH(0,IF(TRUE=$AJ$10:$AJ$258,COUNTIF($AO$9:$AO128,$AM$10:$AM$258),""),0)),"")</f>
        <v/>
      </c>
      <c r="AP129" s="107" t="str">
        <f t="array" ref="AP129">IFERROR(INDEX($AM$10:$AM$258,MATCH(0,IF(TRUE=$AK$10:$AK$258,COUNTIF($AP$9:$AP128,$AM$10:$AM$258),""),0)),"")</f>
        <v/>
      </c>
      <c r="AR129" s="30" t="str">
        <f>IFERROR(INDEX('G-7 WaterC'' Data'!$AZ$3:$AZ$7,MATCH(D129,'G-7 WaterC'' Data'!$AY$3:$AY$7,0)),"")</f>
        <v/>
      </c>
      <c r="AS129" s="30" t="str">
        <f>IFERROR(INDEX('G-7 WaterC'' Data'!AZ129:AZ133,MATCH(D129,'G-7 WaterC'' Data'!$AY$10:$AY$14,0)),"")</f>
        <v/>
      </c>
      <c r="AT129" s="885" t="str">
        <f>IF(AND(OR(AA129="Yes",AA129="Pending"),Q129='G-7 WaterC'' Data'!$G$4),R129-W129-X129,"")</f>
        <v/>
      </c>
      <c r="AU129" s="30" t="str">
        <f>IF(D129="","",VLOOKUP(D129,'G-7 WaterC'' Data'!B$4:M$8,12,FALSE))</f>
        <v/>
      </c>
      <c r="AV129" s="30" t="str">
        <f t="shared" si="10"/>
        <v/>
      </c>
      <c r="AX129" s="30" t="str">
        <f t="shared" si="19"/>
        <v>No</v>
      </c>
    </row>
    <row r="130" spans="3:50" ht="14" hidden="1">
      <c r="C130" s="97">
        <v>121</v>
      </c>
      <c r="D130" s="261"/>
      <c r="E130" s="115"/>
      <c r="F130" s="275" t="str">
        <f>IF(D130="","",VLOOKUP(D130,'G-7 WaterC'' Data'!$B$2:$G$8,2,FALSE))</f>
        <v/>
      </c>
      <c r="G130" s="276" t="str">
        <f>IFERROR(VLOOKUP(F130,'G-7 WaterC'' Data'!$C$4:$D$8,2,FALSE),"")</f>
        <v/>
      </c>
      <c r="H130" s="52"/>
      <c r="I130" s="276" t="str">
        <f>IFERROR(INDEX('G-7 WaterC'' Data'!$H$4:$L$8,MATCH(D130,'G-7 WaterC'' Data'!$B$4:$B$8,0),MATCH(H130,'G-7 WaterC'' Data'!$H$3:$L$3,0)),"")</f>
        <v/>
      </c>
      <c r="J130" s="777"/>
      <c r="K130" s="311" t="str">
        <f>IF(J130="","",IF(VLOOKUP(J130,'G-7 WaterC'' Data'!$AK$4:$AM$6,2,FALSE)=0,"Spatial Data Missing ⚠",VLOOKUP(J130,'G-7 WaterC'' Data'!$AK$4:$AM$6,2,FALSE)))</f>
        <v/>
      </c>
      <c r="L130" s="281" t="str">
        <f>IF(J130="","",IF(VLOOKUP(J130,'G-7 WaterC'' Data'!$AK$4:$AM$9,3,FALSE)=0,"Spatial Data Missing ⚠",VLOOKUP(J130,'G-7 WaterC'' Data'!$AK$4:$AM$6,3,FALSE)))</f>
        <v/>
      </c>
      <c r="M130" s="52"/>
      <c r="N130" s="276" t="str">
        <f>IF(M130="","",IF(AND(D130&lt;&gt;"Culvert",M130="N/A - Culvert"),"Not possible ▲",IF(AND(D130="Culvert",M130&lt;&gt;"N/A - Culvert"),"Not possible ▲",IF(VLOOKUP(M130,'G-7 WaterC'' Data'!$AA$4:$AB$7,2,FALSE)=0,"Spatial Data Missing ⚠",VLOOKUP(M130,'G-7 WaterC'' Data'!$AA$4:$AB$7,2,FALSE)))))</f>
        <v/>
      </c>
      <c r="O130" s="56"/>
      <c r="P130" s="276" t="str">
        <f>IF(O130="","",IF(AND(O130="N/A - Culvert",D130&lt;&gt;"Culvert"),"Not possible ▲",IF(AND(D130="Culvert",O130&lt;&gt;"N/A - Culvert"),"Not possible ▲",IF(VLOOKUP(O130,'G-7 WaterC'' Data'!$AD$4:$AE$14,2,FALSE)=0,"Spatial Data Missing ⚠",VLOOKUP(O130,'G-7 WaterC'' Data'!$AD$4:$AE$14,2,FALSE)))))</f>
        <v/>
      </c>
      <c r="Q130" s="282" t="str">
        <f>IF(D130="","",VLOOKUP(D130,'G-7 WaterC'' Data'!$B$2:$G$8,6,FALSE))</f>
        <v/>
      </c>
      <c r="R130" s="289" t="str">
        <f t="shared" si="11"/>
        <v xml:space="preserve"> </v>
      </c>
      <c r="S130" s="803" t="str">
        <f t="shared" si="12"/>
        <v/>
      </c>
      <c r="T130" s="32"/>
      <c r="U130" s="101"/>
      <c r="V130" s="108"/>
      <c r="W130" s="287" t="str">
        <f t="shared" si="13"/>
        <v/>
      </c>
      <c r="X130" s="287" t="str">
        <f t="shared" si="14"/>
        <v/>
      </c>
      <c r="Y130" s="287" t="str">
        <f t="shared" si="15"/>
        <v/>
      </c>
      <c r="Z130" s="317" t="str">
        <f>IFERROR(IF(OR(E130="",R130=""),"",IF(AND(Q130='G-7 WaterC'' Data'!$G$4,AA130="Yes"),"Alternative Compensation ✓",IF(AND(AA130="Pending",Q130='G-7 WaterC'' Data'!$G$4),"Bespoke compensation must be agreed ▲",IF((W130+X130)&gt;=R130,0,R130-W130-X130)))),"Check Data ⚠")</f>
        <v/>
      </c>
      <c r="AA130" s="800"/>
      <c r="AB130" s="136"/>
      <c r="AC130" s="104"/>
      <c r="AD130" s="104"/>
      <c r="AE130" s="54" t="str">
        <f>IF(OR(Q130="",AA130="Yes"),"",IF(Q130='G-1 All Habitats'!$X$9,E130-U130-V130,"None"))</f>
        <v/>
      </c>
      <c r="AF130" s="55" t="str">
        <f>IF(Q130="","",IF(Q130='G-1 All Habitats'!$X$9,AE130*G130*I130*L130*N130*P130,"None"))</f>
        <v/>
      </c>
      <c r="AI130" s="30">
        <f t="shared" si="16"/>
        <v>0</v>
      </c>
      <c r="AJ130" s="107" t="str">
        <f t="shared" si="17"/>
        <v/>
      </c>
      <c r="AK130" s="107" t="str">
        <f t="shared" si="18"/>
        <v/>
      </c>
      <c r="AM130" s="107">
        <v>121</v>
      </c>
      <c r="AO130" s="107" t="str">
        <f t="array" ref="AO130">IFERROR(INDEX($AM$10:$AM$258,MATCH(0,IF(TRUE=$AJ$10:$AJ$258,COUNTIF($AO$9:$AO129,$AM$10:$AM$258),""),0)),"")</f>
        <v/>
      </c>
      <c r="AP130" s="107" t="str">
        <f t="array" ref="AP130">IFERROR(INDEX($AM$10:$AM$258,MATCH(0,IF(TRUE=$AK$10:$AK$258,COUNTIF($AP$9:$AP129,$AM$10:$AM$258),""),0)),"")</f>
        <v/>
      </c>
      <c r="AR130" s="30" t="str">
        <f>IFERROR(INDEX('G-7 WaterC'' Data'!$AZ$3:$AZ$7,MATCH(D130,'G-7 WaterC'' Data'!$AY$3:$AY$7,0)),"")</f>
        <v/>
      </c>
      <c r="AS130" s="30" t="str">
        <f>IFERROR(INDEX('G-7 WaterC'' Data'!AZ130:AZ134,MATCH(D130,'G-7 WaterC'' Data'!$AY$10:$AY$14,0)),"")</f>
        <v/>
      </c>
      <c r="AT130" s="885" t="str">
        <f>IF(AND(OR(AA130="Yes",AA130="Pending"),Q130='G-7 WaterC'' Data'!$G$4),R130-W130-X130,"")</f>
        <v/>
      </c>
      <c r="AU130" s="30" t="str">
        <f>IF(D130="","",VLOOKUP(D130,'G-7 WaterC'' Data'!B$4:M$8,12,FALSE))</f>
        <v/>
      </c>
      <c r="AV130" s="30" t="str">
        <f t="shared" si="10"/>
        <v/>
      </c>
      <c r="AX130" s="30" t="str">
        <f t="shared" si="19"/>
        <v>No</v>
      </c>
    </row>
    <row r="131" spans="3:50" ht="14" hidden="1">
      <c r="C131" s="97">
        <v>122</v>
      </c>
      <c r="D131" s="261"/>
      <c r="E131" s="115"/>
      <c r="F131" s="275" t="str">
        <f>IF(D131="","",VLOOKUP(D131,'G-7 WaterC'' Data'!$B$2:$G$8,2,FALSE))</f>
        <v/>
      </c>
      <c r="G131" s="276" t="str">
        <f>IFERROR(VLOOKUP(F131,'G-7 WaterC'' Data'!$C$4:$D$8,2,FALSE),"")</f>
        <v/>
      </c>
      <c r="H131" s="52"/>
      <c r="I131" s="276" t="str">
        <f>IFERROR(INDEX('G-7 WaterC'' Data'!$H$4:$L$8,MATCH(D131,'G-7 WaterC'' Data'!$B$4:$B$8,0),MATCH(H131,'G-7 WaterC'' Data'!$H$3:$L$3,0)),"")</f>
        <v/>
      </c>
      <c r="J131" s="777"/>
      <c r="K131" s="311" t="str">
        <f>IF(J131="","",IF(VLOOKUP(J131,'G-7 WaterC'' Data'!$AK$4:$AM$6,2,FALSE)=0,"Spatial Data Missing ⚠",VLOOKUP(J131,'G-7 WaterC'' Data'!$AK$4:$AM$6,2,FALSE)))</f>
        <v/>
      </c>
      <c r="L131" s="281" t="str">
        <f>IF(J131="","",IF(VLOOKUP(J131,'G-7 WaterC'' Data'!$AK$4:$AM$9,3,FALSE)=0,"Spatial Data Missing ⚠",VLOOKUP(J131,'G-7 WaterC'' Data'!$AK$4:$AM$6,3,FALSE)))</f>
        <v/>
      </c>
      <c r="M131" s="52"/>
      <c r="N131" s="276" t="str">
        <f>IF(M131="","",IF(AND(D131&lt;&gt;"Culvert",M131="N/A - Culvert"),"Not possible ▲",IF(AND(D131="Culvert",M131&lt;&gt;"N/A - Culvert"),"Not possible ▲",IF(VLOOKUP(M131,'G-7 WaterC'' Data'!$AA$4:$AB$7,2,FALSE)=0,"Spatial Data Missing ⚠",VLOOKUP(M131,'G-7 WaterC'' Data'!$AA$4:$AB$7,2,FALSE)))))</f>
        <v/>
      </c>
      <c r="O131" s="56"/>
      <c r="P131" s="276" t="str">
        <f>IF(O131="","",IF(AND(O131="N/A - Culvert",D131&lt;&gt;"Culvert"),"Not possible ▲",IF(AND(D131="Culvert",O131&lt;&gt;"N/A - Culvert"),"Not possible ▲",IF(VLOOKUP(O131,'G-7 WaterC'' Data'!$AD$4:$AE$14,2,FALSE)=0,"Spatial Data Missing ⚠",VLOOKUP(O131,'G-7 WaterC'' Data'!$AD$4:$AE$14,2,FALSE)))))</f>
        <v/>
      </c>
      <c r="Q131" s="282" t="str">
        <f>IF(D131="","",VLOOKUP(D131,'G-7 WaterC'' Data'!$B$2:$G$8,6,FALSE))</f>
        <v/>
      </c>
      <c r="R131" s="289" t="str">
        <f t="shared" si="11"/>
        <v xml:space="preserve"> </v>
      </c>
      <c r="S131" s="803" t="str">
        <f t="shared" si="12"/>
        <v/>
      </c>
      <c r="T131" s="32"/>
      <c r="U131" s="101"/>
      <c r="V131" s="108"/>
      <c r="W131" s="287" t="str">
        <f t="shared" si="13"/>
        <v/>
      </c>
      <c r="X131" s="287" t="str">
        <f t="shared" si="14"/>
        <v/>
      </c>
      <c r="Y131" s="287" t="str">
        <f t="shared" si="15"/>
        <v/>
      </c>
      <c r="Z131" s="317" t="str">
        <f>IFERROR(IF(OR(E131="",R131=""),"",IF(AND(Q131='G-7 WaterC'' Data'!$G$4,AA131="Yes"),"Alternative Compensation ✓",IF(AND(AA131="Pending",Q131='G-7 WaterC'' Data'!$G$4),"Bespoke compensation must be agreed ▲",IF((W131+X131)&gt;=R131,0,R131-W131-X131)))),"Check Data ⚠")</f>
        <v/>
      </c>
      <c r="AA131" s="800"/>
      <c r="AB131" s="136"/>
      <c r="AC131" s="104"/>
      <c r="AD131" s="104"/>
      <c r="AE131" s="54" t="str">
        <f>IF(OR(Q131="",AA131="Yes"),"",IF(Q131='G-1 All Habitats'!$X$9,E131-U131-V131,"None"))</f>
        <v/>
      </c>
      <c r="AF131" s="55" t="str">
        <f>IF(Q131="","",IF(Q131='G-1 All Habitats'!$X$9,AE131*G131*I131*L131*N131*P131,"None"))</f>
        <v/>
      </c>
      <c r="AI131" s="30">
        <f t="shared" si="16"/>
        <v>0</v>
      </c>
      <c r="AJ131" s="107" t="str">
        <f t="shared" si="17"/>
        <v/>
      </c>
      <c r="AK131" s="107" t="str">
        <f t="shared" si="18"/>
        <v/>
      </c>
      <c r="AM131" s="107">
        <v>122</v>
      </c>
      <c r="AO131" s="107" t="str">
        <f t="array" ref="AO131">IFERROR(INDEX($AM$10:$AM$258,MATCH(0,IF(TRUE=$AJ$10:$AJ$258,COUNTIF($AO$9:$AO130,$AM$10:$AM$258),""),0)),"")</f>
        <v/>
      </c>
      <c r="AP131" s="107" t="str">
        <f t="array" ref="AP131">IFERROR(INDEX($AM$10:$AM$258,MATCH(0,IF(TRUE=$AK$10:$AK$258,COUNTIF($AP$9:$AP130,$AM$10:$AM$258),""),0)),"")</f>
        <v/>
      </c>
      <c r="AR131" s="30" t="str">
        <f>IFERROR(INDEX('G-7 WaterC'' Data'!$AZ$3:$AZ$7,MATCH(D131,'G-7 WaterC'' Data'!$AY$3:$AY$7,0)),"")</f>
        <v/>
      </c>
      <c r="AS131" s="30" t="str">
        <f>IFERROR(INDEX('G-7 WaterC'' Data'!AZ131:AZ135,MATCH(D131,'G-7 WaterC'' Data'!$AY$10:$AY$14,0)),"")</f>
        <v/>
      </c>
      <c r="AT131" s="885" t="str">
        <f>IF(AND(OR(AA131="Yes",AA131="Pending"),Q131='G-7 WaterC'' Data'!$G$4),R131-W131-X131,"")</f>
        <v/>
      </c>
      <c r="AU131" s="30" t="str">
        <f>IF(D131="","",VLOOKUP(D131,'G-7 WaterC'' Data'!B$4:M$8,12,FALSE))</f>
        <v/>
      </c>
      <c r="AV131" s="30" t="str">
        <f t="shared" si="10"/>
        <v/>
      </c>
      <c r="AX131" s="30" t="str">
        <f t="shared" si="19"/>
        <v>No</v>
      </c>
    </row>
    <row r="132" spans="3:50" ht="14" hidden="1">
      <c r="C132" s="97">
        <v>123</v>
      </c>
      <c r="D132" s="261"/>
      <c r="E132" s="115"/>
      <c r="F132" s="275" t="str">
        <f>IF(D132="","",VLOOKUP(D132,'G-7 WaterC'' Data'!$B$2:$G$8,2,FALSE))</f>
        <v/>
      </c>
      <c r="G132" s="276" t="str">
        <f>IFERROR(VLOOKUP(F132,'G-7 WaterC'' Data'!$C$4:$D$8,2,FALSE),"")</f>
        <v/>
      </c>
      <c r="H132" s="52"/>
      <c r="I132" s="276" t="str">
        <f>IFERROR(INDEX('G-7 WaterC'' Data'!$H$4:$L$8,MATCH(D132,'G-7 WaterC'' Data'!$B$4:$B$8,0),MATCH(H132,'G-7 WaterC'' Data'!$H$3:$L$3,0)),"")</f>
        <v/>
      </c>
      <c r="J132" s="777"/>
      <c r="K132" s="311" t="str">
        <f>IF(J132="","",IF(VLOOKUP(J132,'G-7 WaterC'' Data'!$AK$4:$AM$6,2,FALSE)=0,"Spatial Data Missing ⚠",VLOOKUP(J132,'G-7 WaterC'' Data'!$AK$4:$AM$6,2,FALSE)))</f>
        <v/>
      </c>
      <c r="L132" s="281" t="str">
        <f>IF(J132="","",IF(VLOOKUP(J132,'G-7 WaterC'' Data'!$AK$4:$AM$9,3,FALSE)=0,"Spatial Data Missing ⚠",VLOOKUP(J132,'G-7 WaterC'' Data'!$AK$4:$AM$6,3,FALSE)))</f>
        <v/>
      </c>
      <c r="M132" s="52"/>
      <c r="N132" s="276" t="str">
        <f>IF(M132="","",IF(AND(D132&lt;&gt;"Culvert",M132="N/A - Culvert"),"Not possible ▲",IF(AND(D132="Culvert",M132&lt;&gt;"N/A - Culvert"),"Not possible ▲",IF(VLOOKUP(M132,'G-7 WaterC'' Data'!$AA$4:$AB$7,2,FALSE)=0,"Spatial Data Missing ⚠",VLOOKUP(M132,'G-7 WaterC'' Data'!$AA$4:$AB$7,2,FALSE)))))</f>
        <v/>
      </c>
      <c r="O132" s="56"/>
      <c r="P132" s="276" t="str">
        <f>IF(O132="","",IF(AND(O132="N/A - Culvert",D132&lt;&gt;"Culvert"),"Not possible ▲",IF(AND(D132="Culvert",O132&lt;&gt;"N/A - Culvert"),"Not possible ▲",IF(VLOOKUP(O132,'G-7 WaterC'' Data'!$AD$4:$AE$14,2,FALSE)=0,"Spatial Data Missing ⚠",VLOOKUP(O132,'G-7 WaterC'' Data'!$AD$4:$AE$14,2,FALSE)))))</f>
        <v/>
      </c>
      <c r="Q132" s="282" t="str">
        <f>IF(D132="","",VLOOKUP(D132,'G-7 WaterC'' Data'!$B$2:$G$8,6,FALSE))</f>
        <v/>
      </c>
      <c r="R132" s="289" t="str">
        <f t="shared" si="11"/>
        <v xml:space="preserve"> </v>
      </c>
      <c r="S132" s="803" t="str">
        <f t="shared" si="12"/>
        <v/>
      </c>
      <c r="T132" s="32"/>
      <c r="U132" s="101"/>
      <c r="V132" s="108"/>
      <c r="W132" s="287" t="str">
        <f t="shared" si="13"/>
        <v/>
      </c>
      <c r="X132" s="287" t="str">
        <f t="shared" si="14"/>
        <v/>
      </c>
      <c r="Y132" s="287" t="str">
        <f t="shared" si="15"/>
        <v/>
      </c>
      <c r="Z132" s="317" t="str">
        <f>IFERROR(IF(OR(E132="",R132=""),"",IF(AND(Q132='G-7 WaterC'' Data'!$G$4,AA132="Yes"),"Alternative Compensation ✓",IF(AND(AA132="Pending",Q132='G-7 WaterC'' Data'!$G$4),"Bespoke compensation must be agreed ▲",IF((W132+X132)&gt;=R132,0,R132-W132-X132)))),"Check Data ⚠")</f>
        <v/>
      </c>
      <c r="AA132" s="800"/>
      <c r="AB132" s="136"/>
      <c r="AC132" s="104"/>
      <c r="AD132" s="104"/>
      <c r="AE132" s="54" t="str">
        <f>IF(OR(Q132="",AA132="Yes"),"",IF(Q132='G-1 All Habitats'!$X$9,E132-U132-V132,"None"))</f>
        <v/>
      </c>
      <c r="AF132" s="55" t="str">
        <f>IF(Q132="","",IF(Q132='G-1 All Habitats'!$X$9,AE132*G132*I132*L132*N132*P132,"None"))</f>
        <v/>
      </c>
      <c r="AI132" s="30">
        <f t="shared" si="16"/>
        <v>0</v>
      </c>
      <c r="AJ132" s="107" t="str">
        <f t="shared" si="17"/>
        <v/>
      </c>
      <c r="AK132" s="107" t="str">
        <f t="shared" si="18"/>
        <v/>
      </c>
      <c r="AM132" s="107">
        <v>123</v>
      </c>
      <c r="AO132" s="107" t="str">
        <f t="array" ref="AO132">IFERROR(INDEX($AM$10:$AM$258,MATCH(0,IF(TRUE=$AJ$10:$AJ$258,COUNTIF($AO$9:$AO131,$AM$10:$AM$258),""),0)),"")</f>
        <v/>
      </c>
      <c r="AP132" s="107" t="str">
        <f t="array" ref="AP132">IFERROR(INDEX($AM$10:$AM$258,MATCH(0,IF(TRUE=$AK$10:$AK$258,COUNTIF($AP$9:$AP131,$AM$10:$AM$258),""),0)),"")</f>
        <v/>
      </c>
      <c r="AR132" s="30" t="str">
        <f>IFERROR(INDEX('G-7 WaterC'' Data'!$AZ$3:$AZ$7,MATCH(D132,'G-7 WaterC'' Data'!$AY$3:$AY$7,0)),"")</f>
        <v/>
      </c>
      <c r="AS132" s="30" t="str">
        <f>IFERROR(INDEX('G-7 WaterC'' Data'!AZ132:AZ136,MATCH(D132,'G-7 WaterC'' Data'!$AY$10:$AY$14,0)),"")</f>
        <v/>
      </c>
      <c r="AT132" s="885" t="str">
        <f>IF(AND(OR(AA132="Yes",AA132="Pending"),Q132='G-7 WaterC'' Data'!$G$4),R132-W132-X132,"")</f>
        <v/>
      </c>
      <c r="AU132" s="30" t="str">
        <f>IF(D132="","",VLOOKUP(D132,'G-7 WaterC'' Data'!B$4:M$8,12,FALSE))</f>
        <v/>
      </c>
      <c r="AV132" s="30" t="str">
        <f t="shared" si="10"/>
        <v/>
      </c>
      <c r="AX132" s="30" t="str">
        <f t="shared" si="19"/>
        <v>No</v>
      </c>
    </row>
    <row r="133" spans="3:50" ht="14" hidden="1">
      <c r="C133" s="97">
        <v>124</v>
      </c>
      <c r="D133" s="261"/>
      <c r="E133" s="115"/>
      <c r="F133" s="275" t="str">
        <f>IF(D133="","",VLOOKUP(D133,'G-7 WaterC'' Data'!$B$2:$G$8,2,FALSE))</f>
        <v/>
      </c>
      <c r="G133" s="276" t="str">
        <f>IFERROR(VLOOKUP(F133,'G-7 WaterC'' Data'!$C$4:$D$8,2,FALSE),"")</f>
        <v/>
      </c>
      <c r="H133" s="52"/>
      <c r="I133" s="276" t="str">
        <f>IFERROR(INDEX('G-7 WaterC'' Data'!$H$4:$L$8,MATCH(D133,'G-7 WaterC'' Data'!$B$4:$B$8,0),MATCH(H133,'G-7 WaterC'' Data'!$H$3:$L$3,0)),"")</f>
        <v/>
      </c>
      <c r="J133" s="777"/>
      <c r="K133" s="311" t="str">
        <f>IF(J133="","",IF(VLOOKUP(J133,'G-7 WaterC'' Data'!$AK$4:$AM$6,2,FALSE)=0,"Spatial Data Missing ⚠",VLOOKUP(J133,'G-7 WaterC'' Data'!$AK$4:$AM$6,2,FALSE)))</f>
        <v/>
      </c>
      <c r="L133" s="281" t="str">
        <f>IF(J133="","",IF(VLOOKUP(J133,'G-7 WaterC'' Data'!$AK$4:$AM$9,3,FALSE)=0,"Spatial Data Missing ⚠",VLOOKUP(J133,'G-7 WaterC'' Data'!$AK$4:$AM$6,3,FALSE)))</f>
        <v/>
      </c>
      <c r="M133" s="52"/>
      <c r="N133" s="276" t="str">
        <f>IF(M133="","",IF(AND(D133&lt;&gt;"Culvert",M133="N/A - Culvert"),"Not possible ▲",IF(AND(D133="Culvert",M133&lt;&gt;"N/A - Culvert"),"Not possible ▲",IF(VLOOKUP(M133,'G-7 WaterC'' Data'!$AA$4:$AB$7,2,FALSE)=0,"Spatial Data Missing ⚠",VLOOKUP(M133,'G-7 WaterC'' Data'!$AA$4:$AB$7,2,FALSE)))))</f>
        <v/>
      </c>
      <c r="O133" s="56"/>
      <c r="P133" s="276" t="str">
        <f>IF(O133="","",IF(AND(O133="N/A - Culvert",D133&lt;&gt;"Culvert"),"Not possible ▲",IF(AND(D133="Culvert",O133&lt;&gt;"N/A - Culvert"),"Not possible ▲",IF(VLOOKUP(O133,'G-7 WaterC'' Data'!$AD$4:$AE$14,2,FALSE)=0,"Spatial Data Missing ⚠",VLOOKUP(O133,'G-7 WaterC'' Data'!$AD$4:$AE$14,2,FALSE)))))</f>
        <v/>
      </c>
      <c r="Q133" s="282" t="str">
        <f>IF(D133="","",VLOOKUP(D133,'G-7 WaterC'' Data'!$B$2:$G$8,6,FALSE))</f>
        <v/>
      </c>
      <c r="R133" s="289" t="str">
        <f t="shared" si="11"/>
        <v xml:space="preserve"> </v>
      </c>
      <c r="S133" s="803" t="str">
        <f t="shared" si="12"/>
        <v/>
      </c>
      <c r="T133" s="32"/>
      <c r="U133" s="101"/>
      <c r="V133" s="108"/>
      <c r="W133" s="287" t="str">
        <f t="shared" si="13"/>
        <v/>
      </c>
      <c r="X133" s="287" t="str">
        <f t="shared" si="14"/>
        <v/>
      </c>
      <c r="Y133" s="287" t="str">
        <f t="shared" si="15"/>
        <v/>
      </c>
      <c r="Z133" s="317" t="str">
        <f>IFERROR(IF(OR(E133="",R133=""),"",IF(AND(Q133='G-7 WaterC'' Data'!$G$4,AA133="Yes"),"Alternative Compensation ✓",IF(AND(AA133="Pending",Q133='G-7 WaterC'' Data'!$G$4),"Bespoke compensation must be agreed ▲",IF((W133+X133)&gt;=R133,0,R133-W133-X133)))),"Check Data ⚠")</f>
        <v/>
      </c>
      <c r="AA133" s="800"/>
      <c r="AB133" s="136"/>
      <c r="AC133" s="104"/>
      <c r="AD133" s="104"/>
      <c r="AE133" s="54" t="str">
        <f>IF(OR(Q133="",AA133="Yes"),"",IF(Q133='G-1 All Habitats'!$X$9,E133-U133-V133,"None"))</f>
        <v/>
      </c>
      <c r="AF133" s="55" t="str">
        <f>IF(Q133="","",IF(Q133='G-1 All Habitats'!$X$9,AE133*G133*I133*L133*N133*P133,"None"))</f>
        <v/>
      </c>
      <c r="AI133" s="30">
        <f t="shared" si="16"/>
        <v>0</v>
      </c>
      <c r="AJ133" s="107" t="str">
        <f t="shared" si="17"/>
        <v/>
      </c>
      <c r="AK133" s="107" t="str">
        <f t="shared" si="18"/>
        <v/>
      </c>
      <c r="AM133" s="107">
        <v>124</v>
      </c>
      <c r="AO133" s="107" t="str">
        <f t="array" ref="AO133">IFERROR(INDEX($AM$10:$AM$258,MATCH(0,IF(TRUE=$AJ$10:$AJ$258,COUNTIF($AO$9:$AO132,$AM$10:$AM$258),""),0)),"")</f>
        <v/>
      </c>
      <c r="AP133" s="107" t="str">
        <f t="array" ref="AP133">IFERROR(INDEX($AM$10:$AM$258,MATCH(0,IF(TRUE=$AK$10:$AK$258,COUNTIF($AP$9:$AP132,$AM$10:$AM$258),""),0)),"")</f>
        <v/>
      </c>
      <c r="AR133" s="30" t="str">
        <f>IFERROR(INDEX('G-7 WaterC'' Data'!$AZ$3:$AZ$7,MATCH(D133,'G-7 WaterC'' Data'!$AY$3:$AY$7,0)),"")</f>
        <v/>
      </c>
      <c r="AS133" s="30" t="str">
        <f>IFERROR(INDEX('G-7 WaterC'' Data'!AZ133:AZ137,MATCH(D133,'G-7 WaterC'' Data'!$AY$10:$AY$14,0)),"")</f>
        <v/>
      </c>
      <c r="AT133" s="885" t="str">
        <f>IF(AND(OR(AA133="Yes",AA133="Pending"),Q133='G-7 WaterC'' Data'!$G$4),R133-W133-X133,"")</f>
        <v/>
      </c>
      <c r="AU133" s="30" t="str">
        <f>IF(D133="","",VLOOKUP(D133,'G-7 WaterC'' Data'!B$4:M$8,12,FALSE))</f>
        <v/>
      </c>
      <c r="AV133" s="30" t="str">
        <f t="shared" si="10"/>
        <v/>
      </c>
      <c r="AX133" s="30" t="str">
        <f t="shared" si="19"/>
        <v>No</v>
      </c>
    </row>
    <row r="134" spans="3:50" ht="14" hidden="1">
      <c r="C134" s="97">
        <v>125</v>
      </c>
      <c r="D134" s="261"/>
      <c r="E134" s="115"/>
      <c r="F134" s="275" t="str">
        <f>IF(D134="","",VLOOKUP(D134,'G-7 WaterC'' Data'!$B$2:$G$8,2,FALSE))</f>
        <v/>
      </c>
      <c r="G134" s="276" t="str">
        <f>IFERROR(VLOOKUP(F134,'G-7 WaterC'' Data'!$C$4:$D$8,2,FALSE),"")</f>
        <v/>
      </c>
      <c r="H134" s="52"/>
      <c r="I134" s="276" t="str">
        <f>IFERROR(INDEX('G-7 WaterC'' Data'!$H$4:$L$8,MATCH(D134,'G-7 WaterC'' Data'!$B$4:$B$8,0),MATCH(H134,'G-7 WaterC'' Data'!$H$3:$L$3,0)),"")</f>
        <v/>
      </c>
      <c r="J134" s="777"/>
      <c r="K134" s="311" t="str">
        <f>IF(J134="","",IF(VLOOKUP(J134,'G-7 WaterC'' Data'!$AK$4:$AM$6,2,FALSE)=0,"Spatial Data Missing ⚠",VLOOKUP(J134,'G-7 WaterC'' Data'!$AK$4:$AM$6,2,FALSE)))</f>
        <v/>
      </c>
      <c r="L134" s="281" t="str">
        <f>IF(J134="","",IF(VLOOKUP(J134,'G-7 WaterC'' Data'!$AK$4:$AM$9,3,FALSE)=0,"Spatial Data Missing ⚠",VLOOKUP(J134,'G-7 WaterC'' Data'!$AK$4:$AM$6,3,FALSE)))</f>
        <v/>
      </c>
      <c r="M134" s="52"/>
      <c r="N134" s="276" t="str">
        <f>IF(M134="","",IF(AND(D134&lt;&gt;"Culvert",M134="N/A - Culvert"),"Not possible ▲",IF(AND(D134="Culvert",M134&lt;&gt;"N/A - Culvert"),"Not possible ▲",IF(VLOOKUP(M134,'G-7 WaterC'' Data'!$AA$4:$AB$7,2,FALSE)=0,"Spatial Data Missing ⚠",VLOOKUP(M134,'G-7 WaterC'' Data'!$AA$4:$AB$7,2,FALSE)))))</f>
        <v/>
      </c>
      <c r="O134" s="56"/>
      <c r="P134" s="276" t="str">
        <f>IF(O134="","",IF(AND(O134="N/A - Culvert",D134&lt;&gt;"Culvert"),"Not possible ▲",IF(AND(D134="Culvert",O134&lt;&gt;"N/A - Culvert"),"Not possible ▲",IF(VLOOKUP(O134,'G-7 WaterC'' Data'!$AD$4:$AE$14,2,FALSE)=0,"Spatial Data Missing ⚠",VLOOKUP(O134,'G-7 WaterC'' Data'!$AD$4:$AE$14,2,FALSE)))))</f>
        <v/>
      </c>
      <c r="Q134" s="282" t="str">
        <f>IF(D134="","",VLOOKUP(D134,'G-7 WaterC'' Data'!$B$2:$G$8,6,FALSE))</f>
        <v/>
      </c>
      <c r="R134" s="289" t="str">
        <f t="shared" si="11"/>
        <v xml:space="preserve"> </v>
      </c>
      <c r="S134" s="803" t="str">
        <f t="shared" si="12"/>
        <v/>
      </c>
      <c r="T134" s="32"/>
      <c r="U134" s="101"/>
      <c r="V134" s="108"/>
      <c r="W134" s="287" t="str">
        <f t="shared" si="13"/>
        <v/>
      </c>
      <c r="X134" s="287" t="str">
        <f t="shared" si="14"/>
        <v/>
      </c>
      <c r="Y134" s="287" t="str">
        <f t="shared" si="15"/>
        <v/>
      </c>
      <c r="Z134" s="317" t="str">
        <f>IFERROR(IF(OR(E134="",R134=""),"",IF(AND(Q134='G-7 WaterC'' Data'!$G$4,AA134="Yes"),"Alternative Compensation ✓",IF(AND(AA134="Pending",Q134='G-7 WaterC'' Data'!$G$4),"Bespoke compensation must be agreed ▲",IF((W134+X134)&gt;=R134,0,R134-W134-X134)))),"Check Data ⚠")</f>
        <v/>
      </c>
      <c r="AA134" s="800"/>
      <c r="AB134" s="136"/>
      <c r="AC134" s="104"/>
      <c r="AD134" s="104"/>
      <c r="AE134" s="54" t="str">
        <f>IF(OR(Q134="",AA134="Yes"),"",IF(Q134='G-1 All Habitats'!$X$9,E134-U134-V134,"None"))</f>
        <v/>
      </c>
      <c r="AF134" s="55" t="str">
        <f>IF(Q134="","",IF(Q134='G-1 All Habitats'!$X$9,AE134*G134*I134*L134*N134*P134,"None"))</f>
        <v/>
      </c>
      <c r="AI134" s="30">
        <f t="shared" si="16"/>
        <v>0</v>
      </c>
      <c r="AJ134" s="107" t="str">
        <f t="shared" si="17"/>
        <v/>
      </c>
      <c r="AK134" s="107" t="str">
        <f t="shared" si="18"/>
        <v/>
      </c>
      <c r="AM134" s="107">
        <v>125</v>
      </c>
      <c r="AO134" s="107" t="str">
        <f t="array" ref="AO134">IFERROR(INDEX($AM$10:$AM$258,MATCH(0,IF(TRUE=$AJ$10:$AJ$258,COUNTIF($AO$9:$AO133,$AM$10:$AM$258),""),0)),"")</f>
        <v/>
      </c>
      <c r="AP134" s="107" t="str">
        <f t="array" ref="AP134">IFERROR(INDEX($AM$10:$AM$258,MATCH(0,IF(TRUE=$AK$10:$AK$258,COUNTIF($AP$9:$AP133,$AM$10:$AM$258),""),0)),"")</f>
        <v/>
      </c>
      <c r="AR134" s="30" t="str">
        <f>IFERROR(INDEX('G-7 WaterC'' Data'!$AZ$3:$AZ$7,MATCH(D134,'G-7 WaterC'' Data'!$AY$3:$AY$7,0)),"")</f>
        <v/>
      </c>
      <c r="AS134" s="30" t="str">
        <f>IFERROR(INDEX('G-7 WaterC'' Data'!AZ134:AZ138,MATCH(D134,'G-7 WaterC'' Data'!$AY$10:$AY$14,0)),"")</f>
        <v/>
      </c>
      <c r="AT134" s="885" t="str">
        <f>IF(AND(OR(AA134="Yes",AA134="Pending"),Q134='G-7 WaterC'' Data'!$G$4),R134-W134-X134,"")</f>
        <v/>
      </c>
      <c r="AU134" s="30" t="str">
        <f>IF(D134="","",VLOOKUP(D134,'G-7 WaterC'' Data'!B$4:M$8,12,FALSE))</f>
        <v/>
      </c>
      <c r="AV134" s="30" t="str">
        <f t="shared" si="10"/>
        <v/>
      </c>
      <c r="AX134" s="30" t="str">
        <f t="shared" si="19"/>
        <v>No</v>
      </c>
    </row>
    <row r="135" spans="3:50" ht="14" hidden="1">
      <c r="C135" s="97">
        <v>126</v>
      </c>
      <c r="D135" s="261"/>
      <c r="E135" s="115"/>
      <c r="F135" s="275" t="str">
        <f>IF(D135="","",VLOOKUP(D135,'G-7 WaterC'' Data'!$B$2:$G$8,2,FALSE))</f>
        <v/>
      </c>
      <c r="G135" s="276" t="str">
        <f>IFERROR(VLOOKUP(F135,'G-7 WaterC'' Data'!$C$4:$D$8,2,FALSE),"")</f>
        <v/>
      </c>
      <c r="H135" s="52"/>
      <c r="I135" s="276" t="str">
        <f>IFERROR(INDEX('G-7 WaterC'' Data'!$H$4:$L$8,MATCH(D135,'G-7 WaterC'' Data'!$B$4:$B$8,0),MATCH(H135,'G-7 WaterC'' Data'!$H$3:$L$3,0)),"")</f>
        <v/>
      </c>
      <c r="J135" s="777"/>
      <c r="K135" s="311" t="str">
        <f>IF(J135="","",IF(VLOOKUP(J135,'G-7 WaterC'' Data'!$AK$4:$AM$6,2,FALSE)=0,"Spatial Data Missing ⚠",VLOOKUP(J135,'G-7 WaterC'' Data'!$AK$4:$AM$6,2,FALSE)))</f>
        <v/>
      </c>
      <c r="L135" s="281" t="str">
        <f>IF(J135="","",IF(VLOOKUP(J135,'G-7 WaterC'' Data'!$AK$4:$AM$9,3,FALSE)=0,"Spatial Data Missing ⚠",VLOOKUP(J135,'G-7 WaterC'' Data'!$AK$4:$AM$6,3,FALSE)))</f>
        <v/>
      </c>
      <c r="M135" s="52"/>
      <c r="N135" s="276" t="str">
        <f>IF(M135="","",IF(AND(D135&lt;&gt;"Culvert",M135="N/A - Culvert"),"Not possible ▲",IF(AND(D135="Culvert",M135&lt;&gt;"N/A - Culvert"),"Not possible ▲",IF(VLOOKUP(M135,'G-7 WaterC'' Data'!$AA$4:$AB$7,2,FALSE)=0,"Spatial Data Missing ⚠",VLOOKUP(M135,'G-7 WaterC'' Data'!$AA$4:$AB$7,2,FALSE)))))</f>
        <v/>
      </c>
      <c r="O135" s="56"/>
      <c r="P135" s="276" t="str">
        <f>IF(O135="","",IF(AND(O135="N/A - Culvert",D135&lt;&gt;"Culvert"),"Not possible ▲",IF(AND(D135="Culvert",O135&lt;&gt;"N/A - Culvert"),"Not possible ▲",IF(VLOOKUP(O135,'G-7 WaterC'' Data'!$AD$4:$AE$14,2,FALSE)=0,"Spatial Data Missing ⚠",VLOOKUP(O135,'G-7 WaterC'' Data'!$AD$4:$AE$14,2,FALSE)))))</f>
        <v/>
      </c>
      <c r="Q135" s="282" t="str">
        <f>IF(D135="","",VLOOKUP(D135,'G-7 WaterC'' Data'!$B$2:$G$8,6,FALSE))</f>
        <v/>
      </c>
      <c r="R135" s="289" t="str">
        <f t="shared" si="11"/>
        <v xml:space="preserve"> </v>
      </c>
      <c r="S135" s="803" t="str">
        <f t="shared" si="12"/>
        <v/>
      </c>
      <c r="T135" s="32"/>
      <c r="U135" s="101"/>
      <c r="V135" s="108"/>
      <c r="W135" s="287" t="str">
        <f t="shared" si="13"/>
        <v/>
      </c>
      <c r="X135" s="287" t="str">
        <f t="shared" si="14"/>
        <v/>
      </c>
      <c r="Y135" s="287" t="str">
        <f t="shared" si="15"/>
        <v/>
      </c>
      <c r="Z135" s="317" t="str">
        <f>IFERROR(IF(OR(E135="",R135=""),"",IF(AND(Q135='G-7 WaterC'' Data'!$G$4,AA135="Yes"),"Alternative Compensation ✓",IF(AND(AA135="Pending",Q135='G-7 WaterC'' Data'!$G$4),"Bespoke compensation must be agreed ▲",IF((W135+X135)&gt;=R135,0,R135-W135-X135)))),"Check Data ⚠")</f>
        <v/>
      </c>
      <c r="AA135" s="800"/>
      <c r="AB135" s="136"/>
      <c r="AC135" s="104"/>
      <c r="AD135" s="104"/>
      <c r="AE135" s="54" t="str">
        <f>IF(OR(Q135="",AA135="Yes"),"",IF(Q135='G-1 All Habitats'!$X$9,E135-U135-V135,"None"))</f>
        <v/>
      </c>
      <c r="AF135" s="55" t="str">
        <f>IF(Q135="","",IF(Q135='G-1 All Habitats'!$X$9,AE135*G135*I135*L135*N135*P135,"None"))</f>
        <v/>
      </c>
      <c r="AI135" s="30">
        <f t="shared" si="16"/>
        <v>0</v>
      </c>
      <c r="AJ135" s="107" t="str">
        <f t="shared" si="17"/>
        <v/>
      </c>
      <c r="AK135" s="107" t="str">
        <f t="shared" si="18"/>
        <v/>
      </c>
      <c r="AM135" s="107">
        <v>126</v>
      </c>
      <c r="AO135" s="107" t="str">
        <f t="array" ref="AO135">IFERROR(INDEX($AM$10:$AM$258,MATCH(0,IF(TRUE=$AJ$10:$AJ$258,COUNTIF($AO$9:$AO134,$AM$10:$AM$258),""),0)),"")</f>
        <v/>
      </c>
      <c r="AP135" s="107" t="str">
        <f t="array" ref="AP135">IFERROR(INDEX($AM$10:$AM$258,MATCH(0,IF(TRUE=$AK$10:$AK$258,COUNTIF($AP$9:$AP134,$AM$10:$AM$258),""),0)),"")</f>
        <v/>
      </c>
      <c r="AR135" s="30" t="str">
        <f>IFERROR(INDEX('G-7 WaterC'' Data'!$AZ$3:$AZ$7,MATCH(D135,'G-7 WaterC'' Data'!$AY$3:$AY$7,0)),"")</f>
        <v/>
      </c>
      <c r="AS135" s="30" t="str">
        <f>IFERROR(INDEX('G-7 WaterC'' Data'!AZ135:AZ139,MATCH(D135,'G-7 WaterC'' Data'!$AY$10:$AY$14,0)),"")</f>
        <v/>
      </c>
      <c r="AT135" s="885" t="str">
        <f>IF(AND(OR(AA135="Yes",AA135="Pending"),Q135='G-7 WaterC'' Data'!$G$4),R135-W135-X135,"")</f>
        <v/>
      </c>
      <c r="AU135" s="30" t="str">
        <f>IF(D135="","",VLOOKUP(D135,'G-7 WaterC'' Data'!B$4:M$8,12,FALSE))</f>
        <v/>
      </c>
      <c r="AV135" s="30" t="str">
        <f t="shared" si="10"/>
        <v/>
      </c>
      <c r="AX135" s="30" t="str">
        <f t="shared" si="19"/>
        <v>No</v>
      </c>
    </row>
    <row r="136" spans="3:50" ht="14" hidden="1">
      <c r="C136" s="97">
        <v>127</v>
      </c>
      <c r="D136" s="261"/>
      <c r="E136" s="115"/>
      <c r="F136" s="275" t="str">
        <f>IF(D136="","",VLOOKUP(D136,'G-7 WaterC'' Data'!$B$2:$G$8,2,FALSE))</f>
        <v/>
      </c>
      <c r="G136" s="276" t="str">
        <f>IFERROR(VLOOKUP(F136,'G-7 WaterC'' Data'!$C$4:$D$8,2,FALSE),"")</f>
        <v/>
      </c>
      <c r="H136" s="52"/>
      <c r="I136" s="276" t="str">
        <f>IFERROR(INDEX('G-7 WaterC'' Data'!$H$4:$L$8,MATCH(D136,'G-7 WaterC'' Data'!$B$4:$B$8,0),MATCH(H136,'G-7 WaterC'' Data'!$H$3:$L$3,0)),"")</f>
        <v/>
      </c>
      <c r="J136" s="777"/>
      <c r="K136" s="311" t="str">
        <f>IF(J136="","",IF(VLOOKUP(J136,'G-7 WaterC'' Data'!$AK$4:$AM$6,2,FALSE)=0,"Spatial Data Missing ⚠",VLOOKUP(J136,'G-7 WaterC'' Data'!$AK$4:$AM$6,2,FALSE)))</f>
        <v/>
      </c>
      <c r="L136" s="281" t="str">
        <f>IF(J136="","",IF(VLOOKUP(J136,'G-7 WaterC'' Data'!$AK$4:$AM$9,3,FALSE)=0,"Spatial Data Missing ⚠",VLOOKUP(J136,'G-7 WaterC'' Data'!$AK$4:$AM$6,3,FALSE)))</f>
        <v/>
      </c>
      <c r="M136" s="52"/>
      <c r="N136" s="276" t="str">
        <f>IF(M136="","",IF(AND(D136&lt;&gt;"Culvert",M136="N/A - Culvert"),"Not possible ▲",IF(AND(D136="Culvert",M136&lt;&gt;"N/A - Culvert"),"Not possible ▲",IF(VLOOKUP(M136,'G-7 WaterC'' Data'!$AA$4:$AB$7,2,FALSE)=0,"Spatial Data Missing ⚠",VLOOKUP(M136,'G-7 WaterC'' Data'!$AA$4:$AB$7,2,FALSE)))))</f>
        <v/>
      </c>
      <c r="O136" s="56"/>
      <c r="P136" s="276" t="str">
        <f>IF(O136="","",IF(AND(O136="N/A - Culvert",D136&lt;&gt;"Culvert"),"Not possible ▲",IF(AND(D136="Culvert",O136&lt;&gt;"N/A - Culvert"),"Not possible ▲",IF(VLOOKUP(O136,'G-7 WaterC'' Data'!$AD$4:$AE$14,2,FALSE)=0,"Spatial Data Missing ⚠",VLOOKUP(O136,'G-7 WaterC'' Data'!$AD$4:$AE$14,2,FALSE)))))</f>
        <v/>
      </c>
      <c r="Q136" s="282" t="str">
        <f>IF(D136="","",VLOOKUP(D136,'G-7 WaterC'' Data'!$B$2:$G$8,6,FALSE))</f>
        <v/>
      </c>
      <c r="R136" s="289" t="str">
        <f t="shared" si="11"/>
        <v xml:space="preserve"> </v>
      </c>
      <c r="S136" s="803" t="str">
        <f t="shared" si="12"/>
        <v/>
      </c>
      <c r="T136" s="32"/>
      <c r="U136" s="101"/>
      <c r="V136" s="108"/>
      <c r="W136" s="287" t="str">
        <f t="shared" si="13"/>
        <v/>
      </c>
      <c r="X136" s="287" t="str">
        <f t="shared" si="14"/>
        <v/>
      </c>
      <c r="Y136" s="287" t="str">
        <f t="shared" si="15"/>
        <v/>
      </c>
      <c r="Z136" s="317" t="str">
        <f>IFERROR(IF(OR(E136="",R136=""),"",IF(AND(Q136='G-7 WaterC'' Data'!$G$4,AA136="Yes"),"Alternative Compensation ✓",IF(AND(AA136="Pending",Q136='G-7 WaterC'' Data'!$G$4),"Bespoke compensation must be agreed ▲",IF((W136+X136)&gt;=R136,0,R136-W136-X136)))),"Check Data ⚠")</f>
        <v/>
      </c>
      <c r="AA136" s="800"/>
      <c r="AB136" s="136"/>
      <c r="AC136" s="104"/>
      <c r="AD136" s="104"/>
      <c r="AE136" s="54" t="str">
        <f>IF(OR(Q136="",AA136="Yes"),"",IF(Q136='G-1 All Habitats'!$X$9,E136-U136-V136,"None"))</f>
        <v/>
      </c>
      <c r="AF136" s="55" t="str">
        <f>IF(Q136="","",IF(Q136='G-1 All Habitats'!$X$9,AE136*G136*I136*L136*N136*P136,"None"))</f>
        <v/>
      </c>
      <c r="AI136" s="30">
        <f t="shared" si="16"/>
        <v>0</v>
      </c>
      <c r="AJ136" s="107" t="str">
        <f t="shared" si="17"/>
        <v/>
      </c>
      <c r="AK136" s="107" t="str">
        <f t="shared" si="18"/>
        <v/>
      </c>
      <c r="AM136" s="107">
        <v>127</v>
      </c>
      <c r="AO136" s="107" t="str">
        <f t="array" ref="AO136">IFERROR(INDEX($AM$10:$AM$258,MATCH(0,IF(TRUE=$AJ$10:$AJ$258,COUNTIF($AO$9:$AO135,$AM$10:$AM$258),""),0)),"")</f>
        <v/>
      </c>
      <c r="AP136" s="107" t="str">
        <f t="array" ref="AP136">IFERROR(INDEX($AM$10:$AM$258,MATCH(0,IF(TRUE=$AK$10:$AK$258,COUNTIF($AP$9:$AP135,$AM$10:$AM$258),""),0)),"")</f>
        <v/>
      </c>
      <c r="AR136" s="30" t="str">
        <f>IFERROR(INDEX('G-7 WaterC'' Data'!$AZ$3:$AZ$7,MATCH(D136,'G-7 WaterC'' Data'!$AY$3:$AY$7,0)),"")</f>
        <v/>
      </c>
      <c r="AS136" s="30" t="str">
        <f>IFERROR(INDEX('G-7 WaterC'' Data'!AZ136:AZ140,MATCH(D136,'G-7 WaterC'' Data'!$AY$10:$AY$14,0)),"")</f>
        <v/>
      </c>
      <c r="AT136" s="885" t="str">
        <f>IF(AND(OR(AA136="Yes",AA136="Pending"),Q136='G-7 WaterC'' Data'!$G$4),R136-W136-X136,"")</f>
        <v/>
      </c>
      <c r="AU136" s="30" t="str">
        <f>IF(D136="","",VLOOKUP(D136,'G-7 WaterC'' Data'!B$4:M$8,12,FALSE))</f>
        <v/>
      </c>
      <c r="AV136" s="30" t="str">
        <f t="shared" si="10"/>
        <v/>
      </c>
      <c r="AX136" s="30" t="str">
        <f t="shared" si="19"/>
        <v>No</v>
      </c>
    </row>
    <row r="137" spans="3:50" ht="14" hidden="1">
      <c r="C137" s="97">
        <v>128</v>
      </c>
      <c r="D137" s="261"/>
      <c r="E137" s="115"/>
      <c r="F137" s="275" t="str">
        <f>IF(D137="","",VLOOKUP(D137,'G-7 WaterC'' Data'!$B$2:$G$8,2,FALSE))</f>
        <v/>
      </c>
      <c r="G137" s="276" t="str">
        <f>IFERROR(VLOOKUP(F137,'G-7 WaterC'' Data'!$C$4:$D$8,2,FALSE),"")</f>
        <v/>
      </c>
      <c r="H137" s="52"/>
      <c r="I137" s="276" t="str">
        <f>IFERROR(INDEX('G-7 WaterC'' Data'!$H$4:$L$8,MATCH(D137,'G-7 WaterC'' Data'!$B$4:$B$8,0),MATCH(H137,'G-7 WaterC'' Data'!$H$3:$L$3,0)),"")</f>
        <v/>
      </c>
      <c r="J137" s="777"/>
      <c r="K137" s="311" t="str">
        <f>IF(J137="","",IF(VLOOKUP(J137,'G-7 WaterC'' Data'!$AK$4:$AM$6,2,FALSE)=0,"Spatial Data Missing ⚠",VLOOKUP(J137,'G-7 WaterC'' Data'!$AK$4:$AM$6,2,FALSE)))</f>
        <v/>
      </c>
      <c r="L137" s="281" t="str">
        <f>IF(J137="","",IF(VLOOKUP(J137,'G-7 WaterC'' Data'!$AK$4:$AM$9,3,FALSE)=0,"Spatial Data Missing ⚠",VLOOKUP(J137,'G-7 WaterC'' Data'!$AK$4:$AM$6,3,FALSE)))</f>
        <v/>
      </c>
      <c r="M137" s="52"/>
      <c r="N137" s="276" t="str">
        <f>IF(M137="","",IF(AND(D137&lt;&gt;"Culvert",M137="N/A - Culvert"),"Not possible ▲",IF(AND(D137="Culvert",M137&lt;&gt;"N/A - Culvert"),"Not possible ▲",IF(VLOOKUP(M137,'G-7 WaterC'' Data'!$AA$4:$AB$7,2,FALSE)=0,"Spatial Data Missing ⚠",VLOOKUP(M137,'G-7 WaterC'' Data'!$AA$4:$AB$7,2,FALSE)))))</f>
        <v/>
      </c>
      <c r="O137" s="56"/>
      <c r="P137" s="276" t="str">
        <f>IF(O137="","",IF(AND(O137="N/A - Culvert",D137&lt;&gt;"Culvert"),"Not possible ▲",IF(AND(D137="Culvert",O137&lt;&gt;"N/A - Culvert"),"Not possible ▲",IF(VLOOKUP(O137,'G-7 WaterC'' Data'!$AD$4:$AE$14,2,FALSE)=0,"Spatial Data Missing ⚠",VLOOKUP(O137,'G-7 WaterC'' Data'!$AD$4:$AE$14,2,FALSE)))))</f>
        <v/>
      </c>
      <c r="Q137" s="282" t="str">
        <f>IF(D137="","",VLOOKUP(D137,'G-7 WaterC'' Data'!$B$2:$G$8,6,FALSE))</f>
        <v/>
      </c>
      <c r="R137" s="289" t="str">
        <f t="shared" si="11"/>
        <v xml:space="preserve"> </v>
      </c>
      <c r="S137" s="803" t="str">
        <f t="shared" si="12"/>
        <v/>
      </c>
      <c r="T137" s="32"/>
      <c r="U137" s="101"/>
      <c r="V137" s="108"/>
      <c r="W137" s="287" t="str">
        <f t="shared" si="13"/>
        <v/>
      </c>
      <c r="X137" s="287" t="str">
        <f t="shared" si="14"/>
        <v/>
      </c>
      <c r="Y137" s="287" t="str">
        <f t="shared" si="15"/>
        <v/>
      </c>
      <c r="Z137" s="317" t="str">
        <f>IFERROR(IF(OR(E137="",R137=""),"",IF(AND(Q137='G-7 WaterC'' Data'!$G$4,AA137="Yes"),"Alternative Compensation ✓",IF(AND(AA137="Pending",Q137='G-7 WaterC'' Data'!$G$4),"Bespoke compensation must be agreed ▲",IF((W137+X137)&gt;=R137,0,R137-W137-X137)))),"Check Data ⚠")</f>
        <v/>
      </c>
      <c r="AA137" s="800"/>
      <c r="AB137" s="136"/>
      <c r="AC137" s="104"/>
      <c r="AD137" s="104"/>
      <c r="AE137" s="54" t="str">
        <f>IF(OR(Q137="",AA137="Yes"),"",IF(Q137='G-1 All Habitats'!$X$9,E137-U137-V137,"None"))</f>
        <v/>
      </c>
      <c r="AF137" s="55" t="str">
        <f>IF(Q137="","",IF(Q137='G-1 All Habitats'!$X$9,AE137*G137*I137*L137*N137*P137,"None"))</f>
        <v/>
      </c>
      <c r="AI137" s="30">
        <f t="shared" si="16"/>
        <v>0</v>
      </c>
      <c r="AJ137" s="107" t="str">
        <f t="shared" si="17"/>
        <v/>
      </c>
      <c r="AK137" s="107" t="str">
        <f t="shared" si="18"/>
        <v/>
      </c>
      <c r="AM137" s="107">
        <v>128</v>
      </c>
      <c r="AO137" s="107" t="str">
        <f t="array" ref="AO137">IFERROR(INDEX($AM$10:$AM$258,MATCH(0,IF(TRUE=$AJ$10:$AJ$258,COUNTIF($AO$9:$AO136,$AM$10:$AM$258),""),0)),"")</f>
        <v/>
      </c>
      <c r="AP137" s="107" t="str">
        <f t="array" ref="AP137">IFERROR(INDEX($AM$10:$AM$258,MATCH(0,IF(TRUE=$AK$10:$AK$258,COUNTIF($AP$9:$AP136,$AM$10:$AM$258),""),0)),"")</f>
        <v/>
      </c>
      <c r="AR137" s="30" t="str">
        <f>IFERROR(INDEX('G-7 WaterC'' Data'!$AZ$3:$AZ$7,MATCH(D137,'G-7 WaterC'' Data'!$AY$3:$AY$7,0)),"")</f>
        <v/>
      </c>
      <c r="AS137" s="30" t="str">
        <f>IFERROR(INDEX('G-7 WaterC'' Data'!AZ137:AZ141,MATCH(D137,'G-7 WaterC'' Data'!$AY$10:$AY$14,0)),"")</f>
        <v/>
      </c>
      <c r="AT137" s="885" t="str">
        <f>IF(AND(OR(AA137="Yes",AA137="Pending"),Q137='G-7 WaterC'' Data'!$G$4),R137-W137-X137,"")</f>
        <v/>
      </c>
      <c r="AU137" s="30" t="str">
        <f>IF(D137="","",VLOOKUP(D137,'G-7 WaterC'' Data'!B$4:M$8,12,FALSE))</f>
        <v/>
      </c>
      <c r="AV137" s="30" t="str">
        <f t="shared" si="10"/>
        <v/>
      </c>
      <c r="AX137" s="30" t="str">
        <f t="shared" si="19"/>
        <v>No</v>
      </c>
    </row>
    <row r="138" spans="3:50" ht="14" hidden="1">
      <c r="C138" s="97">
        <v>129</v>
      </c>
      <c r="D138" s="261"/>
      <c r="E138" s="115"/>
      <c r="F138" s="275" t="str">
        <f>IF(D138="","",VLOOKUP(D138,'G-7 WaterC'' Data'!$B$2:$G$8,2,FALSE))</f>
        <v/>
      </c>
      <c r="G138" s="276" t="str">
        <f>IFERROR(VLOOKUP(F138,'G-7 WaterC'' Data'!$C$4:$D$8,2,FALSE),"")</f>
        <v/>
      </c>
      <c r="H138" s="52"/>
      <c r="I138" s="276" t="str">
        <f>IFERROR(INDEX('G-7 WaterC'' Data'!$H$4:$L$8,MATCH(D138,'G-7 WaterC'' Data'!$B$4:$B$8,0),MATCH(H138,'G-7 WaterC'' Data'!$H$3:$L$3,0)),"")</f>
        <v/>
      </c>
      <c r="J138" s="777"/>
      <c r="K138" s="311" t="str">
        <f>IF(J138="","",IF(VLOOKUP(J138,'G-7 WaterC'' Data'!$AK$4:$AM$6,2,FALSE)=0,"Spatial Data Missing ⚠",VLOOKUP(J138,'G-7 WaterC'' Data'!$AK$4:$AM$6,2,FALSE)))</f>
        <v/>
      </c>
      <c r="L138" s="281" t="str">
        <f>IF(J138="","",IF(VLOOKUP(J138,'G-7 WaterC'' Data'!$AK$4:$AM$9,3,FALSE)=0,"Spatial Data Missing ⚠",VLOOKUP(J138,'G-7 WaterC'' Data'!$AK$4:$AM$6,3,FALSE)))</f>
        <v/>
      </c>
      <c r="M138" s="52"/>
      <c r="N138" s="276" t="str">
        <f>IF(M138="","",IF(AND(D138&lt;&gt;"Culvert",M138="N/A - Culvert"),"Not possible ▲",IF(AND(D138="Culvert",M138&lt;&gt;"N/A - Culvert"),"Not possible ▲",IF(VLOOKUP(M138,'G-7 WaterC'' Data'!$AA$4:$AB$7,2,FALSE)=0,"Spatial Data Missing ⚠",VLOOKUP(M138,'G-7 WaterC'' Data'!$AA$4:$AB$7,2,FALSE)))))</f>
        <v/>
      </c>
      <c r="O138" s="56"/>
      <c r="P138" s="276" t="str">
        <f>IF(O138="","",IF(AND(O138="N/A - Culvert",D138&lt;&gt;"Culvert"),"Not possible ▲",IF(AND(D138="Culvert",O138&lt;&gt;"N/A - Culvert"),"Not possible ▲",IF(VLOOKUP(O138,'G-7 WaterC'' Data'!$AD$4:$AE$14,2,FALSE)=0,"Spatial Data Missing ⚠",VLOOKUP(O138,'G-7 WaterC'' Data'!$AD$4:$AE$14,2,FALSE)))))</f>
        <v/>
      </c>
      <c r="Q138" s="282" t="str">
        <f>IF(D138="","",VLOOKUP(D138,'G-7 WaterC'' Data'!$B$2:$G$8,6,FALSE))</f>
        <v/>
      </c>
      <c r="R138" s="289" t="str">
        <f t="shared" si="11"/>
        <v xml:space="preserve"> </v>
      </c>
      <c r="S138" s="803" t="str">
        <f t="shared" si="12"/>
        <v/>
      </c>
      <c r="T138" s="32"/>
      <c r="U138" s="101"/>
      <c r="V138" s="108"/>
      <c r="W138" s="287" t="str">
        <f t="shared" si="13"/>
        <v/>
      </c>
      <c r="X138" s="287" t="str">
        <f t="shared" si="14"/>
        <v/>
      </c>
      <c r="Y138" s="287" t="str">
        <f t="shared" si="15"/>
        <v/>
      </c>
      <c r="Z138" s="317" t="str">
        <f>IFERROR(IF(OR(E138="",R138=""),"",IF(AND(Q138='G-7 WaterC'' Data'!$G$4,AA138="Yes"),"Alternative Compensation ✓",IF(AND(AA138="Pending",Q138='G-7 WaterC'' Data'!$G$4),"Bespoke compensation must be agreed ▲",IF((W138+X138)&gt;=R138,0,R138-W138-X138)))),"Check Data ⚠")</f>
        <v/>
      </c>
      <c r="AA138" s="800"/>
      <c r="AB138" s="136"/>
      <c r="AC138" s="104"/>
      <c r="AD138" s="104"/>
      <c r="AE138" s="54" t="str">
        <f>IF(OR(Q138="",AA138="Yes"),"",IF(Q138='G-1 All Habitats'!$X$9,E138-U138-V138,"None"))</f>
        <v/>
      </c>
      <c r="AF138" s="55" t="str">
        <f>IF(Q138="","",IF(Q138='G-1 All Habitats'!$X$9,AE138*G138*I138*L138*N138*P138,"None"))</f>
        <v/>
      </c>
      <c r="AI138" s="30">
        <f t="shared" si="16"/>
        <v>0</v>
      </c>
      <c r="AJ138" s="107" t="str">
        <f t="shared" si="17"/>
        <v/>
      </c>
      <c r="AK138" s="107" t="str">
        <f t="shared" si="18"/>
        <v/>
      </c>
      <c r="AM138" s="107">
        <v>129</v>
      </c>
      <c r="AO138" s="107" t="str">
        <f t="array" ref="AO138">IFERROR(INDEX($AM$10:$AM$258,MATCH(0,IF(TRUE=$AJ$10:$AJ$258,COUNTIF($AO$9:$AO137,$AM$10:$AM$258),""),0)),"")</f>
        <v/>
      </c>
      <c r="AP138" s="107" t="str">
        <f t="array" ref="AP138">IFERROR(INDEX($AM$10:$AM$258,MATCH(0,IF(TRUE=$AK$10:$AK$258,COUNTIF($AP$9:$AP137,$AM$10:$AM$258),""),0)),"")</f>
        <v/>
      </c>
      <c r="AR138" s="30" t="str">
        <f>IFERROR(INDEX('G-7 WaterC'' Data'!$AZ$3:$AZ$7,MATCH(D138,'G-7 WaterC'' Data'!$AY$3:$AY$7,0)),"")</f>
        <v/>
      </c>
      <c r="AS138" s="30" t="str">
        <f>IFERROR(INDEX('G-7 WaterC'' Data'!AZ138:AZ142,MATCH(D138,'G-7 WaterC'' Data'!$AY$10:$AY$14,0)),"")</f>
        <v/>
      </c>
      <c r="AT138" s="885" t="str">
        <f>IF(AND(OR(AA138="Yes",AA138="Pending"),Q138='G-7 WaterC'' Data'!$G$4),R138-W138-X138,"")</f>
        <v/>
      </c>
      <c r="AU138" s="30" t="str">
        <f>IF(D138="","",VLOOKUP(D138,'G-7 WaterC'' Data'!B$4:M$8,12,FALSE))</f>
        <v/>
      </c>
      <c r="AV138" s="30" t="str">
        <f t="shared" si="20" ref="AV138:AV201">IF(AA138="","",IF(AA138="Yes","Yes ✓","No ▲"))</f>
        <v/>
      </c>
      <c r="AX138" s="30" t="str">
        <f t="shared" si="19"/>
        <v>No</v>
      </c>
    </row>
    <row r="139" spans="3:50" ht="14" hidden="1">
      <c r="C139" s="97">
        <v>130</v>
      </c>
      <c r="D139" s="261"/>
      <c r="E139" s="115"/>
      <c r="F139" s="275" t="str">
        <f>IF(D139="","",VLOOKUP(D139,'G-7 WaterC'' Data'!$B$2:$G$8,2,FALSE))</f>
        <v/>
      </c>
      <c r="G139" s="276" t="str">
        <f>IFERROR(VLOOKUP(F139,'G-7 WaterC'' Data'!$C$4:$D$8,2,FALSE),"")</f>
        <v/>
      </c>
      <c r="H139" s="52"/>
      <c r="I139" s="276" t="str">
        <f>IFERROR(INDEX('G-7 WaterC'' Data'!$H$4:$L$8,MATCH(D139,'G-7 WaterC'' Data'!$B$4:$B$8,0),MATCH(H139,'G-7 WaterC'' Data'!$H$3:$L$3,0)),"")</f>
        <v/>
      </c>
      <c r="J139" s="777"/>
      <c r="K139" s="311" t="str">
        <f>IF(J139="","",IF(VLOOKUP(J139,'G-7 WaterC'' Data'!$AK$4:$AM$6,2,FALSE)=0,"Spatial Data Missing ⚠",VLOOKUP(J139,'G-7 WaterC'' Data'!$AK$4:$AM$6,2,FALSE)))</f>
        <v/>
      </c>
      <c r="L139" s="281" t="str">
        <f>IF(J139="","",IF(VLOOKUP(J139,'G-7 WaterC'' Data'!$AK$4:$AM$9,3,FALSE)=0,"Spatial Data Missing ⚠",VLOOKUP(J139,'G-7 WaterC'' Data'!$AK$4:$AM$6,3,FALSE)))</f>
        <v/>
      </c>
      <c r="M139" s="52"/>
      <c r="N139" s="276" t="str">
        <f>IF(M139="","",IF(AND(D139&lt;&gt;"Culvert",M139="N/A - Culvert"),"Not possible ▲",IF(AND(D139="Culvert",M139&lt;&gt;"N/A - Culvert"),"Not possible ▲",IF(VLOOKUP(M139,'G-7 WaterC'' Data'!$AA$4:$AB$7,2,FALSE)=0,"Spatial Data Missing ⚠",VLOOKUP(M139,'G-7 WaterC'' Data'!$AA$4:$AB$7,2,FALSE)))))</f>
        <v/>
      </c>
      <c r="O139" s="56"/>
      <c r="P139" s="276" t="str">
        <f>IF(O139="","",IF(AND(O139="N/A - Culvert",D139&lt;&gt;"Culvert"),"Not possible ▲",IF(AND(D139="Culvert",O139&lt;&gt;"N/A - Culvert"),"Not possible ▲",IF(VLOOKUP(O139,'G-7 WaterC'' Data'!$AD$4:$AE$14,2,FALSE)=0,"Spatial Data Missing ⚠",VLOOKUP(O139,'G-7 WaterC'' Data'!$AD$4:$AE$14,2,FALSE)))))</f>
        <v/>
      </c>
      <c r="Q139" s="282" t="str">
        <f>IF(D139="","",VLOOKUP(D139,'G-7 WaterC'' Data'!$B$2:$G$8,6,FALSE))</f>
        <v/>
      </c>
      <c r="R139" s="289" t="str">
        <f t="shared" si="21" ref="R139:R202">IFERROR(IF(AND(U139&gt;0,V139&gt;0,U139+V139&gt;E139),"Split retained and enhanced into separate entries ▲",IF(OR(K139="Check data ⚠",I139="Check data ⚠"),"Check data ▲",E139*G139*I139*L139*N139*P139))," ")</f>
        <v xml:space="preserve"> </v>
      </c>
      <c r="S139" s="803" t="str">
        <f t="shared" si="22" ref="S139:S202">AU139</f>
        <v/>
      </c>
      <c r="T139" s="32"/>
      <c r="U139" s="101"/>
      <c r="V139" s="108"/>
      <c r="W139" s="287" t="str">
        <f t="shared" si="23" ref="W139:W202">IFERROR(IF(U139&gt;E139,"Error in Lengths ▲",U139*G139*I139*L139*N139*P139),"")</f>
        <v/>
      </c>
      <c r="X139" s="287" t="str">
        <f t="shared" si="24" ref="X139:X202">IFERROR(IF(D139="","",V139*G139*I139*L139*N139*P139),"")</f>
        <v/>
      </c>
      <c r="Y139" s="287" t="str">
        <f t="shared" si="25" ref="Y139:Y202">IFERROR(IF(D139="","",IF(E139&gt;(U139+V139),E139-U139-V139,0)),"")</f>
        <v/>
      </c>
      <c r="Z139" s="317" t="str">
        <f>IFERROR(IF(OR(E139="",R139=""),"",IF(AND(Q139='G-7 WaterC'' Data'!$G$4,AA139="Yes"),"Alternative Compensation ✓",IF(AND(AA139="Pending",Q139='G-7 WaterC'' Data'!$G$4),"Bespoke compensation must be agreed ▲",IF((W139+X139)&gt;=R139,0,R139-W139-X139)))),"Check Data ⚠")</f>
        <v/>
      </c>
      <c r="AA139" s="800"/>
      <c r="AB139" s="136"/>
      <c r="AC139" s="104"/>
      <c r="AD139" s="104"/>
      <c r="AE139" s="54" t="str">
        <f>IF(OR(Q139="",AA139="Yes"),"",IF(Q139='G-1 All Habitats'!$X$9,E139-U139-V139,"None"))</f>
        <v/>
      </c>
      <c r="AF139" s="55" t="str">
        <f>IF(Q139="","",IF(Q139='G-1 All Habitats'!$X$9,AE139*G139*I139*L139*N139*P139,"None"))</f>
        <v/>
      </c>
      <c r="AI139" s="30">
        <f t="shared" si="26" ref="AI139:AI202">IFERROR(IF(U139+V139&gt;E139,1,0),"")</f>
        <v>0</v>
      </c>
      <c r="AJ139" s="107" t="str">
        <f t="shared" si="27" ref="AJ139:AJ202">IF(D139="","",IF(U139&gt;0,TRUE,FALSE))</f>
        <v/>
      </c>
      <c r="AK139" s="107" t="str">
        <f t="shared" si="28" ref="AK139:AK202">IF(D139="","",IF(V139&gt;0,TRUE,FALSE))</f>
        <v/>
      </c>
      <c r="AM139" s="107">
        <v>130</v>
      </c>
      <c r="AO139" s="107" t="str">
        <f t="array" ref="AO139">IFERROR(INDEX($AM$10:$AM$258,MATCH(0,IF(TRUE=$AJ$10:$AJ$258,COUNTIF($AO$9:$AO138,$AM$10:$AM$258),""),0)),"")</f>
        <v/>
      </c>
      <c r="AP139" s="107" t="str">
        <f t="array" ref="AP139">IFERROR(INDEX($AM$10:$AM$258,MATCH(0,IF(TRUE=$AK$10:$AK$258,COUNTIF($AP$9:$AP138,$AM$10:$AM$258),""),0)),"")</f>
        <v/>
      </c>
      <c r="AR139" s="30" t="str">
        <f>IFERROR(INDEX('G-7 WaterC'' Data'!$AZ$3:$AZ$7,MATCH(D139,'G-7 WaterC'' Data'!$AY$3:$AY$7,0)),"")</f>
        <v/>
      </c>
      <c r="AS139" s="30" t="str">
        <f>IFERROR(INDEX('G-7 WaterC'' Data'!AZ139:AZ143,MATCH(D139,'G-7 WaterC'' Data'!$AY$10:$AY$14,0)),"")</f>
        <v/>
      </c>
      <c r="AT139" s="885" t="str">
        <f>IF(AND(OR(AA139="Yes",AA139="Pending"),Q139='G-7 WaterC'' Data'!$G$4),R139-W139-X139,"")</f>
        <v/>
      </c>
      <c r="AU139" s="30" t="str">
        <f>IF(D139="","",VLOOKUP(D139,'G-7 WaterC'' Data'!B$4:M$8,12,FALSE))</f>
        <v/>
      </c>
      <c r="AV139" s="30" t="str">
        <f t="shared" si="20"/>
        <v/>
      </c>
      <c r="AX139" s="30" t="str">
        <f t="shared" si="29" ref="AX139:AX202">IF(AND(D139="Ditches",(OR(H139="Fairly Poor",H139="Fairly Good"))),"Yes","No")</f>
        <v>No</v>
      </c>
    </row>
    <row r="140" spans="3:50" ht="14" hidden="1">
      <c r="C140" s="97">
        <v>131</v>
      </c>
      <c r="D140" s="261"/>
      <c r="E140" s="115"/>
      <c r="F140" s="275" t="str">
        <f>IF(D140="","",VLOOKUP(D140,'G-7 WaterC'' Data'!$B$2:$G$8,2,FALSE))</f>
        <v/>
      </c>
      <c r="G140" s="276" t="str">
        <f>IFERROR(VLOOKUP(F140,'G-7 WaterC'' Data'!$C$4:$D$8,2,FALSE),"")</f>
        <v/>
      </c>
      <c r="H140" s="52"/>
      <c r="I140" s="276" t="str">
        <f>IFERROR(INDEX('G-7 WaterC'' Data'!$H$4:$L$8,MATCH(D140,'G-7 WaterC'' Data'!$B$4:$B$8,0),MATCH(H140,'G-7 WaterC'' Data'!$H$3:$L$3,0)),"")</f>
        <v/>
      </c>
      <c r="J140" s="777"/>
      <c r="K140" s="311" t="str">
        <f>IF(J140="","",IF(VLOOKUP(J140,'G-7 WaterC'' Data'!$AK$4:$AM$6,2,FALSE)=0,"Spatial Data Missing ⚠",VLOOKUP(J140,'G-7 WaterC'' Data'!$AK$4:$AM$6,2,FALSE)))</f>
        <v/>
      </c>
      <c r="L140" s="281" t="str">
        <f>IF(J140="","",IF(VLOOKUP(J140,'G-7 WaterC'' Data'!$AK$4:$AM$9,3,FALSE)=0,"Spatial Data Missing ⚠",VLOOKUP(J140,'G-7 WaterC'' Data'!$AK$4:$AM$6,3,FALSE)))</f>
        <v/>
      </c>
      <c r="M140" s="52"/>
      <c r="N140" s="276" t="str">
        <f>IF(M140="","",IF(AND(D140&lt;&gt;"Culvert",M140="N/A - Culvert"),"Not possible ▲",IF(AND(D140="Culvert",M140&lt;&gt;"N/A - Culvert"),"Not possible ▲",IF(VLOOKUP(M140,'G-7 WaterC'' Data'!$AA$4:$AB$7,2,FALSE)=0,"Spatial Data Missing ⚠",VLOOKUP(M140,'G-7 WaterC'' Data'!$AA$4:$AB$7,2,FALSE)))))</f>
        <v/>
      </c>
      <c r="O140" s="56"/>
      <c r="P140" s="276" t="str">
        <f>IF(O140="","",IF(AND(O140="N/A - Culvert",D140&lt;&gt;"Culvert"),"Not possible ▲",IF(AND(D140="Culvert",O140&lt;&gt;"N/A - Culvert"),"Not possible ▲",IF(VLOOKUP(O140,'G-7 WaterC'' Data'!$AD$4:$AE$14,2,FALSE)=0,"Spatial Data Missing ⚠",VLOOKUP(O140,'G-7 WaterC'' Data'!$AD$4:$AE$14,2,FALSE)))))</f>
        <v/>
      </c>
      <c r="Q140" s="282" t="str">
        <f>IF(D140="","",VLOOKUP(D140,'G-7 WaterC'' Data'!$B$2:$G$8,6,FALSE))</f>
        <v/>
      </c>
      <c r="R140" s="289" t="str">
        <f t="shared" si="21"/>
        <v xml:space="preserve"> </v>
      </c>
      <c r="S140" s="803" t="str">
        <f t="shared" si="22"/>
        <v/>
      </c>
      <c r="T140" s="32"/>
      <c r="U140" s="101"/>
      <c r="V140" s="108"/>
      <c r="W140" s="287" t="str">
        <f t="shared" si="23"/>
        <v/>
      </c>
      <c r="X140" s="287" t="str">
        <f t="shared" si="24"/>
        <v/>
      </c>
      <c r="Y140" s="287" t="str">
        <f t="shared" si="25"/>
        <v/>
      </c>
      <c r="Z140" s="317" t="str">
        <f>IFERROR(IF(OR(E140="",R140=""),"",IF(AND(Q140='G-7 WaterC'' Data'!$G$4,AA140="Yes"),"Alternative Compensation ✓",IF(AND(AA140="Pending",Q140='G-7 WaterC'' Data'!$G$4),"Bespoke compensation must be agreed ▲",IF((W140+X140)&gt;=R140,0,R140-W140-X140)))),"Check Data ⚠")</f>
        <v/>
      </c>
      <c r="AA140" s="800"/>
      <c r="AB140" s="136"/>
      <c r="AC140" s="104"/>
      <c r="AD140" s="104"/>
      <c r="AE140" s="54" t="str">
        <f>IF(OR(Q140="",AA140="Yes"),"",IF(Q140='G-1 All Habitats'!$X$9,E140-U140-V140,"None"))</f>
        <v/>
      </c>
      <c r="AF140" s="55" t="str">
        <f>IF(Q140="","",IF(Q140='G-1 All Habitats'!$X$9,AE140*G140*I140*L140*N140*P140,"None"))</f>
        <v/>
      </c>
      <c r="AI140" s="30">
        <f t="shared" si="26"/>
        <v>0</v>
      </c>
      <c r="AJ140" s="107" t="str">
        <f t="shared" si="27"/>
        <v/>
      </c>
      <c r="AK140" s="107" t="str">
        <f t="shared" si="28"/>
        <v/>
      </c>
      <c r="AM140" s="107">
        <v>131</v>
      </c>
      <c r="AO140" s="107" t="str">
        <f t="array" ref="AO140">IFERROR(INDEX($AM$10:$AM$258,MATCH(0,IF(TRUE=$AJ$10:$AJ$258,COUNTIF($AO$9:$AO139,$AM$10:$AM$258),""),0)),"")</f>
        <v/>
      </c>
      <c r="AP140" s="107" t="str">
        <f t="array" ref="AP140">IFERROR(INDEX($AM$10:$AM$258,MATCH(0,IF(TRUE=$AK$10:$AK$258,COUNTIF($AP$9:$AP139,$AM$10:$AM$258),""),0)),"")</f>
        <v/>
      </c>
      <c r="AR140" s="30" t="str">
        <f>IFERROR(INDEX('G-7 WaterC'' Data'!$AZ$3:$AZ$7,MATCH(D140,'G-7 WaterC'' Data'!$AY$3:$AY$7,0)),"")</f>
        <v/>
      </c>
      <c r="AS140" s="30" t="str">
        <f>IFERROR(INDEX('G-7 WaterC'' Data'!AZ140:AZ144,MATCH(D140,'G-7 WaterC'' Data'!$AY$10:$AY$14,0)),"")</f>
        <v/>
      </c>
      <c r="AT140" s="885" t="str">
        <f>IF(AND(OR(AA140="Yes",AA140="Pending"),Q140='G-7 WaterC'' Data'!$G$4),R140-W140-X140,"")</f>
        <v/>
      </c>
      <c r="AU140" s="30" t="str">
        <f>IF(D140="","",VLOOKUP(D140,'G-7 WaterC'' Data'!B$4:M$8,12,FALSE))</f>
        <v/>
      </c>
      <c r="AV140" s="30" t="str">
        <f t="shared" si="20"/>
        <v/>
      </c>
      <c r="AX140" s="30" t="str">
        <f t="shared" si="29"/>
        <v>No</v>
      </c>
    </row>
    <row r="141" spans="3:50" ht="14" hidden="1">
      <c r="C141" s="97">
        <v>132</v>
      </c>
      <c r="D141" s="261"/>
      <c r="E141" s="115"/>
      <c r="F141" s="275" t="str">
        <f>IF(D141="","",VLOOKUP(D141,'G-7 WaterC'' Data'!$B$2:$G$8,2,FALSE))</f>
        <v/>
      </c>
      <c r="G141" s="276" t="str">
        <f>IFERROR(VLOOKUP(F141,'G-7 WaterC'' Data'!$C$4:$D$8,2,FALSE),"")</f>
        <v/>
      </c>
      <c r="H141" s="52"/>
      <c r="I141" s="276" t="str">
        <f>IFERROR(INDEX('G-7 WaterC'' Data'!$H$4:$L$8,MATCH(D141,'G-7 WaterC'' Data'!$B$4:$B$8,0),MATCH(H141,'G-7 WaterC'' Data'!$H$3:$L$3,0)),"")</f>
        <v/>
      </c>
      <c r="J141" s="777"/>
      <c r="K141" s="311" t="str">
        <f>IF(J141="","",IF(VLOOKUP(J141,'G-7 WaterC'' Data'!$AK$4:$AM$6,2,FALSE)=0,"Spatial Data Missing ⚠",VLOOKUP(J141,'G-7 WaterC'' Data'!$AK$4:$AM$6,2,FALSE)))</f>
        <v/>
      </c>
      <c r="L141" s="281" t="str">
        <f>IF(J141="","",IF(VLOOKUP(J141,'G-7 WaterC'' Data'!$AK$4:$AM$9,3,FALSE)=0,"Spatial Data Missing ⚠",VLOOKUP(J141,'G-7 WaterC'' Data'!$AK$4:$AM$6,3,FALSE)))</f>
        <v/>
      </c>
      <c r="M141" s="52"/>
      <c r="N141" s="276" t="str">
        <f>IF(M141="","",IF(AND(D141&lt;&gt;"Culvert",M141="N/A - Culvert"),"Not possible ▲",IF(AND(D141="Culvert",M141&lt;&gt;"N/A - Culvert"),"Not possible ▲",IF(VLOOKUP(M141,'G-7 WaterC'' Data'!$AA$4:$AB$7,2,FALSE)=0,"Spatial Data Missing ⚠",VLOOKUP(M141,'G-7 WaterC'' Data'!$AA$4:$AB$7,2,FALSE)))))</f>
        <v/>
      </c>
      <c r="O141" s="56"/>
      <c r="P141" s="276" t="str">
        <f>IF(O141="","",IF(AND(O141="N/A - Culvert",D141&lt;&gt;"Culvert"),"Not possible ▲",IF(AND(D141="Culvert",O141&lt;&gt;"N/A - Culvert"),"Not possible ▲",IF(VLOOKUP(O141,'G-7 WaterC'' Data'!$AD$4:$AE$14,2,FALSE)=0,"Spatial Data Missing ⚠",VLOOKUP(O141,'G-7 WaterC'' Data'!$AD$4:$AE$14,2,FALSE)))))</f>
        <v/>
      </c>
      <c r="Q141" s="282" t="str">
        <f>IF(D141="","",VLOOKUP(D141,'G-7 WaterC'' Data'!$B$2:$G$8,6,FALSE))</f>
        <v/>
      </c>
      <c r="R141" s="289" t="str">
        <f t="shared" si="21"/>
        <v xml:space="preserve"> </v>
      </c>
      <c r="S141" s="803" t="str">
        <f t="shared" si="22"/>
        <v/>
      </c>
      <c r="T141" s="32"/>
      <c r="U141" s="101"/>
      <c r="V141" s="108"/>
      <c r="W141" s="287" t="str">
        <f t="shared" si="23"/>
        <v/>
      </c>
      <c r="X141" s="287" t="str">
        <f t="shared" si="24"/>
        <v/>
      </c>
      <c r="Y141" s="287" t="str">
        <f t="shared" si="25"/>
        <v/>
      </c>
      <c r="Z141" s="317" t="str">
        <f>IFERROR(IF(OR(E141="",R141=""),"",IF(AND(Q141='G-7 WaterC'' Data'!$G$4,AA141="Yes"),"Alternative Compensation ✓",IF(AND(AA141="Pending",Q141='G-7 WaterC'' Data'!$G$4),"Bespoke compensation must be agreed ▲",IF((W141+X141)&gt;=R141,0,R141-W141-X141)))),"Check Data ⚠")</f>
        <v/>
      </c>
      <c r="AA141" s="800"/>
      <c r="AB141" s="136"/>
      <c r="AC141" s="104"/>
      <c r="AD141" s="104"/>
      <c r="AE141" s="54" t="str">
        <f>IF(OR(Q141="",AA141="Yes"),"",IF(Q141='G-1 All Habitats'!$X$9,E141-U141-V141,"None"))</f>
        <v/>
      </c>
      <c r="AF141" s="55" t="str">
        <f>IF(Q141="","",IF(Q141='G-1 All Habitats'!$X$9,AE141*G141*I141*L141*N141*P141,"None"))</f>
        <v/>
      </c>
      <c r="AI141" s="30">
        <f t="shared" si="26"/>
        <v>0</v>
      </c>
      <c r="AJ141" s="107" t="str">
        <f t="shared" si="27"/>
        <v/>
      </c>
      <c r="AK141" s="107" t="str">
        <f t="shared" si="28"/>
        <v/>
      </c>
      <c r="AM141" s="107">
        <v>132</v>
      </c>
      <c r="AO141" s="107" t="str">
        <f t="array" ref="AO141">IFERROR(INDEX($AM$10:$AM$258,MATCH(0,IF(TRUE=$AJ$10:$AJ$258,COUNTIF($AO$9:$AO140,$AM$10:$AM$258),""),0)),"")</f>
        <v/>
      </c>
      <c r="AP141" s="107" t="str">
        <f t="array" ref="AP141">IFERROR(INDEX($AM$10:$AM$258,MATCH(0,IF(TRUE=$AK$10:$AK$258,COUNTIF($AP$9:$AP140,$AM$10:$AM$258),""),0)),"")</f>
        <v/>
      </c>
      <c r="AR141" s="30" t="str">
        <f>IFERROR(INDEX('G-7 WaterC'' Data'!$AZ$3:$AZ$7,MATCH(D141,'G-7 WaterC'' Data'!$AY$3:$AY$7,0)),"")</f>
        <v/>
      </c>
      <c r="AS141" s="30" t="str">
        <f>IFERROR(INDEX('G-7 WaterC'' Data'!AZ141:AZ145,MATCH(D141,'G-7 WaterC'' Data'!$AY$10:$AY$14,0)),"")</f>
        <v/>
      </c>
      <c r="AT141" s="885" t="str">
        <f>IF(AND(OR(AA141="Yes",AA141="Pending"),Q141='G-7 WaterC'' Data'!$G$4),R141-W141-X141,"")</f>
        <v/>
      </c>
      <c r="AU141" s="30" t="str">
        <f>IF(D141="","",VLOOKUP(D141,'G-7 WaterC'' Data'!B$4:M$8,12,FALSE))</f>
        <v/>
      </c>
      <c r="AV141" s="30" t="str">
        <f t="shared" si="20"/>
        <v/>
      </c>
      <c r="AX141" s="30" t="str">
        <f t="shared" si="29"/>
        <v>No</v>
      </c>
    </row>
    <row r="142" spans="3:50" ht="14" hidden="1">
      <c r="C142" s="97">
        <v>133</v>
      </c>
      <c r="D142" s="261"/>
      <c r="E142" s="115"/>
      <c r="F142" s="275" t="str">
        <f>IF(D142="","",VLOOKUP(D142,'G-7 WaterC'' Data'!$B$2:$G$8,2,FALSE))</f>
        <v/>
      </c>
      <c r="G142" s="276" t="str">
        <f>IFERROR(VLOOKUP(F142,'G-7 WaterC'' Data'!$C$4:$D$8,2,FALSE),"")</f>
        <v/>
      </c>
      <c r="H142" s="52"/>
      <c r="I142" s="276" t="str">
        <f>IFERROR(INDEX('G-7 WaterC'' Data'!$H$4:$L$8,MATCH(D142,'G-7 WaterC'' Data'!$B$4:$B$8,0),MATCH(H142,'G-7 WaterC'' Data'!$H$3:$L$3,0)),"")</f>
        <v/>
      </c>
      <c r="J142" s="777"/>
      <c r="K142" s="311" t="str">
        <f>IF(J142="","",IF(VLOOKUP(J142,'G-7 WaterC'' Data'!$AK$4:$AM$6,2,FALSE)=0,"Spatial Data Missing ⚠",VLOOKUP(J142,'G-7 WaterC'' Data'!$AK$4:$AM$6,2,FALSE)))</f>
        <v/>
      </c>
      <c r="L142" s="281" t="str">
        <f>IF(J142="","",IF(VLOOKUP(J142,'G-7 WaterC'' Data'!$AK$4:$AM$9,3,FALSE)=0,"Spatial Data Missing ⚠",VLOOKUP(J142,'G-7 WaterC'' Data'!$AK$4:$AM$6,3,FALSE)))</f>
        <v/>
      </c>
      <c r="M142" s="52"/>
      <c r="N142" s="276" t="str">
        <f>IF(M142="","",IF(AND(D142&lt;&gt;"Culvert",M142="N/A - Culvert"),"Not possible ▲",IF(AND(D142="Culvert",M142&lt;&gt;"N/A - Culvert"),"Not possible ▲",IF(VLOOKUP(M142,'G-7 WaterC'' Data'!$AA$4:$AB$7,2,FALSE)=0,"Spatial Data Missing ⚠",VLOOKUP(M142,'G-7 WaterC'' Data'!$AA$4:$AB$7,2,FALSE)))))</f>
        <v/>
      </c>
      <c r="O142" s="56"/>
      <c r="P142" s="276" t="str">
        <f>IF(O142="","",IF(AND(O142="N/A - Culvert",D142&lt;&gt;"Culvert"),"Not possible ▲",IF(AND(D142="Culvert",O142&lt;&gt;"N/A - Culvert"),"Not possible ▲",IF(VLOOKUP(O142,'G-7 WaterC'' Data'!$AD$4:$AE$14,2,FALSE)=0,"Spatial Data Missing ⚠",VLOOKUP(O142,'G-7 WaterC'' Data'!$AD$4:$AE$14,2,FALSE)))))</f>
        <v/>
      </c>
      <c r="Q142" s="282" t="str">
        <f>IF(D142="","",VLOOKUP(D142,'G-7 WaterC'' Data'!$B$2:$G$8,6,FALSE))</f>
        <v/>
      </c>
      <c r="R142" s="289" t="str">
        <f t="shared" si="21"/>
        <v xml:space="preserve"> </v>
      </c>
      <c r="S142" s="803" t="str">
        <f t="shared" si="22"/>
        <v/>
      </c>
      <c r="T142" s="32"/>
      <c r="U142" s="101"/>
      <c r="V142" s="108"/>
      <c r="W142" s="287" t="str">
        <f t="shared" si="23"/>
        <v/>
      </c>
      <c r="X142" s="287" t="str">
        <f t="shared" si="24"/>
        <v/>
      </c>
      <c r="Y142" s="287" t="str">
        <f t="shared" si="25"/>
        <v/>
      </c>
      <c r="Z142" s="317" t="str">
        <f>IFERROR(IF(OR(E142="",R142=""),"",IF(AND(Q142='G-7 WaterC'' Data'!$G$4,AA142="Yes"),"Alternative Compensation ✓",IF(AND(AA142="Pending",Q142='G-7 WaterC'' Data'!$G$4),"Bespoke compensation must be agreed ▲",IF((W142+X142)&gt;=R142,0,R142-W142-X142)))),"Check Data ⚠")</f>
        <v/>
      </c>
      <c r="AA142" s="800"/>
      <c r="AB142" s="136"/>
      <c r="AC142" s="104"/>
      <c r="AD142" s="104"/>
      <c r="AE142" s="54" t="str">
        <f>IF(OR(Q142="",AA142="Yes"),"",IF(Q142='G-1 All Habitats'!$X$9,E142-U142-V142,"None"))</f>
        <v/>
      </c>
      <c r="AF142" s="55" t="str">
        <f>IF(Q142="","",IF(Q142='G-1 All Habitats'!$X$9,AE142*G142*I142*L142*N142*P142,"None"))</f>
        <v/>
      </c>
      <c r="AI142" s="30">
        <f t="shared" si="26"/>
        <v>0</v>
      </c>
      <c r="AJ142" s="107" t="str">
        <f t="shared" si="27"/>
        <v/>
      </c>
      <c r="AK142" s="107" t="str">
        <f t="shared" si="28"/>
        <v/>
      </c>
      <c r="AM142" s="107">
        <v>133</v>
      </c>
      <c r="AO142" s="107" t="str">
        <f t="array" ref="AO142">IFERROR(INDEX($AM$10:$AM$258,MATCH(0,IF(TRUE=$AJ$10:$AJ$258,COUNTIF($AO$9:$AO141,$AM$10:$AM$258),""),0)),"")</f>
        <v/>
      </c>
      <c r="AP142" s="107" t="str">
        <f t="array" ref="AP142">IFERROR(INDEX($AM$10:$AM$258,MATCH(0,IF(TRUE=$AK$10:$AK$258,COUNTIF($AP$9:$AP141,$AM$10:$AM$258),""),0)),"")</f>
        <v/>
      </c>
      <c r="AR142" s="30" t="str">
        <f>IFERROR(INDEX('G-7 WaterC'' Data'!$AZ$3:$AZ$7,MATCH(D142,'G-7 WaterC'' Data'!$AY$3:$AY$7,0)),"")</f>
        <v/>
      </c>
      <c r="AS142" s="30" t="str">
        <f>IFERROR(INDEX('G-7 WaterC'' Data'!AZ142:AZ146,MATCH(D142,'G-7 WaterC'' Data'!$AY$10:$AY$14,0)),"")</f>
        <v/>
      </c>
      <c r="AT142" s="885" t="str">
        <f>IF(AND(OR(AA142="Yes",AA142="Pending"),Q142='G-7 WaterC'' Data'!$G$4),R142-W142-X142,"")</f>
        <v/>
      </c>
      <c r="AU142" s="30" t="str">
        <f>IF(D142="","",VLOOKUP(D142,'G-7 WaterC'' Data'!B$4:M$8,12,FALSE))</f>
        <v/>
      </c>
      <c r="AV142" s="30" t="str">
        <f t="shared" si="20"/>
        <v/>
      </c>
      <c r="AX142" s="30" t="str">
        <f t="shared" si="29"/>
        <v>No</v>
      </c>
    </row>
    <row r="143" spans="3:50" ht="14" hidden="1">
      <c r="C143" s="97">
        <v>134</v>
      </c>
      <c r="D143" s="261"/>
      <c r="E143" s="115"/>
      <c r="F143" s="275" t="str">
        <f>IF(D143="","",VLOOKUP(D143,'G-7 WaterC'' Data'!$B$2:$G$8,2,FALSE))</f>
        <v/>
      </c>
      <c r="G143" s="276" t="str">
        <f>IFERROR(VLOOKUP(F143,'G-7 WaterC'' Data'!$C$4:$D$8,2,FALSE),"")</f>
        <v/>
      </c>
      <c r="H143" s="52"/>
      <c r="I143" s="276" t="str">
        <f>IFERROR(INDEX('G-7 WaterC'' Data'!$H$4:$L$8,MATCH(D143,'G-7 WaterC'' Data'!$B$4:$B$8,0),MATCH(H143,'G-7 WaterC'' Data'!$H$3:$L$3,0)),"")</f>
        <v/>
      </c>
      <c r="J143" s="777"/>
      <c r="K143" s="311" t="str">
        <f>IF(J143="","",IF(VLOOKUP(J143,'G-7 WaterC'' Data'!$AK$4:$AM$6,2,FALSE)=0,"Spatial Data Missing ⚠",VLOOKUP(J143,'G-7 WaterC'' Data'!$AK$4:$AM$6,2,FALSE)))</f>
        <v/>
      </c>
      <c r="L143" s="281" t="str">
        <f>IF(J143="","",IF(VLOOKUP(J143,'G-7 WaterC'' Data'!$AK$4:$AM$9,3,FALSE)=0,"Spatial Data Missing ⚠",VLOOKUP(J143,'G-7 WaterC'' Data'!$AK$4:$AM$6,3,FALSE)))</f>
        <v/>
      </c>
      <c r="M143" s="52"/>
      <c r="N143" s="276" t="str">
        <f>IF(M143="","",IF(AND(D143&lt;&gt;"Culvert",M143="N/A - Culvert"),"Not possible ▲",IF(AND(D143="Culvert",M143&lt;&gt;"N/A - Culvert"),"Not possible ▲",IF(VLOOKUP(M143,'G-7 WaterC'' Data'!$AA$4:$AB$7,2,FALSE)=0,"Spatial Data Missing ⚠",VLOOKUP(M143,'G-7 WaterC'' Data'!$AA$4:$AB$7,2,FALSE)))))</f>
        <v/>
      </c>
      <c r="O143" s="56"/>
      <c r="P143" s="276" t="str">
        <f>IF(O143="","",IF(AND(O143="N/A - Culvert",D143&lt;&gt;"Culvert"),"Not possible ▲",IF(AND(D143="Culvert",O143&lt;&gt;"N/A - Culvert"),"Not possible ▲",IF(VLOOKUP(O143,'G-7 WaterC'' Data'!$AD$4:$AE$14,2,FALSE)=0,"Spatial Data Missing ⚠",VLOOKUP(O143,'G-7 WaterC'' Data'!$AD$4:$AE$14,2,FALSE)))))</f>
        <v/>
      </c>
      <c r="Q143" s="282" t="str">
        <f>IF(D143="","",VLOOKUP(D143,'G-7 WaterC'' Data'!$B$2:$G$8,6,FALSE))</f>
        <v/>
      </c>
      <c r="R143" s="289" t="str">
        <f t="shared" si="21"/>
        <v xml:space="preserve"> </v>
      </c>
      <c r="S143" s="803" t="str">
        <f t="shared" si="22"/>
        <v/>
      </c>
      <c r="T143" s="32"/>
      <c r="U143" s="101"/>
      <c r="V143" s="108"/>
      <c r="W143" s="287" t="str">
        <f t="shared" si="23"/>
        <v/>
      </c>
      <c r="X143" s="287" t="str">
        <f t="shared" si="24"/>
        <v/>
      </c>
      <c r="Y143" s="287" t="str">
        <f t="shared" si="25"/>
        <v/>
      </c>
      <c r="Z143" s="317" t="str">
        <f>IFERROR(IF(OR(E143="",R143=""),"",IF(AND(Q143='G-7 WaterC'' Data'!$G$4,AA143="Yes"),"Alternative Compensation ✓",IF(AND(AA143="Pending",Q143='G-7 WaterC'' Data'!$G$4),"Bespoke compensation must be agreed ▲",IF((W143+X143)&gt;=R143,0,R143-W143-X143)))),"Check Data ⚠")</f>
        <v/>
      </c>
      <c r="AA143" s="800"/>
      <c r="AB143" s="136"/>
      <c r="AC143" s="104"/>
      <c r="AD143" s="104"/>
      <c r="AE143" s="54" t="str">
        <f>IF(OR(Q143="",AA143="Yes"),"",IF(Q143='G-1 All Habitats'!$X$9,E143-U143-V143,"None"))</f>
        <v/>
      </c>
      <c r="AF143" s="55" t="str">
        <f>IF(Q143="","",IF(Q143='G-1 All Habitats'!$X$9,AE143*G143*I143*L143*N143*P143,"None"))</f>
        <v/>
      </c>
      <c r="AI143" s="30">
        <f t="shared" si="26"/>
        <v>0</v>
      </c>
      <c r="AJ143" s="107" t="str">
        <f t="shared" si="27"/>
        <v/>
      </c>
      <c r="AK143" s="107" t="str">
        <f t="shared" si="28"/>
        <v/>
      </c>
      <c r="AM143" s="107">
        <v>134</v>
      </c>
      <c r="AO143" s="107" t="str">
        <f t="array" ref="AO143">IFERROR(INDEX($AM$10:$AM$258,MATCH(0,IF(TRUE=$AJ$10:$AJ$258,COUNTIF($AO$9:$AO142,$AM$10:$AM$258),""),0)),"")</f>
        <v/>
      </c>
      <c r="AP143" s="107" t="str">
        <f t="array" ref="AP143">IFERROR(INDEX($AM$10:$AM$258,MATCH(0,IF(TRUE=$AK$10:$AK$258,COUNTIF($AP$9:$AP142,$AM$10:$AM$258),""),0)),"")</f>
        <v/>
      </c>
      <c r="AR143" s="30" t="str">
        <f>IFERROR(INDEX('G-7 WaterC'' Data'!$AZ$3:$AZ$7,MATCH(D143,'G-7 WaterC'' Data'!$AY$3:$AY$7,0)),"")</f>
        <v/>
      </c>
      <c r="AS143" s="30" t="str">
        <f>IFERROR(INDEX('G-7 WaterC'' Data'!AZ143:AZ147,MATCH(D143,'G-7 WaterC'' Data'!$AY$10:$AY$14,0)),"")</f>
        <v/>
      </c>
      <c r="AT143" s="885" t="str">
        <f>IF(AND(OR(AA143="Yes",AA143="Pending"),Q143='G-7 WaterC'' Data'!$G$4),R143-W143-X143,"")</f>
        <v/>
      </c>
      <c r="AU143" s="30" t="str">
        <f>IF(D143="","",VLOOKUP(D143,'G-7 WaterC'' Data'!B$4:M$8,12,FALSE))</f>
        <v/>
      </c>
      <c r="AV143" s="30" t="str">
        <f t="shared" si="20"/>
        <v/>
      </c>
      <c r="AX143" s="30" t="str">
        <f t="shared" si="29"/>
        <v>No</v>
      </c>
    </row>
    <row r="144" spans="3:50" ht="14" hidden="1">
      <c r="C144" s="97">
        <v>135</v>
      </c>
      <c r="D144" s="261"/>
      <c r="E144" s="115"/>
      <c r="F144" s="275" t="str">
        <f>IF(D144="","",VLOOKUP(D144,'G-7 WaterC'' Data'!$B$2:$G$8,2,FALSE))</f>
        <v/>
      </c>
      <c r="G144" s="276" t="str">
        <f>IFERROR(VLOOKUP(F144,'G-7 WaterC'' Data'!$C$4:$D$8,2,FALSE),"")</f>
        <v/>
      </c>
      <c r="H144" s="52"/>
      <c r="I144" s="276" t="str">
        <f>IFERROR(INDEX('G-7 WaterC'' Data'!$H$4:$L$8,MATCH(D144,'G-7 WaterC'' Data'!$B$4:$B$8,0),MATCH(H144,'G-7 WaterC'' Data'!$H$3:$L$3,0)),"")</f>
        <v/>
      </c>
      <c r="J144" s="777"/>
      <c r="K144" s="311" t="str">
        <f>IF(J144="","",IF(VLOOKUP(J144,'G-7 WaterC'' Data'!$AK$4:$AM$6,2,FALSE)=0,"Spatial Data Missing ⚠",VLOOKUP(J144,'G-7 WaterC'' Data'!$AK$4:$AM$6,2,FALSE)))</f>
        <v/>
      </c>
      <c r="L144" s="281" t="str">
        <f>IF(J144="","",IF(VLOOKUP(J144,'G-7 WaterC'' Data'!$AK$4:$AM$9,3,FALSE)=0,"Spatial Data Missing ⚠",VLOOKUP(J144,'G-7 WaterC'' Data'!$AK$4:$AM$6,3,FALSE)))</f>
        <v/>
      </c>
      <c r="M144" s="52"/>
      <c r="N144" s="276" t="str">
        <f>IF(M144="","",IF(AND(D144&lt;&gt;"Culvert",M144="N/A - Culvert"),"Not possible ▲",IF(AND(D144="Culvert",M144&lt;&gt;"N/A - Culvert"),"Not possible ▲",IF(VLOOKUP(M144,'G-7 WaterC'' Data'!$AA$4:$AB$7,2,FALSE)=0,"Spatial Data Missing ⚠",VLOOKUP(M144,'G-7 WaterC'' Data'!$AA$4:$AB$7,2,FALSE)))))</f>
        <v/>
      </c>
      <c r="O144" s="56"/>
      <c r="P144" s="276" t="str">
        <f>IF(O144="","",IF(AND(O144="N/A - Culvert",D144&lt;&gt;"Culvert"),"Not possible ▲",IF(AND(D144="Culvert",O144&lt;&gt;"N/A - Culvert"),"Not possible ▲",IF(VLOOKUP(O144,'G-7 WaterC'' Data'!$AD$4:$AE$14,2,FALSE)=0,"Spatial Data Missing ⚠",VLOOKUP(O144,'G-7 WaterC'' Data'!$AD$4:$AE$14,2,FALSE)))))</f>
        <v/>
      </c>
      <c r="Q144" s="282" t="str">
        <f>IF(D144="","",VLOOKUP(D144,'G-7 WaterC'' Data'!$B$2:$G$8,6,FALSE))</f>
        <v/>
      </c>
      <c r="R144" s="289" t="str">
        <f t="shared" si="21"/>
        <v xml:space="preserve"> </v>
      </c>
      <c r="S144" s="803" t="str">
        <f t="shared" si="22"/>
        <v/>
      </c>
      <c r="T144" s="32"/>
      <c r="U144" s="101"/>
      <c r="V144" s="108"/>
      <c r="W144" s="287" t="str">
        <f t="shared" si="23"/>
        <v/>
      </c>
      <c r="X144" s="287" t="str">
        <f t="shared" si="24"/>
        <v/>
      </c>
      <c r="Y144" s="287" t="str">
        <f t="shared" si="25"/>
        <v/>
      </c>
      <c r="Z144" s="317" t="str">
        <f>IFERROR(IF(OR(E144="",R144=""),"",IF(AND(Q144='G-7 WaterC'' Data'!$G$4,AA144="Yes"),"Alternative Compensation ✓",IF(AND(AA144="Pending",Q144='G-7 WaterC'' Data'!$G$4),"Bespoke compensation must be agreed ▲",IF((W144+X144)&gt;=R144,0,R144-W144-X144)))),"Check Data ⚠")</f>
        <v/>
      </c>
      <c r="AA144" s="800"/>
      <c r="AB144" s="136"/>
      <c r="AC144" s="104"/>
      <c r="AD144" s="104"/>
      <c r="AE144" s="54" t="str">
        <f>IF(OR(Q144="",AA144="Yes"),"",IF(Q144='G-1 All Habitats'!$X$9,E144-U144-V144,"None"))</f>
        <v/>
      </c>
      <c r="AF144" s="55" t="str">
        <f>IF(Q144="","",IF(Q144='G-1 All Habitats'!$X$9,AE144*G144*I144*L144*N144*P144,"None"))</f>
        <v/>
      </c>
      <c r="AI144" s="30">
        <f t="shared" si="26"/>
        <v>0</v>
      </c>
      <c r="AJ144" s="107" t="str">
        <f t="shared" si="27"/>
        <v/>
      </c>
      <c r="AK144" s="107" t="str">
        <f t="shared" si="28"/>
        <v/>
      </c>
      <c r="AM144" s="107">
        <v>135</v>
      </c>
      <c r="AO144" s="107" t="str">
        <f t="array" ref="AO144">IFERROR(INDEX($AM$10:$AM$258,MATCH(0,IF(TRUE=$AJ$10:$AJ$258,COUNTIF($AO$9:$AO143,$AM$10:$AM$258),""),0)),"")</f>
        <v/>
      </c>
      <c r="AP144" s="107" t="str">
        <f t="array" ref="AP144">IFERROR(INDEX($AM$10:$AM$258,MATCH(0,IF(TRUE=$AK$10:$AK$258,COUNTIF($AP$9:$AP143,$AM$10:$AM$258),""),0)),"")</f>
        <v/>
      </c>
      <c r="AR144" s="30" t="str">
        <f>IFERROR(INDEX('G-7 WaterC'' Data'!$AZ$3:$AZ$7,MATCH(D144,'G-7 WaterC'' Data'!$AY$3:$AY$7,0)),"")</f>
        <v/>
      </c>
      <c r="AS144" s="30" t="str">
        <f>IFERROR(INDEX('G-7 WaterC'' Data'!AZ144:AZ148,MATCH(D144,'G-7 WaterC'' Data'!$AY$10:$AY$14,0)),"")</f>
        <v/>
      </c>
      <c r="AT144" s="885" t="str">
        <f>IF(AND(OR(AA144="Yes",AA144="Pending"),Q144='G-7 WaterC'' Data'!$G$4),R144-W144-X144,"")</f>
        <v/>
      </c>
      <c r="AU144" s="30" t="str">
        <f>IF(D144="","",VLOOKUP(D144,'G-7 WaterC'' Data'!B$4:M$8,12,FALSE))</f>
        <v/>
      </c>
      <c r="AV144" s="30" t="str">
        <f t="shared" si="20"/>
        <v/>
      </c>
      <c r="AX144" s="30" t="str">
        <f t="shared" si="29"/>
        <v>No</v>
      </c>
    </row>
    <row r="145" spans="3:50" ht="14" hidden="1">
      <c r="C145" s="97">
        <v>136</v>
      </c>
      <c r="D145" s="261"/>
      <c r="E145" s="115"/>
      <c r="F145" s="275" t="str">
        <f>IF(D145="","",VLOOKUP(D145,'G-7 WaterC'' Data'!$B$2:$G$8,2,FALSE))</f>
        <v/>
      </c>
      <c r="G145" s="276" t="str">
        <f>IFERROR(VLOOKUP(F145,'G-7 WaterC'' Data'!$C$4:$D$8,2,FALSE),"")</f>
        <v/>
      </c>
      <c r="H145" s="52"/>
      <c r="I145" s="276" t="str">
        <f>IFERROR(INDEX('G-7 WaterC'' Data'!$H$4:$L$8,MATCH(D145,'G-7 WaterC'' Data'!$B$4:$B$8,0),MATCH(H145,'G-7 WaterC'' Data'!$H$3:$L$3,0)),"")</f>
        <v/>
      </c>
      <c r="J145" s="777"/>
      <c r="K145" s="311" t="str">
        <f>IF(J145="","",IF(VLOOKUP(J145,'G-7 WaterC'' Data'!$AK$4:$AM$6,2,FALSE)=0,"Spatial Data Missing ⚠",VLOOKUP(J145,'G-7 WaterC'' Data'!$AK$4:$AM$6,2,FALSE)))</f>
        <v/>
      </c>
      <c r="L145" s="281" t="str">
        <f>IF(J145="","",IF(VLOOKUP(J145,'G-7 WaterC'' Data'!$AK$4:$AM$9,3,FALSE)=0,"Spatial Data Missing ⚠",VLOOKUP(J145,'G-7 WaterC'' Data'!$AK$4:$AM$6,3,FALSE)))</f>
        <v/>
      </c>
      <c r="M145" s="52"/>
      <c r="N145" s="276" t="str">
        <f>IF(M145="","",IF(AND(D145&lt;&gt;"Culvert",M145="N/A - Culvert"),"Not possible ▲",IF(AND(D145="Culvert",M145&lt;&gt;"N/A - Culvert"),"Not possible ▲",IF(VLOOKUP(M145,'G-7 WaterC'' Data'!$AA$4:$AB$7,2,FALSE)=0,"Spatial Data Missing ⚠",VLOOKUP(M145,'G-7 WaterC'' Data'!$AA$4:$AB$7,2,FALSE)))))</f>
        <v/>
      </c>
      <c r="O145" s="56"/>
      <c r="P145" s="276" t="str">
        <f>IF(O145="","",IF(AND(O145="N/A - Culvert",D145&lt;&gt;"Culvert"),"Not possible ▲",IF(AND(D145="Culvert",O145&lt;&gt;"N/A - Culvert"),"Not possible ▲",IF(VLOOKUP(O145,'G-7 WaterC'' Data'!$AD$4:$AE$14,2,FALSE)=0,"Spatial Data Missing ⚠",VLOOKUP(O145,'G-7 WaterC'' Data'!$AD$4:$AE$14,2,FALSE)))))</f>
        <v/>
      </c>
      <c r="Q145" s="282" t="str">
        <f>IF(D145="","",VLOOKUP(D145,'G-7 WaterC'' Data'!$B$2:$G$8,6,FALSE))</f>
        <v/>
      </c>
      <c r="R145" s="289" t="str">
        <f t="shared" si="21"/>
        <v xml:space="preserve"> </v>
      </c>
      <c r="S145" s="803" t="str">
        <f t="shared" si="22"/>
        <v/>
      </c>
      <c r="T145" s="32"/>
      <c r="U145" s="101"/>
      <c r="V145" s="108"/>
      <c r="W145" s="287" t="str">
        <f t="shared" si="23"/>
        <v/>
      </c>
      <c r="X145" s="287" t="str">
        <f t="shared" si="24"/>
        <v/>
      </c>
      <c r="Y145" s="287" t="str">
        <f t="shared" si="25"/>
        <v/>
      </c>
      <c r="Z145" s="317" t="str">
        <f>IFERROR(IF(OR(E145="",R145=""),"",IF(AND(Q145='G-7 WaterC'' Data'!$G$4,AA145="Yes"),"Alternative Compensation ✓",IF(AND(AA145="Pending",Q145='G-7 WaterC'' Data'!$G$4),"Bespoke compensation must be agreed ▲",IF((W145+X145)&gt;=R145,0,R145-W145-X145)))),"Check Data ⚠")</f>
        <v/>
      </c>
      <c r="AA145" s="800"/>
      <c r="AB145" s="136"/>
      <c r="AC145" s="104"/>
      <c r="AD145" s="104"/>
      <c r="AE145" s="54" t="str">
        <f>IF(OR(Q145="",AA145="Yes"),"",IF(Q145='G-1 All Habitats'!$X$9,E145-U145-V145,"None"))</f>
        <v/>
      </c>
      <c r="AF145" s="55" t="str">
        <f>IF(Q145="","",IF(Q145='G-1 All Habitats'!$X$9,AE145*G145*I145*L145*N145*P145,"None"))</f>
        <v/>
      </c>
      <c r="AI145" s="30">
        <f t="shared" si="26"/>
        <v>0</v>
      </c>
      <c r="AJ145" s="107" t="str">
        <f t="shared" si="27"/>
        <v/>
      </c>
      <c r="AK145" s="107" t="str">
        <f t="shared" si="28"/>
        <v/>
      </c>
      <c r="AM145" s="107">
        <v>136</v>
      </c>
      <c r="AO145" s="107" t="str">
        <f t="array" ref="AO145">IFERROR(INDEX($AM$10:$AM$258,MATCH(0,IF(TRUE=$AJ$10:$AJ$258,COUNTIF($AO$9:$AO144,$AM$10:$AM$258),""),0)),"")</f>
        <v/>
      </c>
      <c r="AP145" s="107" t="str">
        <f t="array" ref="AP145">IFERROR(INDEX($AM$10:$AM$258,MATCH(0,IF(TRUE=$AK$10:$AK$258,COUNTIF($AP$9:$AP144,$AM$10:$AM$258),""),0)),"")</f>
        <v/>
      </c>
      <c r="AR145" s="30" t="str">
        <f>IFERROR(INDEX('G-7 WaterC'' Data'!$AZ$3:$AZ$7,MATCH(D145,'G-7 WaterC'' Data'!$AY$3:$AY$7,0)),"")</f>
        <v/>
      </c>
      <c r="AS145" s="30" t="str">
        <f>IFERROR(INDEX('G-7 WaterC'' Data'!AZ145:AZ149,MATCH(D145,'G-7 WaterC'' Data'!$AY$10:$AY$14,0)),"")</f>
        <v/>
      </c>
      <c r="AT145" s="885" t="str">
        <f>IF(AND(OR(AA145="Yes",AA145="Pending"),Q145='G-7 WaterC'' Data'!$G$4),R145-W145-X145,"")</f>
        <v/>
      </c>
      <c r="AU145" s="30" t="str">
        <f>IF(D145="","",VLOOKUP(D145,'G-7 WaterC'' Data'!B$4:M$8,12,FALSE))</f>
        <v/>
      </c>
      <c r="AV145" s="30" t="str">
        <f t="shared" si="20"/>
        <v/>
      </c>
      <c r="AX145" s="30" t="str">
        <f t="shared" si="29"/>
        <v>No</v>
      </c>
    </row>
    <row r="146" spans="3:50" ht="14" hidden="1">
      <c r="C146" s="97">
        <v>137</v>
      </c>
      <c r="D146" s="261"/>
      <c r="E146" s="115"/>
      <c r="F146" s="275" t="str">
        <f>IF(D146="","",VLOOKUP(D146,'G-7 WaterC'' Data'!$B$2:$G$8,2,FALSE))</f>
        <v/>
      </c>
      <c r="G146" s="276" t="str">
        <f>IFERROR(VLOOKUP(F146,'G-7 WaterC'' Data'!$C$4:$D$8,2,FALSE),"")</f>
        <v/>
      </c>
      <c r="H146" s="52"/>
      <c r="I146" s="276" t="str">
        <f>IFERROR(INDEX('G-7 WaterC'' Data'!$H$4:$L$8,MATCH(D146,'G-7 WaterC'' Data'!$B$4:$B$8,0),MATCH(H146,'G-7 WaterC'' Data'!$H$3:$L$3,0)),"")</f>
        <v/>
      </c>
      <c r="J146" s="777"/>
      <c r="K146" s="311" t="str">
        <f>IF(J146="","",IF(VLOOKUP(J146,'G-7 WaterC'' Data'!$AK$4:$AM$6,2,FALSE)=0,"Spatial Data Missing ⚠",VLOOKUP(J146,'G-7 WaterC'' Data'!$AK$4:$AM$6,2,FALSE)))</f>
        <v/>
      </c>
      <c r="L146" s="281" t="str">
        <f>IF(J146="","",IF(VLOOKUP(J146,'G-7 WaterC'' Data'!$AK$4:$AM$9,3,FALSE)=0,"Spatial Data Missing ⚠",VLOOKUP(J146,'G-7 WaterC'' Data'!$AK$4:$AM$6,3,FALSE)))</f>
        <v/>
      </c>
      <c r="M146" s="52"/>
      <c r="N146" s="276" t="str">
        <f>IF(M146="","",IF(AND(D146&lt;&gt;"Culvert",M146="N/A - Culvert"),"Not possible ▲",IF(AND(D146="Culvert",M146&lt;&gt;"N/A - Culvert"),"Not possible ▲",IF(VLOOKUP(M146,'G-7 WaterC'' Data'!$AA$4:$AB$7,2,FALSE)=0,"Spatial Data Missing ⚠",VLOOKUP(M146,'G-7 WaterC'' Data'!$AA$4:$AB$7,2,FALSE)))))</f>
        <v/>
      </c>
      <c r="O146" s="56"/>
      <c r="P146" s="276" t="str">
        <f>IF(O146="","",IF(AND(O146="N/A - Culvert",D146&lt;&gt;"Culvert"),"Not possible ▲",IF(AND(D146="Culvert",O146&lt;&gt;"N/A - Culvert"),"Not possible ▲",IF(VLOOKUP(O146,'G-7 WaterC'' Data'!$AD$4:$AE$14,2,FALSE)=0,"Spatial Data Missing ⚠",VLOOKUP(O146,'G-7 WaterC'' Data'!$AD$4:$AE$14,2,FALSE)))))</f>
        <v/>
      </c>
      <c r="Q146" s="282" t="str">
        <f>IF(D146="","",VLOOKUP(D146,'G-7 WaterC'' Data'!$B$2:$G$8,6,FALSE))</f>
        <v/>
      </c>
      <c r="R146" s="289" t="str">
        <f t="shared" si="21"/>
        <v xml:space="preserve"> </v>
      </c>
      <c r="S146" s="803" t="str">
        <f t="shared" si="22"/>
        <v/>
      </c>
      <c r="T146" s="32"/>
      <c r="U146" s="101"/>
      <c r="V146" s="108"/>
      <c r="W146" s="287" t="str">
        <f t="shared" si="23"/>
        <v/>
      </c>
      <c r="X146" s="287" t="str">
        <f t="shared" si="24"/>
        <v/>
      </c>
      <c r="Y146" s="287" t="str">
        <f t="shared" si="25"/>
        <v/>
      </c>
      <c r="Z146" s="317" t="str">
        <f>IFERROR(IF(OR(E146="",R146=""),"",IF(AND(Q146='G-7 WaterC'' Data'!$G$4,AA146="Yes"),"Alternative Compensation ✓",IF(AND(AA146="Pending",Q146='G-7 WaterC'' Data'!$G$4),"Bespoke compensation must be agreed ▲",IF((W146+X146)&gt;=R146,0,R146-W146-X146)))),"Check Data ⚠")</f>
        <v/>
      </c>
      <c r="AA146" s="800"/>
      <c r="AB146" s="136"/>
      <c r="AC146" s="104"/>
      <c r="AD146" s="104"/>
      <c r="AE146" s="54" t="str">
        <f>IF(OR(Q146="",AA146="Yes"),"",IF(Q146='G-1 All Habitats'!$X$9,E146-U146-V146,"None"))</f>
        <v/>
      </c>
      <c r="AF146" s="55" t="str">
        <f>IF(Q146="","",IF(Q146='G-1 All Habitats'!$X$9,AE146*G146*I146*L146*N146*P146,"None"))</f>
        <v/>
      </c>
      <c r="AI146" s="30">
        <f t="shared" si="26"/>
        <v>0</v>
      </c>
      <c r="AJ146" s="107" t="str">
        <f t="shared" si="27"/>
        <v/>
      </c>
      <c r="AK146" s="107" t="str">
        <f t="shared" si="28"/>
        <v/>
      </c>
      <c r="AM146" s="107">
        <v>137</v>
      </c>
      <c r="AO146" s="107" t="str">
        <f t="array" ref="AO146">IFERROR(INDEX($AM$10:$AM$258,MATCH(0,IF(TRUE=$AJ$10:$AJ$258,COUNTIF($AO$9:$AO145,$AM$10:$AM$258),""),0)),"")</f>
        <v/>
      </c>
      <c r="AP146" s="107" t="str">
        <f t="array" ref="AP146">IFERROR(INDEX($AM$10:$AM$258,MATCH(0,IF(TRUE=$AK$10:$AK$258,COUNTIF($AP$9:$AP145,$AM$10:$AM$258),""),0)),"")</f>
        <v/>
      </c>
      <c r="AR146" s="30" t="str">
        <f>IFERROR(INDEX('G-7 WaterC'' Data'!$AZ$3:$AZ$7,MATCH(D146,'G-7 WaterC'' Data'!$AY$3:$AY$7,0)),"")</f>
        <v/>
      </c>
      <c r="AS146" s="30" t="str">
        <f>IFERROR(INDEX('G-7 WaterC'' Data'!AZ146:AZ150,MATCH(D146,'G-7 WaterC'' Data'!$AY$10:$AY$14,0)),"")</f>
        <v/>
      </c>
      <c r="AT146" s="885" t="str">
        <f>IF(AND(OR(AA146="Yes",AA146="Pending"),Q146='G-7 WaterC'' Data'!$G$4),R146-W146-X146,"")</f>
        <v/>
      </c>
      <c r="AU146" s="30" t="str">
        <f>IF(D146="","",VLOOKUP(D146,'G-7 WaterC'' Data'!B$4:M$8,12,FALSE))</f>
        <v/>
      </c>
      <c r="AV146" s="30" t="str">
        <f t="shared" si="20"/>
        <v/>
      </c>
      <c r="AX146" s="30" t="str">
        <f t="shared" si="29"/>
        <v>No</v>
      </c>
    </row>
    <row r="147" spans="3:50" ht="14" hidden="1">
      <c r="C147" s="97">
        <v>138</v>
      </c>
      <c r="D147" s="261"/>
      <c r="E147" s="115"/>
      <c r="F147" s="275" t="str">
        <f>IF(D147="","",VLOOKUP(D147,'G-7 WaterC'' Data'!$B$2:$G$8,2,FALSE))</f>
        <v/>
      </c>
      <c r="G147" s="276" t="str">
        <f>IFERROR(VLOOKUP(F147,'G-7 WaterC'' Data'!$C$4:$D$8,2,FALSE),"")</f>
        <v/>
      </c>
      <c r="H147" s="52"/>
      <c r="I147" s="276" t="str">
        <f>IFERROR(INDEX('G-7 WaterC'' Data'!$H$4:$L$8,MATCH(D147,'G-7 WaterC'' Data'!$B$4:$B$8,0),MATCH(H147,'G-7 WaterC'' Data'!$H$3:$L$3,0)),"")</f>
        <v/>
      </c>
      <c r="J147" s="777"/>
      <c r="K147" s="311" t="str">
        <f>IF(J147="","",IF(VLOOKUP(J147,'G-7 WaterC'' Data'!$AK$4:$AM$6,2,FALSE)=0,"Spatial Data Missing ⚠",VLOOKUP(J147,'G-7 WaterC'' Data'!$AK$4:$AM$6,2,FALSE)))</f>
        <v/>
      </c>
      <c r="L147" s="281" t="str">
        <f>IF(J147="","",IF(VLOOKUP(J147,'G-7 WaterC'' Data'!$AK$4:$AM$9,3,FALSE)=0,"Spatial Data Missing ⚠",VLOOKUP(J147,'G-7 WaterC'' Data'!$AK$4:$AM$6,3,FALSE)))</f>
        <v/>
      </c>
      <c r="M147" s="52"/>
      <c r="N147" s="276" t="str">
        <f>IF(M147="","",IF(AND(D147&lt;&gt;"Culvert",M147="N/A - Culvert"),"Not possible ▲",IF(AND(D147="Culvert",M147&lt;&gt;"N/A - Culvert"),"Not possible ▲",IF(VLOOKUP(M147,'G-7 WaterC'' Data'!$AA$4:$AB$7,2,FALSE)=0,"Spatial Data Missing ⚠",VLOOKUP(M147,'G-7 WaterC'' Data'!$AA$4:$AB$7,2,FALSE)))))</f>
        <v/>
      </c>
      <c r="O147" s="56"/>
      <c r="P147" s="276" t="str">
        <f>IF(O147="","",IF(AND(O147="N/A - Culvert",D147&lt;&gt;"Culvert"),"Not possible ▲",IF(AND(D147="Culvert",O147&lt;&gt;"N/A - Culvert"),"Not possible ▲",IF(VLOOKUP(O147,'G-7 WaterC'' Data'!$AD$4:$AE$14,2,FALSE)=0,"Spatial Data Missing ⚠",VLOOKUP(O147,'G-7 WaterC'' Data'!$AD$4:$AE$14,2,FALSE)))))</f>
        <v/>
      </c>
      <c r="Q147" s="282" t="str">
        <f>IF(D147="","",VLOOKUP(D147,'G-7 WaterC'' Data'!$B$2:$G$8,6,FALSE))</f>
        <v/>
      </c>
      <c r="R147" s="289" t="str">
        <f t="shared" si="21"/>
        <v xml:space="preserve"> </v>
      </c>
      <c r="S147" s="803" t="str">
        <f t="shared" si="22"/>
        <v/>
      </c>
      <c r="T147" s="32"/>
      <c r="U147" s="101"/>
      <c r="V147" s="108"/>
      <c r="W147" s="287" t="str">
        <f t="shared" si="23"/>
        <v/>
      </c>
      <c r="X147" s="287" t="str">
        <f t="shared" si="24"/>
        <v/>
      </c>
      <c r="Y147" s="287" t="str">
        <f t="shared" si="25"/>
        <v/>
      </c>
      <c r="Z147" s="317" t="str">
        <f>IFERROR(IF(OR(E147="",R147=""),"",IF(AND(Q147='G-7 WaterC'' Data'!$G$4,AA147="Yes"),"Alternative Compensation ✓",IF(AND(AA147="Pending",Q147='G-7 WaterC'' Data'!$G$4),"Bespoke compensation must be agreed ▲",IF((W147+X147)&gt;=R147,0,R147-W147-X147)))),"Check Data ⚠")</f>
        <v/>
      </c>
      <c r="AA147" s="800"/>
      <c r="AB147" s="136"/>
      <c r="AC147" s="104"/>
      <c r="AD147" s="104"/>
      <c r="AE147" s="54" t="str">
        <f>IF(OR(Q147="",AA147="Yes"),"",IF(Q147='G-1 All Habitats'!$X$9,E147-U147-V147,"None"))</f>
        <v/>
      </c>
      <c r="AF147" s="55" t="str">
        <f>IF(Q147="","",IF(Q147='G-1 All Habitats'!$X$9,AE147*G147*I147*L147*N147*P147,"None"))</f>
        <v/>
      </c>
      <c r="AI147" s="30">
        <f t="shared" si="26"/>
        <v>0</v>
      </c>
      <c r="AJ147" s="107" t="str">
        <f t="shared" si="27"/>
        <v/>
      </c>
      <c r="AK147" s="107" t="str">
        <f t="shared" si="28"/>
        <v/>
      </c>
      <c r="AM147" s="107">
        <v>138</v>
      </c>
      <c r="AO147" s="107" t="str">
        <f t="array" ref="AO147">IFERROR(INDEX($AM$10:$AM$258,MATCH(0,IF(TRUE=$AJ$10:$AJ$258,COUNTIF($AO$9:$AO146,$AM$10:$AM$258),""),0)),"")</f>
        <v/>
      </c>
      <c r="AP147" s="107" t="str">
        <f t="array" ref="AP147">IFERROR(INDEX($AM$10:$AM$258,MATCH(0,IF(TRUE=$AK$10:$AK$258,COUNTIF($AP$9:$AP146,$AM$10:$AM$258),""),0)),"")</f>
        <v/>
      </c>
      <c r="AR147" s="30" t="str">
        <f>IFERROR(INDEX('G-7 WaterC'' Data'!$AZ$3:$AZ$7,MATCH(D147,'G-7 WaterC'' Data'!$AY$3:$AY$7,0)),"")</f>
        <v/>
      </c>
      <c r="AS147" s="30" t="str">
        <f>IFERROR(INDEX('G-7 WaterC'' Data'!AZ147:AZ151,MATCH(D147,'G-7 WaterC'' Data'!$AY$10:$AY$14,0)),"")</f>
        <v/>
      </c>
      <c r="AT147" s="885" t="str">
        <f>IF(AND(OR(AA147="Yes",AA147="Pending"),Q147='G-7 WaterC'' Data'!$G$4),R147-W147-X147,"")</f>
        <v/>
      </c>
      <c r="AU147" s="30" t="str">
        <f>IF(D147="","",VLOOKUP(D147,'G-7 WaterC'' Data'!B$4:M$8,12,FALSE))</f>
        <v/>
      </c>
      <c r="AV147" s="30" t="str">
        <f t="shared" si="20"/>
        <v/>
      </c>
      <c r="AX147" s="30" t="str">
        <f t="shared" si="29"/>
        <v>No</v>
      </c>
    </row>
    <row r="148" spans="3:50" ht="14" hidden="1">
      <c r="C148" s="97">
        <v>139</v>
      </c>
      <c r="D148" s="261"/>
      <c r="E148" s="115"/>
      <c r="F148" s="275" t="str">
        <f>IF(D148="","",VLOOKUP(D148,'G-7 WaterC'' Data'!$B$2:$G$8,2,FALSE))</f>
        <v/>
      </c>
      <c r="G148" s="276" t="str">
        <f>IFERROR(VLOOKUP(F148,'G-7 WaterC'' Data'!$C$4:$D$8,2,FALSE),"")</f>
        <v/>
      </c>
      <c r="H148" s="52"/>
      <c r="I148" s="276" t="str">
        <f>IFERROR(INDEX('G-7 WaterC'' Data'!$H$4:$L$8,MATCH(D148,'G-7 WaterC'' Data'!$B$4:$B$8,0),MATCH(H148,'G-7 WaterC'' Data'!$H$3:$L$3,0)),"")</f>
        <v/>
      </c>
      <c r="J148" s="777"/>
      <c r="K148" s="311" t="str">
        <f>IF(J148="","",IF(VLOOKUP(J148,'G-7 WaterC'' Data'!$AK$4:$AM$6,2,FALSE)=0,"Spatial Data Missing ⚠",VLOOKUP(J148,'G-7 WaterC'' Data'!$AK$4:$AM$6,2,FALSE)))</f>
        <v/>
      </c>
      <c r="L148" s="281" t="str">
        <f>IF(J148="","",IF(VLOOKUP(J148,'G-7 WaterC'' Data'!$AK$4:$AM$9,3,FALSE)=0,"Spatial Data Missing ⚠",VLOOKUP(J148,'G-7 WaterC'' Data'!$AK$4:$AM$6,3,FALSE)))</f>
        <v/>
      </c>
      <c r="M148" s="52"/>
      <c r="N148" s="276" t="str">
        <f>IF(M148="","",IF(AND(D148&lt;&gt;"Culvert",M148="N/A - Culvert"),"Not possible ▲",IF(AND(D148="Culvert",M148&lt;&gt;"N/A - Culvert"),"Not possible ▲",IF(VLOOKUP(M148,'G-7 WaterC'' Data'!$AA$4:$AB$7,2,FALSE)=0,"Spatial Data Missing ⚠",VLOOKUP(M148,'G-7 WaterC'' Data'!$AA$4:$AB$7,2,FALSE)))))</f>
        <v/>
      </c>
      <c r="O148" s="56"/>
      <c r="P148" s="276" t="str">
        <f>IF(O148="","",IF(AND(O148="N/A - Culvert",D148&lt;&gt;"Culvert"),"Not possible ▲",IF(AND(D148="Culvert",O148&lt;&gt;"N/A - Culvert"),"Not possible ▲",IF(VLOOKUP(O148,'G-7 WaterC'' Data'!$AD$4:$AE$14,2,FALSE)=0,"Spatial Data Missing ⚠",VLOOKUP(O148,'G-7 WaterC'' Data'!$AD$4:$AE$14,2,FALSE)))))</f>
        <v/>
      </c>
      <c r="Q148" s="282" t="str">
        <f>IF(D148="","",VLOOKUP(D148,'G-7 WaterC'' Data'!$B$2:$G$8,6,FALSE))</f>
        <v/>
      </c>
      <c r="R148" s="289" t="str">
        <f t="shared" si="21"/>
        <v xml:space="preserve"> </v>
      </c>
      <c r="S148" s="803" t="str">
        <f t="shared" si="22"/>
        <v/>
      </c>
      <c r="T148" s="32"/>
      <c r="U148" s="101"/>
      <c r="V148" s="108"/>
      <c r="W148" s="287" t="str">
        <f t="shared" si="23"/>
        <v/>
      </c>
      <c r="X148" s="287" t="str">
        <f t="shared" si="24"/>
        <v/>
      </c>
      <c r="Y148" s="287" t="str">
        <f t="shared" si="25"/>
        <v/>
      </c>
      <c r="Z148" s="317" t="str">
        <f>IFERROR(IF(OR(E148="",R148=""),"",IF(AND(Q148='G-7 WaterC'' Data'!$G$4,AA148="Yes"),"Alternative Compensation ✓",IF(AND(AA148="Pending",Q148='G-7 WaterC'' Data'!$G$4),"Bespoke compensation must be agreed ▲",IF((W148+X148)&gt;=R148,0,R148-W148-X148)))),"Check Data ⚠")</f>
        <v/>
      </c>
      <c r="AA148" s="800"/>
      <c r="AB148" s="136"/>
      <c r="AC148" s="104"/>
      <c r="AD148" s="104"/>
      <c r="AE148" s="54" t="str">
        <f>IF(OR(Q148="",AA148="Yes"),"",IF(Q148='G-1 All Habitats'!$X$9,E148-U148-V148,"None"))</f>
        <v/>
      </c>
      <c r="AF148" s="55" t="str">
        <f>IF(Q148="","",IF(Q148='G-1 All Habitats'!$X$9,AE148*G148*I148*L148*N148*P148,"None"))</f>
        <v/>
      </c>
      <c r="AI148" s="30">
        <f t="shared" si="26"/>
        <v>0</v>
      </c>
      <c r="AJ148" s="107" t="str">
        <f t="shared" si="27"/>
        <v/>
      </c>
      <c r="AK148" s="107" t="str">
        <f t="shared" si="28"/>
        <v/>
      </c>
      <c r="AM148" s="107">
        <v>139</v>
      </c>
      <c r="AO148" s="107" t="str">
        <f t="array" ref="AO148">IFERROR(INDEX($AM$10:$AM$258,MATCH(0,IF(TRUE=$AJ$10:$AJ$258,COUNTIF($AO$9:$AO147,$AM$10:$AM$258),""),0)),"")</f>
        <v/>
      </c>
      <c r="AP148" s="107" t="str">
        <f t="array" ref="AP148">IFERROR(INDEX($AM$10:$AM$258,MATCH(0,IF(TRUE=$AK$10:$AK$258,COUNTIF($AP$9:$AP147,$AM$10:$AM$258),""),0)),"")</f>
        <v/>
      </c>
      <c r="AR148" s="30" t="str">
        <f>IFERROR(INDEX('G-7 WaterC'' Data'!$AZ$3:$AZ$7,MATCH(D148,'G-7 WaterC'' Data'!$AY$3:$AY$7,0)),"")</f>
        <v/>
      </c>
      <c r="AS148" s="30" t="str">
        <f>IFERROR(INDEX('G-7 WaterC'' Data'!AZ148:AZ152,MATCH(D148,'G-7 WaterC'' Data'!$AY$10:$AY$14,0)),"")</f>
        <v/>
      </c>
      <c r="AT148" s="885" t="str">
        <f>IF(AND(OR(AA148="Yes",AA148="Pending"),Q148='G-7 WaterC'' Data'!$G$4),R148-W148-X148,"")</f>
        <v/>
      </c>
      <c r="AU148" s="30" t="str">
        <f>IF(D148="","",VLOOKUP(D148,'G-7 WaterC'' Data'!B$4:M$8,12,FALSE))</f>
        <v/>
      </c>
      <c r="AV148" s="30" t="str">
        <f t="shared" si="20"/>
        <v/>
      </c>
      <c r="AX148" s="30" t="str">
        <f t="shared" si="29"/>
        <v>No</v>
      </c>
    </row>
    <row r="149" spans="3:50" ht="14" hidden="1">
      <c r="C149" s="97">
        <v>140</v>
      </c>
      <c r="D149" s="261"/>
      <c r="E149" s="115"/>
      <c r="F149" s="275" t="str">
        <f>IF(D149="","",VLOOKUP(D149,'G-7 WaterC'' Data'!$B$2:$G$8,2,FALSE))</f>
        <v/>
      </c>
      <c r="G149" s="276" t="str">
        <f>IFERROR(VLOOKUP(F149,'G-7 WaterC'' Data'!$C$4:$D$8,2,FALSE),"")</f>
        <v/>
      </c>
      <c r="H149" s="52"/>
      <c r="I149" s="276" t="str">
        <f>IFERROR(INDEX('G-7 WaterC'' Data'!$H$4:$L$8,MATCH(D149,'G-7 WaterC'' Data'!$B$4:$B$8,0),MATCH(H149,'G-7 WaterC'' Data'!$H$3:$L$3,0)),"")</f>
        <v/>
      </c>
      <c r="J149" s="777"/>
      <c r="K149" s="311" t="str">
        <f>IF(J149="","",IF(VLOOKUP(J149,'G-7 WaterC'' Data'!$AK$4:$AM$6,2,FALSE)=0,"Spatial Data Missing ⚠",VLOOKUP(J149,'G-7 WaterC'' Data'!$AK$4:$AM$6,2,FALSE)))</f>
        <v/>
      </c>
      <c r="L149" s="281" t="str">
        <f>IF(J149="","",IF(VLOOKUP(J149,'G-7 WaterC'' Data'!$AK$4:$AM$9,3,FALSE)=0,"Spatial Data Missing ⚠",VLOOKUP(J149,'G-7 WaterC'' Data'!$AK$4:$AM$6,3,FALSE)))</f>
        <v/>
      </c>
      <c r="M149" s="52"/>
      <c r="N149" s="276" t="str">
        <f>IF(M149="","",IF(AND(D149&lt;&gt;"Culvert",M149="N/A - Culvert"),"Not possible ▲",IF(AND(D149="Culvert",M149&lt;&gt;"N/A - Culvert"),"Not possible ▲",IF(VLOOKUP(M149,'G-7 WaterC'' Data'!$AA$4:$AB$7,2,FALSE)=0,"Spatial Data Missing ⚠",VLOOKUP(M149,'G-7 WaterC'' Data'!$AA$4:$AB$7,2,FALSE)))))</f>
        <v/>
      </c>
      <c r="O149" s="56"/>
      <c r="P149" s="276" t="str">
        <f>IF(O149="","",IF(AND(O149="N/A - Culvert",D149&lt;&gt;"Culvert"),"Not possible ▲",IF(AND(D149="Culvert",O149&lt;&gt;"N/A - Culvert"),"Not possible ▲",IF(VLOOKUP(O149,'G-7 WaterC'' Data'!$AD$4:$AE$14,2,FALSE)=0,"Spatial Data Missing ⚠",VLOOKUP(O149,'G-7 WaterC'' Data'!$AD$4:$AE$14,2,FALSE)))))</f>
        <v/>
      </c>
      <c r="Q149" s="282" t="str">
        <f>IF(D149="","",VLOOKUP(D149,'G-7 WaterC'' Data'!$B$2:$G$8,6,FALSE))</f>
        <v/>
      </c>
      <c r="R149" s="289" t="str">
        <f t="shared" si="21"/>
        <v xml:space="preserve"> </v>
      </c>
      <c r="S149" s="803" t="str">
        <f t="shared" si="22"/>
        <v/>
      </c>
      <c r="T149" s="32"/>
      <c r="U149" s="101"/>
      <c r="V149" s="108"/>
      <c r="W149" s="287" t="str">
        <f t="shared" si="23"/>
        <v/>
      </c>
      <c r="X149" s="287" t="str">
        <f t="shared" si="24"/>
        <v/>
      </c>
      <c r="Y149" s="287" t="str">
        <f t="shared" si="25"/>
        <v/>
      </c>
      <c r="Z149" s="317" t="str">
        <f>IFERROR(IF(OR(E149="",R149=""),"",IF(AND(Q149='G-7 WaterC'' Data'!$G$4,AA149="Yes"),"Alternative Compensation ✓",IF(AND(AA149="Pending",Q149='G-7 WaterC'' Data'!$G$4),"Bespoke compensation must be agreed ▲",IF((W149+X149)&gt;=R149,0,R149-W149-X149)))),"Check Data ⚠")</f>
        <v/>
      </c>
      <c r="AA149" s="800"/>
      <c r="AB149" s="136"/>
      <c r="AC149" s="104"/>
      <c r="AD149" s="104"/>
      <c r="AE149" s="54" t="str">
        <f>IF(OR(Q149="",AA149="Yes"),"",IF(Q149='G-1 All Habitats'!$X$9,E149-U149-V149,"None"))</f>
        <v/>
      </c>
      <c r="AF149" s="55" t="str">
        <f>IF(Q149="","",IF(Q149='G-1 All Habitats'!$X$9,AE149*G149*I149*L149*N149*P149,"None"))</f>
        <v/>
      </c>
      <c r="AI149" s="30">
        <f t="shared" si="26"/>
        <v>0</v>
      </c>
      <c r="AJ149" s="107" t="str">
        <f t="shared" si="27"/>
        <v/>
      </c>
      <c r="AK149" s="107" t="str">
        <f t="shared" si="28"/>
        <v/>
      </c>
      <c r="AM149" s="107">
        <v>140</v>
      </c>
      <c r="AO149" s="107" t="str">
        <f t="array" ref="AO149">IFERROR(INDEX($AM$10:$AM$258,MATCH(0,IF(TRUE=$AJ$10:$AJ$258,COUNTIF($AO$9:$AO148,$AM$10:$AM$258),""),0)),"")</f>
        <v/>
      </c>
      <c r="AP149" s="107" t="str">
        <f t="array" ref="AP149">IFERROR(INDEX($AM$10:$AM$258,MATCH(0,IF(TRUE=$AK$10:$AK$258,COUNTIF($AP$9:$AP148,$AM$10:$AM$258),""),0)),"")</f>
        <v/>
      </c>
      <c r="AR149" s="30" t="str">
        <f>IFERROR(INDEX('G-7 WaterC'' Data'!$AZ$3:$AZ$7,MATCH(D149,'G-7 WaterC'' Data'!$AY$3:$AY$7,0)),"")</f>
        <v/>
      </c>
      <c r="AS149" s="30" t="str">
        <f>IFERROR(INDEX('G-7 WaterC'' Data'!AZ149:AZ153,MATCH(D149,'G-7 WaterC'' Data'!$AY$10:$AY$14,0)),"")</f>
        <v/>
      </c>
      <c r="AT149" s="885" t="str">
        <f>IF(AND(OR(AA149="Yes",AA149="Pending"),Q149='G-7 WaterC'' Data'!$G$4),R149-W149-X149,"")</f>
        <v/>
      </c>
      <c r="AU149" s="30" t="str">
        <f>IF(D149="","",VLOOKUP(D149,'G-7 WaterC'' Data'!B$4:M$8,12,FALSE))</f>
        <v/>
      </c>
      <c r="AV149" s="30" t="str">
        <f t="shared" si="20"/>
        <v/>
      </c>
      <c r="AX149" s="30" t="str">
        <f t="shared" si="29"/>
        <v>No</v>
      </c>
    </row>
    <row r="150" spans="3:50" ht="14" hidden="1">
      <c r="C150" s="97">
        <v>141</v>
      </c>
      <c r="D150" s="261"/>
      <c r="E150" s="115"/>
      <c r="F150" s="275" t="str">
        <f>IF(D150="","",VLOOKUP(D150,'G-7 WaterC'' Data'!$B$2:$G$8,2,FALSE))</f>
        <v/>
      </c>
      <c r="G150" s="276" t="str">
        <f>IFERROR(VLOOKUP(F150,'G-7 WaterC'' Data'!$C$4:$D$8,2,FALSE),"")</f>
        <v/>
      </c>
      <c r="H150" s="52"/>
      <c r="I150" s="276" t="str">
        <f>IFERROR(INDEX('G-7 WaterC'' Data'!$H$4:$L$8,MATCH(D150,'G-7 WaterC'' Data'!$B$4:$B$8,0),MATCH(H150,'G-7 WaterC'' Data'!$H$3:$L$3,0)),"")</f>
        <v/>
      </c>
      <c r="J150" s="777"/>
      <c r="K150" s="311" t="str">
        <f>IF(J150="","",IF(VLOOKUP(J150,'G-7 WaterC'' Data'!$AK$4:$AM$6,2,FALSE)=0,"Spatial Data Missing ⚠",VLOOKUP(J150,'G-7 WaterC'' Data'!$AK$4:$AM$6,2,FALSE)))</f>
        <v/>
      </c>
      <c r="L150" s="281" t="str">
        <f>IF(J150="","",IF(VLOOKUP(J150,'G-7 WaterC'' Data'!$AK$4:$AM$9,3,FALSE)=0,"Spatial Data Missing ⚠",VLOOKUP(J150,'G-7 WaterC'' Data'!$AK$4:$AM$6,3,FALSE)))</f>
        <v/>
      </c>
      <c r="M150" s="52"/>
      <c r="N150" s="276" t="str">
        <f>IF(M150="","",IF(AND(D150&lt;&gt;"Culvert",M150="N/A - Culvert"),"Not possible ▲",IF(AND(D150="Culvert",M150&lt;&gt;"N/A - Culvert"),"Not possible ▲",IF(VLOOKUP(M150,'G-7 WaterC'' Data'!$AA$4:$AB$7,2,FALSE)=0,"Spatial Data Missing ⚠",VLOOKUP(M150,'G-7 WaterC'' Data'!$AA$4:$AB$7,2,FALSE)))))</f>
        <v/>
      </c>
      <c r="O150" s="56"/>
      <c r="P150" s="276" t="str">
        <f>IF(O150="","",IF(AND(O150="N/A - Culvert",D150&lt;&gt;"Culvert"),"Not possible ▲",IF(AND(D150="Culvert",O150&lt;&gt;"N/A - Culvert"),"Not possible ▲",IF(VLOOKUP(O150,'G-7 WaterC'' Data'!$AD$4:$AE$14,2,FALSE)=0,"Spatial Data Missing ⚠",VLOOKUP(O150,'G-7 WaterC'' Data'!$AD$4:$AE$14,2,FALSE)))))</f>
        <v/>
      </c>
      <c r="Q150" s="282" t="str">
        <f>IF(D150="","",VLOOKUP(D150,'G-7 WaterC'' Data'!$B$2:$G$8,6,FALSE))</f>
        <v/>
      </c>
      <c r="R150" s="289" t="str">
        <f t="shared" si="21"/>
        <v xml:space="preserve"> </v>
      </c>
      <c r="S150" s="803" t="str">
        <f t="shared" si="22"/>
        <v/>
      </c>
      <c r="T150" s="32"/>
      <c r="U150" s="101"/>
      <c r="V150" s="108"/>
      <c r="W150" s="287" t="str">
        <f t="shared" si="23"/>
        <v/>
      </c>
      <c r="X150" s="287" t="str">
        <f t="shared" si="24"/>
        <v/>
      </c>
      <c r="Y150" s="287" t="str">
        <f t="shared" si="25"/>
        <v/>
      </c>
      <c r="Z150" s="317" t="str">
        <f>IFERROR(IF(OR(E150="",R150=""),"",IF(AND(Q150='G-7 WaterC'' Data'!$G$4,AA150="Yes"),"Alternative Compensation ✓",IF(AND(AA150="Pending",Q150='G-7 WaterC'' Data'!$G$4),"Bespoke compensation must be agreed ▲",IF((W150+X150)&gt;=R150,0,R150-W150-X150)))),"Check Data ⚠")</f>
        <v/>
      </c>
      <c r="AA150" s="800"/>
      <c r="AB150" s="136"/>
      <c r="AC150" s="104"/>
      <c r="AD150" s="104"/>
      <c r="AE150" s="54" t="str">
        <f>IF(OR(Q150="",AA150="Yes"),"",IF(Q150='G-1 All Habitats'!$X$9,E150-U150-V150,"None"))</f>
        <v/>
      </c>
      <c r="AF150" s="55" t="str">
        <f>IF(Q150="","",IF(Q150='G-1 All Habitats'!$X$9,AE150*G150*I150*L150*N150*P150,"None"))</f>
        <v/>
      </c>
      <c r="AI150" s="30">
        <f t="shared" si="26"/>
        <v>0</v>
      </c>
      <c r="AJ150" s="107" t="str">
        <f t="shared" si="27"/>
        <v/>
      </c>
      <c r="AK150" s="107" t="str">
        <f t="shared" si="28"/>
        <v/>
      </c>
      <c r="AM150" s="107">
        <v>141</v>
      </c>
      <c r="AO150" s="107" t="str">
        <f t="array" ref="AO150">IFERROR(INDEX($AM$10:$AM$258,MATCH(0,IF(TRUE=$AJ$10:$AJ$258,COUNTIF($AO$9:$AO149,$AM$10:$AM$258),""),0)),"")</f>
        <v/>
      </c>
      <c r="AP150" s="107" t="str">
        <f t="array" ref="AP150">IFERROR(INDEX($AM$10:$AM$258,MATCH(0,IF(TRUE=$AK$10:$AK$258,COUNTIF($AP$9:$AP149,$AM$10:$AM$258),""),0)),"")</f>
        <v/>
      </c>
      <c r="AR150" s="30" t="str">
        <f>IFERROR(INDEX('G-7 WaterC'' Data'!$AZ$3:$AZ$7,MATCH(D150,'G-7 WaterC'' Data'!$AY$3:$AY$7,0)),"")</f>
        <v/>
      </c>
      <c r="AS150" s="30" t="str">
        <f>IFERROR(INDEX('G-7 WaterC'' Data'!AZ150:AZ154,MATCH(D150,'G-7 WaterC'' Data'!$AY$10:$AY$14,0)),"")</f>
        <v/>
      </c>
      <c r="AT150" s="885" t="str">
        <f>IF(AND(OR(AA150="Yes",AA150="Pending"),Q150='G-7 WaterC'' Data'!$G$4),R150-W150-X150,"")</f>
        <v/>
      </c>
      <c r="AU150" s="30" t="str">
        <f>IF(D150="","",VLOOKUP(D150,'G-7 WaterC'' Data'!B$4:M$8,12,FALSE))</f>
        <v/>
      </c>
      <c r="AV150" s="30" t="str">
        <f t="shared" si="20"/>
        <v/>
      </c>
      <c r="AX150" s="30" t="str">
        <f t="shared" si="29"/>
        <v>No</v>
      </c>
    </row>
    <row r="151" spans="3:50" ht="14" hidden="1">
      <c r="C151" s="97">
        <v>142</v>
      </c>
      <c r="D151" s="261"/>
      <c r="E151" s="115"/>
      <c r="F151" s="275" t="str">
        <f>IF(D151="","",VLOOKUP(D151,'G-7 WaterC'' Data'!$B$2:$G$8,2,FALSE))</f>
        <v/>
      </c>
      <c r="G151" s="276" t="str">
        <f>IFERROR(VLOOKUP(F151,'G-7 WaterC'' Data'!$C$4:$D$8,2,FALSE),"")</f>
        <v/>
      </c>
      <c r="H151" s="52"/>
      <c r="I151" s="276" t="str">
        <f>IFERROR(INDEX('G-7 WaterC'' Data'!$H$4:$L$8,MATCH(D151,'G-7 WaterC'' Data'!$B$4:$B$8,0),MATCH(H151,'G-7 WaterC'' Data'!$H$3:$L$3,0)),"")</f>
        <v/>
      </c>
      <c r="J151" s="777"/>
      <c r="K151" s="311" t="str">
        <f>IF(J151="","",IF(VLOOKUP(J151,'G-7 WaterC'' Data'!$AK$4:$AM$6,2,FALSE)=0,"Spatial Data Missing ⚠",VLOOKUP(J151,'G-7 WaterC'' Data'!$AK$4:$AM$6,2,FALSE)))</f>
        <v/>
      </c>
      <c r="L151" s="281" t="str">
        <f>IF(J151="","",IF(VLOOKUP(J151,'G-7 WaterC'' Data'!$AK$4:$AM$9,3,FALSE)=0,"Spatial Data Missing ⚠",VLOOKUP(J151,'G-7 WaterC'' Data'!$AK$4:$AM$6,3,FALSE)))</f>
        <v/>
      </c>
      <c r="M151" s="52"/>
      <c r="N151" s="276" t="str">
        <f>IF(M151="","",IF(AND(D151&lt;&gt;"Culvert",M151="N/A - Culvert"),"Not possible ▲",IF(AND(D151="Culvert",M151&lt;&gt;"N/A - Culvert"),"Not possible ▲",IF(VLOOKUP(M151,'G-7 WaterC'' Data'!$AA$4:$AB$7,2,FALSE)=0,"Spatial Data Missing ⚠",VLOOKUP(M151,'G-7 WaterC'' Data'!$AA$4:$AB$7,2,FALSE)))))</f>
        <v/>
      </c>
      <c r="O151" s="56"/>
      <c r="P151" s="276" t="str">
        <f>IF(O151="","",IF(AND(O151="N/A - Culvert",D151&lt;&gt;"Culvert"),"Not possible ▲",IF(AND(D151="Culvert",O151&lt;&gt;"N/A - Culvert"),"Not possible ▲",IF(VLOOKUP(O151,'G-7 WaterC'' Data'!$AD$4:$AE$14,2,FALSE)=0,"Spatial Data Missing ⚠",VLOOKUP(O151,'G-7 WaterC'' Data'!$AD$4:$AE$14,2,FALSE)))))</f>
        <v/>
      </c>
      <c r="Q151" s="282" t="str">
        <f>IF(D151="","",VLOOKUP(D151,'G-7 WaterC'' Data'!$B$2:$G$8,6,FALSE))</f>
        <v/>
      </c>
      <c r="R151" s="289" t="str">
        <f t="shared" si="21"/>
        <v xml:space="preserve"> </v>
      </c>
      <c r="S151" s="803" t="str">
        <f t="shared" si="22"/>
        <v/>
      </c>
      <c r="T151" s="32"/>
      <c r="U151" s="101"/>
      <c r="V151" s="108"/>
      <c r="W151" s="287" t="str">
        <f t="shared" si="23"/>
        <v/>
      </c>
      <c r="X151" s="287" t="str">
        <f t="shared" si="24"/>
        <v/>
      </c>
      <c r="Y151" s="287" t="str">
        <f t="shared" si="25"/>
        <v/>
      </c>
      <c r="Z151" s="317" t="str">
        <f>IFERROR(IF(OR(E151="",R151=""),"",IF(AND(Q151='G-7 WaterC'' Data'!$G$4,AA151="Yes"),"Alternative Compensation ✓",IF(AND(AA151="Pending",Q151='G-7 WaterC'' Data'!$G$4),"Bespoke compensation must be agreed ▲",IF((W151+X151)&gt;=R151,0,R151-W151-X151)))),"Check Data ⚠")</f>
        <v/>
      </c>
      <c r="AA151" s="800"/>
      <c r="AB151" s="136"/>
      <c r="AC151" s="104"/>
      <c r="AD151" s="104"/>
      <c r="AE151" s="54" t="str">
        <f>IF(OR(Q151="",AA151="Yes"),"",IF(Q151='G-1 All Habitats'!$X$9,E151-U151-V151,"None"))</f>
        <v/>
      </c>
      <c r="AF151" s="55" t="str">
        <f>IF(Q151="","",IF(Q151='G-1 All Habitats'!$X$9,AE151*G151*I151*L151*N151*P151,"None"))</f>
        <v/>
      </c>
      <c r="AI151" s="30">
        <f t="shared" si="26"/>
        <v>0</v>
      </c>
      <c r="AJ151" s="107" t="str">
        <f t="shared" si="27"/>
        <v/>
      </c>
      <c r="AK151" s="107" t="str">
        <f t="shared" si="28"/>
        <v/>
      </c>
      <c r="AM151" s="107">
        <v>142</v>
      </c>
      <c r="AO151" s="107" t="str">
        <f t="array" ref="AO151">IFERROR(INDEX($AM$10:$AM$258,MATCH(0,IF(TRUE=$AJ$10:$AJ$258,COUNTIF($AO$9:$AO150,$AM$10:$AM$258),""),0)),"")</f>
        <v/>
      </c>
      <c r="AP151" s="107" t="str">
        <f t="array" ref="AP151">IFERROR(INDEX($AM$10:$AM$258,MATCH(0,IF(TRUE=$AK$10:$AK$258,COUNTIF($AP$9:$AP150,$AM$10:$AM$258),""),0)),"")</f>
        <v/>
      </c>
      <c r="AR151" s="30" t="str">
        <f>IFERROR(INDEX('G-7 WaterC'' Data'!$AZ$3:$AZ$7,MATCH(D151,'G-7 WaterC'' Data'!$AY$3:$AY$7,0)),"")</f>
        <v/>
      </c>
      <c r="AS151" s="30" t="str">
        <f>IFERROR(INDEX('G-7 WaterC'' Data'!AZ151:AZ155,MATCH(D151,'G-7 WaterC'' Data'!$AY$10:$AY$14,0)),"")</f>
        <v/>
      </c>
      <c r="AT151" s="885" t="str">
        <f>IF(AND(OR(AA151="Yes",AA151="Pending"),Q151='G-7 WaterC'' Data'!$G$4),R151-W151-X151,"")</f>
        <v/>
      </c>
      <c r="AU151" s="30" t="str">
        <f>IF(D151="","",VLOOKUP(D151,'G-7 WaterC'' Data'!B$4:M$8,12,FALSE))</f>
        <v/>
      </c>
      <c r="AV151" s="30" t="str">
        <f t="shared" si="20"/>
        <v/>
      </c>
      <c r="AX151" s="30" t="str">
        <f t="shared" si="29"/>
        <v>No</v>
      </c>
    </row>
    <row r="152" spans="3:50" ht="14" hidden="1">
      <c r="C152" s="97">
        <v>143</v>
      </c>
      <c r="D152" s="261"/>
      <c r="E152" s="115"/>
      <c r="F152" s="275" t="str">
        <f>IF(D152="","",VLOOKUP(D152,'G-7 WaterC'' Data'!$B$2:$G$8,2,FALSE))</f>
        <v/>
      </c>
      <c r="G152" s="276" t="str">
        <f>IFERROR(VLOOKUP(F152,'G-7 WaterC'' Data'!$C$4:$D$8,2,FALSE),"")</f>
        <v/>
      </c>
      <c r="H152" s="52"/>
      <c r="I152" s="276" t="str">
        <f>IFERROR(INDEX('G-7 WaterC'' Data'!$H$4:$L$8,MATCH(D152,'G-7 WaterC'' Data'!$B$4:$B$8,0),MATCH(H152,'G-7 WaterC'' Data'!$H$3:$L$3,0)),"")</f>
        <v/>
      </c>
      <c r="J152" s="777"/>
      <c r="K152" s="311" t="str">
        <f>IF(J152="","",IF(VLOOKUP(J152,'G-7 WaterC'' Data'!$AK$4:$AM$6,2,FALSE)=0,"Spatial Data Missing ⚠",VLOOKUP(J152,'G-7 WaterC'' Data'!$AK$4:$AM$6,2,FALSE)))</f>
        <v/>
      </c>
      <c r="L152" s="281" t="str">
        <f>IF(J152="","",IF(VLOOKUP(J152,'G-7 WaterC'' Data'!$AK$4:$AM$9,3,FALSE)=0,"Spatial Data Missing ⚠",VLOOKUP(J152,'G-7 WaterC'' Data'!$AK$4:$AM$6,3,FALSE)))</f>
        <v/>
      </c>
      <c r="M152" s="52"/>
      <c r="N152" s="276" t="str">
        <f>IF(M152="","",IF(AND(D152&lt;&gt;"Culvert",M152="N/A - Culvert"),"Not possible ▲",IF(AND(D152="Culvert",M152&lt;&gt;"N/A - Culvert"),"Not possible ▲",IF(VLOOKUP(M152,'G-7 WaterC'' Data'!$AA$4:$AB$7,2,FALSE)=0,"Spatial Data Missing ⚠",VLOOKUP(M152,'G-7 WaterC'' Data'!$AA$4:$AB$7,2,FALSE)))))</f>
        <v/>
      </c>
      <c r="O152" s="56"/>
      <c r="P152" s="276" t="str">
        <f>IF(O152="","",IF(AND(O152="N/A - Culvert",D152&lt;&gt;"Culvert"),"Not possible ▲",IF(AND(D152="Culvert",O152&lt;&gt;"N/A - Culvert"),"Not possible ▲",IF(VLOOKUP(O152,'G-7 WaterC'' Data'!$AD$4:$AE$14,2,FALSE)=0,"Spatial Data Missing ⚠",VLOOKUP(O152,'G-7 WaterC'' Data'!$AD$4:$AE$14,2,FALSE)))))</f>
        <v/>
      </c>
      <c r="Q152" s="282" t="str">
        <f>IF(D152="","",VLOOKUP(D152,'G-7 WaterC'' Data'!$B$2:$G$8,6,FALSE))</f>
        <v/>
      </c>
      <c r="R152" s="289" t="str">
        <f t="shared" si="21"/>
        <v xml:space="preserve"> </v>
      </c>
      <c r="S152" s="803" t="str">
        <f t="shared" si="22"/>
        <v/>
      </c>
      <c r="T152" s="32"/>
      <c r="U152" s="101"/>
      <c r="V152" s="108"/>
      <c r="W152" s="287" t="str">
        <f t="shared" si="23"/>
        <v/>
      </c>
      <c r="X152" s="287" t="str">
        <f t="shared" si="24"/>
        <v/>
      </c>
      <c r="Y152" s="287" t="str">
        <f t="shared" si="25"/>
        <v/>
      </c>
      <c r="Z152" s="317" t="str">
        <f>IFERROR(IF(OR(E152="",R152=""),"",IF(AND(Q152='G-7 WaterC'' Data'!$G$4,AA152="Yes"),"Alternative Compensation ✓",IF(AND(AA152="Pending",Q152='G-7 WaterC'' Data'!$G$4),"Bespoke compensation must be agreed ▲",IF((W152+X152)&gt;=R152,0,R152-W152-X152)))),"Check Data ⚠")</f>
        <v/>
      </c>
      <c r="AA152" s="800"/>
      <c r="AB152" s="136"/>
      <c r="AC152" s="104"/>
      <c r="AD152" s="104"/>
      <c r="AE152" s="54" t="str">
        <f>IF(OR(Q152="",AA152="Yes"),"",IF(Q152='G-1 All Habitats'!$X$9,E152-U152-V152,"None"))</f>
        <v/>
      </c>
      <c r="AF152" s="55" t="str">
        <f>IF(Q152="","",IF(Q152='G-1 All Habitats'!$X$9,AE152*G152*I152*L152*N152*P152,"None"))</f>
        <v/>
      </c>
      <c r="AI152" s="30">
        <f t="shared" si="26"/>
        <v>0</v>
      </c>
      <c r="AJ152" s="107" t="str">
        <f t="shared" si="27"/>
        <v/>
      </c>
      <c r="AK152" s="107" t="str">
        <f t="shared" si="28"/>
        <v/>
      </c>
      <c r="AM152" s="107">
        <v>143</v>
      </c>
      <c r="AO152" s="107" t="str">
        <f t="array" ref="AO152">IFERROR(INDEX($AM$10:$AM$258,MATCH(0,IF(TRUE=$AJ$10:$AJ$258,COUNTIF($AO$9:$AO151,$AM$10:$AM$258),""),0)),"")</f>
        <v/>
      </c>
      <c r="AP152" s="107" t="str">
        <f t="array" ref="AP152">IFERROR(INDEX($AM$10:$AM$258,MATCH(0,IF(TRUE=$AK$10:$AK$258,COUNTIF($AP$9:$AP151,$AM$10:$AM$258),""),0)),"")</f>
        <v/>
      </c>
      <c r="AR152" s="30" t="str">
        <f>IFERROR(INDEX('G-7 WaterC'' Data'!$AZ$3:$AZ$7,MATCH(D152,'G-7 WaterC'' Data'!$AY$3:$AY$7,0)),"")</f>
        <v/>
      </c>
      <c r="AS152" s="30" t="str">
        <f>IFERROR(INDEX('G-7 WaterC'' Data'!AZ152:AZ156,MATCH(D152,'G-7 WaterC'' Data'!$AY$10:$AY$14,0)),"")</f>
        <v/>
      </c>
      <c r="AT152" s="885" t="str">
        <f>IF(AND(OR(AA152="Yes",AA152="Pending"),Q152='G-7 WaterC'' Data'!$G$4),R152-W152-X152,"")</f>
        <v/>
      </c>
      <c r="AU152" s="30" t="str">
        <f>IF(D152="","",VLOOKUP(D152,'G-7 WaterC'' Data'!B$4:M$8,12,FALSE))</f>
        <v/>
      </c>
      <c r="AV152" s="30" t="str">
        <f t="shared" si="20"/>
        <v/>
      </c>
      <c r="AX152" s="30" t="str">
        <f t="shared" si="29"/>
        <v>No</v>
      </c>
    </row>
    <row r="153" spans="3:50" ht="14" hidden="1">
      <c r="C153" s="97">
        <v>144</v>
      </c>
      <c r="D153" s="261"/>
      <c r="E153" s="115"/>
      <c r="F153" s="275" t="str">
        <f>IF(D153="","",VLOOKUP(D153,'G-7 WaterC'' Data'!$B$2:$G$8,2,FALSE))</f>
        <v/>
      </c>
      <c r="G153" s="276" t="str">
        <f>IFERROR(VLOOKUP(F153,'G-7 WaterC'' Data'!$C$4:$D$8,2,FALSE),"")</f>
        <v/>
      </c>
      <c r="H153" s="52"/>
      <c r="I153" s="276" t="str">
        <f>IFERROR(INDEX('G-7 WaterC'' Data'!$H$4:$L$8,MATCH(D153,'G-7 WaterC'' Data'!$B$4:$B$8,0),MATCH(H153,'G-7 WaterC'' Data'!$H$3:$L$3,0)),"")</f>
        <v/>
      </c>
      <c r="J153" s="777"/>
      <c r="K153" s="311" t="str">
        <f>IF(J153="","",IF(VLOOKUP(J153,'G-7 WaterC'' Data'!$AK$4:$AM$6,2,FALSE)=0,"Spatial Data Missing ⚠",VLOOKUP(J153,'G-7 WaterC'' Data'!$AK$4:$AM$6,2,FALSE)))</f>
        <v/>
      </c>
      <c r="L153" s="281" t="str">
        <f>IF(J153="","",IF(VLOOKUP(J153,'G-7 WaterC'' Data'!$AK$4:$AM$9,3,FALSE)=0,"Spatial Data Missing ⚠",VLOOKUP(J153,'G-7 WaterC'' Data'!$AK$4:$AM$6,3,FALSE)))</f>
        <v/>
      </c>
      <c r="M153" s="52"/>
      <c r="N153" s="276" t="str">
        <f>IF(M153="","",IF(AND(D153&lt;&gt;"Culvert",M153="N/A - Culvert"),"Not possible ▲",IF(AND(D153="Culvert",M153&lt;&gt;"N/A - Culvert"),"Not possible ▲",IF(VLOOKUP(M153,'G-7 WaterC'' Data'!$AA$4:$AB$7,2,FALSE)=0,"Spatial Data Missing ⚠",VLOOKUP(M153,'G-7 WaterC'' Data'!$AA$4:$AB$7,2,FALSE)))))</f>
        <v/>
      </c>
      <c r="O153" s="56"/>
      <c r="P153" s="276" t="str">
        <f>IF(O153="","",IF(AND(O153="N/A - Culvert",D153&lt;&gt;"Culvert"),"Not possible ▲",IF(AND(D153="Culvert",O153&lt;&gt;"N/A - Culvert"),"Not possible ▲",IF(VLOOKUP(O153,'G-7 WaterC'' Data'!$AD$4:$AE$14,2,FALSE)=0,"Spatial Data Missing ⚠",VLOOKUP(O153,'G-7 WaterC'' Data'!$AD$4:$AE$14,2,FALSE)))))</f>
        <v/>
      </c>
      <c r="Q153" s="282" t="str">
        <f>IF(D153="","",VLOOKUP(D153,'G-7 WaterC'' Data'!$B$2:$G$8,6,FALSE))</f>
        <v/>
      </c>
      <c r="R153" s="289" t="str">
        <f t="shared" si="21"/>
        <v xml:space="preserve"> </v>
      </c>
      <c r="S153" s="803" t="str">
        <f t="shared" si="22"/>
        <v/>
      </c>
      <c r="T153" s="32"/>
      <c r="U153" s="101"/>
      <c r="V153" s="108"/>
      <c r="W153" s="287" t="str">
        <f t="shared" si="23"/>
        <v/>
      </c>
      <c r="X153" s="287" t="str">
        <f t="shared" si="24"/>
        <v/>
      </c>
      <c r="Y153" s="287" t="str">
        <f t="shared" si="25"/>
        <v/>
      </c>
      <c r="Z153" s="317" t="str">
        <f>IFERROR(IF(OR(E153="",R153=""),"",IF(AND(Q153='G-7 WaterC'' Data'!$G$4,AA153="Yes"),"Alternative Compensation ✓",IF(AND(AA153="Pending",Q153='G-7 WaterC'' Data'!$G$4),"Bespoke compensation must be agreed ▲",IF((W153+X153)&gt;=R153,0,R153-W153-X153)))),"Check Data ⚠")</f>
        <v/>
      </c>
      <c r="AA153" s="800"/>
      <c r="AB153" s="136"/>
      <c r="AC153" s="104"/>
      <c r="AD153" s="104"/>
      <c r="AE153" s="54" t="str">
        <f>IF(OR(Q153="",AA153="Yes"),"",IF(Q153='G-1 All Habitats'!$X$9,E153-U153-V153,"None"))</f>
        <v/>
      </c>
      <c r="AF153" s="55" t="str">
        <f>IF(Q153="","",IF(Q153='G-1 All Habitats'!$X$9,AE153*G153*I153*L153*N153*P153,"None"))</f>
        <v/>
      </c>
      <c r="AI153" s="30">
        <f t="shared" si="26"/>
        <v>0</v>
      </c>
      <c r="AJ153" s="107" t="str">
        <f t="shared" si="27"/>
        <v/>
      </c>
      <c r="AK153" s="107" t="str">
        <f t="shared" si="28"/>
        <v/>
      </c>
      <c r="AM153" s="107">
        <v>144</v>
      </c>
      <c r="AO153" s="107" t="str">
        <f t="array" ref="AO153">IFERROR(INDEX($AM$10:$AM$258,MATCH(0,IF(TRUE=$AJ$10:$AJ$258,COUNTIF($AO$9:$AO152,$AM$10:$AM$258),""),0)),"")</f>
        <v/>
      </c>
      <c r="AP153" s="107" t="str">
        <f t="array" ref="AP153">IFERROR(INDEX($AM$10:$AM$258,MATCH(0,IF(TRUE=$AK$10:$AK$258,COUNTIF($AP$9:$AP152,$AM$10:$AM$258),""),0)),"")</f>
        <v/>
      </c>
      <c r="AR153" s="30" t="str">
        <f>IFERROR(INDEX('G-7 WaterC'' Data'!$AZ$3:$AZ$7,MATCH(D153,'G-7 WaterC'' Data'!$AY$3:$AY$7,0)),"")</f>
        <v/>
      </c>
      <c r="AS153" s="30" t="str">
        <f>IFERROR(INDEX('G-7 WaterC'' Data'!AZ153:AZ157,MATCH(D153,'G-7 WaterC'' Data'!$AY$10:$AY$14,0)),"")</f>
        <v/>
      </c>
      <c r="AT153" s="885" t="str">
        <f>IF(AND(OR(AA153="Yes",AA153="Pending"),Q153='G-7 WaterC'' Data'!$G$4),R153-W153-X153,"")</f>
        <v/>
      </c>
      <c r="AU153" s="30" t="str">
        <f>IF(D153="","",VLOOKUP(D153,'G-7 WaterC'' Data'!B$4:M$8,12,FALSE))</f>
        <v/>
      </c>
      <c r="AV153" s="30" t="str">
        <f t="shared" si="20"/>
        <v/>
      </c>
      <c r="AX153" s="30" t="str">
        <f t="shared" si="29"/>
        <v>No</v>
      </c>
    </row>
    <row r="154" spans="3:50" ht="14" hidden="1">
      <c r="C154" s="97">
        <v>145</v>
      </c>
      <c r="D154" s="261"/>
      <c r="E154" s="115"/>
      <c r="F154" s="275" t="str">
        <f>IF(D154="","",VLOOKUP(D154,'G-7 WaterC'' Data'!$B$2:$G$8,2,FALSE))</f>
        <v/>
      </c>
      <c r="G154" s="276" t="str">
        <f>IFERROR(VLOOKUP(F154,'G-7 WaterC'' Data'!$C$4:$D$8,2,FALSE),"")</f>
        <v/>
      </c>
      <c r="H154" s="52"/>
      <c r="I154" s="276" t="str">
        <f>IFERROR(INDEX('G-7 WaterC'' Data'!$H$4:$L$8,MATCH(D154,'G-7 WaterC'' Data'!$B$4:$B$8,0),MATCH(H154,'G-7 WaterC'' Data'!$H$3:$L$3,0)),"")</f>
        <v/>
      </c>
      <c r="J154" s="777"/>
      <c r="K154" s="311" t="str">
        <f>IF(J154="","",IF(VLOOKUP(J154,'G-7 WaterC'' Data'!$AK$4:$AM$6,2,FALSE)=0,"Spatial Data Missing ⚠",VLOOKUP(J154,'G-7 WaterC'' Data'!$AK$4:$AM$6,2,FALSE)))</f>
        <v/>
      </c>
      <c r="L154" s="281" t="str">
        <f>IF(J154="","",IF(VLOOKUP(J154,'G-7 WaterC'' Data'!$AK$4:$AM$9,3,FALSE)=0,"Spatial Data Missing ⚠",VLOOKUP(J154,'G-7 WaterC'' Data'!$AK$4:$AM$6,3,FALSE)))</f>
        <v/>
      </c>
      <c r="M154" s="52"/>
      <c r="N154" s="276" t="str">
        <f>IF(M154="","",IF(AND(D154&lt;&gt;"Culvert",M154="N/A - Culvert"),"Not possible ▲",IF(AND(D154="Culvert",M154&lt;&gt;"N/A - Culvert"),"Not possible ▲",IF(VLOOKUP(M154,'G-7 WaterC'' Data'!$AA$4:$AB$7,2,FALSE)=0,"Spatial Data Missing ⚠",VLOOKUP(M154,'G-7 WaterC'' Data'!$AA$4:$AB$7,2,FALSE)))))</f>
        <v/>
      </c>
      <c r="O154" s="56"/>
      <c r="P154" s="276" t="str">
        <f>IF(O154="","",IF(AND(O154="N/A - Culvert",D154&lt;&gt;"Culvert"),"Not possible ▲",IF(AND(D154="Culvert",O154&lt;&gt;"N/A - Culvert"),"Not possible ▲",IF(VLOOKUP(O154,'G-7 WaterC'' Data'!$AD$4:$AE$14,2,FALSE)=0,"Spatial Data Missing ⚠",VLOOKUP(O154,'G-7 WaterC'' Data'!$AD$4:$AE$14,2,FALSE)))))</f>
        <v/>
      </c>
      <c r="Q154" s="282" t="str">
        <f>IF(D154="","",VLOOKUP(D154,'G-7 WaterC'' Data'!$B$2:$G$8,6,FALSE))</f>
        <v/>
      </c>
      <c r="R154" s="289" t="str">
        <f t="shared" si="21"/>
        <v xml:space="preserve"> </v>
      </c>
      <c r="S154" s="803" t="str">
        <f t="shared" si="22"/>
        <v/>
      </c>
      <c r="T154" s="32"/>
      <c r="U154" s="101"/>
      <c r="V154" s="108"/>
      <c r="W154" s="287" t="str">
        <f t="shared" si="23"/>
        <v/>
      </c>
      <c r="X154" s="287" t="str">
        <f t="shared" si="24"/>
        <v/>
      </c>
      <c r="Y154" s="287" t="str">
        <f t="shared" si="25"/>
        <v/>
      </c>
      <c r="Z154" s="317" t="str">
        <f>IFERROR(IF(OR(E154="",R154=""),"",IF(AND(Q154='G-7 WaterC'' Data'!$G$4,AA154="Yes"),"Alternative Compensation ✓",IF(AND(AA154="Pending",Q154='G-7 WaterC'' Data'!$G$4),"Bespoke compensation must be agreed ▲",IF((W154+X154)&gt;=R154,0,R154-W154-X154)))),"Check Data ⚠")</f>
        <v/>
      </c>
      <c r="AA154" s="800"/>
      <c r="AB154" s="136"/>
      <c r="AC154" s="104"/>
      <c r="AD154" s="104"/>
      <c r="AE154" s="54" t="str">
        <f>IF(OR(Q154="",AA154="Yes"),"",IF(Q154='G-1 All Habitats'!$X$9,E154-U154-V154,"None"))</f>
        <v/>
      </c>
      <c r="AF154" s="55" t="str">
        <f>IF(Q154="","",IF(Q154='G-1 All Habitats'!$X$9,AE154*G154*I154*L154*N154*P154,"None"))</f>
        <v/>
      </c>
      <c r="AI154" s="30">
        <f t="shared" si="26"/>
        <v>0</v>
      </c>
      <c r="AJ154" s="107" t="str">
        <f t="shared" si="27"/>
        <v/>
      </c>
      <c r="AK154" s="107" t="str">
        <f t="shared" si="28"/>
        <v/>
      </c>
      <c r="AM154" s="107">
        <v>145</v>
      </c>
      <c r="AO154" s="107" t="str">
        <f t="array" ref="AO154">IFERROR(INDEX($AM$10:$AM$258,MATCH(0,IF(TRUE=$AJ$10:$AJ$258,COUNTIF($AO$9:$AO153,$AM$10:$AM$258),""),0)),"")</f>
        <v/>
      </c>
      <c r="AP154" s="107" t="str">
        <f t="array" ref="AP154">IFERROR(INDEX($AM$10:$AM$258,MATCH(0,IF(TRUE=$AK$10:$AK$258,COUNTIF($AP$9:$AP153,$AM$10:$AM$258),""),0)),"")</f>
        <v/>
      </c>
      <c r="AR154" s="30" t="str">
        <f>IFERROR(INDEX('G-7 WaterC'' Data'!$AZ$3:$AZ$7,MATCH(D154,'G-7 WaterC'' Data'!$AY$3:$AY$7,0)),"")</f>
        <v/>
      </c>
      <c r="AS154" s="30" t="str">
        <f>IFERROR(INDEX('G-7 WaterC'' Data'!AZ154:AZ158,MATCH(D154,'G-7 WaterC'' Data'!$AY$10:$AY$14,0)),"")</f>
        <v/>
      </c>
      <c r="AT154" s="885" t="str">
        <f>IF(AND(OR(AA154="Yes",AA154="Pending"),Q154='G-7 WaterC'' Data'!$G$4),R154-W154-X154,"")</f>
        <v/>
      </c>
      <c r="AU154" s="30" t="str">
        <f>IF(D154="","",VLOOKUP(D154,'G-7 WaterC'' Data'!B$4:M$8,12,FALSE))</f>
        <v/>
      </c>
      <c r="AV154" s="30" t="str">
        <f t="shared" si="20"/>
        <v/>
      </c>
      <c r="AX154" s="30" t="str">
        <f t="shared" si="29"/>
        <v>No</v>
      </c>
    </row>
    <row r="155" spans="3:50" ht="14" hidden="1">
      <c r="C155" s="97">
        <v>146</v>
      </c>
      <c r="D155" s="261"/>
      <c r="E155" s="115"/>
      <c r="F155" s="275" t="str">
        <f>IF(D155="","",VLOOKUP(D155,'G-7 WaterC'' Data'!$B$2:$G$8,2,FALSE))</f>
        <v/>
      </c>
      <c r="G155" s="276" t="str">
        <f>IFERROR(VLOOKUP(F155,'G-7 WaterC'' Data'!$C$4:$D$8,2,FALSE),"")</f>
        <v/>
      </c>
      <c r="H155" s="52"/>
      <c r="I155" s="276" t="str">
        <f>IFERROR(INDEX('G-7 WaterC'' Data'!$H$4:$L$8,MATCH(D155,'G-7 WaterC'' Data'!$B$4:$B$8,0),MATCH(H155,'G-7 WaterC'' Data'!$H$3:$L$3,0)),"")</f>
        <v/>
      </c>
      <c r="J155" s="777"/>
      <c r="K155" s="311" t="str">
        <f>IF(J155="","",IF(VLOOKUP(J155,'G-7 WaterC'' Data'!$AK$4:$AM$6,2,FALSE)=0,"Spatial Data Missing ⚠",VLOOKUP(J155,'G-7 WaterC'' Data'!$AK$4:$AM$6,2,FALSE)))</f>
        <v/>
      </c>
      <c r="L155" s="281" t="str">
        <f>IF(J155="","",IF(VLOOKUP(J155,'G-7 WaterC'' Data'!$AK$4:$AM$9,3,FALSE)=0,"Spatial Data Missing ⚠",VLOOKUP(J155,'G-7 WaterC'' Data'!$AK$4:$AM$6,3,FALSE)))</f>
        <v/>
      </c>
      <c r="M155" s="52"/>
      <c r="N155" s="276" t="str">
        <f>IF(M155="","",IF(AND(D155&lt;&gt;"Culvert",M155="N/A - Culvert"),"Not possible ▲",IF(AND(D155="Culvert",M155&lt;&gt;"N/A - Culvert"),"Not possible ▲",IF(VLOOKUP(M155,'G-7 WaterC'' Data'!$AA$4:$AB$7,2,FALSE)=0,"Spatial Data Missing ⚠",VLOOKUP(M155,'G-7 WaterC'' Data'!$AA$4:$AB$7,2,FALSE)))))</f>
        <v/>
      </c>
      <c r="O155" s="56"/>
      <c r="P155" s="276" t="str">
        <f>IF(O155="","",IF(AND(O155="N/A - Culvert",D155&lt;&gt;"Culvert"),"Not possible ▲",IF(AND(D155="Culvert",O155&lt;&gt;"N/A - Culvert"),"Not possible ▲",IF(VLOOKUP(O155,'G-7 WaterC'' Data'!$AD$4:$AE$14,2,FALSE)=0,"Spatial Data Missing ⚠",VLOOKUP(O155,'G-7 WaterC'' Data'!$AD$4:$AE$14,2,FALSE)))))</f>
        <v/>
      </c>
      <c r="Q155" s="282" t="str">
        <f>IF(D155="","",VLOOKUP(D155,'G-7 WaterC'' Data'!$B$2:$G$8,6,FALSE))</f>
        <v/>
      </c>
      <c r="R155" s="289" t="str">
        <f t="shared" si="21"/>
        <v xml:space="preserve"> </v>
      </c>
      <c r="S155" s="803" t="str">
        <f t="shared" si="22"/>
        <v/>
      </c>
      <c r="T155" s="32"/>
      <c r="U155" s="101"/>
      <c r="V155" s="108"/>
      <c r="W155" s="287" t="str">
        <f t="shared" si="23"/>
        <v/>
      </c>
      <c r="X155" s="287" t="str">
        <f t="shared" si="24"/>
        <v/>
      </c>
      <c r="Y155" s="287" t="str">
        <f t="shared" si="25"/>
        <v/>
      </c>
      <c r="Z155" s="317" t="str">
        <f>IFERROR(IF(OR(E155="",R155=""),"",IF(AND(Q155='G-7 WaterC'' Data'!$G$4,AA155="Yes"),"Alternative Compensation ✓",IF(AND(AA155="Pending",Q155='G-7 WaterC'' Data'!$G$4),"Bespoke compensation must be agreed ▲",IF((W155+X155)&gt;=R155,0,R155-W155-X155)))),"Check Data ⚠")</f>
        <v/>
      </c>
      <c r="AA155" s="800"/>
      <c r="AB155" s="136"/>
      <c r="AC155" s="104"/>
      <c r="AD155" s="104"/>
      <c r="AE155" s="54" t="str">
        <f>IF(OR(Q155="",AA155="Yes"),"",IF(Q155='G-1 All Habitats'!$X$9,E155-U155-V155,"None"))</f>
        <v/>
      </c>
      <c r="AF155" s="55" t="str">
        <f>IF(Q155="","",IF(Q155='G-1 All Habitats'!$X$9,AE155*G155*I155*L155*N155*P155,"None"))</f>
        <v/>
      </c>
      <c r="AI155" s="30">
        <f t="shared" si="26"/>
        <v>0</v>
      </c>
      <c r="AJ155" s="107" t="str">
        <f t="shared" si="27"/>
        <v/>
      </c>
      <c r="AK155" s="107" t="str">
        <f t="shared" si="28"/>
        <v/>
      </c>
      <c r="AM155" s="107">
        <v>146</v>
      </c>
      <c r="AO155" s="107" t="str">
        <f t="array" ref="AO155">IFERROR(INDEX($AM$10:$AM$258,MATCH(0,IF(TRUE=$AJ$10:$AJ$258,COUNTIF($AO$9:$AO154,$AM$10:$AM$258),""),0)),"")</f>
        <v/>
      </c>
      <c r="AP155" s="107" t="str">
        <f t="array" ref="AP155">IFERROR(INDEX($AM$10:$AM$258,MATCH(0,IF(TRUE=$AK$10:$AK$258,COUNTIF($AP$9:$AP154,$AM$10:$AM$258),""),0)),"")</f>
        <v/>
      </c>
      <c r="AR155" s="30" t="str">
        <f>IFERROR(INDEX('G-7 WaterC'' Data'!$AZ$3:$AZ$7,MATCH(D155,'G-7 WaterC'' Data'!$AY$3:$AY$7,0)),"")</f>
        <v/>
      </c>
      <c r="AS155" s="30" t="str">
        <f>IFERROR(INDEX('G-7 WaterC'' Data'!AZ155:AZ159,MATCH(D155,'G-7 WaterC'' Data'!$AY$10:$AY$14,0)),"")</f>
        <v/>
      </c>
      <c r="AT155" s="885" t="str">
        <f>IF(AND(OR(AA155="Yes",AA155="Pending"),Q155='G-7 WaterC'' Data'!$G$4),R155-W155-X155,"")</f>
        <v/>
      </c>
      <c r="AU155" s="30" t="str">
        <f>IF(D155="","",VLOOKUP(D155,'G-7 WaterC'' Data'!B$4:M$8,12,FALSE))</f>
        <v/>
      </c>
      <c r="AV155" s="30" t="str">
        <f t="shared" si="20"/>
        <v/>
      </c>
      <c r="AX155" s="30" t="str">
        <f t="shared" si="29"/>
        <v>No</v>
      </c>
    </row>
    <row r="156" spans="3:50" ht="14" hidden="1">
      <c r="C156" s="97">
        <v>147</v>
      </c>
      <c r="D156" s="261"/>
      <c r="E156" s="115"/>
      <c r="F156" s="275" t="str">
        <f>IF(D156="","",VLOOKUP(D156,'G-7 WaterC'' Data'!$B$2:$G$8,2,FALSE))</f>
        <v/>
      </c>
      <c r="G156" s="276" t="str">
        <f>IFERROR(VLOOKUP(F156,'G-7 WaterC'' Data'!$C$4:$D$8,2,FALSE),"")</f>
        <v/>
      </c>
      <c r="H156" s="52"/>
      <c r="I156" s="276" t="str">
        <f>IFERROR(INDEX('G-7 WaterC'' Data'!$H$4:$L$8,MATCH(D156,'G-7 WaterC'' Data'!$B$4:$B$8,0),MATCH(H156,'G-7 WaterC'' Data'!$H$3:$L$3,0)),"")</f>
        <v/>
      </c>
      <c r="J156" s="777"/>
      <c r="K156" s="311" t="str">
        <f>IF(J156="","",IF(VLOOKUP(J156,'G-7 WaterC'' Data'!$AK$4:$AM$6,2,FALSE)=0,"Spatial Data Missing ⚠",VLOOKUP(J156,'G-7 WaterC'' Data'!$AK$4:$AM$6,2,FALSE)))</f>
        <v/>
      </c>
      <c r="L156" s="281" t="str">
        <f>IF(J156="","",IF(VLOOKUP(J156,'G-7 WaterC'' Data'!$AK$4:$AM$9,3,FALSE)=0,"Spatial Data Missing ⚠",VLOOKUP(J156,'G-7 WaterC'' Data'!$AK$4:$AM$6,3,FALSE)))</f>
        <v/>
      </c>
      <c r="M156" s="52"/>
      <c r="N156" s="276" t="str">
        <f>IF(M156="","",IF(AND(D156&lt;&gt;"Culvert",M156="N/A - Culvert"),"Not possible ▲",IF(AND(D156="Culvert",M156&lt;&gt;"N/A - Culvert"),"Not possible ▲",IF(VLOOKUP(M156,'G-7 WaterC'' Data'!$AA$4:$AB$7,2,FALSE)=0,"Spatial Data Missing ⚠",VLOOKUP(M156,'G-7 WaterC'' Data'!$AA$4:$AB$7,2,FALSE)))))</f>
        <v/>
      </c>
      <c r="O156" s="56"/>
      <c r="P156" s="276" t="str">
        <f>IF(O156="","",IF(AND(O156="N/A - Culvert",D156&lt;&gt;"Culvert"),"Not possible ▲",IF(AND(D156="Culvert",O156&lt;&gt;"N/A - Culvert"),"Not possible ▲",IF(VLOOKUP(O156,'G-7 WaterC'' Data'!$AD$4:$AE$14,2,FALSE)=0,"Spatial Data Missing ⚠",VLOOKUP(O156,'G-7 WaterC'' Data'!$AD$4:$AE$14,2,FALSE)))))</f>
        <v/>
      </c>
      <c r="Q156" s="282" t="str">
        <f>IF(D156="","",VLOOKUP(D156,'G-7 WaterC'' Data'!$B$2:$G$8,6,FALSE))</f>
        <v/>
      </c>
      <c r="R156" s="289" t="str">
        <f t="shared" si="21"/>
        <v xml:space="preserve"> </v>
      </c>
      <c r="S156" s="803" t="str">
        <f t="shared" si="22"/>
        <v/>
      </c>
      <c r="T156" s="32"/>
      <c r="U156" s="101"/>
      <c r="V156" s="108"/>
      <c r="W156" s="287" t="str">
        <f t="shared" si="23"/>
        <v/>
      </c>
      <c r="X156" s="287" t="str">
        <f t="shared" si="24"/>
        <v/>
      </c>
      <c r="Y156" s="287" t="str">
        <f t="shared" si="25"/>
        <v/>
      </c>
      <c r="Z156" s="317" t="str">
        <f>IFERROR(IF(OR(E156="",R156=""),"",IF(AND(Q156='G-7 WaterC'' Data'!$G$4,AA156="Yes"),"Alternative Compensation ✓",IF(AND(AA156="Pending",Q156='G-7 WaterC'' Data'!$G$4),"Bespoke compensation must be agreed ▲",IF((W156+X156)&gt;=R156,0,R156-W156-X156)))),"Check Data ⚠")</f>
        <v/>
      </c>
      <c r="AA156" s="800"/>
      <c r="AB156" s="136"/>
      <c r="AC156" s="104"/>
      <c r="AD156" s="104"/>
      <c r="AE156" s="54" t="str">
        <f>IF(OR(Q156="",AA156="Yes"),"",IF(Q156='G-1 All Habitats'!$X$9,E156-U156-V156,"None"))</f>
        <v/>
      </c>
      <c r="AF156" s="55" t="str">
        <f>IF(Q156="","",IF(Q156='G-1 All Habitats'!$X$9,AE156*G156*I156*L156*N156*P156,"None"))</f>
        <v/>
      </c>
      <c r="AI156" s="30">
        <f t="shared" si="26"/>
        <v>0</v>
      </c>
      <c r="AJ156" s="107" t="str">
        <f t="shared" si="27"/>
        <v/>
      </c>
      <c r="AK156" s="107" t="str">
        <f t="shared" si="28"/>
        <v/>
      </c>
      <c r="AM156" s="107">
        <v>147</v>
      </c>
      <c r="AO156" s="107" t="str">
        <f t="array" ref="AO156">IFERROR(INDEX($AM$10:$AM$258,MATCH(0,IF(TRUE=$AJ$10:$AJ$258,COUNTIF($AO$9:$AO155,$AM$10:$AM$258),""),0)),"")</f>
        <v/>
      </c>
      <c r="AP156" s="107" t="str">
        <f t="array" ref="AP156">IFERROR(INDEX($AM$10:$AM$258,MATCH(0,IF(TRUE=$AK$10:$AK$258,COUNTIF($AP$9:$AP155,$AM$10:$AM$258),""),0)),"")</f>
        <v/>
      </c>
      <c r="AR156" s="30" t="str">
        <f>IFERROR(INDEX('G-7 WaterC'' Data'!$AZ$3:$AZ$7,MATCH(D156,'G-7 WaterC'' Data'!$AY$3:$AY$7,0)),"")</f>
        <v/>
      </c>
      <c r="AS156" s="30" t="str">
        <f>IFERROR(INDEX('G-7 WaterC'' Data'!AZ156:AZ160,MATCH(D156,'G-7 WaterC'' Data'!$AY$10:$AY$14,0)),"")</f>
        <v/>
      </c>
      <c r="AT156" s="885" t="str">
        <f>IF(AND(OR(AA156="Yes",AA156="Pending"),Q156='G-7 WaterC'' Data'!$G$4),R156-W156-X156,"")</f>
        <v/>
      </c>
      <c r="AU156" s="30" t="str">
        <f>IF(D156="","",VLOOKUP(D156,'G-7 WaterC'' Data'!B$4:M$8,12,FALSE))</f>
        <v/>
      </c>
      <c r="AV156" s="30" t="str">
        <f t="shared" si="20"/>
        <v/>
      </c>
      <c r="AX156" s="30" t="str">
        <f t="shared" si="29"/>
        <v>No</v>
      </c>
    </row>
    <row r="157" spans="3:50" ht="14" hidden="1">
      <c r="C157" s="97">
        <v>148</v>
      </c>
      <c r="D157" s="261"/>
      <c r="E157" s="115"/>
      <c r="F157" s="275" t="str">
        <f>IF(D157="","",VLOOKUP(D157,'G-7 WaterC'' Data'!$B$2:$G$8,2,FALSE))</f>
        <v/>
      </c>
      <c r="G157" s="276" t="str">
        <f>IFERROR(VLOOKUP(F157,'G-7 WaterC'' Data'!$C$4:$D$8,2,FALSE),"")</f>
        <v/>
      </c>
      <c r="H157" s="52"/>
      <c r="I157" s="276" t="str">
        <f>IFERROR(INDEX('G-7 WaterC'' Data'!$H$4:$L$8,MATCH(D157,'G-7 WaterC'' Data'!$B$4:$B$8,0),MATCH(H157,'G-7 WaterC'' Data'!$H$3:$L$3,0)),"")</f>
        <v/>
      </c>
      <c r="J157" s="777"/>
      <c r="K157" s="311" t="str">
        <f>IF(J157="","",IF(VLOOKUP(J157,'G-7 WaterC'' Data'!$AK$4:$AM$6,2,FALSE)=0,"Spatial Data Missing ⚠",VLOOKUP(J157,'G-7 WaterC'' Data'!$AK$4:$AM$6,2,FALSE)))</f>
        <v/>
      </c>
      <c r="L157" s="281" t="str">
        <f>IF(J157="","",IF(VLOOKUP(J157,'G-7 WaterC'' Data'!$AK$4:$AM$9,3,FALSE)=0,"Spatial Data Missing ⚠",VLOOKUP(J157,'G-7 WaterC'' Data'!$AK$4:$AM$6,3,FALSE)))</f>
        <v/>
      </c>
      <c r="M157" s="52"/>
      <c r="N157" s="276" t="str">
        <f>IF(M157="","",IF(AND(D157&lt;&gt;"Culvert",M157="N/A - Culvert"),"Not possible ▲",IF(AND(D157="Culvert",M157&lt;&gt;"N/A - Culvert"),"Not possible ▲",IF(VLOOKUP(M157,'G-7 WaterC'' Data'!$AA$4:$AB$7,2,FALSE)=0,"Spatial Data Missing ⚠",VLOOKUP(M157,'G-7 WaterC'' Data'!$AA$4:$AB$7,2,FALSE)))))</f>
        <v/>
      </c>
      <c r="O157" s="56"/>
      <c r="P157" s="276" t="str">
        <f>IF(O157="","",IF(AND(O157="N/A - Culvert",D157&lt;&gt;"Culvert"),"Not possible ▲",IF(AND(D157="Culvert",O157&lt;&gt;"N/A - Culvert"),"Not possible ▲",IF(VLOOKUP(O157,'G-7 WaterC'' Data'!$AD$4:$AE$14,2,FALSE)=0,"Spatial Data Missing ⚠",VLOOKUP(O157,'G-7 WaterC'' Data'!$AD$4:$AE$14,2,FALSE)))))</f>
        <v/>
      </c>
      <c r="Q157" s="282" t="str">
        <f>IF(D157="","",VLOOKUP(D157,'G-7 WaterC'' Data'!$B$2:$G$8,6,FALSE))</f>
        <v/>
      </c>
      <c r="R157" s="289" t="str">
        <f t="shared" si="21"/>
        <v xml:space="preserve"> </v>
      </c>
      <c r="S157" s="803" t="str">
        <f t="shared" si="22"/>
        <v/>
      </c>
      <c r="T157" s="32"/>
      <c r="U157" s="101"/>
      <c r="V157" s="108"/>
      <c r="W157" s="287" t="str">
        <f t="shared" si="23"/>
        <v/>
      </c>
      <c r="X157" s="287" t="str">
        <f t="shared" si="24"/>
        <v/>
      </c>
      <c r="Y157" s="287" t="str">
        <f t="shared" si="25"/>
        <v/>
      </c>
      <c r="Z157" s="317" t="str">
        <f>IFERROR(IF(OR(E157="",R157=""),"",IF(AND(Q157='G-7 WaterC'' Data'!$G$4,AA157="Yes"),"Alternative Compensation ✓",IF(AND(AA157="Pending",Q157='G-7 WaterC'' Data'!$G$4),"Bespoke compensation must be agreed ▲",IF((W157+X157)&gt;=R157,0,R157-W157-X157)))),"Check Data ⚠")</f>
        <v/>
      </c>
      <c r="AA157" s="800"/>
      <c r="AB157" s="136"/>
      <c r="AC157" s="104"/>
      <c r="AD157" s="104"/>
      <c r="AE157" s="54" t="str">
        <f>IF(OR(Q157="",AA157="Yes"),"",IF(Q157='G-1 All Habitats'!$X$9,E157-U157-V157,"None"))</f>
        <v/>
      </c>
      <c r="AF157" s="55" t="str">
        <f>IF(Q157="","",IF(Q157='G-1 All Habitats'!$X$9,AE157*G157*I157*L157*N157*P157,"None"))</f>
        <v/>
      </c>
      <c r="AI157" s="30">
        <f t="shared" si="26"/>
        <v>0</v>
      </c>
      <c r="AJ157" s="107" t="str">
        <f t="shared" si="27"/>
        <v/>
      </c>
      <c r="AK157" s="107" t="str">
        <f t="shared" si="28"/>
        <v/>
      </c>
      <c r="AM157" s="107">
        <v>148</v>
      </c>
      <c r="AO157" s="107" t="str">
        <f t="array" ref="AO157">IFERROR(INDEX($AM$10:$AM$258,MATCH(0,IF(TRUE=$AJ$10:$AJ$258,COUNTIF($AO$9:$AO156,$AM$10:$AM$258),""),0)),"")</f>
        <v/>
      </c>
      <c r="AP157" s="107" t="str">
        <f t="array" ref="AP157">IFERROR(INDEX($AM$10:$AM$258,MATCH(0,IF(TRUE=$AK$10:$AK$258,COUNTIF($AP$9:$AP156,$AM$10:$AM$258),""),0)),"")</f>
        <v/>
      </c>
      <c r="AR157" s="30" t="str">
        <f>IFERROR(INDEX('G-7 WaterC'' Data'!$AZ$3:$AZ$7,MATCH(D157,'G-7 WaterC'' Data'!$AY$3:$AY$7,0)),"")</f>
        <v/>
      </c>
      <c r="AS157" s="30" t="str">
        <f>IFERROR(INDEX('G-7 WaterC'' Data'!AZ157:AZ161,MATCH(D157,'G-7 WaterC'' Data'!$AY$10:$AY$14,0)),"")</f>
        <v/>
      </c>
      <c r="AT157" s="885" t="str">
        <f>IF(AND(OR(AA157="Yes",AA157="Pending"),Q157='G-7 WaterC'' Data'!$G$4),R157-W157-X157,"")</f>
        <v/>
      </c>
      <c r="AU157" s="30" t="str">
        <f>IF(D157="","",VLOOKUP(D157,'G-7 WaterC'' Data'!B$4:M$8,12,FALSE))</f>
        <v/>
      </c>
      <c r="AV157" s="30" t="str">
        <f t="shared" si="20"/>
        <v/>
      </c>
      <c r="AX157" s="30" t="str">
        <f t="shared" si="29"/>
        <v>No</v>
      </c>
    </row>
    <row r="158" spans="3:50" ht="14" hidden="1">
      <c r="C158" s="97">
        <v>149</v>
      </c>
      <c r="D158" s="261"/>
      <c r="E158" s="115"/>
      <c r="F158" s="275" t="str">
        <f>IF(D158="","",VLOOKUP(D158,'G-7 WaterC'' Data'!$B$2:$G$8,2,FALSE))</f>
        <v/>
      </c>
      <c r="G158" s="276" t="str">
        <f>IFERROR(VLOOKUP(F158,'G-7 WaterC'' Data'!$C$4:$D$8,2,FALSE),"")</f>
        <v/>
      </c>
      <c r="H158" s="52"/>
      <c r="I158" s="276" t="str">
        <f>IFERROR(INDEX('G-7 WaterC'' Data'!$H$4:$L$8,MATCH(D158,'G-7 WaterC'' Data'!$B$4:$B$8,0),MATCH(H158,'G-7 WaterC'' Data'!$H$3:$L$3,0)),"")</f>
        <v/>
      </c>
      <c r="J158" s="777"/>
      <c r="K158" s="311" t="str">
        <f>IF(J158="","",IF(VLOOKUP(J158,'G-7 WaterC'' Data'!$AK$4:$AM$6,2,FALSE)=0,"Spatial Data Missing ⚠",VLOOKUP(J158,'G-7 WaterC'' Data'!$AK$4:$AM$6,2,FALSE)))</f>
        <v/>
      </c>
      <c r="L158" s="281" t="str">
        <f>IF(J158="","",IF(VLOOKUP(J158,'G-7 WaterC'' Data'!$AK$4:$AM$9,3,FALSE)=0,"Spatial Data Missing ⚠",VLOOKUP(J158,'G-7 WaterC'' Data'!$AK$4:$AM$6,3,FALSE)))</f>
        <v/>
      </c>
      <c r="M158" s="52"/>
      <c r="N158" s="276" t="str">
        <f>IF(M158="","",IF(AND(D158&lt;&gt;"Culvert",M158="N/A - Culvert"),"Not possible ▲",IF(AND(D158="Culvert",M158&lt;&gt;"N/A - Culvert"),"Not possible ▲",IF(VLOOKUP(M158,'G-7 WaterC'' Data'!$AA$4:$AB$7,2,FALSE)=0,"Spatial Data Missing ⚠",VLOOKUP(M158,'G-7 WaterC'' Data'!$AA$4:$AB$7,2,FALSE)))))</f>
        <v/>
      </c>
      <c r="O158" s="56"/>
      <c r="P158" s="276" t="str">
        <f>IF(O158="","",IF(AND(O158="N/A - Culvert",D158&lt;&gt;"Culvert"),"Not possible ▲",IF(AND(D158="Culvert",O158&lt;&gt;"N/A - Culvert"),"Not possible ▲",IF(VLOOKUP(O158,'G-7 WaterC'' Data'!$AD$4:$AE$14,2,FALSE)=0,"Spatial Data Missing ⚠",VLOOKUP(O158,'G-7 WaterC'' Data'!$AD$4:$AE$14,2,FALSE)))))</f>
        <v/>
      </c>
      <c r="Q158" s="282" t="str">
        <f>IF(D158="","",VLOOKUP(D158,'G-7 WaterC'' Data'!$B$2:$G$8,6,FALSE))</f>
        <v/>
      </c>
      <c r="R158" s="289" t="str">
        <f t="shared" si="21"/>
        <v xml:space="preserve"> </v>
      </c>
      <c r="S158" s="803" t="str">
        <f t="shared" si="22"/>
        <v/>
      </c>
      <c r="T158" s="32"/>
      <c r="U158" s="101"/>
      <c r="V158" s="108"/>
      <c r="W158" s="287" t="str">
        <f t="shared" si="23"/>
        <v/>
      </c>
      <c r="X158" s="287" t="str">
        <f t="shared" si="24"/>
        <v/>
      </c>
      <c r="Y158" s="287" t="str">
        <f t="shared" si="25"/>
        <v/>
      </c>
      <c r="Z158" s="317" t="str">
        <f>IFERROR(IF(OR(E158="",R158=""),"",IF(AND(Q158='G-7 WaterC'' Data'!$G$4,AA158="Yes"),"Alternative Compensation ✓",IF(AND(AA158="Pending",Q158='G-7 WaterC'' Data'!$G$4),"Bespoke compensation must be agreed ▲",IF((W158+X158)&gt;=R158,0,R158-W158-X158)))),"Check Data ⚠")</f>
        <v/>
      </c>
      <c r="AA158" s="800"/>
      <c r="AB158" s="136"/>
      <c r="AC158" s="104"/>
      <c r="AD158" s="104"/>
      <c r="AE158" s="54" t="str">
        <f>IF(OR(Q158="",AA158="Yes"),"",IF(Q158='G-1 All Habitats'!$X$9,E158-U158-V158,"None"))</f>
        <v/>
      </c>
      <c r="AF158" s="55" t="str">
        <f>IF(Q158="","",IF(Q158='G-1 All Habitats'!$X$9,AE158*G158*I158*L158*N158*P158,"None"))</f>
        <v/>
      </c>
      <c r="AI158" s="30">
        <f t="shared" si="26"/>
        <v>0</v>
      </c>
      <c r="AJ158" s="107" t="str">
        <f t="shared" si="27"/>
        <v/>
      </c>
      <c r="AK158" s="107" t="str">
        <f t="shared" si="28"/>
        <v/>
      </c>
      <c r="AM158" s="107">
        <v>149</v>
      </c>
      <c r="AO158" s="107" t="str">
        <f t="array" ref="AO158">IFERROR(INDEX($AM$10:$AM$258,MATCH(0,IF(TRUE=$AJ$10:$AJ$258,COUNTIF($AO$9:$AO157,$AM$10:$AM$258),""),0)),"")</f>
        <v/>
      </c>
      <c r="AP158" s="107" t="str">
        <f t="array" ref="AP158">IFERROR(INDEX($AM$10:$AM$258,MATCH(0,IF(TRUE=$AK$10:$AK$258,COUNTIF($AP$9:$AP157,$AM$10:$AM$258),""),0)),"")</f>
        <v/>
      </c>
      <c r="AR158" s="30" t="str">
        <f>IFERROR(INDEX('G-7 WaterC'' Data'!$AZ$3:$AZ$7,MATCH(D158,'G-7 WaterC'' Data'!$AY$3:$AY$7,0)),"")</f>
        <v/>
      </c>
      <c r="AS158" s="30" t="str">
        <f>IFERROR(INDEX('G-7 WaterC'' Data'!AZ158:AZ162,MATCH(D158,'G-7 WaterC'' Data'!$AY$10:$AY$14,0)),"")</f>
        <v/>
      </c>
      <c r="AT158" s="885" t="str">
        <f>IF(AND(OR(AA158="Yes",AA158="Pending"),Q158='G-7 WaterC'' Data'!$G$4),R158-W158-X158,"")</f>
        <v/>
      </c>
      <c r="AU158" s="30" t="str">
        <f>IF(D158="","",VLOOKUP(D158,'G-7 WaterC'' Data'!B$4:M$8,12,FALSE))</f>
        <v/>
      </c>
      <c r="AV158" s="30" t="str">
        <f t="shared" si="20"/>
        <v/>
      </c>
      <c r="AX158" s="30" t="str">
        <f t="shared" si="29"/>
        <v>No</v>
      </c>
    </row>
    <row r="159" spans="3:50" ht="14" hidden="1">
      <c r="C159" s="97">
        <v>150</v>
      </c>
      <c r="D159" s="261"/>
      <c r="E159" s="115"/>
      <c r="F159" s="275" t="str">
        <f>IF(D159="","",VLOOKUP(D159,'G-7 WaterC'' Data'!$B$2:$G$8,2,FALSE))</f>
        <v/>
      </c>
      <c r="G159" s="276" t="str">
        <f>IFERROR(VLOOKUP(F159,'G-7 WaterC'' Data'!$C$4:$D$8,2,FALSE),"")</f>
        <v/>
      </c>
      <c r="H159" s="52"/>
      <c r="I159" s="276" t="str">
        <f>IFERROR(INDEX('G-7 WaterC'' Data'!$H$4:$L$8,MATCH(D159,'G-7 WaterC'' Data'!$B$4:$B$8,0),MATCH(H159,'G-7 WaterC'' Data'!$H$3:$L$3,0)),"")</f>
        <v/>
      </c>
      <c r="J159" s="777"/>
      <c r="K159" s="311" t="str">
        <f>IF(J159="","",IF(VLOOKUP(J159,'G-7 WaterC'' Data'!$AK$4:$AM$6,2,FALSE)=0,"Spatial Data Missing ⚠",VLOOKUP(J159,'G-7 WaterC'' Data'!$AK$4:$AM$6,2,FALSE)))</f>
        <v/>
      </c>
      <c r="L159" s="281" t="str">
        <f>IF(J159="","",IF(VLOOKUP(J159,'G-7 WaterC'' Data'!$AK$4:$AM$9,3,FALSE)=0,"Spatial Data Missing ⚠",VLOOKUP(J159,'G-7 WaterC'' Data'!$AK$4:$AM$6,3,FALSE)))</f>
        <v/>
      </c>
      <c r="M159" s="52"/>
      <c r="N159" s="276" t="str">
        <f>IF(M159="","",IF(AND(D159&lt;&gt;"Culvert",M159="N/A - Culvert"),"Not possible ▲",IF(AND(D159="Culvert",M159&lt;&gt;"N/A - Culvert"),"Not possible ▲",IF(VLOOKUP(M159,'G-7 WaterC'' Data'!$AA$4:$AB$7,2,FALSE)=0,"Spatial Data Missing ⚠",VLOOKUP(M159,'G-7 WaterC'' Data'!$AA$4:$AB$7,2,FALSE)))))</f>
        <v/>
      </c>
      <c r="O159" s="56"/>
      <c r="P159" s="276" t="str">
        <f>IF(O159="","",IF(AND(O159="N/A - Culvert",D159&lt;&gt;"Culvert"),"Not possible ▲",IF(AND(D159="Culvert",O159&lt;&gt;"N/A - Culvert"),"Not possible ▲",IF(VLOOKUP(O159,'G-7 WaterC'' Data'!$AD$4:$AE$14,2,FALSE)=0,"Spatial Data Missing ⚠",VLOOKUP(O159,'G-7 WaterC'' Data'!$AD$4:$AE$14,2,FALSE)))))</f>
        <v/>
      </c>
      <c r="Q159" s="282" t="str">
        <f>IF(D159="","",VLOOKUP(D159,'G-7 WaterC'' Data'!$B$2:$G$8,6,FALSE))</f>
        <v/>
      </c>
      <c r="R159" s="289" t="str">
        <f t="shared" si="21"/>
        <v xml:space="preserve"> </v>
      </c>
      <c r="S159" s="803" t="str">
        <f t="shared" si="22"/>
        <v/>
      </c>
      <c r="T159" s="32"/>
      <c r="U159" s="101"/>
      <c r="V159" s="108"/>
      <c r="W159" s="287" t="str">
        <f t="shared" si="23"/>
        <v/>
      </c>
      <c r="X159" s="287" t="str">
        <f t="shared" si="24"/>
        <v/>
      </c>
      <c r="Y159" s="287" t="str">
        <f t="shared" si="25"/>
        <v/>
      </c>
      <c r="Z159" s="317" t="str">
        <f>IFERROR(IF(OR(E159="",R159=""),"",IF(AND(Q159='G-7 WaterC'' Data'!$G$4,AA159="Yes"),"Alternative Compensation ✓",IF(AND(AA159="Pending",Q159='G-7 WaterC'' Data'!$G$4),"Bespoke compensation must be agreed ▲",IF((W159+X159)&gt;=R159,0,R159-W159-X159)))),"Check Data ⚠")</f>
        <v/>
      </c>
      <c r="AA159" s="800"/>
      <c r="AB159" s="136"/>
      <c r="AC159" s="104"/>
      <c r="AD159" s="104"/>
      <c r="AE159" s="54" t="str">
        <f>IF(OR(Q159="",AA159="Yes"),"",IF(Q159='G-1 All Habitats'!$X$9,E159-U159-V159,"None"))</f>
        <v/>
      </c>
      <c r="AF159" s="55" t="str">
        <f>IF(Q159="","",IF(Q159='G-1 All Habitats'!$X$9,AE159*G159*I159*L159*N159*P159,"None"))</f>
        <v/>
      </c>
      <c r="AI159" s="30">
        <f t="shared" si="26"/>
        <v>0</v>
      </c>
      <c r="AJ159" s="107" t="str">
        <f t="shared" si="27"/>
        <v/>
      </c>
      <c r="AK159" s="107" t="str">
        <f t="shared" si="28"/>
        <v/>
      </c>
      <c r="AM159" s="107">
        <v>150</v>
      </c>
      <c r="AO159" s="107" t="str">
        <f t="array" ref="AO159">IFERROR(INDEX($AM$10:$AM$258,MATCH(0,IF(TRUE=$AJ$10:$AJ$258,COUNTIF($AO$9:$AO158,$AM$10:$AM$258),""),0)),"")</f>
        <v/>
      </c>
      <c r="AP159" s="107" t="str">
        <f t="array" ref="AP159">IFERROR(INDEX($AM$10:$AM$258,MATCH(0,IF(TRUE=$AK$10:$AK$258,COUNTIF($AP$9:$AP158,$AM$10:$AM$258),""),0)),"")</f>
        <v/>
      </c>
      <c r="AR159" s="30" t="str">
        <f>IFERROR(INDEX('G-7 WaterC'' Data'!$AZ$3:$AZ$7,MATCH(D159,'G-7 WaterC'' Data'!$AY$3:$AY$7,0)),"")</f>
        <v/>
      </c>
      <c r="AS159" s="30" t="str">
        <f>IFERROR(INDEX('G-7 WaterC'' Data'!AZ159:AZ163,MATCH(D159,'G-7 WaterC'' Data'!$AY$10:$AY$14,0)),"")</f>
        <v/>
      </c>
      <c r="AT159" s="885" t="str">
        <f>IF(AND(OR(AA159="Yes",AA159="Pending"),Q159='G-7 WaterC'' Data'!$G$4),R159-W159-X159,"")</f>
        <v/>
      </c>
      <c r="AU159" s="30" t="str">
        <f>IF(D159="","",VLOOKUP(D159,'G-7 WaterC'' Data'!B$4:M$8,12,FALSE))</f>
        <v/>
      </c>
      <c r="AV159" s="30" t="str">
        <f t="shared" si="20"/>
        <v/>
      </c>
      <c r="AX159" s="30" t="str">
        <f t="shared" si="29"/>
        <v>No</v>
      </c>
    </row>
    <row r="160" spans="3:50" ht="14" hidden="1">
      <c r="C160" s="97">
        <v>151</v>
      </c>
      <c r="D160" s="261"/>
      <c r="E160" s="115"/>
      <c r="F160" s="275" t="str">
        <f>IF(D160="","",VLOOKUP(D160,'G-7 WaterC'' Data'!$B$2:$G$8,2,FALSE))</f>
        <v/>
      </c>
      <c r="G160" s="276" t="str">
        <f>IFERROR(VLOOKUP(F160,'G-7 WaterC'' Data'!$C$4:$D$8,2,FALSE),"")</f>
        <v/>
      </c>
      <c r="H160" s="52"/>
      <c r="I160" s="276" t="str">
        <f>IFERROR(INDEX('G-7 WaterC'' Data'!$H$4:$L$8,MATCH(D160,'G-7 WaterC'' Data'!$B$4:$B$8,0),MATCH(H160,'G-7 WaterC'' Data'!$H$3:$L$3,0)),"")</f>
        <v/>
      </c>
      <c r="J160" s="777"/>
      <c r="K160" s="311" t="str">
        <f>IF(J160="","",IF(VLOOKUP(J160,'G-7 WaterC'' Data'!$AK$4:$AM$6,2,FALSE)=0,"Spatial Data Missing ⚠",VLOOKUP(J160,'G-7 WaterC'' Data'!$AK$4:$AM$6,2,FALSE)))</f>
        <v/>
      </c>
      <c r="L160" s="281" t="str">
        <f>IF(J160="","",IF(VLOOKUP(J160,'G-7 WaterC'' Data'!$AK$4:$AM$9,3,FALSE)=0,"Spatial Data Missing ⚠",VLOOKUP(J160,'G-7 WaterC'' Data'!$AK$4:$AM$6,3,FALSE)))</f>
        <v/>
      </c>
      <c r="M160" s="52"/>
      <c r="N160" s="276" t="str">
        <f>IF(M160="","",IF(AND(D160&lt;&gt;"Culvert",M160="N/A - Culvert"),"Not possible ▲",IF(AND(D160="Culvert",M160&lt;&gt;"N/A - Culvert"),"Not possible ▲",IF(VLOOKUP(M160,'G-7 WaterC'' Data'!$AA$4:$AB$7,2,FALSE)=0,"Spatial Data Missing ⚠",VLOOKUP(M160,'G-7 WaterC'' Data'!$AA$4:$AB$7,2,FALSE)))))</f>
        <v/>
      </c>
      <c r="O160" s="56"/>
      <c r="P160" s="276" t="str">
        <f>IF(O160="","",IF(AND(O160="N/A - Culvert",D160&lt;&gt;"Culvert"),"Not possible ▲",IF(AND(D160="Culvert",O160&lt;&gt;"N/A - Culvert"),"Not possible ▲",IF(VLOOKUP(O160,'G-7 WaterC'' Data'!$AD$4:$AE$14,2,FALSE)=0,"Spatial Data Missing ⚠",VLOOKUP(O160,'G-7 WaterC'' Data'!$AD$4:$AE$14,2,FALSE)))))</f>
        <v/>
      </c>
      <c r="Q160" s="282" t="str">
        <f>IF(D160="","",VLOOKUP(D160,'G-7 WaterC'' Data'!$B$2:$G$8,6,FALSE))</f>
        <v/>
      </c>
      <c r="R160" s="289" t="str">
        <f t="shared" si="21"/>
        <v xml:space="preserve"> </v>
      </c>
      <c r="S160" s="803" t="str">
        <f t="shared" si="22"/>
        <v/>
      </c>
      <c r="T160" s="32"/>
      <c r="U160" s="101"/>
      <c r="V160" s="108"/>
      <c r="W160" s="287" t="str">
        <f t="shared" si="23"/>
        <v/>
      </c>
      <c r="X160" s="287" t="str">
        <f t="shared" si="24"/>
        <v/>
      </c>
      <c r="Y160" s="287" t="str">
        <f t="shared" si="25"/>
        <v/>
      </c>
      <c r="Z160" s="317" t="str">
        <f>IFERROR(IF(OR(E160="",R160=""),"",IF(AND(Q160='G-7 WaterC'' Data'!$G$4,AA160="Yes"),"Alternative Compensation ✓",IF(AND(AA160="Pending",Q160='G-7 WaterC'' Data'!$G$4),"Bespoke compensation must be agreed ▲",IF((W160+X160)&gt;=R160,0,R160-W160-X160)))),"Check Data ⚠")</f>
        <v/>
      </c>
      <c r="AA160" s="800"/>
      <c r="AB160" s="136"/>
      <c r="AC160" s="104"/>
      <c r="AD160" s="104"/>
      <c r="AE160" s="54" t="str">
        <f>IF(OR(Q160="",AA160="Yes"),"",IF(Q160='G-1 All Habitats'!$X$9,E160-U160-V160,"None"))</f>
        <v/>
      </c>
      <c r="AF160" s="55" t="str">
        <f>IF(Q160="","",IF(Q160='G-1 All Habitats'!$X$9,AE160*G160*I160*L160*N160*P160,"None"))</f>
        <v/>
      </c>
      <c r="AI160" s="30">
        <f t="shared" si="26"/>
        <v>0</v>
      </c>
      <c r="AJ160" s="107" t="str">
        <f t="shared" si="27"/>
        <v/>
      </c>
      <c r="AK160" s="107" t="str">
        <f t="shared" si="28"/>
        <v/>
      </c>
      <c r="AM160" s="107">
        <v>151</v>
      </c>
      <c r="AO160" s="107" t="str">
        <f t="array" ref="AO160">IFERROR(INDEX($AM$10:$AM$258,MATCH(0,IF(TRUE=$AJ$10:$AJ$258,COUNTIF($AO$9:$AO159,$AM$10:$AM$258),""),0)),"")</f>
        <v/>
      </c>
      <c r="AP160" s="107" t="str">
        <f t="array" ref="AP160">IFERROR(INDEX($AM$10:$AM$258,MATCH(0,IF(TRUE=$AK$10:$AK$258,COUNTIF($AP$9:$AP159,$AM$10:$AM$258),""),0)),"")</f>
        <v/>
      </c>
      <c r="AR160" s="30" t="str">
        <f>IFERROR(INDEX('G-7 WaterC'' Data'!$AZ$3:$AZ$7,MATCH(D160,'G-7 WaterC'' Data'!$AY$3:$AY$7,0)),"")</f>
        <v/>
      </c>
      <c r="AS160" s="30" t="str">
        <f>IFERROR(INDEX('G-7 WaterC'' Data'!AZ160:AZ164,MATCH(D160,'G-7 WaterC'' Data'!$AY$10:$AY$14,0)),"")</f>
        <v/>
      </c>
      <c r="AT160" s="885" t="str">
        <f>IF(AND(OR(AA160="Yes",AA160="Pending"),Q160='G-7 WaterC'' Data'!$G$4),R160-W160-X160,"")</f>
        <v/>
      </c>
      <c r="AU160" s="30" t="str">
        <f>IF(D160="","",VLOOKUP(D160,'G-7 WaterC'' Data'!B$4:M$8,12,FALSE))</f>
        <v/>
      </c>
      <c r="AV160" s="30" t="str">
        <f t="shared" si="20"/>
        <v/>
      </c>
      <c r="AX160" s="30" t="str">
        <f t="shared" si="29"/>
        <v>No</v>
      </c>
    </row>
    <row r="161" spans="3:50" ht="14" hidden="1">
      <c r="C161" s="97">
        <v>152</v>
      </c>
      <c r="D161" s="261"/>
      <c r="E161" s="115"/>
      <c r="F161" s="275" t="str">
        <f>IF(D161="","",VLOOKUP(D161,'G-7 WaterC'' Data'!$B$2:$G$8,2,FALSE))</f>
        <v/>
      </c>
      <c r="G161" s="276" t="str">
        <f>IFERROR(VLOOKUP(F161,'G-7 WaterC'' Data'!$C$4:$D$8,2,FALSE),"")</f>
        <v/>
      </c>
      <c r="H161" s="52"/>
      <c r="I161" s="276" t="str">
        <f>IFERROR(INDEX('G-7 WaterC'' Data'!$H$4:$L$8,MATCH(D161,'G-7 WaterC'' Data'!$B$4:$B$8,0),MATCH(H161,'G-7 WaterC'' Data'!$H$3:$L$3,0)),"")</f>
        <v/>
      </c>
      <c r="J161" s="777"/>
      <c r="K161" s="311" t="str">
        <f>IF(J161="","",IF(VLOOKUP(J161,'G-7 WaterC'' Data'!$AK$4:$AM$6,2,FALSE)=0,"Spatial Data Missing ⚠",VLOOKUP(J161,'G-7 WaterC'' Data'!$AK$4:$AM$6,2,FALSE)))</f>
        <v/>
      </c>
      <c r="L161" s="281" t="str">
        <f>IF(J161="","",IF(VLOOKUP(J161,'G-7 WaterC'' Data'!$AK$4:$AM$9,3,FALSE)=0,"Spatial Data Missing ⚠",VLOOKUP(J161,'G-7 WaterC'' Data'!$AK$4:$AM$6,3,FALSE)))</f>
        <v/>
      </c>
      <c r="M161" s="52"/>
      <c r="N161" s="276" t="str">
        <f>IF(M161="","",IF(AND(D161&lt;&gt;"Culvert",M161="N/A - Culvert"),"Not possible ▲",IF(AND(D161="Culvert",M161&lt;&gt;"N/A - Culvert"),"Not possible ▲",IF(VLOOKUP(M161,'G-7 WaterC'' Data'!$AA$4:$AB$7,2,FALSE)=0,"Spatial Data Missing ⚠",VLOOKUP(M161,'G-7 WaterC'' Data'!$AA$4:$AB$7,2,FALSE)))))</f>
        <v/>
      </c>
      <c r="O161" s="56"/>
      <c r="P161" s="276" t="str">
        <f>IF(O161="","",IF(AND(O161="N/A - Culvert",D161&lt;&gt;"Culvert"),"Not possible ▲",IF(AND(D161="Culvert",O161&lt;&gt;"N/A - Culvert"),"Not possible ▲",IF(VLOOKUP(O161,'G-7 WaterC'' Data'!$AD$4:$AE$14,2,FALSE)=0,"Spatial Data Missing ⚠",VLOOKUP(O161,'G-7 WaterC'' Data'!$AD$4:$AE$14,2,FALSE)))))</f>
        <v/>
      </c>
      <c r="Q161" s="282" t="str">
        <f>IF(D161="","",VLOOKUP(D161,'G-7 WaterC'' Data'!$B$2:$G$8,6,FALSE))</f>
        <v/>
      </c>
      <c r="R161" s="289" t="str">
        <f t="shared" si="21"/>
        <v xml:space="preserve"> </v>
      </c>
      <c r="S161" s="803" t="str">
        <f t="shared" si="22"/>
        <v/>
      </c>
      <c r="T161" s="32"/>
      <c r="U161" s="101"/>
      <c r="V161" s="108"/>
      <c r="W161" s="287" t="str">
        <f t="shared" si="23"/>
        <v/>
      </c>
      <c r="X161" s="287" t="str">
        <f t="shared" si="24"/>
        <v/>
      </c>
      <c r="Y161" s="287" t="str">
        <f t="shared" si="25"/>
        <v/>
      </c>
      <c r="Z161" s="317" t="str">
        <f>IFERROR(IF(OR(E161="",R161=""),"",IF(AND(Q161='G-7 WaterC'' Data'!$G$4,AA161="Yes"),"Alternative Compensation ✓",IF(AND(AA161="Pending",Q161='G-7 WaterC'' Data'!$G$4),"Bespoke compensation must be agreed ▲",IF((W161+X161)&gt;=R161,0,R161-W161-X161)))),"Check Data ⚠")</f>
        <v/>
      </c>
      <c r="AA161" s="800"/>
      <c r="AB161" s="136"/>
      <c r="AC161" s="104"/>
      <c r="AD161" s="104"/>
      <c r="AE161" s="54" t="str">
        <f>IF(OR(Q161="",AA161="Yes"),"",IF(Q161='G-1 All Habitats'!$X$9,E161-U161-V161,"None"))</f>
        <v/>
      </c>
      <c r="AF161" s="55" t="str">
        <f>IF(Q161="","",IF(Q161='G-1 All Habitats'!$X$9,AE161*G161*I161*L161*N161*P161,"None"))</f>
        <v/>
      </c>
      <c r="AI161" s="30">
        <f t="shared" si="26"/>
        <v>0</v>
      </c>
      <c r="AJ161" s="107" t="str">
        <f t="shared" si="27"/>
        <v/>
      </c>
      <c r="AK161" s="107" t="str">
        <f t="shared" si="28"/>
        <v/>
      </c>
      <c r="AM161" s="107">
        <v>152</v>
      </c>
      <c r="AO161" s="107" t="str">
        <f t="array" ref="AO161">IFERROR(INDEX($AM$10:$AM$258,MATCH(0,IF(TRUE=$AJ$10:$AJ$258,COUNTIF($AO$9:$AO160,$AM$10:$AM$258),""),0)),"")</f>
        <v/>
      </c>
      <c r="AP161" s="107" t="str">
        <f t="array" ref="AP161">IFERROR(INDEX($AM$10:$AM$258,MATCH(0,IF(TRUE=$AK$10:$AK$258,COUNTIF($AP$9:$AP160,$AM$10:$AM$258),""),0)),"")</f>
        <v/>
      </c>
      <c r="AR161" s="30" t="str">
        <f>IFERROR(INDEX('G-7 WaterC'' Data'!$AZ$3:$AZ$7,MATCH(D161,'G-7 WaterC'' Data'!$AY$3:$AY$7,0)),"")</f>
        <v/>
      </c>
      <c r="AS161" s="30" t="str">
        <f>IFERROR(INDEX('G-7 WaterC'' Data'!AZ161:AZ165,MATCH(D161,'G-7 WaterC'' Data'!$AY$10:$AY$14,0)),"")</f>
        <v/>
      </c>
      <c r="AT161" s="885" t="str">
        <f>IF(AND(OR(AA161="Yes",AA161="Pending"),Q161='G-7 WaterC'' Data'!$G$4),R161-W161-X161,"")</f>
        <v/>
      </c>
      <c r="AU161" s="30" t="str">
        <f>IF(D161="","",VLOOKUP(D161,'G-7 WaterC'' Data'!B$4:M$8,12,FALSE))</f>
        <v/>
      </c>
      <c r="AV161" s="30" t="str">
        <f t="shared" si="20"/>
        <v/>
      </c>
      <c r="AX161" s="30" t="str">
        <f t="shared" si="29"/>
        <v>No</v>
      </c>
    </row>
    <row r="162" spans="3:50" ht="14" hidden="1">
      <c r="C162" s="97">
        <v>153</v>
      </c>
      <c r="D162" s="261"/>
      <c r="E162" s="115"/>
      <c r="F162" s="275" t="str">
        <f>IF(D162="","",VLOOKUP(D162,'G-7 WaterC'' Data'!$B$2:$G$8,2,FALSE))</f>
        <v/>
      </c>
      <c r="G162" s="276" t="str">
        <f>IFERROR(VLOOKUP(F162,'G-7 WaterC'' Data'!$C$4:$D$8,2,FALSE),"")</f>
        <v/>
      </c>
      <c r="H162" s="52"/>
      <c r="I162" s="276" t="str">
        <f>IFERROR(INDEX('G-7 WaterC'' Data'!$H$4:$L$8,MATCH(D162,'G-7 WaterC'' Data'!$B$4:$B$8,0),MATCH(H162,'G-7 WaterC'' Data'!$H$3:$L$3,0)),"")</f>
        <v/>
      </c>
      <c r="J162" s="777"/>
      <c r="K162" s="311" t="str">
        <f>IF(J162="","",IF(VLOOKUP(J162,'G-7 WaterC'' Data'!$AK$4:$AM$6,2,FALSE)=0,"Spatial Data Missing ⚠",VLOOKUP(J162,'G-7 WaterC'' Data'!$AK$4:$AM$6,2,FALSE)))</f>
        <v/>
      </c>
      <c r="L162" s="281" t="str">
        <f>IF(J162="","",IF(VLOOKUP(J162,'G-7 WaterC'' Data'!$AK$4:$AM$9,3,FALSE)=0,"Spatial Data Missing ⚠",VLOOKUP(J162,'G-7 WaterC'' Data'!$AK$4:$AM$6,3,FALSE)))</f>
        <v/>
      </c>
      <c r="M162" s="52"/>
      <c r="N162" s="276" t="str">
        <f>IF(M162="","",IF(AND(D162&lt;&gt;"Culvert",M162="N/A - Culvert"),"Not possible ▲",IF(AND(D162="Culvert",M162&lt;&gt;"N/A - Culvert"),"Not possible ▲",IF(VLOOKUP(M162,'G-7 WaterC'' Data'!$AA$4:$AB$7,2,FALSE)=0,"Spatial Data Missing ⚠",VLOOKUP(M162,'G-7 WaterC'' Data'!$AA$4:$AB$7,2,FALSE)))))</f>
        <v/>
      </c>
      <c r="O162" s="56"/>
      <c r="P162" s="276" t="str">
        <f>IF(O162="","",IF(AND(O162="N/A - Culvert",D162&lt;&gt;"Culvert"),"Not possible ▲",IF(AND(D162="Culvert",O162&lt;&gt;"N/A - Culvert"),"Not possible ▲",IF(VLOOKUP(O162,'G-7 WaterC'' Data'!$AD$4:$AE$14,2,FALSE)=0,"Spatial Data Missing ⚠",VLOOKUP(O162,'G-7 WaterC'' Data'!$AD$4:$AE$14,2,FALSE)))))</f>
        <v/>
      </c>
      <c r="Q162" s="282" t="str">
        <f>IF(D162="","",VLOOKUP(D162,'G-7 WaterC'' Data'!$B$2:$G$8,6,FALSE))</f>
        <v/>
      </c>
      <c r="R162" s="289" t="str">
        <f t="shared" si="21"/>
        <v xml:space="preserve"> </v>
      </c>
      <c r="S162" s="803" t="str">
        <f t="shared" si="22"/>
        <v/>
      </c>
      <c r="T162" s="32"/>
      <c r="U162" s="101"/>
      <c r="V162" s="108"/>
      <c r="W162" s="287" t="str">
        <f t="shared" si="23"/>
        <v/>
      </c>
      <c r="X162" s="287" t="str">
        <f t="shared" si="24"/>
        <v/>
      </c>
      <c r="Y162" s="287" t="str">
        <f t="shared" si="25"/>
        <v/>
      </c>
      <c r="Z162" s="317" t="str">
        <f>IFERROR(IF(OR(E162="",R162=""),"",IF(AND(Q162='G-7 WaterC'' Data'!$G$4,AA162="Yes"),"Alternative Compensation ✓",IF(AND(AA162="Pending",Q162='G-7 WaterC'' Data'!$G$4),"Bespoke compensation must be agreed ▲",IF((W162+X162)&gt;=R162,0,R162-W162-X162)))),"Check Data ⚠")</f>
        <v/>
      </c>
      <c r="AA162" s="800"/>
      <c r="AB162" s="136"/>
      <c r="AC162" s="104"/>
      <c r="AD162" s="104"/>
      <c r="AE162" s="54" t="str">
        <f>IF(OR(Q162="",AA162="Yes"),"",IF(Q162='G-1 All Habitats'!$X$9,E162-U162-V162,"None"))</f>
        <v/>
      </c>
      <c r="AF162" s="55" t="str">
        <f>IF(Q162="","",IF(Q162='G-1 All Habitats'!$X$9,AE162*G162*I162*L162*N162*P162,"None"))</f>
        <v/>
      </c>
      <c r="AI162" s="30">
        <f t="shared" si="26"/>
        <v>0</v>
      </c>
      <c r="AJ162" s="107" t="str">
        <f t="shared" si="27"/>
        <v/>
      </c>
      <c r="AK162" s="107" t="str">
        <f t="shared" si="28"/>
        <v/>
      </c>
      <c r="AM162" s="107">
        <v>153</v>
      </c>
      <c r="AO162" s="107" t="str">
        <f t="array" ref="AO162">IFERROR(INDEX($AM$10:$AM$258,MATCH(0,IF(TRUE=$AJ$10:$AJ$258,COUNTIF($AO$9:$AO161,$AM$10:$AM$258),""),0)),"")</f>
        <v/>
      </c>
      <c r="AP162" s="107" t="str">
        <f t="array" ref="AP162">IFERROR(INDEX($AM$10:$AM$258,MATCH(0,IF(TRUE=$AK$10:$AK$258,COUNTIF($AP$9:$AP161,$AM$10:$AM$258),""),0)),"")</f>
        <v/>
      </c>
      <c r="AR162" s="30" t="str">
        <f>IFERROR(INDEX('G-7 WaterC'' Data'!$AZ$3:$AZ$7,MATCH(D162,'G-7 WaterC'' Data'!$AY$3:$AY$7,0)),"")</f>
        <v/>
      </c>
      <c r="AS162" s="30" t="str">
        <f>IFERROR(INDEX('G-7 WaterC'' Data'!AZ162:AZ166,MATCH(D162,'G-7 WaterC'' Data'!$AY$10:$AY$14,0)),"")</f>
        <v/>
      </c>
      <c r="AT162" s="885" t="str">
        <f>IF(AND(OR(AA162="Yes",AA162="Pending"),Q162='G-7 WaterC'' Data'!$G$4),R162-W162-X162,"")</f>
        <v/>
      </c>
      <c r="AU162" s="30" t="str">
        <f>IF(D162="","",VLOOKUP(D162,'G-7 WaterC'' Data'!B$4:M$8,12,FALSE))</f>
        <v/>
      </c>
      <c r="AV162" s="30" t="str">
        <f t="shared" si="20"/>
        <v/>
      </c>
      <c r="AX162" s="30" t="str">
        <f t="shared" si="29"/>
        <v>No</v>
      </c>
    </row>
    <row r="163" spans="3:50" ht="14" hidden="1">
      <c r="C163" s="97">
        <v>154</v>
      </c>
      <c r="D163" s="261"/>
      <c r="E163" s="115"/>
      <c r="F163" s="275" t="str">
        <f>IF(D163="","",VLOOKUP(D163,'G-7 WaterC'' Data'!$B$2:$G$8,2,FALSE))</f>
        <v/>
      </c>
      <c r="G163" s="276" t="str">
        <f>IFERROR(VLOOKUP(F163,'G-7 WaterC'' Data'!$C$4:$D$8,2,FALSE),"")</f>
        <v/>
      </c>
      <c r="H163" s="52"/>
      <c r="I163" s="276" t="str">
        <f>IFERROR(INDEX('G-7 WaterC'' Data'!$H$4:$L$8,MATCH(D163,'G-7 WaterC'' Data'!$B$4:$B$8,0),MATCH(H163,'G-7 WaterC'' Data'!$H$3:$L$3,0)),"")</f>
        <v/>
      </c>
      <c r="J163" s="777"/>
      <c r="K163" s="311" t="str">
        <f>IF(J163="","",IF(VLOOKUP(J163,'G-7 WaterC'' Data'!$AK$4:$AM$6,2,FALSE)=0,"Spatial Data Missing ⚠",VLOOKUP(J163,'G-7 WaterC'' Data'!$AK$4:$AM$6,2,FALSE)))</f>
        <v/>
      </c>
      <c r="L163" s="281" t="str">
        <f>IF(J163="","",IF(VLOOKUP(J163,'G-7 WaterC'' Data'!$AK$4:$AM$9,3,FALSE)=0,"Spatial Data Missing ⚠",VLOOKUP(J163,'G-7 WaterC'' Data'!$AK$4:$AM$6,3,FALSE)))</f>
        <v/>
      </c>
      <c r="M163" s="52"/>
      <c r="N163" s="276" t="str">
        <f>IF(M163="","",IF(AND(D163&lt;&gt;"Culvert",M163="N/A - Culvert"),"Not possible ▲",IF(AND(D163="Culvert",M163&lt;&gt;"N/A - Culvert"),"Not possible ▲",IF(VLOOKUP(M163,'G-7 WaterC'' Data'!$AA$4:$AB$7,2,FALSE)=0,"Spatial Data Missing ⚠",VLOOKUP(M163,'G-7 WaterC'' Data'!$AA$4:$AB$7,2,FALSE)))))</f>
        <v/>
      </c>
      <c r="O163" s="56"/>
      <c r="P163" s="276" t="str">
        <f>IF(O163="","",IF(AND(O163="N/A - Culvert",D163&lt;&gt;"Culvert"),"Not possible ▲",IF(AND(D163="Culvert",O163&lt;&gt;"N/A - Culvert"),"Not possible ▲",IF(VLOOKUP(O163,'G-7 WaterC'' Data'!$AD$4:$AE$14,2,FALSE)=0,"Spatial Data Missing ⚠",VLOOKUP(O163,'G-7 WaterC'' Data'!$AD$4:$AE$14,2,FALSE)))))</f>
        <v/>
      </c>
      <c r="Q163" s="282" t="str">
        <f>IF(D163="","",VLOOKUP(D163,'G-7 WaterC'' Data'!$B$2:$G$8,6,FALSE))</f>
        <v/>
      </c>
      <c r="R163" s="289" t="str">
        <f t="shared" si="21"/>
        <v xml:space="preserve"> </v>
      </c>
      <c r="S163" s="803" t="str">
        <f t="shared" si="22"/>
        <v/>
      </c>
      <c r="T163" s="32"/>
      <c r="U163" s="101"/>
      <c r="V163" s="108"/>
      <c r="W163" s="287" t="str">
        <f t="shared" si="23"/>
        <v/>
      </c>
      <c r="X163" s="287" t="str">
        <f t="shared" si="24"/>
        <v/>
      </c>
      <c r="Y163" s="287" t="str">
        <f t="shared" si="25"/>
        <v/>
      </c>
      <c r="Z163" s="317" t="str">
        <f>IFERROR(IF(OR(E163="",R163=""),"",IF(AND(Q163='G-7 WaterC'' Data'!$G$4,AA163="Yes"),"Alternative Compensation ✓",IF(AND(AA163="Pending",Q163='G-7 WaterC'' Data'!$G$4),"Bespoke compensation must be agreed ▲",IF((W163+X163)&gt;=R163,0,R163-W163-X163)))),"Check Data ⚠")</f>
        <v/>
      </c>
      <c r="AA163" s="800"/>
      <c r="AB163" s="136"/>
      <c r="AC163" s="104"/>
      <c r="AD163" s="104"/>
      <c r="AE163" s="54" t="str">
        <f>IF(OR(Q163="",AA163="Yes"),"",IF(Q163='G-1 All Habitats'!$X$9,E163-U163-V163,"None"))</f>
        <v/>
      </c>
      <c r="AF163" s="55" t="str">
        <f>IF(Q163="","",IF(Q163='G-1 All Habitats'!$X$9,AE163*G163*I163*L163*N163*P163,"None"))</f>
        <v/>
      </c>
      <c r="AI163" s="30">
        <f t="shared" si="26"/>
        <v>0</v>
      </c>
      <c r="AJ163" s="107" t="str">
        <f t="shared" si="27"/>
        <v/>
      </c>
      <c r="AK163" s="107" t="str">
        <f t="shared" si="28"/>
        <v/>
      </c>
      <c r="AM163" s="107">
        <v>154</v>
      </c>
      <c r="AO163" s="107" t="str">
        <f t="array" ref="AO163">IFERROR(INDEX($AM$10:$AM$258,MATCH(0,IF(TRUE=$AJ$10:$AJ$258,COUNTIF($AO$9:$AO162,$AM$10:$AM$258),""),0)),"")</f>
        <v/>
      </c>
      <c r="AP163" s="107" t="str">
        <f t="array" ref="AP163">IFERROR(INDEX($AM$10:$AM$258,MATCH(0,IF(TRUE=$AK$10:$AK$258,COUNTIF($AP$9:$AP162,$AM$10:$AM$258),""),0)),"")</f>
        <v/>
      </c>
      <c r="AR163" s="30" t="str">
        <f>IFERROR(INDEX('G-7 WaterC'' Data'!$AZ$3:$AZ$7,MATCH(D163,'G-7 WaterC'' Data'!$AY$3:$AY$7,0)),"")</f>
        <v/>
      </c>
      <c r="AS163" s="30" t="str">
        <f>IFERROR(INDEX('G-7 WaterC'' Data'!AZ163:AZ167,MATCH(D163,'G-7 WaterC'' Data'!$AY$10:$AY$14,0)),"")</f>
        <v/>
      </c>
      <c r="AT163" s="885" t="str">
        <f>IF(AND(OR(AA163="Yes",AA163="Pending"),Q163='G-7 WaterC'' Data'!$G$4),R163-W163-X163,"")</f>
        <v/>
      </c>
      <c r="AU163" s="30" t="str">
        <f>IF(D163="","",VLOOKUP(D163,'G-7 WaterC'' Data'!B$4:M$8,12,FALSE))</f>
        <v/>
      </c>
      <c r="AV163" s="30" t="str">
        <f t="shared" si="20"/>
        <v/>
      </c>
      <c r="AX163" s="30" t="str">
        <f t="shared" si="29"/>
        <v>No</v>
      </c>
    </row>
    <row r="164" spans="3:50" ht="14" hidden="1">
      <c r="C164" s="97">
        <v>155</v>
      </c>
      <c r="D164" s="261"/>
      <c r="E164" s="115"/>
      <c r="F164" s="275" t="str">
        <f>IF(D164="","",VLOOKUP(D164,'G-7 WaterC'' Data'!$B$2:$G$8,2,FALSE))</f>
        <v/>
      </c>
      <c r="G164" s="276" t="str">
        <f>IFERROR(VLOOKUP(F164,'G-7 WaterC'' Data'!$C$4:$D$8,2,FALSE),"")</f>
        <v/>
      </c>
      <c r="H164" s="52"/>
      <c r="I164" s="276" t="str">
        <f>IFERROR(INDEX('G-7 WaterC'' Data'!$H$4:$L$8,MATCH(D164,'G-7 WaterC'' Data'!$B$4:$B$8,0),MATCH(H164,'G-7 WaterC'' Data'!$H$3:$L$3,0)),"")</f>
        <v/>
      </c>
      <c r="J164" s="777"/>
      <c r="K164" s="311" t="str">
        <f>IF(J164="","",IF(VLOOKUP(J164,'G-7 WaterC'' Data'!$AK$4:$AM$6,2,FALSE)=0,"Spatial Data Missing ⚠",VLOOKUP(J164,'G-7 WaterC'' Data'!$AK$4:$AM$6,2,FALSE)))</f>
        <v/>
      </c>
      <c r="L164" s="281" t="str">
        <f>IF(J164="","",IF(VLOOKUP(J164,'G-7 WaterC'' Data'!$AK$4:$AM$9,3,FALSE)=0,"Spatial Data Missing ⚠",VLOOKUP(J164,'G-7 WaterC'' Data'!$AK$4:$AM$6,3,FALSE)))</f>
        <v/>
      </c>
      <c r="M164" s="52"/>
      <c r="N164" s="276" t="str">
        <f>IF(M164="","",IF(AND(D164&lt;&gt;"Culvert",M164="N/A - Culvert"),"Not possible ▲",IF(AND(D164="Culvert",M164&lt;&gt;"N/A - Culvert"),"Not possible ▲",IF(VLOOKUP(M164,'G-7 WaterC'' Data'!$AA$4:$AB$7,2,FALSE)=0,"Spatial Data Missing ⚠",VLOOKUP(M164,'G-7 WaterC'' Data'!$AA$4:$AB$7,2,FALSE)))))</f>
        <v/>
      </c>
      <c r="O164" s="56"/>
      <c r="P164" s="276" t="str">
        <f>IF(O164="","",IF(AND(O164="N/A - Culvert",D164&lt;&gt;"Culvert"),"Not possible ▲",IF(AND(D164="Culvert",O164&lt;&gt;"N/A - Culvert"),"Not possible ▲",IF(VLOOKUP(O164,'G-7 WaterC'' Data'!$AD$4:$AE$14,2,FALSE)=0,"Spatial Data Missing ⚠",VLOOKUP(O164,'G-7 WaterC'' Data'!$AD$4:$AE$14,2,FALSE)))))</f>
        <v/>
      </c>
      <c r="Q164" s="282" t="str">
        <f>IF(D164="","",VLOOKUP(D164,'G-7 WaterC'' Data'!$B$2:$G$8,6,FALSE))</f>
        <v/>
      </c>
      <c r="R164" s="289" t="str">
        <f t="shared" si="21"/>
        <v xml:space="preserve"> </v>
      </c>
      <c r="S164" s="803" t="str">
        <f t="shared" si="22"/>
        <v/>
      </c>
      <c r="T164" s="32"/>
      <c r="U164" s="101"/>
      <c r="V164" s="108"/>
      <c r="W164" s="287" t="str">
        <f t="shared" si="23"/>
        <v/>
      </c>
      <c r="X164" s="287" t="str">
        <f t="shared" si="24"/>
        <v/>
      </c>
      <c r="Y164" s="287" t="str">
        <f t="shared" si="25"/>
        <v/>
      </c>
      <c r="Z164" s="317" t="str">
        <f>IFERROR(IF(OR(E164="",R164=""),"",IF(AND(Q164='G-7 WaterC'' Data'!$G$4,AA164="Yes"),"Alternative Compensation ✓",IF(AND(AA164="Pending",Q164='G-7 WaterC'' Data'!$G$4),"Bespoke compensation must be agreed ▲",IF((W164+X164)&gt;=R164,0,R164-W164-X164)))),"Check Data ⚠")</f>
        <v/>
      </c>
      <c r="AA164" s="800"/>
      <c r="AB164" s="136"/>
      <c r="AC164" s="104"/>
      <c r="AD164" s="104"/>
      <c r="AE164" s="54" t="str">
        <f>IF(OR(Q164="",AA164="Yes"),"",IF(Q164='G-1 All Habitats'!$X$9,E164-U164-V164,"None"))</f>
        <v/>
      </c>
      <c r="AF164" s="55" t="str">
        <f>IF(Q164="","",IF(Q164='G-1 All Habitats'!$X$9,AE164*G164*I164*L164*N164*P164,"None"))</f>
        <v/>
      </c>
      <c r="AI164" s="30">
        <f t="shared" si="26"/>
        <v>0</v>
      </c>
      <c r="AJ164" s="107" t="str">
        <f t="shared" si="27"/>
        <v/>
      </c>
      <c r="AK164" s="107" t="str">
        <f t="shared" si="28"/>
        <v/>
      </c>
      <c r="AM164" s="107">
        <v>155</v>
      </c>
      <c r="AO164" s="107" t="str">
        <f t="array" ref="AO164">IFERROR(INDEX($AM$10:$AM$258,MATCH(0,IF(TRUE=$AJ$10:$AJ$258,COUNTIF($AO$9:$AO163,$AM$10:$AM$258),""),0)),"")</f>
        <v/>
      </c>
      <c r="AP164" s="107" t="str">
        <f t="array" ref="AP164">IFERROR(INDEX($AM$10:$AM$258,MATCH(0,IF(TRUE=$AK$10:$AK$258,COUNTIF($AP$9:$AP163,$AM$10:$AM$258),""),0)),"")</f>
        <v/>
      </c>
      <c r="AR164" s="30" t="str">
        <f>IFERROR(INDEX('G-7 WaterC'' Data'!$AZ$3:$AZ$7,MATCH(D164,'G-7 WaterC'' Data'!$AY$3:$AY$7,0)),"")</f>
        <v/>
      </c>
      <c r="AS164" s="30" t="str">
        <f>IFERROR(INDEX('G-7 WaterC'' Data'!AZ164:AZ168,MATCH(D164,'G-7 WaterC'' Data'!$AY$10:$AY$14,0)),"")</f>
        <v/>
      </c>
      <c r="AT164" s="885" t="str">
        <f>IF(AND(OR(AA164="Yes",AA164="Pending"),Q164='G-7 WaterC'' Data'!$G$4),R164-W164-X164,"")</f>
        <v/>
      </c>
      <c r="AU164" s="30" t="str">
        <f>IF(D164="","",VLOOKUP(D164,'G-7 WaterC'' Data'!B$4:M$8,12,FALSE))</f>
        <v/>
      </c>
      <c r="AV164" s="30" t="str">
        <f t="shared" si="20"/>
        <v/>
      </c>
      <c r="AX164" s="30" t="str">
        <f t="shared" si="29"/>
        <v>No</v>
      </c>
    </row>
    <row r="165" spans="3:50" ht="14" hidden="1">
      <c r="C165" s="97">
        <v>156</v>
      </c>
      <c r="D165" s="261"/>
      <c r="E165" s="115"/>
      <c r="F165" s="275" t="str">
        <f>IF(D165="","",VLOOKUP(D165,'G-7 WaterC'' Data'!$B$2:$G$8,2,FALSE))</f>
        <v/>
      </c>
      <c r="G165" s="276" t="str">
        <f>IFERROR(VLOOKUP(F165,'G-7 WaterC'' Data'!$C$4:$D$8,2,FALSE),"")</f>
        <v/>
      </c>
      <c r="H165" s="52"/>
      <c r="I165" s="276" t="str">
        <f>IFERROR(INDEX('G-7 WaterC'' Data'!$H$4:$L$8,MATCH(D165,'G-7 WaterC'' Data'!$B$4:$B$8,0),MATCH(H165,'G-7 WaterC'' Data'!$H$3:$L$3,0)),"")</f>
        <v/>
      </c>
      <c r="J165" s="777"/>
      <c r="K165" s="311" t="str">
        <f>IF(J165="","",IF(VLOOKUP(J165,'G-7 WaterC'' Data'!$AK$4:$AM$6,2,FALSE)=0,"Spatial Data Missing ⚠",VLOOKUP(J165,'G-7 WaterC'' Data'!$AK$4:$AM$6,2,FALSE)))</f>
        <v/>
      </c>
      <c r="L165" s="281" t="str">
        <f>IF(J165="","",IF(VLOOKUP(J165,'G-7 WaterC'' Data'!$AK$4:$AM$9,3,FALSE)=0,"Spatial Data Missing ⚠",VLOOKUP(J165,'G-7 WaterC'' Data'!$AK$4:$AM$6,3,FALSE)))</f>
        <v/>
      </c>
      <c r="M165" s="52"/>
      <c r="N165" s="276" t="str">
        <f>IF(M165="","",IF(AND(D165&lt;&gt;"Culvert",M165="N/A - Culvert"),"Not possible ▲",IF(AND(D165="Culvert",M165&lt;&gt;"N/A - Culvert"),"Not possible ▲",IF(VLOOKUP(M165,'G-7 WaterC'' Data'!$AA$4:$AB$7,2,FALSE)=0,"Spatial Data Missing ⚠",VLOOKUP(M165,'G-7 WaterC'' Data'!$AA$4:$AB$7,2,FALSE)))))</f>
        <v/>
      </c>
      <c r="O165" s="56"/>
      <c r="P165" s="276" t="str">
        <f>IF(O165="","",IF(AND(O165="N/A - Culvert",D165&lt;&gt;"Culvert"),"Not possible ▲",IF(AND(D165="Culvert",O165&lt;&gt;"N/A - Culvert"),"Not possible ▲",IF(VLOOKUP(O165,'G-7 WaterC'' Data'!$AD$4:$AE$14,2,FALSE)=0,"Spatial Data Missing ⚠",VLOOKUP(O165,'G-7 WaterC'' Data'!$AD$4:$AE$14,2,FALSE)))))</f>
        <v/>
      </c>
      <c r="Q165" s="282" t="str">
        <f>IF(D165="","",VLOOKUP(D165,'G-7 WaterC'' Data'!$B$2:$G$8,6,FALSE))</f>
        <v/>
      </c>
      <c r="R165" s="289" t="str">
        <f t="shared" si="21"/>
        <v xml:space="preserve"> </v>
      </c>
      <c r="S165" s="803" t="str">
        <f t="shared" si="22"/>
        <v/>
      </c>
      <c r="T165" s="32"/>
      <c r="U165" s="101"/>
      <c r="V165" s="108"/>
      <c r="W165" s="287" t="str">
        <f t="shared" si="23"/>
        <v/>
      </c>
      <c r="X165" s="287" t="str">
        <f t="shared" si="24"/>
        <v/>
      </c>
      <c r="Y165" s="287" t="str">
        <f t="shared" si="25"/>
        <v/>
      </c>
      <c r="Z165" s="317" t="str">
        <f>IFERROR(IF(OR(E165="",R165=""),"",IF(AND(Q165='G-7 WaterC'' Data'!$G$4,AA165="Yes"),"Alternative Compensation ✓",IF(AND(AA165="Pending",Q165='G-7 WaterC'' Data'!$G$4),"Bespoke compensation must be agreed ▲",IF((W165+X165)&gt;=R165,0,R165-W165-X165)))),"Check Data ⚠")</f>
        <v/>
      </c>
      <c r="AA165" s="800"/>
      <c r="AB165" s="136"/>
      <c r="AC165" s="104"/>
      <c r="AD165" s="104"/>
      <c r="AE165" s="54" t="str">
        <f>IF(OR(Q165="",AA165="Yes"),"",IF(Q165='G-1 All Habitats'!$X$9,E165-U165-V165,"None"))</f>
        <v/>
      </c>
      <c r="AF165" s="55" t="str">
        <f>IF(Q165="","",IF(Q165='G-1 All Habitats'!$X$9,AE165*G165*I165*L165*N165*P165,"None"))</f>
        <v/>
      </c>
      <c r="AI165" s="30">
        <f t="shared" si="26"/>
        <v>0</v>
      </c>
      <c r="AJ165" s="107" t="str">
        <f t="shared" si="27"/>
        <v/>
      </c>
      <c r="AK165" s="107" t="str">
        <f t="shared" si="28"/>
        <v/>
      </c>
      <c r="AM165" s="107">
        <v>156</v>
      </c>
      <c r="AO165" s="107" t="str">
        <f t="array" ref="AO165">IFERROR(INDEX($AM$10:$AM$258,MATCH(0,IF(TRUE=$AJ$10:$AJ$258,COUNTIF($AO$9:$AO164,$AM$10:$AM$258),""),0)),"")</f>
        <v/>
      </c>
      <c r="AP165" s="107" t="str">
        <f t="array" ref="AP165">IFERROR(INDEX($AM$10:$AM$258,MATCH(0,IF(TRUE=$AK$10:$AK$258,COUNTIF($AP$9:$AP164,$AM$10:$AM$258),""),0)),"")</f>
        <v/>
      </c>
      <c r="AR165" s="30" t="str">
        <f>IFERROR(INDEX('G-7 WaterC'' Data'!$AZ$3:$AZ$7,MATCH(D165,'G-7 WaterC'' Data'!$AY$3:$AY$7,0)),"")</f>
        <v/>
      </c>
      <c r="AS165" s="30" t="str">
        <f>IFERROR(INDEX('G-7 WaterC'' Data'!AZ165:AZ169,MATCH(D165,'G-7 WaterC'' Data'!$AY$10:$AY$14,0)),"")</f>
        <v/>
      </c>
      <c r="AT165" s="885" t="str">
        <f>IF(AND(OR(AA165="Yes",AA165="Pending"),Q165='G-7 WaterC'' Data'!$G$4),R165-W165-X165,"")</f>
        <v/>
      </c>
      <c r="AU165" s="30" t="str">
        <f>IF(D165="","",VLOOKUP(D165,'G-7 WaterC'' Data'!B$4:M$8,12,FALSE))</f>
        <v/>
      </c>
      <c r="AV165" s="30" t="str">
        <f t="shared" si="20"/>
        <v/>
      </c>
      <c r="AX165" s="30" t="str">
        <f t="shared" si="29"/>
        <v>No</v>
      </c>
    </row>
    <row r="166" spans="3:50" ht="14" hidden="1">
      <c r="C166" s="97">
        <v>157</v>
      </c>
      <c r="D166" s="261"/>
      <c r="E166" s="115"/>
      <c r="F166" s="275" t="str">
        <f>IF(D166="","",VLOOKUP(D166,'G-7 WaterC'' Data'!$B$2:$G$8,2,FALSE))</f>
        <v/>
      </c>
      <c r="G166" s="276" t="str">
        <f>IFERROR(VLOOKUP(F166,'G-7 WaterC'' Data'!$C$4:$D$8,2,FALSE),"")</f>
        <v/>
      </c>
      <c r="H166" s="52"/>
      <c r="I166" s="276" t="str">
        <f>IFERROR(INDEX('G-7 WaterC'' Data'!$H$4:$L$8,MATCH(D166,'G-7 WaterC'' Data'!$B$4:$B$8,0),MATCH(H166,'G-7 WaterC'' Data'!$H$3:$L$3,0)),"")</f>
        <v/>
      </c>
      <c r="J166" s="777"/>
      <c r="K166" s="311" t="str">
        <f>IF(J166="","",IF(VLOOKUP(J166,'G-7 WaterC'' Data'!$AK$4:$AM$6,2,FALSE)=0,"Spatial Data Missing ⚠",VLOOKUP(J166,'G-7 WaterC'' Data'!$AK$4:$AM$6,2,FALSE)))</f>
        <v/>
      </c>
      <c r="L166" s="281" t="str">
        <f>IF(J166="","",IF(VLOOKUP(J166,'G-7 WaterC'' Data'!$AK$4:$AM$9,3,FALSE)=0,"Spatial Data Missing ⚠",VLOOKUP(J166,'G-7 WaterC'' Data'!$AK$4:$AM$6,3,FALSE)))</f>
        <v/>
      </c>
      <c r="M166" s="52"/>
      <c r="N166" s="276" t="str">
        <f>IF(M166="","",IF(AND(D166&lt;&gt;"Culvert",M166="N/A - Culvert"),"Not possible ▲",IF(AND(D166="Culvert",M166&lt;&gt;"N/A - Culvert"),"Not possible ▲",IF(VLOOKUP(M166,'G-7 WaterC'' Data'!$AA$4:$AB$7,2,FALSE)=0,"Spatial Data Missing ⚠",VLOOKUP(M166,'G-7 WaterC'' Data'!$AA$4:$AB$7,2,FALSE)))))</f>
        <v/>
      </c>
      <c r="O166" s="56"/>
      <c r="P166" s="276" t="str">
        <f>IF(O166="","",IF(AND(O166="N/A - Culvert",D166&lt;&gt;"Culvert"),"Not possible ▲",IF(AND(D166="Culvert",O166&lt;&gt;"N/A - Culvert"),"Not possible ▲",IF(VLOOKUP(O166,'G-7 WaterC'' Data'!$AD$4:$AE$14,2,FALSE)=0,"Spatial Data Missing ⚠",VLOOKUP(O166,'G-7 WaterC'' Data'!$AD$4:$AE$14,2,FALSE)))))</f>
        <v/>
      </c>
      <c r="Q166" s="282" t="str">
        <f>IF(D166="","",VLOOKUP(D166,'G-7 WaterC'' Data'!$B$2:$G$8,6,FALSE))</f>
        <v/>
      </c>
      <c r="R166" s="289" t="str">
        <f t="shared" si="21"/>
        <v xml:space="preserve"> </v>
      </c>
      <c r="S166" s="803" t="str">
        <f t="shared" si="22"/>
        <v/>
      </c>
      <c r="T166" s="32"/>
      <c r="U166" s="101"/>
      <c r="V166" s="108"/>
      <c r="W166" s="287" t="str">
        <f t="shared" si="23"/>
        <v/>
      </c>
      <c r="X166" s="287" t="str">
        <f t="shared" si="24"/>
        <v/>
      </c>
      <c r="Y166" s="287" t="str">
        <f t="shared" si="25"/>
        <v/>
      </c>
      <c r="Z166" s="317" t="str">
        <f>IFERROR(IF(OR(E166="",R166=""),"",IF(AND(Q166='G-7 WaterC'' Data'!$G$4,AA166="Yes"),"Alternative Compensation ✓",IF(AND(AA166="Pending",Q166='G-7 WaterC'' Data'!$G$4),"Bespoke compensation must be agreed ▲",IF((W166+X166)&gt;=R166,0,R166-W166-X166)))),"Check Data ⚠")</f>
        <v/>
      </c>
      <c r="AA166" s="800"/>
      <c r="AB166" s="136"/>
      <c r="AC166" s="104"/>
      <c r="AD166" s="104"/>
      <c r="AE166" s="54" t="str">
        <f>IF(OR(Q166="",AA166="Yes"),"",IF(Q166='G-1 All Habitats'!$X$9,E166-U166-V166,"None"))</f>
        <v/>
      </c>
      <c r="AF166" s="55" t="str">
        <f>IF(Q166="","",IF(Q166='G-1 All Habitats'!$X$9,AE166*G166*I166*L166*N166*P166,"None"))</f>
        <v/>
      </c>
      <c r="AI166" s="30">
        <f t="shared" si="26"/>
        <v>0</v>
      </c>
      <c r="AJ166" s="107" t="str">
        <f t="shared" si="27"/>
        <v/>
      </c>
      <c r="AK166" s="107" t="str">
        <f t="shared" si="28"/>
        <v/>
      </c>
      <c r="AM166" s="107">
        <v>157</v>
      </c>
      <c r="AO166" s="107" t="str">
        <f t="array" ref="AO166">IFERROR(INDEX($AM$10:$AM$258,MATCH(0,IF(TRUE=$AJ$10:$AJ$258,COUNTIF($AO$9:$AO165,$AM$10:$AM$258),""),0)),"")</f>
        <v/>
      </c>
      <c r="AP166" s="107" t="str">
        <f t="array" ref="AP166">IFERROR(INDEX($AM$10:$AM$258,MATCH(0,IF(TRUE=$AK$10:$AK$258,COUNTIF($AP$9:$AP165,$AM$10:$AM$258),""),0)),"")</f>
        <v/>
      </c>
      <c r="AR166" s="30" t="str">
        <f>IFERROR(INDEX('G-7 WaterC'' Data'!$AZ$3:$AZ$7,MATCH(D166,'G-7 WaterC'' Data'!$AY$3:$AY$7,0)),"")</f>
        <v/>
      </c>
      <c r="AS166" s="30" t="str">
        <f>IFERROR(INDEX('G-7 WaterC'' Data'!AZ166:AZ170,MATCH(D166,'G-7 WaterC'' Data'!$AY$10:$AY$14,0)),"")</f>
        <v/>
      </c>
      <c r="AT166" s="885" t="str">
        <f>IF(AND(OR(AA166="Yes",AA166="Pending"),Q166='G-7 WaterC'' Data'!$G$4),R166-W166-X166,"")</f>
        <v/>
      </c>
      <c r="AU166" s="30" t="str">
        <f>IF(D166="","",VLOOKUP(D166,'G-7 WaterC'' Data'!B$4:M$8,12,FALSE))</f>
        <v/>
      </c>
      <c r="AV166" s="30" t="str">
        <f t="shared" si="20"/>
        <v/>
      </c>
      <c r="AX166" s="30" t="str">
        <f t="shared" si="29"/>
        <v>No</v>
      </c>
    </row>
    <row r="167" spans="3:50" ht="14" hidden="1">
      <c r="C167" s="97">
        <v>158</v>
      </c>
      <c r="D167" s="261"/>
      <c r="E167" s="115"/>
      <c r="F167" s="275" t="str">
        <f>IF(D167="","",VLOOKUP(D167,'G-7 WaterC'' Data'!$B$2:$G$8,2,FALSE))</f>
        <v/>
      </c>
      <c r="G167" s="276" t="str">
        <f>IFERROR(VLOOKUP(F167,'G-7 WaterC'' Data'!$C$4:$D$8,2,FALSE),"")</f>
        <v/>
      </c>
      <c r="H167" s="52"/>
      <c r="I167" s="276" t="str">
        <f>IFERROR(INDEX('G-7 WaterC'' Data'!$H$4:$L$8,MATCH(D167,'G-7 WaterC'' Data'!$B$4:$B$8,0),MATCH(H167,'G-7 WaterC'' Data'!$H$3:$L$3,0)),"")</f>
        <v/>
      </c>
      <c r="J167" s="777"/>
      <c r="K167" s="311" t="str">
        <f>IF(J167="","",IF(VLOOKUP(J167,'G-7 WaterC'' Data'!$AK$4:$AM$6,2,FALSE)=0,"Spatial Data Missing ⚠",VLOOKUP(J167,'G-7 WaterC'' Data'!$AK$4:$AM$6,2,FALSE)))</f>
        <v/>
      </c>
      <c r="L167" s="281" t="str">
        <f>IF(J167="","",IF(VLOOKUP(J167,'G-7 WaterC'' Data'!$AK$4:$AM$9,3,FALSE)=0,"Spatial Data Missing ⚠",VLOOKUP(J167,'G-7 WaterC'' Data'!$AK$4:$AM$6,3,FALSE)))</f>
        <v/>
      </c>
      <c r="M167" s="52"/>
      <c r="N167" s="276" t="str">
        <f>IF(M167="","",IF(AND(D167&lt;&gt;"Culvert",M167="N/A - Culvert"),"Not possible ▲",IF(AND(D167="Culvert",M167&lt;&gt;"N/A - Culvert"),"Not possible ▲",IF(VLOOKUP(M167,'G-7 WaterC'' Data'!$AA$4:$AB$7,2,FALSE)=0,"Spatial Data Missing ⚠",VLOOKUP(M167,'G-7 WaterC'' Data'!$AA$4:$AB$7,2,FALSE)))))</f>
        <v/>
      </c>
      <c r="O167" s="56"/>
      <c r="P167" s="276" t="str">
        <f>IF(O167="","",IF(AND(O167="N/A - Culvert",D167&lt;&gt;"Culvert"),"Not possible ▲",IF(AND(D167="Culvert",O167&lt;&gt;"N/A - Culvert"),"Not possible ▲",IF(VLOOKUP(O167,'G-7 WaterC'' Data'!$AD$4:$AE$14,2,FALSE)=0,"Spatial Data Missing ⚠",VLOOKUP(O167,'G-7 WaterC'' Data'!$AD$4:$AE$14,2,FALSE)))))</f>
        <v/>
      </c>
      <c r="Q167" s="282" t="str">
        <f>IF(D167="","",VLOOKUP(D167,'G-7 WaterC'' Data'!$B$2:$G$8,6,FALSE))</f>
        <v/>
      </c>
      <c r="R167" s="289" t="str">
        <f t="shared" si="21"/>
        <v xml:space="preserve"> </v>
      </c>
      <c r="S167" s="803" t="str">
        <f t="shared" si="22"/>
        <v/>
      </c>
      <c r="T167" s="32"/>
      <c r="U167" s="101"/>
      <c r="V167" s="108"/>
      <c r="W167" s="287" t="str">
        <f t="shared" si="23"/>
        <v/>
      </c>
      <c r="X167" s="287" t="str">
        <f t="shared" si="24"/>
        <v/>
      </c>
      <c r="Y167" s="287" t="str">
        <f t="shared" si="25"/>
        <v/>
      </c>
      <c r="Z167" s="317" t="str">
        <f>IFERROR(IF(OR(E167="",R167=""),"",IF(AND(Q167='G-7 WaterC'' Data'!$G$4,AA167="Yes"),"Alternative Compensation ✓",IF(AND(AA167="Pending",Q167='G-7 WaterC'' Data'!$G$4),"Bespoke compensation must be agreed ▲",IF((W167+X167)&gt;=R167,0,R167-W167-X167)))),"Check Data ⚠")</f>
        <v/>
      </c>
      <c r="AA167" s="800"/>
      <c r="AB167" s="136"/>
      <c r="AC167" s="104"/>
      <c r="AD167" s="104"/>
      <c r="AE167" s="54" t="str">
        <f>IF(OR(Q167="",AA167="Yes"),"",IF(Q167='G-1 All Habitats'!$X$9,E167-U167-V167,"None"))</f>
        <v/>
      </c>
      <c r="AF167" s="55" t="str">
        <f>IF(Q167="","",IF(Q167='G-1 All Habitats'!$X$9,AE167*G167*I167*L167*N167*P167,"None"))</f>
        <v/>
      </c>
      <c r="AI167" s="30">
        <f t="shared" si="26"/>
        <v>0</v>
      </c>
      <c r="AJ167" s="107" t="str">
        <f t="shared" si="27"/>
        <v/>
      </c>
      <c r="AK167" s="107" t="str">
        <f t="shared" si="28"/>
        <v/>
      </c>
      <c r="AM167" s="107">
        <v>158</v>
      </c>
      <c r="AO167" s="107" t="str">
        <f t="array" ref="AO167">IFERROR(INDEX($AM$10:$AM$258,MATCH(0,IF(TRUE=$AJ$10:$AJ$258,COUNTIF($AO$9:$AO166,$AM$10:$AM$258),""),0)),"")</f>
        <v/>
      </c>
      <c r="AP167" s="107" t="str">
        <f t="array" ref="AP167">IFERROR(INDEX($AM$10:$AM$258,MATCH(0,IF(TRUE=$AK$10:$AK$258,COUNTIF($AP$9:$AP166,$AM$10:$AM$258),""),0)),"")</f>
        <v/>
      </c>
      <c r="AR167" s="30" t="str">
        <f>IFERROR(INDEX('G-7 WaterC'' Data'!$AZ$3:$AZ$7,MATCH(D167,'G-7 WaterC'' Data'!$AY$3:$AY$7,0)),"")</f>
        <v/>
      </c>
      <c r="AS167" s="30" t="str">
        <f>IFERROR(INDEX('G-7 WaterC'' Data'!AZ167:AZ171,MATCH(D167,'G-7 WaterC'' Data'!$AY$10:$AY$14,0)),"")</f>
        <v/>
      </c>
      <c r="AT167" s="885" t="str">
        <f>IF(AND(OR(AA167="Yes",AA167="Pending"),Q167='G-7 WaterC'' Data'!$G$4),R167-W167-X167,"")</f>
        <v/>
      </c>
      <c r="AU167" s="30" t="str">
        <f>IF(D167="","",VLOOKUP(D167,'G-7 WaterC'' Data'!B$4:M$8,12,FALSE))</f>
        <v/>
      </c>
      <c r="AV167" s="30" t="str">
        <f t="shared" si="20"/>
        <v/>
      </c>
      <c r="AX167" s="30" t="str">
        <f t="shared" si="29"/>
        <v>No</v>
      </c>
    </row>
    <row r="168" spans="3:50" ht="14" hidden="1">
      <c r="C168" s="97">
        <v>159</v>
      </c>
      <c r="D168" s="261"/>
      <c r="E168" s="115"/>
      <c r="F168" s="275" t="str">
        <f>IF(D168="","",VLOOKUP(D168,'G-7 WaterC'' Data'!$B$2:$G$8,2,FALSE))</f>
        <v/>
      </c>
      <c r="G168" s="276" t="str">
        <f>IFERROR(VLOOKUP(F168,'G-7 WaterC'' Data'!$C$4:$D$8,2,FALSE),"")</f>
        <v/>
      </c>
      <c r="H168" s="52"/>
      <c r="I168" s="276" t="str">
        <f>IFERROR(INDEX('G-7 WaterC'' Data'!$H$4:$L$8,MATCH(D168,'G-7 WaterC'' Data'!$B$4:$B$8,0),MATCH(H168,'G-7 WaterC'' Data'!$H$3:$L$3,0)),"")</f>
        <v/>
      </c>
      <c r="J168" s="777"/>
      <c r="K168" s="311" t="str">
        <f>IF(J168="","",IF(VLOOKUP(J168,'G-7 WaterC'' Data'!$AK$4:$AM$6,2,FALSE)=0,"Spatial Data Missing ⚠",VLOOKUP(J168,'G-7 WaterC'' Data'!$AK$4:$AM$6,2,FALSE)))</f>
        <v/>
      </c>
      <c r="L168" s="281" t="str">
        <f>IF(J168="","",IF(VLOOKUP(J168,'G-7 WaterC'' Data'!$AK$4:$AM$9,3,FALSE)=0,"Spatial Data Missing ⚠",VLOOKUP(J168,'G-7 WaterC'' Data'!$AK$4:$AM$6,3,FALSE)))</f>
        <v/>
      </c>
      <c r="M168" s="52"/>
      <c r="N168" s="276" t="str">
        <f>IF(M168="","",IF(AND(D168&lt;&gt;"Culvert",M168="N/A - Culvert"),"Not possible ▲",IF(AND(D168="Culvert",M168&lt;&gt;"N/A - Culvert"),"Not possible ▲",IF(VLOOKUP(M168,'G-7 WaterC'' Data'!$AA$4:$AB$7,2,FALSE)=0,"Spatial Data Missing ⚠",VLOOKUP(M168,'G-7 WaterC'' Data'!$AA$4:$AB$7,2,FALSE)))))</f>
        <v/>
      </c>
      <c r="O168" s="56"/>
      <c r="P168" s="276" t="str">
        <f>IF(O168="","",IF(AND(O168="N/A - Culvert",D168&lt;&gt;"Culvert"),"Not possible ▲",IF(AND(D168="Culvert",O168&lt;&gt;"N/A - Culvert"),"Not possible ▲",IF(VLOOKUP(O168,'G-7 WaterC'' Data'!$AD$4:$AE$14,2,FALSE)=0,"Spatial Data Missing ⚠",VLOOKUP(O168,'G-7 WaterC'' Data'!$AD$4:$AE$14,2,FALSE)))))</f>
        <v/>
      </c>
      <c r="Q168" s="282" t="str">
        <f>IF(D168="","",VLOOKUP(D168,'G-7 WaterC'' Data'!$B$2:$G$8,6,FALSE))</f>
        <v/>
      </c>
      <c r="R168" s="289" t="str">
        <f t="shared" si="21"/>
        <v xml:space="preserve"> </v>
      </c>
      <c r="S168" s="803" t="str">
        <f t="shared" si="22"/>
        <v/>
      </c>
      <c r="T168" s="32"/>
      <c r="U168" s="101"/>
      <c r="V168" s="108"/>
      <c r="W168" s="287" t="str">
        <f t="shared" si="23"/>
        <v/>
      </c>
      <c r="X168" s="287" t="str">
        <f t="shared" si="24"/>
        <v/>
      </c>
      <c r="Y168" s="287" t="str">
        <f t="shared" si="25"/>
        <v/>
      </c>
      <c r="Z168" s="317" t="str">
        <f>IFERROR(IF(OR(E168="",R168=""),"",IF(AND(Q168='G-7 WaterC'' Data'!$G$4,AA168="Yes"),"Alternative Compensation ✓",IF(AND(AA168="Pending",Q168='G-7 WaterC'' Data'!$G$4),"Bespoke compensation must be agreed ▲",IF((W168+X168)&gt;=R168,0,R168-W168-X168)))),"Check Data ⚠")</f>
        <v/>
      </c>
      <c r="AA168" s="800"/>
      <c r="AB168" s="136"/>
      <c r="AC168" s="104"/>
      <c r="AD168" s="104"/>
      <c r="AE168" s="54" t="str">
        <f>IF(OR(Q168="",AA168="Yes"),"",IF(Q168='G-1 All Habitats'!$X$9,E168-U168-V168,"None"))</f>
        <v/>
      </c>
      <c r="AF168" s="55" t="str">
        <f>IF(Q168="","",IF(Q168='G-1 All Habitats'!$X$9,AE168*G168*I168*L168*N168*P168,"None"))</f>
        <v/>
      </c>
      <c r="AI168" s="30">
        <f t="shared" si="26"/>
        <v>0</v>
      </c>
      <c r="AJ168" s="107" t="str">
        <f t="shared" si="27"/>
        <v/>
      </c>
      <c r="AK168" s="107" t="str">
        <f t="shared" si="28"/>
        <v/>
      </c>
      <c r="AM168" s="107">
        <v>159</v>
      </c>
      <c r="AO168" s="107" t="str">
        <f t="array" ref="AO168">IFERROR(INDEX($AM$10:$AM$258,MATCH(0,IF(TRUE=$AJ$10:$AJ$258,COUNTIF($AO$9:$AO167,$AM$10:$AM$258),""),0)),"")</f>
        <v/>
      </c>
      <c r="AP168" s="107" t="str">
        <f t="array" ref="AP168">IFERROR(INDEX($AM$10:$AM$258,MATCH(0,IF(TRUE=$AK$10:$AK$258,COUNTIF($AP$9:$AP167,$AM$10:$AM$258),""),0)),"")</f>
        <v/>
      </c>
      <c r="AR168" s="30" t="str">
        <f>IFERROR(INDEX('G-7 WaterC'' Data'!$AZ$3:$AZ$7,MATCH(D168,'G-7 WaterC'' Data'!$AY$3:$AY$7,0)),"")</f>
        <v/>
      </c>
      <c r="AS168" s="30" t="str">
        <f>IFERROR(INDEX('G-7 WaterC'' Data'!AZ168:AZ172,MATCH(D168,'G-7 WaterC'' Data'!$AY$10:$AY$14,0)),"")</f>
        <v/>
      </c>
      <c r="AT168" s="885" t="str">
        <f>IF(AND(OR(AA168="Yes",AA168="Pending"),Q168='G-7 WaterC'' Data'!$G$4),R168-W168-X168,"")</f>
        <v/>
      </c>
      <c r="AU168" s="30" t="str">
        <f>IF(D168="","",VLOOKUP(D168,'G-7 WaterC'' Data'!B$4:M$8,12,FALSE))</f>
        <v/>
      </c>
      <c r="AV168" s="30" t="str">
        <f t="shared" si="20"/>
        <v/>
      </c>
      <c r="AX168" s="30" t="str">
        <f t="shared" si="29"/>
        <v>No</v>
      </c>
    </row>
    <row r="169" spans="3:50" ht="14" hidden="1">
      <c r="C169" s="97">
        <v>160</v>
      </c>
      <c r="D169" s="261"/>
      <c r="E169" s="115"/>
      <c r="F169" s="275" t="str">
        <f>IF(D169="","",VLOOKUP(D169,'G-7 WaterC'' Data'!$B$2:$G$8,2,FALSE))</f>
        <v/>
      </c>
      <c r="G169" s="276" t="str">
        <f>IFERROR(VLOOKUP(F169,'G-7 WaterC'' Data'!$C$4:$D$8,2,FALSE),"")</f>
        <v/>
      </c>
      <c r="H169" s="52"/>
      <c r="I169" s="276" t="str">
        <f>IFERROR(INDEX('G-7 WaterC'' Data'!$H$4:$L$8,MATCH(D169,'G-7 WaterC'' Data'!$B$4:$B$8,0),MATCH(H169,'G-7 WaterC'' Data'!$H$3:$L$3,0)),"")</f>
        <v/>
      </c>
      <c r="J169" s="777"/>
      <c r="K169" s="311" t="str">
        <f>IF(J169="","",IF(VLOOKUP(J169,'G-7 WaterC'' Data'!$AK$4:$AM$6,2,FALSE)=0,"Spatial Data Missing ⚠",VLOOKUP(J169,'G-7 WaterC'' Data'!$AK$4:$AM$6,2,FALSE)))</f>
        <v/>
      </c>
      <c r="L169" s="281" t="str">
        <f>IF(J169="","",IF(VLOOKUP(J169,'G-7 WaterC'' Data'!$AK$4:$AM$9,3,FALSE)=0,"Spatial Data Missing ⚠",VLOOKUP(J169,'G-7 WaterC'' Data'!$AK$4:$AM$6,3,FALSE)))</f>
        <v/>
      </c>
      <c r="M169" s="52"/>
      <c r="N169" s="276" t="str">
        <f>IF(M169="","",IF(AND(D169&lt;&gt;"Culvert",M169="N/A - Culvert"),"Not possible ▲",IF(AND(D169="Culvert",M169&lt;&gt;"N/A - Culvert"),"Not possible ▲",IF(VLOOKUP(M169,'G-7 WaterC'' Data'!$AA$4:$AB$7,2,FALSE)=0,"Spatial Data Missing ⚠",VLOOKUP(M169,'G-7 WaterC'' Data'!$AA$4:$AB$7,2,FALSE)))))</f>
        <v/>
      </c>
      <c r="O169" s="56"/>
      <c r="P169" s="276" t="str">
        <f>IF(O169="","",IF(AND(O169="N/A - Culvert",D169&lt;&gt;"Culvert"),"Not possible ▲",IF(AND(D169="Culvert",O169&lt;&gt;"N/A - Culvert"),"Not possible ▲",IF(VLOOKUP(O169,'G-7 WaterC'' Data'!$AD$4:$AE$14,2,FALSE)=0,"Spatial Data Missing ⚠",VLOOKUP(O169,'G-7 WaterC'' Data'!$AD$4:$AE$14,2,FALSE)))))</f>
        <v/>
      </c>
      <c r="Q169" s="282" t="str">
        <f>IF(D169="","",VLOOKUP(D169,'G-7 WaterC'' Data'!$B$2:$G$8,6,FALSE))</f>
        <v/>
      </c>
      <c r="R169" s="289" t="str">
        <f t="shared" si="21"/>
        <v xml:space="preserve"> </v>
      </c>
      <c r="S169" s="803" t="str">
        <f t="shared" si="22"/>
        <v/>
      </c>
      <c r="T169" s="32"/>
      <c r="U169" s="101"/>
      <c r="V169" s="108"/>
      <c r="W169" s="287" t="str">
        <f t="shared" si="23"/>
        <v/>
      </c>
      <c r="X169" s="287" t="str">
        <f t="shared" si="24"/>
        <v/>
      </c>
      <c r="Y169" s="287" t="str">
        <f t="shared" si="25"/>
        <v/>
      </c>
      <c r="Z169" s="317" t="str">
        <f>IFERROR(IF(OR(E169="",R169=""),"",IF(AND(Q169='G-7 WaterC'' Data'!$G$4,AA169="Yes"),"Alternative Compensation ✓",IF(AND(AA169="Pending",Q169='G-7 WaterC'' Data'!$G$4),"Bespoke compensation must be agreed ▲",IF((W169+X169)&gt;=R169,0,R169-W169-X169)))),"Check Data ⚠")</f>
        <v/>
      </c>
      <c r="AA169" s="800"/>
      <c r="AB169" s="136"/>
      <c r="AC169" s="104"/>
      <c r="AD169" s="104"/>
      <c r="AE169" s="54" t="str">
        <f>IF(OR(Q169="",AA169="Yes"),"",IF(Q169='G-1 All Habitats'!$X$9,E169-U169-V169,"None"))</f>
        <v/>
      </c>
      <c r="AF169" s="55" t="str">
        <f>IF(Q169="","",IF(Q169='G-1 All Habitats'!$X$9,AE169*G169*I169*L169*N169*P169,"None"))</f>
        <v/>
      </c>
      <c r="AI169" s="30">
        <f t="shared" si="26"/>
        <v>0</v>
      </c>
      <c r="AJ169" s="107" t="str">
        <f t="shared" si="27"/>
        <v/>
      </c>
      <c r="AK169" s="107" t="str">
        <f t="shared" si="28"/>
        <v/>
      </c>
      <c r="AM169" s="107">
        <v>160</v>
      </c>
      <c r="AO169" s="107" t="str">
        <f t="array" ref="AO169">IFERROR(INDEX($AM$10:$AM$258,MATCH(0,IF(TRUE=$AJ$10:$AJ$258,COUNTIF($AO$9:$AO168,$AM$10:$AM$258),""),0)),"")</f>
        <v/>
      </c>
      <c r="AP169" s="107" t="str">
        <f t="array" ref="AP169">IFERROR(INDEX($AM$10:$AM$258,MATCH(0,IF(TRUE=$AK$10:$AK$258,COUNTIF($AP$9:$AP168,$AM$10:$AM$258),""),0)),"")</f>
        <v/>
      </c>
      <c r="AR169" s="30" t="str">
        <f>IFERROR(INDEX('G-7 WaterC'' Data'!$AZ$3:$AZ$7,MATCH(D169,'G-7 WaterC'' Data'!$AY$3:$AY$7,0)),"")</f>
        <v/>
      </c>
      <c r="AS169" s="30" t="str">
        <f>IFERROR(INDEX('G-7 WaterC'' Data'!AZ169:AZ173,MATCH(D169,'G-7 WaterC'' Data'!$AY$10:$AY$14,0)),"")</f>
        <v/>
      </c>
      <c r="AT169" s="885" t="str">
        <f>IF(AND(OR(AA169="Yes",AA169="Pending"),Q169='G-7 WaterC'' Data'!$G$4),R169-W169-X169,"")</f>
        <v/>
      </c>
      <c r="AU169" s="30" t="str">
        <f>IF(D169="","",VLOOKUP(D169,'G-7 WaterC'' Data'!B$4:M$8,12,FALSE))</f>
        <v/>
      </c>
      <c r="AV169" s="30" t="str">
        <f t="shared" si="20"/>
        <v/>
      </c>
      <c r="AX169" s="30" t="str">
        <f t="shared" si="29"/>
        <v>No</v>
      </c>
    </row>
    <row r="170" spans="3:50" ht="14" hidden="1">
      <c r="C170" s="97">
        <v>161</v>
      </c>
      <c r="D170" s="261"/>
      <c r="E170" s="115"/>
      <c r="F170" s="275" t="str">
        <f>IF(D170="","",VLOOKUP(D170,'G-7 WaterC'' Data'!$B$2:$G$8,2,FALSE))</f>
        <v/>
      </c>
      <c r="G170" s="276" t="str">
        <f>IFERROR(VLOOKUP(F170,'G-7 WaterC'' Data'!$C$4:$D$8,2,FALSE),"")</f>
        <v/>
      </c>
      <c r="H170" s="52"/>
      <c r="I170" s="276" t="str">
        <f>IFERROR(INDEX('G-7 WaterC'' Data'!$H$4:$L$8,MATCH(D170,'G-7 WaterC'' Data'!$B$4:$B$8,0),MATCH(H170,'G-7 WaterC'' Data'!$H$3:$L$3,0)),"")</f>
        <v/>
      </c>
      <c r="J170" s="777"/>
      <c r="K170" s="311" t="str">
        <f>IF(J170="","",IF(VLOOKUP(J170,'G-7 WaterC'' Data'!$AK$4:$AM$6,2,FALSE)=0,"Spatial Data Missing ⚠",VLOOKUP(J170,'G-7 WaterC'' Data'!$AK$4:$AM$6,2,FALSE)))</f>
        <v/>
      </c>
      <c r="L170" s="281" t="str">
        <f>IF(J170="","",IF(VLOOKUP(J170,'G-7 WaterC'' Data'!$AK$4:$AM$9,3,FALSE)=0,"Spatial Data Missing ⚠",VLOOKUP(J170,'G-7 WaterC'' Data'!$AK$4:$AM$6,3,FALSE)))</f>
        <v/>
      </c>
      <c r="M170" s="52"/>
      <c r="N170" s="276" t="str">
        <f>IF(M170="","",IF(AND(D170&lt;&gt;"Culvert",M170="N/A - Culvert"),"Not possible ▲",IF(AND(D170="Culvert",M170&lt;&gt;"N/A - Culvert"),"Not possible ▲",IF(VLOOKUP(M170,'G-7 WaterC'' Data'!$AA$4:$AB$7,2,FALSE)=0,"Spatial Data Missing ⚠",VLOOKUP(M170,'G-7 WaterC'' Data'!$AA$4:$AB$7,2,FALSE)))))</f>
        <v/>
      </c>
      <c r="O170" s="56"/>
      <c r="P170" s="276" t="str">
        <f>IF(O170="","",IF(AND(O170="N/A - Culvert",D170&lt;&gt;"Culvert"),"Not possible ▲",IF(AND(D170="Culvert",O170&lt;&gt;"N/A - Culvert"),"Not possible ▲",IF(VLOOKUP(O170,'G-7 WaterC'' Data'!$AD$4:$AE$14,2,FALSE)=0,"Spatial Data Missing ⚠",VLOOKUP(O170,'G-7 WaterC'' Data'!$AD$4:$AE$14,2,FALSE)))))</f>
        <v/>
      </c>
      <c r="Q170" s="282" t="str">
        <f>IF(D170="","",VLOOKUP(D170,'G-7 WaterC'' Data'!$B$2:$G$8,6,FALSE))</f>
        <v/>
      </c>
      <c r="R170" s="289" t="str">
        <f t="shared" si="21"/>
        <v xml:space="preserve"> </v>
      </c>
      <c r="S170" s="803" t="str">
        <f t="shared" si="22"/>
        <v/>
      </c>
      <c r="T170" s="32"/>
      <c r="U170" s="101"/>
      <c r="V170" s="108"/>
      <c r="W170" s="287" t="str">
        <f t="shared" si="23"/>
        <v/>
      </c>
      <c r="X170" s="287" t="str">
        <f t="shared" si="24"/>
        <v/>
      </c>
      <c r="Y170" s="287" t="str">
        <f t="shared" si="25"/>
        <v/>
      </c>
      <c r="Z170" s="317" t="str">
        <f>IFERROR(IF(OR(E170="",R170=""),"",IF(AND(Q170='G-7 WaterC'' Data'!$G$4,AA170="Yes"),"Alternative Compensation ✓",IF(AND(AA170="Pending",Q170='G-7 WaterC'' Data'!$G$4),"Bespoke compensation must be agreed ▲",IF((W170+X170)&gt;=R170,0,R170-W170-X170)))),"Check Data ⚠")</f>
        <v/>
      </c>
      <c r="AA170" s="800"/>
      <c r="AB170" s="136"/>
      <c r="AC170" s="104"/>
      <c r="AD170" s="104"/>
      <c r="AE170" s="54" t="str">
        <f>IF(OR(Q170="",AA170="Yes"),"",IF(Q170='G-1 All Habitats'!$X$9,E170-U170-V170,"None"))</f>
        <v/>
      </c>
      <c r="AF170" s="55" t="str">
        <f>IF(Q170="","",IF(Q170='G-1 All Habitats'!$X$9,AE170*G170*I170*L170*N170*P170,"None"))</f>
        <v/>
      </c>
      <c r="AI170" s="30">
        <f t="shared" si="26"/>
        <v>0</v>
      </c>
      <c r="AJ170" s="107" t="str">
        <f t="shared" si="27"/>
        <v/>
      </c>
      <c r="AK170" s="107" t="str">
        <f t="shared" si="28"/>
        <v/>
      </c>
      <c r="AM170" s="107">
        <v>161</v>
      </c>
      <c r="AO170" s="107" t="str">
        <f t="array" ref="AO170">IFERROR(INDEX($AM$10:$AM$258,MATCH(0,IF(TRUE=$AJ$10:$AJ$258,COUNTIF($AO$9:$AO169,$AM$10:$AM$258),""),0)),"")</f>
        <v/>
      </c>
      <c r="AP170" s="107" t="str">
        <f t="array" ref="AP170">IFERROR(INDEX($AM$10:$AM$258,MATCH(0,IF(TRUE=$AK$10:$AK$258,COUNTIF($AP$9:$AP169,$AM$10:$AM$258),""),0)),"")</f>
        <v/>
      </c>
      <c r="AR170" s="30" t="str">
        <f>IFERROR(INDEX('G-7 WaterC'' Data'!$AZ$3:$AZ$7,MATCH(D170,'G-7 WaterC'' Data'!$AY$3:$AY$7,0)),"")</f>
        <v/>
      </c>
      <c r="AS170" s="30" t="str">
        <f>IFERROR(INDEX('G-7 WaterC'' Data'!AZ170:AZ174,MATCH(D170,'G-7 WaterC'' Data'!$AY$10:$AY$14,0)),"")</f>
        <v/>
      </c>
      <c r="AT170" s="885" t="str">
        <f>IF(AND(OR(AA170="Yes",AA170="Pending"),Q170='G-7 WaterC'' Data'!$G$4),R170-W170-X170,"")</f>
        <v/>
      </c>
      <c r="AU170" s="30" t="str">
        <f>IF(D170="","",VLOOKUP(D170,'G-7 WaterC'' Data'!B$4:M$8,12,FALSE))</f>
        <v/>
      </c>
      <c r="AV170" s="30" t="str">
        <f t="shared" si="20"/>
        <v/>
      </c>
      <c r="AX170" s="30" t="str">
        <f t="shared" si="29"/>
        <v>No</v>
      </c>
    </row>
    <row r="171" spans="3:50" ht="14" hidden="1">
      <c r="C171" s="97">
        <v>162</v>
      </c>
      <c r="D171" s="261"/>
      <c r="E171" s="115"/>
      <c r="F171" s="275" t="str">
        <f>IF(D171="","",VLOOKUP(D171,'G-7 WaterC'' Data'!$B$2:$G$8,2,FALSE))</f>
        <v/>
      </c>
      <c r="G171" s="276" t="str">
        <f>IFERROR(VLOOKUP(F171,'G-7 WaterC'' Data'!$C$4:$D$8,2,FALSE),"")</f>
        <v/>
      </c>
      <c r="H171" s="52"/>
      <c r="I171" s="276" t="str">
        <f>IFERROR(INDEX('G-7 WaterC'' Data'!$H$4:$L$8,MATCH(D171,'G-7 WaterC'' Data'!$B$4:$B$8,0),MATCH(H171,'G-7 WaterC'' Data'!$H$3:$L$3,0)),"")</f>
        <v/>
      </c>
      <c r="J171" s="777"/>
      <c r="K171" s="311" t="str">
        <f>IF(J171="","",IF(VLOOKUP(J171,'G-7 WaterC'' Data'!$AK$4:$AM$6,2,FALSE)=0,"Spatial Data Missing ⚠",VLOOKUP(J171,'G-7 WaterC'' Data'!$AK$4:$AM$6,2,FALSE)))</f>
        <v/>
      </c>
      <c r="L171" s="281" t="str">
        <f>IF(J171="","",IF(VLOOKUP(J171,'G-7 WaterC'' Data'!$AK$4:$AM$9,3,FALSE)=0,"Spatial Data Missing ⚠",VLOOKUP(J171,'G-7 WaterC'' Data'!$AK$4:$AM$6,3,FALSE)))</f>
        <v/>
      </c>
      <c r="M171" s="52"/>
      <c r="N171" s="276" t="str">
        <f>IF(M171="","",IF(AND(D171&lt;&gt;"Culvert",M171="N/A - Culvert"),"Not possible ▲",IF(AND(D171="Culvert",M171&lt;&gt;"N/A - Culvert"),"Not possible ▲",IF(VLOOKUP(M171,'G-7 WaterC'' Data'!$AA$4:$AB$7,2,FALSE)=0,"Spatial Data Missing ⚠",VLOOKUP(M171,'G-7 WaterC'' Data'!$AA$4:$AB$7,2,FALSE)))))</f>
        <v/>
      </c>
      <c r="O171" s="56"/>
      <c r="P171" s="276" t="str">
        <f>IF(O171="","",IF(AND(O171="N/A - Culvert",D171&lt;&gt;"Culvert"),"Not possible ▲",IF(AND(D171="Culvert",O171&lt;&gt;"N/A - Culvert"),"Not possible ▲",IF(VLOOKUP(O171,'G-7 WaterC'' Data'!$AD$4:$AE$14,2,FALSE)=0,"Spatial Data Missing ⚠",VLOOKUP(O171,'G-7 WaterC'' Data'!$AD$4:$AE$14,2,FALSE)))))</f>
        <v/>
      </c>
      <c r="Q171" s="282" t="str">
        <f>IF(D171="","",VLOOKUP(D171,'G-7 WaterC'' Data'!$B$2:$G$8,6,FALSE))</f>
        <v/>
      </c>
      <c r="R171" s="289" t="str">
        <f t="shared" si="21"/>
        <v xml:space="preserve"> </v>
      </c>
      <c r="S171" s="803" t="str">
        <f t="shared" si="22"/>
        <v/>
      </c>
      <c r="T171" s="32"/>
      <c r="U171" s="101"/>
      <c r="V171" s="108"/>
      <c r="W171" s="287" t="str">
        <f t="shared" si="23"/>
        <v/>
      </c>
      <c r="X171" s="287" t="str">
        <f t="shared" si="24"/>
        <v/>
      </c>
      <c r="Y171" s="287" t="str">
        <f t="shared" si="25"/>
        <v/>
      </c>
      <c r="Z171" s="317" t="str">
        <f>IFERROR(IF(OR(E171="",R171=""),"",IF(AND(Q171='G-7 WaterC'' Data'!$G$4,AA171="Yes"),"Alternative Compensation ✓",IF(AND(AA171="Pending",Q171='G-7 WaterC'' Data'!$G$4),"Bespoke compensation must be agreed ▲",IF((W171+X171)&gt;=R171,0,R171-W171-X171)))),"Check Data ⚠")</f>
        <v/>
      </c>
      <c r="AA171" s="800"/>
      <c r="AB171" s="136"/>
      <c r="AC171" s="104"/>
      <c r="AD171" s="104"/>
      <c r="AE171" s="54" t="str">
        <f>IF(OR(Q171="",AA171="Yes"),"",IF(Q171='G-1 All Habitats'!$X$9,E171-U171-V171,"None"))</f>
        <v/>
      </c>
      <c r="AF171" s="55" t="str">
        <f>IF(Q171="","",IF(Q171='G-1 All Habitats'!$X$9,AE171*G171*I171*L171*N171*P171,"None"))</f>
        <v/>
      </c>
      <c r="AI171" s="30">
        <f t="shared" si="26"/>
        <v>0</v>
      </c>
      <c r="AJ171" s="107" t="str">
        <f t="shared" si="27"/>
        <v/>
      </c>
      <c r="AK171" s="107" t="str">
        <f t="shared" si="28"/>
        <v/>
      </c>
      <c r="AM171" s="107">
        <v>162</v>
      </c>
      <c r="AO171" s="107" t="str">
        <f t="array" ref="AO171">IFERROR(INDEX($AM$10:$AM$258,MATCH(0,IF(TRUE=$AJ$10:$AJ$258,COUNTIF($AO$9:$AO170,$AM$10:$AM$258),""),0)),"")</f>
        <v/>
      </c>
      <c r="AP171" s="107" t="str">
        <f t="array" ref="AP171">IFERROR(INDEX($AM$10:$AM$258,MATCH(0,IF(TRUE=$AK$10:$AK$258,COUNTIF($AP$9:$AP170,$AM$10:$AM$258),""),0)),"")</f>
        <v/>
      </c>
      <c r="AR171" s="30" t="str">
        <f>IFERROR(INDEX('G-7 WaterC'' Data'!$AZ$3:$AZ$7,MATCH(D171,'G-7 WaterC'' Data'!$AY$3:$AY$7,0)),"")</f>
        <v/>
      </c>
      <c r="AS171" s="30" t="str">
        <f>IFERROR(INDEX('G-7 WaterC'' Data'!AZ171:AZ175,MATCH(D171,'G-7 WaterC'' Data'!$AY$10:$AY$14,0)),"")</f>
        <v/>
      </c>
      <c r="AT171" s="885" t="str">
        <f>IF(AND(OR(AA171="Yes",AA171="Pending"),Q171='G-7 WaterC'' Data'!$G$4),R171-W171-X171,"")</f>
        <v/>
      </c>
      <c r="AU171" s="30" t="str">
        <f>IF(D171="","",VLOOKUP(D171,'G-7 WaterC'' Data'!B$4:M$8,12,FALSE))</f>
        <v/>
      </c>
      <c r="AV171" s="30" t="str">
        <f t="shared" si="20"/>
        <v/>
      </c>
      <c r="AX171" s="30" t="str">
        <f t="shared" si="29"/>
        <v>No</v>
      </c>
    </row>
    <row r="172" spans="3:50" ht="14" hidden="1">
      <c r="C172" s="97">
        <v>163</v>
      </c>
      <c r="D172" s="261"/>
      <c r="E172" s="115"/>
      <c r="F172" s="275" t="str">
        <f>IF(D172="","",VLOOKUP(D172,'G-7 WaterC'' Data'!$B$2:$G$8,2,FALSE))</f>
        <v/>
      </c>
      <c r="G172" s="276" t="str">
        <f>IFERROR(VLOOKUP(F172,'G-7 WaterC'' Data'!$C$4:$D$8,2,FALSE),"")</f>
        <v/>
      </c>
      <c r="H172" s="52"/>
      <c r="I172" s="276" t="str">
        <f>IFERROR(INDEX('G-7 WaterC'' Data'!$H$4:$L$8,MATCH(D172,'G-7 WaterC'' Data'!$B$4:$B$8,0),MATCH(H172,'G-7 WaterC'' Data'!$H$3:$L$3,0)),"")</f>
        <v/>
      </c>
      <c r="J172" s="777"/>
      <c r="K172" s="311" t="str">
        <f>IF(J172="","",IF(VLOOKUP(J172,'G-7 WaterC'' Data'!$AK$4:$AM$6,2,FALSE)=0,"Spatial Data Missing ⚠",VLOOKUP(J172,'G-7 WaterC'' Data'!$AK$4:$AM$6,2,FALSE)))</f>
        <v/>
      </c>
      <c r="L172" s="281" t="str">
        <f>IF(J172="","",IF(VLOOKUP(J172,'G-7 WaterC'' Data'!$AK$4:$AM$9,3,FALSE)=0,"Spatial Data Missing ⚠",VLOOKUP(J172,'G-7 WaterC'' Data'!$AK$4:$AM$6,3,FALSE)))</f>
        <v/>
      </c>
      <c r="M172" s="52"/>
      <c r="N172" s="276" t="str">
        <f>IF(M172="","",IF(AND(D172&lt;&gt;"Culvert",M172="N/A - Culvert"),"Not possible ▲",IF(AND(D172="Culvert",M172&lt;&gt;"N/A - Culvert"),"Not possible ▲",IF(VLOOKUP(M172,'G-7 WaterC'' Data'!$AA$4:$AB$7,2,FALSE)=0,"Spatial Data Missing ⚠",VLOOKUP(M172,'G-7 WaterC'' Data'!$AA$4:$AB$7,2,FALSE)))))</f>
        <v/>
      </c>
      <c r="O172" s="56"/>
      <c r="P172" s="276" t="str">
        <f>IF(O172="","",IF(AND(O172="N/A - Culvert",D172&lt;&gt;"Culvert"),"Not possible ▲",IF(AND(D172="Culvert",O172&lt;&gt;"N/A - Culvert"),"Not possible ▲",IF(VLOOKUP(O172,'G-7 WaterC'' Data'!$AD$4:$AE$14,2,FALSE)=0,"Spatial Data Missing ⚠",VLOOKUP(O172,'G-7 WaterC'' Data'!$AD$4:$AE$14,2,FALSE)))))</f>
        <v/>
      </c>
      <c r="Q172" s="282" t="str">
        <f>IF(D172="","",VLOOKUP(D172,'G-7 WaterC'' Data'!$B$2:$G$8,6,FALSE))</f>
        <v/>
      </c>
      <c r="R172" s="289" t="str">
        <f t="shared" si="21"/>
        <v xml:space="preserve"> </v>
      </c>
      <c r="S172" s="803" t="str">
        <f t="shared" si="22"/>
        <v/>
      </c>
      <c r="T172" s="32"/>
      <c r="U172" s="101"/>
      <c r="V172" s="108"/>
      <c r="W172" s="287" t="str">
        <f t="shared" si="23"/>
        <v/>
      </c>
      <c r="X172" s="287" t="str">
        <f t="shared" si="24"/>
        <v/>
      </c>
      <c r="Y172" s="287" t="str">
        <f t="shared" si="25"/>
        <v/>
      </c>
      <c r="Z172" s="317" t="str">
        <f>IFERROR(IF(OR(E172="",R172=""),"",IF(AND(Q172='G-7 WaterC'' Data'!$G$4,AA172="Yes"),"Alternative Compensation ✓",IF(AND(AA172="Pending",Q172='G-7 WaterC'' Data'!$G$4),"Bespoke compensation must be agreed ▲",IF((W172+X172)&gt;=R172,0,R172-W172-X172)))),"Check Data ⚠")</f>
        <v/>
      </c>
      <c r="AA172" s="800"/>
      <c r="AB172" s="136"/>
      <c r="AC172" s="104"/>
      <c r="AD172" s="104"/>
      <c r="AE172" s="54" t="str">
        <f>IF(OR(Q172="",AA172="Yes"),"",IF(Q172='G-1 All Habitats'!$X$9,E172-U172-V172,"None"))</f>
        <v/>
      </c>
      <c r="AF172" s="55" t="str">
        <f>IF(Q172="","",IF(Q172='G-1 All Habitats'!$X$9,AE172*G172*I172*L172*N172*P172,"None"))</f>
        <v/>
      </c>
      <c r="AI172" s="30">
        <f t="shared" si="26"/>
        <v>0</v>
      </c>
      <c r="AJ172" s="107" t="str">
        <f t="shared" si="27"/>
        <v/>
      </c>
      <c r="AK172" s="107" t="str">
        <f t="shared" si="28"/>
        <v/>
      </c>
      <c r="AM172" s="107">
        <v>163</v>
      </c>
      <c r="AO172" s="107" t="str">
        <f t="array" ref="AO172">IFERROR(INDEX($AM$10:$AM$258,MATCH(0,IF(TRUE=$AJ$10:$AJ$258,COUNTIF($AO$9:$AO171,$AM$10:$AM$258),""),0)),"")</f>
        <v/>
      </c>
      <c r="AP172" s="107" t="str">
        <f t="array" ref="AP172">IFERROR(INDEX($AM$10:$AM$258,MATCH(0,IF(TRUE=$AK$10:$AK$258,COUNTIF($AP$9:$AP171,$AM$10:$AM$258),""),0)),"")</f>
        <v/>
      </c>
      <c r="AR172" s="30" t="str">
        <f>IFERROR(INDEX('G-7 WaterC'' Data'!$AZ$3:$AZ$7,MATCH(D172,'G-7 WaterC'' Data'!$AY$3:$AY$7,0)),"")</f>
        <v/>
      </c>
      <c r="AS172" s="30" t="str">
        <f>IFERROR(INDEX('G-7 WaterC'' Data'!AZ172:AZ176,MATCH(D172,'G-7 WaterC'' Data'!$AY$10:$AY$14,0)),"")</f>
        <v/>
      </c>
      <c r="AT172" s="885" t="str">
        <f>IF(AND(OR(AA172="Yes",AA172="Pending"),Q172='G-7 WaterC'' Data'!$G$4),R172-W172-X172,"")</f>
        <v/>
      </c>
      <c r="AU172" s="30" t="str">
        <f>IF(D172="","",VLOOKUP(D172,'G-7 WaterC'' Data'!B$4:M$8,12,FALSE))</f>
        <v/>
      </c>
      <c r="AV172" s="30" t="str">
        <f t="shared" si="20"/>
        <v/>
      </c>
      <c r="AX172" s="30" t="str">
        <f t="shared" si="29"/>
        <v>No</v>
      </c>
    </row>
    <row r="173" spans="3:50" ht="14" hidden="1">
      <c r="C173" s="97">
        <v>164</v>
      </c>
      <c r="D173" s="261"/>
      <c r="E173" s="115"/>
      <c r="F173" s="275" t="str">
        <f>IF(D173="","",VLOOKUP(D173,'G-7 WaterC'' Data'!$B$2:$G$8,2,FALSE))</f>
        <v/>
      </c>
      <c r="G173" s="276" t="str">
        <f>IFERROR(VLOOKUP(F173,'G-7 WaterC'' Data'!$C$4:$D$8,2,FALSE),"")</f>
        <v/>
      </c>
      <c r="H173" s="52"/>
      <c r="I173" s="276" t="str">
        <f>IFERROR(INDEX('G-7 WaterC'' Data'!$H$4:$L$8,MATCH(D173,'G-7 WaterC'' Data'!$B$4:$B$8,0),MATCH(H173,'G-7 WaterC'' Data'!$H$3:$L$3,0)),"")</f>
        <v/>
      </c>
      <c r="J173" s="777"/>
      <c r="K173" s="311" t="str">
        <f>IF(J173="","",IF(VLOOKUP(J173,'G-7 WaterC'' Data'!$AK$4:$AM$6,2,FALSE)=0,"Spatial Data Missing ⚠",VLOOKUP(J173,'G-7 WaterC'' Data'!$AK$4:$AM$6,2,FALSE)))</f>
        <v/>
      </c>
      <c r="L173" s="281" t="str">
        <f>IF(J173="","",IF(VLOOKUP(J173,'G-7 WaterC'' Data'!$AK$4:$AM$9,3,FALSE)=0,"Spatial Data Missing ⚠",VLOOKUP(J173,'G-7 WaterC'' Data'!$AK$4:$AM$6,3,FALSE)))</f>
        <v/>
      </c>
      <c r="M173" s="52"/>
      <c r="N173" s="276" t="str">
        <f>IF(M173="","",IF(AND(D173&lt;&gt;"Culvert",M173="N/A - Culvert"),"Not possible ▲",IF(AND(D173="Culvert",M173&lt;&gt;"N/A - Culvert"),"Not possible ▲",IF(VLOOKUP(M173,'G-7 WaterC'' Data'!$AA$4:$AB$7,2,FALSE)=0,"Spatial Data Missing ⚠",VLOOKUP(M173,'G-7 WaterC'' Data'!$AA$4:$AB$7,2,FALSE)))))</f>
        <v/>
      </c>
      <c r="O173" s="56"/>
      <c r="P173" s="276" t="str">
        <f>IF(O173="","",IF(AND(O173="N/A - Culvert",D173&lt;&gt;"Culvert"),"Not possible ▲",IF(AND(D173="Culvert",O173&lt;&gt;"N/A - Culvert"),"Not possible ▲",IF(VLOOKUP(O173,'G-7 WaterC'' Data'!$AD$4:$AE$14,2,FALSE)=0,"Spatial Data Missing ⚠",VLOOKUP(O173,'G-7 WaterC'' Data'!$AD$4:$AE$14,2,FALSE)))))</f>
        <v/>
      </c>
      <c r="Q173" s="282" t="str">
        <f>IF(D173="","",VLOOKUP(D173,'G-7 WaterC'' Data'!$B$2:$G$8,6,FALSE))</f>
        <v/>
      </c>
      <c r="R173" s="289" t="str">
        <f t="shared" si="21"/>
        <v xml:space="preserve"> </v>
      </c>
      <c r="S173" s="803" t="str">
        <f t="shared" si="22"/>
        <v/>
      </c>
      <c r="T173" s="32"/>
      <c r="U173" s="101"/>
      <c r="V173" s="108"/>
      <c r="W173" s="287" t="str">
        <f t="shared" si="23"/>
        <v/>
      </c>
      <c r="X173" s="287" t="str">
        <f t="shared" si="24"/>
        <v/>
      </c>
      <c r="Y173" s="287" t="str">
        <f t="shared" si="25"/>
        <v/>
      </c>
      <c r="Z173" s="317" t="str">
        <f>IFERROR(IF(OR(E173="",R173=""),"",IF(AND(Q173='G-7 WaterC'' Data'!$G$4,AA173="Yes"),"Alternative Compensation ✓",IF(AND(AA173="Pending",Q173='G-7 WaterC'' Data'!$G$4),"Bespoke compensation must be agreed ▲",IF((W173+X173)&gt;=R173,0,R173-W173-X173)))),"Check Data ⚠")</f>
        <v/>
      </c>
      <c r="AA173" s="800"/>
      <c r="AB173" s="136"/>
      <c r="AC173" s="104"/>
      <c r="AD173" s="104"/>
      <c r="AE173" s="54" t="str">
        <f>IF(OR(Q173="",AA173="Yes"),"",IF(Q173='G-1 All Habitats'!$X$9,E173-U173-V173,"None"))</f>
        <v/>
      </c>
      <c r="AF173" s="55" t="str">
        <f>IF(Q173="","",IF(Q173='G-1 All Habitats'!$X$9,AE173*G173*I173*L173*N173*P173,"None"))</f>
        <v/>
      </c>
      <c r="AI173" s="30">
        <f t="shared" si="26"/>
        <v>0</v>
      </c>
      <c r="AJ173" s="107" t="str">
        <f t="shared" si="27"/>
        <v/>
      </c>
      <c r="AK173" s="107" t="str">
        <f t="shared" si="28"/>
        <v/>
      </c>
      <c r="AM173" s="107">
        <v>164</v>
      </c>
      <c r="AO173" s="107" t="str">
        <f t="array" ref="AO173">IFERROR(INDEX($AM$10:$AM$258,MATCH(0,IF(TRUE=$AJ$10:$AJ$258,COUNTIF($AO$9:$AO172,$AM$10:$AM$258),""),0)),"")</f>
        <v/>
      </c>
      <c r="AP173" s="107" t="str">
        <f t="array" ref="AP173">IFERROR(INDEX($AM$10:$AM$258,MATCH(0,IF(TRUE=$AK$10:$AK$258,COUNTIF($AP$9:$AP172,$AM$10:$AM$258),""),0)),"")</f>
        <v/>
      </c>
      <c r="AR173" s="30" t="str">
        <f>IFERROR(INDEX('G-7 WaterC'' Data'!$AZ$3:$AZ$7,MATCH(D173,'G-7 WaterC'' Data'!$AY$3:$AY$7,0)),"")</f>
        <v/>
      </c>
      <c r="AS173" s="30" t="str">
        <f>IFERROR(INDEX('G-7 WaterC'' Data'!AZ173:AZ177,MATCH(D173,'G-7 WaterC'' Data'!$AY$10:$AY$14,0)),"")</f>
        <v/>
      </c>
      <c r="AT173" s="885" t="str">
        <f>IF(AND(OR(AA173="Yes",AA173="Pending"),Q173='G-7 WaterC'' Data'!$G$4),R173-W173-X173,"")</f>
        <v/>
      </c>
      <c r="AU173" s="30" t="str">
        <f>IF(D173="","",VLOOKUP(D173,'G-7 WaterC'' Data'!B$4:M$8,12,FALSE))</f>
        <v/>
      </c>
      <c r="AV173" s="30" t="str">
        <f t="shared" si="20"/>
        <v/>
      </c>
      <c r="AX173" s="30" t="str">
        <f t="shared" si="29"/>
        <v>No</v>
      </c>
    </row>
    <row r="174" spans="3:50" ht="14" hidden="1">
      <c r="C174" s="97">
        <v>165</v>
      </c>
      <c r="D174" s="261"/>
      <c r="E174" s="115"/>
      <c r="F174" s="275" t="str">
        <f>IF(D174="","",VLOOKUP(D174,'G-7 WaterC'' Data'!$B$2:$G$8,2,FALSE))</f>
        <v/>
      </c>
      <c r="G174" s="276" t="str">
        <f>IFERROR(VLOOKUP(F174,'G-7 WaterC'' Data'!$C$4:$D$8,2,FALSE),"")</f>
        <v/>
      </c>
      <c r="H174" s="52"/>
      <c r="I174" s="276" t="str">
        <f>IFERROR(INDEX('G-7 WaterC'' Data'!$H$4:$L$8,MATCH(D174,'G-7 WaterC'' Data'!$B$4:$B$8,0),MATCH(H174,'G-7 WaterC'' Data'!$H$3:$L$3,0)),"")</f>
        <v/>
      </c>
      <c r="J174" s="777"/>
      <c r="K174" s="311" t="str">
        <f>IF(J174="","",IF(VLOOKUP(J174,'G-7 WaterC'' Data'!$AK$4:$AM$6,2,FALSE)=0,"Spatial Data Missing ⚠",VLOOKUP(J174,'G-7 WaterC'' Data'!$AK$4:$AM$6,2,FALSE)))</f>
        <v/>
      </c>
      <c r="L174" s="281" t="str">
        <f>IF(J174="","",IF(VLOOKUP(J174,'G-7 WaterC'' Data'!$AK$4:$AM$9,3,FALSE)=0,"Spatial Data Missing ⚠",VLOOKUP(J174,'G-7 WaterC'' Data'!$AK$4:$AM$6,3,FALSE)))</f>
        <v/>
      </c>
      <c r="M174" s="52"/>
      <c r="N174" s="276" t="str">
        <f>IF(M174="","",IF(AND(D174&lt;&gt;"Culvert",M174="N/A - Culvert"),"Not possible ▲",IF(AND(D174="Culvert",M174&lt;&gt;"N/A - Culvert"),"Not possible ▲",IF(VLOOKUP(M174,'G-7 WaterC'' Data'!$AA$4:$AB$7,2,FALSE)=0,"Spatial Data Missing ⚠",VLOOKUP(M174,'G-7 WaterC'' Data'!$AA$4:$AB$7,2,FALSE)))))</f>
        <v/>
      </c>
      <c r="O174" s="56"/>
      <c r="P174" s="276" t="str">
        <f>IF(O174="","",IF(AND(O174="N/A - Culvert",D174&lt;&gt;"Culvert"),"Not possible ▲",IF(AND(D174="Culvert",O174&lt;&gt;"N/A - Culvert"),"Not possible ▲",IF(VLOOKUP(O174,'G-7 WaterC'' Data'!$AD$4:$AE$14,2,FALSE)=0,"Spatial Data Missing ⚠",VLOOKUP(O174,'G-7 WaterC'' Data'!$AD$4:$AE$14,2,FALSE)))))</f>
        <v/>
      </c>
      <c r="Q174" s="282" t="str">
        <f>IF(D174="","",VLOOKUP(D174,'G-7 WaterC'' Data'!$B$2:$G$8,6,FALSE))</f>
        <v/>
      </c>
      <c r="R174" s="289" t="str">
        <f t="shared" si="21"/>
        <v xml:space="preserve"> </v>
      </c>
      <c r="S174" s="803" t="str">
        <f t="shared" si="22"/>
        <v/>
      </c>
      <c r="T174" s="32"/>
      <c r="U174" s="101"/>
      <c r="V174" s="108"/>
      <c r="W174" s="287" t="str">
        <f t="shared" si="23"/>
        <v/>
      </c>
      <c r="X174" s="287" t="str">
        <f t="shared" si="24"/>
        <v/>
      </c>
      <c r="Y174" s="287" t="str">
        <f t="shared" si="25"/>
        <v/>
      </c>
      <c r="Z174" s="317" t="str">
        <f>IFERROR(IF(OR(E174="",R174=""),"",IF(AND(Q174='G-7 WaterC'' Data'!$G$4,AA174="Yes"),"Alternative Compensation ✓",IF(AND(AA174="Pending",Q174='G-7 WaterC'' Data'!$G$4),"Bespoke compensation must be agreed ▲",IF((W174+X174)&gt;=R174,0,R174-W174-X174)))),"Check Data ⚠")</f>
        <v/>
      </c>
      <c r="AA174" s="800"/>
      <c r="AB174" s="136"/>
      <c r="AC174" s="104"/>
      <c r="AD174" s="104"/>
      <c r="AE174" s="54" t="str">
        <f>IF(OR(Q174="",AA174="Yes"),"",IF(Q174='G-1 All Habitats'!$X$9,E174-U174-V174,"None"))</f>
        <v/>
      </c>
      <c r="AF174" s="55" t="str">
        <f>IF(Q174="","",IF(Q174='G-1 All Habitats'!$X$9,AE174*G174*I174*L174*N174*P174,"None"))</f>
        <v/>
      </c>
      <c r="AI174" s="30">
        <f t="shared" si="26"/>
        <v>0</v>
      </c>
      <c r="AJ174" s="107" t="str">
        <f t="shared" si="27"/>
        <v/>
      </c>
      <c r="AK174" s="107" t="str">
        <f t="shared" si="28"/>
        <v/>
      </c>
      <c r="AM174" s="107">
        <v>165</v>
      </c>
      <c r="AO174" s="107" t="str">
        <f t="array" ref="AO174">IFERROR(INDEX($AM$10:$AM$258,MATCH(0,IF(TRUE=$AJ$10:$AJ$258,COUNTIF($AO$9:$AO173,$AM$10:$AM$258),""),0)),"")</f>
        <v/>
      </c>
      <c r="AP174" s="107" t="str">
        <f t="array" ref="AP174">IFERROR(INDEX($AM$10:$AM$258,MATCH(0,IF(TRUE=$AK$10:$AK$258,COUNTIF($AP$9:$AP173,$AM$10:$AM$258),""),0)),"")</f>
        <v/>
      </c>
      <c r="AR174" s="30" t="str">
        <f>IFERROR(INDEX('G-7 WaterC'' Data'!$AZ$3:$AZ$7,MATCH(D174,'G-7 WaterC'' Data'!$AY$3:$AY$7,0)),"")</f>
        <v/>
      </c>
      <c r="AS174" s="30" t="str">
        <f>IFERROR(INDEX('G-7 WaterC'' Data'!AZ174:AZ178,MATCH(D174,'G-7 WaterC'' Data'!$AY$10:$AY$14,0)),"")</f>
        <v/>
      </c>
      <c r="AT174" s="885" t="str">
        <f>IF(AND(OR(AA174="Yes",AA174="Pending"),Q174='G-7 WaterC'' Data'!$G$4),R174-W174-X174,"")</f>
        <v/>
      </c>
      <c r="AU174" s="30" t="str">
        <f>IF(D174="","",VLOOKUP(D174,'G-7 WaterC'' Data'!B$4:M$8,12,FALSE))</f>
        <v/>
      </c>
      <c r="AV174" s="30" t="str">
        <f t="shared" si="20"/>
        <v/>
      </c>
      <c r="AX174" s="30" t="str">
        <f t="shared" si="29"/>
        <v>No</v>
      </c>
    </row>
    <row r="175" spans="3:50" ht="14" hidden="1">
      <c r="C175" s="97">
        <v>166</v>
      </c>
      <c r="D175" s="261"/>
      <c r="E175" s="115"/>
      <c r="F175" s="275" t="str">
        <f>IF(D175="","",VLOOKUP(D175,'G-7 WaterC'' Data'!$B$2:$G$8,2,FALSE))</f>
        <v/>
      </c>
      <c r="G175" s="276" t="str">
        <f>IFERROR(VLOOKUP(F175,'G-7 WaterC'' Data'!$C$4:$D$8,2,FALSE),"")</f>
        <v/>
      </c>
      <c r="H175" s="52"/>
      <c r="I175" s="276" t="str">
        <f>IFERROR(INDEX('G-7 WaterC'' Data'!$H$4:$L$8,MATCH(D175,'G-7 WaterC'' Data'!$B$4:$B$8,0),MATCH(H175,'G-7 WaterC'' Data'!$H$3:$L$3,0)),"")</f>
        <v/>
      </c>
      <c r="J175" s="777"/>
      <c r="K175" s="311" t="str">
        <f>IF(J175="","",IF(VLOOKUP(J175,'G-7 WaterC'' Data'!$AK$4:$AM$6,2,FALSE)=0,"Spatial Data Missing ⚠",VLOOKUP(J175,'G-7 WaterC'' Data'!$AK$4:$AM$6,2,FALSE)))</f>
        <v/>
      </c>
      <c r="L175" s="281" t="str">
        <f>IF(J175="","",IF(VLOOKUP(J175,'G-7 WaterC'' Data'!$AK$4:$AM$9,3,FALSE)=0,"Spatial Data Missing ⚠",VLOOKUP(J175,'G-7 WaterC'' Data'!$AK$4:$AM$6,3,FALSE)))</f>
        <v/>
      </c>
      <c r="M175" s="52"/>
      <c r="N175" s="276" t="str">
        <f>IF(M175="","",IF(AND(D175&lt;&gt;"Culvert",M175="N/A - Culvert"),"Not possible ▲",IF(AND(D175="Culvert",M175&lt;&gt;"N/A - Culvert"),"Not possible ▲",IF(VLOOKUP(M175,'G-7 WaterC'' Data'!$AA$4:$AB$7,2,FALSE)=0,"Spatial Data Missing ⚠",VLOOKUP(M175,'G-7 WaterC'' Data'!$AA$4:$AB$7,2,FALSE)))))</f>
        <v/>
      </c>
      <c r="O175" s="56"/>
      <c r="P175" s="276" t="str">
        <f>IF(O175="","",IF(AND(O175="N/A - Culvert",D175&lt;&gt;"Culvert"),"Not possible ▲",IF(AND(D175="Culvert",O175&lt;&gt;"N/A - Culvert"),"Not possible ▲",IF(VLOOKUP(O175,'G-7 WaterC'' Data'!$AD$4:$AE$14,2,FALSE)=0,"Spatial Data Missing ⚠",VLOOKUP(O175,'G-7 WaterC'' Data'!$AD$4:$AE$14,2,FALSE)))))</f>
        <v/>
      </c>
      <c r="Q175" s="282" t="str">
        <f>IF(D175="","",VLOOKUP(D175,'G-7 WaterC'' Data'!$B$2:$G$8,6,FALSE))</f>
        <v/>
      </c>
      <c r="R175" s="289" t="str">
        <f t="shared" si="21"/>
        <v xml:space="preserve"> </v>
      </c>
      <c r="S175" s="803" t="str">
        <f t="shared" si="22"/>
        <v/>
      </c>
      <c r="T175" s="32"/>
      <c r="U175" s="101"/>
      <c r="V175" s="108"/>
      <c r="W175" s="287" t="str">
        <f t="shared" si="23"/>
        <v/>
      </c>
      <c r="X175" s="287" t="str">
        <f t="shared" si="24"/>
        <v/>
      </c>
      <c r="Y175" s="287" t="str">
        <f t="shared" si="25"/>
        <v/>
      </c>
      <c r="Z175" s="317" t="str">
        <f>IFERROR(IF(OR(E175="",R175=""),"",IF(AND(Q175='G-7 WaterC'' Data'!$G$4,AA175="Yes"),"Alternative Compensation ✓",IF(AND(AA175="Pending",Q175='G-7 WaterC'' Data'!$G$4),"Bespoke compensation must be agreed ▲",IF((W175+X175)&gt;=R175,0,R175-W175-X175)))),"Check Data ⚠")</f>
        <v/>
      </c>
      <c r="AA175" s="800"/>
      <c r="AB175" s="136"/>
      <c r="AC175" s="104"/>
      <c r="AD175" s="104"/>
      <c r="AE175" s="54" t="str">
        <f>IF(OR(Q175="",AA175="Yes"),"",IF(Q175='G-1 All Habitats'!$X$9,E175-U175-V175,"None"))</f>
        <v/>
      </c>
      <c r="AF175" s="55" t="str">
        <f>IF(Q175="","",IF(Q175='G-1 All Habitats'!$X$9,AE175*G175*I175*L175*N175*P175,"None"))</f>
        <v/>
      </c>
      <c r="AI175" s="30">
        <f t="shared" si="26"/>
        <v>0</v>
      </c>
      <c r="AJ175" s="107" t="str">
        <f t="shared" si="27"/>
        <v/>
      </c>
      <c r="AK175" s="107" t="str">
        <f t="shared" si="28"/>
        <v/>
      </c>
      <c r="AM175" s="107">
        <v>166</v>
      </c>
      <c r="AO175" s="107" t="str">
        <f t="array" ref="AO175">IFERROR(INDEX($AM$10:$AM$258,MATCH(0,IF(TRUE=$AJ$10:$AJ$258,COUNTIF($AO$9:$AO174,$AM$10:$AM$258),""),0)),"")</f>
        <v/>
      </c>
      <c r="AP175" s="107" t="str">
        <f t="array" ref="AP175">IFERROR(INDEX($AM$10:$AM$258,MATCH(0,IF(TRUE=$AK$10:$AK$258,COUNTIF($AP$9:$AP174,$AM$10:$AM$258),""),0)),"")</f>
        <v/>
      </c>
      <c r="AR175" s="30" t="str">
        <f>IFERROR(INDEX('G-7 WaterC'' Data'!$AZ$3:$AZ$7,MATCH(D175,'G-7 WaterC'' Data'!$AY$3:$AY$7,0)),"")</f>
        <v/>
      </c>
      <c r="AS175" s="30" t="str">
        <f>IFERROR(INDEX('G-7 WaterC'' Data'!AZ175:AZ179,MATCH(D175,'G-7 WaterC'' Data'!$AY$10:$AY$14,0)),"")</f>
        <v/>
      </c>
      <c r="AT175" s="885" t="str">
        <f>IF(AND(OR(AA175="Yes",AA175="Pending"),Q175='G-7 WaterC'' Data'!$G$4),R175-W175-X175,"")</f>
        <v/>
      </c>
      <c r="AU175" s="30" t="str">
        <f>IF(D175="","",VLOOKUP(D175,'G-7 WaterC'' Data'!B$4:M$8,12,FALSE))</f>
        <v/>
      </c>
      <c r="AV175" s="30" t="str">
        <f t="shared" si="20"/>
        <v/>
      </c>
      <c r="AX175" s="30" t="str">
        <f t="shared" si="29"/>
        <v>No</v>
      </c>
    </row>
    <row r="176" spans="3:50" ht="14" hidden="1">
      <c r="C176" s="97">
        <v>167</v>
      </c>
      <c r="D176" s="261"/>
      <c r="E176" s="115"/>
      <c r="F176" s="275" t="str">
        <f>IF(D176="","",VLOOKUP(D176,'G-7 WaterC'' Data'!$B$2:$G$8,2,FALSE))</f>
        <v/>
      </c>
      <c r="G176" s="276" t="str">
        <f>IFERROR(VLOOKUP(F176,'G-7 WaterC'' Data'!$C$4:$D$8,2,FALSE),"")</f>
        <v/>
      </c>
      <c r="H176" s="52"/>
      <c r="I176" s="276" t="str">
        <f>IFERROR(INDEX('G-7 WaterC'' Data'!$H$4:$L$8,MATCH(D176,'G-7 WaterC'' Data'!$B$4:$B$8,0),MATCH(H176,'G-7 WaterC'' Data'!$H$3:$L$3,0)),"")</f>
        <v/>
      </c>
      <c r="J176" s="777"/>
      <c r="K176" s="311" t="str">
        <f>IF(J176="","",IF(VLOOKUP(J176,'G-7 WaterC'' Data'!$AK$4:$AM$6,2,FALSE)=0,"Spatial Data Missing ⚠",VLOOKUP(J176,'G-7 WaterC'' Data'!$AK$4:$AM$6,2,FALSE)))</f>
        <v/>
      </c>
      <c r="L176" s="281" t="str">
        <f>IF(J176="","",IF(VLOOKUP(J176,'G-7 WaterC'' Data'!$AK$4:$AM$9,3,FALSE)=0,"Spatial Data Missing ⚠",VLOOKUP(J176,'G-7 WaterC'' Data'!$AK$4:$AM$6,3,FALSE)))</f>
        <v/>
      </c>
      <c r="M176" s="52"/>
      <c r="N176" s="276" t="str">
        <f>IF(M176="","",IF(AND(D176&lt;&gt;"Culvert",M176="N/A - Culvert"),"Not possible ▲",IF(AND(D176="Culvert",M176&lt;&gt;"N/A - Culvert"),"Not possible ▲",IF(VLOOKUP(M176,'G-7 WaterC'' Data'!$AA$4:$AB$7,2,FALSE)=0,"Spatial Data Missing ⚠",VLOOKUP(M176,'G-7 WaterC'' Data'!$AA$4:$AB$7,2,FALSE)))))</f>
        <v/>
      </c>
      <c r="O176" s="56"/>
      <c r="P176" s="276" t="str">
        <f>IF(O176="","",IF(AND(O176="N/A - Culvert",D176&lt;&gt;"Culvert"),"Not possible ▲",IF(AND(D176="Culvert",O176&lt;&gt;"N/A - Culvert"),"Not possible ▲",IF(VLOOKUP(O176,'G-7 WaterC'' Data'!$AD$4:$AE$14,2,FALSE)=0,"Spatial Data Missing ⚠",VLOOKUP(O176,'G-7 WaterC'' Data'!$AD$4:$AE$14,2,FALSE)))))</f>
        <v/>
      </c>
      <c r="Q176" s="282" t="str">
        <f>IF(D176="","",VLOOKUP(D176,'G-7 WaterC'' Data'!$B$2:$G$8,6,FALSE))</f>
        <v/>
      </c>
      <c r="R176" s="289" t="str">
        <f t="shared" si="21"/>
        <v xml:space="preserve"> </v>
      </c>
      <c r="S176" s="803" t="str">
        <f t="shared" si="22"/>
        <v/>
      </c>
      <c r="T176" s="32"/>
      <c r="U176" s="101"/>
      <c r="V176" s="108"/>
      <c r="W176" s="287" t="str">
        <f t="shared" si="23"/>
        <v/>
      </c>
      <c r="X176" s="287" t="str">
        <f t="shared" si="24"/>
        <v/>
      </c>
      <c r="Y176" s="287" t="str">
        <f t="shared" si="25"/>
        <v/>
      </c>
      <c r="Z176" s="317" t="str">
        <f>IFERROR(IF(OR(E176="",R176=""),"",IF(AND(Q176='G-7 WaterC'' Data'!$G$4,AA176="Yes"),"Alternative Compensation ✓",IF(AND(AA176="Pending",Q176='G-7 WaterC'' Data'!$G$4),"Bespoke compensation must be agreed ▲",IF((W176+X176)&gt;=R176,0,R176-W176-X176)))),"Check Data ⚠")</f>
        <v/>
      </c>
      <c r="AA176" s="800"/>
      <c r="AB176" s="136"/>
      <c r="AC176" s="104"/>
      <c r="AD176" s="104"/>
      <c r="AE176" s="54" t="str">
        <f>IF(OR(Q176="",AA176="Yes"),"",IF(Q176='G-1 All Habitats'!$X$9,E176-U176-V176,"None"))</f>
        <v/>
      </c>
      <c r="AF176" s="55" t="str">
        <f>IF(Q176="","",IF(Q176='G-1 All Habitats'!$X$9,AE176*G176*I176*L176*N176*P176,"None"))</f>
        <v/>
      </c>
      <c r="AI176" s="30">
        <f t="shared" si="26"/>
        <v>0</v>
      </c>
      <c r="AJ176" s="107" t="str">
        <f t="shared" si="27"/>
        <v/>
      </c>
      <c r="AK176" s="107" t="str">
        <f t="shared" si="28"/>
        <v/>
      </c>
      <c r="AM176" s="107">
        <v>167</v>
      </c>
      <c r="AO176" s="107" t="str">
        <f t="array" ref="AO176">IFERROR(INDEX($AM$10:$AM$258,MATCH(0,IF(TRUE=$AJ$10:$AJ$258,COUNTIF($AO$9:$AO175,$AM$10:$AM$258),""),0)),"")</f>
        <v/>
      </c>
      <c r="AP176" s="107" t="str">
        <f t="array" ref="AP176">IFERROR(INDEX($AM$10:$AM$258,MATCH(0,IF(TRUE=$AK$10:$AK$258,COUNTIF($AP$9:$AP175,$AM$10:$AM$258),""),0)),"")</f>
        <v/>
      </c>
      <c r="AR176" s="30" t="str">
        <f>IFERROR(INDEX('G-7 WaterC'' Data'!$AZ$3:$AZ$7,MATCH(D176,'G-7 WaterC'' Data'!$AY$3:$AY$7,0)),"")</f>
        <v/>
      </c>
      <c r="AS176" s="30" t="str">
        <f>IFERROR(INDEX('G-7 WaterC'' Data'!AZ176:AZ180,MATCH(D176,'G-7 WaterC'' Data'!$AY$10:$AY$14,0)),"")</f>
        <v/>
      </c>
      <c r="AT176" s="885" t="str">
        <f>IF(AND(OR(AA176="Yes",AA176="Pending"),Q176='G-7 WaterC'' Data'!$G$4),R176-W176-X176,"")</f>
        <v/>
      </c>
      <c r="AU176" s="30" t="str">
        <f>IF(D176="","",VLOOKUP(D176,'G-7 WaterC'' Data'!B$4:M$8,12,FALSE))</f>
        <v/>
      </c>
      <c r="AV176" s="30" t="str">
        <f t="shared" si="20"/>
        <v/>
      </c>
      <c r="AX176" s="30" t="str">
        <f t="shared" si="29"/>
        <v>No</v>
      </c>
    </row>
    <row r="177" spans="3:50" ht="14" hidden="1">
      <c r="C177" s="97">
        <v>168</v>
      </c>
      <c r="D177" s="261"/>
      <c r="E177" s="115"/>
      <c r="F177" s="275" t="str">
        <f>IF(D177="","",VLOOKUP(D177,'G-7 WaterC'' Data'!$B$2:$G$8,2,FALSE))</f>
        <v/>
      </c>
      <c r="G177" s="276" t="str">
        <f>IFERROR(VLOOKUP(F177,'G-7 WaterC'' Data'!$C$4:$D$8,2,FALSE),"")</f>
        <v/>
      </c>
      <c r="H177" s="52"/>
      <c r="I177" s="276" t="str">
        <f>IFERROR(INDEX('G-7 WaterC'' Data'!$H$4:$L$8,MATCH(D177,'G-7 WaterC'' Data'!$B$4:$B$8,0),MATCH(H177,'G-7 WaterC'' Data'!$H$3:$L$3,0)),"")</f>
        <v/>
      </c>
      <c r="J177" s="777"/>
      <c r="K177" s="311" t="str">
        <f>IF(J177="","",IF(VLOOKUP(J177,'G-7 WaterC'' Data'!$AK$4:$AM$6,2,FALSE)=0,"Spatial Data Missing ⚠",VLOOKUP(J177,'G-7 WaterC'' Data'!$AK$4:$AM$6,2,FALSE)))</f>
        <v/>
      </c>
      <c r="L177" s="281" t="str">
        <f>IF(J177="","",IF(VLOOKUP(J177,'G-7 WaterC'' Data'!$AK$4:$AM$9,3,FALSE)=0,"Spatial Data Missing ⚠",VLOOKUP(J177,'G-7 WaterC'' Data'!$AK$4:$AM$6,3,FALSE)))</f>
        <v/>
      </c>
      <c r="M177" s="52"/>
      <c r="N177" s="276" t="str">
        <f>IF(M177="","",IF(AND(D177&lt;&gt;"Culvert",M177="N/A - Culvert"),"Not possible ▲",IF(AND(D177="Culvert",M177&lt;&gt;"N/A - Culvert"),"Not possible ▲",IF(VLOOKUP(M177,'G-7 WaterC'' Data'!$AA$4:$AB$7,2,FALSE)=0,"Spatial Data Missing ⚠",VLOOKUP(M177,'G-7 WaterC'' Data'!$AA$4:$AB$7,2,FALSE)))))</f>
        <v/>
      </c>
      <c r="O177" s="56"/>
      <c r="P177" s="276" t="str">
        <f>IF(O177="","",IF(AND(O177="N/A - Culvert",D177&lt;&gt;"Culvert"),"Not possible ▲",IF(AND(D177="Culvert",O177&lt;&gt;"N/A - Culvert"),"Not possible ▲",IF(VLOOKUP(O177,'G-7 WaterC'' Data'!$AD$4:$AE$14,2,FALSE)=0,"Spatial Data Missing ⚠",VLOOKUP(O177,'G-7 WaterC'' Data'!$AD$4:$AE$14,2,FALSE)))))</f>
        <v/>
      </c>
      <c r="Q177" s="282" t="str">
        <f>IF(D177="","",VLOOKUP(D177,'G-7 WaterC'' Data'!$B$2:$G$8,6,FALSE))</f>
        <v/>
      </c>
      <c r="R177" s="289" t="str">
        <f t="shared" si="21"/>
        <v xml:space="preserve"> </v>
      </c>
      <c r="S177" s="803" t="str">
        <f t="shared" si="22"/>
        <v/>
      </c>
      <c r="T177" s="32"/>
      <c r="U177" s="101"/>
      <c r="V177" s="108"/>
      <c r="W177" s="287" t="str">
        <f t="shared" si="23"/>
        <v/>
      </c>
      <c r="X177" s="287" t="str">
        <f t="shared" si="24"/>
        <v/>
      </c>
      <c r="Y177" s="287" t="str">
        <f t="shared" si="25"/>
        <v/>
      </c>
      <c r="Z177" s="317" t="str">
        <f>IFERROR(IF(OR(E177="",R177=""),"",IF(AND(Q177='G-7 WaterC'' Data'!$G$4,AA177="Yes"),"Alternative Compensation ✓",IF(AND(AA177="Pending",Q177='G-7 WaterC'' Data'!$G$4),"Bespoke compensation must be agreed ▲",IF((W177+X177)&gt;=R177,0,R177-W177-X177)))),"Check Data ⚠")</f>
        <v/>
      </c>
      <c r="AA177" s="800"/>
      <c r="AB177" s="136"/>
      <c r="AC177" s="104"/>
      <c r="AD177" s="104"/>
      <c r="AE177" s="54" t="str">
        <f>IF(OR(Q177="",AA177="Yes"),"",IF(Q177='G-1 All Habitats'!$X$9,E177-U177-V177,"None"))</f>
        <v/>
      </c>
      <c r="AF177" s="55" t="str">
        <f>IF(Q177="","",IF(Q177='G-1 All Habitats'!$X$9,AE177*G177*I177*L177*N177*P177,"None"))</f>
        <v/>
      </c>
      <c r="AI177" s="30">
        <f t="shared" si="26"/>
        <v>0</v>
      </c>
      <c r="AJ177" s="107" t="str">
        <f t="shared" si="27"/>
        <v/>
      </c>
      <c r="AK177" s="107" t="str">
        <f t="shared" si="28"/>
        <v/>
      </c>
      <c r="AM177" s="107">
        <v>168</v>
      </c>
      <c r="AO177" s="107" t="str">
        <f t="array" ref="AO177">IFERROR(INDEX($AM$10:$AM$258,MATCH(0,IF(TRUE=$AJ$10:$AJ$258,COUNTIF($AO$9:$AO176,$AM$10:$AM$258),""),0)),"")</f>
        <v/>
      </c>
      <c r="AP177" s="107" t="str">
        <f t="array" ref="AP177">IFERROR(INDEX($AM$10:$AM$258,MATCH(0,IF(TRUE=$AK$10:$AK$258,COUNTIF($AP$9:$AP176,$AM$10:$AM$258),""),0)),"")</f>
        <v/>
      </c>
      <c r="AR177" s="30" t="str">
        <f>IFERROR(INDEX('G-7 WaterC'' Data'!$AZ$3:$AZ$7,MATCH(D177,'G-7 WaterC'' Data'!$AY$3:$AY$7,0)),"")</f>
        <v/>
      </c>
      <c r="AS177" s="30" t="str">
        <f>IFERROR(INDEX('G-7 WaterC'' Data'!AZ177:AZ181,MATCH(D177,'G-7 WaterC'' Data'!$AY$10:$AY$14,0)),"")</f>
        <v/>
      </c>
      <c r="AT177" s="885" t="str">
        <f>IF(AND(OR(AA177="Yes",AA177="Pending"),Q177='G-7 WaterC'' Data'!$G$4),R177-W177-X177,"")</f>
        <v/>
      </c>
      <c r="AU177" s="30" t="str">
        <f>IF(D177="","",VLOOKUP(D177,'G-7 WaterC'' Data'!B$4:M$8,12,FALSE))</f>
        <v/>
      </c>
      <c r="AV177" s="30" t="str">
        <f t="shared" si="20"/>
        <v/>
      </c>
      <c r="AX177" s="30" t="str">
        <f t="shared" si="29"/>
        <v>No</v>
      </c>
    </row>
    <row r="178" spans="3:50" ht="14" hidden="1">
      <c r="C178" s="97">
        <v>169</v>
      </c>
      <c r="D178" s="261"/>
      <c r="E178" s="115"/>
      <c r="F178" s="275" t="str">
        <f>IF(D178="","",VLOOKUP(D178,'G-7 WaterC'' Data'!$B$2:$G$8,2,FALSE))</f>
        <v/>
      </c>
      <c r="G178" s="276" t="str">
        <f>IFERROR(VLOOKUP(F178,'G-7 WaterC'' Data'!$C$4:$D$8,2,FALSE),"")</f>
        <v/>
      </c>
      <c r="H178" s="52"/>
      <c r="I178" s="276" t="str">
        <f>IFERROR(INDEX('G-7 WaterC'' Data'!$H$4:$L$8,MATCH(D178,'G-7 WaterC'' Data'!$B$4:$B$8,0),MATCH(H178,'G-7 WaterC'' Data'!$H$3:$L$3,0)),"")</f>
        <v/>
      </c>
      <c r="J178" s="777"/>
      <c r="K178" s="311" t="str">
        <f>IF(J178="","",IF(VLOOKUP(J178,'G-7 WaterC'' Data'!$AK$4:$AM$6,2,FALSE)=0,"Spatial Data Missing ⚠",VLOOKUP(J178,'G-7 WaterC'' Data'!$AK$4:$AM$6,2,FALSE)))</f>
        <v/>
      </c>
      <c r="L178" s="281" t="str">
        <f>IF(J178="","",IF(VLOOKUP(J178,'G-7 WaterC'' Data'!$AK$4:$AM$9,3,FALSE)=0,"Spatial Data Missing ⚠",VLOOKUP(J178,'G-7 WaterC'' Data'!$AK$4:$AM$6,3,FALSE)))</f>
        <v/>
      </c>
      <c r="M178" s="52"/>
      <c r="N178" s="276" t="str">
        <f>IF(M178="","",IF(AND(D178&lt;&gt;"Culvert",M178="N/A - Culvert"),"Not possible ▲",IF(AND(D178="Culvert",M178&lt;&gt;"N/A - Culvert"),"Not possible ▲",IF(VLOOKUP(M178,'G-7 WaterC'' Data'!$AA$4:$AB$7,2,FALSE)=0,"Spatial Data Missing ⚠",VLOOKUP(M178,'G-7 WaterC'' Data'!$AA$4:$AB$7,2,FALSE)))))</f>
        <v/>
      </c>
      <c r="O178" s="56"/>
      <c r="P178" s="276" t="str">
        <f>IF(O178="","",IF(AND(O178="N/A - Culvert",D178&lt;&gt;"Culvert"),"Not possible ▲",IF(AND(D178="Culvert",O178&lt;&gt;"N/A - Culvert"),"Not possible ▲",IF(VLOOKUP(O178,'G-7 WaterC'' Data'!$AD$4:$AE$14,2,FALSE)=0,"Spatial Data Missing ⚠",VLOOKUP(O178,'G-7 WaterC'' Data'!$AD$4:$AE$14,2,FALSE)))))</f>
        <v/>
      </c>
      <c r="Q178" s="282" t="str">
        <f>IF(D178="","",VLOOKUP(D178,'G-7 WaterC'' Data'!$B$2:$G$8,6,FALSE))</f>
        <v/>
      </c>
      <c r="R178" s="289" t="str">
        <f t="shared" si="21"/>
        <v xml:space="preserve"> </v>
      </c>
      <c r="S178" s="803" t="str">
        <f t="shared" si="22"/>
        <v/>
      </c>
      <c r="T178" s="32"/>
      <c r="U178" s="101"/>
      <c r="V178" s="108"/>
      <c r="W178" s="287" t="str">
        <f t="shared" si="23"/>
        <v/>
      </c>
      <c r="X178" s="287" t="str">
        <f t="shared" si="24"/>
        <v/>
      </c>
      <c r="Y178" s="287" t="str">
        <f t="shared" si="25"/>
        <v/>
      </c>
      <c r="Z178" s="317" t="str">
        <f>IFERROR(IF(OR(E178="",R178=""),"",IF(AND(Q178='G-7 WaterC'' Data'!$G$4,AA178="Yes"),"Alternative Compensation ✓",IF(AND(AA178="Pending",Q178='G-7 WaterC'' Data'!$G$4),"Bespoke compensation must be agreed ▲",IF((W178+X178)&gt;=R178,0,R178-W178-X178)))),"Check Data ⚠")</f>
        <v/>
      </c>
      <c r="AA178" s="800"/>
      <c r="AB178" s="136"/>
      <c r="AC178" s="104"/>
      <c r="AD178" s="104"/>
      <c r="AE178" s="54" t="str">
        <f>IF(OR(Q178="",AA178="Yes"),"",IF(Q178='G-1 All Habitats'!$X$9,E178-U178-V178,"None"))</f>
        <v/>
      </c>
      <c r="AF178" s="55" t="str">
        <f>IF(Q178="","",IF(Q178='G-1 All Habitats'!$X$9,AE178*G178*I178*L178*N178*P178,"None"))</f>
        <v/>
      </c>
      <c r="AI178" s="30">
        <f t="shared" si="26"/>
        <v>0</v>
      </c>
      <c r="AJ178" s="107" t="str">
        <f t="shared" si="27"/>
        <v/>
      </c>
      <c r="AK178" s="107" t="str">
        <f t="shared" si="28"/>
        <v/>
      </c>
      <c r="AM178" s="107">
        <v>169</v>
      </c>
      <c r="AO178" s="107" t="str">
        <f t="array" ref="AO178">IFERROR(INDEX($AM$10:$AM$258,MATCH(0,IF(TRUE=$AJ$10:$AJ$258,COUNTIF($AO$9:$AO177,$AM$10:$AM$258),""),0)),"")</f>
        <v/>
      </c>
      <c r="AP178" s="107" t="str">
        <f t="array" ref="AP178">IFERROR(INDEX($AM$10:$AM$258,MATCH(0,IF(TRUE=$AK$10:$AK$258,COUNTIF($AP$9:$AP177,$AM$10:$AM$258),""),0)),"")</f>
        <v/>
      </c>
      <c r="AR178" s="30" t="str">
        <f>IFERROR(INDEX('G-7 WaterC'' Data'!$AZ$3:$AZ$7,MATCH(D178,'G-7 WaterC'' Data'!$AY$3:$AY$7,0)),"")</f>
        <v/>
      </c>
      <c r="AS178" s="30" t="str">
        <f>IFERROR(INDEX('G-7 WaterC'' Data'!AZ178:AZ182,MATCH(D178,'G-7 WaterC'' Data'!$AY$10:$AY$14,0)),"")</f>
        <v/>
      </c>
      <c r="AT178" s="885" t="str">
        <f>IF(AND(OR(AA178="Yes",AA178="Pending"),Q178='G-7 WaterC'' Data'!$G$4),R178-W178-X178,"")</f>
        <v/>
      </c>
      <c r="AU178" s="30" t="str">
        <f>IF(D178="","",VLOOKUP(D178,'G-7 WaterC'' Data'!B$4:M$8,12,FALSE))</f>
        <v/>
      </c>
      <c r="AV178" s="30" t="str">
        <f t="shared" si="20"/>
        <v/>
      </c>
      <c r="AX178" s="30" t="str">
        <f t="shared" si="29"/>
        <v>No</v>
      </c>
    </row>
    <row r="179" spans="3:50" ht="14" hidden="1">
      <c r="C179" s="97">
        <v>170</v>
      </c>
      <c r="D179" s="261"/>
      <c r="E179" s="115"/>
      <c r="F179" s="275" t="str">
        <f>IF(D179="","",VLOOKUP(D179,'G-7 WaterC'' Data'!$B$2:$G$8,2,FALSE))</f>
        <v/>
      </c>
      <c r="G179" s="276" t="str">
        <f>IFERROR(VLOOKUP(F179,'G-7 WaterC'' Data'!$C$4:$D$8,2,FALSE),"")</f>
        <v/>
      </c>
      <c r="H179" s="52"/>
      <c r="I179" s="276" t="str">
        <f>IFERROR(INDEX('G-7 WaterC'' Data'!$H$4:$L$8,MATCH(D179,'G-7 WaterC'' Data'!$B$4:$B$8,0),MATCH(H179,'G-7 WaterC'' Data'!$H$3:$L$3,0)),"")</f>
        <v/>
      </c>
      <c r="J179" s="777"/>
      <c r="K179" s="311" t="str">
        <f>IF(J179="","",IF(VLOOKUP(J179,'G-7 WaterC'' Data'!$AK$4:$AM$6,2,FALSE)=0,"Spatial Data Missing ⚠",VLOOKUP(J179,'G-7 WaterC'' Data'!$AK$4:$AM$6,2,FALSE)))</f>
        <v/>
      </c>
      <c r="L179" s="281" t="str">
        <f>IF(J179="","",IF(VLOOKUP(J179,'G-7 WaterC'' Data'!$AK$4:$AM$9,3,FALSE)=0,"Spatial Data Missing ⚠",VLOOKUP(J179,'G-7 WaterC'' Data'!$AK$4:$AM$6,3,FALSE)))</f>
        <v/>
      </c>
      <c r="M179" s="52"/>
      <c r="N179" s="276" t="str">
        <f>IF(M179="","",IF(AND(D179&lt;&gt;"Culvert",M179="N/A - Culvert"),"Not possible ▲",IF(AND(D179="Culvert",M179&lt;&gt;"N/A - Culvert"),"Not possible ▲",IF(VLOOKUP(M179,'G-7 WaterC'' Data'!$AA$4:$AB$7,2,FALSE)=0,"Spatial Data Missing ⚠",VLOOKUP(M179,'G-7 WaterC'' Data'!$AA$4:$AB$7,2,FALSE)))))</f>
        <v/>
      </c>
      <c r="O179" s="56"/>
      <c r="P179" s="276" t="str">
        <f>IF(O179="","",IF(AND(O179="N/A - Culvert",D179&lt;&gt;"Culvert"),"Not possible ▲",IF(AND(D179="Culvert",O179&lt;&gt;"N/A - Culvert"),"Not possible ▲",IF(VLOOKUP(O179,'G-7 WaterC'' Data'!$AD$4:$AE$14,2,FALSE)=0,"Spatial Data Missing ⚠",VLOOKUP(O179,'G-7 WaterC'' Data'!$AD$4:$AE$14,2,FALSE)))))</f>
        <v/>
      </c>
      <c r="Q179" s="282" t="str">
        <f>IF(D179="","",VLOOKUP(D179,'G-7 WaterC'' Data'!$B$2:$G$8,6,FALSE))</f>
        <v/>
      </c>
      <c r="R179" s="289" t="str">
        <f t="shared" si="21"/>
        <v xml:space="preserve"> </v>
      </c>
      <c r="S179" s="803" t="str">
        <f t="shared" si="22"/>
        <v/>
      </c>
      <c r="T179" s="32"/>
      <c r="U179" s="101"/>
      <c r="V179" s="108"/>
      <c r="W179" s="287" t="str">
        <f t="shared" si="23"/>
        <v/>
      </c>
      <c r="X179" s="287" t="str">
        <f t="shared" si="24"/>
        <v/>
      </c>
      <c r="Y179" s="287" t="str">
        <f t="shared" si="25"/>
        <v/>
      </c>
      <c r="Z179" s="317" t="str">
        <f>IFERROR(IF(OR(E179="",R179=""),"",IF(AND(Q179='G-7 WaterC'' Data'!$G$4,AA179="Yes"),"Alternative Compensation ✓",IF(AND(AA179="Pending",Q179='G-7 WaterC'' Data'!$G$4),"Bespoke compensation must be agreed ▲",IF((W179+X179)&gt;=R179,0,R179-W179-X179)))),"Check Data ⚠")</f>
        <v/>
      </c>
      <c r="AA179" s="800"/>
      <c r="AB179" s="136"/>
      <c r="AC179" s="104"/>
      <c r="AD179" s="104"/>
      <c r="AE179" s="54" t="str">
        <f>IF(OR(Q179="",AA179="Yes"),"",IF(Q179='G-1 All Habitats'!$X$9,E179-U179-V179,"None"))</f>
        <v/>
      </c>
      <c r="AF179" s="55" t="str">
        <f>IF(Q179="","",IF(Q179='G-1 All Habitats'!$X$9,AE179*G179*I179*L179*N179*P179,"None"))</f>
        <v/>
      </c>
      <c r="AI179" s="30">
        <f t="shared" si="26"/>
        <v>0</v>
      </c>
      <c r="AJ179" s="107" t="str">
        <f t="shared" si="27"/>
        <v/>
      </c>
      <c r="AK179" s="107" t="str">
        <f t="shared" si="28"/>
        <v/>
      </c>
      <c r="AM179" s="107">
        <v>170</v>
      </c>
      <c r="AO179" s="107" t="str">
        <f t="array" ref="AO179">IFERROR(INDEX($AM$10:$AM$258,MATCH(0,IF(TRUE=$AJ$10:$AJ$258,COUNTIF($AO$9:$AO178,$AM$10:$AM$258),""),0)),"")</f>
        <v/>
      </c>
      <c r="AP179" s="107" t="str">
        <f t="array" ref="AP179">IFERROR(INDEX($AM$10:$AM$258,MATCH(0,IF(TRUE=$AK$10:$AK$258,COUNTIF($AP$9:$AP178,$AM$10:$AM$258),""),0)),"")</f>
        <v/>
      </c>
      <c r="AR179" s="30" t="str">
        <f>IFERROR(INDEX('G-7 WaterC'' Data'!$AZ$3:$AZ$7,MATCH(D179,'G-7 WaterC'' Data'!$AY$3:$AY$7,0)),"")</f>
        <v/>
      </c>
      <c r="AS179" s="30" t="str">
        <f>IFERROR(INDEX('G-7 WaterC'' Data'!AZ179:AZ183,MATCH(D179,'G-7 WaterC'' Data'!$AY$10:$AY$14,0)),"")</f>
        <v/>
      </c>
      <c r="AT179" s="885" t="str">
        <f>IF(AND(OR(AA179="Yes",AA179="Pending"),Q179='G-7 WaterC'' Data'!$G$4),R179-W179-X179,"")</f>
        <v/>
      </c>
      <c r="AU179" s="30" t="str">
        <f>IF(D179="","",VLOOKUP(D179,'G-7 WaterC'' Data'!B$4:M$8,12,FALSE))</f>
        <v/>
      </c>
      <c r="AV179" s="30" t="str">
        <f t="shared" si="20"/>
        <v/>
      </c>
      <c r="AX179" s="30" t="str">
        <f t="shared" si="29"/>
        <v>No</v>
      </c>
    </row>
    <row r="180" spans="3:50" ht="14" hidden="1">
      <c r="C180" s="97">
        <v>171</v>
      </c>
      <c r="D180" s="261"/>
      <c r="E180" s="115"/>
      <c r="F180" s="275" t="str">
        <f>IF(D180="","",VLOOKUP(D180,'G-7 WaterC'' Data'!$B$2:$G$8,2,FALSE))</f>
        <v/>
      </c>
      <c r="G180" s="276" t="str">
        <f>IFERROR(VLOOKUP(F180,'G-7 WaterC'' Data'!$C$4:$D$8,2,FALSE),"")</f>
        <v/>
      </c>
      <c r="H180" s="52"/>
      <c r="I180" s="276" t="str">
        <f>IFERROR(INDEX('G-7 WaterC'' Data'!$H$4:$L$8,MATCH(D180,'G-7 WaterC'' Data'!$B$4:$B$8,0),MATCH(H180,'G-7 WaterC'' Data'!$H$3:$L$3,0)),"")</f>
        <v/>
      </c>
      <c r="J180" s="777"/>
      <c r="K180" s="311" t="str">
        <f>IF(J180="","",IF(VLOOKUP(J180,'G-7 WaterC'' Data'!$AK$4:$AM$6,2,FALSE)=0,"Spatial Data Missing ⚠",VLOOKUP(J180,'G-7 WaterC'' Data'!$AK$4:$AM$6,2,FALSE)))</f>
        <v/>
      </c>
      <c r="L180" s="281" t="str">
        <f>IF(J180="","",IF(VLOOKUP(J180,'G-7 WaterC'' Data'!$AK$4:$AM$9,3,FALSE)=0,"Spatial Data Missing ⚠",VLOOKUP(J180,'G-7 WaterC'' Data'!$AK$4:$AM$6,3,FALSE)))</f>
        <v/>
      </c>
      <c r="M180" s="52"/>
      <c r="N180" s="276" t="str">
        <f>IF(M180="","",IF(AND(D180&lt;&gt;"Culvert",M180="N/A - Culvert"),"Not possible ▲",IF(AND(D180="Culvert",M180&lt;&gt;"N/A - Culvert"),"Not possible ▲",IF(VLOOKUP(M180,'G-7 WaterC'' Data'!$AA$4:$AB$7,2,FALSE)=0,"Spatial Data Missing ⚠",VLOOKUP(M180,'G-7 WaterC'' Data'!$AA$4:$AB$7,2,FALSE)))))</f>
        <v/>
      </c>
      <c r="O180" s="56"/>
      <c r="P180" s="276" t="str">
        <f>IF(O180="","",IF(AND(O180="N/A - Culvert",D180&lt;&gt;"Culvert"),"Not possible ▲",IF(AND(D180="Culvert",O180&lt;&gt;"N/A - Culvert"),"Not possible ▲",IF(VLOOKUP(O180,'G-7 WaterC'' Data'!$AD$4:$AE$14,2,FALSE)=0,"Spatial Data Missing ⚠",VLOOKUP(O180,'G-7 WaterC'' Data'!$AD$4:$AE$14,2,FALSE)))))</f>
        <v/>
      </c>
      <c r="Q180" s="282" t="str">
        <f>IF(D180="","",VLOOKUP(D180,'G-7 WaterC'' Data'!$B$2:$G$8,6,FALSE))</f>
        <v/>
      </c>
      <c r="R180" s="289" t="str">
        <f t="shared" si="21"/>
        <v xml:space="preserve"> </v>
      </c>
      <c r="S180" s="803" t="str">
        <f t="shared" si="22"/>
        <v/>
      </c>
      <c r="T180" s="32"/>
      <c r="U180" s="101"/>
      <c r="V180" s="108"/>
      <c r="W180" s="287" t="str">
        <f t="shared" si="23"/>
        <v/>
      </c>
      <c r="X180" s="287" t="str">
        <f t="shared" si="24"/>
        <v/>
      </c>
      <c r="Y180" s="287" t="str">
        <f t="shared" si="25"/>
        <v/>
      </c>
      <c r="Z180" s="317" t="str">
        <f>IFERROR(IF(OR(E180="",R180=""),"",IF(AND(Q180='G-7 WaterC'' Data'!$G$4,AA180="Yes"),"Alternative Compensation ✓",IF(AND(AA180="Pending",Q180='G-7 WaterC'' Data'!$G$4),"Bespoke compensation must be agreed ▲",IF((W180+X180)&gt;=R180,0,R180-W180-X180)))),"Check Data ⚠")</f>
        <v/>
      </c>
      <c r="AA180" s="800"/>
      <c r="AB180" s="136"/>
      <c r="AC180" s="104"/>
      <c r="AD180" s="104"/>
      <c r="AE180" s="54" t="str">
        <f>IF(OR(Q180="",AA180="Yes"),"",IF(Q180='G-1 All Habitats'!$X$9,E180-U180-V180,"None"))</f>
        <v/>
      </c>
      <c r="AF180" s="55" t="str">
        <f>IF(Q180="","",IF(Q180='G-1 All Habitats'!$X$9,AE180*G180*I180*L180*N180*P180,"None"))</f>
        <v/>
      </c>
      <c r="AI180" s="30">
        <f t="shared" si="26"/>
        <v>0</v>
      </c>
      <c r="AJ180" s="107" t="str">
        <f t="shared" si="27"/>
        <v/>
      </c>
      <c r="AK180" s="107" t="str">
        <f t="shared" si="28"/>
        <v/>
      </c>
      <c r="AM180" s="107">
        <v>171</v>
      </c>
      <c r="AO180" s="107" t="str">
        <f t="array" ref="AO180">IFERROR(INDEX($AM$10:$AM$258,MATCH(0,IF(TRUE=$AJ$10:$AJ$258,COUNTIF($AO$9:$AO179,$AM$10:$AM$258),""),0)),"")</f>
        <v/>
      </c>
      <c r="AP180" s="107" t="str">
        <f t="array" ref="AP180">IFERROR(INDEX($AM$10:$AM$258,MATCH(0,IF(TRUE=$AK$10:$AK$258,COUNTIF($AP$9:$AP179,$AM$10:$AM$258),""),0)),"")</f>
        <v/>
      </c>
      <c r="AR180" s="30" t="str">
        <f>IFERROR(INDEX('G-7 WaterC'' Data'!$AZ$3:$AZ$7,MATCH(D180,'G-7 WaterC'' Data'!$AY$3:$AY$7,0)),"")</f>
        <v/>
      </c>
      <c r="AS180" s="30" t="str">
        <f>IFERROR(INDEX('G-7 WaterC'' Data'!AZ180:AZ184,MATCH(D180,'G-7 WaterC'' Data'!$AY$10:$AY$14,0)),"")</f>
        <v/>
      </c>
      <c r="AT180" s="885" t="str">
        <f>IF(AND(OR(AA180="Yes",AA180="Pending"),Q180='G-7 WaterC'' Data'!$G$4),R180-W180-X180,"")</f>
        <v/>
      </c>
      <c r="AU180" s="30" t="str">
        <f>IF(D180="","",VLOOKUP(D180,'G-7 WaterC'' Data'!B$4:M$8,12,FALSE))</f>
        <v/>
      </c>
      <c r="AV180" s="30" t="str">
        <f t="shared" si="20"/>
        <v/>
      </c>
      <c r="AX180" s="30" t="str">
        <f t="shared" si="29"/>
        <v>No</v>
      </c>
    </row>
    <row r="181" spans="3:50" ht="14" hidden="1">
      <c r="C181" s="97">
        <v>172</v>
      </c>
      <c r="D181" s="261"/>
      <c r="E181" s="115"/>
      <c r="F181" s="275" t="str">
        <f>IF(D181="","",VLOOKUP(D181,'G-7 WaterC'' Data'!$B$2:$G$8,2,FALSE))</f>
        <v/>
      </c>
      <c r="G181" s="276" t="str">
        <f>IFERROR(VLOOKUP(F181,'G-7 WaterC'' Data'!$C$4:$D$8,2,FALSE),"")</f>
        <v/>
      </c>
      <c r="H181" s="52"/>
      <c r="I181" s="276" t="str">
        <f>IFERROR(INDEX('G-7 WaterC'' Data'!$H$4:$L$8,MATCH(D181,'G-7 WaterC'' Data'!$B$4:$B$8,0),MATCH(H181,'G-7 WaterC'' Data'!$H$3:$L$3,0)),"")</f>
        <v/>
      </c>
      <c r="J181" s="777"/>
      <c r="K181" s="311" t="str">
        <f>IF(J181="","",IF(VLOOKUP(J181,'G-7 WaterC'' Data'!$AK$4:$AM$6,2,FALSE)=0,"Spatial Data Missing ⚠",VLOOKUP(J181,'G-7 WaterC'' Data'!$AK$4:$AM$6,2,FALSE)))</f>
        <v/>
      </c>
      <c r="L181" s="281" t="str">
        <f>IF(J181="","",IF(VLOOKUP(J181,'G-7 WaterC'' Data'!$AK$4:$AM$9,3,FALSE)=0,"Spatial Data Missing ⚠",VLOOKUP(J181,'G-7 WaterC'' Data'!$AK$4:$AM$6,3,FALSE)))</f>
        <v/>
      </c>
      <c r="M181" s="52"/>
      <c r="N181" s="276" t="str">
        <f>IF(M181="","",IF(AND(D181&lt;&gt;"Culvert",M181="N/A - Culvert"),"Not possible ▲",IF(AND(D181="Culvert",M181&lt;&gt;"N/A - Culvert"),"Not possible ▲",IF(VLOOKUP(M181,'G-7 WaterC'' Data'!$AA$4:$AB$7,2,FALSE)=0,"Spatial Data Missing ⚠",VLOOKUP(M181,'G-7 WaterC'' Data'!$AA$4:$AB$7,2,FALSE)))))</f>
        <v/>
      </c>
      <c r="O181" s="56"/>
      <c r="P181" s="276" t="str">
        <f>IF(O181="","",IF(AND(O181="N/A - Culvert",D181&lt;&gt;"Culvert"),"Not possible ▲",IF(AND(D181="Culvert",O181&lt;&gt;"N/A - Culvert"),"Not possible ▲",IF(VLOOKUP(O181,'G-7 WaterC'' Data'!$AD$4:$AE$14,2,FALSE)=0,"Spatial Data Missing ⚠",VLOOKUP(O181,'G-7 WaterC'' Data'!$AD$4:$AE$14,2,FALSE)))))</f>
        <v/>
      </c>
      <c r="Q181" s="282" t="str">
        <f>IF(D181="","",VLOOKUP(D181,'G-7 WaterC'' Data'!$B$2:$G$8,6,FALSE))</f>
        <v/>
      </c>
      <c r="R181" s="289" t="str">
        <f t="shared" si="21"/>
        <v xml:space="preserve"> </v>
      </c>
      <c r="S181" s="803" t="str">
        <f t="shared" si="22"/>
        <v/>
      </c>
      <c r="T181" s="32"/>
      <c r="U181" s="101"/>
      <c r="V181" s="108"/>
      <c r="W181" s="287" t="str">
        <f t="shared" si="23"/>
        <v/>
      </c>
      <c r="X181" s="287" t="str">
        <f t="shared" si="24"/>
        <v/>
      </c>
      <c r="Y181" s="287" t="str">
        <f t="shared" si="25"/>
        <v/>
      </c>
      <c r="Z181" s="317" t="str">
        <f>IFERROR(IF(OR(E181="",R181=""),"",IF(AND(Q181='G-7 WaterC'' Data'!$G$4,AA181="Yes"),"Alternative Compensation ✓",IF(AND(AA181="Pending",Q181='G-7 WaterC'' Data'!$G$4),"Bespoke compensation must be agreed ▲",IF((W181+X181)&gt;=R181,0,R181-W181-X181)))),"Check Data ⚠")</f>
        <v/>
      </c>
      <c r="AA181" s="800"/>
      <c r="AB181" s="136"/>
      <c r="AC181" s="104"/>
      <c r="AD181" s="104"/>
      <c r="AE181" s="54" t="str">
        <f>IF(OR(Q181="",AA181="Yes"),"",IF(Q181='G-1 All Habitats'!$X$9,E181-U181-V181,"None"))</f>
        <v/>
      </c>
      <c r="AF181" s="55" t="str">
        <f>IF(Q181="","",IF(Q181='G-1 All Habitats'!$X$9,AE181*G181*I181*L181*N181*P181,"None"))</f>
        <v/>
      </c>
      <c r="AI181" s="30">
        <f t="shared" si="26"/>
        <v>0</v>
      </c>
      <c r="AJ181" s="107" t="str">
        <f t="shared" si="27"/>
        <v/>
      </c>
      <c r="AK181" s="107" t="str">
        <f t="shared" si="28"/>
        <v/>
      </c>
      <c r="AM181" s="107">
        <v>172</v>
      </c>
      <c r="AO181" s="107" t="str">
        <f t="array" ref="AO181">IFERROR(INDEX($AM$10:$AM$258,MATCH(0,IF(TRUE=$AJ$10:$AJ$258,COUNTIF($AO$9:$AO180,$AM$10:$AM$258),""),0)),"")</f>
        <v/>
      </c>
      <c r="AP181" s="107" t="str">
        <f t="array" ref="AP181">IFERROR(INDEX($AM$10:$AM$258,MATCH(0,IF(TRUE=$AK$10:$AK$258,COUNTIF($AP$9:$AP180,$AM$10:$AM$258),""),0)),"")</f>
        <v/>
      </c>
      <c r="AR181" s="30" t="str">
        <f>IFERROR(INDEX('G-7 WaterC'' Data'!$AZ$3:$AZ$7,MATCH(D181,'G-7 WaterC'' Data'!$AY$3:$AY$7,0)),"")</f>
        <v/>
      </c>
      <c r="AS181" s="30" t="str">
        <f>IFERROR(INDEX('G-7 WaterC'' Data'!AZ181:AZ185,MATCH(D181,'G-7 WaterC'' Data'!$AY$10:$AY$14,0)),"")</f>
        <v/>
      </c>
      <c r="AT181" s="885" t="str">
        <f>IF(AND(OR(AA181="Yes",AA181="Pending"),Q181='G-7 WaterC'' Data'!$G$4),R181-W181-X181,"")</f>
        <v/>
      </c>
      <c r="AU181" s="30" t="str">
        <f>IF(D181="","",VLOOKUP(D181,'G-7 WaterC'' Data'!B$4:M$8,12,FALSE))</f>
        <v/>
      </c>
      <c r="AV181" s="30" t="str">
        <f t="shared" si="20"/>
        <v/>
      </c>
      <c r="AX181" s="30" t="str">
        <f t="shared" si="29"/>
        <v>No</v>
      </c>
    </row>
    <row r="182" spans="3:50" ht="14" hidden="1">
      <c r="C182" s="97">
        <v>173</v>
      </c>
      <c r="D182" s="261"/>
      <c r="E182" s="115"/>
      <c r="F182" s="275" t="str">
        <f>IF(D182="","",VLOOKUP(D182,'G-7 WaterC'' Data'!$B$2:$G$8,2,FALSE))</f>
        <v/>
      </c>
      <c r="G182" s="276" t="str">
        <f>IFERROR(VLOOKUP(F182,'G-7 WaterC'' Data'!$C$4:$D$8,2,FALSE),"")</f>
        <v/>
      </c>
      <c r="H182" s="52"/>
      <c r="I182" s="276" t="str">
        <f>IFERROR(INDEX('G-7 WaterC'' Data'!$H$4:$L$8,MATCH(D182,'G-7 WaterC'' Data'!$B$4:$B$8,0),MATCH(H182,'G-7 WaterC'' Data'!$H$3:$L$3,0)),"")</f>
        <v/>
      </c>
      <c r="J182" s="777"/>
      <c r="K182" s="311" t="str">
        <f>IF(J182="","",IF(VLOOKUP(J182,'G-7 WaterC'' Data'!$AK$4:$AM$6,2,FALSE)=0,"Spatial Data Missing ⚠",VLOOKUP(J182,'G-7 WaterC'' Data'!$AK$4:$AM$6,2,FALSE)))</f>
        <v/>
      </c>
      <c r="L182" s="281" t="str">
        <f>IF(J182="","",IF(VLOOKUP(J182,'G-7 WaterC'' Data'!$AK$4:$AM$9,3,FALSE)=0,"Spatial Data Missing ⚠",VLOOKUP(J182,'G-7 WaterC'' Data'!$AK$4:$AM$6,3,FALSE)))</f>
        <v/>
      </c>
      <c r="M182" s="52"/>
      <c r="N182" s="276" t="str">
        <f>IF(M182="","",IF(AND(D182&lt;&gt;"Culvert",M182="N/A - Culvert"),"Not possible ▲",IF(AND(D182="Culvert",M182&lt;&gt;"N/A - Culvert"),"Not possible ▲",IF(VLOOKUP(M182,'G-7 WaterC'' Data'!$AA$4:$AB$7,2,FALSE)=0,"Spatial Data Missing ⚠",VLOOKUP(M182,'G-7 WaterC'' Data'!$AA$4:$AB$7,2,FALSE)))))</f>
        <v/>
      </c>
      <c r="O182" s="56"/>
      <c r="P182" s="276" t="str">
        <f>IF(O182="","",IF(AND(O182="N/A - Culvert",D182&lt;&gt;"Culvert"),"Not possible ▲",IF(AND(D182="Culvert",O182&lt;&gt;"N/A - Culvert"),"Not possible ▲",IF(VLOOKUP(O182,'G-7 WaterC'' Data'!$AD$4:$AE$14,2,FALSE)=0,"Spatial Data Missing ⚠",VLOOKUP(O182,'G-7 WaterC'' Data'!$AD$4:$AE$14,2,FALSE)))))</f>
        <v/>
      </c>
      <c r="Q182" s="282" t="str">
        <f>IF(D182="","",VLOOKUP(D182,'G-7 WaterC'' Data'!$B$2:$G$8,6,FALSE))</f>
        <v/>
      </c>
      <c r="R182" s="289" t="str">
        <f t="shared" si="21"/>
        <v xml:space="preserve"> </v>
      </c>
      <c r="S182" s="803" t="str">
        <f t="shared" si="22"/>
        <v/>
      </c>
      <c r="T182" s="32"/>
      <c r="U182" s="101"/>
      <c r="V182" s="108"/>
      <c r="W182" s="287" t="str">
        <f t="shared" si="23"/>
        <v/>
      </c>
      <c r="X182" s="287" t="str">
        <f t="shared" si="24"/>
        <v/>
      </c>
      <c r="Y182" s="287" t="str">
        <f t="shared" si="25"/>
        <v/>
      </c>
      <c r="Z182" s="317" t="str">
        <f>IFERROR(IF(OR(E182="",R182=""),"",IF(AND(Q182='G-7 WaterC'' Data'!$G$4,AA182="Yes"),"Alternative Compensation ✓",IF(AND(AA182="Pending",Q182='G-7 WaterC'' Data'!$G$4),"Bespoke compensation must be agreed ▲",IF((W182+X182)&gt;=R182,0,R182-W182-X182)))),"Check Data ⚠")</f>
        <v/>
      </c>
      <c r="AA182" s="800"/>
      <c r="AB182" s="136"/>
      <c r="AC182" s="104"/>
      <c r="AD182" s="104"/>
      <c r="AE182" s="54" t="str">
        <f>IF(OR(Q182="",AA182="Yes"),"",IF(Q182='G-1 All Habitats'!$X$9,E182-U182-V182,"None"))</f>
        <v/>
      </c>
      <c r="AF182" s="55" t="str">
        <f>IF(Q182="","",IF(Q182='G-1 All Habitats'!$X$9,AE182*G182*I182*L182*N182*P182,"None"))</f>
        <v/>
      </c>
      <c r="AI182" s="30">
        <f t="shared" si="26"/>
        <v>0</v>
      </c>
      <c r="AJ182" s="107" t="str">
        <f t="shared" si="27"/>
        <v/>
      </c>
      <c r="AK182" s="107" t="str">
        <f t="shared" si="28"/>
        <v/>
      </c>
      <c r="AM182" s="107">
        <v>173</v>
      </c>
      <c r="AO182" s="107" t="str">
        <f t="array" ref="AO182">IFERROR(INDEX($AM$10:$AM$258,MATCH(0,IF(TRUE=$AJ$10:$AJ$258,COUNTIF($AO$9:$AO181,$AM$10:$AM$258),""),0)),"")</f>
        <v/>
      </c>
      <c r="AP182" s="107" t="str">
        <f t="array" ref="AP182">IFERROR(INDEX($AM$10:$AM$258,MATCH(0,IF(TRUE=$AK$10:$AK$258,COUNTIF($AP$9:$AP181,$AM$10:$AM$258),""),0)),"")</f>
        <v/>
      </c>
      <c r="AR182" s="30" t="str">
        <f>IFERROR(INDEX('G-7 WaterC'' Data'!$AZ$3:$AZ$7,MATCH(D182,'G-7 WaterC'' Data'!$AY$3:$AY$7,0)),"")</f>
        <v/>
      </c>
      <c r="AS182" s="30" t="str">
        <f>IFERROR(INDEX('G-7 WaterC'' Data'!AZ182:AZ186,MATCH(D182,'G-7 WaterC'' Data'!$AY$10:$AY$14,0)),"")</f>
        <v/>
      </c>
      <c r="AT182" s="885" t="str">
        <f>IF(AND(OR(AA182="Yes",AA182="Pending"),Q182='G-7 WaterC'' Data'!$G$4),R182-W182-X182,"")</f>
        <v/>
      </c>
      <c r="AU182" s="30" t="str">
        <f>IF(D182="","",VLOOKUP(D182,'G-7 WaterC'' Data'!B$4:M$8,12,FALSE))</f>
        <v/>
      </c>
      <c r="AV182" s="30" t="str">
        <f t="shared" si="20"/>
        <v/>
      </c>
      <c r="AX182" s="30" t="str">
        <f t="shared" si="29"/>
        <v>No</v>
      </c>
    </row>
    <row r="183" spans="3:50" ht="14" hidden="1">
      <c r="C183" s="97">
        <v>174</v>
      </c>
      <c r="D183" s="261"/>
      <c r="E183" s="115"/>
      <c r="F183" s="275" t="str">
        <f>IF(D183="","",VLOOKUP(D183,'G-7 WaterC'' Data'!$B$2:$G$8,2,FALSE))</f>
        <v/>
      </c>
      <c r="G183" s="276" t="str">
        <f>IFERROR(VLOOKUP(F183,'G-7 WaterC'' Data'!$C$4:$D$8,2,FALSE),"")</f>
        <v/>
      </c>
      <c r="H183" s="52"/>
      <c r="I183" s="276" t="str">
        <f>IFERROR(INDEX('G-7 WaterC'' Data'!$H$4:$L$8,MATCH(D183,'G-7 WaterC'' Data'!$B$4:$B$8,0),MATCH(H183,'G-7 WaterC'' Data'!$H$3:$L$3,0)),"")</f>
        <v/>
      </c>
      <c r="J183" s="777"/>
      <c r="K183" s="311" t="str">
        <f>IF(J183="","",IF(VLOOKUP(J183,'G-7 WaterC'' Data'!$AK$4:$AM$6,2,FALSE)=0,"Spatial Data Missing ⚠",VLOOKUP(J183,'G-7 WaterC'' Data'!$AK$4:$AM$6,2,FALSE)))</f>
        <v/>
      </c>
      <c r="L183" s="281" t="str">
        <f>IF(J183="","",IF(VLOOKUP(J183,'G-7 WaterC'' Data'!$AK$4:$AM$9,3,FALSE)=0,"Spatial Data Missing ⚠",VLOOKUP(J183,'G-7 WaterC'' Data'!$AK$4:$AM$6,3,FALSE)))</f>
        <v/>
      </c>
      <c r="M183" s="52"/>
      <c r="N183" s="276" t="str">
        <f>IF(M183="","",IF(AND(D183&lt;&gt;"Culvert",M183="N/A - Culvert"),"Not possible ▲",IF(AND(D183="Culvert",M183&lt;&gt;"N/A - Culvert"),"Not possible ▲",IF(VLOOKUP(M183,'G-7 WaterC'' Data'!$AA$4:$AB$7,2,FALSE)=0,"Spatial Data Missing ⚠",VLOOKUP(M183,'G-7 WaterC'' Data'!$AA$4:$AB$7,2,FALSE)))))</f>
        <v/>
      </c>
      <c r="O183" s="56"/>
      <c r="P183" s="276" t="str">
        <f>IF(O183="","",IF(AND(O183="N/A - Culvert",D183&lt;&gt;"Culvert"),"Not possible ▲",IF(AND(D183="Culvert",O183&lt;&gt;"N/A - Culvert"),"Not possible ▲",IF(VLOOKUP(O183,'G-7 WaterC'' Data'!$AD$4:$AE$14,2,FALSE)=0,"Spatial Data Missing ⚠",VLOOKUP(O183,'G-7 WaterC'' Data'!$AD$4:$AE$14,2,FALSE)))))</f>
        <v/>
      </c>
      <c r="Q183" s="282" t="str">
        <f>IF(D183="","",VLOOKUP(D183,'G-7 WaterC'' Data'!$B$2:$G$8,6,FALSE))</f>
        <v/>
      </c>
      <c r="R183" s="289" t="str">
        <f t="shared" si="21"/>
        <v xml:space="preserve"> </v>
      </c>
      <c r="S183" s="803" t="str">
        <f t="shared" si="22"/>
        <v/>
      </c>
      <c r="T183" s="32"/>
      <c r="U183" s="101"/>
      <c r="V183" s="108"/>
      <c r="W183" s="287" t="str">
        <f t="shared" si="23"/>
        <v/>
      </c>
      <c r="X183" s="287" t="str">
        <f t="shared" si="24"/>
        <v/>
      </c>
      <c r="Y183" s="287" t="str">
        <f t="shared" si="25"/>
        <v/>
      </c>
      <c r="Z183" s="317" t="str">
        <f>IFERROR(IF(OR(E183="",R183=""),"",IF(AND(Q183='G-7 WaterC'' Data'!$G$4,AA183="Yes"),"Alternative Compensation ✓",IF(AND(AA183="Pending",Q183='G-7 WaterC'' Data'!$G$4),"Bespoke compensation must be agreed ▲",IF((W183+X183)&gt;=R183,0,R183-W183-X183)))),"Check Data ⚠")</f>
        <v/>
      </c>
      <c r="AA183" s="800"/>
      <c r="AB183" s="136"/>
      <c r="AC183" s="104"/>
      <c r="AD183" s="104"/>
      <c r="AE183" s="54" t="str">
        <f>IF(OR(Q183="",AA183="Yes"),"",IF(Q183='G-1 All Habitats'!$X$9,E183-U183-V183,"None"))</f>
        <v/>
      </c>
      <c r="AF183" s="55" t="str">
        <f>IF(Q183="","",IF(Q183='G-1 All Habitats'!$X$9,AE183*G183*I183*L183*N183*P183,"None"))</f>
        <v/>
      </c>
      <c r="AI183" s="30">
        <f t="shared" si="26"/>
        <v>0</v>
      </c>
      <c r="AJ183" s="107" t="str">
        <f t="shared" si="27"/>
        <v/>
      </c>
      <c r="AK183" s="107" t="str">
        <f t="shared" si="28"/>
        <v/>
      </c>
      <c r="AM183" s="107">
        <v>174</v>
      </c>
      <c r="AO183" s="107" t="str">
        <f t="array" ref="AO183">IFERROR(INDEX($AM$10:$AM$258,MATCH(0,IF(TRUE=$AJ$10:$AJ$258,COUNTIF($AO$9:$AO182,$AM$10:$AM$258),""),0)),"")</f>
        <v/>
      </c>
      <c r="AP183" s="107" t="str">
        <f t="array" ref="AP183">IFERROR(INDEX($AM$10:$AM$258,MATCH(0,IF(TRUE=$AK$10:$AK$258,COUNTIF($AP$9:$AP182,$AM$10:$AM$258),""),0)),"")</f>
        <v/>
      </c>
      <c r="AR183" s="30" t="str">
        <f>IFERROR(INDEX('G-7 WaterC'' Data'!$AZ$3:$AZ$7,MATCH(D183,'G-7 WaterC'' Data'!$AY$3:$AY$7,0)),"")</f>
        <v/>
      </c>
      <c r="AS183" s="30" t="str">
        <f>IFERROR(INDEX('G-7 WaterC'' Data'!AZ183:AZ187,MATCH(D183,'G-7 WaterC'' Data'!$AY$10:$AY$14,0)),"")</f>
        <v/>
      </c>
      <c r="AT183" s="885" t="str">
        <f>IF(AND(OR(AA183="Yes",AA183="Pending"),Q183='G-7 WaterC'' Data'!$G$4),R183-W183-X183,"")</f>
        <v/>
      </c>
      <c r="AU183" s="30" t="str">
        <f>IF(D183="","",VLOOKUP(D183,'G-7 WaterC'' Data'!B$4:M$8,12,FALSE))</f>
        <v/>
      </c>
      <c r="AV183" s="30" t="str">
        <f t="shared" si="20"/>
        <v/>
      </c>
      <c r="AX183" s="30" t="str">
        <f t="shared" si="29"/>
        <v>No</v>
      </c>
    </row>
    <row r="184" spans="3:50" ht="14" hidden="1">
      <c r="C184" s="97">
        <v>175</v>
      </c>
      <c r="D184" s="261"/>
      <c r="E184" s="115"/>
      <c r="F184" s="275" t="str">
        <f>IF(D184="","",VLOOKUP(D184,'G-7 WaterC'' Data'!$B$2:$G$8,2,FALSE))</f>
        <v/>
      </c>
      <c r="G184" s="276" t="str">
        <f>IFERROR(VLOOKUP(F184,'G-7 WaterC'' Data'!$C$4:$D$8,2,FALSE),"")</f>
        <v/>
      </c>
      <c r="H184" s="52"/>
      <c r="I184" s="276" t="str">
        <f>IFERROR(INDEX('G-7 WaterC'' Data'!$H$4:$L$8,MATCH(D184,'G-7 WaterC'' Data'!$B$4:$B$8,0),MATCH(H184,'G-7 WaterC'' Data'!$H$3:$L$3,0)),"")</f>
        <v/>
      </c>
      <c r="J184" s="777"/>
      <c r="K184" s="311" t="str">
        <f>IF(J184="","",IF(VLOOKUP(J184,'G-7 WaterC'' Data'!$AK$4:$AM$6,2,FALSE)=0,"Spatial Data Missing ⚠",VLOOKUP(J184,'G-7 WaterC'' Data'!$AK$4:$AM$6,2,FALSE)))</f>
        <v/>
      </c>
      <c r="L184" s="281" t="str">
        <f>IF(J184="","",IF(VLOOKUP(J184,'G-7 WaterC'' Data'!$AK$4:$AM$9,3,FALSE)=0,"Spatial Data Missing ⚠",VLOOKUP(J184,'G-7 WaterC'' Data'!$AK$4:$AM$6,3,FALSE)))</f>
        <v/>
      </c>
      <c r="M184" s="52"/>
      <c r="N184" s="276" t="str">
        <f>IF(M184="","",IF(AND(D184&lt;&gt;"Culvert",M184="N/A - Culvert"),"Not possible ▲",IF(AND(D184="Culvert",M184&lt;&gt;"N/A - Culvert"),"Not possible ▲",IF(VLOOKUP(M184,'G-7 WaterC'' Data'!$AA$4:$AB$7,2,FALSE)=0,"Spatial Data Missing ⚠",VLOOKUP(M184,'G-7 WaterC'' Data'!$AA$4:$AB$7,2,FALSE)))))</f>
        <v/>
      </c>
      <c r="O184" s="56"/>
      <c r="P184" s="276" t="str">
        <f>IF(O184="","",IF(AND(O184="N/A - Culvert",D184&lt;&gt;"Culvert"),"Not possible ▲",IF(AND(D184="Culvert",O184&lt;&gt;"N/A - Culvert"),"Not possible ▲",IF(VLOOKUP(O184,'G-7 WaterC'' Data'!$AD$4:$AE$14,2,FALSE)=0,"Spatial Data Missing ⚠",VLOOKUP(O184,'G-7 WaterC'' Data'!$AD$4:$AE$14,2,FALSE)))))</f>
        <v/>
      </c>
      <c r="Q184" s="282" t="str">
        <f>IF(D184="","",VLOOKUP(D184,'G-7 WaterC'' Data'!$B$2:$G$8,6,FALSE))</f>
        <v/>
      </c>
      <c r="R184" s="289" t="str">
        <f t="shared" si="21"/>
        <v xml:space="preserve"> </v>
      </c>
      <c r="S184" s="803" t="str">
        <f t="shared" si="22"/>
        <v/>
      </c>
      <c r="T184" s="32"/>
      <c r="U184" s="101"/>
      <c r="V184" s="108"/>
      <c r="W184" s="287" t="str">
        <f t="shared" si="23"/>
        <v/>
      </c>
      <c r="X184" s="287" t="str">
        <f t="shared" si="24"/>
        <v/>
      </c>
      <c r="Y184" s="287" t="str">
        <f t="shared" si="25"/>
        <v/>
      </c>
      <c r="Z184" s="317" t="str">
        <f>IFERROR(IF(OR(E184="",R184=""),"",IF(AND(Q184='G-7 WaterC'' Data'!$G$4,AA184="Yes"),"Alternative Compensation ✓",IF(AND(AA184="Pending",Q184='G-7 WaterC'' Data'!$G$4),"Bespoke compensation must be agreed ▲",IF((W184+X184)&gt;=R184,0,R184-W184-X184)))),"Check Data ⚠")</f>
        <v/>
      </c>
      <c r="AA184" s="800"/>
      <c r="AB184" s="136"/>
      <c r="AC184" s="104"/>
      <c r="AD184" s="104"/>
      <c r="AE184" s="54" t="str">
        <f>IF(OR(Q184="",AA184="Yes"),"",IF(Q184='G-1 All Habitats'!$X$9,E184-U184-V184,"None"))</f>
        <v/>
      </c>
      <c r="AF184" s="55" t="str">
        <f>IF(Q184="","",IF(Q184='G-1 All Habitats'!$X$9,AE184*G184*I184*L184*N184*P184,"None"))</f>
        <v/>
      </c>
      <c r="AI184" s="30">
        <f t="shared" si="26"/>
        <v>0</v>
      </c>
      <c r="AJ184" s="107" t="str">
        <f t="shared" si="27"/>
        <v/>
      </c>
      <c r="AK184" s="107" t="str">
        <f t="shared" si="28"/>
        <v/>
      </c>
      <c r="AM184" s="107">
        <v>175</v>
      </c>
      <c r="AO184" s="107" t="str">
        <f t="array" ref="AO184">IFERROR(INDEX($AM$10:$AM$258,MATCH(0,IF(TRUE=$AJ$10:$AJ$258,COUNTIF($AO$9:$AO183,$AM$10:$AM$258),""),0)),"")</f>
        <v/>
      </c>
      <c r="AP184" s="107" t="str">
        <f t="array" ref="AP184">IFERROR(INDEX($AM$10:$AM$258,MATCH(0,IF(TRUE=$AK$10:$AK$258,COUNTIF($AP$9:$AP183,$AM$10:$AM$258),""),0)),"")</f>
        <v/>
      </c>
      <c r="AR184" s="30" t="str">
        <f>IFERROR(INDEX('G-7 WaterC'' Data'!$AZ$3:$AZ$7,MATCH(D184,'G-7 WaterC'' Data'!$AY$3:$AY$7,0)),"")</f>
        <v/>
      </c>
      <c r="AS184" s="30" t="str">
        <f>IFERROR(INDEX('G-7 WaterC'' Data'!AZ184:AZ188,MATCH(D184,'G-7 WaterC'' Data'!$AY$10:$AY$14,0)),"")</f>
        <v/>
      </c>
      <c r="AT184" s="885" t="str">
        <f>IF(AND(OR(AA184="Yes",AA184="Pending"),Q184='G-7 WaterC'' Data'!$G$4),R184-W184-X184,"")</f>
        <v/>
      </c>
      <c r="AU184" s="30" t="str">
        <f>IF(D184="","",VLOOKUP(D184,'G-7 WaterC'' Data'!B$4:M$8,12,FALSE))</f>
        <v/>
      </c>
      <c r="AV184" s="30" t="str">
        <f t="shared" si="20"/>
        <v/>
      </c>
      <c r="AX184" s="30" t="str">
        <f t="shared" si="29"/>
        <v>No</v>
      </c>
    </row>
    <row r="185" spans="3:50" ht="14" hidden="1">
      <c r="C185" s="97">
        <v>176</v>
      </c>
      <c r="D185" s="261"/>
      <c r="E185" s="115"/>
      <c r="F185" s="275" t="str">
        <f>IF(D185="","",VLOOKUP(D185,'G-7 WaterC'' Data'!$B$2:$G$8,2,FALSE))</f>
        <v/>
      </c>
      <c r="G185" s="276" t="str">
        <f>IFERROR(VLOOKUP(F185,'G-7 WaterC'' Data'!$C$4:$D$8,2,FALSE),"")</f>
        <v/>
      </c>
      <c r="H185" s="52"/>
      <c r="I185" s="276" t="str">
        <f>IFERROR(INDEX('G-7 WaterC'' Data'!$H$4:$L$8,MATCH(D185,'G-7 WaterC'' Data'!$B$4:$B$8,0),MATCH(H185,'G-7 WaterC'' Data'!$H$3:$L$3,0)),"")</f>
        <v/>
      </c>
      <c r="J185" s="777"/>
      <c r="K185" s="311" t="str">
        <f>IF(J185="","",IF(VLOOKUP(J185,'G-7 WaterC'' Data'!$AK$4:$AM$6,2,FALSE)=0,"Spatial Data Missing ⚠",VLOOKUP(J185,'G-7 WaterC'' Data'!$AK$4:$AM$6,2,FALSE)))</f>
        <v/>
      </c>
      <c r="L185" s="281" t="str">
        <f>IF(J185="","",IF(VLOOKUP(J185,'G-7 WaterC'' Data'!$AK$4:$AM$9,3,FALSE)=0,"Spatial Data Missing ⚠",VLOOKUP(J185,'G-7 WaterC'' Data'!$AK$4:$AM$6,3,FALSE)))</f>
        <v/>
      </c>
      <c r="M185" s="52"/>
      <c r="N185" s="276" t="str">
        <f>IF(M185="","",IF(AND(D185&lt;&gt;"Culvert",M185="N/A - Culvert"),"Not possible ▲",IF(AND(D185="Culvert",M185&lt;&gt;"N/A - Culvert"),"Not possible ▲",IF(VLOOKUP(M185,'G-7 WaterC'' Data'!$AA$4:$AB$7,2,FALSE)=0,"Spatial Data Missing ⚠",VLOOKUP(M185,'G-7 WaterC'' Data'!$AA$4:$AB$7,2,FALSE)))))</f>
        <v/>
      </c>
      <c r="O185" s="56"/>
      <c r="P185" s="276" t="str">
        <f>IF(O185="","",IF(AND(O185="N/A - Culvert",D185&lt;&gt;"Culvert"),"Not possible ▲",IF(AND(D185="Culvert",O185&lt;&gt;"N/A - Culvert"),"Not possible ▲",IF(VLOOKUP(O185,'G-7 WaterC'' Data'!$AD$4:$AE$14,2,FALSE)=0,"Spatial Data Missing ⚠",VLOOKUP(O185,'G-7 WaterC'' Data'!$AD$4:$AE$14,2,FALSE)))))</f>
        <v/>
      </c>
      <c r="Q185" s="282" t="str">
        <f>IF(D185="","",VLOOKUP(D185,'G-7 WaterC'' Data'!$B$2:$G$8,6,FALSE))</f>
        <v/>
      </c>
      <c r="R185" s="289" t="str">
        <f t="shared" si="21"/>
        <v xml:space="preserve"> </v>
      </c>
      <c r="S185" s="803" t="str">
        <f t="shared" si="22"/>
        <v/>
      </c>
      <c r="T185" s="32"/>
      <c r="U185" s="101"/>
      <c r="V185" s="108"/>
      <c r="W185" s="287" t="str">
        <f t="shared" si="23"/>
        <v/>
      </c>
      <c r="X185" s="287" t="str">
        <f t="shared" si="24"/>
        <v/>
      </c>
      <c r="Y185" s="287" t="str">
        <f t="shared" si="25"/>
        <v/>
      </c>
      <c r="Z185" s="317" t="str">
        <f>IFERROR(IF(OR(E185="",R185=""),"",IF(AND(Q185='G-7 WaterC'' Data'!$G$4,AA185="Yes"),"Alternative Compensation ✓",IF(AND(AA185="Pending",Q185='G-7 WaterC'' Data'!$G$4),"Bespoke compensation must be agreed ▲",IF((W185+X185)&gt;=R185,0,R185-W185-X185)))),"Check Data ⚠")</f>
        <v/>
      </c>
      <c r="AA185" s="800"/>
      <c r="AB185" s="136"/>
      <c r="AC185" s="104"/>
      <c r="AD185" s="104"/>
      <c r="AE185" s="54" t="str">
        <f>IF(OR(Q185="",AA185="Yes"),"",IF(Q185='G-1 All Habitats'!$X$9,E185-U185-V185,"None"))</f>
        <v/>
      </c>
      <c r="AF185" s="55" t="str">
        <f>IF(Q185="","",IF(Q185='G-1 All Habitats'!$X$9,AE185*G185*I185*L185*N185*P185,"None"))</f>
        <v/>
      </c>
      <c r="AI185" s="30">
        <f t="shared" si="26"/>
        <v>0</v>
      </c>
      <c r="AJ185" s="107" t="str">
        <f t="shared" si="27"/>
        <v/>
      </c>
      <c r="AK185" s="107" t="str">
        <f t="shared" si="28"/>
        <v/>
      </c>
      <c r="AM185" s="107">
        <v>176</v>
      </c>
      <c r="AO185" s="107" t="str">
        <f t="array" ref="AO185">IFERROR(INDEX($AM$10:$AM$258,MATCH(0,IF(TRUE=$AJ$10:$AJ$258,COUNTIF($AO$9:$AO184,$AM$10:$AM$258),""),0)),"")</f>
        <v/>
      </c>
      <c r="AP185" s="107" t="str">
        <f t="array" ref="AP185">IFERROR(INDEX($AM$10:$AM$258,MATCH(0,IF(TRUE=$AK$10:$AK$258,COUNTIF($AP$9:$AP184,$AM$10:$AM$258),""),0)),"")</f>
        <v/>
      </c>
      <c r="AR185" s="30" t="str">
        <f>IFERROR(INDEX('G-7 WaterC'' Data'!$AZ$3:$AZ$7,MATCH(D185,'G-7 WaterC'' Data'!$AY$3:$AY$7,0)),"")</f>
        <v/>
      </c>
      <c r="AS185" s="30" t="str">
        <f>IFERROR(INDEX('G-7 WaterC'' Data'!AZ185:AZ189,MATCH(D185,'G-7 WaterC'' Data'!$AY$10:$AY$14,0)),"")</f>
        <v/>
      </c>
      <c r="AT185" s="885" t="str">
        <f>IF(AND(OR(AA185="Yes",AA185="Pending"),Q185='G-7 WaterC'' Data'!$G$4),R185-W185-X185,"")</f>
        <v/>
      </c>
      <c r="AU185" s="30" t="str">
        <f>IF(D185="","",VLOOKUP(D185,'G-7 WaterC'' Data'!B$4:M$8,12,FALSE))</f>
        <v/>
      </c>
      <c r="AV185" s="30" t="str">
        <f t="shared" si="20"/>
        <v/>
      </c>
      <c r="AX185" s="30" t="str">
        <f t="shared" si="29"/>
        <v>No</v>
      </c>
    </row>
    <row r="186" spans="3:50" ht="14" hidden="1">
      <c r="C186" s="97">
        <v>177</v>
      </c>
      <c r="D186" s="261"/>
      <c r="E186" s="115"/>
      <c r="F186" s="275" t="str">
        <f>IF(D186="","",VLOOKUP(D186,'G-7 WaterC'' Data'!$B$2:$G$8,2,FALSE))</f>
        <v/>
      </c>
      <c r="G186" s="276" t="str">
        <f>IFERROR(VLOOKUP(F186,'G-7 WaterC'' Data'!$C$4:$D$8,2,FALSE),"")</f>
        <v/>
      </c>
      <c r="H186" s="52"/>
      <c r="I186" s="276" t="str">
        <f>IFERROR(INDEX('G-7 WaterC'' Data'!$H$4:$L$8,MATCH(D186,'G-7 WaterC'' Data'!$B$4:$B$8,0),MATCH(H186,'G-7 WaterC'' Data'!$H$3:$L$3,0)),"")</f>
        <v/>
      </c>
      <c r="J186" s="777"/>
      <c r="K186" s="311" t="str">
        <f>IF(J186="","",IF(VLOOKUP(J186,'G-7 WaterC'' Data'!$AK$4:$AM$6,2,FALSE)=0,"Spatial Data Missing ⚠",VLOOKUP(J186,'G-7 WaterC'' Data'!$AK$4:$AM$6,2,FALSE)))</f>
        <v/>
      </c>
      <c r="L186" s="281" t="str">
        <f>IF(J186="","",IF(VLOOKUP(J186,'G-7 WaterC'' Data'!$AK$4:$AM$9,3,FALSE)=0,"Spatial Data Missing ⚠",VLOOKUP(J186,'G-7 WaterC'' Data'!$AK$4:$AM$6,3,FALSE)))</f>
        <v/>
      </c>
      <c r="M186" s="52"/>
      <c r="N186" s="276" t="str">
        <f>IF(M186="","",IF(AND(D186&lt;&gt;"Culvert",M186="N/A - Culvert"),"Not possible ▲",IF(AND(D186="Culvert",M186&lt;&gt;"N/A - Culvert"),"Not possible ▲",IF(VLOOKUP(M186,'G-7 WaterC'' Data'!$AA$4:$AB$7,2,FALSE)=0,"Spatial Data Missing ⚠",VLOOKUP(M186,'G-7 WaterC'' Data'!$AA$4:$AB$7,2,FALSE)))))</f>
        <v/>
      </c>
      <c r="O186" s="56"/>
      <c r="P186" s="276" t="str">
        <f>IF(O186="","",IF(AND(O186="N/A - Culvert",D186&lt;&gt;"Culvert"),"Not possible ▲",IF(AND(D186="Culvert",O186&lt;&gt;"N/A - Culvert"),"Not possible ▲",IF(VLOOKUP(O186,'G-7 WaterC'' Data'!$AD$4:$AE$14,2,FALSE)=0,"Spatial Data Missing ⚠",VLOOKUP(O186,'G-7 WaterC'' Data'!$AD$4:$AE$14,2,FALSE)))))</f>
        <v/>
      </c>
      <c r="Q186" s="282" t="str">
        <f>IF(D186="","",VLOOKUP(D186,'G-7 WaterC'' Data'!$B$2:$G$8,6,FALSE))</f>
        <v/>
      </c>
      <c r="R186" s="289" t="str">
        <f t="shared" si="21"/>
        <v xml:space="preserve"> </v>
      </c>
      <c r="S186" s="803" t="str">
        <f t="shared" si="22"/>
        <v/>
      </c>
      <c r="T186" s="32"/>
      <c r="U186" s="101"/>
      <c r="V186" s="108"/>
      <c r="W186" s="287" t="str">
        <f t="shared" si="23"/>
        <v/>
      </c>
      <c r="X186" s="287" t="str">
        <f t="shared" si="24"/>
        <v/>
      </c>
      <c r="Y186" s="287" t="str">
        <f t="shared" si="25"/>
        <v/>
      </c>
      <c r="Z186" s="317" t="str">
        <f>IFERROR(IF(OR(E186="",R186=""),"",IF(AND(Q186='G-7 WaterC'' Data'!$G$4,AA186="Yes"),"Alternative Compensation ✓",IF(AND(AA186="Pending",Q186='G-7 WaterC'' Data'!$G$4),"Bespoke compensation must be agreed ▲",IF((W186+X186)&gt;=R186,0,R186-W186-X186)))),"Check Data ⚠")</f>
        <v/>
      </c>
      <c r="AA186" s="800"/>
      <c r="AB186" s="136"/>
      <c r="AC186" s="104"/>
      <c r="AD186" s="104"/>
      <c r="AE186" s="54" t="str">
        <f>IF(OR(Q186="",AA186="Yes"),"",IF(Q186='G-1 All Habitats'!$X$9,E186-U186-V186,"None"))</f>
        <v/>
      </c>
      <c r="AF186" s="55" t="str">
        <f>IF(Q186="","",IF(Q186='G-1 All Habitats'!$X$9,AE186*G186*I186*L186*N186*P186,"None"))</f>
        <v/>
      </c>
      <c r="AI186" s="30">
        <f t="shared" si="26"/>
        <v>0</v>
      </c>
      <c r="AJ186" s="107" t="str">
        <f t="shared" si="27"/>
        <v/>
      </c>
      <c r="AK186" s="107" t="str">
        <f t="shared" si="28"/>
        <v/>
      </c>
      <c r="AM186" s="107">
        <v>177</v>
      </c>
      <c r="AO186" s="107" t="str">
        <f t="array" ref="AO186">IFERROR(INDEX($AM$10:$AM$258,MATCH(0,IF(TRUE=$AJ$10:$AJ$258,COUNTIF($AO$9:$AO185,$AM$10:$AM$258),""),0)),"")</f>
        <v/>
      </c>
      <c r="AP186" s="107" t="str">
        <f t="array" ref="AP186">IFERROR(INDEX($AM$10:$AM$258,MATCH(0,IF(TRUE=$AK$10:$AK$258,COUNTIF($AP$9:$AP185,$AM$10:$AM$258),""),0)),"")</f>
        <v/>
      </c>
      <c r="AR186" s="30" t="str">
        <f>IFERROR(INDEX('G-7 WaterC'' Data'!$AZ$3:$AZ$7,MATCH(D186,'G-7 WaterC'' Data'!$AY$3:$AY$7,0)),"")</f>
        <v/>
      </c>
      <c r="AS186" s="30" t="str">
        <f>IFERROR(INDEX('G-7 WaterC'' Data'!AZ186:AZ190,MATCH(D186,'G-7 WaterC'' Data'!$AY$10:$AY$14,0)),"")</f>
        <v/>
      </c>
      <c r="AT186" s="885" t="str">
        <f>IF(AND(OR(AA186="Yes",AA186="Pending"),Q186='G-7 WaterC'' Data'!$G$4),R186-W186-X186,"")</f>
        <v/>
      </c>
      <c r="AU186" s="30" t="str">
        <f>IF(D186="","",VLOOKUP(D186,'G-7 WaterC'' Data'!B$4:M$8,12,FALSE))</f>
        <v/>
      </c>
      <c r="AV186" s="30" t="str">
        <f t="shared" si="20"/>
        <v/>
      </c>
      <c r="AX186" s="30" t="str">
        <f t="shared" si="29"/>
        <v>No</v>
      </c>
    </row>
    <row r="187" spans="3:50" ht="14" hidden="1">
      <c r="C187" s="97">
        <v>178</v>
      </c>
      <c r="D187" s="261"/>
      <c r="E187" s="115"/>
      <c r="F187" s="275" t="str">
        <f>IF(D187="","",VLOOKUP(D187,'G-7 WaterC'' Data'!$B$2:$G$8,2,FALSE))</f>
        <v/>
      </c>
      <c r="G187" s="276" t="str">
        <f>IFERROR(VLOOKUP(F187,'G-7 WaterC'' Data'!$C$4:$D$8,2,FALSE),"")</f>
        <v/>
      </c>
      <c r="H187" s="52"/>
      <c r="I187" s="276" t="str">
        <f>IFERROR(INDEX('G-7 WaterC'' Data'!$H$4:$L$8,MATCH(D187,'G-7 WaterC'' Data'!$B$4:$B$8,0),MATCH(H187,'G-7 WaterC'' Data'!$H$3:$L$3,0)),"")</f>
        <v/>
      </c>
      <c r="J187" s="777"/>
      <c r="K187" s="311" t="str">
        <f>IF(J187="","",IF(VLOOKUP(J187,'G-7 WaterC'' Data'!$AK$4:$AM$6,2,FALSE)=0,"Spatial Data Missing ⚠",VLOOKUP(J187,'G-7 WaterC'' Data'!$AK$4:$AM$6,2,FALSE)))</f>
        <v/>
      </c>
      <c r="L187" s="281" t="str">
        <f>IF(J187="","",IF(VLOOKUP(J187,'G-7 WaterC'' Data'!$AK$4:$AM$9,3,FALSE)=0,"Spatial Data Missing ⚠",VLOOKUP(J187,'G-7 WaterC'' Data'!$AK$4:$AM$6,3,FALSE)))</f>
        <v/>
      </c>
      <c r="M187" s="52"/>
      <c r="N187" s="276" t="str">
        <f>IF(M187="","",IF(AND(D187&lt;&gt;"Culvert",M187="N/A - Culvert"),"Not possible ▲",IF(AND(D187="Culvert",M187&lt;&gt;"N/A - Culvert"),"Not possible ▲",IF(VLOOKUP(M187,'G-7 WaterC'' Data'!$AA$4:$AB$7,2,FALSE)=0,"Spatial Data Missing ⚠",VLOOKUP(M187,'G-7 WaterC'' Data'!$AA$4:$AB$7,2,FALSE)))))</f>
        <v/>
      </c>
      <c r="O187" s="56"/>
      <c r="P187" s="276" t="str">
        <f>IF(O187="","",IF(AND(O187="N/A - Culvert",D187&lt;&gt;"Culvert"),"Not possible ▲",IF(AND(D187="Culvert",O187&lt;&gt;"N/A - Culvert"),"Not possible ▲",IF(VLOOKUP(O187,'G-7 WaterC'' Data'!$AD$4:$AE$14,2,FALSE)=0,"Spatial Data Missing ⚠",VLOOKUP(O187,'G-7 WaterC'' Data'!$AD$4:$AE$14,2,FALSE)))))</f>
        <v/>
      </c>
      <c r="Q187" s="282" t="str">
        <f>IF(D187="","",VLOOKUP(D187,'G-7 WaterC'' Data'!$B$2:$G$8,6,FALSE))</f>
        <v/>
      </c>
      <c r="R187" s="289" t="str">
        <f t="shared" si="21"/>
        <v xml:space="preserve"> </v>
      </c>
      <c r="S187" s="803" t="str">
        <f t="shared" si="22"/>
        <v/>
      </c>
      <c r="T187" s="32"/>
      <c r="U187" s="101"/>
      <c r="V187" s="108"/>
      <c r="W187" s="287" t="str">
        <f t="shared" si="23"/>
        <v/>
      </c>
      <c r="X187" s="287" t="str">
        <f t="shared" si="24"/>
        <v/>
      </c>
      <c r="Y187" s="287" t="str">
        <f t="shared" si="25"/>
        <v/>
      </c>
      <c r="Z187" s="317" t="str">
        <f>IFERROR(IF(OR(E187="",R187=""),"",IF(AND(Q187='G-7 WaterC'' Data'!$G$4,AA187="Yes"),"Alternative Compensation ✓",IF(AND(AA187="Pending",Q187='G-7 WaterC'' Data'!$G$4),"Bespoke compensation must be agreed ▲",IF((W187+X187)&gt;=R187,0,R187-W187-X187)))),"Check Data ⚠")</f>
        <v/>
      </c>
      <c r="AA187" s="800"/>
      <c r="AB187" s="136"/>
      <c r="AC187" s="104"/>
      <c r="AD187" s="104"/>
      <c r="AE187" s="54" t="str">
        <f>IF(OR(Q187="",AA187="Yes"),"",IF(Q187='G-1 All Habitats'!$X$9,E187-U187-V187,"None"))</f>
        <v/>
      </c>
      <c r="AF187" s="55" t="str">
        <f>IF(Q187="","",IF(Q187='G-1 All Habitats'!$X$9,AE187*G187*I187*L187*N187*P187,"None"))</f>
        <v/>
      </c>
      <c r="AI187" s="30">
        <f t="shared" si="26"/>
        <v>0</v>
      </c>
      <c r="AJ187" s="107" t="str">
        <f t="shared" si="27"/>
        <v/>
      </c>
      <c r="AK187" s="107" t="str">
        <f t="shared" si="28"/>
        <v/>
      </c>
      <c r="AM187" s="107">
        <v>178</v>
      </c>
      <c r="AO187" s="107" t="str">
        <f t="array" ref="AO187">IFERROR(INDEX($AM$10:$AM$258,MATCH(0,IF(TRUE=$AJ$10:$AJ$258,COUNTIF($AO$9:$AO186,$AM$10:$AM$258),""),0)),"")</f>
        <v/>
      </c>
      <c r="AP187" s="107" t="str">
        <f t="array" ref="AP187">IFERROR(INDEX($AM$10:$AM$258,MATCH(0,IF(TRUE=$AK$10:$AK$258,COUNTIF($AP$9:$AP186,$AM$10:$AM$258),""),0)),"")</f>
        <v/>
      </c>
      <c r="AR187" s="30" t="str">
        <f>IFERROR(INDEX('G-7 WaterC'' Data'!$AZ$3:$AZ$7,MATCH(D187,'G-7 WaterC'' Data'!$AY$3:$AY$7,0)),"")</f>
        <v/>
      </c>
      <c r="AS187" s="30" t="str">
        <f>IFERROR(INDEX('G-7 WaterC'' Data'!AZ187:AZ191,MATCH(D187,'G-7 WaterC'' Data'!$AY$10:$AY$14,0)),"")</f>
        <v/>
      </c>
      <c r="AT187" s="885" t="str">
        <f>IF(AND(OR(AA187="Yes",AA187="Pending"),Q187='G-7 WaterC'' Data'!$G$4),R187-W187-X187,"")</f>
        <v/>
      </c>
      <c r="AU187" s="30" t="str">
        <f>IF(D187="","",VLOOKUP(D187,'G-7 WaterC'' Data'!B$4:M$8,12,FALSE))</f>
        <v/>
      </c>
      <c r="AV187" s="30" t="str">
        <f t="shared" si="20"/>
        <v/>
      </c>
      <c r="AX187" s="30" t="str">
        <f t="shared" si="29"/>
        <v>No</v>
      </c>
    </row>
    <row r="188" spans="3:50" ht="14" hidden="1">
      <c r="C188" s="97">
        <v>179</v>
      </c>
      <c r="D188" s="261"/>
      <c r="E188" s="115"/>
      <c r="F188" s="275" t="str">
        <f>IF(D188="","",VLOOKUP(D188,'G-7 WaterC'' Data'!$B$2:$G$8,2,FALSE))</f>
        <v/>
      </c>
      <c r="G188" s="276" t="str">
        <f>IFERROR(VLOOKUP(F188,'G-7 WaterC'' Data'!$C$4:$D$8,2,FALSE),"")</f>
        <v/>
      </c>
      <c r="H188" s="52"/>
      <c r="I188" s="276" t="str">
        <f>IFERROR(INDEX('G-7 WaterC'' Data'!$H$4:$L$8,MATCH(D188,'G-7 WaterC'' Data'!$B$4:$B$8,0),MATCH(H188,'G-7 WaterC'' Data'!$H$3:$L$3,0)),"")</f>
        <v/>
      </c>
      <c r="J188" s="777"/>
      <c r="K188" s="311" t="str">
        <f>IF(J188="","",IF(VLOOKUP(J188,'G-7 WaterC'' Data'!$AK$4:$AM$6,2,FALSE)=0,"Spatial Data Missing ⚠",VLOOKUP(J188,'G-7 WaterC'' Data'!$AK$4:$AM$6,2,FALSE)))</f>
        <v/>
      </c>
      <c r="L188" s="281" t="str">
        <f>IF(J188="","",IF(VLOOKUP(J188,'G-7 WaterC'' Data'!$AK$4:$AM$9,3,FALSE)=0,"Spatial Data Missing ⚠",VLOOKUP(J188,'G-7 WaterC'' Data'!$AK$4:$AM$6,3,FALSE)))</f>
        <v/>
      </c>
      <c r="M188" s="52"/>
      <c r="N188" s="276" t="str">
        <f>IF(M188="","",IF(AND(D188&lt;&gt;"Culvert",M188="N/A - Culvert"),"Not possible ▲",IF(AND(D188="Culvert",M188&lt;&gt;"N/A - Culvert"),"Not possible ▲",IF(VLOOKUP(M188,'G-7 WaterC'' Data'!$AA$4:$AB$7,2,FALSE)=0,"Spatial Data Missing ⚠",VLOOKUP(M188,'G-7 WaterC'' Data'!$AA$4:$AB$7,2,FALSE)))))</f>
        <v/>
      </c>
      <c r="O188" s="56"/>
      <c r="P188" s="276" t="str">
        <f>IF(O188="","",IF(AND(O188="N/A - Culvert",D188&lt;&gt;"Culvert"),"Not possible ▲",IF(AND(D188="Culvert",O188&lt;&gt;"N/A - Culvert"),"Not possible ▲",IF(VLOOKUP(O188,'G-7 WaterC'' Data'!$AD$4:$AE$14,2,FALSE)=0,"Spatial Data Missing ⚠",VLOOKUP(O188,'G-7 WaterC'' Data'!$AD$4:$AE$14,2,FALSE)))))</f>
        <v/>
      </c>
      <c r="Q188" s="282" t="str">
        <f>IF(D188="","",VLOOKUP(D188,'G-7 WaterC'' Data'!$B$2:$G$8,6,FALSE))</f>
        <v/>
      </c>
      <c r="R188" s="289" t="str">
        <f t="shared" si="21"/>
        <v xml:space="preserve"> </v>
      </c>
      <c r="S188" s="803" t="str">
        <f t="shared" si="22"/>
        <v/>
      </c>
      <c r="T188" s="32"/>
      <c r="U188" s="101"/>
      <c r="V188" s="108"/>
      <c r="W188" s="287" t="str">
        <f t="shared" si="23"/>
        <v/>
      </c>
      <c r="X188" s="287" t="str">
        <f t="shared" si="24"/>
        <v/>
      </c>
      <c r="Y188" s="287" t="str">
        <f t="shared" si="25"/>
        <v/>
      </c>
      <c r="Z188" s="317" t="str">
        <f>IFERROR(IF(OR(E188="",R188=""),"",IF(AND(Q188='G-7 WaterC'' Data'!$G$4,AA188="Yes"),"Alternative Compensation ✓",IF(AND(AA188="Pending",Q188='G-7 WaterC'' Data'!$G$4),"Bespoke compensation must be agreed ▲",IF((W188+X188)&gt;=R188,0,R188-W188-X188)))),"Check Data ⚠")</f>
        <v/>
      </c>
      <c r="AA188" s="800"/>
      <c r="AB188" s="136"/>
      <c r="AC188" s="104"/>
      <c r="AD188" s="104"/>
      <c r="AE188" s="54" t="str">
        <f>IF(OR(Q188="",AA188="Yes"),"",IF(Q188='G-1 All Habitats'!$X$9,E188-U188-V188,"None"))</f>
        <v/>
      </c>
      <c r="AF188" s="55" t="str">
        <f>IF(Q188="","",IF(Q188='G-1 All Habitats'!$X$9,AE188*G188*I188*L188*N188*P188,"None"))</f>
        <v/>
      </c>
      <c r="AI188" s="30">
        <f t="shared" si="26"/>
        <v>0</v>
      </c>
      <c r="AJ188" s="107" t="str">
        <f t="shared" si="27"/>
        <v/>
      </c>
      <c r="AK188" s="107" t="str">
        <f t="shared" si="28"/>
        <v/>
      </c>
      <c r="AM188" s="107">
        <v>179</v>
      </c>
      <c r="AO188" s="107" t="str">
        <f t="array" ref="AO188">IFERROR(INDEX($AM$10:$AM$258,MATCH(0,IF(TRUE=$AJ$10:$AJ$258,COUNTIF($AO$9:$AO187,$AM$10:$AM$258),""),0)),"")</f>
        <v/>
      </c>
      <c r="AP188" s="107" t="str">
        <f t="array" ref="AP188">IFERROR(INDEX($AM$10:$AM$258,MATCH(0,IF(TRUE=$AK$10:$AK$258,COUNTIF($AP$9:$AP187,$AM$10:$AM$258),""),0)),"")</f>
        <v/>
      </c>
      <c r="AR188" s="30" t="str">
        <f>IFERROR(INDEX('G-7 WaterC'' Data'!$AZ$3:$AZ$7,MATCH(D188,'G-7 WaterC'' Data'!$AY$3:$AY$7,0)),"")</f>
        <v/>
      </c>
      <c r="AS188" s="30" t="str">
        <f>IFERROR(INDEX('G-7 WaterC'' Data'!AZ188:AZ192,MATCH(D188,'G-7 WaterC'' Data'!$AY$10:$AY$14,0)),"")</f>
        <v/>
      </c>
      <c r="AT188" s="885" t="str">
        <f>IF(AND(OR(AA188="Yes",AA188="Pending"),Q188='G-7 WaterC'' Data'!$G$4),R188-W188-X188,"")</f>
        <v/>
      </c>
      <c r="AU188" s="30" t="str">
        <f>IF(D188="","",VLOOKUP(D188,'G-7 WaterC'' Data'!B$4:M$8,12,FALSE))</f>
        <v/>
      </c>
      <c r="AV188" s="30" t="str">
        <f t="shared" si="20"/>
        <v/>
      </c>
      <c r="AX188" s="30" t="str">
        <f t="shared" si="29"/>
        <v>No</v>
      </c>
    </row>
    <row r="189" spans="3:50" ht="14" hidden="1">
      <c r="C189" s="97">
        <v>180</v>
      </c>
      <c r="D189" s="261"/>
      <c r="E189" s="115"/>
      <c r="F189" s="275" t="str">
        <f>IF(D189="","",VLOOKUP(D189,'G-7 WaterC'' Data'!$B$2:$G$8,2,FALSE))</f>
        <v/>
      </c>
      <c r="G189" s="276" t="str">
        <f>IFERROR(VLOOKUP(F189,'G-7 WaterC'' Data'!$C$4:$D$8,2,FALSE),"")</f>
        <v/>
      </c>
      <c r="H189" s="52"/>
      <c r="I189" s="276" t="str">
        <f>IFERROR(INDEX('G-7 WaterC'' Data'!$H$4:$L$8,MATCH(D189,'G-7 WaterC'' Data'!$B$4:$B$8,0),MATCH(H189,'G-7 WaterC'' Data'!$H$3:$L$3,0)),"")</f>
        <v/>
      </c>
      <c r="J189" s="777"/>
      <c r="K189" s="311" t="str">
        <f>IF(J189="","",IF(VLOOKUP(J189,'G-7 WaterC'' Data'!$AK$4:$AM$6,2,FALSE)=0,"Spatial Data Missing ⚠",VLOOKUP(J189,'G-7 WaterC'' Data'!$AK$4:$AM$6,2,FALSE)))</f>
        <v/>
      </c>
      <c r="L189" s="281" t="str">
        <f>IF(J189="","",IF(VLOOKUP(J189,'G-7 WaterC'' Data'!$AK$4:$AM$9,3,FALSE)=0,"Spatial Data Missing ⚠",VLOOKUP(J189,'G-7 WaterC'' Data'!$AK$4:$AM$6,3,FALSE)))</f>
        <v/>
      </c>
      <c r="M189" s="52"/>
      <c r="N189" s="276" t="str">
        <f>IF(M189="","",IF(AND(D189&lt;&gt;"Culvert",M189="N/A - Culvert"),"Not possible ▲",IF(AND(D189="Culvert",M189&lt;&gt;"N/A - Culvert"),"Not possible ▲",IF(VLOOKUP(M189,'G-7 WaterC'' Data'!$AA$4:$AB$7,2,FALSE)=0,"Spatial Data Missing ⚠",VLOOKUP(M189,'G-7 WaterC'' Data'!$AA$4:$AB$7,2,FALSE)))))</f>
        <v/>
      </c>
      <c r="O189" s="56"/>
      <c r="P189" s="276" t="str">
        <f>IF(O189="","",IF(AND(O189="N/A - Culvert",D189&lt;&gt;"Culvert"),"Not possible ▲",IF(AND(D189="Culvert",O189&lt;&gt;"N/A - Culvert"),"Not possible ▲",IF(VLOOKUP(O189,'G-7 WaterC'' Data'!$AD$4:$AE$14,2,FALSE)=0,"Spatial Data Missing ⚠",VLOOKUP(O189,'G-7 WaterC'' Data'!$AD$4:$AE$14,2,FALSE)))))</f>
        <v/>
      </c>
      <c r="Q189" s="282" t="str">
        <f>IF(D189="","",VLOOKUP(D189,'G-7 WaterC'' Data'!$B$2:$G$8,6,FALSE))</f>
        <v/>
      </c>
      <c r="R189" s="289" t="str">
        <f t="shared" si="21"/>
        <v xml:space="preserve"> </v>
      </c>
      <c r="S189" s="803" t="str">
        <f t="shared" si="22"/>
        <v/>
      </c>
      <c r="T189" s="32"/>
      <c r="U189" s="101"/>
      <c r="V189" s="108"/>
      <c r="W189" s="287" t="str">
        <f t="shared" si="23"/>
        <v/>
      </c>
      <c r="X189" s="287" t="str">
        <f t="shared" si="24"/>
        <v/>
      </c>
      <c r="Y189" s="287" t="str">
        <f t="shared" si="25"/>
        <v/>
      </c>
      <c r="Z189" s="317" t="str">
        <f>IFERROR(IF(OR(E189="",R189=""),"",IF(AND(Q189='G-7 WaterC'' Data'!$G$4,AA189="Yes"),"Alternative Compensation ✓",IF(AND(AA189="Pending",Q189='G-7 WaterC'' Data'!$G$4),"Bespoke compensation must be agreed ▲",IF((W189+X189)&gt;=R189,0,R189-W189-X189)))),"Check Data ⚠")</f>
        <v/>
      </c>
      <c r="AA189" s="800"/>
      <c r="AB189" s="136"/>
      <c r="AC189" s="104"/>
      <c r="AD189" s="104"/>
      <c r="AE189" s="54" t="str">
        <f>IF(OR(Q189="",AA189="Yes"),"",IF(Q189='G-1 All Habitats'!$X$9,E189-U189-V189,"None"))</f>
        <v/>
      </c>
      <c r="AF189" s="55" t="str">
        <f>IF(Q189="","",IF(Q189='G-1 All Habitats'!$X$9,AE189*G189*I189*L189*N189*P189,"None"))</f>
        <v/>
      </c>
      <c r="AI189" s="30">
        <f t="shared" si="26"/>
        <v>0</v>
      </c>
      <c r="AJ189" s="107" t="str">
        <f t="shared" si="27"/>
        <v/>
      </c>
      <c r="AK189" s="107" t="str">
        <f t="shared" si="28"/>
        <v/>
      </c>
      <c r="AM189" s="107">
        <v>180</v>
      </c>
      <c r="AO189" s="107" t="str">
        <f t="array" ref="AO189">IFERROR(INDEX($AM$10:$AM$258,MATCH(0,IF(TRUE=$AJ$10:$AJ$258,COUNTIF($AO$9:$AO188,$AM$10:$AM$258),""),0)),"")</f>
        <v/>
      </c>
      <c r="AP189" s="107" t="str">
        <f t="array" ref="AP189">IFERROR(INDEX($AM$10:$AM$258,MATCH(0,IF(TRUE=$AK$10:$AK$258,COUNTIF($AP$9:$AP188,$AM$10:$AM$258),""),0)),"")</f>
        <v/>
      </c>
      <c r="AR189" s="30" t="str">
        <f>IFERROR(INDEX('G-7 WaterC'' Data'!$AZ$3:$AZ$7,MATCH(D189,'G-7 WaterC'' Data'!$AY$3:$AY$7,0)),"")</f>
        <v/>
      </c>
      <c r="AS189" s="30" t="str">
        <f>IFERROR(INDEX('G-7 WaterC'' Data'!AZ189:AZ193,MATCH(D189,'G-7 WaterC'' Data'!$AY$10:$AY$14,0)),"")</f>
        <v/>
      </c>
      <c r="AT189" s="885" t="str">
        <f>IF(AND(OR(AA189="Yes",AA189="Pending"),Q189='G-7 WaterC'' Data'!$G$4),R189-W189-X189,"")</f>
        <v/>
      </c>
      <c r="AU189" s="30" t="str">
        <f>IF(D189="","",VLOOKUP(D189,'G-7 WaterC'' Data'!B$4:M$8,12,FALSE))</f>
        <v/>
      </c>
      <c r="AV189" s="30" t="str">
        <f t="shared" si="20"/>
        <v/>
      </c>
      <c r="AX189" s="30" t="str">
        <f t="shared" si="29"/>
        <v>No</v>
      </c>
    </row>
    <row r="190" spans="3:50" ht="14" hidden="1">
      <c r="C190" s="97">
        <v>181</v>
      </c>
      <c r="D190" s="261"/>
      <c r="E190" s="115"/>
      <c r="F190" s="275" t="str">
        <f>IF(D190="","",VLOOKUP(D190,'G-7 WaterC'' Data'!$B$2:$G$8,2,FALSE))</f>
        <v/>
      </c>
      <c r="G190" s="276" t="str">
        <f>IFERROR(VLOOKUP(F190,'G-7 WaterC'' Data'!$C$4:$D$8,2,FALSE),"")</f>
        <v/>
      </c>
      <c r="H190" s="52"/>
      <c r="I190" s="276" t="str">
        <f>IFERROR(INDEX('G-7 WaterC'' Data'!$H$4:$L$8,MATCH(D190,'G-7 WaterC'' Data'!$B$4:$B$8,0),MATCH(H190,'G-7 WaterC'' Data'!$H$3:$L$3,0)),"")</f>
        <v/>
      </c>
      <c r="J190" s="777"/>
      <c r="K190" s="311" t="str">
        <f>IF(J190="","",IF(VLOOKUP(J190,'G-7 WaterC'' Data'!$AK$4:$AM$6,2,FALSE)=0,"Spatial Data Missing ⚠",VLOOKUP(J190,'G-7 WaterC'' Data'!$AK$4:$AM$6,2,FALSE)))</f>
        <v/>
      </c>
      <c r="L190" s="281" t="str">
        <f>IF(J190="","",IF(VLOOKUP(J190,'G-7 WaterC'' Data'!$AK$4:$AM$9,3,FALSE)=0,"Spatial Data Missing ⚠",VLOOKUP(J190,'G-7 WaterC'' Data'!$AK$4:$AM$6,3,FALSE)))</f>
        <v/>
      </c>
      <c r="M190" s="52"/>
      <c r="N190" s="276" t="str">
        <f>IF(M190="","",IF(AND(D190&lt;&gt;"Culvert",M190="N/A - Culvert"),"Not possible ▲",IF(AND(D190="Culvert",M190&lt;&gt;"N/A - Culvert"),"Not possible ▲",IF(VLOOKUP(M190,'G-7 WaterC'' Data'!$AA$4:$AB$7,2,FALSE)=0,"Spatial Data Missing ⚠",VLOOKUP(M190,'G-7 WaterC'' Data'!$AA$4:$AB$7,2,FALSE)))))</f>
        <v/>
      </c>
      <c r="O190" s="56"/>
      <c r="P190" s="276" t="str">
        <f>IF(O190="","",IF(AND(O190="N/A - Culvert",D190&lt;&gt;"Culvert"),"Not possible ▲",IF(AND(D190="Culvert",O190&lt;&gt;"N/A - Culvert"),"Not possible ▲",IF(VLOOKUP(O190,'G-7 WaterC'' Data'!$AD$4:$AE$14,2,FALSE)=0,"Spatial Data Missing ⚠",VLOOKUP(O190,'G-7 WaterC'' Data'!$AD$4:$AE$14,2,FALSE)))))</f>
        <v/>
      </c>
      <c r="Q190" s="282" t="str">
        <f>IF(D190="","",VLOOKUP(D190,'G-7 WaterC'' Data'!$B$2:$G$8,6,FALSE))</f>
        <v/>
      </c>
      <c r="R190" s="289" t="str">
        <f t="shared" si="21"/>
        <v xml:space="preserve"> </v>
      </c>
      <c r="S190" s="803" t="str">
        <f t="shared" si="22"/>
        <v/>
      </c>
      <c r="T190" s="32"/>
      <c r="U190" s="101"/>
      <c r="V190" s="108"/>
      <c r="W190" s="287" t="str">
        <f t="shared" si="23"/>
        <v/>
      </c>
      <c r="X190" s="287" t="str">
        <f t="shared" si="24"/>
        <v/>
      </c>
      <c r="Y190" s="287" t="str">
        <f t="shared" si="25"/>
        <v/>
      </c>
      <c r="Z190" s="317" t="str">
        <f>IFERROR(IF(OR(E190="",R190=""),"",IF(AND(Q190='G-7 WaterC'' Data'!$G$4,AA190="Yes"),"Alternative Compensation ✓",IF(AND(AA190="Pending",Q190='G-7 WaterC'' Data'!$G$4),"Bespoke compensation must be agreed ▲",IF((W190+X190)&gt;=R190,0,R190-W190-X190)))),"Check Data ⚠")</f>
        <v/>
      </c>
      <c r="AA190" s="800"/>
      <c r="AB190" s="136"/>
      <c r="AC190" s="104"/>
      <c r="AD190" s="104"/>
      <c r="AE190" s="54" t="str">
        <f>IF(OR(Q190="",AA190="Yes"),"",IF(Q190='G-1 All Habitats'!$X$9,E190-U190-V190,"None"))</f>
        <v/>
      </c>
      <c r="AF190" s="55" t="str">
        <f>IF(Q190="","",IF(Q190='G-1 All Habitats'!$X$9,AE190*G190*I190*L190*N190*P190,"None"))</f>
        <v/>
      </c>
      <c r="AI190" s="30">
        <f t="shared" si="26"/>
        <v>0</v>
      </c>
      <c r="AJ190" s="107" t="str">
        <f t="shared" si="27"/>
        <v/>
      </c>
      <c r="AK190" s="107" t="str">
        <f t="shared" si="28"/>
        <v/>
      </c>
      <c r="AM190" s="107">
        <v>181</v>
      </c>
      <c r="AO190" s="107" t="str">
        <f t="array" ref="AO190">IFERROR(INDEX($AM$10:$AM$258,MATCH(0,IF(TRUE=$AJ$10:$AJ$258,COUNTIF($AO$9:$AO189,$AM$10:$AM$258),""),0)),"")</f>
        <v/>
      </c>
      <c r="AP190" s="107" t="str">
        <f t="array" ref="AP190">IFERROR(INDEX($AM$10:$AM$258,MATCH(0,IF(TRUE=$AK$10:$AK$258,COUNTIF($AP$9:$AP189,$AM$10:$AM$258),""),0)),"")</f>
        <v/>
      </c>
      <c r="AR190" s="30" t="str">
        <f>IFERROR(INDEX('G-7 WaterC'' Data'!$AZ$3:$AZ$7,MATCH(D190,'G-7 WaterC'' Data'!$AY$3:$AY$7,0)),"")</f>
        <v/>
      </c>
      <c r="AS190" s="30" t="str">
        <f>IFERROR(INDEX('G-7 WaterC'' Data'!AZ190:AZ194,MATCH(D190,'G-7 WaterC'' Data'!$AY$10:$AY$14,0)),"")</f>
        <v/>
      </c>
      <c r="AT190" s="885" t="str">
        <f>IF(AND(OR(AA190="Yes",AA190="Pending"),Q190='G-7 WaterC'' Data'!$G$4),R190-W190-X190,"")</f>
        <v/>
      </c>
      <c r="AU190" s="30" t="str">
        <f>IF(D190="","",VLOOKUP(D190,'G-7 WaterC'' Data'!B$4:M$8,12,FALSE))</f>
        <v/>
      </c>
      <c r="AV190" s="30" t="str">
        <f t="shared" si="20"/>
        <v/>
      </c>
      <c r="AX190" s="30" t="str">
        <f t="shared" si="29"/>
        <v>No</v>
      </c>
    </row>
    <row r="191" spans="3:50" ht="14" hidden="1">
      <c r="C191" s="97">
        <v>182</v>
      </c>
      <c r="D191" s="261"/>
      <c r="E191" s="115"/>
      <c r="F191" s="275" t="str">
        <f>IF(D191="","",VLOOKUP(D191,'G-7 WaterC'' Data'!$B$2:$G$8,2,FALSE))</f>
        <v/>
      </c>
      <c r="G191" s="276" t="str">
        <f>IFERROR(VLOOKUP(F191,'G-7 WaterC'' Data'!$C$4:$D$8,2,FALSE),"")</f>
        <v/>
      </c>
      <c r="H191" s="52"/>
      <c r="I191" s="276" t="str">
        <f>IFERROR(INDEX('G-7 WaterC'' Data'!$H$4:$L$8,MATCH(D191,'G-7 WaterC'' Data'!$B$4:$B$8,0),MATCH(H191,'G-7 WaterC'' Data'!$H$3:$L$3,0)),"")</f>
        <v/>
      </c>
      <c r="J191" s="777"/>
      <c r="K191" s="311" t="str">
        <f>IF(J191="","",IF(VLOOKUP(J191,'G-7 WaterC'' Data'!$AK$4:$AM$6,2,FALSE)=0,"Spatial Data Missing ⚠",VLOOKUP(J191,'G-7 WaterC'' Data'!$AK$4:$AM$6,2,FALSE)))</f>
        <v/>
      </c>
      <c r="L191" s="281" t="str">
        <f>IF(J191="","",IF(VLOOKUP(J191,'G-7 WaterC'' Data'!$AK$4:$AM$9,3,FALSE)=0,"Spatial Data Missing ⚠",VLOOKUP(J191,'G-7 WaterC'' Data'!$AK$4:$AM$6,3,FALSE)))</f>
        <v/>
      </c>
      <c r="M191" s="52"/>
      <c r="N191" s="276" t="str">
        <f>IF(M191="","",IF(AND(D191&lt;&gt;"Culvert",M191="N/A - Culvert"),"Not possible ▲",IF(AND(D191="Culvert",M191&lt;&gt;"N/A - Culvert"),"Not possible ▲",IF(VLOOKUP(M191,'G-7 WaterC'' Data'!$AA$4:$AB$7,2,FALSE)=0,"Spatial Data Missing ⚠",VLOOKUP(M191,'G-7 WaterC'' Data'!$AA$4:$AB$7,2,FALSE)))))</f>
        <v/>
      </c>
      <c r="O191" s="56"/>
      <c r="P191" s="276" t="str">
        <f>IF(O191="","",IF(AND(O191="N/A - Culvert",D191&lt;&gt;"Culvert"),"Not possible ▲",IF(AND(D191="Culvert",O191&lt;&gt;"N/A - Culvert"),"Not possible ▲",IF(VLOOKUP(O191,'G-7 WaterC'' Data'!$AD$4:$AE$14,2,FALSE)=0,"Spatial Data Missing ⚠",VLOOKUP(O191,'G-7 WaterC'' Data'!$AD$4:$AE$14,2,FALSE)))))</f>
        <v/>
      </c>
      <c r="Q191" s="282" t="str">
        <f>IF(D191="","",VLOOKUP(D191,'G-7 WaterC'' Data'!$B$2:$G$8,6,FALSE))</f>
        <v/>
      </c>
      <c r="R191" s="289" t="str">
        <f t="shared" si="21"/>
        <v xml:space="preserve"> </v>
      </c>
      <c r="S191" s="803" t="str">
        <f t="shared" si="22"/>
        <v/>
      </c>
      <c r="T191" s="32"/>
      <c r="U191" s="101"/>
      <c r="V191" s="108"/>
      <c r="W191" s="287" t="str">
        <f t="shared" si="23"/>
        <v/>
      </c>
      <c r="X191" s="287" t="str">
        <f t="shared" si="24"/>
        <v/>
      </c>
      <c r="Y191" s="287" t="str">
        <f t="shared" si="25"/>
        <v/>
      </c>
      <c r="Z191" s="317" t="str">
        <f>IFERROR(IF(OR(E191="",R191=""),"",IF(AND(Q191='G-7 WaterC'' Data'!$G$4,AA191="Yes"),"Alternative Compensation ✓",IF(AND(AA191="Pending",Q191='G-7 WaterC'' Data'!$G$4),"Bespoke compensation must be agreed ▲",IF((W191+X191)&gt;=R191,0,R191-W191-X191)))),"Check Data ⚠")</f>
        <v/>
      </c>
      <c r="AA191" s="800"/>
      <c r="AB191" s="136"/>
      <c r="AC191" s="104"/>
      <c r="AD191" s="104"/>
      <c r="AE191" s="54" t="str">
        <f>IF(OR(Q191="",AA191="Yes"),"",IF(Q191='G-1 All Habitats'!$X$9,E191-U191-V191,"None"))</f>
        <v/>
      </c>
      <c r="AF191" s="55" t="str">
        <f>IF(Q191="","",IF(Q191='G-1 All Habitats'!$X$9,AE191*G191*I191*L191*N191*P191,"None"))</f>
        <v/>
      </c>
      <c r="AI191" s="30">
        <f t="shared" si="26"/>
        <v>0</v>
      </c>
      <c r="AJ191" s="107" t="str">
        <f t="shared" si="27"/>
        <v/>
      </c>
      <c r="AK191" s="107" t="str">
        <f t="shared" si="28"/>
        <v/>
      </c>
      <c r="AM191" s="107">
        <v>182</v>
      </c>
      <c r="AO191" s="107" t="str">
        <f t="array" ref="AO191">IFERROR(INDEX($AM$10:$AM$258,MATCH(0,IF(TRUE=$AJ$10:$AJ$258,COUNTIF($AO$9:$AO190,$AM$10:$AM$258),""),0)),"")</f>
        <v/>
      </c>
      <c r="AP191" s="107" t="str">
        <f t="array" ref="AP191">IFERROR(INDEX($AM$10:$AM$258,MATCH(0,IF(TRUE=$AK$10:$AK$258,COUNTIF($AP$9:$AP190,$AM$10:$AM$258),""),0)),"")</f>
        <v/>
      </c>
      <c r="AR191" s="30" t="str">
        <f>IFERROR(INDEX('G-7 WaterC'' Data'!$AZ$3:$AZ$7,MATCH(D191,'G-7 WaterC'' Data'!$AY$3:$AY$7,0)),"")</f>
        <v/>
      </c>
      <c r="AS191" s="30" t="str">
        <f>IFERROR(INDEX('G-7 WaterC'' Data'!AZ191:AZ195,MATCH(D191,'G-7 WaterC'' Data'!$AY$10:$AY$14,0)),"")</f>
        <v/>
      </c>
      <c r="AT191" s="885" t="str">
        <f>IF(AND(OR(AA191="Yes",AA191="Pending"),Q191='G-7 WaterC'' Data'!$G$4),R191-W191-X191,"")</f>
        <v/>
      </c>
      <c r="AU191" s="30" t="str">
        <f>IF(D191="","",VLOOKUP(D191,'G-7 WaterC'' Data'!B$4:M$8,12,FALSE))</f>
        <v/>
      </c>
      <c r="AV191" s="30" t="str">
        <f t="shared" si="20"/>
        <v/>
      </c>
      <c r="AX191" s="30" t="str">
        <f t="shared" si="29"/>
        <v>No</v>
      </c>
    </row>
    <row r="192" spans="3:50" ht="14" hidden="1">
      <c r="C192" s="97">
        <v>183</v>
      </c>
      <c r="D192" s="261"/>
      <c r="E192" s="115"/>
      <c r="F192" s="275" t="str">
        <f>IF(D192="","",VLOOKUP(D192,'G-7 WaterC'' Data'!$B$2:$G$8,2,FALSE))</f>
        <v/>
      </c>
      <c r="G192" s="276" t="str">
        <f>IFERROR(VLOOKUP(F192,'G-7 WaterC'' Data'!$C$4:$D$8,2,FALSE),"")</f>
        <v/>
      </c>
      <c r="H192" s="52"/>
      <c r="I192" s="276" t="str">
        <f>IFERROR(INDEX('G-7 WaterC'' Data'!$H$4:$L$8,MATCH(D192,'G-7 WaterC'' Data'!$B$4:$B$8,0),MATCH(H192,'G-7 WaterC'' Data'!$H$3:$L$3,0)),"")</f>
        <v/>
      </c>
      <c r="J192" s="777"/>
      <c r="K192" s="311" t="str">
        <f>IF(J192="","",IF(VLOOKUP(J192,'G-7 WaterC'' Data'!$AK$4:$AM$6,2,FALSE)=0,"Spatial Data Missing ⚠",VLOOKUP(J192,'G-7 WaterC'' Data'!$AK$4:$AM$6,2,FALSE)))</f>
        <v/>
      </c>
      <c r="L192" s="281" t="str">
        <f>IF(J192="","",IF(VLOOKUP(J192,'G-7 WaterC'' Data'!$AK$4:$AM$9,3,FALSE)=0,"Spatial Data Missing ⚠",VLOOKUP(J192,'G-7 WaterC'' Data'!$AK$4:$AM$6,3,FALSE)))</f>
        <v/>
      </c>
      <c r="M192" s="52"/>
      <c r="N192" s="276" t="str">
        <f>IF(M192="","",IF(AND(D192&lt;&gt;"Culvert",M192="N/A - Culvert"),"Not possible ▲",IF(AND(D192="Culvert",M192&lt;&gt;"N/A - Culvert"),"Not possible ▲",IF(VLOOKUP(M192,'G-7 WaterC'' Data'!$AA$4:$AB$7,2,FALSE)=0,"Spatial Data Missing ⚠",VLOOKUP(M192,'G-7 WaterC'' Data'!$AA$4:$AB$7,2,FALSE)))))</f>
        <v/>
      </c>
      <c r="O192" s="56"/>
      <c r="P192" s="276" t="str">
        <f>IF(O192="","",IF(AND(O192="N/A - Culvert",D192&lt;&gt;"Culvert"),"Not possible ▲",IF(AND(D192="Culvert",O192&lt;&gt;"N/A - Culvert"),"Not possible ▲",IF(VLOOKUP(O192,'G-7 WaterC'' Data'!$AD$4:$AE$14,2,FALSE)=0,"Spatial Data Missing ⚠",VLOOKUP(O192,'G-7 WaterC'' Data'!$AD$4:$AE$14,2,FALSE)))))</f>
        <v/>
      </c>
      <c r="Q192" s="282" t="str">
        <f>IF(D192="","",VLOOKUP(D192,'G-7 WaterC'' Data'!$B$2:$G$8,6,FALSE))</f>
        <v/>
      </c>
      <c r="R192" s="289" t="str">
        <f t="shared" si="21"/>
        <v xml:space="preserve"> </v>
      </c>
      <c r="S192" s="803" t="str">
        <f t="shared" si="22"/>
        <v/>
      </c>
      <c r="T192" s="32"/>
      <c r="U192" s="101"/>
      <c r="V192" s="108"/>
      <c r="W192" s="287" t="str">
        <f t="shared" si="23"/>
        <v/>
      </c>
      <c r="X192" s="287" t="str">
        <f t="shared" si="24"/>
        <v/>
      </c>
      <c r="Y192" s="287" t="str">
        <f t="shared" si="25"/>
        <v/>
      </c>
      <c r="Z192" s="317" t="str">
        <f>IFERROR(IF(OR(E192="",R192=""),"",IF(AND(Q192='G-7 WaterC'' Data'!$G$4,AA192="Yes"),"Alternative Compensation ✓",IF(AND(AA192="Pending",Q192='G-7 WaterC'' Data'!$G$4),"Bespoke compensation must be agreed ▲",IF((W192+X192)&gt;=R192,0,R192-W192-X192)))),"Check Data ⚠")</f>
        <v/>
      </c>
      <c r="AA192" s="800"/>
      <c r="AB192" s="136"/>
      <c r="AC192" s="104"/>
      <c r="AD192" s="104"/>
      <c r="AE192" s="54" t="str">
        <f>IF(OR(Q192="",AA192="Yes"),"",IF(Q192='G-1 All Habitats'!$X$9,E192-U192-V192,"None"))</f>
        <v/>
      </c>
      <c r="AF192" s="55" t="str">
        <f>IF(Q192="","",IF(Q192='G-1 All Habitats'!$X$9,AE192*G192*I192*L192*N192*P192,"None"))</f>
        <v/>
      </c>
      <c r="AI192" s="30">
        <f t="shared" si="26"/>
        <v>0</v>
      </c>
      <c r="AJ192" s="107" t="str">
        <f t="shared" si="27"/>
        <v/>
      </c>
      <c r="AK192" s="107" t="str">
        <f t="shared" si="28"/>
        <v/>
      </c>
      <c r="AM192" s="107">
        <v>183</v>
      </c>
      <c r="AO192" s="107" t="str">
        <f t="array" ref="AO192">IFERROR(INDEX($AM$10:$AM$258,MATCH(0,IF(TRUE=$AJ$10:$AJ$258,COUNTIF($AO$9:$AO191,$AM$10:$AM$258),""),0)),"")</f>
        <v/>
      </c>
      <c r="AP192" s="107" t="str">
        <f t="array" ref="AP192">IFERROR(INDEX($AM$10:$AM$258,MATCH(0,IF(TRUE=$AK$10:$AK$258,COUNTIF($AP$9:$AP191,$AM$10:$AM$258),""),0)),"")</f>
        <v/>
      </c>
      <c r="AR192" s="30" t="str">
        <f>IFERROR(INDEX('G-7 WaterC'' Data'!$AZ$3:$AZ$7,MATCH(D192,'G-7 WaterC'' Data'!$AY$3:$AY$7,0)),"")</f>
        <v/>
      </c>
      <c r="AS192" s="30" t="str">
        <f>IFERROR(INDEX('G-7 WaterC'' Data'!AZ192:AZ196,MATCH(D192,'G-7 WaterC'' Data'!$AY$10:$AY$14,0)),"")</f>
        <v/>
      </c>
      <c r="AT192" s="885" t="str">
        <f>IF(AND(OR(AA192="Yes",AA192="Pending"),Q192='G-7 WaterC'' Data'!$G$4),R192-W192-X192,"")</f>
        <v/>
      </c>
      <c r="AU192" s="30" t="str">
        <f>IF(D192="","",VLOOKUP(D192,'G-7 WaterC'' Data'!B$4:M$8,12,FALSE))</f>
        <v/>
      </c>
      <c r="AV192" s="30" t="str">
        <f t="shared" si="20"/>
        <v/>
      </c>
      <c r="AX192" s="30" t="str">
        <f t="shared" si="29"/>
        <v>No</v>
      </c>
    </row>
    <row r="193" spans="3:50" ht="14" hidden="1">
      <c r="C193" s="97">
        <v>184</v>
      </c>
      <c r="D193" s="261"/>
      <c r="E193" s="115"/>
      <c r="F193" s="275" t="str">
        <f>IF(D193="","",VLOOKUP(D193,'G-7 WaterC'' Data'!$B$2:$G$8,2,FALSE))</f>
        <v/>
      </c>
      <c r="G193" s="276" t="str">
        <f>IFERROR(VLOOKUP(F193,'G-7 WaterC'' Data'!$C$4:$D$8,2,FALSE),"")</f>
        <v/>
      </c>
      <c r="H193" s="52"/>
      <c r="I193" s="276" t="str">
        <f>IFERROR(INDEX('G-7 WaterC'' Data'!$H$4:$L$8,MATCH(D193,'G-7 WaterC'' Data'!$B$4:$B$8,0),MATCH(H193,'G-7 WaterC'' Data'!$H$3:$L$3,0)),"")</f>
        <v/>
      </c>
      <c r="J193" s="777"/>
      <c r="K193" s="311" t="str">
        <f>IF(J193="","",IF(VLOOKUP(J193,'G-7 WaterC'' Data'!$AK$4:$AM$6,2,FALSE)=0,"Spatial Data Missing ⚠",VLOOKUP(J193,'G-7 WaterC'' Data'!$AK$4:$AM$6,2,FALSE)))</f>
        <v/>
      </c>
      <c r="L193" s="281" t="str">
        <f>IF(J193="","",IF(VLOOKUP(J193,'G-7 WaterC'' Data'!$AK$4:$AM$9,3,FALSE)=0,"Spatial Data Missing ⚠",VLOOKUP(J193,'G-7 WaterC'' Data'!$AK$4:$AM$6,3,FALSE)))</f>
        <v/>
      </c>
      <c r="M193" s="52"/>
      <c r="N193" s="276" t="str">
        <f>IF(M193="","",IF(AND(D193&lt;&gt;"Culvert",M193="N/A - Culvert"),"Not possible ▲",IF(AND(D193="Culvert",M193&lt;&gt;"N/A - Culvert"),"Not possible ▲",IF(VLOOKUP(M193,'G-7 WaterC'' Data'!$AA$4:$AB$7,2,FALSE)=0,"Spatial Data Missing ⚠",VLOOKUP(M193,'G-7 WaterC'' Data'!$AA$4:$AB$7,2,FALSE)))))</f>
        <v/>
      </c>
      <c r="O193" s="56"/>
      <c r="P193" s="276" t="str">
        <f>IF(O193="","",IF(AND(O193="N/A - Culvert",D193&lt;&gt;"Culvert"),"Not possible ▲",IF(AND(D193="Culvert",O193&lt;&gt;"N/A - Culvert"),"Not possible ▲",IF(VLOOKUP(O193,'G-7 WaterC'' Data'!$AD$4:$AE$14,2,FALSE)=0,"Spatial Data Missing ⚠",VLOOKUP(O193,'G-7 WaterC'' Data'!$AD$4:$AE$14,2,FALSE)))))</f>
        <v/>
      </c>
      <c r="Q193" s="282" t="str">
        <f>IF(D193="","",VLOOKUP(D193,'G-7 WaterC'' Data'!$B$2:$G$8,6,FALSE))</f>
        <v/>
      </c>
      <c r="R193" s="289" t="str">
        <f t="shared" si="21"/>
        <v xml:space="preserve"> </v>
      </c>
      <c r="S193" s="803" t="str">
        <f t="shared" si="22"/>
        <v/>
      </c>
      <c r="T193" s="32"/>
      <c r="U193" s="101"/>
      <c r="V193" s="108"/>
      <c r="W193" s="287" t="str">
        <f t="shared" si="23"/>
        <v/>
      </c>
      <c r="X193" s="287" t="str">
        <f t="shared" si="24"/>
        <v/>
      </c>
      <c r="Y193" s="287" t="str">
        <f t="shared" si="25"/>
        <v/>
      </c>
      <c r="Z193" s="317" t="str">
        <f>IFERROR(IF(OR(E193="",R193=""),"",IF(AND(Q193='G-7 WaterC'' Data'!$G$4,AA193="Yes"),"Alternative Compensation ✓",IF(AND(AA193="Pending",Q193='G-7 WaterC'' Data'!$G$4),"Bespoke compensation must be agreed ▲",IF((W193+X193)&gt;=R193,0,R193-W193-X193)))),"Check Data ⚠")</f>
        <v/>
      </c>
      <c r="AA193" s="800"/>
      <c r="AB193" s="136"/>
      <c r="AC193" s="104"/>
      <c r="AD193" s="104"/>
      <c r="AE193" s="54" t="str">
        <f>IF(OR(Q193="",AA193="Yes"),"",IF(Q193='G-1 All Habitats'!$X$9,E193-U193-V193,"None"))</f>
        <v/>
      </c>
      <c r="AF193" s="55" t="str">
        <f>IF(Q193="","",IF(Q193='G-1 All Habitats'!$X$9,AE193*G193*I193*L193*N193*P193,"None"))</f>
        <v/>
      </c>
      <c r="AI193" s="30">
        <f t="shared" si="26"/>
        <v>0</v>
      </c>
      <c r="AJ193" s="107" t="str">
        <f t="shared" si="27"/>
        <v/>
      </c>
      <c r="AK193" s="107" t="str">
        <f t="shared" si="28"/>
        <v/>
      </c>
      <c r="AM193" s="107">
        <v>184</v>
      </c>
      <c r="AO193" s="107" t="str">
        <f t="array" ref="AO193">IFERROR(INDEX($AM$10:$AM$258,MATCH(0,IF(TRUE=$AJ$10:$AJ$258,COUNTIF($AO$9:$AO192,$AM$10:$AM$258),""),0)),"")</f>
        <v/>
      </c>
      <c r="AP193" s="107" t="str">
        <f t="array" ref="AP193">IFERROR(INDEX($AM$10:$AM$258,MATCH(0,IF(TRUE=$AK$10:$AK$258,COUNTIF($AP$9:$AP192,$AM$10:$AM$258),""),0)),"")</f>
        <v/>
      </c>
      <c r="AR193" s="30" t="str">
        <f>IFERROR(INDEX('G-7 WaterC'' Data'!$AZ$3:$AZ$7,MATCH(D193,'G-7 WaterC'' Data'!$AY$3:$AY$7,0)),"")</f>
        <v/>
      </c>
      <c r="AS193" s="30" t="str">
        <f>IFERROR(INDEX('G-7 WaterC'' Data'!AZ193:AZ197,MATCH(D193,'G-7 WaterC'' Data'!$AY$10:$AY$14,0)),"")</f>
        <v/>
      </c>
      <c r="AT193" s="885" t="str">
        <f>IF(AND(OR(AA193="Yes",AA193="Pending"),Q193='G-7 WaterC'' Data'!$G$4),R193-W193-X193,"")</f>
        <v/>
      </c>
      <c r="AU193" s="30" t="str">
        <f>IF(D193="","",VLOOKUP(D193,'G-7 WaterC'' Data'!B$4:M$8,12,FALSE))</f>
        <v/>
      </c>
      <c r="AV193" s="30" t="str">
        <f t="shared" si="20"/>
        <v/>
      </c>
      <c r="AX193" s="30" t="str">
        <f t="shared" si="29"/>
        <v>No</v>
      </c>
    </row>
    <row r="194" spans="3:50" ht="14" hidden="1">
      <c r="C194" s="97">
        <v>185</v>
      </c>
      <c r="D194" s="261"/>
      <c r="E194" s="115"/>
      <c r="F194" s="275" t="str">
        <f>IF(D194="","",VLOOKUP(D194,'G-7 WaterC'' Data'!$B$2:$G$8,2,FALSE))</f>
        <v/>
      </c>
      <c r="G194" s="276" t="str">
        <f>IFERROR(VLOOKUP(F194,'G-7 WaterC'' Data'!$C$4:$D$8,2,FALSE),"")</f>
        <v/>
      </c>
      <c r="H194" s="52"/>
      <c r="I194" s="276" t="str">
        <f>IFERROR(INDEX('G-7 WaterC'' Data'!$H$4:$L$8,MATCH(D194,'G-7 WaterC'' Data'!$B$4:$B$8,0),MATCH(H194,'G-7 WaterC'' Data'!$H$3:$L$3,0)),"")</f>
        <v/>
      </c>
      <c r="J194" s="777"/>
      <c r="K194" s="311" t="str">
        <f>IF(J194="","",IF(VLOOKUP(J194,'G-7 WaterC'' Data'!$AK$4:$AM$6,2,FALSE)=0,"Spatial Data Missing ⚠",VLOOKUP(J194,'G-7 WaterC'' Data'!$AK$4:$AM$6,2,FALSE)))</f>
        <v/>
      </c>
      <c r="L194" s="281" t="str">
        <f>IF(J194="","",IF(VLOOKUP(J194,'G-7 WaterC'' Data'!$AK$4:$AM$9,3,FALSE)=0,"Spatial Data Missing ⚠",VLOOKUP(J194,'G-7 WaterC'' Data'!$AK$4:$AM$6,3,FALSE)))</f>
        <v/>
      </c>
      <c r="M194" s="52"/>
      <c r="N194" s="276" t="str">
        <f>IF(M194="","",IF(AND(D194&lt;&gt;"Culvert",M194="N/A - Culvert"),"Not possible ▲",IF(AND(D194="Culvert",M194&lt;&gt;"N/A - Culvert"),"Not possible ▲",IF(VLOOKUP(M194,'G-7 WaterC'' Data'!$AA$4:$AB$7,2,FALSE)=0,"Spatial Data Missing ⚠",VLOOKUP(M194,'G-7 WaterC'' Data'!$AA$4:$AB$7,2,FALSE)))))</f>
        <v/>
      </c>
      <c r="O194" s="56"/>
      <c r="P194" s="276" t="str">
        <f>IF(O194="","",IF(AND(O194="N/A - Culvert",D194&lt;&gt;"Culvert"),"Not possible ▲",IF(AND(D194="Culvert",O194&lt;&gt;"N/A - Culvert"),"Not possible ▲",IF(VLOOKUP(O194,'G-7 WaterC'' Data'!$AD$4:$AE$14,2,FALSE)=0,"Spatial Data Missing ⚠",VLOOKUP(O194,'G-7 WaterC'' Data'!$AD$4:$AE$14,2,FALSE)))))</f>
        <v/>
      </c>
      <c r="Q194" s="282" t="str">
        <f>IF(D194="","",VLOOKUP(D194,'G-7 WaterC'' Data'!$B$2:$G$8,6,FALSE))</f>
        <v/>
      </c>
      <c r="R194" s="289" t="str">
        <f t="shared" si="21"/>
        <v xml:space="preserve"> </v>
      </c>
      <c r="S194" s="803" t="str">
        <f t="shared" si="22"/>
        <v/>
      </c>
      <c r="T194" s="32"/>
      <c r="U194" s="101"/>
      <c r="V194" s="108"/>
      <c r="W194" s="287" t="str">
        <f t="shared" si="23"/>
        <v/>
      </c>
      <c r="X194" s="287" t="str">
        <f t="shared" si="24"/>
        <v/>
      </c>
      <c r="Y194" s="287" t="str">
        <f t="shared" si="25"/>
        <v/>
      </c>
      <c r="Z194" s="317" t="str">
        <f>IFERROR(IF(OR(E194="",R194=""),"",IF(AND(Q194='G-7 WaterC'' Data'!$G$4,AA194="Yes"),"Alternative Compensation ✓",IF(AND(AA194="Pending",Q194='G-7 WaterC'' Data'!$G$4),"Bespoke compensation must be agreed ▲",IF((W194+X194)&gt;=R194,0,R194-W194-X194)))),"Check Data ⚠")</f>
        <v/>
      </c>
      <c r="AA194" s="800"/>
      <c r="AB194" s="136"/>
      <c r="AC194" s="104"/>
      <c r="AD194" s="104"/>
      <c r="AE194" s="54" t="str">
        <f>IF(OR(Q194="",AA194="Yes"),"",IF(Q194='G-1 All Habitats'!$X$9,E194-U194-V194,"None"))</f>
        <v/>
      </c>
      <c r="AF194" s="55" t="str">
        <f>IF(Q194="","",IF(Q194='G-1 All Habitats'!$X$9,AE194*G194*I194*L194*N194*P194,"None"))</f>
        <v/>
      </c>
      <c r="AI194" s="30">
        <f t="shared" si="26"/>
        <v>0</v>
      </c>
      <c r="AJ194" s="107" t="str">
        <f t="shared" si="27"/>
        <v/>
      </c>
      <c r="AK194" s="107" t="str">
        <f t="shared" si="28"/>
        <v/>
      </c>
      <c r="AM194" s="107">
        <v>185</v>
      </c>
      <c r="AO194" s="107" t="str">
        <f t="array" ref="AO194">IFERROR(INDEX($AM$10:$AM$258,MATCH(0,IF(TRUE=$AJ$10:$AJ$258,COUNTIF($AO$9:$AO193,$AM$10:$AM$258),""),0)),"")</f>
        <v/>
      </c>
      <c r="AP194" s="107" t="str">
        <f t="array" ref="AP194">IFERROR(INDEX($AM$10:$AM$258,MATCH(0,IF(TRUE=$AK$10:$AK$258,COUNTIF($AP$9:$AP193,$AM$10:$AM$258),""),0)),"")</f>
        <v/>
      </c>
      <c r="AR194" s="30" t="str">
        <f>IFERROR(INDEX('G-7 WaterC'' Data'!$AZ$3:$AZ$7,MATCH(D194,'G-7 WaterC'' Data'!$AY$3:$AY$7,0)),"")</f>
        <v/>
      </c>
      <c r="AS194" s="30" t="str">
        <f>IFERROR(INDEX('G-7 WaterC'' Data'!AZ194:AZ198,MATCH(D194,'G-7 WaterC'' Data'!$AY$10:$AY$14,0)),"")</f>
        <v/>
      </c>
      <c r="AT194" s="885" t="str">
        <f>IF(AND(OR(AA194="Yes",AA194="Pending"),Q194='G-7 WaterC'' Data'!$G$4),R194-W194-X194,"")</f>
        <v/>
      </c>
      <c r="AU194" s="30" t="str">
        <f>IF(D194="","",VLOOKUP(D194,'G-7 WaterC'' Data'!B$4:M$8,12,FALSE))</f>
        <v/>
      </c>
      <c r="AV194" s="30" t="str">
        <f t="shared" si="20"/>
        <v/>
      </c>
      <c r="AX194" s="30" t="str">
        <f t="shared" si="29"/>
        <v>No</v>
      </c>
    </row>
    <row r="195" spans="3:50" ht="14" hidden="1">
      <c r="C195" s="97">
        <v>186</v>
      </c>
      <c r="D195" s="261"/>
      <c r="E195" s="115"/>
      <c r="F195" s="275" t="str">
        <f>IF(D195="","",VLOOKUP(D195,'G-7 WaterC'' Data'!$B$2:$G$8,2,FALSE))</f>
        <v/>
      </c>
      <c r="G195" s="276" t="str">
        <f>IFERROR(VLOOKUP(F195,'G-7 WaterC'' Data'!$C$4:$D$8,2,FALSE),"")</f>
        <v/>
      </c>
      <c r="H195" s="52"/>
      <c r="I195" s="276" t="str">
        <f>IFERROR(INDEX('G-7 WaterC'' Data'!$H$4:$L$8,MATCH(D195,'G-7 WaterC'' Data'!$B$4:$B$8,0),MATCH(H195,'G-7 WaterC'' Data'!$H$3:$L$3,0)),"")</f>
        <v/>
      </c>
      <c r="J195" s="777"/>
      <c r="K195" s="311" t="str">
        <f>IF(J195="","",IF(VLOOKUP(J195,'G-7 WaterC'' Data'!$AK$4:$AM$6,2,FALSE)=0,"Spatial Data Missing ⚠",VLOOKUP(J195,'G-7 WaterC'' Data'!$AK$4:$AM$6,2,FALSE)))</f>
        <v/>
      </c>
      <c r="L195" s="281" t="str">
        <f>IF(J195="","",IF(VLOOKUP(J195,'G-7 WaterC'' Data'!$AK$4:$AM$9,3,FALSE)=0,"Spatial Data Missing ⚠",VLOOKUP(J195,'G-7 WaterC'' Data'!$AK$4:$AM$6,3,FALSE)))</f>
        <v/>
      </c>
      <c r="M195" s="52"/>
      <c r="N195" s="276" t="str">
        <f>IF(M195="","",IF(AND(D195&lt;&gt;"Culvert",M195="N/A - Culvert"),"Not possible ▲",IF(AND(D195="Culvert",M195&lt;&gt;"N/A - Culvert"),"Not possible ▲",IF(VLOOKUP(M195,'G-7 WaterC'' Data'!$AA$4:$AB$7,2,FALSE)=0,"Spatial Data Missing ⚠",VLOOKUP(M195,'G-7 WaterC'' Data'!$AA$4:$AB$7,2,FALSE)))))</f>
        <v/>
      </c>
      <c r="O195" s="56"/>
      <c r="P195" s="276" t="str">
        <f>IF(O195="","",IF(AND(O195="N/A - Culvert",D195&lt;&gt;"Culvert"),"Not possible ▲",IF(AND(D195="Culvert",O195&lt;&gt;"N/A - Culvert"),"Not possible ▲",IF(VLOOKUP(O195,'G-7 WaterC'' Data'!$AD$4:$AE$14,2,FALSE)=0,"Spatial Data Missing ⚠",VLOOKUP(O195,'G-7 WaterC'' Data'!$AD$4:$AE$14,2,FALSE)))))</f>
        <v/>
      </c>
      <c r="Q195" s="282" t="str">
        <f>IF(D195="","",VLOOKUP(D195,'G-7 WaterC'' Data'!$B$2:$G$8,6,FALSE))</f>
        <v/>
      </c>
      <c r="R195" s="289" t="str">
        <f t="shared" si="21"/>
        <v xml:space="preserve"> </v>
      </c>
      <c r="S195" s="803" t="str">
        <f t="shared" si="22"/>
        <v/>
      </c>
      <c r="T195" s="32"/>
      <c r="U195" s="101"/>
      <c r="V195" s="108"/>
      <c r="W195" s="287" t="str">
        <f t="shared" si="23"/>
        <v/>
      </c>
      <c r="X195" s="287" t="str">
        <f t="shared" si="24"/>
        <v/>
      </c>
      <c r="Y195" s="287" t="str">
        <f t="shared" si="25"/>
        <v/>
      </c>
      <c r="Z195" s="317" t="str">
        <f>IFERROR(IF(OR(E195="",R195=""),"",IF(AND(Q195='G-7 WaterC'' Data'!$G$4,AA195="Yes"),"Alternative Compensation ✓",IF(AND(AA195="Pending",Q195='G-7 WaterC'' Data'!$G$4),"Bespoke compensation must be agreed ▲",IF((W195+X195)&gt;=R195,0,R195-W195-X195)))),"Check Data ⚠")</f>
        <v/>
      </c>
      <c r="AA195" s="800"/>
      <c r="AB195" s="136"/>
      <c r="AC195" s="104"/>
      <c r="AD195" s="104"/>
      <c r="AE195" s="54" t="str">
        <f>IF(OR(Q195="",AA195="Yes"),"",IF(Q195='G-1 All Habitats'!$X$9,E195-U195-V195,"None"))</f>
        <v/>
      </c>
      <c r="AF195" s="55" t="str">
        <f>IF(Q195="","",IF(Q195='G-1 All Habitats'!$X$9,AE195*G195*I195*L195*N195*P195,"None"))</f>
        <v/>
      </c>
      <c r="AI195" s="30">
        <f t="shared" si="26"/>
        <v>0</v>
      </c>
      <c r="AJ195" s="107" t="str">
        <f t="shared" si="27"/>
        <v/>
      </c>
      <c r="AK195" s="107" t="str">
        <f t="shared" si="28"/>
        <v/>
      </c>
      <c r="AM195" s="107">
        <v>186</v>
      </c>
      <c r="AO195" s="107" t="str">
        <f t="array" ref="AO195">IFERROR(INDEX($AM$10:$AM$258,MATCH(0,IF(TRUE=$AJ$10:$AJ$258,COUNTIF($AO$9:$AO194,$AM$10:$AM$258),""),0)),"")</f>
        <v/>
      </c>
      <c r="AP195" s="107" t="str">
        <f t="array" ref="AP195">IFERROR(INDEX($AM$10:$AM$258,MATCH(0,IF(TRUE=$AK$10:$AK$258,COUNTIF($AP$9:$AP194,$AM$10:$AM$258),""),0)),"")</f>
        <v/>
      </c>
      <c r="AR195" s="30" t="str">
        <f>IFERROR(INDEX('G-7 WaterC'' Data'!$AZ$3:$AZ$7,MATCH(D195,'G-7 WaterC'' Data'!$AY$3:$AY$7,0)),"")</f>
        <v/>
      </c>
      <c r="AS195" s="30" t="str">
        <f>IFERROR(INDEX('G-7 WaterC'' Data'!AZ195:AZ199,MATCH(D195,'G-7 WaterC'' Data'!$AY$10:$AY$14,0)),"")</f>
        <v/>
      </c>
      <c r="AT195" s="885" t="str">
        <f>IF(AND(OR(AA195="Yes",AA195="Pending"),Q195='G-7 WaterC'' Data'!$G$4),R195-W195-X195,"")</f>
        <v/>
      </c>
      <c r="AU195" s="30" t="str">
        <f>IF(D195="","",VLOOKUP(D195,'G-7 WaterC'' Data'!B$4:M$8,12,FALSE))</f>
        <v/>
      </c>
      <c r="AV195" s="30" t="str">
        <f t="shared" si="20"/>
        <v/>
      </c>
      <c r="AX195" s="30" t="str">
        <f t="shared" si="29"/>
        <v>No</v>
      </c>
    </row>
    <row r="196" spans="3:50" ht="14" hidden="1">
      <c r="C196" s="97">
        <v>187</v>
      </c>
      <c r="D196" s="261"/>
      <c r="E196" s="115"/>
      <c r="F196" s="275" t="str">
        <f>IF(D196="","",VLOOKUP(D196,'G-7 WaterC'' Data'!$B$2:$G$8,2,FALSE))</f>
        <v/>
      </c>
      <c r="G196" s="276" t="str">
        <f>IFERROR(VLOOKUP(F196,'G-7 WaterC'' Data'!$C$4:$D$8,2,FALSE),"")</f>
        <v/>
      </c>
      <c r="H196" s="52"/>
      <c r="I196" s="276" t="str">
        <f>IFERROR(INDEX('G-7 WaterC'' Data'!$H$4:$L$8,MATCH(D196,'G-7 WaterC'' Data'!$B$4:$B$8,0),MATCH(H196,'G-7 WaterC'' Data'!$H$3:$L$3,0)),"")</f>
        <v/>
      </c>
      <c r="J196" s="777"/>
      <c r="K196" s="311" t="str">
        <f>IF(J196="","",IF(VLOOKUP(J196,'G-7 WaterC'' Data'!$AK$4:$AM$6,2,FALSE)=0,"Spatial Data Missing ⚠",VLOOKUP(J196,'G-7 WaterC'' Data'!$AK$4:$AM$6,2,FALSE)))</f>
        <v/>
      </c>
      <c r="L196" s="281" t="str">
        <f>IF(J196="","",IF(VLOOKUP(J196,'G-7 WaterC'' Data'!$AK$4:$AM$9,3,FALSE)=0,"Spatial Data Missing ⚠",VLOOKUP(J196,'G-7 WaterC'' Data'!$AK$4:$AM$6,3,FALSE)))</f>
        <v/>
      </c>
      <c r="M196" s="52"/>
      <c r="N196" s="276" t="str">
        <f>IF(M196="","",IF(AND(D196&lt;&gt;"Culvert",M196="N/A - Culvert"),"Not possible ▲",IF(AND(D196="Culvert",M196&lt;&gt;"N/A - Culvert"),"Not possible ▲",IF(VLOOKUP(M196,'G-7 WaterC'' Data'!$AA$4:$AB$7,2,FALSE)=0,"Spatial Data Missing ⚠",VLOOKUP(M196,'G-7 WaterC'' Data'!$AA$4:$AB$7,2,FALSE)))))</f>
        <v/>
      </c>
      <c r="O196" s="56"/>
      <c r="P196" s="276" t="str">
        <f>IF(O196="","",IF(AND(O196="N/A - Culvert",D196&lt;&gt;"Culvert"),"Not possible ▲",IF(AND(D196="Culvert",O196&lt;&gt;"N/A - Culvert"),"Not possible ▲",IF(VLOOKUP(O196,'G-7 WaterC'' Data'!$AD$4:$AE$14,2,FALSE)=0,"Spatial Data Missing ⚠",VLOOKUP(O196,'G-7 WaterC'' Data'!$AD$4:$AE$14,2,FALSE)))))</f>
        <v/>
      </c>
      <c r="Q196" s="282" t="str">
        <f>IF(D196="","",VLOOKUP(D196,'G-7 WaterC'' Data'!$B$2:$G$8,6,FALSE))</f>
        <v/>
      </c>
      <c r="R196" s="289" t="str">
        <f t="shared" si="21"/>
        <v xml:space="preserve"> </v>
      </c>
      <c r="S196" s="803" t="str">
        <f t="shared" si="22"/>
        <v/>
      </c>
      <c r="T196" s="32"/>
      <c r="U196" s="101"/>
      <c r="V196" s="108"/>
      <c r="W196" s="287" t="str">
        <f t="shared" si="23"/>
        <v/>
      </c>
      <c r="X196" s="287" t="str">
        <f t="shared" si="24"/>
        <v/>
      </c>
      <c r="Y196" s="287" t="str">
        <f t="shared" si="25"/>
        <v/>
      </c>
      <c r="Z196" s="317" t="str">
        <f>IFERROR(IF(OR(E196="",R196=""),"",IF(AND(Q196='G-7 WaterC'' Data'!$G$4,AA196="Yes"),"Alternative Compensation ✓",IF(AND(AA196="Pending",Q196='G-7 WaterC'' Data'!$G$4),"Bespoke compensation must be agreed ▲",IF((W196+X196)&gt;=R196,0,R196-W196-X196)))),"Check Data ⚠")</f>
        <v/>
      </c>
      <c r="AA196" s="800"/>
      <c r="AB196" s="136"/>
      <c r="AC196" s="104"/>
      <c r="AD196" s="104"/>
      <c r="AE196" s="54" t="str">
        <f>IF(OR(Q196="",AA196="Yes"),"",IF(Q196='G-1 All Habitats'!$X$9,E196-U196-V196,"None"))</f>
        <v/>
      </c>
      <c r="AF196" s="55" t="str">
        <f>IF(Q196="","",IF(Q196='G-1 All Habitats'!$X$9,AE196*G196*I196*L196*N196*P196,"None"))</f>
        <v/>
      </c>
      <c r="AI196" s="30">
        <f t="shared" si="26"/>
        <v>0</v>
      </c>
      <c r="AJ196" s="107" t="str">
        <f t="shared" si="27"/>
        <v/>
      </c>
      <c r="AK196" s="107" t="str">
        <f t="shared" si="28"/>
        <v/>
      </c>
      <c r="AM196" s="107">
        <v>187</v>
      </c>
      <c r="AO196" s="107" t="str">
        <f t="array" ref="AO196">IFERROR(INDEX($AM$10:$AM$258,MATCH(0,IF(TRUE=$AJ$10:$AJ$258,COUNTIF($AO$9:$AO195,$AM$10:$AM$258),""),0)),"")</f>
        <v/>
      </c>
      <c r="AP196" s="107" t="str">
        <f t="array" ref="AP196">IFERROR(INDEX($AM$10:$AM$258,MATCH(0,IF(TRUE=$AK$10:$AK$258,COUNTIF($AP$9:$AP195,$AM$10:$AM$258),""),0)),"")</f>
        <v/>
      </c>
      <c r="AR196" s="30" t="str">
        <f>IFERROR(INDEX('G-7 WaterC'' Data'!$AZ$3:$AZ$7,MATCH(D196,'G-7 WaterC'' Data'!$AY$3:$AY$7,0)),"")</f>
        <v/>
      </c>
      <c r="AS196" s="30" t="str">
        <f>IFERROR(INDEX('G-7 WaterC'' Data'!AZ196:AZ200,MATCH(D196,'G-7 WaterC'' Data'!$AY$10:$AY$14,0)),"")</f>
        <v/>
      </c>
      <c r="AT196" s="885" t="str">
        <f>IF(AND(OR(AA196="Yes",AA196="Pending"),Q196='G-7 WaterC'' Data'!$G$4),R196-W196-X196,"")</f>
        <v/>
      </c>
      <c r="AU196" s="30" t="str">
        <f>IF(D196="","",VLOOKUP(D196,'G-7 WaterC'' Data'!B$4:M$8,12,FALSE))</f>
        <v/>
      </c>
      <c r="AV196" s="30" t="str">
        <f t="shared" si="20"/>
        <v/>
      </c>
      <c r="AX196" s="30" t="str">
        <f t="shared" si="29"/>
        <v>No</v>
      </c>
    </row>
    <row r="197" spans="3:50" ht="14" hidden="1">
      <c r="C197" s="97">
        <v>188</v>
      </c>
      <c r="D197" s="261"/>
      <c r="E197" s="115"/>
      <c r="F197" s="275" t="str">
        <f>IF(D197="","",VLOOKUP(D197,'G-7 WaterC'' Data'!$B$2:$G$8,2,FALSE))</f>
        <v/>
      </c>
      <c r="G197" s="276" t="str">
        <f>IFERROR(VLOOKUP(F197,'G-7 WaterC'' Data'!$C$4:$D$8,2,FALSE),"")</f>
        <v/>
      </c>
      <c r="H197" s="52"/>
      <c r="I197" s="276" t="str">
        <f>IFERROR(INDEX('G-7 WaterC'' Data'!$H$4:$L$8,MATCH(D197,'G-7 WaterC'' Data'!$B$4:$B$8,0),MATCH(H197,'G-7 WaterC'' Data'!$H$3:$L$3,0)),"")</f>
        <v/>
      </c>
      <c r="J197" s="777"/>
      <c r="K197" s="311" t="str">
        <f>IF(J197="","",IF(VLOOKUP(J197,'G-7 WaterC'' Data'!$AK$4:$AM$6,2,FALSE)=0,"Spatial Data Missing ⚠",VLOOKUP(J197,'G-7 WaterC'' Data'!$AK$4:$AM$6,2,FALSE)))</f>
        <v/>
      </c>
      <c r="L197" s="281" t="str">
        <f>IF(J197="","",IF(VLOOKUP(J197,'G-7 WaterC'' Data'!$AK$4:$AM$9,3,FALSE)=0,"Spatial Data Missing ⚠",VLOOKUP(J197,'G-7 WaterC'' Data'!$AK$4:$AM$6,3,FALSE)))</f>
        <v/>
      </c>
      <c r="M197" s="52"/>
      <c r="N197" s="276" t="str">
        <f>IF(M197="","",IF(AND(D197&lt;&gt;"Culvert",M197="N/A - Culvert"),"Not possible ▲",IF(AND(D197="Culvert",M197&lt;&gt;"N/A - Culvert"),"Not possible ▲",IF(VLOOKUP(M197,'G-7 WaterC'' Data'!$AA$4:$AB$7,2,FALSE)=0,"Spatial Data Missing ⚠",VLOOKUP(M197,'G-7 WaterC'' Data'!$AA$4:$AB$7,2,FALSE)))))</f>
        <v/>
      </c>
      <c r="O197" s="56"/>
      <c r="P197" s="276" t="str">
        <f>IF(O197="","",IF(AND(O197="N/A - Culvert",D197&lt;&gt;"Culvert"),"Not possible ▲",IF(AND(D197="Culvert",O197&lt;&gt;"N/A - Culvert"),"Not possible ▲",IF(VLOOKUP(O197,'G-7 WaterC'' Data'!$AD$4:$AE$14,2,FALSE)=0,"Spatial Data Missing ⚠",VLOOKUP(O197,'G-7 WaterC'' Data'!$AD$4:$AE$14,2,FALSE)))))</f>
        <v/>
      </c>
      <c r="Q197" s="282" t="str">
        <f>IF(D197="","",VLOOKUP(D197,'G-7 WaterC'' Data'!$B$2:$G$8,6,FALSE))</f>
        <v/>
      </c>
      <c r="R197" s="289" t="str">
        <f t="shared" si="21"/>
        <v xml:space="preserve"> </v>
      </c>
      <c r="S197" s="803" t="str">
        <f t="shared" si="22"/>
        <v/>
      </c>
      <c r="T197" s="32"/>
      <c r="U197" s="101"/>
      <c r="V197" s="108"/>
      <c r="W197" s="287" t="str">
        <f t="shared" si="23"/>
        <v/>
      </c>
      <c r="X197" s="287" t="str">
        <f t="shared" si="24"/>
        <v/>
      </c>
      <c r="Y197" s="287" t="str">
        <f t="shared" si="25"/>
        <v/>
      </c>
      <c r="Z197" s="317" t="str">
        <f>IFERROR(IF(OR(E197="",R197=""),"",IF(AND(Q197='G-7 WaterC'' Data'!$G$4,AA197="Yes"),"Alternative Compensation ✓",IF(AND(AA197="Pending",Q197='G-7 WaterC'' Data'!$G$4),"Bespoke compensation must be agreed ▲",IF((W197+X197)&gt;=R197,0,R197-W197-X197)))),"Check Data ⚠")</f>
        <v/>
      </c>
      <c r="AA197" s="800"/>
      <c r="AB197" s="136"/>
      <c r="AC197" s="104"/>
      <c r="AD197" s="104"/>
      <c r="AE197" s="54" t="str">
        <f>IF(OR(Q197="",AA197="Yes"),"",IF(Q197='G-1 All Habitats'!$X$9,E197-U197-V197,"None"))</f>
        <v/>
      </c>
      <c r="AF197" s="55" t="str">
        <f>IF(Q197="","",IF(Q197='G-1 All Habitats'!$X$9,AE197*G197*I197*L197*N197*P197,"None"))</f>
        <v/>
      </c>
      <c r="AI197" s="30">
        <f t="shared" si="26"/>
        <v>0</v>
      </c>
      <c r="AJ197" s="107" t="str">
        <f t="shared" si="27"/>
        <v/>
      </c>
      <c r="AK197" s="107" t="str">
        <f t="shared" si="28"/>
        <v/>
      </c>
      <c r="AM197" s="107">
        <v>188</v>
      </c>
      <c r="AO197" s="107" t="str">
        <f t="array" ref="AO197">IFERROR(INDEX($AM$10:$AM$258,MATCH(0,IF(TRUE=$AJ$10:$AJ$258,COUNTIF($AO$9:$AO196,$AM$10:$AM$258),""),0)),"")</f>
        <v/>
      </c>
      <c r="AP197" s="107" t="str">
        <f t="array" ref="AP197">IFERROR(INDEX($AM$10:$AM$258,MATCH(0,IF(TRUE=$AK$10:$AK$258,COUNTIF($AP$9:$AP196,$AM$10:$AM$258),""),0)),"")</f>
        <v/>
      </c>
      <c r="AR197" s="30" t="str">
        <f>IFERROR(INDEX('G-7 WaterC'' Data'!$AZ$3:$AZ$7,MATCH(D197,'G-7 WaterC'' Data'!$AY$3:$AY$7,0)),"")</f>
        <v/>
      </c>
      <c r="AS197" s="30" t="str">
        <f>IFERROR(INDEX('G-7 WaterC'' Data'!AZ197:AZ201,MATCH(D197,'G-7 WaterC'' Data'!$AY$10:$AY$14,0)),"")</f>
        <v/>
      </c>
      <c r="AT197" s="885" t="str">
        <f>IF(AND(OR(AA197="Yes",AA197="Pending"),Q197='G-7 WaterC'' Data'!$G$4),R197-W197-X197,"")</f>
        <v/>
      </c>
      <c r="AU197" s="30" t="str">
        <f>IF(D197="","",VLOOKUP(D197,'G-7 WaterC'' Data'!B$4:M$8,12,FALSE))</f>
        <v/>
      </c>
      <c r="AV197" s="30" t="str">
        <f t="shared" si="20"/>
        <v/>
      </c>
      <c r="AX197" s="30" t="str">
        <f t="shared" si="29"/>
        <v>No</v>
      </c>
    </row>
    <row r="198" spans="3:50" ht="14" hidden="1">
      <c r="C198" s="97">
        <v>189</v>
      </c>
      <c r="D198" s="261"/>
      <c r="E198" s="115"/>
      <c r="F198" s="275" t="str">
        <f>IF(D198="","",VLOOKUP(D198,'G-7 WaterC'' Data'!$B$2:$G$8,2,FALSE))</f>
        <v/>
      </c>
      <c r="G198" s="276" t="str">
        <f>IFERROR(VLOOKUP(F198,'G-7 WaterC'' Data'!$C$4:$D$8,2,FALSE),"")</f>
        <v/>
      </c>
      <c r="H198" s="52"/>
      <c r="I198" s="276" t="str">
        <f>IFERROR(INDEX('G-7 WaterC'' Data'!$H$4:$L$8,MATCH(D198,'G-7 WaterC'' Data'!$B$4:$B$8,0),MATCH(H198,'G-7 WaterC'' Data'!$H$3:$L$3,0)),"")</f>
        <v/>
      </c>
      <c r="J198" s="777"/>
      <c r="K198" s="311" t="str">
        <f>IF(J198="","",IF(VLOOKUP(J198,'G-7 WaterC'' Data'!$AK$4:$AM$6,2,FALSE)=0,"Spatial Data Missing ⚠",VLOOKUP(J198,'G-7 WaterC'' Data'!$AK$4:$AM$6,2,FALSE)))</f>
        <v/>
      </c>
      <c r="L198" s="281" t="str">
        <f>IF(J198="","",IF(VLOOKUP(J198,'G-7 WaterC'' Data'!$AK$4:$AM$9,3,FALSE)=0,"Spatial Data Missing ⚠",VLOOKUP(J198,'G-7 WaterC'' Data'!$AK$4:$AM$6,3,FALSE)))</f>
        <v/>
      </c>
      <c r="M198" s="52"/>
      <c r="N198" s="276" t="str">
        <f>IF(M198="","",IF(AND(D198&lt;&gt;"Culvert",M198="N/A - Culvert"),"Not possible ▲",IF(AND(D198="Culvert",M198&lt;&gt;"N/A - Culvert"),"Not possible ▲",IF(VLOOKUP(M198,'G-7 WaterC'' Data'!$AA$4:$AB$7,2,FALSE)=0,"Spatial Data Missing ⚠",VLOOKUP(M198,'G-7 WaterC'' Data'!$AA$4:$AB$7,2,FALSE)))))</f>
        <v/>
      </c>
      <c r="O198" s="56"/>
      <c r="P198" s="276" t="str">
        <f>IF(O198="","",IF(AND(O198="N/A - Culvert",D198&lt;&gt;"Culvert"),"Not possible ▲",IF(AND(D198="Culvert",O198&lt;&gt;"N/A - Culvert"),"Not possible ▲",IF(VLOOKUP(O198,'G-7 WaterC'' Data'!$AD$4:$AE$14,2,FALSE)=0,"Spatial Data Missing ⚠",VLOOKUP(O198,'G-7 WaterC'' Data'!$AD$4:$AE$14,2,FALSE)))))</f>
        <v/>
      </c>
      <c r="Q198" s="282" t="str">
        <f>IF(D198="","",VLOOKUP(D198,'G-7 WaterC'' Data'!$B$2:$G$8,6,FALSE))</f>
        <v/>
      </c>
      <c r="R198" s="289" t="str">
        <f t="shared" si="21"/>
        <v xml:space="preserve"> </v>
      </c>
      <c r="S198" s="803" t="str">
        <f t="shared" si="22"/>
        <v/>
      </c>
      <c r="T198" s="32"/>
      <c r="U198" s="101"/>
      <c r="V198" s="108"/>
      <c r="W198" s="287" t="str">
        <f t="shared" si="23"/>
        <v/>
      </c>
      <c r="X198" s="287" t="str">
        <f t="shared" si="24"/>
        <v/>
      </c>
      <c r="Y198" s="287" t="str">
        <f t="shared" si="25"/>
        <v/>
      </c>
      <c r="Z198" s="317" t="str">
        <f>IFERROR(IF(OR(E198="",R198=""),"",IF(AND(Q198='G-7 WaterC'' Data'!$G$4,AA198="Yes"),"Alternative Compensation ✓",IF(AND(AA198="Pending",Q198='G-7 WaterC'' Data'!$G$4),"Bespoke compensation must be agreed ▲",IF((W198+X198)&gt;=R198,0,R198-W198-X198)))),"Check Data ⚠")</f>
        <v/>
      </c>
      <c r="AA198" s="800"/>
      <c r="AB198" s="136"/>
      <c r="AC198" s="104"/>
      <c r="AD198" s="104"/>
      <c r="AE198" s="54" t="str">
        <f>IF(OR(Q198="",AA198="Yes"),"",IF(Q198='G-1 All Habitats'!$X$9,E198-U198-V198,"None"))</f>
        <v/>
      </c>
      <c r="AF198" s="55" t="str">
        <f>IF(Q198="","",IF(Q198='G-1 All Habitats'!$X$9,AE198*G198*I198*L198*N198*P198,"None"))</f>
        <v/>
      </c>
      <c r="AI198" s="30">
        <f t="shared" si="26"/>
        <v>0</v>
      </c>
      <c r="AJ198" s="107" t="str">
        <f t="shared" si="27"/>
        <v/>
      </c>
      <c r="AK198" s="107" t="str">
        <f t="shared" si="28"/>
        <v/>
      </c>
      <c r="AM198" s="107">
        <v>189</v>
      </c>
      <c r="AO198" s="107" t="str">
        <f t="array" ref="AO198">IFERROR(INDEX($AM$10:$AM$258,MATCH(0,IF(TRUE=$AJ$10:$AJ$258,COUNTIF($AO$9:$AO197,$AM$10:$AM$258),""),0)),"")</f>
        <v/>
      </c>
      <c r="AP198" s="107" t="str">
        <f t="array" ref="AP198">IFERROR(INDEX($AM$10:$AM$258,MATCH(0,IF(TRUE=$AK$10:$AK$258,COUNTIF($AP$9:$AP197,$AM$10:$AM$258),""),0)),"")</f>
        <v/>
      </c>
      <c r="AR198" s="30" t="str">
        <f>IFERROR(INDEX('G-7 WaterC'' Data'!$AZ$3:$AZ$7,MATCH(D198,'G-7 WaterC'' Data'!$AY$3:$AY$7,0)),"")</f>
        <v/>
      </c>
      <c r="AS198" s="30" t="str">
        <f>IFERROR(INDEX('G-7 WaterC'' Data'!AZ198:AZ202,MATCH(D198,'G-7 WaterC'' Data'!$AY$10:$AY$14,0)),"")</f>
        <v/>
      </c>
      <c r="AT198" s="885" t="str">
        <f>IF(AND(OR(AA198="Yes",AA198="Pending"),Q198='G-7 WaterC'' Data'!$G$4),R198-W198-X198,"")</f>
        <v/>
      </c>
      <c r="AU198" s="30" t="str">
        <f>IF(D198="","",VLOOKUP(D198,'G-7 WaterC'' Data'!B$4:M$8,12,FALSE))</f>
        <v/>
      </c>
      <c r="AV198" s="30" t="str">
        <f t="shared" si="20"/>
        <v/>
      </c>
      <c r="AX198" s="30" t="str">
        <f t="shared" si="29"/>
        <v>No</v>
      </c>
    </row>
    <row r="199" spans="3:50" ht="14" hidden="1">
      <c r="C199" s="97">
        <v>190</v>
      </c>
      <c r="D199" s="261"/>
      <c r="E199" s="115"/>
      <c r="F199" s="275" t="str">
        <f>IF(D199="","",VLOOKUP(D199,'G-7 WaterC'' Data'!$B$2:$G$8,2,FALSE))</f>
        <v/>
      </c>
      <c r="G199" s="276" t="str">
        <f>IFERROR(VLOOKUP(F199,'G-7 WaterC'' Data'!$C$4:$D$8,2,FALSE),"")</f>
        <v/>
      </c>
      <c r="H199" s="52"/>
      <c r="I199" s="276" t="str">
        <f>IFERROR(INDEX('G-7 WaterC'' Data'!$H$4:$L$8,MATCH(D199,'G-7 WaterC'' Data'!$B$4:$B$8,0),MATCH(H199,'G-7 WaterC'' Data'!$H$3:$L$3,0)),"")</f>
        <v/>
      </c>
      <c r="J199" s="777"/>
      <c r="K199" s="311" t="str">
        <f>IF(J199="","",IF(VLOOKUP(J199,'G-7 WaterC'' Data'!$AK$4:$AM$6,2,FALSE)=0,"Spatial Data Missing ⚠",VLOOKUP(J199,'G-7 WaterC'' Data'!$AK$4:$AM$6,2,FALSE)))</f>
        <v/>
      </c>
      <c r="L199" s="281" t="str">
        <f>IF(J199="","",IF(VLOOKUP(J199,'G-7 WaterC'' Data'!$AK$4:$AM$9,3,FALSE)=0,"Spatial Data Missing ⚠",VLOOKUP(J199,'G-7 WaterC'' Data'!$AK$4:$AM$6,3,FALSE)))</f>
        <v/>
      </c>
      <c r="M199" s="52"/>
      <c r="N199" s="276" t="str">
        <f>IF(M199="","",IF(AND(D199&lt;&gt;"Culvert",M199="N/A - Culvert"),"Not possible ▲",IF(AND(D199="Culvert",M199&lt;&gt;"N/A - Culvert"),"Not possible ▲",IF(VLOOKUP(M199,'G-7 WaterC'' Data'!$AA$4:$AB$7,2,FALSE)=0,"Spatial Data Missing ⚠",VLOOKUP(M199,'G-7 WaterC'' Data'!$AA$4:$AB$7,2,FALSE)))))</f>
        <v/>
      </c>
      <c r="O199" s="56"/>
      <c r="P199" s="276" t="str">
        <f>IF(O199="","",IF(AND(O199="N/A - Culvert",D199&lt;&gt;"Culvert"),"Not possible ▲",IF(AND(D199="Culvert",O199&lt;&gt;"N/A - Culvert"),"Not possible ▲",IF(VLOOKUP(O199,'G-7 WaterC'' Data'!$AD$4:$AE$14,2,FALSE)=0,"Spatial Data Missing ⚠",VLOOKUP(O199,'G-7 WaterC'' Data'!$AD$4:$AE$14,2,FALSE)))))</f>
        <v/>
      </c>
      <c r="Q199" s="282" t="str">
        <f>IF(D199="","",VLOOKUP(D199,'G-7 WaterC'' Data'!$B$2:$G$8,6,FALSE))</f>
        <v/>
      </c>
      <c r="R199" s="289" t="str">
        <f t="shared" si="21"/>
        <v xml:space="preserve"> </v>
      </c>
      <c r="S199" s="803" t="str">
        <f t="shared" si="22"/>
        <v/>
      </c>
      <c r="T199" s="32"/>
      <c r="U199" s="101"/>
      <c r="V199" s="108"/>
      <c r="W199" s="287" t="str">
        <f t="shared" si="23"/>
        <v/>
      </c>
      <c r="X199" s="287" t="str">
        <f t="shared" si="24"/>
        <v/>
      </c>
      <c r="Y199" s="287" t="str">
        <f t="shared" si="25"/>
        <v/>
      </c>
      <c r="Z199" s="317" t="str">
        <f>IFERROR(IF(OR(E199="",R199=""),"",IF(AND(Q199='G-7 WaterC'' Data'!$G$4,AA199="Yes"),"Alternative Compensation ✓",IF(AND(AA199="Pending",Q199='G-7 WaterC'' Data'!$G$4),"Bespoke compensation must be agreed ▲",IF((W199+X199)&gt;=R199,0,R199-W199-X199)))),"Check Data ⚠")</f>
        <v/>
      </c>
      <c r="AA199" s="800"/>
      <c r="AB199" s="136"/>
      <c r="AC199" s="104"/>
      <c r="AD199" s="104"/>
      <c r="AE199" s="54" t="str">
        <f>IF(OR(Q199="",AA199="Yes"),"",IF(Q199='G-1 All Habitats'!$X$9,E199-U199-V199,"None"))</f>
        <v/>
      </c>
      <c r="AF199" s="55" t="str">
        <f>IF(Q199="","",IF(Q199='G-1 All Habitats'!$X$9,AE199*G199*I199*L199*N199*P199,"None"))</f>
        <v/>
      </c>
      <c r="AI199" s="30">
        <f t="shared" si="26"/>
        <v>0</v>
      </c>
      <c r="AJ199" s="107" t="str">
        <f t="shared" si="27"/>
        <v/>
      </c>
      <c r="AK199" s="107" t="str">
        <f t="shared" si="28"/>
        <v/>
      </c>
      <c r="AM199" s="107">
        <v>190</v>
      </c>
      <c r="AO199" s="107" t="str">
        <f t="array" ref="AO199">IFERROR(INDEX($AM$10:$AM$258,MATCH(0,IF(TRUE=$AJ$10:$AJ$258,COUNTIF($AO$9:$AO198,$AM$10:$AM$258),""),0)),"")</f>
        <v/>
      </c>
      <c r="AP199" s="107" t="str">
        <f t="array" ref="AP199">IFERROR(INDEX($AM$10:$AM$258,MATCH(0,IF(TRUE=$AK$10:$AK$258,COUNTIF($AP$9:$AP198,$AM$10:$AM$258),""),0)),"")</f>
        <v/>
      </c>
      <c r="AR199" s="30" t="str">
        <f>IFERROR(INDEX('G-7 WaterC'' Data'!$AZ$3:$AZ$7,MATCH(D199,'G-7 WaterC'' Data'!$AY$3:$AY$7,0)),"")</f>
        <v/>
      </c>
      <c r="AS199" s="30" t="str">
        <f>IFERROR(INDEX('G-7 WaterC'' Data'!AZ199:AZ203,MATCH(D199,'G-7 WaterC'' Data'!$AY$10:$AY$14,0)),"")</f>
        <v/>
      </c>
      <c r="AT199" s="885" t="str">
        <f>IF(AND(OR(AA199="Yes",AA199="Pending"),Q199='G-7 WaterC'' Data'!$G$4),R199-W199-X199,"")</f>
        <v/>
      </c>
      <c r="AU199" s="30" t="str">
        <f>IF(D199="","",VLOOKUP(D199,'G-7 WaterC'' Data'!B$4:M$8,12,FALSE))</f>
        <v/>
      </c>
      <c r="AV199" s="30" t="str">
        <f t="shared" si="20"/>
        <v/>
      </c>
      <c r="AX199" s="30" t="str">
        <f t="shared" si="29"/>
        <v>No</v>
      </c>
    </row>
    <row r="200" spans="3:50" ht="14" hidden="1">
      <c r="C200" s="97">
        <v>191</v>
      </c>
      <c r="D200" s="261"/>
      <c r="E200" s="115"/>
      <c r="F200" s="275" t="str">
        <f>IF(D200="","",VLOOKUP(D200,'G-7 WaterC'' Data'!$B$2:$G$8,2,FALSE))</f>
        <v/>
      </c>
      <c r="G200" s="276" t="str">
        <f>IFERROR(VLOOKUP(F200,'G-7 WaterC'' Data'!$C$4:$D$8,2,FALSE),"")</f>
        <v/>
      </c>
      <c r="H200" s="52"/>
      <c r="I200" s="276" t="str">
        <f>IFERROR(INDEX('G-7 WaterC'' Data'!$H$4:$L$8,MATCH(D200,'G-7 WaterC'' Data'!$B$4:$B$8,0),MATCH(H200,'G-7 WaterC'' Data'!$H$3:$L$3,0)),"")</f>
        <v/>
      </c>
      <c r="J200" s="777"/>
      <c r="K200" s="311" t="str">
        <f>IF(J200="","",IF(VLOOKUP(J200,'G-7 WaterC'' Data'!$AK$4:$AM$6,2,FALSE)=0,"Spatial Data Missing ⚠",VLOOKUP(J200,'G-7 WaterC'' Data'!$AK$4:$AM$6,2,FALSE)))</f>
        <v/>
      </c>
      <c r="L200" s="281" t="str">
        <f>IF(J200="","",IF(VLOOKUP(J200,'G-7 WaterC'' Data'!$AK$4:$AM$9,3,FALSE)=0,"Spatial Data Missing ⚠",VLOOKUP(J200,'G-7 WaterC'' Data'!$AK$4:$AM$6,3,FALSE)))</f>
        <v/>
      </c>
      <c r="M200" s="52"/>
      <c r="N200" s="276" t="str">
        <f>IF(M200="","",IF(AND(D200&lt;&gt;"Culvert",M200="N/A - Culvert"),"Not possible ▲",IF(AND(D200="Culvert",M200&lt;&gt;"N/A - Culvert"),"Not possible ▲",IF(VLOOKUP(M200,'G-7 WaterC'' Data'!$AA$4:$AB$7,2,FALSE)=0,"Spatial Data Missing ⚠",VLOOKUP(M200,'G-7 WaterC'' Data'!$AA$4:$AB$7,2,FALSE)))))</f>
        <v/>
      </c>
      <c r="O200" s="56"/>
      <c r="P200" s="276" t="str">
        <f>IF(O200="","",IF(AND(O200="N/A - Culvert",D200&lt;&gt;"Culvert"),"Not possible ▲",IF(AND(D200="Culvert",O200&lt;&gt;"N/A - Culvert"),"Not possible ▲",IF(VLOOKUP(O200,'G-7 WaterC'' Data'!$AD$4:$AE$14,2,FALSE)=0,"Spatial Data Missing ⚠",VLOOKUP(O200,'G-7 WaterC'' Data'!$AD$4:$AE$14,2,FALSE)))))</f>
        <v/>
      </c>
      <c r="Q200" s="282" t="str">
        <f>IF(D200="","",VLOOKUP(D200,'G-7 WaterC'' Data'!$B$2:$G$8,6,FALSE))</f>
        <v/>
      </c>
      <c r="R200" s="289" t="str">
        <f t="shared" si="21"/>
        <v xml:space="preserve"> </v>
      </c>
      <c r="S200" s="803" t="str">
        <f t="shared" si="22"/>
        <v/>
      </c>
      <c r="T200" s="32"/>
      <c r="U200" s="101"/>
      <c r="V200" s="108"/>
      <c r="W200" s="287" t="str">
        <f t="shared" si="23"/>
        <v/>
      </c>
      <c r="X200" s="287" t="str">
        <f t="shared" si="24"/>
        <v/>
      </c>
      <c r="Y200" s="287" t="str">
        <f t="shared" si="25"/>
        <v/>
      </c>
      <c r="Z200" s="317" t="str">
        <f>IFERROR(IF(OR(E200="",R200=""),"",IF(AND(Q200='G-7 WaterC'' Data'!$G$4,AA200="Yes"),"Alternative Compensation ✓",IF(AND(AA200="Pending",Q200='G-7 WaterC'' Data'!$G$4),"Bespoke compensation must be agreed ▲",IF((W200+X200)&gt;=R200,0,R200-W200-X200)))),"Check Data ⚠")</f>
        <v/>
      </c>
      <c r="AA200" s="800"/>
      <c r="AB200" s="136"/>
      <c r="AC200" s="104"/>
      <c r="AD200" s="104"/>
      <c r="AE200" s="54" t="str">
        <f>IF(OR(Q200="",AA200="Yes"),"",IF(Q200='G-1 All Habitats'!$X$9,E200-U200-V200,"None"))</f>
        <v/>
      </c>
      <c r="AF200" s="55" t="str">
        <f>IF(Q200="","",IF(Q200='G-1 All Habitats'!$X$9,AE200*G200*I200*L200*N200*P200,"None"))</f>
        <v/>
      </c>
      <c r="AI200" s="30">
        <f t="shared" si="26"/>
        <v>0</v>
      </c>
      <c r="AJ200" s="107" t="str">
        <f t="shared" si="27"/>
        <v/>
      </c>
      <c r="AK200" s="107" t="str">
        <f t="shared" si="28"/>
        <v/>
      </c>
      <c r="AM200" s="107">
        <v>191</v>
      </c>
      <c r="AO200" s="107" t="str">
        <f t="array" ref="AO200">IFERROR(INDEX($AM$10:$AM$258,MATCH(0,IF(TRUE=$AJ$10:$AJ$258,COUNTIF($AO$9:$AO199,$AM$10:$AM$258),""),0)),"")</f>
        <v/>
      </c>
      <c r="AP200" s="107" t="str">
        <f t="array" ref="AP200">IFERROR(INDEX($AM$10:$AM$258,MATCH(0,IF(TRUE=$AK$10:$AK$258,COUNTIF($AP$9:$AP199,$AM$10:$AM$258),""),0)),"")</f>
        <v/>
      </c>
      <c r="AR200" s="30" t="str">
        <f>IFERROR(INDEX('G-7 WaterC'' Data'!$AZ$3:$AZ$7,MATCH(D200,'G-7 WaterC'' Data'!$AY$3:$AY$7,0)),"")</f>
        <v/>
      </c>
      <c r="AS200" s="30" t="str">
        <f>IFERROR(INDEX('G-7 WaterC'' Data'!AZ200:AZ204,MATCH(D200,'G-7 WaterC'' Data'!$AY$10:$AY$14,0)),"")</f>
        <v/>
      </c>
      <c r="AT200" s="885" t="str">
        <f>IF(AND(OR(AA200="Yes",AA200="Pending"),Q200='G-7 WaterC'' Data'!$G$4),R200-W200-X200,"")</f>
        <v/>
      </c>
      <c r="AU200" s="30" t="str">
        <f>IF(D200="","",VLOOKUP(D200,'G-7 WaterC'' Data'!B$4:M$8,12,FALSE))</f>
        <v/>
      </c>
      <c r="AV200" s="30" t="str">
        <f t="shared" si="20"/>
        <v/>
      </c>
      <c r="AX200" s="30" t="str">
        <f t="shared" si="29"/>
        <v>No</v>
      </c>
    </row>
    <row r="201" spans="3:50" ht="14" hidden="1">
      <c r="C201" s="97">
        <v>192</v>
      </c>
      <c r="D201" s="261"/>
      <c r="E201" s="115"/>
      <c r="F201" s="275" t="str">
        <f>IF(D201="","",VLOOKUP(D201,'G-7 WaterC'' Data'!$B$2:$G$8,2,FALSE))</f>
        <v/>
      </c>
      <c r="G201" s="276" t="str">
        <f>IFERROR(VLOOKUP(F201,'G-7 WaterC'' Data'!$C$4:$D$8,2,FALSE),"")</f>
        <v/>
      </c>
      <c r="H201" s="52"/>
      <c r="I201" s="276" t="str">
        <f>IFERROR(INDEX('G-7 WaterC'' Data'!$H$4:$L$8,MATCH(D201,'G-7 WaterC'' Data'!$B$4:$B$8,0),MATCH(H201,'G-7 WaterC'' Data'!$H$3:$L$3,0)),"")</f>
        <v/>
      </c>
      <c r="J201" s="777"/>
      <c r="K201" s="311" t="str">
        <f>IF(J201="","",IF(VLOOKUP(J201,'G-7 WaterC'' Data'!$AK$4:$AM$6,2,FALSE)=0,"Spatial Data Missing ⚠",VLOOKUP(J201,'G-7 WaterC'' Data'!$AK$4:$AM$6,2,FALSE)))</f>
        <v/>
      </c>
      <c r="L201" s="281" t="str">
        <f>IF(J201="","",IF(VLOOKUP(J201,'G-7 WaterC'' Data'!$AK$4:$AM$9,3,FALSE)=0,"Spatial Data Missing ⚠",VLOOKUP(J201,'G-7 WaterC'' Data'!$AK$4:$AM$6,3,FALSE)))</f>
        <v/>
      </c>
      <c r="M201" s="52"/>
      <c r="N201" s="276" t="str">
        <f>IF(M201="","",IF(AND(D201&lt;&gt;"Culvert",M201="N/A - Culvert"),"Not possible ▲",IF(AND(D201="Culvert",M201&lt;&gt;"N/A - Culvert"),"Not possible ▲",IF(VLOOKUP(M201,'G-7 WaterC'' Data'!$AA$4:$AB$7,2,FALSE)=0,"Spatial Data Missing ⚠",VLOOKUP(M201,'G-7 WaterC'' Data'!$AA$4:$AB$7,2,FALSE)))))</f>
        <v/>
      </c>
      <c r="O201" s="56"/>
      <c r="P201" s="276" t="str">
        <f>IF(O201="","",IF(AND(O201="N/A - Culvert",D201&lt;&gt;"Culvert"),"Not possible ▲",IF(AND(D201="Culvert",O201&lt;&gt;"N/A - Culvert"),"Not possible ▲",IF(VLOOKUP(O201,'G-7 WaterC'' Data'!$AD$4:$AE$14,2,FALSE)=0,"Spatial Data Missing ⚠",VLOOKUP(O201,'G-7 WaterC'' Data'!$AD$4:$AE$14,2,FALSE)))))</f>
        <v/>
      </c>
      <c r="Q201" s="282" t="str">
        <f>IF(D201="","",VLOOKUP(D201,'G-7 WaterC'' Data'!$B$2:$G$8,6,FALSE))</f>
        <v/>
      </c>
      <c r="R201" s="289" t="str">
        <f t="shared" si="21"/>
        <v xml:space="preserve"> </v>
      </c>
      <c r="S201" s="803" t="str">
        <f t="shared" si="22"/>
        <v/>
      </c>
      <c r="T201" s="32"/>
      <c r="U201" s="101"/>
      <c r="V201" s="108"/>
      <c r="W201" s="287" t="str">
        <f t="shared" si="23"/>
        <v/>
      </c>
      <c r="X201" s="287" t="str">
        <f t="shared" si="24"/>
        <v/>
      </c>
      <c r="Y201" s="287" t="str">
        <f t="shared" si="25"/>
        <v/>
      </c>
      <c r="Z201" s="317" t="str">
        <f>IFERROR(IF(OR(E201="",R201=""),"",IF(AND(Q201='G-7 WaterC'' Data'!$G$4,AA201="Yes"),"Alternative Compensation ✓",IF(AND(AA201="Pending",Q201='G-7 WaterC'' Data'!$G$4),"Bespoke compensation must be agreed ▲",IF((W201+X201)&gt;=R201,0,R201-W201-X201)))),"Check Data ⚠")</f>
        <v/>
      </c>
      <c r="AA201" s="800"/>
      <c r="AB201" s="136"/>
      <c r="AC201" s="104"/>
      <c r="AD201" s="104"/>
      <c r="AE201" s="54" t="str">
        <f>IF(OR(Q201="",AA201="Yes"),"",IF(Q201='G-1 All Habitats'!$X$9,E201-U201-V201,"None"))</f>
        <v/>
      </c>
      <c r="AF201" s="55" t="str">
        <f>IF(Q201="","",IF(Q201='G-1 All Habitats'!$X$9,AE201*G201*I201*L201*N201*P201,"None"))</f>
        <v/>
      </c>
      <c r="AI201" s="30">
        <f t="shared" si="26"/>
        <v>0</v>
      </c>
      <c r="AJ201" s="107" t="str">
        <f t="shared" si="27"/>
        <v/>
      </c>
      <c r="AK201" s="107" t="str">
        <f t="shared" si="28"/>
        <v/>
      </c>
      <c r="AM201" s="107">
        <v>192</v>
      </c>
      <c r="AO201" s="107" t="str">
        <f t="array" ref="AO201">IFERROR(INDEX($AM$10:$AM$258,MATCH(0,IF(TRUE=$AJ$10:$AJ$258,COUNTIF($AO$9:$AO200,$AM$10:$AM$258),""),0)),"")</f>
        <v/>
      </c>
      <c r="AP201" s="107" t="str">
        <f t="array" ref="AP201">IFERROR(INDEX($AM$10:$AM$258,MATCH(0,IF(TRUE=$AK$10:$AK$258,COUNTIF($AP$9:$AP200,$AM$10:$AM$258),""),0)),"")</f>
        <v/>
      </c>
      <c r="AR201" s="30" t="str">
        <f>IFERROR(INDEX('G-7 WaterC'' Data'!$AZ$3:$AZ$7,MATCH(D201,'G-7 WaterC'' Data'!$AY$3:$AY$7,0)),"")</f>
        <v/>
      </c>
      <c r="AS201" s="30" t="str">
        <f>IFERROR(INDEX('G-7 WaterC'' Data'!AZ201:AZ205,MATCH(D201,'G-7 WaterC'' Data'!$AY$10:$AY$14,0)),"")</f>
        <v/>
      </c>
      <c r="AT201" s="885" t="str">
        <f>IF(AND(OR(AA201="Yes",AA201="Pending"),Q201='G-7 WaterC'' Data'!$G$4),R201-W201-X201,"")</f>
        <v/>
      </c>
      <c r="AU201" s="30" t="str">
        <f>IF(D201="","",VLOOKUP(D201,'G-7 WaterC'' Data'!B$4:M$8,12,FALSE))</f>
        <v/>
      </c>
      <c r="AV201" s="30" t="str">
        <f t="shared" si="20"/>
        <v/>
      </c>
      <c r="AX201" s="30" t="str">
        <f t="shared" si="29"/>
        <v>No</v>
      </c>
    </row>
    <row r="202" spans="3:50" ht="14" hidden="1">
      <c r="C202" s="97">
        <v>193</v>
      </c>
      <c r="D202" s="261"/>
      <c r="E202" s="115"/>
      <c r="F202" s="275" t="str">
        <f>IF(D202="","",VLOOKUP(D202,'G-7 WaterC'' Data'!$B$2:$G$8,2,FALSE))</f>
        <v/>
      </c>
      <c r="G202" s="276" t="str">
        <f>IFERROR(VLOOKUP(F202,'G-7 WaterC'' Data'!$C$4:$D$8,2,FALSE),"")</f>
        <v/>
      </c>
      <c r="H202" s="52"/>
      <c r="I202" s="276" t="str">
        <f>IFERROR(INDEX('G-7 WaterC'' Data'!$H$4:$L$8,MATCH(D202,'G-7 WaterC'' Data'!$B$4:$B$8,0),MATCH(H202,'G-7 WaterC'' Data'!$H$3:$L$3,0)),"")</f>
        <v/>
      </c>
      <c r="J202" s="777"/>
      <c r="K202" s="311" t="str">
        <f>IF(J202="","",IF(VLOOKUP(J202,'G-7 WaterC'' Data'!$AK$4:$AM$6,2,FALSE)=0,"Spatial Data Missing ⚠",VLOOKUP(J202,'G-7 WaterC'' Data'!$AK$4:$AM$6,2,FALSE)))</f>
        <v/>
      </c>
      <c r="L202" s="281" t="str">
        <f>IF(J202="","",IF(VLOOKUP(J202,'G-7 WaterC'' Data'!$AK$4:$AM$9,3,FALSE)=0,"Spatial Data Missing ⚠",VLOOKUP(J202,'G-7 WaterC'' Data'!$AK$4:$AM$6,3,FALSE)))</f>
        <v/>
      </c>
      <c r="M202" s="52"/>
      <c r="N202" s="276" t="str">
        <f>IF(M202="","",IF(AND(D202&lt;&gt;"Culvert",M202="N/A - Culvert"),"Not possible ▲",IF(AND(D202="Culvert",M202&lt;&gt;"N/A - Culvert"),"Not possible ▲",IF(VLOOKUP(M202,'G-7 WaterC'' Data'!$AA$4:$AB$7,2,FALSE)=0,"Spatial Data Missing ⚠",VLOOKUP(M202,'G-7 WaterC'' Data'!$AA$4:$AB$7,2,FALSE)))))</f>
        <v/>
      </c>
      <c r="O202" s="56"/>
      <c r="P202" s="276" t="str">
        <f>IF(O202="","",IF(AND(O202="N/A - Culvert",D202&lt;&gt;"Culvert"),"Not possible ▲",IF(AND(D202="Culvert",O202&lt;&gt;"N/A - Culvert"),"Not possible ▲",IF(VLOOKUP(O202,'G-7 WaterC'' Data'!$AD$4:$AE$14,2,FALSE)=0,"Spatial Data Missing ⚠",VLOOKUP(O202,'G-7 WaterC'' Data'!$AD$4:$AE$14,2,FALSE)))))</f>
        <v/>
      </c>
      <c r="Q202" s="282" t="str">
        <f>IF(D202="","",VLOOKUP(D202,'G-7 WaterC'' Data'!$B$2:$G$8,6,FALSE))</f>
        <v/>
      </c>
      <c r="R202" s="289" t="str">
        <f t="shared" si="21"/>
        <v xml:space="preserve"> </v>
      </c>
      <c r="S202" s="803" t="str">
        <f t="shared" si="22"/>
        <v/>
      </c>
      <c r="T202" s="32"/>
      <c r="U202" s="101"/>
      <c r="V202" s="108"/>
      <c r="W202" s="287" t="str">
        <f t="shared" si="23"/>
        <v/>
      </c>
      <c r="X202" s="287" t="str">
        <f t="shared" si="24"/>
        <v/>
      </c>
      <c r="Y202" s="287" t="str">
        <f t="shared" si="25"/>
        <v/>
      </c>
      <c r="Z202" s="317" t="str">
        <f>IFERROR(IF(OR(E202="",R202=""),"",IF(AND(Q202='G-7 WaterC'' Data'!$G$4,AA202="Yes"),"Alternative Compensation ✓",IF(AND(AA202="Pending",Q202='G-7 WaterC'' Data'!$G$4),"Bespoke compensation must be agreed ▲",IF((W202+X202)&gt;=R202,0,R202-W202-X202)))),"Check Data ⚠")</f>
        <v/>
      </c>
      <c r="AA202" s="800"/>
      <c r="AB202" s="136"/>
      <c r="AC202" s="104"/>
      <c r="AD202" s="104"/>
      <c r="AE202" s="54" t="str">
        <f>IF(OR(Q202="",AA202="Yes"),"",IF(Q202='G-1 All Habitats'!$X$9,E202-U202-V202,"None"))</f>
        <v/>
      </c>
      <c r="AF202" s="55" t="str">
        <f>IF(Q202="","",IF(Q202='G-1 All Habitats'!$X$9,AE202*G202*I202*L202*N202*P202,"None"))</f>
        <v/>
      </c>
      <c r="AI202" s="30">
        <f t="shared" si="26"/>
        <v>0</v>
      </c>
      <c r="AJ202" s="107" t="str">
        <f t="shared" si="27"/>
        <v/>
      </c>
      <c r="AK202" s="107" t="str">
        <f t="shared" si="28"/>
        <v/>
      </c>
      <c r="AM202" s="107">
        <v>193</v>
      </c>
      <c r="AO202" s="107" t="str">
        <f t="array" ref="AO202">IFERROR(INDEX($AM$10:$AM$258,MATCH(0,IF(TRUE=$AJ$10:$AJ$258,COUNTIF($AO$9:$AO201,$AM$10:$AM$258),""),0)),"")</f>
        <v/>
      </c>
      <c r="AP202" s="107" t="str">
        <f t="array" ref="AP202">IFERROR(INDEX($AM$10:$AM$258,MATCH(0,IF(TRUE=$AK$10:$AK$258,COUNTIF($AP$9:$AP201,$AM$10:$AM$258),""),0)),"")</f>
        <v/>
      </c>
      <c r="AR202" s="30" t="str">
        <f>IFERROR(INDEX('G-7 WaterC'' Data'!$AZ$3:$AZ$7,MATCH(D202,'G-7 WaterC'' Data'!$AY$3:$AY$7,0)),"")</f>
        <v/>
      </c>
      <c r="AS202" s="30" t="str">
        <f>IFERROR(INDEX('G-7 WaterC'' Data'!AZ202:AZ206,MATCH(D202,'G-7 WaterC'' Data'!$AY$10:$AY$14,0)),"")</f>
        <v/>
      </c>
      <c r="AT202" s="885" t="str">
        <f>IF(AND(OR(AA202="Yes",AA202="Pending"),Q202='G-7 WaterC'' Data'!$G$4),R202-W202-X202,"")</f>
        <v/>
      </c>
      <c r="AU202" s="30" t="str">
        <f>IF(D202="","",VLOOKUP(D202,'G-7 WaterC'' Data'!B$4:M$8,12,FALSE))</f>
        <v/>
      </c>
      <c r="AV202" s="30" t="str">
        <f t="shared" si="30" ref="AV202:AV257">IF(AA202="","",IF(AA202="Yes","Yes ✓","No ▲"))</f>
        <v/>
      </c>
      <c r="AX202" s="30" t="str">
        <f t="shared" si="29"/>
        <v>No</v>
      </c>
    </row>
    <row r="203" spans="3:50" ht="14" hidden="1">
      <c r="C203" s="97">
        <v>194</v>
      </c>
      <c r="D203" s="261"/>
      <c r="E203" s="115"/>
      <c r="F203" s="275" t="str">
        <f>IF(D203="","",VLOOKUP(D203,'G-7 WaterC'' Data'!$B$2:$G$8,2,FALSE))</f>
        <v/>
      </c>
      <c r="G203" s="276" t="str">
        <f>IFERROR(VLOOKUP(F203,'G-7 WaterC'' Data'!$C$4:$D$8,2,FALSE),"")</f>
        <v/>
      </c>
      <c r="H203" s="52"/>
      <c r="I203" s="276" t="str">
        <f>IFERROR(INDEX('G-7 WaterC'' Data'!$H$4:$L$8,MATCH(D203,'G-7 WaterC'' Data'!$B$4:$B$8,0),MATCH(H203,'G-7 WaterC'' Data'!$H$3:$L$3,0)),"")</f>
        <v/>
      </c>
      <c r="J203" s="777"/>
      <c r="K203" s="311" t="str">
        <f>IF(J203="","",IF(VLOOKUP(J203,'G-7 WaterC'' Data'!$AK$4:$AM$6,2,FALSE)=0,"Spatial Data Missing ⚠",VLOOKUP(J203,'G-7 WaterC'' Data'!$AK$4:$AM$6,2,FALSE)))</f>
        <v/>
      </c>
      <c r="L203" s="281" t="str">
        <f>IF(J203="","",IF(VLOOKUP(J203,'G-7 WaterC'' Data'!$AK$4:$AM$9,3,FALSE)=0,"Spatial Data Missing ⚠",VLOOKUP(J203,'G-7 WaterC'' Data'!$AK$4:$AM$6,3,FALSE)))</f>
        <v/>
      </c>
      <c r="M203" s="52"/>
      <c r="N203" s="276" t="str">
        <f>IF(M203="","",IF(AND(D203&lt;&gt;"Culvert",M203="N/A - Culvert"),"Not possible ▲",IF(AND(D203="Culvert",M203&lt;&gt;"N/A - Culvert"),"Not possible ▲",IF(VLOOKUP(M203,'G-7 WaterC'' Data'!$AA$4:$AB$7,2,FALSE)=0,"Spatial Data Missing ⚠",VLOOKUP(M203,'G-7 WaterC'' Data'!$AA$4:$AB$7,2,FALSE)))))</f>
        <v/>
      </c>
      <c r="O203" s="56"/>
      <c r="P203" s="276" t="str">
        <f>IF(O203="","",IF(AND(O203="N/A - Culvert",D203&lt;&gt;"Culvert"),"Not possible ▲",IF(AND(D203="Culvert",O203&lt;&gt;"N/A - Culvert"),"Not possible ▲",IF(VLOOKUP(O203,'G-7 WaterC'' Data'!$AD$4:$AE$14,2,FALSE)=0,"Spatial Data Missing ⚠",VLOOKUP(O203,'G-7 WaterC'' Data'!$AD$4:$AE$14,2,FALSE)))))</f>
        <v/>
      </c>
      <c r="Q203" s="282" t="str">
        <f>IF(D203="","",VLOOKUP(D203,'G-7 WaterC'' Data'!$B$2:$G$8,6,FALSE))</f>
        <v/>
      </c>
      <c r="R203" s="289" t="str">
        <f t="shared" si="31" ref="R203:R257">IFERROR(IF(AND(U203&gt;0,V203&gt;0,U203+V203&gt;E203),"Split retained and enhanced into separate entries ▲",IF(OR(K203="Check data ⚠",I203="Check data ⚠"),"Check data ▲",E203*G203*I203*L203*N203*P203))," ")</f>
        <v xml:space="preserve"> </v>
      </c>
      <c r="S203" s="803" t="str">
        <f t="shared" si="32" ref="S203:S257">AU203</f>
        <v/>
      </c>
      <c r="T203" s="32"/>
      <c r="U203" s="101"/>
      <c r="V203" s="108"/>
      <c r="W203" s="287" t="str">
        <f t="shared" si="33" ref="W203:W257">IFERROR(IF(U203&gt;E203,"Error in Lengths ▲",U203*G203*I203*L203*N203*P203),"")</f>
        <v/>
      </c>
      <c r="X203" s="287" t="str">
        <f t="shared" si="34" ref="X203:X257">IFERROR(IF(D203="","",V203*G203*I203*L203*N203*P203),"")</f>
        <v/>
      </c>
      <c r="Y203" s="287" t="str">
        <f t="shared" si="35" ref="Y203:Y257">IFERROR(IF(D203="","",IF(E203&gt;(U203+V203),E203-U203-V203,0)),"")</f>
        <v/>
      </c>
      <c r="Z203" s="317" t="str">
        <f>IFERROR(IF(OR(E203="",R203=""),"",IF(AND(Q203='G-7 WaterC'' Data'!$G$4,AA203="Yes"),"Alternative Compensation ✓",IF(AND(AA203="Pending",Q203='G-7 WaterC'' Data'!$G$4),"Bespoke compensation must be agreed ▲",IF((W203+X203)&gt;=R203,0,R203-W203-X203)))),"Check Data ⚠")</f>
        <v/>
      </c>
      <c r="AA203" s="800"/>
      <c r="AB203" s="136"/>
      <c r="AC203" s="104"/>
      <c r="AD203" s="104"/>
      <c r="AE203" s="54" t="str">
        <f>IF(OR(Q203="",AA203="Yes"),"",IF(Q203='G-1 All Habitats'!$X$9,E203-U203-V203,"None"))</f>
        <v/>
      </c>
      <c r="AF203" s="55" t="str">
        <f>IF(Q203="","",IF(Q203='G-1 All Habitats'!$X$9,AE203*G203*I203*L203*N203*P203,"None"))</f>
        <v/>
      </c>
      <c r="AI203" s="30">
        <f t="shared" si="36" ref="AI203:AI257">IFERROR(IF(U203+V203&gt;E203,1,0),"")</f>
        <v>0</v>
      </c>
      <c r="AJ203" s="107" t="str">
        <f t="shared" si="37" ref="AJ203:AJ257">IF(D203="","",IF(U203&gt;0,TRUE,FALSE))</f>
        <v/>
      </c>
      <c r="AK203" s="107" t="str">
        <f t="shared" si="38" ref="AK203:AK257">IF(D203="","",IF(V203&gt;0,TRUE,FALSE))</f>
        <v/>
      </c>
      <c r="AM203" s="107">
        <v>194</v>
      </c>
      <c r="AO203" s="107" t="str">
        <f t="array" ref="AO203">IFERROR(INDEX($AM$10:$AM$258,MATCH(0,IF(TRUE=$AJ$10:$AJ$258,COUNTIF($AO$9:$AO202,$AM$10:$AM$258),""),0)),"")</f>
        <v/>
      </c>
      <c r="AP203" s="107" t="str">
        <f t="array" ref="AP203">IFERROR(INDEX($AM$10:$AM$258,MATCH(0,IF(TRUE=$AK$10:$AK$258,COUNTIF($AP$9:$AP202,$AM$10:$AM$258),""),0)),"")</f>
        <v/>
      </c>
      <c r="AR203" s="30" t="str">
        <f>IFERROR(INDEX('G-7 WaterC'' Data'!$AZ$3:$AZ$7,MATCH(D203,'G-7 WaterC'' Data'!$AY$3:$AY$7,0)),"")</f>
        <v/>
      </c>
      <c r="AS203" s="30" t="str">
        <f>IFERROR(INDEX('G-7 WaterC'' Data'!AZ203:AZ207,MATCH(D203,'G-7 WaterC'' Data'!$AY$10:$AY$14,0)),"")</f>
        <v/>
      </c>
      <c r="AT203" s="885" t="str">
        <f>IF(AND(OR(AA203="Yes",AA203="Pending"),Q203='G-7 WaterC'' Data'!$G$4),R203-W203-X203,"")</f>
        <v/>
      </c>
      <c r="AU203" s="30" t="str">
        <f>IF(D203="","",VLOOKUP(D203,'G-7 WaterC'' Data'!B$4:M$8,12,FALSE))</f>
        <v/>
      </c>
      <c r="AV203" s="30" t="str">
        <f t="shared" si="30"/>
        <v/>
      </c>
      <c r="AX203" s="30" t="str">
        <f t="shared" si="39" ref="AX203:AX258">IF(AND(D203="Ditches",(OR(H203="Fairly Poor",H203="Fairly Good"))),"Yes","No")</f>
        <v>No</v>
      </c>
    </row>
    <row r="204" spans="3:50" ht="14" hidden="1">
      <c r="C204" s="97">
        <v>195</v>
      </c>
      <c r="D204" s="261"/>
      <c r="E204" s="115"/>
      <c r="F204" s="275" t="str">
        <f>IF(D204="","",VLOOKUP(D204,'G-7 WaterC'' Data'!$B$2:$G$8,2,FALSE))</f>
        <v/>
      </c>
      <c r="G204" s="276" t="str">
        <f>IFERROR(VLOOKUP(F204,'G-7 WaterC'' Data'!$C$4:$D$8,2,FALSE),"")</f>
        <v/>
      </c>
      <c r="H204" s="52"/>
      <c r="I204" s="276" t="str">
        <f>IFERROR(INDEX('G-7 WaterC'' Data'!$H$4:$L$8,MATCH(D204,'G-7 WaterC'' Data'!$B$4:$B$8,0),MATCH(H204,'G-7 WaterC'' Data'!$H$3:$L$3,0)),"")</f>
        <v/>
      </c>
      <c r="J204" s="777"/>
      <c r="K204" s="311" t="str">
        <f>IF(J204="","",IF(VLOOKUP(J204,'G-7 WaterC'' Data'!$AK$4:$AM$6,2,FALSE)=0,"Spatial Data Missing ⚠",VLOOKUP(J204,'G-7 WaterC'' Data'!$AK$4:$AM$6,2,FALSE)))</f>
        <v/>
      </c>
      <c r="L204" s="281" t="str">
        <f>IF(J204="","",IF(VLOOKUP(J204,'G-7 WaterC'' Data'!$AK$4:$AM$9,3,FALSE)=0,"Spatial Data Missing ⚠",VLOOKUP(J204,'G-7 WaterC'' Data'!$AK$4:$AM$6,3,FALSE)))</f>
        <v/>
      </c>
      <c r="M204" s="52"/>
      <c r="N204" s="276" t="str">
        <f>IF(M204="","",IF(AND(D204&lt;&gt;"Culvert",M204="N/A - Culvert"),"Not possible ▲",IF(AND(D204="Culvert",M204&lt;&gt;"N/A - Culvert"),"Not possible ▲",IF(VLOOKUP(M204,'G-7 WaterC'' Data'!$AA$4:$AB$7,2,FALSE)=0,"Spatial Data Missing ⚠",VLOOKUP(M204,'G-7 WaterC'' Data'!$AA$4:$AB$7,2,FALSE)))))</f>
        <v/>
      </c>
      <c r="O204" s="56"/>
      <c r="P204" s="276" t="str">
        <f>IF(O204="","",IF(AND(O204="N/A - Culvert",D204&lt;&gt;"Culvert"),"Not possible ▲",IF(AND(D204="Culvert",O204&lt;&gt;"N/A - Culvert"),"Not possible ▲",IF(VLOOKUP(O204,'G-7 WaterC'' Data'!$AD$4:$AE$14,2,FALSE)=0,"Spatial Data Missing ⚠",VLOOKUP(O204,'G-7 WaterC'' Data'!$AD$4:$AE$14,2,FALSE)))))</f>
        <v/>
      </c>
      <c r="Q204" s="282" t="str">
        <f>IF(D204="","",VLOOKUP(D204,'G-7 WaterC'' Data'!$B$2:$G$8,6,FALSE))</f>
        <v/>
      </c>
      <c r="R204" s="289" t="str">
        <f t="shared" si="31"/>
        <v xml:space="preserve"> </v>
      </c>
      <c r="S204" s="803" t="str">
        <f t="shared" si="32"/>
        <v/>
      </c>
      <c r="T204" s="32"/>
      <c r="U204" s="101"/>
      <c r="V204" s="108"/>
      <c r="W204" s="287" t="str">
        <f t="shared" si="33"/>
        <v/>
      </c>
      <c r="X204" s="287" t="str">
        <f t="shared" si="34"/>
        <v/>
      </c>
      <c r="Y204" s="287" t="str">
        <f t="shared" si="35"/>
        <v/>
      </c>
      <c r="Z204" s="317" t="str">
        <f>IFERROR(IF(OR(E204="",R204=""),"",IF(AND(Q204='G-7 WaterC'' Data'!$G$4,AA204="Yes"),"Alternative Compensation ✓",IF(AND(AA204="Pending",Q204='G-7 WaterC'' Data'!$G$4),"Bespoke compensation must be agreed ▲",IF((W204+X204)&gt;=R204,0,R204-W204-X204)))),"Check Data ⚠")</f>
        <v/>
      </c>
      <c r="AA204" s="800"/>
      <c r="AB204" s="136"/>
      <c r="AC204" s="104"/>
      <c r="AD204" s="104"/>
      <c r="AE204" s="54" t="str">
        <f>IF(OR(Q204="",AA204="Yes"),"",IF(Q204='G-1 All Habitats'!$X$9,E204-U204-V204,"None"))</f>
        <v/>
      </c>
      <c r="AF204" s="55" t="str">
        <f>IF(Q204="","",IF(Q204='G-1 All Habitats'!$X$9,AE204*G204*I204*L204*N204*P204,"None"))</f>
        <v/>
      </c>
      <c r="AI204" s="30">
        <f t="shared" si="36"/>
        <v>0</v>
      </c>
      <c r="AJ204" s="107" t="str">
        <f t="shared" si="37"/>
        <v/>
      </c>
      <c r="AK204" s="107" t="str">
        <f t="shared" si="38"/>
        <v/>
      </c>
      <c r="AM204" s="107">
        <v>195</v>
      </c>
      <c r="AO204" s="107" t="str">
        <f t="array" ref="AO204">IFERROR(INDEX($AM$10:$AM$258,MATCH(0,IF(TRUE=$AJ$10:$AJ$258,COUNTIF($AO$9:$AO203,$AM$10:$AM$258),""),0)),"")</f>
        <v/>
      </c>
      <c r="AP204" s="107" t="str">
        <f t="array" ref="AP204">IFERROR(INDEX($AM$10:$AM$258,MATCH(0,IF(TRUE=$AK$10:$AK$258,COUNTIF($AP$9:$AP203,$AM$10:$AM$258),""),0)),"")</f>
        <v/>
      </c>
      <c r="AR204" s="30" t="str">
        <f>IFERROR(INDEX('G-7 WaterC'' Data'!$AZ$3:$AZ$7,MATCH(D204,'G-7 WaterC'' Data'!$AY$3:$AY$7,0)),"")</f>
        <v/>
      </c>
      <c r="AS204" s="30" t="str">
        <f>IFERROR(INDEX('G-7 WaterC'' Data'!AZ204:AZ208,MATCH(D204,'G-7 WaterC'' Data'!$AY$10:$AY$14,0)),"")</f>
        <v/>
      </c>
      <c r="AT204" s="885" t="str">
        <f>IF(AND(OR(AA204="Yes",AA204="Pending"),Q204='G-7 WaterC'' Data'!$G$4),R204-W204-X204,"")</f>
        <v/>
      </c>
      <c r="AU204" s="30" t="str">
        <f>IF(D204="","",VLOOKUP(D204,'G-7 WaterC'' Data'!B$4:M$8,12,FALSE))</f>
        <v/>
      </c>
      <c r="AV204" s="30" t="str">
        <f t="shared" si="30"/>
        <v/>
      </c>
      <c r="AX204" s="30" t="str">
        <f t="shared" si="39"/>
        <v>No</v>
      </c>
    </row>
    <row r="205" spans="3:50" ht="14" hidden="1">
      <c r="C205" s="97">
        <v>196</v>
      </c>
      <c r="D205" s="261"/>
      <c r="E205" s="115"/>
      <c r="F205" s="275" t="str">
        <f>IF(D205="","",VLOOKUP(D205,'G-7 WaterC'' Data'!$B$2:$G$8,2,FALSE))</f>
        <v/>
      </c>
      <c r="G205" s="276" t="str">
        <f>IFERROR(VLOOKUP(F205,'G-7 WaterC'' Data'!$C$4:$D$8,2,FALSE),"")</f>
        <v/>
      </c>
      <c r="H205" s="52"/>
      <c r="I205" s="276" t="str">
        <f>IFERROR(INDEX('G-7 WaterC'' Data'!$H$4:$L$8,MATCH(D205,'G-7 WaterC'' Data'!$B$4:$B$8,0),MATCH(H205,'G-7 WaterC'' Data'!$H$3:$L$3,0)),"")</f>
        <v/>
      </c>
      <c r="J205" s="777"/>
      <c r="K205" s="311" t="str">
        <f>IF(J205="","",IF(VLOOKUP(J205,'G-7 WaterC'' Data'!$AK$4:$AM$6,2,FALSE)=0,"Spatial Data Missing ⚠",VLOOKUP(J205,'G-7 WaterC'' Data'!$AK$4:$AM$6,2,FALSE)))</f>
        <v/>
      </c>
      <c r="L205" s="281" t="str">
        <f>IF(J205="","",IF(VLOOKUP(J205,'G-7 WaterC'' Data'!$AK$4:$AM$9,3,FALSE)=0,"Spatial Data Missing ⚠",VLOOKUP(J205,'G-7 WaterC'' Data'!$AK$4:$AM$6,3,FALSE)))</f>
        <v/>
      </c>
      <c r="M205" s="52"/>
      <c r="N205" s="276" t="str">
        <f>IF(M205="","",IF(AND(D205&lt;&gt;"Culvert",M205="N/A - Culvert"),"Not possible ▲",IF(AND(D205="Culvert",M205&lt;&gt;"N/A - Culvert"),"Not possible ▲",IF(VLOOKUP(M205,'G-7 WaterC'' Data'!$AA$4:$AB$7,2,FALSE)=0,"Spatial Data Missing ⚠",VLOOKUP(M205,'G-7 WaterC'' Data'!$AA$4:$AB$7,2,FALSE)))))</f>
        <v/>
      </c>
      <c r="O205" s="56"/>
      <c r="P205" s="276" t="str">
        <f>IF(O205="","",IF(AND(O205="N/A - Culvert",D205&lt;&gt;"Culvert"),"Not possible ▲",IF(AND(D205="Culvert",O205&lt;&gt;"N/A - Culvert"),"Not possible ▲",IF(VLOOKUP(O205,'G-7 WaterC'' Data'!$AD$4:$AE$14,2,FALSE)=0,"Spatial Data Missing ⚠",VLOOKUP(O205,'G-7 WaterC'' Data'!$AD$4:$AE$14,2,FALSE)))))</f>
        <v/>
      </c>
      <c r="Q205" s="282" t="str">
        <f>IF(D205="","",VLOOKUP(D205,'G-7 WaterC'' Data'!$B$2:$G$8,6,FALSE))</f>
        <v/>
      </c>
      <c r="R205" s="289" t="str">
        <f t="shared" si="31"/>
        <v xml:space="preserve"> </v>
      </c>
      <c r="S205" s="803" t="str">
        <f t="shared" si="32"/>
        <v/>
      </c>
      <c r="T205" s="32"/>
      <c r="U205" s="101"/>
      <c r="V205" s="108"/>
      <c r="W205" s="287" t="str">
        <f t="shared" si="33"/>
        <v/>
      </c>
      <c r="X205" s="287" t="str">
        <f t="shared" si="34"/>
        <v/>
      </c>
      <c r="Y205" s="287" t="str">
        <f t="shared" si="35"/>
        <v/>
      </c>
      <c r="Z205" s="317" t="str">
        <f>IFERROR(IF(OR(E205="",R205=""),"",IF(AND(Q205='G-7 WaterC'' Data'!$G$4,AA205="Yes"),"Alternative Compensation ✓",IF(AND(AA205="Pending",Q205='G-7 WaterC'' Data'!$G$4),"Bespoke compensation must be agreed ▲",IF((W205+X205)&gt;=R205,0,R205-W205-X205)))),"Check Data ⚠")</f>
        <v/>
      </c>
      <c r="AA205" s="800"/>
      <c r="AB205" s="136"/>
      <c r="AC205" s="104"/>
      <c r="AD205" s="104"/>
      <c r="AE205" s="54" t="str">
        <f>IF(OR(Q205="",AA205="Yes"),"",IF(Q205='G-1 All Habitats'!$X$9,E205-U205-V205,"None"))</f>
        <v/>
      </c>
      <c r="AF205" s="55" t="str">
        <f>IF(Q205="","",IF(Q205='G-1 All Habitats'!$X$9,AE205*G205*I205*L205*N205*P205,"None"))</f>
        <v/>
      </c>
      <c r="AI205" s="30">
        <f t="shared" si="36"/>
        <v>0</v>
      </c>
      <c r="AJ205" s="107" t="str">
        <f t="shared" si="37"/>
        <v/>
      </c>
      <c r="AK205" s="107" t="str">
        <f t="shared" si="38"/>
        <v/>
      </c>
      <c r="AM205" s="107">
        <v>196</v>
      </c>
      <c r="AO205" s="107" t="str">
        <f t="array" ref="AO205">IFERROR(INDEX($AM$10:$AM$258,MATCH(0,IF(TRUE=$AJ$10:$AJ$258,COUNTIF($AO$9:$AO204,$AM$10:$AM$258),""),0)),"")</f>
        <v/>
      </c>
      <c r="AP205" s="107" t="str">
        <f t="array" ref="AP205">IFERROR(INDEX($AM$10:$AM$258,MATCH(0,IF(TRUE=$AK$10:$AK$258,COUNTIF($AP$9:$AP204,$AM$10:$AM$258),""),0)),"")</f>
        <v/>
      </c>
      <c r="AR205" s="30" t="str">
        <f>IFERROR(INDEX('G-7 WaterC'' Data'!$AZ$3:$AZ$7,MATCH(D205,'G-7 WaterC'' Data'!$AY$3:$AY$7,0)),"")</f>
        <v/>
      </c>
      <c r="AS205" s="30" t="str">
        <f>IFERROR(INDEX('G-7 WaterC'' Data'!AZ205:AZ209,MATCH(D205,'G-7 WaterC'' Data'!$AY$10:$AY$14,0)),"")</f>
        <v/>
      </c>
      <c r="AT205" s="885" t="str">
        <f>IF(AND(OR(AA205="Yes",AA205="Pending"),Q205='G-7 WaterC'' Data'!$G$4),R205-W205-X205,"")</f>
        <v/>
      </c>
      <c r="AU205" s="30" t="str">
        <f>IF(D205="","",VLOOKUP(D205,'G-7 WaterC'' Data'!B$4:M$8,12,FALSE))</f>
        <v/>
      </c>
      <c r="AV205" s="30" t="str">
        <f t="shared" si="30"/>
        <v/>
      </c>
      <c r="AX205" s="30" t="str">
        <f t="shared" si="39"/>
        <v>No</v>
      </c>
    </row>
    <row r="206" spans="3:50" ht="14" hidden="1">
      <c r="C206" s="97">
        <v>197</v>
      </c>
      <c r="D206" s="261"/>
      <c r="E206" s="115"/>
      <c r="F206" s="275" t="str">
        <f>IF(D206="","",VLOOKUP(D206,'G-7 WaterC'' Data'!$B$2:$G$8,2,FALSE))</f>
        <v/>
      </c>
      <c r="G206" s="276" t="str">
        <f>IFERROR(VLOOKUP(F206,'G-7 WaterC'' Data'!$C$4:$D$8,2,FALSE),"")</f>
        <v/>
      </c>
      <c r="H206" s="52"/>
      <c r="I206" s="276" t="str">
        <f>IFERROR(INDEX('G-7 WaterC'' Data'!$H$4:$L$8,MATCH(D206,'G-7 WaterC'' Data'!$B$4:$B$8,0),MATCH(H206,'G-7 WaterC'' Data'!$H$3:$L$3,0)),"")</f>
        <v/>
      </c>
      <c r="J206" s="777"/>
      <c r="K206" s="311" t="str">
        <f>IF(J206="","",IF(VLOOKUP(J206,'G-7 WaterC'' Data'!$AK$4:$AM$6,2,FALSE)=0,"Spatial Data Missing ⚠",VLOOKUP(J206,'G-7 WaterC'' Data'!$AK$4:$AM$6,2,FALSE)))</f>
        <v/>
      </c>
      <c r="L206" s="281" t="str">
        <f>IF(J206="","",IF(VLOOKUP(J206,'G-7 WaterC'' Data'!$AK$4:$AM$9,3,FALSE)=0,"Spatial Data Missing ⚠",VLOOKUP(J206,'G-7 WaterC'' Data'!$AK$4:$AM$6,3,FALSE)))</f>
        <v/>
      </c>
      <c r="M206" s="52"/>
      <c r="N206" s="276" t="str">
        <f>IF(M206="","",IF(AND(D206&lt;&gt;"Culvert",M206="N/A - Culvert"),"Not possible ▲",IF(AND(D206="Culvert",M206&lt;&gt;"N/A - Culvert"),"Not possible ▲",IF(VLOOKUP(M206,'G-7 WaterC'' Data'!$AA$4:$AB$7,2,FALSE)=0,"Spatial Data Missing ⚠",VLOOKUP(M206,'G-7 WaterC'' Data'!$AA$4:$AB$7,2,FALSE)))))</f>
        <v/>
      </c>
      <c r="O206" s="56"/>
      <c r="P206" s="276" t="str">
        <f>IF(O206="","",IF(AND(O206="N/A - Culvert",D206&lt;&gt;"Culvert"),"Not possible ▲",IF(AND(D206="Culvert",O206&lt;&gt;"N/A - Culvert"),"Not possible ▲",IF(VLOOKUP(O206,'G-7 WaterC'' Data'!$AD$4:$AE$14,2,FALSE)=0,"Spatial Data Missing ⚠",VLOOKUP(O206,'G-7 WaterC'' Data'!$AD$4:$AE$14,2,FALSE)))))</f>
        <v/>
      </c>
      <c r="Q206" s="282" t="str">
        <f>IF(D206="","",VLOOKUP(D206,'G-7 WaterC'' Data'!$B$2:$G$8,6,FALSE))</f>
        <v/>
      </c>
      <c r="R206" s="289" t="str">
        <f t="shared" si="31"/>
        <v xml:space="preserve"> </v>
      </c>
      <c r="S206" s="803" t="str">
        <f t="shared" si="32"/>
        <v/>
      </c>
      <c r="T206" s="32"/>
      <c r="U206" s="101"/>
      <c r="V206" s="108"/>
      <c r="W206" s="287" t="str">
        <f t="shared" si="33"/>
        <v/>
      </c>
      <c r="X206" s="287" t="str">
        <f t="shared" si="34"/>
        <v/>
      </c>
      <c r="Y206" s="287" t="str">
        <f t="shared" si="35"/>
        <v/>
      </c>
      <c r="Z206" s="317" t="str">
        <f>IFERROR(IF(OR(E206="",R206=""),"",IF(AND(Q206='G-7 WaterC'' Data'!$G$4,AA206="Yes"),"Alternative Compensation ✓",IF(AND(AA206="Pending",Q206='G-7 WaterC'' Data'!$G$4),"Bespoke compensation must be agreed ▲",IF((W206+X206)&gt;=R206,0,R206-W206-X206)))),"Check Data ⚠")</f>
        <v/>
      </c>
      <c r="AA206" s="800"/>
      <c r="AB206" s="136"/>
      <c r="AC206" s="104"/>
      <c r="AD206" s="104"/>
      <c r="AE206" s="54" t="str">
        <f>IF(OR(Q206="",AA206="Yes"),"",IF(Q206='G-1 All Habitats'!$X$9,E206-U206-V206,"None"))</f>
        <v/>
      </c>
      <c r="AF206" s="55" t="str">
        <f>IF(Q206="","",IF(Q206='G-1 All Habitats'!$X$9,AE206*G206*I206*L206*N206*P206,"None"))</f>
        <v/>
      </c>
      <c r="AI206" s="30">
        <f t="shared" si="36"/>
        <v>0</v>
      </c>
      <c r="AJ206" s="107" t="str">
        <f t="shared" si="37"/>
        <v/>
      </c>
      <c r="AK206" s="107" t="str">
        <f t="shared" si="38"/>
        <v/>
      </c>
      <c r="AM206" s="107">
        <v>197</v>
      </c>
      <c r="AO206" s="107" t="str">
        <f t="array" ref="AO206">IFERROR(INDEX($AM$10:$AM$258,MATCH(0,IF(TRUE=$AJ$10:$AJ$258,COUNTIF($AO$9:$AO205,$AM$10:$AM$258),""),0)),"")</f>
        <v/>
      </c>
      <c r="AP206" s="107" t="str">
        <f t="array" ref="AP206">IFERROR(INDEX($AM$10:$AM$258,MATCH(0,IF(TRUE=$AK$10:$AK$258,COUNTIF($AP$9:$AP205,$AM$10:$AM$258),""),0)),"")</f>
        <v/>
      </c>
      <c r="AR206" s="30" t="str">
        <f>IFERROR(INDEX('G-7 WaterC'' Data'!$AZ$3:$AZ$7,MATCH(D206,'G-7 WaterC'' Data'!$AY$3:$AY$7,0)),"")</f>
        <v/>
      </c>
      <c r="AS206" s="30" t="str">
        <f>IFERROR(INDEX('G-7 WaterC'' Data'!AZ206:AZ210,MATCH(D206,'G-7 WaterC'' Data'!$AY$10:$AY$14,0)),"")</f>
        <v/>
      </c>
      <c r="AT206" s="885" t="str">
        <f>IF(AND(OR(AA206="Yes",AA206="Pending"),Q206='G-7 WaterC'' Data'!$G$4),R206-W206-X206,"")</f>
        <v/>
      </c>
      <c r="AU206" s="30" t="str">
        <f>IF(D206="","",VLOOKUP(D206,'G-7 WaterC'' Data'!B$4:M$8,12,FALSE))</f>
        <v/>
      </c>
      <c r="AV206" s="30" t="str">
        <f t="shared" si="30"/>
        <v/>
      </c>
      <c r="AX206" s="30" t="str">
        <f t="shared" si="39"/>
        <v>No</v>
      </c>
    </row>
    <row r="207" spans="3:50" ht="14" hidden="1">
      <c r="C207" s="97">
        <v>198</v>
      </c>
      <c r="D207" s="261"/>
      <c r="E207" s="115"/>
      <c r="F207" s="275" t="str">
        <f>IF(D207="","",VLOOKUP(D207,'G-7 WaterC'' Data'!$B$2:$G$8,2,FALSE))</f>
        <v/>
      </c>
      <c r="G207" s="276" t="str">
        <f>IFERROR(VLOOKUP(F207,'G-7 WaterC'' Data'!$C$4:$D$8,2,FALSE),"")</f>
        <v/>
      </c>
      <c r="H207" s="52"/>
      <c r="I207" s="276" t="str">
        <f>IFERROR(INDEX('G-7 WaterC'' Data'!$H$4:$L$8,MATCH(D207,'G-7 WaterC'' Data'!$B$4:$B$8,0),MATCH(H207,'G-7 WaterC'' Data'!$H$3:$L$3,0)),"")</f>
        <v/>
      </c>
      <c r="J207" s="777"/>
      <c r="K207" s="311" t="str">
        <f>IF(J207="","",IF(VLOOKUP(J207,'G-7 WaterC'' Data'!$AK$4:$AM$6,2,FALSE)=0,"Spatial Data Missing ⚠",VLOOKUP(J207,'G-7 WaterC'' Data'!$AK$4:$AM$6,2,FALSE)))</f>
        <v/>
      </c>
      <c r="L207" s="281" t="str">
        <f>IF(J207="","",IF(VLOOKUP(J207,'G-7 WaterC'' Data'!$AK$4:$AM$9,3,FALSE)=0,"Spatial Data Missing ⚠",VLOOKUP(J207,'G-7 WaterC'' Data'!$AK$4:$AM$6,3,FALSE)))</f>
        <v/>
      </c>
      <c r="M207" s="52"/>
      <c r="N207" s="276" t="str">
        <f>IF(M207="","",IF(AND(D207&lt;&gt;"Culvert",M207="N/A - Culvert"),"Not possible ▲",IF(AND(D207="Culvert",M207&lt;&gt;"N/A - Culvert"),"Not possible ▲",IF(VLOOKUP(M207,'G-7 WaterC'' Data'!$AA$4:$AB$7,2,FALSE)=0,"Spatial Data Missing ⚠",VLOOKUP(M207,'G-7 WaterC'' Data'!$AA$4:$AB$7,2,FALSE)))))</f>
        <v/>
      </c>
      <c r="O207" s="56"/>
      <c r="P207" s="276" t="str">
        <f>IF(O207="","",IF(AND(O207="N/A - Culvert",D207&lt;&gt;"Culvert"),"Not possible ▲",IF(AND(D207="Culvert",O207&lt;&gt;"N/A - Culvert"),"Not possible ▲",IF(VLOOKUP(O207,'G-7 WaterC'' Data'!$AD$4:$AE$14,2,FALSE)=0,"Spatial Data Missing ⚠",VLOOKUP(O207,'G-7 WaterC'' Data'!$AD$4:$AE$14,2,FALSE)))))</f>
        <v/>
      </c>
      <c r="Q207" s="282" t="str">
        <f>IF(D207="","",VLOOKUP(D207,'G-7 WaterC'' Data'!$B$2:$G$8,6,FALSE))</f>
        <v/>
      </c>
      <c r="R207" s="289" t="str">
        <f t="shared" si="31"/>
        <v xml:space="preserve"> </v>
      </c>
      <c r="S207" s="803" t="str">
        <f t="shared" si="32"/>
        <v/>
      </c>
      <c r="T207" s="32"/>
      <c r="U207" s="101"/>
      <c r="V207" s="108"/>
      <c r="W207" s="287" t="str">
        <f t="shared" si="33"/>
        <v/>
      </c>
      <c r="X207" s="287" t="str">
        <f t="shared" si="34"/>
        <v/>
      </c>
      <c r="Y207" s="287" t="str">
        <f t="shared" si="35"/>
        <v/>
      </c>
      <c r="Z207" s="317" t="str">
        <f>IFERROR(IF(OR(E207="",R207=""),"",IF(AND(Q207='G-7 WaterC'' Data'!$G$4,AA207="Yes"),"Alternative Compensation ✓",IF(AND(AA207="Pending",Q207='G-7 WaterC'' Data'!$G$4),"Bespoke compensation must be agreed ▲",IF((W207+X207)&gt;=R207,0,R207-W207-X207)))),"Check Data ⚠")</f>
        <v/>
      </c>
      <c r="AA207" s="800"/>
      <c r="AB207" s="136"/>
      <c r="AC207" s="104"/>
      <c r="AD207" s="104"/>
      <c r="AE207" s="54" t="str">
        <f>IF(OR(Q207="",AA207="Yes"),"",IF(Q207='G-1 All Habitats'!$X$9,E207-U207-V207,"None"))</f>
        <v/>
      </c>
      <c r="AF207" s="55" t="str">
        <f>IF(Q207="","",IF(Q207='G-1 All Habitats'!$X$9,AE207*G207*I207*L207*N207*P207,"None"))</f>
        <v/>
      </c>
      <c r="AI207" s="30">
        <f t="shared" si="36"/>
        <v>0</v>
      </c>
      <c r="AJ207" s="107" t="str">
        <f t="shared" si="37"/>
        <v/>
      </c>
      <c r="AK207" s="107" t="str">
        <f t="shared" si="38"/>
        <v/>
      </c>
      <c r="AM207" s="107">
        <v>198</v>
      </c>
      <c r="AO207" s="107" t="str">
        <f t="array" ref="AO207">IFERROR(INDEX($AM$10:$AM$258,MATCH(0,IF(TRUE=$AJ$10:$AJ$258,COUNTIF($AO$9:$AO206,$AM$10:$AM$258),""),0)),"")</f>
        <v/>
      </c>
      <c r="AP207" s="107" t="str">
        <f t="array" ref="AP207">IFERROR(INDEX($AM$10:$AM$258,MATCH(0,IF(TRUE=$AK$10:$AK$258,COUNTIF($AP$9:$AP206,$AM$10:$AM$258),""),0)),"")</f>
        <v/>
      </c>
      <c r="AR207" s="30" t="str">
        <f>IFERROR(INDEX('G-7 WaterC'' Data'!$AZ$3:$AZ$7,MATCH(D207,'G-7 WaterC'' Data'!$AY$3:$AY$7,0)),"")</f>
        <v/>
      </c>
      <c r="AS207" s="30" t="str">
        <f>IFERROR(INDEX('G-7 WaterC'' Data'!AZ207:AZ211,MATCH(D207,'G-7 WaterC'' Data'!$AY$10:$AY$14,0)),"")</f>
        <v/>
      </c>
      <c r="AT207" s="885" t="str">
        <f>IF(AND(OR(AA207="Yes",AA207="Pending"),Q207='G-7 WaterC'' Data'!$G$4),R207-W207-X207,"")</f>
        <v/>
      </c>
      <c r="AU207" s="30" t="str">
        <f>IF(D207="","",VLOOKUP(D207,'G-7 WaterC'' Data'!B$4:M$8,12,FALSE))</f>
        <v/>
      </c>
      <c r="AV207" s="30" t="str">
        <f t="shared" si="30"/>
        <v/>
      </c>
      <c r="AX207" s="30" t="str">
        <f t="shared" si="39"/>
        <v>No</v>
      </c>
    </row>
    <row r="208" spans="3:50" ht="14" hidden="1">
      <c r="C208" s="97">
        <v>199</v>
      </c>
      <c r="D208" s="261"/>
      <c r="E208" s="115"/>
      <c r="F208" s="275" t="str">
        <f>IF(D208="","",VLOOKUP(D208,'G-7 WaterC'' Data'!$B$2:$G$8,2,FALSE))</f>
        <v/>
      </c>
      <c r="G208" s="276" t="str">
        <f>IFERROR(VLOOKUP(F208,'G-7 WaterC'' Data'!$C$4:$D$8,2,FALSE),"")</f>
        <v/>
      </c>
      <c r="H208" s="52"/>
      <c r="I208" s="276" t="str">
        <f>IFERROR(INDEX('G-7 WaterC'' Data'!$H$4:$L$8,MATCH(D208,'G-7 WaterC'' Data'!$B$4:$B$8,0),MATCH(H208,'G-7 WaterC'' Data'!$H$3:$L$3,0)),"")</f>
        <v/>
      </c>
      <c r="J208" s="777"/>
      <c r="K208" s="311" t="str">
        <f>IF(J208="","",IF(VLOOKUP(J208,'G-7 WaterC'' Data'!$AK$4:$AM$6,2,FALSE)=0,"Spatial Data Missing ⚠",VLOOKUP(J208,'G-7 WaterC'' Data'!$AK$4:$AM$6,2,FALSE)))</f>
        <v/>
      </c>
      <c r="L208" s="281" t="str">
        <f>IF(J208="","",IF(VLOOKUP(J208,'G-7 WaterC'' Data'!$AK$4:$AM$9,3,FALSE)=0,"Spatial Data Missing ⚠",VLOOKUP(J208,'G-7 WaterC'' Data'!$AK$4:$AM$6,3,FALSE)))</f>
        <v/>
      </c>
      <c r="M208" s="52"/>
      <c r="N208" s="276" t="str">
        <f>IF(M208="","",IF(AND(D208&lt;&gt;"Culvert",M208="N/A - Culvert"),"Not possible ▲",IF(AND(D208="Culvert",M208&lt;&gt;"N/A - Culvert"),"Not possible ▲",IF(VLOOKUP(M208,'G-7 WaterC'' Data'!$AA$4:$AB$7,2,FALSE)=0,"Spatial Data Missing ⚠",VLOOKUP(M208,'G-7 WaterC'' Data'!$AA$4:$AB$7,2,FALSE)))))</f>
        <v/>
      </c>
      <c r="O208" s="56"/>
      <c r="P208" s="276" t="str">
        <f>IF(O208="","",IF(AND(O208="N/A - Culvert",D208&lt;&gt;"Culvert"),"Not possible ▲",IF(AND(D208="Culvert",O208&lt;&gt;"N/A - Culvert"),"Not possible ▲",IF(VLOOKUP(O208,'G-7 WaterC'' Data'!$AD$4:$AE$14,2,FALSE)=0,"Spatial Data Missing ⚠",VLOOKUP(O208,'G-7 WaterC'' Data'!$AD$4:$AE$14,2,FALSE)))))</f>
        <v/>
      </c>
      <c r="Q208" s="282" t="str">
        <f>IF(D208="","",VLOOKUP(D208,'G-7 WaterC'' Data'!$B$2:$G$8,6,FALSE))</f>
        <v/>
      </c>
      <c r="R208" s="289" t="str">
        <f t="shared" si="31"/>
        <v xml:space="preserve"> </v>
      </c>
      <c r="S208" s="803" t="str">
        <f t="shared" si="32"/>
        <v/>
      </c>
      <c r="T208" s="32"/>
      <c r="U208" s="101"/>
      <c r="V208" s="108"/>
      <c r="W208" s="287" t="str">
        <f t="shared" si="33"/>
        <v/>
      </c>
      <c r="X208" s="287" t="str">
        <f t="shared" si="34"/>
        <v/>
      </c>
      <c r="Y208" s="287" t="str">
        <f t="shared" si="35"/>
        <v/>
      </c>
      <c r="Z208" s="317" t="str">
        <f>IFERROR(IF(OR(E208="",R208=""),"",IF(AND(Q208='G-7 WaterC'' Data'!$G$4,AA208="Yes"),"Alternative Compensation ✓",IF(AND(AA208="Pending",Q208='G-7 WaterC'' Data'!$G$4),"Bespoke compensation must be agreed ▲",IF((W208+X208)&gt;=R208,0,R208-W208-X208)))),"Check Data ⚠")</f>
        <v/>
      </c>
      <c r="AA208" s="800"/>
      <c r="AB208" s="136"/>
      <c r="AC208" s="104"/>
      <c r="AD208" s="104"/>
      <c r="AE208" s="54" t="str">
        <f>IF(OR(Q208="",AA208="Yes"),"",IF(Q208='G-1 All Habitats'!$X$9,E208-U208-V208,"None"))</f>
        <v/>
      </c>
      <c r="AF208" s="55" t="str">
        <f>IF(Q208="","",IF(Q208='G-1 All Habitats'!$X$9,AE208*G208*I208*L208*N208*P208,"None"))</f>
        <v/>
      </c>
      <c r="AI208" s="30">
        <f t="shared" si="36"/>
        <v>0</v>
      </c>
      <c r="AJ208" s="107" t="str">
        <f t="shared" si="37"/>
        <v/>
      </c>
      <c r="AK208" s="107" t="str">
        <f t="shared" si="38"/>
        <v/>
      </c>
      <c r="AM208" s="107">
        <v>199</v>
      </c>
      <c r="AO208" s="107" t="str">
        <f t="array" ref="AO208">IFERROR(INDEX($AM$10:$AM$258,MATCH(0,IF(TRUE=$AJ$10:$AJ$258,COUNTIF($AO$9:$AO207,$AM$10:$AM$258),""),0)),"")</f>
        <v/>
      </c>
      <c r="AP208" s="107" t="str">
        <f t="array" ref="AP208">IFERROR(INDEX($AM$10:$AM$258,MATCH(0,IF(TRUE=$AK$10:$AK$258,COUNTIF($AP$9:$AP207,$AM$10:$AM$258),""),0)),"")</f>
        <v/>
      </c>
      <c r="AR208" s="30" t="str">
        <f>IFERROR(INDEX('G-7 WaterC'' Data'!$AZ$3:$AZ$7,MATCH(D208,'G-7 WaterC'' Data'!$AY$3:$AY$7,0)),"")</f>
        <v/>
      </c>
      <c r="AS208" s="30" t="str">
        <f>IFERROR(INDEX('G-7 WaterC'' Data'!AZ208:AZ212,MATCH(D208,'G-7 WaterC'' Data'!$AY$10:$AY$14,0)),"")</f>
        <v/>
      </c>
      <c r="AT208" s="885" t="str">
        <f>IF(AND(OR(AA208="Yes",AA208="Pending"),Q208='G-7 WaterC'' Data'!$G$4),R208-W208-X208,"")</f>
        <v/>
      </c>
      <c r="AU208" s="30" t="str">
        <f>IF(D208="","",VLOOKUP(D208,'G-7 WaterC'' Data'!B$4:M$8,12,FALSE))</f>
        <v/>
      </c>
      <c r="AV208" s="30" t="str">
        <f t="shared" si="30"/>
        <v/>
      </c>
      <c r="AX208" s="30" t="str">
        <f t="shared" si="39"/>
        <v>No</v>
      </c>
    </row>
    <row r="209" spans="3:50" ht="14" hidden="1">
      <c r="C209" s="97">
        <v>200</v>
      </c>
      <c r="D209" s="261"/>
      <c r="E209" s="115"/>
      <c r="F209" s="275" t="str">
        <f>IF(D209="","",VLOOKUP(D209,'G-7 WaterC'' Data'!$B$2:$G$8,2,FALSE))</f>
        <v/>
      </c>
      <c r="G209" s="276" t="str">
        <f>IFERROR(VLOOKUP(F209,'G-7 WaterC'' Data'!$C$4:$D$8,2,FALSE),"")</f>
        <v/>
      </c>
      <c r="H209" s="52"/>
      <c r="I209" s="276" t="str">
        <f>IFERROR(INDEX('G-7 WaterC'' Data'!$H$4:$L$8,MATCH(D209,'G-7 WaterC'' Data'!$B$4:$B$8,0),MATCH(H209,'G-7 WaterC'' Data'!$H$3:$L$3,0)),"")</f>
        <v/>
      </c>
      <c r="J209" s="777"/>
      <c r="K209" s="311" t="str">
        <f>IF(J209="","",IF(VLOOKUP(J209,'G-7 WaterC'' Data'!$AK$4:$AM$6,2,FALSE)=0,"Spatial Data Missing ⚠",VLOOKUP(J209,'G-7 WaterC'' Data'!$AK$4:$AM$6,2,FALSE)))</f>
        <v/>
      </c>
      <c r="L209" s="281" t="str">
        <f>IF(J209="","",IF(VLOOKUP(J209,'G-7 WaterC'' Data'!$AK$4:$AM$9,3,FALSE)=0,"Spatial Data Missing ⚠",VLOOKUP(J209,'G-7 WaterC'' Data'!$AK$4:$AM$6,3,FALSE)))</f>
        <v/>
      </c>
      <c r="M209" s="52"/>
      <c r="N209" s="276" t="str">
        <f>IF(M209="","",IF(AND(D209&lt;&gt;"Culvert",M209="N/A - Culvert"),"Not possible ▲",IF(AND(D209="Culvert",M209&lt;&gt;"N/A - Culvert"),"Not possible ▲",IF(VLOOKUP(M209,'G-7 WaterC'' Data'!$AA$4:$AB$7,2,FALSE)=0,"Spatial Data Missing ⚠",VLOOKUP(M209,'G-7 WaterC'' Data'!$AA$4:$AB$7,2,FALSE)))))</f>
        <v/>
      </c>
      <c r="O209" s="56"/>
      <c r="P209" s="276" t="str">
        <f>IF(O209="","",IF(AND(O209="N/A - Culvert",D209&lt;&gt;"Culvert"),"Not possible ▲",IF(AND(D209="Culvert",O209&lt;&gt;"N/A - Culvert"),"Not possible ▲",IF(VLOOKUP(O209,'G-7 WaterC'' Data'!$AD$4:$AE$14,2,FALSE)=0,"Spatial Data Missing ⚠",VLOOKUP(O209,'G-7 WaterC'' Data'!$AD$4:$AE$14,2,FALSE)))))</f>
        <v/>
      </c>
      <c r="Q209" s="282" t="str">
        <f>IF(D209="","",VLOOKUP(D209,'G-7 WaterC'' Data'!$B$2:$G$8,6,FALSE))</f>
        <v/>
      </c>
      <c r="R209" s="289" t="str">
        <f t="shared" si="31"/>
        <v xml:space="preserve"> </v>
      </c>
      <c r="S209" s="803" t="str">
        <f t="shared" si="32"/>
        <v/>
      </c>
      <c r="T209" s="32"/>
      <c r="U209" s="101"/>
      <c r="V209" s="108"/>
      <c r="W209" s="287" t="str">
        <f t="shared" si="33"/>
        <v/>
      </c>
      <c r="X209" s="287" t="str">
        <f t="shared" si="34"/>
        <v/>
      </c>
      <c r="Y209" s="287" t="str">
        <f t="shared" si="35"/>
        <v/>
      </c>
      <c r="Z209" s="317" t="str">
        <f>IFERROR(IF(OR(E209="",R209=""),"",IF(AND(Q209='G-7 WaterC'' Data'!$G$4,AA209="Yes"),"Alternative Compensation ✓",IF(AND(AA209="Pending",Q209='G-7 WaterC'' Data'!$G$4),"Bespoke compensation must be agreed ▲",IF((W209+X209)&gt;=R209,0,R209-W209-X209)))),"Check Data ⚠")</f>
        <v/>
      </c>
      <c r="AA209" s="800"/>
      <c r="AB209" s="136"/>
      <c r="AC209" s="104"/>
      <c r="AD209" s="104"/>
      <c r="AE209" s="54" t="str">
        <f>IF(OR(Q209="",AA209="Yes"),"",IF(Q209='G-1 All Habitats'!$X$9,E209-U209-V209,"None"))</f>
        <v/>
      </c>
      <c r="AF209" s="55" t="str">
        <f>IF(Q209="","",IF(Q209='G-1 All Habitats'!$X$9,AE209*G209*I209*L209*N209*P209,"None"))</f>
        <v/>
      </c>
      <c r="AI209" s="30">
        <f t="shared" si="36"/>
        <v>0</v>
      </c>
      <c r="AJ209" s="107" t="str">
        <f t="shared" si="37"/>
        <v/>
      </c>
      <c r="AK209" s="107" t="str">
        <f t="shared" si="38"/>
        <v/>
      </c>
      <c r="AM209" s="107">
        <v>200</v>
      </c>
      <c r="AO209" s="107" t="str">
        <f t="array" ref="AO209">IFERROR(INDEX($AM$10:$AM$258,MATCH(0,IF(TRUE=$AJ$10:$AJ$258,COUNTIF($AO$9:$AO208,$AM$10:$AM$258),""),0)),"")</f>
        <v/>
      </c>
      <c r="AP209" s="107" t="str">
        <f t="array" ref="AP209">IFERROR(INDEX($AM$10:$AM$258,MATCH(0,IF(TRUE=$AK$10:$AK$258,COUNTIF($AP$9:$AP208,$AM$10:$AM$258),""),0)),"")</f>
        <v/>
      </c>
      <c r="AR209" s="30" t="str">
        <f>IFERROR(INDEX('G-7 WaterC'' Data'!$AZ$3:$AZ$7,MATCH(D209,'G-7 WaterC'' Data'!$AY$3:$AY$7,0)),"")</f>
        <v/>
      </c>
      <c r="AS209" s="30" t="str">
        <f>IFERROR(INDEX('G-7 WaterC'' Data'!AZ209:AZ213,MATCH(D209,'G-7 WaterC'' Data'!$AY$10:$AY$14,0)),"")</f>
        <v/>
      </c>
      <c r="AT209" s="885" t="str">
        <f>IF(AND(OR(AA209="Yes",AA209="Pending"),Q209='G-7 WaterC'' Data'!$G$4),R209-W209-X209,"")</f>
        <v/>
      </c>
      <c r="AU209" s="30" t="str">
        <f>IF(D209="","",VLOOKUP(D209,'G-7 WaterC'' Data'!B$4:M$8,12,FALSE))</f>
        <v/>
      </c>
      <c r="AV209" s="30" t="str">
        <f t="shared" si="30"/>
        <v/>
      </c>
      <c r="AX209" s="30" t="str">
        <f t="shared" si="39"/>
        <v>No</v>
      </c>
    </row>
    <row r="210" spans="3:50" ht="14" hidden="1">
      <c r="C210" s="97">
        <v>201</v>
      </c>
      <c r="D210" s="261"/>
      <c r="E210" s="115"/>
      <c r="F210" s="275" t="str">
        <f>IF(D210="","",VLOOKUP(D210,'G-7 WaterC'' Data'!$B$2:$G$8,2,FALSE))</f>
        <v/>
      </c>
      <c r="G210" s="276" t="str">
        <f>IFERROR(VLOOKUP(F210,'G-7 WaterC'' Data'!$C$4:$D$8,2,FALSE),"")</f>
        <v/>
      </c>
      <c r="H210" s="52"/>
      <c r="I210" s="276" t="str">
        <f>IFERROR(INDEX('G-7 WaterC'' Data'!$H$4:$L$8,MATCH(D210,'G-7 WaterC'' Data'!$B$4:$B$8,0),MATCH(H210,'G-7 WaterC'' Data'!$H$3:$L$3,0)),"")</f>
        <v/>
      </c>
      <c r="J210" s="777"/>
      <c r="K210" s="311" t="str">
        <f>IF(J210="","",IF(VLOOKUP(J210,'G-7 WaterC'' Data'!$AK$4:$AM$6,2,FALSE)=0,"Spatial Data Missing ⚠",VLOOKUP(J210,'G-7 WaterC'' Data'!$AK$4:$AM$6,2,FALSE)))</f>
        <v/>
      </c>
      <c r="L210" s="281" t="str">
        <f>IF(J210="","",IF(VLOOKUP(J210,'G-7 WaterC'' Data'!$AK$4:$AM$9,3,FALSE)=0,"Spatial Data Missing ⚠",VLOOKUP(J210,'G-7 WaterC'' Data'!$AK$4:$AM$6,3,FALSE)))</f>
        <v/>
      </c>
      <c r="M210" s="52"/>
      <c r="N210" s="276" t="str">
        <f>IF(M210="","",IF(AND(D210&lt;&gt;"Culvert",M210="N/A - Culvert"),"Not possible ▲",IF(AND(D210="Culvert",M210&lt;&gt;"N/A - Culvert"),"Not possible ▲",IF(VLOOKUP(M210,'G-7 WaterC'' Data'!$AA$4:$AB$7,2,FALSE)=0,"Spatial Data Missing ⚠",VLOOKUP(M210,'G-7 WaterC'' Data'!$AA$4:$AB$7,2,FALSE)))))</f>
        <v/>
      </c>
      <c r="O210" s="56"/>
      <c r="P210" s="276" t="str">
        <f>IF(O210="","",IF(AND(O210="N/A - Culvert",D210&lt;&gt;"Culvert"),"Not possible ▲",IF(AND(D210="Culvert",O210&lt;&gt;"N/A - Culvert"),"Not possible ▲",IF(VLOOKUP(O210,'G-7 WaterC'' Data'!$AD$4:$AE$14,2,FALSE)=0,"Spatial Data Missing ⚠",VLOOKUP(O210,'G-7 WaterC'' Data'!$AD$4:$AE$14,2,FALSE)))))</f>
        <v/>
      </c>
      <c r="Q210" s="282" t="str">
        <f>IF(D210="","",VLOOKUP(D210,'G-7 WaterC'' Data'!$B$2:$G$8,6,FALSE))</f>
        <v/>
      </c>
      <c r="R210" s="289" t="str">
        <f t="shared" si="31"/>
        <v xml:space="preserve"> </v>
      </c>
      <c r="S210" s="803" t="str">
        <f t="shared" si="32"/>
        <v/>
      </c>
      <c r="T210" s="32"/>
      <c r="U210" s="101"/>
      <c r="V210" s="108"/>
      <c r="W210" s="287" t="str">
        <f t="shared" si="33"/>
        <v/>
      </c>
      <c r="X210" s="287" t="str">
        <f t="shared" si="34"/>
        <v/>
      </c>
      <c r="Y210" s="287" t="str">
        <f t="shared" si="35"/>
        <v/>
      </c>
      <c r="Z210" s="317" t="str">
        <f>IFERROR(IF(OR(E210="",R210=""),"",IF(AND(Q210='G-7 WaterC'' Data'!$G$4,AA210="Yes"),"Alternative Compensation ✓",IF(AND(AA210="Pending",Q210='G-7 WaterC'' Data'!$G$4),"Bespoke compensation must be agreed ▲",IF((W210+X210)&gt;=R210,0,R210-W210-X210)))),"Check Data ⚠")</f>
        <v/>
      </c>
      <c r="AA210" s="800"/>
      <c r="AB210" s="136"/>
      <c r="AC210" s="104"/>
      <c r="AD210" s="104"/>
      <c r="AE210" s="54" t="str">
        <f>IF(OR(Q210="",AA210="Yes"),"",IF(Q210='G-1 All Habitats'!$X$9,E210-U210-V210,"None"))</f>
        <v/>
      </c>
      <c r="AF210" s="55" t="str">
        <f>IF(Q210="","",IF(Q210='G-1 All Habitats'!$X$9,AE210*G210*I210*L210*N210*P210,"None"))</f>
        <v/>
      </c>
      <c r="AI210" s="30">
        <f t="shared" si="36"/>
        <v>0</v>
      </c>
      <c r="AJ210" s="107" t="str">
        <f t="shared" si="37"/>
        <v/>
      </c>
      <c r="AK210" s="107" t="str">
        <f t="shared" si="38"/>
        <v/>
      </c>
      <c r="AM210" s="107">
        <v>201</v>
      </c>
      <c r="AO210" s="107" t="str">
        <f t="array" ref="AO210">IFERROR(INDEX($AM$10:$AM$258,MATCH(0,IF(TRUE=$AJ$10:$AJ$258,COUNTIF($AO$9:$AO209,$AM$10:$AM$258),""),0)),"")</f>
        <v/>
      </c>
      <c r="AP210" s="107" t="str">
        <f t="array" ref="AP210">IFERROR(INDEX($AM$10:$AM$258,MATCH(0,IF(TRUE=$AK$10:$AK$258,COUNTIF($AP$9:$AP209,$AM$10:$AM$258),""),0)),"")</f>
        <v/>
      </c>
      <c r="AR210" s="30" t="str">
        <f>IFERROR(INDEX('G-7 WaterC'' Data'!$AZ$3:$AZ$7,MATCH(D210,'G-7 WaterC'' Data'!$AY$3:$AY$7,0)),"")</f>
        <v/>
      </c>
      <c r="AS210" s="30" t="str">
        <f>IFERROR(INDEX('G-7 WaterC'' Data'!AZ210:AZ214,MATCH(D210,'G-7 WaterC'' Data'!$AY$10:$AY$14,0)),"")</f>
        <v/>
      </c>
      <c r="AT210" s="885" t="str">
        <f>IF(AND(OR(AA210="Yes",AA210="Pending"),Q210='G-7 WaterC'' Data'!$G$4),R210-W210-X210,"")</f>
        <v/>
      </c>
      <c r="AU210" s="30" t="str">
        <f>IF(D210="","",VLOOKUP(D210,'G-7 WaterC'' Data'!B$4:M$8,12,FALSE))</f>
        <v/>
      </c>
      <c r="AV210" s="30" t="str">
        <f t="shared" si="30"/>
        <v/>
      </c>
      <c r="AX210" s="30" t="str">
        <f t="shared" si="39"/>
        <v>No</v>
      </c>
    </row>
    <row r="211" spans="3:50" ht="14" hidden="1">
      <c r="C211" s="97">
        <v>202</v>
      </c>
      <c r="D211" s="261"/>
      <c r="E211" s="115"/>
      <c r="F211" s="275" t="str">
        <f>IF(D211="","",VLOOKUP(D211,'G-7 WaterC'' Data'!$B$2:$G$8,2,FALSE))</f>
        <v/>
      </c>
      <c r="G211" s="276" t="str">
        <f>IFERROR(VLOOKUP(F211,'G-7 WaterC'' Data'!$C$4:$D$8,2,FALSE),"")</f>
        <v/>
      </c>
      <c r="H211" s="52"/>
      <c r="I211" s="276" t="str">
        <f>IFERROR(INDEX('G-7 WaterC'' Data'!$H$4:$L$8,MATCH(D211,'G-7 WaterC'' Data'!$B$4:$B$8,0),MATCH(H211,'G-7 WaterC'' Data'!$H$3:$L$3,0)),"")</f>
        <v/>
      </c>
      <c r="J211" s="777"/>
      <c r="K211" s="311" t="str">
        <f>IF(J211="","",IF(VLOOKUP(J211,'G-7 WaterC'' Data'!$AK$4:$AM$6,2,FALSE)=0,"Spatial Data Missing ⚠",VLOOKUP(J211,'G-7 WaterC'' Data'!$AK$4:$AM$6,2,FALSE)))</f>
        <v/>
      </c>
      <c r="L211" s="281" t="str">
        <f>IF(J211="","",IF(VLOOKUP(J211,'G-7 WaterC'' Data'!$AK$4:$AM$9,3,FALSE)=0,"Spatial Data Missing ⚠",VLOOKUP(J211,'G-7 WaterC'' Data'!$AK$4:$AM$6,3,FALSE)))</f>
        <v/>
      </c>
      <c r="M211" s="52"/>
      <c r="N211" s="276" t="str">
        <f>IF(M211="","",IF(AND(D211&lt;&gt;"Culvert",M211="N/A - Culvert"),"Not possible ▲",IF(AND(D211="Culvert",M211&lt;&gt;"N/A - Culvert"),"Not possible ▲",IF(VLOOKUP(M211,'G-7 WaterC'' Data'!$AA$4:$AB$7,2,FALSE)=0,"Spatial Data Missing ⚠",VLOOKUP(M211,'G-7 WaterC'' Data'!$AA$4:$AB$7,2,FALSE)))))</f>
        <v/>
      </c>
      <c r="O211" s="56"/>
      <c r="P211" s="276" t="str">
        <f>IF(O211="","",IF(AND(O211="N/A - Culvert",D211&lt;&gt;"Culvert"),"Not possible ▲",IF(AND(D211="Culvert",O211&lt;&gt;"N/A - Culvert"),"Not possible ▲",IF(VLOOKUP(O211,'G-7 WaterC'' Data'!$AD$4:$AE$14,2,FALSE)=0,"Spatial Data Missing ⚠",VLOOKUP(O211,'G-7 WaterC'' Data'!$AD$4:$AE$14,2,FALSE)))))</f>
        <v/>
      </c>
      <c r="Q211" s="282" t="str">
        <f>IF(D211="","",VLOOKUP(D211,'G-7 WaterC'' Data'!$B$2:$G$8,6,FALSE))</f>
        <v/>
      </c>
      <c r="R211" s="289" t="str">
        <f t="shared" si="31"/>
        <v xml:space="preserve"> </v>
      </c>
      <c r="S211" s="803" t="str">
        <f t="shared" si="32"/>
        <v/>
      </c>
      <c r="T211" s="32"/>
      <c r="U211" s="101"/>
      <c r="V211" s="108"/>
      <c r="W211" s="287" t="str">
        <f t="shared" si="33"/>
        <v/>
      </c>
      <c r="X211" s="287" t="str">
        <f t="shared" si="34"/>
        <v/>
      </c>
      <c r="Y211" s="287" t="str">
        <f t="shared" si="35"/>
        <v/>
      </c>
      <c r="Z211" s="317" t="str">
        <f>IFERROR(IF(OR(E211="",R211=""),"",IF(AND(Q211='G-7 WaterC'' Data'!$G$4,AA211="Yes"),"Alternative Compensation ✓",IF(AND(AA211="Pending",Q211='G-7 WaterC'' Data'!$G$4),"Bespoke compensation must be agreed ▲",IF((W211+X211)&gt;=R211,0,R211-W211-X211)))),"Check Data ⚠")</f>
        <v/>
      </c>
      <c r="AA211" s="800"/>
      <c r="AB211" s="136"/>
      <c r="AC211" s="104"/>
      <c r="AD211" s="104"/>
      <c r="AE211" s="54" t="str">
        <f>IF(OR(Q211="",AA211="Yes"),"",IF(Q211='G-1 All Habitats'!$X$9,E211-U211-V211,"None"))</f>
        <v/>
      </c>
      <c r="AF211" s="55" t="str">
        <f>IF(Q211="","",IF(Q211='G-1 All Habitats'!$X$9,AE211*G211*I211*L211*N211*P211,"None"))</f>
        <v/>
      </c>
      <c r="AI211" s="30">
        <f t="shared" si="36"/>
        <v>0</v>
      </c>
      <c r="AJ211" s="107" t="str">
        <f t="shared" si="37"/>
        <v/>
      </c>
      <c r="AK211" s="107" t="str">
        <f t="shared" si="38"/>
        <v/>
      </c>
      <c r="AM211" s="107">
        <v>202</v>
      </c>
      <c r="AO211" s="107" t="str">
        <f t="array" ref="AO211">IFERROR(INDEX($AM$10:$AM$258,MATCH(0,IF(TRUE=$AJ$10:$AJ$258,COUNTIF($AO$9:$AO210,$AM$10:$AM$258),""),0)),"")</f>
        <v/>
      </c>
      <c r="AP211" s="107" t="str">
        <f t="array" ref="AP211">IFERROR(INDEX($AM$10:$AM$258,MATCH(0,IF(TRUE=$AK$10:$AK$258,COUNTIF($AP$9:$AP210,$AM$10:$AM$258),""),0)),"")</f>
        <v/>
      </c>
      <c r="AR211" s="30" t="str">
        <f>IFERROR(INDEX('G-7 WaterC'' Data'!$AZ$3:$AZ$7,MATCH(D211,'G-7 WaterC'' Data'!$AY$3:$AY$7,0)),"")</f>
        <v/>
      </c>
      <c r="AS211" s="30" t="str">
        <f>IFERROR(INDEX('G-7 WaterC'' Data'!AZ211:AZ215,MATCH(D211,'G-7 WaterC'' Data'!$AY$10:$AY$14,0)),"")</f>
        <v/>
      </c>
      <c r="AT211" s="885" t="str">
        <f>IF(AND(OR(AA211="Yes",AA211="Pending"),Q211='G-7 WaterC'' Data'!$G$4),R211-W211-X211,"")</f>
        <v/>
      </c>
      <c r="AU211" s="30" t="str">
        <f>IF(D211="","",VLOOKUP(D211,'G-7 WaterC'' Data'!B$4:M$8,12,FALSE))</f>
        <v/>
      </c>
      <c r="AV211" s="30" t="str">
        <f t="shared" si="30"/>
        <v/>
      </c>
      <c r="AX211" s="30" t="str">
        <f t="shared" si="39"/>
        <v>No</v>
      </c>
    </row>
    <row r="212" spans="3:50" ht="14" hidden="1">
      <c r="C212" s="97">
        <v>203</v>
      </c>
      <c r="D212" s="261"/>
      <c r="E212" s="115"/>
      <c r="F212" s="275" t="str">
        <f>IF(D212="","",VLOOKUP(D212,'G-7 WaterC'' Data'!$B$2:$G$8,2,FALSE))</f>
        <v/>
      </c>
      <c r="G212" s="276" t="str">
        <f>IFERROR(VLOOKUP(F212,'G-7 WaterC'' Data'!$C$4:$D$8,2,FALSE),"")</f>
        <v/>
      </c>
      <c r="H212" s="52"/>
      <c r="I212" s="276" t="str">
        <f>IFERROR(INDEX('G-7 WaterC'' Data'!$H$4:$L$8,MATCH(D212,'G-7 WaterC'' Data'!$B$4:$B$8,0),MATCH(H212,'G-7 WaterC'' Data'!$H$3:$L$3,0)),"")</f>
        <v/>
      </c>
      <c r="J212" s="777"/>
      <c r="K212" s="311" t="str">
        <f>IF(J212="","",IF(VLOOKUP(J212,'G-7 WaterC'' Data'!$AK$4:$AM$6,2,FALSE)=0,"Spatial Data Missing ⚠",VLOOKUP(J212,'G-7 WaterC'' Data'!$AK$4:$AM$6,2,FALSE)))</f>
        <v/>
      </c>
      <c r="L212" s="281" t="str">
        <f>IF(J212="","",IF(VLOOKUP(J212,'G-7 WaterC'' Data'!$AK$4:$AM$9,3,FALSE)=0,"Spatial Data Missing ⚠",VLOOKUP(J212,'G-7 WaterC'' Data'!$AK$4:$AM$6,3,FALSE)))</f>
        <v/>
      </c>
      <c r="M212" s="52"/>
      <c r="N212" s="276" t="str">
        <f>IF(M212="","",IF(AND(D212&lt;&gt;"Culvert",M212="N/A - Culvert"),"Not possible ▲",IF(AND(D212="Culvert",M212&lt;&gt;"N/A - Culvert"),"Not possible ▲",IF(VLOOKUP(M212,'G-7 WaterC'' Data'!$AA$4:$AB$7,2,FALSE)=0,"Spatial Data Missing ⚠",VLOOKUP(M212,'G-7 WaterC'' Data'!$AA$4:$AB$7,2,FALSE)))))</f>
        <v/>
      </c>
      <c r="O212" s="56"/>
      <c r="P212" s="276" t="str">
        <f>IF(O212="","",IF(AND(O212="N/A - Culvert",D212&lt;&gt;"Culvert"),"Not possible ▲",IF(AND(D212="Culvert",O212&lt;&gt;"N/A - Culvert"),"Not possible ▲",IF(VLOOKUP(O212,'G-7 WaterC'' Data'!$AD$4:$AE$14,2,FALSE)=0,"Spatial Data Missing ⚠",VLOOKUP(O212,'G-7 WaterC'' Data'!$AD$4:$AE$14,2,FALSE)))))</f>
        <v/>
      </c>
      <c r="Q212" s="282" t="str">
        <f>IF(D212="","",VLOOKUP(D212,'G-7 WaterC'' Data'!$B$2:$G$8,6,FALSE))</f>
        <v/>
      </c>
      <c r="R212" s="289" t="str">
        <f t="shared" si="31"/>
        <v xml:space="preserve"> </v>
      </c>
      <c r="S212" s="803" t="str">
        <f t="shared" si="32"/>
        <v/>
      </c>
      <c r="T212" s="32"/>
      <c r="U212" s="101"/>
      <c r="V212" s="108"/>
      <c r="W212" s="287" t="str">
        <f t="shared" si="33"/>
        <v/>
      </c>
      <c r="X212" s="287" t="str">
        <f t="shared" si="34"/>
        <v/>
      </c>
      <c r="Y212" s="287" t="str">
        <f t="shared" si="35"/>
        <v/>
      </c>
      <c r="Z212" s="317" t="str">
        <f>IFERROR(IF(OR(E212="",R212=""),"",IF(AND(Q212='G-7 WaterC'' Data'!$G$4,AA212="Yes"),"Alternative Compensation ✓",IF(AND(AA212="Pending",Q212='G-7 WaterC'' Data'!$G$4),"Bespoke compensation must be agreed ▲",IF((W212+X212)&gt;=R212,0,R212-W212-X212)))),"Check Data ⚠")</f>
        <v/>
      </c>
      <c r="AA212" s="800"/>
      <c r="AB212" s="136"/>
      <c r="AC212" s="104"/>
      <c r="AD212" s="104"/>
      <c r="AE212" s="54" t="str">
        <f>IF(OR(Q212="",AA212="Yes"),"",IF(Q212='G-1 All Habitats'!$X$9,E212-U212-V212,"None"))</f>
        <v/>
      </c>
      <c r="AF212" s="55" t="str">
        <f>IF(Q212="","",IF(Q212='G-1 All Habitats'!$X$9,AE212*G212*I212*L212*N212*P212,"None"))</f>
        <v/>
      </c>
      <c r="AI212" s="30">
        <f t="shared" si="36"/>
        <v>0</v>
      </c>
      <c r="AJ212" s="107" t="str">
        <f t="shared" si="37"/>
        <v/>
      </c>
      <c r="AK212" s="107" t="str">
        <f t="shared" si="38"/>
        <v/>
      </c>
      <c r="AM212" s="107">
        <v>203</v>
      </c>
      <c r="AO212" s="107" t="str">
        <f t="array" ref="AO212">IFERROR(INDEX($AM$10:$AM$258,MATCH(0,IF(TRUE=$AJ$10:$AJ$258,COUNTIF($AO$9:$AO211,$AM$10:$AM$258),""),0)),"")</f>
        <v/>
      </c>
      <c r="AP212" s="107" t="str">
        <f t="array" ref="AP212">IFERROR(INDEX($AM$10:$AM$258,MATCH(0,IF(TRUE=$AK$10:$AK$258,COUNTIF($AP$9:$AP211,$AM$10:$AM$258),""),0)),"")</f>
        <v/>
      </c>
      <c r="AR212" s="30" t="str">
        <f>IFERROR(INDEX('G-7 WaterC'' Data'!$AZ$3:$AZ$7,MATCH(D212,'G-7 WaterC'' Data'!$AY$3:$AY$7,0)),"")</f>
        <v/>
      </c>
      <c r="AS212" s="30" t="str">
        <f>IFERROR(INDEX('G-7 WaterC'' Data'!AZ212:AZ216,MATCH(D212,'G-7 WaterC'' Data'!$AY$10:$AY$14,0)),"")</f>
        <v/>
      </c>
      <c r="AT212" s="885" t="str">
        <f>IF(AND(OR(AA212="Yes",AA212="Pending"),Q212='G-7 WaterC'' Data'!$G$4),R212-W212-X212,"")</f>
        <v/>
      </c>
      <c r="AU212" s="30" t="str">
        <f>IF(D212="","",VLOOKUP(D212,'G-7 WaterC'' Data'!B$4:M$8,12,FALSE))</f>
        <v/>
      </c>
      <c r="AV212" s="30" t="str">
        <f t="shared" si="30"/>
        <v/>
      </c>
      <c r="AX212" s="30" t="str">
        <f t="shared" si="39"/>
        <v>No</v>
      </c>
    </row>
    <row r="213" spans="3:50" ht="14" hidden="1">
      <c r="C213" s="97">
        <v>204</v>
      </c>
      <c r="D213" s="261"/>
      <c r="E213" s="115"/>
      <c r="F213" s="275" t="str">
        <f>IF(D213="","",VLOOKUP(D213,'G-7 WaterC'' Data'!$B$2:$G$8,2,FALSE))</f>
        <v/>
      </c>
      <c r="G213" s="276" t="str">
        <f>IFERROR(VLOOKUP(F213,'G-7 WaterC'' Data'!$C$4:$D$8,2,FALSE),"")</f>
        <v/>
      </c>
      <c r="H213" s="52"/>
      <c r="I213" s="276" t="str">
        <f>IFERROR(INDEX('G-7 WaterC'' Data'!$H$4:$L$8,MATCH(D213,'G-7 WaterC'' Data'!$B$4:$B$8,0),MATCH(H213,'G-7 WaterC'' Data'!$H$3:$L$3,0)),"")</f>
        <v/>
      </c>
      <c r="J213" s="777"/>
      <c r="K213" s="311" t="str">
        <f>IF(J213="","",IF(VLOOKUP(J213,'G-7 WaterC'' Data'!$AK$4:$AM$6,2,FALSE)=0,"Spatial Data Missing ⚠",VLOOKUP(J213,'G-7 WaterC'' Data'!$AK$4:$AM$6,2,FALSE)))</f>
        <v/>
      </c>
      <c r="L213" s="281" t="str">
        <f>IF(J213="","",IF(VLOOKUP(J213,'G-7 WaterC'' Data'!$AK$4:$AM$9,3,FALSE)=0,"Spatial Data Missing ⚠",VLOOKUP(J213,'G-7 WaterC'' Data'!$AK$4:$AM$6,3,FALSE)))</f>
        <v/>
      </c>
      <c r="M213" s="52"/>
      <c r="N213" s="276" t="str">
        <f>IF(M213="","",IF(AND(D213&lt;&gt;"Culvert",M213="N/A - Culvert"),"Not possible ▲",IF(AND(D213="Culvert",M213&lt;&gt;"N/A - Culvert"),"Not possible ▲",IF(VLOOKUP(M213,'G-7 WaterC'' Data'!$AA$4:$AB$7,2,FALSE)=0,"Spatial Data Missing ⚠",VLOOKUP(M213,'G-7 WaterC'' Data'!$AA$4:$AB$7,2,FALSE)))))</f>
        <v/>
      </c>
      <c r="O213" s="56"/>
      <c r="P213" s="276" t="str">
        <f>IF(O213="","",IF(AND(O213="N/A - Culvert",D213&lt;&gt;"Culvert"),"Not possible ▲",IF(AND(D213="Culvert",O213&lt;&gt;"N/A - Culvert"),"Not possible ▲",IF(VLOOKUP(O213,'G-7 WaterC'' Data'!$AD$4:$AE$14,2,FALSE)=0,"Spatial Data Missing ⚠",VLOOKUP(O213,'G-7 WaterC'' Data'!$AD$4:$AE$14,2,FALSE)))))</f>
        <v/>
      </c>
      <c r="Q213" s="282" t="str">
        <f>IF(D213="","",VLOOKUP(D213,'G-7 WaterC'' Data'!$B$2:$G$8,6,FALSE))</f>
        <v/>
      </c>
      <c r="R213" s="289" t="str">
        <f t="shared" si="31"/>
        <v xml:space="preserve"> </v>
      </c>
      <c r="S213" s="803" t="str">
        <f t="shared" si="32"/>
        <v/>
      </c>
      <c r="T213" s="32"/>
      <c r="U213" s="101"/>
      <c r="V213" s="108"/>
      <c r="W213" s="287" t="str">
        <f t="shared" si="33"/>
        <v/>
      </c>
      <c r="X213" s="287" t="str">
        <f t="shared" si="34"/>
        <v/>
      </c>
      <c r="Y213" s="287" t="str">
        <f t="shared" si="35"/>
        <v/>
      </c>
      <c r="Z213" s="317" t="str">
        <f>IFERROR(IF(OR(E213="",R213=""),"",IF(AND(Q213='G-7 WaterC'' Data'!$G$4,AA213="Yes"),"Alternative Compensation ✓",IF(AND(AA213="Pending",Q213='G-7 WaterC'' Data'!$G$4),"Bespoke compensation must be agreed ▲",IF((W213+X213)&gt;=R213,0,R213-W213-X213)))),"Check Data ⚠")</f>
        <v/>
      </c>
      <c r="AA213" s="800"/>
      <c r="AB213" s="136"/>
      <c r="AC213" s="104"/>
      <c r="AD213" s="104"/>
      <c r="AE213" s="54" t="str">
        <f>IF(OR(Q213="",AA213="Yes"),"",IF(Q213='G-1 All Habitats'!$X$9,E213-U213-V213,"None"))</f>
        <v/>
      </c>
      <c r="AF213" s="55" t="str">
        <f>IF(Q213="","",IF(Q213='G-1 All Habitats'!$X$9,AE213*G213*I213*L213*N213*P213,"None"))</f>
        <v/>
      </c>
      <c r="AI213" s="30">
        <f t="shared" si="36"/>
        <v>0</v>
      </c>
      <c r="AJ213" s="107" t="str">
        <f t="shared" si="37"/>
        <v/>
      </c>
      <c r="AK213" s="107" t="str">
        <f t="shared" si="38"/>
        <v/>
      </c>
      <c r="AM213" s="107">
        <v>204</v>
      </c>
      <c r="AO213" s="107" t="str">
        <f t="array" ref="AO213">IFERROR(INDEX($AM$10:$AM$258,MATCH(0,IF(TRUE=$AJ$10:$AJ$258,COUNTIF($AO$9:$AO212,$AM$10:$AM$258),""),0)),"")</f>
        <v/>
      </c>
      <c r="AP213" s="107" t="str">
        <f t="array" ref="AP213">IFERROR(INDEX($AM$10:$AM$258,MATCH(0,IF(TRUE=$AK$10:$AK$258,COUNTIF($AP$9:$AP212,$AM$10:$AM$258),""),0)),"")</f>
        <v/>
      </c>
      <c r="AR213" s="30" t="str">
        <f>IFERROR(INDEX('G-7 WaterC'' Data'!$AZ$3:$AZ$7,MATCH(D213,'G-7 WaterC'' Data'!$AY$3:$AY$7,0)),"")</f>
        <v/>
      </c>
      <c r="AS213" s="30" t="str">
        <f>IFERROR(INDEX('G-7 WaterC'' Data'!AZ213:AZ217,MATCH(D213,'G-7 WaterC'' Data'!$AY$10:$AY$14,0)),"")</f>
        <v/>
      </c>
      <c r="AT213" s="885" t="str">
        <f>IF(AND(OR(AA213="Yes",AA213="Pending"),Q213='G-7 WaterC'' Data'!$G$4),R213-W213-X213,"")</f>
        <v/>
      </c>
      <c r="AU213" s="30" t="str">
        <f>IF(D213="","",VLOOKUP(D213,'G-7 WaterC'' Data'!B$4:M$8,12,FALSE))</f>
        <v/>
      </c>
      <c r="AV213" s="30" t="str">
        <f t="shared" si="30"/>
        <v/>
      </c>
      <c r="AX213" s="30" t="str">
        <f t="shared" si="39"/>
        <v>No</v>
      </c>
    </row>
    <row r="214" spans="3:50" ht="14" hidden="1">
      <c r="C214" s="97">
        <v>205</v>
      </c>
      <c r="D214" s="261"/>
      <c r="E214" s="115"/>
      <c r="F214" s="275" t="str">
        <f>IF(D214="","",VLOOKUP(D214,'G-7 WaterC'' Data'!$B$2:$G$8,2,FALSE))</f>
        <v/>
      </c>
      <c r="G214" s="276" t="str">
        <f>IFERROR(VLOOKUP(F214,'G-7 WaterC'' Data'!$C$4:$D$8,2,FALSE),"")</f>
        <v/>
      </c>
      <c r="H214" s="52"/>
      <c r="I214" s="276" t="str">
        <f>IFERROR(INDEX('G-7 WaterC'' Data'!$H$4:$L$8,MATCH(D214,'G-7 WaterC'' Data'!$B$4:$B$8,0),MATCH(H214,'G-7 WaterC'' Data'!$H$3:$L$3,0)),"")</f>
        <v/>
      </c>
      <c r="J214" s="777"/>
      <c r="K214" s="311" t="str">
        <f>IF(J214="","",IF(VLOOKUP(J214,'G-7 WaterC'' Data'!$AK$4:$AM$6,2,FALSE)=0,"Spatial Data Missing ⚠",VLOOKUP(J214,'G-7 WaterC'' Data'!$AK$4:$AM$6,2,FALSE)))</f>
        <v/>
      </c>
      <c r="L214" s="281" t="str">
        <f>IF(J214="","",IF(VLOOKUP(J214,'G-7 WaterC'' Data'!$AK$4:$AM$9,3,FALSE)=0,"Spatial Data Missing ⚠",VLOOKUP(J214,'G-7 WaterC'' Data'!$AK$4:$AM$6,3,FALSE)))</f>
        <v/>
      </c>
      <c r="M214" s="52"/>
      <c r="N214" s="276" t="str">
        <f>IF(M214="","",IF(AND(D214&lt;&gt;"Culvert",M214="N/A - Culvert"),"Not possible ▲",IF(AND(D214="Culvert",M214&lt;&gt;"N/A - Culvert"),"Not possible ▲",IF(VLOOKUP(M214,'G-7 WaterC'' Data'!$AA$4:$AB$7,2,FALSE)=0,"Spatial Data Missing ⚠",VLOOKUP(M214,'G-7 WaterC'' Data'!$AA$4:$AB$7,2,FALSE)))))</f>
        <v/>
      </c>
      <c r="O214" s="56"/>
      <c r="P214" s="276" t="str">
        <f>IF(O214="","",IF(AND(O214="N/A - Culvert",D214&lt;&gt;"Culvert"),"Not possible ▲",IF(AND(D214="Culvert",O214&lt;&gt;"N/A - Culvert"),"Not possible ▲",IF(VLOOKUP(O214,'G-7 WaterC'' Data'!$AD$4:$AE$14,2,FALSE)=0,"Spatial Data Missing ⚠",VLOOKUP(O214,'G-7 WaterC'' Data'!$AD$4:$AE$14,2,FALSE)))))</f>
        <v/>
      </c>
      <c r="Q214" s="282" t="str">
        <f>IF(D214="","",VLOOKUP(D214,'G-7 WaterC'' Data'!$B$2:$G$8,6,FALSE))</f>
        <v/>
      </c>
      <c r="R214" s="289" t="str">
        <f t="shared" si="31"/>
        <v xml:space="preserve"> </v>
      </c>
      <c r="S214" s="803" t="str">
        <f t="shared" si="32"/>
        <v/>
      </c>
      <c r="T214" s="32"/>
      <c r="U214" s="101"/>
      <c r="V214" s="108"/>
      <c r="W214" s="287" t="str">
        <f t="shared" si="33"/>
        <v/>
      </c>
      <c r="X214" s="287" t="str">
        <f t="shared" si="34"/>
        <v/>
      </c>
      <c r="Y214" s="287" t="str">
        <f t="shared" si="35"/>
        <v/>
      </c>
      <c r="Z214" s="317" t="str">
        <f>IFERROR(IF(OR(E214="",R214=""),"",IF(AND(Q214='G-7 WaterC'' Data'!$G$4,AA214="Yes"),"Alternative Compensation ✓",IF(AND(AA214="Pending",Q214='G-7 WaterC'' Data'!$G$4),"Bespoke compensation must be agreed ▲",IF((W214+X214)&gt;=R214,0,R214-W214-X214)))),"Check Data ⚠")</f>
        <v/>
      </c>
      <c r="AA214" s="800"/>
      <c r="AB214" s="136"/>
      <c r="AC214" s="104"/>
      <c r="AD214" s="104"/>
      <c r="AE214" s="54" t="str">
        <f>IF(OR(Q214="",AA214="Yes"),"",IF(Q214='G-1 All Habitats'!$X$9,E214-U214-V214,"None"))</f>
        <v/>
      </c>
      <c r="AF214" s="55" t="str">
        <f>IF(Q214="","",IF(Q214='G-1 All Habitats'!$X$9,AE214*G214*I214*L214*N214*P214,"None"))</f>
        <v/>
      </c>
      <c r="AI214" s="30">
        <f t="shared" si="36"/>
        <v>0</v>
      </c>
      <c r="AJ214" s="107" t="str">
        <f t="shared" si="37"/>
        <v/>
      </c>
      <c r="AK214" s="107" t="str">
        <f t="shared" si="38"/>
        <v/>
      </c>
      <c r="AM214" s="107">
        <v>205</v>
      </c>
      <c r="AO214" s="107" t="str">
        <f t="array" ref="AO214">IFERROR(INDEX($AM$10:$AM$258,MATCH(0,IF(TRUE=$AJ$10:$AJ$258,COUNTIF($AO$9:$AO213,$AM$10:$AM$258),""),0)),"")</f>
        <v/>
      </c>
      <c r="AP214" s="107" t="str">
        <f t="array" ref="AP214">IFERROR(INDEX($AM$10:$AM$258,MATCH(0,IF(TRUE=$AK$10:$AK$258,COUNTIF($AP$9:$AP213,$AM$10:$AM$258),""),0)),"")</f>
        <v/>
      </c>
      <c r="AR214" s="30" t="str">
        <f>IFERROR(INDEX('G-7 WaterC'' Data'!$AZ$3:$AZ$7,MATCH(D214,'G-7 WaterC'' Data'!$AY$3:$AY$7,0)),"")</f>
        <v/>
      </c>
      <c r="AS214" s="30" t="str">
        <f>IFERROR(INDEX('G-7 WaterC'' Data'!AZ214:AZ218,MATCH(D214,'G-7 WaterC'' Data'!$AY$10:$AY$14,0)),"")</f>
        <v/>
      </c>
      <c r="AT214" s="885" t="str">
        <f>IF(AND(OR(AA214="Yes",AA214="Pending"),Q214='G-7 WaterC'' Data'!$G$4),R214-W214-X214,"")</f>
        <v/>
      </c>
      <c r="AU214" s="30" t="str">
        <f>IF(D214="","",VLOOKUP(D214,'G-7 WaterC'' Data'!B$4:M$8,12,FALSE))</f>
        <v/>
      </c>
      <c r="AV214" s="30" t="str">
        <f t="shared" si="30"/>
        <v/>
      </c>
      <c r="AX214" s="30" t="str">
        <f t="shared" si="39"/>
        <v>No</v>
      </c>
    </row>
    <row r="215" spans="3:50" ht="14" hidden="1">
      <c r="C215" s="97">
        <v>206</v>
      </c>
      <c r="D215" s="261"/>
      <c r="E215" s="115"/>
      <c r="F215" s="275" t="str">
        <f>IF(D215="","",VLOOKUP(D215,'G-7 WaterC'' Data'!$B$2:$G$8,2,FALSE))</f>
        <v/>
      </c>
      <c r="G215" s="276" t="str">
        <f>IFERROR(VLOOKUP(F215,'G-7 WaterC'' Data'!$C$4:$D$8,2,FALSE),"")</f>
        <v/>
      </c>
      <c r="H215" s="52"/>
      <c r="I215" s="276" t="str">
        <f>IFERROR(INDEX('G-7 WaterC'' Data'!$H$4:$L$8,MATCH(D215,'G-7 WaterC'' Data'!$B$4:$B$8,0),MATCH(H215,'G-7 WaterC'' Data'!$H$3:$L$3,0)),"")</f>
        <v/>
      </c>
      <c r="J215" s="777"/>
      <c r="K215" s="311" t="str">
        <f>IF(J215="","",IF(VLOOKUP(J215,'G-7 WaterC'' Data'!$AK$4:$AM$6,2,FALSE)=0,"Spatial Data Missing ⚠",VLOOKUP(J215,'G-7 WaterC'' Data'!$AK$4:$AM$6,2,FALSE)))</f>
        <v/>
      </c>
      <c r="L215" s="281" t="str">
        <f>IF(J215="","",IF(VLOOKUP(J215,'G-7 WaterC'' Data'!$AK$4:$AM$9,3,FALSE)=0,"Spatial Data Missing ⚠",VLOOKUP(J215,'G-7 WaterC'' Data'!$AK$4:$AM$6,3,FALSE)))</f>
        <v/>
      </c>
      <c r="M215" s="52"/>
      <c r="N215" s="276" t="str">
        <f>IF(M215="","",IF(AND(D215&lt;&gt;"Culvert",M215="N/A - Culvert"),"Not possible ▲",IF(AND(D215="Culvert",M215&lt;&gt;"N/A - Culvert"),"Not possible ▲",IF(VLOOKUP(M215,'G-7 WaterC'' Data'!$AA$4:$AB$7,2,FALSE)=0,"Spatial Data Missing ⚠",VLOOKUP(M215,'G-7 WaterC'' Data'!$AA$4:$AB$7,2,FALSE)))))</f>
        <v/>
      </c>
      <c r="O215" s="56"/>
      <c r="P215" s="276" t="str">
        <f>IF(O215="","",IF(AND(O215="N/A - Culvert",D215&lt;&gt;"Culvert"),"Not possible ▲",IF(AND(D215="Culvert",O215&lt;&gt;"N/A - Culvert"),"Not possible ▲",IF(VLOOKUP(O215,'G-7 WaterC'' Data'!$AD$4:$AE$14,2,FALSE)=0,"Spatial Data Missing ⚠",VLOOKUP(O215,'G-7 WaterC'' Data'!$AD$4:$AE$14,2,FALSE)))))</f>
        <v/>
      </c>
      <c r="Q215" s="282" t="str">
        <f>IF(D215="","",VLOOKUP(D215,'G-7 WaterC'' Data'!$B$2:$G$8,6,FALSE))</f>
        <v/>
      </c>
      <c r="R215" s="289" t="str">
        <f t="shared" si="31"/>
        <v xml:space="preserve"> </v>
      </c>
      <c r="S215" s="803" t="str">
        <f t="shared" si="32"/>
        <v/>
      </c>
      <c r="T215" s="32"/>
      <c r="U215" s="101"/>
      <c r="V215" s="108"/>
      <c r="W215" s="287" t="str">
        <f t="shared" si="33"/>
        <v/>
      </c>
      <c r="X215" s="287" t="str">
        <f t="shared" si="34"/>
        <v/>
      </c>
      <c r="Y215" s="287" t="str">
        <f t="shared" si="35"/>
        <v/>
      </c>
      <c r="Z215" s="317" t="str">
        <f>IFERROR(IF(OR(E215="",R215=""),"",IF(AND(Q215='G-7 WaterC'' Data'!$G$4,AA215="Yes"),"Alternative Compensation ✓",IF(AND(AA215="Pending",Q215='G-7 WaterC'' Data'!$G$4),"Bespoke compensation must be agreed ▲",IF((W215+X215)&gt;=R215,0,R215-W215-X215)))),"Check Data ⚠")</f>
        <v/>
      </c>
      <c r="AA215" s="800"/>
      <c r="AB215" s="136"/>
      <c r="AC215" s="104"/>
      <c r="AD215" s="104"/>
      <c r="AE215" s="54" t="str">
        <f>IF(OR(Q215="",AA215="Yes"),"",IF(Q215='G-1 All Habitats'!$X$9,E215-U215-V215,"None"))</f>
        <v/>
      </c>
      <c r="AF215" s="55" t="str">
        <f>IF(Q215="","",IF(Q215='G-1 All Habitats'!$X$9,AE215*G215*I215*L215*N215*P215,"None"))</f>
        <v/>
      </c>
      <c r="AI215" s="30">
        <f t="shared" si="36"/>
        <v>0</v>
      </c>
      <c r="AJ215" s="107" t="str">
        <f t="shared" si="37"/>
        <v/>
      </c>
      <c r="AK215" s="107" t="str">
        <f t="shared" si="38"/>
        <v/>
      </c>
      <c r="AM215" s="107">
        <v>206</v>
      </c>
      <c r="AO215" s="107" t="str">
        <f t="array" ref="AO215">IFERROR(INDEX($AM$10:$AM$258,MATCH(0,IF(TRUE=$AJ$10:$AJ$258,COUNTIF($AO$9:$AO214,$AM$10:$AM$258),""),0)),"")</f>
        <v/>
      </c>
      <c r="AP215" s="107" t="str">
        <f t="array" ref="AP215">IFERROR(INDEX($AM$10:$AM$258,MATCH(0,IF(TRUE=$AK$10:$AK$258,COUNTIF($AP$9:$AP214,$AM$10:$AM$258),""),0)),"")</f>
        <v/>
      </c>
      <c r="AR215" s="30" t="str">
        <f>IFERROR(INDEX('G-7 WaterC'' Data'!$AZ$3:$AZ$7,MATCH(D215,'G-7 WaterC'' Data'!$AY$3:$AY$7,0)),"")</f>
        <v/>
      </c>
      <c r="AS215" s="30" t="str">
        <f>IFERROR(INDEX('G-7 WaterC'' Data'!AZ215:AZ219,MATCH(D215,'G-7 WaterC'' Data'!$AY$10:$AY$14,0)),"")</f>
        <v/>
      </c>
      <c r="AT215" s="885" t="str">
        <f>IF(AND(OR(AA215="Yes",AA215="Pending"),Q215='G-7 WaterC'' Data'!$G$4),R215-W215-X215,"")</f>
        <v/>
      </c>
      <c r="AU215" s="30" t="str">
        <f>IF(D215="","",VLOOKUP(D215,'G-7 WaterC'' Data'!B$4:M$8,12,FALSE))</f>
        <v/>
      </c>
      <c r="AV215" s="30" t="str">
        <f t="shared" si="30"/>
        <v/>
      </c>
      <c r="AX215" s="30" t="str">
        <f t="shared" si="39"/>
        <v>No</v>
      </c>
    </row>
    <row r="216" spans="3:50" ht="14" hidden="1">
      <c r="C216" s="97">
        <v>207</v>
      </c>
      <c r="D216" s="261"/>
      <c r="E216" s="115"/>
      <c r="F216" s="275" t="str">
        <f>IF(D216="","",VLOOKUP(D216,'G-7 WaterC'' Data'!$B$2:$G$8,2,FALSE))</f>
        <v/>
      </c>
      <c r="G216" s="276" t="str">
        <f>IFERROR(VLOOKUP(F216,'G-7 WaterC'' Data'!$C$4:$D$8,2,FALSE),"")</f>
        <v/>
      </c>
      <c r="H216" s="52"/>
      <c r="I216" s="276" t="str">
        <f>IFERROR(INDEX('G-7 WaterC'' Data'!$H$4:$L$8,MATCH(D216,'G-7 WaterC'' Data'!$B$4:$B$8,0),MATCH(H216,'G-7 WaterC'' Data'!$H$3:$L$3,0)),"")</f>
        <v/>
      </c>
      <c r="J216" s="777"/>
      <c r="K216" s="311" t="str">
        <f>IF(J216="","",IF(VLOOKUP(J216,'G-7 WaterC'' Data'!$AK$4:$AM$6,2,FALSE)=0,"Spatial Data Missing ⚠",VLOOKUP(J216,'G-7 WaterC'' Data'!$AK$4:$AM$6,2,FALSE)))</f>
        <v/>
      </c>
      <c r="L216" s="281" t="str">
        <f>IF(J216="","",IF(VLOOKUP(J216,'G-7 WaterC'' Data'!$AK$4:$AM$9,3,FALSE)=0,"Spatial Data Missing ⚠",VLOOKUP(J216,'G-7 WaterC'' Data'!$AK$4:$AM$6,3,FALSE)))</f>
        <v/>
      </c>
      <c r="M216" s="52"/>
      <c r="N216" s="276" t="str">
        <f>IF(M216="","",IF(AND(D216&lt;&gt;"Culvert",M216="N/A - Culvert"),"Not possible ▲",IF(AND(D216="Culvert",M216&lt;&gt;"N/A - Culvert"),"Not possible ▲",IF(VLOOKUP(M216,'G-7 WaterC'' Data'!$AA$4:$AB$7,2,FALSE)=0,"Spatial Data Missing ⚠",VLOOKUP(M216,'G-7 WaterC'' Data'!$AA$4:$AB$7,2,FALSE)))))</f>
        <v/>
      </c>
      <c r="O216" s="56"/>
      <c r="P216" s="276" t="str">
        <f>IF(O216="","",IF(AND(O216="N/A - Culvert",D216&lt;&gt;"Culvert"),"Not possible ▲",IF(AND(D216="Culvert",O216&lt;&gt;"N/A - Culvert"),"Not possible ▲",IF(VLOOKUP(O216,'G-7 WaterC'' Data'!$AD$4:$AE$14,2,FALSE)=0,"Spatial Data Missing ⚠",VLOOKUP(O216,'G-7 WaterC'' Data'!$AD$4:$AE$14,2,FALSE)))))</f>
        <v/>
      </c>
      <c r="Q216" s="282" t="str">
        <f>IF(D216="","",VLOOKUP(D216,'G-7 WaterC'' Data'!$B$2:$G$8,6,FALSE))</f>
        <v/>
      </c>
      <c r="R216" s="289" t="str">
        <f t="shared" si="31"/>
        <v xml:space="preserve"> </v>
      </c>
      <c r="S216" s="803" t="str">
        <f t="shared" si="32"/>
        <v/>
      </c>
      <c r="T216" s="32"/>
      <c r="U216" s="101"/>
      <c r="V216" s="108"/>
      <c r="W216" s="287" t="str">
        <f t="shared" si="33"/>
        <v/>
      </c>
      <c r="X216" s="287" t="str">
        <f t="shared" si="34"/>
        <v/>
      </c>
      <c r="Y216" s="287" t="str">
        <f t="shared" si="35"/>
        <v/>
      </c>
      <c r="Z216" s="317" t="str">
        <f>IFERROR(IF(OR(E216="",R216=""),"",IF(AND(Q216='G-7 WaterC'' Data'!$G$4,AA216="Yes"),"Alternative Compensation ✓",IF(AND(AA216="Pending",Q216='G-7 WaterC'' Data'!$G$4),"Bespoke compensation must be agreed ▲",IF((W216+X216)&gt;=R216,0,R216-W216-X216)))),"Check Data ⚠")</f>
        <v/>
      </c>
      <c r="AA216" s="800"/>
      <c r="AB216" s="136"/>
      <c r="AC216" s="104"/>
      <c r="AD216" s="104"/>
      <c r="AE216" s="54" t="str">
        <f>IF(OR(Q216="",AA216="Yes"),"",IF(Q216='G-1 All Habitats'!$X$9,E216-U216-V216,"None"))</f>
        <v/>
      </c>
      <c r="AF216" s="55" t="str">
        <f>IF(Q216="","",IF(Q216='G-1 All Habitats'!$X$9,AE216*G216*I216*L216*N216*P216,"None"))</f>
        <v/>
      </c>
      <c r="AI216" s="30">
        <f t="shared" si="36"/>
        <v>0</v>
      </c>
      <c r="AJ216" s="107" t="str">
        <f t="shared" si="37"/>
        <v/>
      </c>
      <c r="AK216" s="107" t="str">
        <f t="shared" si="38"/>
        <v/>
      </c>
      <c r="AM216" s="107">
        <v>207</v>
      </c>
      <c r="AO216" s="107" t="str">
        <f t="array" ref="AO216">IFERROR(INDEX($AM$10:$AM$258,MATCH(0,IF(TRUE=$AJ$10:$AJ$258,COUNTIF($AO$9:$AO215,$AM$10:$AM$258),""),0)),"")</f>
        <v/>
      </c>
      <c r="AP216" s="107" t="str">
        <f t="array" ref="AP216">IFERROR(INDEX($AM$10:$AM$258,MATCH(0,IF(TRUE=$AK$10:$AK$258,COUNTIF($AP$9:$AP215,$AM$10:$AM$258),""),0)),"")</f>
        <v/>
      </c>
      <c r="AR216" s="30" t="str">
        <f>IFERROR(INDEX('G-7 WaterC'' Data'!$AZ$3:$AZ$7,MATCH(D216,'G-7 WaterC'' Data'!$AY$3:$AY$7,0)),"")</f>
        <v/>
      </c>
      <c r="AS216" s="30" t="str">
        <f>IFERROR(INDEX('G-7 WaterC'' Data'!AZ216:AZ220,MATCH(D216,'G-7 WaterC'' Data'!$AY$10:$AY$14,0)),"")</f>
        <v/>
      </c>
      <c r="AT216" s="885" t="str">
        <f>IF(AND(OR(AA216="Yes",AA216="Pending"),Q216='G-7 WaterC'' Data'!$G$4),R216-W216-X216,"")</f>
        <v/>
      </c>
      <c r="AU216" s="30" t="str">
        <f>IF(D216="","",VLOOKUP(D216,'G-7 WaterC'' Data'!B$4:M$8,12,FALSE))</f>
        <v/>
      </c>
      <c r="AV216" s="30" t="str">
        <f t="shared" si="30"/>
        <v/>
      </c>
      <c r="AX216" s="30" t="str">
        <f t="shared" si="39"/>
        <v>No</v>
      </c>
    </row>
    <row r="217" spans="3:50" ht="14" hidden="1">
      <c r="C217" s="97">
        <v>208</v>
      </c>
      <c r="D217" s="261"/>
      <c r="E217" s="115"/>
      <c r="F217" s="275" t="str">
        <f>IF(D217="","",VLOOKUP(D217,'G-7 WaterC'' Data'!$B$2:$G$8,2,FALSE))</f>
        <v/>
      </c>
      <c r="G217" s="276" t="str">
        <f>IFERROR(VLOOKUP(F217,'G-7 WaterC'' Data'!$C$4:$D$8,2,FALSE),"")</f>
        <v/>
      </c>
      <c r="H217" s="52"/>
      <c r="I217" s="276" t="str">
        <f>IFERROR(INDEX('G-7 WaterC'' Data'!$H$4:$L$8,MATCH(D217,'G-7 WaterC'' Data'!$B$4:$B$8,0),MATCH(H217,'G-7 WaterC'' Data'!$H$3:$L$3,0)),"")</f>
        <v/>
      </c>
      <c r="J217" s="777"/>
      <c r="K217" s="311" t="str">
        <f>IF(J217="","",IF(VLOOKUP(J217,'G-7 WaterC'' Data'!$AK$4:$AM$6,2,FALSE)=0,"Spatial Data Missing ⚠",VLOOKUP(J217,'G-7 WaterC'' Data'!$AK$4:$AM$6,2,FALSE)))</f>
        <v/>
      </c>
      <c r="L217" s="281" t="str">
        <f>IF(J217="","",IF(VLOOKUP(J217,'G-7 WaterC'' Data'!$AK$4:$AM$9,3,FALSE)=0,"Spatial Data Missing ⚠",VLOOKUP(J217,'G-7 WaterC'' Data'!$AK$4:$AM$6,3,FALSE)))</f>
        <v/>
      </c>
      <c r="M217" s="52"/>
      <c r="N217" s="276" t="str">
        <f>IF(M217="","",IF(AND(D217&lt;&gt;"Culvert",M217="N/A - Culvert"),"Not possible ▲",IF(AND(D217="Culvert",M217&lt;&gt;"N/A - Culvert"),"Not possible ▲",IF(VLOOKUP(M217,'G-7 WaterC'' Data'!$AA$4:$AB$7,2,FALSE)=0,"Spatial Data Missing ⚠",VLOOKUP(M217,'G-7 WaterC'' Data'!$AA$4:$AB$7,2,FALSE)))))</f>
        <v/>
      </c>
      <c r="O217" s="56"/>
      <c r="P217" s="276" t="str">
        <f>IF(O217="","",IF(AND(O217="N/A - Culvert",D217&lt;&gt;"Culvert"),"Not possible ▲",IF(AND(D217="Culvert",O217&lt;&gt;"N/A - Culvert"),"Not possible ▲",IF(VLOOKUP(O217,'G-7 WaterC'' Data'!$AD$4:$AE$14,2,FALSE)=0,"Spatial Data Missing ⚠",VLOOKUP(O217,'G-7 WaterC'' Data'!$AD$4:$AE$14,2,FALSE)))))</f>
        <v/>
      </c>
      <c r="Q217" s="282" t="str">
        <f>IF(D217="","",VLOOKUP(D217,'G-7 WaterC'' Data'!$B$2:$G$8,6,FALSE))</f>
        <v/>
      </c>
      <c r="R217" s="289" t="str">
        <f t="shared" si="31"/>
        <v xml:space="preserve"> </v>
      </c>
      <c r="S217" s="803" t="str">
        <f t="shared" si="32"/>
        <v/>
      </c>
      <c r="T217" s="32"/>
      <c r="U217" s="101"/>
      <c r="V217" s="108"/>
      <c r="W217" s="287" t="str">
        <f t="shared" si="33"/>
        <v/>
      </c>
      <c r="X217" s="287" t="str">
        <f t="shared" si="34"/>
        <v/>
      </c>
      <c r="Y217" s="287" t="str">
        <f t="shared" si="35"/>
        <v/>
      </c>
      <c r="Z217" s="317" t="str">
        <f>IFERROR(IF(OR(E217="",R217=""),"",IF(AND(Q217='G-7 WaterC'' Data'!$G$4,AA217="Yes"),"Alternative Compensation ✓",IF(AND(AA217="Pending",Q217='G-7 WaterC'' Data'!$G$4),"Bespoke compensation must be agreed ▲",IF((W217+X217)&gt;=R217,0,R217-W217-X217)))),"Check Data ⚠")</f>
        <v/>
      </c>
      <c r="AA217" s="800"/>
      <c r="AB217" s="136"/>
      <c r="AC217" s="104"/>
      <c r="AD217" s="104"/>
      <c r="AE217" s="54" t="str">
        <f>IF(OR(Q217="",AA217="Yes"),"",IF(Q217='G-1 All Habitats'!$X$9,E217-U217-V217,"None"))</f>
        <v/>
      </c>
      <c r="AF217" s="55" t="str">
        <f>IF(Q217="","",IF(Q217='G-1 All Habitats'!$X$9,AE217*G217*I217*L217*N217*P217,"None"))</f>
        <v/>
      </c>
      <c r="AI217" s="30">
        <f t="shared" si="36"/>
        <v>0</v>
      </c>
      <c r="AJ217" s="107" t="str">
        <f t="shared" si="37"/>
        <v/>
      </c>
      <c r="AK217" s="107" t="str">
        <f t="shared" si="38"/>
        <v/>
      </c>
      <c r="AM217" s="107">
        <v>208</v>
      </c>
      <c r="AO217" s="107" t="str">
        <f t="array" ref="AO217">IFERROR(INDEX($AM$10:$AM$258,MATCH(0,IF(TRUE=$AJ$10:$AJ$258,COUNTIF($AO$9:$AO216,$AM$10:$AM$258),""),0)),"")</f>
        <v/>
      </c>
      <c r="AP217" s="107" t="str">
        <f t="array" ref="AP217">IFERROR(INDEX($AM$10:$AM$258,MATCH(0,IF(TRUE=$AK$10:$AK$258,COUNTIF($AP$9:$AP216,$AM$10:$AM$258),""),0)),"")</f>
        <v/>
      </c>
      <c r="AR217" s="30" t="str">
        <f>IFERROR(INDEX('G-7 WaterC'' Data'!$AZ$3:$AZ$7,MATCH(D217,'G-7 WaterC'' Data'!$AY$3:$AY$7,0)),"")</f>
        <v/>
      </c>
      <c r="AS217" s="30" t="str">
        <f>IFERROR(INDEX('G-7 WaterC'' Data'!AZ217:AZ221,MATCH(D217,'G-7 WaterC'' Data'!$AY$10:$AY$14,0)),"")</f>
        <v/>
      </c>
      <c r="AT217" s="885" t="str">
        <f>IF(AND(OR(AA217="Yes",AA217="Pending"),Q217='G-7 WaterC'' Data'!$G$4),R217-W217-X217,"")</f>
        <v/>
      </c>
      <c r="AU217" s="30" t="str">
        <f>IF(D217="","",VLOOKUP(D217,'G-7 WaterC'' Data'!B$4:M$8,12,FALSE))</f>
        <v/>
      </c>
      <c r="AV217" s="30" t="str">
        <f t="shared" si="30"/>
        <v/>
      </c>
      <c r="AX217" s="30" t="str">
        <f t="shared" si="39"/>
        <v>No</v>
      </c>
    </row>
    <row r="218" spans="3:50" ht="14" hidden="1">
      <c r="C218" s="97">
        <v>209</v>
      </c>
      <c r="D218" s="261"/>
      <c r="E218" s="115"/>
      <c r="F218" s="275" t="str">
        <f>IF(D218="","",VLOOKUP(D218,'G-7 WaterC'' Data'!$B$2:$G$8,2,FALSE))</f>
        <v/>
      </c>
      <c r="G218" s="276" t="str">
        <f>IFERROR(VLOOKUP(F218,'G-7 WaterC'' Data'!$C$4:$D$8,2,FALSE),"")</f>
        <v/>
      </c>
      <c r="H218" s="52"/>
      <c r="I218" s="276" t="str">
        <f>IFERROR(INDEX('G-7 WaterC'' Data'!$H$4:$L$8,MATCH(D218,'G-7 WaterC'' Data'!$B$4:$B$8,0),MATCH(H218,'G-7 WaterC'' Data'!$H$3:$L$3,0)),"")</f>
        <v/>
      </c>
      <c r="J218" s="777"/>
      <c r="K218" s="311" t="str">
        <f>IF(J218="","",IF(VLOOKUP(J218,'G-7 WaterC'' Data'!$AK$4:$AM$6,2,FALSE)=0,"Spatial Data Missing ⚠",VLOOKUP(J218,'G-7 WaterC'' Data'!$AK$4:$AM$6,2,FALSE)))</f>
        <v/>
      </c>
      <c r="L218" s="281" t="str">
        <f>IF(J218="","",IF(VLOOKUP(J218,'G-7 WaterC'' Data'!$AK$4:$AM$9,3,FALSE)=0,"Spatial Data Missing ⚠",VLOOKUP(J218,'G-7 WaterC'' Data'!$AK$4:$AM$6,3,FALSE)))</f>
        <v/>
      </c>
      <c r="M218" s="52"/>
      <c r="N218" s="276" t="str">
        <f>IF(M218="","",IF(AND(D218&lt;&gt;"Culvert",M218="N/A - Culvert"),"Not possible ▲",IF(AND(D218="Culvert",M218&lt;&gt;"N/A - Culvert"),"Not possible ▲",IF(VLOOKUP(M218,'G-7 WaterC'' Data'!$AA$4:$AB$7,2,FALSE)=0,"Spatial Data Missing ⚠",VLOOKUP(M218,'G-7 WaterC'' Data'!$AA$4:$AB$7,2,FALSE)))))</f>
        <v/>
      </c>
      <c r="O218" s="56"/>
      <c r="P218" s="276" t="str">
        <f>IF(O218="","",IF(AND(O218="N/A - Culvert",D218&lt;&gt;"Culvert"),"Not possible ▲",IF(AND(D218="Culvert",O218&lt;&gt;"N/A - Culvert"),"Not possible ▲",IF(VLOOKUP(O218,'G-7 WaterC'' Data'!$AD$4:$AE$14,2,FALSE)=0,"Spatial Data Missing ⚠",VLOOKUP(O218,'G-7 WaterC'' Data'!$AD$4:$AE$14,2,FALSE)))))</f>
        <v/>
      </c>
      <c r="Q218" s="282" t="str">
        <f>IF(D218="","",VLOOKUP(D218,'G-7 WaterC'' Data'!$B$2:$G$8,6,FALSE))</f>
        <v/>
      </c>
      <c r="R218" s="289" t="str">
        <f t="shared" si="31"/>
        <v xml:space="preserve"> </v>
      </c>
      <c r="S218" s="803" t="str">
        <f t="shared" si="32"/>
        <v/>
      </c>
      <c r="T218" s="32"/>
      <c r="U218" s="101"/>
      <c r="V218" s="108"/>
      <c r="W218" s="287" t="str">
        <f t="shared" si="33"/>
        <v/>
      </c>
      <c r="X218" s="287" t="str">
        <f t="shared" si="34"/>
        <v/>
      </c>
      <c r="Y218" s="287" t="str">
        <f t="shared" si="35"/>
        <v/>
      </c>
      <c r="Z218" s="317" t="str">
        <f>IFERROR(IF(OR(E218="",R218=""),"",IF(AND(Q218='G-7 WaterC'' Data'!$G$4,AA218="Yes"),"Alternative Compensation ✓",IF(AND(AA218="Pending",Q218='G-7 WaterC'' Data'!$G$4),"Bespoke compensation must be agreed ▲",IF((W218+X218)&gt;=R218,0,R218-W218-X218)))),"Check Data ⚠")</f>
        <v/>
      </c>
      <c r="AA218" s="800"/>
      <c r="AB218" s="136"/>
      <c r="AC218" s="104"/>
      <c r="AD218" s="104"/>
      <c r="AE218" s="54" t="str">
        <f>IF(OR(Q218="",AA218="Yes"),"",IF(Q218='G-1 All Habitats'!$X$9,E218-U218-V218,"None"))</f>
        <v/>
      </c>
      <c r="AF218" s="55" t="str">
        <f>IF(Q218="","",IF(Q218='G-1 All Habitats'!$X$9,AE218*G218*I218*L218*N218*P218,"None"))</f>
        <v/>
      </c>
      <c r="AI218" s="30">
        <f t="shared" si="36"/>
        <v>0</v>
      </c>
      <c r="AJ218" s="107" t="str">
        <f t="shared" si="37"/>
        <v/>
      </c>
      <c r="AK218" s="107" t="str">
        <f t="shared" si="38"/>
        <v/>
      </c>
      <c r="AM218" s="107">
        <v>209</v>
      </c>
      <c r="AO218" s="107" t="str">
        <f t="array" ref="AO218">IFERROR(INDEX($AM$10:$AM$258,MATCH(0,IF(TRUE=$AJ$10:$AJ$258,COUNTIF($AO$9:$AO217,$AM$10:$AM$258),""),0)),"")</f>
        <v/>
      </c>
      <c r="AP218" s="107" t="str">
        <f t="array" ref="AP218">IFERROR(INDEX($AM$10:$AM$258,MATCH(0,IF(TRUE=$AK$10:$AK$258,COUNTIF($AP$9:$AP217,$AM$10:$AM$258),""),0)),"")</f>
        <v/>
      </c>
      <c r="AR218" s="30" t="str">
        <f>IFERROR(INDEX('G-7 WaterC'' Data'!$AZ$3:$AZ$7,MATCH(D218,'G-7 WaterC'' Data'!$AY$3:$AY$7,0)),"")</f>
        <v/>
      </c>
      <c r="AS218" s="30" t="str">
        <f>IFERROR(INDEX('G-7 WaterC'' Data'!AZ218:AZ222,MATCH(D218,'G-7 WaterC'' Data'!$AY$10:$AY$14,0)),"")</f>
        <v/>
      </c>
      <c r="AT218" s="885" t="str">
        <f>IF(AND(OR(AA218="Yes",AA218="Pending"),Q218='G-7 WaterC'' Data'!$G$4),R218-W218-X218,"")</f>
        <v/>
      </c>
      <c r="AU218" s="30" t="str">
        <f>IF(D218="","",VLOOKUP(D218,'G-7 WaterC'' Data'!B$4:M$8,12,FALSE))</f>
        <v/>
      </c>
      <c r="AV218" s="30" t="str">
        <f t="shared" si="30"/>
        <v/>
      </c>
      <c r="AX218" s="30" t="str">
        <f t="shared" si="39"/>
        <v>No</v>
      </c>
    </row>
    <row r="219" spans="3:50" ht="14" hidden="1">
      <c r="C219" s="97">
        <v>210</v>
      </c>
      <c r="D219" s="261"/>
      <c r="E219" s="115"/>
      <c r="F219" s="275" t="str">
        <f>IF(D219="","",VLOOKUP(D219,'G-7 WaterC'' Data'!$B$2:$G$8,2,FALSE))</f>
        <v/>
      </c>
      <c r="G219" s="276" t="str">
        <f>IFERROR(VLOOKUP(F219,'G-7 WaterC'' Data'!$C$4:$D$8,2,FALSE),"")</f>
        <v/>
      </c>
      <c r="H219" s="52"/>
      <c r="I219" s="276" t="str">
        <f>IFERROR(INDEX('G-7 WaterC'' Data'!$H$4:$L$8,MATCH(D219,'G-7 WaterC'' Data'!$B$4:$B$8,0),MATCH(H219,'G-7 WaterC'' Data'!$H$3:$L$3,0)),"")</f>
        <v/>
      </c>
      <c r="J219" s="777"/>
      <c r="K219" s="311" t="str">
        <f>IF(J219="","",IF(VLOOKUP(J219,'G-7 WaterC'' Data'!$AK$4:$AM$6,2,FALSE)=0,"Spatial Data Missing ⚠",VLOOKUP(J219,'G-7 WaterC'' Data'!$AK$4:$AM$6,2,FALSE)))</f>
        <v/>
      </c>
      <c r="L219" s="281" t="str">
        <f>IF(J219="","",IF(VLOOKUP(J219,'G-7 WaterC'' Data'!$AK$4:$AM$9,3,FALSE)=0,"Spatial Data Missing ⚠",VLOOKUP(J219,'G-7 WaterC'' Data'!$AK$4:$AM$6,3,FALSE)))</f>
        <v/>
      </c>
      <c r="M219" s="52"/>
      <c r="N219" s="276" t="str">
        <f>IF(M219="","",IF(AND(D219&lt;&gt;"Culvert",M219="N/A - Culvert"),"Not possible ▲",IF(AND(D219="Culvert",M219&lt;&gt;"N/A - Culvert"),"Not possible ▲",IF(VLOOKUP(M219,'G-7 WaterC'' Data'!$AA$4:$AB$7,2,FALSE)=0,"Spatial Data Missing ⚠",VLOOKUP(M219,'G-7 WaterC'' Data'!$AA$4:$AB$7,2,FALSE)))))</f>
        <v/>
      </c>
      <c r="O219" s="56"/>
      <c r="P219" s="276" t="str">
        <f>IF(O219="","",IF(AND(O219="N/A - Culvert",D219&lt;&gt;"Culvert"),"Not possible ▲",IF(AND(D219="Culvert",O219&lt;&gt;"N/A - Culvert"),"Not possible ▲",IF(VLOOKUP(O219,'G-7 WaterC'' Data'!$AD$4:$AE$14,2,FALSE)=0,"Spatial Data Missing ⚠",VLOOKUP(O219,'G-7 WaterC'' Data'!$AD$4:$AE$14,2,FALSE)))))</f>
        <v/>
      </c>
      <c r="Q219" s="282" t="str">
        <f>IF(D219="","",VLOOKUP(D219,'G-7 WaterC'' Data'!$B$2:$G$8,6,FALSE))</f>
        <v/>
      </c>
      <c r="R219" s="289" t="str">
        <f t="shared" si="31"/>
        <v xml:space="preserve"> </v>
      </c>
      <c r="S219" s="803" t="str">
        <f t="shared" si="32"/>
        <v/>
      </c>
      <c r="T219" s="32"/>
      <c r="U219" s="101"/>
      <c r="V219" s="108"/>
      <c r="W219" s="287" t="str">
        <f t="shared" si="33"/>
        <v/>
      </c>
      <c r="X219" s="287" t="str">
        <f t="shared" si="34"/>
        <v/>
      </c>
      <c r="Y219" s="287" t="str">
        <f t="shared" si="35"/>
        <v/>
      </c>
      <c r="Z219" s="317" t="str">
        <f>IFERROR(IF(OR(E219="",R219=""),"",IF(AND(Q219='G-7 WaterC'' Data'!$G$4,AA219="Yes"),"Alternative Compensation ✓",IF(AND(AA219="Pending",Q219='G-7 WaterC'' Data'!$G$4),"Bespoke compensation must be agreed ▲",IF((W219+X219)&gt;=R219,0,R219-W219-X219)))),"Check Data ⚠")</f>
        <v/>
      </c>
      <c r="AA219" s="800"/>
      <c r="AB219" s="136"/>
      <c r="AC219" s="104"/>
      <c r="AD219" s="104"/>
      <c r="AE219" s="54" t="str">
        <f>IF(OR(Q219="",AA219="Yes"),"",IF(Q219='G-1 All Habitats'!$X$9,E219-U219-V219,"None"))</f>
        <v/>
      </c>
      <c r="AF219" s="55" t="str">
        <f>IF(Q219="","",IF(Q219='G-1 All Habitats'!$X$9,AE219*G219*I219*L219*N219*P219,"None"))</f>
        <v/>
      </c>
      <c r="AI219" s="30">
        <f t="shared" si="36"/>
        <v>0</v>
      </c>
      <c r="AJ219" s="107" t="str">
        <f t="shared" si="37"/>
        <v/>
      </c>
      <c r="AK219" s="107" t="str">
        <f t="shared" si="38"/>
        <v/>
      </c>
      <c r="AM219" s="107">
        <v>210</v>
      </c>
      <c r="AO219" s="107" t="str">
        <f t="array" ref="AO219">IFERROR(INDEX($AM$10:$AM$258,MATCH(0,IF(TRUE=$AJ$10:$AJ$258,COUNTIF($AO$9:$AO218,$AM$10:$AM$258),""),0)),"")</f>
        <v/>
      </c>
      <c r="AP219" s="107" t="str">
        <f t="array" ref="AP219">IFERROR(INDEX($AM$10:$AM$258,MATCH(0,IF(TRUE=$AK$10:$AK$258,COUNTIF($AP$9:$AP218,$AM$10:$AM$258),""),0)),"")</f>
        <v/>
      </c>
      <c r="AR219" s="30" t="str">
        <f>IFERROR(INDEX('G-7 WaterC'' Data'!$AZ$3:$AZ$7,MATCH(D219,'G-7 WaterC'' Data'!$AY$3:$AY$7,0)),"")</f>
        <v/>
      </c>
      <c r="AS219" s="30" t="str">
        <f>IFERROR(INDEX('G-7 WaterC'' Data'!AZ219:AZ223,MATCH(D219,'G-7 WaterC'' Data'!$AY$10:$AY$14,0)),"")</f>
        <v/>
      </c>
      <c r="AT219" s="885" t="str">
        <f>IF(AND(OR(AA219="Yes",AA219="Pending"),Q219='G-7 WaterC'' Data'!$G$4),R219-W219-X219,"")</f>
        <v/>
      </c>
      <c r="AU219" s="30" t="str">
        <f>IF(D219="","",VLOOKUP(D219,'G-7 WaterC'' Data'!B$4:M$8,12,FALSE))</f>
        <v/>
      </c>
      <c r="AV219" s="30" t="str">
        <f t="shared" si="30"/>
        <v/>
      </c>
      <c r="AX219" s="30" t="str">
        <f t="shared" si="39"/>
        <v>No</v>
      </c>
    </row>
    <row r="220" spans="3:50" ht="14" hidden="1">
      <c r="C220" s="97">
        <v>211</v>
      </c>
      <c r="D220" s="261"/>
      <c r="E220" s="115"/>
      <c r="F220" s="275" t="str">
        <f>IF(D220="","",VLOOKUP(D220,'G-7 WaterC'' Data'!$B$2:$G$8,2,FALSE))</f>
        <v/>
      </c>
      <c r="G220" s="276" t="str">
        <f>IFERROR(VLOOKUP(F220,'G-7 WaterC'' Data'!$C$4:$D$8,2,FALSE),"")</f>
        <v/>
      </c>
      <c r="H220" s="52"/>
      <c r="I220" s="276" t="str">
        <f>IFERROR(INDEX('G-7 WaterC'' Data'!$H$4:$L$8,MATCH(D220,'G-7 WaterC'' Data'!$B$4:$B$8,0),MATCH(H220,'G-7 WaterC'' Data'!$H$3:$L$3,0)),"")</f>
        <v/>
      </c>
      <c r="J220" s="777"/>
      <c r="K220" s="311" t="str">
        <f>IF(J220="","",IF(VLOOKUP(J220,'G-7 WaterC'' Data'!$AK$4:$AM$6,2,FALSE)=0,"Spatial Data Missing ⚠",VLOOKUP(J220,'G-7 WaterC'' Data'!$AK$4:$AM$6,2,FALSE)))</f>
        <v/>
      </c>
      <c r="L220" s="281" t="str">
        <f>IF(J220="","",IF(VLOOKUP(J220,'G-7 WaterC'' Data'!$AK$4:$AM$9,3,FALSE)=0,"Spatial Data Missing ⚠",VLOOKUP(J220,'G-7 WaterC'' Data'!$AK$4:$AM$6,3,FALSE)))</f>
        <v/>
      </c>
      <c r="M220" s="52"/>
      <c r="N220" s="276" t="str">
        <f>IF(M220="","",IF(AND(D220&lt;&gt;"Culvert",M220="N/A - Culvert"),"Not possible ▲",IF(AND(D220="Culvert",M220&lt;&gt;"N/A - Culvert"),"Not possible ▲",IF(VLOOKUP(M220,'G-7 WaterC'' Data'!$AA$4:$AB$7,2,FALSE)=0,"Spatial Data Missing ⚠",VLOOKUP(M220,'G-7 WaterC'' Data'!$AA$4:$AB$7,2,FALSE)))))</f>
        <v/>
      </c>
      <c r="O220" s="56"/>
      <c r="P220" s="276" t="str">
        <f>IF(O220="","",IF(AND(O220="N/A - Culvert",D220&lt;&gt;"Culvert"),"Not possible ▲",IF(AND(D220="Culvert",O220&lt;&gt;"N/A - Culvert"),"Not possible ▲",IF(VLOOKUP(O220,'G-7 WaterC'' Data'!$AD$4:$AE$14,2,FALSE)=0,"Spatial Data Missing ⚠",VLOOKUP(O220,'G-7 WaterC'' Data'!$AD$4:$AE$14,2,FALSE)))))</f>
        <v/>
      </c>
      <c r="Q220" s="282" t="str">
        <f>IF(D220="","",VLOOKUP(D220,'G-7 WaterC'' Data'!$B$2:$G$8,6,FALSE))</f>
        <v/>
      </c>
      <c r="R220" s="289" t="str">
        <f t="shared" si="31"/>
        <v xml:space="preserve"> </v>
      </c>
      <c r="S220" s="803" t="str">
        <f t="shared" si="32"/>
        <v/>
      </c>
      <c r="T220" s="32"/>
      <c r="U220" s="101"/>
      <c r="V220" s="108"/>
      <c r="W220" s="287" t="str">
        <f t="shared" si="33"/>
        <v/>
      </c>
      <c r="X220" s="287" t="str">
        <f t="shared" si="34"/>
        <v/>
      </c>
      <c r="Y220" s="287" t="str">
        <f t="shared" si="35"/>
        <v/>
      </c>
      <c r="Z220" s="317" t="str">
        <f>IFERROR(IF(OR(E220="",R220=""),"",IF(AND(Q220='G-7 WaterC'' Data'!$G$4,AA220="Yes"),"Alternative Compensation ✓",IF(AND(AA220="Pending",Q220='G-7 WaterC'' Data'!$G$4),"Bespoke compensation must be agreed ▲",IF((W220+X220)&gt;=R220,0,R220-W220-X220)))),"Check Data ⚠")</f>
        <v/>
      </c>
      <c r="AA220" s="800"/>
      <c r="AB220" s="136"/>
      <c r="AC220" s="104"/>
      <c r="AD220" s="104"/>
      <c r="AE220" s="54" t="str">
        <f>IF(OR(Q220="",AA220="Yes"),"",IF(Q220='G-1 All Habitats'!$X$9,E220-U220-V220,"None"))</f>
        <v/>
      </c>
      <c r="AF220" s="55" t="str">
        <f>IF(Q220="","",IF(Q220='G-1 All Habitats'!$X$9,AE220*G220*I220*L220*N220*P220,"None"))</f>
        <v/>
      </c>
      <c r="AI220" s="30">
        <f t="shared" si="36"/>
        <v>0</v>
      </c>
      <c r="AJ220" s="107" t="str">
        <f t="shared" si="37"/>
        <v/>
      </c>
      <c r="AK220" s="107" t="str">
        <f t="shared" si="38"/>
        <v/>
      </c>
      <c r="AM220" s="107">
        <v>211</v>
      </c>
      <c r="AO220" s="107" t="str">
        <f t="array" ref="AO220">IFERROR(INDEX($AM$10:$AM$258,MATCH(0,IF(TRUE=$AJ$10:$AJ$258,COUNTIF($AO$9:$AO219,$AM$10:$AM$258),""),0)),"")</f>
        <v/>
      </c>
      <c r="AP220" s="107" t="str">
        <f t="array" ref="AP220">IFERROR(INDEX($AM$10:$AM$258,MATCH(0,IF(TRUE=$AK$10:$AK$258,COUNTIF($AP$9:$AP219,$AM$10:$AM$258),""),0)),"")</f>
        <v/>
      </c>
      <c r="AR220" s="30" t="str">
        <f>IFERROR(INDEX('G-7 WaterC'' Data'!$AZ$3:$AZ$7,MATCH(D220,'G-7 WaterC'' Data'!$AY$3:$AY$7,0)),"")</f>
        <v/>
      </c>
      <c r="AS220" s="30" t="str">
        <f>IFERROR(INDEX('G-7 WaterC'' Data'!AZ220:AZ224,MATCH(D220,'G-7 WaterC'' Data'!$AY$10:$AY$14,0)),"")</f>
        <v/>
      </c>
      <c r="AT220" s="885" t="str">
        <f>IF(AND(OR(AA220="Yes",AA220="Pending"),Q220='G-7 WaterC'' Data'!$G$4),R220-W220-X220,"")</f>
        <v/>
      </c>
      <c r="AU220" s="30" t="str">
        <f>IF(D220="","",VLOOKUP(D220,'G-7 WaterC'' Data'!B$4:M$8,12,FALSE))</f>
        <v/>
      </c>
      <c r="AV220" s="30" t="str">
        <f t="shared" si="30"/>
        <v/>
      </c>
      <c r="AX220" s="30" t="str">
        <f t="shared" si="39"/>
        <v>No</v>
      </c>
    </row>
    <row r="221" spans="3:50" ht="14" hidden="1">
      <c r="C221" s="97">
        <v>212</v>
      </c>
      <c r="D221" s="261"/>
      <c r="E221" s="115"/>
      <c r="F221" s="275" t="str">
        <f>IF(D221="","",VLOOKUP(D221,'G-7 WaterC'' Data'!$B$2:$G$8,2,FALSE))</f>
        <v/>
      </c>
      <c r="G221" s="276" t="str">
        <f>IFERROR(VLOOKUP(F221,'G-7 WaterC'' Data'!$C$4:$D$8,2,FALSE),"")</f>
        <v/>
      </c>
      <c r="H221" s="52"/>
      <c r="I221" s="276" t="str">
        <f>IFERROR(INDEX('G-7 WaterC'' Data'!$H$4:$L$8,MATCH(D221,'G-7 WaterC'' Data'!$B$4:$B$8,0),MATCH(H221,'G-7 WaterC'' Data'!$H$3:$L$3,0)),"")</f>
        <v/>
      </c>
      <c r="J221" s="777"/>
      <c r="K221" s="311" t="str">
        <f>IF(J221="","",IF(VLOOKUP(J221,'G-7 WaterC'' Data'!$AK$4:$AM$6,2,FALSE)=0,"Spatial Data Missing ⚠",VLOOKUP(J221,'G-7 WaterC'' Data'!$AK$4:$AM$6,2,FALSE)))</f>
        <v/>
      </c>
      <c r="L221" s="281" t="str">
        <f>IF(J221="","",IF(VLOOKUP(J221,'G-7 WaterC'' Data'!$AK$4:$AM$9,3,FALSE)=0,"Spatial Data Missing ⚠",VLOOKUP(J221,'G-7 WaterC'' Data'!$AK$4:$AM$6,3,FALSE)))</f>
        <v/>
      </c>
      <c r="M221" s="52"/>
      <c r="N221" s="276" t="str">
        <f>IF(M221="","",IF(AND(D221&lt;&gt;"Culvert",M221="N/A - Culvert"),"Not possible ▲",IF(AND(D221="Culvert",M221&lt;&gt;"N/A - Culvert"),"Not possible ▲",IF(VLOOKUP(M221,'G-7 WaterC'' Data'!$AA$4:$AB$7,2,FALSE)=0,"Spatial Data Missing ⚠",VLOOKUP(M221,'G-7 WaterC'' Data'!$AA$4:$AB$7,2,FALSE)))))</f>
        <v/>
      </c>
      <c r="O221" s="56"/>
      <c r="P221" s="276" t="str">
        <f>IF(O221="","",IF(AND(O221="N/A - Culvert",D221&lt;&gt;"Culvert"),"Not possible ▲",IF(AND(D221="Culvert",O221&lt;&gt;"N/A - Culvert"),"Not possible ▲",IF(VLOOKUP(O221,'G-7 WaterC'' Data'!$AD$4:$AE$14,2,FALSE)=0,"Spatial Data Missing ⚠",VLOOKUP(O221,'G-7 WaterC'' Data'!$AD$4:$AE$14,2,FALSE)))))</f>
        <v/>
      </c>
      <c r="Q221" s="282" t="str">
        <f>IF(D221="","",VLOOKUP(D221,'G-7 WaterC'' Data'!$B$2:$G$8,6,FALSE))</f>
        <v/>
      </c>
      <c r="R221" s="289" t="str">
        <f t="shared" si="31"/>
        <v xml:space="preserve"> </v>
      </c>
      <c r="S221" s="803" t="str">
        <f t="shared" si="32"/>
        <v/>
      </c>
      <c r="T221" s="32"/>
      <c r="U221" s="101"/>
      <c r="V221" s="108"/>
      <c r="W221" s="287" t="str">
        <f t="shared" si="33"/>
        <v/>
      </c>
      <c r="X221" s="287" t="str">
        <f t="shared" si="34"/>
        <v/>
      </c>
      <c r="Y221" s="287" t="str">
        <f t="shared" si="35"/>
        <v/>
      </c>
      <c r="Z221" s="317" t="str">
        <f>IFERROR(IF(OR(E221="",R221=""),"",IF(AND(Q221='G-7 WaterC'' Data'!$G$4,AA221="Yes"),"Alternative Compensation ✓",IF(AND(AA221="Pending",Q221='G-7 WaterC'' Data'!$G$4),"Bespoke compensation must be agreed ▲",IF((W221+X221)&gt;=R221,0,R221-W221-X221)))),"Check Data ⚠")</f>
        <v/>
      </c>
      <c r="AA221" s="800"/>
      <c r="AB221" s="136"/>
      <c r="AC221" s="104"/>
      <c r="AD221" s="104"/>
      <c r="AE221" s="54" t="str">
        <f>IF(OR(Q221="",AA221="Yes"),"",IF(Q221='G-1 All Habitats'!$X$9,E221-U221-V221,"None"))</f>
        <v/>
      </c>
      <c r="AF221" s="55" t="str">
        <f>IF(Q221="","",IF(Q221='G-1 All Habitats'!$X$9,AE221*G221*I221*L221*N221*P221,"None"))</f>
        <v/>
      </c>
      <c r="AI221" s="30">
        <f t="shared" si="36"/>
        <v>0</v>
      </c>
      <c r="AJ221" s="107" t="str">
        <f t="shared" si="37"/>
        <v/>
      </c>
      <c r="AK221" s="107" t="str">
        <f t="shared" si="38"/>
        <v/>
      </c>
      <c r="AM221" s="107">
        <v>212</v>
      </c>
      <c r="AO221" s="107" t="str">
        <f t="array" ref="AO221">IFERROR(INDEX($AM$10:$AM$258,MATCH(0,IF(TRUE=$AJ$10:$AJ$258,COUNTIF($AO$9:$AO220,$AM$10:$AM$258),""),0)),"")</f>
        <v/>
      </c>
      <c r="AP221" s="107" t="str">
        <f t="array" ref="AP221">IFERROR(INDEX($AM$10:$AM$258,MATCH(0,IF(TRUE=$AK$10:$AK$258,COUNTIF($AP$9:$AP220,$AM$10:$AM$258),""),0)),"")</f>
        <v/>
      </c>
      <c r="AR221" s="30" t="str">
        <f>IFERROR(INDEX('G-7 WaterC'' Data'!$AZ$3:$AZ$7,MATCH(D221,'G-7 WaterC'' Data'!$AY$3:$AY$7,0)),"")</f>
        <v/>
      </c>
      <c r="AS221" s="30" t="str">
        <f>IFERROR(INDEX('G-7 WaterC'' Data'!AZ221:AZ225,MATCH(D221,'G-7 WaterC'' Data'!$AY$10:$AY$14,0)),"")</f>
        <v/>
      </c>
      <c r="AT221" s="885" t="str">
        <f>IF(AND(OR(AA221="Yes",AA221="Pending"),Q221='G-7 WaterC'' Data'!$G$4),R221-W221-X221,"")</f>
        <v/>
      </c>
      <c r="AU221" s="30" t="str">
        <f>IF(D221="","",VLOOKUP(D221,'G-7 WaterC'' Data'!B$4:M$8,12,FALSE))</f>
        <v/>
      </c>
      <c r="AV221" s="30" t="str">
        <f t="shared" si="30"/>
        <v/>
      </c>
      <c r="AX221" s="30" t="str">
        <f t="shared" si="39"/>
        <v>No</v>
      </c>
    </row>
    <row r="222" spans="3:50" ht="14" hidden="1">
      <c r="C222" s="97">
        <v>213</v>
      </c>
      <c r="D222" s="261"/>
      <c r="E222" s="115"/>
      <c r="F222" s="275" t="str">
        <f>IF(D222="","",VLOOKUP(D222,'G-7 WaterC'' Data'!$B$2:$G$8,2,FALSE))</f>
        <v/>
      </c>
      <c r="G222" s="276" t="str">
        <f>IFERROR(VLOOKUP(F222,'G-7 WaterC'' Data'!$C$4:$D$8,2,FALSE),"")</f>
        <v/>
      </c>
      <c r="H222" s="52"/>
      <c r="I222" s="276" t="str">
        <f>IFERROR(INDEX('G-7 WaterC'' Data'!$H$4:$L$8,MATCH(D222,'G-7 WaterC'' Data'!$B$4:$B$8,0),MATCH(H222,'G-7 WaterC'' Data'!$H$3:$L$3,0)),"")</f>
        <v/>
      </c>
      <c r="J222" s="777"/>
      <c r="K222" s="311" t="str">
        <f>IF(J222="","",IF(VLOOKUP(J222,'G-7 WaterC'' Data'!$AK$4:$AM$6,2,FALSE)=0,"Spatial Data Missing ⚠",VLOOKUP(J222,'G-7 WaterC'' Data'!$AK$4:$AM$6,2,FALSE)))</f>
        <v/>
      </c>
      <c r="L222" s="281" t="str">
        <f>IF(J222="","",IF(VLOOKUP(J222,'G-7 WaterC'' Data'!$AK$4:$AM$9,3,FALSE)=0,"Spatial Data Missing ⚠",VLOOKUP(J222,'G-7 WaterC'' Data'!$AK$4:$AM$6,3,FALSE)))</f>
        <v/>
      </c>
      <c r="M222" s="52"/>
      <c r="N222" s="276" t="str">
        <f>IF(M222="","",IF(AND(D222&lt;&gt;"Culvert",M222="N/A - Culvert"),"Not possible ▲",IF(AND(D222="Culvert",M222&lt;&gt;"N/A - Culvert"),"Not possible ▲",IF(VLOOKUP(M222,'G-7 WaterC'' Data'!$AA$4:$AB$7,2,FALSE)=0,"Spatial Data Missing ⚠",VLOOKUP(M222,'G-7 WaterC'' Data'!$AA$4:$AB$7,2,FALSE)))))</f>
        <v/>
      </c>
      <c r="O222" s="56"/>
      <c r="P222" s="276" t="str">
        <f>IF(O222="","",IF(AND(O222="N/A - Culvert",D222&lt;&gt;"Culvert"),"Not possible ▲",IF(AND(D222="Culvert",O222&lt;&gt;"N/A - Culvert"),"Not possible ▲",IF(VLOOKUP(O222,'G-7 WaterC'' Data'!$AD$4:$AE$14,2,FALSE)=0,"Spatial Data Missing ⚠",VLOOKUP(O222,'G-7 WaterC'' Data'!$AD$4:$AE$14,2,FALSE)))))</f>
        <v/>
      </c>
      <c r="Q222" s="282" t="str">
        <f>IF(D222="","",VLOOKUP(D222,'G-7 WaterC'' Data'!$B$2:$G$8,6,FALSE))</f>
        <v/>
      </c>
      <c r="R222" s="289" t="str">
        <f t="shared" si="31"/>
        <v xml:space="preserve"> </v>
      </c>
      <c r="S222" s="803" t="str">
        <f t="shared" si="32"/>
        <v/>
      </c>
      <c r="T222" s="32"/>
      <c r="U222" s="101"/>
      <c r="V222" s="108"/>
      <c r="W222" s="287" t="str">
        <f t="shared" si="33"/>
        <v/>
      </c>
      <c r="X222" s="287" t="str">
        <f t="shared" si="34"/>
        <v/>
      </c>
      <c r="Y222" s="287" t="str">
        <f t="shared" si="35"/>
        <v/>
      </c>
      <c r="Z222" s="317" t="str">
        <f>IFERROR(IF(OR(E222="",R222=""),"",IF(AND(Q222='G-7 WaterC'' Data'!$G$4,AA222="Yes"),"Alternative Compensation ✓",IF(AND(AA222="Pending",Q222='G-7 WaterC'' Data'!$G$4),"Bespoke compensation must be agreed ▲",IF((W222+X222)&gt;=R222,0,R222-W222-X222)))),"Check Data ⚠")</f>
        <v/>
      </c>
      <c r="AA222" s="800"/>
      <c r="AB222" s="136"/>
      <c r="AC222" s="104"/>
      <c r="AD222" s="104"/>
      <c r="AE222" s="54" t="str">
        <f>IF(OR(Q222="",AA222="Yes"),"",IF(Q222='G-1 All Habitats'!$X$9,E222-U222-V222,"None"))</f>
        <v/>
      </c>
      <c r="AF222" s="55" t="str">
        <f>IF(Q222="","",IF(Q222='G-1 All Habitats'!$X$9,AE222*G222*I222*L222*N222*P222,"None"))</f>
        <v/>
      </c>
      <c r="AI222" s="30">
        <f t="shared" si="36"/>
        <v>0</v>
      </c>
      <c r="AJ222" s="107" t="str">
        <f t="shared" si="37"/>
        <v/>
      </c>
      <c r="AK222" s="107" t="str">
        <f t="shared" si="38"/>
        <v/>
      </c>
      <c r="AM222" s="107">
        <v>213</v>
      </c>
      <c r="AO222" s="107" t="str">
        <f t="array" ref="AO222">IFERROR(INDEX($AM$10:$AM$258,MATCH(0,IF(TRUE=$AJ$10:$AJ$258,COUNTIF($AO$9:$AO221,$AM$10:$AM$258),""),0)),"")</f>
        <v/>
      </c>
      <c r="AP222" s="107" t="str">
        <f t="array" ref="AP222">IFERROR(INDEX($AM$10:$AM$258,MATCH(0,IF(TRUE=$AK$10:$AK$258,COUNTIF($AP$9:$AP221,$AM$10:$AM$258),""),0)),"")</f>
        <v/>
      </c>
      <c r="AR222" s="30" t="str">
        <f>IFERROR(INDEX('G-7 WaterC'' Data'!$AZ$3:$AZ$7,MATCH(D222,'G-7 WaterC'' Data'!$AY$3:$AY$7,0)),"")</f>
        <v/>
      </c>
      <c r="AS222" s="30" t="str">
        <f>IFERROR(INDEX('G-7 WaterC'' Data'!AZ222:AZ226,MATCH(D222,'G-7 WaterC'' Data'!$AY$10:$AY$14,0)),"")</f>
        <v/>
      </c>
      <c r="AT222" s="885" t="str">
        <f>IF(AND(OR(AA222="Yes",AA222="Pending"),Q222='G-7 WaterC'' Data'!$G$4),R222-W222-X222,"")</f>
        <v/>
      </c>
      <c r="AU222" s="30" t="str">
        <f>IF(D222="","",VLOOKUP(D222,'G-7 WaterC'' Data'!B$4:M$8,12,FALSE))</f>
        <v/>
      </c>
      <c r="AV222" s="30" t="str">
        <f t="shared" si="30"/>
        <v/>
      </c>
      <c r="AX222" s="30" t="str">
        <f t="shared" si="39"/>
        <v>No</v>
      </c>
    </row>
    <row r="223" spans="3:50" ht="14" hidden="1">
      <c r="C223" s="97">
        <v>214</v>
      </c>
      <c r="D223" s="261"/>
      <c r="E223" s="115"/>
      <c r="F223" s="275" t="str">
        <f>IF(D223="","",VLOOKUP(D223,'G-7 WaterC'' Data'!$B$2:$G$8,2,FALSE))</f>
        <v/>
      </c>
      <c r="G223" s="276" t="str">
        <f>IFERROR(VLOOKUP(F223,'G-7 WaterC'' Data'!$C$4:$D$8,2,FALSE),"")</f>
        <v/>
      </c>
      <c r="H223" s="52"/>
      <c r="I223" s="276" t="str">
        <f>IFERROR(INDEX('G-7 WaterC'' Data'!$H$4:$L$8,MATCH(D223,'G-7 WaterC'' Data'!$B$4:$B$8,0),MATCH(H223,'G-7 WaterC'' Data'!$H$3:$L$3,0)),"")</f>
        <v/>
      </c>
      <c r="J223" s="777"/>
      <c r="K223" s="311" t="str">
        <f>IF(J223="","",IF(VLOOKUP(J223,'G-7 WaterC'' Data'!$AK$4:$AM$6,2,FALSE)=0,"Spatial Data Missing ⚠",VLOOKUP(J223,'G-7 WaterC'' Data'!$AK$4:$AM$6,2,FALSE)))</f>
        <v/>
      </c>
      <c r="L223" s="281" t="str">
        <f>IF(J223="","",IF(VLOOKUP(J223,'G-7 WaterC'' Data'!$AK$4:$AM$9,3,FALSE)=0,"Spatial Data Missing ⚠",VLOOKUP(J223,'G-7 WaterC'' Data'!$AK$4:$AM$6,3,FALSE)))</f>
        <v/>
      </c>
      <c r="M223" s="52"/>
      <c r="N223" s="276" t="str">
        <f>IF(M223="","",IF(AND(D223&lt;&gt;"Culvert",M223="N/A - Culvert"),"Not possible ▲",IF(AND(D223="Culvert",M223&lt;&gt;"N/A - Culvert"),"Not possible ▲",IF(VLOOKUP(M223,'G-7 WaterC'' Data'!$AA$4:$AB$7,2,FALSE)=0,"Spatial Data Missing ⚠",VLOOKUP(M223,'G-7 WaterC'' Data'!$AA$4:$AB$7,2,FALSE)))))</f>
        <v/>
      </c>
      <c r="O223" s="56"/>
      <c r="P223" s="276" t="str">
        <f>IF(O223="","",IF(AND(O223="N/A - Culvert",D223&lt;&gt;"Culvert"),"Not possible ▲",IF(AND(D223="Culvert",O223&lt;&gt;"N/A - Culvert"),"Not possible ▲",IF(VLOOKUP(O223,'G-7 WaterC'' Data'!$AD$4:$AE$14,2,FALSE)=0,"Spatial Data Missing ⚠",VLOOKUP(O223,'G-7 WaterC'' Data'!$AD$4:$AE$14,2,FALSE)))))</f>
        <v/>
      </c>
      <c r="Q223" s="282" t="str">
        <f>IF(D223="","",VLOOKUP(D223,'G-7 WaterC'' Data'!$B$2:$G$8,6,FALSE))</f>
        <v/>
      </c>
      <c r="R223" s="289" t="str">
        <f t="shared" si="31"/>
        <v xml:space="preserve"> </v>
      </c>
      <c r="S223" s="803" t="str">
        <f t="shared" si="32"/>
        <v/>
      </c>
      <c r="T223" s="32"/>
      <c r="U223" s="101"/>
      <c r="V223" s="108"/>
      <c r="W223" s="287" t="str">
        <f t="shared" si="33"/>
        <v/>
      </c>
      <c r="X223" s="287" t="str">
        <f t="shared" si="34"/>
        <v/>
      </c>
      <c r="Y223" s="287" t="str">
        <f t="shared" si="35"/>
        <v/>
      </c>
      <c r="Z223" s="317" t="str">
        <f>IFERROR(IF(OR(E223="",R223=""),"",IF(AND(Q223='G-7 WaterC'' Data'!$G$4,AA223="Yes"),"Alternative Compensation ✓",IF(AND(AA223="Pending",Q223='G-7 WaterC'' Data'!$G$4),"Bespoke compensation must be agreed ▲",IF((W223+X223)&gt;=R223,0,R223-W223-X223)))),"Check Data ⚠")</f>
        <v/>
      </c>
      <c r="AA223" s="800"/>
      <c r="AB223" s="136"/>
      <c r="AC223" s="104"/>
      <c r="AD223" s="104"/>
      <c r="AE223" s="54" t="str">
        <f>IF(OR(Q223="",AA223="Yes"),"",IF(Q223='G-1 All Habitats'!$X$9,E223-U223-V223,"None"))</f>
        <v/>
      </c>
      <c r="AF223" s="55" t="str">
        <f>IF(Q223="","",IF(Q223='G-1 All Habitats'!$X$9,AE223*G223*I223*L223*N223*P223,"None"))</f>
        <v/>
      </c>
      <c r="AI223" s="30">
        <f t="shared" si="36"/>
        <v>0</v>
      </c>
      <c r="AJ223" s="107" t="str">
        <f t="shared" si="37"/>
        <v/>
      </c>
      <c r="AK223" s="107" t="str">
        <f t="shared" si="38"/>
        <v/>
      </c>
      <c r="AM223" s="107">
        <v>214</v>
      </c>
      <c r="AO223" s="107" t="str">
        <f t="array" ref="AO223">IFERROR(INDEX($AM$10:$AM$258,MATCH(0,IF(TRUE=$AJ$10:$AJ$258,COUNTIF($AO$9:$AO222,$AM$10:$AM$258),""),0)),"")</f>
        <v/>
      </c>
      <c r="AP223" s="107" t="str">
        <f t="array" ref="AP223">IFERROR(INDEX($AM$10:$AM$258,MATCH(0,IF(TRUE=$AK$10:$AK$258,COUNTIF($AP$9:$AP222,$AM$10:$AM$258),""),0)),"")</f>
        <v/>
      </c>
      <c r="AR223" s="30" t="str">
        <f>IFERROR(INDEX('G-7 WaterC'' Data'!$AZ$3:$AZ$7,MATCH(D223,'G-7 WaterC'' Data'!$AY$3:$AY$7,0)),"")</f>
        <v/>
      </c>
      <c r="AS223" s="30" t="str">
        <f>IFERROR(INDEX('G-7 WaterC'' Data'!AZ223:AZ227,MATCH(D223,'G-7 WaterC'' Data'!$AY$10:$AY$14,0)),"")</f>
        <v/>
      </c>
      <c r="AT223" s="885" t="str">
        <f>IF(AND(OR(AA223="Yes",AA223="Pending"),Q223='G-7 WaterC'' Data'!$G$4),R223-W223-X223,"")</f>
        <v/>
      </c>
      <c r="AU223" s="30" t="str">
        <f>IF(D223="","",VLOOKUP(D223,'G-7 WaterC'' Data'!B$4:M$8,12,FALSE))</f>
        <v/>
      </c>
      <c r="AV223" s="30" t="str">
        <f t="shared" si="30"/>
        <v/>
      </c>
      <c r="AX223" s="30" t="str">
        <f t="shared" si="39"/>
        <v>No</v>
      </c>
    </row>
    <row r="224" spans="3:50" ht="14" hidden="1">
      <c r="C224" s="97">
        <v>215</v>
      </c>
      <c r="D224" s="261"/>
      <c r="E224" s="115"/>
      <c r="F224" s="275" t="str">
        <f>IF(D224="","",VLOOKUP(D224,'G-7 WaterC'' Data'!$B$2:$G$8,2,FALSE))</f>
        <v/>
      </c>
      <c r="G224" s="276" t="str">
        <f>IFERROR(VLOOKUP(F224,'G-7 WaterC'' Data'!$C$4:$D$8,2,FALSE),"")</f>
        <v/>
      </c>
      <c r="H224" s="52"/>
      <c r="I224" s="276" t="str">
        <f>IFERROR(INDEX('G-7 WaterC'' Data'!$H$4:$L$8,MATCH(D224,'G-7 WaterC'' Data'!$B$4:$B$8,0),MATCH(H224,'G-7 WaterC'' Data'!$H$3:$L$3,0)),"")</f>
        <v/>
      </c>
      <c r="J224" s="777"/>
      <c r="K224" s="311" t="str">
        <f>IF(J224="","",IF(VLOOKUP(J224,'G-7 WaterC'' Data'!$AK$4:$AM$6,2,FALSE)=0,"Spatial Data Missing ⚠",VLOOKUP(J224,'G-7 WaterC'' Data'!$AK$4:$AM$6,2,FALSE)))</f>
        <v/>
      </c>
      <c r="L224" s="281" t="str">
        <f>IF(J224="","",IF(VLOOKUP(J224,'G-7 WaterC'' Data'!$AK$4:$AM$9,3,FALSE)=0,"Spatial Data Missing ⚠",VLOOKUP(J224,'G-7 WaterC'' Data'!$AK$4:$AM$6,3,FALSE)))</f>
        <v/>
      </c>
      <c r="M224" s="52"/>
      <c r="N224" s="276" t="str">
        <f>IF(M224="","",IF(AND(D224&lt;&gt;"Culvert",M224="N/A - Culvert"),"Not possible ▲",IF(AND(D224="Culvert",M224&lt;&gt;"N/A - Culvert"),"Not possible ▲",IF(VLOOKUP(M224,'G-7 WaterC'' Data'!$AA$4:$AB$7,2,FALSE)=0,"Spatial Data Missing ⚠",VLOOKUP(M224,'G-7 WaterC'' Data'!$AA$4:$AB$7,2,FALSE)))))</f>
        <v/>
      </c>
      <c r="O224" s="56"/>
      <c r="P224" s="276" t="str">
        <f>IF(O224="","",IF(AND(O224="N/A - Culvert",D224&lt;&gt;"Culvert"),"Not possible ▲",IF(AND(D224="Culvert",O224&lt;&gt;"N/A - Culvert"),"Not possible ▲",IF(VLOOKUP(O224,'G-7 WaterC'' Data'!$AD$4:$AE$14,2,FALSE)=0,"Spatial Data Missing ⚠",VLOOKUP(O224,'G-7 WaterC'' Data'!$AD$4:$AE$14,2,FALSE)))))</f>
        <v/>
      </c>
      <c r="Q224" s="282" t="str">
        <f>IF(D224="","",VLOOKUP(D224,'G-7 WaterC'' Data'!$B$2:$G$8,6,FALSE))</f>
        <v/>
      </c>
      <c r="R224" s="289" t="str">
        <f t="shared" si="31"/>
        <v xml:space="preserve"> </v>
      </c>
      <c r="S224" s="803" t="str">
        <f t="shared" si="32"/>
        <v/>
      </c>
      <c r="T224" s="32"/>
      <c r="U224" s="101"/>
      <c r="V224" s="108"/>
      <c r="W224" s="287" t="str">
        <f t="shared" si="33"/>
        <v/>
      </c>
      <c r="X224" s="287" t="str">
        <f t="shared" si="34"/>
        <v/>
      </c>
      <c r="Y224" s="287" t="str">
        <f t="shared" si="35"/>
        <v/>
      </c>
      <c r="Z224" s="317" t="str">
        <f>IFERROR(IF(OR(E224="",R224=""),"",IF(AND(Q224='G-7 WaterC'' Data'!$G$4,AA224="Yes"),"Alternative Compensation ✓",IF(AND(AA224="Pending",Q224='G-7 WaterC'' Data'!$G$4),"Bespoke compensation must be agreed ▲",IF((W224+X224)&gt;=R224,0,R224-W224-X224)))),"Check Data ⚠")</f>
        <v/>
      </c>
      <c r="AA224" s="800"/>
      <c r="AB224" s="136"/>
      <c r="AC224" s="104"/>
      <c r="AD224" s="104"/>
      <c r="AE224" s="54" t="str">
        <f>IF(OR(Q224="",AA224="Yes"),"",IF(Q224='G-1 All Habitats'!$X$9,E224-U224-V224,"None"))</f>
        <v/>
      </c>
      <c r="AF224" s="55" t="str">
        <f>IF(Q224="","",IF(Q224='G-1 All Habitats'!$X$9,AE224*G224*I224*L224*N224*P224,"None"))</f>
        <v/>
      </c>
      <c r="AI224" s="30">
        <f t="shared" si="36"/>
        <v>0</v>
      </c>
      <c r="AJ224" s="107" t="str">
        <f t="shared" si="37"/>
        <v/>
      </c>
      <c r="AK224" s="107" t="str">
        <f t="shared" si="38"/>
        <v/>
      </c>
      <c r="AM224" s="107">
        <v>215</v>
      </c>
      <c r="AO224" s="107" t="str">
        <f t="array" ref="AO224">IFERROR(INDEX($AM$10:$AM$258,MATCH(0,IF(TRUE=$AJ$10:$AJ$258,COUNTIF($AO$9:$AO223,$AM$10:$AM$258),""),0)),"")</f>
        <v/>
      </c>
      <c r="AP224" s="107" t="str">
        <f t="array" ref="AP224">IFERROR(INDEX($AM$10:$AM$258,MATCH(0,IF(TRUE=$AK$10:$AK$258,COUNTIF($AP$9:$AP223,$AM$10:$AM$258),""),0)),"")</f>
        <v/>
      </c>
      <c r="AR224" s="30" t="str">
        <f>IFERROR(INDEX('G-7 WaterC'' Data'!$AZ$3:$AZ$7,MATCH(D224,'G-7 WaterC'' Data'!$AY$3:$AY$7,0)),"")</f>
        <v/>
      </c>
      <c r="AS224" s="30" t="str">
        <f>IFERROR(INDEX('G-7 WaterC'' Data'!AZ224:AZ228,MATCH(D224,'G-7 WaterC'' Data'!$AY$10:$AY$14,0)),"")</f>
        <v/>
      </c>
      <c r="AT224" s="885" t="str">
        <f>IF(AND(OR(AA224="Yes",AA224="Pending"),Q224='G-7 WaterC'' Data'!$G$4),R224-W224-X224,"")</f>
        <v/>
      </c>
      <c r="AU224" s="30" t="str">
        <f>IF(D224="","",VLOOKUP(D224,'G-7 WaterC'' Data'!B$4:M$8,12,FALSE))</f>
        <v/>
      </c>
      <c r="AV224" s="30" t="str">
        <f t="shared" si="30"/>
        <v/>
      </c>
      <c r="AX224" s="30" t="str">
        <f t="shared" si="39"/>
        <v>No</v>
      </c>
    </row>
    <row r="225" spans="3:50" ht="14" hidden="1">
      <c r="C225" s="97">
        <v>216</v>
      </c>
      <c r="D225" s="261"/>
      <c r="E225" s="115"/>
      <c r="F225" s="275" t="str">
        <f>IF(D225="","",VLOOKUP(D225,'G-7 WaterC'' Data'!$B$2:$G$8,2,FALSE))</f>
        <v/>
      </c>
      <c r="G225" s="276" t="str">
        <f>IFERROR(VLOOKUP(F225,'G-7 WaterC'' Data'!$C$4:$D$8,2,FALSE),"")</f>
        <v/>
      </c>
      <c r="H225" s="52"/>
      <c r="I225" s="276" t="str">
        <f>IFERROR(INDEX('G-7 WaterC'' Data'!$H$4:$L$8,MATCH(D225,'G-7 WaterC'' Data'!$B$4:$B$8,0),MATCH(H225,'G-7 WaterC'' Data'!$H$3:$L$3,0)),"")</f>
        <v/>
      </c>
      <c r="J225" s="777"/>
      <c r="K225" s="311" t="str">
        <f>IF(J225="","",IF(VLOOKUP(J225,'G-7 WaterC'' Data'!$AK$4:$AM$6,2,FALSE)=0,"Spatial Data Missing ⚠",VLOOKUP(J225,'G-7 WaterC'' Data'!$AK$4:$AM$6,2,FALSE)))</f>
        <v/>
      </c>
      <c r="L225" s="281" t="str">
        <f>IF(J225="","",IF(VLOOKUP(J225,'G-7 WaterC'' Data'!$AK$4:$AM$9,3,FALSE)=0,"Spatial Data Missing ⚠",VLOOKUP(J225,'G-7 WaterC'' Data'!$AK$4:$AM$6,3,FALSE)))</f>
        <v/>
      </c>
      <c r="M225" s="52"/>
      <c r="N225" s="276" t="str">
        <f>IF(M225="","",IF(AND(D225&lt;&gt;"Culvert",M225="N/A - Culvert"),"Not possible ▲",IF(AND(D225="Culvert",M225&lt;&gt;"N/A - Culvert"),"Not possible ▲",IF(VLOOKUP(M225,'G-7 WaterC'' Data'!$AA$4:$AB$7,2,FALSE)=0,"Spatial Data Missing ⚠",VLOOKUP(M225,'G-7 WaterC'' Data'!$AA$4:$AB$7,2,FALSE)))))</f>
        <v/>
      </c>
      <c r="O225" s="56"/>
      <c r="P225" s="276" t="str">
        <f>IF(O225="","",IF(AND(O225="N/A - Culvert",D225&lt;&gt;"Culvert"),"Not possible ▲",IF(AND(D225="Culvert",O225&lt;&gt;"N/A - Culvert"),"Not possible ▲",IF(VLOOKUP(O225,'G-7 WaterC'' Data'!$AD$4:$AE$14,2,FALSE)=0,"Spatial Data Missing ⚠",VLOOKUP(O225,'G-7 WaterC'' Data'!$AD$4:$AE$14,2,FALSE)))))</f>
        <v/>
      </c>
      <c r="Q225" s="282" t="str">
        <f>IF(D225="","",VLOOKUP(D225,'G-7 WaterC'' Data'!$B$2:$G$8,6,FALSE))</f>
        <v/>
      </c>
      <c r="R225" s="289" t="str">
        <f t="shared" si="31"/>
        <v xml:space="preserve"> </v>
      </c>
      <c r="S225" s="803" t="str">
        <f t="shared" si="32"/>
        <v/>
      </c>
      <c r="T225" s="32"/>
      <c r="U225" s="101"/>
      <c r="V225" s="108"/>
      <c r="W225" s="287" t="str">
        <f t="shared" si="33"/>
        <v/>
      </c>
      <c r="X225" s="287" t="str">
        <f t="shared" si="34"/>
        <v/>
      </c>
      <c r="Y225" s="287" t="str">
        <f t="shared" si="35"/>
        <v/>
      </c>
      <c r="Z225" s="317" t="str">
        <f>IFERROR(IF(OR(E225="",R225=""),"",IF(AND(Q225='G-7 WaterC'' Data'!$G$4,AA225="Yes"),"Alternative Compensation ✓",IF(AND(AA225="Pending",Q225='G-7 WaterC'' Data'!$G$4),"Bespoke compensation must be agreed ▲",IF((W225+X225)&gt;=R225,0,R225-W225-X225)))),"Check Data ⚠")</f>
        <v/>
      </c>
      <c r="AA225" s="800"/>
      <c r="AB225" s="136"/>
      <c r="AC225" s="104"/>
      <c r="AD225" s="104"/>
      <c r="AE225" s="54" t="str">
        <f>IF(OR(Q225="",AA225="Yes"),"",IF(Q225='G-1 All Habitats'!$X$9,E225-U225-V225,"None"))</f>
        <v/>
      </c>
      <c r="AF225" s="55" t="str">
        <f>IF(Q225="","",IF(Q225='G-1 All Habitats'!$X$9,AE225*G225*I225*L225*N225*P225,"None"))</f>
        <v/>
      </c>
      <c r="AI225" s="30">
        <f t="shared" si="36"/>
        <v>0</v>
      </c>
      <c r="AJ225" s="107" t="str">
        <f t="shared" si="37"/>
        <v/>
      </c>
      <c r="AK225" s="107" t="str">
        <f t="shared" si="38"/>
        <v/>
      </c>
      <c r="AM225" s="107">
        <v>216</v>
      </c>
      <c r="AO225" s="107" t="str">
        <f t="array" ref="AO225">IFERROR(INDEX($AM$10:$AM$258,MATCH(0,IF(TRUE=$AJ$10:$AJ$258,COUNTIF($AO$9:$AO224,$AM$10:$AM$258),""),0)),"")</f>
        <v/>
      </c>
      <c r="AP225" s="107" t="str">
        <f t="array" ref="AP225">IFERROR(INDEX($AM$10:$AM$258,MATCH(0,IF(TRUE=$AK$10:$AK$258,COUNTIF($AP$9:$AP224,$AM$10:$AM$258),""),0)),"")</f>
        <v/>
      </c>
      <c r="AR225" s="30" t="str">
        <f>IFERROR(INDEX('G-7 WaterC'' Data'!$AZ$3:$AZ$7,MATCH(D225,'G-7 WaterC'' Data'!$AY$3:$AY$7,0)),"")</f>
        <v/>
      </c>
      <c r="AS225" s="30" t="str">
        <f>IFERROR(INDEX('G-7 WaterC'' Data'!AZ225:AZ229,MATCH(D225,'G-7 WaterC'' Data'!$AY$10:$AY$14,0)),"")</f>
        <v/>
      </c>
      <c r="AT225" s="885" t="str">
        <f>IF(AND(OR(AA225="Yes",AA225="Pending"),Q225='G-7 WaterC'' Data'!$G$4),R225-W225-X225,"")</f>
        <v/>
      </c>
      <c r="AU225" s="30" t="str">
        <f>IF(D225="","",VLOOKUP(D225,'G-7 WaterC'' Data'!B$4:M$8,12,FALSE))</f>
        <v/>
      </c>
      <c r="AV225" s="30" t="str">
        <f t="shared" si="30"/>
        <v/>
      </c>
      <c r="AX225" s="30" t="str">
        <f t="shared" si="39"/>
        <v>No</v>
      </c>
    </row>
    <row r="226" spans="3:50" ht="14" hidden="1">
      <c r="C226" s="97">
        <v>217</v>
      </c>
      <c r="D226" s="261"/>
      <c r="E226" s="115"/>
      <c r="F226" s="275" t="str">
        <f>IF(D226="","",VLOOKUP(D226,'G-7 WaterC'' Data'!$B$2:$G$8,2,FALSE))</f>
        <v/>
      </c>
      <c r="G226" s="276" t="str">
        <f>IFERROR(VLOOKUP(F226,'G-7 WaterC'' Data'!$C$4:$D$8,2,FALSE),"")</f>
        <v/>
      </c>
      <c r="H226" s="52"/>
      <c r="I226" s="276" t="str">
        <f>IFERROR(INDEX('G-7 WaterC'' Data'!$H$4:$L$8,MATCH(D226,'G-7 WaterC'' Data'!$B$4:$B$8,0),MATCH(H226,'G-7 WaterC'' Data'!$H$3:$L$3,0)),"")</f>
        <v/>
      </c>
      <c r="J226" s="777"/>
      <c r="K226" s="311" t="str">
        <f>IF(J226="","",IF(VLOOKUP(J226,'G-7 WaterC'' Data'!$AK$4:$AM$6,2,FALSE)=0,"Spatial Data Missing ⚠",VLOOKUP(J226,'G-7 WaterC'' Data'!$AK$4:$AM$6,2,FALSE)))</f>
        <v/>
      </c>
      <c r="L226" s="281" t="str">
        <f>IF(J226="","",IF(VLOOKUP(J226,'G-7 WaterC'' Data'!$AK$4:$AM$9,3,FALSE)=0,"Spatial Data Missing ⚠",VLOOKUP(J226,'G-7 WaterC'' Data'!$AK$4:$AM$6,3,FALSE)))</f>
        <v/>
      </c>
      <c r="M226" s="52"/>
      <c r="N226" s="276" t="str">
        <f>IF(M226="","",IF(AND(D226&lt;&gt;"Culvert",M226="N/A - Culvert"),"Not possible ▲",IF(AND(D226="Culvert",M226&lt;&gt;"N/A - Culvert"),"Not possible ▲",IF(VLOOKUP(M226,'G-7 WaterC'' Data'!$AA$4:$AB$7,2,FALSE)=0,"Spatial Data Missing ⚠",VLOOKUP(M226,'G-7 WaterC'' Data'!$AA$4:$AB$7,2,FALSE)))))</f>
        <v/>
      </c>
      <c r="O226" s="56"/>
      <c r="P226" s="276" t="str">
        <f>IF(O226="","",IF(AND(O226="N/A - Culvert",D226&lt;&gt;"Culvert"),"Not possible ▲",IF(AND(D226="Culvert",O226&lt;&gt;"N/A - Culvert"),"Not possible ▲",IF(VLOOKUP(O226,'G-7 WaterC'' Data'!$AD$4:$AE$14,2,FALSE)=0,"Spatial Data Missing ⚠",VLOOKUP(O226,'G-7 WaterC'' Data'!$AD$4:$AE$14,2,FALSE)))))</f>
        <v/>
      </c>
      <c r="Q226" s="282" t="str">
        <f>IF(D226="","",VLOOKUP(D226,'G-7 WaterC'' Data'!$B$2:$G$8,6,FALSE))</f>
        <v/>
      </c>
      <c r="R226" s="289" t="str">
        <f t="shared" si="31"/>
        <v xml:space="preserve"> </v>
      </c>
      <c r="S226" s="803" t="str">
        <f t="shared" si="32"/>
        <v/>
      </c>
      <c r="T226" s="32"/>
      <c r="U226" s="101"/>
      <c r="V226" s="108"/>
      <c r="W226" s="287" t="str">
        <f t="shared" si="33"/>
        <v/>
      </c>
      <c r="X226" s="287" t="str">
        <f t="shared" si="34"/>
        <v/>
      </c>
      <c r="Y226" s="287" t="str">
        <f t="shared" si="35"/>
        <v/>
      </c>
      <c r="Z226" s="317" t="str">
        <f>IFERROR(IF(OR(E226="",R226=""),"",IF(AND(Q226='G-7 WaterC'' Data'!$G$4,AA226="Yes"),"Alternative Compensation ✓",IF(AND(AA226="Pending",Q226='G-7 WaterC'' Data'!$G$4),"Bespoke compensation must be agreed ▲",IF((W226+X226)&gt;=R226,0,R226-W226-X226)))),"Check Data ⚠")</f>
        <v/>
      </c>
      <c r="AA226" s="800"/>
      <c r="AB226" s="136"/>
      <c r="AC226" s="104"/>
      <c r="AD226" s="104"/>
      <c r="AE226" s="54" t="str">
        <f>IF(OR(Q226="",AA226="Yes"),"",IF(Q226='G-1 All Habitats'!$X$9,E226-U226-V226,"None"))</f>
        <v/>
      </c>
      <c r="AF226" s="55" t="str">
        <f>IF(Q226="","",IF(Q226='G-1 All Habitats'!$X$9,AE226*G226*I226*L226*N226*P226,"None"))</f>
        <v/>
      </c>
      <c r="AI226" s="30">
        <f t="shared" si="36"/>
        <v>0</v>
      </c>
      <c r="AJ226" s="107" t="str">
        <f t="shared" si="37"/>
        <v/>
      </c>
      <c r="AK226" s="107" t="str">
        <f t="shared" si="38"/>
        <v/>
      </c>
      <c r="AM226" s="107">
        <v>217</v>
      </c>
      <c r="AO226" s="107" t="str">
        <f t="array" ref="AO226">IFERROR(INDEX($AM$10:$AM$258,MATCH(0,IF(TRUE=$AJ$10:$AJ$258,COUNTIF($AO$9:$AO225,$AM$10:$AM$258),""),0)),"")</f>
        <v/>
      </c>
      <c r="AP226" s="107" t="str">
        <f t="array" ref="AP226">IFERROR(INDEX($AM$10:$AM$258,MATCH(0,IF(TRUE=$AK$10:$AK$258,COUNTIF($AP$9:$AP225,$AM$10:$AM$258),""),0)),"")</f>
        <v/>
      </c>
      <c r="AR226" s="30" t="str">
        <f>IFERROR(INDEX('G-7 WaterC'' Data'!$AZ$3:$AZ$7,MATCH(D226,'G-7 WaterC'' Data'!$AY$3:$AY$7,0)),"")</f>
        <v/>
      </c>
      <c r="AS226" s="30" t="str">
        <f>IFERROR(INDEX('G-7 WaterC'' Data'!AZ226:AZ230,MATCH(D226,'G-7 WaterC'' Data'!$AY$10:$AY$14,0)),"")</f>
        <v/>
      </c>
      <c r="AT226" s="885" t="str">
        <f>IF(AND(OR(AA226="Yes",AA226="Pending"),Q226='G-7 WaterC'' Data'!$G$4),R226-W226-X226,"")</f>
        <v/>
      </c>
      <c r="AU226" s="30" t="str">
        <f>IF(D226="","",VLOOKUP(D226,'G-7 WaterC'' Data'!B$4:M$8,12,FALSE))</f>
        <v/>
      </c>
      <c r="AV226" s="30" t="str">
        <f t="shared" si="30"/>
        <v/>
      </c>
      <c r="AX226" s="30" t="str">
        <f t="shared" si="39"/>
        <v>No</v>
      </c>
    </row>
    <row r="227" spans="3:50" ht="14" hidden="1">
      <c r="C227" s="97">
        <v>218</v>
      </c>
      <c r="D227" s="261"/>
      <c r="E227" s="115"/>
      <c r="F227" s="275" t="str">
        <f>IF(D227="","",VLOOKUP(D227,'G-7 WaterC'' Data'!$B$2:$G$8,2,FALSE))</f>
        <v/>
      </c>
      <c r="G227" s="276" t="str">
        <f>IFERROR(VLOOKUP(F227,'G-7 WaterC'' Data'!$C$4:$D$8,2,FALSE),"")</f>
        <v/>
      </c>
      <c r="H227" s="52"/>
      <c r="I227" s="276" t="str">
        <f>IFERROR(INDEX('G-7 WaterC'' Data'!$H$4:$L$8,MATCH(D227,'G-7 WaterC'' Data'!$B$4:$B$8,0),MATCH(H227,'G-7 WaterC'' Data'!$H$3:$L$3,0)),"")</f>
        <v/>
      </c>
      <c r="J227" s="777"/>
      <c r="K227" s="311" t="str">
        <f>IF(J227="","",IF(VLOOKUP(J227,'G-7 WaterC'' Data'!$AK$4:$AM$6,2,FALSE)=0,"Spatial Data Missing ⚠",VLOOKUP(J227,'G-7 WaterC'' Data'!$AK$4:$AM$6,2,FALSE)))</f>
        <v/>
      </c>
      <c r="L227" s="281" t="str">
        <f>IF(J227="","",IF(VLOOKUP(J227,'G-7 WaterC'' Data'!$AK$4:$AM$9,3,FALSE)=0,"Spatial Data Missing ⚠",VLOOKUP(J227,'G-7 WaterC'' Data'!$AK$4:$AM$6,3,FALSE)))</f>
        <v/>
      </c>
      <c r="M227" s="52"/>
      <c r="N227" s="276" t="str">
        <f>IF(M227="","",IF(AND(D227&lt;&gt;"Culvert",M227="N/A - Culvert"),"Not possible ▲",IF(AND(D227="Culvert",M227&lt;&gt;"N/A - Culvert"),"Not possible ▲",IF(VLOOKUP(M227,'G-7 WaterC'' Data'!$AA$4:$AB$7,2,FALSE)=0,"Spatial Data Missing ⚠",VLOOKUP(M227,'G-7 WaterC'' Data'!$AA$4:$AB$7,2,FALSE)))))</f>
        <v/>
      </c>
      <c r="O227" s="56"/>
      <c r="P227" s="276" t="str">
        <f>IF(O227="","",IF(AND(O227="N/A - Culvert",D227&lt;&gt;"Culvert"),"Not possible ▲",IF(AND(D227="Culvert",O227&lt;&gt;"N/A - Culvert"),"Not possible ▲",IF(VLOOKUP(O227,'G-7 WaterC'' Data'!$AD$4:$AE$14,2,FALSE)=0,"Spatial Data Missing ⚠",VLOOKUP(O227,'G-7 WaterC'' Data'!$AD$4:$AE$14,2,FALSE)))))</f>
        <v/>
      </c>
      <c r="Q227" s="282" t="str">
        <f>IF(D227="","",VLOOKUP(D227,'G-7 WaterC'' Data'!$B$2:$G$8,6,FALSE))</f>
        <v/>
      </c>
      <c r="R227" s="289" t="str">
        <f t="shared" si="31"/>
        <v xml:space="preserve"> </v>
      </c>
      <c r="S227" s="803" t="str">
        <f t="shared" si="32"/>
        <v/>
      </c>
      <c r="T227" s="32"/>
      <c r="U227" s="101"/>
      <c r="V227" s="108"/>
      <c r="W227" s="287" t="str">
        <f t="shared" si="33"/>
        <v/>
      </c>
      <c r="X227" s="287" t="str">
        <f t="shared" si="34"/>
        <v/>
      </c>
      <c r="Y227" s="287" t="str">
        <f t="shared" si="35"/>
        <v/>
      </c>
      <c r="Z227" s="317" t="str">
        <f>IFERROR(IF(OR(E227="",R227=""),"",IF(AND(Q227='G-7 WaterC'' Data'!$G$4,AA227="Yes"),"Alternative Compensation ✓",IF(AND(AA227="Pending",Q227='G-7 WaterC'' Data'!$G$4),"Bespoke compensation must be agreed ▲",IF((W227+X227)&gt;=R227,0,R227-W227-X227)))),"Check Data ⚠")</f>
        <v/>
      </c>
      <c r="AA227" s="800"/>
      <c r="AB227" s="136"/>
      <c r="AC227" s="104"/>
      <c r="AD227" s="104"/>
      <c r="AE227" s="54" t="str">
        <f>IF(OR(Q227="",AA227="Yes"),"",IF(Q227='G-1 All Habitats'!$X$9,E227-U227-V227,"None"))</f>
        <v/>
      </c>
      <c r="AF227" s="55" t="str">
        <f>IF(Q227="","",IF(Q227='G-1 All Habitats'!$X$9,AE227*G227*I227*L227*N227*P227,"None"))</f>
        <v/>
      </c>
      <c r="AI227" s="30">
        <f t="shared" si="36"/>
        <v>0</v>
      </c>
      <c r="AJ227" s="107" t="str">
        <f t="shared" si="37"/>
        <v/>
      </c>
      <c r="AK227" s="107" t="str">
        <f t="shared" si="38"/>
        <v/>
      </c>
      <c r="AM227" s="107">
        <v>218</v>
      </c>
      <c r="AO227" s="107" t="str">
        <f t="array" ref="AO227">IFERROR(INDEX($AM$10:$AM$258,MATCH(0,IF(TRUE=$AJ$10:$AJ$258,COUNTIF($AO$9:$AO226,$AM$10:$AM$258),""),0)),"")</f>
        <v/>
      </c>
      <c r="AP227" s="107" t="str">
        <f t="array" ref="AP227">IFERROR(INDEX($AM$10:$AM$258,MATCH(0,IF(TRUE=$AK$10:$AK$258,COUNTIF($AP$9:$AP226,$AM$10:$AM$258),""),0)),"")</f>
        <v/>
      </c>
      <c r="AR227" s="30" t="str">
        <f>IFERROR(INDEX('G-7 WaterC'' Data'!$AZ$3:$AZ$7,MATCH(D227,'G-7 WaterC'' Data'!$AY$3:$AY$7,0)),"")</f>
        <v/>
      </c>
      <c r="AS227" s="30" t="str">
        <f>IFERROR(INDEX('G-7 WaterC'' Data'!AZ227:AZ231,MATCH(D227,'G-7 WaterC'' Data'!$AY$10:$AY$14,0)),"")</f>
        <v/>
      </c>
      <c r="AT227" s="885" t="str">
        <f>IF(AND(OR(AA227="Yes",AA227="Pending"),Q227='G-7 WaterC'' Data'!$G$4),R227-W227-X227,"")</f>
        <v/>
      </c>
      <c r="AU227" s="30" t="str">
        <f>IF(D227="","",VLOOKUP(D227,'G-7 WaterC'' Data'!B$4:M$8,12,FALSE))</f>
        <v/>
      </c>
      <c r="AV227" s="30" t="str">
        <f t="shared" si="30"/>
        <v/>
      </c>
      <c r="AX227" s="30" t="str">
        <f t="shared" si="39"/>
        <v>No</v>
      </c>
    </row>
    <row r="228" spans="3:50" ht="14" hidden="1">
      <c r="C228" s="97">
        <v>219</v>
      </c>
      <c r="D228" s="261"/>
      <c r="E228" s="115"/>
      <c r="F228" s="275" t="str">
        <f>IF(D228="","",VLOOKUP(D228,'G-7 WaterC'' Data'!$B$2:$G$8,2,FALSE))</f>
        <v/>
      </c>
      <c r="G228" s="276" t="str">
        <f>IFERROR(VLOOKUP(F228,'G-7 WaterC'' Data'!$C$4:$D$8,2,FALSE),"")</f>
        <v/>
      </c>
      <c r="H228" s="52"/>
      <c r="I228" s="276" t="str">
        <f>IFERROR(INDEX('G-7 WaterC'' Data'!$H$4:$L$8,MATCH(D228,'G-7 WaterC'' Data'!$B$4:$B$8,0),MATCH(H228,'G-7 WaterC'' Data'!$H$3:$L$3,0)),"")</f>
        <v/>
      </c>
      <c r="J228" s="777"/>
      <c r="K228" s="311" t="str">
        <f>IF(J228="","",IF(VLOOKUP(J228,'G-7 WaterC'' Data'!$AK$4:$AM$6,2,FALSE)=0,"Spatial Data Missing ⚠",VLOOKUP(J228,'G-7 WaterC'' Data'!$AK$4:$AM$6,2,FALSE)))</f>
        <v/>
      </c>
      <c r="L228" s="281" t="str">
        <f>IF(J228="","",IF(VLOOKUP(J228,'G-7 WaterC'' Data'!$AK$4:$AM$9,3,FALSE)=0,"Spatial Data Missing ⚠",VLOOKUP(J228,'G-7 WaterC'' Data'!$AK$4:$AM$6,3,FALSE)))</f>
        <v/>
      </c>
      <c r="M228" s="52"/>
      <c r="N228" s="276" t="str">
        <f>IF(M228="","",IF(AND(D228&lt;&gt;"Culvert",M228="N/A - Culvert"),"Not possible ▲",IF(AND(D228="Culvert",M228&lt;&gt;"N/A - Culvert"),"Not possible ▲",IF(VLOOKUP(M228,'G-7 WaterC'' Data'!$AA$4:$AB$7,2,FALSE)=0,"Spatial Data Missing ⚠",VLOOKUP(M228,'G-7 WaterC'' Data'!$AA$4:$AB$7,2,FALSE)))))</f>
        <v/>
      </c>
      <c r="O228" s="56"/>
      <c r="P228" s="276" t="str">
        <f>IF(O228="","",IF(AND(O228="N/A - Culvert",D228&lt;&gt;"Culvert"),"Not possible ▲",IF(AND(D228="Culvert",O228&lt;&gt;"N/A - Culvert"),"Not possible ▲",IF(VLOOKUP(O228,'G-7 WaterC'' Data'!$AD$4:$AE$14,2,FALSE)=0,"Spatial Data Missing ⚠",VLOOKUP(O228,'G-7 WaterC'' Data'!$AD$4:$AE$14,2,FALSE)))))</f>
        <v/>
      </c>
      <c r="Q228" s="282" t="str">
        <f>IF(D228="","",VLOOKUP(D228,'G-7 WaterC'' Data'!$B$2:$G$8,6,FALSE))</f>
        <v/>
      </c>
      <c r="R228" s="289" t="str">
        <f t="shared" si="31"/>
        <v xml:space="preserve"> </v>
      </c>
      <c r="S228" s="803" t="str">
        <f t="shared" si="32"/>
        <v/>
      </c>
      <c r="T228" s="32"/>
      <c r="U228" s="101"/>
      <c r="V228" s="108"/>
      <c r="W228" s="287" t="str">
        <f t="shared" si="33"/>
        <v/>
      </c>
      <c r="X228" s="287" t="str">
        <f t="shared" si="34"/>
        <v/>
      </c>
      <c r="Y228" s="287" t="str">
        <f t="shared" si="35"/>
        <v/>
      </c>
      <c r="Z228" s="317" t="str">
        <f>IFERROR(IF(OR(E228="",R228=""),"",IF(AND(Q228='G-7 WaterC'' Data'!$G$4,AA228="Yes"),"Alternative Compensation ✓",IF(AND(AA228="Pending",Q228='G-7 WaterC'' Data'!$G$4),"Bespoke compensation must be agreed ▲",IF((W228+X228)&gt;=R228,0,R228-W228-X228)))),"Check Data ⚠")</f>
        <v/>
      </c>
      <c r="AA228" s="800"/>
      <c r="AB228" s="136"/>
      <c r="AC228" s="104"/>
      <c r="AD228" s="104"/>
      <c r="AE228" s="54" t="str">
        <f>IF(OR(Q228="",AA228="Yes"),"",IF(Q228='G-1 All Habitats'!$X$9,E228-U228-V228,"None"))</f>
        <v/>
      </c>
      <c r="AF228" s="55" t="str">
        <f>IF(Q228="","",IF(Q228='G-1 All Habitats'!$X$9,AE228*G228*I228*L228*N228*P228,"None"))</f>
        <v/>
      </c>
      <c r="AI228" s="30">
        <f t="shared" si="36"/>
        <v>0</v>
      </c>
      <c r="AJ228" s="107" t="str">
        <f t="shared" si="37"/>
        <v/>
      </c>
      <c r="AK228" s="107" t="str">
        <f t="shared" si="38"/>
        <v/>
      </c>
      <c r="AM228" s="107">
        <v>219</v>
      </c>
      <c r="AO228" s="107" t="str">
        <f t="array" ref="AO228">IFERROR(INDEX($AM$10:$AM$258,MATCH(0,IF(TRUE=$AJ$10:$AJ$258,COUNTIF($AO$9:$AO227,$AM$10:$AM$258),""),0)),"")</f>
        <v/>
      </c>
      <c r="AP228" s="107" t="str">
        <f t="array" ref="AP228">IFERROR(INDEX($AM$10:$AM$258,MATCH(0,IF(TRUE=$AK$10:$AK$258,COUNTIF($AP$9:$AP227,$AM$10:$AM$258),""),0)),"")</f>
        <v/>
      </c>
      <c r="AR228" s="30" t="str">
        <f>IFERROR(INDEX('G-7 WaterC'' Data'!$AZ$3:$AZ$7,MATCH(D228,'G-7 WaterC'' Data'!$AY$3:$AY$7,0)),"")</f>
        <v/>
      </c>
      <c r="AS228" s="30" t="str">
        <f>IFERROR(INDEX('G-7 WaterC'' Data'!AZ228:AZ232,MATCH(D228,'G-7 WaterC'' Data'!$AY$10:$AY$14,0)),"")</f>
        <v/>
      </c>
      <c r="AT228" s="885" t="str">
        <f>IF(AND(OR(AA228="Yes",AA228="Pending"),Q228='G-7 WaterC'' Data'!$G$4),R228-W228-X228,"")</f>
        <v/>
      </c>
      <c r="AU228" s="30" t="str">
        <f>IF(D228="","",VLOOKUP(D228,'G-7 WaterC'' Data'!B$4:M$8,12,FALSE))</f>
        <v/>
      </c>
      <c r="AV228" s="30" t="str">
        <f t="shared" si="30"/>
        <v/>
      </c>
      <c r="AX228" s="30" t="str">
        <f t="shared" si="39"/>
        <v>No</v>
      </c>
    </row>
    <row r="229" spans="3:50" ht="14" hidden="1">
      <c r="C229" s="97">
        <v>220</v>
      </c>
      <c r="D229" s="261"/>
      <c r="E229" s="115"/>
      <c r="F229" s="275" t="str">
        <f>IF(D229="","",VLOOKUP(D229,'G-7 WaterC'' Data'!$B$2:$G$8,2,FALSE))</f>
        <v/>
      </c>
      <c r="G229" s="276" t="str">
        <f>IFERROR(VLOOKUP(F229,'G-7 WaterC'' Data'!$C$4:$D$8,2,FALSE),"")</f>
        <v/>
      </c>
      <c r="H229" s="52"/>
      <c r="I229" s="276" t="str">
        <f>IFERROR(INDEX('G-7 WaterC'' Data'!$H$4:$L$8,MATCH(D229,'G-7 WaterC'' Data'!$B$4:$B$8,0),MATCH(H229,'G-7 WaterC'' Data'!$H$3:$L$3,0)),"")</f>
        <v/>
      </c>
      <c r="J229" s="777"/>
      <c r="K229" s="311" t="str">
        <f>IF(J229="","",IF(VLOOKUP(J229,'G-7 WaterC'' Data'!$AK$4:$AM$6,2,FALSE)=0,"Spatial Data Missing ⚠",VLOOKUP(J229,'G-7 WaterC'' Data'!$AK$4:$AM$6,2,FALSE)))</f>
        <v/>
      </c>
      <c r="L229" s="281" t="str">
        <f>IF(J229="","",IF(VLOOKUP(J229,'G-7 WaterC'' Data'!$AK$4:$AM$9,3,FALSE)=0,"Spatial Data Missing ⚠",VLOOKUP(J229,'G-7 WaterC'' Data'!$AK$4:$AM$6,3,FALSE)))</f>
        <v/>
      </c>
      <c r="M229" s="52"/>
      <c r="N229" s="276" t="str">
        <f>IF(M229="","",IF(AND(D229&lt;&gt;"Culvert",M229="N/A - Culvert"),"Not possible ▲",IF(AND(D229="Culvert",M229&lt;&gt;"N/A - Culvert"),"Not possible ▲",IF(VLOOKUP(M229,'G-7 WaterC'' Data'!$AA$4:$AB$7,2,FALSE)=0,"Spatial Data Missing ⚠",VLOOKUP(M229,'G-7 WaterC'' Data'!$AA$4:$AB$7,2,FALSE)))))</f>
        <v/>
      </c>
      <c r="O229" s="56"/>
      <c r="P229" s="276" t="str">
        <f>IF(O229="","",IF(AND(O229="N/A - Culvert",D229&lt;&gt;"Culvert"),"Not possible ▲",IF(AND(D229="Culvert",O229&lt;&gt;"N/A - Culvert"),"Not possible ▲",IF(VLOOKUP(O229,'G-7 WaterC'' Data'!$AD$4:$AE$14,2,FALSE)=0,"Spatial Data Missing ⚠",VLOOKUP(O229,'G-7 WaterC'' Data'!$AD$4:$AE$14,2,FALSE)))))</f>
        <v/>
      </c>
      <c r="Q229" s="282" t="str">
        <f>IF(D229="","",VLOOKUP(D229,'G-7 WaterC'' Data'!$B$2:$G$8,6,FALSE))</f>
        <v/>
      </c>
      <c r="R229" s="289" t="str">
        <f t="shared" si="31"/>
        <v xml:space="preserve"> </v>
      </c>
      <c r="S229" s="803" t="str">
        <f t="shared" si="32"/>
        <v/>
      </c>
      <c r="T229" s="32"/>
      <c r="U229" s="101"/>
      <c r="V229" s="108"/>
      <c r="W229" s="287" t="str">
        <f t="shared" si="33"/>
        <v/>
      </c>
      <c r="X229" s="287" t="str">
        <f t="shared" si="34"/>
        <v/>
      </c>
      <c r="Y229" s="287" t="str">
        <f t="shared" si="35"/>
        <v/>
      </c>
      <c r="Z229" s="317" t="str">
        <f>IFERROR(IF(OR(E229="",R229=""),"",IF(AND(Q229='G-7 WaterC'' Data'!$G$4,AA229="Yes"),"Alternative Compensation ✓",IF(AND(AA229="Pending",Q229='G-7 WaterC'' Data'!$G$4),"Bespoke compensation must be agreed ▲",IF((W229+X229)&gt;=R229,0,R229-W229-X229)))),"Check Data ⚠")</f>
        <v/>
      </c>
      <c r="AA229" s="800"/>
      <c r="AB229" s="136"/>
      <c r="AC229" s="104"/>
      <c r="AD229" s="104"/>
      <c r="AE229" s="54" t="str">
        <f>IF(OR(Q229="",AA229="Yes"),"",IF(Q229='G-1 All Habitats'!$X$9,E229-U229-V229,"None"))</f>
        <v/>
      </c>
      <c r="AF229" s="55" t="str">
        <f>IF(Q229="","",IF(Q229='G-1 All Habitats'!$X$9,AE229*G229*I229*L229*N229*P229,"None"))</f>
        <v/>
      </c>
      <c r="AI229" s="30">
        <f t="shared" si="36"/>
        <v>0</v>
      </c>
      <c r="AJ229" s="107" t="str">
        <f t="shared" si="37"/>
        <v/>
      </c>
      <c r="AK229" s="107" t="str">
        <f t="shared" si="38"/>
        <v/>
      </c>
      <c r="AM229" s="107">
        <v>220</v>
      </c>
      <c r="AO229" s="107" t="str">
        <f t="array" ref="AO229">IFERROR(INDEX($AM$10:$AM$258,MATCH(0,IF(TRUE=$AJ$10:$AJ$258,COUNTIF($AO$9:$AO228,$AM$10:$AM$258),""),0)),"")</f>
        <v/>
      </c>
      <c r="AP229" s="107" t="str">
        <f t="array" ref="AP229">IFERROR(INDEX($AM$10:$AM$258,MATCH(0,IF(TRUE=$AK$10:$AK$258,COUNTIF($AP$9:$AP228,$AM$10:$AM$258),""),0)),"")</f>
        <v/>
      </c>
      <c r="AR229" s="30" t="str">
        <f>IFERROR(INDEX('G-7 WaterC'' Data'!$AZ$3:$AZ$7,MATCH(D229,'G-7 WaterC'' Data'!$AY$3:$AY$7,0)),"")</f>
        <v/>
      </c>
      <c r="AS229" s="30" t="str">
        <f>IFERROR(INDEX('G-7 WaterC'' Data'!AZ229:AZ233,MATCH(D229,'G-7 WaterC'' Data'!$AY$10:$AY$14,0)),"")</f>
        <v/>
      </c>
      <c r="AT229" s="885" t="str">
        <f>IF(AND(OR(AA229="Yes",AA229="Pending"),Q229='G-7 WaterC'' Data'!$G$4),R229-W229-X229,"")</f>
        <v/>
      </c>
      <c r="AU229" s="30" t="str">
        <f>IF(D229="","",VLOOKUP(D229,'G-7 WaterC'' Data'!B$4:M$8,12,FALSE))</f>
        <v/>
      </c>
      <c r="AV229" s="30" t="str">
        <f t="shared" si="30"/>
        <v/>
      </c>
      <c r="AX229" s="30" t="str">
        <f t="shared" si="39"/>
        <v>No</v>
      </c>
    </row>
    <row r="230" spans="3:50" ht="14" hidden="1">
      <c r="C230" s="97">
        <v>221</v>
      </c>
      <c r="D230" s="261"/>
      <c r="E230" s="115"/>
      <c r="F230" s="275" t="str">
        <f>IF(D230="","",VLOOKUP(D230,'G-7 WaterC'' Data'!$B$2:$G$8,2,FALSE))</f>
        <v/>
      </c>
      <c r="G230" s="276" t="str">
        <f>IFERROR(VLOOKUP(F230,'G-7 WaterC'' Data'!$C$4:$D$8,2,FALSE),"")</f>
        <v/>
      </c>
      <c r="H230" s="52"/>
      <c r="I230" s="276" t="str">
        <f>IFERROR(INDEX('G-7 WaterC'' Data'!$H$4:$L$8,MATCH(D230,'G-7 WaterC'' Data'!$B$4:$B$8,0),MATCH(H230,'G-7 WaterC'' Data'!$H$3:$L$3,0)),"")</f>
        <v/>
      </c>
      <c r="J230" s="777"/>
      <c r="K230" s="311" t="str">
        <f>IF(J230="","",IF(VLOOKUP(J230,'G-7 WaterC'' Data'!$AK$4:$AM$6,2,FALSE)=0,"Spatial Data Missing ⚠",VLOOKUP(J230,'G-7 WaterC'' Data'!$AK$4:$AM$6,2,FALSE)))</f>
        <v/>
      </c>
      <c r="L230" s="281" t="str">
        <f>IF(J230="","",IF(VLOOKUP(J230,'G-7 WaterC'' Data'!$AK$4:$AM$9,3,FALSE)=0,"Spatial Data Missing ⚠",VLOOKUP(J230,'G-7 WaterC'' Data'!$AK$4:$AM$6,3,FALSE)))</f>
        <v/>
      </c>
      <c r="M230" s="52"/>
      <c r="N230" s="276" t="str">
        <f>IF(M230="","",IF(AND(D230&lt;&gt;"Culvert",M230="N/A - Culvert"),"Not possible ▲",IF(AND(D230="Culvert",M230&lt;&gt;"N/A - Culvert"),"Not possible ▲",IF(VLOOKUP(M230,'G-7 WaterC'' Data'!$AA$4:$AB$7,2,FALSE)=0,"Spatial Data Missing ⚠",VLOOKUP(M230,'G-7 WaterC'' Data'!$AA$4:$AB$7,2,FALSE)))))</f>
        <v/>
      </c>
      <c r="O230" s="56"/>
      <c r="P230" s="276" t="str">
        <f>IF(O230="","",IF(AND(O230="N/A - Culvert",D230&lt;&gt;"Culvert"),"Not possible ▲",IF(AND(D230="Culvert",O230&lt;&gt;"N/A - Culvert"),"Not possible ▲",IF(VLOOKUP(O230,'G-7 WaterC'' Data'!$AD$4:$AE$14,2,FALSE)=0,"Spatial Data Missing ⚠",VLOOKUP(O230,'G-7 WaterC'' Data'!$AD$4:$AE$14,2,FALSE)))))</f>
        <v/>
      </c>
      <c r="Q230" s="282" t="str">
        <f>IF(D230="","",VLOOKUP(D230,'G-7 WaterC'' Data'!$B$2:$G$8,6,FALSE))</f>
        <v/>
      </c>
      <c r="R230" s="289" t="str">
        <f t="shared" si="31"/>
        <v xml:space="preserve"> </v>
      </c>
      <c r="S230" s="803" t="str">
        <f t="shared" si="32"/>
        <v/>
      </c>
      <c r="T230" s="32"/>
      <c r="U230" s="101"/>
      <c r="V230" s="108"/>
      <c r="W230" s="287" t="str">
        <f t="shared" si="33"/>
        <v/>
      </c>
      <c r="X230" s="287" t="str">
        <f t="shared" si="34"/>
        <v/>
      </c>
      <c r="Y230" s="287" t="str">
        <f t="shared" si="35"/>
        <v/>
      </c>
      <c r="Z230" s="317" t="str">
        <f>IFERROR(IF(OR(E230="",R230=""),"",IF(AND(Q230='G-7 WaterC'' Data'!$G$4,AA230="Yes"),"Alternative Compensation ✓",IF(AND(AA230="Pending",Q230='G-7 WaterC'' Data'!$G$4),"Bespoke compensation must be agreed ▲",IF((W230+X230)&gt;=R230,0,R230-W230-X230)))),"Check Data ⚠")</f>
        <v/>
      </c>
      <c r="AA230" s="800"/>
      <c r="AB230" s="136"/>
      <c r="AC230" s="104"/>
      <c r="AD230" s="104"/>
      <c r="AE230" s="54" t="str">
        <f>IF(OR(Q230="",AA230="Yes"),"",IF(Q230='G-1 All Habitats'!$X$9,E230-U230-V230,"None"))</f>
        <v/>
      </c>
      <c r="AF230" s="55" t="str">
        <f>IF(Q230="","",IF(Q230='G-1 All Habitats'!$X$9,AE230*G230*I230*L230*N230*P230,"None"))</f>
        <v/>
      </c>
      <c r="AI230" s="30">
        <f t="shared" si="36"/>
        <v>0</v>
      </c>
      <c r="AJ230" s="107" t="str">
        <f t="shared" si="37"/>
        <v/>
      </c>
      <c r="AK230" s="107" t="str">
        <f t="shared" si="38"/>
        <v/>
      </c>
      <c r="AM230" s="107">
        <v>221</v>
      </c>
      <c r="AO230" s="107" t="str">
        <f t="array" ref="AO230">IFERROR(INDEX($AM$10:$AM$258,MATCH(0,IF(TRUE=$AJ$10:$AJ$258,COUNTIF($AO$9:$AO229,$AM$10:$AM$258),""),0)),"")</f>
        <v/>
      </c>
      <c r="AP230" s="107" t="str">
        <f t="array" ref="AP230">IFERROR(INDEX($AM$10:$AM$258,MATCH(0,IF(TRUE=$AK$10:$AK$258,COUNTIF($AP$9:$AP229,$AM$10:$AM$258),""),0)),"")</f>
        <v/>
      </c>
      <c r="AR230" s="30" t="str">
        <f>IFERROR(INDEX('G-7 WaterC'' Data'!$AZ$3:$AZ$7,MATCH(D230,'G-7 WaterC'' Data'!$AY$3:$AY$7,0)),"")</f>
        <v/>
      </c>
      <c r="AS230" s="30" t="str">
        <f>IFERROR(INDEX('G-7 WaterC'' Data'!AZ230:AZ234,MATCH(D230,'G-7 WaterC'' Data'!$AY$10:$AY$14,0)),"")</f>
        <v/>
      </c>
      <c r="AT230" s="885" t="str">
        <f>IF(AND(OR(AA230="Yes",AA230="Pending"),Q230='G-7 WaterC'' Data'!$G$4),R230-W230-X230,"")</f>
        <v/>
      </c>
      <c r="AU230" s="30" t="str">
        <f>IF(D230="","",VLOOKUP(D230,'G-7 WaterC'' Data'!B$4:M$8,12,FALSE))</f>
        <v/>
      </c>
      <c r="AV230" s="30" t="str">
        <f t="shared" si="30"/>
        <v/>
      </c>
      <c r="AX230" s="30" t="str">
        <f t="shared" si="39"/>
        <v>No</v>
      </c>
    </row>
    <row r="231" spans="3:50" ht="14" hidden="1">
      <c r="C231" s="97">
        <v>222</v>
      </c>
      <c r="D231" s="261"/>
      <c r="E231" s="115"/>
      <c r="F231" s="275" t="str">
        <f>IF(D231="","",VLOOKUP(D231,'G-7 WaterC'' Data'!$B$2:$G$8,2,FALSE))</f>
        <v/>
      </c>
      <c r="G231" s="276" t="str">
        <f>IFERROR(VLOOKUP(F231,'G-7 WaterC'' Data'!$C$4:$D$8,2,FALSE),"")</f>
        <v/>
      </c>
      <c r="H231" s="52"/>
      <c r="I231" s="276" t="str">
        <f>IFERROR(INDEX('G-7 WaterC'' Data'!$H$4:$L$8,MATCH(D231,'G-7 WaterC'' Data'!$B$4:$B$8,0),MATCH(H231,'G-7 WaterC'' Data'!$H$3:$L$3,0)),"")</f>
        <v/>
      </c>
      <c r="J231" s="777"/>
      <c r="K231" s="311" t="str">
        <f>IF(J231="","",IF(VLOOKUP(J231,'G-7 WaterC'' Data'!$AK$4:$AM$6,2,FALSE)=0,"Spatial Data Missing ⚠",VLOOKUP(J231,'G-7 WaterC'' Data'!$AK$4:$AM$6,2,FALSE)))</f>
        <v/>
      </c>
      <c r="L231" s="281" t="str">
        <f>IF(J231="","",IF(VLOOKUP(J231,'G-7 WaterC'' Data'!$AK$4:$AM$9,3,FALSE)=0,"Spatial Data Missing ⚠",VLOOKUP(J231,'G-7 WaterC'' Data'!$AK$4:$AM$6,3,FALSE)))</f>
        <v/>
      </c>
      <c r="M231" s="52"/>
      <c r="N231" s="276" t="str">
        <f>IF(M231="","",IF(AND(D231&lt;&gt;"Culvert",M231="N/A - Culvert"),"Not possible ▲",IF(AND(D231="Culvert",M231&lt;&gt;"N/A - Culvert"),"Not possible ▲",IF(VLOOKUP(M231,'G-7 WaterC'' Data'!$AA$4:$AB$7,2,FALSE)=0,"Spatial Data Missing ⚠",VLOOKUP(M231,'G-7 WaterC'' Data'!$AA$4:$AB$7,2,FALSE)))))</f>
        <v/>
      </c>
      <c r="O231" s="56"/>
      <c r="P231" s="276" t="str">
        <f>IF(O231="","",IF(AND(O231="N/A - Culvert",D231&lt;&gt;"Culvert"),"Not possible ▲",IF(AND(D231="Culvert",O231&lt;&gt;"N/A - Culvert"),"Not possible ▲",IF(VLOOKUP(O231,'G-7 WaterC'' Data'!$AD$4:$AE$14,2,FALSE)=0,"Spatial Data Missing ⚠",VLOOKUP(O231,'G-7 WaterC'' Data'!$AD$4:$AE$14,2,FALSE)))))</f>
        <v/>
      </c>
      <c r="Q231" s="282" t="str">
        <f>IF(D231="","",VLOOKUP(D231,'G-7 WaterC'' Data'!$B$2:$G$8,6,FALSE))</f>
        <v/>
      </c>
      <c r="R231" s="289" t="str">
        <f t="shared" si="31"/>
        <v xml:space="preserve"> </v>
      </c>
      <c r="S231" s="803" t="str">
        <f t="shared" si="32"/>
        <v/>
      </c>
      <c r="T231" s="32"/>
      <c r="U231" s="101"/>
      <c r="V231" s="108"/>
      <c r="W231" s="287" t="str">
        <f t="shared" si="33"/>
        <v/>
      </c>
      <c r="X231" s="287" t="str">
        <f t="shared" si="34"/>
        <v/>
      </c>
      <c r="Y231" s="287" t="str">
        <f t="shared" si="35"/>
        <v/>
      </c>
      <c r="Z231" s="317" t="str">
        <f>IFERROR(IF(OR(E231="",R231=""),"",IF(AND(Q231='G-7 WaterC'' Data'!$G$4,AA231="Yes"),"Alternative Compensation ✓",IF(AND(AA231="Pending",Q231='G-7 WaterC'' Data'!$G$4),"Bespoke compensation must be agreed ▲",IF((W231+X231)&gt;=R231,0,R231-W231-X231)))),"Check Data ⚠")</f>
        <v/>
      </c>
      <c r="AA231" s="800"/>
      <c r="AB231" s="136"/>
      <c r="AC231" s="104"/>
      <c r="AD231" s="104"/>
      <c r="AE231" s="54" t="str">
        <f>IF(OR(Q231="",AA231="Yes"),"",IF(Q231='G-1 All Habitats'!$X$9,E231-U231-V231,"None"))</f>
        <v/>
      </c>
      <c r="AF231" s="55" t="str">
        <f>IF(Q231="","",IF(Q231='G-1 All Habitats'!$X$9,AE231*G231*I231*L231*N231*P231,"None"))</f>
        <v/>
      </c>
      <c r="AI231" s="30">
        <f t="shared" si="36"/>
        <v>0</v>
      </c>
      <c r="AJ231" s="107" t="str">
        <f t="shared" si="37"/>
        <v/>
      </c>
      <c r="AK231" s="107" t="str">
        <f t="shared" si="38"/>
        <v/>
      </c>
      <c r="AM231" s="107">
        <v>222</v>
      </c>
      <c r="AO231" s="107" t="str">
        <f t="array" ref="AO231">IFERROR(INDEX($AM$10:$AM$258,MATCH(0,IF(TRUE=$AJ$10:$AJ$258,COUNTIF($AO$9:$AO230,$AM$10:$AM$258),""),0)),"")</f>
        <v/>
      </c>
      <c r="AP231" s="107" t="str">
        <f t="array" ref="AP231">IFERROR(INDEX($AM$10:$AM$258,MATCH(0,IF(TRUE=$AK$10:$AK$258,COUNTIF($AP$9:$AP230,$AM$10:$AM$258),""),0)),"")</f>
        <v/>
      </c>
      <c r="AR231" s="30" t="str">
        <f>IFERROR(INDEX('G-7 WaterC'' Data'!$AZ$3:$AZ$7,MATCH(D231,'G-7 WaterC'' Data'!$AY$3:$AY$7,0)),"")</f>
        <v/>
      </c>
      <c r="AS231" s="30" t="str">
        <f>IFERROR(INDEX('G-7 WaterC'' Data'!AZ231:AZ235,MATCH(D231,'G-7 WaterC'' Data'!$AY$10:$AY$14,0)),"")</f>
        <v/>
      </c>
      <c r="AT231" s="885" t="str">
        <f>IF(AND(OR(AA231="Yes",AA231="Pending"),Q231='G-7 WaterC'' Data'!$G$4),R231-W231-X231,"")</f>
        <v/>
      </c>
      <c r="AU231" s="30" t="str">
        <f>IF(D231="","",VLOOKUP(D231,'G-7 WaterC'' Data'!B$4:M$8,12,FALSE))</f>
        <v/>
      </c>
      <c r="AV231" s="30" t="str">
        <f t="shared" si="30"/>
        <v/>
      </c>
      <c r="AX231" s="30" t="str">
        <f t="shared" si="39"/>
        <v>No</v>
      </c>
    </row>
    <row r="232" spans="3:50" ht="14" hidden="1">
      <c r="C232" s="97">
        <v>223</v>
      </c>
      <c r="D232" s="261"/>
      <c r="E232" s="115"/>
      <c r="F232" s="275" t="str">
        <f>IF(D232="","",VLOOKUP(D232,'G-7 WaterC'' Data'!$B$2:$G$8,2,FALSE))</f>
        <v/>
      </c>
      <c r="G232" s="276" t="str">
        <f>IFERROR(VLOOKUP(F232,'G-7 WaterC'' Data'!$C$4:$D$8,2,FALSE),"")</f>
        <v/>
      </c>
      <c r="H232" s="52"/>
      <c r="I232" s="276" t="str">
        <f>IFERROR(INDEX('G-7 WaterC'' Data'!$H$4:$L$8,MATCH(D232,'G-7 WaterC'' Data'!$B$4:$B$8,0),MATCH(H232,'G-7 WaterC'' Data'!$H$3:$L$3,0)),"")</f>
        <v/>
      </c>
      <c r="J232" s="777"/>
      <c r="K232" s="311" t="str">
        <f>IF(J232="","",IF(VLOOKUP(J232,'G-7 WaterC'' Data'!$AK$4:$AM$6,2,FALSE)=0,"Spatial Data Missing ⚠",VLOOKUP(J232,'G-7 WaterC'' Data'!$AK$4:$AM$6,2,FALSE)))</f>
        <v/>
      </c>
      <c r="L232" s="281" t="str">
        <f>IF(J232="","",IF(VLOOKUP(J232,'G-7 WaterC'' Data'!$AK$4:$AM$9,3,FALSE)=0,"Spatial Data Missing ⚠",VLOOKUP(J232,'G-7 WaterC'' Data'!$AK$4:$AM$6,3,FALSE)))</f>
        <v/>
      </c>
      <c r="M232" s="52"/>
      <c r="N232" s="276" t="str">
        <f>IF(M232="","",IF(AND(D232&lt;&gt;"Culvert",M232="N/A - Culvert"),"Not possible ▲",IF(AND(D232="Culvert",M232&lt;&gt;"N/A - Culvert"),"Not possible ▲",IF(VLOOKUP(M232,'G-7 WaterC'' Data'!$AA$4:$AB$7,2,FALSE)=0,"Spatial Data Missing ⚠",VLOOKUP(M232,'G-7 WaterC'' Data'!$AA$4:$AB$7,2,FALSE)))))</f>
        <v/>
      </c>
      <c r="O232" s="56"/>
      <c r="P232" s="276" t="str">
        <f>IF(O232="","",IF(AND(O232="N/A - Culvert",D232&lt;&gt;"Culvert"),"Not possible ▲",IF(AND(D232="Culvert",O232&lt;&gt;"N/A - Culvert"),"Not possible ▲",IF(VLOOKUP(O232,'G-7 WaterC'' Data'!$AD$4:$AE$14,2,FALSE)=0,"Spatial Data Missing ⚠",VLOOKUP(O232,'G-7 WaterC'' Data'!$AD$4:$AE$14,2,FALSE)))))</f>
        <v/>
      </c>
      <c r="Q232" s="282" t="str">
        <f>IF(D232="","",VLOOKUP(D232,'G-7 WaterC'' Data'!$B$2:$G$8,6,FALSE))</f>
        <v/>
      </c>
      <c r="R232" s="289" t="str">
        <f t="shared" si="31"/>
        <v xml:space="preserve"> </v>
      </c>
      <c r="S232" s="803" t="str">
        <f t="shared" si="32"/>
        <v/>
      </c>
      <c r="T232" s="32"/>
      <c r="U232" s="101"/>
      <c r="V232" s="108"/>
      <c r="W232" s="287" t="str">
        <f t="shared" si="33"/>
        <v/>
      </c>
      <c r="X232" s="287" t="str">
        <f t="shared" si="34"/>
        <v/>
      </c>
      <c r="Y232" s="287" t="str">
        <f t="shared" si="35"/>
        <v/>
      </c>
      <c r="Z232" s="317" t="str">
        <f>IFERROR(IF(OR(E232="",R232=""),"",IF(AND(Q232='G-7 WaterC'' Data'!$G$4,AA232="Yes"),"Alternative Compensation ✓",IF(AND(AA232="Pending",Q232='G-7 WaterC'' Data'!$G$4),"Bespoke compensation must be agreed ▲",IF((W232+X232)&gt;=R232,0,R232-W232-X232)))),"Check Data ⚠")</f>
        <v/>
      </c>
      <c r="AA232" s="800"/>
      <c r="AB232" s="136"/>
      <c r="AC232" s="104"/>
      <c r="AD232" s="104"/>
      <c r="AE232" s="54" t="str">
        <f>IF(OR(Q232="",AA232="Yes"),"",IF(Q232='G-1 All Habitats'!$X$9,E232-U232-V232,"None"))</f>
        <v/>
      </c>
      <c r="AF232" s="55" t="str">
        <f>IF(Q232="","",IF(Q232='G-1 All Habitats'!$X$9,AE232*G232*I232*L232*N232*P232,"None"))</f>
        <v/>
      </c>
      <c r="AI232" s="30">
        <f t="shared" si="36"/>
        <v>0</v>
      </c>
      <c r="AJ232" s="107" t="str">
        <f t="shared" si="37"/>
        <v/>
      </c>
      <c r="AK232" s="107" t="str">
        <f t="shared" si="38"/>
        <v/>
      </c>
      <c r="AM232" s="107">
        <v>223</v>
      </c>
      <c r="AO232" s="107" t="str">
        <f t="array" ref="AO232">IFERROR(INDEX($AM$10:$AM$258,MATCH(0,IF(TRUE=$AJ$10:$AJ$258,COUNTIF($AO$9:$AO231,$AM$10:$AM$258),""),0)),"")</f>
        <v/>
      </c>
      <c r="AP232" s="107" t="str">
        <f t="array" ref="AP232">IFERROR(INDEX($AM$10:$AM$258,MATCH(0,IF(TRUE=$AK$10:$AK$258,COUNTIF($AP$9:$AP231,$AM$10:$AM$258),""),0)),"")</f>
        <v/>
      </c>
      <c r="AR232" s="30" t="str">
        <f>IFERROR(INDEX('G-7 WaterC'' Data'!$AZ$3:$AZ$7,MATCH(D232,'G-7 WaterC'' Data'!$AY$3:$AY$7,0)),"")</f>
        <v/>
      </c>
      <c r="AS232" s="30" t="str">
        <f>IFERROR(INDEX('G-7 WaterC'' Data'!AZ232:AZ236,MATCH(D232,'G-7 WaterC'' Data'!$AY$10:$AY$14,0)),"")</f>
        <v/>
      </c>
      <c r="AT232" s="885" t="str">
        <f>IF(AND(OR(AA232="Yes",AA232="Pending"),Q232='G-7 WaterC'' Data'!$G$4),R232-W232-X232,"")</f>
        <v/>
      </c>
      <c r="AU232" s="30" t="str">
        <f>IF(D232="","",VLOOKUP(D232,'G-7 WaterC'' Data'!B$4:M$8,12,FALSE))</f>
        <v/>
      </c>
      <c r="AV232" s="30" t="str">
        <f t="shared" si="30"/>
        <v/>
      </c>
      <c r="AX232" s="30" t="str">
        <f t="shared" si="39"/>
        <v>No</v>
      </c>
    </row>
    <row r="233" spans="3:50" ht="14" hidden="1">
      <c r="C233" s="97">
        <v>224</v>
      </c>
      <c r="D233" s="261"/>
      <c r="E233" s="115"/>
      <c r="F233" s="275" t="str">
        <f>IF(D233="","",VLOOKUP(D233,'G-7 WaterC'' Data'!$B$2:$G$8,2,FALSE))</f>
        <v/>
      </c>
      <c r="G233" s="276" t="str">
        <f>IFERROR(VLOOKUP(F233,'G-7 WaterC'' Data'!$C$4:$D$8,2,FALSE),"")</f>
        <v/>
      </c>
      <c r="H233" s="52"/>
      <c r="I233" s="276" t="str">
        <f>IFERROR(INDEX('G-7 WaterC'' Data'!$H$4:$L$8,MATCH(D233,'G-7 WaterC'' Data'!$B$4:$B$8,0),MATCH(H233,'G-7 WaterC'' Data'!$H$3:$L$3,0)),"")</f>
        <v/>
      </c>
      <c r="J233" s="777"/>
      <c r="K233" s="311" t="str">
        <f>IF(J233="","",IF(VLOOKUP(J233,'G-7 WaterC'' Data'!$AK$4:$AM$6,2,FALSE)=0,"Spatial Data Missing ⚠",VLOOKUP(J233,'G-7 WaterC'' Data'!$AK$4:$AM$6,2,FALSE)))</f>
        <v/>
      </c>
      <c r="L233" s="281" t="str">
        <f>IF(J233="","",IF(VLOOKUP(J233,'G-7 WaterC'' Data'!$AK$4:$AM$9,3,FALSE)=0,"Spatial Data Missing ⚠",VLOOKUP(J233,'G-7 WaterC'' Data'!$AK$4:$AM$6,3,FALSE)))</f>
        <v/>
      </c>
      <c r="M233" s="52"/>
      <c r="N233" s="276" t="str">
        <f>IF(M233="","",IF(AND(D233&lt;&gt;"Culvert",M233="N/A - Culvert"),"Not possible ▲",IF(AND(D233="Culvert",M233&lt;&gt;"N/A - Culvert"),"Not possible ▲",IF(VLOOKUP(M233,'G-7 WaterC'' Data'!$AA$4:$AB$7,2,FALSE)=0,"Spatial Data Missing ⚠",VLOOKUP(M233,'G-7 WaterC'' Data'!$AA$4:$AB$7,2,FALSE)))))</f>
        <v/>
      </c>
      <c r="O233" s="56"/>
      <c r="P233" s="276" t="str">
        <f>IF(O233="","",IF(AND(O233="N/A - Culvert",D233&lt;&gt;"Culvert"),"Not possible ▲",IF(AND(D233="Culvert",O233&lt;&gt;"N/A - Culvert"),"Not possible ▲",IF(VLOOKUP(O233,'G-7 WaterC'' Data'!$AD$4:$AE$14,2,FALSE)=0,"Spatial Data Missing ⚠",VLOOKUP(O233,'G-7 WaterC'' Data'!$AD$4:$AE$14,2,FALSE)))))</f>
        <v/>
      </c>
      <c r="Q233" s="282" t="str">
        <f>IF(D233="","",VLOOKUP(D233,'G-7 WaterC'' Data'!$B$2:$G$8,6,FALSE))</f>
        <v/>
      </c>
      <c r="R233" s="289" t="str">
        <f t="shared" si="31"/>
        <v xml:space="preserve"> </v>
      </c>
      <c r="S233" s="803" t="str">
        <f t="shared" si="32"/>
        <v/>
      </c>
      <c r="T233" s="32"/>
      <c r="U233" s="101"/>
      <c r="V233" s="108"/>
      <c r="W233" s="287" t="str">
        <f t="shared" si="33"/>
        <v/>
      </c>
      <c r="X233" s="287" t="str">
        <f t="shared" si="34"/>
        <v/>
      </c>
      <c r="Y233" s="287" t="str">
        <f t="shared" si="35"/>
        <v/>
      </c>
      <c r="Z233" s="317" t="str">
        <f>IFERROR(IF(OR(E233="",R233=""),"",IF(AND(Q233='G-7 WaterC'' Data'!$G$4,AA233="Yes"),"Alternative Compensation ✓",IF(AND(AA233="Pending",Q233='G-7 WaterC'' Data'!$G$4),"Bespoke compensation must be agreed ▲",IF((W233+X233)&gt;=R233,0,R233-W233-X233)))),"Check Data ⚠")</f>
        <v/>
      </c>
      <c r="AA233" s="800"/>
      <c r="AB233" s="136"/>
      <c r="AC233" s="104"/>
      <c r="AD233" s="104"/>
      <c r="AE233" s="54" t="str">
        <f>IF(OR(Q233="",AA233="Yes"),"",IF(Q233='G-1 All Habitats'!$X$9,E233-U233-V233,"None"))</f>
        <v/>
      </c>
      <c r="AF233" s="55" t="str">
        <f>IF(Q233="","",IF(Q233='G-1 All Habitats'!$X$9,AE233*G233*I233*L233*N233*P233,"None"))</f>
        <v/>
      </c>
      <c r="AI233" s="30">
        <f t="shared" si="36"/>
        <v>0</v>
      </c>
      <c r="AJ233" s="107" t="str">
        <f t="shared" si="37"/>
        <v/>
      </c>
      <c r="AK233" s="107" t="str">
        <f t="shared" si="38"/>
        <v/>
      </c>
      <c r="AM233" s="107">
        <v>224</v>
      </c>
      <c r="AO233" s="107" t="str">
        <f t="array" ref="AO233">IFERROR(INDEX($AM$10:$AM$258,MATCH(0,IF(TRUE=$AJ$10:$AJ$258,COUNTIF($AO$9:$AO232,$AM$10:$AM$258),""),0)),"")</f>
        <v/>
      </c>
      <c r="AP233" s="107" t="str">
        <f t="array" ref="AP233">IFERROR(INDEX($AM$10:$AM$258,MATCH(0,IF(TRUE=$AK$10:$AK$258,COUNTIF($AP$9:$AP232,$AM$10:$AM$258),""),0)),"")</f>
        <v/>
      </c>
      <c r="AR233" s="30" t="str">
        <f>IFERROR(INDEX('G-7 WaterC'' Data'!$AZ$3:$AZ$7,MATCH(D233,'G-7 WaterC'' Data'!$AY$3:$AY$7,0)),"")</f>
        <v/>
      </c>
      <c r="AS233" s="30" t="str">
        <f>IFERROR(INDEX('G-7 WaterC'' Data'!AZ233:AZ237,MATCH(D233,'G-7 WaterC'' Data'!$AY$10:$AY$14,0)),"")</f>
        <v/>
      </c>
      <c r="AT233" s="885" t="str">
        <f>IF(AND(OR(AA233="Yes",AA233="Pending"),Q233='G-7 WaterC'' Data'!$G$4),R233-W233-X233,"")</f>
        <v/>
      </c>
      <c r="AU233" s="30" t="str">
        <f>IF(D233="","",VLOOKUP(D233,'G-7 WaterC'' Data'!B$4:M$8,12,FALSE))</f>
        <v/>
      </c>
      <c r="AV233" s="30" t="str">
        <f t="shared" si="30"/>
        <v/>
      </c>
      <c r="AX233" s="30" t="str">
        <f t="shared" si="39"/>
        <v>No</v>
      </c>
    </row>
    <row r="234" spans="3:50" ht="14" hidden="1">
      <c r="C234" s="97">
        <v>225</v>
      </c>
      <c r="D234" s="261"/>
      <c r="E234" s="115"/>
      <c r="F234" s="275" t="str">
        <f>IF(D234="","",VLOOKUP(D234,'G-7 WaterC'' Data'!$B$2:$G$8,2,FALSE))</f>
        <v/>
      </c>
      <c r="G234" s="276" t="str">
        <f>IFERROR(VLOOKUP(F234,'G-7 WaterC'' Data'!$C$4:$D$8,2,FALSE),"")</f>
        <v/>
      </c>
      <c r="H234" s="52"/>
      <c r="I234" s="276" t="str">
        <f>IFERROR(INDEX('G-7 WaterC'' Data'!$H$4:$L$8,MATCH(D234,'G-7 WaterC'' Data'!$B$4:$B$8,0),MATCH(H234,'G-7 WaterC'' Data'!$H$3:$L$3,0)),"")</f>
        <v/>
      </c>
      <c r="J234" s="777"/>
      <c r="K234" s="311" t="str">
        <f>IF(J234="","",IF(VLOOKUP(J234,'G-7 WaterC'' Data'!$AK$4:$AM$6,2,FALSE)=0,"Spatial Data Missing ⚠",VLOOKUP(J234,'G-7 WaterC'' Data'!$AK$4:$AM$6,2,FALSE)))</f>
        <v/>
      </c>
      <c r="L234" s="281" t="str">
        <f>IF(J234="","",IF(VLOOKUP(J234,'G-7 WaterC'' Data'!$AK$4:$AM$9,3,FALSE)=0,"Spatial Data Missing ⚠",VLOOKUP(J234,'G-7 WaterC'' Data'!$AK$4:$AM$6,3,FALSE)))</f>
        <v/>
      </c>
      <c r="M234" s="52"/>
      <c r="N234" s="276" t="str">
        <f>IF(M234="","",IF(AND(D234&lt;&gt;"Culvert",M234="N/A - Culvert"),"Not possible ▲",IF(AND(D234="Culvert",M234&lt;&gt;"N/A - Culvert"),"Not possible ▲",IF(VLOOKUP(M234,'G-7 WaterC'' Data'!$AA$4:$AB$7,2,FALSE)=0,"Spatial Data Missing ⚠",VLOOKUP(M234,'G-7 WaterC'' Data'!$AA$4:$AB$7,2,FALSE)))))</f>
        <v/>
      </c>
      <c r="O234" s="56"/>
      <c r="P234" s="276" t="str">
        <f>IF(O234="","",IF(AND(O234="N/A - Culvert",D234&lt;&gt;"Culvert"),"Not possible ▲",IF(AND(D234="Culvert",O234&lt;&gt;"N/A - Culvert"),"Not possible ▲",IF(VLOOKUP(O234,'G-7 WaterC'' Data'!$AD$4:$AE$14,2,FALSE)=0,"Spatial Data Missing ⚠",VLOOKUP(O234,'G-7 WaterC'' Data'!$AD$4:$AE$14,2,FALSE)))))</f>
        <v/>
      </c>
      <c r="Q234" s="282" t="str">
        <f>IF(D234="","",VLOOKUP(D234,'G-7 WaterC'' Data'!$B$2:$G$8,6,FALSE))</f>
        <v/>
      </c>
      <c r="R234" s="289" t="str">
        <f t="shared" si="31"/>
        <v xml:space="preserve"> </v>
      </c>
      <c r="S234" s="803" t="str">
        <f t="shared" si="32"/>
        <v/>
      </c>
      <c r="T234" s="32"/>
      <c r="U234" s="101"/>
      <c r="V234" s="108"/>
      <c r="W234" s="287" t="str">
        <f t="shared" si="33"/>
        <v/>
      </c>
      <c r="X234" s="287" t="str">
        <f t="shared" si="34"/>
        <v/>
      </c>
      <c r="Y234" s="287" t="str">
        <f t="shared" si="35"/>
        <v/>
      </c>
      <c r="Z234" s="317" t="str">
        <f>IFERROR(IF(OR(E234="",R234=""),"",IF(AND(Q234='G-7 WaterC'' Data'!$G$4,AA234="Yes"),"Alternative Compensation ✓",IF(AND(AA234="Pending",Q234='G-7 WaterC'' Data'!$G$4),"Bespoke compensation must be agreed ▲",IF((W234+X234)&gt;=R234,0,R234-W234-X234)))),"Check Data ⚠")</f>
        <v/>
      </c>
      <c r="AA234" s="800"/>
      <c r="AB234" s="136"/>
      <c r="AC234" s="104"/>
      <c r="AD234" s="104"/>
      <c r="AE234" s="54" t="str">
        <f>IF(OR(Q234="",AA234="Yes"),"",IF(Q234='G-1 All Habitats'!$X$9,E234-U234-V234,"None"))</f>
        <v/>
      </c>
      <c r="AF234" s="55" t="str">
        <f>IF(Q234="","",IF(Q234='G-1 All Habitats'!$X$9,AE234*G234*I234*L234*N234*P234,"None"))</f>
        <v/>
      </c>
      <c r="AI234" s="30">
        <f t="shared" si="36"/>
        <v>0</v>
      </c>
      <c r="AJ234" s="107" t="str">
        <f t="shared" si="37"/>
        <v/>
      </c>
      <c r="AK234" s="107" t="str">
        <f t="shared" si="38"/>
        <v/>
      </c>
      <c r="AM234" s="107">
        <v>225</v>
      </c>
      <c r="AO234" s="107" t="str">
        <f t="array" ref="AO234">IFERROR(INDEX($AM$10:$AM$258,MATCH(0,IF(TRUE=$AJ$10:$AJ$258,COUNTIF($AO$9:$AO233,$AM$10:$AM$258),""),0)),"")</f>
        <v/>
      </c>
      <c r="AP234" s="107" t="str">
        <f t="array" ref="AP234">IFERROR(INDEX($AM$10:$AM$258,MATCH(0,IF(TRUE=$AK$10:$AK$258,COUNTIF($AP$9:$AP233,$AM$10:$AM$258),""),0)),"")</f>
        <v/>
      </c>
      <c r="AR234" s="30" t="str">
        <f>IFERROR(INDEX('G-7 WaterC'' Data'!$AZ$3:$AZ$7,MATCH(D234,'G-7 WaterC'' Data'!$AY$3:$AY$7,0)),"")</f>
        <v/>
      </c>
      <c r="AS234" s="30" t="str">
        <f>IFERROR(INDEX('G-7 WaterC'' Data'!AZ234:AZ238,MATCH(D234,'G-7 WaterC'' Data'!$AY$10:$AY$14,0)),"")</f>
        <v/>
      </c>
      <c r="AT234" s="885" t="str">
        <f>IF(AND(OR(AA234="Yes",AA234="Pending"),Q234='G-7 WaterC'' Data'!$G$4),R234-W234-X234,"")</f>
        <v/>
      </c>
      <c r="AU234" s="30" t="str">
        <f>IF(D234="","",VLOOKUP(D234,'G-7 WaterC'' Data'!B$4:M$8,12,FALSE))</f>
        <v/>
      </c>
      <c r="AV234" s="30" t="str">
        <f t="shared" si="30"/>
        <v/>
      </c>
      <c r="AX234" s="30" t="str">
        <f t="shared" si="39"/>
        <v>No</v>
      </c>
    </row>
    <row r="235" spans="3:50" ht="14" hidden="1">
      <c r="C235" s="97">
        <v>226</v>
      </c>
      <c r="D235" s="261"/>
      <c r="E235" s="115"/>
      <c r="F235" s="275" t="str">
        <f>IF(D235="","",VLOOKUP(D235,'G-7 WaterC'' Data'!$B$2:$G$8,2,FALSE))</f>
        <v/>
      </c>
      <c r="G235" s="276" t="str">
        <f>IFERROR(VLOOKUP(F235,'G-7 WaterC'' Data'!$C$4:$D$8,2,FALSE),"")</f>
        <v/>
      </c>
      <c r="H235" s="52"/>
      <c r="I235" s="276" t="str">
        <f>IFERROR(INDEX('G-7 WaterC'' Data'!$H$4:$L$8,MATCH(D235,'G-7 WaterC'' Data'!$B$4:$B$8,0),MATCH(H235,'G-7 WaterC'' Data'!$H$3:$L$3,0)),"")</f>
        <v/>
      </c>
      <c r="J235" s="777"/>
      <c r="K235" s="311" t="str">
        <f>IF(J235="","",IF(VLOOKUP(J235,'G-7 WaterC'' Data'!$AK$4:$AM$6,2,FALSE)=0,"Spatial Data Missing ⚠",VLOOKUP(J235,'G-7 WaterC'' Data'!$AK$4:$AM$6,2,FALSE)))</f>
        <v/>
      </c>
      <c r="L235" s="281" t="str">
        <f>IF(J235="","",IF(VLOOKUP(J235,'G-7 WaterC'' Data'!$AK$4:$AM$9,3,FALSE)=0,"Spatial Data Missing ⚠",VLOOKUP(J235,'G-7 WaterC'' Data'!$AK$4:$AM$6,3,FALSE)))</f>
        <v/>
      </c>
      <c r="M235" s="52"/>
      <c r="N235" s="276" t="str">
        <f>IF(M235="","",IF(AND(D235&lt;&gt;"Culvert",M235="N/A - Culvert"),"Not possible ▲",IF(AND(D235="Culvert",M235&lt;&gt;"N/A - Culvert"),"Not possible ▲",IF(VLOOKUP(M235,'G-7 WaterC'' Data'!$AA$4:$AB$7,2,FALSE)=0,"Spatial Data Missing ⚠",VLOOKUP(M235,'G-7 WaterC'' Data'!$AA$4:$AB$7,2,FALSE)))))</f>
        <v/>
      </c>
      <c r="O235" s="56"/>
      <c r="P235" s="276" t="str">
        <f>IF(O235="","",IF(AND(O235="N/A - Culvert",D235&lt;&gt;"Culvert"),"Not possible ▲",IF(AND(D235="Culvert",O235&lt;&gt;"N/A - Culvert"),"Not possible ▲",IF(VLOOKUP(O235,'G-7 WaterC'' Data'!$AD$4:$AE$14,2,FALSE)=0,"Spatial Data Missing ⚠",VLOOKUP(O235,'G-7 WaterC'' Data'!$AD$4:$AE$14,2,FALSE)))))</f>
        <v/>
      </c>
      <c r="Q235" s="282" t="str">
        <f>IF(D235="","",VLOOKUP(D235,'G-7 WaterC'' Data'!$B$2:$G$8,6,FALSE))</f>
        <v/>
      </c>
      <c r="R235" s="289" t="str">
        <f t="shared" si="31"/>
        <v xml:space="preserve"> </v>
      </c>
      <c r="S235" s="803" t="str">
        <f t="shared" si="32"/>
        <v/>
      </c>
      <c r="T235" s="32"/>
      <c r="U235" s="101"/>
      <c r="V235" s="108"/>
      <c r="W235" s="287" t="str">
        <f t="shared" si="33"/>
        <v/>
      </c>
      <c r="X235" s="287" t="str">
        <f t="shared" si="34"/>
        <v/>
      </c>
      <c r="Y235" s="287" t="str">
        <f t="shared" si="35"/>
        <v/>
      </c>
      <c r="Z235" s="317" t="str">
        <f>IFERROR(IF(OR(E235="",R235=""),"",IF(AND(Q235='G-7 WaterC'' Data'!$G$4,AA235="Yes"),"Alternative Compensation ✓",IF(AND(AA235="Pending",Q235='G-7 WaterC'' Data'!$G$4),"Bespoke compensation must be agreed ▲",IF((W235+X235)&gt;=R235,0,R235-W235-X235)))),"Check Data ⚠")</f>
        <v/>
      </c>
      <c r="AA235" s="800"/>
      <c r="AB235" s="136"/>
      <c r="AC235" s="104"/>
      <c r="AD235" s="104"/>
      <c r="AE235" s="54" t="str">
        <f>IF(OR(Q235="",AA235="Yes"),"",IF(Q235='G-1 All Habitats'!$X$9,E235-U235-V235,"None"))</f>
        <v/>
      </c>
      <c r="AF235" s="55" t="str">
        <f>IF(Q235="","",IF(Q235='G-1 All Habitats'!$X$9,AE235*G235*I235*L235*N235*P235,"None"))</f>
        <v/>
      </c>
      <c r="AI235" s="30">
        <f t="shared" si="36"/>
        <v>0</v>
      </c>
      <c r="AJ235" s="107" t="str">
        <f t="shared" si="37"/>
        <v/>
      </c>
      <c r="AK235" s="107" t="str">
        <f t="shared" si="38"/>
        <v/>
      </c>
      <c r="AM235" s="107">
        <v>226</v>
      </c>
      <c r="AO235" s="107" t="str">
        <f t="array" ref="AO235">IFERROR(INDEX($AM$10:$AM$258,MATCH(0,IF(TRUE=$AJ$10:$AJ$258,COUNTIF($AO$9:$AO234,$AM$10:$AM$258),""),0)),"")</f>
        <v/>
      </c>
      <c r="AP235" s="107" t="str">
        <f t="array" ref="AP235">IFERROR(INDEX($AM$10:$AM$258,MATCH(0,IF(TRUE=$AK$10:$AK$258,COUNTIF($AP$9:$AP234,$AM$10:$AM$258),""),0)),"")</f>
        <v/>
      </c>
      <c r="AR235" s="30" t="str">
        <f>IFERROR(INDEX('G-7 WaterC'' Data'!$AZ$3:$AZ$7,MATCH(D235,'G-7 WaterC'' Data'!$AY$3:$AY$7,0)),"")</f>
        <v/>
      </c>
      <c r="AS235" s="30" t="str">
        <f>IFERROR(INDEX('G-7 WaterC'' Data'!AZ235:AZ239,MATCH(D235,'G-7 WaterC'' Data'!$AY$10:$AY$14,0)),"")</f>
        <v/>
      </c>
      <c r="AT235" s="885" t="str">
        <f>IF(AND(OR(AA235="Yes",AA235="Pending"),Q235='G-7 WaterC'' Data'!$G$4),R235-W235-X235,"")</f>
        <v/>
      </c>
      <c r="AU235" s="30" t="str">
        <f>IF(D235="","",VLOOKUP(D235,'G-7 WaterC'' Data'!B$4:M$8,12,FALSE))</f>
        <v/>
      </c>
      <c r="AV235" s="30" t="str">
        <f t="shared" si="30"/>
        <v/>
      </c>
      <c r="AX235" s="30" t="str">
        <f t="shared" si="39"/>
        <v>No</v>
      </c>
    </row>
    <row r="236" spans="3:50" ht="14" hidden="1">
      <c r="C236" s="97">
        <v>227</v>
      </c>
      <c r="D236" s="261"/>
      <c r="E236" s="115"/>
      <c r="F236" s="275" t="str">
        <f>IF(D236="","",VLOOKUP(D236,'G-7 WaterC'' Data'!$B$2:$G$8,2,FALSE))</f>
        <v/>
      </c>
      <c r="G236" s="276" t="str">
        <f>IFERROR(VLOOKUP(F236,'G-7 WaterC'' Data'!$C$4:$D$8,2,FALSE),"")</f>
        <v/>
      </c>
      <c r="H236" s="52"/>
      <c r="I236" s="276" t="str">
        <f>IFERROR(INDEX('G-7 WaterC'' Data'!$H$4:$L$8,MATCH(D236,'G-7 WaterC'' Data'!$B$4:$B$8,0),MATCH(H236,'G-7 WaterC'' Data'!$H$3:$L$3,0)),"")</f>
        <v/>
      </c>
      <c r="J236" s="777"/>
      <c r="K236" s="311" t="str">
        <f>IF(J236="","",IF(VLOOKUP(J236,'G-7 WaterC'' Data'!$AK$4:$AM$6,2,FALSE)=0,"Spatial Data Missing ⚠",VLOOKUP(J236,'G-7 WaterC'' Data'!$AK$4:$AM$6,2,FALSE)))</f>
        <v/>
      </c>
      <c r="L236" s="281" t="str">
        <f>IF(J236="","",IF(VLOOKUP(J236,'G-7 WaterC'' Data'!$AK$4:$AM$9,3,FALSE)=0,"Spatial Data Missing ⚠",VLOOKUP(J236,'G-7 WaterC'' Data'!$AK$4:$AM$6,3,FALSE)))</f>
        <v/>
      </c>
      <c r="M236" s="52"/>
      <c r="N236" s="276" t="str">
        <f>IF(M236="","",IF(AND(D236&lt;&gt;"Culvert",M236="N/A - Culvert"),"Not possible ▲",IF(AND(D236="Culvert",M236&lt;&gt;"N/A - Culvert"),"Not possible ▲",IF(VLOOKUP(M236,'G-7 WaterC'' Data'!$AA$4:$AB$7,2,FALSE)=0,"Spatial Data Missing ⚠",VLOOKUP(M236,'G-7 WaterC'' Data'!$AA$4:$AB$7,2,FALSE)))))</f>
        <v/>
      </c>
      <c r="O236" s="56"/>
      <c r="P236" s="276" t="str">
        <f>IF(O236="","",IF(AND(O236="N/A - Culvert",D236&lt;&gt;"Culvert"),"Not possible ▲",IF(AND(D236="Culvert",O236&lt;&gt;"N/A - Culvert"),"Not possible ▲",IF(VLOOKUP(O236,'G-7 WaterC'' Data'!$AD$4:$AE$14,2,FALSE)=0,"Spatial Data Missing ⚠",VLOOKUP(O236,'G-7 WaterC'' Data'!$AD$4:$AE$14,2,FALSE)))))</f>
        <v/>
      </c>
      <c r="Q236" s="282" t="str">
        <f>IF(D236="","",VLOOKUP(D236,'G-7 WaterC'' Data'!$B$2:$G$8,6,FALSE))</f>
        <v/>
      </c>
      <c r="R236" s="289" t="str">
        <f t="shared" si="31"/>
        <v xml:space="preserve"> </v>
      </c>
      <c r="S236" s="803" t="str">
        <f t="shared" si="32"/>
        <v/>
      </c>
      <c r="T236" s="32"/>
      <c r="U236" s="101"/>
      <c r="V236" s="108"/>
      <c r="W236" s="287" t="str">
        <f t="shared" si="33"/>
        <v/>
      </c>
      <c r="X236" s="287" t="str">
        <f t="shared" si="34"/>
        <v/>
      </c>
      <c r="Y236" s="287" t="str">
        <f t="shared" si="35"/>
        <v/>
      </c>
      <c r="Z236" s="317" t="str">
        <f>IFERROR(IF(OR(E236="",R236=""),"",IF(AND(Q236='G-7 WaterC'' Data'!$G$4,AA236="Yes"),"Alternative Compensation ✓",IF(AND(AA236="Pending",Q236='G-7 WaterC'' Data'!$G$4),"Bespoke compensation must be agreed ▲",IF((W236+X236)&gt;=R236,0,R236-W236-X236)))),"Check Data ⚠")</f>
        <v/>
      </c>
      <c r="AA236" s="800"/>
      <c r="AB236" s="136"/>
      <c r="AC236" s="104"/>
      <c r="AD236" s="104"/>
      <c r="AE236" s="54" t="str">
        <f>IF(OR(Q236="",AA236="Yes"),"",IF(Q236='G-1 All Habitats'!$X$9,E236-U236-V236,"None"))</f>
        <v/>
      </c>
      <c r="AF236" s="55" t="str">
        <f>IF(Q236="","",IF(Q236='G-1 All Habitats'!$X$9,AE236*G236*I236*L236*N236*P236,"None"))</f>
        <v/>
      </c>
      <c r="AI236" s="30">
        <f t="shared" si="36"/>
        <v>0</v>
      </c>
      <c r="AJ236" s="107" t="str">
        <f t="shared" si="37"/>
        <v/>
      </c>
      <c r="AK236" s="107" t="str">
        <f t="shared" si="38"/>
        <v/>
      </c>
      <c r="AM236" s="107">
        <v>227</v>
      </c>
      <c r="AO236" s="107" t="str">
        <f t="array" ref="AO236">IFERROR(INDEX($AM$10:$AM$258,MATCH(0,IF(TRUE=$AJ$10:$AJ$258,COUNTIF($AO$9:$AO235,$AM$10:$AM$258),""),0)),"")</f>
        <v/>
      </c>
      <c r="AP236" s="107" t="str">
        <f t="array" ref="AP236">IFERROR(INDEX($AM$10:$AM$258,MATCH(0,IF(TRUE=$AK$10:$AK$258,COUNTIF($AP$9:$AP235,$AM$10:$AM$258),""),0)),"")</f>
        <v/>
      </c>
      <c r="AR236" s="30" t="str">
        <f>IFERROR(INDEX('G-7 WaterC'' Data'!$AZ$3:$AZ$7,MATCH(D236,'G-7 WaterC'' Data'!$AY$3:$AY$7,0)),"")</f>
        <v/>
      </c>
      <c r="AS236" s="30" t="str">
        <f>IFERROR(INDEX('G-7 WaterC'' Data'!AZ236:AZ240,MATCH(D236,'G-7 WaterC'' Data'!$AY$10:$AY$14,0)),"")</f>
        <v/>
      </c>
      <c r="AT236" s="885" t="str">
        <f>IF(AND(OR(AA236="Yes",AA236="Pending"),Q236='G-7 WaterC'' Data'!$G$4),R236-W236-X236,"")</f>
        <v/>
      </c>
      <c r="AU236" s="30" t="str">
        <f>IF(D236="","",VLOOKUP(D236,'G-7 WaterC'' Data'!B$4:M$8,12,FALSE))</f>
        <v/>
      </c>
      <c r="AV236" s="30" t="str">
        <f t="shared" si="30"/>
        <v/>
      </c>
      <c r="AX236" s="30" t="str">
        <f t="shared" si="39"/>
        <v>No</v>
      </c>
    </row>
    <row r="237" spans="3:50" ht="14" hidden="1">
      <c r="C237" s="97">
        <v>228</v>
      </c>
      <c r="D237" s="261"/>
      <c r="E237" s="115"/>
      <c r="F237" s="275" t="str">
        <f>IF(D237="","",VLOOKUP(D237,'G-7 WaterC'' Data'!$B$2:$G$8,2,FALSE))</f>
        <v/>
      </c>
      <c r="G237" s="276" t="str">
        <f>IFERROR(VLOOKUP(F237,'G-7 WaterC'' Data'!$C$4:$D$8,2,FALSE),"")</f>
        <v/>
      </c>
      <c r="H237" s="52"/>
      <c r="I237" s="276" t="str">
        <f>IFERROR(INDEX('G-7 WaterC'' Data'!$H$4:$L$8,MATCH(D237,'G-7 WaterC'' Data'!$B$4:$B$8,0),MATCH(H237,'G-7 WaterC'' Data'!$H$3:$L$3,0)),"")</f>
        <v/>
      </c>
      <c r="J237" s="777"/>
      <c r="K237" s="311" t="str">
        <f>IF(J237="","",IF(VLOOKUP(J237,'G-7 WaterC'' Data'!$AK$4:$AM$6,2,FALSE)=0,"Spatial Data Missing ⚠",VLOOKUP(J237,'G-7 WaterC'' Data'!$AK$4:$AM$6,2,FALSE)))</f>
        <v/>
      </c>
      <c r="L237" s="281" t="str">
        <f>IF(J237="","",IF(VLOOKUP(J237,'G-7 WaterC'' Data'!$AK$4:$AM$9,3,FALSE)=0,"Spatial Data Missing ⚠",VLOOKUP(J237,'G-7 WaterC'' Data'!$AK$4:$AM$6,3,FALSE)))</f>
        <v/>
      </c>
      <c r="M237" s="52"/>
      <c r="N237" s="276" t="str">
        <f>IF(M237="","",IF(AND(D237&lt;&gt;"Culvert",M237="N/A - Culvert"),"Not possible ▲",IF(AND(D237="Culvert",M237&lt;&gt;"N/A - Culvert"),"Not possible ▲",IF(VLOOKUP(M237,'G-7 WaterC'' Data'!$AA$4:$AB$7,2,FALSE)=0,"Spatial Data Missing ⚠",VLOOKUP(M237,'G-7 WaterC'' Data'!$AA$4:$AB$7,2,FALSE)))))</f>
        <v/>
      </c>
      <c r="O237" s="56"/>
      <c r="P237" s="276" t="str">
        <f>IF(O237="","",IF(AND(O237="N/A - Culvert",D237&lt;&gt;"Culvert"),"Not possible ▲",IF(AND(D237="Culvert",O237&lt;&gt;"N/A - Culvert"),"Not possible ▲",IF(VLOOKUP(O237,'G-7 WaterC'' Data'!$AD$4:$AE$14,2,FALSE)=0,"Spatial Data Missing ⚠",VLOOKUP(O237,'G-7 WaterC'' Data'!$AD$4:$AE$14,2,FALSE)))))</f>
        <v/>
      </c>
      <c r="Q237" s="282" t="str">
        <f>IF(D237="","",VLOOKUP(D237,'G-7 WaterC'' Data'!$B$2:$G$8,6,FALSE))</f>
        <v/>
      </c>
      <c r="R237" s="289" t="str">
        <f t="shared" si="31"/>
        <v xml:space="preserve"> </v>
      </c>
      <c r="S237" s="803" t="str">
        <f t="shared" si="32"/>
        <v/>
      </c>
      <c r="T237" s="32"/>
      <c r="U237" s="101"/>
      <c r="V237" s="108"/>
      <c r="W237" s="287" t="str">
        <f t="shared" si="33"/>
        <v/>
      </c>
      <c r="X237" s="287" t="str">
        <f t="shared" si="34"/>
        <v/>
      </c>
      <c r="Y237" s="287" t="str">
        <f t="shared" si="35"/>
        <v/>
      </c>
      <c r="Z237" s="317" t="str">
        <f>IFERROR(IF(OR(E237="",R237=""),"",IF(AND(Q237='G-7 WaterC'' Data'!$G$4,AA237="Yes"),"Alternative Compensation ✓",IF(AND(AA237="Pending",Q237='G-7 WaterC'' Data'!$G$4),"Bespoke compensation must be agreed ▲",IF((W237+X237)&gt;=R237,0,R237-W237-X237)))),"Check Data ⚠")</f>
        <v/>
      </c>
      <c r="AA237" s="800"/>
      <c r="AB237" s="136"/>
      <c r="AC237" s="104"/>
      <c r="AD237" s="104"/>
      <c r="AE237" s="54" t="str">
        <f>IF(OR(Q237="",AA237="Yes"),"",IF(Q237='G-1 All Habitats'!$X$9,E237-U237-V237,"None"))</f>
        <v/>
      </c>
      <c r="AF237" s="55" t="str">
        <f>IF(Q237="","",IF(Q237='G-1 All Habitats'!$X$9,AE237*G237*I237*L237*N237*P237,"None"))</f>
        <v/>
      </c>
      <c r="AI237" s="30">
        <f t="shared" si="36"/>
        <v>0</v>
      </c>
      <c r="AJ237" s="107" t="str">
        <f t="shared" si="37"/>
        <v/>
      </c>
      <c r="AK237" s="107" t="str">
        <f t="shared" si="38"/>
        <v/>
      </c>
      <c r="AM237" s="107">
        <v>228</v>
      </c>
      <c r="AO237" s="107" t="str">
        <f t="array" ref="AO237">IFERROR(INDEX($AM$10:$AM$258,MATCH(0,IF(TRUE=$AJ$10:$AJ$258,COUNTIF($AO$9:$AO236,$AM$10:$AM$258),""),0)),"")</f>
        <v/>
      </c>
      <c r="AP237" s="107" t="str">
        <f t="array" ref="AP237">IFERROR(INDEX($AM$10:$AM$258,MATCH(0,IF(TRUE=$AK$10:$AK$258,COUNTIF($AP$9:$AP236,$AM$10:$AM$258),""),0)),"")</f>
        <v/>
      </c>
      <c r="AR237" s="30" t="str">
        <f>IFERROR(INDEX('G-7 WaterC'' Data'!$AZ$3:$AZ$7,MATCH(D237,'G-7 WaterC'' Data'!$AY$3:$AY$7,0)),"")</f>
        <v/>
      </c>
      <c r="AS237" s="30" t="str">
        <f>IFERROR(INDEX('G-7 WaterC'' Data'!AZ237:AZ241,MATCH(D237,'G-7 WaterC'' Data'!$AY$10:$AY$14,0)),"")</f>
        <v/>
      </c>
      <c r="AT237" s="885" t="str">
        <f>IF(AND(OR(AA237="Yes",AA237="Pending"),Q237='G-7 WaterC'' Data'!$G$4),R237-W237-X237,"")</f>
        <v/>
      </c>
      <c r="AU237" s="30" t="str">
        <f>IF(D237="","",VLOOKUP(D237,'G-7 WaterC'' Data'!B$4:M$8,12,FALSE))</f>
        <v/>
      </c>
      <c r="AV237" s="30" t="str">
        <f t="shared" si="30"/>
        <v/>
      </c>
      <c r="AX237" s="30" t="str">
        <f t="shared" si="39"/>
        <v>No</v>
      </c>
    </row>
    <row r="238" spans="3:50" ht="14" hidden="1">
      <c r="C238" s="97">
        <v>229</v>
      </c>
      <c r="D238" s="261"/>
      <c r="E238" s="115"/>
      <c r="F238" s="275" t="str">
        <f>IF(D238="","",VLOOKUP(D238,'G-7 WaterC'' Data'!$B$2:$G$8,2,FALSE))</f>
        <v/>
      </c>
      <c r="G238" s="276" t="str">
        <f>IFERROR(VLOOKUP(F238,'G-7 WaterC'' Data'!$C$4:$D$8,2,FALSE),"")</f>
        <v/>
      </c>
      <c r="H238" s="52"/>
      <c r="I238" s="276" t="str">
        <f>IFERROR(INDEX('G-7 WaterC'' Data'!$H$4:$L$8,MATCH(D238,'G-7 WaterC'' Data'!$B$4:$B$8,0),MATCH(H238,'G-7 WaterC'' Data'!$H$3:$L$3,0)),"")</f>
        <v/>
      </c>
      <c r="J238" s="777"/>
      <c r="K238" s="311" t="str">
        <f>IF(J238="","",IF(VLOOKUP(J238,'G-7 WaterC'' Data'!$AK$4:$AM$6,2,FALSE)=0,"Spatial Data Missing ⚠",VLOOKUP(J238,'G-7 WaterC'' Data'!$AK$4:$AM$6,2,FALSE)))</f>
        <v/>
      </c>
      <c r="L238" s="281" t="str">
        <f>IF(J238="","",IF(VLOOKUP(J238,'G-7 WaterC'' Data'!$AK$4:$AM$9,3,FALSE)=0,"Spatial Data Missing ⚠",VLOOKUP(J238,'G-7 WaterC'' Data'!$AK$4:$AM$6,3,FALSE)))</f>
        <v/>
      </c>
      <c r="M238" s="52"/>
      <c r="N238" s="276" t="str">
        <f>IF(M238="","",IF(AND(D238&lt;&gt;"Culvert",M238="N/A - Culvert"),"Not possible ▲",IF(AND(D238="Culvert",M238&lt;&gt;"N/A - Culvert"),"Not possible ▲",IF(VLOOKUP(M238,'G-7 WaterC'' Data'!$AA$4:$AB$7,2,FALSE)=0,"Spatial Data Missing ⚠",VLOOKUP(M238,'G-7 WaterC'' Data'!$AA$4:$AB$7,2,FALSE)))))</f>
        <v/>
      </c>
      <c r="O238" s="56"/>
      <c r="P238" s="276" t="str">
        <f>IF(O238="","",IF(AND(O238="N/A - Culvert",D238&lt;&gt;"Culvert"),"Not possible ▲",IF(AND(D238="Culvert",O238&lt;&gt;"N/A - Culvert"),"Not possible ▲",IF(VLOOKUP(O238,'G-7 WaterC'' Data'!$AD$4:$AE$14,2,FALSE)=0,"Spatial Data Missing ⚠",VLOOKUP(O238,'G-7 WaterC'' Data'!$AD$4:$AE$14,2,FALSE)))))</f>
        <v/>
      </c>
      <c r="Q238" s="282" t="str">
        <f>IF(D238="","",VLOOKUP(D238,'G-7 WaterC'' Data'!$B$2:$G$8,6,FALSE))</f>
        <v/>
      </c>
      <c r="R238" s="289" t="str">
        <f t="shared" si="31"/>
        <v xml:space="preserve"> </v>
      </c>
      <c r="S238" s="803" t="str">
        <f t="shared" si="32"/>
        <v/>
      </c>
      <c r="T238" s="32"/>
      <c r="U238" s="101"/>
      <c r="V238" s="108"/>
      <c r="W238" s="287" t="str">
        <f t="shared" si="33"/>
        <v/>
      </c>
      <c r="X238" s="287" t="str">
        <f t="shared" si="34"/>
        <v/>
      </c>
      <c r="Y238" s="287" t="str">
        <f t="shared" si="35"/>
        <v/>
      </c>
      <c r="Z238" s="317" t="str">
        <f>IFERROR(IF(OR(E238="",R238=""),"",IF(AND(Q238='G-7 WaterC'' Data'!$G$4,AA238="Yes"),"Alternative Compensation ✓",IF(AND(AA238="Pending",Q238='G-7 WaterC'' Data'!$G$4),"Bespoke compensation must be agreed ▲",IF((W238+X238)&gt;=R238,0,R238-W238-X238)))),"Check Data ⚠")</f>
        <v/>
      </c>
      <c r="AA238" s="800"/>
      <c r="AB238" s="136"/>
      <c r="AC238" s="104"/>
      <c r="AD238" s="104"/>
      <c r="AE238" s="54" t="str">
        <f>IF(OR(Q238="",AA238="Yes"),"",IF(Q238='G-1 All Habitats'!$X$9,E238-U238-V238,"None"))</f>
        <v/>
      </c>
      <c r="AF238" s="55" t="str">
        <f>IF(Q238="","",IF(Q238='G-1 All Habitats'!$X$9,AE238*G238*I238*L238*N238*P238,"None"))</f>
        <v/>
      </c>
      <c r="AI238" s="30">
        <f t="shared" si="36"/>
        <v>0</v>
      </c>
      <c r="AJ238" s="107" t="str">
        <f t="shared" si="37"/>
        <v/>
      </c>
      <c r="AK238" s="107" t="str">
        <f t="shared" si="38"/>
        <v/>
      </c>
      <c r="AM238" s="107">
        <v>229</v>
      </c>
      <c r="AO238" s="107" t="str">
        <f t="array" ref="AO238">IFERROR(INDEX($AM$10:$AM$258,MATCH(0,IF(TRUE=$AJ$10:$AJ$258,COUNTIF($AO$9:$AO237,$AM$10:$AM$258),""),0)),"")</f>
        <v/>
      </c>
      <c r="AP238" s="107" t="str">
        <f t="array" ref="AP238">IFERROR(INDEX($AM$10:$AM$258,MATCH(0,IF(TRUE=$AK$10:$AK$258,COUNTIF($AP$9:$AP237,$AM$10:$AM$258),""),0)),"")</f>
        <v/>
      </c>
      <c r="AR238" s="30" t="str">
        <f>IFERROR(INDEX('G-7 WaterC'' Data'!$AZ$3:$AZ$7,MATCH(D238,'G-7 WaterC'' Data'!$AY$3:$AY$7,0)),"")</f>
        <v/>
      </c>
      <c r="AS238" s="30" t="str">
        <f>IFERROR(INDEX('G-7 WaterC'' Data'!AZ238:AZ242,MATCH(D238,'G-7 WaterC'' Data'!$AY$10:$AY$14,0)),"")</f>
        <v/>
      </c>
      <c r="AT238" s="885" t="str">
        <f>IF(AND(OR(AA238="Yes",AA238="Pending"),Q238='G-7 WaterC'' Data'!$G$4),R238-W238-X238,"")</f>
        <v/>
      </c>
      <c r="AU238" s="30" t="str">
        <f>IF(D238="","",VLOOKUP(D238,'G-7 WaterC'' Data'!B$4:M$8,12,FALSE))</f>
        <v/>
      </c>
      <c r="AV238" s="30" t="str">
        <f t="shared" si="30"/>
        <v/>
      </c>
      <c r="AX238" s="30" t="str">
        <f t="shared" si="39"/>
        <v>No</v>
      </c>
    </row>
    <row r="239" spans="3:50" ht="14" hidden="1">
      <c r="C239" s="97">
        <v>230</v>
      </c>
      <c r="D239" s="261"/>
      <c r="E239" s="115"/>
      <c r="F239" s="275" t="str">
        <f>IF(D239="","",VLOOKUP(D239,'G-7 WaterC'' Data'!$B$2:$G$8,2,FALSE))</f>
        <v/>
      </c>
      <c r="G239" s="276" t="str">
        <f>IFERROR(VLOOKUP(F239,'G-7 WaterC'' Data'!$C$4:$D$8,2,FALSE),"")</f>
        <v/>
      </c>
      <c r="H239" s="52"/>
      <c r="I239" s="276" t="str">
        <f>IFERROR(INDEX('G-7 WaterC'' Data'!$H$4:$L$8,MATCH(D239,'G-7 WaterC'' Data'!$B$4:$B$8,0),MATCH(H239,'G-7 WaterC'' Data'!$H$3:$L$3,0)),"")</f>
        <v/>
      </c>
      <c r="J239" s="777"/>
      <c r="K239" s="311" t="str">
        <f>IF(J239="","",IF(VLOOKUP(J239,'G-7 WaterC'' Data'!$AK$4:$AM$6,2,FALSE)=0,"Spatial Data Missing ⚠",VLOOKUP(J239,'G-7 WaterC'' Data'!$AK$4:$AM$6,2,FALSE)))</f>
        <v/>
      </c>
      <c r="L239" s="281" t="str">
        <f>IF(J239="","",IF(VLOOKUP(J239,'G-7 WaterC'' Data'!$AK$4:$AM$9,3,FALSE)=0,"Spatial Data Missing ⚠",VLOOKUP(J239,'G-7 WaterC'' Data'!$AK$4:$AM$6,3,FALSE)))</f>
        <v/>
      </c>
      <c r="M239" s="52"/>
      <c r="N239" s="276" t="str">
        <f>IF(M239="","",IF(AND(D239&lt;&gt;"Culvert",M239="N/A - Culvert"),"Not possible ▲",IF(AND(D239="Culvert",M239&lt;&gt;"N/A - Culvert"),"Not possible ▲",IF(VLOOKUP(M239,'G-7 WaterC'' Data'!$AA$4:$AB$7,2,FALSE)=0,"Spatial Data Missing ⚠",VLOOKUP(M239,'G-7 WaterC'' Data'!$AA$4:$AB$7,2,FALSE)))))</f>
        <v/>
      </c>
      <c r="O239" s="56"/>
      <c r="P239" s="276" t="str">
        <f>IF(O239="","",IF(AND(O239="N/A - Culvert",D239&lt;&gt;"Culvert"),"Not possible ▲",IF(AND(D239="Culvert",O239&lt;&gt;"N/A - Culvert"),"Not possible ▲",IF(VLOOKUP(O239,'G-7 WaterC'' Data'!$AD$4:$AE$14,2,FALSE)=0,"Spatial Data Missing ⚠",VLOOKUP(O239,'G-7 WaterC'' Data'!$AD$4:$AE$14,2,FALSE)))))</f>
        <v/>
      </c>
      <c r="Q239" s="282" t="str">
        <f>IF(D239="","",VLOOKUP(D239,'G-7 WaterC'' Data'!$B$2:$G$8,6,FALSE))</f>
        <v/>
      </c>
      <c r="R239" s="289" t="str">
        <f t="shared" si="31"/>
        <v xml:space="preserve"> </v>
      </c>
      <c r="S239" s="803" t="str">
        <f t="shared" si="32"/>
        <v/>
      </c>
      <c r="T239" s="32"/>
      <c r="U239" s="101"/>
      <c r="V239" s="108"/>
      <c r="W239" s="287" t="str">
        <f t="shared" si="33"/>
        <v/>
      </c>
      <c r="X239" s="287" t="str">
        <f t="shared" si="34"/>
        <v/>
      </c>
      <c r="Y239" s="287" t="str">
        <f t="shared" si="35"/>
        <v/>
      </c>
      <c r="Z239" s="317" t="str">
        <f>IFERROR(IF(OR(E239="",R239=""),"",IF(AND(Q239='G-7 WaterC'' Data'!$G$4,AA239="Yes"),"Alternative Compensation ✓",IF(AND(AA239="Pending",Q239='G-7 WaterC'' Data'!$G$4),"Bespoke compensation must be agreed ▲",IF((W239+X239)&gt;=R239,0,R239-W239-X239)))),"Check Data ⚠")</f>
        <v/>
      </c>
      <c r="AA239" s="800"/>
      <c r="AB239" s="136"/>
      <c r="AC239" s="104"/>
      <c r="AD239" s="104"/>
      <c r="AE239" s="54" t="str">
        <f>IF(OR(Q239="",AA239="Yes"),"",IF(Q239='G-1 All Habitats'!$X$9,E239-U239-V239,"None"))</f>
        <v/>
      </c>
      <c r="AF239" s="55" t="str">
        <f>IF(Q239="","",IF(Q239='G-1 All Habitats'!$X$9,AE239*G239*I239*L239*N239*P239,"None"))</f>
        <v/>
      </c>
      <c r="AI239" s="30">
        <f t="shared" si="36"/>
        <v>0</v>
      </c>
      <c r="AJ239" s="107" t="str">
        <f t="shared" si="37"/>
        <v/>
      </c>
      <c r="AK239" s="107" t="str">
        <f t="shared" si="38"/>
        <v/>
      </c>
      <c r="AM239" s="107">
        <v>230</v>
      </c>
      <c r="AO239" s="107" t="str">
        <f t="array" ref="AO239">IFERROR(INDEX($AM$10:$AM$258,MATCH(0,IF(TRUE=$AJ$10:$AJ$258,COUNTIF($AO$9:$AO238,$AM$10:$AM$258),""),0)),"")</f>
        <v/>
      </c>
      <c r="AP239" s="107" t="str">
        <f t="array" ref="AP239">IFERROR(INDEX($AM$10:$AM$258,MATCH(0,IF(TRUE=$AK$10:$AK$258,COUNTIF($AP$9:$AP238,$AM$10:$AM$258),""),0)),"")</f>
        <v/>
      </c>
      <c r="AR239" s="30" t="str">
        <f>IFERROR(INDEX('G-7 WaterC'' Data'!$AZ$3:$AZ$7,MATCH(D239,'G-7 WaterC'' Data'!$AY$3:$AY$7,0)),"")</f>
        <v/>
      </c>
      <c r="AS239" s="30" t="str">
        <f>IFERROR(INDEX('G-7 WaterC'' Data'!AZ239:AZ243,MATCH(D239,'G-7 WaterC'' Data'!$AY$10:$AY$14,0)),"")</f>
        <v/>
      </c>
      <c r="AT239" s="885" t="str">
        <f>IF(AND(OR(AA239="Yes",AA239="Pending"),Q239='G-7 WaterC'' Data'!$G$4),R239-W239-X239,"")</f>
        <v/>
      </c>
      <c r="AU239" s="30" t="str">
        <f>IF(D239="","",VLOOKUP(D239,'G-7 WaterC'' Data'!B$4:M$8,12,FALSE))</f>
        <v/>
      </c>
      <c r="AV239" s="30" t="str">
        <f t="shared" si="30"/>
        <v/>
      </c>
      <c r="AX239" s="30" t="str">
        <f t="shared" si="39"/>
        <v>No</v>
      </c>
    </row>
    <row r="240" spans="3:50" ht="14" hidden="1">
      <c r="C240" s="97">
        <v>231</v>
      </c>
      <c r="D240" s="261"/>
      <c r="E240" s="115"/>
      <c r="F240" s="275" t="str">
        <f>IF(D240="","",VLOOKUP(D240,'G-7 WaterC'' Data'!$B$2:$G$8,2,FALSE))</f>
        <v/>
      </c>
      <c r="G240" s="276" t="str">
        <f>IFERROR(VLOOKUP(F240,'G-7 WaterC'' Data'!$C$4:$D$8,2,FALSE),"")</f>
        <v/>
      </c>
      <c r="H240" s="52"/>
      <c r="I240" s="276" t="str">
        <f>IFERROR(INDEX('G-7 WaterC'' Data'!$H$4:$L$8,MATCH(D240,'G-7 WaterC'' Data'!$B$4:$B$8,0),MATCH(H240,'G-7 WaterC'' Data'!$H$3:$L$3,0)),"")</f>
        <v/>
      </c>
      <c r="J240" s="777"/>
      <c r="K240" s="311" t="str">
        <f>IF(J240="","",IF(VLOOKUP(J240,'G-7 WaterC'' Data'!$AK$4:$AM$6,2,FALSE)=0,"Spatial Data Missing ⚠",VLOOKUP(J240,'G-7 WaterC'' Data'!$AK$4:$AM$6,2,FALSE)))</f>
        <v/>
      </c>
      <c r="L240" s="281" t="str">
        <f>IF(J240="","",IF(VLOOKUP(J240,'G-7 WaterC'' Data'!$AK$4:$AM$9,3,FALSE)=0,"Spatial Data Missing ⚠",VLOOKUP(J240,'G-7 WaterC'' Data'!$AK$4:$AM$6,3,FALSE)))</f>
        <v/>
      </c>
      <c r="M240" s="52"/>
      <c r="N240" s="276" t="str">
        <f>IF(M240="","",IF(AND(D240&lt;&gt;"Culvert",M240="N/A - Culvert"),"Not possible ▲",IF(AND(D240="Culvert",M240&lt;&gt;"N/A - Culvert"),"Not possible ▲",IF(VLOOKUP(M240,'G-7 WaterC'' Data'!$AA$4:$AB$7,2,FALSE)=0,"Spatial Data Missing ⚠",VLOOKUP(M240,'G-7 WaterC'' Data'!$AA$4:$AB$7,2,FALSE)))))</f>
        <v/>
      </c>
      <c r="O240" s="56"/>
      <c r="P240" s="276" t="str">
        <f>IF(O240="","",IF(AND(O240="N/A - Culvert",D240&lt;&gt;"Culvert"),"Not possible ▲",IF(AND(D240="Culvert",O240&lt;&gt;"N/A - Culvert"),"Not possible ▲",IF(VLOOKUP(O240,'G-7 WaterC'' Data'!$AD$4:$AE$14,2,FALSE)=0,"Spatial Data Missing ⚠",VLOOKUP(O240,'G-7 WaterC'' Data'!$AD$4:$AE$14,2,FALSE)))))</f>
        <v/>
      </c>
      <c r="Q240" s="282" t="str">
        <f>IF(D240="","",VLOOKUP(D240,'G-7 WaterC'' Data'!$B$2:$G$8,6,FALSE))</f>
        <v/>
      </c>
      <c r="R240" s="289" t="str">
        <f t="shared" si="31"/>
        <v xml:space="preserve"> </v>
      </c>
      <c r="S240" s="803" t="str">
        <f t="shared" si="32"/>
        <v/>
      </c>
      <c r="T240" s="32"/>
      <c r="U240" s="101"/>
      <c r="V240" s="108"/>
      <c r="W240" s="287" t="str">
        <f t="shared" si="33"/>
        <v/>
      </c>
      <c r="X240" s="287" t="str">
        <f t="shared" si="34"/>
        <v/>
      </c>
      <c r="Y240" s="287" t="str">
        <f t="shared" si="35"/>
        <v/>
      </c>
      <c r="Z240" s="317" t="str">
        <f>IFERROR(IF(OR(E240="",R240=""),"",IF(AND(Q240='G-7 WaterC'' Data'!$G$4,AA240="Yes"),"Alternative Compensation ✓",IF(AND(AA240="Pending",Q240='G-7 WaterC'' Data'!$G$4),"Bespoke compensation must be agreed ▲",IF((W240+X240)&gt;=R240,0,R240-W240-X240)))),"Check Data ⚠")</f>
        <v/>
      </c>
      <c r="AA240" s="800"/>
      <c r="AB240" s="136"/>
      <c r="AC240" s="104"/>
      <c r="AD240" s="104"/>
      <c r="AE240" s="54" t="str">
        <f>IF(OR(Q240="",AA240="Yes"),"",IF(Q240='G-1 All Habitats'!$X$9,E240-U240-V240,"None"))</f>
        <v/>
      </c>
      <c r="AF240" s="55" t="str">
        <f>IF(Q240="","",IF(Q240='G-1 All Habitats'!$X$9,AE240*G240*I240*L240*N240*P240,"None"))</f>
        <v/>
      </c>
      <c r="AI240" s="30">
        <f t="shared" si="36"/>
        <v>0</v>
      </c>
      <c r="AJ240" s="107" t="str">
        <f t="shared" si="37"/>
        <v/>
      </c>
      <c r="AK240" s="107" t="str">
        <f t="shared" si="38"/>
        <v/>
      </c>
      <c r="AM240" s="107">
        <v>231</v>
      </c>
      <c r="AO240" s="107" t="str">
        <f t="array" ref="AO240">IFERROR(INDEX($AM$10:$AM$258,MATCH(0,IF(TRUE=$AJ$10:$AJ$258,COUNTIF($AO$9:$AO239,$AM$10:$AM$258),""),0)),"")</f>
        <v/>
      </c>
      <c r="AP240" s="107" t="str">
        <f t="array" ref="AP240">IFERROR(INDEX($AM$10:$AM$258,MATCH(0,IF(TRUE=$AK$10:$AK$258,COUNTIF($AP$9:$AP239,$AM$10:$AM$258),""),0)),"")</f>
        <v/>
      </c>
      <c r="AR240" s="30" t="str">
        <f>IFERROR(INDEX('G-7 WaterC'' Data'!$AZ$3:$AZ$7,MATCH(D240,'G-7 WaterC'' Data'!$AY$3:$AY$7,0)),"")</f>
        <v/>
      </c>
      <c r="AS240" s="30" t="str">
        <f>IFERROR(INDEX('G-7 WaterC'' Data'!AZ240:AZ244,MATCH(D240,'G-7 WaterC'' Data'!$AY$10:$AY$14,0)),"")</f>
        <v/>
      </c>
      <c r="AT240" s="885" t="str">
        <f>IF(AND(OR(AA240="Yes",AA240="Pending"),Q240='G-7 WaterC'' Data'!$G$4),R240-W240-X240,"")</f>
        <v/>
      </c>
      <c r="AU240" s="30" t="str">
        <f>IF(D240="","",VLOOKUP(D240,'G-7 WaterC'' Data'!B$4:M$8,12,FALSE))</f>
        <v/>
      </c>
      <c r="AV240" s="30" t="str">
        <f t="shared" si="30"/>
        <v/>
      </c>
      <c r="AX240" s="30" t="str">
        <f t="shared" si="39"/>
        <v>No</v>
      </c>
    </row>
    <row r="241" spans="3:50" ht="14" hidden="1">
      <c r="C241" s="97">
        <v>232</v>
      </c>
      <c r="D241" s="261"/>
      <c r="E241" s="115"/>
      <c r="F241" s="275" t="str">
        <f>IF(D241="","",VLOOKUP(D241,'G-7 WaterC'' Data'!$B$2:$G$8,2,FALSE))</f>
        <v/>
      </c>
      <c r="G241" s="276" t="str">
        <f>IFERROR(VLOOKUP(F241,'G-7 WaterC'' Data'!$C$4:$D$8,2,FALSE),"")</f>
        <v/>
      </c>
      <c r="H241" s="52"/>
      <c r="I241" s="276" t="str">
        <f>IFERROR(INDEX('G-7 WaterC'' Data'!$H$4:$L$8,MATCH(D241,'G-7 WaterC'' Data'!$B$4:$B$8,0),MATCH(H241,'G-7 WaterC'' Data'!$H$3:$L$3,0)),"")</f>
        <v/>
      </c>
      <c r="J241" s="777"/>
      <c r="K241" s="311" t="str">
        <f>IF(J241="","",IF(VLOOKUP(J241,'G-7 WaterC'' Data'!$AK$4:$AM$6,2,FALSE)=0,"Spatial Data Missing ⚠",VLOOKUP(J241,'G-7 WaterC'' Data'!$AK$4:$AM$6,2,FALSE)))</f>
        <v/>
      </c>
      <c r="L241" s="281" t="str">
        <f>IF(J241="","",IF(VLOOKUP(J241,'G-7 WaterC'' Data'!$AK$4:$AM$9,3,FALSE)=0,"Spatial Data Missing ⚠",VLOOKUP(J241,'G-7 WaterC'' Data'!$AK$4:$AM$6,3,FALSE)))</f>
        <v/>
      </c>
      <c r="M241" s="52"/>
      <c r="N241" s="276" t="str">
        <f>IF(M241="","",IF(AND(D241&lt;&gt;"Culvert",M241="N/A - Culvert"),"Not possible ▲",IF(AND(D241="Culvert",M241&lt;&gt;"N/A - Culvert"),"Not possible ▲",IF(VLOOKUP(M241,'G-7 WaterC'' Data'!$AA$4:$AB$7,2,FALSE)=0,"Spatial Data Missing ⚠",VLOOKUP(M241,'G-7 WaterC'' Data'!$AA$4:$AB$7,2,FALSE)))))</f>
        <v/>
      </c>
      <c r="O241" s="56"/>
      <c r="P241" s="276" t="str">
        <f>IF(O241="","",IF(AND(O241="N/A - Culvert",D241&lt;&gt;"Culvert"),"Not possible ▲",IF(AND(D241="Culvert",O241&lt;&gt;"N/A - Culvert"),"Not possible ▲",IF(VLOOKUP(O241,'G-7 WaterC'' Data'!$AD$4:$AE$14,2,FALSE)=0,"Spatial Data Missing ⚠",VLOOKUP(O241,'G-7 WaterC'' Data'!$AD$4:$AE$14,2,FALSE)))))</f>
        <v/>
      </c>
      <c r="Q241" s="282" t="str">
        <f>IF(D241="","",VLOOKUP(D241,'G-7 WaterC'' Data'!$B$2:$G$8,6,FALSE))</f>
        <v/>
      </c>
      <c r="R241" s="289" t="str">
        <f t="shared" si="31"/>
        <v xml:space="preserve"> </v>
      </c>
      <c r="S241" s="803" t="str">
        <f t="shared" si="32"/>
        <v/>
      </c>
      <c r="T241" s="32"/>
      <c r="U241" s="101"/>
      <c r="V241" s="108"/>
      <c r="W241" s="287" t="str">
        <f t="shared" si="33"/>
        <v/>
      </c>
      <c r="X241" s="287" t="str">
        <f t="shared" si="34"/>
        <v/>
      </c>
      <c r="Y241" s="287" t="str">
        <f t="shared" si="35"/>
        <v/>
      </c>
      <c r="Z241" s="317" t="str">
        <f>IFERROR(IF(OR(E241="",R241=""),"",IF(AND(Q241='G-7 WaterC'' Data'!$G$4,AA241="Yes"),"Alternative Compensation ✓",IF(AND(AA241="Pending",Q241='G-7 WaterC'' Data'!$G$4),"Bespoke compensation must be agreed ▲",IF((W241+X241)&gt;=R241,0,R241-W241-X241)))),"Check Data ⚠")</f>
        <v/>
      </c>
      <c r="AA241" s="800"/>
      <c r="AB241" s="136"/>
      <c r="AC241" s="104"/>
      <c r="AD241" s="104"/>
      <c r="AE241" s="54" t="str">
        <f>IF(OR(Q241="",AA241="Yes"),"",IF(Q241='G-1 All Habitats'!$X$9,E241-U241-V241,"None"))</f>
        <v/>
      </c>
      <c r="AF241" s="55" t="str">
        <f>IF(Q241="","",IF(Q241='G-1 All Habitats'!$X$9,AE241*G241*I241*L241*N241*P241,"None"))</f>
        <v/>
      </c>
      <c r="AI241" s="30">
        <f t="shared" si="36"/>
        <v>0</v>
      </c>
      <c r="AJ241" s="107" t="str">
        <f t="shared" si="37"/>
        <v/>
      </c>
      <c r="AK241" s="107" t="str">
        <f t="shared" si="38"/>
        <v/>
      </c>
      <c r="AM241" s="107">
        <v>232</v>
      </c>
      <c r="AO241" s="107" t="str">
        <f t="array" ref="AO241">IFERROR(INDEX($AM$10:$AM$258,MATCH(0,IF(TRUE=$AJ$10:$AJ$258,COUNTIF($AO$9:$AO240,$AM$10:$AM$258),""),0)),"")</f>
        <v/>
      </c>
      <c r="AP241" s="107" t="str">
        <f t="array" ref="AP241">IFERROR(INDEX($AM$10:$AM$258,MATCH(0,IF(TRUE=$AK$10:$AK$258,COUNTIF($AP$9:$AP240,$AM$10:$AM$258),""),0)),"")</f>
        <v/>
      </c>
      <c r="AR241" s="30" t="str">
        <f>IFERROR(INDEX('G-7 WaterC'' Data'!$AZ$3:$AZ$7,MATCH(D241,'G-7 WaterC'' Data'!$AY$3:$AY$7,0)),"")</f>
        <v/>
      </c>
      <c r="AS241" s="30" t="str">
        <f>IFERROR(INDEX('G-7 WaterC'' Data'!AZ241:AZ245,MATCH(D241,'G-7 WaterC'' Data'!$AY$10:$AY$14,0)),"")</f>
        <v/>
      </c>
      <c r="AT241" s="885" t="str">
        <f>IF(AND(OR(AA241="Yes",AA241="Pending"),Q241='G-7 WaterC'' Data'!$G$4),R241-W241-X241,"")</f>
        <v/>
      </c>
      <c r="AU241" s="30" t="str">
        <f>IF(D241="","",VLOOKUP(D241,'G-7 WaterC'' Data'!B$4:M$8,12,FALSE))</f>
        <v/>
      </c>
      <c r="AV241" s="30" t="str">
        <f t="shared" si="30"/>
        <v/>
      </c>
      <c r="AX241" s="30" t="str">
        <f t="shared" si="39"/>
        <v>No</v>
      </c>
    </row>
    <row r="242" spans="3:50" ht="14" hidden="1">
      <c r="C242" s="97">
        <v>233</v>
      </c>
      <c r="D242" s="261"/>
      <c r="E242" s="115"/>
      <c r="F242" s="275" t="str">
        <f>IF(D242="","",VLOOKUP(D242,'G-7 WaterC'' Data'!$B$2:$G$8,2,FALSE))</f>
        <v/>
      </c>
      <c r="G242" s="276" t="str">
        <f>IFERROR(VLOOKUP(F242,'G-7 WaterC'' Data'!$C$4:$D$8,2,FALSE),"")</f>
        <v/>
      </c>
      <c r="H242" s="52"/>
      <c r="I242" s="276" t="str">
        <f>IFERROR(INDEX('G-7 WaterC'' Data'!$H$4:$L$8,MATCH(D242,'G-7 WaterC'' Data'!$B$4:$B$8,0),MATCH(H242,'G-7 WaterC'' Data'!$H$3:$L$3,0)),"")</f>
        <v/>
      </c>
      <c r="J242" s="777"/>
      <c r="K242" s="311" t="str">
        <f>IF(J242="","",IF(VLOOKUP(J242,'G-7 WaterC'' Data'!$AK$4:$AM$6,2,FALSE)=0,"Spatial Data Missing ⚠",VLOOKUP(J242,'G-7 WaterC'' Data'!$AK$4:$AM$6,2,FALSE)))</f>
        <v/>
      </c>
      <c r="L242" s="281" t="str">
        <f>IF(J242="","",IF(VLOOKUP(J242,'G-7 WaterC'' Data'!$AK$4:$AM$9,3,FALSE)=0,"Spatial Data Missing ⚠",VLOOKUP(J242,'G-7 WaterC'' Data'!$AK$4:$AM$6,3,FALSE)))</f>
        <v/>
      </c>
      <c r="M242" s="52"/>
      <c r="N242" s="276" t="str">
        <f>IF(M242="","",IF(AND(D242&lt;&gt;"Culvert",M242="N/A - Culvert"),"Not possible ▲",IF(AND(D242="Culvert",M242&lt;&gt;"N/A - Culvert"),"Not possible ▲",IF(VLOOKUP(M242,'G-7 WaterC'' Data'!$AA$4:$AB$7,2,FALSE)=0,"Spatial Data Missing ⚠",VLOOKUP(M242,'G-7 WaterC'' Data'!$AA$4:$AB$7,2,FALSE)))))</f>
        <v/>
      </c>
      <c r="O242" s="56"/>
      <c r="P242" s="276" t="str">
        <f>IF(O242="","",IF(AND(O242="N/A - Culvert",D242&lt;&gt;"Culvert"),"Not possible ▲",IF(AND(D242="Culvert",O242&lt;&gt;"N/A - Culvert"),"Not possible ▲",IF(VLOOKUP(O242,'G-7 WaterC'' Data'!$AD$4:$AE$14,2,FALSE)=0,"Spatial Data Missing ⚠",VLOOKUP(O242,'G-7 WaterC'' Data'!$AD$4:$AE$14,2,FALSE)))))</f>
        <v/>
      </c>
      <c r="Q242" s="282" t="str">
        <f>IF(D242="","",VLOOKUP(D242,'G-7 WaterC'' Data'!$B$2:$G$8,6,FALSE))</f>
        <v/>
      </c>
      <c r="R242" s="289" t="str">
        <f t="shared" si="31"/>
        <v xml:space="preserve"> </v>
      </c>
      <c r="S242" s="803" t="str">
        <f t="shared" si="32"/>
        <v/>
      </c>
      <c r="T242" s="32"/>
      <c r="U242" s="101"/>
      <c r="V242" s="108"/>
      <c r="W242" s="287" t="str">
        <f t="shared" si="33"/>
        <v/>
      </c>
      <c r="X242" s="287" t="str">
        <f t="shared" si="34"/>
        <v/>
      </c>
      <c r="Y242" s="287" t="str">
        <f t="shared" si="35"/>
        <v/>
      </c>
      <c r="Z242" s="317" t="str">
        <f>IFERROR(IF(OR(E242="",R242=""),"",IF(AND(Q242='G-7 WaterC'' Data'!$G$4,AA242="Yes"),"Alternative Compensation ✓",IF(AND(AA242="Pending",Q242='G-7 WaterC'' Data'!$G$4),"Bespoke compensation must be agreed ▲",IF((W242+X242)&gt;=R242,0,R242-W242-X242)))),"Check Data ⚠")</f>
        <v/>
      </c>
      <c r="AA242" s="800"/>
      <c r="AB242" s="136"/>
      <c r="AC242" s="104"/>
      <c r="AD242" s="104"/>
      <c r="AE242" s="54" t="str">
        <f>IF(OR(Q242="",AA242="Yes"),"",IF(Q242='G-1 All Habitats'!$X$9,E242-U242-V242,"None"))</f>
        <v/>
      </c>
      <c r="AF242" s="55" t="str">
        <f>IF(Q242="","",IF(Q242='G-1 All Habitats'!$X$9,AE242*G242*I242*L242*N242*P242,"None"))</f>
        <v/>
      </c>
      <c r="AI242" s="30">
        <f t="shared" si="36"/>
        <v>0</v>
      </c>
      <c r="AJ242" s="107" t="str">
        <f t="shared" si="37"/>
        <v/>
      </c>
      <c r="AK242" s="107" t="str">
        <f t="shared" si="38"/>
        <v/>
      </c>
      <c r="AM242" s="107">
        <v>233</v>
      </c>
      <c r="AO242" s="107" t="str">
        <f t="array" ref="AO242">IFERROR(INDEX($AM$10:$AM$258,MATCH(0,IF(TRUE=$AJ$10:$AJ$258,COUNTIF($AO$9:$AO241,$AM$10:$AM$258),""),0)),"")</f>
        <v/>
      </c>
      <c r="AP242" s="107" t="str">
        <f t="array" ref="AP242">IFERROR(INDEX($AM$10:$AM$258,MATCH(0,IF(TRUE=$AK$10:$AK$258,COUNTIF($AP$9:$AP241,$AM$10:$AM$258),""),0)),"")</f>
        <v/>
      </c>
      <c r="AR242" s="30" t="str">
        <f>IFERROR(INDEX('G-7 WaterC'' Data'!$AZ$3:$AZ$7,MATCH(D242,'G-7 WaterC'' Data'!$AY$3:$AY$7,0)),"")</f>
        <v/>
      </c>
      <c r="AS242" s="30" t="str">
        <f>IFERROR(INDEX('G-7 WaterC'' Data'!AZ242:AZ246,MATCH(D242,'G-7 WaterC'' Data'!$AY$10:$AY$14,0)),"")</f>
        <v/>
      </c>
      <c r="AT242" s="885" t="str">
        <f>IF(AND(OR(AA242="Yes",AA242="Pending"),Q242='G-7 WaterC'' Data'!$G$4),R242-W242-X242,"")</f>
        <v/>
      </c>
      <c r="AU242" s="30" t="str">
        <f>IF(D242="","",VLOOKUP(D242,'G-7 WaterC'' Data'!B$4:M$8,12,FALSE))</f>
        <v/>
      </c>
      <c r="AV242" s="30" t="str">
        <f t="shared" si="30"/>
        <v/>
      </c>
      <c r="AX242" s="30" t="str">
        <f t="shared" si="39"/>
        <v>No</v>
      </c>
    </row>
    <row r="243" spans="3:50" ht="14" hidden="1">
      <c r="C243" s="97">
        <v>234</v>
      </c>
      <c r="D243" s="261"/>
      <c r="E243" s="115"/>
      <c r="F243" s="275" t="str">
        <f>IF(D243="","",VLOOKUP(D243,'G-7 WaterC'' Data'!$B$2:$G$8,2,FALSE))</f>
        <v/>
      </c>
      <c r="G243" s="276" t="str">
        <f>IFERROR(VLOOKUP(F243,'G-7 WaterC'' Data'!$C$4:$D$8,2,FALSE),"")</f>
        <v/>
      </c>
      <c r="H243" s="52"/>
      <c r="I243" s="276" t="str">
        <f>IFERROR(INDEX('G-7 WaterC'' Data'!$H$4:$L$8,MATCH(D243,'G-7 WaterC'' Data'!$B$4:$B$8,0),MATCH(H243,'G-7 WaterC'' Data'!$H$3:$L$3,0)),"")</f>
        <v/>
      </c>
      <c r="J243" s="777"/>
      <c r="K243" s="311" t="str">
        <f>IF(J243="","",IF(VLOOKUP(J243,'G-7 WaterC'' Data'!$AK$4:$AM$6,2,FALSE)=0,"Spatial Data Missing ⚠",VLOOKUP(J243,'G-7 WaterC'' Data'!$AK$4:$AM$6,2,FALSE)))</f>
        <v/>
      </c>
      <c r="L243" s="281" t="str">
        <f>IF(J243="","",IF(VLOOKUP(J243,'G-7 WaterC'' Data'!$AK$4:$AM$9,3,FALSE)=0,"Spatial Data Missing ⚠",VLOOKUP(J243,'G-7 WaterC'' Data'!$AK$4:$AM$6,3,FALSE)))</f>
        <v/>
      </c>
      <c r="M243" s="52"/>
      <c r="N243" s="276" t="str">
        <f>IF(M243="","",IF(AND(D243&lt;&gt;"Culvert",M243="N/A - Culvert"),"Not possible ▲",IF(AND(D243="Culvert",M243&lt;&gt;"N/A - Culvert"),"Not possible ▲",IF(VLOOKUP(M243,'G-7 WaterC'' Data'!$AA$4:$AB$7,2,FALSE)=0,"Spatial Data Missing ⚠",VLOOKUP(M243,'G-7 WaterC'' Data'!$AA$4:$AB$7,2,FALSE)))))</f>
        <v/>
      </c>
      <c r="O243" s="56"/>
      <c r="P243" s="276" t="str">
        <f>IF(O243="","",IF(AND(O243="N/A - Culvert",D243&lt;&gt;"Culvert"),"Not possible ▲",IF(AND(D243="Culvert",O243&lt;&gt;"N/A - Culvert"),"Not possible ▲",IF(VLOOKUP(O243,'G-7 WaterC'' Data'!$AD$4:$AE$14,2,FALSE)=0,"Spatial Data Missing ⚠",VLOOKUP(O243,'G-7 WaterC'' Data'!$AD$4:$AE$14,2,FALSE)))))</f>
        <v/>
      </c>
      <c r="Q243" s="282" t="str">
        <f>IF(D243="","",VLOOKUP(D243,'G-7 WaterC'' Data'!$B$2:$G$8,6,FALSE))</f>
        <v/>
      </c>
      <c r="R243" s="289" t="str">
        <f t="shared" si="31"/>
        <v xml:space="preserve"> </v>
      </c>
      <c r="S243" s="803" t="str">
        <f t="shared" si="32"/>
        <v/>
      </c>
      <c r="T243" s="32"/>
      <c r="U243" s="101"/>
      <c r="V243" s="108"/>
      <c r="W243" s="287" t="str">
        <f t="shared" si="33"/>
        <v/>
      </c>
      <c r="X243" s="287" t="str">
        <f t="shared" si="34"/>
        <v/>
      </c>
      <c r="Y243" s="287" t="str">
        <f t="shared" si="35"/>
        <v/>
      </c>
      <c r="Z243" s="317" t="str">
        <f>IFERROR(IF(OR(E243="",R243=""),"",IF(AND(Q243='G-7 WaterC'' Data'!$G$4,AA243="Yes"),"Alternative Compensation ✓",IF(AND(AA243="Pending",Q243='G-7 WaterC'' Data'!$G$4),"Bespoke compensation must be agreed ▲",IF((W243+X243)&gt;=R243,0,R243-W243-X243)))),"Check Data ⚠")</f>
        <v/>
      </c>
      <c r="AA243" s="800"/>
      <c r="AB243" s="136"/>
      <c r="AC243" s="104"/>
      <c r="AD243" s="104"/>
      <c r="AE243" s="54" t="str">
        <f>IF(OR(Q243="",AA243="Yes"),"",IF(Q243='G-1 All Habitats'!$X$9,E243-U243-V243,"None"))</f>
        <v/>
      </c>
      <c r="AF243" s="55" t="str">
        <f>IF(Q243="","",IF(Q243='G-1 All Habitats'!$X$9,AE243*G243*I243*L243*N243*P243,"None"))</f>
        <v/>
      </c>
      <c r="AI243" s="30">
        <f t="shared" si="36"/>
        <v>0</v>
      </c>
      <c r="AJ243" s="107" t="str">
        <f t="shared" si="37"/>
        <v/>
      </c>
      <c r="AK243" s="107" t="str">
        <f t="shared" si="38"/>
        <v/>
      </c>
      <c r="AM243" s="107">
        <v>234</v>
      </c>
      <c r="AO243" s="107" t="str">
        <f t="array" ref="AO243">IFERROR(INDEX($AM$10:$AM$258,MATCH(0,IF(TRUE=$AJ$10:$AJ$258,COUNTIF($AO$9:$AO242,$AM$10:$AM$258),""),0)),"")</f>
        <v/>
      </c>
      <c r="AP243" s="107" t="str">
        <f t="array" ref="AP243">IFERROR(INDEX($AM$10:$AM$258,MATCH(0,IF(TRUE=$AK$10:$AK$258,COUNTIF($AP$9:$AP242,$AM$10:$AM$258),""),0)),"")</f>
        <v/>
      </c>
      <c r="AR243" s="30" t="str">
        <f>IFERROR(INDEX('G-7 WaterC'' Data'!$AZ$3:$AZ$7,MATCH(D243,'G-7 WaterC'' Data'!$AY$3:$AY$7,0)),"")</f>
        <v/>
      </c>
      <c r="AS243" s="30" t="str">
        <f>IFERROR(INDEX('G-7 WaterC'' Data'!AZ243:AZ247,MATCH(D243,'G-7 WaterC'' Data'!$AY$10:$AY$14,0)),"")</f>
        <v/>
      </c>
      <c r="AT243" s="885" t="str">
        <f>IF(AND(OR(AA243="Yes",AA243="Pending"),Q243='G-7 WaterC'' Data'!$G$4),R243-W243-X243,"")</f>
        <v/>
      </c>
      <c r="AU243" s="30" t="str">
        <f>IF(D243="","",VLOOKUP(D243,'G-7 WaterC'' Data'!B$4:M$8,12,FALSE))</f>
        <v/>
      </c>
      <c r="AV243" s="30" t="str">
        <f t="shared" si="30"/>
        <v/>
      </c>
      <c r="AX243" s="30" t="str">
        <f t="shared" si="39"/>
        <v>No</v>
      </c>
    </row>
    <row r="244" spans="3:50" ht="14" hidden="1">
      <c r="C244" s="97">
        <v>235</v>
      </c>
      <c r="D244" s="261"/>
      <c r="E244" s="115"/>
      <c r="F244" s="275" t="str">
        <f>IF(D244="","",VLOOKUP(D244,'G-7 WaterC'' Data'!$B$2:$G$8,2,FALSE))</f>
        <v/>
      </c>
      <c r="G244" s="276" t="str">
        <f>IFERROR(VLOOKUP(F244,'G-7 WaterC'' Data'!$C$4:$D$8,2,FALSE),"")</f>
        <v/>
      </c>
      <c r="H244" s="52"/>
      <c r="I244" s="276" t="str">
        <f>IFERROR(INDEX('G-7 WaterC'' Data'!$H$4:$L$8,MATCH(D244,'G-7 WaterC'' Data'!$B$4:$B$8,0),MATCH(H244,'G-7 WaterC'' Data'!$H$3:$L$3,0)),"")</f>
        <v/>
      </c>
      <c r="J244" s="777"/>
      <c r="K244" s="311" t="str">
        <f>IF(J244="","",IF(VLOOKUP(J244,'G-7 WaterC'' Data'!$AK$4:$AM$6,2,FALSE)=0,"Spatial Data Missing ⚠",VLOOKUP(J244,'G-7 WaterC'' Data'!$AK$4:$AM$6,2,FALSE)))</f>
        <v/>
      </c>
      <c r="L244" s="281" t="str">
        <f>IF(J244="","",IF(VLOOKUP(J244,'G-7 WaterC'' Data'!$AK$4:$AM$9,3,FALSE)=0,"Spatial Data Missing ⚠",VLOOKUP(J244,'G-7 WaterC'' Data'!$AK$4:$AM$6,3,FALSE)))</f>
        <v/>
      </c>
      <c r="M244" s="52"/>
      <c r="N244" s="276" t="str">
        <f>IF(M244="","",IF(AND(D244&lt;&gt;"Culvert",M244="N/A - Culvert"),"Not possible ▲",IF(AND(D244="Culvert",M244&lt;&gt;"N/A - Culvert"),"Not possible ▲",IF(VLOOKUP(M244,'G-7 WaterC'' Data'!$AA$4:$AB$7,2,FALSE)=0,"Spatial Data Missing ⚠",VLOOKUP(M244,'G-7 WaterC'' Data'!$AA$4:$AB$7,2,FALSE)))))</f>
        <v/>
      </c>
      <c r="O244" s="56"/>
      <c r="P244" s="276" t="str">
        <f>IF(O244="","",IF(AND(O244="N/A - Culvert",D244&lt;&gt;"Culvert"),"Not possible ▲",IF(AND(D244="Culvert",O244&lt;&gt;"N/A - Culvert"),"Not possible ▲",IF(VLOOKUP(O244,'G-7 WaterC'' Data'!$AD$4:$AE$14,2,FALSE)=0,"Spatial Data Missing ⚠",VLOOKUP(O244,'G-7 WaterC'' Data'!$AD$4:$AE$14,2,FALSE)))))</f>
        <v/>
      </c>
      <c r="Q244" s="282" t="str">
        <f>IF(D244="","",VLOOKUP(D244,'G-7 WaterC'' Data'!$B$2:$G$8,6,FALSE))</f>
        <v/>
      </c>
      <c r="R244" s="289" t="str">
        <f t="shared" si="31"/>
        <v xml:space="preserve"> </v>
      </c>
      <c r="S244" s="803" t="str">
        <f t="shared" si="32"/>
        <v/>
      </c>
      <c r="T244" s="32"/>
      <c r="U244" s="101"/>
      <c r="V244" s="108"/>
      <c r="W244" s="287" t="str">
        <f t="shared" si="33"/>
        <v/>
      </c>
      <c r="X244" s="287" t="str">
        <f t="shared" si="34"/>
        <v/>
      </c>
      <c r="Y244" s="287" t="str">
        <f t="shared" si="35"/>
        <v/>
      </c>
      <c r="Z244" s="317" t="str">
        <f>IFERROR(IF(OR(E244="",R244=""),"",IF(AND(Q244='G-7 WaterC'' Data'!$G$4,AA244="Yes"),"Alternative Compensation ✓",IF(AND(AA244="Pending",Q244='G-7 WaterC'' Data'!$G$4),"Bespoke compensation must be agreed ▲",IF((W244+X244)&gt;=R244,0,R244-W244-X244)))),"Check Data ⚠")</f>
        <v/>
      </c>
      <c r="AA244" s="800"/>
      <c r="AB244" s="136"/>
      <c r="AC244" s="104"/>
      <c r="AD244" s="104"/>
      <c r="AE244" s="54" t="str">
        <f>IF(OR(Q244="",AA244="Yes"),"",IF(Q244='G-1 All Habitats'!$X$9,E244-U244-V244,"None"))</f>
        <v/>
      </c>
      <c r="AF244" s="55" t="str">
        <f>IF(Q244="","",IF(Q244='G-1 All Habitats'!$X$9,AE244*G244*I244*L244*N244*P244,"None"))</f>
        <v/>
      </c>
      <c r="AI244" s="30">
        <f t="shared" si="36"/>
        <v>0</v>
      </c>
      <c r="AJ244" s="107" t="str">
        <f t="shared" si="37"/>
        <v/>
      </c>
      <c r="AK244" s="107" t="str">
        <f t="shared" si="38"/>
        <v/>
      </c>
      <c r="AM244" s="107">
        <v>235</v>
      </c>
      <c r="AO244" s="107" t="str">
        <f t="array" ref="AO244">IFERROR(INDEX($AM$10:$AM$258,MATCH(0,IF(TRUE=$AJ$10:$AJ$258,COUNTIF($AO$9:$AO243,$AM$10:$AM$258),""),0)),"")</f>
        <v/>
      </c>
      <c r="AP244" s="107" t="str">
        <f t="array" ref="AP244">IFERROR(INDEX($AM$10:$AM$258,MATCH(0,IF(TRUE=$AK$10:$AK$258,COUNTIF($AP$9:$AP243,$AM$10:$AM$258),""),0)),"")</f>
        <v/>
      </c>
      <c r="AR244" s="30" t="str">
        <f>IFERROR(INDEX('G-7 WaterC'' Data'!$AZ$3:$AZ$7,MATCH(D244,'G-7 WaterC'' Data'!$AY$3:$AY$7,0)),"")</f>
        <v/>
      </c>
      <c r="AS244" s="30" t="str">
        <f>IFERROR(INDEX('G-7 WaterC'' Data'!AZ244:AZ248,MATCH(D244,'G-7 WaterC'' Data'!$AY$10:$AY$14,0)),"")</f>
        <v/>
      </c>
      <c r="AT244" s="885" t="str">
        <f>IF(AND(OR(AA244="Yes",AA244="Pending"),Q244='G-7 WaterC'' Data'!$G$4),R244-W244-X244,"")</f>
        <v/>
      </c>
      <c r="AU244" s="30" t="str">
        <f>IF(D244="","",VLOOKUP(D244,'G-7 WaterC'' Data'!B$4:M$8,12,FALSE))</f>
        <v/>
      </c>
      <c r="AV244" s="30" t="str">
        <f t="shared" si="30"/>
        <v/>
      </c>
      <c r="AX244" s="30" t="str">
        <f t="shared" si="39"/>
        <v>No</v>
      </c>
    </row>
    <row r="245" spans="3:50" ht="14" hidden="1">
      <c r="C245" s="97">
        <v>236</v>
      </c>
      <c r="D245" s="261"/>
      <c r="E245" s="115"/>
      <c r="F245" s="275" t="str">
        <f>IF(D245="","",VLOOKUP(D245,'G-7 WaterC'' Data'!$B$2:$G$8,2,FALSE))</f>
        <v/>
      </c>
      <c r="G245" s="276" t="str">
        <f>IFERROR(VLOOKUP(F245,'G-7 WaterC'' Data'!$C$4:$D$8,2,FALSE),"")</f>
        <v/>
      </c>
      <c r="H245" s="52"/>
      <c r="I245" s="276" t="str">
        <f>IFERROR(INDEX('G-7 WaterC'' Data'!$H$4:$L$8,MATCH(D245,'G-7 WaterC'' Data'!$B$4:$B$8,0),MATCH(H245,'G-7 WaterC'' Data'!$H$3:$L$3,0)),"")</f>
        <v/>
      </c>
      <c r="J245" s="777"/>
      <c r="K245" s="311" t="str">
        <f>IF(J245="","",IF(VLOOKUP(J245,'G-7 WaterC'' Data'!$AK$4:$AM$6,2,FALSE)=0,"Spatial Data Missing ⚠",VLOOKUP(J245,'G-7 WaterC'' Data'!$AK$4:$AM$6,2,FALSE)))</f>
        <v/>
      </c>
      <c r="L245" s="281" t="str">
        <f>IF(J245="","",IF(VLOOKUP(J245,'G-7 WaterC'' Data'!$AK$4:$AM$9,3,FALSE)=0,"Spatial Data Missing ⚠",VLOOKUP(J245,'G-7 WaterC'' Data'!$AK$4:$AM$6,3,FALSE)))</f>
        <v/>
      </c>
      <c r="M245" s="52"/>
      <c r="N245" s="276" t="str">
        <f>IF(M245="","",IF(AND(D245&lt;&gt;"Culvert",M245="N/A - Culvert"),"Not possible ▲",IF(AND(D245="Culvert",M245&lt;&gt;"N/A - Culvert"),"Not possible ▲",IF(VLOOKUP(M245,'G-7 WaterC'' Data'!$AA$4:$AB$7,2,FALSE)=0,"Spatial Data Missing ⚠",VLOOKUP(M245,'G-7 WaterC'' Data'!$AA$4:$AB$7,2,FALSE)))))</f>
        <v/>
      </c>
      <c r="O245" s="56"/>
      <c r="P245" s="276" t="str">
        <f>IF(O245="","",IF(AND(O245="N/A - Culvert",D245&lt;&gt;"Culvert"),"Not possible ▲",IF(AND(D245="Culvert",O245&lt;&gt;"N/A - Culvert"),"Not possible ▲",IF(VLOOKUP(O245,'G-7 WaterC'' Data'!$AD$4:$AE$14,2,FALSE)=0,"Spatial Data Missing ⚠",VLOOKUP(O245,'G-7 WaterC'' Data'!$AD$4:$AE$14,2,FALSE)))))</f>
        <v/>
      </c>
      <c r="Q245" s="282" t="str">
        <f>IF(D245="","",VLOOKUP(D245,'G-7 WaterC'' Data'!$B$2:$G$8,6,FALSE))</f>
        <v/>
      </c>
      <c r="R245" s="289" t="str">
        <f t="shared" si="31"/>
        <v xml:space="preserve"> </v>
      </c>
      <c r="S245" s="803" t="str">
        <f t="shared" si="32"/>
        <v/>
      </c>
      <c r="T245" s="32"/>
      <c r="U245" s="101"/>
      <c r="V245" s="108"/>
      <c r="W245" s="287" t="str">
        <f t="shared" si="33"/>
        <v/>
      </c>
      <c r="X245" s="287" t="str">
        <f t="shared" si="34"/>
        <v/>
      </c>
      <c r="Y245" s="287" t="str">
        <f t="shared" si="35"/>
        <v/>
      </c>
      <c r="Z245" s="317" t="str">
        <f>IFERROR(IF(OR(E245="",R245=""),"",IF(AND(Q245='G-7 WaterC'' Data'!$G$4,AA245="Yes"),"Alternative Compensation ✓",IF(AND(AA245="Pending",Q245='G-7 WaterC'' Data'!$G$4),"Bespoke compensation must be agreed ▲",IF((W245+X245)&gt;=R245,0,R245-W245-X245)))),"Check Data ⚠")</f>
        <v/>
      </c>
      <c r="AA245" s="800"/>
      <c r="AB245" s="136"/>
      <c r="AC245" s="104"/>
      <c r="AD245" s="104"/>
      <c r="AE245" s="54" t="str">
        <f>IF(OR(Q245="",AA245="Yes"),"",IF(Q245='G-1 All Habitats'!$X$9,E245-U245-V245,"None"))</f>
        <v/>
      </c>
      <c r="AF245" s="55" t="str">
        <f>IF(Q245="","",IF(Q245='G-1 All Habitats'!$X$9,AE245*G245*I245*L245*N245*P245,"None"))</f>
        <v/>
      </c>
      <c r="AI245" s="30">
        <f t="shared" si="36"/>
        <v>0</v>
      </c>
      <c r="AJ245" s="107" t="str">
        <f t="shared" si="37"/>
        <v/>
      </c>
      <c r="AK245" s="107" t="str">
        <f t="shared" si="38"/>
        <v/>
      </c>
      <c r="AM245" s="107">
        <v>236</v>
      </c>
      <c r="AO245" s="107" t="str">
        <f t="array" ref="AO245">IFERROR(INDEX($AM$10:$AM$258,MATCH(0,IF(TRUE=$AJ$10:$AJ$258,COUNTIF($AO$9:$AO244,$AM$10:$AM$258),""),0)),"")</f>
        <v/>
      </c>
      <c r="AP245" s="107" t="str">
        <f t="array" ref="AP245">IFERROR(INDEX($AM$10:$AM$258,MATCH(0,IF(TRUE=$AK$10:$AK$258,COUNTIF($AP$9:$AP244,$AM$10:$AM$258),""),0)),"")</f>
        <v/>
      </c>
      <c r="AR245" s="30" t="str">
        <f>IFERROR(INDEX('G-7 WaterC'' Data'!$AZ$3:$AZ$7,MATCH(D245,'G-7 WaterC'' Data'!$AY$3:$AY$7,0)),"")</f>
        <v/>
      </c>
      <c r="AS245" s="30" t="str">
        <f>IFERROR(INDEX('G-7 WaterC'' Data'!AZ245:AZ249,MATCH(D245,'G-7 WaterC'' Data'!$AY$10:$AY$14,0)),"")</f>
        <v/>
      </c>
      <c r="AT245" s="885" t="str">
        <f>IF(AND(OR(AA245="Yes",AA245="Pending"),Q245='G-7 WaterC'' Data'!$G$4),R245-W245-X245,"")</f>
        <v/>
      </c>
      <c r="AU245" s="30" t="str">
        <f>IF(D245="","",VLOOKUP(D245,'G-7 WaterC'' Data'!B$4:M$8,12,FALSE))</f>
        <v/>
      </c>
      <c r="AV245" s="30" t="str">
        <f t="shared" si="30"/>
        <v/>
      </c>
      <c r="AX245" s="30" t="str">
        <f t="shared" si="39"/>
        <v>No</v>
      </c>
    </row>
    <row r="246" spans="3:50" ht="14" hidden="1">
      <c r="C246" s="97">
        <v>237</v>
      </c>
      <c r="D246" s="261"/>
      <c r="E246" s="115"/>
      <c r="F246" s="275" t="str">
        <f>IF(D246="","",VLOOKUP(D246,'G-7 WaterC'' Data'!$B$2:$G$8,2,FALSE))</f>
        <v/>
      </c>
      <c r="G246" s="276" t="str">
        <f>IFERROR(VLOOKUP(F246,'G-7 WaterC'' Data'!$C$4:$D$8,2,FALSE),"")</f>
        <v/>
      </c>
      <c r="H246" s="52"/>
      <c r="I246" s="276" t="str">
        <f>IFERROR(INDEX('G-7 WaterC'' Data'!$H$4:$L$8,MATCH(D246,'G-7 WaterC'' Data'!$B$4:$B$8,0),MATCH(H246,'G-7 WaterC'' Data'!$H$3:$L$3,0)),"")</f>
        <v/>
      </c>
      <c r="J246" s="777"/>
      <c r="K246" s="311" t="str">
        <f>IF(J246="","",IF(VLOOKUP(J246,'G-7 WaterC'' Data'!$AK$4:$AM$6,2,FALSE)=0,"Spatial Data Missing ⚠",VLOOKUP(J246,'G-7 WaterC'' Data'!$AK$4:$AM$6,2,FALSE)))</f>
        <v/>
      </c>
      <c r="L246" s="281" t="str">
        <f>IF(J246="","",IF(VLOOKUP(J246,'G-7 WaterC'' Data'!$AK$4:$AM$9,3,FALSE)=0,"Spatial Data Missing ⚠",VLOOKUP(J246,'G-7 WaterC'' Data'!$AK$4:$AM$6,3,FALSE)))</f>
        <v/>
      </c>
      <c r="M246" s="52"/>
      <c r="N246" s="276" t="str">
        <f>IF(M246="","",IF(AND(D246&lt;&gt;"Culvert",M246="N/A - Culvert"),"Not possible ▲",IF(AND(D246="Culvert",M246&lt;&gt;"N/A - Culvert"),"Not possible ▲",IF(VLOOKUP(M246,'G-7 WaterC'' Data'!$AA$4:$AB$7,2,FALSE)=0,"Spatial Data Missing ⚠",VLOOKUP(M246,'G-7 WaterC'' Data'!$AA$4:$AB$7,2,FALSE)))))</f>
        <v/>
      </c>
      <c r="O246" s="56"/>
      <c r="P246" s="276" t="str">
        <f>IF(O246="","",IF(AND(O246="N/A - Culvert",D246&lt;&gt;"Culvert"),"Not possible ▲",IF(AND(D246="Culvert",O246&lt;&gt;"N/A - Culvert"),"Not possible ▲",IF(VLOOKUP(O246,'G-7 WaterC'' Data'!$AD$4:$AE$14,2,FALSE)=0,"Spatial Data Missing ⚠",VLOOKUP(O246,'G-7 WaterC'' Data'!$AD$4:$AE$14,2,FALSE)))))</f>
        <v/>
      </c>
      <c r="Q246" s="282" t="str">
        <f>IF(D246="","",VLOOKUP(D246,'G-7 WaterC'' Data'!$B$2:$G$8,6,FALSE))</f>
        <v/>
      </c>
      <c r="R246" s="289" t="str">
        <f t="shared" si="31"/>
        <v xml:space="preserve"> </v>
      </c>
      <c r="S246" s="803" t="str">
        <f t="shared" si="32"/>
        <v/>
      </c>
      <c r="T246" s="32"/>
      <c r="U246" s="101"/>
      <c r="V246" s="108"/>
      <c r="W246" s="287" t="str">
        <f t="shared" si="33"/>
        <v/>
      </c>
      <c r="X246" s="287" t="str">
        <f t="shared" si="34"/>
        <v/>
      </c>
      <c r="Y246" s="287" t="str">
        <f t="shared" si="35"/>
        <v/>
      </c>
      <c r="Z246" s="317" t="str">
        <f>IFERROR(IF(OR(E246="",R246=""),"",IF(AND(Q246='G-7 WaterC'' Data'!$G$4,AA246="Yes"),"Alternative Compensation ✓",IF(AND(AA246="Pending",Q246='G-7 WaterC'' Data'!$G$4),"Bespoke compensation must be agreed ▲",IF((W246+X246)&gt;=R246,0,R246-W246-X246)))),"Check Data ⚠")</f>
        <v/>
      </c>
      <c r="AA246" s="800"/>
      <c r="AB246" s="136"/>
      <c r="AC246" s="104"/>
      <c r="AD246" s="104"/>
      <c r="AE246" s="54" t="str">
        <f>IF(OR(Q246="",AA246="Yes"),"",IF(Q246='G-1 All Habitats'!$X$9,E246-U246-V246,"None"))</f>
        <v/>
      </c>
      <c r="AF246" s="55" t="str">
        <f>IF(Q246="","",IF(Q246='G-1 All Habitats'!$X$9,AE246*G246*I246*L246*N246*P246,"None"))</f>
        <v/>
      </c>
      <c r="AI246" s="30">
        <f t="shared" si="36"/>
        <v>0</v>
      </c>
      <c r="AJ246" s="107" t="str">
        <f t="shared" si="37"/>
        <v/>
      </c>
      <c r="AK246" s="107" t="str">
        <f t="shared" si="38"/>
        <v/>
      </c>
      <c r="AM246" s="107">
        <v>237</v>
      </c>
      <c r="AO246" s="107" t="str">
        <f t="array" ref="AO246">IFERROR(INDEX($AM$10:$AM$258,MATCH(0,IF(TRUE=$AJ$10:$AJ$258,COUNTIF($AO$9:$AO245,$AM$10:$AM$258),""),0)),"")</f>
        <v/>
      </c>
      <c r="AP246" s="107" t="str">
        <f t="array" ref="AP246">IFERROR(INDEX($AM$10:$AM$258,MATCH(0,IF(TRUE=$AK$10:$AK$258,COUNTIF($AP$9:$AP245,$AM$10:$AM$258),""),0)),"")</f>
        <v/>
      </c>
      <c r="AR246" s="30" t="str">
        <f>IFERROR(INDEX('G-7 WaterC'' Data'!$AZ$3:$AZ$7,MATCH(D246,'G-7 WaterC'' Data'!$AY$3:$AY$7,0)),"")</f>
        <v/>
      </c>
      <c r="AS246" s="30" t="str">
        <f>IFERROR(INDEX('G-7 WaterC'' Data'!AZ246:AZ250,MATCH(D246,'G-7 WaterC'' Data'!$AY$10:$AY$14,0)),"")</f>
        <v/>
      </c>
      <c r="AT246" s="885" t="str">
        <f>IF(AND(OR(AA246="Yes",AA246="Pending"),Q246='G-7 WaterC'' Data'!$G$4),R246-W246-X246,"")</f>
        <v/>
      </c>
      <c r="AU246" s="30" t="str">
        <f>IF(D246="","",VLOOKUP(D246,'G-7 WaterC'' Data'!B$4:M$8,12,FALSE))</f>
        <v/>
      </c>
      <c r="AV246" s="30" t="str">
        <f t="shared" si="30"/>
        <v/>
      </c>
      <c r="AX246" s="30" t="str">
        <f t="shared" si="39"/>
        <v>No</v>
      </c>
    </row>
    <row r="247" spans="3:50" ht="14" hidden="1">
      <c r="C247" s="97">
        <v>238</v>
      </c>
      <c r="D247" s="261"/>
      <c r="E247" s="115"/>
      <c r="F247" s="275" t="str">
        <f>IF(D247="","",VLOOKUP(D247,'G-7 WaterC'' Data'!$B$2:$G$8,2,FALSE))</f>
        <v/>
      </c>
      <c r="G247" s="276" t="str">
        <f>IFERROR(VLOOKUP(F247,'G-7 WaterC'' Data'!$C$4:$D$8,2,FALSE),"")</f>
        <v/>
      </c>
      <c r="H247" s="52"/>
      <c r="I247" s="276" t="str">
        <f>IFERROR(INDEX('G-7 WaterC'' Data'!$H$4:$L$8,MATCH(D247,'G-7 WaterC'' Data'!$B$4:$B$8,0),MATCH(H247,'G-7 WaterC'' Data'!$H$3:$L$3,0)),"")</f>
        <v/>
      </c>
      <c r="J247" s="777"/>
      <c r="K247" s="311" t="str">
        <f>IF(J247="","",IF(VLOOKUP(J247,'G-7 WaterC'' Data'!$AK$4:$AM$6,2,FALSE)=0,"Spatial Data Missing ⚠",VLOOKUP(J247,'G-7 WaterC'' Data'!$AK$4:$AM$6,2,FALSE)))</f>
        <v/>
      </c>
      <c r="L247" s="281" t="str">
        <f>IF(J247="","",IF(VLOOKUP(J247,'G-7 WaterC'' Data'!$AK$4:$AM$9,3,FALSE)=0,"Spatial Data Missing ⚠",VLOOKUP(J247,'G-7 WaterC'' Data'!$AK$4:$AM$6,3,FALSE)))</f>
        <v/>
      </c>
      <c r="M247" s="52"/>
      <c r="N247" s="276" t="str">
        <f>IF(M247="","",IF(AND(D247&lt;&gt;"Culvert",M247="N/A - Culvert"),"Not possible ▲",IF(AND(D247="Culvert",M247&lt;&gt;"N/A - Culvert"),"Not possible ▲",IF(VLOOKUP(M247,'G-7 WaterC'' Data'!$AA$4:$AB$7,2,FALSE)=0,"Spatial Data Missing ⚠",VLOOKUP(M247,'G-7 WaterC'' Data'!$AA$4:$AB$7,2,FALSE)))))</f>
        <v/>
      </c>
      <c r="O247" s="56"/>
      <c r="P247" s="276" t="str">
        <f>IF(O247="","",IF(AND(O247="N/A - Culvert",D247&lt;&gt;"Culvert"),"Not possible ▲",IF(AND(D247="Culvert",O247&lt;&gt;"N/A - Culvert"),"Not possible ▲",IF(VLOOKUP(O247,'G-7 WaterC'' Data'!$AD$4:$AE$14,2,FALSE)=0,"Spatial Data Missing ⚠",VLOOKUP(O247,'G-7 WaterC'' Data'!$AD$4:$AE$14,2,FALSE)))))</f>
        <v/>
      </c>
      <c r="Q247" s="282" t="str">
        <f>IF(D247="","",VLOOKUP(D247,'G-7 WaterC'' Data'!$B$2:$G$8,6,FALSE))</f>
        <v/>
      </c>
      <c r="R247" s="289" t="str">
        <f t="shared" si="31"/>
        <v xml:space="preserve"> </v>
      </c>
      <c r="S247" s="803" t="str">
        <f t="shared" si="32"/>
        <v/>
      </c>
      <c r="T247" s="32"/>
      <c r="U247" s="101"/>
      <c r="V247" s="108"/>
      <c r="W247" s="287" t="str">
        <f t="shared" si="33"/>
        <v/>
      </c>
      <c r="X247" s="287" t="str">
        <f t="shared" si="34"/>
        <v/>
      </c>
      <c r="Y247" s="287" t="str">
        <f t="shared" si="35"/>
        <v/>
      </c>
      <c r="Z247" s="317" t="str">
        <f>IFERROR(IF(OR(E247="",R247=""),"",IF(AND(Q247='G-7 WaterC'' Data'!$G$4,AA247="Yes"),"Alternative Compensation ✓",IF(AND(AA247="Pending",Q247='G-7 WaterC'' Data'!$G$4),"Bespoke compensation must be agreed ▲",IF((W247+X247)&gt;=R247,0,R247-W247-X247)))),"Check Data ⚠")</f>
        <v/>
      </c>
      <c r="AA247" s="800"/>
      <c r="AB247" s="136"/>
      <c r="AC247" s="104"/>
      <c r="AD247" s="104"/>
      <c r="AE247" s="54" t="str">
        <f>IF(OR(Q247="",AA247="Yes"),"",IF(Q247='G-1 All Habitats'!$X$9,E247-U247-V247,"None"))</f>
        <v/>
      </c>
      <c r="AF247" s="55" t="str">
        <f>IF(Q247="","",IF(Q247='G-1 All Habitats'!$X$9,AE247*G247*I247*L247*N247*P247,"None"))</f>
        <v/>
      </c>
      <c r="AI247" s="30">
        <f t="shared" si="36"/>
        <v>0</v>
      </c>
      <c r="AJ247" s="107" t="str">
        <f t="shared" si="37"/>
        <v/>
      </c>
      <c r="AK247" s="107" t="str">
        <f t="shared" si="38"/>
        <v/>
      </c>
      <c r="AM247" s="107">
        <v>238</v>
      </c>
      <c r="AO247" s="107" t="str">
        <f t="array" ref="AO247">IFERROR(INDEX($AM$10:$AM$258,MATCH(0,IF(TRUE=$AJ$10:$AJ$258,COUNTIF($AO$9:$AO246,$AM$10:$AM$258),""),0)),"")</f>
        <v/>
      </c>
      <c r="AP247" s="107" t="str">
        <f t="array" ref="AP247">IFERROR(INDEX($AM$10:$AM$258,MATCH(0,IF(TRUE=$AK$10:$AK$258,COUNTIF($AP$9:$AP246,$AM$10:$AM$258),""),0)),"")</f>
        <v/>
      </c>
      <c r="AR247" s="30" t="str">
        <f>IFERROR(INDEX('G-7 WaterC'' Data'!$AZ$3:$AZ$7,MATCH(D247,'G-7 WaterC'' Data'!$AY$3:$AY$7,0)),"")</f>
        <v/>
      </c>
      <c r="AS247" s="30" t="str">
        <f>IFERROR(INDEX('G-7 WaterC'' Data'!AZ247:AZ251,MATCH(D247,'G-7 WaterC'' Data'!$AY$10:$AY$14,0)),"")</f>
        <v/>
      </c>
      <c r="AT247" s="885" t="str">
        <f>IF(AND(OR(AA247="Yes",AA247="Pending"),Q247='G-7 WaterC'' Data'!$G$4),R247-W247-X247,"")</f>
        <v/>
      </c>
      <c r="AU247" s="30" t="str">
        <f>IF(D247="","",VLOOKUP(D247,'G-7 WaterC'' Data'!B$4:M$8,12,FALSE))</f>
        <v/>
      </c>
      <c r="AV247" s="30" t="str">
        <f t="shared" si="30"/>
        <v/>
      </c>
      <c r="AX247" s="30" t="str">
        <f t="shared" si="39"/>
        <v>No</v>
      </c>
    </row>
    <row r="248" spans="3:50" ht="14" hidden="1">
      <c r="C248" s="97">
        <v>239</v>
      </c>
      <c r="D248" s="261"/>
      <c r="E248" s="115"/>
      <c r="F248" s="275" t="str">
        <f>IF(D248="","",VLOOKUP(D248,'G-7 WaterC'' Data'!$B$2:$G$8,2,FALSE))</f>
        <v/>
      </c>
      <c r="G248" s="276" t="str">
        <f>IFERROR(VLOOKUP(F248,'G-7 WaterC'' Data'!$C$4:$D$8,2,FALSE),"")</f>
        <v/>
      </c>
      <c r="H248" s="52"/>
      <c r="I248" s="276" t="str">
        <f>IFERROR(INDEX('G-7 WaterC'' Data'!$H$4:$L$8,MATCH(D248,'G-7 WaterC'' Data'!$B$4:$B$8,0),MATCH(H248,'G-7 WaterC'' Data'!$H$3:$L$3,0)),"")</f>
        <v/>
      </c>
      <c r="J248" s="777"/>
      <c r="K248" s="311" t="str">
        <f>IF(J248="","",IF(VLOOKUP(J248,'G-7 WaterC'' Data'!$AK$4:$AM$6,2,FALSE)=0,"Spatial Data Missing ⚠",VLOOKUP(J248,'G-7 WaterC'' Data'!$AK$4:$AM$6,2,FALSE)))</f>
        <v/>
      </c>
      <c r="L248" s="281" t="str">
        <f>IF(J248="","",IF(VLOOKUP(J248,'G-7 WaterC'' Data'!$AK$4:$AM$9,3,FALSE)=0,"Spatial Data Missing ⚠",VLOOKUP(J248,'G-7 WaterC'' Data'!$AK$4:$AM$6,3,FALSE)))</f>
        <v/>
      </c>
      <c r="M248" s="52"/>
      <c r="N248" s="276" t="str">
        <f>IF(M248="","",IF(AND(D248&lt;&gt;"Culvert",M248="N/A - Culvert"),"Not possible ▲",IF(AND(D248="Culvert",M248&lt;&gt;"N/A - Culvert"),"Not possible ▲",IF(VLOOKUP(M248,'G-7 WaterC'' Data'!$AA$4:$AB$7,2,FALSE)=0,"Spatial Data Missing ⚠",VLOOKUP(M248,'G-7 WaterC'' Data'!$AA$4:$AB$7,2,FALSE)))))</f>
        <v/>
      </c>
      <c r="O248" s="56"/>
      <c r="P248" s="276" t="str">
        <f>IF(O248="","",IF(AND(O248="N/A - Culvert",D248&lt;&gt;"Culvert"),"Not possible ▲",IF(AND(D248="Culvert",O248&lt;&gt;"N/A - Culvert"),"Not possible ▲",IF(VLOOKUP(O248,'G-7 WaterC'' Data'!$AD$4:$AE$14,2,FALSE)=0,"Spatial Data Missing ⚠",VLOOKUP(O248,'G-7 WaterC'' Data'!$AD$4:$AE$14,2,FALSE)))))</f>
        <v/>
      </c>
      <c r="Q248" s="282" t="str">
        <f>IF(D248="","",VLOOKUP(D248,'G-7 WaterC'' Data'!$B$2:$G$8,6,FALSE))</f>
        <v/>
      </c>
      <c r="R248" s="289" t="str">
        <f t="shared" si="31"/>
        <v xml:space="preserve"> </v>
      </c>
      <c r="S248" s="803" t="str">
        <f t="shared" si="32"/>
        <v/>
      </c>
      <c r="T248" s="32"/>
      <c r="U248" s="101"/>
      <c r="V248" s="108"/>
      <c r="W248" s="287" t="str">
        <f t="shared" si="33"/>
        <v/>
      </c>
      <c r="X248" s="287" t="str">
        <f t="shared" si="34"/>
        <v/>
      </c>
      <c r="Y248" s="287" t="str">
        <f t="shared" si="35"/>
        <v/>
      </c>
      <c r="Z248" s="317" t="str">
        <f>IFERROR(IF(OR(E248="",R248=""),"",IF(AND(Q248='G-7 WaterC'' Data'!$G$4,AA248="Yes"),"Alternative Compensation ✓",IF(AND(AA248="Pending",Q248='G-7 WaterC'' Data'!$G$4),"Bespoke compensation must be agreed ▲",IF((W248+X248)&gt;=R248,0,R248-W248-X248)))),"Check Data ⚠")</f>
        <v/>
      </c>
      <c r="AA248" s="800"/>
      <c r="AB248" s="136"/>
      <c r="AC248" s="104"/>
      <c r="AD248" s="104"/>
      <c r="AE248" s="54" t="str">
        <f>IF(OR(Q248="",AA248="Yes"),"",IF(Q248='G-1 All Habitats'!$X$9,E248-U248-V248,"None"))</f>
        <v/>
      </c>
      <c r="AF248" s="55" t="str">
        <f>IF(Q248="","",IF(Q248='G-1 All Habitats'!$X$9,AE248*G248*I248*L248*N248*P248,"None"))</f>
        <v/>
      </c>
      <c r="AI248" s="30">
        <f t="shared" si="36"/>
        <v>0</v>
      </c>
      <c r="AJ248" s="107" t="str">
        <f t="shared" si="37"/>
        <v/>
      </c>
      <c r="AK248" s="107" t="str">
        <f t="shared" si="38"/>
        <v/>
      </c>
      <c r="AM248" s="107">
        <v>239</v>
      </c>
      <c r="AO248" s="107" t="str">
        <f t="array" ref="AO248">IFERROR(INDEX($AM$10:$AM$258,MATCH(0,IF(TRUE=$AJ$10:$AJ$258,COUNTIF($AO$9:$AO247,$AM$10:$AM$258),""),0)),"")</f>
        <v/>
      </c>
      <c r="AP248" s="107" t="str">
        <f t="array" ref="AP248">IFERROR(INDEX($AM$10:$AM$258,MATCH(0,IF(TRUE=$AK$10:$AK$258,COUNTIF($AP$9:$AP247,$AM$10:$AM$258),""),0)),"")</f>
        <v/>
      </c>
      <c r="AR248" s="30" t="str">
        <f>IFERROR(INDEX('G-7 WaterC'' Data'!$AZ$3:$AZ$7,MATCH(D248,'G-7 WaterC'' Data'!$AY$3:$AY$7,0)),"")</f>
        <v/>
      </c>
      <c r="AS248" s="30" t="str">
        <f>IFERROR(INDEX('G-7 WaterC'' Data'!AZ248:AZ252,MATCH(D248,'G-7 WaterC'' Data'!$AY$10:$AY$14,0)),"")</f>
        <v/>
      </c>
      <c r="AT248" s="885" t="str">
        <f>IF(AND(OR(AA248="Yes",AA248="Pending"),Q248='G-7 WaterC'' Data'!$G$4),R248-W248-X248,"")</f>
        <v/>
      </c>
      <c r="AU248" s="30" t="str">
        <f>IF(D248="","",VLOOKUP(D248,'G-7 WaterC'' Data'!B$4:M$8,12,FALSE))</f>
        <v/>
      </c>
      <c r="AV248" s="30" t="str">
        <f t="shared" si="30"/>
        <v/>
      </c>
      <c r="AX248" s="30" t="str">
        <f t="shared" si="39"/>
        <v>No</v>
      </c>
    </row>
    <row r="249" spans="3:50" ht="14" hidden="1">
      <c r="C249" s="97">
        <v>240</v>
      </c>
      <c r="D249" s="261"/>
      <c r="E249" s="115"/>
      <c r="F249" s="275" t="str">
        <f>IF(D249="","",VLOOKUP(D249,'G-7 WaterC'' Data'!$B$2:$G$8,2,FALSE))</f>
        <v/>
      </c>
      <c r="G249" s="276" t="str">
        <f>IFERROR(VLOOKUP(F249,'G-7 WaterC'' Data'!$C$4:$D$8,2,FALSE),"")</f>
        <v/>
      </c>
      <c r="H249" s="52"/>
      <c r="I249" s="276" t="str">
        <f>IFERROR(INDEX('G-7 WaterC'' Data'!$H$4:$L$8,MATCH(D249,'G-7 WaterC'' Data'!$B$4:$B$8,0),MATCH(H249,'G-7 WaterC'' Data'!$H$3:$L$3,0)),"")</f>
        <v/>
      </c>
      <c r="J249" s="777"/>
      <c r="K249" s="311" t="str">
        <f>IF(J249="","",IF(VLOOKUP(J249,'G-7 WaterC'' Data'!$AK$4:$AM$6,2,FALSE)=0,"Spatial Data Missing ⚠",VLOOKUP(J249,'G-7 WaterC'' Data'!$AK$4:$AM$6,2,FALSE)))</f>
        <v/>
      </c>
      <c r="L249" s="281" t="str">
        <f>IF(J249="","",IF(VLOOKUP(J249,'G-7 WaterC'' Data'!$AK$4:$AM$9,3,FALSE)=0,"Spatial Data Missing ⚠",VLOOKUP(J249,'G-7 WaterC'' Data'!$AK$4:$AM$6,3,FALSE)))</f>
        <v/>
      </c>
      <c r="M249" s="52"/>
      <c r="N249" s="276" t="str">
        <f>IF(M249="","",IF(AND(D249&lt;&gt;"Culvert",M249="N/A - Culvert"),"Not possible ▲",IF(AND(D249="Culvert",M249&lt;&gt;"N/A - Culvert"),"Not possible ▲",IF(VLOOKUP(M249,'G-7 WaterC'' Data'!$AA$4:$AB$7,2,FALSE)=0,"Spatial Data Missing ⚠",VLOOKUP(M249,'G-7 WaterC'' Data'!$AA$4:$AB$7,2,FALSE)))))</f>
        <v/>
      </c>
      <c r="O249" s="56"/>
      <c r="P249" s="276" t="str">
        <f>IF(O249="","",IF(AND(O249="N/A - Culvert",D249&lt;&gt;"Culvert"),"Not possible ▲",IF(AND(D249="Culvert",O249&lt;&gt;"N/A - Culvert"),"Not possible ▲",IF(VLOOKUP(O249,'G-7 WaterC'' Data'!$AD$4:$AE$14,2,FALSE)=0,"Spatial Data Missing ⚠",VLOOKUP(O249,'G-7 WaterC'' Data'!$AD$4:$AE$14,2,FALSE)))))</f>
        <v/>
      </c>
      <c r="Q249" s="282" t="str">
        <f>IF(D249="","",VLOOKUP(D249,'G-7 WaterC'' Data'!$B$2:$G$8,6,FALSE))</f>
        <v/>
      </c>
      <c r="R249" s="289" t="str">
        <f t="shared" si="31"/>
        <v xml:space="preserve"> </v>
      </c>
      <c r="S249" s="803" t="str">
        <f t="shared" si="32"/>
        <v/>
      </c>
      <c r="T249" s="32"/>
      <c r="U249" s="101"/>
      <c r="V249" s="108"/>
      <c r="W249" s="287" t="str">
        <f t="shared" si="33"/>
        <v/>
      </c>
      <c r="X249" s="287" t="str">
        <f t="shared" si="34"/>
        <v/>
      </c>
      <c r="Y249" s="287" t="str">
        <f t="shared" si="35"/>
        <v/>
      </c>
      <c r="Z249" s="317" t="str">
        <f>IFERROR(IF(OR(E249="",R249=""),"",IF(AND(Q249='G-7 WaterC'' Data'!$G$4,AA249="Yes"),"Alternative Compensation ✓",IF(AND(AA249="Pending",Q249='G-7 WaterC'' Data'!$G$4),"Bespoke compensation must be agreed ▲",IF((W249+X249)&gt;=R249,0,R249-W249-X249)))),"Check Data ⚠")</f>
        <v/>
      </c>
      <c r="AA249" s="800"/>
      <c r="AB249" s="136"/>
      <c r="AC249" s="104"/>
      <c r="AD249" s="104"/>
      <c r="AE249" s="54" t="str">
        <f>IF(OR(Q249="",AA249="Yes"),"",IF(Q249='G-1 All Habitats'!$X$9,E249-U249-V249,"None"))</f>
        <v/>
      </c>
      <c r="AF249" s="55" t="str">
        <f>IF(Q249="","",IF(Q249='G-1 All Habitats'!$X$9,AE249*G249*I249*L249*N249*P249,"None"))</f>
        <v/>
      </c>
      <c r="AI249" s="30">
        <f t="shared" si="36"/>
        <v>0</v>
      </c>
      <c r="AJ249" s="107" t="str">
        <f t="shared" si="37"/>
        <v/>
      </c>
      <c r="AK249" s="107" t="str">
        <f t="shared" si="38"/>
        <v/>
      </c>
      <c r="AM249" s="107">
        <v>240</v>
      </c>
      <c r="AO249" s="107" t="str">
        <f t="array" ref="AO249">IFERROR(INDEX($AM$10:$AM$258,MATCH(0,IF(TRUE=$AJ$10:$AJ$258,COUNTIF($AO$9:$AO248,$AM$10:$AM$258),""),0)),"")</f>
        <v/>
      </c>
      <c r="AP249" s="107" t="str">
        <f t="array" ref="AP249">IFERROR(INDEX($AM$10:$AM$258,MATCH(0,IF(TRUE=$AK$10:$AK$258,COUNTIF($AP$9:$AP248,$AM$10:$AM$258),""),0)),"")</f>
        <v/>
      </c>
      <c r="AR249" s="30" t="str">
        <f>IFERROR(INDEX('G-7 WaterC'' Data'!$AZ$3:$AZ$7,MATCH(D249,'G-7 WaterC'' Data'!$AY$3:$AY$7,0)),"")</f>
        <v/>
      </c>
      <c r="AS249" s="30" t="str">
        <f>IFERROR(INDEX('G-7 WaterC'' Data'!AZ249:AZ253,MATCH(D249,'G-7 WaterC'' Data'!$AY$10:$AY$14,0)),"")</f>
        <v/>
      </c>
      <c r="AT249" s="885" t="str">
        <f>IF(AND(OR(AA249="Yes",AA249="Pending"),Q249='G-7 WaterC'' Data'!$G$4),R249-W249-X249,"")</f>
        <v/>
      </c>
      <c r="AU249" s="30" t="str">
        <f>IF(D249="","",VLOOKUP(D249,'G-7 WaterC'' Data'!B$4:M$8,12,FALSE))</f>
        <v/>
      </c>
      <c r="AV249" s="30" t="str">
        <f t="shared" si="30"/>
        <v/>
      </c>
      <c r="AX249" s="30" t="str">
        <f t="shared" si="39"/>
        <v>No</v>
      </c>
    </row>
    <row r="250" spans="3:50" ht="14" hidden="1">
      <c r="C250" s="97">
        <v>241</v>
      </c>
      <c r="D250" s="261"/>
      <c r="E250" s="115"/>
      <c r="F250" s="275" t="str">
        <f>IF(D250="","",VLOOKUP(D250,'G-7 WaterC'' Data'!$B$2:$G$8,2,FALSE))</f>
        <v/>
      </c>
      <c r="G250" s="276" t="str">
        <f>IFERROR(VLOOKUP(F250,'G-7 WaterC'' Data'!$C$4:$D$8,2,FALSE),"")</f>
        <v/>
      </c>
      <c r="H250" s="52"/>
      <c r="I250" s="276" t="str">
        <f>IFERROR(INDEX('G-7 WaterC'' Data'!$H$4:$L$8,MATCH(D250,'G-7 WaterC'' Data'!$B$4:$B$8,0),MATCH(H250,'G-7 WaterC'' Data'!$H$3:$L$3,0)),"")</f>
        <v/>
      </c>
      <c r="J250" s="777"/>
      <c r="K250" s="311" t="str">
        <f>IF(J250="","",IF(VLOOKUP(J250,'G-7 WaterC'' Data'!$AK$4:$AM$6,2,FALSE)=0,"Spatial Data Missing ⚠",VLOOKUP(J250,'G-7 WaterC'' Data'!$AK$4:$AM$6,2,FALSE)))</f>
        <v/>
      </c>
      <c r="L250" s="281" t="str">
        <f>IF(J250="","",IF(VLOOKUP(J250,'G-7 WaterC'' Data'!$AK$4:$AM$9,3,FALSE)=0,"Spatial Data Missing ⚠",VLOOKUP(J250,'G-7 WaterC'' Data'!$AK$4:$AM$6,3,FALSE)))</f>
        <v/>
      </c>
      <c r="M250" s="52"/>
      <c r="N250" s="276" t="str">
        <f>IF(M250="","",IF(AND(D250&lt;&gt;"Culvert",M250="N/A - Culvert"),"Not possible ▲",IF(AND(D250="Culvert",M250&lt;&gt;"N/A - Culvert"),"Not possible ▲",IF(VLOOKUP(M250,'G-7 WaterC'' Data'!$AA$4:$AB$7,2,FALSE)=0,"Spatial Data Missing ⚠",VLOOKUP(M250,'G-7 WaterC'' Data'!$AA$4:$AB$7,2,FALSE)))))</f>
        <v/>
      </c>
      <c r="O250" s="56"/>
      <c r="P250" s="276" t="str">
        <f>IF(O250="","",IF(AND(O250="N/A - Culvert",D250&lt;&gt;"Culvert"),"Not possible ▲",IF(AND(D250="Culvert",O250&lt;&gt;"N/A - Culvert"),"Not possible ▲",IF(VLOOKUP(O250,'G-7 WaterC'' Data'!$AD$4:$AE$14,2,FALSE)=0,"Spatial Data Missing ⚠",VLOOKUP(O250,'G-7 WaterC'' Data'!$AD$4:$AE$14,2,FALSE)))))</f>
        <v/>
      </c>
      <c r="Q250" s="282" t="str">
        <f>IF(D250="","",VLOOKUP(D250,'G-7 WaterC'' Data'!$B$2:$G$8,6,FALSE))</f>
        <v/>
      </c>
      <c r="R250" s="289" t="str">
        <f t="shared" si="31"/>
        <v xml:space="preserve"> </v>
      </c>
      <c r="S250" s="803" t="str">
        <f t="shared" si="32"/>
        <v/>
      </c>
      <c r="T250" s="32"/>
      <c r="U250" s="101"/>
      <c r="V250" s="108"/>
      <c r="W250" s="287" t="str">
        <f t="shared" si="33"/>
        <v/>
      </c>
      <c r="X250" s="287" t="str">
        <f t="shared" si="34"/>
        <v/>
      </c>
      <c r="Y250" s="287" t="str">
        <f t="shared" si="35"/>
        <v/>
      </c>
      <c r="Z250" s="317" t="str">
        <f>IFERROR(IF(OR(E250="",R250=""),"",IF(AND(Q250='G-7 WaterC'' Data'!$G$4,AA250="Yes"),"Alternative Compensation ✓",IF(AND(AA250="Pending",Q250='G-7 WaterC'' Data'!$G$4),"Bespoke compensation must be agreed ▲",IF((W250+X250)&gt;=R250,0,R250-W250-X250)))),"Check Data ⚠")</f>
        <v/>
      </c>
      <c r="AA250" s="800"/>
      <c r="AB250" s="136"/>
      <c r="AC250" s="104"/>
      <c r="AD250" s="104"/>
      <c r="AE250" s="54" t="str">
        <f>IF(OR(Q250="",AA250="Yes"),"",IF(Q250='G-1 All Habitats'!$X$9,E250-U250-V250,"None"))</f>
        <v/>
      </c>
      <c r="AF250" s="55" t="str">
        <f>IF(Q250="","",IF(Q250='G-1 All Habitats'!$X$9,AE250*G250*I250*L250*N250*P250,"None"))</f>
        <v/>
      </c>
      <c r="AI250" s="30">
        <f t="shared" si="36"/>
        <v>0</v>
      </c>
      <c r="AJ250" s="107" t="str">
        <f t="shared" si="37"/>
        <v/>
      </c>
      <c r="AK250" s="107" t="str">
        <f t="shared" si="38"/>
        <v/>
      </c>
      <c r="AM250" s="107">
        <v>241</v>
      </c>
      <c r="AO250" s="107" t="str">
        <f t="array" ref="AO250">IFERROR(INDEX($AM$10:$AM$258,MATCH(0,IF(TRUE=$AJ$10:$AJ$258,COUNTIF($AO$9:$AO249,$AM$10:$AM$258),""),0)),"")</f>
        <v/>
      </c>
      <c r="AP250" s="107" t="str">
        <f t="array" ref="AP250">IFERROR(INDEX($AM$10:$AM$258,MATCH(0,IF(TRUE=$AK$10:$AK$258,COUNTIF($AP$9:$AP249,$AM$10:$AM$258),""),0)),"")</f>
        <v/>
      </c>
      <c r="AR250" s="30" t="str">
        <f>IFERROR(INDEX('G-7 WaterC'' Data'!$AZ$3:$AZ$7,MATCH(D250,'G-7 WaterC'' Data'!$AY$3:$AY$7,0)),"")</f>
        <v/>
      </c>
      <c r="AS250" s="30" t="str">
        <f>IFERROR(INDEX('G-7 WaterC'' Data'!AZ250:AZ254,MATCH(D250,'G-7 WaterC'' Data'!$AY$10:$AY$14,0)),"")</f>
        <v/>
      </c>
      <c r="AT250" s="885" t="str">
        <f>IF(AND(OR(AA250="Yes",AA250="Pending"),Q250='G-7 WaterC'' Data'!$G$4),R250-W250-X250,"")</f>
        <v/>
      </c>
      <c r="AU250" s="30" t="str">
        <f>IF(D250="","",VLOOKUP(D250,'G-7 WaterC'' Data'!B$4:M$8,12,FALSE))</f>
        <v/>
      </c>
      <c r="AV250" s="30" t="str">
        <f t="shared" si="30"/>
        <v/>
      </c>
      <c r="AX250" s="30" t="str">
        <f t="shared" si="39"/>
        <v>No</v>
      </c>
    </row>
    <row r="251" spans="3:50" ht="14" hidden="1">
      <c r="C251" s="97">
        <v>242</v>
      </c>
      <c r="D251" s="261"/>
      <c r="E251" s="115"/>
      <c r="F251" s="275" t="str">
        <f>IF(D251="","",VLOOKUP(D251,'G-7 WaterC'' Data'!$B$2:$G$8,2,FALSE))</f>
        <v/>
      </c>
      <c r="G251" s="276" t="str">
        <f>IFERROR(VLOOKUP(F251,'G-7 WaterC'' Data'!$C$4:$D$8,2,FALSE),"")</f>
        <v/>
      </c>
      <c r="H251" s="52"/>
      <c r="I251" s="276" t="str">
        <f>IFERROR(INDEX('G-7 WaterC'' Data'!$H$4:$L$8,MATCH(D251,'G-7 WaterC'' Data'!$B$4:$B$8,0),MATCH(H251,'G-7 WaterC'' Data'!$H$3:$L$3,0)),"")</f>
        <v/>
      </c>
      <c r="J251" s="777"/>
      <c r="K251" s="311" t="str">
        <f>IF(J251="","",IF(VLOOKUP(J251,'G-7 WaterC'' Data'!$AK$4:$AM$6,2,FALSE)=0,"Spatial Data Missing ⚠",VLOOKUP(J251,'G-7 WaterC'' Data'!$AK$4:$AM$6,2,FALSE)))</f>
        <v/>
      </c>
      <c r="L251" s="281" t="str">
        <f>IF(J251="","",IF(VLOOKUP(J251,'G-7 WaterC'' Data'!$AK$4:$AM$9,3,FALSE)=0,"Spatial Data Missing ⚠",VLOOKUP(J251,'G-7 WaterC'' Data'!$AK$4:$AM$6,3,FALSE)))</f>
        <v/>
      </c>
      <c r="M251" s="52"/>
      <c r="N251" s="276" t="str">
        <f>IF(M251="","",IF(AND(D251&lt;&gt;"Culvert",M251="N/A - Culvert"),"Not possible ▲",IF(AND(D251="Culvert",M251&lt;&gt;"N/A - Culvert"),"Not possible ▲",IF(VLOOKUP(M251,'G-7 WaterC'' Data'!$AA$4:$AB$7,2,FALSE)=0,"Spatial Data Missing ⚠",VLOOKUP(M251,'G-7 WaterC'' Data'!$AA$4:$AB$7,2,FALSE)))))</f>
        <v/>
      </c>
      <c r="O251" s="56"/>
      <c r="P251" s="276" t="str">
        <f>IF(O251="","",IF(AND(O251="N/A - Culvert",D251&lt;&gt;"Culvert"),"Not possible ▲",IF(AND(D251="Culvert",O251&lt;&gt;"N/A - Culvert"),"Not possible ▲",IF(VLOOKUP(O251,'G-7 WaterC'' Data'!$AD$4:$AE$14,2,FALSE)=0,"Spatial Data Missing ⚠",VLOOKUP(O251,'G-7 WaterC'' Data'!$AD$4:$AE$14,2,FALSE)))))</f>
        <v/>
      </c>
      <c r="Q251" s="282" t="str">
        <f>IF(D251="","",VLOOKUP(D251,'G-7 WaterC'' Data'!$B$2:$G$8,6,FALSE))</f>
        <v/>
      </c>
      <c r="R251" s="289" t="str">
        <f t="shared" si="31"/>
        <v xml:space="preserve"> </v>
      </c>
      <c r="S251" s="803" t="str">
        <f t="shared" si="32"/>
        <v/>
      </c>
      <c r="T251" s="32"/>
      <c r="U251" s="101"/>
      <c r="V251" s="108"/>
      <c r="W251" s="287" t="str">
        <f t="shared" si="33"/>
        <v/>
      </c>
      <c r="X251" s="287" t="str">
        <f t="shared" si="34"/>
        <v/>
      </c>
      <c r="Y251" s="287" t="str">
        <f t="shared" si="35"/>
        <v/>
      </c>
      <c r="Z251" s="317" t="str">
        <f>IFERROR(IF(OR(E251="",R251=""),"",IF(AND(Q251='G-7 WaterC'' Data'!$G$4,AA251="Yes"),"Alternative Compensation ✓",IF(AND(AA251="Pending",Q251='G-7 WaterC'' Data'!$G$4),"Bespoke compensation must be agreed ▲",IF((W251+X251)&gt;=R251,0,R251-W251-X251)))),"Check Data ⚠")</f>
        <v/>
      </c>
      <c r="AA251" s="800"/>
      <c r="AB251" s="136"/>
      <c r="AC251" s="104"/>
      <c r="AD251" s="104"/>
      <c r="AE251" s="54" t="str">
        <f>IF(OR(Q251="",AA251="Yes"),"",IF(Q251='G-1 All Habitats'!$X$9,E251-U251-V251,"None"))</f>
        <v/>
      </c>
      <c r="AF251" s="55" t="str">
        <f>IF(Q251="","",IF(Q251='G-1 All Habitats'!$X$9,AE251*G251*I251*L251*N251*P251,"None"))</f>
        <v/>
      </c>
      <c r="AI251" s="30">
        <f t="shared" si="36"/>
        <v>0</v>
      </c>
      <c r="AJ251" s="107" t="str">
        <f t="shared" si="37"/>
        <v/>
      </c>
      <c r="AK251" s="107" t="str">
        <f t="shared" si="38"/>
        <v/>
      </c>
      <c r="AM251" s="107">
        <v>242</v>
      </c>
      <c r="AO251" s="107" t="str">
        <f t="array" ref="AO251">IFERROR(INDEX($AM$10:$AM$258,MATCH(0,IF(TRUE=$AJ$10:$AJ$258,COUNTIF($AO$9:$AO250,$AM$10:$AM$258),""),0)),"")</f>
        <v/>
      </c>
      <c r="AP251" s="107" t="str">
        <f t="array" ref="AP251">IFERROR(INDEX($AM$10:$AM$258,MATCH(0,IF(TRUE=$AK$10:$AK$258,COUNTIF($AP$9:$AP250,$AM$10:$AM$258),""),0)),"")</f>
        <v/>
      </c>
      <c r="AR251" s="30" t="str">
        <f>IFERROR(INDEX('G-7 WaterC'' Data'!$AZ$3:$AZ$7,MATCH(D251,'G-7 WaterC'' Data'!$AY$3:$AY$7,0)),"")</f>
        <v/>
      </c>
      <c r="AS251" s="30" t="str">
        <f>IFERROR(INDEX('G-7 WaterC'' Data'!AZ251:AZ255,MATCH(D251,'G-7 WaterC'' Data'!$AY$10:$AY$14,0)),"")</f>
        <v/>
      </c>
      <c r="AT251" s="885" t="str">
        <f>IF(AND(OR(AA251="Yes",AA251="Pending"),Q251='G-7 WaterC'' Data'!$G$4),R251-W251-X251,"")</f>
        <v/>
      </c>
      <c r="AU251" s="30" t="str">
        <f>IF(D251="","",VLOOKUP(D251,'G-7 WaterC'' Data'!B$4:M$8,12,FALSE))</f>
        <v/>
      </c>
      <c r="AV251" s="30" t="str">
        <f t="shared" si="30"/>
        <v/>
      </c>
      <c r="AX251" s="30" t="str">
        <f t="shared" si="39"/>
        <v>No</v>
      </c>
    </row>
    <row r="252" spans="3:50" ht="14" hidden="1">
      <c r="C252" s="97">
        <v>243</v>
      </c>
      <c r="D252" s="261"/>
      <c r="E252" s="115"/>
      <c r="F252" s="275" t="str">
        <f>IF(D252="","",VLOOKUP(D252,'G-7 WaterC'' Data'!$B$2:$G$8,2,FALSE))</f>
        <v/>
      </c>
      <c r="G252" s="276" t="str">
        <f>IFERROR(VLOOKUP(F252,'G-7 WaterC'' Data'!$C$4:$D$8,2,FALSE),"")</f>
        <v/>
      </c>
      <c r="H252" s="52"/>
      <c r="I252" s="276" t="str">
        <f>IFERROR(INDEX('G-7 WaterC'' Data'!$H$4:$L$8,MATCH(D252,'G-7 WaterC'' Data'!$B$4:$B$8,0),MATCH(H252,'G-7 WaterC'' Data'!$H$3:$L$3,0)),"")</f>
        <v/>
      </c>
      <c r="J252" s="777"/>
      <c r="K252" s="311" t="str">
        <f>IF(J252="","",IF(VLOOKUP(J252,'G-7 WaterC'' Data'!$AK$4:$AM$6,2,FALSE)=0,"Spatial Data Missing ⚠",VLOOKUP(J252,'G-7 WaterC'' Data'!$AK$4:$AM$6,2,FALSE)))</f>
        <v/>
      </c>
      <c r="L252" s="281" t="str">
        <f>IF(J252="","",IF(VLOOKUP(J252,'G-7 WaterC'' Data'!$AK$4:$AM$9,3,FALSE)=0,"Spatial Data Missing ⚠",VLOOKUP(J252,'G-7 WaterC'' Data'!$AK$4:$AM$6,3,FALSE)))</f>
        <v/>
      </c>
      <c r="M252" s="52"/>
      <c r="N252" s="276" t="str">
        <f>IF(M252="","",IF(AND(D252&lt;&gt;"Culvert",M252="N/A - Culvert"),"Not possible ▲",IF(AND(D252="Culvert",M252&lt;&gt;"N/A - Culvert"),"Not possible ▲",IF(VLOOKUP(M252,'G-7 WaterC'' Data'!$AA$4:$AB$7,2,FALSE)=0,"Spatial Data Missing ⚠",VLOOKUP(M252,'G-7 WaterC'' Data'!$AA$4:$AB$7,2,FALSE)))))</f>
        <v/>
      </c>
      <c r="O252" s="56"/>
      <c r="P252" s="276" t="str">
        <f>IF(O252="","",IF(AND(O252="N/A - Culvert",D252&lt;&gt;"Culvert"),"Not possible ▲",IF(AND(D252="Culvert",O252&lt;&gt;"N/A - Culvert"),"Not possible ▲",IF(VLOOKUP(O252,'G-7 WaterC'' Data'!$AD$4:$AE$14,2,FALSE)=0,"Spatial Data Missing ⚠",VLOOKUP(O252,'G-7 WaterC'' Data'!$AD$4:$AE$14,2,FALSE)))))</f>
        <v/>
      </c>
      <c r="Q252" s="282" t="str">
        <f>IF(D252="","",VLOOKUP(D252,'G-7 WaterC'' Data'!$B$2:$G$8,6,FALSE))</f>
        <v/>
      </c>
      <c r="R252" s="289" t="str">
        <f t="shared" si="31"/>
        <v xml:space="preserve"> </v>
      </c>
      <c r="S252" s="803" t="str">
        <f t="shared" si="32"/>
        <v/>
      </c>
      <c r="T252" s="32"/>
      <c r="U252" s="101"/>
      <c r="V252" s="108"/>
      <c r="W252" s="287" t="str">
        <f t="shared" si="33"/>
        <v/>
      </c>
      <c r="X252" s="287" t="str">
        <f t="shared" si="34"/>
        <v/>
      </c>
      <c r="Y252" s="287" t="str">
        <f t="shared" si="35"/>
        <v/>
      </c>
      <c r="Z252" s="317" t="str">
        <f>IFERROR(IF(OR(E252="",R252=""),"",IF(AND(Q252='G-7 WaterC'' Data'!$G$4,AA252="Yes"),"Alternative Compensation ✓",IF(AND(AA252="Pending",Q252='G-7 WaterC'' Data'!$G$4),"Bespoke compensation must be agreed ▲",IF((W252+X252)&gt;=R252,0,R252-W252-X252)))),"Check Data ⚠")</f>
        <v/>
      </c>
      <c r="AA252" s="800"/>
      <c r="AB252" s="136"/>
      <c r="AC252" s="104"/>
      <c r="AD252" s="104"/>
      <c r="AE252" s="54" t="str">
        <f>IF(OR(Q252="",AA252="Yes"),"",IF(Q252='G-1 All Habitats'!$X$9,E252-U252-V252,"None"))</f>
        <v/>
      </c>
      <c r="AF252" s="55" t="str">
        <f>IF(Q252="","",IF(Q252='G-1 All Habitats'!$X$9,AE252*G252*I252*L252*N252*P252,"None"))</f>
        <v/>
      </c>
      <c r="AI252" s="30">
        <f t="shared" si="36"/>
        <v>0</v>
      </c>
      <c r="AJ252" s="107" t="str">
        <f t="shared" si="37"/>
        <v/>
      </c>
      <c r="AK252" s="107" t="str">
        <f t="shared" si="38"/>
        <v/>
      </c>
      <c r="AM252" s="107">
        <v>243</v>
      </c>
      <c r="AO252" s="107" t="str">
        <f t="array" ref="AO252">IFERROR(INDEX($AM$10:$AM$258,MATCH(0,IF(TRUE=$AJ$10:$AJ$258,COUNTIF($AO$9:$AO251,$AM$10:$AM$258),""),0)),"")</f>
        <v/>
      </c>
      <c r="AP252" s="107" t="str">
        <f t="array" ref="AP252">IFERROR(INDEX($AM$10:$AM$258,MATCH(0,IF(TRUE=$AK$10:$AK$258,COUNTIF($AP$9:$AP251,$AM$10:$AM$258),""),0)),"")</f>
        <v/>
      </c>
      <c r="AR252" s="30" t="str">
        <f>IFERROR(INDEX('G-7 WaterC'' Data'!$AZ$3:$AZ$7,MATCH(D252,'G-7 WaterC'' Data'!$AY$3:$AY$7,0)),"")</f>
        <v/>
      </c>
      <c r="AS252" s="30" t="str">
        <f>IFERROR(INDEX('G-7 WaterC'' Data'!AZ252:AZ256,MATCH(D252,'G-7 WaterC'' Data'!$AY$10:$AY$14,0)),"")</f>
        <v/>
      </c>
      <c r="AT252" s="885" t="str">
        <f>IF(AND(OR(AA252="Yes",AA252="Pending"),Q252='G-7 WaterC'' Data'!$G$4),R252-W252-X252,"")</f>
        <v/>
      </c>
      <c r="AU252" s="30" t="str">
        <f>IF(D252="","",VLOOKUP(D252,'G-7 WaterC'' Data'!B$4:M$8,12,FALSE))</f>
        <v/>
      </c>
      <c r="AV252" s="30" t="str">
        <f t="shared" si="30"/>
        <v/>
      </c>
      <c r="AX252" s="30" t="str">
        <f t="shared" si="39"/>
        <v>No</v>
      </c>
    </row>
    <row r="253" spans="3:50" ht="14" hidden="1">
      <c r="C253" s="97">
        <v>244</v>
      </c>
      <c r="D253" s="261"/>
      <c r="E253" s="115"/>
      <c r="F253" s="275" t="str">
        <f>IF(D253="","",VLOOKUP(D253,'G-7 WaterC'' Data'!$B$2:$G$8,2,FALSE))</f>
        <v/>
      </c>
      <c r="G253" s="276" t="str">
        <f>IFERROR(VLOOKUP(F253,'G-7 WaterC'' Data'!$C$4:$D$8,2,FALSE),"")</f>
        <v/>
      </c>
      <c r="H253" s="52"/>
      <c r="I253" s="276" t="str">
        <f>IFERROR(INDEX('G-7 WaterC'' Data'!$H$4:$L$8,MATCH(D253,'G-7 WaterC'' Data'!$B$4:$B$8,0),MATCH(H253,'G-7 WaterC'' Data'!$H$3:$L$3,0)),"")</f>
        <v/>
      </c>
      <c r="J253" s="777"/>
      <c r="K253" s="311" t="str">
        <f>IF(J253="","",IF(VLOOKUP(J253,'G-7 WaterC'' Data'!$AK$4:$AM$6,2,FALSE)=0,"Spatial Data Missing ⚠",VLOOKUP(J253,'G-7 WaterC'' Data'!$AK$4:$AM$6,2,FALSE)))</f>
        <v/>
      </c>
      <c r="L253" s="281" t="str">
        <f>IF(J253="","",IF(VLOOKUP(J253,'G-7 WaterC'' Data'!$AK$4:$AM$9,3,FALSE)=0,"Spatial Data Missing ⚠",VLOOKUP(J253,'G-7 WaterC'' Data'!$AK$4:$AM$6,3,FALSE)))</f>
        <v/>
      </c>
      <c r="M253" s="52"/>
      <c r="N253" s="276" t="str">
        <f>IF(M253="","",IF(AND(D253&lt;&gt;"Culvert",M253="N/A - Culvert"),"Not possible ▲",IF(AND(D253="Culvert",M253&lt;&gt;"N/A - Culvert"),"Not possible ▲",IF(VLOOKUP(M253,'G-7 WaterC'' Data'!$AA$4:$AB$7,2,FALSE)=0,"Spatial Data Missing ⚠",VLOOKUP(M253,'G-7 WaterC'' Data'!$AA$4:$AB$7,2,FALSE)))))</f>
        <v/>
      </c>
      <c r="O253" s="56"/>
      <c r="P253" s="276" t="str">
        <f>IF(O253="","",IF(AND(O253="N/A - Culvert",D253&lt;&gt;"Culvert"),"Not possible ▲",IF(AND(D253="Culvert",O253&lt;&gt;"N/A - Culvert"),"Not possible ▲",IF(VLOOKUP(O253,'G-7 WaterC'' Data'!$AD$4:$AE$14,2,FALSE)=0,"Spatial Data Missing ⚠",VLOOKUP(O253,'G-7 WaterC'' Data'!$AD$4:$AE$14,2,FALSE)))))</f>
        <v/>
      </c>
      <c r="Q253" s="282" t="str">
        <f>IF(D253="","",VLOOKUP(D253,'G-7 WaterC'' Data'!$B$2:$G$8,6,FALSE))</f>
        <v/>
      </c>
      <c r="R253" s="289" t="str">
        <f t="shared" si="31"/>
        <v xml:space="preserve"> </v>
      </c>
      <c r="S253" s="803" t="str">
        <f t="shared" si="32"/>
        <v/>
      </c>
      <c r="T253" s="32"/>
      <c r="U253" s="101"/>
      <c r="V253" s="108"/>
      <c r="W253" s="287" t="str">
        <f t="shared" si="33"/>
        <v/>
      </c>
      <c r="X253" s="287" t="str">
        <f t="shared" si="34"/>
        <v/>
      </c>
      <c r="Y253" s="287" t="str">
        <f t="shared" si="35"/>
        <v/>
      </c>
      <c r="Z253" s="317" t="str">
        <f>IFERROR(IF(OR(E253="",R253=""),"",IF(AND(Q253='G-7 WaterC'' Data'!$G$4,AA253="Yes"),"Alternative Compensation ✓",IF(AND(AA253="Pending",Q253='G-7 WaterC'' Data'!$G$4),"Bespoke compensation must be agreed ▲",IF((W253+X253)&gt;=R253,0,R253-W253-X253)))),"Check Data ⚠")</f>
        <v/>
      </c>
      <c r="AA253" s="800"/>
      <c r="AB253" s="136"/>
      <c r="AC253" s="104"/>
      <c r="AD253" s="104"/>
      <c r="AE253" s="54" t="str">
        <f>IF(OR(Q253="",AA253="Yes"),"",IF(Q253='G-1 All Habitats'!$X$9,E253-U253-V253,"None"))</f>
        <v/>
      </c>
      <c r="AF253" s="55" t="str">
        <f>IF(Q253="","",IF(Q253='G-1 All Habitats'!$X$9,AE253*G253*I253*L253*N253*P253,"None"))</f>
        <v/>
      </c>
      <c r="AI253" s="30">
        <f t="shared" si="36"/>
        <v>0</v>
      </c>
      <c r="AJ253" s="107" t="str">
        <f t="shared" si="37"/>
        <v/>
      </c>
      <c r="AK253" s="107" t="str">
        <f t="shared" si="38"/>
        <v/>
      </c>
      <c r="AM253" s="107">
        <v>244</v>
      </c>
      <c r="AO253" s="107" t="str">
        <f t="array" ref="AO253">IFERROR(INDEX($AM$10:$AM$258,MATCH(0,IF(TRUE=$AJ$10:$AJ$258,COUNTIF($AO$9:$AO252,$AM$10:$AM$258),""),0)),"")</f>
        <v/>
      </c>
      <c r="AP253" s="107" t="str">
        <f t="array" ref="AP253">IFERROR(INDEX($AM$10:$AM$258,MATCH(0,IF(TRUE=$AK$10:$AK$258,COUNTIF($AP$9:$AP252,$AM$10:$AM$258),""),0)),"")</f>
        <v/>
      </c>
      <c r="AR253" s="30" t="str">
        <f>IFERROR(INDEX('G-7 WaterC'' Data'!$AZ$3:$AZ$7,MATCH(D253,'G-7 WaterC'' Data'!$AY$3:$AY$7,0)),"")</f>
        <v/>
      </c>
      <c r="AS253" s="30" t="str">
        <f>IFERROR(INDEX('G-7 WaterC'' Data'!AZ253:AZ257,MATCH(D253,'G-7 WaterC'' Data'!$AY$10:$AY$14,0)),"")</f>
        <v/>
      </c>
      <c r="AT253" s="885" t="str">
        <f>IF(AND(OR(AA253="Yes",AA253="Pending"),Q253='G-7 WaterC'' Data'!$G$4),R253-W253-X253,"")</f>
        <v/>
      </c>
      <c r="AU253" s="30" t="str">
        <f>IF(D253="","",VLOOKUP(D253,'G-7 WaterC'' Data'!B$4:M$8,12,FALSE))</f>
        <v/>
      </c>
      <c r="AV253" s="30" t="str">
        <f t="shared" si="30"/>
        <v/>
      </c>
      <c r="AX253" s="30" t="str">
        <f t="shared" si="39"/>
        <v>No</v>
      </c>
    </row>
    <row r="254" spans="3:50" ht="14" hidden="1">
      <c r="C254" s="97">
        <v>245</v>
      </c>
      <c r="D254" s="261"/>
      <c r="E254" s="115"/>
      <c r="F254" s="275" t="str">
        <f>IF(D254="","",VLOOKUP(D254,'G-7 WaterC'' Data'!$B$2:$G$8,2,FALSE))</f>
        <v/>
      </c>
      <c r="G254" s="276" t="str">
        <f>IFERROR(VLOOKUP(F254,'G-7 WaterC'' Data'!$C$4:$D$8,2,FALSE),"")</f>
        <v/>
      </c>
      <c r="H254" s="52"/>
      <c r="I254" s="276" t="str">
        <f>IFERROR(INDEX('G-7 WaterC'' Data'!$H$4:$L$8,MATCH(D254,'G-7 WaterC'' Data'!$B$4:$B$8,0),MATCH(H254,'G-7 WaterC'' Data'!$H$3:$L$3,0)),"")</f>
        <v/>
      </c>
      <c r="J254" s="777"/>
      <c r="K254" s="311" t="str">
        <f>IF(J254="","",IF(VLOOKUP(J254,'G-7 WaterC'' Data'!$AK$4:$AM$6,2,FALSE)=0,"Spatial Data Missing ⚠",VLOOKUP(J254,'G-7 WaterC'' Data'!$AK$4:$AM$6,2,FALSE)))</f>
        <v/>
      </c>
      <c r="L254" s="281" t="str">
        <f>IF(J254="","",IF(VLOOKUP(J254,'G-7 WaterC'' Data'!$AK$4:$AM$9,3,FALSE)=0,"Spatial Data Missing ⚠",VLOOKUP(J254,'G-7 WaterC'' Data'!$AK$4:$AM$6,3,FALSE)))</f>
        <v/>
      </c>
      <c r="M254" s="52"/>
      <c r="N254" s="276" t="str">
        <f>IF(M254="","",IF(AND(D254&lt;&gt;"Culvert",M254="N/A - Culvert"),"Not possible ▲",IF(AND(D254="Culvert",M254&lt;&gt;"N/A - Culvert"),"Not possible ▲",IF(VLOOKUP(M254,'G-7 WaterC'' Data'!$AA$4:$AB$7,2,FALSE)=0,"Spatial Data Missing ⚠",VLOOKUP(M254,'G-7 WaterC'' Data'!$AA$4:$AB$7,2,FALSE)))))</f>
        <v/>
      </c>
      <c r="O254" s="56"/>
      <c r="P254" s="276" t="str">
        <f>IF(O254="","",IF(AND(O254="N/A - Culvert",D254&lt;&gt;"Culvert"),"Not possible ▲",IF(AND(D254="Culvert",O254&lt;&gt;"N/A - Culvert"),"Not possible ▲",IF(VLOOKUP(O254,'G-7 WaterC'' Data'!$AD$4:$AE$14,2,FALSE)=0,"Spatial Data Missing ⚠",VLOOKUP(O254,'G-7 WaterC'' Data'!$AD$4:$AE$14,2,FALSE)))))</f>
        <v/>
      </c>
      <c r="Q254" s="282" t="str">
        <f>IF(D254="","",VLOOKUP(D254,'G-7 WaterC'' Data'!$B$2:$G$8,6,FALSE))</f>
        <v/>
      </c>
      <c r="R254" s="289" t="str">
        <f t="shared" si="31"/>
        <v xml:space="preserve"> </v>
      </c>
      <c r="S254" s="803" t="str">
        <f t="shared" si="32"/>
        <v/>
      </c>
      <c r="T254" s="32"/>
      <c r="U254" s="101"/>
      <c r="V254" s="108"/>
      <c r="W254" s="287" t="str">
        <f t="shared" si="33"/>
        <v/>
      </c>
      <c r="X254" s="287" t="str">
        <f t="shared" si="34"/>
        <v/>
      </c>
      <c r="Y254" s="287" t="str">
        <f t="shared" si="35"/>
        <v/>
      </c>
      <c r="Z254" s="317" t="str">
        <f>IFERROR(IF(OR(E254="",R254=""),"",IF(AND(Q254='G-7 WaterC'' Data'!$G$4,AA254="Yes"),"Alternative Compensation ✓",IF(AND(AA254="Pending",Q254='G-7 WaterC'' Data'!$G$4),"Bespoke compensation must be agreed ▲",IF((W254+X254)&gt;=R254,0,R254-W254-X254)))),"Check Data ⚠")</f>
        <v/>
      </c>
      <c r="AA254" s="800"/>
      <c r="AB254" s="136"/>
      <c r="AC254" s="104"/>
      <c r="AD254" s="104"/>
      <c r="AE254" s="54" t="str">
        <f>IF(OR(Q254="",AA254="Yes"),"",IF(Q254='G-1 All Habitats'!$X$9,E254-U254-V254,"None"))</f>
        <v/>
      </c>
      <c r="AF254" s="55" t="str">
        <f>IF(Q254="","",IF(Q254='G-1 All Habitats'!$X$9,AE254*G254*I254*L254*N254*P254,"None"))</f>
        <v/>
      </c>
      <c r="AI254" s="30">
        <f t="shared" si="36"/>
        <v>0</v>
      </c>
      <c r="AJ254" s="107" t="str">
        <f t="shared" si="37"/>
        <v/>
      </c>
      <c r="AK254" s="107" t="str">
        <f t="shared" si="38"/>
        <v/>
      </c>
      <c r="AM254" s="107">
        <v>245</v>
      </c>
      <c r="AO254" s="107" t="str">
        <f t="array" ref="AO254">IFERROR(INDEX($AM$10:$AM$258,MATCH(0,IF(TRUE=$AJ$10:$AJ$258,COUNTIF($AO$9:$AO253,$AM$10:$AM$258),""),0)),"")</f>
        <v/>
      </c>
      <c r="AP254" s="107" t="str">
        <f t="array" ref="AP254">IFERROR(INDEX($AM$10:$AM$258,MATCH(0,IF(TRUE=$AK$10:$AK$258,COUNTIF($AP$9:$AP253,$AM$10:$AM$258),""),0)),"")</f>
        <v/>
      </c>
      <c r="AR254" s="30" t="str">
        <f>IFERROR(INDEX('G-7 WaterC'' Data'!$AZ$3:$AZ$7,MATCH(D254,'G-7 WaterC'' Data'!$AY$3:$AY$7,0)),"")</f>
        <v/>
      </c>
      <c r="AS254" s="30" t="str">
        <f>IFERROR(INDEX('G-7 WaterC'' Data'!AZ254:AZ258,MATCH(D254,'G-7 WaterC'' Data'!$AY$10:$AY$14,0)),"")</f>
        <v/>
      </c>
      <c r="AT254" s="885" t="str">
        <f>IF(AND(OR(AA254="Yes",AA254="Pending"),Q254='G-7 WaterC'' Data'!$G$4),R254-W254-X254,"")</f>
        <v/>
      </c>
      <c r="AU254" s="30" t="str">
        <f>IF(D254="","",VLOOKUP(D254,'G-7 WaterC'' Data'!B$4:M$8,12,FALSE))</f>
        <v/>
      </c>
      <c r="AV254" s="30" t="str">
        <f t="shared" si="30"/>
        <v/>
      </c>
      <c r="AX254" s="30" t="str">
        <f t="shared" si="39"/>
        <v>No</v>
      </c>
    </row>
    <row r="255" spans="3:50" ht="14" hidden="1">
      <c r="C255" s="97">
        <v>246</v>
      </c>
      <c r="D255" s="261"/>
      <c r="E255" s="115"/>
      <c r="F255" s="275" t="str">
        <f>IF(D255="","",VLOOKUP(D255,'G-7 WaterC'' Data'!$B$2:$G$8,2,FALSE))</f>
        <v/>
      </c>
      <c r="G255" s="276" t="str">
        <f>IFERROR(VLOOKUP(F255,'G-7 WaterC'' Data'!$C$4:$D$8,2,FALSE),"")</f>
        <v/>
      </c>
      <c r="H255" s="52"/>
      <c r="I255" s="276" t="str">
        <f>IFERROR(INDEX('G-7 WaterC'' Data'!$H$4:$L$8,MATCH(D255,'G-7 WaterC'' Data'!$B$4:$B$8,0),MATCH(H255,'G-7 WaterC'' Data'!$H$3:$L$3,0)),"")</f>
        <v/>
      </c>
      <c r="J255" s="777"/>
      <c r="K255" s="311" t="str">
        <f>IF(J255="","",IF(VLOOKUP(J255,'G-7 WaterC'' Data'!$AK$4:$AM$6,2,FALSE)=0,"Spatial Data Missing ⚠",VLOOKUP(J255,'G-7 WaterC'' Data'!$AK$4:$AM$6,2,FALSE)))</f>
        <v/>
      </c>
      <c r="L255" s="281" t="str">
        <f>IF(J255="","",IF(VLOOKUP(J255,'G-7 WaterC'' Data'!$AK$4:$AM$9,3,FALSE)=0,"Spatial Data Missing ⚠",VLOOKUP(J255,'G-7 WaterC'' Data'!$AK$4:$AM$6,3,FALSE)))</f>
        <v/>
      </c>
      <c r="M255" s="52"/>
      <c r="N255" s="276" t="str">
        <f>IF(M255="","",IF(AND(D255&lt;&gt;"Culvert",M255="N/A - Culvert"),"Not possible ▲",IF(AND(D255="Culvert",M255&lt;&gt;"N/A - Culvert"),"Not possible ▲",IF(VLOOKUP(M255,'G-7 WaterC'' Data'!$AA$4:$AB$7,2,FALSE)=0,"Spatial Data Missing ⚠",VLOOKUP(M255,'G-7 WaterC'' Data'!$AA$4:$AB$7,2,FALSE)))))</f>
        <v/>
      </c>
      <c r="O255" s="56"/>
      <c r="P255" s="276" t="str">
        <f>IF(O255="","",IF(AND(O255="N/A - Culvert",D255&lt;&gt;"Culvert"),"Not possible ▲",IF(AND(D255="Culvert",O255&lt;&gt;"N/A - Culvert"),"Not possible ▲",IF(VLOOKUP(O255,'G-7 WaterC'' Data'!$AD$4:$AE$14,2,FALSE)=0,"Spatial Data Missing ⚠",VLOOKUP(O255,'G-7 WaterC'' Data'!$AD$4:$AE$14,2,FALSE)))))</f>
        <v/>
      </c>
      <c r="Q255" s="282" t="str">
        <f>IF(D255="","",VLOOKUP(D255,'G-7 WaterC'' Data'!$B$2:$G$8,6,FALSE))</f>
        <v/>
      </c>
      <c r="R255" s="289" t="str">
        <f t="shared" si="31"/>
        <v xml:space="preserve"> </v>
      </c>
      <c r="S255" s="803" t="str">
        <f t="shared" si="32"/>
        <v/>
      </c>
      <c r="T255" s="32"/>
      <c r="U255" s="101"/>
      <c r="V255" s="108"/>
      <c r="W255" s="287" t="str">
        <f t="shared" si="33"/>
        <v/>
      </c>
      <c r="X255" s="287" t="str">
        <f t="shared" si="34"/>
        <v/>
      </c>
      <c r="Y255" s="287" t="str">
        <f t="shared" si="35"/>
        <v/>
      </c>
      <c r="Z255" s="317" t="str">
        <f>IFERROR(IF(OR(E255="",R255=""),"",IF(AND(Q255='G-7 WaterC'' Data'!$G$4,AA255="Yes"),"Alternative Compensation ✓",IF(AND(AA255="Pending",Q255='G-7 WaterC'' Data'!$G$4),"Bespoke compensation must be agreed ▲",IF((W255+X255)&gt;=R255,0,R255-W255-X255)))),"Check Data ⚠")</f>
        <v/>
      </c>
      <c r="AA255" s="800"/>
      <c r="AB255" s="136"/>
      <c r="AC255" s="104"/>
      <c r="AD255" s="104"/>
      <c r="AE255" s="54" t="str">
        <f>IF(OR(Q255="",AA255="Yes"),"",IF(Q255='G-1 All Habitats'!$X$9,E255-U255-V255,"None"))</f>
        <v/>
      </c>
      <c r="AF255" s="55" t="str">
        <f>IF(Q255="","",IF(Q255='G-1 All Habitats'!$X$9,AE255*G255*I255*L255*N255*P255,"None"))</f>
        <v/>
      </c>
      <c r="AI255" s="30">
        <f t="shared" si="36"/>
        <v>0</v>
      </c>
      <c r="AJ255" s="107" t="str">
        <f t="shared" si="37"/>
        <v/>
      </c>
      <c r="AK255" s="107" t="str">
        <f t="shared" si="38"/>
        <v/>
      </c>
      <c r="AM255" s="107">
        <v>246</v>
      </c>
      <c r="AO255" s="107" t="str">
        <f t="array" ref="AO255">IFERROR(INDEX($AM$10:$AM$258,MATCH(0,IF(TRUE=$AJ$10:$AJ$258,COUNTIF($AO$9:$AO254,$AM$10:$AM$258),""),0)),"")</f>
        <v/>
      </c>
      <c r="AP255" s="107" t="str">
        <f t="array" ref="AP255">IFERROR(INDEX($AM$10:$AM$258,MATCH(0,IF(TRUE=$AK$10:$AK$258,COUNTIF($AP$9:$AP254,$AM$10:$AM$258),""),0)),"")</f>
        <v/>
      </c>
      <c r="AR255" s="30" t="str">
        <f>IFERROR(INDEX('G-7 WaterC'' Data'!$AZ$3:$AZ$7,MATCH(D255,'G-7 WaterC'' Data'!$AY$3:$AY$7,0)),"")</f>
        <v/>
      </c>
      <c r="AS255" s="30" t="str">
        <f>IFERROR(INDEX('G-7 WaterC'' Data'!AZ255:AZ259,MATCH(D255,'G-7 WaterC'' Data'!$AY$10:$AY$14,0)),"")</f>
        <v/>
      </c>
      <c r="AT255" s="885" t="str">
        <f>IF(AND(OR(AA255="Yes",AA255="Pending"),Q255='G-7 WaterC'' Data'!$G$4),R255-W255-X255,"")</f>
        <v/>
      </c>
      <c r="AU255" s="30" t="str">
        <f>IF(D255="","",VLOOKUP(D255,'G-7 WaterC'' Data'!B$4:M$8,12,FALSE))</f>
        <v/>
      </c>
      <c r="AV255" s="30" t="str">
        <f t="shared" si="30"/>
        <v/>
      </c>
      <c r="AX255" s="30" t="str">
        <f t="shared" si="39"/>
        <v>No</v>
      </c>
    </row>
    <row r="256" spans="3:50" ht="14" hidden="1">
      <c r="C256" s="97">
        <v>247</v>
      </c>
      <c r="D256" s="261"/>
      <c r="E256" s="115"/>
      <c r="F256" s="275" t="str">
        <f>IF(D256="","",VLOOKUP(D256,'G-7 WaterC'' Data'!$B$2:$G$8,2,FALSE))</f>
        <v/>
      </c>
      <c r="G256" s="276" t="str">
        <f>IFERROR(VLOOKUP(F256,'G-7 WaterC'' Data'!$C$4:$D$8,2,FALSE),"")</f>
        <v/>
      </c>
      <c r="H256" s="52"/>
      <c r="I256" s="276" t="str">
        <f>IFERROR(INDEX('G-7 WaterC'' Data'!$H$4:$L$8,MATCH(D256,'G-7 WaterC'' Data'!$B$4:$B$8,0),MATCH(H256,'G-7 WaterC'' Data'!$H$3:$L$3,0)),"")</f>
        <v/>
      </c>
      <c r="J256" s="777"/>
      <c r="K256" s="311" t="str">
        <f>IF(J256="","",IF(VLOOKUP(J256,'G-7 WaterC'' Data'!$AK$4:$AM$6,2,FALSE)=0,"Spatial Data Missing ⚠",VLOOKUP(J256,'G-7 WaterC'' Data'!$AK$4:$AM$6,2,FALSE)))</f>
        <v/>
      </c>
      <c r="L256" s="281" t="str">
        <f>IF(J256="","",IF(VLOOKUP(J256,'G-7 WaterC'' Data'!$AK$4:$AM$9,3,FALSE)=0,"Spatial Data Missing ⚠",VLOOKUP(J256,'G-7 WaterC'' Data'!$AK$4:$AM$6,3,FALSE)))</f>
        <v/>
      </c>
      <c r="M256" s="52"/>
      <c r="N256" s="276" t="str">
        <f>IF(M256="","",IF(AND(D256&lt;&gt;"Culvert",M256="N/A - Culvert"),"Not possible ▲",IF(AND(D256="Culvert",M256&lt;&gt;"N/A - Culvert"),"Not possible ▲",IF(VLOOKUP(M256,'G-7 WaterC'' Data'!$AA$4:$AB$7,2,FALSE)=0,"Spatial Data Missing ⚠",VLOOKUP(M256,'G-7 WaterC'' Data'!$AA$4:$AB$7,2,FALSE)))))</f>
        <v/>
      </c>
      <c r="O256" s="56"/>
      <c r="P256" s="276" t="str">
        <f>IF(O256="","",IF(AND(O256="N/A - Culvert",D256&lt;&gt;"Culvert"),"Not possible ▲",IF(AND(D256="Culvert",O256&lt;&gt;"N/A - Culvert"),"Not possible ▲",IF(VLOOKUP(O256,'G-7 WaterC'' Data'!$AD$4:$AE$14,2,FALSE)=0,"Spatial Data Missing ⚠",VLOOKUP(O256,'G-7 WaterC'' Data'!$AD$4:$AE$14,2,FALSE)))))</f>
        <v/>
      </c>
      <c r="Q256" s="282" t="str">
        <f>IF(D256="","",VLOOKUP(D256,'G-7 WaterC'' Data'!$B$2:$G$8,6,FALSE))</f>
        <v/>
      </c>
      <c r="R256" s="289" t="str">
        <f t="shared" si="31"/>
        <v xml:space="preserve"> </v>
      </c>
      <c r="S256" s="803" t="str">
        <f t="shared" si="32"/>
        <v/>
      </c>
      <c r="T256" s="32"/>
      <c r="U256" s="101"/>
      <c r="V256" s="108"/>
      <c r="W256" s="287" t="str">
        <f t="shared" si="33"/>
        <v/>
      </c>
      <c r="X256" s="287" t="str">
        <f t="shared" si="34"/>
        <v/>
      </c>
      <c r="Y256" s="287" t="str">
        <f t="shared" si="35"/>
        <v/>
      </c>
      <c r="Z256" s="317" t="str">
        <f>IFERROR(IF(OR(E256="",R256=""),"",IF(AND(Q256='G-7 WaterC'' Data'!$G$4,AA256="Yes"),"Alternative Compensation ✓",IF(AND(AA256="Pending",Q256='G-7 WaterC'' Data'!$G$4),"Bespoke compensation must be agreed ▲",IF((W256+X256)&gt;=R256,0,R256-W256-X256)))),"Check Data ⚠")</f>
        <v/>
      </c>
      <c r="AA256" s="800"/>
      <c r="AB256" s="136"/>
      <c r="AC256" s="104"/>
      <c r="AD256" s="104"/>
      <c r="AE256" s="54" t="str">
        <f>IF(OR(Q256="",AA256="Yes"),"",IF(Q256='G-1 All Habitats'!$X$9,E256-U256-V256,"None"))</f>
        <v/>
      </c>
      <c r="AF256" s="55" t="str">
        <f>IF(Q256="","",IF(Q256='G-1 All Habitats'!$X$9,AE256*G256*I256*L256*N256*P256,"None"))</f>
        <v/>
      </c>
      <c r="AI256" s="30">
        <f t="shared" si="36"/>
        <v>0</v>
      </c>
      <c r="AJ256" s="107" t="str">
        <f t="shared" si="37"/>
        <v/>
      </c>
      <c r="AK256" s="107" t="str">
        <f t="shared" si="38"/>
        <v/>
      </c>
      <c r="AM256" s="107">
        <v>247</v>
      </c>
      <c r="AO256" s="107" t="str">
        <f t="array" ref="AO256">IFERROR(INDEX($AM$10:$AM$258,MATCH(0,IF(TRUE=$AJ$10:$AJ$258,COUNTIF($AO$9:$AO255,$AM$10:$AM$258),""),0)),"")</f>
        <v/>
      </c>
      <c r="AP256" s="107" t="str">
        <f t="array" ref="AP256">IFERROR(INDEX($AM$10:$AM$258,MATCH(0,IF(TRUE=$AK$10:$AK$258,COUNTIF($AP$9:$AP255,$AM$10:$AM$258),""),0)),"")</f>
        <v/>
      </c>
      <c r="AR256" s="30" t="str">
        <f>IFERROR(INDEX('G-7 WaterC'' Data'!$AZ$3:$AZ$7,MATCH(D256,'G-7 WaterC'' Data'!$AY$3:$AY$7,0)),"")</f>
        <v/>
      </c>
      <c r="AS256" s="30" t="str">
        <f>IFERROR(INDEX('G-7 WaterC'' Data'!AZ256:AZ260,MATCH(D256,'G-7 WaterC'' Data'!$AY$10:$AY$14,0)),"")</f>
        <v/>
      </c>
      <c r="AT256" s="885" t="str">
        <f>IF(AND(OR(AA256="Yes",AA256="Pending"),Q256='G-7 WaterC'' Data'!$G$4),R256-W256-X256,"")</f>
        <v/>
      </c>
      <c r="AU256" s="30" t="str">
        <f>IF(D256="","",VLOOKUP(D256,'G-7 WaterC'' Data'!B$4:M$8,12,FALSE))</f>
        <v/>
      </c>
      <c r="AV256" s="30" t="str">
        <f t="shared" si="30"/>
        <v/>
      </c>
      <c r="AX256" s="30" t="str">
        <f t="shared" si="39"/>
        <v>No</v>
      </c>
    </row>
    <row r="257" spans="3:50" ht="14.5" hidden="1" thickBot="1">
      <c r="C257" s="109">
        <v>248</v>
      </c>
      <c r="D257" s="261"/>
      <c r="E257" s="115"/>
      <c r="F257" s="277" t="str">
        <f>IF(D257="","",VLOOKUP(D257,'G-7 WaterC'' Data'!$B$2:$G$8,2,FALSE))</f>
        <v/>
      </c>
      <c r="G257" s="278" t="str">
        <f>IFERROR(VLOOKUP(F257,'G-7 WaterC'' Data'!$C$4:$D$8,2,FALSE),"")</f>
        <v/>
      </c>
      <c r="H257" s="52"/>
      <c r="I257" s="276" t="str">
        <f>IFERROR(INDEX('G-7 WaterC'' Data'!$H$4:$L$8,MATCH(D257,'G-7 WaterC'' Data'!$B$4:$B$8,0),MATCH(H257,'G-7 WaterC'' Data'!$H$3:$L$3,0)),"")</f>
        <v/>
      </c>
      <c r="J257" s="777"/>
      <c r="K257" s="311" t="str">
        <f>IF(J257="","",IF(VLOOKUP(J257,'G-7 WaterC'' Data'!$AK$4:$AM$6,2,FALSE)=0,"Spatial Data Missing ⚠",VLOOKUP(J257,'G-7 WaterC'' Data'!$AK$4:$AM$6,2,FALSE)))</f>
        <v/>
      </c>
      <c r="L257" s="281" t="str">
        <f>IF(J257="","",IF(VLOOKUP(J257,'G-7 WaterC'' Data'!$AK$4:$AM$9,3,FALSE)=0,"Spatial Data Missing ⚠",VLOOKUP(J257,'G-7 WaterC'' Data'!$AK$4:$AM$6,3,FALSE)))</f>
        <v/>
      </c>
      <c r="M257" s="52"/>
      <c r="N257" s="276" t="str">
        <f>IF(M257="","",IF(AND(D257&lt;&gt;"Culvert",M257="N/A - Culvert"),"Not possible ▲",IF(AND(D257="Culvert",M257&lt;&gt;"N/A - Culvert"),"Not possible ▲",IF(VLOOKUP(M257,'G-7 WaterC'' Data'!$AA$4:$AB$7,2,FALSE)=0,"Spatial Data Missing ⚠",VLOOKUP(M257,'G-7 WaterC'' Data'!$AA$4:$AB$7,2,FALSE)))))</f>
        <v/>
      </c>
      <c r="O257" s="56"/>
      <c r="P257" s="276" t="str">
        <f>IF(O257="","",IF(AND(O257="N/A - Culvert",D257&lt;&gt;"Culvert"),"Not possible ▲",IF(AND(D257="Culvert",O257&lt;&gt;"N/A - Culvert"),"Not possible ▲",IF(VLOOKUP(O257,'G-7 WaterC'' Data'!$AD$4:$AE$14,2,FALSE)=0,"Spatial Data Missing ⚠",VLOOKUP(O257,'G-7 WaterC'' Data'!$AD$4:$AE$14,2,FALSE)))))</f>
        <v/>
      </c>
      <c r="Q257" s="286" t="str">
        <f>IF(D257="","",VLOOKUP(D257,'G-7 WaterC'' Data'!$B$2:$G$8,6,FALSE))</f>
        <v/>
      </c>
      <c r="R257" s="267" t="str">
        <f t="shared" si="31"/>
        <v xml:space="preserve"> </v>
      </c>
      <c r="S257" s="804" t="str">
        <f t="shared" si="32"/>
        <v/>
      </c>
      <c r="T257" s="32"/>
      <c r="U257" s="619"/>
      <c r="V257" s="621"/>
      <c r="W257" s="557" t="str">
        <f t="shared" si="33"/>
        <v/>
      </c>
      <c r="X257" s="557" t="str">
        <f t="shared" si="34"/>
        <v/>
      </c>
      <c r="Y257" s="557" t="str">
        <f t="shared" si="35"/>
        <v/>
      </c>
      <c r="Z257" s="601" t="str">
        <f>IFERROR(IF(OR(E257="",R257=""),"",IF(AND(Q257='G-7 WaterC'' Data'!$G$4,AA257="Yes"),"Alternative Compensation ✓",IF(AND(AA257="Pending",Q257='G-7 WaterC'' Data'!$G$4),"Bespoke compensation must be agreed ▲",IF((W257+X257)&gt;=R257,0,R257-W257-X257)))),"Check Data ⚠")</f>
        <v/>
      </c>
      <c r="AA257" s="801"/>
      <c r="AB257" s="173"/>
      <c r="AC257" s="110"/>
      <c r="AD257" s="110"/>
      <c r="AE257" s="54" t="str">
        <f>IF(OR(Q257="",AA257="Yes"),"",IF(Q257='G-1 All Habitats'!$X$9,E257-U257-V257,"None"))</f>
        <v/>
      </c>
      <c r="AF257" s="55" t="str">
        <f>IF(Q257="","",IF(Q257='G-1 All Habitats'!$X$9,AE257*G257*I257*L257*N257*P257,"None"))</f>
        <v/>
      </c>
      <c r="AI257" s="30">
        <f t="shared" si="36"/>
        <v>0</v>
      </c>
      <c r="AJ257" s="107" t="str">
        <f t="shared" si="37"/>
        <v/>
      </c>
      <c r="AK257" s="107" t="str">
        <f t="shared" si="38"/>
        <v/>
      </c>
      <c r="AM257" s="107">
        <v>248</v>
      </c>
      <c r="AO257" s="107" t="str">
        <f t="array" ref="AO257">IFERROR(INDEX($AM$10:$AM$258,MATCH(0,IF(TRUE=$AJ$10:$AJ$258,COUNTIF($AO$9:$AO256,$AM$10:$AM$258),""),0)),"")</f>
        <v/>
      </c>
      <c r="AP257" s="107" t="str">
        <f t="array" ref="AP257">IFERROR(INDEX($AM$10:$AM$258,MATCH(0,IF(TRUE=$AK$10:$AK$258,COUNTIF($AP$9:$AP256,$AM$10:$AM$258),""),0)),"")</f>
        <v/>
      </c>
      <c r="AR257" s="30" t="str">
        <f>IFERROR(INDEX('G-7 WaterC'' Data'!$AZ$3:$AZ$7,MATCH(D257,'G-7 WaterC'' Data'!$AY$3:$AY$7,0)),"")</f>
        <v/>
      </c>
      <c r="AS257" s="30" t="str">
        <f>IFERROR(INDEX('G-7 WaterC'' Data'!AZ257:AZ261,MATCH(D257,'G-7 WaterC'' Data'!$AY$10:$AY$14,0)),"")</f>
        <v/>
      </c>
      <c r="AT257" s="885" t="str">
        <f>IF(AND(OR(AA257="Yes",AA257="Pending"),Q257='G-7 WaterC'' Data'!$G$4),R257-W257-X257,"")</f>
        <v/>
      </c>
      <c r="AU257" s="30" t="str">
        <f>IF(D257="","",VLOOKUP(D257,'G-7 WaterC'' Data'!B$4:M$8,12,FALSE))</f>
        <v/>
      </c>
      <c r="AV257" s="30" t="str">
        <f t="shared" si="30"/>
        <v/>
      </c>
      <c r="AX257" s="30" t="str">
        <f t="shared" si="39"/>
        <v>No</v>
      </c>
    </row>
    <row r="258" spans="2:50" ht="14.5" thickBot="1">
      <c r="B258" s="30"/>
      <c r="C258" s="34"/>
      <c r="D258" s="251"/>
      <c r="E258" s="333">
        <f>SUM(E10:E257)</f>
        <v>0.01</v>
      </c>
      <c r="F258" s="34"/>
      <c r="G258" s="34"/>
      <c r="H258" s="34"/>
      <c r="I258" s="34"/>
      <c r="J258" s="34"/>
      <c r="K258" s="34"/>
      <c r="L258" s="34"/>
      <c r="M258" s="34"/>
      <c r="N258" s="34"/>
      <c r="O258" s="34"/>
      <c r="P258" s="1695"/>
      <c r="Q258" s="1790"/>
      <c r="R258" s="333">
        <f>SUM(R10:R257)</f>
        <v>0.06688</v>
      </c>
      <c r="S258" s="59"/>
      <c r="T258" s="113"/>
      <c r="U258" s="440">
        <f>SUM(U10:U257)</f>
        <v>0.01</v>
      </c>
      <c r="V258" s="441">
        <f>SUM(V10:V257)</f>
        <v>0</v>
      </c>
      <c r="W258" s="441" cm="1">
        <f t="array" ref="W258">IF(OR(W10:W257="Error in Lengths ▲",W10:W257="Error"),"Error ▲",SUM(W10:W257))</f>
        <v>0.06688</v>
      </c>
      <c r="X258" s="441" cm="1">
        <f t="array" ref="X258">IF(OR(W10:W257="Error in Lengths ▲",X10:X257="Error"),"Error ▲",SUM(X10:X257))</f>
        <v>0</v>
      </c>
      <c r="Y258" s="441">
        <f>SUM(Y10:Y257)</f>
        <v>0</v>
      </c>
      <c r="Z258" s="441">
        <f>IFERROR(IF(E258="","",SUMIF(Z10:Z257,"&gt;0",Z10:Z257)),"Check Data ⚠")</f>
        <v>0</v>
      </c>
      <c r="AA258" s="417"/>
      <c r="AE258" s="706">
        <f>SUM(AE10:AE257)</f>
        <v>0</v>
      </c>
      <c r="AT258" s="885">
        <f>SUM(AT10:AT257)</f>
        <v>0</v>
      </c>
      <c r="AU258" s="30" t="str">
        <f>IF(D258="","",VLOOKUP(D258,'G-7 WaterC'' Data'!B$4:M$8,12,FALSE))</f>
        <v/>
      </c>
      <c r="AX258" s="30" t="str">
        <f t="shared" si="39"/>
        <v>No</v>
      </c>
    </row>
    <row r="259" spans="2:27" ht="14">
      <c r="B259" s="30"/>
      <c r="C259" s="30"/>
      <c r="T259" s="113"/>
      <c r="U259" s="113"/>
      <c r="V259" s="113"/>
      <c r="W259" s="113"/>
      <c r="X259" s="113"/>
      <c r="Y259" s="113"/>
      <c r="Z259" s="113"/>
      <c r="AA259" s="113"/>
    </row>
  </sheetData>
  <sheetProtection algorithmName="SHA-512" hashValue="2m5/aj6JdyUcByxosv6DsptmxlscW5TedJF9H8UhRMrxUePibkAXJLlEYzMAds24lIXr16pT0XxvC4JGaRRfdw==" saltValue="+8f8rf1WlBHXHT4f7QK/pw==" spinCount="100000" sheet="1" objects="1" scenarios="1"/>
  <customSheetViews>
    <customSheetView guid="{8bda793c-c9c5-4fc6-a0a5-f1109f6d4f22}" state="hidden" topLeftCell="A1">
      <pane ySplit="9" topLeftCell="A10" activePane="bottomLeft" state="frozen"/>
      <selection pane="bottomLeft" activeCell="D14" sqref="D14"/>
      <pageMargins left="0.75" right="0.75" top="1" bottom="1" header="0.5" footer="0.5"/>
    </customSheetView>
  </customSheetViews>
  <mergeCells count="23">
    <mergeCell ref="AA8:AA9"/>
    <mergeCell ref="S8:S9"/>
    <mergeCell ref="AB8:AD8"/>
    <mergeCell ref="L2:R4"/>
    <mergeCell ref="U5:Z6"/>
    <mergeCell ref="U8:Z8"/>
    <mergeCell ref="P258:Q258"/>
    <mergeCell ref="J8:L8"/>
    <mergeCell ref="M8:N8"/>
    <mergeCell ref="O8:P8"/>
    <mergeCell ref="Q8:Q9"/>
    <mergeCell ref="B2:D2"/>
    <mergeCell ref="B3:D4"/>
    <mergeCell ref="C8:E8"/>
    <mergeCell ref="F8:G8"/>
    <mergeCell ref="H8:I8"/>
    <mergeCell ref="F3:H3"/>
    <mergeCell ref="F4:H4"/>
    <mergeCell ref="I3:J3"/>
    <mergeCell ref="I4:J4"/>
    <mergeCell ref="F2:J2"/>
    <mergeCell ref="F5:H5"/>
    <mergeCell ref="I5:J5"/>
  </mergeCells>
  <conditionalFormatting sqref="Q10:Q257">
    <cfRule type="containsText" priority="10" dxfId="666" operator="containsText" text="Same">
      <formula>NOT(ISERROR(SEARCH("Same",Q10)))</formula>
    </cfRule>
    <cfRule type="containsText" priority="38" dxfId="896" operator="containsText" text="Bespoke">
      <formula>NOT(ISERROR(SEARCH("Bespoke",Q10)))</formula>
    </cfRule>
    <cfRule type="containsText" priority="77" dxfId="666" operator="containsText" text="Restore">
      <formula>NOT(ISERROR(SEARCH("Restore",Q10)))</formula>
    </cfRule>
  </conditionalFormatting>
  <conditionalFormatting sqref="K10:L257">
    <cfRule type="containsText" priority="72" dxfId="1281" operator="containsText" text="Spatial">
      <formula>NOT(ISERROR(SEARCH("Spatial",K10)))</formula>
    </cfRule>
  </conditionalFormatting>
  <conditionalFormatting sqref="P10:P257">
    <cfRule type="containsText" priority="71" dxfId="1281" operator="containsText" text="Spatial">
      <formula>NOT(ISERROR(SEARCH("Spatial",P10)))</formula>
    </cfRule>
  </conditionalFormatting>
  <conditionalFormatting sqref="Y10:Y257">
    <cfRule type="containsText" priority="70" dxfId="1273" operator="containsText" text="Error">
      <formula>NOT(ISERROR(SEARCH("Error",Y10)))</formula>
    </cfRule>
  </conditionalFormatting>
  <conditionalFormatting sqref="Z10:AA257">
    <cfRule type="containsText" priority="68" dxfId="1267" operator="containsText" text="Check">
      <formula>NOT(ISERROR(SEARCH("Check",Z10)))</formula>
    </cfRule>
    <cfRule type="containsText" priority="69" dxfId="1273" operator="containsText" text="Error">
      <formula>NOT(ISERROR(SEARCH("Error",Z10)))</formula>
    </cfRule>
  </conditionalFormatting>
  <conditionalFormatting sqref="U5:AA6">
    <cfRule type="containsText" priority="59" dxfId="1281" operator="containsText" text="Check">
      <formula>NOT(ISERROR(SEARCH("Check",U5)))</formula>
    </cfRule>
  </conditionalFormatting>
  <conditionalFormatting sqref="I4">
    <cfRule type="containsText" priority="5" dxfId="1273" operator="containsText" text="Error">
      <formula>NOT(ISERROR(SEARCH("Error",I4)))</formula>
    </cfRule>
    <cfRule type="containsText" priority="46" dxfId="1267" operator="containsText" text="Check">
      <formula>NOT(ISERROR(SEARCH("Check",I4)))</formula>
    </cfRule>
  </conditionalFormatting>
  <conditionalFormatting sqref="I3">
    <cfRule type="containsText" priority="57" dxfId="1273" operator="containsText" text="Error">
      <formula>NOT(ISERROR(SEARCH("Error",I3)))</formula>
    </cfRule>
    <cfRule type="containsText" priority="58" dxfId="1267" operator="containsText" text="Check">
      <formula>NOT(ISERROR(SEARCH("Check",I3)))</formula>
    </cfRule>
  </conditionalFormatting>
  <conditionalFormatting sqref="L2:S4">
    <cfRule type="containsText" priority="52" dxfId="1281" operator="containsText" text="Check">
      <formula>NOT(ISERROR(SEARCH("Check",L2)))</formula>
    </cfRule>
  </conditionalFormatting>
  <conditionalFormatting sqref="I5">
    <cfRule type="containsText" priority="50" dxfId="1273" operator="containsText" text="No">
      <formula>NOT(ISERROR(SEARCH("No",I5)))</formula>
    </cfRule>
    <cfRule type="containsText" priority="51" dxfId="1282" operator="containsText" text="Yes">
      <formula>NOT(ISERROR(SEARCH("Yes",I5)))</formula>
    </cfRule>
  </conditionalFormatting>
  <conditionalFormatting sqref="I10:I257">
    <cfRule type="containsText" priority="49" dxfId="1273" operator="containsText" text="Not possible">
      <formula>NOT(ISERROR(SEARCH("Not possible",I10)))</formula>
    </cfRule>
  </conditionalFormatting>
  <conditionalFormatting sqref="W258:X258">
    <cfRule type="containsText" priority="48" dxfId="1273" operator="containsText" text="Error">
      <formula>NOT(ISERROR(SEARCH("Error",W258)))</formula>
    </cfRule>
  </conditionalFormatting>
  <conditionalFormatting sqref="W10:W257">
    <cfRule type="containsText" priority="47" dxfId="1273" operator="containsText" text="Error">
      <formula>NOT(ISERROR(SEARCH("Error",W10)))</formula>
    </cfRule>
  </conditionalFormatting>
  <conditionalFormatting sqref="I4:J4">
    <cfRule type="cellIs" priority="45" dxfId="881" operator="equal">
      <formula>0</formula>
    </cfRule>
    <cfRule type="cellIs" priority="54" dxfId="1273" operator="lessThan">
      <formula>0</formula>
    </cfRule>
  </conditionalFormatting>
  <conditionalFormatting sqref="AA1:AA1048576">
    <cfRule type="containsText" priority="2" dxfId="1281" operator="containsText" text="Pending">
      <formula>NOT(ISERROR(SEARCH("Pending",AA1)))</formula>
    </cfRule>
    <cfRule type="containsText" priority="41" dxfId="1282" operator="containsText" text="Yes">
      <formula>NOT(ISERROR(SEARCH("Yes",AA1)))</formula>
    </cfRule>
    <cfRule type="containsText" priority="42" dxfId="1273" operator="containsText" text="No">
      <formula>NOT(ISERROR(SEARCH("No",AA1)))</formula>
    </cfRule>
  </conditionalFormatting>
  <conditionalFormatting sqref="Z10:Z257">
    <cfRule type="containsText" priority="9" dxfId="1281" operator="containsText" text="⚠">
      <formula>NOT(ISERROR(SEARCH("⚠",Z10)))</formula>
    </cfRule>
    <cfRule type="containsText" priority="39" dxfId="1273" operator="containsText" text="▲">
      <formula>NOT(ISERROR(SEARCH("▲",Z10)))</formula>
    </cfRule>
    <cfRule type="containsText" priority="40" dxfId="1282" operator="containsText" text="✓">
      <formula>NOT(ISERROR(SEARCH("✓",Z10)))</formula>
    </cfRule>
  </conditionalFormatting>
  <conditionalFormatting sqref="R10:S257">
    <cfRule type="containsText" priority="37" dxfId="1281" operator="containsText" text="⚠">
      <formula>NOT(ISERROR(SEARCH("⚠",R10)))</formula>
    </cfRule>
  </conditionalFormatting>
  <conditionalFormatting sqref="Y10:Y257">
    <cfRule type="containsText" priority="36" dxfId="1281" operator="containsText" text="⚠">
      <formula>NOT(ISERROR(SEARCH("⚠",Y10)))</formula>
    </cfRule>
  </conditionalFormatting>
  <conditionalFormatting sqref="U258:Z258">
    <cfRule type="containsText" priority="35" dxfId="1273" operator="containsText" text="▲">
      <formula>NOT(ISERROR(SEARCH("▲",U258)))</formula>
    </cfRule>
  </conditionalFormatting>
  <conditionalFormatting sqref="R258:S258">
    <cfRule type="containsText" priority="34" dxfId="1273" operator="containsText" text="▲">
      <formula>NOT(ISERROR(SEARCH("▲",R258)))</formula>
    </cfRule>
  </conditionalFormatting>
  <conditionalFormatting sqref="E258">
    <cfRule type="containsText" priority="33" dxfId="1273" operator="containsText" text="▲">
      <formula>NOT(ISERROR(SEARCH("▲",E258)))</formula>
    </cfRule>
  </conditionalFormatting>
  <conditionalFormatting sqref="AE10:AE257">
    <cfRule type="cellIs" priority="29" dxfId="991" operator="equal">
      <formula>""</formula>
    </cfRule>
    <cfRule type="cellIs" priority="30" dxfId="991" operator="equal">
      <formula>"None"</formula>
    </cfRule>
    <cfRule type="cellIs" priority="32" dxfId="1279" operator="greaterThan">
      <formula>0</formula>
    </cfRule>
  </conditionalFormatting>
  <conditionalFormatting sqref="AF11">
    <cfRule type="cellIs" priority="27" dxfId="991" operator="equal">
      <formula>"None"</formula>
    </cfRule>
    <cfRule type="cellIs" priority="28" dxfId="991" operator="equal">
      <formula>""</formula>
    </cfRule>
    <cfRule type="cellIs" priority="31" dxfId="1279" operator="greaterThan">
      <formula>0</formula>
    </cfRule>
  </conditionalFormatting>
  <conditionalFormatting sqref="AE10:AE257">
    <cfRule type="cellIs" priority="23" dxfId="991" operator="equal">
      <formula>""</formula>
    </cfRule>
    <cfRule type="cellIs" priority="24" dxfId="991" operator="equal">
      <formula>"None"</formula>
    </cfRule>
    <cfRule type="cellIs" priority="26" dxfId="1279" operator="greaterThan">
      <formula>0</formula>
    </cfRule>
  </conditionalFormatting>
  <conditionalFormatting sqref="AF10:AF257">
    <cfRule type="cellIs" priority="21" dxfId="991" operator="equal">
      <formula>"None"</formula>
    </cfRule>
    <cfRule type="cellIs" priority="22" dxfId="991" operator="equal">
      <formula>""</formula>
    </cfRule>
    <cfRule type="cellIs" priority="25" dxfId="1279" operator="greaterThan">
      <formula>0</formula>
    </cfRule>
  </conditionalFormatting>
  <conditionalFormatting sqref="AE10:AE257">
    <cfRule type="cellIs" priority="17" dxfId="991" operator="equal">
      <formula>""</formula>
    </cfRule>
    <cfRule type="cellIs" priority="18" dxfId="991" operator="equal">
      <formula>"None"</formula>
    </cfRule>
    <cfRule type="cellIs" priority="20" dxfId="1279" operator="greaterThan">
      <formula>0</formula>
    </cfRule>
  </conditionalFormatting>
  <conditionalFormatting sqref="AF12:AF257">
    <cfRule type="cellIs" priority="15" dxfId="991" operator="equal">
      <formula>"None"</formula>
    </cfRule>
    <cfRule type="cellIs" priority="16" dxfId="991" operator="equal">
      <formula>""</formula>
    </cfRule>
    <cfRule type="cellIs" priority="19" dxfId="1279" operator="greaterThan">
      <formula>0</formula>
    </cfRule>
  </conditionalFormatting>
  <conditionalFormatting sqref="AE10:AE257">
    <cfRule type="cellIs" priority="14" dxfId="991" operator="equal">
      <formula>0</formula>
    </cfRule>
  </conditionalFormatting>
  <conditionalFormatting sqref="I3:J5">
    <cfRule type="containsText" priority="44" dxfId="932" operator="containsText" text="N/A">
      <formula>NOT(ISERROR(SEARCH("N/A",I3)))</formula>
    </cfRule>
  </conditionalFormatting>
  <conditionalFormatting sqref="S1:S1048576">
    <cfRule type="containsText" priority="12" dxfId="1281" operator="containsText" text="Yes">
      <formula>NOT(ISERROR(SEARCH("Yes",S1)))</formula>
    </cfRule>
  </conditionalFormatting>
  <conditionalFormatting sqref="W1:W1048576">
    <cfRule type="containsText" priority="11" dxfId="1281" operator="containsText" text="⚠">
      <formula>NOT(ISERROR(SEARCH("⚠",W1)))</formula>
    </cfRule>
  </conditionalFormatting>
  <conditionalFormatting sqref="R10:R257">
    <cfRule type="containsText" priority="8" dxfId="1273" operator="containsText" text="▲">
      <formula>NOT(ISERROR(SEARCH("▲",R10)))</formula>
    </cfRule>
  </conditionalFormatting>
  <conditionalFormatting sqref="N1:N1048576">
    <cfRule type="containsText" priority="7" dxfId="1273" operator="containsText" text="Not possible">
      <formula>NOT(ISERROR(SEARCH("Not possible",N1)))</formula>
    </cfRule>
  </conditionalFormatting>
  <conditionalFormatting sqref="P1:P1048576">
    <cfRule type="containsText" priority="6" dxfId="1273" operator="containsText" text="Not possible">
      <formula>NOT(ISERROR(SEARCH("Not possible",P1)))</formula>
    </cfRule>
  </conditionalFormatting>
  <conditionalFormatting sqref="K1:K1048576">
    <cfRule type="containsText" priority="4" dxfId="1273" operator="containsText" text="▲">
      <formula>NOT(ISERROR(SEARCH("▲",K1)))</formula>
    </cfRule>
  </conditionalFormatting>
  <conditionalFormatting sqref="Q1:Q1048576">
    <cfRule type="containsText" priority="1" dxfId="291" operator="containsText" text="Better">
      <formula>NOT(ISERROR(SEARCH("Better",Q1)))</formula>
    </cfRule>
    <cfRule type="containsText" priority="3" dxfId="1281" operator="containsText" text="⚠">
      <formula>NOT(ISERROR(SEARCH("⚠",Q1)))</formula>
    </cfRule>
  </conditionalFormatting>
  <conditionalFormatting sqref="I4:J4">
    <cfRule type="expression" priority="13" dxfId="1289">
      <formula>'Headline Results'!$H$10:$I$10=0</formula>
    </cfRule>
  </conditionalFormatting>
  <conditionalFormatting sqref="I4:J4">
    <cfRule type="cellIs" priority="482" dxfId="1284" operator="greaterThanOrEqual">
      <formula>Start!$F$22</formula>
    </cfRule>
  </conditionalFormatting>
  <conditionalFormatting sqref="I4:J4">
    <cfRule type="cellIs" priority="43" dxfId="1294" operator="lessThan">
      <formula>Start!$F$22</formula>
    </cfRule>
  </conditionalFormatting>
  <dataValidations count="6">
    <dataValidation type="list" allowBlank="1" showInputMessage="1" showErrorMessage="1" sqref="H10:H257">
      <formula1>INDIRECT(AR10)</formula1>
    </dataValidation>
    <dataValidation type="list" allowBlank="1" showInputMessage="1" showErrorMessage="1" sqref="M10:M257">
      <formula1>IF(D10="Culvert",riparianencroachment2,riparianencroachment1)</formula1>
    </dataValidation>
    <dataValidation type="list" allowBlank="1" showInputMessage="1" showErrorMessage="1" sqref="O10:O257">
      <formula1>IF(D10="Culvert",Encroachment2,Encroachment1)</formula1>
    </dataValidation>
    <dataValidation type="list" allowBlank="1" showInputMessage="1" showErrorMessage="1" sqref="AA10:AA257">
      <formula1>"Yes, No, Pending"</formula1>
    </dataValidation>
    <dataValidation type="list" allowBlank="1" showInputMessage="1" showErrorMessage="1" sqref="D10:D257">
      <formula1>'G-7 WaterC'' Data'!$B$4:$B$8</formula1>
    </dataValidation>
    <dataValidation type="list" allowBlank="1" showInputMessage="1" showErrorMessage="1" sqref="J10:J257">
      <formula1>'G-7 WaterC'' Data'!$AK$4:$AK$6</formula1>
    </dataValidation>
  </dataValidations>
  <pageMargins left="0.7" right="0.7" top="0.75" bottom="0.75" header="0.3" footer="0.3"/>
  <pageSetup horizontalDpi="90" verticalDpi="90" orientation="portrait" paperSize="9"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B2:AK260"/>
  <sheetViews>
    <sheetView zoomScale="80" zoomScaleNormal="80" workbookViewId="0" topLeftCell="I2">
      <pane ySplit="10" topLeftCell="A12" activePane="bottomLeft" state="frozen"/>
      <selection pane="topLeft" activeCell="A2" sqref="A2"/>
      <selection pane="bottomLeft" activeCell="AA12" sqref="AA12"/>
    </sheetView>
  </sheetViews>
  <sheetFormatPr defaultColWidth="42.5442857142857" defaultRowHeight="38.15" customHeight="1" zeroHeight="1"/>
  <cols>
    <col min="1" max="1" width="2.57142857142857" style="30" customWidth="1"/>
    <col min="2" max="2" width="10.5714285714286" style="30" customWidth="1"/>
    <col min="3" max="3" width="41" style="30" customWidth="1"/>
    <col min="4" max="4" width="10" style="30" customWidth="1"/>
    <col min="5" max="5" width="18.4285714285714" style="30" customWidth="1"/>
    <col min="6" max="6" width="13.4285714285714" style="30" customWidth="1"/>
    <col min="7" max="7" width="12.5714285714286" style="30" bestFit="1" customWidth="1"/>
    <col min="8" max="8" width="12.5714285714286" style="30" customWidth="1"/>
    <col min="9" max="9" width="33.5714285714286" style="30" customWidth="1"/>
    <col min="10" max="10" width="22.4285714285714" style="30" customWidth="1"/>
    <col min="11" max="11" width="13.5714285714286" style="30" customWidth="1"/>
    <col min="12" max="12" width="20.5714285714286" style="30" customWidth="1"/>
    <col min="13" max="14" width="17.5714285714286" style="30" customWidth="1"/>
    <col min="15" max="15" width="23.5714285714286" style="30" customWidth="1"/>
    <col min="16" max="16" width="20.4285714285714" style="30" customWidth="1"/>
    <col min="17" max="17" width="15.4285714285714" style="30" customWidth="1"/>
    <col min="18" max="18" width="15" style="30" customWidth="1"/>
    <col min="19" max="19" width="21.5714285714286" style="30" customWidth="1"/>
    <col min="20" max="20" width="15.5714285714286" style="30" customWidth="1"/>
    <col min="21" max="21" width="13.5714285714286" style="30" customWidth="1"/>
    <col min="22" max="22" width="17.5714285714286" style="30" customWidth="1"/>
    <col min="23" max="23" width="13.4285714285714" style="30" customWidth="1"/>
    <col min="24" max="24" width="21.4285714285714" style="30" customWidth="1"/>
    <col min="25" max="25" width="13.4285714285714" style="30" customWidth="1"/>
    <col min="26" max="26" width="17.4285714285714" style="30" customWidth="1"/>
    <col min="27" max="28" width="34.5714285714286" style="30" customWidth="1"/>
    <col min="29" max="29" width="14.4285714285714" style="30" customWidth="1"/>
    <col min="30" max="16382" width="42.5714285714286" style="30" hidden="1" customWidth="1"/>
    <col min="16383" max="16383" width="42.5714285714286" style="30" customWidth="1"/>
    <col min="16384" max="16384" width="42.5714285714286" style="30"/>
  </cols>
  <sheetData>
    <row r="1" ht="14.5" hidden="1" thickBot="1"/>
    <row r="2" spans="2:27" ht="24.65" customHeight="1" thickBot="1">
      <c r="B2" s="1784" t="str">
        <f>CONCATENATE("Project Name:"," ",Start!F12,"     ","Map Reference:"," ",Start!K55)</f>
        <v xml:space="preserve">Project Name: Land east of Calne Road, Lyneham     Map Reference: </v>
      </c>
      <c r="C2" s="1786"/>
      <c r="D2" s="1786"/>
      <c r="E2" s="1785"/>
      <c r="J2" s="239"/>
      <c r="K2" s="239"/>
      <c r="V2" s="1715" t="str">
        <f>IF(OR(COUNTIF(L$12:$L260,"*30+*")&gt;0,COUNTIF(P$12:$P260,"*30+*")&gt;0),"Note; Habitat selected has a time to target condition greater than 30 years. Non standard agreement may be required. ⚠","")</f>
        <v/>
      </c>
      <c r="W2" s="1715"/>
      <c r="X2" s="1715"/>
      <c r="Y2" s="1715"/>
      <c r="Z2" s="1715"/>
      <c r="AA2" s="1715"/>
    </row>
    <row r="3" spans="2:27" ht="21" customHeight="1" thickBot="1">
      <c r="B3" s="1449" t="str">
        <f ca="1">MID(CELL("filename",A1),FIND("]",CELL("filename",A1))+1,256)</f>
        <v>C-2 On-Site WaterC' Creation</v>
      </c>
      <c r="C3" s="1450"/>
      <c r="D3" s="1450"/>
      <c r="E3" s="1451"/>
      <c r="I3" s="1597" t="s">
        <v>475</v>
      </c>
      <c r="J3" s="1598"/>
      <c r="K3" s="1598"/>
      <c r="L3" s="1598"/>
      <c r="M3" s="1598"/>
      <c r="N3" s="1598"/>
      <c r="O3" s="1599"/>
      <c r="Q3" s="241"/>
      <c r="R3" s="241"/>
      <c r="S3" s="241"/>
      <c r="V3" s="1715"/>
      <c r="W3" s="1715"/>
      <c r="X3" s="1715"/>
      <c r="Y3" s="1715"/>
      <c r="Z3" s="1715"/>
      <c r="AA3" s="1715"/>
    </row>
    <row r="4" spans="2:27" ht="15" customHeight="1" thickBot="1">
      <c r="B4" s="1449"/>
      <c r="C4" s="1450"/>
      <c r="D4" s="1450"/>
      <c r="E4" s="1451"/>
      <c r="I4" s="1663" t="s">
        <v>306</v>
      </c>
      <c r="J4" s="1664"/>
      <c r="K4" s="1664"/>
      <c r="L4" s="1664"/>
      <c r="M4" s="1658">
        <f>'Headline Results'!H49</f>
        <v>0</v>
      </c>
      <c r="N4" s="1658"/>
      <c r="O4" s="1659"/>
      <c r="Q4" s="241"/>
      <c r="R4" s="241"/>
      <c r="S4" s="241"/>
      <c r="V4" s="1715"/>
      <c r="W4" s="1715"/>
      <c r="X4" s="1715"/>
      <c r="Y4" s="1715"/>
      <c r="Z4" s="1715"/>
      <c r="AA4" s="1715"/>
    </row>
    <row r="5" spans="9:26" ht="22.4" customHeight="1">
      <c r="I5" s="1772" t="s">
        <v>308</v>
      </c>
      <c r="J5" s="1773"/>
      <c r="K5" s="1773"/>
      <c r="L5" s="1773"/>
      <c r="M5" s="1660">
        <f>'Headline Results'!H53</f>
        <v>0</v>
      </c>
      <c r="N5" s="1660"/>
      <c r="O5" s="1661"/>
      <c r="Q5" s="241"/>
      <c r="R5" s="241"/>
      <c r="S5" s="241"/>
      <c r="V5" s="1792" t="str" cm="1">
        <f t="array" ref="V5">IF(OR(AK12:AK260="Yes"),"A 'Fairly' Category has been used for ditches - check evidence to ensure this is appropriate ⚠","")</f>
        <v/>
      </c>
      <c r="W5" s="1792"/>
      <c r="X5" s="1792"/>
      <c r="Y5" s="1792"/>
      <c r="Z5" s="1792"/>
    </row>
    <row r="6" spans="9:26" ht="26.15" customHeight="1" thickBot="1">
      <c r="I6" s="1774" t="s">
        <v>310</v>
      </c>
      <c r="J6" s="1750"/>
      <c r="K6" s="1750"/>
      <c r="L6" s="1750"/>
      <c r="M6" s="1750" t="str" cm="1">
        <f t="array" ref="M6">IF(OR('Trading Summary WaterC''s'!G5:H8="No ▲"),"No - check trading summary ▲","Yes ✓")</f>
        <v>Yes ✓</v>
      </c>
      <c r="N6" s="1750"/>
      <c r="O6" s="1751"/>
      <c r="P6" s="241"/>
      <c r="Q6" s="241"/>
      <c r="R6" s="241"/>
      <c r="S6" s="241"/>
      <c r="V6" s="1792"/>
      <c r="W6" s="1792"/>
      <c r="X6" s="1792"/>
      <c r="Y6" s="1792"/>
      <c r="Z6" s="1792"/>
    </row>
    <row r="7" spans="12:16" ht="6" customHeight="1">
      <c r="L7" s="241"/>
      <c r="M7" s="241"/>
      <c r="N7" s="241"/>
      <c r="O7" s="241"/>
      <c r="P7" s="241"/>
    </row>
    <row r="8" ht="6" customHeight="1"/>
    <row r="9" ht="15.75" customHeight="1" thickBot="1"/>
    <row r="10" spans="2:29" s="33" customFormat="1" ht="29.25" customHeight="1" thickBot="1">
      <c r="B10" s="160"/>
      <c r="C10" s="1692" t="s">
        <v>459</v>
      </c>
      <c r="D10" s="1692"/>
      <c r="E10" s="1692" t="s">
        <v>312</v>
      </c>
      <c r="F10" s="1692"/>
      <c r="G10" s="1692" t="s">
        <v>407</v>
      </c>
      <c r="H10" s="1692"/>
      <c r="I10" s="1692" t="s">
        <v>314</v>
      </c>
      <c r="J10" s="1692"/>
      <c r="K10" s="1692"/>
      <c r="L10" s="1725" t="s">
        <v>428</v>
      </c>
      <c r="M10" s="1436"/>
      <c r="N10" s="1436"/>
      <c r="O10" s="1436"/>
      <c r="P10" s="1436"/>
      <c r="Q10" s="1429"/>
      <c r="R10" s="1725" t="s">
        <v>429</v>
      </c>
      <c r="S10" s="1436"/>
      <c r="T10" s="1436"/>
      <c r="U10" s="1429"/>
      <c r="V10" s="1692" t="s">
        <v>477</v>
      </c>
      <c r="W10" s="1692"/>
      <c r="X10" s="1692" t="s">
        <v>478</v>
      </c>
      <c r="Y10" s="1692"/>
      <c r="Z10" s="1698" t="s">
        <v>492</v>
      </c>
      <c r="AA10" s="1701" t="s">
        <v>318</v>
      </c>
      <c r="AB10" s="1702"/>
      <c r="AC10" s="1703"/>
    </row>
    <row r="11" spans="2:37" s="33" customFormat="1" ht="62.15" customHeight="1" thickBot="1">
      <c r="B11" s="506" t="s">
        <v>323</v>
      </c>
      <c r="C11" s="116" t="s">
        <v>175</v>
      </c>
      <c r="D11" s="120" t="s">
        <v>451</v>
      </c>
      <c r="E11" s="116" t="s">
        <v>312</v>
      </c>
      <c r="F11" s="120" t="s">
        <v>328</v>
      </c>
      <c r="G11" s="116" t="s">
        <v>313</v>
      </c>
      <c r="H11" s="120" t="s">
        <v>328</v>
      </c>
      <c r="I11" s="116" t="s">
        <v>314</v>
      </c>
      <c r="J11" s="121" t="s">
        <v>314</v>
      </c>
      <c r="K11" s="120" t="s">
        <v>329</v>
      </c>
      <c r="L11" s="116" t="s">
        <v>462</v>
      </c>
      <c r="M11" s="121" t="s">
        <v>436</v>
      </c>
      <c r="N11" s="121" t="s">
        <v>421</v>
      </c>
      <c r="O11" s="121" t="s">
        <v>398</v>
      </c>
      <c r="P11" s="121" t="s">
        <v>399</v>
      </c>
      <c r="Q11" s="120" t="s">
        <v>469</v>
      </c>
      <c r="R11" s="116" t="s">
        <v>422</v>
      </c>
      <c r="S11" s="121" t="s">
        <v>493</v>
      </c>
      <c r="T11" s="121" t="s">
        <v>423</v>
      </c>
      <c r="U11" s="120" t="s">
        <v>404</v>
      </c>
      <c r="V11" s="116" t="s">
        <v>480</v>
      </c>
      <c r="W11" s="120" t="s">
        <v>481</v>
      </c>
      <c r="X11" s="116" t="s">
        <v>482</v>
      </c>
      <c r="Y11" s="120" t="s">
        <v>481</v>
      </c>
      <c r="Z11" s="1698"/>
      <c r="AA11" s="112" t="s">
        <v>302</v>
      </c>
      <c r="AB11" s="530" t="s">
        <v>279</v>
      </c>
      <c r="AC11" s="617" t="s">
        <v>280</v>
      </c>
      <c r="AH11" s="168" t="s">
        <v>322</v>
      </c>
      <c r="AK11" s="33" t="s">
        <v>494</v>
      </c>
    </row>
    <row r="12" spans="2:37" ht="14">
      <c r="B12" s="226">
        <v>1</v>
      </c>
      <c r="C12" s="918"/>
      <c r="D12" s="51"/>
      <c r="E12" s="275" t="str">
        <f>IF(C12="","",VLOOKUP(C12,'G-7 WaterC'' Data'!$B$2:$G$8,2,FALSE))</f>
        <v/>
      </c>
      <c r="F12" s="276" t="str">
        <f>IFERROR(VLOOKUP(E12,'G-7 WaterC'' Data'!$C$4:$D$8,2,FALSE),"")</f>
        <v/>
      </c>
      <c r="G12" s="101"/>
      <c r="H12" s="276" t="str">
        <f>IFERROR(INDEX('G-7 WaterC'' Data'!$H$4:$L$8,MATCH(C12,'G-7 WaterC'' Data'!$B$4:$B$8,0),MATCH(G12,'G-7 WaterC'' Data'!$H$3:$L$3,0)),"")</f>
        <v/>
      </c>
      <c r="I12" s="52"/>
      <c r="J12" s="283" t="str">
        <f>IF(I12="","",IF(VLOOKUP(I12,'G-7 WaterC'' Data'!$AK$4:$AM$6,2,FALSE)=0,"Spatial Data Missing ⚠",VLOOKUP(I12,'G-7 WaterC'' Data'!$AK$4:$AM$6,2,FALSE)))</f>
        <v/>
      </c>
      <c r="K12" s="276" t="str">
        <f>IF(I12="","",IF(VLOOKUP(I12,'G-7 WaterC'' Data'!$AK$4:$AM$6,3,FALSE)=0,"Spatial Data Missing ⚠",VLOOKUP(I12,'G-7 WaterC'' Data'!$AK$4:$AM$6,3,FALSE)))</f>
        <v/>
      </c>
      <c r="L12" s="275" t="str">
        <f>IFERROR(INDEX('G-7 WaterC'' Data'!$O$3:$O$7,MATCH(G12,'G-7 WaterC'' Data'!$N$3:$N$7,0)),"")</f>
        <v/>
      </c>
      <c r="M12" s="58"/>
      <c r="N12" s="58"/>
      <c r="O12" s="283"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296" t="str">
        <f>IF(O12="Error -both advance and delayed habitat creation ▲","Check Data ⚠",IF(L12="","",IF(M12="30+",0,IF(N12="30+","30+",IF(L12+N12&gt;30,"30+ ",IF(L12+N12-M12&gt;0,L12+N12-M12,IF(L12-M12&lt;0,0,L12+N12-M12)))))))</f>
        <v/>
      </c>
      <c r="Q12" s="334" t="str">
        <f>IFERROR(IF(P12="Check Data ⚠","Check Data ⚠",VLOOKUP(P12,'G-4 Temporal multipliers'!$A$4:$C$37,3,FALSE)),"")</f>
        <v/>
      </c>
      <c r="R12" s="275" t="str">
        <f>IF(C12="","",VLOOKUP(C12,'G-7 WaterC'' Data'!$B$4:$G$8,4,FALSE))</f>
        <v/>
      </c>
      <c r="S12" s="283" t="str">
        <f>IF(C12="","",IF(P12="Check Data ⚠","Check Data ⚠",IF(G12="","",IF($O12="Check details - Is there evidence that habitat has reached target condition? ⚠","Low Difficulty - only applicable if all habitat created before losses ⚠","Standard difficulty applied"))))</f>
        <v/>
      </c>
      <c r="T12" s="314" t="str">
        <f>(IF(AND(S12="Standard difficulty applied",L12&gt;M12),R12,IF(AND(S12="Low Difficulty - only applicable if all habitat created before losses ⚠",M12&gt;=L12),"Low",R12)))</f>
        <v/>
      </c>
      <c r="U12" s="276" t="str">
        <f>IF(C12="","",VLOOKUP(T12,'G-3 Multipliers'!$P$2:$Q$6,2,FALSE))</f>
        <v/>
      </c>
      <c r="V12" s="52"/>
      <c r="W12" s="276" t="str">
        <f>IF(V12="","",IF(AND(V12="N/A - Culvert",C12&lt;&gt;"Culvert"),"Not possible ▲",IF(AND(C12="Culvert",V12&lt;&gt;"N/A - Culvert"),"Not possible ▲",IF(VLOOKUP(V12,'G-7 WaterC'' Data'!$AA$4:$AB$7,2,FALSE)=0,"Spatial Data Missing ⚠",VLOOKUP(V12,'G-7 WaterC'' Data'!$AA$4:$AB$7,2,FALSE)))))</f>
        <v/>
      </c>
      <c r="X12" s="56"/>
      <c r="Y12" s="276" t="str">
        <f>IF(X12="","",IF(AND(X12="N/A - Culvert",C12&lt;&gt;"Culvert"),"Not possible ▲",IF(AND(C12="Culvert",X12&lt;&gt;"N/A - Culvert"),"Not possible ▲",IF(VLOOKUP(X12,'G-7 WaterC'' Data'!$AD$4:$AE$14,2,FALSE)=0,"Enrcoachment Data Missing ⚠",VLOOKUP(X12,'G-7 WaterC'' Data'!$AD$4:$AE$14,2,FALSE)))))</f>
        <v/>
      </c>
      <c r="Z12" s="317" t="str">
        <f>IFERROR(IF(C12="","",D12*F12*H12*K12*Q12*U12*Y12*W12),"")</f>
        <v/>
      </c>
      <c r="AA12" s="101"/>
      <c r="AB12" s="115"/>
      <c r="AC12" s="115"/>
      <c r="AH12" s="30" t="str">
        <f>IFERROR(INDEX('G-7 WaterC'' Data'!$AZ$3:$AZ$7,MATCH(C12,'G-7 WaterC'' Data'!$AY$3:$AY$7,0)),"")</f>
        <v/>
      </c>
      <c r="AK12" s="30" t="str">
        <f>IF(AND(C12="Ditches",(OR(G12="Fairly Poor",G12="Fairly Good"))),"Yes","No")</f>
        <v>No</v>
      </c>
    </row>
    <row r="13" spans="2:37" ht="14">
      <c r="B13" s="97">
        <v>2</v>
      </c>
      <c r="C13" s="919"/>
      <c r="D13" s="51"/>
      <c r="E13" s="275" t="str">
        <f>IF(C13="","",VLOOKUP(C13,'G-7 WaterC'' Data'!$B$2:$G$8,2,FALSE))</f>
        <v/>
      </c>
      <c r="F13" s="276" t="str">
        <f>IFERROR(VLOOKUP(E13,'G-7 WaterC'' Data'!$C$4:$D$8,2,FALSE),"")</f>
        <v/>
      </c>
      <c r="G13" s="101"/>
      <c r="H13" s="276" t="str">
        <f>IFERROR(INDEX('G-7 WaterC'' Data'!$H$4:$L$8,MATCH(C13,'G-7 WaterC'' Data'!$B$4:$B$8,0),MATCH(G13,'G-7 WaterC'' Data'!$H$3:$L$3,0)),"")</f>
        <v/>
      </c>
      <c r="I13" s="52"/>
      <c r="J13" s="283" t="str">
        <f>IF(I13="","",IF(VLOOKUP(I13,'G-7 WaterC'' Data'!$AK$4:$AM$6,2,FALSE)=0,"Spatial Data Missing ⚠",VLOOKUP(I13,'G-7 WaterC'' Data'!$AK$4:$AM$6,2,FALSE)))</f>
        <v/>
      </c>
      <c r="K13" s="276" t="str">
        <f>IF(I13="","",IF(VLOOKUP(I13,'G-7 WaterC'' Data'!$AK$4:$AM$6,3,FALSE)=0,"Spatial Data Missing ⚠",VLOOKUP(I13,'G-7 WaterC'' Data'!$AK$4:$AM$6,3,FALSE)))</f>
        <v/>
      </c>
      <c r="L13" s="275" t="str">
        <f>IFERROR(INDEX('G-7 WaterC'' Data'!$O$3:$O$7,MATCH(G13,'G-7 WaterC'' Data'!$N$3:$N$7,0)),"")</f>
        <v/>
      </c>
      <c r="M13" s="58"/>
      <c r="N13" s="58"/>
      <c r="O13" s="283" t="str">
        <f t="shared" si="0" ref="O13:O76">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296" t="str">
        <f t="shared" si="1" ref="P13:P76">IF(O13="Error -both advance and delayed habitat creation ▲","Check Data ⚠",IF(L13="","",IF(M13="30+",0,IF(N13="30+","30+",IF(L13+N13&gt;30,"30+ ",IF(L13+N13-M13&gt;0,L13+N13-M13,IF(L13-M13&lt;0,0,L13+N13-M13)))))))</f>
        <v/>
      </c>
      <c r="Q13" s="334" t="str">
        <f>IFERROR(IF(P13="Check Data ⚠","Check Data ⚠",VLOOKUP(P13,'G-4 Temporal multipliers'!$A$4:$C$37,3,FALSE)),"")</f>
        <v/>
      </c>
      <c r="R13" s="275" t="str">
        <f>IF(C13="","",VLOOKUP(C13,'G-7 WaterC'' Data'!$B$4:$G$8,4,FALSE))</f>
        <v/>
      </c>
      <c r="S13" s="283" t="str">
        <f t="shared" si="2" ref="S13:S76">IF(C13="","",IF(P13="Check Data ⚠","Check Data ⚠",IF(G13="","",IF($O13="Check details - Is there evidence that habitat has reached target condition? ⚠","Low Difficulty - only applicable if all habitat created before losses ⚠","Standard difficulty applied"))))</f>
        <v/>
      </c>
      <c r="T13" s="314" t="str">
        <f t="shared" si="3" ref="T13:T76">(IF(AND(S13="Standard difficulty applied",L13&gt;M13),R13,IF(AND(S13="Low Difficulty - only applicable if all habitat created before losses ⚠",M13&gt;=L13),"Low",R13)))</f>
        <v/>
      </c>
      <c r="U13" s="276" t="str">
        <f>IF(C13="","",VLOOKUP(T13,'G-3 Multipliers'!$P$2:$Q$6,2,FALSE))</f>
        <v/>
      </c>
      <c r="V13" s="102"/>
      <c r="W13" s="276" t="str">
        <f>IF(V13="","",IF(AND(V13="N/A - Culvert",C13&lt;&gt;"Culvert"),"Not possible ▲",IF(AND(C13="Culvert",V13&lt;&gt;"N/A - Culvert"),"Not possible ▲",IF(VLOOKUP(V13,'G-7 WaterC'' Data'!$AA$4:$AB$7,2,FALSE)=0,"Spatial Data Missing ⚠",VLOOKUP(V13,'G-7 WaterC'' Data'!$AA$4:$AB$7,2,FALSE)))))</f>
        <v/>
      </c>
      <c r="X13" s="56"/>
      <c r="Y13" s="276" t="str">
        <f>IF(X13="","",IF(AND(X13="N/A - Culvert",C13&lt;&gt;"Culvert"),"Not possible ▲",IF(AND(C13="Culvert",X13&lt;&gt;"N/A - Culvert"),"Not possible ▲",IF(VLOOKUP(X13,'G-7 WaterC'' Data'!$AD$4:$AE$14,2,FALSE)=0,"Enrcoachment Data Missing ⚠",VLOOKUP(X13,'G-7 WaterC'' Data'!$AD$4:$AE$14,2,FALSE)))))</f>
        <v/>
      </c>
      <c r="Z13" s="317" t="str">
        <f t="shared" si="4" ref="Z13:Z76">IFERROR(IF(C13="","",D13*F13*H13*K13*Q13*U13*Y13*W13),"")</f>
        <v/>
      </c>
      <c r="AA13" s="101"/>
      <c r="AB13" s="115"/>
      <c r="AC13" s="104"/>
      <c r="AH13" s="30" t="str">
        <f>IFERROR(INDEX('G-7 WaterC'' Data'!$AZ$3:$AZ$7,MATCH(C13,'G-7 WaterC'' Data'!$AY$3:$AY$7,0)),"")</f>
        <v/>
      </c>
      <c r="AK13" s="30" t="str">
        <f t="shared" si="5" ref="AK13:AK76">IF(AND(C13="Ditches",(OR(G13="Fairly Poor",G13="Fairly Good"))),"Yes","No")</f>
        <v>No</v>
      </c>
    </row>
    <row r="14" spans="2:37" ht="14">
      <c r="B14" s="97">
        <v>3</v>
      </c>
      <c r="C14" s="919"/>
      <c r="D14" s="51"/>
      <c r="E14" s="275" t="str">
        <f>IF(C14="","",VLOOKUP(C14,'G-7 WaterC'' Data'!$B$2:$G$8,2,FALSE))</f>
        <v/>
      </c>
      <c r="F14" s="276" t="str">
        <f>IFERROR(VLOOKUP(E14,'G-7 WaterC'' Data'!$C$4:$D$8,2,FALSE),"")</f>
        <v/>
      </c>
      <c r="G14" s="101"/>
      <c r="H14" s="276" t="str">
        <f>IFERROR(INDEX('G-7 WaterC'' Data'!$H$4:$L$8,MATCH(C14,'G-7 WaterC'' Data'!$B$4:$B$8,0),MATCH(G14,'G-7 WaterC'' Data'!$H$3:$L$3,0)),"")</f>
        <v/>
      </c>
      <c r="I14" s="52"/>
      <c r="J14" s="283" t="str">
        <f>IF(I14="","",IF(VLOOKUP(I14,'G-7 WaterC'' Data'!$AK$4:$AM$6,2,FALSE)=0,"Spatial Data Missing ⚠",VLOOKUP(I14,'G-7 WaterC'' Data'!$AK$4:$AM$6,2,FALSE)))</f>
        <v/>
      </c>
      <c r="K14" s="276" t="str">
        <f>IF(I14="","",IF(VLOOKUP(I14,'G-7 WaterC'' Data'!$AK$4:$AM$6,3,FALSE)=0,"Spatial Data Missing ⚠",VLOOKUP(I14,'G-7 WaterC'' Data'!$AK$4:$AM$6,3,FALSE)))</f>
        <v/>
      </c>
      <c r="L14" s="275" t="str">
        <f>IFERROR(INDEX('G-7 WaterC'' Data'!$O$3:$O$7,MATCH(G14,'G-7 WaterC'' Data'!$N$3:$N$7,0)),"")</f>
        <v/>
      </c>
      <c r="M14" s="58"/>
      <c r="N14" s="58"/>
      <c r="O14" s="283" t="str">
        <f t="shared" si="0"/>
        <v/>
      </c>
      <c r="P14" s="296" t="str">
        <f t="shared" si="1"/>
        <v/>
      </c>
      <c r="Q14" s="334" t="str">
        <f>IFERROR(IF(P14="Check Data ⚠","Check Data ⚠",VLOOKUP(P14,'G-4 Temporal multipliers'!$A$4:$C$37,3,FALSE)),"")</f>
        <v/>
      </c>
      <c r="R14" s="275" t="str">
        <f>IF(C14="","",VLOOKUP(C14,'G-7 WaterC'' Data'!$B$4:$G$8,4,FALSE))</f>
        <v/>
      </c>
      <c r="S14" s="283" t="str">
        <f t="shared" si="2"/>
        <v/>
      </c>
      <c r="T14" s="314" t="str">
        <f t="shared" si="3"/>
        <v/>
      </c>
      <c r="U14" s="276" t="str">
        <f>IF(C14="","",VLOOKUP(T14,'G-3 Multipliers'!$P$2:$Q$6,2,FALSE))</f>
        <v/>
      </c>
      <c r="V14" s="102"/>
      <c r="W14" s="276" t="str">
        <f>IF(V14="","",IF(AND(V14="N/A - Culvert",C14&lt;&gt;"Culvert"),"Not possible ▲",IF(AND(C14="Culvert",V14&lt;&gt;"N/A - Culvert"),"Not possible ▲",IF(VLOOKUP(V14,'G-7 WaterC'' Data'!$AA$4:$AB$7,2,FALSE)=0,"Spatial Data Missing ⚠",VLOOKUP(V14,'G-7 WaterC'' Data'!$AA$4:$AB$7,2,FALSE)))))</f>
        <v/>
      </c>
      <c r="X14" s="56"/>
      <c r="Y14" s="276" t="str">
        <f>IF(X14="","",IF(AND(X14="N/A - Culvert",C14&lt;&gt;"Culvert"),"Not possible ▲",IF(AND(C14="Culvert",X14&lt;&gt;"N/A - Culvert"),"Not possible ▲",IF(VLOOKUP(X14,'G-7 WaterC'' Data'!$AD$4:$AE$14,2,FALSE)=0,"Enrcoachment Data Missing ⚠",VLOOKUP(X14,'G-7 WaterC'' Data'!$AD$4:$AE$14,2,FALSE)))))</f>
        <v/>
      </c>
      <c r="Z14" s="317" t="str">
        <f t="shared" si="4"/>
        <v/>
      </c>
      <c r="AA14" s="101"/>
      <c r="AB14" s="115"/>
      <c r="AC14" s="104"/>
      <c r="AH14" s="30" t="str">
        <f>IFERROR(INDEX('G-7 WaterC'' Data'!$AZ$3:$AZ$7,MATCH(C14,'G-7 WaterC'' Data'!$AY$3:$AY$7,0)),"")</f>
        <v/>
      </c>
      <c r="AK14" s="30" t="str">
        <f t="shared" si="5"/>
        <v>No</v>
      </c>
    </row>
    <row r="15" spans="2:37" ht="14">
      <c r="B15" s="97">
        <v>4</v>
      </c>
      <c r="C15" s="919"/>
      <c r="D15" s="51"/>
      <c r="E15" s="275" t="str">
        <f>IF(C15="","",VLOOKUP(C15,'G-7 WaterC'' Data'!$B$2:$G$8,2,FALSE))</f>
        <v/>
      </c>
      <c r="F15" s="276" t="str">
        <f>IFERROR(VLOOKUP(E15,'G-7 WaterC'' Data'!$C$4:$D$8,2,FALSE),"")</f>
        <v/>
      </c>
      <c r="G15" s="101"/>
      <c r="H15" s="276" t="str">
        <f>IFERROR(INDEX('G-7 WaterC'' Data'!$H$4:$L$8,MATCH(C15,'G-7 WaterC'' Data'!$B$4:$B$8,0),MATCH(G15,'G-7 WaterC'' Data'!$H$3:$L$3,0)),"")</f>
        <v/>
      </c>
      <c r="I15" s="52"/>
      <c r="J15" s="283" t="str">
        <f>IF(I15="","",IF(VLOOKUP(I15,'G-7 WaterC'' Data'!$AK$4:$AM$6,2,FALSE)=0,"Spatial Data Missing ⚠",VLOOKUP(I15,'G-7 WaterC'' Data'!$AK$4:$AM$6,2,FALSE)))</f>
        <v/>
      </c>
      <c r="K15" s="276" t="str">
        <f>IF(I15="","",IF(VLOOKUP(I15,'G-7 WaterC'' Data'!$AK$4:$AM$6,3,FALSE)=0,"Spatial Data Missing ⚠",VLOOKUP(I15,'G-7 WaterC'' Data'!$AK$4:$AM$6,3,FALSE)))</f>
        <v/>
      </c>
      <c r="L15" s="275" t="str">
        <f>IFERROR(INDEX('G-7 WaterC'' Data'!$O$3:$O$7,MATCH(G15,'G-7 WaterC'' Data'!$N$3:$N$7,0)),"")</f>
        <v/>
      </c>
      <c r="M15" s="58"/>
      <c r="N15" s="58"/>
      <c r="O15" s="283" t="str">
        <f t="shared" si="0"/>
        <v/>
      </c>
      <c r="P15" s="296" t="str">
        <f t="shared" si="1"/>
        <v/>
      </c>
      <c r="Q15" s="334" t="str">
        <f>IFERROR(IF(P15="Check Data ⚠","Check Data ⚠",VLOOKUP(P15,'G-4 Temporal multipliers'!$A$4:$C$37,3,FALSE)),"")</f>
        <v/>
      </c>
      <c r="R15" s="275" t="str">
        <f>IF(C15="","",VLOOKUP(C15,'G-7 WaterC'' Data'!$B$4:$G$8,4,FALSE))</f>
        <v/>
      </c>
      <c r="S15" s="283" t="str">
        <f t="shared" si="2"/>
        <v/>
      </c>
      <c r="T15" s="314" t="str">
        <f t="shared" si="3"/>
        <v/>
      </c>
      <c r="U15" s="276" t="str">
        <f>IF(C15="","",VLOOKUP(T15,'G-3 Multipliers'!$P$2:$Q$6,2,FALSE))</f>
        <v/>
      </c>
      <c r="V15" s="102"/>
      <c r="W15" s="276" t="str">
        <f>IF(V15="","",IF(AND(V15="N/A - Culvert",C15&lt;&gt;"Culvert"),"Not possible ▲",IF(AND(C15="Culvert",V15&lt;&gt;"N/A - Culvert"),"Not possible ▲",IF(VLOOKUP(V15,'G-7 WaterC'' Data'!$AA$4:$AB$7,2,FALSE)=0,"Spatial Data Missing ⚠",VLOOKUP(V15,'G-7 WaterC'' Data'!$AA$4:$AB$7,2,FALSE)))))</f>
        <v/>
      </c>
      <c r="X15" s="56"/>
      <c r="Y15" s="276" t="str">
        <f>IF(X15="","",IF(AND(X15="N/A - Culvert",C15&lt;&gt;"Culvert"),"Not possible ▲",IF(AND(C15="Culvert",X15&lt;&gt;"N/A - Culvert"),"Not possible ▲",IF(VLOOKUP(X15,'G-7 WaterC'' Data'!$AD$4:$AE$14,2,FALSE)=0,"Enrcoachment Data Missing ⚠",VLOOKUP(X15,'G-7 WaterC'' Data'!$AD$4:$AE$14,2,FALSE)))))</f>
        <v/>
      </c>
      <c r="Z15" s="317" t="str">
        <f t="shared" si="4"/>
        <v/>
      </c>
      <c r="AA15" s="101"/>
      <c r="AB15" s="115"/>
      <c r="AC15" s="104"/>
      <c r="AH15" s="30" t="str">
        <f>IFERROR(INDEX('G-7 WaterC'' Data'!$AZ$3:$AZ$7,MATCH(C15,'G-7 WaterC'' Data'!$AY$3:$AY$7,0)),"")</f>
        <v/>
      </c>
      <c r="AK15" s="30" t="str">
        <f t="shared" si="5"/>
        <v>No</v>
      </c>
    </row>
    <row r="16" spans="2:37" ht="14">
      <c r="B16" s="97">
        <v>5</v>
      </c>
      <c r="C16" s="920"/>
      <c r="D16" s="115"/>
      <c r="E16" s="275" t="str">
        <f>IF(C16="","",VLOOKUP(C16,'G-7 WaterC'' Data'!$B$2:$G$8,2,FALSE))</f>
        <v/>
      </c>
      <c r="F16" s="276" t="str">
        <f>IFERROR(VLOOKUP(E16,'G-7 WaterC'' Data'!$C$4:$D$8,2,FALSE),"")</f>
        <v/>
      </c>
      <c r="G16" s="101"/>
      <c r="H16" s="276" t="str">
        <f>IFERROR(INDEX('G-7 WaterC'' Data'!$H$4:$L$8,MATCH(C16,'G-7 WaterC'' Data'!$B$4:$B$8,0),MATCH(G16,'G-7 WaterC'' Data'!$H$3:$L$3,0)),"")</f>
        <v/>
      </c>
      <c r="I16" s="52"/>
      <c r="J16" s="283" t="str">
        <f>IF(I16="","",IF(VLOOKUP(I16,'G-7 WaterC'' Data'!$AK$4:$AM$6,2,FALSE)=0,"Spatial Data Missing ⚠",VLOOKUP(I16,'G-7 WaterC'' Data'!$AK$4:$AM$6,2,FALSE)))</f>
        <v/>
      </c>
      <c r="K16" s="276" t="str">
        <f>IF(I16="","",IF(VLOOKUP(I16,'G-7 WaterC'' Data'!$AK$4:$AM$6,3,FALSE)=0,"Spatial Data Missing ⚠",VLOOKUP(I16,'G-7 WaterC'' Data'!$AK$4:$AM$6,3,FALSE)))</f>
        <v/>
      </c>
      <c r="L16" s="275" t="str">
        <f>IFERROR(INDEX('G-7 WaterC'' Data'!$O$3:$O$7,MATCH(G16,'G-7 WaterC'' Data'!$N$3:$N$7,0)),"")</f>
        <v/>
      </c>
      <c r="M16" s="58"/>
      <c r="N16" s="133"/>
      <c r="O16" s="283" t="str">
        <f t="shared" si="0"/>
        <v/>
      </c>
      <c r="P16" s="296" t="str">
        <f t="shared" si="1"/>
        <v/>
      </c>
      <c r="Q16" s="334" t="str">
        <f>IFERROR(IF(P16="Check Data ⚠","Check Data ⚠",VLOOKUP(P16,'G-4 Temporal multipliers'!$A$4:$C$37,3,FALSE)),"")</f>
        <v/>
      </c>
      <c r="R16" s="275" t="str">
        <f>IF(C16="","",VLOOKUP(C16,'G-7 WaterC'' Data'!$B$4:$G$8,4,FALSE))</f>
        <v/>
      </c>
      <c r="S16" s="283" t="str">
        <f t="shared" si="2"/>
        <v/>
      </c>
      <c r="T16" s="314" t="str">
        <f t="shared" si="3"/>
        <v/>
      </c>
      <c r="U16" s="276" t="str">
        <f>IF(C16="","",VLOOKUP(T16,'G-3 Multipliers'!$P$2:$Q$6,2,FALSE))</f>
        <v/>
      </c>
      <c r="V16" s="102"/>
      <c r="W16" s="276" t="str">
        <f>IF(V16="","",IF(AND(V16="N/A - Culvert",C16&lt;&gt;"Culvert"),"Not possible ▲",IF(AND(C16="Culvert",V16&lt;&gt;"N/A - Culvert"),"Not possible ▲",IF(VLOOKUP(V16,'G-7 WaterC'' Data'!$AA$4:$AB$7,2,FALSE)=0,"Spatial Data Missing ⚠",VLOOKUP(V16,'G-7 WaterC'' Data'!$AA$4:$AB$7,2,FALSE)))))</f>
        <v/>
      </c>
      <c r="X16" s="56"/>
      <c r="Y16" s="276" t="str">
        <f>IF(X16="","",IF(AND(X16="N/A - Culvert",C16&lt;&gt;"Culvert"),"Not possible ▲",IF(AND(C16="Culvert",X16&lt;&gt;"N/A - Culvert"),"Not possible ▲",IF(VLOOKUP(X16,'G-7 WaterC'' Data'!$AD$4:$AE$14,2,FALSE)=0,"Enrcoachment Data Missing ⚠",VLOOKUP(X16,'G-7 WaterC'' Data'!$AD$4:$AE$14,2,FALSE)))))</f>
        <v/>
      </c>
      <c r="Z16" s="317" t="str">
        <f t="shared" si="4"/>
        <v/>
      </c>
      <c r="AA16" s="101"/>
      <c r="AB16" s="115"/>
      <c r="AC16" s="104"/>
      <c r="AH16" s="30" t="str">
        <f>IFERROR(INDEX('G-7 WaterC'' Data'!$AZ$3:$AZ$7,MATCH(C16,'G-7 WaterC'' Data'!$AY$3:$AY$7,0)),"")</f>
        <v/>
      </c>
      <c r="AK16" s="30" t="str">
        <f t="shared" si="5"/>
        <v>No</v>
      </c>
    </row>
    <row r="17" spans="2:37" ht="14">
      <c r="B17" s="97">
        <v>6</v>
      </c>
      <c r="C17" s="920"/>
      <c r="D17" s="115"/>
      <c r="E17" s="275" t="str">
        <f>IF(C17="","",VLOOKUP(C17,'G-7 WaterC'' Data'!$B$2:$G$8,2,FALSE))</f>
        <v/>
      </c>
      <c r="F17" s="276" t="str">
        <f>IFERROR(VLOOKUP(E17,'G-7 WaterC'' Data'!$C$4:$D$8,2,FALSE),"")</f>
        <v/>
      </c>
      <c r="G17" s="101"/>
      <c r="H17" s="276" t="str">
        <f>IFERROR(INDEX('G-7 WaterC'' Data'!$H$4:$L$8,MATCH(C17,'G-7 WaterC'' Data'!$B$4:$B$8,0),MATCH(G17,'G-7 WaterC'' Data'!$H$3:$L$3,0)),"")</f>
        <v/>
      </c>
      <c r="I17" s="52"/>
      <c r="J17" s="283" t="str">
        <f>IF(I17="","",IF(VLOOKUP(I17,'G-7 WaterC'' Data'!$AK$4:$AM$6,2,FALSE)=0,"Spatial Data Missing ⚠",VLOOKUP(I17,'G-7 WaterC'' Data'!$AK$4:$AM$6,2,FALSE)))</f>
        <v/>
      </c>
      <c r="K17" s="276" t="str">
        <f>IF(I17="","",IF(VLOOKUP(I17,'G-7 WaterC'' Data'!$AK$4:$AM$6,3,FALSE)=0,"Spatial Data Missing ⚠",VLOOKUP(I17,'G-7 WaterC'' Data'!$AK$4:$AM$6,3,FALSE)))</f>
        <v/>
      </c>
      <c r="L17" s="275" t="str">
        <f>IFERROR(INDEX('G-7 WaterC'' Data'!$O$3:$O$7,MATCH(G17,'G-7 WaterC'' Data'!$N$3:$N$7,0)),"")</f>
        <v/>
      </c>
      <c r="M17" s="58"/>
      <c r="N17" s="133"/>
      <c r="O17" s="283" t="str">
        <f t="shared" si="0"/>
        <v/>
      </c>
      <c r="P17" s="296" t="str">
        <f t="shared" si="1"/>
        <v/>
      </c>
      <c r="Q17" s="334" t="str">
        <f>IFERROR(IF(P17="Check Data ⚠","Check Data ⚠",VLOOKUP(P17,'G-4 Temporal multipliers'!$A$4:$C$37,3,FALSE)),"")</f>
        <v/>
      </c>
      <c r="R17" s="275" t="str">
        <f>IF(C17="","",VLOOKUP(C17,'G-7 WaterC'' Data'!$B$4:$G$8,4,FALSE))</f>
        <v/>
      </c>
      <c r="S17" s="283" t="str">
        <f t="shared" si="2"/>
        <v/>
      </c>
      <c r="T17" s="314" t="str">
        <f t="shared" si="3"/>
        <v/>
      </c>
      <c r="U17" s="276" t="str">
        <f>IF(C17="","",VLOOKUP(T17,'G-3 Multipliers'!$P$2:$Q$6,2,FALSE))</f>
        <v/>
      </c>
      <c r="V17" s="102"/>
      <c r="W17" s="276" t="str">
        <f>IF(V17="","",IF(AND(V17="N/A - Culvert",C17&lt;&gt;"Culvert"),"Not possible ▲",IF(AND(C17="Culvert",V17&lt;&gt;"N/A - Culvert"),"Not possible ▲",IF(VLOOKUP(V17,'G-7 WaterC'' Data'!$AA$4:$AB$7,2,FALSE)=0,"Spatial Data Missing ⚠",VLOOKUP(V17,'G-7 WaterC'' Data'!$AA$4:$AB$7,2,FALSE)))))</f>
        <v/>
      </c>
      <c r="X17" s="56"/>
      <c r="Y17" s="276" t="str">
        <f>IF(X17="","",IF(AND(X17="N/A - Culvert",C17&lt;&gt;"Culvert"),"Not possible ▲",IF(AND(C17="Culvert",X17&lt;&gt;"N/A - Culvert"),"Not possible ▲",IF(VLOOKUP(X17,'G-7 WaterC'' Data'!$AD$4:$AE$14,2,FALSE)=0,"Enrcoachment Data Missing ⚠",VLOOKUP(X17,'G-7 WaterC'' Data'!$AD$4:$AE$14,2,FALSE)))))</f>
        <v/>
      </c>
      <c r="Z17" s="317" t="str">
        <f t="shared" si="4"/>
        <v/>
      </c>
      <c r="AA17" s="101"/>
      <c r="AB17" s="115"/>
      <c r="AC17" s="104"/>
      <c r="AH17" s="30" t="str">
        <f>IFERROR(INDEX('G-7 WaterC'' Data'!$AZ$3:$AZ$7,MATCH(C17,'G-7 WaterC'' Data'!$AY$3:$AY$7,0)),"")</f>
        <v/>
      </c>
      <c r="AK17" s="30" t="str">
        <f t="shared" si="5"/>
        <v>No</v>
      </c>
    </row>
    <row r="18" spans="2:37" ht="14">
      <c r="B18" s="97">
        <v>7</v>
      </c>
      <c r="C18" s="920"/>
      <c r="D18" s="115"/>
      <c r="E18" s="275" t="str">
        <f>IF(C18="","",VLOOKUP(C18,'G-7 WaterC'' Data'!$B$2:$G$8,2,FALSE))</f>
        <v/>
      </c>
      <c r="F18" s="276" t="str">
        <f>IFERROR(VLOOKUP(E18,'G-7 WaterC'' Data'!$C$4:$D$8,2,FALSE),"")</f>
        <v/>
      </c>
      <c r="G18" s="101"/>
      <c r="H18" s="276" t="str">
        <f>IFERROR(INDEX('G-7 WaterC'' Data'!$H$4:$L$8,MATCH(C18,'G-7 WaterC'' Data'!$B$4:$B$8,0),MATCH(G18,'G-7 WaterC'' Data'!$H$3:$L$3,0)),"")</f>
        <v/>
      </c>
      <c r="I18" s="52"/>
      <c r="J18" s="283" t="str">
        <f>IF(I18="","",IF(VLOOKUP(I18,'G-7 WaterC'' Data'!$AK$4:$AM$6,2,FALSE)=0,"Spatial Data Missing ⚠",VLOOKUP(I18,'G-7 WaterC'' Data'!$AK$4:$AM$6,2,FALSE)))</f>
        <v/>
      </c>
      <c r="K18" s="276" t="str">
        <f>IF(I18="","",IF(VLOOKUP(I18,'G-7 WaterC'' Data'!$AK$4:$AM$6,3,FALSE)=0,"Spatial Data Missing ⚠",VLOOKUP(I18,'G-7 WaterC'' Data'!$AK$4:$AM$6,3,FALSE)))</f>
        <v/>
      </c>
      <c r="L18" s="275" t="str">
        <f>IFERROR(INDEX('G-7 WaterC'' Data'!$O$3:$O$7,MATCH(G18,'G-7 WaterC'' Data'!$N$3:$N$7,0)),"")</f>
        <v/>
      </c>
      <c r="M18" s="58"/>
      <c r="N18" s="133"/>
      <c r="O18" s="283" t="str">
        <f t="shared" si="0"/>
        <v/>
      </c>
      <c r="P18" s="296" t="str">
        <f t="shared" si="1"/>
        <v/>
      </c>
      <c r="Q18" s="334" t="str">
        <f>IFERROR(IF(P18="Check Data ⚠","Check Data ⚠",VLOOKUP(P18,'G-4 Temporal multipliers'!$A$4:$C$37,3,FALSE)),"")</f>
        <v/>
      </c>
      <c r="R18" s="275" t="str">
        <f>IF(C18="","",VLOOKUP(C18,'G-7 WaterC'' Data'!$B$4:$G$8,4,FALSE))</f>
        <v/>
      </c>
      <c r="S18" s="283" t="str">
        <f t="shared" si="2"/>
        <v/>
      </c>
      <c r="T18" s="314" t="str">
        <f t="shared" si="3"/>
        <v/>
      </c>
      <c r="U18" s="276" t="str">
        <f>IF(C18="","",VLOOKUP(T18,'G-3 Multipliers'!$P$2:$Q$6,2,FALSE))</f>
        <v/>
      </c>
      <c r="V18" s="102"/>
      <c r="W18" s="276" t="str">
        <f>IF(V18="","",IF(AND(V18="N/A - Culvert",C18&lt;&gt;"Culvert"),"Not possible ▲",IF(AND(C18="Culvert",V18&lt;&gt;"N/A - Culvert"),"Not possible ▲",IF(VLOOKUP(V18,'G-7 WaterC'' Data'!$AA$4:$AB$7,2,FALSE)=0,"Spatial Data Missing ⚠",VLOOKUP(V18,'G-7 WaterC'' Data'!$AA$4:$AB$7,2,FALSE)))))</f>
        <v/>
      </c>
      <c r="X18" s="56"/>
      <c r="Y18" s="276" t="str">
        <f>IF(X18="","",IF(AND(X18="N/A - Culvert",C18&lt;&gt;"Culvert"),"Not possible ▲",IF(AND(C18="Culvert",X18&lt;&gt;"N/A - Culvert"),"Not possible ▲",IF(VLOOKUP(X18,'G-7 WaterC'' Data'!$AD$4:$AE$14,2,FALSE)=0,"Enrcoachment Data Missing ⚠",VLOOKUP(X18,'G-7 WaterC'' Data'!$AD$4:$AE$14,2,FALSE)))))</f>
        <v/>
      </c>
      <c r="Z18" s="317" t="str">
        <f t="shared" si="4"/>
        <v/>
      </c>
      <c r="AA18" s="101"/>
      <c r="AB18" s="115"/>
      <c r="AC18" s="104"/>
      <c r="AH18" s="30" t="str">
        <f>IFERROR(INDEX('G-7 WaterC'' Data'!$AZ$3:$AZ$7,MATCH(C18,'G-7 WaterC'' Data'!$AY$3:$AY$7,0)),"")</f>
        <v/>
      </c>
      <c r="AK18" s="30" t="str">
        <f t="shared" si="5"/>
        <v>No</v>
      </c>
    </row>
    <row r="19" spans="2:37" ht="14">
      <c r="B19" s="97">
        <v>8</v>
      </c>
      <c r="C19" s="920"/>
      <c r="D19" s="115"/>
      <c r="E19" s="275" t="str">
        <f>IF(C19="","",VLOOKUP(C19,'G-7 WaterC'' Data'!$B$2:$G$8,2,FALSE))</f>
        <v/>
      </c>
      <c r="F19" s="276" t="str">
        <f>IFERROR(VLOOKUP(E19,'G-7 WaterC'' Data'!$C$4:$D$8,2,FALSE),"")</f>
        <v/>
      </c>
      <c r="G19" s="101"/>
      <c r="H19" s="276" t="str">
        <f>IFERROR(INDEX('G-7 WaterC'' Data'!$H$4:$L$8,MATCH(C19,'G-7 WaterC'' Data'!$B$4:$B$8,0),MATCH(G19,'G-7 WaterC'' Data'!$H$3:$L$3,0)),"")</f>
        <v/>
      </c>
      <c r="I19" s="52"/>
      <c r="J19" s="283" t="str">
        <f>IF(I19="","",IF(VLOOKUP(I19,'G-7 WaterC'' Data'!$AK$4:$AM$6,2,FALSE)=0,"Spatial Data Missing ⚠",VLOOKUP(I19,'G-7 WaterC'' Data'!$AK$4:$AM$6,2,FALSE)))</f>
        <v/>
      </c>
      <c r="K19" s="276" t="str">
        <f>IF(I19="","",IF(VLOOKUP(I19,'G-7 WaterC'' Data'!$AK$4:$AM$6,3,FALSE)=0,"Spatial Data Missing ⚠",VLOOKUP(I19,'G-7 WaterC'' Data'!$AK$4:$AM$6,3,FALSE)))</f>
        <v/>
      </c>
      <c r="L19" s="275" t="str">
        <f>IFERROR(INDEX('G-7 WaterC'' Data'!$O$3:$O$7,MATCH(G19,'G-7 WaterC'' Data'!$N$3:$N$7,0)),"")</f>
        <v/>
      </c>
      <c r="M19" s="58"/>
      <c r="N19" s="133"/>
      <c r="O19" s="283" t="str">
        <f t="shared" si="0"/>
        <v/>
      </c>
      <c r="P19" s="296" t="str">
        <f t="shared" si="1"/>
        <v/>
      </c>
      <c r="Q19" s="334" t="str">
        <f>IFERROR(IF(P19="Check Data ⚠","Check Data ⚠",VLOOKUP(P19,'G-4 Temporal multipliers'!$A$4:$C$37,3,FALSE)),"")</f>
        <v/>
      </c>
      <c r="R19" s="275" t="str">
        <f>IF(C19="","",VLOOKUP(C19,'G-7 WaterC'' Data'!$B$4:$G$8,4,FALSE))</f>
        <v/>
      </c>
      <c r="S19" s="283" t="str">
        <f t="shared" si="2"/>
        <v/>
      </c>
      <c r="T19" s="314" t="str">
        <f t="shared" si="3"/>
        <v/>
      </c>
      <c r="U19" s="276" t="str">
        <f>IF(C19="","",VLOOKUP(T19,'G-3 Multipliers'!$P$2:$Q$6,2,FALSE))</f>
        <v/>
      </c>
      <c r="V19" s="102"/>
      <c r="W19" s="276" t="str">
        <f>IF(V19="","",IF(AND(V19="N/A - Culvert",C19&lt;&gt;"Culvert"),"Not possible ▲",IF(AND(C19="Culvert",V19&lt;&gt;"N/A - Culvert"),"Not possible ▲",IF(VLOOKUP(V19,'G-7 WaterC'' Data'!$AA$4:$AB$7,2,FALSE)=0,"Spatial Data Missing ⚠",VLOOKUP(V19,'G-7 WaterC'' Data'!$AA$4:$AB$7,2,FALSE)))))</f>
        <v/>
      </c>
      <c r="X19" s="56"/>
      <c r="Y19" s="276" t="str">
        <f>IF(X19="","",IF(AND(X19="N/A - Culvert",C19&lt;&gt;"Culvert"),"Not possible ▲",IF(AND(C19="Culvert",X19&lt;&gt;"N/A - Culvert"),"Not possible ▲",IF(VLOOKUP(X19,'G-7 WaterC'' Data'!$AD$4:$AE$14,2,FALSE)=0,"Enrcoachment Data Missing ⚠",VLOOKUP(X19,'G-7 WaterC'' Data'!$AD$4:$AE$14,2,FALSE)))))</f>
        <v/>
      </c>
      <c r="Z19" s="317" t="str">
        <f t="shared" si="4"/>
        <v/>
      </c>
      <c r="AA19" s="101"/>
      <c r="AB19" s="115"/>
      <c r="AC19" s="104"/>
      <c r="AH19" s="30" t="str">
        <f>IFERROR(INDEX('G-7 WaterC'' Data'!$AZ$3:$AZ$7,MATCH(C19,'G-7 WaterC'' Data'!$AY$3:$AY$7,0)),"")</f>
        <v/>
      </c>
      <c r="AK19" s="30" t="str">
        <f t="shared" si="5"/>
        <v>No</v>
      </c>
    </row>
    <row r="20" spans="2:37" ht="14">
      <c r="B20" s="97">
        <v>9</v>
      </c>
      <c r="C20" s="920"/>
      <c r="D20" s="115"/>
      <c r="E20" s="275" t="str">
        <f>IF(C20="","",VLOOKUP(C20,'G-7 WaterC'' Data'!$B$2:$G$8,2,FALSE))</f>
        <v/>
      </c>
      <c r="F20" s="276" t="str">
        <f>IFERROR(VLOOKUP(E20,'G-7 WaterC'' Data'!$C$4:$D$8,2,FALSE),"")</f>
        <v/>
      </c>
      <c r="G20" s="101"/>
      <c r="H20" s="276" t="str">
        <f>IFERROR(INDEX('G-7 WaterC'' Data'!$H$4:$L$8,MATCH(C20,'G-7 WaterC'' Data'!$B$4:$B$8,0),MATCH(G20,'G-7 WaterC'' Data'!$H$3:$L$3,0)),"")</f>
        <v/>
      </c>
      <c r="I20" s="52"/>
      <c r="J20" s="283" t="str">
        <f>IF(I20="","",IF(VLOOKUP(I20,'G-7 WaterC'' Data'!$AK$4:$AM$6,2,FALSE)=0,"Spatial Data Missing ⚠",VLOOKUP(I20,'G-7 WaterC'' Data'!$AK$4:$AM$6,2,FALSE)))</f>
        <v/>
      </c>
      <c r="K20" s="276" t="str">
        <f>IF(I20="","",IF(VLOOKUP(I20,'G-7 WaterC'' Data'!$AK$4:$AM$6,3,FALSE)=0,"Spatial Data Missing ⚠",VLOOKUP(I20,'G-7 WaterC'' Data'!$AK$4:$AM$6,3,FALSE)))</f>
        <v/>
      </c>
      <c r="L20" s="275" t="str">
        <f>IFERROR(INDEX('G-7 WaterC'' Data'!$O$3:$O$7,MATCH(G20,'G-7 WaterC'' Data'!$N$3:$N$7,0)),"")</f>
        <v/>
      </c>
      <c r="M20" s="58"/>
      <c r="N20" s="133"/>
      <c r="O20" s="283" t="str">
        <f t="shared" si="0"/>
        <v/>
      </c>
      <c r="P20" s="296" t="str">
        <f t="shared" si="1"/>
        <v/>
      </c>
      <c r="Q20" s="334" t="str">
        <f>IFERROR(IF(P20="Check Data ⚠","Check Data ⚠",VLOOKUP(P20,'G-4 Temporal multipliers'!$A$4:$C$37,3,FALSE)),"")</f>
        <v/>
      </c>
      <c r="R20" s="275" t="str">
        <f>IF(C20="","",VLOOKUP(C20,'G-7 WaterC'' Data'!$B$4:$G$8,4,FALSE))</f>
        <v/>
      </c>
      <c r="S20" s="283" t="str">
        <f t="shared" si="2"/>
        <v/>
      </c>
      <c r="T20" s="314" t="str">
        <f t="shared" si="3"/>
        <v/>
      </c>
      <c r="U20" s="276" t="str">
        <f>IF(C20="","",VLOOKUP(T20,'G-3 Multipliers'!$P$2:$Q$6,2,FALSE))</f>
        <v/>
      </c>
      <c r="V20" s="102"/>
      <c r="W20" s="276" t="str">
        <f>IF(V20="","",IF(AND(V20="N/A - Culvert",C20&lt;&gt;"Culvert"),"Not possible ▲",IF(AND(C20="Culvert",V20&lt;&gt;"N/A - Culvert"),"Not possible ▲",IF(VLOOKUP(V20,'G-7 WaterC'' Data'!$AA$4:$AB$7,2,FALSE)=0,"Spatial Data Missing ⚠",VLOOKUP(V20,'G-7 WaterC'' Data'!$AA$4:$AB$7,2,FALSE)))))</f>
        <v/>
      </c>
      <c r="X20" s="56"/>
      <c r="Y20" s="276" t="str">
        <f>IF(X20="","",IF(AND(X20="N/A - Culvert",C20&lt;&gt;"Culvert"),"Not possible ▲",IF(AND(C20="Culvert",X20&lt;&gt;"N/A - Culvert"),"Not possible ▲",IF(VLOOKUP(X20,'G-7 WaterC'' Data'!$AD$4:$AE$14,2,FALSE)=0,"Enrcoachment Data Missing ⚠",VLOOKUP(X20,'G-7 WaterC'' Data'!$AD$4:$AE$14,2,FALSE)))))</f>
        <v/>
      </c>
      <c r="Z20" s="317" t="str">
        <f t="shared" si="4"/>
        <v/>
      </c>
      <c r="AA20" s="101"/>
      <c r="AB20" s="115"/>
      <c r="AC20" s="104"/>
      <c r="AH20" s="30" t="str">
        <f>IFERROR(INDEX('G-7 WaterC'' Data'!$AZ$3:$AZ$7,MATCH(C20,'G-7 WaterC'' Data'!$AY$3:$AY$7,0)),"")</f>
        <v/>
      </c>
      <c r="AK20" s="30" t="str">
        <f t="shared" si="5"/>
        <v>No</v>
      </c>
    </row>
    <row r="21" spans="2:37" ht="14">
      <c r="B21" s="97">
        <v>10</v>
      </c>
      <c r="C21" s="920"/>
      <c r="D21" s="115"/>
      <c r="E21" s="275" t="str">
        <f>IF(C21="","",VLOOKUP(C21,'G-7 WaterC'' Data'!$B$2:$G$8,2,FALSE))</f>
        <v/>
      </c>
      <c r="F21" s="276" t="str">
        <f>IFERROR(VLOOKUP(E21,'G-7 WaterC'' Data'!$C$4:$D$8,2,FALSE),"")</f>
        <v/>
      </c>
      <c r="G21" s="101"/>
      <c r="H21" s="276" t="str">
        <f>IFERROR(INDEX('G-7 WaterC'' Data'!$H$4:$L$8,MATCH(C21,'G-7 WaterC'' Data'!$B$4:$B$8,0),MATCH(G21,'G-7 WaterC'' Data'!$H$3:$L$3,0)),"")</f>
        <v/>
      </c>
      <c r="I21" s="52"/>
      <c r="J21" s="283" t="str">
        <f>IF(I21="","",IF(VLOOKUP(I21,'G-7 WaterC'' Data'!$AK$4:$AM$6,2,FALSE)=0,"Spatial Data Missing ⚠",VLOOKUP(I21,'G-7 WaterC'' Data'!$AK$4:$AM$6,2,FALSE)))</f>
        <v/>
      </c>
      <c r="K21" s="276" t="str">
        <f>IF(I21="","",IF(VLOOKUP(I21,'G-7 WaterC'' Data'!$AK$4:$AM$6,3,FALSE)=0,"Spatial Data Missing ⚠",VLOOKUP(I21,'G-7 WaterC'' Data'!$AK$4:$AM$6,3,FALSE)))</f>
        <v/>
      </c>
      <c r="L21" s="275" t="str">
        <f>IFERROR(INDEX('G-7 WaterC'' Data'!$O$3:$O$7,MATCH(G21,'G-7 WaterC'' Data'!$N$3:$N$7,0)),"")</f>
        <v/>
      </c>
      <c r="M21" s="58"/>
      <c r="N21" s="133"/>
      <c r="O21" s="283" t="str">
        <f t="shared" si="0"/>
        <v/>
      </c>
      <c r="P21" s="296" t="str">
        <f t="shared" si="1"/>
        <v/>
      </c>
      <c r="Q21" s="334" t="str">
        <f>IFERROR(IF(P21="Check Data ⚠","Check Data ⚠",VLOOKUP(P21,'G-4 Temporal multipliers'!$A$4:$C$37,3,FALSE)),"")</f>
        <v/>
      </c>
      <c r="R21" s="275" t="str">
        <f>IF(C21="","",VLOOKUP(C21,'G-7 WaterC'' Data'!$B$4:$G$8,4,FALSE))</f>
        <v/>
      </c>
      <c r="S21" s="283" t="str">
        <f t="shared" si="2"/>
        <v/>
      </c>
      <c r="T21" s="314" t="str">
        <f t="shared" si="3"/>
        <v/>
      </c>
      <c r="U21" s="276" t="str">
        <f>IF(C21="","",VLOOKUP(T21,'G-3 Multipliers'!$P$2:$Q$6,2,FALSE))</f>
        <v/>
      </c>
      <c r="V21" s="102"/>
      <c r="W21" s="276" t="str">
        <f>IF(V21="","",IF(AND(V21="N/A - Culvert",C21&lt;&gt;"Culvert"),"Not possible ▲",IF(AND(C21="Culvert",V21&lt;&gt;"N/A - Culvert"),"Not possible ▲",IF(VLOOKUP(V21,'G-7 WaterC'' Data'!$AA$4:$AB$7,2,FALSE)=0,"Spatial Data Missing ⚠",VLOOKUP(V21,'G-7 WaterC'' Data'!$AA$4:$AB$7,2,FALSE)))))</f>
        <v/>
      </c>
      <c r="X21" s="56"/>
      <c r="Y21" s="276" t="str">
        <f>IF(X21="","",IF(AND(X21="N/A - Culvert",C21&lt;&gt;"Culvert"),"Not possible ▲",IF(AND(C21="Culvert",X21&lt;&gt;"N/A - Culvert"),"Not possible ▲",IF(VLOOKUP(X21,'G-7 WaterC'' Data'!$AD$4:$AE$14,2,FALSE)=0,"Enrcoachment Data Missing ⚠",VLOOKUP(X21,'G-7 WaterC'' Data'!$AD$4:$AE$14,2,FALSE)))))</f>
        <v/>
      </c>
      <c r="Z21" s="317" t="str">
        <f t="shared" si="4"/>
        <v/>
      </c>
      <c r="AA21" s="101"/>
      <c r="AB21" s="115"/>
      <c r="AC21" s="104"/>
      <c r="AH21" s="30" t="str">
        <f>IFERROR(INDEX('G-7 WaterC'' Data'!$AZ$3:$AZ$7,MATCH(C21,'G-7 WaterC'' Data'!$AY$3:$AY$7,0)),"")</f>
        <v/>
      </c>
      <c r="AK21" s="30" t="str">
        <f t="shared" si="5"/>
        <v>No</v>
      </c>
    </row>
    <row r="22" spans="2:37" ht="14">
      <c r="B22" s="97">
        <v>11</v>
      </c>
      <c r="C22" s="920"/>
      <c r="D22" s="115"/>
      <c r="E22" s="275" t="str">
        <f>IF(C22="","",VLOOKUP(C22,'G-7 WaterC'' Data'!$B$2:$G$8,2,FALSE))</f>
        <v/>
      </c>
      <c r="F22" s="276" t="str">
        <f>IFERROR(VLOOKUP(E22,'G-7 WaterC'' Data'!$C$4:$D$8,2,FALSE),"")</f>
        <v/>
      </c>
      <c r="G22" s="101"/>
      <c r="H22" s="276" t="str">
        <f>IFERROR(INDEX('G-7 WaterC'' Data'!$H$4:$L$8,MATCH(C22,'G-7 WaterC'' Data'!$B$4:$B$8,0),MATCH(G22,'G-7 WaterC'' Data'!$H$3:$L$3,0)),"")</f>
        <v/>
      </c>
      <c r="I22" s="52"/>
      <c r="J22" s="283" t="str">
        <f>IF(I22="","",IF(VLOOKUP(I22,'G-7 WaterC'' Data'!$AK$4:$AM$6,2,FALSE)=0,"Spatial Data Missing ⚠",VLOOKUP(I22,'G-7 WaterC'' Data'!$AK$4:$AM$6,2,FALSE)))</f>
        <v/>
      </c>
      <c r="K22" s="276" t="str">
        <f>IF(I22="","",IF(VLOOKUP(I22,'G-7 WaterC'' Data'!$AK$4:$AM$6,3,FALSE)=0,"Spatial Data Missing ⚠",VLOOKUP(I22,'G-7 WaterC'' Data'!$AK$4:$AM$6,3,FALSE)))</f>
        <v/>
      </c>
      <c r="L22" s="275" t="str">
        <f>IFERROR(INDEX('G-7 WaterC'' Data'!$O$3:$O$7,MATCH(G22,'G-7 WaterC'' Data'!$N$3:$N$7,0)),"")</f>
        <v/>
      </c>
      <c r="M22" s="58"/>
      <c r="N22" s="133"/>
      <c r="O22" s="283" t="str">
        <f t="shared" si="0"/>
        <v/>
      </c>
      <c r="P22" s="296" t="str">
        <f t="shared" si="1"/>
        <v/>
      </c>
      <c r="Q22" s="334" t="str">
        <f>IFERROR(IF(P22="Check Data ⚠","Check Data ⚠",VLOOKUP(P22,'G-4 Temporal multipliers'!$A$4:$C$37,3,FALSE)),"")</f>
        <v/>
      </c>
      <c r="R22" s="275" t="str">
        <f>IF(C22="","",VLOOKUP(C22,'G-7 WaterC'' Data'!$B$4:$G$8,4,FALSE))</f>
        <v/>
      </c>
      <c r="S22" s="283" t="str">
        <f t="shared" si="2"/>
        <v/>
      </c>
      <c r="T22" s="314" t="str">
        <f t="shared" si="3"/>
        <v/>
      </c>
      <c r="U22" s="276" t="str">
        <f>IF(C22="","",VLOOKUP(T22,'G-3 Multipliers'!$P$2:$Q$6,2,FALSE))</f>
        <v/>
      </c>
      <c r="V22" s="102"/>
      <c r="W22" s="276" t="str">
        <f>IF(V22="","",IF(AND(V22="N/A - Culvert",C22&lt;&gt;"Culvert"),"Not possible ▲",IF(AND(C22="Culvert",V22&lt;&gt;"N/A - Culvert"),"Not possible ▲",IF(VLOOKUP(V22,'G-7 WaterC'' Data'!$AA$4:$AB$7,2,FALSE)=0,"Spatial Data Missing ⚠",VLOOKUP(V22,'G-7 WaterC'' Data'!$AA$4:$AB$7,2,FALSE)))))</f>
        <v/>
      </c>
      <c r="X22" s="56"/>
      <c r="Y22" s="276" t="str">
        <f>IF(X22="","",IF(AND(X22="N/A - Culvert",C22&lt;&gt;"Culvert"),"Not possible ▲",IF(AND(C22="Culvert",X22&lt;&gt;"N/A - Culvert"),"Not possible ▲",IF(VLOOKUP(X22,'G-7 WaterC'' Data'!$AD$4:$AE$14,2,FALSE)=0,"Enrcoachment Data Missing ⚠",VLOOKUP(X22,'G-7 WaterC'' Data'!$AD$4:$AE$14,2,FALSE)))))</f>
        <v/>
      </c>
      <c r="Z22" s="317" t="str">
        <f t="shared" si="4"/>
        <v/>
      </c>
      <c r="AA22" s="101"/>
      <c r="AB22" s="115"/>
      <c r="AC22" s="104"/>
      <c r="AH22" s="30" t="str">
        <f>IFERROR(INDEX('G-7 WaterC'' Data'!$AZ$3:$AZ$7,MATCH(C22,'G-7 WaterC'' Data'!$AY$3:$AY$7,0)),"")</f>
        <v/>
      </c>
      <c r="AK22" s="30" t="str">
        <f t="shared" si="5"/>
        <v>No</v>
      </c>
    </row>
    <row r="23" spans="2:37" ht="14">
      <c r="B23" s="97">
        <v>12</v>
      </c>
      <c r="C23" s="920"/>
      <c r="D23" s="115"/>
      <c r="E23" s="275" t="str">
        <f>IF(C23="","",VLOOKUP(C23,'G-7 WaterC'' Data'!$B$2:$G$8,2,FALSE))</f>
        <v/>
      </c>
      <c r="F23" s="276" t="str">
        <f>IFERROR(VLOOKUP(E23,'G-7 WaterC'' Data'!$C$4:$D$8,2,FALSE),"")</f>
        <v/>
      </c>
      <c r="G23" s="101"/>
      <c r="H23" s="276" t="str">
        <f>IFERROR(INDEX('G-7 WaterC'' Data'!$H$4:$L$8,MATCH(C23,'G-7 WaterC'' Data'!$B$4:$B$8,0),MATCH(G23,'G-7 WaterC'' Data'!$H$3:$L$3,0)),"")</f>
        <v/>
      </c>
      <c r="I23" s="52"/>
      <c r="J23" s="283" t="str">
        <f>IF(I23="","",IF(VLOOKUP(I23,'G-7 WaterC'' Data'!$AK$4:$AM$6,2,FALSE)=0,"Spatial Data Missing ⚠",VLOOKUP(I23,'G-7 WaterC'' Data'!$AK$4:$AM$6,2,FALSE)))</f>
        <v/>
      </c>
      <c r="K23" s="276" t="str">
        <f>IF(I23="","",IF(VLOOKUP(I23,'G-7 WaterC'' Data'!$AK$4:$AM$6,3,FALSE)=0,"Spatial Data Missing ⚠",VLOOKUP(I23,'G-7 WaterC'' Data'!$AK$4:$AM$6,3,FALSE)))</f>
        <v/>
      </c>
      <c r="L23" s="275" t="str">
        <f>IFERROR(INDEX('G-7 WaterC'' Data'!$O$3:$O$7,MATCH(G23,'G-7 WaterC'' Data'!$N$3:$N$7,0)),"")</f>
        <v/>
      </c>
      <c r="M23" s="58"/>
      <c r="N23" s="133"/>
      <c r="O23" s="283" t="str">
        <f t="shared" si="0"/>
        <v/>
      </c>
      <c r="P23" s="296" t="str">
        <f t="shared" si="1"/>
        <v/>
      </c>
      <c r="Q23" s="334" t="str">
        <f>IFERROR(IF(P23="Check Data ⚠","Check Data ⚠",VLOOKUP(P23,'G-4 Temporal multipliers'!$A$4:$C$37,3,FALSE)),"")</f>
        <v/>
      </c>
      <c r="R23" s="275" t="str">
        <f>IF(C23="","",VLOOKUP(C23,'G-7 WaterC'' Data'!$B$4:$G$8,4,FALSE))</f>
        <v/>
      </c>
      <c r="S23" s="283" t="str">
        <f t="shared" si="2"/>
        <v/>
      </c>
      <c r="T23" s="314" t="str">
        <f t="shared" si="3"/>
        <v/>
      </c>
      <c r="U23" s="276" t="str">
        <f>IF(C23="","",VLOOKUP(T23,'G-3 Multipliers'!$P$2:$Q$6,2,FALSE))</f>
        <v/>
      </c>
      <c r="V23" s="102"/>
      <c r="W23" s="276" t="str">
        <f>IF(V23="","",IF(AND(V23="N/A - Culvert",C23&lt;&gt;"Culvert"),"Not possible ▲",IF(AND(C23="Culvert",V23&lt;&gt;"N/A - Culvert"),"Not possible ▲",IF(VLOOKUP(V23,'G-7 WaterC'' Data'!$AA$4:$AB$7,2,FALSE)=0,"Spatial Data Missing ⚠",VLOOKUP(V23,'G-7 WaterC'' Data'!$AA$4:$AB$7,2,FALSE)))))</f>
        <v/>
      </c>
      <c r="X23" s="56"/>
      <c r="Y23" s="276" t="str">
        <f>IF(X23="","",IF(AND(X23="N/A - Culvert",C23&lt;&gt;"Culvert"),"Not possible ▲",IF(AND(C23="Culvert",X23&lt;&gt;"N/A - Culvert"),"Not possible ▲",IF(VLOOKUP(X23,'G-7 WaterC'' Data'!$AD$4:$AE$14,2,FALSE)=0,"Enrcoachment Data Missing ⚠",VLOOKUP(X23,'G-7 WaterC'' Data'!$AD$4:$AE$14,2,FALSE)))))</f>
        <v/>
      </c>
      <c r="Z23" s="317" t="str">
        <f t="shared" si="4"/>
        <v/>
      </c>
      <c r="AA23" s="101"/>
      <c r="AB23" s="115"/>
      <c r="AC23" s="104"/>
      <c r="AH23" s="30" t="str">
        <f>IFERROR(INDEX('G-7 WaterC'' Data'!$AZ$3:$AZ$7,MATCH(C23,'G-7 WaterC'' Data'!$AY$3:$AY$7,0)),"")</f>
        <v/>
      </c>
      <c r="AK23" s="30" t="str">
        <f t="shared" si="5"/>
        <v>No</v>
      </c>
    </row>
    <row r="24" spans="2:37" ht="14">
      <c r="B24" s="97">
        <v>13</v>
      </c>
      <c r="C24" s="920"/>
      <c r="D24" s="115"/>
      <c r="E24" s="275" t="str">
        <f>IF(C24="","",VLOOKUP(C24,'G-7 WaterC'' Data'!$B$2:$G$8,2,FALSE))</f>
        <v/>
      </c>
      <c r="F24" s="276" t="str">
        <f>IFERROR(VLOOKUP(E24,'G-7 WaterC'' Data'!$C$4:$D$8,2,FALSE),"")</f>
        <v/>
      </c>
      <c r="G24" s="101"/>
      <c r="H24" s="276" t="str">
        <f>IFERROR(INDEX('G-7 WaterC'' Data'!$H$4:$L$8,MATCH(C24,'G-7 WaterC'' Data'!$B$4:$B$8,0),MATCH(G24,'G-7 WaterC'' Data'!$H$3:$L$3,0)),"")</f>
        <v/>
      </c>
      <c r="I24" s="52"/>
      <c r="J24" s="283" t="str">
        <f>IF(I24="","",IF(VLOOKUP(I24,'G-7 WaterC'' Data'!$AK$4:$AM$6,2,FALSE)=0,"Spatial Data Missing ⚠",VLOOKUP(I24,'G-7 WaterC'' Data'!$AK$4:$AM$6,2,FALSE)))</f>
        <v/>
      </c>
      <c r="K24" s="276" t="str">
        <f>IF(I24="","",IF(VLOOKUP(I24,'G-7 WaterC'' Data'!$AK$4:$AM$6,3,FALSE)=0,"Spatial Data Missing ⚠",VLOOKUP(I24,'G-7 WaterC'' Data'!$AK$4:$AM$6,3,FALSE)))</f>
        <v/>
      </c>
      <c r="L24" s="275" t="str">
        <f>IFERROR(INDEX('G-7 WaterC'' Data'!$O$3:$O$7,MATCH(G24,'G-7 WaterC'' Data'!$N$3:$N$7,0)),"")</f>
        <v/>
      </c>
      <c r="M24" s="58"/>
      <c r="N24" s="133"/>
      <c r="O24" s="283" t="str">
        <f t="shared" si="0"/>
        <v/>
      </c>
      <c r="P24" s="296" t="str">
        <f t="shared" si="1"/>
        <v/>
      </c>
      <c r="Q24" s="334" t="str">
        <f>IFERROR(IF(P24="Check Data ⚠","Check Data ⚠",VLOOKUP(P24,'G-4 Temporal multipliers'!$A$4:$C$37,3,FALSE)),"")</f>
        <v/>
      </c>
      <c r="R24" s="275" t="str">
        <f>IF(C24="","",VLOOKUP(C24,'G-7 WaterC'' Data'!$B$4:$G$8,4,FALSE))</f>
        <v/>
      </c>
      <c r="S24" s="283" t="str">
        <f t="shared" si="2"/>
        <v/>
      </c>
      <c r="T24" s="314" t="str">
        <f t="shared" si="3"/>
        <v/>
      </c>
      <c r="U24" s="276" t="str">
        <f>IF(C24="","",VLOOKUP(T24,'G-3 Multipliers'!$P$2:$Q$6,2,FALSE))</f>
        <v/>
      </c>
      <c r="V24" s="102"/>
      <c r="W24" s="276" t="str">
        <f>IF(V24="","",IF(AND(V24="N/A - Culvert",C24&lt;&gt;"Culvert"),"Not possible ▲",IF(AND(C24="Culvert",V24&lt;&gt;"N/A - Culvert"),"Not possible ▲",IF(VLOOKUP(V24,'G-7 WaterC'' Data'!$AA$4:$AB$7,2,FALSE)=0,"Spatial Data Missing ⚠",VLOOKUP(V24,'G-7 WaterC'' Data'!$AA$4:$AB$7,2,FALSE)))))</f>
        <v/>
      </c>
      <c r="X24" s="56"/>
      <c r="Y24" s="276" t="str">
        <f>IF(X24="","",IF(AND(X24="N/A - Culvert",C24&lt;&gt;"Culvert"),"Not possible ▲",IF(AND(C24="Culvert",X24&lt;&gt;"N/A - Culvert"),"Not possible ▲",IF(VLOOKUP(X24,'G-7 WaterC'' Data'!$AD$4:$AE$14,2,FALSE)=0,"Enrcoachment Data Missing ⚠",VLOOKUP(X24,'G-7 WaterC'' Data'!$AD$4:$AE$14,2,FALSE)))))</f>
        <v/>
      </c>
      <c r="Z24" s="317" t="str">
        <f t="shared" si="4"/>
        <v/>
      </c>
      <c r="AA24" s="101"/>
      <c r="AB24" s="115"/>
      <c r="AC24" s="104"/>
      <c r="AH24" s="30" t="str">
        <f>IFERROR(INDEX('G-7 WaterC'' Data'!$AZ$3:$AZ$7,MATCH(C24,'G-7 WaterC'' Data'!$AY$3:$AY$7,0)),"")</f>
        <v/>
      </c>
      <c r="AK24" s="30" t="str">
        <f t="shared" si="5"/>
        <v>No</v>
      </c>
    </row>
    <row r="25" spans="2:37" ht="14">
      <c r="B25" s="97">
        <v>14</v>
      </c>
      <c r="C25" s="920"/>
      <c r="D25" s="115"/>
      <c r="E25" s="275" t="str">
        <f>IF(C25="","",VLOOKUP(C25,'G-7 WaterC'' Data'!$B$2:$G$8,2,FALSE))</f>
        <v/>
      </c>
      <c r="F25" s="276" t="str">
        <f>IFERROR(VLOOKUP(E25,'G-7 WaterC'' Data'!$C$4:$D$8,2,FALSE),"")</f>
        <v/>
      </c>
      <c r="G25" s="101"/>
      <c r="H25" s="276" t="str">
        <f>IFERROR(INDEX('G-7 WaterC'' Data'!$H$4:$L$8,MATCH(C25,'G-7 WaterC'' Data'!$B$4:$B$8,0),MATCH(G25,'G-7 WaterC'' Data'!$H$3:$L$3,0)),"")</f>
        <v/>
      </c>
      <c r="I25" s="52"/>
      <c r="J25" s="283" t="str">
        <f>IF(I25="","",IF(VLOOKUP(I25,'G-7 WaterC'' Data'!$AK$4:$AM$6,2,FALSE)=0,"Spatial Data Missing ⚠",VLOOKUP(I25,'G-7 WaterC'' Data'!$AK$4:$AM$6,2,FALSE)))</f>
        <v/>
      </c>
      <c r="K25" s="276" t="str">
        <f>IF(I25="","",IF(VLOOKUP(I25,'G-7 WaterC'' Data'!$AK$4:$AM$6,3,FALSE)=0,"Spatial Data Missing ⚠",VLOOKUP(I25,'G-7 WaterC'' Data'!$AK$4:$AM$6,3,FALSE)))</f>
        <v/>
      </c>
      <c r="L25" s="275" t="str">
        <f>IFERROR(INDEX('G-7 WaterC'' Data'!$O$3:$O$7,MATCH(G25,'G-7 WaterC'' Data'!$N$3:$N$7,0)),"")</f>
        <v/>
      </c>
      <c r="M25" s="58"/>
      <c r="N25" s="133"/>
      <c r="O25" s="283" t="str">
        <f t="shared" si="0"/>
        <v/>
      </c>
      <c r="P25" s="296" t="str">
        <f t="shared" si="1"/>
        <v/>
      </c>
      <c r="Q25" s="334" t="str">
        <f>IFERROR(IF(P25="Check Data ⚠","Check Data ⚠",VLOOKUP(P25,'G-4 Temporal multipliers'!$A$4:$C$37,3,FALSE)),"")</f>
        <v/>
      </c>
      <c r="R25" s="275" t="str">
        <f>IF(C25="","",VLOOKUP(C25,'G-7 WaterC'' Data'!$B$4:$G$8,4,FALSE))</f>
        <v/>
      </c>
      <c r="S25" s="283" t="str">
        <f t="shared" si="2"/>
        <v/>
      </c>
      <c r="T25" s="314" t="str">
        <f t="shared" si="3"/>
        <v/>
      </c>
      <c r="U25" s="276" t="str">
        <f>IF(C25="","",VLOOKUP(T25,'G-3 Multipliers'!$P$2:$Q$6,2,FALSE))</f>
        <v/>
      </c>
      <c r="V25" s="102"/>
      <c r="W25" s="276" t="str">
        <f>IF(V25="","",IF(AND(V25="N/A - Culvert",C25&lt;&gt;"Culvert"),"Not possible ▲",IF(AND(C25="Culvert",V25&lt;&gt;"N/A - Culvert"),"Not possible ▲",IF(VLOOKUP(V25,'G-7 WaterC'' Data'!$AA$4:$AB$7,2,FALSE)=0,"Spatial Data Missing ⚠",VLOOKUP(V25,'G-7 WaterC'' Data'!$AA$4:$AB$7,2,FALSE)))))</f>
        <v/>
      </c>
      <c r="X25" s="56"/>
      <c r="Y25" s="276" t="str">
        <f>IF(X25="","",IF(AND(X25="N/A - Culvert",C25&lt;&gt;"Culvert"),"Not possible ▲",IF(AND(C25="Culvert",X25&lt;&gt;"N/A - Culvert"),"Not possible ▲",IF(VLOOKUP(X25,'G-7 WaterC'' Data'!$AD$4:$AE$14,2,FALSE)=0,"Enrcoachment Data Missing ⚠",VLOOKUP(X25,'G-7 WaterC'' Data'!$AD$4:$AE$14,2,FALSE)))))</f>
        <v/>
      </c>
      <c r="Z25" s="317" t="str">
        <f t="shared" si="4"/>
        <v/>
      </c>
      <c r="AA25" s="101"/>
      <c r="AB25" s="115"/>
      <c r="AC25" s="104"/>
      <c r="AH25" s="30" t="str">
        <f>IFERROR(INDEX('G-7 WaterC'' Data'!$AZ$3:$AZ$7,MATCH(C25,'G-7 WaterC'' Data'!$AY$3:$AY$7,0)),"")</f>
        <v/>
      </c>
      <c r="AK25" s="30" t="str">
        <f t="shared" si="5"/>
        <v>No</v>
      </c>
    </row>
    <row r="26" spans="2:37" ht="14">
      <c r="B26" s="97">
        <v>15</v>
      </c>
      <c r="C26" s="920"/>
      <c r="D26" s="115"/>
      <c r="E26" s="275" t="str">
        <f>IF(C26="","",VLOOKUP(C26,'G-7 WaterC'' Data'!$B$2:$G$8,2,FALSE))</f>
        <v/>
      </c>
      <c r="F26" s="276" t="str">
        <f>IFERROR(VLOOKUP(E26,'G-7 WaterC'' Data'!$C$4:$D$8,2,FALSE),"")</f>
        <v/>
      </c>
      <c r="G26" s="101"/>
      <c r="H26" s="276" t="str">
        <f>IFERROR(INDEX('G-7 WaterC'' Data'!$H$4:$L$8,MATCH(C26,'G-7 WaterC'' Data'!$B$4:$B$8,0),MATCH(G26,'G-7 WaterC'' Data'!$H$3:$L$3,0)),"")</f>
        <v/>
      </c>
      <c r="I26" s="52"/>
      <c r="J26" s="283" t="str">
        <f>IF(I26="","",IF(VLOOKUP(I26,'G-7 WaterC'' Data'!$AK$4:$AM$6,2,FALSE)=0,"Spatial Data Missing ⚠",VLOOKUP(I26,'G-7 WaterC'' Data'!$AK$4:$AM$6,2,FALSE)))</f>
        <v/>
      </c>
      <c r="K26" s="276" t="str">
        <f>IF(I26="","",IF(VLOOKUP(I26,'G-7 WaterC'' Data'!$AK$4:$AM$6,3,FALSE)=0,"Spatial Data Missing ⚠",VLOOKUP(I26,'G-7 WaterC'' Data'!$AK$4:$AM$6,3,FALSE)))</f>
        <v/>
      </c>
      <c r="L26" s="275" t="str">
        <f>IFERROR(INDEX('G-7 WaterC'' Data'!$O$3:$O$7,MATCH(G26,'G-7 WaterC'' Data'!$N$3:$N$7,0)),"")</f>
        <v/>
      </c>
      <c r="M26" s="58"/>
      <c r="N26" s="133"/>
      <c r="O26" s="283" t="str">
        <f t="shared" si="0"/>
        <v/>
      </c>
      <c r="P26" s="296" t="str">
        <f t="shared" si="1"/>
        <v/>
      </c>
      <c r="Q26" s="334" t="str">
        <f>IFERROR(IF(P26="Check Data ⚠","Check Data ⚠",VLOOKUP(P26,'G-4 Temporal multipliers'!$A$4:$C$37,3,FALSE)),"")</f>
        <v/>
      </c>
      <c r="R26" s="275" t="str">
        <f>IF(C26="","",VLOOKUP(C26,'G-7 WaterC'' Data'!$B$4:$G$8,4,FALSE))</f>
        <v/>
      </c>
      <c r="S26" s="283" t="str">
        <f t="shared" si="2"/>
        <v/>
      </c>
      <c r="T26" s="314" t="str">
        <f t="shared" si="3"/>
        <v/>
      </c>
      <c r="U26" s="276" t="str">
        <f>IF(C26="","",VLOOKUP(T26,'G-3 Multipliers'!$P$2:$Q$6,2,FALSE))</f>
        <v/>
      </c>
      <c r="V26" s="102"/>
      <c r="W26" s="276" t="str">
        <f>IF(V26="","",IF(AND(V26="N/A - Culvert",C26&lt;&gt;"Culvert"),"Not possible ▲",IF(AND(C26="Culvert",V26&lt;&gt;"N/A - Culvert"),"Not possible ▲",IF(VLOOKUP(V26,'G-7 WaterC'' Data'!$AA$4:$AB$7,2,FALSE)=0,"Spatial Data Missing ⚠",VLOOKUP(V26,'G-7 WaterC'' Data'!$AA$4:$AB$7,2,FALSE)))))</f>
        <v/>
      </c>
      <c r="X26" s="56"/>
      <c r="Y26" s="276" t="str">
        <f>IF(X26="","",IF(AND(X26="N/A - Culvert",C26&lt;&gt;"Culvert"),"Not possible ▲",IF(AND(C26="Culvert",X26&lt;&gt;"N/A - Culvert"),"Not possible ▲",IF(VLOOKUP(X26,'G-7 WaterC'' Data'!$AD$4:$AE$14,2,FALSE)=0,"Enrcoachment Data Missing ⚠",VLOOKUP(X26,'G-7 WaterC'' Data'!$AD$4:$AE$14,2,FALSE)))))</f>
        <v/>
      </c>
      <c r="Z26" s="317" t="str">
        <f t="shared" si="4"/>
        <v/>
      </c>
      <c r="AA26" s="101"/>
      <c r="AB26" s="115"/>
      <c r="AC26" s="104"/>
      <c r="AH26" s="30" t="str">
        <f>IFERROR(INDEX('G-7 WaterC'' Data'!$AZ$3:$AZ$7,MATCH(C26,'G-7 WaterC'' Data'!$AY$3:$AY$7,0)),"")</f>
        <v/>
      </c>
      <c r="AK26" s="30" t="str">
        <f t="shared" si="5"/>
        <v>No</v>
      </c>
    </row>
    <row r="27" spans="2:37" ht="14">
      <c r="B27" s="97">
        <v>16</v>
      </c>
      <c r="C27" s="920"/>
      <c r="D27" s="115"/>
      <c r="E27" s="275" t="str">
        <f>IF(C27="","",VLOOKUP(C27,'G-7 WaterC'' Data'!$B$2:$G$8,2,FALSE))</f>
        <v/>
      </c>
      <c r="F27" s="276" t="str">
        <f>IFERROR(VLOOKUP(E27,'G-7 WaterC'' Data'!$C$4:$D$8,2,FALSE),"")</f>
        <v/>
      </c>
      <c r="G27" s="101"/>
      <c r="H27" s="276" t="str">
        <f>IFERROR(INDEX('G-7 WaterC'' Data'!$H$4:$L$8,MATCH(C27,'G-7 WaterC'' Data'!$B$4:$B$8,0),MATCH(G27,'G-7 WaterC'' Data'!$H$3:$L$3,0)),"")</f>
        <v/>
      </c>
      <c r="I27" s="52"/>
      <c r="J27" s="283" t="str">
        <f>IF(I27="","",IF(VLOOKUP(I27,'G-7 WaterC'' Data'!$AK$4:$AM$6,2,FALSE)=0,"Spatial Data Missing ⚠",VLOOKUP(I27,'G-7 WaterC'' Data'!$AK$4:$AM$6,2,FALSE)))</f>
        <v/>
      </c>
      <c r="K27" s="276" t="str">
        <f>IF(I27="","",IF(VLOOKUP(I27,'G-7 WaterC'' Data'!$AK$4:$AM$6,3,FALSE)=0,"Spatial Data Missing ⚠",VLOOKUP(I27,'G-7 WaterC'' Data'!$AK$4:$AM$6,3,FALSE)))</f>
        <v/>
      </c>
      <c r="L27" s="275" t="str">
        <f>IFERROR(INDEX('G-7 WaterC'' Data'!$O$3:$O$7,MATCH(G27,'G-7 WaterC'' Data'!$N$3:$N$7,0)),"")</f>
        <v/>
      </c>
      <c r="M27" s="58"/>
      <c r="N27" s="133"/>
      <c r="O27" s="283" t="str">
        <f t="shared" si="0"/>
        <v/>
      </c>
      <c r="P27" s="296" t="str">
        <f t="shared" si="1"/>
        <v/>
      </c>
      <c r="Q27" s="334" t="str">
        <f>IFERROR(IF(P27="Check Data ⚠","Check Data ⚠",VLOOKUP(P27,'G-4 Temporal multipliers'!$A$4:$C$37,3,FALSE)),"")</f>
        <v/>
      </c>
      <c r="R27" s="275" t="str">
        <f>IF(C27="","",VLOOKUP(C27,'G-7 WaterC'' Data'!$B$4:$G$8,4,FALSE))</f>
        <v/>
      </c>
      <c r="S27" s="283" t="str">
        <f t="shared" si="2"/>
        <v/>
      </c>
      <c r="T27" s="314" t="str">
        <f t="shared" si="3"/>
        <v/>
      </c>
      <c r="U27" s="276" t="str">
        <f>IF(C27="","",VLOOKUP(T27,'G-3 Multipliers'!$P$2:$Q$6,2,FALSE))</f>
        <v/>
      </c>
      <c r="V27" s="102"/>
      <c r="W27" s="276" t="str">
        <f>IF(V27="","",IF(AND(V27="N/A - Culvert",C27&lt;&gt;"Culvert"),"Not possible ▲",IF(AND(C27="Culvert",V27&lt;&gt;"N/A - Culvert"),"Not possible ▲",IF(VLOOKUP(V27,'G-7 WaterC'' Data'!$AA$4:$AB$7,2,FALSE)=0,"Spatial Data Missing ⚠",VLOOKUP(V27,'G-7 WaterC'' Data'!$AA$4:$AB$7,2,FALSE)))))</f>
        <v/>
      </c>
      <c r="X27" s="56"/>
      <c r="Y27" s="276" t="str">
        <f>IF(X27="","",IF(AND(X27="N/A - Culvert",C27&lt;&gt;"Culvert"),"Not possible ▲",IF(AND(C27="Culvert",X27&lt;&gt;"N/A - Culvert"),"Not possible ▲",IF(VLOOKUP(X27,'G-7 WaterC'' Data'!$AD$4:$AE$14,2,FALSE)=0,"Enrcoachment Data Missing ⚠",VLOOKUP(X27,'G-7 WaterC'' Data'!$AD$4:$AE$14,2,FALSE)))))</f>
        <v/>
      </c>
      <c r="Z27" s="317" t="str">
        <f t="shared" si="4"/>
        <v/>
      </c>
      <c r="AA27" s="101"/>
      <c r="AB27" s="115"/>
      <c r="AC27" s="104"/>
      <c r="AH27" s="30" t="str">
        <f>IFERROR(INDEX('G-7 WaterC'' Data'!$AZ$3:$AZ$7,MATCH(C27,'G-7 WaterC'' Data'!$AY$3:$AY$7,0)),"")</f>
        <v/>
      </c>
      <c r="AK27" s="30" t="str">
        <f t="shared" si="5"/>
        <v>No</v>
      </c>
    </row>
    <row r="28" spans="2:37" ht="14">
      <c r="B28" s="97">
        <v>17</v>
      </c>
      <c r="C28" s="920"/>
      <c r="D28" s="115"/>
      <c r="E28" s="275" t="str">
        <f>IF(C28="","",VLOOKUP(C28,'G-7 WaterC'' Data'!$B$2:$G$8,2,FALSE))</f>
        <v/>
      </c>
      <c r="F28" s="276" t="str">
        <f>IFERROR(VLOOKUP(E28,'G-7 WaterC'' Data'!$C$4:$D$8,2,FALSE),"")</f>
        <v/>
      </c>
      <c r="G28" s="101"/>
      <c r="H28" s="276" t="str">
        <f>IFERROR(INDEX('G-7 WaterC'' Data'!$H$4:$L$8,MATCH(C28,'G-7 WaterC'' Data'!$B$4:$B$8,0),MATCH(G28,'G-7 WaterC'' Data'!$H$3:$L$3,0)),"")</f>
        <v/>
      </c>
      <c r="I28" s="52"/>
      <c r="J28" s="283" t="str">
        <f>IF(I28="","",IF(VLOOKUP(I28,'G-7 WaterC'' Data'!$AK$4:$AM$6,2,FALSE)=0,"Spatial Data Missing ⚠",VLOOKUP(I28,'G-7 WaterC'' Data'!$AK$4:$AM$6,2,FALSE)))</f>
        <v/>
      </c>
      <c r="K28" s="276" t="str">
        <f>IF(I28="","",IF(VLOOKUP(I28,'G-7 WaterC'' Data'!$AK$4:$AM$6,3,FALSE)=0,"Spatial Data Missing ⚠",VLOOKUP(I28,'G-7 WaterC'' Data'!$AK$4:$AM$6,3,FALSE)))</f>
        <v/>
      </c>
      <c r="L28" s="275" t="str">
        <f>IFERROR(INDEX('G-7 WaterC'' Data'!$O$3:$O$7,MATCH(G28,'G-7 WaterC'' Data'!$N$3:$N$7,0)),"")</f>
        <v/>
      </c>
      <c r="M28" s="58"/>
      <c r="N28" s="133"/>
      <c r="O28" s="283" t="str">
        <f t="shared" si="0"/>
        <v/>
      </c>
      <c r="P28" s="296" t="str">
        <f t="shared" si="1"/>
        <v/>
      </c>
      <c r="Q28" s="334" t="str">
        <f>IFERROR(IF(P28="Check Data ⚠","Check Data ⚠",VLOOKUP(P28,'G-4 Temporal multipliers'!$A$4:$C$37,3,FALSE)),"")</f>
        <v/>
      </c>
      <c r="R28" s="275" t="str">
        <f>IF(C28="","",VLOOKUP(C28,'G-7 WaterC'' Data'!$B$4:$G$8,4,FALSE))</f>
        <v/>
      </c>
      <c r="S28" s="283" t="str">
        <f t="shared" si="2"/>
        <v/>
      </c>
      <c r="T28" s="314" t="str">
        <f t="shared" si="3"/>
        <v/>
      </c>
      <c r="U28" s="276" t="str">
        <f>IF(C28="","",VLOOKUP(T28,'G-3 Multipliers'!$P$2:$Q$6,2,FALSE))</f>
        <v/>
      </c>
      <c r="V28" s="102"/>
      <c r="W28" s="276" t="str">
        <f>IF(V28="","",IF(AND(V28="N/A - Culvert",C28&lt;&gt;"Culvert"),"Not possible ▲",IF(AND(C28="Culvert",V28&lt;&gt;"N/A - Culvert"),"Not possible ▲",IF(VLOOKUP(V28,'G-7 WaterC'' Data'!$AA$4:$AB$7,2,FALSE)=0,"Spatial Data Missing ⚠",VLOOKUP(V28,'G-7 WaterC'' Data'!$AA$4:$AB$7,2,FALSE)))))</f>
        <v/>
      </c>
      <c r="X28" s="56"/>
      <c r="Y28" s="276" t="str">
        <f>IF(X28="","",IF(AND(X28="N/A - Culvert",C28&lt;&gt;"Culvert"),"Not possible ▲",IF(AND(C28="Culvert",X28&lt;&gt;"N/A - Culvert"),"Not possible ▲",IF(VLOOKUP(X28,'G-7 WaterC'' Data'!$AD$4:$AE$14,2,FALSE)=0,"Enrcoachment Data Missing ⚠",VLOOKUP(X28,'G-7 WaterC'' Data'!$AD$4:$AE$14,2,FALSE)))))</f>
        <v/>
      </c>
      <c r="Z28" s="317" t="str">
        <f t="shared" si="4"/>
        <v/>
      </c>
      <c r="AA28" s="101"/>
      <c r="AB28" s="115"/>
      <c r="AC28" s="104"/>
      <c r="AH28" s="30" t="str">
        <f>IFERROR(INDEX('G-7 WaterC'' Data'!$AZ$3:$AZ$7,MATCH(C28,'G-7 WaterC'' Data'!$AY$3:$AY$7,0)),"")</f>
        <v/>
      </c>
      <c r="AK28" s="30" t="str">
        <f t="shared" si="5"/>
        <v>No</v>
      </c>
    </row>
    <row r="29" spans="2:37" ht="14">
      <c r="B29" s="97">
        <v>18</v>
      </c>
      <c r="C29" s="920"/>
      <c r="D29" s="115"/>
      <c r="E29" s="275" t="str">
        <f>IF(C29="","",VLOOKUP(C29,'G-7 WaterC'' Data'!$B$2:$G$8,2,FALSE))</f>
        <v/>
      </c>
      <c r="F29" s="276" t="str">
        <f>IFERROR(VLOOKUP(E29,'G-7 WaterC'' Data'!$C$4:$D$8,2,FALSE),"")</f>
        <v/>
      </c>
      <c r="G29" s="101"/>
      <c r="H29" s="276" t="str">
        <f>IFERROR(INDEX('G-7 WaterC'' Data'!$H$4:$L$8,MATCH(C29,'G-7 WaterC'' Data'!$B$4:$B$8,0),MATCH(G29,'G-7 WaterC'' Data'!$H$3:$L$3,0)),"")</f>
        <v/>
      </c>
      <c r="I29" s="52"/>
      <c r="J29" s="283" t="str">
        <f>IF(I29="","",IF(VLOOKUP(I29,'G-7 WaterC'' Data'!$AK$4:$AM$6,2,FALSE)=0,"Spatial Data Missing ⚠",VLOOKUP(I29,'G-7 WaterC'' Data'!$AK$4:$AM$6,2,FALSE)))</f>
        <v/>
      </c>
      <c r="K29" s="276" t="str">
        <f>IF(I29="","",IF(VLOOKUP(I29,'G-7 WaterC'' Data'!$AK$4:$AM$6,3,FALSE)=0,"Spatial Data Missing ⚠",VLOOKUP(I29,'G-7 WaterC'' Data'!$AK$4:$AM$6,3,FALSE)))</f>
        <v/>
      </c>
      <c r="L29" s="275" t="str">
        <f>IFERROR(INDEX('G-7 WaterC'' Data'!$O$3:$O$7,MATCH(G29,'G-7 WaterC'' Data'!$N$3:$N$7,0)),"")</f>
        <v/>
      </c>
      <c r="M29" s="58"/>
      <c r="N29" s="133"/>
      <c r="O29" s="283" t="str">
        <f t="shared" si="0"/>
        <v/>
      </c>
      <c r="P29" s="296" t="str">
        <f t="shared" si="1"/>
        <v/>
      </c>
      <c r="Q29" s="334" t="str">
        <f>IFERROR(IF(P29="Check Data ⚠","Check Data ⚠",VLOOKUP(P29,'G-4 Temporal multipliers'!$A$4:$C$37,3,FALSE)),"")</f>
        <v/>
      </c>
      <c r="R29" s="275" t="str">
        <f>IF(C29="","",VLOOKUP(C29,'G-7 WaterC'' Data'!$B$4:$G$8,4,FALSE))</f>
        <v/>
      </c>
      <c r="S29" s="283" t="str">
        <f t="shared" si="2"/>
        <v/>
      </c>
      <c r="T29" s="314" t="str">
        <f t="shared" si="3"/>
        <v/>
      </c>
      <c r="U29" s="276" t="str">
        <f>IF(C29="","",VLOOKUP(T29,'G-3 Multipliers'!$P$2:$Q$6,2,FALSE))</f>
        <v/>
      </c>
      <c r="V29" s="102"/>
      <c r="W29" s="276" t="str">
        <f>IF(V29="","",IF(AND(V29="N/A - Culvert",C29&lt;&gt;"Culvert"),"Not possible ▲",IF(AND(C29="Culvert",V29&lt;&gt;"N/A - Culvert"),"Not possible ▲",IF(VLOOKUP(V29,'G-7 WaterC'' Data'!$AA$4:$AB$7,2,FALSE)=0,"Spatial Data Missing ⚠",VLOOKUP(V29,'G-7 WaterC'' Data'!$AA$4:$AB$7,2,FALSE)))))</f>
        <v/>
      </c>
      <c r="X29" s="56"/>
      <c r="Y29" s="276" t="str">
        <f>IF(X29="","",IF(AND(X29="N/A - Culvert",C29&lt;&gt;"Culvert"),"Not possible ▲",IF(AND(C29="Culvert",X29&lt;&gt;"N/A - Culvert"),"Not possible ▲",IF(VLOOKUP(X29,'G-7 WaterC'' Data'!$AD$4:$AE$14,2,FALSE)=0,"Enrcoachment Data Missing ⚠",VLOOKUP(X29,'G-7 WaterC'' Data'!$AD$4:$AE$14,2,FALSE)))))</f>
        <v/>
      </c>
      <c r="Z29" s="317" t="str">
        <f t="shared" si="4"/>
        <v/>
      </c>
      <c r="AA29" s="101"/>
      <c r="AB29" s="115"/>
      <c r="AC29" s="104"/>
      <c r="AH29" s="30" t="str">
        <f>IFERROR(INDEX('G-7 WaterC'' Data'!$AZ$3:$AZ$7,MATCH(C29,'G-7 WaterC'' Data'!$AY$3:$AY$7,0)),"")</f>
        <v/>
      </c>
      <c r="AK29" s="30" t="str">
        <f t="shared" si="5"/>
        <v>No</v>
      </c>
    </row>
    <row r="30" spans="2:37" ht="14">
      <c r="B30" s="97">
        <v>19</v>
      </c>
      <c r="C30" s="920"/>
      <c r="D30" s="115"/>
      <c r="E30" s="275" t="str">
        <f>IF(C30="","",VLOOKUP(C30,'G-7 WaterC'' Data'!$B$2:$G$8,2,FALSE))</f>
        <v/>
      </c>
      <c r="F30" s="276" t="str">
        <f>IFERROR(VLOOKUP(E30,'G-7 WaterC'' Data'!$C$4:$D$8,2,FALSE),"")</f>
        <v/>
      </c>
      <c r="G30" s="101"/>
      <c r="H30" s="276" t="str">
        <f>IFERROR(INDEX('G-7 WaterC'' Data'!$H$4:$L$8,MATCH(C30,'G-7 WaterC'' Data'!$B$4:$B$8,0),MATCH(G30,'G-7 WaterC'' Data'!$H$3:$L$3,0)),"")</f>
        <v/>
      </c>
      <c r="I30" s="52"/>
      <c r="J30" s="283" t="str">
        <f>IF(I30="","",IF(VLOOKUP(I30,'G-7 WaterC'' Data'!$AK$4:$AM$6,2,FALSE)=0,"Spatial Data Missing ⚠",VLOOKUP(I30,'G-7 WaterC'' Data'!$AK$4:$AM$6,2,FALSE)))</f>
        <v/>
      </c>
      <c r="K30" s="276" t="str">
        <f>IF(I30="","",IF(VLOOKUP(I30,'G-7 WaterC'' Data'!$AK$4:$AM$6,3,FALSE)=0,"Spatial Data Missing ⚠",VLOOKUP(I30,'G-7 WaterC'' Data'!$AK$4:$AM$6,3,FALSE)))</f>
        <v/>
      </c>
      <c r="L30" s="275" t="str">
        <f>IFERROR(INDEX('G-7 WaterC'' Data'!$O$3:$O$7,MATCH(G30,'G-7 WaterC'' Data'!$N$3:$N$7,0)),"")</f>
        <v/>
      </c>
      <c r="M30" s="58"/>
      <c r="N30" s="133"/>
      <c r="O30" s="283" t="str">
        <f t="shared" si="0"/>
        <v/>
      </c>
      <c r="P30" s="296" t="str">
        <f t="shared" si="1"/>
        <v/>
      </c>
      <c r="Q30" s="334" t="str">
        <f>IFERROR(IF(P30="Check Data ⚠","Check Data ⚠",VLOOKUP(P30,'G-4 Temporal multipliers'!$A$4:$C$37,3,FALSE)),"")</f>
        <v/>
      </c>
      <c r="R30" s="275" t="str">
        <f>IF(C30="","",VLOOKUP(C30,'G-7 WaterC'' Data'!$B$4:$G$8,4,FALSE))</f>
        <v/>
      </c>
      <c r="S30" s="283" t="str">
        <f t="shared" si="2"/>
        <v/>
      </c>
      <c r="T30" s="314" t="str">
        <f t="shared" si="3"/>
        <v/>
      </c>
      <c r="U30" s="276" t="str">
        <f>IF(C30="","",VLOOKUP(T30,'G-3 Multipliers'!$P$2:$Q$6,2,FALSE))</f>
        <v/>
      </c>
      <c r="V30" s="102"/>
      <c r="W30" s="276" t="str">
        <f>IF(V30="","",IF(AND(V30="N/A - Culvert",C30&lt;&gt;"Culvert"),"Not possible ▲",IF(AND(C30="Culvert",V30&lt;&gt;"N/A - Culvert"),"Not possible ▲",IF(VLOOKUP(V30,'G-7 WaterC'' Data'!$AA$4:$AB$7,2,FALSE)=0,"Spatial Data Missing ⚠",VLOOKUP(V30,'G-7 WaterC'' Data'!$AA$4:$AB$7,2,FALSE)))))</f>
        <v/>
      </c>
      <c r="X30" s="56"/>
      <c r="Y30" s="276" t="str">
        <f>IF(X30="","",IF(AND(X30="N/A - Culvert",C30&lt;&gt;"Culvert"),"Not possible ▲",IF(AND(C30="Culvert",X30&lt;&gt;"N/A - Culvert"),"Not possible ▲",IF(VLOOKUP(X30,'G-7 WaterC'' Data'!$AD$4:$AE$14,2,FALSE)=0,"Enrcoachment Data Missing ⚠",VLOOKUP(X30,'G-7 WaterC'' Data'!$AD$4:$AE$14,2,FALSE)))))</f>
        <v/>
      </c>
      <c r="Z30" s="317" t="str">
        <f t="shared" si="4"/>
        <v/>
      </c>
      <c r="AA30" s="101"/>
      <c r="AB30" s="115"/>
      <c r="AC30" s="104"/>
      <c r="AH30" s="30" t="str">
        <f>IFERROR(INDEX('G-7 WaterC'' Data'!$AZ$3:$AZ$7,MATCH(C30,'G-7 WaterC'' Data'!$AY$3:$AY$7,0)),"")</f>
        <v/>
      </c>
      <c r="AK30" s="30" t="str">
        <f t="shared" si="5"/>
        <v>No</v>
      </c>
    </row>
    <row r="31" spans="2:37" ht="14">
      <c r="B31" s="97">
        <v>20</v>
      </c>
      <c r="C31" s="920"/>
      <c r="D31" s="115"/>
      <c r="E31" s="275" t="str">
        <f>IF(C31="","",VLOOKUP(C31,'G-7 WaterC'' Data'!$B$2:$G$8,2,FALSE))</f>
        <v/>
      </c>
      <c r="F31" s="276" t="str">
        <f>IFERROR(VLOOKUP(E31,'G-7 WaterC'' Data'!$C$4:$D$8,2,FALSE),"")</f>
        <v/>
      </c>
      <c r="G31" s="101"/>
      <c r="H31" s="276" t="str">
        <f>IFERROR(INDEX('G-7 WaterC'' Data'!$H$4:$L$8,MATCH(C31,'G-7 WaterC'' Data'!$B$4:$B$8,0),MATCH(G31,'G-7 WaterC'' Data'!$H$3:$L$3,0)),"")</f>
        <v/>
      </c>
      <c r="I31" s="52"/>
      <c r="J31" s="283" t="str">
        <f>IF(I31="","",IF(VLOOKUP(I31,'G-7 WaterC'' Data'!$AK$4:$AM$6,2,FALSE)=0,"Spatial Data Missing ⚠",VLOOKUP(I31,'G-7 WaterC'' Data'!$AK$4:$AM$6,2,FALSE)))</f>
        <v/>
      </c>
      <c r="K31" s="276" t="str">
        <f>IF(I31="","",IF(VLOOKUP(I31,'G-7 WaterC'' Data'!$AK$4:$AM$6,3,FALSE)=0,"Spatial Data Missing ⚠",VLOOKUP(I31,'G-7 WaterC'' Data'!$AK$4:$AM$6,3,FALSE)))</f>
        <v/>
      </c>
      <c r="L31" s="275" t="str">
        <f>IFERROR(INDEX('G-7 WaterC'' Data'!$O$3:$O$7,MATCH(G31,'G-7 WaterC'' Data'!$N$3:$N$7,0)),"")</f>
        <v/>
      </c>
      <c r="M31" s="58"/>
      <c r="N31" s="133"/>
      <c r="O31" s="283" t="str">
        <f t="shared" si="0"/>
        <v/>
      </c>
      <c r="P31" s="296" t="str">
        <f t="shared" si="1"/>
        <v/>
      </c>
      <c r="Q31" s="334" t="str">
        <f>IFERROR(IF(P31="Check Data ⚠","Check Data ⚠",VLOOKUP(P31,'G-4 Temporal multipliers'!$A$4:$C$37,3,FALSE)),"")</f>
        <v/>
      </c>
      <c r="R31" s="275" t="str">
        <f>IF(C31="","",VLOOKUP(C31,'G-7 WaterC'' Data'!$B$4:$G$8,4,FALSE))</f>
        <v/>
      </c>
      <c r="S31" s="283" t="str">
        <f t="shared" si="2"/>
        <v/>
      </c>
      <c r="T31" s="314" t="str">
        <f t="shared" si="3"/>
        <v/>
      </c>
      <c r="U31" s="276" t="str">
        <f>IF(C31="","",VLOOKUP(T31,'G-3 Multipliers'!$P$2:$Q$6,2,FALSE))</f>
        <v/>
      </c>
      <c r="V31" s="102"/>
      <c r="W31" s="276" t="str">
        <f>IF(V31="","",IF(AND(V31="N/A - Culvert",C31&lt;&gt;"Culvert"),"Not possible ▲",IF(AND(C31="Culvert",V31&lt;&gt;"N/A - Culvert"),"Not possible ▲",IF(VLOOKUP(V31,'G-7 WaterC'' Data'!$AA$4:$AB$7,2,FALSE)=0,"Spatial Data Missing ⚠",VLOOKUP(V31,'G-7 WaterC'' Data'!$AA$4:$AB$7,2,FALSE)))))</f>
        <v/>
      </c>
      <c r="X31" s="56"/>
      <c r="Y31" s="276" t="str">
        <f>IF(X31="","",IF(AND(X31="N/A - Culvert",C31&lt;&gt;"Culvert"),"Not possible ▲",IF(AND(C31="Culvert",X31&lt;&gt;"N/A - Culvert"),"Not possible ▲",IF(VLOOKUP(X31,'G-7 WaterC'' Data'!$AD$4:$AE$14,2,FALSE)=0,"Enrcoachment Data Missing ⚠",VLOOKUP(X31,'G-7 WaterC'' Data'!$AD$4:$AE$14,2,FALSE)))))</f>
        <v/>
      </c>
      <c r="Z31" s="317" t="str">
        <f t="shared" si="4"/>
        <v/>
      </c>
      <c r="AA31" s="101"/>
      <c r="AB31" s="115"/>
      <c r="AC31" s="104"/>
      <c r="AH31" s="30" t="str">
        <f>IFERROR(INDEX('G-7 WaterC'' Data'!$AZ$3:$AZ$7,MATCH(C31,'G-7 WaterC'' Data'!$AY$3:$AY$7,0)),"")</f>
        <v/>
      </c>
      <c r="AK31" s="30" t="str">
        <f t="shared" si="5"/>
        <v>No</v>
      </c>
    </row>
    <row r="32" spans="2:37" ht="14">
      <c r="B32" s="97">
        <v>21</v>
      </c>
      <c r="C32" s="920"/>
      <c r="D32" s="115"/>
      <c r="E32" s="275" t="str">
        <f>IF(C32="","",VLOOKUP(C32,'G-7 WaterC'' Data'!$B$2:$G$8,2,FALSE))</f>
        <v/>
      </c>
      <c r="F32" s="276" t="str">
        <f>IFERROR(VLOOKUP(E32,'G-7 WaterC'' Data'!$C$4:$D$8,2,FALSE),"")</f>
        <v/>
      </c>
      <c r="G32" s="101"/>
      <c r="H32" s="276" t="str">
        <f>IFERROR(INDEX('G-7 WaterC'' Data'!$H$4:$L$8,MATCH(C32,'G-7 WaterC'' Data'!$B$4:$B$8,0),MATCH(G32,'G-7 WaterC'' Data'!$H$3:$L$3,0)),"")</f>
        <v/>
      </c>
      <c r="I32" s="52"/>
      <c r="J32" s="283" t="str">
        <f>IF(I32="","",IF(VLOOKUP(I32,'G-7 WaterC'' Data'!$AK$4:$AM$6,2,FALSE)=0,"Spatial Data Missing ⚠",VLOOKUP(I32,'G-7 WaterC'' Data'!$AK$4:$AM$6,2,FALSE)))</f>
        <v/>
      </c>
      <c r="K32" s="276" t="str">
        <f>IF(I32="","",IF(VLOOKUP(I32,'G-7 WaterC'' Data'!$AK$4:$AM$6,3,FALSE)=0,"Spatial Data Missing ⚠",VLOOKUP(I32,'G-7 WaterC'' Data'!$AK$4:$AM$6,3,FALSE)))</f>
        <v/>
      </c>
      <c r="L32" s="275" t="str">
        <f>IFERROR(INDEX('G-7 WaterC'' Data'!$O$3:$O$7,MATCH(G32,'G-7 WaterC'' Data'!$N$3:$N$7,0)),"")</f>
        <v/>
      </c>
      <c r="M32" s="58"/>
      <c r="N32" s="133"/>
      <c r="O32" s="283" t="str">
        <f t="shared" si="0"/>
        <v/>
      </c>
      <c r="P32" s="296" t="str">
        <f t="shared" si="1"/>
        <v/>
      </c>
      <c r="Q32" s="334" t="str">
        <f>IFERROR(IF(P32="Check Data ⚠","Check Data ⚠",VLOOKUP(P32,'G-4 Temporal multipliers'!$A$4:$C$37,3,FALSE)),"")</f>
        <v/>
      </c>
      <c r="R32" s="275" t="str">
        <f>IF(C32="","",VLOOKUP(C32,'G-7 WaterC'' Data'!$B$4:$G$8,4,FALSE))</f>
        <v/>
      </c>
      <c r="S32" s="283" t="str">
        <f t="shared" si="2"/>
        <v/>
      </c>
      <c r="T32" s="314" t="str">
        <f t="shared" si="3"/>
        <v/>
      </c>
      <c r="U32" s="276" t="str">
        <f>IF(C32="","",VLOOKUP(T32,'G-3 Multipliers'!$P$2:$Q$6,2,FALSE))</f>
        <v/>
      </c>
      <c r="V32" s="102"/>
      <c r="W32" s="276" t="str">
        <f>IF(V32="","",IF(AND(V32="N/A - Culvert",C32&lt;&gt;"Culvert"),"Not possible ▲",IF(AND(C32="Culvert",V32&lt;&gt;"N/A - Culvert"),"Not possible ▲",IF(VLOOKUP(V32,'G-7 WaterC'' Data'!$AA$4:$AB$7,2,FALSE)=0,"Spatial Data Missing ⚠",VLOOKUP(V32,'G-7 WaterC'' Data'!$AA$4:$AB$7,2,FALSE)))))</f>
        <v/>
      </c>
      <c r="X32" s="56"/>
      <c r="Y32" s="276" t="str">
        <f>IF(X32="","",IF(AND(X32="N/A - Culvert",C32&lt;&gt;"Culvert"),"Not possible ▲",IF(AND(C32="Culvert",X32&lt;&gt;"N/A - Culvert"),"Not possible ▲",IF(VLOOKUP(X32,'G-7 WaterC'' Data'!$AD$4:$AE$14,2,FALSE)=0,"Enrcoachment Data Missing ⚠",VLOOKUP(X32,'G-7 WaterC'' Data'!$AD$4:$AE$14,2,FALSE)))))</f>
        <v/>
      </c>
      <c r="Z32" s="317" t="str">
        <f t="shared" si="4"/>
        <v/>
      </c>
      <c r="AA32" s="101"/>
      <c r="AB32" s="115"/>
      <c r="AC32" s="104"/>
      <c r="AH32" s="30" t="str">
        <f>IFERROR(INDEX('G-7 WaterC'' Data'!$AZ$3:$AZ$7,MATCH(C32,'G-7 WaterC'' Data'!$AY$3:$AY$7,0)),"")</f>
        <v/>
      </c>
      <c r="AK32" s="30" t="str">
        <f t="shared" si="5"/>
        <v>No</v>
      </c>
    </row>
    <row r="33" spans="2:37" ht="14">
      <c r="B33" s="97">
        <v>22</v>
      </c>
      <c r="C33" s="920"/>
      <c r="D33" s="115"/>
      <c r="E33" s="275" t="str">
        <f>IF(C33="","",VLOOKUP(C33,'G-7 WaterC'' Data'!$B$2:$G$8,2,FALSE))</f>
        <v/>
      </c>
      <c r="F33" s="276" t="str">
        <f>IFERROR(VLOOKUP(E33,'G-7 WaterC'' Data'!$C$4:$D$8,2,FALSE),"")</f>
        <v/>
      </c>
      <c r="G33" s="101"/>
      <c r="H33" s="276" t="str">
        <f>IFERROR(INDEX('G-7 WaterC'' Data'!$H$4:$L$8,MATCH(C33,'G-7 WaterC'' Data'!$B$4:$B$8,0),MATCH(G33,'G-7 WaterC'' Data'!$H$3:$L$3,0)),"")</f>
        <v/>
      </c>
      <c r="I33" s="52"/>
      <c r="J33" s="283" t="str">
        <f>IF(I33="","",IF(VLOOKUP(I33,'G-7 WaterC'' Data'!$AK$4:$AM$6,2,FALSE)=0,"Spatial Data Missing ⚠",VLOOKUP(I33,'G-7 WaterC'' Data'!$AK$4:$AM$6,2,FALSE)))</f>
        <v/>
      </c>
      <c r="K33" s="276" t="str">
        <f>IF(I33="","",IF(VLOOKUP(I33,'G-7 WaterC'' Data'!$AK$4:$AM$6,3,FALSE)=0,"Spatial Data Missing ⚠",VLOOKUP(I33,'G-7 WaterC'' Data'!$AK$4:$AM$6,3,FALSE)))</f>
        <v/>
      </c>
      <c r="L33" s="275" t="str">
        <f>IFERROR(INDEX('G-7 WaterC'' Data'!$O$3:$O$7,MATCH(G33,'G-7 WaterC'' Data'!$N$3:$N$7,0)),"")</f>
        <v/>
      </c>
      <c r="M33" s="58"/>
      <c r="N33" s="133"/>
      <c r="O33" s="283" t="str">
        <f t="shared" si="0"/>
        <v/>
      </c>
      <c r="P33" s="296" t="str">
        <f t="shared" si="1"/>
        <v/>
      </c>
      <c r="Q33" s="334" t="str">
        <f>IFERROR(IF(P33="Check Data ⚠","Check Data ⚠",VLOOKUP(P33,'G-4 Temporal multipliers'!$A$4:$C$37,3,FALSE)),"")</f>
        <v/>
      </c>
      <c r="R33" s="275" t="str">
        <f>IF(C33="","",VLOOKUP(C33,'G-7 WaterC'' Data'!$B$4:$G$8,4,FALSE))</f>
        <v/>
      </c>
      <c r="S33" s="283" t="str">
        <f t="shared" si="2"/>
        <v/>
      </c>
      <c r="T33" s="314" t="str">
        <f t="shared" si="3"/>
        <v/>
      </c>
      <c r="U33" s="276" t="str">
        <f>IF(C33="","",VLOOKUP(T33,'G-3 Multipliers'!$P$2:$Q$6,2,FALSE))</f>
        <v/>
      </c>
      <c r="V33" s="102"/>
      <c r="W33" s="276" t="str">
        <f>IF(V33="","",IF(AND(V33="N/A - Culvert",C33&lt;&gt;"Culvert"),"Not possible ▲",IF(AND(C33="Culvert",V33&lt;&gt;"N/A - Culvert"),"Not possible ▲",IF(VLOOKUP(V33,'G-7 WaterC'' Data'!$AA$4:$AB$7,2,FALSE)=0,"Spatial Data Missing ⚠",VLOOKUP(V33,'G-7 WaterC'' Data'!$AA$4:$AB$7,2,FALSE)))))</f>
        <v/>
      </c>
      <c r="X33" s="56"/>
      <c r="Y33" s="276" t="str">
        <f>IF(X33="","",IF(AND(X33="N/A - Culvert",C33&lt;&gt;"Culvert"),"Not possible ▲",IF(AND(C33="Culvert",X33&lt;&gt;"N/A - Culvert"),"Not possible ▲",IF(VLOOKUP(X33,'G-7 WaterC'' Data'!$AD$4:$AE$14,2,FALSE)=0,"Enrcoachment Data Missing ⚠",VLOOKUP(X33,'G-7 WaterC'' Data'!$AD$4:$AE$14,2,FALSE)))))</f>
        <v/>
      </c>
      <c r="Z33" s="317" t="str">
        <f t="shared" si="4"/>
        <v/>
      </c>
      <c r="AA33" s="101"/>
      <c r="AB33" s="115"/>
      <c r="AC33" s="104"/>
      <c r="AH33" s="30" t="str">
        <f>IFERROR(INDEX('G-7 WaterC'' Data'!$AZ$3:$AZ$7,MATCH(C33,'G-7 WaterC'' Data'!$AY$3:$AY$7,0)),"")</f>
        <v/>
      </c>
      <c r="AK33" s="30" t="str">
        <f t="shared" si="5"/>
        <v>No</v>
      </c>
    </row>
    <row r="34" spans="2:37" ht="14">
      <c r="B34" s="97">
        <v>23</v>
      </c>
      <c r="C34" s="920"/>
      <c r="D34" s="115"/>
      <c r="E34" s="275" t="str">
        <f>IF(C34="","",VLOOKUP(C34,'G-7 WaterC'' Data'!$B$2:$G$8,2,FALSE))</f>
        <v/>
      </c>
      <c r="F34" s="276" t="str">
        <f>IFERROR(VLOOKUP(E34,'G-7 WaterC'' Data'!$C$4:$D$8,2,FALSE),"")</f>
        <v/>
      </c>
      <c r="G34" s="101"/>
      <c r="H34" s="276" t="str">
        <f>IFERROR(INDEX('G-7 WaterC'' Data'!$H$4:$L$8,MATCH(C34,'G-7 WaterC'' Data'!$B$4:$B$8,0),MATCH(G34,'G-7 WaterC'' Data'!$H$3:$L$3,0)),"")</f>
        <v/>
      </c>
      <c r="I34" s="52"/>
      <c r="J34" s="283" t="str">
        <f>IF(I34="","",IF(VLOOKUP(I34,'G-7 WaterC'' Data'!$AK$4:$AM$6,2,FALSE)=0,"Spatial Data Missing ⚠",VLOOKUP(I34,'G-7 WaterC'' Data'!$AK$4:$AM$6,2,FALSE)))</f>
        <v/>
      </c>
      <c r="K34" s="276" t="str">
        <f>IF(I34="","",IF(VLOOKUP(I34,'G-7 WaterC'' Data'!$AK$4:$AM$6,3,FALSE)=0,"Spatial Data Missing ⚠",VLOOKUP(I34,'G-7 WaterC'' Data'!$AK$4:$AM$6,3,FALSE)))</f>
        <v/>
      </c>
      <c r="L34" s="275" t="str">
        <f>IFERROR(INDEX('G-7 WaterC'' Data'!$O$3:$O$7,MATCH(G34,'G-7 WaterC'' Data'!$N$3:$N$7,0)),"")</f>
        <v/>
      </c>
      <c r="M34" s="58"/>
      <c r="N34" s="133"/>
      <c r="O34" s="283" t="str">
        <f t="shared" si="0"/>
        <v/>
      </c>
      <c r="P34" s="296" t="str">
        <f t="shared" si="1"/>
        <v/>
      </c>
      <c r="Q34" s="334" t="str">
        <f>IFERROR(IF(P34="Check Data ⚠","Check Data ⚠",VLOOKUP(P34,'G-4 Temporal multipliers'!$A$4:$C$37,3,FALSE)),"")</f>
        <v/>
      </c>
      <c r="R34" s="275" t="str">
        <f>IF(C34="","",VLOOKUP(C34,'G-7 WaterC'' Data'!$B$4:$G$8,4,FALSE))</f>
        <v/>
      </c>
      <c r="S34" s="283" t="str">
        <f t="shared" si="2"/>
        <v/>
      </c>
      <c r="T34" s="314" t="str">
        <f t="shared" si="3"/>
        <v/>
      </c>
      <c r="U34" s="276" t="str">
        <f>IF(C34="","",VLOOKUP(T34,'G-3 Multipliers'!$P$2:$Q$6,2,FALSE))</f>
        <v/>
      </c>
      <c r="V34" s="102"/>
      <c r="W34" s="276" t="str">
        <f>IF(V34="","",IF(AND(V34="N/A - Culvert",C34&lt;&gt;"Culvert"),"Not possible ▲",IF(AND(C34="Culvert",V34&lt;&gt;"N/A - Culvert"),"Not possible ▲",IF(VLOOKUP(V34,'G-7 WaterC'' Data'!$AA$4:$AB$7,2,FALSE)=0,"Spatial Data Missing ⚠",VLOOKUP(V34,'G-7 WaterC'' Data'!$AA$4:$AB$7,2,FALSE)))))</f>
        <v/>
      </c>
      <c r="X34" s="56"/>
      <c r="Y34" s="276" t="str">
        <f>IF(X34="","",IF(AND(X34="N/A - Culvert",C34&lt;&gt;"Culvert"),"Not possible ▲",IF(AND(C34="Culvert",X34&lt;&gt;"N/A - Culvert"),"Not possible ▲",IF(VLOOKUP(X34,'G-7 WaterC'' Data'!$AD$4:$AE$14,2,FALSE)=0,"Enrcoachment Data Missing ⚠",VLOOKUP(X34,'G-7 WaterC'' Data'!$AD$4:$AE$14,2,FALSE)))))</f>
        <v/>
      </c>
      <c r="Z34" s="317" t="str">
        <f t="shared" si="4"/>
        <v/>
      </c>
      <c r="AA34" s="101"/>
      <c r="AB34" s="115"/>
      <c r="AC34" s="104"/>
      <c r="AH34" s="30" t="str">
        <f>IFERROR(INDEX('G-7 WaterC'' Data'!$AZ$3:$AZ$7,MATCH(C34,'G-7 WaterC'' Data'!$AY$3:$AY$7,0)),"")</f>
        <v/>
      </c>
      <c r="AK34" s="30" t="str">
        <f t="shared" si="5"/>
        <v>No</v>
      </c>
    </row>
    <row r="35" spans="2:37" ht="14">
      <c r="B35" s="97">
        <v>24</v>
      </c>
      <c r="C35" s="920"/>
      <c r="D35" s="115"/>
      <c r="E35" s="275" t="str">
        <f>IF(C35="","",VLOOKUP(C35,'G-7 WaterC'' Data'!$B$2:$G$8,2,FALSE))</f>
        <v/>
      </c>
      <c r="F35" s="276" t="str">
        <f>IFERROR(VLOOKUP(E35,'G-7 WaterC'' Data'!$C$4:$D$8,2,FALSE),"")</f>
        <v/>
      </c>
      <c r="G35" s="101"/>
      <c r="H35" s="276" t="str">
        <f>IFERROR(INDEX('G-7 WaterC'' Data'!$H$4:$L$8,MATCH(C35,'G-7 WaterC'' Data'!$B$4:$B$8,0),MATCH(G35,'G-7 WaterC'' Data'!$H$3:$L$3,0)),"")</f>
        <v/>
      </c>
      <c r="I35" s="52"/>
      <c r="J35" s="283" t="str">
        <f>IF(I35="","",IF(VLOOKUP(I35,'G-7 WaterC'' Data'!$AK$4:$AM$6,2,FALSE)=0,"Spatial Data Missing ⚠",VLOOKUP(I35,'G-7 WaterC'' Data'!$AK$4:$AM$6,2,FALSE)))</f>
        <v/>
      </c>
      <c r="K35" s="276" t="str">
        <f>IF(I35="","",IF(VLOOKUP(I35,'G-7 WaterC'' Data'!$AK$4:$AM$6,3,FALSE)=0,"Spatial Data Missing ⚠",VLOOKUP(I35,'G-7 WaterC'' Data'!$AK$4:$AM$6,3,FALSE)))</f>
        <v/>
      </c>
      <c r="L35" s="275" t="str">
        <f>IFERROR(INDEX('G-7 WaterC'' Data'!$O$3:$O$7,MATCH(G35,'G-7 WaterC'' Data'!$N$3:$N$7,0)),"")</f>
        <v/>
      </c>
      <c r="M35" s="58"/>
      <c r="N35" s="133"/>
      <c r="O35" s="283" t="str">
        <f t="shared" si="0"/>
        <v/>
      </c>
      <c r="P35" s="296" t="str">
        <f t="shared" si="1"/>
        <v/>
      </c>
      <c r="Q35" s="334" t="str">
        <f>IFERROR(IF(P35="Check Data ⚠","Check Data ⚠",VLOOKUP(P35,'G-4 Temporal multipliers'!$A$4:$C$37,3,FALSE)),"")</f>
        <v/>
      </c>
      <c r="R35" s="275" t="str">
        <f>IF(C35="","",VLOOKUP(C35,'G-7 WaterC'' Data'!$B$4:$G$8,4,FALSE))</f>
        <v/>
      </c>
      <c r="S35" s="283" t="str">
        <f t="shared" si="2"/>
        <v/>
      </c>
      <c r="T35" s="314" t="str">
        <f t="shared" si="3"/>
        <v/>
      </c>
      <c r="U35" s="276" t="str">
        <f>IF(C35="","",VLOOKUP(T35,'G-3 Multipliers'!$P$2:$Q$6,2,FALSE))</f>
        <v/>
      </c>
      <c r="V35" s="102"/>
      <c r="W35" s="276" t="str">
        <f>IF(V35="","",IF(AND(V35="N/A - Culvert",C35&lt;&gt;"Culvert"),"Not possible ▲",IF(AND(C35="Culvert",V35&lt;&gt;"N/A - Culvert"),"Not possible ▲",IF(VLOOKUP(V35,'G-7 WaterC'' Data'!$AA$4:$AB$7,2,FALSE)=0,"Spatial Data Missing ⚠",VLOOKUP(V35,'G-7 WaterC'' Data'!$AA$4:$AB$7,2,FALSE)))))</f>
        <v/>
      </c>
      <c r="X35" s="56"/>
      <c r="Y35" s="276" t="str">
        <f>IF(X35="","",IF(AND(X35="N/A - Culvert",C35&lt;&gt;"Culvert"),"Not possible ▲",IF(AND(C35="Culvert",X35&lt;&gt;"N/A - Culvert"),"Not possible ▲",IF(VLOOKUP(X35,'G-7 WaterC'' Data'!$AD$4:$AE$14,2,FALSE)=0,"Enrcoachment Data Missing ⚠",VLOOKUP(X35,'G-7 WaterC'' Data'!$AD$4:$AE$14,2,FALSE)))))</f>
        <v/>
      </c>
      <c r="Z35" s="317" t="str">
        <f t="shared" si="4"/>
        <v/>
      </c>
      <c r="AA35" s="101"/>
      <c r="AB35" s="115"/>
      <c r="AC35" s="104"/>
      <c r="AH35" s="30" t="str">
        <f>IFERROR(INDEX('G-7 WaterC'' Data'!$AZ$3:$AZ$7,MATCH(C35,'G-7 WaterC'' Data'!$AY$3:$AY$7,0)),"")</f>
        <v/>
      </c>
      <c r="AK35" s="30" t="str">
        <f t="shared" si="5"/>
        <v>No</v>
      </c>
    </row>
    <row r="36" spans="2:37" ht="14">
      <c r="B36" s="97">
        <v>25</v>
      </c>
      <c r="C36" s="920"/>
      <c r="D36" s="115"/>
      <c r="E36" s="275" t="str">
        <f>IF(C36="","",VLOOKUP(C36,'G-7 WaterC'' Data'!$B$2:$G$8,2,FALSE))</f>
        <v/>
      </c>
      <c r="F36" s="276" t="str">
        <f>IFERROR(VLOOKUP(E36,'G-7 WaterC'' Data'!$C$4:$D$8,2,FALSE),"")</f>
        <v/>
      </c>
      <c r="G36" s="101"/>
      <c r="H36" s="276" t="str">
        <f>IFERROR(INDEX('G-7 WaterC'' Data'!$H$4:$L$8,MATCH(C36,'G-7 WaterC'' Data'!$B$4:$B$8,0),MATCH(G36,'G-7 WaterC'' Data'!$H$3:$L$3,0)),"")</f>
        <v/>
      </c>
      <c r="I36" s="52"/>
      <c r="J36" s="283" t="str">
        <f>IF(I36="","",IF(VLOOKUP(I36,'G-7 WaterC'' Data'!$AK$4:$AM$6,2,FALSE)=0,"Spatial Data Missing ⚠",VLOOKUP(I36,'G-7 WaterC'' Data'!$AK$4:$AM$6,2,FALSE)))</f>
        <v/>
      </c>
      <c r="K36" s="276" t="str">
        <f>IF(I36="","",IF(VLOOKUP(I36,'G-7 WaterC'' Data'!$AK$4:$AM$6,3,FALSE)=0,"Spatial Data Missing ⚠",VLOOKUP(I36,'G-7 WaterC'' Data'!$AK$4:$AM$6,3,FALSE)))</f>
        <v/>
      </c>
      <c r="L36" s="275" t="str">
        <f>IFERROR(INDEX('G-7 WaterC'' Data'!$O$3:$O$7,MATCH(G36,'G-7 WaterC'' Data'!$N$3:$N$7,0)),"")</f>
        <v/>
      </c>
      <c r="M36" s="58"/>
      <c r="N36" s="133"/>
      <c r="O36" s="283" t="str">
        <f t="shared" si="0"/>
        <v/>
      </c>
      <c r="P36" s="296" t="str">
        <f t="shared" si="1"/>
        <v/>
      </c>
      <c r="Q36" s="334" t="str">
        <f>IFERROR(IF(P36="Check Data ⚠","Check Data ⚠",VLOOKUP(P36,'G-4 Temporal multipliers'!$A$4:$C$37,3,FALSE)),"")</f>
        <v/>
      </c>
      <c r="R36" s="275" t="str">
        <f>IF(C36="","",VLOOKUP(C36,'G-7 WaterC'' Data'!$B$4:$G$8,4,FALSE))</f>
        <v/>
      </c>
      <c r="S36" s="283" t="str">
        <f t="shared" si="2"/>
        <v/>
      </c>
      <c r="T36" s="314" t="str">
        <f t="shared" si="3"/>
        <v/>
      </c>
      <c r="U36" s="276" t="str">
        <f>IF(C36="","",VLOOKUP(T36,'G-3 Multipliers'!$P$2:$Q$6,2,FALSE))</f>
        <v/>
      </c>
      <c r="V36" s="102"/>
      <c r="W36" s="276" t="str">
        <f>IF(V36="","",IF(AND(V36="N/A - Culvert",C36&lt;&gt;"Culvert"),"Not possible ▲",IF(AND(C36="Culvert",V36&lt;&gt;"N/A - Culvert"),"Not possible ▲",IF(VLOOKUP(V36,'G-7 WaterC'' Data'!$AA$4:$AB$7,2,FALSE)=0,"Spatial Data Missing ⚠",VLOOKUP(V36,'G-7 WaterC'' Data'!$AA$4:$AB$7,2,FALSE)))))</f>
        <v/>
      </c>
      <c r="X36" s="56"/>
      <c r="Y36" s="276" t="str">
        <f>IF(X36="","",IF(AND(X36="N/A - Culvert",C36&lt;&gt;"Culvert"),"Not possible ▲",IF(AND(C36="Culvert",X36&lt;&gt;"N/A - Culvert"),"Not possible ▲",IF(VLOOKUP(X36,'G-7 WaterC'' Data'!$AD$4:$AE$14,2,FALSE)=0,"Enrcoachment Data Missing ⚠",VLOOKUP(X36,'G-7 WaterC'' Data'!$AD$4:$AE$14,2,FALSE)))))</f>
        <v/>
      </c>
      <c r="Z36" s="317" t="str">
        <f t="shared" si="4"/>
        <v/>
      </c>
      <c r="AA36" s="101"/>
      <c r="AB36" s="115"/>
      <c r="AC36" s="104"/>
      <c r="AH36" s="30" t="str">
        <f>IFERROR(INDEX('G-7 WaterC'' Data'!$AZ$3:$AZ$7,MATCH(C36,'G-7 WaterC'' Data'!$AY$3:$AY$7,0)),"")</f>
        <v/>
      </c>
      <c r="AK36" s="30" t="str">
        <f t="shared" si="5"/>
        <v>No</v>
      </c>
    </row>
    <row r="37" spans="2:37" ht="14">
      <c r="B37" s="97">
        <v>26</v>
      </c>
      <c r="C37" s="920"/>
      <c r="D37" s="115"/>
      <c r="E37" s="275" t="str">
        <f>IF(C37="","",VLOOKUP(C37,'G-7 WaterC'' Data'!$B$2:$G$8,2,FALSE))</f>
        <v/>
      </c>
      <c r="F37" s="276" t="str">
        <f>IFERROR(VLOOKUP(E37,'G-7 WaterC'' Data'!$C$4:$D$8,2,FALSE),"")</f>
        <v/>
      </c>
      <c r="G37" s="101"/>
      <c r="H37" s="276" t="str">
        <f>IFERROR(INDEX('G-7 WaterC'' Data'!$H$4:$L$8,MATCH(C37,'G-7 WaterC'' Data'!$B$4:$B$8,0),MATCH(G37,'G-7 WaterC'' Data'!$H$3:$L$3,0)),"")</f>
        <v/>
      </c>
      <c r="I37" s="52"/>
      <c r="J37" s="283" t="str">
        <f>IF(I37="","",IF(VLOOKUP(I37,'G-7 WaterC'' Data'!$AK$4:$AM$6,2,FALSE)=0,"Spatial Data Missing ⚠",VLOOKUP(I37,'G-7 WaterC'' Data'!$AK$4:$AM$6,2,FALSE)))</f>
        <v/>
      </c>
      <c r="K37" s="276" t="str">
        <f>IF(I37="","",IF(VLOOKUP(I37,'G-7 WaterC'' Data'!$AK$4:$AM$6,3,FALSE)=0,"Spatial Data Missing ⚠",VLOOKUP(I37,'G-7 WaterC'' Data'!$AK$4:$AM$6,3,FALSE)))</f>
        <v/>
      </c>
      <c r="L37" s="275" t="str">
        <f>IFERROR(INDEX('G-7 WaterC'' Data'!$O$3:$O$7,MATCH(G37,'G-7 WaterC'' Data'!$N$3:$N$7,0)),"")</f>
        <v/>
      </c>
      <c r="M37" s="58"/>
      <c r="N37" s="133"/>
      <c r="O37" s="283" t="str">
        <f t="shared" si="0"/>
        <v/>
      </c>
      <c r="P37" s="296" t="str">
        <f t="shared" si="1"/>
        <v/>
      </c>
      <c r="Q37" s="334" t="str">
        <f>IFERROR(IF(P37="Check Data ⚠","Check Data ⚠",VLOOKUP(P37,'G-4 Temporal multipliers'!$A$4:$C$37,3,FALSE)),"")</f>
        <v/>
      </c>
      <c r="R37" s="275" t="str">
        <f>IF(C37="","",VLOOKUP(C37,'G-7 WaterC'' Data'!$B$4:$G$8,4,FALSE))</f>
        <v/>
      </c>
      <c r="S37" s="283" t="str">
        <f t="shared" si="2"/>
        <v/>
      </c>
      <c r="T37" s="314" t="str">
        <f t="shared" si="3"/>
        <v/>
      </c>
      <c r="U37" s="276" t="str">
        <f>IF(C37="","",VLOOKUP(T37,'G-3 Multipliers'!$P$2:$Q$6,2,FALSE))</f>
        <v/>
      </c>
      <c r="V37" s="102"/>
      <c r="W37" s="276" t="str">
        <f>IF(V37="","",IF(AND(V37="N/A - Culvert",C37&lt;&gt;"Culvert"),"Not possible ▲",IF(AND(C37="Culvert",V37&lt;&gt;"N/A - Culvert"),"Not possible ▲",IF(VLOOKUP(V37,'G-7 WaterC'' Data'!$AA$4:$AB$7,2,FALSE)=0,"Spatial Data Missing ⚠",VLOOKUP(V37,'G-7 WaterC'' Data'!$AA$4:$AB$7,2,FALSE)))))</f>
        <v/>
      </c>
      <c r="X37" s="56"/>
      <c r="Y37" s="276" t="str">
        <f>IF(X37="","",IF(AND(X37="N/A - Culvert",C37&lt;&gt;"Culvert"),"Not possible ▲",IF(AND(C37="Culvert",X37&lt;&gt;"N/A - Culvert"),"Not possible ▲",IF(VLOOKUP(X37,'G-7 WaterC'' Data'!$AD$4:$AE$14,2,FALSE)=0,"Enrcoachment Data Missing ⚠",VLOOKUP(X37,'G-7 WaterC'' Data'!$AD$4:$AE$14,2,FALSE)))))</f>
        <v/>
      </c>
      <c r="Z37" s="317" t="str">
        <f t="shared" si="4"/>
        <v/>
      </c>
      <c r="AA37" s="101"/>
      <c r="AB37" s="115"/>
      <c r="AC37" s="104"/>
      <c r="AH37" s="30" t="str">
        <f>IFERROR(INDEX('G-7 WaterC'' Data'!$AZ$3:$AZ$7,MATCH(C37,'G-7 WaterC'' Data'!$AY$3:$AY$7,0)),"")</f>
        <v/>
      </c>
      <c r="AK37" s="30" t="str">
        <f t="shared" si="5"/>
        <v>No</v>
      </c>
    </row>
    <row r="38" spans="2:37" ht="14">
      <c r="B38" s="97">
        <v>27</v>
      </c>
      <c r="C38" s="920"/>
      <c r="D38" s="115"/>
      <c r="E38" s="275" t="str">
        <f>IF(C38="","",VLOOKUP(C38,'G-7 WaterC'' Data'!$B$2:$G$8,2,FALSE))</f>
        <v/>
      </c>
      <c r="F38" s="276" t="str">
        <f>IFERROR(VLOOKUP(E38,'G-7 WaterC'' Data'!$C$4:$D$8,2,FALSE),"")</f>
        <v/>
      </c>
      <c r="G38" s="101"/>
      <c r="H38" s="276" t="str">
        <f>IFERROR(INDEX('G-7 WaterC'' Data'!$H$4:$L$8,MATCH(C38,'G-7 WaterC'' Data'!$B$4:$B$8,0),MATCH(G38,'G-7 WaterC'' Data'!$H$3:$L$3,0)),"")</f>
        <v/>
      </c>
      <c r="I38" s="52"/>
      <c r="J38" s="283" t="str">
        <f>IF(I38="","",IF(VLOOKUP(I38,'G-7 WaterC'' Data'!$AK$4:$AM$6,2,FALSE)=0,"Spatial Data Missing ⚠",VLOOKUP(I38,'G-7 WaterC'' Data'!$AK$4:$AM$6,2,FALSE)))</f>
        <v/>
      </c>
      <c r="K38" s="276" t="str">
        <f>IF(I38="","",IF(VLOOKUP(I38,'G-7 WaterC'' Data'!$AK$4:$AM$6,3,FALSE)=0,"Spatial Data Missing ⚠",VLOOKUP(I38,'G-7 WaterC'' Data'!$AK$4:$AM$6,3,FALSE)))</f>
        <v/>
      </c>
      <c r="L38" s="275" t="str">
        <f>IFERROR(INDEX('G-7 WaterC'' Data'!$O$3:$O$7,MATCH(G38,'G-7 WaterC'' Data'!$N$3:$N$7,0)),"")</f>
        <v/>
      </c>
      <c r="M38" s="58"/>
      <c r="N38" s="133"/>
      <c r="O38" s="283" t="str">
        <f t="shared" si="0"/>
        <v/>
      </c>
      <c r="P38" s="296" t="str">
        <f t="shared" si="1"/>
        <v/>
      </c>
      <c r="Q38" s="334" t="str">
        <f>IFERROR(IF(P38="Check Data ⚠","Check Data ⚠",VLOOKUP(P38,'G-4 Temporal multipliers'!$A$4:$C$37,3,FALSE)),"")</f>
        <v/>
      </c>
      <c r="R38" s="275" t="str">
        <f>IF(C38="","",VLOOKUP(C38,'G-7 WaterC'' Data'!$B$4:$G$8,4,FALSE))</f>
        <v/>
      </c>
      <c r="S38" s="283" t="str">
        <f t="shared" si="2"/>
        <v/>
      </c>
      <c r="T38" s="314" t="str">
        <f t="shared" si="3"/>
        <v/>
      </c>
      <c r="U38" s="276" t="str">
        <f>IF(C38="","",VLOOKUP(T38,'G-3 Multipliers'!$P$2:$Q$6,2,FALSE))</f>
        <v/>
      </c>
      <c r="V38" s="102"/>
      <c r="W38" s="276" t="str">
        <f>IF(V38="","",IF(AND(V38="N/A - Culvert",C38&lt;&gt;"Culvert"),"Not possible ▲",IF(AND(C38="Culvert",V38&lt;&gt;"N/A - Culvert"),"Not possible ▲",IF(VLOOKUP(V38,'G-7 WaterC'' Data'!$AA$4:$AB$7,2,FALSE)=0,"Spatial Data Missing ⚠",VLOOKUP(V38,'G-7 WaterC'' Data'!$AA$4:$AB$7,2,FALSE)))))</f>
        <v/>
      </c>
      <c r="X38" s="56"/>
      <c r="Y38" s="276" t="str">
        <f>IF(X38="","",IF(AND(X38="N/A - Culvert",C38&lt;&gt;"Culvert"),"Not possible ▲",IF(AND(C38="Culvert",X38&lt;&gt;"N/A - Culvert"),"Not possible ▲",IF(VLOOKUP(X38,'G-7 WaterC'' Data'!$AD$4:$AE$14,2,FALSE)=0,"Enrcoachment Data Missing ⚠",VLOOKUP(X38,'G-7 WaterC'' Data'!$AD$4:$AE$14,2,FALSE)))))</f>
        <v/>
      </c>
      <c r="Z38" s="317" t="str">
        <f t="shared" si="4"/>
        <v/>
      </c>
      <c r="AA38" s="101"/>
      <c r="AB38" s="115"/>
      <c r="AC38" s="104"/>
      <c r="AH38" s="30" t="str">
        <f>IFERROR(INDEX('G-7 WaterC'' Data'!$AZ$3:$AZ$7,MATCH(C38,'G-7 WaterC'' Data'!$AY$3:$AY$7,0)),"")</f>
        <v/>
      </c>
      <c r="AK38" s="30" t="str">
        <f t="shared" si="5"/>
        <v>No</v>
      </c>
    </row>
    <row r="39" spans="2:37" ht="14">
      <c r="B39" s="97">
        <v>28</v>
      </c>
      <c r="C39" s="920"/>
      <c r="D39" s="115"/>
      <c r="E39" s="275" t="str">
        <f>IF(C39="","",VLOOKUP(C39,'G-7 WaterC'' Data'!$B$2:$G$8,2,FALSE))</f>
        <v/>
      </c>
      <c r="F39" s="276" t="str">
        <f>IFERROR(VLOOKUP(E39,'G-7 WaterC'' Data'!$C$4:$D$8,2,FALSE),"")</f>
        <v/>
      </c>
      <c r="G39" s="101"/>
      <c r="H39" s="276" t="str">
        <f>IFERROR(INDEX('G-7 WaterC'' Data'!$H$4:$L$8,MATCH(C39,'G-7 WaterC'' Data'!$B$4:$B$8,0),MATCH(G39,'G-7 WaterC'' Data'!$H$3:$L$3,0)),"")</f>
        <v/>
      </c>
      <c r="I39" s="52"/>
      <c r="J39" s="283" t="str">
        <f>IF(I39="","",IF(VLOOKUP(I39,'G-7 WaterC'' Data'!$AK$4:$AM$6,2,FALSE)=0,"Spatial Data Missing ⚠",VLOOKUP(I39,'G-7 WaterC'' Data'!$AK$4:$AM$6,2,FALSE)))</f>
        <v/>
      </c>
      <c r="K39" s="276" t="str">
        <f>IF(I39="","",IF(VLOOKUP(I39,'G-7 WaterC'' Data'!$AK$4:$AM$6,3,FALSE)=0,"Spatial Data Missing ⚠",VLOOKUP(I39,'G-7 WaterC'' Data'!$AK$4:$AM$6,3,FALSE)))</f>
        <v/>
      </c>
      <c r="L39" s="275" t="str">
        <f>IFERROR(INDEX('G-7 WaterC'' Data'!$O$3:$O$7,MATCH(G39,'G-7 WaterC'' Data'!$N$3:$N$7,0)),"")</f>
        <v/>
      </c>
      <c r="M39" s="58"/>
      <c r="N39" s="133"/>
      <c r="O39" s="283" t="str">
        <f t="shared" si="0"/>
        <v/>
      </c>
      <c r="P39" s="296" t="str">
        <f t="shared" si="1"/>
        <v/>
      </c>
      <c r="Q39" s="334" t="str">
        <f>IFERROR(IF(P39="Check Data ⚠","Check Data ⚠",VLOOKUP(P39,'G-4 Temporal multipliers'!$A$4:$C$37,3,FALSE)),"")</f>
        <v/>
      </c>
      <c r="R39" s="275" t="str">
        <f>IF(C39="","",VLOOKUP(C39,'G-7 WaterC'' Data'!$B$4:$G$8,4,FALSE))</f>
        <v/>
      </c>
      <c r="S39" s="283" t="str">
        <f t="shared" si="2"/>
        <v/>
      </c>
      <c r="T39" s="314" t="str">
        <f t="shared" si="3"/>
        <v/>
      </c>
      <c r="U39" s="276" t="str">
        <f>IF(C39="","",VLOOKUP(T39,'G-3 Multipliers'!$P$2:$Q$6,2,FALSE))</f>
        <v/>
      </c>
      <c r="V39" s="102"/>
      <c r="W39" s="276" t="str">
        <f>IF(V39="","",IF(AND(V39="N/A - Culvert",C39&lt;&gt;"Culvert"),"Not possible ▲",IF(AND(C39="Culvert",V39&lt;&gt;"N/A - Culvert"),"Not possible ▲",IF(VLOOKUP(V39,'G-7 WaterC'' Data'!$AA$4:$AB$7,2,FALSE)=0,"Spatial Data Missing ⚠",VLOOKUP(V39,'G-7 WaterC'' Data'!$AA$4:$AB$7,2,FALSE)))))</f>
        <v/>
      </c>
      <c r="X39" s="56"/>
      <c r="Y39" s="276" t="str">
        <f>IF(X39="","",IF(AND(X39="N/A - Culvert",C39&lt;&gt;"Culvert"),"Not possible ▲",IF(AND(C39="Culvert",X39&lt;&gt;"N/A - Culvert"),"Not possible ▲",IF(VLOOKUP(X39,'G-7 WaterC'' Data'!$AD$4:$AE$14,2,FALSE)=0,"Enrcoachment Data Missing ⚠",VLOOKUP(X39,'G-7 WaterC'' Data'!$AD$4:$AE$14,2,FALSE)))))</f>
        <v/>
      </c>
      <c r="Z39" s="317" t="str">
        <f t="shared" si="4"/>
        <v/>
      </c>
      <c r="AA39" s="101"/>
      <c r="AB39" s="115"/>
      <c r="AC39" s="104"/>
      <c r="AH39" s="30" t="str">
        <f>IFERROR(INDEX('G-7 WaterC'' Data'!$AZ$3:$AZ$7,MATCH(C39,'G-7 WaterC'' Data'!$AY$3:$AY$7,0)),"")</f>
        <v/>
      </c>
      <c r="AK39" s="30" t="str">
        <f t="shared" si="5"/>
        <v>No</v>
      </c>
    </row>
    <row r="40" spans="2:37" ht="14">
      <c r="B40" s="97">
        <v>29</v>
      </c>
      <c r="C40" s="920"/>
      <c r="D40" s="115"/>
      <c r="E40" s="275" t="str">
        <f>IF(C40="","",VLOOKUP(C40,'G-7 WaterC'' Data'!$B$2:$G$8,2,FALSE))</f>
        <v/>
      </c>
      <c r="F40" s="276" t="str">
        <f>IFERROR(VLOOKUP(E40,'G-7 WaterC'' Data'!$C$4:$D$8,2,FALSE),"")</f>
        <v/>
      </c>
      <c r="G40" s="101"/>
      <c r="H40" s="276" t="str">
        <f>IFERROR(INDEX('G-7 WaterC'' Data'!$H$4:$L$8,MATCH(C40,'G-7 WaterC'' Data'!$B$4:$B$8,0),MATCH(G40,'G-7 WaterC'' Data'!$H$3:$L$3,0)),"")</f>
        <v/>
      </c>
      <c r="I40" s="52"/>
      <c r="J40" s="283" t="str">
        <f>IF(I40="","",IF(VLOOKUP(I40,'G-7 WaterC'' Data'!$AK$4:$AM$6,2,FALSE)=0,"Spatial Data Missing ⚠",VLOOKUP(I40,'G-7 WaterC'' Data'!$AK$4:$AM$6,2,FALSE)))</f>
        <v/>
      </c>
      <c r="K40" s="276" t="str">
        <f>IF(I40="","",IF(VLOOKUP(I40,'G-7 WaterC'' Data'!$AK$4:$AM$6,3,FALSE)=0,"Spatial Data Missing ⚠",VLOOKUP(I40,'G-7 WaterC'' Data'!$AK$4:$AM$6,3,FALSE)))</f>
        <v/>
      </c>
      <c r="L40" s="275" t="str">
        <f>IFERROR(INDEX('G-7 WaterC'' Data'!$O$3:$O$7,MATCH(G40,'G-7 WaterC'' Data'!$N$3:$N$7,0)),"")</f>
        <v/>
      </c>
      <c r="M40" s="58"/>
      <c r="N40" s="133"/>
      <c r="O40" s="283" t="str">
        <f t="shared" si="0"/>
        <v/>
      </c>
      <c r="P40" s="296" t="str">
        <f t="shared" si="1"/>
        <v/>
      </c>
      <c r="Q40" s="334" t="str">
        <f>IFERROR(IF(P40="Check Data ⚠","Check Data ⚠",VLOOKUP(P40,'G-4 Temporal multipliers'!$A$4:$C$37,3,FALSE)),"")</f>
        <v/>
      </c>
      <c r="R40" s="275" t="str">
        <f>IF(C40="","",VLOOKUP(C40,'G-7 WaterC'' Data'!$B$4:$G$8,4,FALSE))</f>
        <v/>
      </c>
      <c r="S40" s="283" t="str">
        <f t="shared" si="2"/>
        <v/>
      </c>
      <c r="T40" s="314" t="str">
        <f t="shared" si="3"/>
        <v/>
      </c>
      <c r="U40" s="276" t="str">
        <f>IF(C40="","",VLOOKUP(T40,'G-3 Multipliers'!$P$2:$Q$6,2,FALSE))</f>
        <v/>
      </c>
      <c r="V40" s="102"/>
      <c r="W40" s="276" t="str">
        <f>IF(V40="","",IF(AND(V40="N/A - Culvert",C40&lt;&gt;"Culvert"),"Not possible ▲",IF(AND(C40="Culvert",V40&lt;&gt;"N/A - Culvert"),"Not possible ▲",IF(VLOOKUP(V40,'G-7 WaterC'' Data'!$AA$4:$AB$7,2,FALSE)=0,"Spatial Data Missing ⚠",VLOOKUP(V40,'G-7 WaterC'' Data'!$AA$4:$AB$7,2,FALSE)))))</f>
        <v/>
      </c>
      <c r="X40" s="56"/>
      <c r="Y40" s="276" t="str">
        <f>IF(X40="","",IF(AND(X40="N/A - Culvert",C40&lt;&gt;"Culvert"),"Not possible ▲",IF(AND(C40="Culvert",X40&lt;&gt;"N/A - Culvert"),"Not possible ▲",IF(VLOOKUP(X40,'G-7 WaterC'' Data'!$AD$4:$AE$14,2,FALSE)=0,"Enrcoachment Data Missing ⚠",VLOOKUP(X40,'G-7 WaterC'' Data'!$AD$4:$AE$14,2,FALSE)))))</f>
        <v/>
      </c>
      <c r="Z40" s="317" t="str">
        <f t="shared" si="4"/>
        <v/>
      </c>
      <c r="AA40" s="101"/>
      <c r="AB40" s="115"/>
      <c r="AC40" s="104"/>
      <c r="AH40" s="30" t="str">
        <f>IFERROR(INDEX('G-7 WaterC'' Data'!$AZ$3:$AZ$7,MATCH(C40,'G-7 WaterC'' Data'!$AY$3:$AY$7,0)),"")</f>
        <v/>
      </c>
      <c r="AK40" s="30" t="str">
        <f t="shared" si="5"/>
        <v>No</v>
      </c>
    </row>
    <row r="41" spans="2:37" ht="14">
      <c r="B41" s="97">
        <v>30</v>
      </c>
      <c r="C41" s="920"/>
      <c r="D41" s="115"/>
      <c r="E41" s="275" t="str">
        <f>IF(C41="","",VLOOKUP(C41,'G-7 WaterC'' Data'!$B$2:$G$8,2,FALSE))</f>
        <v/>
      </c>
      <c r="F41" s="276" t="str">
        <f>IFERROR(VLOOKUP(E41,'G-7 WaterC'' Data'!$C$4:$D$8,2,FALSE),"")</f>
        <v/>
      </c>
      <c r="G41" s="101"/>
      <c r="H41" s="276" t="str">
        <f>IFERROR(INDEX('G-7 WaterC'' Data'!$H$4:$L$8,MATCH(C41,'G-7 WaterC'' Data'!$B$4:$B$8,0),MATCH(G41,'G-7 WaterC'' Data'!$H$3:$L$3,0)),"")</f>
        <v/>
      </c>
      <c r="I41" s="52"/>
      <c r="J41" s="283" t="str">
        <f>IF(I41="","",IF(VLOOKUP(I41,'G-7 WaterC'' Data'!$AK$4:$AM$6,2,FALSE)=0,"Spatial Data Missing ⚠",VLOOKUP(I41,'G-7 WaterC'' Data'!$AK$4:$AM$6,2,FALSE)))</f>
        <v/>
      </c>
      <c r="K41" s="276" t="str">
        <f>IF(I41="","",IF(VLOOKUP(I41,'G-7 WaterC'' Data'!$AK$4:$AM$6,3,FALSE)=0,"Spatial Data Missing ⚠",VLOOKUP(I41,'G-7 WaterC'' Data'!$AK$4:$AM$6,3,FALSE)))</f>
        <v/>
      </c>
      <c r="L41" s="275" t="str">
        <f>IFERROR(INDEX('G-7 WaterC'' Data'!$O$3:$O$7,MATCH(G41,'G-7 WaterC'' Data'!$N$3:$N$7,0)),"")</f>
        <v/>
      </c>
      <c r="M41" s="58"/>
      <c r="N41" s="133"/>
      <c r="O41" s="283" t="str">
        <f t="shared" si="0"/>
        <v/>
      </c>
      <c r="P41" s="296" t="str">
        <f t="shared" si="1"/>
        <v/>
      </c>
      <c r="Q41" s="334" t="str">
        <f>IFERROR(IF(P41="Check Data ⚠","Check Data ⚠",VLOOKUP(P41,'G-4 Temporal multipliers'!$A$4:$C$37,3,FALSE)),"")</f>
        <v/>
      </c>
      <c r="R41" s="275" t="str">
        <f>IF(C41="","",VLOOKUP(C41,'G-7 WaterC'' Data'!$B$4:$G$8,4,FALSE))</f>
        <v/>
      </c>
      <c r="S41" s="283" t="str">
        <f t="shared" si="2"/>
        <v/>
      </c>
      <c r="T41" s="314" t="str">
        <f t="shared" si="3"/>
        <v/>
      </c>
      <c r="U41" s="276" t="str">
        <f>IF(C41="","",VLOOKUP(T41,'G-3 Multipliers'!$P$2:$Q$6,2,FALSE))</f>
        <v/>
      </c>
      <c r="V41" s="102"/>
      <c r="W41" s="276" t="str">
        <f>IF(V41="","",IF(AND(V41="N/A - Culvert",C41&lt;&gt;"Culvert"),"Not possible ▲",IF(AND(C41="Culvert",V41&lt;&gt;"N/A - Culvert"),"Not possible ▲",IF(VLOOKUP(V41,'G-7 WaterC'' Data'!$AA$4:$AB$7,2,FALSE)=0,"Spatial Data Missing ⚠",VLOOKUP(V41,'G-7 WaterC'' Data'!$AA$4:$AB$7,2,FALSE)))))</f>
        <v/>
      </c>
      <c r="X41" s="56"/>
      <c r="Y41" s="276" t="str">
        <f>IF(X41="","",IF(AND(X41="N/A - Culvert",C41&lt;&gt;"Culvert"),"Not possible ▲",IF(AND(C41="Culvert",X41&lt;&gt;"N/A - Culvert"),"Not possible ▲",IF(VLOOKUP(X41,'G-7 WaterC'' Data'!$AD$4:$AE$14,2,FALSE)=0,"Enrcoachment Data Missing ⚠",VLOOKUP(X41,'G-7 WaterC'' Data'!$AD$4:$AE$14,2,FALSE)))))</f>
        <v/>
      </c>
      <c r="Z41" s="317" t="str">
        <f t="shared" si="4"/>
        <v/>
      </c>
      <c r="AA41" s="101"/>
      <c r="AB41" s="115"/>
      <c r="AC41" s="104"/>
      <c r="AH41" s="30" t="str">
        <f>IFERROR(INDEX('G-7 WaterC'' Data'!$AZ$3:$AZ$7,MATCH(C41,'G-7 WaterC'' Data'!$AY$3:$AY$7,0)),"")</f>
        <v/>
      </c>
      <c r="AK41" s="30" t="str">
        <f t="shared" si="5"/>
        <v>No</v>
      </c>
    </row>
    <row r="42" spans="2:37" ht="14">
      <c r="B42" s="97">
        <v>31</v>
      </c>
      <c r="C42" s="920"/>
      <c r="D42" s="115"/>
      <c r="E42" s="275" t="str">
        <f>IF(C42="","",VLOOKUP(C42,'G-7 WaterC'' Data'!$B$2:$G$8,2,FALSE))</f>
        <v/>
      </c>
      <c r="F42" s="276" t="str">
        <f>IFERROR(VLOOKUP(E42,'G-7 WaterC'' Data'!$C$4:$D$8,2,FALSE),"")</f>
        <v/>
      </c>
      <c r="G42" s="101"/>
      <c r="H42" s="276" t="str">
        <f>IFERROR(INDEX('G-7 WaterC'' Data'!$H$4:$L$8,MATCH(C42,'G-7 WaterC'' Data'!$B$4:$B$8,0),MATCH(G42,'G-7 WaterC'' Data'!$H$3:$L$3,0)),"")</f>
        <v/>
      </c>
      <c r="I42" s="52"/>
      <c r="J42" s="283" t="str">
        <f>IF(I42="","",IF(VLOOKUP(I42,'G-7 WaterC'' Data'!$AK$4:$AM$6,2,FALSE)=0,"Spatial Data Missing ⚠",VLOOKUP(I42,'G-7 WaterC'' Data'!$AK$4:$AM$6,2,FALSE)))</f>
        <v/>
      </c>
      <c r="K42" s="276" t="str">
        <f>IF(I42="","",IF(VLOOKUP(I42,'G-7 WaterC'' Data'!$AK$4:$AM$6,3,FALSE)=0,"Spatial Data Missing ⚠",VLOOKUP(I42,'G-7 WaterC'' Data'!$AK$4:$AM$6,3,FALSE)))</f>
        <v/>
      </c>
      <c r="L42" s="275" t="str">
        <f>IFERROR(INDEX('G-7 WaterC'' Data'!$O$3:$O$7,MATCH(G42,'G-7 WaterC'' Data'!$N$3:$N$7,0)),"")</f>
        <v/>
      </c>
      <c r="M42" s="58"/>
      <c r="N42" s="133"/>
      <c r="O42" s="283" t="str">
        <f t="shared" si="0"/>
        <v/>
      </c>
      <c r="P42" s="296" t="str">
        <f t="shared" si="1"/>
        <v/>
      </c>
      <c r="Q42" s="334" t="str">
        <f>IFERROR(IF(P42="Check Data ⚠","Check Data ⚠",VLOOKUP(P42,'G-4 Temporal multipliers'!$A$4:$C$37,3,FALSE)),"")</f>
        <v/>
      </c>
      <c r="R42" s="275" t="str">
        <f>IF(C42="","",VLOOKUP(C42,'G-7 WaterC'' Data'!$B$4:$G$8,4,FALSE))</f>
        <v/>
      </c>
      <c r="S42" s="283" t="str">
        <f t="shared" si="2"/>
        <v/>
      </c>
      <c r="T42" s="314" t="str">
        <f t="shared" si="3"/>
        <v/>
      </c>
      <c r="U42" s="276" t="str">
        <f>IF(C42="","",VLOOKUP(T42,'G-3 Multipliers'!$P$2:$Q$6,2,FALSE))</f>
        <v/>
      </c>
      <c r="V42" s="102"/>
      <c r="W42" s="276" t="str">
        <f>IF(V42="","",IF(AND(V42="N/A - Culvert",C42&lt;&gt;"Culvert"),"Not possible ▲",IF(AND(C42="Culvert",V42&lt;&gt;"N/A - Culvert"),"Not possible ▲",IF(VLOOKUP(V42,'G-7 WaterC'' Data'!$AA$4:$AB$7,2,FALSE)=0,"Spatial Data Missing ⚠",VLOOKUP(V42,'G-7 WaterC'' Data'!$AA$4:$AB$7,2,FALSE)))))</f>
        <v/>
      </c>
      <c r="X42" s="56"/>
      <c r="Y42" s="276" t="str">
        <f>IF(X42="","",IF(AND(X42="N/A - Culvert",C42&lt;&gt;"Culvert"),"Not possible ▲",IF(AND(C42="Culvert",X42&lt;&gt;"N/A - Culvert"),"Not possible ▲",IF(VLOOKUP(X42,'G-7 WaterC'' Data'!$AD$4:$AE$14,2,FALSE)=0,"Enrcoachment Data Missing ⚠",VLOOKUP(X42,'G-7 WaterC'' Data'!$AD$4:$AE$14,2,FALSE)))))</f>
        <v/>
      </c>
      <c r="Z42" s="317" t="str">
        <f t="shared" si="4"/>
        <v/>
      </c>
      <c r="AA42" s="101"/>
      <c r="AB42" s="115"/>
      <c r="AC42" s="104"/>
      <c r="AH42" s="30" t="str">
        <f>IFERROR(INDEX('G-7 WaterC'' Data'!$AZ$3:$AZ$7,MATCH(C42,'G-7 WaterC'' Data'!$AY$3:$AY$7,0)),"")</f>
        <v/>
      </c>
      <c r="AK42" s="30" t="str">
        <f t="shared" si="5"/>
        <v>No</v>
      </c>
    </row>
    <row r="43" spans="2:37" ht="14">
      <c r="B43" s="97">
        <v>32</v>
      </c>
      <c r="C43" s="920"/>
      <c r="D43" s="115"/>
      <c r="E43" s="275" t="str">
        <f>IF(C43="","",VLOOKUP(C43,'G-7 WaterC'' Data'!$B$2:$G$8,2,FALSE))</f>
        <v/>
      </c>
      <c r="F43" s="276" t="str">
        <f>IFERROR(VLOOKUP(E43,'G-7 WaterC'' Data'!$C$4:$D$8,2,FALSE),"")</f>
        <v/>
      </c>
      <c r="G43" s="101"/>
      <c r="H43" s="276" t="str">
        <f>IFERROR(INDEX('G-7 WaterC'' Data'!$H$4:$L$8,MATCH(C43,'G-7 WaterC'' Data'!$B$4:$B$8,0),MATCH(G43,'G-7 WaterC'' Data'!$H$3:$L$3,0)),"")</f>
        <v/>
      </c>
      <c r="I43" s="52"/>
      <c r="J43" s="283" t="str">
        <f>IF(I43="","",IF(VLOOKUP(I43,'G-7 WaterC'' Data'!$AK$4:$AM$6,2,FALSE)=0,"Spatial Data Missing ⚠",VLOOKUP(I43,'G-7 WaterC'' Data'!$AK$4:$AM$6,2,FALSE)))</f>
        <v/>
      </c>
      <c r="K43" s="276" t="str">
        <f>IF(I43="","",IF(VLOOKUP(I43,'G-7 WaterC'' Data'!$AK$4:$AM$6,3,FALSE)=0,"Spatial Data Missing ⚠",VLOOKUP(I43,'G-7 WaterC'' Data'!$AK$4:$AM$6,3,FALSE)))</f>
        <v/>
      </c>
      <c r="L43" s="275" t="str">
        <f>IFERROR(INDEX('G-7 WaterC'' Data'!$O$3:$O$7,MATCH(G43,'G-7 WaterC'' Data'!$N$3:$N$7,0)),"")</f>
        <v/>
      </c>
      <c r="M43" s="58"/>
      <c r="N43" s="133"/>
      <c r="O43" s="283" t="str">
        <f t="shared" si="0"/>
        <v/>
      </c>
      <c r="P43" s="296" t="str">
        <f t="shared" si="1"/>
        <v/>
      </c>
      <c r="Q43" s="334" t="str">
        <f>IFERROR(IF(P43="Check Data ⚠","Check Data ⚠",VLOOKUP(P43,'G-4 Temporal multipliers'!$A$4:$C$37,3,FALSE)),"")</f>
        <v/>
      </c>
      <c r="R43" s="275" t="str">
        <f>IF(C43="","",VLOOKUP(C43,'G-7 WaterC'' Data'!$B$4:$G$8,4,FALSE))</f>
        <v/>
      </c>
      <c r="S43" s="283" t="str">
        <f t="shared" si="2"/>
        <v/>
      </c>
      <c r="T43" s="314" t="str">
        <f t="shared" si="3"/>
        <v/>
      </c>
      <c r="U43" s="276" t="str">
        <f>IF(C43="","",VLOOKUP(T43,'G-3 Multipliers'!$P$2:$Q$6,2,FALSE))</f>
        <v/>
      </c>
      <c r="V43" s="102"/>
      <c r="W43" s="276" t="str">
        <f>IF(V43="","",IF(AND(V43="N/A - Culvert",C43&lt;&gt;"Culvert"),"Not possible ▲",IF(AND(C43="Culvert",V43&lt;&gt;"N/A - Culvert"),"Not possible ▲",IF(VLOOKUP(V43,'G-7 WaterC'' Data'!$AA$4:$AB$7,2,FALSE)=0,"Spatial Data Missing ⚠",VLOOKUP(V43,'G-7 WaterC'' Data'!$AA$4:$AB$7,2,FALSE)))))</f>
        <v/>
      </c>
      <c r="X43" s="56"/>
      <c r="Y43" s="276" t="str">
        <f>IF(X43="","",IF(AND(X43="N/A - Culvert",C43&lt;&gt;"Culvert"),"Not possible ▲",IF(AND(C43="Culvert",X43&lt;&gt;"N/A - Culvert"),"Not possible ▲",IF(VLOOKUP(X43,'G-7 WaterC'' Data'!$AD$4:$AE$14,2,FALSE)=0,"Enrcoachment Data Missing ⚠",VLOOKUP(X43,'G-7 WaterC'' Data'!$AD$4:$AE$14,2,FALSE)))))</f>
        <v/>
      </c>
      <c r="Z43" s="317" t="str">
        <f t="shared" si="4"/>
        <v/>
      </c>
      <c r="AA43" s="101"/>
      <c r="AB43" s="115"/>
      <c r="AC43" s="104"/>
      <c r="AH43" s="30" t="str">
        <f>IFERROR(INDEX('G-7 WaterC'' Data'!$AZ$3:$AZ$7,MATCH(C43,'G-7 WaterC'' Data'!$AY$3:$AY$7,0)),"")</f>
        <v/>
      </c>
      <c r="AK43" s="30" t="str">
        <f t="shared" si="5"/>
        <v>No</v>
      </c>
    </row>
    <row r="44" spans="2:37" ht="14">
      <c r="B44" s="97">
        <v>33</v>
      </c>
      <c r="C44" s="920"/>
      <c r="D44" s="115"/>
      <c r="E44" s="275" t="str">
        <f>IF(C44="","",VLOOKUP(C44,'G-7 WaterC'' Data'!$B$2:$G$8,2,FALSE))</f>
        <v/>
      </c>
      <c r="F44" s="276" t="str">
        <f>IFERROR(VLOOKUP(E44,'G-7 WaterC'' Data'!$C$4:$D$8,2,FALSE),"")</f>
        <v/>
      </c>
      <c r="G44" s="101"/>
      <c r="H44" s="276" t="str">
        <f>IFERROR(INDEX('G-7 WaterC'' Data'!$H$4:$L$8,MATCH(C44,'G-7 WaterC'' Data'!$B$4:$B$8,0),MATCH(G44,'G-7 WaterC'' Data'!$H$3:$L$3,0)),"")</f>
        <v/>
      </c>
      <c r="I44" s="52"/>
      <c r="J44" s="283" t="str">
        <f>IF(I44="","",IF(VLOOKUP(I44,'G-7 WaterC'' Data'!$AK$4:$AM$6,2,FALSE)=0,"Spatial Data Missing ⚠",VLOOKUP(I44,'G-7 WaterC'' Data'!$AK$4:$AM$6,2,FALSE)))</f>
        <v/>
      </c>
      <c r="K44" s="276" t="str">
        <f>IF(I44="","",IF(VLOOKUP(I44,'G-7 WaterC'' Data'!$AK$4:$AM$6,3,FALSE)=0,"Spatial Data Missing ⚠",VLOOKUP(I44,'G-7 WaterC'' Data'!$AK$4:$AM$6,3,FALSE)))</f>
        <v/>
      </c>
      <c r="L44" s="275" t="str">
        <f>IFERROR(INDEX('G-7 WaterC'' Data'!$O$3:$O$7,MATCH(G44,'G-7 WaterC'' Data'!$N$3:$N$7,0)),"")</f>
        <v/>
      </c>
      <c r="M44" s="58"/>
      <c r="N44" s="133"/>
      <c r="O44" s="283" t="str">
        <f t="shared" si="0"/>
        <v/>
      </c>
      <c r="P44" s="296" t="str">
        <f t="shared" si="1"/>
        <v/>
      </c>
      <c r="Q44" s="334" t="str">
        <f>IFERROR(IF(P44="Check Data ⚠","Check Data ⚠",VLOOKUP(P44,'G-4 Temporal multipliers'!$A$4:$C$37,3,FALSE)),"")</f>
        <v/>
      </c>
      <c r="R44" s="275" t="str">
        <f>IF(C44="","",VLOOKUP(C44,'G-7 WaterC'' Data'!$B$4:$G$8,4,FALSE))</f>
        <v/>
      </c>
      <c r="S44" s="283" t="str">
        <f t="shared" si="2"/>
        <v/>
      </c>
      <c r="T44" s="314" t="str">
        <f t="shared" si="3"/>
        <v/>
      </c>
      <c r="U44" s="276" t="str">
        <f>IF(C44="","",VLOOKUP(T44,'G-3 Multipliers'!$P$2:$Q$6,2,FALSE))</f>
        <v/>
      </c>
      <c r="V44" s="102"/>
      <c r="W44" s="276" t="str">
        <f>IF(V44="","",IF(AND(V44="N/A - Culvert",C44&lt;&gt;"Culvert"),"Not possible ▲",IF(AND(C44="Culvert",V44&lt;&gt;"N/A - Culvert"),"Not possible ▲",IF(VLOOKUP(V44,'G-7 WaterC'' Data'!$AA$4:$AB$7,2,FALSE)=0,"Spatial Data Missing ⚠",VLOOKUP(V44,'G-7 WaterC'' Data'!$AA$4:$AB$7,2,FALSE)))))</f>
        <v/>
      </c>
      <c r="X44" s="56"/>
      <c r="Y44" s="276" t="str">
        <f>IF(X44="","",IF(AND(X44="N/A - Culvert",C44&lt;&gt;"Culvert"),"Not possible ▲",IF(AND(C44="Culvert",X44&lt;&gt;"N/A - Culvert"),"Not possible ▲",IF(VLOOKUP(X44,'G-7 WaterC'' Data'!$AD$4:$AE$14,2,FALSE)=0,"Enrcoachment Data Missing ⚠",VLOOKUP(X44,'G-7 WaterC'' Data'!$AD$4:$AE$14,2,FALSE)))))</f>
        <v/>
      </c>
      <c r="Z44" s="317" t="str">
        <f t="shared" si="4"/>
        <v/>
      </c>
      <c r="AA44" s="101"/>
      <c r="AB44" s="115"/>
      <c r="AC44" s="104"/>
      <c r="AH44" s="30" t="str">
        <f>IFERROR(INDEX('G-7 WaterC'' Data'!$AZ$3:$AZ$7,MATCH(C44,'G-7 WaterC'' Data'!$AY$3:$AY$7,0)),"")</f>
        <v/>
      </c>
      <c r="AK44" s="30" t="str">
        <f t="shared" si="5"/>
        <v>No</v>
      </c>
    </row>
    <row r="45" spans="2:37" ht="14">
      <c r="B45" s="97">
        <v>34</v>
      </c>
      <c r="C45" s="920"/>
      <c r="D45" s="115"/>
      <c r="E45" s="275" t="str">
        <f>IF(C45="","",VLOOKUP(C45,'G-7 WaterC'' Data'!$B$2:$G$8,2,FALSE))</f>
        <v/>
      </c>
      <c r="F45" s="276" t="str">
        <f>IFERROR(VLOOKUP(E45,'G-7 WaterC'' Data'!$C$4:$D$8,2,FALSE),"")</f>
        <v/>
      </c>
      <c r="G45" s="101"/>
      <c r="H45" s="276" t="str">
        <f>IFERROR(INDEX('G-7 WaterC'' Data'!$H$4:$L$8,MATCH(C45,'G-7 WaterC'' Data'!$B$4:$B$8,0),MATCH(G45,'G-7 WaterC'' Data'!$H$3:$L$3,0)),"")</f>
        <v/>
      </c>
      <c r="I45" s="52"/>
      <c r="J45" s="283" t="str">
        <f>IF(I45="","",IF(VLOOKUP(I45,'G-7 WaterC'' Data'!$AK$4:$AM$6,2,FALSE)=0,"Spatial Data Missing ⚠",VLOOKUP(I45,'G-7 WaterC'' Data'!$AK$4:$AM$6,2,FALSE)))</f>
        <v/>
      </c>
      <c r="K45" s="276" t="str">
        <f>IF(I45="","",IF(VLOOKUP(I45,'G-7 WaterC'' Data'!$AK$4:$AM$6,3,FALSE)=0,"Spatial Data Missing ⚠",VLOOKUP(I45,'G-7 WaterC'' Data'!$AK$4:$AM$6,3,FALSE)))</f>
        <v/>
      </c>
      <c r="L45" s="275" t="str">
        <f>IFERROR(INDEX('G-7 WaterC'' Data'!$O$3:$O$7,MATCH(G45,'G-7 WaterC'' Data'!$N$3:$N$7,0)),"")</f>
        <v/>
      </c>
      <c r="M45" s="58"/>
      <c r="N45" s="133"/>
      <c r="O45" s="283" t="str">
        <f t="shared" si="0"/>
        <v/>
      </c>
      <c r="P45" s="296" t="str">
        <f t="shared" si="1"/>
        <v/>
      </c>
      <c r="Q45" s="334" t="str">
        <f>IFERROR(IF(P45="Check Data ⚠","Check Data ⚠",VLOOKUP(P45,'G-4 Temporal multipliers'!$A$4:$C$37,3,FALSE)),"")</f>
        <v/>
      </c>
      <c r="R45" s="275" t="str">
        <f>IF(C45="","",VLOOKUP(C45,'G-7 WaterC'' Data'!$B$4:$G$8,4,FALSE))</f>
        <v/>
      </c>
      <c r="S45" s="283" t="str">
        <f t="shared" si="2"/>
        <v/>
      </c>
      <c r="T45" s="314" t="str">
        <f t="shared" si="3"/>
        <v/>
      </c>
      <c r="U45" s="276" t="str">
        <f>IF(C45="","",VLOOKUP(T45,'G-3 Multipliers'!$P$2:$Q$6,2,FALSE))</f>
        <v/>
      </c>
      <c r="V45" s="102"/>
      <c r="W45" s="276" t="str">
        <f>IF(V45="","",IF(AND(V45="N/A - Culvert",C45&lt;&gt;"Culvert"),"Not possible ▲",IF(AND(C45="Culvert",V45&lt;&gt;"N/A - Culvert"),"Not possible ▲",IF(VLOOKUP(V45,'G-7 WaterC'' Data'!$AA$4:$AB$7,2,FALSE)=0,"Spatial Data Missing ⚠",VLOOKUP(V45,'G-7 WaterC'' Data'!$AA$4:$AB$7,2,FALSE)))))</f>
        <v/>
      </c>
      <c r="X45" s="56"/>
      <c r="Y45" s="276" t="str">
        <f>IF(X45="","",IF(AND(X45="N/A - Culvert",C45&lt;&gt;"Culvert"),"Not possible ▲",IF(AND(C45="Culvert",X45&lt;&gt;"N/A - Culvert"),"Not possible ▲",IF(VLOOKUP(X45,'G-7 WaterC'' Data'!$AD$4:$AE$14,2,FALSE)=0,"Enrcoachment Data Missing ⚠",VLOOKUP(X45,'G-7 WaterC'' Data'!$AD$4:$AE$14,2,FALSE)))))</f>
        <v/>
      </c>
      <c r="Z45" s="317" t="str">
        <f t="shared" si="4"/>
        <v/>
      </c>
      <c r="AA45" s="101"/>
      <c r="AB45" s="115"/>
      <c r="AC45" s="104"/>
      <c r="AH45" s="30" t="str">
        <f>IFERROR(INDEX('G-7 WaterC'' Data'!$AZ$3:$AZ$7,MATCH(C45,'G-7 WaterC'' Data'!$AY$3:$AY$7,0)),"")</f>
        <v/>
      </c>
      <c r="AK45" s="30" t="str">
        <f t="shared" si="5"/>
        <v>No</v>
      </c>
    </row>
    <row r="46" spans="2:37" ht="14">
      <c r="B46" s="97">
        <v>35</v>
      </c>
      <c r="C46" s="920"/>
      <c r="D46" s="115"/>
      <c r="E46" s="275" t="str">
        <f>IF(C46="","",VLOOKUP(C46,'G-7 WaterC'' Data'!$B$2:$G$8,2,FALSE))</f>
        <v/>
      </c>
      <c r="F46" s="276" t="str">
        <f>IFERROR(VLOOKUP(E46,'G-7 WaterC'' Data'!$C$4:$D$8,2,FALSE),"")</f>
        <v/>
      </c>
      <c r="G46" s="101"/>
      <c r="H46" s="276" t="str">
        <f>IFERROR(INDEX('G-7 WaterC'' Data'!$H$4:$L$8,MATCH(C46,'G-7 WaterC'' Data'!$B$4:$B$8,0),MATCH(G46,'G-7 WaterC'' Data'!$H$3:$L$3,0)),"")</f>
        <v/>
      </c>
      <c r="I46" s="52"/>
      <c r="J46" s="283" t="str">
        <f>IF(I46="","",IF(VLOOKUP(I46,'G-7 WaterC'' Data'!$AK$4:$AM$6,2,FALSE)=0,"Spatial Data Missing ⚠",VLOOKUP(I46,'G-7 WaterC'' Data'!$AK$4:$AM$6,2,FALSE)))</f>
        <v/>
      </c>
      <c r="K46" s="276" t="str">
        <f>IF(I46="","",IF(VLOOKUP(I46,'G-7 WaterC'' Data'!$AK$4:$AM$6,3,FALSE)=0,"Spatial Data Missing ⚠",VLOOKUP(I46,'G-7 WaterC'' Data'!$AK$4:$AM$6,3,FALSE)))</f>
        <v/>
      </c>
      <c r="L46" s="275" t="str">
        <f>IFERROR(INDEX('G-7 WaterC'' Data'!$O$3:$O$7,MATCH(G46,'G-7 WaterC'' Data'!$N$3:$N$7,0)),"")</f>
        <v/>
      </c>
      <c r="M46" s="58"/>
      <c r="N46" s="133"/>
      <c r="O46" s="283" t="str">
        <f t="shared" si="0"/>
        <v/>
      </c>
      <c r="P46" s="296" t="str">
        <f t="shared" si="1"/>
        <v/>
      </c>
      <c r="Q46" s="334" t="str">
        <f>IFERROR(IF(P46="Check Data ⚠","Check Data ⚠",VLOOKUP(P46,'G-4 Temporal multipliers'!$A$4:$C$37,3,FALSE)),"")</f>
        <v/>
      </c>
      <c r="R46" s="275" t="str">
        <f>IF(C46="","",VLOOKUP(C46,'G-7 WaterC'' Data'!$B$4:$G$8,4,FALSE))</f>
        <v/>
      </c>
      <c r="S46" s="283" t="str">
        <f t="shared" si="2"/>
        <v/>
      </c>
      <c r="T46" s="314" t="str">
        <f t="shared" si="3"/>
        <v/>
      </c>
      <c r="U46" s="276" t="str">
        <f>IF(C46="","",VLOOKUP(T46,'G-3 Multipliers'!$P$2:$Q$6,2,FALSE))</f>
        <v/>
      </c>
      <c r="V46" s="102"/>
      <c r="W46" s="276" t="str">
        <f>IF(V46="","",IF(AND(V46="N/A - Culvert",C46&lt;&gt;"Culvert"),"Not possible ▲",IF(AND(C46="Culvert",V46&lt;&gt;"N/A - Culvert"),"Not possible ▲",IF(VLOOKUP(V46,'G-7 WaterC'' Data'!$AA$4:$AB$7,2,FALSE)=0,"Spatial Data Missing ⚠",VLOOKUP(V46,'G-7 WaterC'' Data'!$AA$4:$AB$7,2,FALSE)))))</f>
        <v/>
      </c>
      <c r="X46" s="56"/>
      <c r="Y46" s="276" t="str">
        <f>IF(X46="","",IF(AND(X46="N/A - Culvert",C46&lt;&gt;"Culvert"),"Not possible ▲",IF(AND(C46="Culvert",X46&lt;&gt;"N/A - Culvert"),"Not possible ▲",IF(VLOOKUP(X46,'G-7 WaterC'' Data'!$AD$4:$AE$14,2,FALSE)=0,"Enrcoachment Data Missing ⚠",VLOOKUP(X46,'G-7 WaterC'' Data'!$AD$4:$AE$14,2,FALSE)))))</f>
        <v/>
      </c>
      <c r="Z46" s="317" t="str">
        <f t="shared" si="4"/>
        <v/>
      </c>
      <c r="AA46" s="101"/>
      <c r="AB46" s="115"/>
      <c r="AC46" s="104"/>
      <c r="AH46" s="30" t="str">
        <f>IFERROR(INDEX('G-7 WaterC'' Data'!$AZ$3:$AZ$7,MATCH(C46,'G-7 WaterC'' Data'!$AY$3:$AY$7,0)),"")</f>
        <v/>
      </c>
      <c r="AK46" s="30" t="str">
        <f t="shared" si="5"/>
        <v>No</v>
      </c>
    </row>
    <row r="47" spans="2:37" ht="14">
      <c r="B47" s="97">
        <v>36</v>
      </c>
      <c r="C47" s="920"/>
      <c r="D47" s="115"/>
      <c r="E47" s="275" t="str">
        <f>IF(C47="","",VLOOKUP(C47,'G-7 WaterC'' Data'!$B$2:$G$8,2,FALSE))</f>
        <v/>
      </c>
      <c r="F47" s="276" t="str">
        <f>IFERROR(VLOOKUP(E47,'G-7 WaterC'' Data'!$C$4:$D$8,2,FALSE),"")</f>
        <v/>
      </c>
      <c r="G47" s="101"/>
      <c r="H47" s="276" t="str">
        <f>IFERROR(INDEX('G-7 WaterC'' Data'!$H$4:$L$8,MATCH(C47,'G-7 WaterC'' Data'!$B$4:$B$8,0),MATCH(G47,'G-7 WaterC'' Data'!$H$3:$L$3,0)),"")</f>
        <v/>
      </c>
      <c r="I47" s="52"/>
      <c r="J47" s="283" t="str">
        <f>IF(I47="","",IF(VLOOKUP(I47,'G-7 WaterC'' Data'!$AK$4:$AM$6,2,FALSE)=0,"Spatial Data Missing ⚠",VLOOKUP(I47,'G-7 WaterC'' Data'!$AK$4:$AM$6,2,FALSE)))</f>
        <v/>
      </c>
      <c r="K47" s="276" t="str">
        <f>IF(I47="","",IF(VLOOKUP(I47,'G-7 WaterC'' Data'!$AK$4:$AM$6,3,FALSE)=0,"Spatial Data Missing ⚠",VLOOKUP(I47,'G-7 WaterC'' Data'!$AK$4:$AM$6,3,FALSE)))</f>
        <v/>
      </c>
      <c r="L47" s="275" t="str">
        <f>IFERROR(INDEX('G-7 WaterC'' Data'!$O$3:$O$7,MATCH(G47,'G-7 WaterC'' Data'!$N$3:$N$7,0)),"")</f>
        <v/>
      </c>
      <c r="M47" s="58"/>
      <c r="N47" s="133"/>
      <c r="O47" s="283" t="str">
        <f t="shared" si="0"/>
        <v/>
      </c>
      <c r="P47" s="296" t="str">
        <f t="shared" si="1"/>
        <v/>
      </c>
      <c r="Q47" s="334" t="str">
        <f>IFERROR(IF(P47="Check Data ⚠","Check Data ⚠",VLOOKUP(P47,'G-4 Temporal multipliers'!$A$4:$C$37,3,FALSE)),"")</f>
        <v/>
      </c>
      <c r="R47" s="275" t="str">
        <f>IF(C47="","",VLOOKUP(C47,'G-7 WaterC'' Data'!$B$4:$G$8,4,FALSE))</f>
        <v/>
      </c>
      <c r="S47" s="283" t="str">
        <f t="shared" si="2"/>
        <v/>
      </c>
      <c r="T47" s="314" t="str">
        <f t="shared" si="3"/>
        <v/>
      </c>
      <c r="U47" s="276" t="str">
        <f>IF(C47="","",VLOOKUP(T47,'G-3 Multipliers'!$P$2:$Q$6,2,FALSE))</f>
        <v/>
      </c>
      <c r="V47" s="102"/>
      <c r="W47" s="276" t="str">
        <f>IF(V47="","",IF(AND(V47="N/A - Culvert",C47&lt;&gt;"Culvert"),"Not possible ▲",IF(AND(C47="Culvert",V47&lt;&gt;"N/A - Culvert"),"Not possible ▲",IF(VLOOKUP(V47,'G-7 WaterC'' Data'!$AA$4:$AB$7,2,FALSE)=0,"Spatial Data Missing ⚠",VLOOKUP(V47,'G-7 WaterC'' Data'!$AA$4:$AB$7,2,FALSE)))))</f>
        <v/>
      </c>
      <c r="X47" s="56"/>
      <c r="Y47" s="276" t="str">
        <f>IF(X47="","",IF(AND(X47="N/A - Culvert",C47&lt;&gt;"Culvert"),"Not possible ▲",IF(AND(C47="Culvert",X47&lt;&gt;"N/A - Culvert"),"Not possible ▲",IF(VLOOKUP(X47,'G-7 WaterC'' Data'!$AD$4:$AE$14,2,FALSE)=0,"Enrcoachment Data Missing ⚠",VLOOKUP(X47,'G-7 WaterC'' Data'!$AD$4:$AE$14,2,FALSE)))))</f>
        <v/>
      </c>
      <c r="Z47" s="317" t="str">
        <f t="shared" si="4"/>
        <v/>
      </c>
      <c r="AA47" s="101"/>
      <c r="AB47" s="115"/>
      <c r="AC47" s="104"/>
      <c r="AH47" s="30" t="str">
        <f>IFERROR(INDEX('G-7 WaterC'' Data'!$AZ$3:$AZ$7,MATCH(C47,'G-7 WaterC'' Data'!$AY$3:$AY$7,0)),"")</f>
        <v/>
      </c>
      <c r="AK47" s="30" t="str">
        <f t="shared" si="5"/>
        <v>No</v>
      </c>
    </row>
    <row r="48" spans="2:37" ht="14">
      <c r="B48" s="97">
        <v>37</v>
      </c>
      <c r="C48" s="920"/>
      <c r="D48" s="115"/>
      <c r="E48" s="275" t="str">
        <f>IF(C48="","",VLOOKUP(C48,'G-7 WaterC'' Data'!$B$2:$G$8,2,FALSE))</f>
        <v/>
      </c>
      <c r="F48" s="276" t="str">
        <f>IFERROR(VLOOKUP(E48,'G-7 WaterC'' Data'!$C$4:$D$8,2,FALSE),"")</f>
        <v/>
      </c>
      <c r="G48" s="101"/>
      <c r="H48" s="276" t="str">
        <f>IFERROR(INDEX('G-7 WaterC'' Data'!$H$4:$L$8,MATCH(C48,'G-7 WaterC'' Data'!$B$4:$B$8,0),MATCH(G48,'G-7 WaterC'' Data'!$H$3:$L$3,0)),"")</f>
        <v/>
      </c>
      <c r="I48" s="52"/>
      <c r="J48" s="283" t="str">
        <f>IF(I48="","",IF(VLOOKUP(I48,'G-7 WaterC'' Data'!$AK$4:$AM$6,2,FALSE)=0,"Spatial Data Missing ⚠",VLOOKUP(I48,'G-7 WaterC'' Data'!$AK$4:$AM$6,2,FALSE)))</f>
        <v/>
      </c>
      <c r="K48" s="276" t="str">
        <f>IF(I48="","",IF(VLOOKUP(I48,'G-7 WaterC'' Data'!$AK$4:$AM$6,3,FALSE)=0,"Spatial Data Missing ⚠",VLOOKUP(I48,'G-7 WaterC'' Data'!$AK$4:$AM$6,3,FALSE)))</f>
        <v/>
      </c>
      <c r="L48" s="275" t="str">
        <f>IFERROR(INDEX('G-7 WaterC'' Data'!$O$3:$O$7,MATCH(G48,'G-7 WaterC'' Data'!$N$3:$N$7,0)),"")</f>
        <v/>
      </c>
      <c r="M48" s="58"/>
      <c r="N48" s="133"/>
      <c r="O48" s="283" t="str">
        <f t="shared" si="0"/>
        <v/>
      </c>
      <c r="P48" s="296" t="str">
        <f t="shared" si="1"/>
        <v/>
      </c>
      <c r="Q48" s="334" t="str">
        <f>IFERROR(IF(P48="Check Data ⚠","Check Data ⚠",VLOOKUP(P48,'G-4 Temporal multipliers'!$A$4:$C$37,3,FALSE)),"")</f>
        <v/>
      </c>
      <c r="R48" s="275" t="str">
        <f>IF(C48="","",VLOOKUP(C48,'G-7 WaterC'' Data'!$B$4:$G$8,4,FALSE))</f>
        <v/>
      </c>
      <c r="S48" s="283" t="str">
        <f t="shared" si="2"/>
        <v/>
      </c>
      <c r="T48" s="314" t="str">
        <f t="shared" si="3"/>
        <v/>
      </c>
      <c r="U48" s="276" t="str">
        <f>IF(C48="","",VLOOKUP(T48,'G-3 Multipliers'!$P$2:$Q$6,2,FALSE))</f>
        <v/>
      </c>
      <c r="V48" s="102"/>
      <c r="W48" s="276" t="str">
        <f>IF(V48="","",IF(AND(V48="N/A - Culvert",C48&lt;&gt;"Culvert"),"Not possible ▲",IF(AND(C48="Culvert",V48&lt;&gt;"N/A - Culvert"),"Not possible ▲",IF(VLOOKUP(V48,'G-7 WaterC'' Data'!$AA$4:$AB$7,2,FALSE)=0,"Spatial Data Missing ⚠",VLOOKUP(V48,'G-7 WaterC'' Data'!$AA$4:$AB$7,2,FALSE)))))</f>
        <v/>
      </c>
      <c r="X48" s="56"/>
      <c r="Y48" s="276" t="str">
        <f>IF(X48="","",IF(AND(X48="N/A - Culvert",C48&lt;&gt;"Culvert"),"Not possible ▲",IF(AND(C48="Culvert",X48&lt;&gt;"N/A - Culvert"),"Not possible ▲",IF(VLOOKUP(X48,'G-7 WaterC'' Data'!$AD$4:$AE$14,2,FALSE)=0,"Enrcoachment Data Missing ⚠",VLOOKUP(X48,'G-7 WaterC'' Data'!$AD$4:$AE$14,2,FALSE)))))</f>
        <v/>
      </c>
      <c r="Z48" s="317" t="str">
        <f t="shared" si="4"/>
        <v/>
      </c>
      <c r="AA48" s="101"/>
      <c r="AB48" s="115"/>
      <c r="AC48" s="104"/>
      <c r="AH48" s="30" t="str">
        <f>IFERROR(INDEX('G-7 WaterC'' Data'!$AZ$3:$AZ$7,MATCH(C48,'G-7 WaterC'' Data'!$AY$3:$AY$7,0)),"")</f>
        <v/>
      </c>
      <c r="AK48" s="30" t="str">
        <f t="shared" si="5"/>
        <v>No</v>
      </c>
    </row>
    <row r="49" spans="2:37" ht="14">
      <c r="B49" s="97">
        <v>38</v>
      </c>
      <c r="C49" s="920"/>
      <c r="D49" s="115"/>
      <c r="E49" s="275" t="str">
        <f>IF(C49="","",VLOOKUP(C49,'G-7 WaterC'' Data'!$B$2:$G$8,2,FALSE))</f>
        <v/>
      </c>
      <c r="F49" s="276" t="str">
        <f>IFERROR(VLOOKUP(E49,'G-7 WaterC'' Data'!$C$4:$D$8,2,FALSE),"")</f>
        <v/>
      </c>
      <c r="G49" s="101"/>
      <c r="H49" s="276" t="str">
        <f>IFERROR(INDEX('G-7 WaterC'' Data'!$H$4:$L$8,MATCH(C49,'G-7 WaterC'' Data'!$B$4:$B$8,0),MATCH(G49,'G-7 WaterC'' Data'!$H$3:$L$3,0)),"")</f>
        <v/>
      </c>
      <c r="I49" s="52"/>
      <c r="J49" s="283" t="str">
        <f>IF(I49="","",IF(VLOOKUP(I49,'G-7 WaterC'' Data'!$AK$4:$AM$6,2,FALSE)=0,"Spatial Data Missing ⚠",VLOOKUP(I49,'G-7 WaterC'' Data'!$AK$4:$AM$6,2,FALSE)))</f>
        <v/>
      </c>
      <c r="K49" s="276" t="str">
        <f>IF(I49="","",IF(VLOOKUP(I49,'G-7 WaterC'' Data'!$AK$4:$AM$6,3,FALSE)=0,"Spatial Data Missing ⚠",VLOOKUP(I49,'G-7 WaterC'' Data'!$AK$4:$AM$6,3,FALSE)))</f>
        <v/>
      </c>
      <c r="L49" s="275" t="str">
        <f>IFERROR(INDEX('G-7 WaterC'' Data'!$O$3:$O$7,MATCH(G49,'G-7 WaterC'' Data'!$N$3:$N$7,0)),"")</f>
        <v/>
      </c>
      <c r="M49" s="58"/>
      <c r="N49" s="133"/>
      <c r="O49" s="283" t="str">
        <f t="shared" si="0"/>
        <v/>
      </c>
      <c r="P49" s="296" t="str">
        <f t="shared" si="1"/>
        <v/>
      </c>
      <c r="Q49" s="334" t="str">
        <f>IFERROR(IF(P49="Check Data ⚠","Check Data ⚠",VLOOKUP(P49,'G-4 Temporal multipliers'!$A$4:$C$37,3,FALSE)),"")</f>
        <v/>
      </c>
      <c r="R49" s="275" t="str">
        <f>IF(C49="","",VLOOKUP(C49,'G-7 WaterC'' Data'!$B$4:$G$8,4,FALSE))</f>
        <v/>
      </c>
      <c r="S49" s="283" t="str">
        <f t="shared" si="2"/>
        <v/>
      </c>
      <c r="T49" s="314" t="str">
        <f t="shared" si="3"/>
        <v/>
      </c>
      <c r="U49" s="276" t="str">
        <f>IF(C49="","",VLOOKUP(T49,'G-3 Multipliers'!$P$2:$Q$6,2,FALSE))</f>
        <v/>
      </c>
      <c r="V49" s="102"/>
      <c r="W49" s="276" t="str">
        <f>IF(V49="","",IF(AND(V49="N/A - Culvert",C49&lt;&gt;"Culvert"),"Not possible ▲",IF(AND(C49="Culvert",V49&lt;&gt;"N/A - Culvert"),"Not possible ▲",IF(VLOOKUP(V49,'G-7 WaterC'' Data'!$AA$4:$AB$7,2,FALSE)=0,"Spatial Data Missing ⚠",VLOOKUP(V49,'G-7 WaterC'' Data'!$AA$4:$AB$7,2,FALSE)))))</f>
        <v/>
      </c>
      <c r="X49" s="56"/>
      <c r="Y49" s="276" t="str">
        <f>IF(X49="","",IF(AND(X49="N/A - Culvert",C49&lt;&gt;"Culvert"),"Not possible ▲",IF(AND(C49="Culvert",X49&lt;&gt;"N/A - Culvert"),"Not possible ▲",IF(VLOOKUP(X49,'G-7 WaterC'' Data'!$AD$4:$AE$14,2,FALSE)=0,"Enrcoachment Data Missing ⚠",VLOOKUP(X49,'G-7 WaterC'' Data'!$AD$4:$AE$14,2,FALSE)))))</f>
        <v/>
      </c>
      <c r="Z49" s="317" t="str">
        <f t="shared" si="4"/>
        <v/>
      </c>
      <c r="AA49" s="101"/>
      <c r="AB49" s="115"/>
      <c r="AC49" s="104"/>
      <c r="AH49" s="30" t="str">
        <f>IFERROR(INDEX('G-7 WaterC'' Data'!$AZ$3:$AZ$7,MATCH(C49,'G-7 WaterC'' Data'!$AY$3:$AY$7,0)),"")</f>
        <v/>
      </c>
      <c r="AK49" s="30" t="str">
        <f t="shared" si="5"/>
        <v>No</v>
      </c>
    </row>
    <row r="50" spans="2:37" ht="14">
      <c r="B50" s="97">
        <v>39</v>
      </c>
      <c r="C50" s="920"/>
      <c r="D50" s="115"/>
      <c r="E50" s="275" t="str">
        <f>IF(C50="","",VLOOKUP(C50,'G-7 WaterC'' Data'!$B$2:$G$8,2,FALSE))</f>
        <v/>
      </c>
      <c r="F50" s="276" t="str">
        <f>IFERROR(VLOOKUP(E50,'G-7 WaterC'' Data'!$C$4:$D$8,2,FALSE),"")</f>
        <v/>
      </c>
      <c r="G50" s="101"/>
      <c r="H50" s="276" t="str">
        <f>IFERROR(INDEX('G-7 WaterC'' Data'!$H$4:$L$8,MATCH(C50,'G-7 WaterC'' Data'!$B$4:$B$8,0),MATCH(G50,'G-7 WaterC'' Data'!$H$3:$L$3,0)),"")</f>
        <v/>
      </c>
      <c r="I50" s="52"/>
      <c r="J50" s="283" t="str">
        <f>IF(I50="","",IF(VLOOKUP(I50,'G-7 WaterC'' Data'!$AK$4:$AM$6,2,FALSE)=0,"Spatial Data Missing ⚠",VLOOKUP(I50,'G-7 WaterC'' Data'!$AK$4:$AM$6,2,FALSE)))</f>
        <v/>
      </c>
      <c r="K50" s="276" t="str">
        <f>IF(I50="","",IF(VLOOKUP(I50,'G-7 WaterC'' Data'!$AK$4:$AM$6,3,FALSE)=0,"Spatial Data Missing ⚠",VLOOKUP(I50,'G-7 WaterC'' Data'!$AK$4:$AM$6,3,FALSE)))</f>
        <v/>
      </c>
      <c r="L50" s="275" t="str">
        <f>IFERROR(INDEX('G-7 WaterC'' Data'!$O$3:$O$7,MATCH(G50,'G-7 WaterC'' Data'!$N$3:$N$7,0)),"")</f>
        <v/>
      </c>
      <c r="M50" s="58"/>
      <c r="N50" s="133"/>
      <c r="O50" s="283" t="str">
        <f t="shared" si="0"/>
        <v/>
      </c>
      <c r="P50" s="296" t="str">
        <f t="shared" si="1"/>
        <v/>
      </c>
      <c r="Q50" s="334" t="str">
        <f>IFERROR(IF(P50="Check Data ⚠","Check Data ⚠",VLOOKUP(P50,'G-4 Temporal multipliers'!$A$4:$C$37,3,FALSE)),"")</f>
        <v/>
      </c>
      <c r="R50" s="275" t="str">
        <f>IF(C50="","",VLOOKUP(C50,'G-7 WaterC'' Data'!$B$4:$G$8,4,FALSE))</f>
        <v/>
      </c>
      <c r="S50" s="283" t="str">
        <f t="shared" si="2"/>
        <v/>
      </c>
      <c r="T50" s="314" t="str">
        <f t="shared" si="3"/>
        <v/>
      </c>
      <c r="U50" s="276" t="str">
        <f>IF(C50="","",VLOOKUP(T50,'G-3 Multipliers'!$P$2:$Q$6,2,FALSE))</f>
        <v/>
      </c>
      <c r="V50" s="102"/>
      <c r="W50" s="276" t="str">
        <f>IF(V50="","",IF(AND(V50="N/A - Culvert",C50&lt;&gt;"Culvert"),"Not possible ▲",IF(AND(C50="Culvert",V50&lt;&gt;"N/A - Culvert"),"Not possible ▲",IF(VLOOKUP(V50,'G-7 WaterC'' Data'!$AA$4:$AB$7,2,FALSE)=0,"Spatial Data Missing ⚠",VLOOKUP(V50,'G-7 WaterC'' Data'!$AA$4:$AB$7,2,FALSE)))))</f>
        <v/>
      </c>
      <c r="X50" s="56"/>
      <c r="Y50" s="276" t="str">
        <f>IF(X50="","",IF(AND(X50="N/A - Culvert",C50&lt;&gt;"Culvert"),"Not possible ▲",IF(AND(C50="Culvert",X50&lt;&gt;"N/A - Culvert"),"Not possible ▲",IF(VLOOKUP(X50,'G-7 WaterC'' Data'!$AD$4:$AE$14,2,FALSE)=0,"Enrcoachment Data Missing ⚠",VLOOKUP(X50,'G-7 WaterC'' Data'!$AD$4:$AE$14,2,FALSE)))))</f>
        <v/>
      </c>
      <c r="Z50" s="317" t="str">
        <f t="shared" si="4"/>
        <v/>
      </c>
      <c r="AA50" s="101"/>
      <c r="AB50" s="115"/>
      <c r="AC50" s="104"/>
      <c r="AH50" s="30" t="str">
        <f>IFERROR(INDEX('G-7 WaterC'' Data'!$AZ$3:$AZ$7,MATCH(C50,'G-7 WaterC'' Data'!$AY$3:$AY$7,0)),"")</f>
        <v/>
      </c>
      <c r="AK50" s="30" t="str">
        <f t="shared" si="5"/>
        <v>No</v>
      </c>
    </row>
    <row r="51" spans="2:37" ht="14">
      <c r="B51" s="97">
        <v>40</v>
      </c>
      <c r="C51" s="920"/>
      <c r="D51" s="115"/>
      <c r="E51" s="275" t="str">
        <f>IF(C51="","",VLOOKUP(C51,'G-7 WaterC'' Data'!$B$2:$G$8,2,FALSE))</f>
        <v/>
      </c>
      <c r="F51" s="276" t="str">
        <f>IFERROR(VLOOKUP(E51,'G-7 WaterC'' Data'!$C$4:$D$8,2,FALSE),"")</f>
        <v/>
      </c>
      <c r="G51" s="101"/>
      <c r="H51" s="276" t="str">
        <f>IFERROR(INDEX('G-7 WaterC'' Data'!$H$4:$L$8,MATCH(C51,'G-7 WaterC'' Data'!$B$4:$B$8,0),MATCH(G51,'G-7 WaterC'' Data'!$H$3:$L$3,0)),"")</f>
        <v/>
      </c>
      <c r="I51" s="52"/>
      <c r="J51" s="283" t="str">
        <f>IF(I51="","",IF(VLOOKUP(I51,'G-7 WaterC'' Data'!$AK$4:$AM$6,2,FALSE)=0,"Spatial Data Missing ⚠",VLOOKUP(I51,'G-7 WaterC'' Data'!$AK$4:$AM$6,2,FALSE)))</f>
        <v/>
      </c>
      <c r="K51" s="276" t="str">
        <f>IF(I51="","",IF(VLOOKUP(I51,'G-7 WaterC'' Data'!$AK$4:$AM$6,3,FALSE)=0,"Spatial Data Missing ⚠",VLOOKUP(I51,'G-7 WaterC'' Data'!$AK$4:$AM$6,3,FALSE)))</f>
        <v/>
      </c>
      <c r="L51" s="275" t="str">
        <f>IFERROR(INDEX('G-7 WaterC'' Data'!$O$3:$O$7,MATCH(G51,'G-7 WaterC'' Data'!$N$3:$N$7,0)),"")</f>
        <v/>
      </c>
      <c r="M51" s="58"/>
      <c r="N51" s="133"/>
      <c r="O51" s="283" t="str">
        <f t="shared" si="0"/>
        <v/>
      </c>
      <c r="P51" s="296" t="str">
        <f t="shared" si="1"/>
        <v/>
      </c>
      <c r="Q51" s="334" t="str">
        <f>IFERROR(IF(P51="Check Data ⚠","Check Data ⚠",VLOOKUP(P51,'G-4 Temporal multipliers'!$A$4:$C$37,3,FALSE)),"")</f>
        <v/>
      </c>
      <c r="R51" s="275" t="str">
        <f>IF(C51="","",VLOOKUP(C51,'G-7 WaterC'' Data'!$B$4:$G$8,4,FALSE))</f>
        <v/>
      </c>
      <c r="S51" s="283" t="str">
        <f t="shared" si="2"/>
        <v/>
      </c>
      <c r="T51" s="314" t="str">
        <f t="shared" si="3"/>
        <v/>
      </c>
      <c r="U51" s="276" t="str">
        <f>IF(C51="","",VLOOKUP(T51,'G-3 Multipliers'!$P$2:$Q$6,2,FALSE))</f>
        <v/>
      </c>
      <c r="V51" s="102"/>
      <c r="W51" s="276" t="str">
        <f>IF(V51="","",IF(AND(V51="N/A - Culvert",C51&lt;&gt;"Culvert"),"Not possible ▲",IF(AND(C51="Culvert",V51&lt;&gt;"N/A - Culvert"),"Not possible ▲",IF(VLOOKUP(V51,'G-7 WaterC'' Data'!$AA$4:$AB$7,2,FALSE)=0,"Spatial Data Missing ⚠",VLOOKUP(V51,'G-7 WaterC'' Data'!$AA$4:$AB$7,2,FALSE)))))</f>
        <v/>
      </c>
      <c r="X51" s="56"/>
      <c r="Y51" s="276" t="str">
        <f>IF(X51="","",IF(AND(X51="N/A - Culvert",C51&lt;&gt;"Culvert"),"Not possible ▲",IF(AND(C51="Culvert",X51&lt;&gt;"N/A - Culvert"),"Not possible ▲",IF(VLOOKUP(X51,'G-7 WaterC'' Data'!$AD$4:$AE$14,2,FALSE)=0,"Enrcoachment Data Missing ⚠",VLOOKUP(X51,'G-7 WaterC'' Data'!$AD$4:$AE$14,2,FALSE)))))</f>
        <v/>
      </c>
      <c r="Z51" s="317" t="str">
        <f t="shared" si="4"/>
        <v/>
      </c>
      <c r="AA51" s="101"/>
      <c r="AB51" s="115"/>
      <c r="AC51" s="104"/>
      <c r="AH51" s="30" t="str">
        <f>IFERROR(INDEX('G-7 WaterC'' Data'!$AZ$3:$AZ$7,MATCH(C51,'G-7 WaterC'' Data'!$AY$3:$AY$7,0)),"")</f>
        <v/>
      </c>
      <c r="AK51" s="30" t="str">
        <f t="shared" si="5"/>
        <v>No</v>
      </c>
    </row>
    <row r="52" spans="2:37" ht="14">
      <c r="B52" s="97">
        <v>41</v>
      </c>
      <c r="C52" s="920"/>
      <c r="D52" s="115"/>
      <c r="E52" s="275" t="str">
        <f>IF(C52="","",VLOOKUP(C52,'G-7 WaterC'' Data'!$B$2:$G$8,2,FALSE))</f>
        <v/>
      </c>
      <c r="F52" s="276" t="str">
        <f>IFERROR(VLOOKUP(E52,'G-7 WaterC'' Data'!$C$4:$D$8,2,FALSE),"")</f>
        <v/>
      </c>
      <c r="G52" s="101"/>
      <c r="H52" s="276" t="str">
        <f>IFERROR(INDEX('G-7 WaterC'' Data'!$H$4:$L$8,MATCH(C52,'G-7 WaterC'' Data'!$B$4:$B$8,0),MATCH(G52,'G-7 WaterC'' Data'!$H$3:$L$3,0)),"")</f>
        <v/>
      </c>
      <c r="I52" s="52"/>
      <c r="J52" s="283" t="str">
        <f>IF(I52="","",IF(VLOOKUP(I52,'G-7 WaterC'' Data'!$AK$4:$AM$6,2,FALSE)=0,"Spatial Data Missing ⚠",VLOOKUP(I52,'G-7 WaterC'' Data'!$AK$4:$AM$6,2,FALSE)))</f>
        <v/>
      </c>
      <c r="K52" s="276" t="str">
        <f>IF(I52="","",IF(VLOOKUP(I52,'G-7 WaterC'' Data'!$AK$4:$AM$6,3,FALSE)=0,"Spatial Data Missing ⚠",VLOOKUP(I52,'G-7 WaterC'' Data'!$AK$4:$AM$6,3,FALSE)))</f>
        <v/>
      </c>
      <c r="L52" s="275" t="str">
        <f>IFERROR(INDEX('G-7 WaterC'' Data'!$O$3:$O$7,MATCH(G52,'G-7 WaterC'' Data'!$N$3:$N$7,0)),"")</f>
        <v/>
      </c>
      <c r="M52" s="58"/>
      <c r="N52" s="133"/>
      <c r="O52" s="283" t="str">
        <f t="shared" si="0"/>
        <v/>
      </c>
      <c r="P52" s="296" t="str">
        <f t="shared" si="1"/>
        <v/>
      </c>
      <c r="Q52" s="334" t="str">
        <f>IFERROR(IF(P52="Check Data ⚠","Check Data ⚠",VLOOKUP(P52,'G-4 Temporal multipliers'!$A$4:$C$37,3,FALSE)),"")</f>
        <v/>
      </c>
      <c r="R52" s="275" t="str">
        <f>IF(C52="","",VLOOKUP(C52,'G-7 WaterC'' Data'!$B$4:$G$8,4,FALSE))</f>
        <v/>
      </c>
      <c r="S52" s="283" t="str">
        <f t="shared" si="2"/>
        <v/>
      </c>
      <c r="T52" s="314" t="str">
        <f t="shared" si="3"/>
        <v/>
      </c>
      <c r="U52" s="276" t="str">
        <f>IF(C52="","",VLOOKUP(T52,'G-3 Multipliers'!$P$2:$Q$6,2,FALSE))</f>
        <v/>
      </c>
      <c r="V52" s="102"/>
      <c r="W52" s="276" t="str">
        <f>IF(V52="","",IF(AND(V52="N/A - Culvert",C52&lt;&gt;"Culvert"),"Not possible ▲",IF(AND(C52="Culvert",V52&lt;&gt;"N/A - Culvert"),"Not possible ▲",IF(VLOOKUP(V52,'G-7 WaterC'' Data'!$AA$4:$AB$7,2,FALSE)=0,"Spatial Data Missing ⚠",VLOOKUP(V52,'G-7 WaterC'' Data'!$AA$4:$AB$7,2,FALSE)))))</f>
        <v/>
      </c>
      <c r="X52" s="56"/>
      <c r="Y52" s="276" t="str">
        <f>IF(X52="","",IF(AND(X52="N/A - Culvert",C52&lt;&gt;"Culvert"),"Not possible ▲",IF(AND(C52="Culvert",X52&lt;&gt;"N/A - Culvert"),"Not possible ▲",IF(VLOOKUP(X52,'G-7 WaterC'' Data'!$AD$4:$AE$14,2,FALSE)=0,"Enrcoachment Data Missing ⚠",VLOOKUP(X52,'G-7 WaterC'' Data'!$AD$4:$AE$14,2,FALSE)))))</f>
        <v/>
      </c>
      <c r="Z52" s="317" t="str">
        <f t="shared" si="4"/>
        <v/>
      </c>
      <c r="AA52" s="101"/>
      <c r="AB52" s="115"/>
      <c r="AC52" s="104"/>
      <c r="AH52" s="30" t="str">
        <f>IFERROR(INDEX('G-7 WaterC'' Data'!$AZ$3:$AZ$7,MATCH(C52,'G-7 WaterC'' Data'!$AY$3:$AY$7,0)),"")</f>
        <v/>
      </c>
      <c r="AK52" s="30" t="str">
        <f t="shared" si="5"/>
        <v>No</v>
      </c>
    </row>
    <row r="53" spans="2:37" ht="14">
      <c r="B53" s="97">
        <v>42</v>
      </c>
      <c r="C53" s="920"/>
      <c r="D53" s="115"/>
      <c r="E53" s="275" t="str">
        <f>IF(C53="","",VLOOKUP(C53,'G-7 WaterC'' Data'!$B$2:$G$8,2,FALSE))</f>
        <v/>
      </c>
      <c r="F53" s="276" t="str">
        <f>IFERROR(VLOOKUP(E53,'G-7 WaterC'' Data'!$C$4:$D$8,2,FALSE),"")</f>
        <v/>
      </c>
      <c r="G53" s="101"/>
      <c r="H53" s="276" t="str">
        <f>IFERROR(INDEX('G-7 WaterC'' Data'!$H$4:$L$8,MATCH(C53,'G-7 WaterC'' Data'!$B$4:$B$8,0),MATCH(G53,'G-7 WaterC'' Data'!$H$3:$L$3,0)),"")</f>
        <v/>
      </c>
      <c r="I53" s="52"/>
      <c r="J53" s="283" t="str">
        <f>IF(I53="","",IF(VLOOKUP(I53,'G-7 WaterC'' Data'!$AK$4:$AM$6,2,FALSE)=0,"Spatial Data Missing ⚠",VLOOKUP(I53,'G-7 WaterC'' Data'!$AK$4:$AM$6,2,FALSE)))</f>
        <v/>
      </c>
      <c r="K53" s="276" t="str">
        <f>IF(I53="","",IF(VLOOKUP(I53,'G-7 WaterC'' Data'!$AK$4:$AM$6,3,FALSE)=0,"Spatial Data Missing ⚠",VLOOKUP(I53,'G-7 WaterC'' Data'!$AK$4:$AM$6,3,FALSE)))</f>
        <v/>
      </c>
      <c r="L53" s="275" t="str">
        <f>IFERROR(INDEX('G-7 WaterC'' Data'!$O$3:$O$7,MATCH(G53,'G-7 WaterC'' Data'!$N$3:$N$7,0)),"")</f>
        <v/>
      </c>
      <c r="M53" s="58"/>
      <c r="N53" s="133"/>
      <c r="O53" s="283" t="str">
        <f t="shared" si="0"/>
        <v/>
      </c>
      <c r="P53" s="296" t="str">
        <f t="shared" si="1"/>
        <v/>
      </c>
      <c r="Q53" s="334" t="str">
        <f>IFERROR(IF(P53="Check Data ⚠","Check Data ⚠",VLOOKUP(P53,'G-4 Temporal multipliers'!$A$4:$C$37,3,FALSE)),"")</f>
        <v/>
      </c>
      <c r="R53" s="275" t="str">
        <f>IF(C53="","",VLOOKUP(C53,'G-7 WaterC'' Data'!$B$4:$G$8,4,FALSE))</f>
        <v/>
      </c>
      <c r="S53" s="283" t="str">
        <f t="shared" si="2"/>
        <v/>
      </c>
      <c r="T53" s="314" t="str">
        <f t="shared" si="3"/>
        <v/>
      </c>
      <c r="U53" s="276" t="str">
        <f>IF(C53="","",VLOOKUP(T53,'G-3 Multipliers'!$P$2:$Q$6,2,FALSE))</f>
        <v/>
      </c>
      <c r="V53" s="102"/>
      <c r="W53" s="276" t="str">
        <f>IF(V53="","",IF(AND(V53="N/A - Culvert",C53&lt;&gt;"Culvert"),"Not possible ▲",IF(AND(C53="Culvert",V53&lt;&gt;"N/A - Culvert"),"Not possible ▲",IF(VLOOKUP(V53,'G-7 WaterC'' Data'!$AA$4:$AB$7,2,FALSE)=0,"Spatial Data Missing ⚠",VLOOKUP(V53,'G-7 WaterC'' Data'!$AA$4:$AB$7,2,FALSE)))))</f>
        <v/>
      </c>
      <c r="X53" s="56"/>
      <c r="Y53" s="276" t="str">
        <f>IF(X53="","",IF(AND(X53="N/A - Culvert",C53&lt;&gt;"Culvert"),"Not possible ▲",IF(AND(C53="Culvert",X53&lt;&gt;"N/A - Culvert"),"Not possible ▲",IF(VLOOKUP(X53,'G-7 WaterC'' Data'!$AD$4:$AE$14,2,FALSE)=0,"Enrcoachment Data Missing ⚠",VLOOKUP(X53,'G-7 WaterC'' Data'!$AD$4:$AE$14,2,FALSE)))))</f>
        <v/>
      </c>
      <c r="Z53" s="317" t="str">
        <f t="shared" si="4"/>
        <v/>
      </c>
      <c r="AA53" s="101"/>
      <c r="AB53" s="115"/>
      <c r="AC53" s="104"/>
      <c r="AH53" s="30" t="str">
        <f>IFERROR(INDEX('G-7 WaterC'' Data'!$AZ$3:$AZ$7,MATCH(C53,'G-7 WaterC'' Data'!$AY$3:$AY$7,0)),"")</f>
        <v/>
      </c>
      <c r="AK53" s="30" t="str">
        <f t="shared" si="5"/>
        <v>No</v>
      </c>
    </row>
    <row r="54" spans="2:37" ht="14">
      <c r="B54" s="97">
        <v>43</v>
      </c>
      <c r="C54" s="920"/>
      <c r="D54" s="115"/>
      <c r="E54" s="275" t="str">
        <f>IF(C54="","",VLOOKUP(C54,'G-7 WaterC'' Data'!$B$2:$G$8,2,FALSE))</f>
        <v/>
      </c>
      <c r="F54" s="276" t="str">
        <f>IFERROR(VLOOKUP(E54,'G-7 WaterC'' Data'!$C$4:$D$8,2,FALSE),"")</f>
        <v/>
      </c>
      <c r="G54" s="101"/>
      <c r="H54" s="276" t="str">
        <f>IFERROR(INDEX('G-7 WaterC'' Data'!$H$4:$L$8,MATCH(C54,'G-7 WaterC'' Data'!$B$4:$B$8,0),MATCH(G54,'G-7 WaterC'' Data'!$H$3:$L$3,0)),"")</f>
        <v/>
      </c>
      <c r="I54" s="52"/>
      <c r="J54" s="283" t="str">
        <f>IF(I54="","",IF(VLOOKUP(I54,'G-7 WaterC'' Data'!$AK$4:$AM$6,2,FALSE)=0,"Spatial Data Missing ⚠",VLOOKUP(I54,'G-7 WaterC'' Data'!$AK$4:$AM$6,2,FALSE)))</f>
        <v/>
      </c>
      <c r="K54" s="276" t="str">
        <f>IF(I54="","",IF(VLOOKUP(I54,'G-7 WaterC'' Data'!$AK$4:$AM$6,3,FALSE)=0,"Spatial Data Missing ⚠",VLOOKUP(I54,'G-7 WaterC'' Data'!$AK$4:$AM$6,3,FALSE)))</f>
        <v/>
      </c>
      <c r="L54" s="275" t="str">
        <f>IFERROR(INDEX('G-7 WaterC'' Data'!$O$3:$O$7,MATCH(G54,'G-7 WaterC'' Data'!$N$3:$N$7,0)),"")</f>
        <v/>
      </c>
      <c r="M54" s="58"/>
      <c r="N54" s="133"/>
      <c r="O54" s="283" t="str">
        <f t="shared" si="0"/>
        <v/>
      </c>
      <c r="P54" s="296" t="str">
        <f t="shared" si="1"/>
        <v/>
      </c>
      <c r="Q54" s="334" t="str">
        <f>IFERROR(IF(P54="Check Data ⚠","Check Data ⚠",VLOOKUP(P54,'G-4 Temporal multipliers'!$A$4:$C$37,3,FALSE)),"")</f>
        <v/>
      </c>
      <c r="R54" s="275" t="str">
        <f>IF(C54="","",VLOOKUP(C54,'G-7 WaterC'' Data'!$B$4:$G$8,4,FALSE))</f>
        <v/>
      </c>
      <c r="S54" s="283" t="str">
        <f t="shared" si="2"/>
        <v/>
      </c>
      <c r="T54" s="314" t="str">
        <f t="shared" si="3"/>
        <v/>
      </c>
      <c r="U54" s="276" t="str">
        <f>IF(C54="","",VLOOKUP(T54,'G-3 Multipliers'!$P$2:$Q$6,2,FALSE))</f>
        <v/>
      </c>
      <c r="V54" s="102"/>
      <c r="W54" s="276" t="str">
        <f>IF(V54="","",IF(AND(V54="N/A - Culvert",C54&lt;&gt;"Culvert"),"Not possible ▲",IF(AND(C54="Culvert",V54&lt;&gt;"N/A - Culvert"),"Not possible ▲",IF(VLOOKUP(V54,'G-7 WaterC'' Data'!$AA$4:$AB$7,2,FALSE)=0,"Spatial Data Missing ⚠",VLOOKUP(V54,'G-7 WaterC'' Data'!$AA$4:$AB$7,2,FALSE)))))</f>
        <v/>
      </c>
      <c r="X54" s="56"/>
      <c r="Y54" s="276" t="str">
        <f>IF(X54="","",IF(AND(X54="N/A - Culvert",C54&lt;&gt;"Culvert"),"Not possible ▲",IF(AND(C54="Culvert",X54&lt;&gt;"N/A - Culvert"),"Not possible ▲",IF(VLOOKUP(X54,'G-7 WaterC'' Data'!$AD$4:$AE$14,2,FALSE)=0,"Enrcoachment Data Missing ⚠",VLOOKUP(X54,'G-7 WaterC'' Data'!$AD$4:$AE$14,2,FALSE)))))</f>
        <v/>
      </c>
      <c r="Z54" s="317" t="str">
        <f t="shared" si="4"/>
        <v/>
      </c>
      <c r="AA54" s="101"/>
      <c r="AB54" s="115"/>
      <c r="AC54" s="104"/>
      <c r="AH54" s="30" t="str">
        <f>IFERROR(INDEX('G-7 WaterC'' Data'!$AZ$3:$AZ$7,MATCH(C54,'G-7 WaterC'' Data'!$AY$3:$AY$7,0)),"")</f>
        <v/>
      </c>
      <c r="AK54" s="30" t="str">
        <f t="shared" si="5"/>
        <v>No</v>
      </c>
    </row>
    <row r="55" spans="2:37" ht="14">
      <c r="B55" s="97">
        <v>44</v>
      </c>
      <c r="C55" s="920"/>
      <c r="D55" s="115"/>
      <c r="E55" s="275" t="str">
        <f>IF(C55="","",VLOOKUP(C55,'G-7 WaterC'' Data'!$B$2:$G$8,2,FALSE))</f>
        <v/>
      </c>
      <c r="F55" s="276" t="str">
        <f>IFERROR(VLOOKUP(E55,'G-7 WaterC'' Data'!$C$4:$D$8,2,FALSE),"")</f>
        <v/>
      </c>
      <c r="G55" s="101"/>
      <c r="H55" s="276" t="str">
        <f>IFERROR(INDEX('G-7 WaterC'' Data'!$H$4:$L$8,MATCH(C55,'G-7 WaterC'' Data'!$B$4:$B$8,0),MATCH(G55,'G-7 WaterC'' Data'!$H$3:$L$3,0)),"")</f>
        <v/>
      </c>
      <c r="I55" s="52"/>
      <c r="J55" s="283" t="str">
        <f>IF(I55="","",IF(VLOOKUP(I55,'G-7 WaterC'' Data'!$AK$4:$AM$6,2,FALSE)=0,"Spatial Data Missing ⚠",VLOOKUP(I55,'G-7 WaterC'' Data'!$AK$4:$AM$6,2,FALSE)))</f>
        <v/>
      </c>
      <c r="K55" s="276" t="str">
        <f>IF(I55="","",IF(VLOOKUP(I55,'G-7 WaterC'' Data'!$AK$4:$AM$6,3,FALSE)=0,"Spatial Data Missing ⚠",VLOOKUP(I55,'G-7 WaterC'' Data'!$AK$4:$AM$6,3,FALSE)))</f>
        <v/>
      </c>
      <c r="L55" s="275" t="str">
        <f>IFERROR(INDEX('G-7 WaterC'' Data'!$O$3:$O$7,MATCH(G55,'G-7 WaterC'' Data'!$N$3:$N$7,0)),"")</f>
        <v/>
      </c>
      <c r="M55" s="58"/>
      <c r="N55" s="133"/>
      <c r="O55" s="283" t="str">
        <f t="shared" si="0"/>
        <v/>
      </c>
      <c r="P55" s="296" t="str">
        <f t="shared" si="1"/>
        <v/>
      </c>
      <c r="Q55" s="334" t="str">
        <f>IFERROR(IF(P55="Check Data ⚠","Check Data ⚠",VLOOKUP(P55,'G-4 Temporal multipliers'!$A$4:$C$37,3,FALSE)),"")</f>
        <v/>
      </c>
      <c r="R55" s="275" t="str">
        <f>IF(C55="","",VLOOKUP(C55,'G-7 WaterC'' Data'!$B$4:$G$8,4,FALSE))</f>
        <v/>
      </c>
      <c r="S55" s="283" t="str">
        <f t="shared" si="2"/>
        <v/>
      </c>
      <c r="T55" s="314" t="str">
        <f t="shared" si="3"/>
        <v/>
      </c>
      <c r="U55" s="276" t="str">
        <f>IF(C55="","",VLOOKUP(T55,'G-3 Multipliers'!$P$2:$Q$6,2,FALSE))</f>
        <v/>
      </c>
      <c r="V55" s="102"/>
      <c r="W55" s="276" t="str">
        <f>IF(V55="","",IF(AND(V55="N/A - Culvert",C55&lt;&gt;"Culvert"),"Not possible ▲",IF(AND(C55="Culvert",V55&lt;&gt;"N/A - Culvert"),"Not possible ▲",IF(VLOOKUP(V55,'G-7 WaterC'' Data'!$AA$4:$AB$7,2,FALSE)=0,"Spatial Data Missing ⚠",VLOOKUP(V55,'G-7 WaterC'' Data'!$AA$4:$AB$7,2,FALSE)))))</f>
        <v/>
      </c>
      <c r="X55" s="56"/>
      <c r="Y55" s="276" t="str">
        <f>IF(X55="","",IF(AND(X55="N/A - Culvert",C55&lt;&gt;"Culvert"),"Not possible ▲",IF(AND(C55="Culvert",X55&lt;&gt;"N/A - Culvert"),"Not possible ▲",IF(VLOOKUP(X55,'G-7 WaterC'' Data'!$AD$4:$AE$14,2,FALSE)=0,"Enrcoachment Data Missing ⚠",VLOOKUP(X55,'G-7 WaterC'' Data'!$AD$4:$AE$14,2,FALSE)))))</f>
        <v/>
      </c>
      <c r="Z55" s="317" t="str">
        <f t="shared" si="4"/>
        <v/>
      </c>
      <c r="AA55" s="101"/>
      <c r="AB55" s="115"/>
      <c r="AC55" s="104"/>
      <c r="AH55" s="30" t="str">
        <f>IFERROR(INDEX('G-7 WaterC'' Data'!$AZ$3:$AZ$7,MATCH(C55,'G-7 WaterC'' Data'!$AY$3:$AY$7,0)),"")</f>
        <v/>
      </c>
      <c r="AK55" s="30" t="str">
        <f t="shared" si="5"/>
        <v>No</v>
      </c>
    </row>
    <row r="56" spans="2:37" ht="14">
      <c r="B56" s="97">
        <v>45</v>
      </c>
      <c r="C56" s="920"/>
      <c r="D56" s="115"/>
      <c r="E56" s="275" t="str">
        <f>IF(C56="","",VLOOKUP(C56,'G-7 WaterC'' Data'!$B$2:$G$8,2,FALSE))</f>
        <v/>
      </c>
      <c r="F56" s="276" t="str">
        <f>IFERROR(VLOOKUP(E56,'G-7 WaterC'' Data'!$C$4:$D$8,2,FALSE),"")</f>
        <v/>
      </c>
      <c r="G56" s="101"/>
      <c r="H56" s="276" t="str">
        <f>IFERROR(INDEX('G-7 WaterC'' Data'!$H$4:$L$8,MATCH(C56,'G-7 WaterC'' Data'!$B$4:$B$8,0),MATCH(G56,'G-7 WaterC'' Data'!$H$3:$L$3,0)),"")</f>
        <v/>
      </c>
      <c r="I56" s="52"/>
      <c r="J56" s="283" t="str">
        <f>IF(I56="","",IF(VLOOKUP(I56,'G-7 WaterC'' Data'!$AK$4:$AM$6,2,FALSE)=0,"Spatial Data Missing ⚠",VLOOKUP(I56,'G-7 WaterC'' Data'!$AK$4:$AM$6,2,FALSE)))</f>
        <v/>
      </c>
      <c r="K56" s="276" t="str">
        <f>IF(I56="","",IF(VLOOKUP(I56,'G-7 WaterC'' Data'!$AK$4:$AM$6,3,FALSE)=0,"Spatial Data Missing ⚠",VLOOKUP(I56,'G-7 WaterC'' Data'!$AK$4:$AM$6,3,FALSE)))</f>
        <v/>
      </c>
      <c r="L56" s="275" t="str">
        <f>IFERROR(INDEX('G-7 WaterC'' Data'!$O$3:$O$7,MATCH(G56,'G-7 WaterC'' Data'!$N$3:$N$7,0)),"")</f>
        <v/>
      </c>
      <c r="M56" s="58"/>
      <c r="N56" s="133"/>
      <c r="O56" s="283" t="str">
        <f t="shared" si="0"/>
        <v/>
      </c>
      <c r="P56" s="296" t="str">
        <f t="shared" si="1"/>
        <v/>
      </c>
      <c r="Q56" s="334" t="str">
        <f>IFERROR(IF(P56="Check Data ⚠","Check Data ⚠",VLOOKUP(P56,'G-4 Temporal multipliers'!$A$4:$C$37,3,FALSE)),"")</f>
        <v/>
      </c>
      <c r="R56" s="275" t="str">
        <f>IF(C56="","",VLOOKUP(C56,'G-7 WaterC'' Data'!$B$4:$G$8,4,FALSE))</f>
        <v/>
      </c>
      <c r="S56" s="283" t="str">
        <f t="shared" si="2"/>
        <v/>
      </c>
      <c r="T56" s="314" t="str">
        <f t="shared" si="3"/>
        <v/>
      </c>
      <c r="U56" s="276" t="str">
        <f>IF(C56="","",VLOOKUP(T56,'G-3 Multipliers'!$P$2:$Q$6,2,FALSE))</f>
        <v/>
      </c>
      <c r="V56" s="102"/>
      <c r="W56" s="276" t="str">
        <f>IF(V56="","",IF(AND(V56="N/A - Culvert",C56&lt;&gt;"Culvert"),"Not possible ▲",IF(AND(C56="Culvert",V56&lt;&gt;"N/A - Culvert"),"Not possible ▲",IF(VLOOKUP(V56,'G-7 WaterC'' Data'!$AA$4:$AB$7,2,FALSE)=0,"Spatial Data Missing ⚠",VLOOKUP(V56,'G-7 WaterC'' Data'!$AA$4:$AB$7,2,FALSE)))))</f>
        <v/>
      </c>
      <c r="X56" s="56"/>
      <c r="Y56" s="276" t="str">
        <f>IF(X56="","",IF(AND(X56="N/A - Culvert",C56&lt;&gt;"Culvert"),"Not possible ▲",IF(AND(C56="Culvert",X56&lt;&gt;"N/A - Culvert"),"Not possible ▲",IF(VLOOKUP(X56,'G-7 WaterC'' Data'!$AD$4:$AE$14,2,FALSE)=0,"Enrcoachment Data Missing ⚠",VLOOKUP(X56,'G-7 WaterC'' Data'!$AD$4:$AE$14,2,FALSE)))))</f>
        <v/>
      </c>
      <c r="Z56" s="317" t="str">
        <f t="shared" si="4"/>
        <v/>
      </c>
      <c r="AA56" s="101"/>
      <c r="AB56" s="115"/>
      <c r="AC56" s="104"/>
      <c r="AH56" s="30" t="str">
        <f>IFERROR(INDEX('G-7 WaterC'' Data'!$AZ$3:$AZ$7,MATCH(C56,'G-7 WaterC'' Data'!$AY$3:$AY$7,0)),"")</f>
        <v/>
      </c>
      <c r="AK56" s="30" t="str">
        <f t="shared" si="5"/>
        <v>No</v>
      </c>
    </row>
    <row r="57" spans="2:37" ht="14">
      <c r="B57" s="97">
        <v>46</v>
      </c>
      <c r="C57" s="920"/>
      <c r="D57" s="115"/>
      <c r="E57" s="275" t="str">
        <f>IF(C57="","",VLOOKUP(C57,'G-7 WaterC'' Data'!$B$2:$G$8,2,FALSE))</f>
        <v/>
      </c>
      <c r="F57" s="276" t="str">
        <f>IFERROR(VLOOKUP(E57,'G-7 WaterC'' Data'!$C$4:$D$8,2,FALSE),"")</f>
        <v/>
      </c>
      <c r="G57" s="101"/>
      <c r="H57" s="276" t="str">
        <f>IFERROR(INDEX('G-7 WaterC'' Data'!$H$4:$L$8,MATCH(C57,'G-7 WaterC'' Data'!$B$4:$B$8,0),MATCH(G57,'G-7 WaterC'' Data'!$H$3:$L$3,0)),"")</f>
        <v/>
      </c>
      <c r="I57" s="52"/>
      <c r="J57" s="283" t="str">
        <f>IF(I57="","",IF(VLOOKUP(I57,'G-7 WaterC'' Data'!$AK$4:$AM$6,2,FALSE)=0,"Spatial Data Missing ⚠",VLOOKUP(I57,'G-7 WaterC'' Data'!$AK$4:$AM$6,2,FALSE)))</f>
        <v/>
      </c>
      <c r="K57" s="276" t="str">
        <f>IF(I57="","",IF(VLOOKUP(I57,'G-7 WaterC'' Data'!$AK$4:$AM$6,3,FALSE)=0,"Spatial Data Missing ⚠",VLOOKUP(I57,'G-7 WaterC'' Data'!$AK$4:$AM$6,3,FALSE)))</f>
        <v/>
      </c>
      <c r="L57" s="275" t="str">
        <f>IFERROR(INDEX('G-7 WaterC'' Data'!$O$3:$O$7,MATCH(G57,'G-7 WaterC'' Data'!$N$3:$N$7,0)),"")</f>
        <v/>
      </c>
      <c r="M57" s="58"/>
      <c r="N57" s="133"/>
      <c r="O57" s="283" t="str">
        <f t="shared" si="0"/>
        <v/>
      </c>
      <c r="P57" s="296" t="str">
        <f t="shared" si="1"/>
        <v/>
      </c>
      <c r="Q57" s="334" t="str">
        <f>IFERROR(IF(P57="Check Data ⚠","Check Data ⚠",VLOOKUP(P57,'G-4 Temporal multipliers'!$A$4:$C$37,3,FALSE)),"")</f>
        <v/>
      </c>
      <c r="R57" s="275" t="str">
        <f>IF(C57="","",VLOOKUP(C57,'G-7 WaterC'' Data'!$B$4:$G$8,4,FALSE))</f>
        <v/>
      </c>
      <c r="S57" s="283" t="str">
        <f t="shared" si="2"/>
        <v/>
      </c>
      <c r="T57" s="314" t="str">
        <f t="shared" si="3"/>
        <v/>
      </c>
      <c r="U57" s="276" t="str">
        <f>IF(C57="","",VLOOKUP(T57,'G-3 Multipliers'!$P$2:$Q$6,2,FALSE))</f>
        <v/>
      </c>
      <c r="V57" s="102"/>
      <c r="W57" s="276" t="str">
        <f>IF(V57="","",IF(AND(V57="N/A - Culvert",C57&lt;&gt;"Culvert"),"Not possible ▲",IF(AND(C57="Culvert",V57&lt;&gt;"N/A - Culvert"),"Not possible ▲",IF(VLOOKUP(V57,'G-7 WaterC'' Data'!$AA$4:$AB$7,2,FALSE)=0,"Spatial Data Missing ⚠",VLOOKUP(V57,'G-7 WaterC'' Data'!$AA$4:$AB$7,2,FALSE)))))</f>
        <v/>
      </c>
      <c r="X57" s="56"/>
      <c r="Y57" s="276" t="str">
        <f>IF(X57="","",IF(AND(X57="N/A - Culvert",C57&lt;&gt;"Culvert"),"Not possible ▲",IF(AND(C57="Culvert",X57&lt;&gt;"N/A - Culvert"),"Not possible ▲",IF(VLOOKUP(X57,'G-7 WaterC'' Data'!$AD$4:$AE$14,2,FALSE)=0,"Enrcoachment Data Missing ⚠",VLOOKUP(X57,'G-7 WaterC'' Data'!$AD$4:$AE$14,2,FALSE)))))</f>
        <v/>
      </c>
      <c r="Z57" s="317" t="str">
        <f t="shared" si="4"/>
        <v/>
      </c>
      <c r="AA57" s="101"/>
      <c r="AB57" s="115"/>
      <c r="AC57" s="104"/>
      <c r="AH57" s="30" t="str">
        <f>IFERROR(INDEX('G-7 WaterC'' Data'!$AZ$3:$AZ$7,MATCH(C57,'G-7 WaterC'' Data'!$AY$3:$AY$7,0)),"")</f>
        <v/>
      </c>
      <c r="AK57" s="30" t="str">
        <f t="shared" si="5"/>
        <v>No</v>
      </c>
    </row>
    <row r="58" spans="2:37" ht="14">
      <c r="B58" s="97">
        <v>47</v>
      </c>
      <c r="C58" s="920"/>
      <c r="D58" s="115"/>
      <c r="E58" s="275" t="str">
        <f>IF(C58="","",VLOOKUP(C58,'G-7 WaterC'' Data'!$B$2:$G$8,2,FALSE))</f>
        <v/>
      </c>
      <c r="F58" s="276" t="str">
        <f>IFERROR(VLOOKUP(E58,'G-7 WaterC'' Data'!$C$4:$D$8,2,FALSE),"")</f>
        <v/>
      </c>
      <c r="G58" s="101"/>
      <c r="H58" s="276" t="str">
        <f>IFERROR(INDEX('G-7 WaterC'' Data'!$H$4:$L$8,MATCH(C58,'G-7 WaterC'' Data'!$B$4:$B$8,0),MATCH(G58,'G-7 WaterC'' Data'!$H$3:$L$3,0)),"")</f>
        <v/>
      </c>
      <c r="I58" s="52"/>
      <c r="J58" s="283" t="str">
        <f>IF(I58="","",IF(VLOOKUP(I58,'G-7 WaterC'' Data'!$AK$4:$AM$6,2,FALSE)=0,"Spatial Data Missing ⚠",VLOOKUP(I58,'G-7 WaterC'' Data'!$AK$4:$AM$6,2,FALSE)))</f>
        <v/>
      </c>
      <c r="K58" s="276" t="str">
        <f>IF(I58="","",IF(VLOOKUP(I58,'G-7 WaterC'' Data'!$AK$4:$AM$6,3,FALSE)=0,"Spatial Data Missing ⚠",VLOOKUP(I58,'G-7 WaterC'' Data'!$AK$4:$AM$6,3,FALSE)))</f>
        <v/>
      </c>
      <c r="L58" s="275" t="str">
        <f>IFERROR(INDEX('G-7 WaterC'' Data'!$O$3:$O$7,MATCH(G58,'G-7 WaterC'' Data'!$N$3:$N$7,0)),"")</f>
        <v/>
      </c>
      <c r="M58" s="58"/>
      <c r="N58" s="133"/>
      <c r="O58" s="283" t="str">
        <f t="shared" si="0"/>
        <v/>
      </c>
      <c r="P58" s="296" t="str">
        <f t="shared" si="1"/>
        <v/>
      </c>
      <c r="Q58" s="334" t="str">
        <f>IFERROR(IF(P58="Check Data ⚠","Check Data ⚠",VLOOKUP(P58,'G-4 Temporal multipliers'!$A$4:$C$37,3,FALSE)),"")</f>
        <v/>
      </c>
      <c r="R58" s="275" t="str">
        <f>IF(C58="","",VLOOKUP(C58,'G-7 WaterC'' Data'!$B$4:$G$8,4,FALSE))</f>
        <v/>
      </c>
      <c r="S58" s="283" t="str">
        <f t="shared" si="2"/>
        <v/>
      </c>
      <c r="T58" s="314" t="str">
        <f t="shared" si="3"/>
        <v/>
      </c>
      <c r="U58" s="276" t="str">
        <f>IF(C58="","",VLOOKUP(T58,'G-3 Multipliers'!$P$2:$Q$6,2,FALSE))</f>
        <v/>
      </c>
      <c r="V58" s="102"/>
      <c r="W58" s="276" t="str">
        <f>IF(V58="","",IF(AND(V58="N/A - Culvert",C58&lt;&gt;"Culvert"),"Not possible ▲",IF(AND(C58="Culvert",V58&lt;&gt;"N/A - Culvert"),"Not possible ▲",IF(VLOOKUP(V58,'G-7 WaterC'' Data'!$AA$4:$AB$7,2,FALSE)=0,"Spatial Data Missing ⚠",VLOOKUP(V58,'G-7 WaterC'' Data'!$AA$4:$AB$7,2,FALSE)))))</f>
        <v/>
      </c>
      <c r="X58" s="56"/>
      <c r="Y58" s="276" t="str">
        <f>IF(X58="","",IF(AND(X58="N/A - Culvert",C58&lt;&gt;"Culvert"),"Not possible ▲",IF(AND(C58="Culvert",X58&lt;&gt;"N/A - Culvert"),"Not possible ▲",IF(VLOOKUP(X58,'G-7 WaterC'' Data'!$AD$4:$AE$14,2,FALSE)=0,"Enrcoachment Data Missing ⚠",VLOOKUP(X58,'G-7 WaterC'' Data'!$AD$4:$AE$14,2,FALSE)))))</f>
        <v/>
      </c>
      <c r="Z58" s="317" t="str">
        <f t="shared" si="4"/>
        <v/>
      </c>
      <c r="AA58" s="101"/>
      <c r="AB58" s="115"/>
      <c r="AC58" s="104"/>
      <c r="AH58" s="30" t="str">
        <f>IFERROR(INDEX('G-7 WaterC'' Data'!$AZ$3:$AZ$7,MATCH(C58,'G-7 WaterC'' Data'!$AY$3:$AY$7,0)),"")</f>
        <v/>
      </c>
      <c r="AK58" s="30" t="str">
        <f t="shared" si="5"/>
        <v>No</v>
      </c>
    </row>
    <row r="59" spans="2:37" ht="14">
      <c r="B59" s="97">
        <v>48</v>
      </c>
      <c r="C59" s="920"/>
      <c r="D59" s="115"/>
      <c r="E59" s="275" t="str">
        <f>IF(C59="","",VLOOKUP(C59,'G-7 WaterC'' Data'!$B$2:$G$8,2,FALSE))</f>
        <v/>
      </c>
      <c r="F59" s="276" t="str">
        <f>IFERROR(VLOOKUP(E59,'G-7 WaterC'' Data'!$C$4:$D$8,2,FALSE),"")</f>
        <v/>
      </c>
      <c r="G59" s="101"/>
      <c r="H59" s="276" t="str">
        <f>IFERROR(INDEX('G-7 WaterC'' Data'!$H$4:$L$8,MATCH(C59,'G-7 WaterC'' Data'!$B$4:$B$8,0),MATCH(G59,'G-7 WaterC'' Data'!$H$3:$L$3,0)),"")</f>
        <v/>
      </c>
      <c r="I59" s="52"/>
      <c r="J59" s="283" t="str">
        <f>IF(I59="","",IF(VLOOKUP(I59,'G-7 WaterC'' Data'!$AK$4:$AM$6,2,FALSE)=0,"Spatial Data Missing ⚠",VLOOKUP(I59,'G-7 WaterC'' Data'!$AK$4:$AM$6,2,FALSE)))</f>
        <v/>
      </c>
      <c r="K59" s="276" t="str">
        <f>IF(I59="","",IF(VLOOKUP(I59,'G-7 WaterC'' Data'!$AK$4:$AM$6,3,FALSE)=0,"Spatial Data Missing ⚠",VLOOKUP(I59,'G-7 WaterC'' Data'!$AK$4:$AM$6,3,FALSE)))</f>
        <v/>
      </c>
      <c r="L59" s="275" t="str">
        <f>IFERROR(INDEX('G-7 WaterC'' Data'!$O$3:$O$7,MATCH(G59,'G-7 WaterC'' Data'!$N$3:$N$7,0)),"")</f>
        <v/>
      </c>
      <c r="M59" s="58"/>
      <c r="N59" s="133"/>
      <c r="O59" s="283" t="str">
        <f t="shared" si="0"/>
        <v/>
      </c>
      <c r="P59" s="296" t="str">
        <f t="shared" si="1"/>
        <v/>
      </c>
      <c r="Q59" s="334" t="str">
        <f>IFERROR(IF(P59="Check Data ⚠","Check Data ⚠",VLOOKUP(P59,'G-4 Temporal multipliers'!$A$4:$C$37,3,FALSE)),"")</f>
        <v/>
      </c>
      <c r="R59" s="275" t="str">
        <f>IF(C59="","",VLOOKUP(C59,'G-7 WaterC'' Data'!$B$4:$G$8,4,FALSE))</f>
        <v/>
      </c>
      <c r="S59" s="283" t="str">
        <f t="shared" si="2"/>
        <v/>
      </c>
      <c r="T59" s="314" t="str">
        <f t="shared" si="3"/>
        <v/>
      </c>
      <c r="U59" s="276" t="str">
        <f>IF(C59="","",VLOOKUP(T59,'G-3 Multipliers'!$P$2:$Q$6,2,FALSE))</f>
        <v/>
      </c>
      <c r="V59" s="102"/>
      <c r="W59" s="276" t="str">
        <f>IF(V59="","",IF(AND(V59="N/A - Culvert",C59&lt;&gt;"Culvert"),"Not possible ▲",IF(AND(C59="Culvert",V59&lt;&gt;"N/A - Culvert"),"Not possible ▲",IF(VLOOKUP(V59,'G-7 WaterC'' Data'!$AA$4:$AB$7,2,FALSE)=0,"Spatial Data Missing ⚠",VLOOKUP(V59,'G-7 WaterC'' Data'!$AA$4:$AB$7,2,FALSE)))))</f>
        <v/>
      </c>
      <c r="X59" s="56"/>
      <c r="Y59" s="276" t="str">
        <f>IF(X59="","",IF(AND(X59="N/A - Culvert",C59&lt;&gt;"Culvert"),"Not possible ▲",IF(AND(C59="Culvert",X59&lt;&gt;"N/A - Culvert"),"Not possible ▲",IF(VLOOKUP(X59,'G-7 WaterC'' Data'!$AD$4:$AE$14,2,FALSE)=0,"Enrcoachment Data Missing ⚠",VLOOKUP(X59,'G-7 WaterC'' Data'!$AD$4:$AE$14,2,FALSE)))))</f>
        <v/>
      </c>
      <c r="Z59" s="317" t="str">
        <f t="shared" si="4"/>
        <v/>
      </c>
      <c r="AA59" s="101"/>
      <c r="AB59" s="115"/>
      <c r="AC59" s="104"/>
      <c r="AH59" s="30" t="str">
        <f>IFERROR(INDEX('G-7 WaterC'' Data'!$AZ$3:$AZ$7,MATCH(C59,'G-7 WaterC'' Data'!$AY$3:$AY$7,0)),"")</f>
        <v/>
      </c>
      <c r="AK59" s="30" t="str">
        <f t="shared" si="5"/>
        <v>No</v>
      </c>
    </row>
    <row r="60" spans="2:37" ht="14">
      <c r="B60" s="97">
        <v>49</v>
      </c>
      <c r="C60" s="920"/>
      <c r="D60" s="115"/>
      <c r="E60" s="275" t="str">
        <f>IF(C60="","",VLOOKUP(C60,'G-7 WaterC'' Data'!$B$2:$G$8,2,FALSE))</f>
        <v/>
      </c>
      <c r="F60" s="276" t="str">
        <f>IFERROR(VLOOKUP(E60,'G-7 WaterC'' Data'!$C$4:$D$8,2,FALSE),"")</f>
        <v/>
      </c>
      <c r="G60" s="101"/>
      <c r="H60" s="276" t="str">
        <f>IFERROR(INDEX('G-7 WaterC'' Data'!$H$4:$L$8,MATCH(C60,'G-7 WaterC'' Data'!$B$4:$B$8,0),MATCH(G60,'G-7 WaterC'' Data'!$H$3:$L$3,0)),"")</f>
        <v/>
      </c>
      <c r="I60" s="52"/>
      <c r="J60" s="283" t="str">
        <f>IF(I60="","",IF(VLOOKUP(I60,'G-7 WaterC'' Data'!$AK$4:$AM$6,2,FALSE)=0,"Spatial Data Missing ⚠",VLOOKUP(I60,'G-7 WaterC'' Data'!$AK$4:$AM$6,2,FALSE)))</f>
        <v/>
      </c>
      <c r="K60" s="276" t="str">
        <f>IF(I60="","",IF(VLOOKUP(I60,'G-7 WaterC'' Data'!$AK$4:$AM$6,3,FALSE)=0,"Spatial Data Missing ⚠",VLOOKUP(I60,'G-7 WaterC'' Data'!$AK$4:$AM$6,3,FALSE)))</f>
        <v/>
      </c>
      <c r="L60" s="275" t="str">
        <f>IFERROR(INDEX('G-7 WaterC'' Data'!$O$3:$O$7,MATCH(G60,'G-7 WaterC'' Data'!$N$3:$N$7,0)),"")</f>
        <v/>
      </c>
      <c r="M60" s="58"/>
      <c r="N60" s="133"/>
      <c r="O60" s="283" t="str">
        <f t="shared" si="0"/>
        <v/>
      </c>
      <c r="P60" s="296" t="str">
        <f t="shared" si="1"/>
        <v/>
      </c>
      <c r="Q60" s="334" t="str">
        <f>IFERROR(IF(P60="Check Data ⚠","Check Data ⚠",VLOOKUP(P60,'G-4 Temporal multipliers'!$A$4:$C$37,3,FALSE)),"")</f>
        <v/>
      </c>
      <c r="R60" s="275" t="str">
        <f>IF(C60="","",VLOOKUP(C60,'G-7 WaterC'' Data'!$B$4:$G$8,4,FALSE))</f>
        <v/>
      </c>
      <c r="S60" s="283" t="str">
        <f t="shared" si="2"/>
        <v/>
      </c>
      <c r="T60" s="314" t="str">
        <f t="shared" si="3"/>
        <v/>
      </c>
      <c r="U60" s="276" t="str">
        <f>IF(C60="","",VLOOKUP(T60,'G-3 Multipliers'!$P$2:$Q$6,2,FALSE))</f>
        <v/>
      </c>
      <c r="V60" s="102"/>
      <c r="W60" s="276" t="str">
        <f>IF(V60="","",IF(AND(V60="N/A - Culvert",C60&lt;&gt;"Culvert"),"Not possible ▲",IF(AND(C60="Culvert",V60&lt;&gt;"N/A - Culvert"),"Not possible ▲",IF(VLOOKUP(V60,'G-7 WaterC'' Data'!$AA$4:$AB$7,2,FALSE)=0,"Spatial Data Missing ⚠",VLOOKUP(V60,'G-7 WaterC'' Data'!$AA$4:$AB$7,2,FALSE)))))</f>
        <v/>
      </c>
      <c r="X60" s="56"/>
      <c r="Y60" s="276" t="str">
        <f>IF(X60="","",IF(AND(X60="N/A - Culvert",C60&lt;&gt;"Culvert"),"Not possible ▲",IF(AND(C60="Culvert",X60&lt;&gt;"N/A - Culvert"),"Not possible ▲",IF(VLOOKUP(X60,'G-7 WaterC'' Data'!$AD$4:$AE$14,2,FALSE)=0,"Enrcoachment Data Missing ⚠",VLOOKUP(X60,'G-7 WaterC'' Data'!$AD$4:$AE$14,2,FALSE)))))</f>
        <v/>
      </c>
      <c r="Z60" s="317" t="str">
        <f t="shared" si="4"/>
        <v/>
      </c>
      <c r="AA60" s="101"/>
      <c r="AB60" s="115"/>
      <c r="AC60" s="104"/>
      <c r="AH60" s="30" t="str">
        <f>IFERROR(INDEX('G-7 WaterC'' Data'!$AZ$3:$AZ$7,MATCH(C60,'G-7 WaterC'' Data'!$AY$3:$AY$7,0)),"")</f>
        <v/>
      </c>
      <c r="AK60" s="30" t="str">
        <f t="shared" si="5"/>
        <v>No</v>
      </c>
    </row>
    <row r="61" spans="2:37" ht="14">
      <c r="B61" s="97">
        <v>50</v>
      </c>
      <c r="C61" s="920"/>
      <c r="D61" s="115"/>
      <c r="E61" s="275" t="str">
        <f>IF(C61="","",VLOOKUP(C61,'G-7 WaterC'' Data'!$B$2:$G$8,2,FALSE))</f>
        <v/>
      </c>
      <c r="F61" s="276" t="str">
        <f>IFERROR(VLOOKUP(E61,'G-7 WaterC'' Data'!$C$4:$D$8,2,FALSE),"")</f>
        <v/>
      </c>
      <c r="G61" s="101"/>
      <c r="H61" s="276" t="str">
        <f>IFERROR(INDEX('G-7 WaterC'' Data'!$H$4:$L$8,MATCH(C61,'G-7 WaterC'' Data'!$B$4:$B$8,0),MATCH(G61,'G-7 WaterC'' Data'!$H$3:$L$3,0)),"")</f>
        <v/>
      </c>
      <c r="I61" s="52"/>
      <c r="J61" s="283" t="str">
        <f>IF(I61="","",IF(VLOOKUP(I61,'G-7 WaterC'' Data'!$AK$4:$AM$6,2,FALSE)=0,"Spatial Data Missing ⚠",VLOOKUP(I61,'G-7 WaterC'' Data'!$AK$4:$AM$6,2,FALSE)))</f>
        <v/>
      </c>
      <c r="K61" s="276" t="str">
        <f>IF(I61="","",IF(VLOOKUP(I61,'G-7 WaterC'' Data'!$AK$4:$AM$6,3,FALSE)=0,"Spatial Data Missing ⚠",VLOOKUP(I61,'G-7 WaterC'' Data'!$AK$4:$AM$6,3,FALSE)))</f>
        <v/>
      </c>
      <c r="L61" s="275" t="str">
        <f>IFERROR(INDEX('G-7 WaterC'' Data'!$O$3:$O$7,MATCH(G61,'G-7 WaterC'' Data'!$N$3:$N$7,0)),"")</f>
        <v/>
      </c>
      <c r="M61" s="58"/>
      <c r="N61" s="133"/>
      <c r="O61" s="283" t="str">
        <f t="shared" si="0"/>
        <v/>
      </c>
      <c r="P61" s="296" t="str">
        <f t="shared" si="1"/>
        <v/>
      </c>
      <c r="Q61" s="334" t="str">
        <f>IFERROR(IF(P61="Check Data ⚠","Check Data ⚠",VLOOKUP(P61,'G-4 Temporal multipliers'!$A$4:$C$37,3,FALSE)),"")</f>
        <v/>
      </c>
      <c r="R61" s="275" t="str">
        <f>IF(C61="","",VLOOKUP(C61,'G-7 WaterC'' Data'!$B$4:$G$8,4,FALSE))</f>
        <v/>
      </c>
      <c r="S61" s="283" t="str">
        <f t="shared" si="2"/>
        <v/>
      </c>
      <c r="T61" s="314" t="str">
        <f t="shared" si="3"/>
        <v/>
      </c>
      <c r="U61" s="276" t="str">
        <f>IF(C61="","",VLOOKUP(T61,'G-3 Multipliers'!$P$2:$Q$6,2,FALSE))</f>
        <v/>
      </c>
      <c r="V61" s="102"/>
      <c r="W61" s="276" t="str">
        <f>IF(V61="","",IF(AND(V61="N/A - Culvert",C61&lt;&gt;"Culvert"),"Not possible ▲",IF(AND(C61="Culvert",V61&lt;&gt;"N/A - Culvert"),"Not possible ▲",IF(VLOOKUP(V61,'G-7 WaterC'' Data'!$AA$4:$AB$7,2,FALSE)=0,"Spatial Data Missing ⚠",VLOOKUP(V61,'G-7 WaterC'' Data'!$AA$4:$AB$7,2,FALSE)))))</f>
        <v/>
      </c>
      <c r="X61" s="56"/>
      <c r="Y61" s="276" t="str">
        <f>IF(X61="","",IF(AND(X61="N/A - Culvert",C61&lt;&gt;"Culvert"),"Not possible ▲",IF(AND(C61="Culvert",X61&lt;&gt;"N/A - Culvert"),"Not possible ▲",IF(VLOOKUP(X61,'G-7 WaterC'' Data'!$AD$4:$AE$14,2,FALSE)=0,"Enrcoachment Data Missing ⚠",VLOOKUP(X61,'G-7 WaterC'' Data'!$AD$4:$AE$14,2,FALSE)))))</f>
        <v/>
      </c>
      <c r="Z61" s="317" t="str">
        <f t="shared" si="4"/>
        <v/>
      </c>
      <c r="AA61" s="101"/>
      <c r="AB61" s="115"/>
      <c r="AC61" s="104"/>
      <c r="AH61" s="30" t="str">
        <f>IFERROR(INDEX('G-7 WaterC'' Data'!$AZ$3:$AZ$7,MATCH(C61,'G-7 WaterC'' Data'!$AY$3:$AY$7,0)),"")</f>
        <v/>
      </c>
      <c r="AK61" s="30" t="str">
        <f t="shared" si="5"/>
        <v>No</v>
      </c>
    </row>
    <row r="62" spans="2:37" ht="14">
      <c r="B62" s="97">
        <v>51</v>
      </c>
      <c r="C62" s="920"/>
      <c r="D62" s="115"/>
      <c r="E62" s="275" t="str">
        <f>IF(C62="","",VLOOKUP(C62,'G-7 WaterC'' Data'!$B$2:$G$8,2,FALSE))</f>
        <v/>
      </c>
      <c r="F62" s="276" t="str">
        <f>IFERROR(VLOOKUP(E62,'G-7 WaterC'' Data'!$C$4:$D$8,2,FALSE),"")</f>
        <v/>
      </c>
      <c r="G62" s="101"/>
      <c r="H62" s="276" t="str">
        <f>IFERROR(INDEX('G-7 WaterC'' Data'!$H$4:$L$8,MATCH(C62,'G-7 WaterC'' Data'!$B$4:$B$8,0),MATCH(G62,'G-7 WaterC'' Data'!$H$3:$L$3,0)),"")</f>
        <v/>
      </c>
      <c r="I62" s="52"/>
      <c r="J62" s="283" t="str">
        <f>IF(I62="","",IF(VLOOKUP(I62,'G-7 WaterC'' Data'!$AK$4:$AM$6,2,FALSE)=0,"Spatial Data Missing ⚠",VLOOKUP(I62,'G-7 WaterC'' Data'!$AK$4:$AM$6,2,FALSE)))</f>
        <v/>
      </c>
      <c r="K62" s="276" t="str">
        <f>IF(I62="","",IF(VLOOKUP(I62,'G-7 WaterC'' Data'!$AK$4:$AM$6,3,FALSE)=0,"Spatial Data Missing ⚠",VLOOKUP(I62,'G-7 WaterC'' Data'!$AK$4:$AM$6,3,FALSE)))</f>
        <v/>
      </c>
      <c r="L62" s="275" t="str">
        <f>IFERROR(INDEX('G-7 WaterC'' Data'!$O$3:$O$7,MATCH(G62,'G-7 WaterC'' Data'!$N$3:$N$7,0)),"")</f>
        <v/>
      </c>
      <c r="M62" s="58"/>
      <c r="N62" s="133"/>
      <c r="O62" s="283" t="str">
        <f t="shared" si="0"/>
        <v/>
      </c>
      <c r="P62" s="296" t="str">
        <f t="shared" si="1"/>
        <v/>
      </c>
      <c r="Q62" s="334" t="str">
        <f>IFERROR(IF(P62="Check Data ⚠","Check Data ⚠",VLOOKUP(P62,'G-4 Temporal multipliers'!$A$4:$C$37,3,FALSE)),"")</f>
        <v/>
      </c>
      <c r="R62" s="275" t="str">
        <f>IF(C62="","",VLOOKUP(C62,'G-7 WaterC'' Data'!$B$4:$G$8,4,FALSE))</f>
        <v/>
      </c>
      <c r="S62" s="283" t="str">
        <f t="shared" si="2"/>
        <v/>
      </c>
      <c r="T62" s="314" t="str">
        <f t="shared" si="3"/>
        <v/>
      </c>
      <c r="U62" s="276" t="str">
        <f>IF(C62="","",VLOOKUP(T62,'G-3 Multipliers'!$P$2:$Q$6,2,FALSE))</f>
        <v/>
      </c>
      <c r="V62" s="102"/>
      <c r="W62" s="276" t="str">
        <f>IF(V62="","",IF(AND(V62="N/A - Culvert",C62&lt;&gt;"Culvert"),"Not possible ▲",IF(AND(C62="Culvert",V62&lt;&gt;"N/A - Culvert"),"Not possible ▲",IF(VLOOKUP(V62,'G-7 WaterC'' Data'!$AA$4:$AB$7,2,FALSE)=0,"Spatial Data Missing ⚠",VLOOKUP(V62,'G-7 WaterC'' Data'!$AA$4:$AB$7,2,FALSE)))))</f>
        <v/>
      </c>
      <c r="X62" s="56"/>
      <c r="Y62" s="276" t="str">
        <f>IF(X62="","",IF(AND(X62="N/A - Culvert",C62&lt;&gt;"Culvert"),"Not possible ▲",IF(AND(C62="Culvert",X62&lt;&gt;"N/A - Culvert"),"Not possible ▲",IF(VLOOKUP(X62,'G-7 WaterC'' Data'!$AD$4:$AE$14,2,FALSE)=0,"Enrcoachment Data Missing ⚠",VLOOKUP(X62,'G-7 WaterC'' Data'!$AD$4:$AE$14,2,FALSE)))))</f>
        <v/>
      </c>
      <c r="Z62" s="317" t="str">
        <f t="shared" si="4"/>
        <v/>
      </c>
      <c r="AA62" s="101"/>
      <c r="AB62" s="115"/>
      <c r="AC62" s="104"/>
      <c r="AH62" s="30" t="str">
        <f>IFERROR(INDEX('G-7 WaterC'' Data'!$AZ$3:$AZ$7,MATCH(C62,'G-7 WaterC'' Data'!$AY$3:$AY$7,0)),"")</f>
        <v/>
      </c>
      <c r="AK62" s="30" t="str">
        <f t="shared" si="5"/>
        <v>No</v>
      </c>
    </row>
    <row r="63" spans="2:37" ht="14">
      <c r="B63" s="97">
        <v>52</v>
      </c>
      <c r="C63" s="920"/>
      <c r="D63" s="115"/>
      <c r="E63" s="275" t="str">
        <f>IF(C63="","",VLOOKUP(C63,'G-7 WaterC'' Data'!$B$2:$G$8,2,FALSE))</f>
        <v/>
      </c>
      <c r="F63" s="276" t="str">
        <f>IFERROR(VLOOKUP(E63,'G-7 WaterC'' Data'!$C$4:$D$8,2,FALSE),"")</f>
        <v/>
      </c>
      <c r="G63" s="101"/>
      <c r="H63" s="276" t="str">
        <f>IFERROR(INDEX('G-7 WaterC'' Data'!$H$4:$L$8,MATCH(C63,'G-7 WaterC'' Data'!$B$4:$B$8,0),MATCH(G63,'G-7 WaterC'' Data'!$H$3:$L$3,0)),"")</f>
        <v/>
      </c>
      <c r="I63" s="52"/>
      <c r="J63" s="283" t="str">
        <f>IF(I63="","",IF(VLOOKUP(I63,'G-7 WaterC'' Data'!$AK$4:$AM$6,2,FALSE)=0,"Spatial Data Missing ⚠",VLOOKUP(I63,'G-7 WaterC'' Data'!$AK$4:$AM$6,2,FALSE)))</f>
        <v/>
      </c>
      <c r="K63" s="276" t="str">
        <f>IF(I63="","",IF(VLOOKUP(I63,'G-7 WaterC'' Data'!$AK$4:$AM$6,3,FALSE)=0,"Spatial Data Missing ⚠",VLOOKUP(I63,'G-7 WaterC'' Data'!$AK$4:$AM$6,3,FALSE)))</f>
        <v/>
      </c>
      <c r="L63" s="275" t="str">
        <f>IFERROR(INDEX('G-7 WaterC'' Data'!$O$3:$O$7,MATCH(G63,'G-7 WaterC'' Data'!$N$3:$N$7,0)),"")</f>
        <v/>
      </c>
      <c r="M63" s="58"/>
      <c r="N63" s="133"/>
      <c r="O63" s="283" t="str">
        <f t="shared" si="0"/>
        <v/>
      </c>
      <c r="P63" s="296" t="str">
        <f t="shared" si="1"/>
        <v/>
      </c>
      <c r="Q63" s="334" t="str">
        <f>IFERROR(IF(P63="Check Data ⚠","Check Data ⚠",VLOOKUP(P63,'G-4 Temporal multipliers'!$A$4:$C$37,3,FALSE)),"")</f>
        <v/>
      </c>
      <c r="R63" s="275" t="str">
        <f>IF(C63="","",VLOOKUP(C63,'G-7 WaterC'' Data'!$B$4:$G$8,4,FALSE))</f>
        <v/>
      </c>
      <c r="S63" s="283" t="str">
        <f t="shared" si="2"/>
        <v/>
      </c>
      <c r="T63" s="314" t="str">
        <f t="shared" si="3"/>
        <v/>
      </c>
      <c r="U63" s="276" t="str">
        <f>IF(C63="","",VLOOKUP(T63,'G-3 Multipliers'!$P$2:$Q$6,2,FALSE))</f>
        <v/>
      </c>
      <c r="V63" s="102"/>
      <c r="W63" s="276" t="str">
        <f>IF(V63="","",IF(AND(V63="N/A - Culvert",C63&lt;&gt;"Culvert"),"Not possible ▲",IF(AND(C63="Culvert",V63&lt;&gt;"N/A - Culvert"),"Not possible ▲",IF(VLOOKUP(V63,'G-7 WaterC'' Data'!$AA$4:$AB$7,2,FALSE)=0,"Spatial Data Missing ⚠",VLOOKUP(V63,'G-7 WaterC'' Data'!$AA$4:$AB$7,2,FALSE)))))</f>
        <v/>
      </c>
      <c r="X63" s="56"/>
      <c r="Y63" s="276" t="str">
        <f>IF(X63="","",IF(AND(X63="N/A - Culvert",C63&lt;&gt;"Culvert"),"Not possible ▲",IF(AND(C63="Culvert",X63&lt;&gt;"N/A - Culvert"),"Not possible ▲",IF(VLOOKUP(X63,'G-7 WaterC'' Data'!$AD$4:$AE$14,2,FALSE)=0,"Enrcoachment Data Missing ⚠",VLOOKUP(X63,'G-7 WaterC'' Data'!$AD$4:$AE$14,2,FALSE)))))</f>
        <v/>
      </c>
      <c r="Z63" s="317" t="str">
        <f t="shared" si="4"/>
        <v/>
      </c>
      <c r="AA63" s="101"/>
      <c r="AB63" s="115"/>
      <c r="AC63" s="104"/>
      <c r="AH63" s="30" t="str">
        <f>IFERROR(INDEX('G-7 WaterC'' Data'!$AZ$3:$AZ$7,MATCH(C63,'G-7 WaterC'' Data'!$AY$3:$AY$7,0)),"")</f>
        <v/>
      </c>
      <c r="AK63" s="30" t="str">
        <f t="shared" si="5"/>
        <v>No</v>
      </c>
    </row>
    <row r="64" spans="2:37" ht="14">
      <c r="B64" s="97">
        <v>53</v>
      </c>
      <c r="C64" s="920"/>
      <c r="D64" s="115"/>
      <c r="E64" s="275" t="str">
        <f>IF(C64="","",VLOOKUP(C64,'G-7 WaterC'' Data'!$B$2:$G$8,2,FALSE))</f>
        <v/>
      </c>
      <c r="F64" s="276" t="str">
        <f>IFERROR(VLOOKUP(E64,'G-7 WaterC'' Data'!$C$4:$D$8,2,FALSE),"")</f>
        <v/>
      </c>
      <c r="G64" s="101"/>
      <c r="H64" s="276" t="str">
        <f>IFERROR(INDEX('G-7 WaterC'' Data'!$H$4:$L$8,MATCH(C64,'G-7 WaterC'' Data'!$B$4:$B$8,0),MATCH(G64,'G-7 WaterC'' Data'!$H$3:$L$3,0)),"")</f>
        <v/>
      </c>
      <c r="I64" s="52"/>
      <c r="J64" s="283" t="str">
        <f>IF(I64="","",IF(VLOOKUP(I64,'G-7 WaterC'' Data'!$AK$4:$AM$6,2,FALSE)=0,"Spatial Data Missing ⚠",VLOOKUP(I64,'G-7 WaterC'' Data'!$AK$4:$AM$6,2,FALSE)))</f>
        <v/>
      </c>
      <c r="K64" s="276" t="str">
        <f>IF(I64="","",IF(VLOOKUP(I64,'G-7 WaterC'' Data'!$AK$4:$AM$6,3,FALSE)=0,"Spatial Data Missing ⚠",VLOOKUP(I64,'G-7 WaterC'' Data'!$AK$4:$AM$6,3,FALSE)))</f>
        <v/>
      </c>
      <c r="L64" s="275" t="str">
        <f>IFERROR(INDEX('G-7 WaterC'' Data'!$O$3:$O$7,MATCH(G64,'G-7 WaterC'' Data'!$N$3:$N$7,0)),"")</f>
        <v/>
      </c>
      <c r="M64" s="58"/>
      <c r="N64" s="133"/>
      <c r="O64" s="283" t="str">
        <f t="shared" si="0"/>
        <v/>
      </c>
      <c r="P64" s="296" t="str">
        <f t="shared" si="1"/>
        <v/>
      </c>
      <c r="Q64" s="334" t="str">
        <f>IFERROR(IF(P64="Check Data ⚠","Check Data ⚠",VLOOKUP(P64,'G-4 Temporal multipliers'!$A$4:$C$37,3,FALSE)),"")</f>
        <v/>
      </c>
      <c r="R64" s="275" t="str">
        <f>IF(C64="","",VLOOKUP(C64,'G-7 WaterC'' Data'!$B$4:$G$8,4,FALSE))</f>
        <v/>
      </c>
      <c r="S64" s="283" t="str">
        <f t="shared" si="2"/>
        <v/>
      </c>
      <c r="T64" s="314" t="str">
        <f t="shared" si="3"/>
        <v/>
      </c>
      <c r="U64" s="276" t="str">
        <f>IF(C64="","",VLOOKUP(T64,'G-3 Multipliers'!$P$2:$Q$6,2,FALSE))</f>
        <v/>
      </c>
      <c r="V64" s="102"/>
      <c r="W64" s="276" t="str">
        <f>IF(V64="","",IF(AND(V64="N/A - Culvert",C64&lt;&gt;"Culvert"),"Not possible ▲",IF(AND(C64="Culvert",V64&lt;&gt;"N/A - Culvert"),"Not possible ▲",IF(VLOOKUP(V64,'G-7 WaterC'' Data'!$AA$4:$AB$7,2,FALSE)=0,"Spatial Data Missing ⚠",VLOOKUP(V64,'G-7 WaterC'' Data'!$AA$4:$AB$7,2,FALSE)))))</f>
        <v/>
      </c>
      <c r="X64" s="56"/>
      <c r="Y64" s="276" t="str">
        <f>IF(X64="","",IF(AND(X64="N/A - Culvert",C64&lt;&gt;"Culvert"),"Not possible ▲",IF(AND(C64="Culvert",X64&lt;&gt;"N/A - Culvert"),"Not possible ▲",IF(VLOOKUP(X64,'G-7 WaterC'' Data'!$AD$4:$AE$14,2,FALSE)=0,"Enrcoachment Data Missing ⚠",VLOOKUP(X64,'G-7 WaterC'' Data'!$AD$4:$AE$14,2,FALSE)))))</f>
        <v/>
      </c>
      <c r="Z64" s="317" t="str">
        <f t="shared" si="4"/>
        <v/>
      </c>
      <c r="AA64" s="101"/>
      <c r="AB64" s="115"/>
      <c r="AC64" s="104"/>
      <c r="AH64" s="30" t="str">
        <f>IFERROR(INDEX('G-7 WaterC'' Data'!$AZ$3:$AZ$7,MATCH(C64,'G-7 WaterC'' Data'!$AY$3:$AY$7,0)),"")</f>
        <v/>
      </c>
      <c r="AK64" s="30" t="str">
        <f t="shared" si="5"/>
        <v>No</v>
      </c>
    </row>
    <row r="65" spans="2:37" ht="14">
      <c r="B65" s="97">
        <v>54</v>
      </c>
      <c r="C65" s="920"/>
      <c r="D65" s="115"/>
      <c r="E65" s="275" t="str">
        <f>IF(C65="","",VLOOKUP(C65,'G-7 WaterC'' Data'!$B$2:$G$8,2,FALSE))</f>
        <v/>
      </c>
      <c r="F65" s="276" t="str">
        <f>IFERROR(VLOOKUP(E65,'G-7 WaterC'' Data'!$C$4:$D$8,2,FALSE),"")</f>
        <v/>
      </c>
      <c r="G65" s="101"/>
      <c r="H65" s="276" t="str">
        <f>IFERROR(INDEX('G-7 WaterC'' Data'!$H$4:$L$8,MATCH(C65,'G-7 WaterC'' Data'!$B$4:$B$8,0),MATCH(G65,'G-7 WaterC'' Data'!$H$3:$L$3,0)),"")</f>
        <v/>
      </c>
      <c r="I65" s="52"/>
      <c r="J65" s="283" t="str">
        <f>IF(I65="","",IF(VLOOKUP(I65,'G-7 WaterC'' Data'!$AK$4:$AM$6,2,FALSE)=0,"Spatial Data Missing ⚠",VLOOKUP(I65,'G-7 WaterC'' Data'!$AK$4:$AM$6,2,FALSE)))</f>
        <v/>
      </c>
      <c r="K65" s="276" t="str">
        <f>IF(I65="","",IF(VLOOKUP(I65,'G-7 WaterC'' Data'!$AK$4:$AM$6,3,FALSE)=0,"Spatial Data Missing ⚠",VLOOKUP(I65,'G-7 WaterC'' Data'!$AK$4:$AM$6,3,FALSE)))</f>
        <v/>
      </c>
      <c r="L65" s="275" t="str">
        <f>IFERROR(INDEX('G-7 WaterC'' Data'!$O$3:$O$7,MATCH(G65,'G-7 WaterC'' Data'!$N$3:$N$7,0)),"")</f>
        <v/>
      </c>
      <c r="M65" s="58"/>
      <c r="N65" s="133"/>
      <c r="O65" s="283" t="str">
        <f t="shared" si="0"/>
        <v/>
      </c>
      <c r="P65" s="296" t="str">
        <f t="shared" si="1"/>
        <v/>
      </c>
      <c r="Q65" s="334" t="str">
        <f>IFERROR(IF(P65="Check Data ⚠","Check Data ⚠",VLOOKUP(P65,'G-4 Temporal multipliers'!$A$4:$C$37,3,FALSE)),"")</f>
        <v/>
      </c>
      <c r="R65" s="275" t="str">
        <f>IF(C65="","",VLOOKUP(C65,'G-7 WaterC'' Data'!$B$4:$G$8,4,FALSE))</f>
        <v/>
      </c>
      <c r="S65" s="283" t="str">
        <f t="shared" si="2"/>
        <v/>
      </c>
      <c r="T65" s="314" t="str">
        <f t="shared" si="3"/>
        <v/>
      </c>
      <c r="U65" s="276" t="str">
        <f>IF(C65="","",VLOOKUP(T65,'G-3 Multipliers'!$P$2:$Q$6,2,FALSE))</f>
        <v/>
      </c>
      <c r="V65" s="102"/>
      <c r="W65" s="276" t="str">
        <f>IF(V65="","",IF(AND(V65="N/A - Culvert",C65&lt;&gt;"Culvert"),"Not possible ▲",IF(AND(C65="Culvert",V65&lt;&gt;"N/A - Culvert"),"Not possible ▲",IF(VLOOKUP(V65,'G-7 WaterC'' Data'!$AA$4:$AB$7,2,FALSE)=0,"Spatial Data Missing ⚠",VLOOKUP(V65,'G-7 WaterC'' Data'!$AA$4:$AB$7,2,FALSE)))))</f>
        <v/>
      </c>
      <c r="X65" s="56"/>
      <c r="Y65" s="276" t="str">
        <f>IF(X65="","",IF(AND(X65="N/A - Culvert",C65&lt;&gt;"Culvert"),"Not possible ▲",IF(AND(C65="Culvert",X65&lt;&gt;"N/A - Culvert"),"Not possible ▲",IF(VLOOKUP(X65,'G-7 WaterC'' Data'!$AD$4:$AE$14,2,FALSE)=0,"Enrcoachment Data Missing ⚠",VLOOKUP(X65,'G-7 WaterC'' Data'!$AD$4:$AE$14,2,FALSE)))))</f>
        <v/>
      </c>
      <c r="Z65" s="317" t="str">
        <f t="shared" si="4"/>
        <v/>
      </c>
      <c r="AA65" s="101"/>
      <c r="AB65" s="115"/>
      <c r="AC65" s="104"/>
      <c r="AH65" s="30" t="str">
        <f>IFERROR(INDEX('G-7 WaterC'' Data'!$AZ$3:$AZ$7,MATCH(C65,'G-7 WaterC'' Data'!$AY$3:$AY$7,0)),"")</f>
        <v/>
      </c>
      <c r="AK65" s="30" t="str">
        <f t="shared" si="5"/>
        <v>No</v>
      </c>
    </row>
    <row r="66" spans="2:37" ht="14">
      <c r="B66" s="97">
        <v>55</v>
      </c>
      <c r="C66" s="920"/>
      <c r="D66" s="115"/>
      <c r="E66" s="275" t="str">
        <f>IF(C66="","",VLOOKUP(C66,'G-7 WaterC'' Data'!$B$2:$G$8,2,FALSE))</f>
        <v/>
      </c>
      <c r="F66" s="276" t="str">
        <f>IFERROR(VLOOKUP(E66,'G-7 WaterC'' Data'!$C$4:$D$8,2,FALSE),"")</f>
        <v/>
      </c>
      <c r="G66" s="101"/>
      <c r="H66" s="276" t="str">
        <f>IFERROR(INDEX('G-7 WaterC'' Data'!$H$4:$L$8,MATCH(C66,'G-7 WaterC'' Data'!$B$4:$B$8,0),MATCH(G66,'G-7 WaterC'' Data'!$H$3:$L$3,0)),"")</f>
        <v/>
      </c>
      <c r="I66" s="52"/>
      <c r="J66" s="283" t="str">
        <f>IF(I66="","",IF(VLOOKUP(I66,'G-7 WaterC'' Data'!$AK$4:$AM$6,2,FALSE)=0,"Spatial Data Missing ⚠",VLOOKUP(I66,'G-7 WaterC'' Data'!$AK$4:$AM$6,2,FALSE)))</f>
        <v/>
      </c>
      <c r="K66" s="276" t="str">
        <f>IF(I66="","",IF(VLOOKUP(I66,'G-7 WaterC'' Data'!$AK$4:$AM$6,3,FALSE)=0,"Spatial Data Missing ⚠",VLOOKUP(I66,'G-7 WaterC'' Data'!$AK$4:$AM$6,3,FALSE)))</f>
        <v/>
      </c>
      <c r="L66" s="275" t="str">
        <f>IFERROR(INDEX('G-7 WaterC'' Data'!$O$3:$O$7,MATCH(G66,'G-7 WaterC'' Data'!$N$3:$N$7,0)),"")</f>
        <v/>
      </c>
      <c r="M66" s="58"/>
      <c r="N66" s="133"/>
      <c r="O66" s="283" t="str">
        <f t="shared" si="0"/>
        <v/>
      </c>
      <c r="P66" s="296" t="str">
        <f t="shared" si="1"/>
        <v/>
      </c>
      <c r="Q66" s="334" t="str">
        <f>IFERROR(IF(P66="Check Data ⚠","Check Data ⚠",VLOOKUP(P66,'G-4 Temporal multipliers'!$A$4:$C$37,3,FALSE)),"")</f>
        <v/>
      </c>
      <c r="R66" s="275" t="str">
        <f>IF(C66="","",VLOOKUP(C66,'G-7 WaterC'' Data'!$B$4:$G$8,4,FALSE))</f>
        <v/>
      </c>
      <c r="S66" s="283" t="str">
        <f t="shared" si="2"/>
        <v/>
      </c>
      <c r="T66" s="314" t="str">
        <f t="shared" si="3"/>
        <v/>
      </c>
      <c r="U66" s="276" t="str">
        <f>IF(C66="","",VLOOKUP(T66,'G-3 Multipliers'!$P$2:$Q$6,2,FALSE))</f>
        <v/>
      </c>
      <c r="V66" s="102"/>
      <c r="W66" s="276" t="str">
        <f>IF(V66="","",IF(AND(V66="N/A - Culvert",C66&lt;&gt;"Culvert"),"Not possible ▲",IF(AND(C66="Culvert",V66&lt;&gt;"N/A - Culvert"),"Not possible ▲",IF(VLOOKUP(V66,'G-7 WaterC'' Data'!$AA$4:$AB$7,2,FALSE)=0,"Spatial Data Missing ⚠",VLOOKUP(V66,'G-7 WaterC'' Data'!$AA$4:$AB$7,2,FALSE)))))</f>
        <v/>
      </c>
      <c r="X66" s="56"/>
      <c r="Y66" s="276" t="str">
        <f>IF(X66="","",IF(AND(X66="N/A - Culvert",C66&lt;&gt;"Culvert"),"Not possible ▲",IF(AND(C66="Culvert",X66&lt;&gt;"N/A - Culvert"),"Not possible ▲",IF(VLOOKUP(X66,'G-7 WaterC'' Data'!$AD$4:$AE$14,2,FALSE)=0,"Enrcoachment Data Missing ⚠",VLOOKUP(X66,'G-7 WaterC'' Data'!$AD$4:$AE$14,2,FALSE)))))</f>
        <v/>
      </c>
      <c r="Z66" s="317" t="str">
        <f t="shared" si="4"/>
        <v/>
      </c>
      <c r="AA66" s="101"/>
      <c r="AB66" s="115"/>
      <c r="AC66" s="104"/>
      <c r="AH66" s="30" t="str">
        <f>IFERROR(INDEX('G-7 WaterC'' Data'!$AZ$3:$AZ$7,MATCH(C66,'G-7 WaterC'' Data'!$AY$3:$AY$7,0)),"")</f>
        <v/>
      </c>
      <c r="AK66" s="30" t="str">
        <f t="shared" si="5"/>
        <v>No</v>
      </c>
    </row>
    <row r="67" spans="2:37" ht="14">
      <c r="B67" s="97">
        <v>56</v>
      </c>
      <c r="C67" s="920"/>
      <c r="D67" s="115"/>
      <c r="E67" s="275" t="str">
        <f>IF(C67="","",VLOOKUP(C67,'G-7 WaterC'' Data'!$B$2:$G$8,2,FALSE))</f>
        <v/>
      </c>
      <c r="F67" s="276" t="str">
        <f>IFERROR(VLOOKUP(E67,'G-7 WaterC'' Data'!$C$4:$D$8,2,FALSE),"")</f>
        <v/>
      </c>
      <c r="G67" s="101"/>
      <c r="H67" s="276" t="str">
        <f>IFERROR(INDEX('G-7 WaterC'' Data'!$H$4:$L$8,MATCH(C67,'G-7 WaterC'' Data'!$B$4:$B$8,0),MATCH(G67,'G-7 WaterC'' Data'!$H$3:$L$3,0)),"")</f>
        <v/>
      </c>
      <c r="I67" s="52"/>
      <c r="J67" s="283" t="str">
        <f>IF(I67="","",IF(VLOOKUP(I67,'G-7 WaterC'' Data'!$AK$4:$AM$6,2,FALSE)=0,"Spatial Data Missing ⚠",VLOOKUP(I67,'G-7 WaterC'' Data'!$AK$4:$AM$6,2,FALSE)))</f>
        <v/>
      </c>
      <c r="K67" s="276" t="str">
        <f>IF(I67="","",IF(VLOOKUP(I67,'G-7 WaterC'' Data'!$AK$4:$AM$6,3,FALSE)=0,"Spatial Data Missing ⚠",VLOOKUP(I67,'G-7 WaterC'' Data'!$AK$4:$AM$6,3,FALSE)))</f>
        <v/>
      </c>
      <c r="L67" s="275" t="str">
        <f>IFERROR(INDEX('G-7 WaterC'' Data'!$O$3:$O$7,MATCH(G67,'G-7 WaterC'' Data'!$N$3:$N$7,0)),"")</f>
        <v/>
      </c>
      <c r="M67" s="58"/>
      <c r="N67" s="133"/>
      <c r="O67" s="283" t="str">
        <f t="shared" si="0"/>
        <v/>
      </c>
      <c r="P67" s="296" t="str">
        <f t="shared" si="1"/>
        <v/>
      </c>
      <c r="Q67" s="334" t="str">
        <f>IFERROR(IF(P67="Check Data ⚠","Check Data ⚠",VLOOKUP(P67,'G-4 Temporal multipliers'!$A$4:$C$37,3,FALSE)),"")</f>
        <v/>
      </c>
      <c r="R67" s="275" t="str">
        <f>IF(C67="","",VLOOKUP(C67,'G-7 WaterC'' Data'!$B$4:$G$8,4,FALSE))</f>
        <v/>
      </c>
      <c r="S67" s="283" t="str">
        <f t="shared" si="2"/>
        <v/>
      </c>
      <c r="T67" s="314" t="str">
        <f t="shared" si="3"/>
        <v/>
      </c>
      <c r="U67" s="276" t="str">
        <f>IF(C67="","",VLOOKUP(T67,'G-3 Multipliers'!$P$2:$Q$6,2,FALSE))</f>
        <v/>
      </c>
      <c r="V67" s="102"/>
      <c r="W67" s="276" t="str">
        <f>IF(V67="","",IF(AND(V67="N/A - Culvert",C67&lt;&gt;"Culvert"),"Not possible ▲",IF(AND(C67="Culvert",V67&lt;&gt;"N/A - Culvert"),"Not possible ▲",IF(VLOOKUP(V67,'G-7 WaterC'' Data'!$AA$4:$AB$7,2,FALSE)=0,"Spatial Data Missing ⚠",VLOOKUP(V67,'G-7 WaterC'' Data'!$AA$4:$AB$7,2,FALSE)))))</f>
        <v/>
      </c>
      <c r="X67" s="56"/>
      <c r="Y67" s="276" t="str">
        <f>IF(X67="","",IF(AND(X67="N/A - Culvert",C67&lt;&gt;"Culvert"),"Not possible ▲",IF(AND(C67="Culvert",X67&lt;&gt;"N/A - Culvert"),"Not possible ▲",IF(VLOOKUP(X67,'G-7 WaterC'' Data'!$AD$4:$AE$14,2,FALSE)=0,"Enrcoachment Data Missing ⚠",VLOOKUP(X67,'G-7 WaterC'' Data'!$AD$4:$AE$14,2,FALSE)))))</f>
        <v/>
      </c>
      <c r="Z67" s="317" t="str">
        <f t="shared" si="4"/>
        <v/>
      </c>
      <c r="AA67" s="101"/>
      <c r="AB67" s="115"/>
      <c r="AC67" s="104"/>
      <c r="AH67" s="30" t="str">
        <f>IFERROR(INDEX('G-7 WaterC'' Data'!$AZ$3:$AZ$7,MATCH(C67,'G-7 WaterC'' Data'!$AY$3:$AY$7,0)),"")</f>
        <v/>
      </c>
      <c r="AK67" s="30" t="str">
        <f t="shared" si="5"/>
        <v>No</v>
      </c>
    </row>
    <row r="68" spans="2:37" ht="14">
      <c r="B68" s="97">
        <v>57</v>
      </c>
      <c r="C68" s="920"/>
      <c r="D68" s="115"/>
      <c r="E68" s="275" t="str">
        <f>IF(C68="","",VLOOKUP(C68,'G-7 WaterC'' Data'!$B$2:$G$8,2,FALSE))</f>
        <v/>
      </c>
      <c r="F68" s="276" t="str">
        <f>IFERROR(VLOOKUP(E68,'G-7 WaterC'' Data'!$C$4:$D$8,2,FALSE),"")</f>
        <v/>
      </c>
      <c r="G68" s="101"/>
      <c r="H68" s="276" t="str">
        <f>IFERROR(INDEX('G-7 WaterC'' Data'!$H$4:$L$8,MATCH(C68,'G-7 WaterC'' Data'!$B$4:$B$8,0),MATCH(G68,'G-7 WaterC'' Data'!$H$3:$L$3,0)),"")</f>
        <v/>
      </c>
      <c r="I68" s="52"/>
      <c r="J68" s="283" t="str">
        <f>IF(I68="","",IF(VLOOKUP(I68,'G-7 WaterC'' Data'!$AK$4:$AM$6,2,FALSE)=0,"Spatial Data Missing ⚠",VLOOKUP(I68,'G-7 WaterC'' Data'!$AK$4:$AM$6,2,FALSE)))</f>
        <v/>
      </c>
      <c r="K68" s="276" t="str">
        <f>IF(I68="","",IF(VLOOKUP(I68,'G-7 WaterC'' Data'!$AK$4:$AM$6,3,FALSE)=0,"Spatial Data Missing ⚠",VLOOKUP(I68,'G-7 WaterC'' Data'!$AK$4:$AM$6,3,FALSE)))</f>
        <v/>
      </c>
      <c r="L68" s="275" t="str">
        <f>IFERROR(INDEX('G-7 WaterC'' Data'!$O$3:$O$7,MATCH(G68,'G-7 WaterC'' Data'!$N$3:$N$7,0)),"")</f>
        <v/>
      </c>
      <c r="M68" s="58"/>
      <c r="N68" s="133"/>
      <c r="O68" s="283" t="str">
        <f t="shared" si="0"/>
        <v/>
      </c>
      <c r="P68" s="296" t="str">
        <f t="shared" si="1"/>
        <v/>
      </c>
      <c r="Q68" s="334" t="str">
        <f>IFERROR(IF(P68="Check Data ⚠","Check Data ⚠",VLOOKUP(P68,'G-4 Temporal multipliers'!$A$4:$C$37,3,FALSE)),"")</f>
        <v/>
      </c>
      <c r="R68" s="275" t="str">
        <f>IF(C68="","",VLOOKUP(C68,'G-7 WaterC'' Data'!$B$4:$G$8,4,FALSE))</f>
        <v/>
      </c>
      <c r="S68" s="283" t="str">
        <f t="shared" si="2"/>
        <v/>
      </c>
      <c r="T68" s="314" t="str">
        <f t="shared" si="3"/>
        <v/>
      </c>
      <c r="U68" s="276" t="str">
        <f>IF(C68="","",VLOOKUP(T68,'G-3 Multipliers'!$P$2:$Q$6,2,FALSE))</f>
        <v/>
      </c>
      <c r="V68" s="102"/>
      <c r="W68" s="276" t="str">
        <f>IF(V68="","",IF(AND(V68="N/A - Culvert",C68&lt;&gt;"Culvert"),"Not possible ▲",IF(AND(C68="Culvert",V68&lt;&gt;"N/A - Culvert"),"Not possible ▲",IF(VLOOKUP(V68,'G-7 WaterC'' Data'!$AA$4:$AB$7,2,FALSE)=0,"Spatial Data Missing ⚠",VLOOKUP(V68,'G-7 WaterC'' Data'!$AA$4:$AB$7,2,FALSE)))))</f>
        <v/>
      </c>
      <c r="X68" s="56"/>
      <c r="Y68" s="276" t="str">
        <f>IF(X68="","",IF(AND(X68="N/A - Culvert",C68&lt;&gt;"Culvert"),"Not possible ▲",IF(AND(C68="Culvert",X68&lt;&gt;"N/A - Culvert"),"Not possible ▲",IF(VLOOKUP(X68,'G-7 WaterC'' Data'!$AD$4:$AE$14,2,FALSE)=0,"Enrcoachment Data Missing ⚠",VLOOKUP(X68,'G-7 WaterC'' Data'!$AD$4:$AE$14,2,FALSE)))))</f>
        <v/>
      </c>
      <c r="Z68" s="317" t="str">
        <f t="shared" si="4"/>
        <v/>
      </c>
      <c r="AA68" s="101"/>
      <c r="AB68" s="115"/>
      <c r="AC68" s="104"/>
      <c r="AH68" s="30" t="str">
        <f>IFERROR(INDEX('G-7 WaterC'' Data'!$AZ$3:$AZ$7,MATCH(C68,'G-7 WaterC'' Data'!$AY$3:$AY$7,0)),"")</f>
        <v/>
      </c>
      <c r="AK68" s="30" t="str">
        <f t="shared" si="5"/>
        <v>No</v>
      </c>
    </row>
    <row r="69" spans="2:37" ht="14">
      <c r="B69" s="97">
        <v>58</v>
      </c>
      <c r="C69" s="920"/>
      <c r="D69" s="115"/>
      <c r="E69" s="275" t="str">
        <f>IF(C69="","",VLOOKUP(C69,'G-7 WaterC'' Data'!$B$2:$G$8,2,FALSE))</f>
        <v/>
      </c>
      <c r="F69" s="276" t="str">
        <f>IFERROR(VLOOKUP(E69,'G-7 WaterC'' Data'!$C$4:$D$8,2,FALSE),"")</f>
        <v/>
      </c>
      <c r="G69" s="101"/>
      <c r="H69" s="276" t="str">
        <f>IFERROR(INDEX('G-7 WaterC'' Data'!$H$4:$L$8,MATCH(C69,'G-7 WaterC'' Data'!$B$4:$B$8,0),MATCH(G69,'G-7 WaterC'' Data'!$H$3:$L$3,0)),"")</f>
        <v/>
      </c>
      <c r="I69" s="52"/>
      <c r="J69" s="283" t="str">
        <f>IF(I69="","",IF(VLOOKUP(I69,'G-7 WaterC'' Data'!$AK$4:$AM$6,2,FALSE)=0,"Spatial Data Missing ⚠",VLOOKUP(I69,'G-7 WaterC'' Data'!$AK$4:$AM$6,2,FALSE)))</f>
        <v/>
      </c>
      <c r="K69" s="276" t="str">
        <f>IF(I69="","",IF(VLOOKUP(I69,'G-7 WaterC'' Data'!$AK$4:$AM$6,3,FALSE)=0,"Spatial Data Missing ⚠",VLOOKUP(I69,'G-7 WaterC'' Data'!$AK$4:$AM$6,3,FALSE)))</f>
        <v/>
      </c>
      <c r="L69" s="275" t="str">
        <f>IFERROR(INDEX('G-7 WaterC'' Data'!$O$3:$O$7,MATCH(G69,'G-7 WaterC'' Data'!$N$3:$N$7,0)),"")</f>
        <v/>
      </c>
      <c r="M69" s="58"/>
      <c r="N69" s="133"/>
      <c r="O69" s="283" t="str">
        <f t="shared" si="0"/>
        <v/>
      </c>
      <c r="P69" s="296" t="str">
        <f t="shared" si="1"/>
        <v/>
      </c>
      <c r="Q69" s="334" t="str">
        <f>IFERROR(IF(P69="Check Data ⚠","Check Data ⚠",VLOOKUP(P69,'G-4 Temporal multipliers'!$A$4:$C$37,3,FALSE)),"")</f>
        <v/>
      </c>
      <c r="R69" s="275" t="str">
        <f>IF(C69="","",VLOOKUP(C69,'G-7 WaterC'' Data'!$B$4:$G$8,4,FALSE))</f>
        <v/>
      </c>
      <c r="S69" s="283" t="str">
        <f t="shared" si="2"/>
        <v/>
      </c>
      <c r="T69" s="314" t="str">
        <f t="shared" si="3"/>
        <v/>
      </c>
      <c r="U69" s="276" t="str">
        <f>IF(C69="","",VLOOKUP(T69,'G-3 Multipliers'!$P$2:$Q$6,2,FALSE))</f>
        <v/>
      </c>
      <c r="V69" s="102"/>
      <c r="W69" s="276" t="str">
        <f>IF(V69="","",IF(AND(V69="N/A - Culvert",C69&lt;&gt;"Culvert"),"Not possible ▲",IF(AND(C69="Culvert",V69&lt;&gt;"N/A - Culvert"),"Not possible ▲",IF(VLOOKUP(V69,'G-7 WaterC'' Data'!$AA$4:$AB$7,2,FALSE)=0,"Spatial Data Missing ⚠",VLOOKUP(V69,'G-7 WaterC'' Data'!$AA$4:$AB$7,2,FALSE)))))</f>
        <v/>
      </c>
      <c r="X69" s="56"/>
      <c r="Y69" s="276" t="str">
        <f>IF(X69="","",IF(AND(X69="N/A - Culvert",C69&lt;&gt;"Culvert"),"Not possible ▲",IF(AND(C69="Culvert",X69&lt;&gt;"N/A - Culvert"),"Not possible ▲",IF(VLOOKUP(X69,'G-7 WaterC'' Data'!$AD$4:$AE$14,2,FALSE)=0,"Enrcoachment Data Missing ⚠",VLOOKUP(X69,'G-7 WaterC'' Data'!$AD$4:$AE$14,2,FALSE)))))</f>
        <v/>
      </c>
      <c r="Z69" s="317" t="str">
        <f t="shared" si="4"/>
        <v/>
      </c>
      <c r="AA69" s="101"/>
      <c r="AB69" s="115"/>
      <c r="AC69" s="104"/>
      <c r="AH69" s="30" t="str">
        <f>IFERROR(INDEX('G-7 WaterC'' Data'!$AZ$3:$AZ$7,MATCH(C69,'G-7 WaterC'' Data'!$AY$3:$AY$7,0)),"")</f>
        <v/>
      </c>
      <c r="AK69" s="30" t="str">
        <f t="shared" si="5"/>
        <v>No</v>
      </c>
    </row>
    <row r="70" spans="2:37" ht="14">
      <c r="B70" s="97">
        <v>59</v>
      </c>
      <c r="C70" s="920"/>
      <c r="D70" s="115"/>
      <c r="E70" s="275" t="str">
        <f>IF(C70="","",VLOOKUP(C70,'G-7 WaterC'' Data'!$B$2:$G$8,2,FALSE))</f>
        <v/>
      </c>
      <c r="F70" s="276" t="str">
        <f>IFERROR(VLOOKUP(E70,'G-7 WaterC'' Data'!$C$4:$D$8,2,FALSE),"")</f>
        <v/>
      </c>
      <c r="G70" s="101"/>
      <c r="H70" s="276" t="str">
        <f>IFERROR(INDEX('G-7 WaterC'' Data'!$H$4:$L$8,MATCH(C70,'G-7 WaterC'' Data'!$B$4:$B$8,0),MATCH(G70,'G-7 WaterC'' Data'!$H$3:$L$3,0)),"")</f>
        <v/>
      </c>
      <c r="I70" s="52"/>
      <c r="J70" s="283" t="str">
        <f>IF(I70="","",IF(VLOOKUP(I70,'G-7 WaterC'' Data'!$AK$4:$AM$6,2,FALSE)=0,"Spatial Data Missing ⚠",VLOOKUP(I70,'G-7 WaterC'' Data'!$AK$4:$AM$6,2,FALSE)))</f>
        <v/>
      </c>
      <c r="K70" s="276" t="str">
        <f>IF(I70="","",IF(VLOOKUP(I70,'G-7 WaterC'' Data'!$AK$4:$AM$6,3,FALSE)=0,"Spatial Data Missing ⚠",VLOOKUP(I70,'G-7 WaterC'' Data'!$AK$4:$AM$6,3,FALSE)))</f>
        <v/>
      </c>
      <c r="L70" s="275" t="str">
        <f>IFERROR(INDEX('G-7 WaterC'' Data'!$O$3:$O$7,MATCH(G70,'G-7 WaterC'' Data'!$N$3:$N$7,0)),"")</f>
        <v/>
      </c>
      <c r="M70" s="58"/>
      <c r="N70" s="133"/>
      <c r="O70" s="283" t="str">
        <f t="shared" si="0"/>
        <v/>
      </c>
      <c r="P70" s="296" t="str">
        <f t="shared" si="1"/>
        <v/>
      </c>
      <c r="Q70" s="334" t="str">
        <f>IFERROR(IF(P70="Check Data ⚠","Check Data ⚠",VLOOKUP(P70,'G-4 Temporal multipliers'!$A$4:$C$37,3,FALSE)),"")</f>
        <v/>
      </c>
      <c r="R70" s="275" t="str">
        <f>IF(C70="","",VLOOKUP(C70,'G-7 WaterC'' Data'!$B$4:$G$8,4,FALSE))</f>
        <v/>
      </c>
      <c r="S70" s="283" t="str">
        <f t="shared" si="2"/>
        <v/>
      </c>
      <c r="T70" s="314" t="str">
        <f t="shared" si="3"/>
        <v/>
      </c>
      <c r="U70" s="276" t="str">
        <f>IF(C70="","",VLOOKUP(T70,'G-3 Multipliers'!$P$2:$Q$6,2,FALSE))</f>
        <v/>
      </c>
      <c r="V70" s="102"/>
      <c r="W70" s="276" t="str">
        <f>IF(V70="","",IF(AND(V70="N/A - Culvert",C70&lt;&gt;"Culvert"),"Not possible ▲",IF(AND(C70="Culvert",V70&lt;&gt;"N/A - Culvert"),"Not possible ▲",IF(VLOOKUP(V70,'G-7 WaterC'' Data'!$AA$4:$AB$7,2,FALSE)=0,"Spatial Data Missing ⚠",VLOOKUP(V70,'G-7 WaterC'' Data'!$AA$4:$AB$7,2,FALSE)))))</f>
        <v/>
      </c>
      <c r="X70" s="56"/>
      <c r="Y70" s="276" t="str">
        <f>IF(X70="","",IF(AND(X70="N/A - Culvert",C70&lt;&gt;"Culvert"),"Not possible ▲",IF(AND(C70="Culvert",X70&lt;&gt;"N/A - Culvert"),"Not possible ▲",IF(VLOOKUP(X70,'G-7 WaterC'' Data'!$AD$4:$AE$14,2,FALSE)=0,"Enrcoachment Data Missing ⚠",VLOOKUP(X70,'G-7 WaterC'' Data'!$AD$4:$AE$14,2,FALSE)))))</f>
        <v/>
      </c>
      <c r="Z70" s="317" t="str">
        <f t="shared" si="4"/>
        <v/>
      </c>
      <c r="AA70" s="101"/>
      <c r="AB70" s="115"/>
      <c r="AC70" s="104"/>
      <c r="AH70" s="30" t="str">
        <f>IFERROR(INDEX('G-7 WaterC'' Data'!$AZ$3:$AZ$7,MATCH(C70,'G-7 WaterC'' Data'!$AY$3:$AY$7,0)),"")</f>
        <v/>
      </c>
      <c r="AK70" s="30" t="str">
        <f t="shared" si="5"/>
        <v>No</v>
      </c>
    </row>
    <row r="71" spans="2:37" ht="14">
      <c r="B71" s="97">
        <v>60</v>
      </c>
      <c r="C71" s="920"/>
      <c r="D71" s="115"/>
      <c r="E71" s="275" t="str">
        <f>IF(C71="","",VLOOKUP(C71,'G-7 WaterC'' Data'!$B$2:$G$8,2,FALSE))</f>
        <v/>
      </c>
      <c r="F71" s="276" t="str">
        <f>IFERROR(VLOOKUP(E71,'G-7 WaterC'' Data'!$C$4:$D$8,2,FALSE),"")</f>
        <v/>
      </c>
      <c r="G71" s="101"/>
      <c r="H71" s="276" t="str">
        <f>IFERROR(INDEX('G-7 WaterC'' Data'!$H$4:$L$8,MATCH(C71,'G-7 WaterC'' Data'!$B$4:$B$8,0),MATCH(G71,'G-7 WaterC'' Data'!$H$3:$L$3,0)),"")</f>
        <v/>
      </c>
      <c r="I71" s="52"/>
      <c r="J71" s="283" t="str">
        <f>IF(I71="","",IF(VLOOKUP(I71,'G-7 WaterC'' Data'!$AK$4:$AM$6,2,FALSE)=0,"Spatial Data Missing ⚠",VLOOKUP(I71,'G-7 WaterC'' Data'!$AK$4:$AM$6,2,FALSE)))</f>
        <v/>
      </c>
      <c r="K71" s="276" t="str">
        <f>IF(I71="","",IF(VLOOKUP(I71,'G-7 WaterC'' Data'!$AK$4:$AM$6,3,FALSE)=0,"Spatial Data Missing ⚠",VLOOKUP(I71,'G-7 WaterC'' Data'!$AK$4:$AM$6,3,FALSE)))</f>
        <v/>
      </c>
      <c r="L71" s="275" t="str">
        <f>IFERROR(INDEX('G-7 WaterC'' Data'!$O$3:$O$7,MATCH(G71,'G-7 WaterC'' Data'!$N$3:$N$7,0)),"")</f>
        <v/>
      </c>
      <c r="M71" s="58"/>
      <c r="N71" s="133"/>
      <c r="O71" s="283" t="str">
        <f t="shared" si="0"/>
        <v/>
      </c>
      <c r="P71" s="296" t="str">
        <f t="shared" si="1"/>
        <v/>
      </c>
      <c r="Q71" s="334" t="str">
        <f>IFERROR(IF(P71="Check Data ⚠","Check Data ⚠",VLOOKUP(P71,'G-4 Temporal multipliers'!$A$4:$C$37,3,FALSE)),"")</f>
        <v/>
      </c>
      <c r="R71" s="275" t="str">
        <f>IF(C71="","",VLOOKUP(C71,'G-7 WaterC'' Data'!$B$4:$G$8,4,FALSE))</f>
        <v/>
      </c>
      <c r="S71" s="283" t="str">
        <f t="shared" si="2"/>
        <v/>
      </c>
      <c r="T71" s="314" t="str">
        <f t="shared" si="3"/>
        <v/>
      </c>
      <c r="U71" s="276" t="str">
        <f>IF(C71="","",VLOOKUP(T71,'G-3 Multipliers'!$P$2:$Q$6,2,FALSE))</f>
        <v/>
      </c>
      <c r="V71" s="102"/>
      <c r="W71" s="276" t="str">
        <f>IF(V71="","",IF(AND(V71="N/A - Culvert",C71&lt;&gt;"Culvert"),"Not possible ▲",IF(AND(C71="Culvert",V71&lt;&gt;"N/A - Culvert"),"Not possible ▲",IF(VLOOKUP(V71,'G-7 WaterC'' Data'!$AA$4:$AB$7,2,FALSE)=0,"Spatial Data Missing ⚠",VLOOKUP(V71,'G-7 WaterC'' Data'!$AA$4:$AB$7,2,FALSE)))))</f>
        <v/>
      </c>
      <c r="X71" s="56"/>
      <c r="Y71" s="276" t="str">
        <f>IF(X71="","",IF(AND(X71="N/A - Culvert",C71&lt;&gt;"Culvert"),"Not possible ▲",IF(AND(C71="Culvert",X71&lt;&gt;"N/A - Culvert"),"Not possible ▲",IF(VLOOKUP(X71,'G-7 WaterC'' Data'!$AD$4:$AE$14,2,FALSE)=0,"Enrcoachment Data Missing ⚠",VLOOKUP(X71,'G-7 WaterC'' Data'!$AD$4:$AE$14,2,FALSE)))))</f>
        <v/>
      </c>
      <c r="Z71" s="317" t="str">
        <f t="shared" si="4"/>
        <v/>
      </c>
      <c r="AA71" s="101"/>
      <c r="AB71" s="115"/>
      <c r="AC71" s="104"/>
      <c r="AH71" s="30" t="str">
        <f>IFERROR(INDEX('G-7 WaterC'' Data'!$AZ$3:$AZ$7,MATCH(C71,'G-7 WaterC'' Data'!$AY$3:$AY$7,0)),"")</f>
        <v/>
      </c>
      <c r="AK71" s="30" t="str">
        <f t="shared" si="5"/>
        <v>No</v>
      </c>
    </row>
    <row r="72" spans="2:37" ht="14">
      <c r="B72" s="97">
        <v>61</v>
      </c>
      <c r="C72" s="920"/>
      <c r="D72" s="115"/>
      <c r="E72" s="275" t="str">
        <f>IF(C72="","",VLOOKUP(C72,'G-7 WaterC'' Data'!$B$2:$G$8,2,FALSE))</f>
        <v/>
      </c>
      <c r="F72" s="276" t="str">
        <f>IFERROR(VLOOKUP(E72,'G-7 WaterC'' Data'!$C$4:$D$8,2,FALSE),"")</f>
        <v/>
      </c>
      <c r="G72" s="101"/>
      <c r="H72" s="276" t="str">
        <f>IFERROR(INDEX('G-7 WaterC'' Data'!$H$4:$L$8,MATCH(C72,'G-7 WaterC'' Data'!$B$4:$B$8,0),MATCH(G72,'G-7 WaterC'' Data'!$H$3:$L$3,0)),"")</f>
        <v/>
      </c>
      <c r="I72" s="52"/>
      <c r="J72" s="283" t="str">
        <f>IF(I72="","",IF(VLOOKUP(I72,'G-7 WaterC'' Data'!$AK$4:$AM$6,2,FALSE)=0,"Spatial Data Missing ⚠",VLOOKUP(I72,'G-7 WaterC'' Data'!$AK$4:$AM$6,2,FALSE)))</f>
        <v/>
      </c>
      <c r="K72" s="276" t="str">
        <f>IF(I72="","",IF(VLOOKUP(I72,'G-7 WaterC'' Data'!$AK$4:$AM$6,3,FALSE)=0,"Spatial Data Missing ⚠",VLOOKUP(I72,'G-7 WaterC'' Data'!$AK$4:$AM$6,3,FALSE)))</f>
        <v/>
      </c>
      <c r="L72" s="275" t="str">
        <f>IFERROR(INDEX('G-7 WaterC'' Data'!$O$3:$O$7,MATCH(G72,'G-7 WaterC'' Data'!$N$3:$N$7,0)),"")</f>
        <v/>
      </c>
      <c r="M72" s="58"/>
      <c r="N72" s="133"/>
      <c r="O72" s="283" t="str">
        <f t="shared" si="0"/>
        <v/>
      </c>
      <c r="P72" s="296" t="str">
        <f t="shared" si="1"/>
        <v/>
      </c>
      <c r="Q72" s="334" t="str">
        <f>IFERROR(IF(P72="Check Data ⚠","Check Data ⚠",VLOOKUP(P72,'G-4 Temporal multipliers'!$A$4:$C$37,3,FALSE)),"")</f>
        <v/>
      </c>
      <c r="R72" s="275" t="str">
        <f>IF(C72="","",VLOOKUP(C72,'G-7 WaterC'' Data'!$B$4:$G$8,4,FALSE))</f>
        <v/>
      </c>
      <c r="S72" s="283" t="str">
        <f t="shared" si="2"/>
        <v/>
      </c>
      <c r="T72" s="314" t="str">
        <f t="shared" si="3"/>
        <v/>
      </c>
      <c r="U72" s="276" t="str">
        <f>IF(C72="","",VLOOKUP(T72,'G-3 Multipliers'!$P$2:$Q$6,2,FALSE))</f>
        <v/>
      </c>
      <c r="V72" s="102"/>
      <c r="W72" s="276" t="str">
        <f>IF(V72="","",IF(AND(V72="N/A - Culvert",C72&lt;&gt;"Culvert"),"Not possible ▲",IF(AND(C72="Culvert",V72&lt;&gt;"N/A - Culvert"),"Not possible ▲",IF(VLOOKUP(V72,'G-7 WaterC'' Data'!$AA$4:$AB$7,2,FALSE)=0,"Spatial Data Missing ⚠",VLOOKUP(V72,'G-7 WaterC'' Data'!$AA$4:$AB$7,2,FALSE)))))</f>
        <v/>
      </c>
      <c r="X72" s="56"/>
      <c r="Y72" s="276" t="str">
        <f>IF(X72="","",IF(AND(X72="N/A - Culvert",C72&lt;&gt;"Culvert"),"Not possible ▲",IF(AND(C72="Culvert",X72&lt;&gt;"N/A - Culvert"),"Not possible ▲",IF(VLOOKUP(X72,'G-7 WaterC'' Data'!$AD$4:$AE$14,2,FALSE)=0,"Enrcoachment Data Missing ⚠",VLOOKUP(X72,'G-7 WaterC'' Data'!$AD$4:$AE$14,2,FALSE)))))</f>
        <v/>
      </c>
      <c r="Z72" s="317" t="str">
        <f t="shared" si="4"/>
        <v/>
      </c>
      <c r="AA72" s="101"/>
      <c r="AB72" s="115"/>
      <c r="AC72" s="104"/>
      <c r="AH72" s="30" t="str">
        <f>IFERROR(INDEX('G-7 WaterC'' Data'!$AZ$3:$AZ$7,MATCH(C72,'G-7 WaterC'' Data'!$AY$3:$AY$7,0)),"")</f>
        <v/>
      </c>
      <c r="AK72" s="30" t="str">
        <f t="shared" si="5"/>
        <v>No</v>
      </c>
    </row>
    <row r="73" spans="2:37" ht="14">
      <c r="B73" s="97">
        <v>62</v>
      </c>
      <c r="C73" s="920"/>
      <c r="D73" s="115"/>
      <c r="E73" s="275" t="str">
        <f>IF(C73="","",VLOOKUP(C73,'G-7 WaterC'' Data'!$B$2:$G$8,2,FALSE))</f>
        <v/>
      </c>
      <c r="F73" s="276" t="str">
        <f>IFERROR(VLOOKUP(E73,'G-7 WaterC'' Data'!$C$4:$D$8,2,FALSE),"")</f>
        <v/>
      </c>
      <c r="G73" s="101"/>
      <c r="H73" s="276" t="str">
        <f>IFERROR(INDEX('G-7 WaterC'' Data'!$H$4:$L$8,MATCH(C73,'G-7 WaterC'' Data'!$B$4:$B$8,0),MATCH(G73,'G-7 WaterC'' Data'!$H$3:$L$3,0)),"")</f>
        <v/>
      </c>
      <c r="I73" s="52"/>
      <c r="J73" s="283" t="str">
        <f>IF(I73="","",IF(VLOOKUP(I73,'G-7 WaterC'' Data'!$AK$4:$AM$6,2,FALSE)=0,"Spatial Data Missing ⚠",VLOOKUP(I73,'G-7 WaterC'' Data'!$AK$4:$AM$6,2,FALSE)))</f>
        <v/>
      </c>
      <c r="K73" s="276" t="str">
        <f>IF(I73="","",IF(VLOOKUP(I73,'G-7 WaterC'' Data'!$AK$4:$AM$6,3,FALSE)=0,"Spatial Data Missing ⚠",VLOOKUP(I73,'G-7 WaterC'' Data'!$AK$4:$AM$6,3,FALSE)))</f>
        <v/>
      </c>
      <c r="L73" s="275" t="str">
        <f>IFERROR(INDEX('G-7 WaterC'' Data'!$O$3:$O$7,MATCH(G73,'G-7 WaterC'' Data'!$N$3:$N$7,0)),"")</f>
        <v/>
      </c>
      <c r="M73" s="58"/>
      <c r="N73" s="133"/>
      <c r="O73" s="283" t="str">
        <f t="shared" si="0"/>
        <v/>
      </c>
      <c r="P73" s="296" t="str">
        <f t="shared" si="1"/>
        <v/>
      </c>
      <c r="Q73" s="334" t="str">
        <f>IFERROR(IF(P73="Check Data ⚠","Check Data ⚠",VLOOKUP(P73,'G-4 Temporal multipliers'!$A$4:$C$37,3,FALSE)),"")</f>
        <v/>
      </c>
      <c r="R73" s="275" t="str">
        <f>IF(C73="","",VLOOKUP(C73,'G-7 WaterC'' Data'!$B$4:$G$8,4,FALSE))</f>
        <v/>
      </c>
      <c r="S73" s="283" t="str">
        <f t="shared" si="2"/>
        <v/>
      </c>
      <c r="T73" s="314" t="str">
        <f t="shared" si="3"/>
        <v/>
      </c>
      <c r="U73" s="276" t="str">
        <f>IF(C73="","",VLOOKUP(T73,'G-3 Multipliers'!$P$2:$Q$6,2,FALSE))</f>
        <v/>
      </c>
      <c r="V73" s="102"/>
      <c r="W73" s="276" t="str">
        <f>IF(V73="","",IF(AND(V73="N/A - Culvert",C73&lt;&gt;"Culvert"),"Not possible ▲",IF(AND(C73="Culvert",V73&lt;&gt;"N/A - Culvert"),"Not possible ▲",IF(VLOOKUP(V73,'G-7 WaterC'' Data'!$AA$4:$AB$7,2,FALSE)=0,"Spatial Data Missing ⚠",VLOOKUP(V73,'G-7 WaterC'' Data'!$AA$4:$AB$7,2,FALSE)))))</f>
        <v/>
      </c>
      <c r="X73" s="56"/>
      <c r="Y73" s="276" t="str">
        <f>IF(X73="","",IF(AND(X73="N/A - Culvert",C73&lt;&gt;"Culvert"),"Not possible ▲",IF(AND(C73="Culvert",X73&lt;&gt;"N/A - Culvert"),"Not possible ▲",IF(VLOOKUP(X73,'G-7 WaterC'' Data'!$AD$4:$AE$14,2,FALSE)=0,"Enrcoachment Data Missing ⚠",VLOOKUP(X73,'G-7 WaterC'' Data'!$AD$4:$AE$14,2,FALSE)))))</f>
        <v/>
      </c>
      <c r="Z73" s="317" t="str">
        <f t="shared" si="4"/>
        <v/>
      </c>
      <c r="AA73" s="101"/>
      <c r="AB73" s="115"/>
      <c r="AC73" s="104"/>
      <c r="AH73" s="30" t="str">
        <f>IFERROR(INDEX('G-7 WaterC'' Data'!$AZ$3:$AZ$7,MATCH(C73,'G-7 WaterC'' Data'!$AY$3:$AY$7,0)),"")</f>
        <v/>
      </c>
      <c r="AK73" s="30" t="str">
        <f t="shared" si="5"/>
        <v>No</v>
      </c>
    </row>
    <row r="74" spans="2:37" ht="14">
      <c r="B74" s="97">
        <v>63</v>
      </c>
      <c r="C74" s="920"/>
      <c r="D74" s="115"/>
      <c r="E74" s="275" t="str">
        <f>IF(C74="","",VLOOKUP(C74,'G-7 WaterC'' Data'!$B$2:$G$8,2,FALSE))</f>
        <v/>
      </c>
      <c r="F74" s="276" t="str">
        <f>IFERROR(VLOOKUP(E74,'G-7 WaterC'' Data'!$C$4:$D$8,2,FALSE),"")</f>
        <v/>
      </c>
      <c r="G74" s="101"/>
      <c r="H74" s="276" t="str">
        <f>IFERROR(INDEX('G-7 WaterC'' Data'!$H$4:$L$8,MATCH(C74,'G-7 WaterC'' Data'!$B$4:$B$8,0),MATCH(G74,'G-7 WaterC'' Data'!$H$3:$L$3,0)),"")</f>
        <v/>
      </c>
      <c r="I74" s="52"/>
      <c r="J74" s="283" t="str">
        <f>IF(I74="","",IF(VLOOKUP(I74,'G-7 WaterC'' Data'!$AK$4:$AM$6,2,FALSE)=0,"Spatial Data Missing ⚠",VLOOKUP(I74,'G-7 WaterC'' Data'!$AK$4:$AM$6,2,FALSE)))</f>
        <v/>
      </c>
      <c r="K74" s="276" t="str">
        <f>IF(I74="","",IF(VLOOKUP(I74,'G-7 WaterC'' Data'!$AK$4:$AM$6,3,FALSE)=0,"Spatial Data Missing ⚠",VLOOKUP(I74,'G-7 WaterC'' Data'!$AK$4:$AM$6,3,FALSE)))</f>
        <v/>
      </c>
      <c r="L74" s="275" t="str">
        <f>IFERROR(INDEX('G-7 WaterC'' Data'!$O$3:$O$7,MATCH(G74,'G-7 WaterC'' Data'!$N$3:$N$7,0)),"")</f>
        <v/>
      </c>
      <c r="M74" s="58"/>
      <c r="N74" s="133"/>
      <c r="O74" s="283" t="str">
        <f t="shared" si="0"/>
        <v/>
      </c>
      <c r="P74" s="296" t="str">
        <f t="shared" si="1"/>
        <v/>
      </c>
      <c r="Q74" s="334" t="str">
        <f>IFERROR(IF(P74="Check Data ⚠","Check Data ⚠",VLOOKUP(P74,'G-4 Temporal multipliers'!$A$4:$C$37,3,FALSE)),"")</f>
        <v/>
      </c>
      <c r="R74" s="275" t="str">
        <f>IF(C74="","",VLOOKUP(C74,'G-7 WaterC'' Data'!$B$4:$G$8,4,FALSE))</f>
        <v/>
      </c>
      <c r="S74" s="283" t="str">
        <f t="shared" si="2"/>
        <v/>
      </c>
      <c r="T74" s="314" t="str">
        <f t="shared" si="3"/>
        <v/>
      </c>
      <c r="U74" s="276" t="str">
        <f>IF(C74="","",VLOOKUP(T74,'G-3 Multipliers'!$P$2:$Q$6,2,FALSE))</f>
        <v/>
      </c>
      <c r="V74" s="102"/>
      <c r="W74" s="276" t="str">
        <f>IF(V74="","",IF(AND(V74="N/A - Culvert",C74&lt;&gt;"Culvert"),"Not possible ▲",IF(AND(C74="Culvert",V74&lt;&gt;"N/A - Culvert"),"Not possible ▲",IF(VLOOKUP(V74,'G-7 WaterC'' Data'!$AA$4:$AB$7,2,FALSE)=0,"Spatial Data Missing ⚠",VLOOKUP(V74,'G-7 WaterC'' Data'!$AA$4:$AB$7,2,FALSE)))))</f>
        <v/>
      </c>
      <c r="X74" s="56"/>
      <c r="Y74" s="276" t="str">
        <f>IF(X74="","",IF(AND(X74="N/A - Culvert",C74&lt;&gt;"Culvert"),"Not possible ▲",IF(AND(C74="Culvert",X74&lt;&gt;"N/A - Culvert"),"Not possible ▲",IF(VLOOKUP(X74,'G-7 WaterC'' Data'!$AD$4:$AE$14,2,FALSE)=0,"Enrcoachment Data Missing ⚠",VLOOKUP(X74,'G-7 WaterC'' Data'!$AD$4:$AE$14,2,FALSE)))))</f>
        <v/>
      </c>
      <c r="Z74" s="317" t="str">
        <f t="shared" si="4"/>
        <v/>
      </c>
      <c r="AA74" s="101"/>
      <c r="AB74" s="115"/>
      <c r="AC74" s="104"/>
      <c r="AH74" s="30" t="str">
        <f>IFERROR(INDEX('G-7 WaterC'' Data'!$AZ$3:$AZ$7,MATCH(C74,'G-7 WaterC'' Data'!$AY$3:$AY$7,0)),"")</f>
        <v/>
      </c>
      <c r="AK74" s="30" t="str">
        <f t="shared" si="5"/>
        <v>No</v>
      </c>
    </row>
    <row r="75" spans="2:37" ht="14">
      <c r="B75" s="97">
        <v>64</v>
      </c>
      <c r="C75" s="920"/>
      <c r="D75" s="115"/>
      <c r="E75" s="275" t="str">
        <f>IF(C75="","",VLOOKUP(C75,'G-7 WaterC'' Data'!$B$2:$G$8,2,FALSE))</f>
        <v/>
      </c>
      <c r="F75" s="276" t="str">
        <f>IFERROR(VLOOKUP(E75,'G-7 WaterC'' Data'!$C$4:$D$8,2,FALSE),"")</f>
        <v/>
      </c>
      <c r="G75" s="101"/>
      <c r="H75" s="276" t="str">
        <f>IFERROR(INDEX('G-7 WaterC'' Data'!$H$4:$L$8,MATCH(C75,'G-7 WaterC'' Data'!$B$4:$B$8,0),MATCH(G75,'G-7 WaterC'' Data'!$H$3:$L$3,0)),"")</f>
        <v/>
      </c>
      <c r="I75" s="52"/>
      <c r="J75" s="283" t="str">
        <f>IF(I75="","",IF(VLOOKUP(I75,'G-7 WaterC'' Data'!$AK$4:$AM$6,2,FALSE)=0,"Spatial Data Missing ⚠",VLOOKUP(I75,'G-7 WaterC'' Data'!$AK$4:$AM$6,2,FALSE)))</f>
        <v/>
      </c>
      <c r="K75" s="276" t="str">
        <f>IF(I75="","",IF(VLOOKUP(I75,'G-7 WaterC'' Data'!$AK$4:$AM$6,3,FALSE)=0,"Spatial Data Missing ⚠",VLOOKUP(I75,'G-7 WaterC'' Data'!$AK$4:$AM$6,3,FALSE)))</f>
        <v/>
      </c>
      <c r="L75" s="275" t="str">
        <f>IFERROR(INDEX('G-7 WaterC'' Data'!$O$3:$O$7,MATCH(G75,'G-7 WaterC'' Data'!$N$3:$N$7,0)),"")</f>
        <v/>
      </c>
      <c r="M75" s="58"/>
      <c r="N75" s="133"/>
      <c r="O75" s="283" t="str">
        <f t="shared" si="0"/>
        <v/>
      </c>
      <c r="P75" s="296" t="str">
        <f t="shared" si="1"/>
        <v/>
      </c>
      <c r="Q75" s="334" t="str">
        <f>IFERROR(IF(P75="Check Data ⚠","Check Data ⚠",VLOOKUP(P75,'G-4 Temporal multipliers'!$A$4:$C$37,3,FALSE)),"")</f>
        <v/>
      </c>
      <c r="R75" s="275" t="str">
        <f>IF(C75="","",VLOOKUP(C75,'G-7 WaterC'' Data'!$B$4:$G$8,4,FALSE))</f>
        <v/>
      </c>
      <c r="S75" s="283" t="str">
        <f t="shared" si="2"/>
        <v/>
      </c>
      <c r="T75" s="314" t="str">
        <f t="shared" si="3"/>
        <v/>
      </c>
      <c r="U75" s="276" t="str">
        <f>IF(C75="","",VLOOKUP(T75,'G-3 Multipliers'!$P$2:$Q$6,2,FALSE))</f>
        <v/>
      </c>
      <c r="V75" s="102"/>
      <c r="W75" s="276" t="str">
        <f>IF(V75="","",IF(AND(V75="N/A - Culvert",C75&lt;&gt;"Culvert"),"Not possible ▲",IF(AND(C75="Culvert",V75&lt;&gt;"N/A - Culvert"),"Not possible ▲",IF(VLOOKUP(V75,'G-7 WaterC'' Data'!$AA$4:$AB$7,2,FALSE)=0,"Spatial Data Missing ⚠",VLOOKUP(V75,'G-7 WaterC'' Data'!$AA$4:$AB$7,2,FALSE)))))</f>
        <v/>
      </c>
      <c r="X75" s="56"/>
      <c r="Y75" s="276" t="str">
        <f>IF(X75="","",IF(AND(X75="N/A - Culvert",C75&lt;&gt;"Culvert"),"Not possible ▲",IF(AND(C75="Culvert",X75&lt;&gt;"N/A - Culvert"),"Not possible ▲",IF(VLOOKUP(X75,'G-7 WaterC'' Data'!$AD$4:$AE$14,2,FALSE)=0,"Enrcoachment Data Missing ⚠",VLOOKUP(X75,'G-7 WaterC'' Data'!$AD$4:$AE$14,2,FALSE)))))</f>
        <v/>
      </c>
      <c r="Z75" s="317" t="str">
        <f t="shared" si="4"/>
        <v/>
      </c>
      <c r="AA75" s="101"/>
      <c r="AB75" s="115"/>
      <c r="AC75" s="104"/>
      <c r="AH75" s="30" t="str">
        <f>IFERROR(INDEX('G-7 WaterC'' Data'!$AZ$3:$AZ$7,MATCH(C75,'G-7 WaterC'' Data'!$AY$3:$AY$7,0)),"")</f>
        <v/>
      </c>
      <c r="AK75" s="30" t="str">
        <f t="shared" si="5"/>
        <v>No</v>
      </c>
    </row>
    <row r="76" spans="2:37" ht="14">
      <c r="B76" s="97">
        <v>65</v>
      </c>
      <c r="C76" s="920"/>
      <c r="D76" s="115"/>
      <c r="E76" s="275" t="str">
        <f>IF(C76="","",VLOOKUP(C76,'G-7 WaterC'' Data'!$B$2:$G$8,2,FALSE))</f>
        <v/>
      </c>
      <c r="F76" s="276" t="str">
        <f>IFERROR(VLOOKUP(E76,'G-7 WaterC'' Data'!$C$4:$D$8,2,FALSE),"")</f>
        <v/>
      </c>
      <c r="G76" s="101"/>
      <c r="H76" s="276" t="str">
        <f>IFERROR(INDEX('G-7 WaterC'' Data'!$H$4:$L$8,MATCH(C76,'G-7 WaterC'' Data'!$B$4:$B$8,0),MATCH(G76,'G-7 WaterC'' Data'!$H$3:$L$3,0)),"")</f>
        <v/>
      </c>
      <c r="I76" s="52"/>
      <c r="J76" s="283" t="str">
        <f>IF(I76="","",IF(VLOOKUP(I76,'G-7 WaterC'' Data'!$AK$4:$AM$6,2,FALSE)=0,"Spatial Data Missing ⚠",VLOOKUP(I76,'G-7 WaterC'' Data'!$AK$4:$AM$6,2,FALSE)))</f>
        <v/>
      </c>
      <c r="K76" s="276" t="str">
        <f>IF(I76="","",IF(VLOOKUP(I76,'G-7 WaterC'' Data'!$AK$4:$AM$6,3,FALSE)=0,"Spatial Data Missing ⚠",VLOOKUP(I76,'G-7 WaterC'' Data'!$AK$4:$AM$6,3,FALSE)))</f>
        <v/>
      </c>
      <c r="L76" s="275" t="str">
        <f>IFERROR(INDEX('G-7 WaterC'' Data'!$O$3:$O$7,MATCH(G76,'G-7 WaterC'' Data'!$N$3:$N$7,0)),"")</f>
        <v/>
      </c>
      <c r="M76" s="58"/>
      <c r="N76" s="133"/>
      <c r="O76" s="283" t="str">
        <f t="shared" si="0"/>
        <v/>
      </c>
      <c r="P76" s="296" t="str">
        <f t="shared" si="1"/>
        <v/>
      </c>
      <c r="Q76" s="334" t="str">
        <f>IFERROR(IF(P76="Check Data ⚠","Check Data ⚠",VLOOKUP(P76,'G-4 Temporal multipliers'!$A$4:$C$37,3,FALSE)),"")</f>
        <v/>
      </c>
      <c r="R76" s="275" t="str">
        <f>IF(C76="","",VLOOKUP(C76,'G-7 WaterC'' Data'!$B$4:$G$8,4,FALSE))</f>
        <v/>
      </c>
      <c r="S76" s="283" t="str">
        <f t="shared" si="2"/>
        <v/>
      </c>
      <c r="T76" s="314" t="str">
        <f t="shared" si="3"/>
        <v/>
      </c>
      <c r="U76" s="276" t="str">
        <f>IF(C76="","",VLOOKUP(T76,'G-3 Multipliers'!$P$2:$Q$6,2,FALSE))</f>
        <v/>
      </c>
      <c r="V76" s="102"/>
      <c r="W76" s="276" t="str">
        <f>IF(V76="","",IF(AND(V76="N/A - Culvert",C76&lt;&gt;"Culvert"),"Not possible ▲",IF(AND(C76="Culvert",V76&lt;&gt;"N/A - Culvert"),"Not possible ▲",IF(VLOOKUP(V76,'G-7 WaterC'' Data'!$AA$4:$AB$7,2,FALSE)=0,"Spatial Data Missing ⚠",VLOOKUP(V76,'G-7 WaterC'' Data'!$AA$4:$AB$7,2,FALSE)))))</f>
        <v/>
      </c>
      <c r="X76" s="56"/>
      <c r="Y76" s="276" t="str">
        <f>IF(X76="","",IF(AND(X76="N/A - Culvert",C76&lt;&gt;"Culvert"),"Not possible ▲",IF(AND(C76="Culvert",X76&lt;&gt;"N/A - Culvert"),"Not possible ▲",IF(VLOOKUP(X76,'G-7 WaterC'' Data'!$AD$4:$AE$14,2,FALSE)=0,"Enrcoachment Data Missing ⚠",VLOOKUP(X76,'G-7 WaterC'' Data'!$AD$4:$AE$14,2,FALSE)))))</f>
        <v/>
      </c>
      <c r="Z76" s="317" t="str">
        <f t="shared" si="4"/>
        <v/>
      </c>
      <c r="AA76" s="101"/>
      <c r="AB76" s="115"/>
      <c r="AC76" s="104"/>
      <c r="AH76" s="30" t="str">
        <f>IFERROR(INDEX('G-7 WaterC'' Data'!$AZ$3:$AZ$7,MATCH(C76,'G-7 WaterC'' Data'!$AY$3:$AY$7,0)),"")</f>
        <v/>
      </c>
      <c r="AK76" s="30" t="str">
        <f t="shared" si="5"/>
        <v>No</v>
      </c>
    </row>
    <row r="77" spans="2:37" ht="14">
      <c r="B77" s="97">
        <v>66</v>
      </c>
      <c r="C77" s="920"/>
      <c r="D77" s="115"/>
      <c r="E77" s="275" t="str">
        <f>IF(C77="","",VLOOKUP(C77,'G-7 WaterC'' Data'!$B$2:$G$8,2,FALSE))</f>
        <v/>
      </c>
      <c r="F77" s="276" t="str">
        <f>IFERROR(VLOOKUP(E77,'G-7 WaterC'' Data'!$C$4:$D$8,2,FALSE),"")</f>
        <v/>
      </c>
      <c r="G77" s="101"/>
      <c r="H77" s="276" t="str">
        <f>IFERROR(INDEX('G-7 WaterC'' Data'!$H$4:$L$8,MATCH(C77,'G-7 WaterC'' Data'!$B$4:$B$8,0),MATCH(G77,'G-7 WaterC'' Data'!$H$3:$L$3,0)),"")</f>
        <v/>
      </c>
      <c r="I77" s="52"/>
      <c r="J77" s="283" t="str">
        <f>IF(I77="","",IF(VLOOKUP(I77,'G-7 WaterC'' Data'!$AK$4:$AM$6,2,FALSE)=0,"Spatial Data Missing ⚠",VLOOKUP(I77,'G-7 WaterC'' Data'!$AK$4:$AM$6,2,FALSE)))</f>
        <v/>
      </c>
      <c r="K77" s="276" t="str">
        <f>IF(I77="","",IF(VLOOKUP(I77,'G-7 WaterC'' Data'!$AK$4:$AM$6,3,FALSE)=0,"Spatial Data Missing ⚠",VLOOKUP(I77,'G-7 WaterC'' Data'!$AK$4:$AM$6,3,FALSE)))</f>
        <v/>
      </c>
      <c r="L77" s="275" t="str">
        <f>IFERROR(INDEX('G-7 WaterC'' Data'!$O$3:$O$7,MATCH(G77,'G-7 WaterC'' Data'!$N$3:$N$7,0)),"")</f>
        <v/>
      </c>
      <c r="M77" s="58"/>
      <c r="N77" s="133"/>
      <c r="O77" s="283" t="str">
        <f t="shared" si="6" ref="O77:O140">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296" t="str">
        <f t="shared" si="7" ref="P77:P140">IF(O77="Error -both advance and delayed habitat creation ▲","Check Data ⚠",IF(L77="","",IF(M77="30+",0,IF(N77="30+","30+",IF(L77+N77&gt;30,"30+ ",IF(L77+N77-M77&gt;0,L77+N77-M77,IF(L77-M77&lt;0,0,L77+N77-M77)))))))</f>
        <v/>
      </c>
      <c r="Q77" s="334" t="str">
        <f>IFERROR(IF(P77="Check Data ⚠","Check Data ⚠",VLOOKUP(P77,'G-4 Temporal multipliers'!$A$4:$C$37,3,FALSE)),"")</f>
        <v/>
      </c>
      <c r="R77" s="275" t="str">
        <f>IF(C77="","",VLOOKUP(C77,'G-7 WaterC'' Data'!$B$4:$G$8,4,FALSE))</f>
        <v/>
      </c>
      <c r="S77" s="283" t="str">
        <f t="shared" si="8" ref="S77:S140">IF(C77="","",IF(P77="Check Data ⚠","Check Data ⚠",IF(G77="","",IF($O77="Check details - Is there evidence that habitat has reached target condition? ⚠","Low Difficulty - only applicable if all habitat created before losses ⚠","Standard difficulty applied"))))</f>
        <v/>
      </c>
      <c r="T77" s="314" t="str">
        <f t="shared" si="9" ref="T77:T140">(IF(AND(S77="Standard difficulty applied",L77&gt;M77),R77,IF(AND(S77="Low Difficulty - only applicable if all habitat created before losses ⚠",M77&gt;=L77),"Low",R77)))</f>
        <v/>
      </c>
      <c r="U77" s="276" t="str">
        <f>IF(C77="","",VLOOKUP(T77,'G-3 Multipliers'!$P$2:$Q$6,2,FALSE))</f>
        <v/>
      </c>
      <c r="V77" s="102"/>
      <c r="W77" s="276" t="str">
        <f>IF(V77="","",IF(AND(V77="N/A - Culvert",C77&lt;&gt;"Culvert"),"Not possible ▲",IF(AND(C77="Culvert",V77&lt;&gt;"N/A - Culvert"),"Not possible ▲",IF(VLOOKUP(V77,'G-7 WaterC'' Data'!$AA$4:$AB$7,2,FALSE)=0,"Spatial Data Missing ⚠",VLOOKUP(V77,'G-7 WaterC'' Data'!$AA$4:$AB$7,2,FALSE)))))</f>
        <v/>
      </c>
      <c r="X77" s="56"/>
      <c r="Y77" s="276" t="str">
        <f>IF(X77="","",IF(AND(X77="N/A - Culvert",C77&lt;&gt;"Culvert"),"Not possible ▲",IF(AND(C77="Culvert",X77&lt;&gt;"N/A - Culvert"),"Not possible ▲",IF(VLOOKUP(X77,'G-7 WaterC'' Data'!$AD$4:$AE$14,2,FALSE)=0,"Enrcoachment Data Missing ⚠",VLOOKUP(X77,'G-7 WaterC'' Data'!$AD$4:$AE$14,2,FALSE)))))</f>
        <v/>
      </c>
      <c r="Z77" s="317" t="str">
        <f t="shared" si="10" ref="Z77:Z140">IFERROR(IF(C77="","",D77*F77*H77*K77*Q77*U77*Y77*W77),"")</f>
        <v/>
      </c>
      <c r="AA77" s="101"/>
      <c r="AB77" s="115"/>
      <c r="AC77" s="104"/>
      <c r="AH77" s="30" t="str">
        <f>IFERROR(INDEX('G-7 WaterC'' Data'!$AZ$3:$AZ$7,MATCH(C77,'G-7 WaterC'' Data'!$AY$3:$AY$7,0)),"")</f>
        <v/>
      </c>
      <c r="AK77" s="30" t="str">
        <f t="shared" si="11" ref="AK77:AK140">IF(AND(C77="Ditches",(OR(G77="Fairly Poor",G77="Fairly Good"))),"Yes","No")</f>
        <v>No</v>
      </c>
    </row>
    <row r="78" spans="2:37" ht="14">
      <c r="B78" s="97">
        <v>67</v>
      </c>
      <c r="C78" s="920"/>
      <c r="D78" s="115"/>
      <c r="E78" s="275" t="str">
        <f>IF(C78="","",VLOOKUP(C78,'G-7 WaterC'' Data'!$B$2:$G$8,2,FALSE))</f>
        <v/>
      </c>
      <c r="F78" s="276" t="str">
        <f>IFERROR(VLOOKUP(E78,'G-7 WaterC'' Data'!$C$4:$D$8,2,FALSE),"")</f>
        <v/>
      </c>
      <c r="G78" s="101"/>
      <c r="H78" s="276" t="str">
        <f>IFERROR(INDEX('G-7 WaterC'' Data'!$H$4:$L$8,MATCH(C78,'G-7 WaterC'' Data'!$B$4:$B$8,0),MATCH(G78,'G-7 WaterC'' Data'!$H$3:$L$3,0)),"")</f>
        <v/>
      </c>
      <c r="I78" s="52"/>
      <c r="J78" s="283" t="str">
        <f>IF(I78="","",IF(VLOOKUP(I78,'G-7 WaterC'' Data'!$AK$4:$AM$6,2,FALSE)=0,"Spatial Data Missing ⚠",VLOOKUP(I78,'G-7 WaterC'' Data'!$AK$4:$AM$6,2,FALSE)))</f>
        <v/>
      </c>
      <c r="K78" s="276" t="str">
        <f>IF(I78="","",IF(VLOOKUP(I78,'G-7 WaterC'' Data'!$AK$4:$AM$6,3,FALSE)=0,"Spatial Data Missing ⚠",VLOOKUP(I78,'G-7 WaterC'' Data'!$AK$4:$AM$6,3,FALSE)))</f>
        <v/>
      </c>
      <c r="L78" s="275" t="str">
        <f>IFERROR(INDEX('G-7 WaterC'' Data'!$O$3:$O$7,MATCH(G78,'G-7 WaterC'' Data'!$N$3:$N$7,0)),"")</f>
        <v/>
      </c>
      <c r="M78" s="58"/>
      <c r="N78" s="133"/>
      <c r="O78" s="283" t="str">
        <f t="shared" si="6"/>
        <v/>
      </c>
      <c r="P78" s="296" t="str">
        <f t="shared" si="7"/>
        <v/>
      </c>
      <c r="Q78" s="334" t="str">
        <f>IFERROR(IF(P78="Check Data ⚠","Check Data ⚠",VLOOKUP(P78,'G-4 Temporal multipliers'!$A$4:$C$37,3,FALSE)),"")</f>
        <v/>
      </c>
      <c r="R78" s="275" t="str">
        <f>IF(C78="","",VLOOKUP(C78,'G-7 WaterC'' Data'!$B$4:$G$8,4,FALSE))</f>
        <v/>
      </c>
      <c r="S78" s="283" t="str">
        <f t="shared" si="8"/>
        <v/>
      </c>
      <c r="T78" s="314" t="str">
        <f t="shared" si="9"/>
        <v/>
      </c>
      <c r="U78" s="276" t="str">
        <f>IF(C78="","",VLOOKUP(T78,'G-3 Multipliers'!$P$2:$Q$6,2,FALSE))</f>
        <v/>
      </c>
      <c r="V78" s="102"/>
      <c r="W78" s="276" t="str">
        <f>IF(V78="","",IF(AND(V78="N/A - Culvert",C78&lt;&gt;"Culvert"),"Not possible ▲",IF(AND(C78="Culvert",V78&lt;&gt;"N/A - Culvert"),"Not possible ▲",IF(VLOOKUP(V78,'G-7 WaterC'' Data'!$AA$4:$AB$7,2,FALSE)=0,"Spatial Data Missing ⚠",VLOOKUP(V78,'G-7 WaterC'' Data'!$AA$4:$AB$7,2,FALSE)))))</f>
        <v/>
      </c>
      <c r="X78" s="56"/>
      <c r="Y78" s="276" t="str">
        <f>IF(X78="","",IF(AND(X78="N/A - Culvert",C78&lt;&gt;"Culvert"),"Not possible ▲",IF(AND(C78="Culvert",X78&lt;&gt;"N/A - Culvert"),"Not possible ▲",IF(VLOOKUP(X78,'G-7 WaterC'' Data'!$AD$4:$AE$14,2,FALSE)=0,"Enrcoachment Data Missing ⚠",VLOOKUP(X78,'G-7 WaterC'' Data'!$AD$4:$AE$14,2,FALSE)))))</f>
        <v/>
      </c>
      <c r="Z78" s="317" t="str">
        <f t="shared" si="10"/>
        <v/>
      </c>
      <c r="AA78" s="101"/>
      <c r="AB78" s="115"/>
      <c r="AC78" s="104"/>
      <c r="AH78" s="30" t="str">
        <f>IFERROR(INDEX('G-7 WaterC'' Data'!$AZ$3:$AZ$7,MATCH(C78,'G-7 WaterC'' Data'!$AY$3:$AY$7,0)),"")</f>
        <v/>
      </c>
      <c r="AK78" s="30" t="str">
        <f t="shared" si="11"/>
        <v>No</v>
      </c>
    </row>
    <row r="79" spans="2:37" ht="14">
      <c r="B79" s="97">
        <v>68</v>
      </c>
      <c r="C79" s="920"/>
      <c r="D79" s="115"/>
      <c r="E79" s="275" t="str">
        <f>IF(C79="","",VLOOKUP(C79,'G-7 WaterC'' Data'!$B$2:$G$8,2,FALSE))</f>
        <v/>
      </c>
      <c r="F79" s="276" t="str">
        <f>IFERROR(VLOOKUP(E79,'G-7 WaterC'' Data'!$C$4:$D$8,2,FALSE),"")</f>
        <v/>
      </c>
      <c r="G79" s="101"/>
      <c r="H79" s="276" t="str">
        <f>IFERROR(INDEX('G-7 WaterC'' Data'!$H$4:$L$8,MATCH(C79,'G-7 WaterC'' Data'!$B$4:$B$8,0),MATCH(G79,'G-7 WaterC'' Data'!$H$3:$L$3,0)),"")</f>
        <v/>
      </c>
      <c r="I79" s="52"/>
      <c r="J79" s="283" t="str">
        <f>IF(I79="","",IF(VLOOKUP(I79,'G-7 WaterC'' Data'!$AK$4:$AM$6,2,FALSE)=0,"Spatial Data Missing ⚠",VLOOKUP(I79,'G-7 WaterC'' Data'!$AK$4:$AM$6,2,FALSE)))</f>
        <v/>
      </c>
      <c r="K79" s="276" t="str">
        <f>IF(I79="","",IF(VLOOKUP(I79,'G-7 WaterC'' Data'!$AK$4:$AM$6,3,FALSE)=0,"Spatial Data Missing ⚠",VLOOKUP(I79,'G-7 WaterC'' Data'!$AK$4:$AM$6,3,FALSE)))</f>
        <v/>
      </c>
      <c r="L79" s="275" t="str">
        <f>IFERROR(INDEX('G-7 WaterC'' Data'!$O$3:$O$7,MATCH(G79,'G-7 WaterC'' Data'!$N$3:$N$7,0)),"")</f>
        <v/>
      </c>
      <c r="M79" s="58"/>
      <c r="N79" s="133"/>
      <c r="O79" s="283" t="str">
        <f t="shared" si="6"/>
        <v/>
      </c>
      <c r="P79" s="296" t="str">
        <f t="shared" si="7"/>
        <v/>
      </c>
      <c r="Q79" s="334" t="str">
        <f>IFERROR(IF(P79="Check Data ⚠","Check Data ⚠",VLOOKUP(P79,'G-4 Temporal multipliers'!$A$4:$C$37,3,FALSE)),"")</f>
        <v/>
      </c>
      <c r="R79" s="275" t="str">
        <f>IF(C79="","",VLOOKUP(C79,'G-7 WaterC'' Data'!$B$4:$G$8,4,FALSE))</f>
        <v/>
      </c>
      <c r="S79" s="283" t="str">
        <f t="shared" si="8"/>
        <v/>
      </c>
      <c r="T79" s="314" t="str">
        <f t="shared" si="9"/>
        <v/>
      </c>
      <c r="U79" s="276" t="str">
        <f>IF(C79="","",VLOOKUP(T79,'G-3 Multipliers'!$P$2:$Q$6,2,FALSE))</f>
        <v/>
      </c>
      <c r="V79" s="102"/>
      <c r="W79" s="276" t="str">
        <f>IF(V79="","",IF(AND(V79="N/A - Culvert",C79&lt;&gt;"Culvert"),"Not possible ▲",IF(AND(C79="Culvert",V79&lt;&gt;"N/A - Culvert"),"Not possible ▲",IF(VLOOKUP(V79,'G-7 WaterC'' Data'!$AA$4:$AB$7,2,FALSE)=0,"Spatial Data Missing ⚠",VLOOKUP(V79,'G-7 WaterC'' Data'!$AA$4:$AB$7,2,FALSE)))))</f>
        <v/>
      </c>
      <c r="X79" s="56"/>
      <c r="Y79" s="276" t="str">
        <f>IF(X79="","",IF(AND(X79="N/A - Culvert",C79&lt;&gt;"Culvert"),"Not possible ▲",IF(AND(C79="Culvert",X79&lt;&gt;"N/A - Culvert"),"Not possible ▲",IF(VLOOKUP(X79,'G-7 WaterC'' Data'!$AD$4:$AE$14,2,FALSE)=0,"Enrcoachment Data Missing ⚠",VLOOKUP(X79,'G-7 WaterC'' Data'!$AD$4:$AE$14,2,FALSE)))))</f>
        <v/>
      </c>
      <c r="Z79" s="317" t="str">
        <f t="shared" si="10"/>
        <v/>
      </c>
      <c r="AA79" s="101"/>
      <c r="AB79" s="115"/>
      <c r="AC79" s="104"/>
      <c r="AH79" s="30" t="str">
        <f>IFERROR(INDEX('G-7 WaterC'' Data'!$AZ$3:$AZ$7,MATCH(C79,'G-7 WaterC'' Data'!$AY$3:$AY$7,0)),"")</f>
        <v/>
      </c>
      <c r="AK79" s="30" t="str">
        <f t="shared" si="11"/>
        <v>No</v>
      </c>
    </row>
    <row r="80" spans="2:37" ht="14">
      <c r="B80" s="97">
        <v>69</v>
      </c>
      <c r="C80" s="920"/>
      <c r="D80" s="115"/>
      <c r="E80" s="275" t="str">
        <f>IF(C80="","",VLOOKUP(C80,'G-7 WaterC'' Data'!$B$2:$G$8,2,FALSE))</f>
        <v/>
      </c>
      <c r="F80" s="276" t="str">
        <f>IFERROR(VLOOKUP(E80,'G-7 WaterC'' Data'!$C$4:$D$8,2,FALSE),"")</f>
        <v/>
      </c>
      <c r="G80" s="101"/>
      <c r="H80" s="276" t="str">
        <f>IFERROR(INDEX('G-7 WaterC'' Data'!$H$4:$L$8,MATCH(C80,'G-7 WaterC'' Data'!$B$4:$B$8,0),MATCH(G80,'G-7 WaterC'' Data'!$H$3:$L$3,0)),"")</f>
        <v/>
      </c>
      <c r="I80" s="52"/>
      <c r="J80" s="283" t="str">
        <f>IF(I80="","",IF(VLOOKUP(I80,'G-7 WaterC'' Data'!$AK$4:$AM$6,2,FALSE)=0,"Spatial Data Missing ⚠",VLOOKUP(I80,'G-7 WaterC'' Data'!$AK$4:$AM$6,2,FALSE)))</f>
        <v/>
      </c>
      <c r="K80" s="276" t="str">
        <f>IF(I80="","",IF(VLOOKUP(I80,'G-7 WaterC'' Data'!$AK$4:$AM$6,3,FALSE)=0,"Spatial Data Missing ⚠",VLOOKUP(I80,'G-7 WaterC'' Data'!$AK$4:$AM$6,3,FALSE)))</f>
        <v/>
      </c>
      <c r="L80" s="275" t="str">
        <f>IFERROR(INDEX('G-7 WaterC'' Data'!$O$3:$O$7,MATCH(G80,'G-7 WaterC'' Data'!$N$3:$N$7,0)),"")</f>
        <v/>
      </c>
      <c r="M80" s="58"/>
      <c r="N80" s="133"/>
      <c r="O80" s="283" t="str">
        <f t="shared" si="6"/>
        <v/>
      </c>
      <c r="P80" s="296" t="str">
        <f t="shared" si="7"/>
        <v/>
      </c>
      <c r="Q80" s="334" t="str">
        <f>IFERROR(IF(P80="Check Data ⚠","Check Data ⚠",VLOOKUP(P80,'G-4 Temporal multipliers'!$A$4:$C$37,3,FALSE)),"")</f>
        <v/>
      </c>
      <c r="R80" s="275" t="str">
        <f>IF(C80="","",VLOOKUP(C80,'G-7 WaterC'' Data'!$B$4:$G$8,4,FALSE))</f>
        <v/>
      </c>
      <c r="S80" s="283" t="str">
        <f t="shared" si="8"/>
        <v/>
      </c>
      <c r="T80" s="314" t="str">
        <f t="shared" si="9"/>
        <v/>
      </c>
      <c r="U80" s="276" t="str">
        <f>IF(C80="","",VLOOKUP(T80,'G-3 Multipliers'!$P$2:$Q$6,2,FALSE))</f>
        <v/>
      </c>
      <c r="V80" s="102"/>
      <c r="W80" s="276" t="str">
        <f>IF(V80="","",IF(AND(V80="N/A - Culvert",C80&lt;&gt;"Culvert"),"Not possible ▲",IF(AND(C80="Culvert",V80&lt;&gt;"N/A - Culvert"),"Not possible ▲",IF(VLOOKUP(V80,'G-7 WaterC'' Data'!$AA$4:$AB$7,2,FALSE)=0,"Spatial Data Missing ⚠",VLOOKUP(V80,'G-7 WaterC'' Data'!$AA$4:$AB$7,2,FALSE)))))</f>
        <v/>
      </c>
      <c r="X80" s="56"/>
      <c r="Y80" s="276" t="str">
        <f>IF(X80="","",IF(AND(X80="N/A - Culvert",C80&lt;&gt;"Culvert"),"Not possible ▲",IF(AND(C80="Culvert",X80&lt;&gt;"N/A - Culvert"),"Not possible ▲",IF(VLOOKUP(X80,'G-7 WaterC'' Data'!$AD$4:$AE$14,2,FALSE)=0,"Enrcoachment Data Missing ⚠",VLOOKUP(X80,'G-7 WaterC'' Data'!$AD$4:$AE$14,2,FALSE)))))</f>
        <v/>
      </c>
      <c r="Z80" s="317" t="str">
        <f t="shared" si="10"/>
        <v/>
      </c>
      <c r="AA80" s="101"/>
      <c r="AB80" s="115"/>
      <c r="AC80" s="104"/>
      <c r="AH80" s="30" t="str">
        <f>IFERROR(INDEX('G-7 WaterC'' Data'!$AZ$3:$AZ$7,MATCH(C80,'G-7 WaterC'' Data'!$AY$3:$AY$7,0)),"")</f>
        <v/>
      </c>
      <c r="AK80" s="30" t="str">
        <f t="shared" si="11"/>
        <v>No</v>
      </c>
    </row>
    <row r="81" spans="2:37" ht="14">
      <c r="B81" s="97">
        <v>70</v>
      </c>
      <c r="C81" s="920"/>
      <c r="D81" s="115"/>
      <c r="E81" s="275" t="str">
        <f>IF(C81="","",VLOOKUP(C81,'G-7 WaterC'' Data'!$B$2:$G$8,2,FALSE))</f>
        <v/>
      </c>
      <c r="F81" s="276" t="str">
        <f>IFERROR(VLOOKUP(E81,'G-7 WaterC'' Data'!$C$4:$D$8,2,FALSE),"")</f>
        <v/>
      </c>
      <c r="G81" s="101"/>
      <c r="H81" s="276" t="str">
        <f>IFERROR(INDEX('G-7 WaterC'' Data'!$H$4:$L$8,MATCH(C81,'G-7 WaterC'' Data'!$B$4:$B$8,0),MATCH(G81,'G-7 WaterC'' Data'!$H$3:$L$3,0)),"")</f>
        <v/>
      </c>
      <c r="I81" s="52"/>
      <c r="J81" s="283" t="str">
        <f>IF(I81="","",IF(VLOOKUP(I81,'G-7 WaterC'' Data'!$AK$4:$AM$6,2,FALSE)=0,"Spatial Data Missing ⚠",VLOOKUP(I81,'G-7 WaterC'' Data'!$AK$4:$AM$6,2,FALSE)))</f>
        <v/>
      </c>
      <c r="K81" s="276" t="str">
        <f>IF(I81="","",IF(VLOOKUP(I81,'G-7 WaterC'' Data'!$AK$4:$AM$6,3,FALSE)=0,"Spatial Data Missing ⚠",VLOOKUP(I81,'G-7 WaterC'' Data'!$AK$4:$AM$6,3,FALSE)))</f>
        <v/>
      </c>
      <c r="L81" s="275" t="str">
        <f>IFERROR(INDEX('G-7 WaterC'' Data'!$O$3:$O$7,MATCH(G81,'G-7 WaterC'' Data'!$N$3:$N$7,0)),"")</f>
        <v/>
      </c>
      <c r="M81" s="58"/>
      <c r="N81" s="133"/>
      <c r="O81" s="283" t="str">
        <f t="shared" si="6"/>
        <v/>
      </c>
      <c r="P81" s="296" t="str">
        <f t="shared" si="7"/>
        <v/>
      </c>
      <c r="Q81" s="334" t="str">
        <f>IFERROR(IF(P81="Check Data ⚠","Check Data ⚠",VLOOKUP(P81,'G-4 Temporal multipliers'!$A$4:$C$37,3,FALSE)),"")</f>
        <v/>
      </c>
      <c r="R81" s="275" t="str">
        <f>IF(C81="","",VLOOKUP(C81,'G-7 WaterC'' Data'!$B$4:$G$8,4,FALSE))</f>
        <v/>
      </c>
      <c r="S81" s="283" t="str">
        <f t="shared" si="8"/>
        <v/>
      </c>
      <c r="T81" s="314" t="str">
        <f t="shared" si="9"/>
        <v/>
      </c>
      <c r="U81" s="276" t="str">
        <f>IF(C81="","",VLOOKUP(T81,'G-3 Multipliers'!$P$2:$Q$6,2,FALSE))</f>
        <v/>
      </c>
      <c r="V81" s="102"/>
      <c r="W81" s="276" t="str">
        <f>IF(V81="","",IF(AND(V81="N/A - Culvert",C81&lt;&gt;"Culvert"),"Not possible ▲",IF(AND(C81="Culvert",V81&lt;&gt;"N/A - Culvert"),"Not possible ▲",IF(VLOOKUP(V81,'G-7 WaterC'' Data'!$AA$4:$AB$7,2,FALSE)=0,"Spatial Data Missing ⚠",VLOOKUP(V81,'G-7 WaterC'' Data'!$AA$4:$AB$7,2,FALSE)))))</f>
        <v/>
      </c>
      <c r="X81" s="56"/>
      <c r="Y81" s="276" t="str">
        <f>IF(X81="","",IF(AND(X81="N/A - Culvert",C81&lt;&gt;"Culvert"),"Not possible ▲",IF(AND(C81="Culvert",X81&lt;&gt;"N/A - Culvert"),"Not possible ▲",IF(VLOOKUP(X81,'G-7 WaterC'' Data'!$AD$4:$AE$14,2,FALSE)=0,"Enrcoachment Data Missing ⚠",VLOOKUP(X81,'G-7 WaterC'' Data'!$AD$4:$AE$14,2,FALSE)))))</f>
        <v/>
      </c>
      <c r="Z81" s="317" t="str">
        <f t="shared" si="10"/>
        <v/>
      </c>
      <c r="AA81" s="101"/>
      <c r="AB81" s="115"/>
      <c r="AC81" s="104"/>
      <c r="AH81" s="30" t="str">
        <f>IFERROR(INDEX('G-7 WaterC'' Data'!$AZ$3:$AZ$7,MATCH(C81,'G-7 WaterC'' Data'!$AY$3:$AY$7,0)),"")</f>
        <v/>
      </c>
      <c r="AK81" s="30" t="str">
        <f t="shared" si="11"/>
        <v>No</v>
      </c>
    </row>
    <row r="82" spans="2:37" ht="14">
      <c r="B82" s="97">
        <v>71</v>
      </c>
      <c r="C82" s="920"/>
      <c r="D82" s="115"/>
      <c r="E82" s="275" t="str">
        <f>IF(C82="","",VLOOKUP(C82,'G-7 WaterC'' Data'!$B$2:$G$8,2,FALSE))</f>
        <v/>
      </c>
      <c r="F82" s="276" t="str">
        <f>IFERROR(VLOOKUP(E82,'G-7 WaterC'' Data'!$C$4:$D$8,2,FALSE),"")</f>
        <v/>
      </c>
      <c r="G82" s="101"/>
      <c r="H82" s="276" t="str">
        <f>IFERROR(INDEX('G-7 WaterC'' Data'!$H$4:$L$8,MATCH(C82,'G-7 WaterC'' Data'!$B$4:$B$8,0),MATCH(G82,'G-7 WaterC'' Data'!$H$3:$L$3,0)),"")</f>
        <v/>
      </c>
      <c r="I82" s="52"/>
      <c r="J82" s="283" t="str">
        <f>IF(I82="","",IF(VLOOKUP(I82,'G-7 WaterC'' Data'!$AK$4:$AM$6,2,FALSE)=0,"Spatial Data Missing ⚠",VLOOKUP(I82,'G-7 WaterC'' Data'!$AK$4:$AM$6,2,FALSE)))</f>
        <v/>
      </c>
      <c r="K82" s="276" t="str">
        <f>IF(I82="","",IF(VLOOKUP(I82,'G-7 WaterC'' Data'!$AK$4:$AM$6,3,FALSE)=0,"Spatial Data Missing ⚠",VLOOKUP(I82,'G-7 WaterC'' Data'!$AK$4:$AM$6,3,FALSE)))</f>
        <v/>
      </c>
      <c r="L82" s="275" t="str">
        <f>IFERROR(INDEX('G-7 WaterC'' Data'!$O$3:$O$7,MATCH(G82,'G-7 WaterC'' Data'!$N$3:$N$7,0)),"")</f>
        <v/>
      </c>
      <c r="M82" s="58"/>
      <c r="N82" s="133"/>
      <c r="O82" s="283" t="str">
        <f t="shared" si="6"/>
        <v/>
      </c>
      <c r="P82" s="296" t="str">
        <f t="shared" si="7"/>
        <v/>
      </c>
      <c r="Q82" s="334" t="str">
        <f>IFERROR(IF(P82="Check Data ⚠","Check Data ⚠",VLOOKUP(P82,'G-4 Temporal multipliers'!$A$4:$C$37,3,FALSE)),"")</f>
        <v/>
      </c>
      <c r="R82" s="275" t="str">
        <f>IF(C82="","",VLOOKUP(C82,'G-7 WaterC'' Data'!$B$4:$G$8,4,FALSE))</f>
        <v/>
      </c>
      <c r="S82" s="283" t="str">
        <f t="shared" si="8"/>
        <v/>
      </c>
      <c r="T82" s="314" t="str">
        <f t="shared" si="9"/>
        <v/>
      </c>
      <c r="U82" s="276" t="str">
        <f>IF(C82="","",VLOOKUP(T82,'G-3 Multipliers'!$P$2:$Q$6,2,FALSE))</f>
        <v/>
      </c>
      <c r="V82" s="102"/>
      <c r="W82" s="276" t="str">
        <f>IF(V82="","",IF(AND(V82="N/A - Culvert",C82&lt;&gt;"Culvert"),"Not possible ▲",IF(AND(C82="Culvert",V82&lt;&gt;"N/A - Culvert"),"Not possible ▲",IF(VLOOKUP(V82,'G-7 WaterC'' Data'!$AA$4:$AB$7,2,FALSE)=0,"Spatial Data Missing ⚠",VLOOKUP(V82,'G-7 WaterC'' Data'!$AA$4:$AB$7,2,FALSE)))))</f>
        <v/>
      </c>
      <c r="X82" s="56"/>
      <c r="Y82" s="276" t="str">
        <f>IF(X82="","",IF(AND(X82="N/A - Culvert",C82&lt;&gt;"Culvert"),"Not possible ▲",IF(AND(C82="Culvert",X82&lt;&gt;"N/A - Culvert"),"Not possible ▲",IF(VLOOKUP(X82,'G-7 WaterC'' Data'!$AD$4:$AE$14,2,FALSE)=0,"Enrcoachment Data Missing ⚠",VLOOKUP(X82,'G-7 WaterC'' Data'!$AD$4:$AE$14,2,FALSE)))))</f>
        <v/>
      </c>
      <c r="Z82" s="317" t="str">
        <f t="shared" si="10"/>
        <v/>
      </c>
      <c r="AA82" s="101"/>
      <c r="AB82" s="115"/>
      <c r="AC82" s="104"/>
      <c r="AH82" s="30" t="str">
        <f>IFERROR(INDEX('G-7 WaterC'' Data'!$AZ$3:$AZ$7,MATCH(C82,'G-7 WaterC'' Data'!$AY$3:$AY$7,0)),"")</f>
        <v/>
      </c>
      <c r="AK82" s="30" t="str">
        <f t="shared" si="11"/>
        <v>No</v>
      </c>
    </row>
    <row r="83" spans="2:37" ht="14">
      <c r="B83" s="97">
        <v>72</v>
      </c>
      <c r="C83" s="920"/>
      <c r="D83" s="115"/>
      <c r="E83" s="275" t="str">
        <f>IF(C83="","",VLOOKUP(C83,'G-7 WaterC'' Data'!$B$2:$G$8,2,FALSE))</f>
        <v/>
      </c>
      <c r="F83" s="276" t="str">
        <f>IFERROR(VLOOKUP(E83,'G-7 WaterC'' Data'!$C$4:$D$8,2,FALSE),"")</f>
        <v/>
      </c>
      <c r="G83" s="101"/>
      <c r="H83" s="276" t="str">
        <f>IFERROR(INDEX('G-7 WaterC'' Data'!$H$4:$L$8,MATCH(C83,'G-7 WaterC'' Data'!$B$4:$B$8,0),MATCH(G83,'G-7 WaterC'' Data'!$H$3:$L$3,0)),"")</f>
        <v/>
      </c>
      <c r="I83" s="52"/>
      <c r="J83" s="283" t="str">
        <f>IF(I83="","",IF(VLOOKUP(I83,'G-7 WaterC'' Data'!$AK$4:$AM$6,2,FALSE)=0,"Spatial Data Missing ⚠",VLOOKUP(I83,'G-7 WaterC'' Data'!$AK$4:$AM$6,2,FALSE)))</f>
        <v/>
      </c>
      <c r="K83" s="276" t="str">
        <f>IF(I83="","",IF(VLOOKUP(I83,'G-7 WaterC'' Data'!$AK$4:$AM$6,3,FALSE)=0,"Spatial Data Missing ⚠",VLOOKUP(I83,'G-7 WaterC'' Data'!$AK$4:$AM$6,3,FALSE)))</f>
        <v/>
      </c>
      <c r="L83" s="275" t="str">
        <f>IFERROR(INDEX('G-7 WaterC'' Data'!$O$3:$O$7,MATCH(G83,'G-7 WaterC'' Data'!$N$3:$N$7,0)),"")</f>
        <v/>
      </c>
      <c r="M83" s="58"/>
      <c r="N83" s="133"/>
      <c r="O83" s="283" t="str">
        <f t="shared" si="6"/>
        <v/>
      </c>
      <c r="P83" s="296" t="str">
        <f t="shared" si="7"/>
        <v/>
      </c>
      <c r="Q83" s="334" t="str">
        <f>IFERROR(IF(P83="Check Data ⚠","Check Data ⚠",VLOOKUP(P83,'G-4 Temporal multipliers'!$A$4:$C$37,3,FALSE)),"")</f>
        <v/>
      </c>
      <c r="R83" s="275" t="str">
        <f>IF(C83="","",VLOOKUP(C83,'G-7 WaterC'' Data'!$B$4:$G$8,4,FALSE))</f>
        <v/>
      </c>
      <c r="S83" s="283" t="str">
        <f t="shared" si="8"/>
        <v/>
      </c>
      <c r="T83" s="314" t="str">
        <f t="shared" si="9"/>
        <v/>
      </c>
      <c r="U83" s="276" t="str">
        <f>IF(C83="","",VLOOKUP(T83,'G-3 Multipliers'!$P$2:$Q$6,2,FALSE))</f>
        <v/>
      </c>
      <c r="V83" s="102"/>
      <c r="W83" s="276" t="str">
        <f>IF(V83="","",IF(AND(V83="N/A - Culvert",C83&lt;&gt;"Culvert"),"Not possible ▲",IF(AND(C83="Culvert",V83&lt;&gt;"N/A - Culvert"),"Not possible ▲",IF(VLOOKUP(V83,'G-7 WaterC'' Data'!$AA$4:$AB$7,2,FALSE)=0,"Spatial Data Missing ⚠",VLOOKUP(V83,'G-7 WaterC'' Data'!$AA$4:$AB$7,2,FALSE)))))</f>
        <v/>
      </c>
      <c r="X83" s="56"/>
      <c r="Y83" s="276" t="str">
        <f>IF(X83="","",IF(AND(X83="N/A - Culvert",C83&lt;&gt;"Culvert"),"Not possible ▲",IF(AND(C83="Culvert",X83&lt;&gt;"N/A - Culvert"),"Not possible ▲",IF(VLOOKUP(X83,'G-7 WaterC'' Data'!$AD$4:$AE$14,2,FALSE)=0,"Enrcoachment Data Missing ⚠",VLOOKUP(X83,'G-7 WaterC'' Data'!$AD$4:$AE$14,2,FALSE)))))</f>
        <v/>
      </c>
      <c r="Z83" s="317" t="str">
        <f t="shared" si="10"/>
        <v/>
      </c>
      <c r="AA83" s="101"/>
      <c r="AB83" s="115"/>
      <c r="AC83" s="104"/>
      <c r="AH83" s="30" t="str">
        <f>IFERROR(INDEX('G-7 WaterC'' Data'!$AZ$3:$AZ$7,MATCH(C83,'G-7 WaterC'' Data'!$AY$3:$AY$7,0)),"")</f>
        <v/>
      </c>
      <c r="AK83" s="30" t="str">
        <f t="shared" si="11"/>
        <v>No</v>
      </c>
    </row>
    <row r="84" spans="2:37" ht="14">
      <c r="B84" s="97">
        <v>73</v>
      </c>
      <c r="C84" s="920"/>
      <c r="D84" s="115"/>
      <c r="E84" s="275" t="str">
        <f>IF(C84="","",VLOOKUP(C84,'G-7 WaterC'' Data'!$B$2:$G$8,2,FALSE))</f>
        <v/>
      </c>
      <c r="F84" s="276" t="str">
        <f>IFERROR(VLOOKUP(E84,'G-7 WaterC'' Data'!$C$4:$D$8,2,FALSE),"")</f>
        <v/>
      </c>
      <c r="G84" s="101"/>
      <c r="H84" s="276" t="str">
        <f>IFERROR(INDEX('G-7 WaterC'' Data'!$H$4:$L$8,MATCH(C84,'G-7 WaterC'' Data'!$B$4:$B$8,0),MATCH(G84,'G-7 WaterC'' Data'!$H$3:$L$3,0)),"")</f>
        <v/>
      </c>
      <c r="I84" s="52"/>
      <c r="J84" s="283" t="str">
        <f>IF(I84="","",IF(VLOOKUP(I84,'G-7 WaterC'' Data'!$AK$4:$AM$6,2,FALSE)=0,"Spatial Data Missing ⚠",VLOOKUP(I84,'G-7 WaterC'' Data'!$AK$4:$AM$6,2,FALSE)))</f>
        <v/>
      </c>
      <c r="K84" s="276" t="str">
        <f>IF(I84="","",IF(VLOOKUP(I84,'G-7 WaterC'' Data'!$AK$4:$AM$6,3,FALSE)=0,"Spatial Data Missing ⚠",VLOOKUP(I84,'G-7 WaterC'' Data'!$AK$4:$AM$6,3,FALSE)))</f>
        <v/>
      </c>
      <c r="L84" s="275" t="str">
        <f>IFERROR(INDEX('G-7 WaterC'' Data'!$O$3:$O$7,MATCH(G84,'G-7 WaterC'' Data'!$N$3:$N$7,0)),"")</f>
        <v/>
      </c>
      <c r="M84" s="58"/>
      <c r="N84" s="133"/>
      <c r="O84" s="283" t="str">
        <f t="shared" si="6"/>
        <v/>
      </c>
      <c r="P84" s="296" t="str">
        <f t="shared" si="7"/>
        <v/>
      </c>
      <c r="Q84" s="334" t="str">
        <f>IFERROR(IF(P84="Check Data ⚠","Check Data ⚠",VLOOKUP(P84,'G-4 Temporal multipliers'!$A$4:$C$37,3,FALSE)),"")</f>
        <v/>
      </c>
      <c r="R84" s="275" t="str">
        <f>IF(C84="","",VLOOKUP(C84,'G-7 WaterC'' Data'!$B$4:$G$8,4,FALSE))</f>
        <v/>
      </c>
      <c r="S84" s="283" t="str">
        <f t="shared" si="8"/>
        <v/>
      </c>
      <c r="T84" s="314" t="str">
        <f t="shared" si="9"/>
        <v/>
      </c>
      <c r="U84" s="276" t="str">
        <f>IF(C84="","",VLOOKUP(T84,'G-3 Multipliers'!$P$2:$Q$6,2,FALSE))</f>
        <v/>
      </c>
      <c r="V84" s="102"/>
      <c r="W84" s="276" t="str">
        <f>IF(V84="","",IF(AND(V84="N/A - Culvert",C84&lt;&gt;"Culvert"),"Not possible ▲",IF(AND(C84="Culvert",V84&lt;&gt;"N/A - Culvert"),"Not possible ▲",IF(VLOOKUP(V84,'G-7 WaterC'' Data'!$AA$4:$AB$7,2,FALSE)=0,"Spatial Data Missing ⚠",VLOOKUP(V84,'G-7 WaterC'' Data'!$AA$4:$AB$7,2,FALSE)))))</f>
        <v/>
      </c>
      <c r="X84" s="56"/>
      <c r="Y84" s="276" t="str">
        <f>IF(X84="","",IF(AND(X84="N/A - Culvert",C84&lt;&gt;"Culvert"),"Not possible ▲",IF(AND(C84="Culvert",X84&lt;&gt;"N/A - Culvert"),"Not possible ▲",IF(VLOOKUP(X84,'G-7 WaterC'' Data'!$AD$4:$AE$14,2,FALSE)=0,"Enrcoachment Data Missing ⚠",VLOOKUP(X84,'G-7 WaterC'' Data'!$AD$4:$AE$14,2,FALSE)))))</f>
        <v/>
      </c>
      <c r="Z84" s="317" t="str">
        <f t="shared" si="10"/>
        <v/>
      </c>
      <c r="AA84" s="101"/>
      <c r="AB84" s="115"/>
      <c r="AC84" s="104"/>
      <c r="AH84" s="30" t="str">
        <f>IFERROR(INDEX('G-7 WaterC'' Data'!$AZ$3:$AZ$7,MATCH(C84,'G-7 WaterC'' Data'!$AY$3:$AY$7,0)),"")</f>
        <v/>
      </c>
      <c r="AK84" s="30" t="str">
        <f t="shared" si="11"/>
        <v>No</v>
      </c>
    </row>
    <row r="85" spans="2:37" ht="14">
      <c r="B85" s="97">
        <v>74</v>
      </c>
      <c r="C85" s="920"/>
      <c r="D85" s="115"/>
      <c r="E85" s="275" t="str">
        <f>IF(C85="","",VLOOKUP(C85,'G-7 WaterC'' Data'!$B$2:$G$8,2,FALSE))</f>
        <v/>
      </c>
      <c r="F85" s="276" t="str">
        <f>IFERROR(VLOOKUP(E85,'G-7 WaterC'' Data'!$C$4:$D$8,2,FALSE),"")</f>
        <v/>
      </c>
      <c r="G85" s="101"/>
      <c r="H85" s="276" t="str">
        <f>IFERROR(INDEX('G-7 WaterC'' Data'!$H$4:$L$8,MATCH(C85,'G-7 WaterC'' Data'!$B$4:$B$8,0),MATCH(G85,'G-7 WaterC'' Data'!$H$3:$L$3,0)),"")</f>
        <v/>
      </c>
      <c r="I85" s="52"/>
      <c r="J85" s="283" t="str">
        <f>IF(I85="","",IF(VLOOKUP(I85,'G-7 WaterC'' Data'!$AK$4:$AM$6,2,FALSE)=0,"Spatial Data Missing ⚠",VLOOKUP(I85,'G-7 WaterC'' Data'!$AK$4:$AM$6,2,FALSE)))</f>
        <v/>
      </c>
      <c r="K85" s="276" t="str">
        <f>IF(I85="","",IF(VLOOKUP(I85,'G-7 WaterC'' Data'!$AK$4:$AM$6,3,FALSE)=0,"Spatial Data Missing ⚠",VLOOKUP(I85,'G-7 WaterC'' Data'!$AK$4:$AM$6,3,FALSE)))</f>
        <v/>
      </c>
      <c r="L85" s="275" t="str">
        <f>IFERROR(INDEX('G-7 WaterC'' Data'!$O$3:$O$7,MATCH(G85,'G-7 WaterC'' Data'!$N$3:$N$7,0)),"")</f>
        <v/>
      </c>
      <c r="M85" s="58"/>
      <c r="N85" s="133"/>
      <c r="O85" s="283" t="str">
        <f t="shared" si="6"/>
        <v/>
      </c>
      <c r="P85" s="296" t="str">
        <f t="shared" si="7"/>
        <v/>
      </c>
      <c r="Q85" s="334" t="str">
        <f>IFERROR(IF(P85="Check Data ⚠","Check Data ⚠",VLOOKUP(P85,'G-4 Temporal multipliers'!$A$4:$C$37,3,FALSE)),"")</f>
        <v/>
      </c>
      <c r="R85" s="275" t="str">
        <f>IF(C85="","",VLOOKUP(C85,'G-7 WaterC'' Data'!$B$4:$G$8,4,FALSE))</f>
        <v/>
      </c>
      <c r="S85" s="283" t="str">
        <f t="shared" si="8"/>
        <v/>
      </c>
      <c r="T85" s="314" t="str">
        <f t="shared" si="9"/>
        <v/>
      </c>
      <c r="U85" s="276" t="str">
        <f>IF(C85="","",VLOOKUP(T85,'G-3 Multipliers'!$P$2:$Q$6,2,FALSE))</f>
        <v/>
      </c>
      <c r="V85" s="102"/>
      <c r="W85" s="276" t="str">
        <f>IF(V85="","",IF(AND(V85="N/A - Culvert",C85&lt;&gt;"Culvert"),"Not possible ▲",IF(AND(C85="Culvert",V85&lt;&gt;"N/A - Culvert"),"Not possible ▲",IF(VLOOKUP(V85,'G-7 WaterC'' Data'!$AA$4:$AB$7,2,FALSE)=0,"Spatial Data Missing ⚠",VLOOKUP(V85,'G-7 WaterC'' Data'!$AA$4:$AB$7,2,FALSE)))))</f>
        <v/>
      </c>
      <c r="X85" s="56"/>
      <c r="Y85" s="276" t="str">
        <f>IF(X85="","",IF(AND(X85="N/A - Culvert",C85&lt;&gt;"Culvert"),"Not possible ▲",IF(AND(C85="Culvert",X85&lt;&gt;"N/A - Culvert"),"Not possible ▲",IF(VLOOKUP(X85,'G-7 WaterC'' Data'!$AD$4:$AE$14,2,FALSE)=0,"Enrcoachment Data Missing ⚠",VLOOKUP(X85,'G-7 WaterC'' Data'!$AD$4:$AE$14,2,FALSE)))))</f>
        <v/>
      </c>
      <c r="Z85" s="317" t="str">
        <f t="shared" si="10"/>
        <v/>
      </c>
      <c r="AA85" s="101"/>
      <c r="AB85" s="115"/>
      <c r="AC85" s="104"/>
      <c r="AH85" s="30" t="str">
        <f>IFERROR(INDEX('G-7 WaterC'' Data'!$AZ$3:$AZ$7,MATCH(C85,'G-7 WaterC'' Data'!$AY$3:$AY$7,0)),"")</f>
        <v/>
      </c>
      <c r="AK85" s="30" t="str">
        <f t="shared" si="11"/>
        <v>No</v>
      </c>
    </row>
    <row r="86" spans="2:37" ht="14">
      <c r="B86" s="97">
        <v>75</v>
      </c>
      <c r="C86" s="920"/>
      <c r="D86" s="115"/>
      <c r="E86" s="275" t="str">
        <f>IF(C86="","",VLOOKUP(C86,'G-7 WaterC'' Data'!$B$2:$G$8,2,FALSE))</f>
        <v/>
      </c>
      <c r="F86" s="276" t="str">
        <f>IFERROR(VLOOKUP(E86,'G-7 WaterC'' Data'!$C$4:$D$8,2,FALSE),"")</f>
        <v/>
      </c>
      <c r="G86" s="101"/>
      <c r="H86" s="276" t="str">
        <f>IFERROR(INDEX('G-7 WaterC'' Data'!$H$4:$L$8,MATCH(C86,'G-7 WaterC'' Data'!$B$4:$B$8,0),MATCH(G86,'G-7 WaterC'' Data'!$H$3:$L$3,0)),"")</f>
        <v/>
      </c>
      <c r="I86" s="52"/>
      <c r="J86" s="283" t="str">
        <f>IF(I86="","",IF(VLOOKUP(I86,'G-7 WaterC'' Data'!$AK$4:$AM$6,2,FALSE)=0,"Spatial Data Missing ⚠",VLOOKUP(I86,'G-7 WaterC'' Data'!$AK$4:$AM$6,2,FALSE)))</f>
        <v/>
      </c>
      <c r="K86" s="276" t="str">
        <f>IF(I86="","",IF(VLOOKUP(I86,'G-7 WaterC'' Data'!$AK$4:$AM$6,3,FALSE)=0,"Spatial Data Missing ⚠",VLOOKUP(I86,'G-7 WaterC'' Data'!$AK$4:$AM$6,3,FALSE)))</f>
        <v/>
      </c>
      <c r="L86" s="275" t="str">
        <f>IFERROR(INDEX('G-7 WaterC'' Data'!$O$3:$O$7,MATCH(G86,'G-7 WaterC'' Data'!$N$3:$N$7,0)),"")</f>
        <v/>
      </c>
      <c r="M86" s="58"/>
      <c r="N86" s="133"/>
      <c r="O86" s="283" t="str">
        <f t="shared" si="6"/>
        <v/>
      </c>
      <c r="P86" s="296" t="str">
        <f t="shared" si="7"/>
        <v/>
      </c>
      <c r="Q86" s="334" t="str">
        <f>IFERROR(IF(P86="Check Data ⚠","Check Data ⚠",VLOOKUP(P86,'G-4 Temporal multipliers'!$A$4:$C$37,3,FALSE)),"")</f>
        <v/>
      </c>
      <c r="R86" s="275" t="str">
        <f>IF(C86="","",VLOOKUP(C86,'G-7 WaterC'' Data'!$B$4:$G$8,4,FALSE))</f>
        <v/>
      </c>
      <c r="S86" s="283" t="str">
        <f t="shared" si="8"/>
        <v/>
      </c>
      <c r="T86" s="314" t="str">
        <f t="shared" si="9"/>
        <v/>
      </c>
      <c r="U86" s="276" t="str">
        <f>IF(C86="","",VLOOKUP(T86,'G-3 Multipliers'!$P$2:$Q$6,2,FALSE))</f>
        <v/>
      </c>
      <c r="V86" s="102"/>
      <c r="W86" s="276" t="str">
        <f>IF(V86="","",IF(AND(V86="N/A - Culvert",C86&lt;&gt;"Culvert"),"Not possible ▲",IF(AND(C86="Culvert",V86&lt;&gt;"N/A - Culvert"),"Not possible ▲",IF(VLOOKUP(V86,'G-7 WaterC'' Data'!$AA$4:$AB$7,2,FALSE)=0,"Spatial Data Missing ⚠",VLOOKUP(V86,'G-7 WaterC'' Data'!$AA$4:$AB$7,2,FALSE)))))</f>
        <v/>
      </c>
      <c r="X86" s="56"/>
      <c r="Y86" s="276" t="str">
        <f>IF(X86="","",IF(AND(X86="N/A - Culvert",C86&lt;&gt;"Culvert"),"Not possible ▲",IF(AND(C86="Culvert",X86&lt;&gt;"N/A - Culvert"),"Not possible ▲",IF(VLOOKUP(X86,'G-7 WaterC'' Data'!$AD$4:$AE$14,2,FALSE)=0,"Enrcoachment Data Missing ⚠",VLOOKUP(X86,'G-7 WaterC'' Data'!$AD$4:$AE$14,2,FALSE)))))</f>
        <v/>
      </c>
      <c r="Z86" s="317" t="str">
        <f t="shared" si="10"/>
        <v/>
      </c>
      <c r="AA86" s="101"/>
      <c r="AB86" s="115"/>
      <c r="AC86" s="104"/>
      <c r="AH86" s="30" t="str">
        <f>IFERROR(INDEX('G-7 WaterC'' Data'!$AZ$3:$AZ$7,MATCH(C86,'G-7 WaterC'' Data'!$AY$3:$AY$7,0)),"")</f>
        <v/>
      </c>
      <c r="AK86" s="30" t="str">
        <f t="shared" si="11"/>
        <v>No</v>
      </c>
    </row>
    <row r="87" spans="2:37" ht="14">
      <c r="B87" s="97">
        <v>76</v>
      </c>
      <c r="C87" s="920"/>
      <c r="D87" s="115"/>
      <c r="E87" s="275" t="str">
        <f>IF(C87="","",VLOOKUP(C87,'G-7 WaterC'' Data'!$B$2:$G$8,2,FALSE))</f>
        <v/>
      </c>
      <c r="F87" s="276" t="str">
        <f>IFERROR(VLOOKUP(E87,'G-7 WaterC'' Data'!$C$4:$D$8,2,FALSE),"")</f>
        <v/>
      </c>
      <c r="G87" s="101"/>
      <c r="H87" s="276" t="str">
        <f>IFERROR(INDEX('G-7 WaterC'' Data'!$H$4:$L$8,MATCH(C87,'G-7 WaterC'' Data'!$B$4:$B$8,0),MATCH(G87,'G-7 WaterC'' Data'!$H$3:$L$3,0)),"")</f>
        <v/>
      </c>
      <c r="I87" s="52"/>
      <c r="J87" s="283" t="str">
        <f>IF(I87="","",IF(VLOOKUP(I87,'G-7 WaterC'' Data'!$AK$4:$AM$6,2,FALSE)=0,"Spatial Data Missing ⚠",VLOOKUP(I87,'G-7 WaterC'' Data'!$AK$4:$AM$6,2,FALSE)))</f>
        <v/>
      </c>
      <c r="K87" s="276" t="str">
        <f>IF(I87="","",IF(VLOOKUP(I87,'G-7 WaterC'' Data'!$AK$4:$AM$6,3,FALSE)=0,"Spatial Data Missing ⚠",VLOOKUP(I87,'G-7 WaterC'' Data'!$AK$4:$AM$6,3,FALSE)))</f>
        <v/>
      </c>
      <c r="L87" s="275" t="str">
        <f>IFERROR(INDEX('G-7 WaterC'' Data'!$O$3:$O$7,MATCH(G87,'G-7 WaterC'' Data'!$N$3:$N$7,0)),"")</f>
        <v/>
      </c>
      <c r="M87" s="58"/>
      <c r="N87" s="133"/>
      <c r="O87" s="283" t="str">
        <f t="shared" si="6"/>
        <v/>
      </c>
      <c r="P87" s="296" t="str">
        <f t="shared" si="7"/>
        <v/>
      </c>
      <c r="Q87" s="334" t="str">
        <f>IFERROR(IF(P87="Check Data ⚠","Check Data ⚠",VLOOKUP(P87,'G-4 Temporal multipliers'!$A$4:$C$37,3,FALSE)),"")</f>
        <v/>
      </c>
      <c r="R87" s="275" t="str">
        <f>IF(C87="","",VLOOKUP(C87,'G-7 WaterC'' Data'!$B$4:$G$8,4,FALSE))</f>
        <v/>
      </c>
      <c r="S87" s="283" t="str">
        <f t="shared" si="8"/>
        <v/>
      </c>
      <c r="T87" s="314" t="str">
        <f t="shared" si="9"/>
        <v/>
      </c>
      <c r="U87" s="276" t="str">
        <f>IF(C87="","",VLOOKUP(T87,'G-3 Multipliers'!$P$2:$Q$6,2,FALSE))</f>
        <v/>
      </c>
      <c r="V87" s="102"/>
      <c r="W87" s="276" t="str">
        <f>IF(V87="","",IF(AND(V87="N/A - Culvert",C87&lt;&gt;"Culvert"),"Not possible ▲",IF(AND(C87="Culvert",V87&lt;&gt;"N/A - Culvert"),"Not possible ▲",IF(VLOOKUP(V87,'G-7 WaterC'' Data'!$AA$4:$AB$7,2,FALSE)=0,"Spatial Data Missing ⚠",VLOOKUP(V87,'G-7 WaterC'' Data'!$AA$4:$AB$7,2,FALSE)))))</f>
        <v/>
      </c>
      <c r="X87" s="56"/>
      <c r="Y87" s="276" t="str">
        <f>IF(X87="","",IF(AND(X87="N/A - Culvert",C87&lt;&gt;"Culvert"),"Not possible ▲",IF(AND(C87="Culvert",X87&lt;&gt;"N/A - Culvert"),"Not possible ▲",IF(VLOOKUP(X87,'G-7 WaterC'' Data'!$AD$4:$AE$14,2,FALSE)=0,"Enrcoachment Data Missing ⚠",VLOOKUP(X87,'G-7 WaterC'' Data'!$AD$4:$AE$14,2,FALSE)))))</f>
        <v/>
      </c>
      <c r="Z87" s="317" t="str">
        <f t="shared" si="10"/>
        <v/>
      </c>
      <c r="AA87" s="101"/>
      <c r="AB87" s="115"/>
      <c r="AC87" s="104"/>
      <c r="AH87" s="30" t="str">
        <f>IFERROR(INDEX('G-7 WaterC'' Data'!$AZ$3:$AZ$7,MATCH(C87,'G-7 WaterC'' Data'!$AY$3:$AY$7,0)),"")</f>
        <v/>
      </c>
      <c r="AK87" s="30" t="str">
        <f t="shared" si="11"/>
        <v>No</v>
      </c>
    </row>
    <row r="88" spans="2:37" ht="14">
      <c r="B88" s="97">
        <v>77</v>
      </c>
      <c r="C88" s="920"/>
      <c r="D88" s="115"/>
      <c r="E88" s="275" t="str">
        <f>IF(C88="","",VLOOKUP(C88,'G-7 WaterC'' Data'!$B$2:$G$8,2,FALSE))</f>
        <v/>
      </c>
      <c r="F88" s="276" t="str">
        <f>IFERROR(VLOOKUP(E88,'G-7 WaterC'' Data'!$C$4:$D$8,2,FALSE),"")</f>
        <v/>
      </c>
      <c r="G88" s="101"/>
      <c r="H88" s="276" t="str">
        <f>IFERROR(INDEX('G-7 WaterC'' Data'!$H$4:$L$8,MATCH(C88,'G-7 WaterC'' Data'!$B$4:$B$8,0),MATCH(G88,'G-7 WaterC'' Data'!$H$3:$L$3,0)),"")</f>
        <v/>
      </c>
      <c r="I88" s="52"/>
      <c r="J88" s="283" t="str">
        <f>IF(I88="","",IF(VLOOKUP(I88,'G-7 WaterC'' Data'!$AK$4:$AM$6,2,FALSE)=0,"Spatial Data Missing ⚠",VLOOKUP(I88,'G-7 WaterC'' Data'!$AK$4:$AM$6,2,FALSE)))</f>
        <v/>
      </c>
      <c r="K88" s="276" t="str">
        <f>IF(I88="","",IF(VLOOKUP(I88,'G-7 WaterC'' Data'!$AK$4:$AM$6,3,FALSE)=0,"Spatial Data Missing ⚠",VLOOKUP(I88,'G-7 WaterC'' Data'!$AK$4:$AM$6,3,FALSE)))</f>
        <v/>
      </c>
      <c r="L88" s="275" t="str">
        <f>IFERROR(INDEX('G-7 WaterC'' Data'!$O$3:$O$7,MATCH(G88,'G-7 WaterC'' Data'!$N$3:$N$7,0)),"")</f>
        <v/>
      </c>
      <c r="M88" s="58"/>
      <c r="N88" s="133"/>
      <c r="O88" s="283" t="str">
        <f t="shared" si="6"/>
        <v/>
      </c>
      <c r="P88" s="296" t="str">
        <f t="shared" si="7"/>
        <v/>
      </c>
      <c r="Q88" s="334" t="str">
        <f>IFERROR(IF(P88="Check Data ⚠","Check Data ⚠",VLOOKUP(P88,'G-4 Temporal multipliers'!$A$4:$C$37,3,FALSE)),"")</f>
        <v/>
      </c>
      <c r="R88" s="275" t="str">
        <f>IF(C88="","",VLOOKUP(C88,'G-7 WaterC'' Data'!$B$4:$G$8,4,FALSE))</f>
        <v/>
      </c>
      <c r="S88" s="283" t="str">
        <f t="shared" si="8"/>
        <v/>
      </c>
      <c r="T88" s="314" t="str">
        <f t="shared" si="9"/>
        <v/>
      </c>
      <c r="U88" s="276" t="str">
        <f>IF(C88="","",VLOOKUP(T88,'G-3 Multipliers'!$P$2:$Q$6,2,FALSE))</f>
        <v/>
      </c>
      <c r="V88" s="102"/>
      <c r="W88" s="276" t="str">
        <f>IF(V88="","",IF(AND(V88="N/A - Culvert",C88&lt;&gt;"Culvert"),"Not possible ▲",IF(AND(C88="Culvert",V88&lt;&gt;"N/A - Culvert"),"Not possible ▲",IF(VLOOKUP(V88,'G-7 WaterC'' Data'!$AA$4:$AB$7,2,FALSE)=0,"Spatial Data Missing ⚠",VLOOKUP(V88,'G-7 WaterC'' Data'!$AA$4:$AB$7,2,FALSE)))))</f>
        <v/>
      </c>
      <c r="X88" s="56"/>
      <c r="Y88" s="276" t="str">
        <f>IF(X88="","",IF(AND(X88="N/A - Culvert",C88&lt;&gt;"Culvert"),"Not possible ▲",IF(AND(C88="Culvert",X88&lt;&gt;"N/A - Culvert"),"Not possible ▲",IF(VLOOKUP(X88,'G-7 WaterC'' Data'!$AD$4:$AE$14,2,FALSE)=0,"Enrcoachment Data Missing ⚠",VLOOKUP(X88,'G-7 WaterC'' Data'!$AD$4:$AE$14,2,FALSE)))))</f>
        <v/>
      </c>
      <c r="Z88" s="317" t="str">
        <f t="shared" si="10"/>
        <v/>
      </c>
      <c r="AA88" s="101"/>
      <c r="AB88" s="115"/>
      <c r="AC88" s="104"/>
      <c r="AH88" s="30" t="str">
        <f>IFERROR(INDEX('G-7 WaterC'' Data'!$AZ$3:$AZ$7,MATCH(C88,'G-7 WaterC'' Data'!$AY$3:$AY$7,0)),"")</f>
        <v/>
      </c>
      <c r="AK88" s="30" t="str">
        <f t="shared" si="11"/>
        <v>No</v>
      </c>
    </row>
    <row r="89" spans="2:37" ht="14">
      <c r="B89" s="97">
        <v>78</v>
      </c>
      <c r="C89" s="920"/>
      <c r="D89" s="115"/>
      <c r="E89" s="275" t="str">
        <f>IF(C89="","",VLOOKUP(C89,'G-7 WaterC'' Data'!$B$2:$G$8,2,FALSE))</f>
        <v/>
      </c>
      <c r="F89" s="276" t="str">
        <f>IFERROR(VLOOKUP(E89,'G-7 WaterC'' Data'!$C$4:$D$8,2,FALSE),"")</f>
        <v/>
      </c>
      <c r="G89" s="101"/>
      <c r="H89" s="276" t="str">
        <f>IFERROR(INDEX('G-7 WaterC'' Data'!$H$4:$L$8,MATCH(C89,'G-7 WaterC'' Data'!$B$4:$B$8,0),MATCH(G89,'G-7 WaterC'' Data'!$H$3:$L$3,0)),"")</f>
        <v/>
      </c>
      <c r="I89" s="52"/>
      <c r="J89" s="283" t="str">
        <f>IF(I89="","",IF(VLOOKUP(I89,'G-7 WaterC'' Data'!$AK$4:$AM$6,2,FALSE)=0,"Spatial Data Missing ⚠",VLOOKUP(I89,'G-7 WaterC'' Data'!$AK$4:$AM$6,2,FALSE)))</f>
        <v/>
      </c>
      <c r="K89" s="276" t="str">
        <f>IF(I89="","",IF(VLOOKUP(I89,'G-7 WaterC'' Data'!$AK$4:$AM$6,3,FALSE)=0,"Spatial Data Missing ⚠",VLOOKUP(I89,'G-7 WaterC'' Data'!$AK$4:$AM$6,3,FALSE)))</f>
        <v/>
      </c>
      <c r="L89" s="275" t="str">
        <f>IFERROR(INDEX('G-7 WaterC'' Data'!$O$3:$O$7,MATCH(G89,'G-7 WaterC'' Data'!$N$3:$N$7,0)),"")</f>
        <v/>
      </c>
      <c r="M89" s="58"/>
      <c r="N89" s="133"/>
      <c r="O89" s="283" t="str">
        <f t="shared" si="6"/>
        <v/>
      </c>
      <c r="P89" s="296" t="str">
        <f t="shared" si="7"/>
        <v/>
      </c>
      <c r="Q89" s="334" t="str">
        <f>IFERROR(IF(P89="Check Data ⚠","Check Data ⚠",VLOOKUP(P89,'G-4 Temporal multipliers'!$A$4:$C$37,3,FALSE)),"")</f>
        <v/>
      </c>
      <c r="R89" s="275" t="str">
        <f>IF(C89="","",VLOOKUP(C89,'G-7 WaterC'' Data'!$B$4:$G$8,4,FALSE))</f>
        <v/>
      </c>
      <c r="S89" s="283" t="str">
        <f t="shared" si="8"/>
        <v/>
      </c>
      <c r="T89" s="314" t="str">
        <f t="shared" si="9"/>
        <v/>
      </c>
      <c r="U89" s="276" t="str">
        <f>IF(C89="","",VLOOKUP(T89,'G-3 Multipliers'!$P$2:$Q$6,2,FALSE))</f>
        <v/>
      </c>
      <c r="V89" s="102"/>
      <c r="W89" s="276" t="str">
        <f>IF(V89="","",IF(AND(V89="N/A - Culvert",C89&lt;&gt;"Culvert"),"Not possible ▲",IF(AND(C89="Culvert",V89&lt;&gt;"N/A - Culvert"),"Not possible ▲",IF(VLOOKUP(V89,'G-7 WaterC'' Data'!$AA$4:$AB$7,2,FALSE)=0,"Spatial Data Missing ⚠",VLOOKUP(V89,'G-7 WaterC'' Data'!$AA$4:$AB$7,2,FALSE)))))</f>
        <v/>
      </c>
      <c r="X89" s="56"/>
      <c r="Y89" s="276" t="str">
        <f>IF(X89="","",IF(AND(X89="N/A - Culvert",C89&lt;&gt;"Culvert"),"Not possible ▲",IF(AND(C89="Culvert",X89&lt;&gt;"N/A - Culvert"),"Not possible ▲",IF(VLOOKUP(X89,'G-7 WaterC'' Data'!$AD$4:$AE$14,2,FALSE)=0,"Enrcoachment Data Missing ⚠",VLOOKUP(X89,'G-7 WaterC'' Data'!$AD$4:$AE$14,2,FALSE)))))</f>
        <v/>
      </c>
      <c r="Z89" s="317" t="str">
        <f t="shared" si="10"/>
        <v/>
      </c>
      <c r="AA89" s="101"/>
      <c r="AB89" s="115"/>
      <c r="AC89" s="104"/>
      <c r="AH89" s="30" t="str">
        <f>IFERROR(INDEX('G-7 WaterC'' Data'!$AZ$3:$AZ$7,MATCH(C89,'G-7 WaterC'' Data'!$AY$3:$AY$7,0)),"")</f>
        <v/>
      </c>
      <c r="AK89" s="30" t="str">
        <f t="shared" si="11"/>
        <v>No</v>
      </c>
    </row>
    <row r="90" spans="2:37" ht="14">
      <c r="B90" s="97">
        <v>79</v>
      </c>
      <c r="C90" s="920"/>
      <c r="D90" s="115"/>
      <c r="E90" s="275" t="str">
        <f>IF(C90="","",VLOOKUP(C90,'G-7 WaterC'' Data'!$B$2:$G$8,2,FALSE))</f>
        <v/>
      </c>
      <c r="F90" s="276" t="str">
        <f>IFERROR(VLOOKUP(E90,'G-7 WaterC'' Data'!$C$4:$D$8,2,FALSE),"")</f>
        <v/>
      </c>
      <c r="G90" s="101"/>
      <c r="H90" s="276" t="str">
        <f>IFERROR(INDEX('G-7 WaterC'' Data'!$H$4:$L$8,MATCH(C90,'G-7 WaterC'' Data'!$B$4:$B$8,0),MATCH(G90,'G-7 WaterC'' Data'!$H$3:$L$3,0)),"")</f>
        <v/>
      </c>
      <c r="I90" s="52"/>
      <c r="J90" s="283" t="str">
        <f>IF(I90="","",IF(VLOOKUP(I90,'G-7 WaterC'' Data'!$AK$4:$AM$6,2,FALSE)=0,"Spatial Data Missing ⚠",VLOOKUP(I90,'G-7 WaterC'' Data'!$AK$4:$AM$6,2,FALSE)))</f>
        <v/>
      </c>
      <c r="K90" s="276" t="str">
        <f>IF(I90="","",IF(VLOOKUP(I90,'G-7 WaterC'' Data'!$AK$4:$AM$6,3,FALSE)=0,"Spatial Data Missing ⚠",VLOOKUP(I90,'G-7 WaterC'' Data'!$AK$4:$AM$6,3,FALSE)))</f>
        <v/>
      </c>
      <c r="L90" s="275" t="str">
        <f>IFERROR(INDEX('G-7 WaterC'' Data'!$O$3:$O$7,MATCH(G90,'G-7 WaterC'' Data'!$N$3:$N$7,0)),"")</f>
        <v/>
      </c>
      <c r="M90" s="58"/>
      <c r="N90" s="133"/>
      <c r="O90" s="283" t="str">
        <f t="shared" si="6"/>
        <v/>
      </c>
      <c r="P90" s="296" t="str">
        <f t="shared" si="7"/>
        <v/>
      </c>
      <c r="Q90" s="334" t="str">
        <f>IFERROR(IF(P90="Check Data ⚠","Check Data ⚠",VLOOKUP(P90,'G-4 Temporal multipliers'!$A$4:$C$37,3,FALSE)),"")</f>
        <v/>
      </c>
      <c r="R90" s="275" t="str">
        <f>IF(C90="","",VLOOKUP(C90,'G-7 WaterC'' Data'!$B$4:$G$8,4,FALSE))</f>
        <v/>
      </c>
      <c r="S90" s="283" t="str">
        <f t="shared" si="8"/>
        <v/>
      </c>
      <c r="T90" s="314" t="str">
        <f t="shared" si="9"/>
        <v/>
      </c>
      <c r="U90" s="276" t="str">
        <f>IF(C90="","",VLOOKUP(T90,'G-3 Multipliers'!$P$2:$Q$6,2,FALSE))</f>
        <v/>
      </c>
      <c r="V90" s="102"/>
      <c r="W90" s="276" t="str">
        <f>IF(V90="","",IF(AND(V90="N/A - Culvert",C90&lt;&gt;"Culvert"),"Not possible ▲",IF(AND(C90="Culvert",V90&lt;&gt;"N/A - Culvert"),"Not possible ▲",IF(VLOOKUP(V90,'G-7 WaterC'' Data'!$AA$4:$AB$7,2,FALSE)=0,"Spatial Data Missing ⚠",VLOOKUP(V90,'G-7 WaterC'' Data'!$AA$4:$AB$7,2,FALSE)))))</f>
        <v/>
      </c>
      <c r="X90" s="56"/>
      <c r="Y90" s="276" t="str">
        <f>IF(X90="","",IF(AND(X90="N/A - Culvert",C90&lt;&gt;"Culvert"),"Not possible ▲",IF(AND(C90="Culvert",X90&lt;&gt;"N/A - Culvert"),"Not possible ▲",IF(VLOOKUP(X90,'G-7 WaterC'' Data'!$AD$4:$AE$14,2,FALSE)=0,"Enrcoachment Data Missing ⚠",VLOOKUP(X90,'G-7 WaterC'' Data'!$AD$4:$AE$14,2,FALSE)))))</f>
        <v/>
      </c>
      <c r="Z90" s="317" t="str">
        <f t="shared" si="10"/>
        <v/>
      </c>
      <c r="AA90" s="101"/>
      <c r="AB90" s="115"/>
      <c r="AC90" s="104"/>
      <c r="AH90" s="30" t="str">
        <f>IFERROR(INDEX('G-7 WaterC'' Data'!$AZ$3:$AZ$7,MATCH(C90,'G-7 WaterC'' Data'!$AY$3:$AY$7,0)),"")</f>
        <v/>
      </c>
      <c r="AK90" s="30" t="str">
        <f t="shared" si="11"/>
        <v>No</v>
      </c>
    </row>
    <row r="91" spans="2:37" ht="14">
      <c r="B91" s="97">
        <v>80</v>
      </c>
      <c r="C91" s="920"/>
      <c r="D91" s="115"/>
      <c r="E91" s="275" t="str">
        <f>IF(C91="","",VLOOKUP(C91,'G-7 WaterC'' Data'!$B$2:$G$8,2,FALSE))</f>
        <v/>
      </c>
      <c r="F91" s="276" t="str">
        <f>IFERROR(VLOOKUP(E91,'G-7 WaterC'' Data'!$C$4:$D$8,2,FALSE),"")</f>
        <v/>
      </c>
      <c r="G91" s="101"/>
      <c r="H91" s="276" t="str">
        <f>IFERROR(INDEX('G-7 WaterC'' Data'!$H$4:$L$8,MATCH(C91,'G-7 WaterC'' Data'!$B$4:$B$8,0),MATCH(G91,'G-7 WaterC'' Data'!$H$3:$L$3,0)),"")</f>
        <v/>
      </c>
      <c r="I91" s="52"/>
      <c r="J91" s="283" t="str">
        <f>IF(I91="","",IF(VLOOKUP(I91,'G-7 WaterC'' Data'!$AK$4:$AM$6,2,FALSE)=0,"Spatial Data Missing ⚠",VLOOKUP(I91,'G-7 WaterC'' Data'!$AK$4:$AM$6,2,FALSE)))</f>
        <v/>
      </c>
      <c r="K91" s="276" t="str">
        <f>IF(I91="","",IF(VLOOKUP(I91,'G-7 WaterC'' Data'!$AK$4:$AM$6,3,FALSE)=0,"Spatial Data Missing ⚠",VLOOKUP(I91,'G-7 WaterC'' Data'!$AK$4:$AM$6,3,FALSE)))</f>
        <v/>
      </c>
      <c r="L91" s="275" t="str">
        <f>IFERROR(INDEX('G-7 WaterC'' Data'!$O$3:$O$7,MATCH(G91,'G-7 WaterC'' Data'!$N$3:$N$7,0)),"")</f>
        <v/>
      </c>
      <c r="M91" s="58"/>
      <c r="N91" s="133"/>
      <c r="O91" s="283" t="str">
        <f t="shared" si="6"/>
        <v/>
      </c>
      <c r="P91" s="296" t="str">
        <f t="shared" si="7"/>
        <v/>
      </c>
      <c r="Q91" s="334" t="str">
        <f>IFERROR(IF(P91="Check Data ⚠","Check Data ⚠",VLOOKUP(P91,'G-4 Temporal multipliers'!$A$4:$C$37,3,FALSE)),"")</f>
        <v/>
      </c>
      <c r="R91" s="275" t="str">
        <f>IF(C91="","",VLOOKUP(C91,'G-7 WaterC'' Data'!$B$4:$G$8,4,FALSE))</f>
        <v/>
      </c>
      <c r="S91" s="283" t="str">
        <f t="shared" si="8"/>
        <v/>
      </c>
      <c r="T91" s="314" t="str">
        <f t="shared" si="9"/>
        <v/>
      </c>
      <c r="U91" s="276" t="str">
        <f>IF(C91="","",VLOOKUP(T91,'G-3 Multipliers'!$P$2:$Q$6,2,FALSE))</f>
        <v/>
      </c>
      <c r="V91" s="102"/>
      <c r="W91" s="276" t="str">
        <f>IF(V91="","",IF(AND(V91="N/A - Culvert",C91&lt;&gt;"Culvert"),"Not possible ▲",IF(AND(C91="Culvert",V91&lt;&gt;"N/A - Culvert"),"Not possible ▲",IF(VLOOKUP(V91,'G-7 WaterC'' Data'!$AA$4:$AB$7,2,FALSE)=0,"Spatial Data Missing ⚠",VLOOKUP(V91,'G-7 WaterC'' Data'!$AA$4:$AB$7,2,FALSE)))))</f>
        <v/>
      </c>
      <c r="X91" s="56"/>
      <c r="Y91" s="276" t="str">
        <f>IF(X91="","",IF(AND(X91="N/A - Culvert",C91&lt;&gt;"Culvert"),"Not possible ▲",IF(AND(C91="Culvert",X91&lt;&gt;"N/A - Culvert"),"Not possible ▲",IF(VLOOKUP(X91,'G-7 WaterC'' Data'!$AD$4:$AE$14,2,FALSE)=0,"Enrcoachment Data Missing ⚠",VLOOKUP(X91,'G-7 WaterC'' Data'!$AD$4:$AE$14,2,FALSE)))))</f>
        <v/>
      </c>
      <c r="Z91" s="317" t="str">
        <f t="shared" si="10"/>
        <v/>
      </c>
      <c r="AA91" s="101"/>
      <c r="AB91" s="115"/>
      <c r="AC91" s="104"/>
      <c r="AH91" s="30" t="str">
        <f>IFERROR(INDEX('G-7 WaterC'' Data'!$AZ$3:$AZ$7,MATCH(C91,'G-7 WaterC'' Data'!$AY$3:$AY$7,0)),"")</f>
        <v/>
      </c>
      <c r="AK91" s="30" t="str">
        <f t="shared" si="11"/>
        <v>No</v>
      </c>
    </row>
    <row r="92" spans="2:37" ht="14">
      <c r="B92" s="97">
        <v>81</v>
      </c>
      <c r="C92" s="920"/>
      <c r="D92" s="115"/>
      <c r="E92" s="275" t="str">
        <f>IF(C92="","",VLOOKUP(C92,'G-7 WaterC'' Data'!$B$2:$G$8,2,FALSE))</f>
        <v/>
      </c>
      <c r="F92" s="276" t="str">
        <f>IFERROR(VLOOKUP(E92,'G-7 WaterC'' Data'!$C$4:$D$8,2,FALSE),"")</f>
        <v/>
      </c>
      <c r="G92" s="101"/>
      <c r="H92" s="276" t="str">
        <f>IFERROR(INDEX('G-7 WaterC'' Data'!$H$4:$L$8,MATCH(C92,'G-7 WaterC'' Data'!$B$4:$B$8,0),MATCH(G92,'G-7 WaterC'' Data'!$H$3:$L$3,0)),"")</f>
        <v/>
      </c>
      <c r="I92" s="52"/>
      <c r="J92" s="283" t="str">
        <f>IF(I92="","",IF(VLOOKUP(I92,'G-7 WaterC'' Data'!$AK$4:$AM$6,2,FALSE)=0,"Spatial Data Missing ⚠",VLOOKUP(I92,'G-7 WaterC'' Data'!$AK$4:$AM$6,2,FALSE)))</f>
        <v/>
      </c>
      <c r="K92" s="276" t="str">
        <f>IF(I92="","",IF(VLOOKUP(I92,'G-7 WaterC'' Data'!$AK$4:$AM$6,3,FALSE)=0,"Spatial Data Missing ⚠",VLOOKUP(I92,'G-7 WaterC'' Data'!$AK$4:$AM$6,3,FALSE)))</f>
        <v/>
      </c>
      <c r="L92" s="275" t="str">
        <f>IFERROR(INDEX('G-7 WaterC'' Data'!$O$3:$O$7,MATCH(G92,'G-7 WaterC'' Data'!$N$3:$N$7,0)),"")</f>
        <v/>
      </c>
      <c r="M92" s="58"/>
      <c r="N92" s="133"/>
      <c r="O92" s="283" t="str">
        <f t="shared" si="6"/>
        <v/>
      </c>
      <c r="P92" s="296" t="str">
        <f t="shared" si="7"/>
        <v/>
      </c>
      <c r="Q92" s="334" t="str">
        <f>IFERROR(IF(P92="Check Data ⚠","Check Data ⚠",VLOOKUP(P92,'G-4 Temporal multipliers'!$A$4:$C$37,3,FALSE)),"")</f>
        <v/>
      </c>
      <c r="R92" s="275" t="str">
        <f>IF(C92="","",VLOOKUP(C92,'G-7 WaterC'' Data'!$B$4:$G$8,4,FALSE))</f>
        <v/>
      </c>
      <c r="S92" s="283" t="str">
        <f t="shared" si="8"/>
        <v/>
      </c>
      <c r="T92" s="314" t="str">
        <f t="shared" si="9"/>
        <v/>
      </c>
      <c r="U92" s="276" t="str">
        <f>IF(C92="","",VLOOKUP(T92,'G-3 Multipliers'!$P$2:$Q$6,2,FALSE))</f>
        <v/>
      </c>
      <c r="V92" s="102"/>
      <c r="W92" s="276" t="str">
        <f>IF(V92="","",IF(AND(V92="N/A - Culvert",C92&lt;&gt;"Culvert"),"Not possible ▲",IF(AND(C92="Culvert",V92&lt;&gt;"N/A - Culvert"),"Not possible ▲",IF(VLOOKUP(V92,'G-7 WaterC'' Data'!$AA$4:$AB$7,2,FALSE)=0,"Spatial Data Missing ⚠",VLOOKUP(V92,'G-7 WaterC'' Data'!$AA$4:$AB$7,2,FALSE)))))</f>
        <v/>
      </c>
      <c r="X92" s="56"/>
      <c r="Y92" s="276" t="str">
        <f>IF(X92="","",IF(AND(X92="N/A - Culvert",C92&lt;&gt;"Culvert"),"Not possible ▲",IF(AND(C92="Culvert",X92&lt;&gt;"N/A - Culvert"),"Not possible ▲",IF(VLOOKUP(X92,'G-7 WaterC'' Data'!$AD$4:$AE$14,2,FALSE)=0,"Enrcoachment Data Missing ⚠",VLOOKUP(X92,'G-7 WaterC'' Data'!$AD$4:$AE$14,2,FALSE)))))</f>
        <v/>
      </c>
      <c r="Z92" s="317" t="str">
        <f t="shared" si="10"/>
        <v/>
      </c>
      <c r="AA92" s="101"/>
      <c r="AB92" s="115"/>
      <c r="AC92" s="104"/>
      <c r="AH92" s="30" t="str">
        <f>IFERROR(INDEX('G-7 WaterC'' Data'!$AZ$3:$AZ$7,MATCH(C92,'G-7 WaterC'' Data'!$AY$3:$AY$7,0)),"")</f>
        <v/>
      </c>
      <c r="AK92" s="30" t="str">
        <f t="shared" si="11"/>
        <v>No</v>
      </c>
    </row>
    <row r="93" spans="2:37" ht="14">
      <c r="B93" s="97">
        <v>82</v>
      </c>
      <c r="C93" s="920"/>
      <c r="D93" s="115"/>
      <c r="E93" s="275" t="str">
        <f>IF(C93="","",VLOOKUP(C93,'G-7 WaterC'' Data'!$B$2:$G$8,2,FALSE))</f>
        <v/>
      </c>
      <c r="F93" s="276" t="str">
        <f>IFERROR(VLOOKUP(E93,'G-7 WaterC'' Data'!$C$4:$D$8,2,FALSE),"")</f>
        <v/>
      </c>
      <c r="G93" s="101"/>
      <c r="H93" s="276" t="str">
        <f>IFERROR(INDEX('G-7 WaterC'' Data'!$H$4:$L$8,MATCH(C93,'G-7 WaterC'' Data'!$B$4:$B$8,0),MATCH(G93,'G-7 WaterC'' Data'!$H$3:$L$3,0)),"")</f>
        <v/>
      </c>
      <c r="I93" s="52"/>
      <c r="J93" s="283" t="str">
        <f>IF(I93="","",IF(VLOOKUP(I93,'G-7 WaterC'' Data'!$AK$4:$AM$6,2,FALSE)=0,"Spatial Data Missing ⚠",VLOOKUP(I93,'G-7 WaterC'' Data'!$AK$4:$AM$6,2,FALSE)))</f>
        <v/>
      </c>
      <c r="K93" s="276" t="str">
        <f>IF(I93="","",IF(VLOOKUP(I93,'G-7 WaterC'' Data'!$AK$4:$AM$6,3,FALSE)=0,"Spatial Data Missing ⚠",VLOOKUP(I93,'G-7 WaterC'' Data'!$AK$4:$AM$6,3,FALSE)))</f>
        <v/>
      </c>
      <c r="L93" s="275" t="str">
        <f>IFERROR(INDEX('G-7 WaterC'' Data'!$O$3:$O$7,MATCH(G93,'G-7 WaterC'' Data'!$N$3:$N$7,0)),"")</f>
        <v/>
      </c>
      <c r="M93" s="58"/>
      <c r="N93" s="133"/>
      <c r="O93" s="283" t="str">
        <f t="shared" si="6"/>
        <v/>
      </c>
      <c r="P93" s="296" t="str">
        <f t="shared" si="7"/>
        <v/>
      </c>
      <c r="Q93" s="334" t="str">
        <f>IFERROR(IF(P93="Check Data ⚠","Check Data ⚠",VLOOKUP(P93,'G-4 Temporal multipliers'!$A$4:$C$37,3,FALSE)),"")</f>
        <v/>
      </c>
      <c r="R93" s="275" t="str">
        <f>IF(C93="","",VLOOKUP(C93,'G-7 WaterC'' Data'!$B$4:$G$8,4,FALSE))</f>
        <v/>
      </c>
      <c r="S93" s="283" t="str">
        <f t="shared" si="8"/>
        <v/>
      </c>
      <c r="T93" s="314" t="str">
        <f t="shared" si="9"/>
        <v/>
      </c>
      <c r="U93" s="276" t="str">
        <f>IF(C93="","",VLOOKUP(T93,'G-3 Multipliers'!$P$2:$Q$6,2,FALSE))</f>
        <v/>
      </c>
      <c r="V93" s="102"/>
      <c r="W93" s="276" t="str">
        <f>IF(V93="","",IF(AND(V93="N/A - Culvert",C93&lt;&gt;"Culvert"),"Not possible ▲",IF(AND(C93="Culvert",V93&lt;&gt;"N/A - Culvert"),"Not possible ▲",IF(VLOOKUP(V93,'G-7 WaterC'' Data'!$AA$4:$AB$7,2,FALSE)=0,"Spatial Data Missing ⚠",VLOOKUP(V93,'G-7 WaterC'' Data'!$AA$4:$AB$7,2,FALSE)))))</f>
        <v/>
      </c>
      <c r="X93" s="56"/>
      <c r="Y93" s="276" t="str">
        <f>IF(X93="","",IF(AND(X93="N/A - Culvert",C93&lt;&gt;"Culvert"),"Not possible ▲",IF(AND(C93="Culvert",X93&lt;&gt;"N/A - Culvert"),"Not possible ▲",IF(VLOOKUP(X93,'G-7 WaterC'' Data'!$AD$4:$AE$14,2,FALSE)=0,"Enrcoachment Data Missing ⚠",VLOOKUP(X93,'G-7 WaterC'' Data'!$AD$4:$AE$14,2,FALSE)))))</f>
        <v/>
      </c>
      <c r="Z93" s="317" t="str">
        <f t="shared" si="10"/>
        <v/>
      </c>
      <c r="AA93" s="101"/>
      <c r="AB93" s="115"/>
      <c r="AC93" s="104"/>
      <c r="AH93" s="30" t="str">
        <f>IFERROR(INDEX('G-7 WaterC'' Data'!$AZ$3:$AZ$7,MATCH(C93,'G-7 WaterC'' Data'!$AY$3:$AY$7,0)),"")</f>
        <v/>
      </c>
      <c r="AK93" s="30" t="str">
        <f t="shared" si="11"/>
        <v>No</v>
      </c>
    </row>
    <row r="94" spans="2:37" ht="14">
      <c r="B94" s="97">
        <v>83</v>
      </c>
      <c r="C94" s="920"/>
      <c r="D94" s="115"/>
      <c r="E94" s="275" t="str">
        <f>IF(C94="","",VLOOKUP(C94,'G-7 WaterC'' Data'!$B$2:$G$8,2,FALSE))</f>
        <v/>
      </c>
      <c r="F94" s="276" t="str">
        <f>IFERROR(VLOOKUP(E94,'G-7 WaterC'' Data'!$C$4:$D$8,2,FALSE),"")</f>
        <v/>
      </c>
      <c r="G94" s="101"/>
      <c r="H94" s="276" t="str">
        <f>IFERROR(INDEX('G-7 WaterC'' Data'!$H$4:$L$8,MATCH(C94,'G-7 WaterC'' Data'!$B$4:$B$8,0),MATCH(G94,'G-7 WaterC'' Data'!$H$3:$L$3,0)),"")</f>
        <v/>
      </c>
      <c r="I94" s="52"/>
      <c r="J94" s="283" t="str">
        <f>IF(I94="","",IF(VLOOKUP(I94,'G-7 WaterC'' Data'!$AK$4:$AM$6,2,FALSE)=0,"Spatial Data Missing ⚠",VLOOKUP(I94,'G-7 WaterC'' Data'!$AK$4:$AM$6,2,FALSE)))</f>
        <v/>
      </c>
      <c r="K94" s="276" t="str">
        <f>IF(I94="","",IF(VLOOKUP(I94,'G-7 WaterC'' Data'!$AK$4:$AM$6,3,FALSE)=0,"Spatial Data Missing ⚠",VLOOKUP(I94,'G-7 WaterC'' Data'!$AK$4:$AM$6,3,FALSE)))</f>
        <v/>
      </c>
      <c r="L94" s="275" t="str">
        <f>IFERROR(INDEX('G-7 WaterC'' Data'!$O$3:$O$7,MATCH(G94,'G-7 WaterC'' Data'!$N$3:$N$7,0)),"")</f>
        <v/>
      </c>
      <c r="M94" s="58"/>
      <c r="N94" s="133"/>
      <c r="O94" s="283" t="str">
        <f t="shared" si="6"/>
        <v/>
      </c>
      <c r="P94" s="296" t="str">
        <f t="shared" si="7"/>
        <v/>
      </c>
      <c r="Q94" s="334" t="str">
        <f>IFERROR(IF(P94="Check Data ⚠","Check Data ⚠",VLOOKUP(P94,'G-4 Temporal multipliers'!$A$4:$C$37,3,FALSE)),"")</f>
        <v/>
      </c>
      <c r="R94" s="275" t="str">
        <f>IF(C94="","",VLOOKUP(C94,'G-7 WaterC'' Data'!$B$4:$G$8,4,FALSE))</f>
        <v/>
      </c>
      <c r="S94" s="283" t="str">
        <f t="shared" si="8"/>
        <v/>
      </c>
      <c r="T94" s="314" t="str">
        <f t="shared" si="9"/>
        <v/>
      </c>
      <c r="U94" s="276" t="str">
        <f>IF(C94="","",VLOOKUP(T94,'G-3 Multipliers'!$P$2:$Q$6,2,FALSE))</f>
        <v/>
      </c>
      <c r="V94" s="102"/>
      <c r="W94" s="276" t="str">
        <f>IF(V94="","",IF(AND(V94="N/A - Culvert",C94&lt;&gt;"Culvert"),"Not possible ▲",IF(AND(C94="Culvert",V94&lt;&gt;"N/A - Culvert"),"Not possible ▲",IF(VLOOKUP(V94,'G-7 WaterC'' Data'!$AA$4:$AB$7,2,FALSE)=0,"Spatial Data Missing ⚠",VLOOKUP(V94,'G-7 WaterC'' Data'!$AA$4:$AB$7,2,FALSE)))))</f>
        <v/>
      </c>
      <c r="X94" s="56"/>
      <c r="Y94" s="276" t="str">
        <f>IF(X94="","",IF(AND(X94="N/A - Culvert",C94&lt;&gt;"Culvert"),"Not possible ▲",IF(AND(C94="Culvert",X94&lt;&gt;"N/A - Culvert"),"Not possible ▲",IF(VLOOKUP(X94,'G-7 WaterC'' Data'!$AD$4:$AE$14,2,FALSE)=0,"Enrcoachment Data Missing ⚠",VLOOKUP(X94,'G-7 WaterC'' Data'!$AD$4:$AE$14,2,FALSE)))))</f>
        <v/>
      </c>
      <c r="Z94" s="317" t="str">
        <f t="shared" si="10"/>
        <v/>
      </c>
      <c r="AA94" s="101"/>
      <c r="AB94" s="115"/>
      <c r="AC94" s="104"/>
      <c r="AH94" s="30" t="str">
        <f>IFERROR(INDEX('G-7 WaterC'' Data'!$AZ$3:$AZ$7,MATCH(C94,'G-7 WaterC'' Data'!$AY$3:$AY$7,0)),"")</f>
        <v/>
      </c>
      <c r="AK94" s="30" t="str">
        <f t="shared" si="11"/>
        <v>No</v>
      </c>
    </row>
    <row r="95" spans="2:37" ht="14">
      <c r="B95" s="97">
        <v>84</v>
      </c>
      <c r="C95" s="920"/>
      <c r="D95" s="115"/>
      <c r="E95" s="275" t="str">
        <f>IF(C95="","",VLOOKUP(C95,'G-7 WaterC'' Data'!$B$2:$G$8,2,FALSE))</f>
        <v/>
      </c>
      <c r="F95" s="276" t="str">
        <f>IFERROR(VLOOKUP(E95,'G-7 WaterC'' Data'!$C$4:$D$8,2,FALSE),"")</f>
        <v/>
      </c>
      <c r="G95" s="101"/>
      <c r="H95" s="276" t="str">
        <f>IFERROR(INDEX('G-7 WaterC'' Data'!$H$4:$L$8,MATCH(C95,'G-7 WaterC'' Data'!$B$4:$B$8,0),MATCH(G95,'G-7 WaterC'' Data'!$H$3:$L$3,0)),"")</f>
        <v/>
      </c>
      <c r="I95" s="52"/>
      <c r="J95" s="283" t="str">
        <f>IF(I95="","",IF(VLOOKUP(I95,'G-7 WaterC'' Data'!$AK$4:$AM$6,2,FALSE)=0,"Spatial Data Missing ⚠",VLOOKUP(I95,'G-7 WaterC'' Data'!$AK$4:$AM$6,2,FALSE)))</f>
        <v/>
      </c>
      <c r="K95" s="276" t="str">
        <f>IF(I95="","",IF(VLOOKUP(I95,'G-7 WaterC'' Data'!$AK$4:$AM$6,3,FALSE)=0,"Spatial Data Missing ⚠",VLOOKUP(I95,'G-7 WaterC'' Data'!$AK$4:$AM$6,3,FALSE)))</f>
        <v/>
      </c>
      <c r="L95" s="275" t="str">
        <f>IFERROR(INDEX('G-7 WaterC'' Data'!$O$3:$O$7,MATCH(G95,'G-7 WaterC'' Data'!$N$3:$N$7,0)),"")</f>
        <v/>
      </c>
      <c r="M95" s="58"/>
      <c r="N95" s="133"/>
      <c r="O95" s="283" t="str">
        <f t="shared" si="6"/>
        <v/>
      </c>
      <c r="P95" s="296" t="str">
        <f t="shared" si="7"/>
        <v/>
      </c>
      <c r="Q95" s="334" t="str">
        <f>IFERROR(IF(P95="Check Data ⚠","Check Data ⚠",VLOOKUP(P95,'G-4 Temporal multipliers'!$A$4:$C$37,3,FALSE)),"")</f>
        <v/>
      </c>
      <c r="R95" s="275" t="str">
        <f>IF(C95="","",VLOOKUP(C95,'G-7 WaterC'' Data'!$B$4:$G$8,4,FALSE))</f>
        <v/>
      </c>
      <c r="S95" s="283" t="str">
        <f t="shared" si="8"/>
        <v/>
      </c>
      <c r="T95" s="314" t="str">
        <f t="shared" si="9"/>
        <v/>
      </c>
      <c r="U95" s="276" t="str">
        <f>IF(C95="","",VLOOKUP(T95,'G-3 Multipliers'!$P$2:$Q$6,2,FALSE))</f>
        <v/>
      </c>
      <c r="V95" s="102"/>
      <c r="W95" s="276" t="str">
        <f>IF(V95="","",IF(AND(V95="N/A - Culvert",C95&lt;&gt;"Culvert"),"Not possible ▲",IF(AND(C95="Culvert",V95&lt;&gt;"N/A - Culvert"),"Not possible ▲",IF(VLOOKUP(V95,'G-7 WaterC'' Data'!$AA$4:$AB$7,2,FALSE)=0,"Spatial Data Missing ⚠",VLOOKUP(V95,'G-7 WaterC'' Data'!$AA$4:$AB$7,2,FALSE)))))</f>
        <v/>
      </c>
      <c r="X95" s="56"/>
      <c r="Y95" s="276" t="str">
        <f>IF(X95="","",IF(AND(X95="N/A - Culvert",C95&lt;&gt;"Culvert"),"Not possible ▲",IF(AND(C95="Culvert",X95&lt;&gt;"N/A - Culvert"),"Not possible ▲",IF(VLOOKUP(X95,'G-7 WaterC'' Data'!$AD$4:$AE$14,2,FALSE)=0,"Enrcoachment Data Missing ⚠",VLOOKUP(X95,'G-7 WaterC'' Data'!$AD$4:$AE$14,2,FALSE)))))</f>
        <v/>
      </c>
      <c r="Z95" s="317" t="str">
        <f t="shared" si="10"/>
        <v/>
      </c>
      <c r="AA95" s="101"/>
      <c r="AB95" s="115"/>
      <c r="AC95" s="104"/>
      <c r="AH95" s="30" t="str">
        <f>IFERROR(INDEX('G-7 WaterC'' Data'!$AZ$3:$AZ$7,MATCH(C95,'G-7 WaterC'' Data'!$AY$3:$AY$7,0)),"")</f>
        <v/>
      </c>
      <c r="AK95" s="30" t="str">
        <f t="shared" si="11"/>
        <v>No</v>
      </c>
    </row>
    <row r="96" spans="2:37" ht="14">
      <c r="B96" s="97">
        <v>85</v>
      </c>
      <c r="C96" s="920"/>
      <c r="D96" s="115"/>
      <c r="E96" s="275" t="str">
        <f>IF(C96="","",VLOOKUP(C96,'G-7 WaterC'' Data'!$B$2:$G$8,2,FALSE))</f>
        <v/>
      </c>
      <c r="F96" s="276" t="str">
        <f>IFERROR(VLOOKUP(E96,'G-7 WaterC'' Data'!$C$4:$D$8,2,FALSE),"")</f>
        <v/>
      </c>
      <c r="G96" s="101"/>
      <c r="H96" s="276" t="str">
        <f>IFERROR(INDEX('G-7 WaterC'' Data'!$H$4:$L$8,MATCH(C96,'G-7 WaterC'' Data'!$B$4:$B$8,0),MATCH(G96,'G-7 WaterC'' Data'!$H$3:$L$3,0)),"")</f>
        <v/>
      </c>
      <c r="I96" s="52"/>
      <c r="J96" s="283" t="str">
        <f>IF(I96="","",IF(VLOOKUP(I96,'G-7 WaterC'' Data'!$AK$4:$AM$6,2,FALSE)=0,"Spatial Data Missing ⚠",VLOOKUP(I96,'G-7 WaterC'' Data'!$AK$4:$AM$6,2,FALSE)))</f>
        <v/>
      </c>
      <c r="K96" s="276" t="str">
        <f>IF(I96="","",IF(VLOOKUP(I96,'G-7 WaterC'' Data'!$AK$4:$AM$6,3,FALSE)=0,"Spatial Data Missing ⚠",VLOOKUP(I96,'G-7 WaterC'' Data'!$AK$4:$AM$6,3,FALSE)))</f>
        <v/>
      </c>
      <c r="L96" s="275" t="str">
        <f>IFERROR(INDEX('G-7 WaterC'' Data'!$O$3:$O$7,MATCH(G96,'G-7 WaterC'' Data'!$N$3:$N$7,0)),"")</f>
        <v/>
      </c>
      <c r="M96" s="58"/>
      <c r="N96" s="133"/>
      <c r="O96" s="283" t="str">
        <f t="shared" si="6"/>
        <v/>
      </c>
      <c r="P96" s="296" t="str">
        <f t="shared" si="7"/>
        <v/>
      </c>
      <c r="Q96" s="334" t="str">
        <f>IFERROR(IF(P96="Check Data ⚠","Check Data ⚠",VLOOKUP(P96,'G-4 Temporal multipliers'!$A$4:$C$37,3,FALSE)),"")</f>
        <v/>
      </c>
      <c r="R96" s="275" t="str">
        <f>IF(C96="","",VLOOKUP(C96,'G-7 WaterC'' Data'!$B$4:$G$8,4,FALSE))</f>
        <v/>
      </c>
      <c r="S96" s="283" t="str">
        <f t="shared" si="8"/>
        <v/>
      </c>
      <c r="T96" s="314" t="str">
        <f t="shared" si="9"/>
        <v/>
      </c>
      <c r="U96" s="276" t="str">
        <f>IF(C96="","",VLOOKUP(T96,'G-3 Multipliers'!$P$2:$Q$6,2,FALSE))</f>
        <v/>
      </c>
      <c r="V96" s="102"/>
      <c r="W96" s="276" t="str">
        <f>IF(V96="","",IF(AND(V96="N/A - Culvert",C96&lt;&gt;"Culvert"),"Not possible ▲",IF(AND(C96="Culvert",V96&lt;&gt;"N/A - Culvert"),"Not possible ▲",IF(VLOOKUP(V96,'G-7 WaterC'' Data'!$AA$4:$AB$7,2,FALSE)=0,"Spatial Data Missing ⚠",VLOOKUP(V96,'G-7 WaterC'' Data'!$AA$4:$AB$7,2,FALSE)))))</f>
        <v/>
      </c>
      <c r="X96" s="56"/>
      <c r="Y96" s="276" t="str">
        <f>IF(X96="","",IF(AND(X96="N/A - Culvert",C96&lt;&gt;"Culvert"),"Not possible ▲",IF(AND(C96="Culvert",X96&lt;&gt;"N/A - Culvert"),"Not possible ▲",IF(VLOOKUP(X96,'G-7 WaterC'' Data'!$AD$4:$AE$14,2,FALSE)=0,"Enrcoachment Data Missing ⚠",VLOOKUP(X96,'G-7 WaterC'' Data'!$AD$4:$AE$14,2,FALSE)))))</f>
        <v/>
      </c>
      <c r="Z96" s="317" t="str">
        <f t="shared" si="10"/>
        <v/>
      </c>
      <c r="AA96" s="101"/>
      <c r="AB96" s="115"/>
      <c r="AC96" s="104"/>
      <c r="AH96" s="30" t="str">
        <f>IFERROR(INDEX('G-7 WaterC'' Data'!$AZ$3:$AZ$7,MATCH(C96,'G-7 WaterC'' Data'!$AY$3:$AY$7,0)),"")</f>
        <v/>
      </c>
      <c r="AK96" s="30" t="str">
        <f t="shared" si="11"/>
        <v>No</v>
      </c>
    </row>
    <row r="97" spans="2:37" ht="14">
      <c r="B97" s="97">
        <v>86</v>
      </c>
      <c r="C97" s="920"/>
      <c r="D97" s="115"/>
      <c r="E97" s="275" t="str">
        <f>IF(C97="","",VLOOKUP(C97,'G-7 WaterC'' Data'!$B$2:$G$8,2,FALSE))</f>
        <v/>
      </c>
      <c r="F97" s="276" t="str">
        <f>IFERROR(VLOOKUP(E97,'G-7 WaterC'' Data'!$C$4:$D$8,2,FALSE),"")</f>
        <v/>
      </c>
      <c r="G97" s="101"/>
      <c r="H97" s="276" t="str">
        <f>IFERROR(INDEX('G-7 WaterC'' Data'!$H$4:$L$8,MATCH(C97,'G-7 WaterC'' Data'!$B$4:$B$8,0),MATCH(G97,'G-7 WaterC'' Data'!$H$3:$L$3,0)),"")</f>
        <v/>
      </c>
      <c r="I97" s="52"/>
      <c r="J97" s="283" t="str">
        <f>IF(I97="","",IF(VLOOKUP(I97,'G-7 WaterC'' Data'!$AK$4:$AM$6,2,FALSE)=0,"Spatial Data Missing ⚠",VLOOKUP(I97,'G-7 WaterC'' Data'!$AK$4:$AM$6,2,FALSE)))</f>
        <v/>
      </c>
      <c r="K97" s="276" t="str">
        <f>IF(I97="","",IF(VLOOKUP(I97,'G-7 WaterC'' Data'!$AK$4:$AM$6,3,FALSE)=0,"Spatial Data Missing ⚠",VLOOKUP(I97,'G-7 WaterC'' Data'!$AK$4:$AM$6,3,FALSE)))</f>
        <v/>
      </c>
      <c r="L97" s="275" t="str">
        <f>IFERROR(INDEX('G-7 WaterC'' Data'!$O$3:$O$7,MATCH(G97,'G-7 WaterC'' Data'!$N$3:$N$7,0)),"")</f>
        <v/>
      </c>
      <c r="M97" s="58"/>
      <c r="N97" s="133"/>
      <c r="O97" s="283" t="str">
        <f t="shared" si="6"/>
        <v/>
      </c>
      <c r="P97" s="296" t="str">
        <f t="shared" si="7"/>
        <v/>
      </c>
      <c r="Q97" s="334" t="str">
        <f>IFERROR(IF(P97="Check Data ⚠","Check Data ⚠",VLOOKUP(P97,'G-4 Temporal multipliers'!$A$4:$C$37,3,FALSE)),"")</f>
        <v/>
      </c>
      <c r="R97" s="275" t="str">
        <f>IF(C97="","",VLOOKUP(C97,'G-7 WaterC'' Data'!$B$4:$G$8,4,FALSE))</f>
        <v/>
      </c>
      <c r="S97" s="283" t="str">
        <f t="shared" si="8"/>
        <v/>
      </c>
      <c r="T97" s="314" t="str">
        <f t="shared" si="9"/>
        <v/>
      </c>
      <c r="U97" s="276" t="str">
        <f>IF(C97="","",VLOOKUP(T97,'G-3 Multipliers'!$P$2:$Q$6,2,FALSE))</f>
        <v/>
      </c>
      <c r="V97" s="102"/>
      <c r="W97" s="276" t="str">
        <f>IF(V97="","",IF(AND(V97="N/A - Culvert",C97&lt;&gt;"Culvert"),"Not possible ▲",IF(AND(C97="Culvert",V97&lt;&gt;"N/A - Culvert"),"Not possible ▲",IF(VLOOKUP(V97,'G-7 WaterC'' Data'!$AA$4:$AB$7,2,FALSE)=0,"Spatial Data Missing ⚠",VLOOKUP(V97,'G-7 WaterC'' Data'!$AA$4:$AB$7,2,FALSE)))))</f>
        <v/>
      </c>
      <c r="X97" s="56"/>
      <c r="Y97" s="276" t="str">
        <f>IF(X97="","",IF(AND(X97="N/A - Culvert",C97&lt;&gt;"Culvert"),"Not possible ▲",IF(AND(C97="Culvert",X97&lt;&gt;"N/A - Culvert"),"Not possible ▲",IF(VLOOKUP(X97,'G-7 WaterC'' Data'!$AD$4:$AE$14,2,FALSE)=0,"Enrcoachment Data Missing ⚠",VLOOKUP(X97,'G-7 WaterC'' Data'!$AD$4:$AE$14,2,FALSE)))))</f>
        <v/>
      </c>
      <c r="Z97" s="317" t="str">
        <f t="shared" si="10"/>
        <v/>
      </c>
      <c r="AA97" s="101"/>
      <c r="AB97" s="115"/>
      <c r="AC97" s="104"/>
      <c r="AH97" s="30" t="str">
        <f>IFERROR(INDEX('G-7 WaterC'' Data'!$AZ$3:$AZ$7,MATCH(C97,'G-7 WaterC'' Data'!$AY$3:$AY$7,0)),"")</f>
        <v/>
      </c>
      <c r="AK97" s="30" t="str">
        <f t="shared" si="11"/>
        <v>No</v>
      </c>
    </row>
    <row r="98" spans="2:37" ht="14">
      <c r="B98" s="97">
        <v>87</v>
      </c>
      <c r="C98" s="920"/>
      <c r="D98" s="115"/>
      <c r="E98" s="275" t="str">
        <f>IF(C98="","",VLOOKUP(C98,'G-7 WaterC'' Data'!$B$2:$G$8,2,FALSE))</f>
        <v/>
      </c>
      <c r="F98" s="276" t="str">
        <f>IFERROR(VLOOKUP(E98,'G-7 WaterC'' Data'!$C$4:$D$8,2,FALSE),"")</f>
        <v/>
      </c>
      <c r="G98" s="101"/>
      <c r="H98" s="276" t="str">
        <f>IFERROR(INDEX('G-7 WaterC'' Data'!$H$4:$L$8,MATCH(C98,'G-7 WaterC'' Data'!$B$4:$B$8,0),MATCH(G98,'G-7 WaterC'' Data'!$H$3:$L$3,0)),"")</f>
        <v/>
      </c>
      <c r="I98" s="52"/>
      <c r="J98" s="283" t="str">
        <f>IF(I98="","",IF(VLOOKUP(I98,'G-7 WaterC'' Data'!$AK$4:$AM$6,2,FALSE)=0,"Spatial Data Missing ⚠",VLOOKUP(I98,'G-7 WaterC'' Data'!$AK$4:$AM$6,2,FALSE)))</f>
        <v/>
      </c>
      <c r="K98" s="276" t="str">
        <f>IF(I98="","",IF(VLOOKUP(I98,'G-7 WaterC'' Data'!$AK$4:$AM$6,3,FALSE)=0,"Spatial Data Missing ⚠",VLOOKUP(I98,'G-7 WaterC'' Data'!$AK$4:$AM$6,3,FALSE)))</f>
        <v/>
      </c>
      <c r="L98" s="275" t="str">
        <f>IFERROR(INDEX('G-7 WaterC'' Data'!$O$3:$O$7,MATCH(G98,'G-7 WaterC'' Data'!$N$3:$N$7,0)),"")</f>
        <v/>
      </c>
      <c r="M98" s="58"/>
      <c r="N98" s="133"/>
      <c r="O98" s="283" t="str">
        <f t="shared" si="6"/>
        <v/>
      </c>
      <c r="P98" s="296" t="str">
        <f t="shared" si="7"/>
        <v/>
      </c>
      <c r="Q98" s="334" t="str">
        <f>IFERROR(IF(P98="Check Data ⚠","Check Data ⚠",VLOOKUP(P98,'G-4 Temporal multipliers'!$A$4:$C$37,3,FALSE)),"")</f>
        <v/>
      </c>
      <c r="R98" s="275" t="str">
        <f>IF(C98="","",VLOOKUP(C98,'G-7 WaterC'' Data'!$B$4:$G$8,4,FALSE))</f>
        <v/>
      </c>
      <c r="S98" s="283" t="str">
        <f t="shared" si="8"/>
        <v/>
      </c>
      <c r="T98" s="314" t="str">
        <f t="shared" si="9"/>
        <v/>
      </c>
      <c r="U98" s="276" t="str">
        <f>IF(C98="","",VLOOKUP(T98,'G-3 Multipliers'!$P$2:$Q$6,2,FALSE))</f>
        <v/>
      </c>
      <c r="V98" s="102"/>
      <c r="W98" s="276" t="str">
        <f>IF(V98="","",IF(AND(V98="N/A - Culvert",C98&lt;&gt;"Culvert"),"Not possible ▲",IF(AND(C98="Culvert",V98&lt;&gt;"N/A - Culvert"),"Not possible ▲",IF(VLOOKUP(V98,'G-7 WaterC'' Data'!$AA$4:$AB$7,2,FALSE)=0,"Spatial Data Missing ⚠",VLOOKUP(V98,'G-7 WaterC'' Data'!$AA$4:$AB$7,2,FALSE)))))</f>
        <v/>
      </c>
      <c r="X98" s="56"/>
      <c r="Y98" s="276" t="str">
        <f>IF(X98="","",IF(AND(X98="N/A - Culvert",C98&lt;&gt;"Culvert"),"Not possible ▲",IF(AND(C98="Culvert",X98&lt;&gt;"N/A - Culvert"),"Not possible ▲",IF(VLOOKUP(X98,'G-7 WaterC'' Data'!$AD$4:$AE$14,2,FALSE)=0,"Enrcoachment Data Missing ⚠",VLOOKUP(X98,'G-7 WaterC'' Data'!$AD$4:$AE$14,2,FALSE)))))</f>
        <v/>
      </c>
      <c r="Z98" s="317" t="str">
        <f t="shared" si="10"/>
        <v/>
      </c>
      <c r="AA98" s="101"/>
      <c r="AB98" s="115"/>
      <c r="AC98" s="104"/>
      <c r="AH98" s="30" t="str">
        <f>IFERROR(INDEX('G-7 WaterC'' Data'!$AZ$3:$AZ$7,MATCH(C98,'G-7 WaterC'' Data'!$AY$3:$AY$7,0)),"")</f>
        <v/>
      </c>
      <c r="AK98" s="30" t="str">
        <f t="shared" si="11"/>
        <v>No</v>
      </c>
    </row>
    <row r="99" spans="2:37" ht="14">
      <c r="B99" s="97">
        <v>88</v>
      </c>
      <c r="C99" s="920"/>
      <c r="D99" s="115"/>
      <c r="E99" s="275" t="str">
        <f>IF(C99="","",VLOOKUP(C99,'G-7 WaterC'' Data'!$B$2:$G$8,2,FALSE))</f>
        <v/>
      </c>
      <c r="F99" s="276" t="str">
        <f>IFERROR(VLOOKUP(E99,'G-7 WaterC'' Data'!$C$4:$D$8,2,FALSE),"")</f>
        <v/>
      </c>
      <c r="G99" s="101"/>
      <c r="H99" s="276" t="str">
        <f>IFERROR(INDEX('G-7 WaterC'' Data'!$H$4:$L$8,MATCH(C99,'G-7 WaterC'' Data'!$B$4:$B$8,0),MATCH(G99,'G-7 WaterC'' Data'!$H$3:$L$3,0)),"")</f>
        <v/>
      </c>
      <c r="I99" s="52"/>
      <c r="J99" s="283" t="str">
        <f>IF(I99="","",IF(VLOOKUP(I99,'G-7 WaterC'' Data'!$AK$4:$AM$6,2,FALSE)=0,"Spatial Data Missing ⚠",VLOOKUP(I99,'G-7 WaterC'' Data'!$AK$4:$AM$6,2,FALSE)))</f>
        <v/>
      </c>
      <c r="K99" s="276" t="str">
        <f>IF(I99="","",IF(VLOOKUP(I99,'G-7 WaterC'' Data'!$AK$4:$AM$6,3,FALSE)=0,"Spatial Data Missing ⚠",VLOOKUP(I99,'G-7 WaterC'' Data'!$AK$4:$AM$6,3,FALSE)))</f>
        <v/>
      </c>
      <c r="L99" s="275" t="str">
        <f>IFERROR(INDEX('G-7 WaterC'' Data'!$O$3:$O$7,MATCH(G99,'G-7 WaterC'' Data'!$N$3:$N$7,0)),"")</f>
        <v/>
      </c>
      <c r="M99" s="58"/>
      <c r="N99" s="133"/>
      <c r="O99" s="283" t="str">
        <f t="shared" si="6"/>
        <v/>
      </c>
      <c r="P99" s="296" t="str">
        <f t="shared" si="7"/>
        <v/>
      </c>
      <c r="Q99" s="334" t="str">
        <f>IFERROR(IF(P99="Check Data ⚠","Check Data ⚠",VLOOKUP(P99,'G-4 Temporal multipliers'!$A$4:$C$37,3,FALSE)),"")</f>
        <v/>
      </c>
      <c r="R99" s="275" t="str">
        <f>IF(C99="","",VLOOKUP(C99,'G-7 WaterC'' Data'!$B$4:$G$8,4,FALSE))</f>
        <v/>
      </c>
      <c r="S99" s="283" t="str">
        <f t="shared" si="8"/>
        <v/>
      </c>
      <c r="T99" s="314" t="str">
        <f t="shared" si="9"/>
        <v/>
      </c>
      <c r="U99" s="276" t="str">
        <f>IF(C99="","",VLOOKUP(T99,'G-3 Multipliers'!$P$2:$Q$6,2,FALSE))</f>
        <v/>
      </c>
      <c r="V99" s="102"/>
      <c r="W99" s="276" t="str">
        <f>IF(V99="","",IF(AND(V99="N/A - Culvert",C99&lt;&gt;"Culvert"),"Not possible ▲",IF(AND(C99="Culvert",V99&lt;&gt;"N/A - Culvert"),"Not possible ▲",IF(VLOOKUP(V99,'G-7 WaterC'' Data'!$AA$4:$AB$7,2,FALSE)=0,"Spatial Data Missing ⚠",VLOOKUP(V99,'G-7 WaterC'' Data'!$AA$4:$AB$7,2,FALSE)))))</f>
        <v/>
      </c>
      <c r="X99" s="56"/>
      <c r="Y99" s="276" t="str">
        <f>IF(X99="","",IF(AND(X99="N/A - Culvert",C99&lt;&gt;"Culvert"),"Not possible ▲",IF(AND(C99="Culvert",X99&lt;&gt;"N/A - Culvert"),"Not possible ▲",IF(VLOOKUP(X99,'G-7 WaterC'' Data'!$AD$4:$AE$14,2,FALSE)=0,"Enrcoachment Data Missing ⚠",VLOOKUP(X99,'G-7 WaterC'' Data'!$AD$4:$AE$14,2,FALSE)))))</f>
        <v/>
      </c>
      <c r="Z99" s="317" t="str">
        <f t="shared" si="10"/>
        <v/>
      </c>
      <c r="AA99" s="101"/>
      <c r="AB99" s="115"/>
      <c r="AC99" s="104"/>
      <c r="AH99" s="30" t="str">
        <f>IFERROR(INDEX('G-7 WaterC'' Data'!$AZ$3:$AZ$7,MATCH(C99,'G-7 WaterC'' Data'!$AY$3:$AY$7,0)),"")</f>
        <v/>
      </c>
      <c r="AK99" s="30" t="str">
        <f t="shared" si="11"/>
        <v>No</v>
      </c>
    </row>
    <row r="100" spans="2:37" ht="14">
      <c r="B100" s="97">
        <v>89</v>
      </c>
      <c r="C100" s="920"/>
      <c r="D100" s="115"/>
      <c r="E100" s="275" t="str">
        <f>IF(C100="","",VLOOKUP(C100,'G-7 WaterC'' Data'!$B$2:$G$8,2,FALSE))</f>
        <v/>
      </c>
      <c r="F100" s="276" t="str">
        <f>IFERROR(VLOOKUP(E100,'G-7 WaterC'' Data'!$C$4:$D$8,2,FALSE),"")</f>
        <v/>
      </c>
      <c r="G100" s="101"/>
      <c r="H100" s="276" t="str">
        <f>IFERROR(INDEX('G-7 WaterC'' Data'!$H$4:$L$8,MATCH(C100,'G-7 WaterC'' Data'!$B$4:$B$8,0),MATCH(G100,'G-7 WaterC'' Data'!$H$3:$L$3,0)),"")</f>
        <v/>
      </c>
      <c r="I100" s="52"/>
      <c r="J100" s="283" t="str">
        <f>IF(I100="","",IF(VLOOKUP(I100,'G-7 WaterC'' Data'!$AK$4:$AM$6,2,FALSE)=0,"Spatial Data Missing ⚠",VLOOKUP(I100,'G-7 WaterC'' Data'!$AK$4:$AM$6,2,FALSE)))</f>
        <v/>
      </c>
      <c r="K100" s="276" t="str">
        <f>IF(I100="","",IF(VLOOKUP(I100,'G-7 WaterC'' Data'!$AK$4:$AM$6,3,FALSE)=0,"Spatial Data Missing ⚠",VLOOKUP(I100,'G-7 WaterC'' Data'!$AK$4:$AM$6,3,FALSE)))</f>
        <v/>
      </c>
      <c r="L100" s="275" t="str">
        <f>IFERROR(INDEX('G-7 WaterC'' Data'!$O$3:$O$7,MATCH(G100,'G-7 WaterC'' Data'!$N$3:$N$7,0)),"")</f>
        <v/>
      </c>
      <c r="M100" s="58"/>
      <c r="N100" s="133"/>
      <c r="O100" s="283" t="str">
        <f t="shared" si="6"/>
        <v/>
      </c>
      <c r="P100" s="296" t="str">
        <f t="shared" si="7"/>
        <v/>
      </c>
      <c r="Q100" s="334" t="str">
        <f>IFERROR(IF(P100="Check Data ⚠","Check Data ⚠",VLOOKUP(P100,'G-4 Temporal multipliers'!$A$4:$C$37,3,FALSE)),"")</f>
        <v/>
      </c>
      <c r="R100" s="275" t="str">
        <f>IF(C100="","",VLOOKUP(C100,'G-7 WaterC'' Data'!$B$4:$G$8,4,FALSE))</f>
        <v/>
      </c>
      <c r="S100" s="283" t="str">
        <f t="shared" si="8"/>
        <v/>
      </c>
      <c r="T100" s="314" t="str">
        <f t="shared" si="9"/>
        <v/>
      </c>
      <c r="U100" s="276" t="str">
        <f>IF(C100="","",VLOOKUP(T100,'G-3 Multipliers'!$P$2:$Q$6,2,FALSE))</f>
        <v/>
      </c>
      <c r="V100" s="102"/>
      <c r="W100" s="276" t="str">
        <f>IF(V100="","",IF(AND(V100="N/A - Culvert",C100&lt;&gt;"Culvert"),"Not possible ▲",IF(AND(C100="Culvert",V100&lt;&gt;"N/A - Culvert"),"Not possible ▲",IF(VLOOKUP(V100,'G-7 WaterC'' Data'!$AA$4:$AB$7,2,FALSE)=0,"Spatial Data Missing ⚠",VLOOKUP(V100,'G-7 WaterC'' Data'!$AA$4:$AB$7,2,FALSE)))))</f>
        <v/>
      </c>
      <c r="X100" s="56"/>
      <c r="Y100" s="276" t="str">
        <f>IF(X100="","",IF(AND(X100="N/A - Culvert",C100&lt;&gt;"Culvert"),"Not possible ▲",IF(AND(C100="Culvert",X100&lt;&gt;"N/A - Culvert"),"Not possible ▲",IF(VLOOKUP(X100,'G-7 WaterC'' Data'!$AD$4:$AE$14,2,FALSE)=0,"Enrcoachment Data Missing ⚠",VLOOKUP(X100,'G-7 WaterC'' Data'!$AD$4:$AE$14,2,FALSE)))))</f>
        <v/>
      </c>
      <c r="Z100" s="317" t="str">
        <f t="shared" si="10"/>
        <v/>
      </c>
      <c r="AA100" s="101"/>
      <c r="AB100" s="115"/>
      <c r="AC100" s="104"/>
      <c r="AH100" s="30" t="str">
        <f>IFERROR(INDEX('G-7 WaterC'' Data'!$AZ$3:$AZ$7,MATCH(C100,'G-7 WaterC'' Data'!$AY$3:$AY$7,0)),"")</f>
        <v/>
      </c>
      <c r="AK100" s="30" t="str">
        <f t="shared" si="11"/>
        <v>No</v>
      </c>
    </row>
    <row r="101" spans="2:37" ht="14">
      <c r="B101" s="97">
        <v>90</v>
      </c>
      <c r="C101" s="920"/>
      <c r="D101" s="115"/>
      <c r="E101" s="275" t="str">
        <f>IF(C101="","",VLOOKUP(C101,'G-7 WaterC'' Data'!$B$2:$G$8,2,FALSE))</f>
        <v/>
      </c>
      <c r="F101" s="276" t="str">
        <f>IFERROR(VLOOKUP(E101,'G-7 WaterC'' Data'!$C$4:$D$8,2,FALSE),"")</f>
        <v/>
      </c>
      <c r="G101" s="101"/>
      <c r="H101" s="276" t="str">
        <f>IFERROR(INDEX('G-7 WaterC'' Data'!$H$4:$L$8,MATCH(C101,'G-7 WaterC'' Data'!$B$4:$B$8,0),MATCH(G101,'G-7 WaterC'' Data'!$H$3:$L$3,0)),"")</f>
        <v/>
      </c>
      <c r="I101" s="52"/>
      <c r="J101" s="283" t="str">
        <f>IF(I101="","",IF(VLOOKUP(I101,'G-7 WaterC'' Data'!$AK$4:$AM$6,2,FALSE)=0,"Spatial Data Missing ⚠",VLOOKUP(I101,'G-7 WaterC'' Data'!$AK$4:$AM$6,2,FALSE)))</f>
        <v/>
      </c>
      <c r="K101" s="276" t="str">
        <f>IF(I101="","",IF(VLOOKUP(I101,'G-7 WaterC'' Data'!$AK$4:$AM$6,3,FALSE)=0,"Spatial Data Missing ⚠",VLOOKUP(I101,'G-7 WaterC'' Data'!$AK$4:$AM$6,3,FALSE)))</f>
        <v/>
      </c>
      <c r="L101" s="275" t="str">
        <f>IFERROR(INDEX('G-7 WaterC'' Data'!$O$3:$O$7,MATCH(G101,'G-7 WaterC'' Data'!$N$3:$N$7,0)),"")</f>
        <v/>
      </c>
      <c r="M101" s="58"/>
      <c r="N101" s="133"/>
      <c r="O101" s="283" t="str">
        <f t="shared" si="6"/>
        <v/>
      </c>
      <c r="P101" s="296" t="str">
        <f t="shared" si="7"/>
        <v/>
      </c>
      <c r="Q101" s="334" t="str">
        <f>IFERROR(IF(P101="Check Data ⚠","Check Data ⚠",VLOOKUP(P101,'G-4 Temporal multipliers'!$A$4:$C$37,3,FALSE)),"")</f>
        <v/>
      </c>
      <c r="R101" s="275" t="str">
        <f>IF(C101="","",VLOOKUP(C101,'G-7 WaterC'' Data'!$B$4:$G$8,4,FALSE))</f>
        <v/>
      </c>
      <c r="S101" s="283" t="str">
        <f t="shared" si="8"/>
        <v/>
      </c>
      <c r="T101" s="314" t="str">
        <f t="shared" si="9"/>
        <v/>
      </c>
      <c r="U101" s="276" t="str">
        <f>IF(C101="","",VLOOKUP(T101,'G-3 Multipliers'!$P$2:$Q$6,2,FALSE))</f>
        <v/>
      </c>
      <c r="V101" s="102"/>
      <c r="W101" s="276" t="str">
        <f>IF(V101="","",IF(AND(V101="N/A - Culvert",C101&lt;&gt;"Culvert"),"Not possible ▲",IF(AND(C101="Culvert",V101&lt;&gt;"N/A - Culvert"),"Not possible ▲",IF(VLOOKUP(V101,'G-7 WaterC'' Data'!$AA$4:$AB$7,2,FALSE)=0,"Spatial Data Missing ⚠",VLOOKUP(V101,'G-7 WaterC'' Data'!$AA$4:$AB$7,2,FALSE)))))</f>
        <v/>
      </c>
      <c r="X101" s="56"/>
      <c r="Y101" s="276" t="str">
        <f>IF(X101="","",IF(AND(X101="N/A - Culvert",C101&lt;&gt;"Culvert"),"Not possible ▲",IF(AND(C101="Culvert",X101&lt;&gt;"N/A - Culvert"),"Not possible ▲",IF(VLOOKUP(X101,'G-7 WaterC'' Data'!$AD$4:$AE$14,2,FALSE)=0,"Enrcoachment Data Missing ⚠",VLOOKUP(X101,'G-7 WaterC'' Data'!$AD$4:$AE$14,2,FALSE)))))</f>
        <v/>
      </c>
      <c r="Z101" s="317" t="str">
        <f t="shared" si="10"/>
        <v/>
      </c>
      <c r="AA101" s="101"/>
      <c r="AB101" s="115"/>
      <c r="AC101" s="104"/>
      <c r="AH101" s="30" t="str">
        <f>IFERROR(INDEX('G-7 WaterC'' Data'!$AZ$3:$AZ$7,MATCH(C101,'G-7 WaterC'' Data'!$AY$3:$AY$7,0)),"")</f>
        <v/>
      </c>
      <c r="AK101" s="30" t="str">
        <f t="shared" si="11"/>
        <v>No</v>
      </c>
    </row>
    <row r="102" spans="2:37" ht="14">
      <c r="B102" s="97">
        <v>91</v>
      </c>
      <c r="C102" s="920"/>
      <c r="D102" s="115"/>
      <c r="E102" s="275" t="str">
        <f>IF(C102="","",VLOOKUP(C102,'G-7 WaterC'' Data'!$B$2:$G$8,2,FALSE))</f>
        <v/>
      </c>
      <c r="F102" s="276" t="str">
        <f>IFERROR(VLOOKUP(E102,'G-7 WaterC'' Data'!$C$4:$D$8,2,FALSE),"")</f>
        <v/>
      </c>
      <c r="G102" s="101"/>
      <c r="H102" s="276" t="str">
        <f>IFERROR(INDEX('G-7 WaterC'' Data'!$H$4:$L$8,MATCH(C102,'G-7 WaterC'' Data'!$B$4:$B$8,0),MATCH(G102,'G-7 WaterC'' Data'!$H$3:$L$3,0)),"")</f>
        <v/>
      </c>
      <c r="I102" s="52"/>
      <c r="J102" s="283" t="str">
        <f>IF(I102="","",IF(VLOOKUP(I102,'G-7 WaterC'' Data'!$AK$4:$AM$6,2,FALSE)=0,"Spatial Data Missing ⚠",VLOOKUP(I102,'G-7 WaterC'' Data'!$AK$4:$AM$6,2,FALSE)))</f>
        <v/>
      </c>
      <c r="K102" s="276" t="str">
        <f>IF(I102="","",IF(VLOOKUP(I102,'G-7 WaterC'' Data'!$AK$4:$AM$6,3,FALSE)=0,"Spatial Data Missing ⚠",VLOOKUP(I102,'G-7 WaterC'' Data'!$AK$4:$AM$6,3,FALSE)))</f>
        <v/>
      </c>
      <c r="L102" s="275" t="str">
        <f>IFERROR(INDEX('G-7 WaterC'' Data'!$O$3:$O$7,MATCH(G102,'G-7 WaterC'' Data'!$N$3:$N$7,0)),"")</f>
        <v/>
      </c>
      <c r="M102" s="58"/>
      <c r="N102" s="133"/>
      <c r="O102" s="283" t="str">
        <f t="shared" si="6"/>
        <v/>
      </c>
      <c r="P102" s="296" t="str">
        <f t="shared" si="7"/>
        <v/>
      </c>
      <c r="Q102" s="334" t="str">
        <f>IFERROR(IF(P102="Check Data ⚠","Check Data ⚠",VLOOKUP(P102,'G-4 Temporal multipliers'!$A$4:$C$37,3,FALSE)),"")</f>
        <v/>
      </c>
      <c r="R102" s="275" t="str">
        <f>IF(C102="","",VLOOKUP(C102,'G-7 WaterC'' Data'!$B$4:$G$8,4,FALSE))</f>
        <v/>
      </c>
      <c r="S102" s="283" t="str">
        <f t="shared" si="8"/>
        <v/>
      </c>
      <c r="T102" s="314" t="str">
        <f t="shared" si="9"/>
        <v/>
      </c>
      <c r="U102" s="276" t="str">
        <f>IF(C102="","",VLOOKUP(T102,'G-3 Multipliers'!$P$2:$Q$6,2,FALSE))</f>
        <v/>
      </c>
      <c r="V102" s="102"/>
      <c r="W102" s="276" t="str">
        <f>IF(V102="","",IF(AND(V102="N/A - Culvert",C102&lt;&gt;"Culvert"),"Not possible ▲",IF(AND(C102="Culvert",V102&lt;&gt;"N/A - Culvert"),"Not possible ▲",IF(VLOOKUP(V102,'G-7 WaterC'' Data'!$AA$4:$AB$7,2,FALSE)=0,"Spatial Data Missing ⚠",VLOOKUP(V102,'G-7 WaterC'' Data'!$AA$4:$AB$7,2,FALSE)))))</f>
        <v/>
      </c>
      <c r="X102" s="56"/>
      <c r="Y102" s="276" t="str">
        <f>IF(X102="","",IF(AND(X102="N/A - Culvert",C102&lt;&gt;"Culvert"),"Not possible ▲",IF(AND(C102="Culvert",X102&lt;&gt;"N/A - Culvert"),"Not possible ▲",IF(VLOOKUP(X102,'G-7 WaterC'' Data'!$AD$4:$AE$14,2,FALSE)=0,"Enrcoachment Data Missing ⚠",VLOOKUP(X102,'G-7 WaterC'' Data'!$AD$4:$AE$14,2,FALSE)))))</f>
        <v/>
      </c>
      <c r="Z102" s="317" t="str">
        <f t="shared" si="10"/>
        <v/>
      </c>
      <c r="AA102" s="101"/>
      <c r="AB102" s="115"/>
      <c r="AC102" s="104"/>
      <c r="AH102" s="30" t="str">
        <f>IFERROR(INDEX('G-7 WaterC'' Data'!$AZ$3:$AZ$7,MATCH(C102,'G-7 WaterC'' Data'!$AY$3:$AY$7,0)),"")</f>
        <v/>
      </c>
      <c r="AK102" s="30" t="str">
        <f t="shared" si="11"/>
        <v>No</v>
      </c>
    </row>
    <row r="103" spans="2:37" ht="14">
      <c r="B103" s="97">
        <v>92</v>
      </c>
      <c r="C103" s="920"/>
      <c r="D103" s="115"/>
      <c r="E103" s="275" t="str">
        <f>IF(C103="","",VLOOKUP(C103,'G-7 WaterC'' Data'!$B$2:$G$8,2,FALSE))</f>
        <v/>
      </c>
      <c r="F103" s="276" t="str">
        <f>IFERROR(VLOOKUP(E103,'G-7 WaterC'' Data'!$C$4:$D$8,2,FALSE),"")</f>
        <v/>
      </c>
      <c r="G103" s="101"/>
      <c r="H103" s="276" t="str">
        <f>IFERROR(INDEX('G-7 WaterC'' Data'!$H$4:$L$8,MATCH(C103,'G-7 WaterC'' Data'!$B$4:$B$8,0),MATCH(G103,'G-7 WaterC'' Data'!$H$3:$L$3,0)),"")</f>
        <v/>
      </c>
      <c r="I103" s="52"/>
      <c r="J103" s="283" t="str">
        <f>IF(I103="","",IF(VLOOKUP(I103,'G-7 WaterC'' Data'!$AK$4:$AM$6,2,FALSE)=0,"Spatial Data Missing ⚠",VLOOKUP(I103,'G-7 WaterC'' Data'!$AK$4:$AM$6,2,FALSE)))</f>
        <v/>
      </c>
      <c r="K103" s="276" t="str">
        <f>IF(I103="","",IF(VLOOKUP(I103,'G-7 WaterC'' Data'!$AK$4:$AM$6,3,FALSE)=0,"Spatial Data Missing ⚠",VLOOKUP(I103,'G-7 WaterC'' Data'!$AK$4:$AM$6,3,FALSE)))</f>
        <v/>
      </c>
      <c r="L103" s="275" t="str">
        <f>IFERROR(INDEX('G-7 WaterC'' Data'!$O$3:$O$7,MATCH(G103,'G-7 WaterC'' Data'!$N$3:$N$7,0)),"")</f>
        <v/>
      </c>
      <c r="M103" s="58"/>
      <c r="N103" s="133"/>
      <c r="O103" s="283" t="str">
        <f t="shared" si="6"/>
        <v/>
      </c>
      <c r="P103" s="296" t="str">
        <f t="shared" si="7"/>
        <v/>
      </c>
      <c r="Q103" s="334" t="str">
        <f>IFERROR(IF(P103="Check Data ⚠","Check Data ⚠",VLOOKUP(P103,'G-4 Temporal multipliers'!$A$4:$C$37,3,FALSE)),"")</f>
        <v/>
      </c>
      <c r="R103" s="275" t="str">
        <f>IF(C103="","",VLOOKUP(C103,'G-7 WaterC'' Data'!$B$4:$G$8,4,FALSE))</f>
        <v/>
      </c>
      <c r="S103" s="283" t="str">
        <f t="shared" si="8"/>
        <v/>
      </c>
      <c r="T103" s="314" t="str">
        <f t="shared" si="9"/>
        <v/>
      </c>
      <c r="U103" s="276" t="str">
        <f>IF(C103="","",VLOOKUP(T103,'G-3 Multipliers'!$P$2:$Q$6,2,FALSE))</f>
        <v/>
      </c>
      <c r="V103" s="102"/>
      <c r="W103" s="276" t="str">
        <f>IF(V103="","",IF(AND(V103="N/A - Culvert",C103&lt;&gt;"Culvert"),"Not possible ▲",IF(AND(C103="Culvert",V103&lt;&gt;"N/A - Culvert"),"Not possible ▲",IF(VLOOKUP(V103,'G-7 WaterC'' Data'!$AA$4:$AB$7,2,FALSE)=0,"Spatial Data Missing ⚠",VLOOKUP(V103,'G-7 WaterC'' Data'!$AA$4:$AB$7,2,FALSE)))))</f>
        <v/>
      </c>
      <c r="X103" s="56"/>
      <c r="Y103" s="276" t="str">
        <f>IF(X103="","",IF(AND(X103="N/A - Culvert",C103&lt;&gt;"Culvert"),"Not possible ▲",IF(AND(C103="Culvert",X103&lt;&gt;"N/A - Culvert"),"Not possible ▲",IF(VLOOKUP(X103,'G-7 WaterC'' Data'!$AD$4:$AE$14,2,FALSE)=0,"Enrcoachment Data Missing ⚠",VLOOKUP(X103,'G-7 WaterC'' Data'!$AD$4:$AE$14,2,FALSE)))))</f>
        <v/>
      </c>
      <c r="Z103" s="317" t="str">
        <f t="shared" si="10"/>
        <v/>
      </c>
      <c r="AA103" s="101"/>
      <c r="AB103" s="115"/>
      <c r="AC103" s="104"/>
      <c r="AH103" s="30" t="str">
        <f>IFERROR(INDEX('G-7 WaterC'' Data'!$AZ$3:$AZ$7,MATCH(C103,'G-7 WaterC'' Data'!$AY$3:$AY$7,0)),"")</f>
        <v/>
      </c>
      <c r="AK103" s="30" t="str">
        <f t="shared" si="11"/>
        <v>No</v>
      </c>
    </row>
    <row r="104" spans="2:37" ht="14">
      <c r="B104" s="97">
        <v>93</v>
      </c>
      <c r="C104" s="920"/>
      <c r="D104" s="115"/>
      <c r="E104" s="275" t="str">
        <f>IF(C104="","",VLOOKUP(C104,'G-7 WaterC'' Data'!$B$2:$G$8,2,FALSE))</f>
        <v/>
      </c>
      <c r="F104" s="276" t="str">
        <f>IFERROR(VLOOKUP(E104,'G-7 WaterC'' Data'!$C$4:$D$8,2,FALSE),"")</f>
        <v/>
      </c>
      <c r="G104" s="101"/>
      <c r="H104" s="276" t="str">
        <f>IFERROR(INDEX('G-7 WaterC'' Data'!$H$4:$L$8,MATCH(C104,'G-7 WaterC'' Data'!$B$4:$B$8,0),MATCH(G104,'G-7 WaterC'' Data'!$H$3:$L$3,0)),"")</f>
        <v/>
      </c>
      <c r="I104" s="52"/>
      <c r="J104" s="283" t="str">
        <f>IF(I104="","",IF(VLOOKUP(I104,'G-7 WaterC'' Data'!$AK$4:$AM$6,2,FALSE)=0,"Spatial Data Missing ⚠",VLOOKUP(I104,'G-7 WaterC'' Data'!$AK$4:$AM$6,2,FALSE)))</f>
        <v/>
      </c>
      <c r="K104" s="276" t="str">
        <f>IF(I104="","",IF(VLOOKUP(I104,'G-7 WaterC'' Data'!$AK$4:$AM$6,3,FALSE)=0,"Spatial Data Missing ⚠",VLOOKUP(I104,'G-7 WaterC'' Data'!$AK$4:$AM$6,3,FALSE)))</f>
        <v/>
      </c>
      <c r="L104" s="275" t="str">
        <f>IFERROR(INDEX('G-7 WaterC'' Data'!$O$3:$O$7,MATCH(G104,'G-7 WaterC'' Data'!$N$3:$N$7,0)),"")</f>
        <v/>
      </c>
      <c r="M104" s="58"/>
      <c r="N104" s="133"/>
      <c r="O104" s="283" t="str">
        <f t="shared" si="6"/>
        <v/>
      </c>
      <c r="P104" s="296" t="str">
        <f t="shared" si="7"/>
        <v/>
      </c>
      <c r="Q104" s="334" t="str">
        <f>IFERROR(IF(P104="Check Data ⚠","Check Data ⚠",VLOOKUP(P104,'G-4 Temporal multipliers'!$A$4:$C$37,3,FALSE)),"")</f>
        <v/>
      </c>
      <c r="R104" s="275" t="str">
        <f>IF(C104="","",VLOOKUP(C104,'G-7 WaterC'' Data'!$B$4:$G$8,4,FALSE))</f>
        <v/>
      </c>
      <c r="S104" s="283" t="str">
        <f t="shared" si="8"/>
        <v/>
      </c>
      <c r="T104" s="314" t="str">
        <f t="shared" si="9"/>
        <v/>
      </c>
      <c r="U104" s="276" t="str">
        <f>IF(C104="","",VLOOKUP(T104,'G-3 Multipliers'!$P$2:$Q$6,2,FALSE))</f>
        <v/>
      </c>
      <c r="V104" s="102"/>
      <c r="W104" s="276" t="str">
        <f>IF(V104="","",IF(AND(V104="N/A - Culvert",C104&lt;&gt;"Culvert"),"Not possible ▲",IF(AND(C104="Culvert",V104&lt;&gt;"N/A - Culvert"),"Not possible ▲",IF(VLOOKUP(V104,'G-7 WaterC'' Data'!$AA$4:$AB$7,2,FALSE)=0,"Spatial Data Missing ⚠",VLOOKUP(V104,'G-7 WaterC'' Data'!$AA$4:$AB$7,2,FALSE)))))</f>
        <v/>
      </c>
      <c r="X104" s="56"/>
      <c r="Y104" s="276" t="str">
        <f>IF(X104="","",IF(AND(X104="N/A - Culvert",C104&lt;&gt;"Culvert"),"Not possible ▲",IF(AND(C104="Culvert",X104&lt;&gt;"N/A - Culvert"),"Not possible ▲",IF(VLOOKUP(X104,'G-7 WaterC'' Data'!$AD$4:$AE$14,2,FALSE)=0,"Enrcoachment Data Missing ⚠",VLOOKUP(X104,'G-7 WaterC'' Data'!$AD$4:$AE$14,2,FALSE)))))</f>
        <v/>
      </c>
      <c r="Z104" s="317" t="str">
        <f t="shared" si="10"/>
        <v/>
      </c>
      <c r="AA104" s="101"/>
      <c r="AB104" s="115"/>
      <c r="AC104" s="104"/>
      <c r="AH104" s="30" t="str">
        <f>IFERROR(INDEX('G-7 WaterC'' Data'!$AZ$3:$AZ$7,MATCH(C104,'G-7 WaterC'' Data'!$AY$3:$AY$7,0)),"")</f>
        <v/>
      </c>
      <c r="AK104" s="30" t="str">
        <f t="shared" si="11"/>
        <v>No</v>
      </c>
    </row>
    <row r="105" spans="2:37" ht="14">
      <c r="B105" s="97">
        <v>94</v>
      </c>
      <c r="C105" s="920"/>
      <c r="D105" s="115"/>
      <c r="E105" s="275" t="str">
        <f>IF(C105="","",VLOOKUP(C105,'G-7 WaterC'' Data'!$B$2:$G$8,2,FALSE))</f>
        <v/>
      </c>
      <c r="F105" s="276" t="str">
        <f>IFERROR(VLOOKUP(E105,'G-7 WaterC'' Data'!$C$4:$D$8,2,FALSE),"")</f>
        <v/>
      </c>
      <c r="G105" s="101"/>
      <c r="H105" s="276" t="str">
        <f>IFERROR(INDEX('G-7 WaterC'' Data'!$H$4:$L$8,MATCH(C105,'G-7 WaterC'' Data'!$B$4:$B$8,0),MATCH(G105,'G-7 WaterC'' Data'!$H$3:$L$3,0)),"")</f>
        <v/>
      </c>
      <c r="I105" s="52"/>
      <c r="J105" s="283" t="str">
        <f>IF(I105="","",IF(VLOOKUP(I105,'G-7 WaterC'' Data'!$AK$4:$AM$6,2,FALSE)=0,"Spatial Data Missing ⚠",VLOOKUP(I105,'G-7 WaterC'' Data'!$AK$4:$AM$6,2,FALSE)))</f>
        <v/>
      </c>
      <c r="K105" s="276" t="str">
        <f>IF(I105="","",IF(VLOOKUP(I105,'G-7 WaterC'' Data'!$AK$4:$AM$6,3,FALSE)=0,"Spatial Data Missing ⚠",VLOOKUP(I105,'G-7 WaterC'' Data'!$AK$4:$AM$6,3,FALSE)))</f>
        <v/>
      </c>
      <c r="L105" s="275" t="str">
        <f>IFERROR(INDEX('G-7 WaterC'' Data'!$O$3:$O$7,MATCH(G105,'G-7 WaterC'' Data'!$N$3:$N$7,0)),"")</f>
        <v/>
      </c>
      <c r="M105" s="58"/>
      <c r="N105" s="133"/>
      <c r="O105" s="283" t="str">
        <f t="shared" si="6"/>
        <v/>
      </c>
      <c r="P105" s="296" t="str">
        <f t="shared" si="7"/>
        <v/>
      </c>
      <c r="Q105" s="334" t="str">
        <f>IFERROR(IF(P105="Check Data ⚠","Check Data ⚠",VLOOKUP(P105,'G-4 Temporal multipliers'!$A$4:$C$37,3,FALSE)),"")</f>
        <v/>
      </c>
      <c r="R105" s="275" t="str">
        <f>IF(C105="","",VLOOKUP(C105,'G-7 WaterC'' Data'!$B$4:$G$8,4,FALSE))</f>
        <v/>
      </c>
      <c r="S105" s="283" t="str">
        <f t="shared" si="8"/>
        <v/>
      </c>
      <c r="T105" s="314" t="str">
        <f t="shared" si="9"/>
        <v/>
      </c>
      <c r="U105" s="276" t="str">
        <f>IF(C105="","",VLOOKUP(T105,'G-3 Multipliers'!$P$2:$Q$6,2,FALSE))</f>
        <v/>
      </c>
      <c r="V105" s="102"/>
      <c r="W105" s="276" t="str">
        <f>IF(V105="","",IF(AND(V105="N/A - Culvert",C105&lt;&gt;"Culvert"),"Not possible ▲",IF(AND(C105="Culvert",V105&lt;&gt;"N/A - Culvert"),"Not possible ▲",IF(VLOOKUP(V105,'G-7 WaterC'' Data'!$AA$4:$AB$7,2,FALSE)=0,"Spatial Data Missing ⚠",VLOOKUP(V105,'G-7 WaterC'' Data'!$AA$4:$AB$7,2,FALSE)))))</f>
        <v/>
      </c>
      <c r="X105" s="56"/>
      <c r="Y105" s="276" t="str">
        <f>IF(X105="","",IF(AND(X105="N/A - Culvert",C105&lt;&gt;"Culvert"),"Not possible ▲",IF(AND(C105="Culvert",X105&lt;&gt;"N/A - Culvert"),"Not possible ▲",IF(VLOOKUP(X105,'G-7 WaterC'' Data'!$AD$4:$AE$14,2,FALSE)=0,"Enrcoachment Data Missing ⚠",VLOOKUP(X105,'G-7 WaterC'' Data'!$AD$4:$AE$14,2,FALSE)))))</f>
        <v/>
      </c>
      <c r="Z105" s="317" t="str">
        <f t="shared" si="10"/>
        <v/>
      </c>
      <c r="AA105" s="101"/>
      <c r="AB105" s="115"/>
      <c r="AC105" s="104"/>
      <c r="AH105" s="30" t="str">
        <f>IFERROR(INDEX('G-7 WaterC'' Data'!$AZ$3:$AZ$7,MATCH(C105,'G-7 WaterC'' Data'!$AY$3:$AY$7,0)),"")</f>
        <v/>
      </c>
      <c r="AK105" s="30" t="str">
        <f t="shared" si="11"/>
        <v>No</v>
      </c>
    </row>
    <row r="106" spans="2:37" ht="14">
      <c r="B106" s="97">
        <v>95</v>
      </c>
      <c r="C106" s="920"/>
      <c r="D106" s="115"/>
      <c r="E106" s="275" t="str">
        <f>IF(C106="","",VLOOKUP(C106,'G-7 WaterC'' Data'!$B$2:$G$8,2,FALSE))</f>
        <v/>
      </c>
      <c r="F106" s="276" t="str">
        <f>IFERROR(VLOOKUP(E106,'G-7 WaterC'' Data'!$C$4:$D$8,2,FALSE),"")</f>
        <v/>
      </c>
      <c r="G106" s="101"/>
      <c r="H106" s="276" t="str">
        <f>IFERROR(INDEX('G-7 WaterC'' Data'!$H$4:$L$8,MATCH(C106,'G-7 WaterC'' Data'!$B$4:$B$8,0),MATCH(G106,'G-7 WaterC'' Data'!$H$3:$L$3,0)),"")</f>
        <v/>
      </c>
      <c r="I106" s="52"/>
      <c r="J106" s="283" t="str">
        <f>IF(I106="","",IF(VLOOKUP(I106,'G-7 WaterC'' Data'!$AK$4:$AM$6,2,FALSE)=0,"Spatial Data Missing ⚠",VLOOKUP(I106,'G-7 WaterC'' Data'!$AK$4:$AM$6,2,FALSE)))</f>
        <v/>
      </c>
      <c r="K106" s="276" t="str">
        <f>IF(I106="","",IF(VLOOKUP(I106,'G-7 WaterC'' Data'!$AK$4:$AM$6,3,FALSE)=0,"Spatial Data Missing ⚠",VLOOKUP(I106,'G-7 WaterC'' Data'!$AK$4:$AM$6,3,FALSE)))</f>
        <v/>
      </c>
      <c r="L106" s="275" t="str">
        <f>IFERROR(INDEX('G-7 WaterC'' Data'!$O$3:$O$7,MATCH(G106,'G-7 WaterC'' Data'!$N$3:$N$7,0)),"")</f>
        <v/>
      </c>
      <c r="M106" s="58"/>
      <c r="N106" s="133"/>
      <c r="O106" s="283" t="str">
        <f t="shared" si="6"/>
        <v/>
      </c>
      <c r="P106" s="296" t="str">
        <f t="shared" si="7"/>
        <v/>
      </c>
      <c r="Q106" s="334" t="str">
        <f>IFERROR(IF(P106="Check Data ⚠","Check Data ⚠",VLOOKUP(P106,'G-4 Temporal multipliers'!$A$4:$C$37,3,FALSE)),"")</f>
        <v/>
      </c>
      <c r="R106" s="275" t="str">
        <f>IF(C106="","",VLOOKUP(C106,'G-7 WaterC'' Data'!$B$4:$G$8,4,FALSE))</f>
        <v/>
      </c>
      <c r="S106" s="283" t="str">
        <f t="shared" si="8"/>
        <v/>
      </c>
      <c r="T106" s="314" t="str">
        <f t="shared" si="9"/>
        <v/>
      </c>
      <c r="U106" s="276" t="str">
        <f>IF(C106="","",VLOOKUP(T106,'G-3 Multipliers'!$P$2:$Q$6,2,FALSE))</f>
        <v/>
      </c>
      <c r="V106" s="102"/>
      <c r="W106" s="276" t="str">
        <f>IF(V106="","",IF(AND(V106="N/A - Culvert",C106&lt;&gt;"Culvert"),"Not possible ▲",IF(AND(C106="Culvert",V106&lt;&gt;"N/A - Culvert"),"Not possible ▲",IF(VLOOKUP(V106,'G-7 WaterC'' Data'!$AA$4:$AB$7,2,FALSE)=0,"Spatial Data Missing ⚠",VLOOKUP(V106,'G-7 WaterC'' Data'!$AA$4:$AB$7,2,FALSE)))))</f>
        <v/>
      </c>
      <c r="X106" s="56"/>
      <c r="Y106" s="276" t="str">
        <f>IF(X106="","",IF(AND(X106="N/A - Culvert",C106&lt;&gt;"Culvert"),"Not possible ▲",IF(AND(C106="Culvert",X106&lt;&gt;"N/A - Culvert"),"Not possible ▲",IF(VLOOKUP(X106,'G-7 WaterC'' Data'!$AD$4:$AE$14,2,FALSE)=0,"Enrcoachment Data Missing ⚠",VLOOKUP(X106,'G-7 WaterC'' Data'!$AD$4:$AE$14,2,FALSE)))))</f>
        <v/>
      </c>
      <c r="Z106" s="317" t="str">
        <f t="shared" si="10"/>
        <v/>
      </c>
      <c r="AA106" s="101"/>
      <c r="AB106" s="115"/>
      <c r="AC106" s="104"/>
      <c r="AH106" s="30" t="str">
        <f>IFERROR(INDEX('G-7 WaterC'' Data'!$AZ$3:$AZ$7,MATCH(C106,'G-7 WaterC'' Data'!$AY$3:$AY$7,0)),"")</f>
        <v/>
      </c>
      <c r="AK106" s="30" t="str">
        <f t="shared" si="11"/>
        <v>No</v>
      </c>
    </row>
    <row r="107" spans="2:37" ht="14">
      <c r="B107" s="97">
        <v>96</v>
      </c>
      <c r="C107" s="920"/>
      <c r="D107" s="115"/>
      <c r="E107" s="275" t="str">
        <f>IF(C107="","",VLOOKUP(C107,'G-7 WaterC'' Data'!$B$2:$G$8,2,FALSE))</f>
        <v/>
      </c>
      <c r="F107" s="276" t="str">
        <f>IFERROR(VLOOKUP(E107,'G-7 WaterC'' Data'!$C$4:$D$8,2,FALSE),"")</f>
        <v/>
      </c>
      <c r="G107" s="101"/>
      <c r="H107" s="276" t="str">
        <f>IFERROR(INDEX('G-7 WaterC'' Data'!$H$4:$L$8,MATCH(C107,'G-7 WaterC'' Data'!$B$4:$B$8,0),MATCH(G107,'G-7 WaterC'' Data'!$H$3:$L$3,0)),"")</f>
        <v/>
      </c>
      <c r="I107" s="52"/>
      <c r="J107" s="283" t="str">
        <f>IF(I107="","",IF(VLOOKUP(I107,'G-7 WaterC'' Data'!$AK$4:$AM$6,2,FALSE)=0,"Spatial Data Missing ⚠",VLOOKUP(I107,'G-7 WaterC'' Data'!$AK$4:$AM$6,2,FALSE)))</f>
        <v/>
      </c>
      <c r="K107" s="276" t="str">
        <f>IF(I107="","",IF(VLOOKUP(I107,'G-7 WaterC'' Data'!$AK$4:$AM$6,3,FALSE)=0,"Spatial Data Missing ⚠",VLOOKUP(I107,'G-7 WaterC'' Data'!$AK$4:$AM$6,3,FALSE)))</f>
        <v/>
      </c>
      <c r="L107" s="275" t="str">
        <f>IFERROR(INDEX('G-7 WaterC'' Data'!$O$3:$O$7,MATCH(G107,'G-7 WaterC'' Data'!$N$3:$N$7,0)),"")</f>
        <v/>
      </c>
      <c r="M107" s="58"/>
      <c r="N107" s="133"/>
      <c r="O107" s="283" t="str">
        <f t="shared" si="6"/>
        <v/>
      </c>
      <c r="P107" s="296" t="str">
        <f t="shared" si="7"/>
        <v/>
      </c>
      <c r="Q107" s="334" t="str">
        <f>IFERROR(IF(P107="Check Data ⚠","Check Data ⚠",VLOOKUP(P107,'G-4 Temporal multipliers'!$A$4:$C$37,3,FALSE)),"")</f>
        <v/>
      </c>
      <c r="R107" s="275" t="str">
        <f>IF(C107="","",VLOOKUP(C107,'G-7 WaterC'' Data'!$B$4:$G$8,4,FALSE))</f>
        <v/>
      </c>
      <c r="S107" s="283" t="str">
        <f t="shared" si="8"/>
        <v/>
      </c>
      <c r="T107" s="314" t="str">
        <f t="shared" si="9"/>
        <v/>
      </c>
      <c r="U107" s="276" t="str">
        <f>IF(C107="","",VLOOKUP(T107,'G-3 Multipliers'!$P$2:$Q$6,2,FALSE))</f>
        <v/>
      </c>
      <c r="V107" s="102"/>
      <c r="W107" s="276" t="str">
        <f>IF(V107="","",IF(AND(V107="N/A - Culvert",C107&lt;&gt;"Culvert"),"Not possible ▲",IF(AND(C107="Culvert",V107&lt;&gt;"N/A - Culvert"),"Not possible ▲",IF(VLOOKUP(V107,'G-7 WaterC'' Data'!$AA$4:$AB$7,2,FALSE)=0,"Spatial Data Missing ⚠",VLOOKUP(V107,'G-7 WaterC'' Data'!$AA$4:$AB$7,2,FALSE)))))</f>
        <v/>
      </c>
      <c r="X107" s="56"/>
      <c r="Y107" s="276" t="str">
        <f>IF(X107="","",IF(AND(X107="N/A - Culvert",C107&lt;&gt;"Culvert"),"Not possible ▲",IF(AND(C107="Culvert",X107&lt;&gt;"N/A - Culvert"),"Not possible ▲",IF(VLOOKUP(X107,'G-7 WaterC'' Data'!$AD$4:$AE$14,2,FALSE)=0,"Enrcoachment Data Missing ⚠",VLOOKUP(X107,'G-7 WaterC'' Data'!$AD$4:$AE$14,2,FALSE)))))</f>
        <v/>
      </c>
      <c r="Z107" s="317" t="str">
        <f t="shared" si="10"/>
        <v/>
      </c>
      <c r="AA107" s="101"/>
      <c r="AB107" s="115"/>
      <c r="AC107" s="104"/>
      <c r="AH107" s="30" t="str">
        <f>IFERROR(INDEX('G-7 WaterC'' Data'!$AZ$3:$AZ$7,MATCH(C107,'G-7 WaterC'' Data'!$AY$3:$AY$7,0)),"")</f>
        <v/>
      </c>
      <c r="AK107" s="30" t="str">
        <f t="shared" si="11"/>
        <v>No</v>
      </c>
    </row>
    <row r="108" spans="2:37" ht="14">
      <c r="B108" s="97">
        <v>97</v>
      </c>
      <c r="C108" s="920"/>
      <c r="D108" s="115"/>
      <c r="E108" s="275" t="str">
        <f>IF(C108="","",VLOOKUP(C108,'G-7 WaterC'' Data'!$B$2:$G$8,2,FALSE))</f>
        <v/>
      </c>
      <c r="F108" s="276" t="str">
        <f>IFERROR(VLOOKUP(E108,'G-7 WaterC'' Data'!$C$4:$D$8,2,FALSE),"")</f>
        <v/>
      </c>
      <c r="G108" s="101"/>
      <c r="H108" s="276" t="str">
        <f>IFERROR(INDEX('G-7 WaterC'' Data'!$H$4:$L$8,MATCH(C108,'G-7 WaterC'' Data'!$B$4:$B$8,0),MATCH(G108,'G-7 WaterC'' Data'!$H$3:$L$3,0)),"")</f>
        <v/>
      </c>
      <c r="I108" s="52"/>
      <c r="J108" s="283" t="str">
        <f>IF(I108="","",IF(VLOOKUP(I108,'G-7 WaterC'' Data'!$AK$4:$AM$6,2,FALSE)=0,"Spatial Data Missing ⚠",VLOOKUP(I108,'G-7 WaterC'' Data'!$AK$4:$AM$6,2,FALSE)))</f>
        <v/>
      </c>
      <c r="K108" s="276" t="str">
        <f>IF(I108="","",IF(VLOOKUP(I108,'G-7 WaterC'' Data'!$AK$4:$AM$6,3,FALSE)=0,"Spatial Data Missing ⚠",VLOOKUP(I108,'G-7 WaterC'' Data'!$AK$4:$AM$6,3,FALSE)))</f>
        <v/>
      </c>
      <c r="L108" s="275" t="str">
        <f>IFERROR(INDEX('G-7 WaterC'' Data'!$O$3:$O$7,MATCH(G108,'G-7 WaterC'' Data'!$N$3:$N$7,0)),"")</f>
        <v/>
      </c>
      <c r="M108" s="58"/>
      <c r="N108" s="133"/>
      <c r="O108" s="283" t="str">
        <f t="shared" si="6"/>
        <v/>
      </c>
      <c r="P108" s="296" t="str">
        <f t="shared" si="7"/>
        <v/>
      </c>
      <c r="Q108" s="334" t="str">
        <f>IFERROR(IF(P108="Check Data ⚠","Check Data ⚠",VLOOKUP(P108,'G-4 Temporal multipliers'!$A$4:$C$37,3,FALSE)),"")</f>
        <v/>
      </c>
      <c r="R108" s="275" t="str">
        <f>IF(C108="","",VLOOKUP(C108,'G-7 WaterC'' Data'!$B$4:$G$8,4,FALSE))</f>
        <v/>
      </c>
      <c r="S108" s="283" t="str">
        <f t="shared" si="8"/>
        <v/>
      </c>
      <c r="T108" s="314" t="str">
        <f t="shared" si="9"/>
        <v/>
      </c>
      <c r="U108" s="276" t="str">
        <f>IF(C108="","",VLOOKUP(T108,'G-3 Multipliers'!$P$2:$Q$6,2,FALSE))</f>
        <v/>
      </c>
      <c r="V108" s="102"/>
      <c r="W108" s="276" t="str">
        <f>IF(V108="","",IF(AND(V108="N/A - Culvert",C108&lt;&gt;"Culvert"),"Not possible ▲",IF(AND(C108="Culvert",V108&lt;&gt;"N/A - Culvert"),"Not possible ▲",IF(VLOOKUP(V108,'G-7 WaterC'' Data'!$AA$4:$AB$7,2,FALSE)=0,"Spatial Data Missing ⚠",VLOOKUP(V108,'G-7 WaterC'' Data'!$AA$4:$AB$7,2,FALSE)))))</f>
        <v/>
      </c>
      <c r="X108" s="56"/>
      <c r="Y108" s="276" t="str">
        <f>IF(X108="","",IF(AND(X108="N/A - Culvert",C108&lt;&gt;"Culvert"),"Not possible ▲",IF(AND(C108="Culvert",X108&lt;&gt;"N/A - Culvert"),"Not possible ▲",IF(VLOOKUP(X108,'G-7 WaterC'' Data'!$AD$4:$AE$14,2,FALSE)=0,"Enrcoachment Data Missing ⚠",VLOOKUP(X108,'G-7 WaterC'' Data'!$AD$4:$AE$14,2,FALSE)))))</f>
        <v/>
      </c>
      <c r="Z108" s="317" t="str">
        <f t="shared" si="10"/>
        <v/>
      </c>
      <c r="AA108" s="101"/>
      <c r="AB108" s="115"/>
      <c r="AC108" s="104"/>
      <c r="AH108" s="30" t="str">
        <f>IFERROR(INDEX('G-7 WaterC'' Data'!$AZ$3:$AZ$7,MATCH(C108,'G-7 WaterC'' Data'!$AY$3:$AY$7,0)),"")</f>
        <v/>
      </c>
      <c r="AK108" s="30" t="str">
        <f t="shared" si="11"/>
        <v>No</v>
      </c>
    </row>
    <row r="109" spans="2:37" ht="14">
      <c r="B109" s="97">
        <v>98</v>
      </c>
      <c r="C109" s="920"/>
      <c r="D109" s="115"/>
      <c r="E109" s="275" t="str">
        <f>IF(C109="","",VLOOKUP(C109,'G-7 WaterC'' Data'!$B$2:$G$8,2,FALSE))</f>
        <v/>
      </c>
      <c r="F109" s="276" t="str">
        <f>IFERROR(VLOOKUP(E109,'G-7 WaterC'' Data'!$C$4:$D$8,2,FALSE),"")</f>
        <v/>
      </c>
      <c r="G109" s="101"/>
      <c r="H109" s="276" t="str">
        <f>IFERROR(INDEX('G-7 WaterC'' Data'!$H$4:$L$8,MATCH(C109,'G-7 WaterC'' Data'!$B$4:$B$8,0),MATCH(G109,'G-7 WaterC'' Data'!$H$3:$L$3,0)),"")</f>
        <v/>
      </c>
      <c r="I109" s="52"/>
      <c r="J109" s="283" t="str">
        <f>IF(I109="","",IF(VLOOKUP(I109,'G-7 WaterC'' Data'!$AK$4:$AM$6,2,FALSE)=0,"Spatial Data Missing ⚠",VLOOKUP(I109,'G-7 WaterC'' Data'!$AK$4:$AM$6,2,FALSE)))</f>
        <v/>
      </c>
      <c r="K109" s="276" t="str">
        <f>IF(I109="","",IF(VLOOKUP(I109,'G-7 WaterC'' Data'!$AK$4:$AM$6,3,FALSE)=0,"Spatial Data Missing ⚠",VLOOKUP(I109,'G-7 WaterC'' Data'!$AK$4:$AM$6,3,FALSE)))</f>
        <v/>
      </c>
      <c r="L109" s="275" t="str">
        <f>IFERROR(INDEX('G-7 WaterC'' Data'!$O$3:$O$7,MATCH(G109,'G-7 WaterC'' Data'!$N$3:$N$7,0)),"")</f>
        <v/>
      </c>
      <c r="M109" s="58"/>
      <c r="N109" s="133"/>
      <c r="O109" s="283" t="str">
        <f t="shared" si="6"/>
        <v/>
      </c>
      <c r="P109" s="296" t="str">
        <f t="shared" si="7"/>
        <v/>
      </c>
      <c r="Q109" s="334" t="str">
        <f>IFERROR(IF(P109="Check Data ⚠","Check Data ⚠",VLOOKUP(P109,'G-4 Temporal multipliers'!$A$4:$C$37,3,FALSE)),"")</f>
        <v/>
      </c>
      <c r="R109" s="275" t="str">
        <f>IF(C109="","",VLOOKUP(C109,'G-7 WaterC'' Data'!$B$4:$G$8,4,FALSE))</f>
        <v/>
      </c>
      <c r="S109" s="283" t="str">
        <f t="shared" si="8"/>
        <v/>
      </c>
      <c r="T109" s="314" t="str">
        <f t="shared" si="9"/>
        <v/>
      </c>
      <c r="U109" s="276" t="str">
        <f>IF(C109="","",VLOOKUP(T109,'G-3 Multipliers'!$P$2:$Q$6,2,FALSE))</f>
        <v/>
      </c>
      <c r="V109" s="102"/>
      <c r="W109" s="276" t="str">
        <f>IF(V109="","",IF(AND(V109="N/A - Culvert",C109&lt;&gt;"Culvert"),"Not possible ▲",IF(AND(C109="Culvert",V109&lt;&gt;"N/A - Culvert"),"Not possible ▲",IF(VLOOKUP(V109,'G-7 WaterC'' Data'!$AA$4:$AB$7,2,FALSE)=0,"Spatial Data Missing ⚠",VLOOKUP(V109,'G-7 WaterC'' Data'!$AA$4:$AB$7,2,FALSE)))))</f>
        <v/>
      </c>
      <c r="X109" s="56"/>
      <c r="Y109" s="276" t="str">
        <f>IF(X109="","",IF(AND(X109="N/A - Culvert",C109&lt;&gt;"Culvert"),"Not possible ▲",IF(AND(C109="Culvert",X109&lt;&gt;"N/A - Culvert"),"Not possible ▲",IF(VLOOKUP(X109,'G-7 WaterC'' Data'!$AD$4:$AE$14,2,FALSE)=0,"Enrcoachment Data Missing ⚠",VLOOKUP(X109,'G-7 WaterC'' Data'!$AD$4:$AE$14,2,FALSE)))))</f>
        <v/>
      </c>
      <c r="Z109" s="317" t="str">
        <f t="shared" si="10"/>
        <v/>
      </c>
      <c r="AA109" s="101"/>
      <c r="AB109" s="115"/>
      <c r="AC109" s="104"/>
      <c r="AH109" s="30" t="str">
        <f>IFERROR(INDEX('G-7 WaterC'' Data'!$AZ$3:$AZ$7,MATCH(C109,'G-7 WaterC'' Data'!$AY$3:$AY$7,0)),"")</f>
        <v/>
      </c>
      <c r="AK109" s="30" t="str">
        <f t="shared" si="11"/>
        <v>No</v>
      </c>
    </row>
    <row r="110" spans="2:37" ht="14">
      <c r="B110" s="97">
        <v>99</v>
      </c>
      <c r="C110" s="920"/>
      <c r="D110" s="115"/>
      <c r="E110" s="275" t="str">
        <f>IF(C110="","",VLOOKUP(C110,'G-7 WaterC'' Data'!$B$2:$G$8,2,FALSE))</f>
        <v/>
      </c>
      <c r="F110" s="276" t="str">
        <f>IFERROR(VLOOKUP(E110,'G-7 WaterC'' Data'!$C$4:$D$8,2,FALSE),"")</f>
        <v/>
      </c>
      <c r="G110" s="101"/>
      <c r="H110" s="276" t="str">
        <f>IFERROR(INDEX('G-7 WaterC'' Data'!$H$4:$L$8,MATCH(C110,'G-7 WaterC'' Data'!$B$4:$B$8,0),MATCH(G110,'G-7 WaterC'' Data'!$H$3:$L$3,0)),"")</f>
        <v/>
      </c>
      <c r="I110" s="52"/>
      <c r="J110" s="283" t="str">
        <f>IF(I110="","",IF(VLOOKUP(I110,'G-7 WaterC'' Data'!$AK$4:$AM$6,2,FALSE)=0,"Spatial Data Missing ⚠",VLOOKUP(I110,'G-7 WaterC'' Data'!$AK$4:$AM$6,2,FALSE)))</f>
        <v/>
      </c>
      <c r="K110" s="276" t="str">
        <f>IF(I110="","",IF(VLOOKUP(I110,'G-7 WaterC'' Data'!$AK$4:$AM$6,3,FALSE)=0,"Spatial Data Missing ⚠",VLOOKUP(I110,'G-7 WaterC'' Data'!$AK$4:$AM$6,3,FALSE)))</f>
        <v/>
      </c>
      <c r="L110" s="275" t="str">
        <f>IFERROR(INDEX('G-7 WaterC'' Data'!$O$3:$O$7,MATCH(G110,'G-7 WaterC'' Data'!$N$3:$N$7,0)),"")</f>
        <v/>
      </c>
      <c r="M110" s="58"/>
      <c r="N110" s="133"/>
      <c r="O110" s="283" t="str">
        <f t="shared" si="6"/>
        <v/>
      </c>
      <c r="P110" s="296" t="str">
        <f t="shared" si="7"/>
        <v/>
      </c>
      <c r="Q110" s="334" t="str">
        <f>IFERROR(IF(P110="Check Data ⚠","Check Data ⚠",VLOOKUP(P110,'G-4 Temporal multipliers'!$A$4:$C$37,3,FALSE)),"")</f>
        <v/>
      </c>
      <c r="R110" s="275" t="str">
        <f>IF(C110="","",VLOOKUP(C110,'G-7 WaterC'' Data'!$B$4:$G$8,4,FALSE))</f>
        <v/>
      </c>
      <c r="S110" s="283" t="str">
        <f t="shared" si="8"/>
        <v/>
      </c>
      <c r="T110" s="314" t="str">
        <f t="shared" si="9"/>
        <v/>
      </c>
      <c r="U110" s="276" t="str">
        <f>IF(C110="","",VLOOKUP(T110,'G-3 Multipliers'!$P$2:$Q$6,2,FALSE))</f>
        <v/>
      </c>
      <c r="V110" s="102"/>
      <c r="W110" s="276" t="str">
        <f>IF(V110="","",IF(AND(V110="N/A - Culvert",C110&lt;&gt;"Culvert"),"Not possible ▲",IF(AND(C110="Culvert",V110&lt;&gt;"N/A - Culvert"),"Not possible ▲",IF(VLOOKUP(V110,'G-7 WaterC'' Data'!$AA$4:$AB$7,2,FALSE)=0,"Spatial Data Missing ⚠",VLOOKUP(V110,'G-7 WaterC'' Data'!$AA$4:$AB$7,2,FALSE)))))</f>
        <v/>
      </c>
      <c r="X110" s="56"/>
      <c r="Y110" s="276" t="str">
        <f>IF(X110="","",IF(AND(X110="N/A - Culvert",C110&lt;&gt;"Culvert"),"Not possible ▲",IF(AND(C110="Culvert",X110&lt;&gt;"N/A - Culvert"),"Not possible ▲",IF(VLOOKUP(X110,'G-7 WaterC'' Data'!$AD$4:$AE$14,2,FALSE)=0,"Enrcoachment Data Missing ⚠",VLOOKUP(X110,'G-7 WaterC'' Data'!$AD$4:$AE$14,2,FALSE)))))</f>
        <v/>
      </c>
      <c r="Z110" s="317" t="str">
        <f t="shared" si="10"/>
        <v/>
      </c>
      <c r="AA110" s="101"/>
      <c r="AB110" s="115"/>
      <c r="AC110" s="104"/>
      <c r="AH110" s="30" t="str">
        <f>IFERROR(INDEX('G-7 WaterC'' Data'!$AZ$3:$AZ$7,MATCH(C110,'G-7 WaterC'' Data'!$AY$3:$AY$7,0)),"")</f>
        <v/>
      </c>
      <c r="AK110" s="30" t="str">
        <f t="shared" si="11"/>
        <v>No</v>
      </c>
    </row>
    <row r="111" spans="2:37" ht="14">
      <c r="B111" s="97">
        <v>100</v>
      </c>
      <c r="C111" s="920"/>
      <c r="D111" s="115"/>
      <c r="E111" s="275" t="str">
        <f>IF(C111="","",VLOOKUP(C111,'G-7 WaterC'' Data'!$B$2:$G$8,2,FALSE))</f>
        <v/>
      </c>
      <c r="F111" s="276" t="str">
        <f>IFERROR(VLOOKUP(E111,'G-7 WaterC'' Data'!$C$4:$D$8,2,FALSE),"")</f>
        <v/>
      </c>
      <c r="G111" s="101"/>
      <c r="H111" s="276" t="str">
        <f>IFERROR(INDEX('G-7 WaterC'' Data'!$H$4:$L$8,MATCH(C111,'G-7 WaterC'' Data'!$B$4:$B$8,0),MATCH(G111,'G-7 WaterC'' Data'!$H$3:$L$3,0)),"")</f>
        <v/>
      </c>
      <c r="I111" s="52"/>
      <c r="J111" s="283" t="str">
        <f>IF(I111="","",IF(VLOOKUP(I111,'G-7 WaterC'' Data'!$AK$4:$AM$6,2,FALSE)=0,"Spatial Data Missing ⚠",VLOOKUP(I111,'G-7 WaterC'' Data'!$AK$4:$AM$6,2,FALSE)))</f>
        <v/>
      </c>
      <c r="K111" s="276" t="str">
        <f>IF(I111="","",IF(VLOOKUP(I111,'G-7 WaterC'' Data'!$AK$4:$AM$6,3,FALSE)=0,"Spatial Data Missing ⚠",VLOOKUP(I111,'G-7 WaterC'' Data'!$AK$4:$AM$6,3,FALSE)))</f>
        <v/>
      </c>
      <c r="L111" s="275" t="str">
        <f>IFERROR(INDEX('G-7 WaterC'' Data'!$O$3:$O$7,MATCH(G111,'G-7 WaterC'' Data'!$N$3:$N$7,0)),"")</f>
        <v/>
      </c>
      <c r="M111" s="58"/>
      <c r="N111" s="133"/>
      <c r="O111" s="283" t="str">
        <f t="shared" si="6"/>
        <v/>
      </c>
      <c r="P111" s="296" t="str">
        <f t="shared" si="7"/>
        <v/>
      </c>
      <c r="Q111" s="334" t="str">
        <f>IFERROR(IF(P111="Check Data ⚠","Check Data ⚠",VLOOKUP(P111,'G-4 Temporal multipliers'!$A$4:$C$37,3,FALSE)),"")</f>
        <v/>
      </c>
      <c r="R111" s="275" t="str">
        <f>IF(C111="","",VLOOKUP(C111,'G-7 WaterC'' Data'!$B$4:$G$8,4,FALSE))</f>
        <v/>
      </c>
      <c r="S111" s="283" t="str">
        <f t="shared" si="8"/>
        <v/>
      </c>
      <c r="T111" s="314" t="str">
        <f t="shared" si="9"/>
        <v/>
      </c>
      <c r="U111" s="276" t="str">
        <f>IF(C111="","",VLOOKUP(T111,'G-3 Multipliers'!$P$2:$Q$6,2,FALSE))</f>
        <v/>
      </c>
      <c r="V111" s="102"/>
      <c r="W111" s="276" t="str">
        <f>IF(V111="","",IF(AND(V111="N/A - Culvert",C111&lt;&gt;"Culvert"),"Not possible ▲",IF(AND(C111="Culvert",V111&lt;&gt;"N/A - Culvert"),"Not possible ▲",IF(VLOOKUP(V111,'G-7 WaterC'' Data'!$AA$4:$AB$7,2,FALSE)=0,"Spatial Data Missing ⚠",VLOOKUP(V111,'G-7 WaterC'' Data'!$AA$4:$AB$7,2,FALSE)))))</f>
        <v/>
      </c>
      <c r="X111" s="56"/>
      <c r="Y111" s="276" t="str">
        <f>IF(X111="","",IF(AND(X111="N/A - Culvert",C111&lt;&gt;"Culvert"),"Not possible ▲",IF(AND(C111="Culvert",X111&lt;&gt;"N/A - Culvert"),"Not possible ▲",IF(VLOOKUP(X111,'G-7 WaterC'' Data'!$AD$4:$AE$14,2,FALSE)=0,"Enrcoachment Data Missing ⚠",VLOOKUP(X111,'G-7 WaterC'' Data'!$AD$4:$AE$14,2,FALSE)))))</f>
        <v/>
      </c>
      <c r="Z111" s="317" t="str">
        <f t="shared" si="10"/>
        <v/>
      </c>
      <c r="AA111" s="101"/>
      <c r="AB111" s="115"/>
      <c r="AC111" s="104"/>
      <c r="AH111" s="30" t="str">
        <f>IFERROR(INDEX('G-7 WaterC'' Data'!$AZ$3:$AZ$7,MATCH(C111,'G-7 WaterC'' Data'!$AY$3:$AY$7,0)),"")</f>
        <v/>
      </c>
      <c r="AK111" s="30" t="str">
        <f t="shared" si="11"/>
        <v>No</v>
      </c>
    </row>
    <row r="112" spans="2:37" ht="14">
      <c r="B112" s="97">
        <v>101</v>
      </c>
      <c r="C112" s="920"/>
      <c r="D112" s="115"/>
      <c r="E112" s="275" t="str">
        <f>IF(C112="","",VLOOKUP(C112,'G-7 WaterC'' Data'!$B$2:$G$8,2,FALSE))</f>
        <v/>
      </c>
      <c r="F112" s="276" t="str">
        <f>IFERROR(VLOOKUP(E112,'G-7 WaterC'' Data'!$C$4:$D$8,2,FALSE),"")</f>
        <v/>
      </c>
      <c r="G112" s="101"/>
      <c r="H112" s="276" t="str">
        <f>IFERROR(INDEX('G-7 WaterC'' Data'!$H$4:$L$8,MATCH(C112,'G-7 WaterC'' Data'!$B$4:$B$8,0),MATCH(G112,'G-7 WaterC'' Data'!$H$3:$L$3,0)),"")</f>
        <v/>
      </c>
      <c r="I112" s="52"/>
      <c r="J112" s="283" t="str">
        <f>IF(I112="","",IF(VLOOKUP(I112,'G-7 WaterC'' Data'!$AK$4:$AM$6,2,FALSE)=0,"Spatial Data Missing ⚠",VLOOKUP(I112,'G-7 WaterC'' Data'!$AK$4:$AM$6,2,FALSE)))</f>
        <v/>
      </c>
      <c r="K112" s="276" t="str">
        <f>IF(I112="","",IF(VLOOKUP(I112,'G-7 WaterC'' Data'!$AK$4:$AM$6,3,FALSE)=0,"Spatial Data Missing ⚠",VLOOKUP(I112,'G-7 WaterC'' Data'!$AK$4:$AM$6,3,FALSE)))</f>
        <v/>
      </c>
      <c r="L112" s="275" t="str">
        <f>IFERROR(INDEX('G-7 WaterC'' Data'!$O$3:$O$7,MATCH(G112,'G-7 WaterC'' Data'!$N$3:$N$7,0)),"")</f>
        <v/>
      </c>
      <c r="M112" s="58"/>
      <c r="N112" s="133"/>
      <c r="O112" s="283" t="str">
        <f t="shared" si="6"/>
        <v/>
      </c>
      <c r="P112" s="296" t="str">
        <f t="shared" si="7"/>
        <v/>
      </c>
      <c r="Q112" s="334" t="str">
        <f>IFERROR(IF(P112="Check Data ⚠","Check Data ⚠",VLOOKUP(P112,'G-4 Temporal multipliers'!$A$4:$C$37,3,FALSE)),"")</f>
        <v/>
      </c>
      <c r="R112" s="275" t="str">
        <f>IF(C112="","",VLOOKUP(C112,'G-7 WaterC'' Data'!$B$4:$G$8,4,FALSE))</f>
        <v/>
      </c>
      <c r="S112" s="283" t="str">
        <f t="shared" si="8"/>
        <v/>
      </c>
      <c r="T112" s="314" t="str">
        <f t="shared" si="9"/>
        <v/>
      </c>
      <c r="U112" s="276" t="str">
        <f>IF(C112="","",VLOOKUP(T112,'G-3 Multipliers'!$P$2:$Q$6,2,FALSE))</f>
        <v/>
      </c>
      <c r="V112" s="102"/>
      <c r="W112" s="276" t="str">
        <f>IF(V112="","",IF(AND(V112="N/A - Culvert",C112&lt;&gt;"Culvert"),"Not possible ▲",IF(AND(C112="Culvert",V112&lt;&gt;"N/A - Culvert"),"Not possible ▲",IF(VLOOKUP(V112,'G-7 WaterC'' Data'!$AA$4:$AB$7,2,FALSE)=0,"Spatial Data Missing ⚠",VLOOKUP(V112,'G-7 WaterC'' Data'!$AA$4:$AB$7,2,FALSE)))))</f>
        <v/>
      </c>
      <c r="X112" s="56"/>
      <c r="Y112" s="276" t="str">
        <f>IF(X112="","",IF(AND(X112="N/A - Culvert",C112&lt;&gt;"Culvert"),"Not possible ▲",IF(AND(C112="Culvert",X112&lt;&gt;"N/A - Culvert"),"Not possible ▲",IF(VLOOKUP(X112,'G-7 WaterC'' Data'!$AD$4:$AE$14,2,FALSE)=0,"Enrcoachment Data Missing ⚠",VLOOKUP(X112,'G-7 WaterC'' Data'!$AD$4:$AE$14,2,FALSE)))))</f>
        <v/>
      </c>
      <c r="Z112" s="317" t="str">
        <f t="shared" si="10"/>
        <v/>
      </c>
      <c r="AA112" s="101"/>
      <c r="AB112" s="115"/>
      <c r="AC112" s="104"/>
      <c r="AH112" s="30" t="str">
        <f>IFERROR(INDEX('G-7 WaterC'' Data'!$AZ$3:$AZ$7,MATCH(C112,'G-7 WaterC'' Data'!$AY$3:$AY$7,0)),"")</f>
        <v/>
      </c>
      <c r="AK112" s="30" t="str">
        <f t="shared" si="11"/>
        <v>No</v>
      </c>
    </row>
    <row r="113" spans="2:37" ht="14">
      <c r="B113" s="97">
        <v>102</v>
      </c>
      <c r="C113" s="920"/>
      <c r="D113" s="115"/>
      <c r="E113" s="275" t="str">
        <f>IF(C113="","",VLOOKUP(C113,'G-7 WaterC'' Data'!$B$2:$G$8,2,FALSE))</f>
        <v/>
      </c>
      <c r="F113" s="276" t="str">
        <f>IFERROR(VLOOKUP(E113,'G-7 WaterC'' Data'!$C$4:$D$8,2,FALSE),"")</f>
        <v/>
      </c>
      <c r="G113" s="101"/>
      <c r="H113" s="276" t="str">
        <f>IFERROR(INDEX('G-7 WaterC'' Data'!$H$4:$L$8,MATCH(C113,'G-7 WaterC'' Data'!$B$4:$B$8,0),MATCH(G113,'G-7 WaterC'' Data'!$H$3:$L$3,0)),"")</f>
        <v/>
      </c>
      <c r="I113" s="52"/>
      <c r="J113" s="283" t="str">
        <f>IF(I113="","",IF(VLOOKUP(I113,'G-7 WaterC'' Data'!$AK$4:$AM$6,2,FALSE)=0,"Spatial Data Missing ⚠",VLOOKUP(I113,'G-7 WaterC'' Data'!$AK$4:$AM$6,2,FALSE)))</f>
        <v/>
      </c>
      <c r="K113" s="276" t="str">
        <f>IF(I113="","",IF(VLOOKUP(I113,'G-7 WaterC'' Data'!$AK$4:$AM$6,3,FALSE)=0,"Spatial Data Missing ⚠",VLOOKUP(I113,'G-7 WaterC'' Data'!$AK$4:$AM$6,3,FALSE)))</f>
        <v/>
      </c>
      <c r="L113" s="275" t="str">
        <f>IFERROR(INDEX('G-7 WaterC'' Data'!$O$3:$O$7,MATCH(G113,'G-7 WaterC'' Data'!$N$3:$N$7,0)),"")</f>
        <v/>
      </c>
      <c r="M113" s="58"/>
      <c r="N113" s="133"/>
      <c r="O113" s="283" t="str">
        <f t="shared" si="6"/>
        <v/>
      </c>
      <c r="P113" s="296" t="str">
        <f t="shared" si="7"/>
        <v/>
      </c>
      <c r="Q113" s="334" t="str">
        <f>IFERROR(IF(P113="Check Data ⚠","Check Data ⚠",VLOOKUP(P113,'G-4 Temporal multipliers'!$A$4:$C$37,3,FALSE)),"")</f>
        <v/>
      </c>
      <c r="R113" s="275" t="str">
        <f>IF(C113="","",VLOOKUP(C113,'G-7 WaterC'' Data'!$B$4:$G$8,4,FALSE))</f>
        <v/>
      </c>
      <c r="S113" s="283" t="str">
        <f t="shared" si="8"/>
        <v/>
      </c>
      <c r="T113" s="314" t="str">
        <f t="shared" si="9"/>
        <v/>
      </c>
      <c r="U113" s="276" t="str">
        <f>IF(C113="","",VLOOKUP(T113,'G-3 Multipliers'!$P$2:$Q$6,2,FALSE))</f>
        <v/>
      </c>
      <c r="V113" s="102"/>
      <c r="W113" s="276" t="str">
        <f>IF(V113="","",IF(AND(V113="N/A - Culvert",C113&lt;&gt;"Culvert"),"Not possible ▲",IF(AND(C113="Culvert",V113&lt;&gt;"N/A - Culvert"),"Not possible ▲",IF(VLOOKUP(V113,'G-7 WaterC'' Data'!$AA$4:$AB$7,2,FALSE)=0,"Spatial Data Missing ⚠",VLOOKUP(V113,'G-7 WaterC'' Data'!$AA$4:$AB$7,2,FALSE)))))</f>
        <v/>
      </c>
      <c r="X113" s="56"/>
      <c r="Y113" s="276" t="str">
        <f>IF(X113="","",IF(AND(X113="N/A - Culvert",C113&lt;&gt;"Culvert"),"Not possible ▲",IF(AND(C113="Culvert",X113&lt;&gt;"N/A - Culvert"),"Not possible ▲",IF(VLOOKUP(X113,'G-7 WaterC'' Data'!$AD$4:$AE$14,2,FALSE)=0,"Enrcoachment Data Missing ⚠",VLOOKUP(X113,'G-7 WaterC'' Data'!$AD$4:$AE$14,2,FALSE)))))</f>
        <v/>
      </c>
      <c r="Z113" s="317" t="str">
        <f t="shared" si="10"/>
        <v/>
      </c>
      <c r="AA113" s="101"/>
      <c r="AB113" s="115"/>
      <c r="AC113" s="104"/>
      <c r="AH113" s="30" t="str">
        <f>IFERROR(INDEX('G-7 WaterC'' Data'!$AZ$3:$AZ$7,MATCH(C113,'G-7 WaterC'' Data'!$AY$3:$AY$7,0)),"")</f>
        <v/>
      </c>
      <c r="AK113" s="30" t="str">
        <f t="shared" si="11"/>
        <v>No</v>
      </c>
    </row>
    <row r="114" spans="2:37" ht="14">
      <c r="B114" s="97">
        <v>103</v>
      </c>
      <c r="C114" s="920"/>
      <c r="D114" s="115"/>
      <c r="E114" s="275" t="str">
        <f>IF(C114="","",VLOOKUP(C114,'G-7 WaterC'' Data'!$B$2:$G$8,2,FALSE))</f>
        <v/>
      </c>
      <c r="F114" s="276" t="str">
        <f>IFERROR(VLOOKUP(E114,'G-7 WaterC'' Data'!$C$4:$D$8,2,FALSE),"")</f>
        <v/>
      </c>
      <c r="G114" s="101"/>
      <c r="H114" s="276" t="str">
        <f>IFERROR(INDEX('G-7 WaterC'' Data'!$H$4:$L$8,MATCH(C114,'G-7 WaterC'' Data'!$B$4:$B$8,0),MATCH(G114,'G-7 WaterC'' Data'!$H$3:$L$3,0)),"")</f>
        <v/>
      </c>
      <c r="I114" s="52"/>
      <c r="J114" s="283" t="str">
        <f>IF(I114="","",IF(VLOOKUP(I114,'G-7 WaterC'' Data'!$AK$4:$AM$6,2,FALSE)=0,"Spatial Data Missing ⚠",VLOOKUP(I114,'G-7 WaterC'' Data'!$AK$4:$AM$6,2,FALSE)))</f>
        <v/>
      </c>
      <c r="K114" s="276" t="str">
        <f>IF(I114="","",IF(VLOOKUP(I114,'G-7 WaterC'' Data'!$AK$4:$AM$6,3,FALSE)=0,"Spatial Data Missing ⚠",VLOOKUP(I114,'G-7 WaterC'' Data'!$AK$4:$AM$6,3,FALSE)))</f>
        <v/>
      </c>
      <c r="L114" s="275" t="str">
        <f>IFERROR(INDEX('G-7 WaterC'' Data'!$O$3:$O$7,MATCH(G114,'G-7 WaterC'' Data'!$N$3:$N$7,0)),"")</f>
        <v/>
      </c>
      <c r="M114" s="58"/>
      <c r="N114" s="133"/>
      <c r="O114" s="283" t="str">
        <f t="shared" si="6"/>
        <v/>
      </c>
      <c r="P114" s="296" t="str">
        <f t="shared" si="7"/>
        <v/>
      </c>
      <c r="Q114" s="334" t="str">
        <f>IFERROR(IF(P114="Check Data ⚠","Check Data ⚠",VLOOKUP(P114,'G-4 Temporal multipliers'!$A$4:$C$37,3,FALSE)),"")</f>
        <v/>
      </c>
      <c r="R114" s="275" t="str">
        <f>IF(C114="","",VLOOKUP(C114,'G-7 WaterC'' Data'!$B$4:$G$8,4,FALSE))</f>
        <v/>
      </c>
      <c r="S114" s="283" t="str">
        <f t="shared" si="8"/>
        <v/>
      </c>
      <c r="T114" s="314" t="str">
        <f t="shared" si="9"/>
        <v/>
      </c>
      <c r="U114" s="276" t="str">
        <f>IF(C114="","",VLOOKUP(T114,'G-3 Multipliers'!$P$2:$Q$6,2,FALSE))</f>
        <v/>
      </c>
      <c r="V114" s="102"/>
      <c r="W114" s="276" t="str">
        <f>IF(V114="","",IF(AND(V114="N/A - Culvert",C114&lt;&gt;"Culvert"),"Not possible ▲",IF(AND(C114="Culvert",V114&lt;&gt;"N/A - Culvert"),"Not possible ▲",IF(VLOOKUP(V114,'G-7 WaterC'' Data'!$AA$4:$AB$7,2,FALSE)=0,"Spatial Data Missing ⚠",VLOOKUP(V114,'G-7 WaterC'' Data'!$AA$4:$AB$7,2,FALSE)))))</f>
        <v/>
      </c>
      <c r="X114" s="56"/>
      <c r="Y114" s="276" t="str">
        <f>IF(X114="","",IF(AND(X114="N/A - Culvert",C114&lt;&gt;"Culvert"),"Not possible ▲",IF(AND(C114="Culvert",X114&lt;&gt;"N/A - Culvert"),"Not possible ▲",IF(VLOOKUP(X114,'G-7 WaterC'' Data'!$AD$4:$AE$14,2,FALSE)=0,"Enrcoachment Data Missing ⚠",VLOOKUP(X114,'G-7 WaterC'' Data'!$AD$4:$AE$14,2,FALSE)))))</f>
        <v/>
      </c>
      <c r="Z114" s="317" t="str">
        <f t="shared" si="10"/>
        <v/>
      </c>
      <c r="AA114" s="101"/>
      <c r="AB114" s="115"/>
      <c r="AC114" s="104"/>
      <c r="AH114" s="30" t="str">
        <f>IFERROR(INDEX('G-7 WaterC'' Data'!$AZ$3:$AZ$7,MATCH(C114,'G-7 WaterC'' Data'!$AY$3:$AY$7,0)),"")</f>
        <v/>
      </c>
      <c r="AK114" s="30" t="str">
        <f t="shared" si="11"/>
        <v>No</v>
      </c>
    </row>
    <row r="115" spans="2:37" ht="14">
      <c r="B115" s="97">
        <v>104</v>
      </c>
      <c r="C115" s="920"/>
      <c r="D115" s="115"/>
      <c r="E115" s="275" t="str">
        <f>IF(C115="","",VLOOKUP(C115,'G-7 WaterC'' Data'!$B$2:$G$8,2,FALSE))</f>
        <v/>
      </c>
      <c r="F115" s="276" t="str">
        <f>IFERROR(VLOOKUP(E115,'G-7 WaterC'' Data'!$C$4:$D$8,2,FALSE),"")</f>
        <v/>
      </c>
      <c r="G115" s="101"/>
      <c r="H115" s="276" t="str">
        <f>IFERROR(INDEX('G-7 WaterC'' Data'!$H$4:$L$8,MATCH(C115,'G-7 WaterC'' Data'!$B$4:$B$8,0),MATCH(G115,'G-7 WaterC'' Data'!$H$3:$L$3,0)),"")</f>
        <v/>
      </c>
      <c r="I115" s="52"/>
      <c r="J115" s="283" t="str">
        <f>IF(I115="","",IF(VLOOKUP(I115,'G-7 WaterC'' Data'!$AK$4:$AM$6,2,FALSE)=0,"Spatial Data Missing ⚠",VLOOKUP(I115,'G-7 WaterC'' Data'!$AK$4:$AM$6,2,FALSE)))</f>
        <v/>
      </c>
      <c r="K115" s="276" t="str">
        <f>IF(I115="","",IF(VLOOKUP(I115,'G-7 WaterC'' Data'!$AK$4:$AM$6,3,FALSE)=0,"Spatial Data Missing ⚠",VLOOKUP(I115,'G-7 WaterC'' Data'!$AK$4:$AM$6,3,FALSE)))</f>
        <v/>
      </c>
      <c r="L115" s="275" t="str">
        <f>IFERROR(INDEX('G-7 WaterC'' Data'!$O$3:$O$7,MATCH(G115,'G-7 WaterC'' Data'!$N$3:$N$7,0)),"")</f>
        <v/>
      </c>
      <c r="M115" s="58"/>
      <c r="N115" s="133"/>
      <c r="O115" s="283" t="str">
        <f t="shared" si="6"/>
        <v/>
      </c>
      <c r="P115" s="296" t="str">
        <f t="shared" si="7"/>
        <v/>
      </c>
      <c r="Q115" s="334" t="str">
        <f>IFERROR(IF(P115="Check Data ⚠","Check Data ⚠",VLOOKUP(P115,'G-4 Temporal multipliers'!$A$4:$C$37,3,FALSE)),"")</f>
        <v/>
      </c>
      <c r="R115" s="275" t="str">
        <f>IF(C115="","",VLOOKUP(C115,'G-7 WaterC'' Data'!$B$4:$G$8,4,FALSE))</f>
        <v/>
      </c>
      <c r="S115" s="283" t="str">
        <f t="shared" si="8"/>
        <v/>
      </c>
      <c r="T115" s="314" t="str">
        <f t="shared" si="9"/>
        <v/>
      </c>
      <c r="U115" s="276" t="str">
        <f>IF(C115="","",VLOOKUP(T115,'G-3 Multipliers'!$P$2:$Q$6,2,FALSE))</f>
        <v/>
      </c>
      <c r="V115" s="102"/>
      <c r="W115" s="276" t="str">
        <f>IF(V115="","",IF(AND(V115="N/A - Culvert",C115&lt;&gt;"Culvert"),"Not possible ▲",IF(AND(C115="Culvert",V115&lt;&gt;"N/A - Culvert"),"Not possible ▲",IF(VLOOKUP(V115,'G-7 WaterC'' Data'!$AA$4:$AB$7,2,FALSE)=0,"Spatial Data Missing ⚠",VLOOKUP(V115,'G-7 WaterC'' Data'!$AA$4:$AB$7,2,FALSE)))))</f>
        <v/>
      </c>
      <c r="X115" s="56"/>
      <c r="Y115" s="276" t="str">
        <f>IF(X115="","",IF(AND(X115="N/A - Culvert",C115&lt;&gt;"Culvert"),"Not possible ▲",IF(AND(C115="Culvert",X115&lt;&gt;"N/A - Culvert"),"Not possible ▲",IF(VLOOKUP(X115,'G-7 WaterC'' Data'!$AD$4:$AE$14,2,FALSE)=0,"Enrcoachment Data Missing ⚠",VLOOKUP(X115,'G-7 WaterC'' Data'!$AD$4:$AE$14,2,FALSE)))))</f>
        <v/>
      </c>
      <c r="Z115" s="317" t="str">
        <f t="shared" si="10"/>
        <v/>
      </c>
      <c r="AA115" s="101"/>
      <c r="AB115" s="115"/>
      <c r="AC115" s="104"/>
      <c r="AH115" s="30" t="str">
        <f>IFERROR(INDEX('G-7 WaterC'' Data'!$AZ$3:$AZ$7,MATCH(C115,'G-7 WaterC'' Data'!$AY$3:$AY$7,0)),"")</f>
        <v/>
      </c>
      <c r="AK115" s="30" t="str">
        <f t="shared" si="11"/>
        <v>No</v>
      </c>
    </row>
    <row r="116" spans="2:37" ht="14">
      <c r="B116" s="97">
        <v>105</v>
      </c>
      <c r="C116" s="920"/>
      <c r="D116" s="115"/>
      <c r="E116" s="275" t="str">
        <f>IF(C116="","",VLOOKUP(C116,'G-7 WaterC'' Data'!$B$2:$G$8,2,FALSE))</f>
        <v/>
      </c>
      <c r="F116" s="276" t="str">
        <f>IFERROR(VLOOKUP(E116,'G-7 WaterC'' Data'!$C$4:$D$8,2,FALSE),"")</f>
        <v/>
      </c>
      <c r="G116" s="101"/>
      <c r="H116" s="276" t="str">
        <f>IFERROR(INDEX('G-7 WaterC'' Data'!$H$4:$L$8,MATCH(C116,'G-7 WaterC'' Data'!$B$4:$B$8,0),MATCH(G116,'G-7 WaterC'' Data'!$H$3:$L$3,0)),"")</f>
        <v/>
      </c>
      <c r="I116" s="52"/>
      <c r="J116" s="283" t="str">
        <f>IF(I116="","",IF(VLOOKUP(I116,'G-7 WaterC'' Data'!$AK$4:$AM$6,2,FALSE)=0,"Spatial Data Missing ⚠",VLOOKUP(I116,'G-7 WaterC'' Data'!$AK$4:$AM$6,2,FALSE)))</f>
        <v/>
      </c>
      <c r="K116" s="276" t="str">
        <f>IF(I116="","",IF(VLOOKUP(I116,'G-7 WaterC'' Data'!$AK$4:$AM$6,3,FALSE)=0,"Spatial Data Missing ⚠",VLOOKUP(I116,'G-7 WaterC'' Data'!$AK$4:$AM$6,3,FALSE)))</f>
        <v/>
      </c>
      <c r="L116" s="275" t="str">
        <f>IFERROR(INDEX('G-7 WaterC'' Data'!$O$3:$O$7,MATCH(G116,'G-7 WaterC'' Data'!$N$3:$N$7,0)),"")</f>
        <v/>
      </c>
      <c r="M116" s="58"/>
      <c r="N116" s="133"/>
      <c r="O116" s="283" t="str">
        <f t="shared" si="6"/>
        <v/>
      </c>
      <c r="P116" s="296" t="str">
        <f t="shared" si="7"/>
        <v/>
      </c>
      <c r="Q116" s="334" t="str">
        <f>IFERROR(IF(P116="Check Data ⚠","Check Data ⚠",VLOOKUP(P116,'G-4 Temporal multipliers'!$A$4:$C$37,3,FALSE)),"")</f>
        <v/>
      </c>
      <c r="R116" s="275" t="str">
        <f>IF(C116="","",VLOOKUP(C116,'G-7 WaterC'' Data'!$B$4:$G$8,4,FALSE))</f>
        <v/>
      </c>
      <c r="S116" s="283" t="str">
        <f t="shared" si="8"/>
        <v/>
      </c>
      <c r="T116" s="314" t="str">
        <f t="shared" si="9"/>
        <v/>
      </c>
      <c r="U116" s="276" t="str">
        <f>IF(C116="","",VLOOKUP(T116,'G-3 Multipliers'!$P$2:$Q$6,2,FALSE))</f>
        <v/>
      </c>
      <c r="V116" s="102"/>
      <c r="W116" s="276" t="str">
        <f>IF(V116="","",IF(AND(V116="N/A - Culvert",C116&lt;&gt;"Culvert"),"Not possible ▲",IF(AND(C116="Culvert",V116&lt;&gt;"N/A - Culvert"),"Not possible ▲",IF(VLOOKUP(V116,'G-7 WaterC'' Data'!$AA$4:$AB$7,2,FALSE)=0,"Spatial Data Missing ⚠",VLOOKUP(V116,'G-7 WaterC'' Data'!$AA$4:$AB$7,2,FALSE)))))</f>
        <v/>
      </c>
      <c r="X116" s="56"/>
      <c r="Y116" s="276" t="str">
        <f>IF(X116="","",IF(AND(X116="N/A - Culvert",C116&lt;&gt;"Culvert"),"Not possible ▲",IF(AND(C116="Culvert",X116&lt;&gt;"N/A - Culvert"),"Not possible ▲",IF(VLOOKUP(X116,'G-7 WaterC'' Data'!$AD$4:$AE$14,2,FALSE)=0,"Enrcoachment Data Missing ⚠",VLOOKUP(X116,'G-7 WaterC'' Data'!$AD$4:$AE$14,2,FALSE)))))</f>
        <v/>
      </c>
      <c r="Z116" s="317" t="str">
        <f t="shared" si="10"/>
        <v/>
      </c>
      <c r="AA116" s="101"/>
      <c r="AB116" s="115"/>
      <c r="AC116" s="104"/>
      <c r="AH116" s="30" t="str">
        <f>IFERROR(INDEX('G-7 WaterC'' Data'!$AZ$3:$AZ$7,MATCH(C116,'G-7 WaterC'' Data'!$AY$3:$AY$7,0)),"")</f>
        <v/>
      </c>
      <c r="AK116" s="30" t="str">
        <f t="shared" si="11"/>
        <v>No</v>
      </c>
    </row>
    <row r="117" spans="2:37" ht="14">
      <c r="B117" s="97">
        <v>106</v>
      </c>
      <c r="C117" s="920"/>
      <c r="D117" s="115"/>
      <c r="E117" s="275" t="str">
        <f>IF(C117="","",VLOOKUP(C117,'G-7 WaterC'' Data'!$B$2:$G$8,2,FALSE))</f>
        <v/>
      </c>
      <c r="F117" s="276" t="str">
        <f>IFERROR(VLOOKUP(E117,'G-7 WaterC'' Data'!$C$4:$D$8,2,FALSE),"")</f>
        <v/>
      </c>
      <c r="G117" s="101"/>
      <c r="H117" s="276" t="str">
        <f>IFERROR(INDEX('G-7 WaterC'' Data'!$H$4:$L$8,MATCH(C117,'G-7 WaterC'' Data'!$B$4:$B$8,0),MATCH(G117,'G-7 WaterC'' Data'!$H$3:$L$3,0)),"")</f>
        <v/>
      </c>
      <c r="I117" s="52"/>
      <c r="J117" s="283" t="str">
        <f>IF(I117="","",IF(VLOOKUP(I117,'G-7 WaterC'' Data'!$AK$4:$AM$6,2,FALSE)=0,"Spatial Data Missing ⚠",VLOOKUP(I117,'G-7 WaterC'' Data'!$AK$4:$AM$6,2,FALSE)))</f>
        <v/>
      </c>
      <c r="K117" s="276" t="str">
        <f>IF(I117="","",IF(VLOOKUP(I117,'G-7 WaterC'' Data'!$AK$4:$AM$6,3,FALSE)=0,"Spatial Data Missing ⚠",VLOOKUP(I117,'G-7 WaterC'' Data'!$AK$4:$AM$6,3,FALSE)))</f>
        <v/>
      </c>
      <c r="L117" s="275" t="str">
        <f>IFERROR(INDEX('G-7 WaterC'' Data'!$O$3:$O$7,MATCH(G117,'G-7 WaterC'' Data'!$N$3:$N$7,0)),"")</f>
        <v/>
      </c>
      <c r="M117" s="58"/>
      <c r="N117" s="133"/>
      <c r="O117" s="283" t="str">
        <f t="shared" si="6"/>
        <v/>
      </c>
      <c r="P117" s="296" t="str">
        <f t="shared" si="7"/>
        <v/>
      </c>
      <c r="Q117" s="334" t="str">
        <f>IFERROR(IF(P117="Check Data ⚠","Check Data ⚠",VLOOKUP(P117,'G-4 Temporal multipliers'!$A$4:$C$37,3,FALSE)),"")</f>
        <v/>
      </c>
      <c r="R117" s="275" t="str">
        <f>IF(C117="","",VLOOKUP(C117,'G-7 WaterC'' Data'!$B$4:$G$8,4,FALSE))</f>
        <v/>
      </c>
      <c r="S117" s="283" t="str">
        <f t="shared" si="8"/>
        <v/>
      </c>
      <c r="T117" s="314" t="str">
        <f t="shared" si="9"/>
        <v/>
      </c>
      <c r="U117" s="276" t="str">
        <f>IF(C117="","",VLOOKUP(T117,'G-3 Multipliers'!$P$2:$Q$6,2,FALSE))</f>
        <v/>
      </c>
      <c r="V117" s="102"/>
      <c r="W117" s="276" t="str">
        <f>IF(V117="","",IF(AND(V117="N/A - Culvert",C117&lt;&gt;"Culvert"),"Not possible ▲",IF(AND(C117="Culvert",V117&lt;&gt;"N/A - Culvert"),"Not possible ▲",IF(VLOOKUP(V117,'G-7 WaterC'' Data'!$AA$4:$AB$7,2,FALSE)=0,"Spatial Data Missing ⚠",VLOOKUP(V117,'G-7 WaterC'' Data'!$AA$4:$AB$7,2,FALSE)))))</f>
        <v/>
      </c>
      <c r="X117" s="56"/>
      <c r="Y117" s="276" t="str">
        <f>IF(X117="","",IF(AND(X117="N/A - Culvert",C117&lt;&gt;"Culvert"),"Not possible ▲",IF(AND(C117="Culvert",X117&lt;&gt;"N/A - Culvert"),"Not possible ▲",IF(VLOOKUP(X117,'G-7 WaterC'' Data'!$AD$4:$AE$14,2,FALSE)=0,"Enrcoachment Data Missing ⚠",VLOOKUP(X117,'G-7 WaterC'' Data'!$AD$4:$AE$14,2,FALSE)))))</f>
        <v/>
      </c>
      <c r="Z117" s="317" t="str">
        <f t="shared" si="10"/>
        <v/>
      </c>
      <c r="AA117" s="101"/>
      <c r="AB117" s="115"/>
      <c r="AC117" s="104"/>
      <c r="AH117" s="30" t="str">
        <f>IFERROR(INDEX('G-7 WaterC'' Data'!$AZ$3:$AZ$7,MATCH(C117,'G-7 WaterC'' Data'!$AY$3:$AY$7,0)),"")</f>
        <v/>
      </c>
      <c r="AK117" s="30" t="str">
        <f t="shared" si="11"/>
        <v>No</v>
      </c>
    </row>
    <row r="118" spans="2:37" ht="14">
      <c r="B118" s="97">
        <v>107</v>
      </c>
      <c r="C118" s="920"/>
      <c r="D118" s="115"/>
      <c r="E118" s="275" t="str">
        <f>IF(C118="","",VLOOKUP(C118,'G-7 WaterC'' Data'!$B$2:$G$8,2,FALSE))</f>
        <v/>
      </c>
      <c r="F118" s="276" t="str">
        <f>IFERROR(VLOOKUP(E118,'G-7 WaterC'' Data'!$C$4:$D$8,2,FALSE),"")</f>
        <v/>
      </c>
      <c r="G118" s="101"/>
      <c r="H118" s="276" t="str">
        <f>IFERROR(INDEX('G-7 WaterC'' Data'!$H$4:$L$8,MATCH(C118,'G-7 WaterC'' Data'!$B$4:$B$8,0),MATCH(G118,'G-7 WaterC'' Data'!$H$3:$L$3,0)),"")</f>
        <v/>
      </c>
      <c r="I118" s="52"/>
      <c r="J118" s="283" t="str">
        <f>IF(I118="","",IF(VLOOKUP(I118,'G-7 WaterC'' Data'!$AK$4:$AM$6,2,FALSE)=0,"Spatial Data Missing ⚠",VLOOKUP(I118,'G-7 WaterC'' Data'!$AK$4:$AM$6,2,FALSE)))</f>
        <v/>
      </c>
      <c r="K118" s="276" t="str">
        <f>IF(I118="","",IF(VLOOKUP(I118,'G-7 WaterC'' Data'!$AK$4:$AM$6,3,FALSE)=0,"Spatial Data Missing ⚠",VLOOKUP(I118,'G-7 WaterC'' Data'!$AK$4:$AM$6,3,FALSE)))</f>
        <v/>
      </c>
      <c r="L118" s="275" t="str">
        <f>IFERROR(INDEX('G-7 WaterC'' Data'!$O$3:$O$7,MATCH(G118,'G-7 WaterC'' Data'!$N$3:$N$7,0)),"")</f>
        <v/>
      </c>
      <c r="M118" s="58"/>
      <c r="N118" s="133"/>
      <c r="O118" s="283" t="str">
        <f t="shared" si="6"/>
        <v/>
      </c>
      <c r="P118" s="296" t="str">
        <f t="shared" si="7"/>
        <v/>
      </c>
      <c r="Q118" s="334" t="str">
        <f>IFERROR(IF(P118="Check Data ⚠","Check Data ⚠",VLOOKUP(P118,'G-4 Temporal multipliers'!$A$4:$C$37,3,FALSE)),"")</f>
        <v/>
      </c>
      <c r="R118" s="275" t="str">
        <f>IF(C118="","",VLOOKUP(C118,'G-7 WaterC'' Data'!$B$4:$G$8,4,FALSE))</f>
        <v/>
      </c>
      <c r="S118" s="283" t="str">
        <f t="shared" si="8"/>
        <v/>
      </c>
      <c r="T118" s="314" t="str">
        <f t="shared" si="9"/>
        <v/>
      </c>
      <c r="U118" s="276" t="str">
        <f>IF(C118="","",VLOOKUP(T118,'G-3 Multipliers'!$P$2:$Q$6,2,FALSE))</f>
        <v/>
      </c>
      <c r="V118" s="102"/>
      <c r="W118" s="276" t="str">
        <f>IF(V118="","",IF(AND(V118="N/A - Culvert",C118&lt;&gt;"Culvert"),"Not possible ▲",IF(AND(C118="Culvert",V118&lt;&gt;"N/A - Culvert"),"Not possible ▲",IF(VLOOKUP(V118,'G-7 WaterC'' Data'!$AA$4:$AB$7,2,FALSE)=0,"Spatial Data Missing ⚠",VLOOKUP(V118,'G-7 WaterC'' Data'!$AA$4:$AB$7,2,FALSE)))))</f>
        <v/>
      </c>
      <c r="X118" s="56"/>
      <c r="Y118" s="276" t="str">
        <f>IF(X118="","",IF(AND(X118="N/A - Culvert",C118&lt;&gt;"Culvert"),"Not possible ▲",IF(AND(C118="Culvert",X118&lt;&gt;"N/A - Culvert"),"Not possible ▲",IF(VLOOKUP(X118,'G-7 WaterC'' Data'!$AD$4:$AE$14,2,FALSE)=0,"Enrcoachment Data Missing ⚠",VLOOKUP(X118,'G-7 WaterC'' Data'!$AD$4:$AE$14,2,FALSE)))))</f>
        <v/>
      </c>
      <c r="Z118" s="317" t="str">
        <f t="shared" si="10"/>
        <v/>
      </c>
      <c r="AA118" s="101"/>
      <c r="AB118" s="115"/>
      <c r="AC118" s="104"/>
      <c r="AH118" s="30" t="str">
        <f>IFERROR(INDEX('G-7 WaterC'' Data'!$AZ$3:$AZ$7,MATCH(C118,'G-7 WaterC'' Data'!$AY$3:$AY$7,0)),"")</f>
        <v/>
      </c>
      <c r="AK118" s="30" t="str">
        <f t="shared" si="11"/>
        <v>No</v>
      </c>
    </row>
    <row r="119" spans="2:37" ht="14">
      <c r="B119" s="97">
        <v>108</v>
      </c>
      <c r="C119" s="920"/>
      <c r="D119" s="115"/>
      <c r="E119" s="275" t="str">
        <f>IF(C119="","",VLOOKUP(C119,'G-7 WaterC'' Data'!$B$2:$G$8,2,FALSE))</f>
        <v/>
      </c>
      <c r="F119" s="276" t="str">
        <f>IFERROR(VLOOKUP(E119,'G-7 WaterC'' Data'!$C$4:$D$8,2,FALSE),"")</f>
        <v/>
      </c>
      <c r="G119" s="101"/>
      <c r="H119" s="276" t="str">
        <f>IFERROR(INDEX('G-7 WaterC'' Data'!$H$4:$L$8,MATCH(C119,'G-7 WaterC'' Data'!$B$4:$B$8,0),MATCH(G119,'G-7 WaterC'' Data'!$H$3:$L$3,0)),"")</f>
        <v/>
      </c>
      <c r="I119" s="52"/>
      <c r="J119" s="283" t="str">
        <f>IF(I119="","",IF(VLOOKUP(I119,'G-7 WaterC'' Data'!$AK$4:$AM$6,2,FALSE)=0,"Spatial Data Missing ⚠",VLOOKUP(I119,'G-7 WaterC'' Data'!$AK$4:$AM$6,2,FALSE)))</f>
        <v/>
      </c>
      <c r="K119" s="276" t="str">
        <f>IF(I119="","",IF(VLOOKUP(I119,'G-7 WaterC'' Data'!$AK$4:$AM$6,3,FALSE)=0,"Spatial Data Missing ⚠",VLOOKUP(I119,'G-7 WaterC'' Data'!$AK$4:$AM$6,3,FALSE)))</f>
        <v/>
      </c>
      <c r="L119" s="275" t="str">
        <f>IFERROR(INDEX('G-7 WaterC'' Data'!$O$3:$O$7,MATCH(G119,'G-7 WaterC'' Data'!$N$3:$N$7,0)),"")</f>
        <v/>
      </c>
      <c r="M119" s="58"/>
      <c r="N119" s="133"/>
      <c r="O119" s="283" t="str">
        <f t="shared" si="6"/>
        <v/>
      </c>
      <c r="P119" s="296" t="str">
        <f t="shared" si="7"/>
        <v/>
      </c>
      <c r="Q119" s="334" t="str">
        <f>IFERROR(IF(P119="Check Data ⚠","Check Data ⚠",VLOOKUP(P119,'G-4 Temporal multipliers'!$A$4:$C$37,3,FALSE)),"")</f>
        <v/>
      </c>
      <c r="R119" s="275" t="str">
        <f>IF(C119="","",VLOOKUP(C119,'G-7 WaterC'' Data'!$B$4:$G$8,4,FALSE))</f>
        <v/>
      </c>
      <c r="S119" s="283" t="str">
        <f t="shared" si="8"/>
        <v/>
      </c>
      <c r="T119" s="314" t="str">
        <f t="shared" si="9"/>
        <v/>
      </c>
      <c r="U119" s="276" t="str">
        <f>IF(C119="","",VLOOKUP(T119,'G-3 Multipliers'!$P$2:$Q$6,2,FALSE))</f>
        <v/>
      </c>
      <c r="V119" s="102"/>
      <c r="W119" s="276" t="str">
        <f>IF(V119="","",IF(AND(V119="N/A - Culvert",C119&lt;&gt;"Culvert"),"Not possible ▲",IF(AND(C119="Culvert",V119&lt;&gt;"N/A - Culvert"),"Not possible ▲",IF(VLOOKUP(V119,'G-7 WaterC'' Data'!$AA$4:$AB$7,2,FALSE)=0,"Spatial Data Missing ⚠",VLOOKUP(V119,'G-7 WaterC'' Data'!$AA$4:$AB$7,2,FALSE)))))</f>
        <v/>
      </c>
      <c r="X119" s="56"/>
      <c r="Y119" s="276" t="str">
        <f>IF(X119="","",IF(AND(X119="N/A - Culvert",C119&lt;&gt;"Culvert"),"Not possible ▲",IF(AND(C119="Culvert",X119&lt;&gt;"N/A - Culvert"),"Not possible ▲",IF(VLOOKUP(X119,'G-7 WaterC'' Data'!$AD$4:$AE$14,2,FALSE)=0,"Enrcoachment Data Missing ⚠",VLOOKUP(X119,'G-7 WaterC'' Data'!$AD$4:$AE$14,2,FALSE)))))</f>
        <v/>
      </c>
      <c r="Z119" s="317" t="str">
        <f t="shared" si="10"/>
        <v/>
      </c>
      <c r="AA119" s="101"/>
      <c r="AB119" s="115"/>
      <c r="AC119" s="104"/>
      <c r="AH119" s="30" t="str">
        <f>IFERROR(INDEX('G-7 WaterC'' Data'!$AZ$3:$AZ$7,MATCH(C119,'G-7 WaterC'' Data'!$AY$3:$AY$7,0)),"")</f>
        <v/>
      </c>
      <c r="AK119" s="30" t="str">
        <f t="shared" si="11"/>
        <v>No</v>
      </c>
    </row>
    <row r="120" spans="2:37" ht="14">
      <c r="B120" s="97">
        <v>109</v>
      </c>
      <c r="C120" s="920"/>
      <c r="D120" s="115"/>
      <c r="E120" s="275" t="str">
        <f>IF(C120="","",VLOOKUP(C120,'G-7 WaterC'' Data'!$B$2:$G$8,2,FALSE))</f>
        <v/>
      </c>
      <c r="F120" s="276" t="str">
        <f>IFERROR(VLOOKUP(E120,'G-7 WaterC'' Data'!$C$4:$D$8,2,FALSE),"")</f>
        <v/>
      </c>
      <c r="G120" s="101"/>
      <c r="H120" s="276" t="str">
        <f>IFERROR(INDEX('G-7 WaterC'' Data'!$H$4:$L$8,MATCH(C120,'G-7 WaterC'' Data'!$B$4:$B$8,0),MATCH(G120,'G-7 WaterC'' Data'!$H$3:$L$3,0)),"")</f>
        <v/>
      </c>
      <c r="I120" s="52"/>
      <c r="J120" s="283" t="str">
        <f>IF(I120="","",IF(VLOOKUP(I120,'G-7 WaterC'' Data'!$AK$4:$AM$6,2,FALSE)=0,"Spatial Data Missing ⚠",VLOOKUP(I120,'G-7 WaterC'' Data'!$AK$4:$AM$6,2,FALSE)))</f>
        <v/>
      </c>
      <c r="K120" s="276" t="str">
        <f>IF(I120="","",IF(VLOOKUP(I120,'G-7 WaterC'' Data'!$AK$4:$AM$6,3,FALSE)=0,"Spatial Data Missing ⚠",VLOOKUP(I120,'G-7 WaterC'' Data'!$AK$4:$AM$6,3,FALSE)))</f>
        <v/>
      </c>
      <c r="L120" s="275" t="str">
        <f>IFERROR(INDEX('G-7 WaterC'' Data'!$O$3:$O$7,MATCH(G120,'G-7 WaterC'' Data'!$N$3:$N$7,0)),"")</f>
        <v/>
      </c>
      <c r="M120" s="58"/>
      <c r="N120" s="133"/>
      <c r="O120" s="283" t="str">
        <f t="shared" si="6"/>
        <v/>
      </c>
      <c r="P120" s="296" t="str">
        <f t="shared" si="7"/>
        <v/>
      </c>
      <c r="Q120" s="334" t="str">
        <f>IFERROR(IF(P120="Check Data ⚠","Check Data ⚠",VLOOKUP(P120,'G-4 Temporal multipliers'!$A$4:$C$37,3,FALSE)),"")</f>
        <v/>
      </c>
      <c r="R120" s="275" t="str">
        <f>IF(C120="","",VLOOKUP(C120,'G-7 WaterC'' Data'!$B$4:$G$8,4,FALSE))</f>
        <v/>
      </c>
      <c r="S120" s="283" t="str">
        <f t="shared" si="8"/>
        <v/>
      </c>
      <c r="T120" s="314" t="str">
        <f t="shared" si="9"/>
        <v/>
      </c>
      <c r="U120" s="276" t="str">
        <f>IF(C120="","",VLOOKUP(T120,'G-3 Multipliers'!$P$2:$Q$6,2,FALSE))</f>
        <v/>
      </c>
      <c r="V120" s="102"/>
      <c r="W120" s="276" t="str">
        <f>IF(V120="","",IF(AND(V120="N/A - Culvert",C120&lt;&gt;"Culvert"),"Not possible ▲",IF(AND(C120="Culvert",V120&lt;&gt;"N/A - Culvert"),"Not possible ▲",IF(VLOOKUP(V120,'G-7 WaterC'' Data'!$AA$4:$AB$7,2,FALSE)=0,"Spatial Data Missing ⚠",VLOOKUP(V120,'G-7 WaterC'' Data'!$AA$4:$AB$7,2,FALSE)))))</f>
        <v/>
      </c>
      <c r="X120" s="56"/>
      <c r="Y120" s="276" t="str">
        <f>IF(X120="","",IF(AND(X120="N/A - Culvert",C120&lt;&gt;"Culvert"),"Not possible ▲",IF(AND(C120="Culvert",X120&lt;&gt;"N/A - Culvert"),"Not possible ▲",IF(VLOOKUP(X120,'G-7 WaterC'' Data'!$AD$4:$AE$14,2,FALSE)=0,"Enrcoachment Data Missing ⚠",VLOOKUP(X120,'G-7 WaterC'' Data'!$AD$4:$AE$14,2,FALSE)))))</f>
        <v/>
      </c>
      <c r="Z120" s="317" t="str">
        <f t="shared" si="10"/>
        <v/>
      </c>
      <c r="AA120" s="101"/>
      <c r="AB120" s="115"/>
      <c r="AC120" s="104"/>
      <c r="AH120" s="30" t="str">
        <f>IFERROR(INDEX('G-7 WaterC'' Data'!$AZ$3:$AZ$7,MATCH(C120,'G-7 WaterC'' Data'!$AY$3:$AY$7,0)),"")</f>
        <v/>
      </c>
      <c r="AK120" s="30" t="str">
        <f t="shared" si="11"/>
        <v>No</v>
      </c>
    </row>
    <row r="121" spans="2:37" ht="14">
      <c r="B121" s="97">
        <v>110</v>
      </c>
      <c r="C121" s="920"/>
      <c r="D121" s="115"/>
      <c r="E121" s="275" t="str">
        <f>IF(C121="","",VLOOKUP(C121,'G-7 WaterC'' Data'!$B$2:$G$8,2,FALSE))</f>
        <v/>
      </c>
      <c r="F121" s="276" t="str">
        <f>IFERROR(VLOOKUP(E121,'G-7 WaterC'' Data'!$C$4:$D$8,2,FALSE),"")</f>
        <v/>
      </c>
      <c r="G121" s="101"/>
      <c r="H121" s="276" t="str">
        <f>IFERROR(INDEX('G-7 WaterC'' Data'!$H$4:$L$8,MATCH(C121,'G-7 WaterC'' Data'!$B$4:$B$8,0),MATCH(G121,'G-7 WaterC'' Data'!$H$3:$L$3,0)),"")</f>
        <v/>
      </c>
      <c r="I121" s="52"/>
      <c r="J121" s="283" t="str">
        <f>IF(I121="","",IF(VLOOKUP(I121,'G-7 WaterC'' Data'!$AK$4:$AM$6,2,FALSE)=0,"Spatial Data Missing ⚠",VLOOKUP(I121,'G-7 WaterC'' Data'!$AK$4:$AM$6,2,FALSE)))</f>
        <v/>
      </c>
      <c r="K121" s="276" t="str">
        <f>IF(I121="","",IF(VLOOKUP(I121,'G-7 WaterC'' Data'!$AK$4:$AM$6,3,FALSE)=0,"Spatial Data Missing ⚠",VLOOKUP(I121,'G-7 WaterC'' Data'!$AK$4:$AM$6,3,FALSE)))</f>
        <v/>
      </c>
      <c r="L121" s="275" t="str">
        <f>IFERROR(INDEX('G-7 WaterC'' Data'!$O$3:$O$7,MATCH(G121,'G-7 WaterC'' Data'!$N$3:$N$7,0)),"")</f>
        <v/>
      </c>
      <c r="M121" s="58"/>
      <c r="N121" s="133"/>
      <c r="O121" s="283" t="str">
        <f t="shared" si="6"/>
        <v/>
      </c>
      <c r="P121" s="296" t="str">
        <f t="shared" si="7"/>
        <v/>
      </c>
      <c r="Q121" s="334" t="str">
        <f>IFERROR(IF(P121="Check Data ⚠","Check Data ⚠",VLOOKUP(P121,'G-4 Temporal multipliers'!$A$4:$C$37,3,FALSE)),"")</f>
        <v/>
      </c>
      <c r="R121" s="275" t="str">
        <f>IF(C121="","",VLOOKUP(C121,'G-7 WaterC'' Data'!$B$4:$G$8,4,FALSE))</f>
        <v/>
      </c>
      <c r="S121" s="283" t="str">
        <f t="shared" si="8"/>
        <v/>
      </c>
      <c r="T121" s="314" t="str">
        <f t="shared" si="9"/>
        <v/>
      </c>
      <c r="U121" s="276" t="str">
        <f>IF(C121="","",VLOOKUP(T121,'G-3 Multipliers'!$P$2:$Q$6,2,FALSE))</f>
        <v/>
      </c>
      <c r="V121" s="102"/>
      <c r="W121" s="276" t="str">
        <f>IF(V121="","",IF(AND(V121="N/A - Culvert",C121&lt;&gt;"Culvert"),"Not possible ▲",IF(AND(C121="Culvert",V121&lt;&gt;"N/A - Culvert"),"Not possible ▲",IF(VLOOKUP(V121,'G-7 WaterC'' Data'!$AA$4:$AB$7,2,FALSE)=0,"Spatial Data Missing ⚠",VLOOKUP(V121,'G-7 WaterC'' Data'!$AA$4:$AB$7,2,FALSE)))))</f>
        <v/>
      </c>
      <c r="X121" s="56"/>
      <c r="Y121" s="276" t="str">
        <f>IF(X121="","",IF(AND(X121="N/A - Culvert",C121&lt;&gt;"Culvert"),"Not possible ▲",IF(AND(C121="Culvert",X121&lt;&gt;"N/A - Culvert"),"Not possible ▲",IF(VLOOKUP(X121,'G-7 WaterC'' Data'!$AD$4:$AE$14,2,FALSE)=0,"Enrcoachment Data Missing ⚠",VLOOKUP(X121,'G-7 WaterC'' Data'!$AD$4:$AE$14,2,FALSE)))))</f>
        <v/>
      </c>
      <c r="Z121" s="317" t="str">
        <f t="shared" si="10"/>
        <v/>
      </c>
      <c r="AA121" s="101"/>
      <c r="AB121" s="115"/>
      <c r="AC121" s="104"/>
      <c r="AH121" s="30" t="str">
        <f>IFERROR(INDEX('G-7 WaterC'' Data'!$AZ$3:$AZ$7,MATCH(C121,'G-7 WaterC'' Data'!$AY$3:$AY$7,0)),"")</f>
        <v/>
      </c>
      <c r="AK121" s="30" t="str">
        <f t="shared" si="11"/>
        <v>No</v>
      </c>
    </row>
    <row r="122" spans="2:37" ht="14">
      <c r="B122" s="97">
        <v>111</v>
      </c>
      <c r="C122" s="920"/>
      <c r="D122" s="115"/>
      <c r="E122" s="275" t="str">
        <f>IF(C122="","",VLOOKUP(C122,'G-7 WaterC'' Data'!$B$2:$G$8,2,FALSE))</f>
        <v/>
      </c>
      <c r="F122" s="276" t="str">
        <f>IFERROR(VLOOKUP(E122,'G-7 WaterC'' Data'!$C$4:$D$8,2,FALSE),"")</f>
        <v/>
      </c>
      <c r="G122" s="101"/>
      <c r="H122" s="276" t="str">
        <f>IFERROR(INDEX('G-7 WaterC'' Data'!$H$4:$L$8,MATCH(C122,'G-7 WaterC'' Data'!$B$4:$B$8,0),MATCH(G122,'G-7 WaterC'' Data'!$H$3:$L$3,0)),"")</f>
        <v/>
      </c>
      <c r="I122" s="52"/>
      <c r="J122" s="283" t="str">
        <f>IF(I122="","",IF(VLOOKUP(I122,'G-7 WaterC'' Data'!$AK$4:$AM$6,2,FALSE)=0,"Spatial Data Missing ⚠",VLOOKUP(I122,'G-7 WaterC'' Data'!$AK$4:$AM$6,2,FALSE)))</f>
        <v/>
      </c>
      <c r="K122" s="276" t="str">
        <f>IF(I122="","",IF(VLOOKUP(I122,'G-7 WaterC'' Data'!$AK$4:$AM$6,3,FALSE)=0,"Spatial Data Missing ⚠",VLOOKUP(I122,'G-7 WaterC'' Data'!$AK$4:$AM$6,3,FALSE)))</f>
        <v/>
      </c>
      <c r="L122" s="275" t="str">
        <f>IFERROR(INDEX('G-7 WaterC'' Data'!$O$3:$O$7,MATCH(G122,'G-7 WaterC'' Data'!$N$3:$N$7,0)),"")</f>
        <v/>
      </c>
      <c r="M122" s="58"/>
      <c r="N122" s="133"/>
      <c r="O122" s="283" t="str">
        <f t="shared" si="6"/>
        <v/>
      </c>
      <c r="P122" s="296" t="str">
        <f t="shared" si="7"/>
        <v/>
      </c>
      <c r="Q122" s="334" t="str">
        <f>IFERROR(IF(P122="Check Data ⚠","Check Data ⚠",VLOOKUP(P122,'G-4 Temporal multipliers'!$A$4:$C$37,3,FALSE)),"")</f>
        <v/>
      </c>
      <c r="R122" s="275" t="str">
        <f>IF(C122="","",VLOOKUP(C122,'G-7 WaterC'' Data'!$B$4:$G$8,4,FALSE))</f>
        <v/>
      </c>
      <c r="S122" s="283" t="str">
        <f t="shared" si="8"/>
        <v/>
      </c>
      <c r="T122" s="314" t="str">
        <f t="shared" si="9"/>
        <v/>
      </c>
      <c r="U122" s="276" t="str">
        <f>IF(C122="","",VLOOKUP(T122,'G-3 Multipliers'!$P$2:$Q$6,2,FALSE))</f>
        <v/>
      </c>
      <c r="V122" s="102"/>
      <c r="W122" s="276" t="str">
        <f>IF(V122="","",IF(AND(V122="N/A - Culvert",C122&lt;&gt;"Culvert"),"Not possible ▲",IF(AND(C122="Culvert",V122&lt;&gt;"N/A - Culvert"),"Not possible ▲",IF(VLOOKUP(V122,'G-7 WaterC'' Data'!$AA$4:$AB$7,2,FALSE)=0,"Spatial Data Missing ⚠",VLOOKUP(V122,'G-7 WaterC'' Data'!$AA$4:$AB$7,2,FALSE)))))</f>
        <v/>
      </c>
      <c r="X122" s="56"/>
      <c r="Y122" s="276" t="str">
        <f>IF(X122="","",IF(AND(X122="N/A - Culvert",C122&lt;&gt;"Culvert"),"Not possible ▲",IF(AND(C122="Culvert",X122&lt;&gt;"N/A - Culvert"),"Not possible ▲",IF(VLOOKUP(X122,'G-7 WaterC'' Data'!$AD$4:$AE$14,2,FALSE)=0,"Enrcoachment Data Missing ⚠",VLOOKUP(X122,'G-7 WaterC'' Data'!$AD$4:$AE$14,2,FALSE)))))</f>
        <v/>
      </c>
      <c r="Z122" s="317" t="str">
        <f t="shared" si="10"/>
        <v/>
      </c>
      <c r="AA122" s="101"/>
      <c r="AB122" s="115"/>
      <c r="AC122" s="104"/>
      <c r="AH122" s="30" t="str">
        <f>IFERROR(INDEX('G-7 WaterC'' Data'!$AZ$3:$AZ$7,MATCH(C122,'G-7 WaterC'' Data'!$AY$3:$AY$7,0)),"")</f>
        <v/>
      </c>
      <c r="AK122" s="30" t="str">
        <f t="shared" si="11"/>
        <v>No</v>
      </c>
    </row>
    <row r="123" spans="2:37" ht="14">
      <c r="B123" s="97">
        <v>112</v>
      </c>
      <c r="C123" s="920"/>
      <c r="D123" s="115"/>
      <c r="E123" s="275" t="str">
        <f>IF(C123="","",VLOOKUP(C123,'G-7 WaterC'' Data'!$B$2:$G$8,2,FALSE))</f>
        <v/>
      </c>
      <c r="F123" s="276" t="str">
        <f>IFERROR(VLOOKUP(E123,'G-7 WaterC'' Data'!$C$4:$D$8,2,FALSE),"")</f>
        <v/>
      </c>
      <c r="G123" s="101"/>
      <c r="H123" s="276" t="str">
        <f>IFERROR(INDEX('G-7 WaterC'' Data'!$H$4:$L$8,MATCH(C123,'G-7 WaterC'' Data'!$B$4:$B$8,0),MATCH(G123,'G-7 WaterC'' Data'!$H$3:$L$3,0)),"")</f>
        <v/>
      </c>
      <c r="I123" s="52"/>
      <c r="J123" s="283" t="str">
        <f>IF(I123="","",IF(VLOOKUP(I123,'G-7 WaterC'' Data'!$AK$4:$AM$6,2,FALSE)=0,"Spatial Data Missing ⚠",VLOOKUP(I123,'G-7 WaterC'' Data'!$AK$4:$AM$6,2,FALSE)))</f>
        <v/>
      </c>
      <c r="K123" s="276" t="str">
        <f>IF(I123="","",IF(VLOOKUP(I123,'G-7 WaterC'' Data'!$AK$4:$AM$6,3,FALSE)=0,"Spatial Data Missing ⚠",VLOOKUP(I123,'G-7 WaterC'' Data'!$AK$4:$AM$6,3,FALSE)))</f>
        <v/>
      </c>
      <c r="L123" s="275" t="str">
        <f>IFERROR(INDEX('G-7 WaterC'' Data'!$O$3:$O$7,MATCH(G123,'G-7 WaterC'' Data'!$N$3:$N$7,0)),"")</f>
        <v/>
      </c>
      <c r="M123" s="58"/>
      <c r="N123" s="133"/>
      <c r="O123" s="283" t="str">
        <f t="shared" si="6"/>
        <v/>
      </c>
      <c r="P123" s="296" t="str">
        <f t="shared" si="7"/>
        <v/>
      </c>
      <c r="Q123" s="334" t="str">
        <f>IFERROR(IF(P123="Check Data ⚠","Check Data ⚠",VLOOKUP(P123,'G-4 Temporal multipliers'!$A$4:$C$37,3,FALSE)),"")</f>
        <v/>
      </c>
      <c r="R123" s="275" t="str">
        <f>IF(C123="","",VLOOKUP(C123,'G-7 WaterC'' Data'!$B$4:$G$8,4,FALSE))</f>
        <v/>
      </c>
      <c r="S123" s="283" t="str">
        <f t="shared" si="8"/>
        <v/>
      </c>
      <c r="T123" s="314" t="str">
        <f t="shared" si="9"/>
        <v/>
      </c>
      <c r="U123" s="276" t="str">
        <f>IF(C123="","",VLOOKUP(T123,'G-3 Multipliers'!$P$2:$Q$6,2,FALSE))</f>
        <v/>
      </c>
      <c r="V123" s="102"/>
      <c r="W123" s="276" t="str">
        <f>IF(V123="","",IF(AND(V123="N/A - Culvert",C123&lt;&gt;"Culvert"),"Not possible ▲",IF(AND(C123="Culvert",V123&lt;&gt;"N/A - Culvert"),"Not possible ▲",IF(VLOOKUP(V123,'G-7 WaterC'' Data'!$AA$4:$AB$7,2,FALSE)=0,"Spatial Data Missing ⚠",VLOOKUP(V123,'G-7 WaterC'' Data'!$AA$4:$AB$7,2,FALSE)))))</f>
        <v/>
      </c>
      <c r="X123" s="56"/>
      <c r="Y123" s="276" t="str">
        <f>IF(X123="","",IF(AND(X123="N/A - Culvert",C123&lt;&gt;"Culvert"),"Not possible ▲",IF(AND(C123="Culvert",X123&lt;&gt;"N/A - Culvert"),"Not possible ▲",IF(VLOOKUP(X123,'G-7 WaterC'' Data'!$AD$4:$AE$14,2,FALSE)=0,"Enrcoachment Data Missing ⚠",VLOOKUP(X123,'G-7 WaterC'' Data'!$AD$4:$AE$14,2,FALSE)))))</f>
        <v/>
      </c>
      <c r="Z123" s="317" t="str">
        <f t="shared" si="10"/>
        <v/>
      </c>
      <c r="AA123" s="101"/>
      <c r="AB123" s="115"/>
      <c r="AC123" s="104"/>
      <c r="AH123" s="30" t="str">
        <f>IFERROR(INDEX('G-7 WaterC'' Data'!$AZ$3:$AZ$7,MATCH(C123,'G-7 WaterC'' Data'!$AY$3:$AY$7,0)),"")</f>
        <v/>
      </c>
      <c r="AK123" s="30" t="str">
        <f t="shared" si="11"/>
        <v>No</v>
      </c>
    </row>
    <row r="124" spans="2:37" ht="14">
      <c r="B124" s="97">
        <v>113</v>
      </c>
      <c r="C124" s="920"/>
      <c r="D124" s="115"/>
      <c r="E124" s="275" t="str">
        <f>IF(C124="","",VLOOKUP(C124,'G-7 WaterC'' Data'!$B$2:$G$8,2,FALSE))</f>
        <v/>
      </c>
      <c r="F124" s="276" t="str">
        <f>IFERROR(VLOOKUP(E124,'G-7 WaterC'' Data'!$C$4:$D$8,2,FALSE),"")</f>
        <v/>
      </c>
      <c r="G124" s="101"/>
      <c r="H124" s="276" t="str">
        <f>IFERROR(INDEX('G-7 WaterC'' Data'!$H$4:$L$8,MATCH(C124,'G-7 WaterC'' Data'!$B$4:$B$8,0),MATCH(G124,'G-7 WaterC'' Data'!$H$3:$L$3,0)),"")</f>
        <v/>
      </c>
      <c r="I124" s="52"/>
      <c r="J124" s="283" t="str">
        <f>IF(I124="","",IF(VLOOKUP(I124,'G-7 WaterC'' Data'!$AK$4:$AM$6,2,FALSE)=0,"Spatial Data Missing ⚠",VLOOKUP(I124,'G-7 WaterC'' Data'!$AK$4:$AM$6,2,FALSE)))</f>
        <v/>
      </c>
      <c r="K124" s="276" t="str">
        <f>IF(I124="","",IF(VLOOKUP(I124,'G-7 WaterC'' Data'!$AK$4:$AM$6,3,FALSE)=0,"Spatial Data Missing ⚠",VLOOKUP(I124,'G-7 WaterC'' Data'!$AK$4:$AM$6,3,FALSE)))</f>
        <v/>
      </c>
      <c r="L124" s="275" t="str">
        <f>IFERROR(INDEX('G-7 WaterC'' Data'!$O$3:$O$7,MATCH(G124,'G-7 WaterC'' Data'!$N$3:$N$7,0)),"")</f>
        <v/>
      </c>
      <c r="M124" s="58"/>
      <c r="N124" s="133"/>
      <c r="O124" s="283" t="str">
        <f t="shared" si="6"/>
        <v/>
      </c>
      <c r="P124" s="296" t="str">
        <f t="shared" si="7"/>
        <v/>
      </c>
      <c r="Q124" s="334" t="str">
        <f>IFERROR(IF(P124="Check Data ⚠","Check Data ⚠",VLOOKUP(P124,'G-4 Temporal multipliers'!$A$4:$C$37,3,FALSE)),"")</f>
        <v/>
      </c>
      <c r="R124" s="275" t="str">
        <f>IF(C124="","",VLOOKUP(C124,'G-7 WaterC'' Data'!$B$4:$G$8,4,FALSE))</f>
        <v/>
      </c>
      <c r="S124" s="283" t="str">
        <f t="shared" si="8"/>
        <v/>
      </c>
      <c r="T124" s="314" t="str">
        <f t="shared" si="9"/>
        <v/>
      </c>
      <c r="U124" s="276" t="str">
        <f>IF(C124="","",VLOOKUP(T124,'G-3 Multipliers'!$P$2:$Q$6,2,FALSE))</f>
        <v/>
      </c>
      <c r="V124" s="102"/>
      <c r="W124" s="276" t="str">
        <f>IF(V124="","",IF(AND(V124="N/A - Culvert",C124&lt;&gt;"Culvert"),"Not possible ▲",IF(AND(C124="Culvert",V124&lt;&gt;"N/A - Culvert"),"Not possible ▲",IF(VLOOKUP(V124,'G-7 WaterC'' Data'!$AA$4:$AB$7,2,FALSE)=0,"Spatial Data Missing ⚠",VLOOKUP(V124,'G-7 WaterC'' Data'!$AA$4:$AB$7,2,FALSE)))))</f>
        <v/>
      </c>
      <c r="X124" s="56"/>
      <c r="Y124" s="276" t="str">
        <f>IF(X124="","",IF(AND(X124="N/A - Culvert",C124&lt;&gt;"Culvert"),"Not possible ▲",IF(AND(C124="Culvert",X124&lt;&gt;"N/A - Culvert"),"Not possible ▲",IF(VLOOKUP(X124,'G-7 WaterC'' Data'!$AD$4:$AE$14,2,FALSE)=0,"Enrcoachment Data Missing ⚠",VLOOKUP(X124,'G-7 WaterC'' Data'!$AD$4:$AE$14,2,FALSE)))))</f>
        <v/>
      </c>
      <c r="Z124" s="317" t="str">
        <f t="shared" si="10"/>
        <v/>
      </c>
      <c r="AA124" s="101"/>
      <c r="AB124" s="115"/>
      <c r="AC124" s="104"/>
      <c r="AH124" s="30" t="str">
        <f>IFERROR(INDEX('G-7 WaterC'' Data'!$AZ$3:$AZ$7,MATCH(C124,'G-7 WaterC'' Data'!$AY$3:$AY$7,0)),"")</f>
        <v/>
      </c>
      <c r="AK124" s="30" t="str">
        <f t="shared" si="11"/>
        <v>No</v>
      </c>
    </row>
    <row r="125" spans="2:37" ht="14">
      <c r="B125" s="97">
        <v>114</v>
      </c>
      <c r="C125" s="920"/>
      <c r="D125" s="115"/>
      <c r="E125" s="275" t="str">
        <f>IF(C125="","",VLOOKUP(C125,'G-7 WaterC'' Data'!$B$2:$G$8,2,FALSE))</f>
        <v/>
      </c>
      <c r="F125" s="276" t="str">
        <f>IFERROR(VLOOKUP(E125,'G-7 WaterC'' Data'!$C$4:$D$8,2,FALSE),"")</f>
        <v/>
      </c>
      <c r="G125" s="101"/>
      <c r="H125" s="276" t="str">
        <f>IFERROR(INDEX('G-7 WaterC'' Data'!$H$4:$L$8,MATCH(C125,'G-7 WaterC'' Data'!$B$4:$B$8,0),MATCH(G125,'G-7 WaterC'' Data'!$H$3:$L$3,0)),"")</f>
        <v/>
      </c>
      <c r="I125" s="52"/>
      <c r="J125" s="283" t="str">
        <f>IF(I125="","",IF(VLOOKUP(I125,'G-7 WaterC'' Data'!$AK$4:$AM$6,2,FALSE)=0,"Spatial Data Missing ⚠",VLOOKUP(I125,'G-7 WaterC'' Data'!$AK$4:$AM$6,2,FALSE)))</f>
        <v/>
      </c>
      <c r="K125" s="276" t="str">
        <f>IF(I125="","",IF(VLOOKUP(I125,'G-7 WaterC'' Data'!$AK$4:$AM$6,3,FALSE)=0,"Spatial Data Missing ⚠",VLOOKUP(I125,'G-7 WaterC'' Data'!$AK$4:$AM$6,3,FALSE)))</f>
        <v/>
      </c>
      <c r="L125" s="275" t="str">
        <f>IFERROR(INDEX('G-7 WaterC'' Data'!$O$3:$O$7,MATCH(G125,'G-7 WaterC'' Data'!$N$3:$N$7,0)),"")</f>
        <v/>
      </c>
      <c r="M125" s="58"/>
      <c r="N125" s="133"/>
      <c r="O125" s="283" t="str">
        <f t="shared" si="6"/>
        <v/>
      </c>
      <c r="P125" s="296" t="str">
        <f t="shared" si="7"/>
        <v/>
      </c>
      <c r="Q125" s="334" t="str">
        <f>IFERROR(IF(P125="Check Data ⚠","Check Data ⚠",VLOOKUP(P125,'G-4 Temporal multipliers'!$A$4:$C$37,3,FALSE)),"")</f>
        <v/>
      </c>
      <c r="R125" s="275" t="str">
        <f>IF(C125="","",VLOOKUP(C125,'G-7 WaterC'' Data'!$B$4:$G$8,4,FALSE))</f>
        <v/>
      </c>
      <c r="S125" s="283" t="str">
        <f t="shared" si="8"/>
        <v/>
      </c>
      <c r="T125" s="314" t="str">
        <f t="shared" si="9"/>
        <v/>
      </c>
      <c r="U125" s="276" t="str">
        <f>IF(C125="","",VLOOKUP(T125,'G-3 Multipliers'!$P$2:$Q$6,2,FALSE))</f>
        <v/>
      </c>
      <c r="V125" s="102"/>
      <c r="W125" s="276" t="str">
        <f>IF(V125="","",IF(AND(V125="N/A - Culvert",C125&lt;&gt;"Culvert"),"Not possible ▲",IF(AND(C125="Culvert",V125&lt;&gt;"N/A - Culvert"),"Not possible ▲",IF(VLOOKUP(V125,'G-7 WaterC'' Data'!$AA$4:$AB$7,2,FALSE)=0,"Spatial Data Missing ⚠",VLOOKUP(V125,'G-7 WaterC'' Data'!$AA$4:$AB$7,2,FALSE)))))</f>
        <v/>
      </c>
      <c r="X125" s="56"/>
      <c r="Y125" s="276" t="str">
        <f>IF(X125="","",IF(AND(X125="N/A - Culvert",C125&lt;&gt;"Culvert"),"Not possible ▲",IF(AND(C125="Culvert",X125&lt;&gt;"N/A - Culvert"),"Not possible ▲",IF(VLOOKUP(X125,'G-7 WaterC'' Data'!$AD$4:$AE$14,2,FALSE)=0,"Enrcoachment Data Missing ⚠",VLOOKUP(X125,'G-7 WaterC'' Data'!$AD$4:$AE$14,2,FALSE)))))</f>
        <v/>
      </c>
      <c r="Z125" s="317" t="str">
        <f t="shared" si="10"/>
        <v/>
      </c>
      <c r="AA125" s="101"/>
      <c r="AB125" s="115"/>
      <c r="AC125" s="104"/>
      <c r="AH125" s="30" t="str">
        <f>IFERROR(INDEX('G-7 WaterC'' Data'!$AZ$3:$AZ$7,MATCH(C125,'G-7 WaterC'' Data'!$AY$3:$AY$7,0)),"")</f>
        <v/>
      </c>
      <c r="AK125" s="30" t="str">
        <f t="shared" si="11"/>
        <v>No</v>
      </c>
    </row>
    <row r="126" spans="2:37" ht="14">
      <c r="B126" s="97">
        <v>115</v>
      </c>
      <c r="C126" s="920"/>
      <c r="D126" s="115"/>
      <c r="E126" s="275" t="str">
        <f>IF(C126="","",VLOOKUP(C126,'G-7 WaterC'' Data'!$B$2:$G$8,2,FALSE))</f>
        <v/>
      </c>
      <c r="F126" s="276" t="str">
        <f>IFERROR(VLOOKUP(E126,'G-7 WaterC'' Data'!$C$4:$D$8,2,FALSE),"")</f>
        <v/>
      </c>
      <c r="G126" s="101"/>
      <c r="H126" s="276" t="str">
        <f>IFERROR(INDEX('G-7 WaterC'' Data'!$H$4:$L$8,MATCH(C126,'G-7 WaterC'' Data'!$B$4:$B$8,0),MATCH(G126,'G-7 WaterC'' Data'!$H$3:$L$3,0)),"")</f>
        <v/>
      </c>
      <c r="I126" s="52"/>
      <c r="J126" s="283" t="str">
        <f>IF(I126="","",IF(VLOOKUP(I126,'G-7 WaterC'' Data'!$AK$4:$AM$6,2,FALSE)=0,"Spatial Data Missing ⚠",VLOOKUP(I126,'G-7 WaterC'' Data'!$AK$4:$AM$6,2,FALSE)))</f>
        <v/>
      </c>
      <c r="K126" s="276" t="str">
        <f>IF(I126="","",IF(VLOOKUP(I126,'G-7 WaterC'' Data'!$AK$4:$AM$6,3,FALSE)=0,"Spatial Data Missing ⚠",VLOOKUP(I126,'G-7 WaterC'' Data'!$AK$4:$AM$6,3,FALSE)))</f>
        <v/>
      </c>
      <c r="L126" s="275" t="str">
        <f>IFERROR(INDEX('G-7 WaterC'' Data'!$O$3:$O$7,MATCH(G126,'G-7 WaterC'' Data'!$N$3:$N$7,0)),"")</f>
        <v/>
      </c>
      <c r="M126" s="58"/>
      <c r="N126" s="133"/>
      <c r="O126" s="283" t="str">
        <f t="shared" si="6"/>
        <v/>
      </c>
      <c r="P126" s="296" t="str">
        <f t="shared" si="7"/>
        <v/>
      </c>
      <c r="Q126" s="334" t="str">
        <f>IFERROR(IF(P126="Check Data ⚠","Check Data ⚠",VLOOKUP(P126,'G-4 Temporal multipliers'!$A$4:$C$37,3,FALSE)),"")</f>
        <v/>
      </c>
      <c r="R126" s="275" t="str">
        <f>IF(C126="","",VLOOKUP(C126,'G-7 WaterC'' Data'!$B$4:$G$8,4,FALSE))</f>
        <v/>
      </c>
      <c r="S126" s="283" t="str">
        <f t="shared" si="8"/>
        <v/>
      </c>
      <c r="T126" s="314" t="str">
        <f t="shared" si="9"/>
        <v/>
      </c>
      <c r="U126" s="276" t="str">
        <f>IF(C126="","",VLOOKUP(T126,'G-3 Multipliers'!$P$2:$Q$6,2,FALSE))</f>
        <v/>
      </c>
      <c r="V126" s="102"/>
      <c r="W126" s="276" t="str">
        <f>IF(V126="","",IF(AND(V126="N/A - Culvert",C126&lt;&gt;"Culvert"),"Not possible ▲",IF(AND(C126="Culvert",V126&lt;&gt;"N/A - Culvert"),"Not possible ▲",IF(VLOOKUP(V126,'G-7 WaterC'' Data'!$AA$4:$AB$7,2,FALSE)=0,"Spatial Data Missing ⚠",VLOOKUP(V126,'G-7 WaterC'' Data'!$AA$4:$AB$7,2,FALSE)))))</f>
        <v/>
      </c>
      <c r="X126" s="56"/>
      <c r="Y126" s="276" t="str">
        <f>IF(X126="","",IF(AND(X126="N/A - Culvert",C126&lt;&gt;"Culvert"),"Not possible ▲",IF(AND(C126="Culvert",X126&lt;&gt;"N/A - Culvert"),"Not possible ▲",IF(VLOOKUP(X126,'G-7 WaterC'' Data'!$AD$4:$AE$14,2,FALSE)=0,"Enrcoachment Data Missing ⚠",VLOOKUP(X126,'G-7 WaterC'' Data'!$AD$4:$AE$14,2,FALSE)))))</f>
        <v/>
      </c>
      <c r="Z126" s="317" t="str">
        <f t="shared" si="10"/>
        <v/>
      </c>
      <c r="AA126" s="101"/>
      <c r="AB126" s="115"/>
      <c r="AC126" s="104"/>
      <c r="AH126" s="30" t="str">
        <f>IFERROR(INDEX('G-7 WaterC'' Data'!$AZ$3:$AZ$7,MATCH(C126,'G-7 WaterC'' Data'!$AY$3:$AY$7,0)),"")</f>
        <v/>
      </c>
      <c r="AK126" s="30" t="str">
        <f t="shared" si="11"/>
        <v>No</v>
      </c>
    </row>
    <row r="127" spans="2:37" ht="14">
      <c r="B127" s="97">
        <v>116</v>
      </c>
      <c r="C127" s="920"/>
      <c r="D127" s="115"/>
      <c r="E127" s="275" t="str">
        <f>IF(C127="","",VLOOKUP(C127,'G-7 WaterC'' Data'!$B$2:$G$8,2,FALSE))</f>
        <v/>
      </c>
      <c r="F127" s="276" t="str">
        <f>IFERROR(VLOOKUP(E127,'G-7 WaterC'' Data'!$C$4:$D$8,2,FALSE),"")</f>
        <v/>
      </c>
      <c r="G127" s="101"/>
      <c r="H127" s="276" t="str">
        <f>IFERROR(INDEX('G-7 WaterC'' Data'!$H$4:$L$8,MATCH(C127,'G-7 WaterC'' Data'!$B$4:$B$8,0),MATCH(G127,'G-7 WaterC'' Data'!$H$3:$L$3,0)),"")</f>
        <v/>
      </c>
      <c r="I127" s="52"/>
      <c r="J127" s="283" t="str">
        <f>IF(I127="","",IF(VLOOKUP(I127,'G-7 WaterC'' Data'!$AK$4:$AM$6,2,FALSE)=0,"Spatial Data Missing ⚠",VLOOKUP(I127,'G-7 WaterC'' Data'!$AK$4:$AM$6,2,FALSE)))</f>
        <v/>
      </c>
      <c r="K127" s="276" t="str">
        <f>IF(I127="","",IF(VLOOKUP(I127,'G-7 WaterC'' Data'!$AK$4:$AM$6,3,FALSE)=0,"Spatial Data Missing ⚠",VLOOKUP(I127,'G-7 WaterC'' Data'!$AK$4:$AM$6,3,FALSE)))</f>
        <v/>
      </c>
      <c r="L127" s="275" t="str">
        <f>IFERROR(INDEX('G-7 WaterC'' Data'!$O$3:$O$7,MATCH(G127,'G-7 WaterC'' Data'!$N$3:$N$7,0)),"")</f>
        <v/>
      </c>
      <c r="M127" s="58"/>
      <c r="N127" s="133"/>
      <c r="O127" s="283" t="str">
        <f t="shared" si="6"/>
        <v/>
      </c>
      <c r="P127" s="296" t="str">
        <f t="shared" si="7"/>
        <v/>
      </c>
      <c r="Q127" s="334" t="str">
        <f>IFERROR(IF(P127="Check Data ⚠","Check Data ⚠",VLOOKUP(P127,'G-4 Temporal multipliers'!$A$4:$C$37,3,FALSE)),"")</f>
        <v/>
      </c>
      <c r="R127" s="275" t="str">
        <f>IF(C127="","",VLOOKUP(C127,'G-7 WaterC'' Data'!$B$4:$G$8,4,FALSE))</f>
        <v/>
      </c>
      <c r="S127" s="283" t="str">
        <f t="shared" si="8"/>
        <v/>
      </c>
      <c r="T127" s="314" t="str">
        <f t="shared" si="9"/>
        <v/>
      </c>
      <c r="U127" s="276" t="str">
        <f>IF(C127="","",VLOOKUP(T127,'G-3 Multipliers'!$P$2:$Q$6,2,FALSE))</f>
        <v/>
      </c>
      <c r="V127" s="102"/>
      <c r="W127" s="276" t="str">
        <f>IF(V127="","",IF(AND(V127="N/A - Culvert",C127&lt;&gt;"Culvert"),"Not possible ▲",IF(AND(C127="Culvert",V127&lt;&gt;"N/A - Culvert"),"Not possible ▲",IF(VLOOKUP(V127,'G-7 WaterC'' Data'!$AA$4:$AB$7,2,FALSE)=0,"Spatial Data Missing ⚠",VLOOKUP(V127,'G-7 WaterC'' Data'!$AA$4:$AB$7,2,FALSE)))))</f>
        <v/>
      </c>
      <c r="X127" s="56"/>
      <c r="Y127" s="276" t="str">
        <f>IF(X127="","",IF(AND(X127="N/A - Culvert",C127&lt;&gt;"Culvert"),"Not possible ▲",IF(AND(C127="Culvert",X127&lt;&gt;"N/A - Culvert"),"Not possible ▲",IF(VLOOKUP(X127,'G-7 WaterC'' Data'!$AD$4:$AE$14,2,FALSE)=0,"Enrcoachment Data Missing ⚠",VLOOKUP(X127,'G-7 WaterC'' Data'!$AD$4:$AE$14,2,FALSE)))))</f>
        <v/>
      </c>
      <c r="Z127" s="317" t="str">
        <f t="shared" si="10"/>
        <v/>
      </c>
      <c r="AA127" s="101"/>
      <c r="AB127" s="115"/>
      <c r="AC127" s="104"/>
      <c r="AH127" s="30" t="str">
        <f>IFERROR(INDEX('G-7 WaterC'' Data'!$AZ$3:$AZ$7,MATCH(C127,'G-7 WaterC'' Data'!$AY$3:$AY$7,0)),"")</f>
        <v/>
      </c>
      <c r="AK127" s="30" t="str">
        <f t="shared" si="11"/>
        <v>No</v>
      </c>
    </row>
    <row r="128" spans="2:37" ht="14">
      <c r="B128" s="97">
        <v>117</v>
      </c>
      <c r="C128" s="920"/>
      <c r="D128" s="115"/>
      <c r="E128" s="275" t="str">
        <f>IF(C128="","",VLOOKUP(C128,'G-7 WaterC'' Data'!$B$2:$G$8,2,FALSE))</f>
        <v/>
      </c>
      <c r="F128" s="276" t="str">
        <f>IFERROR(VLOOKUP(E128,'G-7 WaterC'' Data'!$C$4:$D$8,2,FALSE),"")</f>
        <v/>
      </c>
      <c r="G128" s="101"/>
      <c r="H128" s="276" t="str">
        <f>IFERROR(INDEX('G-7 WaterC'' Data'!$H$4:$L$8,MATCH(C128,'G-7 WaterC'' Data'!$B$4:$B$8,0),MATCH(G128,'G-7 WaterC'' Data'!$H$3:$L$3,0)),"")</f>
        <v/>
      </c>
      <c r="I128" s="52"/>
      <c r="J128" s="283" t="str">
        <f>IF(I128="","",IF(VLOOKUP(I128,'G-7 WaterC'' Data'!$AK$4:$AM$6,2,FALSE)=0,"Spatial Data Missing ⚠",VLOOKUP(I128,'G-7 WaterC'' Data'!$AK$4:$AM$6,2,FALSE)))</f>
        <v/>
      </c>
      <c r="K128" s="276" t="str">
        <f>IF(I128="","",IF(VLOOKUP(I128,'G-7 WaterC'' Data'!$AK$4:$AM$6,3,FALSE)=0,"Spatial Data Missing ⚠",VLOOKUP(I128,'G-7 WaterC'' Data'!$AK$4:$AM$6,3,FALSE)))</f>
        <v/>
      </c>
      <c r="L128" s="275" t="str">
        <f>IFERROR(INDEX('G-7 WaterC'' Data'!$O$3:$O$7,MATCH(G128,'G-7 WaterC'' Data'!$N$3:$N$7,0)),"")</f>
        <v/>
      </c>
      <c r="M128" s="58"/>
      <c r="N128" s="133"/>
      <c r="O128" s="283" t="str">
        <f t="shared" si="6"/>
        <v/>
      </c>
      <c r="P128" s="296" t="str">
        <f t="shared" si="7"/>
        <v/>
      </c>
      <c r="Q128" s="334" t="str">
        <f>IFERROR(IF(P128="Check Data ⚠","Check Data ⚠",VLOOKUP(P128,'G-4 Temporal multipliers'!$A$4:$C$37,3,FALSE)),"")</f>
        <v/>
      </c>
      <c r="R128" s="275" t="str">
        <f>IF(C128="","",VLOOKUP(C128,'G-7 WaterC'' Data'!$B$4:$G$8,4,FALSE))</f>
        <v/>
      </c>
      <c r="S128" s="283" t="str">
        <f t="shared" si="8"/>
        <v/>
      </c>
      <c r="T128" s="314" t="str">
        <f t="shared" si="9"/>
        <v/>
      </c>
      <c r="U128" s="276" t="str">
        <f>IF(C128="","",VLOOKUP(T128,'G-3 Multipliers'!$P$2:$Q$6,2,FALSE))</f>
        <v/>
      </c>
      <c r="V128" s="102"/>
      <c r="W128" s="276" t="str">
        <f>IF(V128="","",IF(AND(V128="N/A - Culvert",C128&lt;&gt;"Culvert"),"Not possible ▲",IF(AND(C128="Culvert",V128&lt;&gt;"N/A - Culvert"),"Not possible ▲",IF(VLOOKUP(V128,'G-7 WaterC'' Data'!$AA$4:$AB$7,2,FALSE)=0,"Spatial Data Missing ⚠",VLOOKUP(V128,'G-7 WaterC'' Data'!$AA$4:$AB$7,2,FALSE)))))</f>
        <v/>
      </c>
      <c r="X128" s="56"/>
      <c r="Y128" s="276" t="str">
        <f>IF(X128="","",IF(AND(X128="N/A - Culvert",C128&lt;&gt;"Culvert"),"Not possible ▲",IF(AND(C128="Culvert",X128&lt;&gt;"N/A - Culvert"),"Not possible ▲",IF(VLOOKUP(X128,'G-7 WaterC'' Data'!$AD$4:$AE$14,2,FALSE)=0,"Enrcoachment Data Missing ⚠",VLOOKUP(X128,'G-7 WaterC'' Data'!$AD$4:$AE$14,2,FALSE)))))</f>
        <v/>
      </c>
      <c r="Z128" s="317" t="str">
        <f t="shared" si="10"/>
        <v/>
      </c>
      <c r="AA128" s="101"/>
      <c r="AB128" s="115"/>
      <c r="AC128" s="104"/>
      <c r="AH128" s="30" t="str">
        <f>IFERROR(INDEX('G-7 WaterC'' Data'!$AZ$3:$AZ$7,MATCH(C128,'G-7 WaterC'' Data'!$AY$3:$AY$7,0)),"")</f>
        <v/>
      </c>
      <c r="AK128" s="30" t="str">
        <f t="shared" si="11"/>
        <v>No</v>
      </c>
    </row>
    <row r="129" spans="2:37" ht="14">
      <c r="B129" s="97">
        <v>118</v>
      </c>
      <c r="C129" s="920"/>
      <c r="D129" s="115"/>
      <c r="E129" s="275" t="str">
        <f>IF(C129="","",VLOOKUP(C129,'G-7 WaterC'' Data'!$B$2:$G$8,2,FALSE))</f>
        <v/>
      </c>
      <c r="F129" s="276" t="str">
        <f>IFERROR(VLOOKUP(E129,'G-7 WaterC'' Data'!$C$4:$D$8,2,FALSE),"")</f>
        <v/>
      </c>
      <c r="G129" s="101"/>
      <c r="H129" s="276" t="str">
        <f>IFERROR(INDEX('G-7 WaterC'' Data'!$H$4:$L$8,MATCH(C129,'G-7 WaterC'' Data'!$B$4:$B$8,0),MATCH(G129,'G-7 WaterC'' Data'!$H$3:$L$3,0)),"")</f>
        <v/>
      </c>
      <c r="I129" s="52"/>
      <c r="J129" s="283" t="str">
        <f>IF(I129="","",IF(VLOOKUP(I129,'G-7 WaterC'' Data'!$AK$4:$AM$6,2,FALSE)=0,"Spatial Data Missing ⚠",VLOOKUP(I129,'G-7 WaterC'' Data'!$AK$4:$AM$6,2,FALSE)))</f>
        <v/>
      </c>
      <c r="K129" s="276" t="str">
        <f>IF(I129="","",IF(VLOOKUP(I129,'G-7 WaterC'' Data'!$AK$4:$AM$6,3,FALSE)=0,"Spatial Data Missing ⚠",VLOOKUP(I129,'G-7 WaterC'' Data'!$AK$4:$AM$6,3,FALSE)))</f>
        <v/>
      </c>
      <c r="L129" s="275" t="str">
        <f>IFERROR(INDEX('G-7 WaterC'' Data'!$O$3:$O$7,MATCH(G129,'G-7 WaterC'' Data'!$N$3:$N$7,0)),"")</f>
        <v/>
      </c>
      <c r="M129" s="58"/>
      <c r="N129" s="133"/>
      <c r="O129" s="283" t="str">
        <f t="shared" si="6"/>
        <v/>
      </c>
      <c r="P129" s="296" t="str">
        <f t="shared" si="7"/>
        <v/>
      </c>
      <c r="Q129" s="334" t="str">
        <f>IFERROR(IF(P129="Check Data ⚠","Check Data ⚠",VLOOKUP(P129,'G-4 Temporal multipliers'!$A$4:$C$37,3,FALSE)),"")</f>
        <v/>
      </c>
      <c r="R129" s="275" t="str">
        <f>IF(C129="","",VLOOKUP(C129,'G-7 WaterC'' Data'!$B$4:$G$8,4,FALSE))</f>
        <v/>
      </c>
      <c r="S129" s="283" t="str">
        <f t="shared" si="8"/>
        <v/>
      </c>
      <c r="T129" s="314" t="str">
        <f t="shared" si="9"/>
        <v/>
      </c>
      <c r="U129" s="276" t="str">
        <f>IF(C129="","",VLOOKUP(T129,'G-3 Multipliers'!$P$2:$Q$6,2,FALSE))</f>
        <v/>
      </c>
      <c r="V129" s="102"/>
      <c r="W129" s="276" t="str">
        <f>IF(V129="","",IF(AND(V129="N/A - Culvert",C129&lt;&gt;"Culvert"),"Not possible ▲",IF(AND(C129="Culvert",V129&lt;&gt;"N/A - Culvert"),"Not possible ▲",IF(VLOOKUP(V129,'G-7 WaterC'' Data'!$AA$4:$AB$7,2,FALSE)=0,"Spatial Data Missing ⚠",VLOOKUP(V129,'G-7 WaterC'' Data'!$AA$4:$AB$7,2,FALSE)))))</f>
        <v/>
      </c>
      <c r="X129" s="56"/>
      <c r="Y129" s="276" t="str">
        <f>IF(X129="","",IF(AND(X129="N/A - Culvert",C129&lt;&gt;"Culvert"),"Not possible ▲",IF(AND(C129="Culvert",X129&lt;&gt;"N/A - Culvert"),"Not possible ▲",IF(VLOOKUP(X129,'G-7 WaterC'' Data'!$AD$4:$AE$14,2,FALSE)=0,"Enrcoachment Data Missing ⚠",VLOOKUP(X129,'G-7 WaterC'' Data'!$AD$4:$AE$14,2,FALSE)))))</f>
        <v/>
      </c>
      <c r="Z129" s="317" t="str">
        <f t="shared" si="10"/>
        <v/>
      </c>
      <c r="AA129" s="101"/>
      <c r="AB129" s="115"/>
      <c r="AC129" s="104"/>
      <c r="AH129" s="30" t="str">
        <f>IFERROR(INDEX('G-7 WaterC'' Data'!$AZ$3:$AZ$7,MATCH(C129,'G-7 WaterC'' Data'!$AY$3:$AY$7,0)),"")</f>
        <v/>
      </c>
      <c r="AK129" s="30" t="str">
        <f t="shared" si="11"/>
        <v>No</v>
      </c>
    </row>
    <row r="130" spans="2:37" ht="14">
      <c r="B130" s="97">
        <v>119</v>
      </c>
      <c r="C130" s="920"/>
      <c r="D130" s="115"/>
      <c r="E130" s="275" t="str">
        <f>IF(C130="","",VLOOKUP(C130,'G-7 WaterC'' Data'!$B$2:$G$8,2,FALSE))</f>
        <v/>
      </c>
      <c r="F130" s="276" t="str">
        <f>IFERROR(VLOOKUP(E130,'G-7 WaterC'' Data'!$C$4:$D$8,2,FALSE),"")</f>
        <v/>
      </c>
      <c r="G130" s="101"/>
      <c r="H130" s="276" t="str">
        <f>IFERROR(INDEX('G-7 WaterC'' Data'!$H$4:$L$8,MATCH(C130,'G-7 WaterC'' Data'!$B$4:$B$8,0),MATCH(G130,'G-7 WaterC'' Data'!$H$3:$L$3,0)),"")</f>
        <v/>
      </c>
      <c r="I130" s="52"/>
      <c r="J130" s="283" t="str">
        <f>IF(I130="","",IF(VLOOKUP(I130,'G-7 WaterC'' Data'!$AK$4:$AM$6,2,FALSE)=0,"Spatial Data Missing ⚠",VLOOKUP(I130,'G-7 WaterC'' Data'!$AK$4:$AM$6,2,FALSE)))</f>
        <v/>
      </c>
      <c r="K130" s="276" t="str">
        <f>IF(I130="","",IF(VLOOKUP(I130,'G-7 WaterC'' Data'!$AK$4:$AM$6,3,FALSE)=0,"Spatial Data Missing ⚠",VLOOKUP(I130,'G-7 WaterC'' Data'!$AK$4:$AM$6,3,FALSE)))</f>
        <v/>
      </c>
      <c r="L130" s="275" t="str">
        <f>IFERROR(INDEX('G-7 WaterC'' Data'!$O$3:$O$7,MATCH(G130,'G-7 WaterC'' Data'!$N$3:$N$7,0)),"")</f>
        <v/>
      </c>
      <c r="M130" s="58"/>
      <c r="N130" s="133"/>
      <c r="O130" s="283" t="str">
        <f t="shared" si="6"/>
        <v/>
      </c>
      <c r="P130" s="296" t="str">
        <f t="shared" si="7"/>
        <v/>
      </c>
      <c r="Q130" s="334" t="str">
        <f>IFERROR(IF(P130="Check Data ⚠","Check Data ⚠",VLOOKUP(P130,'G-4 Temporal multipliers'!$A$4:$C$37,3,FALSE)),"")</f>
        <v/>
      </c>
      <c r="R130" s="275" t="str">
        <f>IF(C130="","",VLOOKUP(C130,'G-7 WaterC'' Data'!$B$4:$G$8,4,FALSE))</f>
        <v/>
      </c>
      <c r="S130" s="283" t="str">
        <f t="shared" si="8"/>
        <v/>
      </c>
      <c r="T130" s="314" t="str">
        <f t="shared" si="9"/>
        <v/>
      </c>
      <c r="U130" s="276" t="str">
        <f>IF(C130="","",VLOOKUP(T130,'G-3 Multipliers'!$P$2:$Q$6,2,FALSE))</f>
        <v/>
      </c>
      <c r="V130" s="102"/>
      <c r="W130" s="276" t="str">
        <f>IF(V130="","",IF(AND(V130="N/A - Culvert",C130&lt;&gt;"Culvert"),"Not possible ▲",IF(AND(C130="Culvert",V130&lt;&gt;"N/A - Culvert"),"Not possible ▲",IF(VLOOKUP(V130,'G-7 WaterC'' Data'!$AA$4:$AB$7,2,FALSE)=0,"Spatial Data Missing ⚠",VLOOKUP(V130,'G-7 WaterC'' Data'!$AA$4:$AB$7,2,FALSE)))))</f>
        <v/>
      </c>
      <c r="X130" s="56"/>
      <c r="Y130" s="276" t="str">
        <f>IF(X130="","",IF(AND(X130="N/A - Culvert",C130&lt;&gt;"Culvert"),"Not possible ▲",IF(AND(C130="Culvert",X130&lt;&gt;"N/A - Culvert"),"Not possible ▲",IF(VLOOKUP(X130,'G-7 WaterC'' Data'!$AD$4:$AE$14,2,FALSE)=0,"Enrcoachment Data Missing ⚠",VLOOKUP(X130,'G-7 WaterC'' Data'!$AD$4:$AE$14,2,FALSE)))))</f>
        <v/>
      </c>
      <c r="Z130" s="317" t="str">
        <f t="shared" si="10"/>
        <v/>
      </c>
      <c r="AA130" s="101"/>
      <c r="AB130" s="115"/>
      <c r="AC130" s="104"/>
      <c r="AH130" s="30" t="str">
        <f>IFERROR(INDEX('G-7 WaterC'' Data'!$AZ$3:$AZ$7,MATCH(C130,'G-7 WaterC'' Data'!$AY$3:$AY$7,0)),"")</f>
        <v/>
      </c>
      <c r="AK130" s="30" t="str">
        <f t="shared" si="11"/>
        <v>No</v>
      </c>
    </row>
    <row r="131" spans="2:37" ht="14">
      <c r="B131" s="97">
        <v>120</v>
      </c>
      <c r="C131" s="920"/>
      <c r="D131" s="115"/>
      <c r="E131" s="275" t="str">
        <f>IF(C131="","",VLOOKUP(C131,'G-7 WaterC'' Data'!$B$2:$G$8,2,FALSE))</f>
        <v/>
      </c>
      <c r="F131" s="276" t="str">
        <f>IFERROR(VLOOKUP(E131,'G-7 WaterC'' Data'!$C$4:$D$8,2,FALSE),"")</f>
        <v/>
      </c>
      <c r="G131" s="101"/>
      <c r="H131" s="276" t="str">
        <f>IFERROR(INDEX('G-7 WaterC'' Data'!$H$4:$L$8,MATCH(C131,'G-7 WaterC'' Data'!$B$4:$B$8,0),MATCH(G131,'G-7 WaterC'' Data'!$H$3:$L$3,0)),"")</f>
        <v/>
      </c>
      <c r="I131" s="52"/>
      <c r="J131" s="283" t="str">
        <f>IF(I131="","",IF(VLOOKUP(I131,'G-7 WaterC'' Data'!$AK$4:$AM$6,2,FALSE)=0,"Spatial Data Missing ⚠",VLOOKUP(I131,'G-7 WaterC'' Data'!$AK$4:$AM$6,2,FALSE)))</f>
        <v/>
      </c>
      <c r="K131" s="276" t="str">
        <f>IF(I131="","",IF(VLOOKUP(I131,'G-7 WaterC'' Data'!$AK$4:$AM$6,3,FALSE)=0,"Spatial Data Missing ⚠",VLOOKUP(I131,'G-7 WaterC'' Data'!$AK$4:$AM$6,3,FALSE)))</f>
        <v/>
      </c>
      <c r="L131" s="275" t="str">
        <f>IFERROR(INDEX('G-7 WaterC'' Data'!$O$3:$O$7,MATCH(G131,'G-7 WaterC'' Data'!$N$3:$N$7,0)),"")</f>
        <v/>
      </c>
      <c r="M131" s="58"/>
      <c r="N131" s="133"/>
      <c r="O131" s="283" t="str">
        <f t="shared" si="6"/>
        <v/>
      </c>
      <c r="P131" s="296" t="str">
        <f t="shared" si="7"/>
        <v/>
      </c>
      <c r="Q131" s="334" t="str">
        <f>IFERROR(IF(P131="Check Data ⚠","Check Data ⚠",VLOOKUP(P131,'G-4 Temporal multipliers'!$A$4:$C$37,3,FALSE)),"")</f>
        <v/>
      </c>
      <c r="R131" s="275" t="str">
        <f>IF(C131="","",VLOOKUP(C131,'G-7 WaterC'' Data'!$B$4:$G$8,4,FALSE))</f>
        <v/>
      </c>
      <c r="S131" s="283" t="str">
        <f t="shared" si="8"/>
        <v/>
      </c>
      <c r="T131" s="314" t="str">
        <f t="shared" si="9"/>
        <v/>
      </c>
      <c r="U131" s="276" t="str">
        <f>IF(C131="","",VLOOKUP(T131,'G-3 Multipliers'!$P$2:$Q$6,2,FALSE))</f>
        <v/>
      </c>
      <c r="V131" s="102"/>
      <c r="W131" s="276" t="str">
        <f>IF(V131="","",IF(AND(V131="N/A - Culvert",C131&lt;&gt;"Culvert"),"Not possible ▲",IF(AND(C131="Culvert",V131&lt;&gt;"N/A - Culvert"),"Not possible ▲",IF(VLOOKUP(V131,'G-7 WaterC'' Data'!$AA$4:$AB$7,2,FALSE)=0,"Spatial Data Missing ⚠",VLOOKUP(V131,'G-7 WaterC'' Data'!$AA$4:$AB$7,2,FALSE)))))</f>
        <v/>
      </c>
      <c r="X131" s="56"/>
      <c r="Y131" s="276" t="str">
        <f>IF(X131="","",IF(AND(X131="N/A - Culvert",C131&lt;&gt;"Culvert"),"Not possible ▲",IF(AND(C131="Culvert",X131&lt;&gt;"N/A - Culvert"),"Not possible ▲",IF(VLOOKUP(X131,'G-7 WaterC'' Data'!$AD$4:$AE$14,2,FALSE)=0,"Enrcoachment Data Missing ⚠",VLOOKUP(X131,'G-7 WaterC'' Data'!$AD$4:$AE$14,2,FALSE)))))</f>
        <v/>
      </c>
      <c r="Z131" s="317" t="str">
        <f t="shared" si="10"/>
        <v/>
      </c>
      <c r="AA131" s="101"/>
      <c r="AB131" s="115"/>
      <c r="AC131" s="104"/>
      <c r="AH131" s="30" t="str">
        <f>IFERROR(INDEX('G-7 WaterC'' Data'!$AZ$3:$AZ$7,MATCH(C131,'G-7 WaterC'' Data'!$AY$3:$AY$7,0)),"")</f>
        <v/>
      </c>
      <c r="AK131" s="30" t="str">
        <f t="shared" si="11"/>
        <v>No</v>
      </c>
    </row>
    <row r="132" spans="2:37" ht="14">
      <c r="B132" s="97">
        <v>121</v>
      </c>
      <c r="C132" s="920"/>
      <c r="D132" s="115"/>
      <c r="E132" s="275" t="str">
        <f>IF(C132="","",VLOOKUP(C132,'G-7 WaterC'' Data'!$B$2:$G$8,2,FALSE))</f>
        <v/>
      </c>
      <c r="F132" s="276" t="str">
        <f>IFERROR(VLOOKUP(E132,'G-7 WaterC'' Data'!$C$4:$D$8,2,FALSE),"")</f>
        <v/>
      </c>
      <c r="G132" s="101"/>
      <c r="H132" s="276" t="str">
        <f>IFERROR(INDEX('G-7 WaterC'' Data'!$H$4:$L$8,MATCH(C132,'G-7 WaterC'' Data'!$B$4:$B$8,0),MATCH(G132,'G-7 WaterC'' Data'!$H$3:$L$3,0)),"")</f>
        <v/>
      </c>
      <c r="I132" s="52"/>
      <c r="J132" s="283" t="str">
        <f>IF(I132="","",IF(VLOOKUP(I132,'G-7 WaterC'' Data'!$AK$4:$AM$6,2,FALSE)=0,"Spatial Data Missing ⚠",VLOOKUP(I132,'G-7 WaterC'' Data'!$AK$4:$AM$6,2,FALSE)))</f>
        <v/>
      </c>
      <c r="K132" s="276" t="str">
        <f>IF(I132="","",IF(VLOOKUP(I132,'G-7 WaterC'' Data'!$AK$4:$AM$6,3,FALSE)=0,"Spatial Data Missing ⚠",VLOOKUP(I132,'G-7 WaterC'' Data'!$AK$4:$AM$6,3,FALSE)))</f>
        <v/>
      </c>
      <c r="L132" s="275" t="str">
        <f>IFERROR(INDEX('G-7 WaterC'' Data'!$O$3:$O$7,MATCH(G132,'G-7 WaterC'' Data'!$N$3:$N$7,0)),"")</f>
        <v/>
      </c>
      <c r="M132" s="58"/>
      <c r="N132" s="133"/>
      <c r="O132" s="283" t="str">
        <f t="shared" si="6"/>
        <v/>
      </c>
      <c r="P132" s="296" t="str">
        <f t="shared" si="7"/>
        <v/>
      </c>
      <c r="Q132" s="334" t="str">
        <f>IFERROR(IF(P132="Check Data ⚠","Check Data ⚠",VLOOKUP(P132,'G-4 Temporal multipliers'!$A$4:$C$37,3,FALSE)),"")</f>
        <v/>
      </c>
      <c r="R132" s="275" t="str">
        <f>IF(C132="","",VLOOKUP(C132,'G-7 WaterC'' Data'!$B$4:$G$8,4,FALSE))</f>
        <v/>
      </c>
      <c r="S132" s="283" t="str">
        <f t="shared" si="8"/>
        <v/>
      </c>
      <c r="T132" s="314" t="str">
        <f t="shared" si="9"/>
        <v/>
      </c>
      <c r="U132" s="276" t="str">
        <f>IF(C132="","",VLOOKUP(T132,'G-3 Multipliers'!$P$2:$Q$6,2,FALSE))</f>
        <v/>
      </c>
      <c r="V132" s="102"/>
      <c r="W132" s="276" t="str">
        <f>IF(V132="","",IF(AND(V132="N/A - Culvert",C132&lt;&gt;"Culvert"),"Not possible ▲",IF(AND(C132="Culvert",V132&lt;&gt;"N/A - Culvert"),"Not possible ▲",IF(VLOOKUP(V132,'G-7 WaterC'' Data'!$AA$4:$AB$7,2,FALSE)=0,"Spatial Data Missing ⚠",VLOOKUP(V132,'G-7 WaterC'' Data'!$AA$4:$AB$7,2,FALSE)))))</f>
        <v/>
      </c>
      <c r="X132" s="56"/>
      <c r="Y132" s="276" t="str">
        <f>IF(X132="","",IF(AND(X132="N/A - Culvert",C132&lt;&gt;"Culvert"),"Not possible ▲",IF(AND(C132="Culvert",X132&lt;&gt;"N/A - Culvert"),"Not possible ▲",IF(VLOOKUP(X132,'G-7 WaterC'' Data'!$AD$4:$AE$14,2,FALSE)=0,"Enrcoachment Data Missing ⚠",VLOOKUP(X132,'G-7 WaterC'' Data'!$AD$4:$AE$14,2,FALSE)))))</f>
        <v/>
      </c>
      <c r="Z132" s="317" t="str">
        <f t="shared" si="10"/>
        <v/>
      </c>
      <c r="AA132" s="101"/>
      <c r="AB132" s="115"/>
      <c r="AC132" s="104"/>
      <c r="AH132" s="30" t="str">
        <f>IFERROR(INDEX('G-7 WaterC'' Data'!$AZ$3:$AZ$7,MATCH(C132,'G-7 WaterC'' Data'!$AY$3:$AY$7,0)),"")</f>
        <v/>
      </c>
      <c r="AK132" s="30" t="str">
        <f t="shared" si="11"/>
        <v>No</v>
      </c>
    </row>
    <row r="133" spans="2:37" ht="14">
      <c r="B133" s="97">
        <v>122</v>
      </c>
      <c r="C133" s="920"/>
      <c r="D133" s="115"/>
      <c r="E133" s="275" t="str">
        <f>IF(C133="","",VLOOKUP(C133,'G-7 WaterC'' Data'!$B$2:$G$8,2,FALSE))</f>
        <v/>
      </c>
      <c r="F133" s="276" t="str">
        <f>IFERROR(VLOOKUP(E133,'G-7 WaterC'' Data'!$C$4:$D$8,2,FALSE),"")</f>
        <v/>
      </c>
      <c r="G133" s="101"/>
      <c r="H133" s="276" t="str">
        <f>IFERROR(INDEX('G-7 WaterC'' Data'!$H$4:$L$8,MATCH(C133,'G-7 WaterC'' Data'!$B$4:$B$8,0),MATCH(G133,'G-7 WaterC'' Data'!$H$3:$L$3,0)),"")</f>
        <v/>
      </c>
      <c r="I133" s="52"/>
      <c r="J133" s="283" t="str">
        <f>IF(I133="","",IF(VLOOKUP(I133,'G-7 WaterC'' Data'!$AK$4:$AM$6,2,FALSE)=0,"Spatial Data Missing ⚠",VLOOKUP(I133,'G-7 WaterC'' Data'!$AK$4:$AM$6,2,FALSE)))</f>
        <v/>
      </c>
      <c r="K133" s="276" t="str">
        <f>IF(I133="","",IF(VLOOKUP(I133,'G-7 WaterC'' Data'!$AK$4:$AM$6,3,FALSE)=0,"Spatial Data Missing ⚠",VLOOKUP(I133,'G-7 WaterC'' Data'!$AK$4:$AM$6,3,FALSE)))</f>
        <v/>
      </c>
      <c r="L133" s="275" t="str">
        <f>IFERROR(INDEX('G-7 WaterC'' Data'!$O$3:$O$7,MATCH(G133,'G-7 WaterC'' Data'!$N$3:$N$7,0)),"")</f>
        <v/>
      </c>
      <c r="M133" s="58"/>
      <c r="N133" s="133"/>
      <c r="O133" s="283" t="str">
        <f t="shared" si="6"/>
        <v/>
      </c>
      <c r="P133" s="296" t="str">
        <f t="shared" si="7"/>
        <v/>
      </c>
      <c r="Q133" s="334" t="str">
        <f>IFERROR(IF(P133="Check Data ⚠","Check Data ⚠",VLOOKUP(P133,'G-4 Temporal multipliers'!$A$4:$C$37,3,FALSE)),"")</f>
        <v/>
      </c>
      <c r="R133" s="275" t="str">
        <f>IF(C133="","",VLOOKUP(C133,'G-7 WaterC'' Data'!$B$4:$G$8,4,FALSE))</f>
        <v/>
      </c>
      <c r="S133" s="283" t="str">
        <f t="shared" si="8"/>
        <v/>
      </c>
      <c r="T133" s="314" t="str">
        <f t="shared" si="9"/>
        <v/>
      </c>
      <c r="U133" s="276" t="str">
        <f>IF(C133="","",VLOOKUP(T133,'G-3 Multipliers'!$P$2:$Q$6,2,FALSE))</f>
        <v/>
      </c>
      <c r="V133" s="102"/>
      <c r="W133" s="276" t="str">
        <f>IF(V133="","",IF(AND(V133="N/A - Culvert",C133&lt;&gt;"Culvert"),"Not possible ▲",IF(AND(C133="Culvert",V133&lt;&gt;"N/A - Culvert"),"Not possible ▲",IF(VLOOKUP(V133,'G-7 WaterC'' Data'!$AA$4:$AB$7,2,FALSE)=0,"Spatial Data Missing ⚠",VLOOKUP(V133,'G-7 WaterC'' Data'!$AA$4:$AB$7,2,FALSE)))))</f>
        <v/>
      </c>
      <c r="X133" s="56"/>
      <c r="Y133" s="276" t="str">
        <f>IF(X133="","",IF(AND(X133="N/A - Culvert",C133&lt;&gt;"Culvert"),"Not possible ▲",IF(AND(C133="Culvert",X133&lt;&gt;"N/A - Culvert"),"Not possible ▲",IF(VLOOKUP(X133,'G-7 WaterC'' Data'!$AD$4:$AE$14,2,FALSE)=0,"Enrcoachment Data Missing ⚠",VLOOKUP(X133,'G-7 WaterC'' Data'!$AD$4:$AE$14,2,FALSE)))))</f>
        <v/>
      </c>
      <c r="Z133" s="317" t="str">
        <f t="shared" si="10"/>
        <v/>
      </c>
      <c r="AA133" s="101"/>
      <c r="AB133" s="115"/>
      <c r="AC133" s="104"/>
      <c r="AH133" s="30" t="str">
        <f>IFERROR(INDEX('G-7 WaterC'' Data'!$AZ$3:$AZ$7,MATCH(C133,'G-7 WaterC'' Data'!$AY$3:$AY$7,0)),"")</f>
        <v/>
      </c>
      <c r="AK133" s="30" t="str">
        <f t="shared" si="11"/>
        <v>No</v>
      </c>
    </row>
    <row r="134" spans="2:37" ht="14">
      <c r="B134" s="97">
        <v>123</v>
      </c>
      <c r="C134" s="920"/>
      <c r="D134" s="115"/>
      <c r="E134" s="275" t="str">
        <f>IF(C134="","",VLOOKUP(C134,'G-7 WaterC'' Data'!$B$2:$G$8,2,FALSE))</f>
        <v/>
      </c>
      <c r="F134" s="276" t="str">
        <f>IFERROR(VLOOKUP(E134,'G-7 WaterC'' Data'!$C$4:$D$8,2,FALSE),"")</f>
        <v/>
      </c>
      <c r="G134" s="101"/>
      <c r="H134" s="276" t="str">
        <f>IFERROR(INDEX('G-7 WaterC'' Data'!$H$4:$L$8,MATCH(C134,'G-7 WaterC'' Data'!$B$4:$B$8,0),MATCH(G134,'G-7 WaterC'' Data'!$H$3:$L$3,0)),"")</f>
        <v/>
      </c>
      <c r="I134" s="52"/>
      <c r="J134" s="283" t="str">
        <f>IF(I134="","",IF(VLOOKUP(I134,'G-7 WaterC'' Data'!$AK$4:$AM$6,2,FALSE)=0,"Spatial Data Missing ⚠",VLOOKUP(I134,'G-7 WaterC'' Data'!$AK$4:$AM$6,2,FALSE)))</f>
        <v/>
      </c>
      <c r="K134" s="276" t="str">
        <f>IF(I134="","",IF(VLOOKUP(I134,'G-7 WaterC'' Data'!$AK$4:$AM$6,3,FALSE)=0,"Spatial Data Missing ⚠",VLOOKUP(I134,'G-7 WaterC'' Data'!$AK$4:$AM$6,3,FALSE)))</f>
        <v/>
      </c>
      <c r="L134" s="275" t="str">
        <f>IFERROR(INDEX('G-7 WaterC'' Data'!$O$3:$O$7,MATCH(G134,'G-7 WaterC'' Data'!$N$3:$N$7,0)),"")</f>
        <v/>
      </c>
      <c r="M134" s="58"/>
      <c r="N134" s="133"/>
      <c r="O134" s="283" t="str">
        <f t="shared" si="6"/>
        <v/>
      </c>
      <c r="P134" s="296" t="str">
        <f t="shared" si="7"/>
        <v/>
      </c>
      <c r="Q134" s="334" t="str">
        <f>IFERROR(IF(P134="Check Data ⚠","Check Data ⚠",VLOOKUP(P134,'G-4 Temporal multipliers'!$A$4:$C$37,3,FALSE)),"")</f>
        <v/>
      </c>
      <c r="R134" s="275" t="str">
        <f>IF(C134="","",VLOOKUP(C134,'G-7 WaterC'' Data'!$B$4:$G$8,4,FALSE))</f>
        <v/>
      </c>
      <c r="S134" s="283" t="str">
        <f t="shared" si="8"/>
        <v/>
      </c>
      <c r="T134" s="314" t="str">
        <f t="shared" si="9"/>
        <v/>
      </c>
      <c r="U134" s="276" t="str">
        <f>IF(C134="","",VLOOKUP(T134,'G-3 Multipliers'!$P$2:$Q$6,2,FALSE))</f>
        <v/>
      </c>
      <c r="V134" s="102"/>
      <c r="W134" s="276" t="str">
        <f>IF(V134="","",IF(AND(V134="N/A - Culvert",C134&lt;&gt;"Culvert"),"Not possible ▲",IF(AND(C134="Culvert",V134&lt;&gt;"N/A - Culvert"),"Not possible ▲",IF(VLOOKUP(V134,'G-7 WaterC'' Data'!$AA$4:$AB$7,2,FALSE)=0,"Spatial Data Missing ⚠",VLOOKUP(V134,'G-7 WaterC'' Data'!$AA$4:$AB$7,2,FALSE)))))</f>
        <v/>
      </c>
      <c r="X134" s="56"/>
      <c r="Y134" s="276" t="str">
        <f>IF(X134="","",IF(AND(X134="N/A - Culvert",C134&lt;&gt;"Culvert"),"Not possible ▲",IF(AND(C134="Culvert",X134&lt;&gt;"N/A - Culvert"),"Not possible ▲",IF(VLOOKUP(X134,'G-7 WaterC'' Data'!$AD$4:$AE$14,2,FALSE)=0,"Enrcoachment Data Missing ⚠",VLOOKUP(X134,'G-7 WaterC'' Data'!$AD$4:$AE$14,2,FALSE)))))</f>
        <v/>
      </c>
      <c r="Z134" s="317" t="str">
        <f t="shared" si="10"/>
        <v/>
      </c>
      <c r="AA134" s="101"/>
      <c r="AB134" s="115"/>
      <c r="AC134" s="104"/>
      <c r="AH134" s="30" t="str">
        <f>IFERROR(INDEX('G-7 WaterC'' Data'!$AZ$3:$AZ$7,MATCH(C134,'G-7 WaterC'' Data'!$AY$3:$AY$7,0)),"")</f>
        <v/>
      </c>
      <c r="AK134" s="30" t="str">
        <f t="shared" si="11"/>
        <v>No</v>
      </c>
    </row>
    <row r="135" spans="2:37" ht="14">
      <c r="B135" s="97">
        <v>124</v>
      </c>
      <c r="C135" s="920"/>
      <c r="D135" s="115"/>
      <c r="E135" s="275" t="str">
        <f>IF(C135="","",VLOOKUP(C135,'G-7 WaterC'' Data'!$B$2:$G$8,2,FALSE))</f>
        <v/>
      </c>
      <c r="F135" s="276" t="str">
        <f>IFERROR(VLOOKUP(E135,'G-7 WaterC'' Data'!$C$4:$D$8,2,FALSE),"")</f>
        <v/>
      </c>
      <c r="G135" s="101"/>
      <c r="H135" s="276" t="str">
        <f>IFERROR(INDEX('G-7 WaterC'' Data'!$H$4:$L$8,MATCH(C135,'G-7 WaterC'' Data'!$B$4:$B$8,0),MATCH(G135,'G-7 WaterC'' Data'!$H$3:$L$3,0)),"")</f>
        <v/>
      </c>
      <c r="I135" s="52"/>
      <c r="J135" s="283" t="str">
        <f>IF(I135="","",IF(VLOOKUP(I135,'G-7 WaterC'' Data'!$AK$4:$AM$6,2,FALSE)=0,"Spatial Data Missing ⚠",VLOOKUP(I135,'G-7 WaterC'' Data'!$AK$4:$AM$6,2,FALSE)))</f>
        <v/>
      </c>
      <c r="K135" s="276" t="str">
        <f>IF(I135="","",IF(VLOOKUP(I135,'G-7 WaterC'' Data'!$AK$4:$AM$6,3,FALSE)=0,"Spatial Data Missing ⚠",VLOOKUP(I135,'G-7 WaterC'' Data'!$AK$4:$AM$6,3,FALSE)))</f>
        <v/>
      </c>
      <c r="L135" s="275" t="str">
        <f>IFERROR(INDEX('G-7 WaterC'' Data'!$O$3:$O$7,MATCH(G135,'G-7 WaterC'' Data'!$N$3:$N$7,0)),"")</f>
        <v/>
      </c>
      <c r="M135" s="58"/>
      <c r="N135" s="133"/>
      <c r="O135" s="283" t="str">
        <f t="shared" si="6"/>
        <v/>
      </c>
      <c r="P135" s="296" t="str">
        <f t="shared" si="7"/>
        <v/>
      </c>
      <c r="Q135" s="334" t="str">
        <f>IFERROR(IF(P135="Check Data ⚠","Check Data ⚠",VLOOKUP(P135,'G-4 Temporal multipliers'!$A$4:$C$37,3,FALSE)),"")</f>
        <v/>
      </c>
      <c r="R135" s="275" t="str">
        <f>IF(C135="","",VLOOKUP(C135,'G-7 WaterC'' Data'!$B$4:$G$8,4,FALSE))</f>
        <v/>
      </c>
      <c r="S135" s="283" t="str">
        <f t="shared" si="8"/>
        <v/>
      </c>
      <c r="T135" s="314" t="str">
        <f t="shared" si="9"/>
        <v/>
      </c>
      <c r="U135" s="276" t="str">
        <f>IF(C135="","",VLOOKUP(T135,'G-3 Multipliers'!$P$2:$Q$6,2,FALSE))</f>
        <v/>
      </c>
      <c r="V135" s="102"/>
      <c r="W135" s="276" t="str">
        <f>IF(V135="","",IF(AND(V135="N/A - Culvert",C135&lt;&gt;"Culvert"),"Not possible ▲",IF(AND(C135="Culvert",V135&lt;&gt;"N/A - Culvert"),"Not possible ▲",IF(VLOOKUP(V135,'G-7 WaterC'' Data'!$AA$4:$AB$7,2,FALSE)=0,"Spatial Data Missing ⚠",VLOOKUP(V135,'G-7 WaterC'' Data'!$AA$4:$AB$7,2,FALSE)))))</f>
        <v/>
      </c>
      <c r="X135" s="56"/>
      <c r="Y135" s="276" t="str">
        <f>IF(X135="","",IF(AND(X135="N/A - Culvert",C135&lt;&gt;"Culvert"),"Not possible ▲",IF(AND(C135="Culvert",X135&lt;&gt;"N/A - Culvert"),"Not possible ▲",IF(VLOOKUP(X135,'G-7 WaterC'' Data'!$AD$4:$AE$14,2,FALSE)=0,"Enrcoachment Data Missing ⚠",VLOOKUP(X135,'G-7 WaterC'' Data'!$AD$4:$AE$14,2,FALSE)))))</f>
        <v/>
      </c>
      <c r="Z135" s="317" t="str">
        <f t="shared" si="10"/>
        <v/>
      </c>
      <c r="AA135" s="101"/>
      <c r="AB135" s="115"/>
      <c r="AC135" s="104"/>
      <c r="AH135" s="30" t="str">
        <f>IFERROR(INDEX('G-7 WaterC'' Data'!$AZ$3:$AZ$7,MATCH(C135,'G-7 WaterC'' Data'!$AY$3:$AY$7,0)),"")</f>
        <v/>
      </c>
      <c r="AK135" s="30" t="str">
        <f t="shared" si="11"/>
        <v>No</v>
      </c>
    </row>
    <row r="136" spans="2:37" ht="14">
      <c r="B136" s="97">
        <v>125</v>
      </c>
      <c r="C136" s="920"/>
      <c r="D136" s="115"/>
      <c r="E136" s="275" t="str">
        <f>IF(C136="","",VLOOKUP(C136,'G-7 WaterC'' Data'!$B$2:$G$8,2,FALSE))</f>
        <v/>
      </c>
      <c r="F136" s="276" t="str">
        <f>IFERROR(VLOOKUP(E136,'G-7 WaterC'' Data'!$C$4:$D$8,2,FALSE),"")</f>
        <v/>
      </c>
      <c r="G136" s="101"/>
      <c r="H136" s="276" t="str">
        <f>IFERROR(INDEX('G-7 WaterC'' Data'!$H$4:$L$8,MATCH(C136,'G-7 WaterC'' Data'!$B$4:$B$8,0),MATCH(G136,'G-7 WaterC'' Data'!$H$3:$L$3,0)),"")</f>
        <v/>
      </c>
      <c r="I136" s="52"/>
      <c r="J136" s="283" t="str">
        <f>IF(I136="","",IF(VLOOKUP(I136,'G-7 WaterC'' Data'!$AK$4:$AM$6,2,FALSE)=0,"Spatial Data Missing ⚠",VLOOKUP(I136,'G-7 WaterC'' Data'!$AK$4:$AM$6,2,FALSE)))</f>
        <v/>
      </c>
      <c r="K136" s="276" t="str">
        <f>IF(I136="","",IF(VLOOKUP(I136,'G-7 WaterC'' Data'!$AK$4:$AM$6,3,FALSE)=0,"Spatial Data Missing ⚠",VLOOKUP(I136,'G-7 WaterC'' Data'!$AK$4:$AM$6,3,FALSE)))</f>
        <v/>
      </c>
      <c r="L136" s="275" t="str">
        <f>IFERROR(INDEX('G-7 WaterC'' Data'!$O$3:$O$7,MATCH(G136,'G-7 WaterC'' Data'!$N$3:$N$7,0)),"")</f>
        <v/>
      </c>
      <c r="M136" s="58"/>
      <c r="N136" s="133"/>
      <c r="O136" s="283" t="str">
        <f t="shared" si="6"/>
        <v/>
      </c>
      <c r="P136" s="296" t="str">
        <f t="shared" si="7"/>
        <v/>
      </c>
      <c r="Q136" s="334" t="str">
        <f>IFERROR(IF(P136="Check Data ⚠","Check Data ⚠",VLOOKUP(P136,'G-4 Temporal multipliers'!$A$4:$C$37,3,FALSE)),"")</f>
        <v/>
      </c>
      <c r="R136" s="275" t="str">
        <f>IF(C136="","",VLOOKUP(C136,'G-7 WaterC'' Data'!$B$4:$G$8,4,FALSE))</f>
        <v/>
      </c>
      <c r="S136" s="283" t="str">
        <f t="shared" si="8"/>
        <v/>
      </c>
      <c r="T136" s="314" t="str">
        <f t="shared" si="9"/>
        <v/>
      </c>
      <c r="U136" s="276" t="str">
        <f>IF(C136="","",VLOOKUP(T136,'G-3 Multipliers'!$P$2:$Q$6,2,FALSE))</f>
        <v/>
      </c>
      <c r="V136" s="102"/>
      <c r="W136" s="276" t="str">
        <f>IF(V136="","",IF(AND(V136="N/A - Culvert",C136&lt;&gt;"Culvert"),"Not possible ▲",IF(AND(C136="Culvert",V136&lt;&gt;"N/A - Culvert"),"Not possible ▲",IF(VLOOKUP(V136,'G-7 WaterC'' Data'!$AA$4:$AB$7,2,FALSE)=0,"Spatial Data Missing ⚠",VLOOKUP(V136,'G-7 WaterC'' Data'!$AA$4:$AB$7,2,FALSE)))))</f>
        <v/>
      </c>
      <c r="X136" s="56"/>
      <c r="Y136" s="276" t="str">
        <f>IF(X136="","",IF(AND(X136="N/A - Culvert",C136&lt;&gt;"Culvert"),"Not possible ▲",IF(AND(C136="Culvert",X136&lt;&gt;"N/A - Culvert"),"Not possible ▲",IF(VLOOKUP(X136,'G-7 WaterC'' Data'!$AD$4:$AE$14,2,FALSE)=0,"Enrcoachment Data Missing ⚠",VLOOKUP(X136,'G-7 WaterC'' Data'!$AD$4:$AE$14,2,FALSE)))))</f>
        <v/>
      </c>
      <c r="Z136" s="317" t="str">
        <f t="shared" si="10"/>
        <v/>
      </c>
      <c r="AA136" s="101"/>
      <c r="AB136" s="115"/>
      <c r="AC136" s="104"/>
      <c r="AH136" s="30" t="str">
        <f>IFERROR(INDEX('G-7 WaterC'' Data'!$AZ$3:$AZ$7,MATCH(C136,'G-7 WaterC'' Data'!$AY$3:$AY$7,0)),"")</f>
        <v/>
      </c>
      <c r="AK136" s="30" t="str">
        <f t="shared" si="11"/>
        <v>No</v>
      </c>
    </row>
    <row r="137" spans="2:37" ht="14">
      <c r="B137" s="97">
        <v>126</v>
      </c>
      <c r="C137" s="920"/>
      <c r="D137" s="115"/>
      <c r="E137" s="275" t="str">
        <f>IF(C137="","",VLOOKUP(C137,'G-7 WaterC'' Data'!$B$2:$G$8,2,FALSE))</f>
        <v/>
      </c>
      <c r="F137" s="276" t="str">
        <f>IFERROR(VLOOKUP(E137,'G-7 WaterC'' Data'!$C$4:$D$8,2,FALSE),"")</f>
        <v/>
      </c>
      <c r="G137" s="101"/>
      <c r="H137" s="276" t="str">
        <f>IFERROR(INDEX('G-7 WaterC'' Data'!$H$4:$L$8,MATCH(C137,'G-7 WaterC'' Data'!$B$4:$B$8,0),MATCH(G137,'G-7 WaterC'' Data'!$H$3:$L$3,0)),"")</f>
        <v/>
      </c>
      <c r="I137" s="52"/>
      <c r="J137" s="283" t="str">
        <f>IF(I137="","",IF(VLOOKUP(I137,'G-7 WaterC'' Data'!$AK$4:$AM$6,2,FALSE)=0,"Spatial Data Missing ⚠",VLOOKUP(I137,'G-7 WaterC'' Data'!$AK$4:$AM$6,2,FALSE)))</f>
        <v/>
      </c>
      <c r="K137" s="276" t="str">
        <f>IF(I137="","",IF(VLOOKUP(I137,'G-7 WaterC'' Data'!$AK$4:$AM$6,3,FALSE)=0,"Spatial Data Missing ⚠",VLOOKUP(I137,'G-7 WaterC'' Data'!$AK$4:$AM$6,3,FALSE)))</f>
        <v/>
      </c>
      <c r="L137" s="275" t="str">
        <f>IFERROR(INDEX('G-7 WaterC'' Data'!$O$3:$O$7,MATCH(G137,'G-7 WaterC'' Data'!$N$3:$N$7,0)),"")</f>
        <v/>
      </c>
      <c r="M137" s="58"/>
      <c r="N137" s="133"/>
      <c r="O137" s="283" t="str">
        <f t="shared" si="6"/>
        <v/>
      </c>
      <c r="P137" s="296" t="str">
        <f t="shared" si="7"/>
        <v/>
      </c>
      <c r="Q137" s="334" t="str">
        <f>IFERROR(IF(P137="Check Data ⚠","Check Data ⚠",VLOOKUP(P137,'G-4 Temporal multipliers'!$A$4:$C$37,3,FALSE)),"")</f>
        <v/>
      </c>
      <c r="R137" s="275" t="str">
        <f>IF(C137="","",VLOOKUP(C137,'G-7 WaterC'' Data'!$B$4:$G$8,4,FALSE))</f>
        <v/>
      </c>
      <c r="S137" s="283" t="str">
        <f t="shared" si="8"/>
        <v/>
      </c>
      <c r="T137" s="314" t="str">
        <f t="shared" si="9"/>
        <v/>
      </c>
      <c r="U137" s="276" t="str">
        <f>IF(C137="","",VLOOKUP(T137,'G-3 Multipliers'!$P$2:$Q$6,2,FALSE))</f>
        <v/>
      </c>
      <c r="V137" s="102"/>
      <c r="W137" s="276" t="str">
        <f>IF(V137="","",IF(AND(V137="N/A - Culvert",C137&lt;&gt;"Culvert"),"Not possible ▲",IF(AND(C137="Culvert",V137&lt;&gt;"N/A - Culvert"),"Not possible ▲",IF(VLOOKUP(V137,'G-7 WaterC'' Data'!$AA$4:$AB$7,2,FALSE)=0,"Spatial Data Missing ⚠",VLOOKUP(V137,'G-7 WaterC'' Data'!$AA$4:$AB$7,2,FALSE)))))</f>
        <v/>
      </c>
      <c r="X137" s="56"/>
      <c r="Y137" s="276" t="str">
        <f>IF(X137="","",IF(AND(X137="N/A - Culvert",C137&lt;&gt;"Culvert"),"Not possible ▲",IF(AND(C137="Culvert",X137&lt;&gt;"N/A - Culvert"),"Not possible ▲",IF(VLOOKUP(X137,'G-7 WaterC'' Data'!$AD$4:$AE$14,2,FALSE)=0,"Enrcoachment Data Missing ⚠",VLOOKUP(X137,'G-7 WaterC'' Data'!$AD$4:$AE$14,2,FALSE)))))</f>
        <v/>
      </c>
      <c r="Z137" s="317" t="str">
        <f t="shared" si="10"/>
        <v/>
      </c>
      <c r="AA137" s="101"/>
      <c r="AB137" s="115"/>
      <c r="AC137" s="104"/>
      <c r="AH137" s="30" t="str">
        <f>IFERROR(INDEX('G-7 WaterC'' Data'!$AZ$3:$AZ$7,MATCH(C137,'G-7 WaterC'' Data'!$AY$3:$AY$7,0)),"")</f>
        <v/>
      </c>
      <c r="AK137" s="30" t="str">
        <f t="shared" si="11"/>
        <v>No</v>
      </c>
    </row>
    <row r="138" spans="2:37" ht="14">
      <c r="B138" s="97">
        <v>127</v>
      </c>
      <c r="C138" s="920"/>
      <c r="D138" s="115"/>
      <c r="E138" s="275" t="str">
        <f>IF(C138="","",VLOOKUP(C138,'G-7 WaterC'' Data'!$B$2:$G$8,2,FALSE))</f>
        <v/>
      </c>
      <c r="F138" s="276" t="str">
        <f>IFERROR(VLOOKUP(E138,'G-7 WaterC'' Data'!$C$4:$D$8,2,FALSE),"")</f>
        <v/>
      </c>
      <c r="G138" s="101"/>
      <c r="H138" s="276" t="str">
        <f>IFERROR(INDEX('G-7 WaterC'' Data'!$H$4:$L$8,MATCH(C138,'G-7 WaterC'' Data'!$B$4:$B$8,0),MATCH(G138,'G-7 WaterC'' Data'!$H$3:$L$3,0)),"")</f>
        <v/>
      </c>
      <c r="I138" s="52"/>
      <c r="J138" s="283" t="str">
        <f>IF(I138="","",IF(VLOOKUP(I138,'G-7 WaterC'' Data'!$AK$4:$AM$6,2,FALSE)=0,"Spatial Data Missing ⚠",VLOOKUP(I138,'G-7 WaterC'' Data'!$AK$4:$AM$6,2,FALSE)))</f>
        <v/>
      </c>
      <c r="K138" s="276" t="str">
        <f>IF(I138="","",IF(VLOOKUP(I138,'G-7 WaterC'' Data'!$AK$4:$AM$6,3,FALSE)=0,"Spatial Data Missing ⚠",VLOOKUP(I138,'G-7 WaterC'' Data'!$AK$4:$AM$6,3,FALSE)))</f>
        <v/>
      </c>
      <c r="L138" s="275" t="str">
        <f>IFERROR(INDEX('G-7 WaterC'' Data'!$O$3:$O$7,MATCH(G138,'G-7 WaterC'' Data'!$N$3:$N$7,0)),"")</f>
        <v/>
      </c>
      <c r="M138" s="58"/>
      <c r="N138" s="133"/>
      <c r="O138" s="283" t="str">
        <f t="shared" si="6"/>
        <v/>
      </c>
      <c r="P138" s="296" t="str">
        <f t="shared" si="7"/>
        <v/>
      </c>
      <c r="Q138" s="334" t="str">
        <f>IFERROR(IF(P138="Check Data ⚠","Check Data ⚠",VLOOKUP(P138,'G-4 Temporal multipliers'!$A$4:$C$37,3,FALSE)),"")</f>
        <v/>
      </c>
      <c r="R138" s="275" t="str">
        <f>IF(C138="","",VLOOKUP(C138,'G-7 WaterC'' Data'!$B$4:$G$8,4,FALSE))</f>
        <v/>
      </c>
      <c r="S138" s="283" t="str">
        <f t="shared" si="8"/>
        <v/>
      </c>
      <c r="T138" s="314" t="str">
        <f t="shared" si="9"/>
        <v/>
      </c>
      <c r="U138" s="276" t="str">
        <f>IF(C138="","",VLOOKUP(T138,'G-3 Multipliers'!$P$2:$Q$6,2,FALSE))</f>
        <v/>
      </c>
      <c r="V138" s="102"/>
      <c r="W138" s="276" t="str">
        <f>IF(V138="","",IF(AND(V138="N/A - Culvert",C138&lt;&gt;"Culvert"),"Not possible ▲",IF(AND(C138="Culvert",V138&lt;&gt;"N/A - Culvert"),"Not possible ▲",IF(VLOOKUP(V138,'G-7 WaterC'' Data'!$AA$4:$AB$7,2,FALSE)=0,"Spatial Data Missing ⚠",VLOOKUP(V138,'G-7 WaterC'' Data'!$AA$4:$AB$7,2,FALSE)))))</f>
        <v/>
      </c>
      <c r="X138" s="56"/>
      <c r="Y138" s="276" t="str">
        <f>IF(X138="","",IF(AND(X138="N/A - Culvert",C138&lt;&gt;"Culvert"),"Not possible ▲",IF(AND(C138="Culvert",X138&lt;&gt;"N/A - Culvert"),"Not possible ▲",IF(VLOOKUP(X138,'G-7 WaterC'' Data'!$AD$4:$AE$14,2,FALSE)=0,"Enrcoachment Data Missing ⚠",VLOOKUP(X138,'G-7 WaterC'' Data'!$AD$4:$AE$14,2,FALSE)))))</f>
        <v/>
      </c>
      <c r="Z138" s="317" t="str">
        <f t="shared" si="10"/>
        <v/>
      </c>
      <c r="AA138" s="101"/>
      <c r="AB138" s="115"/>
      <c r="AC138" s="104"/>
      <c r="AH138" s="30" t="str">
        <f>IFERROR(INDEX('G-7 WaterC'' Data'!$AZ$3:$AZ$7,MATCH(C138,'G-7 WaterC'' Data'!$AY$3:$AY$7,0)),"")</f>
        <v/>
      </c>
      <c r="AK138" s="30" t="str">
        <f t="shared" si="11"/>
        <v>No</v>
      </c>
    </row>
    <row r="139" spans="2:37" ht="14">
      <c r="B139" s="97">
        <v>128</v>
      </c>
      <c r="C139" s="920"/>
      <c r="D139" s="115"/>
      <c r="E139" s="275" t="str">
        <f>IF(C139="","",VLOOKUP(C139,'G-7 WaterC'' Data'!$B$2:$G$8,2,FALSE))</f>
        <v/>
      </c>
      <c r="F139" s="276" t="str">
        <f>IFERROR(VLOOKUP(E139,'G-7 WaterC'' Data'!$C$4:$D$8,2,FALSE),"")</f>
        <v/>
      </c>
      <c r="G139" s="101"/>
      <c r="H139" s="276" t="str">
        <f>IFERROR(INDEX('G-7 WaterC'' Data'!$H$4:$L$8,MATCH(C139,'G-7 WaterC'' Data'!$B$4:$B$8,0),MATCH(G139,'G-7 WaterC'' Data'!$H$3:$L$3,0)),"")</f>
        <v/>
      </c>
      <c r="I139" s="52"/>
      <c r="J139" s="283" t="str">
        <f>IF(I139="","",IF(VLOOKUP(I139,'G-7 WaterC'' Data'!$AK$4:$AM$6,2,FALSE)=0,"Spatial Data Missing ⚠",VLOOKUP(I139,'G-7 WaterC'' Data'!$AK$4:$AM$6,2,FALSE)))</f>
        <v/>
      </c>
      <c r="K139" s="276" t="str">
        <f>IF(I139="","",IF(VLOOKUP(I139,'G-7 WaterC'' Data'!$AK$4:$AM$6,3,FALSE)=0,"Spatial Data Missing ⚠",VLOOKUP(I139,'G-7 WaterC'' Data'!$AK$4:$AM$6,3,FALSE)))</f>
        <v/>
      </c>
      <c r="L139" s="275" t="str">
        <f>IFERROR(INDEX('G-7 WaterC'' Data'!$O$3:$O$7,MATCH(G139,'G-7 WaterC'' Data'!$N$3:$N$7,0)),"")</f>
        <v/>
      </c>
      <c r="M139" s="58"/>
      <c r="N139" s="133"/>
      <c r="O139" s="283" t="str">
        <f t="shared" si="6"/>
        <v/>
      </c>
      <c r="P139" s="296" t="str">
        <f t="shared" si="7"/>
        <v/>
      </c>
      <c r="Q139" s="334" t="str">
        <f>IFERROR(IF(P139="Check Data ⚠","Check Data ⚠",VLOOKUP(P139,'G-4 Temporal multipliers'!$A$4:$C$37,3,FALSE)),"")</f>
        <v/>
      </c>
      <c r="R139" s="275" t="str">
        <f>IF(C139="","",VLOOKUP(C139,'G-7 WaterC'' Data'!$B$4:$G$8,4,FALSE))</f>
        <v/>
      </c>
      <c r="S139" s="283" t="str">
        <f t="shared" si="8"/>
        <v/>
      </c>
      <c r="T139" s="314" t="str">
        <f t="shared" si="9"/>
        <v/>
      </c>
      <c r="U139" s="276" t="str">
        <f>IF(C139="","",VLOOKUP(T139,'G-3 Multipliers'!$P$2:$Q$6,2,FALSE))</f>
        <v/>
      </c>
      <c r="V139" s="102"/>
      <c r="W139" s="276" t="str">
        <f>IF(V139="","",IF(AND(V139="N/A - Culvert",C139&lt;&gt;"Culvert"),"Not possible ▲",IF(AND(C139="Culvert",V139&lt;&gt;"N/A - Culvert"),"Not possible ▲",IF(VLOOKUP(V139,'G-7 WaterC'' Data'!$AA$4:$AB$7,2,FALSE)=0,"Spatial Data Missing ⚠",VLOOKUP(V139,'G-7 WaterC'' Data'!$AA$4:$AB$7,2,FALSE)))))</f>
        <v/>
      </c>
      <c r="X139" s="56"/>
      <c r="Y139" s="276" t="str">
        <f>IF(X139="","",IF(AND(X139="N/A - Culvert",C139&lt;&gt;"Culvert"),"Not possible ▲",IF(AND(C139="Culvert",X139&lt;&gt;"N/A - Culvert"),"Not possible ▲",IF(VLOOKUP(X139,'G-7 WaterC'' Data'!$AD$4:$AE$14,2,FALSE)=0,"Enrcoachment Data Missing ⚠",VLOOKUP(X139,'G-7 WaterC'' Data'!$AD$4:$AE$14,2,FALSE)))))</f>
        <v/>
      </c>
      <c r="Z139" s="317" t="str">
        <f t="shared" si="10"/>
        <v/>
      </c>
      <c r="AA139" s="101"/>
      <c r="AB139" s="115"/>
      <c r="AC139" s="104"/>
      <c r="AH139" s="30" t="str">
        <f>IFERROR(INDEX('G-7 WaterC'' Data'!$AZ$3:$AZ$7,MATCH(C139,'G-7 WaterC'' Data'!$AY$3:$AY$7,0)),"")</f>
        <v/>
      </c>
      <c r="AK139" s="30" t="str">
        <f t="shared" si="11"/>
        <v>No</v>
      </c>
    </row>
    <row r="140" spans="2:37" ht="14">
      <c r="B140" s="97">
        <v>129</v>
      </c>
      <c r="C140" s="920"/>
      <c r="D140" s="115"/>
      <c r="E140" s="275" t="str">
        <f>IF(C140="","",VLOOKUP(C140,'G-7 WaterC'' Data'!$B$2:$G$8,2,FALSE))</f>
        <v/>
      </c>
      <c r="F140" s="276" t="str">
        <f>IFERROR(VLOOKUP(E140,'G-7 WaterC'' Data'!$C$4:$D$8,2,FALSE),"")</f>
        <v/>
      </c>
      <c r="G140" s="101"/>
      <c r="H140" s="276" t="str">
        <f>IFERROR(INDEX('G-7 WaterC'' Data'!$H$4:$L$8,MATCH(C140,'G-7 WaterC'' Data'!$B$4:$B$8,0),MATCH(G140,'G-7 WaterC'' Data'!$H$3:$L$3,0)),"")</f>
        <v/>
      </c>
      <c r="I140" s="52"/>
      <c r="J140" s="283" t="str">
        <f>IF(I140="","",IF(VLOOKUP(I140,'G-7 WaterC'' Data'!$AK$4:$AM$6,2,FALSE)=0,"Spatial Data Missing ⚠",VLOOKUP(I140,'G-7 WaterC'' Data'!$AK$4:$AM$6,2,FALSE)))</f>
        <v/>
      </c>
      <c r="K140" s="276" t="str">
        <f>IF(I140="","",IF(VLOOKUP(I140,'G-7 WaterC'' Data'!$AK$4:$AM$6,3,FALSE)=0,"Spatial Data Missing ⚠",VLOOKUP(I140,'G-7 WaterC'' Data'!$AK$4:$AM$6,3,FALSE)))</f>
        <v/>
      </c>
      <c r="L140" s="275" t="str">
        <f>IFERROR(INDEX('G-7 WaterC'' Data'!$O$3:$O$7,MATCH(G140,'G-7 WaterC'' Data'!$N$3:$N$7,0)),"")</f>
        <v/>
      </c>
      <c r="M140" s="58"/>
      <c r="N140" s="133"/>
      <c r="O140" s="283" t="str">
        <f t="shared" si="6"/>
        <v/>
      </c>
      <c r="P140" s="296" t="str">
        <f t="shared" si="7"/>
        <v/>
      </c>
      <c r="Q140" s="334" t="str">
        <f>IFERROR(IF(P140="Check Data ⚠","Check Data ⚠",VLOOKUP(P140,'G-4 Temporal multipliers'!$A$4:$C$37,3,FALSE)),"")</f>
        <v/>
      </c>
      <c r="R140" s="275" t="str">
        <f>IF(C140="","",VLOOKUP(C140,'G-7 WaterC'' Data'!$B$4:$G$8,4,FALSE))</f>
        <v/>
      </c>
      <c r="S140" s="283" t="str">
        <f t="shared" si="8"/>
        <v/>
      </c>
      <c r="T140" s="314" t="str">
        <f t="shared" si="9"/>
        <v/>
      </c>
      <c r="U140" s="276" t="str">
        <f>IF(C140="","",VLOOKUP(T140,'G-3 Multipliers'!$P$2:$Q$6,2,FALSE))</f>
        <v/>
      </c>
      <c r="V140" s="102"/>
      <c r="W140" s="276" t="str">
        <f>IF(V140="","",IF(AND(V140="N/A - Culvert",C140&lt;&gt;"Culvert"),"Not possible ▲",IF(AND(C140="Culvert",V140&lt;&gt;"N/A - Culvert"),"Not possible ▲",IF(VLOOKUP(V140,'G-7 WaterC'' Data'!$AA$4:$AB$7,2,FALSE)=0,"Spatial Data Missing ⚠",VLOOKUP(V140,'G-7 WaterC'' Data'!$AA$4:$AB$7,2,FALSE)))))</f>
        <v/>
      </c>
      <c r="X140" s="56"/>
      <c r="Y140" s="276" t="str">
        <f>IF(X140="","",IF(AND(X140="N/A - Culvert",C140&lt;&gt;"Culvert"),"Not possible ▲",IF(AND(C140="Culvert",X140&lt;&gt;"N/A - Culvert"),"Not possible ▲",IF(VLOOKUP(X140,'G-7 WaterC'' Data'!$AD$4:$AE$14,2,FALSE)=0,"Enrcoachment Data Missing ⚠",VLOOKUP(X140,'G-7 WaterC'' Data'!$AD$4:$AE$14,2,FALSE)))))</f>
        <v/>
      </c>
      <c r="Z140" s="317" t="str">
        <f t="shared" si="10"/>
        <v/>
      </c>
      <c r="AA140" s="101"/>
      <c r="AB140" s="115"/>
      <c r="AC140" s="104"/>
      <c r="AH140" s="30" t="str">
        <f>IFERROR(INDEX('G-7 WaterC'' Data'!$AZ$3:$AZ$7,MATCH(C140,'G-7 WaterC'' Data'!$AY$3:$AY$7,0)),"")</f>
        <v/>
      </c>
      <c r="AK140" s="30" t="str">
        <f t="shared" si="11"/>
        <v>No</v>
      </c>
    </row>
    <row r="141" spans="2:37" ht="14">
      <c r="B141" s="97">
        <v>130</v>
      </c>
      <c r="C141" s="920"/>
      <c r="D141" s="115"/>
      <c r="E141" s="275" t="str">
        <f>IF(C141="","",VLOOKUP(C141,'G-7 WaterC'' Data'!$B$2:$G$8,2,FALSE))</f>
        <v/>
      </c>
      <c r="F141" s="276" t="str">
        <f>IFERROR(VLOOKUP(E141,'G-7 WaterC'' Data'!$C$4:$D$8,2,FALSE),"")</f>
        <v/>
      </c>
      <c r="G141" s="101"/>
      <c r="H141" s="276" t="str">
        <f>IFERROR(INDEX('G-7 WaterC'' Data'!$H$4:$L$8,MATCH(C141,'G-7 WaterC'' Data'!$B$4:$B$8,0),MATCH(G141,'G-7 WaterC'' Data'!$H$3:$L$3,0)),"")</f>
        <v/>
      </c>
      <c r="I141" s="52"/>
      <c r="J141" s="283" t="str">
        <f>IF(I141="","",IF(VLOOKUP(I141,'G-7 WaterC'' Data'!$AK$4:$AM$6,2,FALSE)=0,"Spatial Data Missing ⚠",VLOOKUP(I141,'G-7 WaterC'' Data'!$AK$4:$AM$6,2,FALSE)))</f>
        <v/>
      </c>
      <c r="K141" s="276" t="str">
        <f>IF(I141="","",IF(VLOOKUP(I141,'G-7 WaterC'' Data'!$AK$4:$AM$6,3,FALSE)=0,"Spatial Data Missing ⚠",VLOOKUP(I141,'G-7 WaterC'' Data'!$AK$4:$AM$6,3,FALSE)))</f>
        <v/>
      </c>
      <c r="L141" s="275" t="str">
        <f>IFERROR(INDEX('G-7 WaterC'' Data'!$O$3:$O$7,MATCH(G141,'G-7 WaterC'' Data'!$N$3:$N$7,0)),"")</f>
        <v/>
      </c>
      <c r="M141" s="58"/>
      <c r="N141" s="133"/>
      <c r="O141" s="283" t="str">
        <f t="shared" si="12" ref="O141:O204">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296" t="str">
        <f t="shared" si="13" ref="P141:P204">IF(O141="Error -both advance and delayed habitat creation ▲","Check Data ⚠",IF(L141="","",IF(M141="30+",0,IF(N141="30+","30+",IF(L141+N141&gt;30,"30+ ",IF(L141+N141-M141&gt;0,L141+N141-M141,IF(L141-M141&lt;0,0,L141+N141-M141)))))))</f>
        <v/>
      </c>
      <c r="Q141" s="334" t="str">
        <f>IFERROR(IF(P141="Check Data ⚠","Check Data ⚠",VLOOKUP(P141,'G-4 Temporal multipliers'!$A$4:$C$37,3,FALSE)),"")</f>
        <v/>
      </c>
      <c r="R141" s="275" t="str">
        <f>IF(C141="","",VLOOKUP(C141,'G-7 WaterC'' Data'!$B$4:$G$8,4,FALSE))</f>
        <v/>
      </c>
      <c r="S141" s="283" t="str">
        <f t="shared" si="14" ref="S141:S204">IF(C141="","",IF(P141="Check Data ⚠","Check Data ⚠",IF(G141="","",IF($O141="Check details - Is there evidence that habitat has reached target condition? ⚠","Low Difficulty - only applicable if all habitat created before losses ⚠","Standard difficulty applied"))))</f>
        <v/>
      </c>
      <c r="T141" s="314" t="str">
        <f t="shared" si="15" ref="T141:T204">(IF(AND(S141="Standard difficulty applied",L141&gt;M141),R141,IF(AND(S141="Low Difficulty - only applicable if all habitat created before losses ⚠",M141&gt;=L141),"Low",R141)))</f>
        <v/>
      </c>
      <c r="U141" s="276" t="str">
        <f>IF(C141="","",VLOOKUP(T141,'G-3 Multipliers'!$P$2:$Q$6,2,FALSE))</f>
        <v/>
      </c>
      <c r="V141" s="102"/>
      <c r="W141" s="276" t="str">
        <f>IF(V141="","",IF(AND(V141="N/A - Culvert",C141&lt;&gt;"Culvert"),"Not possible ▲",IF(AND(C141="Culvert",V141&lt;&gt;"N/A - Culvert"),"Not possible ▲",IF(VLOOKUP(V141,'G-7 WaterC'' Data'!$AA$4:$AB$7,2,FALSE)=0,"Spatial Data Missing ⚠",VLOOKUP(V141,'G-7 WaterC'' Data'!$AA$4:$AB$7,2,FALSE)))))</f>
        <v/>
      </c>
      <c r="X141" s="56"/>
      <c r="Y141" s="276" t="str">
        <f>IF(X141="","",IF(AND(X141="N/A - Culvert",C141&lt;&gt;"Culvert"),"Not possible ▲",IF(AND(C141="Culvert",X141&lt;&gt;"N/A - Culvert"),"Not possible ▲",IF(VLOOKUP(X141,'G-7 WaterC'' Data'!$AD$4:$AE$14,2,FALSE)=0,"Enrcoachment Data Missing ⚠",VLOOKUP(X141,'G-7 WaterC'' Data'!$AD$4:$AE$14,2,FALSE)))))</f>
        <v/>
      </c>
      <c r="Z141" s="317" t="str">
        <f t="shared" si="16" ref="Z141:Z204">IFERROR(IF(C141="","",D141*F141*H141*K141*Q141*U141*Y141*W141),"")</f>
        <v/>
      </c>
      <c r="AA141" s="101"/>
      <c r="AB141" s="115"/>
      <c r="AC141" s="104"/>
      <c r="AH141" s="30" t="str">
        <f>IFERROR(INDEX('G-7 WaterC'' Data'!$AZ$3:$AZ$7,MATCH(C141,'G-7 WaterC'' Data'!$AY$3:$AY$7,0)),"")</f>
        <v/>
      </c>
      <c r="AK141" s="30" t="str">
        <f t="shared" si="17" ref="AK141:AK204">IF(AND(C141="Ditches",(OR(G141="Fairly Poor",G141="Fairly Good"))),"Yes","No")</f>
        <v>No</v>
      </c>
    </row>
    <row r="142" spans="2:37" ht="14">
      <c r="B142" s="97">
        <v>131</v>
      </c>
      <c r="C142" s="920"/>
      <c r="D142" s="115"/>
      <c r="E142" s="275" t="str">
        <f>IF(C142="","",VLOOKUP(C142,'G-7 WaterC'' Data'!$B$2:$G$8,2,FALSE))</f>
        <v/>
      </c>
      <c r="F142" s="276" t="str">
        <f>IFERROR(VLOOKUP(E142,'G-7 WaterC'' Data'!$C$4:$D$8,2,FALSE),"")</f>
        <v/>
      </c>
      <c r="G142" s="101"/>
      <c r="H142" s="276" t="str">
        <f>IFERROR(INDEX('G-7 WaterC'' Data'!$H$4:$L$8,MATCH(C142,'G-7 WaterC'' Data'!$B$4:$B$8,0),MATCH(G142,'G-7 WaterC'' Data'!$H$3:$L$3,0)),"")</f>
        <v/>
      </c>
      <c r="I142" s="52"/>
      <c r="J142" s="283" t="str">
        <f>IF(I142="","",IF(VLOOKUP(I142,'G-7 WaterC'' Data'!$AK$4:$AM$6,2,FALSE)=0,"Spatial Data Missing ⚠",VLOOKUP(I142,'G-7 WaterC'' Data'!$AK$4:$AM$6,2,FALSE)))</f>
        <v/>
      </c>
      <c r="K142" s="276" t="str">
        <f>IF(I142="","",IF(VLOOKUP(I142,'G-7 WaterC'' Data'!$AK$4:$AM$6,3,FALSE)=0,"Spatial Data Missing ⚠",VLOOKUP(I142,'G-7 WaterC'' Data'!$AK$4:$AM$6,3,FALSE)))</f>
        <v/>
      </c>
      <c r="L142" s="275" t="str">
        <f>IFERROR(INDEX('G-7 WaterC'' Data'!$O$3:$O$7,MATCH(G142,'G-7 WaterC'' Data'!$N$3:$N$7,0)),"")</f>
        <v/>
      </c>
      <c r="M142" s="58"/>
      <c r="N142" s="133"/>
      <c r="O142" s="283" t="str">
        <f t="shared" si="12"/>
        <v/>
      </c>
      <c r="P142" s="296" t="str">
        <f t="shared" si="13"/>
        <v/>
      </c>
      <c r="Q142" s="334" t="str">
        <f>IFERROR(IF(P142="Check Data ⚠","Check Data ⚠",VLOOKUP(P142,'G-4 Temporal multipliers'!$A$4:$C$37,3,FALSE)),"")</f>
        <v/>
      </c>
      <c r="R142" s="275" t="str">
        <f>IF(C142="","",VLOOKUP(C142,'G-7 WaterC'' Data'!$B$4:$G$8,4,FALSE))</f>
        <v/>
      </c>
      <c r="S142" s="283" t="str">
        <f t="shared" si="14"/>
        <v/>
      </c>
      <c r="T142" s="314" t="str">
        <f t="shared" si="15"/>
        <v/>
      </c>
      <c r="U142" s="276" t="str">
        <f>IF(C142="","",VLOOKUP(T142,'G-3 Multipliers'!$P$2:$Q$6,2,FALSE))</f>
        <v/>
      </c>
      <c r="V142" s="102"/>
      <c r="W142" s="276" t="str">
        <f>IF(V142="","",IF(AND(V142="N/A - Culvert",C142&lt;&gt;"Culvert"),"Not possible ▲",IF(AND(C142="Culvert",V142&lt;&gt;"N/A - Culvert"),"Not possible ▲",IF(VLOOKUP(V142,'G-7 WaterC'' Data'!$AA$4:$AB$7,2,FALSE)=0,"Spatial Data Missing ⚠",VLOOKUP(V142,'G-7 WaterC'' Data'!$AA$4:$AB$7,2,FALSE)))))</f>
        <v/>
      </c>
      <c r="X142" s="56"/>
      <c r="Y142" s="276" t="str">
        <f>IF(X142="","",IF(AND(X142="N/A - Culvert",C142&lt;&gt;"Culvert"),"Not possible ▲",IF(AND(C142="Culvert",X142&lt;&gt;"N/A - Culvert"),"Not possible ▲",IF(VLOOKUP(X142,'G-7 WaterC'' Data'!$AD$4:$AE$14,2,FALSE)=0,"Enrcoachment Data Missing ⚠",VLOOKUP(X142,'G-7 WaterC'' Data'!$AD$4:$AE$14,2,FALSE)))))</f>
        <v/>
      </c>
      <c r="Z142" s="317" t="str">
        <f t="shared" si="16"/>
        <v/>
      </c>
      <c r="AA142" s="101"/>
      <c r="AB142" s="115"/>
      <c r="AC142" s="104"/>
      <c r="AH142" s="30" t="str">
        <f>IFERROR(INDEX('G-7 WaterC'' Data'!$AZ$3:$AZ$7,MATCH(C142,'G-7 WaterC'' Data'!$AY$3:$AY$7,0)),"")</f>
        <v/>
      </c>
      <c r="AK142" s="30" t="str">
        <f t="shared" si="17"/>
        <v>No</v>
      </c>
    </row>
    <row r="143" spans="2:37" ht="14">
      <c r="B143" s="97">
        <v>132</v>
      </c>
      <c r="C143" s="920"/>
      <c r="D143" s="115"/>
      <c r="E143" s="275" t="str">
        <f>IF(C143="","",VLOOKUP(C143,'G-7 WaterC'' Data'!$B$2:$G$8,2,FALSE))</f>
        <v/>
      </c>
      <c r="F143" s="276" t="str">
        <f>IFERROR(VLOOKUP(E143,'G-7 WaterC'' Data'!$C$4:$D$8,2,FALSE),"")</f>
        <v/>
      </c>
      <c r="G143" s="101"/>
      <c r="H143" s="276" t="str">
        <f>IFERROR(INDEX('G-7 WaterC'' Data'!$H$4:$L$8,MATCH(C143,'G-7 WaterC'' Data'!$B$4:$B$8,0),MATCH(G143,'G-7 WaterC'' Data'!$H$3:$L$3,0)),"")</f>
        <v/>
      </c>
      <c r="I143" s="52"/>
      <c r="J143" s="283" t="str">
        <f>IF(I143="","",IF(VLOOKUP(I143,'G-7 WaterC'' Data'!$AK$4:$AM$6,2,FALSE)=0,"Spatial Data Missing ⚠",VLOOKUP(I143,'G-7 WaterC'' Data'!$AK$4:$AM$6,2,FALSE)))</f>
        <v/>
      </c>
      <c r="K143" s="276" t="str">
        <f>IF(I143="","",IF(VLOOKUP(I143,'G-7 WaterC'' Data'!$AK$4:$AM$6,3,FALSE)=0,"Spatial Data Missing ⚠",VLOOKUP(I143,'G-7 WaterC'' Data'!$AK$4:$AM$6,3,FALSE)))</f>
        <v/>
      </c>
      <c r="L143" s="275" t="str">
        <f>IFERROR(INDEX('G-7 WaterC'' Data'!$O$3:$O$7,MATCH(G143,'G-7 WaterC'' Data'!$N$3:$N$7,0)),"")</f>
        <v/>
      </c>
      <c r="M143" s="58"/>
      <c r="N143" s="133"/>
      <c r="O143" s="283" t="str">
        <f t="shared" si="12"/>
        <v/>
      </c>
      <c r="P143" s="296" t="str">
        <f t="shared" si="13"/>
        <v/>
      </c>
      <c r="Q143" s="334" t="str">
        <f>IFERROR(IF(P143="Check Data ⚠","Check Data ⚠",VLOOKUP(P143,'G-4 Temporal multipliers'!$A$4:$C$37,3,FALSE)),"")</f>
        <v/>
      </c>
      <c r="R143" s="275" t="str">
        <f>IF(C143="","",VLOOKUP(C143,'G-7 WaterC'' Data'!$B$4:$G$8,4,FALSE))</f>
        <v/>
      </c>
      <c r="S143" s="283" t="str">
        <f t="shared" si="14"/>
        <v/>
      </c>
      <c r="T143" s="314" t="str">
        <f t="shared" si="15"/>
        <v/>
      </c>
      <c r="U143" s="276" t="str">
        <f>IF(C143="","",VLOOKUP(T143,'G-3 Multipliers'!$P$2:$Q$6,2,FALSE))</f>
        <v/>
      </c>
      <c r="V143" s="102"/>
      <c r="W143" s="276" t="str">
        <f>IF(V143="","",IF(AND(V143="N/A - Culvert",C143&lt;&gt;"Culvert"),"Not possible ▲",IF(AND(C143="Culvert",V143&lt;&gt;"N/A - Culvert"),"Not possible ▲",IF(VLOOKUP(V143,'G-7 WaterC'' Data'!$AA$4:$AB$7,2,FALSE)=0,"Spatial Data Missing ⚠",VLOOKUP(V143,'G-7 WaterC'' Data'!$AA$4:$AB$7,2,FALSE)))))</f>
        <v/>
      </c>
      <c r="X143" s="56"/>
      <c r="Y143" s="276" t="str">
        <f>IF(X143="","",IF(AND(X143="N/A - Culvert",C143&lt;&gt;"Culvert"),"Not possible ▲",IF(AND(C143="Culvert",X143&lt;&gt;"N/A - Culvert"),"Not possible ▲",IF(VLOOKUP(X143,'G-7 WaterC'' Data'!$AD$4:$AE$14,2,FALSE)=0,"Enrcoachment Data Missing ⚠",VLOOKUP(X143,'G-7 WaterC'' Data'!$AD$4:$AE$14,2,FALSE)))))</f>
        <v/>
      </c>
      <c r="Z143" s="317" t="str">
        <f t="shared" si="16"/>
        <v/>
      </c>
      <c r="AA143" s="101"/>
      <c r="AB143" s="115"/>
      <c r="AC143" s="104"/>
      <c r="AH143" s="30" t="str">
        <f>IFERROR(INDEX('G-7 WaterC'' Data'!$AZ$3:$AZ$7,MATCH(C143,'G-7 WaterC'' Data'!$AY$3:$AY$7,0)),"")</f>
        <v/>
      </c>
      <c r="AK143" s="30" t="str">
        <f t="shared" si="17"/>
        <v>No</v>
      </c>
    </row>
    <row r="144" spans="2:37" ht="14">
      <c r="B144" s="97">
        <v>133</v>
      </c>
      <c r="C144" s="920"/>
      <c r="D144" s="115"/>
      <c r="E144" s="275" t="str">
        <f>IF(C144="","",VLOOKUP(C144,'G-7 WaterC'' Data'!$B$2:$G$8,2,FALSE))</f>
        <v/>
      </c>
      <c r="F144" s="276" t="str">
        <f>IFERROR(VLOOKUP(E144,'G-7 WaterC'' Data'!$C$4:$D$8,2,FALSE),"")</f>
        <v/>
      </c>
      <c r="G144" s="101"/>
      <c r="H144" s="276" t="str">
        <f>IFERROR(INDEX('G-7 WaterC'' Data'!$H$4:$L$8,MATCH(C144,'G-7 WaterC'' Data'!$B$4:$B$8,0),MATCH(G144,'G-7 WaterC'' Data'!$H$3:$L$3,0)),"")</f>
        <v/>
      </c>
      <c r="I144" s="52"/>
      <c r="J144" s="283" t="str">
        <f>IF(I144="","",IF(VLOOKUP(I144,'G-7 WaterC'' Data'!$AK$4:$AM$6,2,FALSE)=0,"Spatial Data Missing ⚠",VLOOKUP(I144,'G-7 WaterC'' Data'!$AK$4:$AM$6,2,FALSE)))</f>
        <v/>
      </c>
      <c r="K144" s="276" t="str">
        <f>IF(I144="","",IF(VLOOKUP(I144,'G-7 WaterC'' Data'!$AK$4:$AM$6,3,FALSE)=0,"Spatial Data Missing ⚠",VLOOKUP(I144,'G-7 WaterC'' Data'!$AK$4:$AM$6,3,FALSE)))</f>
        <v/>
      </c>
      <c r="L144" s="275" t="str">
        <f>IFERROR(INDEX('G-7 WaterC'' Data'!$O$3:$O$7,MATCH(G144,'G-7 WaterC'' Data'!$N$3:$N$7,0)),"")</f>
        <v/>
      </c>
      <c r="M144" s="58"/>
      <c r="N144" s="133"/>
      <c r="O144" s="283" t="str">
        <f t="shared" si="12"/>
        <v/>
      </c>
      <c r="P144" s="296" t="str">
        <f t="shared" si="13"/>
        <v/>
      </c>
      <c r="Q144" s="334" t="str">
        <f>IFERROR(IF(P144="Check Data ⚠","Check Data ⚠",VLOOKUP(P144,'G-4 Temporal multipliers'!$A$4:$C$37,3,FALSE)),"")</f>
        <v/>
      </c>
      <c r="R144" s="275" t="str">
        <f>IF(C144="","",VLOOKUP(C144,'G-7 WaterC'' Data'!$B$4:$G$8,4,FALSE))</f>
        <v/>
      </c>
      <c r="S144" s="283" t="str">
        <f t="shared" si="14"/>
        <v/>
      </c>
      <c r="T144" s="314" t="str">
        <f t="shared" si="15"/>
        <v/>
      </c>
      <c r="U144" s="276" t="str">
        <f>IF(C144="","",VLOOKUP(T144,'G-3 Multipliers'!$P$2:$Q$6,2,FALSE))</f>
        <v/>
      </c>
      <c r="V144" s="102"/>
      <c r="W144" s="276" t="str">
        <f>IF(V144="","",IF(AND(V144="N/A - Culvert",C144&lt;&gt;"Culvert"),"Not possible ▲",IF(AND(C144="Culvert",V144&lt;&gt;"N/A - Culvert"),"Not possible ▲",IF(VLOOKUP(V144,'G-7 WaterC'' Data'!$AA$4:$AB$7,2,FALSE)=0,"Spatial Data Missing ⚠",VLOOKUP(V144,'G-7 WaterC'' Data'!$AA$4:$AB$7,2,FALSE)))))</f>
        <v/>
      </c>
      <c r="X144" s="56"/>
      <c r="Y144" s="276" t="str">
        <f>IF(X144="","",IF(AND(X144="N/A - Culvert",C144&lt;&gt;"Culvert"),"Not possible ▲",IF(AND(C144="Culvert",X144&lt;&gt;"N/A - Culvert"),"Not possible ▲",IF(VLOOKUP(X144,'G-7 WaterC'' Data'!$AD$4:$AE$14,2,FALSE)=0,"Enrcoachment Data Missing ⚠",VLOOKUP(X144,'G-7 WaterC'' Data'!$AD$4:$AE$14,2,FALSE)))))</f>
        <v/>
      </c>
      <c r="Z144" s="317" t="str">
        <f t="shared" si="16"/>
        <v/>
      </c>
      <c r="AA144" s="101"/>
      <c r="AB144" s="115"/>
      <c r="AC144" s="104"/>
      <c r="AH144" s="30" t="str">
        <f>IFERROR(INDEX('G-7 WaterC'' Data'!$AZ$3:$AZ$7,MATCH(C144,'G-7 WaterC'' Data'!$AY$3:$AY$7,0)),"")</f>
        <v/>
      </c>
      <c r="AK144" s="30" t="str">
        <f t="shared" si="17"/>
        <v>No</v>
      </c>
    </row>
    <row r="145" spans="2:37" ht="14">
      <c r="B145" s="97">
        <v>134</v>
      </c>
      <c r="C145" s="920"/>
      <c r="D145" s="115"/>
      <c r="E145" s="275" t="str">
        <f>IF(C145="","",VLOOKUP(C145,'G-7 WaterC'' Data'!$B$2:$G$8,2,FALSE))</f>
        <v/>
      </c>
      <c r="F145" s="276" t="str">
        <f>IFERROR(VLOOKUP(E145,'G-7 WaterC'' Data'!$C$4:$D$8,2,FALSE),"")</f>
        <v/>
      </c>
      <c r="G145" s="101"/>
      <c r="H145" s="276" t="str">
        <f>IFERROR(INDEX('G-7 WaterC'' Data'!$H$4:$L$8,MATCH(C145,'G-7 WaterC'' Data'!$B$4:$B$8,0),MATCH(G145,'G-7 WaterC'' Data'!$H$3:$L$3,0)),"")</f>
        <v/>
      </c>
      <c r="I145" s="52"/>
      <c r="J145" s="283" t="str">
        <f>IF(I145="","",IF(VLOOKUP(I145,'G-7 WaterC'' Data'!$AK$4:$AM$6,2,FALSE)=0,"Spatial Data Missing ⚠",VLOOKUP(I145,'G-7 WaterC'' Data'!$AK$4:$AM$6,2,FALSE)))</f>
        <v/>
      </c>
      <c r="K145" s="276" t="str">
        <f>IF(I145="","",IF(VLOOKUP(I145,'G-7 WaterC'' Data'!$AK$4:$AM$6,3,FALSE)=0,"Spatial Data Missing ⚠",VLOOKUP(I145,'G-7 WaterC'' Data'!$AK$4:$AM$6,3,FALSE)))</f>
        <v/>
      </c>
      <c r="L145" s="275" t="str">
        <f>IFERROR(INDEX('G-7 WaterC'' Data'!$O$3:$O$7,MATCH(G145,'G-7 WaterC'' Data'!$N$3:$N$7,0)),"")</f>
        <v/>
      </c>
      <c r="M145" s="58"/>
      <c r="N145" s="133"/>
      <c r="O145" s="283" t="str">
        <f t="shared" si="12"/>
        <v/>
      </c>
      <c r="P145" s="296" t="str">
        <f t="shared" si="13"/>
        <v/>
      </c>
      <c r="Q145" s="334" t="str">
        <f>IFERROR(IF(P145="Check Data ⚠","Check Data ⚠",VLOOKUP(P145,'G-4 Temporal multipliers'!$A$4:$C$37,3,FALSE)),"")</f>
        <v/>
      </c>
      <c r="R145" s="275" t="str">
        <f>IF(C145="","",VLOOKUP(C145,'G-7 WaterC'' Data'!$B$4:$G$8,4,FALSE))</f>
        <v/>
      </c>
      <c r="S145" s="283" t="str">
        <f t="shared" si="14"/>
        <v/>
      </c>
      <c r="T145" s="314" t="str">
        <f t="shared" si="15"/>
        <v/>
      </c>
      <c r="U145" s="276" t="str">
        <f>IF(C145="","",VLOOKUP(T145,'G-3 Multipliers'!$P$2:$Q$6,2,FALSE))</f>
        <v/>
      </c>
      <c r="V145" s="102"/>
      <c r="W145" s="276" t="str">
        <f>IF(V145="","",IF(AND(V145="N/A - Culvert",C145&lt;&gt;"Culvert"),"Not possible ▲",IF(AND(C145="Culvert",V145&lt;&gt;"N/A - Culvert"),"Not possible ▲",IF(VLOOKUP(V145,'G-7 WaterC'' Data'!$AA$4:$AB$7,2,FALSE)=0,"Spatial Data Missing ⚠",VLOOKUP(V145,'G-7 WaterC'' Data'!$AA$4:$AB$7,2,FALSE)))))</f>
        <v/>
      </c>
      <c r="X145" s="56"/>
      <c r="Y145" s="276" t="str">
        <f>IF(X145="","",IF(AND(X145="N/A - Culvert",C145&lt;&gt;"Culvert"),"Not possible ▲",IF(AND(C145="Culvert",X145&lt;&gt;"N/A - Culvert"),"Not possible ▲",IF(VLOOKUP(X145,'G-7 WaterC'' Data'!$AD$4:$AE$14,2,FALSE)=0,"Enrcoachment Data Missing ⚠",VLOOKUP(X145,'G-7 WaterC'' Data'!$AD$4:$AE$14,2,FALSE)))))</f>
        <v/>
      </c>
      <c r="Z145" s="317" t="str">
        <f t="shared" si="16"/>
        <v/>
      </c>
      <c r="AA145" s="101"/>
      <c r="AB145" s="115"/>
      <c r="AC145" s="104"/>
      <c r="AH145" s="30" t="str">
        <f>IFERROR(INDEX('G-7 WaterC'' Data'!$AZ$3:$AZ$7,MATCH(C145,'G-7 WaterC'' Data'!$AY$3:$AY$7,0)),"")</f>
        <v/>
      </c>
      <c r="AK145" s="30" t="str">
        <f t="shared" si="17"/>
        <v>No</v>
      </c>
    </row>
    <row r="146" spans="2:37" ht="14">
      <c r="B146" s="97">
        <v>135</v>
      </c>
      <c r="C146" s="920"/>
      <c r="D146" s="115"/>
      <c r="E146" s="275" t="str">
        <f>IF(C146="","",VLOOKUP(C146,'G-7 WaterC'' Data'!$B$2:$G$8,2,FALSE))</f>
        <v/>
      </c>
      <c r="F146" s="276" t="str">
        <f>IFERROR(VLOOKUP(E146,'G-7 WaterC'' Data'!$C$4:$D$8,2,FALSE),"")</f>
        <v/>
      </c>
      <c r="G146" s="101"/>
      <c r="H146" s="276" t="str">
        <f>IFERROR(INDEX('G-7 WaterC'' Data'!$H$4:$L$8,MATCH(C146,'G-7 WaterC'' Data'!$B$4:$B$8,0),MATCH(G146,'G-7 WaterC'' Data'!$H$3:$L$3,0)),"")</f>
        <v/>
      </c>
      <c r="I146" s="52"/>
      <c r="J146" s="283" t="str">
        <f>IF(I146="","",IF(VLOOKUP(I146,'G-7 WaterC'' Data'!$AK$4:$AM$6,2,FALSE)=0,"Spatial Data Missing ⚠",VLOOKUP(I146,'G-7 WaterC'' Data'!$AK$4:$AM$6,2,FALSE)))</f>
        <v/>
      </c>
      <c r="K146" s="276" t="str">
        <f>IF(I146="","",IF(VLOOKUP(I146,'G-7 WaterC'' Data'!$AK$4:$AM$6,3,FALSE)=0,"Spatial Data Missing ⚠",VLOOKUP(I146,'G-7 WaterC'' Data'!$AK$4:$AM$6,3,FALSE)))</f>
        <v/>
      </c>
      <c r="L146" s="275" t="str">
        <f>IFERROR(INDEX('G-7 WaterC'' Data'!$O$3:$O$7,MATCH(G146,'G-7 WaterC'' Data'!$N$3:$N$7,0)),"")</f>
        <v/>
      </c>
      <c r="M146" s="58"/>
      <c r="N146" s="133"/>
      <c r="O146" s="283" t="str">
        <f t="shared" si="12"/>
        <v/>
      </c>
      <c r="P146" s="296" t="str">
        <f t="shared" si="13"/>
        <v/>
      </c>
      <c r="Q146" s="334" t="str">
        <f>IFERROR(IF(P146="Check Data ⚠","Check Data ⚠",VLOOKUP(P146,'G-4 Temporal multipliers'!$A$4:$C$37,3,FALSE)),"")</f>
        <v/>
      </c>
      <c r="R146" s="275" t="str">
        <f>IF(C146="","",VLOOKUP(C146,'G-7 WaterC'' Data'!$B$4:$G$8,4,FALSE))</f>
        <v/>
      </c>
      <c r="S146" s="283" t="str">
        <f t="shared" si="14"/>
        <v/>
      </c>
      <c r="T146" s="314" t="str">
        <f t="shared" si="15"/>
        <v/>
      </c>
      <c r="U146" s="276" t="str">
        <f>IF(C146="","",VLOOKUP(T146,'G-3 Multipliers'!$P$2:$Q$6,2,FALSE))</f>
        <v/>
      </c>
      <c r="V146" s="102"/>
      <c r="W146" s="276" t="str">
        <f>IF(V146="","",IF(AND(V146="N/A - Culvert",C146&lt;&gt;"Culvert"),"Not possible ▲",IF(AND(C146="Culvert",V146&lt;&gt;"N/A - Culvert"),"Not possible ▲",IF(VLOOKUP(V146,'G-7 WaterC'' Data'!$AA$4:$AB$7,2,FALSE)=0,"Spatial Data Missing ⚠",VLOOKUP(V146,'G-7 WaterC'' Data'!$AA$4:$AB$7,2,FALSE)))))</f>
        <v/>
      </c>
      <c r="X146" s="56"/>
      <c r="Y146" s="276" t="str">
        <f>IF(X146="","",IF(AND(X146="N/A - Culvert",C146&lt;&gt;"Culvert"),"Not possible ▲",IF(AND(C146="Culvert",X146&lt;&gt;"N/A - Culvert"),"Not possible ▲",IF(VLOOKUP(X146,'G-7 WaterC'' Data'!$AD$4:$AE$14,2,FALSE)=0,"Enrcoachment Data Missing ⚠",VLOOKUP(X146,'G-7 WaterC'' Data'!$AD$4:$AE$14,2,FALSE)))))</f>
        <v/>
      </c>
      <c r="Z146" s="317" t="str">
        <f t="shared" si="16"/>
        <v/>
      </c>
      <c r="AA146" s="101"/>
      <c r="AB146" s="115"/>
      <c r="AC146" s="104"/>
      <c r="AH146" s="30" t="str">
        <f>IFERROR(INDEX('G-7 WaterC'' Data'!$AZ$3:$AZ$7,MATCH(C146,'G-7 WaterC'' Data'!$AY$3:$AY$7,0)),"")</f>
        <v/>
      </c>
      <c r="AK146" s="30" t="str">
        <f t="shared" si="17"/>
        <v>No</v>
      </c>
    </row>
    <row r="147" spans="2:37" ht="14">
      <c r="B147" s="97">
        <v>136</v>
      </c>
      <c r="C147" s="920"/>
      <c r="D147" s="115"/>
      <c r="E147" s="275" t="str">
        <f>IF(C147="","",VLOOKUP(C147,'G-7 WaterC'' Data'!$B$2:$G$8,2,FALSE))</f>
        <v/>
      </c>
      <c r="F147" s="276" t="str">
        <f>IFERROR(VLOOKUP(E147,'G-7 WaterC'' Data'!$C$4:$D$8,2,FALSE),"")</f>
        <v/>
      </c>
      <c r="G147" s="101"/>
      <c r="H147" s="276" t="str">
        <f>IFERROR(INDEX('G-7 WaterC'' Data'!$H$4:$L$8,MATCH(C147,'G-7 WaterC'' Data'!$B$4:$B$8,0),MATCH(G147,'G-7 WaterC'' Data'!$H$3:$L$3,0)),"")</f>
        <v/>
      </c>
      <c r="I147" s="52"/>
      <c r="J147" s="283" t="str">
        <f>IF(I147="","",IF(VLOOKUP(I147,'G-7 WaterC'' Data'!$AK$4:$AM$6,2,FALSE)=0,"Spatial Data Missing ⚠",VLOOKUP(I147,'G-7 WaterC'' Data'!$AK$4:$AM$6,2,FALSE)))</f>
        <v/>
      </c>
      <c r="K147" s="276" t="str">
        <f>IF(I147="","",IF(VLOOKUP(I147,'G-7 WaterC'' Data'!$AK$4:$AM$6,3,FALSE)=0,"Spatial Data Missing ⚠",VLOOKUP(I147,'G-7 WaterC'' Data'!$AK$4:$AM$6,3,FALSE)))</f>
        <v/>
      </c>
      <c r="L147" s="275" t="str">
        <f>IFERROR(INDEX('G-7 WaterC'' Data'!$O$3:$O$7,MATCH(G147,'G-7 WaterC'' Data'!$N$3:$N$7,0)),"")</f>
        <v/>
      </c>
      <c r="M147" s="58"/>
      <c r="N147" s="133"/>
      <c r="O147" s="283" t="str">
        <f t="shared" si="12"/>
        <v/>
      </c>
      <c r="P147" s="296" t="str">
        <f t="shared" si="13"/>
        <v/>
      </c>
      <c r="Q147" s="334" t="str">
        <f>IFERROR(IF(P147="Check Data ⚠","Check Data ⚠",VLOOKUP(P147,'G-4 Temporal multipliers'!$A$4:$C$37,3,FALSE)),"")</f>
        <v/>
      </c>
      <c r="R147" s="275" t="str">
        <f>IF(C147="","",VLOOKUP(C147,'G-7 WaterC'' Data'!$B$4:$G$8,4,FALSE))</f>
        <v/>
      </c>
      <c r="S147" s="283" t="str">
        <f t="shared" si="14"/>
        <v/>
      </c>
      <c r="T147" s="314" t="str">
        <f t="shared" si="15"/>
        <v/>
      </c>
      <c r="U147" s="276" t="str">
        <f>IF(C147="","",VLOOKUP(T147,'G-3 Multipliers'!$P$2:$Q$6,2,FALSE))</f>
        <v/>
      </c>
      <c r="V147" s="102"/>
      <c r="W147" s="276" t="str">
        <f>IF(V147="","",IF(AND(V147="N/A - Culvert",C147&lt;&gt;"Culvert"),"Not possible ▲",IF(AND(C147="Culvert",V147&lt;&gt;"N/A - Culvert"),"Not possible ▲",IF(VLOOKUP(V147,'G-7 WaterC'' Data'!$AA$4:$AB$7,2,FALSE)=0,"Spatial Data Missing ⚠",VLOOKUP(V147,'G-7 WaterC'' Data'!$AA$4:$AB$7,2,FALSE)))))</f>
        <v/>
      </c>
      <c r="X147" s="56"/>
      <c r="Y147" s="276" t="str">
        <f>IF(X147="","",IF(AND(X147="N/A - Culvert",C147&lt;&gt;"Culvert"),"Not possible ▲",IF(AND(C147="Culvert",X147&lt;&gt;"N/A - Culvert"),"Not possible ▲",IF(VLOOKUP(X147,'G-7 WaterC'' Data'!$AD$4:$AE$14,2,FALSE)=0,"Enrcoachment Data Missing ⚠",VLOOKUP(X147,'G-7 WaterC'' Data'!$AD$4:$AE$14,2,FALSE)))))</f>
        <v/>
      </c>
      <c r="Z147" s="317" t="str">
        <f t="shared" si="16"/>
        <v/>
      </c>
      <c r="AA147" s="101"/>
      <c r="AB147" s="115"/>
      <c r="AC147" s="104"/>
      <c r="AH147" s="30" t="str">
        <f>IFERROR(INDEX('G-7 WaterC'' Data'!$AZ$3:$AZ$7,MATCH(C147,'G-7 WaterC'' Data'!$AY$3:$AY$7,0)),"")</f>
        <v/>
      </c>
      <c r="AK147" s="30" t="str">
        <f t="shared" si="17"/>
        <v>No</v>
      </c>
    </row>
    <row r="148" spans="2:37" ht="14">
      <c r="B148" s="97">
        <v>137</v>
      </c>
      <c r="C148" s="920"/>
      <c r="D148" s="115"/>
      <c r="E148" s="275" t="str">
        <f>IF(C148="","",VLOOKUP(C148,'G-7 WaterC'' Data'!$B$2:$G$8,2,FALSE))</f>
        <v/>
      </c>
      <c r="F148" s="276" t="str">
        <f>IFERROR(VLOOKUP(E148,'G-7 WaterC'' Data'!$C$4:$D$8,2,FALSE),"")</f>
        <v/>
      </c>
      <c r="G148" s="101"/>
      <c r="H148" s="276" t="str">
        <f>IFERROR(INDEX('G-7 WaterC'' Data'!$H$4:$L$8,MATCH(C148,'G-7 WaterC'' Data'!$B$4:$B$8,0),MATCH(G148,'G-7 WaterC'' Data'!$H$3:$L$3,0)),"")</f>
        <v/>
      </c>
      <c r="I148" s="52"/>
      <c r="J148" s="283" t="str">
        <f>IF(I148="","",IF(VLOOKUP(I148,'G-7 WaterC'' Data'!$AK$4:$AM$6,2,FALSE)=0,"Spatial Data Missing ⚠",VLOOKUP(I148,'G-7 WaterC'' Data'!$AK$4:$AM$6,2,FALSE)))</f>
        <v/>
      </c>
      <c r="K148" s="276" t="str">
        <f>IF(I148="","",IF(VLOOKUP(I148,'G-7 WaterC'' Data'!$AK$4:$AM$6,3,FALSE)=0,"Spatial Data Missing ⚠",VLOOKUP(I148,'G-7 WaterC'' Data'!$AK$4:$AM$6,3,FALSE)))</f>
        <v/>
      </c>
      <c r="L148" s="275" t="str">
        <f>IFERROR(INDEX('G-7 WaterC'' Data'!$O$3:$O$7,MATCH(G148,'G-7 WaterC'' Data'!$N$3:$N$7,0)),"")</f>
        <v/>
      </c>
      <c r="M148" s="58"/>
      <c r="N148" s="133"/>
      <c r="O148" s="283" t="str">
        <f t="shared" si="12"/>
        <v/>
      </c>
      <c r="P148" s="296" t="str">
        <f t="shared" si="13"/>
        <v/>
      </c>
      <c r="Q148" s="334" t="str">
        <f>IFERROR(IF(P148="Check Data ⚠","Check Data ⚠",VLOOKUP(P148,'G-4 Temporal multipliers'!$A$4:$C$37,3,FALSE)),"")</f>
        <v/>
      </c>
      <c r="R148" s="275" t="str">
        <f>IF(C148="","",VLOOKUP(C148,'G-7 WaterC'' Data'!$B$4:$G$8,4,FALSE))</f>
        <v/>
      </c>
      <c r="S148" s="283" t="str">
        <f t="shared" si="14"/>
        <v/>
      </c>
      <c r="T148" s="314" t="str">
        <f t="shared" si="15"/>
        <v/>
      </c>
      <c r="U148" s="276" t="str">
        <f>IF(C148="","",VLOOKUP(T148,'G-3 Multipliers'!$P$2:$Q$6,2,FALSE))</f>
        <v/>
      </c>
      <c r="V148" s="102"/>
      <c r="W148" s="276" t="str">
        <f>IF(V148="","",IF(AND(V148="N/A - Culvert",C148&lt;&gt;"Culvert"),"Not possible ▲",IF(AND(C148="Culvert",V148&lt;&gt;"N/A - Culvert"),"Not possible ▲",IF(VLOOKUP(V148,'G-7 WaterC'' Data'!$AA$4:$AB$7,2,FALSE)=0,"Spatial Data Missing ⚠",VLOOKUP(V148,'G-7 WaterC'' Data'!$AA$4:$AB$7,2,FALSE)))))</f>
        <v/>
      </c>
      <c r="X148" s="56"/>
      <c r="Y148" s="276" t="str">
        <f>IF(X148="","",IF(AND(X148="N/A - Culvert",C148&lt;&gt;"Culvert"),"Not possible ▲",IF(AND(C148="Culvert",X148&lt;&gt;"N/A - Culvert"),"Not possible ▲",IF(VLOOKUP(X148,'G-7 WaterC'' Data'!$AD$4:$AE$14,2,FALSE)=0,"Enrcoachment Data Missing ⚠",VLOOKUP(X148,'G-7 WaterC'' Data'!$AD$4:$AE$14,2,FALSE)))))</f>
        <v/>
      </c>
      <c r="Z148" s="317" t="str">
        <f t="shared" si="16"/>
        <v/>
      </c>
      <c r="AA148" s="101"/>
      <c r="AB148" s="115"/>
      <c r="AC148" s="104"/>
      <c r="AH148" s="30" t="str">
        <f>IFERROR(INDEX('G-7 WaterC'' Data'!$AZ$3:$AZ$7,MATCH(C148,'G-7 WaterC'' Data'!$AY$3:$AY$7,0)),"")</f>
        <v/>
      </c>
      <c r="AK148" s="30" t="str">
        <f t="shared" si="17"/>
        <v>No</v>
      </c>
    </row>
    <row r="149" spans="2:37" ht="14">
      <c r="B149" s="97">
        <v>138</v>
      </c>
      <c r="C149" s="920"/>
      <c r="D149" s="115"/>
      <c r="E149" s="275" t="str">
        <f>IF(C149="","",VLOOKUP(C149,'G-7 WaterC'' Data'!$B$2:$G$8,2,FALSE))</f>
        <v/>
      </c>
      <c r="F149" s="276" t="str">
        <f>IFERROR(VLOOKUP(E149,'G-7 WaterC'' Data'!$C$4:$D$8,2,FALSE),"")</f>
        <v/>
      </c>
      <c r="G149" s="101"/>
      <c r="H149" s="276" t="str">
        <f>IFERROR(INDEX('G-7 WaterC'' Data'!$H$4:$L$8,MATCH(C149,'G-7 WaterC'' Data'!$B$4:$B$8,0),MATCH(G149,'G-7 WaterC'' Data'!$H$3:$L$3,0)),"")</f>
        <v/>
      </c>
      <c r="I149" s="52"/>
      <c r="J149" s="283" t="str">
        <f>IF(I149="","",IF(VLOOKUP(I149,'G-7 WaterC'' Data'!$AK$4:$AM$6,2,FALSE)=0,"Spatial Data Missing ⚠",VLOOKUP(I149,'G-7 WaterC'' Data'!$AK$4:$AM$6,2,FALSE)))</f>
        <v/>
      </c>
      <c r="K149" s="276" t="str">
        <f>IF(I149="","",IF(VLOOKUP(I149,'G-7 WaterC'' Data'!$AK$4:$AM$6,3,FALSE)=0,"Spatial Data Missing ⚠",VLOOKUP(I149,'G-7 WaterC'' Data'!$AK$4:$AM$6,3,FALSE)))</f>
        <v/>
      </c>
      <c r="L149" s="275" t="str">
        <f>IFERROR(INDEX('G-7 WaterC'' Data'!$O$3:$O$7,MATCH(G149,'G-7 WaterC'' Data'!$N$3:$N$7,0)),"")</f>
        <v/>
      </c>
      <c r="M149" s="58"/>
      <c r="N149" s="133"/>
      <c r="O149" s="283" t="str">
        <f t="shared" si="12"/>
        <v/>
      </c>
      <c r="P149" s="296" t="str">
        <f t="shared" si="13"/>
        <v/>
      </c>
      <c r="Q149" s="334" t="str">
        <f>IFERROR(IF(P149="Check Data ⚠","Check Data ⚠",VLOOKUP(P149,'G-4 Temporal multipliers'!$A$4:$C$37,3,FALSE)),"")</f>
        <v/>
      </c>
      <c r="R149" s="275" t="str">
        <f>IF(C149="","",VLOOKUP(C149,'G-7 WaterC'' Data'!$B$4:$G$8,4,FALSE))</f>
        <v/>
      </c>
      <c r="S149" s="283" t="str">
        <f t="shared" si="14"/>
        <v/>
      </c>
      <c r="T149" s="314" t="str">
        <f t="shared" si="15"/>
        <v/>
      </c>
      <c r="U149" s="276" t="str">
        <f>IF(C149="","",VLOOKUP(T149,'G-3 Multipliers'!$P$2:$Q$6,2,FALSE))</f>
        <v/>
      </c>
      <c r="V149" s="102"/>
      <c r="W149" s="276" t="str">
        <f>IF(V149="","",IF(AND(V149="N/A - Culvert",C149&lt;&gt;"Culvert"),"Not possible ▲",IF(AND(C149="Culvert",V149&lt;&gt;"N/A - Culvert"),"Not possible ▲",IF(VLOOKUP(V149,'G-7 WaterC'' Data'!$AA$4:$AB$7,2,FALSE)=0,"Spatial Data Missing ⚠",VLOOKUP(V149,'G-7 WaterC'' Data'!$AA$4:$AB$7,2,FALSE)))))</f>
        <v/>
      </c>
      <c r="X149" s="56"/>
      <c r="Y149" s="276" t="str">
        <f>IF(X149="","",IF(AND(X149="N/A - Culvert",C149&lt;&gt;"Culvert"),"Not possible ▲",IF(AND(C149="Culvert",X149&lt;&gt;"N/A - Culvert"),"Not possible ▲",IF(VLOOKUP(X149,'G-7 WaterC'' Data'!$AD$4:$AE$14,2,FALSE)=0,"Enrcoachment Data Missing ⚠",VLOOKUP(X149,'G-7 WaterC'' Data'!$AD$4:$AE$14,2,FALSE)))))</f>
        <v/>
      </c>
      <c r="Z149" s="317" t="str">
        <f t="shared" si="16"/>
        <v/>
      </c>
      <c r="AA149" s="101"/>
      <c r="AB149" s="115"/>
      <c r="AC149" s="104"/>
      <c r="AH149" s="30" t="str">
        <f>IFERROR(INDEX('G-7 WaterC'' Data'!$AZ$3:$AZ$7,MATCH(C149,'G-7 WaterC'' Data'!$AY$3:$AY$7,0)),"")</f>
        <v/>
      </c>
      <c r="AK149" s="30" t="str">
        <f t="shared" si="17"/>
        <v>No</v>
      </c>
    </row>
    <row r="150" spans="2:37" ht="14">
      <c r="B150" s="97">
        <v>139</v>
      </c>
      <c r="C150" s="920"/>
      <c r="D150" s="115"/>
      <c r="E150" s="275" t="str">
        <f>IF(C150="","",VLOOKUP(C150,'G-7 WaterC'' Data'!$B$2:$G$8,2,FALSE))</f>
        <v/>
      </c>
      <c r="F150" s="276" t="str">
        <f>IFERROR(VLOOKUP(E150,'G-7 WaterC'' Data'!$C$4:$D$8,2,FALSE),"")</f>
        <v/>
      </c>
      <c r="G150" s="101"/>
      <c r="H150" s="276" t="str">
        <f>IFERROR(INDEX('G-7 WaterC'' Data'!$H$4:$L$8,MATCH(C150,'G-7 WaterC'' Data'!$B$4:$B$8,0),MATCH(G150,'G-7 WaterC'' Data'!$H$3:$L$3,0)),"")</f>
        <v/>
      </c>
      <c r="I150" s="52"/>
      <c r="J150" s="283" t="str">
        <f>IF(I150="","",IF(VLOOKUP(I150,'G-7 WaterC'' Data'!$AK$4:$AM$6,2,FALSE)=0,"Spatial Data Missing ⚠",VLOOKUP(I150,'G-7 WaterC'' Data'!$AK$4:$AM$6,2,FALSE)))</f>
        <v/>
      </c>
      <c r="K150" s="276" t="str">
        <f>IF(I150="","",IF(VLOOKUP(I150,'G-7 WaterC'' Data'!$AK$4:$AM$6,3,FALSE)=0,"Spatial Data Missing ⚠",VLOOKUP(I150,'G-7 WaterC'' Data'!$AK$4:$AM$6,3,FALSE)))</f>
        <v/>
      </c>
      <c r="L150" s="275" t="str">
        <f>IFERROR(INDEX('G-7 WaterC'' Data'!$O$3:$O$7,MATCH(G150,'G-7 WaterC'' Data'!$N$3:$N$7,0)),"")</f>
        <v/>
      </c>
      <c r="M150" s="58"/>
      <c r="N150" s="133"/>
      <c r="O150" s="283" t="str">
        <f t="shared" si="12"/>
        <v/>
      </c>
      <c r="P150" s="296" t="str">
        <f t="shared" si="13"/>
        <v/>
      </c>
      <c r="Q150" s="334" t="str">
        <f>IFERROR(IF(P150="Check Data ⚠","Check Data ⚠",VLOOKUP(P150,'G-4 Temporal multipliers'!$A$4:$C$37,3,FALSE)),"")</f>
        <v/>
      </c>
      <c r="R150" s="275" t="str">
        <f>IF(C150="","",VLOOKUP(C150,'G-7 WaterC'' Data'!$B$4:$G$8,4,FALSE))</f>
        <v/>
      </c>
      <c r="S150" s="283" t="str">
        <f t="shared" si="14"/>
        <v/>
      </c>
      <c r="T150" s="314" t="str">
        <f t="shared" si="15"/>
        <v/>
      </c>
      <c r="U150" s="276" t="str">
        <f>IF(C150="","",VLOOKUP(T150,'G-3 Multipliers'!$P$2:$Q$6,2,FALSE))</f>
        <v/>
      </c>
      <c r="V150" s="102"/>
      <c r="W150" s="276" t="str">
        <f>IF(V150="","",IF(AND(V150="N/A - Culvert",C150&lt;&gt;"Culvert"),"Not possible ▲",IF(AND(C150="Culvert",V150&lt;&gt;"N/A - Culvert"),"Not possible ▲",IF(VLOOKUP(V150,'G-7 WaterC'' Data'!$AA$4:$AB$7,2,FALSE)=0,"Spatial Data Missing ⚠",VLOOKUP(V150,'G-7 WaterC'' Data'!$AA$4:$AB$7,2,FALSE)))))</f>
        <v/>
      </c>
      <c r="X150" s="56"/>
      <c r="Y150" s="276" t="str">
        <f>IF(X150="","",IF(AND(X150="N/A - Culvert",C150&lt;&gt;"Culvert"),"Not possible ▲",IF(AND(C150="Culvert",X150&lt;&gt;"N/A - Culvert"),"Not possible ▲",IF(VLOOKUP(X150,'G-7 WaterC'' Data'!$AD$4:$AE$14,2,FALSE)=0,"Enrcoachment Data Missing ⚠",VLOOKUP(X150,'G-7 WaterC'' Data'!$AD$4:$AE$14,2,FALSE)))))</f>
        <v/>
      </c>
      <c r="Z150" s="317" t="str">
        <f t="shared" si="16"/>
        <v/>
      </c>
      <c r="AA150" s="101"/>
      <c r="AB150" s="115"/>
      <c r="AC150" s="104"/>
      <c r="AH150" s="30" t="str">
        <f>IFERROR(INDEX('G-7 WaterC'' Data'!$AZ$3:$AZ$7,MATCH(C150,'G-7 WaterC'' Data'!$AY$3:$AY$7,0)),"")</f>
        <v/>
      </c>
      <c r="AK150" s="30" t="str">
        <f t="shared" si="17"/>
        <v>No</v>
      </c>
    </row>
    <row r="151" spans="2:37" ht="14">
      <c r="B151" s="97">
        <v>140</v>
      </c>
      <c r="C151" s="920"/>
      <c r="D151" s="115"/>
      <c r="E151" s="275" t="str">
        <f>IF(C151="","",VLOOKUP(C151,'G-7 WaterC'' Data'!$B$2:$G$8,2,FALSE))</f>
        <v/>
      </c>
      <c r="F151" s="276" t="str">
        <f>IFERROR(VLOOKUP(E151,'G-7 WaterC'' Data'!$C$4:$D$8,2,FALSE),"")</f>
        <v/>
      </c>
      <c r="G151" s="101"/>
      <c r="H151" s="276" t="str">
        <f>IFERROR(INDEX('G-7 WaterC'' Data'!$H$4:$L$8,MATCH(C151,'G-7 WaterC'' Data'!$B$4:$B$8,0),MATCH(G151,'G-7 WaterC'' Data'!$H$3:$L$3,0)),"")</f>
        <v/>
      </c>
      <c r="I151" s="52"/>
      <c r="J151" s="283" t="str">
        <f>IF(I151="","",IF(VLOOKUP(I151,'G-7 WaterC'' Data'!$AK$4:$AM$6,2,FALSE)=0,"Spatial Data Missing ⚠",VLOOKUP(I151,'G-7 WaterC'' Data'!$AK$4:$AM$6,2,FALSE)))</f>
        <v/>
      </c>
      <c r="K151" s="276" t="str">
        <f>IF(I151="","",IF(VLOOKUP(I151,'G-7 WaterC'' Data'!$AK$4:$AM$6,3,FALSE)=0,"Spatial Data Missing ⚠",VLOOKUP(I151,'G-7 WaterC'' Data'!$AK$4:$AM$6,3,FALSE)))</f>
        <v/>
      </c>
      <c r="L151" s="275" t="str">
        <f>IFERROR(INDEX('G-7 WaterC'' Data'!$O$3:$O$7,MATCH(G151,'G-7 WaterC'' Data'!$N$3:$N$7,0)),"")</f>
        <v/>
      </c>
      <c r="M151" s="58"/>
      <c r="N151" s="133"/>
      <c r="O151" s="283" t="str">
        <f t="shared" si="12"/>
        <v/>
      </c>
      <c r="P151" s="296" t="str">
        <f t="shared" si="13"/>
        <v/>
      </c>
      <c r="Q151" s="334" t="str">
        <f>IFERROR(IF(P151="Check Data ⚠","Check Data ⚠",VLOOKUP(P151,'G-4 Temporal multipliers'!$A$4:$C$37,3,FALSE)),"")</f>
        <v/>
      </c>
      <c r="R151" s="275" t="str">
        <f>IF(C151="","",VLOOKUP(C151,'G-7 WaterC'' Data'!$B$4:$G$8,4,FALSE))</f>
        <v/>
      </c>
      <c r="S151" s="283" t="str">
        <f t="shared" si="14"/>
        <v/>
      </c>
      <c r="T151" s="314" t="str">
        <f t="shared" si="15"/>
        <v/>
      </c>
      <c r="U151" s="276" t="str">
        <f>IF(C151="","",VLOOKUP(T151,'G-3 Multipliers'!$P$2:$Q$6,2,FALSE))</f>
        <v/>
      </c>
      <c r="V151" s="102"/>
      <c r="W151" s="276" t="str">
        <f>IF(V151="","",IF(AND(V151="N/A - Culvert",C151&lt;&gt;"Culvert"),"Not possible ▲",IF(AND(C151="Culvert",V151&lt;&gt;"N/A - Culvert"),"Not possible ▲",IF(VLOOKUP(V151,'G-7 WaterC'' Data'!$AA$4:$AB$7,2,FALSE)=0,"Spatial Data Missing ⚠",VLOOKUP(V151,'G-7 WaterC'' Data'!$AA$4:$AB$7,2,FALSE)))))</f>
        <v/>
      </c>
      <c r="X151" s="56"/>
      <c r="Y151" s="276" t="str">
        <f>IF(X151="","",IF(AND(X151="N/A - Culvert",C151&lt;&gt;"Culvert"),"Not possible ▲",IF(AND(C151="Culvert",X151&lt;&gt;"N/A - Culvert"),"Not possible ▲",IF(VLOOKUP(X151,'G-7 WaterC'' Data'!$AD$4:$AE$14,2,FALSE)=0,"Enrcoachment Data Missing ⚠",VLOOKUP(X151,'G-7 WaterC'' Data'!$AD$4:$AE$14,2,FALSE)))))</f>
        <v/>
      </c>
      <c r="Z151" s="317" t="str">
        <f t="shared" si="16"/>
        <v/>
      </c>
      <c r="AA151" s="101"/>
      <c r="AB151" s="115"/>
      <c r="AC151" s="104"/>
      <c r="AH151" s="30" t="str">
        <f>IFERROR(INDEX('G-7 WaterC'' Data'!$AZ$3:$AZ$7,MATCH(C151,'G-7 WaterC'' Data'!$AY$3:$AY$7,0)),"")</f>
        <v/>
      </c>
      <c r="AK151" s="30" t="str">
        <f t="shared" si="17"/>
        <v>No</v>
      </c>
    </row>
    <row r="152" spans="2:37" ht="14">
      <c r="B152" s="97">
        <v>141</v>
      </c>
      <c r="C152" s="920"/>
      <c r="D152" s="115"/>
      <c r="E152" s="275" t="str">
        <f>IF(C152="","",VLOOKUP(C152,'G-7 WaterC'' Data'!$B$2:$G$8,2,FALSE))</f>
        <v/>
      </c>
      <c r="F152" s="276" t="str">
        <f>IFERROR(VLOOKUP(E152,'G-7 WaterC'' Data'!$C$4:$D$8,2,FALSE),"")</f>
        <v/>
      </c>
      <c r="G152" s="101"/>
      <c r="H152" s="276" t="str">
        <f>IFERROR(INDEX('G-7 WaterC'' Data'!$H$4:$L$8,MATCH(C152,'G-7 WaterC'' Data'!$B$4:$B$8,0),MATCH(G152,'G-7 WaterC'' Data'!$H$3:$L$3,0)),"")</f>
        <v/>
      </c>
      <c r="I152" s="52"/>
      <c r="J152" s="283" t="str">
        <f>IF(I152="","",IF(VLOOKUP(I152,'G-7 WaterC'' Data'!$AK$4:$AM$6,2,FALSE)=0,"Spatial Data Missing ⚠",VLOOKUP(I152,'G-7 WaterC'' Data'!$AK$4:$AM$6,2,FALSE)))</f>
        <v/>
      </c>
      <c r="K152" s="276" t="str">
        <f>IF(I152="","",IF(VLOOKUP(I152,'G-7 WaterC'' Data'!$AK$4:$AM$6,3,FALSE)=0,"Spatial Data Missing ⚠",VLOOKUP(I152,'G-7 WaterC'' Data'!$AK$4:$AM$6,3,FALSE)))</f>
        <v/>
      </c>
      <c r="L152" s="275" t="str">
        <f>IFERROR(INDEX('G-7 WaterC'' Data'!$O$3:$O$7,MATCH(G152,'G-7 WaterC'' Data'!$N$3:$N$7,0)),"")</f>
        <v/>
      </c>
      <c r="M152" s="58"/>
      <c r="N152" s="133"/>
      <c r="O152" s="283" t="str">
        <f t="shared" si="12"/>
        <v/>
      </c>
      <c r="P152" s="296" t="str">
        <f t="shared" si="13"/>
        <v/>
      </c>
      <c r="Q152" s="334" t="str">
        <f>IFERROR(IF(P152="Check Data ⚠","Check Data ⚠",VLOOKUP(P152,'G-4 Temporal multipliers'!$A$4:$C$37,3,FALSE)),"")</f>
        <v/>
      </c>
      <c r="R152" s="275" t="str">
        <f>IF(C152="","",VLOOKUP(C152,'G-7 WaterC'' Data'!$B$4:$G$8,4,FALSE))</f>
        <v/>
      </c>
      <c r="S152" s="283" t="str">
        <f t="shared" si="14"/>
        <v/>
      </c>
      <c r="T152" s="314" t="str">
        <f t="shared" si="15"/>
        <v/>
      </c>
      <c r="U152" s="276" t="str">
        <f>IF(C152="","",VLOOKUP(T152,'G-3 Multipliers'!$P$2:$Q$6,2,FALSE))</f>
        <v/>
      </c>
      <c r="V152" s="102"/>
      <c r="W152" s="276" t="str">
        <f>IF(V152="","",IF(AND(V152="N/A - Culvert",C152&lt;&gt;"Culvert"),"Not possible ▲",IF(AND(C152="Culvert",V152&lt;&gt;"N/A - Culvert"),"Not possible ▲",IF(VLOOKUP(V152,'G-7 WaterC'' Data'!$AA$4:$AB$7,2,FALSE)=0,"Spatial Data Missing ⚠",VLOOKUP(V152,'G-7 WaterC'' Data'!$AA$4:$AB$7,2,FALSE)))))</f>
        <v/>
      </c>
      <c r="X152" s="56"/>
      <c r="Y152" s="276" t="str">
        <f>IF(X152="","",IF(AND(X152="N/A - Culvert",C152&lt;&gt;"Culvert"),"Not possible ▲",IF(AND(C152="Culvert",X152&lt;&gt;"N/A - Culvert"),"Not possible ▲",IF(VLOOKUP(X152,'G-7 WaterC'' Data'!$AD$4:$AE$14,2,FALSE)=0,"Enrcoachment Data Missing ⚠",VLOOKUP(X152,'G-7 WaterC'' Data'!$AD$4:$AE$14,2,FALSE)))))</f>
        <v/>
      </c>
      <c r="Z152" s="317" t="str">
        <f t="shared" si="16"/>
        <v/>
      </c>
      <c r="AA152" s="101"/>
      <c r="AB152" s="115"/>
      <c r="AC152" s="104"/>
      <c r="AH152" s="30" t="str">
        <f>IFERROR(INDEX('G-7 WaterC'' Data'!$AZ$3:$AZ$7,MATCH(C152,'G-7 WaterC'' Data'!$AY$3:$AY$7,0)),"")</f>
        <v/>
      </c>
      <c r="AK152" s="30" t="str">
        <f t="shared" si="17"/>
        <v>No</v>
      </c>
    </row>
    <row r="153" spans="2:37" ht="14">
      <c r="B153" s="97">
        <v>142</v>
      </c>
      <c r="C153" s="920"/>
      <c r="D153" s="115"/>
      <c r="E153" s="275" t="str">
        <f>IF(C153="","",VLOOKUP(C153,'G-7 WaterC'' Data'!$B$2:$G$8,2,FALSE))</f>
        <v/>
      </c>
      <c r="F153" s="276" t="str">
        <f>IFERROR(VLOOKUP(E153,'G-7 WaterC'' Data'!$C$4:$D$8,2,FALSE),"")</f>
        <v/>
      </c>
      <c r="G153" s="101"/>
      <c r="H153" s="276" t="str">
        <f>IFERROR(INDEX('G-7 WaterC'' Data'!$H$4:$L$8,MATCH(C153,'G-7 WaterC'' Data'!$B$4:$B$8,0),MATCH(G153,'G-7 WaterC'' Data'!$H$3:$L$3,0)),"")</f>
        <v/>
      </c>
      <c r="I153" s="52"/>
      <c r="J153" s="283" t="str">
        <f>IF(I153="","",IF(VLOOKUP(I153,'G-7 WaterC'' Data'!$AK$4:$AM$6,2,FALSE)=0,"Spatial Data Missing ⚠",VLOOKUP(I153,'G-7 WaterC'' Data'!$AK$4:$AM$6,2,FALSE)))</f>
        <v/>
      </c>
      <c r="K153" s="276" t="str">
        <f>IF(I153="","",IF(VLOOKUP(I153,'G-7 WaterC'' Data'!$AK$4:$AM$6,3,FALSE)=0,"Spatial Data Missing ⚠",VLOOKUP(I153,'G-7 WaterC'' Data'!$AK$4:$AM$6,3,FALSE)))</f>
        <v/>
      </c>
      <c r="L153" s="275" t="str">
        <f>IFERROR(INDEX('G-7 WaterC'' Data'!$O$3:$O$7,MATCH(G153,'G-7 WaterC'' Data'!$N$3:$N$7,0)),"")</f>
        <v/>
      </c>
      <c r="M153" s="58"/>
      <c r="N153" s="133"/>
      <c r="O153" s="283" t="str">
        <f t="shared" si="12"/>
        <v/>
      </c>
      <c r="P153" s="296" t="str">
        <f t="shared" si="13"/>
        <v/>
      </c>
      <c r="Q153" s="334" t="str">
        <f>IFERROR(IF(P153="Check Data ⚠","Check Data ⚠",VLOOKUP(P153,'G-4 Temporal multipliers'!$A$4:$C$37,3,FALSE)),"")</f>
        <v/>
      </c>
      <c r="R153" s="275" t="str">
        <f>IF(C153="","",VLOOKUP(C153,'G-7 WaterC'' Data'!$B$4:$G$8,4,FALSE))</f>
        <v/>
      </c>
      <c r="S153" s="283" t="str">
        <f t="shared" si="14"/>
        <v/>
      </c>
      <c r="T153" s="314" t="str">
        <f t="shared" si="15"/>
        <v/>
      </c>
      <c r="U153" s="276" t="str">
        <f>IF(C153="","",VLOOKUP(T153,'G-3 Multipliers'!$P$2:$Q$6,2,FALSE))</f>
        <v/>
      </c>
      <c r="V153" s="102"/>
      <c r="W153" s="276" t="str">
        <f>IF(V153="","",IF(AND(V153="N/A - Culvert",C153&lt;&gt;"Culvert"),"Not possible ▲",IF(AND(C153="Culvert",V153&lt;&gt;"N/A - Culvert"),"Not possible ▲",IF(VLOOKUP(V153,'G-7 WaterC'' Data'!$AA$4:$AB$7,2,FALSE)=0,"Spatial Data Missing ⚠",VLOOKUP(V153,'G-7 WaterC'' Data'!$AA$4:$AB$7,2,FALSE)))))</f>
        <v/>
      </c>
      <c r="X153" s="56"/>
      <c r="Y153" s="276" t="str">
        <f>IF(X153="","",IF(AND(X153="N/A - Culvert",C153&lt;&gt;"Culvert"),"Not possible ▲",IF(AND(C153="Culvert",X153&lt;&gt;"N/A - Culvert"),"Not possible ▲",IF(VLOOKUP(X153,'G-7 WaterC'' Data'!$AD$4:$AE$14,2,FALSE)=0,"Enrcoachment Data Missing ⚠",VLOOKUP(X153,'G-7 WaterC'' Data'!$AD$4:$AE$14,2,FALSE)))))</f>
        <v/>
      </c>
      <c r="Z153" s="317" t="str">
        <f t="shared" si="16"/>
        <v/>
      </c>
      <c r="AA153" s="101"/>
      <c r="AB153" s="115"/>
      <c r="AC153" s="104"/>
      <c r="AH153" s="30" t="str">
        <f>IFERROR(INDEX('G-7 WaterC'' Data'!$AZ$3:$AZ$7,MATCH(C153,'G-7 WaterC'' Data'!$AY$3:$AY$7,0)),"")</f>
        <v/>
      </c>
      <c r="AK153" s="30" t="str">
        <f t="shared" si="17"/>
        <v>No</v>
      </c>
    </row>
    <row r="154" spans="2:37" ht="14">
      <c r="B154" s="97">
        <v>143</v>
      </c>
      <c r="C154" s="920"/>
      <c r="D154" s="115"/>
      <c r="E154" s="275" t="str">
        <f>IF(C154="","",VLOOKUP(C154,'G-7 WaterC'' Data'!$B$2:$G$8,2,FALSE))</f>
        <v/>
      </c>
      <c r="F154" s="276" t="str">
        <f>IFERROR(VLOOKUP(E154,'G-7 WaterC'' Data'!$C$4:$D$8,2,FALSE),"")</f>
        <v/>
      </c>
      <c r="G154" s="101"/>
      <c r="H154" s="276" t="str">
        <f>IFERROR(INDEX('G-7 WaterC'' Data'!$H$4:$L$8,MATCH(C154,'G-7 WaterC'' Data'!$B$4:$B$8,0),MATCH(G154,'G-7 WaterC'' Data'!$H$3:$L$3,0)),"")</f>
        <v/>
      </c>
      <c r="I154" s="52"/>
      <c r="J154" s="283" t="str">
        <f>IF(I154="","",IF(VLOOKUP(I154,'G-7 WaterC'' Data'!$AK$4:$AM$6,2,FALSE)=0,"Spatial Data Missing ⚠",VLOOKUP(I154,'G-7 WaterC'' Data'!$AK$4:$AM$6,2,FALSE)))</f>
        <v/>
      </c>
      <c r="K154" s="276" t="str">
        <f>IF(I154="","",IF(VLOOKUP(I154,'G-7 WaterC'' Data'!$AK$4:$AM$6,3,FALSE)=0,"Spatial Data Missing ⚠",VLOOKUP(I154,'G-7 WaterC'' Data'!$AK$4:$AM$6,3,FALSE)))</f>
        <v/>
      </c>
      <c r="L154" s="275" t="str">
        <f>IFERROR(INDEX('G-7 WaterC'' Data'!$O$3:$O$7,MATCH(G154,'G-7 WaterC'' Data'!$N$3:$N$7,0)),"")</f>
        <v/>
      </c>
      <c r="M154" s="58"/>
      <c r="N154" s="133"/>
      <c r="O154" s="283" t="str">
        <f t="shared" si="12"/>
        <v/>
      </c>
      <c r="P154" s="296" t="str">
        <f t="shared" si="13"/>
        <v/>
      </c>
      <c r="Q154" s="334" t="str">
        <f>IFERROR(IF(P154="Check Data ⚠","Check Data ⚠",VLOOKUP(P154,'G-4 Temporal multipliers'!$A$4:$C$37,3,FALSE)),"")</f>
        <v/>
      </c>
      <c r="R154" s="275" t="str">
        <f>IF(C154="","",VLOOKUP(C154,'G-7 WaterC'' Data'!$B$4:$G$8,4,FALSE))</f>
        <v/>
      </c>
      <c r="S154" s="283" t="str">
        <f t="shared" si="14"/>
        <v/>
      </c>
      <c r="T154" s="314" t="str">
        <f t="shared" si="15"/>
        <v/>
      </c>
      <c r="U154" s="276" t="str">
        <f>IF(C154="","",VLOOKUP(T154,'G-3 Multipliers'!$P$2:$Q$6,2,FALSE))</f>
        <v/>
      </c>
      <c r="V154" s="102"/>
      <c r="W154" s="276" t="str">
        <f>IF(V154="","",IF(AND(V154="N/A - Culvert",C154&lt;&gt;"Culvert"),"Not possible ▲",IF(AND(C154="Culvert",V154&lt;&gt;"N/A - Culvert"),"Not possible ▲",IF(VLOOKUP(V154,'G-7 WaterC'' Data'!$AA$4:$AB$7,2,FALSE)=0,"Spatial Data Missing ⚠",VLOOKUP(V154,'G-7 WaterC'' Data'!$AA$4:$AB$7,2,FALSE)))))</f>
        <v/>
      </c>
      <c r="X154" s="56"/>
      <c r="Y154" s="276" t="str">
        <f>IF(X154="","",IF(AND(X154="N/A - Culvert",C154&lt;&gt;"Culvert"),"Not possible ▲",IF(AND(C154="Culvert",X154&lt;&gt;"N/A - Culvert"),"Not possible ▲",IF(VLOOKUP(X154,'G-7 WaterC'' Data'!$AD$4:$AE$14,2,FALSE)=0,"Enrcoachment Data Missing ⚠",VLOOKUP(X154,'G-7 WaterC'' Data'!$AD$4:$AE$14,2,FALSE)))))</f>
        <v/>
      </c>
      <c r="Z154" s="317" t="str">
        <f t="shared" si="16"/>
        <v/>
      </c>
      <c r="AA154" s="101"/>
      <c r="AB154" s="115"/>
      <c r="AC154" s="104"/>
      <c r="AH154" s="30" t="str">
        <f>IFERROR(INDEX('G-7 WaterC'' Data'!$AZ$3:$AZ$7,MATCH(C154,'G-7 WaterC'' Data'!$AY$3:$AY$7,0)),"")</f>
        <v/>
      </c>
      <c r="AK154" s="30" t="str">
        <f t="shared" si="17"/>
        <v>No</v>
      </c>
    </row>
    <row r="155" spans="2:37" ht="14">
      <c r="B155" s="97">
        <v>144</v>
      </c>
      <c r="C155" s="920"/>
      <c r="D155" s="115"/>
      <c r="E155" s="275" t="str">
        <f>IF(C155="","",VLOOKUP(C155,'G-7 WaterC'' Data'!$B$2:$G$8,2,FALSE))</f>
        <v/>
      </c>
      <c r="F155" s="276" t="str">
        <f>IFERROR(VLOOKUP(E155,'G-7 WaterC'' Data'!$C$4:$D$8,2,FALSE),"")</f>
        <v/>
      </c>
      <c r="G155" s="101"/>
      <c r="H155" s="276" t="str">
        <f>IFERROR(INDEX('G-7 WaterC'' Data'!$H$4:$L$8,MATCH(C155,'G-7 WaterC'' Data'!$B$4:$B$8,0),MATCH(G155,'G-7 WaterC'' Data'!$H$3:$L$3,0)),"")</f>
        <v/>
      </c>
      <c r="I155" s="52"/>
      <c r="J155" s="283" t="str">
        <f>IF(I155="","",IF(VLOOKUP(I155,'G-7 WaterC'' Data'!$AK$4:$AM$6,2,FALSE)=0,"Spatial Data Missing ⚠",VLOOKUP(I155,'G-7 WaterC'' Data'!$AK$4:$AM$6,2,FALSE)))</f>
        <v/>
      </c>
      <c r="K155" s="276" t="str">
        <f>IF(I155="","",IF(VLOOKUP(I155,'G-7 WaterC'' Data'!$AK$4:$AM$6,3,FALSE)=0,"Spatial Data Missing ⚠",VLOOKUP(I155,'G-7 WaterC'' Data'!$AK$4:$AM$6,3,FALSE)))</f>
        <v/>
      </c>
      <c r="L155" s="275" t="str">
        <f>IFERROR(INDEX('G-7 WaterC'' Data'!$O$3:$O$7,MATCH(G155,'G-7 WaterC'' Data'!$N$3:$N$7,0)),"")</f>
        <v/>
      </c>
      <c r="M155" s="58"/>
      <c r="N155" s="133"/>
      <c r="O155" s="283" t="str">
        <f t="shared" si="12"/>
        <v/>
      </c>
      <c r="P155" s="296" t="str">
        <f t="shared" si="13"/>
        <v/>
      </c>
      <c r="Q155" s="334" t="str">
        <f>IFERROR(IF(P155="Check Data ⚠","Check Data ⚠",VLOOKUP(P155,'G-4 Temporal multipliers'!$A$4:$C$37,3,FALSE)),"")</f>
        <v/>
      </c>
      <c r="R155" s="275" t="str">
        <f>IF(C155="","",VLOOKUP(C155,'G-7 WaterC'' Data'!$B$4:$G$8,4,FALSE))</f>
        <v/>
      </c>
      <c r="S155" s="283" t="str">
        <f t="shared" si="14"/>
        <v/>
      </c>
      <c r="T155" s="314" t="str">
        <f t="shared" si="15"/>
        <v/>
      </c>
      <c r="U155" s="276" t="str">
        <f>IF(C155="","",VLOOKUP(T155,'G-3 Multipliers'!$P$2:$Q$6,2,FALSE))</f>
        <v/>
      </c>
      <c r="V155" s="102"/>
      <c r="W155" s="276" t="str">
        <f>IF(V155="","",IF(AND(V155="N/A - Culvert",C155&lt;&gt;"Culvert"),"Not possible ▲",IF(AND(C155="Culvert",V155&lt;&gt;"N/A - Culvert"),"Not possible ▲",IF(VLOOKUP(V155,'G-7 WaterC'' Data'!$AA$4:$AB$7,2,FALSE)=0,"Spatial Data Missing ⚠",VLOOKUP(V155,'G-7 WaterC'' Data'!$AA$4:$AB$7,2,FALSE)))))</f>
        <v/>
      </c>
      <c r="X155" s="56"/>
      <c r="Y155" s="276" t="str">
        <f>IF(X155="","",IF(AND(X155="N/A - Culvert",C155&lt;&gt;"Culvert"),"Not possible ▲",IF(AND(C155="Culvert",X155&lt;&gt;"N/A - Culvert"),"Not possible ▲",IF(VLOOKUP(X155,'G-7 WaterC'' Data'!$AD$4:$AE$14,2,FALSE)=0,"Enrcoachment Data Missing ⚠",VLOOKUP(X155,'G-7 WaterC'' Data'!$AD$4:$AE$14,2,FALSE)))))</f>
        <v/>
      </c>
      <c r="Z155" s="317" t="str">
        <f t="shared" si="16"/>
        <v/>
      </c>
      <c r="AA155" s="101"/>
      <c r="AB155" s="115"/>
      <c r="AC155" s="104"/>
      <c r="AH155" s="30" t="str">
        <f>IFERROR(INDEX('G-7 WaterC'' Data'!$AZ$3:$AZ$7,MATCH(C155,'G-7 WaterC'' Data'!$AY$3:$AY$7,0)),"")</f>
        <v/>
      </c>
      <c r="AK155" s="30" t="str">
        <f t="shared" si="17"/>
        <v>No</v>
      </c>
    </row>
    <row r="156" spans="2:37" ht="14">
      <c r="B156" s="97">
        <v>145</v>
      </c>
      <c r="C156" s="920"/>
      <c r="D156" s="115"/>
      <c r="E156" s="275" t="str">
        <f>IF(C156="","",VLOOKUP(C156,'G-7 WaterC'' Data'!$B$2:$G$8,2,FALSE))</f>
        <v/>
      </c>
      <c r="F156" s="276" t="str">
        <f>IFERROR(VLOOKUP(E156,'G-7 WaterC'' Data'!$C$4:$D$8,2,FALSE),"")</f>
        <v/>
      </c>
      <c r="G156" s="101"/>
      <c r="H156" s="276" t="str">
        <f>IFERROR(INDEX('G-7 WaterC'' Data'!$H$4:$L$8,MATCH(C156,'G-7 WaterC'' Data'!$B$4:$B$8,0),MATCH(G156,'G-7 WaterC'' Data'!$H$3:$L$3,0)),"")</f>
        <v/>
      </c>
      <c r="I156" s="52"/>
      <c r="J156" s="283" t="str">
        <f>IF(I156="","",IF(VLOOKUP(I156,'G-7 WaterC'' Data'!$AK$4:$AM$6,2,FALSE)=0,"Spatial Data Missing ⚠",VLOOKUP(I156,'G-7 WaterC'' Data'!$AK$4:$AM$6,2,FALSE)))</f>
        <v/>
      </c>
      <c r="K156" s="276" t="str">
        <f>IF(I156="","",IF(VLOOKUP(I156,'G-7 WaterC'' Data'!$AK$4:$AM$6,3,FALSE)=0,"Spatial Data Missing ⚠",VLOOKUP(I156,'G-7 WaterC'' Data'!$AK$4:$AM$6,3,FALSE)))</f>
        <v/>
      </c>
      <c r="L156" s="275" t="str">
        <f>IFERROR(INDEX('G-7 WaterC'' Data'!$O$3:$O$7,MATCH(G156,'G-7 WaterC'' Data'!$N$3:$N$7,0)),"")</f>
        <v/>
      </c>
      <c r="M156" s="58"/>
      <c r="N156" s="133"/>
      <c r="O156" s="283" t="str">
        <f t="shared" si="12"/>
        <v/>
      </c>
      <c r="P156" s="296" t="str">
        <f t="shared" si="13"/>
        <v/>
      </c>
      <c r="Q156" s="334" t="str">
        <f>IFERROR(IF(P156="Check Data ⚠","Check Data ⚠",VLOOKUP(P156,'G-4 Temporal multipliers'!$A$4:$C$37,3,FALSE)),"")</f>
        <v/>
      </c>
      <c r="R156" s="275" t="str">
        <f>IF(C156="","",VLOOKUP(C156,'G-7 WaterC'' Data'!$B$4:$G$8,4,FALSE))</f>
        <v/>
      </c>
      <c r="S156" s="283" t="str">
        <f t="shared" si="14"/>
        <v/>
      </c>
      <c r="T156" s="314" t="str">
        <f t="shared" si="15"/>
        <v/>
      </c>
      <c r="U156" s="276" t="str">
        <f>IF(C156="","",VLOOKUP(T156,'G-3 Multipliers'!$P$2:$Q$6,2,FALSE))</f>
        <v/>
      </c>
      <c r="V156" s="102"/>
      <c r="W156" s="276" t="str">
        <f>IF(V156="","",IF(AND(V156="N/A - Culvert",C156&lt;&gt;"Culvert"),"Not possible ▲",IF(AND(C156="Culvert",V156&lt;&gt;"N/A - Culvert"),"Not possible ▲",IF(VLOOKUP(V156,'G-7 WaterC'' Data'!$AA$4:$AB$7,2,FALSE)=0,"Spatial Data Missing ⚠",VLOOKUP(V156,'G-7 WaterC'' Data'!$AA$4:$AB$7,2,FALSE)))))</f>
        <v/>
      </c>
      <c r="X156" s="56"/>
      <c r="Y156" s="276" t="str">
        <f>IF(X156="","",IF(AND(X156="N/A - Culvert",C156&lt;&gt;"Culvert"),"Not possible ▲",IF(AND(C156="Culvert",X156&lt;&gt;"N/A - Culvert"),"Not possible ▲",IF(VLOOKUP(X156,'G-7 WaterC'' Data'!$AD$4:$AE$14,2,FALSE)=0,"Enrcoachment Data Missing ⚠",VLOOKUP(X156,'G-7 WaterC'' Data'!$AD$4:$AE$14,2,FALSE)))))</f>
        <v/>
      </c>
      <c r="Z156" s="317" t="str">
        <f t="shared" si="16"/>
        <v/>
      </c>
      <c r="AA156" s="101"/>
      <c r="AB156" s="115"/>
      <c r="AC156" s="104"/>
      <c r="AH156" s="30" t="str">
        <f>IFERROR(INDEX('G-7 WaterC'' Data'!$AZ$3:$AZ$7,MATCH(C156,'G-7 WaterC'' Data'!$AY$3:$AY$7,0)),"")</f>
        <v/>
      </c>
      <c r="AK156" s="30" t="str">
        <f t="shared" si="17"/>
        <v>No</v>
      </c>
    </row>
    <row r="157" spans="2:37" ht="14">
      <c r="B157" s="97">
        <v>146</v>
      </c>
      <c r="C157" s="920"/>
      <c r="D157" s="115"/>
      <c r="E157" s="275" t="str">
        <f>IF(C157="","",VLOOKUP(C157,'G-7 WaterC'' Data'!$B$2:$G$8,2,FALSE))</f>
        <v/>
      </c>
      <c r="F157" s="276" t="str">
        <f>IFERROR(VLOOKUP(E157,'G-7 WaterC'' Data'!$C$4:$D$8,2,FALSE),"")</f>
        <v/>
      </c>
      <c r="G157" s="101"/>
      <c r="H157" s="276" t="str">
        <f>IFERROR(INDEX('G-7 WaterC'' Data'!$H$4:$L$8,MATCH(C157,'G-7 WaterC'' Data'!$B$4:$B$8,0),MATCH(G157,'G-7 WaterC'' Data'!$H$3:$L$3,0)),"")</f>
        <v/>
      </c>
      <c r="I157" s="52"/>
      <c r="J157" s="283" t="str">
        <f>IF(I157="","",IF(VLOOKUP(I157,'G-7 WaterC'' Data'!$AK$4:$AM$6,2,FALSE)=0,"Spatial Data Missing ⚠",VLOOKUP(I157,'G-7 WaterC'' Data'!$AK$4:$AM$6,2,FALSE)))</f>
        <v/>
      </c>
      <c r="K157" s="276" t="str">
        <f>IF(I157="","",IF(VLOOKUP(I157,'G-7 WaterC'' Data'!$AK$4:$AM$6,3,FALSE)=0,"Spatial Data Missing ⚠",VLOOKUP(I157,'G-7 WaterC'' Data'!$AK$4:$AM$6,3,FALSE)))</f>
        <v/>
      </c>
      <c r="L157" s="275" t="str">
        <f>IFERROR(INDEX('G-7 WaterC'' Data'!$O$3:$O$7,MATCH(G157,'G-7 WaterC'' Data'!$N$3:$N$7,0)),"")</f>
        <v/>
      </c>
      <c r="M157" s="58"/>
      <c r="N157" s="133"/>
      <c r="O157" s="283" t="str">
        <f t="shared" si="12"/>
        <v/>
      </c>
      <c r="P157" s="296" t="str">
        <f t="shared" si="13"/>
        <v/>
      </c>
      <c r="Q157" s="334" t="str">
        <f>IFERROR(IF(P157="Check Data ⚠","Check Data ⚠",VLOOKUP(P157,'G-4 Temporal multipliers'!$A$4:$C$37,3,FALSE)),"")</f>
        <v/>
      </c>
      <c r="R157" s="275" t="str">
        <f>IF(C157="","",VLOOKUP(C157,'G-7 WaterC'' Data'!$B$4:$G$8,4,FALSE))</f>
        <v/>
      </c>
      <c r="S157" s="283" t="str">
        <f t="shared" si="14"/>
        <v/>
      </c>
      <c r="T157" s="314" t="str">
        <f t="shared" si="15"/>
        <v/>
      </c>
      <c r="U157" s="276" t="str">
        <f>IF(C157="","",VLOOKUP(T157,'G-3 Multipliers'!$P$2:$Q$6,2,FALSE))</f>
        <v/>
      </c>
      <c r="V157" s="102"/>
      <c r="W157" s="276" t="str">
        <f>IF(V157="","",IF(AND(V157="N/A - Culvert",C157&lt;&gt;"Culvert"),"Not possible ▲",IF(AND(C157="Culvert",V157&lt;&gt;"N/A - Culvert"),"Not possible ▲",IF(VLOOKUP(V157,'G-7 WaterC'' Data'!$AA$4:$AB$7,2,FALSE)=0,"Spatial Data Missing ⚠",VLOOKUP(V157,'G-7 WaterC'' Data'!$AA$4:$AB$7,2,FALSE)))))</f>
        <v/>
      </c>
      <c r="X157" s="56"/>
      <c r="Y157" s="276" t="str">
        <f>IF(X157="","",IF(AND(X157="N/A - Culvert",C157&lt;&gt;"Culvert"),"Not possible ▲",IF(AND(C157="Culvert",X157&lt;&gt;"N/A - Culvert"),"Not possible ▲",IF(VLOOKUP(X157,'G-7 WaterC'' Data'!$AD$4:$AE$14,2,FALSE)=0,"Enrcoachment Data Missing ⚠",VLOOKUP(X157,'G-7 WaterC'' Data'!$AD$4:$AE$14,2,FALSE)))))</f>
        <v/>
      </c>
      <c r="Z157" s="317" t="str">
        <f t="shared" si="16"/>
        <v/>
      </c>
      <c r="AA157" s="101"/>
      <c r="AB157" s="115"/>
      <c r="AC157" s="104"/>
      <c r="AH157" s="30" t="str">
        <f>IFERROR(INDEX('G-7 WaterC'' Data'!$AZ$3:$AZ$7,MATCH(C157,'G-7 WaterC'' Data'!$AY$3:$AY$7,0)),"")</f>
        <v/>
      </c>
      <c r="AK157" s="30" t="str">
        <f t="shared" si="17"/>
        <v>No</v>
      </c>
    </row>
    <row r="158" spans="2:37" ht="14">
      <c r="B158" s="97">
        <v>147</v>
      </c>
      <c r="C158" s="920"/>
      <c r="D158" s="115"/>
      <c r="E158" s="275" t="str">
        <f>IF(C158="","",VLOOKUP(C158,'G-7 WaterC'' Data'!$B$2:$G$8,2,FALSE))</f>
        <v/>
      </c>
      <c r="F158" s="276" t="str">
        <f>IFERROR(VLOOKUP(E158,'G-7 WaterC'' Data'!$C$4:$D$8,2,FALSE),"")</f>
        <v/>
      </c>
      <c r="G158" s="101"/>
      <c r="H158" s="276" t="str">
        <f>IFERROR(INDEX('G-7 WaterC'' Data'!$H$4:$L$8,MATCH(C158,'G-7 WaterC'' Data'!$B$4:$B$8,0),MATCH(G158,'G-7 WaterC'' Data'!$H$3:$L$3,0)),"")</f>
        <v/>
      </c>
      <c r="I158" s="52"/>
      <c r="J158" s="283" t="str">
        <f>IF(I158="","",IF(VLOOKUP(I158,'G-7 WaterC'' Data'!$AK$4:$AM$6,2,FALSE)=0,"Spatial Data Missing ⚠",VLOOKUP(I158,'G-7 WaterC'' Data'!$AK$4:$AM$6,2,FALSE)))</f>
        <v/>
      </c>
      <c r="K158" s="276" t="str">
        <f>IF(I158="","",IF(VLOOKUP(I158,'G-7 WaterC'' Data'!$AK$4:$AM$6,3,FALSE)=0,"Spatial Data Missing ⚠",VLOOKUP(I158,'G-7 WaterC'' Data'!$AK$4:$AM$6,3,FALSE)))</f>
        <v/>
      </c>
      <c r="L158" s="275" t="str">
        <f>IFERROR(INDEX('G-7 WaterC'' Data'!$O$3:$O$7,MATCH(G158,'G-7 WaterC'' Data'!$N$3:$N$7,0)),"")</f>
        <v/>
      </c>
      <c r="M158" s="58"/>
      <c r="N158" s="133"/>
      <c r="O158" s="283" t="str">
        <f t="shared" si="12"/>
        <v/>
      </c>
      <c r="P158" s="296" t="str">
        <f t="shared" si="13"/>
        <v/>
      </c>
      <c r="Q158" s="334" t="str">
        <f>IFERROR(IF(P158="Check Data ⚠","Check Data ⚠",VLOOKUP(P158,'G-4 Temporal multipliers'!$A$4:$C$37,3,FALSE)),"")</f>
        <v/>
      </c>
      <c r="R158" s="275" t="str">
        <f>IF(C158="","",VLOOKUP(C158,'G-7 WaterC'' Data'!$B$4:$G$8,4,FALSE))</f>
        <v/>
      </c>
      <c r="S158" s="283" t="str">
        <f t="shared" si="14"/>
        <v/>
      </c>
      <c r="T158" s="314" t="str">
        <f t="shared" si="15"/>
        <v/>
      </c>
      <c r="U158" s="276" t="str">
        <f>IF(C158="","",VLOOKUP(T158,'G-3 Multipliers'!$P$2:$Q$6,2,FALSE))</f>
        <v/>
      </c>
      <c r="V158" s="102"/>
      <c r="W158" s="276" t="str">
        <f>IF(V158="","",IF(AND(V158="N/A - Culvert",C158&lt;&gt;"Culvert"),"Not possible ▲",IF(AND(C158="Culvert",V158&lt;&gt;"N/A - Culvert"),"Not possible ▲",IF(VLOOKUP(V158,'G-7 WaterC'' Data'!$AA$4:$AB$7,2,FALSE)=0,"Spatial Data Missing ⚠",VLOOKUP(V158,'G-7 WaterC'' Data'!$AA$4:$AB$7,2,FALSE)))))</f>
        <v/>
      </c>
      <c r="X158" s="56"/>
      <c r="Y158" s="276" t="str">
        <f>IF(X158="","",IF(AND(X158="N/A - Culvert",C158&lt;&gt;"Culvert"),"Not possible ▲",IF(AND(C158="Culvert",X158&lt;&gt;"N/A - Culvert"),"Not possible ▲",IF(VLOOKUP(X158,'G-7 WaterC'' Data'!$AD$4:$AE$14,2,FALSE)=0,"Enrcoachment Data Missing ⚠",VLOOKUP(X158,'G-7 WaterC'' Data'!$AD$4:$AE$14,2,FALSE)))))</f>
        <v/>
      </c>
      <c r="Z158" s="317" t="str">
        <f t="shared" si="16"/>
        <v/>
      </c>
      <c r="AA158" s="101"/>
      <c r="AB158" s="115"/>
      <c r="AC158" s="104"/>
      <c r="AH158" s="30" t="str">
        <f>IFERROR(INDEX('G-7 WaterC'' Data'!$AZ$3:$AZ$7,MATCH(C158,'G-7 WaterC'' Data'!$AY$3:$AY$7,0)),"")</f>
        <v/>
      </c>
      <c r="AK158" s="30" t="str">
        <f t="shared" si="17"/>
        <v>No</v>
      </c>
    </row>
    <row r="159" spans="2:37" ht="14">
      <c r="B159" s="97">
        <v>148</v>
      </c>
      <c r="C159" s="920"/>
      <c r="D159" s="115"/>
      <c r="E159" s="275" t="str">
        <f>IF(C159="","",VLOOKUP(C159,'G-7 WaterC'' Data'!$B$2:$G$8,2,FALSE))</f>
        <v/>
      </c>
      <c r="F159" s="276" t="str">
        <f>IFERROR(VLOOKUP(E159,'G-7 WaterC'' Data'!$C$4:$D$8,2,FALSE),"")</f>
        <v/>
      </c>
      <c r="G159" s="101"/>
      <c r="H159" s="276" t="str">
        <f>IFERROR(INDEX('G-7 WaterC'' Data'!$H$4:$L$8,MATCH(C159,'G-7 WaterC'' Data'!$B$4:$B$8,0),MATCH(G159,'G-7 WaterC'' Data'!$H$3:$L$3,0)),"")</f>
        <v/>
      </c>
      <c r="I159" s="52"/>
      <c r="J159" s="283" t="str">
        <f>IF(I159="","",IF(VLOOKUP(I159,'G-7 WaterC'' Data'!$AK$4:$AM$6,2,FALSE)=0,"Spatial Data Missing ⚠",VLOOKUP(I159,'G-7 WaterC'' Data'!$AK$4:$AM$6,2,FALSE)))</f>
        <v/>
      </c>
      <c r="K159" s="276" t="str">
        <f>IF(I159="","",IF(VLOOKUP(I159,'G-7 WaterC'' Data'!$AK$4:$AM$6,3,FALSE)=0,"Spatial Data Missing ⚠",VLOOKUP(I159,'G-7 WaterC'' Data'!$AK$4:$AM$6,3,FALSE)))</f>
        <v/>
      </c>
      <c r="L159" s="275" t="str">
        <f>IFERROR(INDEX('G-7 WaterC'' Data'!$O$3:$O$7,MATCH(G159,'G-7 WaterC'' Data'!$N$3:$N$7,0)),"")</f>
        <v/>
      </c>
      <c r="M159" s="58"/>
      <c r="N159" s="133"/>
      <c r="O159" s="283" t="str">
        <f t="shared" si="12"/>
        <v/>
      </c>
      <c r="P159" s="296" t="str">
        <f t="shared" si="13"/>
        <v/>
      </c>
      <c r="Q159" s="334" t="str">
        <f>IFERROR(IF(P159="Check Data ⚠","Check Data ⚠",VLOOKUP(P159,'G-4 Temporal multipliers'!$A$4:$C$37,3,FALSE)),"")</f>
        <v/>
      </c>
      <c r="R159" s="275" t="str">
        <f>IF(C159="","",VLOOKUP(C159,'G-7 WaterC'' Data'!$B$4:$G$8,4,FALSE))</f>
        <v/>
      </c>
      <c r="S159" s="283" t="str">
        <f t="shared" si="14"/>
        <v/>
      </c>
      <c r="T159" s="314" t="str">
        <f t="shared" si="15"/>
        <v/>
      </c>
      <c r="U159" s="276" t="str">
        <f>IF(C159="","",VLOOKUP(T159,'G-3 Multipliers'!$P$2:$Q$6,2,FALSE))</f>
        <v/>
      </c>
      <c r="V159" s="102"/>
      <c r="W159" s="276" t="str">
        <f>IF(V159="","",IF(AND(V159="N/A - Culvert",C159&lt;&gt;"Culvert"),"Not possible ▲",IF(AND(C159="Culvert",V159&lt;&gt;"N/A - Culvert"),"Not possible ▲",IF(VLOOKUP(V159,'G-7 WaterC'' Data'!$AA$4:$AB$7,2,FALSE)=0,"Spatial Data Missing ⚠",VLOOKUP(V159,'G-7 WaterC'' Data'!$AA$4:$AB$7,2,FALSE)))))</f>
        <v/>
      </c>
      <c r="X159" s="56"/>
      <c r="Y159" s="276" t="str">
        <f>IF(X159="","",IF(AND(X159="N/A - Culvert",C159&lt;&gt;"Culvert"),"Not possible ▲",IF(AND(C159="Culvert",X159&lt;&gt;"N/A - Culvert"),"Not possible ▲",IF(VLOOKUP(X159,'G-7 WaterC'' Data'!$AD$4:$AE$14,2,FALSE)=0,"Enrcoachment Data Missing ⚠",VLOOKUP(X159,'G-7 WaterC'' Data'!$AD$4:$AE$14,2,FALSE)))))</f>
        <v/>
      </c>
      <c r="Z159" s="317" t="str">
        <f t="shared" si="16"/>
        <v/>
      </c>
      <c r="AA159" s="101"/>
      <c r="AB159" s="115"/>
      <c r="AC159" s="104"/>
      <c r="AH159" s="30" t="str">
        <f>IFERROR(INDEX('G-7 WaterC'' Data'!$AZ$3:$AZ$7,MATCH(C159,'G-7 WaterC'' Data'!$AY$3:$AY$7,0)),"")</f>
        <v/>
      </c>
      <c r="AK159" s="30" t="str">
        <f t="shared" si="17"/>
        <v>No</v>
      </c>
    </row>
    <row r="160" spans="2:37" ht="14">
      <c r="B160" s="97">
        <v>149</v>
      </c>
      <c r="C160" s="920"/>
      <c r="D160" s="115"/>
      <c r="E160" s="275" t="str">
        <f>IF(C160="","",VLOOKUP(C160,'G-7 WaterC'' Data'!$B$2:$G$8,2,FALSE))</f>
        <v/>
      </c>
      <c r="F160" s="276" t="str">
        <f>IFERROR(VLOOKUP(E160,'G-7 WaterC'' Data'!$C$4:$D$8,2,FALSE),"")</f>
        <v/>
      </c>
      <c r="G160" s="101"/>
      <c r="H160" s="276" t="str">
        <f>IFERROR(INDEX('G-7 WaterC'' Data'!$H$4:$L$8,MATCH(C160,'G-7 WaterC'' Data'!$B$4:$B$8,0),MATCH(G160,'G-7 WaterC'' Data'!$H$3:$L$3,0)),"")</f>
        <v/>
      </c>
      <c r="I160" s="52"/>
      <c r="J160" s="283" t="str">
        <f>IF(I160="","",IF(VLOOKUP(I160,'G-7 WaterC'' Data'!$AK$4:$AM$6,2,FALSE)=0,"Spatial Data Missing ⚠",VLOOKUP(I160,'G-7 WaterC'' Data'!$AK$4:$AM$6,2,FALSE)))</f>
        <v/>
      </c>
      <c r="K160" s="276" t="str">
        <f>IF(I160="","",IF(VLOOKUP(I160,'G-7 WaterC'' Data'!$AK$4:$AM$6,3,FALSE)=0,"Spatial Data Missing ⚠",VLOOKUP(I160,'G-7 WaterC'' Data'!$AK$4:$AM$6,3,FALSE)))</f>
        <v/>
      </c>
      <c r="L160" s="275" t="str">
        <f>IFERROR(INDEX('G-7 WaterC'' Data'!$O$3:$O$7,MATCH(G160,'G-7 WaterC'' Data'!$N$3:$N$7,0)),"")</f>
        <v/>
      </c>
      <c r="M160" s="58"/>
      <c r="N160" s="133"/>
      <c r="O160" s="283" t="str">
        <f t="shared" si="12"/>
        <v/>
      </c>
      <c r="P160" s="296" t="str">
        <f t="shared" si="13"/>
        <v/>
      </c>
      <c r="Q160" s="334" t="str">
        <f>IFERROR(IF(P160="Check Data ⚠","Check Data ⚠",VLOOKUP(P160,'G-4 Temporal multipliers'!$A$4:$C$37,3,FALSE)),"")</f>
        <v/>
      </c>
      <c r="R160" s="275" t="str">
        <f>IF(C160="","",VLOOKUP(C160,'G-7 WaterC'' Data'!$B$4:$G$8,4,FALSE))</f>
        <v/>
      </c>
      <c r="S160" s="283" t="str">
        <f t="shared" si="14"/>
        <v/>
      </c>
      <c r="T160" s="314" t="str">
        <f t="shared" si="15"/>
        <v/>
      </c>
      <c r="U160" s="276" t="str">
        <f>IF(C160="","",VLOOKUP(T160,'G-3 Multipliers'!$P$2:$Q$6,2,FALSE))</f>
        <v/>
      </c>
      <c r="V160" s="102"/>
      <c r="W160" s="276" t="str">
        <f>IF(V160="","",IF(AND(V160="N/A - Culvert",C160&lt;&gt;"Culvert"),"Not possible ▲",IF(AND(C160="Culvert",V160&lt;&gt;"N/A - Culvert"),"Not possible ▲",IF(VLOOKUP(V160,'G-7 WaterC'' Data'!$AA$4:$AB$7,2,FALSE)=0,"Spatial Data Missing ⚠",VLOOKUP(V160,'G-7 WaterC'' Data'!$AA$4:$AB$7,2,FALSE)))))</f>
        <v/>
      </c>
      <c r="X160" s="56"/>
      <c r="Y160" s="276" t="str">
        <f>IF(X160="","",IF(AND(X160="N/A - Culvert",C160&lt;&gt;"Culvert"),"Not possible ▲",IF(AND(C160="Culvert",X160&lt;&gt;"N/A - Culvert"),"Not possible ▲",IF(VLOOKUP(X160,'G-7 WaterC'' Data'!$AD$4:$AE$14,2,FALSE)=0,"Enrcoachment Data Missing ⚠",VLOOKUP(X160,'G-7 WaterC'' Data'!$AD$4:$AE$14,2,FALSE)))))</f>
        <v/>
      </c>
      <c r="Z160" s="317" t="str">
        <f t="shared" si="16"/>
        <v/>
      </c>
      <c r="AA160" s="101"/>
      <c r="AB160" s="115"/>
      <c r="AC160" s="104"/>
      <c r="AH160" s="30" t="str">
        <f>IFERROR(INDEX('G-7 WaterC'' Data'!$AZ$3:$AZ$7,MATCH(C160,'G-7 WaterC'' Data'!$AY$3:$AY$7,0)),"")</f>
        <v/>
      </c>
      <c r="AK160" s="30" t="str">
        <f t="shared" si="17"/>
        <v>No</v>
      </c>
    </row>
    <row r="161" spans="2:37" ht="14">
      <c r="B161" s="97">
        <v>150</v>
      </c>
      <c r="C161" s="920"/>
      <c r="D161" s="115"/>
      <c r="E161" s="275" t="str">
        <f>IF(C161="","",VLOOKUP(C161,'G-7 WaterC'' Data'!$B$2:$G$8,2,FALSE))</f>
        <v/>
      </c>
      <c r="F161" s="276" t="str">
        <f>IFERROR(VLOOKUP(E161,'G-7 WaterC'' Data'!$C$4:$D$8,2,FALSE),"")</f>
        <v/>
      </c>
      <c r="G161" s="101"/>
      <c r="H161" s="276" t="str">
        <f>IFERROR(INDEX('G-7 WaterC'' Data'!$H$4:$L$8,MATCH(C161,'G-7 WaterC'' Data'!$B$4:$B$8,0),MATCH(G161,'G-7 WaterC'' Data'!$H$3:$L$3,0)),"")</f>
        <v/>
      </c>
      <c r="I161" s="52"/>
      <c r="J161" s="283" t="str">
        <f>IF(I161="","",IF(VLOOKUP(I161,'G-7 WaterC'' Data'!$AK$4:$AM$6,2,FALSE)=0,"Spatial Data Missing ⚠",VLOOKUP(I161,'G-7 WaterC'' Data'!$AK$4:$AM$6,2,FALSE)))</f>
        <v/>
      </c>
      <c r="K161" s="276" t="str">
        <f>IF(I161="","",IF(VLOOKUP(I161,'G-7 WaterC'' Data'!$AK$4:$AM$6,3,FALSE)=0,"Spatial Data Missing ⚠",VLOOKUP(I161,'G-7 WaterC'' Data'!$AK$4:$AM$6,3,FALSE)))</f>
        <v/>
      </c>
      <c r="L161" s="275" t="str">
        <f>IFERROR(INDEX('G-7 WaterC'' Data'!$O$3:$O$7,MATCH(G161,'G-7 WaterC'' Data'!$N$3:$N$7,0)),"")</f>
        <v/>
      </c>
      <c r="M161" s="58"/>
      <c r="N161" s="133"/>
      <c r="O161" s="283" t="str">
        <f t="shared" si="12"/>
        <v/>
      </c>
      <c r="P161" s="296" t="str">
        <f t="shared" si="13"/>
        <v/>
      </c>
      <c r="Q161" s="334" t="str">
        <f>IFERROR(IF(P161="Check Data ⚠","Check Data ⚠",VLOOKUP(P161,'G-4 Temporal multipliers'!$A$4:$C$37,3,FALSE)),"")</f>
        <v/>
      </c>
      <c r="R161" s="275" t="str">
        <f>IF(C161="","",VLOOKUP(C161,'G-7 WaterC'' Data'!$B$4:$G$8,4,FALSE))</f>
        <v/>
      </c>
      <c r="S161" s="283" t="str">
        <f t="shared" si="14"/>
        <v/>
      </c>
      <c r="T161" s="314" t="str">
        <f t="shared" si="15"/>
        <v/>
      </c>
      <c r="U161" s="276" t="str">
        <f>IF(C161="","",VLOOKUP(T161,'G-3 Multipliers'!$P$2:$Q$6,2,FALSE))</f>
        <v/>
      </c>
      <c r="V161" s="102"/>
      <c r="W161" s="276" t="str">
        <f>IF(V161="","",IF(AND(V161="N/A - Culvert",C161&lt;&gt;"Culvert"),"Not possible ▲",IF(AND(C161="Culvert",V161&lt;&gt;"N/A - Culvert"),"Not possible ▲",IF(VLOOKUP(V161,'G-7 WaterC'' Data'!$AA$4:$AB$7,2,FALSE)=0,"Spatial Data Missing ⚠",VLOOKUP(V161,'G-7 WaterC'' Data'!$AA$4:$AB$7,2,FALSE)))))</f>
        <v/>
      </c>
      <c r="X161" s="56"/>
      <c r="Y161" s="276" t="str">
        <f>IF(X161="","",IF(AND(X161="N/A - Culvert",C161&lt;&gt;"Culvert"),"Not possible ▲",IF(AND(C161="Culvert",X161&lt;&gt;"N/A - Culvert"),"Not possible ▲",IF(VLOOKUP(X161,'G-7 WaterC'' Data'!$AD$4:$AE$14,2,FALSE)=0,"Enrcoachment Data Missing ⚠",VLOOKUP(X161,'G-7 WaterC'' Data'!$AD$4:$AE$14,2,FALSE)))))</f>
        <v/>
      </c>
      <c r="Z161" s="317" t="str">
        <f t="shared" si="16"/>
        <v/>
      </c>
      <c r="AA161" s="101"/>
      <c r="AB161" s="115"/>
      <c r="AC161" s="104"/>
      <c r="AH161" s="30" t="str">
        <f>IFERROR(INDEX('G-7 WaterC'' Data'!$AZ$3:$AZ$7,MATCH(C161,'G-7 WaterC'' Data'!$AY$3:$AY$7,0)),"")</f>
        <v/>
      </c>
      <c r="AK161" s="30" t="str">
        <f t="shared" si="17"/>
        <v>No</v>
      </c>
    </row>
    <row r="162" spans="2:37" ht="14">
      <c r="B162" s="97">
        <v>151</v>
      </c>
      <c r="C162" s="920"/>
      <c r="D162" s="115"/>
      <c r="E162" s="275" t="str">
        <f>IF(C162="","",VLOOKUP(C162,'G-7 WaterC'' Data'!$B$2:$G$8,2,FALSE))</f>
        <v/>
      </c>
      <c r="F162" s="276" t="str">
        <f>IFERROR(VLOOKUP(E162,'G-7 WaterC'' Data'!$C$4:$D$8,2,FALSE),"")</f>
        <v/>
      </c>
      <c r="G162" s="101"/>
      <c r="H162" s="276" t="str">
        <f>IFERROR(INDEX('G-7 WaterC'' Data'!$H$4:$L$8,MATCH(C162,'G-7 WaterC'' Data'!$B$4:$B$8,0),MATCH(G162,'G-7 WaterC'' Data'!$H$3:$L$3,0)),"")</f>
        <v/>
      </c>
      <c r="I162" s="52"/>
      <c r="J162" s="283" t="str">
        <f>IF(I162="","",IF(VLOOKUP(I162,'G-7 WaterC'' Data'!$AK$4:$AM$6,2,FALSE)=0,"Spatial Data Missing ⚠",VLOOKUP(I162,'G-7 WaterC'' Data'!$AK$4:$AM$6,2,FALSE)))</f>
        <v/>
      </c>
      <c r="K162" s="276" t="str">
        <f>IF(I162="","",IF(VLOOKUP(I162,'G-7 WaterC'' Data'!$AK$4:$AM$6,3,FALSE)=0,"Spatial Data Missing ⚠",VLOOKUP(I162,'G-7 WaterC'' Data'!$AK$4:$AM$6,3,FALSE)))</f>
        <v/>
      </c>
      <c r="L162" s="275" t="str">
        <f>IFERROR(INDEX('G-7 WaterC'' Data'!$O$3:$O$7,MATCH(G162,'G-7 WaterC'' Data'!$N$3:$N$7,0)),"")</f>
        <v/>
      </c>
      <c r="M162" s="58"/>
      <c r="N162" s="133"/>
      <c r="O162" s="283" t="str">
        <f t="shared" si="12"/>
        <v/>
      </c>
      <c r="P162" s="296" t="str">
        <f t="shared" si="13"/>
        <v/>
      </c>
      <c r="Q162" s="334" t="str">
        <f>IFERROR(IF(P162="Check Data ⚠","Check Data ⚠",VLOOKUP(P162,'G-4 Temporal multipliers'!$A$4:$C$37,3,FALSE)),"")</f>
        <v/>
      </c>
      <c r="R162" s="275" t="str">
        <f>IF(C162="","",VLOOKUP(C162,'G-7 WaterC'' Data'!$B$4:$G$8,4,FALSE))</f>
        <v/>
      </c>
      <c r="S162" s="283" t="str">
        <f t="shared" si="14"/>
        <v/>
      </c>
      <c r="T162" s="314" t="str">
        <f t="shared" si="15"/>
        <v/>
      </c>
      <c r="U162" s="276" t="str">
        <f>IF(C162="","",VLOOKUP(T162,'G-3 Multipliers'!$P$2:$Q$6,2,FALSE))</f>
        <v/>
      </c>
      <c r="V162" s="102"/>
      <c r="W162" s="276" t="str">
        <f>IF(V162="","",IF(AND(V162="N/A - Culvert",C162&lt;&gt;"Culvert"),"Not possible ▲",IF(AND(C162="Culvert",V162&lt;&gt;"N/A - Culvert"),"Not possible ▲",IF(VLOOKUP(V162,'G-7 WaterC'' Data'!$AA$4:$AB$7,2,FALSE)=0,"Spatial Data Missing ⚠",VLOOKUP(V162,'G-7 WaterC'' Data'!$AA$4:$AB$7,2,FALSE)))))</f>
        <v/>
      </c>
      <c r="X162" s="56"/>
      <c r="Y162" s="276" t="str">
        <f>IF(X162="","",IF(AND(X162="N/A - Culvert",C162&lt;&gt;"Culvert"),"Not possible ▲",IF(AND(C162="Culvert",X162&lt;&gt;"N/A - Culvert"),"Not possible ▲",IF(VLOOKUP(X162,'G-7 WaterC'' Data'!$AD$4:$AE$14,2,FALSE)=0,"Enrcoachment Data Missing ⚠",VLOOKUP(X162,'G-7 WaterC'' Data'!$AD$4:$AE$14,2,FALSE)))))</f>
        <v/>
      </c>
      <c r="Z162" s="317" t="str">
        <f t="shared" si="16"/>
        <v/>
      </c>
      <c r="AA162" s="101"/>
      <c r="AB162" s="115"/>
      <c r="AC162" s="104"/>
      <c r="AH162" s="30" t="str">
        <f>IFERROR(INDEX('G-7 WaterC'' Data'!$AZ$3:$AZ$7,MATCH(C162,'G-7 WaterC'' Data'!$AY$3:$AY$7,0)),"")</f>
        <v/>
      </c>
      <c r="AK162" s="30" t="str">
        <f t="shared" si="17"/>
        <v>No</v>
      </c>
    </row>
    <row r="163" spans="2:37" ht="14">
      <c r="B163" s="97">
        <v>152</v>
      </c>
      <c r="C163" s="920"/>
      <c r="D163" s="115"/>
      <c r="E163" s="275" t="str">
        <f>IF(C163="","",VLOOKUP(C163,'G-7 WaterC'' Data'!$B$2:$G$8,2,FALSE))</f>
        <v/>
      </c>
      <c r="F163" s="276" t="str">
        <f>IFERROR(VLOOKUP(E163,'G-7 WaterC'' Data'!$C$4:$D$8,2,FALSE),"")</f>
        <v/>
      </c>
      <c r="G163" s="101"/>
      <c r="H163" s="276" t="str">
        <f>IFERROR(INDEX('G-7 WaterC'' Data'!$H$4:$L$8,MATCH(C163,'G-7 WaterC'' Data'!$B$4:$B$8,0),MATCH(G163,'G-7 WaterC'' Data'!$H$3:$L$3,0)),"")</f>
        <v/>
      </c>
      <c r="I163" s="52"/>
      <c r="J163" s="283" t="str">
        <f>IF(I163="","",IF(VLOOKUP(I163,'G-7 WaterC'' Data'!$AK$4:$AM$6,2,FALSE)=0,"Spatial Data Missing ⚠",VLOOKUP(I163,'G-7 WaterC'' Data'!$AK$4:$AM$6,2,FALSE)))</f>
        <v/>
      </c>
      <c r="K163" s="276" t="str">
        <f>IF(I163="","",IF(VLOOKUP(I163,'G-7 WaterC'' Data'!$AK$4:$AM$6,3,FALSE)=0,"Spatial Data Missing ⚠",VLOOKUP(I163,'G-7 WaterC'' Data'!$AK$4:$AM$6,3,FALSE)))</f>
        <v/>
      </c>
      <c r="L163" s="275" t="str">
        <f>IFERROR(INDEX('G-7 WaterC'' Data'!$O$3:$O$7,MATCH(G163,'G-7 WaterC'' Data'!$N$3:$N$7,0)),"")</f>
        <v/>
      </c>
      <c r="M163" s="58"/>
      <c r="N163" s="133"/>
      <c r="O163" s="283" t="str">
        <f t="shared" si="12"/>
        <v/>
      </c>
      <c r="P163" s="296" t="str">
        <f t="shared" si="13"/>
        <v/>
      </c>
      <c r="Q163" s="334" t="str">
        <f>IFERROR(IF(P163="Check Data ⚠","Check Data ⚠",VLOOKUP(P163,'G-4 Temporal multipliers'!$A$4:$C$37,3,FALSE)),"")</f>
        <v/>
      </c>
      <c r="R163" s="275" t="str">
        <f>IF(C163="","",VLOOKUP(C163,'G-7 WaterC'' Data'!$B$4:$G$8,4,FALSE))</f>
        <v/>
      </c>
      <c r="S163" s="283" t="str">
        <f t="shared" si="14"/>
        <v/>
      </c>
      <c r="T163" s="314" t="str">
        <f t="shared" si="15"/>
        <v/>
      </c>
      <c r="U163" s="276" t="str">
        <f>IF(C163="","",VLOOKUP(T163,'G-3 Multipliers'!$P$2:$Q$6,2,FALSE))</f>
        <v/>
      </c>
      <c r="V163" s="102"/>
      <c r="W163" s="276" t="str">
        <f>IF(V163="","",IF(AND(V163="N/A - Culvert",C163&lt;&gt;"Culvert"),"Not possible ▲",IF(AND(C163="Culvert",V163&lt;&gt;"N/A - Culvert"),"Not possible ▲",IF(VLOOKUP(V163,'G-7 WaterC'' Data'!$AA$4:$AB$7,2,FALSE)=0,"Spatial Data Missing ⚠",VLOOKUP(V163,'G-7 WaterC'' Data'!$AA$4:$AB$7,2,FALSE)))))</f>
        <v/>
      </c>
      <c r="X163" s="56"/>
      <c r="Y163" s="276" t="str">
        <f>IF(X163="","",IF(AND(X163="N/A - Culvert",C163&lt;&gt;"Culvert"),"Not possible ▲",IF(AND(C163="Culvert",X163&lt;&gt;"N/A - Culvert"),"Not possible ▲",IF(VLOOKUP(X163,'G-7 WaterC'' Data'!$AD$4:$AE$14,2,FALSE)=0,"Enrcoachment Data Missing ⚠",VLOOKUP(X163,'G-7 WaterC'' Data'!$AD$4:$AE$14,2,FALSE)))))</f>
        <v/>
      </c>
      <c r="Z163" s="317" t="str">
        <f t="shared" si="16"/>
        <v/>
      </c>
      <c r="AA163" s="101"/>
      <c r="AB163" s="115"/>
      <c r="AC163" s="104"/>
      <c r="AH163" s="30" t="str">
        <f>IFERROR(INDEX('G-7 WaterC'' Data'!$AZ$3:$AZ$7,MATCH(C163,'G-7 WaterC'' Data'!$AY$3:$AY$7,0)),"")</f>
        <v/>
      </c>
      <c r="AK163" s="30" t="str">
        <f t="shared" si="17"/>
        <v>No</v>
      </c>
    </row>
    <row r="164" spans="2:37" ht="14">
      <c r="B164" s="97">
        <v>153</v>
      </c>
      <c r="C164" s="920"/>
      <c r="D164" s="115"/>
      <c r="E164" s="275" t="str">
        <f>IF(C164="","",VLOOKUP(C164,'G-7 WaterC'' Data'!$B$2:$G$8,2,FALSE))</f>
        <v/>
      </c>
      <c r="F164" s="276" t="str">
        <f>IFERROR(VLOOKUP(E164,'G-7 WaterC'' Data'!$C$4:$D$8,2,FALSE),"")</f>
        <v/>
      </c>
      <c r="G164" s="101"/>
      <c r="H164" s="276" t="str">
        <f>IFERROR(INDEX('G-7 WaterC'' Data'!$H$4:$L$8,MATCH(C164,'G-7 WaterC'' Data'!$B$4:$B$8,0),MATCH(G164,'G-7 WaterC'' Data'!$H$3:$L$3,0)),"")</f>
        <v/>
      </c>
      <c r="I164" s="52"/>
      <c r="J164" s="283" t="str">
        <f>IF(I164="","",IF(VLOOKUP(I164,'G-7 WaterC'' Data'!$AK$4:$AM$6,2,FALSE)=0,"Spatial Data Missing ⚠",VLOOKUP(I164,'G-7 WaterC'' Data'!$AK$4:$AM$6,2,FALSE)))</f>
        <v/>
      </c>
      <c r="K164" s="276" t="str">
        <f>IF(I164="","",IF(VLOOKUP(I164,'G-7 WaterC'' Data'!$AK$4:$AM$6,3,FALSE)=0,"Spatial Data Missing ⚠",VLOOKUP(I164,'G-7 WaterC'' Data'!$AK$4:$AM$6,3,FALSE)))</f>
        <v/>
      </c>
      <c r="L164" s="275" t="str">
        <f>IFERROR(INDEX('G-7 WaterC'' Data'!$O$3:$O$7,MATCH(G164,'G-7 WaterC'' Data'!$N$3:$N$7,0)),"")</f>
        <v/>
      </c>
      <c r="M164" s="58"/>
      <c r="N164" s="133"/>
      <c r="O164" s="283" t="str">
        <f t="shared" si="12"/>
        <v/>
      </c>
      <c r="P164" s="296" t="str">
        <f t="shared" si="13"/>
        <v/>
      </c>
      <c r="Q164" s="334" t="str">
        <f>IFERROR(IF(P164="Check Data ⚠","Check Data ⚠",VLOOKUP(P164,'G-4 Temporal multipliers'!$A$4:$C$37,3,FALSE)),"")</f>
        <v/>
      </c>
      <c r="R164" s="275" t="str">
        <f>IF(C164="","",VLOOKUP(C164,'G-7 WaterC'' Data'!$B$4:$G$8,4,FALSE))</f>
        <v/>
      </c>
      <c r="S164" s="283" t="str">
        <f t="shared" si="14"/>
        <v/>
      </c>
      <c r="T164" s="314" t="str">
        <f t="shared" si="15"/>
        <v/>
      </c>
      <c r="U164" s="276" t="str">
        <f>IF(C164="","",VLOOKUP(T164,'G-3 Multipliers'!$P$2:$Q$6,2,FALSE))</f>
        <v/>
      </c>
      <c r="V164" s="102"/>
      <c r="W164" s="276" t="str">
        <f>IF(V164="","",IF(AND(V164="N/A - Culvert",C164&lt;&gt;"Culvert"),"Not possible ▲",IF(AND(C164="Culvert",V164&lt;&gt;"N/A - Culvert"),"Not possible ▲",IF(VLOOKUP(V164,'G-7 WaterC'' Data'!$AA$4:$AB$7,2,FALSE)=0,"Spatial Data Missing ⚠",VLOOKUP(V164,'G-7 WaterC'' Data'!$AA$4:$AB$7,2,FALSE)))))</f>
        <v/>
      </c>
      <c r="X164" s="56"/>
      <c r="Y164" s="276" t="str">
        <f>IF(X164="","",IF(AND(X164="N/A - Culvert",C164&lt;&gt;"Culvert"),"Not possible ▲",IF(AND(C164="Culvert",X164&lt;&gt;"N/A - Culvert"),"Not possible ▲",IF(VLOOKUP(X164,'G-7 WaterC'' Data'!$AD$4:$AE$14,2,FALSE)=0,"Enrcoachment Data Missing ⚠",VLOOKUP(X164,'G-7 WaterC'' Data'!$AD$4:$AE$14,2,FALSE)))))</f>
        <v/>
      </c>
      <c r="Z164" s="317" t="str">
        <f t="shared" si="16"/>
        <v/>
      </c>
      <c r="AA164" s="101"/>
      <c r="AB164" s="115"/>
      <c r="AC164" s="104"/>
      <c r="AH164" s="30" t="str">
        <f>IFERROR(INDEX('G-7 WaterC'' Data'!$AZ$3:$AZ$7,MATCH(C164,'G-7 WaterC'' Data'!$AY$3:$AY$7,0)),"")</f>
        <v/>
      </c>
      <c r="AK164" s="30" t="str">
        <f t="shared" si="17"/>
        <v>No</v>
      </c>
    </row>
    <row r="165" spans="2:37" ht="14">
      <c r="B165" s="97">
        <v>154</v>
      </c>
      <c r="C165" s="920"/>
      <c r="D165" s="115"/>
      <c r="E165" s="275" t="str">
        <f>IF(C165="","",VLOOKUP(C165,'G-7 WaterC'' Data'!$B$2:$G$8,2,FALSE))</f>
        <v/>
      </c>
      <c r="F165" s="276" t="str">
        <f>IFERROR(VLOOKUP(E165,'G-7 WaterC'' Data'!$C$4:$D$8,2,FALSE),"")</f>
        <v/>
      </c>
      <c r="G165" s="101"/>
      <c r="H165" s="276" t="str">
        <f>IFERROR(INDEX('G-7 WaterC'' Data'!$H$4:$L$8,MATCH(C165,'G-7 WaterC'' Data'!$B$4:$B$8,0),MATCH(G165,'G-7 WaterC'' Data'!$H$3:$L$3,0)),"")</f>
        <v/>
      </c>
      <c r="I165" s="52"/>
      <c r="J165" s="283" t="str">
        <f>IF(I165="","",IF(VLOOKUP(I165,'G-7 WaterC'' Data'!$AK$4:$AM$6,2,FALSE)=0,"Spatial Data Missing ⚠",VLOOKUP(I165,'G-7 WaterC'' Data'!$AK$4:$AM$6,2,FALSE)))</f>
        <v/>
      </c>
      <c r="K165" s="276" t="str">
        <f>IF(I165="","",IF(VLOOKUP(I165,'G-7 WaterC'' Data'!$AK$4:$AM$6,3,FALSE)=0,"Spatial Data Missing ⚠",VLOOKUP(I165,'G-7 WaterC'' Data'!$AK$4:$AM$6,3,FALSE)))</f>
        <v/>
      </c>
      <c r="L165" s="275" t="str">
        <f>IFERROR(INDEX('G-7 WaterC'' Data'!$O$3:$O$7,MATCH(G165,'G-7 WaterC'' Data'!$N$3:$N$7,0)),"")</f>
        <v/>
      </c>
      <c r="M165" s="58"/>
      <c r="N165" s="133"/>
      <c r="O165" s="283" t="str">
        <f t="shared" si="12"/>
        <v/>
      </c>
      <c r="P165" s="296" t="str">
        <f t="shared" si="13"/>
        <v/>
      </c>
      <c r="Q165" s="334" t="str">
        <f>IFERROR(IF(P165="Check Data ⚠","Check Data ⚠",VLOOKUP(P165,'G-4 Temporal multipliers'!$A$4:$C$37,3,FALSE)),"")</f>
        <v/>
      </c>
      <c r="R165" s="275" t="str">
        <f>IF(C165="","",VLOOKUP(C165,'G-7 WaterC'' Data'!$B$4:$G$8,4,FALSE))</f>
        <v/>
      </c>
      <c r="S165" s="283" t="str">
        <f t="shared" si="14"/>
        <v/>
      </c>
      <c r="T165" s="314" t="str">
        <f t="shared" si="15"/>
        <v/>
      </c>
      <c r="U165" s="276" t="str">
        <f>IF(C165="","",VLOOKUP(T165,'G-3 Multipliers'!$P$2:$Q$6,2,FALSE))</f>
        <v/>
      </c>
      <c r="V165" s="102"/>
      <c r="W165" s="276" t="str">
        <f>IF(V165="","",IF(AND(V165="N/A - Culvert",C165&lt;&gt;"Culvert"),"Not possible ▲",IF(AND(C165="Culvert",V165&lt;&gt;"N/A - Culvert"),"Not possible ▲",IF(VLOOKUP(V165,'G-7 WaterC'' Data'!$AA$4:$AB$7,2,FALSE)=0,"Spatial Data Missing ⚠",VLOOKUP(V165,'G-7 WaterC'' Data'!$AA$4:$AB$7,2,FALSE)))))</f>
        <v/>
      </c>
      <c r="X165" s="56"/>
      <c r="Y165" s="276" t="str">
        <f>IF(X165="","",IF(AND(X165="N/A - Culvert",C165&lt;&gt;"Culvert"),"Not possible ▲",IF(AND(C165="Culvert",X165&lt;&gt;"N/A - Culvert"),"Not possible ▲",IF(VLOOKUP(X165,'G-7 WaterC'' Data'!$AD$4:$AE$14,2,FALSE)=0,"Enrcoachment Data Missing ⚠",VLOOKUP(X165,'G-7 WaterC'' Data'!$AD$4:$AE$14,2,FALSE)))))</f>
        <v/>
      </c>
      <c r="Z165" s="317" t="str">
        <f t="shared" si="16"/>
        <v/>
      </c>
      <c r="AA165" s="101"/>
      <c r="AB165" s="115"/>
      <c r="AC165" s="104"/>
      <c r="AH165" s="30" t="str">
        <f>IFERROR(INDEX('G-7 WaterC'' Data'!$AZ$3:$AZ$7,MATCH(C165,'G-7 WaterC'' Data'!$AY$3:$AY$7,0)),"")</f>
        <v/>
      </c>
      <c r="AK165" s="30" t="str">
        <f t="shared" si="17"/>
        <v>No</v>
      </c>
    </row>
    <row r="166" spans="2:37" ht="14">
      <c r="B166" s="97">
        <v>155</v>
      </c>
      <c r="C166" s="920"/>
      <c r="D166" s="115"/>
      <c r="E166" s="275" t="str">
        <f>IF(C166="","",VLOOKUP(C166,'G-7 WaterC'' Data'!$B$2:$G$8,2,FALSE))</f>
        <v/>
      </c>
      <c r="F166" s="276" t="str">
        <f>IFERROR(VLOOKUP(E166,'G-7 WaterC'' Data'!$C$4:$D$8,2,FALSE),"")</f>
        <v/>
      </c>
      <c r="G166" s="101"/>
      <c r="H166" s="276" t="str">
        <f>IFERROR(INDEX('G-7 WaterC'' Data'!$H$4:$L$8,MATCH(C166,'G-7 WaterC'' Data'!$B$4:$B$8,0),MATCH(G166,'G-7 WaterC'' Data'!$H$3:$L$3,0)),"")</f>
        <v/>
      </c>
      <c r="I166" s="52"/>
      <c r="J166" s="283" t="str">
        <f>IF(I166="","",IF(VLOOKUP(I166,'G-7 WaterC'' Data'!$AK$4:$AM$6,2,FALSE)=0,"Spatial Data Missing ⚠",VLOOKUP(I166,'G-7 WaterC'' Data'!$AK$4:$AM$6,2,FALSE)))</f>
        <v/>
      </c>
      <c r="K166" s="276" t="str">
        <f>IF(I166="","",IF(VLOOKUP(I166,'G-7 WaterC'' Data'!$AK$4:$AM$6,3,FALSE)=0,"Spatial Data Missing ⚠",VLOOKUP(I166,'G-7 WaterC'' Data'!$AK$4:$AM$6,3,FALSE)))</f>
        <v/>
      </c>
      <c r="L166" s="275" t="str">
        <f>IFERROR(INDEX('G-7 WaterC'' Data'!$O$3:$O$7,MATCH(G166,'G-7 WaterC'' Data'!$N$3:$N$7,0)),"")</f>
        <v/>
      </c>
      <c r="M166" s="58"/>
      <c r="N166" s="133"/>
      <c r="O166" s="283" t="str">
        <f t="shared" si="12"/>
        <v/>
      </c>
      <c r="P166" s="296" t="str">
        <f t="shared" si="13"/>
        <v/>
      </c>
      <c r="Q166" s="334" t="str">
        <f>IFERROR(IF(P166="Check Data ⚠","Check Data ⚠",VLOOKUP(P166,'G-4 Temporal multipliers'!$A$4:$C$37,3,FALSE)),"")</f>
        <v/>
      </c>
      <c r="R166" s="275" t="str">
        <f>IF(C166="","",VLOOKUP(C166,'G-7 WaterC'' Data'!$B$4:$G$8,4,FALSE))</f>
        <v/>
      </c>
      <c r="S166" s="283" t="str">
        <f t="shared" si="14"/>
        <v/>
      </c>
      <c r="T166" s="314" t="str">
        <f t="shared" si="15"/>
        <v/>
      </c>
      <c r="U166" s="276" t="str">
        <f>IF(C166="","",VLOOKUP(T166,'G-3 Multipliers'!$P$2:$Q$6,2,FALSE))</f>
        <v/>
      </c>
      <c r="V166" s="102"/>
      <c r="W166" s="276" t="str">
        <f>IF(V166="","",IF(AND(V166="N/A - Culvert",C166&lt;&gt;"Culvert"),"Not possible ▲",IF(AND(C166="Culvert",V166&lt;&gt;"N/A - Culvert"),"Not possible ▲",IF(VLOOKUP(V166,'G-7 WaterC'' Data'!$AA$4:$AB$7,2,FALSE)=0,"Spatial Data Missing ⚠",VLOOKUP(V166,'G-7 WaterC'' Data'!$AA$4:$AB$7,2,FALSE)))))</f>
        <v/>
      </c>
      <c r="X166" s="56"/>
      <c r="Y166" s="276" t="str">
        <f>IF(X166="","",IF(AND(X166="N/A - Culvert",C166&lt;&gt;"Culvert"),"Not possible ▲",IF(AND(C166="Culvert",X166&lt;&gt;"N/A - Culvert"),"Not possible ▲",IF(VLOOKUP(X166,'G-7 WaterC'' Data'!$AD$4:$AE$14,2,FALSE)=0,"Enrcoachment Data Missing ⚠",VLOOKUP(X166,'G-7 WaterC'' Data'!$AD$4:$AE$14,2,FALSE)))))</f>
        <v/>
      </c>
      <c r="Z166" s="317" t="str">
        <f t="shared" si="16"/>
        <v/>
      </c>
      <c r="AA166" s="101"/>
      <c r="AB166" s="115"/>
      <c r="AC166" s="104"/>
      <c r="AH166" s="30" t="str">
        <f>IFERROR(INDEX('G-7 WaterC'' Data'!$AZ$3:$AZ$7,MATCH(C166,'G-7 WaterC'' Data'!$AY$3:$AY$7,0)),"")</f>
        <v/>
      </c>
      <c r="AK166" s="30" t="str">
        <f t="shared" si="17"/>
        <v>No</v>
      </c>
    </row>
    <row r="167" spans="2:37" ht="14">
      <c r="B167" s="97">
        <v>156</v>
      </c>
      <c r="C167" s="920"/>
      <c r="D167" s="115"/>
      <c r="E167" s="275" t="str">
        <f>IF(C167="","",VLOOKUP(C167,'G-7 WaterC'' Data'!$B$2:$G$8,2,FALSE))</f>
        <v/>
      </c>
      <c r="F167" s="276" t="str">
        <f>IFERROR(VLOOKUP(E167,'G-7 WaterC'' Data'!$C$4:$D$8,2,FALSE),"")</f>
        <v/>
      </c>
      <c r="G167" s="101"/>
      <c r="H167" s="276" t="str">
        <f>IFERROR(INDEX('G-7 WaterC'' Data'!$H$4:$L$8,MATCH(C167,'G-7 WaterC'' Data'!$B$4:$B$8,0),MATCH(G167,'G-7 WaterC'' Data'!$H$3:$L$3,0)),"")</f>
        <v/>
      </c>
      <c r="I167" s="52"/>
      <c r="J167" s="283" t="str">
        <f>IF(I167="","",IF(VLOOKUP(I167,'G-7 WaterC'' Data'!$AK$4:$AM$6,2,FALSE)=0,"Spatial Data Missing ⚠",VLOOKUP(I167,'G-7 WaterC'' Data'!$AK$4:$AM$6,2,FALSE)))</f>
        <v/>
      </c>
      <c r="K167" s="276" t="str">
        <f>IF(I167="","",IF(VLOOKUP(I167,'G-7 WaterC'' Data'!$AK$4:$AM$6,3,FALSE)=0,"Spatial Data Missing ⚠",VLOOKUP(I167,'G-7 WaterC'' Data'!$AK$4:$AM$6,3,FALSE)))</f>
        <v/>
      </c>
      <c r="L167" s="275" t="str">
        <f>IFERROR(INDEX('G-7 WaterC'' Data'!$O$3:$O$7,MATCH(G167,'G-7 WaterC'' Data'!$N$3:$N$7,0)),"")</f>
        <v/>
      </c>
      <c r="M167" s="58"/>
      <c r="N167" s="133"/>
      <c r="O167" s="283" t="str">
        <f t="shared" si="12"/>
        <v/>
      </c>
      <c r="P167" s="296" t="str">
        <f t="shared" si="13"/>
        <v/>
      </c>
      <c r="Q167" s="334" t="str">
        <f>IFERROR(IF(P167="Check Data ⚠","Check Data ⚠",VLOOKUP(P167,'G-4 Temporal multipliers'!$A$4:$C$37,3,FALSE)),"")</f>
        <v/>
      </c>
      <c r="R167" s="275" t="str">
        <f>IF(C167="","",VLOOKUP(C167,'G-7 WaterC'' Data'!$B$4:$G$8,4,FALSE))</f>
        <v/>
      </c>
      <c r="S167" s="283" t="str">
        <f t="shared" si="14"/>
        <v/>
      </c>
      <c r="T167" s="314" t="str">
        <f t="shared" si="15"/>
        <v/>
      </c>
      <c r="U167" s="276" t="str">
        <f>IF(C167="","",VLOOKUP(T167,'G-3 Multipliers'!$P$2:$Q$6,2,FALSE))</f>
        <v/>
      </c>
      <c r="V167" s="102"/>
      <c r="W167" s="276" t="str">
        <f>IF(V167="","",IF(AND(V167="N/A - Culvert",C167&lt;&gt;"Culvert"),"Not possible ▲",IF(AND(C167="Culvert",V167&lt;&gt;"N/A - Culvert"),"Not possible ▲",IF(VLOOKUP(V167,'G-7 WaterC'' Data'!$AA$4:$AB$7,2,FALSE)=0,"Spatial Data Missing ⚠",VLOOKUP(V167,'G-7 WaterC'' Data'!$AA$4:$AB$7,2,FALSE)))))</f>
        <v/>
      </c>
      <c r="X167" s="56"/>
      <c r="Y167" s="276" t="str">
        <f>IF(X167="","",IF(AND(X167="N/A - Culvert",C167&lt;&gt;"Culvert"),"Not possible ▲",IF(AND(C167="Culvert",X167&lt;&gt;"N/A - Culvert"),"Not possible ▲",IF(VLOOKUP(X167,'G-7 WaterC'' Data'!$AD$4:$AE$14,2,FALSE)=0,"Enrcoachment Data Missing ⚠",VLOOKUP(X167,'G-7 WaterC'' Data'!$AD$4:$AE$14,2,FALSE)))))</f>
        <v/>
      </c>
      <c r="Z167" s="317" t="str">
        <f t="shared" si="16"/>
        <v/>
      </c>
      <c r="AA167" s="101"/>
      <c r="AB167" s="115"/>
      <c r="AC167" s="104"/>
      <c r="AH167" s="30" t="str">
        <f>IFERROR(INDEX('G-7 WaterC'' Data'!$AZ$3:$AZ$7,MATCH(C167,'G-7 WaterC'' Data'!$AY$3:$AY$7,0)),"")</f>
        <v/>
      </c>
      <c r="AK167" s="30" t="str">
        <f t="shared" si="17"/>
        <v>No</v>
      </c>
    </row>
    <row r="168" spans="2:37" ht="14">
      <c r="B168" s="97">
        <v>157</v>
      </c>
      <c r="C168" s="920"/>
      <c r="D168" s="115"/>
      <c r="E168" s="275" t="str">
        <f>IF(C168="","",VLOOKUP(C168,'G-7 WaterC'' Data'!$B$2:$G$8,2,FALSE))</f>
        <v/>
      </c>
      <c r="F168" s="276" t="str">
        <f>IFERROR(VLOOKUP(E168,'G-7 WaterC'' Data'!$C$4:$D$8,2,FALSE),"")</f>
        <v/>
      </c>
      <c r="G168" s="101"/>
      <c r="H168" s="276" t="str">
        <f>IFERROR(INDEX('G-7 WaterC'' Data'!$H$4:$L$8,MATCH(C168,'G-7 WaterC'' Data'!$B$4:$B$8,0),MATCH(G168,'G-7 WaterC'' Data'!$H$3:$L$3,0)),"")</f>
        <v/>
      </c>
      <c r="I168" s="52"/>
      <c r="J168" s="283" t="str">
        <f>IF(I168="","",IF(VLOOKUP(I168,'G-7 WaterC'' Data'!$AK$4:$AM$6,2,FALSE)=0,"Spatial Data Missing ⚠",VLOOKUP(I168,'G-7 WaterC'' Data'!$AK$4:$AM$6,2,FALSE)))</f>
        <v/>
      </c>
      <c r="K168" s="276" t="str">
        <f>IF(I168="","",IF(VLOOKUP(I168,'G-7 WaterC'' Data'!$AK$4:$AM$6,3,FALSE)=0,"Spatial Data Missing ⚠",VLOOKUP(I168,'G-7 WaterC'' Data'!$AK$4:$AM$6,3,FALSE)))</f>
        <v/>
      </c>
      <c r="L168" s="275" t="str">
        <f>IFERROR(INDEX('G-7 WaterC'' Data'!$O$3:$O$7,MATCH(G168,'G-7 WaterC'' Data'!$N$3:$N$7,0)),"")</f>
        <v/>
      </c>
      <c r="M168" s="58"/>
      <c r="N168" s="133"/>
      <c r="O168" s="283" t="str">
        <f t="shared" si="12"/>
        <v/>
      </c>
      <c r="P168" s="296" t="str">
        <f t="shared" si="13"/>
        <v/>
      </c>
      <c r="Q168" s="334" t="str">
        <f>IFERROR(IF(P168="Check Data ⚠","Check Data ⚠",VLOOKUP(P168,'G-4 Temporal multipliers'!$A$4:$C$37,3,FALSE)),"")</f>
        <v/>
      </c>
      <c r="R168" s="275" t="str">
        <f>IF(C168="","",VLOOKUP(C168,'G-7 WaterC'' Data'!$B$4:$G$8,4,FALSE))</f>
        <v/>
      </c>
      <c r="S168" s="283" t="str">
        <f t="shared" si="14"/>
        <v/>
      </c>
      <c r="T168" s="314" t="str">
        <f t="shared" si="15"/>
        <v/>
      </c>
      <c r="U168" s="276" t="str">
        <f>IF(C168="","",VLOOKUP(T168,'G-3 Multipliers'!$P$2:$Q$6,2,FALSE))</f>
        <v/>
      </c>
      <c r="V168" s="102"/>
      <c r="W168" s="276" t="str">
        <f>IF(V168="","",IF(AND(V168="N/A - Culvert",C168&lt;&gt;"Culvert"),"Not possible ▲",IF(AND(C168="Culvert",V168&lt;&gt;"N/A - Culvert"),"Not possible ▲",IF(VLOOKUP(V168,'G-7 WaterC'' Data'!$AA$4:$AB$7,2,FALSE)=0,"Spatial Data Missing ⚠",VLOOKUP(V168,'G-7 WaterC'' Data'!$AA$4:$AB$7,2,FALSE)))))</f>
        <v/>
      </c>
      <c r="X168" s="56"/>
      <c r="Y168" s="276" t="str">
        <f>IF(X168="","",IF(AND(X168="N/A - Culvert",C168&lt;&gt;"Culvert"),"Not possible ▲",IF(AND(C168="Culvert",X168&lt;&gt;"N/A - Culvert"),"Not possible ▲",IF(VLOOKUP(X168,'G-7 WaterC'' Data'!$AD$4:$AE$14,2,FALSE)=0,"Enrcoachment Data Missing ⚠",VLOOKUP(X168,'G-7 WaterC'' Data'!$AD$4:$AE$14,2,FALSE)))))</f>
        <v/>
      </c>
      <c r="Z168" s="317" t="str">
        <f t="shared" si="16"/>
        <v/>
      </c>
      <c r="AA168" s="101"/>
      <c r="AB168" s="115"/>
      <c r="AC168" s="104"/>
      <c r="AH168" s="30" t="str">
        <f>IFERROR(INDEX('G-7 WaterC'' Data'!$AZ$3:$AZ$7,MATCH(C168,'G-7 WaterC'' Data'!$AY$3:$AY$7,0)),"")</f>
        <v/>
      </c>
      <c r="AK168" s="30" t="str">
        <f t="shared" si="17"/>
        <v>No</v>
      </c>
    </row>
    <row r="169" spans="2:37" ht="14">
      <c r="B169" s="97">
        <v>158</v>
      </c>
      <c r="C169" s="920"/>
      <c r="D169" s="115"/>
      <c r="E169" s="275" t="str">
        <f>IF(C169="","",VLOOKUP(C169,'G-7 WaterC'' Data'!$B$2:$G$8,2,FALSE))</f>
        <v/>
      </c>
      <c r="F169" s="276" t="str">
        <f>IFERROR(VLOOKUP(E169,'G-7 WaterC'' Data'!$C$4:$D$8,2,FALSE),"")</f>
        <v/>
      </c>
      <c r="G169" s="101"/>
      <c r="H169" s="276" t="str">
        <f>IFERROR(INDEX('G-7 WaterC'' Data'!$H$4:$L$8,MATCH(C169,'G-7 WaterC'' Data'!$B$4:$B$8,0),MATCH(G169,'G-7 WaterC'' Data'!$H$3:$L$3,0)),"")</f>
        <v/>
      </c>
      <c r="I169" s="52"/>
      <c r="J169" s="283" t="str">
        <f>IF(I169="","",IF(VLOOKUP(I169,'G-7 WaterC'' Data'!$AK$4:$AM$6,2,FALSE)=0,"Spatial Data Missing ⚠",VLOOKUP(I169,'G-7 WaterC'' Data'!$AK$4:$AM$6,2,FALSE)))</f>
        <v/>
      </c>
      <c r="K169" s="276" t="str">
        <f>IF(I169="","",IF(VLOOKUP(I169,'G-7 WaterC'' Data'!$AK$4:$AM$6,3,FALSE)=0,"Spatial Data Missing ⚠",VLOOKUP(I169,'G-7 WaterC'' Data'!$AK$4:$AM$6,3,FALSE)))</f>
        <v/>
      </c>
      <c r="L169" s="275" t="str">
        <f>IFERROR(INDEX('G-7 WaterC'' Data'!$O$3:$O$7,MATCH(G169,'G-7 WaterC'' Data'!$N$3:$N$7,0)),"")</f>
        <v/>
      </c>
      <c r="M169" s="58"/>
      <c r="N169" s="133"/>
      <c r="O169" s="283" t="str">
        <f t="shared" si="12"/>
        <v/>
      </c>
      <c r="P169" s="296" t="str">
        <f t="shared" si="13"/>
        <v/>
      </c>
      <c r="Q169" s="334" t="str">
        <f>IFERROR(IF(P169="Check Data ⚠","Check Data ⚠",VLOOKUP(P169,'G-4 Temporal multipliers'!$A$4:$C$37,3,FALSE)),"")</f>
        <v/>
      </c>
      <c r="R169" s="275" t="str">
        <f>IF(C169="","",VLOOKUP(C169,'G-7 WaterC'' Data'!$B$4:$G$8,4,FALSE))</f>
        <v/>
      </c>
      <c r="S169" s="283" t="str">
        <f t="shared" si="14"/>
        <v/>
      </c>
      <c r="T169" s="314" t="str">
        <f t="shared" si="15"/>
        <v/>
      </c>
      <c r="U169" s="276" t="str">
        <f>IF(C169="","",VLOOKUP(T169,'G-3 Multipliers'!$P$2:$Q$6,2,FALSE))</f>
        <v/>
      </c>
      <c r="V169" s="102"/>
      <c r="W169" s="276" t="str">
        <f>IF(V169="","",IF(AND(V169="N/A - Culvert",C169&lt;&gt;"Culvert"),"Not possible ▲",IF(AND(C169="Culvert",V169&lt;&gt;"N/A - Culvert"),"Not possible ▲",IF(VLOOKUP(V169,'G-7 WaterC'' Data'!$AA$4:$AB$7,2,FALSE)=0,"Spatial Data Missing ⚠",VLOOKUP(V169,'G-7 WaterC'' Data'!$AA$4:$AB$7,2,FALSE)))))</f>
        <v/>
      </c>
      <c r="X169" s="56"/>
      <c r="Y169" s="276" t="str">
        <f>IF(X169="","",IF(AND(X169="N/A - Culvert",C169&lt;&gt;"Culvert"),"Not possible ▲",IF(AND(C169="Culvert",X169&lt;&gt;"N/A - Culvert"),"Not possible ▲",IF(VLOOKUP(X169,'G-7 WaterC'' Data'!$AD$4:$AE$14,2,FALSE)=0,"Enrcoachment Data Missing ⚠",VLOOKUP(X169,'G-7 WaterC'' Data'!$AD$4:$AE$14,2,FALSE)))))</f>
        <v/>
      </c>
      <c r="Z169" s="317" t="str">
        <f t="shared" si="16"/>
        <v/>
      </c>
      <c r="AA169" s="101"/>
      <c r="AB169" s="115"/>
      <c r="AC169" s="104"/>
      <c r="AH169" s="30" t="str">
        <f>IFERROR(INDEX('G-7 WaterC'' Data'!$AZ$3:$AZ$7,MATCH(C169,'G-7 WaterC'' Data'!$AY$3:$AY$7,0)),"")</f>
        <v/>
      </c>
      <c r="AK169" s="30" t="str">
        <f t="shared" si="17"/>
        <v>No</v>
      </c>
    </row>
    <row r="170" spans="2:37" ht="14">
      <c r="B170" s="97">
        <v>159</v>
      </c>
      <c r="C170" s="920"/>
      <c r="D170" s="115"/>
      <c r="E170" s="275" t="str">
        <f>IF(C170="","",VLOOKUP(C170,'G-7 WaterC'' Data'!$B$2:$G$8,2,FALSE))</f>
        <v/>
      </c>
      <c r="F170" s="276" t="str">
        <f>IFERROR(VLOOKUP(E170,'G-7 WaterC'' Data'!$C$4:$D$8,2,FALSE),"")</f>
        <v/>
      </c>
      <c r="G170" s="101"/>
      <c r="H170" s="276" t="str">
        <f>IFERROR(INDEX('G-7 WaterC'' Data'!$H$4:$L$8,MATCH(C170,'G-7 WaterC'' Data'!$B$4:$B$8,0),MATCH(G170,'G-7 WaterC'' Data'!$H$3:$L$3,0)),"")</f>
        <v/>
      </c>
      <c r="I170" s="52"/>
      <c r="J170" s="283" t="str">
        <f>IF(I170="","",IF(VLOOKUP(I170,'G-7 WaterC'' Data'!$AK$4:$AM$6,2,FALSE)=0,"Spatial Data Missing ⚠",VLOOKUP(I170,'G-7 WaterC'' Data'!$AK$4:$AM$6,2,FALSE)))</f>
        <v/>
      </c>
      <c r="K170" s="276" t="str">
        <f>IF(I170="","",IF(VLOOKUP(I170,'G-7 WaterC'' Data'!$AK$4:$AM$6,3,FALSE)=0,"Spatial Data Missing ⚠",VLOOKUP(I170,'G-7 WaterC'' Data'!$AK$4:$AM$6,3,FALSE)))</f>
        <v/>
      </c>
      <c r="L170" s="275" t="str">
        <f>IFERROR(INDEX('G-7 WaterC'' Data'!$O$3:$O$7,MATCH(G170,'G-7 WaterC'' Data'!$N$3:$N$7,0)),"")</f>
        <v/>
      </c>
      <c r="M170" s="58"/>
      <c r="N170" s="133"/>
      <c r="O170" s="283" t="str">
        <f t="shared" si="12"/>
        <v/>
      </c>
      <c r="P170" s="296" t="str">
        <f t="shared" si="13"/>
        <v/>
      </c>
      <c r="Q170" s="334" t="str">
        <f>IFERROR(IF(P170="Check Data ⚠","Check Data ⚠",VLOOKUP(P170,'G-4 Temporal multipliers'!$A$4:$C$37,3,FALSE)),"")</f>
        <v/>
      </c>
      <c r="R170" s="275" t="str">
        <f>IF(C170="","",VLOOKUP(C170,'G-7 WaterC'' Data'!$B$4:$G$8,4,FALSE))</f>
        <v/>
      </c>
      <c r="S170" s="283" t="str">
        <f t="shared" si="14"/>
        <v/>
      </c>
      <c r="T170" s="314" t="str">
        <f t="shared" si="15"/>
        <v/>
      </c>
      <c r="U170" s="276" t="str">
        <f>IF(C170="","",VLOOKUP(T170,'G-3 Multipliers'!$P$2:$Q$6,2,FALSE))</f>
        <v/>
      </c>
      <c r="V170" s="102"/>
      <c r="W170" s="276" t="str">
        <f>IF(V170="","",IF(AND(V170="N/A - Culvert",C170&lt;&gt;"Culvert"),"Not possible ▲",IF(AND(C170="Culvert",V170&lt;&gt;"N/A - Culvert"),"Not possible ▲",IF(VLOOKUP(V170,'G-7 WaterC'' Data'!$AA$4:$AB$7,2,FALSE)=0,"Spatial Data Missing ⚠",VLOOKUP(V170,'G-7 WaterC'' Data'!$AA$4:$AB$7,2,FALSE)))))</f>
        <v/>
      </c>
      <c r="X170" s="56"/>
      <c r="Y170" s="276" t="str">
        <f>IF(X170="","",IF(AND(X170="N/A - Culvert",C170&lt;&gt;"Culvert"),"Not possible ▲",IF(AND(C170="Culvert",X170&lt;&gt;"N/A - Culvert"),"Not possible ▲",IF(VLOOKUP(X170,'G-7 WaterC'' Data'!$AD$4:$AE$14,2,FALSE)=0,"Enrcoachment Data Missing ⚠",VLOOKUP(X170,'G-7 WaterC'' Data'!$AD$4:$AE$14,2,FALSE)))))</f>
        <v/>
      </c>
      <c r="Z170" s="317" t="str">
        <f t="shared" si="16"/>
        <v/>
      </c>
      <c r="AA170" s="101"/>
      <c r="AB170" s="115"/>
      <c r="AC170" s="104"/>
      <c r="AH170" s="30" t="str">
        <f>IFERROR(INDEX('G-7 WaterC'' Data'!$AZ$3:$AZ$7,MATCH(C170,'G-7 WaterC'' Data'!$AY$3:$AY$7,0)),"")</f>
        <v/>
      </c>
      <c r="AK170" s="30" t="str">
        <f t="shared" si="17"/>
        <v>No</v>
      </c>
    </row>
    <row r="171" spans="2:37" ht="14">
      <c r="B171" s="97">
        <v>160</v>
      </c>
      <c r="C171" s="920"/>
      <c r="D171" s="115"/>
      <c r="E171" s="275" t="str">
        <f>IF(C171="","",VLOOKUP(C171,'G-7 WaterC'' Data'!$B$2:$G$8,2,FALSE))</f>
        <v/>
      </c>
      <c r="F171" s="276" t="str">
        <f>IFERROR(VLOOKUP(E171,'G-7 WaterC'' Data'!$C$4:$D$8,2,FALSE),"")</f>
        <v/>
      </c>
      <c r="G171" s="101"/>
      <c r="H171" s="276" t="str">
        <f>IFERROR(INDEX('G-7 WaterC'' Data'!$H$4:$L$8,MATCH(C171,'G-7 WaterC'' Data'!$B$4:$B$8,0),MATCH(G171,'G-7 WaterC'' Data'!$H$3:$L$3,0)),"")</f>
        <v/>
      </c>
      <c r="I171" s="52"/>
      <c r="J171" s="283" t="str">
        <f>IF(I171="","",IF(VLOOKUP(I171,'G-7 WaterC'' Data'!$AK$4:$AM$6,2,FALSE)=0,"Spatial Data Missing ⚠",VLOOKUP(I171,'G-7 WaterC'' Data'!$AK$4:$AM$6,2,FALSE)))</f>
        <v/>
      </c>
      <c r="K171" s="276" t="str">
        <f>IF(I171="","",IF(VLOOKUP(I171,'G-7 WaterC'' Data'!$AK$4:$AM$6,3,FALSE)=0,"Spatial Data Missing ⚠",VLOOKUP(I171,'G-7 WaterC'' Data'!$AK$4:$AM$6,3,FALSE)))</f>
        <v/>
      </c>
      <c r="L171" s="275" t="str">
        <f>IFERROR(INDEX('G-7 WaterC'' Data'!$O$3:$O$7,MATCH(G171,'G-7 WaterC'' Data'!$N$3:$N$7,0)),"")</f>
        <v/>
      </c>
      <c r="M171" s="58"/>
      <c r="N171" s="133"/>
      <c r="O171" s="283" t="str">
        <f t="shared" si="12"/>
        <v/>
      </c>
      <c r="P171" s="296" t="str">
        <f t="shared" si="13"/>
        <v/>
      </c>
      <c r="Q171" s="334" t="str">
        <f>IFERROR(IF(P171="Check Data ⚠","Check Data ⚠",VLOOKUP(P171,'G-4 Temporal multipliers'!$A$4:$C$37,3,FALSE)),"")</f>
        <v/>
      </c>
      <c r="R171" s="275" t="str">
        <f>IF(C171="","",VLOOKUP(C171,'G-7 WaterC'' Data'!$B$4:$G$8,4,FALSE))</f>
        <v/>
      </c>
      <c r="S171" s="283" t="str">
        <f t="shared" si="14"/>
        <v/>
      </c>
      <c r="T171" s="314" t="str">
        <f t="shared" si="15"/>
        <v/>
      </c>
      <c r="U171" s="276" t="str">
        <f>IF(C171="","",VLOOKUP(T171,'G-3 Multipliers'!$P$2:$Q$6,2,FALSE))</f>
        <v/>
      </c>
      <c r="V171" s="102"/>
      <c r="W171" s="276" t="str">
        <f>IF(V171="","",IF(AND(V171="N/A - Culvert",C171&lt;&gt;"Culvert"),"Not possible ▲",IF(AND(C171="Culvert",V171&lt;&gt;"N/A - Culvert"),"Not possible ▲",IF(VLOOKUP(V171,'G-7 WaterC'' Data'!$AA$4:$AB$7,2,FALSE)=0,"Spatial Data Missing ⚠",VLOOKUP(V171,'G-7 WaterC'' Data'!$AA$4:$AB$7,2,FALSE)))))</f>
        <v/>
      </c>
      <c r="X171" s="56"/>
      <c r="Y171" s="276" t="str">
        <f>IF(X171="","",IF(AND(X171="N/A - Culvert",C171&lt;&gt;"Culvert"),"Not possible ▲",IF(AND(C171="Culvert",X171&lt;&gt;"N/A - Culvert"),"Not possible ▲",IF(VLOOKUP(X171,'G-7 WaterC'' Data'!$AD$4:$AE$14,2,FALSE)=0,"Enrcoachment Data Missing ⚠",VLOOKUP(X171,'G-7 WaterC'' Data'!$AD$4:$AE$14,2,FALSE)))))</f>
        <v/>
      </c>
      <c r="Z171" s="317" t="str">
        <f t="shared" si="16"/>
        <v/>
      </c>
      <c r="AA171" s="101"/>
      <c r="AB171" s="115"/>
      <c r="AC171" s="104"/>
      <c r="AH171" s="30" t="str">
        <f>IFERROR(INDEX('G-7 WaterC'' Data'!$AZ$3:$AZ$7,MATCH(C171,'G-7 WaterC'' Data'!$AY$3:$AY$7,0)),"")</f>
        <v/>
      </c>
      <c r="AK171" s="30" t="str">
        <f t="shared" si="17"/>
        <v>No</v>
      </c>
    </row>
    <row r="172" spans="2:37" ht="14">
      <c r="B172" s="97">
        <v>161</v>
      </c>
      <c r="C172" s="920"/>
      <c r="D172" s="115"/>
      <c r="E172" s="275" t="str">
        <f>IF(C172="","",VLOOKUP(C172,'G-7 WaterC'' Data'!$B$2:$G$8,2,FALSE))</f>
        <v/>
      </c>
      <c r="F172" s="276" t="str">
        <f>IFERROR(VLOOKUP(E172,'G-7 WaterC'' Data'!$C$4:$D$8,2,FALSE),"")</f>
        <v/>
      </c>
      <c r="G172" s="101"/>
      <c r="H172" s="276" t="str">
        <f>IFERROR(INDEX('G-7 WaterC'' Data'!$H$4:$L$8,MATCH(C172,'G-7 WaterC'' Data'!$B$4:$B$8,0),MATCH(G172,'G-7 WaterC'' Data'!$H$3:$L$3,0)),"")</f>
        <v/>
      </c>
      <c r="I172" s="52"/>
      <c r="J172" s="283" t="str">
        <f>IF(I172="","",IF(VLOOKUP(I172,'G-7 WaterC'' Data'!$AK$4:$AM$6,2,FALSE)=0,"Spatial Data Missing ⚠",VLOOKUP(I172,'G-7 WaterC'' Data'!$AK$4:$AM$6,2,FALSE)))</f>
        <v/>
      </c>
      <c r="K172" s="276" t="str">
        <f>IF(I172="","",IF(VLOOKUP(I172,'G-7 WaterC'' Data'!$AK$4:$AM$6,3,FALSE)=0,"Spatial Data Missing ⚠",VLOOKUP(I172,'G-7 WaterC'' Data'!$AK$4:$AM$6,3,FALSE)))</f>
        <v/>
      </c>
      <c r="L172" s="275" t="str">
        <f>IFERROR(INDEX('G-7 WaterC'' Data'!$O$3:$O$7,MATCH(G172,'G-7 WaterC'' Data'!$N$3:$N$7,0)),"")</f>
        <v/>
      </c>
      <c r="M172" s="58"/>
      <c r="N172" s="133"/>
      <c r="O172" s="283" t="str">
        <f t="shared" si="12"/>
        <v/>
      </c>
      <c r="P172" s="296" t="str">
        <f t="shared" si="13"/>
        <v/>
      </c>
      <c r="Q172" s="334" t="str">
        <f>IFERROR(IF(P172="Check Data ⚠","Check Data ⚠",VLOOKUP(P172,'G-4 Temporal multipliers'!$A$4:$C$37,3,FALSE)),"")</f>
        <v/>
      </c>
      <c r="R172" s="275" t="str">
        <f>IF(C172="","",VLOOKUP(C172,'G-7 WaterC'' Data'!$B$4:$G$8,4,FALSE))</f>
        <v/>
      </c>
      <c r="S172" s="283" t="str">
        <f t="shared" si="14"/>
        <v/>
      </c>
      <c r="T172" s="314" t="str">
        <f t="shared" si="15"/>
        <v/>
      </c>
      <c r="U172" s="276" t="str">
        <f>IF(C172="","",VLOOKUP(T172,'G-3 Multipliers'!$P$2:$Q$6,2,FALSE))</f>
        <v/>
      </c>
      <c r="V172" s="102"/>
      <c r="W172" s="276" t="str">
        <f>IF(V172="","",IF(AND(V172="N/A - Culvert",C172&lt;&gt;"Culvert"),"Not possible ▲",IF(AND(C172="Culvert",V172&lt;&gt;"N/A - Culvert"),"Not possible ▲",IF(VLOOKUP(V172,'G-7 WaterC'' Data'!$AA$4:$AB$7,2,FALSE)=0,"Spatial Data Missing ⚠",VLOOKUP(V172,'G-7 WaterC'' Data'!$AA$4:$AB$7,2,FALSE)))))</f>
        <v/>
      </c>
      <c r="X172" s="56"/>
      <c r="Y172" s="276" t="str">
        <f>IF(X172="","",IF(AND(X172="N/A - Culvert",C172&lt;&gt;"Culvert"),"Not possible ▲",IF(AND(C172="Culvert",X172&lt;&gt;"N/A - Culvert"),"Not possible ▲",IF(VLOOKUP(X172,'G-7 WaterC'' Data'!$AD$4:$AE$14,2,FALSE)=0,"Enrcoachment Data Missing ⚠",VLOOKUP(X172,'G-7 WaterC'' Data'!$AD$4:$AE$14,2,FALSE)))))</f>
        <v/>
      </c>
      <c r="Z172" s="317" t="str">
        <f t="shared" si="16"/>
        <v/>
      </c>
      <c r="AA172" s="101"/>
      <c r="AB172" s="115"/>
      <c r="AC172" s="104"/>
      <c r="AH172" s="30" t="str">
        <f>IFERROR(INDEX('G-7 WaterC'' Data'!$AZ$3:$AZ$7,MATCH(C172,'G-7 WaterC'' Data'!$AY$3:$AY$7,0)),"")</f>
        <v/>
      </c>
      <c r="AK172" s="30" t="str">
        <f t="shared" si="17"/>
        <v>No</v>
      </c>
    </row>
    <row r="173" spans="2:37" ht="14">
      <c r="B173" s="97">
        <v>162</v>
      </c>
      <c r="C173" s="920"/>
      <c r="D173" s="115"/>
      <c r="E173" s="275" t="str">
        <f>IF(C173="","",VLOOKUP(C173,'G-7 WaterC'' Data'!$B$2:$G$8,2,FALSE))</f>
        <v/>
      </c>
      <c r="F173" s="276" t="str">
        <f>IFERROR(VLOOKUP(E173,'G-7 WaterC'' Data'!$C$4:$D$8,2,FALSE),"")</f>
        <v/>
      </c>
      <c r="G173" s="101"/>
      <c r="H173" s="276" t="str">
        <f>IFERROR(INDEX('G-7 WaterC'' Data'!$H$4:$L$8,MATCH(C173,'G-7 WaterC'' Data'!$B$4:$B$8,0),MATCH(G173,'G-7 WaterC'' Data'!$H$3:$L$3,0)),"")</f>
        <v/>
      </c>
      <c r="I173" s="52"/>
      <c r="J173" s="283" t="str">
        <f>IF(I173="","",IF(VLOOKUP(I173,'G-7 WaterC'' Data'!$AK$4:$AM$6,2,FALSE)=0,"Spatial Data Missing ⚠",VLOOKUP(I173,'G-7 WaterC'' Data'!$AK$4:$AM$6,2,FALSE)))</f>
        <v/>
      </c>
      <c r="K173" s="276" t="str">
        <f>IF(I173="","",IF(VLOOKUP(I173,'G-7 WaterC'' Data'!$AK$4:$AM$6,3,FALSE)=0,"Spatial Data Missing ⚠",VLOOKUP(I173,'G-7 WaterC'' Data'!$AK$4:$AM$6,3,FALSE)))</f>
        <v/>
      </c>
      <c r="L173" s="275" t="str">
        <f>IFERROR(INDEX('G-7 WaterC'' Data'!$O$3:$O$7,MATCH(G173,'G-7 WaterC'' Data'!$N$3:$N$7,0)),"")</f>
        <v/>
      </c>
      <c r="M173" s="58"/>
      <c r="N173" s="133"/>
      <c r="O173" s="283" t="str">
        <f t="shared" si="12"/>
        <v/>
      </c>
      <c r="P173" s="296" t="str">
        <f t="shared" si="13"/>
        <v/>
      </c>
      <c r="Q173" s="334" t="str">
        <f>IFERROR(IF(P173="Check Data ⚠","Check Data ⚠",VLOOKUP(P173,'G-4 Temporal multipliers'!$A$4:$C$37,3,FALSE)),"")</f>
        <v/>
      </c>
      <c r="R173" s="275" t="str">
        <f>IF(C173="","",VLOOKUP(C173,'G-7 WaterC'' Data'!$B$4:$G$8,4,FALSE))</f>
        <v/>
      </c>
      <c r="S173" s="283" t="str">
        <f t="shared" si="14"/>
        <v/>
      </c>
      <c r="T173" s="314" t="str">
        <f t="shared" si="15"/>
        <v/>
      </c>
      <c r="U173" s="276" t="str">
        <f>IF(C173="","",VLOOKUP(T173,'G-3 Multipliers'!$P$2:$Q$6,2,FALSE))</f>
        <v/>
      </c>
      <c r="V173" s="102"/>
      <c r="W173" s="276" t="str">
        <f>IF(V173="","",IF(AND(V173="N/A - Culvert",C173&lt;&gt;"Culvert"),"Not possible ▲",IF(AND(C173="Culvert",V173&lt;&gt;"N/A - Culvert"),"Not possible ▲",IF(VLOOKUP(V173,'G-7 WaterC'' Data'!$AA$4:$AB$7,2,FALSE)=0,"Spatial Data Missing ⚠",VLOOKUP(V173,'G-7 WaterC'' Data'!$AA$4:$AB$7,2,FALSE)))))</f>
        <v/>
      </c>
      <c r="X173" s="56"/>
      <c r="Y173" s="276" t="str">
        <f>IF(X173="","",IF(AND(X173="N/A - Culvert",C173&lt;&gt;"Culvert"),"Not possible ▲",IF(AND(C173="Culvert",X173&lt;&gt;"N/A - Culvert"),"Not possible ▲",IF(VLOOKUP(X173,'G-7 WaterC'' Data'!$AD$4:$AE$14,2,FALSE)=0,"Enrcoachment Data Missing ⚠",VLOOKUP(X173,'G-7 WaterC'' Data'!$AD$4:$AE$14,2,FALSE)))))</f>
        <v/>
      </c>
      <c r="Z173" s="317" t="str">
        <f t="shared" si="16"/>
        <v/>
      </c>
      <c r="AA173" s="101"/>
      <c r="AB173" s="115"/>
      <c r="AC173" s="104"/>
      <c r="AH173" s="30" t="str">
        <f>IFERROR(INDEX('G-7 WaterC'' Data'!$AZ$3:$AZ$7,MATCH(C173,'G-7 WaterC'' Data'!$AY$3:$AY$7,0)),"")</f>
        <v/>
      </c>
      <c r="AK173" s="30" t="str">
        <f t="shared" si="17"/>
        <v>No</v>
      </c>
    </row>
    <row r="174" spans="2:37" ht="14">
      <c r="B174" s="97">
        <v>163</v>
      </c>
      <c r="C174" s="920"/>
      <c r="D174" s="115"/>
      <c r="E174" s="275" t="str">
        <f>IF(C174="","",VLOOKUP(C174,'G-7 WaterC'' Data'!$B$2:$G$8,2,FALSE))</f>
        <v/>
      </c>
      <c r="F174" s="276" t="str">
        <f>IFERROR(VLOOKUP(E174,'G-7 WaterC'' Data'!$C$4:$D$8,2,FALSE),"")</f>
        <v/>
      </c>
      <c r="G174" s="101"/>
      <c r="H174" s="276" t="str">
        <f>IFERROR(INDEX('G-7 WaterC'' Data'!$H$4:$L$8,MATCH(C174,'G-7 WaterC'' Data'!$B$4:$B$8,0),MATCH(G174,'G-7 WaterC'' Data'!$H$3:$L$3,0)),"")</f>
        <v/>
      </c>
      <c r="I174" s="52"/>
      <c r="J174" s="283" t="str">
        <f>IF(I174="","",IF(VLOOKUP(I174,'G-7 WaterC'' Data'!$AK$4:$AM$6,2,FALSE)=0,"Spatial Data Missing ⚠",VLOOKUP(I174,'G-7 WaterC'' Data'!$AK$4:$AM$6,2,FALSE)))</f>
        <v/>
      </c>
      <c r="K174" s="276" t="str">
        <f>IF(I174="","",IF(VLOOKUP(I174,'G-7 WaterC'' Data'!$AK$4:$AM$6,3,FALSE)=0,"Spatial Data Missing ⚠",VLOOKUP(I174,'G-7 WaterC'' Data'!$AK$4:$AM$6,3,FALSE)))</f>
        <v/>
      </c>
      <c r="L174" s="275" t="str">
        <f>IFERROR(INDEX('G-7 WaterC'' Data'!$O$3:$O$7,MATCH(G174,'G-7 WaterC'' Data'!$N$3:$N$7,0)),"")</f>
        <v/>
      </c>
      <c r="M174" s="58"/>
      <c r="N174" s="133"/>
      <c r="O174" s="283" t="str">
        <f t="shared" si="12"/>
        <v/>
      </c>
      <c r="P174" s="296" t="str">
        <f t="shared" si="13"/>
        <v/>
      </c>
      <c r="Q174" s="334" t="str">
        <f>IFERROR(IF(P174="Check Data ⚠","Check Data ⚠",VLOOKUP(P174,'G-4 Temporal multipliers'!$A$4:$C$37,3,FALSE)),"")</f>
        <v/>
      </c>
      <c r="R174" s="275" t="str">
        <f>IF(C174="","",VLOOKUP(C174,'G-7 WaterC'' Data'!$B$4:$G$8,4,FALSE))</f>
        <v/>
      </c>
      <c r="S174" s="283" t="str">
        <f t="shared" si="14"/>
        <v/>
      </c>
      <c r="T174" s="314" t="str">
        <f t="shared" si="15"/>
        <v/>
      </c>
      <c r="U174" s="276" t="str">
        <f>IF(C174="","",VLOOKUP(T174,'G-3 Multipliers'!$P$2:$Q$6,2,FALSE))</f>
        <v/>
      </c>
      <c r="V174" s="102"/>
      <c r="W174" s="276" t="str">
        <f>IF(V174="","",IF(AND(V174="N/A - Culvert",C174&lt;&gt;"Culvert"),"Not possible ▲",IF(AND(C174="Culvert",V174&lt;&gt;"N/A - Culvert"),"Not possible ▲",IF(VLOOKUP(V174,'G-7 WaterC'' Data'!$AA$4:$AB$7,2,FALSE)=0,"Spatial Data Missing ⚠",VLOOKUP(V174,'G-7 WaterC'' Data'!$AA$4:$AB$7,2,FALSE)))))</f>
        <v/>
      </c>
      <c r="X174" s="56"/>
      <c r="Y174" s="276" t="str">
        <f>IF(X174="","",IF(AND(X174="N/A - Culvert",C174&lt;&gt;"Culvert"),"Not possible ▲",IF(AND(C174="Culvert",X174&lt;&gt;"N/A - Culvert"),"Not possible ▲",IF(VLOOKUP(X174,'G-7 WaterC'' Data'!$AD$4:$AE$14,2,FALSE)=0,"Enrcoachment Data Missing ⚠",VLOOKUP(X174,'G-7 WaterC'' Data'!$AD$4:$AE$14,2,FALSE)))))</f>
        <v/>
      </c>
      <c r="Z174" s="317" t="str">
        <f t="shared" si="16"/>
        <v/>
      </c>
      <c r="AA174" s="101"/>
      <c r="AB174" s="115"/>
      <c r="AC174" s="104"/>
      <c r="AH174" s="30" t="str">
        <f>IFERROR(INDEX('G-7 WaterC'' Data'!$AZ$3:$AZ$7,MATCH(C174,'G-7 WaterC'' Data'!$AY$3:$AY$7,0)),"")</f>
        <v/>
      </c>
      <c r="AK174" s="30" t="str">
        <f t="shared" si="17"/>
        <v>No</v>
      </c>
    </row>
    <row r="175" spans="2:37" ht="14">
      <c r="B175" s="97">
        <v>164</v>
      </c>
      <c r="C175" s="920"/>
      <c r="D175" s="115"/>
      <c r="E175" s="275" t="str">
        <f>IF(C175="","",VLOOKUP(C175,'G-7 WaterC'' Data'!$B$2:$G$8,2,FALSE))</f>
        <v/>
      </c>
      <c r="F175" s="276" t="str">
        <f>IFERROR(VLOOKUP(E175,'G-7 WaterC'' Data'!$C$4:$D$8,2,FALSE),"")</f>
        <v/>
      </c>
      <c r="G175" s="101"/>
      <c r="H175" s="276" t="str">
        <f>IFERROR(INDEX('G-7 WaterC'' Data'!$H$4:$L$8,MATCH(C175,'G-7 WaterC'' Data'!$B$4:$B$8,0),MATCH(G175,'G-7 WaterC'' Data'!$H$3:$L$3,0)),"")</f>
        <v/>
      </c>
      <c r="I175" s="52"/>
      <c r="J175" s="283" t="str">
        <f>IF(I175="","",IF(VLOOKUP(I175,'G-7 WaterC'' Data'!$AK$4:$AM$6,2,FALSE)=0,"Spatial Data Missing ⚠",VLOOKUP(I175,'G-7 WaterC'' Data'!$AK$4:$AM$6,2,FALSE)))</f>
        <v/>
      </c>
      <c r="K175" s="276" t="str">
        <f>IF(I175="","",IF(VLOOKUP(I175,'G-7 WaterC'' Data'!$AK$4:$AM$6,3,FALSE)=0,"Spatial Data Missing ⚠",VLOOKUP(I175,'G-7 WaterC'' Data'!$AK$4:$AM$6,3,FALSE)))</f>
        <v/>
      </c>
      <c r="L175" s="275" t="str">
        <f>IFERROR(INDEX('G-7 WaterC'' Data'!$O$3:$O$7,MATCH(G175,'G-7 WaterC'' Data'!$N$3:$N$7,0)),"")</f>
        <v/>
      </c>
      <c r="M175" s="58"/>
      <c r="N175" s="133"/>
      <c r="O175" s="283" t="str">
        <f t="shared" si="12"/>
        <v/>
      </c>
      <c r="P175" s="296" t="str">
        <f t="shared" si="13"/>
        <v/>
      </c>
      <c r="Q175" s="334" t="str">
        <f>IFERROR(IF(P175="Check Data ⚠","Check Data ⚠",VLOOKUP(P175,'G-4 Temporal multipliers'!$A$4:$C$37,3,FALSE)),"")</f>
        <v/>
      </c>
      <c r="R175" s="275" t="str">
        <f>IF(C175="","",VLOOKUP(C175,'G-7 WaterC'' Data'!$B$4:$G$8,4,FALSE))</f>
        <v/>
      </c>
      <c r="S175" s="283" t="str">
        <f t="shared" si="14"/>
        <v/>
      </c>
      <c r="T175" s="314" t="str">
        <f t="shared" si="15"/>
        <v/>
      </c>
      <c r="U175" s="276" t="str">
        <f>IF(C175="","",VLOOKUP(T175,'G-3 Multipliers'!$P$2:$Q$6,2,FALSE))</f>
        <v/>
      </c>
      <c r="V175" s="102"/>
      <c r="W175" s="276" t="str">
        <f>IF(V175="","",IF(AND(V175="N/A - Culvert",C175&lt;&gt;"Culvert"),"Not possible ▲",IF(AND(C175="Culvert",V175&lt;&gt;"N/A - Culvert"),"Not possible ▲",IF(VLOOKUP(V175,'G-7 WaterC'' Data'!$AA$4:$AB$7,2,FALSE)=0,"Spatial Data Missing ⚠",VLOOKUP(V175,'G-7 WaterC'' Data'!$AA$4:$AB$7,2,FALSE)))))</f>
        <v/>
      </c>
      <c r="X175" s="56"/>
      <c r="Y175" s="276" t="str">
        <f>IF(X175="","",IF(AND(X175="N/A - Culvert",C175&lt;&gt;"Culvert"),"Not possible ▲",IF(AND(C175="Culvert",X175&lt;&gt;"N/A - Culvert"),"Not possible ▲",IF(VLOOKUP(X175,'G-7 WaterC'' Data'!$AD$4:$AE$14,2,FALSE)=0,"Enrcoachment Data Missing ⚠",VLOOKUP(X175,'G-7 WaterC'' Data'!$AD$4:$AE$14,2,FALSE)))))</f>
        <v/>
      </c>
      <c r="Z175" s="317" t="str">
        <f t="shared" si="16"/>
        <v/>
      </c>
      <c r="AA175" s="101"/>
      <c r="AB175" s="115"/>
      <c r="AC175" s="104"/>
      <c r="AH175" s="30" t="str">
        <f>IFERROR(INDEX('G-7 WaterC'' Data'!$AZ$3:$AZ$7,MATCH(C175,'G-7 WaterC'' Data'!$AY$3:$AY$7,0)),"")</f>
        <v/>
      </c>
      <c r="AK175" s="30" t="str">
        <f t="shared" si="17"/>
        <v>No</v>
      </c>
    </row>
    <row r="176" spans="2:37" ht="14">
      <c r="B176" s="97">
        <v>165</v>
      </c>
      <c r="C176" s="920"/>
      <c r="D176" s="115"/>
      <c r="E176" s="275" t="str">
        <f>IF(C176="","",VLOOKUP(C176,'G-7 WaterC'' Data'!$B$2:$G$8,2,FALSE))</f>
        <v/>
      </c>
      <c r="F176" s="276" t="str">
        <f>IFERROR(VLOOKUP(E176,'G-7 WaterC'' Data'!$C$4:$D$8,2,FALSE),"")</f>
        <v/>
      </c>
      <c r="G176" s="101"/>
      <c r="H176" s="276" t="str">
        <f>IFERROR(INDEX('G-7 WaterC'' Data'!$H$4:$L$8,MATCH(C176,'G-7 WaterC'' Data'!$B$4:$B$8,0),MATCH(G176,'G-7 WaterC'' Data'!$H$3:$L$3,0)),"")</f>
        <v/>
      </c>
      <c r="I176" s="52"/>
      <c r="J176" s="283" t="str">
        <f>IF(I176="","",IF(VLOOKUP(I176,'G-7 WaterC'' Data'!$AK$4:$AM$6,2,FALSE)=0,"Spatial Data Missing ⚠",VLOOKUP(I176,'G-7 WaterC'' Data'!$AK$4:$AM$6,2,FALSE)))</f>
        <v/>
      </c>
      <c r="K176" s="276" t="str">
        <f>IF(I176="","",IF(VLOOKUP(I176,'G-7 WaterC'' Data'!$AK$4:$AM$6,3,FALSE)=0,"Spatial Data Missing ⚠",VLOOKUP(I176,'G-7 WaterC'' Data'!$AK$4:$AM$6,3,FALSE)))</f>
        <v/>
      </c>
      <c r="L176" s="275" t="str">
        <f>IFERROR(INDEX('G-7 WaterC'' Data'!$O$3:$O$7,MATCH(G176,'G-7 WaterC'' Data'!$N$3:$N$7,0)),"")</f>
        <v/>
      </c>
      <c r="M176" s="58"/>
      <c r="N176" s="133"/>
      <c r="O176" s="283" t="str">
        <f t="shared" si="12"/>
        <v/>
      </c>
      <c r="P176" s="296" t="str">
        <f t="shared" si="13"/>
        <v/>
      </c>
      <c r="Q176" s="334" t="str">
        <f>IFERROR(IF(P176="Check Data ⚠","Check Data ⚠",VLOOKUP(P176,'G-4 Temporal multipliers'!$A$4:$C$37,3,FALSE)),"")</f>
        <v/>
      </c>
      <c r="R176" s="275" t="str">
        <f>IF(C176="","",VLOOKUP(C176,'G-7 WaterC'' Data'!$B$4:$G$8,4,FALSE))</f>
        <v/>
      </c>
      <c r="S176" s="283" t="str">
        <f t="shared" si="14"/>
        <v/>
      </c>
      <c r="T176" s="314" t="str">
        <f t="shared" si="15"/>
        <v/>
      </c>
      <c r="U176" s="276" t="str">
        <f>IF(C176="","",VLOOKUP(T176,'G-3 Multipliers'!$P$2:$Q$6,2,FALSE))</f>
        <v/>
      </c>
      <c r="V176" s="102"/>
      <c r="W176" s="276" t="str">
        <f>IF(V176="","",IF(AND(V176="N/A - Culvert",C176&lt;&gt;"Culvert"),"Not possible ▲",IF(AND(C176="Culvert",V176&lt;&gt;"N/A - Culvert"),"Not possible ▲",IF(VLOOKUP(V176,'G-7 WaterC'' Data'!$AA$4:$AB$7,2,FALSE)=0,"Spatial Data Missing ⚠",VLOOKUP(V176,'G-7 WaterC'' Data'!$AA$4:$AB$7,2,FALSE)))))</f>
        <v/>
      </c>
      <c r="X176" s="56"/>
      <c r="Y176" s="276" t="str">
        <f>IF(X176="","",IF(AND(X176="N/A - Culvert",C176&lt;&gt;"Culvert"),"Not possible ▲",IF(AND(C176="Culvert",X176&lt;&gt;"N/A - Culvert"),"Not possible ▲",IF(VLOOKUP(X176,'G-7 WaterC'' Data'!$AD$4:$AE$14,2,FALSE)=0,"Enrcoachment Data Missing ⚠",VLOOKUP(X176,'G-7 WaterC'' Data'!$AD$4:$AE$14,2,FALSE)))))</f>
        <v/>
      </c>
      <c r="Z176" s="317" t="str">
        <f t="shared" si="16"/>
        <v/>
      </c>
      <c r="AA176" s="101"/>
      <c r="AB176" s="115"/>
      <c r="AC176" s="104"/>
      <c r="AH176" s="30" t="str">
        <f>IFERROR(INDEX('G-7 WaterC'' Data'!$AZ$3:$AZ$7,MATCH(C176,'G-7 WaterC'' Data'!$AY$3:$AY$7,0)),"")</f>
        <v/>
      </c>
      <c r="AK176" s="30" t="str">
        <f t="shared" si="17"/>
        <v>No</v>
      </c>
    </row>
    <row r="177" spans="2:37" ht="14">
      <c r="B177" s="97">
        <v>166</v>
      </c>
      <c r="C177" s="920"/>
      <c r="D177" s="115"/>
      <c r="E177" s="275" t="str">
        <f>IF(C177="","",VLOOKUP(C177,'G-7 WaterC'' Data'!$B$2:$G$8,2,FALSE))</f>
        <v/>
      </c>
      <c r="F177" s="276" t="str">
        <f>IFERROR(VLOOKUP(E177,'G-7 WaterC'' Data'!$C$4:$D$8,2,FALSE),"")</f>
        <v/>
      </c>
      <c r="G177" s="101"/>
      <c r="H177" s="276" t="str">
        <f>IFERROR(INDEX('G-7 WaterC'' Data'!$H$4:$L$8,MATCH(C177,'G-7 WaterC'' Data'!$B$4:$B$8,0),MATCH(G177,'G-7 WaterC'' Data'!$H$3:$L$3,0)),"")</f>
        <v/>
      </c>
      <c r="I177" s="52"/>
      <c r="J177" s="283" t="str">
        <f>IF(I177="","",IF(VLOOKUP(I177,'G-7 WaterC'' Data'!$AK$4:$AM$6,2,FALSE)=0,"Spatial Data Missing ⚠",VLOOKUP(I177,'G-7 WaterC'' Data'!$AK$4:$AM$6,2,FALSE)))</f>
        <v/>
      </c>
      <c r="K177" s="276" t="str">
        <f>IF(I177="","",IF(VLOOKUP(I177,'G-7 WaterC'' Data'!$AK$4:$AM$6,3,FALSE)=0,"Spatial Data Missing ⚠",VLOOKUP(I177,'G-7 WaterC'' Data'!$AK$4:$AM$6,3,FALSE)))</f>
        <v/>
      </c>
      <c r="L177" s="275" t="str">
        <f>IFERROR(INDEX('G-7 WaterC'' Data'!$O$3:$O$7,MATCH(G177,'G-7 WaterC'' Data'!$N$3:$N$7,0)),"")</f>
        <v/>
      </c>
      <c r="M177" s="58"/>
      <c r="N177" s="133"/>
      <c r="O177" s="283" t="str">
        <f t="shared" si="12"/>
        <v/>
      </c>
      <c r="P177" s="296" t="str">
        <f t="shared" si="13"/>
        <v/>
      </c>
      <c r="Q177" s="334" t="str">
        <f>IFERROR(IF(P177="Check Data ⚠","Check Data ⚠",VLOOKUP(P177,'G-4 Temporal multipliers'!$A$4:$C$37,3,FALSE)),"")</f>
        <v/>
      </c>
      <c r="R177" s="275" t="str">
        <f>IF(C177="","",VLOOKUP(C177,'G-7 WaterC'' Data'!$B$4:$G$8,4,FALSE))</f>
        <v/>
      </c>
      <c r="S177" s="283" t="str">
        <f t="shared" si="14"/>
        <v/>
      </c>
      <c r="T177" s="314" t="str">
        <f t="shared" si="15"/>
        <v/>
      </c>
      <c r="U177" s="276" t="str">
        <f>IF(C177="","",VLOOKUP(T177,'G-3 Multipliers'!$P$2:$Q$6,2,FALSE))</f>
        <v/>
      </c>
      <c r="V177" s="102"/>
      <c r="W177" s="276" t="str">
        <f>IF(V177="","",IF(AND(V177="N/A - Culvert",C177&lt;&gt;"Culvert"),"Not possible ▲",IF(AND(C177="Culvert",V177&lt;&gt;"N/A - Culvert"),"Not possible ▲",IF(VLOOKUP(V177,'G-7 WaterC'' Data'!$AA$4:$AB$7,2,FALSE)=0,"Spatial Data Missing ⚠",VLOOKUP(V177,'G-7 WaterC'' Data'!$AA$4:$AB$7,2,FALSE)))))</f>
        <v/>
      </c>
      <c r="X177" s="56"/>
      <c r="Y177" s="276" t="str">
        <f>IF(X177="","",IF(AND(X177="N/A - Culvert",C177&lt;&gt;"Culvert"),"Not possible ▲",IF(AND(C177="Culvert",X177&lt;&gt;"N/A - Culvert"),"Not possible ▲",IF(VLOOKUP(X177,'G-7 WaterC'' Data'!$AD$4:$AE$14,2,FALSE)=0,"Enrcoachment Data Missing ⚠",VLOOKUP(X177,'G-7 WaterC'' Data'!$AD$4:$AE$14,2,FALSE)))))</f>
        <v/>
      </c>
      <c r="Z177" s="317" t="str">
        <f t="shared" si="16"/>
        <v/>
      </c>
      <c r="AA177" s="101"/>
      <c r="AB177" s="115"/>
      <c r="AC177" s="104"/>
      <c r="AH177" s="30" t="str">
        <f>IFERROR(INDEX('G-7 WaterC'' Data'!$AZ$3:$AZ$7,MATCH(C177,'G-7 WaterC'' Data'!$AY$3:$AY$7,0)),"")</f>
        <v/>
      </c>
      <c r="AK177" s="30" t="str">
        <f t="shared" si="17"/>
        <v>No</v>
      </c>
    </row>
    <row r="178" spans="2:37" ht="14">
      <c r="B178" s="97">
        <v>167</v>
      </c>
      <c r="C178" s="920"/>
      <c r="D178" s="115"/>
      <c r="E178" s="275" t="str">
        <f>IF(C178="","",VLOOKUP(C178,'G-7 WaterC'' Data'!$B$2:$G$8,2,FALSE))</f>
        <v/>
      </c>
      <c r="F178" s="276" t="str">
        <f>IFERROR(VLOOKUP(E178,'G-7 WaterC'' Data'!$C$4:$D$8,2,FALSE),"")</f>
        <v/>
      </c>
      <c r="G178" s="101"/>
      <c r="H178" s="276" t="str">
        <f>IFERROR(INDEX('G-7 WaterC'' Data'!$H$4:$L$8,MATCH(C178,'G-7 WaterC'' Data'!$B$4:$B$8,0),MATCH(G178,'G-7 WaterC'' Data'!$H$3:$L$3,0)),"")</f>
        <v/>
      </c>
      <c r="I178" s="52"/>
      <c r="J178" s="283" t="str">
        <f>IF(I178="","",IF(VLOOKUP(I178,'G-7 WaterC'' Data'!$AK$4:$AM$6,2,FALSE)=0,"Spatial Data Missing ⚠",VLOOKUP(I178,'G-7 WaterC'' Data'!$AK$4:$AM$6,2,FALSE)))</f>
        <v/>
      </c>
      <c r="K178" s="276" t="str">
        <f>IF(I178="","",IF(VLOOKUP(I178,'G-7 WaterC'' Data'!$AK$4:$AM$6,3,FALSE)=0,"Spatial Data Missing ⚠",VLOOKUP(I178,'G-7 WaterC'' Data'!$AK$4:$AM$6,3,FALSE)))</f>
        <v/>
      </c>
      <c r="L178" s="275" t="str">
        <f>IFERROR(INDEX('G-7 WaterC'' Data'!$O$3:$O$7,MATCH(G178,'G-7 WaterC'' Data'!$N$3:$N$7,0)),"")</f>
        <v/>
      </c>
      <c r="M178" s="58"/>
      <c r="N178" s="133"/>
      <c r="O178" s="283" t="str">
        <f t="shared" si="12"/>
        <v/>
      </c>
      <c r="P178" s="296" t="str">
        <f t="shared" si="13"/>
        <v/>
      </c>
      <c r="Q178" s="334" t="str">
        <f>IFERROR(IF(P178="Check Data ⚠","Check Data ⚠",VLOOKUP(P178,'G-4 Temporal multipliers'!$A$4:$C$37,3,FALSE)),"")</f>
        <v/>
      </c>
      <c r="R178" s="275" t="str">
        <f>IF(C178="","",VLOOKUP(C178,'G-7 WaterC'' Data'!$B$4:$G$8,4,FALSE))</f>
        <v/>
      </c>
      <c r="S178" s="283" t="str">
        <f t="shared" si="14"/>
        <v/>
      </c>
      <c r="T178" s="314" t="str">
        <f t="shared" si="15"/>
        <v/>
      </c>
      <c r="U178" s="276" t="str">
        <f>IF(C178="","",VLOOKUP(T178,'G-3 Multipliers'!$P$2:$Q$6,2,FALSE))</f>
        <v/>
      </c>
      <c r="V178" s="102"/>
      <c r="W178" s="276" t="str">
        <f>IF(V178="","",IF(AND(V178="N/A - Culvert",C178&lt;&gt;"Culvert"),"Not possible ▲",IF(AND(C178="Culvert",V178&lt;&gt;"N/A - Culvert"),"Not possible ▲",IF(VLOOKUP(V178,'G-7 WaterC'' Data'!$AA$4:$AB$7,2,FALSE)=0,"Spatial Data Missing ⚠",VLOOKUP(V178,'G-7 WaterC'' Data'!$AA$4:$AB$7,2,FALSE)))))</f>
        <v/>
      </c>
      <c r="X178" s="56"/>
      <c r="Y178" s="276" t="str">
        <f>IF(X178="","",IF(AND(X178="N/A - Culvert",C178&lt;&gt;"Culvert"),"Not possible ▲",IF(AND(C178="Culvert",X178&lt;&gt;"N/A - Culvert"),"Not possible ▲",IF(VLOOKUP(X178,'G-7 WaterC'' Data'!$AD$4:$AE$14,2,FALSE)=0,"Enrcoachment Data Missing ⚠",VLOOKUP(X178,'G-7 WaterC'' Data'!$AD$4:$AE$14,2,FALSE)))))</f>
        <v/>
      </c>
      <c r="Z178" s="317" t="str">
        <f t="shared" si="16"/>
        <v/>
      </c>
      <c r="AA178" s="101"/>
      <c r="AB178" s="115"/>
      <c r="AC178" s="104"/>
      <c r="AH178" s="30" t="str">
        <f>IFERROR(INDEX('G-7 WaterC'' Data'!$AZ$3:$AZ$7,MATCH(C178,'G-7 WaterC'' Data'!$AY$3:$AY$7,0)),"")</f>
        <v/>
      </c>
      <c r="AK178" s="30" t="str">
        <f t="shared" si="17"/>
        <v>No</v>
      </c>
    </row>
    <row r="179" spans="2:37" ht="14">
      <c r="B179" s="97">
        <v>168</v>
      </c>
      <c r="C179" s="920"/>
      <c r="D179" s="115"/>
      <c r="E179" s="275" t="str">
        <f>IF(C179="","",VLOOKUP(C179,'G-7 WaterC'' Data'!$B$2:$G$8,2,FALSE))</f>
        <v/>
      </c>
      <c r="F179" s="276" t="str">
        <f>IFERROR(VLOOKUP(E179,'G-7 WaterC'' Data'!$C$4:$D$8,2,FALSE),"")</f>
        <v/>
      </c>
      <c r="G179" s="101"/>
      <c r="H179" s="276" t="str">
        <f>IFERROR(INDEX('G-7 WaterC'' Data'!$H$4:$L$8,MATCH(C179,'G-7 WaterC'' Data'!$B$4:$B$8,0),MATCH(G179,'G-7 WaterC'' Data'!$H$3:$L$3,0)),"")</f>
        <v/>
      </c>
      <c r="I179" s="52"/>
      <c r="J179" s="283" t="str">
        <f>IF(I179="","",IF(VLOOKUP(I179,'G-7 WaterC'' Data'!$AK$4:$AM$6,2,FALSE)=0,"Spatial Data Missing ⚠",VLOOKUP(I179,'G-7 WaterC'' Data'!$AK$4:$AM$6,2,FALSE)))</f>
        <v/>
      </c>
      <c r="K179" s="276" t="str">
        <f>IF(I179="","",IF(VLOOKUP(I179,'G-7 WaterC'' Data'!$AK$4:$AM$6,3,FALSE)=0,"Spatial Data Missing ⚠",VLOOKUP(I179,'G-7 WaterC'' Data'!$AK$4:$AM$6,3,FALSE)))</f>
        <v/>
      </c>
      <c r="L179" s="275" t="str">
        <f>IFERROR(INDEX('G-7 WaterC'' Data'!$O$3:$O$7,MATCH(G179,'G-7 WaterC'' Data'!$N$3:$N$7,0)),"")</f>
        <v/>
      </c>
      <c r="M179" s="58"/>
      <c r="N179" s="133"/>
      <c r="O179" s="283" t="str">
        <f t="shared" si="12"/>
        <v/>
      </c>
      <c r="P179" s="296" t="str">
        <f t="shared" si="13"/>
        <v/>
      </c>
      <c r="Q179" s="334" t="str">
        <f>IFERROR(IF(P179="Check Data ⚠","Check Data ⚠",VLOOKUP(P179,'G-4 Temporal multipliers'!$A$4:$C$37,3,FALSE)),"")</f>
        <v/>
      </c>
      <c r="R179" s="275" t="str">
        <f>IF(C179="","",VLOOKUP(C179,'G-7 WaterC'' Data'!$B$4:$G$8,4,FALSE))</f>
        <v/>
      </c>
      <c r="S179" s="283" t="str">
        <f t="shared" si="14"/>
        <v/>
      </c>
      <c r="T179" s="314" t="str">
        <f t="shared" si="15"/>
        <v/>
      </c>
      <c r="U179" s="276" t="str">
        <f>IF(C179="","",VLOOKUP(T179,'G-3 Multipliers'!$P$2:$Q$6,2,FALSE))</f>
        <v/>
      </c>
      <c r="V179" s="102"/>
      <c r="W179" s="276" t="str">
        <f>IF(V179="","",IF(AND(V179="N/A - Culvert",C179&lt;&gt;"Culvert"),"Not possible ▲",IF(AND(C179="Culvert",V179&lt;&gt;"N/A - Culvert"),"Not possible ▲",IF(VLOOKUP(V179,'G-7 WaterC'' Data'!$AA$4:$AB$7,2,FALSE)=0,"Spatial Data Missing ⚠",VLOOKUP(V179,'G-7 WaterC'' Data'!$AA$4:$AB$7,2,FALSE)))))</f>
        <v/>
      </c>
      <c r="X179" s="56"/>
      <c r="Y179" s="276" t="str">
        <f>IF(X179="","",IF(AND(X179="N/A - Culvert",C179&lt;&gt;"Culvert"),"Not possible ▲",IF(AND(C179="Culvert",X179&lt;&gt;"N/A - Culvert"),"Not possible ▲",IF(VLOOKUP(X179,'G-7 WaterC'' Data'!$AD$4:$AE$14,2,FALSE)=0,"Enrcoachment Data Missing ⚠",VLOOKUP(X179,'G-7 WaterC'' Data'!$AD$4:$AE$14,2,FALSE)))))</f>
        <v/>
      </c>
      <c r="Z179" s="317" t="str">
        <f t="shared" si="16"/>
        <v/>
      </c>
      <c r="AA179" s="101"/>
      <c r="AB179" s="115"/>
      <c r="AC179" s="104"/>
      <c r="AH179" s="30" t="str">
        <f>IFERROR(INDEX('G-7 WaterC'' Data'!$AZ$3:$AZ$7,MATCH(C179,'G-7 WaterC'' Data'!$AY$3:$AY$7,0)),"")</f>
        <v/>
      </c>
      <c r="AK179" s="30" t="str">
        <f t="shared" si="17"/>
        <v>No</v>
      </c>
    </row>
    <row r="180" spans="2:37" ht="14">
      <c r="B180" s="97">
        <v>169</v>
      </c>
      <c r="C180" s="920"/>
      <c r="D180" s="115"/>
      <c r="E180" s="275" t="str">
        <f>IF(C180="","",VLOOKUP(C180,'G-7 WaterC'' Data'!$B$2:$G$8,2,FALSE))</f>
        <v/>
      </c>
      <c r="F180" s="276" t="str">
        <f>IFERROR(VLOOKUP(E180,'G-7 WaterC'' Data'!$C$4:$D$8,2,FALSE),"")</f>
        <v/>
      </c>
      <c r="G180" s="101"/>
      <c r="H180" s="276" t="str">
        <f>IFERROR(INDEX('G-7 WaterC'' Data'!$H$4:$L$8,MATCH(C180,'G-7 WaterC'' Data'!$B$4:$B$8,0),MATCH(G180,'G-7 WaterC'' Data'!$H$3:$L$3,0)),"")</f>
        <v/>
      </c>
      <c r="I180" s="52"/>
      <c r="J180" s="283" t="str">
        <f>IF(I180="","",IF(VLOOKUP(I180,'G-7 WaterC'' Data'!$AK$4:$AM$6,2,FALSE)=0,"Spatial Data Missing ⚠",VLOOKUP(I180,'G-7 WaterC'' Data'!$AK$4:$AM$6,2,FALSE)))</f>
        <v/>
      </c>
      <c r="K180" s="276" t="str">
        <f>IF(I180="","",IF(VLOOKUP(I180,'G-7 WaterC'' Data'!$AK$4:$AM$6,3,FALSE)=0,"Spatial Data Missing ⚠",VLOOKUP(I180,'G-7 WaterC'' Data'!$AK$4:$AM$6,3,FALSE)))</f>
        <v/>
      </c>
      <c r="L180" s="275" t="str">
        <f>IFERROR(INDEX('G-7 WaterC'' Data'!$O$3:$O$7,MATCH(G180,'G-7 WaterC'' Data'!$N$3:$N$7,0)),"")</f>
        <v/>
      </c>
      <c r="M180" s="58"/>
      <c r="N180" s="133"/>
      <c r="O180" s="283" t="str">
        <f t="shared" si="12"/>
        <v/>
      </c>
      <c r="P180" s="296" t="str">
        <f t="shared" si="13"/>
        <v/>
      </c>
      <c r="Q180" s="334" t="str">
        <f>IFERROR(IF(P180="Check Data ⚠","Check Data ⚠",VLOOKUP(P180,'G-4 Temporal multipliers'!$A$4:$C$37,3,FALSE)),"")</f>
        <v/>
      </c>
      <c r="R180" s="275" t="str">
        <f>IF(C180="","",VLOOKUP(C180,'G-7 WaterC'' Data'!$B$4:$G$8,4,FALSE))</f>
        <v/>
      </c>
      <c r="S180" s="283" t="str">
        <f t="shared" si="14"/>
        <v/>
      </c>
      <c r="T180" s="314" t="str">
        <f t="shared" si="15"/>
        <v/>
      </c>
      <c r="U180" s="276" t="str">
        <f>IF(C180="","",VLOOKUP(T180,'G-3 Multipliers'!$P$2:$Q$6,2,FALSE))</f>
        <v/>
      </c>
      <c r="V180" s="102"/>
      <c r="W180" s="276" t="str">
        <f>IF(V180="","",IF(AND(V180="N/A - Culvert",C180&lt;&gt;"Culvert"),"Not possible ▲",IF(AND(C180="Culvert",V180&lt;&gt;"N/A - Culvert"),"Not possible ▲",IF(VLOOKUP(V180,'G-7 WaterC'' Data'!$AA$4:$AB$7,2,FALSE)=0,"Spatial Data Missing ⚠",VLOOKUP(V180,'G-7 WaterC'' Data'!$AA$4:$AB$7,2,FALSE)))))</f>
        <v/>
      </c>
      <c r="X180" s="56"/>
      <c r="Y180" s="276" t="str">
        <f>IF(X180="","",IF(AND(X180="N/A - Culvert",C180&lt;&gt;"Culvert"),"Not possible ▲",IF(AND(C180="Culvert",X180&lt;&gt;"N/A - Culvert"),"Not possible ▲",IF(VLOOKUP(X180,'G-7 WaterC'' Data'!$AD$4:$AE$14,2,FALSE)=0,"Enrcoachment Data Missing ⚠",VLOOKUP(X180,'G-7 WaterC'' Data'!$AD$4:$AE$14,2,FALSE)))))</f>
        <v/>
      </c>
      <c r="Z180" s="317" t="str">
        <f t="shared" si="16"/>
        <v/>
      </c>
      <c r="AA180" s="101"/>
      <c r="AB180" s="115"/>
      <c r="AC180" s="104"/>
      <c r="AH180" s="30" t="str">
        <f>IFERROR(INDEX('G-7 WaterC'' Data'!$AZ$3:$AZ$7,MATCH(C180,'G-7 WaterC'' Data'!$AY$3:$AY$7,0)),"")</f>
        <v/>
      </c>
      <c r="AK180" s="30" t="str">
        <f t="shared" si="17"/>
        <v>No</v>
      </c>
    </row>
    <row r="181" spans="2:37" ht="14">
      <c r="B181" s="97">
        <v>170</v>
      </c>
      <c r="C181" s="920"/>
      <c r="D181" s="115"/>
      <c r="E181" s="275" t="str">
        <f>IF(C181="","",VLOOKUP(C181,'G-7 WaterC'' Data'!$B$2:$G$8,2,FALSE))</f>
        <v/>
      </c>
      <c r="F181" s="276" t="str">
        <f>IFERROR(VLOOKUP(E181,'G-7 WaterC'' Data'!$C$4:$D$8,2,FALSE),"")</f>
        <v/>
      </c>
      <c r="G181" s="101"/>
      <c r="H181" s="276" t="str">
        <f>IFERROR(INDEX('G-7 WaterC'' Data'!$H$4:$L$8,MATCH(C181,'G-7 WaterC'' Data'!$B$4:$B$8,0),MATCH(G181,'G-7 WaterC'' Data'!$H$3:$L$3,0)),"")</f>
        <v/>
      </c>
      <c r="I181" s="52"/>
      <c r="J181" s="283" t="str">
        <f>IF(I181="","",IF(VLOOKUP(I181,'G-7 WaterC'' Data'!$AK$4:$AM$6,2,FALSE)=0,"Spatial Data Missing ⚠",VLOOKUP(I181,'G-7 WaterC'' Data'!$AK$4:$AM$6,2,FALSE)))</f>
        <v/>
      </c>
      <c r="K181" s="276" t="str">
        <f>IF(I181="","",IF(VLOOKUP(I181,'G-7 WaterC'' Data'!$AK$4:$AM$6,3,FALSE)=0,"Spatial Data Missing ⚠",VLOOKUP(I181,'G-7 WaterC'' Data'!$AK$4:$AM$6,3,FALSE)))</f>
        <v/>
      </c>
      <c r="L181" s="275" t="str">
        <f>IFERROR(INDEX('G-7 WaterC'' Data'!$O$3:$O$7,MATCH(G181,'G-7 WaterC'' Data'!$N$3:$N$7,0)),"")</f>
        <v/>
      </c>
      <c r="M181" s="58"/>
      <c r="N181" s="133"/>
      <c r="O181" s="283" t="str">
        <f t="shared" si="12"/>
        <v/>
      </c>
      <c r="P181" s="296" t="str">
        <f t="shared" si="13"/>
        <v/>
      </c>
      <c r="Q181" s="334" t="str">
        <f>IFERROR(IF(P181="Check Data ⚠","Check Data ⚠",VLOOKUP(P181,'G-4 Temporal multipliers'!$A$4:$C$37,3,FALSE)),"")</f>
        <v/>
      </c>
      <c r="R181" s="275" t="str">
        <f>IF(C181="","",VLOOKUP(C181,'G-7 WaterC'' Data'!$B$4:$G$8,4,FALSE))</f>
        <v/>
      </c>
      <c r="S181" s="283" t="str">
        <f t="shared" si="14"/>
        <v/>
      </c>
      <c r="T181" s="314" t="str">
        <f t="shared" si="15"/>
        <v/>
      </c>
      <c r="U181" s="276" t="str">
        <f>IF(C181="","",VLOOKUP(T181,'G-3 Multipliers'!$P$2:$Q$6,2,FALSE))</f>
        <v/>
      </c>
      <c r="V181" s="102"/>
      <c r="W181" s="276" t="str">
        <f>IF(V181="","",IF(AND(V181="N/A - Culvert",C181&lt;&gt;"Culvert"),"Not possible ▲",IF(AND(C181="Culvert",V181&lt;&gt;"N/A - Culvert"),"Not possible ▲",IF(VLOOKUP(V181,'G-7 WaterC'' Data'!$AA$4:$AB$7,2,FALSE)=0,"Spatial Data Missing ⚠",VLOOKUP(V181,'G-7 WaterC'' Data'!$AA$4:$AB$7,2,FALSE)))))</f>
        <v/>
      </c>
      <c r="X181" s="56"/>
      <c r="Y181" s="276" t="str">
        <f>IF(X181="","",IF(AND(X181="N/A - Culvert",C181&lt;&gt;"Culvert"),"Not possible ▲",IF(AND(C181="Culvert",X181&lt;&gt;"N/A - Culvert"),"Not possible ▲",IF(VLOOKUP(X181,'G-7 WaterC'' Data'!$AD$4:$AE$14,2,FALSE)=0,"Enrcoachment Data Missing ⚠",VLOOKUP(X181,'G-7 WaterC'' Data'!$AD$4:$AE$14,2,FALSE)))))</f>
        <v/>
      </c>
      <c r="Z181" s="317" t="str">
        <f t="shared" si="16"/>
        <v/>
      </c>
      <c r="AA181" s="101"/>
      <c r="AB181" s="115"/>
      <c r="AC181" s="104"/>
      <c r="AH181" s="30" t="str">
        <f>IFERROR(INDEX('G-7 WaterC'' Data'!$AZ$3:$AZ$7,MATCH(C181,'G-7 WaterC'' Data'!$AY$3:$AY$7,0)),"")</f>
        <v/>
      </c>
      <c r="AK181" s="30" t="str">
        <f t="shared" si="17"/>
        <v>No</v>
      </c>
    </row>
    <row r="182" spans="2:37" ht="14">
      <c r="B182" s="97">
        <v>171</v>
      </c>
      <c r="C182" s="920"/>
      <c r="D182" s="115"/>
      <c r="E182" s="275" t="str">
        <f>IF(C182="","",VLOOKUP(C182,'G-7 WaterC'' Data'!$B$2:$G$8,2,FALSE))</f>
        <v/>
      </c>
      <c r="F182" s="276" t="str">
        <f>IFERROR(VLOOKUP(E182,'G-7 WaterC'' Data'!$C$4:$D$8,2,FALSE),"")</f>
        <v/>
      </c>
      <c r="G182" s="101"/>
      <c r="H182" s="276" t="str">
        <f>IFERROR(INDEX('G-7 WaterC'' Data'!$H$4:$L$8,MATCH(C182,'G-7 WaterC'' Data'!$B$4:$B$8,0),MATCH(G182,'G-7 WaterC'' Data'!$H$3:$L$3,0)),"")</f>
        <v/>
      </c>
      <c r="I182" s="52"/>
      <c r="J182" s="283" t="str">
        <f>IF(I182="","",IF(VLOOKUP(I182,'G-7 WaterC'' Data'!$AK$4:$AM$6,2,FALSE)=0,"Spatial Data Missing ⚠",VLOOKUP(I182,'G-7 WaterC'' Data'!$AK$4:$AM$6,2,FALSE)))</f>
        <v/>
      </c>
      <c r="K182" s="276" t="str">
        <f>IF(I182="","",IF(VLOOKUP(I182,'G-7 WaterC'' Data'!$AK$4:$AM$6,3,FALSE)=0,"Spatial Data Missing ⚠",VLOOKUP(I182,'G-7 WaterC'' Data'!$AK$4:$AM$6,3,FALSE)))</f>
        <v/>
      </c>
      <c r="L182" s="275" t="str">
        <f>IFERROR(INDEX('G-7 WaterC'' Data'!$O$3:$O$7,MATCH(G182,'G-7 WaterC'' Data'!$N$3:$N$7,0)),"")</f>
        <v/>
      </c>
      <c r="M182" s="58"/>
      <c r="N182" s="133"/>
      <c r="O182" s="283" t="str">
        <f t="shared" si="12"/>
        <v/>
      </c>
      <c r="P182" s="296" t="str">
        <f t="shared" si="13"/>
        <v/>
      </c>
      <c r="Q182" s="334" t="str">
        <f>IFERROR(IF(P182="Check Data ⚠","Check Data ⚠",VLOOKUP(P182,'G-4 Temporal multipliers'!$A$4:$C$37,3,FALSE)),"")</f>
        <v/>
      </c>
      <c r="R182" s="275" t="str">
        <f>IF(C182="","",VLOOKUP(C182,'G-7 WaterC'' Data'!$B$4:$G$8,4,FALSE))</f>
        <v/>
      </c>
      <c r="S182" s="283" t="str">
        <f t="shared" si="14"/>
        <v/>
      </c>
      <c r="T182" s="314" t="str">
        <f t="shared" si="15"/>
        <v/>
      </c>
      <c r="U182" s="276" t="str">
        <f>IF(C182="","",VLOOKUP(T182,'G-3 Multipliers'!$P$2:$Q$6,2,FALSE))</f>
        <v/>
      </c>
      <c r="V182" s="102"/>
      <c r="W182" s="276" t="str">
        <f>IF(V182="","",IF(AND(V182="N/A - Culvert",C182&lt;&gt;"Culvert"),"Not possible ▲",IF(AND(C182="Culvert",V182&lt;&gt;"N/A - Culvert"),"Not possible ▲",IF(VLOOKUP(V182,'G-7 WaterC'' Data'!$AA$4:$AB$7,2,FALSE)=0,"Spatial Data Missing ⚠",VLOOKUP(V182,'G-7 WaterC'' Data'!$AA$4:$AB$7,2,FALSE)))))</f>
        <v/>
      </c>
      <c r="X182" s="56"/>
      <c r="Y182" s="276" t="str">
        <f>IF(X182="","",IF(AND(X182="N/A - Culvert",C182&lt;&gt;"Culvert"),"Not possible ▲",IF(AND(C182="Culvert",X182&lt;&gt;"N/A - Culvert"),"Not possible ▲",IF(VLOOKUP(X182,'G-7 WaterC'' Data'!$AD$4:$AE$14,2,FALSE)=0,"Enrcoachment Data Missing ⚠",VLOOKUP(X182,'G-7 WaterC'' Data'!$AD$4:$AE$14,2,FALSE)))))</f>
        <v/>
      </c>
      <c r="Z182" s="317" t="str">
        <f t="shared" si="16"/>
        <v/>
      </c>
      <c r="AA182" s="101"/>
      <c r="AB182" s="115"/>
      <c r="AC182" s="104"/>
      <c r="AH182" s="30" t="str">
        <f>IFERROR(INDEX('G-7 WaterC'' Data'!$AZ$3:$AZ$7,MATCH(C182,'G-7 WaterC'' Data'!$AY$3:$AY$7,0)),"")</f>
        <v/>
      </c>
      <c r="AK182" s="30" t="str">
        <f t="shared" si="17"/>
        <v>No</v>
      </c>
    </row>
    <row r="183" spans="2:37" ht="14">
      <c r="B183" s="97">
        <v>172</v>
      </c>
      <c r="C183" s="920"/>
      <c r="D183" s="115"/>
      <c r="E183" s="275" t="str">
        <f>IF(C183="","",VLOOKUP(C183,'G-7 WaterC'' Data'!$B$2:$G$8,2,FALSE))</f>
        <v/>
      </c>
      <c r="F183" s="276" t="str">
        <f>IFERROR(VLOOKUP(E183,'G-7 WaterC'' Data'!$C$4:$D$8,2,FALSE),"")</f>
        <v/>
      </c>
      <c r="G183" s="101"/>
      <c r="H183" s="276" t="str">
        <f>IFERROR(INDEX('G-7 WaterC'' Data'!$H$4:$L$8,MATCH(C183,'G-7 WaterC'' Data'!$B$4:$B$8,0),MATCH(G183,'G-7 WaterC'' Data'!$H$3:$L$3,0)),"")</f>
        <v/>
      </c>
      <c r="I183" s="52"/>
      <c r="J183" s="283" t="str">
        <f>IF(I183="","",IF(VLOOKUP(I183,'G-7 WaterC'' Data'!$AK$4:$AM$6,2,FALSE)=0,"Spatial Data Missing ⚠",VLOOKUP(I183,'G-7 WaterC'' Data'!$AK$4:$AM$6,2,FALSE)))</f>
        <v/>
      </c>
      <c r="K183" s="276" t="str">
        <f>IF(I183="","",IF(VLOOKUP(I183,'G-7 WaterC'' Data'!$AK$4:$AM$6,3,FALSE)=0,"Spatial Data Missing ⚠",VLOOKUP(I183,'G-7 WaterC'' Data'!$AK$4:$AM$6,3,FALSE)))</f>
        <v/>
      </c>
      <c r="L183" s="275" t="str">
        <f>IFERROR(INDEX('G-7 WaterC'' Data'!$O$3:$O$7,MATCH(G183,'G-7 WaterC'' Data'!$N$3:$N$7,0)),"")</f>
        <v/>
      </c>
      <c r="M183" s="58"/>
      <c r="N183" s="133"/>
      <c r="O183" s="283" t="str">
        <f t="shared" si="12"/>
        <v/>
      </c>
      <c r="P183" s="296" t="str">
        <f t="shared" si="13"/>
        <v/>
      </c>
      <c r="Q183" s="334" t="str">
        <f>IFERROR(IF(P183="Check Data ⚠","Check Data ⚠",VLOOKUP(P183,'G-4 Temporal multipliers'!$A$4:$C$37,3,FALSE)),"")</f>
        <v/>
      </c>
      <c r="R183" s="275" t="str">
        <f>IF(C183="","",VLOOKUP(C183,'G-7 WaterC'' Data'!$B$4:$G$8,4,FALSE))</f>
        <v/>
      </c>
      <c r="S183" s="283" t="str">
        <f t="shared" si="14"/>
        <v/>
      </c>
      <c r="T183" s="314" t="str">
        <f t="shared" si="15"/>
        <v/>
      </c>
      <c r="U183" s="276" t="str">
        <f>IF(C183="","",VLOOKUP(T183,'G-3 Multipliers'!$P$2:$Q$6,2,FALSE))</f>
        <v/>
      </c>
      <c r="V183" s="102"/>
      <c r="W183" s="276" t="str">
        <f>IF(V183="","",IF(AND(V183="N/A - Culvert",C183&lt;&gt;"Culvert"),"Not possible ▲",IF(AND(C183="Culvert",V183&lt;&gt;"N/A - Culvert"),"Not possible ▲",IF(VLOOKUP(V183,'G-7 WaterC'' Data'!$AA$4:$AB$7,2,FALSE)=0,"Spatial Data Missing ⚠",VLOOKUP(V183,'G-7 WaterC'' Data'!$AA$4:$AB$7,2,FALSE)))))</f>
        <v/>
      </c>
      <c r="X183" s="56"/>
      <c r="Y183" s="276" t="str">
        <f>IF(X183="","",IF(AND(X183="N/A - Culvert",C183&lt;&gt;"Culvert"),"Not possible ▲",IF(AND(C183="Culvert",X183&lt;&gt;"N/A - Culvert"),"Not possible ▲",IF(VLOOKUP(X183,'G-7 WaterC'' Data'!$AD$4:$AE$14,2,FALSE)=0,"Enrcoachment Data Missing ⚠",VLOOKUP(X183,'G-7 WaterC'' Data'!$AD$4:$AE$14,2,FALSE)))))</f>
        <v/>
      </c>
      <c r="Z183" s="317" t="str">
        <f t="shared" si="16"/>
        <v/>
      </c>
      <c r="AA183" s="101"/>
      <c r="AB183" s="115"/>
      <c r="AC183" s="104"/>
      <c r="AH183" s="30" t="str">
        <f>IFERROR(INDEX('G-7 WaterC'' Data'!$AZ$3:$AZ$7,MATCH(C183,'G-7 WaterC'' Data'!$AY$3:$AY$7,0)),"")</f>
        <v/>
      </c>
      <c r="AK183" s="30" t="str">
        <f t="shared" si="17"/>
        <v>No</v>
      </c>
    </row>
    <row r="184" spans="2:37" ht="14">
      <c r="B184" s="97">
        <v>173</v>
      </c>
      <c r="C184" s="920"/>
      <c r="D184" s="115"/>
      <c r="E184" s="275" t="str">
        <f>IF(C184="","",VLOOKUP(C184,'G-7 WaterC'' Data'!$B$2:$G$8,2,FALSE))</f>
        <v/>
      </c>
      <c r="F184" s="276" t="str">
        <f>IFERROR(VLOOKUP(E184,'G-7 WaterC'' Data'!$C$4:$D$8,2,FALSE),"")</f>
        <v/>
      </c>
      <c r="G184" s="101"/>
      <c r="H184" s="276" t="str">
        <f>IFERROR(INDEX('G-7 WaterC'' Data'!$H$4:$L$8,MATCH(C184,'G-7 WaterC'' Data'!$B$4:$B$8,0),MATCH(G184,'G-7 WaterC'' Data'!$H$3:$L$3,0)),"")</f>
        <v/>
      </c>
      <c r="I184" s="52"/>
      <c r="J184" s="283" t="str">
        <f>IF(I184="","",IF(VLOOKUP(I184,'G-7 WaterC'' Data'!$AK$4:$AM$6,2,FALSE)=0,"Spatial Data Missing ⚠",VLOOKUP(I184,'G-7 WaterC'' Data'!$AK$4:$AM$6,2,FALSE)))</f>
        <v/>
      </c>
      <c r="K184" s="276" t="str">
        <f>IF(I184="","",IF(VLOOKUP(I184,'G-7 WaterC'' Data'!$AK$4:$AM$6,3,FALSE)=0,"Spatial Data Missing ⚠",VLOOKUP(I184,'G-7 WaterC'' Data'!$AK$4:$AM$6,3,FALSE)))</f>
        <v/>
      </c>
      <c r="L184" s="275" t="str">
        <f>IFERROR(INDEX('G-7 WaterC'' Data'!$O$3:$O$7,MATCH(G184,'G-7 WaterC'' Data'!$N$3:$N$7,0)),"")</f>
        <v/>
      </c>
      <c r="M184" s="58"/>
      <c r="N184" s="133"/>
      <c r="O184" s="283" t="str">
        <f t="shared" si="12"/>
        <v/>
      </c>
      <c r="P184" s="296" t="str">
        <f t="shared" si="13"/>
        <v/>
      </c>
      <c r="Q184" s="334" t="str">
        <f>IFERROR(IF(P184="Check Data ⚠","Check Data ⚠",VLOOKUP(P184,'G-4 Temporal multipliers'!$A$4:$C$37,3,FALSE)),"")</f>
        <v/>
      </c>
      <c r="R184" s="275" t="str">
        <f>IF(C184="","",VLOOKUP(C184,'G-7 WaterC'' Data'!$B$4:$G$8,4,FALSE))</f>
        <v/>
      </c>
      <c r="S184" s="283" t="str">
        <f t="shared" si="14"/>
        <v/>
      </c>
      <c r="T184" s="314" t="str">
        <f t="shared" si="15"/>
        <v/>
      </c>
      <c r="U184" s="276" t="str">
        <f>IF(C184="","",VLOOKUP(T184,'G-3 Multipliers'!$P$2:$Q$6,2,FALSE))</f>
        <v/>
      </c>
      <c r="V184" s="102"/>
      <c r="W184" s="276" t="str">
        <f>IF(V184="","",IF(AND(V184="N/A - Culvert",C184&lt;&gt;"Culvert"),"Not possible ▲",IF(AND(C184="Culvert",V184&lt;&gt;"N/A - Culvert"),"Not possible ▲",IF(VLOOKUP(V184,'G-7 WaterC'' Data'!$AA$4:$AB$7,2,FALSE)=0,"Spatial Data Missing ⚠",VLOOKUP(V184,'G-7 WaterC'' Data'!$AA$4:$AB$7,2,FALSE)))))</f>
        <v/>
      </c>
      <c r="X184" s="56"/>
      <c r="Y184" s="276" t="str">
        <f>IF(X184="","",IF(AND(X184="N/A - Culvert",C184&lt;&gt;"Culvert"),"Not possible ▲",IF(AND(C184="Culvert",X184&lt;&gt;"N/A - Culvert"),"Not possible ▲",IF(VLOOKUP(X184,'G-7 WaterC'' Data'!$AD$4:$AE$14,2,FALSE)=0,"Enrcoachment Data Missing ⚠",VLOOKUP(X184,'G-7 WaterC'' Data'!$AD$4:$AE$14,2,FALSE)))))</f>
        <v/>
      </c>
      <c r="Z184" s="317" t="str">
        <f t="shared" si="16"/>
        <v/>
      </c>
      <c r="AA184" s="101"/>
      <c r="AB184" s="115"/>
      <c r="AC184" s="104"/>
      <c r="AH184" s="30" t="str">
        <f>IFERROR(INDEX('G-7 WaterC'' Data'!$AZ$3:$AZ$7,MATCH(C184,'G-7 WaterC'' Data'!$AY$3:$AY$7,0)),"")</f>
        <v/>
      </c>
      <c r="AK184" s="30" t="str">
        <f t="shared" si="17"/>
        <v>No</v>
      </c>
    </row>
    <row r="185" spans="2:37" ht="14">
      <c r="B185" s="97">
        <v>174</v>
      </c>
      <c r="C185" s="920"/>
      <c r="D185" s="115"/>
      <c r="E185" s="275" t="str">
        <f>IF(C185="","",VLOOKUP(C185,'G-7 WaterC'' Data'!$B$2:$G$8,2,FALSE))</f>
        <v/>
      </c>
      <c r="F185" s="276" t="str">
        <f>IFERROR(VLOOKUP(E185,'G-7 WaterC'' Data'!$C$4:$D$8,2,FALSE),"")</f>
        <v/>
      </c>
      <c r="G185" s="101"/>
      <c r="H185" s="276" t="str">
        <f>IFERROR(INDEX('G-7 WaterC'' Data'!$H$4:$L$8,MATCH(C185,'G-7 WaterC'' Data'!$B$4:$B$8,0),MATCH(G185,'G-7 WaterC'' Data'!$H$3:$L$3,0)),"")</f>
        <v/>
      </c>
      <c r="I185" s="52"/>
      <c r="J185" s="283" t="str">
        <f>IF(I185="","",IF(VLOOKUP(I185,'G-7 WaterC'' Data'!$AK$4:$AM$6,2,FALSE)=0,"Spatial Data Missing ⚠",VLOOKUP(I185,'G-7 WaterC'' Data'!$AK$4:$AM$6,2,FALSE)))</f>
        <v/>
      </c>
      <c r="K185" s="276" t="str">
        <f>IF(I185="","",IF(VLOOKUP(I185,'G-7 WaterC'' Data'!$AK$4:$AM$6,3,FALSE)=0,"Spatial Data Missing ⚠",VLOOKUP(I185,'G-7 WaterC'' Data'!$AK$4:$AM$6,3,FALSE)))</f>
        <v/>
      </c>
      <c r="L185" s="275" t="str">
        <f>IFERROR(INDEX('G-7 WaterC'' Data'!$O$3:$O$7,MATCH(G185,'G-7 WaterC'' Data'!$N$3:$N$7,0)),"")</f>
        <v/>
      </c>
      <c r="M185" s="58"/>
      <c r="N185" s="133"/>
      <c r="O185" s="283" t="str">
        <f t="shared" si="12"/>
        <v/>
      </c>
      <c r="P185" s="296" t="str">
        <f t="shared" si="13"/>
        <v/>
      </c>
      <c r="Q185" s="334" t="str">
        <f>IFERROR(IF(P185="Check Data ⚠","Check Data ⚠",VLOOKUP(P185,'G-4 Temporal multipliers'!$A$4:$C$37,3,FALSE)),"")</f>
        <v/>
      </c>
      <c r="R185" s="275" t="str">
        <f>IF(C185="","",VLOOKUP(C185,'G-7 WaterC'' Data'!$B$4:$G$8,4,FALSE))</f>
        <v/>
      </c>
      <c r="S185" s="283" t="str">
        <f t="shared" si="14"/>
        <v/>
      </c>
      <c r="T185" s="314" t="str">
        <f t="shared" si="15"/>
        <v/>
      </c>
      <c r="U185" s="276" t="str">
        <f>IF(C185="","",VLOOKUP(T185,'G-3 Multipliers'!$P$2:$Q$6,2,FALSE))</f>
        <v/>
      </c>
      <c r="V185" s="102"/>
      <c r="W185" s="276" t="str">
        <f>IF(V185="","",IF(AND(V185="N/A - Culvert",C185&lt;&gt;"Culvert"),"Not possible ▲",IF(AND(C185="Culvert",V185&lt;&gt;"N/A - Culvert"),"Not possible ▲",IF(VLOOKUP(V185,'G-7 WaterC'' Data'!$AA$4:$AB$7,2,FALSE)=0,"Spatial Data Missing ⚠",VLOOKUP(V185,'G-7 WaterC'' Data'!$AA$4:$AB$7,2,FALSE)))))</f>
        <v/>
      </c>
      <c r="X185" s="56"/>
      <c r="Y185" s="276" t="str">
        <f>IF(X185="","",IF(AND(X185="N/A - Culvert",C185&lt;&gt;"Culvert"),"Not possible ▲",IF(AND(C185="Culvert",X185&lt;&gt;"N/A - Culvert"),"Not possible ▲",IF(VLOOKUP(X185,'G-7 WaterC'' Data'!$AD$4:$AE$14,2,FALSE)=0,"Enrcoachment Data Missing ⚠",VLOOKUP(X185,'G-7 WaterC'' Data'!$AD$4:$AE$14,2,FALSE)))))</f>
        <v/>
      </c>
      <c r="Z185" s="317" t="str">
        <f t="shared" si="16"/>
        <v/>
      </c>
      <c r="AA185" s="101"/>
      <c r="AB185" s="115"/>
      <c r="AC185" s="104"/>
      <c r="AH185" s="30" t="str">
        <f>IFERROR(INDEX('G-7 WaterC'' Data'!$AZ$3:$AZ$7,MATCH(C185,'G-7 WaterC'' Data'!$AY$3:$AY$7,0)),"")</f>
        <v/>
      </c>
      <c r="AK185" s="30" t="str">
        <f t="shared" si="17"/>
        <v>No</v>
      </c>
    </row>
    <row r="186" spans="2:37" ht="14">
      <c r="B186" s="97">
        <v>175</v>
      </c>
      <c r="C186" s="920"/>
      <c r="D186" s="115"/>
      <c r="E186" s="275" t="str">
        <f>IF(C186="","",VLOOKUP(C186,'G-7 WaterC'' Data'!$B$2:$G$8,2,FALSE))</f>
        <v/>
      </c>
      <c r="F186" s="276" t="str">
        <f>IFERROR(VLOOKUP(E186,'G-7 WaterC'' Data'!$C$4:$D$8,2,FALSE),"")</f>
        <v/>
      </c>
      <c r="G186" s="101"/>
      <c r="H186" s="276" t="str">
        <f>IFERROR(INDEX('G-7 WaterC'' Data'!$H$4:$L$8,MATCH(C186,'G-7 WaterC'' Data'!$B$4:$B$8,0),MATCH(G186,'G-7 WaterC'' Data'!$H$3:$L$3,0)),"")</f>
        <v/>
      </c>
      <c r="I186" s="52"/>
      <c r="J186" s="283" t="str">
        <f>IF(I186="","",IF(VLOOKUP(I186,'G-7 WaterC'' Data'!$AK$4:$AM$6,2,FALSE)=0,"Spatial Data Missing ⚠",VLOOKUP(I186,'G-7 WaterC'' Data'!$AK$4:$AM$6,2,FALSE)))</f>
        <v/>
      </c>
      <c r="K186" s="276" t="str">
        <f>IF(I186="","",IF(VLOOKUP(I186,'G-7 WaterC'' Data'!$AK$4:$AM$6,3,FALSE)=0,"Spatial Data Missing ⚠",VLOOKUP(I186,'G-7 WaterC'' Data'!$AK$4:$AM$6,3,FALSE)))</f>
        <v/>
      </c>
      <c r="L186" s="275" t="str">
        <f>IFERROR(INDEX('G-7 WaterC'' Data'!$O$3:$O$7,MATCH(G186,'G-7 WaterC'' Data'!$N$3:$N$7,0)),"")</f>
        <v/>
      </c>
      <c r="M186" s="58"/>
      <c r="N186" s="133"/>
      <c r="O186" s="283" t="str">
        <f t="shared" si="12"/>
        <v/>
      </c>
      <c r="P186" s="296" t="str">
        <f t="shared" si="13"/>
        <v/>
      </c>
      <c r="Q186" s="334" t="str">
        <f>IFERROR(IF(P186="Check Data ⚠","Check Data ⚠",VLOOKUP(P186,'G-4 Temporal multipliers'!$A$4:$C$37,3,FALSE)),"")</f>
        <v/>
      </c>
      <c r="R186" s="275" t="str">
        <f>IF(C186="","",VLOOKUP(C186,'G-7 WaterC'' Data'!$B$4:$G$8,4,FALSE))</f>
        <v/>
      </c>
      <c r="S186" s="283" t="str">
        <f t="shared" si="14"/>
        <v/>
      </c>
      <c r="T186" s="314" t="str">
        <f t="shared" si="15"/>
        <v/>
      </c>
      <c r="U186" s="276" t="str">
        <f>IF(C186="","",VLOOKUP(T186,'G-3 Multipliers'!$P$2:$Q$6,2,FALSE))</f>
        <v/>
      </c>
      <c r="V186" s="102"/>
      <c r="W186" s="276" t="str">
        <f>IF(V186="","",IF(AND(V186="N/A - Culvert",C186&lt;&gt;"Culvert"),"Not possible ▲",IF(AND(C186="Culvert",V186&lt;&gt;"N/A - Culvert"),"Not possible ▲",IF(VLOOKUP(V186,'G-7 WaterC'' Data'!$AA$4:$AB$7,2,FALSE)=0,"Spatial Data Missing ⚠",VLOOKUP(V186,'G-7 WaterC'' Data'!$AA$4:$AB$7,2,FALSE)))))</f>
        <v/>
      </c>
      <c r="X186" s="56"/>
      <c r="Y186" s="276" t="str">
        <f>IF(X186="","",IF(AND(X186="N/A - Culvert",C186&lt;&gt;"Culvert"),"Not possible ▲",IF(AND(C186="Culvert",X186&lt;&gt;"N/A - Culvert"),"Not possible ▲",IF(VLOOKUP(X186,'G-7 WaterC'' Data'!$AD$4:$AE$14,2,FALSE)=0,"Enrcoachment Data Missing ⚠",VLOOKUP(X186,'G-7 WaterC'' Data'!$AD$4:$AE$14,2,FALSE)))))</f>
        <v/>
      </c>
      <c r="Z186" s="317" t="str">
        <f t="shared" si="16"/>
        <v/>
      </c>
      <c r="AA186" s="101"/>
      <c r="AB186" s="115"/>
      <c r="AC186" s="104"/>
      <c r="AH186" s="30" t="str">
        <f>IFERROR(INDEX('G-7 WaterC'' Data'!$AZ$3:$AZ$7,MATCH(C186,'G-7 WaterC'' Data'!$AY$3:$AY$7,0)),"")</f>
        <v/>
      </c>
      <c r="AK186" s="30" t="str">
        <f t="shared" si="17"/>
        <v>No</v>
      </c>
    </row>
    <row r="187" spans="2:37" ht="14">
      <c r="B187" s="97">
        <v>176</v>
      </c>
      <c r="C187" s="920"/>
      <c r="D187" s="115"/>
      <c r="E187" s="275" t="str">
        <f>IF(C187="","",VLOOKUP(C187,'G-7 WaterC'' Data'!$B$2:$G$8,2,FALSE))</f>
        <v/>
      </c>
      <c r="F187" s="276" t="str">
        <f>IFERROR(VLOOKUP(E187,'G-7 WaterC'' Data'!$C$4:$D$8,2,FALSE),"")</f>
        <v/>
      </c>
      <c r="G187" s="101"/>
      <c r="H187" s="276" t="str">
        <f>IFERROR(INDEX('G-7 WaterC'' Data'!$H$4:$L$8,MATCH(C187,'G-7 WaterC'' Data'!$B$4:$B$8,0),MATCH(G187,'G-7 WaterC'' Data'!$H$3:$L$3,0)),"")</f>
        <v/>
      </c>
      <c r="I187" s="52"/>
      <c r="J187" s="283" t="str">
        <f>IF(I187="","",IF(VLOOKUP(I187,'G-7 WaterC'' Data'!$AK$4:$AM$6,2,FALSE)=0,"Spatial Data Missing ⚠",VLOOKUP(I187,'G-7 WaterC'' Data'!$AK$4:$AM$6,2,FALSE)))</f>
        <v/>
      </c>
      <c r="K187" s="276" t="str">
        <f>IF(I187="","",IF(VLOOKUP(I187,'G-7 WaterC'' Data'!$AK$4:$AM$6,3,FALSE)=0,"Spatial Data Missing ⚠",VLOOKUP(I187,'G-7 WaterC'' Data'!$AK$4:$AM$6,3,FALSE)))</f>
        <v/>
      </c>
      <c r="L187" s="275" t="str">
        <f>IFERROR(INDEX('G-7 WaterC'' Data'!$O$3:$O$7,MATCH(G187,'G-7 WaterC'' Data'!$N$3:$N$7,0)),"")</f>
        <v/>
      </c>
      <c r="M187" s="58"/>
      <c r="N187" s="133"/>
      <c r="O187" s="283" t="str">
        <f t="shared" si="12"/>
        <v/>
      </c>
      <c r="P187" s="296" t="str">
        <f t="shared" si="13"/>
        <v/>
      </c>
      <c r="Q187" s="334" t="str">
        <f>IFERROR(IF(P187="Check Data ⚠","Check Data ⚠",VLOOKUP(P187,'G-4 Temporal multipliers'!$A$4:$C$37,3,FALSE)),"")</f>
        <v/>
      </c>
      <c r="R187" s="275" t="str">
        <f>IF(C187="","",VLOOKUP(C187,'G-7 WaterC'' Data'!$B$4:$G$8,4,FALSE))</f>
        <v/>
      </c>
      <c r="S187" s="283" t="str">
        <f t="shared" si="14"/>
        <v/>
      </c>
      <c r="T187" s="314" t="str">
        <f t="shared" si="15"/>
        <v/>
      </c>
      <c r="U187" s="276" t="str">
        <f>IF(C187="","",VLOOKUP(T187,'G-3 Multipliers'!$P$2:$Q$6,2,FALSE))</f>
        <v/>
      </c>
      <c r="V187" s="102"/>
      <c r="W187" s="276" t="str">
        <f>IF(V187="","",IF(AND(V187="N/A - Culvert",C187&lt;&gt;"Culvert"),"Not possible ▲",IF(AND(C187="Culvert",V187&lt;&gt;"N/A - Culvert"),"Not possible ▲",IF(VLOOKUP(V187,'G-7 WaterC'' Data'!$AA$4:$AB$7,2,FALSE)=0,"Spatial Data Missing ⚠",VLOOKUP(V187,'G-7 WaterC'' Data'!$AA$4:$AB$7,2,FALSE)))))</f>
        <v/>
      </c>
      <c r="X187" s="56"/>
      <c r="Y187" s="276" t="str">
        <f>IF(X187="","",IF(AND(X187="N/A - Culvert",C187&lt;&gt;"Culvert"),"Not possible ▲",IF(AND(C187="Culvert",X187&lt;&gt;"N/A - Culvert"),"Not possible ▲",IF(VLOOKUP(X187,'G-7 WaterC'' Data'!$AD$4:$AE$14,2,FALSE)=0,"Enrcoachment Data Missing ⚠",VLOOKUP(X187,'G-7 WaterC'' Data'!$AD$4:$AE$14,2,FALSE)))))</f>
        <v/>
      </c>
      <c r="Z187" s="317" t="str">
        <f t="shared" si="16"/>
        <v/>
      </c>
      <c r="AA187" s="101"/>
      <c r="AB187" s="115"/>
      <c r="AC187" s="104"/>
      <c r="AH187" s="30" t="str">
        <f>IFERROR(INDEX('G-7 WaterC'' Data'!$AZ$3:$AZ$7,MATCH(C187,'G-7 WaterC'' Data'!$AY$3:$AY$7,0)),"")</f>
        <v/>
      </c>
      <c r="AK187" s="30" t="str">
        <f t="shared" si="17"/>
        <v>No</v>
      </c>
    </row>
    <row r="188" spans="2:37" ht="14">
      <c r="B188" s="97">
        <v>177</v>
      </c>
      <c r="C188" s="920"/>
      <c r="D188" s="115"/>
      <c r="E188" s="275" t="str">
        <f>IF(C188="","",VLOOKUP(C188,'G-7 WaterC'' Data'!$B$2:$G$8,2,FALSE))</f>
        <v/>
      </c>
      <c r="F188" s="276" t="str">
        <f>IFERROR(VLOOKUP(E188,'G-7 WaterC'' Data'!$C$4:$D$8,2,FALSE),"")</f>
        <v/>
      </c>
      <c r="G188" s="101"/>
      <c r="H188" s="276" t="str">
        <f>IFERROR(INDEX('G-7 WaterC'' Data'!$H$4:$L$8,MATCH(C188,'G-7 WaterC'' Data'!$B$4:$B$8,0),MATCH(G188,'G-7 WaterC'' Data'!$H$3:$L$3,0)),"")</f>
        <v/>
      </c>
      <c r="I188" s="52"/>
      <c r="J188" s="283" t="str">
        <f>IF(I188="","",IF(VLOOKUP(I188,'G-7 WaterC'' Data'!$AK$4:$AM$6,2,FALSE)=0,"Spatial Data Missing ⚠",VLOOKUP(I188,'G-7 WaterC'' Data'!$AK$4:$AM$6,2,FALSE)))</f>
        <v/>
      </c>
      <c r="K188" s="276" t="str">
        <f>IF(I188="","",IF(VLOOKUP(I188,'G-7 WaterC'' Data'!$AK$4:$AM$6,3,FALSE)=0,"Spatial Data Missing ⚠",VLOOKUP(I188,'G-7 WaterC'' Data'!$AK$4:$AM$6,3,FALSE)))</f>
        <v/>
      </c>
      <c r="L188" s="275" t="str">
        <f>IFERROR(INDEX('G-7 WaterC'' Data'!$O$3:$O$7,MATCH(G188,'G-7 WaterC'' Data'!$N$3:$N$7,0)),"")</f>
        <v/>
      </c>
      <c r="M188" s="58"/>
      <c r="N188" s="133"/>
      <c r="O188" s="283" t="str">
        <f t="shared" si="12"/>
        <v/>
      </c>
      <c r="P188" s="296" t="str">
        <f t="shared" si="13"/>
        <v/>
      </c>
      <c r="Q188" s="334" t="str">
        <f>IFERROR(IF(P188="Check Data ⚠","Check Data ⚠",VLOOKUP(P188,'G-4 Temporal multipliers'!$A$4:$C$37,3,FALSE)),"")</f>
        <v/>
      </c>
      <c r="R188" s="275" t="str">
        <f>IF(C188="","",VLOOKUP(C188,'G-7 WaterC'' Data'!$B$4:$G$8,4,FALSE))</f>
        <v/>
      </c>
      <c r="S188" s="283" t="str">
        <f t="shared" si="14"/>
        <v/>
      </c>
      <c r="T188" s="314" t="str">
        <f t="shared" si="15"/>
        <v/>
      </c>
      <c r="U188" s="276" t="str">
        <f>IF(C188="","",VLOOKUP(T188,'G-3 Multipliers'!$P$2:$Q$6,2,FALSE))</f>
        <v/>
      </c>
      <c r="V188" s="102"/>
      <c r="W188" s="276" t="str">
        <f>IF(V188="","",IF(AND(V188="N/A - Culvert",C188&lt;&gt;"Culvert"),"Not possible ▲",IF(AND(C188="Culvert",V188&lt;&gt;"N/A - Culvert"),"Not possible ▲",IF(VLOOKUP(V188,'G-7 WaterC'' Data'!$AA$4:$AB$7,2,FALSE)=0,"Spatial Data Missing ⚠",VLOOKUP(V188,'G-7 WaterC'' Data'!$AA$4:$AB$7,2,FALSE)))))</f>
        <v/>
      </c>
      <c r="X188" s="56"/>
      <c r="Y188" s="276" t="str">
        <f>IF(X188="","",IF(AND(X188="N/A - Culvert",C188&lt;&gt;"Culvert"),"Not possible ▲",IF(AND(C188="Culvert",X188&lt;&gt;"N/A - Culvert"),"Not possible ▲",IF(VLOOKUP(X188,'G-7 WaterC'' Data'!$AD$4:$AE$14,2,FALSE)=0,"Enrcoachment Data Missing ⚠",VLOOKUP(X188,'G-7 WaterC'' Data'!$AD$4:$AE$14,2,FALSE)))))</f>
        <v/>
      </c>
      <c r="Z188" s="317" t="str">
        <f t="shared" si="16"/>
        <v/>
      </c>
      <c r="AA188" s="101"/>
      <c r="AB188" s="115"/>
      <c r="AC188" s="104"/>
      <c r="AH188" s="30" t="str">
        <f>IFERROR(INDEX('G-7 WaterC'' Data'!$AZ$3:$AZ$7,MATCH(C188,'G-7 WaterC'' Data'!$AY$3:$AY$7,0)),"")</f>
        <v/>
      </c>
      <c r="AK188" s="30" t="str">
        <f t="shared" si="17"/>
        <v>No</v>
      </c>
    </row>
    <row r="189" spans="2:37" ht="14">
      <c r="B189" s="97">
        <v>178</v>
      </c>
      <c r="C189" s="920"/>
      <c r="D189" s="115"/>
      <c r="E189" s="275" t="str">
        <f>IF(C189="","",VLOOKUP(C189,'G-7 WaterC'' Data'!$B$2:$G$8,2,FALSE))</f>
        <v/>
      </c>
      <c r="F189" s="276" t="str">
        <f>IFERROR(VLOOKUP(E189,'G-7 WaterC'' Data'!$C$4:$D$8,2,FALSE),"")</f>
        <v/>
      </c>
      <c r="G189" s="101"/>
      <c r="H189" s="276" t="str">
        <f>IFERROR(INDEX('G-7 WaterC'' Data'!$H$4:$L$8,MATCH(C189,'G-7 WaterC'' Data'!$B$4:$B$8,0),MATCH(G189,'G-7 WaterC'' Data'!$H$3:$L$3,0)),"")</f>
        <v/>
      </c>
      <c r="I189" s="52"/>
      <c r="J189" s="283" t="str">
        <f>IF(I189="","",IF(VLOOKUP(I189,'G-7 WaterC'' Data'!$AK$4:$AM$6,2,FALSE)=0,"Spatial Data Missing ⚠",VLOOKUP(I189,'G-7 WaterC'' Data'!$AK$4:$AM$6,2,FALSE)))</f>
        <v/>
      </c>
      <c r="K189" s="276" t="str">
        <f>IF(I189="","",IF(VLOOKUP(I189,'G-7 WaterC'' Data'!$AK$4:$AM$6,3,FALSE)=0,"Spatial Data Missing ⚠",VLOOKUP(I189,'G-7 WaterC'' Data'!$AK$4:$AM$6,3,FALSE)))</f>
        <v/>
      </c>
      <c r="L189" s="275" t="str">
        <f>IFERROR(INDEX('G-7 WaterC'' Data'!$O$3:$O$7,MATCH(G189,'G-7 WaterC'' Data'!$N$3:$N$7,0)),"")</f>
        <v/>
      </c>
      <c r="M189" s="58"/>
      <c r="N189" s="133"/>
      <c r="O189" s="283" t="str">
        <f t="shared" si="12"/>
        <v/>
      </c>
      <c r="P189" s="296" t="str">
        <f t="shared" si="13"/>
        <v/>
      </c>
      <c r="Q189" s="334" t="str">
        <f>IFERROR(IF(P189="Check Data ⚠","Check Data ⚠",VLOOKUP(P189,'G-4 Temporal multipliers'!$A$4:$C$37,3,FALSE)),"")</f>
        <v/>
      </c>
      <c r="R189" s="275" t="str">
        <f>IF(C189="","",VLOOKUP(C189,'G-7 WaterC'' Data'!$B$4:$G$8,4,FALSE))</f>
        <v/>
      </c>
      <c r="S189" s="283" t="str">
        <f t="shared" si="14"/>
        <v/>
      </c>
      <c r="T189" s="314" t="str">
        <f t="shared" si="15"/>
        <v/>
      </c>
      <c r="U189" s="276" t="str">
        <f>IF(C189="","",VLOOKUP(T189,'G-3 Multipliers'!$P$2:$Q$6,2,FALSE))</f>
        <v/>
      </c>
      <c r="V189" s="102"/>
      <c r="W189" s="276" t="str">
        <f>IF(V189="","",IF(AND(V189="N/A - Culvert",C189&lt;&gt;"Culvert"),"Not possible ▲",IF(AND(C189="Culvert",V189&lt;&gt;"N/A - Culvert"),"Not possible ▲",IF(VLOOKUP(V189,'G-7 WaterC'' Data'!$AA$4:$AB$7,2,FALSE)=0,"Spatial Data Missing ⚠",VLOOKUP(V189,'G-7 WaterC'' Data'!$AA$4:$AB$7,2,FALSE)))))</f>
        <v/>
      </c>
      <c r="X189" s="56"/>
      <c r="Y189" s="276" t="str">
        <f>IF(X189="","",IF(AND(X189="N/A - Culvert",C189&lt;&gt;"Culvert"),"Not possible ▲",IF(AND(C189="Culvert",X189&lt;&gt;"N/A - Culvert"),"Not possible ▲",IF(VLOOKUP(X189,'G-7 WaterC'' Data'!$AD$4:$AE$14,2,FALSE)=0,"Enrcoachment Data Missing ⚠",VLOOKUP(X189,'G-7 WaterC'' Data'!$AD$4:$AE$14,2,FALSE)))))</f>
        <v/>
      </c>
      <c r="Z189" s="317" t="str">
        <f t="shared" si="16"/>
        <v/>
      </c>
      <c r="AA189" s="101"/>
      <c r="AB189" s="115"/>
      <c r="AC189" s="104"/>
      <c r="AH189" s="30" t="str">
        <f>IFERROR(INDEX('G-7 WaterC'' Data'!$AZ$3:$AZ$7,MATCH(C189,'G-7 WaterC'' Data'!$AY$3:$AY$7,0)),"")</f>
        <v/>
      </c>
      <c r="AK189" s="30" t="str">
        <f t="shared" si="17"/>
        <v>No</v>
      </c>
    </row>
    <row r="190" spans="2:37" ht="14">
      <c r="B190" s="97">
        <v>179</v>
      </c>
      <c r="C190" s="920"/>
      <c r="D190" s="115"/>
      <c r="E190" s="275" t="str">
        <f>IF(C190="","",VLOOKUP(C190,'G-7 WaterC'' Data'!$B$2:$G$8,2,FALSE))</f>
        <v/>
      </c>
      <c r="F190" s="276" t="str">
        <f>IFERROR(VLOOKUP(E190,'G-7 WaterC'' Data'!$C$4:$D$8,2,FALSE),"")</f>
        <v/>
      </c>
      <c r="G190" s="101"/>
      <c r="H190" s="276" t="str">
        <f>IFERROR(INDEX('G-7 WaterC'' Data'!$H$4:$L$8,MATCH(C190,'G-7 WaterC'' Data'!$B$4:$B$8,0),MATCH(G190,'G-7 WaterC'' Data'!$H$3:$L$3,0)),"")</f>
        <v/>
      </c>
      <c r="I190" s="52"/>
      <c r="J190" s="283" t="str">
        <f>IF(I190="","",IF(VLOOKUP(I190,'G-7 WaterC'' Data'!$AK$4:$AM$6,2,FALSE)=0,"Spatial Data Missing ⚠",VLOOKUP(I190,'G-7 WaterC'' Data'!$AK$4:$AM$6,2,FALSE)))</f>
        <v/>
      </c>
      <c r="K190" s="276" t="str">
        <f>IF(I190="","",IF(VLOOKUP(I190,'G-7 WaterC'' Data'!$AK$4:$AM$6,3,FALSE)=0,"Spatial Data Missing ⚠",VLOOKUP(I190,'G-7 WaterC'' Data'!$AK$4:$AM$6,3,FALSE)))</f>
        <v/>
      </c>
      <c r="L190" s="275" t="str">
        <f>IFERROR(INDEX('G-7 WaterC'' Data'!$O$3:$O$7,MATCH(G190,'G-7 WaterC'' Data'!$N$3:$N$7,0)),"")</f>
        <v/>
      </c>
      <c r="M190" s="58"/>
      <c r="N190" s="133"/>
      <c r="O190" s="283" t="str">
        <f t="shared" si="12"/>
        <v/>
      </c>
      <c r="P190" s="296" t="str">
        <f t="shared" si="13"/>
        <v/>
      </c>
      <c r="Q190" s="334" t="str">
        <f>IFERROR(IF(P190="Check Data ⚠","Check Data ⚠",VLOOKUP(P190,'G-4 Temporal multipliers'!$A$4:$C$37,3,FALSE)),"")</f>
        <v/>
      </c>
      <c r="R190" s="275" t="str">
        <f>IF(C190="","",VLOOKUP(C190,'G-7 WaterC'' Data'!$B$4:$G$8,4,FALSE))</f>
        <v/>
      </c>
      <c r="S190" s="283" t="str">
        <f t="shared" si="14"/>
        <v/>
      </c>
      <c r="T190" s="314" t="str">
        <f t="shared" si="15"/>
        <v/>
      </c>
      <c r="U190" s="276" t="str">
        <f>IF(C190="","",VLOOKUP(T190,'G-3 Multipliers'!$P$2:$Q$6,2,FALSE))</f>
        <v/>
      </c>
      <c r="V190" s="102"/>
      <c r="W190" s="276" t="str">
        <f>IF(V190="","",IF(AND(V190="N/A - Culvert",C190&lt;&gt;"Culvert"),"Not possible ▲",IF(AND(C190="Culvert",V190&lt;&gt;"N/A - Culvert"),"Not possible ▲",IF(VLOOKUP(V190,'G-7 WaterC'' Data'!$AA$4:$AB$7,2,FALSE)=0,"Spatial Data Missing ⚠",VLOOKUP(V190,'G-7 WaterC'' Data'!$AA$4:$AB$7,2,FALSE)))))</f>
        <v/>
      </c>
      <c r="X190" s="56"/>
      <c r="Y190" s="276" t="str">
        <f>IF(X190="","",IF(AND(X190="N/A - Culvert",C190&lt;&gt;"Culvert"),"Not possible ▲",IF(AND(C190="Culvert",X190&lt;&gt;"N/A - Culvert"),"Not possible ▲",IF(VLOOKUP(X190,'G-7 WaterC'' Data'!$AD$4:$AE$14,2,FALSE)=0,"Enrcoachment Data Missing ⚠",VLOOKUP(X190,'G-7 WaterC'' Data'!$AD$4:$AE$14,2,FALSE)))))</f>
        <v/>
      </c>
      <c r="Z190" s="317" t="str">
        <f t="shared" si="16"/>
        <v/>
      </c>
      <c r="AA190" s="101"/>
      <c r="AB190" s="115"/>
      <c r="AC190" s="104"/>
      <c r="AH190" s="30" t="str">
        <f>IFERROR(INDEX('G-7 WaterC'' Data'!$AZ$3:$AZ$7,MATCH(C190,'G-7 WaterC'' Data'!$AY$3:$AY$7,0)),"")</f>
        <v/>
      </c>
      <c r="AK190" s="30" t="str">
        <f t="shared" si="17"/>
        <v>No</v>
      </c>
    </row>
    <row r="191" spans="2:37" ht="14">
      <c r="B191" s="97">
        <v>180</v>
      </c>
      <c r="C191" s="920"/>
      <c r="D191" s="115"/>
      <c r="E191" s="275" t="str">
        <f>IF(C191="","",VLOOKUP(C191,'G-7 WaterC'' Data'!$B$2:$G$8,2,FALSE))</f>
        <v/>
      </c>
      <c r="F191" s="276" t="str">
        <f>IFERROR(VLOOKUP(E191,'G-7 WaterC'' Data'!$C$4:$D$8,2,FALSE),"")</f>
        <v/>
      </c>
      <c r="G191" s="101"/>
      <c r="H191" s="276" t="str">
        <f>IFERROR(INDEX('G-7 WaterC'' Data'!$H$4:$L$8,MATCH(C191,'G-7 WaterC'' Data'!$B$4:$B$8,0),MATCH(G191,'G-7 WaterC'' Data'!$H$3:$L$3,0)),"")</f>
        <v/>
      </c>
      <c r="I191" s="52"/>
      <c r="J191" s="283" t="str">
        <f>IF(I191="","",IF(VLOOKUP(I191,'G-7 WaterC'' Data'!$AK$4:$AM$6,2,FALSE)=0,"Spatial Data Missing ⚠",VLOOKUP(I191,'G-7 WaterC'' Data'!$AK$4:$AM$6,2,FALSE)))</f>
        <v/>
      </c>
      <c r="K191" s="276" t="str">
        <f>IF(I191="","",IF(VLOOKUP(I191,'G-7 WaterC'' Data'!$AK$4:$AM$6,3,FALSE)=0,"Spatial Data Missing ⚠",VLOOKUP(I191,'G-7 WaterC'' Data'!$AK$4:$AM$6,3,FALSE)))</f>
        <v/>
      </c>
      <c r="L191" s="275" t="str">
        <f>IFERROR(INDEX('G-7 WaterC'' Data'!$O$3:$O$7,MATCH(G191,'G-7 WaterC'' Data'!$N$3:$N$7,0)),"")</f>
        <v/>
      </c>
      <c r="M191" s="58"/>
      <c r="N191" s="133"/>
      <c r="O191" s="283" t="str">
        <f t="shared" si="12"/>
        <v/>
      </c>
      <c r="P191" s="296" t="str">
        <f t="shared" si="13"/>
        <v/>
      </c>
      <c r="Q191" s="334" t="str">
        <f>IFERROR(IF(P191="Check Data ⚠","Check Data ⚠",VLOOKUP(P191,'G-4 Temporal multipliers'!$A$4:$C$37,3,FALSE)),"")</f>
        <v/>
      </c>
      <c r="R191" s="275" t="str">
        <f>IF(C191="","",VLOOKUP(C191,'G-7 WaterC'' Data'!$B$4:$G$8,4,FALSE))</f>
        <v/>
      </c>
      <c r="S191" s="283" t="str">
        <f t="shared" si="14"/>
        <v/>
      </c>
      <c r="T191" s="314" t="str">
        <f t="shared" si="15"/>
        <v/>
      </c>
      <c r="U191" s="276" t="str">
        <f>IF(C191="","",VLOOKUP(T191,'G-3 Multipliers'!$P$2:$Q$6,2,FALSE))</f>
        <v/>
      </c>
      <c r="V191" s="102"/>
      <c r="W191" s="276" t="str">
        <f>IF(V191="","",IF(AND(V191="N/A - Culvert",C191&lt;&gt;"Culvert"),"Not possible ▲",IF(AND(C191="Culvert",V191&lt;&gt;"N/A - Culvert"),"Not possible ▲",IF(VLOOKUP(V191,'G-7 WaterC'' Data'!$AA$4:$AB$7,2,FALSE)=0,"Spatial Data Missing ⚠",VLOOKUP(V191,'G-7 WaterC'' Data'!$AA$4:$AB$7,2,FALSE)))))</f>
        <v/>
      </c>
      <c r="X191" s="56"/>
      <c r="Y191" s="276" t="str">
        <f>IF(X191="","",IF(AND(X191="N/A - Culvert",C191&lt;&gt;"Culvert"),"Not possible ▲",IF(AND(C191="Culvert",X191&lt;&gt;"N/A - Culvert"),"Not possible ▲",IF(VLOOKUP(X191,'G-7 WaterC'' Data'!$AD$4:$AE$14,2,FALSE)=0,"Enrcoachment Data Missing ⚠",VLOOKUP(X191,'G-7 WaterC'' Data'!$AD$4:$AE$14,2,FALSE)))))</f>
        <v/>
      </c>
      <c r="Z191" s="317" t="str">
        <f t="shared" si="16"/>
        <v/>
      </c>
      <c r="AA191" s="101"/>
      <c r="AB191" s="115"/>
      <c r="AC191" s="104"/>
      <c r="AH191" s="30" t="str">
        <f>IFERROR(INDEX('G-7 WaterC'' Data'!$AZ$3:$AZ$7,MATCH(C191,'G-7 WaterC'' Data'!$AY$3:$AY$7,0)),"")</f>
        <v/>
      </c>
      <c r="AK191" s="30" t="str">
        <f t="shared" si="17"/>
        <v>No</v>
      </c>
    </row>
    <row r="192" spans="2:37" ht="14">
      <c r="B192" s="97">
        <v>181</v>
      </c>
      <c r="C192" s="920"/>
      <c r="D192" s="115"/>
      <c r="E192" s="275" t="str">
        <f>IF(C192="","",VLOOKUP(C192,'G-7 WaterC'' Data'!$B$2:$G$8,2,FALSE))</f>
        <v/>
      </c>
      <c r="F192" s="276" t="str">
        <f>IFERROR(VLOOKUP(E192,'G-7 WaterC'' Data'!$C$4:$D$8,2,FALSE),"")</f>
        <v/>
      </c>
      <c r="G192" s="101"/>
      <c r="H192" s="276" t="str">
        <f>IFERROR(INDEX('G-7 WaterC'' Data'!$H$4:$L$8,MATCH(C192,'G-7 WaterC'' Data'!$B$4:$B$8,0),MATCH(G192,'G-7 WaterC'' Data'!$H$3:$L$3,0)),"")</f>
        <v/>
      </c>
      <c r="I192" s="52"/>
      <c r="J192" s="283" t="str">
        <f>IF(I192="","",IF(VLOOKUP(I192,'G-7 WaterC'' Data'!$AK$4:$AM$6,2,FALSE)=0,"Spatial Data Missing ⚠",VLOOKUP(I192,'G-7 WaterC'' Data'!$AK$4:$AM$6,2,FALSE)))</f>
        <v/>
      </c>
      <c r="K192" s="276" t="str">
        <f>IF(I192="","",IF(VLOOKUP(I192,'G-7 WaterC'' Data'!$AK$4:$AM$6,3,FALSE)=0,"Spatial Data Missing ⚠",VLOOKUP(I192,'G-7 WaterC'' Data'!$AK$4:$AM$6,3,FALSE)))</f>
        <v/>
      </c>
      <c r="L192" s="275" t="str">
        <f>IFERROR(INDEX('G-7 WaterC'' Data'!$O$3:$O$7,MATCH(G192,'G-7 WaterC'' Data'!$N$3:$N$7,0)),"")</f>
        <v/>
      </c>
      <c r="M192" s="58"/>
      <c r="N192" s="133"/>
      <c r="O192" s="283" t="str">
        <f t="shared" si="12"/>
        <v/>
      </c>
      <c r="P192" s="296" t="str">
        <f t="shared" si="13"/>
        <v/>
      </c>
      <c r="Q192" s="334" t="str">
        <f>IFERROR(IF(P192="Check Data ⚠","Check Data ⚠",VLOOKUP(P192,'G-4 Temporal multipliers'!$A$4:$C$37,3,FALSE)),"")</f>
        <v/>
      </c>
      <c r="R192" s="275" t="str">
        <f>IF(C192="","",VLOOKUP(C192,'G-7 WaterC'' Data'!$B$4:$G$8,4,FALSE))</f>
        <v/>
      </c>
      <c r="S192" s="283" t="str">
        <f t="shared" si="14"/>
        <v/>
      </c>
      <c r="T192" s="314" t="str">
        <f t="shared" si="15"/>
        <v/>
      </c>
      <c r="U192" s="276" t="str">
        <f>IF(C192="","",VLOOKUP(T192,'G-3 Multipliers'!$P$2:$Q$6,2,FALSE))</f>
        <v/>
      </c>
      <c r="V192" s="102"/>
      <c r="W192" s="276" t="str">
        <f>IF(V192="","",IF(AND(V192="N/A - Culvert",C192&lt;&gt;"Culvert"),"Not possible ▲",IF(AND(C192="Culvert",V192&lt;&gt;"N/A - Culvert"),"Not possible ▲",IF(VLOOKUP(V192,'G-7 WaterC'' Data'!$AA$4:$AB$7,2,FALSE)=0,"Spatial Data Missing ⚠",VLOOKUP(V192,'G-7 WaterC'' Data'!$AA$4:$AB$7,2,FALSE)))))</f>
        <v/>
      </c>
      <c r="X192" s="56"/>
      <c r="Y192" s="276" t="str">
        <f>IF(X192="","",IF(AND(X192="N/A - Culvert",C192&lt;&gt;"Culvert"),"Not possible ▲",IF(AND(C192="Culvert",X192&lt;&gt;"N/A - Culvert"),"Not possible ▲",IF(VLOOKUP(X192,'G-7 WaterC'' Data'!$AD$4:$AE$14,2,FALSE)=0,"Enrcoachment Data Missing ⚠",VLOOKUP(X192,'G-7 WaterC'' Data'!$AD$4:$AE$14,2,FALSE)))))</f>
        <v/>
      </c>
      <c r="Z192" s="317" t="str">
        <f t="shared" si="16"/>
        <v/>
      </c>
      <c r="AA192" s="101"/>
      <c r="AB192" s="115"/>
      <c r="AC192" s="104"/>
      <c r="AH192" s="30" t="str">
        <f>IFERROR(INDEX('G-7 WaterC'' Data'!$AZ$3:$AZ$7,MATCH(C192,'G-7 WaterC'' Data'!$AY$3:$AY$7,0)),"")</f>
        <v/>
      </c>
      <c r="AK192" s="30" t="str">
        <f t="shared" si="17"/>
        <v>No</v>
      </c>
    </row>
    <row r="193" spans="2:37" ht="14">
      <c r="B193" s="97">
        <v>182</v>
      </c>
      <c r="C193" s="920"/>
      <c r="D193" s="115"/>
      <c r="E193" s="275" t="str">
        <f>IF(C193="","",VLOOKUP(C193,'G-7 WaterC'' Data'!$B$2:$G$8,2,FALSE))</f>
        <v/>
      </c>
      <c r="F193" s="276" t="str">
        <f>IFERROR(VLOOKUP(E193,'G-7 WaterC'' Data'!$C$4:$D$8,2,FALSE),"")</f>
        <v/>
      </c>
      <c r="G193" s="101"/>
      <c r="H193" s="276" t="str">
        <f>IFERROR(INDEX('G-7 WaterC'' Data'!$H$4:$L$8,MATCH(C193,'G-7 WaterC'' Data'!$B$4:$B$8,0),MATCH(G193,'G-7 WaterC'' Data'!$H$3:$L$3,0)),"")</f>
        <v/>
      </c>
      <c r="I193" s="52"/>
      <c r="J193" s="283" t="str">
        <f>IF(I193="","",IF(VLOOKUP(I193,'G-7 WaterC'' Data'!$AK$4:$AM$6,2,FALSE)=0,"Spatial Data Missing ⚠",VLOOKUP(I193,'G-7 WaterC'' Data'!$AK$4:$AM$6,2,FALSE)))</f>
        <v/>
      </c>
      <c r="K193" s="276" t="str">
        <f>IF(I193="","",IF(VLOOKUP(I193,'G-7 WaterC'' Data'!$AK$4:$AM$6,3,FALSE)=0,"Spatial Data Missing ⚠",VLOOKUP(I193,'G-7 WaterC'' Data'!$AK$4:$AM$6,3,FALSE)))</f>
        <v/>
      </c>
      <c r="L193" s="275" t="str">
        <f>IFERROR(INDEX('G-7 WaterC'' Data'!$O$3:$O$7,MATCH(G193,'G-7 WaterC'' Data'!$N$3:$N$7,0)),"")</f>
        <v/>
      </c>
      <c r="M193" s="58"/>
      <c r="N193" s="133"/>
      <c r="O193" s="283" t="str">
        <f t="shared" si="12"/>
        <v/>
      </c>
      <c r="P193" s="296" t="str">
        <f t="shared" si="13"/>
        <v/>
      </c>
      <c r="Q193" s="334" t="str">
        <f>IFERROR(IF(P193="Check Data ⚠","Check Data ⚠",VLOOKUP(P193,'G-4 Temporal multipliers'!$A$4:$C$37,3,FALSE)),"")</f>
        <v/>
      </c>
      <c r="R193" s="275" t="str">
        <f>IF(C193="","",VLOOKUP(C193,'G-7 WaterC'' Data'!$B$4:$G$8,4,FALSE))</f>
        <v/>
      </c>
      <c r="S193" s="283" t="str">
        <f t="shared" si="14"/>
        <v/>
      </c>
      <c r="T193" s="314" t="str">
        <f t="shared" si="15"/>
        <v/>
      </c>
      <c r="U193" s="276" t="str">
        <f>IF(C193="","",VLOOKUP(T193,'G-3 Multipliers'!$P$2:$Q$6,2,FALSE))</f>
        <v/>
      </c>
      <c r="V193" s="102"/>
      <c r="W193" s="276" t="str">
        <f>IF(V193="","",IF(AND(V193="N/A - Culvert",C193&lt;&gt;"Culvert"),"Not possible ▲",IF(AND(C193="Culvert",V193&lt;&gt;"N/A - Culvert"),"Not possible ▲",IF(VLOOKUP(V193,'G-7 WaterC'' Data'!$AA$4:$AB$7,2,FALSE)=0,"Spatial Data Missing ⚠",VLOOKUP(V193,'G-7 WaterC'' Data'!$AA$4:$AB$7,2,FALSE)))))</f>
        <v/>
      </c>
      <c r="X193" s="56"/>
      <c r="Y193" s="276" t="str">
        <f>IF(X193="","",IF(AND(X193="N/A - Culvert",C193&lt;&gt;"Culvert"),"Not possible ▲",IF(AND(C193="Culvert",X193&lt;&gt;"N/A - Culvert"),"Not possible ▲",IF(VLOOKUP(X193,'G-7 WaterC'' Data'!$AD$4:$AE$14,2,FALSE)=0,"Enrcoachment Data Missing ⚠",VLOOKUP(X193,'G-7 WaterC'' Data'!$AD$4:$AE$14,2,FALSE)))))</f>
        <v/>
      </c>
      <c r="Z193" s="317" t="str">
        <f t="shared" si="16"/>
        <v/>
      </c>
      <c r="AA193" s="101"/>
      <c r="AB193" s="115"/>
      <c r="AC193" s="104"/>
      <c r="AH193" s="30" t="str">
        <f>IFERROR(INDEX('G-7 WaterC'' Data'!$AZ$3:$AZ$7,MATCH(C193,'G-7 WaterC'' Data'!$AY$3:$AY$7,0)),"")</f>
        <v/>
      </c>
      <c r="AK193" s="30" t="str">
        <f t="shared" si="17"/>
        <v>No</v>
      </c>
    </row>
    <row r="194" spans="2:37" ht="14">
      <c r="B194" s="97">
        <v>183</v>
      </c>
      <c r="C194" s="920"/>
      <c r="D194" s="115"/>
      <c r="E194" s="275" t="str">
        <f>IF(C194="","",VLOOKUP(C194,'G-7 WaterC'' Data'!$B$2:$G$8,2,FALSE))</f>
        <v/>
      </c>
      <c r="F194" s="276" t="str">
        <f>IFERROR(VLOOKUP(E194,'G-7 WaterC'' Data'!$C$4:$D$8,2,FALSE),"")</f>
        <v/>
      </c>
      <c r="G194" s="101"/>
      <c r="H194" s="276" t="str">
        <f>IFERROR(INDEX('G-7 WaterC'' Data'!$H$4:$L$8,MATCH(C194,'G-7 WaterC'' Data'!$B$4:$B$8,0),MATCH(G194,'G-7 WaterC'' Data'!$H$3:$L$3,0)),"")</f>
        <v/>
      </c>
      <c r="I194" s="52"/>
      <c r="J194" s="283" t="str">
        <f>IF(I194="","",IF(VLOOKUP(I194,'G-7 WaterC'' Data'!$AK$4:$AM$6,2,FALSE)=0,"Spatial Data Missing ⚠",VLOOKUP(I194,'G-7 WaterC'' Data'!$AK$4:$AM$6,2,FALSE)))</f>
        <v/>
      </c>
      <c r="K194" s="276" t="str">
        <f>IF(I194="","",IF(VLOOKUP(I194,'G-7 WaterC'' Data'!$AK$4:$AM$6,3,FALSE)=0,"Spatial Data Missing ⚠",VLOOKUP(I194,'G-7 WaterC'' Data'!$AK$4:$AM$6,3,FALSE)))</f>
        <v/>
      </c>
      <c r="L194" s="275" t="str">
        <f>IFERROR(INDEX('G-7 WaterC'' Data'!$O$3:$O$7,MATCH(G194,'G-7 WaterC'' Data'!$N$3:$N$7,0)),"")</f>
        <v/>
      </c>
      <c r="M194" s="58"/>
      <c r="N194" s="133"/>
      <c r="O194" s="283" t="str">
        <f t="shared" si="12"/>
        <v/>
      </c>
      <c r="P194" s="296" t="str">
        <f t="shared" si="13"/>
        <v/>
      </c>
      <c r="Q194" s="334" t="str">
        <f>IFERROR(IF(P194="Check Data ⚠","Check Data ⚠",VLOOKUP(P194,'G-4 Temporal multipliers'!$A$4:$C$37,3,FALSE)),"")</f>
        <v/>
      </c>
      <c r="R194" s="275" t="str">
        <f>IF(C194="","",VLOOKUP(C194,'G-7 WaterC'' Data'!$B$4:$G$8,4,FALSE))</f>
        <v/>
      </c>
      <c r="S194" s="283" t="str">
        <f t="shared" si="14"/>
        <v/>
      </c>
      <c r="T194" s="314" t="str">
        <f t="shared" si="15"/>
        <v/>
      </c>
      <c r="U194" s="276" t="str">
        <f>IF(C194="","",VLOOKUP(T194,'G-3 Multipliers'!$P$2:$Q$6,2,FALSE))</f>
        <v/>
      </c>
      <c r="V194" s="102"/>
      <c r="W194" s="276" t="str">
        <f>IF(V194="","",IF(AND(V194="N/A - Culvert",C194&lt;&gt;"Culvert"),"Not possible ▲",IF(AND(C194="Culvert",V194&lt;&gt;"N/A - Culvert"),"Not possible ▲",IF(VLOOKUP(V194,'G-7 WaterC'' Data'!$AA$4:$AB$7,2,FALSE)=0,"Spatial Data Missing ⚠",VLOOKUP(V194,'G-7 WaterC'' Data'!$AA$4:$AB$7,2,FALSE)))))</f>
        <v/>
      </c>
      <c r="X194" s="56"/>
      <c r="Y194" s="276" t="str">
        <f>IF(X194="","",IF(AND(X194="N/A - Culvert",C194&lt;&gt;"Culvert"),"Not possible ▲",IF(AND(C194="Culvert",X194&lt;&gt;"N/A - Culvert"),"Not possible ▲",IF(VLOOKUP(X194,'G-7 WaterC'' Data'!$AD$4:$AE$14,2,FALSE)=0,"Enrcoachment Data Missing ⚠",VLOOKUP(X194,'G-7 WaterC'' Data'!$AD$4:$AE$14,2,FALSE)))))</f>
        <v/>
      </c>
      <c r="Z194" s="317" t="str">
        <f t="shared" si="16"/>
        <v/>
      </c>
      <c r="AA194" s="101"/>
      <c r="AB194" s="115"/>
      <c r="AC194" s="104"/>
      <c r="AH194" s="30" t="str">
        <f>IFERROR(INDEX('G-7 WaterC'' Data'!$AZ$3:$AZ$7,MATCH(C194,'G-7 WaterC'' Data'!$AY$3:$AY$7,0)),"")</f>
        <v/>
      </c>
      <c r="AK194" s="30" t="str">
        <f t="shared" si="17"/>
        <v>No</v>
      </c>
    </row>
    <row r="195" spans="2:37" ht="14">
      <c r="B195" s="97">
        <v>184</v>
      </c>
      <c r="C195" s="920"/>
      <c r="D195" s="115"/>
      <c r="E195" s="275" t="str">
        <f>IF(C195="","",VLOOKUP(C195,'G-7 WaterC'' Data'!$B$2:$G$8,2,FALSE))</f>
        <v/>
      </c>
      <c r="F195" s="276" t="str">
        <f>IFERROR(VLOOKUP(E195,'G-7 WaterC'' Data'!$C$4:$D$8,2,FALSE),"")</f>
        <v/>
      </c>
      <c r="G195" s="101"/>
      <c r="H195" s="276" t="str">
        <f>IFERROR(INDEX('G-7 WaterC'' Data'!$H$4:$L$8,MATCH(C195,'G-7 WaterC'' Data'!$B$4:$B$8,0),MATCH(G195,'G-7 WaterC'' Data'!$H$3:$L$3,0)),"")</f>
        <v/>
      </c>
      <c r="I195" s="52"/>
      <c r="J195" s="283" t="str">
        <f>IF(I195="","",IF(VLOOKUP(I195,'G-7 WaterC'' Data'!$AK$4:$AM$6,2,FALSE)=0,"Spatial Data Missing ⚠",VLOOKUP(I195,'G-7 WaterC'' Data'!$AK$4:$AM$6,2,FALSE)))</f>
        <v/>
      </c>
      <c r="K195" s="276" t="str">
        <f>IF(I195="","",IF(VLOOKUP(I195,'G-7 WaterC'' Data'!$AK$4:$AM$6,3,FALSE)=0,"Spatial Data Missing ⚠",VLOOKUP(I195,'G-7 WaterC'' Data'!$AK$4:$AM$6,3,FALSE)))</f>
        <v/>
      </c>
      <c r="L195" s="275" t="str">
        <f>IFERROR(INDEX('G-7 WaterC'' Data'!$O$3:$O$7,MATCH(G195,'G-7 WaterC'' Data'!$N$3:$N$7,0)),"")</f>
        <v/>
      </c>
      <c r="M195" s="58"/>
      <c r="N195" s="133"/>
      <c r="O195" s="283" t="str">
        <f t="shared" si="12"/>
        <v/>
      </c>
      <c r="P195" s="296" t="str">
        <f t="shared" si="13"/>
        <v/>
      </c>
      <c r="Q195" s="334" t="str">
        <f>IFERROR(IF(P195="Check Data ⚠","Check Data ⚠",VLOOKUP(P195,'G-4 Temporal multipliers'!$A$4:$C$37,3,FALSE)),"")</f>
        <v/>
      </c>
      <c r="R195" s="275" t="str">
        <f>IF(C195="","",VLOOKUP(C195,'G-7 WaterC'' Data'!$B$4:$G$8,4,FALSE))</f>
        <v/>
      </c>
      <c r="S195" s="283" t="str">
        <f t="shared" si="14"/>
        <v/>
      </c>
      <c r="T195" s="314" t="str">
        <f t="shared" si="15"/>
        <v/>
      </c>
      <c r="U195" s="276" t="str">
        <f>IF(C195="","",VLOOKUP(T195,'G-3 Multipliers'!$P$2:$Q$6,2,FALSE))</f>
        <v/>
      </c>
      <c r="V195" s="102"/>
      <c r="W195" s="276" t="str">
        <f>IF(V195="","",IF(AND(V195="N/A - Culvert",C195&lt;&gt;"Culvert"),"Not possible ▲",IF(AND(C195="Culvert",V195&lt;&gt;"N/A - Culvert"),"Not possible ▲",IF(VLOOKUP(V195,'G-7 WaterC'' Data'!$AA$4:$AB$7,2,FALSE)=0,"Spatial Data Missing ⚠",VLOOKUP(V195,'G-7 WaterC'' Data'!$AA$4:$AB$7,2,FALSE)))))</f>
        <v/>
      </c>
      <c r="X195" s="56"/>
      <c r="Y195" s="276" t="str">
        <f>IF(X195="","",IF(AND(X195="N/A - Culvert",C195&lt;&gt;"Culvert"),"Not possible ▲",IF(AND(C195="Culvert",X195&lt;&gt;"N/A - Culvert"),"Not possible ▲",IF(VLOOKUP(X195,'G-7 WaterC'' Data'!$AD$4:$AE$14,2,FALSE)=0,"Enrcoachment Data Missing ⚠",VLOOKUP(X195,'G-7 WaterC'' Data'!$AD$4:$AE$14,2,FALSE)))))</f>
        <v/>
      </c>
      <c r="Z195" s="317" t="str">
        <f t="shared" si="16"/>
        <v/>
      </c>
      <c r="AA195" s="101"/>
      <c r="AB195" s="115"/>
      <c r="AC195" s="104"/>
      <c r="AH195" s="30" t="str">
        <f>IFERROR(INDEX('G-7 WaterC'' Data'!$AZ$3:$AZ$7,MATCH(C195,'G-7 WaterC'' Data'!$AY$3:$AY$7,0)),"")</f>
        <v/>
      </c>
      <c r="AK195" s="30" t="str">
        <f t="shared" si="17"/>
        <v>No</v>
      </c>
    </row>
    <row r="196" spans="2:37" ht="14">
      <c r="B196" s="97">
        <v>185</v>
      </c>
      <c r="C196" s="920"/>
      <c r="D196" s="115"/>
      <c r="E196" s="275" t="str">
        <f>IF(C196="","",VLOOKUP(C196,'G-7 WaterC'' Data'!$B$2:$G$8,2,FALSE))</f>
        <v/>
      </c>
      <c r="F196" s="276" t="str">
        <f>IFERROR(VLOOKUP(E196,'G-7 WaterC'' Data'!$C$4:$D$8,2,FALSE),"")</f>
        <v/>
      </c>
      <c r="G196" s="101"/>
      <c r="H196" s="276" t="str">
        <f>IFERROR(INDEX('G-7 WaterC'' Data'!$H$4:$L$8,MATCH(C196,'G-7 WaterC'' Data'!$B$4:$B$8,0),MATCH(G196,'G-7 WaterC'' Data'!$H$3:$L$3,0)),"")</f>
        <v/>
      </c>
      <c r="I196" s="52"/>
      <c r="J196" s="283" t="str">
        <f>IF(I196="","",IF(VLOOKUP(I196,'G-7 WaterC'' Data'!$AK$4:$AM$6,2,FALSE)=0,"Spatial Data Missing ⚠",VLOOKUP(I196,'G-7 WaterC'' Data'!$AK$4:$AM$6,2,FALSE)))</f>
        <v/>
      </c>
      <c r="K196" s="276" t="str">
        <f>IF(I196="","",IF(VLOOKUP(I196,'G-7 WaterC'' Data'!$AK$4:$AM$6,3,FALSE)=0,"Spatial Data Missing ⚠",VLOOKUP(I196,'G-7 WaterC'' Data'!$AK$4:$AM$6,3,FALSE)))</f>
        <v/>
      </c>
      <c r="L196" s="275" t="str">
        <f>IFERROR(INDEX('G-7 WaterC'' Data'!$O$3:$O$7,MATCH(G196,'G-7 WaterC'' Data'!$N$3:$N$7,0)),"")</f>
        <v/>
      </c>
      <c r="M196" s="58"/>
      <c r="N196" s="133"/>
      <c r="O196" s="283" t="str">
        <f t="shared" si="12"/>
        <v/>
      </c>
      <c r="P196" s="296" t="str">
        <f t="shared" si="13"/>
        <v/>
      </c>
      <c r="Q196" s="334" t="str">
        <f>IFERROR(IF(P196="Check Data ⚠","Check Data ⚠",VLOOKUP(P196,'G-4 Temporal multipliers'!$A$4:$C$37,3,FALSE)),"")</f>
        <v/>
      </c>
      <c r="R196" s="275" t="str">
        <f>IF(C196="","",VLOOKUP(C196,'G-7 WaterC'' Data'!$B$4:$G$8,4,FALSE))</f>
        <v/>
      </c>
      <c r="S196" s="283" t="str">
        <f t="shared" si="14"/>
        <v/>
      </c>
      <c r="T196" s="314" t="str">
        <f t="shared" si="15"/>
        <v/>
      </c>
      <c r="U196" s="276" t="str">
        <f>IF(C196="","",VLOOKUP(T196,'G-3 Multipliers'!$P$2:$Q$6,2,FALSE))</f>
        <v/>
      </c>
      <c r="V196" s="102"/>
      <c r="W196" s="276" t="str">
        <f>IF(V196="","",IF(AND(V196="N/A - Culvert",C196&lt;&gt;"Culvert"),"Not possible ▲",IF(AND(C196="Culvert",V196&lt;&gt;"N/A - Culvert"),"Not possible ▲",IF(VLOOKUP(V196,'G-7 WaterC'' Data'!$AA$4:$AB$7,2,FALSE)=0,"Spatial Data Missing ⚠",VLOOKUP(V196,'G-7 WaterC'' Data'!$AA$4:$AB$7,2,FALSE)))))</f>
        <v/>
      </c>
      <c r="X196" s="56"/>
      <c r="Y196" s="276" t="str">
        <f>IF(X196="","",IF(AND(X196="N/A - Culvert",C196&lt;&gt;"Culvert"),"Not possible ▲",IF(AND(C196="Culvert",X196&lt;&gt;"N/A - Culvert"),"Not possible ▲",IF(VLOOKUP(X196,'G-7 WaterC'' Data'!$AD$4:$AE$14,2,FALSE)=0,"Enrcoachment Data Missing ⚠",VLOOKUP(X196,'G-7 WaterC'' Data'!$AD$4:$AE$14,2,FALSE)))))</f>
        <v/>
      </c>
      <c r="Z196" s="317" t="str">
        <f t="shared" si="16"/>
        <v/>
      </c>
      <c r="AA196" s="101"/>
      <c r="AB196" s="115"/>
      <c r="AC196" s="104"/>
      <c r="AH196" s="30" t="str">
        <f>IFERROR(INDEX('G-7 WaterC'' Data'!$AZ$3:$AZ$7,MATCH(C196,'G-7 WaterC'' Data'!$AY$3:$AY$7,0)),"")</f>
        <v/>
      </c>
      <c r="AK196" s="30" t="str">
        <f t="shared" si="17"/>
        <v>No</v>
      </c>
    </row>
    <row r="197" spans="2:37" ht="14">
      <c r="B197" s="97">
        <v>186</v>
      </c>
      <c r="C197" s="920"/>
      <c r="D197" s="115"/>
      <c r="E197" s="275" t="str">
        <f>IF(C197="","",VLOOKUP(C197,'G-7 WaterC'' Data'!$B$2:$G$8,2,FALSE))</f>
        <v/>
      </c>
      <c r="F197" s="276" t="str">
        <f>IFERROR(VLOOKUP(E197,'G-7 WaterC'' Data'!$C$4:$D$8,2,FALSE),"")</f>
        <v/>
      </c>
      <c r="G197" s="101"/>
      <c r="H197" s="276" t="str">
        <f>IFERROR(INDEX('G-7 WaterC'' Data'!$H$4:$L$8,MATCH(C197,'G-7 WaterC'' Data'!$B$4:$B$8,0),MATCH(G197,'G-7 WaterC'' Data'!$H$3:$L$3,0)),"")</f>
        <v/>
      </c>
      <c r="I197" s="52"/>
      <c r="J197" s="283" t="str">
        <f>IF(I197="","",IF(VLOOKUP(I197,'G-7 WaterC'' Data'!$AK$4:$AM$6,2,FALSE)=0,"Spatial Data Missing ⚠",VLOOKUP(I197,'G-7 WaterC'' Data'!$AK$4:$AM$6,2,FALSE)))</f>
        <v/>
      </c>
      <c r="K197" s="276" t="str">
        <f>IF(I197="","",IF(VLOOKUP(I197,'G-7 WaterC'' Data'!$AK$4:$AM$6,3,FALSE)=0,"Spatial Data Missing ⚠",VLOOKUP(I197,'G-7 WaterC'' Data'!$AK$4:$AM$6,3,FALSE)))</f>
        <v/>
      </c>
      <c r="L197" s="275" t="str">
        <f>IFERROR(INDEX('G-7 WaterC'' Data'!$O$3:$O$7,MATCH(G197,'G-7 WaterC'' Data'!$N$3:$N$7,0)),"")</f>
        <v/>
      </c>
      <c r="M197" s="58"/>
      <c r="N197" s="133"/>
      <c r="O197" s="283" t="str">
        <f t="shared" si="12"/>
        <v/>
      </c>
      <c r="P197" s="296" t="str">
        <f t="shared" si="13"/>
        <v/>
      </c>
      <c r="Q197" s="334" t="str">
        <f>IFERROR(IF(P197="Check Data ⚠","Check Data ⚠",VLOOKUP(P197,'G-4 Temporal multipliers'!$A$4:$C$37,3,FALSE)),"")</f>
        <v/>
      </c>
      <c r="R197" s="275" t="str">
        <f>IF(C197="","",VLOOKUP(C197,'G-7 WaterC'' Data'!$B$4:$G$8,4,FALSE))</f>
        <v/>
      </c>
      <c r="S197" s="283" t="str">
        <f t="shared" si="14"/>
        <v/>
      </c>
      <c r="T197" s="314" t="str">
        <f t="shared" si="15"/>
        <v/>
      </c>
      <c r="U197" s="276" t="str">
        <f>IF(C197="","",VLOOKUP(T197,'G-3 Multipliers'!$P$2:$Q$6,2,FALSE))</f>
        <v/>
      </c>
      <c r="V197" s="102"/>
      <c r="W197" s="276" t="str">
        <f>IF(V197="","",IF(AND(V197="N/A - Culvert",C197&lt;&gt;"Culvert"),"Not possible ▲",IF(AND(C197="Culvert",V197&lt;&gt;"N/A - Culvert"),"Not possible ▲",IF(VLOOKUP(V197,'G-7 WaterC'' Data'!$AA$4:$AB$7,2,FALSE)=0,"Spatial Data Missing ⚠",VLOOKUP(V197,'G-7 WaterC'' Data'!$AA$4:$AB$7,2,FALSE)))))</f>
        <v/>
      </c>
      <c r="X197" s="56"/>
      <c r="Y197" s="276" t="str">
        <f>IF(X197="","",IF(AND(X197="N/A - Culvert",C197&lt;&gt;"Culvert"),"Not possible ▲",IF(AND(C197="Culvert",X197&lt;&gt;"N/A - Culvert"),"Not possible ▲",IF(VLOOKUP(X197,'G-7 WaterC'' Data'!$AD$4:$AE$14,2,FALSE)=0,"Enrcoachment Data Missing ⚠",VLOOKUP(X197,'G-7 WaterC'' Data'!$AD$4:$AE$14,2,FALSE)))))</f>
        <v/>
      </c>
      <c r="Z197" s="317" t="str">
        <f t="shared" si="16"/>
        <v/>
      </c>
      <c r="AA197" s="101"/>
      <c r="AB197" s="115"/>
      <c r="AC197" s="104"/>
      <c r="AH197" s="30" t="str">
        <f>IFERROR(INDEX('G-7 WaterC'' Data'!$AZ$3:$AZ$7,MATCH(C197,'G-7 WaterC'' Data'!$AY$3:$AY$7,0)),"")</f>
        <v/>
      </c>
      <c r="AK197" s="30" t="str">
        <f t="shared" si="17"/>
        <v>No</v>
      </c>
    </row>
    <row r="198" spans="2:37" ht="14">
      <c r="B198" s="97">
        <v>187</v>
      </c>
      <c r="C198" s="920"/>
      <c r="D198" s="115"/>
      <c r="E198" s="275" t="str">
        <f>IF(C198="","",VLOOKUP(C198,'G-7 WaterC'' Data'!$B$2:$G$8,2,FALSE))</f>
        <v/>
      </c>
      <c r="F198" s="276" t="str">
        <f>IFERROR(VLOOKUP(E198,'G-7 WaterC'' Data'!$C$4:$D$8,2,FALSE),"")</f>
        <v/>
      </c>
      <c r="G198" s="101"/>
      <c r="H198" s="276" t="str">
        <f>IFERROR(INDEX('G-7 WaterC'' Data'!$H$4:$L$8,MATCH(C198,'G-7 WaterC'' Data'!$B$4:$B$8,0),MATCH(G198,'G-7 WaterC'' Data'!$H$3:$L$3,0)),"")</f>
        <v/>
      </c>
      <c r="I198" s="52"/>
      <c r="J198" s="283" t="str">
        <f>IF(I198="","",IF(VLOOKUP(I198,'G-7 WaterC'' Data'!$AK$4:$AM$6,2,FALSE)=0,"Spatial Data Missing ⚠",VLOOKUP(I198,'G-7 WaterC'' Data'!$AK$4:$AM$6,2,FALSE)))</f>
        <v/>
      </c>
      <c r="K198" s="276" t="str">
        <f>IF(I198="","",IF(VLOOKUP(I198,'G-7 WaterC'' Data'!$AK$4:$AM$6,3,FALSE)=0,"Spatial Data Missing ⚠",VLOOKUP(I198,'G-7 WaterC'' Data'!$AK$4:$AM$6,3,FALSE)))</f>
        <v/>
      </c>
      <c r="L198" s="275" t="str">
        <f>IFERROR(INDEX('G-7 WaterC'' Data'!$O$3:$O$7,MATCH(G198,'G-7 WaterC'' Data'!$N$3:$N$7,0)),"")</f>
        <v/>
      </c>
      <c r="M198" s="58"/>
      <c r="N198" s="133"/>
      <c r="O198" s="283" t="str">
        <f t="shared" si="12"/>
        <v/>
      </c>
      <c r="P198" s="296" t="str">
        <f t="shared" si="13"/>
        <v/>
      </c>
      <c r="Q198" s="334" t="str">
        <f>IFERROR(IF(P198="Check Data ⚠","Check Data ⚠",VLOOKUP(P198,'G-4 Temporal multipliers'!$A$4:$C$37,3,FALSE)),"")</f>
        <v/>
      </c>
      <c r="R198" s="275" t="str">
        <f>IF(C198="","",VLOOKUP(C198,'G-7 WaterC'' Data'!$B$4:$G$8,4,FALSE))</f>
        <v/>
      </c>
      <c r="S198" s="283" t="str">
        <f t="shared" si="14"/>
        <v/>
      </c>
      <c r="T198" s="314" t="str">
        <f t="shared" si="15"/>
        <v/>
      </c>
      <c r="U198" s="276" t="str">
        <f>IF(C198="","",VLOOKUP(T198,'G-3 Multipliers'!$P$2:$Q$6,2,FALSE))</f>
        <v/>
      </c>
      <c r="V198" s="102"/>
      <c r="W198" s="276" t="str">
        <f>IF(V198="","",IF(AND(V198="N/A - Culvert",C198&lt;&gt;"Culvert"),"Not possible ▲",IF(AND(C198="Culvert",V198&lt;&gt;"N/A - Culvert"),"Not possible ▲",IF(VLOOKUP(V198,'G-7 WaterC'' Data'!$AA$4:$AB$7,2,FALSE)=0,"Spatial Data Missing ⚠",VLOOKUP(V198,'G-7 WaterC'' Data'!$AA$4:$AB$7,2,FALSE)))))</f>
        <v/>
      </c>
      <c r="X198" s="56"/>
      <c r="Y198" s="276" t="str">
        <f>IF(X198="","",IF(AND(X198="N/A - Culvert",C198&lt;&gt;"Culvert"),"Not possible ▲",IF(AND(C198="Culvert",X198&lt;&gt;"N/A - Culvert"),"Not possible ▲",IF(VLOOKUP(X198,'G-7 WaterC'' Data'!$AD$4:$AE$14,2,FALSE)=0,"Enrcoachment Data Missing ⚠",VLOOKUP(X198,'G-7 WaterC'' Data'!$AD$4:$AE$14,2,FALSE)))))</f>
        <v/>
      </c>
      <c r="Z198" s="317" t="str">
        <f t="shared" si="16"/>
        <v/>
      </c>
      <c r="AA198" s="101"/>
      <c r="AB198" s="115"/>
      <c r="AC198" s="104"/>
      <c r="AH198" s="30" t="str">
        <f>IFERROR(INDEX('G-7 WaterC'' Data'!$AZ$3:$AZ$7,MATCH(C198,'G-7 WaterC'' Data'!$AY$3:$AY$7,0)),"")</f>
        <v/>
      </c>
      <c r="AK198" s="30" t="str">
        <f t="shared" si="17"/>
        <v>No</v>
      </c>
    </row>
    <row r="199" spans="2:37" ht="14">
      <c r="B199" s="97">
        <v>188</v>
      </c>
      <c r="C199" s="920"/>
      <c r="D199" s="115"/>
      <c r="E199" s="275" t="str">
        <f>IF(C199="","",VLOOKUP(C199,'G-7 WaterC'' Data'!$B$2:$G$8,2,FALSE))</f>
        <v/>
      </c>
      <c r="F199" s="276" t="str">
        <f>IFERROR(VLOOKUP(E199,'G-7 WaterC'' Data'!$C$4:$D$8,2,FALSE),"")</f>
        <v/>
      </c>
      <c r="G199" s="101"/>
      <c r="H199" s="276" t="str">
        <f>IFERROR(INDEX('G-7 WaterC'' Data'!$H$4:$L$8,MATCH(C199,'G-7 WaterC'' Data'!$B$4:$B$8,0),MATCH(G199,'G-7 WaterC'' Data'!$H$3:$L$3,0)),"")</f>
        <v/>
      </c>
      <c r="I199" s="52"/>
      <c r="J199" s="283" t="str">
        <f>IF(I199="","",IF(VLOOKUP(I199,'G-7 WaterC'' Data'!$AK$4:$AM$6,2,FALSE)=0,"Spatial Data Missing ⚠",VLOOKUP(I199,'G-7 WaterC'' Data'!$AK$4:$AM$6,2,FALSE)))</f>
        <v/>
      </c>
      <c r="K199" s="276" t="str">
        <f>IF(I199="","",IF(VLOOKUP(I199,'G-7 WaterC'' Data'!$AK$4:$AM$6,3,FALSE)=0,"Spatial Data Missing ⚠",VLOOKUP(I199,'G-7 WaterC'' Data'!$AK$4:$AM$6,3,FALSE)))</f>
        <v/>
      </c>
      <c r="L199" s="275" t="str">
        <f>IFERROR(INDEX('G-7 WaterC'' Data'!$O$3:$O$7,MATCH(G199,'G-7 WaterC'' Data'!$N$3:$N$7,0)),"")</f>
        <v/>
      </c>
      <c r="M199" s="58"/>
      <c r="N199" s="133"/>
      <c r="O199" s="283" t="str">
        <f t="shared" si="12"/>
        <v/>
      </c>
      <c r="P199" s="296" t="str">
        <f t="shared" si="13"/>
        <v/>
      </c>
      <c r="Q199" s="334" t="str">
        <f>IFERROR(IF(P199="Check Data ⚠","Check Data ⚠",VLOOKUP(P199,'G-4 Temporal multipliers'!$A$4:$C$37,3,FALSE)),"")</f>
        <v/>
      </c>
      <c r="R199" s="275" t="str">
        <f>IF(C199="","",VLOOKUP(C199,'G-7 WaterC'' Data'!$B$4:$G$8,4,FALSE))</f>
        <v/>
      </c>
      <c r="S199" s="283" t="str">
        <f t="shared" si="14"/>
        <v/>
      </c>
      <c r="T199" s="314" t="str">
        <f t="shared" si="15"/>
        <v/>
      </c>
      <c r="U199" s="276" t="str">
        <f>IF(C199="","",VLOOKUP(T199,'G-3 Multipliers'!$P$2:$Q$6,2,FALSE))</f>
        <v/>
      </c>
      <c r="V199" s="102"/>
      <c r="W199" s="276" t="str">
        <f>IF(V199="","",IF(AND(V199="N/A - Culvert",C199&lt;&gt;"Culvert"),"Not possible ▲",IF(AND(C199="Culvert",V199&lt;&gt;"N/A - Culvert"),"Not possible ▲",IF(VLOOKUP(V199,'G-7 WaterC'' Data'!$AA$4:$AB$7,2,FALSE)=0,"Spatial Data Missing ⚠",VLOOKUP(V199,'G-7 WaterC'' Data'!$AA$4:$AB$7,2,FALSE)))))</f>
        <v/>
      </c>
      <c r="X199" s="56"/>
      <c r="Y199" s="276" t="str">
        <f>IF(X199="","",IF(AND(X199="N/A - Culvert",C199&lt;&gt;"Culvert"),"Not possible ▲",IF(AND(C199="Culvert",X199&lt;&gt;"N/A - Culvert"),"Not possible ▲",IF(VLOOKUP(X199,'G-7 WaterC'' Data'!$AD$4:$AE$14,2,FALSE)=0,"Enrcoachment Data Missing ⚠",VLOOKUP(X199,'G-7 WaterC'' Data'!$AD$4:$AE$14,2,FALSE)))))</f>
        <v/>
      </c>
      <c r="Z199" s="317" t="str">
        <f t="shared" si="16"/>
        <v/>
      </c>
      <c r="AA199" s="101"/>
      <c r="AB199" s="115"/>
      <c r="AC199" s="104"/>
      <c r="AH199" s="30" t="str">
        <f>IFERROR(INDEX('G-7 WaterC'' Data'!$AZ$3:$AZ$7,MATCH(C199,'G-7 WaterC'' Data'!$AY$3:$AY$7,0)),"")</f>
        <v/>
      </c>
      <c r="AK199" s="30" t="str">
        <f t="shared" si="17"/>
        <v>No</v>
      </c>
    </row>
    <row r="200" spans="2:37" ht="14">
      <c r="B200" s="97">
        <v>189</v>
      </c>
      <c r="C200" s="920"/>
      <c r="D200" s="115"/>
      <c r="E200" s="275" t="str">
        <f>IF(C200="","",VLOOKUP(C200,'G-7 WaterC'' Data'!$B$2:$G$8,2,FALSE))</f>
        <v/>
      </c>
      <c r="F200" s="276" t="str">
        <f>IFERROR(VLOOKUP(E200,'G-7 WaterC'' Data'!$C$4:$D$8,2,FALSE),"")</f>
        <v/>
      </c>
      <c r="G200" s="101"/>
      <c r="H200" s="276" t="str">
        <f>IFERROR(INDEX('G-7 WaterC'' Data'!$H$4:$L$8,MATCH(C200,'G-7 WaterC'' Data'!$B$4:$B$8,0),MATCH(G200,'G-7 WaterC'' Data'!$H$3:$L$3,0)),"")</f>
        <v/>
      </c>
      <c r="I200" s="52"/>
      <c r="J200" s="283" t="str">
        <f>IF(I200="","",IF(VLOOKUP(I200,'G-7 WaterC'' Data'!$AK$4:$AM$6,2,FALSE)=0,"Spatial Data Missing ⚠",VLOOKUP(I200,'G-7 WaterC'' Data'!$AK$4:$AM$6,2,FALSE)))</f>
        <v/>
      </c>
      <c r="K200" s="276" t="str">
        <f>IF(I200="","",IF(VLOOKUP(I200,'G-7 WaterC'' Data'!$AK$4:$AM$6,3,FALSE)=0,"Spatial Data Missing ⚠",VLOOKUP(I200,'G-7 WaterC'' Data'!$AK$4:$AM$6,3,FALSE)))</f>
        <v/>
      </c>
      <c r="L200" s="275" t="str">
        <f>IFERROR(INDEX('G-7 WaterC'' Data'!$O$3:$O$7,MATCH(G200,'G-7 WaterC'' Data'!$N$3:$N$7,0)),"")</f>
        <v/>
      </c>
      <c r="M200" s="58"/>
      <c r="N200" s="133"/>
      <c r="O200" s="283" t="str">
        <f t="shared" si="12"/>
        <v/>
      </c>
      <c r="P200" s="296" t="str">
        <f t="shared" si="13"/>
        <v/>
      </c>
      <c r="Q200" s="334" t="str">
        <f>IFERROR(IF(P200="Check Data ⚠","Check Data ⚠",VLOOKUP(P200,'G-4 Temporal multipliers'!$A$4:$C$37,3,FALSE)),"")</f>
        <v/>
      </c>
      <c r="R200" s="275" t="str">
        <f>IF(C200="","",VLOOKUP(C200,'G-7 WaterC'' Data'!$B$4:$G$8,4,FALSE))</f>
        <v/>
      </c>
      <c r="S200" s="283" t="str">
        <f t="shared" si="14"/>
        <v/>
      </c>
      <c r="T200" s="314" t="str">
        <f t="shared" si="15"/>
        <v/>
      </c>
      <c r="U200" s="276" t="str">
        <f>IF(C200="","",VLOOKUP(T200,'G-3 Multipliers'!$P$2:$Q$6,2,FALSE))</f>
        <v/>
      </c>
      <c r="V200" s="102"/>
      <c r="W200" s="276" t="str">
        <f>IF(V200="","",IF(AND(V200="N/A - Culvert",C200&lt;&gt;"Culvert"),"Not possible ▲",IF(AND(C200="Culvert",V200&lt;&gt;"N/A - Culvert"),"Not possible ▲",IF(VLOOKUP(V200,'G-7 WaterC'' Data'!$AA$4:$AB$7,2,FALSE)=0,"Spatial Data Missing ⚠",VLOOKUP(V200,'G-7 WaterC'' Data'!$AA$4:$AB$7,2,FALSE)))))</f>
        <v/>
      </c>
      <c r="X200" s="56"/>
      <c r="Y200" s="276" t="str">
        <f>IF(X200="","",IF(AND(X200="N/A - Culvert",C200&lt;&gt;"Culvert"),"Not possible ▲",IF(AND(C200="Culvert",X200&lt;&gt;"N/A - Culvert"),"Not possible ▲",IF(VLOOKUP(X200,'G-7 WaterC'' Data'!$AD$4:$AE$14,2,FALSE)=0,"Enrcoachment Data Missing ⚠",VLOOKUP(X200,'G-7 WaterC'' Data'!$AD$4:$AE$14,2,FALSE)))))</f>
        <v/>
      </c>
      <c r="Z200" s="317" t="str">
        <f t="shared" si="16"/>
        <v/>
      </c>
      <c r="AA200" s="101"/>
      <c r="AB200" s="115"/>
      <c r="AC200" s="104"/>
      <c r="AH200" s="30" t="str">
        <f>IFERROR(INDEX('G-7 WaterC'' Data'!$AZ$3:$AZ$7,MATCH(C200,'G-7 WaterC'' Data'!$AY$3:$AY$7,0)),"")</f>
        <v/>
      </c>
      <c r="AK200" s="30" t="str">
        <f t="shared" si="17"/>
        <v>No</v>
      </c>
    </row>
    <row r="201" spans="2:37" ht="14">
      <c r="B201" s="97">
        <v>190</v>
      </c>
      <c r="C201" s="920"/>
      <c r="D201" s="115"/>
      <c r="E201" s="275" t="str">
        <f>IF(C201="","",VLOOKUP(C201,'G-7 WaterC'' Data'!$B$2:$G$8,2,FALSE))</f>
        <v/>
      </c>
      <c r="F201" s="276" t="str">
        <f>IFERROR(VLOOKUP(E201,'G-7 WaterC'' Data'!$C$4:$D$8,2,FALSE),"")</f>
        <v/>
      </c>
      <c r="G201" s="101"/>
      <c r="H201" s="276" t="str">
        <f>IFERROR(INDEX('G-7 WaterC'' Data'!$H$4:$L$8,MATCH(C201,'G-7 WaterC'' Data'!$B$4:$B$8,0),MATCH(G201,'G-7 WaterC'' Data'!$H$3:$L$3,0)),"")</f>
        <v/>
      </c>
      <c r="I201" s="52"/>
      <c r="J201" s="283" t="str">
        <f>IF(I201="","",IF(VLOOKUP(I201,'G-7 WaterC'' Data'!$AK$4:$AM$6,2,FALSE)=0,"Spatial Data Missing ⚠",VLOOKUP(I201,'G-7 WaterC'' Data'!$AK$4:$AM$6,2,FALSE)))</f>
        <v/>
      </c>
      <c r="K201" s="276" t="str">
        <f>IF(I201="","",IF(VLOOKUP(I201,'G-7 WaterC'' Data'!$AK$4:$AM$6,3,FALSE)=0,"Spatial Data Missing ⚠",VLOOKUP(I201,'G-7 WaterC'' Data'!$AK$4:$AM$6,3,FALSE)))</f>
        <v/>
      </c>
      <c r="L201" s="275" t="str">
        <f>IFERROR(INDEX('G-7 WaterC'' Data'!$O$3:$O$7,MATCH(G201,'G-7 WaterC'' Data'!$N$3:$N$7,0)),"")</f>
        <v/>
      </c>
      <c r="M201" s="58"/>
      <c r="N201" s="133"/>
      <c r="O201" s="283" t="str">
        <f t="shared" si="12"/>
        <v/>
      </c>
      <c r="P201" s="296" t="str">
        <f t="shared" si="13"/>
        <v/>
      </c>
      <c r="Q201" s="334" t="str">
        <f>IFERROR(IF(P201="Check Data ⚠","Check Data ⚠",VLOOKUP(P201,'G-4 Temporal multipliers'!$A$4:$C$37,3,FALSE)),"")</f>
        <v/>
      </c>
      <c r="R201" s="275" t="str">
        <f>IF(C201="","",VLOOKUP(C201,'G-7 WaterC'' Data'!$B$4:$G$8,4,FALSE))</f>
        <v/>
      </c>
      <c r="S201" s="283" t="str">
        <f t="shared" si="14"/>
        <v/>
      </c>
      <c r="T201" s="314" t="str">
        <f t="shared" si="15"/>
        <v/>
      </c>
      <c r="U201" s="276" t="str">
        <f>IF(C201="","",VLOOKUP(T201,'G-3 Multipliers'!$P$2:$Q$6,2,FALSE))</f>
        <v/>
      </c>
      <c r="V201" s="102"/>
      <c r="W201" s="276" t="str">
        <f>IF(V201="","",IF(AND(V201="N/A - Culvert",C201&lt;&gt;"Culvert"),"Not possible ▲",IF(AND(C201="Culvert",V201&lt;&gt;"N/A - Culvert"),"Not possible ▲",IF(VLOOKUP(V201,'G-7 WaterC'' Data'!$AA$4:$AB$7,2,FALSE)=0,"Spatial Data Missing ⚠",VLOOKUP(V201,'G-7 WaterC'' Data'!$AA$4:$AB$7,2,FALSE)))))</f>
        <v/>
      </c>
      <c r="X201" s="56"/>
      <c r="Y201" s="276" t="str">
        <f>IF(X201="","",IF(AND(X201="N/A - Culvert",C201&lt;&gt;"Culvert"),"Not possible ▲",IF(AND(C201="Culvert",X201&lt;&gt;"N/A - Culvert"),"Not possible ▲",IF(VLOOKUP(X201,'G-7 WaterC'' Data'!$AD$4:$AE$14,2,FALSE)=0,"Enrcoachment Data Missing ⚠",VLOOKUP(X201,'G-7 WaterC'' Data'!$AD$4:$AE$14,2,FALSE)))))</f>
        <v/>
      </c>
      <c r="Z201" s="317" t="str">
        <f t="shared" si="16"/>
        <v/>
      </c>
      <c r="AA201" s="101"/>
      <c r="AB201" s="115"/>
      <c r="AC201" s="104"/>
      <c r="AH201" s="30" t="str">
        <f>IFERROR(INDEX('G-7 WaterC'' Data'!$AZ$3:$AZ$7,MATCH(C201,'G-7 WaterC'' Data'!$AY$3:$AY$7,0)),"")</f>
        <v/>
      </c>
      <c r="AK201" s="30" t="str">
        <f t="shared" si="17"/>
        <v>No</v>
      </c>
    </row>
    <row r="202" spans="2:37" ht="14">
      <c r="B202" s="97">
        <v>191</v>
      </c>
      <c r="C202" s="920"/>
      <c r="D202" s="115"/>
      <c r="E202" s="275" t="str">
        <f>IF(C202="","",VLOOKUP(C202,'G-7 WaterC'' Data'!$B$2:$G$8,2,FALSE))</f>
        <v/>
      </c>
      <c r="F202" s="276" t="str">
        <f>IFERROR(VLOOKUP(E202,'G-7 WaterC'' Data'!$C$4:$D$8,2,FALSE),"")</f>
        <v/>
      </c>
      <c r="G202" s="101"/>
      <c r="H202" s="276" t="str">
        <f>IFERROR(INDEX('G-7 WaterC'' Data'!$H$4:$L$8,MATCH(C202,'G-7 WaterC'' Data'!$B$4:$B$8,0),MATCH(G202,'G-7 WaterC'' Data'!$H$3:$L$3,0)),"")</f>
        <v/>
      </c>
      <c r="I202" s="52"/>
      <c r="J202" s="283" t="str">
        <f>IF(I202="","",IF(VLOOKUP(I202,'G-7 WaterC'' Data'!$AK$4:$AM$6,2,FALSE)=0,"Spatial Data Missing ⚠",VLOOKUP(I202,'G-7 WaterC'' Data'!$AK$4:$AM$6,2,FALSE)))</f>
        <v/>
      </c>
      <c r="K202" s="276" t="str">
        <f>IF(I202="","",IF(VLOOKUP(I202,'G-7 WaterC'' Data'!$AK$4:$AM$6,3,FALSE)=0,"Spatial Data Missing ⚠",VLOOKUP(I202,'G-7 WaterC'' Data'!$AK$4:$AM$6,3,FALSE)))</f>
        <v/>
      </c>
      <c r="L202" s="275" t="str">
        <f>IFERROR(INDEX('G-7 WaterC'' Data'!$O$3:$O$7,MATCH(G202,'G-7 WaterC'' Data'!$N$3:$N$7,0)),"")</f>
        <v/>
      </c>
      <c r="M202" s="58"/>
      <c r="N202" s="133"/>
      <c r="O202" s="283" t="str">
        <f t="shared" si="12"/>
        <v/>
      </c>
      <c r="P202" s="296" t="str">
        <f t="shared" si="13"/>
        <v/>
      </c>
      <c r="Q202" s="334" t="str">
        <f>IFERROR(IF(P202="Check Data ⚠","Check Data ⚠",VLOOKUP(P202,'G-4 Temporal multipliers'!$A$4:$C$37,3,FALSE)),"")</f>
        <v/>
      </c>
      <c r="R202" s="275" t="str">
        <f>IF(C202="","",VLOOKUP(C202,'G-7 WaterC'' Data'!$B$4:$G$8,4,FALSE))</f>
        <v/>
      </c>
      <c r="S202" s="283" t="str">
        <f t="shared" si="14"/>
        <v/>
      </c>
      <c r="T202" s="314" t="str">
        <f t="shared" si="15"/>
        <v/>
      </c>
      <c r="U202" s="276" t="str">
        <f>IF(C202="","",VLOOKUP(T202,'G-3 Multipliers'!$P$2:$Q$6,2,FALSE))</f>
        <v/>
      </c>
      <c r="V202" s="102"/>
      <c r="W202" s="276" t="str">
        <f>IF(V202="","",IF(AND(V202="N/A - Culvert",C202&lt;&gt;"Culvert"),"Not possible ▲",IF(AND(C202="Culvert",V202&lt;&gt;"N/A - Culvert"),"Not possible ▲",IF(VLOOKUP(V202,'G-7 WaterC'' Data'!$AA$4:$AB$7,2,FALSE)=0,"Spatial Data Missing ⚠",VLOOKUP(V202,'G-7 WaterC'' Data'!$AA$4:$AB$7,2,FALSE)))))</f>
        <v/>
      </c>
      <c r="X202" s="56"/>
      <c r="Y202" s="276" t="str">
        <f>IF(X202="","",IF(AND(X202="N/A - Culvert",C202&lt;&gt;"Culvert"),"Not possible ▲",IF(AND(C202="Culvert",X202&lt;&gt;"N/A - Culvert"),"Not possible ▲",IF(VLOOKUP(X202,'G-7 WaterC'' Data'!$AD$4:$AE$14,2,FALSE)=0,"Enrcoachment Data Missing ⚠",VLOOKUP(X202,'G-7 WaterC'' Data'!$AD$4:$AE$14,2,FALSE)))))</f>
        <v/>
      </c>
      <c r="Z202" s="317" t="str">
        <f t="shared" si="16"/>
        <v/>
      </c>
      <c r="AA202" s="101"/>
      <c r="AB202" s="115"/>
      <c r="AC202" s="104"/>
      <c r="AH202" s="30" t="str">
        <f>IFERROR(INDEX('G-7 WaterC'' Data'!$AZ$3:$AZ$7,MATCH(C202,'G-7 WaterC'' Data'!$AY$3:$AY$7,0)),"")</f>
        <v/>
      </c>
      <c r="AK202" s="30" t="str">
        <f t="shared" si="17"/>
        <v>No</v>
      </c>
    </row>
    <row r="203" spans="2:37" ht="14">
      <c r="B203" s="97">
        <v>192</v>
      </c>
      <c r="C203" s="920"/>
      <c r="D203" s="115"/>
      <c r="E203" s="275" t="str">
        <f>IF(C203="","",VLOOKUP(C203,'G-7 WaterC'' Data'!$B$2:$G$8,2,FALSE))</f>
        <v/>
      </c>
      <c r="F203" s="276" t="str">
        <f>IFERROR(VLOOKUP(E203,'G-7 WaterC'' Data'!$C$4:$D$8,2,FALSE),"")</f>
        <v/>
      </c>
      <c r="G203" s="101"/>
      <c r="H203" s="276" t="str">
        <f>IFERROR(INDEX('G-7 WaterC'' Data'!$H$4:$L$8,MATCH(C203,'G-7 WaterC'' Data'!$B$4:$B$8,0),MATCH(G203,'G-7 WaterC'' Data'!$H$3:$L$3,0)),"")</f>
        <v/>
      </c>
      <c r="I203" s="52"/>
      <c r="J203" s="283" t="str">
        <f>IF(I203="","",IF(VLOOKUP(I203,'G-7 WaterC'' Data'!$AK$4:$AM$6,2,FALSE)=0,"Spatial Data Missing ⚠",VLOOKUP(I203,'G-7 WaterC'' Data'!$AK$4:$AM$6,2,FALSE)))</f>
        <v/>
      </c>
      <c r="K203" s="276" t="str">
        <f>IF(I203="","",IF(VLOOKUP(I203,'G-7 WaterC'' Data'!$AK$4:$AM$6,3,FALSE)=0,"Spatial Data Missing ⚠",VLOOKUP(I203,'G-7 WaterC'' Data'!$AK$4:$AM$6,3,FALSE)))</f>
        <v/>
      </c>
      <c r="L203" s="275" t="str">
        <f>IFERROR(INDEX('G-7 WaterC'' Data'!$O$3:$O$7,MATCH(G203,'G-7 WaterC'' Data'!$N$3:$N$7,0)),"")</f>
        <v/>
      </c>
      <c r="M203" s="58"/>
      <c r="N203" s="133"/>
      <c r="O203" s="283" t="str">
        <f t="shared" si="12"/>
        <v/>
      </c>
      <c r="P203" s="296" t="str">
        <f t="shared" si="13"/>
        <v/>
      </c>
      <c r="Q203" s="334" t="str">
        <f>IFERROR(IF(P203="Check Data ⚠","Check Data ⚠",VLOOKUP(P203,'G-4 Temporal multipliers'!$A$4:$C$37,3,FALSE)),"")</f>
        <v/>
      </c>
      <c r="R203" s="275" t="str">
        <f>IF(C203="","",VLOOKUP(C203,'G-7 WaterC'' Data'!$B$4:$G$8,4,FALSE))</f>
        <v/>
      </c>
      <c r="S203" s="283" t="str">
        <f t="shared" si="14"/>
        <v/>
      </c>
      <c r="T203" s="314" t="str">
        <f t="shared" si="15"/>
        <v/>
      </c>
      <c r="U203" s="276" t="str">
        <f>IF(C203="","",VLOOKUP(T203,'G-3 Multipliers'!$P$2:$Q$6,2,FALSE))</f>
        <v/>
      </c>
      <c r="V203" s="102"/>
      <c r="W203" s="276" t="str">
        <f>IF(V203="","",IF(AND(V203="N/A - Culvert",C203&lt;&gt;"Culvert"),"Not possible ▲",IF(AND(C203="Culvert",V203&lt;&gt;"N/A - Culvert"),"Not possible ▲",IF(VLOOKUP(V203,'G-7 WaterC'' Data'!$AA$4:$AB$7,2,FALSE)=0,"Spatial Data Missing ⚠",VLOOKUP(V203,'G-7 WaterC'' Data'!$AA$4:$AB$7,2,FALSE)))))</f>
        <v/>
      </c>
      <c r="X203" s="56"/>
      <c r="Y203" s="276" t="str">
        <f>IF(X203="","",IF(AND(X203="N/A - Culvert",C203&lt;&gt;"Culvert"),"Not possible ▲",IF(AND(C203="Culvert",X203&lt;&gt;"N/A - Culvert"),"Not possible ▲",IF(VLOOKUP(X203,'G-7 WaterC'' Data'!$AD$4:$AE$14,2,FALSE)=0,"Enrcoachment Data Missing ⚠",VLOOKUP(X203,'G-7 WaterC'' Data'!$AD$4:$AE$14,2,FALSE)))))</f>
        <v/>
      </c>
      <c r="Z203" s="317" t="str">
        <f t="shared" si="16"/>
        <v/>
      </c>
      <c r="AA203" s="101"/>
      <c r="AB203" s="115"/>
      <c r="AC203" s="104"/>
      <c r="AH203" s="30" t="str">
        <f>IFERROR(INDEX('G-7 WaterC'' Data'!$AZ$3:$AZ$7,MATCH(C203,'G-7 WaterC'' Data'!$AY$3:$AY$7,0)),"")</f>
        <v/>
      </c>
      <c r="AK203" s="30" t="str">
        <f t="shared" si="17"/>
        <v>No</v>
      </c>
    </row>
    <row r="204" spans="2:37" ht="14">
      <c r="B204" s="97">
        <v>193</v>
      </c>
      <c r="C204" s="920"/>
      <c r="D204" s="115"/>
      <c r="E204" s="275" t="str">
        <f>IF(C204="","",VLOOKUP(C204,'G-7 WaterC'' Data'!$B$2:$G$8,2,FALSE))</f>
        <v/>
      </c>
      <c r="F204" s="276" t="str">
        <f>IFERROR(VLOOKUP(E204,'G-7 WaterC'' Data'!$C$4:$D$8,2,FALSE),"")</f>
        <v/>
      </c>
      <c r="G204" s="101"/>
      <c r="H204" s="276" t="str">
        <f>IFERROR(INDEX('G-7 WaterC'' Data'!$H$4:$L$8,MATCH(C204,'G-7 WaterC'' Data'!$B$4:$B$8,0),MATCH(G204,'G-7 WaterC'' Data'!$H$3:$L$3,0)),"")</f>
        <v/>
      </c>
      <c r="I204" s="52"/>
      <c r="J204" s="283" t="str">
        <f>IF(I204="","",IF(VLOOKUP(I204,'G-7 WaterC'' Data'!$AK$4:$AM$6,2,FALSE)=0,"Spatial Data Missing ⚠",VLOOKUP(I204,'G-7 WaterC'' Data'!$AK$4:$AM$6,2,FALSE)))</f>
        <v/>
      </c>
      <c r="K204" s="276" t="str">
        <f>IF(I204="","",IF(VLOOKUP(I204,'G-7 WaterC'' Data'!$AK$4:$AM$6,3,FALSE)=0,"Spatial Data Missing ⚠",VLOOKUP(I204,'G-7 WaterC'' Data'!$AK$4:$AM$6,3,FALSE)))</f>
        <v/>
      </c>
      <c r="L204" s="275" t="str">
        <f>IFERROR(INDEX('G-7 WaterC'' Data'!$O$3:$O$7,MATCH(G204,'G-7 WaterC'' Data'!$N$3:$N$7,0)),"")</f>
        <v/>
      </c>
      <c r="M204" s="58"/>
      <c r="N204" s="133"/>
      <c r="O204" s="283" t="str">
        <f t="shared" si="12"/>
        <v/>
      </c>
      <c r="P204" s="296" t="str">
        <f t="shared" si="13"/>
        <v/>
      </c>
      <c r="Q204" s="334" t="str">
        <f>IFERROR(IF(P204="Check Data ⚠","Check Data ⚠",VLOOKUP(P204,'G-4 Temporal multipliers'!$A$4:$C$37,3,FALSE)),"")</f>
        <v/>
      </c>
      <c r="R204" s="275" t="str">
        <f>IF(C204="","",VLOOKUP(C204,'G-7 WaterC'' Data'!$B$4:$G$8,4,FALSE))</f>
        <v/>
      </c>
      <c r="S204" s="283" t="str">
        <f t="shared" si="14"/>
        <v/>
      </c>
      <c r="T204" s="314" t="str">
        <f t="shared" si="15"/>
        <v/>
      </c>
      <c r="U204" s="276" t="str">
        <f>IF(C204="","",VLOOKUP(T204,'G-3 Multipliers'!$P$2:$Q$6,2,FALSE))</f>
        <v/>
      </c>
      <c r="V204" s="102"/>
      <c r="W204" s="276" t="str">
        <f>IF(V204="","",IF(AND(V204="N/A - Culvert",C204&lt;&gt;"Culvert"),"Not possible ▲",IF(AND(C204="Culvert",V204&lt;&gt;"N/A - Culvert"),"Not possible ▲",IF(VLOOKUP(V204,'G-7 WaterC'' Data'!$AA$4:$AB$7,2,FALSE)=0,"Spatial Data Missing ⚠",VLOOKUP(V204,'G-7 WaterC'' Data'!$AA$4:$AB$7,2,FALSE)))))</f>
        <v/>
      </c>
      <c r="X204" s="56"/>
      <c r="Y204" s="276" t="str">
        <f>IF(X204="","",IF(AND(X204="N/A - Culvert",C204&lt;&gt;"Culvert"),"Not possible ▲",IF(AND(C204="Culvert",X204&lt;&gt;"N/A - Culvert"),"Not possible ▲",IF(VLOOKUP(X204,'G-7 WaterC'' Data'!$AD$4:$AE$14,2,FALSE)=0,"Enrcoachment Data Missing ⚠",VLOOKUP(X204,'G-7 WaterC'' Data'!$AD$4:$AE$14,2,FALSE)))))</f>
        <v/>
      </c>
      <c r="Z204" s="317" t="str">
        <f t="shared" si="16"/>
        <v/>
      </c>
      <c r="AA204" s="101"/>
      <c r="AB204" s="115"/>
      <c r="AC204" s="104"/>
      <c r="AH204" s="30" t="str">
        <f>IFERROR(INDEX('G-7 WaterC'' Data'!$AZ$3:$AZ$7,MATCH(C204,'G-7 WaterC'' Data'!$AY$3:$AY$7,0)),"")</f>
        <v/>
      </c>
      <c r="AK204" s="30" t="str">
        <f t="shared" si="17"/>
        <v>No</v>
      </c>
    </row>
    <row r="205" spans="2:37" ht="14">
      <c r="B205" s="97">
        <v>194</v>
      </c>
      <c r="C205" s="920"/>
      <c r="D205" s="115"/>
      <c r="E205" s="275" t="str">
        <f>IF(C205="","",VLOOKUP(C205,'G-7 WaterC'' Data'!$B$2:$G$8,2,FALSE))</f>
        <v/>
      </c>
      <c r="F205" s="276" t="str">
        <f>IFERROR(VLOOKUP(E205,'G-7 WaterC'' Data'!$C$4:$D$8,2,FALSE),"")</f>
        <v/>
      </c>
      <c r="G205" s="101"/>
      <c r="H205" s="276" t="str">
        <f>IFERROR(INDEX('G-7 WaterC'' Data'!$H$4:$L$8,MATCH(C205,'G-7 WaterC'' Data'!$B$4:$B$8,0),MATCH(G205,'G-7 WaterC'' Data'!$H$3:$L$3,0)),"")</f>
        <v/>
      </c>
      <c r="I205" s="52"/>
      <c r="J205" s="283" t="str">
        <f>IF(I205="","",IF(VLOOKUP(I205,'G-7 WaterC'' Data'!$AK$4:$AM$6,2,FALSE)=0,"Spatial Data Missing ⚠",VLOOKUP(I205,'G-7 WaterC'' Data'!$AK$4:$AM$6,2,FALSE)))</f>
        <v/>
      </c>
      <c r="K205" s="276" t="str">
        <f>IF(I205="","",IF(VLOOKUP(I205,'G-7 WaterC'' Data'!$AK$4:$AM$6,3,FALSE)=0,"Spatial Data Missing ⚠",VLOOKUP(I205,'G-7 WaterC'' Data'!$AK$4:$AM$6,3,FALSE)))</f>
        <v/>
      </c>
      <c r="L205" s="275" t="str">
        <f>IFERROR(INDEX('G-7 WaterC'' Data'!$O$3:$O$7,MATCH(G205,'G-7 WaterC'' Data'!$N$3:$N$7,0)),"")</f>
        <v/>
      </c>
      <c r="M205" s="58"/>
      <c r="N205" s="133"/>
      <c r="O205" s="283" t="str">
        <f t="shared" si="18" ref="O205:O25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296" t="str">
        <f t="shared" si="19" ref="P205:P259">IF(O205="Error -both advance and delayed habitat creation ▲","Check Data ⚠",IF(L205="","",IF(M205="30+",0,IF(N205="30+","30+",IF(L205+N205&gt;30,"30+ ",IF(L205+N205-M205&gt;0,L205+N205-M205,IF(L205-M205&lt;0,0,L205+N205-M205)))))))</f>
        <v/>
      </c>
      <c r="Q205" s="334" t="str">
        <f>IFERROR(IF(P205="Check Data ⚠","Check Data ⚠",VLOOKUP(P205,'G-4 Temporal multipliers'!$A$4:$C$37,3,FALSE)),"")</f>
        <v/>
      </c>
      <c r="R205" s="275" t="str">
        <f>IF(C205="","",VLOOKUP(C205,'G-7 WaterC'' Data'!$B$4:$G$8,4,FALSE))</f>
        <v/>
      </c>
      <c r="S205" s="283" t="str">
        <f t="shared" si="20" ref="S205:S259">IF(C205="","",IF(P205="Check Data ⚠","Check Data ⚠",IF(G205="","",IF($O205="Check details - Is there evidence that habitat has reached target condition? ⚠","Low Difficulty - only applicable if all habitat created before losses ⚠","Standard difficulty applied"))))</f>
        <v/>
      </c>
      <c r="T205" s="314" t="str">
        <f t="shared" si="21" ref="T205:T259">(IF(AND(S205="Standard difficulty applied",L205&gt;M205),R205,IF(AND(S205="Low Difficulty - only applicable if all habitat created before losses ⚠",M205&gt;=L205),"Low",R205)))</f>
        <v/>
      </c>
      <c r="U205" s="276" t="str">
        <f>IF(C205="","",VLOOKUP(T205,'G-3 Multipliers'!$P$2:$Q$6,2,FALSE))</f>
        <v/>
      </c>
      <c r="V205" s="102"/>
      <c r="W205" s="276" t="str">
        <f>IF(V205="","",IF(AND(V205="N/A - Culvert",C205&lt;&gt;"Culvert"),"Not possible ▲",IF(AND(C205="Culvert",V205&lt;&gt;"N/A - Culvert"),"Not possible ▲",IF(VLOOKUP(V205,'G-7 WaterC'' Data'!$AA$4:$AB$7,2,FALSE)=0,"Spatial Data Missing ⚠",VLOOKUP(V205,'G-7 WaterC'' Data'!$AA$4:$AB$7,2,FALSE)))))</f>
        <v/>
      </c>
      <c r="X205" s="56"/>
      <c r="Y205" s="276" t="str">
        <f>IF(X205="","",IF(AND(X205="N/A - Culvert",C205&lt;&gt;"Culvert"),"Not possible ▲",IF(AND(C205="Culvert",X205&lt;&gt;"N/A - Culvert"),"Not possible ▲",IF(VLOOKUP(X205,'G-7 WaterC'' Data'!$AD$4:$AE$14,2,FALSE)=0,"Enrcoachment Data Missing ⚠",VLOOKUP(X205,'G-7 WaterC'' Data'!$AD$4:$AE$14,2,FALSE)))))</f>
        <v/>
      </c>
      <c r="Z205" s="317" t="str">
        <f t="shared" si="22" ref="Z205:Z259">IFERROR(IF(C205="","",D205*F205*H205*K205*Q205*U205*Y205*W205),"")</f>
        <v/>
      </c>
      <c r="AA205" s="101"/>
      <c r="AB205" s="115"/>
      <c r="AC205" s="104"/>
      <c r="AH205" s="30" t="str">
        <f>IFERROR(INDEX('G-7 WaterC'' Data'!$AZ$3:$AZ$7,MATCH(C205,'G-7 WaterC'' Data'!$AY$3:$AY$7,0)),"")</f>
        <v/>
      </c>
      <c r="AK205" s="30" t="str">
        <f t="shared" si="23" ref="AK205:AK260">IF(AND(C205="Ditches",(OR(G205="Fairly Poor",G205="Fairly Good"))),"Yes","No")</f>
        <v>No</v>
      </c>
    </row>
    <row r="206" spans="2:37" ht="14">
      <c r="B206" s="97">
        <v>195</v>
      </c>
      <c r="C206" s="920"/>
      <c r="D206" s="115"/>
      <c r="E206" s="275" t="str">
        <f>IF(C206="","",VLOOKUP(C206,'G-7 WaterC'' Data'!$B$2:$G$8,2,FALSE))</f>
        <v/>
      </c>
      <c r="F206" s="276" t="str">
        <f>IFERROR(VLOOKUP(E206,'G-7 WaterC'' Data'!$C$4:$D$8,2,FALSE),"")</f>
        <v/>
      </c>
      <c r="G206" s="101"/>
      <c r="H206" s="276" t="str">
        <f>IFERROR(INDEX('G-7 WaterC'' Data'!$H$4:$L$8,MATCH(C206,'G-7 WaterC'' Data'!$B$4:$B$8,0),MATCH(G206,'G-7 WaterC'' Data'!$H$3:$L$3,0)),"")</f>
        <v/>
      </c>
      <c r="I206" s="52"/>
      <c r="J206" s="283" t="str">
        <f>IF(I206="","",IF(VLOOKUP(I206,'G-7 WaterC'' Data'!$AK$4:$AM$6,2,FALSE)=0,"Spatial Data Missing ⚠",VLOOKUP(I206,'G-7 WaterC'' Data'!$AK$4:$AM$6,2,FALSE)))</f>
        <v/>
      </c>
      <c r="K206" s="276" t="str">
        <f>IF(I206="","",IF(VLOOKUP(I206,'G-7 WaterC'' Data'!$AK$4:$AM$6,3,FALSE)=0,"Spatial Data Missing ⚠",VLOOKUP(I206,'G-7 WaterC'' Data'!$AK$4:$AM$6,3,FALSE)))</f>
        <v/>
      </c>
      <c r="L206" s="275" t="str">
        <f>IFERROR(INDEX('G-7 WaterC'' Data'!$O$3:$O$7,MATCH(G206,'G-7 WaterC'' Data'!$N$3:$N$7,0)),"")</f>
        <v/>
      </c>
      <c r="M206" s="58"/>
      <c r="N206" s="133"/>
      <c r="O206" s="283" t="str">
        <f t="shared" si="18"/>
        <v/>
      </c>
      <c r="P206" s="296" t="str">
        <f t="shared" si="19"/>
        <v/>
      </c>
      <c r="Q206" s="334" t="str">
        <f>IFERROR(IF(P206="Check Data ⚠","Check Data ⚠",VLOOKUP(P206,'G-4 Temporal multipliers'!$A$4:$C$37,3,FALSE)),"")</f>
        <v/>
      </c>
      <c r="R206" s="275" t="str">
        <f>IF(C206="","",VLOOKUP(C206,'G-7 WaterC'' Data'!$B$4:$G$8,4,FALSE))</f>
        <v/>
      </c>
      <c r="S206" s="283" t="str">
        <f t="shared" si="20"/>
        <v/>
      </c>
      <c r="T206" s="314" t="str">
        <f t="shared" si="21"/>
        <v/>
      </c>
      <c r="U206" s="276" t="str">
        <f>IF(C206="","",VLOOKUP(T206,'G-3 Multipliers'!$P$2:$Q$6,2,FALSE))</f>
        <v/>
      </c>
      <c r="V206" s="102"/>
      <c r="W206" s="276" t="str">
        <f>IF(V206="","",IF(AND(V206="N/A - Culvert",C206&lt;&gt;"Culvert"),"Not possible ▲",IF(AND(C206="Culvert",V206&lt;&gt;"N/A - Culvert"),"Not possible ▲",IF(VLOOKUP(V206,'G-7 WaterC'' Data'!$AA$4:$AB$7,2,FALSE)=0,"Spatial Data Missing ⚠",VLOOKUP(V206,'G-7 WaterC'' Data'!$AA$4:$AB$7,2,FALSE)))))</f>
        <v/>
      </c>
      <c r="X206" s="56"/>
      <c r="Y206" s="276" t="str">
        <f>IF(X206="","",IF(AND(X206="N/A - Culvert",C206&lt;&gt;"Culvert"),"Not possible ▲",IF(AND(C206="Culvert",X206&lt;&gt;"N/A - Culvert"),"Not possible ▲",IF(VLOOKUP(X206,'G-7 WaterC'' Data'!$AD$4:$AE$14,2,FALSE)=0,"Enrcoachment Data Missing ⚠",VLOOKUP(X206,'G-7 WaterC'' Data'!$AD$4:$AE$14,2,FALSE)))))</f>
        <v/>
      </c>
      <c r="Z206" s="317" t="str">
        <f t="shared" si="22"/>
        <v/>
      </c>
      <c r="AA206" s="101"/>
      <c r="AB206" s="115"/>
      <c r="AC206" s="104"/>
      <c r="AH206" s="30" t="str">
        <f>IFERROR(INDEX('G-7 WaterC'' Data'!$AZ$3:$AZ$7,MATCH(C206,'G-7 WaterC'' Data'!$AY$3:$AY$7,0)),"")</f>
        <v/>
      </c>
      <c r="AK206" s="30" t="str">
        <f t="shared" si="23"/>
        <v>No</v>
      </c>
    </row>
    <row r="207" spans="2:37" ht="14">
      <c r="B207" s="97">
        <v>196</v>
      </c>
      <c r="C207" s="920"/>
      <c r="D207" s="115"/>
      <c r="E207" s="275" t="str">
        <f>IF(C207="","",VLOOKUP(C207,'G-7 WaterC'' Data'!$B$2:$G$8,2,FALSE))</f>
        <v/>
      </c>
      <c r="F207" s="276" t="str">
        <f>IFERROR(VLOOKUP(E207,'G-7 WaterC'' Data'!$C$4:$D$8,2,FALSE),"")</f>
        <v/>
      </c>
      <c r="G207" s="101"/>
      <c r="H207" s="276" t="str">
        <f>IFERROR(INDEX('G-7 WaterC'' Data'!$H$4:$L$8,MATCH(C207,'G-7 WaterC'' Data'!$B$4:$B$8,0),MATCH(G207,'G-7 WaterC'' Data'!$H$3:$L$3,0)),"")</f>
        <v/>
      </c>
      <c r="I207" s="52"/>
      <c r="J207" s="283" t="str">
        <f>IF(I207="","",IF(VLOOKUP(I207,'G-7 WaterC'' Data'!$AK$4:$AM$6,2,FALSE)=0,"Spatial Data Missing ⚠",VLOOKUP(I207,'G-7 WaterC'' Data'!$AK$4:$AM$6,2,FALSE)))</f>
        <v/>
      </c>
      <c r="K207" s="276" t="str">
        <f>IF(I207="","",IF(VLOOKUP(I207,'G-7 WaterC'' Data'!$AK$4:$AM$6,3,FALSE)=0,"Spatial Data Missing ⚠",VLOOKUP(I207,'G-7 WaterC'' Data'!$AK$4:$AM$6,3,FALSE)))</f>
        <v/>
      </c>
      <c r="L207" s="275" t="str">
        <f>IFERROR(INDEX('G-7 WaterC'' Data'!$O$3:$O$7,MATCH(G207,'G-7 WaterC'' Data'!$N$3:$N$7,0)),"")</f>
        <v/>
      </c>
      <c r="M207" s="58"/>
      <c r="N207" s="133"/>
      <c r="O207" s="283" t="str">
        <f t="shared" si="18"/>
        <v/>
      </c>
      <c r="P207" s="296" t="str">
        <f t="shared" si="19"/>
        <v/>
      </c>
      <c r="Q207" s="334" t="str">
        <f>IFERROR(IF(P207="Check Data ⚠","Check Data ⚠",VLOOKUP(P207,'G-4 Temporal multipliers'!$A$4:$C$37,3,FALSE)),"")</f>
        <v/>
      </c>
      <c r="R207" s="275" t="str">
        <f>IF(C207="","",VLOOKUP(C207,'G-7 WaterC'' Data'!$B$4:$G$8,4,FALSE))</f>
        <v/>
      </c>
      <c r="S207" s="283" t="str">
        <f t="shared" si="20"/>
        <v/>
      </c>
      <c r="T207" s="314" t="str">
        <f t="shared" si="21"/>
        <v/>
      </c>
      <c r="U207" s="276" t="str">
        <f>IF(C207="","",VLOOKUP(T207,'G-3 Multipliers'!$P$2:$Q$6,2,FALSE))</f>
        <v/>
      </c>
      <c r="V207" s="102"/>
      <c r="W207" s="276" t="str">
        <f>IF(V207="","",IF(AND(V207="N/A - Culvert",C207&lt;&gt;"Culvert"),"Not possible ▲",IF(AND(C207="Culvert",V207&lt;&gt;"N/A - Culvert"),"Not possible ▲",IF(VLOOKUP(V207,'G-7 WaterC'' Data'!$AA$4:$AB$7,2,FALSE)=0,"Spatial Data Missing ⚠",VLOOKUP(V207,'G-7 WaterC'' Data'!$AA$4:$AB$7,2,FALSE)))))</f>
        <v/>
      </c>
      <c r="X207" s="56"/>
      <c r="Y207" s="276" t="str">
        <f>IF(X207="","",IF(AND(X207="N/A - Culvert",C207&lt;&gt;"Culvert"),"Not possible ▲",IF(AND(C207="Culvert",X207&lt;&gt;"N/A - Culvert"),"Not possible ▲",IF(VLOOKUP(X207,'G-7 WaterC'' Data'!$AD$4:$AE$14,2,FALSE)=0,"Enrcoachment Data Missing ⚠",VLOOKUP(X207,'G-7 WaterC'' Data'!$AD$4:$AE$14,2,FALSE)))))</f>
        <v/>
      </c>
      <c r="Z207" s="317" t="str">
        <f t="shared" si="22"/>
        <v/>
      </c>
      <c r="AA207" s="101"/>
      <c r="AB207" s="115"/>
      <c r="AC207" s="104"/>
      <c r="AH207" s="30" t="str">
        <f>IFERROR(INDEX('G-7 WaterC'' Data'!$AZ$3:$AZ$7,MATCH(C207,'G-7 WaterC'' Data'!$AY$3:$AY$7,0)),"")</f>
        <v/>
      </c>
      <c r="AK207" s="30" t="str">
        <f t="shared" si="23"/>
        <v>No</v>
      </c>
    </row>
    <row r="208" spans="2:37" ht="14">
      <c r="B208" s="97">
        <v>197</v>
      </c>
      <c r="C208" s="920"/>
      <c r="D208" s="115"/>
      <c r="E208" s="275" t="str">
        <f>IF(C208="","",VLOOKUP(C208,'G-7 WaterC'' Data'!$B$2:$G$8,2,FALSE))</f>
        <v/>
      </c>
      <c r="F208" s="276" t="str">
        <f>IFERROR(VLOOKUP(E208,'G-7 WaterC'' Data'!$C$4:$D$8,2,FALSE),"")</f>
        <v/>
      </c>
      <c r="G208" s="101"/>
      <c r="H208" s="276" t="str">
        <f>IFERROR(INDEX('G-7 WaterC'' Data'!$H$4:$L$8,MATCH(C208,'G-7 WaterC'' Data'!$B$4:$B$8,0),MATCH(G208,'G-7 WaterC'' Data'!$H$3:$L$3,0)),"")</f>
        <v/>
      </c>
      <c r="I208" s="52"/>
      <c r="J208" s="283" t="str">
        <f>IF(I208="","",IF(VLOOKUP(I208,'G-7 WaterC'' Data'!$AK$4:$AM$6,2,FALSE)=0,"Spatial Data Missing ⚠",VLOOKUP(I208,'G-7 WaterC'' Data'!$AK$4:$AM$6,2,FALSE)))</f>
        <v/>
      </c>
      <c r="K208" s="276" t="str">
        <f>IF(I208="","",IF(VLOOKUP(I208,'G-7 WaterC'' Data'!$AK$4:$AM$6,3,FALSE)=0,"Spatial Data Missing ⚠",VLOOKUP(I208,'G-7 WaterC'' Data'!$AK$4:$AM$6,3,FALSE)))</f>
        <v/>
      </c>
      <c r="L208" s="275" t="str">
        <f>IFERROR(INDEX('G-7 WaterC'' Data'!$O$3:$O$7,MATCH(G208,'G-7 WaterC'' Data'!$N$3:$N$7,0)),"")</f>
        <v/>
      </c>
      <c r="M208" s="58"/>
      <c r="N208" s="133"/>
      <c r="O208" s="283" t="str">
        <f t="shared" si="18"/>
        <v/>
      </c>
      <c r="P208" s="296" t="str">
        <f t="shared" si="19"/>
        <v/>
      </c>
      <c r="Q208" s="334" t="str">
        <f>IFERROR(IF(P208="Check Data ⚠","Check Data ⚠",VLOOKUP(P208,'G-4 Temporal multipliers'!$A$4:$C$37,3,FALSE)),"")</f>
        <v/>
      </c>
      <c r="R208" s="275" t="str">
        <f>IF(C208="","",VLOOKUP(C208,'G-7 WaterC'' Data'!$B$4:$G$8,4,FALSE))</f>
        <v/>
      </c>
      <c r="S208" s="283" t="str">
        <f t="shared" si="20"/>
        <v/>
      </c>
      <c r="T208" s="314" t="str">
        <f t="shared" si="21"/>
        <v/>
      </c>
      <c r="U208" s="276" t="str">
        <f>IF(C208="","",VLOOKUP(T208,'G-3 Multipliers'!$P$2:$Q$6,2,FALSE))</f>
        <v/>
      </c>
      <c r="V208" s="102"/>
      <c r="W208" s="276" t="str">
        <f>IF(V208="","",IF(AND(V208="N/A - Culvert",C208&lt;&gt;"Culvert"),"Not possible ▲",IF(AND(C208="Culvert",V208&lt;&gt;"N/A - Culvert"),"Not possible ▲",IF(VLOOKUP(V208,'G-7 WaterC'' Data'!$AA$4:$AB$7,2,FALSE)=0,"Spatial Data Missing ⚠",VLOOKUP(V208,'G-7 WaterC'' Data'!$AA$4:$AB$7,2,FALSE)))))</f>
        <v/>
      </c>
      <c r="X208" s="56"/>
      <c r="Y208" s="276" t="str">
        <f>IF(X208="","",IF(AND(X208="N/A - Culvert",C208&lt;&gt;"Culvert"),"Not possible ▲",IF(AND(C208="Culvert",X208&lt;&gt;"N/A - Culvert"),"Not possible ▲",IF(VLOOKUP(X208,'G-7 WaterC'' Data'!$AD$4:$AE$14,2,FALSE)=0,"Enrcoachment Data Missing ⚠",VLOOKUP(X208,'G-7 WaterC'' Data'!$AD$4:$AE$14,2,FALSE)))))</f>
        <v/>
      </c>
      <c r="Z208" s="317" t="str">
        <f t="shared" si="22"/>
        <v/>
      </c>
      <c r="AA208" s="101"/>
      <c r="AB208" s="115"/>
      <c r="AC208" s="104"/>
      <c r="AH208" s="30" t="str">
        <f>IFERROR(INDEX('G-7 WaterC'' Data'!$AZ$3:$AZ$7,MATCH(C208,'G-7 WaterC'' Data'!$AY$3:$AY$7,0)),"")</f>
        <v/>
      </c>
      <c r="AK208" s="30" t="str">
        <f t="shared" si="23"/>
        <v>No</v>
      </c>
    </row>
    <row r="209" spans="2:37" ht="14">
      <c r="B209" s="97">
        <v>198</v>
      </c>
      <c r="C209" s="920"/>
      <c r="D209" s="115"/>
      <c r="E209" s="275" t="str">
        <f>IF(C209="","",VLOOKUP(C209,'G-7 WaterC'' Data'!$B$2:$G$8,2,FALSE))</f>
        <v/>
      </c>
      <c r="F209" s="276" t="str">
        <f>IFERROR(VLOOKUP(E209,'G-7 WaterC'' Data'!$C$4:$D$8,2,FALSE),"")</f>
        <v/>
      </c>
      <c r="G209" s="101"/>
      <c r="H209" s="276" t="str">
        <f>IFERROR(INDEX('G-7 WaterC'' Data'!$H$4:$L$8,MATCH(C209,'G-7 WaterC'' Data'!$B$4:$B$8,0),MATCH(G209,'G-7 WaterC'' Data'!$H$3:$L$3,0)),"")</f>
        <v/>
      </c>
      <c r="I209" s="52"/>
      <c r="J209" s="283" t="str">
        <f>IF(I209="","",IF(VLOOKUP(I209,'G-7 WaterC'' Data'!$AK$4:$AM$6,2,FALSE)=0,"Spatial Data Missing ⚠",VLOOKUP(I209,'G-7 WaterC'' Data'!$AK$4:$AM$6,2,FALSE)))</f>
        <v/>
      </c>
      <c r="K209" s="276" t="str">
        <f>IF(I209="","",IF(VLOOKUP(I209,'G-7 WaterC'' Data'!$AK$4:$AM$6,3,FALSE)=0,"Spatial Data Missing ⚠",VLOOKUP(I209,'G-7 WaterC'' Data'!$AK$4:$AM$6,3,FALSE)))</f>
        <v/>
      </c>
      <c r="L209" s="275" t="str">
        <f>IFERROR(INDEX('G-7 WaterC'' Data'!$O$3:$O$7,MATCH(G209,'G-7 WaterC'' Data'!$N$3:$N$7,0)),"")</f>
        <v/>
      </c>
      <c r="M209" s="58"/>
      <c r="N209" s="133"/>
      <c r="O209" s="283" t="str">
        <f t="shared" si="18"/>
        <v/>
      </c>
      <c r="P209" s="296" t="str">
        <f t="shared" si="19"/>
        <v/>
      </c>
      <c r="Q209" s="334" t="str">
        <f>IFERROR(IF(P209="Check Data ⚠","Check Data ⚠",VLOOKUP(P209,'G-4 Temporal multipliers'!$A$4:$C$37,3,FALSE)),"")</f>
        <v/>
      </c>
      <c r="R209" s="275" t="str">
        <f>IF(C209="","",VLOOKUP(C209,'G-7 WaterC'' Data'!$B$4:$G$8,4,FALSE))</f>
        <v/>
      </c>
      <c r="S209" s="283" t="str">
        <f t="shared" si="20"/>
        <v/>
      </c>
      <c r="T209" s="314" t="str">
        <f t="shared" si="21"/>
        <v/>
      </c>
      <c r="U209" s="276" t="str">
        <f>IF(C209="","",VLOOKUP(T209,'G-3 Multipliers'!$P$2:$Q$6,2,FALSE))</f>
        <v/>
      </c>
      <c r="V209" s="102"/>
      <c r="W209" s="276" t="str">
        <f>IF(V209="","",IF(AND(V209="N/A - Culvert",C209&lt;&gt;"Culvert"),"Not possible ▲",IF(AND(C209="Culvert",V209&lt;&gt;"N/A - Culvert"),"Not possible ▲",IF(VLOOKUP(V209,'G-7 WaterC'' Data'!$AA$4:$AB$7,2,FALSE)=0,"Spatial Data Missing ⚠",VLOOKUP(V209,'G-7 WaterC'' Data'!$AA$4:$AB$7,2,FALSE)))))</f>
        <v/>
      </c>
      <c r="X209" s="56"/>
      <c r="Y209" s="276" t="str">
        <f>IF(X209="","",IF(AND(X209="N/A - Culvert",C209&lt;&gt;"Culvert"),"Not possible ▲",IF(AND(C209="Culvert",X209&lt;&gt;"N/A - Culvert"),"Not possible ▲",IF(VLOOKUP(X209,'G-7 WaterC'' Data'!$AD$4:$AE$14,2,FALSE)=0,"Enrcoachment Data Missing ⚠",VLOOKUP(X209,'G-7 WaterC'' Data'!$AD$4:$AE$14,2,FALSE)))))</f>
        <v/>
      </c>
      <c r="Z209" s="317" t="str">
        <f t="shared" si="22"/>
        <v/>
      </c>
      <c r="AA209" s="101"/>
      <c r="AB209" s="115"/>
      <c r="AC209" s="104"/>
      <c r="AH209" s="30" t="str">
        <f>IFERROR(INDEX('G-7 WaterC'' Data'!$AZ$3:$AZ$7,MATCH(C209,'G-7 WaterC'' Data'!$AY$3:$AY$7,0)),"")</f>
        <v/>
      </c>
      <c r="AK209" s="30" t="str">
        <f t="shared" si="23"/>
        <v>No</v>
      </c>
    </row>
    <row r="210" spans="2:37" ht="14">
      <c r="B210" s="97">
        <v>199</v>
      </c>
      <c r="C210" s="920"/>
      <c r="D210" s="115"/>
      <c r="E210" s="275" t="str">
        <f>IF(C210="","",VLOOKUP(C210,'G-7 WaterC'' Data'!$B$2:$G$8,2,FALSE))</f>
        <v/>
      </c>
      <c r="F210" s="276" t="str">
        <f>IFERROR(VLOOKUP(E210,'G-7 WaterC'' Data'!$C$4:$D$8,2,FALSE),"")</f>
        <v/>
      </c>
      <c r="G210" s="101"/>
      <c r="H210" s="276" t="str">
        <f>IFERROR(INDEX('G-7 WaterC'' Data'!$H$4:$L$8,MATCH(C210,'G-7 WaterC'' Data'!$B$4:$B$8,0),MATCH(G210,'G-7 WaterC'' Data'!$H$3:$L$3,0)),"")</f>
        <v/>
      </c>
      <c r="I210" s="52"/>
      <c r="J210" s="283" t="str">
        <f>IF(I210="","",IF(VLOOKUP(I210,'G-7 WaterC'' Data'!$AK$4:$AM$6,2,FALSE)=0,"Spatial Data Missing ⚠",VLOOKUP(I210,'G-7 WaterC'' Data'!$AK$4:$AM$6,2,FALSE)))</f>
        <v/>
      </c>
      <c r="K210" s="276" t="str">
        <f>IF(I210="","",IF(VLOOKUP(I210,'G-7 WaterC'' Data'!$AK$4:$AM$6,3,FALSE)=0,"Spatial Data Missing ⚠",VLOOKUP(I210,'G-7 WaterC'' Data'!$AK$4:$AM$6,3,FALSE)))</f>
        <v/>
      </c>
      <c r="L210" s="275" t="str">
        <f>IFERROR(INDEX('G-7 WaterC'' Data'!$O$3:$O$7,MATCH(G210,'G-7 WaterC'' Data'!$N$3:$N$7,0)),"")</f>
        <v/>
      </c>
      <c r="M210" s="58"/>
      <c r="N210" s="133"/>
      <c r="O210" s="283" t="str">
        <f t="shared" si="18"/>
        <v/>
      </c>
      <c r="P210" s="296" t="str">
        <f t="shared" si="19"/>
        <v/>
      </c>
      <c r="Q210" s="334" t="str">
        <f>IFERROR(IF(P210="Check Data ⚠","Check Data ⚠",VLOOKUP(P210,'G-4 Temporal multipliers'!$A$4:$C$37,3,FALSE)),"")</f>
        <v/>
      </c>
      <c r="R210" s="275" t="str">
        <f>IF(C210="","",VLOOKUP(C210,'G-7 WaterC'' Data'!$B$4:$G$8,4,FALSE))</f>
        <v/>
      </c>
      <c r="S210" s="283" t="str">
        <f t="shared" si="20"/>
        <v/>
      </c>
      <c r="T210" s="314" t="str">
        <f t="shared" si="21"/>
        <v/>
      </c>
      <c r="U210" s="276" t="str">
        <f>IF(C210="","",VLOOKUP(T210,'G-3 Multipliers'!$P$2:$Q$6,2,FALSE))</f>
        <v/>
      </c>
      <c r="V210" s="102"/>
      <c r="W210" s="276" t="str">
        <f>IF(V210="","",IF(AND(V210="N/A - Culvert",C210&lt;&gt;"Culvert"),"Not possible ▲",IF(AND(C210="Culvert",V210&lt;&gt;"N/A - Culvert"),"Not possible ▲",IF(VLOOKUP(V210,'G-7 WaterC'' Data'!$AA$4:$AB$7,2,FALSE)=0,"Spatial Data Missing ⚠",VLOOKUP(V210,'G-7 WaterC'' Data'!$AA$4:$AB$7,2,FALSE)))))</f>
        <v/>
      </c>
      <c r="X210" s="56"/>
      <c r="Y210" s="276" t="str">
        <f>IF(X210="","",IF(AND(X210="N/A - Culvert",C210&lt;&gt;"Culvert"),"Not possible ▲",IF(AND(C210="Culvert",X210&lt;&gt;"N/A - Culvert"),"Not possible ▲",IF(VLOOKUP(X210,'G-7 WaterC'' Data'!$AD$4:$AE$14,2,FALSE)=0,"Enrcoachment Data Missing ⚠",VLOOKUP(X210,'G-7 WaterC'' Data'!$AD$4:$AE$14,2,FALSE)))))</f>
        <v/>
      </c>
      <c r="Z210" s="317" t="str">
        <f t="shared" si="22"/>
        <v/>
      </c>
      <c r="AA210" s="101"/>
      <c r="AB210" s="115"/>
      <c r="AC210" s="104"/>
      <c r="AH210" s="30" t="str">
        <f>IFERROR(INDEX('G-7 WaterC'' Data'!$AZ$3:$AZ$7,MATCH(C210,'G-7 WaterC'' Data'!$AY$3:$AY$7,0)),"")</f>
        <v/>
      </c>
      <c r="AK210" s="30" t="str">
        <f t="shared" si="23"/>
        <v>No</v>
      </c>
    </row>
    <row r="211" spans="2:37" ht="14">
      <c r="B211" s="97">
        <v>200</v>
      </c>
      <c r="C211" s="920"/>
      <c r="D211" s="115"/>
      <c r="E211" s="275" t="str">
        <f>IF(C211="","",VLOOKUP(C211,'G-7 WaterC'' Data'!$B$2:$G$8,2,FALSE))</f>
        <v/>
      </c>
      <c r="F211" s="276" t="str">
        <f>IFERROR(VLOOKUP(E211,'G-7 WaterC'' Data'!$C$4:$D$8,2,FALSE),"")</f>
        <v/>
      </c>
      <c r="G211" s="101"/>
      <c r="H211" s="276" t="str">
        <f>IFERROR(INDEX('G-7 WaterC'' Data'!$H$4:$L$8,MATCH(C211,'G-7 WaterC'' Data'!$B$4:$B$8,0),MATCH(G211,'G-7 WaterC'' Data'!$H$3:$L$3,0)),"")</f>
        <v/>
      </c>
      <c r="I211" s="52"/>
      <c r="J211" s="283" t="str">
        <f>IF(I211="","",IF(VLOOKUP(I211,'G-7 WaterC'' Data'!$AK$4:$AM$6,2,FALSE)=0,"Spatial Data Missing ⚠",VLOOKUP(I211,'G-7 WaterC'' Data'!$AK$4:$AM$6,2,FALSE)))</f>
        <v/>
      </c>
      <c r="K211" s="276" t="str">
        <f>IF(I211="","",IF(VLOOKUP(I211,'G-7 WaterC'' Data'!$AK$4:$AM$6,3,FALSE)=0,"Spatial Data Missing ⚠",VLOOKUP(I211,'G-7 WaterC'' Data'!$AK$4:$AM$6,3,FALSE)))</f>
        <v/>
      </c>
      <c r="L211" s="275" t="str">
        <f>IFERROR(INDEX('G-7 WaterC'' Data'!$O$3:$O$7,MATCH(G211,'G-7 WaterC'' Data'!$N$3:$N$7,0)),"")</f>
        <v/>
      </c>
      <c r="M211" s="58"/>
      <c r="N211" s="133"/>
      <c r="O211" s="283" t="str">
        <f t="shared" si="18"/>
        <v/>
      </c>
      <c r="P211" s="296" t="str">
        <f t="shared" si="19"/>
        <v/>
      </c>
      <c r="Q211" s="334" t="str">
        <f>IFERROR(IF(P211="Check Data ⚠","Check Data ⚠",VLOOKUP(P211,'G-4 Temporal multipliers'!$A$4:$C$37,3,FALSE)),"")</f>
        <v/>
      </c>
      <c r="R211" s="275" t="str">
        <f>IF(C211="","",VLOOKUP(C211,'G-7 WaterC'' Data'!$B$4:$G$8,4,FALSE))</f>
        <v/>
      </c>
      <c r="S211" s="283" t="str">
        <f t="shared" si="20"/>
        <v/>
      </c>
      <c r="T211" s="314" t="str">
        <f t="shared" si="21"/>
        <v/>
      </c>
      <c r="U211" s="276" t="str">
        <f>IF(C211="","",VLOOKUP(T211,'G-3 Multipliers'!$P$2:$Q$6,2,FALSE))</f>
        <v/>
      </c>
      <c r="V211" s="102"/>
      <c r="W211" s="276" t="str">
        <f>IF(V211="","",IF(AND(V211="N/A - Culvert",C211&lt;&gt;"Culvert"),"Not possible ▲",IF(AND(C211="Culvert",V211&lt;&gt;"N/A - Culvert"),"Not possible ▲",IF(VLOOKUP(V211,'G-7 WaterC'' Data'!$AA$4:$AB$7,2,FALSE)=0,"Spatial Data Missing ⚠",VLOOKUP(V211,'G-7 WaterC'' Data'!$AA$4:$AB$7,2,FALSE)))))</f>
        <v/>
      </c>
      <c r="X211" s="56"/>
      <c r="Y211" s="276" t="str">
        <f>IF(X211="","",IF(AND(X211="N/A - Culvert",C211&lt;&gt;"Culvert"),"Not possible ▲",IF(AND(C211="Culvert",X211&lt;&gt;"N/A - Culvert"),"Not possible ▲",IF(VLOOKUP(X211,'G-7 WaterC'' Data'!$AD$4:$AE$14,2,FALSE)=0,"Enrcoachment Data Missing ⚠",VLOOKUP(X211,'G-7 WaterC'' Data'!$AD$4:$AE$14,2,FALSE)))))</f>
        <v/>
      </c>
      <c r="Z211" s="317" t="str">
        <f t="shared" si="22"/>
        <v/>
      </c>
      <c r="AA211" s="101"/>
      <c r="AB211" s="115"/>
      <c r="AC211" s="104"/>
      <c r="AH211" s="30" t="str">
        <f>IFERROR(INDEX('G-7 WaterC'' Data'!$AZ$3:$AZ$7,MATCH(C211,'G-7 WaterC'' Data'!$AY$3:$AY$7,0)),"")</f>
        <v/>
      </c>
      <c r="AK211" s="30" t="str">
        <f t="shared" si="23"/>
        <v>No</v>
      </c>
    </row>
    <row r="212" spans="2:37" ht="14">
      <c r="B212" s="97">
        <v>201</v>
      </c>
      <c r="C212" s="920"/>
      <c r="D212" s="115"/>
      <c r="E212" s="275" t="str">
        <f>IF(C212="","",VLOOKUP(C212,'G-7 WaterC'' Data'!$B$2:$G$8,2,FALSE))</f>
        <v/>
      </c>
      <c r="F212" s="276" t="str">
        <f>IFERROR(VLOOKUP(E212,'G-7 WaterC'' Data'!$C$4:$D$8,2,FALSE),"")</f>
        <v/>
      </c>
      <c r="G212" s="101"/>
      <c r="H212" s="276" t="str">
        <f>IFERROR(INDEX('G-7 WaterC'' Data'!$H$4:$L$8,MATCH(C212,'G-7 WaterC'' Data'!$B$4:$B$8,0),MATCH(G212,'G-7 WaterC'' Data'!$H$3:$L$3,0)),"")</f>
        <v/>
      </c>
      <c r="I212" s="52"/>
      <c r="J212" s="283" t="str">
        <f>IF(I212="","",IF(VLOOKUP(I212,'G-7 WaterC'' Data'!$AK$4:$AM$6,2,FALSE)=0,"Spatial Data Missing ⚠",VLOOKUP(I212,'G-7 WaterC'' Data'!$AK$4:$AM$6,2,FALSE)))</f>
        <v/>
      </c>
      <c r="K212" s="276" t="str">
        <f>IF(I212="","",IF(VLOOKUP(I212,'G-7 WaterC'' Data'!$AK$4:$AM$6,3,FALSE)=0,"Spatial Data Missing ⚠",VLOOKUP(I212,'G-7 WaterC'' Data'!$AK$4:$AM$6,3,FALSE)))</f>
        <v/>
      </c>
      <c r="L212" s="275" t="str">
        <f>IFERROR(INDEX('G-7 WaterC'' Data'!$O$3:$O$7,MATCH(G212,'G-7 WaterC'' Data'!$N$3:$N$7,0)),"")</f>
        <v/>
      </c>
      <c r="M212" s="58"/>
      <c r="N212" s="133"/>
      <c r="O212" s="283" t="str">
        <f t="shared" si="18"/>
        <v/>
      </c>
      <c r="P212" s="296" t="str">
        <f t="shared" si="19"/>
        <v/>
      </c>
      <c r="Q212" s="334" t="str">
        <f>IFERROR(IF(P212="Check Data ⚠","Check Data ⚠",VLOOKUP(P212,'G-4 Temporal multipliers'!$A$4:$C$37,3,FALSE)),"")</f>
        <v/>
      </c>
      <c r="R212" s="275" t="str">
        <f>IF(C212="","",VLOOKUP(C212,'G-7 WaterC'' Data'!$B$4:$G$8,4,FALSE))</f>
        <v/>
      </c>
      <c r="S212" s="283" t="str">
        <f t="shared" si="20"/>
        <v/>
      </c>
      <c r="T212" s="314" t="str">
        <f t="shared" si="21"/>
        <v/>
      </c>
      <c r="U212" s="276" t="str">
        <f>IF(C212="","",VLOOKUP(T212,'G-3 Multipliers'!$P$2:$Q$6,2,FALSE))</f>
        <v/>
      </c>
      <c r="V212" s="102"/>
      <c r="W212" s="276" t="str">
        <f>IF(V212="","",IF(AND(V212="N/A - Culvert",C212&lt;&gt;"Culvert"),"Not possible ▲",IF(AND(C212="Culvert",V212&lt;&gt;"N/A - Culvert"),"Not possible ▲",IF(VLOOKUP(V212,'G-7 WaterC'' Data'!$AA$4:$AB$7,2,FALSE)=0,"Spatial Data Missing ⚠",VLOOKUP(V212,'G-7 WaterC'' Data'!$AA$4:$AB$7,2,FALSE)))))</f>
        <v/>
      </c>
      <c r="X212" s="56"/>
      <c r="Y212" s="276" t="str">
        <f>IF(X212="","",IF(AND(X212="N/A - Culvert",C212&lt;&gt;"Culvert"),"Not possible ▲",IF(AND(C212="Culvert",X212&lt;&gt;"N/A - Culvert"),"Not possible ▲",IF(VLOOKUP(X212,'G-7 WaterC'' Data'!$AD$4:$AE$14,2,FALSE)=0,"Enrcoachment Data Missing ⚠",VLOOKUP(X212,'G-7 WaterC'' Data'!$AD$4:$AE$14,2,FALSE)))))</f>
        <v/>
      </c>
      <c r="Z212" s="317" t="str">
        <f t="shared" si="22"/>
        <v/>
      </c>
      <c r="AA212" s="101"/>
      <c r="AB212" s="115"/>
      <c r="AC212" s="104"/>
      <c r="AH212" s="30" t="str">
        <f>IFERROR(INDEX('G-7 WaterC'' Data'!$AZ$3:$AZ$7,MATCH(C212,'G-7 WaterC'' Data'!$AY$3:$AY$7,0)),"")</f>
        <v/>
      </c>
      <c r="AK212" s="30" t="str">
        <f t="shared" si="23"/>
        <v>No</v>
      </c>
    </row>
    <row r="213" spans="2:37" ht="14">
      <c r="B213" s="97">
        <v>202</v>
      </c>
      <c r="C213" s="920"/>
      <c r="D213" s="115"/>
      <c r="E213" s="275" t="str">
        <f>IF(C213="","",VLOOKUP(C213,'G-7 WaterC'' Data'!$B$2:$G$8,2,FALSE))</f>
        <v/>
      </c>
      <c r="F213" s="276" t="str">
        <f>IFERROR(VLOOKUP(E213,'G-7 WaterC'' Data'!$C$4:$D$8,2,FALSE),"")</f>
        <v/>
      </c>
      <c r="G213" s="101"/>
      <c r="H213" s="276" t="str">
        <f>IFERROR(INDEX('G-7 WaterC'' Data'!$H$4:$L$8,MATCH(C213,'G-7 WaterC'' Data'!$B$4:$B$8,0),MATCH(G213,'G-7 WaterC'' Data'!$H$3:$L$3,0)),"")</f>
        <v/>
      </c>
      <c r="I213" s="52"/>
      <c r="J213" s="283" t="str">
        <f>IF(I213="","",IF(VLOOKUP(I213,'G-7 WaterC'' Data'!$AK$4:$AM$6,2,FALSE)=0,"Spatial Data Missing ⚠",VLOOKUP(I213,'G-7 WaterC'' Data'!$AK$4:$AM$6,2,FALSE)))</f>
        <v/>
      </c>
      <c r="K213" s="276" t="str">
        <f>IF(I213="","",IF(VLOOKUP(I213,'G-7 WaterC'' Data'!$AK$4:$AM$6,3,FALSE)=0,"Spatial Data Missing ⚠",VLOOKUP(I213,'G-7 WaterC'' Data'!$AK$4:$AM$6,3,FALSE)))</f>
        <v/>
      </c>
      <c r="L213" s="275" t="str">
        <f>IFERROR(INDEX('G-7 WaterC'' Data'!$O$3:$O$7,MATCH(G213,'G-7 WaterC'' Data'!$N$3:$N$7,0)),"")</f>
        <v/>
      </c>
      <c r="M213" s="58"/>
      <c r="N213" s="133"/>
      <c r="O213" s="283" t="str">
        <f t="shared" si="18"/>
        <v/>
      </c>
      <c r="P213" s="296" t="str">
        <f t="shared" si="19"/>
        <v/>
      </c>
      <c r="Q213" s="334" t="str">
        <f>IFERROR(IF(P213="Check Data ⚠","Check Data ⚠",VLOOKUP(P213,'G-4 Temporal multipliers'!$A$4:$C$37,3,FALSE)),"")</f>
        <v/>
      </c>
      <c r="R213" s="275" t="str">
        <f>IF(C213="","",VLOOKUP(C213,'G-7 WaterC'' Data'!$B$4:$G$8,4,FALSE))</f>
        <v/>
      </c>
      <c r="S213" s="283" t="str">
        <f t="shared" si="20"/>
        <v/>
      </c>
      <c r="T213" s="314" t="str">
        <f t="shared" si="21"/>
        <v/>
      </c>
      <c r="U213" s="276" t="str">
        <f>IF(C213="","",VLOOKUP(T213,'G-3 Multipliers'!$P$2:$Q$6,2,FALSE))</f>
        <v/>
      </c>
      <c r="V213" s="102"/>
      <c r="W213" s="276" t="str">
        <f>IF(V213="","",IF(AND(V213="N/A - Culvert",C213&lt;&gt;"Culvert"),"Not possible ▲",IF(AND(C213="Culvert",V213&lt;&gt;"N/A - Culvert"),"Not possible ▲",IF(VLOOKUP(V213,'G-7 WaterC'' Data'!$AA$4:$AB$7,2,FALSE)=0,"Spatial Data Missing ⚠",VLOOKUP(V213,'G-7 WaterC'' Data'!$AA$4:$AB$7,2,FALSE)))))</f>
        <v/>
      </c>
      <c r="X213" s="56"/>
      <c r="Y213" s="276" t="str">
        <f>IF(X213="","",IF(AND(X213="N/A - Culvert",C213&lt;&gt;"Culvert"),"Not possible ▲",IF(AND(C213="Culvert",X213&lt;&gt;"N/A - Culvert"),"Not possible ▲",IF(VLOOKUP(X213,'G-7 WaterC'' Data'!$AD$4:$AE$14,2,FALSE)=0,"Enrcoachment Data Missing ⚠",VLOOKUP(X213,'G-7 WaterC'' Data'!$AD$4:$AE$14,2,FALSE)))))</f>
        <v/>
      </c>
      <c r="Z213" s="317" t="str">
        <f t="shared" si="22"/>
        <v/>
      </c>
      <c r="AA213" s="101"/>
      <c r="AB213" s="115"/>
      <c r="AC213" s="104"/>
      <c r="AH213" s="30" t="str">
        <f>IFERROR(INDEX('G-7 WaterC'' Data'!$AZ$3:$AZ$7,MATCH(C213,'G-7 WaterC'' Data'!$AY$3:$AY$7,0)),"")</f>
        <v/>
      </c>
      <c r="AK213" s="30" t="str">
        <f t="shared" si="23"/>
        <v>No</v>
      </c>
    </row>
    <row r="214" spans="2:37" ht="14">
      <c r="B214" s="97">
        <v>203</v>
      </c>
      <c r="C214" s="920"/>
      <c r="D214" s="115"/>
      <c r="E214" s="275" t="str">
        <f>IF(C214="","",VLOOKUP(C214,'G-7 WaterC'' Data'!$B$2:$G$8,2,FALSE))</f>
        <v/>
      </c>
      <c r="F214" s="276" t="str">
        <f>IFERROR(VLOOKUP(E214,'G-7 WaterC'' Data'!$C$4:$D$8,2,FALSE),"")</f>
        <v/>
      </c>
      <c r="G214" s="101"/>
      <c r="H214" s="276" t="str">
        <f>IFERROR(INDEX('G-7 WaterC'' Data'!$H$4:$L$8,MATCH(C214,'G-7 WaterC'' Data'!$B$4:$B$8,0),MATCH(G214,'G-7 WaterC'' Data'!$H$3:$L$3,0)),"")</f>
        <v/>
      </c>
      <c r="I214" s="52"/>
      <c r="J214" s="283" t="str">
        <f>IF(I214="","",IF(VLOOKUP(I214,'G-7 WaterC'' Data'!$AK$4:$AM$6,2,FALSE)=0,"Spatial Data Missing ⚠",VLOOKUP(I214,'G-7 WaterC'' Data'!$AK$4:$AM$6,2,FALSE)))</f>
        <v/>
      </c>
      <c r="K214" s="276" t="str">
        <f>IF(I214="","",IF(VLOOKUP(I214,'G-7 WaterC'' Data'!$AK$4:$AM$6,3,FALSE)=0,"Spatial Data Missing ⚠",VLOOKUP(I214,'G-7 WaterC'' Data'!$AK$4:$AM$6,3,FALSE)))</f>
        <v/>
      </c>
      <c r="L214" s="275" t="str">
        <f>IFERROR(INDEX('G-7 WaterC'' Data'!$O$3:$O$7,MATCH(G214,'G-7 WaterC'' Data'!$N$3:$N$7,0)),"")</f>
        <v/>
      </c>
      <c r="M214" s="58"/>
      <c r="N214" s="133"/>
      <c r="O214" s="283" t="str">
        <f t="shared" si="18"/>
        <v/>
      </c>
      <c r="P214" s="296" t="str">
        <f t="shared" si="19"/>
        <v/>
      </c>
      <c r="Q214" s="334" t="str">
        <f>IFERROR(IF(P214="Check Data ⚠","Check Data ⚠",VLOOKUP(P214,'G-4 Temporal multipliers'!$A$4:$C$37,3,FALSE)),"")</f>
        <v/>
      </c>
      <c r="R214" s="275" t="str">
        <f>IF(C214="","",VLOOKUP(C214,'G-7 WaterC'' Data'!$B$4:$G$8,4,FALSE))</f>
        <v/>
      </c>
      <c r="S214" s="283" t="str">
        <f t="shared" si="20"/>
        <v/>
      </c>
      <c r="T214" s="314" t="str">
        <f t="shared" si="21"/>
        <v/>
      </c>
      <c r="U214" s="276" t="str">
        <f>IF(C214="","",VLOOKUP(T214,'G-3 Multipliers'!$P$2:$Q$6,2,FALSE))</f>
        <v/>
      </c>
      <c r="V214" s="102"/>
      <c r="W214" s="276" t="str">
        <f>IF(V214="","",IF(AND(V214="N/A - Culvert",C214&lt;&gt;"Culvert"),"Not possible ▲",IF(AND(C214="Culvert",V214&lt;&gt;"N/A - Culvert"),"Not possible ▲",IF(VLOOKUP(V214,'G-7 WaterC'' Data'!$AA$4:$AB$7,2,FALSE)=0,"Spatial Data Missing ⚠",VLOOKUP(V214,'G-7 WaterC'' Data'!$AA$4:$AB$7,2,FALSE)))))</f>
        <v/>
      </c>
      <c r="X214" s="56"/>
      <c r="Y214" s="276" t="str">
        <f>IF(X214="","",IF(AND(X214="N/A - Culvert",C214&lt;&gt;"Culvert"),"Not possible ▲",IF(AND(C214="Culvert",X214&lt;&gt;"N/A - Culvert"),"Not possible ▲",IF(VLOOKUP(X214,'G-7 WaterC'' Data'!$AD$4:$AE$14,2,FALSE)=0,"Enrcoachment Data Missing ⚠",VLOOKUP(X214,'G-7 WaterC'' Data'!$AD$4:$AE$14,2,FALSE)))))</f>
        <v/>
      </c>
      <c r="Z214" s="317" t="str">
        <f t="shared" si="22"/>
        <v/>
      </c>
      <c r="AA214" s="101"/>
      <c r="AB214" s="115"/>
      <c r="AC214" s="104"/>
      <c r="AH214" s="30" t="str">
        <f>IFERROR(INDEX('G-7 WaterC'' Data'!$AZ$3:$AZ$7,MATCH(C214,'G-7 WaterC'' Data'!$AY$3:$AY$7,0)),"")</f>
        <v/>
      </c>
      <c r="AK214" s="30" t="str">
        <f t="shared" si="23"/>
        <v>No</v>
      </c>
    </row>
    <row r="215" spans="2:37" ht="14">
      <c r="B215" s="97">
        <v>204</v>
      </c>
      <c r="C215" s="920"/>
      <c r="D215" s="115"/>
      <c r="E215" s="275" t="str">
        <f>IF(C215="","",VLOOKUP(C215,'G-7 WaterC'' Data'!$B$2:$G$8,2,FALSE))</f>
        <v/>
      </c>
      <c r="F215" s="276" t="str">
        <f>IFERROR(VLOOKUP(E215,'G-7 WaterC'' Data'!$C$4:$D$8,2,FALSE),"")</f>
        <v/>
      </c>
      <c r="G215" s="101"/>
      <c r="H215" s="276" t="str">
        <f>IFERROR(INDEX('G-7 WaterC'' Data'!$H$4:$L$8,MATCH(C215,'G-7 WaterC'' Data'!$B$4:$B$8,0),MATCH(G215,'G-7 WaterC'' Data'!$H$3:$L$3,0)),"")</f>
        <v/>
      </c>
      <c r="I215" s="52"/>
      <c r="J215" s="283" t="str">
        <f>IF(I215="","",IF(VLOOKUP(I215,'G-7 WaterC'' Data'!$AK$4:$AM$6,2,FALSE)=0,"Spatial Data Missing ⚠",VLOOKUP(I215,'G-7 WaterC'' Data'!$AK$4:$AM$6,2,FALSE)))</f>
        <v/>
      </c>
      <c r="K215" s="276" t="str">
        <f>IF(I215="","",IF(VLOOKUP(I215,'G-7 WaterC'' Data'!$AK$4:$AM$6,3,FALSE)=0,"Spatial Data Missing ⚠",VLOOKUP(I215,'G-7 WaterC'' Data'!$AK$4:$AM$6,3,FALSE)))</f>
        <v/>
      </c>
      <c r="L215" s="275" t="str">
        <f>IFERROR(INDEX('G-7 WaterC'' Data'!$O$3:$O$7,MATCH(G215,'G-7 WaterC'' Data'!$N$3:$N$7,0)),"")</f>
        <v/>
      </c>
      <c r="M215" s="58"/>
      <c r="N215" s="133"/>
      <c r="O215" s="283" t="str">
        <f t="shared" si="18"/>
        <v/>
      </c>
      <c r="P215" s="296" t="str">
        <f t="shared" si="19"/>
        <v/>
      </c>
      <c r="Q215" s="334" t="str">
        <f>IFERROR(IF(P215="Check Data ⚠","Check Data ⚠",VLOOKUP(P215,'G-4 Temporal multipliers'!$A$4:$C$37,3,FALSE)),"")</f>
        <v/>
      </c>
      <c r="R215" s="275" t="str">
        <f>IF(C215="","",VLOOKUP(C215,'G-7 WaterC'' Data'!$B$4:$G$8,4,FALSE))</f>
        <v/>
      </c>
      <c r="S215" s="283" t="str">
        <f t="shared" si="20"/>
        <v/>
      </c>
      <c r="T215" s="314" t="str">
        <f t="shared" si="21"/>
        <v/>
      </c>
      <c r="U215" s="276" t="str">
        <f>IF(C215="","",VLOOKUP(T215,'G-3 Multipliers'!$P$2:$Q$6,2,FALSE))</f>
        <v/>
      </c>
      <c r="V215" s="102"/>
      <c r="W215" s="276" t="str">
        <f>IF(V215="","",IF(AND(V215="N/A - Culvert",C215&lt;&gt;"Culvert"),"Not possible ▲",IF(AND(C215="Culvert",V215&lt;&gt;"N/A - Culvert"),"Not possible ▲",IF(VLOOKUP(V215,'G-7 WaterC'' Data'!$AA$4:$AB$7,2,FALSE)=0,"Spatial Data Missing ⚠",VLOOKUP(V215,'G-7 WaterC'' Data'!$AA$4:$AB$7,2,FALSE)))))</f>
        <v/>
      </c>
      <c r="X215" s="56"/>
      <c r="Y215" s="276" t="str">
        <f>IF(X215="","",IF(AND(X215="N/A - Culvert",C215&lt;&gt;"Culvert"),"Not possible ▲",IF(AND(C215="Culvert",X215&lt;&gt;"N/A - Culvert"),"Not possible ▲",IF(VLOOKUP(X215,'G-7 WaterC'' Data'!$AD$4:$AE$14,2,FALSE)=0,"Enrcoachment Data Missing ⚠",VLOOKUP(X215,'G-7 WaterC'' Data'!$AD$4:$AE$14,2,FALSE)))))</f>
        <v/>
      </c>
      <c r="Z215" s="317" t="str">
        <f t="shared" si="22"/>
        <v/>
      </c>
      <c r="AA215" s="101"/>
      <c r="AB215" s="115"/>
      <c r="AC215" s="104"/>
      <c r="AH215" s="30" t="str">
        <f>IFERROR(INDEX('G-7 WaterC'' Data'!$AZ$3:$AZ$7,MATCH(C215,'G-7 WaterC'' Data'!$AY$3:$AY$7,0)),"")</f>
        <v/>
      </c>
      <c r="AK215" s="30" t="str">
        <f t="shared" si="23"/>
        <v>No</v>
      </c>
    </row>
    <row r="216" spans="2:37" ht="14">
      <c r="B216" s="97">
        <v>205</v>
      </c>
      <c r="C216" s="920"/>
      <c r="D216" s="115"/>
      <c r="E216" s="275" t="str">
        <f>IF(C216="","",VLOOKUP(C216,'G-7 WaterC'' Data'!$B$2:$G$8,2,FALSE))</f>
        <v/>
      </c>
      <c r="F216" s="276" t="str">
        <f>IFERROR(VLOOKUP(E216,'G-7 WaterC'' Data'!$C$4:$D$8,2,FALSE),"")</f>
        <v/>
      </c>
      <c r="G216" s="101"/>
      <c r="H216" s="276" t="str">
        <f>IFERROR(INDEX('G-7 WaterC'' Data'!$H$4:$L$8,MATCH(C216,'G-7 WaterC'' Data'!$B$4:$B$8,0),MATCH(G216,'G-7 WaterC'' Data'!$H$3:$L$3,0)),"")</f>
        <v/>
      </c>
      <c r="I216" s="52"/>
      <c r="J216" s="283" t="str">
        <f>IF(I216="","",IF(VLOOKUP(I216,'G-7 WaterC'' Data'!$AK$4:$AM$6,2,FALSE)=0,"Spatial Data Missing ⚠",VLOOKUP(I216,'G-7 WaterC'' Data'!$AK$4:$AM$6,2,FALSE)))</f>
        <v/>
      </c>
      <c r="K216" s="276" t="str">
        <f>IF(I216="","",IF(VLOOKUP(I216,'G-7 WaterC'' Data'!$AK$4:$AM$6,3,FALSE)=0,"Spatial Data Missing ⚠",VLOOKUP(I216,'G-7 WaterC'' Data'!$AK$4:$AM$6,3,FALSE)))</f>
        <v/>
      </c>
      <c r="L216" s="275" t="str">
        <f>IFERROR(INDEX('G-7 WaterC'' Data'!$O$3:$O$7,MATCH(G216,'G-7 WaterC'' Data'!$N$3:$N$7,0)),"")</f>
        <v/>
      </c>
      <c r="M216" s="58"/>
      <c r="N216" s="133"/>
      <c r="O216" s="283" t="str">
        <f t="shared" si="18"/>
        <v/>
      </c>
      <c r="P216" s="296" t="str">
        <f t="shared" si="19"/>
        <v/>
      </c>
      <c r="Q216" s="334" t="str">
        <f>IFERROR(IF(P216="Check Data ⚠","Check Data ⚠",VLOOKUP(P216,'G-4 Temporal multipliers'!$A$4:$C$37,3,FALSE)),"")</f>
        <v/>
      </c>
      <c r="R216" s="275" t="str">
        <f>IF(C216="","",VLOOKUP(C216,'G-7 WaterC'' Data'!$B$4:$G$8,4,FALSE))</f>
        <v/>
      </c>
      <c r="S216" s="283" t="str">
        <f t="shared" si="20"/>
        <v/>
      </c>
      <c r="T216" s="314" t="str">
        <f t="shared" si="21"/>
        <v/>
      </c>
      <c r="U216" s="276" t="str">
        <f>IF(C216="","",VLOOKUP(T216,'G-3 Multipliers'!$P$2:$Q$6,2,FALSE))</f>
        <v/>
      </c>
      <c r="V216" s="102"/>
      <c r="W216" s="276" t="str">
        <f>IF(V216="","",IF(AND(V216="N/A - Culvert",C216&lt;&gt;"Culvert"),"Not possible ▲",IF(AND(C216="Culvert",V216&lt;&gt;"N/A - Culvert"),"Not possible ▲",IF(VLOOKUP(V216,'G-7 WaterC'' Data'!$AA$4:$AB$7,2,FALSE)=0,"Spatial Data Missing ⚠",VLOOKUP(V216,'G-7 WaterC'' Data'!$AA$4:$AB$7,2,FALSE)))))</f>
        <v/>
      </c>
      <c r="X216" s="56"/>
      <c r="Y216" s="276" t="str">
        <f>IF(X216="","",IF(AND(X216="N/A - Culvert",C216&lt;&gt;"Culvert"),"Not possible ▲",IF(AND(C216="Culvert",X216&lt;&gt;"N/A - Culvert"),"Not possible ▲",IF(VLOOKUP(X216,'G-7 WaterC'' Data'!$AD$4:$AE$14,2,FALSE)=0,"Enrcoachment Data Missing ⚠",VLOOKUP(X216,'G-7 WaterC'' Data'!$AD$4:$AE$14,2,FALSE)))))</f>
        <v/>
      </c>
      <c r="Z216" s="317" t="str">
        <f t="shared" si="22"/>
        <v/>
      </c>
      <c r="AA216" s="101"/>
      <c r="AB216" s="115"/>
      <c r="AC216" s="104"/>
      <c r="AH216" s="30" t="str">
        <f>IFERROR(INDEX('G-7 WaterC'' Data'!$AZ$3:$AZ$7,MATCH(C216,'G-7 WaterC'' Data'!$AY$3:$AY$7,0)),"")</f>
        <v/>
      </c>
      <c r="AK216" s="30" t="str">
        <f t="shared" si="23"/>
        <v>No</v>
      </c>
    </row>
    <row r="217" spans="2:37" ht="14">
      <c r="B217" s="97">
        <v>206</v>
      </c>
      <c r="C217" s="920"/>
      <c r="D217" s="115"/>
      <c r="E217" s="275" t="str">
        <f>IF(C217="","",VLOOKUP(C217,'G-7 WaterC'' Data'!$B$2:$G$8,2,FALSE))</f>
        <v/>
      </c>
      <c r="F217" s="276" t="str">
        <f>IFERROR(VLOOKUP(E217,'G-7 WaterC'' Data'!$C$4:$D$8,2,FALSE),"")</f>
        <v/>
      </c>
      <c r="G217" s="101"/>
      <c r="H217" s="276" t="str">
        <f>IFERROR(INDEX('G-7 WaterC'' Data'!$H$4:$L$8,MATCH(C217,'G-7 WaterC'' Data'!$B$4:$B$8,0),MATCH(G217,'G-7 WaterC'' Data'!$H$3:$L$3,0)),"")</f>
        <v/>
      </c>
      <c r="I217" s="52"/>
      <c r="J217" s="283" t="str">
        <f>IF(I217="","",IF(VLOOKUP(I217,'G-7 WaterC'' Data'!$AK$4:$AM$6,2,FALSE)=0,"Spatial Data Missing ⚠",VLOOKUP(I217,'G-7 WaterC'' Data'!$AK$4:$AM$6,2,FALSE)))</f>
        <v/>
      </c>
      <c r="K217" s="276" t="str">
        <f>IF(I217="","",IF(VLOOKUP(I217,'G-7 WaterC'' Data'!$AK$4:$AM$6,3,FALSE)=0,"Spatial Data Missing ⚠",VLOOKUP(I217,'G-7 WaterC'' Data'!$AK$4:$AM$6,3,FALSE)))</f>
        <v/>
      </c>
      <c r="L217" s="275" t="str">
        <f>IFERROR(INDEX('G-7 WaterC'' Data'!$O$3:$O$7,MATCH(G217,'G-7 WaterC'' Data'!$N$3:$N$7,0)),"")</f>
        <v/>
      </c>
      <c r="M217" s="58"/>
      <c r="N217" s="133"/>
      <c r="O217" s="283" t="str">
        <f t="shared" si="18"/>
        <v/>
      </c>
      <c r="P217" s="296" t="str">
        <f t="shared" si="19"/>
        <v/>
      </c>
      <c r="Q217" s="334" t="str">
        <f>IFERROR(IF(P217="Check Data ⚠","Check Data ⚠",VLOOKUP(P217,'G-4 Temporal multipliers'!$A$4:$C$37,3,FALSE)),"")</f>
        <v/>
      </c>
      <c r="R217" s="275" t="str">
        <f>IF(C217="","",VLOOKUP(C217,'G-7 WaterC'' Data'!$B$4:$G$8,4,FALSE))</f>
        <v/>
      </c>
      <c r="S217" s="283" t="str">
        <f t="shared" si="20"/>
        <v/>
      </c>
      <c r="T217" s="314" t="str">
        <f t="shared" si="21"/>
        <v/>
      </c>
      <c r="U217" s="276" t="str">
        <f>IF(C217="","",VLOOKUP(T217,'G-3 Multipliers'!$P$2:$Q$6,2,FALSE))</f>
        <v/>
      </c>
      <c r="V217" s="102"/>
      <c r="W217" s="276" t="str">
        <f>IF(V217="","",IF(AND(V217="N/A - Culvert",C217&lt;&gt;"Culvert"),"Not possible ▲",IF(AND(C217="Culvert",V217&lt;&gt;"N/A - Culvert"),"Not possible ▲",IF(VLOOKUP(V217,'G-7 WaterC'' Data'!$AA$4:$AB$7,2,FALSE)=0,"Spatial Data Missing ⚠",VLOOKUP(V217,'G-7 WaterC'' Data'!$AA$4:$AB$7,2,FALSE)))))</f>
        <v/>
      </c>
      <c r="X217" s="56"/>
      <c r="Y217" s="276" t="str">
        <f>IF(X217="","",IF(AND(X217="N/A - Culvert",C217&lt;&gt;"Culvert"),"Not possible ▲",IF(AND(C217="Culvert",X217&lt;&gt;"N/A - Culvert"),"Not possible ▲",IF(VLOOKUP(X217,'G-7 WaterC'' Data'!$AD$4:$AE$14,2,FALSE)=0,"Enrcoachment Data Missing ⚠",VLOOKUP(X217,'G-7 WaterC'' Data'!$AD$4:$AE$14,2,FALSE)))))</f>
        <v/>
      </c>
      <c r="Z217" s="317" t="str">
        <f t="shared" si="22"/>
        <v/>
      </c>
      <c r="AA217" s="101"/>
      <c r="AB217" s="115"/>
      <c r="AC217" s="104"/>
      <c r="AH217" s="30" t="str">
        <f>IFERROR(INDEX('G-7 WaterC'' Data'!$AZ$3:$AZ$7,MATCH(C217,'G-7 WaterC'' Data'!$AY$3:$AY$7,0)),"")</f>
        <v/>
      </c>
      <c r="AK217" s="30" t="str">
        <f t="shared" si="23"/>
        <v>No</v>
      </c>
    </row>
    <row r="218" spans="2:37" ht="14">
      <c r="B218" s="97">
        <v>207</v>
      </c>
      <c r="C218" s="920"/>
      <c r="D218" s="115"/>
      <c r="E218" s="275" t="str">
        <f>IF(C218="","",VLOOKUP(C218,'G-7 WaterC'' Data'!$B$2:$G$8,2,FALSE))</f>
        <v/>
      </c>
      <c r="F218" s="276" t="str">
        <f>IFERROR(VLOOKUP(E218,'G-7 WaterC'' Data'!$C$4:$D$8,2,FALSE),"")</f>
        <v/>
      </c>
      <c r="G218" s="101"/>
      <c r="H218" s="276" t="str">
        <f>IFERROR(INDEX('G-7 WaterC'' Data'!$H$4:$L$8,MATCH(C218,'G-7 WaterC'' Data'!$B$4:$B$8,0),MATCH(G218,'G-7 WaterC'' Data'!$H$3:$L$3,0)),"")</f>
        <v/>
      </c>
      <c r="I218" s="52"/>
      <c r="J218" s="283" t="str">
        <f>IF(I218="","",IF(VLOOKUP(I218,'G-7 WaterC'' Data'!$AK$4:$AM$6,2,FALSE)=0,"Spatial Data Missing ⚠",VLOOKUP(I218,'G-7 WaterC'' Data'!$AK$4:$AM$6,2,FALSE)))</f>
        <v/>
      </c>
      <c r="K218" s="276" t="str">
        <f>IF(I218="","",IF(VLOOKUP(I218,'G-7 WaterC'' Data'!$AK$4:$AM$6,3,FALSE)=0,"Spatial Data Missing ⚠",VLOOKUP(I218,'G-7 WaterC'' Data'!$AK$4:$AM$6,3,FALSE)))</f>
        <v/>
      </c>
      <c r="L218" s="275" t="str">
        <f>IFERROR(INDEX('G-7 WaterC'' Data'!$O$3:$O$7,MATCH(G218,'G-7 WaterC'' Data'!$N$3:$N$7,0)),"")</f>
        <v/>
      </c>
      <c r="M218" s="58"/>
      <c r="N218" s="133"/>
      <c r="O218" s="283" t="str">
        <f t="shared" si="18"/>
        <v/>
      </c>
      <c r="P218" s="296" t="str">
        <f t="shared" si="19"/>
        <v/>
      </c>
      <c r="Q218" s="334" t="str">
        <f>IFERROR(IF(P218="Check Data ⚠","Check Data ⚠",VLOOKUP(P218,'G-4 Temporal multipliers'!$A$4:$C$37,3,FALSE)),"")</f>
        <v/>
      </c>
      <c r="R218" s="275" t="str">
        <f>IF(C218="","",VLOOKUP(C218,'G-7 WaterC'' Data'!$B$4:$G$8,4,FALSE))</f>
        <v/>
      </c>
      <c r="S218" s="283" t="str">
        <f t="shared" si="20"/>
        <v/>
      </c>
      <c r="T218" s="314" t="str">
        <f t="shared" si="21"/>
        <v/>
      </c>
      <c r="U218" s="276" t="str">
        <f>IF(C218="","",VLOOKUP(T218,'G-3 Multipliers'!$P$2:$Q$6,2,FALSE))</f>
        <v/>
      </c>
      <c r="V218" s="102"/>
      <c r="W218" s="276" t="str">
        <f>IF(V218="","",IF(AND(V218="N/A - Culvert",C218&lt;&gt;"Culvert"),"Not possible ▲",IF(AND(C218="Culvert",V218&lt;&gt;"N/A - Culvert"),"Not possible ▲",IF(VLOOKUP(V218,'G-7 WaterC'' Data'!$AA$4:$AB$7,2,FALSE)=0,"Spatial Data Missing ⚠",VLOOKUP(V218,'G-7 WaterC'' Data'!$AA$4:$AB$7,2,FALSE)))))</f>
        <v/>
      </c>
      <c r="X218" s="56"/>
      <c r="Y218" s="276" t="str">
        <f>IF(X218="","",IF(AND(X218="N/A - Culvert",C218&lt;&gt;"Culvert"),"Not possible ▲",IF(AND(C218="Culvert",X218&lt;&gt;"N/A - Culvert"),"Not possible ▲",IF(VLOOKUP(X218,'G-7 WaterC'' Data'!$AD$4:$AE$14,2,FALSE)=0,"Enrcoachment Data Missing ⚠",VLOOKUP(X218,'G-7 WaterC'' Data'!$AD$4:$AE$14,2,FALSE)))))</f>
        <v/>
      </c>
      <c r="Z218" s="317" t="str">
        <f t="shared" si="22"/>
        <v/>
      </c>
      <c r="AA218" s="101"/>
      <c r="AB218" s="115"/>
      <c r="AC218" s="104"/>
      <c r="AH218" s="30" t="str">
        <f>IFERROR(INDEX('G-7 WaterC'' Data'!$AZ$3:$AZ$7,MATCH(C218,'G-7 WaterC'' Data'!$AY$3:$AY$7,0)),"")</f>
        <v/>
      </c>
      <c r="AK218" s="30" t="str">
        <f t="shared" si="23"/>
        <v>No</v>
      </c>
    </row>
    <row r="219" spans="2:37" ht="14">
      <c r="B219" s="97">
        <v>208</v>
      </c>
      <c r="C219" s="920"/>
      <c r="D219" s="115"/>
      <c r="E219" s="275" t="str">
        <f>IF(C219="","",VLOOKUP(C219,'G-7 WaterC'' Data'!$B$2:$G$8,2,FALSE))</f>
        <v/>
      </c>
      <c r="F219" s="276" t="str">
        <f>IFERROR(VLOOKUP(E219,'G-7 WaterC'' Data'!$C$4:$D$8,2,FALSE),"")</f>
        <v/>
      </c>
      <c r="G219" s="101"/>
      <c r="H219" s="276" t="str">
        <f>IFERROR(INDEX('G-7 WaterC'' Data'!$H$4:$L$8,MATCH(C219,'G-7 WaterC'' Data'!$B$4:$B$8,0),MATCH(G219,'G-7 WaterC'' Data'!$H$3:$L$3,0)),"")</f>
        <v/>
      </c>
      <c r="I219" s="52"/>
      <c r="J219" s="283" t="str">
        <f>IF(I219="","",IF(VLOOKUP(I219,'G-7 WaterC'' Data'!$AK$4:$AM$6,2,FALSE)=0,"Spatial Data Missing ⚠",VLOOKUP(I219,'G-7 WaterC'' Data'!$AK$4:$AM$6,2,FALSE)))</f>
        <v/>
      </c>
      <c r="K219" s="276" t="str">
        <f>IF(I219="","",IF(VLOOKUP(I219,'G-7 WaterC'' Data'!$AK$4:$AM$6,3,FALSE)=0,"Spatial Data Missing ⚠",VLOOKUP(I219,'G-7 WaterC'' Data'!$AK$4:$AM$6,3,FALSE)))</f>
        <v/>
      </c>
      <c r="L219" s="275" t="str">
        <f>IFERROR(INDEX('G-7 WaterC'' Data'!$O$3:$O$7,MATCH(G219,'G-7 WaterC'' Data'!$N$3:$N$7,0)),"")</f>
        <v/>
      </c>
      <c r="M219" s="58"/>
      <c r="N219" s="133"/>
      <c r="O219" s="283" t="str">
        <f t="shared" si="18"/>
        <v/>
      </c>
      <c r="P219" s="296" t="str">
        <f t="shared" si="19"/>
        <v/>
      </c>
      <c r="Q219" s="334" t="str">
        <f>IFERROR(IF(P219="Check Data ⚠","Check Data ⚠",VLOOKUP(P219,'G-4 Temporal multipliers'!$A$4:$C$37,3,FALSE)),"")</f>
        <v/>
      </c>
      <c r="R219" s="275" t="str">
        <f>IF(C219="","",VLOOKUP(C219,'G-7 WaterC'' Data'!$B$4:$G$8,4,FALSE))</f>
        <v/>
      </c>
      <c r="S219" s="283" t="str">
        <f t="shared" si="20"/>
        <v/>
      </c>
      <c r="T219" s="314" t="str">
        <f t="shared" si="21"/>
        <v/>
      </c>
      <c r="U219" s="276" t="str">
        <f>IF(C219="","",VLOOKUP(T219,'G-3 Multipliers'!$P$2:$Q$6,2,FALSE))</f>
        <v/>
      </c>
      <c r="V219" s="102"/>
      <c r="W219" s="276" t="str">
        <f>IF(V219="","",IF(AND(V219="N/A - Culvert",C219&lt;&gt;"Culvert"),"Not possible ▲",IF(AND(C219="Culvert",V219&lt;&gt;"N/A - Culvert"),"Not possible ▲",IF(VLOOKUP(V219,'G-7 WaterC'' Data'!$AA$4:$AB$7,2,FALSE)=0,"Spatial Data Missing ⚠",VLOOKUP(V219,'G-7 WaterC'' Data'!$AA$4:$AB$7,2,FALSE)))))</f>
        <v/>
      </c>
      <c r="X219" s="56"/>
      <c r="Y219" s="276" t="str">
        <f>IF(X219="","",IF(AND(X219="N/A - Culvert",C219&lt;&gt;"Culvert"),"Not possible ▲",IF(AND(C219="Culvert",X219&lt;&gt;"N/A - Culvert"),"Not possible ▲",IF(VLOOKUP(X219,'G-7 WaterC'' Data'!$AD$4:$AE$14,2,FALSE)=0,"Enrcoachment Data Missing ⚠",VLOOKUP(X219,'G-7 WaterC'' Data'!$AD$4:$AE$14,2,FALSE)))))</f>
        <v/>
      </c>
      <c r="Z219" s="317" t="str">
        <f t="shared" si="22"/>
        <v/>
      </c>
      <c r="AA219" s="101"/>
      <c r="AB219" s="115"/>
      <c r="AC219" s="104"/>
      <c r="AH219" s="30" t="str">
        <f>IFERROR(INDEX('G-7 WaterC'' Data'!$AZ$3:$AZ$7,MATCH(C219,'G-7 WaterC'' Data'!$AY$3:$AY$7,0)),"")</f>
        <v/>
      </c>
      <c r="AK219" s="30" t="str">
        <f t="shared" si="23"/>
        <v>No</v>
      </c>
    </row>
    <row r="220" spans="2:37" ht="14">
      <c r="B220" s="97">
        <v>209</v>
      </c>
      <c r="C220" s="920"/>
      <c r="D220" s="115"/>
      <c r="E220" s="275" t="str">
        <f>IF(C220="","",VLOOKUP(C220,'G-7 WaterC'' Data'!$B$2:$G$8,2,FALSE))</f>
        <v/>
      </c>
      <c r="F220" s="276" t="str">
        <f>IFERROR(VLOOKUP(E220,'G-7 WaterC'' Data'!$C$4:$D$8,2,FALSE),"")</f>
        <v/>
      </c>
      <c r="G220" s="101"/>
      <c r="H220" s="276" t="str">
        <f>IFERROR(INDEX('G-7 WaterC'' Data'!$H$4:$L$8,MATCH(C220,'G-7 WaterC'' Data'!$B$4:$B$8,0),MATCH(G220,'G-7 WaterC'' Data'!$H$3:$L$3,0)),"")</f>
        <v/>
      </c>
      <c r="I220" s="52"/>
      <c r="J220" s="283" t="str">
        <f>IF(I220="","",IF(VLOOKUP(I220,'G-7 WaterC'' Data'!$AK$4:$AM$6,2,FALSE)=0,"Spatial Data Missing ⚠",VLOOKUP(I220,'G-7 WaterC'' Data'!$AK$4:$AM$6,2,FALSE)))</f>
        <v/>
      </c>
      <c r="K220" s="276" t="str">
        <f>IF(I220="","",IF(VLOOKUP(I220,'G-7 WaterC'' Data'!$AK$4:$AM$6,3,FALSE)=0,"Spatial Data Missing ⚠",VLOOKUP(I220,'G-7 WaterC'' Data'!$AK$4:$AM$6,3,FALSE)))</f>
        <v/>
      </c>
      <c r="L220" s="275" t="str">
        <f>IFERROR(INDEX('G-7 WaterC'' Data'!$O$3:$O$7,MATCH(G220,'G-7 WaterC'' Data'!$N$3:$N$7,0)),"")</f>
        <v/>
      </c>
      <c r="M220" s="58"/>
      <c r="N220" s="133"/>
      <c r="O220" s="283" t="str">
        <f t="shared" si="18"/>
        <v/>
      </c>
      <c r="P220" s="296" t="str">
        <f t="shared" si="19"/>
        <v/>
      </c>
      <c r="Q220" s="334" t="str">
        <f>IFERROR(IF(P220="Check Data ⚠","Check Data ⚠",VLOOKUP(P220,'G-4 Temporal multipliers'!$A$4:$C$37,3,FALSE)),"")</f>
        <v/>
      </c>
      <c r="R220" s="275" t="str">
        <f>IF(C220="","",VLOOKUP(C220,'G-7 WaterC'' Data'!$B$4:$G$8,4,FALSE))</f>
        <v/>
      </c>
      <c r="S220" s="283" t="str">
        <f t="shared" si="20"/>
        <v/>
      </c>
      <c r="T220" s="314" t="str">
        <f t="shared" si="21"/>
        <v/>
      </c>
      <c r="U220" s="276" t="str">
        <f>IF(C220="","",VLOOKUP(T220,'G-3 Multipliers'!$P$2:$Q$6,2,FALSE))</f>
        <v/>
      </c>
      <c r="V220" s="102"/>
      <c r="W220" s="276" t="str">
        <f>IF(V220="","",IF(AND(V220="N/A - Culvert",C220&lt;&gt;"Culvert"),"Not possible ▲",IF(AND(C220="Culvert",V220&lt;&gt;"N/A - Culvert"),"Not possible ▲",IF(VLOOKUP(V220,'G-7 WaterC'' Data'!$AA$4:$AB$7,2,FALSE)=0,"Spatial Data Missing ⚠",VLOOKUP(V220,'G-7 WaterC'' Data'!$AA$4:$AB$7,2,FALSE)))))</f>
        <v/>
      </c>
      <c r="X220" s="56"/>
      <c r="Y220" s="276" t="str">
        <f>IF(X220="","",IF(AND(X220="N/A - Culvert",C220&lt;&gt;"Culvert"),"Not possible ▲",IF(AND(C220="Culvert",X220&lt;&gt;"N/A - Culvert"),"Not possible ▲",IF(VLOOKUP(X220,'G-7 WaterC'' Data'!$AD$4:$AE$14,2,FALSE)=0,"Enrcoachment Data Missing ⚠",VLOOKUP(X220,'G-7 WaterC'' Data'!$AD$4:$AE$14,2,FALSE)))))</f>
        <v/>
      </c>
      <c r="Z220" s="317" t="str">
        <f t="shared" si="22"/>
        <v/>
      </c>
      <c r="AA220" s="101"/>
      <c r="AB220" s="115"/>
      <c r="AC220" s="104"/>
      <c r="AH220" s="30" t="str">
        <f>IFERROR(INDEX('G-7 WaterC'' Data'!$AZ$3:$AZ$7,MATCH(C220,'G-7 WaterC'' Data'!$AY$3:$AY$7,0)),"")</f>
        <v/>
      </c>
      <c r="AK220" s="30" t="str">
        <f t="shared" si="23"/>
        <v>No</v>
      </c>
    </row>
    <row r="221" spans="2:37" ht="14">
      <c r="B221" s="97">
        <v>210</v>
      </c>
      <c r="C221" s="920"/>
      <c r="D221" s="115"/>
      <c r="E221" s="275" t="str">
        <f>IF(C221="","",VLOOKUP(C221,'G-7 WaterC'' Data'!$B$2:$G$8,2,FALSE))</f>
        <v/>
      </c>
      <c r="F221" s="276" t="str">
        <f>IFERROR(VLOOKUP(E221,'G-7 WaterC'' Data'!$C$4:$D$8,2,FALSE),"")</f>
        <v/>
      </c>
      <c r="G221" s="101"/>
      <c r="H221" s="276" t="str">
        <f>IFERROR(INDEX('G-7 WaterC'' Data'!$H$4:$L$8,MATCH(C221,'G-7 WaterC'' Data'!$B$4:$B$8,0),MATCH(G221,'G-7 WaterC'' Data'!$H$3:$L$3,0)),"")</f>
        <v/>
      </c>
      <c r="I221" s="52"/>
      <c r="J221" s="283" t="str">
        <f>IF(I221="","",IF(VLOOKUP(I221,'G-7 WaterC'' Data'!$AK$4:$AM$6,2,FALSE)=0,"Spatial Data Missing ⚠",VLOOKUP(I221,'G-7 WaterC'' Data'!$AK$4:$AM$6,2,FALSE)))</f>
        <v/>
      </c>
      <c r="K221" s="276" t="str">
        <f>IF(I221="","",IF(VLOOKUP(I221,'G-7 WaterC'' Data'!$AK$4:$AM$6,3,FALSE)=0,"Spatial Data Missing ⚠",VLOOKUP(I221,'G-7 WaterC'' Data'!$AK$4:$AM$6,3,FALSE)))</f>
        <v/>
      </c>
      <c r="L221" s="275" t="str">
        <f>IFERROR(INDEX('G-7 WaterC'' Data'!$O$3:$O$7,MATCH(G221,'G-7 WaterC'' Data'!$N$3:$N$7,0)),"")</f>
        <v/>
      </c>
      <c r="M221" s="58"/>
      <c r="N221" s="133"/>
      <c r="O221" s="283" t="str">
        <f t="shared" si="18"/>
        <v/>
      </c>
      <c r="P221" s="296" t="str">
        <f t="shared" si="19"/>
        <v/>
      </c>
      <c r="Q221" s="334" t="str">
        <f>IFERROR(IF(P221="Check Data ⚠","Check Data ⚠",VLOOKUP(P221,'G-4 Temporal multipliers'!$A$4:$C$37,3,FALSE)),"")</f>
        <v/>
      </c>
      <c r="R221" s="275" t="str">
        <f>IF(C221="","",VLOOKUP(C221,'G-7 WaterC'' Data'!$B$4:$G$8,4,FALSE))</f>
        <v/>
      </c>
      <c r="S221" s="283" t="str">
        <f t="shared" si="20"/>
        <v/>
      </c>
      <c r="T221" s="314" t="str">
        <f t="shared" si="21"/>
        <v/>
      </c>
      <c r="U221" s="276" t="str">
        <f>IF(C221="","",VLOOKUP(T221,'G-3 Multipliers'!$P$2:$Q$6,2,FALSE))</f>
        <v/>
      </c>
      <c r="V221" s="102"/>
      <c r="W221" s="276" t="str">
        <f>IF(V221="","",IF(AND(V221="N/A - Culvert",C221&lt;&gt;"Culvert"),"Not possible ▲",IF(AND(C221="Culvert",V221&lt;&gt;"N/A - Culvert"),"Not possible ▲",IF(VLOOKUP(V221,'G-7 WaterC'' Data'!$AA$4:$AB$7,2,FALSE)=0,"Spatial Data Missing ⚠",VLOOKUP(V221,'G-7 WaterC'' Data'!$AA$4:$AB$7,2,FALSE)))))</f>
        <v/>
      </c>
      <c r="X221" s="56"/>
      <c r="Y221" s="276" t="str">
        <f>IF(X221="","",IF(AND(X221="N/A - Culvert",C221&lt;&gt;"Culvert"),"Not possible ▲",IF(AND(C221="Culvert",X221&lt;&gt;"N/A - Culvert"),"Not possible ▲",IF(VLOOKUP(X221,'G-7 WaterC'' Data'!$AD$4:$AE$14,2,FALSE)=0,"Enrcoachment Data Missing ⚠",VLOOKUP(X221,'G-7 WaterC'' Data'!$AD$4:$AE$14,2,FALSE)))))</f>
        <v/>
      </c>
      <c r="Z221" s="317" t="str">
        <f t="shared" si="22"/>
        <v/>
      </c>
      <c r="AA221" s="101"/>
      <c r="AB221" s="115"/>
      <c r="AC221" s="104"/>
      <c r="AH221" s="30" t="str">
        <f>IFERROR(INDEX('G-7 WaterC'' Data'!$AZ$3:$AZ$7,MATCH(C221,'G-7 WaterC'' Data'!$AY$3:$AY$7,0)),"")</f>
        <v/>
      </c>
      <c r="AK221" s="30" t="str">
        <f t="shared" si="23"/>
        <v>No</v>
      </c>
    </row>
    <row r="222" spans="2:37" ht="14">
      <c r="B222" s="97">
        <v>211</v>
      </c>
      <c r="C222" s="920"/>
      <c r="D222" s="115"/>
      <c r="E222" s="275" t="str">
        <f>IF(C222="","",VLOOKUP(C222,'G-7 WaterC'' Data'!$B$2:$G$8,2,FALSE))</f>
        <v/>
      </c>
      <c r="F222" s="276" t="str">
        <f>IFERROR(VLOOKUP(E222,'G-7 WaterC'' Data'!$C$4:$D$8,2,FALSE),"")</f>
        <v/>
      </c>
      <c r="G222" s="101"/>
      <c r="H222" s="276" t="str">
        <f>IFERROR(INDEX('G-7 WaterC'' Data'!$H$4:$L$8,MATCH(C222,'G-7 WaterC'' Data'!$B$4:$B$8,0),MATCH(G222,'G-7 WaterC'' Data'!$H$3:$L$3,0)),"")</f>
        <v/>
      </c>
      <c r="I222" s="52"/>
      <c r="J222" s="283" t="str">
        <f>IF(I222="","",IF(VLOOKUP(I222,'G-7 WaterC'' Data'!$AK$4:$AM$6,2,FALSE)=0,"Spatial Data Missing ⚠",VLOOKUP(I222,'G-7 WaterC'' Data'!$AK$4:$AM$6,2,FALSE)))</f>
        <v/>
      </c>
      <c r="K222" s="276" t="str">
        <f>IF(I222="","",IF(VLOOKUP(I222,'G-7 WaterC'' Data'!$AK$4:$AM$6,3,FALSE)=0,"Spatial Data Missing ⚠",VLOOKUP(I222,'G-7 WaterC'' Data'!$AK$4:$AM$6,3,FALSE)))</f>
        <v/>
      </c>
      <c r="L222" s="275" t="str">
        <f>IFERROR(INDEX('G-7 WaterC'' Data'!$O$3:$O$7,MATCH(G222,'G-7 WaterC'' Data'!$N$3:$N$7,0)),"")</f>
        <v/>
      </c>
      <c r="M222" s="58"/>
      <c r="N222" s="133"/>
      <c r="O222" s="283" t="str">
        <f t="shared" si="18"/>
        <v/>
      </c>
      <c r="P222" s="296" t="str">
        <f t="shared" si="19"/>
        <v/>
      </c>
      <c r="Q222" s="334" t="str">
        <f>IFERROR(IF(P222="Check Data ⚠","Check Data ⚠",VLOOKUP(P222,'G-4 Temporal multipliers'!$A$4:$C$37,3,FALSE)),"")</f>
        <v/>
      </c>
      <c r="R222" s="275" t="str">
        <f>IF(C222="","",VLOOKUP(C222,'G-7 WaterC'' Data'!$B$4:$G$8,4,FALSE))</f>
        <v/>
      </c>
      <c r="S222" s="283" t="str">
        <f t="shared" si="20"/>
        <v/>
      </c>
      <c r="T222" s="314" t="str">
        <f t="shared" si="21"/>
        <v/>
      </c>
      <c r="U222" s="276" t="str">
        <f>IF(C222="","",VLOOKUP(T222,'G-3 Multipliers'!$P$2:$Q$6,2,FALSE))</f>
        <v/>
      </c>
      <c r="V222" s="102"/>
      <c r="W222" s="276" t="str">
        <f>IF(V222="","",IF(AND(V222="N/A - Culvert",C222&lt;&gt;"Culvert"),"Not possible ▲",IF(AND(C222="Culvert",V222&lt;&gt;"N/A - Culvert"),"Not possible ▲",IF(VLOOKUP(V222,'G-7 WaterC'' Data'!$AA$4:$AB$7,2,FALSE)=0,"Spatial Data Missing ⚠",VLOOKUP(V222,'G-7 WaterC'' Data'!$AA$4:$AB$7,2,FALSE)))))</f>
        <v/>
      </c>
      <c r="X222" s="56"/>
      <c r="Y222" s="276" t="str">
        <f>IF(X222="","",IF(AND(X222="N/A - Culvert",C222&lt;&gt;"Culvert"),"Not possible ▲",IF(AND(C222="Culvert",X222&lt;&gt;"N/A - Culvert"),"Not possible ▲",IF(VLOOKUP(X222,'G-7 WaterC'' Data'!$AD$4:$AE$14,2,FALSE)=0,"Enrcoachment Data Missing ⚠",VLOOKUP(X222,'G-7 WaterC'' Data'!$AD$4:$AE$14,2,FALSE)))))</f>
        <v/>
      </c>
      <c r="Z222" s="317" t="str">
        <f t="shared" si="22"/>
        <v/>
      </c>
      <c r="AA222" s="101"/>
      <c r="AB222" s="115"/>
      <c r="AC222" s="104"/>
      <c r="AH222" s="30" t="str">
        <f>IFERROR(INDEX('G-7 WaterC'' Data'!$AZ$3:$AZ$7,MATCH(C222,'G-7 WaterC'' Data'!$AY$3:$AY$7,0)),"")</f>
        <v/>
      </c>
      <c r="AK222" s="30" t="str">
        <f t="shared" si="23"/>
        <v>No</v>
      </c>
    </row>
    <row r="223" spans="2:37" ht="14">
      <c r="B223" s="97">
        <v>212</v>
      </c>
      <c r="C223" s="920"/>
      <c r="D223" s="115"/>
      <c r="E223" s="275" t="str">
        <f>IF(C223="","",VLOOKUP(C223,'G-7 WaterC'' Data'!$B$2:$G$8,2,FALSE))</f>
        <v/>
      </c>
      <c r="F223" s="276" t="str">
        <f>IFERROR(VLOOKUP(E223,'G-7 WaterC'' Data'!$C$4:$D$8,2,FALSE),"")</f>
        <v/>
      </c>
      <c r="G223" s="101"/>
      <c r="H223" s="276" t="str">
        <f>IFERROR(INDEX('G-7 WaterC'' Data'!$H$4:$L$8,MATCH(C223,'G-7 WaterC'' Data'!$B$4:$B$8,0),MATCH(G223,'G-7 WaterC'' Data'!$H$3:$L$3,0)),"")</f>
        <v/>
      </c>
      <c r="I223" s="52"/>
      <c r="J223" s="283" t="str">
        <f>IF(I223="","",IF(VLOOKUP(I223,'G-7 WaterC'' Data'!$AK$4:$AM$6,2,FALSE)=0,"Spatial Data Missing ⚠",VLOOKUP(I223,'G-7 WaterC'' Data'!$AK$4:$AM$6,2,FALSE)))</f>
        <v/>
      </c>
      <c r="K223" s="276" t="str">
        <f>IF(I223="","",IF(VLOOKUP(I223,'G-7 WaterC'' Data'!$AK$4:$AM$6,3,FALSE)=0,"Spatial Data Missing ⚠",VLOOKUP(I223,'G-7 WaterC'' Data'!$AK$4:$AM$6,3,FALSE)))</f>
        <v/>
      </c>
      <c r="L223" s="275" t="str">
        <f>IFERROR(INDEX('G-7 WaterC'' Data'!$O$3:$O$7,MATCH(G223,'G-7 WaterC'' Data'!$N$3:$N$7,0)),"")</f>
        <v/>
      </c>
      <c r="M223" s="58"/>
      <c r="N223" s="133"/>
      <c r="O223" s="283" t="str">
        <f t="shared" si="18"/>
        <v/>
      </c>
      <c r="P223" s="296" t="str">
        <f t="shared" si="19"/>
        <v/>
      </c>
      <c r="Q223" s="334" t="str">
        <f>IFERROR(IF(P223="Check Data ⚠","Check Data ⚠",VLOOKUP(P223,'G-4 Temporal multipliers'!$A$4:$C$37,3,FALSE)),"")</f>
        <v/>
      </c>
      <c r="R223" s="275" t="str">
        <f>IF(C223="","",VLOOKUP(C223,'G-7 WaterC'' Data'!$B$4:$G$8,4,FALSE))</f>
        <v/>
      </c>
      <c r="S223" s="283" t="str">
        <f t="shared" si="20"/>
        <v/>
      </c>
      <c r="T223" s="314" t="str">
        <f t="shared" si="21"/>
        <v/>
      </c>
      <c r="U223" s="276" t="str">
        <f>IF(C223="","",VLOOKUP(T223,'G-3 Multipliers'!$P$2:$Q$6,2,FALSE))</f>
        <v/>
      </c>
      <c r="V223" s="102"/>
      <c r="W223" s="276" t="str">
        <f>IF(V223="","",IF(AND(V223="N/A - Culvert",C223&lt;&gt;"Culvert"),"Not possible ▲",IF(AND(C223="Culvert",V223&lt;&gt;"N/A - Culvert"),"Not possible ▲",IF(VLOOKUP(V223,'G-7 WaterC'' Data'!$AA$4:$AB$7,2,FALSE)=0,"Spatial Data Missing ⚠",VLOOKUP(V223,'G-7 WaterC'' Data'!$AA$4:$AB$7,2,FALSE)))))</f>
        <v/>
      </c>
      <c r="X223" s="56"/>
      <c r="Y223" s="276" t="str">
        <f>IF(X223="","",IF(AND(X223="N/A - Culvert",C223&lt;&gt;"Culvert"),"Not possible ▲",IF(AND(C223="Culvert",X223&lt;&gt;"N/A - Culvert"),"Not possible ▲",IF(VLOOKUP(X223,'G-7 WaterC'' Data'!$AD$4:$AE$14,2,FALSE)=0,"Enrcoachment Data Missing ⚠",VLOOKUP(X223,'G-7 WaterC'' Data'!$AD$4:$AE$14,2,FALSE)))))</f>
        <v/>
      </c>
      <c r="Z223" s="317" t="str">
        <f t="shared" si="22"/>
        <v/>
      </c>
      <c r="AA223" s="101"/>
      <c r="AB223" s="115"/>
      <c r="AC223" s="104"/>
      <c r="AH223" s="30" t="str">
        <f>IFERROR(INDEX('G-7 WaterC'' Data'!$AZ$3:$AZ$7,MATCH(C223,'G-7 WaterC'' Data'!$AY$3:$AY$7,0)),"")</f>
        <v/>
      </c>
      <c r="AK223" s="30" t="str">
        <f t="shared" si="23"/>
        <v>No</v>
      </c>
    </row>
    <row r="224" spans="2:37" ht="14">
      <c r="B224" s="97">
        <v>213</v>
      </c>
      <c r="C224" s="920"/>
      <c r="D224" s="115"/>
      <c r="E224" s="275" t="str">
        <f>IF(C224="","",VLOOKUP(C224,'G-7 WaterC'' Data'!$B$2:$G$8,2,FALSE))</f>
        <v/>
      </c>
      <c r="F224" s="276" t="str">
        <f>IFERROR(VLOOKUP(E224,'G-7 WaterC'' Data'!$C$4:$D$8,2,FALSE),"")</f>
        <v/>
      </c>
      <c r="G224" s="101"/>
      <c r="H224" s="276" t="str">
        <f>IFERROR(INDEX('G-7 WaterC'' Data'!$H$4:$L$8,MATCH(C224,'G-7 WaterC'' Data'!$B$4:$B$8,0),MATCH(G224,'G-7 WaterC'' Data'!$H$3:$L$3,0)),"")</f>
        <v/>
      </c>
      <c r="I224" s="52"/>
      <c r="J224" s="283" t="str">
        <f>IF(I224="","",IF(VLOOKUP(I224,'G-7 WaterC'' Data'!$AK$4:$AM$6,2,FALSE)=0,"Spatial Data Missing ⚠",VLOOKUP(I224,'G-7 WaterC'' Data'!$AK$4:$AM$6,2,FALSE)))</f>
        <v/>
      </c>
      <c r="K224" s="276" t="str">
        <f>IF(I224="","",IF(VLOOKUP(I224,'G-7 WaterC'' Data'!$AK$4:$AM$6,3,FALSE)=0,"Spatial Data Missing ⚠",VLOOKUP(I224,'G-7 WaterC'' Data'!$AK$4:$AM$6,3,FALSE)))</f>
        <v/>
      </c>
      <c r="L224" s="275" t="str">
        <f>IFERROR(INDEX('G-7 WaterC'' Data'!$O$3:$O$7,MATCH(G224,'G-7 WaterC'' Data'!$N$3:$N$7,0)),"")</f>
        <v/>
      </c>
      <c r="M224" s="58"/>
      <c r="N224" s="133"/>
      <c r="O224" s="283" t="str">
        <f t="shared" si="18"/>
        <v/>
      </c>
      <c r="P224" s="296" t="str">
        <f t="shared" si="19"/>
        <v/>
      </c>
      <c r="Q224" s="334" t="str">
        <f>IFERROR(IF(P224="Check Data ⚠","Check Data ⚠",VLOOKUP(P224,'G-4 Temporal multipliers'!$A$4:$C$37,3,FALSE)),"")</f>
        <v/>
      </c>
      <c r="R224" s="275" t="str">
        <f>IF(C224="","",VLOOKUP(C224,'G-7 WaterC'' Data'!$B$4:$G$8,4,FALSE))</f>
        <v/>
      </c>
      <c r="S224" s="283" t="str">
        <f t="shared" si="20"/>
        <v/>
      </c>
      <c r="T224" s="314" t="str">
        <f t="shared" si="21"/>
        <v/>
      </c>
      <c r="U224" s="276" t="str">
        <f>IF(C224="","",VLOOKUP(T224,'G-3 Multipliers'!$P$2:$Q$6,2,FALSE))</f>
        <v/>
      </c>
      <c r="V224" s="102"/>
      <c r="W224" s="276" t="str">
        <f>IF(V224="","",IF(AND(V224="N/A - Culvert",C224&lt;&gt;"Culvert"),"Not possible ▲",IF(AND(C224="Culvert",V224&lt;&gt;"N/A - Culvert"),"Not possible ▲",IF(VLOOKUP(V224,'G-7 WaterC'' Data'!$AA$4:$AB$7,2,FALSE)=0,"Spatial Data Missing ⚠",VLOOKUP(V224,'G-7 WaterC'' Data'!$AA$4:$AB$7,2,FALSE)))))</f>
        <v/>
      </c>
      <c r="X224" s="56"/>
      <c r="Y224" s="276" t="str">
        <f>IF(X224="","",IF(AND(X224="N/A - Culvert",C224&lt;&gt;"Culvert"),"Not possible ▲",IF(AND(C224="Culvert",X224&lt;&gt;"N/A - Culvert"),"Not possible ▲",IF(VLOOKUP(X224,'G-7 WaterC'' Data'!$AD$4:$AE$14,2,FALSE)=0,"Enrcoachment Data Missing ⚠",VLOOKUP(X224,'G-7 WaterC'' Data'!$AD$4:$AE$14,2,FALSE)))))</f>
        <v/>
      </c>
      <c r="Z224" s="317" t="str">
        <f t="shared" si="22"/>
        <v/>
      </c>
      <c r="AA224" s="101"/>
      <c r="AB224" s="115"/>
      <c r="AC224" s="104"/>
      <c r="AH224" s="30" t="str">
        <f>IFERROR(INDEX('G-7 WaterC'' Data'!$AZ$3:$AZ$7,MATCH(C224,'G-7 WaterC'' Data'!$AY$3:$AY$7,0)),"")</f>
        <v/>
      </c>
      <c r="AK224" s="30" t="str">
        <f t="shared" si="23"/>
        <v>No</v>
      </c>
    </row>
    <row r="225" spans="2:37" ht="14">
      <c r="B225" s="97">
        <v>214</v>
      </c>
      <c r="C225" s="920"/>
      <c r="D225" s="115"/>
      <c r="E225" s="275" t="str">
        <f>IF(C225="","",VLOOKUP(C225,'G-7 WaterC'' Data'!$B$2:$G$8,2,FALSE))</f>
        <v/>
      </c>
      <c r="F225" s="276" t="str">
        <f>IFERROR(VLOOKUP(E225,'G-7 WaterC'' Data'!$C$4:$D$8,2,FALSE),"")</f>
        <v/>
      </c>
      <c r="G225" s="101"/>
      <c r="H225" s="276" t="str">
        <f>IFERROR(INDEX('G-7 WaterC'' Data'!$H$4:$L$8,MATCH(C225,'G-7 WaterC'' Data'!$B$4:$B$8,0),MATCH(G225,'G-7 WaterC'' Data'!$H$3:$L$3,0)),"")</f>
        <v/>
      </c>
      <c r="I225" s="52"/>
      <c r="J225" s="283" t="str">
        <f>IF(I225="","",IF(VLOOKUP(I225,'G-7 WaterC'' Data'!$AK$4:$AM$6,2,FALSE)=0,"Spatial Data Missing ⚠",VLOOKUP(I225,'G-7 WaterC'' Data'!$AK$4:$AM$6,2,FALSE)))</f>
        <v/>
      </c>
      <c r="K225" s="276" t="str">
        <f>IF(I225="","",IF(VLOOKUP(I225,'G-7 WaterC'' Data'!$AK$4:$AM$6,3,FALSE)=0,"Spatial Data Missing ⚠",VLOOKUP(I225,'G-7 WaterC'' Data'!$AK$4:$AM$6,3,FALSE)))</f>
        <v/>
      </c>
      <c r="L225" s="275" t="str">
        <f>IFERROR(INDEX('G-7 WaterC'' Data'!$O$3:$O$7,MATCH(G225,'G-7 WaterC'' Data'!$N$3:$N$7,0)),"")</f>
        <v/>
      </c>
      <c r="M225" s="58"/>
      <c r="N225" s="133"/>
      <c r="O225" s="283" t="str">
        <f t="shared" si="18"/>
        <v/>
      </c>
      <c r="P225" s="296" t="str">
        <f t="shared" si="19"/>
        <v/>
      </c>
      <c r="Q225" s="334" t="str">
        <f>IFERROR(IF(P225="Check Data ⚠","Check Data ⚠",VLOOKUP(P225,'G-4 Temporal multipliers'!$A$4:$C$37,3,FALSE)),"")</f>
        <v/>
      </c>
      <c r="R225" s="275" t="str">
        <f>IF(C225="","",VLOOKUP(C225,'G-7 WaterC'' Data'!$B$4:$G$8,4,FALSE))</f>
        <v/>
      </c>
      <c r="S225" s="283" t="str">
        <f t="shared" si="20"/>
        <v/>
      </c>
      <c r="T225" s="314" t="str">
        <f t="shared" si="21"/>
        <v/>
      </c>
      <c r="U225" s="276" t="str">
        <f>IF(C225="","",VLOOKUP(T225,'G-3 Multipliers'!$P$2:$Q$6,2,FALSE))</f>
        <v/>
      </c>
      <c r="V225" s="102"/>
      <c r="W225" s="276" t="str">
        <f>IF(V225="","",IF(AND(V225="N/A - Culvert",C225&lt;&gt;"Culvert"),"Not possible ▲",IF(AND(C225="Culvert",V225&lt;&gt;"N/A - Culvert"),"Not possible ▲",IF(VLOOKUP(V225,'G-7 WaterC'' Data'!$AA$4:$AB$7,2,FALSE)=0,"Spatial Data Missing ⚠",VLOOKUP(V225,'G-7 WaterC'' Data'!$AA$4:$AB$7,2,FALSE)))))</f>
        <v/>
      </c>
      <c r="X225" s="56"/>
      <c r="Y225" s="276" t="str">
        <f>IF(X225="","",IF(AND(X225="N/A - Culvert",C225&lt;&gt;"Culvert"),"Not possible ▲",IF(AND(C225="Culvert",X225&lt;&gt;"N/A - Culvert"),"Not possible ▲",IF(VLOOKUP(X225,'G-7 WaterC'' Data'!$AD$4:$AE$14,2,FALSE)=0,"Enrcoachment Data Missing ⚠",VLOOKUP(X225,'G-7 WaterC'' Data'!$AD$4:$AE$14,2,FALSE)))))</f>
        <v/>
      </c>
      <c r="Z225" s="317" t="str">
        <f t="shared" si="22"/>
        <v/>
      </c>
      <c r="AA225" s="101"/>
      <c r="AB225" s="115"/>
      <c r="AC225" s="104"/>
      <c r="AH225" s="30" t="str">
        <f>IFERROR(INDEX('G-7 WaterC'' Data'!$AZ$3:$AZ$7,MATCH(C225,'G-7 WaterC'' Data'!$AY$3:$AY$7,0)),"")</f>
        <v/>
      </c>
      <c r="AK225" s="30" t="str">
        <f t="shared" si="23"/>
        <v>No</v>
      </c>
    </row>
    <row r="226" spans="2:37" ht="14">
      <c r="B226" s="97">
        <v>215</v>
      </c>
      <c r="C226" s="920"/>
      <c r="D226" s="115"/>
      <c r="E226" s="275" t="str">
        <f>IF(C226="","",VLOOKUP(C226,'G-7 WaterC'' Data'!$B$2:$G$8,2,FALSE))</f>
        <v/>
      </c>
      <c r="F226" s="276" t="str">
        <f>IFERROR(VLOOKUP(E226,'G-7 WaterC'' Data'!$C$4:$D$8,2,FALSE),"")</f>
        <v/>
      </c>
      <c r="G226" s="101"/>
      <c r="H226" s="276" t="str">
        <f>IFERROR(INDEX('G-7 WaterC'' Data'!$H$4:$L$8,MATCH(C226,'G-7 WaterC'' Data'!$B$4:$B$8,0),MATCH(G226,'G-7 WaterC'' Data'!$H$3:$L$3,0)),"")</f>
        <v/>
      </c>
      <c r="I226" s="52"/>
      <c r="J226" s="283" t="str">
        <f>IF(I226="","",IF(VLOOKUP(I226,'G-7 WaterC'' Data'!$AK$4:$AM$6,2,FALSE)=0,"Spatial Data Missing ⚠",VLOOKUP(I226,'G-7 WaterC'' Data'!$AK$4:$AM$6,2,FALSE)))</f>
        <v/>
      </c>
      <c r="K226" s="276" t="str">
        <f>IF(I226="","",IF(VLOOKUP(I226,'G-7 WaterC'' Data'!$AK$4:$AM$6,3,FALSE)=0,"Spatial Data Missing ⚠",VLOOKUP(I226,'G-7 WaterC'' Data'!$AK$4:$AM$6,3,FALSE)))</f>
        <v/>
      </c>
      <c r="L226" s="275" t="str">
        <f>IFERROR(INDEX('G-7 WaterC'' Data'!$O$3:$O$7,MATCH(G226,'G-7 WaterC'' Data'!$N$3:$N$7,0)),"")</f>
        <v/>
      </c>
      <c r="M226" s="58"/>
      <c r="N226" s="133"/>
      <c r="O226" s="283" t="str">
        <f t="shared" si="18"/>
        <v/>
      </c>
      <c r="P226" s="296" t="str">
        <f t="shared" si="19"/>
        <v/>
      </c>
      <c r="Q226" s="334" t="str">
        <f>IFERROR(IF(P226="Check Data ⚠","Check Data ⚠",VLOOKUP(P226,'G-4 Temporal multipliers'!$A$4:$C$37,3,FALSE)),"")</f>
        <v/>
      </c>
      <c r="R226" s="275" t="str">
        <f>IF(C226="","",VLOOKUP(C226,'G-7 WaterC'' Data'!$B$4:$G$8,4,FALSE))</f>
        <v/>
      </c>
      <c r="S226" s="283" t="str">
        <f t="shared" si="20"/>
        <v/>
      </c>
      <c r="T226" s="314" t="str">
        <f t="shared" si="21"/>
        <v/>
      </c>
      <c r="U226" s="276" t="str">
        <f>IF(C226="","",VLOOKUP(T226,'G-3 Multipliers'!$P$2:$Q$6,2,FALSE))</f>
        <v/>
      </c>
      <c r="V226" s="102"/>
      <c r="W226" s="276" t="str">
        <f>IF(V226="","",IF(AND(V226="N/A - Culvert",C226&lt;&gt;"Culvert"),"Not possible ▲",IF(AND(C226="Culvert",V226&lt;&gt;"N/A - Culvert"),"Not possible ▲",IF(VLOOKUP(V226,'G-7 WaterC'' Data'!$AA$4:$AB$7,2,FALSE)=0,"Spatial Data Missing ⚠",VLOOKUP(V226,'G-7 WaterC'' Data'!$AA$4:$AB$7,2,FALSE)))))</f>
        <v/>
      </c>
      <c r="X226" s="56"/>
      <c r="Y226" s="276" t="str">
        <f>IF(X226="","",IF(AND(X226="N/A - Culvert",C226&lt;&gt;"Culvert"),"Not possible ▲",IF(AND(C226="Culvert",X226&lt;&gt;"N/A - Culvert"),"Not possible ▲",IF(VLOOKUP(X226,'G-7 WaterC'' Data'!$AD$4:$AE$14,2,FALSE)=0,"Enrcoachment Data Missing ⚠",VLOOKUP(X226,'G-7 WaterC'' Data'!$AD$4:$AE$14,2,FALSE)))))</f>
        <v/>
      </c>
      <c r="Z226" s="317" t="str">
        <f t="shared" si="22"/>
        <v/>
      </c>
      <c r="AA226" s="101"/>
      <c r="AB226" s="115"/>
      <c r="AC226" s="104"/>
      <c r="AH226" s="30" t="str">
        <f>IFERROR(INDEX('G-7 WaterC'' Data'!$AZ$3:$AZ$7,MATCH(C226,'G-7 WaterC'' Data'!$AY$3:$AY$7,0)),"")</f>
        <v/>
      </c>
      <c r="AK226" s="30" t="str">
        <f t="shared" si="23"/>
        <v>No</v>
      </c>
    </row>
    <row r="227" spans="2:37" ht="14">
      <c r="B227" s="97">
        <v>216</v>
      </c>
      <c r="C227" s="920"/>
      <c r="D227" s="115"/>
      <c r="E227" s="275" t="str">
        <f>IF(C227="","",VLOOKUP(C227,'G-7 WaterC'' Data'!$B$2:$G$8,2,FALSE))</f>
        <v/>
      </c>
      <c r="F227" s="276" t="str">
        <f>IFERROR(VLOOKUP(E227,'G-7 WaterC'' Data'!$C$4:$D$8,2,FALSE),"")</f>
        <v/>
      </c>
      <c r="G227" s="101"/>
      <c r="H227" s="276" t="str">
        <f>IFERROR(INDEX('G-7 WaterC'' Data'!$H$4:$L$8,MATCH(C227,'G-7 WaterC'' Data'!$B$4:$B$8,0),MATCH(G227,'G-7 WaterC'' Data'!$H$3:$L$3,0)),"")</f>
        <v/>
      </c>
      <c r="I227" s="52"/>
      <c r="J227" s="283" t="str">
        <f>IF(I227="","",IF(VLOOKUP(I227,'G-7 WaterC'' Data'!$AK$4:$AM$6,2,FALSE)=0,"Spatial Data Missing ⚠",VLOOKUP(I227,'G-7 WaterC'' Data'!$AK$4:$AM$6,2,FALSE)))</f>
        <v/>
      </c>
      <c r="K227" s="276" t="str">
        <f>IF(I227="","",IF(VLOOKUP(I227,'G-7 WaterC'' Data'!$AK$4:$AM$6,3,FALSE)=0,"Spatial Data Missing ⚠",VLOOKUP(I227,'G-7 WaterC'' Data'!$AK$4:$AM$6,3,FALSE)))</f>
        <v/>
      </c>
      <c r="L227" s="275" t="str">
        <f>IFERROR(INDEX('G-7 WaterC'' Data'!$O$3:$O$7,MATCH(G227,'G-7 WaterC'' Data'!$N$3:$N$7,0)),"")</f>
        <v/>
      </c>
      <c r="M227" s="58"/>
      <c r="N227" s="133"/>
      <c r="O227" s="283" t="str">
        <f t="shared" si="18"/>
        <v/>
      </c>
      <c r="P227" s="296" t="str">
        <f t="shared" si="19"/>
        <v/>
      </c>
      <c r="Q227" s="334" t="str">
        <f>IFERROR(IF(P227="Check Data ⚠","Check Data ⚠",VLOOKUP(P227,'G-4 Temporal multipliers'!$A$4:$C$37,3,FALSE)),"")</f>
        <v/>
      </c>
      <c r="R227" s="275" t="str">
        <f>IF(C227="","",VLOOKUP(C227,'G-7 WaterC'' Data'!$B$4:$G$8,4,FALSE))</f>
        <v/>
      </c>
      <c r="S227" s="283" t="str">
        <f t="shared" si="20"/>
        <v/>
      </c>
      <c r="T227" s="314" t="str">
        <f t="shared" si="21"/>
        <v/>
      </c>
      <c r="U227" s="276" t="str">
        <f>IF(C227="","",VLOOKUP(T227,'G-3 Multipliers'!$P$2:$Q$6,2,FALSE))</f>
        <v/>
      </c>
      <c r="V227" s="102"/>
      <c r="W227" s="276" t="str">
        <f>IF(V227="","",IF(AND(V227="N/A - Culvert",C227&lt;&gt;"Culvert"),"Not possible ▲",IF(AND(C227="Culvert",V227&lt;&gt;"N/A - Culvert"),"Not possible ▲",IF(VLOOKUP(V227,'G-7 WaterC'' Data'!$AA$4:$AB$7,2,FALSE)=0,"Spatial Data Missing ⚠",VLOOKUP(V227,'G-7 WaterC'' Data'!$AA$4:$AB$7,2,FALSE)))))</f>
        <v/>
      </c>
      <c r="X227" s="56"/>
      <c r="Y227" s="276" t="str">
        <f>IF(X227="","",IF(AND(X227="N/A - Culvert",C227&lt;&gt;"Culvert"),"Not possible ▲",IF(AND(C227="Culvert",X227&lt;&gt;"N/A - Culvert"),"Not possible ▲",IF(VLOOKUP(X227,'G-7 WaterC'' Data'!$AD$4:$AE$14,2,FALSE)=0,"Enrcoachment Data Missing ⚠",VLOOKUP(X227,'G-7 WaterC'' Data'!$AD$4:$AE$14,2,FALSE)))))</f>
        <v/>
      </c>
      <c r="Z227" s="317" t="str">
        <f t="shared" si="22"/>
        <v/>
      </c>
      <c r="AA227" s="101"/>
      <c r="AB227" s="115"/>
      <c r="AC227" s="104"/>
      <c r="AH227" s="30" t="str">
        <f>IFERROR(INDEX('G-7 WaterC'' Data'!$AZ$3:$AZ$7,MATCH(C227,'G-7 WaterC'' Data'!$AY$3:$AY$7,0)),"")</f>
        <v/>
      </c>
      <c r="AK227" s="30" t="str">
        <f t="shared" si="23"/>
        <v>No</v>
      </c>
    </row>
    <row r="228" spans="2:37" ht="14">
      <c r="B228" s="97">
        <v>217</v>
      </c>
      <c r="C228" s="920"/>
      <c r="D228" s="115"/>
      <c r="E228" s="275" t="str">
        <f>IF(C228="","",VLOOKUP(C228,'G-7 WaterC'' Data'!$B$2:$G$8,2,FALSE))</f>
        <v/>
      </c>
      <c r="F228" s="276" t="str">
        <f>IFERROR(VLOOKUP(E228,'G-7 WaterC'' Data'!$C$4:$D$8,2,FALSE),"")</f>
        <v/>
      </c>
      <c r="G228" s="101"/>
      <c r="H228" s="276" t="str">
        <f>IFERROR(INDEX('G-7 WaterC'' Data'!$H$4:$L$8,MATCH(C228,'G-7 WaterC'' Data'!$B$4:$B$8,0),MATCH(G228,'G-7 WaterC'' Data'!$H$3:$L$3,0)),"")</f>
        <v/>
      </c>
      <c r="I228" s="52"/>
      <c r="J228" s="283" t="str">
        <f>IF(I228="","",IF(VLOOKUP(I228,'G-7 WaterC'' Data'!$AK$4:$AM$6,2,FALSE)=0,"Spatial Data Missing ⚠",VLOOKUP(I228,'G-7 WaterC'' Data'!$AK$4:$AM$6,2,FALSE)))</f>
        <v/>
      </c>
      <c r="K228" s="276" t="str">
        <f>IF(I228="","",IF(VLOOKUP(I228,'G-7 WaterC'' Data'!$AK$4:$AM$6,3,FALSE)=0,"Spatial Data Missing ⚠",VLOOKUP(I228,'G-7 WaterC'' Data'!$AK$4:$AM$6,3,FALSE)))</f>
        <v/>
      </c>
      <c r="L228" s="275" t="str">
        <f>IFERROR(INDEX('G-7 WaterC'' Data'!$O$3:$O$7,MATCH(G228,'G-7 WaterC'' Data'!$N$3:$N$7,0)),"")</f>
        <v/>
      </c>
      <c r="M228" s="58"/>
      <c r="N228" s="133"/>
      <c r="O228" s="283" t="str">
        <f t="shared" si="18"/>
        <v/>
      </c>
      <c r="P228" s="296" t="str">
        <f t="shared" si="19"/>
        <v/>
      </c>
      <c r="Q228" s="334" t="str">
        <f>IFERROR(IF(P228="Check Data ⚠","Check Data ⚠",VLOOKUP(P228,'G-4 Temporal multipliers'!$A$4:$C$37,3,FALSE)),"")</f>
        <v/>
      </c>
      <c r="R228" s="275" t="str">
        <f>IF(C228="","",VLOOKUP(C228,'G-7 WaterC'' Data'!$B$4:$G$8,4,FALSE))</f>
        <v/>
      </c>
      <c r="S228" s="283" t="str">
        <f t="shared" si="20"/>
        <v/>
      </c>
      <c r="T228" s="314" t="str">
        <f t="shared" si="21"/>
        <v/>
      </c>
      <c r="U228" s="276" t="str">
        <f>IF(C228="","",VLOOKUP(T228,'G-3 Multipliers'!$P$2:$Q$6,2,FALSE))</f>
        <v/>
      </c>
      <c r="V228" s="102"/>
      <c r="W228" s="276" t="str">
        <f>IF(V228="","",IF(AND(V228="N/A - Culvert",C228&lt;&gt;"Culvert"),"Not possible ▲",IF(AND(C228="Culvert",V228&lt;&gt;"N/A - Culvert"),"Not possible ▲",IF(VLOOKUP(V228,'G-7 WaterC'' Data'!$AA$4:$AB$7,2,FALSE)=0,"Spatial Data Missing ⚠",VLOOKUP(V228,'G-7 WaterC'' Data'!$AA$4:$AB$7,2,FALSE)))))</f>
        <v/>
      </c>
      <c r="X228" s="56"/>
      <c r="Y228" s="276" t="str">
        <f>IF(X228="","",IF(AND(X228="N/A - Culvert",C228&lt;&gt;"Culvert"),"Not possible ▲",IF(AND(C228="Culvert",X228&lt;&gt;"N/A - Culvert"),"Not possible ▲",IF(VLOOKUP(X228,'G-7 WaterC'' Data'!$AD$4:$AE$14,2,FALSE)=0,"Enrcoachment Data Missing ⚠",VLOOKUP(X228,'G-7 WaterC'' Data'!$AD$4:$AE$14,2,FALSE)))))</f>
        <v/>
      </c>
      <c r="Z228" s="317" t="str">
        <f t="shared" si="22"/>
        <v/>
      </c>
      <c r="AA228" s="101"/>
      <c r="AB228" s="115"/>
      <c r="AC228" s="104"/>
      <c r="AH228" s="30" t="str">
        <f>IFERROR(INDEX('G-7 WaterC'' Data'!$AZ$3:$AZ$7,MATCH(C228,'G-7 WaterC'' Data'!$AY$3:$AY$7,0)),"")</f>
        <v/>
      </c>
      <c r="AK228" s="30" t="str">
        <f t="shared" si="23"/>
        <v>No</v>
      </c>
    </row>
    <row r="229" spans="2:37" ht="14">
      <c r="B229" s="97">
        <v>218</v>
      </c>
      <c r="C229" s="920"/>
      <c r="D229" s="115"/>
      <c r="E229" s="275" t="str">
        <f>IF(C229="","",VLOOKUP(C229,'G-7 WaterC'' Data'!$B$2:$G$8,2,FALSE))</f>
        <v/>
      </c>
      <c r="F229" s="276" t="str">
        <f>IFERROR(VLOOKUP(E229,'G-7 WaterC'' Data'!$C$4:$D$8,2,FALSE),"")</f>
        <v/>
      </c>
      <c r="G229" s="101"/>
      <c r="H229" s="276" t="str">
        <f>IFERROR(INDEX('G-7 WaterC'' Data'!$H$4:$L$8,MATCH(C229,'G-7 WaterC'' Data'!$B$4:$B$8,0),MATCH(G229,'G-7 WaterC'' Data'!$H$3:$L$3,0)),"")</f>
        <v/>
      </c>
      <c r="I229" s="52"/>
      <c r="J229" s="283" t="str">
        <f>IF(I229="","",IF(VLOOKUP(I229,'G-7 WaterC'' Data'!$AK$4:$AM$6,2,FALSE)=0,"Spatial Data Missing ⚠",VLOOKUP(I229,'G-7 WaterC'' Data'!$AK$4:$AM$6,2,FALSE)))</f>
        <v/>
      </c>
      <c r="K229" s="276" t="str">
        <f>IF(I229="","",IF(VLOOKUP(I229,'G-7 WaterC'' Data'!$AK$4:$AM$6,3,FALSE)=0,"Spatial Data Missing ⚠",VLOOKUP(I229,'G-7 WaterC'' Data'!$AK$4:$AM$6,3,FALSE)))</f>
        <v/>
      </c>
      <c r="L229" s="275" t="str">
        <f>IFERROR(INDEX('G-7 WaterC'' Data'!$O$3:$O$7,MATCH(G229,'G-7 WaterC'' Data'!$N$3:$N$7,0)),"")</f>
        <v/>
      </c>
      <c r="M229" s="58"/>
      <c r="N229" s="133"/>
      <c r="O229" s="283" t="str">
        <f t="shared" si="18"/>
        <v/>
      </c>
      <c r="P229" s="296" t="str">
        <f t="shared" si="19"/>
        <v/>
      </c>
      <c r="Q229" s="334" t="str">
        <f>IFERROR(IF(P229="Check Data ⚠","Check Data ⚠",VLOOKUP(P229,'G-4 Temporal multipliers'!$A$4:$C$37,3,FALSE)),"")</f>
        <v/>
      </c>
      <c r="R229" s="275" t="str">
        <f>IF(C229="","",VLOOKUP(C229,'G-7 WaterC'' Data'!$B$4:$G$8,4,FALSE))</f>
        <v/>
      </c>
      <c r="S229" s="283" t="str">
        <f t="shared" si="20"/>
        <v/>
      </c>
      <c r="T229" s="314" t="str">
        <f t="shared" si="21"/>
        <v/>
      </c>
      <c r="U229" s="276" t="str">
        <f>IF(C229="","",VLOOKUP(T229,'G-3 Multipliers'!$P$2:$Q$6,2,FALSE))</f>
        <v/>
      </c>
      <c r="V229" s="102"/>
      <c r="W229" s="276" t="str">
        <f>IF(V229="","",IF(AND(V229="N/A - Culvert",C229&lt;&gt;"Culvert"),"Not possible ▲",IF(AND(C229="Culvert",V229&lt;&gt;"N/A - Culvert"),"Not possible ▲",IF(VLOOKUP(V229,'G-7 WaterC'' Data'!$AA$4:$AB$7,2,FALSE)=0,"Spatial Data Missing ⚠",VLOOKUP(V229,'G-7 WaterC'' Data'!$AA$4:$AB$7,2,FALSE)))))</f>
        <v/>
      </c>
      <c r="X229" s="56"/>
      <c r="Y229" s="276" t="str">
        <f>IF(X229="","",IF(AND(X229="N/A - Culvert",C229&lt;&gt;"Culvert"),"Not possible ▲",IF(AND(C229="Culvert",X229&lt;&gt;"N/A - Culvert"),"Not possible ▲",IF(VLOOKUP(X229,'G-7 WaterC'' Data'!$AD$4:$AE$14,2,FALSE)=0,"Enrcoachment Data Missing ⚠",VLOOKUP(X229,'G-7 WaterC'' Data'!$AD$4:$AE$14,2,FALSE)))))</f>
        <v/>
      </c>
      <c r="Z229" s="317" t="str">
        <f t="shared" si="22"/>
        <v/>
      </c>
      <c r="AA229" s="101"/>
      <c r="AB229" s="115"/>
      <c r="AC229" s="104"/>
      <c r="AH229" s="30" t="str">
        <f>IFERROR(INDEX('G-7 WaterC'' Data'!$AZ$3:$AZ$7,MATCH(C229,'G-7 WaterC'' Data'!$AY$3:$AY$7,0)),"")</f>
        <v/>
      </c>
      <c r="AK229" s="30" t="str">
        <f t="shared" si="23"/>
        <v>No</v>
      </c>
    </row>
    <row r="230" spans="2:37" ht="14">
      <c r="B230" s="97">
        <v>219</v>
      </c>
      <c r="C230" s="920"/>
      <c r="D230" s="115"/>
      <c r="E230" s="275" t="str">
        <f>IF(C230="","",VLOOKUP(C230,'G-7 WaterC'' Data'!$B$2:$G$8,2,FALSE))</f>
        <v/>
      </c>
      <c r="F230" s="276" t="str">
        <f>IFERROR(VLOOKUP(E230,'G-7 WaterC'' Data'!$C$4:$D$8,2,FALSE),"")</f>
        <v/>
      </c>
      <c r="G230" s="101"/>
      <c r="H230" s="276" t="str">
        <f>IFERROR(INDEX('G-7 WaterC'' Data'!$H$4:$L$8,MATCH(C230,'G-7 WaterC'' Data'!$B$4:$B$8,0),MATCH(G230,'G-7 WaterC'' Data'!$H$3:$L$3,0)),"")</f>
        <v/>
      </c>
      <c r="I230" s="52"/>
      <c r="J230" s="283" t="str">
        <f>IF(I230="","",IF(VLOOKUP(I230,'G-7 WaterC'' Data'!$AK$4:$AM$6,2,FALSE)=0,"Spatial Data Missing ⚠",VLOOKUP(I230,'G-7 WaterC'' Data'!$AK$4:$AM$6,2,FALSE)))</f>
        <v/>
      </c>
      <c r="K230" s="276" t="str">
        <f>IF(I230="","",IF(VLOOKUP(I230,'G-7 WaterC'' Data'!$AK$4:$AM$6,3,FALSE)=0,"Spatial Data Missing ⚠",VLOOKUP(I230,'G-7 WaterC'' Data'!$AK$4:$AM$6,3,FALSE)))</f>
        <v/>
      </c>
      <c r="L230" s="275" t="str">
        <f>IFERROR(INDEX('G-7 WaterC'' Data'!$O$3:$O$7,MATCH(G230,'G-7 WaterC'' Data'!$N$3:$N$7,0)),"")</f>
        <v/>
      </c>
      <c r="M230" s="58"/>
      <c r="N230" s="133"/>
      <c r="O230" s="283" t="str">
        <f t="shared" si="18"/>
        <v/>
      </c>
      <c r="P230" s="296" t="str">
        <f t="shared" si="19"/>
        <v/>
      </c>
      <c r="Q230" s="334" t="str">
        <f>IFERROR(IF(P230="Check Data ⚠","Check Data ⚠",VLOOKUP(P230,'G-4 Temporal multipliers'!$A$4:$C$37,3,FALSE)),"")</f>
        <v/>
      </c>
      <c r="R230" s="275" t="str">
        <f>IF(C230="","",VLOOKUP(C230,'G-7 WaterC'' Data'!$B$4:$G$8,4,FALSE))</f>
        <v/>
      </c>
      <c r="S230" s="283" t="str">
        <f t="shared" si="20"/>
        <v/>
      </c>
      <c r="T230" s="314" t="str">
        <f t="shared" si="21"/>
        <v/>
      </c>
      <c r="U230" s="276" t="str">
        <f>IF(C230="","",VLOOKUP(T230,'G-3 Multipliers'!$P$2:$Q$6,2,FALSE))</f>
        <v/>
      </c>
      <c r="V230" s="102"/>
      <c r="W230" s="276" t="str">
        <f>IF(V230="","",IF(AND(V230="N/A - Culvert",C230&lt;&gt;"Culvert"),"Not possible ▲",IF(AND(C230="Culvert",V230&lt;&gt;"N/A - Culvert"),"Not possible ▲",IF(VLOOKUP(V230,'G-7 WaterC'' Data'!$AA$4:$AB$7,2,FALSE)=0,"Spatial Data Missing ⚠",VLOOKUP(V230,'G-7 WaterC'' Data'!$AA$4:$AB$7,2,FALSE)))))</f>
        <v/>
      </c>
      <c r="X230" s="56"/>
      <c r="Y230" s="276" t="str">
        <f>IF(X230="","",IF(AND(X230="N/A - Culvert",C230&lt;&gt;"Culvert"),"Not possible ▲",IF(AND(C230="Culvert",X230&lt;&gt;"N/A - Culvert"),"Not possible ▲",IF(VLOOKUP(X230,'G-7 WaterC'' Data'!$AD$4:$AE$14,2,FALSE)=0,"Enrcoachment Data Missing ⚠",VLOOKUP(X230,'G-7 WaterC'' Data'!$AD$4:$AE$14,2,FALSE)))))</f>
        <v/>
      </c>
      <c r="Z230" s="317" t="str">
        <f t="shared" si="22"/>
        <v/>
      </c>
      <c r="AA230" s="101"/>
      <c r="AB230" s="115"/>
      <c r="AC230" s="104"/>
      <c r="AH230" s="30" t="str">
        <f>IFERROR(INDEX('G-7 WaterC'' Data'!$AZ$3:$AZ$7,MATCH(C230,'G-7 WaterC'' Data'!$AY$3:$AY$7,0)),"")</f>
        <v/>
      </c>
      <c r="AK230" s="30" t="str">
        <f t="shared" si="23"/>
        <v>No</v>
      </c>
    </row>
    <row r="231" spans="2:37" ht="14">
      <c r="B231" s="97">
        <v>220</v>
      </c>
      <c r="C231" s="920"/>
      <c r="D231" s="115"/>
      <c r="E231" s="275" t="str">
        <f>IF(C231="","",VLOOKUP(C231,'G-7 WaterC'' Data'!$B$2:$G$8,2,FALSE))</f>
        <v/>
      </c>
      <c r="F231" s="276" t="str">
        <f>IFERROR(VLOOKUP(E231,'G-7 WaterC'' Data'!$C$4:$D$8,2,FALSE),"")</f>
        <v/>
      </c>
      <c r="G231" s="101"/>
      <c r="H231" s="276" t="str">
        <f>IFERROR(INDEX('G-7 WaterC'' Data'!$H$4:$L$8,MATCH(C231,'G-7 WaterC'' Data'!$B$4:$B$8,0),MATCH(G231,'G-7 WaterC'' Data'!$H$3:$L$3,0)),"")</f>
        <v/>
      </c>
      <c r="I231" s="52"/>
      <c r="J231" s="283" t="str">
        <f>IF(I231="","",IF(VLOOKUP(I231,'G-7 WaterC'' Data'!$AK$4:$AM$6,2,FALSE)=0,"Spatial Data Missing ⚠",VLOOKUP(I231,'G-7 WaterC'' Data'!$AK$4:$AM$6,2,FALSE)))</f>
        <v/>
      </c>
      <c r="K231" s="276" t="str">
        <f>IF(I231="","",IF(VLOOKUP(I231,'G-7 WaterC'' Data'!$AK$4:$AM$6,3,FALSE)=0,"Spatial Data Missing ⚠",VLOOKUP(I231,'G-7 WaterC'' Data'!$AK$4:$AM$6,3,FALSE)))</f>
        <v/>
      </c>
      <c r="L231" s="275" t="str">
        <f>IFERROR(INDEX('G-7 WaterC'' Data'!$O$3:$O$7,MATCH(G231,'G-7 WaterC'' Data'!$N$3:$N$7,0)),"")</f>
        <v/>
      </c>
      <c r="M231" s="58"/>
      <c r="N231" s="133"/>
      <c r="O231" s="283" t="str">
        <f t="shared" si="18"/>
        <v/>
      </c>
      <c r="P231" s="296" t="str">
        <f t="shared" si="19"/>
        <v/>
      </c>
      <c r="Q231" s="334" t="str">
        <f>IFERROR(IF(P231="Check Data ⚠","Check Data ⚠",VLOOKUP(P231,'G-4 Temporal multipliers'!$A$4:$C$37,3,FALSE)),"")</f>
        <v/>
      </c>
      <c r="R231" s="275" t="str">
        <f>IF(C231="","",VLOOKUP(C231,'G-7 WaterC'' Data'!$B$4:$G$8,4,FALSE))</f>
        <v/>
      </c>
      <c r="S231" s="283" t="str">
        <f t="shared" si="20"/>
        <v/>
      </c>
      <c r="T231" s="314" t="str">
        <f t="shared" si="21"/>
        <v/>
      </c>
      <c r="U231" s="276" t="str">
        <f>IF(C231="","",VLOOKUP(T231,'G-3 Multipliers'!$P$2:$Q$6,2,FALSE))</f>
        <v/>
      </c>
      <c r="V231" s="102"/>
      <c r="W231" s="276" t="str">
        <f>IF(V231="","",IF(AND(V231="N/A - Culvert",C231&lt;&gt;"Culvert"),"Not possible ▲",IF(AND(C231="Culvert",V231&lt;&gt;"N/A - Culvert"),"Not possible ▲",IF(VLOOKUP(V231,'G-7 WaterC'' Data'!$AA$4:$AB$7,2,FALSE)=0,"Spatial Data Missing ⚠",VLOOKUP(V231,'G-7 WaterC'' Data'!$AA$4:$AB$7,2,FALSE)))))</f>
        <v/>
      </c>
      <c r="X231" s="56"/>
      <c r="Y231" s="276" t="str">
        <f>IF(X231="","",IF(AND(X231="N/A - Culvert",C231&lt;&gt;"Culvert"),"Not possible ▲",IF(AND(C231="Culvert",X231&lt;&gt;"N/A - Culvert"),"Not possible ▲",IF(VLOOKUP(X231,'G-7 WaterC'' Data'!$AD$4:$AE$14,2,FALSE)=0,"Enrcoachment Data Missing ⚠",VLOOKUP(X231,'G-7 WaterC'' Data'!$AD$4:$AE$14,2,FALSE)))))</f>
        <v/>
      </c>
      <c r="Z231" s="317" t="str">
        <f t="shared" si="22"/>
        <v/>
      </c>
      <c r="AA231" s="101"/>
      <c r="AB231" s="115"/>
      <c r="AC231" s="104"/>
      <c r="AH231" s="30" t="str">
        <f>IFERROR(INDEX('G-7 WaterC'' Data'!$AZ$3:$AZ$7,MATCH(C231,'G-7 WaterC'' Data'!$AY$3:$AY$7,0)),"")</f>
        <v/>
      </c>
      <c r="AK231" s="30" t="str">
        <f t="shared" si="23"/>
        <v>No</v>
      </c>
    </row>
    <row r="232" spans="2:37" ht="14">
      <c r="B232" s="97">
        <v>221</v>
      </c>
      <c r="C232" s="920"/>
      <c r="D232" s="115"/>
      <c r="E232" s="275" t="str">
        <f>IF(C232="","",VLOOKUP(C232,'G-7 WaterC'' Data'!$B$2:$G$8,2,FALSE))</f>
        <v/>
      </c>
      <c r="F232" s="276" t="str">
        <f>IFERROR(VLOOKUP(E232,'G-7 WaterC'' Data'!$C$4:$D$8,2,FALSE),"")</f>
        <v/>
      </c>
      <c r="G232" s="101"/>
      <c r="H232" s="276" t="str">
        <f>IFERROR(INDEX('G-7 WaterC'' Data'!$H$4:$L$8,MATCH(C232,'G-7 WaterC'' Data'!$B$4:$B$8,0),MATCH(G232,'G-7 WaterC'' Data'!$H$3:$L$3,0)),"")</f>
        <v/>
      </c>
      <c r="I232" s="52"/>
      <c r="J232" s="283" t="str">
        <f>IF(I232="","",IF(VLOOKUP(I232,'G-7 WaterC'' Data'!$AK$4:$AM$6,2,FALSE)=0,"Spatial Data Missing ⚠",VLOOKUP(I232,'G-7 WaterC'' Data'!$AK$4:$AM$6,2,FALSE)))</f>
        <v/>
      </c>
      <c r="K232" s="276" t="str">
        <f>IF(I232="","",IF(VLOOKUP(I232,'G-7 WaterC'' Data'!$AK$4:$AM$6,3,FALSE)=0,"Spatial Data Missing ⚠",VLOOKUP(I232,'G-7 WaterC'' Data'!$AK$4:$AM$6,3,FALSE)))</f>
        <v/>
      </c>
      <c r="L232" s="275" t="str">
        <f>IFERROR(INDEX('G-7 WaterC'' Data'!$O$3:$O$7,MATCH(G232,'G-7 WaterC'' Data'!$N$3:$N$7,0)),"")</f>
        <v/>
      </c>
      <c r="M232" s="58"/>
      <c r="N232" s="133"/>
      <c r="O232" s="283" t="str">
        <f t="shared" si="18"/>
        <v/>
      </c>
      <c r="P232" s="296" t="str">
        <f t="shared" si="19"/>
        <v/>
      </c>
      <c r="Q232" s="334" t="str">
        <f>IFERROR(IF(P232="Check Data ⚠","Check Data ⚠",VLOOKUP(P232,'G-4 Temporal multipliers'!$A$4:$C$37,3,FALSE)),"")</f>
        <v/>
      </c>
      <c r="R232" s="275" t="str">
        <f>IF(C232="","",VLOOKUP(C232,'G-7 WaterC'' Data'!$B$4:$G$8,4,FALSE))</f>
        <v/>
      </c>
      <c r="S232" s="283" t="str">
        <f t="shared" si="20"/>
        <v/>
      </c>
      <c r="T232" s="314" t="str">
        <f t="shared" si="21"/>
        <v/>
      </c>
      <c r="U232" s="276" t="str">
        <f>IF(C232="","",VLOOKUP(T232,'G-3 Multipliers'!$P$2:$Q$6,2,FALSE))</f>
        <v/>
      </c>
      <c r="V232" s="102"/>
      <c r="W232" s="276" t="str">
        <f>IF(V232="","",IF(AND(V232="N/A - Culvert",C232&lt;&gt;"Culvert"),"Not possible ▲",IF(AND(C232="Culvert",V232&lt;&gt;"N/A - Culvert"),"Not possible ▲",IF(VLOOKUP(V232,'G-7 WaterC'' Data'!$AA$4:$AB$7,2,FALSE)=0,"Spatial Data Missing ⚠",VLOOKUP(V232,'G-7 WaterC'' Data'!$AA$4:$AB$7,2,FALSE)))))</f>
        <v/>
      </c>
      <c r="X232" s="56"/>
      <c r="Y232" s="276" t="str">
        <f>IF(X232="","",IF(AND(X232="N/A - Culvert",C232&lt;&gt;"Culvert"),"Not possible ▲",IF(AND(C232="Culvert",X232&lt;&gt;"N/A - Culvert"),"Not possible ▲",IF(VLOOKUP(X232,'G-7 WaterC'' Data'!$AD$4:$AE$14,2,FALSE)=0,"Enrcoachment Data Missing ⚠",VLOOKUP(X232,'G-7 WaterC'' Data'!$AD$4:$AE$14,2,FALSE)))))</f>
        <v/>
      </c>
      <c r="Z232" s="317" t="str">
        <f t="shared" si="22"/>
        <v/>
      </c>
      <c r="AA232" s="101"/>
      <c r="AB232" s="115"/>
      <c r="AC232" s="104"/>
      <c r="AH232" s="30" t="str">
        <f>IFERROR(INDEX('G-7 WaterC'' Data'!$AZ$3:$AZ$7,MATCH(C232,'G-7 WaterC'' Data'!$AY$3:$AY$7,0)),"")</f>
        <v/>
      </c>
      <c r="AK232" s="30" t="str">
        <f t="shared" si="23"/>
        <v>No</v>
      </c>
    </row>
    <row r="233" spans="2:37" ht="14">
      <c r="B233" s="97">
        <v>222</v>
      </c>
      <c r="C233" s="920"/>
      <c r="D233" s="115"/>
      <c r="E233" s="275" t="str">
        <f>IF(C233="","",VLOOKUP(C233,'G-7 WaterC'' Data'!$B$2:$G$8,2,FALSE))</f>
        <v/>
      </c>
      <c r="F233" s="276" t="str">
        <f>IFERROR(VLOOKUP(E233,'G-7 WaterC'' Data'!$C$4:$D$8,2,FALSE),"")</f>
        <v/>
      </c>
      <c r="G233" s="101"/>
      <c r="H233" s="276" t="str">
        <f>IFERROR(INDEX('G-7 WaterC'' Data'!$H$4:$L$8,MATCH(C233,'G-7 WaterC'' Data'!$B$4:$B$8,0),MATCH(G233,'G-7 WaterC'' Data'!$H$3:$L$3,0)),"")</f>
        <v/>
      </c>
      <c r="I233" s="52"/>
      <c r="J233" s="283" t="str">
        <f>IF(I233="","",IF(VLOOKUP(I233,'G-7 WaterC'' Data'!$AK$4:$AM$6,2,FALSE)=0,"Spatial Data Missing ⚠",VLOOKUP(I233,'G-7 WaterC'' Data'!$AK$4:$AM$6,2,FALSE)))</f>
        <v/>
      </c>
      <c r="K233" s="276" t="str">
        <f>IF(I233="","",IF(VLOOKUP(I233,'G-7 WaterC'' Data'!$AK$4:$AM$6,3,FALSE)=0,"Spatial Data Missing ⚠",VLOOKUP(I233,'G-7 WaterC'' Data'!$AK$4:$AM$6,3,FALSE)))</f>
        <v/>
      </c>
      <c r="L233" s="275" t="str">
        <f>IFERROR(INDEX('G-7 WaterC'' Data'!$O$3:$O$7,MATCH(G233,'G-7 WaterC'' Data'!$N$3:$N$7,0)),"")</f>
        <v/>
      </c>
      <c r="M233" s="58"/>
      <c r="N233" s="133"/>
      <c r="O233" s="283" t="str">
        <f t="shared" si="18"/>
        <v/>
      </c>
      <c r="P233" s="296" t="str">
        <f t="shared" si="19"/>
        <v/>
      </c>
      <c r="Q233" s="334" t="str">
        <f>IFERROR(IF(P233="Check Data ⚠","Check Data ⚠",VLOOKUP(P233,'G-4 Temporal multipliers'!$A$4:$C$37,3,FALSE)),"")</f>
        <v/>
      </c>
      <c r="R233" s="275" t="str">
        <f>IF(C233="","",VLOOKUP(C233,'G-7 WaterC'' Data'!$B$4:$G$8,4,FALSE))</f>
        <v/>
      </c>
      <c r="S233" s="283" t="str">
        <f t="shared" si="20"/>
        <v/>
      </c>
      <c r="T233" s="314" t="str">
        <f t="shared" si="21"/>
        <v/>
      </c>
      <c r="U233" s="276" t="str">
        <f>IF(C233="","",VLOOKUP(T233,'G-3 Multipliers'!$P$2:$Q$6,2,FALSE))</f>
        <v/>
      </c>
      <c r="V233" s="102"/>
      <c r="W233" s="276" t="str">
        <f>IF(V233="","",IF(AND(V233="N/A - Culvert",C233&lt;&gt;"Culvert"),"Not possible ▲",IF(AND(C233="Culvert",V233&lt;&gt;"N/A - Culvert"),"Not possible ▲",IF(VLOOKUP(V233,'G-7 WaterC'' Data'!$AA$4:$AB$7,2,FALSE)=0,"Spatial Data Missing ⚠",VLOOKUP(V233,'G-7 WaterC'' Data'!$AA$4:$AB$7,2,FALSE)))))</f>
        <v/>
      </c>
      <c r="X233" s="56"/>
      <c r="Y233" s="276" t="str">
        <f>IF(X233="","",IF(AND(X233="N/A - Culvert",C233&lt;&gt;"Culvert"),"Not possible ▲",IF(AND(C233="Culvert",X233&lt;&gt;"N/A - Culvert"),"Not possible ▲",IF(VLOOKUP(X233,'G-7 WaterC'' Data'!$AD$4:$AE$14,2,FALSE)=0,"Enrcoachment Data Missing ⚠",VLOOKUP(X233,'G-7 WaterC'' Data'!$AD$4:$AE$14,2,FALSE)))))</f>
        <v/>
      </c>
      <c r="Z233" s="317" t="str">
        <f t="shared" si="22"/>
        <v/>
      </c>
      <c r="AA233" s="101"/>
      <c r="AB233" s="115"/>
      <c r="AC233" s="104"/>
      <c r="AH233" s="30" t="str">
        <f>IFERROR(INDEX('G-7 WaterC'' Data'!$AZ$3:$AZ$7,MATCH(C233,'G-7 WaterC'' Data'!$AY$3:$AY$7,0)),"")</f>
        <v/>
      </c>
      <c r="AK233" s="30" t="str">
        <f t="shared" si="23"/>
        <v>No</v>
      </c>
    </row>
    <row r="234" spans="2:37" ht="14">
      <c r="B234" s="97">
        <v>223</v>
      </c>
      <c r="C234" s="920"/>
      <c r="D234" s="115"/>
      <c r="E234" s="275" t="str">
        <f>IF(C234="","",VLOOKUP(C234,'G-7 WaterC'' Data'!$B$2:$G$8,2,FALSE))</f>
        <v/>
      </c>
      <c r="F234" s="276" t="str">
        <f>IFERROR(VLOOKUP(E234,'G-7 WaterC'' Data'!$C$4:$D$8,2,FALSE),"")</f>
        <v/>
      </c>
      <c r="G234" s="101"/>
      <c r="H234" s="276" t="str">
        <f>IFERROR(INDEX('G-7 WaterC'' Data'!$H$4:$L$8,MATCH(C234,'G-7 WaterC'' Data'!$B$4:$B$8,0),MATCH(G234,'G-7 WaterC'' Data'!$H$3:$L$3,0)),"")</f>
        <v/>
      </c>
      <c r="I234" s="52"/>
      <c r="J234" s="283" t="str">
        <f>IF(I234="","",IF(VLOOKUP(I234,'G-7 WaterC'' Data'!$AK$4:$AM$6,2,FALSE)=0,"Spatial Data Missing ⚠",VLOOKUP(I234,'G-7 WaterC'' Data'!$AK$4:$AM$6,2,FALSE)))</f>
        <v/>
      </c>
      <c r="K234" s="276" t="str">
        <f>IF(I234="","",IF(VLOOKUP(I234,'G-7 WaterC'' Data'!$AK$4:$AM$6,3,FALSE)=0,"Spatial Data Missing ⚠",VLOOKUP(I234,'G-7 WaterC'' Data'!$AK$4:$AM$6,3,FALSE)))</f>
        <v/>
      </c>
      <c r="L234" s="275" t="str">
        <f>IFERROR(INDEX('G-7 WaterC'' Data'!$O$3:$O$7,MATCH(G234,'G-7 WaterC'' Data'!$N$3:$N$7,0)),"")</f>
        <v/>
      </c>
      <c r="M234" s="58"/>
      <c r="N234" s="133"/>
      <c r="O234" s="283" t="str">
        <f t="shared" si="18"/>
        <v/>
      </c>
      <c r="P234" s="296" t="str">
        <f t="shared" si="19"/>
        <v/>
      </c>
      <c r="Q234" s="334" t="str">
        <f>IFERROR(IF(P234="Check Data ⚠","Check Data ⚠",VLOOKUP(P234,'G-4 Temporal multipliers'!$A$4:$C$37,3,FALSE)),"")</f>
        <v/>
      </c>
      <c r="R234" s="275" t="str">
        <f>IF(C234="","",VLOOKUP(C234,'G-7 WaterC'' Data'!$B$4:$G$8,4,FALSE))</f>
        <v/>
      </c>
      <c r="S234" s="283" t="str">
        <f t="shared" si="20"/>
        <v/>
      </c>
      <c r="T234" s="314" t="str">
        <f t="shared" si="21"/>
        <v/>
      </c>
      <c r="U234" s="276" t="str">
        <f>IF(C234="","",VLOOKUP(T234,'G-3 Multipliers'!$P$2:$Q$6,2,FALSE))</f>
        <v/>
      </c>
      <c r="V234" s="102"/>
      <c r="W234" s="276" t="str">
        <f>IF(V234="","",IF(AND(V234="N/A - Culvert",C234&lt;&gt;"Culvert"),"Not possible ▲",IF(AND(C234="Culvert",V234&lt;&gt;"N/A - Culvert"),"Not possible ▲",IF(VLOOKUP(V234,'G-7 WaterC'' Data'!$AA$4:$AB$7,2,FALSE)=0,"Spatial Data Missing ⚠",VLOOKUP(V234,'G-7 WaterC'' Data'!$AA$4:$AB$7,2,FALSE)))))</f>
        <v/>
      </c>
      <c r="X234" s="56"/>
      <c r="Y234" s="276" t="str">
        <f>IF(X234="","",IF(AND(X234="N/A - Culvert",C234&lt;&gt;"Culvert"),"Not possible ▲",IF(AND(C234="Culvert",X234&lt;&gt;"N/A - Culvert"),"Not possible ▲",IF(VLOOKUP(X234,'G-7 WaterC'' Data'!$AD$4:$AE$14,2,FALSE)=0,"Enrcoachment Data Missing ⚠",VLOOKUP(X234,'G-7 WaterC'' Data'!$AD$4:$AE$14,2,FALSE)))))</f>
        <v/>
      </c>
      <c r="Z234" s="317" t="str">
        <f t="shared" si="22"/>
        <v/>
      </c>
      <c r="AA234" s="101"/>
      <c r="AB234" s="115"/>
      <c r="AC234" s="104"/>
      <c r="AH234" s="30" t="str">
        <f>IFERROR(INDEX('G-7 WaterC'' Data'!$AZ$3:$AZ$7,MATCH(C234,'G-7 WaterC'' Data'!$AY$3:$AY$7,0)),"")</f>
        <v/>
      </c>
      <c r="AK234" s="30" t="str">
        <f t="shared" si="23"/>
        <v>No</v>
      </c>
    </row>
    <row r="235" spans="2:37" ht="14">
      <c r="B235" s="97">
        <v>224</v>
      </c>
      <c r="C235" s="920"/>
      <c r="D235" s="115"/>
      <c r="E235" s="275" t="str">
        <f>IF(C235="","",VLOOKUP(C235,'G-7 WaterC'' Data'!$B$2:$G$8,2,FALSE))</f>
        <v/>
      </c>
      <c r="F235" s="276" t="str">
        <f>IFERROR(VLOOKUP(E235,'G-7 WaterC'' Data'!$C$4:$D$8,2,FALSE),"")</f>
        <v/>
      </c>
      <c r="G235" s="101"/>
      <c r="H235" s="276" t="str">
        <f>IFERROR(INDEX('G-7 WaterC'' Data'!$H$4:$L$8,MATCH(C235,'G-7 WaterC'' Data'!$B$4:$B$8,0),MATCH(G235,'G-7 WaterC'' Data'!$H$3:$L$3,0)),"")</f>
        <v/>
      </c>
      <c r="I235" s="52"/>
      <c r="J235" s="283" t="str">
        <f>IF(I235="","",IF(VLOOKUP(I235,'G-7 WaterC'' Data'!$AK$4:$AM$6,2,FALSE)=0,"Spatial Data Missing ⚠",VLOOKUP(I235,'G-7 WaterC'' Data'!$AK$4:$AM$6,2,FALSE)))</f>
        <v/>
      </c>
      <c r="K235" s="276" t="str">
        <f>IF(I235="","",IF(VLOOKUP(I235,'G-7 WaterC'' Data'!$AK$4:$AM$6,3,FALSE)=0,"Spatial Data Missing ⚠",VLOOKUP(I235,'G-7 WaterC'' Data'!$AK$4:$AM$6,3,FALSE)))</f>
        <v/>
      </c>
      <c r="L235" s="275" t="str">
        <f>IFERROR(INDEX('G-7 WaterC'' Data'!$O$3:$O$7,MATCH(G235,'G-7 WaterC'' Data'!$N$3:$N$7,0)),"")</f>
        <v/>
      </c>
      <c r="M235" s="58"/>
      <c r="N235" s="133"/>
      <c r="O235" s="283" t="str">
        <f t="shared" si="18"/>
        <v/>
      </c>
      <c r="P235" s="296" t="str">
        <f t="shared" si="19"/>
        <v/>
      </c>
      <c r="Q235" s="334" t="str">
        <f>IFERROR(IF(P235="Check Data ⚠","Check Data ⚠",VLOOKUP(P235,'G-4 Temporal multipliers'!$A$4:$C$37,3,FALSE)),"")</f>
        <v/>
      </c>
      <c r="R235" s="275" t="str">
        <f>IF(C235="","",VLOOKUP(C235,'G-7 WaterC'' Data'!$B$4:$G$8,4,FALSE))</f>
        <v/>
      </c>
      <c r="S235" s="283" t="str">
        <f t="shared" si="20"/>
        <v/>
      </c>
      <c r="T235" s="314" t="str">
        <f t="shared" si="21"/>
        <v/>
      </c>
      <c r="U235" s="276" t="str">
        <f>IF(C235="","",VLOOKUP(T235,'G-3 Multipliers'!$P$2:$Q$6,2,FALSE))</f>
        <v/>
      </c>
      <c r="V235" s="102"/>
      <c r="W235" s="276" t="str">
        <f>IF(V235="","",IF(AND(V235="N/A - Culvert",C235&lt;&gt;"Culvert"),"Not possible ▲",IF(AND(C235="Culvert",V235&lt;&gt;"N/A - Culvert"),"Not possible ▲",IF(VLOOKUP(V235,'G-7 WaterC'' Data'!$AA$4:$AB$7,2,FALSE)=0,"Spatial Data Missing ⚠",VLOOKUP(V235,'G-7 WaterC'' Data'!$AA$4:$AB$7,2,FALSE)))))</f>
        <v/>
      </c>
      <c r="X235" s="56"/>
      <c r="Y235" s="276" t="str">
        <f>IF(X235="","",IF(AND(X235="N/A - Culvert",C235&lt;&gt;"Culvert"),"Not possible ▲",IF(AND(C235="Culvert",X235&lt;&gt;"N/A - Culvert"),"Not possible ▲",IF(VLOOKUP(X235,'G-7 WaterC'' Data'!$AD$4:$AE$14,2,FALSE)=0,"Enrcoachment Data Missing ⚠",VLOOKUP(X235,'G-7 WaterC'' Data'!$AD$4:$AE$14,2,FALSE)))))</f>
        <v/>
      </c>
      <c r="Z235" s="317" t="str">
        <f t="shared" si="22"/>
        <v/>
      </c>
      <c r="AA235" s="101"/>
      <c r="AB235" s="115"/>
      <c r="AC235" s="104"/>
      <c r="AH235" s="30" t="str">
        <f>IFERROR(INDEX('G-7 WaterC'' Data'!$AZ$3:$AZ$7,MATCH(C235,'G-7 WaterC'' Data'!$AY$3:$AY$7,0)),"")</f>
        <v/>
      </c>
      <c r="AK235" s="30" t="str">
        <f t="shared" si="23"/>
        <v>No</v>
      </c>
    </row>
    <row r="236" spans="2:37" ht="14">
      <c r="B236" s="97">
        <v>225</v>
      </c>
      <c r="C236" s="920"/>
      <c r="D236" s="115"/>
      <c r="E236" s="275" t="str">
        <f>IF(C236="","",VLOOKUP(C236,'G-7 WaterC'' Data'!$B$2:$G$8,2,FALSE))</f>
        <v/>
      </c>
      <c r="F236" s="276" t="str">
        <f>IFERROR(VLOOKUP(E236,'G-7 WaterC'' Data'!$C$4:$D$8,2,FALSE),"")</f>
        <v/>
      </c>
      <c r="G236" s="101"/>
      <c r="H236" s="276" t="str">
        <f>IFERROR(INDEX('G-7 WaterC'' Data'!$H$4:$L$8,MATCH(C236,'G-7 WaterC'' Data'!$B$4:$B$8,0),MATCH(G236,'G-7 WaterC'' Data'!$H$3:$L$3,0)),"")</f>
        <v/>
      </c>
      <c r="I236" s="52"/>
      <c r="J236" s="283" t="str">
        <f>IF(I236="","",IF(VLOOKUP(I236,'G-7 WaterC'' Data'!$AK$4:$AM$6,2,FALSE)=0,"Spatial Data Missing ⚠",VLOOKUP(I236,'G-7 WaterC'' Data'!$AK$4:$AM$6,2,FALSE)))</f>
        <v/>
      </c>
      <c r="K236" s="276" t="str">
        <f>IF(I236="","",IF(VLOOKUP(I236,'G-7 WaterC'' Data'!$AK$4:$AM$6,3,FALSE)=0,"Spatial Data Missing ⚠",VLOOKUP(I236,'G-7 WaterC'' Data'!$AK$4:$AM$6,3,FALSE)))</f>
        <v/>
      </c>
      <c r="L236" s="275" t="str">
        <f>IFERROR(INDEX('G-7 WaterC'' Data'!$O$3:$O$7,MATCH(G236,'G-7 WaterC'' Data'!$N$3:$N$7,0)),"")</f>
        <v/>
      </c>
      <c r="M236" s="58"/>
      <c r="N236" s="133"/>
      <c r="O236" s="283" t="str">
        <f t="shared" si="18"/>
        <v/>
      </c>
      <c r="P236" s="296" t="str">
        <f t="shared" si="19"/>
        <v/>
      </c>
      <c r="Q236" s="334" t="str">
        <f>IFERROR(IF(P236="Check Data ⚠","Check Data ⚠",VLOOKUP(P236,'G-4 Temporal multipliers'!$A$4:$C$37,3,FALSE)),"")</f>
        <v/>
      </c>
      <c r="R236" s="275" t="str">
        <f>IF(C236="","",VLOOKUP(C236,'G-7 WaterC'' Data'!$B$4:$G$8,4,FALSE))</f>
        <v/>
      </c>
      <c r="S236" s="283" t="str">
        <f t="shared" si="20"/>
        <v/>
      </c>
      <c r="T236" s="314" t="str">
        <f t="shared" si="21"/>
        <v/>
      </c>
      <c r="U236" s="276" t="str">
        <f>IF(C236="","",VLOOKUP(T236,'G-3 Multipliers'!$P$2:$Q$6,2,FALSE))</f>
        <v/>
      </c>
      <c r="V236" s="102"/>
      <c r="W236" s="276" t="str">
        <f>IF(V236="","",IF(AND(V236="N/A - Culvert",C236&lt;&gt;"Culvert"),"Not possible ▲",IF(AND(C236="Culvert",V236&lt;&gt;"N/A - Culvert"),"Not possible ▲",IF(VLOOKUP(V236,'G-7 WaterC'' Data'!$AA$4:$AB$7,2,FALSE)=0,"Spatial Data Missing ⚠",VLOOKUP(V236,'G-7 WaterC'' Data'!$AA$4:$AB$7,2,FALSE)))))</f>
        <v/>
      </c>
      <c r="X236" s="56"/>
      <c r="Y236" s="276" t="str">
        <f>IF(X236="","",IF(AND(X236="N/A - Culvert",C236&lt;&gt;"Culvert"),"Not possible ▲",IF(AND(C236="Culvert",X236&lt;&gt;"N/A - Culvert"),"Not possible ▲",IF(VLOOKUP(X236,'G-7 WaterC'' Data'!$AD$4:$AE$14,2,FALSE)=0,"Enrcoachment Data Missing ⚠",VLOOKUP(X236,'G-7 WaterC'' Data'!$AD$4:$AE$14,2,FALSE)))))</f>
        <v/>
      </c>
      <c r="Z236" s="317" t="str">
        <f t="shared" si="22"/>
        <v/>
      </c>
      <c r="AA236" s="101"/>
      <c r="AB236" s="115"/>
      <c r="AC236" s="104"/>
      <c r="AH236" s="30" t="str">
        <f>IFERROR(INDEX('G-7 WaterC'' Data'!$AZ$3:$AZ$7,MATCH(C236,'G-7 WaterC'' Data'!$AY$3:$AY$7,0)),"")</f>
        <v/>
      </c>
      <c r="AK236" s="30" t="str">
        <f t="shared" si="23"/>
        <v>No</v>
      </c>
    </row>
    <row r="237" spans="2:37" ht="14">
      <c r="B237" s="97">
        <v>226</v>
      </c>
      <c r="C237" s="920"/>
      <c r="D237" s="115"/>
      <c r="E237" s="275" t="str">
        <f>IF(C237="","",VLOOKUP(C237,'G-7 WaterC'' Data'!$B$2:$G$8,2,FALSE))</f>
        <v/>
      </c>
      <c r="F237" s="276" t="str">
        <f>IFERROR(VLOOKUP(E237,'G-7 WaterC'' Data'!$C$4:$D$8,2,FALSE),"")</f>
        <v/>
      </c>
      <c r="G237" s="101"/>
      <c r="H237" s="276" t="str">
        <f>IFERROR(INDEX('G-7 WaterC'' Data'!$H$4:$L$8,MATCH(C237,'G-7 WaterC'' Data'!$B$4:$B$8,0),MATCH(G237,'G-7 WaterC'' Data'!$H$3:$L$3,0)),"")</f>
        <v/>
      </c>
      <c r="I237" s="52"/>
      <c r="J237" s="283" t="str">
        <f>IF(I237="","",IF(VLOOKUP(I237,'G-7 WaterC'' Data'!$AK$4:$AM$6,2,FALSE)=0,"Spatial Data Missing ⚠",VLOOKUP(I237,'G-7 WaterC'' Data'!$AK$4:$AM$6,2,FALSE)))</f>
        <v/>
      </c>
      <c r="K237" s="276" t="str">
        <f>IF(I237="","",IF(VLOOKUP(I237,'G-7 WaterC'' Data'!$AK$4:$AM$6,3,FALSE)=0,"Spatial Data Missing ⚠",VLOOKUP(I237,'G-7 WaterC'' Data'!$AK$4:$AM$6,3,FALSE)))</f>
        <v/>
      </c>
      <c r="L237" s="275" t="str">
        <f>IFERROR(INDEX('G-7 WaterC'' Data'!$O$3:$O$7,MATCH(G237,'G-7 WaterC'' Data'!$N$3:$N$7,0)),"")</f>
        <v/>
      </c>
      <c r="M237" s="58"/>
      <c r="N237" s="133"/>
      <c r="O237" s="283" t="str">
        <f t="shared" si="18"/>
        <v/>
      </c>
      <c r="P237" s="296" t="str">
        <f t="shared" si="19"/>
        <v/>
      </c>
      <c r="Q237" s="334" t="str">
        <f>IFERROR(IF(P237="Check Data ⚠","Check Data ⚠",VLOOKUP(P237,'G-4 Temporal multipliers'!$A$4:$C$37,3,FALSE)),"")</f>
        <v/>
      </c>
      <c r="R237" s="275" t="str">
        <f>IF(C237="","",VLOOKUP(C237,'G-7 WaterC'' Data'!$B$4:$G$8,4,FALSE))</f>
        <v/>
      </c>
      <c r="S237" s="283" t="str">
        <f t="shared" si="20"/>
        <v/>
      </c>
      <c r="T237" s="314" t="str">
        <f t="shared" si="21"/>
        <v/>
      </c>
      <c r="U237" s="276" t="str">
        <f>IF(C237="","",VLOOKUP(T237,'G-3 Multipliers'!$P$2:$Q$6,2,FALSE))</f>
        <v/>
      </c>
      <c r="V237" s="102"/>
      <c r="W237" s="276" t="str">
        <f>IF(V237="","",IF(AND(V237="N/A - Culvert",C237&lt;&gt;"Culvert"),"Not possible ▲",IF(AND(C237="Culvert",V237&lt;&gt;"N/A - Culvert"),"Not possible ▲",IF(VLOOKUP(V237,'G-7 WaterC'' Data'!$AA$4:$AB$7,2,FALSE)=0,"Spatial Data Missing ⚠",VLOOKUP(V237,'G-7 WaterC'' Data'!$AA$4:$AB$7,2,FALSE)))))</f>
        <v/>
      </c>
      <c r="X237" s="56"/>
      <c r="Y237" s="276" t="str">
        <f>IF(X237="","",IF(AND(X237="N/A - Culvert",C237&lt;&gt;"Culvert"),"Not possible ▲",IF(AND(C237="Culvert",X237&lt;&gt;"N/A - Culvert"),"Not possible ▲",IF(VLOOKUP(X237,'G-7 WaterC'' Data'!$AD$4:$AE$14,2,FALSE)=0,"Enrcoachment Data Missing ⚠",VLOOKUP(X237,'G-7 WaterC'' Data'!$AD$4:$AE$14,2,FALSE)))))</f>
        <v/>
      </c>
      <c r="Z237" s="317" t="str">
        <f t="shared" si="22"/>
        <v/>
      </c>
      <c r="AA237" s="101"/>
      <c r="AB237" s="115"/>
      <c r="AC237" s="104"/>
      <c r="AH237" s="30" t="str">
        <f>IFERROR(INDEX('G-7 WaterC'' Data'!$AZ$3:$AZ$7,MATCH(C237,'G-7 WaterC'' Data'!$AY$3:$AY$7,0)),"")</f>
        <v/>
      </c>
      <c r="AK237" s="30" t="str">
        <f t="shared" si="23"/>
        <v>No</v>
      </c>
    </row>
    <row r="238" spans="2:37" ht="14">
      <c r="B238" s="97">
        <v>227</v>
      </c>
      <c r="C238" s="920"/>
      <c r="D238" s="115"/>
      <c r="E238" s="275" t="str">
        <f>IF(C238="","",VLOOKUP(C238,'G-7 WaterC'' Data'!$B$2:$G$8,2,FALSE))</f>
        <v/>
      </c>
      <c r="F238" s="276" t="str">
        <f>IFERROR(VLOOKUP(E238,'G-7 WaterC'' Data'!$C$4:$D$8,2,FALSE),"")</f>
        <v/>
      </c>
      <c r="G238" s="101"/>
      <c r="H238" s="276" t="str">
        <f>IFERROR(INDEX('G-7 WaterC'' Data'!$H$4:$L$8,MATCH(C238,'G-7 WaterC'' Data'!$B$4:$B$8,0),MATCH(G238,'G-7 WaterC'' Data'!$H$3:$L$3,0)),"")</f>
        <v/>
      </c>
      <c r="I238" s="52"/>
      <c r="J238" s="283" t="str">
        <f>IF(I238="","",IF(VLOOKUP(I238,'G-7 WaterC'' Data'!$AK$4:$AM$6,2,FALSE)=0,"Spatial Data Missing ⚠",VLOOKUP(I238,'G-7 WaterC'' Data'!$AK$4:$AM$6,2,FALSE)))</f>
        <v/>
      </c>
      <c r="K238" s="276" t="str">
        <f>IF(I238="","",IF(VLOOKUP(I238,'G-7 WaterC'' Data'!$AK$4:$AM$6,3,FALSE)=0,"Spatial Data Missing ⚠",VLOOKUP(I238,'G-7 WaterC'' Data'!$AK$4:$AM$6,3,FALSE)))</f>
        <v/>
      </c>
      <c r="L238" s="275" t="str">
        <f>IFERROR(INDEX('G-7 WaterC'' Data'!$O$3:$O$7,MATCH(G238,'G-7 WaterC'' Data'!$N$3:$N$7,0)),"")</f>
        <v/>
      </c>
      <c r="M238" s="58"/>
      <c r="N238" s="133"/>
      <c r="O238" s="283" t="str">
        <f t="shared" si="18"/>
        <v/>
      </c>
      <c r="P238" s="296" t="str">
        <f t="shared" si="19"/>
        <v/>
      </c>
      <c r="Q238" s="334" t="str">
        <f>IFERROR(IF(P238="Check Data ⚠","Check Data ⚠",VLOOKUP(P238,'G-4 Temporal multipliers'!$A$4:$C$37,3,FALSE)),"")</f>
        <v/>
      </c>
      <c r="R238" s="275" t="str">
        <f>IF(C238="","",VLOOKUP(C238,'G-7 WaterC'' Data'!$B$4:$G$8,4,FALSE))</f>
        <v/>
      </c>
      <c r="S238" s="283" t="str">
        <f t="shared" si="20"/>
        <v/>
      </c>
      <c r="T238" s="314" t="str">
        <f t="shared" si="21"/>
        <v/>
      </c>
      <c r="U238" s="276" t="str">
        <f>IF(C238="","",VLOOKUP(T238,'G-3 Multipliers'!$P$2:$Q$6,2,FALSE))</f>
        <v/>
      </c>
      <c r="V238" s="102"/>
      <c r="W238" s="276" t="str">
        <f>IF(V238="","",IF(AND(V238="N/A - Culvert",C238&lt;&gt;"Culvert"),"Not possible ▲",IF(AND(C238="Culvert",V238&lt;&gt;"N/A - Culvert"),"Not possible ▲",IF(VLOOKUP(V238,'G-7 WaterC'' Data'!$AA$4:$AB$7,2,FALSE)=0,"Spatial Data Missing ⚠",VLOOKUP(V238,'G-7 WaterC'' Data'!$AA$4:$AB$7,2,FALSE)))))</f>
        <v/>
      </c>
      <c r="X238" s="56"/>
      <c r="Y238" s="276" t="str">
        <f>IF(X238="","",IF(AND(X238="N/A - Culvert",C238&lt;&gt;"Culvert"),"Not possible ▲",IF(AND(C238="Culvert",X238&lt;&gt;"N/A - Culvert"),"Not possible ▲",IF(VLOOKUP(X238,'G-7 WaterC'' Data'!$AD$4:$AE$14,2,FALSE)=0,"Enrcoachment Data Missing ⚠",VLOOKUP(X238,'G-7 WaterC'' Data'!$AD$4:$AE$14,2,FALSE)))))</f>
        <v/>
      </c>
      <c r="Z238" s="317" t="str">
        <f t="shared" si="22"/>
        <v/>
      </c>
      <c r="AA238" s="101"/>
      <c r="AB238" s="115"/>
      <c r="AC238" s="104"/>
      <c r="AH238" s="30" t="str">
        <f>IFERROR(INDEX('G-7 WaterC'' Data'!$AZ$3:$AZ$7,MATCH(C238,'G-7 WaterC'' Data'!$AY$3:$AY$7,0)),"")</f>
        <v/>
      </c>
      <c r="AK238" s="30" t="str">
        <f t="shared" si="23"/>
        <v>No</v>
      </c>
    </row>
    <row r="239" spans="2:37" ht="14">
      <c r="B239" s="97">
        <v>228</v>
      </c>
      <c r="C239" s="920"/>
      <c r="D239" s="115"/>
      <c r="E239" s="275" t="str">
        <f>IF(C239="","",VLOOKUP(C239,'G-7 WaterC'' Data'!$B$2:$G$8,2,FALSE))</f>
        <v/>
      </c>
      <c r="F239" s="276" t="str">
        <f>IFERROR(VLOOKUP(E239,'G-7 WaterC'' Data'!$C$4:$D$8,2,FALSE),"")</f>
        <v/>
      </c>
      <c r="G239" s="101"/>
      <c r="H239" s="276" t="str">
        <f>IFERROR(INDEX('G-7 WaterC'' Data'!$H$4:$L$8,MATCH(C239,'G-7 WaterC'' Data'!$B$4:$B$8,0),MATCH(G239,'G-7 WaterC'' Data'!$H$3:$L$3,0)),"")</f>
        <v/>
      </c>
      <c r="I239" s="52"/>
      <c r="J239" s="283" t="str">
        <f>IF(I239="","",IF(VLOOKUP(I239,'G-7 WaterC'' Data'!$AK$4:$AM$6,2,FALSE)=0,"Spatial Data Missing ⚠",VLOOKUP(I239,'G-7 WaterC'' Data'!$AK$4:$AM$6,2,FALSE)))</f>
        <v/>
      </c>
      <c r="K239" s="276" t="str">
        <f>IF(I239="","",IF(VLOOKUP(I239,'G-7 WaterC'' Data'!$AK$4:$AM$6,3,FALSE)=0,"Spatial Data Missing ⚠",VLOOKUP(I239,'G-7 WaterC'' Data'!$AK$4:$AM$6,3,FALSE)))</f>
        <v/>
      </c>
      <c r="L239" s="275" t="str">
        <f>IFERROR(INDEX('G-7 WaterC'' Data'!$O$3:$O$7,MATCH(G239,'G-7 WaterC'' Data'!$N$3:$N$7,0)),"")</f>
        <v/>
      </c>
      <c r="M239" s="58"/>
      <c r="N239" s="133"/>
      <c r="O239" s="283" t="str">
        <f t="shared" si="18"/>
        <v/>
      </c>
      <c r="P239" s="296" t="str">
        <f t="shared" si="19"/>
        <v/>
      </c>
      <c r="Q239" s="334" t="str">
        <f>IFERROR(IF(P239="Check Data ⚠","Check Data ⚠",VLOOKUP(P239,'G-4 Temporal multipliers'!$A$4:$C$37,3,FALSE)),"")</f>
        <v/>
      </c>
      <c r="R239" s="275" t="str">
        <f>IF(C239="","",VLOOKUP(C239,'G-7 WaterC'' Data'!$B$4:$G$8,4,FALSE))</f>
        <v/>
      </c>
      <c r="S239" s="283" t="str">
        <f t="shared" si="20"/>
        <v/>
      </c>
      <c r="T239" s="314" t="str">
        <f t="shared" si="21"/>
        <v/>
      </c>
      <c r="U239" s="276" t="str">
        <f>IF(C239="","",VLOOKUP(T239,'G-3 Multipliers'!$P$2:$Q$6,2,FALSE))</f>
        <v/>
      </c>
      <c r="V239" s="102"/>
      <c r="W239" s="276" t="str">
        <f>IF(V239="","",IF(AND(V239="N/A - Culvert",C239&lt;&gt;"Culvert"),"Not possible ▲",IF(AND(C239="Culvert",V239&lt;&gt;"N/A - Culvert"),"Not possible ▲",IF(VLOOKUP(V239,'G-7 WaterC'' Data'!$AA$4:$AB$7,2,FALSE)=0,"Spatial Data Missing ⚠",VLOOKUP(V239,'G-7 WaterC'' Data'!$AA$4:$AB$7,2,FALSE)))))</f>
        <v/>
      </c>
      <c r="X239" s="56"/>
      <c r="Y239" s="276" t="str">
        <f>IF(X239="","",IF(AND(X239="N/A - Culvert",C239&lt;&gt;"Culvert"),"Not possible ▲",IF(AND(C239="Culvert",X239&lt;&gt;"N/A - Culvert"),"Not possible ▲",IF(VLOOKUP(X239,'G-7 WaterC'' Data'!$AD$4:$AE$14,2,FALSE)=0,"Enrcoachment Data Missing ⚠",VLOOKUP(X239,'G-7 WaterC'' Data'!$AD$4:$AE$14,2,FALSE)))))</f>
        <v/>
      </c>
      <c r="Z239" s="317" t="str">
        <f t="shared" si="22"/>
        <v/>
      </c>
      <c r="AA239" s="101"/>
      <c r="AB239" s="115"/>
      <c r="AC239" s="104"/>
      <c r="AH239" s="30" t="str">
        <f>IFERROR(INDEX('G-7 WaterC'' Data'!$AZ$3:$AZ$7,MATCH(C239,'G-7 WaterC'' Data'!$AY$3:$AY$7,0)),"")</f>
        <v/>
      </c>
      <c r="AK239" s="30" t="str">
        <f t="shared" si="23"/>
        <v>No</v>
      </c>
    </row>
    <row r="240" spans="2:37" ht="14">
      <c r="B240" s="97">
        <v>229</v>
      </c>
      <c r="C240" s="920"/>
      <c r="D240" s="115"/>
      <c r="E240" s="275" t="str">
        <f>IF(C240="","",VLOOKUP(C240,'G-7 WaterC'' Data'!$B$2:$G$8,2,FALSE))</f>
        <v/>
      </c>
      <c r="F240" s="276" t="str">
        <f>IFERROR(VLOOKUP(E240,'G-7 WaterC'' Data'!$C$4:$D$8,2,FALSE),"")</f>
        <v/>
      </c>
      <c r="G240" s="101"/>
      <c r="H240" s="276" t="str">
        <f>IFERROR(INDEX('G-7 WaterC'' Data'!$H$4:$L$8,MATCH(C240,'G-7 WaterC'' Data'!$B$4:$B$8,0),MATCH(G240,'G-7 WaterC'' Data'!$H$3:$L$3,0)),"")</f>
        <v/>
      </c>
      <c r="I240" s="52"/>
      <c r="J240" s="283" t="str">
        <f>IF(I240="","",IF(VLOOKUP(I240,'G-7 WaterC'' Data'!$AK$4:$AM$6,2,FALSE)=0,"Spatial Data Missing ⚠",VLOOKUP(I240,'G-7 WaterC'' Data'!$AK$4:$AM$6,2,FALSE)))</f>
        <v/>
      </c>
      <c r="K240" s="276" t="str">
        <f>IF(I240="","",IF(VLOOKUP(I240,'G-7 WaterC'' Data'!$AK$4:$AM$6,3,FALSE)=0,"Spatial Data Missing ⚠",VLOOKUP(I240,'G-7 WaterC'' Data'!$AK$4:$AM$6,3,FALSE)))</f>
        <v/>
      </c>
      <c r="L240" s="275" t="str">
        <f>IFERROR(INDEX('G-7 WaterC'' Data'!$O$3:$O$7,MATCH(G240,'G-7 WaterC'' Data'!$N$3:$N$7,0)),"")</f>
        <v/>
      </c>
      <c r="M240" s="58"/>
      <c r="N240" s="133"/>
      <c r="O240" s="283" t="str">
        <f t="shared" si="18"/>
        <v/>
      </c>
      <c r="P240" s="296" t="str">
        <f t="shared" si="19"/>
        <v/>
      </c>
      <c r="Q240" s="334" t="str">
        <f>IFERROR(IF(P240="Check Data ⚠","Check Data ⚠",VLOOKUP(P240,'G-4 Temporal multipliers'!$A$4:$C$37,3,FALSE)),"")</f>
        <v/>
      </c>
      <c r="R240" s="275" t="str">
        <f>IF(C240="","",VLOOKUP(C240,'G-7 WaterC'' Data'!$B$4:$G$8,4,FALSE))</f>
        <v/>
      </c>
      <c r="S240" s="283" t="str">
        <f t="shared" si="20"/>
        <v/>
      </c>
      <c r="T240" s="314" t="str">
        <f t="shared" si="21"/>
        <v/>
      </c>
      <c r="U240" s="276" t="str">
        <f>IF(C240="","",VLOOKUP(T240,'G-3 Multipliers'!$P$2:$Q$6,2,FALSE))</f>
        <v/>
      </c>
      <c r="V240" s="102"/>
      <c r="W240" s="276" t="str">
        <f>IF(V240="","",IF(AND(V240="N/A - Culvert",C240&lt;&gt;"Culvert"),"Not possible ▲",IF(AND(C240="Culvert",V240&lt;&gt;"N/A - Culvert"),"Not possible ▲",IF(VLOOKUP(V240,'G-7 WaterC'' Data'!$AA$4:$AB$7,2,FALSE)=0,"Spatial Data Missing ⚠",VLOOKUP(V240,'G-7 WaterC'' Data'!$AA$4:$AB$7,2,FALSE)))))</f>
        <v/>
      </c>
      <c r="X240" s="56"/>
      <c r="Y240" s="276" t="str">
        <f>IF(X240="","",IF(AND(X240="N/A - Culvert",C240&lt;&gt;"Culvert"),"Not possible ▲",IF(AND(C240="Culvert",X240&lt;&gt;"N/A - Culvert"),"Not possible ▲",IF(VLOOKUP(X240,'G-7 WaterC'' Data'!$AD$4:$AE$14,2,FALSE)=0,"Enrcoachment Data Missing ⚠",VLOOKUP(X240,'G-7 WaterC'' Data'!$AD$4:$AE$14,2,FALSE)))))</f>
        <v/>
      </c>
      <c r="Z240" s="317" t="str">
        <f t="shared" si="22"/>
        <v/>
      </c>
      <c r="AA240" s="101"/>
      <c r="AB240" s="115"/>
      <c r="AC240" s="104"/>
      <c r="AH240" s="30" t="str">
        <f>IFERROR(INDEX('G-7 WaterC'' Data'!$AZ$3:$AZ$7,MATCH(C240,'G-7 WaterC'' Data'!$AY$3:$AY$7,0)),"")</f>
        <v/>
      </c>
      <c r="AK240" s="30" t="str">
        <f t="shared" si="23"/>
        <v>No</v>
      </c>
    </row>
    <row r="241" spans="2:37" ht="14">
      <c r="B241" s="97">
        <v>230</v>
      </c>
      <c r="C241" s="920"/>
      <c r="D241" s="115"/>
      <c r="E241" s="275" t="str">
        <f>IF(C241="","",VLOOKUP(C241,'G-7 WaterC'' Data'!$B$2:$G$8,2,FALSE))</f>
        <v/>
      </c>
      <c r="F241" s="276" t="str">
        <f>IFERROR(VLOOKUP(E241,'G-7 WaterC'' Data'!$C$4:$D$8,2,FALSE),"")</f>
        <v/>
      </c>
      <c r="G241" s="101"/>
      <c r="H241" s="276" t="str">
        <f>IFERROR(INDEX('G-7 WaterC'' Data'!$H$4:$L$8,MATCH(C241,'G-7 WaterC'' Data'!$B$4:$B$8,0),MATCH(G241,'G-7 WaterC'' Data'!$H$3:$L$3,0)),"")</f>
        <v/>
      </c>
      <c r="I241" s="52"/>
      <c r="J241" s="283" t="str">
        <f>IF(I241="","",IF(VLOOKUP(I241,'G-7 WaterC'' Data'!$AK$4:$AM$6,2,FALSE)=0,"Spatial Data Missing ⚠",VLOOKUP(I241,'G-7 WaterC'' Data'!$AK$4:$AM$6,2,FALSE)))</f>
        <v/>
      </c>
      <c r="K241" s="276" t="str">
        <f>IF(I241="","",IF(VLOOKUP(I241,'G-7 WaterC'' Data'!$AK$4:$AM$6,3,FALSE)=0,"Spatial Data Missing ⚠",VLOOKUP(I241,'G-7 WaterC'' Data'!$AK$4:$AM$6,3,FALSE)))</f>
        <v/>
      </c>
      <c r="L241" s="275" t="str">
        <f>IFERROR(INDEX('G-7 WaterC'' Data'!$O$3:$O$7,MATCH(G241,'G-7 WaterC'' Data'!$N$3:$N$7,0)),"")</f>
        <v/>
      </c>
      <c r="M241" s="58"/>
      <c r="N241" s="133"/>
      <c r="O241" s="283" t="str">
        <f t="shared" si="18"/>
        <v/>
      </c>
      <c r="P241" s="296" t="str">
        <f t="shared" si="19"/>
        <v/>
      </c>
      <c r="Q241" s="334" t="str">
        <f>IFERROR(IF(P241="Check Data ⚠","Check Data ⚠",VLOOKUP(P241,'G-4 Temporal multipliers'!$A$4:$C$37,3,FALSE)),"")</f>
        <v/>
      </c>
      <c r="R241" s="275" t="str">
        <f>IF(C241="","",VLOOKUP(C241,'G-7 WaterC'' Data'!$B$4:$G$8,4,FALSE))</f>
        <v/>
      </c>
      <c r="S241" s="283" t="str">
        <f t="shared" si="20"/>
        <v/>
      </c>
      <c r="T241" s="314" t="str">
        <f t="shared" si="21"/>
        <v/>
      </c>
      <c r="U241" s="276" t="str">
        <f>IF(C241="","",VLOOKUP(T241,'G-3 Multipliers'!$P$2:$Q$6,2,FALSE))</f>
        <v/>
      </c>
      <c r="V241" s="102"/>
      <c r="W241" s="276" t="str">
        <f>IF(V241="","",IF(AND(V241="N/A - Culvert",C241&lt;&gt;"Culvert"),"Not possible ▲",IF(AND(C241="Culvert",V241&lt;&gt;"N/A - Culvert"),"Not possible ▲",IF(VLOOKUP(V241,'G-7 WaterC'' Data'!$AA$4:$AB$7,2,FALSE)=0,"Spatial Data Missing ⚠",VLOOKUP(V241,'G-7 WaterC'' Data'!$AA$4:$AB$7,2,FALSE)))))</f>
        <v/>
      </c>
      <c r="X241" s="56"/>
      <c r="Y241" s="276" t="str">
        <f>IF(X241="","",IF(AND(X241="N/A - Culvert",C241&lt;&gt;"Culvert"),"Not possible ▲",IF(AND(C241="Culvert",X241&lt;&gt;"N/A - Culvert"),"Not possible ▲",IF(VLOOKUP(X241,'G-7 WaterC'' Data'!$AD$4:$AE$14,2,FALSE)=0,"Enrcoachment Data Missing ⚠",VLOOKUP(X241,'G-7 WaterC'' Data'!$AD$4:$AE$14,2,FALSE)))))</f>
        <v/>
      </c>
      <c r="Z241" s="317" t="str">
        <f t="shared" si="22"/>
        <v/>
      </c>
      <c r="AA241" s="101"/>
      <c r="AB241" s="115"/>
      <c r="AC241" s="104"/>
      <c r="AH241" s="30" t="str">
        <f>IFERROR(INDEX('G-7 WaterC'' Data'!$AZ$3:$AZ$7,MATCH(C241,'G-7 WaterC'' Data'!$AY$3:$AY$7,0)),"")</f>
        <v/>
      </c>
      <c r="AK241" s="30" t="str">
        <f t="shared" si="23"/>
        <v>No</v>
      </c>
    </row>
    <row r="242" spans="2:37" ht="14">
      <c r="B242" s="97">
        <v>231</v>
      </c>
      <c r="C242" s="920"/>
      <c r="D242" s="115"/>
      <c r="E242" s="275" t="str">
        <f>IF(C242="","",VLOOKUP(C242,'G-7 WaterC'' Data'!$B$2:$G$8,2,FALSE))</f>
        <v/>
      </c>
      <c r="F242" s="276" t="str">
        <f>IFERROR(VLOOKUP(E242,'G-7 WaterC'' Data'!$C$4:$D$8,2,FALSE),"")</f>
        <v/>
      </c>
      <c r="G242" s="101"/>
      <c r="H242" s="276" t="str">
        <f>IFERROR(INDEX('G-7 WaterC'' Data'!$H$4:$L$8,MATCH(C242,'G-7 WaterC'' Data'!$B$4:$B$8,0),MATCH(G242,'G-7 WaterC'' Data'!$H$3:$L$3,0)),"")</f>
        <v/>
      </c>
      <c r="I242" s="52"/>
      <c r="J242" s="283" t="str">
        <f>IF(I242="","",IF(VLOOKUP(I242,'G-7 WaterC'' Data'!$AK$4:$AM$6,2,FALSE)=0,"Spatial Data Missing ⚠",VLOOKUP(I242,'G-7 WaterC'' Data'!$AK$4:$AM$6,2,FALSE)))</f>
        <v/>
      </c>
      <c r="K242" s="276" t="str">
        <f>IF(I242="","",IF(VLOOKUP(I242,'G-7 WaterC'' Data'!$AK$4:$AM$6,3,FALSE)=0,"Spatial Data Missing ⚠",VLOOKUP(I242,'G-7 WaterC'' Data'!$AK$4:$AM$6,3,FALSE)))</f>
        <v/>
      </c>
      <c r="L242" s="275" t="str">
        <f>IFERROR(INDEX('G-7 WaterC'' Data'!$O$3:$O$7,MATCH(G242,'G-7 WaterC'' Data'!$N$3:$N$7,0)),"")</f>
        <v/>
      </c>
      <c r="M242" s="58"/>
      <c r="N242" s="133"/>
      <c r="O242" s="283" t="str">
        <f t="shared" si="18"/>
        <v/>
      </c>
      <c r="P242" s="296" t="str">
        <f t="shared" si="19"/>
        <v/>
      </c>
      <c r="Q242" s="334" t="str">
        <f>IFERROR(IF(P242="Check Data ⚠","Check Data ⚠",VLOOKUP(P242,'G-4 Temporal multipliers'!$A$4:$C$37,3,FALSE)),"")</f>
        <v/>
      </c>
      <c r="R242" s="275" t="str">
        <f>IF(C242="","",VLOOKUP(C242,'G-7 WaterC'' Data'!$B$4:$G$8,4,FALSE))</f>
        <v/>
      </c>
      <c r="S242" s="283" t="str">
        <f t="shared" si="20"/>
        <v/>
      </c>
      <c r="T242" s="314" t="str">
        <f t="shared" si="21"/>
        <v/>
      </c>
      <c r="U242" s="276" t="str">
        <f>IF(C242="","",VLOOKUP(T242,'G-3 Multipliers'!$P$2:$Q$6,2,FALSE))</f>
        <v/>
      </c>
      <c r="V242" s="102"/>
      <c r="W242" s="276" t="str">
        <f>IF(V242="","",IF(AND(V242="N/A - Culvert",C242&lt;&gt;"Culvert"),"Not possible ▲",IF(AND(C242="Culvert",V242&lt;&gt;"N/A - Culvert"),"Not possible ▲",IF(VLOOKUP(V242,'G-7 WaterC'' Data'!$AA$4:$AB$7,2,FALSE)=0,"Spatial Data Missing ⚠",VLOOKUP(V242,'G-7 WaterC'' Data'!$AA$4:$AB$7,2,FALSE)))))</f>
        <v/>
      </c>
      <c r="X242" s="56"/>
      <c r="Y242" s="276" t="str">
        <f>IF(X242="","",IF(AND(X242="N/A - Culvert",C242&lt;&gt;"Culvert"),"Not possible ▲",IF(AND(C242="Culvert",X242&lt;&gt;"N/A - Culvert"),"Not possible ▲",IF(VLOOKUP(X242,'G-7 WaterC'' Data'!$AD$4:$AE$14,2,FALSE)=0,"Enrcoachment Data Missing ⚠",VLOOKUP(X242,'G-7 WaterC'' Data'!$AD$4:$AE$14,2,FALSE)))))</f>
        <v/>
      </c>
      <c r="Z242" s="317" t="str">
        <f t="shared" si="22"/>
        <v/>
      </c>
      <c r="AA242" s="101"/>
      <c r="AB242" s="115"/>
      <c r="AC242" s="104"/>
      <c r="AH242" s="30" t="str">
        <f>IFERROR(INDEX('G-7 WaterC'' Data'!$AZ$3:$AZ$7,MATCH(C242,'G-7 WaterC'' Data'!$AY$3:$AY$7,0)),"")</f>
        <v/>
      </c>
      <c r="AK242" s="30" t="str">
        <f t="shared" si="23"/>
        <v>No</v>
      </c>
    </row>
    <row r="243" spans="2:37" ht="14">
      <c r="B243" s="97">
        <v>232</v>
      </c>
      <c r="C243" s="920"/>
      <c r="D243" s="115"/>
      <c r="E243" s="275" t="str">
        <f>IF(C243="","",VLOOKUP(C243,'G-7 WaterC'' Data'!$B$2:$G$8,2,FALSE))</f>
        <v/>
      </c>
      <c r="F243" s="276" t="str">
        <f>IFERROR(VLOOKUP(E243,'G-7 WaterC'' Data'!$C$4:$D$8,2,FALSE),"")</f>
        <v/>
      </c>
      <c r="G243" s="101"/>
      <c r="H243" s="276" t="str">
        <f>IFERROR(INDEX('G-7 WaterC'' Data'!$H$4:$L$8,MATCH(C243,'G-7 WaterC'' Data'!$B$4:$B$8,0),MATCH(G243,'G-7 WaterC'' Data'!$H$3:$L$3,0)),"")</f>
        <v/>
      </c>
      <c r="I243" s="52"/>
      <c r="J243" s="283" t="str">
        <f>IF(I243="","",IF(VLOOKUP(I243,'G-7 WaterC'' Data'!$AK$4:$AM$6,2,FALSE)=0,"Spatial Data Missing ⚠",VLOOKUP(I243,'G-7 WaterC'' Data'!$AK$4:$AM$6,2,FALSE)))</f>
        <v/>
      </c>
      <c r="K243" s="276" t="str">
        <f>IF(I243="","",IF(VLOOKUP(I243,'G-7 WaterC'' Data'!$AK$4:$AM$6,3,FALSE)=0,"Spatial Data Missing ⚠",VLOOKUP(I243,'G-7 WaterC'' Data'!$AK$4:$AM$6,3,FALSE)))</f>
        <v/>
      </c>
      <c r="L243" s="275" t="str">
        <f>IFERROR(INDEX('G-7 WaterC'' Data'!$O$3:$O$7,MATCH(G243,'G-7 WaterC'' Data'!$N$3:$N$7,0)),"")</f>
        <v/>
      </c>
      <c r="M243" s="58"/>
      <c r="N243" s="133"/>
      <c r="O243" s="283" t="str">
        <f t="shared" si="18"/>
        <v/>
      </c>
      <c r="P243" s="296" t="str">
        <f t="shared" si="19"/>
        <v/>
      </c>
      <c r="Q243" s="334" t="str">
        <f>IFERROR(IF(P243="Check Data ⚠","Check Data ⚠",VLOOKUP(P243,'G-4 Temporal multipliers'!$A$4:$C$37,3,FALSE)),"")</f>
        <v/>
      </c>
      <c r="R243" s="275" t="str">
        <f>IF(C243="","",VLOOKUP(C243,'G-7 WaterC'' Data'!$B$4:$G$8,4,FALSE))</f>
        <v/>
      </c>
      <c r="S243" s="283" t="str">
        <f t="shared" si="20"/>
        <v/>
      </c>
      <c r="T243" s="314" t="str">
        <f t="shared" si="21"/>
        <v/>
      </c>
      <c r="U243" s="276" t="str">
        <f>IF(C243="","",VLOOKUP(T243,'G-3 Multipliers'!$P$2:$Q$6,2,FALSE))</f>
        <v/>
      </c>
      <c r="V243" s="102"/>
      <c r="W243" s="276" t="str">
        <f>IF(V243="","",IF(AND(V243="N/A - Culvert",C243&lt;&gt;"Culvert"),"Not possible ▲",IF(AND(C243="Culvert",V243&lt;&gt;"N/A - Culvert"),"Not possible ▲",IF(VLOOKUP(V243,'G-7 WaterC'' Data'!$AA$4:$AB$7,2,FALSE)=0,"Spatial Data Missing ⚠",VLOOKUP(V243,'G-7 WaterC'' Data'!$AA$4:$AB$7,2,FALSE)))))</f>
        <v/>
      </c>
      <c r="X243" s="56"/>
      <c r="Y243" s="276" t="str">
        <f>IF(X243="","",IF(AND(X243="N/A - Culvert",C243&lt;&gt;"Culvert"),"Not possible ▲",IF(AND(C243="Culvert",X243&lt;&gt;"N/A - Culvert"),"Not possible ▲",IF(VLOOKUP(X243,'G-7 WaterC'' Data'!$AD$4:$AE$14,2,FALSE)=0,"Enrcoachment Data Missing ⚠",VLOOKUP(X243,'G-7 WaterC'' Data'!$AD$4:$AE$14,2,FALSE)))))</f>
        <v/>
      </c>
      <c r="Z243" s="317" t="str">
        <f t="shared" si="22"/>
        <v/>
      </c>
      <c r="AA243" s="101"/>
      <c r="AB243" s="115"/>
      <c r="AC243" s="104"/>
      <c r="AH243" s="30" t="str">
        <f>IFERROR(INDEX('G-7 WaterC'' Data'!$AZ$3:$AZ$7,MATCH(C243,'G-7 WaterC'' Data'!$AY$3:$AY$7,0)),"")</f>
        <v/>
      </c>
      <c r="AK243" s="30" t="str">
        <f t="shared" si="23"/>
        <v>No</v>
      </c>
    </row>
    <row r="244" spans="2:37" ht="14">
      <c r="B244" s="97">
        <v>233</v>
      </c>
      <c r="C244" s="920"/>
      <c r="D244" s="115"/>
      <c r="E244" s="275" t="str">
        <f>IF(C244="","",VLOOKUP(C244,'G-7 WaterC'' Data'!$B$2:$G$8,2,FALSE))</f>
        <v/>
      </c>
      <c r="F244" s="276" t="str">
        <f>IFERROR(VLOOKUP(E244,'G-7 WaterC'' Data'!$C$4:$D$8,2,FALSE),"")</f>
        <v/>
      </c>
      <c r="G244" s="101"/>
      <c r="H244" s="276" t="str">
        <f>IFERROR(INDEX('G-7 WaterC'' Data'!$H$4:$L$8,MATCH(C244,'G-7 WaterC'' Data'!$B$4:$B$8,0),MATCH(G244,'G-7 WaterC'' Data'!$H$3:$L$3,0)),"")</f>
        <v/>
      </c>
      <c r="I244" s="52"/>
      <c r="J244" s="283" t="str">
        <f>IF(I244="","",IF(VLOOKUP(I244,'G-7 WaterC'' Data'!$AK$4:$AM$6,2,FALSE)=0,"Spatial Data Missing ⚠",VLOOKUP(I244,'G-7 WaterC'' Data'!$AK$4:$AM$6,2,FALSE)))</f>
        <v/>
      </c>
      <c r="K244" s="276" t="str">
        <f>IF(I244="","",IF(VLOOKUP(I244,'G-7 WaterC'' Data'!$AK$4:$AM$6,3,FALSE)=0,"Spatial Data Missing ⚠",VLOOKUP(I244,'G-7 WaterC'' Data'!$AK$4:$AM$6,3,FALSE)))</f>
        <v/>
      </c>
      <c r="L244" s="275" t="str">
        <f>IFERROR(INDEX('G-7 WaterC'' Data'!$O$3:$O$7,MATCH(G244,'G-7 WaterC'' Data'!$N$3:$N$7,0)),"")</f>
        <v/>
      </c>
      <c r="M244" s="58"/>
      <c r="N244" s="133"/>
      <c r="O244" s="283" t="str">
        <f t="shared" si="18"/>
        <v/>
      </c>
      <c r="P244" s="296" t="str">
        <f t="shared" si="19"/>
        <v/>
      </c>
      <c r="Q244" s="334" t="str">
        <f>IFERROR(IF(P244="Check Data ⚠","Check Data ⚠",VLOOKUP(P244,'G-4 Temporal multipliers'!$A$4:$C$37,3,FALSE)),"")</f>
        <v/>
      </c>
      <c r="R244" s="275" t="str">
        <f>IF(C244="","",VLOOKUP(C244,'G-7 WaterC'' Data'!$B$4:$G$8,4,FALSE))</f>
        <v/>
      </c>
      <c r="S244" s="283" t="str">
        <f t="shared" si="20"/>
        <v/>
      </c>
      <c r="T244" s="314" t="str">
        <f t="shared" si="21"/>
        <v/>
      </c>
      <c r="U244" s="276" t="str">
        <f>IF(C244="","",VLOOKUP(T244,'G-3 Multipliers'!$P$2:$Q$6,2,FALSE))</f>
        <v/>
      </c>
      <c r="V244" s="102"/>
      <c r="W244" s="276" t="str">
        <f>IF(V244="","",IF(AND(V244="N/A - Culvert",C244&lt;&gt;"Culvert"),"Not possible ▲",IF(AND(C244="Culvert",V244&lt;&gt;"N/A - Culvert"),"Not possible ▲",IF(VLOOKUP(V244,'G-7 WaterC'' Data'!$AA$4:$AB$7,2,FALSE)=0,"Spatial Data Missing ⚠",VLOOKUP(V244,'G-7 WaterC'' Data'!$AA$4:$AB$7,2,FALSE)))))</f>
        <v/>
      </c>
      <c r="X244" s="56"/>
      <c r="Y244" s="276" t="str">
        <f>IF(X244="","",IF(AND(X244="N/A - Culvert",C244&lt;&gt;"Culvert"),"Not possible ▲",IF(AND(C244="Culvert",X244&lt;&gt;"N/A - Culvert"),"Not possible ▲",IF(VLOOKUP(X244,'G-7 WaterC'' Data'!$AD$4:$AE$14,2,FALSE)=0,"Enrcoachment Data Missing ⚠",VLOOKUP(X244,'G-7 WaterC'' Data'!$AD$4:$AE$14,2,FALSE)))))</f>
        <v/>
      </c>
      <c r="Z244" s="317" t="str">
        <f t="shared" si="22"/>
        <v/>
      </c>
      <c r="AA244" s="101"/>
      <c r="AB244" s="115"/>
      <c r="AC244" s="104"/>
      <c r="AH244" s="30" t="str">
        <f>IFERROR(INDEX('G-7 WaterC'' Data'!$AZ$3:$AZ$7,MATCH(C244,'G-7 WaterC'' Data'!$AY$3:$AY$7,0)),"")</f>
        <v/>
      </c>
      <c r="AK244" s="30" t="str">
        <f t="shared" si="23"/>
        <v>No</v>
      </c>
    </row>
    <row r="245" spans="2:37" ht="14">
      <c r="B245" s="97">
        <v>234</v>
      </c>
      <c r="C245" s="920"/>
      <c r="D245" s="115"/>
      <c r="E245" s="275" t="str">
        <f>IF(C245="","",VLOOKUP(C245,'G-7 WaterC'' Data'!$B$2:$G$8,2,FALSE))</f>
        <v/>
      </c>
      <c r="F245" s="276" t="str">
        <f>IFERROR(VLOOKUP(E245,'G-7 WaterC'' Data'!$C$4:$D$8,2,FALSE),"")</f>
        <v/>
      </c>
      <c r="G245" s="101"/>
      <c r="H245" s="276" t="str">
        <f>IFERROR(INDEX('G-7 WaterC'' Data'!$H$4:$L$8,MATCH(C245,'G-7 WaterC'' Data'!$B$4:$B$8,0),MATCH(G245,'G-7 WaterC'' Data'!$H$3:$L$3,0)),"")</f>
        <v/>
      </c>
      <c r="I245" s="52"/>
      <c r="J245" s="283" t="str">
        <f>IF(I245="","",IF(VLOOKUP(I245,'G-7 WaterC'' Data'!$AK$4:$AM$6,2,FALSE)=0,"Spatial Data Missing ⚠",VLOOKUP(I245,'G-7 WaterC'' Data'!$AK$4:$AM$6,2,FALSE)))</f>
        <v/>
      </c>
      <c r="K245" s="276" t="str">
        <f>IF(I245="","",IF(VLOOKUP(I245,'G-7 WaterC'' Data'!$AK$4:$AM$6,3,FALSE)=0,"Spatial Data Missing ⚠",VLOOKUP(I245,'G-7 WaterC'' Data'!$AK$4:$AM$6,3,FALSE)))</f>
        <v/>
      </c>
      <c r="L245" s="275" t="str">
        <f>IFERROR(INDEX('G-7 WaterC'' Data'!$O$3:$O$7,MATCH(G245,'G-7 WaterC'' Data'!$N$3:$N$7,0)),"")</f>
        <v/>
      </c>
      <c r="M245" s="58"/>
      <c r="N245" s="133"/>
      <c r="O245" s="283" t="str">
        <f t="shared" si="18"/>
        <v/>
      </c>
      <c r="P245" s="296" t="str">
        <f t="shared" si="19"/>
        <v/>
      </c>
      <c r="Q245" s="334" t="str">
        <f>IFERROR(IF(P245="Check Data ⚠","Check Data ⚠",VLOOKUP(P245,'G-4 Temporal multipliers'!$A$4:$C$37,3,FALSE)),"")</f>
        <v/>
      </c>
      <c r="R245" s="275" t="str">
        <f>IF(C245="","",VLOOKUP(C245,'G-7 WaterC'' Data'!$B$4:$G$8,4,FALSE))</f>
        <v/>
      </c>
      <c r="S245" s="283" t="str">
        <f t="shared" si="20"/>
        <v/>
      </c>
      <c r="T245" s="314" t="str">
        <f t="shared" si="21"/>
        <v/>
      </c>
      <c r="U245" s="276" t="str">
        <f>IF(C245="","",VLOOKUP(T245,'G-3 Multipliers'!$P$2:$Q$6,2,FALSE))</f>
        <v/>
      </c>
      <c r="V245" s="102"/>
      <c r="W245" s="276" t="str">
        <f>IF(V245="","",IF(AND(V245="N/A - Culvert",C245&lt;&gt;"Culvert"),"Not possible ▲",IF(AND(C245="Culvert",V245&lt;&gt;"N/A - Culvert"),"Not possible ▲",IF(VLOOKUP(V245,'G-7 WaterC'' Data'!$AA$4:$AB$7,2,FALSE)=0,"Spatial Data Missing ⚠",VLOOKUP(V245,'G-7 WaterC'' Data'!$AA$4:$AB$7,2,FALSE)))))</f>
        <v/>
      </c>
      <c r="X245" s="56"/>
      <c r="Y245" s="276" t="str">
        <f>IF(X245="","",IF(AND(X245="N/A - Culvert",C245&lt;&gt;"Culvert"),"Not possible ▲",IF(AND(C245="Culvert",X245&lt;&gt;"N/A - Culvert"),"Not possible ▲",IF(VLOOKUP(X245,'G-7 WaterC'' Data'!$AD$4:$AE$14,2,FALSE)=0,"Enrcoachment Data Missing ⚠",VLOOKUP(X245,'G-7 WaterC'' Data'!$AD$4:$AE$14,2,FALSE)))))</f>
        <v/>
      </c>
      <c r="Z245" s="317" t="str">
        <f t="shared" si="22"/>
        <v/>
      </c>
      <c r="AA245" s="101"/>
      <c r="AB245" s="115"/>
      <c r="AC245" s="104"/>
      <c r="AH245" s="30" t="str">
        <f>IFERROR(INDEX('G-7 WaterC'' Data'!$AZ$3:$AZ$7,MATCH(C245,'G-7 WaterC'' Data'!$AY$3:$AY$7,0)),"")</f>
        <v/>
      </c>
      <c r="AK245" s="30" t="str">
        <f t="shared" si="23"/>
        <v>No</v>
      </c>
    </row>
    <row r="246" spans="2:37" ht="14">
      <c r="B246" s="97">
        <v>235</v>
      </c>
      <c r="C246" s="920"/>
      <c r="D246" s="115"/>
      <c r="E246" s="275" t="str">
        <f>IF(C246="","",VLOOKUP(C246,'G-7 WaterC'' Data'!$B$2:$G$8,2,FALSE))</f>
        <v/>
      </c>
      <c r="F246" s="276" t="str">
        <f>IFERROR(VLOOKUP(E246,'G-7 WaterC'' Data'!$C$4:$D$8,2,FALSE),"")</f>
        <v/>
      </c>
      <c r="G246" s="101"/>
      <c r="H246" s="276" t="str">
        <f>IFERROR(INDEX('G-7 WaterC'' Data'!$H$4:$L$8,MATCH(C246,'G-7 WaterC'' Data'!$B$4:$B$8,0),MATCH(G246,'G-7 WaterC'' Data'!$H$3:$L$3,0)),"")</f>
        <v/>
      </c>
      <c r="I246" s="52"/>
      <c r="J246" s="283" t="str">
        <f>IF(I246="","",IF(VLOOKUP(I246,'G-7 WaterC'' Data'!$AK$4:$AM$6,2,FALSE)=0,"Spatial Data Missing ⚠",VLOOKUP(I246,'G-7 WaterC'' Data'!$AK$4:$AM$6,2,FALSE)))</f>
        <v/>
      </c>
      <c r="K246" s="276" t="str">
        <f>IF(I246="","",IF(VLOOKUP(I246,'G-7 WaterC'' Data'!$AK$4:$AM$6,3,FALSE)=0,"Spatial Data Missing ⚠",VLOOKUP(I246,'G-7 WaterC'' Data'!$AK$4:$AM$6,3,FALSE)))</f>
        <v/>
      </c>
      <c r="L246" s="275" t="str">
        <f>IFERROR(INDEX('G-7 WaterC'' Data'!$O$3:$O$7,MATCH(G246,'G-7 WaterC'' Data'!$N$3:$N$7,0)),"")</f>
        <v/>
      </c>
      <c r="M246" s="58"/>
      <c r="N246" s="133"/>
      <c r="O246" s="283" t="str">
        <f t="shared" si="18"/>
        <v/>
      </c>
      <c r="P246" s="296" t="str">
        <f t="shared" si="19"/>
        <v/>
      </c>
      <c r="Q246" s="334" t="str">
        <f>IFERROR(IF(P246="Check Data ⚠","Check Data ⚠",VLOOKUP(P246,'G-4 Temporal multipliers'!$A$4:$C$37,3,FALSE)),"")</f>
        <v/>
      </c>
      <c r="R246" s="275" t="str">
        <f>IF(C246="","",VLOOKUP(C246,'G-7 WaterC'' Data'!$B$4:$G$8,4,FALSE))</f>
        <v/>
      </c>
      <c r="S246" s="283" t="str">
        <f t="shared" si="20"/>
        <v/>
      </c>
      <c r="T246" s="314" t="str">
        <f t="shared" si="21"/>
        <v/>
      </c>
      <c r="U246" s="276" t="str">
        <f>IF(C246="","",VLOOKUP(T246,'G-3 Multipliers'!$P$2:$Q$6,2,FALSE))</f>
        <v/>
      </c>
      <c r="V246" s="102"/>
      <c r="W246" s="276" t="str">
        <f>IF(V246="","",IF(AND(V246="N/A - Culvert",C246&lt;&gt;"Culvert"),"Not possible ▲",IF(AND(C246="Culvert",V246&lt;&gt;"N/A - Culvert"),"Not possible ▲",IF(VLOOKUP(V246,'G-7 WaterC'' Data'!$AA$4:$AB$7,2,FALSE)=0,"Spatial Data Missing ⚠",VLOOKUP(V246,'G-7 WaterC'' Data'!$AA$4:$AB$7,2,FALSE)))))</f>
        <v/>
      </c>
      <c r="X246" s="56"/>
      <c r="Y246" s="276" t="str">
        <f>IF(X246="","",IF(AND(X246="N/A - Culvert",C246&lt;&gt;"Culvert"),"Not possible ▲",IF(AND(C246="Culvert",X246&lt;&gt;"N/A - Culvert"),"Not possible ▲",IF(VLOOKUP(X246,'G-7 WaterC'' Data'!$AD$4:$AE$14,2,FALSE)=0,"Enrcoachment Data Missing ⚠",VLOOKUP(X246,'G-7 WaterC'' Data'!$AD$4:$AE$14,2,FALSE)))))</f>
        <v/>
      </c>
      <c r="Z246" s="317" t="str">
        <f t="shared" si="22"/>
        <v/>
      </c>
      <c r="AA246" s="101"/>
      <c r="AB246" s="115"/>
      <c r="AC246" s="104"/>
      <c r="AH246" s="30" t="str">
        <f>IFERROR(INDEX('G-7 WaterC'' Data'!$AZ$3:$AZ$7,MATCH(C246,'G-7 WaterC'' Data'!$AY$3:$AY$7,0)),"")</f>
        <v/>
      </c>
      <c r="AK246" s="30" t="str">
        <f t="shared" si="23"/>
        <v>No</v>
      </c>
    </row>
    <row r="247" spans="2:37" ht="14">
      <c r="B247" s="97">
        <v>236</v>
      </c>
      <c r="C247" s="920"/>
      <c r="D247" s="115"/>
      <c r="E247" s="275" t="str">
        <f>IF(C247="","",VLOOKUP(C247,'G-7 WaterC'' Data'!$B$2:$G$8,2,FALSE))</f>
        <v/>
      </c>
      <c r="F247" s="276" t="str">
        <f>IFERROR(VLOOKUP(E247,'G-7 WaterC'' Data'!$C$4:$D$8,2,FALSE),"")</f>
        <v/>
      </c>
      <c r="G247" s="101"/>
      <c r="H247" s="276" t="str">
        <f>IFERROR(INDEX('G-7 WaterC'' Data'!$H$4:$L$8,MATCH(C247,'G-7 WaterC'' Data'!$B$4:$B$8,0),MATCH(G247,'G-7 WaterC'' Data'!$H$3:$L$3,0)),"")</f>
        <v/>
      </c>
      <c r="I247" s="52"/>
      <c r="J247" s="283" t="str">
        <f>IF(I247="","",IF(VLOOKUP(I247,'G-7 WaterC'' Data'!$AK$4:$AM$6,2,FALSE)=0,"Spatial Data Missing ⚠",VLOOKUP(I247,'G-7 WaterC'' Data'!$AK$4:$AM$6,2,FALSE)))</f>
        <v/>
      </c>
      <c r="K247" s="276" t="str">
        <f>IF(I247="","",IF(VLOOKUP(I247,'G-7 WaterC'' Data'!$AK$4:$AM$6,3,FALSE)=0,"Spatial Data Missing ⚠",VLOOKUP(I247,'G-7 WaterC'' Data'!$AK$4:$AM$6,3,FALSE)))</f>
        <v/>
      </c>
      <c r="L247" s="275" t="str">
        <f>IFERROR(INDEX('G-7 WaterC'' Data'!$O$3:$O$7,MATCH(G247,'G-7 WaterC'' Data'!$N$3:$N$7,0)),"")</f>
        <v/>
      </c>
      <c r="M247" s="58"/>
      <c r="N247" s="133"/>
      <c r="O247" s="283" t="str">
        <f t="shared" si="18"/>
        <v/>
      </c>
      <c r="P247" s="296" t="str">
        <f t="shared" si="19"/>
        <v/>
      </c>
      <c r="Q247" s="334" t="str">
        <f>IFERROR(IF(P247="Check Data ⚠","Check Data ⚠",VLOOKUP(P247,'G-4 Temporal multipliers'!$A$4:$C$37,3,FALSE)),"")</f>
        <v/>
      </c>
      <c r="R247" s="275" t="str">
        <f>IF(C247="","",VLOOKUP(C247,'G-7 WaterC'' Data'!$B$4:$G$8,4,FALSE))</f>
        <v/>
      </c>
      <c r="S247" s="283" t="str">
        <f t="shared" si="20"/>
        <v/>
      </c>
      <c r="T247" s="314" t="str">
        <f t="shared" si="21"/>
        <v/>
      </c>
      <c r="U247" s="276" t="str">
        <f>IF(C247="","",VLOOKUP(T247,'G-3 Multipliers'!$P$2:$Q$6,2,FALSE))</f>
        <v/>
      </c>
      <c r="V247" s="102"/>
      <c r="W247" s="276" t="str">
        <f>IF(V247="","",IF(AND(V247="N/A - Culvert",C247&lt;&gt;"Culvert"),"Not possible ▲",IF(AND(C247="Culvert",V247&lt;&gt;"N/A - Culvert"),"Not possible ▲",IF(VLOOKUP(V247,'G-7 WaterC'' Data'!$AA$4:$AB$7,2,FALSE)=0,"Spatial Data Missing ⚠",VLOOKUP(V247,'G-7 WaterC'' Data'!$AA$4:$AB$7,2,FALSE)))))</f>
        <v/>
      </c>
      <c r="X247" s="56"/>
      <c r="Y247" s="276" t="str">
        <f>IF(X247="","",IF(AND(X247="N/A - Culvert",C247&lt;&gt;"Culvert"),"Not possible ▲",IF(AND(C247="Culvert",X247&lt;&gt;"N/A - Culvert"),"Not possible ▲",IF(VLOOKUP(X247,'G-7 WaterC'' Data'!$AD$4:$AE$14,2,FALSE)=0,"Enrcoachment Data Missing ⚠",VLOOKUP(X247,'G-7 WaterC'' Data'!$AD$4:$AE$14,2,FALSE)))))</f>
        <v/>
      </c>
      <c r="Z247" s="317" t="str">
        <f t="shared" si="22"/>
        <v/>
      </c>
      <c r="AA247" s="101"/>
      <c r="AB247" s="115"/>
      <c r="AC247" s="104"/>
      <c r="AH247" s="30" t="str">
        <f>IFERROR(INDEX('G-7 WaterC'' Data'!$AZ$3:$AZ$7,MATCH(C247,'G-7 WaterC'' Data'!$AY$3:$AY$7,0)),"")</f>
        <v/>
      </c>
      <c r="AK247" s="30" t="str">
        <f t="shared" si="23"/>
        <v>No</v>
      </c>
    </row>
    <row r="248" spans="2:37" ht="14">
      <c r="B248" s="97">
        <v>237</v>
      </c>
      <c r="C248" s="920"/>
      <c r="D248" s="115"/>
      <c r="E248" s="275" t="str">
        <f>IF(C248="","",VLOOKUP(C248,'G-7 WaterC'' Data'!$B$2:$G$8,2,FALSE))</f>
        <v/>
      </c>
      <c r="F248" s="276" t="str">
        <f>IFERROR(VLOOKUP(E248,'G-7 WaterC'' Data'!$C$4:$D$8,2,FALSE),"")</f>
        <v/>
      </c>
      <c r="G248" s="101"/>
      <c r="H248" s="276" t="str">
        <f>IFERROR(INDEX('G-7 WaterC'' Data'!$H$4:$L$8,MATCH(C248,'G-7 WaterC'' Data'!$B$4:$B$8,0),MATCH(G248,'G-7 WaterC'' Data'!$H$3:$L$3,0)),"")</f>
        <v/>
      </c>
      <c r="I248" s="52"/>
      <c r="J248" s="283" t="str">
        <f>IF(I248="","",IF(VLOOKUP(I248,'G-7 WaterC'' Data'!$AK$4:$AM$6,2,FALSE)=0,"Spatial Data Missing ⚠",VLOOKUP(I248,'G-7 WaterC'' Data'!$AK$4:$AM$6,2,FALSE)))</f>
        <v/>
      </c>
      <c r="K248" s="276" t="str">
        <f>IF(I248="","",IF(VLOOKUP(I248,'G-7 WaterC'' Data'!$AK$4:$AM$6,3,FALSE)=0,"Spatial Data Missing ⚠",VLOOKUP(I248,'G-7 WaterC'' Data'!$AK$4:$AM$6,3,FALSE)))</f>
        <v/>
      </c>
      <c r="L248" s="275" t="str">
        <f>IFERROR(INDEX('G-7 WaterC'' Data'!$O$3:$O$7,MATCH(G248,'G-7 WaterC'' Data'!$N$3:$N$7,0)),"")</f>
        <v/>
      </c>
      <c r="M248" s="58"/>
      <c r="N248" s="133"/>
      <c r="O248" s="283" t="str">
        <f t="shared" si="18"/>
        <v/>
      </c>
      <c r="P248" s="296" t="str">
        <f t="shared" si="19"/>
        <v/>
      </c>
      <c r="Q248" s="334" t="str">
        <f>IFERROR(IF(P248="Check Data ⚠","Check Data ⚠",VLOOKUP(P248,'G-4 Temporal multipliers'!$A$4:$C$37,3,FALSE)),"")</f>
        <v/>
      </c>
      <c r="R248" s="275" t="str">
        <f>IF(C248="","",VLOOKUP(C248,'G-7 WaterC'' Data'!$B$4:$G$8,4,FALSE))</f>
        <v/>
      </c>
      <c r="S248" s="283" t="str">
        <f t="shared" si="20"/>
        <v/>
      </c>
      <c r="T248" s="314" t="str">
        <f t="shared" si="21"/>
        <v/>
      </c>
      <c r="U248" s="276" t="str">
        <f>IF(C248="","",VLOOKUP(T248,'G-3 Multipliers'!$P$2:$Q$6,2,FALSE))</f>
        <v/>
      </c>
      <c r="V248" s="102"/>
      <c r="W248" s="276" t="str">
        <f>IF(V248="","",IF(AND(V248="N/A - Culvert",C248&lt;&gt;"Culvert"),"Not possible ▲",IF(AND(C248="Culvert",V248&lt;&gt;"N/A - Culvert"),"Not possible ▲",IF(VLOOKUP(V248,'G-7 WaterC'' Data'!$AA$4:$AB$7,2,FALSE)=0,"Spatial Data Missing ⚠",VLOOKUP(V248,'G-7 WaterC'' Data'!$AA$4:$AB$7,2,FALSE)))))</f>
        <v/>
      </c>
      <c r="X248" s="56"/>
      <c r="Y248" s="276" t="str">
        <f>IF(X248="","",IF(AND(X248="N/A - Culvert",C248&lt;&gt;"Culvert"),"Not possible ▲",IF(AND(C248="Culvert",X248&lt;&gt;"N/A - Culvert"),"Not possible ▲",IF(VLOOKUP(X248,'G-7 WaterC'' Data'!$AD$4:$AE$14,2,FALSE)=0,"Enrcoachment Data Missing ⚠",VLOOKUP(X248,'G-7 WaterC'' Data'!$AD$4:$AE$14,2,FALSE)))))</f>
        <v/>
      </c>
      <c r="Z248" s="317" t="str">
        <f t="shared" si="22"/>
        <v/>
      </c>
      <c r="AA248" s="101"/>
      <c r="AB248" s="115"/>
      <c r="AC248" s="104"/>
      <c r="AH248" s="30" t="str">
        <f>IFERROR(INDEX('G-7 WaterC'' Data'!$AZ$3:$AZ$7,MATCH(C248,'G-7 WaterC'' Data'!$AY$3:$AY$7,0)),"")</f>
        <v/>
      </c>
      <c r="AK248" s="30" t="str">
        <f t="shared" si="23"/>
        <v>No</v>
      </c>
    </row>
    <row r="249" spans="2:37" ht="14">
      <c r="B249" s="97">
        <v>238</v>
      </c>
      <c r="C249" s="920"/>
      <c r="D249" s="115"/>
      <c r="E249" s="275" t="str">
        <f>IF(C249="","",VLOOKUP(C249,'G-7 WaterC'' Data'!$B$2:$G$8,2,FALSE))</f>
        <v/>
      </c>
      <c r="F249" s="276" t="str">
        <f>IFERROR(VLOOKUP(E249,'G-7 WaterC'' Data'!$C$4:$D$8,2,FALSE),"")</f>
        <v/>
      </c>
      <c r="G249" s="101"/>
      <c r="H249" s="276" t="str">
        <f>IFERROR(INDEX('G-7 WaterC'' Data'!$H$4:$L$8,MATCH(C249,'G-7 WaterC'' Data'!$B$4:$B$8,0),MATCH(G249,'G-7 WaterC'' Data'!$H$3:$L$3,0)),"")</f>
        <v/>
      </c>
      <c r="I249" s="52"/>
      <c r="J249" s="283" t="str">
        <f>IF(I249="","",IF(VLOOKUP(I249,'G-7 WaterC'' Data'!$AK$4:$AM$6,2,FALSE)=0,"Spatial Data Missing ⚠",VLOOKUP(I249,'G-7 WaterC'' Data'!$AK$4:$AM$6,2,FALSE)))</f>
        <v/>
      </c>
      <c r="K249" s="276" t="str">
        <f>IF(I249="","",IF(VLOOKUP(I249,'G-7 WaterC'' Data'!$AK$4:$AM$6,3,FALSE)=0,"Spatial Data Missing ⚠",VLOOKUP(I249,'G-7 WaterC'' Data'!$AK$4:$AM$6,3,FALSE)))</f>
        <v/>
      </c>
      <c r="L249" s="275" t="str">
        <f>IFERROR(INDEX('G-7 WaterC'' Data'!$O$3:$O$7,MATCH(G249,'G-7 WaterC'' Data'!$N$3:$N$7,0)),"")</f>
        <v/>
      </c>
      <c r="M249" s="58"/>
      <c r="N249" s="133"/>
      <c r="O249" s="283" t="str">
        <f t="shared" si="18"/>
        <v/>
      </c>
      <c r="P249" s="296" t="str">
        <f t="shared" si="19"/>
        <v/>
      </c>
      <c r="Q249" s="334" t="str">
        <f>IFERROR(IF(P249="Check Data ⚠","Check Data ⚠",VLOOKUP(P249,'G-4 Temporal multipliers'!$A$4:$C$37,3,FALSE)),"")</f>
        <v/>
      </c>
      <c r="R249" s="275" t="str">
        <f>IF(C249="","",VLOOKUP(C249,'G-7 WaterC'' Data'!$B$4:$G$8,4,FALSE))</f>
        <v/>
      </c>
      <c r="S249" s="283" t="str">
        <f t="shared" si="20"/>
        <v/>
      </c>
      <c r="T249" s="314" t="str">
        <f t="shared" si="21"/>
        <v/>
      </c>
      <c r="U249" s="276" t="str">
        <f>IF(C249="","",VLOOKUP(T249,'G-3 Multipliers'!$P$2:$Q$6,2,FALSE))</f>
        <v/>
      </c>
      <c r="V249" s="102"/>
      <c r="W249" s="276" t="str">
        <f>IF(V249="","",IF(AND(V249="N/A - Culvert",C249&lt;&gt;"Culvert"),"Not possible ▲",IF(AND(C249="Culvert",V249&lt;&gt;"N/A - Culvert"),"Not possible ▲",IF(VLOOKUP(V249,'G-7 WaterC'' Data'!$AA$4:$AB$7,2,FALSE)=0,"Spatial Data Missing ⚠",VLOOKUP(V249,'G-7 WaterC'' Data'!$AA$4:$AB$7,2,FALSE)))))</f>
        <v/>
      </c>
      <c r="X249" s="56"/>
      <c r="Y249" s="276" t="str">
        <f>IF(X249="","",IF(AND(X249="N/A - Culvert",C249&lt;&gt;"Culvert"),"Not possible ▲",IF(AND(C249="Culvert",X249&lt;&gt;"N/A - Culvert"),"Not possible ▲",IF(VLOOKUP(X249,'G-7 WaterC'' Data'!$AD$4:$AE$14,2,FALSE)=0,"Enrcoachment Data Missing ⚠",VLOOKUP(X249,'G-7 WaterC'' Data'!$AD$4:$AE$14,2,FALSE)))))</f>
        <v/>
      </c>
      <c r="Z249" s="317" t="str">
        <f t="shared" si="22"/>
        <v/>
      </c>
      <c r="AA249" s="101"/>
      <c r="AB249" s="115"/>
      <c r="AC249" s="104"/>
      <c r="AH249" s="30" t="str">
        <f>IFERROR(INDEX('G-7 WaterC'' Data'!$AZ$3:$AZ$7,MATCH(C249,'G-7 WaterC'' Data'!$AY$3:$AY$7,0)),"")</f>
        <v/>
      </c>
      <c r="AK249" s="30" t="str">
        <f t="shared" si="23"/>
        <v>No</v>
      </c>
    </row>
    <row r="250" spans="2:37" ht="14">
      <c r="B250" s="97">
        <v>239</v>
      </c>
      <c r="C250" s="920"/>
      <c r="D250" s="115"/>
      <c r="E250" s="275" t="str">
        <f>IF(C250="","",VLOOKUP(C250,'G-7 WaterC'' Data'!$B$2:$G$8,2,FALSE))</f>
        <v/>
      </c>
      <c r="F250" s="276" t="str">
        <f>IFERROR(VLOOKUP(E250,'G-7 WaterC'' Data'!$C$4:$D$8,2,FALSE),"")</f>
        <v/>
      </c>
      <c r="G250" s="101"/>
      <c r="H250" s="276" t="str">
        <f>IFERROR(INDEX('G-7 WaterC'' Data'!$H$4:$L$8,MATCH(C250,'G-7 WaterC'' Data'!$B$4:$B$8,0),MATCH(G250,'G-7 WaterC'' Data'!$H$3:$L$3,0)),"")</f>
        <v/>
      </c>
      <c r="I250" s="52"/>
      <c r="J250" s="283" t="str">
        <f>IF(I250="","",IF(VLOOKUP(I250,'G-7 WaterC'' Data'!$AK$4:$AM$6,2,FALSE)=0,"Spatial Data Missing ⚠",VLOOKUP(I250,'G-7 WaterC'' Data'!$AK$4:$AM$6,2,FALSE)))</f>
        <v/>
      </c>
      <c r="K250" s="276" t="str">
        <f>IF(I250="","",IF(VLOOKUP(I250,'G-7 WaterC'' Data'!$AK$4:$AM$6,3,FALSE)=0,"Spatial Data Missing ⚠",VLOOKUP(I250,'G-7 WaterC'' Data'!$AK$4:$AM$6,3,FALSE)))</f>
        <v/>
      </c>
      <c r="L250" s="275" t="str">
        <f>IFERROR(INDEX('G-7 WaterC'' Data'!$O$3:$O$7,MATCH(G250,'G-7 WaterC'' Data'!$N$3:$N$7,0)),"")</f>
        <v/>
      </c>
      <c r="M250" s="58"/>
      <c r="N250" s="133"/>
      <c r="O250" s="283" t="str">
        <f t="shared" si="18"/>
        <v/>
      </c>
      <c r="P250" s="296" t="str">
        <f t="shared" si="19"/>
        <v/>
      </c>
      <c r="Q250" s="334" t="str">
        <f>IFERROR(IF(P250="Check Data ⚠","Check Data ⚠",VLOOKUP(P250,'G-4 Temporal multipliers'!$A$4:$C$37,3,FALSE)),"")</f>
        <v/>
      </c>
      <c r="R250" s="275" t="str">
        <f>IF(C250="","",VLOOKUP(C250,'G-7 WaterC'' Data'!$B$4:$G$8,4,FALSE))</f>
        <v/>
      </c>
      <c r="S250" s="283" t="str">
        <f t="shared" si="20"/>
        <v/>
      </c>
      <c r="T250" s="314" t="str">
        <f t="shared" si="21"/>
        <v/>
      </c>
      <c r="U250" s="276" t="str">
        <f>IF(C250="","",VLOOKUP(T250,'G-3 Multipliers'!$P$2:$Q$6,2,FALSE))</f>
        <v/>
      </c>
      <c r="V250" s="102"/>
      <c r="W250" s="276" t="str">
        <f>IF(V250="","",IF(AND(V250="N/A - Culvert",C250&lt;&gt;"Culvert"),"Not possible ▲",IF(AND(C250="Culvert",V250&lt;&gt;"N/A - Culvert"),"Not possible ▲",IF(VLOOKUP(V250,'G-7 WaterC'' Data'!$AA$4:$AB$7,2,FALSE)=0,"Spatial Data Missing ⚠",VLOOKUP(V250,'G-7 WaterC'' Data'!$AA$4:$AB$7,2,FALSE)))))</f>
        <v/>
      </c>
      <c r="X250" s="56"/>
      <c r="Y250" s="276" t="str">
        <f>IF(X250="","",IF(AND(X250="N/A - Culvert",C250&lt;&gt;"Culvert"),"Not possible ▲",IF(AND(C250="Culvert",X250&lt;&gt;"N/A - Culvert"),"Not possible ▲",IF(VLOOKUP(X250,'G-7 WaterC'' Data'!$AD$4:$AE$14,2,FALSE)=0,"Enrcoachment Data Missing ⚠",VLOOKUP(X250,'G-7 WaterC'' Data'!$AD$4:$AE$14,2,FALSE)))))</f>
        <v/>
      </c>
      <c r="Z250" s="317" t="str">
        <f t="shared" si="22"/>
        <v/>
      </c>
      <c r="AA250" s="101"/>
      <c r="AB250" s="115"/>
      <c r="AC250" s="104"/>
      <c r="AH250" s="30" t="str">
        <f>IFERROR(INDEX('G-7 WaterC'' Data'!$AZ$3:$AZ$7,MATCH(C250,'G-7 WaterC'' Data'!$AY$3:$AY$7,0)),"")</f>
        <v/>
      </c>
      <c r="AK250" s="30" t="str">
        <f t="shared" si="23"/>
        <v>No</v>
      </c>
    </row>
    <row r="251" spans="2:37" ht="14">
      <c r="B251" s="97">
        <v>240</v>
      </c>
      <c r="C251" s="920"/>
      <c r="D251" s="115"/>
      <c r="E251" s="275" t="str">
        <f>IF(C251="","",VLOOKUP(C251,'G-7 WaterC'' Data'!$B$2:$G$8,2,FALSE))</f>
        <v/>
      </c>
      <c r="F251" s="276" t="str">
        <f>IFERROR(VLOOKUP(E251,'G-7 WaterC'' Data'!$C$4:$D$8,2,FALSE),"")</f>
        <v/>
      </c>
      <c r="G251" s="101"/>
      <c r="H251" s="276" t="str">
        <f>IFERROR(INDEX('G-7 WaterC'' Data'!$H$4:$L$8,MATCH(C251,'G-7 WaterC'' Data'!$B$4:$B$8,0),MATCH(G251,'G-7 WaterC'' Data'!$H$3:$L$3,0)),"")</f>
        <v/>
      </c>
      <c r="I251" s="52"/>
      <c r="J251" s="283" t="str">
        <f>IF(I251="","",IF(VLOOKUP(I251,'G-7 WaterC'' Data'!$AK$4:$AM$6,2,FALSE)=0,"Spatial Data Missing ⚠",VLOOKUP(I251,'G-7 WaterC'' Data'!$AK$4:$AM$6,2,FALSE)))</f>
        <v/>
      </c>
      <c r="K251" s="276" t="str">
        <f>IF(I251="","",IF(VLOOKUP(I251,'G-7 WaterC'' Data'!$AK$4:$AM$6,3,FALSE)=0,"Spatial Data Missing ⚠",VLOOKUP(I251,'G-7 WaterC'' Data'!$AK$4:$AM$6,3,FALSE)))</f>
        <v/>
      </c>
      <c r="L251" s="275" t="str">
        <f>IFERROR(INDEX('G-7 WaterC'' Data'!$O$3:$O$7,MATCH(G251,'G-7 WaterC'' Data'!$N$3:$N$7,0)),"")</f>
        <v/>
      </c>
      <c r="M251" s="58"/>
      <c r="N251" s="133"/>
      <c r="O251" s="283" t="str">
        <f t="shared" si="18"/>
        <v/>
      </c>
      <c r="P251" s="296" t="str">
        <f t="shared" si="19"/>
        <v/>
      </c>
      <c r="Q251" s="334" t="str">
        <f>IFERROR(IF(P251="Check Data ⚠","Check Data ⚠",VLOOKUP(P251,'G-4 Temporal multipliers'!$A$4:$C$37,3,FALSE)),"")</f>
        <v/>
      </c>
      <c r="R251" s="275" t="str">
        <f>IF(C251="","",VLOOKUP(C251,'G-7 WaterC'' Data'!$B$4:$G$8,4,FALSE))</f>
        <v/>
      </c>
      <c r="S251" s="283" t="str">
        <f t="shared" si="20"/>
        <v/>
      </c>
      <c r="T251" s="314" t="str">
        <f t="shared" si="21"/>
        <v/>
      </c>
      <c r="U251" s="276" t="str">
        <f>IF(C251="","",VLOOKUP(T251,'G-3 Multipliers'!$P$2:$Q$6,2,FALSE))</f>
        <v/>
      </c>
      <c r="V251" s="102"/>
      <c r="W251" s="276" t="str">
        <f>IF(V251="","",IF(AND(V251="N/A - Culvert",C251&lt;&gt;"Culvert"),"Not possible ▲",IF(AND(C251="Culvert",V251&lt;&gt;"N/A - Culvert"),"Not possible ▲",IF(VLOOKUP(V251,'G-7 WaterC'' Data'!$AA$4:$AB$7,2,FALSE)=0,"Spatial Data Missing ⚠",VLOOKUP(V251,'G-7 WaterC'' Data'!$AA$4:$AB$7,2,FALSE)))))</f>
        <v/>
      </c>
      <c r="X251" s="56"/>
      <c r="Y251" s="276" t="str">
        <f>IF(X251="","",IF(AND(X251="N/A - Culvert",C251&lt;&gt;"Culvert"),"Not possible ▲",IF(AND(C251="Culvert",X251&lt;&gt;"N/A - Culvert"),"Not possible ▲",IF(VLOOKUP(X251,'G-7 WaterC'' Data'!$AD$4:$AE$14,2,FALSE)=0,"Enrcoachment Data Missing ⚠",VLOOKUP(X251,'G-7 WaterC'' Data'!$AD$4:$AE$14,2,FALSE)))))</f>
        <v/>
      </c>
      <c r="Z251" s="317" t="str">
        <f t="shared" si="22"/>
        <v/>
      </c>
      <c r="AA251" s="101"/>
      <c r="AB251" s="115"/>
      <c r="AC251" s="104"/>
      <c r="AH251" s="30" t="str">
        <f>IFERROR(INDEX('G-7 WaterC'' Data'!$AZ$3:$AZ$7,MATCH(C251,'G-7 WaterC'' Data'!$AY$3:$AY$7,0)),"")</f>
        <v/>
      </c>
      <c r="AK251" s="30" t="str">
        <f t="shared" si="23"/>
        <v>No</v>
      </c>
    </row>
    <row r="252" spans="2:37" ht="14">
      <c r="B252" s="97">
        <v>241</v>
      </c>
      <c r="C252" s="920"/>
      <c r="D252" s="115"/>
      <c r="E252" s="275" t="str">
        <f>IF(C252="","",VLOOKUP(C252,'G-7 WaterC'' Data'!$B$2:$G$8,2,FALSE))</f>
        <v/>
      </c>
      <c r="F252" s="276" t="str">
        <f>IFERROR(VLOOKUP(E252,'G-7 WaterC'' Data'!$C$4:$D$8,2,FALSE),"")</f>
        <v/>
      </c>
      <c r="G252" s="101"/>
      <c r="H252" s="276" t="str">
        <f>IFERROR(INDEX('G-7 WaterC'' Data'!$H$4:$L$8,MATCH(C252,'G-7 WaterC'' Data'!$B$4:$B$8,0),MATCH(G252,'G-7 WaterC'' Data'!$H$3:$L$3,0)),"")</f>
        <v/>
      </c>
      <c r="I252" s="52"/>
      <c r="J252" s="283" t="str">
        <f>IF(I252="","",IF(VLOOKUP(I252,'G-7 WaterC'' Data'!$AK$4:$AM$6,2,FALSE)=0,"Spatial Data Missing ⚠",VLOOKUP(I252,'G-7 WaterC'' Data'!$AK$4:$AM$6,2,FALSE)))</f>
        <v/>
      </c>
      <c r="K252" s="276" t="str">
        <f>IF(I252="","",IF(VLOOKUP(I252,'G-7 WaterC'' Data'!$AK$4:$AM$6,3,FALSE)=0,"Spatial Data Missing ⚠",VLOOKUP(I252,'G-7 WaterC'' Data'!$AK$4:$AM$6,3,FALSE)))</f>
        <v/>
      </c>
      <c r="L252" s="275" t="str">
        <f>IFERROR(INDEX('G-7 WaterC'' Data'!$O$3:$O$7,MATCH(G252,'G-7 WaterC'' Data'!$N$3:$N$7,0)),"")</f>
        <v/>
      </c>
      <c r="M252" s="58"/>
      <c r="N252" s="133"/>
      <c r="O252" s="283" t="str">
        <f t="shared" si="18"/>
        <v/>
      </c>
      <c r="P252" s="296" t="str">
        <f t="shared" si="19"/>
        <v/>
      </c>
      <c r="Q252" s="334" t="str">
        <f>IFERROR(IF(P252="Check Data ⚠","Check Data ⚠",VLOOKUP(P252,'G-4 Temporal multipliers'!$A$4:$C$37,3,FALSE)),"")</f>
        <v/>
      </c>
      <c r="R252" s="275" t="str">
        <f>IF(C252="","",VLOOKUP(C252,'G-7 WaterC'' Data'!$B$4:$G$8,4,FALSE))</f>
        <v/>
      </c>
      <c r="S252" s="283" t="str">
        <f t="shared" si="20"/>
        <v/>
      </c>
      <c r="T252" s="314" t="str">
        <f t="shared" si="21"/>
        <v/>
      </c>
      <c r="U252" s="276" t="str">
        <f>IF(C252="","",VLOOKUP(T252,'G-3 Multipliers'!$P$2:$Q$6,2,FALSE))</f>
        <v/>
      </c>
      <c r="V252" s="102"/>
      <c r="W252" s="276" t="str">
        <f>IF(V252="","",IF(AND(V252="N/A - Culvert",C252&lt;&gt;"Culvert"),"Not possible ▲",IF(AND(C252="Culvert",V252&lt;&gt;"N/A - Culvert"),"Not possible ▲",IF(VLOOKUP(V252,'G-7 WaterC'' Data'!$AA$4:$AB$7,2,FALSE)=0,"Spatial Data Missing ⚠",VLOOKUP(V252,'G-7 WaterC'' Data'!$AA$4:$AB$7,2,FALSE)))))</f>
        <v/>
      </c>
      <c r="X252" s="56"/>
      <c r="Y252" s="276" t="str">
        <f>IF(X252="","",IF(AND(X252="N/A - Culvert",C252&lt;&gt;"Culvert"),"Not possible ▲",IF(AND(C252="Culvert",X252&lt;&gt;"N/A - Culvert"),"Not possible ▲",IF(VLOOKUP(X252,'G-7 WaterC'' Data'!$AD$4:$AE$14,2,FALSE)=0,"Enrcoachment Data Missing ⚠",VLOOKUP(X252,'G-7 WaterC'' Data'!$AD$4:$AE$14,2,FALSE)))))</f>
        <v/>
      </c>
      <c r="Z252" s="317" t="str">
        <f t="shared" si="22"/>
        <v/>
      </c>
      <c r="AA252" s="101"/>
      <c r="AB252" s="115"/>
      <c r="AC252" s="104"/>
      <c r="AH252" s="30" t="str">
        <f>IFERROR(INDEX('G-7 WaterC'' Data'!$AZ$3:$AZ$7,MATCH(C252,'G-7 WaterC'' Data'!$AY$3:$AY$7,0)),"")</f>
        <v/>
      </c>
      <c r="AK252" s="30" t="str">
        <f t="shared" si="23"/>
        <v>No</v>
      </c>
    </row>
    <row r="253" spans="2:37" ht="14">
      <c r="B253" s="97">
        <v>242</v>
      </c>
      <c r="C253" s="920"/>
      <c r="D253" s="115"/>
      <c r="E253" s="275" t="str">
        <f>IF(C253="","",VLOOKUP(C253,'G-7 WaterC'' Data'!$B$2:$G$8,2,FALSE))</f>
        <v/>
      </c>
      <c r="F253" s="276" t="str">
        <f>IFERROR(VLOOKUP(E253,'G-7 WaterC'' Data'!$C$4:$D$8,2,FALSE),"")</f>
        <v/>
      </c>
      <c r="G253" s="101"/>
      <c r="H253" s="276" t="str">
        <f>IFERROR(INDEX('G-7 WaterC'' Data'!$H$4:$L$8,MATCH(C253,'G-7 WaterC'' Data'!$B$4:$B$8,0),MATCH(G253,'G-7 WaterC'' Data'!$H$3:$L$3,0)),"")</f>
        <v/>
      </c>
      <c r="I253" s="52"/>
      <c r="J253" s="283" t="str">
        <f>IF(I253="","",IF(VLOOKUP(I253,'G-7 WaterC'' Data'!$AK$4:$AM$6,2,FALSE)=0,"Spatial Data Missing ⚠",VLOOKUP(I253,'G-7 WaterC'' Data'!$AK$4:$AM$6,2,FALSE)))</f>
        <v/>
      </c>
      <c r="K253" s="276" t="str">
        <f>IF(I253="","",IF(VLOOKUP(I253,'G-7 WaterC'' Data'!$AK$4:$AM$6,3,FALSE)=0,"Spatial Data Missing ⚠",VLOOKUP(I253,'G-7 WaterC'' Data'!$AK$4:$AM$6,3,FALSE)))</f>
        <v/>
      </c>
      <c r="L253" s="275" t="str">
        <f>IFERROR(INDEX('G-7 WaterC'' Data'!$O$3:$O$7,MATCH(G253,'G-7 WaterC'' Data'!$N$3:$N$7,0)),"")</f>
        <v/>
      </c>
      <c r="M253" s="58"/>
      <c r="N253" s="133"/>
      <c r="O253" s="283" t="str">
        <f t="shared" si="18"/>
        <v/>
      </c>
      <c r="P253" s="296" t="str">
        <f t="shared" si="19"/>
        <v/>
      </c>
      <c r="Q253" s="334" t="str">
        <f>IFERROR(IF(P253="Check Data ⚠","Check Data ⚠",VLOOKUP(P253,'G-4 Temporal multipliers'!$A$4:$C$37,3,FALSE)),"")</f>
        <v/>
      </c>
      <c r="R253" s="275" t="str">
        <f>IF(C253="","",VLOOKUP(C253,'G-7 WaterC'' Data'!$B$4:$G$8,4,FALSE))</f>
        <v/>
      </c>
      <c r="S253" s="283" t="str">
        <f t="shared" si="20"/>
        <v/>
      </c>
      <c r="T253" s="314" t="str">
        <f t="shared" si="21"/>
        <v/>
      </c>
      <c r="U253" s="276" t="str">
        <f>IF(C253="","",VLOOKUP(T253,'G-3 Multipliers'!$P$2:$Q$6,2,FALSE))</f>
        <v/>
      </c>
      <c r="V253" s="102"/>
      <c r="W253" s="276" t="str">
        <f>IF(V253="","",IF(AND(V253="N/A - Culvert",C253&lt;&gt;"Culvert"),"Not possible ▲",IF(AND(C253="Culvert",V253&lt;&gt;"N/A - Culvert"),"Not possible ▲",IF(VLOOKUP(V253,'G-7 WaterC'' Data'!$AA$4:$AB$7,2,FALSE)=0,"Spatial Data Missing ⚠",VLOOKUP(V253,'G-7 WaterC'' Data'!$AA$4:$AB$7,2,FALSE)))))</f>
        <v/>
      </c>
      <c r="X253" s="56"/>
      <c r="Y253" s="276" t="str">
        <f>IF(X253="","",IF(AND(X253="N/A - Culvert",C253&lt;&gt;"Culvert"),"Not possible ▲",IF(AND(C253="Culvert",X253&lt;&gt;"N/A - Culvert"),"Not possible ▲",IF(VLOOKUP(X253,'G-7 WaterC'' Data'!$AD$4:$AE$14,2,FALSE)=0,"Enrcoachment Data Missing ⚠",VLOOKUP(X253,'G-7 WaterC'' Data'!$AD$4:$AE$14,2,FALSE)))))</f>
        <v/>
      </c>
      <c r="Z253" s="317" t="str">
        <f t="shared" si="22"/>
        <v/>
      </c>
      <c r="AA253" s="101"/>
      <c r="AB253" s="115"/>
      <c r="AC253" s="104"/>
      <c r="AH253" s="30" t="str">
        <f>IFERROR(INDEX('G-7 WaterC'' Data'!$AZ$3:$AZ$7,MATCH(C253,'G-7 WaterC'' Data'!$AY$3:$AY$7,0)),"")</f>
        <v/>
      </c>
      <c r="AK253" s="30" t="str">
        <f t="shared" si="23"/>
        <v>No</v>
      </c>
    </row>
    <row r="254" spans="2:37" ht="14">
      <c r="B254" s="97">
        <v>243</v>
      </c>
      <c r="C254" s="920"/>
      <c r="D254" s="115"/>
      <c r="E254" s="275" t="str">
        <f>IF(C254="","",VLOOKUP(C254,'G-7 WaterC'' Data'!$B$2:$G$8,2,FALSE))</f>
        <v/>
      </c>
      <c r="F254" s="276" t="str">
        <f>IFERROR(VLOOKUP(E254,'G-7 WaterC'' Data'!$C$4:$D$8,2,FALSE),"")</f>
        <v/>
      </c>
      <c r="G254" s="101"/>
      <c r="H254" s="276" t="str">
        <f>IFERROR(INDEX('G-7 WaterC'' Data'!$H$4:$L$8,MATCH(C254,'G-7 WaterC'' Data'!$B$4:$B$8,0),MATCH(G254,'G-7 WaterC'' Data'!$H$3:$L$3,0)),"")</f>
        <v/>
      </c>
      <c r="I254" s="52"/>
      <c r="J254" s="283" t="str">
        <f>IF(I254="","",IF(VLOOKUP(I254,'G-7 WaterC'' Data'!$AK$4:$AM$6,2,FALSE)=0,"Spatial Data Missing ⚠",VLOOKUP(I254,'G-7 WaterC'' Data'!$AK$4:$AM$6,2,FALSE)))</f>
        <v/>
      </c>
      <c r="K254" s="276" t="str">
        <f>IF(I254="","",IF(VLOOKUP(I254,'G-7 WaterC'' Data'!$AK$4:$AM$6,3,FALSE)=0,"Spatial Data Missing ⚠",VLOOKUP(I254,'G-7 WaterC'' Data'!$AK$4:$AM$6,3,FALSE)))</f>
        <v/>
      </c>
      <c r="L254" s="275" t="str">
        <f>IFERROR(INDEX('G-7 WaterC'' Data'!$O$3:$O$7,MATCH(G254,'G-7 WaterC'' Data'!$N$3:$N$7,0)),"")</f>
        <v/>
      </c>
      <c r="M254" s="58"/>
      <c r="N254" s="133"/>
      <c r="O254" s="283" t="str">
        <f t="shared" si="18"/>
        <v/>
      </c>
      <c r="P254" s="296" t="str">
        <f t="shared" si="19"/>
        <v/>
      </c>
      <c r="Q254" s="334" t="str">
        <f>IFERROR(IF(P254="Check Data ⚠","Check Data ⚠",VLOOKUP(P254,'G-4 Temporal multipliers'!$A$4:$C$37,3,FALSE)),"")</f>
        <v/>
      </c>
      <c r="R254" s="275" t="str">
        <f>IF(C254="","",VLOOKUP(C254,'G-7 WaterC'' Data'!$B$4:$G$8,4,FALSE))</f>
        <v/>
      </c>
      <c r="S254" s="283" t="str">
        <f t="shared" si="20"/>
        <v/>
      </c>
      <c r="T254" s="314" t="str">
        <f t="shared" si="21"/>
        <v/>
      </c>
      <c r="U254" s="276" t="str">
        <f>IF(C254="","",VLOOKUP(T254,'G-3 Multipliers'!$P$2:$Q$6,2,FALSE))</f>
        <v/>
      </c>
      <c r="V254" s="102"/>
      <c r="W254" s="276" t="str">
        <f>IF(V254="","",IF(AND(V254="N/A - Culvert",C254&lt;&gt;"Culvert"),"Not possible ▲",IF(AND(C254="Culvert",V254&lt;&gt;"N/A - Culvert"),"Not possible ▲",IF(VLOOKUP(V254,'G-7 WaterC'' Data'!$AA$4:$AB$7,2,FALSE)=0,"Spatial Data Missing ⚠",VLOOKUP(V254,'G-7 WaterC'' Data'!$AA$4:$AB$7,2,FALSE)))))</f>
        <v/>
      </c>
      <c r="X254" s="56"/>
      <c r="Y254" s="276" t="str">
        <f>IF(X254="","",IF(AND(X254="N/A - Culvert",C254&lt;&gt;"Culvert"),"Not possible ▲",IF(AND(C254="Culvert",X254&lt;&gt;"N/A - Culvert"),"Not possible ▲",IF(VLOOKUP(X254,'G-7 WaterC'' Data'!$AD$4:$AE$14,2,FALSE)=0,"Enrcoachment Data Missing ⚠",VLOOKUP(X254,'G-7 WaterC'' Data'!$AD$4:$AE$14,2,FALSE)))))</f>
        <v/>
      </c>
      <c r="Z254" s="317" t="str">
        <f t="shared" si="22"/>
        <v/>
      </c>
      <c r="AA254" s="101"/>
      <c r="AB254" s="115"/>
      <c r="AC254" s="104"/>
      <c r="AH254" s="30" t="str">
        <f>IFERROR(INDEX('G-7 WaterC'' Data'!$AZ$3:$AZ$7,MATCH(C254,'G-7 WaterC'' Data'!$AY$3:$AY$7,0)),"")</f>
        <v/>
      </c>
      <c r="AK254" s="30" t="str">
        <f t="shared" si="23"/>
        <v>No</v>
      </c>
    </row>
    <row r="255" spans="2:37" ht="14">
      <c r="B255" s="97">
        <v>244</v>
      </c>
      <c r="C255" s="920"/>
      <c r="D255" s="115"/>
      <c r="E255" s="275" t="str">
        <f>IF(C255="","",VLOOKUP(C255,'G-7 WaterC'' Data'!$B$2:$G$8,2,FALSE))</f>
        <v/>
      </c>
      <c r="F255" s="276" t="str">
        <f>IFERROR(VLOOKUP(E255,'G-7 WaterC'' Data'!$C$4:$D$8,2,FALSE),"")</f>
        <v/>
      </c>
      <c r="G255" s="101"/>
      <c r="H255" s="276" t="str">
        <f>IFERROR(INDEX('G-7 WaterC'' Data'!$H$4:$L$8,MATCH(C255,'G-7 WaterC'' Data'!$B$4:$B$8,0),MATCH(G255,'G-7 WaterC'' Data'!$H$3:$L$3,0)),"")</f>
        <v/>
      </c>
      <c r="I255" s="52"/>
      <c r="J255" s="283" t="str">
        <f>IF(I255="","",IF(VLOOKUP(I255,'G-7 WaterC'' Data'!$AK$4:$AM$6,2,FALSE)=0,"Spatial Data Missing ⚠",VLOOKUP(I255,'G-7 WaterC'' Data'!$AK$4:$AM$6,2,FALSE)))</f>
        <v/>
      </c>
      <c r="K255" s="276" t="str">
        <f>IF(I255="","",IF(VLOOKUP(I255,'G-7 WaterC'' Data'!$AK$4:$AM$6,3,FALSE)=0,"Spatial Data Missing ⚠",VLOOKUP(I255,'G-7 WaterC'' Data'!$AK$4:$AM$6,3,FALSE)))</f>
        <v/>
      </c>
      <c r="L255" s="275" t="str">
        <f>IFERROR(INDEX('G-7 WaterC'' Data'!$O$3:$O$7,MATCH(G255,'G-7 WaterC'' Data'!$N$3:$N$7,0)),"")</f>
        <v/>
      </c>
      <c r="M255" s="58"/>
      <c r="N255" s="133"/>
      <c r="O255" s="283" t="str">
        <f t="shared" si="18"/>
        <v/>
      </c>
      <c r="P255" s="296" t="str">
        <f t="shared" si="19"/>
        <v/>
      </c>
      <c r="Q255" s="334" t="str">
        <f>IFERROR(IF(P255="Check Data ⚠","Check Data ⚠",VLOOKUP(P255,'G-4 Temporal multipliers'!$A$4:$C$37,3,FALSE)),"")</f>
        <v/>
      </c>
      <c r="R255" s="275" t="str">
        <f>IF(C255="","",VLOOKUP(C255,'G-7 WaterC'' Data'!$B$4:$G$8,4,FALSE))</f>
        <v/>
      </c>
      <c r="S255" s="283" t="str">
        <f t="shared" si="20"/>
        <v/>
      </c>
      <c r="T255" s="314" t="str">
        <f t="shared" si="21"/>
        <v/>
      </c>
      <c r="U255" s="276" t="str">
        <f>IF(C255="","",VLOOKUP(T255,'G-3 Multipliers'!$P$2:$Q$6,2,FALSE))</f>
        <v/>
      </c>
      <c r="V255" s="102"/>
      <c r="W255" s="276" t="str">
        <f>IF(V255="","",IF(AND(V255="N/A - Culvert",C255&lt;&gt;"Culvert"),"Not possible ▲",IF(AND(C255="Culvert",V255&lt;&gt;"N/A - Culvert"),"Not possible ▲",IF(VLOOKUP(V255,'G-7 WaterC'' Data'!$AA$4:$AB$7,2,FALSE)=0,"Spatial Data Missing ⚠",VLOOKUP(V255,'G-7 WaterC'' Data'!$AA$4:$AB$7,2,FALSE)))))</f>
        <v/>
      </c>
      <c r="X255" s="56"/>
      <c r="Y255" s="276" t="str">
        <f>IF(X255="","",IF(AND(X255="N/A - Culvert",C255&lt;&gt;"Culvert"),"Not possible ▲",IF(AND(C255="Culvert",X255&lt;&gt;"N/A - Culvert"),"Not possible ▲",IF(VLOOKUP(X255,'G-7 WaterC'' Data'!$AD$4:$AE$14,2,FALSE)=0,"Enrcoachment Data Missing ⚠",VLOOKUP(X255,'G-7 WaterC'' Data'!$AD$4:$AE$14,2,FALSE)))))</f>
        <v/>
      </c>
      <c r="Z255" s="317" t="str">
        <f t="shared" si="22"/>
        <v/>
      </c>
      <c r="AA255" s="101"/>
      <c r="AB255" s="115"/>
      <c r="AC255" s="104"/>
      <c r="AH255" s="30" t="str">
        <f>IFERROR(INDEX('G-7 WaterC'' Data'!$AZ$3:$AZ$7,MATCH(C255,'G-7 WaterC'' Data'!$AY$3:$AY$7,0)),"")</f>
        <v/>
      </c>
      <c r="AK255" s="30" t="str">
        <f t="shared" si="23"/>
        <v>No</v>
      </c>
    </row>
    <row r="256" spans="2:37" ht="14">
      <c r="B256" s="97">
        <v>245</v>
      </c>
      <c r="C256" s="920"/>
      <c r="D256" s="115"/>
      <c r="E256" s="275" t="str">
        <f>IF(C256="","",VLOOKUP(C256,'G-7 WaterC'' Data'!$B$2:$G$8,2,FALSE))</f>
        <v/>
      </c>
      <c r="F256" s="276" t="str">
        <f>IFERROR(VLOOKUP(E256,'G-7 WaterC'' Data'!$C$4:$D$8,2,FALSE),"")</f>
        <v/>
      </c>
      <c r="G256" s="101"/>
      <c r="H256" s="276" t="str">
        <f>IFERROR(INDEX('G-7 WaterC'' Data'!$H$4:$L$8,MATCH(C256,'G-7 WaterC'' Data'!$B$4:$B$8,0),MATCH(G256,'G-7 WaterC'' Data'!$H$3:$L$3,0)),"")</f>
        <v/>
      </c>
      <c r="I256" s="52"/>
      <c r="J256" s="283" t="str">
        <f>IF(I256="","",IF(VLOOKUP(I256,'G-7 WaterC'' Data'!$AK$4:$AM$6,2,FALSE)=0,"Spatial Data Missing ⚠",VLOOKUP(I256,'G-7 WaterC'' Data'!$AK$4:$AM$6,2,FALSE)))</f>
        <v/>
      </c>
      <c r="K256" s="276" t="str">
        <f>IF(I256="","",IF(VLOOKUP(I256,'G-7 WaterC'' Data'!$AK$4:$AM$6,3,FALSE)=0,"Spatial Data Missing ⚠",VLOOKUP(I256,'G-7 WaterC'' Data'!$AK$4:$AM$6,3,FALSE)))</f>
        <v/>
      </c>
      <c r="L256" s="275" t="str">
        <f>IFERROR(INDEX('G-7 WaterC'' Data'!$O$3:$O$7,MATCH(G256,'G-7 WaterC'' Data'!$N$3:$N$7,0)),"")</f>
        <v/>
      </c>
      <c r="M256" s="58"/>
      <c r="N256" s="133"/>
      <c r="O256" s="283" t="str">
        <f t="shared" si="18"/>
        <v/>
      </c>
      <c r="P256" s="296" t="str">
        <f t="shared" si="19"/>
        <v/>
      </c>
      <c r="Q256" s="334" t="str">
        <f>IFERROR(IF(P256="Check Data ⚠","Check Data ⚠",VLOOKUP(P256,'G-4 Temporal multipliers'!$A$4:$C$37,3,FALSE)),"")</f>
        <v/>
      </c>
      <c r="R256" s="275" t="str">
        <f>IF(C256="","",VLOOKUP(C256,'G-7 WaterC'' Data'!$B$4:$G$8,4,FALSE))</f>
        <v/>
      </c>
      <c r="S256" s="283" t="str">
        <f t="shared" si="20"/>
        <v/>
      </c>
      <c r="T256" s="314" t="str">
        <f t="shared" si="21"/>
        <v/>
      </c>
      <c r="U256" s="276" t="str">
        <f>IF(C256="","",VLOOKUP(T256,'G-3 Multipliers'!$P$2:$Q$6,2,FALSE))</f>
        <v/>
      </c>
      <c r="V256" s="102"/>
      <c r="W256" s="276" t="str">
        <f>IF(V256="","",IF(AND(V256="N/A - Culvert",C256&lt;&gt;"Culvert"),"Not possible ▲",IF(AND(C256="Culvert",V256&lt;&gt;"N/A - Culvert"),"Not possible ▲",IF(VLOOKUP(V256,'G-7 WaterC'' Data'!$AA$4:$AB$7,2,FALSE)=0,"Spatial Data Missing ⚠",VLOOKUP(V256,'G-7 WaterC'' Data'!$AA$4:$AB$7,2,FALSE)))))</f>
        <v/>
      </c>
      <c r="X256" s="56"/>
      <c r="Y256" s="276" t="str">
        <f>IF(X256="","",IF(AND(X256="N/A - Culvert",C256&lt;&gt;"Culvert"),"Not possible ▲",IF(AND(C256="Culvert",X256&lt;&gt;"N/A - Culvert"),"Not possible ▲",IF(VLOOKUP(X256,'G-7 WaterC'' Data'!$AD$4:$AE$14,2,FALSE)=0,"Enrcoachment Data Missing ⚠",VLOOKUP(X256,'G-7 WaterC'' Data'!$AD$4:$AE$14,2,FALSE)))))</f>
        <v/>
      </c>
      <c r="Z256" s="317" t="str">
        <f t="shared" si="22"/>
        <v/>
      </c>
      <c r="AA256" s="101"/>
      <c r="AB256" s="115"/>
      <c r="AC256" s="104"/>
      <c r="AH256" s="30" t="str">
        <f>IFERROR(INDEX('G-7 WaterC'' Data'!$AZ$3:$AZ$7,MATCH(C256,'G-7 WaterC'' Data'!$AY$3:$AY$7,0)),"")</f>
        <v/>
      </c>
      <c r="AK256" s="30" t="str">
        <f t="shared" si="23"/>
        <v>No</v>
      </c>
    </row>
    <row r="257" spans="2:37" ht="14">
      <c r="B257" s="97">
        <v>246</v>
      </c>
      <c r="C257" s="920"/>
      <c r="D257" s="115"/>
      <c r="E257" s="275" t="str">
        <f>IF(C257="","",VLOOKUP(C257,'G-7 WaterC'' Data'!$B$2:$G$8,2,FALSE))</f>
        <v/>
      </c>
      <c r="F257" s="276" t="str">
        <f>IFERROR(VLOOKUP(E257,'G-7 WaterC'' Data'!$C$4:$D$8,2,FALSE),"")</f>
        <v/>
      </c>
      <c r="G257" s="101"/>
      <c r="H257" s="276" t="str">
        <f>IFERROR(INDEX('G-7 WaterC'' Data'!$H$4:$L$8,MATCH(C257,'G-7 WaterC'' Data'!$B$4:$B$8,0),MATCH(G257,'G-7 WaterC'' Data'!$H$3:$L$3,0)),"")</f>
        <v/>
      </c>
      <c r="I257" s="52"/>
      <c r="J257" s="283" t="str">
        <f>IF(I257="","",IF(VLOOKUP(I257,'G-7 WaterC'' Data'!$AK$4:$AM$6,2,FALSE)=0,"Spatial Data Missing ⚠",VLOOKUP(I257,'G-7 WaterC'' Data'!$AK$4:$AM$6,2,FALSE)))</f>
        <v/>
      </c>
      <c r="K257" s="276" t="str">
        <f>IF(I257="","",IF(VLOOKUP(I257,'G-7 WaterC'' Data'!$AK$4:$AM$6,3,FALSE)=0,"Spatial Data Missing ⚠",VLOOKUP(I257,'G-7 WaterC'' Data'!$AK$4:$AM$6,3,FALSE)))</f>
        <v/>
      </c>
      <c r="L257" s="275" t="str">
        <f>IFERROR(INDEX('G-7 WaterC'' Data'!$O$3:$O$7,MATCH(G257,'G-7 WaterC'' Data'!$N$3:$N$7,0)),"")</f>
        <v/>
      </c>
      <c r="M257" s="58"/>
      <c r="N257" s="133"/>
      <c r="O257" s="283" t="str">
        <f t="shared" si="18"/>
        <v/>
      </c>
      <c r="P257" s="296" t="str">
        <f t="shared" si="19"/>
        <v/>
      </c>
      <c r="Q257" s="334" t="str">
        <f>IFERROR(IF(P257="Check Data ⚠","Check Data ⚠",VLOOKUP(P257,'G-4 Temporal multipliers'!$A$4:$C$37,3,FALSE)),"")</f>
        <v/>
      </c>
      <c r="R257" s="275" t="str">
        <f>IF(C257="","",VLOOKUP(C257,'G-7 WaterC'' Data'!$B$4:$G$8,4,FALSE))</f>
        <v/>
      </c>
      <c r="S257" s="283" t="str">
        <f t="shared" si="20"/>
        <v/>
      </c>
      <c r="T257" s="314" t="str">
        <f t="shared" si="21"/>
        <v/>
      </c>
      <c r="U257" s="276" t="str">
        <f>IF(C257="","",VLOOKUP(T257,'G-3 Multipliers'!$P$2:$Q$6,2,FALSE))</f>
        <v/>
      </c>
      <c r="V257" s="102"/>
      <c r="W257" s="276" t="str">
        <f>IF(V257="","",IF(AND(V257="N/A - Culvert",C257&lt;&gt;"Culvert"),"Not possible ▲",IF(AND(C257="Culvert",V257&lt;&gt;"N/A - Culvert"),"Not possible ▲",IF(VLOOKUP(V257,'G-7 WaterC'' Data'!$AA$4:$AB$7,2,FALSE)=0,"Spatial Data Missing ⚠",VLOOKUP(V257,'G-7 WaterC'' Data'!$AA$4:$AB$7,2,FALSE)))))</f>
        <v/>
      </c>
      <c r="X257" s="56"/>
      <c r="Y257" s="276" t="str">
        <f>IF(X257="","",IF(AND(X257="N/A - Culvert",C257&lt;&gt;"Culvert"),"Not possible ▲",IF(AND(C257="Culvert",X257&lt;&gt;"N/A - Culvert"),"Not possible ▲",IF(VLOOKUP(X257,'G-7 WaterC'' Data'!$AD$4:$AE$14,2,FALSE)=0,"Enrcoachment Data Missing ⚠",VLOOKUP(X257,'G-7 WaterC'' Data'!$AD$4:$AE$14,2,FALSE)))))</f>
        <v/>
      </c>
      <c r="Z257" s="317" t="str">
        <f t="shared" si="22"/>
        <v/>
      </c>
      <c r="AA257" s="101"/>
      <c r="AB257" s="115"/>
      <c r="AC257" s="104"/>
      <c r="AH257" s="30" t="str">
        <f>IFERROR(INDEX('G-7 WaterC'' Data'!$AZ$3:$AZ$7,MATCH(C257,'G-7 WaterC'' Data'!$AY$3:$AY$7,0)),"")</f>
        <v/>
      </c>
      <c r="AK257" s="30" t="str">
        <f t="shared" si="23"/>
        <v>No</v>
      </c>
    </row>
    <row r="258" spans="2:37" ht="14">
      <c r="B258" s="97">
        <v>247</v>
      </c>
      <c r="C258" s="920"/>
      <c r="D258" s="115"/>
      <c r="E258" s="275" t="str">
        <f>IF(C258="","",VLOOKUP(C258,'G-7 WaterC'' Data'!$B$2:$G$8,2,FALSE))</f>
        <v/>
      </c>
      <c r="F258" s="276" t="str">
        <f>IFERROR(VLOOKUP(E258,'G-7 WaterC'' Data'!$C$4:$D$8,2,FALSE),"")</f>
        <v/>
      </c>
      <c r="G258" s="101"/>
      <c r="H258" s="276" t="str">
        <f>IFERROR(INDEX('G-7 WaterC'' Data'!$H$4:$L$8,MATCH(C258,'G-7 WaterC'' Data'!$B$4:$B$8,0),MATCH(G258,'G-7 WaterC'' Data'!$H$3:$L$3,0)),"")</f>
        <v/>
      </c>
      <c r="I258" s="52"/>
      <c r="J258" s="283" t="str">
        <f>IF(I258="","",IF(VLOOKUP(I258,'G-7 WaterC'' Data'!$AK$4:$AM$6,2,FALSE)=0,"Spatial Data Missing ⚠",VLOOKUP(I258,'G-7 WaterC'' Data'!$AK$4:$AM$6,2,FALSE)))</f>
        <v/>
      </c>
      <c r="K258" s="276" t="str">
        <f>IF(I258="","",IF(VLOOKUP(I258,'G-7 WaterC'' Data'!$AK$4:$AM$6,3,FALSE)=0,"Spatial Data Missing ⚠",VLOOKUP(I258,'G-7 WaterC'' Data'!$AK$4:$AM$6,3,FALSE)))</f>
        <v/>
      </c>
      <c r="L258" s="275" t="str">
        <f>IFERROR(INDEX('G-7 WaterC'' Data'!$O$3:$O$7,MATCH(G258,'G-7 WaterC'' Data'!$N$3:$N$7,0)),"")</f>
        <v/>
      </c>
      <c r="M258" s="58"/>
      <c r="N258" s="133"/>
      <c r="O258" s="283" t="str">
        <f t="shared" si="18"/>
        <v/>
      </c>
      <c r="P258" s="296" t="str">
        <f t="shared" si="19"/>
        <v/>
      </c>
      <c r="Q258" s="334" t="str">
        <f>IFERROR(IF(P258="Check Data ⚠","Check Data ⚠",VLOOKUP(P258,'G-4 Temporal multipliers'!$A$4:$C$37,3,FALSE)),"")</f>
        <v/>
      </c>
      <c r="R258" s="275" t="str">
        <f>IF(C258="","",VLOOKUP(C258,'G-7 WaterC'' Data'!$B$4:$G$8,4,FALSE))</f>
        <v/>
      </c>
      <c r="S258" s="283" t="str">
        <f t="shared" si="20"/>
        <v/>
      </c>
      <c r="T258" s="314" t="str">
        <f t="shared" si="21"/>
        <v/>
      </c>
      <c r="U258" s="276" t="str">
        <f>IF(C258="","",VLOOKUP(T258,'G-3 Multipliers'!$P$2:$Q$6,2,FALSE))</f>
        <v/>
      </c>
      <c r="V258" s="102"/>
      <c r="W258" s="276" t="str">
        <f>IF(V258="","",IF(AND(V258="N/A - Culvert",C258&lt;&gt;"Culvert"),"Not possible ▲",IF(AND(C258="Culvert",V258&lt;&gt;"N/A - Culvert"),"Not possible ▲",IF(VLOOKUP(V258,'G-7 WaterC'' Data'!$AA$4:$AB$7,2,FALSE)=0,"Spatial Data Missing ⚠",VLOOKUP(V258,'G-7 WaterC'' Data'!$AA$4:$AB$7,2,FALSE)))))</f>
        <v/>
      </c>
      <c r="X258" s="56"/>
      <c r="Y258" s="276" t="str">
        <f>IF(X258="","",IF(AND(X258="N/A - Culvert",C258&lt;&gt;"Culvert"),"Not possible ▲",IF(AND(C258="Culvert",X258&lt;&gt;"N/A - Culvert"),"Not possible ▲",IF(VLOOKUP(X258,'G-7 WaterC'' Data'!$AD$4:$AE$14,2,FALSE)=0,"Enrcoachment Data Missing ⚠",VLOOKUP(X258,'G-7 WaterC'' Data'!$AD$4:$AE$14,2,FALSE)))))</f>
        <v/>
      </c>
      <c r="Z258" s="317" t="str">
        <f t="shared" si="22"/>
        <v/>
      </c>
      <c r="AA258" s="101"/>
      <c r="AB258" s="115"/>
      <c r="AC258" s="104"/>
      <c r="AH258" s="30" t="str">
        <f>IFERROR(INDEX('G-7 WaterC'' Data'!$AZ$3:$AZ$7,MATCH(C258,'G-7 WaterC'' Data'!$AY$3:$AY$7,0)),"")</f>
        <v/>
      </c>
      <c r="AK258" s="30" t="str">
        <f t="shared" si="23"/>
        <v>No</v>
      </c>
    </row>
    <row r="259" spans="2:37" ht="14.5" thickBot="1">
      <c r="B259" s="109">
        <v>248</v>
      </c>
      <c r="C259" s="921"/>
      <c r="D259" s="110"/>
      <c r="E259" s="277" t="str">
        <f>IF(C259="","",VLOOKUP(C259,'G-7 WaterC'' Data'!$B$2:$G$8,2,FALSE))</f>
        <v/>
      </c>
      <c r="F259" s="278" t="str">
        <f>IFERROR(VLOOKUP(E259,'G-7 WaterC'' Data'!$C$4:$D$8,2,FALSE),"")</f>
        <v/>
      </c>
      <c r="G259" s="101"/>
      <c r="H259" s="278" t="str">
        <f>IFERROR(INDEX('G-7 WaterC'' Data'!$H$4:$L$8,MATCH(C259,'G-7 WaterC'' Data'!$B$4:$B$8,0),MATCH(G259,'G-7 WaterC'' Data'!$H$3:$L$3,0)),"")</f>
        <v/>
      </c>
      <c r="I259" s="52"/>
      <c r="J259" s="283" t="str">
        <f>IF(I259="","",IF(VLOOKUP(I259,'G-7 WaterC'' Data'!$AK$4:$AM$6,2,FALSE)=0,"Spatial Data Missing ⚠",VLOOKUP(I259,'G-7 WaterC'' Data'!$AK$4:$AM$6,2,FALSE)))</f>
        <v/>
      </c>
      <c r="K259" s="276" t="str">
        <f>IF(I259="","",IF(VLOOKUP(I259,'G-7 WaterC'' Data'!$AK$4:$AM$6,3,FALSE)=0,"Spatial Data Missing ⚠",VLOOKUP(I259,'G-7 WaterC'' Data'!$AK$4:$AM$6,3,FALSE)))</f>
        <v/>
      </c>
      <c r="L259" s="277" t="str">
        <f>IFERROR(INDEX('G-7 WaterC'' Data'!$O$3:$O$7,MATCH(G259,'G-7 WaterC'' Data'!$N$3:$N$7,0)),"")</f>
        <v/>
      </c>
      <c r="M259" s="58"/>
      <c r="N259" s="141"/>
      <c r="O259" s="283" t="str">
        <f t="shared" si="18"/>
        <v/>
      </c>
      <c r="P259" s="296" t="str">
        <f t="shared" si="19"/>
        <v/>
      </c>
      <c r="Q259" s="334" t="str">
        <f>IFERROR(IF(P259="Check Data ⚠","Check Data ⚠",VLOOKUP(P259,'G-4 Temporal multipliers'!$A$4:$C$37,3,FALSE)),"")</f>
        <v/>
      </c>
      <c r="R259" s="277" t="str">
        <f>IF(C259="","",VLOOKUP(C259,'G-7 WaterC'' Data'!$B$4:$G$8,4,FALSE))</f>
        <v/>
      </c>
      <c r="S259" s="283" t="str">
        <f t="shared" si="20"/>
        <v/>
      </c>
      <c r="T259" s="314" t="str">
        <f t="shared" si="21"/>
        <v/>
      </c>
      <c r="U259" s="276" t="str">
        <f>IF(C259="","",VLOOKUP(T259,'G-3 Multipliers'!$P$2:$Q$6,2,FALSE))</f>
        <v/>
      </c>
      <c r="V259" s="102"/>
      <c r="W259" s="276" t="str">
        <f>IF(V259="","",IF(AND(V259="N/A - Culvert",C259&lt;&gt;"Culvert"),"Not possible ▲",IF(AND(C259="Culvert",V259&lt;&gt;"N/A - Culvert"),"Not possible ▲",IF(VLOOKUP(V259,'G-7 WaterC'' Data'!$AA$4:$AB$7,2,FALSE)=0,"Spatial Data Missing ⚠",VLOOKUP(V259,'G-7 WaterC'' Data'!$AA$4:$AB$7,2,FALSE)))))</f>
        <v/>
      </c>
      <c r="X259" s="56"/>
      <c r="Y259" s="276" t="str">
        <f>IF(X259="","",IF(AND(X259="N/A - Culvert",C259&lt;&gt;"Culvert"),"Not possible ▲",IF(AND(C259="Culvert",X259&lt;&gt;"N/A - Culvert"),"Not possible ▲",IF(VLOOKUP(X259,'G-7 WaterC'' Data'!$AD$4:$AE$14,2,FALSE)=0,"Enrcoachment Data Missing ⚠",VLOOKUP(X259,'G-7 WaterC'' Data'!$AD$4:$AE$14,2,FALSE)))))</f>
        <v/>
      </c>
      <c r="Z259" s="318" t="str">
        <f t="shared" si="22"/>
        <v/>
      </c>
      <c r="AA259" s="111"/>
      <c r="AB259" s="110"/>
      <c r="AC259" s="110"/>
      <c r="AH259" s="30" t="str">
        <f>IFERROR(INDEX('G-7 WaterC'' Data'!$AZ$3:$AZ$7,MATCH(C259,'G-7 WaterC'' Data'!$AY$3:$AY$7,0)),"")</f>
        <v/>
      </c>
      <c r="AK259" s="30" t="str">
        <f t="shared" si="23"/>
        <v>No</v>
      </c>
    </row>
    <row r="260" spans="2:37" ht="14.5" thickBot="1">
      <c r="B260" s="34"/>
      <c r="C260" s="178"/>
      <c r="D260" s="279">
        <f>SUM(D12:D259)</f>
        <v>0</v>
      </c>
      <c r="E260" s="34"/>
      <c r="F260" s="34"/>
      <c r="G260" s="34"/>
      <c r="H260" s="34"/>
      <c r="I260" s="34"/>
      <c r="J260" s="34"/>
      <c r="K260" s="34"/>
      <c r="L260" s="34"/>
      <c r="M260" s="34"/>
      <c r="N260" s="34"/>
      <c r="O260" s="34"/>
      <c r="P260" s="34"/>
      <c r="Q260" s="34"/>
      <c r="R260" s="34"/>
      <c r="S260" s="34"/>
      <c r="T260" s="34"/>
      <c r="U260" s="34"/>
      <c r="V260" s="34"/>
      <c r="W260" s="34"/>
      <c r="X260" s="1695"/>
      <c r="Y260" s="1695"/>
      <c r="Z260" s="279">
        <f>SUM(Z12:Z259)</f>
        <v>0</v>
      </c>
      <c r="AA260" s="34"/>
      <c r="AB260" s="34"/>
      <c r="AK260" s="30" t="str">
        <f t="shared" si="23"/>
        <v>No</v>
      </c>
    </row>
    <row r="261" ht="29.15" customHeight="1"/>
    <row r="262" ht="27" customHeight="1"/>
    <row r="263" ht="14"/>
    <row r="264" ht="14"/>
    <row r="265" ht="14" hidden="1"/>
    <row r="266" ht="14" hidden="1"/>
    <row r="267" ht="14" hidden="1"/>
  </sheetData>
  <sheetProtection algorithmName="SHA-512" hashValue="w/BsQ1ehk9LiPqOmF32/J4CrvRcYMvAdjHVmbRqE1ODNJjlRGs5O9aprFh4k7NLPYY+DlBwsMb2U1BsuF7x/tA==" saltValue="asYi/tlF+Npo68yaN7HC8w=="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22">
    <mergeCell ref="B2:E2"/>
    <mergeCell ref="B3:E4"/>
    <mergeCell ref="I10:K10"/>
    <mergeCell ref="C10:D10"/>
    <mergeCell ref="E10:F10"/>
    <mergeCell ref="G10:H10"/>
    <mergeCell ref="I4:L4"/>
    <mergeCell ref="I5:L5"/>
    <mergeCell ref="L10:Q10"/>
    <mergeCell ref="M5:O5"/>
    <mergeCell ref="I3:O3"/>
    <mergeCell ref="M4:O4"/>
    <mergeCell ref="V2:AA4"/>
    <mergeCell ref="R10:U10"/>
    <mergeCell ref="X260:Y260"/>
    <mergeCell ref="I6:L6"/>
    <mergeCell ref="M6:O6"/>
    <mergeCell ref="AA10:AC10"/>
    <mergeCell ref="V5:Z6"/>
    <mergeCell ref="V10:W10"/>
    <mergeCell ref="X10:Y10"/>
    <mergeCell ref="Z10:Z11"/>
  </mergeCells>
  <conditionalFormatting sqref="Z12:Z259">
    <cfRule type="containsText" priority="34" dxfId="1273" operator="containsText" text="Existing Value Not Required">
      <formula>NOT(ISERROR(SEARCH("Existing Value Not Required",Z12)))</formula>
    </cfRule>
    <cfRule type="containsText" priority="35" dxfId="1273" operator="containsText" text="Existing Value Required">
      <formula>NOT(ISERROR(SEARCH("Existing Value Required",Z12)))</formula>
    </cfRule>
  </conditionalFormatting>
  <conditionalFormatting sqref="J12:K259">
    <cfRule type="containsText" priority="33" dxfId="1281" operator="containsText" text="Spatial">
      <formula>NOT(ISERROR(SEARCH("Spatial",J12)))</formula>
    </cfRule>
  </conditionalFormatting>
  <conditionalFormatting sqref="O12:Q259">
    <cfRule type="cellIs" priority="21" dxfId="1267" operator="equal">
      <formula>"30+ ⚠"</formula>
    </cfRule>
    <cfRule type="containsText" priority="31" dxfId="1267" operator="containsText" text="Check">
      <formula>NOT(ISERROR(SEARCH("Check",O12)))</formula>
    </cfRule>
    <cfRule type="containsText" priority="32" dxfId="1273" operator="containsText" text="Error">
      <formula>NOT(ISERROR(SEARCH("Error",O12)))</formula>
    </cfRule>
  </conditionalFormatting>
  <conditionalFormatting sqref="S12:Z259">
    <cfRule type="containsText" priority="27" dxfId="1273" operator="containsText" text="Error">
      <formula>NOT(ISERROR(SEARCH("Error",S12)))</formula>
    </cfRule>
    <cfRule type="containsText" priority="28" dxfId="1267" operator="containsText" text="Check">
      <formula>NOT(ISERROR(SEARCH("Check",S12)))</formula>
    </cfRule>
  </conditionalFormatting>
  <conditionalFormatting sqref="S12:S259">
    <cfRule type="containsText" priority="1" dxfId="1281" operator="containsText" text="⚠">
      <formula>NOT(ISERROR(SEARCH("⚠",S12)))</formula>
    </cfRule>
    <cfRule type="beginsWith" priority="26" dxfId="1267" operator="beginsWith" text="No - Low Difficulty">
      <formula>LEFT(S12,LEN("No - Low Difficulty"))="No - Low Difficulty"</formula>
    </cfRule>
  </conditionalFormatting>
  <conditionalFormatting sqref="W12:W259">
    <cfRule type="containsText" priority="25" dxfId="1281" operator="containsText" text="Spatial">
      <formula>NOT(ISERROR(SEARCH("Spatial",W12)))</formula>
    </cfRule>
  </conditionalFormatting>
  <conditionalFormatting sqref="Y12:Y259">
    <cfRule type="containsText" priority="24" dxfId="1281" operator="containsText" text="Missing">
      <formula>NOT(ISERROR(SEARCH("Missing",Y12)))</formula>
    </cfRule>
  </conditionalFormatting>
  <conditionalFormatting sqref="H12:H259">
    <cfRule type="beginsWith" priority="23" dxfId="1273" operator="beginsWith" text="Not Possible">
      <formula>LEFT(H12,LEN("Not Possible"))="Not Possible"</formula>
    </cfRule>
  </conditionalFormatting>
  <conditionalFormatting sqref="V2 L7:P7">
    <cfRule type="containsText" priority="22" dxfId="1281" operator="containsText" text="Note">
      <formula>NOT(ISERROR(SEARCH("Note",L2)))</formula>
    </cfRule>
  </conditionalFormatting>
  <conditionalFormatting sqref="M4">
    <cfRule type="containsText" priority="19" dxfId="1273" operator="containsText" text="Error">
      <formula>NOT(ISERROR(SEARCH("Error",M4)))</formula>
    </cfRule>
    <cfRule type="containsText" priority="20" dxfId="1267" operator="containsText" text="Check">
      <formula>NOT(ISERROR(SEARCH("Check",M4)))</formula>
    </cfRule>
  </conditionalFormatting>
  <conditionalFormatting sqref="M5">
    <cfRule type="containsText" priority="3" dxfId="1273" operator="containsText" text="Error">
      <formula>NOT(ISERROR(SEARCH("Error",M5)))</formula>
    </cfRule>
    <cfRule type="containsText" priority="10" dxfId="1267" operator="containsText" text="Check">
      <formula>NOT(ISERROR(SEARCH("Check",M5)))</formula>
    </cfRule>
  </conditionalFormatting>
  <conditionalFormatting sqref="V2 V5">
    <cfRule type="containsText" priority="14" dxfId="1279" operator="containsText" text="Error">
      <formula>NOT(ISERROR(SEARCH("Error",V2)))</formula>
    </cfRule>
  </conditionalFormatting>
  <conditionalFormatting sqref="V5:Z6">
    <cfRule type="containsText" priority="13" dxfId="1281" operator="containsText" text="Check">
      <formula>NOT(ISERROR(SEARCH("Check",V5)))</formula>
    </cfRule>
  </conditionalFormatting>
  <conditionalFormatting sqref="M6">
    <cfRule type="containsText" priority="11" dxfId="1273" operator="containsText" text="No">
      <formula>NOT(ISERROR(SEARCH("No",M6)))</formula>
    </cfRule>
    <cfRule type="containsText" priority="12" dxfId="1253" operator="containsText" text="Yes">
      <formula>NOT(ISERROR(SEARCH("Yes",M6)))</formula>
    </cfRule>
  </conditionalFormatting>
  <conditionalFormatting sqref="M5:O5">
    <cfRule type="cellIs" priority="9" dxfId="881" operator="equal">
      <formula>0</formula>
    </cfRule>
    <cfRule type="cellIs" priority="451" dxfId="1273" operator="lessThan">
      <formula>0</formula>
    </cfRule>
  </conditionalFormatting>
  <conditionalFormatting sqref="M4:O6">
    <cfRule type="containsText" priority="8" dxfId="932" operator="containsText" text="N/A">
      <formula>NOT(ISERROR(SEARCH("N/A",M4)))</formula>
    </cfRule>
  </conditionalFormatting>
  <conditionalFormatting sqref="W1:W1048576">
    <cfRule type="containsText" priority="5" dxfId="1273" operator="containsText" text="Not possible">
      <formula>NOT(ISERROR(SEARCH("Not possible",W1)))</formula>
    </cfRule>
  </conditionalFormatting>
  <conditionalFormatting sqref="Y1:Y1048576">
    <cfRule type="containsText" priority="4" dxfId="1273" operator="containsText" text="Not possible">
      <formula>NOT(ISERROR(SEARCH("Not possible",Y1)))</formula>
    </cfRule>
  </conditionalFormatting>
  <conditionalFormatting sqref="J1:J1048576">
    <cfRule type="containsText" priority="2" dxfId="1273" operator="containsText" text="Not possible ">
      <formula>NOT(ISERROR(SEARCH("Not possible ",J1)))</formula>
    </cfRule>
  </conditionalFormatting>
  <conditionalFormatting sqref="M5:O5">
    <cfRule type="expression" priority="6" dxfId="1289">
      <formula>'Headline Results'!$H$10:$I$10=0</formula>
    </cfRule>
  </conditionalFormatting>
  <conditionalFormatting sqref="M5:O5">
    <cfRule type="cellIs" priority="7" dxfId="1294" operator="lessThan">
      <formula>Start!$F$22</formula>
    </cfRule>
    <cfRule type="cellIs" priority="452" dxfId="1284" operator="greaterThanOrEqual">
      <formula>Start!$F$22</formula>
    </cfRule>
  </conditionalFormatting>
  <dataValidations count="6">
    <dataValidation type="list" allowBlank="1" showInputMessage="1" showErrorMessage="1" sqref="G12:G259">
      <formula1>INDIRECT(AH12)</formula1>
    </dataValidation>
    <dataValidation type="list" allowBlank="1" showInputMessage="1" showErrorMessage="1" sqref="V12:V259">
      <formula1>IF(C12="Culvert",riparianencroachment2,riparianencroachment1)</formula1>
    </dataValidation>
    <dataValidation type="list" allowBlank="1" showInputMessage="1" showErrorMessage="1" sqref="X12:X259">
      <formula1>IF(C12="Culvert",Encroachment2,Encroachment1)</formula1>
    </dataValidation>
    <dataValidation type="list" allowBlank="1" showInputMessage="1" showErrorMessage="1" sqref="C12:C259">
      <formula1>'G-7 WaterC'' Data'!$B$4:$B$8</formula1>
    </dataValidation>
    <dataValidation type="list" allowBlank="1" showInputMessage="1" showErrorMessage="1" sqref="M12:N259">
      <formula1>'G-4 Temporal multipliers'!$A$42:$A$73</formula1>
    </dataValidation>
    <dataValidation type="list" allowBlank="1" showInputMessage="1" showErrorMessage="1" sqref="I12:I259">
      <formula1>'G-7 WaterC'' Data'!$AK$4:$AK$6</formula1>
    </dataValidation>
  </dataValidations>
  <pageMargins left="0.7" right="0.7" top="0.75" bottom="0.75" header="0.3" footer="0.3"/>
  <pageSetup horizontalDpi="90" verticalDpi="90" orientation="portrait" paperSize="9"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B2:BD260"/>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12.4542857142857" defaultRowHeight="34.4" customHeight="1" zeroHeight="1"/>
  <cols>
    <col min="1" max="1" width="2.57142857142857" style="30" customWidth="1"/>
    <col min="2" max="2" width="14.4285714285714" style="30" customWidth="1"/>
    <col min="3" max="3" width="41.4285714285714" style="30" customWidth="1"/>
    <col min="4" max="4" width="9" style="30" customWidth="1"/>
    <col min="5" max="5" width="18.5714285714286" style="30" customWidth="1"/>
    <col min="6" max="7" width="18.4285714285714" style="30" customWidth="1"/>
    <col min="8" max="8" width="19.4285714285714" style="30" customWidth="1"/>
    <col min="9" max="9" width="28.5714285714286" style="30" customWidth="1"/>
    <col min="10" max="10" width="28.4285714285714" style="30" customWidth="1"/>
    <col min="11" max="11" width="19.4285714285714" style="30" customWidth="1"/>
    <col min="12" max="12" width="29.4285714285714" style="30" customWidth="1"/>
    <col min="13" max="13" width="19.4285714285714" style="30" customWidth="1"/>
    <col min="14" max="14" width="45.5714285714286" style="30" customWidth="1"/>
    <col min="15" max="15" width="34.4285714285714" style="30" customWidth="1"/>
    <col min="16" max="16" width="46.5714285714286" style="30" customWidth="1"/>
    <col min="17" max="17" width="10" style="30" customWidth="1"/>
    <col min="18" max="18" width="19.4285714285714" style="30" customWidth="1"/>
    <col min="19" max="19" width="13.4285714285714" style="30" customWidth="1"/>
    <col min="20" max="20" width="12.5714285714286" style="30" bestFit="1" customWidth="1"/>
    <col min="21" max="21" width="12.5714285714286" style="30" customWidth="1"/>
    <col min="22" max="22" width="33.5714285714286" style="30" customWidth="1"/>
    <col min="23" max="23" width="15.4285714285714" style="30" customWidth="1"/>
    <col min="24" max="24" width="15" style="30" customWidth="1"/>
    <col min="25" max="25" width="18.4285714285714" style="30" customWidth="1"/>
    <col min="26" max="26" width="21" style="30" customWidth="1"/>
    <col min="27" max="27" width="24.4285714285714" style="30" customWidth="1"/>
    <col min="28" max="28" width="34.4285714285714" style="30" customWidth="1"/>
    <col min="29" max="29" width="18.4285714285714" style="30" customWidth="1"/>
    <col min="30" max="30" width="15.4285714285714" style="30" customWidth="1"/>
    <col min="31" max="31" width="16.5714285714286" style="30" customWidth="1"/>
    <col min="32" max="32" width="28.4285714285714" style="30" customWidth="1"/>
    <col min="33" max="33" width="16.4285714285714" style="30" customWidth="1"/>
    <col min="34" max="34" width="15.4285714285714" style="30" customWidth="1"/>
    <col min="35" max="35" width="17.5714285714286" style="30" customWidth="1"/>
    <col min="36" max="36" width="15.4285714285714" style="30" customWidth="1"/>
    <col min="37" max="37" width="19.5714285714286" style="30" customWidth="1"/>
    <col min="38" max="38" width="12.5714285714286" style="30" customWidth="1"/>
    <col min="39" max="39" width="15.4285714285714" style="30" customWidth="1"/>
    <col min="40" max="41" width="34.5714285714286" style="30" customWidth="1"/>
    <col min="42" max="42" width="14.4285714285714" style="30" customWidth="1"/>
    <col min="43" max="43" width="12.4285714285714" style="30" customWidth="1"/>
    <col min="44" max="44" width="12.4285714285714" style="30" hidden="1" customWidth="1"/>
    <col min="45" max="16382" width="0" style="30" hidden="1" customWidth="1"/>
    <col min="16383" max="16384" width="12.4285714285714" style="30"/>
  </cols>
  <sheetData>
    <row r="1" ht="20.9" customHeight="1" thickBot="1"/>
    <row r="2" spans="2:30" ht="27" customHeight="1" thickBot="1">
      <c r="B2" s="1728" t="str">
        <f>CONCATENATE("Project Name:"," ",Start!F12,"     ","Map Reference:"," ",Start!K55)</f>
        <v xml:space="preserve">Project Name: Land east of Calne Road, Lyneham     Map Reference: </v>
      </c>
      <c r="C2" s="1729"/>
      <c r="D2" s="1729"/>
      <c r="E2" s="1730"/>
      <c r="O2" s="1597" t="s">
        <v>475</v>
      </c>
      <c r="P2" s="1599"/>
      <c r="Q2" s="389"/>
      <c r="R2" s="89"/>
      <c r="S2" s="1681" t="str" cm="1">
        <f t="array" ref="S2">IF(OR(BD12:BD260="Yes"),"A 'Fairly' Category has been used for ditches - check evidence to ensure this is appropriate ⚠","")</f>
        <v/>
      </c>
      <c r="T2" s="1681"/>
      <c r="U2" s="1681"/>
      <c r="V2" s="1681"/>
      <c r="W2" s="1681"/>
      <c r="X2" s="1681"/>
      <c r="Y2" s="1715" t="str">
        <f>IF(OR(COUNTIF($Y$12:Y259,"*30+*")&gt;0,COUNTIF($AC$12:AC259,"*30+*")&gt;0),"Note; Habitat selected has a time to target condition greater than 30 years. Non standard agreement may be required. ⚠","")</f>
        <v/>
      </c>
      <c r="Z2" s="1715"/>
      <c r="AA2" s="1715"/>
      <c r="AB2" s="1715"/>
      <c r="AC2" s="1715"/>
      <c r="AD2" s="1715"/>
    </row>
    <row r="3" spans="2:30" ht="18" customHeight="1" thickBot="1">
      <c r="B3" s="1449" t="str">
        <f ca="1">MID(CELL("filename",A1),FIND("]",CELL("filename",A1))+1,256)</f>
        <v>C-3 On-Site WaterC' Enhancement</v>
      </c>
      <c r="C3" s="1450"/>
      <c r="D3" s="1450"/>
      <c r="E3" s="1451"/>
      <c r="O3" s="403" t="s">
        <v>306</v>
      </c>
      <c r="P3" s="390">
        <f>'Headline Results'!H49</f>
        <v>0</v>
      </c>
      <c r="Q3" s="388"/>
      <c r="S3" s="1681"/>
      <c r="T3" s="1681"/>
      <c r="U3" s="1681"/>
      <c r="V3" s="1681"/>
      <c r="W3" s="1681"/>
      <c r="X3" s="1681"/>
      <c r="Y3" s="1715"/>
      <c r="Z3" s="1715"/>
      <c r="AA3" s="1715"/>
      <c r="AB3" s="1715"/>
      <c r="AC3" s="1715"/>
      <c r="AD3" s="1715"/>
    </row>
    <row r="4" spans="2:30" ht="21" customHeight="1" thickBot="1">
      <c r="B4" s="1449"/>
      <c r="C4" s="1450"/>
      <c r="D4" s="1450"/>
      <c r="E4" s="1451"/>
      <c r="F4" s="1749" t="str" cm="1">
        <f t="array" ref="F4">IF(OR(AS12:AS257="Yes"),"👁 Enhanced irreplaceable habitats highlighted below ","")</f>
        <v/>
      </c>
      <c r="G4" s="1749"/>
      <c r="H4" s="1749"/>
      <c r="I4" s="1749"/>
      <c r="O4" s="385" t="s">
        <v>308</v>
      </c>
      <c r="P4" s="431">
        <f>'Headline Results'!H53</f>
        <v>0</v>
      </c>
      <c r="Q4" s="388"/>
      <c r="S4" s="1681"/>
      <c r="T4" s="1681"/>
      <c r="U4" s="1681"/>
      <c r="V4" s="1681"/>
      <c r="W4" s="1681"/>
      <c r="X4" s="1681"/>
      <c r="Y4" s="1715"/>
      <c r="Z4" s="1715"/>
      <c r="AA4" s="1715"/>
      <c r="AB4" s="1715"/>
      <c r="AC4" s="1715"/>
      <c r="AD4" s="1715"/>
    </row>
    <row r="5" spans="6:38" ht="15.65" customHeight="1" thickBot="1">
      <c r="F5" s="1749"/>
      <c r="G5" s="1749"/>
      <c r="H5" s="1749"/>
      <c r="I5" s="1749"/>
      <c r="O5" s="404" t="s">
        <v>310</v>
      </c>
      <c r="P5" s="383" t="str" cm="1">
        <f t="array" ref="P5">IF(OR('Trading Summary WaterC''s'!G5:H8="No ▲"),"No - check trading summary ▲","Yes ✓")</f>
        <v>Yes ✓</v>
      </c>
      <c r="Q5" s="388"/>
      <c r="R5" s="388"/>
      <c r="AH5" s="132"/>
      <c r="AI5" s="132"/>
      <c r="AJ5" s="132"/>
      <c r="AK5" s="132"/>
      <c r="AL5" s="132"/>
    </row>
    <row r="6" spans="6:42" ht="16.4" customHeight="1">
      <c r="F6" s="88"/>
      <c r="AM6" s="1749" t="str">
        <f>IFERROR(IF(AP6&gt;0,"Error - No enhancement - units less than baseline ▲"," "),"")</f>
        <v xml:space="preserve"> </v>
      </c>
      <c r="AN6" s="1749"/>
      <c r="AO6" s="1749"/>
      <c r="AP6" s="776" cm="1">
        <f t="array" ref="AP6">SUMPRODUCT(--(AM12:AM257&lt;AY12:AY257))</f>
        <v>0</v>
      </c>
    </row>
    <row r="7" ht="14"/>
    <row r="8" ht="14.5" thickBot="1"/>
    <row r="9" spans="3:39" ht="14.5" thickBot="1">
      <c r="C9" s="88"/>
      <c r="D9" s="88"/>
      <c r="E9" s="88"/>
      <c r="F9" s="88"/>
      <c r="G9" s="88"/>
      <c r="H9" s="88"/>
      <c r="I9" s="88"/>
      <c r="J9" s="88"/>
      <c r="K9" s="88"/>
      <c r="L9" s="88"/>
      <c r="M9" s="88"/>
      <c r="N9" s="1709" t="s">
        <v>371</v>
      </c>
      <c r="O9" s="1710"/>
      <c r="P9" s="1710"/>
      <c r="Q9" s="1710"/>
      <c r="R9" s="1710"/>
      <c r="S9" s="1710"/>
      <c r="T9" s="1710"/>
      <c r="U9" s="1710"/>
      <c r="V9" s="1710"/>
      <c r="W9" s="1710"/>
      <c r="X9" s="1710"/>
      <c r="Y9" s="1710"/>
      <c r="Z9" s="1710"/>
      <c r="AA9" s="1710"/>
      <c r="AB9" s="1710"/>
      <c r="AC9" s="1710"/>
      <c r="AD9" s="1710"/>
      <c r="AE9" s="1710"/>
      <c r="AF9" s="1710"/>
      <c r="AG9" s="1710"/>
      <c r="AH9" s="1710"/>
      <c r="AI9" s="1710"/>
      <c r="AJ9" s="1710"/>
      <c r="AK9" s="1710"/>
      <c r="AL9" s="1711"/>
      <c r="AM9" s="255"/>
    </row>
    <row r="10" spans="3:42" s="33" customFormat="1" ht="27" customHeight="1" thickBot="1">
      <c r="C10" s="1698" t="s">
        <v>372</v>
      </c>
      <c r="D10" s="1698"/>
      <c r="E10" s="1698"/>
      <c r="F10" s="1698"/>
      <c r="G10" s="1698"/>
      <c r="H10" s="1698"/>
      <c r="I10" s="1698"/>
      <c r="J10" s="1698"/>
      <c r="K10" s="1698"/>
      <c r="L10" s="1698"/>
      <c r="M10" s="1698"/>
      <c r="N10" s="1745" t="s">
        <v>495</v>
      </c>
      <c r="O10" s="1700" t="s">
        <v>374</v>
      </c>
      <c r="P10" s="1700"/>
      <c r="Q10" s="1723" t="s">
        <v>451</v>
      </c>
      <c r="R10" s="1723" t="s">
        <v>496</v>
      </c>
      <c r="S10" s="1723"/>
      <c r="T10" s="1723" t="s">
        <v>497</v>
      </c>
      <c r="U10" s="1723"/>
      <c r="V10" s="1745" t="s">
        <v>314</v>
      </c>
      <c r="W10" s="1746"/>
      <c r="X10" s="1747"/>
      <c r="Y10" s="1745" t="s">
        <v>428</v>
      </c>
      <c r="Z10" s="1746"/>
      <c r="AA10" s="1746"/>
      <c r="AB10" s="1746"/>
      <c r="AC10" s="1746"/>
      <c r="AD10" s="1747"/>
      <c r="AE10" s="1745" t="s">
        <v>429</v>
      </c>
      <c r="AF10" s="1746"/>
      <c r="AG10" s="1746"/>
      <c r="AH10" s="1747"/>
      <c r="AI10" s="1723" t="s">
        <v>477</v>
      </c>
      <c r="AJ10" s="1723"/>
      <c r="AK10" s="1745" t="s">
        <v>478</v>
      </c>
      <c r="AL10" s="1747"/>
      <c r="AM10" s="1723" t="s">
        <v>492</v>
      </c>
      <c r="AN10" s="1701" t="s">
        <v>318</v>
      </c>
      <c r="AO10" s="1702"/>
      <c r="AP10" s="1703"/>
    </row>
    <row r="11" spans="2:56" ht="62.25" customHeight="1" thickBot="1">
      <c r="B11" s="506" t="s">
        <v>380</v>
      </c>
      <c r="C11" s="116" t="s">
        <v>381</v>
      </c>
      <c r="D11" s="121" t="s">
        <v>451</v>
      </c>
      <c r="E11" s="121" t="s">
        <v>383</v>
      </c>
      <c r="F11" s="121" t="s">
        <v>384</v>
      </c>
      <c r="G11" s="121" t="s">
        <v>385</v>
      </c>
      <c r="H11" s="121" t="s">
        <v>386</v>
      </c>
      <c r="I11" s="121" t="s">
        <v>387</v>
      </c>
      <c r="J11" s="121" t="s">
        <v>314</v>
      </c>
      <c r="K11" s="121" t="s">
        <v>498</v>
      </c>
      <c r="L11" s="121" t="s">
        <v>315</v>
      </c>
      <c r="M11" s="120" t="s">
        <v>389</v>
      </c>
      <c r="N11" s="1793"/>
      <c r="O11" s="109" t="s">
        <v>467</v>
      </c>
      <c r="P11" s="608" t="s">
        <v>468</v>
      </c>
      <c r="Q11" s="1778"/>
      <c r="R11" s="109" t="s">
        <v>312</v>
      </c>
      <c r="S11" s="608" t="s">
        <v>328</v>
      </c>
      <c r="T11" s="109" t="s">
        <v>313</v>
      </c>
      <c r="U11" s="608" t="s">
        <v>328</v>
      </c>
      <c r="V11" s="109" t="s">
        <v>314</v>
      </c>
      <c r="W11" s="620" t="s">
        <v>314</v>
      </c>
      <c r="X11" s="608" t="s">
        <v>329</v>
      </c>
      <c r="Y11" s="109" t="s">
        <v>462</v>
      </c>
      <c r="Z11" s="620" t="s">
        <v>433</v>
      </c>
      <c r="AA11" s="620" t="s">
        <v>397</v>
      </c>
      <c r="AB11" s="620" t="s">
        <v>398</v>
      </c>
      <c r="AC11" s="620" t="s">
        <v>399</v>
      </c>
      <c r="AD11" s="608" t="s">
        <v>469</v>
      </c>
      <c r="AE11" s="109" t="s">
        <v>470</v>
      </c>
      <c r="AF11" s="620" t="s">
        <v>463</v>
      </c>
      <c r="AG11" s="620" t="s">
        <v>403</v>
      </c>
      <c r="AH11" s="608" t="s">
        <v>404</v>
      </c>
      <c r="AI11" s="109" t="s">
        <v>480</v>
      </c>
      <c r="AJ11" s="608" t="s">
        <v>481</v>
      </c>
      <c r="AK11" s="109" t="s">
        <v>482</v>
      </c>
      <c r="AL11" s="608" t="s">
        <v>481</v>
      </c>
      <c r="AM11" s="1778"/>
      <c r="AN11" s="112" t="s">
        <v>302</v>
      </c>
      <c r="AO11" s="530" t="s">
        <v>279</v>
      </c>
      <c r="AP11" s="617" t="s">
        <v>280</v>
      </c>
      <c r="AS11" s="30" t="s">
        <v>326</v>
      </c>
      <c r="AT11" s="33" t="s">
        <v>499</v>
      </c>
      <c r="AU11" s="33" t="s">
        <v>500</v>
      </c>
      <c r="AV11" s="168" t="s">
        <v>322</v>
      </c>
      <c r="AX11" s="30" t="s">
        <v>501</v>
      </c>
      <c r="AY11" s="33" t="s">
        <v>502</v>
      </c>
      <c r="AZ11" s="33" t="s">
        <v>503</v>
      </c>
      <c r="BA11" s="33" t="s">
        <v>504</v>
      </c>
      <c r="BD11" s="30" t="s">
        <v>505</v>
      </c>
    </row>
    <row r="12" spans="2:56" ht="14">
      <c r="B12" s="610" t="str">
        <f>'C-1 On-Site WaterC'' Baseline'!AP10</f>
        <v/>
      </c>
      <c r="C12" s="283" t="str">
        <f>IF(B12="","",VLOOKUP($B12,'C-1 On-Site WaterC'' Baseline'!$C$9:$R$257,2,FALSE))</f>
        <v/>
      </c>
      <c r="D12" s="283" t="str">
        <f>IF(C12="","",VLOOKUP($B12,'C-1 On-Site WaterC'' Baseline'!$C$9:$R$257,3,FALSE))</f>
        <v/>
      </c>
      <c r="E12" s="283" t="str">
        <f>IF(D12="","",VLOOKUP($B12,'C-1 On-Site WaterC'' Baseline'!$C$9:$R$257,4,FALSE))</f>
        <v/>
      </c>
      <c r="F12" s="283" t="str">
        <f>IF(E12="","",VLOOKUP($B12,'C-1 On-Site WaterC'' Baseline'!$C$9:$R$257,5,FALSE))</f>
        <v/>
      </c>
      <c r="G12" s="283" t="str">
        <f>IF(F12="","",VLOOKUP($B12,'C-1 On-Site WaterC'' Baseline'!$C$9:$R$257,6,FALSE))</f>
        <v/>
      </c>
      <c r="H12" s="283" t="str">
        <f>IF(G12="","",VLOOKUP($B12,'C-1 On-Site WaterC'' Baseline'!$C$9:$R$257,7,FALSE))</f>
        <v/>
      </c>
      <c r="I12" s="283" t="str">
        <f>IF(H12="","",VLOOKUP($B12,'C-1 On-Site WaterC'' Baseline'!$C$9:$R$257,8,FALSE))</f>
        <v/>
      </c>
      <c r="J12" s="283" t="str">
        <f>IF(I12="","",VLOOKUP($B12,'C-1 On-Site WaterC'' Baseline'!$C$9:$R$257,9,FALSE))</f>
        <v/>
      </c>
      <c r="K12" s="283" t="str">
        <f>IF(J12="","",VLOOKUP($B12,'C-1 On-Site WaterC'' Baseline'!$C$9:$R$257,10,FALSE))</f>
        <v/>
      </c>
      <c r="L12" s="283" t="str">
        <f>IF(B12="","",VLOOKUP($B12,'C-1 On-Site WaterC'' Baseline'!$C$9:$R$257,15,FALSE))</f>
        <v/>
      </c>
      <c r="M12" s="276" t="str">
        <f>IF(L12="","",VLOOKUP($B12,'C-1 On-Site WaterC'' Baseline'!$C$9:$R$257,16,FALSE))</f>
        <v/>
      </c>
      <c r="N12" s="245"/>
      <c r="O12" s="275" t="str">
        <f>IF(B12="","",IF(S12&lt;F12,"Error Trading Down ▲",E12&amp;" - "&amp;R12))</f>
        <v/>
      </c>
      <c r="P12" s="276" t="str">
        <f>IF(C12="","",IF(AND(N12&lt;&gt;C12,AS12="Yes"),"Error you cannot replace and irreplaceable habitat ▲",IF(AND(LEFT(C12,55)&lt;&gt;LEFT(N12,55),O12="High - High"),"Error - Not like for like ▲",IF(H12&gt;U12,"Error - Can not reduce condition ▲",IF(AND(C12&lt;&gt;N12,F12&lt;S12),"Lower Distinctiveness Habitat"&amp;" - "&amp;T12,G12&amp;" - "&amp;T12)))))</f>
        <v/>
      </c>
      <c r="Q12" s="336" t="str">
        <f>IF(N12="","",VLOOKUP(B12,'C-1 On-Site WaterC'' Baseline'!$C$10:$AC$257,20,FALSE))</f>
        <v/>
      </c>
      <c r="R12" s="275" t="str">
        <f>IF(N12="","",VLOOKUP(N12,'G-7 WaterC'' Data'!$B$2:$G$8,2,FALSE))</f>
        <v/>
      </c>
      <c r="S12" s="276" t="str">
        <f>IFERROR(VLOOKUP(R12,'G-7 WaterC'' Data'!$C$4:$D$8,2,FALSE),"")</f>
        <v/>
      </c>
      <c r="T12" s="591"/>
      <c r="U12" s="544" t="str">
        <f>IFERROR(INDEX('G-7 WaterC'' Data'!$H$4:$L$8,MATCH(N12,'G-7 WaterC'' Data'!$B$4:$B$8,0),MATCH(T12,'G-7 WaterC'' Data'!$H$3:$L$3,0)),"")</f>
        <v/>
      </c>
      <c r="V12" s="591"/>
      <c r="W12" s="283" t="str">
        <f>IF(V12="","",IF(VLOOKUP(V12,'G-7 WaterC'' Data'!$AK$4:$AM$6,2,FALSE)=0,"Spatial Data Missing ⚠",VLOOKUP(V12,'G-7 WaterC'' Data'!$AK$4:$AM$6,2,FALSE)))</f>
        <v/>
      </c>
      <c r="X12" s="544" t="str">
        <f>IF(V12="","",IF(VLOOKUP(V12,'G-7 WaterC'' Data'!$AK$4:$AM$6,3,FALSE)=0,"Spatial Data Missing ⚠",VLOOKUP(V12,'G-7 WaterC'' Data'!$AK$4:$AM$6,3,FALSE)))</f>
        <v/>
      </c>
      <c r="Y12" s="346" t="str">
        <f>IFERROR(IF(OR(LEFT(P12,5)="Error",LEFT(O12,5)="Error"),"Check Data ⚠",IF(F12&lt;S12,'G-7 WaterC'' Data'!$R$3,INDEX('G-7 WaterC'' Data'!$U$5:$Y$9,MATCH(G12,'G-7 WaterC'' Data'!$T$5:$T$9,0),MATCH(T12,'G-7 WaterC'' Data'!$U$4:$Y$4,0)))),"")</f>
        <v/>
      </c>
      <c r="Z12" s="592"/>
      <c r="AA12" s="592"/>
      <c r="AB12" s="280"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49" t="str">
        <f>IF(AB12="Error -both advance and delayed habitat creation ▲","Check Data ⚠",IF(AB12="Check Data ⚠","Check Data ⚠",IF(Y12="","",IF(Z12="30+",0,IF(AA12="30+","30+",IF(Y12+AA12&gt;30,"30+",IF(Y12+AA12-Z12&gt;0,Y12+AA12-Z12,IF(Y12-Z12&lt;0,0,Y12+AA12-Z12))))))))</f>
        <v/>
      </c>
      <c r="AD12" s="622" t="str">
        <f>IFERROR(IF(AC12="Check Data ⚠","Check Data ⚠",VLOOKUP(AC12,'G-4 Temporal multipliers'!$A$4:$C$37,3,FALSE)),"")</f>
        <v/>
      </c>
      <c r="AE12" s="346" t="str">
        <f>IF(N12="","",VLOOKUP(N12,'G-7 WaterC'' Data'!$B$4:$G$8,5,FALSE))</f>
        <v/>
      </c>
      <c r="AF12" s="280" t="str">
        <f>IF(N12="","",IF(AC12="Check Data ⚠","Check Data ⚠",IF(T12="","",IF($AB12="Check details - Is there evidence that habitat has reached target condition? ⚠","Low Difficulty - only applicable if all habitat created before losses ⚠","Standard difficulty applied"))))</f>
        <v/>
      </c>
      <c r="AG12" s="596" t="str">
        <f>(IF(AND(AF12="Standard difficulty applied",Y12&gt;Z12),AE12,IF(AND(AF12="Low Difficulty - only applicable if all habitat created before losses ⚠",Z12&gt;=Y12),"Low",AE12)))</f>
        <v/>
      </c>
      <c r="AH12" s="544" t="str">
        <f t="shared" si="0" ref="AH12:AH75">IF(N12="","",VLOOKUP(AG12,Difficulty,2,FALSE))</f>
        <v/>
      </c>
      <c r="AI12" s="591"/>
      <c r="AJ12" s="544" t="str">
        <f>IF(AI12="","",IF(AND(AI12="N/A - Culvert",N12&lt;&gt;"Culvert"),"Not possible ▲",IF(VLOOKUP(AI12,'G-7 WaterC'' Data'!$AA$4:$AB$7,2,FALSE)=0,"Spatial Data Missing ⚠",VLOOKUP(AI12,'G-7 WaterC'' Data'!$AA$4:$AB$7,2,FALSE))))</f>
        <v/>
      </c>
      <c r="AK12" s="623"/>
      <c r="AL12" s="544" t="str">
        <f>IF(AK12="","",IF(AND(AK12="N/A - Culvert",N12&lt;&gt;"Culvert"),"Not possible ▲",IF(VLOOKUP(AK12,'G-7 WaterC'' Data'!$AD$4:$AE$14,2,FALSE)=0,"Spatial Data Missing ⚠",VLOOKUP(AK12,'G-7 WaterC'' Data'!$AD$4:$AE$14,2,FALSE))))</f>
        <v/>
      </c>
      <c r="AM12" s="597" t="str">
        <f>IFERROR(IF(C12="","",IF(AND(N12&lt;&gt;"",M12=""),"Check Data ⚠",IF(Q12&gt;D12,((((Q12*S12*U12)-(D12*F12*H12))*(AH12*AD12))+(D12*F12*H12))*(AL12*X12*AJ12),((((Q12*S12*U12)-(Q12*F12*H12))*(AH12*AD12))+(Q12*F12*H12))*(AL12*X12*AJ12)))),"")</f>
        <v/>
      </c>
      <c r="AN12" s="591"/>
      <c r="AO12" s="607"/>
      <c r="AP12" s="115"/>
      <c r="AS12" s="30" t="str">
        <f>IF(B12="","",IF(ISNA(VLOOKUP($B12,'C-1 On-Site WaterC'' Baseline'!$C$8:$AD$257,17,FALSE)),"",(VLOOKUP($B12,'C-1 On-Site WaterC'' Baseline'!$C$8:$AD$257,17,FALSE))))</f>
        <v/>
      </c>
      <c r="AT12" s="30" t="str">
        <f>IF(B12="","",VLOOKUP($B12,'C-1 On-Site WaterC'' Baseline'!$C$9:$Z$257,12,FALSE))</f>
        <v/>
      </c>
      <c r="AU12" s="30" t="str">
        <f>IF(B12="","",VLOOKUP($B12,'C-1 On-Site WaterC'' Baseline'!$C$9:$Z$257,14,FALSE))</f>
        <v/>
      </c>
      <c r="AV12" s="30" t="str">
        <f>IFERROR(INDEX('G-7 WaterC'' Data'!$AZ$3:$AZ$7,MATCH(N12,'G-7 WaterC'' Data'!$AY$3:$AY$7,0)),"")</f>
        <v/>
      </c>
      <c r="AX12" s="30" t="str">
        <f>IF(B12="","",VLOOKUP($B12,'C-1 On-Site WaterC'' Baseline'!$C$9:$Y$257,22,FALSE))</f>
        <v/>
      </c>
      <c r="AY12" s="30" t="str">
        <f>IF(B12="","",IF(AX12&gt;M12,M12,IF((BA12+Q12)&gt;D12,M12-AZ12,AX12)))</f>
        <v/>
      </c>
      <c r="AZ12" s="30" t="str">
        <f>IF(B12="","",VLOOKUP($B12,'C-1 On-Site WaterC'' Baseline'!$C$9:$Y$257,21,FALSE))</f>
        <v/>
      </c>
      <c r="BA12" s="30" t="str">
        <f>IF(B12="","",VLOOKUP($B12,'C-1 On-Site WaterC'' Baseline'!$C$9:$Y$257,19,FALSE))</f>
        <v/>
      </c>
      <c r="BD12" s="30" t="str">
        <f>IF(AND(N12="Ditches",(OR(T12="Fairly Poor",T12="Fairly Good"))),"Yes","No")</f>
        <v>No</v>
      </c>
    </row>
    <row r="13" spans="2:56" ht="14">
      <c r="B13" s="305" t="str">
        <f>'C-1 On-Site WaterC'' Baseline'!AP11</f>
        <v/>
      </c>
      <c r="C13" s="295" t="str">
        <f>IF(B13="","",VLOOKUP($B13,'C-1 On-Site WaterC'' Baseline'!$C$9:$R$257,2,FALSE))</f>
        <v/>
      </c>
      <c r="D13" s="295" t="str">
        <f>IF(C13="","",VLOOKUP($B13,'C-1 On-Site WaterC'' Baseline'!$C$9:$R$257,3,FALSE))</f>
        <v/>
      </c>
      <c r="E13" s="295" t="str">
        <f>IF(D13="","",VLOOKUP($B13,'C-1 On-Site WaterC'' Baseline'!$C$9:$R$257,4,FALSE))</f>
        <v/>
      </c>
      <c r="F13" s="295" t="str">
        <f>IF(E13="","",VLOOKUP($B13,'C-1 On-Site WaterC'' Baseline'!$C$9:$R$257,5,FALSE))</f>
        <v/>
      </c>
      <c r="G13" s="295" t="str">
        <f>IF(F13="","",VLOOKUP($B13,'C-1 On-Site WaterC'' Baseline'!$C$9:$R$257,6,FALSE))</f>
        <v/>
      </c>
      <c r="H13" s="295" t="str">
        <f>IF(G13="","",VLOOKUP($B13,'C-1 On-Site WaterC'' Baseline'!$C$9:$R$257,7,FALSE))</f>
        <v/>
      </c>
      <c r="I13" s="295" t="str">
        <f>IF(H13="","",VLOOKUP($B13,'C-1 On-Site WaterC'' Baseline'!$C$9:$R$257,8,FALSE))</f>
        <v/>
      </c>
      <c r="J13" s="295" t="str">
        <f>IF(I13="","",VLOOKUP($B13,'C-1 On-Site WaterC'' Baseline'!$C$9:$R$257,9,FALSE))</f>
        <v/>
      </c>
      <c r="K13" s="295" t="str">
        <f>IF(J13="","",VLOOKUP($B13,'C-1 On-Site WaterC'' Baseline'!$C$9:$R$257,10,FALSE))</f>
        <v/>
      </c>
      <c r="L13" s="295" t="str">
        <f>IF(B13="","",VLOOKUP($B13,'C-1 On-Site WaterC'' Baseline'!$C$9:$R$257,15,FALSE))</f>
        <v/>
      </c>
      <c r="M13" s="299" t="str">
        <f>IF(L13="","",VLOOKUP($B13,'C-1 On-Site WaterC'' Baseline'!$C$9:$R$257,16,FALSE))</f>
        <v/>
      </c>
      <c r="N13" s="245"/>
      <c r="O13" s="275" t="str">
        <f t="shared" si="1" ref="O13:O76">IF(B13="","",IF(S13&lt;F13,"Error Trading Down ▲",E13&amp;" - "&amp;R13))</f>
        <v/>
      </c>
      <c r="P13" s="276" t="str">
        <f t="shared" si="2" ref="P13:P76">IF(C13="","",IF(AND(N13&lt;&gt;C13,AS13="Yes"),"Error you cannot replace and irreplaceable habitat ▲",IF(AND(LEFT(C13,55)&lt;&gt;LEFT(N13,55),O13="High - High"),"Error - Not like for like ▲",IF(H13&gt;U13,"Error - Can not reduce condition ▲",IF(AND(C13&lt;&gt;N13,F13&lt;S13),"Lower Distinctiveness Habitat"&amp;" - "&amp;T13,G13&amp;" - "&amp;T13)))))</f>
        <v/>
      </c>
      <c r="Q13" s="336" t="str">
        <f>IF(N13="","",VLOOKUP(B13,'C-1 On-Site WaterC'' Baseline'!$C$10:$AC$257,20,FALSE))</f>
        <v/>
      </c>
      <c r="R13" s="275" t="str">
        <f>IF(N13="","",VLOOKUP(N13,'G-7 WaterC'' Data'!$B$2:$G$8,2,FALSE))</f>
        <v/>
      </c>
      <c r="S13" s="276" t="str">
        <f>IFERROR(VLOOKUP(R13,'G-7 WaterC'' Data'!$C$4:$D$8,2,FALSE),"")</f>
        <v/>
      </c>
      <c r="T13" s="101"/>
      <c r="U13" s="276" t="str">
        <f>IFERROR(INDEX('G-7 WaterC'' Data'!$H$4:$L$8,MATCH(N13,'G-7 WaterC'' Data'!$B$4:$B$8,0),MATCH(T13,'G-7 WaterC'' Data'!$H$3:$L$3,0)),"")</f>
        <v/>
      </c>
      <c r="V13" s="101"/>
      <c r="W13" s="283" t="str">
        <f>IF(V13="","",IF(VLOOKUP(V13,'G-7 WaterC'' Data'!$AK$4:$AM$6,2,FALSE)=0,"Spatial Data Missing ⚠",VLOOKUP(V13,'G-7 WaterC'' Data'!$AK$4:$AM$6,2,FALSE)))</f>
        <v/>
      </c>
      <c r="X13" s="276" t="str">
        <f>IF(V13="","",IF(VLOOKUP(V13,'G-7 WaterC'' Data'!$AK$4:$AM$6,3,FALSE)=0,"Spatial Data Missing ⚠",VLOOKUP(V13,'G-7 WaterC'' Data'!$AK$4:$AM$6,3,FALSE)))</f>
        <v/>
      </c>
      <c r="Y13" s="275" t="str">
        <f>IFERROR(IF(OR(LEFT(P13,5)="Error",LEFT(O13,5)="Error"),"Check Data ⚠",IF(F13&lt;S13,'G-7 WaterC'' Data'!$R$3,INDEX('G-7 WaterC'' Data'!$U$5:$Y$9,MATCH(G13,'G-7 WaterC'' Data'!$T$5:$T$9,0),MATCH(T13,'G-7 WaterC'' Data'!$U$4:$Y$4,0)))),"")</f>
        <v/>
      </c>
      <c r="Z13" s="133"/>
      <c r="AA13" s="133"/>
      <c r="AB13" s="283" t="str">
        <f t="shared" si="3" ref="AB13:AB76">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296" t="str">
        <f t="shared" si="4" ref="AC13:AC76">IF(AB13="Error -both advance and delayed habitat creation ▲","Check Data ⚠",IF(AB13="Check Data ⚠","Check Data ⚠",IF(Y13="","",IF(Z13="30+",0,IF(AA13="30+","30+",IF(Y13+AA13&gt;30,"30+",IF(Y13+AA13-Z13&gt;0,Y13+AA13-Z13,IF(Y13-Z13&lt;0,0,Y13+AA13-Z13))))))))</f>
        <v/>
      </c>
      <c r="AD13" s="334" t="str">
        <f>IFERROR(IF(AC13="Check Data ⚠","Check Data ⚠",VLOOKUP(AC13,'G-4 Temporal multipliers'!$A$4:$C$37,3,FALSE)),"")</f>
        <v/>
      </c>
      <c r="AE13" s="275" t="str">
        <f>IF(N13="","",VLOOKUP(N13,'G-7 WaterC'' Data'!$B$4:$G$8,5,FALSE))</f>
        <v/>
      </c>
      <c r="AF13" s="283" t="str">
        <f t="shared" si="5" ref="AF13:AF76">IF(N13="","",IF(AC13="Check Data ⚠","Check Data ⚠",IF(T13="","",IF($AB13="Check details - Is there evidence that habitat has reached target condition? ⚠","Low Difficulty - only applicable if all habitat created before losses ⚠","Standard difficulty applied"))))</f>
        <v/>
      </c>
      <c r="AG13" s="314" t="str">
        <f t="shared" si="6" ref="AG13:AG76">(IF(AND(AF13="Standard difficulty applied",Y13&gt;Z13),AE13,IF(AND(AF13="Low Difficulty - only applicable if all habitat created before losses ⚠",Z13&gt;=Y13),"Low",AE13)))</f>
        <v/>
      </c>
      <c r="AH13" s="276" t="str">
        <f t="shared" si="0"/>
        <v/>
      </c>
      <c r="AI13" s="105"/>
      <c r="AJ13" s="276" t="str">
        <f>IF(AI13="","",IF(AND(AI13="N/A - Culvert",N13&lt;&gt;"Culvert"),"Not possible ▲",IF(VLOOKUP(AI13,'G-7 WaterC'' Data'!$AA$4:$AB$7,2,FALSE)=0,"Spatial Data Missing ⚠",VLOOKUP(AI13,'G-7 WaterC'' Data'!$AA$4:$AB$7,2,FALSE))))</f>
        <v/>
      </c>
      <c r="AK13" s="106"/>
      <c r="AL13" s="276" t="str">
        <f>IF(AK13="","",IF(AND(AK13="N/A - Culvert",N13&lt;&gt;"Culvert"),"Not possible ▲",IF(VLOOKUP(AK13,'G-7 WaterC'' Data'!$AD$4:$AE$14,2,FALSE)=0,"Spatial Data Missing ⚠",VLOOKUP(AK13,'G-7 WaterC'' Data'!$AD$4:$AE$14,2,FALSE))))</f>
        <v/>
      </c>
      <c r="AM13" s="317" t="str">
        <f t="shared" si="7" ref="AM13:AM76">IFERROR(IF(C13="","",IF(AND(N13&lt;&gt;"",M13=""),"Check Data ⚠",IF(Q13&gt;D13,((((Q13*S13*U13)-(D13*F13*H13))*(AH13*AD13))+(D13*F13*H13))*(AL13*X13*AJ13),((((Q13*S13*U13)-(Q13*F13*H13))*(AH13*AD13))+(Q13*F13*H13))*(AL13*X13*AJ13)))),"")</f>
        <v/>
      </c>
      <c r="AN13" s="101"/>
      <c r="AO13" s="115"/>
      <c r="AP13" s="104"/>
      <c r="AS13" s="30" t="str">
        <f>IF(B13="","",IF(ISNA(VLOOKUP($B13,'C-1 On-Site WaterC'' Baseline'!$C$8:$AD$257,17,FALSE)),"",(VLOOKUP($B13,'C-1 On-Site WaterC'' Baseline'!$C$8:$AD$257,17,FALSE))))</f>
        <v/>
      </c>
      <c r="AT13" s="30" t="str">
        <f>IF(B13="","",VLOOKUP($B13,'C-1 On-Site WaterC'' Baseline'!$C$9:$Z$257,12,FALSE))</f>
        <v/>
      </c>
      <c r="AU13" s="30" t="str">
        <f>IF(B13="","",VLOOKUP($B13,'C-1 On-Site WaterC'' Baseline'!$C$9:$Z$257,14,FALSE))</f>
        <v/>
      </c>
      <c r="AV13" s="30" t="str">
        <f>IFERROR(INDEX('G-7 WaterC'' Data'!$AZ$3:$AZ$7,MATCH(N13,'G-7 WaterC'' Data'!$AY$3:$AY$7,0)),"")</f>
        <v/>
      </c>
      <c r="AX13" s="30" t="str">
        <f>IF(B13="","",VLOOKUP($B13,'C-1 On-Site WaterC'' Baseline'!$C$9:$Y$257,22,FALSE))</f>
        <v/>
      </c>
      <c r="AY13" s="30" t="str">
        <f t="shared" si="8" ref="AY13:AY76">IF(B13="","",IF(AX13&gt;M13,M13,IF((BA13+Q13)&gt;D13,M13-AZ13,AX13)))</f>
        <v/>
      </c>
      <c r="AZ13" s="30" t="str">
        <f>IF(B13="","",VLOOKUP($B13,'C-1 On-Site WaterC'' Baseline'!$C$9:$Y$257,21,FALSE))</f>
        <v/>
      </c>
      <c r="BA13" s="30" t="str">
        <f>IF(B13="","",VLOOKUP($B13,'C-1 On-Site WaterC'' Baseline'!$C$9:$Y$257,19,FALSE))</f>
        <v/>
      </c>
      <c r="BD13" s="30" t="str">
        <f t="shared" si="9" ref="BD13:BD76">IF(AND(N13="Ditches",(OR(T13="Fairly Poor",T13="Fairly Good"))),"Yes","No")</f>
        <v>No</v>
      </c>
    </row>
    <row r="14" spans="2:56" ht="14">
      <c r="B14" s="305" t="str">
        <f>'C-1 On-Site WaterC'' Baseline'!AP12</f>
        <v/>
      </c>
      <c r="C14" s="295" t="str">
        <f>IF(B14="","",VLOOKUP($B14,'C-1 On-Site WaterC'' Baseline'!$C$9:$R$257,2,FALSE))</f>
        <v/>
      </c>
      <c r="D14" s="295" t="str">
        <f>IF(C14="","",VLOOKUP($B14,'C-1 On-Site WaterC'' Baseline'!$C$9:$R$257,3,FALSE))</f>
        <v/>
      </c>
      <c r="E14" s="295" t="str">
        <f>IF(D14="","",VLOOKUP($B14,'C-1 On-Site WaterC'' Baseline'!$C$9:$R$257,4,FALSE))</f>
        <v/>
      </c>
      <c r="F14" s="295" t="str">
        <f>IF(E14="","",VLOOKUP($B14,'C-1 On-Site WaterC'' Baseline'!$C$9:$R$257,5,FALSE))</f>
        <v/>
      </c>
      <c r="G14" s="295" t="str">
        <f>IF(F14="","",VLOOKUP($B14,'C-1 On-Site WaterC'' Baseline'!$C$9:$R$257,6,FALSE))</f>
        <v/>
      </c>
      <c r="H14" s="295" t="str">
        <f>IF(G14="","",VLOOKUP($B14,'C-1 On-Site WaterC'' Baseline'!$C$9:$R$257,7,FALSE))</f>
        <v/>
      </c>
      <c r="I14" s="295" t="str">
        <f>IF(H14="","",VLOOKUP($B14,'C-1 On-Site WaterC'' Baseline'!$C$9:$R$257,8,FALSE))</f>
        <v/>
      </c>
      <c r="J14" s="295" t="str">
        <f>IF(I14="","",VLOOKUP($B14,'C-1 On-Site WaterC'' Baseline'!$C$9:$R$257,9,FALSE))</f>
        <v/>
      </c>
      <c r="K14" s="295" t="str">
        <f>IF(J14="","",VLOOKUP($B14,'C-1 On-Site WaterC'' Baseline'!$C$9:$R$257,10,FALSE))</f>
        <v/>
      </c>
      <c r="L14" s="295" t="str">
        <f>IF(B14="","",VLOOKUP($B14,'C-1 On-Site WaterC'' Baseline'!$C$9:$R$257,15,FALSE))</f>
        <v/>
      </c>
      <c r="M14" s="299" t="str">
        <f>IF(L14="","",VLOOKUP($B14,'C-1 On-Site WaterC'' Baseline'!$C$9:$R$257,16,FALSE))</f>
        <v/>
      </c>
      <c r="N14" s="245"/>
      <c r="O14" s="275" t="str">
        <f t="shared" si="1"/>
        <v/>
      </c>
      <c r="P14" s="276" t="str">
        <f t="shared" si="2"/>
        <v/>
      </c>
      <c r="Q14" s="336" t="str">
        <f>IF(N14="","",VLOOKUP(B14,'C-1 On-Site WaterC'' Baseline'!$C$10:$AC$257,20,FALSE))</f>
        <v/>
      </c>
      <c r="R14" s="275" t="str">
        <f>IF(N14="","",VLOOKUP(N14,'G-7 WaterC'' Data'!$B$2:$G$8,2,FALSE))</f>
        <v/>
      </c>
      <c r="S14" s="276" t="str">
        <f>IFERROR(VLOOKUP(R14,'G-7 WaterC'' Data'!$C$4:$D$8,2,FALSE),"")</f>
        <v/>
      </c>
      <c r="T14" s="101"/>
      <c r="U14" s="276" t="str">
        <f>IFERROR(INDEX('G-7 WaterC'' Data'!$H$4:$L$8,MATCH(N14,'G-7 WaterC'' Data'!$B$4:$B$8,0),MATCH(T14,'G-7 WaterC'' Data'!$H$3:$L$3,0)),"")</f>
        <v/>
      </c>
      <c r="V14" s="101"/>
      <c r="W14" s="283" t="str">
        <f>IF(V14="","",IF(VLOOKUP(V14,'G-7 WaterC'' Data'!$AK$4:$AM$6,2,FALSE)=0,"Spatial Data Missing ⚠",VLOOKUP(V14,'G-7 WaterC'' Data'!$AK$4:$AM$6,2,FALSE)))</f>
        <v/>
      </c>
      <c r="X14" s="276" t="str">
        <f>IF(V14="","",IF(VLOOKUP(V14,'G-7 WaterC'' Data'!$AK$4:$AM$6,3,FALSE)=0,"Spatial Data Missing ⚠",VLOOKUP(V14,'G-7 WaterC'' Data'!$AK$4:$AM$6,3,FALSE)))</f>
        <v/>
      </c>
      <c r="Y14" s="275" t="str">
        <f>IFERROR(IF(OR(LEFT(P14,5)="Error",LEFT(O14,5)="Error"),"Check Data ⚠",IF(F14&lt;S14,'G-7 WaterC'' Data'!$R$3,INDEX('G-7 WaterC'' Data'!$U$5:$Y$9,MATCH(G14,'G-7 WaterC'' Data'!$T$5:$T$9,0),MATCH(T14,'G-7 WaterC'' Data'!$U$4:$Y$4,0)))),"")</f>
        <v/>
      </c>
      <c r="Z14" s="133"/>
      <c r="AA14" s="133"/>
      <c r="AB14" s="283" t="str">
        <f t="shared" si="3"/>
        <v/>
      </c>
      <c r="AC14" s="296" t="str">
        <f t="shared" si="4"/>
        <v/>
      </c>
      <c r="AD14" s="334" t="str">
        <f>IFERROR(IF(AC14="Check Data ⚠","Check Data ⚠",VLOOKUP(AC14,'G-4 Temporal multipliers'!$A$4:$C$37,3,FALSE)),"")</f>
        <v/>
      </c>
      <c r="AE14" s="275" t="str">
        <f>IF(N14="","",VLOOKUP(N14,'G-7 WaterC'' Data'!$B$4:$G$8,5,FALSE))</f>
        <v/>
      </c>
      <c r="AF14" s="283" t="str">
        <f t="shared" si="5"/>
        <v/>
      </c>
      <c r="AG14" s="314" t="str">
        <f t="shared" si="6"/>
        <v/>
      </c>
      <c r="AH14" s="276" t="str">
        <f t="shared" si="0"/>
        <v/>
      </c>
      <c r="AI14" s="105"/>
      <c r="AJ14" s="276" t="str">
        <f>IF(AI14="","",IF(AND(AI14="N/A - Culvert",N14&lt;&gt;"Culvert"),"Not possible ▲",IF(VLOOKUP(AI14,'G-7 WaterC'' Data'!$AA$4:$AB$7,2,FALSE)=0,"Spatial Data Missing ⚠",VLOOKUP(AI14,'G-7 WaterC'' Data'!$AA$4:$AB$7,2,FALSE))))</f>
        <v/>
      </c>
      <c r="AK14" s="106"/>
      <c r="AL14" s="276" t="str">
        <f>IF(AK14="","",IF(AND(AK14="N/A - Culvert",N14&lt;&gt;"Culvert"),"Not possible ▲",IF(VLOOKUP(AK14,'G-7 WaterC'' Data'!$AD$4:$AE$14,2,FALSE)=0,"Spatial Data Missing ⚠",VLOOKUP(AK14,'G-7 WaterC'' Data'!$AD$4:$AE$14,2,FALSE))))</f>
        <v/>
      </c>
      <c r="AM14" s="317" t="str">
        <f t="shared" si="7"/>
        <v/>
      </c>
      <c r="AN14" s="101"/>
      <c r="AO14" s="115"/>
      <c r="AP14" s="104"/>
      <c r="AS14" s="30" t="str">
        <f>IF(B14="","",IF(ISNA(VLOOKUP($B14,'C-1 On-Site WaterC'' Baseline'!$C$8:$AD$257,17,FALSE)),"",(VLOOKUP($B14,'C-1 On-Site WaterC'' Baseline'!$C$8:$AD$257,17,FALSE))))</f>
        <v/>
      </c>
      <c r="AT14" s="30" t="str">
        <f>IF(B14="","",VLOOKUP($B14,'C-1 On-Site WaterC'' Baseline'!$C$9:$Z$257,12,FALSE))</f>
        <v/>
      </c>
      <c r="AU14" s="30" t="str">
        <f>IF(B14="","",VLOOKUP($B14,'C-1 On-Site WaterC'' Baseline'!$C$9:$Z$257,14,FALSE))</f>
        <v/>
      </c>
      <c r="AV14" s="30" t="str">
        <f>IFERROR(INDEX('G-7 WaterC'' Data'!$AZ$3:$AZ$7,MATCH(N14,'G-7 WaterC'' Data'!$AY$3:$AY$7,0)),"")</f>
        <v/>
      </c>
      <c r="AX14" s="30" t="str">
        <f>IF(B14="","",VLOOKUP($B14,'C-1 On-Site WaterC'' Baseline'!$C$9:$Y$257,22,FALSE))</f>
        <v/>
      </c>
      <c r="AY14" s="30" t="str">
        <f t="shared" si="8"/>
        <v/>
      </c>
      <c r="AZ14" s="30" t="str">
        <f>IF(B14="","",VLOOKUP($B14,'C-1 On-Site WaterC'' Baseline'!$C$9:$Y$257,21,FALSE))</f>
        <v/>
      </c>
      <c r="BA14" s="30" t="str">
        <f>IF(B14="","",VLOOKUP($B14,'C-1 On-Site WaterC'' Baseline'!$C$9:$Y$257,19,FALSE))</f>
        <v/>
      </c>
      <c r="BD14" s="30" t="str">
        <f t="shared" si="9"/>
        <v>No</v>
      </c>
    </row>
    <row r="15" spans="2:56" ht="14">
      <c r="B15" s="305" t="str">
        <f>'C-1 On-Site WaterC'' Baseline'!AP13</f>
        <v/>
      </c>
      <c r="C15" s="295" t="str">
        <f>IF(B15="","",VLOOKUP($B15,'C-1 On-Site WaterC'' Baseline'!$C$9:$R$257,2,FALSE))</f>
        <v/>
      </c>
      <c r="D15" s="295" t="str">
        <f>IF(C15="","",VLOOKUP($B15,'C-1 On-Site WaterC'' Baseline'!$C$9:$R$257,3,FALSE))</f>
        <v/>
      </c>
      <c r="E15" s="295" t="str">
        <f>IF(D15="","",VLOOKUP($B15,'C-1 On-Site WaterC'' Baseline'!$C$9:$R$257,4,FALSE))</f>
        <v/>
      </c>
      <c r="F15" s="295" t="str">
        <f>IF(E15="","",VLOOKUP($B15,'C-1 On-Site WaterC'' Baseline'!$C$9:$R$257,5,FALSE))</f>
        <v/>
      </c>
      <c r="G15" s="295" t="str">
        <f>IF(F15="","",VLOOKUP($B15,'C-1 On-Site WaterC'' Baseline'!$C$9:$R$257,6,FALSE))</f>
        <v/>
      </c>
      <c r="H15" s="295" t="str">
        <f>IF(G15="","",VLOOKUP($B15,'C-1 On-Site WaterC'' Baseline'!$C$9:$R$257,7,FALSE))</f>
        <v/>
      </c>
      <c r="I15" s="295" t="str">
        <f>IF(H15="","",VLOOKUP($B15,'C-1 On-Site WaterC'' Baseline'!$C$9:$R$257,8,FALSE))</f>
        <v/>
      </c>
      <c r="J15" s="295" t="str">
        <f>IF(I15="","",VLOOKUP($B15,'C-1 On-Site WaterC'' Baseline'!$C$9:$R$257,9,FALSE))</f>
        <v/>
      </c>
      <c r="K15" s="295" t="str">
        <f>IF(J15="","",VLOOKUP($B15,'C-1 On-Site WaterC'' Baseline'!$C$9:$R$257,10,FALSE))</f>
        <v/>
      </c>
      <c r="L15" s="295" t="str">
        <f>IF(B15="","",VLOOKUP($B15,'C-1 On-Site WaterC'' Baseline'!$C$9:$R$257,15,FALSE))</f>
        <v/>
      </c>
      <c r="M15" s="299" t="str">
        <f>IF(L15="","",VLOOKUP($B15,'C-1 On-Site WaterC'' Baseline'!$C$9:$R$257,16,FALSE))</f>
        <v/>
      </c>
      <c r="N15" s="245"/>
      <c r="O15" s="275" t="str">
        <f t="shared" si="1"/>
        <v/>
      </c>
      <c r="P15" s="276" t="str">
        <f t="shared" si="2"/>
        <v/>
      </c>
      <c r="Q15" s="336" t="str">
        <f>IF(N15="","",VLOOKUP(B15,'C-1 On-Site WaterC'' Baseline'!$C$10:$AC$257,20,FALSE))</f>
        <v/>
      </c>
      <c r="R15" s="275" t="str">
        <f>IF(N15="","",VLOOKUP(N15,'G-7 WaterC'' Data'!$B$2:$G$8,2,FALSE))</f>
        <v/>
      </c>
      <c r="S15" s="276" t="str">
        <f>IFERROR(VLOOKUP(R15,'G-7 WaterC'' Data'!$C$4:$D$8,2,FALSE),"")</f>
        <v/>
      </c>
      <c r="T15" s="101"/>
      <c r="U15" s="276" t="str">
        <f>IFERROR(INDEX('G-7 WaterC'' Data'!$H$4:$L$8,MATCH(N15,'G-7 WaterC'' Data'!$B$4:$B$8,0),MATCH(T15,'G-7 WaterC'' Data'!$H$3:$L$3,0)),"")</f>
        <v/>
      </c>
      <c r="V15" s="101"/>
      <c r="W15" s="283" t="str">
        <f>IF(V15="","",IF(VLOOKUP(V15,'G-7 WaterC'' Data'!$AK$4:$AM$6,2,FALSE)=0,"Spatial Data Missing ⚠",VLOOKUP(V15,'G-7 WaterC'' Data'!$AK$4:$AM$6,2,FALSE)))</f>
        <v/>
      </c>
      <c r="X15" s="276" t="str">
        <f>IF(V15="","",IF(VLOOKUP(V15,'G-7 WaterC'' Data'!$AK$4:$AM$6,3,FALSE)=0,"Spatial Data Missing ⚠",VLOOKUP(V15,'G-7 WaterC'' Data'!$AK$4:$AM$6,3,FALSE)))</f>
        <v/>
      </c>
      <c r="Y15" s="275" t="str">
        <f>IFERROR(IF(OR(LEFT(P15,5)="Error",LEFT(O15,5)="Error"),"Check Data ⚠",IF(F15&lt;S15,'G-7 WaterC'' Data'!$R$3,INDEX('G-7 WaterC'' Data'!$U$5:$Y$9,MATCH(G15,'G-7 WaterC'' Data'!$T$5:$T$9,0),MATCH(T15,'G-7 WaterC'' Data'!$U$4:$Y$4,0)))),"")</f>
        <v/>
      </c>
      <c r="Z15" s="133"/>
      <c r="AA15" s="133"/>
      <c r="AB15" s="283" t="str">
        <f t="shared" si="3"/>
        <v/>
      </c>
      <c r="AC15" s="296" t="str">
        <f t="shared" si="4"/>
        <v/>
      </c>
      <c r="AD15" s="334" t="str">
        <f>IFERROR(IF(AC15="Check Data ⚠","Check Data ⚠",VLOOKUP(AC15,'G-4 Temporal multipliers'!$A$4:$C$37,3,FALSE)),"")</f>
        <v/>
      </c>
      <c r="AE15" s="275" t="str">
        <f>IF(N15="","",VLOOKUP(N15,'G-7 WaterC'' Data'!$B$4:$G$8,5,FALSE))</f>
        <v/>
      </c>
      <c r="AF15" s="283" t="str">
        <f t="shared" si="5"/>
        <v/>
      </c>
      <c r="AG15" s="314" t="str">
        <f t="shared" si="6"/>
        <v/>
      </c>
      <c r="AH15" s="276" t="str">
        <f t="shared" si="0"/>
        <v/>
      </c>
      <c r="AI15" s="105"/>
      <c r="AJ15" s="276" t="str">
        <f>IF(AI15="","",IF(AND(AI15="N/A - Culvert",N15&lt;&gt;"Culvert"),"Not possible ▲",IF(VLOOKUP(AI15,'G-7 WaterC'' Data'!$AA$4:$AB$7,2,FALSE)=0,"Spatial Data Missing ⚠",VLOOKUP(AI15,'G-7 WaterC'' Data'!$AA$4:$AB$7,2,FALSE))))</f>
        <v/>
      </c>
      <c r="AK15" s="106"/>
      <c r="AL15" s="276" t="str">
        <f>IF(AK15="","",IF(AND(AK15="N/A - Culvert",N15&lt;&gt;"Culvert"),"Not possible ▲",IF(VLOOKUP(AK15,'G-7 WaterC'' Data'!$AD$4:$AE$14,2,FALSE)=0,"Spatial Data Missing ⚠",VLOOKUP(AK15,'G-7 WaterC'' Data'!$AD$4:$AE$14,2,FALSE))))</f>
        <v/>
      </c>
      <c r="AM15" s="317" t="str">
        <f t="shared" si="7"/>
        <v/>
      </c>
      <c r="AN15" s="101"/>
      <c r="AO15" s="115"/>
      <c r="AP15" s="104"/>
      <c r="AS15" s="30" t="str">
        <f>IF(B15="","",IF(ISNA(VLOOKUP($B15,'C-1 On-Site WaterC'' Baseline'!$C$8:$AD$257,17,FALSE)),"",(VLOOKUP($B15,'C-1 On-Site WaterC'' Baseline'!$C$8:$AD$257,17,FALSE))))</f>
        <v/>
      </c>
      <c r="AT15" s="30" t="str">
        <f>IF(B15="","",VLOOKUP($B15,'C-1 On-Site WaterC'' Baseline'!$C$9:$Z$257,12,FALSE))</f>
        <v/>
      </c>
      <c r="AU15" s="30" t="str">
        <f>IF(B15="","",VLOOKUP($B15,'C-1 On-Site WaterC'' Baseline'!$C$9:$Z$257,14,FALSE))</f>
        <v/>
      </c>
      <c r="AV15" s="30" t="str">
        <f>IFERROR(INDEX('G-7 WaterC'' Data'!$AZ$3:$AZ$7,MATCH(N15,'G-7 WaterC'' Data'!$AY$3:$AY$7,0)),"")</f>
        <v/>
      </c>
      <c r="AX15" s="30" t="str">
        <f>IF(B15="","",VLOOKUP($B15,'C-1 On-Site WaterC'' Baseline'!$C$9:$Y$257,22,FALSE))</f>
        <v/>
      </c>
      <c r="AY15" s="30" t="str">
        <f t="shared" si="8"/>
        <v/>
      </c>
      <c r="AZ15" s="30" t="str">
        <f>IF(B15="","",VLOOKUP($B15,'C-1 On-Site WaterC'' Baseline'!$C$9:$Y$257,21,FALSE))</f>
        <v/>
      </c>
      <c r="BA15" s="30" t="str">
        <f>IF(B15="","",VLOOKUP($B15,'C-1 On-Site WaterC'' Baseline'!$C$9:$Y$257,19,FALSE))</f>
        <v/>
      </c>
      <c r="BD15" s="30" t="str">
        <f t="shared" si="9"/>
        <v>No</v>
      </c>
    </row>
    <row r="16" spans="2:56" ht="14">
      <c r="B16" s="305" t="str">
        <f>'C-1 On-Site WaterC'' Baseline'!AP14</f>
        <v/>
      </c>
      <c r="C16" s="295" t="str">
        <f>IF(B16="","",VLOOKUP($B16,'C-1 On-Site WaterC'' Baseline'!$C$9:$R$257,2,FALSE))</f>
        <v/>
      </c>
      <c r="D16" s="295" t="str">
        <f>IF(C16="","",VLOOKUP($B16,'C-1 On-Site WaterC'' Baseline'!$C$9:$R$257,3,FALSE))</f>
        <v/>
      </c>
      <c r="E16" s="295" t="str">
        <f>IF(D16="","",VLOOKUP($B16,'C-1 On-Site WaterC'' Baseline'!$C$9:$R$257,4,FALSE))</f>
        <v/>
      </c>
      <c r="F16" s="295" t="str">
        <f>IF(E16="","",VLOOKUP($B16,'C-1 On-Site WaterC'' Baseline'!$C$9:$R$257,5,FALSE))</f>
        <v/>
      </c>
      <c r="G16" s="295" t="str">
        <f>IF(F16="","",VLOOKUP($B16,'C-1 On-Site WaterC'' Baseline'!$C$9:$R$257,6,FALSE))</f>
        <v/>
      </c>
      <c r="H16" s="295" t="str">
        <f>IF(G16="","",VLOOKUP($B16,'C-1 On-Site WaterC'' Baseline'!$C$9:$R$257,7,FALSE))</f>
        <v/>
      </c>
      <c r="I16" s="295" t="str">
        <f>IF(H16="","",VLOOKUP($B16,'C-1 On-Site WaterC'' Baseline'!$C$9:$R$257,8,FALSE))</f>
        <v/>
      </c>
      <c r="J16" s="295" t="str">
        <f>IF(I16="","",VLOOKUP($B16,'C-1 On-Site WaterC'' Baseline'!$C$9:$R$257,9,FALSE))</f>
        <v/>
      </c>
      <c r="K16" s="295" t="str">
        <f>IF(J16="","",VLOOKUP($B16,'C-1 On-Site WaterC'' Baseline'!$C$9:$R$257,10,FALSE))</f>
        <v/>
      </c>
      <c r="L16" s="295" t="str">
        <f>IF(B16="","",VLOOKUP($B16,'C-1 On-Site WaterC'' Baseline'!$C$9:$R$257,15,FALSE))</f>
        <v/>
      </c>
      <c r="M16" s="299" t="str">
        <f>IF(L16="","",VLOOKUP($B16,'C-1 On-Site WaterC'' Baseline'!$C$9:$R$257,16,FALSE))</f>
        <v/>
      </c>
      <c r="N16" s="245"/>
      <c r="O16" s="275" t="str">
        <f t="shared" si="1"/>
        <v/>
      </c>
      <c r="P16" s="276" t="str">
        <f t="shared" si="2"/>
        <v/>
      </c>
      <c r="Q16" s="336" t="str">
        <f>IF(N16="","",VLOOKUP(B16,'C-1 On-Site WaterC'' Baseline'!$C$10:$AC$257,20,FALSE))</f>
        <v/>
      </c>
      <c r="R16" s="275" t="str">
        <f>IF(N16="","",VLOOKUP(N16,'G-7 WaterC'' Data'!$B$2:$G$8,2,FALSE))</f>
        <v/>
      </c>
      <c r="S16" s="276" t="str">
        <f>IFERROR(VLOOKUP(R16,'G-7 WaterC'' Data'!$C$4:$D$8,2,FALSE),"")</f>
        <v/>
      </c>
      <c r="T16" s="101"/>
      <c r="U16" s="276" t="str">
        <f>IFERROR(INDEX('G-7 WaterC'' Data'!$H$4:$L$8,MATCH(N16,'G-7 WaterC'' Data'!$B$4:$B$8,0),MATCH(T16,'G-7 WaterC'' Data'!$H$3:$L$3,0)),"")</f>
        <v/>
      </c>
      <c r="V16" s="101"/>
      <c r="W16" s="283" t="str">
        <f>IF(V16="","",IF(VLOOKUP(V16,'G-7 WaterC'' Data'!$AK$4:$AM$6,2,FALSE)=0,"Spatial Data Missing ⚠",VLOOKUP(V16,'G-7 WaterC'' Data'!$AK$4:$AM$6,2,FALSE)))</f>
        <v/>
      </c>
      <c r="X16" s="276" t="str">
        <f>IF(V16="","",IF(VLOOKUP(V16,'G-7 WaterC'' Data'!$AK$4:$AM$6,3,FALSE)=0,"Spatial Data Missing ⚠",VLOOKUP(V16,'G-7 WaterC'' Data'!$AK$4:$AM$6,3,FALSE)))</f>
        <v/>
      </c>
      <c r="Y16" s="275" t="str">
        <f>IFERROR(IF(OR(LEFT(P16,5)="Error",LEFT(O16,5)="Error"),"Check Data ⚠",IF(F16&lt;S16,'G-7 WaterC'' Data'!$R$3,INDEX('G-7 WaterC'' Data'!$U$5:$Y$9,MATCH(G16,'G-7 WaterC'' Data'!$T$5:$T$9,0),MATCH(T16,'G-7 WaterC'' Data'!$U$4:$Y$4,0)))),"")</f>
        <v/>
      </c>
      <c r="Z16" s="133"/>
      <c r="AA16" s="133"/>
      <c r="AB16" s="283" t="str">
        <f t="shared" si="3"/>
        <v/>
      </c>
      <c r="AC16" s="296" t="str">
        <f t="shared" si="4"/>
        <v/>
      </c>
      <c r="AD16" s="334" t="str">
        <f>IFERROR(IF(AC16="Check Data ⚠","Check Data ⚠",VLOOKUP(AC16,'G-4 Temporal multipliers'!$A$4:$C$37,3,FALSE)),"")</f>
        <v/>
      </c>
      <c r="AE16" s="275" t="str">
        <f>IF(N16="","",VLOOKUP(N16,'G-7 WaterC'' Data'!$B$4:$G$8,5,FALSE))</f>
        <v/>
      </c>
      <c r="AF16" s="283" t="str">
        <f t="shared" si="5"/>
        <v/>
      </c>
      <c r="AG16" s="314" t="str">
        <f t="shared" si="6"/>
        <v/>
      </c>
      <c r="AH16" s="276" t="str">
        <f t="shared" si="0"/>
        <v/>
      </c>
      <c r="AI16" s="105"/>
      <c r="AJ16" s="276" t="str">
        <f>IF(AI16="","",IF(AND(AI16="N/A - Culvert",N16&lt;&gt;"Culvert"),"Not possible ▲",IF(VLOOKUP(AI16,'G-7 WaterC'' Data'!$AA$4:$AB$7,2,FALSE)=0,"Spatial Data Missing ⚠",VLOOKUP(AI16,'G-7 WaterC'' Data'!$AA$4:$AB$7,2,FALSE))))</f>
        <v/>
      </c>
      <c r="AK16" s="106"/>
      <c r="AL16" s="276" t="str">
        <f>IF(AK16="","",IF(AND(AK16="N/A - Culvert",N16&lt;&gt;"Culvert"),"Not possible ▲",IF(VLOOKUP(AK16,'G-7 WaterC'' Data'!$AD$4:$AE$14,2,FALSE)=0,"Spatial Data Missing ⚠",VLOOKUP(AK16,'G-7 WaterC'' Data'!$AD$4:$AE$14,2,FALSE))))</f>
        <v/>
      </c>
      <c r="AM16" s="317" t="str">
        <f t="shared" si="7"/>
        <v/>
      </c>
      <c r="AN16" s="101"/>
      <c r="AO16" s="115"/>
      <c r="AP16" s="104"/>
      <c r="AS16" s="30" t="str">
        <f>IF(B16="","",IF(ISNA(VLOOKUP($B16,'C-1 On-Site WaterC'' Baseline'!$C$8:$AD$257,17,FALSE)),"",(VLOOKUP($B16,'C-1 On-Site WaterC'' Baseline'!$C$8:$AD$257,17,FALSE))))</f>
        <v/>
      </c>
      <c r="AT16" s="30" t="str">
        <f>IF(B16="","",VLOOKUP($B16,'C-1 On-Site WaterC'' Baseline'!$C$9:$Z$257,12,FALSE))</f>
        <v/>
      </c>
      <c r="AU16" s="30" t="str">
        <f>IF(B16="","",VLOOKUP($B16,'C-1 On-Site WaterC'' Baseline'!$C$9:$Z$257,14,FALSE))</f>
        <v/>
      </c>
      <c r="AV16" s="30" t="str">
        <f>IFERROR(INDEX('G-7 WaterC'' Data'!$AZ$3:$AZ$7,MATCH(N16,'G-7 WaterC'' Data'!$AY$3:$AY$7,0)),"")</f>
        <v/>
      </c>
      <c r="AX16" s="30" t="str">
        <f>IF(B16="","",VLOOKUP($B16,'C-1 On-Site WaterC'' Baseline'!$C$9:$Y$257,22,FALSE))</f>
        <v/>
      </c>
      <c r="AY16" s="30" t="str">
        <f t="shared" si="8"/>
        <v/>
      </c>
      <c r="AZ16" s="30" t="str">
        <f>IF(B16="","",VLOOKUP($B16,'C-1 On-Site WaterC'' Baseline'!$C$9:$Y$257,21,FALSE))</f>
        <v/>
      </c>
      <c r="BA16" s="30" t="str">
        <f>IF(B16="","",VLOOKUP($B16,'C-1 On-Site WaterC'' Baseline'!$C$9:$Y$257,19,FALSE))</f>
        <v/>
      </c>
      <c r="BD16" s="30" t="str">
        <f t="shared" si="9"/>
        <v>No</v>
      </c>
    </row>
    <row r="17" spans="2:56" ht="14">
      <c r="B17" s="305" t="str">
        <f>'C-1 On-Site WaterC'' Baseline'!AP15</f>
        <v/>
      </c>
      <c r="C17" s="295" t="str">
        <f>IF(B17="","",VLOOKUP($B17,'C-1 On-Site WaterC'' Baseline'!$C$9:$R$257,2,FALSE))</f>
        <v/>
      </c>
      <c r="D17" s="295" t="str">
        <f>IF(C17="","",VLOOKUP($B17,'C-1 On-Site WaterC'' Baseline'!$C$9:$R$257,3,FALSE))</f>
        <v/>
      </c>
      <c r="E17" s="295" t="str">
        <f>IF(D17="","",VLOOKUP($B17,'C-1 On-Site WaterC'' Baseline'!$C$9:$R$257,4,FALSE))</f>
        <v/>
      </c>
      <c r="F17" s="295" t="str">
        <f>IF(E17="","",VLOOKUP($B17,'C-1 On-Site WaterC'' Baseline'!$C$9:$R$257,5,FALSE))</f>
        <v/>
      </c>
      <c r="G17" s="295" t="str">
        <f>IF(F17="","",VLOOKUP($B17,'C-1 On-Site WaterC'' Baseline'!$C$9:$R$257,6,FALSE))</f>
        <v/>
      </c>
      <c r="H17" s="295" t="str">
        <f>IF(G17="","",VLOOKUP($B17,'C-1 On-Site WaterC'' Baseline'!$C$9:$R$257,7,FALSE))</f>
        <v/>
      </c>
      <c r="I17" s="295" t="str">
        <f>IF(H17="","",VLOOKUP($B17,'C-1 On-Site WaterC'' Baseline'!$C$9:$R$257,8,FALSE))</f>
        <v/>
      </c>
      <c r="J17" s="295" t="str">
        <f>IF(I17="","",VLOOKUP($B17,'C-1 On-Site WaterC'' Baseline'!$C$9:$R$257,9,FALSE))</f>
        <v/>
      </c>
      <c r="K17" s="295" t="str">
        <f>IF(J17="","",VLOOKUP($B17,'C-1 On-Site WaterC'' Baseline'!$C$9:$R$257,10,FALSE))</f>
        <v/>
      </c>
      <c r="L17" s="295" t="str">
        <f>IF(B17="","",VLOOKUP($B17,'C-1 On-Site WaterC'' Baseline'!$C$9:$R$257,15,FALSE))</f>
        <v/>
      </c>
      <c r="M17" s="299" t="str">
        <f>IF(L17="","",VLOOKUP($B17,'C-1 On-Site WaterC'' Baseline'!$C$9:$R$257,16,FALSE))</f>
        <v/>
      </c>
      <c r="N17" s="245"/>
      <c r="O17" s="275" t="str">
        <f t="shared" si="1"/>
        <v/>
      </c>
      <c r="P17" s="276" t="str">
        <f t="shared" si="2"/>
        <v/>
      </c>
      <c r="Q17" s="336" t="str">
        <f>IF(N17="","",VLOOKUP(B17,'C-1 On-Site WaterC'' Baseline'!$C$10:$AC$257,20,FALSE))</f>
        <v/>
      </c>
      <c r="R17" s="275" t="str">
        <f>IF(N17="","",VLOOKUP(N17,'G-7 WaterC'' Data'!$B$2:$G$8,2,FALSE))</f>
        <v/>
      </c>
      <c r="S17" s="276" t="str">
        <f>IFERROR(VLOOKUP(R17,'G-7 WaterC'' Data'!$C$4:$D$8,2,FALSE),"")</f>
        <v/>
      </c>
      <c r="T17" s="101"/>
      <c r="U17" s="276" t="str">
        <f>IFERROR(INDEX('G-7 WaterC'' Data'!$H$4:$L$8,MATCH(N17,'G-7 WaterC'' Data'!$B$4:$B$8,0),MATCH(T17,'G-7 WaterC'' Data'!$H$3:$L$3,0)),"")</f>
        <v/>
      </c>
      <c r="V17" s="101"/>
      <c r="W17" s="283" t="str">
        <f>IF(V17="","",IF(VLOOKUP(V17,'G-7 WaterC'' Data'!$AK$4:$AM$6,2,FALSE)=0,"Spatial Data Missing ⚠",VLOOKUP(V17,'G-7 WaterC'' Data'!$AK$4:$AM$6,2,FALSE)))</f>
        <v/>
      </c>
      <c r="X17" s="276" t="str">
        <f>IF(V17="","",IF(VLOOKUP(V17,'G-7 WaterC'' Data'!$AK$4:$AM$6,3,FALSE)=0,"Spatial Data Missing ⚠",VLOOKUP(V17,'G-7 WaterC'' Data'!$AK$4:$AM$6,3,FALSE)))</f>
        <v/>
      </c>
      <c r="Y17" s="275" t="str">
        <f>IFERROR(IF(OR(LEFT(P17,5)="Error",LEFT(O17,5)="Error"),"Check Data ⚠",IF(F17&lt;S17,'G-7 WaterC'' Data'!$R$3,INDEX('G-7 WaterC'' Data'!$U$5:$Y$9,MATCH(G17,'G-7 WaterC'' Data'!$T$5:$T$9,0),MATCH(T17,'G-7 WaterC'' Data'!$U$4:$Y$4,0)))),"")</f>
        <v/>
      </c>
      <c r="Z17" s="133"/>
      <c r="AA17" s="133"/>
      <c r="AB17" s="283" t="str">
        <f t="shared" si="3"/>
        <v/>
      </c>
      <c r="AC17" s="296" t="str">
        <f t="shared" si="4"/>
        <v/>
      </c>
      <c r="AD17" s="334" t="str">
        <f>IFERROR(IF(AC17="Check Data ⚠","Check Data ⚠",VLOOKUP(AC17,'G-4 Temporal multipliers'!$A$4:$C$37,3,FALSE)),"")</f>
        <v/>
      </c>
      <c r="AE17" s="275" t="str">
        <f>IF(N17="","",VLOOKUP(N17,'G-7 WaterC'' Data'!$B$4:$G$8,5,FALSE))</f>
        <v/>
      </c>
      <c r="AF17" s="283" t="str">
        <f t="shared" si="5"/>
        <v/>
      </c>
      <c r="AG17" s="314" t="str">
        <f t="shared" si="6"/>
        <v/>
      </c>
      <c r="AH17" s="276" t="str">
        <f t="shared" si="0"/>
        <v/>
      </c>
      <c r="AI17" s="105"/>
      <c r="AJ17" s="276" t="str">
        <f>IF(AI17="","",IF(AND(AI17="N/A - Culvert",N17&lt;&gt;"Culvert"),"Not possible ▲",IF(VLOOKUP(AI17,'G-7 WaterC'' Data'!$AA$4:$AB$7,2,FALSE)=0,"Spatial Data Missing ⚠",VLOOKUP(AI17,'G-7 WaterC'' Data'!$AA$4:$AB$7,2,FALSE))))</f>
        <v/>
      </c>
      <c r="AK17" s="106"/>
      <c r="AL17" s="276" t="str">
        <f>IF(AK17="","",IF(AND(AK17="N/A - Culvert",N17&lt;&gt;"Culvert"),"Not possible ▲",IF(VLOOKUP(AK17,'G-7 WaterC'' Data'!$AD$4:$AE$14,2,FALSE)=0,"Spatial Data Missing ⚠",VLOOKUP(AK17,'G-7 WaterC'' Data'!$AD$4:$AE$14,2,FALSE))))</f>
        <v/>
      </c>
      <c r="AM17" s="317" t="str">
        <f t="shared" si="7"/>
        <v/>
      </c>
      <c r="AN17" s="101"/>
      <c r="AO17" s="115"/>
      <c r="AP17" s="104"/>
      <c r="AS17" s="30" t="str">
        <f>IF(B17="","",IF(ISNA(VLOOKUP($B17,'C-1 On-Site WaterC'' Baseline'!$C$8:$AD$257,17,FALSE)),"",(VLOOKUP($B17,'C-1 On-Site WaterC'' Baseline'!$C$8:$AD$257,17,FALSE))))</f>
        <v/>
      </c>
      <c r="AT17" s="30" t="str">
        <f>IF(B17="","",VLOOKUP($B17,'C-1 On-Site WaterC'' Baseline'!$C$9:$Z$257,12,FALSE))</f>
        <v/>
      </c>
      <c r="AU17" s="30" t="str">
        <f>IF(B17="","",VLOOKUP($B17,'C-1 On-Site WaterC'' Baseline'!$C$9:$Z$257,14,FALSE))</f>
        <v/>
      </c>
      <c r="AV17" s="30" t="str">
        <f>IFERROR(INDEX('G-7 WaterC'' Data'!$AZ$3:$AZ$7,MATCH(N17,'G-7 WaterC'' Data'!$AY$3:$AY$7,0)),"")</f>
        <v/>
      </c>
      <c r="AX17" s="30" t="str">
        <f>IF(B17="","",VLOOKUP($B17,'C-1 On-Site WaterC'' Baseline'!$C$9:$Y$257,22,FALSE))</f>
        <v/>
      </c>
      <c r="AY17" s="30" t="str">
        <f t="shared" si="8"/>
        <v/>
      </c>
      <c r="AZ17" s="30" t="str">
        <f>IF(B17="","",VLOOKUP($B17,'C-1 On-Site WaterC'' Baseline'!$C$9:$Y$257,21,FALSE))</f>
        <v/>
      </c>
      <c r="BA17" s="30" t="str">
        <f>IF(B17="","",VLOOKUP($B17,'C-1 On-Site WaterC'' Baseline'!$C$9:$Y$257,19,FALSE))</f>
        <v/>
      </c>
      <c r="BD17" s="30" t="str">
        <f t="shared" si="9"/>
        <v>No</v>
      </c>
    </row>
    <row r="18" spans="2:56" ht="14">
      <c r="B18" s="305" t="str">
        <f>'C-1 On-Site WaterC'' Baseline'!AP16</f>
        <v/>
      </c>
      <c r="C18" s="295" t="str">
        <f>IF(B18="","",VLOOKUP($B18,'C-1 On-Site WaterC'' Baseline'!$C$9:$R$257,2,FALSE))</f>
        <v/>
      </c>
      <c r="D18" s="295" t="str">
        <f>IF(C18="","",VLOOKUP($B18,'C-1 On-Site WaterC'' Baseline'!$C$9:$R$257,3,FALSE))</f>
        <v/>
      </c>
      <c r="E18" s="295" t="str">
        <f>IF(D18="","",VLOOKUP($B18,'C-1 On-Site WaterC'' Baseline'!$C$9:$R$257,4,FALSE))</f>
        <v/>
      </c>
      <c r="F18" s="295" t="str">
        <f>IF(E18="","",VLOOKUP($B18,'C-1 On-Site WaterC'' Baseline'!$C$9:$R$257,5,FALSE))</f>
        <v/>
      </c>
      <c r="G18" s="295" t="str">
        <f>IF(F18="","",VLOOKUP($B18,'C-1 On-Site WaterC'' Baseline'!$C$9:$R$257,6,FALSE))</f>
        <v/>
      </c>
      <c r="H18" s="295" t="str">
        <f>IF(G18="","",VLOOKUP($B18,'C-1 On-Site WaterC'' Baseline'!$C$9:$R$257,7,FALSE))</f>
        <v/>
      </c>
      <c r="I18" s="295" t="str">
        <f>IF(H18="","",VLOOKUP($B18,'C-1 On-Site WaterC'' Baseline'!$C$9:$R$257,8,FALSE))</f>
        <v/>
      </c>
      <c r="J18" s="295" t="str">
        <f>IF(I18="","",VLOOKUP($B18,'C-1 On-Site WaterC'' Baseline'!$C$9:$R$257,9,FALSE))</f>
        <v/>
      </c>
      <c r="K18" s="295" t="str">
        <f>IF(J18="","",VLOOKUP($B18,'C-1 On-Site WaterC'' Baseline'!$C$9:$R$257,10,FALSE))</f>
        <v/>
      </c>
      <c r="L18" s="295" t="str">
        <f>IF(B18="","",VLOOKUP($B18,'C-1 On-Site WaterC'' Baseline'!$C$9:$R$257,15,FALSE))</f>
        <v/>
      </c>
      <c r="M18" s="299" t="str">
        <f>IF(L18="","",VLOOKUP($B18,'C-1 On-Site WaterC'' Baseline'!$C$9:$R$257,16,FALSE))</f>
        <v/>
      </c>
      <c r="N18" s="245"/>
      <c r="O18" s="275" t="str">
        <f t="shared" si="1"/>
        <v/>
      </c>
      <c r="P18" s="276" t="str">
        <f t="shared" si="2"/>
        <v/>
      </c>
      <c r="Q18" s="336" t="str">
        <f>IF(N18="","",VLOOKUP(B18,'C-1 On-Site WaterC'' Baseline'!$C$10:$AC$257,20,FALSE))</f>
        <v/>
      </c>
      <c r="R18" s="275" t="str">
        <f>IF(N18="","",VLOOKUP(N18,'G-7 WaterC'' Data'!$B$2:$G$8,2,FALSE))</f>
        <v/>
      </c>
      <c r="S18" s="276" t="str">
        <f>IFERROR(VLOOKUP(R18,'G-7 WaterC'' Data'!$C$4:$D$8,2,FALSE),"")</f>
        <v/>
      </c>
      <c r="T18" s="101"/>
      <c r="U18" s="276" t="str">
        <f>IFERROR(INDEX('G-7 WaterC'' Data'!$H$4:$L$8,MATCH(N18,'G-7 WaterC'' Data'!$B$4:$B$8,0),MATCH(T18,'G-7 WaterC'' Data'!$H$3:$L$3,0)),"")</f>
        <v/>
      </c>
      <c r="V18" s="101"/>
      <c r="W18" s="283" t="str">
        <f>IF(V18="","",IF(VLOOKUP(V18,'G-7 WaterC'' Data'!$AK$4:$AM$6,2,FALSE)=0,"Spatial Data Missing ⚠",VLOOKUP(V18,'G-7 WaterC'' Data'!$AK$4:$AM$6,2,FALSE)))</f>
        <v/>
      </c>
      <c r="X18" s="276" t="str">
        <f>IF(V18="","",IF(VLOOKUP(V18,'G-7 WaterC'' Data'!$AK$4:$AM$6,3,FALSE)=0,"Spatial Data Missing ⚠",VLOOKUP(V18,'G-7 WaterC'' Data'!$AK$4:$AM$6,3,FALSE)))</f>
        <v/>
      </c>
      <c r="Y18" s="275" t="str">
        <f>IFERROR(IF(OR(LEFT(P18,5)="Error",LEFT(O18,5)="Error"),"Check Data ⚠",IF(F18&lt;S18,'G-7 WaterC'' Data'!$R$3,INDEX('G-7 WaterC'' Data'!$U$5:$Y$9,MATCH(G18,'G-7 WaterC'' Data'!$T$5:$T$9,0),MATCH(T18,'G-7 WaterC'' Data'!$U$4:$Y$4,0)))),"")</f>
        <v/>
      </c>
      <c r="Z18" s="133"/>
      <c r="AA18" s="133"/>
      <c r="AB18" s="283" t="str">
        <f t="shared" si="3"/>
        <v/>
      </c>
      <c r="AC18" s="296" t="str">
        <f t="shared" si="4"/>
        <v/>
      </c>
      <c r="AD18" s="334" t="str">
        <f>IFERROR(IF(AC18="Check Data ⚠","Check Data ⚠",VLOOKUP(AC18,'G-4 Temporal multipliers'!$A$4:$C$37,3,FALSE)),"")</f>
        <v/>
      </c>
      <c r="AE18" s="275" t="str">
        <f>IF(N18="","",VLOOKUP(N18,'G-7 WaterC'' Data'!$B$4:$G$8,5,FALSE))</f>
        <v/>
      </c>
      <c r="AF18" s="283" t="str">
        <f t="shared" si="5"/>
        <v/>
      </c>
      <c r="AG18" s="314" t="str">
        <f t="shared" si="6"/>
        <v/>
      </c>
      <c r="AH18" s="276" t="str">
        <f t="shared" si="0"/>
        <v/>
      </c>
      <c r="AI18" s="105"/>
      <c r="AJ18" s="276" t="str">
        <f>IF(AI18="","",IF(AND(AI18="N/A - Culvert",N18&lt;&gt;"Culvert"),"Not possible ▲",IF(VLOOKUP(AI18,'G-7 WaterC'' Data'!$AA$4:$AB$7,2,FALSE)=0,"Spatial Data Missing ⚠",VLOOKUP(AI18,'G-7 WaterC'' Data'!$AA$4:$AB$7,2,FALSE))))</f>
        <v/>
      </c>
      <c r="AK18" s="106"/>
      <c r="AL18" s="276" t="str">
        <f>IF(AK18="","",IF(AND(AK18="N/A - Culvert",N18&lt;&gt;"Culvert"),"Not possible ▲",IF(VLOOKUP(AK18,'G-7 WaterC'' Data'!$AD$4:$AE$14,2,FALSE)=0,"Spatial Data Missing ⚠",VLOOKUP(AK18,'G-7 WaterC'' Data'!$AD$4:$AE$14,2,FALSE))))</f>
        <v/>
      </c>
      <c r="AM18" s="317" t="str">
        <f t="shared" si="7"/>
        <v/>
      </c>
      <c r="AN18" s="101"/>
      <c r="AO18" s="115"/>
      <c r="AP18" s="104"/>
      <c r="AS18" s="30" t="str">
        <f>IF(B18="","",IF(ISNA(VLOOKUP($B18,'C-1 On-Site WaterC'' Baseline'!$C$8:$AD$257,17,FALSE)),"",(VLOOKUP($B18,'C-1 On-Site WaterC'' Baseline'!$C$8:$AD$257,17,FALSE))))</f>
        <v/>
      </c>
      <c r="AT18" s="30" t="str">
        <f>IF(B18="","",VLOOKUP($B18,'C-1 On-Site WaterC'' Baseline'!$C$9:$Z$257,12,FALSE))</f>
        <v/>
      </c>
      <c r="AU18" s="30" t="str">
        <f>IF(B18="","",VLOOKUP($B18,'C-1 On-Site WaterC'' Baseline'!$C$9:$Z$257,14,FALSE))</f>
        <v/>
      </c>
      <c r="AV18" s="30" t="str">
        <f>IFERROR(INDEX('G-7 WaterC'' Data'!$AZ$3:$AZ$7,MATCH(N18,'G-7 WaterC'' Data'!$AY$3:$AY$7,0)),"")</f>
        <v/>
      </c>
      <c r="AX18" s="30" t="str">
        <f>IF(B18="","",VLOOKUP($B18,'C-1 On-Site WaterC'' Baseline'!$C$9:$Y$257,22,FALSE))</f>
        <v/>
      </c>
      <c r="AY18" s="30" t="str">
        <f t="shared" si="8"/>
        <v/>
      </c>
      <c r="AZ18" s="30" t="str">
        <f>IF(B18="","",VLOOKUP($B18,'C-1 On-Site WaterC'' Baseline'!$C$9:$Y$257,21,FALSE))</f>
        <v/>
      </c>
      <c r="BA18" s="30" t="str">
        <f>IF(B18="","",VLOOKUP($B18,'C-1 On-Site WaterC'' Baseline'!$C$9:$Y$257,19,FALSE))</f>
        <v/>
      </c>
      <c r="BD18" s="30" t="str">
        <f t="shared" si="9"/>
        <v>No</v>
      </c>
    </row>
    <row r="19" spans="2:56" ht="14">
      <c r="B19" s="305" t="str">
        <f>'C-1 On-Site WaterC'' Baseline'!AP17</f>
        <v/>
      </c>
      <c r="C19" s="295" t="str">
        <f>IF(B19="","",VLOOKUP($B19,'C-1 On-Site WaterC'' Baseline'!$C$9:$R$257,2,FALSE))</f>
        <v/>
      </c>
      <c r="D19" s="295" t="str">
        <f>IF(C19="","",VLOOKUP($B19,'C-1 On-Site WaterC'' Baseline'!$C$9:$R$257,3,FALSE))</f>
        <v/>
      </c>
      <c r="E19" s="295" t="str">
        <f>IF(D19="","",VLOOKUP($B19,'C-1 On-Site WaterC'' Baseline'!$C$9:$R$257,4,FALSE))</f>
        <v/>
      </c>
      <c r="F19" s="295" t="str">
        <f>IF(E19="","",VLOOKUP($B19,'C-1 On-Site WaterC'' Baseline'!$C$9:$R$257,5,FALSE))</f>
        <v/>
      </c>
      <c r="G19" s="295" t="str">
        <f>IF(F19="","",VLOOKUP($B19,'C-1 On-Site WaterC'' Baseline'!$C$9:$R$257,6,FALSE))</f>
        <v/>
      </c>
      <c r="H19" s="295" t="str">
        <f>IF(G19="","",VLOOKUP($B19,'C-1 On-Site WaterC'' Baseline'!$C$9:$R$257,7,FALSE))</f>
        <v/>
      </c>
      <c r="I19" s="295" t="str">
        <f>IF(H19="","",VLOOKUP($B19,'C-1 On-Site WaterC'' Baseline'!$C$9:$R$257,8,FALSE))</f>
        <v/>
      </c>
      <c r="J19" s="295" t="str">
        <f>IF(I19="","",VLOOKUP($B19,'C-1 On-Site WaterC'' Baseline'!$C$9:$R$257,9,FALSE))</f>
        <v/>
      </c>
      <c r="K19" s="295" t="str">
        <f>IF(J19="","",VLOOKUP($B19,'C-1 On-Site WaterC'' Baseline'!$C$9:$R$257,10,FALSE))</f>
        <v/>
      </c>
      <c r="L19" s="295" t="str">
        <f>IF(B19="","",VLOOKUP($B19,'C-1 On-Site WaterC'' Baseline'!$C$9:$R$257,15,FALSE))</f>
        <v/>
      </c>
      <c r="M19" s="299" t="str">
        <f>IF(L19="","",VLOOKUP($B19,'C-1 On-Site WaterC'' Baseline'!$C$9:$R$257,16,FALSE))</f>
        <v/>
      </c>
      <c r="N19" s="245"/>
      <c r="O19" s="275" t="str">
        <f t="shared" si="1"/>
        <v/>
      </c>
      <c r="P19" s="276" t="str">
        <f t="shared" si="2"/>
        <v/>
      </c>
      <c r="Q19" s="336" t="str">
        <f>IF(N19="","",VLOOKUP(B19,'C-1 On-Site WaterC'' Baseline'!$C$10:$AC$257,20,FALSE))</f>
        <v/>
      </c>
      <c r="R19" s="275" t="str">
        <f>IF(N19="","",VLOOKUP(N19,'G-7 WaterC'' Data'!$B$2:$G$8,2,FALSE))</f>
        <v/>
      </c>
      <c r="S19" s="276" t="str">
        <f>IFERROR(VLOOKUP(R19,'G-7 WaterC'' Data'!$C$4:$D$8,2,FALSE),"")</f>
        <v/>
      </c>
      <c r="T19" s="101"/>
      <c r="U19" s="276" t="str">
        <f>IFERROR(INDEX('G-7 WaterC'' Data'!$H$4:$L$8,MATCH(N19,'G-7 WaterC'' Data'!$B$4:$B$8,0),MATCH(T19,'G-7 WaterC'' Data'!$H$3:$L$3,0)),"")</f>
        <v/>
      </c>
      <c r="V19" s="101"/>
      <c r="W19" s="283" t="str">
        <f>IF(V19="","",IF(VLOOKUP(V19,'G-7 WaterC'' Data'!$AK$4:$AM$6,2,FALSE)=0,"Spatial Data Missing ⚠",VLOOKUP(V19,'G-7 WaterC'' Data'!$AK$4:$AM$6,2,FALSE)))</f>
        <v/>
      </c>
      <c r="X19" s="276" t="str">
        <f>IF(V19="","",IF(VLOOKUP(V19,'G-7 WaterC'' Data'!$AK$4:$AM$6,3,FALSE)=0,"Spatial Data Missing ⚠",VLOOKUP(V19,'G-7 WaterC'' Data'!$AK$4:$AM$6,3,FALSE)))</f>
        <v/>
      </c>
      <c r="Y19" s="275" t="str">
        <f>IFERROR(IF(OR(LEFT(P19,5)="Error",LEFT(O19,5)="Error"),"Check Data ⚠",IF(F19&lt;S19,'G-7 WaterC'' Data'!$R$3,INDEX('G-7 WaterC'' Data'!$U$5:$Y$9,MATCH(G19,'G-7 WaterC'' Data'!$T$5:$T$9,0),MATCH(T19,'G-7 WaterC'' Data'!$U$4:$Y$4,0)))),"")</f>
        <v/>
      </c>
      <c r="Z19" s="133"/>
      <c r="AA19" s="133"/>
      <c r="AB19" s="283" t="str">
        <f t="shared" si="3"/>
        <v/>
      </c>
      <c r="AC19" s="296" t="str">
        <f t="shared" si="4"/>
        <v/>
      </c>
      <c r="AD19" s="334" t="str">
        <f>IFERROR(IF(AC19="Check Data ⚠","Check Data ⚠",VLOOKUP(AC19,'G-4 Temporal multipliers'!$A$4:$C$37,3,FALSE)),"")</f>
        <v/>
      </c>
      <c r="AE19" s="275" t="str">
        <f>IF(N19="","",VLOOKUP(N19,'G-7 WaterC'' Data'!$B$4:$G$8,5,FALSE))</f>
        <v/>
      </c>
      <c r="AF19" s="283" t="str">
        <f t="shared" si="5"/>
        <v/>
      </c>
      <c r="AG19" s="314" t="str">
        <f t="shared" si="6"/>
        <v/>
      </c>
      <c r="AH19" s="276" t="str">
        <f t="shared" si="0"/>
        <v/>
      </c>
      <c r="AI19" s="105"/>
      <c r="AJ19" s="276" t="str">
        <f>IF(AI19="","",IF(AND(AI19="N/A - Culvert",N19&lt;&gt;"Culvert"),"Not possible ▲",IF(VLOOKUP(AI19,'G-7 WaterC'' Data'!$AA$4:$AB$7,2,FALSE)=0,"Spatial Data Missing ⚠",VLOOKUP(AI19,'G-7 WaterC'' Data'!$AA$4:$AB$7,2,FALSE))))</f>
        <v/>
      </c>
      <c r="AK19" s="106"/>
      <c r="AL19" s="276" t="str">
        <f>IF(AK19="","",IF(AND(AK19="N/A - Culvert",N19&lt;&gt;"Culvert"),"Not possible ▲",IF(VLOOKUP(AK19,'G-7 WaterC'' Data'!$AD$4:$AE$14,2,FALSE)=0,"Spatial Data Missing ⚠",VLOOKUP(AK19,'G-7 WaterC'' Data'!$AD$4:$AE$14,2,FALSE))))</f>
        <v/>
      </c>
      <c r="AM19" s="317" t="str">
        <f t="shared" si="7"/>
        <v/>
      </c>
      <c r="AN19" s="101"/>
      <c r="AO19" s="115"/>
      <c r="AP19" s="104"/>
      <c r="AS19" s="30" t="str">
        <f>IF(B19="","",IF(ISNA(VLOOKUP($B19,'C-1 On-Site WaterC'' Baseline'!$C$8:$AD$257,17,FALSE)),"",(VLOOKUP($B19,'C-1 On-Site WaterC'' Baseline'!$C$8:$AD$257,17,FALSE))))</f>
        <v/>
      </c>
      <c r="AT19" s="30" t="str">
        <f>IF(B19="","",VLOOKUP($B19,'C-1 On-Site WaterC'' Baseline'!$C$9:$Z$257,12,FALSE))</f>
        <v/>
      </c>
      <c r="AU19" s="30" t="str">
        <f>IF(B19="","",VLOOKUP($B19,'C-1 On-Site WaterC'' Baseline'!$C$9:$Z$257,14,FALSE))</f>
        <v/>
      </c>
      <c r="AV19" s="30" t="str">
        <f>IFERROR(INDEX('G-7 WaterC'' Data'!$AZ$3:$AZ$7,MATCH(N19,'G-7 WaterC'' Data'!$AY$3:$AY$7,0)),"")</f>
        <v/>
      </c>
      <c r="AX19" s="30" t="str">
        <f>IF(B19="","",VLOOKUP($B19,'C-1 On-Site WaterC'' Baseline'!$C$9:$Y$257,22,FALSE))</f>
        <v/>
      </c>
      <c r="AY19" s="30" t="str">
        <f t="shared" si="8"/>
        <v/>
      </c>
      <c r="AZ19" s="30" t="str">
        <f>IF(B19="","",VLOOKUP($B19,'C-1 On-Site WaterC'' Baseline'!$C$9:$Y$257,21,FALSE))</f>
        <v/>
      </c>
      <c r="BA19" s="30" t="str">
        <f>IF(B19="","",VLOOKUP($B19,'C-1 On-Site WaterC'' Baseline'!$C$9:$Y$257,19,FALSE))</f>
        <v/>
      </c>
      <c r="BD19" s="30" t="str">
        <f t="shared" si="9"/>
        <v>No</v>
      </c>
    </row>
    <row r="20" spans="2:56" ht="14">
      <c r="B20" s="305" t="str">
        <f>'C-1 On-Site WaterC'' Baseline'!AP18</f>
        <v/>
      </c>
      <c r="C20" s="295" t="str">
        <f>IF(B20="","",VLOOKUP($B20,'C-1 On-Site WaterC'' Baseline'!$C$9:$R$257,2,FALSE))</f>
        <v/>
      </c>
      <c r="D20" s="295" t="str">
        <f>IF(C20="","",VLOOKUP($B20,'C-1 On-Site WaterC'' Baseline'!$C$9:$R$257,3,FALSE))</f>
        <v/>
      </c>
      <c r="E20" s="295" t="str">
        <f>IF(D20="","",VLOOKUP($B20,'C-1 On-Site WaterC'' Baseline'!$C$9:$R$257,4,FALSE))</f>
        <v/>
      </c>
      <c r="F20" s="295" t="str">
        <f>IF(E20="","",VLOOKUP($B20,'C-1 On-Site WaterC'' Baseline'!$C$9:$R$257,5,FALSE))</f>
        <v/>
      </c>
      <c r="G20" s="295" t="str">
        <f>IF(F20="","",VLOOKUP($B20,'C-1 On-Site WaterC'' Baseline'!$C$9:$R$257,6,FALSE))</f>
        <v/>
      </c>
      <c r="H20" s="295" t="str">
        <f>IF(G20="","",VLOOKUP($B20,'C-1 On-Site WaterC'' Baseline'!$C$9:$R$257,7,FALSE))</f>
        <v/>
      </c>
      <c r="I20" s="295" t="str">
        <f>IF(H20="","",VLOOKUP($B20,'C-1 On-Site WaterC'' Baseline'!$C$9:$R$257,8,FALSE))</f>
        <v/>
      </c>
      <c r="J20" s="295" t="str">
        <f>IF(I20="","",VLOOKUP($B20,'C-1 On-Site WaterC'' Baseline'!$C$9:$R$257,9,FALSE))</f>
        <v/>
      </c>
      <c r="K20" s="295" t="str">
        <f>IF(J20="","",VLOOKUP($B20,'C-1 On-Site WaterC'' Baseline'!$C$9:$R$257,10,FALSE))</f>
        <v/>
      </c>
      <c r="L20" s="295" t="str">
        <f>IF(B20="","",VLOOKUP($B20,'C-1 On-Site WaterC'' Baseline'!$C$9:$R$257,15,FALSE))</f>
        <v/>
      </c>
      <c r="M20" s="299" t="str">
        <f>IF(L20="","",VLOOKUP($B20,'C-1 On-Site WaterC'' Baseline'!$C$9:$R$257,16,FALSE))</f>
        <v/>
      </c>
      <c r="N20" s="245"/>
      <c r="O20" s="275" t="str">
        <f t="shared" si="1"/>
        <v/>
      </c>
      <c r="P20" s="276" t="str">
        <f t="shared" si="2"/>
        <v/>
      </c>
      <c r="Q20" s="336" t="str">
        <f>IF(N20="","",VLOOKUP(B20,'C-1 On-Site WaterC'' Baseline'!$C$10:$AC$257,20,FALSE))</f>
        <v/>
      </c>
      <c r="R20" s="275" t="str">
        <f>IF(N20="","",VLOOKUP(N20,'G-7 WaterC'' Data'!$B$2:$G$8,2,FALSE))</f>
        <v/>
      </c>
      <c r="S20" s="276" t="str">
        <f>IFERROR(VLOOKUP(R20,'G-7 WaterC'' Data'!$C$4:$D$8,2,FALSE),"")</f>
        <v/>
      </c>
      <c r="T20" s="101"/>
      <c r="U20" s="276" t="str">
        <f>IFERROR(INDEX('G-7 WaterC'' Data'!$H$4:$L$8,MATCH(N20,'G-7 WaterC'' Data'!$B$4:$B$8,0),MATCH(T20,'G-7 WaterC'' Data'!$H$3:$L$3,0)),"")</f>
        <v/>
      </c>
      <c r="V20" s="101"/>
      <c r="W20" s="283" t="str">
        <f>IF(V20="","",IF(VLOOKUP(V20,'G-7 WaterC'' Data'!$AK$4:$AM$6,2,FALSE)=0,"Spatial Data Missing ⚠",VLOOKUP(V20,'G-7 WaterC'' Data'!$AK$4:$AM$6,2,FALSE)))</f>
        <v/>
      </c>
      <c r="X20" s="276" t="str">
        <f>IF(V20="","",IF(VLOOKUP(V20,'G-7 WaterC'' Data'!$AK$4:$AM$6,3,FALSE)=0,"Spatial Data Missing ⚠",VLOOKUP(V20,'G-7 WaterC'' Data'!$AK$4:$AM$6,3,FALSE)))</f>
        <v/>
      </c>
      <c r="Y20" s="275" t="str">
        <f>IFERROR(IF(OR(LEFT(P20,5)="Error",LEFT(O20,5)="Error"),"Check Data ⚠",IF(F20&lt;S20,'G-7 WaterC'' Data'!$R$3,INDEX('G-7 WaterC'' Data'!$U$5:$Y$9,MATCH(G20,'G-7 WaterC'' Data'!$T$5:$T$9,0),MATCH(T20,'G-7 WaterC'' Data'!$U$4:$Y$4,0)))),"")</f>
        <v/>
      </c>
      <c r="Z20" s="133"/>
      <c r="AA20" s="133"/>
      <c r="AB20" s="283" t="str">
        <f t="shared" si="3"/>
        <v/>
      </c>
      <c r="AC20" s="296" t="str">
        <f t="shared" si="4"/>
        <v/>
      </c>
      <c r="AD20" s="334" t="str">
        <f>IFERROR(IF(AC20="Check Data ⚠","Check Data ⚠",VLOOKUP(AC20,'G-4 Temporal multipliers'!$A$4:$C$37,3,FALSE)),"")</f>
        <v/>
      </c>
      <c r="AE20" s="275" t="str">
        <f>IF(N20="","",VLOOKUP(N20,'G-7 WaterC'' Data'!$B$4:$G$8,5,FALSE))</f>
        <v/>
      </c>
      <c r="AF20" s="283" t="str">
        <f t="shared" si="5"/>
        <v/>
      </c>
      <c r="AG20" s="314" t="str">
        <f t="shared" si="6"/>
        <v/>
      </c>
      <c r="AH20" s="276" t="str">
        <f t="shared" si="0"/>
        <v/>
      </c>
      <c r="AI20" s="105"/>
      <c r="AJ20" s="276" t="str">
        <f>IF(AI20="","",IF(AND(AI20="N/A - Culvert",N20&lt;&gt;"Culvert"),"Not possible ▲",IF(VLOOKUP(AI20,'G-7 WaterC'' Data'!$AA$4:$AB$7,2,FALSE)=0,"Spatial Data Missing ⚠",VLOOKUP(AI20,'G-7 WaterC'' Data'!$AA$4:$AB$7,2,FALSE))))</f>
        <v/>
      </c>
      <c r="AK20" s="106"/>
      <c r="AL20" s="276" t="str">
        <f>IF(AK20="","",IF(AND(AK20="N/A - Culvert",N20&lt;&gt;"Culvert"),"Not possible ▲",IF(VLOOKUP(AK20,'G-7 WaterC'' Data'!$AD$4:$AE$14,2,FALSE)=0,"Spatial Data Missing ⚠",VLOOKUP(AK20,'G-7 WaterC'' Data'!$AD$4:$AE$14,2,FALSE))))</f>
        <v/>
      </c>
      <c r="AM20" s="317" t="str">
        <f t="shared" si="7"/>
        <v/>
      </c>
      <c r="AN20" s="101"/>
      <c r="AO20" s="115"/>
      <c r="AP20" s="104"/>
      <c r="AS20" s="30" t="str">
        <f>IF(B20="","",IF(ISNA(VLOOKUP($B20,'C-1 On-Site WaterC'' Baseline'!$C$8:$AD$257,17,FALSE)),"",(VLOOKUP($B20,'C-1 On-Site WaterC'' Baseline'!$C$8:$AD$257,17,FALSE))))</f>
        <v/>
      </c>
      <c r="AT20" s="30" t="str">
        <f>IF(B20="","",VLOOKUP($B20,'C-1 On-Site WaterC'' Baseline'!$C$9:$Z$257,12,FALSE))</f>
        <v/>
      </c>
      <c r="AU20" s="30" t="str">
        <f>IF(B20="","",VLOOKUP($B20,'C-1 On-Site WaterC'' Baseline'!$C$9:$Z$257,14,FALSE))</f>
        <v/>
      </c>
      <c r="AV20" s="30" t="str">
        <f>IFERROR(INDEX('G-7 WaterC'' Data'!$AZ$3:$AZ$7,MATCH(N20,'G-7 WaterC'' Data'!$AY$3:$AY$7,0)),"")</f>
        <v/>
      </c>
      <c r="AX20" s="30" t="str">
        <f>IF(B20="","",VLOOKUP($B20,'C-1 On-Site WaterC'' Baseline'!$C$9:$Y$257,22,FALSE))</f>
        <v/>
      </c>
      <c r="AY20" s="30" t="str">
        <f t="shared" si="8"/>
        <v/>
      </c>
      <c r="AZ20" s="30" t="str">
        <f>IF(B20="","",VLOOKUP($B20,'C-1 On-Site WaterC'' Baseline'!$C$9:$Y$257,21,FALSE))</f>
        <v/>
      </c>
      <c r="BA20" s="30" t="str">
        <f>IF(B20="","",VLOOKUP($B20,'C-1 On-Site WaterC'' Baseline'!$C$9:$Y$257,19,FALSE))</f>
        <v/>
      </c>
      <c r="BD20" s="30" t="str">
        <f t="shared" si="9"/>
        <v>No</v>
      </c>
    </row>
    <row r="21" spans="2:56" ht="14">
      <c r="B21" s="305" t="str">
        <f>'C-1 On-Site WaterC'' Baseline'!AP19</f>
        <v/>
      </c>
      <c r="C21" s="295" t="str">
        <f>IF(B21="","",VLOOKUP($B21,'C-1 On-Site WaterC'' Baseline'!$C$9:$R$257,2,FALSE))</f>
        <v/>
      </c>
      <c r="D21" s="295" t="str">
        <f>IF(C21="","",VLOOKUP($B21,'C-1 On-Site WaterC'' Baseline'!$C$9:$R$257,3,FALSE))</f>
        <v/>
      </c>
      <c r="E21" s="295" t="str">
        <f>IF(D21="","",VLOOKUP($B21,'C-1 On-Site WaterC'' Baseline'!$C$9:$R$257,4,FALSE))</f>
        <v/>
      </c>
      <c r="F21" s="295" t="str">
        <f>IF(E21="","",VLOOKUP($B21,'C-1 On-Site WaterC'' Baseline'!$C$9:$R$257,5,FALSE))</f>
        <v/>
      </c>
      <c r="G21" s="295" t="str">
        <f>IF(F21="","",VLOOKUP($B21,'C-1 On-Site WaterC'' Baseline'!$C$9:$R$257,6,FALSE))</f>
        <v/>
      </c>
      <c r="H21" s="295" t="str">
        <f>IF(G21="","",VLOOKUP($B21,'C-1 On-Site WaterC'' Baseline'!$C$9:$R$257,7,FALSE))</f>
        <v/>
      </c>
      <c r="I21" s="295" t="str">
        <f>IF(H21="","",VLOOKUP($B21,'C-1 On-Site WaterC'' Baseline'!$C$9:$R$257,8,FALSE))</f>
        <v/>
      </c>
      <c r="J21" s="295" t="str">
        <f>IF(I21="","",VLOOKUP($B21,'C-1 On-Site WaterC'' Baseline'!$C$9:$R$257,9,FALSE))</f>
        <v/>
      </c>
      <c r="K21" s="295" t="str">
        <f>IF(J21="","",VLOOKUP($B21,'C-1 On-Site WaterC'' Baseline'!$C$9:$R$257,10,FALSE))</f>
        <v/>
      </c>
      <c r="L21" s="295" t="str">
        <f>IF(B21="","",VLOOKUP($B21,'C-1 On-Site WaterC'' Baseline'!$C$9:$R$257,15,FALSE))</f>
        <v/>
      </c>
      <c r="M21" s="299" t="str">
        <f>IF(L21="","",VLOOKUP($B21,'C-1 On-Site WaterC'' Baseline'!$C$9:$R$257,16,FALSE))</f>
        <v/>
      </c>
      <c r="N21" s="245"/>
      <c r="O21" s="275" t="str">
        <f t="shared" si="1"/>
        <v/>
      </c>
      <c r="P21" s="276" t="str">
        <f t="shared" si="2"/>
        <v/>
      </c>
      <c r="Q21" s="336" t="str">
        <f>IF(N21="","",VLOOKUP(B21,'C-1 On-Site WaterC'' Baseline'!$C$10:$AC$257,20,FALSE))</f>
        <v/>
      </c>
      <c r="R21" s="275" t="str">
        <f>IF(N21="","",VLOOKUP(N21,'G-7 WaterC'' Data'!$B$2:$G$8,2,FALSE))</f>
        <v/>
      </c>
      <c r="S21" s="276" t="str">
        <f>IFERROR(VLOOKUP(R21,'G-7 WaterC'' Data'!$C$4:$D$8,2,FALSE),"")</f>
        <v/>
      </c>
      <c r="T21" s="101"/>
      <c r="U21" s="276" t="str">
        <f>IFERROR(INDEX('G-7 WaterC'' Data'!$H$4:$L$8,MATCH(N21,'G-7 WaterC'' Data'!$B$4:$B$8,0),MATCH(T21,'G-7 WaterC'' Data'!$H$3:$L$3,0)),"")</f>
        <v/>
      </c>
      <c r="V21" s="101"/>
      <c r="W21" s="283" t="str">
        <f>IF(V21="","",IF(VLOOKUP(V21,'G-7 WaterC'' Data'!$AK$4:$AM$6,2,FALSE)=0,"Spatial Data Missing ⚠",VLOOKUP(V21,'G-7 WaterC'' Data'!$AK$4:$AM$6,2,FALSE)))</f>
        <v/>
      </c>
      <c r="X21" s="276" t="str">
        <f>IF(V21="","",IF(VLOOKUP(V21,'G-7 WaterC'' Data'!$AK$4:$AM$6,3,FALSE)=0,"Spatial Data Missing ⚠",VLOOKUP(V21,'G-7 WaterC'' Data'!$AK$4:$AM$6,3,FALSE)))</f>
        <v/>
      </c>
      <c r="Y21" s="275" t="str">
        <f>IFERROR(IF(OR(LEFT(P21,5)="Error",LEFT(O21,5)="Error"),"Check Data ⚠",IF(F21&lt;S21,'G-7 WaterC'' Data'!$R$3,INDEX('G-7 WaterC'' Data'!$U$5:$Y$9,MATCH(G21,'G-7 WaterC'' Data'!$T$5:$T$9,0),MATCH(T21,'G-7 WaterC'' Data'!$U$4:$Y$4,0)))),"")</f>
        <v/>
      </c>
      <c r="Z21" s="133"/>
      <c r="AA21" s="133"/>
      <c r="AB21" s="283" t="str">
        <f t="shared" si="3"/>
        <v/>
      </c>
      <c r="AC21" s="296" t="str">
        <f t="shared" si="4"/>
        <v/>
      </c>
      <c r="AD21" s="334" t="str">
        <f>IFERROR(IF(AC21="Check Data ⚠","Check Data ⚠",VLOOKUP(AC21,'G-4 Temporal multipliers'!$A$4:$C$37,3,FALSE)),"")</f>
        <v/>
      </c>
      <c r="AE21" s="275" t="str">
        <f>IF(N21="","",VLOOKUP(N21,'G-7 WaterC'' Data'!$B$4:$G$8,5,FALSE))</f>
        <v/>
      </c>
      <c r="AF21" s="283" t="str">
        <f t="shared" si="5"/>
        <v/>
      </c>
      <c r="AG21" s="314" t="str">
        <f t="shared" si="6"/>
        <v/>
      </c>
      <c r="AH21" s="276" t="str">
        <f t="shared" si="0"/>
        <v/>
      </c>
      <c r="AI21" s="105"/>
      <c r="AJ21" s="276" t="str">
        <f>IF(AI21="","",IF(AND(AI21="N/A - Culvert",N21&lt;&gt;"Culvert"),"Not possible ▲",IF(VLOOKUP(AI21,'G-7 WaterC'' Data'!$AA$4:$AB$7,2,FALSE)=0,"Spatial Data Missing ⚠",VLOOKUP(AI21,'G-7 WaterC'' Data'!$AA$4:$AB$7,2,FALSE))))</f>
        <v/>
      </c>
      <c r="AK21" s="106"/>
      <c r="AL21" s="276" t="str">
        <f>IF(AK21="","",IF(AND(AK21="N/A - Culvert",N21&lt;&gt;"Culvert"),"Not possible ▲",IF(VLOOKUP(AK21,'G-7 WaterC'' Data'!$AD$4:$AE$14,2,FALSE)=0,"Spatial Data Missing ⚠",VLOOKUP(AK21,'G-7 WaterC'' Data'!$AD$4:$AE$14,2,FALSE))))</f>
        <v/>
      </c>
      <c r="AM21" s="317" t="str">
        <f t="shared" si="7"/>
        <v/>
      </c>
      <c r="AN21" s="101"/>
      <c r="AO21" s="115"/>
      <c r="AP21" s="104"/>
      <c r="AS21" s="30" t="str">
        <f>IF(B21="","",IF(ISNA(VLOOKUP($B21,'C-1 On-Site WaterC'' Baseline'!$C$8:$AD$257,17,FALSE)),"",(VLOOKUP($B21,'C-1 On-Site WaterC'' Baseline'!$C$8:$AD$257,17,FALSE))))</f>
        <v/>
      </c>
      <c r="AT21" s="30" t="str">
        <f>IF(B21="","",VLOOKUP($B21,'C-1 On-Site WaterC'' Baseline'!$C$9:$Z$257,12,FALSE))</f>
        <v/>
      </c>
      <c r="AU21" s="30" t="str">
        <f>IF(B21="","",VLOOKUP($B21,'C-1 On-Site WaterC'' Baseline'!$C$9:$Z$257,14,FALSE))</f>
        <v/>
      </c>
      <c r="AV21" s="30" t="str">
        <f>IFERROR(INDEX('G-7 WaterC'' Data'!$AZ$3:$AZ$7,MATCH(N21,'G-7 WaterC'' Data'!$AY$3:$AY$7,0)),"")</f>
        <v/>
      </c>
      <c r="AX21" s="30" t="str">
        <f>IF(B21="","",VLOOKUP($B21,'C-1 On-Site WaterC'' Baseline'!$C$9:$Y$257,22,FALSE))</f>
        <v/>
      </c>
      <c r="AY21" s="30" t="str">
        <f t="shared" si="8"/>
        <v/>
      </c>
      <c r="AZ21" s="30" t="str">
        <f>IF(B21="","",VLOOKUP($B21,'C-1 On-Site WaterC'' Baseline'!$C$9:$Y$257,21,FALSE))</f>
        <v/>
      </c>
      <c r="BA21" s="30" t="str">
        <f>IF(B21="","",VLOOKUP($B21,'C-1 On-Site WaterC'' Baseline'!$C$9:$Y$257,19,FALSE))</f>
        <v/>
      </c>
      <c r="BD21" s="30" t="str">
        <f t="shared" si="9"/>
        <v>No</v>
      </c>
    </row>
    <row r="22" spans="2:56" ht="14">
      <c r="B22" s="305" t="str">
        <f>'C-1 On-Site WaterC'' Baseline'!AP20</f>
        <v/>
      </c>
      <c r="C22" s="295" t="str">
        <f>IF(B22="","",VLOOKUP($B22,'C-1 On-Site WaterC'' Baseline'!$C$9:$R$257,2,FALSE))</f>
        <v/>
      </c>
      <c r="D22" s="295" t="str">
        <f>IF(C22="","",VLOOKUP($B22,'C-1 On-Site WaterC'' Baseline'!$C$9:$R$257,3,FALSE))</f>
        <v/>
      </c>
      <c r="E22" s="295" t="str">
        <f>IF(D22="","",VLOOKUP($B22,'C-1 On-Site WaterC'' Baseline'!$C$9:$R$257,4,FALSE))</f>
        <v/>
      </c>
      <c r="F22" s="295" t="str">
        <f>IF(E22="","",VLOOKUP($B22,'C-1 On-Site WaterC'' Baseline'!$C$9:$R$257,5,FALSE))</f>
        <v/>
      </c>
      <c r="G22" s="295" t="str">
        <f>IF(F22="","",VLOOKUP($B22,'C-1 On-Site WaterC'' Baseline'!$C$9:$R$257,6,FALSE))</f>
        <v/>
      </c>
      <c r="H22" s="295" t="str">
        <f>IF(G22="","",VLOOKUP($B22,'C-1 On-Site WaterC'' Baseline'!$C$9:$R$257,7,FALSE))</f>
        <v/>
      </c>
      <c r="I22" s="295" t="str">
        <f>IF(H22="","",VLOOKUP($B22,'C-1 On-Site WaterC'' Baseline'!$C$9:$R$257,8,FALSE))</f>
        <v/>
      </c>
      <c r="J22" s="295" t="str">
        <f>IF(I22="","",VLOOKUP($B22,'C-1 On-Site WaterC'' Baseline'!$C$9:$R$257,9,FALSE))</f>
        <v/>
      </c>
      <c r="K22" s="295" t="str">
        <f>IF(J22="","",VLOOKUP($B22,'C-1 On-Site WaterC'' Baseline'!$C$9:$R$257,10,FALSE))</f>
        <v/>
      </c>
      <c r="L22" s="295" t="str">
        <f>IF(B22="","",VLOOKUP($B22,'C-1 On-Site WaterC'' Baseline'!$C$9:$R$257,15,FALSE))</f>
        <v/>
      </c>
      <c r="M22" s="299" t="str">
        <f>IF(L22="","",VLOOKUP($B22,'C-1 On-Site WaterC'' Baseline'!$C$9:$R$257,16,FALSE))</f>
        <v/>
      </c>
      <c r="N22" s="245"/>
      <c r="O22" s="275" t="str">
        <f t="shared" si="1"/>
        <v/>
      </c>
      <c r="P22" s="276" t="str">
        <f t="shared" si="2"/>
        <v/>
      </c>
      <c r="Q22" s="336" t="str">
        <f>IF(N22="","",VLOOKUP(B22,'C-1 On-Site WaterC'' Baseline'!$C$10:$AC$257,20,FALSE))</f>
        <v/>
      </c>
      <c r="R22" s="275" t="str">
        <f>IF(N22="","",VLOOKUP(N22,'G-7 WaterC'' Data'!$B$2:$G$8,2,FALSE))</f>
        <v/>
      </c>
      <c r="S22" s="276" t="str">
        <f>IFERROR(VLOOKUP(R22,'G-7 WaterC'' Data'!$C$4:$D$8,2,FALSE),"")</f>
        <v/>
      </c>
      <c r="T22" s="101"/>
      <c r="U22" s="276" t="str">
        <f>IFERROR(INDEX('G-7 WaterC'' Data'!$H$4:$L$8,MATCH(N22,'G-7 WaterC'' Data'!$B$4:$B$8,0),MATCH(T22,'G-7 WaterC'' Data'!$H$3:$L$3,0)),"")</f>
        <v/>
      </c>
      <c r="V22" s="101"/>
      <c r="W22" s="283" t="str">
        <f>IF(V22="","",IF(VLOOKUP(V22,'G-7 WaterC'' Data'!$AK$4:$AM$6,2,FALSE)=0,"Spatial Data Missing ⚠",VLOOKUP(V22,'G-7 WaterC'' Data'!$AK$4:$AM$6,2,FALSE)))</f>
        <v/>
      </c>
      <c r="X22" s="276" t="str">
        <f>IF(V22="","",IF(VLOOKUP(V22,'G-7 WaterC'' Data'!$AK$4:$AM$6,3,FALSE)=0,"Spatial Data Missing ⚠",VLOOKUP(V22,'G-7 WaterC'' Data'!$AK$4:$AM$6,3,FALSE)))</f>
        <v/>
      </c>
      <c r="Y22" s="275" t="str">
        <f>IFERROR(IF(OR(LEFT(P22,5)="Error",LEFT(O22,5)="Error"),"Check Data ⚠",IF(F22&lt;S22,'G-7 WaterC'' Data'!$R$3,INDEX('G-7 WaterC'' Data'!$U$5:$Y$9,MATCH(G22,'G-7 WaterC'' Data'!$T$5:$T$9,0),MATCH(T22,'G-7 WaterC'' Data'!$U$4:$Y$4,0)))),"")</f>
        <v/>
      </c>
      <c r="Z22" s="133"/>
      <c r="AA22" s="133"/>
      <c r="AB22" s="283" t="str">
        <f t="shared" si="3"/>
        <v/>
      </c>
      <c r="AC22" s="296" t="str">
        <f t="shared" si="4"/>
        <v/>
      </c>
      <c r="AD22" s="334" t="str">
        <f>IFERROR(IF(AC22="Check Data ⚠","Check Data ⚠",VLOOKUP(AC22,'G-4 Temporal multipliers'!$A$4:$C$37,3,FALSE)),"")</f>
        <v/>
      </c>
      <c r="AE22" s="275" t="str">
        <f>IF(N22="","",VLOOKUP(N22,'G-7 WaterC'' Data'!$B$4:$G$8,5,FALSE))</f>
        <v/>
      </c>
      <c r="AF22" s="283" t="str">
        <f t="shared" si="5"/>
        <v/>
      </c>
      <c r="AG22" s="314" t="str">
        <f t="shared" si="6"/>
        <v/>
      </c>
      <c r="AH22" s="276" t="str">
        <f t="shared" si="0"/>
        <v/>
      </c>
      <c r="AI22" s="105"/>
      <c r="AJ22" s="276" t="str">
        <f>IF(AI22="","",IF(AND(AI22="N/A - Culvert",N22&lt;&gt;"Culvert"),"Not possible ▲",IF(VLOOKUP(AI22,'G-7 WaterC'' Data'!$AA$4:$AB$7,2,FALSE)=0,"Spatial Data Missing ⚠",VLOOKUP(AI22,'G-7 WaterC'' Data'!$AA$4:$AB$7,2,FALSE))))</f>
        <v/>
      </c>
      <c r="AK22" s="106"/>
      <c r="AL22" s="276" t="str">
        <f>IF(AK22="","",IF(AND(AK22="N/A - Culvert",N22&lt;&gt;"Culvert"),"Not possible ▲",IF(VLOOKUP(AK22,'G-7 WaterC'' Data'!$AD$4:$AE$14,2,FALSE)=0,"Spatial Data Missing ⚠",VLOOKUP(AK22,'G-7 WaterC'' Data'!$AD$4:$AE$14,2,FALSE))))</f>
        <v/>
      </c>
      <c r="AM22" s="317" t="str">
        <f t="shared" si="7"/>
        <v/>
      </c>
      <c r="AN22" s="101"/>
      <c r="AO22" s="115"/>
      <c r="AP22" s="104"/>
      <c r="AS22" s="30" t="str">
        <f>IF(B22="","",IF(ISNA(VLOOKUP($B22,'C-1 On-Site WaterC'' Baseline'!$C$8:$AD$257,17,FALSE)),"",(VLOOKUP($B22,'C-1 On-Site WaterC'' Baseline'!$C$8:$AD$257,17,FALSE))))</f>
        <v/>
      </c>
      <c r="AT22" s="30" t="str">
        <f>IF(B22="","",VLOOKUP($B22,'C-1 On-Site WaterC'' Baseline'!$C$9:$Z$257,12,FALSE))</f>
        <v/>
      </c>
      <c r="AU22" s="30" t="str">
        <f>IF(B22="","",VLOOKUP($B22,'C-1 On-Site WaterC'' Baseline'!$C$9:$Z$257,14,FALSE))</f>
        <v/>
      </c>
      <c r="AV22" s="30" t="str">
        <f>IFERROR(INDEX('G-7 WaterC'' Data'!$AZ$3:$AZ$7,MATCH(N22,'G-7 WaterC'' Data'!$AY$3:$AY$7,0)),"")</f>
        <v/>
      </c>
      <c r="AX22" s="30" t="str">
        <f>IF(B22="","",VLOOKUP($B22,'C-1 On-Site WaterC'' Baseline'!$C$9:$Y$257,22,FALSE))</f>
        <v/>
      </c>
      <c r="AY22" s="30" t="str">
        <f t="shared" si="8"/>
        <v/>
      </c>
      <c r="AZ22" s="30" t="str">
        <f>IF(B22="","",VLOOKUP($B22,'C-1 On-Site WaterC'' Baseline'!$C$9:$Y$257,21,FALSE))</f>
        <v/>
      </c>
      <c r="BA22" s="30" t="str">
        <f>IF(B22="","",VLOOKUP($B22,'C-1 On-Site WaterC'' Baseline'!$C$9:$Y$257,19,FALSE))</f>
        <v/>
      </c>
      <c r="BD22" s="30" t="str">
        <f t="shared" si="9"/>
        <v>No</v>
      </c>
    </row>
    <row r="23" spans="2:56" ht="14">
      <c r="B23" s="305" t="str">
        <f>'C-1 On-Site WaterC'' Baseline'!AP21</f>
        <v/>
      </c>
      <c r="C23" s="295" t="str">
        <f>IF(B23="","",VLOOKUP($B23,'C-1 On-Site WaterC'' Baseline'!$C$9:$R$257,2,FALSE))</f>
        <v/>
      </c>
      <c r="D23" s="295" t="str">
        <f>IF(C23="","",VLOOKUP($B23,'C-1 On-Site WaterC'' Baseline'!$C$9:$R$257,3,FALSE))</f>
        <v/>
      </c>
      <c r="E23" s="295" t="str">
        <f>IF(D23="","",VLOOKUP($B23,'C-1 On-Site WaterC'' Baseline'!$C$9:$R$257,4,FALSE))</f>
        <v/>
      </c>
      <c r="F23" s="295" t="str">
        <f>IF(E23="","",VLOOKUP($B23,'C-1 On-Site WaterC'' Baseline'!$C$9:$R$257,5,FALSE))</f>
        <v/>
      </c>
      <c r="G23" s="295" t="str">
        <f>IF(F23="","",VLOOKUP($B23,'C-1 On-Site WaterC'' Baseline'!$C$9:$R$257,6,FALSE))</f>
        <v/>
      </c>
      <c r="H23" s="295" t="str">
        <f>IF(G23="","",VLOOKUP($B23,'C-1 On-Site WaterC'' Baseline'!$C$9:$R$257,7,FALSE))</f>
        <v/>
      </c>
      <c r="I23" s="295" t="str">
        <f>IF(H23="","",VLOOKUP($B23,'C-1 On-Site WaterC'' Baseline'!$C$9:$R$257,8,FALSE))</f>
        <v/>
      </c>
      <c r="J23" s="295" t="str">
        <f>IF(I23="","",VLOOKUP($B23,'C-1 On-Site WaterC'' Baseline'!$C$9:$R$257,9,FALSE))</f>
        <v/>
      </c>
      <c r="K23" s="295" t="str">
        <f>IF(J23="","",VLOOKUP($B23,'C-1 On-Site WaterC'' Baseline'!$C$9:$R$257,10,FALSE))</f>
        <v/>
      </c>
      <c r="L23" s="295" t="str">
        <f>IF(B23="","",VLOOKUP($B23,'C-1 On-Site WaterC'' Baseline'!$C$9:$R$257,15,FALSE))</f>
        <v/>
      </c>
      <c r="M23" s="299" t="str">
        <f>IF(L23="","",VLOOKUP($B23,'C-1 On-Site WaterC'' Baseline'!$C$9:$R$257,16,FALSE))</f>
        <v/>
      </c>
      <c r="N23" s="245"/>
      <c r="O23" s="275" t="str">
        <f t="shared" si="1"/>
        <v/>
      </c>
      <c r="P23" s="276" t="str">
        <f t="shared" si="2"/>
        <v/>
      </c>
      <c r="Q23" s="336" t="str">
        <f>IF(N23="","",VLOOKUP(B23,'C-1 On-Site WaterC'' Baseline'!$C$10:$AC$257,20,FALSE))</f>
        <v/>
      </c>
      <c r="R23" s="275" t="str">
        <f>IF(N23="","",VLOOKUP(N23,'G-7 WaterC'' Data'!$B$2:$G$8,2,FALSE))</f>
        <v/>
      </c>
      <c r="S23" s="276" t="str">
        <f>IFERROR(VLOOKUP(R23,'G-7 WaterC'' Data'!$C$4:$D$8,2,FALSE),"")</f>
        <v/>
      </c>
      <c r="T23" s="101"/>
      <c r="U23" s="276" t="str">
        <f>IFERROR(INDEX('G-7 WaterC'' Data'!$H$4:$L$8,MATCH(N23,'G-7 WaterC'' Data'!$B$4:$B$8,0),MATCH(T23,'G-7 WaterC'' Data'!$H$3:$L$3,0)),"")</f>
        <v/>
      </c>
      <c r="V23" s="101"/>
      <c r="W23" s="283" t="str">
        <f>IF(V23="","",IF(VLOOKUP(V23,'G-7 WaterC'' Data'!$AK$4:$AM$6,2,FALSE)=0,"Spatial Data Missing ⚠",VLOOKUP(V23,'G-7 WaterC'' Data'!$AK$4:$AM$6,2,FALSE)))</f>
        <v/>
      </c>
      <c r="X23" s="276" t="str">
        <f>IF(V23="","",IF(VLOOKUP(V23,'G-7 WaterC'' Data'!$AK$4:$AM$6,3,FALSE)=0,"Spatial Data Missing ⚠",VLOOKUP(V23,'G-7 WaterC'' Data'!$AK$4:$AM$6,3,FALSE)))</f>
        <v/>
      </c>
      <c r="Y23" s="275" t="str">
        <f>IFERROR(IF(OR(LEFT(P23,5)="Error",LEFT(O23,5)="Error"),"Check Data ⚠",IF(F23&lt;S23,'G-7 WaterC'' Data'!$R$3,INDEX('G-7 WaterC'' Data'!$U$5:$Y$9,MATCH(G23,'G-7 WaterC'' Data'!$T$5:$T$9,0),MATCH(T23,'G-7 WaterC'' Data'!$U$4:$Y$4,0)))),"")</f>
        <v/>
      </c>
      <c r="Z23" s="133"/>
      <c r="AA23" s="133"/>
      <c r="AB23" s="283" t="str">
        <f t="shared" si="3"/>
        <v/>
      </c>
      <c r="AC23" s="296" t="str">
        <f t="shared" si="4"/>
        <v/>
      </c>
      <c r="AD23" s="334" t="str">
        <f>IFERROR(IF(AC23="Check Data ⚠","Check Data ⚠",VLOOKUP(AC23,'G-4 Temporal multipliers'!$A$4:$C$37,3,FALSE)),"")</f>
        <v/>
      </c>
      <c r="AE23" s="275" t="str">
        <f>IF(N23="","",VLOOKUP(N23,'G-7 WaterC'' Data'!$B$4:$G$8,5,FALSE))</f>
        <v/>
      </c>
      <c r="AF23" s="283" t="str">
        <f t="shared" si="5"/>
        <v/>
      </c>
      <c r="AG23" s="314" t="str">
        <f t="shared" si="6"/>
        <v/>
      </c>
      <c r="AH23" s="276" t="str">
        <f t="shared" si="0"/>
        <v/>
      </c>
      <c r="AI23" s="105"/>
      <c r="AJ23" s="276" t="str">
        <f>IF(AI23="","",IF(AND(AI23="N/A - Culvert",N23&lt;&gt;"Culvert"),"Not possible ▲",IF(VLOOKUP(AI23,'G-7 WaterC'' Data'!$AA$4:$AB$7,2,FALSE)=0,"Spatial Data Missing ⚠",VLOOKUP(AI23,'G-7 WaterC'' Data'!$AA$4:$AB$7,2,FALSE))))</f>
        <v/>
      </c>
      <c r="AK23" s="106"/>
      <c r="AL23" s="276" t="str">
        <f>IF(AK23="","",IF(AND(AK23="N/A - Culvert",N23&lt;&gt;"Culvert"),"Not possible ▲",IF(VLOOKUP(AK23,'G-7 WaterC'' Data'!$AD$4:$AE$14,2,FALSE)=0,"Spatial Data Missing ⚠",VLOOKUP(AK23,'G-7 WaterC'' Data'!$AD$4:$AE$14,2,FALSE))))</f>
        <v/>
      </c>
      <c r="AM23" s="317" t="str">
        <f t="shared" si="7"/>
        <v/>
      </c>
      <c r="AN23" s="101"/>
      <c r="AO23" s="115"/>
      <c r="AP23" s="104"/>
      <c r="AS23" s="30" t="str">
        <f>IF(B23="","",IF(ISNA(VLOOKUP($B23,'C-1 On-Site WaterC'' Baseline'!$C$8:$AD$257,17,FALSE)),"",(VLOOKUP($B23,'C-1 On-Site WaterC'' Baseline'!$C$8:$AD$257,17,FALSE))))</f>
        <v/>
      </c>
      <c r="AT23" s="30" t="str">
        <f>IF(B23="","",VLOOKUP($B23,'C-1 On-Site WaterC'' Baseline'!$C$9:$Z$257,12,FALSE))</f>
        <v/>
      </c>
      <c r="AU23" s="30" t="str">
        <f>IF(B23="","",VLOOKUP($B23,'C-1 On-Site WaterC'' Baseline'!$C$9:$Z$257,14,FALSE))</f>
        <v/>
      </c>
      <c r="AV23" s="30" t="str">
        <f>IFERROR(INDEX('G-7 WaterC'' Data'!$AZ$3:$AZ$7,MATCH(N23,'G-7 WaterC'' Data'!$AY$3:$AY$7,0)),"")</f>
        <v/>
      </c>
      <c r="AX23" s="30" t="str">
        <f>IF(B23="","",VLOOKUP($B23,'C-1 On-Site WaterC'' Baseline'!$C$9:$Y$257,22,FALSE))</f>
        <v/>
      </c>
      <c r="AY23" s="30" t="str">
        <f t="shared" si="8"/>
        <v/>
      </c>
      <c r="AZ23" s="30" t="str">
        <f>IF(B23="","",VLOOKUP($B23,'C-1 On-Site WaterC'' Baseline'!$C$9:$Y$257,21,FALSE))</f>
        <v/>
      </c>
      <c r="BA23" s="30" t="str">
        <f>IF(B23="","",VLOOKUP($B23,'C-1 On-Site WaterC'' Baseline'!$C$9:$Y$257,19,FALSE))</f>
        <v/>
      </c>
      <c r="BD23" s="30" t="str">
        <f t="shared" si="9"/>
        <v>No</v>
      </c>
    </row>
    <row r="24" spans="2:56" ht="14">
      <c r="B24" s="305" t="str">
        <f>'C-1 On-Site WaterC'' Baseline'!AP22</f>
        <v/>
      </c>
      <c r="C24" s="295" t="str">
        <f>IF(B24="","",VLOOKUP($B24,'C-1 On-Site WaterC'' Baseline'!$C$9:$R$257,2,FALSE))</f>
        <v/>
      </c>
      <c r="D24" s="295" t="str">
        <f>IF(C24="","",VLOOKUP($B24,'C-1 On-Site WaterC'' Baseline'!$C$9:$R$257,3,FALSE))</f>
        <v/>
      </c>
      <c r="E24" s="295" t="str">
        <f>IF(D24="","",VLOOKUP($B24,'C-1 On-Site WaterC'' Baseline'!$C$9:$R$257,4,FALSE))</f>
        <v/>
      </c>
      <c r="F24" s="295" t="str">
        <f>IF(E24="","",VLOOKUP($B24,'C-1 On-Site WaterC'' Baseline'!$C$9:$R$257,5,FALSE))</f>
        <v/>
      </c>
      <c r="G24" s="295" t="str">
        <f>IF(F24="","",VLOOKUP($B24,'C-1 On-Site WaterC'' Baseline'!$C$9:$R$257,6,FALSE))</f>
        <v/>
      </c>
      <c r="H24" s="295" t="str">
        <f>IF(G24="","",VLOOKUP($B24,'C-1 On-Site WaterC'' Baseline'!$C$9:$R$257,7,FALSE))</f>
        <v/>
      </c>
      <c r="I24" s="295" t="str">
        <f>IF(H24="","",VLOOKUP($B24,'C-1 On-Site WaterC'' Baseline'!$C$9:$R$257,8,FALSE))</f>
        <v/>
      </c>
      <c r="J24" s="295" t="str">
        <f>IF(I24="","",VLOOKUP($B24,'C-1 On-Site WaterC'' Baseline'!$C$9:$R$257,9,FALSE))</f>
        <v/>
      </c>
      <c r="K24" s="295" t="str">
        <f>IF(J24="","",VLOOKUP($B24,'C-1 On-Site WaterC'' Baseline'!$C$9:$R$257,10,FALSE))</f>
        <v/>
      </c>
      <c r="L24" s="295" t="str">
        <f>IF(B24="","",VLOOKUP($B24,'C-1 On-Site WaterC'' Baseline'!$C$9:$R$257,15,FALSE))</f>
        <v/>
      </c>
      <c r="M24" s="299" t="str">
        <f>IF(L24="","",VLOOKUP($B24,'C-1 On-Site WaterC'' Baseline'!$C$9:$R$257,16,FALSE))</f>
        <v/>
      </c>
      <c r="N24" s="245"/>
      <c r="O24" s="275" t="str">
        <f t="shared" si="1"/>
        <v/>
      </c>
      <c r="P24" s="276" t="str">
        <f t="shared" si="2"/>
        <v/>
      </c>
      <c r="Q24" s="336" t="str">
        <f>IF(N24="","",VLOOKUP(B24,'C-1 On-Site WaterC'' Baseline'!$C$10:$AC$257,20,FALSE))</f>
        <v/>
      </c>
      <c r="R24" s="275" t="str">
        <f>IF(N24="","",VLOOKUP(N24,'G-7 WaterC'' Data'!$B$2:$G$8,2,FALSE))</f>
        <v/>
      </c>
      <c r="S24" s="276" t="str">
        <f>IFERROR(VLOOKUP(R24,'G-7 WaterC'' Data'!$C$4:$D$8,2,FALSE),"")</f>
        <v/>
      </c>
      <c r="T24" s="101"/>
      <c r="U24" s="276" t="str">
        <f>IFERROR(INDEX('G-7 WaterC'' Data'!$H$4:$L$8,MATCH(N24,'G-7 WaterC'' Data'!$B$4:$B$8,0),MATCH(T24,'G-7 WaterC'' Data'!$H$3:$L$3,0)),"")</f>
        <v/>
      </c>
      <c r="V24" s="101"/>
      <c r="W24" s="283" t="str">
        <f>IF(V24="","",IF(VLOOKUP(V24,'G-7 WaterC'' Data'!$AK$4:$AM$6,2,FALSE)=0,"Spatial Data Missing ⚠",VLOOKUP(V24,'G-7 WaterC'' Data'!$AK$4:$AM$6,2,FALSE)))</f>
        <v/>
      </c>
      <c r="X24" s="276" t="str">
        <f>IF(V24="","",IF(VLOOKUP(V24,'G-7 WaterC'' Data'!$AK$4:$AM$6,3,FALSE)=0,"Spatial Data Missing ⚠",VLOOKUP(V24,'G-7 WaterC'' Data'!$AK$4:$AM$6,3,FALSE)))</f>
        <v/>
      </c>
      <c r="Y24" s="275" t="str">
        <f>IFERROR(IF(OR(LEFT(P24,5)="Error",LEFT(O24,5)="Error"),"Check Data ⚠",IF(F24&lt;S24,'G-7 WaterC'' Data'!$R$3,INDEX('G-7 WaterC'' Data'!$U$5:$Y$9,MATCH(G24,'G-7 WaterC'' Data'!$T$5:$T$9,0),MATCH(T24,'G-7 WaterC'' Data'!$U$4:$Y$4,0)))),"")</f>
        <v/>
      </c>
      <c r="Z24" s="133"/>
      <c r="AA24" s="133"/>
      <c r="AB24" s="283" t="str">
        <f t="shared" si="3"/>
        <v/>
      </c>
      <c r="AC24" s="296" t="str">
        <f t="shared" si="4"/>
        <v/>
      </c>
      <c r="AD24" s="334" t="str">
        <f>IFERROR(IF(AC24="Check Data ⚠","Check Data ⚠",VLOOKUP(AC24,'G-4 Temporal multipliers'!$A$4:$C$37,3,FALSE)),"")</f>
        <v/>
      </c>
      <c r="AE24" s="275" t="str">
        <f>IF(N24="","",VLOOKUP(N24,'G-7 WaterC'' Data'!$B$4:$G$8,5,FALSE))</f>
        <v/>
      </c>
      <c r="AF24" s="283" t="str">
        <f t="shared" si="5"/>
        <v/>
      </c>
      <c r="AG24" s="314" t="str">
        <f t="shared" si="6"/>
        <v/>
      </c>
      <c r="AH24" s="276" t="str">
        <f t="shared" si="0"/>
        <v/>
      </c>
      <c r="AI24" s="105"/>
      <c r="AJ24" s="276" t="str">
        <f>IF(AI24="","",IF(AND(AI24="N/A - Culvert",N24&lt;&gt;"Culvert"),"Not possible ▲",IF(VLOOKUP(AI24,'G-7 WaterC'' Data'!$AA$4:$AB$7,2,FALSE)=0,"Spatial Data Missing ⚠",VLOOKUP(AI24,'G-7 WaterC'' Data'!$AA$4:$AB$7,2,FALSE))))</f>
        <v/>
      </c>
      <c r="AK24" s="106"/>
      <c r="AL24" s="276" t="str">
        <f>IF(AK24="","",IF(AND(AK24="N/A - Culvert",N24&lt;&gt;"Culvert"),"Not possible ▲",IF(VLOOKUP(AK24,'G-7 WaterC'' Data'!$AD$4:$AE$14,2,FALSE)=0,"Spatial Data Missing ⚠",VLOOKUP(AK24,'G-7 WaterC'' Data'!$AD$4:$AE$14,2,FALSE))))</f>
        <v/>
      </c>
      <c r="AM24" s="317" t="str">
        <f t="shared" si="7"/>
        <v/>
      </c>
      <c r="AN24" s="101"/>
      <c r="AO24" s="115"/>
      <c r="AP24" s="104"/>
      <c r="AS24" s="30" t="str">
        <f>IF(B24="","",IF(ISNA(VLOOKUP($B24,'C-1 On-Site WaterC'' Baseline'!$C$8:$AD$257,17,FALSE)),"",(VLOOKUP($B24,'C-1 On-Site WaterC'' Baseline'!$C$8:$AD$257,17,FALSE))))</f>
        <v/>
      </c>
      <c r="AT24" s="30" t="str">
        <f>IF(B24="","",VLOOKUP($B24,'C-1 On-Site WaterC'' Baseline'!$C$9:$Z$257,12,FALSE))</f>
        <v/>
      </c>
      <c r="AU24" s="30" t="str">
        <f>IF(B24="","",VLOOKUP($B24,'C-1 On-Site WaterC'' Baseline'!$C$9:$Z$257,14,FALSE))</f>
        <v/>
      </c>
      <c r="AV24" s="30" t="str">
        <f>IFERROR(INDEX('G-7 WaterC'' Data'!$AZ$3:$AZ$7,MATCH(N24,'G-7 WaterC'' Data'!$AY$3:$AY$7,0)),"")</f>
        <v/>
      </c>
      <c r="AX24" s="30" t="str">
        <f>IF(B24="","",VLOOKUP($B24,'C-1 On-Site WaterC'' Baseline'!$C$9:$Y$257,22,FALSE))</f>
        <v/>
      </c>
      <c r="AY24" s="30" t="str">
        <f t="shared" si="8"/>
        <v/>
      </c>
      <c r="AZ24" s="30" t="str">
        <f>IF(B24="","",VLOOKUP($B24,'C-1 On-Site WaterC'' Baseline'!$C$9:$Y$257,21,FALSE))</f>
        <v/>
      </c>
      <c r="BA24" s="30" t="str">
        <f>IF(B24="","",VLOOKUP($B24,'C-1 On-Site WaterC'' Baseline'!$C$9:$Y$257,19,FALSE))</f>
        <v/>
      </c>
      <c r="BD24" s="30" t="str">
        <f t="shared" si="9"/>
        <v>No</v>
      </c>
    </row>
    <row r="25" spans="2:56" ht="14">
      <c r="B25" s="305" t="str">
        <f>'C-1 On-Site WaterC'' Baseline'!AP23</f>
        <v/>
      </c>
      <c r="C25" s="295" t="str">
        <f>IF(B25="","",VLOOKUP($B25,'C-1 On-Site WaterC'' Baseline'!$C$9:$R$257,2,FALSE))</f>
        <v/>
      </c>
      <c r="D25" s="295" t="str">
        <f>IF(C25="","",VLOOKUP($B25,'C-1 On-Site WaterC'' Baseline'!$C$9:$R$257,3,FALSE))</f>
        <v/>
      </c>
      <c r="E25" s="295" t="str">
        <f>IF(D25="","",VLOOKUP($B25,'C-1 On-Site WaterC'' Baseline'!$C$9:$R$257,4,FALSE))</f>
        <v/>
      </c>
      <c r="F25" s="295" t="str">
        <f>IF(E25="","",VLOOKUP($B25,'C-1 On-Site WaterC'' Baseline'!$C$9:$R$257,5,FALSE))</f>
        <v/>
      </c>
      <c r="G25" s="295" t="str">
        <f>IF(F25="","",VLOOKUP($B25,'C-1 On-Site WaterC'' Baseline'!$C$9:$R$257,6,FALSE))</f>
        <v/>
      </c>
      <c r="H25" s="295" t="str">
        <f>IF(G25="","",VLOOKUP($B25,'C-1 On-Site WaterC'' Baseline'!$C$9:$R$257,7,FALSE))</f>
        <v/>
      </c>
      <c r="I25" s="295" t="str">
        <f>IF(H25="","",VLOOKUP($B25,'C-1 On-Site WaterC'' Baseline'!$C$9:$R$257,8,FALSE))</f>
        <v/>
      </c>
      <c r="J25" s="295" t="str">
        <f>IF(I25="","",VLOOKUP($B25,'C-1 On-Site WaterC'' Baseline'!$C$9:$R$257,9,FALSE))</f>
        <v/>
      </c>
      <c r="K25" s="295" t="str">
        <f>IF(J25="","",VLOOKUP($B25,'C-1 On-Site WaterC'' Baseline'!$C$9:$R$257,10,FALSE))</f>
        <v/>
      </c>
      <c r="L25" s="295" t="str">
        <f>IF(B25="","",VLOOKUP($B25,'C-1 On-Site WaterC'' Baseline'!$C$9:$R$257,15,FALSE))</f>
        <v/>
      </c>
      <c r="M25" s="299" t="str">
        <f>IF(L25="","",VLOOKUP($B25,'C-1 On-Site WaterC'' Baseline'!$C$9:$R$257,16,FALSE))</f>
        <v/>
      </c>
      <c r="N25" s="245"/>
      <c r="O25" s="275" t="str">
        <f t="shared" si="1"/>
        <v/>
      </c>
      <c r="P25" s="276" t="str">
        <f t="shared" si="2"/>
        <v/>
      </c>
      <c r="Q25" s="336" t="str">
        <f>IF(N25="","",VLOOKUP(B25,'C-1 On-Site WaterC'' Baseline'!$C$10:$AC$257,20,FALSE))</f>
        <v/>
      </c>
      <c r="R25" s="275" t="str">
        <f>IF(N25="","",VLOOKUP(N25,'G-7 WaterC'' Data'!$B$2:$G$8,2,FALSE))</f>
        <v/>
      </c>
      <c r="S25" s="276" t="str">
        <f>IFERROR(VLOOKUP(R25,'G-7 WaterC'' Data'!$C$4:$D$8,2,FALSE),"")</f>
        <v/>
      </c>
      <c r="T25" s="101"/>
      <c r="U25" s="276" t="str">
        <f>IFERROR(INDEX('G-7 WaterC'' Data'!$H$4:$L$8,MATCH(N25,'G-7 WaterC'' Data'!$B$4:$B$8,0),MATCH(T25,'G-7 WaterC'' Data'!$H$3:$L$3,0)),"")</f>
        <v/>
      </c>
      <c r="V25" s="101"/>
      <c r="W25" s="283" t="str">
        <f>IF(V25="","",IF(VLOOKUP(V25,'G-7 WaterC'' Data'!$AK$4:$AM$6,2,FALSE)=0,"Spatial Data Missing ⚠",VLOOKUP(V25,'G-7 WaterC'' Data'!$AK$4:$AM$6,2,FALSE)))</f>
        <v/>
      </c>
      <c r="X25" s="276" t="str">
        <f>IF(V25="","",IF(VLOOKUP(V25,'G-7 WaterC'' Data'!$AK$4:$AM$6,3,FALSE)=0,"Spatial Data Missing ⚠",VLOOKUP(V25,'G-7 WaterC'' Data'!$AK$4:$AM$6,3,FALSE)))</f>
        <v/>
      </c>
      <c r="Y25" s="275" t="str">
        <f>IFERROR(IF(OR(LEFT(P25,5)="Error",LEFT(O25,5)="Error"),"Check Data ⚠",IF(F25&lt;S25,'G-7 WaterC'' Data'!$R$3,INDEX('G-7 WaterC'' Data'!$U$5:$Y$9,MATCH(G25,'G-7 WaterC'' Data'!$T$5:$T$9,0),MATCH(T25,'G-7 WaterC'' Data'!$U$4:$Y$4,0)))),"")</f>
        <v/>
      </c>
      <c r="Z25" s="133"/>
      <c r="AA25" s="133"/>
      <c r="AB25" s="283" t="str">
        <f t="shared" si="3"/>
        <v/>
      </c>
      <c r="AC25" s="296" t="str">
        <f t="shared" si="4"/>
        <v/>
      </c>
      <c r="AD25" s="334" t="str">
        <f>IFERROR(IF(AC25="Check Data ⚠","Check Data ⚠",VLOOKUP(AC25,'G-4 Temporal multipliers'!$A$4:$C$37,3,FALSE)),"")</f>
        <v/>
      </c>
      <c r="AE25" s="275" t="str">
        <f>IF(N25="","",VLOOKUP(N25,'G-7 WaterC'' Data'!$B$4:$G$8,5,FALSE))</f>
        <v/>
      </c>
      <c r="AF25" s="283" t="str">
        <f t="shared" si="5"/>
        <v/>
      </c>
      <c r="AG25" s="314" t="str">
        <f t="shared" si="6"/>
        <v/>
      </c>
      <c r="AH25" s="276" t="str">
        <f t="shared" si="0"/>
        <v/>
      </c>
      <c r="AI25" s="105"/>
      <c r="AJ25" s="276" t="str">
        <f>IF(AI25="","",IF(AND(AI25="N/A - Culvert",N25&lt;&gt;"Culvert"),"Not possible ▲",IF(VLOOKUP(AI25,'G-7 WaterC'' Data'!$AA$4:$AB$7,2,FALSE)=0,"Spatial Data Missing ⚠",VLOOKUP(AI25,'G-7 WaterC'' Data'!$AA$4:$AB$7,2,FALSE))))</f>
        <v/>
      </c>
      <c r="AK25" s="106"/>
      <c r="AL25" s="276" t="str">
        <f>IF(AK25="","",IF(AND(AK25="N/A - Culvert",N25&lt;&gt;"Culvert"),"Not possible ▲",IF(VLOOKUP(AK25,'G-7 WaterC'' Data'!$AD$4:$AE$14,2,FALSE)=0,"Spatial Data Missing ⚠",VLOOKUP(AK25,'G-7 WaterC'' Data'!$AD$4:$AE$14,2,FALSE))))</f>
        <v/>
      </c>
      <c r="AM25" s="317" t="str">
        <f t="shared" si="7"/>
        <v/>
      </c>
      <c r="AN25" s="101"/>
      <c r="AO25" s="115"/>
      <c r="AP25" s="104"/>
      <c r="AS25" s="30" t="str">
        <f>IF(B25="","",IF(ISNA(VLOOKUP($B25,'C-1 On-Site WaterC'' Baseline'!$C$8:$AD$257,17,FALSE)),"",(VLOOKUP($B25,'C-1 On-Site WaterC'' Baseline'!$C$8:$AD$257,17,FALSE))))</f>
        <v/>
      </c>
      <c r="AT25" s="30" t="str">
        <f>IF(B25="","",VLOOKUP($B25,'C-1 On-Site WaterC'' Baseline'!$C$9:$Z$257,12,FALSE))</f>
        <v/>
      </c>
      <c r="AU25" s="30" t="str">
        <f>IF(B25="","",VLOOKUP($B25,'C-1 On-Site WaterC'' Baseline'!$C$9:$Z$257,14,FALSE))</f>
        <v/>
      </c>
      <c r="AV25" s="30" t="str">
        <f>IFERROR(INDEX('G-7 WaterC'' Data'!$AZ$3:$AZ$7,MATCH(N25,'G-7 WaterC'' Data'!$AY$3:$AY$7,0)),"")</f>
        <v/>
      </c>
      <c r="AX25" s="30" t="str">
        <f>IF(B25="","",VLOOKUP($B25,'C-1 On-Site WaterC'' Baseline'!$C$9:$Y$257,22,FALSE))</f>
        <v/>
      </c>
      <c r="AY25" s="30" t="str">
        <f t="shared" si="8"/>
        <v/>
      </c>
      <c r="AZ25" s="30" t="str">
        <f>IF(B25="","",VLOOKUP($B25,'C-1 On-Site WaterC'' Baseline'!$C$9:$Y$257,21,FALSE))</f>
        <v/>
      </c>
      <c r="BA25" s="30" t="str">
        <f>IF(B25="","",VLOOKUP($B25,'C-1 On-Site WaterC'' Baseline'!$C$9:$Y$257,19,FALSE))</f>
        <v/>
      </c>
      <c r="BD25" s="30" t="str">
        <f t="shared" si="9"/>
        <v>No</v>
      </c>
    </row>
    <row r="26" spans="2:56" ht="14">
      <c r="B26" s="305" t="str">
        <f>'C-1 On-Site WaterC'' Baseline'!AP24</f>
        <v/>
      </c>
      <c r="C26" s="295" t="str">
        <f>IF(B26="","",VLOOKUP($B26,'C-1 On-Site WaterC'' Baseline'!$C$9:$R$257,2,FALSE))</f>
        <v/>
      </c>
      <c r="D26" s="295" t="str">
        <f>IF(C26="","",VLOOKUP($B26,'C-1 On-Site WaterC'' Baseline'!$C$9:$R$257,3,FALSE))</f>
        <v/>
      </c>
      <c r="E26" s="295" t="str">
        <f>IF(D26="","",VLOOKUP($B26,'C-1 On-Site WaterC'' Baseline'!$C$9:$R$257,4,FALSE))</f>
        <v/>
      </c>
      <c r="F26" s="295" t="str">
        <f>IF(E26="","",VLOOKUP($B26,'C-1 On-Site WaterC'' Baseline'!$C$9:$R$257,5,FALSE))</f>
        <v/>
      </c>
      <c r="G26" s="295" t="str">
        <f>IF(F26="","",VLOOKUP($B26,'C-1 On-Site WaterC'' Baseline'!$C$9:$R$257,6,FALSE))</f>
        <v/>
      </c>
      <c r="H26" s="295" t="str">
        <f>IF(G26="","",VLOOKUP($B26,'C-1 On-Site WaterC'' Baseline'!$C$9:$R$257,7,FALSE))</f>
        <v/>
      </c>
      <c r="I26" s="295" t="str">
        <f>IF(H26="","",VLOOKUP($B26,'C-1 On-Site WaterC'' Baseline'!$C$9:$R$257,8,FALSE))</f>
        <v/>
      </c>
      <c r="J26" s="295" t="str">
        <f>IF(I26="","",VLOOKUP($B26,'C-1 On-Site WaterC'' Baseline'!$C$9:$R$257,9,FALSE))</f>
        <v/>
      </c>
      <c r="K26" s="295" t="str">
        <f>IF(J26="","",VLOOKUP($B26,'C-1 On-Site WaterC'' Baseline'!$C$9:$R$257,10,FALSE))</f>
        <v/>
      </c>
      <c r="L26" s="295" t="str">
        <f>IF(B26="","",VLOOKUP($B26,'C-1 On-Site WaterC'' Baseline'!$C$9:$R$257,15,FALSE))</f>
        <v/>
      </c>
      <c r="M26" s="299" t="str">
        <f>IF(L26="","",VLOOKUP($B26,'C-1 On-Site WaterC'' Baseline'!$C$9:$R$257,16,FALSE))</f>
        <v/>
      </c>
      <c r="N26" s="245"/>
      <c r="O26" s="275" t="str">
        <f t="shared" si="1"/>
        <v/>
      </c>
      <c r="P26" s="276" t="str">
        <f t="shared" si="2"/>
        <v/>
      </c>
      <c r="Q26" s="336" t="str">
        <f>IF(N26="","",VLOOKUP(B26,'C-1 On-Site WaterC'' Baseline'!$C$10:$AC$257,20,FALSE))</f>
        <v/>
      </c>
      <c r="R26" s="275" t="str">
        <f>IF(N26="","",VLOOKUP(N26,'G-7 WaterC'' Data'!$B$2:$G$8,2,FALSE))</f>
        <v/>
      </c>
      <c r="S26" s="276" t="str">
        <f>IFERROR(VLOOKUP(R26,'G-7 WaterC'' Data'!$C$4:$D$8,2,FALSE),"")</f>
        <v/>
      </c>
      <c r="T26" s="101"/>
      <c r="U26" s="276" t="str">
        <f>IFERROR(INDEX('G-7 WaterC'' Data'!$H$4:$L$8,MATCH(N26,'G-7 WaterC'' Data'!$B$4:$B$8,0),MATCH(T26,'G-7 WaterC'' Data'!$H$3:$L$3,0)),"")</f>
        <v/>
      </c>
      <c r="V26" s="101"/>
      <c r="W26" s="283" t="str">
        <f>IF(V26="","",IF(VLOOKUP(V26,'G-7 WaterC'' Data'!$AK$4:$AM$6,2,FALSE)=0,"Spatial Data Missing ⚠",VLOOKUP(V26,'G-7 WaterC'' Data'!$AK$4:$AM$6,2,FALSE)))</f>
        <v/>
      </c>
      <c r="X26" s="276" t="str">
        <f>IF(V26="","",IF(VLOOKUP(V26,'G-7 WaterC'' Data'!$AK$4:$AM$6,3,FALSE)=0,"Spatial Data Missing ⚠",VLOOKUP(V26,'G-7 WaterC'' Data'!$AK$4:$AM$6,3,FALSE)))</f>
        <v/>
      </c>
      <c r="Y26" s="275" t="str">
        <f>IFERROR(IF(OR(LEFT(P26,5)="Error",LEFT(O26,5)="Error"),"Check Data ⚠",IF(F26&lt;S26,'G-7 WaterC'' Data'!$R$3,INDEX('G-7 WaterC'' Data'!$U$5:$Y$9,MATCH(G26,'G-7 WaterC'' Data'!$T$5:$T$9,0),MATCH(T26,'G-7 WaterC'' Data'!$U$4:$Y$4,0)))),"")</f>
        <v/>
      </c>
      <c r="Z26" s="133"/>
      <c r="AA26" s="133"/>
      <c r="AB26" s="283" t="str">
        <f t="shared" si="3"/>
        <v/>
      </c>
      <c r="AC26" s="296" t="str">
        <f t="shared" si="4"/>
        <v/>
      </c>
      <c r="AD26" s="334" t="str">
        <f>IFERROR(IF(AC26="Check Data ⚠","Check Data ⚠",VLOOKUP(AC26,'G-4 Temporal multipliers'!$A$4:$C$37,3,FALSE)),"")</f>
        <v/>
      </c>
      <c r="AE26" s="275" t="str">
        <f>IF(N26="","",VLOOKUP(N26,'G-7 WaterC'' Data'!$B$4:$G$8,5,FALSE))</f>
        <v/>
      </c>
      <c r="AF26" s="283" t="str">
        <f t="shared" si="5"/>
        <v/>
      </c>
      <c r="AG26" s="314" t="str">
        <f t="shared" si="6"/>
        <v/>
      </c>
      <c r="AH26" s="276" t="str">
        <f t="shared" si="0"/>
        <v/>
      </c>
      <c r="AI26" s="105"/>
      <c r="AJ26" s="276" t="str">
        <f>IF(AI26="","",IF(AND(AI26="N/A - Culvert",N26&lt;&gt;"Culvert"),"Not possible ▲",IF(VLOOKUP(AI26,'G-7 WaterC'' Data'!$AA$4:$AB$7,2,FALSE)=0,"Spatial Data Missing ⚠",VLOOKUP(AI26,'G-7 WaterC'' Data'!$AA$4:$AB$7,2,FALSE))))</f>
        <v/>
      </c>
      <c r="AK26" s="106"/>
      <c r="AL26" s="276" t="str">
        <f>IF(AK26="","",IF(AND(AK26="N/A - Culvert",N26&lt;&gt;"Culvert"),"Not possible ▲",IF(VLOOKUP(AK26,'G-7 WaterC'' Data'!$AD$4:$AE$14,2,FALSE)=0,"Spatial Data Missing ⚠",VLOOKUP(AK26,'G-7 WaterC'' Data'!$AD$4:$AE$14,2,FALSE))))</f>
        <v/>
      </c>
      <c r="AM26" s="317" t="str">
        <f t="shared" si="7"/>
        <v/>
      </c>
      <c r="AN26" s="101"/>
      <c r="AO26" s="115"/>
      <c r="AP26" s="104"/>
      <c r="AS26" s="30" t="str">
        <f>IF(B26="","",IF(ISNA(VLOOKUP($B26,'C-1 On-Site WaterC'' Baseline'!$C$8:$AD$257,17,FALSE)),"",(VLOOKUP($B26,'C-1 On-Site WaterC'' Baseline'!$C$8:$AD$257,17,FALSE))))</f>
        <v/>
      </c>
      <c r="AT26" s="30" t="str">
        <f>IF(B26="","",VLOOKUP($B26,'C-1 On-Site WaterC'' Baseline'!$C$9:$Z$257,12,FALSE))</f>
        <v/>
      </c>
      <c r="AU26" s="30" t="str">
        <f>IF(B26="","",VLOOKUP($B26,'C-1 On-Site WaterC'' Baseline'!$C$9:$Z$257,14,FALSE))</f>
        <v/>
      </c>
      <c r="AV26" s="30" t="str">
        <f>IFERROR(INDEX('G-7 WaterC'' Data'!$AZ$3:$AZ$7,MATCH(N26,'G-7 WaterC'' Data'!$AY$3:$AY$7,0)),"")</f>
        <v/>
      </c>
      <c r="AX26" s="30" t="str">
        <f>IF(B26="","",VLOOKUP($B26,'C-1 On-Site WaterC'' Baseline'!$C$9:$Y$257,22,FALSE))</f>
        <v/>
      </c>
      <c r="AY26" s="30" t="str">
        <f t="shared" si="8"/>
        <v/>
      </c>
      <c r="AZ26" s="30" t="str">
        <f>IF(B26="","",VLOOKUP($B26,'C-1 On-Site WaterC'' Baseline'!$C$9:$Y$257,21,FALSE))</f>
        <v/>
      </c>
      <c r="BA26" s="30" t="str">
        <f>IF(B26="","",VLOOKUP($B26,'C-1 On-Site WaterC'' Baseline'!$C$9:$Y$257,19,FALSE))</f>
        <v/>
      </c>
      <c r="BD26" s="30" t="str">
        <f t="shared" si="9"/>
        <v>No</v>
      </c>
    </row>
    <row r="27" spans="2:56" ht="14">
      <c r="B27" s="305" t="str">
        <f>'C-1 On-Site WaterC'' Baseline'!AP25</f>
        <v/>
      </c>
      <c r="C27" s="295" t="str">
        <f>IF(B27="","",VLOOKUP($B27,'C-1 On-Site WaterC'' Baseline'!$C$9:$R$257,2,FALSE))</f>
        <v/>
      </c>
      <c r="D27" s="295" t="str">
        <f>IF(C27="","",VLOOKUP($B27,'C-1 On-Site WaterC'' Baseline'!$C$9:$R$257,3,FALSE))</f>
        <v/>
      </c>
      <c r="E27" s="295" t="str">
        <f>IF(D27="","",VLOOKUP($B27,'C-1 On-Site WaterC'' Baseline'!$C$9:$R$257,4,FALSE))</f>
        <v/>
      </c>
      <c r="F27" s="295" t="str">
        <f>IF(E27="","",VLOOKUP($B27,'C-1 On-Site WaterC'' Baseline'!$C$9:$R$257,5,FALSE))</f>
        <v/>
      </c>
      <c r="G27" s="295" t="str">
        <f>IF(F27="","",VLOOKUP($B27,'C-1 On-Site WaterC'' Baseline'!$C$9:$R$257,6,FALSE))</f>
        <v/>
      </c>
      <c r="H27" s="295" t="str">
        <f>IF(G27="","",VLOOKUP($B27,'C-1 On-Site WaterC'' Baseline'!$C$9:$R$257,7,FALSE))</f>
        <v/>
      </c>
      <c r="I27" s="295" t="str">
        <f>IF(H27="","",VLOOKUP($B27,'C-1 On-Site WaterC'' Baseline'!$C$9:$R$257,8,FALSE))</f>
        <v/>
      </c>
      <c r="J27" s="295" t="str">
        <f>IF(I27="","",VLOOKUP($B27,'C-1 On-Site WaterC'' Baseline'!$C$9:$R$257,9,FALSE))</f>
        <v/>
      </c>
      <c r="K27" s="295" t="str">
        <f>IF(J27="","",VLOOKUP($B27,'C-1 On-Site WaterC'' Baseline'!$C$9:$R$257,10,FALSE))</f>
        <v/>
      </c>
      <c r="L27" s="295" t="str">
        <f>IF(B27="","",VLOOKUP($B27,'C-1 On-Site WaterC'' Baseline'!$C$9:$R$257,15,FALSE))</f>
        <v/>
      </c>
      <c r="M27" s="299" t="str">
        <f>IF(L27="","",VLOOKUP($B27,'C-1 On-Site WaterC'' Baseline'!$C$9:$R$257,16,FALSE))</f>
        <v/>
      </c>
      <c r="N27" s="245"/>
      <c r="O27" s="275" t="str">
        <f t="shared" si="1"/>
        <v/>
      </c>
      <c r="P27" s="276" t="str">
        <f t="shared" si="2"/>
        <v/>
      </c>
      <c r="Q27" s="336" t="str">
        <f>IF(N27="","",VLOOKUP(B27,'C-1 On-Site WaterC'' Baseline'!$C$10:$AC$257,20,FALSE))</f>
        <v/>
      </c>
      <c r="R27" s="275" t="str">
        <f>IF(N27="","",VLOOKUP(N27,'G-7 WaterC'' Data'!$B$2:$G$8,2,FALSE))</f>
        <v/>
      </c>
      <c r="S27" s="276" t="str">
        <f>IFERROR(VLOOKUP(R27,'G-7 WaterC'' Data'!$C$4:$D$8,2,FALSE),"")</f>
        <v/>
      </c>
      <c r="T27" s="101"/>
      <c r="U27" s="276" t="str">
        <f>IFERROR(INDEX('G-7 WaterC'' Data'!$H$4:$L$8,MATCH(N27,'G-7 WaterC'' Data'!$B$4:$B$8,0),MATCH(T27,'G-7 WaterC'' Data'!$H$3:$L$3,0)),"")</f>
        <v/>
      </c>
      <c r="V27" s="101"/>
      <c r="W27" s="283" t="str">
        <f>IF(V27="","",IF(VLOOKUP(V27,'G-7 WaterC'' Data'!$AK$4:$AM$6,2,FALSE)=0,"Spatial Data Missing ⚠",VLOOKUP(V27,'G-7 WaterC'' Data'!$AK$4:$AM$6,2,FALSE)))</f>
        <v/>
      </c>
      <c r="X27" s="276" t="str">
        <f>IF(V27="","",IF(VLOOKUP(V27,'G-7 WaterC'' Data'!$AK$4:$AM$6,3,FALSE)=0,"Spatial Data Missing ⚠",VLOOKUP(V27,'G-7 WaterC'' Data'!$AK$4:$AM$6,3,FALSE)))</f>
        <v/>
      </c>
      <c r="Y27" s="275" t="str">
        <f>IFERROR(IF(OR(LEFT(P27,5)="Error",LEFT(O27,5)="Error"),"Check Data ⚠",IF(F27&lt;S27,'G-7 WaterC'' Data'!$R$3,INDEX('G-7 WaterC'' Data'!$U$5:$Y$9,MATCH(G27,'G-7 WaterC'' Data'!$T$5:$T$9,0),MATCH(T27,'G-7 WaterC'' Data'!$U$4:$Y$4,0)))),"")</f>
        <v/>
      </c>
      <c r="Z27" s="133"/>
      <c r="AA27" s="133"/>
      <c r="AB27" s="283" t="str">
        <f t="shared" si="3"/>
        <v/>
      </c>
      <c r="AC27" s="296" t="str">
        <f t="shared" si="4"/>
        <v/>
      </c>
      <c r="AD27" s="334" t="str">
        <f>IFERROR(IF(AC27="Check Data ⚠","Check Data ⚠",VLOOKUP(AC27,'G-4 Temporal multipliers'!$A$4:$C$37,3,FALSE)),"")</f>
        <v/>
      </c>
      <c r="AE27" s="275" t="str">
        <f>IF(N27="","",VLOOKUP(N27,'G-7 WaterC'' Data'!$B$4:$G$8,5,FALSE))</f>
        <v/>
      </c>
      <c r="AF27" s="283" t="str">
        <f t="shared" si="5"/>
        <v/>
      </c>
      <c r="AG27" s="314" t="str">
        <f t="shared" si="6"/>
        <v/>
      </c>
      <c r="AH27" s="276" t="str">
        <f t="shared" si="0"/>
        <v/>
      </c>
      <c r="AI27" s="105"/>
      <c r="AJ27" s="276" t="str">
        <f>IF(AI27="","",IF(AND(AI27="N/A - Culvert",N27&lt;&gt;"Culvert"),"Not possible ▲",IF(VLOOKUP(AI27,'G-7 WaterC'' Data'!$AA$4:$AB$7,2,FALSE)=0,"Spatial Data Missing ⚠",VLOOKUP(AI27,'G-7 WaterC'' Data'!$AA$4:$AB$7,2,FALSE))))</f>
        <v/>
      </c>
      <c r="AK27" s="106"/>
      <c r="AL27" s="276" t="str">
        <f>IF(AK27="","",IF(AND(AK27="N/A - Culvert",N27&lt;&gt;"Culvert"),"Not possible ▲",IF(VLOOKUP(AK27,'G-7 WaterC'' Data'!$AD$4:$AE$14,2,FALSE)=0,"Spatial Data Missing ⚠",VLOOKUP(AK27,'G-7 WaterC'' Data'!$AD$4:$AE$14,2,FALSE))))</f>
        <v/>
      </c>
      <c r="AM27" s="317" t="str">
        <f t="shared" si="7"/>
        <v/>
      </c>
      <c r="AN27" s="101"/>
      <c r="AO27" s="115"/>
      <c r="AP27" s="104"/>
      <c r="AS27" s="30" t="str">
        <f>IF(B27="","",IF(ISNA(VLOOKUP($B27,'C-1 On-Site WaterC'' Baseline'!$C$8:$AD$257,17,FALSE)),"",(VLOOKUP($B27,'C-1 On-Site WaterC'' Baseline'!$C$8:$AD$257,17,FALSE))))</f>
        <v/>
      </c>
      <c r="AT27" s="30" t="str">
        <f>IF(B27="","",VLOOKUP($B27,'C-1 On-Site WaterC'' Baseline'!$C$9:$Z$257,12,FALSE))</f>
        <v/>
      </c>
      <c r="AU27" s="30" t="str">
        <f>IF(B27="","",VLOOKUP($B27,'C-1 On-Site WaterC'' Baseline'!$C$9:$Z$257,14,FALSE))</f>
        <v/>
      </c>
      <c r="AV27" s="30" t="str">
        <f>IFERROR(INDEX('G-7 WaterC'' Data'!$AZ$3:$AZ$7,MATCH(N27,'G-7 WaterC'' Data'!$AY$3:$AY$7,0)),"")</f>
        <v/>
      </c>
      <c r="AX27" s="30" t="str">
        <f>IF(B27="","",VLOOKUP($B27,'C-1 On-Site WaterC'' Baseline'!$C$9:$Y$257,22,FALSE))</f>
        <v/>
      </c>
      <c r="AY27" s="30" t="str">
        <f t="shared" si="8"/>
        <v/>
      </c>
      <c r="AZ27" s="30" t="str">
        <f>IF(B27="","",VLOOKUP($B27,'C-1 On-Site WaterC'' Baseline'!$C$9:$Y$257,21,FALSE))</f>
        <v/>
      </c>
      <c r="BA27" s="30" t="str">
        <f>IF(B27="","",VLOOKUP($B27,'C-1 On-Site WaterC'' Baseline'!$C$9:$Y$257,19,FALSE))</f>
        <v/>
      </c>
      <c r="BD27" s="30" t="str">
        <f t="shared" si="9"/>
        <v>No</v>
      </c>
    </row>
    <row r="28" spans="2:56" ht="14">
      <c r="B28" s="305" t="str">
        <f>'C-1 On-Site WaterC'' Baseline'!AP26</f>
        <v/>
      </c>
      <c r="C28" s="295" t="str">
        <f>IF(B28="","",VLOOKUP($B28,'C-1 On-Site WaterC'' Baseline'!$C$9:$R$257,2,FALSE))</f>
        <v/>
      </c>
      <c r="D28" s="295" t="str">
        <f>IF(C28="","",VLOOKUP($B28,'C-1 On-Site WaterC'' Baseline'!$C$9:$R$257,3,FALSE))</f>
        <v/>
      </c>
      <c r="E28" s="295" t="str">
        <f>IF(D28="","",VLOOKUP($B28,'C-1 On-Site WaterC'' Baseline'!$C$9:$R$257,4,FALSE))</f>
        <v/>
      </c>
      <c r="F28" s="295" t="str">
        <f>IF(E28="","",VLOOKUP($B28,'C-1 On-Site WaterC'' Baseline'!$C$9:$R$257,5,FALSE))</f>
        <v/>
      </c>
      <c r="G28" s="295" t="str">
        <f>IF(F28="","",VLOOKUP($B28,'C-1 On-Site WaterC'' Baseline'!$C$9:$R$257,6,FALSE))</f>
        <v/>
      </c>
      <c r="H28" s="295" t="str">
        <f>IF(G28="","",VLOOKUP($B28,'C-1 On-Site WaterC'' Baseline'!$C$9:$R$257,7,FALSE))</f>
        <v/>
      </c>
      <c r="I28" s="295" t="str">
        <f>IF(H28="","",VLOOKUP($B28,'C-1 On-Site WaterC'' Baseline'!$C$9:$R$257,8,FALSE))</f>
        <v/>
      </c>
      <c r="J28" s="295" t="str">
        <f>IF(I28="","",VLOOKUP($B28,'C-1 On-Site WaterC'' Baseline'!$C$9:$R$257,9,FALSE))</f>
        <v/>
      </c>
      <c r="K28" s="295" t="str">
        <f>IF(J28="","",VLOOKUP($B28,'C-1 On-Site WaterC'' Baseline'!$C$9:$R$257,10,FALSE))</f>
        <v/>
      </c>
      <c r="L28" s="295" t="str">
        <f>IF(B28="","",VLOOKUP($B28,'C-1 On-Site WaterC'' Baseline'!$C$9:$R$257,15,FALSE))</f>
        <v/>
      </c>
      <c r="M28" s="299" t="str">
        <f>IF(L28="","",VLOOKUP($B28,'C-1 On-Site WaterC'' Baseline'!$C$9:$R$257,16,FALSE))</f>
        <v/>
      </c>
      <c r="N28" s="245"/>
      <c r="O28" s="275" t="str">
        <f t="shared" si="1"/>
        <v/>
      </c>
      <c r="P28" s="276" t="str">
        <f t="shared" si="2"/>
        <v/>
      </c>
      <c r="Q28" s="336" t="str">
        <f>IF(N28="","",VLOOKUP(B28,'C-1 On-Site WaterC'' Baseline'!$C$10:$AC$257,20,FALSE))</f>
        <v/>
      </c>
      <c r="R28" s="275" t="str">
        <f>IF(N28="","",VLOOKUP(N28,'G-7 WaterC'' Data'!$B$2:$G$8,2,FALSE))</f>
        <v/>
      </c>
      <c r="S28" s="276" t="str">
        <f>IFERROR(VLOOKUP(R28,'G-7 WaterC'' Data'!$C$4:$D$8,2,FALSE),"")</f>
        <v/>
      </c>
      <c r="T28" s="101"/>
      <c r="U28" s="276" t="str">
        <f>IFERROR(INDEX('G-7 WaterC'' Data'!$H$4:$L$8,MATCH(N28,'G-7 WaterC'' Data'!$B$4:$B$8,0),MATCH(T28,'G-7 WaterC'' Data'!$H$3:$L$3,0)),"")</f>
        <v/>
      </c>
      <c r="V28" s="101"/>
      <c r="W28" s="283" t="str">
        <f>IF(V28="","",IF(VLOOKUP(V28,'G-7 WaterC'' Data'!$AK$4:$AM$6,2,FALSE)=0,"Spatial Data Missing ⚠",VLOOKUP(V28,'G-7 WaterC'' Data'!$AK$4:$AM$6,2,FALSE)))</f>
        <v/>
      </c>
      <c r="X28" s="276" t="str">
        <f>IF(V28="","",IF(VLOOKUP(V28,'G-7 WaterC'' Data'!$AK$4:$AM$6,3,FALSE)=0,"Spatial Data Missing ⚠",VLOOKUP(V28,'G-7 WaterC'' Data'!$AK$4:$AM$6,3,FALSE)))</f>
        <v/>
      </c>
      <c r="Y28" s="275" t="str">
        <f>IFERROR(IF(OR(LEFT(P28,5)="Error",LEFT(O28,5)="Error"),"Check Data ⚠",IF(F28&lt;S28,'G-7 WaterC'' Data'!$R$3,INDEX('G-7 WaterC'' Data'!$U$5:$Y$9,MATCH(G28,'G-7 WaterC'' Data'!$T$5:$T$9,0),MATCH(T28,'G-7 WaterC'' Data'!$U$4:$Y$4,0)))),"")</f>
        <v/>
      </c>
      <c r="Z28" s="133"/>
      <c r="AA28" s="133"/>
      <c r="AB28" s="283" t="str">
        <f t="shared" si="3"/>
        <v/>
      </c>
      <c r="AC28" s="296" t="str">
        <f t="shared" si="4"/>
        <v/>
      </c>
      <c r="AD28" s="334" t="str">
        <f>IFERROR(IF(AC28="Check Data ⚠","Check Data ⚠",VLOOKUP(AC28,'G-4 Temporal multipliers'!$A$4:$C$37,3,FALSE)),"")</f>
        <v/>
      </c>
      <c r="AE28" s="275" t="str">
        <f>IF(N28="","",VLOOKUP(N28,'G-7 WaterC'' Data'!$B$4:$G$8,5,FALSE))</f>
        <v/>
      </c>
      <c r="AF28" s="283" t="str">
        <f t="shared" si="5"/>
        <v/>
      </c>
      <c r="AG28" s="314" t="str">
        <f t="shared" si="6"/>
        <v/>
      </c>
      <c r="AH28" s="276" t="str">
        <f t="shared" si="0"/>
        <v/>
      </c>
      <c r="AI28" s="105"/>
      <c r="AJ28" s="276" t="str">
        <f>IF(AI28="","",IF(AND(AI28="N/A - Culvert",N28&lt;&gt;"Culvert"),"Not possible ▲",IF(VLOOKUP(AI28,'G-7 WaterC'' Data'!$AA$4:$AB$7,2,FALSE)=0,"Spatial Data Missing ⚠",VLOOKUP(AI28,'G-7 WaterC'' Data'!$AA$4:$AB$7,2,FALSE))))</f>
        <v/>
      </c>
      <c r="AK28" s="106"/>
      <c r="AL28" s="276" t="str">
        <f>IF(AK28="","",IF(AND(AK28="N/A - Culvert",N28&lt;&gt;"Culvert"),"Not possible ▲",IF(VLOOKUP(AK28,'G-7 WaterC'' Data'!$AD$4:$AE$14,2,FALSE)=0,"Spatial Data Missing ⚠",VLOOKUP(AK28,'G-7 WaterC'' Data'!$AD$4:$AE$14,2,FALSE))))</f>
        <v/>
      </c>
      <c r="AM28" s="317" t="str">
        <f t="shared" si="7"/>
        <v/>
      </c>
      <c r="AN28" s="101"/>
      <c r="AO28" s="115"/>
      <c r="AP28" s="104"/>
      <c r="AS28" s="30" t="str">
        <f>IF(B28="","",IF(ISNA(VLOOKUP($B28,'C-1 On-Site WaterC'' Baseline'!$C$8:$AD$257,17,FALSE)),"",(VLOOKUP($B28,'C-1 On-Site WaterC'' Baseline'!$C$8:$AD$257,17,FALSE))))</f>
        <v/>
      </c>
      <c r="AT28" s="30" t="str">
        <f>IF(B28="","",VLOOKUP($B28,'C-1 On-Site WaterC'' Baseline'!$C$9:$Z$257,12,FALSE))</f>
        <v/>
      </c>
      <c r="AU28" s="30" t="str">
        <f>IF(B28="","",VLOOKUP($B28,'C-1 On-Site WaterC'' Baseline'!$C$9:$Z$257,14,FALSE))</f>
        <v/>
      </c>
      <c r="AV28" s="30" t="str">
        <f>IFERROR(INDEX('G-7 WaterC'' Data'!$AZ$3:$AZ$7,MATCH(N28,'G-7 WaterC'' Data'!$AY$3:$AY$7,0)),"")</f>
        <v/>
      </c>
      <c r="AX28" s="30" t="str">
        <f>IF(B28="","",VLOOKUP($B28,'C-1 On-Site WaterC'' Baseline'!$C$9:$Y$257,22,FALSE))</f>
        <v/>
      </c>
      <c r="AY28" s="30" t="str">
        <f t="shared" si="8"/>
        <v/>
      </c>
      <c r="AZ28" s="30" t="str">
        <f>IF(B28="","",VLOOKUP($B28,'C-1 On-Site WaterC'' Baseline'!$C$9:$Y$257,21,FALSE))</f>
        <v/>
      </c>
      <c r="BA28" s="30" t="str">
        <f>IF(B28="","",VLOOKUP($B28,'C-1 On-Site WaterC'' Baseline'!$C$9:$Y$257,19,FALSE))</f>
        <v/>
      </c>
      <c r="BD28" s="30" t="str">
        <f t="shared" si="9"/>
        <v>No</v>
      </c>
    </row>
    <row r="29" spans="2:56" ht="14">
      <c r="B29" s="305" t="str">
        <f>'C-1 On-Site WaterC'' Baseline'!AP27</f>
        <v/>
      </c>
      <c r="C29" s="295" t="str">
        <f>IF(B29="","",VLOOKUP($B29,'C-1 On-Site WaterC'' Baseline'!$C$9:$R$257,2,FALSE))</f>
        <v/>
      </c>
      <c r="D29" s="295" t="str">
        <f>IF(C29="","",VLOOKUP($B29,'C-1 On-Site WaterC'' Baseline'!$C$9:$R$257,3,FALSE))</f>
        <v/>
      </c>
      <c r="E29" s="295" t="str">
        <f>IF(D29="","",VLOOKUP($B29,'C-1 On-Site WaterC'' Baseline'!$C$9:$R$257,4,FALSE))</f>
        <v/>
      </c>
      <c r="F29" s="295" t="str">
        <f>IF(E29="","",VLOOKUP($B29,'C-1 On-Site WaterC'' Baseline'!$C$9:$R$257,5,FALSE))</f>
        <v/>
      </c>
      <c r="G29" s="295" t="str">
        <f>IF(F29="","",VLOOKUP($B29,'C-1 On-Site WaterC'' Baseline'!$C$9:$R$257,6,FALSE))</f>
        <v/>
      </c>
      <c r="H29" s="295" t="str">
        <f>IF(G29="","",VLOOKUP($B29,'C-1 On-Site WaterC'' Baseline'!$C$9:$R$257,7,FALSE))</f>
        <v/>
      </c>
      <c r="I29" s="295" t="str">
        <f>IF(H29="","",VLOOKUP($B29,'C-1 On-Site WaterC'' Baseline'!$C$9:$R$257,8,FALSE))</f>
        <v/>
      </c>
      <c r="J29" s="295" t="str">
        <f>IF(I29="","",VLOOKUP($B29,'C-1 On-Site WaterC'' Baseline'!$C$9:$R$257,9,FALSE))</f>
        <v/>
      </c>
      <c r="K29" s="295" t="str">
        <f>IF(J29="","",VLOOKUP($B29,'C-1 On-Site WaterC'' Baseline'!$C$9:$R$257,10,FALSE))</f>
        <v/>
      </c>
      <c r="L29" s="295" t="str">
        <f>IF(B29="","",VLOOKUP($B29,'C-1 On-Site WaterC'' Baseline'!$C$9:$R$257,15,FALSE))</f>
        <v/>
      </c>
      <c r="M29" s="299" t="str">
        <f>IF(L29="","",VLOOKUP($B29,'C-1 On-Site WaterC'' Baseline'!$C$9:$R$257,16,FALSE))</f>
        <v/>
      </c>
      <c r="N29" s="245"/>
      <c r="O29" s="275" t="str">
        <f t="shared" si="1"/>
        <v/>
      </c>
      <c r="P29" s="276" t="str">
        <f t="shared" si="2"/>
        <v/>
      </c>
      <c r="Q29" s="336" t="str">
        <f>IF(N29="","",VLOOKUP(B29,'C-1 On-Site WaterC'' Baseline'!$C$10:$AC$257,20,FALSE))</f>
        <v/>
      </c>
      <c r="R29" s="275" t="str">
        <f>IF(N29="","",VLOOKUP(N29,'G-7 WaterC'' Data'!$B$2:$G$8,2,FALSE))</f>
        <v/>
      </c>
      <c r="S29" s="276" t="str">
        <f>IFERROR(VLOOKUP(R29,'G-7 WaterC'' Data'!$C$4:$D$8,2,FALSE),"")</f>
        <v/>
      </c>
      <c r="T29" s="101"/>
      <c r="U29" s="276" t="str">
        <f>IFERROR(INDEX('G-7 WaterC'' Data'!$H$4:$L$8,MATCH(N29,'G-7 WaterC'' Data'!$B$4:$B$8,0),MATCH(T29,'G-7 WaterC'' Data'!$H$3:$L$3,0)),"")</f>
        <v/>
      </c>
      <c r="V29" s="101"/>
      <c r="W29" s="283" t="str">
        <f>IF(V29="","",IF(VLOOKUP(V29,'G-7 WaterC'' Data'!$AK$4:$AM$6,2,FALSE)=0,"Spatial Data Missing ⚠",VLOOKUP(V29,'G-7 WaterC'' Data'!$AK$4:$AM$6,2,FALSE)))</f>
        <v/>
      </c>
      <c r="X29" s="276" t="str">
        <f>IF(V29="","",IF(VLOOKUP(V29,'G-7 WaterC'' Data'!$AK$4:$AM$6,3,FALSE)=0,"Spatial Data Missing ⚠",VLOOKUP(V29,'G-7 WaterC'' Data'!$AK$4:$AM$6,3,FALSE)))</f>
        <v/>
      </c>
      <c r="Y29" s="275" t="str">
        <f>IFERROR(IF(OR(LEFT(P29,5)="Error",LEFT(O29,5)="Error"),"Check Data ⚠",IF(F29&lt;S29,'G-7 WaterC'' Data'!$R$3,INDEX('G-7 WaterC'' Data'!$U$5:$Y$9,MATCH(G29,'G-7 WaterC'' Data'!$T$5:$T$9,0),MATCH(T29,'G-7 WaterC'' Data'!$U$4:$Y$4,0)))),"")</f>
        <v/>
      </c>
      <c r="Z29" s="133"/>
      <c r="AA29" s="133"/>
      <c r="AB29" s="283" t="str">
        <f t="shared" si="3"/>
        <v/>
      </c>
      <c r="AC29" s="296" t="str">
        <f t="shared" si="4"/>
        <v/>
      </c>
      <c r="AD29" s="334" t="str">
        <f>IFERROR(IF(AC29="Check Data ⚠","Check Data ⚠",VLOOKUP(AC29,'G-4 Temporal multipliers'!$A$4:$C$37,3,FALSE)),"")</f>
        <v/>
      </c>
      <c r="AE29" s="275" t="str">
        <f>IF(N29="","",VLOOKUP(N29,'G-7 WaterC'' Data'!$B$4:$G$8,5,FALSE))</f>
        <v/>
      </c>
      <c r="AF29" s="283" t="str">
        <f t="shared" si="5"/>
        <v/>
      </c>
      <c r="AG29" s="314" t="str">
        <f t="shared" si="6"/>
        <v/>
      </c>
      <c r="AH29" s="276" t="str">
        <f t="shared" si="0"/>
        <v/>
      </c>
      <c r="AI29" s="105"/>
      <c r="AJ29" s="276" t="str">
        <f>IF(AI29="","",IF(AND(AI29="N/A - Culvert",N29&lt;&gt;"Culvert"),"Not possible ▲",IF(VLOOKUP(AI29,'G-7 WaterC'' Data'!$AA$4:$AB$7,2,FALSE)=0,"Spatial Data Missing ⚠",VLOOKUP(AI29,'G-7 WaterC'' Data'!$AA$4:$AB$7,2,FALSE))))</f>
        <v/>
      </c>
      <c r="AK29" s="106"/>
      <c r="AL29" s="276" t="str">
        <f>IF(AK29="","",IF(AND(AK29="N/A - Culvert",N29&lt;&gt;"Culvert"),"Not possible ▲",IF(VLOOKUP(AK29,'G-7 WaterC'' Data'!$AD$4:$AE$14,2,FALSE)=0,"Spatial Data Missing ⚠",VLOOKUP(AK29,'G-7 WaterC'' Data'!$AD$4:$AE$14,2,FALSE))))</f>
        <v/>
      </c>
      <c r="AM29" s="317" t="str">
        <f t="shared" si="7"/>
        <v/>
      </c>
      <c r="AN29" s="101"/>
      <c r="AO29" s="115"/>
      <c r="AP29" s="104"/>
      <c r="AS29" s="30" t="str">
        <f>IF(B29="","",IF(ISNA(VLOOKUP($B29,'C-1 On-Site WaterC'' Baseline'!$C$8:$AD$257,17,FALSE)),"",(VLOOKUP($B29,'C-1 On-Site WaterC'' Baseline'!$C$8:$AD$257,17,FALSE))))</f>
        <v/>
      </c>
      <c r="AT29" s="30" t="str">
        <f>IF(B29="","",VLOOKUP($B29,'C-1 On-Site WaterC'' Baseline'!$C$9:$Z$257,12,FALSE))</f>
        <v/>
      </c>
      <c r="AU29" s="30" t="str">
        <f>IF(B29="","",VLOOKUP($B29,'C-1 On-Site WaterC'' Baseline'!$C$9:$Z$257,14,FALSE))</f>
        <v/>
      </c>
      <c r="AV29" s="30" t="str">
        <f>IFERROR(INDEX('G-7 WaterC'' Data'!$AZ$3:$AZ$7,MATCH(N29,'G-7 WaterC'' Data'!$AY$3:$AY$7,0)),"")</f>
        <v/>
      </c>
      <c r="AX29" s="30" t="str">
        <f>IF(B29="","",VLOOKUP($B29,'C-1 On-Site WaterC'' Baseline'!$C$9:$Y$257,22,FALSE))</f>
        <v/>
      </c>
      <c r="AY29" s="30" t="str">
        <f t="shared" si="8"/>
        <v/>
      </c>
      <c r="AZ29" s="30" t="str">
        <f>IF(B29="","",VLOOKUP($B29,'C-1 On-Site WaterC'' Baseline'!$C$9:$Y$257,21,FALSE))</f>
        <v/>
      </c>
      <c r="BA29" s="30" t="str">
        <f>IF(B29="","",VLOOKUP($B29,'C-1 On-Site WaterC'' Baseline'!$C$9:$Y$257,19,FALSE))</f>
        <v/>
      </c>
      <c r="BD29" s="30" t="str">
        <f t="shared" si="9"/>
        <v>No</v>
      </c>
    </row>
    <row r="30" spans="2:56" ht="14">
      <c r="B30" s="305" t="str">
        <f>'C-1 On-Site WaterC'' Baseline'!AP28</f>
        <v/>
      </c>
      <c r="C30" s="295" t="str">
        <f>IF(B30="","",VLOOKUP($B30,'C-1 On-Site WaterC'' Baseline'!$C$9:$R$257,2,FALSE))</f>
        <v/>
      </c>
      <c r="D30" s="295" t="str">
        <f>IF(C30="","",VLOOKUP($B30,'C-1 On-Site WaterC'' Baseline'!$C$9:$R$257,3,FALSE))</f>
        <v/>
      </c>
      <c r="E30" s="295" t="str">
        <f>IF(D30="","",VLOOKUP($B30,'C-1 On-Site WaterC'' Baseline'!$C$9:$R$257,4,FALSE))</f>
        <v/>
      </c>
      <c r="F30" s="295" t="str">
        <f>IF(E30="","",VLOOKUP($B30,'C-1 On-Site WaterC'' Baseline'!$C$9:$R$257,5,FALSE))</f>
        <v/>
      </c>
      <c r="G30" s="295" t="str">
        <f>IF(F30="","",VLOOKUP($B30,'C-1 On-Site WaterC'' Baseline'!$C$9:$R$257,6,FALSE))</f>
        <v/>
      </c>
      <c r="H30" s="295" t="str">
        <f>IF(G30="","",VLOOKUP($B30,'C-1 On-Site WaterC'' Baseline'!$C$9:$R$257,7,FALSE))</f>
        <v/>
      </c>
      <c r="I30" s="295" t="str">
        <f>IF(H30="","",VLOOKUP($B30,'C-1 On-Site WaterC'' Baseline'!$C$9:$R$257,8,FALSE))</f>
        <v/>
      </c>
      <c r="J30" s="295" t="str">
        <f>IF(I30="","",VLOOKUP($B30,'C-1 On-Site WaterC'' Baseline'!$C$9:$R$257,9,FALSE))</f>
        <v/>
      </c>
      <c r="K30" s="295" t="str">
        <f>IF(J30="","",VLOOKUP($B30,'C-1 On-Site WaterC'' Baseline'!$C$9:$R$257,10,FALSE))</f>
        <v/>
      </c>
      <c r="L30" s="295" t="str">
        <f>IF(B30="","",VLOOKUP($B30,'C-1 On-Site WaterC'' Baseline'!$C$9:$R$257,15,FALSE))</f>
        <v/>
      </c>
      <c r="M30" s="299" t="str">
        <f>IF(L30="","",VLOOKUP($B30,'C-1 On-Site WaterC'' Baseline'!$C$9:$R$257,16,FALSE))</f>
        <v/>
      </c>
      <c r="N30" s="245"/>
      <c r="O30" s="275" t="str">
        <f t="shared" si="1"/>
        <v/>
      </c>
      <c r="P30" s="276" t="str">
        <f t="shared" si="2"/>
        <v/>
      </c>
      <c r="Q30" s="336" t="str">
        <f>IF(N30="","",VLOOKUP(B30,'C-1 On-Site WaterC'' Baseline'!$C$10:$AC$257,20,FALSE))</f>
        <v/>
      </c>
      <c r="R30" s="275" t="str">
        <f>IF(N30="","",VLOOKUP(N30,'G-7 WaterC'' Data'!$B$2:$G$8,2,FALSE))</f>
        <v/>
      </c>
      <c r="S30" s="276" t="str">
        <f>IFERROR(VLOOKUP(R30,'G-7 WaterC'' Data'!$C$4:$D$8,2,FALSE),"")</f>
        <v/>
      </c>
      <c r="T30" s="101"/>
      <c r="U30" s="276" t="str">
        <f>IFERROR(INDEX('G-7 WaterC'' Data'!$H$4:$L$8,MATCH(N30,'G-7 WaterC'' Data'!$B$4:$B$8,0),MATCH(T30,'G-7 WaterC'' Data'!$H$3:$L$3,0)),"")</f>
        <v/>
      </c>
      <c r="V30" s="101"/>
      <c r="W30" s="283" t="str">
        <f>IF(V30="","",IF(VLOOKUP(V30,'G-7 WaterC'' Data'!$AK$4:$AM$6,2,FALSE)=0,"Spatial Data Missing ⚠",VLOOKUP(V30,'G-7 WaterC'' Data'!$AK$4:$AM$6,2,FALSE)))</f>
        <v/>
      </c>
      <c r="X30" s="276" t="str">
        <f>IF(V30="","",IF(VLOOKUP(V30,'G-7 WaterC'' Data'!$AK$4:$AM$6,3,FALSE)=0,"Spatial Data Missing ⚠",VLOOKUP(V30,'G-7 WaterC'' Data'!$AK$4:$AM$6,3,FALSE)))</f>
        <v/>
      </c>
      <c r="Y30" s="275" t="str">
        <f>IFERROR(IF(OR(LEFT(P30,5)="Error",LEFT(O30,5)="Error"),"Check Data ⚠",IF(F30&lt;S30,'G-7 WaterC'' Data'!$R$3,INDEX('G-7 WaterC'' Data'!$U$5:$Y$9,MATCH(G30,'G-7 WaterC'' Data'!$T$5:$T$9,0),MATCH(T30,'G-7 WaterC'' Data'!$U$4:$Y$4,0)))),"")</f>
        <v/>
      </c>
      <c r="Z30" s="133"/>
      <c r="AA30" s="133"/>
      <c r="AB30" s="283" t="str">
        <f t="shared" si="3"/>
        <v/>
      </c>
      <c r="AC30" s="296" t="str">
        <f t="shared" si="4"/>
        <v/>
      </c>
      <c r="AD30" s="334" t="str">
        <f>IFERROR(IF(AC30="Check Data ⚠","Check Data ⚠",VLOOKUP(AC30,'G-4 Temporal multipliers'!$A$4:$C$37,3,FALSE)),"")</f>
        <v/>
      </c>
      <c r="AE30" s="275" t="str">
        <f>IF(N30="","",VLOOKUP(N30,'G-7 WaterC'' Data'!$B$4:$G$8,5,FALSE))</f>
        <v/>
      </c>
      <c r="AF30" s="283" t="str">
        <f t="shared" si="5"/>
        <v/>
      </c>
      <c r="AG30" s="314" t="str">
        <f t="shared" si="6"/>
        <v/>
      </c>
      <c r="AH30" s="276" t="str">
        <f t="shared" si="0"/>
        <v/>
      </c>
      <c r="AI30" s="105"/>
      <c r="AJ30" s="276" t="str">
        <f>IF(AI30="","",IF(AND(AI30="N/A - Culvert",N30&lt;&gt;"Culvert"),"Not possible ▲",IF(VLOOKUP(AI30,'G-7 WaterC'' Data'!$AA$4:$AB$7,2,FALSE)=0,"Spatial Data Missing ⚠",VLOOKUP(AI30,'G-7 WaterC'' Data'!$AA$4:$AB$7,2,FALSE))))</f>
        <v/>
      </c>
      <c r="AK30" s="106"/>
      <c r="AL30" s="276" t="str">
        <f>IF(AK30="","",IF(AND(AK30="N/A - Culvert",N30&lt;&gt;"Culvert"),"Not possible ▲",IF(VLOOKUP(AK30,'G-7 WaterC'' Data'!$AD$4:$AE$14,2,FALSE)=0,"Spatial Data Missing ⚠",VLOOKUP(AK30,'G-7 WaterC'' Data'!$AD$4:$AE$14,2,FALSE))))</f>
        <v/>
      </c>
      <c r="AM30" s="317" t="str">
        <f t="shared" si="7"/>
        <v/>
      </c>
      <c r="AN30" s="101"/>
      <c r="AO30" s="115"/>
      <c r="AP30" s="104"/>
      <c r="AS30" s="30" t="str">
        <f>IF(B30="","",IF(ISNA(VLOOKUP($B30,'C-1 On-Site WaterC'' Baseline'!$C$8:$AD$257,17,FALSE)),"",(VLOOKUP($B30,'C-1 On-Site WaterC'' Baseline'!$C$8:$AD$257,17,FALSE))))</f>
        <v/>
      </c>
      <c r="AT30" s="30" t="str">
        <f>IF(B30="","",VLOOKUP($B30,'C-1 On-Site WaterC'' Baseline'!$C$9:$Z$257,12,FALSE))</f>
        <v/>
      </c>
      <c r="AU30" s="30" t="str">
        <f>IF(B30="","",VLOOKUP($B30,'C-1 On-Site WaterC'' Baseline'!$C$9:$Z$257,14,FALSE))</f>
        <v/>
      </c>
      <c r="AV30" s="30" t="str">
        <f>IFERROR(INDEX('G-7 WaterC'' Data'!$AZ$3:$AZ$7,MATCH(N30,'G-7 WaterC'' Data'!$AY$3:$AY$7,0)),"")</f>
        <v/>
      </c>
      <c r="AX30" s="30" t="str">
        <f>IF(B30="","",VLOOKUP($B30,'C-1 On-Site WaterC'' Baseline'!$C$9:$Y$257,22,FALSE))</f>
        <v/>
      </c>
      <c r="AY30" s="30" t="str">
        <f t="shared" si="8"/>
        <v/>
      </c>
      <c r="AZ30" s="30" t="str">
        <f>IF(B30="","",VLOOKUP($B30,'C-1 On-Site WaterC'' Baseline'!$C$9:$Y$257,21,FALSE))</f>
        <v/>
      </c>
      <c r="BA30" s="30" t="str">
        <f>IF(B30="","",VLOOKUP($B30,'C-1 On-Site WaterC'' Baseline'!$C$9:$Y$257,19,FALSE))</f>
        <v/>
      </c>
      <c r="BD30" s="30" t="str">
        <f t="shared" si="9"/>
        <v>No</v>
      </c>
    </row>
    <row r="31" spans="2:56" ht="14">
      <c r="B31" s="305" t="str">
        <f>'C-1 On-Site WaterC'' Baseline'!AP29</f>
        <v/>
      </c>
      <c r="C31" s="295" t="str">
        <f>IF(B31="","",VLOOKUP($B31,'C-1 On-Site WaterC'' Baseline'!$C$9:$R$257,2,FALSE))</f>
        <v/>
      </c>
      <c r="D31" s="295" t="str">
        <f>IF(C31="","",VLOOKUP($B31,'C-1 On-Site WaterC'' Baseline'!$C$9:$R$257,3,FALSE))</f>
        <v/>
      </c>
      <c r="E31" s="295" t="str">
        <f>IF(D31="","",VLOOKUP($B31,'C-1 On-Site WaterC'' Baseline'!$C$9:$R$257,4,FALSE))</f>
        <v/>
      </c>
      <c r="F31" s="295" t="str">
        <f>IF(E31="","",VLOOKUP($B31,'C-1 On-Site WaterC'' Baseline'!$C$9:$R$257,5,FALSE))</f>
        <v/>
      </c>
      <c r="G31" s="295" t="str">
        <f>IF(F31="","",VLOOKUP($B31,'C-1 On-Site WaterC'' Baseline'!$C$9:$R$257,6,FALSE))</f>
        <v/>
      </c>
      <c r="H31" s="295" t="str">
        <f>IF(G31="","",VLOOKUP($B31,'C-1 On-Site WaterC'' Baseline'!$C$9:$R$257,7,FALSE))</f>
        <v/>
      </c>
      <c r="I31" s="295" t="str">
        <f>IF(H31="","",VLOOKUP($B31,'C-1 On-Site WaterC'' Baseline'!$C$9:$R$257,8,FALSE))</f>
        <v/>
      </c>
      <c r="J31" s="295" t="str">
        <f>IF(I31="","",VLOOKUP($B31,'C-1 On-Site WaterC'' Baseline'!$C$9:$R$257,9,FALSE))</f>
        <v/>
      </c>
      <c r="K31" s="295" t="str">
        <f>IF(J31="","",VLOOKUP($B31,'C-1 On-Site WaterC'' Baseline'!$C$9:$R$257,10,FALSE))</f>
        <v/>
      </c>
      <c r="L31" s="295" t="str">
        <f>IF(B31="","",VLOOKUP($B31,'C-1 On-Site WaterC'' Baseline'!$C$9:$R$257,15,FALSE))</f>
        <v/>
      </c>
      <c r="M31" s="299" t="str">
        <f>IF(L31="","",VLOOKUP($B31,'C-1 On-Site WaterC'' Baseline'!$C$9:$R$257,16,FALSE))</f>
        <v/>
      </c>
      <c r="N31" s="245"/>
      <c r="O31" s="275" t="str">
        <f t="shared" si="1"/>
        <v/>
      </c>
      <c r="P31" s="276" t="str">
        <f t="shared" si="2"/>
        <v/>
      </c>
      <c r="Q31" s="336" t="str">
        <f>IF(N31="","",VLOOKUP(B31,'C-1 On-Site WaterC'' Baseline'!$C$10:$AC$257,20,FALSE))</f>
        <v/>
      </c>
      <c r="R31" s="275" t="str">
        <f>IF(N31="","",VLOOKUP(N31,'G-7 WaterC'' Data'!$B$2:$G$8,2,FALSE))</f>
        <v/>
      </c>
      <c r="S31" s="276" t="str">
        <f>IFERROR(VLOOKUP(R31,'G-7 WaterC'' Data'!$C$4:$D$8,2,FALSE),"")</f>
        <v/>
      </c>
      <c r="T31" s="101"/>
      <c r="U31" s="276" t="str">
        <f>IFERROR(INDEX('G-7 WaterC'' Data'!$H$4:$L$8,MATCH(N31,'G-7 WaterC'' Data'!$B$4:$B$8,0),MATCH(T31,'G-7 WaterC'' Data'!$H$3:$L$3,0)),"")</f>
        <v/>
      </c>
      <c r="V31" s="101"/>
      <c r="W31" s="283" t="str">
        <f>IF(V31="","",IF(VLOOKUP(V31,'G-7 WaterC'' Data'!$AK$4:$AM$6,2,FALSE)=0,"Spatial Data Missing ⚠",VLOOKUP(V31,'G-7 WaterC'' Data'!$AK$4:$AM$6,2,FALSE)))</f>
        <v/>
      </c>
      <c r="X31" s="276" t="str">
        <f>IF(V31="","",IF(VLOOKUP(V31,'G-7 WaterC'' Data'!$AK$4:$AM$6,3,FALSE)=0,"Spatial Data Missing ⚠",VLOOKUP(V31,'G-7 WaterC'' Data'!$AK$4:$AM$6,3,FALSE)))</f>
        <v/>
      </c>
      <c r="Y31" s="275" t="str">
        <f>IFERROR(IF(OR(LEFT(P31,5)="Error",LEFT(O31,5)="Error"),"Check Data ⚠",IF(F31&lt;S31,'G-7 WaterC'' Data'!$R$3,INDEX('G-7 WaterC'' Data'!$U$5:$Y$9,MATCH(G31,'G-7 WaterC'' Data'!$T$5:$T$9,0),MATCH(T31,'G-7 WaterC'' Data'!$U$4:$Y$4,0)))),"")</f>
        <v/>
      </c>
      <c r="Z31" s="133"/>
      <c r="AA31" s="133"/>
      <c r="AB31" s="283" t="str">
        <f t="shared" si="3"/>
        <v/>
      </c>
      <c r="AC31" s="296" t="str">
        <f t="shared" si="4"/>
        <v/>
      </c>
      <c r="AD31" s="334" t="str">
        <f>IFERROR(IF(AC31="Check Data ⚠","Check Data ⚠",VLOOKUP(AC31,'G-4 Temporal multipliers'!$A$4:$C$37,3,FALSE)),"")</f>
        <v/>
      </c>
      <c r="AE31" s="275" t="str">
        <f>IF(N31="","",VLOOKUP(N31,'G-7 WaterC'' Data'!$B$4:$G$8,5,FALSE))</f>
        <v/>
      </c>
      <c r="AF31" s="283" t="str">
        <f t="shared" si="5"/>
        <v/>
      </c>
      <c r="AG31" s="314" t="str">
        <f t="shared" si="6"/>
        <v/>
      </c>
      <c r="AH31" s="276" t="str">
        <f t="shared" si="0"/>
        <v/>
      </c>
      <c r="AI31" s="105"/>
      <c r="AJ31" s="276" t="str">
        <f>IF(AI31="","",IF(AND(AI31="N/A - Culvert",N31&lt;&gt;"Culvert"),"Not possible ▲",IF(VLOOKUP(AI31,'G-7 WaterC'' Data'!$AA$4:$AB$7,2,FALSE)=0,"Spatial Data Missing ⚠",VLOOKUP(AI31,'G-7 WaterC'' Data'!$AA$4:$AB$7,2,FALSE))))</f>
        <v/>
      </c>
      <c r="AK31" s="106"/>
      <c r="AL31" s="276" t="str">
        <f>IF(AK31="","",IF(AND(AK31="N/A - Culvert",N31&lt;&gt;"Culvert"),"Not possible ▲",IF(VLOOKUP(AK31,'G-7 WaterC'' Data'!$AD$4:$AE$14,2,FALSE)=0,"Spatial Data Missing ⚠",VLOOKUP(AK31,'G-7 WaterC'' Data'!$AD$4:$AE$14,2,FALSE))))</f>
        <v/>
      </c>
      <c r="AM31" s="317" t="str">
        <f t="shared" si="7"/>
        <v/>
      </c>
      <c r="AN31" s="101"/>
      <c r="AO31" s="115"/>
      <c r="AP31" s="104"/>
      <c r="AS31" s="30" t="str">
        <f>IF(B31="","",IF(ISNA(VLOOKUP($B31,'C-1 On-Site WaterC'' Baseline'!$C$8:$AD$257,17,FALSE)),"",(VLOOKUP($B31,'C-1 On-Site WaterC'' Baseline'!$C$8:$AD$257,17,FALSE))))</f>
        <v/>
      </c>
      <c r="AT31" s="30" t="str">
        <f>IF(B31="","",VLOOKUP($B31,'C-1 On-Site WaterC'' Baseline'!$C$9:$Z$257,12,FALSE))</f>
        <v/>
      </c>
      <c r="AU31" s="30" t="str">
        <f>IF(B31="","",VLOOKUP($B31,'C-1 On-Site WaterC'' Baseline'!$C$9:$Z$257,14,FALSE))</f>
        <v/>
      </c>
      <c r="AV31" s="30" t="str">
        <f>IFERROR(INDEX('G-7 WaterC'' Data'!$AZ$3:$AZ$7,MATCH(N31,'G-7 WaterC'' Data'!$AY$3:$AY$7,0)),"")</f>
        <v/>
      </c>
      <c r="AX31" s="30" t="str">
        <f>IF(B31="","",VLOOKUP($B31,'C-1 On-Site WaterC'' Baseline'!$C$9:$Y$257,22,FALSE))</f>
        <v/>
      </c>
      <c r="AY31" s="30" t="str">
        <f t="shared" si="8"/>
        <v/>
      </c>
      <c r="AZ31" s="30" t="str">
        <f>IF(B31="","",VLOOKUP($B31,'C-1 On-Site WaterC'' Baseline'!$C$9:$Y$257,21,FALSE))</f>
        <v/>
      </c>
      <c r="BA31" s="30" t="str">
        <f>IF(B31="","",VLOOKUP($B31,'C-1 On-Site WaterC'' Baseline'!$C$9:$Y$257,19,FALSE))</f>
        <v/>
      </c>
      <c r="BD31" s="30" t="str">
        <f t="shared" si="9"/>
        <v>No</v>
      </c>
    </row>
    <row r="32" spans="2:56" ht="14">
      <c r="B32" s="305" t="str">
        <f>'C-1 On-Site WaterC'' Baseline'!AP30</f>
        <v/>
      </c>
      <c r="C32" s="295" t="str">
        <f>IF(B32="","",VLOOKUP($B32,'C-1 On-Site WaterC'' Baseline'!$C$9:$R$257,2,FALSE))</f>
        <v/>
      </c>
      <c r="D32" s="295" t="str">
        <f>IF(C32="","",VLOOKUP($B32,'C-1 On-Site WaterC'' Baseline'!$C$9:$R$257,3,FALSE))</f>
        <v/>
      </c>
      <c r="E32" s="295" t="str">
        <f>IF(D32="","",VLOOKUP($B32,'C-1 On-Site WaterC'' Baseline'!$C$9:$R$257,4,FALSE))</f>
        <v/>
      </c>
      <c r="F32" s="295" t="str">
        <f>IF(E32="","",VLOOKUP($B32,'C-1 On-Site WaterC'' Baseline'!$C$9:$R$257,5,FALSE))</f>
        <v/>
      </c>
      <c r="G32" s="295" t="str">
        <f>IF(F32="","",VLOOKUP($B32,'C-1 On-Site WaterC'' Baseline'!$C$9:$R$257,6,FALSE))</f>
        <v/>
      </c>
      <c r="H32" s="295" t="str">
        <f>IF(G32="","",VLOOKUP($B32,'C-1 On-Site WaterC'' Baseline'!$C$9:$R$257,7,FALSE))</f>
        <v/>
      </c>
      <c r="I32" s="295" t="str">
        <f>IF(H32="","",VLOOKUP($B32,'C-1 On-Site WaterC'' Baseline'!$C$9:$R$257,8,FALSE))</f>
        <v/>
      </c>
      <c r="J32" s="295" t="str">
        <f>IF(I32="","",VLOOKUP($B32,'C-1 On-Site WaterC'' Baseline'!$C$9:$R$257,9,FALSE))</f>
        <v/>
      </c>
      <c r="K32" s="295" t="str">
        <f>IF(J32="","",VLOOKUP($B32,'C-1 On-Site WaterC'' Baseline'!$C$9:$R$257,10,FALSE))</f>
        <v/>
      </c>
      <c r="L32" s="295" t="str">
        <f>IF(B32="","",VLOOKUP($B32,'C-1 On-Site WaterC'' Baseline'!$C$9:$R$257,15,FALSE))</f>
        <v/>
      </c>
      <c r="M32" s="299" t="str">
        <f>IF(L32="","",VLOOKUP($B32,'C-1 On-Site WaterC'' Baseline'!$C$9:$R$257,16,FALSE))</f>
        <v/>
      </c>
      <c r="N32" s="245"/>
      <c r="O32" s="275" t="str">
        <f t="shared" si="1"/>
        <v/>
      </c>
      <c r="P32" s="276" t="str">
        <f t="shared" si="2"/>
        <v/>
      </c>
      <c r="Q32" s="336" t="str">
        <f>IF(N32="","",VLOOKUP(B32,'C-1 On-Site WaterC'' Baseline'!$C$10:$AC$257,20,FALSE))</f>
        <v/>
      </c>
      <c r="R32" s="275" t="str">
        <f>IF(N32="","",VLOOKUP(N32,'G-7 WaterC'' Data'!$B$2:$G$8,2,FALSE))</f>
        <v/>
      </c>
      <c r="S32" s="276" t="str">
        <f>IFERROR(VLOOKUP(R32,'G-7 WaterC'' Data'!$C$4:$D$8,2,FALSE),"")</f>
        <v/>
      </c>
      <c r="T32" s="101"/>
      <c r="U32" s="276" t="str">
        <f>IFERROR(INDEX('G-7 WaterC'' Data'!$H$4:$L$8,MATCH(N32,'G-7 WaterC'' Data'!$B$4:$B$8,0),MATCH(T32,'G-7 WaterC'' Data'!$H$3:$L$3,0)),"")</f>
        <v/>
      </c>
      <c r="V32" s="101"/>
      <c r="W32" s="283" t="str">
        <f>IF(V32="","",IF(VLOOKUP(V32,'G-7 WaterC'' Data'!$AK$4:$AM$6,2,FALSE)=0,"Spatial Data Missing ⚠",VLOOKUP(V32,'G-7 WaterC'' Data'!$AK$4:$AM$6,2,FALSE)))</f>
        <v/>
      </c>
      <c r="X32" s="276" t="str">
        <f>IF(V32="","",IF(VLOOKUP(V32,'G-7 WaterC'' Data'!$AK$4:$AM$6,3,FALSE)=0,"Spatial Data Missing ⚠",VLOOKUP(V32,'G-7 WaterC'' Data'!$AK$4:$AM$6,3,FALSE)))</f>
        <v/>
      </c>
      <c r="Y32" s="275" t="str">
        <f>IFERROR(IF(OR(LEFT(P32,5)="Error",LEFT(O32,5)="Error"),"Check Data ⚠",IF(F32&lt;S32,'G-7 WaterC'' Data'!$R$3,INDEX('G-7 WaterC'' Data'!$U$5:$Y$9,MATCH(G32,'G-7 WaterC'' Data'!$T$5:$T$9,0),MATCH(T32,'G-7 WaterC'' Data'!$U$4:$Y$4,0)))),"")</f>
        <v/>
      </c>
      <c r="Z32" s="133"/>
      <c r="AA32" s="133"/>
      <c r="AB32" s="283" t="str">
        <f t="shared" si="3"/>
        <v/>
      </c>
      <c r="AC32" s="296" t="str">
        <f t="shared" si="4"/>
        <v/>
      </c>
      <c r="AD32" s="334" t="str">
        <f>IFERROR(IF(AC32="Check Data ⚠","Check Data ⚠",VLOOKUP(AC32,'G-4 Temporal multipliers'!$A$4:$C$37,3,FALSE)),"")</f>
        <v/>
      </c>
      <c r="AE32" s="275" t="str">
        <f>IF(N32="","",VLOOKUP(N32,'G-7 WaterC'' Data'!$B$4:$G$8,5,FALSE))</f>
        <v/>
      </c>
      <c r="AF32" s="283" t="str">
        <f t="shared" si="5"/>
        <v/>
      </c>
      <c r="AG32" s="314" t="str">
        <f t="shared" si="6"/>
        <v/>
      </c>
      <c r="AH32" s="276" t="str">
        <f t="shared" si="0"/>
        <v/>
      </c>
      <c r="AI32" s="105"/>
      <c r="AJ32" s="276" t="str">
        <f>IF(AI32="","",IF(AND(AI32="N/A - Culvert",N32&lt;&gt;"Culvert"),"Not possible ▲",IF(VLOOKUP(AI32,'G-7 WaterC'' Data'!$AA$4:$AB$7,2,FALSE)=0,"Spatial Data Missing ⚠",VLOOKUP(AI32,'G-7 WaterC'' Data'!$AA$4:$AB$7,2,FALSE))))</f>
        <v/>
      </c>
      <c r="AK32" s="106"/>
      <c r="AL32" s="276" t="str">
        <f>IF(AK32="","",IF(AND(AK32="N/A - Culvert",N32&lt;&gt;"Culvert"),"Not possible ▲",IF(VLOOKUP(AK32,'G-7 WaterC'' Data'!$AD$4:$AE$14,2,FALSE)=0,"Spatial Data Missing ⚠",VLOOKUP(AK32,'G-7 WaterC'' Data'!$AD$4:$AE$14,2,FALSE))))</f>
        <v/>
      </c>
      <c r="AM32" s="317" t="str">
        <f t="shared" si="7"/>
        <v/>
      </c>
      <c r="AN32" s="101"/>
      <c r="AO32" s="115"/>
      <c r="AP32" s="104"/>
      <c r="AS32" s="30" t="str">
        <f>IF(B32="","",IF(ISNA(VLOOKUP($B32,'C-1 On-Site WaterC'' Baseline'!$C$8:$AD$257,17,FALSE)),"",(VLOOKUP($B32,'C-1 On-Site WaterC'' Baseline'!$C$8:$AD$257,17,FALSE))))</f>
        <v/>
      </c>
      <c r="AT32" s="30" t="str">
        <f>IF(B32="","",VLOOKUP($B32,'C-1 On-Site WaterC'' Baseline'!$C$9:$Z$257,12,FALSE))</f>
        <v/>
      </c>
      <c r="AU32" s="30" t="str">
        <f>IF(B32="","",VLOOKUP($B32,'C-1 On-Site WaterC'' Baseline'!$C$9:$Z$257,14,FALSE))</f>
        <v/>
      </c>
      <c r="AV32" s="30" t="str">
        <f>IFERROR(INDEX('G-7 WaterC'' Data'!$AZ$3:$AZ$7,MATCH(N32,'G-7 WaterC'' Data'!$AY$3:$AY$7,0)),"")</f>
        <v/>
      </c>
      <c r="AX32" s="30" t="str">
        <f>IF(B32="","",VLOOKUP($B32,'C-1 On-Site WaterC'' Baseline'!$C$9:$Y$257,22,FALSE))</f>
        <v/>
      </c>
      <c r="AY32" s="30" t="str">
        <f t="shared" si="8"/>
        <v/>
      </c>
      <c r="AZ32" s="30" t="str">
        <f>IF(B32="","",VLOOKUP($B32,'C-1 On-Site WaterC'' Baseline'!$C$9:$Y$257,21,FALSE))</f>
        <v/>
      </c>
      <c r="BA32" s="30" t="str">
        <f>IF(B32="","",VLOOKUP($B32,'C-1 On-Site WaterC'' Baseline'!$C$9:$Y$257,19,FALSE))</f>
        <v/>
      </c>
      <c r="BD32" s="30" t="str">
        <f t="shared" si="9"/>
        <v>No</v>
      </c>
    </row>
    <row r="33" spans="2:56" ht="14">
      <c r="B33" s="305" t="str">
        <f>'C-1 On-Site WaterC'' Baseline'!AP31</f>
        <v/>
      </c>
      <c r="C33" s="295" t="str">
        <f>IF(B33="","",VLOOKUP($B33,'C-1 On-Site WaterC'' Baseline'!$C$9:$R$257,2,FALSE))</f>
        <v/>
      </c>
      <c r="D33" s="295" t="str">
        <f>IF(C33="","",VLOOKUP($B33,'C-1 On-Site WaterC'' Baseline'!$C$9:$R$257,3,FALSE))</f>
        <v/>
      </c>
      <c r="E33" s="295" t="str">
        <f>IF(D33="","",VLOOKUP($B33,'C-1 On-Site WaterC'' Baseline'!$C$9:$R$257,4,FALSE))</f>
        <v/>
      </c>
      <c r="F33" s="295" t="str">
        <f>IF(E33="","",VLOOKUP($B33,'C-1 On-Site WaterC'' Baseline'!$C$9:$R$257,5,FALSE))</f>
        <v/>
      </c>
      <c r="G33" s="295" t="str">
        <f>IF(F33="","",VLOOKUP($B33,'C-1 On-Site WaterC'' Baseline'!$C$9:$R$257,6,FALSE))</f>
        <v/>
      </c>
      <c r="H33" s="295" t="str">
        <f>IF(G33="","",VLOOKUP($B33,'C-1 On-Site WaterC'' Baseline'!$C$9:$R$257,7,FALSE))</f>
        <v/>
      </c>
      <c r="I33" s="295" t="str">
        <f>IF(H33="","",VLOOKUP($B33,'C-1 On-Site WaterC'' Baseline'!$C$9:$R$257,8,FALSE))</f>
        <v/>
      </c>
      <c r="J33" s="295" t="str">
        <f>IF(I33="","",VLOOKUP($B33,'C-1 On-Site WaterC'' Baseline'!$C$9:$R$257,9,FALSE))</f>
        <v/>
      </c>
      <c r="K33" s="295" t="str">
        <f>IF(J33="","",VLOOKUP($B33,'C-1 On-Site WaterC'' Baseline'!$C$9:$R$257,10,FALSE))</f>
        <v/>
      </c>
      <c r="L33" s="295" t="str">
        <f>IF(B33="","",VLOOKUP($B33,'C-1 On-Site WaterC'' Baseline'!$C$9:$R$257,15,FALSE))</f>
        <v/>
      </c>
      <c r="M33" s="299" t="str">
        <f>IF(L33="","",VLOOKUP($B33,'C-1 On-Site WaterC'' Baseline'!$C$9:$R$257,16,FALSE))</f>
        <v/>
      </c>
      <c r="N33" s="245"/>
      <c r="O33" s="275" t="str">
        <f t="shared" si="1"/>
        <v/>
      </c>
      <c r="P33" s="276" t="str">
        <f t="shared" si="2"/>
        <v/>
      </c>
      <c r="Q33" s="336" t="str">
        <f>IF(N33="","",VLOOKUP(B33,'C-1 On-Site WaterC'' Baseline'!$C$10:$AC$257,20,FALSE))</f>
        <v/>
      </c>
      <c r="R33" s="275" t="str">
        <f>IF(N33="","",VLOOKUP(N33,'G-7 WaterC'' Data'!$B$2:$G$8,2,FALSE))</f>
        <v/>
      </c>
      <c r="S33" s="276" t="str">
        <f>IFERROR(VLOOKUP(R33,'G-7 WaterC'' Data'!$C$4:$D$8,2,FALSE),"")</f>
        <v/>
      </c>
      <c r="T33" s="101"/>
      <c r="U33" s="276" t="str">
        <f>IFERROR(INDEX('G-7 WaterC'' Data'!$H$4:$L$8,MATCH(N33,'G-7 WaterC'' Data'!$B$4:$B$8,0),MATCH(T33,'G-7 WaterC'' Data'!$H$3:$L$3,0)),"")</f>
        <v/>
      </c>
      <c r="V33" s="101"/>
      <c r="W33" s="283" t="str">
        <f>IF(V33="","",IF(VLOOKUP(V33,'G-7 WaterC'' Data'!$AK$4:$AM$6,2,FALSE)=0,"Spatial Data Missing ⚠",VLOOKUP(V33,'G-7 WaterC'' Data'!$AK$4:$AM$6,2,FALSE)))</f>
        <v/>
      </c>
      <c r="X33" s="276" t="str">
        <f>IF(V33="","",IF(VLOOKUP(V33,'G-7 WaterC'' Data'!$AK$4:$AM$6,3,FALSE)=0,"Spatial Data Missing ⚠",VLOOKUP(V33,'G-7 WaterC'' Data'!$AK$4:$AM$6,3,FALSE)))</f>
        <v/>
      </c>
      <c r="Y33" s="275" t="str">
        <f>IFERROR(IF(OR(LEFT(P33,5)="Error",LEFT(O33,5)="Error"),"Check Data ⚠",IF(F33&lt;S33,'G-7 WaterC'' Data'!$R$3,INDEX('G-7 WaterC'' Data'!$U$5:$Y$9,MATCH(G33,'G-7 WaterC'' Data'!$T$5:$T$9,0),MATCH(T33,'G-7 WaterC'' Data'!$U$4:$Y$4,0)))),"")</f>
        <v/>
      </c>
      <c r="Z33" s="133"/>
      <c r="AA33" s="133"/>
      <c r="AB33" s="283" t="str">
        <f t="shared" si="3"/>
        <v/>
      </c>
      <c r="AC33" s="296" t="str">
        <f t="shared" si="4"/>
        <v/>
      </c>
      <c r="AD33" s="334" t="str">
        <f>IFERROR(IF(AC33="Check Data ⚠","Check Data ⚠",VLOOKUP(AC33,'G-4 Temporal multipliers'!$A$4:$C$37,3,FALSE)),"")</f>
        <v/>
      </c>
      <c r="AE33" s="275" t="str">
        <f>IF(N33="","",VLOOKUP(N33,'G-7 WaterC'' Data'!$B$4:$G$8,5,FALSE))</f>
        <v/>
      </c>
      <c r="AF33" s="283" t="str">
        <f t="shared" si="5"/>
        <v/>
      </c>
      <c r="AG33" s="314" t="str">
        <f t="shared" si="6"/>
        <v/>
      </c>
      <c r="AH33" s="276" t="str">
        <f t="shared" si="0"/>
        <v/>
      </c>
      <c r="AI33" s="105"/>
      <c r="AJ33" s="276" t="str">
        <f>IF(AI33="","",IF(AND(AI33="N/A - Culvert",N33&lt;&gt;"Culvert"),"Not possible ▲",IF(VLOOKUP(AI33,'G-7 WaterC'' Data'!$AA$4:$AB$7,2,FALSE)=0,"Spatial Data Missing ⚠",VLOOKUP(AI33,'G-7 WaterC'' Data'!$AA$4:$AB$7,2,FALSE))))</f>
        <v/>
      </c>
      <c r="AK33" s="106"/>
      <c r="AL33" s="276" t="str">
        <f>IF(AK33="","",IF(AND(AK33="N/A - Culvert",N33&lt;&gt;"Culvert"),"Not possible ▲",IF(VLOOKUP(AK33,'G-7 WaterC'' Data'!$AD$4:$AE$14,2,FALSE)=0,"Spatial Data Missing ⚠",VLOOKUP(AK33,'G-7 WaterC'' Data'!$AD$4:$AE$14,2,FALSE))))</f>
        <v/>
      </c>
      <c r="AM33" s="317" t="str">
        <f t="shared" si="7"/>
        <v/>
      </c>
      <c r="AN33" s="101"/>
      <c r="AO33" s="115"/>
      <c r="AP33" s="104"/>
      <c r="AS33" s="30" t="str">
        <f>IF(B33="","",IF(ISNA(VLOOKUP($B33,'C-1 On-Site WaterC'' Baseline'!$C$8:$AD$257,17,FALSE)),"",(VLOOKUP($B33,'C-1 On-Site WaterC'' Baseline'!$C$8:$AD$257,17,FALSE))))</f>
        <v/>
      </c>
      <c r="AT33" s="30" t="str">
        <f>IF(B33="","",VLOOKUP($B33,'C-1 On-Site WaterC'' Baseline'!$C$9:$Z$257,12,FALSE))</f>
        <v/>
      </c>
      <c r="AU33" s="30" t="str">
        <f>IF(B33="","",VLOOKUP($B33,'C-1 On-Site WaterC'' Baseline'!$C$9:$Z$257,14,FALSE))</f>
        <v/>
      </c>
      <c r="AV33" s="30" t="str">
        <f>IFERROR(INDEX('G-7 WaterC'' Data'!$AZ$3:$AZ$7,MATCH(N33,'G-7 WaterC'' Data'!$AY$3:$AY$7,0)),"")</f>
        <v/>
      </c>
      <c r="AX33" s="30" t="str">
        <f>IF(B33="","",VLOOKUP($B33,'C-1 On-Site WaterC'' Baseline'!$C$9:$Y$257,22,FALSE))</f>
        <v/>
      </c>
      <c r="AY33" s="30" t="str">
        <f t="shared" si="8"/>
        <v/>
      </c>
      <c r="AZ33" s="30" t="str">
        <f>IF(B33="","",VLOOKUP($B33,'C-1 On-Site WaterC'' Baseline'!$C$9:$Y$257,21,FALSE))</f>
        <v/>
      </c>
      <c r="BA33" s="30" t="str">
        <f>IF(B33="","",VLOOKUP($B33,'C-1 On-Site WaterC'' Baseline'!$C$9:$Y$257,19,FALSE))</f>
        <v/>
      </c>
      <c r="BD33" s="30" t="str">
        <f t="shared" si="9"/>
        <v>No</v>
      </c>
    </row>
    <row r="34" spans="2:56" ht="14">
      <c r="B34" s="305" t="str">
        <f>'C-1 On-Site WaterC'' Baseline'!AP32</f>
        <v/>
      </c>
      <c r="C34" s="295" t="str">
        <f>IF(B34="","",VLOOKUP($B34,'C-1 On-Site WaterC'' Baseline'!$C$9:$R$257,2,FALSE))</f>
        <v/>
      </c>
      <c r="D34" s="295" t="str">
        <f>IF(C34="","",VLOOKUP($B34,'C-1 On-Site WaterC'' Baseline'!$C$9:$R$257,3,FALSE))</f>
        <v/>
      </c>
      <c r="E34" s="295" t="str">
        <f>IF(D34="","",VLOOKUP($B34,'C-1 On-Site WaterC'' Baseline'!$C$9:$R$257,4,FALSE))</f>
        <v/>
      </c>
      <c r="F34" s="295" t="str">
        <f>IF(E34="","",VLOOKUP($B34,'C-1 On-Site WaterC'' Baseline'!$C$9:$R$257,5,FALSE))</f>
        <v/>
      </c>
      <c r="G34" s="295" t="str">
        <f>IF(F34="","",VLOOKUP($B34,'C-1 On-Site WaterC'' Baseline'!$C$9:$R$257,6,FALSE))</f>
        <v/>
      </c>
      <c r="H34" s="295" t="str">
        <f>IF(G34="","",VLOOKUP($B34,'C-1 On-Site WaterC'' Baseline'!$C$9:$R$257,7,FALSE))</f>
        <v/>
      </c>
      <c r="I34" s="295" t="str">
        <f>IF(H34="","",VLOOKUP($B34,'C-1 On-Site WaterC'' Baseline'!$C$9:$R$257,8,FALSE))</f>
        <v/>
      </c>
      <c r="J34" s="295" t="str">
        <f>IF(I34="","",VLOOKUP($B34,'C-1 On-Site WaterC'' Baseline'!$C$9:$R$257,9,FALSE))</f>
        <v/>
      </c>
      <c r="K34" s="295" t="str">
        <f>IF(J34="","",VLOOKUP($B34,'C-1 On-Site WaterC'' Baseline'!$C$9:$R$257,10,FALSE))</f>
        <v/>
      </c>
      <c r="L34" s="295" t="str">
        <f>IF(B34="","",VLOOKUP($B34,'C-1 On-Site WaterC'' Baseline'!$C$9:$R$257,15,FALSE))</f>
        <v/>
      </c>
      <c r="M34" s="299" t="str">
        <f>IF(L34="","",VLOOKUP($B34,'C-1 On-Site WaterC'' Baseline'!$C$9:$R$257,16,FALSE))</f>
        <v/>
      </c>
      <c r="N34" s="245"/>
      <c r="O34" s="275" t="str">
        <f t="shared" si="1"/>
        <v/>
      </c>
      <c r="P34" s="276" t="str">
        <f t="shared" si="2"/>
        <v/>
      </c>
      <c r="Q34" s="336" t="str">
        <f>IF(N34="","",VLOOKUP(B34,'C-1 On-Site WaterC'' Baseline'!$C$10:$AC$257,20,FALSE))</f>
        <v/>
      </c>
      <c r="R34" s="275" t="str">
        <f>IF(N34="","",VLOOKUP(N34,'G-7 WaterC'' Data'!$B$2:$G$8,2,FALSE))</f>
        <v/>
      </c>
      <c r="S34" s="276" t="str">
        <f>IFERROR(VLOOKUP(R34,'G-7 WaterC'' Data'!$C$4:$D$8,2,FALSE),"")</f>
        <v/>
      </c>
      <c r="T34" s="101"/>
      <c r="U34" s="276" t="str">
        <f>IFERROR(INDEX('G-7 WaterC'' Data'!$H$4:$L$8,MATCH(N34,'G-7 WaterC'' Data'!$B$4:$B$8,0),MATCH(T34,'G-7 WaterC'' Data'!$H$3:$L$3,0)),"")</f>
        <v/>
      </c>
      <c r="V34" s="101"/>
      <c r="W34" s="283" t="str">
        <f>IF(V34="","",IF(VLOOKUP(V34,'G-7 WaterC'' Data'!$AK$4:$AM$6,2,FALSE)=0,"Spatial Data Missing ⚠",VLOOKUP(V34,'G-7 WaterC'' Data'!$AK$4:$AM$6,2,FALSE)))</f>
        <v/>
      </c>
      <c r="X34" s="276" t="str">
        <f>IF(V34="","",IF(VLOOKUP(V34,'G-7 WaterC'' Data'!$AK$4:$AM$6,3,FALSE)=0,"Spatial Data Missing ⚠",VLOOKUP(V34,'G-7 WaterC'' Data'!$AK$4:$AM$6,3,FALSE)))</f>
        <v/>
      </c>
      <c r="Y34" s="275" t="str">
        <f>IFERROR(IF(OR(LEFT(P34,5)="Error",LEFT(O34,5)="Error"),"Check Data ⚠",IF(F34&lt;S34,'G-7 WaterC'' Data'!$R$3,INDEX('G-7 WaterC'' Data'!$U$5:$Y$9,MATCH(G34,'G-7 WaterC'' Data'!$T$5:$T$9,0),MATCH(T34,'G-7 WaterC'' Data'!$U$4:$Y$4,0)))),"")</f>
        <v/>
      </c>
      <c r="Z34" s="133"/>
      <c r="AA34" s="133"/>
      <c r="AB34" s="283" t="str">
        <f t="shared" si="3"/>
        <v/>
      </c>
      <c r="AC34" s="296" t="str">
        <f t="shared" si="4"/>
        <v/>
      </c>
      <c r="AD34" s="334" t="str">
        <f>IFERROR(IF(AC34="Check Data ⚠","Check Data ⚠",VLOOKUP(AC34,'G-4 Temporal multipliers'!$A$4:$C$37,3,FALSE)),"")</f>
        <v/>
      </c>
      <c r="AE34" s="275" t="str">
        <f>IF(N34="","",VLOOKUP(N34,'G-7 WaterC'' Data'!$B$4:$G$8,5,FALSE))</f>
        <v/>
      </c>
      <c r="AF34" s="283" t="str">
        <f t="shared" si="5"/>
        <v/>
      </c>
      <c r="AG34" s="314" t="str">
        <f t="shared" si="6"/>
        <v/>
      </c>
      <c r="AH34" s="276" t="str">
        <f t="shared" si="0"/>
        <v/>
      </c>
      <c r="AI34" s="105"/>
      <c r="AJ34" s="276" t="str">
        <f>IF(AI34="","",IF(AND(AI34="N/A - Culvert",N34&lt;&gt;"Culvert"),"Not possible ▲",IF(VLOOKUP(AI34,'G-7 WaterC'' Data'!$AA$4:$AB$7,2,FALSE)=0,"Spatial Data Missing ⚠",VLOOKUP(AI34,'G-7 WaterC'' Data'!$AA$4:$AB$7,2,FALSE))))</f>
        <v/>
      </c>
      <c r="AK34" s="106"/>
      <c r="AL34" s="276" t="str">
        <f>IF(AK34="","",IF(AND(AK34="N/A - Culvert",N34&lt;&gt;"Culvert"),"Not possible ▲",IF(VLOOKUP(AK34,'G-7 WaterC'' Data'!$AD$4:$AE$14,2,FALSE)=0,"Spatial Data Missing ⚠",VLOOKUP(AK34,'G-7 WaterC'' Data'!$AD$4:$AE$14,2,FALSE))))</f>
        <v/>
      </c>
      <c r="AM34" s="317" t="str">
        <f t="shared" si="7"/>
        <v/>
      </c>
      <c r="AN34" s="101"/>
      <c r="AO34" s="115"/>
      <c r="AP34" s="104"/>
      <c r="AS34" s="30" t="str">
        <f>IF(B34="","",IF(ISNA(VLOOKUP($B34,'C-1 On-Site WaterC'' Baseline'!$C$8:$AD$257,17,FALSE)),"",(VLOOKUP($B34,'C-1 On-Site WaterC'' Baseline'!$C$8:$AD$257,17,FALSE))))</f>
        <v/>
      </c>
      <c r="AT34" s="30" t="str">
        <f>IF(B34="","",VLOOKUP($B34,'C-1 On-Site WaterC'' Baseline'!$C$9:$Z$257,12,FALSE))</f>
        <v/>
      </c>
      <c r="AU34" s="30" t="str">
        <f>IF(B34="","",VLOOKUP($B34,'C-1 On-Site WaterC'' Baseline'!$C$9:$Z$257,14,FALSE))</f>
        <v/>
      </c>
      <c r="AV34" s="30" t="str">
        <f>IFERROR(INDEX('G-7 WaterC'' Data'!$AZ$3:$AZ$7,MATCH(N34,'G-7 WaterC'' Data'!$AY$3:$AY$7,0)),"")</f>
        <v/>
      </c>
      <c r="AX34" s="30" t="str">
        <f>IF(B34="","",VLOOKUP($B34,'C-1 On-Site WaterC'' Baseline'!$C$9:$Y$257,22,FALSE))</f>
        <v/>
      </c>
      <c r="AY34" s="30" t="str">
        <f t="shared" si="8"/>
        <v/>
      </c>
      <c r="AZ34" s="30" t="str">
        <f>IF(B34="","",VLOOKUP($B34,'C-1 On-Site WaterC'' Baseline'!$C$9:$Y$257,21,FALSE))</f>
        <v/>
      </c>
      <c r="BA34" s="30" t="str">
        <f>IF(B34="","",VLOOKUP($B34,'C-1 On-Site WaterC'' Baseline'!$C$9:$Y$257,19,FALSE))</f>
        <v/>
      </c>
      <c r="BD34" s="30" t="str">
        <f t="shared" si="9"/>
        <v>No</v>
      </c>
    </row>
    <row r="35" spans="2:56" ht="14">
      <c r="B35" s="305" t="str">
        <f>'C-1 On-Site WaterC'' Baseline'!AP33</f>
        <v/>
      </c>
      <c r="C35" s="295" t="str">
        <f>IF(B35="","",VLOOKUP($B35,'C-1 On-Site WaterC'' Baseline'!$C$9:$R$257,2,FALSE))</f>
        <v/>
      </c>
      <c r="D35" s="295" t="str">
        <f>IF(C35="","",VLOOKUP($B35,'C-1 On-Site WaterC'' Baseline'!$C$9:$R$257,3,FALSE))</f>
        <v/>
      </c>
      <c r="E35" s="295" t="str">
        <f>IF(D35="","",VLOOKUP($B35,'C-1 On-Site WaterC'' Baseline'!$C$9:$R$257,4,FALSE))</f>
        <v/>
      </c>
      <c r="F35" s="295" t="str">
        <f>IF(E35="","",VLOOKUP($B35,'C-1 On-Site WaterC'' Baseline'!$C$9:$R$257,5,FALSE))</f>
        <v/>
      </c>
      <c r="G35" s="295" t="str">
        <f>IF(F35="","",VLOOKUP($B35,'C-1 On-Site WaterC'' Baseline'!$C$9:$R$257,6,FALSE))</f>
        <v/>
      </c>
      <c r="H35" s="295" t="str">
        <f>IF(G35="","",VLOOKUP($B35,'C-1 On-Site WaterC'' Baseline'!$C$9:$R$257,7,FALSE))</f>
        <v/>
      </c>
      <c r="I35" s="295" t="str">
        <f>IF(H35="","",VLOOKUP($B35,'C-1 On-Site WaterC'' Baseline'!$C$9:$R$257,8,FALSE))</f>
        <v/>
      </c>
      <c r="J35" s="295" t="str">
        <f>IF(I35="","",VLOOKUP($B35,'C-1 On-Site WaterC'' Baseline'!$C$9:$R$257,9,FALSE))</f>
        <v/>
      </c>
      <c r="K35" s="295" t="str">
        <f>IF(J35="","",VLOOKUP($B35,'C-1 On-Site WaterC'' Baseline'!$C$9:$R$257,10,FALSE))</f>
        <v/>
      </c>
      <c r="L35" s="295" t="str">
        <f>IF(B35="","",VLOOKUP($B35,'C-1 On-Site WaterC'' Baseline'!$C$9:$R$257,15,FALSE))</f>
        <v/>
      </c>
      <c r="M35" s="299" t="str">
        <f>IF(L35="","",VLOOKUP($B35,'C-1 On-Site WaterC'' Baseline'!$C$9:$R$257,16,FALSE))</f>
        <v/>
      </c>
      <c r="N35" s="245"/>
      <c r="O35" s="275" t="str">
        <f t="shared" si="1"/>
        <v/>
      </c>
      <c r="P35" s="276" t="str">
        <f t="shared" si="2"/>
        <v/>
      </c>
      <c r="Q35" s="336" t="str">
        <f>IF(N35="","",VLOOKUP(B35,'C-1 On-Site WaterC'' Baseline'!$C$10:$AC$257,20,FALSE))</f>
        <v/>
      </c>
      <c r="R35" s="275" t="str">
        <f>IF(N35="","",VLOOKUP(N35,'G-7 WaterC'' Data'!$B$2:$G$8,2,FALSE))</f>
        <v/>
      </c>
      <c r="S35" s="276" t="str">
        <f>IFERROR(VLOOKUP(R35,'G-7 WaterC'' Data'!$C$4:$D$8,2,FALSE),"")</f>
        <v/>
      </c>
      <c r="T35" s="101"/>
      <c r="U35" s="276" t="str">
        <f>IFERROR(INDEX('G-7 WaterC'' Data'!$H$4:$L$8,MATCH(N35,'G-7 WaterC'' Data'!$B$4:$B$8,0),MATCH(T35,'G-7 WaterC'' Data'!$H$3:$L$3,0)),"")</f>
        <v/>
      </c>
      <c r="V35" s="101"/>
      <c r="W35" s="283" t="str">
        <f>IF(V35="","",IF(VLOOKUP(V35,'G-7 WaterC'' Data'!$AK$4:$AM$6,2,FALSE)=0,"Spatial Data Missing ⚠",VLOOKUP(V35,'G-7 WaterC'' Data'!$AK$4:$AM$6,2,FALSE)))</f>
        <v/>
      </c>
      <c r="X35" s="276" t="str">
        <f>IF(V35="","",IF(VLOOKUP(V35,'G-7 WaterC'' Data'!$AK$4:$AM$6,3,FALSE)=0,"Spatial Data Missing ⚠",VLOOKUP(V35,'G-7 WaterC'' Data'!$AK$4:$AM$6,3,FALSE)))</f>
        <v/>
      </c>
      <c r="Y35" s="275" t="str">
        <f>IFERROR(IF(OR(LEFT(P35,5)="Error",LEFT(O35,5)="Error"),"Check Data ⚠",IF(F35&lt;S35,'G-7 WaterC'' Data'!$R$3,INDEX('G-7 WaterC'' Data'!$U$5:$Y$9,MATCH(G35,'G-7 WaterC'' Data'!$T$5:$T$9,0),MATCH(T35,'G-7 WaterC'' Data'!$U$4:$Y$4,0)))),"")</f>
        <v/>
      </c>
      <c r="Z35" s="133"/>
      <c r="AA35" s="133"/>
      <c r="AB35" s="283" t="str">
        <f t="shared" si="3"/>
        <v/>
      </c>
      <c r="AC35" s="296" t="str">
        <f t="shared" si="4"/>
        <v/>
      </c>
      <c r="AD35" s="334" t="str">
        <f>IFERROR(IF(AC35="Check Data ⚠","Check Data ⚠",VLOOKUP(AC35,'G-4 Temporal multipliers'!$A$4:$C$37,3,FALSE)),"")</f>
        <v/>
      </c>
      <c r="AE35" s="275" t="str">
        <f>IF(N35="","",VLOOKUP(N35,'G-7 WaterC'' Data'!$B$4:$G$8,5,FALSE))</f>
        <v/>
      </c>
      <c r="AF35" s="283" t="str">
        <f t="shared" si="5"/>
        <v/>
      </c>
      <c r="AG35" s="314" t="str">
        <f t="shared" si="6"/>
        <v/>
      </c>
      <c r="AH35" s="276" t="str">
        <f t="shared" si="0"/>
        <v/>
      </c>
      <c r="AI35" s="105"/>
      <c r="AJ35" s="276" t="str">
        <f>IF(AI35="","",IF(AND(AI35="N/A - Culvert",N35&lt;&gt;"Culvert"),"Not possible ▲",IF(VLOOKUP(AI35,'G-7 WaterC'' Data'!$AA$4:$AB$7,2,FALSE)=0,"Spatial Data Missing ⚠",VLOOKUP(AI35,'G-7 WaterC'' Data'!$AA$4:$AB$7,2,FALSE))))</f>
        <v/>
      </c>
      <c r="AK35" s="106"/>
      <c r="AL35" s="276" t="str">
        <f>IF(AK35="","",IF(AND(AK35="N/A - Culvert",N35&lt;&gt;"Culvert"),"Not possible ▲",IF(VLOOKUP(AK35,'G-7 WaterC'' Data'!$AD$4:$AE$14,2,FALSE)=0,"Spatial Data Missing ⚠",VLOOKUP(AK35,'G-7 WaterC'' Data'!$AD$4:$AE$14,2,FALSE))))</f>
        <v/>
      </c>
      <c r="AM35" s="317" t="str">
        <f t="shared" si="7"/>
        <v/>
      </c>
      <c r="AN35" s="101"/>
      <c r="AO35" s="115"/>
      <c r="AP35" s="104"/>
      <c r="AS35" s="30" t="str">
        <f>IF(B35="","",IF(ISNA(VLOOKUP($B35,'C-1 On-Site WaterC'' Baseline'!$C$8:$AD$257,17,FALSE)),"",(VLOOKUP($B35,'C-1 On-Site WaterC'' Baseline'!$C$8:$AD$257,17,FALSE))))</f>
        <v/>
      </c>
      <c r="AT35" s="30" t="str">
        <f>IF(B35="","",VLOOKUP($B35,'C-1 On-Site WaterC'' Baseline'!$C$9:$Z$257,12,FALSE))</f>
        <v/>
      </c>
      <c r="AU35" s="30" t="str">
        <f>IF(B35="","",VLOOKUP($B35,'C-1 On-Site WaterC'' Baseline'!$C$9:$Z$257,14,FALSE))</f>
        <v/>
      </c>
      <c r="AV35" s="30" t="str">
        <f>IFERROR(INDEX('G-7 WaterC'' Data'!$AZ$3:$AZ$7,MATCH(N35,'G-7 WaterC'' Data'!$AY$3:$AY$7,0)),"")</f>
        <v/>
      </c>
      <c r="AX35" s="30" t="str">
        <f>IF(B35="","",VLOOKUP($B35,'C-1 On-Site WaterC'' Baseline'!$C$9:$Y$257,22,FALSE))</f>
        <v/>
      </c>
      <c r="AY35" s="30" t="str">
        <f t="shared" si="8"/>
        <v/>
      </c>
      <c r="AZ35" s="30" t="str">
        <f>IF(B35="","",VLOOKUP($B35,'C-1 On-Site WaterC'' Baseline'!$C$9:$Y$257,21,FALSE))</f>
        <v/>
      </c>
      <c r="BA35" s="30" t="str">
        <f>IF(B35="","",VLOOKUP($B35,'C-1 On-Site WaterC'' Baseline'!$C$9:$Y$257,19,FALSE))</f>
        <v/>
      </c>
      <c r="BD35" s="30" t="str">
        <f t="shared" si="9"/>
        <v>No</v>
      </c>
    </row>
    <row r="36" spans="2:56" ht="14">
      <c r="B36" s="305" t="str">
        <f>'C-1 On-Site WaterC'' Baseline'!AP34</f>
        <v/>
      </c>
      <c r="C36" s="295" t="str">
        <f>IF(B36="","",VLOOKUP($B36,'C-1 On-Site WaterC'' Baseline'!$C$9:$R$257,2,FALSE))</f>
        <v/>
      </c>
      <c r="D36" s="295" t="str">
        <f>IF(C36="","",VLOOKUP($B36,'C-1 On-Site WaterC'' Baseline'!$C$9:$R$257,3,FALSE))</f>
        <v/>
      </c>
      <c r="E36" s="295" t="str">
        <f>IF(D36="","",VLOOKUP($B36,'C-1 On-Site WaterC'' Baseline'!$C$9:$R$257,4,FALSE))</f>
        <v/>
      </c>
      <c r="F36" s="295" t="str">
        <f>IF(E36="","",VLOOKUP($B36,'C-1 On-Site WaterC'' Baseline'!$C$9:$R$257,5,FALSE))</f>
        <v/>
      </c>
      <c r="G36" s="295" t="str">
        <f>IF(F36="","",VLOOKUP($B36,'C-1 On-Site WaterC'' Baseline'!$C$9:$R$257,6,FALSE))</f>
        <v/>
      </c>
      <c r="H36" s="295" t="str">
        <f>IF(G36="","",VLOOKUP($B36,'C-1 On-Site WaterC'' Baseline'!$C$9:$R$257,7,FALSE))</f>
        <v/>
      </c>
      <c r="I36" s="295" t="str">
        <f>IF(H36="","",VLOOKUP($B36,'C-1 On-Site WaterC'' Baseline'!$C$9:$R$257,8,FALSE))</f>
        <v/>
      </c>
      <c r="J36" s="295" t="str">
        <f>IF(I36="","",VLOOKUP($B36,'C-1 On-Site WaterC'' Baseline'!$C$9:$R$257,9,FALSE))</f>
        <v/>
      </c>
      <c r="K36" s="295" t="str">
        <f>IF(J36="","",VLOOKUP($B36,'C-1 On-Site WaterC'' Baseline'!$C$9:$R$257,10,FALSE))</f>
        <v/>
      </c>
      <c r="L36" s="295" t="str">
        <f>IF(B36="","",VLOOKUP($B36,'C-1 On-Site WaterC'' Baseline'!$C$9:$R$257,15,FALSE))</f>
        <v/>
      </c>
      <c r="M36" s="299" t="str">
        <f>IF(L36="","",VLOOKUP($B36,'C-1 On-Site WaterC'' Baseline'!$C$9:$R$257,16,FALSE))</f>
        <v/>
      </c>
      <c r="N36" s="245"/>
      <c r="O36" s="275" t="str">
        <f t="shared" si="1"/>
        <v/>
      </c>
      <c r="P36" s="276" t="str">
        <f t="shared" si="2"/>
        <v/>
      </c>
      <c r="Q36" s="336" t="str">
        <f>IF(N36="","",VLOOKUP(B36,'C-1 On-Site WaterC'' Baseline'!$C$10:$AC$257,20,FALSE))</f>
        <v/>
      </c>
      <c r="R36" s="275" t="str">
        <f>IF(N36="","",VLOOKUP(N36,'G-7 WaterC'' Data'!$B$2:$G$8,2,FALSE))</f>
        <v/>
      </c>
      <c r="S36" s="276" t="str">
        <f>IFERROR(VLOOKUP(R36,'G-7 WaterC'' Data'!$C$4:$D$8,2,FALSE),"")</f>
        <v/>
      </c>
      <c r="T36" s="101"/>
      <c r="U36" s="276" t="str">
        <f>IFERROR(INDEX('G-7 WaterC'' Data'!$H$4:$L$8,MATCH(N36,'G-7 WaterC'' Data'!$B$4:$B$8,0),MATCH(T36,'G-7 WaterC'' Data'!$H$3:$L$3,0)),"")</f>
        <v/>
      </c>
      <c r="V36" s="101"/>
      <c r="W36" s="283" t="str">
        <f>IF(V36="","",IF(VLOOKUP(V36,'G-7 WaterC'' Data'!$AK$4:$AM$6,2,FALSE)=0,"Spatial Data Missing ⚠",VLOOKUP(V36,'G-7 WaterC'' Data'!$AK$4:$AM$6,2,FALSE)))</f>
        <v/>
      </c>
      <c r="X36" s="276" t="str">
        <f>IF(V36="","",IF(VLOOKUP(V36,'G-7 WaterC'' Data'!$AK$4:$AM$6,3,FALSE)=0,"Spatial Data Missing ⚠",VLOOKUP(V36,'G-7 WaterC'' Data'!$AK$4:$AM$6,3,FALSE)))</f>
        <v/>
      </c>
      <c r="Y36" s="275" t="str">
        <f>IFERROR(IF(OR(LEFT(P36,5)="Error",LEFT(O36,5)="Error"),"Check Data ⚠",IF(F36&lt;S36,'G-7 WaterC'' Data'!$R$3,INDEX('G-7 WaterC'' Data'!$U$5:$Y$9,MATCH(G36,'G-7 WaterC'' Data'!$T$5:$T$9,0),MATCH(T36,'G-7 WaterC'' Data'!$U$4:$Y$4,0)))),"")</f>
        <v/>
      </c>
      <c r="Z36" s="133"/>
      <c r="AA36" s="133"/>
      <c r="AB36" s="283" t="str">
        <f t="shared" si="3"/>
        <v/>
      </c>
      <c r="AC36" s="296" t="str">
        <f t="shared" si="4"/>
        <v/>
      </c>
      <c r="AD36" s="334" t="str">
        <f>IFERROR(IF(AC36="Check Data ⚠","Check Data ⚠",VLOOKUP(AC36,'G-4 Temporal multipliers'!$A$4:$C$37,3,FALSE)),"")</f>
        <v/>
      </c>
      <c r="AE36" s="275" t="str">
        <f>IF(N36="","",VLOOKUP(N36,'G-7 WaterC'' Data'!$B$4:$G$8,5,FALSE))</f>
        <v/>
      </c>
      <c r="AF36" s="283" t="str">
        <f t="shared" si="5"/>
        <v/>
      </c>
      <c r="AG36" s="314" t="str">
        <f t="shared" si="6"/>
        <v/>
      </c>
      <c r="AH36" s="276" t="str">
        <f t="shared" si="0"/>
        <v/>
      </c>
      <c r="AI36" s="105"/>
      <c r="AJ36" s="276" t="str">
        <f>IF(AI36="","",IF(AND(AI36="N/A - Culvert",N36&lt;&gt;"Culvert"),"Not possible ▲",IF(VLOOKUP(AI36,'G-7 WaterC'' Data'!$AA$4:$AB$7,2,FALSE)=0,"Spatial Data Missing ⚠",VLOOKUP(AI36,'G-7 WaterC'' Data'!$AA$4:$AB$7,2,FALSE))))</f>
        <v/>
      </c>
      <c r="AK36" s="106"/>
      <c r="AL36" s="276" t="str">
        <f>IF(AK36="","",IF(AND(AK36="N/A - Culvert",N36&lt;&gt;"Culvert"),"Not possible ▲",IF(VLOOKUP(AK36,'G-7 WaterC'' Data'!$AD$4:$AE$14,2,FALSE)=0,"Spatial Data Missing ⚠",VLOOKUP(AK36,'G-7 WaterC'' Data'!$AD$4:$AE$14,2,FALSE))))</f>
        <v/>
      </c>
      <c r="AM36" s="317" t="str">
        <f t="shared" si="7"/>
        <v/>
      </c>
      <c r="AN36" s="101"/>
      <c r="AO36" s="115"/>
      <c r="AP36" s="104"/>
      <c r="AS36" s="30" t="str">
        <f>IF(B36="","",IF(ISNA(VLOOKUP($B36,'C-1 On-Site WaterC'' Baseline'!$C$8:$AD$257,17,FALSE)),"",(VLOOKUP($B36,'C-1 On-Site WaterC'' Baseline'!$C$8:$AD$257,17,FALSE))))</f>
        <v/>
      </c>
      <c r="AT36" s="30" t="str">
        <f>IF(B36="","",VLOOKUP($B36,'C-1 On-Site WaterC'' Baseline'!$C$9:$Z$257,12,FALSE))</f>
        <v/>
      </c>
      <c r="AU36" s="30" t="str">
        <f>IF(B36="","",VLOOKUP($B36,'C-1 On-Site WaterC'' Baseline'!$C$9:$Z$257,14,FALSE))</f>
        <v/>
      </c>
      <c r="AV36" s="30" t="str">
        <f>IFERROR(INDEX('G-7 WaterC'' Data'!$AZ$3:$AZ$7,MATCH(N36,'G-7 WaterC'' Data'!$AY$3:$AY$7,0)),"")</f>
        <v/>
      </c>
      <c r="AX36" s="30" t="str">
        <f>IF(B36="","",VLOOKUP($B36,'C-1 On-Site WaterC'' Baseline'!$C$9:$Y$257,22,FALSE))</f>
        <v/>
      </c>
      <c r="AY36" s="30" t="str">
        <f t="shared" si="8"/>
        <v/>
      </c>
      <c r="AZ36" s="30" t="str">
        <f>IF(B36="","",VLOOKUP($B36,'C-1 On-Site WaterC'' Baseline'!$C$9:$Y$257,21,FALSE))</f>
        <v/>
      </c>
      <c r="BA36" s="30" t="str">
        <f>IF(B36="","",VLOOKUP($B36,'C-1 On-Site WaterC'' Baseline'!$C$9:$Y$257,19,FALSE))</f>
        <v/>
      </c>
      <c r="BD36" s="30" t="str">
        <f t="shared" si="9"/>
        <v>No</v>
      </c>
    </row>
    <row r="37" spans="2:56" ht="14">
      <c r="B37" s="305" t="str">
        <f>'C-1 On-Site WaterC'' Baseline'!AP35</f>
        <v/>
      </c>
      <c r="C37" s="295" t="str">
        <f>IF(B37="","",VLOOKUP($B37,'C-1 On-Site WaterC'' Baseline'!$C$9:$R$257,2,FALSE))</f>
        <v/>
      </c>
      <c r="D37" s="295" t="str">
        <f>IF(C37="","",VLOOKUP($B37,'C-1 On-Site WaterC'' Baseline'!$C$9:$R$257,3,FALSE))</f>
        <v/>
      </c>
      <c r="E37" s="295" t="str">
        <f>IF(D37="","",VLOOKUP($B37,'C-1 On-Site WaterC'' Baseline'!$C$9:$R$257,4,FALSE))</f>
        <v/>
      </c>
      <c r="F37" s="295" t="str">
        <f>IF(E37="","",VLOOKUP($B37,'C-1 On-Site WaterC'' Baseline'!$C$9:$R$257,5,FALSE))</f>
        <v/>
      </c>
      <c r="G37" s="295" t="str">
        <f>IF(F37="","",VLOOKUP($B37,'C-1 On-Site WaterC'' Baseline'!$C$9:$R$257,6,FALSE))</f>
        <v/>
      </c>
      <c r="H37" s="295" t="str">
        <f>IF(G37="","",VLOOKUP($B37,'C-1 On-Site WaterC'' Baseline'!$C$9:$R$257,7,FALSE))</f>
        <v/>
      </c>
      <c r="I37" s="295" t="str">
        <f>IF(H37="","",VLOOKUP($B37,'C-1 On-Site WaterC'' Baseline'!$C$9:$R$257,8,FALSE))</f>
        <v/>
      </c>
      <c r="J37" s="295" t="str">
        <f>IF(I37="","",VLOOKUP($B37,'C-1 On-Site WaterC'' Baseline'!$C$9:$R$257,9,FALSE))</f>
        <v/>
      </c>
      <c r="K37" s="295" t="str">
        <f>IF(J37="","",VLOOKUP($B37,'C-1 On-Site WaterC'' Baseline'!$C$9:$R$257,10,FALSE))</f>
        <v/>
      </c>
      <c r="L37" s="295" t="str">
        <f>IF(B37="","",VLOOKUP($B37,'C-1 On-Site WaterC'' Baseline'!$C$9:$R$257,15,FALSE))</f>
        <v/>
      </c>
      <c r="M37" s="299" t="str">
        <f>IF(L37="","",VLOOKUP($B37,'C-1 On-Site WaterC'' Baseline'!$C$9:$R$257,16,FALSE))</f>
        <v/>
      </c>
      <c r="N37" s="245"/>
      <c r="O37" s="275" t="str">
        <f t="shared" si="1"/>
        <v/>
      </c>
      <c r="P37" s="276" t="str">
        <f t="shared" si="2"/>
        <v/>
      </c>
      <c r="Q37" s="336" t="str">
        <f>IF(N37="","",VLOOKUP(B37,'C-1 On-Site WaterC'' Baseline'!$C$10:$AC$257,20,FALSE))</f>
        <v/>
      </c>
      <c r="R37" s="275" t="str">
        <f>IF(N37="","",VLOOKUP(N37,'G-7 WaterC'' Data'!$B$2:$G$8,2,FALSE))</f>
        <v/>
      </c>
      <c r="S37" s="276" t="str">
        <f>IFERROR(VLOOKUP(R37,'G-7 WaterC'' Data'!$C$4:$D$8,2,FALSE),"")</f>
        <v/>
      </c>
      <c r="T37" s="101"/>
      <c r="U37" s="276" t="str">
        <f>IFERROR(INDEX('G-7 WaterC'' Data'!$H$4:$L$8,MATCH(N37,'G-7 WaterC'' Data'!$B$4:$B$8,0),MATCH(T37,'G-7 WaterC'' Data'!$H$3:$L$3,0)),"")</f>
        <v/>
      </c>
      <c r="V37" s="101"/>
      <c r="W37" s="283" t="str">
        <f>IF(V37="","",IF(VLOOKUP(V37,'G-7 WaterC'' Data'!$AK$4:$AM$6,2,FALSE)=0,"Spatial Data Missing ⚠",VLOOKUP(V37,'G-7 WaterC'' Data'!$AK$4:$AM$6,2,FALSE)))</f>
        <v/>
      </c>
      <c r="X37" s="276" t="str">
        <f>IF(V37="","",IF(VLOOKUP(V37,'G-7 WaterC'' Data'!$AK$4:$AM$6,3,FALSE)=0,"Spatial Data Missing ⚠",VLOOKUP(V37,'G-7 WaterC'' Data'!$AK$4:$AM$6,3,FALSE)))</f>
        <v/>
      </c>
      <c r="Y37" s="275" t="str">
        <f>IFERROR(IF(OR(LEFT(P37,5)="Error",LEFT(O37,5)="Error"),"Check Data ⚠",IF(F37&lt;S37,'G-7 WaterC'' Data'!$R$3,INDEX('G-7 WaterC'' Data'!$U$5:$Y$9,MATCH(G37,'G-7 WaterC'' Data'!$T$5:$T$9,0),MATCH(T37,'G-7 WaterC'' Data'!$U$4:$Y$4,0)))),"")</f>
        <v/>
      </c>
      <c r="Z37" s="133"/>
      <c r="AA37" s="133"/>
      <c r="AB37" s="283" t="str">
        <f t="shared" si="3"/>
        <v/>
      </c>
      <c r="AC37" s="296" t="str">
        <f t="shared" si="4"/>
        <v/>
      </c>
      <c r="AD37" s="334" t="str">
        <f>IFERROR(IF(AC37="Check Data ⚠","Check Data ⚠",VLOOKUP(AC37,'G-4 Temporal multipliers'!$A$4:$C$37,3,FALSE)),"")</f>
        <v/>
      </c>
      <c r="AE37" s="275" t="str">
        <f>IF(N37="","",VLOOKUP(N37,'G-7 WaterC'' Data'!$B$4:$G$8,5,FALSE))</f>
        <v/>
      </c>
      <c r="AF37" s="283" t="str">
        <f t="shared" si="5"/>
        <v/>
      </c>
      <c r="AG37" s="314" t="str">
        <f t="shared" si="6"/>
        <v/>
      </c>
      <c r="AH37" s="276" t="str">
        <f t="shared" si="0"/>
        <v/>
      </c>
      <c r="AI37" s="105"/>
      <c r="AJ37" s="276" t="str">
        <f>IF(AI37="","",IF(AND(AI37="N/A - Culvert",N37&lt;&gt;"Culvert"),"Not possible ▲",IF(VLOOKUP(AI37,'G-7 WaterC'' Data'!$AA$4:$AB$7,2,FALSE)=0,"Spatial Data Missing ⚠",VLOOKUP(AI37,'G-7 WaterC'' Data'!$AA$4:$AB$7,2,FALSE))))</f>
        <v/>
      </c>
      <c r="AK37" s="106"/>
      <c r="AL37" s="276" t="str">
        <f>IF(AK37="","",IF(AND(AK37="N/A - Culvert",N37&lt;&gt;"Culvert"),"Not possible ▲",IF(VLOOKUP(AK37,'G-7 WaterC'' Data'!$AD$4:$AE$14,2,FALSE)=0,"Spatial Data Missing ⚠",VLOOKUP(AK37,'G-7 WaterC'' Data'!$AD$4:$AE$14,2,FALSE))))</f>
        <v/>
      </c>
      <c r="AM37" s="317" t="str">
        <f t="shared" si="7"/>
        <v/>
      </c>
      <c r="AN37" s="101"/>
      <c r="AO37" s="115"/>
      <c r="AP37" s="104"/>
      <c r="AS37" s="30" t="str">
        <f>IF(B37="","",IF(ISNA(VLOOKUP($B37,'C-1 On-Site WaterC'' Baseline'!$C$8:$AD$257,17,FALSE)),"",(VLOOKUP($B37,'C-1 On-Site WaterC'' Baseline'!$C$8:$AD$257,17,FALSE))))</f>
        <v/>
      </c>
      <c r="AT37" s="30" t="str">
        <f>IF(B37="","",VLOOKUP($B37,'C-1 On-Site WaterC'' Baseline'!$C$9:$Z$257,12,FALSE))</f>
        <v/>
      </c>
      <c r="AU37" s="30" t="str">
        <f>IF(B37="","",VLOOKUP($B37,'C-1 On-Site WaterC'' Baseline'!$C$9:$Z$257,14,FALSE))</f>
        <v/>
      </c>
      <c r="AV37" s="30" t="str">
        <f>IFERROR(INDEX('G-7 WaterC'' Data'!$AZ$3:$AZ$7,MATCH(N37,'G-7 WaterC'' Data'!$AY$3:$AY$7,0)),"")</f>
        <v/>
      </c>
      <c r="AX37" s="30" t="str">
        <f>IF(B37="","",VLOOKUP($B37,'C-1 On-Site WaterC'' Baseline'!$C$9:$Y$257,22,FALSE))</f>
        <v/>
      </c>
      <c r="AY37" s="30" t="str">
        <f t="shared" si="8"/>
        <v/>
      </c>
      <c r="AZ37" s="30" t="str">
        <f>IF(B37="","",VLOOKUP($B37,'C-1 On-Site WaterC'' Baseline'!$C$9:$Y$257,21,FALSE))</f>
        <v/>
      </c>
      <c r="BA37" s="30" t="str">
        <f>IF(B37="","",VLOOKUP($B37,'C-1 On-Site WaterC'' Baseline'!$C$9:$Y$257,19,FALSE))</f>
        <v/>
      </c>
      <c r="BD37" s="30" t="str">
        <f t="shared" si="9"/>
        <v>No</v>
      </c>
    </row>
    <row r="38" spans="2:56" ht="14">
      <c r="B38" s="305" t="str">
        <f>'C-1 On-Site WaterC'' Baseline'!AP36</f>
        <v/>
      </c>
      <c r="C38" s="295" t="str">
        <f>IF(B38="","",VLOOKUP($B38,'C-1 On-Site WaterC'' Baseline'!$C$9:$R$257,2,FALSE))</f>
        <v/>
      </c>
      <c r="D38" s="295" t="str">
        <f>IF(C38="","",VLOOKUP($B38,'C-1 On-Site WaterC'' Baseline'!$C$9:$R$257,3,FALSE))</f>
        <v/>
      </c>
      <c r="E38" s="295" t="str">
        <f>IF(D38="","",VLOOKUP($B38,'C-1 On-Site WaterC'' Baseline'!$C$9:$R$257,4,FALSE))</f>
        <v/>
      </c>
      <c r="F38" s="295" t="str">
        <f>IF(E38="","",VLOOKUP($B38,'C-1 On-Site WaterC'' Baseline'!$C$9:$R$257,5,FALSE))</f>
        <v/>
      </c>
      <c r="G38" s="295" t="str">
        <f>IF(F38="","",VLOOKUP($B38,'C-1 On-Site WaterC'' Baseline'!$C$9:$R$257,6,FALSE))</f>
        <v/>
      </c>
      <c r="H38" s="295" t="str">
        <f>IF(G38="","",VLOOKUP($B38,'C-1 On-Site WaterC'' Baseline'!$C$9:$R$257,7,FALSE))</f>
        <v/>
      </c>
      <c r="I38" s="295" t="str">
        <f>IF(H38="","",VLOOKUP($B38,'C-1 On-Site WaterC'' Baseline'!$C$9:$R$257,8,FALSE))</f>
        <v/>
      </c>
      <c r="J38" s="295" t="str">
        <f>IF(I38="","",VLOOKUP($B38,'C-1 On-Site WaterC'' Baseline'!$C$9:$R$257,9,FALSE))</f>
        <v/>
      </c>
      <c r="K38" s="295" t="str">
        <f>IF(J38="","",VLOOKUP($B38,'C-1 On-Site WaterC'' Baseline'!$C$9:$R$257,10,FALSE))</f>
        <v/>
      </c>
      <c r="L38" s="295" t="str">
        <f>IF(B38="","",VLOOKUP($B38,'C-1 On-Site WaterC'' Baseline'!$C$9:$R$257,15,FALSE))</f>
        <v/>
      </c>
      <c r="M38" s="299" t="str">
        <f>IF(L38="","",VLOOKUP($B38,'C-1 On-Site WaterC'' Baseline'!$C$9:$R$257,16,FALSE))</f>
        <v/>
      </c>
      <c r="N38" s="245"/>
      <c r="O38" s="275" t="str">
        <f t="shared" si="1"/>
        <v/>
      </c>
      <c r="P38" s="276" t="str">
        <f t="shared" si="2"/>
        <v/>
      </c>
      <c r="Q38" s="336" t="str">
        <f>IF(N38="","",VLOOKUP(B38,'C-1 On-Site WaterC'' Baseline'!$C$10:$AC$257,20,FALSE))</f>
        <v/>
      </c>
      <c r="R38" s="275" t="str">
        <f>IF(N38="","",VLOOKUP(N38,'G-7 WaterC'' Data'!$B$2:$G$8,2,FALSE))</f>
        <v/>
      </c>
      <c r="S38" s="276" t="str">
        <f>IFERROR(VLOOKUP(R38,'G-7 WaterC'' Data'!$C$4:$D$8,2,FALSE),"")</f>
        <v/>
      </c>
      <c r="T38" s="101"/>
      <c r="U38" s="276" t="str">
        <f>IFERROR(INDEX('G-7 WaterC'' Data'!$H$4:$L$8,MATCH(N38,'G-7 WaterC'' Data'!$B$4:$B$8,0),MATCH(T38,'G-7 WaterC'' Data'!$H$3:$L$3,0)),"")</f>
        <v/>
      </c>
      <c r="V38" s="101"/>
      <c r="W38" s="283" t="str">
        <f>IF(V38="","",IF(VLOOKUP(V38,'G-7 WaterC'' Data'!$AK$4:$AM$6,2,FALSE)=0,"Spatial Data Missing ⚠",VLOOKUP(V38,'G-7 WaterC'' Data'!$AK$4:$AM$6,2,FALSE)))</f>
        <v/>
      </c>
      <c r="X38" s="276" t="str">
        <f>IF(V38="","",IF(VLOOKUP(V38,'G-7 WaterC'' Data'!$AK$4:$AM$6,3,FALSE)=0,"Spatial Data Missing ⚠",VLOOKUP(V38,'G-7 WaterC'' Data'!$AK$4:$AM$6,3,FALSE)))</f>
        <v/>
      </c>
      <c r="Y38" s="275" t="str">
        <f>IFERROR(IF(OR(LEFT(P38,5)="Error",LEFT(O38,5)="Error"),"Check Data ⚠",IF(F38&lt;S38,'G-7 WaterC'' Data'!$R$3,INDEX('G-7 WaterC'' Data'!$U$5:$Y$9,MATCH(G38,'G-7 WaterC'' Data'!$T$5:$T$9,0),MATCH(T38,'G-7 WaterC'' Data'!$U$4:$Y$4,0)))),"")</f>
        <v/>
      </c>
      <c r="Z38" s="133"/>
      <c r="AA38" s="133"/>
      <c r="AB38" s="283" t="str">
        <f t="shared" si="3"/>
        <v/>
      </c>
      <c r="AC38" s="296" t="str">
        <f t="shared" si="4"/>
        <v/>
      </c>
      <c r="AD38" s="334" t="str">
        <f>IFERROR(IF(AC38="Check Data ⚠","Check Data ⚠",VLOOKUP(AC38,'G-4 Temporal multipliers'!$A$4:$C$37,3,FALSE)),"")</f>
        <v/>
      </c>
      <c r="AE38" s="275" t="str">
        <f>IF(N38="","",VLOOKUP(N38,'G-7 WaterC'' Data'!$B$4:$G$8,5,FALSE))</f>
        <v/>
      </c>
      <c r="AF38" s="283" t="str">
        <f t="shared" si="5"/>
        <v/>
      </c>
      <c r="AG38" s="314" t="str">
        <f t="shared" si="6"/>
        <v/>
      </c>
      <c r="AH38" s="276" t="str">
        <f t="shared" si="0"/>
        <v/>
      </c>
      <c r="AI38" s="105"/>
      <c r="AJ38" s="276" t="str">
        <f>IF(AI38="","",IF(AND(AI38="N/A - Culvert",N38&lt;&gt;"Culvert"),"Not possible ▲",IF(VLOOKUP(AI38,'G-7 WaterC'' Data'!$AA$4:$AB$7,2,FALSE)=0,"Spatial Data Missing ⚠",VLOOKUP(AI38,'G-7 WaterC'' Data'!$AA$4:$AB$7,2,FALSE))))</f>
        <v/>
      </c>
      <c r="AK38" s="106"/>
      <c r="AL38" s="276" t="str">
        <f>IF(AK38="","",IF(AND(AK38="N/A - Culvert",N38&lt;&gt;"Culvert"),"Not possible ▲",IF(VLOOKUP(AK38,'G-7 WaterC'' Data'!$AD$4:$AE$14,2,FALSE)=0,"Spatial Data Missing ⚠",VLOOKUP(AK38,'G-7 WaterC'' Data'!$AD$4:$AE$14,2,FALSE))))</f>
        <v/>
      </c>
      <c r="AM38" s="317" t="str">
        <f t="shared" si="7"/>
        <v/>
      </c>
      <c r="AN38" s="101"/>
      <c r="AO38" s="115"/>
      <c r="AP38" s="104"/>
      <c r="AS38" s="30" t="str">
        <f>IF(B38="","",IF(ISNA(VLOOKUP($B38,'C-1 On-Site WaterC'' Baseline'!$C$8:$AD$257,17,FALSE)),"",(VLOOKUP($B38,'C-1 On-Site WaterC'' Baseline'!$C$8:$AD$257,17,FALSE))))</f>
        <v/>
      </c>
      <c r="AT38" s="30" t="str">
        <f>IF(B38="","",VLOOKUP($B38,'C-1 On-Site WaterC'' Baseline'!$C$9:$Z$257,12,FALSE))</f>
        <v/>
      </c>
      <c r="AU38" s="30" t="str">
        <f>IF(B38="","",VLOOKUP($B38,'C-1 On-Site WaterC'' Baseline'!$C$9:$Z$257,14,FALSE))</f>
        <v/>
      </c>
      <c r="AV38" s="30" t="str">
        <f>IFERROR(INDEX('G-7 WaterC'' Data'!$AZ$3:$AZ$7,MATCH(N38,'G-7 WaterC'' Data'!$AY$3:$AY$7,0)),"")</f>
        <v/>
      </c>
      <c r="AX38" s="30" t="str">
        <f>IF(B38="","",VLOOKUP($B38,'C-1 On-Site WaterC'' Baseline'!$C$9:$Y$257,22,FALSE))</f>
        <v/>
      </c>
      <c r="AY38" s="30" t="str">
        <f t="shared" si="8"/>
        <v/>
      </c>
      <c r="AZ38" s="30" t="str">
        <f>IF(B38="","",VLOOKUP($B38,'C-1 On-Site WaterC'' Baseline'!$C$9:$Y$257,21,FALSE))</f>
        <v/>
      </c>
      <c r="BA38" s="30" t="str">
        <f>IF(B38="","",VLOOKUP($B38,'C-1 On-Site WaterC'' Baseline'!$C$9:$Y$257,19,FALSE))</f>
        <v/>
      </c>
      <c r="BD38" s="30" t="str">
        <f t="shared" si="9"/>
        <v>No</v>
      </c>
    </row>
    <row r="39" spans="2:56" ht="14">
      <c r="B39" s="305" t="str">
        <f>'C-1 On-Site WaterC'' Baseline'!AP37</f>
        <v/>
      </c>
      <c r="C39" s="295" t="str">
        <f>IF(B39="","",VLOOKUP($B39,'C-1 On-Site WaterC'' Baseline'!$C$9:$R$257,2,FALSE))</f>
        <v/>
      </c>
      <c r="D39" s="295" t="str">
        <f>IF(C39="","",VLOOKUP($B39,'C-1 On-Site WaterC'' Baseline'!$C$9:$R$257,3,FALSE))</f>
        <v/>
      </c>
      <c r="E39" s="295" t="str">
        <f>IF(D39="","",VLOOKUP($B39,'C-1 On-Site WaterC'' Baseline'!$C$9:$R$257,4,FALSE))</f>
        <v/>
      </c>
      <c r="F39" s="295" t="str">
        <f>IF(E39="","",VLOOKUP($B39,'C-1 On-Site WaterC'' Baseline'!$C$9:$R$257,5,FALSE))</f>
        <v/>
      </c>
      <c r="G39" s="295" t="str">
        <f>IF(F39="","",VLOOKUP($B39,'C-1 On-Site WaterC'' Baseline'!$C$9:$R$257,6,FALSE))</f>
        <v/>
      </c>
      <c r="H39" s="295" t="str">
        <f>IF(G39="","",VLOOKUP($B39,'C-1 On-Site WaterC'' Baseline'!$C$9:$R$257,7,FALSE))</f>
        <v/>
      </c>
      <c r="I39" s="295" t="str">
        <f>IF(H39="","",VLOOKUP($B39,'C-1 On-Site WaterC'' Baseline'!$C$9:$R$257,8,FALSE))</f>
        <v/>
      </c>
      <c r="J39" s="295" t="str">
        <f>IF(I39="","",VLOOKUP($B39,'C-1 On-Site WaterC'' Baseline'!$C$9:$R$257,9,FALSE))</f>
        <v/>
      </c>
      <c r="K39" s="295" t="str">
        <f>IF(J39="","",VLOOKUP($B39,'C-1 On-Site WaterC'' Baseline'!$C$9:$R$257,10,FALSE))</f>
        <v/>
      </c>
      <c r="L39" s="295" t="str">
        <f>IF(B39="","",VLOOKUP($B39,'C-1 On-Site WaterC'' Baseline'!$C$9:$R$257,15,FALSE))</f>
        <v/>
      </c>
      <c r="M39" s="299" t="str">
        <f>IF(L39="","",VLOOKUP($B39,'C-1 On-Site WaterC'' Baseline'!$C$9:$R$257,16,FALSE))</f>
        <v/>
      </c>
      <c r="N39" s="245"/>
      <c r="O39" s="275" t="str">
        <f t="shared" si="1"/>
        <v/>
      </c>
      <c r="P39" s="276" t="str">
        <f t="shared" si="2"/>
        <v/>
      </c>
      <c r="Q39" s="336" t="str">
        <f>IF(N39="","",VLOOKUP(B39,'C-1 On-Site WaterC'' Baseline'!$C$10:$AC$257,20,FALSE))</f>
        <v/>
      </c>
      <c r="R39" s="275" t="str">
        <f>IF(N39="","",VLOOKUP(N39,'G-7 WaterC'' Data'!$B$2:$G$8,2,FALSE))</f>
        <v/>
      </c>
      <c r="S39" s="276" t="str">
        <f>IFERROR(VLOOKUP(R39,'G-7 WaterC'' Data'!$C$4:$D$8,2,FALSE),"")</f>
        <v/>
      </c>
      <c r="T39" s="101"/>
      <c r="U39" s="276" t="str">
        <f>IFERROR(INDEX('G-7 WaterC'' Data'!$H$4:$L$8,MATCH(N39,'G-7 WaterC'' Data'!$B$4:$B$8,0),MATCH(T39,'G-7 WaterC'' Data'!$H$3:$L$3,0)),"")</f>
        <v/>
      </c>
      <c r="V39" s="101"/>
      <c r="W39" s="283" t="str">
        <f>IF(V39="","",IF(VLOOKUP(V39,'G-7 WaterC'' Data'!$AK$4:$AM$6,2,FALSE)=0,"Spatial Data Missing ⚠",VLOOKUP(V39,'G-7 WaterC'' Data'!$AK$4:$AM$6,2,FALSE)))</f>
        <v/>
      </c>
      <c r="X39" s="276" t="str">
        <f>IF(V39="","",IF(VLOOKUP(V39,'G-7 WaterC'' Data'!$AK$4:$AM$6,3,FALSE)=0,"Spatial Data Missing ⚠",VLOOKUP(V39,'G-7 WaterC'' Data'!$AK$4:$AM$6,3,FALSE)))</f>
        <v/>
      </c>
      <c r="Y39" s="275" t="str">
        <f>IFERROR(IF(OR(LEFT(P39,5)="Error",LEFT(O39,5)="Error"),"Check Data ⚠",IF(F39&lt;S39,'G-7 WaterC'' Data'!$R$3,INDEX('G-7 WaterC'' Data'!$U$5:$Y$9,MATCH(G39,'G-7 WaterC'' Data'!$T$5:$T$9,0),MATCH(T39,'G-7 WaterC'' Data'!$U$4:$Y$4,0)))),"")</f>
        <v/>
      </c>
      <c r="Z39" s="133"/>
      <c r="AA39" s="133"/>
      <c r="AB39" s="283" t="str">
        <f t="shared" si="3"/>
        <v/>
      </c>
      <c r="AC39" s="296" t="str">
        <f t="shared" si="4"/>
        <v/>
      </c>
      <c r="AD39" s="334" t="str">
        <f>IFERROR(IF(AC39="Check Data ⚠","Check Data ⚠",VLOOKUP(AC39,'G-4 Temporal multipliers'!$A$4:$C$37,3,FALSE)),"")</f>
        <v/>
      </c>
      <c r="AE39" s="275" t="str">
        <f>IF(N39="","",VLOOKUP(N39,'G-7 WaterC'' Data'!$B$4:$G$8,5,FALSE))</f>
        <v/>
      </c>
      <c r="AF39" s="283" t="str">
        <f t="shared" si="5"/>
        <v/>
      </c>
      <c r="AG39" s="314" t="str">
        <f t="shared" si="6"/>
        <v/>
      </c>
      <c r="AH39" s="276" t="str">
        <f t="shared" si="0"/>
        <v/>
      </c>
      <c r="AI39" s="105"/>
      <c r="AJ39" s="276" t="str">
        <f>IF(AI39="","",IF(AND(AI39="N/A - Culvert",N39&lt;&gt;"Culvert"),"Not possible ▲",IF(VLOOKUP(AI39,'G-7 WaterC'' Data'!$AA$4:$AB$7,2,FALSE)=0,"Spatial Data Missing ⚠",VLOOKUP(AI39,'G-7 WaterC'' Data'!$AA$4:$AB$7,2,FALSE))))</f>
        <v/>
      </c>
      <c r="AK39" s="106"/>
      <c r="AL39" s="276" t="str">
        <f>IF(AK39="","",IF(AND(AK39="N/A - Culvert",N39&lt;&gt;"Culvert"),"Not possible ▲",IF(VLOOKUP(AK39,'G-7 WaterC'' Data'!$AD$4:$AE$14,2,FALSE)=0,"Spatial Data Missing ⚠",VLOOKUP(AK39,'G-7 WaterC'' Data'!$AD$4:$AE$14,2,FALSE))))</f>
        <v/>
      </c>
      <c r="AM39" s="317" t="str">
        <f t="shared" si="7"/>
        <v/>
      </c>
      <c r="AN39" s="101"/>
      <c r="AO39" s="115"/>
      <c r="AP39" s="104"/>
      <c r="AS39" s="30" t="str">
        <f>IF(B39="","",IF(ISNA(VLOOKUP($B39,'C-1 On-Site WaterC'' Baseline'!$C$8:$AD$257,17,FALSE)),"",(VLOOKUP($B39,'C-1 On-Site WaterC'' Baseline'!$C$8:$AD$257,17,FALSE))))</f>
        <v/>
      </c>
      <c r="AT39" s="30" t="str">
        <f>IF(B39="","",VLOOKUP($B39,'C-1 On-Site WaterC'' Baseline'!$C$9:$Z$257,12,FALSE))</f>
        <v/>
      </c>
      <c r="AU39" s="30" t="str">
        <f>IF(B39="","",VLOOKUP($B39,'C-1 On-Site WaterC'' Baseline'!$C$9:$Z$257,14,FALSE))</f>
        <v/>
      </c>
      <c r="AV39" s="30" t="str">
        <f>IFERROR(INDEX('G-7 WaterC'' Data'!$AZ$3:$AZ$7,MATCH(N39,'G-7 WaterC'' Data'!$AY$3:$AY$7,0)),"")</f>
        <v/>
      </c>
      <c r="AX39" s="30" t="str">
        <f>IF(B39="","",VLOOKUP($B39,'C-1 On-Site WaterC'' Baseline'!$C$9:$Y$257,22,FALSE))</f>
        <v/>
      </c>
      <c r="AY39" s="30" t="str">
        <f t="shared" si="8"/>
        <v/>
      </c>
      <c r="AZ39" s="30" t="str">
        <f>IF(B39="","",VLOOKUP($B39,'C-1 On-Site WaterC'' Baseline'!$C$9:$Y$257,21,FALSE))</f>
        <v/>
      </c>
      <c r="BA39" s="30" t="str">
        <f>IF(B39="","",VLOOKUP($B39,'C-1 On-Site WaterC'' Baseline'!$C$9:$Y$257,19,FALSE))</f>
        <v/>
      </c>
      <c r="BD39" s="30" t="str">
        <f t="shared" si="9"/>
        <v>No</v>
      </c>
    </row>
    <row r="40" spans="2:56" ht="14">
      <c r="B40" s="305" t="str">
        <f>'C-1 On-Site WaterC'' Baseline'!AP38</f>
        <v/>
      </c>
      <c r="C40" s="295" t="str">
        <f>IF(B40="","",VLOOKUP($B40,'C-1 On-Site WaterC'' Baseline'!$C$9:$R$257,2,FALSE))</f>
        <v/>
      </c>
      <c r="D40" s="295" t="str">
        <f>IF(C40="","",VLOOKUP($B40,'C-1 On-Site WaterC'' Baseline'!$C$9:$R$257,3,FALSE))</f>
        <v/>
      </c>
      <c r="E40" s="295" t="str">
        <f>IF(D40="","",VLOOKUP($B40,'C-1 On-Site WaterC'' Baseline'!$C$9:$R$257,4,FALSE))</f>
        <v/>
      </c>
      <c r="F40" s="295" t="str">
        <f>IF(E40="","",VLOOKUP($B40,'C-1 On-Site WaterC'' Baseline'!$C$9:$R$257,5,FALSE))</f>
        <v/>
      </c>
      <c r="G40" s="295" t="str">
        <f>IF(F40="","",VLOOKUP($B40,'C-1 On-Site WaterC'' Baseline'!$C$9:$R$257,6,FALSE))</f>
        <v/>
      </c>
      <c r="H40" s="295" t="str">
        <f>IF(G40="","",VLOOKUP($B40,'C-1 On-Site WaterC'' Baseline'!$C$9:$R$257,7,FALSE))</f>
        <v/>
      </c>
      <c r="I40" s="295" t="str">
        <f>IF(H40="","",VLOOKUP($B40,'C-1 On-Site WaterC'' Baseline'!$C$9:$R$257,8,FALSE))</f>
        <v/>
      </c>
      <c r="J40" s="295" t="str">
        <f>IF(I40="","",VLOOKUP($B40,'C-1 On-Site WaterC'' Baseline'!$C$9:$R$257,9,FALSE))</f>
        <v/>
      </c>
      <c r="K40" s="295" t="str">
        <f>IF(J40="","",VLOOKUP($B40,'C-1 On-Site WaterC'' Baseline'!$C$9:$R$257,10,FALSE))</f>
        <v/>
      </c>
      <c r="L40" s="295" t="str">
        <f>IF(B40="","",VLOOKUP($B40,'C-1 On-Site WaterC'' Baseline'!$C$9:$R$257,15,FALSE))</f>
        <v/>
      </c>
      <c r="M40" s="299" t="str">
        <f>IF(L40="","",VLOOKUP($B40,'C-1 On-Site WaterC'' Baseline'!$C$9:$R$257,16,FALSE))</f>
        <v/>
      </c>
      <c r="N40" s="245"/>
      <c r="O40" s="275" t="str">
        <f t="shared" si="1"/>
        <v/>
      </c>
      <c r="P40" s="276" t="str">
        <f t="shared" si="2"/>
        <v/>
      </c>
      <c r="Q40" s="336" t="str">
        <f>IF(N40="","",VLOOKUP(B40,'C-1 On-Site WaterC'' Baseline'!$C$10:$AC$257,20,FALSE))</f>
        <v/>
      </c>
      <c r="R40" s="275" t="str">
        <f>IF(N40="","",VLOOKUP(N40,'G-7 WaterC'' Data'!$B$2:$G$8,2,FALSE))</f>
        <v/>
      </c>
      <c r="S40" s="276" t="str">
        <f>IFERROR(VLOOKUP(R40,'G-7 WaterC'' Data'!$C$4:$D$8,2,FALSE),"")</f>
        <v/>
      </c>
      <c r="T40" s="101"/>
      <c r="U40" s="276" t="str">
        <f>IFERROR(INDEX('G-7 WaterC'' Data'!$H$4:$L$8,MATCH(N40,'G-7 WaterC'' Data'!$B$4:$B$8,0),MATCH(T40,'G-7 WaterC'' Data'!$H$3:$L$3,0)),"")</f>
        <v/>
      </c>
      <c r="V40" s="101"/>
      <c r="W40" s="283" t="str">
        <f>IF(V40="","",IF(VLOOKUP(V40,'G-7 WaterC'' Data'!$AK$4:$AM$6,2,FALSE)=0,"Spatial Data Missing ⚠",VLOOKUP(V40,'G-7 WaterC'' Data'!$AK$4:$AM$6,2,FALSE)))</f>
        <v/>
      </c>
      <c r="X40" s="276" t="str">
        <f>IF(V40="","",IF(VLOOKUP(V40,'G-7 WaterC'' Data'!$AK$4:$AM$6,3,FALSE)=0,"Spatial Data Missing ⚠",VLOOKUP(V40,'G-7 WaterC'' Data'!$AK$4:$AM$6,3,FALSE)))</f>
        <v/>
      </c>
      <c r="Y40" s="275" t="str">
        <f>IFERROR(IF(OR(LEFT(P40,5)="Error",LEFT(O40,5)="Error"),"Check Data ⚠",IF(F40&lt;S40,'G-7 WaterC'' Data'!$R$3,INDEX('G-7 WaterC'' Data'!$U$5:$Y$9,MATCH(G40,'G-7 WaterC'' Data'!$T$5:$T$9,0),MATCH(T40,'G-7 WaterC'' Data'!$U$4:$Y$4,0)))),"")</f>
        <v/>
      </c>
      <c r="Z40" s="133"/>
      <c r="AA40" s="133"/>
      <c r="AB40" s="283" t="str">
        <f t="shared" si="3"/>
        <v/>
      </c>
      <c r="AC40" s="296" t="str">
        <f t="shared" si="4"/>
        <v/>
      </c>
      <c r="AD40" s="334" t="str">
        <f>IFERROR(IF(AC40="Check Data ⚠","Check Data ⚠",VLOOKUP(AC40,'G-4 Temporal multipliers'!$A$4:$C$37,3,FALSE)),"")</f>
        <v/>
      </c>
      <c r="AE40" s="275" t="str">
        <f>IF(N40="","",VLOOKUP(N40,'G-7 WaterC'' Data'!$B$4:$G$8,5,FALSE))</f>
        <v/>
      </c>
      <c r="AF40" s="283" t="str">
        <f t="shared" si="5"/>
        <v/>
      </c>
      <c r="AG40" s="314" t="str">
        <f t="shared" si="6"/>
        <v/>
      </c>
      <c r="AH40" s="276" t="str">
        <f t="shared" si="0"/>
        <v/>
      </c>
      <c r="AI40" s="105"/>
      <c r="AJ40" s="276" t="str">
        <f>IF(AI40="","",IF(AND(AI40="N/A - Culvert",N40&lt;&gt;"Culvert"),"Not possible ▲",IF(VLOOKUP(AI40,'G-7 WaterC'' Data'!$AA$4:$AB$7,2,FALSE)=0,"Spatial Data Missing ⚠",VLOOKUP(AI40,'G-7 WaterC'' Data'!$AA$4:$AB$7,2,FALSE))))</f>
        <v/>
      </c>
      <c r="AK40" s="106"/>
      <c r="AL40" s="276" t="str">
        <f>IF(AK40="","",IF(AND(AK40="N/A - Culvert",N40&lt;&gt;"Culvert"),"Not possible ▲",IF(VLOOKUP(AK40,'G-7 WaterC'' Data'!$AD$4:$AE$14,2,FALSE)=0,"Spatial Data Missing ⚠",VLOOKUP(AK40,'G-7 WaterC'' Data'!$AD$4:$AE$14,2,FALSE))))</f>
        <v/>
      </c>
      <c r="AM40" s="317" t="str">
        <f t="shared" si="7"/>
        <v/>
      </c>
      <c r="AN40" s="101"/>
      <c r="AO40" s="115"/>
      <c r="AP40" s="104"/>
      <c r="AS40" s="30" t="str">
        <f>IF(B40="","",IF(ISNA(VLOOKUP($B40,'C-1 On-Site WaterC'' Baseline'!$C$8:$AD$257,17,FALSE)),"",(VLOOKUP($B40,'C-1 On-Site WaterC'' Baseline'!$C$8:$AD$257,17,FALSE))))</f>
        <v/>
      </c>
      <c r="AT40" s="30" t="str">
        <f>IF(B40="","",VLOOKUP($B40,'C-1 On-Site WaterC'' Baseline'!$C$9:$Z$257,12,FALSE))</f>
        <v/>
      </c>
      <c r="AU40" s="30" t="str">
        <f>IF(B40="","",VLOOKUP($B40,'C-1 On-Site WaterC'' Baseline'!$C$9:$Z$257,14,FALSE))</f>
        <v/>
      </c>
      <c r="AV40" s="30" t="str">
        <f>IFERROR(INDEX('G-7 WaterC'' Data'!$AZ$3:$AZ$7,MATCH(N40,'G-7 WaterC'' Data'!$AY$3:$AY$7,0)),"")</f>
        <v/>
      </c>
      <c r="AX40" s="30" t="str">
        <f>IF(B40="","",VLOOKUP($B40,'C-1 On-Site WaterC'' Baseline'!$C$9:$Y$257,22,FALSE))</f>
        <v/>
      </c>
      <c r="AY40" s="30" t="str">
        <f t="shared" si="8"/>
        <v/>
      </c>
      <c r="AZ40" s="30" t="str">
        <f>IF(B40="","",VLOOKUP($B40,'C-1 On-Site WaterC'' Baseline'!$C$9:$Y$257,21,FALSE))</f>
        <v/>
      </c>
      <c r="BA40" s="30" t="str">
        <f>IF(B40="","",VLOOKUP($B40,'C-1 On-Site WaterC'' Baseline'!$C$9:$Y$257,19,FALSE))</f>
        <v/>
      </c>
      <c r="BD40" s="30" t="str">
        <f t="shared" si="9"/>
        <v>No</v>
      </c>
    </row>
    <row r="41" spans="2:56" ht="14">
      <c r="B41" s="305" t="str">
        <f>'C-1 On-Site WaterC'' Baseline'!AP39</f>
        <v/>
      </c>
      <c r="C41" s="295" t="str">
        <f>IF(B41="","",VLOOKUP($B41,'C-1 On-Site WaterC'' Baseline'!$C$9:$R$257,2,FALSE))</f>
        <v/>
      </c>
      <c r="D41" s="295" t="str">
        <f>IF(C41="","",VLOOKUP($B41,'C-1 On-Site WaterC'' Baseline'!$C$9:$R$257,3,FALSE))</f>
        <v/>
      </c>
      <c r="E41" s="295" t="str">
        <f>IF(D41="","",VLOOKUP($B41,'C-1 On-Site WaterC'' Baseline'!$C$9:$R$257,4,FALSE))</f>
        <v/>
      </c>
      <c r="F41" s="295" t="str">
        <f>IF(E41="","",VLOOKUP($B41,'C-1 On-Site WaterC'' Baseline'!$C$9:$R$257,5,FALSE))</f>
        <v/>
      </c>
      <c r="G41" s="295" t="str">
        <f>IF(F41="","",VLOOKUP($B41,'C-1 On-Site WaterC'' Baseline'!$C$9:$R$257,6,FALSE))</f>
        <v/>
      </c>
      <c r="H41" s="295" t="str">
        <f>IF(G41="","",VLOOKUP($B41,'C-1 On-Site WaterC'' Baseline'!$C$9:$R$257,7,FALSE))</f>
        <v/>
      </c>
      <c r="I41" s="295" t="str">
        <f>IF(H41="","",VLOOKUP($B41,'C-1 On-Site WaterC'' Baseline'!$C$9:$R$257,8,FALSE))</f>
        <v/>
      </c>
      <c r="J41" s="295" t="str">
        <f>IF(I41="","",VLOOKUP($B41,'C-1 On-Site WaterC'' Baseline'!$C$9:$R$257,9,FALSE))</f>
        <v/>
      </c>
      <c r="K41" s="295" t="str">
        <f>IF(J41="","",VLOOKUP($B41,'C-1 On-Site WaterC'' Baseline'!$C$9:$R$257,10,FALSE))</f>
        <v/>
      </c>
      <c r="L41" s="295" t="str">
        <f>IF(B41="","",VLOOKUP($B41,'C-1 On-Site WaterC'' Baseline'!$C$9:$R$257,15,FALSE))</f>
        <v/>
      </c>
      <c r="M41" s="299" t="str">
        <f>IF(L41="","",VLOOKUP($B41,'C-1 On-Site WaterC'' Baseline'!$C$9:$R$257,16,FALSE))</f>
        <v/>
      </c>
      <c r="N41" s="245"/>
      <c r="O41" s="275" t="str">
        <f t="shared" si="1"/>
        <v/>
      </c>
      <c r="P41" s="276" t="str">
        <f t="shared" si="2"/>
        <v/>
      </c>
      <c r="Q41" s="336" t="str">
        <f>IF(N41="","",VLOOKUP(B41,'C-1 On-Site WaterC'' Baseline'!$C$10:$AC$257,20,FALSE))</f>
        <v/>
      </c>
      <c r="R41" s="275" t="str">
        <f>IF(N41="","",VLOOKUP(N41,'G-7 WaterC'' Data'!$B$2:$G$8,2,FALSE))</f>
        <v/>
      </c>
      <c r="S41" s="276" t="str">
        <f>IFERROR(VLOOKUP(R41,'G-7 WaterC'' Data'!$C$4:$D$8,2,FALSE),"")</f>
        <v/>
      </c>
      <c r="T41" s="101"/>
      <c r="U41" s="276" t="str">
        <f>IFERROR(INDEX('G-7 WaterC'' Data'!$H$4:$L$8,MATCH(N41,'G-7 WaterC'' Data'!$B$4:$B$8,0),MATCH(T41,'G-7 WaterC'' Data'!$H$3:$L$3,0)),"")</f>
        <v/>
      </c>
      <c r="V41" s="101"/>
      <c r="W41" s="283" t="str">
        <f>IF(V41="","",IF(VLOOKUP(V41,'G-7 WaterC'' Data'!$AK$4:$AM$6,2,FALSE)=0,"Spatial Data Missing ⚠",VLOOKUP(V41,'G-7 WaterC'' Data'!$AK$4:$AM$6,2,FALSE)))</f>
        <v/>
      </c>
      <c r="X41" s="276" t="str">
        <f>IF(V41="","",IF(VLOOKUP(V41,'G-7 WaterC'' Data'!$AK$4:$AM$6,3,FALSE)=0,"Spatial Data Missing ⚠",VLOOKUP(V41,'G-7 WaterC'' Data'!$AK$4:$AM$6,3,FALSE)))</f>
        <v/>
      </c>
      <c r="Y41" s="275" t="str">
        <f>IFERROR(IF(OR(LEFT(P41,5)="Error",LEFT(O41,5)="Error"),"Check Data ⚠",IF(F41&lt;S41,'G-7 WaterC'' Data'!$R$3,INDEX('G-7 WaterC'' Data'!$U$5:$Y$9,MATCH(G41,'G-7 WaterC'' Data'!$T$5:$T$9,0),MATCH(T41,'G-7 WaterC'' Data'!$U$4:$Y$4,0)))),"")</f>
        <v/>
      </c>
      <c r="Z41" s="133"/>
      <c r="AA41" s="133"/>
      <c r="AB41" s="283" t="str">
        <f t="shared" si="3"/>
        <v/>
      </c>
      <c r="AC41" s="296" t="str">
        <f t="shared" si="4"/>
        <v/>
      </c>
      <c r="AD41" s="334" t="str">
        <f>IFERROR(IF(AC41="Check Data ⚠","Check Data ⚠",VLOOKUP(AC41,'G-4 Temporal multipliers'!$A$4:$C$37,3,FALSE)),"")</f>
        <v/>
      </c>
      <c r="AE41" s="275" t="str">
        <f>IF(N41="","",VLOOKUP(N41,'G-7 WaterC'' Data'!$B$4:$G$8,5,FALSE))</f>
        <v/>
      </c>
      <c r="AF41" s="283" t="str">
        <f t="shared" si="5"/>
        <v/>
      </c>
      <c r="AG41" s="314" t="str">
        <f t="shared" si="6"/>
        <v/>
      </c>
      <c r="AH41" s="276" t="str">
        <f t="shared" si="0"/>
        <v/>
      </c>
      <c r="AI41" s="105"/>
      <c r="AJ41" s="276" t="str">
        <f>IF(AI41="","",IF(AND(AI41="N/A - Culvert",N41&lt;&gt;"Culvert"),"Not possible ▲",IF(VLOOKUP(AI41,'G-7 WaterC'' Data'!$AA$4:$AB$7,2,FALSE)=0,"Spatial Data Missing ⚠",VLOOKUP(AI41,'G-7 WaterC'' Data'!$AA$4:$AB$7,2,FALSE))))</f>
        <v/>
      </c>
      <c r="AK41" s="106"/>
      <c r="AL41" s="276" t="str">
        <f>IF(AK41="","",IF(AND(AK41="N/A - Culvert",N41&lt;&gt;"Culvert"),"Not possible ▲",IF(VLOOKUP(AK41,'G-7 WaterC'' Data'!$AD$4:$AE$14,2,FALSE)=0,"Spatial Data Missing ⚠",VLOOKUP(AK41,'G-7 WaterC'' Data'!$AD$4:$AE$14,2,FALSE))))</f>
        <v/>
      </c>
      <c r="AM41" s="317" t="str">
        <f t="shared" si="7"/>
        <v/>
      </c>
      <c r="AN41" s="101"/>
      <c r="AO41" s="115"/>
      <c r="AP41" s="104"/>
      <c r="AS41" s="30" t="str">
        <f>IF(B41="","",IF(ISNA(VLOOKUP($B41,'C-1 On-Site WaterC'' Baseline'!$C$8:$AD$257,17,FALSE)),"",(VLOOKUP($B41,'C-1 On-Site WaterC'' Baseline'!$C$8:$AD$257,17,FALSE))))</f>
        <v/>
      </c>
      <c r="AT41" s="30" t="str">
        <f>IF(B41="","",VLOOKUP($B41,'C-1 On-Site WaterC'' Baseline'!$C$9:$Z$257,12,FALSE))</f>
        <v/>
      </c>
      <c r="AU41" s="30" t="str">
        <f>IF(B41="","",VLOOKUP($B41,'C-1 On-Site WaterC'' Baseline'!$C$9:$Z$257,14,FALSE))</f>
        <v/>
      </c>
      <c r="AV41" s="30" t="str">
        <f>IFERROR(INDEX('G-7 WaterC'' Data'!$AZ$3:$AZ$7,MATCH(N41,'G-7 WaterC'' Data'!$AY$3:$AY$7,0)),"")</f>
        <v/>
      </c>
      <c r="AX41" s="30" t="str">
        <f>IF(B41="","",VLOOKUP($B41,'C-1 On-Site WaterC'' Baseline'!$C$9:$Y$257,22,FALSE))</f>
        <v/>
      </c>
      <c r="AY41" s="30" t="str">
        <f t="shared" si="8"/>
        <v/>
      </c>
      <c r="AZ41" s="30" t="str">
        <f>IF(B41="","",VLOOKUP($B41,'C-1 On-Site WaterC'' Baseline'!$C$9:$Y$257,21,FALSE))</f>
        <v/>
      </c>
      <c r="BA41" s="30" t="str">
        <f>IF(B41="","",VLOOKUP($B41,'C-1 On-Site WaterC'' Baseline'!$C$9:$Y$257,19,FALSE))</f>
        <v/>
      </c>
      <c r="BD41" s="30" t="str">
        <f t="shared" si="9"/>
        <v>No</v>
      </c>
    </row>
    <row r="42" spans="2:56" ht="14">
      <c r="B42" s="305" t="str">
        <f>'C-1 On-Site WaterC'' Baseline'!AP40</f>
        <v/>
      </c>
      <c r="C42" s="295" t="str">
        <f>IF(B42="","",VLOOKUP($B42,'C-1 On-Site WaterC'' Baseline'!$C$9:$R$257,2,FALSE))</f>
        <v/>
      </c>
      <c r="D42" s="295" t="str">
        <f>IF(C42="","",VLOOKUP($B42,'C-1 On-Site WaterC'' Baseline'!$C$9:$R$257,3,FALSE))</f>
        <v/>
      </c>
      <c r="E42" s="295" t="str">
        <f>IF(D42="","",VLOOKUP($B42,'C-1 On-Site WaterC'' Baseline'!$C$9:$R$257,4,FALSE))</f>
        <v/>
      </c>
      <c r="F42" s="295" t="str">
        <f>IF(E42="","",VLOOKUP($B42,'C-1 On-Site WaterC'' Baseline'!$C$9:$R$257,5,FALSE))</f>
        <v/>
      </c>
      <c r="G42" s="295" t="str">
        <f>IF(F42="","",VLOOKUP($B42,'C-1 On-Site WaterC'' Baseline'!$C$9:$R$257,6,FALSE))</f>
        <v/>
      </c>
      <c r="H42" s="295" t="str">
        <f>IF(G42="","",VLOOKUP($B42,'C-1 On-Site WaterC'' Baseline'!$C$9:$R$257,7,FALSE))</f>
        <v/>
      </c>
      <c r="I42" s="295" t="str">
        <f>IF(H42="","",VLOOKUP($B42,'C-1 On-Site WaterC'' Baseline'!$C$9:$R$257,8,FALSE))</f>
        <v/>
      </c>
      <c r="J42" s="295" t="str">
        <f>IF(I42="","",VLOOKUP($B42,'C-1 On-Site WaterC'' Baseline'!$C$9:$R$257,9,FALSE))</f>
        <v/>
      </c>
      <c r="K42" s="295" t="str">
        <f>IF(J42="","",VLOOKUP($B42,'C-1 On-Site WaterC'' Baseline'!$C$9:$R$257,10,FALSE))</f>
        <v/>
      </c>
      <c r="L42" s="295" t="str">
        <f>IF(B42="","",VLOOKUP($B42,'C-1 On-Site WaterC'' Baseline'!$C$9:$R$257,15,FALSE))</f>
        <v/>
      </c>
      <c r="M42" s="299" t="str">
        <f>IF(L42="","",VLOOKUP($B42,'C-1 On-Site WaterC'' Baseline'!$C$9:$R$257,16,FALSE))</f>
        <v/>
      </c>
      <c r="N42" s="245"/>
      <c r="O42" s="275" t="str">
        <f t="shared" si="1"/>
        <v/>
      </c>
      <c r="P42" s="276" t="str">
        <f t="shared" si="2"/>
        <v/>
      </c>
      <c r="Q42" s="336" t="str">
        <f>IF(N42="","",VLOOKUP(B42,'C-1 On-Site WaterC'' Baseline'!$C$10:$AC$257,20,FALSE))</f>
        <v/>
      </c>
      <c r="R42" s="275" t="str">
        <f>IF(N42="","",VLOOKUP(N42,'G-7 WaterC'' Data'!$B$2:$G$8,2,FALSE))</f>
        <v/>
      </c>
      <c r="S42" s="276" t="str">
        <f>IFERROR(VLOOKUP(R42,'G-7 WaterC'' Data'!$C$4:$D$8,2,FALSE),"")</f>
        <v/>
      </c>
      <c r="T42" s="101"/>
      <c r="U42" s="276" t="str">
        <f>IFERROR(INDEX('G-7 WaterC'' Data'!$H$4:$L$8,MATCH(N42,'G-7 WaterC'' Data'!$B$4:$B$8,0),MATCH(T42,'G-7 WaterC'' Data'!$H$3:$L$3,0)),"")</f>
        <v/>
      </c>
      <c r="V42" s="101"/>
      <c r="W42" s="283" t="str">
        <f>IF(V42="","",IF(VLOOKUP(V42,'G-7 WaterC'' Data'!$AK$4:$AM$6,2,FALSE)=0,"Spatial Data Missing ⚠",VLOOKUP(V42,'G-7 WaterC'' Data'!$AK$4:$AM$6,2,FALSE)))</f>
        <v/>
      </c>
      <c r="X42" s="276" t="str">
        <f>IF(V42="","",IF(VLOOKUP(V42,'G-7 WaterC'' Data'!$AK$4:$AM$6,3,FALSE)=0,"Spatial Data Missing ⚠",VLOOKUP(V42,'G-7 WaterC'' Data'!$AK$4:$AM$6,3,FALSE)))</f>
        <v/>
      </c>
      <c r="Y42" s="275" t="str">
        <f>IFERROR(IF(OR(LEFT(P42,5)="Error",LEFT(O42,5)="Error"),"Check Data ⚠",IF(F42&lt;S42,'G-7 WaterC'' Data'!$R$3,INDEX('G-7 WaterC'' Data'!$U$5:$Y$9,MATCH(G42,'G-7 WaterC'' Data'!$T$5:$T$9,0),MATCH(T42,'G-7 WaterC'' Data'!$U$4:$Y$4,0)))),"")</f>
        <v/>
      </c>
      <c r="Z42" s="133"/>
      <c r="AA42" s="133"/>
      <c r="AB42" s="283" t="str">
        <f t="shared" si="3"/>
        <v/>
      </c>
      <c r="AC42" s="296" t="str">
        <f t="shared" si="4"/>
        <v/>
      </c>
      <c r="AD42" s="334" t="str">
        <f>IFERROR(IF(AC42="Check Data ⚠","Check Data ⚠",VLOOKUP(AC42,'G-4 Temporal multipliers'!$A$4:$C$37,3,FALSE)),"")</f>
        <v/>
      </c>
      <c r="AE42" s="275" t="str">
        <f>IF(N42="","",VLOOKUP(N42,'G-7 WaterC'' Data'!$B$4:$G$8,5,FALSE))</f>
        <v/>
      </c>
      <c r="AF42" s="283" t="str">
        <f t="shared" si="5"/>
        <v/>
      </c>
      <c r="AG42" s="314" t="str">
        <f t="shared" si="6"/>
        <v/>
      </c>
      <c r="AH42" s="276" t="str">
        <f t="shared" si="0"/>
        <v/>
      </c>
      <c r="AI42" s="105"/>
      <c r="AJ42" s="276" t="str">
        <f>IF(AI42="","",IF(AND(AI42="N/A - Culvert",N42&lt;&gt;"Culvert"),"Not possible ▲",IF(VLOOKUP(AI42,'G-7 WaterC'' Data'!$AA$4:$AB$7,2,FALSE)=0,"Spatial Data Missing ⚠",VLOOKUP(AI42,'G-7 WaterC'' Data'!$AA$4:$AB$7,2,FALSE))))</f>
        <v/>
      </c>
      <c r="AK42" s="106"/>
      <c r="AL42" s="276" t="str">
        <f>IF(AK42="","",IF(AND(AK42="N/A - Culvert",N42&lt;&gt;"Culvert"),"Not possible ▲",IF(VLOOKUP(AK42,'G-7 WaterC'' Data'!$AD$4:$AE$14,2,FALSE)=0,"Spatial Data Missing ⚠",VLOOKUP(AK42,'G-7 WaterC'' Data'!$AD$4:$AE$14,2,FALSE))))</f>
        <v/>
      </c>
      <c r="AM42" s="317" t="str">
        <f t="shared" si="7"/>
        <v/>
      </c>
      <c r="AN42" s="101"/>
      <c r="AO42" s="115"/>
      <c r="AP42" s="104"/>
      <c r="AS42" s="30" t="str">
        <f>IF(B42="","",IF(ISNA(VLOOKUP($B42,'C-1 On-Site WaterC'' Baseline'!$C$8:$AD$257,17,FALSE)),"",(VLOOKUP($B42,'C-1 On-Site WaterC'' Baseline'!$C$8:$AD$257,17,FALSE))))</f>
        <v/>
      </c>
      <c r="AT42" s="30" t="str">
        <f>IF(B42="","",VLOOKUP($B42,'C-1 On-Site WaterC'' Baseline'!$C$9:$Z$257,12,FALSE))</f>
        <v/>
      </c>
      <c r="AU42" s="30" t="str">
        <f>IF(B42="","",VLOOKUP($B42,'C-1 On-Site WaterC'' Baseline'!$C$9:$Z$257,14,FALSE))</f>
        <v/>
      </c>
      <c r="AV42" s="30" t="str">
        <f>IFERROR(INDEX('G-7 WaterC'' Data'!$AZ$3:$AZ$7,MATCH(N42,'G-7 WaterC'' Data'!$AY$3:$AY$7,0)),"")</f>
        <v/>
      </c>
      <c r="AX42" s="30" t="str">
        <f>IF(B42="","",VLOOKUP($B42,'C-1 On-Site WaterC'' Baseline'!$C$9:$Y$257,22,FALSE))</f>
        <v/>
      </c>
      <c r="AY42" s="30" t="str">
        <f t="shared" si="8"/>
        <v/>
      </c>
      <c r="AZ42" s="30" t="str">
        <f>IF(B42="","",VLOOKUP($B42,'C-1 On-Site WaterC'' Baseline'!$C$9:$Y$257,21,FALSE))</f>
        <v/>
      </c>
      <c r="BA42" s="30" t="str">
        <f>IF(B42="","",VLOOKUP($B42,'C-1 On-Site WaterC'' Baseline'!$C$9:$Y$257,19,FALSE))</f>
        <v/>
      </c>
      <c r="BD42" s="30" t="str">
        <f t="shared" si="9"/>
        <v>No</v>
      </c>
    </row>
    <row r="43" spans="2:56" ht="14">
      <c r="B43" s="305" t="str">
        <f>'C-1 On-Site WaterC'' Baseline'!AP41</f>
        <v/>
      </c>
      <c r="C43" s="295" t="str">
        <f>IF(B43="","",VLOOKUP($B43,'C-1 On-Site WaterC'' Baseline'!$C$9:$R$257,2,FALSE))</f>
        <v/>
      </c>
      <c r="D43" s="295" t="str">
        <f>IF(C43="","",VLOOKUP($B43,'C-1 On-Site WaterC'' Baseline'!$C$9:$R$257,3,FALSE))</f>
        <v/>
      </c>
      <c r="E43" s="295" t="str">
        <f>IF(D43="","",VLOOKUP($B43,'C-1 On-Site WaterC'' Baseline'!$C$9:$R$257,4,FALSE))</f>
        <v/>
      </c>
      <c r="F43" s="295" t="str">
        <f>IF(E43="","",VLOOKUP($B43,'C-1 On-Site WaterC'' Baseline'!$C$9:$R$257,5,FALSE))</f>
        <v/>
      </c>
      <c r="G43" s="295" t="str">
        <f>IF(F43="","",VLOOKUP($B43,'C-1 On-Site WaterC'' Baseline'!$C$9:$R$257,6,FALSE))</f>
        <v/>
      </c>
      <c r="H43" s="295" t="str">
        <f>IF(G43="","",VLOOKUP($B43,'C-1 On-Site WaterC'' Baseline'!$C$9:$R$257,7,FALSE))</f>
        <v/>
      </c>
      <c r="I43" s="295" t="str">
        <f>IF(H43="","",VLOOKUP($B43,'C-1 On-Site WaterC'' Baseline'!$C$9:$R$257,8,FALSE))</f>
        <v/>
      </c>
      <c r="J43" s="295" t="str">
        <f>IF(I43="","",VLOOKUP($B43,'C-1 On-Site WaterC'' Baseline'!$C$9:$R$257,9,FALSE))</f>
        <v/>
      </c>
      <c r="K43" s="295" t="str">
        <f>IF(J43="","",VLOOKUP($B43,'C-1 On-Site WaterC'' Baseline'!$C$9:$R$257,10,FALSE))</f>
        <v/>
      </c>
      <c r="L43" s="295" t="str">
        <f>IF(B43="","",VLOOKUP($B43,'C-1 On-Site WaterC'' Baseline'!$C$9:$R$257,15,FALSE))</f>
        <v/>
      </c>
      <c r="M43" s="299" t="str">
        <f>IF(L43="","",VLOOKUP($B43,'C-1 On-Site WaterC'' Baseline'!$C$9:$R$257,16,FALSE))</f>
        <v/>
      </c>
      <c r="N43" s="245"/>
      <c r="O43" s="275" t="str">
        <f t="shared" si="1"/>
        <v/>
      </c>
      <c r="P43" s="276" t="str">
        <f t="shared" si="2"/>
        <v/>
      </c>
      <c r="Q43" s="336" t="str">
        <f>IF(N43="","",VLOOKUP(B43,'C-1 On-Site WaterC'' Baseline'!$C$10:$AC$257,20,FALSE))</f>
        <v/>
      </c>
      <c r="R43" s="275" t="str">
        <f>IF(N43="","",VLOOKUP(N43,'G-7 WaterC'' Data'!$B$2:$G$8,2,FALSE))</f>
        <v/>
      </c>
      <c r="S43" s="276" t="str">
        <f>IFERROR(VLOOKUP(R43,'G-7 WaterC'' Data'!$C$4:$D$8,2,FALSE),"")</f>
        <v/>
      </c>
      <c r="T43" s="101"/>
      <c r="U43" s="276" t="str">
        <f>IFERROR(INDEX('G-7 WaterC'' Data'!$H$4:$L$8,MATCH(N43,'G-7 WaterC'' Data'!$B$4:$B$8,0),MATCH(T43,'G-7 WaterC'' Data'!$H$3:$L$3,0)),"")</f>
        <v/>
      </c>
      <c r="V43" s="101"/>
      <c r="W43" s="283" t="str">
        <f>IF(V43="","",IF(VLOOKUP(V43,'G-7 WaterC'' Data'!$AK$4:$AM$6,2,FALSE)=0,"Spatial Data Missing ⚠",VLOOKUP(V43,'G-7 WaterC'' Data'!$AK$4:$AM$6,2,FALSE)))</f>
        <v/>
      </c>
      <c r="X43" s="276" t="str">
        <f>IF(V43="","",IF(VLOOKUP(V43,'G-7 WaterC'' Data'!$AK$4:$AM$6,3,FALSE)=0,"Spatial Data Missing ⚠",VLOOKUP(V43,'G-7 WaterC'' Data'!$AK$4:$AM$6,3,FALSE)))</f>
        <v/>
      </c>
      <c r="Y43" s="275" t="str">
        <f>IFERROR(IF(OR(LEFT(P43,5)="Error",LEFT(O43,5)="Error"),"Check Data ⚠",IF(F43&lt;S43,'G-7 WaterC'' Data'!$R$3,INDEX('G-7 WaterC'' Data'!$U$5:$Y$9,MATCH(G43,'G-7 WaterC'' Data'!$T$5:$T$9,0),MATCH(T43,'G-7 WaterC'' Data'!$U$4:$Y$4,0)))),"")</f>
        <v/>
      </c>
      <c r="Z43" s="133"/>
      <c r="AA43" s="133"/>
      <c r="AB43" s="283" t="str">
        <f t="shared" si="3"/>
        <v/>
      </c>
      <c r="AC43" s="296" t="str">
        <f t="shared" si="4"/>
        <v/>
      </c>
      <c r="AD43" s="334" t="str">
        <f>IFERROR(IF(AC43="Check Data ⚠","Check Data ⚠",VLOOKUP(AC43,'G-4 Temporal multipliers'!$A$4:$C$37,3,FALSE)),"")</f>
        <v/>
      </c>
      <c r="AE43" s="275" t="str">
        <f>IF(N43="","",VLOOKUP(N43,'G-7 WaterC'' Data'!$B$4:$G$8,5,FALSE))</f>
        <v/>
      </c>
      <c r="AF43" s="283" t="str">
        <f t="shared" si="5"/>
        <v/>
      </c>
      <c r="AG43" s="314" t="str">
        <f t="shared" si="6"/>
        <v/>
      </c>
      <c r="AH43" s="276" t="str">
        <f t="shared" si="0"/>
        <v/>
      </c>
      <c r="AI43" s="105"/>
      <c r="AJ43" s="276" t="str">
        <f>IF(AI43="","",IF(AND(AI43="N/A - Culvert",N43&lt;&gt;"Culvert"),"Not possible ▲",IF(VLOOKUP(AI43,'G-7 WaterC'' Data'!$AA$4:$AB$7,2,FALSE)=0,"Spatial Data Missing ⚠",VLOOKUP(AI43,'G-7 WaterC'' Data'!$AA$4:$AB$7,2,FALSE))))</f>
        <v/>
      </c>
      <c r="AK43" s="106"/>
      <c r="AL43" s="276" t="str">
        <f>IF(AK43="","",IF(AND(AK43="N/A - Culvert",N43&lt;&gt;"Culvert"),"Not possible ▲",IF(VLOOKUP(AK43,'G-7 WaterC'' Data'!$AD$4:$AE$14,2,FALSE)=0,"Spatial Data Missing ⚠",VLOOKUP(AK43,'G-7 WaterC'' Data'!$AD$4:$AE$14,2,FALSE))))</f>
        <v/>
      </c>
      <c r="AM43" s="317" t="str">
        <f t="shared" si="7"/>
        <v/>
      </c>
      <c r="AN43" s="101"/>
      <c r="AO43" s="115"/>
      <c r="AP43" s="104"/>
      <c r="AS43" s="30" t="str">
        <f>IF(B43="","",IF(ISNA(VLOOKUP($B43,'C-1 On-Site WaterC'' Baseline'!$C$8:$AD$257,17,FALSE)),"",(VLOOKUP($B43,'C-1 On-Site WaterC'' Baseline'!$C$8:$AD$257,17,FALSE))))</f>
        <v/>
      </c>
      <c r="AT43" s="30" t="str">
        <f>IF(B43="","",VLOOKUP($B43,'C-1 On-Site WaterC'' Baseline'!$C$9:$Z$257,12,FALSE))</f>
        <v/>
      </c>
      <c r="AU43" s="30" t="str">
        <f>IF(B43="","",VLOOKUP($B43,'C-1 On-Site WaterC'' Baseline'!$C$9:$Z$257,14,FALSE))</f>
        <v/>
      </c>
      <c r="AV43" s="30" t="str">
        <f>IFERROR(INDEX('G-7 WaterC'' Data'!$AZ$3:$AZ$7,MATCH(N43,'G-7 WaterC'' Data'!$AY$3:$AY$7,0)),"")</f>
        <v/>
      </c>
      <c r="AX43" s="30" t="str">
        <f>IF(B43="","",VLOOKUP($B43,'C-1 On-Site WaterC'' Baseline'!$C$9:$Y$257,22,FALSE))</f>
        <v/>
      </c>
      <c r="AY43" s="30" t="str">
        <f t="shared" si="8"/>
        <v/>
      </c>
      <c r="AZ43" s="30" t="str">
        <f>IF(B43="","",VLOOKUP($B43,'C-1 On-Site WaterC'' Baseline'!$C$9:$Y$257,21,FALSE))</f>
        <v/>
      </c>
      <c r="BA43" s="30" t="str">
        <f>IF(B43="","",VLOOKUP($B43,'C-1 On-Site WaterC'' Baseline'!$C$9:$Y$257,19,FALSE))</f>
        <v/>
      </c>
      <c r="BD43" s="30" t="str">
        <f t="shared" si="9"/>
        <v>No</v>
      </c>
    </row>
    <row r="44" spans="2:56" ht="14">
      <c r="B44" s="305" t="str">
        <f>'C-1 On-Site WaterC'' Baseline'!AP42</f>
        <v/>
      </c>
      <c r="C44" s="295" t="str">
        <f>IF(B44="","",VLOOKUP($B44,'C-1 On-Site WaterC'' Baseline'!$C$9:$R$257,2,FALSE))</f>
        <v/>
      </c>
      <c r="D44" s="295" t="str">
        <f>IF(C44="","",VLOOKUP($B44,'C-1 On-Site WaterC'' Baseline'!$C$9:$R$257,3,FALSE))</f>
        <v/>
      </c>
      <c r="E44" s="295" t="str">
        <f>IF(D44="","",VLOOKUP($B44,'C-1 On-Site WaterC'' Baseline'!$C$9:$R$257,4,FALSE))</f>
        <v/>
      </c>
      <c r="F44" s="295" t="str">
        <f>IF(E44="","",VLOOKUP($B44,'C-1 On-Site WaterC'' Baseline'!$C$9:$R$257,5,FALSE))</f>
        <v/>
      </c>
      <c r="G44" s="295" t="str">
        <f>IF(F44="","",VLOOKUP($B44,'C-1 On-Site WaterC'' Baseline'!$C$9:$R$257,6,FALSE))</f>
        <v/>
      </c>
      <c r="H44" s="295" t="str">
        <f>IF(G44="","",VLOOKUP($B44,'C-1 On-Site WaterC'' Baseline'!$C$9:$R$257,7,FALSE))</f>
        <v/>
      </c>
      <c r="I44" s="295" t="str">
        <f>IF(H44="","",VLOOKUP($B44,'C-1 On-Site WaterC'' Baseline'!$C$9:$R$257,8,FALSE))</f>
        <v/>
      </c>
      <c r="J44" s="295" t="str">
        <f>IF(I44="","",VLOOKUP($B44,'C-1 On-Site WaterC'' Baseline'!$C$9:$R$257,9,FALSE))</f>
        <v/>
      </c>
      <c r="K44" s="295" t="str">
        <f>IF(J44="","",VLOOKUP($B44,'C-1 On-Site WaterC'' Baseline'!$C$9:$R$257,10,FALSE))</f>
        <v/>
      </c>
      <c r="L44" s="295" t="str">
        <f>IF(B44="","",VLOOKUP($B44,'C-1 On-Site WaterC'' Baseline'!$C$9:$R$257,15,FALSE))</f>
        <v/>
      </c>
      <c r="M44" s="299" t="str">
        <f>IF(L44="","",VLOOKUP($B44,'C-1 On-Site WaterC'' Baseline'!$C$9:$R$257,16,FALSE))</f>
        <v/>
      </c>
      <c r="N44" s="245"/>
      <c r="O44" s="275" t="str">
        <f t="shared" si="1"/>
        <v/>
      </c>
      <c r="P44" s="276" t="str">
        <f t="shared" si="2"/>
        <v/>
      </c>
      <c r="Q44" s="336" t="str">
        <f>IF(N44="","",VLOOKUP(B44,'C-1 On-Site WaterC'' Baseline'!$C$10:$AC$257,20,FALSE))</f>
        <v/>
      </c>
      <c r="R44" s="275" t="str">
        <f>IF(N44="","",VLOOKUP(N44,'G-7 WaterC'' Data'!$B$2:$G$8,2,FALSE))</f>
        <v/>
      </c>
      <c r="S44" s="276" t="str">
        <f>IFERROR(VLOOKUP(R44,'G-7 WaterC'' Data'!$C$4:$D$8,2,FALSE),"")</f>
        <v/>
      </c>
      <c r="T44" s="101"/>
      <c r="U44" s="276" t="str">
        <f>IFERROR(INDEX('G-7 WaterC'' Data'!$H$4:$L$8,MATCH(N44,'G-7 WaterC'' Data'!$B$4:$B$8,0),MATCH(T44,'G-7 WaterC'' Data'!$H$3:$L$3,0)),"")</f>
        <v/>
      </c>
      <c r="V44" s="101"/>
      <c r="W44" s="283" t="str">
        <f>IF(V44="","",IF(VLOOKUP(V44,'G-7 WaterC'' Data'!$AK$4:$AM$6,2,FALSE)=0,"Spatial Data Missing ⚠",VLOOKUP(V44,'G-7 WaterC'' Data'!$AK$4:$AM$6,2,FALSE)))</f>
        <v/>
      </c>
      <c r="X44" s="276" t="str">
        <f>IF(V44="","",IF(VLOOKUP(V44,'G-7 WaterC'' Data'!$AK$4:$AM$6,3,FALSE)=0,"Spatial Data Missing ⚠",VLOOKUP(V44,'G-7 WaterC'' Data'!$AK$4:$AM$6,3,FALSE)))</f>
        <v/>
      </c>
      <c r="Y44" s="275" t="str">
        <f>IFERROR(IF(OR(LEFT(P44,5)="Error",LEFT(O44,5)="Error"),"Check Data ⚠",IF(F44&lt;S44,'G-7 WaterC'' Data'!$R$3,INDEX('G-7 WaterC'' Data'!$U$5:$Y$9,MATCH(G44,'G-7 WaterC'' Data'!$T$5:$T$9,0),MATCH(T44,'G-7 WaterC'' Data'!$U$4:$Y$4,0)))),"")</f>
        <v/>
      </c>
      <c r="Z44" s="133"/>
      <c r="AA44" s="133"/>
      <c r="AB44" s="283" t="str">
        <f t="shared" si="3"/>
        <v/>
      </c>
      <c r="AC44" s="296" t="str">
        <f t="shared" si="4"/>
        <v/>
      </c>
      <c r="AD44" s="334" t="str">
        <f>IFERROR(IF(AC44="Check Data ⚠","Check Data ⚠",VLOOKUP(AC44,'G-4 Temporal multipliers'!$A$4:$C$37,3,FALSE)),"")</f>
        <v/>
      </c>
      <c r="AE44" s="275" t="str">
        <f>IF(N44="","",VLOOKUP(N44,'G-7 WaterC'' Data'!$B$4:$G$8,5,FALSE))</f>
        <v/>
      </c>
      <c r="AF44" s="283" t="str">
        <f t="shared" si="5"/>
        <v/>
      </c>
      <c r="AG44" s="314" t="str">
        <f t="shared" si="6"/>
        <v/>
      </c>
      <c r="AH44" s="276" t="str">
        <f t="shared" si="0"/>
        <v/>
      </c>
      <c r="AI44" s="105"/>
      <c r="AJ44" s="276" t="str">
        <f>IF(AI44="","",IF(AND(AI44="N/A - Culvert",N44&lt;&gt;"Culvert"),"Not possible ▲",IF(VLOOKUP(AI44,'G-7 WaterC'' Data'!$AA$4:$AB$7,2,FALSE)=0,"Spatial Data Missing ⚠",VLOOKUP(AI44,'G-7 WaterC'' Data'!$AA$4:$AB$7,2,FALSE))))</f>
        <v/>
      </c>
      <c r="AK44" s="106"/>
      <c r="AL44" s="276" t="str">
        <f>IF(AK44="","",IF(AND(AK44="N/A - Culvert",N44&lt;&gt;"Culvert"),"Not possible ▲",IF(VLOOKUP(AK44,'G-7 WaterC'' Data'!$AD$4:$AE$14,2,FALSE)=0,"Spatial Data Missing ⚠",VLOOKUP(AK44,'G-7 WaterC'' Data'!$AD$4:$AE$14,2,FALSE))))</f>
        <v/>
      </c>
      <c r="AM44" s="317" t="str">
        <f t="shared" si="7"/>
        <v/>
      </c>
      <c r="AN44" s="101"/>
      <c r="AO44" s="115"/>
      <c r="AP44" s="104"/>
      <c r="AS44" s="30" t="str">
        <f>IF(B44="","",IF(ISNA(VLOOKUP($B44,'C-1 On-Site WaterC'' Baseline'!$C$8:$AD$257,17,FALSE)),"",(VLOOKUP($B44,'C-1 On-Site WaterC'' Baseline'!$C$8:$AD$257,17,FALSE))))</f>
        <v/>
      </c>
      <c r="AT44" s="30" t="str">
        <f>IF(B44="","",VLOOKUP($B44,'C-1 On-Site WaterC'' Baseline'!$C$9:$Z$257,12,FALSE))</f>
        <v/>
      </c>
      <c r="AU44" s="30" t="str">
        <f>IF(B44="","",VLOOKUP($B44,'C-1 On-Site WaterC'' Baseline'!$C$9:$Z$257,14,FALSE))</f>
        <v/>
      </c>
      <c r="AV44" s="30" t="str">
        <f>IFERROR(INDEX('G-7 WaterC'' Data'!$AZ$3:$AZ$7,MATCH(N44,'G-7 WaterC'' Data'!$AY$3:$AY$7,0)),"")</f>
        <v/>
      </c>
      <c r="AX44" s="30" t="str">
        <f>IF(B44="","",VLOOKUP($B44,'C-1 On-Site WaterC'' Baseline'!$C$9:$Y$257,22,FALSE))</f>
        <v/>
      </c>
      <c r="AY44" s="30" t="str">
        <f t="shared" si="8"/>
        <v/>
      </c>
      <c r="AZ44" s="30" t="str">
        <f>IF(B44="","",VLOOKUP($B44,'C-1 On-Site WaterC'' Baseline'!$C$9:$Y$257,21,FALSE))</f>
        <v/>
      </c>
      <c r="BA44" s="30" t="str">
        <f>IF(B44="","",VLOOKUP($B44,'C-1 On-Site WaterC'' Baseline'!$C$9:$Y$257,19,FALSE))</f>
        <v/>
      </c>
      <c r="BD44" s="30" t="str">
        <f t="shared" si="9"/>
        <v>No</v>
      </c>
    </row>
    <row r="45" spans="2:56" ht="14">
      <c r="B45" s="305" t="str">
        <f>'C-1 On-Site WaterC'' Baseline'!AP43</f>
        <v/>
      </c>
      <c r="C45" s="295" t="str">
        <f>IF(B45="","",VLOOKUP($B45,'C-1 On-Site WaterC'' Baseline'!$C$9:$R$257,2,FALSE))</f>
        <v/>
      </c>
      <c r="D45" s="295" t="str">
        <f>IF(C45="","",VLOOKUP($B45,'C-1 On-Site WaterC'' Baseline'!$C$9:$R$257,3,FALSE))</f>
        <v/>
      </c>
      <c r="E45" s="295" t="str">
        <f>IF(D45="","",VLOOKUP($B45,'C-1 On-Site WaterC'' Baseline'!$C$9:$R$257,4,FALSE))</f>
        <v/>
      </c>
      <c r="F45" s="295" t="str">
        <f>IF(E45="","",VLOOKUP($B45,'C-1 On-Site WaterC'' Baseline'!$C$9:$R$257,5,FALSE))</f>
        <v/>
      </c>
      <c r="G45" s="295" t="str">
        <f>IF(F45="","",VLOOKUP($B45,'C-1 On-Site WaterC'' Baseline'!$C$9:$R$257,6,FALSE))</f>
        <v/>
      </c>
      <c r="H45" s="295" t="str">
        <f>IF(G45="","",VLOOKUP($B45,'C-1 On-Site WaterC'' Baseline'!$C$9:$R$257,7,FALSE))</f>
        <v/>
      </c>
      <c r="I45" s="295" t="str">
        <f>IF(H45="","",VLOOKUP($B45,'C-1 On-Site WaterC'' Baseline'!$C$9:$R$257,8,FALSE))</f>
        <v/>
      </c>
      <c r="J45" s="295" t="str">
        <f>IF(I45="","",VLOOKUP($B45,'C-1 On-Site WaterC'' Baseline'!$C$9:$R$257,9,FALSE))</f>
        <v/>
      </c>
      <c r="K45" s="295" t="str">
        <f>IF(J45="","",VLOOKUP($B45,'C-1 On-Site WaterC'' Baseline'!$C$9:$R$257,10,FALSE))</f>
        <v/>
      </c>
      <c r="L45" s="295" t="str">
        <f>IF(B45="","",VLOOKUP($B45,'C-1 On-Site WaterC'' Baseline'!$C$9:$R$257,15,FALSE))</f>
        <v/>
      </c>
      <c r="M45" s="299" t="str">
        <f>IF(L45="","",VLOOKUP($B45,'C-1 On-Site WaterC'' Baseline'!$C$9:$R$257,16,FALSE))</f>
        <v/>
      </c>
      <c r="N45" s="245"/>
      <c r="O45" s="275" t="str">
        <f t="shared" si="1"/>
        <v/>
      </c>
      <c r="P45" s="276" t="str">
        <f t="shared" si="2"/>
        <v/>
      </c>
      <c r="Q45" s="336" t="str">
        <f>IF(N45="","",VLOOKUP(B45,'C-1 On-Site WaterC'' Baseline'!$C$10:$AC$257,20,FALSE))</f>
        <v/>
      </c>
      <c r="R45" s="275" t="str">
        <f>IF(N45="","",VLOOKUP(N45,'G-7 WaterC'' Data'!$B$2:$G$8,2,FALSE))</f>
        <v/>
      </c>
      <c r="S45" s="276" t="str">
        <f>IFERROR(VLOOKUP(R45,'G-7 WaterC'' Data'!$C$4:$D$8,2,FALSE),"")</f>
        <v/>
      </c>
      <c r="T45" s="101"/>
      <c r="U45" s="276" t="str">
        <f>IFERROR(INDEX('G-7 WaterC'' Data'!$H$4:$L$8,MATCH(N45,'G-7 WaterC'' Data'!$B$4:$B$8,0),MATCH(T45,'G-7 WaterC'' Data'!$H$3:$L$3,0)),"")</f>
        <v/>
      </c>
      <c r="V45" s="101"/>
      <c r="W45" s="283" t="str">
        <f>IF(V45="","",IF(VLOOKUP(V45,'G-7 WaterC'' Data'!$AK$4:$AM$6,2,FALSE)=0,"Spatial Data Missing ⚠",VLOOKUP(V45,'G-7 WaterC'' Data'!$AK$4:$AM$6,2,FALSE)))</f>
        <v/>
      </c>
      <c r="X45" s="276" t="str">
        <f>IF(V45="","",IF(VLOOKUP(V45,'G-7 WaterC'' Data'!$AK$4:$AM$6,3,FALSE)=0,"Spatial Data Missing ⚠",VLOOKUP(V45,'G-7 WaterC'' Data'!$AK$4:$AM$6,3,FALSE)))</f>
        <v/>
      </c>
      <c r="Y45" s="275" t="str">
        <f>IFERROR(IF(OR(LEFT(P45,5)="Error",LEFT(O45,5)="Error"),"Check Data ⚠",IF(F45&lt;S45,'G-7 WaterC'' Data'!$R$3,INDEX('G-7 WaterC'' Data'!$U$5:$Y$9,MATCH(G45,'G-7 WaterC'' Data'!$T$5:$T$9,0),MATCH(T45,'G-7 WaterC'' Data'!$U$4:$Y$4,0)))),"")</f>
        <v/>
      </c>
      <c r="Z45" s="133"/>
      <c r="AA45" s="133"/>
      <c r="AB45" s="283" t="str">
        <f t="shared" si="3"/>
        <v/>
      </c>
      <c r="AC45" s="296" t="str">
        <f t="shared" si="4"/>
        <v/>
      </c>
      <c r="AD45" s="334" t="str">
        <f>IFERROR(IF(AC45="Check Data ⚠","Check Data ⚠",VLOOKUP(AC45,'G-4 Temporal multipliers'!$A$4:$C$37,3,FALSE)),"")</f>
        <v/>
      </c>
      <c r="AE45" s="275" t="str">
        <f>IF(N45="","",VLOOKUP(N45,'G-7 WaterC'' Data'!$B$4:$G$8,5,FALSE))</f>
        <v/>
      </c>
      <c r="AF45" s="283" t="str">
        <f t="shared" si="5"/>
        <v/>
      </c>
      <c r="AG45" s="314" t="str">
        <f t="shared" si="6"/>
        <v/>
      </c>
      <c r="AH45" s="276" t="str">
        <f t="shared" si="0"/>
        <v/>
      </c>
      <c r="AI45" s="105"/>
      <c r="AJ45" s="276" t="str">
        <f>IF(AI45="","",IF(AND(AI45="N/A - Culvert",N45&lt;&gt;"Culvert"),"Not possible ▲",IF(VLOOKUP(AI45,'G-7 WaterC'' Data'!$AA$4:$AB$7,2,FALSE)=0,"Spatial Data Missing ⚠",VLOOKUP(AI45,'G-7 WaterC'' Data'!$AA$4:$AB$7,2,FALSE))))</f>
        <v/>
      </c>
      <c r="AK45" s="106"/>
      <c r="AL45" s="276" t="str">
        <f>IF(AK45="","",IF(AND(AK45="N/A - Culvert",N45&lt;&gt;"Culvert"),"Not possible ▲",IF(VLOOKUP(AK45,'G-7 WaterC'' Data'!$AD$4:$AE$14,2,FALSE)=0,"Spatial Data Missing ⚠",VLOOKUP(AK45,'G-7 WaterC'' Data'!$AD$4:$AE$14,2,FALSE))))</f>
        <v/>
      </c>
      <c r="AM45" s="317" t="str">
        <f t="shared" si="7"/>
        <v/>
      </c>
      <c r="AN45" s="101"/>
      <c r="AO45" s="115"/>
      <c r="AP45" s="104"/>
      <c r="AS45" s="30" t="str">
        <f>IF(B45="","",IF(ISNA(VLOOKUP($B45,'C-1 On-Site WaterC'' Baseline'!$C$8:$AD$257,17,FALSE)),"",(VLOOKUP($B45,'C-1 On-Site WaterC'' Baseline'!$C$8:$AD$257,17,FALSE))))</f>
        <v/>
      </c>
      <c r="AT45" s="30" t="str">
        <f>IF(B45="","",VLOOKUP($B45,'C-1 On-Site WaterC'' Baseline'!$C$9:$Z$257,12,FALSE))</f>
        <v/>
      </c>
      <c r="AU45" s="30" t="str">
        <f>IF(B45="","",VLOOKUP($B45,'C-1 On-Site WaterC'' Baseline'!$C$9:$Z$257,14,FALSE))</f>
        <v/>
      </c>
      <c r="AV45" s="30" t="str">
        <f>IFERROR(INDEX('G-7 WaterC'' Data'!$AZ$3:$AZ$7,MATCH(N45,'G-7 WaterC'' Data'!$AY$3:$AY$7,0)),"")</f>
        <v/>
      </c>
      <c r="AX45" s="30" t="str">
        <f>IF(B45="","",VLOOKUP($B45,'C-1 On-Site WaterC'' Baseline'!$C$9:$Y$257,22,FALSE))</f>
        <v/>
      </c>
      <c r="AY45" s="30" t="str">
        <f t="shared" si="8"/>
        <v/>
      </c>
      <c r="AZ45" s="30" t="str">
        <f>IF(B45="","",VLOOKUP($B45,'C-1 On-Site WaterC'' Baseline'!$C$9:$Y$257,21,FALSE))</f>
        <v/>
      </c>
      <c r="BA45" s="30" t="str">
        <f>IF(B45="","",VLOOKUP($B45,'C-1 On-Site WaterC'' Baseline'!$C$9:$Y$257,19,FALSE))</f>
        <v/>
      </c>
      <c r="BD45" s="30" t="str">
        <f t="shared" si="9"/>
        <v>No</v>
      </c>
    </row>
    <row r="46" spans="2:56" ht="14">
      <c r="B46" s="305" t="str">
        <f>'C-1 On-Site WaterC'' Baseline'!AP44</f>
        <v/>
      </c>
      <c r="C46" s="295" t="str">
        <f>IF(B46="","",VLOOKUP($B46,'C-1 On-Site WaterC'' Baseline'!$C$9:$R$257,2,FALSE))</f>
        <v/>
      </c>
      <c r="D46" s="295" t="str">
        <f>IF(C46="","",VLOOKUP($B46,'C-1 On-Site WaterC'' Baseline'!$C$9:$R$257,3,FALSE))</f>
        <v/>
      </c>
      <c r="E46" s="295" t="str">
        <f>IF(D46="","",VLOOKUP($B46,'C-1 On-Site WaterC'' Baseline'!$C$9:$R$257,4,FALSE))</f>
        <v/>
      </c>
      <c r="F46" s="295" t="str">
        <f>IF(E46="","",VLOOKUP($B46,'C-1 On-Site WaterC'' Baseline'!$C$9:$R$257,5,FALSE))</f>
        <v/>
      </c>
      <c r="G46" s="295" t="str">
        <f>IF(F46="","",VLOOKUP($B46,'C-1 On-Site WaterC'' Baseline'!$C$9:$R$257,6,FALSE))</f>
        <v/>
      </c>
      <c r="H46" s="295" t="str">
        <f>IF(G46="","",VLOOKUP($B46,'C-1 On-Site WaterC'' Baseline'!$C$9:$R$257,7,FALSE))</f>
        <v/>
      </c>
      <c r="I46" s="295" t="str">
        <f>IF(H46="","",VLOOKUP($B46,'C-1 On-Site WaterC'' Baseline'!$C$9:$R$257,8,FALSE))</f>
        <v/>
      </c>
      <c r="J46" s="295" t="str">
        <f>IF(I46="","",VLOOKUP($B46,'C-1 On-Site WaterC'' Baseline'!$C$9:$R$257,9,FALSE))</f>
        <v/>
      </c>
      <c r="K46" s="295" t="str">
        <f>IF(J46="","",VLOOKUP($B46,'C-1 On-Site WaterC'' Baseline'!$C$9:$R$257,10,FALSE))</f>
        <v/>
      </c>
      <c r="L46" s="295" t="str">
        <f>IF(B46="","",VLOOKUP($B46,'C-1 On-Site WaterC'' Baseline'!$C$9:$R$257,15,FALSE))</f>
        <v/>
      </c>
      <c r="M46" s="299" t="str">
        <f>IF(L46="","",VLOOKUP($B46,'C-1 On-Site WaterC'' Baseline'!$C$9:$R$257,16,FALSE))</f>
        <v/>
      </c>
      <c r="N46" s="245"/>
      <c r="O46" s="275" t="str">
        <f t="shared" si="1"/>
        <v/>
      </c>
      <c r="P46" s="276" t="str">
        <f t="shared" si="2"/>
        <v/>
      </c>
      <c r="Q46" s="336" t="str">
        <f>IF(N46="","",VLOOKUP(B46,'C-1 On-Site WaterC'' Baseline'!$C$10:$AC$257,20,FALSE))</f>
        <v/>
      </c>
      <c r="R46" s="275" t="str">
        <f>IF(N46="","",VLOOKUP(N46,'G-7 WaterC'' Data'!$B$2:$G$8,2,FALSE))</f>
        <v/>
      </c>
      <c r="S46" s="276" t="str">
        <f>IFERROR(VLOOKUP(R46,'G-7 WaterC'' Data'!$C$4:$D$8,2,FALSE),"")</f>
        <v/>
      </c>
      <c r="T46" s="101"/>
      <c r="U46" s="276" t="str">
        <f>IFERROR(INDEX('G-7 WaterC'' Data'!$H$4:$L$8,MATCH(N46,'G-7 WaterC'' Data'!$B$4:$B$8,0),MATCH(T46,'G-7 WaterC'' Data'!$H$3:$L$3,0)),"")</f>
        <v/>
      </c>
      <c r="V46" s="101"/>
      <c r="W46" s="283" t="str">
        <f>IF(V46="","",IF(VLOOKUP(V46,'G-7 WaterC'' Data'!$AK$4:$AM$6,2,FALSE)=0,"Spatial Data Missing ⚠",VLOOKUP(V46,'G-7 WaterC'' Data'!$AK$4:$AM$6,2,FALSE)))</f>
        <v/>
      </c>
      <c r="X46" s="276" t="str">
        <f>IF(V46="","",IF(VLOOKUP(V46,'G-7 WaterC'' Data'!$AK$4:$AM$6,3,FALSE)=0,"Spatial Data Missing ⚠",VLOOKUP(V46,'G-7 WaterC'' Data'!$AK$4:$AM$6,3,FALSE)))</f>
        <v/>
      </c>
      <c r="Y46" s="275" t="str">
        <f>IFERROR(IF(OR(LEFT(P46,5)="Error",LEFT(O46,5)="Error"),"Check Data ⚠",IF(F46&lt;S46,'G-7 WaterC'' Data'!$R$3,INDEX('G-7 WaterC'' Data'!$U$5:$Y$9,MATCH(G46,'G-7 WaterC'' Data'!$T$5:$T$9,0),MATCH(T46,'G-7 WaterC'' Data'!$U$4:$Y$4,0)))),"")</f>
        <v/>
      </c>
      <c r="Z46" s="133"/>
      <c r="AA46" s="133"/>
      <c r="AB46" s="283" t="str">
        <f t="shared" si="3"/>
        <v/>
      </c>
      <c r="AC46" s="296" t="str">
        <f t="shared" si="4"/>
        <v/>
      </c>
      <c r="AD46" s="334" t="str">
        <f>IFERROR(IF(AC46="Check Data ⚠","Check Data ⚠",VLOOKUP(AC46,'G-4 Temporal multipliers'!$A$4:$C$37,3,FALSE)),"")</f>
        <v/>
      </c>
      <c r="AE46" s="275" t="str">
        <f>IF(N46="","",VLOOKUP(N46,'G-7 WaterC'' Data'!$B$4:$G$8,5,FALSE))</f>
        <v/>
      </c>
      <c r="AF46" s="283" t="str">
        <f t="shared" si="5"/>
        <v/>
      </c>
      <c r="AG46" s="314" t="str">
        <f t="shared" si="6"/>
        <v/>
      </c>
      <c r="AH46" s="276" t="str">
        <f t="shared" si="0"/>
        <v/>
      </c>
      <c r="AI46" s="105"/>
      <c r="AJ46" s="276" t="str">
        <f>IF(AI46="","",IF(AND(AI46="N/A - Culvert",N46&lt;&gt;"Culvert"),"Not possible ▲",IF(VLOOKUP(AI46,'G-7 WaterC'' Data'!$AA$4:$AB$7,2,FALSE)=0,"Spatial Data Missing ⚠",VLOOKUP(AI46,'G-7 WaterC'' Data'!$AA$4:$AB$7,2,FALSE))))</f>
        <v/>
      </c>
      <c r="AK46" s="106"/>
      <c r="AL46" s="276" t="str">
        <f>IF(AK46="","",IF(AND(AK46="N/A - Culvert",N46&lt;&gt;"Culvert"),"Not possible ▲",IF(VLOOKUP(AK46,'G-7 WaterC'' Data'!$AD$4:$AE$14,2,FALSE)=0,"Spatial Data Missing ⚠",VLOOKUP(AK46,'G-7 WaterC'' Data'!$AD$4:$AE$14,2,FALSE))))</f>
        <v/>
      </c>
      <c r="AM46" s="317" t="str">
        <f t="shared" si="7"/>
        <v/>
      </c>
      <c r="AN46" s="101"/>
      <c r="AO46" s="115"/>
      <c r="AP46" s="104"/>
      <c r="AS46" s="30" t="str">
        <f>IF(B46="","",IF(ISNA(VLOOKUP($B46,'C-1 On-Site WaterC'' Baseline'!$C$8:$AD$257,17,FALSE)),"",(VLOOKUP($B46,'C-1 On-Site WaterC'' Baseline'!$C$8:$AD$257,17,FALSE))))</f>
        <v/>
      </c>
      <c r="AT46" s="30" t="str">
        <f>IF(B46="","",VLOOKUP($B46,'C-1 On-Site WaterC'' Baseline'!$C$9:$Z$257,12,FALSE))</f>
        <v/>
      </c>
      <c r="AU46" s="30" t="str">
        <f>IF(B46="","",VLOOKUP($B46,'C-1 On-Site WaterC'' Baseline'!$C$9:$Z$257,14,FALSE))</f>
        <v/>
      </c>
      <c r="AV46" s="30" t="str">
        <f>IFERROR(INDEX('G-7 WaterC'' Data'!$AZ$3:$AZ$7,MATCH(N46,'G-7 WaterC'' Data'!$AY$3:$AY$7,0)),"")</f>
        <v/>
      </c>
      <c r="AX46" s="30" t="str">
        <f>IF(B46="","",VLOOKUP($B46,'C-1 On-Site WaterC'' Baseline'!$C$9:$Y$257,22,FALSE))</f>
        <v/>
      </c>
      <c r="AY46" s="30" t="str">
        <f t="shared" si="8"/>
        <v/>
      </c>
      <c r="AZ46" s="30" t="str">
        <f>IF(B46="","",VLOOKUP($B46,'C-1 On-Site WaterC'' Baseline'!$C$9:$Y$257,21,FALSE))</f>
        <v/>
      </c>
      <c r="BA46" s="30" t="str">
        <f>IF(B46="","",VLOOKUP($B46,'C-1 On-Site WaterC'' Baseline'!$C$9:$Y$257,19,FALSE))</f>
        <v/>
      </c>
      <c r="BD46" s="30" t="str">
        <f t="shared" si="9"/>
        <v>No</v>
      </c>
    </row>
    <row r="47" spans="2:56" ht="14">
      <c r="B47" s="305" t="str">
        <f>'C-1 On-Site WaterC'' Baseline'!AP45</f>
        <v/>
      </c>
      <c r="C47" s="295" t="str">
        <f>IF(B47="","",VLOOKUP($B47,'C-1 On-Site WaterC'' Baseline'!$C$9:$R$257,2,FALSE))</f>
        <v/>
      </c>
      <c r="D47" s="295" t="str">
        <f>IF(C47="","",VLOOKUP($B47,'C-1 On-Site WaterC'' Baseline'!$C$9:$R$257,3,FALSE))</f>
        <v/>
      </c>
      <c r="E47" s="295" t="str">
        <f>IF(D47="","",VLOOKUP($B47,'C-1 On-Site WaterC'' Baseline'!$C$9:$R$257,4,FALSE))</f>
        <v/>
      </c>
      <c r="F47" s="295" t="str">
        <f>IF(E47="","",VLOOKUP($B47,'C-1 On-Site WaterC'' Baseline'!$C$9:$R$257,5,FALSE))</f>
        <v/>
      </c>
      <c r="G47" s="295" t="str">
        <f>IF(F47="","",VLOOKUP($B47,'C-1 On-Site WaterC'' Baseline'!$C$9:$R$257,6,FALSE))</f>
        <v/>
      </c>
      <c r="H47" s="295" t="str">
        <f>IF(G47="","",VLOOKUP($B47,'C-1 On-Site WaterC'' Baseline'!$C$9:$R$257,7,FALSE))</f>
        <v/>
      </c>
      <c r="I47" s="295" t="str">
        <f>IF(H47="","",VLOOKUP($B47,'C-1 On-Site WaterC'' Baseline'!$C$9:$R$257,8,FALSE))</f>
        <v/>
      </c>
      <c r="J47" s="295" t="str">
        <f>IF(I47="","",VLOOKUP($B47,'C-1 On-Site WaterC'' Baseline'!$C$9:$R$257,9,FALSE))</f>
        <v/>
      </c>
      <c r="K47" s="295" t="str">
        <f>IF(J47="","",VLOOKUP($B47,'C-1 On-Site WaterC'' Baseline'!$C$9:$R$257,10,FALSE))</f>
        <v/>
      </c>
      <c r="L47" s="295" t="str">
        <f>IF(B47="","",VLOOKUP($B47,'C-1 On-Site WaterC'' Baseline'!$C$9:$R$257,15,FALSE))</f>
        <v/>
      </c>
      <c r="M47" s="299" t="str">
        <f>IF(L47="","",VLOOKUP($B47,'C-1 On-Site WaterC'' Baseline'!$C$9:$R$257,16,FALSE))</f>
        <v/>
      </c>
      <c r="N47" s="245"/>
      <c r="O47" s="275" t="str">
        <f t="shared" si="1"/>
        <v/>
      </c>
      <c r="P47" s="276" t="str">
        <f t="shared" si="2"/>
        <v/>
      </c>
      <c r="Q47" s="336" t="str">
        <f>IF(N47="","",VLOOKUP(B47,'C-1 On-Site WaterC'' Baseline'!$C$10:$AC$257,20,FALSE))</f>
        <v/>
      </c>
      <c r="R47" s="275" t="str">
        <f>IF(N47="","",VLOOKUP(N47,'G-7 WaterC'' Data'!$B$2:$G$8,2,FALSE))</f>
        <v/>
      </c>
      <c r="S47" s="276" t="str">
        <f>IFERROR(VLOOKUP(R47,'G-7 WaterC'' Data'!$C$4:$D$8,2,FALSE),"")</f>
        <v/>
      </c>
      <c r="T47" s="101"/>
      <c r="U47" s="276" t="str">
        <f>IFERROR(INDEX('G-7 WaterC'' Data'!$H$4:$L$8,MATCH(N47,'G-7 WaterC'' Data'!$B$4:$B$8,0),MATCH(T47,'G-7 WaterC'' Data'!$H$3:$L$3,0)),"")</f>
        <v/>
      </c>
      <c r="V47" s="101"/>
      <c r="W47" s="283" t="str">
        <f>IF(V47="","",IF(VLOOKUP(V47,'G-7 WaterC'' Data'!$AK$4:$AM$6,2,FALSE)=0,"Spatial Data Missing ⚠",VLOOKUP(V47,'G-7 WaterC'' Data'!$AK$4:$AM$6,2,FALSE)))</f>
        <v/>
      </c>
      <c r="X47" s="276" t="str">
        <f>IF(V47="","",IF(VLOOKUP(V47,'G-7 WaterC'' Data'!$AK$4:$AM$6,3,FALSE)=0,"Spatial Data Missing ⚠",VLOOKUP(V47,'G-7 WaterC'' Data'!$AK$4:$AM$6,3,FALSE)))</f>
        <v/>
      </c>
      <c r="Y47" s="275" t="str">
        <f>IFERROR(IF(OR(LEFT(P47,5)="Error",LEFT(O47,5)="Error"),"Check Data ⚠",IF(F47&lt;S47,'G-7 WaterC'' Data'!$R$3,INDEX('G-7 WaterC'' Data'!$U$5:$Y$9,MATCH(G47,'G-7 WaterC'' Data'!$T$5:$T$9,0),MATCH(T47,'G-7 WaterC'' Data'!$U$4:$Y$4,0)))),"")</f>
        <v/>
      </c>
      <c r="Z47" s="133"/>
      <c r="AA47" s="133"/>
      <c r="AB47" s="283" t="str">
        <f t="shared" si="3"/>
        <v/>
      </c>
      <c r="AC47" s="296" t="str">
        <f t="shared" si="4"/>
        <v/>
      </c>
      <c r="AD47" s="334" t="str">
        <f>IFERROR(IF(AC47="Check Data ⚠","Check Data ⚠",VLOOKUP(AC47,'G-4 Temporal multipliers'!$A$4:$C$37,3,FALSE)),"")</f>
        <v/>
      </c>
      <c r="AE47" s="275" t="str">
        <f>IF(N47="","",VLOOKUP(N47,'G-7 WaterC'' Data'!$B$4:$G$8,5,FALSE))</f>
        <v/>
      </c>
      <c r="AF47" s="283" t="str">
        <f t="shared" si="5"/>
        <v/>
      </c>
      <c r="AG47" s="314" t="str">
        <f t="shared" si="6"/>
        <v/>
      </c>
      <c r="AH47" s="276" t="str">
        <f t="shared" si="0"/>
        <v/>
      </c>
      <c r="AI47" s="105"/>
      <c r="AJ47" s="276" t="str">
        <f>IF(AI47="","",IF(AND(AI47="N/A - Culvert",N47&lt;&gt;"Culvert"),"Not possible ▲",IF(VLOOKUP(AI47,'G-7 WaterC'' Data'!$AA$4:$AB$7,2,FALSE)=0,"Spatial Data Missing ⚠",VLOOKUP(AI47,'G-7 WaterC'' Data'!$AA$4:$AB$7,2,FALSE))))</f>
        <v/>
      </c>
      <c r="AK47" s="106"/>
      <c r="AL47" s="276" t="str">
        <f>IF(AK47="","",IF(AND(AK47="N/A - Culvert",N47&lt;&gt;"Culvert"),"Not possible ▲",IF(VLOOKUP(AK47,'G-7 WaterC'' Data'!$AD$4:$AE$14,2,FALSE)=0,"Spatial Data Missing ⚠",VLOOKUP(AK47,'G-7 WaterC'' Data'!$AD$4:$AE$14,2,FALSE))))</f>
        <v/>
      </c>
      <c r="AM47" s="317" t="str">
        <f t="shared" si="7"/>
        <v/>
      </c>
      <c r="AN47" s="101"/>
      <c r="AO47" s="115"/>
      <c r="AP47" s="104"/>
      <c r="AS47" s="30" t="str">
        <f>IF(B47="","",IF(ISNA(VLOOKUP($B47,'C-1 On-Site WaterC'' Baseline'!$C$8:$AD$257,17,FALSE)),"",(VLOOKUP($B47,'C-1 On-Site WaterC'' Baseline'!$C$8:$AD$257,17,FALSE))))</f>
        <v/>
      </c>
      <c r="AT47" s="30" t="str">
        <f>IF(B47="","",VLOOKUP($B47,'C-1 On-Site WaterC'' Baseline'!$C$9:$Z$257,12,FALSE))</f>
        <v/>
      </c>
      <c r="AU47" s="30" t="str">
        <f>IF(B47="","",VLOOKUP($B47,'C-1 On-Site WaterC'' Baseline'!$C$9:$Z$257,14,FALSE))</f>
        <v/>
      </c>
      <c r="AV47" s="30" t="str">
        <f>IFERROR(INDEX('G-7 WaterC'' Data'!$AZ$3:$AZ$7,MATCH(N47,'G-7 WaterC'' Data'!$AY$3:$AY$7,0)),"")</f>
        <v/>
      </c>
      <c r="AX47" s="30" t="str">
        <f>IF(B47="","",VLOOKUP($B47,'C-1 On-Site WaterC'' Baseline'!$C$9:$Y$257,22,FALSE))</f>
        <v/>
      </c>
      <c r="AY47" s="30" t="str">
        <f t="shared" si="8"/>
        <v/>
      </c>
      <c r="AZ47" s="30" t="str">
        <f>IF(B47="","",VLOOKUP($B47,'C-1 On-Site WaterC'' Baseline'!$C$9:$Y$257,21,FALSE))</f>
        <v/>
      </c>
      <c r="BA47" s="30" t="str">
        <f>IF(B47="","",VLOOKUP($B47,'C-1 On-Site WaterC'' Baseline'!$C$9:$Y$257,19,FALSE))</f>
        <v/>
      </c>
      <c r="BD47" s="30" t="str">
        <f t="shared" si="9"/>
        <v>No</v>
      </c>
    </row>
    <row r="48" spans="2:56" ht="14">
      <c r="B48" s="305" t="str">
        <f>'C-1 On-Site WaterC'' Baseline'!AP46</f>
        <v/>
      </c>
      <c r="C48" s="295" t="str">
        <f>IF(B48="","",VLOOKUP($B48,'C-1 On-Site WaterC'' Baseline'!$C$9:$R$257,2,FALSE))</f>
        <v/>
      </c>
      <c r="D48" s="295" t="str">
        <f>IF(C48="","",VLOOKUP($B48,'C-1 On-Site WaterC'' Baseline'!$C$9:$R$257,3,FALSE))</f>
        <v/>
      </c>
      <c r="E48" s="295" t="str">
        <f>IF(D48="","",VLOOKUP($B48,'C-1 On-Site WaterC'' Baseline'!$C$9:$R$257,4,FALSE))</f>
        <v/>
      </c>
      <c r="F48" s="295" t="str">
        <f>IF(E48="","",VLOOKUP($B48,'C-1 On-Site WaterC'' Baseline'!$C$9:$R$257,5,FALSE))</f>
        <v/>
      </c>
      <c r="G48" s="295" t="str">
        <f>IF(F48="","",VLOOKUP($B48,'C-1 On-Site WaterC'' Baseline'!$C$9:$R$257,6,FALSE))</f>
        <v/>
      </c>
      <c r="H48" s="295" t="str">
        <f>IF(G48="","",VLOOKUP($B48,'C-1 On-Site WaterC'' Baseline'!$C$9:$R$257,7,FALSE))</f>
        <v/>
      </c>
      <c r="I48" s="295" t="str">
        <f>IF(H48="","",VLOOKUP($B48,'C-1 On-Site WaterC'' Baseline'!$C$9:$R$257,8,FALSE))</f>
        <v/>
      </c>
      <c r="J48" s="295" t="str">
        <f>IF(I48="","",VLOOKUP($B48,'C-1 On-Site WaterC'' Baseline'!$C$9:$R$257,9,FALSE))</f>
        <v/>
      </c>
      <c r="K48" s="295" t="str">
        <f>IF(J48="","",VLOOKUP($B48,'C-1 On-Site WaterC'' Baseline'!$C$9:$R$257,10,FALSE))</f>
        <v/>
      </c>
      <c r="L48" s="295" t="str">
        <f>IF(B48="","",VLOOKUP($B48,'C-1 On-Site WaterC'' Baseline'!$C$9:$R$257,15,FALSE))</f>
        <v/>
      </c>
      <c r="M48" s="299" t="str">
        <f>IF(L48="","",VLOOKUP($B48,'C-1 On-Site WaterC'' Baseline'!$C$9:$R$257,16,FALSE))</f>
        <v/>
      </c>
      <c r="N48" s="245"/>
      <c r="O48" s="275" t="str">
        <f t="shared" si="1"/>
        <v/>
      </c>
      <c r="P48" s="276" t="str">
        <f t="shared" si="2"/>
        <v/>
      </c>
      <c r="Q48" s="336" t="str">
        <f>IF(N48="","",VLOOKUP(B48,'C-1 On-Site WaterC'' Baseline'!$C$10:$AC$257,20,FALSE))</f>
        <v/>
      </c>
      <c r="R48" s="275" t="str">
        <f>IF(N48="","",VLOOKUP(N48,'G-7 WaterC'' Data'!$B$2:$G$8,2,FALSE))</f>
        <v/>
      </c>
      <c r="S48" s="276" t="str">
        <f>IFERROR(VLOOKUP(R48,'G-7 WaterC'' Data'!$C$4:$D$8,2,FALSE),"")</f>
        <v/>
      </c>
      <c r="T48" s="101"/>
      <c r="U48" s="276" t="str">
        <f>IFERROR(INDEX('G-7 WaterC'' Data'!$H$4:$L$8,MATCH(N48,'G-7 WaterC'' Data'!$B$4:$B$8,0),MATCH(T48,'G-7 WaterC'' Data'!$H$3:$L$3,0)),"")</f>
        <v/>
      </c>
      <c r="V48" s="101"/>
      <c r="W48" s="283" t="str">
        <f>IF(V48="","",IF(VLOOKUP(V48,'G-7 WaterC'' Data'!$AK$4:$AM$6,2,FALSE)=0,"Spatial Data Missing ⚠",VLOOKUP(V48,'G-7 WaterC'' Data'!$AK$4:$AM$6,2,FALSE)))</f>
        <v/>
      </c>
      <c r="X48" s="276" t="str">
        <f>IF(V48="","",IF(VLOOKUP(V48,'G-7 WaterC'' Data'!$AK$4:$AM$6,3,FALSE)=0,"Spatial Data Missing ⚠",VLOOKUP(V48,'G-7 WaterC'' Data'!$AK$4:$AM$6,3,FALSE)))</f>
        <v/>
      </c>
      <c r="Y48" s="275" t="str">
        <f>IFERROR(IF(OR(LEFT(P48,5)="Error",LEFT(O48,5)="Error"),"Check Data ⚠",IF(F48&lt;S48,'G-7 WaterC'' Data'!$R$3,INDEX('G-7 WaterC'' Data'!$U$5:$Y$9,MATCH(G48,'G-7 WaterC'' Data'!$T$5:$T$9,0),MATCH(T48,'G-7 WaterC'' Data'!$U$4:$Y$4,0)))),"")</f>
        <v/>
      </c>
      <c r="Z48" s="133"/>
      <c r="AA48" s="133"/>
      <c r="AB48" s="283" t="str">
        <f t="shared" si="3"/>
        <v/>
      </c>
      <c r="AC48" s="296" t="str">
        <f t="shared" si="4"/>
        <v/>
      </c>
      <c r="AD48" s="334" t="str">
        <f>IFERROR(IF(AC48="Check Data ⚠","Check Data ⚠",VLOOKUP(AC48,'G-4 Temporal multipliers'!$A$4:$C$37,3,FALSE)),"")</f>
        <v/>
      </c>
      <c r="AE48" s="275" t="str">
        <f>IF(N48="","",VLOOKUP(N48,'G-7 WaterC'' Data'!$B$4:$G$8,5,FALSE))</f>
        <v/>
      </c>
      <c r="AF48" s="283" t="str">
        <f t="shared" si="5"/>
        <v/>
      </c>
      <c r="AG48" s="314" t="str">
        <f t="shared" si="6"/>
        <v/>
      </c>
      <c r="AH48" s="276" t="str">
        <f t="shared" si="0"/>
        <v/>
      </c>
      <c r="AI48" s="105"/>
      <c r="AJ48" s="276" t="str">
        <f>IF(AI48="","",IF(AND(AI48="N/A - Culvert",N48&lt;&gt;"Culvert"),"Not possible ▲",IF(VLOOKUP(AI48,'G-7 WaterC'' Data'!$AA$4:$AB$7,2,FALSE)=0,"Spatial Data Missing ⚠",VLOOKUP(AI48,'G-7 WaterC'' Data'!$AA$4:$AB$7,2,FALSE))))</f>
        <v/>
      </c>
      <c r="AK48" s="106"/>
      <c r="AL48" s="276" t="str">
        <f>IF(AK48="","",IF(AND(AK48="N/A - Culvert",N48&lt;&gt;"Culvert"),"Not possible ▲",IF(VLOOKUP(AK48,'G-7 WaterC'' Data'!$AD$4:$AE$14,2,FALSE)=0,"Spatial Data Missing ⚠",VLOOKUP(AK48,'G-7 WaterC'' Data'!$AD$4:$AE$14,2,FALSE))))</f>
        <v/>
      </c>
      <c r="AM48" s="317" t="str">
        <f t="shared" si="7"/>
        <v/>
      </c>
      <c r="AN48" s="101"/>
      <c r="AO48" s="115"/>
      <c r="AP48" s="104"/>
      <c r="AS48" s="30" t="str">
        <f>IF(B48="","",IF(ISNA(VLOOKUP($B48,'C-1 On-Site WaterC'' Baseline'!$C$8:$AD$257,17,FALSE)),"",(VLOOKUP($B48,'C-1 On-Site WaterC'' Baseline'!$C$8:$AD$257,17,FALSE))))</f>
        <v/>
      </c>
      <c r="AT48" s="30" t="str">
        <f>IF(B48="","",VLOOKUP($B48,'C-1 On-Site WaterC'' Baseline'!$C$9:$Z$257,12,FALSE))</f>
        <v/>
      </c>
      <c r="AU48" s="30" t="str">
        <f>IF(B48="","",VLOOKUP($B48,'C-1 On-Site WaterC'' Baseline'!$C$9:$Z$257,14,FALSE))</f>
        <v/>
      </c>
      <c r="AV48" s="30" t="str">
        <f>IFERROR(INDEX('G-7 WaterC'' Data'!$AZ$3:$AZ$7,MATCH(N48,'G-7 WaterC'' Data'!$AY$3:$AY$7,0)),"")</f>
        <v/>
      </c>
      <c r="AX48" s="30" t="str">
        <f>IF(B48="","",VLOOKUP($B48,'C-1 On-Site WaterC'' Baseline'!$C$9:$Y$257,22,FALSE))</f>
        <v/>
      </c>
      <c r="AY48" s="30" t="str">
        <f t="shared" si="8"/>
        <v/>
      </c>
      <c r="AZ48" s="30" t="str">
        <f>IF(B48="","",VLOOKUP($B48,'C-1 On-Site WaterC'' Baseline'!$C$9:$Y$257,21,FALSE))</f>
        <v/>
      </c>
      <c r="BA48" s="30" t="str">
        <f>IF(B48="","",VLOOKUP($B48,'C-1 On-Site WaterC'' Baseline'!$C$9:$Y$257,19,FALSE))</f>
        <v/>
      </c>
      <c r="BD48" s="30" t="str">
        <f t="shared" si="9"/>
        <v>No</v>
      </c>
    </row>
    <row r="49" spans="2:56" ht="14">
      <c r="B49" s="305" t="str">
        <f>'C-1 On-Site WaterC'' Baseline'!AP47</f>
        <v/>
      </c>
      <c r="C49" s="295" t="str">
        <f>IF(B49="","",VLOOKUP($B49,'C-1 On-Site WaterC'' Baseline'!$C$9:$R$257,2,FALSE))</f>
        <v/>
      </c>
      <c r="D49" s="295" t="str">
        <f>IF(C49="","",VLOOKUP($B49,'C-1 On-Site WaterC'' Baseline'!$C$9:$R$257,3,FALSE))</f>
        <v/>
      </c>
      <c r="E49" s="295" t="str">
        <f>IF(D49="","",VLOOKUP($B49,'C-1 On-Site WaterC'' Baseline'!$C$9:$R$257,4,FALSE))</f>
        <v/>
      </c>
      <c r="F49" s="295" t="str">
        <f>IF(E49="","",VLOOKUP($B49,'C-1 On-Site WaterC'' Baseline'!$C$9:$R$257,5,FALSE))</f>
        <v/>
      </c>
      <c r="G49" s="295" t="str">
        <f>IF(F49="","",VLOOKUP($B49,'C-1 On-Site WaterC'' Baseline'!$C$9:$R$257,6,FALSE))</f>
        <v/>
      </c>
      <c r="H49" s="295" t="str">
        <f>IF(G49="","",VLOOKUP($B49,'C-1 On-Site WaterC'' Baseline'!$C$9:$R$257,7,FALSE))</f>
        <v/>
      </c>
      <c r="I49" s="295" t="str">
        <f>IF(H49="","",VLOOKUP($B49,'C-1 On-Site WaterC'' Baseline'!$C$9:$R$257,8,FALSE))</f>
        <v/>
      </c>
      <c r="J49" s="295" t="str">
        <f>IF(I49="","",VLOOKUP($B49,'C-1 On-Site WaterC'' Baseline'!$C$9:$R$257,9,FALSE))</f>
        <v/>
      </c>
      <c r="K49" s="295" t="str">
        <f>IF(J49="","",VLOOKUP($B49,'C-1 On-Site WaterC'' Baseline'!$C$9:$R$257,10,FALSE))</f>
        <v/>
      </c>
      <c r="L49" s="295" t="str">
        <f>IF(B49="","",VLOOKUP($B49,'C-1 On-Site WaterC'' Baseline'!$C$9:$R$257,15,FALSE))</f>
        <v/>
      </c>
      <c r="M49" s="299" t="str">
        <f>IF(L49="","",VLOOKUP($B49,'C-1 On-Site WaterC'' Baseline'!$C$9:$R$257,16,FALSE))</f>
        <v/>
      </c>
      <c r="N49" s="245"/>
      <c r="O49" s="275" t="str">
        <f t="shared" si="1"/>
        <v/>
      </c>
      <c r="P49" s="276" t="str">
        <f t="shared" si="2"/>
        <v/>
      </c>
      <c r="Q49" s="336" t="str">
        <f>IF(N49="","",VLOOKUP(B49,'C-1 On-Site WaterC'' Baseline'!$C$10:$AC$257,20,FALSE))</f>
        <v/>
      </c>
      <c r="R49" s="275" t="str">
        <f>IF(N49="","",VLOOKUP(N49,'G-7 WaterC'' Data'!$B$2:$G$8,2,FALSE))</f>
        <v/>
      </c>
      <c r="S49" s="276" t="str">
        <f>IFERROR(VLOOKUP(R49,'G-7 WaterC'' Data'!$C$4:$D$8,2,FALSE),"")</f>
        <v/>
      </c>
      <c r="T49" s="101"/>
      <c r="U49" s="276" t="str">
        <f>IFERROR(INDEX('G-7 WaterC'' Data'!$H$4:$L$8,MATCH(N49,'G-7 WaterC'' Data'!$B$4:$B$8,0),MATCH(T49,'G-7 WaterC'' Data'!$H$3:$L$3,0)),"")</f>
        <v/>
      </c>
      <c r="V49" s="101"/>
      <c r="W49" s="283" t="str">
        <f>IF(V49="","",IF(VLOOKUP(V49,'G-7 WaterC'' Data'!$AK$4:$AM$6,2,FALSE)=0,"Spatial Data Missing ⚠",VLOOKUP(V49,'G-7 WaterC'' Data'!$AK$4:$AM$6,2,FALSE)))</f>
        <v/>
      </c>
      <c r="X49" s="276" t="str">
        <f>IF(V49="","",IF(VLOOKUP(V49,'G-7 WaterC'' Data'!$AK$4:$AM$6,3,FALSE)=0,"Spatial Data Missing ⚠",VLOOKUP(V49,'G-7 WaterC'' Data'!$AK$4:$AM$6,3,FALSE)))</f>
        <v/>
      </c>
      <c r="Y49" s="275" t="str">
        <f>IFERROR(IF(OR(LEFT(P49,5)="Error",LEFT(O49,5)="Error"),"Check Data ⚠",IF(F49&lt;S49,'G-7 WaterC'' Data'!$R$3,INDEX('G-7 WaterC'' Data'!$U$5:$Y$9,MATCH(G49,'G-7 WaterC'' Data'!$T$5:$T$9,0),MATCH(T49,'G-7 WaterC'' Data'!$U$4:$Y$4,0)))),"")</f>
        <v/>
      </c>
      <c r="Z49" s="133"/>
      <c r="AA49" s="133"/>
      <c r="AB49" s="283" t="str">
        <f t="shared" si="3"/>
        <v/>
      </c>
      <c r="AC49" s="296" t="str">
        <f t="shared" si="4"/>
        <v/>
      </c>
      <c r="AD49" s="334" t="str">
        <f>IFERROR(IF(AC49="Check Data ⚠","Check Data ⚠",VLOOKUP(AC49,'G-4 Temporal multipliers'!$A$4:$C$37,3,FALSE)),"")</f>
        <v/>
      </c>
      <c r="AE49" s="275" t="str">
        <f>IF(N49="","",VLOOKUP(N49,'G-7 WaterC'' Data'!$B$4:$G$8,5,FALSE))</f>
        <v/>
      </c>
      <c r="AF49" s="283" t="str">
        <f t="shared" si="5"/>
        <v/>
      </c>
      <c r="AG49" s="314" t="str">
        <f t="shared" si="6"/>
        <v/>
      </c>
      <c r="AH49" s="276" t="str">
        <f t="shared" si="0"/>
        <v/>
      </c>
      <c r="AI49" s="105"/>
      <c r="AJ49" s="276" t="str">
        <f>IF(AI49="","",IF(AND(AI49="N/A - Culvert",N49&lt;&gt;"Culvert"),"Not possible ▲",IF(VLOOKUP(AI49,'G-7 WaterC'' Data'!$AA$4:$AB$7,2,FALSE)=0,"Spatial Data Missing ⚠",VLOOKUP(AI49,'G-7 WaterC'' Data'!$AA$4:$AB$7,2,FALSE))))</f>
        <v/>
      </c>
      <c r="AK49" s="106"/>
      <c r="AL49" s="276" t="str">
        <f>IF(AK49="","",IF(AND(AK49="N/A - Culvert",N49&lt;&gt;"Culvert"),"Not possible ▲",IF(VLOOKUP(AK49,'G-7 WaterC'' Data'!$AD$4:$AE$14,2,FALSE)=0,"Spatial Data Missing ⚠",VLOOKUP(AK49,'G-7 WaterC'' Data'!$AD$4:$AE$14,2,FALSE))))</f>
        <v/>
      </c>
      <c r="AM49" s="317" t="str">
        <f t="shared" si="7"/>
        <v/>
      </c>
      <c r="AN49" s="101"/>
      <c r="AO49" s="115"/>
      <c r="AP49" s="104"/>
      <c r="AS49" s="30" t="str">
        <f>IF(B49="","",IF(ISNA(VLOOKUP($B49,'C-1 On-Site WaterC'' Baseline'!$C$8:$AD$257,17,FALSE)),"",(VLOOKUP($B49,'C-1 On-Site WaterC'' Baseline'!$C$8:$AD$257,17,FALSE))))</f>
        <v/>
      </c>
      <c r="AT49" s="30" t="str">
        <f>IF(B49="","",VLOOKUP($B49,'C-1 On-Site WaterC'' Baseline'!$C$9:$Z$257,12,FALSE))</f>
        <v/>
      </c>
      <c r="AU49" s="30" t="str">
        <f>IF(B49="","",VLOOKUP($B49,'C-1 On-Site WaterC'' Baseline'!$C$9:$Z$257,14,FALSE))</f>
        <v/>
      </c>
      <c r="AV49" s="30" t="str">
        <f>IFERROR(INDEX('G-7 WaterC'' Data'!$AZ$3:$AZ$7,MATCH(N49,'G-7 WaterC'' Data'!$AY$3:$AY$7,0)),"")</f>
        <v/>
      </c>
      <c r="AX49" s="30" t="str">
        <f>IF(B49="","",VLOOKUP($B49,'C-1 On-Site WaterC'' Baseline'!$C$9:$Y$257,22,FALSE))</f>
        <v/>
      </c>
      <c r="AY49" s="30" t="str">
        <f t="shared" si="8"/>
        <v/>
      </c>
      <c r="AZ49" s="30" t="str">
        <f>IF(B49="","",VLOOKUP($B49,'C-1 On-Site WaterC'' Baseline'!$C$9:$Y$257,21,FALSE))</f>
        <v/>
      </c>
      <c r="BA49" s="30" t="str">
        <f>IF(B49="","",VLOOKUP($B49,'C-1 On-Site WaterC'' Baseline'!$C$9:$Y$257,19,FALSE))</f>
        <v/>
      </c>
      <c r="BD49" s="30" t="str">
        <f t="shared" si="9"/>
        <v>No</v>
      </c>
    </row>
    <row r="50" spans="2:56" ht="14">
      <c r="B50" s="305" t="str">
        <f>'C-1 On-Site WaterC'' Baseline'!AP48</f>
        <v/>
      </c>
      <c r="C50" s="295" t="str">
        <f>IF(B50="","",VLOOKUP($B50,'C-1 On-Site WaterC'' Baseline'!$C$9:$R$257,2,FALSE))</f>
        <v/>
      </c>
      <c r="D50" s="295" t="str">
        <f>IF(C50="","",VLOOKUP($B50,'C-1 On-Site WaterC'' Baseline'!$C$9:$R$257,3,FALSE))</f>
        <v/>
      </c>
      <c r="E50" s="295" t="str">
        <f>IF(D50="","",VLOOKUP($B50,'C-1 On-Site WaterC'' Baseline'!$C$9:$R$257,4,FALSE))</f>
        <v/>
      </c>
      <c r="F50" s="295" t="str">
        <f>IF(E50="","",VLOOKUP($B50,'C-1 On-Site WaterC'' Baseline'!$C$9:$R$257,5,FALSE))</f>
        <v/>
      </c>
      <c r="G50" s="295" t="str">
        <f>IF(F50="","",VLOOKUP($B50,'C-1 On-Site WaterC'' Baseline'!$C$9:$R$257,6,FALSE))</f>
        <v/>
      </c>
      <c r="H50" s="295" t="str">
        <f>IF(G50="","",VLOOKUP($B50,'C-1 On-Site WaterC'' Baseline'!$C$9:$R$257,7,FALSE))</f>
        <v/>
      </c>
      <c r="I50" s="295" t="str">
        <f>IF(H50="","",VLOOKUP($B50,'C-1 On-Site WaterC'' Baseline'!$C$9:$R$257,8,FALSE))</f>
        <v/>
      </c>
      <c r="J50" s="295" t="str">
        <f>IF(I50="","",VLOOKUP($B50,'C-1 On-Site WaterC'' Baseline'!$C$9:$R$257,9,FALSE))</f>
        <v/>
      </c>
      <c r="K50" s="295" t="str">
        <f>IF(J50="","",VLOOKUP($B50,'C-1 On-Site WaterC'' Baseline'!$C$9:$R$257,10,FALSE))</f>
        <v/>
      </c>
      <c r="L50" s="295" t="str">
        <f>IF(B50="","",VLOOKUP($B50,'C-1 On-Site WaterC'' Baseline'!$C$9:$R$257,15,FALSE))</f>
        <v/>
      </c>
      <c r="M50" s="299" t="str">
        <f>IF(L50="","",VLOOKUP($B50,'C-1 On-Site WaterC'' Baseline'!$C$9:$R$257,16,FALSE))</f>
        <v/>
      </c>
      <c r="N50" s="245"/>
      <c r="O50" s="275" t="str">
        <f t="shared" si="1"/>
        <v/>
      </c>
      <c r="P50" s="276" t="str">
        <f t="shared" si="2"/>
        <v/>
      </c>
      <c r="Q50" s="336" t="str">
        <f>IF(N50="","",VLOOKUP(B50,'C-1 On-Site WaterC'' Baseline'!$C$10:$AC$257,20,FALSE))</f>
        <v/>
      </c>
      <c r="R50" s="275" t="str">
        <f>IF(N50="","",VLOOKUP(N50,'G-7 WaterC'' Data'!$B$2:$G$8,2,FALSE))</f>
        <v/>
      </c>
      <c r="S50" s="276" t="str">
        <f>IFERROR(VLOOKUP(R50,'G-7 WaterC'' Data'!$C$4:$D$8,2,FALSE),"")</f>
        <v/>
      </c>
      <c r="T50" s="101"/>
      <c r="U50" s="276" t="str">
        <f>IFERROR(INDEX('G-7 WaterC'' Data'!$H$4:$L$8,MATCH(N50,'G-7 WaterC'' Data'!$B$4:$B$8,0),MATCH(T50,'G-7 WaterC'' Data'!$H$3:$L$3,0)),"")</f>
        <v/>
      </c>
      <c r="V50" s="101"/>
      <c r="W50" s="283" t="str">
        <f>IF(V50="","",IF(VLOOKUP(V50,'G-7 WaterC'' Data'!$AK$4:$AM$6,2,FALSE)=0,"Spatial Data Missing ⚠",VLOOKUP(V50,'G-7 WaterC'' Data'!$AK$4:$AM$6,2,FALSE)))</f>
        <v/>
      </c>
      <c r="X50" s="276" t="str">
        <f>IF(V50="","",IF(VLOOKUP(V50,'G-7 WaterC'' Data'!$AK$4:$AM$6,3,FALSE)=0,"Spatial Data Missing ⚠",VLOOKUP(V50,'G-7 WaterC'' Data'!$AK$4:$AM$6,3,FALSE)))</f>
        <v/>
      </c>
      <c r="Y50" s="275" t="str">
        <f>IFERROR(IF(OR(LEFT(P50,5)="Error",LEFT(O50,5)="Error"),"Check Data ⚠",IF(F50&lt;S50,'G-7 WaterC'' Data'!$R$3,INDEX('G-7 WaterC'' Data'!$U$5:$Y$9,MATCH(G50,'G-7 WaterC'' Data'!$T$5:$T$9,0),MATCH(T50,'G-7 WaterC'' Data'!$U$4:$Y$4,0)))),"")</f>
        <v/>
      </c>
      <c r="Z50" s="133"/>
      <c r="AA50" s="133"/>
      <c r="AB50" s="283" t="str">
        <f t="shared" si="3"/>
        <v/>
      </c>
      <c r="AC50" s="296" t="str">
        <f t="shared" si="4"/>
        <v/>
      </c>
      <c r="AD50" s="334" t="str">
        <f>IFERROR(IF(AC50="Check Data ⚠","Check Data ⚠",VLOOKUP(AC50,'G-4 Temporal multipliers'!$A$4:$C$37,3,FALSE)),"")</f>
        <v/>
      </c>
      <c r="AE50" s="275" t="str">
        <f>IF(N50="","",VLOOKUP(N50,'G-7 WaterC'' Data'!$B$4:$G$8,5,FALSE))</f>
        <v/>
      </c>
      <c r="AF50" s="283" t="str">
        <f t="shared" si="5"/>
        <v/>
      </c>
      <c r="AG50" s="314" t="str">
        <f t="shared" si="6"/>
        <v/>
      </c>
      <c r="AH50" s="276" t="str">
        <f t="shared" si="0"/>
        <v/>
      </c>
      <c r="AI50" s="105"/>
      <c r="AJ50" s="276" t="str">
        <f>IF(AI50="","",IF(AND(AI50="N/A - Culvert",N50&lt;&gt;"Culvert"),"Not possible ▲",IF(VLOOKUP(AI50,'G-7 WaterC'' Data'!$AA$4:$AB$7,2,FALSE)=0,"Spatial Data Missing ⚠",VLOOKUP(AI50,'G-7 WaterC'' Data'!$AA$4:$AB$7,2,FALSE))))</f>
        <v/>
      </c>
      <c r="AK50" s="106"/>
      <c r="AL50" s="276" t="str">
        <f>IF(AK50="","",IF(AND(AK50="N/A - Culvert",N50&lt;&gt;"Culvert"),"Not possible ▲",IF(VLOOKUP(AK50,'G-7 WaterC'' Data'!$AD$4:$AE$14,2,FALSE)=0,"Spatial Data Missing ⚠",VLOOKUP(AK50,'G-7 WaterC'' Data'!$AD$4:$AE$14,2,FALSE))))</f>
        <v/>
      </c>
      <c r="AM50" s="317" t="str">
        <f t="shared" si="7"/>
        <v/>
      </c>
      <c r="AN50" s="101"/>
      <c r="AO50" s="115"/>
      <c r="AP50" s="104"/>
      <c r="AS50" s="30" t="str">
        <f>IF(B50="","",IF(ISNA(VLOOKUP($B50,'C-1 On-Site WaterC'' Baseline'!$C$8:$AD$257,17,FALSE)),"",(VLOOKUP($B50,'C-1 On-Site WaterC'' Baseline'!$C$8:$AD$257,17,FALSE))))</f>
        <v/>
      </c>
      <c r="AT50" s="30" t="str">
        <f>IF(B50="","",VLOOKUP($B50,'C-1 On-Site WaterC'' Baseline'!$C$9:$Z$257,12,FALSE))</f>
        <v/>
      </c>
      <c r="AU50" s="30" t="str">
        <f>IF(B50="","",VLOOKUP($B50,'C-1 On-Site WaterC'' Baseline'!$C$9:$Z$257,14,FALSE))</f>
        <v/>
      </c>
      <c r="AV50" s="30" t="str">
        <f>IFERROR(INDEX('G-7 WaterC'' Data'!$AZ$3:$AZ$7,MATCH(N50,'G-7 WaterC'' Data'!$AY$3:$AY$7,0)),"")</f>
        <v/>
      </c>
      <c r="AX50" s="30" t="str">
        <f>IF(B50="","",VLOOKUP($B50,'C-1 On-Site WaterC'' Baseline'!$C$9:$Y$257,22,FALSE))</f>
        <v/>
      </c>
      <c r="AY50" s="30" t="str">
        <f t="shared" si="8"/>
        <v/>
      </c>
      <c r="AZ50" s="30" t="str">
        <f>IF(B50="","",VLOOKUP($B50,'C-1 On-Site WaterC'' Baseline'!$C$9:$Y$257,21,FALSE))</f>
        <v/>
      </c>
      <c r="BA50" s="30" t="str">
        <f>IF(B50="","",VLOOKUP($B50,'C-1 On-Site WaterC'' Baseline'!$C$9:$Y$257,19,FALSE))</f>
        <v/>
      </c>
      <c r="BD50" s="30" t="str">
        <f t="shared" si="9"/>
        <v>No</v>
      </c>
    </row>
    <row r="51" spans="2:56" ht="14">
      <c r="B51" s="305" t="str">
        <f>'C-1 On-Site WaterC'' Baseline'!AP49</f>
        <v/>
      </c>
      <c r="C51" s="295" t="str">
        <f>IF(B51="","",VLOOKUP($B51,'C-1 On-Site WaterC'' Baseline'!$C$9:$R$257,2,FALSE))</f>
        <v/>
      </c>
      <c r="D51" s="295" t="str">
        <f>IF(C51="","",VLOOKUP($B51,'C-1 On-Site WaterC'' Baseline'!$C$9:$R$257,3,FALSE))</f>
        <v/>
      </c>
      <c r="E51" s="295" t="str">
        <f>IF(D51="","",VLOOKUP($B51,'C-1 On-Site WaterC'' Baseline'!$C$9:$R$257,4,FALSE))</f>
        <v/>
      </c>
      <c r="F51" s="295" t="str">
        <f>IF(E51="","",VLOOKUP($B51,'C-1 On-Site WaterC'' Baseline'!$C$9:$R$257,5,FALSE))</f>
        <v/>
      </c>
      <c r="G51" s="295" t="str">
        <f>IF(F51="","",VLOOKUP($B51,'C-1 On-Site WaterC'' Baseline'!$C$9:$R$257,6,FALSE))</f>
        <v/>
      </c>
      <c r="H51" s="295" t="str">
        <f>IF(G51="","",VLOOKUP($B51,'C-1 On-Site WaterC'' Baseline'!$C$9:$R$257,7,FALSE))</f>
        <v/>
      </c>
      <c r="I51" s="295" t="str">
        <f>IF(H51="","",VLOOKUP($B51,'C-1 On-Site WaterC'' Baseline'!$C$9:$R$257,8,FALSE))</f>
        <v/>
      </c>
      <c r="J51" s="295" t="str">
        <f>IF(I51="","",VLOOKUP($B51,'C-1 On-Site WaterC'' Baseline'!$C$9:$R$257,9,FALSE))</f>
        <v/>
      </c>
      <c r="K51" s="295" t="str">
        <f>IF(J51="","",VLOOKUP($B51,'C-1 On-Site WaterC'' Baseline'!$C$9:$R$257,10,FALSE))</f>
        <v/>
      </c>
      <c r="L51" s="295" t="str">
        <f>IF(B51="","",VLOOKUP($B51,'C-1 On-Site WaterC'' Baseline'!$C$9:$R$257,15,FALSE))</f>
        <v/>
      </c>
      <c r="M51" s="299" t="str">
        <f>IF(L51="","",VLOOKUP($B51,'C-1 On-Site WaterC'' Baseline'!$C$9:$R$257,16,FALSE))</f>
        <v/>
      </c>
      <c r="N51" s="245"/>
      <c r="O51" s="275" t="str">
        <f t="shared" si="1"/>
        <v/>
      </c>
      <c r="P51" s="276" t="str">
        <f t="shared" si="2"/>
        <v/>
      </c>
      <c r="Q51" s="336" t="str">
        <f>IF(N51="","",VLOOKUP(B51,'C-1 On-Site WaterC'' Baseline'!$C$10:$AC$257,20,FALSE))</f>
        <v/>
      </c>
      <c r="R51" s="275" t="str">
        <f>IF(N51="","",VLOOKUP(N51,'G-7 WaterC'' Data'!$B$2:$G$8,2,FALSE))</f>
        <v/>
      </c>
      <c r="S51" s="276" t="str">
        <f>IFERROR(VLOOKUP(R51,'G-7 WaterC'' Data'!$C$4:$D$8,2,FALSE),"")</f>
        <v/>
      </c>
      <c r="T51" s="101"/>
      <c r="U51" s="276" t="str">
        <f>IFERROR(INDEX('G-7 WaterC'' Data'!$H$4:$L$8,MATCH(N51,'G-7 WaterC'' Data'!$B$4:$B$8,0),MATCH(T51,'G-7 WaterC'' Data'!$H$3:$L$3,0)),"")</f>
        <v/>
      </c>
      <c r="V51" s="101"/>
      <c r="W51" s="283" t="str">
        <f>IF(V51="","",IF(VLOOKUP(V51,'G-7 WaterC'' Data'!$AK$4:$AM$6,2,FALSE)=0,"Spatial Data Missing ⚠",VLOOKUP(V51,'G-7 WaterC'' Data'!$AK$4:$AM$6,2,FALSE)))</f>
        <v/>
      </c>
      <c r="X51" s="276" t="str">
        <f>IF(V51="","",IF(VLOOKUP(V51,'G-7 WaterC'' Data'!$AK$4:$AM$6,3,FALSE)=0,"Spatial Data Missing ⚠",VLOOKUP(V51,'G-7 WaterC'' Data'!$AK$4:$AM$6,3,FALSE)))</f>
        <v/>
      </c>
      <c r="Y51" s="275" t="str">
        <f>IFERROR(IF(OR(LEFT(P51,5)="Error",LEFT(O51,5)="Error"),"Check Data ⚠",IF(F51&lt;S51,'G-7 WaterC'' Data'!$R$3,INDEX('G-7 WaterC'' Data'!$U$5:$Y$9,MATCH(G51,'G-7 WaterC'' Data'!$T$5:$T$9,0),MATCH(T51,'G-7 WaterC'' Data'!$U$4:$Y$4,0)))),"")</f>
        <v/>
      </c>
      <c r="Z51" s="133"/>
      <c r="AA51" s="133"/>
      <c r="AB51" s="283" t="str">
        <f t="shared" si="3"/>
        <v/>
      </c>
      <c r="AC51" s="296" t="str">
        <f t="shared" si="4"/>
        <v/>
      </c>
      <c r="AD51" s="334" t="str">
        <f>IFERROR(IF(AC51="Check Data ⚠","Check Data ⚠",VLOOKUP(AC51,'G-4 Temporal multipliers'!$A$4:$C$37,3,FALSE)),"")</f>
        <v/>
      </c>
      <c r="AE51" s="275" t="str">
        <f>IF(N51="","",VLOOKUP(N51,'G-7 WaterC'' Data'!$B$4:$G$8,5,FALSE))</f>
        <v/>
      </c>
      <c r="AF51" s="283" t="str">
        <f t="shared" si="5"/>
        <v/>
      </c>
      <c r="AG51" s="314" t="str">
        <f t="shared" si="6"/>
        <v/>
      </c>
      <c r="AH51" s="276" t="str">
        <f t="shared" si="0"/>
        <v/>
      </c>
      <c r="AI51" s="105"/>
      <c r="AJ51" s="276" t="str">
        <f>IF(AI51="","",IF(AND(AI51="N/A - Culvert",N51&lt;&gt;"Culvert"),"Not possible ▲",IF(VLOOKUP(AI51,'G-7 WaterC'' Data'!$AA$4:$AB$7,2,FALSE)=0,"Spatial Data Missing ⚠",VLOOKUP(AI51,'G-7 WaterC'' Data'!$AA$4:$AB$7,2,FALSE))))</f>
        <v/>
      </c>
      <c r="AK51" s="106"/>
      <c r="AL51" s="276" t="str">
        <f>IF(AK51="","",IF(AND(AK51="N/A - Culvert",N51&lt;&gt;"Culvert"),"Not possible ▲",IF(VLOOKUP(AK51,'G-7 WaterC'' Data'!$AD$4:$AE$14,2,FALSE)=0,"Spatial Data Missing ⚠",VLOOKUP(AK51,'G-7 WaterC'' Data'!$AD$4:$AE$14,2,FALSE))))</f>
        <v/>
      </c>
      <c r="AM51" s="317" t="str">
        <f t="shared" si="7"/>
        <v/>
      </c>
      <c r="AN51" s="101"/>
      <c r="AO51" s="115"/>
      <c r="AP51" s="104"/>
      <c r="AS51" s="30" t="str">
        <f>IF(B51="","",IF(ISNA(VLOOKUP($B51,'C-1 On-Site WaterC'' Baseline'!$C$8:$AD$257,17,FALSE)),"",(VLOOKUP($B51,'C-1 On-Site WaterC'' Baseline'!$C$8:$AD$257,17,FALSE))))</f>
        <v/>
      </c>
      <c r="AT51" s="30" t="str">
        <f>IF(B51="","",VLOOKUP($B51,'C-1 On-Site WaterC'' Baseline'!$C$9:$Z$257,12,FALSE))</f>
        <v/>
      </c>
      <c r="AU51" s="30" t="str">
        <f>IF(B51="","",VLOOKUP($B51,'C-1 On-Site WaterC'' Baseline'!$C$9:$Z$257,14,FALSE))</f>
        <v/>
      </c>
      <c r="AV51" s="30" t="str">
        <f>IFERROR(INDEX('G-7 WaterC'' Data'!$AZ$3:$AZ$7,MATCH(N51,'G-7 WaterC'' Data'!$AY$3:$AY$7,0)),"")</f>
        <v/>
      </c>
      <c r="AX51" s="30" t="str">
        <f>IF(B51="","",VLOOKUP($B51,'C-1 On-Site WaterC'' Baseline'!$C$9:$Y$257,22,FALSE))</f>
        <v/>
      </c>
      <c r="AY51" s="30" t="str">
        <f t="shared" si="8"/>
        <v/>
      </c>
      <c r="AZ51" s="30" t="str">
        <f>IF(B51="","",VLOOKUP($B51,'C-1 On-Site WaterC'' Baseline'!$C$9:$Y$257,21,FALSE))</f>
        <v/>
      </c>
      <c r="BA51" s="30" t="str">
        <f>IF(B51="","",VLOOKUP($B51,'C-1 On-Site WaterC'' Baseline'!$C$9:$Y$257,19,FALSE))</f>
        <v/>
      </c>
      <c r="BD51" s="30" t="str">
        <f t="shared" si="9"/>
        <v>No</v>
      </c>
    </row>
    <row r="52" spans="2:56" ht="14">
      <c r="B52" s="305" t="str">
        <f>'C-1 On-Site WaterC'' Baseline'!AP50</f>
        <v/>
      </c>
      <c r="C52" s="295" t="str">
        <f>IF(B52="","",VLOOKUP($B52,'C-1 On-Site WaterC'' Baseline'!$C$9:$R$257,2,FALSE))</f>
        <v/>
      </c>
      <c r="D52" s="295" t="str">
        <f>IF(C52="","",VLOOKUP($B52,'C-1 On-Site WaterC'' Baseline'!$C$9:$R$257,3,FALSE))</f>
        <v/>
      </c>
      <c r="E52" s="295" t="str">
        <f>IF(D52="","",VLOOKUP($B52,'C-1 On-Site WaterC'' Baseline'!$C$9:$R$257,4,FALSE))</f>
        <v/>
      </c>
      <c r="F52" s="295" t="str">
        <f>IF(E52="","",VLOOKUP($B52,'C-1 On-Site WaterC'' Baseline'!$C$9:$R$257,5,FALSE))</f>
        <v/>
      </c>
      <c r="G52" s="295" t="str">
        <f>IF(F52="","",VLOOKUP($B52,'C-1 On-Site WaterC'' Baseline'!$C$9:$R$257,6,FALSE))</f>
        <v/>
      </c>
      <c r="H52" s="295" t="str">
        <f>IF(G52="","",VLOOKUP($B52,'C-1 On-Site WaterC'' Baseline'!$C$9:$R$257,7,FALSE))</f>
        <v/>
      </c>
      <c r="I52" s="295" t="str">
        <f>IF(H52="","",VLOOKUP($B52,'C-1 On-Site WaterC'' Baseline'!$C$9:$R$257,8,FALSE))</f>
        <v/>
      </c>
      <c r="J52" s="295" t="str">
        <f>IF(I52="","",VLOOKUP($B52,'C-1 On-Site WaterC'' Baseline'!$C$9:$R$257,9,FALSE))</f>
        <v/>
      </c>
      <c r="K52" s="295" t="str">
        <f>IF(J52="","",VLOOKUP($B52,'C-1 On-Site WaterC'' Baseline'!$C$9:$R$257,10,FALSE))</f>
        <v/>
      </c>
      <c r="L52" s="295" t="str">
        <f>IF(B52="","",VLOOKUP($B52,'C-1 On-Site WaterC'' Baseline'!$C$9:$R$257,15,FALSE))</f>
        <v/>
      </c>
      <c r="M52" s="299" t="str">
        <f>IF(L52="","",VLOOKUP($B52,'C-1 On-Site WaterC'' Baseline'!$C$9:$R$257,16,FALSE))</f>
        <v/>
      </c>
      <c r="N52" s="245"/>
      <c r="O52" s="275" t="str">
        <f t="shared" si="1"/>
        <v/>
      </c>
      <c r="P52" s="276" t="str">
        <f t="shared" si="2"/>
        <v/>
      </c>
      <c r="Q52" s="336" t="str">
        <f>IF(N52="","",VLOOKUP(B52,'C-1 On-Site WaterC'' Baseline'!$C$10:$AC$257,20,FALSE))</f>
        <v/>
      </c>
      <c r="R52" s="275" t="str">
        <f>IF(N52="","",VLOOKUP(N52,'G-7 WaterC'' Data'!$B$2:$G$8,2,FALSE))</f>
        <v/>
      </c>
      <c r="S52" s="276" t="str">
        <f>IFERROR(VLOOKUP(R52,'G-7 WaterC'' Data'!$C$4:$D$8,2,FALSE),"")</f>
        <v/>
      </c>
      <c r="T52" s="101"/>
      <c r="U52" s="276" t="str">
        <f>IFERROR(INDEX('G-7 WaterC'' Data'!$H$4:$L$8,MATCH(N52,'G-7 WaterC'' Data'!$B$4:$B$8,0),MATCH(T52,'G-7 WaterC'' Data'!$H$3:$L$3,0)),"")</f>
        <v/>
      </c>
      <c r="V52" s="101"/>
      <c r="W52" s="283" t="str">
        <f>IF(V52="","",IF(VLOOKUP(V52,'G-7 WaterC'' Data'!$AK$4:$AM$6,2,FALSE)=0,"Spatial Data Missing ⚠",VLOOKUP(V52,'G-7 WaterC'' Data'!$AK$4:$AM$6,2,FALSE)))</f>
        <v/>
      </c>
      <c r="X52" s="276" t="str">
        <f>IF(V52="","",IF(VLOOKUP(V52,'G-7 WaterC'' Data'!$AK$4:$AM$6,3,FALSE)=0,"Spatial Data Missing ⚠",VLOOKUP(V52,'G-7 WaterC'' Data'!$AK$4:$AM$6,3,FALSE)))</f>
        <v/>
      </c>
      <c r="Y52" s="275" t="str">
        <f>IFERROR(IF(OR(LEFT(P52,5)="Error",LEFT(O52,5)="Error"),"Check Data ⚠",IF(F52&lt;S52,'G-7 WaterC'' Data'!$R$3,INDEX('G-7 WaterC'' Data'!$U$5:$Y$9,MATCH(G52,'G-7 WaterC'' Data'!$T$5:$T$9,0),MATCH(T52,'G-7 WaterC'' Data'!$U$4:$Y$4,0)))),"")</f>
        <v/>
      </c>
      <c r="Z52" s="133"/>
      <c r="AA52" s="133"/>
      <c r="AB52" s="283" t="str">
        <f t="shared" si="3"/>
        <v/>
      </c>
      <c r="AC52" s="296" t="str">
        <f t="shared" si="4"/>
        <v/>
      </c>
      <c r="AD52" s="334" t="str">
        <f>IFERROR(IF(AC52="Check Data ⚠","Check Data ⚠",VLOOKUP(AC52,'G-4 Temporal multipliers'!$A$4:$C$37,3,FALSE)),"")</f>
        <v/>
      </c>
      <c r="AE52" s="275" t="str">
        <f>IF(N52="","",VLOOKUP(N52,'G-7 WaterC'' Data'!$B$4:$G$8,5,FALSE))</f>
        <v/>
      </c>
      <c r="AF52" s="283" t="str">
        <f t="shared" si="5"/>
        <v/>
      </c>
      <c r="AG52" s="314" t="str">
        <f t="shared" si="6"/>
        <v/>
      </c>
      <c r="AH52" s="276" t="str">
        <f t="shared" si="0"/>
        <v/>
      </c>
      <c r="AI52" s="105"/>
      <c r="AJ52" s="276" t="str">
        <f>IF(AI52="","",IF(AND(AI52="N/A - Culvert",N52&lt;&gt;"Culvert"),"Not possible ▲",IF(VLOOKUP(AI52,'G-7 WaterC'' Data'!$AA$4:$AB$7,2,FALSE)=0,"Spatial Data Missing ⚠",VLOOKUP(AI52,'G-7 WaterC'' Data'!$AA$4:$AB$7,2,FALSE))))</f>
        <v/>
      </c>
      <c r="AK52" s="106"/>
      <c r="AL52" s="276" t="str">
        <f>IF(AK52="","",IF(AND(AK52="N/A - Culvert",N52&lt;&gt;"Culvert"),"Not possible ▲",IF(VLOOKUP(AK52,'G-7 WaterC'' Data'!$AD$4:$AE$14,2,FALSE)=0,"Spatial Data Missing ⚠",VLOOKUP(AK52,'G-7 WaterC'' Data'!$AD$4:$AE$14,2,FALSE))))</f>
        <v/>
      </c>
      <c r="AM52" s="317" t="str">
        <f t="shared" si="7"/>
        <v/>
      </c>
      <c r="AN52" s="101"/>
      <c r="AO52" s="115"/>
      <c r="AP52" s="104"/>
      <c r="AS52" s="30" t="str">
        <f>IF(B52="","",IF(ISNA(VLOOKUP($B52,'C-1 On-Site WaterC'' Baseline'!$C$8:$AD$257,17,FALSE)),"",(VLOOKUP($B52,'C-1 On-Site WaterC'' Baseline'!$C$8:$AD$257,17,FALSE))))</f>
        <v/>
      </c>
      <c r="AT52" s="30" t="str">
        <f>IF(B52="","",VLOOKUP($B52,'C-1 On-Site WaterC'' Baseline'!$C$9:$Z$257,12,FALSE))</f>
        <v/>
      </c>
      <c r="AU52" s="30" t="str">
        <f>IF(B52="","",VLOOKUP($B52,'C-1 On-Site WaterC'' Baseline'!$C$9:$Z$257,14,FALSE))</f>
        <v/>
      </c>
      <c r="AV52" s="30" t="str">
        <f>IFERROR(INDEX('G-7 WaterC'' Data'!$AZ$3:$AZ$7,MATCH(N52,'G-7 WaterC'' Data'!$AY$3:$AY$7,0)),"")</f>
        <v/>
      </c>
      <c r="AX52" s="30" t="str">
        <f>IF(B52="","",VLOOKUP($B52,'C-1 On-Site WaterC'' Baseline'!$C$9:$Y$257,22,FALSE))</f>
        <v/>
      </c>
      <c r="AY52" s="30" t="str">
        <f t="shared" si="8"/>
        <v/>
      </c>
      <c r="AZ52" s="30" t="str">
        <f>IF(B52="","",VLOOKUP($B52,'C-1 On-Site WaterC'' Baseline'!$C$9:$Y$257,21,FALSE))</f>
        <v/>
      </c>
      <c r="BA52" s="30" t="str">
        <f>IF(B52="","",VLOOKUP($B52,'C-1 On-Site WaterC'' Baseline'!$C$9:$Y$257,19,FALSE))</f>
        <v/>
      </c>
      <c r="BD52" s="30" t="str">
        <f t="shared" si="9"/>
        <v>No</v>
      </c>
    </row>
    <row r="53" spans="2:56" ht="14">
      <c r="B53" s="305" t="str">
        <f>'C-1 On-Site WaterC'' Baseline'!AP51</f>
        <v/>
      </c>
      <c r="C53" s="295" t="str">
        <f>IF(B53="","",VLOOKUP($B53,'C-1 On-Site WaterC'' Baseline'!$C$9:$R$257,2,FALSE))</f>
        <v/>
      </c>
      <c r="D53" s="295" t="str">
        <f>IF(C53="","",VLOOKUP($B53,'C-1 On-Site WaterC'' Baseline'!$C$9:$R$257,3,FALSE))</f>
        <v/>
      </c>
      <c r="E53" s="295" t="str">
        <f>IF(D53="","",VLOOKUP($B53,'C-1 On-Site WaterC'' Baseline'!$C$9:$R$257,4,FALSE))</f>
        <v/>
      </c>
      <c r="F53" s="295" t="str">
        <f>IF(E53="","",VLOOKUP($B53,'C-1 On-Site WaterC'' Baseline'!$C$9:$R$257,5,FALSE))</f>
        <v/>
      </c>
      <c r="G53" s="295" t="str">
        <f>IF(F53="","",VLOOKUP($B53,'C-1 On-Site WaterC'' Baseline'!$C$9:$R$257,6,FALSE))</f>
        <v/>
      </c>
      <c r="H53" s="295" t="str">
        <f>IF(G53="","",VLOOKUP($B53,'C-1 On-Site WaterC'' Baseline'!$C$9:$R$257,7,FALSE))</f>
        <v/>
      </c>
      <c r="I53" s="295" t="str">
        <f>IF(H53="","",VLOOKUP($B53,'C-1 On-Site WaterC'' Baseline'!$C$9:$R$257,8,FALSE))</f>
        <v/>
      </c>
      <c r="J53" s="295" t="str">
        <f>IF(I53="","",VLOOKUP($B53,'C-1 On-Site WaterC'' Baseline'!$C$9:$R$257,9,FALSE))</f>
        <v/>
      </c>
      <c r="K53" s="295" t="str">
        <f>IF(J53="","",VLOOKUP($B53,'C-1 On-Site WaterC'' Baseline'!$C$9:$R$257,10,FALSE))</f>
        <v/>
      </c>
      <c r="L53" s="295" t="str">
        <f>IF(B53="","",VLOOKUP($B53,'C-1 On-Site WaterC'' Baseline'!$C$9:$R$257,15,FALSE))</f>
        <v/>
      </c>
      <c r="M53" s="299" t="str">
        <f>IF(L53="","",VLOOKUP($B53,'C-1 On-Site WaterC'' Baseline'!$C$9:$R$257,16,FALSE))</f>
        <v/>
      </c>
      <c r="N53" s="245"/>
      <c r="O53" s="275" t="str">
        <f t="shared" si="1"/>
        <v/>
      </c>
      <c r="P53" s="276" t="str">
        <f t="shared" si="2"/>
        <v/>
      </c>
      <c r="Q53" s="336" t="str">
        <f>IF(N53="","",VLOOKUP(B53,'C-1 On-Site WaterC'' Baseline'!$C$10:$AC$257,20,FALSE))</f>
        <v/>
      </c>
      <c r="R53" s="275" t="str">
        <f>IF(N53="","",VLOOKUP(N53,'G-7 WaterC'' Data'!$B$2:$G$8,2,FALSE))</f>
        <v/>
      </c>
      <c r="S53" s="276" t="str">
        <f>IFERROR(VLOOKUP(R53,'G-7 WaterC'' Data'!$C$4:$D$8,2,FALSE),"")</f>
        <v/>
      </c>
      <c r="T53" s="101"/>
      <c r="U53" s="276" t="str">
        <f>IFERROR(INDEX('G-7 WaterC'' Data'!$H$4:$L$8,MATCH(N53,'G-7 WaterC'' Data'!$B$4:$B$8,0),MATCH(T53,'G-7 WaterC'' Data'!$H$3:$L$3,0)),"")</f>
        <v/>
      </c>
      <c r="V53" s="101"/>
      <c r="W53" s="283" t="str">
        <f>IF(V53="","",IF(VLOOKUP(V53,'G-7 WaterC'' Data'!$AK$4:$AM$6,2,FALSE)=0,"Spatial Data Missing ⚠",VLOOKUP(V53,'G-7 WaterC'' Data'!$AK$4:$AM$6,2,FALSE)))</f>
        <v/>
      </c>
      <c r="X53" s="276" t="str">
        <f>IF(V53="","",IF(VLOOKUP(V53,'G-7 WaterC'' Data'!$AK$4:$AM$6,3,FALSE)=0,"Spatial Data Missing ⚠",VLOOKUP(V53,'G-7 WaterC'' Data'!$AK$4:$AM$6,3,FALSE)))</f>
        <v/>
      </c>
      <c r="Y53" s="275" t="str">
        <f>IFERROR(IF(OR(LEFT(P53,5)="Error",LEFT(O53,5)="Error"),"Check Data ⚠",IF(F53&lt;S53,'G-7 WaterC'' Data'!$R$3,INDEX('G-7 WaterC'' Data'!$U$5:$Y$9,MATCH(G53,'G-7 WaterC'' Data'!$T$5:$T$9,0),MATCH(T53,'G-7 WaterC'' Data'!$U$4:$Y$4,0)))),"")</f>
        <v/>
      </c>
      <c r="Z53" s="133"/>
      <c r="AA53" s="133"/>
      <c r="AB53" s="283" t="str">
        <f t="shared" si="3"/>
        <v/>
      </c>
      <c r="AC53" s="296" t="str">
        <f t="shared" si="4"/>
        <v/>
      </c>
      <c r="AD53" s="334" t="str">
        <f>IFERROR(IF(AC53="Check Data ⚠","Check Data ⚠",VLOOKUP(AC53,'G-4 Temporal multipliers'!$A$4:$C$37,3,FALSE)),"")</f>
        <v/>
      </c>
      <c r="AE53" s="275" t="str">
        <f>IF(N53="","",VLOOKUP(N53,'G-7 WaterC'' Data'!$B$4:$G$8,5,FALSE))</f>
        <v/>
      </c>
      <c r="AF53" s="283" t="str">
        <f t="shared" si="5"/>
        <v/>
      </c>
      <c r="AG53" s="314" t="str">
        <f t="shared" si="6"/>
        <v/>
      </c>
      <c r="AH53" s="276" t="str">
        <f t="shared" si="0"/>
        <v/>
      </c>
      <c r="AI53" s="105"/>
      <c r="AJ53" s="276" t="str">
        <f>IF(AI53="","",IF(AND(AI53="N/A - Culvert",N53&lt;&gt;"Culvert"),"Not possible ▲",IF(VLOOKUP(AI53,'G-7 WaterC'' Data'!$AA$4:$AB$7,2,FALSE)=0,"Spatial Data Missing ⚠",VLOOKUP(AI53,'G-7 WaterC'' Data'!$AA$4:$AB$7,2,FALSE))))</f>
        <v/>
      </c>
      <c r="AK53" s="106"/>
      <c r="AL53" s="276" t="str">
        <f>IF(AK53="","",IF(AND(AK53="N/A - Culvert",N53&lt;&gt;"Culvert"),"Not possible ▲",IF(VLOOKUP(AK53,'G-7 WaterC'' Data'!$AD$4:$AE$14,2,FALSE)=0,"Spatial Data Missing ⚠",VLOOKUP(AK53,'G-7 WaterC'' Data'!$AD$4:$AE$14,2,FALSE))))</f>
        <v/>
      </c>
      <c r="AM53" s="317" t="str">
        <f t="shared" si="7"/>
        <v/>
      </c>
      <c r="AN53" s="101"/>
      <c r="AO53" s="115"/>
      <c r="AP53" s="104"/>
      <c r="AS53" s="30" t="str">
        <f>IF(B53="","",IF(ISNA(VLOOKUP($B53,'C-1 On-Site WaterC'' Baseline'!$C$8:$AD$257,17,FALSE)),"",(VLOOKUP($B53,'C-1 On-Site WaterC'' Baseline'!$C$8:$AD$257,17,FALSE))))</f>
        <v/>
      </c>
      <c r="AT53" s="30" t="str">
        <f>IF(B53="","",VLOOKUP($B53,'C-1 On-Site WaterC'' Baseline'!$C$9:$Z$257,12,FALSE))</f>
        <v/>
      </c>
      <c r="AU53" s="30" t="str">
        <f>IF(B53="","",VLOOKUP($B53,'C-1 On-Site WaterC'' Baseline'!$C$9:$Z$257,14,FALSE))</f>
        <v/>
      </c>
      <c r="AV53" s="30" t="str">
        <f>IFERROR(INDEX('G-7 WaterC'' Data'!$AZ$3:$AZ$7,MATCH(N53,'G-7 WaterC'' Data'!$AY$3:$AY$7,0)),"")</f>
        <v/>
      </c>
      <c r="AX53" s="30" t="str">
        <f>IF(B53="","",VLOOKUP($B53,'C-1 On-Site WaterC'' Baseline'!$C$9:$Y$257,22,FALSE))</f>
        <v/>
      </c>
      <c r="AY53" s="30" t="str">
        <f t="shared" si="8"/>
        <v/>
      </c>
      <c r="AZ53" s="30" t="str">
        <f>IF(B53="","",VLOOKUP($B53,'C-1 On-Site WaterC'' Baseline'!$C$9:$Y$257,21,FALSE))</f>
        <v/>
      </c>
      <c r="BA53" s="30" t="str">
        <f>IF(B53="","",VLOOKUP($B53,'C-1 On-Site WaterC'' Baseline'!$C$9:$Y$257,19,FALSE))</f>
        <v/>
      </c>
      <c r="BD53" s="30" t="str">
        <f t="shared" si="9"/>
        <v>No</v>
      </c>
    </row>
    <row r="54" spans="2:56" ht="14">
      <c r="B54" s="305" t="str">
        <f>'C-1 On-Site WaterC'' Baseline'!AP52</f>
        <v/>
      </c>
      <c r="C54" s="295" t="str">
        <f>IF(B54="","",VLOOKUP($B54,'C-1 On-Site WaterC'' Baseline'!$C$9:$R$257,2,FALSE))</f>
        <v/>
      </c>
      <c r="D54" s="295" t="str">
        <f>IF(C54="","",VLOOKUP($B54,'C-1 On-Site WaterC'' Baseline'!$C$9:$R$257,3,FALSE))</f>
        <v/>
      </c>
      <c r="E54" s="295" t="str">
        <f>IF(D54="","",VLOOKUP($B54,'C-1 On-Site WaterC'' Baseline'!$C$9:$R$257,4,FALSE))</f>
        <v/>
      </c>
      <c r="F54" s="295" t="str">
        <f>IF(E54="","",VLOOKUP($B54,'C-1 On-Site WaterC'' Baseline'!$C$9:$R$257,5,FALSE))</f>
        <v/>
      </c>
      <c r="G54" s="295" t="str">
        <f>IF(F54="","",VLOOKUP($B54,'C-1 On-Site WaterC'' Baseline'!$C$9:$R$257,6,FALSE))</f>
        <v/>
      </c>
      <c r="H54" s="295" t="str">
        <f>IF(G54="","",VLOOKUP($B54,'C-1 On-Site WaterC'' Baseline'!$C$9:$R$257,7,FALSE))</f>
        <v/>
      </c>
      <c r="I54" s="295" t="str">
        <f>IF(H54="","",VLOOKUP($B54,'C-1 On-Site WaterC'' Baseline'!$C$9:$R$257,8,FALSE))</f>
        <v/>
      </c>
      <c r="J54" s="295" t="str">
        <f>IF(I54="","",VLOOKUP($B54,'C-1 On-Site WaterC'' Baseline'!$C$9:$R$257,9,FALSE))</f>
        <v/>
      </c>
      <c r="K54" s="295" t="str">
        <f>IF(J54="","",VLOOKUP($B54,'C-1 On-Site WaterC'' Baseline'!$C$9:$R$257,10,FALSE))</f>
        <v/>
      </c>
      <c r="L54" s="295" t="str">
        <f>IF(B54="","",VLOOKUP($B54,'C-1 On-Site WaterC'' Baseline'!$C$9:$R$257,15,FALSE))</f>
        <v/>
      </c>
      <c r="M54" s="299" t="str">
        <f>IF(L54="","",VLOOKUP($B54,'C-1 On-Site WaterC'' Baseline'!$C$9:$R$257,16,FALSE))</f>
        <v/>
      </c>
      <c r="N54" s="245"/>
      <c r="O54" s="275" t="str">
        <f t="shared" si="1"/>
        <v/>
      </c>
      <c r="P54" s="276" t="str">
        <f t="shared" si="2"/>
        <v/>
      </c>
      <c r="Q54" s="336" t="str">
        <f>IF(N54="","",VLOOKUP(B54,'C-1 On-Site WaterC'' Baseline'!$C$10:$AC$257,20,FALSE))</f>
        <v/>
      </c>
      <c r="R54" s="275" t="str">
        <f>IF(N54="","",VLOOKUP(N54,'G-7 WaterC'' Data'!$B$2:$G$8,2,FALSE))</f>
        <v/>
      </c>
      <c r="S54" s="276" t="str">
        <f>IFERROR(VLOOKUP(R54,'G-7 WaterC'' Data'!$C$4:$D$8,2,FALSE),"")</f>
        <v/>
      </c>
      <c r="T54" s="101"/>
      <c r="U54" s="276" t="str">
        <f>IFERROR(INDEX('G-7 WaterC'' Data'!$H$4:$L$8,MATCH(N54,'G-7 WaterC'' Data'!$B$4:$B$8,0),MATCH(T54,'G-7 WaterC'' Data'!$H$3:$L$3,0)),"")</f>
        <v/>
      </c>
      <c r="V54" s="101"/>
      <c r="W54" s="283" t="str">
        <f>IF(V54="","",IF(VLOOKUP(V54,'G-7 WaterC'' Data'!$AK$4:$AM$6,2,FALSE)=0,"Spatial Data Missing ⚠",VLOOKUP(V54,'G-7 WaterC'' Data'!$AK$4:$AM$6,2,FALSE)))</f>
        <v/>
      </c>
      <c r="X54" s="276" t="str">
        <f>IF(V54="","",IF(VLOOKUP(V54,'G-7 WaterC'' Data'!$AK$4:$AM$6,3,FALSE)=0,"Spatial Data Missing ⚠",VLOOKUP(V54,'G-7 WaterC'' Data'!$AK$4:$AM$6,3,FALSE)))</f>
        <v/>
      </c>
      <c r="Y54" s="275" t="str">
        <f>IFERROR(IF(OR(LEFT(P54,5)="Error",LEFT(O54,5)="Error"),"Check Data ⚠",IF(F54&lt;S54,'G-7 WaterC'' Data'!$R$3,INDEX('G-7 WaterC'' Data'!$U$5:$Y$9,MATCH(G54,'G-7 WaterC'' Data'!$T$5:$T$9,0),MATCH(T54,'G-7 WaterC'' Data'!$U$4:$Y$4,0)))),"")</f>
        <v/>
      </c>
      <c r="Z54" s="133"/>
      <c r="AA54" s="133"/>
      <c r="AB54" s="283" t="str">
        <f t="shared" si="3"/>
        <v/>
      </c>
      <c r="AC54" s="296" t="str">
        <f t="shared" si="4"/>
        <v/>
      </c>
      <c r="AD54" s="334" t="str">
        <f>IFERROR(IF(AC54="Check Data ⚠","Check Data ⚠",VLOOKUP(AC54,'G-4 Temporal multipliers'!$A$4:$C$37,3,FALSE)),"")</f>
        <v/>
      </c>
      <c r="AE54" s="275" t="str">
        <f>IF(N54="","",VLOOKUP(N54,'G-7 WaterC'' Data'!$B$4:$G$8,5,FALSE))</f>
        <v/>
      </c>
      <c r="AF54" s="283" t="str">
        <f t="shared" si="5"/>
        <v/>
      </c>
      <c r="AG54" s="314" t="str">
        <f t="shared" si="6"/>
        <v/>
      </c>
      <c r="AH54" s="276" t="str">
        <f t="shared" si="0"/>
        <v/>
      </c>
      <c r="AI54" s="105"/>
      <c r="AJ54" s="276" t="str">
        <f>IF(AI54="","",IF(AND(AI54="N/A - Culvert",N54&lt;&gt;"Culvert"),"Not possible ▲",IF(VLOOKUP(AI54,'G-7 WaterC'' Data'!$AA$4:$AB$7,2,FALSE)=0,"Spatial Data Missing ⚠",VLOOKUP(AI54,'G-7 WaterC'' Data'!$AA$4:$AB$7,2,FALSE))))</f>
        <v/>
      </c>
      <c r="AK54" s="106"/>
      <c r="AL54" s="276" t="str">
        <f>IF(AK54="","",IF(AND(AK54="N/A - Culvert",N54&lt;&gt;"Culvert"),"Not possible ▲",IF(VLOOKUP(AK54,'G-7 WaterC'' Data'!$AD$4:$AE$14,2,FALSE)=0,"Spatial Data Missing ⚠",VLOOKUP(AK54,'G-7 WaterC'' Data'!$AD$4:$AE$14,2,FALSE))))</f>
        <v/>
      </c>
      <c r="AM54" s="317" t="str">
        <f t="shared" si="7"/>
        <v/>
      </c>
      <c r="AN54" s="101"/>
      <c r="AO54" s="115"/>
      <c r="AP54" s="104"/>
      <c r="AS54" s="30" t="str">
        <f>IF(B54="","",IF(ISNA(VLOOKUP($B54,'C-1 On-Site WaterC'' Baseline'!$C$8:$AD$257,17,FALSE)),"",(VLOOKUP($B54,'C-1 On-Site WaterC'' Baseline'!$C$8:$AD$257,17,FALSE))))</f>
        <v/>
      </c>
      <c r="AT54" s="30" t="str">
        <f>IF(B54="","",VLOOKUP($B54,'C-1 On-Site WaterC'' Baseline'!$C$9:$Z$257,12,FALSE))</f>
        <v/>
      </c>
      <c r="AU54" s="30" t="str">
        <f>IF(B54="","",VLOOKUP($B54,'C-1 On-Site WaterC'' Baseline'!$C$9:$Z$257,14,FALSE))</f>
        <v/>
      </c>
      <c r="AV54" s="30" t="str">
        <f>IFERROR(INDEX('G-7 WaterC'' Data'!$AZ$3:$AZ$7,MATCH(N54,'G-7 WaterC'' Data'!$AY$3:$AY$7,0)),"")</f>
        <v/>
      </c>
      <c r="AX54" s="30" t="str">
        <f>IF(B54="","",VLOOKUP($B54,'C-1 On-Site WaterC'' Baseline'!$C$9:$Y$257,22,FALSE))</f>
        <v/>
      </c>
      <c r="AY54" s="30" t="str">
        <f t="shared" si="8"/>
        <v/>
      </c>
      <c r="AZ54" s="30" t="str">
        <f>IF(B54="","",VLOOKUP($B54,'C-1 On-Site WaterC'' Baseline'!$C$9:$Y$257,21,FALSE))</f>
        <v/>
      </c>
      <c r="BA54" s="30" t="str">
        <f>IF(B54="","",VLOOKUP($B54,'C-1 On-Site WaterC'' Baseline'!$C$9:$Y$257,19,FALSE))</f>
        <v/>
      </c>
      <c r="BD54" s="30" t="str">
        <f t="shared" si="9"/>
        <v>No</v>
      </c>
    </row>
    <row r="55" spans="2:56" ht="14">
      <c r="B55" s="305" t="str">
        <f>'C-1 On-Site WaterC'' Baseline'!AP53</f>
        <v/>
      </c>
      <c r="C55" s="295" t="str">
        <f>IF(B55="","",VLOOKUP($B55,'C-1 On-Site WaterC'' Baseline'!$C$9:$R$257,2,FALSE))</f>
        <v/>
      </c>
      <c r="D55" s="295" t="str">
        <f>IF(C55="","",VLOOKUP($B55,'C-1 On-Site WaterC'' Baseline'!$C$9:$R$257,3,FALSE))</f>
        <v/>
      </c>
      <c r="E55" s="295" t="str">
        <f>IF(D55="","",VLOOKUP($B55,'C-1 On-Site WaterC'' Baseline'!$C$9:$R$257,4,FALSE))</f>
        <v/>
      </c>
      <c r="F55" s="295" t="str">
        <f>IF(E55="","",VLOOKUP($B55,'C-1 On-Site WaterC'' Baseline'!$C$9:$R$257,5,FALSE))</f>
        <v/>
      </c>
      <c r="G55" s="295" t="str">
        <f>IF(F55="","",VLOOKUP($B55,'C-1 On-Site WaterC'' Baseline'!$C$9:$R$257,6,FALSE))</f>
        <v/>
      </c>
      <c r="H55" s="295" t="str">
        <f>IF(G55="","",VLOOKUP($B55,'C-1 On-Site WaterC'' Baseline'!$C$9:$R$257,7,FALSE))</f>
        <v/>
      </c>
      <c r="I55" s="295" t="str">
        <f>IF(H55="","",VLOOKUP($B55,'C-1 On-Site WaterC'' Baseline'!$C$9:$R$257,8,FALSE))</f>
        <v/>
      </c>
      <c r="J55" s="295" t="str">
        <f>IF(I55="","",VLOOKUP($B55,'C-1 On-Site WaterC'' Baseline'!$C$9:$R$257,9,FALSE))</f>
        <v/>
      </c>
      <c r="K55" s="295" t="str">
        <f>IF(J55="","",VLOOKUP($B55,'C-1 On-Site WaterC'' Baseline'!$C$9:$R$257,10,FALSE))</f>
        <v/>
      </c>
      <c r="L55" s="295" t="str">
        <f>IF(B55="","",VLOOKUP($B55,'C-1 On-Site WaterC'' Baseline'!$C$9:$R$257,15,FALSE))</f>
        <v/>
      </c>
      <c r="M55" s="299" t="str">
        <f>IF(L55="","",VLOOKUP($B55,'C-1 On-Site WaterC'' Baseline'!$C$9:$R$257,16,FALSE))</f>
        <v/>
      </c>
      <c r="N55" s="245"/>
      <c r="O55" s="275" t="str">
        <f t="shared" si="1"/>
        <v/>
      </c>
      <c r="P55" s="276" t="str">
        <f t="shared" si="2"/>
        <v/>
      </c>
      <c r="Q55" s="336" t="str">
        <f>IF(N55="","",VLOOKUP(B55,'C-1 On-Site WaterC'' Baseline'!$C$10:$AC$257,20,FALSE))</f>
        <v/>
      </c>
      <c r="R55" s="275" t="str">
        <f>IF(N55="","",VLOOKUP(N55,'G-7 WaterC'' Data'!$B$2:$G$8,2,FALSE))</f>
        <v/>
      </c>
      <c r="S55" s="276" t="str">
        <f>IFERROR(VLOOKUP(R55,'G-7 WaterC'' Data'!$C$4:$D$8,2,FALSE),"")</f>
        <v/>
      </c>
      <c r="T55" s="101"/>
      <c r="U55" s="276" t="str">
        <f>IFERROR(INDEX('G-7 WaterC'' Data'!$H$4:$L$8,MATCH(N55,'G-7 WaterC'' Data'!$B$4:$B$8,0),MATCH(T55,'G-7 WaterC'' Data'!$H$3:$L$3,0)),"")</f>
        <v/>
      </c>
      <c r="V55" s="101"/>
      <c r="W55" s="283" t="str">
        <f>IF(V55="","",IF(VLOOKUP(V55,'G-7 WaterC'' Data'!$AK$4:$AM$6,2,FALSE)=0,"Spatial Data Missing ⚠",VLOOKUP(V55,'G-7 WaterC'' Data'!$AK$4:$AM$6,2,FALSE)))</f>
        <v/>
      </c>
      <c r="X55" s="276" t="str">
        <f>IF(V55="","",IF(VLOOKUP(V55,'G-7 WaterC'' Data'!$AK$4:$AM$6,3,FALSE)=0,"Spatial Data Missing ⚠",VLOOKUP(V55,'G-7 WaterC'' Data'!$AK$4:$AM$6,3,FALSE)))</f>
        <v/>
      </c>
      <c r="Y55" s="275" t="str">
        <f>IFERROR(IF(OR(LEFT(P55,5)="Error",LEFT(O55,5)="Error"),"Check Data ⚠",IF(F55&lt;S55,'G-7 WaterC'' Data'!$R$3,INDEX('G-7 WaterC'' Data'!$U$5:$Y$9,MATCH(G55,'G-7 WaterC'' Data'!$T$5:$T$9,0),MATCH(T55,'G-7 WaterC'' Data'!$U$4:$Y$4,0)))),"")</f>
        <v/>
      </c>
      <c r="Z55" s="133"/>
      <c r="AA55" s="133"/>
      <c r="AB55" s="283" t="str">
        <f t="shared" si="3"/>
        <v/>
      </c>
      <c r="AC55" s="296" t="str">
        <f t="shared" si="4"/>
        <v/>
      </c>
      <c r="AD55" s="334" t="str">
        <f>IFERROR(IF(AC55="Check Data ⚠","Check Data ⚠",VLOOKUP(AC55,'G-4 Temporal multipliers'!$A$4:$C$37,3,FALSE)),"")</f>
        <v/>
      </c>
      <c r="AE55" s="275" t="str">
        <f>IF(N55="","",VLOOKUP(N55,'G-7 WaterC'' Data'!$B$4:$G$8,5,FALSE))</f>
        <v/>
      </c>
      <c r="AF55" s="283" t="str">
        <f t="shared" si="5"/>
        <v/>
      </c>
      <c r="AG55" s="314" t="str">
        <f t="shared" si="6"/>
        <v/>
      </c>
      <c r="AH55" s="276" t="str">
        <f t="shared" si="0"/>
        <v/>
      </c>
      <c r="AI55" s="105"/>
      <c r="AJ55" s="276" t="str">
        <f>IF(AI55="","",IF(AND(AI55="N/A - Culvert",N55&lt;&gt;"Culvert"),"Not possible ▲",IF(VLOOKUP(AI55,'G-7 WaterC'' Data'!$AA$4:$AB$7,2,FALSE)=0,"Spatial Data Missing ⚠",VLOOKUP(AI55,'G-7 WaterC'' Data'!$AA$4:$AB$7,2,FALSE))))</f>
        <v/>
      </c>
      <c r="AK55" s="106"/>
      <c r="AL55" s="276" t="str">
        <f>IF(AK55="","",IF(AND(AK55="N/A - Culvert",N55&lt;&gt;"Culvert"),"Not possible ▲",IF(VLOOKUP(AK55,'G-7 WaterC'' Data'!$AD$4:$AE$14,2,FALSE)=0,"Spatial Data Missing ⚠",VLOOKUP(AK55,'G-7 WaterC'' Data'!$AD$4:$AE$14,2,FALSE))))</f>
        <v/>
      </c>
      <c r="AM55" s="317" t="str">
        <f t="shared" si="7"/>
        <v/>
      </c>
      <c r="AN55" s="101"/>
      <c r="AO55" s="115"/>
      <c r="AP55" s="104"/>
      <c r="AS55" s="30" t="str">
        <f>IF(B55="","",IF(ISNA(VLOOKUP($B55,'C-1 On-Site WaterC'' Baseline'!$C$8:$AD$257,17,FALSE)),"",(VLOOKUP($B55,'C-1 On-Site WaterC'' Baseline'!$C$8:$AD$257,17,FALSE))))</f>
        <v/>
      </c>
      <c r="AT55" s="30" t="str">
        <f>IF(B55="","",VLOOKUP($B55,'C-1 On-Site WaterC'' Baseline'!$C$9:$Z$257,12,FALSE))</f>
        <v/>
      </c>
      <c r="AU55" s="30" t="str">
        <f>IF(B55="","",VLOOKUP($B55,'C-1 On-Site WaterC'' Baseline'!$C$9:$Z$257,14,FALSE))</f>
        <v/>
      </c>
      <c r="AV55" s="30" t="str">
        <f>IFERROR(INDEX('G-7 WaterC'' Data'!$AZ$3:$AZ$7,MATCH(N55,'G-7 WaterC'' Data'!$AY$3:$AY$7,0)),"")</f>
        <v/>
      </c>
      <c r="AX55" s="30" t="str">
        <f>IF(B55="","",VLOOKUP($B55,'C-1 On-Site WaterC'' Baseline'!$C$9:$Y$257,22,FALSE))</f>
        <v/>
      </c>
      <c r="AY55" s="30" t="str">
        <f t="shared" si="8"/>
        <v/>
      </c>
      <c r="AZ55" s="30" t="str">
        <f>IF(B55="","",VLOOKUP($B55,'C-1 On-Site WaterC'' Baseline'!$C$9:$Y$257,21,FALSE))</f>
        <v/>
      </c>
      <c r="BA55" s="30" t="str">
        <f>IF(B55="","",VLOOKUP($B55,'C-1 On-Site WaterC'' Baseline'!$C$9:$Y$257,19,FALSE))</f>
        <v/>
      </c>
      <c r="BD55" s="30" t="str">
        <f t="shared" si="9"/>
        <v>No</v>
      </c>
    </row>
    <row r="56" spans="2:56" ht="14">
      <c r="B56" s="305" t="str">
        <f>'C-1 On-Site WaterC'' Baseline'!AP54</f>
        <v/>
      </c>
      <c r="C56" s="295" t="str">
        <f>IF(B56="","",VLOOKUP($B56,'C-1 On-Site WaterC'' Baseline'!$C$9:$R$257,2,FALSE))</f>
        <v/>
      </c>
      <c r="D56" s="295" t="str">
        <f>IF(C56="","",VLOOKUP($B56,'C-1 On-Site WaterC'' Baseline'!$C$9:$R$257,3,FALSE))</f>
        <v/>
      </c>
      <c r="E56" s="295" t="str">
        <f>IF(D56="","",VLOOKUP($B56,'C-1 On-Site WaterC'' Baseline'!$C$9:$R$257,4,FALSE))</f>
        <v/>
      </c>
      <c r="F56" s="295" t="str">
        <f>IF(E56="","",VLOOKUP($B56,'C-1 On-Site WaterC'' Baseline'!$C$9:$R$257,5,FALSE))</f>
        <v/>
      </c>
      <c r="G56" s="295" t="str">
        <f>IF(F56="","",VLOOKUP($B56,'C-1 On-Site WaterC'' Baseline'!$C$9:$R$257,6,FALSE))</f>
        <v/>
      </c>
      <c r="H56" s="295" t="str">
        <f>IF(G56="","",VLOOKUP($B56,'C-1 On-Site WaterC'' Baseline'!$C$9:$R$257,7,FALSE))</f>
        <v/>
      </c>
      <c r="I56" s="295" t="str">
        <f>IF(H56="","",VLOOKUP($B56,'C-1 On-Site WaterC'' Baseline'!$C$9:$R$257,8,FALSE))</f>
        <v/>
      </c>
      <c r="J56" s="295" t="str">
        <f>IF(I56="","",VLOOKUP($B56,'C-1 On-Site WaterC'' Baseline'!$C$9:$R$257,9,FALSE))</f>
        <v/>
      </c>
      <c r="K56" s="295" t="str">
        <f>IF(J56="","",VLOOKUP($B56,'C-1 On-Site WaterC'' Baseline'!$C$9:$R$257,10,FALSE))</f>
        <v/>
      </c>
      <c r="L56" s="295" t="str">
        <f>IF(B56="","",VLOOKUP($B56,'C-1 On-Site WaterC'' Baseline'!$C$9:$R$257,15,FALSE))</f>
        <v/>
      </c>
      <c r="M56" s="299" t="str">
        <f>IF(L56="","",VLOOKUP($B56,'C-1 On-Site WaterC'' Baseline'!$C$9:$R$257,16,FALSE))</f>
        <v/>
      </c>
      <c r="N56" s="245"/>
      <c r="O56" s="275" t="str">
        <f t="shared" si="1"/>
        <v/>
      </c>
      <c r="P56" s="276" t="str">
        <f t="shared" si="2"/>
        <v/>
      </c>
      <c r="Q56" s="336" t="str">
        <f>IF(N56="","",VLOOKUP(B56,'C-1 On-Site WaterC'' Baseline'!$C$10:$AC$257,20,FALSE))</f>
        <v/>
      </c>
      <c r="R56" s="275" t="str">
        <f>IF(N56="","",VLOOKUP(N56,'G-7 WaterC'' Data'!$B$2:$G$8,2,FALSE))</f>
        <v/>
      </c>
      <c r="S56" s="276" t="str">
        <f>IFERROR(VLOOKUP(R56,'G-7 WaterC'' Data'!$C$4:$D$8,2,FALSE),"")</f>
        <v/>
      </c>
      <c r="T56" s="101"/>
      <c r="U56" s="276" t="str">
        <f>IFERROR(INDEX('G-7 WaterC'' Data'!$H$4:$L$8,MATCH(N56,'G-7 WaterC'' Data'!$B$4:$B$8,0),MATCH(T56,'G-7 WaterC'' Data'!$H$3:$L$3,0)),"")</f>
        <v/>
      </c>
      <c r="V56" s="101"/>
      <c r="W56" s="283" t="str">
        <f>IF(V56="","",IF(VLOOKUP(V56,'G-7 WaterC'' Data'!$AK$4:$AM$6,2,FALSE)=0,"Spatial Data Missing ⚠",VLOOKUP(V56,'G-7 WaterC'' Data'!$AK$4:$AM$6,2,FALSE)))</f>
        <v/>
      </c>
      <c r="X56" s="276" t="str">
        <f>IF(V56="","",IF(VLOOKUP(V56,'G-7 WaterC'' Data'!$AK$4:$AM$6,3,FALSE)=0,"Spatial Data Missing ⚠",VLOOKUP(V56,'G-7 WaterC'' Data'!$AK$4:$AM$6,3,FALSE)))</f>
        <v/>
      </c>
      <c r="Y56" s="275" t="str">
        <f>IFERROR(IF(OR(LEFT(P56,5)="Error",LEFT(O56,5)="Error"),"Check Data ⚠",IF(F56&lt;S56,'G-7 WaterC'' Data'!$R$3,INDEX('G-7 WaterC'' Data'!$U$5:$Y$9,MATCH(G56,'G-7 WaterC'' Data'!$T$5:$T$9,0),MATCH(T56,'G-7 WaterC'' Data'!$U$4:$Y$4,0)))),"")</f>
        <v/>
      </c>
      <c r="Z56" s="133"/>
      <c r="AA56" s="133"/>
      <c r="AB56" s="283" t="str">
        <f t="shared" si="3"/>
        <v/>
      </c>
      <c r="AC56" s="296" t="str">
        <f t="shared" si="4"/>
        <v/>
      </c>
      <c r="AD56" s="334" t="str">
        <f>IFERROR(IF(AC56="Check Data ⚠","Check Data ⚠",VLOOKUP(AC56,'G-4 Temporal multipliers'!$A$4:$C$37,3,FALSE)),"")</f>
        <v/>
      </c>
      <c r="AE56" s="275" t="str">
        <f>IF(N56="","",VLOOKUP(N56,'G-7 WaterC'' Data'!$B$4:$G$8,5,FALSE))</f>
        <v/>
      </c>
      <c r="AF56" s="283" t="str">
        <f t="shared" si="5"/>
        <v/>
      </c>
      <c r="AG56" s="314" t="str">
        <f t="shared" si="6"/>
        <v/>
      </c>
      <c r="AH56" s="276" t="str">
        <f t="shared" si="0"/>
        <v/>
      </c>
      <c r="AI56" s="105"/>
      <c r="AJ56" s="276" t="str">
        <f>IF(AI56="","",IF(AND(AI56="N/A - Culvert",N56&lt;&gt;"Culvert"),"Not possible ▲",IF(VLOOKUP(AI56,'G-7 WaterC'' Data'!$AA$4:$AB$7,2,FALSE)=0,"Spatial Data Missing ⚠",VLOOKUP(AI56,'G-7 WaterC'' Data'!$AA$4:$AB$7,2,FALSE))))</f>
        <v/>
      </c>
      <c r="AK56" s="106"/>
      <c r="AL56" s="276" t="str">
        <f>IF(AK56="","",IF(AND(AK56="N/A - Culvert",N56&lt;&gt;"Culvert"),"Not possible ▲",IF(VLOOKUP(AK56,'G-7 WaterC'' Data'!$AD$4:$AE$14,2,FALSE)=0,"Spatial Data Missing ⚠",VLOOKUP(AK56,'G-7 WaterC'' Data'!$AD$4:$AE$14,2,FALSE))))</f>
        <v/>
      </c>
      <c r="AM56" s="317" t="str">
        <f t="shared" si="7"/>
        <v/>
      </c>
      <c r="AN56" s="101"/>
      <c r="AO56" s="115"/>
      <c r="AP56" s="104"/>
      <c r="AS56" s="30" t="str">
        <f>IF(B56="","",IF(ISNA(VLOOKUP($B56,'C-1 On-Site WaterC'' Baseline'!$C$8:$AD$257,17,FALSE)),"",(VLOOKUP($B56,'C-1 On-Site WaterC'' Baseline'!$C$8:$AD$257,17,FALSE))))</f>
        <v/>
      </c>
      <c r="AT56" s="30" t="str">
        <f>IF(B56="","",VLOOKUP($B56,'C-1 On-Site WaterC'' Baseline'!$C$9:$Z$257,12,FALSE))</f>
        <v/>
      </c>
      <c r="AU56" s="30" t="str">
        <f>IF(B56="","",VLOOKUP($B56,'C-1 On-Site WaterC'' Baseline'!$C$9:$Z$257,14,FALSE))</f>
        <v/>
      </c>
      <c r="AV56" s="30" t="str">
        <f>IFERROR(INDEX('G-7 WaterC'' Data'!$AZ$3:$AZ$7,MATCH(N56,'G-7 WaterC'' Data'!$AY$3:$AY$7,0)),"")</f>
        <v/>
      </c>
      <c r="AX56" s="30" t="str">
        <f>IF(B56="","",VLOOKUP($B56,'C-1 On-Site WaterC'' Baseline'!$C$9:$Y$257,22,FALSE))</f>
        <v/>
      </c>
      <c r="AY56" s="30" t="str">
        <f t="shared" si="8"/>
        <v/>
      </c>
      <c r="AZ56" s="30" t="str">
        <f>IF(B56="","",VLOOKUP($B56,'C-1 On-Site WaterC'' Baseline'!$C$9:$Y$257,21,FALSE))</f>
        <v/>
      </c>
      <c r="BA56" s="30" t="str">
        <f>IF(B56="","",VLOOKUP($B56,'C-1 On-Site WaterC'' Baseline'!$C$9:$Y$257,19,FALSE))</f>
        <v/>
      </c>
      <c r="BD56" s="30" t="str">
        <f t="shared" si="9"/>
        <v>No</v>
      </c>
    </row>
    <row r="57" spans="2:56" ht="14">
      <c r="B57" s="305" t="str">
        <f>'C-1 On-Site WaterC'' Baseline'!AP55</f>
        <v/>
      </c>
      <c r="C57" s="295" t="str">
        <f>IF(B57="","",VLOOKUP($B57,'C-1 On-Site WaterC'' Baseline'!$C$9:$R$257,2,FALSE))</f>
        <v/>
      </c>
      <c r="D57" s="295" t="str">
        <f>IF(C57="","",VLOOKUP($B57,'C-1 On-Site WaterC'' Baseline'!$C$9:$R$257,3,FALSE))</f>
        <v/>
      </c>
      <c r="E57" s="295" t="str">
        <f>IF(D57="","",VLOOKUP($B57,'C-1 On-Site WaterC'' Baseline'!$C$9:$R$257,4,FALSE))</f>
        <v/>
      </c>
      <c r="F57" s="295" t="str">
        <f>IF(E57="","",VLOOKUP($B57,'C-1 On-Site WaterC'' Baseline'!$C$9:$R$257,5,FALSE))</f>
        <v/>
      </c>
      <c r="G57" s="295" t="str">
        <f>IF(F57="","",VLOOKUP($B57,'C-1 On-Site WaterC'' Baseline'!$C$9:$R$257,6,FALSE))</f>
        <v/>
      </c>
      <c r="H57" s="295" t="str">
        <f>IF(G57="","",VLOOKUP($B57,'C-1 On-Site WaterC'' Baseline'!$C$9:$R$257,7,FALSE))</f>
        <v/>
      </c>
      <c r="I57" s="295" t="str">
        <f>IF(H57="","",VLOOKUP($B57,'C-1 On-Site WaterC'' Baseline'!$C$9:$R$257,8,FALSE))</f>
        <v/>
      </c>
      <c r="J57" s="295" t="str">
        <f>IF(I57="","",VLOOKUP($B57,'C-1 On-Site WaterC'' Baseline'!$C$9:$R$257,9,FALSE))</f>
        <v/>
      </c>
      <c r="K57" s="295" t="str">
        <f>IF(J57="","",VLOOKUP($B57,'C-1 On-Site WaterC'' Baseline'!$C$9:$R$257,10,FALSE))</f>
        <v/>
      </c>
      <c r="L57" s="295" t="str">
        <f>IF(B57="","",VLOOKUP($B57,'C-1 On-Site WaterC'' Baseline'!$C$9:$R$257,15,FALSE))</f>
        <v/>
      </c>
      <c r="M57" s="299" t="str">
        <f>IF(L57="","",VLOOKUP($B57,'C-1 On-Site WaterC'' Baseline'!$C$9:$R$257,16,FALSE))</f>
        <v/>
      </c>
      <c r="N57" s="245"/>
      <c r="O57" s="275" t="str">
        <f t="shared" si="1"/>
        <v/>
      </c>
      <c r="P57" s="276" t="str">
        <f t="shared" si="2"/>
        <v/>
      </c>
      <c r="Q57" s="336" t="str">
        <f>IF(N57="","",VLOOKUP(B57,'C-1 On-Site WaterC'' Baseline'!$C$10:$AC$257,20,FALSE))</f>
        <v/>
      </c>
      <c r="R57" s="275" t="str">
        <f>IF(N57="","",VLOOKUP(N57,'G-7 WaterC'' Data'!$B$2:$G$8,2,FALSE))</f>
        <v/>
      </c>
      <c r="S57" s="276" t="str">
        <f>IFERROR(VLOOKUP(R57,'G-7 WaterC'' Data'!$C$4:$D$8,2,FALSE),"")</f>
        <v/>
      </c>
      <c r="T57" s="101"/>
      <c r="U57" s="276" t="str">
        <f>IFERROR(INDEX('G-7 WaterC'' Data'!$H$4:$L$8,MATCH(N57,'G-7 WaterC'' Data'!$B$4:$B$8,0),MATCH(T57,'G-7 WaterC'' Data'!$H$3:$L$3,0)),"")</f>
        <v/>
      </c>
      <c r="V57" s="101"/>
      <c r="W57" s="283" t="str">
        <f>IF(V57="","",IF(VLOOKUP(V57,'G-7 WaterC'' Data'!$AK$4:$AM$6,2,FALSE)=0,"Spatial Data Missing ⚠",VLOOKUP(V57,'G-7 WaterC'' Data'!$AK$4:$AM$6,2,FALSE)))</f>
        <v/>
      </c>
      <c r="X57" s="276" t="str">
        <f>IF(V57="","",IF(VLOOKUP(V57,'G-7 WaterC'' Data'!$AK$4:$AM$6,3,FALSE)=0,"Spatial Data Missing ⚠",VLOOKUP(V57,'G-7 WaterC'' Data'!$AK$4:$AM$6,3,FALSE)))</f>
        <v/>
      </c>
      <c r="Y57" s="275" t="str">
        <f>IFERROR(IF(OR(LEFT(P57,5)="Error",LEFT(O57,5)="Error"),"Check Data ⚠",IF(F57&lt;S57,'G-7 WaterC'' Data'!$R$3,INDEX('G-7 WaterC'' Data'!$U$5:$Y$9,MATCH(G57,'G-7 WaterC'' Data'!$T$5:$T$9,0),MATCH(T57,'G-7 WaterC'' Data'!$U$4:$Y$4,0)))),"")</f>
        <v/>
      </c>
      <c r="Z57" s="133"/>
      <c r="AA57" s="133"/>
      <c r="AB57" s="283" t="str">
        <f t="shared" si="3"/>
        <v/>
      </c>
      <c r="AC57" s="296" t="str">
        <f t="shared" si="4"/>
        <v/>
      </c>
      <c r="AD57" s="334" t="str">
        <f>IFERROR(IF(AC57="Check Data ⚠","Check Data ⚠",VLOOKUP(AC57,'G-4 Temporal multipliers'!$A$4:$C$37,3,FALSE)),"")</f>
        <v/>
      </c>
      <c r="AE57" s="275" t="str">
        <f>IF(N57="","",VLOOKUP(N57,'G-7 WaterC'' Data'!$B$4:$G$8,5,FALSE))</f>
        <v/>
      </c>
      <c r="AF57" s="283" t="str">
        <f t="shared" si="5"/>
        <v/>
      </c>
      <c r="AG57" s="314" t="str">
        <f t="shared" si="6"/>
        <v/>
      </c>
      <c r="AH57" s="276" t="str">
        <f t="shared" si="0"/>
        <v/>
      </c>
      <c r="AI57" s="105"/>
      <c r="AJ57" s="276" t="str">
        <f>IF(AI57="","",IF(AND(AI57="N/A - Culvert",N57&lt;&gt;"Culvert"),"Not possible ▲",IF(VLOOKUP(AI57,'G-7 WaterC'' Data'!$AA$4:$AB$7,2,FALSE)=0,"Spatial Data Missing ⚠",VLOOKUP(AI57,'G-7 WaterC'' Data'!$AA$4:$AB$7,2,FALSE))))</f>
        <v/>
      </c>
      <c r="AK57" s="106"/>
      <c r="AL57" s="276" t="str">
        <f>IF(AK57="","",IF(AND(AK57="N/A - Culvert",N57&lt;&gt;"Culvert"),"Not possible ▲",IF(VLOOKUP(AK57,'G-7 WaterC'' Data'!$AD$4:$AE$14,2,FALSE)=0,"Spatial Data Missing ⚠",VLOOKUP(AK57,'G-7 WaterC'' Data'!$AD$4:$AE$14,2,FALSE))))</f>
        <v/>
      </c>
      <c r="AM57" s="317" t="str">
        <f t="shared" si="7"/>
        <v/>
      </c>
      <c r="AN57" s="101"/>
      <c r="AO57" s="115"/>
      <c r="AP57" s="104"/>
      <c r="AS57" s="30" t="str">
        <f>IF(B57="","",IF(ISNA(VLOOKUP($B57,'C-1 On-Site WaterC'' Baseline'!$C$8:$AD$257,17,FALSE)),"",(VLOOKUP($B57,'C-1 On-Site WaterC'' Baseline'!$C$8:$AD$257,17,FALSE))))</f>
        <v/>
      </c>
      <c r="AT57" s="30" t="str">
        <f>IF(B57="","",VLOOKUP($B57,'C-1 On-Site WaterC'' Baseline'!$C$9:$Z$257,12,FALSE))</f>
        <v/>
      </c>
      <c r="AU57" s="30" t="str">
        <f>IF(B57="","",VLOOKUP($B57,'C-1 On-Site WaterC'' Baseline'!$C$9:$Z$257,14,FALSE))</f>
        <v/>
      </c>
      <c r="AV57" s="30" t="str">
        <f>IFERROR(INDEX('G-7 WaterC'' Data'!$AZ$3:$AZ$7,MATCH(N57,'G-7 WaterC'' Data'!$AY$3:$AY$7,0)),"")</f>
        <v/>
      </c>
      <c r="AX57" s="30" t="str">
        <f>IF(B57="","",VLOOKUP($B57,'C-1 On-Site WaterC'' Baseline'!$C$9:$Y$257,22,FALSE))</f>
        <v/>
      </c>
      <c r="AY57" s="30" t="str">
        <f t="shared" si="8"/>
        <v/>
      </c>
      <c r="AZ57" s="30" t="str">
        <f>IF(B57="","",VLOOKUP($B57,'C-1 On-Site WaterC'' Baseline'!$C$9:$Y$257,21,FALSE))</f>
        <v/>
      </c>
      <c r="BA57" s="30" t="str">
        <f>IF(B57="","",VLOOKUP($B57,'C-1 On-Site WaterC'' Baseline'!$C$9:$Y$257,19,FALSE))</f>
        <v/>
      </c>
      <c r="BD57" s="30" t="str">
        <f t="shared" si="9"/>
        <v>No</v>
      </c>
    </row>
    <row r="58" spans="2:56" ht="14">
      <c r="B58" s="305" t="str">
        <f>'C-1 On-Site WaterC'' Baseline'!AP56</f>
        <v/>
      </c>
      <c r="C58" s="295" t="str">
        <f>IF(B58="","",VLOOKUP($B58,'C-1 On-Site WaterC'' Baseline'!$C$9:$R$257,2,FALSE))</f>
        <v/>
      </c>
      <c r="D58" s="295" t="str">
        <f>IF(C58="","",VLOOKUP($B58,'C-1 On-Site WaterC'' Baseline'!$C$9:$R$257,3,FALSE))</f>
        <v/>
      </c>
      <c r="E58" s="295" t="str">
        <f>IF(D58="","",VLOOKUP($B58,'C-1 On-Site WaterC'' Baseline'!$C$9:$R$257,4,FALSE))</f>
        <v/>
      </c>
      <c r="F58" s="295" t="str">
        <f>IF(E58="","",VLOOKUP($B58,'C-1 On-Site WaterC'' Baseline'!$C$9:$R$257,5,FALSE))</f>
        <v/>
      </c>
      <c r="G58" s="295" t="str">
        <f>IF(F58="","",VLOOKUP($B58,'C-1 On-Site WaterC'' Baseline'!$C$9:$R$257,6,FALSE))</f>
        <v/>
      </c>
      <c r="H58" s="295" t="str">
        <f>IF(G58="","",VLOOKUP($B58,'C-1 On-Site WaterC'' Baseline'!$C$9:$R$257,7,FALSE))</f>
        <v/>
      </c>
      <c r="I58" s="295" t="str">
        <f>IF(H58="","",VLOOKUP($B58,'C-1 On-Site WaterC'' Baseline'!$C$9:$R$257,8,FALSE))</f>
        <v/>
      </c>
      <c r="J58" s="295" t="str">
        <f>IF(I58="","",VLOOKUP($B58,'C-1 On-Site WaterC'' Baseline'!$C$9:$R$257,9,FALSE))</f>
        <v/>
      </c>
      <c r="K58" s="295" t="str">
        <f>IF(J58="","",VLOOKUP($B58,'C-1 On-Site WaterC'' Baseline'!$C$9:$R$257,10,FALSE))</f>
        <v/>
      </c>
      <c r="L58" s="295" t="str">
        <f>IF(B58="","",VLOOKUP($B58,'C-1 On-Site WaterC'' Baseline'!$C$9:$R$257,15,FALSE))</f>
        <v/>
      </c>
      <c r="M58" s="299" t="str">
        <f>IF(L58="","",VLOOKUP($B58,'C-1 On-Site WaterC'' Baseline'!$C$9:$R$257,16,FALSE))</f>
        <v/>
      </c>
      <c r="N58" s="245"/>
      <c r="O58" s="275" t="str">
        <f t="shared" si="1"/>
        <v/>
      </c>
      <c r="P58" s="276" t="str">
        <f t="shared" si="2"/>
        <v/>
      </c>
      <c r="Q58" s="336" t="str">
        <f>IF(N58="","",VLOOKUP(B58,'C-1 On-Site WaterC'' Baseline'!$C$10:$AC$257,20,FALSE))</f>
        <v/>
      </c>
      <c r="R58" s="275" t="str">
        <f>IF(N58="","",VLOOKUP(N58,'G-7 WaterC'' Data'!$B$2:$G$8,2,FALSE))</f>
        <v/>
      </c>
      <c r="S58" s="276" t="str">
        <f>IFERROR(VLOOKUP(R58,'G-7 WaterC'' Data'!$C$4:$D$8,2,FALSE),"")</f>
        <v/>
      </c>
      <c r="T58" s="101"/>
      <c r="U58" s="276" t="str">
        <f>IFERROR(INDEX('G-7 WaterC'' Data'!$H$4:$L$8,MATCH(N58,'G-7 WaterC'' Data'!$B$4:$B$8,0),MATCH(T58,'G-7 WaterC'' Data'!$H$3:$L$3,0)),"")</f>
        <v/>
      </c>
      <c r="V58" s="101"/>
      <c r="W58" s="283" t="str">
        <f>IF(V58="","",IF(VLOOKUP(V58,'G-7 WaterC'' Data'!$AK$4:$AM$6,2,FALSE)=0,"Spatial Data Missing ⚠",VLOOKUP(V58,'G-7 WaterC'' Data'!$AK$4:$AM$6,2,FALSE)))</f>
        <v/>
      </c>
      <c r="X58" s="276" t="str">
        <f>IF(V58="","",IF(VLOOKUP(V58,'G-7 WaterC'' Data'!$AK$4:$AM$6,3,FALSE)=0,"Spatial Data Missing ⚠",VLOOKUP(V58,'G-7 WaterC'' Data'!$AK$4:$AM$6,3,FALSE)))</f>
        <v/>
      </c>
      <c r="Y58" s="275" t="str">
        <f>IFERROR(IF(OR(LEFT(P58,5)="Error",LEFT(O58,5)="Error"),"Check Data ⚠",IF(F58&lt;S58,'G-7 WaterC'' Data'!$R$3,INDEX('G-7 WaterC'' Data'!$U$5:$Y$9,MATCH(G58,'G-7 WaterC'' Data'!$T$5:$T$9,0),MATCH(T58,'G-7 WaterC'' Data'!$U$4:$Y$4,0)))),"")</f>
        <v/>
      </c>
      <c r="Z58" s="133"/>
      <c r="AA58" s="133"/>
      <c r="AB58" s="283" t="str">
        <f t="shared" si="3"/>
        <v/>
      </c>
      <c r="AC58" s="296" t="str">
        <f t="shared" si="4"/>
        <v/>
      </c>
      <c r="AD58" s="334" t="str">
        <f>IFERROR(IF(AC58="Check Data ⚠","Check Data ⚠",VLOOKUP(AC58,'G-4 Temporal multipliers'!$A$4:$C$37,3,FALSE)),"")</f>
        <v/>
      </c>
      <c r="AE58" s="275" t="str">
        <f>IF(N58="","",VLOOKUP(N58,'G-7 WaterC'' Data'!$B$4:$G$8,5,FALSE))</f>
        <v/>
      </c>
      <c r="AF58" s="283" t="str">
        <f t="shared" si="5"/>
        <v/>
      </c>
      <c r="AG58" s="314" t="str">
        <f t="shared" si="6"/>
        <v/>
      </c>
      <c r="AH58" s="276" t="str">
        <f t="shared" si="0"/>
        <v/>
      </c>
      <c r="AI58" s="105"/>
      <c r="AJ58" s="276" t="str">
        <f>IF(AI58="","",IF(AND(AI58="N/A - Culvert",N58&lt;&gt;"Culvert"),"Not possible ▲",IF(VLOOKUP(AI58,'G-7 WaterC'' Data'!$AA$4:$AB$7,2,FALSE)=0,"Spatial Data Missing ⚠",VLOOKUP(AI58,'G-7 WaterC'' Data'!$AA$4:$AB$7,2,FALSE))))</f>
        <v/>
      </c>
      <c r="AK58" s="106"/>
      <c r="AL58" s="276" t="str">
        <f>IF(AK58="","",IF(AND(AK58="N/A - Culvert",N58&lt;&gt;"Culvert"),"Not possible ▲",IF(VLOOKUP(AK58,'G-7 WaterC'' Data'!$AD$4:$AE$14,2,FALSE)=0,"Spatial Data Missing ⚠",VLOOKUP(AK58,'G-7 WaterC'' Data'!$AD$4:$AE$14,2,FALSE))))</f>
        <v/>
      </c>
      <c r="AM58" s="317" t="str">
        <f t="shared" si="7"/>
        <v/>
      </c>
      <c r="AN58" s="101"/>
      <c r="AO58" s="115"/>
      <c r="AP58" s="104"/>
      <c r="AS58" s="30" t="str">
        <f>IF(B58="","",IF(ISNA(VLOOKUP($B58,'C-1 On-Site WaterC'' Baseline'!$C$8:$AD$257,17,FALSE)),"",(VLOOKUP($B58,'C-1 On-Site WaterC'' Baseline'!$C$8:$AD$257,17,FALSE))))</f>
        <v/>
      </c>
      <c r="AT58" s="30" t="str">
        <f>IF(B58="","",VLOOKUP($B58,'C-1 On-Site WaterC'' Baseline'!$C$9:$Z$257,12,FALSE))</f>
        <v/>
      </c>
      <c r="AU58" s="30" t="str">
        <f>IF(B58="","",VLOOKUP($B58,'C-1 On-Site WaterC'' Baseline'!$C$9:$Z$257,14,FALSE))</f>
        <v/>
      </c>
      <c r="AV58" s="30" t="str">
        <f>IFERROR(INDEX('G-7 WaterC'' Data'!$AZ$3:$AZ$7,MATCH(N58,'G-7 WaterC'' Data'!$AY$3:$AY$7,0)),"")</f>
        <v/>
      </c>
      <c r="AX58" s="30" t="str">
        <f>IF(B58="","",VLOOKUP($B58,'C-1 On-Site WaterC'' Baseline'!$C$9:$Y$257,22,FALSE))</f>
        <v/>
      </c>
      <c r="AY58" s="30" t="str">
        <f t="shared" si="8"/>
        <v/>
      </c>
      <c r="AZ58" s="30" t="str">
        <f>IF(B58="","",VLOOKUP($B58,'C-1 On-Site WaterC'' Baseline'!$C$9:$Y$257,21,FALSE))</f>
        <v/>
      </c>
      <c r="BA58" s="30" t="str">
        <f>IF(B58="","",VLOOKUP($B58,'C-1 On-Site WaterC'' Baseline'!$C$9:$Y$257,19,FALSE))</f>
        <v/>
      </c>
      <c r="BD58" s="30" t="str">
        <f t="shared" si="9"/>
        <v>No</v>
      </c>
    </row>
    <row r="59" spans="2:56" ht="14">
      <c r="B59" s="305" t="str">
        <f>'C-1 On-Site WaterC'' Baseline'!AP57</f>
        <v/>
      </c>
      <c r="C59" s="295" t="str">
        <f>IF(B59="","",VLOOKUP($B59,'C-1 On-Site WaterC'' Baseline'!$C$9:$R$257,2,FALSE))</f>
        <v/>
      </c>
      <c r="D59" s="295" t="str">
        <f>IF(C59="","",VLOOKUP($B59,'C-1 On-Site WaterC'' Baseline'!$C$9:$R$257,3,FALSE))</f>
        <v/>
      </c>
      <c r="E59" s="295" t="str">
        <f>IF(D59="","",VLOOKUP($B59,'C-1 On-Site WaterC'' Baseline'!$C$9:$R$257,4,FALSE))</f>
        <v/>
      </c>
      <c r="F59" s="295" t="str">
        <f>IF(E59="","",VLOOKUP($B59,'C-1 On-Site WaterC'' Baseline'!$C$9:$R$257,5,FALSE))</f>
        <v/>
      </c>
      <c r="G59" s="295" t="str">
        <f>IF(F59="","",VLOOKUP($B59,'C-1 On-Site WaterC'' Baseline'!$C$9:$R$257,6,FALSE))</f>
        <v/>
      </c>
      <c r="H59" s="295" t="str">
        <f>IF(G59="","",VLOOKUP($B59,'C-1 On-Site WaterC'' Baseline'!$C$9:$R$257,7,FALSE))</f>
        <v/>
      </c>
      <c r="I59" s="295" t="str">
        <f>IF(H59="","",VLOOKUP($B59,'C-1 On-Site WaterC'' Baseline'!$C$9:$R$257,8,FALSE))</f>
        <v/>
      </c>
      <c r="J59" s="295" t="str">
        <f>IF(I59="","",VLOOKUP($B59,'C-1 On-Site WaterC'' Baseline'!$C$9:$R$257,9,FALSE))</f>
        <v/>
      </c>
      <c r="K59" s="295" t="str">
        <f>IF(J59="","",VLOOKUP($B59,'C-1 On-Site WaterC'' Baseline'!$C$9:$R$257,10,FALSE))</f>
        <v/>
      </c>
      <c r="L59" s="295" t="str">
        <f>IF(B59="","",VLOOKUP($B59,'C-1 On-Site WaterC'' Baseline'!$C$9:$R$257,15,FALSE))</f>
        <v/>
      </c>
      <c r="M59" s="299" t="str">
        <f>IF(L59="","",VLOOKUP($B59,'C-1 On-Site WaterC'' Baseline'!$C$9:$R$257,16,FALSE))</f>
        <v/>
      </c>
      <c r="N59" s="245"/>
      <c r="O59" s="275" t="str">
        <f t="shared" si="1"/>
        <v/>
      </c>
      <c r="P59" s="276" t="str">
        <f t="shared" si="2"/>
        <v/>
      </c>
      <c r="Q59" s="336" t="str">
        <f>IF(N59="","",VLOOKUP(B59,'C-1 On-Site WaterC'' Baseline'!$C$10:$AC$257,20,FALSE))</f>
        <v/>
      </c>
      <c r="R59" s="275" t="str">
        <f>IF(N59="","",VLOOKUP(N59,'G-7 WaterC'' Data'!$B$2:$G$8,2,FALSE))</f>
        <v/>
      </c>
      <c r="S59" s="276" t="str">
        <f>IFERROR(VLOOKUP(R59,'G-7 WaterC'' Data'!$C$4:$D$8,2,FALSE),"")</f>
        <v/>
      </c>
      <c r="T59" s="101"/>
      <c r="U59" s="276" t="str">
        <f>IFERROR(INDEX('G-7 WaterC'' Data'!$H$4:$L$8,MATCH(N59,'G-7 WaterC'' Data'!$B$4:$B$8,0),MATCH(T59,'G-7 WaterC'' Data'!$H$3:$L$3,0)),"")</f>
        <v/>
      </c>
      <c r="V59" s="101"/>
      <c r="W59" s="283" t="str">
        <f>IF(V59="","",IF(VLOOKUP(V59,'G-7 WaterC'' Data'!$AK$4:$AM$6,2,FALSE)=0,"Spatial Data Missing ⚠",VLOOKUP(V59,'G-7 WaterC'' Data'!$AK$4:$AM$6,2,FALSE)))</f>
        <v/>
      </c>
      <c r="X59" s="276" t="str">
        <f>IF(V59="","",IF(VLOOKUP(V59,'G-7 WaterC'' Data'!$AK$4:$AM$6,3,FALSE)=0,"Spatial Data Missing ⚠",VLOOKUP(V59,'G-7 WaterC'' Data'!$AK$4:$AM$6,3,FALSE)))</f>
        <v/>
      </c>
      <c r="Y59" s="275" t="str">
        <f>IFERROR(IF(OR(LEFT(P59,5)="Error",LEFT(O59,5)="Error"),"Check Data ⚠",IF(F59&lt;S59,'G-7 WaterC'' Data'!$R$3,INDEX('G-7 WaterC'' Data'!$U$5:$Y$9,MATCH(G59,'G-7 WaterC'' Data'!$T$5:$T$9,0),MATCH(T59,'G-7 WaterC'' Data'!$U$4:$Y$4,0)))),"")</f>
        <v/>
      </c>
      <c r="Z59" s="133"/>
      <c r="AA59" s="133"/>
      <c r="AB59" s="283" t="str">
        <f t="shared" si="3"/>
        <v/>
      </c>
      <c r="AC59" s="296" t="str">
        <f t="shared" si="4"/>
        <v/>
      </c>
      <c r="AD59" s="334" t="str">
        <f>IFERROR(IF(AC59="Check Data ⚠","Check Data ⚠",VLOOKUP(AC59,'G-4 Temporal multipliers'!$A$4:$C$37,3,FALSE)),"")</f>
        <v/>
      </c>
      <c r="AE59" s="275" t="str">
        <f>IF(N59="","",VLOOKUP(N59,'G-7 WaterC'' Data'!$B$4:$G$8,5,FALSE))</f>
        <v/>
      </c>
      <c r="AF59" s="283" t="str">
        <f t="shared" si="5"/>
        <v/>
      </c>
      <c r="AG59" s="314" t="str">
        <f t="shared" si="6"/>
        <v/>
      </c>
      <c r="AH59" s="276" t="str">
        <f t="shared" si="0"/>
        <v/>
      </c>
      <c r="AI59" s="105"/>
      <c r="AJ59" s="276" t="str">
        <f>IF(AI59="","",IF(AND(AI59="N/A - Culvert",N59&lt;&gt;"Culvert"),"Not possible ▲",IF(VLOOKUP(AI59,'G-7 WaterC'' Data'!$AA$4:$AB$7,2,FALSE)=0,"Spatial Data Missing ⚠",VLOOKUP(AI59,'G-7 WaterC'' Data'!$AA$4:$AB$7,2,FALSE))))</f>
        <v/>
      </c>
      <c r="AK59" s="106"/>
      <c r="AL59" s="276" t="str">
        <f>IF(AK59="","",IF(AND(AK59="N/A - Culvert",N59&lt;&gt;"Culvert"),"Not possible ▲",IF(VLOOKUP(AK59,'G-7 WaterC'' Data'!$AD$4:$AE$14,2,FALSE)=0,"Spatial Data Missing ⚠",VLOOKUP(AK59,'G-7 WaterC'' Data'!$AD$4:$AE$14,2,FALSE))))</f>
        <v/>
      </c>
      <c r="AM59" s="317" t="str">
        <f t="shared" si="7"/>
        <v/>
      </c>
      <c r="AN59" s="101"/>
      <c r="AO59" s="115"/>
      <c r="AP59" s="104"/>
      <c r="AS59" s="30" t="str">
        <f>IF(B59="","",IF(ISNA(VLOOKUP($B59,'C-1 On-Site WaterC'' Baseline'!$C$8:$AD$257,17,FALSE)),"",(VLOOKUP($B59,'C-1 On-Site WaterC'' Baseline'!$C$8:$AD$257,17,FALSE))))</f>
        <v/>
      </c>
      <c r="AT59" s="30" t="str">
        <f>IF(B59="","",VLOOKUP($B59,'C-1 On-Site WaterC'' Baseline'!$C$9:$Z$257,12,FALSE))</f>
        <v/>
      </c>
      <c r="AU59" s="30" t="str">
        <f>IF(B59="","",VLOOKUP($B59,'C-1 On-Site WaterC'' Baseline'!$C$9:$Z$257,14,FALSE))</f>
        <v/>
      </c>
      <c r="AV59" s="30" t="str">
        <f>IFERROR(INDEX('G-7 WaterC'' Data'!$AZ$3:$AZ$7,MATCH(N59,'G-7 WaterC'' Data'!$AY$3:$AY$7,0)),"")</f>
        <v/>
      </c>
      <c r="AX59" s="30" t="str">
        <f>IF(B59="","",VLOOKUP($B59,'C-1 On-Site WaterC'' Baseline'!$C$9:$Y$257,22,FALSE))</f>
        <v/>
      </c>
      <c r="AY59" s="30" t="str">
        <f t="shared" si="8"/>
        <v/>
      </c>
      <c r="AZ59" s="30" t="str">
        <f>IF(B59="","",VLOOKUP($B59,'C-1 On-Site WaterC'' Baseline'!$C$9:$Y$257,21,FALSE))</f>
        <v/>
      </c>
      <c r="BA59" s="30" t="str">
        <f>IF(B59="","",VLOOKUP($B59,'C-1 On-Site WaterC'' Baseline'!$C$9:$Y$257,19,FALSE))</f>
        <v/>
      </c>
      <c r="BD59" s="30" t="str">
        <f t="shared" si="9"/>
        <v>No</v>
      </c>
    </row>
    <row r="60" spans="2:56" ht="14">
      <c r="B60" s="305" t="str">
        <f>'C-1 On-Site WaterC'' Baseline'!AP58</f>
        <v/>
      </c>
      <c r="C60" s="295" t="str">
        <f>IF(B60="","",VLOOKUP($B60,'C-1 On-Site WaterC'' Baseline'!$C$9:$R$257,2,FALSE))</f>
        <v/>
      </c>
      <c r="D60" s="295" t="str">
        <f>IF(C60="","",VLOOKUP($B60,'C-1 On-Site WaterC'' Baseline'!$C$9:$R$257,3,FALSE))</f>
        <v/>
      </c>
      <c r="E60" s="295" t="str">
        <f>IF(D60="","",VLOOKUP($B60,'C-1 On-Site WaterC'' Baseline'!$C$9:$R$257,4,FALSE))</f>
        <v/>
      </c>
      <c r="F60" s="295" t="str">
        <f>IF(E60="","",VLOOKUP($B60,'C-1 On-Site WaterC'' Baseline'!$C$9:$R$257,5,FALSE))</f>
        <v/>
      </c>
      <c r="G60" s="295" t="str">
        <f>IF(F60="","",VLOOKUP($B60,'C-1 On-Site WaterC'' Baseline'!$C$9:$R$257,6,FALSE))</f>
        <v/>
      </c>
      <c r="H60" s="295" t="str">
        <f>IF(G60="","",VLOOKUP($B60,'C-1 On-Site WaterC'' Baseline'!$C$9:$R$257,7,FALSE))</f>
        <v/>
      </c>
      <c r="I60" s="295" t="str">
        <f>IF(H60="","",VLOOKUP($B60,'C-1 On-Site WaterC'' Baseline'!$C$9:$R$257,8,FALSE))</f>
        <v/>
      </c>
      <c r="J60" s="295" t="str">
        <f>IF(I60="","",VLOOKUP($B60,'C-1 On-Site WaterC'' Baseline'!$C$9:$R$257,9,FALSE))</f>
        <v/>
      </c>
      <c r="K60" s="295" t="str">
        <f>IF(J60="","",VLOOKUP($B60,'C-1 On-Site WaterC'' Baseline'!$C$9:$R$257,10,FALSE))</f>
        <v/>
      </c>
      <c r="L60" s="295" t="str">
        <f>IF(B60="","",VLOOKUP($B60,'C-1 On-Site WaterC'' Baseline'!$C$9:$R$257,15,FALSE))</f>
        <v/>
      </c>
      <c r="M60" s="299" t="str">
        <f>IF(L60="","",VLOOKUP($B60,'C-1 On-Site WaterC'' Baseline'!$C$9:$R$257,16,FALSE))</f>
        <v/>
      </c>
      <c r="N60" s="245"/>
      <c r="O60" s="275" t="str">
        <f t="shared" si="1"/>
        <v/>
      </c>
      <c r="P60" s="276" t="str">
        <f t="shared" si="2"/>
        <v/>
      </c>
      <c r="Q60" s="336" t="str">
        <f>IF(N60="","",VLOOKUP(B60,'C-1 On-Site WaterC'' Baseline'!$C$10:$AC$257,20,FALSE))</f>
        <v/>
      </c>
      <c r="R60" s="275" t="str">
        <f>IF(N60="","",VLOOKUP(N60,'G-7 WaterC'' Data'!$B$2:$G$8,2,FALSE))</f>
        <v/>
      </c>
      <c r="S60" s="276" t="str">
        <f>IFERROR(VLOOKUP(R60,'G-7 WaterC'' Data'!$C$4:$D$8,2,FALSE),"")</f>
        <v/>
      </c>
      <c r="T60" s="101"/>
      <c r="U60" s="276" t="str">
        <f>IFERROR(INDEX('G-7 WaterC'' Data'!$H$4:$L$8,MATCH(N60,'G-7 WaterC'' Data'!$B$4:$B$8,0),MATCH(T60,'G-7 WaterC'' Data'!$H$3:$L$3,0)),"")</f>
        <v/>
      </c>
      <c r="V60" s="101"/>
      <c r="W60" s="283" t="str">
        <f>IF(V60="","",IF(VLOOKUP(V60,'G-7 WaterC'' Data'!$AK$4:$AM$6,2,FALSE)=0,"Spatial Data Missing ⚠",VLOOKUP(V60,'G-7 WaterC'' Data'!$AK$4:$AM$6,2,FALSE)))</f>
        <v/>
      </c>
      <c r="X60" s="276" t="str">
        <f>IF(V60="","",IF(VLOOKUP(V60,'G-7 WaterC'' Data'!$AK$4:$AM$6,3,FALSE)=0,"Spatial Data Missing ⚠",VLOOKUP(V60,'G-7 WaterC'' Data'!$AK$4:$AM$6,3,FALSE)))</f>
        <v/>
      </c>
      <c r="Y60" s="275" t="str">
        <f>IFERROR(IF(OR(LEFT(P60,5)="Error",LEFT(O60,5)="Error"),"Check Data ⚠",IF(F60&lt;S60,'G-7 WaterC'' Data'!$R$3,INDEX('G-7 WaterC'' Data'!$U$5:$Y$9,MATCH(G60,'G-7 WaterC'' Data'!$T$5:$T$9,0),MATCH(T60,'G-7 WaterC'' Data'!$U$4:$Y$4,0)))),"")</f>
        <v/>
      </c>
      <c r="Z60" s="133"/>
      <c r="AA60" s="133"/>
      <c r="AB60" s="283" t="str">
        <f t="shared" si="3"/>
        <v/>
      </c>
      <c r="AC60" s="296" t="str">
        <f t="shared" si="4"/>
        <v/>
      </c>
      <c r="AD60" s="334" t="str">
        <f>IFERROR(IF(AC60="Check Data ⚠","Check Data ⚠",VLOOKUP(AC60,'G-4 Temporal multipliers'!$A$4:$C$37,3,FALSE)),"")</f>
        <v/>
      </c>
      <c r="AE60" s="275" t="str">
        <f>IF(N60="","",VLOOKUP(N60,'G-7 WaterC'' Data'!$B$4:$G$8,5,FALSE))</f>
        <v/>
      </c>
      <c r="AF60" s="283" t="str">
        <f t="shared" si="5"/>
        <v/>
      </c>
      <c r="AG60" s="314" t="str">
        <f t="shared" si="6"/>
        <v/>
      </c>
      <c r="AH60" s="276" t="str">
        <f t="shared" si="0"/>
        <v/>
      </c>
      <c r="AI60" s="105"/>
      <c r="AJ60" s="276" t="str">
        <f>IF(AI60="","",IF(AND(AI60="N/A - Culvert",N60&lt;&gt;"Culvert"),"Not possible ▲",IF(VLOOKUP(AI60,'G-7 WaterC'' Data'!$AA$4:$AB$7,2,FALSE)=0,"Spatial Data Missing ⚠",VLOOKUP(AI60,'G-7 WaterC'' Data'!$AA$4:$AB$7,2,FALSE))))</f>
        <v/>
      </c>
      <c r="AK60" s="106"/>
      <c r="AL60" s="276" t="str">
        <f>IF(AK60="","",IF(AND(AK60="N/A - Culvert",N60&lt;&gt;"Culvert"),"Not possible ▲",IF(VLOOKUP(AK60,'G-7 WaterC'' Data'!$AD$4:$AE$14,2,FALSE)=0,"Spatial Data Missing ⚠",VLOOKUP(AK60,'G-7 WaterC'' Data'!$AD$4:$AE$14,2,FALSE))))</f>
        <v/>
      </c>
      <c r="AM60" s="317" t="str">
        <f t="shared" si="7"/>
        <v/>
      </c>
      <c r="AN60" s="101"/>
      <c r="AO60" s="115"/>
      <c r="AP60" s="104"/>
      <c r="AS60" s="30" t="str">
        <f>IF(B60="","",IF(ISNA(VLOOKUP($B60,'C-1 On-Site WaterC'' Baseline'!$C$8:$AD$257,17,FALSE)),"",(VLOOKUP($B60,'C-1 On-Site WaterC'' Baseline'!$C$8:$AD$257,17,FALSE))))</f>
        <v/>
      </c>
      <c r="AT60" s="30" t="str">
        <f>IF(B60="","",VLOOKUP($B60,'C-1 On-Site WaterC'' Baseline'!$C$9:$Z$257,12,FALSE))</f>
        <v/>
      </c>
      <c r="AU60" s="30" t="str">
        <f>IF(B60="","",VLOOKUP($B60,'C-1 On-Site WaterC'' Baseline'!$C$9:$Z$257,14,FALSE))</f>
        <v/>
      </c>
      <c r="AV60" s="30" t="str">
        <f>IFERROR(INDEX('G-7 WaterC'' Data'!$AZ$3:$AZ$7,MATCH(N60,'G-7 WaterC'' Data'!$AY$3:$AY$7,0)),"")</f>
        <v/>
      </c>
      <c r="AX60" s="30" t="str">
        <f>IF(B60="","",VLOOKUP($B60,'C-1 On-Site WaterC'' Baseline'!$C$9:$Y$257,22,FALSE))</f>
        <v/>
      </c>
      <c r="AY60" s="30" t="str">
        <f t="shared" si="8"/>
        <v/>
      </c>
      <c r="AZ60" s="30" t="str">
        <f>IF(B60="","",VLOOKUP($B60,'C-1 On-Site WaterC'' Baseline'!$C$9:$Y$257,21,FALSE))</f>
        <v/>
      </c>
      <c r="BA60" s="30" t="str">
        <f>IF(B60="","",VLOOKUP($B60,'C-1 On-Site WaterC'' Baseline'!$C$9:$Y$257,19,FALSE))</f>
        <v/>
      </c>
      <c r="BD60" s="30" t="str">
        <f t="shared" si="9"/>
        <v>No</v>
      </c>
    </row>
    <row r="61" spans="2:56" ht="14">
      <c r="B61" s="305" t="str">
        <f>'C-1 On-Site WaterC'' Baseline'!AP59</f>
        <v/>
      </c>
      <c r="C61" s="295" t="str">
        <f>IF(B61="","",VLOOKUP($B61,'C-1 On-Site WaterC'' Baseline'!$C$9:$R$257,2,FALSE))</f>
        <v/>
      </c>
      <c r="D61" s="295" t="str">
        <f>IF(C61="","",VLOOKUP($B61,'C-1 On-Site WaterC'' Baseline'!$C$9:$R$257,3,FALSE))</f>
        <v/>
      </c>
      <c r="E61" s="295" t="str">
        <f>IF(D61="","",VLOOKUP($B61,'C-1 On-Site WaterC'' Baseline'!$C$9:$R$257,4,FALSE))</f>
        <v/>
      </c>
      <c r="F61" s="295" t="str">
        <f>IF(E61="","",VLOOKUP($B61,'C-1 On-Site WaterC'' Baseline'!$C$9:$R$257,5,FALSE))</f>
        <v/>
      </c>
      <c r="G61" s="295" t="str">
        <f>IF(F61="","",VLOOKUP($B61,'C-1 On-Site WaterC'' Baseline'!$C$9:$R$257,6,FALSE))</f>
        <v/>
      </c>
      <c r="H61" s="295" t="str">
        <f>IF(G61="","",VLOOKUP($B61,'C-1 On-Site WaterC'' Baseline'!$C$9:$R$257,7,FALSE))</f>
        <v/>
      </c>
      <c r="I61" s="295" t="str">
        <f>IF(H61="","",VLOOKUP($B61,'C-1 On-Site WaterC'' Baseline'!$C$9:$R$257,8,FALSE))</f>
        <v/>
      </c>
      <c r="J61" s="295" t="str">
        <f>IF(I61="","",VLOOKUP($B61,'C-1 On-Site WaterC'' Baseline'!$C$9:$R$257,9,FALSE))</f>
        <v/>
      </c>
      <c r="K61" s="295" t="str">
        <f>IF(J61="","",VLOOKUP($B61,'C-1 On-Site WaterC'' Baseline'!$C$9:$R$257,10,FALSE))</f>
        <v/>
      </c>
      <c r="L61" s="295" t="str">
        <f>IF(B61="","",VLOOKUP($B61,'C-1 On-Site WaterC'' Baseline'!$C$9:$R$257,15,FALSE))</f>
        <v/>
      </c>
      <c r="M61" s="299" t="str">
        <f>IF(L61="","",VLOOKUP($B61,'C-1 On-Site WaterC'' Baseline'!$C$9:$R$257,16,FALSE))</f>
        <v/>
      </c>
      <c r="N61" s="245"/>
      <c r="O61" s="275" t="str">
        <f t="shared" si="1"/>
        <v/>
      </c>
      <c r="P61" s="276" t="str">
        <f t="shared" si="2"/>
        <v/>
      </c>
      <c r="Q61" s="336" t="str">
        <f>IF(N61="","",VLOOKUP(B61,'C-1 On-Site WaterC'' Baseline'!$C$10:$AC$257,20,FALSE))</f>
        <v/>
      </c>
      <c r="R61" s="275" t="str">
        <f>IF(N61="","",VLOOKUP(N61,'G-7 WaterC'' Data'!$B$2:$G$8,2,FALSE))</f>
        <v/>
      </c>
      <c r="S61" s="276" t="str">
        <f>IFERROR(VLOOKUP(R61,'G-7 WaterC'' Data'!$C$4:$D$8,2,FALSE),"")</f>
        <v/>
      </c>
      <c r="T61" s="101"/>
      <c r="U61" s="276" t="str">
        <f>IFERROR(INDEX('G-7 WaterC'' Data'!$H$4:$L$8,MATCH(N61,'G-7 WaterC'' Data'!$B$4:$B$8,0),MATCH(T61,'G-7 WaterC'' Data'!$H$3:$L$3,0)),"")</f>
        <v/>
      </c>
      <c r="V61" s="101"/>
      <c r="W61" s="283" t="str">
        <f>IF(V61="","",IF(VLOOKUP(V61,'G-7 WaterC'' Data'!$AK$4:$AM$6,2,FALSE)=0,"Spatial Data Missing ⚠",VLOOKUP(V61,'G-7 WaterC'' Data'!$AK$4:$AM$6,2,FALSE)))</f>
        <v/>
      </c>
      <c r="X61" s="276" t="str">
        <f>IF(V61="","",IF(VLOOKUP(V61,'G-7 WaterC'' Data'!$AK$4:$AM$6,3,FALSE)=0,"Spatial Data Missing ⚠",VLOOKUP(V61,'G-7 WaterC'' Data'!$AK$4:$AM$6,3,FALSE)))</f>
        <v/>
      </c>
      <c r="Y61" s="275" t="str">
        <f>IFERROR(IF(OR(LEFT(P61,5)="Error",LEFT(O61,5)="Error"),"Check Data ⚠",IF(F61&lt;S61,'G-7 WaterC'' Data'!$R$3,INDEX('G-7 WaterC'' Data'!$U$5:$Y$9,MATCH(G61,'G-7 WaterC'' Data'!$T$5:$T$9,0),MATCH(T61,'G-7 WaterC'' Data'!$U$4:$Y$4,0)))),"")</f>
        <v/>
      </c>
      <c r="Z61" s="133"/>
      <c r="AA61" s="133"/>
      <c r="AB61" s="283" t="str">
        <f t="shared" si="3"/>
        <v/>
      </c>
      <c r="AC61" s="296" t="str">
        <f t="shared" si="4"/>
        <v/>
      </c>
      <c r="AD61" s="334" t="str">
        <f>IFERROR(IF(AC61="Check Data ⚠","Check Data ⚠",VLOOKUP(AC61,'G-4 Temporal multipliers'!$A$4:$C$37,3,FALSE)),"")</f>
        <v/>
      </c>
      <c r="AE61" s="275" t="str">
        <f>IF(N61="","",VLOOKUP(N61,'G-7 WaterC'' Data'!$B$4:$G$8,5,FALSE))</f>
        <v/>
      </c>
      <c r="AF61" s="283" t="str">
        <f t="shared" si="5"/>
        <v/>
      </c>
      <c r="AG61" s="314" t="str">
        <f t="shared" si="6"/>
        <v/>
      </c>
      <c r="AH61" s="276" t="str">
        <f t="shared" si="0"/>
        <v/>
      </c>
      <c r="AI61" s="105"/>
      <c r="AJ61" s="276" t="str">
        <f>IF(AI61="","",IF(AND(AI61="N/A - Culvert",N61&lt;&gt;"Culvert"),"Not possible ▲",IF(VLOOKUP(AI61,'G-7 WaterC'' Data'!$AA$4:$AB$7,2,FALSE)=0,"Spatial Data Missing ⚠",VLOOKUP(AI61,'G-7 WaterC'' Data'!$AA$4:$AB$7,2,FALSE))))</f>
        <v/>
      </c>
      <c r="AK61" s="106"/>
      <c r="AL61" s="276" t="str">
        <f>IF(AK61="","",IF(AND(AK61="N/A - Culvert",N61&lt;&gt;"Culvert"),"Not possible ▲",IF(VLOOKUP(AK61,'G-7 WaterC'' Data'!$AD$4:$AE$14,2,FALSE)=0,"Spatial Data Missing ⚠",VLOOKUP(AK61,'G-7 WaterC'' Data'!$AD$4:$AE$14,2,FALSE))))</f>
        <v/>
      </c>
      <c r="AM61" s="317" t="str">
        <f t="shared" si="7"/>
        <v/>
      </c>
      <c r="AN61" s="101"/>
      <c r="AO61" s="115"/>
      <c r="AP61" s="104"/>
      <c r="AS61" s="30" t="str">
        <f>IF(B61="","",IF(ISNA(VLOOKUP($B61,'C-1 On-Site WaterC'' Baseline'!$C$8:$AD$257,17,FALSE)),"",(VLOOKUP($B61,'C-1 On-Site WaterC'' Baseline'!$C$8:$AD$257,17,FALSE))))</f>
        <v/>
      </c>
      <c r="AT61" s="30" t="str">
        <f>IF(B61="","",VLOOKUP($B61,'C-1 On-Site WaterC'' Baseline'!$C$9:$Z$257,12,FALSE))</f>
        <v/>
      </c>
      <c r="AU61" s="30" t="str">
        <f>IF(B61="","",VLOOKUP($B61,'C-1 On-Site WaterC'' Baseline'!$C$9:$Z$257,14,FALSE))</f>
        <v/>
      </c>
      <c r="AV61" s="30" t="str">
        <f>IFERROR(INDEX('G-7 WaterC'' Data'!$AZ$3:$AZ$7,MATCH(N61,'G-7 WaterC'' Data'!$AY$3:$AY$7,0)),"")</f>
        <v/>
      </c>
      <c r="AX61" s="30" t="str">
        <f>IF(B61="","",VLOOKUP($B61,'C-1 On-Site WaterC'' Baseline'!$C$9:$Y$257,22,FALSE))</f>
        <v/>
      </c>
      <c r="AY61" s="30" t="str">
        <f t="shared" si="8"/>
        <v/>
      </c>
      <c r="AZ61" s="30" t="str">
        <f>IF(B61="","",VLOOKUP($B61,'C-1 On-Site WaterC'' Baseline'!$C$9:$Y$257,21,FALSE))</f>
        <v/>
      </c>
      <c r="BA61" s="30" t="str">
        <f>IF(B61="","",VLOOKUP($B61,'C-1 On-Site WaterC'' Baseline'!$C$9:$Y$257,19,FALSE))</f>
        <v/>
      </c>
      <c r="BD61" s="30" t="str">
        <f t="shared" si="9"/>
        <v>No</v>
      </c>
    </row>
    <row r="62" spans="2:56" ht="14">
      <c r="B62" s="305" t="str">
        <f>'C-1 On-Site WaterC'' Baseline'!AP60</f>
        <v/>
      </c>
      <c r="C62" s="295" t="str">
        <f>IF(B62="","",VLOOKUP($B62,'C-1 On-Site WaterC'' Baseline'!$C$9:$R$257,2,FALSE))</f>
        <v/>
      </c>
      <c r="D62" s="295" t="str">
        <f>IF(C62="","",VLOOKUP($B62,'C-1 On-Site WaterC'' Baseline'!$C$9:$R$257,3,FALSE))</f>
        <v/>
      </c>
      <c r="E62" s="295" t="str">
        <f>IF(D62="","",VLOOKUP($B62,'C-1 On-Site WaterC'' Baseline'!$C$9:$R$257,4,FALSE))</f>
        <v/>
      </c>
      <c r="F62" s="295" t="str">
        <f>IF(E62="","",VLOOKUP($B62,'C-1 On-Site WaterC'' Baseline'!$C$9:$R$257,5,FALSE))</f>
        <v/>
      </c>
      <c r="G62" s="295" t="str">
        <f>IF(F62="","",VLOOKUP($B62,'C-1 On-Site WaterC'' Baseline'!$C$9:$R$257,6,FALSE))</f>
        <v/>
      </c>
      <c r="H62" s="295" t="str">
        <f>IF(G62="","",VLOOKUP($B62,'C-1 On-Site WaterC'' Baseline'!$C$9:$R$257,7,FALSE))</f>
        <v/>
      </c>
      <c r="I62" s="295" t="str">
        <f>IF(H62="","",VLOOKUP($B62,'C-1 On-Site WaterC'' Baseline'!$C$9:$R$257,8,FALSE))</f>
        <v/>
      </c>
      <c r="J62" s="295" t="str">
        <f>IF(I62="","",VLOOKUP($B62,'C-1 On-Site WaterC'' Baseline'!$C$9:$R$257,9,FALSE))</f>
        <v/>
      </c>
      <c r="K62" s="295" t="str">
        <f>IF(J62="","",VLOOKUP($B62,'C-1 On-Site WaterC'' Baseline'!$C$9:$R$257,10,FALSE))</f>
        <v/>
      </c>
      <c r="L62" s="295" t="str">
        <f>IF(B62="","",VLOOKUP($B62,'C-1 On-Site WaterC'' Baseline'!$C$9:$R$257,15,FALSE))</f>
        <v/>
      </c>
      <c r="M62" s="299" t="str">
        <f>IF(L62="","",VLOOKUP($B62,'C-1 On-Site WaterC'' Baseline'!$C$9:$R$257,16,FALSE))</f>
        <v/>
      </c>
      <c r="N62" s="245"/>
      <c r="O62" s="275" t="str">
        <f t="shared" si="1"/>
        <v/>
      </c>
      <c r="P62" s="276" t="str">
        <f t="shared" si="2"/>
        <v/>
      </c>
      <c r="Q62" s="336" t="str">
        <f>IF(N62="","",VLOOKUP(B62,'C-1 On-Site WaterC'' Baseline'!$C$10:$AC$257,20,FALSE))</f>
        <v/>
      </c>
      <c r="R62" s="275" t="str">
        <f>IF(N62="","",VLOOKUP(N62,'G-7 WaterC'' Data'!$B$2:$G$8,2,FALSE))</f>
        <v/>
      </c>
      <c r="S62" s="276" t="str">
        <f>IFERROR(VLOOKUP(R62,'G-7 WaterC'' Data'!$C$4:$D$8,2,FALSE),"")</f>
        <v/>
      </c>
      <c r="T62" s="101"/>
      <c r="U62" s="276" t="str">
        <f>IFERROR(INDEX('G-7 WaterC'' Data'!$H$4:$L$8,MATCH(N62,'G-7 WaterC'' Data'!$B$4:$B$8,0),MATCH(T62,'G-7 WaterC'' Data'!$H$3:$L$3,0)),"")</f>
        <v/>
      </c>
      <c r="V62" s="101"/>
      <c r="W62" s="283" t="str">
        <f>IF(V62="","",IF(VLOOKUP(V62,'G-7 WaterC'' Data'!$AK$4:$AM$6,2,FALSE)=0,"Spatial Data Missing ⚠",VLOOKUP(V62,'G-7 WaterC'' Data'!$AK$4:$AM$6,2,FALSE)))</f>
        <v/>
      </c>
      <c r="X62" s="276" t="str">
        <f>IF(V62="","",IF(VLOOKUP(V62,'G-7 WaterC'' Data'!$AK$4:$AM$6,3,FALSE)=0,"Spatial Data Missing ⚠",VLOOKUP(V62,'G-7 WaterC'' Data'!$AK$4:$AM$6,3,FALSE)))</f>
        <v/>
      </c>
      <c r="Y62" s="275" t="str">
        <f>IFERROR(IF(OR(LEFT(P62,5)="Error",LEFT(O62,5)="Error"),"Check Data ⚠",IF(F62&lt;S62,'G-7 WaterC'' Data'!$R$3,INDEX('G-7 WaterC'' Data'!$U$5:$Y$9,MATCH(G62,'G-7 WaterC'' Data'!$T$5:$T$9,0),MATCH(T62,'G-7 WaterC'' Data'!$U$4:$Y$4,0)))),"")</f>
        <v/>
      </c>
      <c r="Z62" s="133"/>
      <c r="AA62" s="133"/>
      <c r="AB62" s="283" t="str">
        <f t="shared" si="3"/>
        <v/>
      </c>
      <c r="AC62" s="296" t="str">
        <f t="shared" si="4"/>
        <v/>
      </c>
      <c r="AD62" s="334" t="str">
        <f>IFERROR(IF(AC62="Check Data ⚠","Check Data ⚠",VLOOKUP(AC62,'G-4 Temporal multipliers'!$A$4:$C$37,3,FALSE)),"")</f>
        <v/>
      </c>
      <c r="AE62" s="275" t="str">
        <f>IF(N62="","",VLOOKUP(N62,'G-7 WaterC'' Data'!$B$4:$G$8,5,FALSE))</f>
        <v/>
      </c>
      <c r="AF62" s="283" t="str">
        <f t="shared" si="5"/>
        <v/>
      </c>
      <c r="AG62" s="314" t="str">
        <f t="shared" si="6"/>
        <v/>
      </c>
      <c r="AH62" s="276" t="str">
        <f t="shared" si="0"/>
        <v/>
      </c>
      <c r="AI62" s="105"/>
      <c r="AJ62" s="276" t="str">
        <f>IF(AI62="","",IF(AND(AI62="N/A - Culvert",N62&lt;&gt;"Culvert"),"Not possible ▲",IF(VLOOKUP(AI62,'G-7 WaterC'' Data'!$AA$4:$AB$7,2,FALSE)=0,"Spatial Data Missing ⚠",VLOOKUP(AI62,'G-7 WaterC'' Data'!$AA$4:$AB$7,2,FALSE))))</f>
        <v/>
      </c>
      <c r="AK62" s="106"/>
      <c r="AL62" s="276" t="str">
        <f>IF(AK62="","",IF(AND(AK62="N/A - Culvert",N62&lt;&gt;"Culvert"),"Not possible ▲",IF(VLOOKUP(AK62,'G-7 WaterC'' Data'!$AD$4:$AE$14,2,FALSE)=0,"Spatial Data Missing ⚠",VLOOKUP(AK62,'G-7 WaterC'' Data'!$AD$4:$AE$14,2,FALSE))))</f>
        <v/>
      </c>
      <c r="AM62" s="317" t="str">
        <f t="shared" si="7"/>
        <v/>
      </c>
      <c r="AN62" s="101"/>
      <c r="AO62" s="115"/>
      <c r="AP62" s="104"/>
      <c r="AS62" s="30" t="str">
        <f>IF(B62="","",IF(ISNA(VLOOKUP($B62,'C-1 On-Site WaterC'' Baseline'!$C$8:$AD$257,17,FALSE)),"",(VLOOKUP($B62,'C-1 On-Site WaterC'' Baseline'!$C$8:$AD$257,17,FALSE))))</f>
        <v/>
      </c>
      <c r="AT62" s="30" t="str">
        <f>IF(B62="","",VLOOKUP($B62,'C-1 On-Site WaterC'' Baseline'!$C$9:$Z$257,12,FALSE))</f>
        <v/>
      </c>
      <c r="AU62" s="30" t="str">
        <f>IF(B62="","",VLOOKUP($B62,'C-1 On-Site WaterC'' Baseline'!$C$9:$Z$257,14,FALSE))</f>
        <v/>
      </c>
      <c r="AV62" s="30" t="str">
        <f>IFERROR(INDEX('G-7 WaterC'' Data'!$AZ$3:$AZ$7,MATCH(N62,'G-7 WaterC'' Data'!$AY$3:$AY$7,0)),"")</f>
        <v/>
      </c>
      <c r="AX62" s="30" t="str">
        <f>IF(B62="","",VLOOKUP($B62,'C-1 On-Site WaterC'' Baseline'!$C$9:$Y$257,22,FALSE))</f>
        <v/>
      </c>
      <c r="AY62" s="30" t="str">
        <f t="shared" si="8"/>
        <v/>
      </c>
      <c r="AZ62" s="30" t="str">
        <f>IF(B62="","",VLOOKUP($B62,'C-1 On-Site WaterC'' Baseline'!$C$9:$Y$257,21,FALSE))</f>
        <v/>
      </c>
      <c r="BA62" s="30" t="str">
        <f>IF(B62="","",VLOOKUP($B62,'C-1 On-Site WaterC'' Baseline'!$C$9:$Y$257,19,FALSE))</f>
        <v/>
      </c>
      <c r="BD62" s="30" t="str">
        <f t="shared" si="9"/>
        <v>No</v>
      </c>
    </row>
    <row r="63" spans="2:56" ht="14">
      <c r="B63" s="305" t="str">
        <f>'C-1 On-Site WaterC'' Baseline'!AP61</f>
        <v/>
      </c>
      <c r="C63" s="295" t="str">
        <f>IF(B63="","",VLOOKUP($B63,'C-1 On-Site WaterC'' Baseline'!$C$9:$R$257,2,FALSE))</f>
        <v/>
      </c>
      <c r="D63" s="295" t="str">
        <f>IF(C63="","",VLOOKUP($B63,'C-1 On-Site WaterC'' Baseline'!$C$9:$R$257,3,FALSE))</f>
        <v/>
      </c>
      <c r="E63" s="295" t="str">
        <f>IF(D63="","",VLOOKUP($B63,'C-1 On-Site WaterC'' Baseline'!$C$9:$R$257,4,FALSE))</f>
        <v/>
      </c>
      <c r="F63" s="295" t="str">
        <f>IF(E63="","",VLOOKUP($B63,'C-1 On-Site WaterC'' Baseline'!$C$9:$R$257,5,FALSE))</f>
        <v/>
      </c>
      <c r="G63" s="295" t="str">
        <f>IF(F63="","",VLOOKUP($B63,'C-1 On-Site WaterC'' Baseline'!$C$9:$R$257,6,FALSE))</f>
        <v/>
      </c>
      <c r="H63" s="295" t="str">
        <f>IF(G63="","",VLOOKUP($B63,'C-1 On-Site WaterC'' Baseline'!$C$9:$R$257,7,FALSE))</f>
        <v/>
      </c>
      <c r="I63" s="295" t="str">
        <f>IF(H63="","",VLOOKUP($B63,'C-1 On-Site WaterC'' Baseline'!$C$9:$R$257,8,FALSE))</f>
        <v/>
      </c>
      <c r="J63" s="295" t="str">
        <f>IF(I63="","",VLOOKUP($B63,'C-1 On-Site WaterC'' Baseline'!$C$9:$R$257,9,FALSE))</f>
        <v/>
      </c>
      <c r="K63" s="295" t="str">
        <f>IF(J63="","",VLOOKUP($B63,'C-1 On-Site WaterC'' Baseline'!$C$9:$R$257,10,FALSE))</f>
        <v/>
      </c>
      <c r="L63" s="295" t="str">
        <f>IF(B63="","",VLOOKUP($B63,'C-1 On-Site WaterC'' Baseline'!$C$9:$R$257,15,FALSE))</f>
        <v/>
      </c>
      <c r="M63" s="299" t="str">
        <f>IF(L63="","",VLOOKUP($B63,'C-1 On-Site WaterC'' Baseline'!$C$9:$R$257,16,FALSE))</f>
        <v/>
      </c>
      <c r="N63" s="245"/>
      <c r="O63" s="275" t="str">
        <f t="shared" si="1"/>
        <v/>
      </c>
      <c r="P63" s="276" t="str">
        <f t="shared" si="2"/>
        <v/>
      </c>
      <c r="Q63" s="336" t="str">
        <f>IF(N63="","",VLOOKUP(B63,'C-1 On-Site WaterC'' Baseline'!$C$10:$AC$257,20,FALSE))</f>
        <v/>
      </c>
      <c r="R63" s="275" t="str">
        <f>IF(N63="","",VLOOKUP(N63,'G-7 WaterC'' Data'!$B$2:$G$8,2,FALSE))</f>
        <v/>
      </c>
      <c r="S63" s="276" t="str">
        <f>IFERROR(VLOOKUP(R63,'G-7 WaterC'' Data'!$C$4:$D$8,2,FALSE),"")</f>
        <v/>
      </c>
      <c r="T63" s="101"/>
      <c r="U63" s="276" t="str">
        <f>IFERROR(INDEX('G-7 WaterC'' Data'!$H$4:$L$8,MATCH(N63,'G-7 WaterC'' Data'!$B$4:$B$8,0),MATCH(T63,'G-7 WaterC'' Data'!$H$3:$L$3,0)),"")</f>
        <v/>
      </c>
      <c r="V63" s="101"/>
      <c r="W63" s="283" t="str">
        <f>IF(V63="","",IF(VLOOKUP(V63,'G-7 WaterC'' Data'!$AK$4:$AM$6,2,FALSE)=0,"Spatial Data Missing ⚠",VLOOKUP(V63,'G-7 WaterC'' Data'!$AK$4:$AM$6,2,FALSE)))</f>
        <v/>
      </c>
      <c r="X63" s="276" t="str">
        <f>IF(V63="","",IF(VLOOKUP(V63,'G-7 WaterC'' Data'!$AK$4:$AM$6,3,FALSE)=0,"Spatial Data Missing ⚠",VLOOKUP(V63,'G-7 WaterC'' Data'!$AK$4:$AM$6,3,FALSE)))</f>
        <v/>
      </c>
      <c r="Y63" s="275" t="str">
        <f>IFERROR(IF(OR(LEFT(P63,5)="Error",LEFT(O63,5)="Error"),"Check Data ⚠",IF(F63&lt;S63,'G-7 WaterC'' Data'!$R$3,INDEX('G-7 WaterC'' Data'!$U$5:$Y$9,MATCH(G63,'G-7 WaterC'' Data'!$T$5:$T$9,0),MATCH(T63,'G-7 WaterC'' Data'!$U$4:$Y$4,0)))),"")</f>
        <v/>
      </c>
      <c r="Z63" s="133"/>
      <c r="AA63" s="133"/>
      <c r="AB63" s="283" t="str">
        <f t="shared" si="3"/>
        <v/>
      </c>
      <c r="AC63" s="296" t="str">
        <f t="shared" si="4"/>
        <v/>
      </c>
      <c r="AD63" s="334" t="str">
        <f>IFERROR(IF(AC63="Check Data ⚠","Check Data ⚠",VLOOKUP(AC63,'G-4 Temporal multipliers'!$A$4:$C$37,3,FALSE)),"")</f>
        <v/>
      </c>
      <c r="AE63" s="275" t="str">
        <f>IF(N63="","",VLOOKUP(N63,'G-7 WaterC'' Data'!$B$4:$G$8,5,FALSE))</f>
        <v/>
      </c>
      <c r="AF63" s="283" t="str">
        <f t="shared" si="5"/>
        <v/>
      </c>
      <c r="AG63" s="314" t="str">
        <f t="shared" si="6"/>
        <v/>
      </c>
      <c r="AH63" s="276" t="str">
        <f t="shared" si="0"/>
        <v/>
      </c>
      <c r="AI63" s="105"/>
      <c r="AJ63" s="276" t="str">
        <f>IF(AI63="","",IF(AND(AI63="N/A - Culvert",N63&lt;&gt;"Culvert"),"Not possible ▲",IF(VLOOKUP(AI63,'G-7 WaterC'' Data'!$AA$4:$AB$7,2,FALSE)=0,"Spatial Data Missing ⚠",VLOOKUP(AI63,'G-7 WaterC'' Data'!$AA$4:$AB$7,2,FALSE))))</f>
        <v/>
      </c>
      <c r="AK63" s="106"/>
      <c r="AL63" s="276" t="str">
        <f>IF(AK63="","",IF(AND(AK63="N/A - Culvert",N63&lt;&gt;"Culvert"),"Not possible ▲",IF(VLOOKUP(AK63,'G-7 WaterC'' Data'!$AD$4:$AE$14,2,FALSE)=0,"Spatial Data Missing ⚠",VLOOKUP(AK63,'G-7 WaterC'' Data'!$AD$4:$AE$14,2,FALSE))))</f>
        <v/>
      </c>
      <c r="AM63" s="317" t="str">
        <f t="shared" si="7"/>
        <v/>
      </c>
      <c r="AN63" s="101"/>
      <c r="AO63" s="115"/>
      <c r="AP63" s="104"/>
      <c r="AS63" s="30" t="str">
        <f>IF(B63="","",IF(ISNA(VLOOKUP($B63,'C-1 On-Site WaterC'' Baseline'!$C$8:$AD$257,17,FALSE)),"",(VLOOKUP($B63,'C-1 On-Site WaterC'' Baseline'!$C$8:$AD$257,17,FALSE))))</f>
        <v/>
      </c>
      <c r="AT63" s="30" t="str">
        <f>IF(B63="","",VLOOKUP($B63,'C-1 On-Site WaterC'' Baseline'!$C$9:$Z$257,12,FALSE))</f>
        <v/>
      </c>
      <c r="AU63" s="30" t="str">
        <f>IF(B63="","",VLOOKUP($B63,'C-1 On-Site WaterC'' Baseline'!$C$9:$Z$257,14,FALSE))</f>
        <v/>
      </c>
      <c r="AV63" s="30" t="str">
        <f>IFERROR(INDEX('G-7 WaterC'' Data'!$AZ$3:$AZ$7,MATCH(N63,'G-7 WaterC'' Data'!$AY$3:$AY$7,0)),"")</f>
        <v/>
      </c>
      <c r="AX63" s="30" t="str">
        <f>IF(B63="","",VLOOKUP($B63,'C-1 On-Site WaterC'' Baseline'!$C$9:$Y$257,22,FALSE))</f>
        <v/>
      </c>
      <c r="AY63" s="30" t="str">
        <f t="shared" si="8"/>
        <v/>
      </c>
      <c r="AZ63" s="30" t="str">
        <f>IF(B63="","",VLOOKUP($B63,'C-1 On-Site WaterC'' Baseline'!$C$9:$Y$257,21,FALSE))</f>
        <v/>
      </c>
      <c r="BA63" s="30" t="str">
        <f>IF(B63="","",VLOOKUP($B63,'C-1 On-Site WaterC'' Baseline'!$C$9:$Y$257,19,FALSE))</f>
        <v/>
      </c>
      <c r="BD63" s="30" t="str">
        <f t="shared" si="9"/>
        <v>No</v>
      </c>
    </row>
    <row r="64" spans="2:56" ht="14">
      <c r="B64" s="305" t="str">
        <f>'C-1 On-Site WaterC'' Baseline'!AP62</f>
        <v/>
      </c>
      <c r="C64" s="295" t="str">
        <f>IF(B64="","",VLOOKUP($B64,'C-1 On-Site WaterC'' Baseline'!$C$9:$R$257,2,FALSE))</f>
        <v/>
      </c>
      <c r="D64" s="295" t="str">
        <f>IF(C64="","",VLOOKUP($B64,'C-1 On-Site WaterC'' Baseline'!$C$9:$R$257,3,FALSE))</f>
        <v/>
      </c>
      <c r="E64" s="295" t="str">
        <f>IF(D64="","",VLOOKUP($B64,'C-1 On-Site WaterC'' Baseline'!$C$9:$R$257,4,FALSE))</f>
        <v/>
      </c>
      <c r="F64" s="295" t="str">
        <f>IF(E64="","",VLOOKUP($B64,'C-1 On-Site WaterC'' Baseline'!$C$9:$R$257,5,FALSE))</f>
        <v/>
      </c>
      <c r="G64" s="295" t="str">
        <f>IF(F64="","",VLOOKUP($B64,'C-1 On-Site WaterC'' Baseline'!$C$9:$R$257,6,FALSE))</f>
        <v/>
      </c>
      <c r="H64" s="295" t="str">
        <f>IF(G64="","",VLOOKUP($B64,'C-1 On-Site WaterC'' Baseline'!$C$9:$R$257,7,FALSE))</f>
        <v/>
      </c>
      <c r="I64" s="295" t="str">
        <f>IF(H64="","",VLOOKUP($B64,'C-1 On-Site WaterC'' Baseline'!$C$9:$R$257,8,FALSE))</f>
        <v/>
      </c>
      <c r="J64" s="295" t="str">
        <f>IF(I64="","",VLOOKUP($B64,'C-1 On-Site WaterC'' Baseline'!$C$9:$R$257,9,FALSE))</f>
        <v/>
      </c>
      <c r="K64" s="295" t="str">
        <f>IF(J64="","",VLOOKUP($B64,'C-1 On-Site WaterC'' Baseline'!$C$9:$R$257,10,FALSE))</f>
        <v/>
      </c>
      <c r="L64" s="295" t="str">
        <f>IF(B64="","",VLOOKUP($B64,'C-1 On-Site WaterC'' Baseline'!$C$9:$R$257,15,FALSE))</f>
        <v/>
      </c>
      <c r="M64" s="299" t="str">
        <f>IF(L64="","",VLOOKUP($B64,'C-1 On-Site WaterC'' Baseline'!$C$9:$R$257,16,FALSE))</f>
        <v/>
      </c>
      <c r="N64" s="245"/>
      <c r="O64" s="275" t="str">
        <f t="shared" si="1"/>
        <v/>
      </c>
      <c r="P64" s="276" t="str">
        <f t="shared" si="2"/>
        <v/>
      </c>
      <c r="Q64" s="336" t="str">
        <f>IF(N64="","",VLOOKUP(B64,'C-1 On-Site WaterC'' Baseline'!$C$10:$AC$257,20,FALSE))</f>
        <v/>
      </c>
      <c r="R64" s="275" t="str">
        <f>IF(N64="","",VLOOKUP(N64,'G-7 WaterC'' Data'!$B$2:$G$8,2,FALSE))</f>
        <v/>
      </c>
      <c r="S64" s="276" t="str">
        <f>IFERROR(VLOOKUP(R64,'G-7 WaterC'' Data'!$C$4:$D$8,2,FALSE),"")</f>
        <v/>
      </c>
      <c r="T64" s="101"/>
      <c r="U64" s="276" t="str">
        <f>IFERROR(INDEX('G-7 WaterC'' Data'!$H$4:$L$8,MATCH(N64,'G-7 WaterC'' Data'!$B$4:$B$8,0),MATCH(T64,'G-7 WaterC'' Data'!$H$3:$L$3,0)),"")</f>
        <v/>
      </c>
      <c r="V64" s="101"/>
      <c r="W64" s="283" t="str">
        <f>IF(V64="","",IF(VLOOKUP(V64,'G-7 WaterC'' Data'!$AK$4:$AM$6,2,FALSE)=0,"Spatial Data Missing ⚠",VLOOKUP(V64,'G-7 WaterC'' Data'!$AK$4:$AM$6,2,FALSE)))</f>
        <v/>
      </c>
      <c r="X64" s="276" t="str">
        <f>IF(V64="","",IF(VLOOKUP(V64,'G-7 WaterC'' Data'!$AK$4:$AM$6,3,FALSE)=0,"Spatial Data Missing ⚠",VLOOKUP(V64,'G-7 WaterC'' Data'!$AK$4:$AM$6,3,FALSE)))</f>
        <v/>
      </c>
      <c r="Y64" s="275" t="str">
        <f>IFERROR(IF(OR(LEFT(P64,5)="Error",LEFT(O64,5)="Error"),"Check Data ⚠",IF(F64&lt;S64,'G-7 WaterC'' Data'!$R$3,INDEX('G-7 WaterC'' Data'!$U$5:$Y$9,MATCH(G64,'G-7 WaterC'' Data'!$T$5:$T$9,0),MATCH(T64,'G-7 WaterC'' Data'!$U$4:$Y$4,0)))),"")</f>
        <v/>
      </c>
      <c r="Z64" s="133"/>
      <c r="AA64" s="133"/>
      <c r="AB64" s="283" t="str">
        <f t="shared" si="3"/>
        <v/>
      </c>
      <c r="AC64" s="296" t="str">
        <f t="shared" si="4"/>
        <v/>
      </c>
      <c r="AD64" s="334" t="str">
        <f>IFERROR(IF(AC64="Check Data ⚠","Check Data ⚠",VLOOKUP(AC64,'G-4 Temporal multipliers'!$A$4:$C$37,3,FALSE)),"")</f>
        <v/>
      </c>
      <c r="AE64" s="275" t="str">
        <f>IF(N64="","",VLOOKUP(N64,'G-7 WaterC'' Data'!$B$4:$G$8,5,FALSE))</f>
        <v/>
      </c>
      <c r="AF64" s="283" t="str">
        <f t="shared" si="5"/>
        <v/>
      </c>
      <c r="AG64" s="314" t="str">
        <f t="shared" si="6"/>
        <v/>
      </c>
      <c r="AH64" s="276" t="str">
        <f t="shared" si="0"/>
        <v/>
      </c>
      <c r="AI64" s="105"/>
      <c r="AJ64" s="276" t="str">
        <f>IF(AI64="","",IF(AND(AI64="N/A - Culvert",N64&lt;&gt;"Culvert"),"Not possible ▲",IF(VLOOKUP(AI64,'G-7 WaterC'' Data'!$AA$4:$AB$7,2,FALSE)=0,"Spatial Data Missing ⚠",VLOOKUP(AI64,'G-7 WaterC'' Data'!$AA$4:$AB$7,2,FALSE))))</f>
        <v/>
      </c>
      <c r="AK64" s="106"/>
      <c r="AL64" s="276" t="str">
        <f>IF(AK64="","",IF(AND(AK64="N/A - Culvert",N64&lt;&gt;"Culvert"),"Not possible ▲",IF(VLOOKUP(AK64,'G-7 WaterC'' Data'!$AD$4:$AE$14,2,FALSE)=0,"Spatial Data Missing ⚠",VLOOKUP(AK64,'G-7 WaterC'' Data'!$AD$4:$AE$14,2,FALSE))))</f>
        <v/>
      </c>
      <c r="AM64" s="317" t="str">
        <f t="shared" si="7"/>
        <v/>
      </c>
      <c r="AN64" s="101"/>
      <c r="AO64" s="115"/>
      <c r="AP64" s="104"/>
      <c r="AS64" s="30" t="str">
        <f>IF(B64="","",IF(ISNA(VLOOKUP($B64,'C-1 On-Site WaterC'' Baseline'!$C$8:$AD$257,17,FALSE)),"",(VLOOKUP($B64,'C-1 On-Site WaterC'' Baseline'!$C$8:$AD$257,17,FALSE))))</f>
        <v/>
      </c>
      <c r="AT64" s="30" t="str">
        <f>IF(B64="","",VLOOKUP($B64,'C-1 On-Site WaterC'' Baseline'!$C$9:$Z$257,12,FALSE))</f>
        <v/>
      </c>
      <c r="AU64" s="30" t="str">
        <f>IF(B64="","",VLOOKUP($B64,'C-1 On-Site WaterC'' Baseline'!$C$9:$Z$257,14,FALSE))</f>
        <v/>
      </c>
      <c r="AV64" s="30" t="str">
        <f>IFERROR(INDEX('G-7 WaterC'' Data'!$AZ$3:$AZ$7,MATCH(N64,'G-7 WaterC'' Data'!$AY$3:$AY$7,0)),"")</f>
        <v/>
      </c>
      <c r="AX64" s="30" t="str">
        <f>IF(B64="","",VLOOKUP($B64,'C-1 On-Site WaterC'' Baseline'!$C$9:$Y$257,22,FALSE))</f>
        <v/>
      </c>
      <c r="AY64" s="30" t="str">
        <f t="shared" si="8"/>
        <v/>
      </c>
      <c r="AZ64" s="30" t="str">
        <f>IF(B64="","",VLOOKUP($B64,'C-1 On-Site WaterC'' Baseline'!$C$9:$Y$257,21,FALSE))</f>
        <v/>
      </c>
      <c r="BA64" s="30" t="str">
        <f>IF(B64="","",VLOOKUP($B64,'C-1 On-Site WaterC'' Baseline'!$C$9:$Y$257,19,FALSE))</f>
        <v/>
      </c>
      <c r="BD64" s="30" t="str">
        <f t="shared" si="9"/>
        <v>No</v>
      </c>
    </row>
    <row r="65" spans="2:56" ht="14">
      <c r="B65" s="305" t="str">
        <f>'C-1 On-Site WaterC'' Baseline'!AP63</f>
        <v/>
      </c>
      <c r="C65" s="295" t="str">
        <f>IF(B65="","",VLOOKUP($B65,'C-1 On-Site WaterC'' Baseline'!$C$9:$R$257,2,FALSE))</f>
        <v/>
      </c>
      <c r="D65" s="295" t="str">
        <f>IF(C65="","",VLOOKUP($B65,'C-1 On-Site WaterC'' Baseline'!$C$9:$R$257,3,FALSE))</f>
        <v/>
      </c>
      <c r="E65" s="295" t="str">
        <f>IF(D65="","",VLOOKUP($B65,'C-1 On-Site WaterC'' Baseline'!$C$9:$R$257,4,FALSE))</f>
        <v/>
      </c>
      <c r="F65" s="295" t="str">
        <f>IF(E65="","",VLOOKUP($B65,'C-1 On-Site WaterC'' Baseline'!$C$9:$R$257,5,FALSE))</f>
        <v/>
      </c>
      <c r="G65" s="295" t="str">
        <f>IF(F65="","",VLOOKUP($B65,'C-1 On-Site WaterC'' Baseline'!$C$9:$R$257,6,FALSE))</f>
        <v/>
      </c>
      <c r="H65" s="295" t="str">
        <f>IF(G65="","",VLOOKUP($B65,'C-1 On-Site WaterC'' Baseline'!$C$9:$R$257,7,FALSE))</f>
        <v/>
      </c>
      <c r="I65" s="295" t="str">
        <f>IF(H65="","",VLOOKUP($B65,'C-1 On-Site WaterC'' Baseline'!$C$9:$R$257,8,FALSE))</f>
        <v/>
      </c>
      <c r="J65" s="295" t="str">
        <f>IF(I65="","",VLOOKUP($B65,'C-1 On-Site WaterC'' Baseline'!$C$9:$R$257,9,FALSE))</f>
        <v/>
      </c>
      <c r="K65" s="295" t="str">
        <f>IF(J65="","",VLOOKUP($B65,'C-1 On-Site WaterC'' Baseline'!$C$9:$R$257,10,FALSE))</f>
        <v/>
      </c>
      <c r="L65" s="295" t="str">
        <f>IF(B65="","",VLOOKUP($B65,'C-1 On-Site WaterC'' Baseline'!$C$9:$R$257,15,FALSE))</f>
        <v/>
      </c>
      <c r="M65" s="299" t="str">
        <f>IF(L65="","",VLOOKUP($B65,'C-1 On-Site WaterC'' Baseline'!$C$9:$R$257,16,FALSE))</f>
        <v/>
      </c>
      <c r="N65" s="245"/>
      <c r="O65" s="275" t="str">
        <f t="shared" si="1"/>
        <v/>
      </c>
      <c r="P65" s="276" t="str">
        <f t="shared" si="2"/>
        <v/>
      </c>
      <c r="Q65" s="336" t="str">
        <f>IF(N65="","",VLOOKUP(B65,'C-1 On-Site WaterC'' Baseline'!$C$10:$AC$257,20,FALSE))</f>
        <v/>
      </c>
      <c r="R65" s="275" t="str">
        <f>IF(N65="","",VLOOKUP(N65,'G-7 WaterC'' Data'!$B$2:$G$8,2,FALSE))</f>
        <v/>
      </c>
      <c r="S65" s="276" t="str">
        <f>IFERROR(VLOOKUP(R65,'G-7 WaterC'' Data'!$C$4:$D$8,2,FALSE),"")</f>
        <v/>
      </c>
      <c r="T65" s="101"/>
      <c r="U65" s="276" t="str">
        <f>IFERROR(INDEX('G-7 WaterC'' Data'!$H$4:$L$8,MATCH(N65,'G-7 WaterC'' Data'!$B$4:$B$8,0),MATCH(T65,'G-7 WaterC'' Data'!$H$3:$L$3,0)),"")</f>
        <v/>
      </c>
      <c r="V65" s="101"/>
      <c r="W65" s="283" t="str">
        <f>IF(V65="","",IF(VLOOKUP(V65,'G-7 WaterC'' Data'!$AK$4:$AM$6,2,FALSE)=0,"Spatial Data Missing ⚠",VLOOKUP(V65,'G-7 WaterC'' Data'!$AK$4:$AM$6,2,FALSE)))</f>
        <v/>
      </c>
      <c r="X65" s="276" t="str">
        <f>IF(V65="","",IF(VLOOKUP(V65,'G-7 WaterC'' Data'!$AK$4:$AM$6,3,FALSE)=0,"Spatial Data Missing ⚠",VLOOKUP(V65,'G-7 WaterC'' Data'!$AK$4:$AM$6,3,FALSE)))</f>
        <v/>
      </c>
      <c r="Y65" s="275" t="str">
        <f>IFERROR(IF(OR(LEFT(P65,5)="Error",LEFT(O65,5)="Error"),"Check Data ⚠",IF(F65&lt;S65,'G-7 WaterC'' Data'!$R$3,INDEX('G-7 WaterC'' Data'!$U$5:$Y$9,MATCH(G65,'G-7 WaterC'' Data'!$T$5:$T$9,0),MATCH(T65,'G-7 WaterC'' Data'!$U$4:$Y$4,0)))),"")</f>
        <v/>
      </c>
      <c r="Z65" s="133"/>
      <c r="AA65" s="133"/>
      <c r="AB65" s="283" t="str">
        <f t="shared" si="3"/>
        <v/>
      </c>
      <c r="AC65" s="296" t="str">
        <f t="shared" si="4"/>
        <v/>
      </c>
      <c r="AD65" s="334" t="str">
        <f>IFERROR(IF(AC65="Check Data ⚠","Check Data ⚠",VLOOKUP(AC65,'G-4 Temporal multipliers'!$A$4:$C$37,3,FALSE)),"")</f>
        <v/>
      </c>
      <c r="AE65" s="275" t="str">
        <f>IF(N65="","",VLOOKUP(N65,'G-7 WaterC'' Data'!$B$4:$G$8,5,FALSE))</f>
        <v/>
      </c>
      <c r="AF65" s="283" t="str">
        <f t="shared" si="5"/>
        <v/>
      </c>
      <c r="AG65" s="314" t="str">
        <f t="shared" si="6"/>
        <v/>
      </c>
      <c r="AH65" s="276" t="str">
        <f t="shared" si="0"/>
        <v/>
      </c>
      <c r="AI65" s="105"/>
      <c r="AJ65" s="276" t="str">
        <f>IF(AI65="","",IF(AND(AI65="N/A - Culvert",N65&lt;&gt;"Culvert"),"Not possible ▲",IF(VLOOKUP(AI65,'G-7 WaterC'' Data'!$AA$4:$AB$7,2,FALSE)=0,"Spatial Data Missing ⚠",VLOOKUP(AI65,'G-7 WaterC'' Data'!$AA$4:$AB$7,2,FALSE))))</f>
        <v/>
      </c>
      <c r="AK65" s="106"/>
      <c r="AL65" s="276" t="str">
        <f>IF(AK65="","",IF(AND(AK65="N/A - Culvert",N65&lt;&gt;"Culvert"),"Not possible ▲",IF(VLOOKUP(AK65,'G-7 WaterC'' Data'!$AD$4:$AE$14,2,FALSE)=0,"Spatial Data Missing ⚠",VLOOKUP(AK65,'G-7 WaterC'' Data'!$AD$4:$AE$14,2,FALSE))))</f>
        <v/>
      </c>
      <c r="AM65" s="317" t="str">
        <f t="shared" si="7"/>
        <v/>
      </c>
      <c r="AN65" s="101"/>
      <c r="AO65" s="115"/>
      <c r="AP65" s="104"/>
      <c r="AS65" s="30" t="str">
        <f>IF(B65="","",IF(ISNA(VLOOKUP($B65,'C-1 On-Site WaterC'' Baseline'!$C$8:$AD$257,17,FALSE)),"",(VLOOKUP($B65,'C-1 On-Site WaterC'' Baseline'!$C$8:$AD$257,17,FALSE))))</f>
        <v/>
      </c>
      <c r="AT65" s="30" t="str">
        <f>IF(B65="","",VLOOKUP($B65,'C-1 On-Site WaterC'' Baseline'!$C$9:$Z$257,12,FALSE))</f>
        <v/>
      </c>
      <c r="AU65" s="30" t="str">
        <f>IF(B65="","",VLOOKUP($B65,'C-1 On-Site WaterC'' Baseline'!$C$9:$Z$257,14,FALSE))</f>
        <v/>
      </c>
      <c r="AV65" s="30" t="str">
        <f>IFERROR(INDEX('G-7 WaterC'' Data'!$AZ$3:$AZ$7,MATCH(N65,'G-7 WaterC'' Data'!$AY$3:$AY$7,0)),"")</f>
        <v/>
      </c>
      <c r="AX65" s="30" t="str">
        <f>IF(B65="","",VLOOKUP($B65,'C-1 On-Site WaterC'' Baseline'!$C$9:$Y$257,22,FALSE))</f>
        <v/>
      </c>
      <c r="AY65" s="30" t="str">
        <f t="shared" si="8"/>
        <v/>
      </c>
      <c r="AZ65" s="30" t="str">
        <f>IF(B65="","",VLOOKUP($B65,'C-1 On-Site WaterC'' Baseline'!$C$9:$Y$257,21,FALSE))</f>
        <v/>
      </c>
      <c r="BA65" s="30" t="str">
        <f>IF(B65="","",VLOOKUP($B65,'C-1 On-Site WaterC'' Baseline'!$C$9:$Y$257,19,FALSE))</f>
        <v/>
      </c>
      <c r="BD65" s="30" t="str">
        <f t="shared" si="9"/>
        <v>No</v>
      </c>
    </row>
    <row r="66" spans="2:56" ht="14">
      <c r="B66" s="305" t="str">
        <f>'C-1 On-Site WaterC'' Baseline'!AP64</f>
        <v/>
      </c>
      <c r="C66" s="295" t="str">
        <f>IF(B66="","",VLOOKUP($B66,'C-1 On-Site WaterC'' Baseline'!$C$9:$R$257,2,FALSE))</f>
        <v/>
      </c>
      <c r="D66" s="295" t="str">
        <f>IF(C66="","",VLOOKUP($B66,'C-1 On-Site WaterC'' Baseline'!$C$9:$R$257,3,FALSE))</f>
        <v/>
      </c>
      <c r="E66" s="295" t="str">
        <f>IF(D66="","",VLOOKUP($B66,'C-1 On-Site WaterC'' Baseline'!$C$9:$R$257,4,FALSE))</f>
        <v/>
      </c>
      <c r="F66" s="295" t="str">
        <f>IF(E66="","",VLOOKUP($B66,'C-1 On-Site WaterC'' Baseline'!$C$9:$R$257,5,FALSE))</f>
        <v/>
      </c>
      <c r="G66" s="295" t="str">
        <f>IF(F66="","",VLOOKUP($B66,'C-1 On-Site WaterC'' Baseline'!$C$9:$R$257,6,FALSE))</f>
        <v/>
      </c>
      <c r="H66" s="295" t="str">
        <f>IF(G66="","",VLOOKUP($B66,'C-1 On-Site WaterC'' Baseline'!$C$9:$R$257,7,FALSE))</f>
        <v/>
      </c>
      <c r="I66" s="295" t="str">
        <f>IF(H66="","",VLOOKUP($B66,'C-1 On-Site WaterC'' Baseline'!$C$9:$R$257,8,FALSE))</f>
        <v/>
      </c>
      <c r="J66" s="295" t="str">
        <f>IF(I66="","",VLOOKUP($B66,'C-1 On-Site WaterC'' Baseline'!$C$9:$R$257,9,FALSE))</f>
        <v/>
      </c>
      <c r="K66" s="295" t="str">
        <f>IF(J66="","",VLOOKUP($B66,'C-1 On-Site WaterC'' Baseline'!$C$9:$R$257,10,FALSE))</f>
        <v/>
      </c>
      <c r="L66" s="295" t="str">
        <f>IF(B66="","",VLOOKUP($B66,'C-1 On-Site WaterC'' Baseline'!$C$9:$R$257,15,FALSE))</f>
        <v/>
      </c>
      <c r="M66" s="299" t="str">
        <f>IF(L66="","",VLOOKUP($B66,'C-1 On-Site WaterC'' Baseline'!$C$9:$R$257,16,FALSE))</f>
        <v/>
      </c>
      <c r="N66" s="245"/>
      <c r="O66" s="275" t="str">
        <f t="shared" si="1"/>
        <v/>
      </c>
      <c r="P66" s="276" t="str">
        <f t="shared" si="2"/>
        <v/>
      </c>
      <c r="Q66" s="336" t="str">
        <f>IF(N66="","",VLOOKUP(B66,'C-1 On-Site WaterC'' Baseline'!$C$10:$AC$257,20,FALSE))</f>
        <v/>
      </c>
      <c r="R66" s="275" t="str">
        <f>IF(N66="","",VLOOKUP(N66,'G-7 WaterC'' Data'!$B$2:$G$8,2,FALSE))</f>
        <v/>
      </c>
      <c r="S66" s="276" t="str">
        <f>IFERROR(VLOOKUP(R66,'G-7 WaterC'' Data'!$C$4:$D$8,2,FALSE),"")</f>
        <v/>
      </c>
      <c r="T66" s="101"/>
      <c r="U66" s="276" t="str">
        <f>IFERROR(INDEX('G-7 WaterC'' Data'!$H$4:$L$8,MATCH(N66,'G-7 WaterC'' Data'!$B$4:$B$8,0),MATCH(T66,'G-7 WaterC'' Data'!$H$3:$L$3,0)),"")</f>
        <v/>
      </c>
      <c r="V66" s="101"/>
      <c r="W66" s="283" t="str">
        <f>IF(V66="","",IF(VLOOKUP(V66,'G-7 WaterC'' Data'!$AK$4:$AM$6,2,FALSE)=0,"Spatial Data Missing ⚠",VLOOKUP(V66,'G-7 WaterC'' Data'!$AK$4:$AM$6,2,FALSE)))</f>
        <v/>
      </c>
      <c r="X66" s="276" t="str">
        <f>IF(V66="","",IF(VLOOKUP(V66,'G-7 WaterC'' Data'!$AK$4:$AM$6,3,FALSE)=0,"Spatial Data Missing ⚠",VLOOKUP(V66,'G-7 WaterC'' Data'!$AK$4:$AM$6,3,FALSE)))</f>
        <v/>
      </c>
      <c r="Y66" s="275" t="str">
        <f>IFERROR(IF(OR(LEFT(P66,5)="Error",LEFT(O66,5)="Error"),"Check Data ⚠",IF(F66&lt;S66,'G-7 WaterC'' Data'!$R$3,INDEX('G-7 WaterC'' Data'!$U$5:$Y$9,MATCH(G66,'G-7 WaterC'' Data'!$T$5:$T$9,0),MATCH(T66,'G-7 WaterC'' Data'!$U$4:$Y$4,0)))),"")</f>
        <v/>
      </c>
      <c r="Z66" s="133"/>
      <c r="AA66" s="133"/>
      <c r="AB66" s="283" t="str">
        <f t="shared" si="3"/>
        <v/>
      </c>
      <c r="AC66" s="296" t="str">
        <f t="shared" si="4"/>
        <v/>
      </c>
      <c r="AD66" s="334" t="str">
        <f>IFERROR(IF(AC66="Check Data ⚠","Check Data ⚠",VLOOKUP(AC66,'G-4 Temporal multipliers'!$A$4:$C$37,3,FALSE)),"")</f>
        <v/>
      </c>
      <c r="AE66" s="275" t="str">
        <f>IF(N66="","",VLOOKUP(N66,'G-7 WaterC'' Data'!$B$4:$G$8,5,FALSE))</f>
        <v/>
      </c>
      <c r="AF66" s="283" t="str">
        <f t="shared" si="5"/>
        <v/>
      </c>
      <c r="AG66" s="314" t="str">
        <f t="shared" si="6"/>
        <v/>
      </c>
      <c r="AH66" s="276" t="str">
        <f t="shared" si="0"/>
        <v/>
      </c>
      <c r="AI66" s="105"/>
      <c r="AJ66" s="276" t="str">
        <f>IF(AI66="","",IF(AND(AI66="N/A - Culvert",N66&lt;&gt;"Culvert"),"Not possible ▲",IF(VLOOKUP(AI66,'G-7 WaterC'' Data'!$AA$4:$AB$7,2,FALSE)=0,"Spatial Data Missing ⚠",VLOOKUP(AI66,'G-7 WaterC'' Data'!$AA$4:$AB$7,2,FALSE))))</f>
        <v/>
      </c>
      <c r="AK66" s="106"/>
      <c r="AL66" s="276" t="str">
        <f>IF(AK66="","",IF(AND(AK66="N/A - Culvert",N66&lt;&gt;"Culvert"),"Not possible ▲",IF(VLOOKUP(AK66,'G-7 WaterC'' Data'!$AD$4:$AE$14,2,FALSE)=0,"Spatial Data Missing ⚠",VLOOKUP(AK66,'G-7 WaterC'' Data'!$AD$4:$AE$14,2,FALSE))))</f>
        <v/>
      </c>
      <c r="AM66" s="317" t="str">
        <f t="shared" si="7"/>
        <v/>
      </c>
      <c r="AN66" s="101"/>
      <c r="AO66" s="115"/>
      <c r="AP66" s="104"/>
      <c r="AS66" s="30" t="str">
        <f>IF(B66="","",IF(ISNA(VLOOKUP($B66,'C-1 On-Site WaterC'' Baseline'!$C$8:$AD$257,17,FALSE)),"",(VLOOKUP($B66,'C-1 On-Site WaterC'' Baseline'!$C$8:$AD$257,17,FALSE))))</f>
        <v/>
      </c>
      <c r="AT66" s="30" t="str">
        <f>IF(B66="","",VLOOKUP($B66,'C-1 On-Site WaterC'' Baseline'!$C$9:$Z$257,12,FALSE))</f>
        <v/>
      </c>
      <c r="AU66" s="30" t="str">
        <f>IF(B66="","",VLOOKUP($B66,'C-1 On-Site WaterC'' Baseline'!$C$9:$Z$257,14,FALSE))</f>
        <v/>
      </c>
      <c r="AV66" s="30" t="str">
        <f>IFERROR(INDEX('G-7 WaterC'' Data'!$AZ$3:$AZ$7,MATCH(N66,'G-7 WaterC'' Data'!$AY$3:$AY$7,0)),"")</f>
        <v/>
      </c>
      <c r="AX66" s="30" t="str">
        <f>IF(B66="","",VLOOKUP($B66,'C-1 On-Site WaterC'' Baseline'!$C$9:$Y$257,22,FALSE))</f>
        <v/>
      </c>
      <c r="AY66" s="30" t="str">
        <f t="shared" si="8"/>
        <v/>
      </c>
      <c r="AZ66" s="30" t="str">
        <f>IF(B66="","",VLOOKUP($B66,'C-1 On-Site WaterC'' Baseline'!$C$9:$Y$257,21,FALSE))</f>
        <v/>
      </c>
      <c r="BA66" s="30" t="str">
        <f>IF(B66="","",VLOOKUP($B66,'C-1 On-Site WaterC'' Baseline'!$C$9:$Y$257,19,FALSE))</f>
        <v/>
      </c>
      <c r="BD66" s="30" t="str">
        <f t="shared" si="9"/>
        <v>No</v>
      </c>
    </row>
    <row r="67" spans="2:56" ht="14">
      <c r="B67" s="305" t="str">
        <f>'C-1 On-Site WaterC'' Baseline'!AP65</f>
        <v/>
      </c>
      <c r="C67" s="295" t="str">
        <f>IF(B67="","",VLOOKUP($B67,'C-1 On-Site WaterC'' Baseline'!$C$9:$R$257,2,FALSE))</f>
        <v/>
      </c>
      <c r="D67" s="295" t="str">
        <f>IF(C67="","",VLOOKUP($B67,'C-1 On-Site WaterC'' Baseline'!$C$9:$R$257,3,FALSE))</f>
        <v/>
      </c>
      <c r="E67" s="295" t="str">
        <f>IF(D67="","",VLOOKUP($B67,'C-1 On-Site WaterC'' Baseline'!$C$9:$R$257,4,FALSE))</f>
        <v/>
      </c>
      <c r="F67" s="295" t="str">
        <f>IF(E67="","",VLOOKUP($B67,'C-1 On-Site WaterC'' Baseline'!$C$9:$R$257,5,FALSE))</f>
        <v/>
      </c>
      <c r="G67" s="295" t="str">
        <f>IF(F67="","",VLOOKUP($B67,'C-1 On-Site WaterC'' Baseline'!$C$9:$R$257,6,FALSE))</f>
        <v/>
      </c>
      <c r="H67" s="295" t="str">
        <f>IF(G67="","",VLOOKUP($B67,'C-1 On-Site WaterC'' Baseline'!$C$9:$R$257,7,FALSE))</f>
        <v/>
      </c>
      <c r="I67" s="295" t="str">
        <f>IF(H67="","",VLOOKUP($B67,'C-1 On-Site WaterC'' Baseline'!$C$9:$R$257,8,FALSE))</f>
        <v/>
      </c>
      <c r="J67" s="295" t="str">
        <f>IF(I67="","",VLOOKUP($B67,'C-1 On-Site WaterC'' Baseline'!$C$9:$R$257,9,FALSE))</f>
        <v/>
      </c>
      <c r="K67" s="295" t="str">
        <f>IF(J67="","",VLOOKUP($B67,'C-1 On-Site WaterC'' Baseline'!$C$9:$R$257,10,FALSE))</f>
        <v/>
      </c>
      <c r="L67" s="295" t="str">
        <f>IF(B67="","",VLOOKUP($B67,'C-1 On-Site WaterC'' Baseline'!$C$9:$R$257,15,FALSE))</f>
        <v/>
      </c>
      <c r="M67" s="299" t="str">
        <f>IF(L67="","",VLOOKUP($B67,'C-1 On-Site WaterC'' Baseline'!$C$9:$R$257,16,FALSE))</f>
        <v/>
      </c>
      <c r="N67" s="245"/>
      <c r="O67" s="275" t="str">
        <f t="shared" si="1"/>
        <v/>
      </c>
      <c r="P67" s="276" t="str">
        <f t="shared" si="2"/>
        <v/>
      </c>
      <c r="Q67" s="336" t="str">
        <f>IF(N67="","",VLOOKUP(B67,'C-1 On-Site WaterC'' Baseline'!$C$10:$AC$257,20,FALSE))</f>
        <v/>
      </c>
      <c r="R67" s="275" t="str">
        <f>IF(N67="","",VLOOKUP(N67,'G-7 WaterC'' Data'!$B$2:$G$8,2,FALSE))</f>
        <v/>
      </c>
      <c r="S67" s="276" t="str">
        <f>IFERROR(VLOOKUP(R67,'G-7 WaterC'' Data'!$C$4:$D$8,2,FALSE),"")</f>
        <v/>
      </c>
      <c r="T67" s="101"/>
      <c r="U67" s="276" t="str">
        <f>IFERROR(INDEX('G-7 WaterC'' Data'!$H$4:$L$8,MATCH(N67,'G-7 WaterC'' Data'!$B$4:$B$8,0),MATCH(T67,'G-7 WaterC'' Data'!$H$3:$L$3,0)),"")</f>
        <v/>
      </c>
      <c r="V67" s="101"/>
      <c r="W67" s="283" t="str">
        <f>IF(V67="","",IF(VLOOKUP(V67,'G-7 WaterC'' Data'!$AK$4:$AM$6,2,FALSE)=0,"Spatial Data Missing ⚠",VLOOKUP(V67,'G-7 WaterC'' Data'!$AK$4:$AM$6,2,FALSE)))</f>
        <v/>
      </c>
      <c r="X67" s="276" t="str">
        <f>IF(V67="","",IF(VLOOKUP(V67,'G-7 WaterC'' Data'!$AK$4:$AM$6,3,FALSE)=0,"Spatial Data Missing ⚠",VLOOKUP(V67,'G-7 WaterC'' Data'!$AK$4:$AM$6,3,FALSE)))</f>
        <v/>
      </c>
      <c r="Y67" s="275" t="str">
        <f>IFERROR(IF(OR(LEFT(P67,5)="Error",LEFT(O67,5)="Error"),"Check Data ⚠",IF(F67&lt;S67,'G-7 WaterC'' Data'!$R$3,INDEX('G-7 WaterC'' Data'!$U$5:$Y$9,MATCH(G67,'G-7 WaterC'' Data'!$T$5:$T$9,0),MATCH(T67,'G-7 WaterC'' Data'!$U$4:$Y$4,0)))),"")</f>
        <v/>
      </c>
      <c r="Z67" s="133"/>
      <c r="AA67" s="133"/>
      <c r="AB67" s="283" t="str">
        <f t="shared" si="3"/>
        <v/>
      </c>
      <c r="AC67" s="296" t="str">
        <f t="shared" si="4"/>
        <v/>
      </c>
      <c r="AD67" s="334" t="str">
        <f>IFERROR(IF(AC67="Check Data ⚠","Check Data ⚠",VLOOKUP(AC67,'G-4 Temporal multipliers'!$A$4:$C$37,3,FALSE)),"")</f>
        <v/>
      </c>
      <c r="AE67" s="275" t="str">
        <f>IF(N67="","",VLOOKUP(N67,'G-7 WaterC'' Data'!$B$4:$G$8,5,FALSE))</f>
        <v/>
      </c>
      <c r="AF67" s="283" t="str">
        <f t="shared" si="5"/>
        <v/>
      </c>
      <c r="AG67" s="314" t="str">
        <f t="shared" si="6"/>
        <v/>
      </c>
      <c r="AH67" s="276" t="str">
        <f t="shared" si="0"/>
        <v/>
      </c>
      <c r="AI67" s="105"/>
      <c r="AJ67" s="276" t="str">
        <f>IF(AI67="","",IF(AND(AI67="N/A - Culvert",N67&lt;&gt;"Culvert"),"Not possible ▲",IF(VLOOKUP(AI67,'G-7 WaterC'' Data'!$AA$4:$AB$7,2,FALSE)=0,"Spatial Data Missing ⚠",VLOOKUP(AI67,'G-7 WaterC'' Data'!$AA$4:$AB$7,2,FALSE))))</f>
        <v/>
      </c>
      <c r="AK67" s="106"/>
      <c r="AL67" s="276" t="str">
        <f>IF(AK67="","",IF(AND(AK67="N/A - Culvert",N67&lt;&gt;"Culvert"),"Not possible ▲",IF(VLOOKUP(AK67,'G-7 WaterC'' Data'!$AD$4:$AE$14,2,FALSE)=0,"Spatial Data Missing ⚠",VLOOKUP(AK67,'G-7 WaterC'' Data'!$AD$4:$AE$14,2,FALSE))))</f>
        <v/>
      </c>
      <c r="AM67" s="317" t="str">
        <f t="shared" si="7"/>
        <v/>
      </c>
      <c r="AN67" s="101"/>
      <c r="AO67" s="115"/>
      <c r="AP67" s="104"/>
      <c r="AS67" s="30" t="str">
        <f>IF(B67="","",IF(ISNA(VLOOKUP($B67,'C-1 On-Site WaterC'' Baseline'!$C$8:$AD$257,17,FALSE)),"",(VLOOKUP($B67,'C-1 On-Site WaterC'' Baseline'!$C$8:$AD$257,17,FALSE))))</f>
        <v/>
      </c>
      <c r="AT67" s="30" t="str">
        <f>IF(B67="","",VLOOKUP($B67,'C-1 On-Site WaterC'' Baseline'!$C$9:$Z$257,12,FALSE))</f>
        <v/>
      </c>
      <c r="AU67" s="30" t="str">
        <f>IF(B67="","",VLOOKUP($B67,'C-1 On-Site WaterC'' Baseline'!$C$9:$Z$257,14,FALSE))</f>
        <v/>
      </c>
      <c r="AV67" s="30" t="str">
        <f>IFERROR(INDEX('G-7 WaterC'' Data'!$AZ$3:$AZ$7,MATCH(N67,'G-7 WaterC'' Data'!$AY$3:$AY$7,0)),"")</f>
        <v/>
      </c>
      <c r="AX67" s="30" t="str">
        <f>IF(B67="","",VLOOKUP($B67,'C-1 On-Site WaterC'' Baseline'!$C$9:$Y$257,22,FALSE))</f>
        <v/>
      </c>
      <c r="AY67" s="30" t="str">
        <f t="shared" si="8"/>
        <v/>
      </c>
      <c r="AZ67" s="30" t="str">
        <f>IF(B67="","",VLOOKUP($B67,'C-1 On-Site WaterC'' Baseline'!$C$9:$Y$257,21,FALSE))</f>
        <v/>
      </c>
      <c r="BA67" s="30" t="str">
        <f>IF(B67="","",VLOOKUP($B67,'C-1 On-Site WaterC'' Baseline'!$C$9:$Y$257,19,FALSE))</f>
        <v/>
      </c>
      <c r="BD67" s="30" t="str">
        <f t="shared" si="9"/>
        <v>No</v>
      </c>
    </row>
    <row r="68" spans="2:56" ht="14">
      <c r="B68" s="305" t="str">
        <f>'C-1 On-Site WaterC'' Baseline'!AP66</f>
        <v/>
      </c>
      <c r="C68" s="295" t="str">
        <f>IF(B68="","",VLOOKUP($B68,'C-1 On-Site WaterC'' Baseline'!$C$9:$R$257,2,FALSE))</f>
        <v/>
      </c>
      <c r="D68" s="295" t="str">
        <f>IF(C68="","",VLOOKUP($B68,'C-1 On-Site WaterC'' Baseline'!$C$9:$R$257,3,FALSE))</f>
        <v/>
      </c>
      <c r="E68" s="295" t="str">
        <f>IF(D68="","",VLOOKUP($B68,'C-1 On-Site WaterC'' Baseline'!$C$9:$R$257,4,FALSE))</f>
        <v/>
      </c>
      <c r="F68" s="295" t="str">
        <f>IF(E68="","",VLOOKUP($B68,'C-1 On-Site WaterC'' Baseline'!$C$9:$R$257,5,FALSE))</f>
        <v/>
      </c>
      <c r="G68" s="295" t="str">
        <f>IF(F68="","",VLOOKUP($B68,'C-1 On-Site WaterC'' Baseline'!$C$9:$R$257,6,FALSE))</f>
        <v/>
      </c>
      <c r="H68" s="295" t="str">
        <f>IF(G68="","",VLOOKUP($B68,'C-1 On-Site WaterC'' Baseline'!$C$9:$R$257,7,FALSE))</f>
        <v/>
      </c>
      <c r="I68" s="295" t="str">
        <f>IF(H68="","",VLOOKUP($B68,'C-1 On-Site WaterC'' Baseline'!$C$9:$R$257,8,FALSE))</f>
        <v/>
      </c>
      <c r="J68" s="295" t="str">
        <f>IF(I68="","",VLOOKUP($B68,'C-1 On-Site WaterC'' Baseline'!$C$9:$R$257,9,FALSE))</f>
        <v/>
      </c>
      <c r="K68" s="295" t="str">
        <f>IF(J68="","",VLOOKUP($B68,'C-1 On-Site WaterC'' Baseline'!$C$9:$R$257,10,FALSE))</f>
        <v/>
      </c>
      <c r="L68" s="295" t="str">
        <f>IF(B68="","",VLOOKUP($B68,'C-1 On-Site WaterC'' Baseline'!$C$9:$R$257,15,FALSE))</f>
        <v/>
      </c>
      <c r="M68" s="299" t="str">
        <f>IF(L68="","",VLOOKUP($B68,'C-1 On-Site WaterC'' Baseline'!$C$9:$R$257,16,FALSE))</f>
        <v/>
      </c>
      <c r="N68" s="245"/>
      <c r="O68" s="275" t="str">
        <f t="shared" si="1"/>
        <v/>
      </c>
      <c r="P68" s="276" t="str">
        <f t="shared" si="2"/>
        <v/>
      </c>
      <c r="Q68" s="336" t="str">
        <f>IF(N68="","",VLOOKUP(B68,'C-1 On-Site WaterC'' Baseline'!$C$10:$AC$257,20,FALSE))</f>
        <v/>
      </c>
      <c r="R68" s="275" t="str">
        <f>IF(N68="","",VLOOKUP(N68,'G-7 WaterC'' Data'!$B$2:$G$8,2,FALSE))</f>
        <v/>
      </c>
      <c r="S68" s="276" t="str">
        <f>IFERROR(VLOOKUP(R68,'G-7 WaterC'' Data'!$C$4:$D$8,2,FALSE),"")</f>
        <v/>
      </c>
      <c r="T68" s="101"/>
      <c r="U68" s="276" t="str">
        <f>IFERROR(INDEX('G-7 WaterC'' Data'!$H$4:$L$8,MATCH(N68,'G-7 WaterC'' Data'!$B$4:$B$8,0),MATCH(T68,'G-7 WaterC'' Data'!$H$3:$L$3,0)),"")</f>
        <v/>
      </c>
      <c r="V68" s="101"/>
      <c r="W68" s="283" t="str">
        <f>IF(V68="","",IF(VLOOKUP(V68,'G-7 WaterC'' Data'!$AK$4:$AM$6,2,FALSE)=0,"Spatial Data Missing ⚠",VLOOKUP(V68,'G-7 WaterC'' Data'!$AK$4:$AM$6,2,FALSE)))</f>
        <v/>
      </c>
      <c r="X68" s="276" t="str">
        <f>IF(V68="","",IF(VLOOKUP(V68,'G-7 WaterC'' Data'!$AK$4:$AM$6,3,FALSE)=0,"Spatial Data Missing ⚠",VLOOKUP(V68,'G-7 WaterC'' Data'!$AK$4:$AM$6,3,FALSE)))</f>
        <v/>
      </c>
      <c r="Y68" s="275" t="str">
        <f>IFERROR(IF(OR(LEFT(P68,5)="Error",LEFT(O68,5)="Error"),"Check Data ⚠",IF(F68&lt;S68,'G-7 WaterC'' Data'!$R$3,INDEX('G-7 WaterC'' Data'!$U$5:$Y$9,MATCH(G68,'G-7 WaterC'' Data'!$T$5:$T$9,0),MATCH(T68,'G-7 WaterC'' Data'!$U$4:$Y$4,0)))),"")</f>
        <v/>
      </c>
      <c r="Z68" s="133"/>
      <c r="AA68" s="133"/>
      <c r="AB68" s="283" t="str">
        <f t="shared" si="3"/>
        <v/>
      </c>
      <c r="AC68" s="296" t="str">
        <f t="shared" si="4"/>
        <v/>
      </c>
      <c r="AD68" s="334" t="str">
        <f>IFERROR(IF(AC68="Check Data ⚠","Check Data ⚠",VLOOKUP(AC68,'G-4 Temporal multipliers'!$A$4:$C$37,3,FALSE)),"")</f>
        <v/>
      </c>
      <c r="AE68" s="275" t="str">
        <f>IF(N68="","",VLOOKUP(N68,'G-7 WaterC'' Data'!$B$4:$G$8,5,FALSE))</f>
        <v/>
      </c>
      <c r="AF68" s="283" t="str">
        <f t="shared" si="5"/>
        <v/>
      </c>
      <c r="AG68" s="314" t="str">
        <f t="shared" si="6"/>
        <v/>
      </c>
      <c r="AH68" s="276" t="str">
        <f t="shared" si="0"/>
        <v/>
      </c>
      <c r="AI68" s="105"/>
      <c r="AJ68" s="276" t="str">
        <f>IF(AI68="","",IF(AND(AI68="N/A - Culvert",N68&lt;&gt;"Culvert"),"Not possible ▲",IF(VLOOKUP(AI68,'G-7 WaterC'' Data'!$AA$4:$AB$7,2,FALSE)=0,"Spatial Data Missing ⚠",VLOOKUP(AI68,'G-7 WaterC'' Data'!$AA$4:$AB$7,2,FALSE))))</f>
        <v/>
      </c>
      <c r="AK68" s="106"/>
      <c r="AL68" s="276" t="str">
        <f>IF(AK68="","",IF(AND(AK68="N/A - Culvert",N68&lt;&gt;"Culvert"),"Not possible ▲",IF(VLOOKUP(AK68,'G-7 WaterC'' Data'!$AD$4:$AE$14,2,FALSE)=0,"Spatial Data Missing ⚠",VLOOKUP(AK68,'G-7 WaterC'' Data'!$AD$4:$AE$14,2,FALSE))))</f>
        <v/>
      </c>
      <c r="AM68" s="317" t="str">
        <f t="shared" si="7"/>
        <v/>
      </c>
      <c r="AN68" s="101"/>
      <c r="AO68" s="115"/>
      <c r="AP68" s="104"/>
      <c r="AS68" s="30" t="str">
        <f>IF(B68="","",IF(ISNA(VLOOKUP($B68,'C-1 On-Site WaterC'' Baseline'!$C$8:$AD$257,17,FALSE)),"",(VLOOKUP($B68,'C-1 On-Site WaterC'' Baseline'!$C$8:$AD$257,17,FALSE))))</f>
        <v/>
      </c>
      <c r="AT68" s="30" t="str">
        <f>IF(B68="","",VLOOKUP($B68,'C-1 On-Site WaterC'' Baseline'!$C$9:$Z$257,12,FALSE))</f>
        <v/>
      </c>
      <c r="AU68" s="30" t="str">
        <f>IF(B68="","",VLOOKUP($B68,'C-1 On-Site WaterC'' Baseline'!$C$9:$Z$257,14,FALSE))</f>
        <v/>
      </c>
      <c r="AV68" s="30" t="str">
        <f>IFERROR(INDEX('G-7 WaterC'' Data'!$AZ$3:$AZ$7,MATCH(N68,'G-7 WaterC'' Data'!$AY$3:$AY$7,0)),"")</f>
        <v/>
      </c>
      <c r="AX68" s="30" t="str">
        <f>IF(B68="","",VLOOKUP($B68,'C-1 On-Site WaterC'' Baseline'!$C$9:$Y$257,22,FALSE))</f>
        <v/>
      </c>
      <c r="AY68" s="30" t="str">
        <f t="shared" si="8"/>
        <v/>
      </c>
      <c r="AZ68" s="30" t="str">
        <f>IF(B68="","",VLOOKUP($B68,'C-1 On-Site WaterC'' Baseline'!$C$9:$Y$257,21,FALSE))</f>
        <v/>
      </c>
      <c r="BA68" s="30" t="str">
        <f>IF(B68="","",VLOOKUP($B68,'C-1 On-Site WaterC'' Baseline'!$C$9:$Y$257,19,FALSE))</f>
        <v/>
      </c>
      <c r="BD68" s="30" t="str">
        <f t="shared" si="9"/>
        <v>No</v>
      </c>
    </row>
    <row r="69" spans="2:56" ht="14">
      <c r="B69" s="305" t="str">
        <f>'C-1 On-Site WaterC'' Baseline'!AP67</f>
        <v/>
      </c>
      <c r="C69" s="295" t="str">
        <f>IF(B69="","",VLOOKUP($B69,'C-1 On-Site WaterC'' Baseline'!$C$9:$R$257,2,FALSE))</f>
        <v/>
      </c>
      <c r="D69" s="295" t="str">
        <f>IF(C69="","",VLOOKUP($B69,'C-1 On-Site WaterC'' Baseline'!$C$9:$R$257,3,FALSE))</f>
        <v/>
      </c>
      <c r="E69" s="295" t="str">
        <f>IF(D69="","",VLOOKUP($B69,'C-1 On-Site WaterC'' Baseline'!$C$9:$R$257,4,FALSE))</f>
        <v/>
      </c>
      <c r="F69" s="295" t="str">
        <f>IF(E69="","",VLOOKUP($B69,'C-1 On-Site WaterC'' Baseline'!$C$9:$R$257,5,FALSE))</f>
        <v/>
      </c>
      <c r="G69" s="295" t="str">
        <f>IF(F69="","",VLOOKUP($B69,'C-1 On-Site WaterC'' Baseline'!$C$9:$R$257,6,FALSE))</f>
        <v/>
      </c>
      <c r="H69" s="295" t="str">
        <f>IF(G69="","",VLOOKUP($B69,'C-1 On-Site WaterC'' Baseline'!$C$9:$R$257,7,FALSE))</f>
        <v/>
      </c>
      <c r="I69" s="295" t="str">
        <f>IF(H69="","",VLOOKUP($B69,'C-1 On-Site WaterC'' Baseline'!$C$9:$R$257,8,FALSE))</f>
        <v/>
      </c>
      <c r="J69" s="295" t="str">
        <f>IF(I69="","",VLOOKUP($B69,'C-1 On-Site WaterC'' Baseline'!$C$9:$R$257,9,FALSE))</f>
        <v/>
      </c>
      <c r="K69" s="295" t="str">
        <f>IF(J69="","",VLOOKUP($B69,'C-1 On-Site WaterC'' Baseline'!$C$9:$R$257,10,FALSE))</f>
        <v/>
      </c>
      <c r="L69" s="295" t="str">
        <f>IF(B69="","",VLOOKUP($B69,'C-1 On-Site WaterC'' Baseline'!$C$9:$R$257,15,FALSE))</f>
        <v/>
      </c>
      <c r="M69" s="299" t="str">
        <f>IF(L69="","",VLOOKUP($B69,'C-1 On-Site WaterC'' Baseline'!$C$9:$R$257,16,FALSE))</f>
        <v/>
      </c>
      <c r="N69" s="245"/>
      <c r="O69" s="275" t="str">
        <f t="shared" si="1"/>
        <v/>
      </c>
      <c r="P69" s="276" t="str">
        <f t="shared" si="2"/>
        <v/>
      </c>
      <c r="Q69" s="336" t="str">
        <f>IF(N69="","",VLOOKUP(B69,'C-1 On-Site WaterC'' Baseline'!$C$10:$AC$257,20,FALSE))</f>
        <v/>
      </c>
      <c r="R69" s="275" t="str">
        <f>IF(N69="","",VLOOKUP(N69,'G-7 WaterC'' Data'!$B$2:$G$8,2,FALSE))</f>
        <v/>
      </c>
      <c r="S69" s="276" t="str">
        <f>IFERROR(VLOOKUP(R69,'G-7 WaterC'' Data'!$C$4:$D$8,2,FALSE),"")</f>
        <v/>
      </c>
      <c r="T69" s="101"/>
      <c r="U69" s="276" t="str">
        <f>IFERROR(INDEX('G-7 WaterC'' Data'!$H$4:$L$8,MATCH(N69,'G-7 WaterC'' Data'!$B$4:$B$8,0),MATCH(T69,'G-7 WaterC'' Data'!$H$3:$L$3,0)),"")</f>
        <v/>
      </c>
      <c r="V69" s="101"/>
      <c r="W69" s="283" t="str">
        <f>IF(V69="","",IF(VLOOKUP(V69,'G-7 WaterC'' Data'!$AK$4:$AM$6,2,FALSE)=0,"Spatial Data Missing ⚠",VLOOKUP(V69,'G-7 WaterC'' Data'!$AK$4:$AM$6,2,FALSE)))</f>
        <v/>
      </c>
      <c r="X69" s="276" t="str">
        <f>IF(V69="","",IF(VLOOKUP(V69,'G-7 WaterC'' Data'!$AK$4:$AM$6,3,FALSE)=0,"Spatial Data Missing ⚠",VLOOKUP(V69,'G-7 WaterC'' Data'!$AK$4:$AM$6,3,FALSE)))</f>
        <v/>
      </c>
      <c r="Y69" s="275" t="str">
        <f>IFERROR(IF(OR(LEFT(P69,5)="Error",LEFT(O69,5)="Error"),"Check Data ⚠",IF(F69&lt;S69,'G-7 WaterC'' Data'!$R$3,INDEX('G-7 WaterC'' Data'!$U$5:$Y$9,MATCH(G69,'G-7 WaterC'' Data'!$T$5:$T$9,0),MATCH(T69,'G-7 WaterC'' Data'!$U$4:$Y$4,0)))),"")</f>
        <v/>
      </c>
      <c r="Z69" s="133"/>
      <c r="AA69" s="133"/>
      <c r="AB69" s="283" t="str">
        <f t="shared" si="3"/>
        <v/>
      </c>
      <c r="AC69" s="296" t="str">
        <f t="shared" si="4"/>
        <v/>
      </c>
      <c r="AD69" s="334" t="str">
        <f>IFERROR(IF(AC69="Check Data ⚠","Check Data ⚠",VLOOKUP(AC69,'G-4 Temporal multipliers'!$A$4:$C$37,3,FALSE)),"")</f>
        <v/>
      </c>
      <c r="AE69" s="275" t="str">
        <f>IF(N69="","",VLOOKUP(N69,'G-7 WaterC'' Data'!$B$4:$G$8,5,FALSE))</f>
        <v/>
      </c>
      <c r="AF69" s="283" t="str">
        <f t="shared" si="5"/>
        <v/>
      </c>
      <c r="AG69" s="314" t="str">
        <f t="shared" si="6"/>
        <v/>
      </c>
      <c r="AH69" s="276" t="str">
        <f t="shared" si="0"/>
        <v/>
      </c>
      <c r="AI69" s="105"/>
      <c r="AJ69" s="276" t="str">
        <f>IF(AI69="","",IF(AND(AI69="N/A - Culvert",N69&lt;&gt;"Culvert"),"Not possible ▲",IF(VLOOKUP(AI69,'G-7 WaterC'' Data'!$AA$4:$AB$7,2,FALSE)=0,"Spatial Data Missing ⚠",VLOOKUP(AI69,'G-7 WaterC'' Data'!$AA$4:$AB$7,2,FALSE))))</f>
        <v/>
      </c>
      <c r="AK69" s="106"/>
      <c r="AL69" s="276" t="str">
        <f>IF(AK69="","",IF(AND(AK69="N/A - Culvert",N69&lt;&gt;"Culvert"),"Not possible ▲",IF(VLOOKUP(AK69,'G-7 WaterC'' Data'!$AD$4:$AE$14,2,FALSE)=0,"Spatial Data Missing ⚠",VLOOKUP(AK69,'G-7 WaterC'' Data'!$AD$4:$AE$14,2,FALSE))))</f>
        <v/>
      </c>
      <c r="AM69" s="317" t="str">
        <f t="shared" si="7"/>
        <v/>
      </c>
      <c r="AN69" s="101"/>
      <c r="AO69" s="115"/>
      <c r="AP69" s="104"/>
      <c r="AS69" s="30" t="str">
        <f>IF(B69="","",IF(ISNA(VLOOKUP($B69,'C-1 On-Site WaterC'' Baseline'!$C$8:$AD$257,17,FALSE)),"",(VLOOKUP($B69,'C-1 On-Site WaterC'' Baseline'!$C$8:$AD$257,17,FALSE))))</f>
        <v/>
      </c>
      <c r="AT69" s="30" t="str">
        <f>IF(B69="","",VLOOKUP($B69,'C-1 On-Site WaterC'' Baseline'!$C$9:$Z$257,12,FALSE))</f>
        <v/>
      </c>
      <c r="AU69" s="30" t="str">
        <f>IF(B69="","",VLOOKUP($B69,'C-1 On-Site WaterC'' Baseline'!$C$9:$Z$257,14,FALSE))</f>
        <v/>
      </c>
      <c r="AV69" s="30" t="str">
        <f>IFERROR(INDEX('G-7 WaterC'' Data'!$AZ$3:$AZ$7,MATCH(N69,'G-7 WaterC'' Data'!$AY$3:$AY$7,0)),"")</f>
        <v/>
      </c>
      <c r="AX69" s="30" t="str">
        <f>IF(B69="","",VLOOKUP($B69,'C-1 On-Site WaterC'' Baseline'!$C$9:$Y$257,22,FALSE))</f>
        <v/>
      </c>
      <c r="AY69" s="30" t="str">
        <f t="shared" si="8"/>
        <v/>
      </c>
      <c r="AZ69" s="30" t="str">
        <f>IF(B69="","",VLOOKUP($B69,'C-1 On-Site WaterC'' Baseline'!$C$9:$Y$257,21,FALSE))</f>
        <v/>
      </c>
      <c r="BA69" s="30" t="str">
        <f>IF(B69="","",VLOOKUP($B69,'C-1 On-Site WaterC'' Baseline'!$C$9:$Y$257,19,FALSE))</f>
        <v/>
      </c>
      <c r="BD69" s="30" t="str">
        <f t="shared" si="9"/>
        <v>No</v>
      </c>
    </row>
    <row r="70" spans="2:56" ht="14">
      <c r="B70" s="305" t="str">
        <f>'C-1 On-Site WaterC'' Baseline'!AP68</f>
        <v/>
      </c>
      <c r="C70" s="295" t="str">
        <f>IF(B70="","",VLOOKUP($B70,'C-1 On-Site WaterC'' Baseline'!$C$9:$R$257,2,FALSE))</f>
        <v/>
      </c>
      <c r="D70" s="295" t="str">
        <f>IF(C70="","",VLOOKUP($B70,'C-1 On-Site WaterC'' Baseline'!$C$9:$R$257,3,FALSE))</f>
        <v/>
      </c>
      <c r="E70" s="295" t="str">
        <f>IF(D70="","",VLOOKUP($B70,'C-1 On-Site WaterC'' Baseline'!$C$9:$R$257,4,FALSE))</f>
        <v/>
      </c>
      <c r="F70" s="295" t="str">
        <f>IF(E70="","",VLOOKUP($B70,'C-1 On-Site WaterC'' Baseline'!$C$9:$R$257,5,FALSE))</f>
        <v/>
      </c>
      <c r="G70" s="295" t="str">
        <f>IF(F70="","",VLOOKUP($B70,'C-1 On-Site WaterC'' Baseline'!$C$9:$R$257,6,FALSE))</f>
        <v/>
      </c>
      <c r="H70" s="295" t="str">
        <f>IF(G70="","",VLOOKUP($B70,'C-1 On-Site WaterC'' Baseline'!$C$9:$R$257,7,FALSE))</f>
        <v/>
      </c>
      <c r="I70" s="295" t="str">
        <f>IF(H70="","",VLOOKUP($B70,'C-1 On-Site WaterC'' Baseline'!$C$9:$R$257,8,FALSE))</f>
        <v/>
      </c>
      <c r="J70" s="295" t="str">
        <f>IF(I70="","",VLOOKUP($B70,'C-1 On-Site WaterC'' Baseline'!$C$9:$R$257,9,FALSE))</f>
        <v/>
      </c>
      <c r="K70" s="295" t="str">
        <f>IF(J70="","",VLOOKUP($B70,'C-1 On-Site WaterC'' Baseline'!$C$9:$R$257,10,FALSE))</f>
        <v/>
      </c>
      <c r="L70" s="295" t="str">
        <f>IF(B70="","",VLOOKUP($B70,'C-1 On-Site WaterC'' Baseline'!$C$9:$R$257,15,FALSE))</f>
        <v/>
      </c>
      <c r="M70" s="299" t="str">
        <f>IF(L70="","",VLOOKUP($B70,'C-1 On-Site WaterC'' Baseline'!$C$9:$R$257,16,FALSE))</f>
        <v/>
      </c>
      <c r="N70" s="245"/>
      <c r="O70" s="275" t="str">
        <f t="shared" si="1"/>
        <v/>
      </c>
      <c r="P70" s="276" t="str">
        <f t="shared" si="2"/>
        <v/>
      </c>
      <c r="Q70" s="336" t="str">
        <f>IF(N70="","",VLOOKUP(B70,'C-1 On-Site WaterC'' Baseline'!$C$10:$AC$257,20,FALSE))</f>
        <v/>
      </c>
      <c r="R70" s="275" t="str">
        <f>IF(N70="","",VLOOKUP(N70,'G-7 WaterC'' Data'!$B$2:$G$8,2,FALSE))</f>
        <v/>
      </c>
      <c r="S70" s="276" t="str">
        <f>IFERROR(VLOOKUP(R70,'G-7 WaterC'' Data'!$C$4:$D$8,2,FALSE),"")</f>
        <v/>
      </c>
      <c r="T70" s="101"/>
      <c r="U70" s="276" t="str">
        <f>IFERROR(INDEX('G-7 WaterC'' Data'!$H$4:$L$8,MATCH(N70,'G-7 WaterC'' Data'!$B$4:$B$8,0),MATCH(T70,'G-7 WaterC'' Data'!$H$3:$L$3,0)),"")</f>
        <v/>
      </c>
      <c r="V70" s="101"/>
      <c r="W70" s="283" t="str">
        <f>IF(V70="","",IF(VLOOKUP(V70,'G-7 WaterC'' Data'!$AK$4:$AM$6,2,FALSE)=0,"Spatial Data Missing ⚠",VLOOKUP(V70,'G-7 WaterC'' Data'!$AK$4:$AM$6,2,FALSE)))</f>
        <v/>
      </c>
      <c r="X70" s="276" t="str">
        <f>IF(V70="","",IF(VLOOKUP(V70,'G-7 WaterC'' Data'!$AK$4:$AM$6,3,FALSE)=0,"Spatial Data Missing ⚠",VLOOKUP(V70,'G-7 WaterC'' Data'!$AK$4:$AM$6,3,FALSE)))</f>
        <v/>
      </c>
      <c r="Y70" s="275" t="str">
        <f>IFERROR(IF(OR(LEFT(P70,5)="Error",LEFT(O70,5)="Error"),"Check Data ⚠",IF(F70&lt;S70,'G-7 WaterC'' Data'!$R$3,INDEX('G-7 WaterC'' Data'!$U$5:$Y$9,MATCH(G70,'G-7 WaterC'' Data'!$T$5:$T$9,0),MATCH(T70,'G-7 WaterC'' Data'!$U$4:$Y$4,0)))),"")</f>
        <v/>
      </c>
      <c r="Z70" s="133"/>
      <c r="AA70" s="133"/>
      <c r="AB70" s="283" t="str">
        <f t="shared" si="3"/>
        <v/>
      </c>
      <c r="AC70" s="296" t="str">
        <f t="shared" si="4"/>
        <v/>
      </c>
      <c r="AD70" s="334" t="str">
        <f>IFERROR(IF(AC70="Check Data ⚠","Check Data ⚠",VLOOKUP(AC70,'G-4 Temporal multipliers'!$A$4:$C$37,3,FALSE)),"")</f>
        <v/>
      </c>
      <c r="AE70" s="275" t="str">
        <f>IF(N70="","",VLOOKUP(N70,'G-7 WaterC'' Data'!$B$4:$G$8,5,FALSE))</f>
        <v/>
      </c>
      <c r="AF70" s="283" t="str">
        <f t="shared" si="5"/>
        <v/>
      </c>
      <c r="AG70" s="314" t="str">
        <f t="shared" si="6"/>
        <v/>
      </c>
      <c r="AH70" s="276" t="str">
        <f t="shared" si="0"/>
        <v/>
      </c>
      <c r="AI70" s="105"/>
      <c r="AJ70" s="276" t="str">
        <f>IF(AI70="","",IF(AND(AI70="N/A - Culvert",N70&lt;&gt;"Culvert"),"Not possible ▲",IF(VLOOKUP(AI70,'G-7 WaterC'' Data'!$AA$4:$AB$7,2,FALSE)=0,"Spatial Data Missing ⚠",VLOOKUP(AI70,'G-7 WaterC'' Data'!$AA$4:$AB$7,2,FALSE))))</f>
        <v/>
      </c>
      <c r="AK70" s="106"/>
      <c r="AL70" s="276" t="str">
        <f>IF(AK70="","",IF(AND(AK70="N/A - Culvert",N70&lt;&gt;"Culvert"),"Not possible ▲",IF(VLOOKUP(AK70,'G-7 WaterC'' Data'!$AD$4:$AE$14,2,FALSE)=0,"Spatial Data Missing ⚠",VLOOKUP(AK70,'G-7 WaterC'' Data'!$AD$4:$AE$14,2,FALSE))))</f>
        <v/>
      </c>
      <c r="AM70" s="317" t="str">
        <f t="shared" si="7"/>
        <v/>
      </c>
      <c r="AN70" s="101"/>
      <c r="AO70" s="115"/>
      <c r="AP70" s="104"/>
      <c r="AS70" s="30" t="str">
        <f>IF(B70="","",IF(ISNA(VLOOKUP($B70,'C-1 On-Site WaterC'' Baseline'!$C$8:$AD$257,17,FALSE)),"",(VLOOKUP($B70,'C-1 On-Site WaterC'' Baseline'!$C$8:$AD$257,17,FALSE))))</f>
        <v/>
      </c>
      <c r="AT70" s="30" t="str">
        <f>IF(B70="","",VLOOKUP($B70,'C-1 On-Site WaterC'' Baseline'!$C$9:$Z$257,12,FALSE))</f>
        <v/>
      </c>
      <c r="AU70" s="30" t="str">
        <f>IF(B70="","",VLOOKUP($B70,'C-1 On-Site WaterC'' Baseline'!$C$9:$Z$257,14,FALSE))</f>
        <v/>
      </c>
      <c r="AV70" s="30" t="str">
        <f>IFERROR(INDEX('G-7 WaterC'' Data'!$AZ$3:$AZ$7,MATCH(N70,'G-7 WaterC'' Data'!$AY$3:$AY$7,0)),"")</f>
        <v/>
      </c>
      <c r="AX70" s="30" t="str">
        <f>IF(B70="","",VLOOKUP($B70,'C-1 On-Site WaterC'' Baseline'!$C$9:$Y$257,22,FALSE))</f>
        <v/>
      </c>
      <c r="AY70" s="30" t="str">
        <f t="shared" si="8"/>
        <v/>
      </c>
      <c r="AZ70" s="30" t="str">
        <f>IF(B70="","",VLOOKUP($B70,'C-1 On-Site WaterC'' Baseline'!$C$9:$Y$257,21,FALSE))</f>
        <v/>
      </c>
      <c r="BA70" s="30" t="str">
        <f>IF(B70="","",VLOOKUP($B70,'C-1 On-Site WaterC'' Baseline'!$C$9:$Y$257,19,FALSE))</f>
        <v/>
      </c>
      <c r="BD70" s="30" t="str">
        <f t="shared" si="9"/>
        <v>No</v>
      </c>
    </row>
    <row r="71" spans="2:56" ht="14">
      <c r="B71" s="305" t="str">
        <f>'C-1 On-Site WaterC'' Baseline'!AP69</f>
        <v/>
      </c>
      <c r="C71" s="295" t="str">
        <f>IF(B71="","",VLOOKUP($B71,'C-1 On-Site WaterC'' Baseline'!$C$9:$R$257,2,FALSE))</f>
        <v/>
      </c>
      <c r="D71" s="295" t="str">
        <f>IF(C71="","",VLOOKUP($B71,'C-1 On-Site WaterC'' Baseline'!$C$9:$R$257,3,FALSE))</f>
        <v/>
      </c>
      <c r="E71" s="295" t="str">
        <f>IF(D71="","",VLOOKUP($B71,'C-1 On-Site WaterC'' Baseline'!$C$9:$R$257,4,FALSE))</f>
        <v/>
      </c>
      <c r="F71" s="295" t="str">
        <f>IF(E71="","",VLOOKUP($B71,'C-1 On-Site WaterC'' Baseline'!$C$9:$R$257,5,FALSE))</f>
        <v/>
      </c>
      <c r="G71" s="295" t="str">
        <f>IF(F71="","",VLOOKUP($B71,'C-1 On-Site WaterC'' Baseline'!$C$9:$R$257,6,FALSE))</f>
        <v/>
      </c>
      <c r="H71" s="295" t="str">
        <f>IF(G71="","",VLOOKUP($B71,'C-1 On-Site WaterC'' Baseline'!$C$9:$R$257,7,FALSE))</f>
        <v/>
      </c>
      <c r="I71" s="295" t="str">
        <f>IF(H71="","",VLOOKUP($B71,'C-1 On-Site WaterC'' Baseline'!$C$9:$R$257,8,FALSE))</f>
        <v/>
      </c>
      <c r="J71" s="295" t="str">
        <f>IF(I71="","",VLOOKUP($B71,'C-1 On-Site WaterC'' Baseline'!$C$9:$R$257,9,FALSE))</f>
        <v/>
      </c>
      <c r="K71" s="295" t="str">
        <f>IF(J71="","",VLOOKUP($B71,'C-1 On-Site WaterC'' Baseline'!$C$9:$R$257,10,FALSE))</f>
        <v/>
      </c>
      <c r="L71" s="295" t="str">
        <f>IF(B71="","",VLOOKUP($B71,'C-1 On-Site WaterC'' Baseline'!$C$9:$R$257,15,FALSE))</f>
        <v/>
      </c>
      <c r="M71" s="299" t="str">
        <f>IF(L71="","",VLOOKUP($B71,'C-1 On-Site WaterC'' Baseline'!$C$9:$R$257,16,FALSE))</f>
        <v/>
      </c>
      <c r="N71" s="245"/>
      <c r="O71" s="275" t="str">
        <f t="shared" si="1"/>
        <v/>
      </c>
      <c r="P71" s="276" t="str">
        <f t="shared" si="2"/>
        <v/>
      </c>
      <c r="Q71" s="336" t="str">
        <f>IF(N71="","",VLOOKUP(B71,'C-1 On-Site WaterC'' Baseline'!$C$10:$AC$257,20,FALSE))</f>
        <v/>
      </c>
      <c r="R71" s="275" t="str">
        <f>IF(N71="","",VLOOKUP(N71,'G-7 WaterC'' Data'!$B$2:$G$8,2,FALSE))</f>
        <v/>
      </c>
      <c r="S71" s="276" t="str">
        <f>IFERROR(VLOOKUP(R71,'G-7 WaterC'' Data'!$C$4:$D$8,2,FALSE),"")</f>
        <v/>
      </c>
      <c r="T71" s="101"/>
      <c r="U71" s="276" t="str">
        <f>IFERROR(INDEX('G-7 WaterC'' Data'!$H$4:$L$8,MATCH(N71,'G-7 WaterC'' Data'!$B$4:$B$8,0),MATCH(T71,'G-7 WaterC'' Data'!$H$3:$L$3,0)),"")</f>
        <v/>
      </c>
      <c r="V71" s="101"/>
      <c r="W71" s="283" t="str">
        <f>IF(V71="","",IF(VLOOKUP(V71,'G-7 WaterC'' Data'!$AK$4:$AM$6,2,FALSE)=0,"Spatial Data Missing ⚠",VLOOKUP(V71,'G-7 WaterC'' Data'!$AK$4:$AM$6,2,FALSE)))</f>
        <v/>
      </c>
      <c r="X71" s="276" t="str">
        <f>IF(V71="","",IF(VLOOKUP(V71,'G-7 WaterC'' Data'!$AK$4:$AM$6,3,FALSE)=0,"Spatial Data Missing ⚠",VLOOKUP(V71,'G-7 WaterC'' Data'!$AK$4:$AM$6,3,FALSE)))</f>
        <v/>
      </c>
      <c r="Y71" s="275" t="str">
        <f>IFERROR(IF(OR(LEFT(P71,5)="Error",LEFT(O71,5)="Error"),"Check Data ⚠",IF(F71&lt;S71,'G-7 WaterC'' Data'!$R$3,INDEX('G-7 WaterC'' Data'!$U$5:$Y$9,MATCH(G71,'G-7 WaterC'' Data'!$T$5:$T$9,0),MATCH(T71,'G-7 WaterC'' Data'!$U$4:$Y$4,0)))),"")</f>
        <v/>
      </c>
      <c r="Z71" s="133"/>
      <c r="AA71" s="133"/>
      <c r="AB71" s="283" t="str">
        <f t="shared" si="3"/>
        <v/>
      </c>
      <c r="AC71" s="296" t="str">
        <f t="shared" si="4"/>
        <v/>
      </c>
      <c r="AD71" s="334" t="str">
        <f>IFERROR(IF(AC71="Check Data ⚠","Check Data ⚠",VLOOKUP(AC71,'G-4 Temporal multipliers'!$A$4:$C$37,3,FALSE)),"")</f>
        <v/>
      </c>
      <c r="AE71" s="275" t="str">
        <f>IF(N71="","",VLOOKUP(N71,'G-7 WaterC'' Data'!$B$4:$G$8,5,FALSE))</f>
        <v/>
      </c>
      <c r="AF71" s="283" t="str">
        <f t="shared" si="5"/>
        <v/>
      </c>
      <c r="AG71" s="314" t="str">
        <f t="shared" si="6"/>
        <v/>
      </c>
      <c r="AH71" s="276" t="str">
        <f t="shared" si="0"/>
        <v/>
      </c>
      <c r="AI71" s="105"/>
      <c r="AJ71" s="276" t="str">
        <f>IF(AI71="","",IF(AND(AI71="N/A - Culvert",N71&lt;&gt;"Culvert"),"Not possible ▲",IF(VLOOKUP(AI71,'G-7 WaterC'' Data'!$AA$4:$AB$7,2,FALSE)=0,"Spatial Data Missing ⚠",VLOOKUP(AI71,'G-7 WaterC'' Data'!$AA$4:$AB$7,2,FALSE))))</f>
        <v/>
      </c>
      <c r="AK71" s="106"/>
      <c r="AL71" s="276" t="str">
        <f>IF(AK71="","",IF(AND(AK71="N/A - Culvert",N71&lt;&gt;"Culvert"),"Not possible ▲",IF(VLOOKUP(AK71,'G-7 WaterC'' Data'!$AD$4:$AE$14,2,FALSE)=0,"Spatial Data Missing ⚠",VLOOKUP(AK71,'G-7 WaterC'' Data'!$AD$4:$AE$14,2,FALSE))))</f>
        <v/>
      </c>
      <c r="AM71" s="317" t="str">
        <f t="shared" si="7"/>
        <v/>
      </c>
      <c r="AN71" s="101"/>
      <c r="AO71" s="115"/>
      <c r="AP71" s="104"/>
      <c r="AS71" s="30" t="str">
        <f>IF(B71="","",IF(ISNA(VLOOKUP($B71,'C-1 On-Site WaterC'' Baseline'!$C$8:$AD$257,17,FALSE)),"",(VLOOKUP($B71,'C-1 On-Site WaterC'' Baseline'!$C$8:$AD$257,17,FALSE))))</f>
        <v/>
      </c>
      <c r="AT71" s="30" t="str">
        <f>IF(B71="","",VLOOKUP($B71,'C-1 On-Site WaterC'' Baseline'!$C$9:$Z$257,12,FALSE))</f>
        <v/>
      </c>
      <c r="AU71" s="30" t="str">
        <f>IF(B71="","",VLOOKUP($B71,'C-1 On-Site WaterC'' Baseline'!$C$9:$Z$257,14,FALSE))</f>
        <v/>
      </c>
      <c r="AV71" s="30" t="str">
        <f>IFERROR(INDEX('G-7 WaterC'' Data'!$AZ$3:$AZ$7,MATCH(N71,'G-7 WaterC'' Data'!$AY$3:$AY$7,0)),"")</f>
        <v/>
      </c>
      <c r="AX71" s="30" t="str">
        <f>IF(B71="","",VLOOKUP($B71,'C-1 On-Site WaterC'' Baseline'!$C$9:$Y$257,22,FALSE))</f>
        <v/>
      </c>
      <c r="AY71" s="30" t="str">
        <f t="shared" si="8"/>
        <v/>
      </c>
      <c r="AZ71" s="30" t="str">
        <f>IF(B71="","",VLOOKUP($B71,'C-1 On-Site WaterC'' Baseline'!$C$9:$Y$257,21,FALSE))</f>
        <v/>
      </c>
      <c r="BA71" s="30" t="str">
        <f>IF(B71="","",VLOOKUP($B71,'C-1 On-Site WaterC'' Baseline'!$C$9:$Y$257,19,FALSE))</f>
        <v/>
      </c>
      <c r="BD71" s="30" t="str">
        <f t="shared" si="9"/>
        <v>No</v>
      </c>
    </row>
    <row r="72" spans="2:56" ht="14">
      <c r="B72" s="305" t="str">
        <f>'C-1 On-Site WaterC'' Baseline'!AP70</f>
        <v/>
      </c>
      <c r="C72" s="295" t="str">
        <f>IF(B72="","",VLOOKUP($B72,'C-1 On-Site WaterC'' Baseline'!$C$9:$R$257,2,FALSE))</f>
        <v/>
      </c>
      <c r="D72" s="295" t="str">
        <f>IF(C72="","",VLOOKUP($B72,'C-1 On-Site WaterC'' Baseline'!$C$9:$R$257,3,FALSE))</f>
        <v/>
      </c>
      <c r="E72" s="295" t="str">
        <f>IF(D72="","",VLOOKUP($B72,'C-1 On-Site WaterC'' Baseline'!$C$9:$R$257,4,FALSE))</f>
        <v/>
      </c>
      <c r="F72" s="295" t="str">
        <f>IF(E72="","",VLOOKUP($B72,'C-1 On-Site WaterC'' Baseline'!$C$9:$R$257,5,FALSE))</f>
        <v/>
      </c>
      <c r="G72" s="295" t="str">
        <f>IF(F72="","",VLOOKUP($B72,'C-1 On-Site WaterC'' Baseline'!$C$9:$R$257,6,FALSE))</f>
        <v/>
      </c>
      <c r="H72" s="295" t="str">
        <f>IF(G72="","",VLOOKUP($B72,'C-1 On-Site WaterC'' Baseline'!$C$9:$R$257,7,FALSE))</f>
        <v/>
      </c>
      <c r="I72" s="295" t="str">
        <f>IF(H72="","",VLOOKUP($B72,'C-1 On-Site WaterC'' Baseline'!$C$9:$R$257,8,FALSE))</f>
        <v/>
      </c>
      <c r="J72" s="295" t="str">
        <f>IF(I72="","",VLOOKUP($B72,'C-1 On-Site WaterC'' Baseline'!$C$9:$R$257,9,FALSE))</f>
        <v/>
      </c>
      <c r="K72" s="295" t="str">
        <f>IF(J72="","",VLOOKUP($B72,'C-1 On-Site WaterC'' Baseline'!$C$9:$R$257,10,FALSE))</f>
        <v/>
      </c>
      <c r="L72" s="295" t="str">
        <f>IF(B72="","",VLOOKUP($B72,'C-1 On-Site WaterC'' Baseline'!$C$9:$R$257,15,FALSE))</f>
        <v/>
      </c>
      <c r="M72" s="299" t="str">
        <f>IF(L72="","",VLOOKUP($B72,'C-1 On-Site WaterC'' Baseline'!$C$9:$R$257,16,FALSE))</f>
        <v/>
      </c>
      <c r="N72" s="245"/>
      <c r="O72" s="275" t="str">
        <f t="shared" si="1"/>
        <v/>
      </c>
      <c r="P72" s="276" t="str">
        <f t="shared" si="2"/>
        <v/>
      </c>
      <c r="Q72" s="336" t="str">
        <f>IF(N72="","",VLOOKUP(B72,'C-1 On-Site WaterC'' Baseline'!$C$10:$AC$257,20,FALSE))</f>
        <v/>
      </c>
      <c r="R72" s="275" t="str">
        <f>IF(N72="","",VLOOKUP(N72,'G-7 WaterC'' Data'!$B$2:$G$8,2,FALSE))</f>
        <v/>
      </c>
      <c r="S72" s="276" t="str">
        <f>IFERROR(VLOOKUP(R72,'G-7 WaterC'' Data'!$C$4:$D$8,2,FALSE),"")</f>
        <v/>
      </c>
      <c r="T72" s="101"/>
      <c r="U72" s="276" t="str">
        <f>IFERROR(INDEX('G-7 WaterC'' Data'!$H$4:$L$8,MATCH(N72,'G-7 WaterC'' Data'!$B$4:$B$8,0),MATCH(T72,'G-7 WaterC'' Data'!$H$3:$L$3,0)),"")</f>
        <v/>
      </c>
      <c r="V72" s="101"/>
      <c r="W72" s="283" t="str">
        <f>IF(V72="","",IF(VLOOKUP(V72,'G-7 WaterC'' Data'!$AK$4:$AM$6,2,FALSE)=0,"Spatial Data Missing ⚠",VLOOKUP(V72,'G-7 WaterC'' Data'!$AK$4:$AM$6,2,FALSE)))</f>
        <v/>
      </c>
      <c r="X72" s="276" t="str">
        <f>IF(V72="","",IF(VLOOKUP(V72,'G-7 WaterC'' Data'!$AK$4:$AM$6,3,FALSE)=0,"Spatial Data Missing ⚠",VLOOKUP(V72,'G-7 WaterC'' Data'!$AK$4:$AM$6,3,FALSE)))</f>
        <v/>
      </c>
      <c r="Y72" s="275" t="str">
        <f>IFERROR(IF(OR(LEFT(P72,5)="Error",LEFT(O72,5)="Error"),"Check Data ⚠",IF(F72&lt;S72,'G-7 WaterC'' Data'!$R$3,INDEX('G-7 WaterC'' Data'!$U$5:$Y$9,MATCH(G72,'G-7 WaterC'' Data'!$T$5:$T$9,0),MATCH(T72,'G-7 WaterC'' Data'!$U$4:$Y$4,0)))),"")</f>
        <v/>
      </c>
      <c r="Z72" s="133"/>
      <c r="AA72" s="133"/>
      <c r="AB72" s="283" t="str">
        <f t="shared" si="3"/>
        <v/>
      </c>
      <c r="AC72" s="296" t="str">
        <f t="shared" si="4"/>
        <v/>
      </c>
      <c r="AD72" s="334" t="str">
        <f>IFERROR(IF(AC72="Check Data ⚠","Check Data ⚠",VLOOKUP(AC72,'G-4 Temporal multipliers'!$A$4:$C$37,3,FALSE)),"")</f>
        <v/>
      </c>
      <c r="AE72" s="275" t="str">
        <f>IF(N72="","",VLOOKUP(N72,'G-7 WaterC'' Data'!$B$4:$G$8,5,FALSE))</f>
        <v/>
      </c>
      <c r="AF72" s="283" t="str">
        <f t="shared" si="5"/>
        <v/>
      </c>
      <c r="AG72" s="314" t="str">
        <f t="shared" si="6"/>
        <v/>
      </c>
      <c r="AH72" s="276" t="str">
        <f t="shared" si="0"/>
        <v/>
      </c>
      <c r="AI72" s="105"/>
      <c r="AJ72" s="276" t="str">
        <f>IF(AI72="","",IF(AND(AI72="N/A - Culvert",N72&lt;&gt;"Culvert"),"Not possible ▲",IF(VLOOKUP(AI72,'G-7 WaterC'' Data'!$AA$4:$AB$7,2,FALSE)=0,"Spatial Data Missing ⚠",VLOOKUP(AI72,'G-7 WaterC'' Data'!$AA$4:$AB$7,2,FALSE))))</f>
        <v/>
      </c>
      <c r="AK72" s="106"/>
      <c r="AL72" s="276" t="str">
        <f>IF(AK72="","",IF(AND(AK72="N/A - Culvert",N72&lt;&gt;"Culvert"),"Not possible ▲",IF(VLOOKUP(AK72,'G-7 WaterC'' Data'!$AD$4:$AE$14,2,FALSE)=0,"Spatial Data Missing ⚠",VLOOKUP(AK72,'G-7 WaterC'' Data'!$AD$4:$AE$14,2,FALSE))))</f>
        <v/>
      </c>
      <c r="AM72" s="317" t="str">
        <f t="shared" si="7"/>
        <v/>
      </c>
      <c r="AN72" s="101"/>
      <c r="AO72" s="115"/>
      <c r="AP72" s="104"/>
      <c r="AS72" s="30" t="str">
        <f>IF(B72="","",IF(ISNA(VLOOKUP($B72,'C-1 On-Site WaterC'' Baseline'!$C$8:$AD$257,17,FALSE)),"",(VLOOKUP($B72,'C-1 On-Site WaterC'' Baseline'!$C$8:$AD$257,17,FALSE))))</f>
        <v/>
      </c>
      <c r="AT72" s="30" t="str">
        <f>IF(B72="","",VLOOKUP($B72,'C-1 On-Site WaterC'' Baseline'!$C$9:$Z$257,12,FALSE))</f>
        <v/>
      </c>
      <c r="AU72" s="30" t="str">
        <f>IF(B72="","",VLOOKUP($B72,'C-1 On-Site WaterC'' Baseline'!$C$9:$Z$257,14,FALSE))</f>
        <v/>
      </c>
      <c r="AV72" s="30" t="str">
        <f>IFERROR(INDEX('G-7 WaterC'' Data'!$AZ$3:$AZ$7,MATCH(N72,'G-7 WaterC'' Data'!$AY$3:$AY$7,0)),"")</f>
        <v/>
      </c>
      <c r="AX72" s="30" t="str">
        <f>IF(B72="","",VLOOKUP($B72,'C-1 On-Site WaterC'' Baseline'!$C$9:$Y$257,22,FALSE))</f>
        <v/>
      </c>
      <c r="AY72" s="30" t="str">
        <f t="shared" si="8"/>
        <v/>
      </c>
      <c r="AZ72" s="30" t="str">
        <f>IF(B72="","",VLOOKUP($B72,'C-1 On-Site WaterC'' Baseline'!$C$9:$Y$257,21,FALSE))</f>
        <v/>
      </c>
      <c r="BA72" s="30" t="str">
        <f>IF(B72="","",VLOOKUP($B72,'C-1 On-Site WaterC'' Baseline'!$C$9:$Y$257,19,FALSE))</f>
        <v/>
      </c>
      <c r="BD72" s="30" t="str">
        <f t="shared" si="9"/>
        <v>No</v>
      </c>
    </row>
    <row r="73" spans="2:56" ht="14">
      <c r="B73" s="305" t="str">
        <f>'C-1 On-Site WaterC'' Baseline'!AP71</f>
        <v/>
      </c>
      <c r="C73" s="295" t="str">
        <f>IF(B73="","",VLOOKUP($B73,'C-1 On-Site WaterC'' Baseline'!$C$9:$R$257,2,FALSE))</f>
        <v/>
      </c>
      <c r="D73" s="295" t="str">
        <f>IF(C73="","",VLOOKUP($B73,'C-1 On-Site WaterC'' Baseline'!$C$9:$R$257,3,FALSE))</f>
        <v/>
      </c>
      <c r="E73" s="295" t="str">
        <f>IF(D73="","",VLOOKUP($B73,'C-1 On-Site WaterC'' Baseline'!$C$9:$R$257,4,FALSE))</f>
        <v/>
      </c>
      <c r="F73" s="295" t="str">
        <f>IF(E73="","",VLOOKUP($B73,'C-1 On-Site WaterC'' Baseline'!$C$9:$R$257,5,FALSE))</f>
        <v/>
      </c>
      <c r="G73" s="295" t="str">
        <f>IF(F73="","",VLOOKUP($B73,'C-1 On-Site WaterC'' Baseline'!$C$9:$R$257,6,FALSE))</f>
        <v/>
      </c>
      <c r="H73" s="295" t="str">
        <f>IF(G73="","",VLOOKUP($B73,'C-1 On-Site WaterC'' Baseline'!$C$9:$R$257,7,FALSE))</f>
        <v/>
      </c>
      <c r="I73" s="295" t="str">
        <f>IF(H73="","",VLOOKUP($B73,'C-1 On-Site WaterC'' Baseline'!$C$9:$R$257,8,FALSE))</f>
        <v/>
      </c>
      <c r="J73" s="295" t="str">
        <f>IF(I73="","",VLOOKUP($B73,'C-1 On-Site WaterC'' Baseline'!$C$9:$R$257,9,FALSE))</f>
        <v/>
      </c>
      <c r="K73" s="295" t="str">
        <f>IF(J73="","",VLOOKUP($B73,'C-1 On-Site WaterC'' Baseline'!$C$9:$R$257,10,FALSE))</f>
        <v/>
      </c>
      <c r="L73" s="295" t="str">
        <f>IF(B73="","",VLOOKUP($B73,'C-1 On-Site WaterC'' Baseline'!$C$9:$R$257,15,FALSE))</f>
        <v/>
      </c>
      <c r="M73" s="299" t="str">
        <f>IF(L73="","",VLOOKUP($B73,'C-1 On-Site WaterC'' Baseline'!$C$9:$R$257,16,FALSE))</f>
        <v/>
      </c>
      <c r="N73" s="245"/>
      <c r="O73" s="275" t="str">
        <f t="shared" si="1"/>
        <v/>
      </c>
      <c r="P73" s="276" t="str">
        <f t="shared" si="2"/>
        <v/>
      </c>
      <c r="Q73" s="336" t="str">
        <f>IF(N73="","",VLOOKUP(B73,'C-1 On-Site WaterC'' Baseline'!$C$10:$AC$257,20,FALSE))</f>
        <v/>
      </c>
      <c r="R73" s="275" t="str">
        <f>IF(N73="","",VLOOKUP(N73,'G-7 WaterC'' Data'!$B$2:$G$8,2,FALSE))</f>
        <v/>
      </c>
      <c r="S73" s="276" t="str">
        <f>IFERROR(VLOOKUP(R73,'G-7 WaterC'' Data'!$C$4:$D$8,2,FALSE),"")</f>
        <v/>
      </c>
      <c r="T73" s="101"/>
      <c r="U73" s="276" t="str">
        <f>IFERROR(INDEX('G-7 WaterC'' Data'!$H$4:$L$8,MATCH(N73,'G-7 WaterC'' Data'!$B$4:$B$8,0),MATCH(T73,'G-7 WaterC'' Data'!$H$3:$L$3,0)),"")</f>
        <v/>
      </c>
      <c r="V73" s="101"/>
      <c r="W73" s="283" t="str">
        <f>IF(V73="","",IF(VLOOKUP(V73,'G-7 WaterC'' Data'!$AK$4:$AM$6,2,FALSE)=0,"Spatial Data Missing ⚠",VLOOKUP(V73,'G-7 WaterC'' Data'!$AK$4:$AM$6,2,FALSE)))</f>
        <v/>
      </c>
      <c r="X73" s="276" t="str">
        <f>IF(V73="","",IF(VLOOKUP(V73,'G-7 WaterC'' Data'!$AK$4:$AM$6,3,FALSE)=0,"Spatial Data Missing ⚠",VLOOKUP(V73,'G-7 WaterC'' Data'!$AK$4:$AM$6,3,FALSE)))</f>
        <v/>
      </c>
      <c r="Y73" s="275" t="str">
        <f>IFERROR(IF(OR(LEFT(P73,5)="Error",LEFT(O73,5)="Error"),"Check Data ⚠",IF(F73&lt;S73,'G-7 WaterC'' Data'!$R$3,INDEX('G-7 WaterC'' Data'!$U$5:$Y$9,MATCH(G73,'G-7 WaterC'' Data'!$T$5:$T$9,0),MATCH(T73,'G-7 WaterC'' Data'!$U$4:$Y$4,0)))),"")</f>
        <v/>
      </c>
      <c r="Z73" s="133"/>
      <c r="AA73" s="133"/>
      <c r="AB73" s="283" t="str">
        <f t="shared" si="3"/>
        <v/>
      </c>
      <c r="AC73" s="296" t="str">
        <f t="shared" si="4"/>
        <v/>
      </c>
      <c r="AD73" s="334" t="str">
        <f>IFERROR(IF(AC73="Check Data ⚠","Check Data ⚠",VLOOKUP(AC73,'G-4 Temporal multipliers'!$A$4:$C$37,3,FALSE)),"")</f>
        <v/>
      </c>
      <c r="AE73" s="275" t="str">
        <f>IF(N73="","",VLOOKUP(N73,'G-7 WaterC'' Data'!$B$4:$G$8,5,FALSE))</f>
        <v/>
      </c>
      <c r="AF73" s="283" t="str">
        <f t="shared" si="5"/>
        <v/>
      </c>
      <c r="AG73" s="314" t="str">
        <f t="shared" si="6"/>
        <v/>
      </c>
      <c r="AH73" s="276" t="str">
        <f t="shared" si="0"/>
        <v/>
      </c>
      <c r="AI73" s="105"/>
      <c r="AJ73" s="276" t="str">
        <f>IF(AI73="","",IF(AND(AI73="N/A - Culvert",N73&lt;&gt;"Culvert"),"Not possible ▲",IF(VLOOKUP(AI73,'G-7 WaterC'' Data'!$AA$4:$AB$7,2,FALSE)=0,"Spatial Data Missing ⚠",VLOOKUP(AI73,'G-7 WaterC'' Data'!$AA$4:$AB$7,2,FALSE))))</f>
        <v/>
      </c>
      <c r="AK73" s="106"/>
      <c r="AL73" s="276" t="str">
        <f>IF(AK73="","",IF(AND(AK73="N/A - Culvert",N73&lt;&gt;"Culvert"),"Not possible ▲",IF(VLOOKUP(AK73,'G-7 WaterC'' Data'!$AD$4:$AE$14,2,FALSE)=0,"Spatial Data Missing ⚠",VLOOKUP(AK73,'G-7 WaterC'' Data'!$AD$4:$AE$14,2,FALSE))))</f>
        <v/>
      </c>
      <c r="AM73" s="317" t="str">
        <f t="shared" si="7"/>
        <v/>
      </c>
      <c r="AN73" s="101"/>
      <c r="AO73" s="115"/>
      <c r="AP73" s="104"/>
      <c r="AS73" s="30" t="str">
        <f>IF(B73="","",IF(ISNA(VLOOKUP($B73,'C-1 On-Site WaterC'' Baseline'!$C$8:$AD$257,17,FALSE)),"",(VLOOKUP($B73,'C-1 On-Site WaterC'' Baseline'!$C$8:$AD$257,17,FALSE))))</f>
        <v/>
      </c>
      <c r="AT73" s="30" t="str">
        <f>IF(B73="","",VLOOKUP($B73,'C-1 On-Site WaterC'' Baseline'!$C$9:$Z$257,12,FALSE))</f>
        <v/>
      </c>
      <c r="AU73" s="30" t="str">
        <f>IF(B73="","",VLOOKUP($B73,'C-1 On-Site WaterC'' Baseline'!$C$9:$Z$257,14,FALSE))</f>
        <v/>
      </c>
      <c r="AV73" s="30" t="str">
        <f>IFERROR(INDEX('G-7 WaterC'' Data'!$AZ$3:$AZ$7,MATCH(N73,'G-7 WaterC'' Data'!$AY$3:$AY$7,0)),"")</f>
        <v/>
      </c>
      <c r="AX73" s="30" t="str">
        <f>IF(B73="","",VLOOKUP($B73,'C-1 On-Site WaterC'' Baseline'!$C$9:$Y$257,22,FALSE))</f>
        <v/>
      </c>
      <c r="AY73" s="30" t="str">
        <f t="shared" si="8"/>
        <v/>
      </c>
      <c r="AZ73" s="30" t="str">
        <f>IF(B73="","",VLOOKUP($B73,'C-1 On-Site WaterC'' Baseline'!$C$9:$Y$257,21,FALSE))</f>
        <v/>
      </c>
      <c r="BA73" s="30" t="str">
        <f>IF(B73="","",VLOOKUP($B73,'C-1 On-Site WaterC'' Baseline'!$C$9:$Y$257,19,FALSE))</f>
        <v/>
      </c>
      <c r="BD73" s="30" t="str">
        <f t="shared" si="9"/>
        <v>No</v>
      </c>
    </row>
    <row r="74" spans="2:56" ht="14">
      <c r="B74" s="305" t="str">
        <f>'C-1 On-Site WaterC'' Baseline'!AP72</f>
        <v/>
      </c>
      <c r="C74" s="295" t="str">
        <f>IF(B74="","",VLOOKUP($B74,'C-1 On-Site WaterC'' Baseline'!$C$9:$R$257,2,FALSE))</f>
        <v/>
      </c>
      <c r="D74" s="295" t="str">
        <f>IF(C74="","",VLOOKUP($B74,'C-1 On-Site WaterC'' Baseline'!$C$9:$R$257,3,FALSE))</f>
        <v/>
      </c>
      <c r="E74" s="295" t="str">
        <f>IF(D74="","",VLOOKUP($B74,'C-1 On-Site WaterC'' Baseline'!$C$9:$R$257,4,FALSE))</f>
        <v/>
      </c>
      <c r="F74" s="295" t="str">
        <f>IF(E74="","",VLOOKUP($B74,'C-1 On-Site WaterC'' Baseline'!$C$9:$R$257,5,FALSE))</f>
        <v/>
      </c>
      <c r="G74" s="295" t="str">
        <f>IF(F74="","",VLOOKUP($B74,'C-1 On-Site WaterC'' Baseline'!$C$9:$R$257,6,FALSE))</f>
        <v/>
      </c>
      <c r="H74" s="295" t="str">
        <f>IF(G74="","",VLOOKUP($B74,'C-1 On-Site WaterC'' Baseline'!$C$9:$R$257,7,FALSE))</f>
        <v/>
      </c>
      <c r="I74" s="295" t="str">
        <f>IF(H74="","",VLOOKUP($B74,'C-1 On-Site WaterC'' Baseline'!$C$9:$R$257,8,FALSE))</f>
        <v/>
      </c>
      <c r="J74" s="295" t="str">
        <f>IF(I74="","",VLOOKUP($B74,'C-1 On-Site WaterC'' Baseline'!$C$9:$R$257,9,FALSE))</f>
        <v/>
      </c>
      <c r="K74" s="295" t="str">
        <f>IF(J74="","",VLOOKUP($B74,'C-1 On-Site WaterC'' Baseline'!$C$9:$R$257,10,FALSE))</f>
        <v/>
      </c>
      <c r="L74" s="295" t="str">
        <f>IF(B74="","",VLOOKUP($B74,'C-1 On-Site WaterC'' Baseline'!$C$9:$R$257,15,FALSE))</f>
        <v/>
      </c>
      <c r="M74" s="299" t="str">
        <f>IF(L74="","",VLOOKUP($B74,'C-1 On-Site WaterC'' Baseline'!$C$9:$R$257,16,FALSE))</f>
        <v/>
      </c>
      <c r="N74" s="245"/>
      <c r="O74" s="275" t="str">
        <f t="shared" si="1"/>
        <v/>
      </c>
      <c r="P74" s="276" t="str">
        <f t="shared" si="2"/>
        <v/>
      </c>
      <c r="Q74" s="336" t="str">
        <f>IF(N74="","",VLOOKUP(B74,'C-1 On-Site WaterC'' Baseline'!$C$10:$AC$257,20,FALSE))</f>
        <v/>
      </c>
      <c r="R74" s="275" t="str">
        <f>IF(N74="","",VLOOKUP(N74,'G-7 WaterC'' Data'!$B$2:$G$8,2,FALSE))</f>
        <v/>
      </c>
      <c r="S74" s="276" t="str">
        <f>IFERROR(VLOOKUP(R74,'G-7 WaterC'' Data'!$C$4:$D$8,2,FALSE),"")</f>
        <v/>
      </c>
      <c r="T74" s="101"/>
      <c r="U74" s="276" t="str">
        <f>IFERROR(INDEX('G-7 WaterC'' Data'!$H$4:$L$8,MATCH(N74,'G-7 WaterC'' Data'!$B$4:$B$8,0),MATCH(T74,'G-7 WaterC'' Data'!$H$3:$L$3,0)),"")</f>
        <v/>
      </c>
      <c r="V74" s="101"/>
      <c r="W74" s="283" t="str">
        <f>IF(V74="","",IF(VLOOKUP(V74,'G-7 WaterC'' Data'!$AK$4:$AM$6,2,FALSE)=0,"Spatial Data Missing ⚠",VLOOKUP(V74,'G-7 WaterC'' Data'!$AK$4:$AM$6,2,FALSE)))</f>
        <v/>
      </c>
      <c r="X74" s="276" t="str">
        <f>IF(V74="","",IF(VLOOKUP(V74,'G-7 WaterC'' Data'!$AK$4:$AM$6,3,FALSE)=0,"Spatial Data Missing ⚠",VLOOKUP(V74,'G-7 WaterC'' Data'!$AK$4:$AM$6,3,FALSE)))</f>
        <v/>
      </c>
      <c r="Y74" s="275" t="str">
        <f>IFERROR(IF(OR(LEFT(P74,5)="Error",LEFT(O74,5)="Error"),"Check Data ⚠",IF(F74&lt;S74,'G-7 WaterC'' Data'!$R$3,INDEX('G-7 WaterC'' Data'!$U$5:$Y$9,MATCH(G74,'G-7 WaterC'' Data'!$T$5:$T$9,0),MATCH(T74,'G-7 WaterC'' Data'!$U$4:$Y$4,0)))),"")</f>
        <v/>
      </c>
      <c r="Z74" s="133"/>
      <c r="AA74" s="133"/>
      <c r="AB74" s="283" t="str">
        <f t="shared" si="3"/>
        <v/>
      </c>
      <c r="AC74" s="296" t="str">
        <f t="shared" si="4"/>
        <v/>
      </c>
      <c r="AD74" s="334" t="str">
        <f>IFERROR(IF(AC74="Check Data ⚠","Check Data ⚠",VLOOKUP(AC74,'G-4 Temporal multipliers'!$A$4:$C$37,3,FALSE)),"")</f>
        <v/>
      </c>
      <c r="AE74" s="275" t="str">
        <f>IF(N74="","",VLOOKUP(N74,'G-7 WaterC'' Data'!$B$4:$G$8,5,FALSE))</f>
        <v/>
      </c>
      <c r="AF74" s="283" t="str">
        <f t="shared" si="5"/>
        <v/>
      </c>
      <c r="AG74" s="314" t="str">
        <f t="shared" si="6"/>
        <v/>
      </c>
      <c r="AH74" s="276" t="str">
        <f t="shared" si="0"/>
        <v/>
      </c>
      <c r="AI74" s="105"/>
      <c r="AJ74" s="276" t="str">
        <f>IF(AI74="","",IF(AND(AI74="N/A - Culvert",N74&lt;&gt;"Culvert"),"Not possible ▲",IF(VLOOKUP(AI74,'G-7 WaterC'' Data'!$AA$4:$AB$7,2,FALSE)=0,"Spatial Data Missing ⚠",VLOOKUP(AI74,'G-7 WaterC'' Data'!$AA$4:$AB$7,2,FALSE))))</f>
        <v/>
      </c>
      <c r="AK74" s="106"/>
      <c r="AL74" s="276" t="str">
        <f>IF(AK74="","",IF(AND(AK74="N/A - Culvert",N74&lt;&gt;"Culvert"),"Not possible ▲",IF(VLOOKUP(AK74,'G-7 WaterC'' Data'!$AD$4:$AE$14,2,FALSE)=0,"Spatial Data Missing ⚠",VLOOKUP(AK74,'G-7 WaterC'' Data'!$AD$4:$AE$14,2,FALSE))))</f>
        <v/>
      </c>
      <c r="AM74" s="317" t="str">
        <f t="shared" si="7"/>
        <v/>
      </c>
      <c r="AN74" s="101"/>
      <c r="AO74" s="115"/>
      <c r="AP74" s="104"/>
      <c r="AS74" s="30" t="str">
        <f>IF(B74="","",IF(ISNA(VLOOKUP($B74,'C-1 On-Site WaterC'' Baseline'!$C$8:$AD$257,17,FALSE)),"",(VLOOKUP($B74,'C-1 On-Site WaterC'' Baseline'!$C$8:$AD$257,17,FALSE))))</f>
        <v/>
      </c>
      <c r="AT74" s="30" t="str">
        <f>IF(B74="","",VLOOKUP($B74,'C-1 On-Site WaterC'' Baseline'!$C$9:$Z$257,12,FALSE))</f>
        <v/>
      </c>
      <c r="AU74" s="30" t="str">
        <f>IF(B74="","",VLOOKUP($B74,'C-1 On-Site WaterC'' Baseline'!$C$9:$Z$257,14,FALSE))</f>
        <v/>
      </c>
      <c r="AV74" s="30" t="str">
        <f>IFERROR(INDEX('G-7 WaterC'' Data'!$AZ$3:$AZ$7,MATCH(N74,'G-7 WaterC'' Data'!$AY$3:$AY$7,0)),"")</f>
        <v/>
      </c>
      <c r="AX74" s="30" t="str">
        <f>IF(B74="","",VLOOKUP($B74,'C-1 On-Site WaterC'' Baseline'!$C$9:$Y$257,22,FALSE))</f>
        <v/>
      </c>
      <c r="AY74" s="30" t="str">
        <f t="shared" si="8"/>
        <v/>
      </c>
      <c r="AZ74" s="30" t="str">
        <f>IF(B74="","",VLOOKUP($B74,'C-1 On-Site WaterC'' Baseline'!$C$9:$Y$257,21,FALSE))</f>
        <v/>
      </c>
      <c r="BA74" s="30" t="str">
        <f>IF(B74="","",VLOOKUP($B74,'C-1 On-Site WaterC'' Baseline'!$C$9:$Y$257,19,FALSE))</f>
        <v/>
      </c>
      <c r="BD74" s="30" t="str">
        <f t="shared" si="9"/>
        <v>No</v>
      </c>
    </row>
    <row r="75" spans="2:56" ht="14">
      <c r="B75" s="305" t="str">
        <f>'C-1 On-Site WaterC'' Baseline'!AP73</f>
        <v/>
      </c>
      <c r="C75" s="295" t="str">
        <f>IF(B75="","",VLOOKUP($B75,'C-1 On-Site WaterC'' Baseline'!$C$9:$R$257,2,FALSE))</f>
        <v/>
      </c>
      <c r="D75" s="295" t="str">
        <f>IF(C75="","",VLOOKUP($B75,'C-1 On-Site WaterC'' Baseline'!$C$9:$R$257,3,FALSE))</f>
        <v/>
      </c>
      <c r="E75" s="295" t="str">
        <f>IF(D75="","",VLOOKUP($B75,'C-1 On-Site WaterC'' Baseline'!$C$9:$R$257,4,FALSE))</f>
        <v/>
      </c>
      <c r="F75" s="295" t="str">
        <f>IF(E75="","",VLOOKUP($B75,'C-1 On-Site WaterC'' Baseline'!$C$9:$R$257,5,FALSE))</f>
        <v/>
      </c>
      <c r="G75" s="295" t="str">
        <f>IF(F75="","",VLOOKUP($B75,'C-1 On-Site WaterC'' Baseline'!$C$9:$R$257,6,FALSE))</f>
        <v/>
      </c>
      <c r="H75" s="295" t="str">
        <f>IF(G75="","",VLOOKUP($B75,'C-1 On-Site WaterC'' Baseline'!$C$9:$R$257,7,FALSE))</f>
        <v/>
      </c>
      <c r="I75" s="295" t="str">
        <f>IF(H75="","",VLOOKUP($B75,'C-1 On-Site WaterC'' Baseline'!$C$9:$R$257,8,FALSE))</f>
        <v/>
      </c>
      <c r="J75" s="295" t="str">
        <f>IF(I75="","",VLOOKUP($B75,'C-1 On-Site WaterC'' Baseline'!$C$9:$R$257,9,FALSE))</f>
        <v/>
      </c>
      <c r="K75" s="295" t="str">
        <f>IF(J75="","",VLOOKUP($B75,'C-1 On-Site WaterC'' Baseline'!$C$9:$R$257,10,FALSE))</f>
        <v/>
      </c>
      <c r="L75" s="295" t="str">
        <f>IF(B75="","",VLOOKUP($B75,'C-1 On-Site WaterC'' Baseline'!$C$9:$R$257,15,FALSE))</f>
        <v/>
      </c>
      <c r="M75" s="299" t="str">
        <f>IF(L75="","",VLOOKUP($B75,'C-1 On-Site WaterC'' Baseline'!$C$9:$R$257,16,FALSE))</f>
        <v/>
      </c>
      <c r="N75" s="245"/>
      <c r="O75" s="275" t="str">
        <f t="shared" si="1"/>
        <v/>
      </c>
      <c r="P75" s="276" t="str">
        <f t="shared" si="2"/>
        <v/>
      </c>
      <c r="Q75" s="336" t="str">
        <f>IF(N75="","",VLOOKUP(B75,'C-1 On-Site WaterC'' Baseline'!$C$10:$AC$257,20,FALSE))</f>
        <v/>
      </c>
      <c r="R75" s="275" t="str">
        <f>IF(N75="","",VLOOKUP(N75,'G-7 WaterC'' Data'!$B$2:$G$8,2,FALSE))</f>
        <v/>
      </c>
      <c r="S75" s="276" t="str">
        <f>IFERROR(VLOOKUP(R75,'G-7 WaterC'' Data'!$C$4:$D$8,2,FALSE),"")</f>
        <v/>
      </c>
      <c r="T75" s="101"/>
      <c r="U75" s="276" t="str">
        <f>IFERROR(INDEX('G-7 WaterC'' Data'!$H$4:$L$8,MATCH(N75,'G-7 WaterC'' Data'!$B$4:$B$8,0),MATCH(T75,'G-7 WaterC'' Data'!$H$3:$L$3,0)),"")</f>
        <v/>
      </c>
      <c r="V75" s="101"/>
      <c r="W75" s="283" t="str">
        <f>IF(V75="","",IF(VLOOKUP(V75,'G-7 WaterC'' Data'!$AK$4:$AM$6,2,FALSE)=0,"Spatial Data Missing ⚠",VLOOKUP(V75,'G-7 WaterC'' Data'!$AK$4:$AM$6,2,FALSE)))</f>
        <v/>
      </c>
      <c r="X75" s="276" t="str">
        <f>IF(V75="","",IF(VLOOKUP(V75,'G-7 WaterC'' Data'!$AK$4:$AM$6,3,FALSE)=0,"Spatial Data Missing ⚠",VLOOKUP(V75,'G-7 WaterC'' Data'!$AK$4:$AM$6,3,FALSE)))</f>
        <v/>
      </c>
      <c r="Y75" s="275" t="str">
        <f>IFERROR(IF(OR(LEFT(P75,5)="Error",LEFT(O75,5)="Error"),"Check Data ⚠",IF(F75&lt;S75,'G-7 WaterC'' Data'!$R$3,INDEX('G-7 WaterC'' Data'!$U$5:$Y$9,MATCH(G75,'G-7 WaterC'' Data'!$T$5:$T$9,0),MATCH(T75,'G-7 WaterC'' Data'!$U$4:$Y$4,0)))),"")</f>
        <v/>
      </c>
      <c r="Z75" s="133"/>
      <c r="AA75" s="133"/>
      <c r="AB75" s="283" t="str">
        <f t="shared" si="3"/>
        <v/>
      </c>
      <c r="AC75" s="296" t="str">
        <f t="shared" si="4"/>
        <v/>
      </c>
      <c r="AD75" s="334" t="str">
        <f>IFERROR(IF(AC75="Check Data ⚠","Check Data ⚠",VLOOKUP(AC75,'G-4 Temporal multipliers'!$A$4:$C$37,3,FALSE)),"")</f>
        <v/>
      </c>
      <c r="AE75" s="275" t="str">
        <f>IF(N75="","",VLOOKUP(N75,'G-7 WaterC'' Data'!$B$4:$G$8,5,FALSE))</f>
        <v/>
      </c>
      <c r="AF75" s="283" t="str">
        <f t="shared" si="5"/>
        <v/>
      </c>
      <c r="AG75" s="314" t="str">
        <f t="shared" si="6"/>
        <v/>
      </c>
      <c r="AH75" s="276" t="str">
        <f t="shared" si="0"/>
        <v/>
      </c>
      <c r="AI75" s="105"/>
      <c r="AJ75" s="276" t="str">
        <f>IF(AI75="","",IF(AND(AI75="N/A - Culvert",N75&lt;&gt;"Culvert"),"Not possible ▲",IF(VLOOKUP(AI75,'G-7 WaterC'' Data'!$AA$4:$AB$7,2,FALSE)=0,"Spatial Data Missing ⚠",VLOOKUP(AI75,'G-7 WaterC'' Data'!$AA$4:$AB$7,2,FALSE))))</f>
        <v/>
      </c>
      <c r="AK75" s="106"/>
      <c r="AL75" s="276" t="str">
        <f>IF(AK75="","",IF(AND(AK75="N/A - Culvert",N75&lt;&gt;"Culvert"),"Not possible ▲",IF(VLOOKUP(AK75,'G-7 WaterC'' Data'!$AD$4:$AE$14,2,FALSE)=0,"Spatial Data Missing ⚠",VLOOKUP(AK75,'G-7 WaterC'' Data'!$AD$4:$AE$14,2,FALSE))))</f>
        <v/>
      </c>
      <c r="AM75" s="317" t="str">
        <f t="shared" si="7"/>
        <v/>
      </c>
      <c r="AN75" s="101"/>
      <c r="AO75" s="115"/>
      <c r="AP75" s="104"/>
      <c r="AS75" s="30" t="str">
        <f>IF(B75="","",IF(ISNA(VLOOKUP($B75,'C-1 On-Site WaterC'' Baseline'!$C$8:$AD$257,17,FALSE)),"",(VLOOKUP($B75,'C-1 On-Site WaterC'' Baseline'!$C$8:$AD$257,17,FALSE))))</f>
        <v/>
      </c>
      <c r="AT75" s="30" t="str">
        <f>IF(B75="","",VLOOKUP($B75,'C-1 On-Site WaterC'' Baseline'!$C$9:$Z$257,12,FALSE))</f>
        <v/>
      </c>
      <c r="AU75" s="30" t="str">
        <f>IF(B75="","",VLOOKUP($B75,'C-1 On-Site WaterC'' Baseline'!$C$9:$Z$257,14,FALSE))</f>
        <v/>
      </c>
      <c r="AV75" s="30" t="str">
        <f>IFERROR(INDEX('G-7 WaterC'' Data'!$AZ$3:$AZ$7,MATCH(N75,'G-7 WaterC'' Data'!$AY$3:$AY$7,0)),"")</f>
        <v/>
      </c>
      <c r="AX75" s="30" t="str">
        <f>IF(B75="","",VLOOKUP($B75,'C-1 On-Site WaterC'' Baseline'!$C$9:$Y$257,22,FALSE))</f>
        <v/>
      </c>
      <c r="AY75" s="30" t="str">
        <f t="shared" si="8"/>
        <v/>
      </c>
      <c r="AZ75" s="30" t="str">
        <f>IF(B75="","",VLOOKUP($B75,'C-1 On-Site WaterC'' Baseline'!$C$9:$Y$257,21,FALSE))</f>
        <v/>
      </c>
      <c r="BA75" s="30" t="str">
        <f>IF(B75="","",VLOOKUP($B75,'C-1 On-Site WaterC'' Baseline'!$C$9:$Y$257,19,FALSE))</f>
        <v/>
      </c>
      <c r="BD75" s="30" t="str">
        <f t="shared" si="9"/>
        <v>No</v>
      </c>
    </row>
    <row r="76" spans="2:56" ht="14">
      <c r="B76" s="305" t="str">
        <f>'C-1 On-Site WaterC'' Baseline'!AP74</f>
        <v/>
      </c>
      <c r="C76" s="295" t="str">
        <f>IF(B76="","",VLOOKUP($B76,'C-1 On-Site WaterC'' Baseline'!$C$9:$R$257,2,FALSE))</f>
        <v/>
      </c>
      <c r="D76" s="295" t="str">
        <f>IF(C76="","",VLOOKUP($B76,'C-1 On-Site WaterC'' Baseline'!$C$9:$R$257,3,FALSE))</f>
        <v/>
      </c>
      <c r="E76" s="295" t="str">
        <f>IF(D76="","",VLOOKUP($B76,'C-1 On-Site WaterC'' Baseline'!$C$9:$R$257,4,FALSE))</f>
        <v/>
      </c>
      <c r="F76" s="295" t="str">
        <f>IF(E76="","",VLOOKUP($B76,'C-1 On-Site WaterC'' Baseline'!$C$9:$R$257,5,FALSE))</f>
        <v/>
      </c>
      <c r="G76" s="295" t="str">
        <f>IF(F76="","",VLOOKUP($B76,'C-1 On-Site WaterC'' Baseline'!$C$9:$R$257,6,FALSE))</f>
        <v/>
      </c>
      <c r="H76" s="295" t="str">
        <f>IF(G76="","",VLOOKUP($B76,'C-1 On-Site WaterC'' Baseline'!$C$9:$R$257,7,FALSE))</f>
        <v/>
      </c>
      <c r="I76" s="295" t="str">
        <f>IF(H76="","",VLOOKUP($B76,'C-1 On-Site WaterC'' Baseline'!$C$9:$R$257,8,FALSE))</f>
        <v/>
      </c>
      <c r="J76" s="295" t="str">
        <f>IF(I76="","",VLOOKUP($B76,'C-1 On-Site WaterC'' Baseline'!$C$9:$R$257,9,FALSE))</f>
        <v/>
      </c>
      <c r="K76" s="295" t="str">
        <f>IF(J76="","",VLOOKUP($B76,'C-1 On-Site WaterC'' Baseline'!$C$9:$R$257,10,FALSE))</f>
        <v/>
      </c>
      <c r="L76" s="295" t="str">
        <f>IF(B76="","",VLOOKUP($B76,'C-1 On-Site WaterC'' Baseline'!$C$9:$R$257,15,FALSE))</f>
        <v/>
      </c>
      <c r="M76" s="299" t="str">
        <f>IF(L76="","",VLOOKUP($B76,'C-1 On-Site WaterC'' Baseline'!$C$9:$R$257,16,FALSE))</f>
        <v/>
      </c>
      <c r="N76" s="245"/>
      <c r="O76" s="275" t="str">
        <f t="shared" si="1"/>
        <v/>
      </c>
      <c r="P76" s="276" t="str">
        <f t="shared" si="2"/>
        <v/>
      </c>
      <c r="Q76" s="336" t="str">
        <f>IF(N76="","",VLOOKUP(B76,'C-1 On-Site WaterC'' Baseline'!$C$10:$AC$257,20,FALSE))</f>
        <v/>
      </c>
      <c r="R76" s="275" t="str">
        <f>IF(N76="","",VLOOKUP(N76,'G-7 WaterC'' Data'!$B$2:$G$8,2,FALSE))</f>
        <v/>
      </c>
      <c r="S76" s="276" t="str">
        <f>IFERROR(VLOOKUP(R76,'G-7 WaterC'' Data'!$C$4:$D$8,2,FALSE),"")</f>
        <v/>
      </c>
      <c r="T76" s="101"/>
      <c r="U76" s="276" t="str">
        <f>IFERROR(INDEX('G-7 WaterC'' Data'!$H$4:$L$8,MATCH(N76,'G-7 WaterC'' Data'!$B$4:$B$8,0),MATCH(T76,'G-7 WaterC'' Data'!$H$3:$L$3,0)),"")</f>
        <v/>
      </c>
      <c r="V76" s="101"/>
      <c r="W76" s="283" t="str">
        <f>IF(V76="","",IF(VLOOKUP(V76,'G-7 WaterC'' Data'!$AK$4:$AM$6,2,FALSE)=0,"Spatial Data Missing ⚠",VLOOKUP(V76,'G-7 WaterC'' Data'!$AK$4:$AM$6,2,FALSE)))</f>
        <v/>
      </c>
      <c r="X76" s="276" t="str">
        <f>IF(V76="","",IF(VLOOKUP(V76,'G-7 WaterC'' Data'!$AK$4:$AM$6,3,FALSE)=0,"Spatial Data Missing ⚠",VLOOKUP(V76,'G-7 WaterC'' Data'!$AK$4:$AM$6,3,FALSE)))</f>
        <v/>
      </c>
      <c r="Y76" s="275" t="str">
        <f>IFERROR(IF(OR(LEFT(P76,5)="Error",LEFT(O76,5)="Error"),"Check Data ⚠",IF(F76&lt;S76,'G-7 WaterC'' Data'!$R$3,INDEX('G-7 WaterC'' Data'!$U$5:$Y$9,MATCH(G76,'G-7 WaterC'' Data'!$T$5:$T$9,0),MATCH(T76,'G-7 WaterC'' Data'!$U$4:$Y$4,0)))),"")</f>
        <v/>
      </c>
      <c r="Z76" s="133"/>
      <c r="AA76" s="133"/>
      <c r="AB76" s="283" t="str">
        <f t="shared" si="3"/>
        <v/>
      </c>
      <c r="AC76" s="296" t="str">
        <f t="shared" si="4"/>
        <v/>
      </c>
      <c r="AD76" s="334" t="str">
        <f>IFERROR(IF(AC76="Check Data ⚠","Check Data ⚠",VLOOKUP(AC76,'G-4 Temporal multipliers'!$A$4:$C$37,3,FALSE)),"")</f>
        <v/>
      </c>
      <c r="AE76" s="275" t="str">
        <f>IF(N76="","",VLOOKUP(N76,'G-7 WaterC'' Data'!$B$4:$G$8,5,FALSE))</f>
        <v/>
      </c>
      <c r="AF76" s="283" t="str">
        <f t="shared" si="5"/>
        <v/>
      </c>
      <c r="AG76" s="314" t="str">
        <f t="shared" si="6"/>
        <v/>
      </c>
      <c r="AH76" s="276" t="str">
        <f t="shared" si="10" ref="AH76:AH139">IF(N76="","",VLOOKUP(AG76,Difficulty,2,FALSE))</f>
        <v/>
      </c>
      <c r="AI76" s="105"/>
      <c r="AJ76" s="276" t="str">
        <f>IF(AI76="","",IF(AND(AI76="N/A - Culvert",N76&lt;&gt;"Culvert"),"Not possible ▲",IF(VLOOKUP(AI76,'G-7 WaterC'' Data'!$AA$4:$AB$7,2,FALSE)=0,"Spatial Data Missing ⚠",VLOOKUP(AI76,'G-7 WaterC'' Data'!$AA$4:$AB$7,2,FALSE))))</f>
        <v/>
      </c>
      <c r="AK76" s="106"/>
      <c r="AL76" s="276" t="str">
        <f>IF(AK76="","",IF(AND(AK76="N/A - Culvert",N76&lt;&gt;"Culvert"),"Not possible ▲",IF(VLOOKUP(AK76,'G-7 WaterC'' Data'!$AD$4:$AE$14,2,FALSE)=0,"Spatial Data Missing ⚠",VLOOKUP(AK76,'G-7 WaterC'' Data'!$AD$4:$AE$14,2,FALSE))))</f>
        <v/>
      </c>
      <c r="AM76" s="317" t="str">
        <f t="shared" si="7"/>
        <v/>
      </c>
      <c r="AN76" s="101"/>
      <c r="AO76" s="115"/>
      <c r="AP76" s="104"/>
      <c r="AS76" s="30" t="str">
        <f>IF(B76="","",IF(ISNA(VLOOKUP($B76,'C-1 On-Site WaterC'' Baseline'!$C$8:$AD$257,17,FALSE)),"",(VLOOKUP($B76,'C-1 On-Site WaterC'' Baseline'!$C$8:$AD$257,17,FALSE))))</f>
        <v/>
      </c>
      <c r="AT76" s="30" t="str">
        <f>IF(B76="","",VLOOKUP($B76,'C-1 On-Site WaterC'' Baseline'!$C$9:$Z$257,12,FALSE))</f>
        <v/>
      </c>
      <c r="AU76" s="30" t="str">
        <f>IF(B76="","",VLOOKUP($B76,'C-1 On-Site WaterC'' Baseline'!$C$9:$Z$257,14,FALSE))</f>
        <v/>
      </c>
      <c r="AV76" s="30" t="str">
        <f>IFERROR(INDEX('G-7 WaterC'' Data'!$AZ$3:$AZ$7,MATCH(N76,'G-7 WaterC'' Data'!$AY$3:$AY$7,0)),"")</f>
        <v/>
      </c>
      <c r="AX76" s="30" t="str">
        <f>IF(B76="","",VLOOKUP($B76,'C-1 On-Site WaterC'' Baseline'!$C$9:$Y$257,22,FALSE))</f>
        <v/>
      </c>
      <c r="AY76" s="30" t="str">
        <f t="shared" si="8"/>
        <v/>
      </c>
      <c r="AZ76" s="30" t="str">
        <f>IF(B76="","",VLOOKUP($B76,'C-1 On-Site WaterC'' Baseline'!$C$9:$Y$257,21,FALSE))</f>
        <v/>
      </c>
      <c r="BA76" s="30" t="str">
        <f>IF(B76="","",VLOOKUP($B76,'C-1 On-Site WaterC'' Baseline'!$C$9:$Y$257,19,FALSE))</f>
        <v/>
      </c>
      <c r="BD76" s="30" t="str">
        <f t="shared" si="9"/>
        <v>No</v>
      </c>
    </row>
    <row r="77" spans="2:56" ht="14">
      <c r="B77" s="305" t="str">
        <f>'C-1 On-Site WaterC'' Baseline'!AP75</f>
        <v/>
      </c>
      <c r="C77" s="295" t="str">
        <f>IF(B77="","",VLOOKUP($B77,'C-1 On-Site WaterC'' Baseline'!$C$9:$R$257,2,FALSE))</f>
        <v/>
      </c>
      <c r="D77" s="295" t="str">
        <f>IF(C77="","",VLOOKUP($B77,'C-1 On-Site WaterC'' Baseline'!$C$9:$R$257,3,FALSE))</f>
        <v/>
      </c>
      <c r="E77" s="295" t="str">
        <f>IF(D77="","",VLOOKUP($B77,'C-1 On-Site WaterC'' Baseline'!$C$9:$R$257,4,FALSE))</f>
        <v/>
      </c>
      <c r="F77" s="295" t="str">
        <f>IF(E77="","",VLOOKUP($B77,'C-1 On-Site WaterC'' Baseline'!$C$9:$R$257,5,FALSE))</f>
        <v/>
      </c>
      <c r="G77" s="295" t="str">
        <f>IF(F77="","",VLOOKUP($B77,'C-1 On-Site WaterC'' Baseline'!$C$9:$R$257,6,FALSE))</f>
        <v/>
      </c>
      <c r="H77" s="295" t="str">
        <f>IF(G77="","",VLOOKUP($B77,'C-1 On-Site WaterC'' Baseline'!$C$9:$R$257,7,FALSE))</f>
        <v/>
      </c>
      <c r="I77" s="295" t="str">
        <f>IF(H77="","",VLOOKUP($B77,'C-1 On-Site WaterC'' Baseline'!$C$9:$R$257,8,FALSE))</f>
        <v/>
      </c>
      <c r="J77" s="295" t="str">
        <f>IF(I77="","",VLOOKUP($B77,'C-1 On-Site WaterC'' Baseline'!$C$9:$R$257,9,FALSE))</f>
        <v/>
      </c>
      <c r="K77" s="295" t="str">
        <f>IF(J77="","",VLOOKUP($B77,'C-1 On-Site WaterC'' Baseline'!$C$9:$R$257,10,FALSE))</f>
        <v/>
      </c>
      <c r="L77" s="295" t="str">
        <f>IF(B77="","",VLOOKUP($B77,'C-1 On-Site WaterC'' Baseline'!$C$9:$R$257,15,FALSE))</f>
        <v/>
      </c>
      <c r="M77" s="299" t="str">
        <f>IF(L77="","",VLOOKUP($B77,'C-1 On-Site WaterC'' Baseline'!$C$9:$R$257,16,FALSE))</f>
        <v/>
      </c>
      <c r="N77" s="245"/>
      <c r="O77" s="275" t="str">
        <f t="shared" si="11" ref="O77:O140">IF(B77="","",IF(S77&lt;F77,"Error Trading Down ▲",E77&amp;" - "&amp;R77))</f>
        <v/>
      </c>
      <c r="P77" s="276" t="str">
        <f t="shared" si="12" ref="P77:P140">IF(C77="","",IF(AND(N77&lt;&gt;C77,AS77="Yes"),"Error you cannot replace and irreplaceable habitat ▲",IF(AND(LEFT(C77,55)&lt;&gt;LEFT(N77,55),O77="High - High"),"Error - Not like for like ▲",IF(H77&gt;U77,"Error - Can not reduce condition ▲",IF(AND(C77&lt;&gt;N77,F77&lt;S77),"Lower Distinctiveness Habitat"&amp;" - "&amp;T77,G77&amp;" - "&amp;T77)))))</f>
        <v/>
      </c>
      <c r="Q77" s="336" t="str">
        <f>IF(N77="","",VLOOKUP(B77,'C-1 On-Site WaterC'' Baseline'!$C$10:$AC$257,20,FALSE))</f>
        <v/>
      </c>
      <c r="R77" s="275" t="str">
        <f>IF(N77="","",VLOOKUP(N77,'G-7 WaterC'' Data'!$B$2:$G$8,2,FALSE))</f>
        <v/>
      </c>
      <c r="S77" s="276" t="str">
        <f>IFERROR(VLOOKUP(R77,'G-7 WaterC'' Data'!$C$4:$D$8,2,FALSE),"")</f>
        <v/>
      </c>
      <c r="T77" s="101"/>
      <c r="U77" s="276" t="str">
        <f>IFERROR(INDEX('G-7 WaterC'' Data'!$H$4:$L$8,MATCH(N77,'G-7 WaterC'' Data'!$B$4:$B$8,0),MATCH(T77,'G-7 WaterC'' Data'!$H$3:$L$3,0)),"")</f>
        <v/>
      </c>
      <c r="V77" s="101"/>
      <c r="W77" s="283" t="str">
        <f>IF(V77="","",IF(VLOOKUP(V77,'G-7 WaterC'' Data'!$AK$4:$AM$6,2,FALSE)=0,"Spatial Data Missing ⚠",VLOOKUP(V77,'G-7 WaterC'' Data'!$AK$4:$AM$6,2,FALSE)))</f>
        <v/>
      </c>
      <c r="X77" s="276" t="str">
        <f>IF(V77="","",IF(VLOOKUP(V77,'G-7 WaterC'' Data'!$AK$4:$AM$6,3,FALSE)=0,"Spatial Data Missing ⚠",VLOOKUP(V77,'G-7 WaterC'' Data'!$AK$4:$AM$6,3,FALSE)))</f>
        <v/>
      </c>
      <c r="Y77" s="275" t="str">
        <f>IFERROR(IF(OR(LEFT(P77,5)="Error",LEFT(O77,5)="Error"),"Check Data ⚠",IF(F77&lt;S77,'G-7 WaterC'' Data'!$R$3,INDEX('G-7 WaterC'' Data'!$U$5:$Y$9,MATCH(G77,'G-7 WaterC'' Data'!$T$5:$T$9,0),MATCH(T77,'G-7 WaterC'' Data'!$U$4:$Y$4,0)))),"")</f>
        <v/>
      </c>
      <c r="Z77" s="133"/>
      <c r="AA77" s="133"/>
      <c r="AB77" s="283" t="str">
        <f t="shared" si="13" ref="AB77:AB140">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296" t="str">
        <f t="shared" si="14" ref="AC77:AC140">IF(AB77="Error -both advance and delayed habitat creation ▲","Check Data ⚠",IF(AB77="Check Data ⚠","Check Data ⚠",IF(Y77="","",IF(Z77="30+",0,IF(AA77="30+","30+",IF(Y77+AA77&gt;30,"30+",IF(Y77+AA77-Z77&gt;0,Y77+AA77-Z77,IF(Y77-Z77&lt;0,0,Y77+AA77-Z77))))))))</f>
        <v/>
      </c>
      <c r="AD77" s="334" t="str">
        <f>IFERROR(IF(AC77="Check Data ⚠","Check Data ⚠",VLOOKUP(AC77,'G-4 Temporal multipliers'!$A$4:$C$37,3,FALSE)),"")</f>
        <v/>
      </c>
      <c r="AE77" s="275" t="str">
        <f>IF(N77="","",VLOOKUP(N77,'G-7 WaterC'' Data'!$B$4:$G$8,5,FALSE))</f>
        <v/>
      </c>
      <c r="AF77" s="283" t="str">
        <f t="shared" si="15" ref="AF77:AF140">IF(N77="","",IF(AC77="Check Data ⚠","Check Data ⚠",IF(T77="","",IF($AB77="Check details - Is there evidence that habitat has reached target condition? ⚠","Low Difficulty - only applicable if all habitat created before losses ⚠","Standard difficulty applied"))))</f>
        <v/>
      </c>
      <c r="AG77" s="314" t="str">
        <f t="shared" si="16" ref="AG77:AG140">(IF(AND(AF77="Standard difficulty applied",Y77&gt;Z77),AE77,IF(AND(AF77="Low Difficulty - only applicable if all habitat created before losses ⚠",Z77&gt;=Y77),"Low",AE77)))</f>
        <v/>
      </c>
      <c r="AH77" s="276" t="str">
        <f t="shared" si="10"/>
        <v/>
      </c>
      <c r="AI77" s="105"/>
      <c r="AJ77" s="276" t="str">
        <f>IF(AI77="","",IF(AND(AI77="N/A - Culvert",N77&lt;&gt;"Culvert"),"Not possible ▲",IF(VLOOKUP(AI77,'G-7 WaterC'' Data'!$AA$4:$AB$7,2,FALSE)=0,"Spatial Data Missing ⚠",VLOOKUP(AI77,'G-7 WaterC'' Data'!$AA$4:$AB$7,2,FALSE))))</f>
        <v/>
      </c>
      <c r="AK77" s="106"/>
      <c r="AL77" s="276" t="str">
        <f>IF(AK77="","",IF(AND(AK77="N/A - Culvert",N77&lt;&gt;"Culvert"),"Not possible ▲",IF(VLOOKUP(AK77,'G-7 WaterC'' Data'!$AD$4:$AE$14,2,FALSE)=0,"Spatial Data Missing ⚠",VLOOKUP(AK77,'G-7 WaterC'' Data'!$AD$4:$AE$14,2,FALSE))))</f>
        <v/>
      </c>
      <c r="AM77" s="317" t="str">
        <f t="shared" si="17" ref="AM77:AM140">IFERROR(IF(C77="","",IF(AND(N77&lt;&gt;"",M77=""),"Check Data ⚠",IF(Q77&gt;D77,((((Q77*S77*U77)-(D77*F77*H77))*(AH77*AD77))+(D77*F77*H77))*(AL77*X77*AJ77),((((Q77*S77*U77)-(Q77*F77*H77))*(AH77*AD77))+(Q77*F77*H77))*(AL77*X77*AJ77)))),"")</f>
        <v/>
      </c>
      <c r="AN77" s="101"/>
      <c r="AO77" s="115"/>
      <c r="AP77" s="104"/>
      <c r="AS77" s="30" t="str">
        <f>IF(B77="","",IF(ISNA(VLOOKUP($B77,'C-1 On-Site WaterC'' Baseline'!$C$8:$AD$257,17,FALSE)),"",(VLOOKUP($B77,'C-1 On-Site WaterC'' Baseline'!$C$8:$AD$257,17,FALSE))))</f>
        <v/>
      </c>
      <c r="AT77" s="30" t="str">
        <f>IF(B77="","",VLOOKUP($B77,'C-1 On-Site WaterC'' Baseline'!$C$9:$Z$257,12,FALSE))</f>
        <v/>
      </c>
      <c r="AU77" s="30" t="str">
        <f>IF(B77="","",VLOOKUP($B77,'C-1 On-Site WaterC'' Baseline'!$C$9:$Z$257,14,FALSE))</f>
        <v/>
      </c>
      <c r="AV77" s="30" t="str">
        <f>IFERROR(INDEX('G-7 WaterC'' Data'!$AZ$3:$AZ$7,MATCH(N77,'G-7 WaterC'' Data'!$AY$3:$AY$7,0)),"")</f>
        <v/>
      </c>
      <c r="AX77" s="30" t="str">
        <f>IF(B77="","",VLOOKUP($B77,'C-1 On-Site WaterC'' Baseline'!$C$9:$Y$257,22,FALSE))</f>
        <v/>
      </c>
      <c r="AY77" s="30" t="str">
        <f t="shared" si="18" ref="AY77:AY140">IF(B77="","",IF(AX77&gt;M77,M77,IF((BA77+Q77)&gt;D77,M77-AZ77,AX77)))</f>
        <v/>
      </c>
      <c r="AZ77" s="30" t="str">
        <f>IF(B77="","",VLOOKUP($B77,'C-1 On-Site WaterC'' Baseline'!$C$9:$Y$257,21,FALSE))</f>
        <v/>
      </c>
      <c r="BA77" s="30" t="str">
        <f>IF(B77="","",VLOOKUP($B77,'C-1 On-Site WaterC'' Baseline'!$C$9:$Y$257,19,FALSE))</f>
        <v/>
      </c>
      <c r="BD77" s="30" t="str">
        <f t="shared" si="19" ref="BD77:BD140">IF(AND(N77="Ditches",(OR(T77="Fairly Poor",T77="Fairly Good"))),"Yes","No")</f>
        <v>No</v>
      </c>
    </row>
    <row r="78" spans="2:56" ht="14">
      <c r="B78" s="305" t="str">
        <f>'C-1 On-Site WaterC'' Baseline'!AP76</f>
        <v/>
      </c>
      <c r="C78" s="295" t="str">
        <f>IF(B78="","",VLOOKUP($B78,'C-1 On-Site WaterC'' Baseline'!$C$9:$R$257,2,FALSE))</f>
        <v/>
      </c>
      <c r="D78" s="295" t="str">
        <f>IF(C78="","",VLOOKUP($B78,'C-1 On-Site WaterC'' Baseline'!$C$9:$R$257,3,FALSE))</f>
        <v/>
      </c>
      <c r="E78" s="295" t="str">
        <f>IF(D78="","",VLOOKUP($B78,'C-1 On-Site WaterC'' Baseline'!$C$9:$R$257,4,FALSE))</f>
        <v/>
      </c>
      <c r="F78" s="295" t="str">
        <f>IF(E78="","",VLOOKUP($B78,'C-1 On-Site WaterC'' Baseline'!$C$9:$R$257,5,FALSE))</f>
        <v/>
      </c>
      <c r="G78" s="295" t="str">
        <f>IF(F78="","",VLOOKUP($B78,'C-1 On-Site WaterC'' Baseline'!$C$9:$R$257,6,FALSE))</f>
        <v/>
      </c>
      <c r="H78" s="295" t="str">
        <f>IF(G78="","",VLOOKUP($B78,'C-1 On-Site WaterC'' Baseline'!$C$9:$R$257,7,FALSE))</f>
        <v/>
      </c>
      <c r="I78" s="295" t="str">
        <f>IF(H78="","",VLOOKUP($B78,'C-1 On-Site WaterC'' Baseline'!$C$9:$R$257,8,FALSE))</f>
        <v/>
      </c>
      <c r="J78" s="295" t="str">
        <f>IF(I78="","",VLOOKUP($B78,'C-1 On-Site WaterC'' Baseline'!$C$9:$R$257,9,FALSE))</f>
        <v/>
      </c>
      <c r="K78" s="295" t="str">
        <f>IF(J78="","",VLOOKUP($B78,'C-1 On-Site WaterC'' Baseline'!$C$9:$R$257,10,FALSE))</f>
        <v/>
      </c>
      <c r="L78" s="295" t="str">
        <f>IF(B78="","",VLOOKUP($B78,'C-1 On-Site WaterC'' Baseline'!$C$9:$R$257,15,FALSE))</f>
        <v/>
      </c>
      <c r="M78" s="299" t="str">
        <f>IF(L78="","",VLOOKUP($B78,'C-1 On-Site WaterC'' Baseline'!$C$9:$R$257,16,FALSE))</f>
        <v/>
      </c>
      <c r="N78" s="245"/>
      <c r="O78" s="275" t="str">
        <f t="shared" si="11"/>
        <v/>
      </c>
      <c r="P78" s="276" t="str">
        <f t="shared" si="12"/>
        <v/>
      </c>
      <c r="Q78" s="336" t="str">
        <f>IF(N78="","",VLOOKUP(B78,'C-1 On-Site WaterC'' Baseline'!$C$10:$AC$257,20,FALSE))</f>
        <v/>
      </c>
      <c r="R78" s="275" t="str">
        <f>IF(N78="","",VLOOKUP(N78,'G-7 WaterC'' Data'!$B$2:$G$8,2,FALSE))</f>
        <v/>
      </c>
      <c r="S78" s="276" t="str">
        <f>IFERROR(VLOOKUP(R78,'G-7 WaterC'' Data'!$C$4:$D$8,2,FALSE),"")</f>
        <v/>
      </c>
      <c r="T78" s="101"/>
      <c r="U78" s="276" t="str">
        <f>IFERROR(INDEX('G-7 WaterC'' Data'!$H$4:$L$8,MATCH(N78,'G-7 WaterC'' Data'!$B$4:$B$8,0),MATCH(T78,'G-7 WaterC'' Data'!$H$3:$L$3,0)),"")</f>
        <v/>
      </c>
      <c r="V78" s="101"/>
      <c r="W78" s="283" t="str">
        <f>IF(V78="","",IF(VLOOKUP(V78,'G-7 WaterC'' Data'!$AK$4:$AM$6,2,FALSE)=0,"Spatial Data Missing ⚠",VLOOKUP(V78,'G-7 WaterC'' Data'!$AK$4:$AM$6,2,FALSE)))</f>
        <v/>
      </c>
      <c r="X78" s="276" t="str">
        <f>IF(V78="","",IF(VLOOKUP(V78,'G-7 WaterC'' Data'!$AK$4:$AM$6,3,FALSE)=0,"Spatial Data Missing ⚠",VLOOKUP(V78,'G-7 WaterC'' Data'!$AK$4:$AM$6,3,FALSE)))</f>
        <v/>
      </c>
      <c r="Y78" s="275" t="str">
        <f>IFERROR(IF(OR(LEFT(P78,5)="Error",LEFT(O78,5)="Error"),"Check Data ⚠",IF(F78&lt;S78,'G-7 WaterC'' Data'!$R$3,INDEX('G-7 WaterC'' Data'!$U$5:$Y$9,MATCH(G78,'G-7 WaterC'' Data'!$T$5:$T$9,0),MATCH(T78,'G-7 WaterC'' Data'!$U$4:$Y$4,0)))),"")</f>
        <v/>
      </c>
      <c r="Z78" s="133"/>
      <c r="AA78" s="133"/>
      <c r="AB78" s="283" t="str">
        <f t="shared" si="13"/>
        <v/>
      </c>
      <c r="AC78" s="296" t="str">
        <f t="shared" si="14"/>
        <v/>
      </c>
      <c r="AD78" s="334" t="str">
        <f>IFERROR(IF(AC78="Check Data ⚠","Check Data ⚠",VLOOKUP(AC78,'G-4 Temporal multipliers'!$A$4:$C$37,3,FALSE)),"")</f>
        <v/>
      </c>
      <c r="AE78" s="275" t="str">
        <f>IF(N78="","",VLOOKUP(N78,'G-7 WaterC'' Data'!$B$4:$G$8,5,FALSE))</f>
        <v/>
      </c>
      <c r="AF78" s="283" t="str">
        <f t="shared" si="15"/>
        <v/>
      </c>
      <c r="AG78" s="314" t="str">
        <f t="shared" si="16"/>
        <v/>
      </c>
      <c r="AH78" s="276" t="str">
        <f t="shared" si="10"/>
        <v/>
      </c>
      <c r="AI78" s="105"/>
      <c r="AJ78" s="276" t="str">
        <f>IF(AI78="","",IF(AND(AI78="N/A - Culvert",N78&lt;&gt;"Culvert"),"Not possible ▲",IF(VLOOKUP(AI78,'G-7 WaterC'' Data'!$AA$4:$AB$7,2,FALSE)=0,"Spatial Data Missing ⚠",VLOOKUP(AI78,'G-7 WaterC'' Data'!$AA$4:$AB$7,2,FALSE))))</f>
        <v/>
      </c>
      <c r="AK78" s="106"/>
      <c r="AL78" s="276" t="str">
        <f>IF(AK78="","",IF(AND(AK78="N/A - Culvert",N78&lt;&gt;"Culvert"),"Not possible ▲",IF(VLOOKUP(AK78,'G-7 WaterC'' Data'!$AD$4:$AE$14,2,FALSE)=0,"Spatial Data Missing ⚠",VLOOKUP(AK78,'G-7 WaterC'' Data'!$AD$4:$AE$14,2,FALSE))))</f>
        <v/>
      </c>
      <c r="AM78" s="317" t="str">
        <f t="shared" si="17"/>
        <v/>
      </c>
      <c r="AN78" s="101"/>
      <c r="AO78" s="115"/>
      <c r="AP78" s="104"/>
      <c r="AS78" s="30" t="str">
        <f>IF(B78="","",IF(ISNA(VLOOKUP($B78,'C-1 On-Site WaterC'' Baseline'!$C$8:$AD$257,17,FALSE)),"",(VLOOKUP($B78,'C-1 On-Site WaterC'' Baseline'!$C$8:$AD$257,17,FALSE))))</f>
        <v/>
      </c>
      <c r="AT78" s="30" t="str">
        <f>IF(B78="","",VLOOKUP($B78,'C-1 On-Site WaterC'' Baseline'!$C$9:$Z$257,12,FALSE))</f>
        <v/>
      </c>
      <c r="AU78" s="30" t="str">
        <f>IF(B78="","",VLOOKUP($B78,'C-1 On-Site WaterC'' Baseline'!$C$9:$Z$257,14,FALSE))</f>
        <v/>
      </c>
      <c r="AV78" s="30" t="str">
        <f>IFERROR(INDEX('G-7 WaterC'' Data'!$AZ$3:$AZ$7,MATCH(N78,'G-7 WaterC'' Data'!$AY$3:$AY$7,0)),"")</f>
        <v/>
      </c>
      <c r="AX78" s="30" t="str">
        <f>IF(B78="","",VLOOKUP($B78,'C-1 On-Site WaterC'' Baseline'!$C$9:$Y$257,22,FALSE))</f>
        <v/>
      </c>
      <c r="AY78" s="30" t="str">
        <f t="shared" si="18"/>
        <v/>
      </c>
      <c r="AZ78" s="30" t="str">
        <f>IF(B78="","",VLOOKUP($B78,'C-1 On-Site WaterC'' Baseline'!$C$9:$Y$257,21,FALSE))</f>
        <v/>
      </c>
      <c r="BA78" s="30" t="str">
        <f>IF(B78="","",VLOOKUP($B78,'C-1 On-Site WaterC'' Baseline'!$C$9:$Y$257,19,FALSE))</f>
        <v/>
      </c>
      <c r="BD78" s="30" t="str">
        <f t="shared" si="19"/>
        <v>No</v>
      </c>
    </row>
    <row r="79" spans="2:56" ht="14">
      <c r="B79" s="305" t="str">
        <f>'C-1 On-Site WaterC'' Baseline'!AP77</f>
        <v/>
      </c>
      <c r="C79" s="295" t="str">
        <f>IF(B79="","",VLOOKUP($B79,'C-1 On-Site WaterC'' Baseline'!$C$9:$R$257,2,FALSE))</f>
        <v/>
      </c>
      <c r="D79" s="295" t="str">
        <f>IF(C79="","",VLOOKUP($B79,'C-1 On-Site WaterC'' Baseline'!$C$9:$R$257,3,FALSE))</f>
        <v/>
      </c>
      <c r="E79" s="295" t="str">
        <f>IF(D79="","",VLOOKUP($B79,'C-1 On-Site WaterC'' Baseline'!$C$9:$R$257,4,FALSE))</f>
        <v/>
      </c>
      <c r="F79" s="295" t="str">
        <f>IF(E79="","",VLOOKUP($B79,'C-1 On-Site WaterC'' Baseline'!$C$9:$R$257,5,FALSE))</f>
        <v/>
      </c>
      <c r="G79" s="295" t="str">
        <f>IF(F79="","",VLOOKUP($B79,'C-1 On-Site WaterC'' Baseline'!$C$9:$R$257,6,FALSE))</f>
        <v/>
      </c>
      <c r="H79" s="295" t="str">
        <f>IF(G79="","",VLOOKUP($B79,'C-1 On-Site WaterC'' Baseline'!$C$9:$R$257,7,FALSE))</f>
        <v/>
      </c>
      <c r="I79" s="295" t="str">
        <f>IF(H79="","",VLOOKUP($B79,'C-1 On-Site WaterC'' Baseline'!$C$9:$R$257,8,FALSE))</f>
        <v/>
      </c>
      <c r="J79" s="295" t="str">
        <f>IF(I79="","",VLOOKUP($B79,'C-1 On-Site WaterC'' Baseline'!$C$9:$R$257,9,FALSE))</f>
        <v/>
      </c>
      <c r="K79" s="295" t="str">
        <f>IF(J79="","",VLOOKUP($B79,'C-1 On-Site WaterC'' Baseline'!$C$9:$R$257,10,FALSE))</f>
        <v/>
      </c>
      <c r="L79" s="295" t="str">
        <f>IF(B79="","",VLOOKUP($B79,'C-1 On-Site WaterC'' Baseline'!$C$9:$R$257,15,FALSE))</f>
        <v/>
      </c>
      <c r="M79" s="299" t="str">
        <f>IF(L79="","",VLOOKUP($B79,'C-1 On-Site WaterC'' Baseline'!$C$9:$R$257,16,FALSE))</f>
        <v/>
      </c>
      <c r="N79" s="245"/>
      <c r="O79" s="275" t="str">
        <f t="shared" si="11"/>
        <v/>
      </c>
      <c r="P79" s="276" t="str">
        <f t="shared" si="12"/>
        <v/>
      </c>
      <c r="Q79" s="336" t="str">
        <f>IF(N79="","",VLOOKUP(B79,'C-1 On-Site WaterC'' Baseline'!$C$10:$AC$257,20,FALSE))</f>
        <v/>
      </c>
      <c r="R79" s="275" t="str">
        <f>IF(N79="","",VLOOKUP(N79,'G-7 WaterC'' Data'!$B$2:$G$8,2,FALSE))</f>
        <v/>
      </c>
      <c r="S79" s="276" t="str">
        <f>IFERROR(VLOOKUP(R79,'G-7 WaterC'' Data'!$C$4:$D$8,2,FALSE),"")</f>
        <v/>
      </c>
      <c r="T79" s="101"/>
      <c r="U79" s="276" t="str">
        <f>IFERROR(INDEX('G-7 WaterC'' Data'!$H$4:$L$8,MATCH(N79,'G-7 WaterC'' Data'!$B$4:$B$8,0),MATCH(T79,'G-7 WaterC'' Data'!$H$3:$L$3,0)),"")</f>
        <v/>
      </c>
      <c r="V79" s="101"/>
      <c r="W79" s="283" t="str">
        <f>IF(V79="","",IF(VLOOKUP(V79,'G-7 WaterC'' Data'!$AK$4:$AM$6,2,FALSE)=0,"Spatial Data Missing ⚠",VLOOKUP(V79,'G-7 WaterC'' Data'!$AK$4:$AM$6,2,FALSE)))</f>
        <v/>
      </c>
      <c r="X79" s="276" t="str">
        <f>IF(V79="","",IF(VLOOKUP(V79,'G-7 WaterC'' Data'!$AK$4:$AM$6,3,FALSE)=0,"Spatial Data Missing ⚠",VLOOKUP(V79,'G-7 WaterC'' Data'!$AK$4:$AM$6,3,FALSE)))</f>
        <v/>
      </c>
      <c r="Y79" s="275" t="str">
        <f>IFERROR(IF(OR(LEFT(P79,5)="Error",LEFT(O79,5)="Error"),"Check Data ⚠",IF(F79&lt;S79,'G-7 WaterC'' Data'!$R$3,INDEX('G-7 WaterC'' Data'!$U$5:$Y$9,MATCH(G79,'G-7 WaterC'' Data'!$T$5:$T$9,0),MATCH(T79,'G-7 WaterC'' Data'!$U$4:$Y$4,0)))),"")</f>
        <v/>
      </c>
      <c r="Z79" s="133"/>
      <c r="AA79" s="133"/>
      <c r="AB79" s="283" t="str">
        <f t="shared" si="13"/>
        <v/>
      </c>
      <c r="AC79" s="296" t="str">
        <f t="shared" si="14"/>
        <v/>
      </c>
      <c r="AD79" s="334" t="str">
        <f>IFERROR(IF(AC79="Check Data ⚠","Check Data ⚠",VLOOKUP(AC79,'G-4 Temporal multipliers'!$A$4:$C$37,3,FALSE)),"")</f>
        <v/>
      </c>
      <c r="AE79" s="275" t="str">
        <f>IF(N79="","",VLOOKUP(N79,'G-7 WaterC'' Data'!$B$4:$G$8,5,FALSE))</f>
        <v/>
      </c>
      <c r="AF79" s="283" t="str">
        <f t="shared" si="15"/>
        <v/>
      </c>
      <c r="AG79" s="314" t="str">
        <f t="shared" si="16"/>
        <v/>
      </c>
      <c r="AH79" s="276" t="str">
        <f t="shared" si="10"/>
        <v/>
      </c>
      <c r="AI79" s="105"/>
      <c r="AJ79" s="276" t="str">
        <f>IF(AI79="","",IF(AND(AI79="N/A - Culvert",N79&lt;&gt;"Culvert"),"Not possible ▲",IF(VLOOKUP(AI79,'G-7 WaterC'' Data'!$AA$4:$AB$7,2,FALSE)=0,"Spatial Data Missing ⚠",VLOOKUP(AI79,'G-7 WaterC'' Data'!$AA$4:$AB$7,2,FALSE))))</f>
        <v/>
      </c>
      <c r="AK79" s="106"/>
      <c r="AL79" s="276" t="str">
        <f>IF(AK79="","",IF(AND(AK79="N/A - Culvert",N79&lt;&gt;"Culvert"),"Not possible ▲",IF(VLOOKUP(AK79,'G-7 WaterC'' Data'!$AD$4:$AE$14,2,FALSE)=0,"Spatial Data Missing ⚠",VLOOKUP(AK79,'G-7 WaterC'' Data'!$AD$4:$AE$14,2,FALSE))))</f>
        <v/>
      </c>
      <c r="AM79" s="317" t="str">
        <f t="shared" si="17"/>
        <v/>
      </c>
      <c r="AN79" s="101"/>
      <c r="AO79" s="115"/>
      <c r="AP79" s="104"/>
      <c r="AS79" s="30" t="str">
        <f>IF(B79="","",IF(ISNA(VLOOKUP($B79,'C-1 On-Site WaterC'' Baseline'!$C$8:$AD$257,17,FALSE)),"",(VLOOKUP($B79,'C-1 On-Site WaterC'' Baseline'!$C$8:$AD$257,17,FALSE))))</f>
        <v/>
      </c>
      <c r="AT79" s="30" t="str">
        <f>IF(B79="","",VLOOKUP($B79,'C-1 On-Site WaterC'' Baseline'!$C$9:$Z$257,12,FALSE))</f>
        <v/>
      </c>
      <c r="AU79" s="30" t="str">
        <f>IF(B79="","",VLOOKUP($B79,'C-1 On-Site WaterC'' Baseline'!$C$9:$Z$257,14,FALSE))</f>
        <v/>
      </c>
      <c r="AV79" s="30" t="str">
        <f>IFERROR(INDEX('G-7 WaterC'' Data'!$AZ$3:$AZ$7,MATCH(N79,'G-7 WaterC'' Data'!$AY$3:$AY$7,0)),"")</f>
        <v/>
      </c>
      <c r="AX79" s="30" t="str">
        <f>IF(B79="","",VLOOKUP($B79,'C-1 On-Site WaterC'' Baseline'!$C$9:$Y$257,22,FALSE))</f>
        <v/>
      </c>
      <c r="AY79" s="30" t="str">
        <f t="shared" si="18"/>
        <v/>
      </c>
      <c r="AZ79" s="30" t="str">
        <f>IF(B79="","",VLOOKUP($B79,'C-1 On-Site WaterC'' Baseline'!$C$9:$Y$257,21,FALSE))</f>
        <v/>
      </c>
      <c r="BA79" s="30" t="str">
        <f>IF(B79="","",VLOOKUP($B79,'C-1 On-Site WaterC'' Baseline'!$C$9:$Y$257,19,FALSE))</f>
        <v/>
      </c>
      <c r="BD79" s="30" t="str">
        <f t="shared" si="19"/>
        <v>No</v>
      </c>
    </row>
    <row r="80" spans="2:56" ht="14">
      <c r="B80" s="305" t="str">
        <f>'C-1 On-Site WaterC'' Baseline'!AP78</f>
        <v/>
      </c>
      <c r="C80" s="295" t="str">
        <f>IF(B80="","",VLOOKUP($B80,'C-1 On-Site WaterC'' Baseline'!$C$9:$R$257,2,FALSE))</f>
        <v/>
      </c>
      <c r="D80" s="295" t="str">
        <f>IF(C80="","",VLOOKUP($B80,'C-1 On-Site WaterC'' Baseline'!$C$9:$R$257,3,FALSE))</f>
        <v/>
      </c>
      <c r="E80" s="295" t="str">
        <f>IF(D80="","",VLOOKUP($B80,'C-1 On-Site WaterC'' Baseline'!$C$9:$R$257,4,FALSE))</f>
        <v/>
      </c>
      <c r="F80" s="295" t="str">
        <f>IF(E80="","",VLOOKUP($B80,'C-1 On-Site WaterC'' Baseline'!$C$9:$R$257,5,FALSE))</f>
        <v/>
      </c>
      <c r="G80" s="295" t="str">
        <f>IF(F80="","",VLOOKUP($B80,'C-1 On-Site WaterC'' Baseline'!$C$9:$R$257,6,FALSE))</f>
        <v/>
      </c>
      <c r="H80" s="295" t="str">
        <f>IF(G80="","",VLOOKUP($B80,'C-1 On-Site WaterC'' Baseline'!$C$9:$R$257,7,FALSE))</f>
        <v/>
      </c>
      <c r="I80" s="295" t="str">
        <f>IF(H80="","",VLOOKUP($B80,'C-1 On-Site WaterC'' Baseline'!$C$9:$R$257,8,FALSE))</f>
        <v/>
      </c>
      <c r="J80" s="295" t="str">
        <f>IF(I80="","",VLOOKUP($B80,'C-1 On-Site WaterC'' Baseline'!$C$9:$R$257,9,FALSE))</f>
        <v/>
      </c>
      <c r="K80" s="295" t="str">
        <f>IF(J80="","",VLOOKUP($B80,'C-1 On-Site WaterC'' Baseline'!$C$9:$R$257,10,FALSE))</f>
        <v/>
      </c>
      <c r="L80" s="295" t="str">
        <f>IF(B80="","",VLOOKUP($B80,'C-1 On-Site WaterC'' Baseline'!$C$9:$R$257,15,FALSE))</f>
        <v/>
      </c>
      <c r="M80" s="299" t="str">
        <f>IF(L80="","",VLOOKUP($B80,'C-1 On-Site WaterC'' Baseline'!$C$9:$R$257,16,FALSE))</f>
        <v/>
      </c>
      <c r="N80" s="245"/>
      <c r="O80" s="275" t="str">
        <f t="shared" si="11"/>
        <v/>
      </c>
      <c r="P80" s="276" t="str">
        <f t="shared" si="12"/>
        <v/>
      </c>
      <c r="Q80" s="336" t="str">
        <f>IF(N80="","",VLOOKUP(B80,'C-1 On-Site WaterC'' Baseline'!$C$10:$AC$257,20,FALSE))</f>
        <v/>
      </c>
      <c r="R80" s="275" t="str">
        <f>IF(N80="","",VLOOKUP(N80,'G-7 WaterC'' Data'!$B$2:$G$8,2,FALSE))</f>
        <v/>
      </c>
      <c r="S80" s="276" t="str">
        <f>IFERROR(VLOOKUP(R80,'G-7 WaterC'' Data'!$C$4:$D$8,2,FALSE),"")</f>
        <v/>
      </c>
      <c r="T80" s="101"/>
      <c r="U80" s="276" t="str">
        <f>IFERROR(INDEX('G-7 WaterC'' Data'!$H$4:$L$8,MATCH(N80,'G-7 WaterC'' Data'!$B$4:$B$8,0),MATCH(T80,'G-7 WaterC'' Data'!$H$3:$L$3,0)),"")</f>
        <v/>
      </c>
      <c r="V80" s="101"/>
      <c r="W80" s="283" t="str">
        <f>IF(V80="","",IF(VLOOKUP(V80,'G-7 WaterC'' Data'!$AK$4:$AM$6,2,FALSE)=0,"Spatial Data Missing ⚠",VLOOKUP(V80,'G-7 WaterC'' Data'!$AK$4:$AM$6,2,FALSE)))</f>
        <v/>
      </c>
      <c r="X80" s="276" t="str">
        <f>IF(V80="","",IF(VLOOKUP(V80,'G-7 WaterC'' Data'!$AK$4:$AM$6,3,FALSE)=0,"Spatial Data Missing ⚠",VLOOKUP(V80,'G-7 WaterC'' Data'!$AK$4:$AM$6,3,FALSE)))</f>
        <v/>
      </c>
      <c r="Y80" s="275" t="str">
        <f>IFERROR(IF(OR(LEFT(P80,5)="Error",LEFT(O80,5)="Error"),"Check Data ⚠",IF(F80&lt;S80,'G-7 WaterC'' Data'!$R$3,INDEX('G-7 WaterC'' Data'!$U$5:$Y$9,MATCH(G80,'G-7 WaterC'' Data'!$T$5:$T$9,0),MATCH(T80,'G-7 WaterC'' Data'!$U$4:$Y$4,0)))),"")</f>
        <v/>
      </c>
      <c r="Z80" s="133"/>
      <c r="AA80" s="133"/>
      <c r="AB80" s="283" t="str">
        <f t="shared" si="13"/>
        <v/>
      </c>
      <c r="AC80" s="296" t="str">
        <f t="shared" si="14"/>
        <v/>
      </c>
      <c r="AD80" s="334" t="str">
        <f>IFERROR(IF(AC80="Check Data ⚠","Check Data ⚠",VLOOKUP(AC80,'G-4 Temporal multipliers'!$A$4:$C$37,3,FALSE)),"")</f>
        <v/>
      </c>
      <c r="AE80" s="275" t="str">
        <f>IF(N80="","",VLOOKUP(N80,'G-7 WaterC'' Data'!$B$4:$G$8,5,FALSE))</f>
        <v/>
      </c>
      <c r="AF80" s="283" t="str">
        <f t="shared" si="15"/>
        <v/>
      </c>
      <c r="AG80" s="314" t="str">
        <f t="shared" si="16"/>
        <v/>
      </c>
      <c r="AH80" s="276" t="str">
        <f t="shared" si="10"/>
        <v/>
      </c>
      <c r="AI80" s="105"/>
      <c r="AJ80" s="276" t="str">
        <f>IF(AI80="","",IF(AND(AI80="N/A - Culvert",N80&lt;&gt;"Culvert"),"Not possible ▲",IF(VLOOKUP(AI80,'G-7 WaterC'' Data'!$AA$4:$AB$7,2,FALSE)=0,"Spatial Data Missing ⚠",VLOOKUP(AI80,'G-7 WaterC'' Data'!$AA$4:$AB$7,2,FALSE))))</f>
        <v/>
      </c>
      <c r="AK80" s="106"/>
      <c r="AL80" s="276" t="str">
        <f>IF(AK80="","",IF(AND(AK80="N/A - Culvert",N80&lt;&gt;"Culvert"),"Not possible ▲",IF(VLOOKUP(AK80,'G-7 WaterC'' Data'!$AD$4:$AE$14,2,FALSE)=0,"Spatial Data Missing ⚠",VLOOKUP(AK80,'G-7 WaterC'' Data'!$AD$4:$AE$14,2,FALSE))))</f>
        <v/>
      </c>
      <c r="AM80" s="317" t="str">
        <f t="shared" si="17"/>
        <v/>
      </c>
      <c r="AN80" s="101"/>
      <c r="AO80" s="115"/>
      <c r="AP80" s="104"/>
      <c r="AS80" s="30" t="str">
        <f>IF(B80="","",IF(ISNA(VLOOKUP($B80,'C-1 On-Site WaterC'' Baseline'!$C$8:$AD$257,17,FALSE)),"",(VLOOKUP($B80,'C-1 On-Site WaterC'' Baseline'!$C$8:$AD$257,17,FALSE))))</f>
        <v/>
      </c>
      <c r="AT80" s="30" t="str">
        <f>IF(B80="","",VLOOKUP($B80,'C-1 On-Site WaterC'' Baseline'!$C$9:$Z$257,12,FALSE))</f>
        <v/>
      </c>
      <c r="AU80" s="30" t="str">
        <f>IF(B80="","",VLOOKUP($B80,'C-1 On-Site WaterC'' Baseline'!$C$9:$Z$257,14,FALSE))</f>
        <v/>
      </c>
      <c r="AV80" s="30" t="str">
        <f>IFERROR(INDEX('G-7 WaterC'' Data'!$AZ$3:$AZ$7,MATCH(N80,'G-7 WaterC'' Data'!$AY$3:$AY$7,0)),"")</f>
        <v/>
      </c>
      <c r="AX80" s="30" t="str">
        <f>IF(B80="","",VLOOKUP($B80,'C-1 On-Site WaterC'' Baseline'!$C$9:$Y$257,22,FALSE))</f>
        <v/>
      </c>
      <c r="AY80" s="30" t="str">
        <f t="shared" si="18"/>
        <v/>
      </c>
      <c r="AZ80" s="30" t="str">
        <f>IF(B80="","",VLOOKUP($B80,'C-1 On-Site WaterC'' Baseline'!$C$9:$Y$257,21,FALSE))</f>
        <v/>
      </c>
      <c r="BA80" s="30" t="str">
        <f>IF(B80="","",VLOOKUP($B80,'C-1 On-Site WaterC'' Baseline'!$C$9:$Y$257,19,FALSE))</f>
        <v/>
      </c>
      <c r="BD80" s="30" t="str">
        <f t="shared" si="19"/>
        <v>No</v>
      </c>
    </row>
    <row r="81" spans="2:56" ht="14">
      <c r="B81" s="305" t="str">
        <f>'C-1 On-Site WaterC'' Baseline'!AP79</f>
        <v/>
      </c>
      <c r="C81" s="295" t="str">
        <f>IF(B81="","",VLOOKUP($B81,'C-1 On-Site WaterC'' Baseline'!$C$9:$R$257,2,FALSE))</f>
        <v/>
      </c>
      <c r="D81" s="295" t="str">
        <f>IF(C81="","",VLOOKUP($B81,'C-1 On-Site WaterC'' Baseline'!$C$9:$R$257,3,FALSE))</f>
        <v/>
      </c>
      <c r="E81" s="295" t="str">
        <f>IF(D81="","",VLOOKUP($B81,'C-1 On-Site WaterC'' Baseline'!$C$9:$R$257,4,FALSE))</f>
        <v/>
      </c>
      <c r="F81" s="295" t="str">
        <f>IF(E81="","",VLOOKUP($B81,'C-1 On-Site WaterC'' Baseline'!$C$9:$R$257,5,FALSE))</f>
        <v/>
      </c>
      <c r="G81" s="295" t="str">
        <f>IF(F81="","",VLOOKUP($B81,'C-1 On-Site WaterC'' Baseline'!$C$9:$R$257,6,FALSE))</f>
        <v/>
      </c>
      <c r="H81" s="295" t="str">
        <f>IF(G81="","",VLOOKUP($B81,'C-1 On-Site WaterC'' Baseline'!$C$9:$R$257,7,FALSE))</f>
        <v/>
      </c>
      <c r="I81" s="295" t="str">
        <f>IF(H81="","",VLOOKUP($B81,'C-1 On-Site WaterC'' Baseline'!$C$9:$R$257,8,FALSE))</f>
        <v/>
      </c>
      <c r="J81" s="295" t="str">
        <f>IF(I81="","",VLOOKUP($B81,'C-1 On-Site WaterC'' Baseline'!$C$9:$R$257,9,FALSE))</f>
        <v/>
      </c>
      <c r="K81" s="295" t="str">
        <f>IF(J81="","",VLOOKUP($B81,'C-1 On-Site WaterC'' Baseline'!$C$9:$R$257,10,FALSE))</f>
        <v/>
      </c>
      <c r="L81" s="295" t="str">
        <f>IF(B81="","",VLOOKUP($B81,'C-1 On-Site WaterC'' Baseline'!$C$9:$R$257,15,FALSE))</f>
        <v/>
      </c>
      <c r="M81" s="299" t="str">
        <f>IF(L81="","",VLOOKUP($B81,'C-1 On-Site WaterC'' Baseline'!$C$9:$R$257,16,FALSE))</f>
        <v/>
      </c>
      <c r="N81" s="245"/>
      <c r="O81" s="275" t="str">
        <f t="shared" si="11"/>
        <v/>
      </c>
      <c r="P81" s="276" t="str">
        <f t="shared" si="12"/>
        <v/>
      </c>
      <c r="Q81" s="336" t="str">
        <f>IF(N81="","",VLOOKUP(B81,'C-1 On-Site WaterC'' Baseline'!$C$10:$AC$257,20,FALSE))</f>
        <v/>
      </c>
      <c r="R81" s="275" t="str">
        <f>IF(N81="","",VLOOKUP(N81,'G-7 WaterC'' Data'!$B$2:$G$8,2,FALSE))</f>
        <v/>
      </c>
      <c r="S81" s="276" t="str">
        <f>IFERROR(VLOOKUP(R81,'G-7 WaterC'' Data'!$C$4:$D$8,2,FALSE),"")</f>
        <v/>
      </c>
      <c r="T81" s="101"/>
      <c r="U81" s="276" t="str">
        <f>IFERROR(INDEX('G-7 WaterC'' Data'!$H$4:$L$8,MATCH(N81,'G-7 WaterC'' Data'!$B$4:$B$8,0),MATCH(T81,'G-7 WaterC'' Data'!$H$3:$L$3,0)),"")</f>
        <v/>
      </c>
      <c r="V81" s="101"/>
      <c r="W81" s="283" t="str">
        <f>IF(V81="","",IF(VLOOKUP(V81,'G-7 WaterC'' Data'!$AK$4:$AM$6,2,FALSE)=0,"Spatial Data Missing ⚠",VLOOKUP(V81,'G-7 WaterC'' Data'!$AK$4:$AM$6,2,FALSE)))</f>
        <v/>
      </c>
      <c r="X81" s="276" t="str">
        <f>IF(V81="","",IF(VLOOKUP(V81,'G-7 WaterC'' Data'!$AK$4:$AM$6,3,FALSE)=0,"Spatial Data Missing ⚠",VLOOKUP(V81,'G-7 WaterC'' Data'!$AK$4:$AM$6,3,FALSE)))</f>
        <v/>
      </c>
      <c r="Y81" s="275" t="str">
        <f>IFERROR(IF(OR(LEFT(P81,5)="Error",LEFT(O81,5)="Error"),"Check Data ⚠",IF(F81&lt;S81,'G-7 WaterC'' Data'!$R$3,INDEX('G-7 WaterC'' Data'!$U$5:$Y$9,MATCH(G81,'G-7 WaterC'' Data'!$T$5:$T$9,0),MATCH(T81,'G-7 WaterC'' Data'!$U$4:$Y$4,0)))),"")</f>
        <v/>
      </c>
      <c r="Z81" s="133"/>
      <c r="AA81" s="133"/>
      <c r="AB81" s="283" t="str">
        <f t="shared" si="13"/>
        <v/>
      </c>
      <c r="AC81" s="296" t="str">
        <f t="shared" si="14"/>
        <v/>
      </c>
      <c r="AD81" s="334" t="str">
        <f>IFERROR(IF(AC81="Check Data ⚠","Check Data ⚠",VLOOKUP(AC81,'G-4 Temporal multipliers'!$A$4:$C$37,3,FALSE)),"")</f>
        <v/>
      </c>
      <c r="AE81" s="275" t="str">
        <f>IF(N81="","",VLOOKUP(N81,'G-7 WaterC'' Data'!$B$4:$G$8,5,FALSE))</f>
        <v/>
      </c>
      <c r="AF81" s="283" t="str">
        <f t="shared" si="15"/>
        <v/>
      </c>
      <c r="AG81" s="314" t="str">
        <f t="shared" si="16"/>
        <v/>
      </c>
      <c r="AH81" s="276" t="str">
        <f t="shared" si="10"/>
        <v/>
      </c>
      <c r="AI81" s="105"/>
      <c r="AJ81" s="276" t="str">
        <f>IF(AI81="","",IF(AND(AI81="N/A - Culvert",N81&lt;&gt;"Culvert"),"Not possible ▲",IF(VLOOKUP(AI81,'G-7 WaterC'' Data'!$AA$4:$AB$7,2,FALSE)=0,"Spatial Data Missing ⚠",VLOOKUP(AI81,'G-7 WaterC'' Data'!$AA$4:$AB$7,2,FALSE))))</f>
        <v/>
      </c>
      <c r="AK81" s="106"/>
      <c r="AL81" s="276" t="str">
        <f>IF(AK81="","",IF(AND(AK81="N/A - Culvert",N81&lt;&gt;"Culvert"),"Not possible ▲",IF(VLOOKUP(AK81,'G-7 WaterC'' Data'!$AD$4:$AE$14,2,FALSE)=0,"Spatial Data Missing ⚠",VLOOKUP(AK81,'G-7 WaterC'' Data'!$AD$4:$AE$14,2,FALSE))))</f>
        <v/>
      </c>
      <c r="AM81" s="317" t="str">
        <f t="shared" si="17"/>
        <v/>
      </c>
      <c r="AN81" s="101"/>
      <c r="AO81" s="115"/>
      <c r="AP81" s="104"/>
      <c r="AS81" s="30" t="str">
        <f>IF(B81="","",IF(ISNA(VLOOKUP($B81,'C-1 On-Site WaterC'' Baseline'!$C$8:$AD$257,17,FALSE)),"",(VLOOKUP($B81,'C-1 On-Site WaterC'' Baseline'!$C$8:$AD$257,17,FALSE))))</f>
        <v/>
      </c>
      <c r="AT81" s="30" t="str">
        <f>IF(B81="","",VLOOKUP($B81,'C-1 On-Site WaterC'' Baseline'!$C$9:$Z$257,12,FALSE))</f>
        <v/>
      </c>
      <c r="AU81" s="30" t="str">
        <f>IF(B81="","",VLOOKUP($B81,'C-1 On-Site WaterC'' Baseline'!$C$9:$Z$257,14,FALSE))</f>
        <v/>
      </c>
      <c r="AV81" s="30" t="str">
        <f>IFERROR(INDEX('G-7 WaterC'' Data'!$AZ$3:$AZ$7,MATCH(N81,'G-7 WaterC'' Data'!$AY$3:$AY$7,0)),"")</f>
        <v/>
      </c>
      <c r="AX81" s="30" t="str">
        <f>IF(B81="","",VLOOKUP($B81,'C-1 On-Site WaterC'' Baseline'!$C$9:$Y$257,22,FALSE))</f>
        <v/>
      </c>
      <c r="AY81" s="30" t="str">
        <f t="shared" si="18"/>
        <v/>
      </c>
      <c r="AZ81" s="30" t="str">
        <f>IF(B81="","",VLOOKUP($B81,'C-1 On-Site WaterC'' Baseline'!$C$9:$Y$257,21,FALSE))</f>
        <v/>
      </c>
      <c r="BA81" s="30" t="str">
        <f>IF(B81="","",VLOOKUP($B81,'C-1 On-Site WaterC'' Baseline'!$C$9:$Y$257,19,FALSE))</f>
        <v/>
      </c>
      <c r="BD81" s="30" t="str">
        <f t="shared" si="19"/>
        <v>No</v>
      </c>
    </row>
    <row r="82" spans="2:56" ht="14">
      <c r="B82" s="305" t="str">
        <f>'C-1 On-Site WaterC'' Baseline'!AP80</f>
        <v/>
      </c>
      <c r="C82" s="295" t="str">
        <f>IF(B82="","",VLOOKUP($B82,'C-1 On-Site WaterC'' Baseline'!$C$9:$R$257,2,FALSE))</f>
        <v/>
      </c>
      <c r="D82" s="295" t="str">
        <f>IF(C82="","",VLOOKUP($B82,'C-1 On-Site WaterC'' Baseline'!$C$9:$R$257,3,FALSE))</f>
        <v/>
      </c>
      <c r="E82" s="295" t="str">
        <f>IF(D82="","",VLOOKUP($B82,'C-1 On-Site WaterC'' Baseline'!$C$9:$R$257,4,FALSE))</f>
        <v/>
      </c>
      <c r="F82" s="295" t="str">
        <f>IF(E82="","",VLOOKUP($B82,'C-1 On-Site WaterC'' Baseline'!$C$9:$R$257,5,FALSE))</f>
        <v/>
      </c>
      <c r="G82" s="295" t="str">
        <f>IF(F82="","",VLOOKUP($B82,'C-1 On-Site WaterC'' Baseline'!$C$9:$R$257,6,FALSE))</f>
        <v/>
      </c>
      <c r="H82" s="295" t="str">
        <f>IF(G82="","",VLOOKUP($B82,'C-1 On-Site WaterC'' Baseline'!$C$9:$R$257,7,FALSE))</f>
        <v/>
      </c>
      <c r="I82" s="295" t="str">
        <f>IF(H82="","",VLOOKUP($B82,'C-1 On-Site WaterC'' Baseline'!$C$9:$R$257,8,FALSE))</f>
        <v/>
      </c>
      <c r="J82" s="295" t="str">
        <f>IF(I82="","",VLOOKUP($B82,'C-1 On-Site WaterC'' Baseline'!$C$9:$R$257,9,FALSE))</f>
        <v/>
      </c>
      <c r="K82" s="295" t="str">
        <f>IF(J82="","",VLOOKUP($B82,'C-1 On-Site WaterC'' Baseline'!$C$9:$R$257,10,FALSE))</f>
        <v/>
      </c>
      <c r="L82" s="295" t="str">
        <f>IF(B82="","",VLOOKUP($B82,'C-1 On-Site WaterC'' Baseline'!$C$9:$R$257,15,FALSE))</f>
        <v/>
      </c>
      <c r="M82" s="299" t="str">
        <f>IF(L82="","",VLOOKUP($B82,'C-1 On-Site WaterC'' Baseline'!$C$9:$R$257,16,FALSE))</f>
        <v/>
      </c>
      <c r="N82" s="245"/>
      <c r="O82" s="275" t="str">
        <f t="shared" si="11"/>
        <v/>
      </c>
      <c r="P82" s="276" t="str">
        <f t="shared" si="12"/>
        <v/>
      </c>
      <c r="Q82" s="336" t="str">
        <f>IF(N82="","",VLOOKUP(B82,'C-1 On-Site WaterC'' Baseline'!$C$10:$AC$257,20,FALSE))</f>
        <v/>
      </c>
      <c r="R82" s="275" t="str">
        <f>IF(N82="","",VLOOKUP(N82,'G-7 WaterC'' Data'!$B$2:$G$8,2,FALSE))</f>
        <v/>
      </c>
      <c r="S82" s="276" t="str">
        <f>IFERROR(VLOOKUP(R82,'G-7 WaterC'' Data'!$C$4:$D$8,2,FALSE),"")</f>
        <v/>
      </c>
      <c r="T82" s="101"/>
      <c r="U82" s="276" t="str">
        <f>IFERROR(INDEX('G-7 WaterC'' Data'!$H$4:$L$8,MATCH(N82,'G-7 WaterC'' Data'!$B$4:$B$8,0),MATCH(T82,'G-7 WaterC'' Data'!$H$3:$L$3,0)),"")</f>
        <v/>
      </c>
      <c r="V82" s="101"/>
      <c r="W82" s="283" t="str">
        <f>IF(V82="","",IF(VLOOKUP(V82,'G-7 WaterC'' Data'!$AK$4:$AM$6,2,FALSE)=0,"Spatial Data Missing ⚠",VLOOKUP(V82,'G-7 WaterC'' Data'!$AK$4:$AM$6,2,FALSE)))</f>
        <v/>
      </c>
      <c r="X82" s="276" t="str">
        <f>IF(V82="","",IF(VLOOKUP(V82,'G-7 WaterC'' Data'!$AK$4:$AM$6,3,FALSE)=0,"Spatial Data Missing ⚠",VLOOKUP(V82,'G-7 WaterC'' Data'!$AK$4:$AM$6,3,FALSE)))</f>
        <v/>
      </c>
      <c r="Y82" s="275" t="str">
        <f>IFERROR(IF(OR(LEFT(P82,5)="Error",LEFT(O82,5)="Error"),"Check Data ⚠",IF(F82&lt;S82,'G-7 WaterC'' Data'!$R$3,INDEX('G-7 WaterC'' Data'!$U$5:$Y$9,MATCH(G82,'G-7 WaterC'' Data'!$T$5:$T$9,0),MATCH(T82,'G-7 WaterC'' Data'!$U$4:$Y$4,0)))),"")</f>
        <v/>
      </c>
      <c r="Z82" s="133"/>
      <c r="AA82" s="133"/>
      <c r="AB82" s="283" t="str">
        <f t="shared" si="13"/>
        <v/>
      </c>
      <c r="AC82" s="296" t="str">
        <f t="shared" si="14"/>
        <v/>
      </c>
      <c r="AD82" s="334" t="str">
        <f>IFERROR(IF(AC82="Check Data ⚠","Check Data ⚠",VLOOKUP(AC82,'G-4 Temporal multipliers'!$A$4:$C$37,3,FALSE)),"")</f>
        <v/>
      </c>
      <c r="AE82" s="275" t="str">
        <f>IF(N82="","",VLOOKUP(N82,'G-7 WaterC'' Data'!$B$4:$G$8,5,FALSE))</f>
        <v/>
      </c>
      <c r="AF82" s="283" t="str">
        <f t="shared" si="15"/>
        <v/>
      </c>
      <c r="AG82" s="314" t="str">
        <f t="shared" si="16"/>
        <v/>
      </c>
      <c r="AH82" s="276" t="str">
        <f t="shared" si="10"/>
        <v/>
      </c>
      <c r="AI82" s="105"/>
      <c r="AJ82" s="276" t="str">
        <f>IF(AI82="","",IF(AND(AI82="N/A - Culvert",N82&lt;&gt;"Culvert"),"Not possible ▲",IF(VLOOKUP(AI82,'G-7 WaterC'' Data'!$AA$4:$AB$7,2,FALSE)=0,"Spatial Data Missing ⚠",VLOOKUP(AI82,'G-7 WaterC'' Data'!$AA$4:$AB$7,2,FALSE))))</f>
        <v/>
      </c>
      <c r="AK82" s="106"/>
      <c r="AL82" s="276" t="str">
        <f>IF(AK82="","",IF(AND(AK82="N/A - Culvert",N82&lt;&gt;"Culvert"),"Not possible ▲",IF(VLOOKUP(AK82,'G-7 WaterC'' Data'!$AD$4:$AE$14,2,FALSE)=0,"Spatial Data Missing ⚠",VLOOKUP(AK82,'G-7 WaterC'' Data'!$AD$4:$AE$14,2,FALSE))))</f>
        <v/>
      </c>
      <c r="AM82" s="317" t="str">
        <f t="shared" si="17"/>
        <v/>
      </c>
      <c r="AN82" s="101"/>
      <c r="AO82" s="115"/>
      <c r="AP82" s="104"/>
      <c r="AS82" s="30" t="str">
        <f>IF(B82="","",IF(ISNA(VLOOKUP($B82,'C-1 On-Site WaterC'' Baseline'!$C$8:$AD$257,17,FALSE)),"",(VLOOKUP($B82,'C-1 On-Site WaterC'' Baseline'!$C$8:$AD$257,17,FALSE))))</f>
        <v/>
      </c>
      <c r="AT82" s="30" t="str">
        <f>IF(B82="","",VLOOKUP($B82,'C-1 On-Site WaterC'' Baseline'!$C$9:$Z$257,12,FALSE))</f>
        <v/>
      </c>
      <c r="AU82" s="30" t="str">
        <f>IF(B82="","",VLOOKUP($B82,'C-1 On-Site WaterC'' Baseline'!$C$9:$Z$257,14,FALSE))</f>
        <v/>
      </c>
      <c r="AV82" s="30" t="str">
        <f>IFERROR(INDEX('G-7 WaterC'' Data'!$AZ$3:$AZ$7,MATCH(N82,'G-7 WaterC'' Data'!$AY$3:$AY$7,0)),"")</f>
        <v/>
      </c>
      <c r="AX82" s="30" t="str">
        <f>IF(B82="","",VLOOKUP($B82,'C-1 On-Site WaterC'' Baseline'!$C$9:$Y$257,22,FALSE))</f>
        <v/>
      </c>
      <c r="AY82" s="30" t="str">
        <f t="shared" si="18"/>
        <v/>
      </c>
      <c r="AZ82" s="30" t="str">
        <f>IF(B82="","",VLOOKUP($B82,'C-1 On-Site WaterC'' Baseline'!$C$9:$Y$257,21,FALSE))</f>
        <v/>
      </c>
      <c r="BA82" s="30" t="str">
        <f>IF(B82="","",VLOOKUP($B82,'C-1 On-Site WaterC'' Baseline'!$C$9:$Y$257,19,FALSE))</f>
        <v/>
      </c>
      <c r="BD82" s="30" t="str">
        <f t="shared" si="19"/>
        <v>No</v>
      </c>
    </row>
    <row r="83" spans="2:56" ht="14">
      <c r="B83" s="305" t="str">
        <f>'C-1 On-Site WaterC'' Baseline'!AP81</f>
        <v/>
      </c>
      <c r="C83" s="295" t="str">
        <f>IF(B83="","",VLOOKUP($B83,'C-1 On-Site WaterC'' Baseline'!$C$9:$R$257,2,FALSE))</f>
        <v/>
      </c>
      <c r="D83" s="295" t="str">
        <f>IF(C83="","",VLOOKUP($B83,'C-1 On-Site WaterC'' Baseline'!$C$9:$R$257,3,FALSE))</f>
        <v/>
      </c>
      <c r="E83" s="295" t="str">
        <f>IF(D83="","",VLOOKUP($B83,'C-1 On-Site WaterC'' Baseline'!$C$9:$R$257,4,FALSE))</f>
        <v/>
      </c>
      <c r="F83" s="295" t="str">
        <f>IF(E83="","",VLOOKUP($B83,'C-1 On-Site WaterC'' Baseline'!$C$9:$R$257,5,FALSE))</f>
        <v/>
      </c>
      <c r="G83" s="295" t="str">
        <f>IF(F83="","",VLOOKUP($B83,'C-1 On-Site WaterC'' Baseline'!$C$9:$R$257,6,FALSE))</f>
        <v/>
      </c>
      <c r="H83" s="295" t="str">
        <f>IF(G83="","",VLOOKUP($B83,'C-1 On-Site WaterC'' Baseline'!$C$9:$R$257,7,FALSE))</f>
        <v/>
      </c>
      <c r="I83" s="295" t="str">
        <f>IF(H83="","",VLOOKUP($B83,'C-1 On-Site WaterC'' Baseline'!$C$9:$R$257,8,FALSE))</f>
        <v/>
      </c>
      <c r="J83" s="295" t="str">
        <f>IF(I83="","",VLOOKUP($B83,'C-1 On-Site WaterC'' Baseline'!$C$9:$R$257,9,FALSE))</f>
        <v/>
      </c>
      <c r="K83" s="295" t="str">
        <f>IF(J83="","",VLOOKUP($B83,'C-1 On-Site WaterC'' Baseline'!$C$9:$R$257,10,FALSE))</f>
        <v/>
      </c>
      <c r="L83" s="295" t="str">
        <f>IF(B83="","",VLOOKUP($B83,'C-1 On-Site WaterC'' Baseline'!$C$9:$R$257,15,FALSE))</f>
        <v/>
      </c>
      <c r="M83" s="299" t="str">
        <f>IF(L83="","",VLOOKUP($B83,'C-1 On-Site WaterC'' Baseline'!$C$9:$R$257,16,FALSE))</f>
        <v/>
      </c>
      <c r="N83" s="245"/>
      <c r="O83" s="275" t="str">
        <f t="shared" si="11"/>
        <v/>
      </c>
      <c r="P83" s="276" t="str">
        <f t="shared" si="12"/>
        <v/>
      </c>
      <c r="Q83" s="336" t="str">
        <f>IF(N83="","",VLOOKUP(B83,'C-1 On-Site WaterC'' Baseline'!$C$10:$AC$257,20,FALSE))</f>
        <v/>
      </c>
      <c r="R83" s="275" t="str">
        <f>IF(N83="","",VLOOKUP(N83,'G-7 WaterC'' Data'!$B$2:$G$8,2,FALSE))</f>
        <v/>
      </c>
      <c r="S83" s="276" t="str">
        <f>IFERROR(VLOOKUP(R83,'G-7 WaterC'' Data'!$C$4:$D$8,2,FALSE),"")</f>
        <v/>
      </c>
      <c r="T83" s="101"/>
      <c r="U83" s="276" t="str">
        <f>IFERROR(INDEX('G-7 WaterC'' Data'!$H$4:$L$8,MATCH(N83,'G-7 WaterC'' Data'!$B$4:$B$8,0),MATCH(T83,'G-7 WaterC'' Data'!$H$3:$L$3,0)),"")</f>
        <v/>
      </c>
      <c r="V83" s="101"/>
      <c r="W83" s="283" t="str">
        <f>IF(V83="","",IF(VLOOKUP(V83,'G-7 WaterC'' Data'!$AK$4:$AM$6,2,FALSE)=0,"Spatial Data Missing ⚠",VLOOKUP(V83,'G-7 WaterC'' Data'!$AK$4:$AM$6,2,FALSE)))</f>
        <v/>
      </c>
      <c r="X83" s="276" t="str">
        <f>IF(V83="","",IF(VLOOKUP(V83,'G-7 WaterC'' Data'!$AK$4:$AM$6,3,FALSE)=0,"Spatial Data Missing ⚠",VLOOKUP(V83,'G-7 WaterC'' Data'!$AK$4:$AM$6,3,FALSE)))</f>
        <v/>
      </c>
      <c r="Y83" s="275" t="str">
        <f>IFERROR(IF(OR(LEFT(P83,5)="Error",LEFT(O83,5)="Error"),"Check Data ⚠",IF(F83&lt;S83,'G-7 WaterC'' Data'!$R$3,INDEX('G-7 WaterC'' Data'!$U$5:$Y$9,MATCH(G83,'G-7 WaterC'' Data'!$T$5:$T$9,0),MATCH(T83,'G-7 WaterC'' Data'!$U$4:$Y$4,0)))),"")</f>
        <v/>
      </c>
      <c r="Z83" s="133"/>
      <c r="AA83" s="133"/>
      <c r="AB83" s="283" t="str">
        <f t="shared" si="13"/>
        <v/>
      </c>
      <c r="AC83" s="296" t="str">
        <f t="shared" si="14"/>
        <v/>
      </c>
      <c r="AD83" s="334" t="str">
        <f>IFERROR(IF(AC83="Check Data ⚠","Check Data ⚠",VLOOKUP(AC83,'G-4 Temporal multipliers'!$A$4:$C$37,3,FALSE)),"")</f>
        <v/>
      </c>
      <c r="AE83" s="275" t="str">
        <f>IF(N83="","",VLOOKUP(N83,'G-7 WaterC'' Data'!$B$4:$G$8,5,FALSE))</f>
        <v/>
      </c>
      <c r="AF83" s="283" t="str">
        <f t="shared" si="15"/>
        <v/>
      </c>
      <c r="AG83" s="314" t="str">
        <f t="shared" si="16"/>
        <v/>
      </c>
      <c r="AH83" s="276" t="str">
        <f t="shared" si="10"/>
        <v/>
      </c>
      <c r="AI83" s="105"/>
      <c r="AJ83" s="276" t="str">
        <f>IF(AI83="","",IF(AND(AI83="N/A - Culvert",N83&lt;&gt;"Culvert"),"Not possible ▲",IF(VLOOKUP(AI83,'G-7 WaterC'' Data'!$AA$4:$AB$7,2,FALSE)=0,"Spatial Data Missing ⚠",VLOOKUP(AI83,'G-7 WaterC'' Data'!$AA$4:$AB$7,2,FALSE))))</f>
        <v/>
      </c>
      <c r="AK83" s="106"/>
      <c r="AL83" s="276" t="str">
        <f>IF(AK83="","",IF(AND(AK83="N/A - Culvert",N83&lt;&gt;"Culvert"),"Not possible ▲",IF(VLOOKUP(AK83,'G-7 WaterC'' Data'!$AD$4:$AE$14,2,FALSE)=0,"Spatial Data Missing ⚠",VLOOKUP(AK83,'G-7 WaterC'' Data'!$AD$4:$AE$14,2,FALSE))))</f>
        <v/>
      </c>
      <c r="AM83" s="317" t="str">
        <f t="shared" si="17"/>
        <v/>
      </c>
      <c r="AN83" s="101"/>
      <c r="AO83" s="115"/>
      <c r="AP83" s="104"/>
      <c r="AS83" s="30" t="str">
        <f>IF(B83="","",IF(ISNA(VLOOKUP($B83,'C-1 On-Site WaterC'' Baseline'!$C$8:$AD$257,17,FALSE)),"",(VLOOKUP($B83,'C-1 On-Site WaterC'' Baseline'!$C$8:$AD$257,17,FALSE))))</f>
        <v/>
      </c>
      <c r="AT83" s="30" t="str">
        <f>IF(B83="","",VLOOKUP($B83,'C-1 On-Site WaterC'' Baseline'!$C$9:$Z$257,12,FALSE))</f>
        <v/>
      </c>
      <c r="AU83" s="30" t="str">
        <f>IF(B83="","",VLOOKUP($B83,'C-1 On-Site WaterC'' Baseline'!$C$9:$Z$257,14,FALSE))</f>
        <v/>
      </c>
      <c r="AV83" s="30" t="str">
        <f>IFERROR(INDEX('G-7 WaterC'' Data'!$AZ$3:$AZ$7,MATCH(N83,'G-7 WaterC'' Data'!$AY$3:$AY$7,0)),"")</f>
        <v/>
      </c>
      <c r="AX83" s="30" t="str">
        <f>IF(B83="","",VLOOKUP($B83,'C-1 On-Site WaterC'' Baseline'!$C$9:$Y$257,22,FALSE))</f>
        <v/>
      </c>
      <c r="AY83" s="30" t="str">
        <f t="shared" si="18"/>
        <v/>
      </c>
      <c r="AZ83" s="30" t="str">
        <f>IF(B83="","",VLOOKUP($B83,'C-1 On-Site WaterC'' Baseline'!$C$9:$Y$257,21,FALSE))</f>
        <v/>
      </c>
      <c r="BA83" s="30" t="str">
        <f>IF(B83="","",VLOOKUP($B83,'C-1 On-Site WaterC'' Baseline'!$C$9:$Y$257,19,FALSE))</f>
        <v/>
      </c>
      <c r="BD83" s="30" t="str">
        <f t="shared" si="19"/>
        <v>No</v>
      </c>
    </row>
    <row r="84" spans="2:56" ht="14">
      <c r="B84" s="305" t="str">
        <f>'C-1 On-Site WaterC'' Baseline'!AP82</f>
        <v/>
      </c>
      <c r="C84" s="295" t="str">
        <f>IF(B84="","",VLOOKUP($B84,'C-1 On-Site WaterC'' Baseline'!$C$9:$R$257,2,FALSE))</f>
        <v/>
      </c>
      <c r="D84" s="295" t="str">
        <f>IF(C84="","",VLOOKUP($B84,'C-1 On-Site WaterC'' Baseline'!$C$9:$R$257,3,FALSE))</f>
        <v/>
      </c>
      <c r="E84" s="295" t="str">
        <f>IF(D84="","",VLOOKUP($B84,'C-1 On-Site WaterC'' Baseline'!$C$9:$R$257,4,FALSE))</f>
        <v/>
      </c>
      <c r="F84" s="295" t="str">
        <f>IF(E84="","",VLOOKUP($B84,'C-1 On-Site WaterC'' Baseline'!$C$9:$R$257,5,FALSE))</f>
        <v/>
      </c>
      <c r="G84" s="295" t="str">
        <f>IF(F84="","",VLOOKUP($B84,'C-1 On-Site WaterC'' Baseline'!$C$9:$R$257,6,FALSE))</f>
        <v/>
      </c>
      <c r="H84" s="295" t="str">
        <f>IF(G84="","",VLOOKUP($B84,'C-1 On-Site WaterC'' Baseline'!$C$9:$R$257,7,FALSE))</f>
        <v/>
      </c>
      <c r="I84" s="295" t="str">
        <f>IF(H84="","",VLOOKUP($B84,'C-1 On-Site WaterC'' Baseline'!$C$9:$R$257,8,FALSE))</f>
        <v/>
      </c>
      <c r="J84" s="295" t="str">
        <f>IF(I84="","",VLOOKUP($B84,'C-1 On-Site WaterC'' Baseline'!$C$9:$R$257,9,FALSE))</f>
        <v/>
      </c>
      <c r="K84" s="295" t="str">
        <f>IF(J84="","",VLOOKUP($B84,'C-1 On-Site WaterC'' Baseline'!$C$9:$R$257,10,FALSE))</f>
        <v/>
      </c>
      <c r="L84" s="295" t="str">
        <f>IF(B84="","",VLOOKUP($B84,'C-1 On-Site WaterC'' Baseline'!$C$9:$R$257,15,FALSE))</f>
        <v/>
      </c>
      <c r="M84" s="299" t="str">
        <f>IF(L84="","",VLOOKUP($B84,'C-1 On-Site WaterC'' Baseline'!$C$9:$R$257,16,FALSE))</f>
        <v/>
      </c>
      <c r="N84" s="245"/>
      <c r="O84" s="275" t="str">
        <f t="shared" si="11"/>
        <v/>
      </c>
      <c r="P84" s="276" t="str">
        <f t="shared" si="12"/>
        <v/>
      </c>
      <c r="Q84" s="336" t="str">
        <f>IF(N84="","",VLOOKUP(B84,'C-1 On-Site WaterC'' Baseline'!$C$10:$AC$257,20,FALSE))</f>
        <v/>
      </c>
      <c r="R84" s="275" t="str">
        <f>IF(N84="","",VLOOKUP(N84,'G-7 WaterC'' Data'!$B$2:$G$8,2,FALSE))</f>
        <v/>
      </c>
      <c r="S84" s="276" t="str">
        <f>IFERROR(VLOOKUP(R84,'G-7 WaterC'' Data'!$C$4:$D$8,2,FALSE),"")</f>
        <v/>
      </c>
      <c r="T84" s="101"/>
      <c r="U84" s="276" t="str">
        <f>IFERROR(INDEX('G-7 WaterC'' Data'!$H$4:$L$8,MATCH(N84,'G-7 WaterC'' Data'!$B$4:$B$8,0),MATCH(T84,'G-7 WaterC'' Data'!$H$3:$L$3,0)),"")</f>
        <v/>
      </c>
      <c r="V84" s="101"/>
      <c r="W84" s="283" t="str">
        <f>IF(V84="","",IF(VLOOKUP(V84,'G-7 WaterC'' Data'!$AK$4:$AM$6,2,FALSE)=0,"Spatial Data Missing ⚠",VLOOKUP(V84,'G-7 WaterC'' Data'!$AK$4:$AM$6,2,FALSE)))</f>
        <v/>
      </c>
      <c r="X84" s="276" t="str">
        <f>IF(V84="","",IF(VLOOKUP(V84,'G-7 WaterC'' Data'!$AK$4:$AM$6,3,FALSE)=0,"Spatial Data Missing ⚠",VLOOKUP(V84,'G-7 WaterC'' Data'!$AK$4:$AM$6,3,FALSE)))</f>
        <v/>
      </c>
      <c r="Y84" s="275" t="str">
        <f>IFERROR(IF(OR(LEFT(P84,5)="Error",LEFT(O84,5)="Error"),"Check Data ⚠",IF(F84&lt;S84,'G-7 WaterC'' Data'!$R$3,INDEX('G-7 WaterC'' Data'!$U$5:$Y$9,MATCH(G84,'G-7 WaterC'' Data'!$T$5:$T$9,0),MATCH(T84,'G-7 WaterC'' Data'!$U$4:$Y$4,0)))),"")</f>
        <v/>
      </c>
      <c r="Z84" s="133"/>
      <c r="AA84" s="133"/>
      <c r="AB84" s="283" t="str">
        <f t="shared" si="13"/>
        <v/>
      </c>
      <c r="AC84" s="296" t="str">
        <f t="shared" si="14"/>
        <v/>
      </c>
      <c r="AD84" s="334" t="str">
        <f>IFERROR(IF(AC84="Check Data ⚠","Check Data ⚠",VLOOKUP(AC84,'G-4 Temporal multipliers'!$A$4:$C$37,3,FALSE)),"")</f>
        <v/>
      </c>
      <c r="AE84" s="275" t="str">
        <f>IF(N84="","",VLOOKUP(N84,'G-7 WaterC'' Data'!$B$4:$G$8,5,FALSE))</f>
        <v/>
      </c>
      <c r="AF84" s="283" t="str">
        <f t="shared" si="15"/>
        <v/>
      </c>
      <c r="AG84" s="314" t="str">
        <f t="shared" si="16"/>
        <v/>
      </c>
      <c r="AH84" s="276" t="str">
        <f t="shared" si="10"/>
        <v/>
      </c>
      <c r="AI84" s="105"/>
      <c r="AJ84" s="276" t="str">
        <f>IF(AI84="","",IF(AND(AI84="N/A - Culvert",N84&lt;&gt;"Culvert"),"Not possible ▲",IF(VLOOKUP(AI84,'G-7 WaterC'' Data'!$AA$4:$AB$7,2,FALSE)=0,"Spatial Data Missing ⚠",VLOOKUP(AI84,'G-7 WaterC'' Data'!$AA$4:$AB$7,2,FALSE))))</f>
        <v/>
      </c>
      <c r="AK84" s="106"/>
      <c r="AL84" s="276" t="str">
        <f>IF(AK84="","",IF(AND(AK84="N/A - Culvert",N84&lt;&gt;"Culvert"),"Not possible ▲",IF(VLOOKUP(AK84,'G-7 WaterC'' Data'!$AD$4:$AE$14,2,FALSE)=0,"Spatial Data Missing ⚠",VLOOKUP(AK84,'G-7 WaterC'' Data'!$AD$4:$AE$14,2,FALSE))))</f>
        <v/>
      </c>
      <c r="AM84" s="317" t="str">
        <f t="shared" si="17"/>
        <v/>
      </c>
      <c r="AN84" s="101"/>
      <c r="AO84" s="115"/>
      <c r="AP84" s="104"/>
      <c r="AS84" s="30" t="str">
        <f>IF(B84="","",IF(ISNA(VLOOKUP($B84,'C-1 On-Site WaterC'' Baseline'!$C$8:$AD$257,17,FALSE)),"",(VLOOKUP($B84,'C-1 On-Site WaterC'' Baseline'!$C$8:$AD$257,17,FALSE))))</f>
        <v/>
      </c>
      <c r="AT84" s="30" t="str">
        <f>IF(B84="","",VLOOKUP($B84,'C-1 On-Site WaterC'' Baseline'!$C$9:$Z$257,12,FALSE))</f>
        <v/>
      </c>
      <c r="AU84" s="30" t="str">
        <f>IF(B84="","",VLOOKUP($B84,'C-1 On-Site WaterC'' Baseline'!$C$9:$Z$257,14,FALSE))</f>
        <v/>
      </c>
      <c r="AV84" s="30" t="str">
        <f>IFERROR(INDEX('G-7 WaterC'' Data'!$AZ$3:$AZ$7,MATCH(N84,'G-7 WaterC'' Data'!$AY$3:$AY$7,0)),"")</f>
        <v/>
      </c>
      <c r="AX84" s="30" t="str">
        <f>IF(B84="","",VLOOKUP($B84,'C-1 On-Site WaterC'' Baseline'!$C$9:$Y$257,22,FALSE))</f>
        <v/>
      </c>
      <c r="AY84" s="30" t="str">
        <f t="shared" si="18"/>
        <v/>
      </c>
      <c r="AZ84" s="30" t="str">
        <f>IF(B84="","",VLOOKUP($B84,'C-1 On-Site WaterC'' Baseline'!$C$9:$Y$257,21,FALSE))</f>
        <v/>
      </c>
      <c r="BA84" s="30" t="str">
        <f>IF(B84="","",VLOOKUP($B84,'C-1 On-Site WaterC'' Baseline'!$C$9:$Y$257,19,FALSE))</f>
        <v/>
      </c>
      <c r="BD84" s="30" t="str">
        <f t="shared" si="19"/>
        <v>No</v>
      </c>
    </row>
    <row r="85" spans="2:56" ht="14">
      <c r="B85" s="305" t="str">
        <f>'C-1 On-Site WaterC'' Baseline'!AP83</f>
        <v/>
      </c>
      <c r="C85" s="295" t="str">
        <f>IF(B85="","",VLOOKUP($B85,'C-1 On-Site WaterC'' Baseline'!$C$9:$R$257,2,FALSE))</f>
        <v/>
      </c>
      <c r="D85" s="295" t="str">
        <f>IF(C85="","",VLOOKUP($B85,'C-1 On-Site WaterC'' Baseline'!$C$9:$R$257,3,FALSE))</f>
        <v/>
      </c>
      <c r="E85" s="295" t="str">
        <f>IF(D85="","",VLOOKUP($B85,'C-1 On-Site WaterC'' Baseline'!$C$9:$R$257,4,FALSE))</f>
        <v/>
      </c>
      <c r="F85" s="295" t="str">
        <f>IF(E85="","",VLOOKUP($B85,'C-1 On-Site WaterC'' Baseline'!$C$9:$R$257,5,FALSE))</f>
        <v/>
      </c>
      <c r="G85" s="295" t="str">
        <f>IF(F85="","",VLOOKUP($B85,'C-1 On-Site WaterC'' Baseline'!$C$9:$R$257,6,FALSE))</f>
        <v/>
      </c>
      <c r="H85" s="295" t="str">
        <f>IF(G85="","",VLOOKUP($B85,'C-1 On-Site WaterC'' Baseline'!$C$9:$R$257,7,FALSE))</f>
        <v/>
      </c>
      <c r="I85" s="295" t="str">
        <f>IF(H85="","",VLOOKUP($B85,'C-1 On-Site WaterC'' Baseline'!$C$9:$R$257,8,FALSE))</f>
        <v/>
      </c>
      <c r="J85" s="295" t="str">
        <f>IF(I85="","",VLOOKUP($B85,'C-1 On-Site WaterC'' Baseline'!$C$9:$R$257,9,FALSE))</f>
        <v/>
      </c>
      <c r="K85" s="295" t="str">
        <f>IF(J85="","",VLOOKUP($B85,'C-1 On-Site WaterC'' Baseline'!$C$9:$R$257,10,FALSE))</f>
        <v/>
      </c>
      <c r="L85" s="295" t="str">
        <f>IF(B85="","",VLOOKUP($B85,'C-1 On-Site WaterC'' Baseline'!$C$9:$R$257,15,FALSE))</f>
        <v/>
      </c>
      <c r="M85" s="299" t="str">
        <f>IF(L85="","",VLOOKUP($B85,'C-1 On-Site WaterC'' Baseline'!$C$9:$R$257,16,FALSE))</f>
        <v/>
      </c>
      <c r="N85" s="245"/>
      <c r="O85" s="275" t="str">
        <f t="shared" si="11"/>
        <v/>
      </c>
      <c r="P85" s="276" t="str">
        <f t="shared" si="12"/>
        <v/>
      </c>
      <c r="Q85" s="336" t="str">
        <f>IF(N85="","",VLOOKUP(B85,'C-1 On-Site WaterC'' Baseline'!$C$10:$AC$257,20,FALSE))</f>
        <v/>
      </c>
      <c r="R85" s="275" t="str">
        <f>IF(N85="","",VLOOKUP(N85,'G-7 WaterC'' Data'!$B$2:$G$8,2,FALSE))</f>
        <v/>
      </c>
      <c r="S85" s="276" t="str">
        <f>IFERROR(VLOOKUP(R85,'G-7 WaterC'' Data'!$C$4:$D$8,2,FALSE),"")</f>
        <v/>
      </c>
      <c r="T85" s="101"/>
      <c r="U85" s="276" t="str">
        <f>IFERROR(INDEX('G-7 WaterC'' Data'!$H$4:$L$8,MATCH(N85,'G-7 WaterC'' Data'!$B$4:$B$8,0),MATCH(T85,'G-7 WaterC'' Data'!$H$3:$L$3,0)),"")</f>
        <v/>
      </c>
      <c r="V85" s="101"/>
      <c r="W85" s="283" t="str">
        <f>IF(V85="","",IF(VLOOKUP(V85,'G-7 WaterC'' Data'!$AK$4:$AM$6,2,FALSE)=0,"Spatial Data Missing ⚠",VLOOKUP(V85,'G-7 WaterC'' Data'!$AK$4:$AM$6,2,FALSE)))</f>
        <v/>
      </c>
      <c r="X85" s="276" t="str">
        <f>IF(V85="","",IF(VLOOKUP(V85,'G-7 WaterC'' Data'!$AK$4:$AM$6,3,FALSE)=0,"Spatial Data Missing ⚠",VLOOKUP(V85,'G-7 WaterC'' Data'!$AK$4:$AM$6,3,FALSE)))</f>
        <v/>
      </c>
      <c r="Y85" s="275" t="str">
        <f>IFERROR(IF(OR(LEFT(P85,5)="Error",LEFT(O85,5)="Error"),"Check Data ⚠",IF(F85&lt;S85,'G-7 WaterC'' Data'!$R$3,INDEX('G-7 WaterC'' Data'!$U$5:$Y$9,MATCH(G85,'G-7 WaterC'' Data'!$T$5:$T$9,0),MATCH(T85,'G-7 WaterC'' Data'!$U$4:$Y$4,0)))),"")</f>
        <v/>
      </c>
      <c r="Z85" s="133"/>
      <c r="AA85" s="133"/>
      <c r="AB85" s="283" t="str">
        <f t="shared" si="13"/>
        <v/>
      </c>
      <c r="AC85" s="296" t="str">
        <f t="shared" si="14"/>
        <v/>
      </c>
      <c r="AD85" s="334" t="str">
        <f>IFERROR(IF(AC85="Check Data ⚠","Check Data ⚠",VLOOKUP(AC85,'G-4 Temporal multipliers'!$A$4:$C$37,3,FALSE)),"")</f>
        <v/>
      </c>
      <c r="AE85" s="275" t="str">
        <f>IF(N85="","",VLOOKUP(N85,'G-7 WaterC'' Data'!$B$4:$G$8,5,FALSE))</f>
        <v/>
      </c>
      <c r="AF85" s="283" t="str">
        <f t="shared" si="15"/>
        <v/>
      </c>
      <c r="AG85" s="314" t="str">
        <f t="shared" si="16"/>
        <v/>
      </c>
      <c r="AH85" s="276" t="str">
        <f t="shared" si="10"/>
        <v/>
      </c>
      <c r="AI85" s="105"/>
      <c r="AJ85" s="276" t="str">
        <f>IF(AI85="","",IF(AND(AI85="N/A - Culvert",N85&lt;&gt;"Culvert"),"Not possible ▲",IF(VLOOKUP(AI85,'G-7 WaterC'' Data'!$AA$4:$AB$7,2,FALSE)=0,"Spatial Data Missing ⚠",VLOOKUP(AI85,'G-7 WaterC'' Data'!$AA$4:$AB$7,2,FALSE))))</f>
        <v/>
      </c>
      <c r="AK85" s="106"/>
      <c r="AL85" s="276" t="str">
        <f>IF(AK85="","",IF(AND(AK85="N/A - Culvert",N85&lt;&gt;"Culvert"),"Not possible ▲",IF(VLOOKUP(AK85,'G-7 WaterC'' Data'!$AD$4:$AE$14,2,FALSE)=0,"Spatial Data Missing ⚠",VLOOKUP(AK85,'G-7 WaterC'' Data'!$AD$4:$AE$14,2,FALSE))))</f>
        <v/>
      </c>
      <c r="AM85" s="317" t="str">
        <f t="shared" si="17"/>
        <v/>
      </c>
      <c r="AN85" s="101"/>
      <c r="AO85" s="115"/>
      <c r="AP85" s="104"/>
      <c r="AS85" s="30" t="str">
        <f>IF(B85="","",IF(ISNA(VLOOKUP($B85,'C-1 On-Site WaterC'' Baseline'!$C$8:$AD$257,17,FALSE)),"",(VLOOKUP($B85,'C-1 On-Site WaterC'' Baseline'!$C$8:$AD$257,17,FALSE))))</f>
        <v/>
      </c>
      <c r="AT85" s="30" t="str">
        <f>IF(B85="","",VLOOKUP($B85,'C-1 On-Site WaterC'' Baseline'!$C$9:$Z$257,12,FALSE))</f>
        <v/>
      </c>
      <c r="AU85" s="30" t="str">
        <f>IF(B85="","",VLOOKUP($B85,'C-1 On-Site WaterC'' Baseline'!$C$9:$Z$257,14,FALSE))</f>
        <v/>
      </c>
      <c r="AV85" s="30" t="str">
        <f>IFERROR(INDEX('G-7 WaterC'' Data'!$AZ$3:$AZ$7,MATCH(N85,'G-7 WaterC'' Data'!$AY$3:$AY$7,0)),"")</f>
        <v/>
      </c>
      <c r="AX85" s="30" t="str">
        <f>IF(B85="","",VLOOKUP($B85,'C-1 On-Site WaterC'' Baseline'!$C$9:$Y$257,22,FALSE))</f>
        <v/>
      </c>
      <c r="AY85" s="30" t="str">
        <f t="shared" si="18"/>
        <v/>
      </c>
      <c r="AZ85" s="30" t="str">
        <f>IF(B85="","",VLOOKUP($B85,'C-1 On-Site WaterC'' Baseline'!$C$9:$Y$257,21,FALSE))</f>
        <v/>
      </c>
      <c r="BA85" s="30" t="str">
        <f>IF(B85="","",VLOOKUP($B85,'C-1 On-Site WaterC'' Baseline'!$C$9:$Y$257,19,FALSE))</f>
        <v/>
      </c>
      <c r="BD85" s="30" t="str">
        <f t="shared" si="19"/>
        <v>No</v>
      </c>
    </row>
    <row r="86" spans="2:56" ht="14">
      <c r="B86" s="305" t="str">
        <f>'C-1 On-Site WaterC'' Baseline'!AP84</f>
        <v/>
      </c>
      <c r="C86" s="295" t="str">
        <f>IF(B86="","",VLOOKUP($B86,'C-1 On-Site WaterC'' Baseline'!$C$9:$R$257,2,FALSE))</f>
        <v/>
      </c>
      <c r="D86" s="295" t="str">
        <f>IF(C86="","",VLOOKUP($B86,'C-1 On-Site WaterC'' Baseline'!$C$9:$R$257,3,FALSE))</f>
        <v/>
      </c>
      <c r="E86" s="295" t="str">
        <f>IF(D86="","",VLOOKUP($B86,'C-1 On-Site WaterC'' Baseline'!$C$9:$R$257,4,FALSE))</f>
        <v/>
      </c>
      <c r="F86" s="295" t="str">
        <f>IF(E86="","",VLOOKUP($B86,'C-1 On-Site WaterC'' Baseline'!$C$9:$R$257,5,FALSE))</f>
        <v/>
      </c>
      <c r="G86" s="295" t="str">
        <f>IF(F86="","",VLOOKUP($B86,'C-1 On-Site WaterC'' Baseline'!$C$9:$R$257,6,FALSE))</f>
        <v/>
      </c>
      <c r="H86" s="295" t="str">
        <f>IF(G86="","",VLOOKUP($B86,'C-1 On-Site WaterC'' Baseline'!$C$9:$R$257,7,FALSE))</f>
        <v/>
      </c>
      <c r="I86" s="295" t="str">
        <f>IF(H86="","",VLOOKUP($B86,'C-1 On-Site WaterC'' Baseline'!$C$9:$R$257,8,FALSE))</f>
        <v/>
      </c>
      <c r="J86" s="295" t="str">
        <f>IF(I86="","",VLOOKUP($B86,'C-1 On-Site WaterC'' Baseline'!$C$9:$R$257,9,FALSE))</f>
        <v/>
      </c>
      <c r="K86" s="295" t="str">
        <f>IF(J86="","",VLOOKUP($B86,'C-1 On-Site WaterC'' Baseline'!$C$9:$R$257,10,FALSE))</f>
        <v/>
      </c>
      <c r="L86" s="295" t="str">
        <f>IF(B86="","",VLOOKUP($B86,'C-1 On-Site WaterC'' Baseline'!$C$9:$R$257,15,FALSE))</f>
        <v/>
      </c>
      <c r="M86" s="299" t="str">
        <f>IF(L86="","",VLOOKUP($B86,'C-1 On-Site WaterC'' Baseline'!$C$9:$R$257,16,FALSE))</f>
        <v/>
      </c>
      <c r="N86" s="245"/>
      <c r="O86" s="275" t="str">
        <f t="shared" si="11"/>
        <v/>
      </c>
      <c r="P86" s="276" t="str">
        <f t="shared" si="12"/>
        <v/>
      </c>
      <c r="Q86" s="336" t="str">
        <f>IF(N86="","",VLOOKUP(B86,'C-1 On-Site WaterC'' Baseline'!$C$10:$AC$257,20,FALSE))</f>
        <v/>
      </c>
      <c r="R86" s="275" t="str">
        <f>IF(N86="","",VLOOKUP(N86,'G-7 WaterC'' Data'!$B$2:$G$8,2,FALSE))</f>
        <v/>
      </c>
      <c r="S86" s="276" t="str">
        <f>IFERROR(VLOOKUP(R86,'G-7 WaterC'' Data'!$C$4:$D$8,2,FALSE),"")</f>
        <v/>
      </c>
      <c r="T86" s="101"/>
      <c r="U86" s="276" t="str">
        <f>IFERROR(INDEX('G-7 WaterC'' Data'!$H$4:$L$8,MATCH(N86,'G-7 WaterC'' Data'!$B$4:$B$8,0),MATCH(T86,'G-7 WaterC'' Data'!$H$3:$L$3,0)),"")</f>
        <v/>
      </c>
      <c r="V86" s="101"/>
      <c r="W86" s="283" t="str">
        <f>IF(V86="","",IF(VLOOKUP(V86,'G-7 WaterC'' Data'!$AK$4:$AM$6,2,FALSE)=0,"Spatial Data Missing ⚠",VLOOKUP(V86,'G-7 WaterC'' Data'!$AK$4:$AM$6,2,FALSE)))</f>
        <v/>
      </c>
      <c r="X86" s="276" t="str">
        <f>IF(V86="","",IF(VLOOKUP(V86,'G-7 WaterC'' Data'!$AK$4:$AM$6,3,FALSE)=0,"Spatial Data Missing ⚠",VLOOKUP(V86,'G-7 WaterC'' Data'!$AK$4:$AM$6,3,FALSE)))</f>
        <v/>
      </c>
      <c r="Y86" s="275" t="str">
        <f>IFERROR(IF(OR(LEFT(P86,5)="Error",LEFT(O86,5)="Error"),"Check Data ⚠",IF(F86&lt;S86,'G-7 WaterC'' Data'!$R$3,INDEX('G-7 WaterC'' Data'!$U$5:$Y$9,MATCH(G86,'G-7 WaterC'' Data'!$T$5:$T$9,0),MATCH(T86,'G-7 WaterC'' Data'!$U$4:$Y$4,0)))),"")</f>
        <v/>
      </c>
      <c r="Z86" s="133"/>
      <c r="AA86" s="133"/>
      <c r="AB86" s="283" t="str">
        <f t="shared" si="13"/>
        <v/>
      </c>
      <c r="AC86" s="296" t="str">
        <f t="shared" si="14"/>
        <v/>
      </c>
      <c r="AD86" s="334" t="str">
        <f>IFERROR(IF(AC86="Check Data ⚠","Check Data ⚠",VLOOKUP(AC86,'G-4 Temporal multipliers'!$A$4:$C$37,3,FALSE)),"")</f>
        <v/>
      </c>
      <c r="AE86" s="275" t="str">
        <f>IF(N86="","",VLOOKUP(N86,'G-7 WaterC'' Data'!$B$4:$G$8,5,FALSE))</f>
        <v/>
      </c>
      <c r="AF86" s="283" t="str">
        <f t="shared" si="15"/>
        <v/>
      </c>
      <c r="AG86" s="314" t="str">
        <f t="shared" si="16"/>
        <v/>
      </c>
      <c r="AH86" s="276" t="str">
        <f t="shared" si="10"/>
        <v/>
      </c>
      <c r="AI86" s="105"/>
      <c r="AJ86" s="276" t="str">
        <f>IF(AI86="","",IF(AND(AI86="N/A - Culvert",N86&lt;&gt;"Culvert"),"Not possible ▲",IF(VLOOKUP(AI86,'G-7 WaterC'' Data'!$AA$4:$AB$7,2,FALSE)=0,"Spatial Data Missing ⚠",VLOOKUP(AI86,'G-7 WaterC'' Data'!$AA$4:$AB$7,2,FALSE))))</f>
        <v/>
      </c>
      <c r="AK86" s="106"/>
      <c r="AL86" s="276" t="str">
        <f>IF(AK86="","",IF(AND(AK86="N/A - Culvert",N86&lt;&gt;"Culvert"),"Not possible ▲",IF(VLOOKUP(AK86,'G-7 WaterC'' Data'!$AD$4:$AE$14,2,FALSE)=0,"Spatial Data Missing ⚠",VLOOKUP(AK86,'G-7 WaterC'' Data'!$AD$4:$AE$14,2,FALSE))))</f>
        <v/>
      </c>
      <c r="AM86" s="317" t="str">
        <f t="shared" si="17"/>
        <v/>
      </c>
      <c r="AN86" s="101"/>
      <c r="AO86" s="115"/>
      <c r="AP86" s="104"/>
      <c r="AS86" s="30" t="str">
        <f>IF(B86="","",IF(ISNA(VLOOKUP($B86,'C-1 On-Site WaterC'' Baseline'!$C$8:$AD$257,17,FALSE)),"",(VLOOKUP($B86,'C-1 On-Site WaterC'' Baseline'!$C$8:$AD$257,17,FALSE))))</f>
        <v/>
      </c>
      <c r="AT86" s="30" t="str">
        <f>IF(B86="","",VLOOKUP($B86,'C-1 On-Site WaterC'' Baseline'!$C$9:$Z$257,12,FALSE))</f>
        <v/>
      </c>
      <c r="AU86" s="30" t="str">
        <f>IF(B86="","",VLOOKUP($B86,'C-1 On-Site WaterC'' Baseline'!$C$9:$Z$257,14,FALSE))</f>
        <v/>
      </c>
      <c r="AV86" s="30" t="str">
        <f>IFERROR(INDEX('G-7 WaterC'' Data'!$AZ$3:$AZ$7,MATCH(N86,'G-7 WaterC'' Data'!$AY$3:$AY$7,0)),"")</f>
        <v/>
      </c>
      <c r="AX86" s="30" t="str">
        <f>IF(B86="","",VLOOKUP($B86,'C-1 On-Site WaterC'' Baseline'!$C$9:$Y$257,22,FALSE))</f>
        <v/>
      </c>
      <c r="AY86" s="30" t="str">
        <f t="shared" si="18"/>
        <v/>
      </c>
      <c r="AZ86" s="30" t="str">
        <f>IF(B86="","",VLOOKUP($B86,'C-1 On-Site WaterC'' Baseline'!$C$9:$Y$257,21,FALSE))</f>
        <v/>
      </c>
      <c r="BA86" s="30" t="str">
        <f>IF(B86="","",VLOOKUP($B86,'C-1 On-Site WaterC'' Baseline'!$C$9:$Y$257,19,FALSE))</f>
        <v/>
      </c>
      <c r="BD86" s="30" t="str">
        <f t="shared" si="19"/>
        <v>No</v>
      </c>
    </row>
    <row r="87" spans="2:56" ht="14">
      <c r="B87" s="305" t="str">
        <f>'C-1 On-Site WaterC'' Baseline'!AP85</f>
        <v/>
      </c>
      <c r="C87" s="295" t="str">
        <f>IF(B87="","",VLOOKUP($B87,'C-1 On-Site WaterC'' Baseline'!$C$9:$R$257,2,FALSE))</f>
        <v/>
      </c>
      <c r="D87" s="295" t="str">
        <f>IF(C87="","",VLOOKUP($B87,'C-1 On-Site WaterC'' Baseline'!$C$9:$R$257,3,FALSE))</f>
        <v/>
      </c>
      <c r="E87" s="295" t="str">
        <f>IF(D87="","",VLOOKUP($B87,'C-1 On-Site WaterC'' Baseline'!$C$9:$R$257,4,FALSE))</f>
        <v/>
      </c>
      <c r="F87" s="295" t="str">
        <f>IF(E87="","",VLOOKUP($B87,'C-1 On-Site WaterC'' Baseline'!$C$9:$R$257,5,FALSE))</f>
        <v/>
      </c>
      <c r="G87" s="295" t="str">
        <f>IF(F87="","",VLOOKUP($B87,'C-1 On-Site WaterC'' Baseline'!$C$9:$R$257,6,FALSE))</f>
        <v/>
      </c>
      <c r="H87" s="295" t="str">
        <f>IF(G87="","",VLOOKUP($B87,'C-1 On-Site WaterC'' Baseline'!$C$9:$R$257,7,FALSE))</f>
        <v/>
      </c>
      <c r="I87" s="295" t="str">
        <f>IF(H87="","",VLOOKUP($B87,'C-1 On-Site WaterC'' Baseline'!$C$9:$R$257,8,FALSE))</f>
        <v/>
      </c>
      <c r="J87" s="295" t="str">
        <f>IF(I87="","",VLOOKUP($B87,'C-1 On-Site WaterC'' Baseline'!$C$9:$R$257,9,FALSE))</f>
        <v/>
      </c>
      <c r="K87" s="295" t="str">
        <f>IF(J87="","",VLOOKUP($B87,'C-1 On-Site WaterC'' Baseline'!$C$9:$R$257,10,FALSE))</f>
        <v/>
      </c>
      <c r="L87" s="295" t="str">
        <f>IF(B87="","",VLOOKUP($B87,'C-1 On-Site WaterC'' Baseline'!$C$9:$R$257,15,FALSE))</f>
        <v/>
      </c>
      <c r="M87" s="299" t="str">
        <f>IF(L87="","",VLOOKUP($B87,'C-1 On-Site WaterC'' Baseline'!$C$9:$R$257,16,FALSE))</f>
        <v/>
      </c>
      <c r="N87" s="245"/>
      <c r="O87" s="275" t="str">
        <f t="shared" si="11"/>
        <v/>
      </c>
      <c r="P87" s="276" t="str">
        <f t="shared" si="12"/>
        <v/>
      </c>
      <c r="Q87" s="336" t="str">
        <f>IF(N87="","",VLOOKUP(B87,'C-1 On-Site WaterC'' Baseline'!$C$10:$AC$257,20,FALSE))</f>
        <v/>
      </c>
      <c r="R87" s="275" t="str">
        <f>IF(N87="","",VLOOKUP(N87,'G-7 WaterC'' Data'!$B$2:$G$8,2,FALSE))</f>
        <v/>
      </c>
      <c r="S87" s="276" t="str">
        <f>IFERROR(VLOOKUP(R87,'G-7 WaterC'' Data'!$C$4:$D$8,2,FALSE),"")</f>
        <v/>
      </c>
      <c r="T87" s="101"/>
      <c r="U87" s="276" t="str">
        <f>IFERROR(INDEX('G-7 WaterC'' Data'!$H$4:$L$8,MATCH(N87,'G-7 WaterC'' Data'!$B$4:$B$8,0),MATCH(T87,'G-7 WaterC'' Data'!$H$3:$L$3,0)),"")</f>
        <v/>
      </c>
      <c r="V87" s="101"/>
      <c r="W87" s="283" t="str">
        <f>IF(V87="","",IF(VLOOKUP(V87,'G-7 WaterC'' Data'!$AK$4:$AM$6,2,FALSE)=0,"Spatial Data Missing ⚠",VLOOKUP(V87,'G-7 WaterC'' Data'!$AK$4:$AM$6,2,FALSE)))</f>
        <v/>
      </c>
      <c r="X87" s="276" t="str">
        <f>IF(V87="","",IF(VLOOKUP(V87,'G-7 WaterC'' Data'!$AK$4:$AM$6,3,FALSE)=0,"Spatial Data Missing ⚠",VLOOKUP(V87,'G-7 WaterC'' Data'!$AK$4:$AM$6,3,FALSE)))</f>
        <v/>
      </c>
      <c r="Y87" s="275" t="str">
        <f>IFERROR(IF(OR(LEFT(P87,5)="Error",LEFT(O87,5)="Error"),"Check Data ⚠",IF(F87&lt;S87,'G-7 WaterC'' Data'!$R$3,INDEX('G-7 WaterC'' Data'!$U$5:$Y$9,MATCH(G87,'G-7 WaterC'' Data'!$T$5:$T$9,0),MATCH(T87,'G-7 WaterC'' Data'!$U$4:$Y$4,0)))),"")</f>
        <v/>
      </c>
      <c r="Z87" s="133"/>
      <c r="AA87" s="133"/>
      <c r="AB87" s="283" t="str">
        <f t="shared" si="13"/>
        <v/>
      </c>
      <c r="AC87" s="296" t="str">
        <f t="shared" si="14"/>
        <v/>
      </c>
      <c r="AD87" s="334" t="str">
        <f>IFERROR(IF(AC87="Check Data ⚠","Check Data ⚠",VLOOKUP(AC87,'G-4 Temporal multipliers'!$A$4:$C$37,3,FALSE)),"")</f>
        <v/>
      </c>
      <c r="AE87" s="275" t="str">
        <f>IF(N87="","",VLOOKUP(N87,'G-7 WaterC'' Data'!$B$4:$G$8,5,FALSE))</f>
        <v/>
      </c>
      <c r="AF87" s="283" t="str">
        <f t="shared" si="15"/>
        <v/>
      </c>
      <c r="AG87" s="314" t="str">
        <f t="shared" si="16"/>
        <v/>
      </c>
      <c r="AH87" s="276" t="str">
        <f t="shared" si="10"/>
        <v/>
      </c>
      <c r="AI87" s="105"/>
      <c r="AJ87" s="276" t="str">
        <f>IF(AI87="","",IF(AND(AI87="N/A - Culvert",N87&lt;&gt;"Culvert"),"Not possible ▲",IF(VLOOKUP(AI87,'G-7 WaterC'' Data'!$AA$4:$AB$7,2,FALSE)=0,"Spatial Data Missing ⚠",VLOOKUP(AI87,'G-7 WaterC'' Data'!$AA$4:$AB$7,2,FALSE))))</f>
        <v/>
      </c>
      <c r="AK87" s="106"/>
      <c r="AL87" s="276" t="str">
        <f>IF(AK87="","",IF(AND(AK87="N/A - Culvert",N87&lt;&gt;"Culvert"),"Not possible ▲",IF(VLOOKUP(AK87,'G-7 WaterC'' Data'!$AD$4:$AE$14,2,FALSE)=0,"Spatial Data Missing ⚠",VLOOKUP(AK87,'G-7 WaterC'' Data'!$AD$4:$AE$14,2,FALSE))))</f>
        <v/>
      </c>
      <c r="AM87" s="317" t="str">
        <f t="shared" si="17"/>
        <v/>
      </c>
      <c r="AN87" s="101"/>
      <c r="AO87" s="115"/>
      <c r="AP87" s="104"/>
      <c r="AS87" s="30" t="str">
        <f>IF(B87="","",IF(ISNA(VLOOKUP($B87,'C-1 On-Site WaterC'' Baseline'!$C$8:$AD$257,17,FALSE)),"",(VLOOKUP($B87,'C-1 On-Site WaterC'' Baseline'!$C$8:$AD$257,17,FALSE))))</f>
        <v/>
      </c>
      <c r="AT87" s="30" t="str">
        <f>IF(B87="","",VLOOKUP($B87,'C-1 On-Site WaterC'' Baseline'!$C$9:$Z$257,12,FALSE))</f>
        <v/>
      </c>
      <c r="AU87" s="30" t="str">
        <f>IF(B87="","",VLOOKUP($B87,'C-1 On-Site WaterC'' Baseline'!$C$9:$Z$257,14,FALSE))</f>
        <v/>
      </c>
      <c r="AV87" s="30" t="str">
        <f>IFERROR(INDEX('G-7 WaterC'' Data'!$AZ$3:$AZ$7,MATCH(N87,'G-7 WaterC'' Data'!$AY$3:$AY$7,0)),"")</f>
        <v/>
      </c>
      <c r="AX87" s="30" t="str">
        <f>IF(B87="","",VLOOKUP($B87,'C-1 On-Site WaterC'' Baseline'!$C$9:$Y$257,22,FALSE))</f>
        <v/>
      </c>
      <c r="AY87" s="30" t="str">
        <f t="shared" si="18"/>
        <v/>
      </c>
      <c r="AZ87" s="30" t="str">
        <f>IF(B87="","",VLOOKUP($B87,'C-1 On-Site WaterC'' Baseline'!$C$9:$Y$257,21,FALSE))</f>
        <v/>
      </c>
      <c r="BA87" s="30" t="str">
        <f>IF(B87="","",VLOOKUP($B87,'C-1 On-Site WaterC'' Baseline'!$C$9:$Y$257,19,FALSE))</f>
        <v/>
      </c>
      <c r="BD87" s="30" t="str">
        <f t="shared" si="19"/>
        <v>No</v>
      </c>
    </row>
    <row r="88" spans="2:56" ht="14">
      <c r="B88" s="305" t="str">
        <f>'C-1 On-Site WaterC'' Baseline'!AP86</f>
        <v/>
      </c>
      <c r="C88" s="295" t="str">
        <f>IF(B88="","",VLOOKUP($B88,'C-1 On-Site WaterC'' Baseline'!$C$9:$R$257,2,FALSE))</f>
        <v/>
      </c>
      <c r="D88" s="295" t="str">
        <f>IF(C88="","",VLOOKUP($B88,'C-1 On-Site WaterC'' Baseline'!$C$9:$R$257,3,FALSE))</f>
        <v/>
      </c>
      <c r="E88" s="295" t="str">
        <f>IF(D88="","",VLOOKUP($B88,'C-1 On-Site WaterC'' Baseline'!$C$9:$R$257,4,FALSE))</f>
        <v/>
      </c>
      <c r="F88" s="295" t="str">
        <f>IF(E88="","",VLOOKUP($B88,'C-1 On-Site WaterC'' Baseline'!$C$9:$R$257,5,FALSE))</f>
        <v/>
      </c>
      <c r="G88" s="295" t="str">
        <f>IF(F88="","",VLOOKUP($B88,'C-1 On-Site WaterC'' Baseline'!$C$9:$R$257,6,FALSE))</f>
        <v/>
      </c>
      <c r="H88" s="295" t="str">
        <f>IF(G88="","",VLOOKUP($B88,'C-1 On-Site WaterC'' Baseline'!$C$9:$R$257,7,FALSE))</f>
        <v/>
      </c>
      <c r="I88" s="295" t="str">
        <f>IF(H88="","",VLOOKUP($B88,'C-1 On-Site WaterC'' Baseline'!$C$9:$R$257,8,FALSE))</f>
        <v/>
      </c>
      <c r="J88" s="295" t="str">
        <f>IF(I88="","",VLOOKUP($B88,'C-1 On-Site WaterC'' Baseline'!$C$9:$R$257,9,FALSE))</f>
        <v/>
      </c>
      <c r="K88" s="295" t="str">
        <f>IF(J88="","",VLOOKUP($B88,'C-1 On-Site WaterC'' Baseline'!$C$9:$R$257,10,FALSE))</f>
        <v/>
      </c>
      <c r="L88" s="295" t="str">
        <f>IF(B88="","",VLOOKUP($B88,'C-1 On-Site WaterC'' Baseline'!$C$9:$R$257,15,FALSE))</f>
        <v/>
      </c>
      <c r="M88" s="299" t="str">
        <f>IF(L88="","",VLOOKUP($B88,'C-1 On-Site WaterC'' Baseline'!$C$9:$R$257,16,FALSE))</f>
        <v/>
      </c>
      <c r="N88" s="245"/>
      <c r="O88" s="275" t="str">
        <f t="shared" si="11"/>
        <v/>
      </c>
      <c r="P88" s="276" t="str">
        <f t="shared" si="12"/>
        <v/>
      </c>
      <c r="Q88" s="336" t="str">
        <f>IF(N88="","",VLOOKUP(B88,'C-1 On-Site WaterC'' Baseline'!$C$10:$AC$257,20,FALSE))</f>
        <v/>
      </c>
      <c r="R88" s="275" t="str">
        <f>IF(N88="","",VLOOKUP(N88,'G-7 WaterC'' Data'!$B$2:$G$8,2,FALSE))</f>
        <v/>
      </c>
      <c r="S88" s="276" t="str">
        <f>IFERROR(VLOOKUP(R88,'G-7 WaterC'' Data'!$C$4:$D$8,2,FALSE),"")</f>
        <v/>
      </c>
      <c r="T88" s="101"/>
      <c r="U88" s="276" t="str">
        <f>IFERROR(INDEX('G-7 WaterC'' Data'!$H$4:$L$8,MATCH(N88,'G-7 WaterC'' Data'!$B$4:$B$8,0),MATCH(T88,'G-7 WaterC'' Data'!$H$3:$L$3,0)),"")</f>
        <v/>
      </c>
      <c r="V88" s="101"/>
      <c r="W88" s="283" t="str">
        <f>IF(V88="","",IF(VLOOKUP(V88,'G-7 WaterC'' Data'!$AK$4:$AM$6,2,FALSE)=0,"Spatial Data Missing ⚠",VLOOKUP(V88,'G-7 WaterC'' Data'!$AK$4:$AM$6,2,FALSE)))</f>
        <v/>
      </c>
      <c r="X88" s="276" t="str">
        <f>IF(V88="","",IF(VLOOKUP(V88,'G-7 WaterC'' Data'!$AK$4:$AM$6,3,FALSE)=0,"Spatial Data Missing ⚠",VLOOKUP(V88,'G-7 WaterC'' Data'!$AK$4:$AM$6,3,FALSE)))</f>
        <v/>
      </c>
      <c r="Y88" s="275" t="str">
        <f>IFERROR(IF(OR(LEFT(P88,5)="Error",LEFT(O88,5)="Error"),"Check Data ⚠",IF(F88&lt;S88,'G-7 WaterC'' Data'!$R$3,INDEX('G-7 WaterC'' Data'!$U$5:$Y$9,MATCH(G88,'G-7 WaterC'' Data'!$T$5:$T$9,0),MATCH(T88,'G-7 WaterC'' Data'!$U$4:$Y$4,0)))),"")</f>
        <v/>
      </c>
      <c r="Z88" s="133"/>
      <c r="AA88" s="133"/>
      <c r="AB88" s="283" t="str">
        <f t="shared" si="13"/>
        <v/>
      </c>
      <c r="AC88" s="296" t="str">
        <f t="shared" si="14"/>
        <v/>
      </c>
      <c r="AD88" s="334" t="str">
        <f>IFERROR(IF(AC88="Check Data ⚠","Check Data ⚠",VLOOKUP(AC88,'G-4 Temporal multipliers'!$A$4:$C$37,3,FALSE)),"")</f>
        <v/>
      </c>
      <c r="AE88" s="275" t="str">
        <f>IF(N88="","",VLOOKUP(N88,'G-7 WaterC'' Data'!$B$4:$G$8,5,FALSE))</f>
        <v/>
      </c>
      <c r="AF88" s="283" t="str">
        <f t="shared" si="15"/>
        <v/>
      </c>
      <c r="AG88" s="314" t="str">
        <f t="shared" si="16"/>
        <v/>
      </c>
      <c r="AH88" s="276" t="str">
        <f t="shared" si="10"/>
        <v/>
      </c>
      <c r="AI88" s="105"/>
      <c r="AJ88" s="276" t="str">
        <f>IF(AI88="","",IF(AND(AI88="N/A - Culvert",N88&lt;&gt;"Culvert"),"Not possible ▲",IF(VLOOKUP(AI88,'G-7 WaterC'' Data'!$AA$4:$AB$7,2,FALSE)=0,"Spatial Data Missing ⚠",VLOOKUP(AI88,'G-7 WaterC'' Data'!$AA$4:$AB$7,2,FALSE))))</f>
        <v/>
      </c>
      <c r="AK88" s="106"/>
      <c r="AL88" s="276" t="str">
        <f>IF(AK88="","",IF(AND(AK88="N/A - Culvert",N88&lt;&gt;"Culvert"),"Not possible ▲",IF(VLOOKUP(AK88,'G-7 WaterC'' Data'!$AD$4:$AE$14,2,FALSE)=0,"Spatial Data Missing ⚠",VLOOKUP(AK88,'G-7 WaterC'' Data'!$AD$4:$AE$14,2,FALSE))))</f>
        <v/>
      </c>
      <c r="AM88" s="317" t="str">
        <f t="shared" si="17"/>
        <v/>
      </c>
      <c r="AN88" s="101"/>
      <c r="AO88" s="115"/>
      <c r="AP88" s="104"/>
      <c r="AS88" s="30" t="str">
        <f>IF(B88="","",IF(ISNA(VLOOKUP($B88,'C-1 On-Site WaterC'' Baseline'!$C$8:$AD$257,17,FALSE)),"",(VLOOKUP($B88,'C-1 On-Site WaterC'' Baseline'!$C$8:$AD$257,17,FALSE))))</f>
        <v/>
      </c>
      <c r="AT88" s="30" t="str">
        <f>IF(B88="","",VLOOKUP($B88,'C-1 On-Site WaterC'' Baseline'!$C$9:$Z$257,12,FALSE))</f>
        <v/>
      </c>
      <c r="AU88" s="30" t="str">
        <f>IF(B88="","",VLOOKUP($B88,'C-1 On-Site WaterC'' Baseline'!$C$9:$Z$257,14,FALSE))</f>
        <v/>
      </c>
      <c r="AV88" s="30" t="str">
        <f>IFERROR(INDEX('G-7 WaterC'' Data'!$AZ$3:$AZ$7,MATCH(N88,'G-7 WaterC'' Data'!$AY$3:$AY$7,0)),"")</f>
        <v/>
      </c>
      <c r="AX88" s="30" t="str">
        <f>IF(B88="","",VLOOKUP($B88,'C-1 On-Site WaterC'' Baseline'!$C$9:$Y$257,22,FALSE))</f>
        <v/>
      </c>
      <c r="AY88" s="30" t="str">
        <f t="shared" si="18"/>
        <v/>
      </c>
      <c r="AZ88" s="30" t="str">
        <f>IF(B88="","",VLOOKUP($B88,'C-1 On-Site WaterC'' Baseline'!$C$9:$Y$257,21,FALSE))</f>
        <v/>
      </c>
      <c r="BA88" s="30" t="str">
        <f>IF(B88="","",VLOOKUP($B88,'C-1 On-Site WaterC'' Baseline'!$C$9:$Y$257,19,FALSE))</f>
        <v/>
      </c>
      <c r="BD88" s="30" t="str">
        <f t="shared" si="19"/>
        <v>No</v>
      </c>
    </row>
    <row r="89" spans="2:56" ht="14">
      <c r="B89" s="305" t="str">
        <f>'C-1 On-Site WaterC'' Baseline'!AP87</f>
        <v/>
      </c>
      <c r="C89" s="295" t="str">
        <f>IF(B89="","",VLOOKUP($B89,'C-1 On-Site WaterC'' Baseline'!$C$9:$R$257,2,FALSE))</f>
        <v/>
      </c>
      <c r="D89" s="295" t="str">
        <f>IF(C89="","",VLOOKUP($B89,'C-1 On-Site WaterC'' Baseline'!$C$9:$R$257,3,FALSE))</f>
        <v/>
      </c>
      <c r="E89" s="295" t="str">
        <f>IF(D89="","",VLOOKUP($B89,'C-1 On-Site WaterC'' Baseline'!$C$9:$R$257,4,FALSE))</f>
        <v/>
      </c>
      <c r="F89" s="295" t="str">
        <f>IF(E89="","",VLOOKUP($B89,'C-1 On-Site WaterC'' Baseline'!$C$9:$R$257,5,FALSE))</f>
        <v/>
      </c>
      <c r="G89" s="295" t="str">
        <f>IF(F89="","",VLOOKUP($B89,'C-1 On-Site WaterC'' Baseline'!$C$9:$R$257,6,FALSE))</f>
        <v/>
      </c>
      <c r="H89" s="295" t="str">
        <f>IF(G89="","",VLOOKUP($B89,'C-1 On-Site WaterC'' Baseline'!$C$9:$R$257,7,FALSE))</f>
        <v/>
      </c>
      <c r="I89" s="295" t="str">
        <f>IF(H89="","",VLOOKUP($B89,'C-1 On-Site WaterC'' Baseline'!$C$9:$R$257,8,FALSE))</f>
        <v/>
      </c>
      <c r="J89" s="295" t="str">
        <f>IF(I89="","",VLOOKUP($B89,'C-1 On-Site WaterC'' Baseline'!$C$9:$R$257,9,FALSE))</f>
        <v/>
      </c>
      <c r="K89" s="295" t="str">
        <f>IF(J89="","",VLOOKUP($B89,'C-1 On-Site WaterC'' Baseline'!$C$9:$R$257,10,FALSE))</f>
        <v/>
      </c>
      <c r="L89" s="295" t="str">
        <f>IF(B89="","",VLOOKUP($B89,'C-1 On-Site WaterC'' Baseline'!$C$9:$R$257,15,FALSE))</f>
        <v/>
      </c>
      <c r="M89" s="299" t="str">
        <f>IF(L89="","",VLOOKUP($B89,'C-1 On-Site WaterC'' Baseline'!$C$9:$R$257,16,FALSE))</f>
        <v/>
      </c>
      <c r="N89" s="245"/>
      <c r="O89" s="275" t="str">
        <f t="shared" si="11"/>
        <v/>
      </c>
      <c r="P89" s="276" t="str">
        <f t="shared" si="12"/>
        <v/>
      </c>
      <c r="Q89" s="336" t="str">
        <f>IF(N89="","",VLOOKUP(B89,'C-1 On-Site WaterC'' Baseline'!$C$10:$AC$257,20,FALSE))</f>
        <v/>
      </c>
      <c r="R89" s="275" t="str">
        <f>IF(N89="","",VLOOKUP(N89,'G-7 WaterC'' Data'!$B$2:$G$8,2,FALSE))</f>
        <v/>
      </c>
      <c r="S89" s="276" t="str">
        <f>IFERROR(VLOOKUP(R89,'G-7 WaterC'' Data'!$C$4:$D$8,2,FALSE),"")</f>
        <v/>
      </c>
      <c r="T89" s="101"/>
      <c r="U89" s="276" t="str">
        <f>IFERROR(INDEX('G-7 WaterC'' Data'!$H$4:$L$8,MATCH(N89,'G-7 WaterC'' Data'!$B$4:$B$8,0),MATCH(T89,'G-7 WaterC'' Data'!$H$3:$L$3,0)),"")</f>
        <v/>
      </c>
      <c r="V89" s="101"/>
      <c r="W89" s="283" t="str">
        <f>IF(V89="","",IF(VLOOKUP(V89,'G-7 WaterC'' Data'!$AK$4:$AM$6,2,FALSE)=0,"Spatial Data Missing ⚠",VLOOKUP(V89,'G-7 WaterC'' Data'!$AK$4:$AM$6,2,FALSE)))</f>
        <v/>
      </c>
      <c r="X89" s="276" t="str">
        <f>IF(V89="","",IF(VLOOKUP(V89,'G-7 WaterC'' Data'!$AK$4:$AM$6,3,FALSE)=0,"Spatial Data Missing ⚠",VLOOKUP(V89,'G-7 WaterC'' Data'!$AK$4:$AM$6,3,FALSE)))</f>
        <v/>
      </c>
      <c r="Y89" s="275" t="str">
        <f>IFERROR(IF(OR(LEFT(P89,5)="Error",LEFT(O89,5)="Error"),"Check Data ⚠",IF(F89&lt;S89,'G-7 WaterC'' Data'!$R$3,INDEX('G-7 WaterC'' Data'!$U$5:$Y$9,MATCH(G89,'G-7 WaterC'' Data'!$T$5:$T$9,0),MATCH(T89,'G-7 WaterC'' Data'!$U$4:$Y$4,0)))),"")</f>
        <v/>
      </c>
      <c r="Z89" s="133"/>
      <c r="AA89" s="133"/>
      <c r="AB89" s="283" t="str">
        <f t="shared" si="13"/>
        <v/>
      </c>
      <c r="AC89" s="296" t="str">
        <f t="shared" si="14"/>
        <v/>
      </c>
      <c r="AD89" s="334" t="str">
        <f>IFERROR(IF(AC89="Check Data ⚠","Check Data ⚠",VLOOKUP(AC89,'G-4 Temporal multipliers'!$A$4:$C$37,3,FALSE)),"")</f>
        <v/>
      </c>
      <c r="AE89" s="275" t="str">
        <f>IF(N89="","",VLOOKUP(N89,'G-7 WaterC'' Data'!$B$4:$G$8,5,FALSE))</f>
        <v/>
      </c>
      <c r="AF89" s="283" t="str">
        <f t="shared" si="15"/>
        <v/>
      </c>
      <c r="AG89" s="314" t="str">
        <f t="shared" si="16"/>
        <v/>
      </c>
      <c r="AH89" s="276" t="str">
        <f t="shared" si="10"/>
        <v/>
      </c>
      <c r="AI89" s="105"/>
      <c r="AJ89" s="276" t="str">
        <f>IF(AI89="","",IF(AND(AI89="N/A - Culvert",N89&lt;&gt;"Culvert"),"Not possible ▲",IF(VLOOKUP(AI89,'G-7 WaterC'' Data'!$AA$4:$AB$7,2,FALSE)=0,"Spatial Data Missing ⚠",VLOOKUP(AI89,'G-7 WaterC'' Data'!$AA$4:$AB$7,2,FALSE))))</f>
        <v/>
      </c>
      <c r="AK89" s="106"/>
      <c r="AL89" s="276" t="str">
        <f>IF(AK89="","",IF(AND(AK89="N/A - Culvert",N89&lt;&gt;"Culvert"),"Not possible ▲",IF(VLOOKUP(AK89,'G-7 WaterC'' Data'!$AD$4:$AE$14,2,FALSE)=0,"Spatial Data Missing ⚠",VLOOKUP(AK89,'G-7 WaterC'' Data'!$AD$4:$AE$14,2,FALSE))))</f>
        <v/>
      </c>
      <c r="AM89" s="317" t="str">
        <f t="shared" si="17"/>
        <v/>
      </c>
      <c r="AN89" s="101"/>
      <c r="AO89" s="115"/>
      <c r="AP89" s="104"/>
      <c r="AS89" s="30" t="str">
        <f>IF(B89="","",IF(ISNA(VLOOKUP($B89,'C-1 On-Site WaterC'' Baseline'!$C$8:$AD$257,17,FALSE)),"",(VLOOKUP($B89,'C-1 On-Site WaterC'' Baseline'!$C$8:$AD$257,17,FALSE))))</f>
        <v/>
      </c>
      <c r="AT89" s="30" t="str">
        <f>IF(B89="","",VLOOKUP($B89,'C-1 On-Site WaterC'' Baseline'!$C$9:$Z$257,12,FALSE))</f>
        <v/>
      </c>
      <c r="AU89" s="30" t="str">
        <f>IF(B89="","",VLOOKUP($B89,'C-1 On-Site WaterC'' Baseline'!$C$9:$Z$257,14,FALSE))</f>
        <v/>
      </c>
      <c r="AV89" s="30" t="str">
        <f>IFERROR(INDEX('G-7 WaterC'' Data'!$AZ$3:$AZ$7,MATCH(N89,'G-7 WaterC'' Data'!$AY$3:$AY$7,0)),"")</f>
        <v/>
      </c>
      <c r="AX89" s="30" t="str">
        <f>IF(B89="","",VLOOKUP($B89,'C-1 On-Site WaterC'' Baseline'!$C$9:$Y$257,22,FALSE))</f>
        <v/>
      </c>
      <c r="AY89" s="30" t="str">
        <f t="shared" si="18"/>
        <v/>
      </c>
      <c r="AZ89" s="30" t="str">
        <f>IF(B89="","",VLOOKUP($B89,'C-1 On-Site WaterC'' Baseline'!$C$9:$Y$257,21,FALSE))</f>
        <v/>
      </c>
      <c r="BA89" s="30" t="str">
        <f>IF(B89="","",VLOOKUP($B89,'C-1 On-Site WaterC'' Baseline'!$C$9:$Y$257,19,FALSE))</f>
        <v/>
      </c>
      <c r="BD89" s="30" t="str">
        <f t="shared" si="19"/>
        <v>No</v>
      </c>
    </row>
    <row r="90" spans="2:56" ht="14">
      <c r="B90" s="305" t="str">
        <f>'C-1 On-Site WaterC'' Baseline'!AP88</f>
        <v/>
      </c>
      <c r="C90" s="295" t="str">
        <f>IF(B90="","",VLOOKUP($B90,'C-1 On-Site WaterC'' Baseline'!$C$9:$R$257,2,FALSE))</f>
        <v/>
      </c>
      <c r="D90" s="295" t="str">
        <f>IF(C90="","",VLOOKUP($B90,'C-1 On-Site WaterC'' Baseline'!$C$9:$R$257,3,FALSE))</f>
        <v/>
      </c>
      <c r="E90" s="295" t="str">
        <f>IF(D90="","",VLOOKUP($B90,'C-1 On-Site WaterC'' Baseline'!$C$9:$R$257,4,FALSE))</f>
        <v/>
      </c>
      <c r="F90" s="295" t="str">
        <f>IF(E90="","",VLOOKUP($B90,'C-1 On-Site WaterC'' Baseline'!$C$9:$R$257,5,FALSE))</f>
        <v/>
      </c>
      <c r="G90" s="295" t="str">
        <f>IF(F90="","",VLOOKUP($B90,'C-1 On-Site WaterC'' Baseline'!$C$9:$R$257,6,FALSE))</f>
        <v/>
      </c>
      <c r="H90" s="295" t="str">
        <f>IF(G90="","",VLOOKUP($B90,'C-1 On-Site WaterC'' Baseline'!$C$9:$R$257,7,FALSE))</f>
        <v/>
      </c>
      <c r="I90" s="295" t="str">
        <f>IF(H90="","",VLOOKUP($B90,'C-1 On-Site WaterC'' Baseline'!$C$9:$R$257,8,FALSE))</f>
        <v/>
      </c>
      <c r="J90" s="295" t="str">
        <f>IF(I90="","",VLOOKUP($B90,'C-1 On-Site WaterC'' Baseline'!$C$9:$R$257,9,FALSE))</f>
        <v/>
      </c>
      <c r="K90" s="295" t="str">
        <f>IF(J90="","",VLOOKUP($B90,'C-1 On-Site WaterC'' Baseline'!$C$9:$R$257,10,FALSE))</f>
        <v/>
      </c>
      <c r="L90" s="295" t="str">
        <f>IF(B90="","",VLOOKUP($B90,'C-1 On-Site WaterC'' Baseline'!$C$9:$R$257,15,FALSE))</f>
        <v/>
      </c>
      <c r="M90" s="299" t="str">
        <f>IF(L90="","",VLOOKUP($B90,'C-1 On-Site WaterC'' Baseline'!$C$9:$R$257,16,FALSE))</f>
        <v/>
      </c>
      <c r="N90" s="245"/>
      <c r="O90" s="275" t="str">
        <f t="shared" si="11"/>
        <v/>
      </c>
      <c r="P90" s="276" t="str">
        <f t="shared" si="12"/>
        <v/>
      </c>
      <c r="Q90" s="336" t="str">
        <f>IF(N90="","",VLOOKUP(B90,'C-1 On-Site WaterC'' Baseline'!$C$10:$AC$257,20,FALSE))</f>
        <v/>
      </c>
      <c r="R90" s="275" t="str">
        <f>IF(N90="","",VLOOKUP(N90,'G-7 WaterC'' Data'!$B$2:$G$8,2,FALSE))</f>
        <v/>
      </c>
      <c r="S90" s="276" t="str">
        <f>IFERROR(VLOOKUP(R90,'G-7 WaterC'' Data'!$C$4:$D$8,2,FALSE),"")</f>
        <v/>
      </c>
      <c r="T90" s="101"/>
      <c r="U90" s="276" t="str">
        <f>IFERROR(INDEX('G-7 WaterC'' Data'!$H$4:$L$8,MATCH(N90,'G-7 WaterC'' Data'!$B$4:$B$8,0),MATCH(T90,'G-7 WaterC'' Data'!$H$3:$L$3,0)),"")</f>
        <v/>
      </c>
      <c r="V90" s="101"/>
      <c r="W90" s="283" t="str">
        <f>IF(V90="","",IF(VLOOKUP(V90,'G-7 WaterC'' Data'!$AK$4:$AM$6,2,FALSE)=0,"Spatial Data Missing ⚠",VLOOKUP(V90,'G-7 WaterC'' Data'!$AK$4:$AM$6,2,FALSE)))</f>
        <v/>
      </c>
      <c r="X90" s="276" t="str">
        <f>IF(V90="","",IF(VLOOKUP(V90,'G-7 WaterC'' Data'!$AK$4:$AM$6,3,FALSE)=0,"Spatial Data Missing ⚠",VLOOKUP(V90,'G-7 WaterC'' Data'!$AK$4:$AM$6,3,FALSE)))</f>
        <v/>
      </c>
      <c r="Y90" s="275" t="str">
        <f>IFERROR(IF(OR(LEFT(P90,5)="Error",LEFT(O90,5)="Error"),"Check Data ⚠",IF(F90&lt;S90,'G-7 WaterC'' Data'!$R$3,INDEX('G-7 WaterC'' Data'!$U$5:$Y$9,MATCH(G90,'G-7 WaterC'' Data'!$T$5:$T$9,0),MATCH(T90,'G-7 WaterC'' Data'!$U$4:$Y$4,0)))),"")</f>
        <v/>
      </c>
      <c r="Z90" s="133"/>
      <c r="AA90" s="133"/>
      <c r="AB90" s="283" t="str">
        <f t="shared" si="13"/>
        <v/>
      </c>
      <c r="AC90" s="296" t="str">
        <f t="shared" si="14"/>
        <v/>
      </c>
      <c r="AD90" s="334" t="str">
        <f>IFERROR(IF(AC90="Check Data ⚠","Check Data ⚠",VLOOKUP(AC90,'G-4 Temporal multipliers'!$A$4:$C$37,3,FALSE)),"")</f>
        <v/>
      </c>
      <c r="AE90" s="275" t="str">
        <f>IF(N90="","",VLOOKUP(N90,'G-7 WaterC'' Data'!$B$4:$G$8,5,FALSE))</f>
        <v/>
      </c>
      <c r="AF90" s="283" t="str">
        <f t="shared" si="15"/>
        <v/>
      </c>
      <c r="AG90" s="314" t="str">
        <f t="shared" si="16"/>
        <v/>
      </c>
      <c r="AH90" s="276" t="str">
        <f t="shared" si="10"/>
        <v/>
      </c>
      <c r="AI90" s="105"/>
      <c r="AJ90" s="276" t="str">
        <f>IF(AI90="","",IF(AND(AI90="N/A - Culvert",N90&lt;&gt;"Culvert"),"Not possible ▲",IF(VLOOKUP(AI90,'G-7 WaterC'' Data'!$AA$4:$AB$7,2,FALSE)=0,"Spatial Data Missing ⚠",VLOOKUP(AI90,'G-7 WaterC'' Data'!$AA$4:$AB$7,2,FALSE))))</f>
        <v/>
      </c>
      <c r="AK90" s="106"/>
      <c r="AL90" s="276" t="str">
        <f>IF(AK90="","",IF(AND(AK90="N/A - Culvert",N90&lt;&gt;"Culvert"),"Not possible ▲",IF(VLOOKUP(AK90,'G-7 WaterC'' Data'!$AD$4:$AE$14,2,FALSE)=0,"Spatial Data Missing ⚠",VLOOKUP(AK90,'G-7 WaterC'' Data'!$AD$4:$AE$14,2,FALSE))))</f>
        <v/>
      </c>
      <c r="AM90" s="317" t="str">
        <f t="shared" si="17"/>
        <v/>
      </c>
      <c r="AN90" s="101"/>
      <c r="AO90" s="115"/>
      <c r="AP90" s="104"/>
      <c r="AS90" s="30" t="str">
        <f>IF(B90="","",IF(ISNA(VLOOKUP($B90,'C-1 On-Site WaterC'' Baseline'!$C$8:$AD$257,17,FALSE)),"",(VLOOKUP($B90,'C-1 On-Site WaterC'' Baseline'!$C$8:$AD$257,17,FALSE))))</f>
        <v/>
      </c>
      <c r="AT90" s="30" t="str">
        <f>IF(B90="","",VLOOKUP($B90,'C-1 On-Site WaterC'' Baseline'!$C$9:$Z$257,12,FALSE))</f>
        <v/>
      </c>
      <c r="AU90" s="30" t="str">
        <f>IF(B90="","",VLOOKUP($B90,'C-1 On-Site WaterC'' Baseline'!$C$9:$Z$257,14,FALSE))</f>
        <v/>
      </c>
      <c r="AV90" s="30" t="str">
        <f>IFERROR(INDEX('G-7 WaterC'' Data'!$AZ$3:$AZ$7,MATCH(N90,'G-7 WaterC'' Data'!$AY$3:$AY$7,0)),"")</f>
        <v/>
      </c>
      <c r="AX90" s="30" t="str">
        <f>IF(B90="","",VLOOKUP($B90,'C-1 On-Site WaterC'' Baseline'!$C$9:$Y$257,22,FALSE))</f>
        <v/>
      </c>
      <c r="AY90" s="30" t="str">
        <f t="shared" si="18"/>
        <v/>
      </c>
      <c r="AZ90" s="30" t="str">
        <f>IF(B90="","",VLOOKUP($B90,'C-1 On-Site WaterC'' Baseline'!$C$9:$Y$257,21,FALSE))</f>
        <v/>
      </c>
      <c r="BA90" s="30" t="str">
        <f>IF(B90="","",VLOOKUP($B90,'C-1 On-Site WaterC'' Baseline'!$C$9:$Y$257,19,FALSE))</f>
        <v/>
      </c>
      <c r="BD90" s="30" t="str">
        <f t="shared" si="19"/>
        <v>No</v>
      </c>
    </row>
    <row r="91" spans="2:56" ht="14">
      <c r="B91" s="305" t="str">
        <f>'C-1 On-Site WaterC'' Baseline'!AP89</f>
        <v/>
      </c>
      <c r="C91" s="295" t="str">
        <f>IF(B91="","",VLOOKUP($B91,'C-1 On-Site WaterC'' Baseline'!$C$9:$R$257,2,FALSE))</f>
        <v/>
      </c>
      <c r="D91" s="295" t="str">
        <f>IF(C91="","",VLOOKUP($B91,'C-1 On-Site WaterC'' Baseline'!$C$9:$R$257,3,FALSE))</f>
        <v/>
      </c>
      <c r="E91" s="295" t="str">
        <f>IF(D91="","",VLOOKUP($B91,'C-1 On-Site WaterC'' Baseline'!$C$9:$R$257,4,FALSE))</f>
        <v/>
      </c>
      <c r="F91" s="295" t="str">
        <f>IF(E91="","",VLOOKUP($B91,'C-1 On-Site WaterC'' Baseline'!$C$9:$R$257,5,FALSE))</f>
        <v/>
      </c>
      <c r="G91" s="295" t="str">
        <f>IF(F91="","",VLOOKUP($B91,'C-1 On-Site WaterC'' Baseline'!$C$9:$R$257,6,FALSE))</f>
        <v/>
      </c>
      <c r="H91" s="295" t="str">
        <f>IF(G91="","",VLOOKUP($B91,'C-1 On-Site WaterC'' Baseline'!$C$9:$R$257,7,FALSE))</f>
        <v/>
      </c>
      <c r="I91" s="295" t="str">
        <f>IF(H91="","",VLOOKUP($B91,'C-1 On-Site WaterC'' Baseline'!$C$9:$R$257,8,FALSE))</f>
        <v/>
      </c>
      <c r="J91" s="295" t="str">
        <f>IF(I91="","",VLOOKUP($B91,'C-1 On-Site WaterC'' Baseline'!$C$9:$R$257,9,FALSE))</f>
        <v/>
      </c>
      <c r="K91" s="295" t="str">
        <f>IF(J91="","",VLOOKUP($B91,'C-1 On-Site WaterC'' Baseline'!$C$9:$R$257,10,FALSE))</f>
        <v/>
      </c>
      <c r="L91" s="295" t="str">
        <f>IF(B91="","",VLOOKUP($B91,'C-1 On-Site WaterC'' Baseline'!$C$9:$R$257,15,FALSE))</f>
        <v/>
      </c>
      <c r="M91" s="299" t="str">
        <f>IF(L91="","",VLOOKUP($B91,'C-1 On-Site WaterC'' Baseline'!$C$9:$R$257,16,FALSE))</f>
        <v/>
      </c>
      <c r="N91" s="245"/>
      <c r="O91" s="275" t="str">
        <f t="shared" si="11"/>
        <v/>
      </c>
      <c r="P91" s="276" t="str">
        <f t="shared" si="12"/>
        <v/>
      </c>
      <c r="Q91" s="336" t="str">
        <f>IF(N91="","",VLOOKUP(B91,'C-1 On-Site WaterC'' Baseline'!$C$10:$AC$257,20,FALSE))</f>
        <v/>
      </c>
      <c r="R91" s="275" t="str">
        <f>IF(N91="","",VLOOKUP(N91,'G-7 WaterC'' Data'!$B$2:$G$8,2,FALSE))</f>
        <v/>
      </c>
      <c r="S91" s="276" t="str">
        <f>IFERROR(VLOOKUP(R91,'G-7 WaterC'' Data'!$C$4:$D$8,2,FALSE),"")</f>
        <v/>
      </c>
      <c r="T91" s="101"/>
      <c r="U91" s="276" t="str">
        <f>IFERROR(INDEX('G-7 WaterC'' Data'!$H$4:$L$8,MATCH(N91,'G-7 WaterC'' Data'!$B$4:$B$8,0),MATCH(T91,'G-7 WaterC'' Data'!$H$3:$L$3,0)),"")</f>
        <v/>
      </c>
      <c r="V91" s="101"/>
      <c r="W91" s="283" t="str">
        <f>IF(V91="","",IF(VLOOKUP(V91,'G-7 WaterC'' Data'!$AK$4:$AM$6,2,FALSE)=0,"Spatial Data Missing ⚠",VLOOKUP(V91,'G-7 WaterC'' Data'!$AK$4:$AM$6,2,FALSE)))</f>
        <v/>
      </c>
      <c r="X91" s="276" t="str">
        <f>IF(V91="","",IF(VLOOKUP(V91,'G-7 WaterC'' Data'!$AK$4:$AM$6,3,FALSE)=0,"Spatial Data Missing ⚠",VLOOKUP(V91,'G-7 WaterC'' Data'!$AK$4:$AM$6,3,FALSE)))</f>
        <v/>
      </c>
      <c r="Y91" s="275" t="str">
        <f>IFERROR(IF(OR(LEFT(P91,5)="Error",LEFT(O91,5)="Error"),"Check Data ⚠",IF(F91&lt;S91,'G-7 WaterC'' Data'!$R$3,INDEX('G-7 WaterC'' Data'!$U$5:$Y$9,MATCH(G91,'G-7 WaterC'' Data'!$T$5:$T$9,0),MATCH(T91,'G-7 WaterC'' Data'!$U$4:$Y$4,0)))),"")</f>
        <v/>
      </c>
      <c r="Z91" s="133"/>
      <c r="AA91" s="133"/>
      <c r="AB91" s="283" t="str">
        <f t="shared" si="13"/>
        <v/>
      </c>
      <c r="AC91" s="296" t="str">
        <f t="shared" si="14"/>
        <v/>
      </c>
      <c r="AD91" s="334" t="str">
        <f>IFERROR(IF(AC91="Check Data ⚠","Check Data ⚠",VLOOKUP(AC91,'G-4 Temporal multipliers'!$A$4:$C$37,3,FALSE)),"")</f>
        <v/>
      </c>
      <c r="AE91" s="275" t="str">
        <f>IF(N91="","",VLOOKUP(N91,'G-7 WaterC'' Data'!$B$4:$G$8,5,FALSE))</f>
        <v/>
      </c>
      <c r="AF91" s="283" t="str">
        <f t="shared" si="15"/>
        <v/>
      </c>
      <c r="AG91" s="314" t="str">
        <f t="shared" si="16"/>
        <v/>
      </c>
      <c r="AH91" s="276" t="str">
        <f t="shared" si="10"/>
        <v/>
      </c>
      <c r="AI91" s="105"/>
      <c r="AJ91" s="276" t="str">
        <f>IF(AI91="","",IF(AND(AI91="N/A - Culvert",N91&lt;&gt;"Culvert"),"Not possible ▲",IF(VLOOKUP(AI91,'G-7 WaterC'' Data'!$AA$4:$AB$7,2,FALSE)=0,"Spatial Data Missing ⚠",VLOOKUP(AI91,'G-7 WaterC'' Data'!$AA$4:$AB$7,2,FALSE))))</f>
        <v/>
      </c>
      <c r="AK91" s="106"/>
      <c r="AL91" s="276" t="str">
        <f>IF(AK91="","",IF(AND(AK91="N/A - Culvert",N91&lt;&gt;"Culvert"),"Not possible ▲",IF(VLOOKUP(AK91,'G-7 WaterC'' Data'!$AD$4:$AE$14,2,FALSE)=0,"Spatial Data Missing ⚠",VLOOKUP(AK91,'G-7 WaterC'' Data'!$AD$4:$AE$14,2,FALSE))))</f>
        <v/>
      </c>
      <c r="AM91" s="317" t="str">
        <f t="shared" si="17"/>
        <v/>
      </c>
      <c r="AN91" s="101"/>
      <c r="AO91" s="115"/>
      <c r="AP91" s="104"/>
      <c r="AS91" s="30" t="str">
        <f>IF(B91="","",IF(ISNA(VLOOKUP($B91,'C-1 On-Site WaterC'' Baseline'!$C$8:$AD$257,17,FALSE)),"",(VLOOKUP($B91,'C-1 On-Site WaterC'' Baseline'!$C$8:$AD$257,17,FALSE))))</f>
        <v/>
      </c>
      <c r="AT91" s="30" t="str">
        <f>IF(B91="","",VLOOKUP($B91,'C-1 On-Site WaterC'' Baseline'!$C$9:$Z$257,12,FALSE))</f>
        <v/>
      </c>
      <c r="AU91" s="30" t="str">
        <f>IF(B91="","",VLOOKUP($B91,'C-1 On-Site WaterC'' Baseline'!$C$9:$Z$257,14,FALSE))</f>
        <v/>
      </c>
      <c r="AV91" s="30" t="str">
        <f>IFERROR(INDEX('G-7 WaterC'' Data'!$AZ$3:$AZ$7,MATCH(N91,'G-7 WaterC'' Data'!$AY$3:$AY$7,0)),"")</f>
        <v/>
      </c>
      <c r="AX91" s="30" t="str">
        <f>IF(B91="","",VLOOKUP($B91,'C-1 On-Site WaterC'' Baseline'!$C$9:$Y$257,22,FALSE))</f>
        <v/>
      </c>
      <c r="AY91" s="30" t="str">
        <f t="shared" si="18"/>
        <v/>
      </c>
      <c r="AZ91" s="30" t="str">
        <f>IF(B91="","",VLOOKUP($B91,'C-1 On-Site WaterC'' Baseline'!$C$9:$Y$257,21,FALSE))</f>
        <v/>
      </c>
      <c r="BA91" s="30" t="str">
        <f>IF(B91="","",VLOOKUP($B91,'C-1 On-Site WaterC'' Baseline'!$C$9:$Y$257,19,FALSE))</f>
        <v/>
      </c>
      <c r="BD91" s="30" t="str">
        <f t="shared" si="19"/>
        <v>No</v>
      </c>
    </row>
    <row r="92" spans="2:56" ht="14">
      <c r="B92" s="305" t="str">
        <f>'C-1 On-Site WaterC'' Baseline'!AP90</f>
        <v/>
      </c>
      <c r="C92" s="295" t="str">
        <f>IF(B92="","",VLOOKUP($B92,'C-1 On-Site WaterC'' Baseline'!$C$9:$R$257,2,FALSE))</f>
        <v/>
      </c>
      <c r="D92" s="295" t="str">
        <f>IF(C92="","",VLOOKUP($B92,'C-1 On-Site WaterC'' Baseline'!$C$9:$R$257,3,FALSE))</f>
        <v/>
      </c>
      <c r="E92" s="295" t="str">
        <f>IF(D92="","",VLOOKUP($B92,'C-1 On-Site WaterC'' Baseline'!$C$9:$R$257,4,FALSE))</f>
        <v/>
      </c>
      <c r="F92" s="295" t="str">
        <f>IF(E92="","",VLOOKUP($B92,'C-1 On-Site WaterC'' Baseline'!$C$9:$R$257,5,FALSE))</f>
        <v/>
      </c>
      <c r="G92" s="295" t="str">
        <f>IF(F92="","",VLOOKUP($B92,'C-1 On-Site WaterC'' Baseline'!$C$9:$R$257,6,FALSE))</f>
        <v/>
      </c>
      <c r="H92" s="295" t="str">
        <f>IF(G92="","",VLOOKUP($B92,'C-1 On-Site WaterC'' Baseline'!$C$9:$R$257,7,FALSE))</f>
        <v/>
      </c>
      <c r="I92" s="295" t="str">
        <f>IF(H92="","",VLOOKUP($B92,'C-1 On-Site WaterC'' Baseline'!$C$9:$R$257,8,FALSE))</f>
        <v/>
      </c>
      <c r="J92" s="295" t="str">
        <f>IF(I92="","",VLOOKUP($B92,'C-1 On-Site WaterC'' Baseline'!$C$9:$R$257,9,FALSE))</f>
        <v/>
      </c>
      <c r="K92" s="295" t="str">
        <f>IF(J92="","",VLOOKUP($B92,'C-1 On-Site WaterC'' Baseline'!$C$9:$R$257,10,FALSE))</f>
        <v/>
      </c>
      <c r="L92" s="295" t="str">
        <f>IF(B92="","",VLOOKUP($B92,'C-1 On-Site WaterC'' Baseline'!$C$9:$R$257,15,FALSE))</f>
        <v/>
      </c>
      <c r="M92" s="299" t="str">
        <f>IF(L92="","",VLOOKUP($B92,'C-1 On-Site WaterC'' Baseline'!$C$9:$R$257,16,FALSE))</f>
        <v/>
      </c>
      <c r="N92" s="245"/>
      <c r="O92" s="275" t="str">
        <f t="shared" si="11"/>
        <v/>
      </c>
      <c r="P92" s="276" t="str">
        <f t="shared" si="12"/>
        <v/>
      </c>
      <c r="Q92" s="336" t="str">
        <f>IF(N92="","",VLOOKUP(B92,'C-1 On-Site WaterC'' Baseline'!$C$10:$AC$257,20,FALSE))</f>
        <v/>
      </c>
      <c r="R92" s="275" t="str">
        <f>IF(N92="","",VLOOKUP(N92,'G-7 WaterC'' Data'!$B$2:$G$8,2,FALSE))</f>
        <v/>
      </c>
      <c r="S92" s="276" t="str">
        <f>IFERROR(VLOOKUP(R92,'G-7 WaterC'' Data'!$C$4:$D$8,2,FALSE),"")</f>
        <v/>
      </c>
      <c r="T92" s="101"/>
      <c r="U92" s="276" t="str">
        <f>IFERROR(INDEX('G-7 WaterC'' Data'!$H$4:$L$8,MATCH(N92,'G-7 WaterC'' Data'!$B$4:$B$8,0),MATCH(T92,'G-7 WaterC'' Data'!$H$3:$L$3,0)),"")</f>
        <v/>
      </c>
      <c r="V92" s="101"/>
      <c r="W92" s="283" t="str">
        <f>IF(V92="","",IF(VLOOKUP(V92,'G-7 WaterC'' Data'!$AK$4:$AM$6,2,FALSE)=0,"Spatial Data Missing ⚠",VLOOKUP(V92,'G-7 WaterC'' Data'!$AK$4:$AM$6,2,FALSE)))</f>
        <v/>
      </c>
      <c r="X92" s="276" t="str">
        <f>IF(V92="","",IF(VLOOKUP(V92,'G-7 WaterC'' Data'!$AK$4:$AM$6,3,FALSE)=0,"Spatial Data Missing ⚠",VLOOKUP(V92,'G-7 WaterC'' Data'!$AK$4:$AM$6,3,FALSE)))</f>
        <v/>
      </c>
      <c r="Y92" s="275" t="str">
        <f>IFERROR(IF(OR(LEFT(P92,5)="Error",LEFT(O92,5)="Error"),"Check Data ⚠",IF(F92&lt;S92,'G-7 WaterC'' Data'!$R$3,INDEX('G-7 WaterC'' Data'!$U$5:$Y$9,MATCH(G92,'G-7 WaterC'' Data'!$T$5:$T$9,0),MATCH(T92,'G-7 WaterC'' Data'!$U$4:$Y$4,0)))),"")</f>
        <v/>
      </c>
      <c r="Z92" s="133"/>
      <c r="AA92" s="133"/>
      <c r="AB92" s="283" t="str">
        <f t="shared" si="13"/>
        <v/>
      </c>
      <c r="AC92" s="296" t="str">
        <f t="shared" si="14"/>
        <v/>
      </c>
      <c r="AD92" s="334" t="str">
        <f>IFERROR(IF(AC92="Check Data ⚠","Check Data ⚠",VLOOKUP(AC92,'G-4 Temporal multipliers'!$A$4:$C$37,3,FALSE)),"")</f>
        <v/>
      </c>
      <c r="AE92" s="275" t="str">
        <f>IF(N92="","",VLOOKUP(N92,'G-7 WaterC'' Data'!$B$4:$G$8,5,FALSE))</f>
        <v/>
      </c>
      <c r="AF92" s="283" t="str">
        <f t="shared" si="15"/>
        <v/>
      </c>
      <c r="AG92" s="314" t="str">
        <f t="shared" si="16"/>
        <v/>
      </c>
      <c r="AH92" s="276" t="str">
        <f t="shared" si="10"/>
        <v/>
      </c>
      <c r="AI92" s="105"/>
      <c r="AJ92" s="276" t="str">
        <f>IF(AI92="","",IF(AND(AI92="N/A - Culvert",N92&lt;&gt;"Culvert"),"Not possible ▲",IF(VLOOKUP(AI92,'G-7 WaterC'' Data'!$AA$4:$AB$7,2,FALSE)=0,"Spatial Data Missing ⚠",VLOOKUP(AI92,'G-7 WaterC'' Data'!$AA$4:$AB$7,2,FALSE))))</f>
        <v/>
      </c>
      <c r="AK92" s="106"/>
      <c r="AL92" s="276" t="str">
        <f>IF(AK92="","",IF(AND(AK92="N/A - Culvert",N92&lt;&gt;"Culvert"),"Not possible ▲",IF(VLOOKUP(AK92,'G-7 WaterC'' Data'!$AD$4:$AE$14,2,FALSE)=0,"Spatial Data Missing ⚠",VLOOKUP(AK92,'G-7 WaterC'' Data'!$AD$4:$AE$14,2,FALSE))))</f>
        <v/>
      </c>
      <c r="AM92" s="317" t="str">
        <f t="shared" si="17"/>
        <v/>
      </c>
      <c r="AN92" s="101"/>
      <c r="AO92" s="115"/>
      <c r="AP92" s="104"/>
      <c r="AS92" s="30" t="str">
        <f>IF(B92="","",IF(ISNA(VLOOKUP($B92,'C-1 On-Site WaterC'' Baseline'!$C$8:$AD$257,17,FALSE)),"",(VLOOKUP($B92,'C-1 On-Site WaterC'' Baseline'!$C$8:$AD$257,17,FALSE))))</f>
        <v/>
      </c>
      <c r="AT92" s="30" t="str">
        <f>IF(B92="","",VLOOKUP($B92,'C-1 On-Site WaterC'' Baseline'!$C$9:$Z$257,12,FALSE))</f>
        <v/>
      </c>
      <c r="AU92" s="30" t="str">
        <f>IF(B92="","",VLOOKUP($B92,'C-1 On-Site WaterC'' Baseline'!$C$9:$Z$257,14,FALSE))</f>
        <v/>
      </c>
      <c r="AV92" s="30" t="str">
        <f>IFERROR(INDEX('G-7 WaterC'' Data'!$AZ$3:$AZ$7,MATCH(N92,'G-7 WaterC'' Data'!$AY$3:$AY$7,0)),"")</f>
        <v/>
      </c>
      <c r="AX92" s="30" t="str">
        <f>IF(B92="","",VLOOKUP($B92,'C-1 On-Site WaterC'' Baseline'!$C$9:$Y$257,22,FALSE))</f>
        <v/>
      </c>
      <c r="AY92" s="30" t="str">
        <f t="shared" si="18"/>
        <v/>
      </c>
      <c r="AZ92" s="30" t="str">
        <f>IF(B92="","",VLOOKUP($B92,'C-1 On-Site WaterC'' Baseline'!$C$9:$Y$257,21,FALSE))</f>
        <v/>
      </c>
      <c r="BA92" s="30" t="str">
        <f>IF(B92="","",VLOOKUP($B92,'C-1 On-Site WaterC'' Baseline'!$C$9:$Y$257,19,FALSE))</f>
        <v/>
      </c>
      <c r="BD92" s="30" t="str">
        <f t="shared" si="19"/>
        <v>No</v>
      </c>
    </row>
    <row r="93" spans="2:56" ht="14">
      <c r="B93" s="305" t="str">
        <f>'C-1 On-Site WaterC'' Baseline'!AP91</f>
        <v/>
      </c>
      <c r="C93" s="295" t="str">
        <f>IF(B93="","",VLOOKUP($B93,'C-1 On-Site WaterC'' Baseline'!$C$9:$R$257,2,FALSE))</f>
        <v/>
      </c>
      <c r="D93" s="295" t="str">
        <f>IF(C93="","",VLOOKUP($B93,'C-1 On-Site WaterC'' Baseline'!$C$9:$R$257,3,FALSE))</f>
        <v/>
      </c>
      <c r="E93" s="295" t="str">
        <f>IF(D93="","",VLOOKUP($B93,'C-1 On-Site WaterC'' Baseline'!$C$9:$R$257,4,FALSE))</f>
        <v/>
      </c>
      <c r="F93" s="295" t="str">
        <f>IF(E93="","",VLOOKUP($B93,'C-1 On-Site WaterC'' Baseline'!$C$9:$R$257,5,FALSE))</f>
        <v/>
      </c>
      <c r="G93" s="295" t="str">
        <f>IF(F93="","",VLOOKUP($B93,'C-1 On-Site WaterC'' Baseline'!$C$9:$R$257,6,FALSE))</f>
        <v/>
      </c>
      <c r="H93" s="295" t="str">
        <f>IF(G93="","",VLOOKUP($B93,'C-1 On-Site WaterC'' Baseline'!$C$9:$R$257,7,FALSE))</f>
        <v/>
      </c>
      <c r="I93" s="295" t="str">
        <f>IF(H93="","",VLOOKUP($B93,'C-1 On-Site WaterC'' Baseline'!$C$9:$R$257,8,FALSE))</f>
        <v/>
      </c>
      <c r="J93" s="295" t="str">
        <f>IF(I93="","",VLOOKUP($B93,'C-1 On-Site WaterC'' Baseline'!$C$9:$R$257,9,FALSE))</f>
        <v/>
      </c>
      <c r="K93" s="295" t="str">
        <f>IF(J93="","",VLOOKUP($B93,'C-1 On-Site WaterC'' Baseline'!$C$9:$R$257,10,FALSE))</f>
        <v/>
      </c>
      <c r="L93" s="295" t="str">
        <f>IF(B93="","",VLOOKUP($B93,'C-1 On-Site WaterC'' Baseline'!$C$9:$R$257,15,FALSE))</f>
        <v/>
      </c>
      <c r="M93" s="299" t="str">
        <f>IF(L93="","",VLOOKUP($B93,'C-1 On-Site WaterC'' Baseline'!$C$9:$R$257,16,FALSE))</f>
        <v/>
      </c>
      <c r="N93" s="245"/>
      <c r="O93" s="275" t="str">
        <f t="shared" si="11"/>
        <v/>
      </c>
      <c r="P93" s="276" t="str">
        <f t="shared" si="12"/>
        <v/>
      </c>
      <c r="Q93" s="336" t="str">
        <f>IF(N93="","",VLOOKUP(B93,'C-1 On-Site WaterC'' Baseline'!$C$10:$AC$257,20,FALSE))</f>
        <v/>
      </c>
      <c r="R93" s="275" t="str">
        <f>IF(N93="","",VLOOKUP(N93,'G-7 WaterC'' Data'!$B$2:$G$8,2,FALSE))</f>
        <v/>
      </c>
      <c r="S93" s="276" t="str">
        <f>IFERROR(VLOOKUP(R93,'G-7 WaterC'' Data'!$C$4:$D$8,2,FALSE),"")</f>
        <v/>
      </c>
      <c r="T93" s="101"/>
      <c r="U93" s="276" t="str">
        <f>IFERROR(INDEX('G-7 WaterC'' Data'!$H$4:$L$8,MATCH(N93,'G-7 WaterC'' Data'!$B$4:$B$8,0),MATCH(T93,'G-7 WaterC'' Data'!$H$3:$L$3,0)),"")</f>
        <v/>
      </c>
      <c r="V93" s="101"/>
      <c r="W93" s="283" t="str">
        <f>IF(V93="","",IF(VLOOKUP(V93,'G-7 WaterC'' Data'!$AK$4:$AM$6,2,FALSE)=0,"Spatial Data Missing ⚠",VLOOKUP(V93,'G-7 WaterC'' Data'!$AK$4:$AM$6,2,FALSE)))</f>
        <v/>
      </c>
      <c r="X93" s="276" t="str">
        <f>IF(V93="","",IF(VLOOKUP(V93,'G-7 WaterC'' Data'!$AK$4:$AM$6,3,FALSE)=0,"Spatial Data Missing ⚠",VLOOKUP(V93,'G-7 WaterC'' Data'!$AK$4:$AM$6,3,FALSE)))</f>
        <v/>
      </c>
      <c r="Y93" s="275" t="str">
        <f>IFERROR(IF(OR(LEFT(P93,5)="Error",LEFT(O93,5)="Error"),"Check Data ⚠",IF(F93&lt;S93,'G-7 WaterC'' Data'!$R$3,INDEX('G-7 WaterC'' Data'!$U$5:$Y$9,MATCH(G93,'G-7 WaterC'' Data'!$T$5:$T$9,0),MATCH(T93,'G-7 WaterC'' Data'!$U$4:$Y$4,0)))),"")</f>
        <v/>
      </c>
      <c r="Z93" s="133"/>
      <c r="AA93" s="133"/>
      <c r="AB93" s="283" t="str">
        <f t="shared" si="13"/>
        <v/>
      </c>
      <c r="AC93" s="296" t="str">
        <f t="shared" si="14"/>
        <v/>
      </c>
      <c r="AD93" s="334" t="str">
        <f>IFERROR(IF(AC93="Check Data ⚠","Check Data ⚠",VLOOKUP(AC93,'G-4 Temporal multipliers'!$A$4:$C$37,3,FALSE)),"")</f>
        <v/>
      </c>
      <c r="AE93" s="275" t="str">
        <f>IF(N93="","",VLOOKUP(N93,'G-7 WaterC'' Data'!$B$4:$G$8,5,FALSE))</f>
        <v/>
      </c>
      <c r="AF93" s="283" t="str">
        <f t="shared" si="15"/>
        <v/>
      </c>
      <c r="AG93" s="314" t="str">
        <f t="shared" si="16"/>
        <v/>
      </c>
      <c r="AH93" s="276" t="str">
        <f t="shared" si="10"/>
        <v/>
      </c>
      <c r="AI93" s="105"/>
      <c r="AJ93" s="276" t="str">
        <f>IF(AI93="","",IF(AND(AI93="N/A - Culvert",N93&lt;&gt;"Culvert"),"Not possible ▲",IF(VLOOKUP(AI93,'G-7 WaterC'' Data'!$AA$4:$AB$7,2,FALSE)=0,"Spatial Data Missing ⚠",VLOOKUP(AI93,'G-7 WaterC'' Data'!$AA$4:$AB$7,2,FALSE))))</f>
        <v/>
      </c>
      <c r="AK93" s="106"/>
      <c r="AL93" s="276" t="str">
        <f>IF(AK93="","",IF(AND(AK93="N/A - Culvert",N93&lt;&gt;"Culvert"),"Not possible ▲",IF(VLOOKUP(AK93,'G-7 WaterC'' Data'!$AD$4:$AE$14,2,FALSE)=0,"Spatial Data Missing ⚠",VLOOKUP(AK93,'G-7 WaterC'' Data'!$AD$4:$AE$14,2,FALSE))))</f>
        <v/>
      </c>
      <c r="AM93" s="317" t="str">
        <f t="shared" si="17"/>
        <v/>
      </c>
      <c r="AN93" s="101"/>
      <c r="AO93" s="115"/>
      <c r="AP93" s="104"/>
      <c r="AS93" s="30" t="str">
        <f>IF(B93="","",IF(ISNA(VLOOKUP($B93,'C-1 On-Site WaterC'' Baseline'!$C$8:$AD$257,17,FALSE)),"",(VLOOKUP($B93,'C-1 On-Site WaterC'' Baseline'!$C$8:$AD$257,17,FALSE))))</f>
        <v/>
      </c>
      <c r="AT93" s="30" t="str">
        <f>IF(B93="","",VLOOKUP($B93,'C-1 On-Site WaterC'' Baseline'!$C$9:$Z$257,12,FALSE))</f>
        <v/>
      </c>
      <c r="AU93" s="30" t="str">
        <f>IF(B93="","",VLOOKUP($B93,'C-1 On-Site WaterC'' Baseline'!$C$9:$Z$257,14,FALSE))</f>
        <v/>
      </c>
      <c r="AV93" s="30" t="str">
        <f>IFERROR(INDEX('G-7 WaterC'' Data'!$AZ$3:$AZ$7,MATCH(N93,'G-7 WaterC'' Data'!$AY$3:$AY$7,0)),"")</f>
        <v/>
      </c>
      <c r="AX93" s="30" t="str">
        <f>IF(B93="","",VLOOKUP($B93,'C-1 On-Site WaterC'' Baseline'!$C$9:$Y$257,22,FALSE))</f>
        <v/>
      </c>
      <c r="AY93" s="30" t="str">
        <f t="shared" si="18"/>
        <v/>
      </c>
      <c r="AZ93" s="30" t="str">
        <f>IF(B93="","",VLOOKUP($B93,'C-1 On-Site WaterC'' Baseline'!$C$9:$Y$257,21,FALSE))</f>
        <v/>
      </c>
      <c r="BA93" s="30" t="str">
        <f>IF(B93="","",VLOOKUP($B93,'C-1 On-Site WaterC'' Baseline'!$C$9:$Y$257,19,FALSE))</f>
        <v/>
      </c>
      <c r="BD93" s="30" t="str">
        <f t="shared" si="19"/>
        <v>No</v>
      </c>
    </row>
    <row r="94" spans="2:56" ht="14">
      <c r="B94" s="305" t="str">
        <f>'C-1 On-Site WaterC'' Baseline'!AP92</f>
        <v/>
      </c>
      <c r="C94" s="295" t="str">
        <f>IF(B94="","",VLOOKUP($B94,'C-1 On-Site WaterC'' Baseline'!$C$9:$R$257,2,FALSE))</f>
        <v/>
      </c>
      <c r="D94" s="295" t="str">
        <f>IF(C94="","",VLOOKUP($B94,'C-1 On-Site WaterC'' Baseline'!$C$9:$R$257,3,FALSE))</f>
        <v/>
      </c>
      <c r="E94" s="295" t="str">
        <f>IF(D94="","",VLOOKUP($B94,'C-1 On-Site WaterC'' Baseline'!$C$9:$R$257,4,FALSE))</f>
        <v/>
      </c>
      <c r="F94" s="295" t="str">
        <f>IF(E94="","",VLOOKUP($B94,'C-1 On-Site WaterC'' Baseline'!$C$9:$R$257,5,FALSE))</f>
        <v/>
      </c>
      <c r="G94" s="295" t="str">
        <f>IF(F94="","",VLOOKUP($B94,'C-1 On-Site WaterC'' Baseline'!$C$9:$R$257,6,FALSE))</f>
        <v/>
      </c>
      <c r="H94" s="295" t="str">
        <f>IF(G94="","",VLOOKUP($B94,'C-1 On-Site WaterC'' Baseline'!$C$9:$R$257,7,FALSE))</f>
        <v/>
      </c>
      <c r="I94" s="295" t="str">
        <f>IF(H94="","",VLOOKUP($B94,'C-1 On-Site WaterC'' Baseline'!$C$9:$R$257,8,FALSE))</f>
        <v/>
      </c>
      <c r="J94" s="295" t="str">
        <f>IF(I94="","",VLOOKUP($B94,'C-1 On-Site WaterC'' Baseline'!$C$9:$R$257,9,FALSE))</f>
        <v/>
      </c>
      <c r="K94" s="295" t="str">
        <f>IF(J94="","",VLOOKUP($B94,'C-1 On-Site WaterC'' Baseline'!$C$9:$R$257,10,FALSE))</f>
        <v/>
      </c>
      <c r="L94" s="295" t="str">
        <f>IF(B94="","",VLOOKUP($B94,'C-1 On-Site WaterC'' Baseline'!$C$9:$R$257,15,FALSE))</f>
        <v/>
      </c>
      <c r="M94" s="299" t="str">
        <f>IF(L94="","",VLOOKUP($B94,'C-1 On-Site WaterC'' Baseline'!$C$9:$R$257,16,FALSE))</f>
        <v/>
      </c>
      <c r="N94" s="245"/>
      <c r="O94" s="275" t="str">
        <f t="shared" si="11"/>
        <v/>
      </c>
      <c r="P94" s="276" t="str">
        <f t="shared" si="12"/>
        <v/>
      </c>
      <c r="Q94" s="336" t="str">
        <f>IF(N94="","",VLOOKUP(B94,'C-1 On-Site WaterC'' Baseline'!$C$10:$AC$257,20,FALSE))</f>
        <v/>
      </c>
      <c r="R94" s="275" t="str">
        <f>IF(N94="","",VLOOKUP(N94,'G-7 WaterC'' Data'!$B$2:$G$8,2,FALSE))</f>
        <v/>
      </c>
      <c r="S94" s="276" t="str">
        <f>IFERROR(VLOOKUP(R94,'G-7 WaterC'' Data'!$C$4:$D$8,2,FALSE),"")</f>
        <v/>
      </c>
      <c r="T94" s="101"/>
      <c r="U94" s="276" t="str">
        <f>IFERROR(INDEX('G-7 WaterC'' Data'!$H$4:$L$8,MATCH(N94,'G-7 WaterC'' Data'!$B$4:$B$8,0),MATCH(T94,'G-7 WaterC'' Data'!$H$3:$L$3,0)),"")</f>
        <v/>
      </c>
      <c r="V94" s="101"/>
      <c r="W94" s="283" t="str">
        <f>IF(V94="","",IF(VLOOKUP(V94,'G-7 WaterC'' Data'!$AK$4:$AM$6,2,FALSE)=0,"Spatial Data Missing ⚠",VLOOKUP(V94,'G-7 WaterC'' Data'!$AK$4:$AM$6,2,FALSE)))</f>
        <v/>
      </c>
      <c r="X94" s="276" t="str">
        <f>IF(V94="","",IF(VLOOKUP(V94,'G-7 WaterC'' Data'!$AK$4:$AM$6,3,FALSE)=0,"Spatial Data Missing ⚠",VLOOKUP(V94,'G-7 WaterC'' Data'!$AK$4:$AM$6,3,FALSE)))</f>
        <v/>
      </c>
      <c r="Y94" s="275" t="str">
        <f>IFERROR(IF(OR(LEFT(P94,5)="Error",LEFT(O94,5)="Error"),"Check Data ⚠",IF(F94&lt;S94,'G-7 WaterC'' Data'!$R$3,INDEX('G-7 WaterC'' Data'!$U$5:$Y$9,MATCH(G94,'G-7 WaterC'' Data'!$T$5:$T$9,0),MATCH(T94,'G-7 WaterC'' Data'!$U$4:$Y$4,0)))),"")</f>
        <v/>
      </c>
      <c r="Z94" s="133"/>
      <c r="AA94" s="133"/>
      <c r="AB94" s="283" t="str">
        <f t="shared" si="13"/>
        <v/>
      </c>
      <c r="AC94" s="296" t="str">
        <f t="shared" si="14"/>
        <v/>
      </c>
      <c r="AD94" s="334" t="str">
        <f>IFERROR(IF(AC94="Check Data ⚠","Check Data ⚠",VLOOKUP(AC94,'G-4 Temporal multipliers'!$A$4:$C$37,3,FALSE)),"")</f>
        <v/>
      </c>
      <c r="AE94" s="275" t="str">
        <f>IF(N94="","",VLOOKUP(N94,'G-7 WaterC'' Data'!$B$4:$G$8,5,FALSE))</f>
        <v/>
      </c>
      <c r="AF94" s="283" t="str">
        <f t="shared" si="15"/>
        <v/>
      </c>
      <c r="AG94" s="314" t="str">
        <f t="shared" si="16"/>
        <v/>
      </c>
      <c r="AH94" s="276" t="str">
        <f t="shared" si="10"/>
        <v/>
      </c>
      <c r="AI94" s="105"/>
      <c r="AJ94" s="276" t="str">
        <f>IF(AI94="","",IF(AND(AI94="N/A - Culvert",N94&lt;&gt;"Culvert"),"Not possible ▲",IF(VLOOKUP(AI94,'G-7 WaterC'' Data'!$AA$4:$AB$7,2,FALSE)=0,"Spatial Data Missing ⚠",VLOOKUP(AI94,'G-7 WaterC'' Data'!$AA$4:$AB$7,2,FALSE))))</f>
        <v/>
      </c>
      <c r="AK94" s="106"/>
      <c r="AL94" s="276" t="str">
        <f>IF(AK94="","",IF(AND(AK94="N/A - Culvert",N94&lt;&gt;"Culvert"),"Not possible ▲",IF(VLOOKUP(AK94,'G-7 WaterC'' Data'!$AD$4:$AE$14,2,FALSE)=0,"Spatial Data Missing ⚠",VLOOKUP(AK94,'G-7 WaterC'' Data'!$AD$4:$AE$14,2,FALSE))))</f>
        <v/>
      </c>
      <c r="AM94" s="317" t="str">
        <f t="shared" si="17"/>
        <v/>
      </c>
      <c r="AN94" s="101"/>
      <c r="AO94" s="115"/>
      <c r="AP94" s="104"/>
      <c r="AS94" s="30" t="str">
        <f>IF(B94="","",IF(ISNA(VLOOKUP($B94,'C-1 On-Site WaterC'' Baseline'!$C$8:$AD$257,17,FALSE)),"",(VLOOKUP($B94,'C-1 On-Site WaterC'' Baseline'!$C$8:$AD$257,17,FALSE))))</f>
        <v/>
      </c>
      <c r="AT94" s="30" t="str">
        <f>IF(B94="","",VLOOKUP($B94,'C-1 On-Site WaterC'' Baseline'!$C$9:$Z$257,12,FALSE))</f>
        <v/>
      </c>
      <c r="AU94" s="30" t="str">
        <f>IF(B94="","",VLOOKUP($B94,'C-1 On-Site WaterC'' Baseline'!$C$9:$Z$257,14,FALSE))</f>
        <v/>
      </c>
      <c r="AV94" s="30" t="str">
        <f>IFERROR(INDEX('G-7 WaterC'' Data'!$AZ$3:$AZ$7,MATCH(N94,'G-7 WaterC'' Data'!$AY$3:$AY$7,0)),"")</f>
        <v/>
      </c>
      <c r="AX94" s="30" t="str">
        <f>IF(B94="","",VLOOKUP($B94,'C-1 On-Site WaterC'' Baseline'!$C$9:$Y$257,22,FALSE))</f>
        <v/>
      </c>
      <c r="AY94" s="30" t="str">
        <f t="shared" si="18"/>
        <v/>
      </c>
      <c r="AZ94" s="30" t="str">
        <f>IF(B94="","",VLOOKUP($B94,'C-1 On-Site WaterC'' Baseline'!$C$9:$Y$257,21,FALSE))</f>
        <v/>
      </c>
      <c r="BA94" s="30" t="str">
        <f>IF(B94="","",VLOOKUP($B94,'C-1 On-Site WaterC'' Baseline'!$C$9:$Y$257,19,FALSE))</f>
        <v/>
      </c>
      <c r="BD94" s="30" t="str">
        <f t="shared" si="19"/>
        <v>No</v>
      </c>
    </row>
    <row r="95" spans="2:56" ht="14">
      <c r="B95" s="305" t="str">
        <f>'C-1 On-Site WaterC'' Baseline'!AP93</f>
        <v/>
      </c>
      <c r="C95" s="295" t="str">
        <f>IF(B95="","",VLOOKUP($B95,'C-1 On-Site WaterC'' Baseline'!$C$9:$R$257,2,FALSE))</f>
        <v/>
      </c>
      <c r="D95" s="295" t="str">
        <f>IF(C95="","",VLOOKUP($B95,'C-1 On-Site WaterC'' Baseline'!$C$9:$R$257,3,FALSE))</f>
        <v/>
      </c>
      <c r="E95" s="295" t="str">
        <f>IF(D95="","",VLOOKUP($B95,'C-1 On-Site WaterC'' Baseline'!$C$9:$R$257,4,FALSE))</f>
        <v/>
      </c>
      <c r="F95" s="295" t="str">
        <f>IF(E95="","",VLOOKUP($B95,'C-1 On-Site WaterC'' Baseline'!$C$9:$R$257,5,FALSE))</f>
        <v/>
      </c>
      <c r="G95" s="295" t="str">
        <f>IF(F95="","",VLOOKUP($B95,'C-1 On-Site WaterC'' Baseline'!$C$9:$R$257,6,FALSE))</f>
        <v/>
      </c>
      <c r="H95" s="295" t="str">
        <f>IF(G95="","",VLOOKUP($B95,'C-1 On-Site WaterC'' Baseline'!$C$9:$R$257,7,FALSE))</f>
        <v/>
      </c>
      <c r="I95" s="295" t="str">
        <f>IF(H95="","",VLOOKUP($B95,'C-1 On-Site WaterC'' Baseline'!$C$9:$R$257,8,FALSE))</f>
        <v/>
      </c>
      <c r="J95" s="295" t="str">
        <f>IF(I95="","",VLOOKUP($B95,'C-1 On-Site WaterC'' Baseline'!$C$9:$R$257,9,FALSE))</f>
        <v/>
      </c>
      <c r="K95" s="295" t="str">
        <f>IF(J95="","",VLOOKUP($B95,'C-1 On-Site WaterC'' Baseline'!$C$9:$R$257,10,FALSE))</f>
        <v/>
      </c>
      <c r="L95" s="295" t="str">
        <f>IF(B95="","",VLOOKUP($B95,'C-1 On-Site WaterC'' Baseline'!$C$9:$R$257,15,FALSE))</f>
        <v/>
      </c>
      <c r="M95" s="299" t="str">
        <f>IF(L95="","",VLOOKUP($B95,'C-1 On-Site WaterC'' Baseline'!$C$9:$R$257,16,FALSE))</f>
        <v/>
      </c>
      <c r="N95" s="245"/>
      <c r="O95" s="275" t="str">
        <f t="shared" si="11"/>
        <v/>
      </c>
      <c r="P95" s="276" t="str">
        <f t="shared" si="12"/>
        <v/>
      </c>
      <c r="Q95" s="336" t="str">
        <f>IF(N95="","",VLOOKUP(B95,'C-1 On-Site WaterC'' Baseline'!$C$10:$AC$257,20,FALSE))</f>
        <v/>
      </c>
      <c r="R95" s="275" t="str">
        <f>IF(N95="","",VLOOKUP(N95,'G-7 WaterC'' Data'!$B$2:$G$8,2,FALSE))</f>
        <v/>
      </c>
      <c r="S95" s="276" t="str">
        <f>IFERROR(VLOOKUP(R95,'G-7 WaterC'' Data'!$C$4:$D$8,2,FALSE),"")</f>
        <v/>
      </c>
      <c r="T95" s="101"/>
      <c r="U95" s="276" t="str">
        <f>IFERROR(INDEX('G-7 WaterC'' Data'!$H$4:$L$8,MATCH(N95,'G-7 WaterC'' Data'!$B$4:$B$8,0),MATCH(T95,'G-7 WaterC'' Data'!$H$3:$L$3,0)),"")</f>
        <v/>
      </c>
      <c r="V95" s="101"/>
      <c r="W95" s="283" t="str">
        <f>IF(V95="","",IF(VLOOKUP(V95,'G-7 WaterC'' Data'!$AK$4:$AM$6,2,FALSE)=0,"Spatial Data Missing ⚠",VLOOKUP(V95,'G-7 WaterC'' Data'!$AK$4:$AM$6,2,FALSE)))</f>
        <v/>
      </c>
      <c r="X95" s="276" t="str">
        <f>IF(V95="","",IF(VLOOKUP(V95,'G-7 WaterC'' Data'!$AK$4:$AM$6,3,FALSE)=0,"Spatial Data Missing ⚠",VLOOKUP(V95,'G-7 WaterC'' Data'!$AK$4:$AM$6,3,FALSE)))</f>
        <v/>
      </c>
      <c r="Y95" s="275" t="str">
        <f>IFERROR(IF(OR(LEFT(P95,5)="Error",LEFT(O95,5)="Error"),"Check Data ⚠",IF(F95&lt;S95,'G-7 WaterC'' Data'!$R$3,INDEX('G-7 WaterC'' Data'!$U$5:$Y$9,MATCH(G95,'G-7 WaterC'' Data'!$T$5:$T$9,0),MATCH(T95,'G-7 WaterC'' Data'!$U$4:$Y$4,0)))),"")</f>
        <v/>
      </c>
      <c r="Z95" s="133"/>
      <c r="AA95" s="133"/>
      <c r="AB95" s="283" t="str">
        <f t="shared" si="13"/>
        <v/>
      </c>
      <c r="AC95" s="296" t="str">
        <f t="shared" si="14"/>
        <v/>
      </c>
      <c r="AD95" s="334" t="str">
        <f>IFERROR(IF(AC95="Check Data ⚠","Check Data ⚠",VLOOKUP(AC95,'G-4 Temporal multipliers'!$A$4:$C$37,3,FALSE)),"")</f>
        <v/>
      </c>
      <c r="AE95" s="275" t="str">
        <f>IF(N95="","",VLOOKUP(N95,'G-7 WaterC'' Data'!$B$4:$G$8,5,FALSE))</f>
        <v/>
      </c>
      <c r="AF95" s="283" t="str">
        <f t="shared" si="15"/>
        <v/>
      </c>
      <c r="AG95" s="314" t="str">
        <f t="shared" si="16"/>
        <v/>
      </c>
      <c r="AH95" s="276" t="str">
        <f t="shared" si="10"/>
        <v/>
      </c>
      <c r="AI95" s="105"/>
      <c r="AJ95" s="276" t="str">
        <f>IF(AI95="","",IF(AND(AI95="N/A - Culvert",N95&lt;&gt;"Culvert"),"Not possible ▲",IF(VLOOKUP(AI95,'G-7 WaterC'' Data'!$AA$4:$AB$7,2,FALSE)=0,"Spatial Data Missing ⚠",VLOOKUP(AI95,'G-7 WaterC'' Data'!$AA$4:$AB$7,2,FALSE))))</f>
        <v/>
      </c>
      <c r="AK95" s="106"/>
      <c r="AL95" s="276" t="str">
        <f>IF(AK95="","",IF(AND(AK95="N/A - Culvert",N95&lt;&gt;"Culvert"),"Not possible ▲",IF(VLOOKUP(AK95,'G-7 WaterC'' Data'!$AD$4:$AE$14,2,FALSE)=0,"Spatial Data Missing ⚠",VLOOKUP(AK95,'G-7 WaterC'' Data'!$AD$4:$AE$14,2,FALSE))))</f>
        <v/>
      </c>
      <c r="AM95" s="317" t="str">
        <f t="shared" si="17"/>
        <v/>
      </c>
      <c r="AN95" s="101"/>
      <c r="AO95" s="115"/>
      <c r="AP95" s="104"/>
      <c r="AS95" s="30" t="str">
        <f>IF(B95="","",IF(ISNA(VLOOKUP($B95,'C-1 On-Site WaterC'' Baseline'!$C$8:$AD$257,17,FALSE)),"",(VLOOKUP($B95,'C-1 On-Site WaterC'' Baseline'!$C$8:$AD$257,17,FALSE))))</f>
        <v/>
      </c>
      <c r="AT95" s="30" t="str">
        <f>IF(B95="","",VLOOKUP($B95,'C-1 On-Site WaterC'' Baseline'!$C$9:$Z$257,12,FALSE))</f>
        <v/>
      </c>
      <c r="AU95" s="30" t="str">
        <f>IF(B95="","",VLOOKUP($B95,'C-1 On-Site WaterC'' Baseline'!$C$9:$Z$257,14,FALSE))</f>
        <v/>
      </c>
      <c r="AV95" s="30" t="str">
        <f>IFERROR(INDEX('G-7 WaterC'' Data'!$AZ$3:$AZ$7,MATCH(N95,'G-7 WaterC'' Data'!$AY$3:$AY$7,0)),"")</f>
        <v/>
      </c>
      <c r="AX95" s="30" t="str">
        <f>IF(B95="","",VLOOKUP($B95,'C-1 On-Site WaterC'' Baseline'!$C$9:$Y$257,22,FALSE))</f>
        <v/>
      </c>
      <c r="AY95" s="30" t="str">
        <f t="shared" si="18"/>
        <v/>
      </c>
      <c r="AZ95" s="30" t="str">
        <f>IF(B95="","",VLOOKUP($B95,'C-1 On-Site WaterC'' Baseline'!$C$9:$Y$257,21,FALSE))</f>
        <v/>
      </c>
      <c r="BA95" s="30" t="str">
        <f>IF(B95="","",VLOOKUP($B95,'C-1 On-Site WaterC'' Baseline'!$C$9:$Y$257,19,FALSE))</f>
        <v/>
      </c>
      <c r="BD95" s="30" t="str">
        <f t="shared" si="19"/>
        <v>No</v>
      </c>
    </row>
    <row r="96" spans="2:56" ht="14">
      <c r="B96" s="305" t="str">
        <f>'C-1 On-Site WaterC'' Baseline'!AP94</f>
        <v/>
      </c>
      <c r="C96" s="295" t="str">
        <f>IF(B96="","",VLOOKUP($B96,'C-1 On-Site WaterC'' Baseline'!$C$9:$R$257,2,FALSE))</f>
        <v/>
      </c>
      <c r="D96" s="295" t="str">
        <f>IF(C96="","",VLOOKUP($B96,'C-1 On-Site WaterC'' Baseline'!$C$9:$R$257,3,FALSE))</f>
        <v/>
      </c>
      <c r="E96" s="295" t="str">
        <f>IF(D96="","",VLOOKUP($B96,'C-1 On-Site WaterC'' Baseline'!$C$9:$R$257,4,FALSE))</f>
        <v/>
      </c>
      <c r="F96" s="295" t="str">
        <f>IF(E96="","",VLOOKUP($B96,'C-1 On-Site WaterC'' Baseline'!$C$9:$R$257,5,FALSE))</f>
        <v/>
      </c>
      <c r="G96" s="295" t="str">
        <f>IF(F96="","",VLOOKUP($B96,'C-1 On-Site WaterC'' Baseline'!$C$9:$R$257,6,FALSE))</f>
        <v/>
      </c>
      <c r="H96" s="295" t="str">
        <f>IF(G96="","",VLOOKUP($B96,'C-1 On-Site WaterC'' Baseline'!$C$9:$R$257,7,FALSE))</f>
        <v/>
      </c>
      <c r="I96" s="295" t="str">
        <f>IF(H96="","",VLOOKUP($B96,'C-1 On-Site WaterC'' Baseline'!$C$9:$R$257,8,FALSE))</f>
        <v/>
      </c>
      <c r="J96" s="295" t="str">
        <f>IF(I96="","",VLOOKUP($B96,'C-1 On-Site WaterC'' Baseline'!$C$9:$R$257,9,FALSE))</f>
        <v/>
      </c>
      <c r="K96" s="295" t="str">
        <f>IF(J96="","",VLOOKUP($B96,'C-1 On-Site WaterC'' Baseline'!$C$9:$R$257,10,FALSE))</f>
        <v/>
      </c>
      <c r="L96" s="295" t="str">
        <f>IF(B96="","",VLOOKUP($B96,'C-1 On-Site WaterC'' Baseline'!$C$9:$R$257,15,FALSE))</f>
        <v/>
      </c>
      <c r="M96" s="299" t="str">
        <f>IF(L96="","",VLOOKUP($B96,'C-1 On-Site WaterC'' Baseline'!$C$9:$R$257,16,FALSE))</f>
        <v/>
      </c>
      <c r="N96" s="245"/>
      <c r="O96" s="275" t="str">
        <f t="shared" si="11"/>
        <v/>
      </c>
      <c r="P96" s="276" t="str">
        <f t="shared" si="12"/>
        <v/>
      </c>
      <c r="Q96" s="336" t="str">
        <f>IF(N96="","",VLOOKUP(B96,'C-1 On-Site WaterC'' Baseline'!$C$10:$AC$257,20,FALSE))</f>
        <v/>
      </c>
      <c r="R96" s="275" t="str">
        <f>IF(N96="","",VLOOKUP(N96,'G-7 WaterC'' Data'!$B$2:$G$8,2,FALSE))</f>
        <v/>
      </c>
      <c r="S96" s="276" t="str">
        <f>IFERROR(VLOOKUP(R96,'G-7 WaterC'' Data'!$C$4:$D$8,2,FALSE),"")</f>
        <v/>
      </c>
      <c r="T96" s="101"/>
      <c r="U96" s="276" t="str">
        <f>IFERROR(INDEX('G-7 WaterC'' Data'!$H$4:$L$8,MATCH(N96,'G-7 WaterC'' Data'!$B$4:$B$8,0),MATCH(T96,'G-7 WaterC'' Data'!$H$3:$L$3,0)),"")</f>
        <v/>
      </c>
      <c r="V96" s="101"/>
      <c r="W96" s="283" t="str">
        <f>IF(V96="","",IF(VLOOKUP(V96,'G-7 WaterC'' Data'!$AK$4:$AM$6,2,FALSE)=0,"Spatial Data Missing ⚠",VLOOKUP(V96,'G-7 WaterC'' Data'!$AK$4:$AM$6,2,FALSE)))</f>
        <v/>
      </c>
      <c r="X96" s="276" t="str">
        <f>IF(V96="","",IF(VLOOKUP(V96,'G-7 WaterC'' Data'!$AK$4:$AM$6,3,FALSE)=0,"Spatial Data Missing ⚠",VLOOKUP(V96,'G-7 WaterC'' Data'!$AK$4:$AM$6,3,FALSE)))</f>
        <v/>
      </c>
      <c r="Y96" s="275" t="str">
        <f>IFERROR(IF(OR(LEFT(P96,5)="Error",LEFT(O96,5)="Error"),"Check Data ⚠",IF(F96&lt;S96,'G-7 WaterC'' Data'!$R$3,INDEX('G-7 WaterC'' Data'!$U$5:$Y$9,MATCH(G96,'G-7 WaterC'' Data'!$T$5:$T$9,0),MATCH(T96,'G-7 WaterC'' Data'!$U$4:$Y$4,0)))),"")</f>
        <v/>
      </c>
      <c r="Z96" s="133"/>
      <c r="AA96" s="133"/>
      <c r="AB96" s="283" t="str">
        <f t="shared" si="13"/>
        <v/>
      </c>
      <c r="AC96" s="296" t="str">
        <f t="shared" si="14"/>
        <v/>
      </c>
      <c r="AD96" s="334" t="str">
        <f>IFERROR(IF(AC96="Check Data ⚠","Check Data ⚠",VLOOKUP(AC96,'G-4 Temporal multipliers'!$A$4:$C$37,3,FALSE)),"")</f>
        <v/>
      </c>
      <c r="AE96" s="275" t="str">
        <f>IF(N96="","",VLOOKUP(N96,'G-7 WaterC'' Data'!$B$4:$G$8,5,FALSE))</f>
        <v/>
      </c>
      <c r="AF96" s="283" t="str">
        <f t="shared" si="15"/>
        <v/>
      </c>
      <c r="AG96" s="314" t="str">
        <f t="shared" si="16"/>
        <v/>
      </c>
      <c r="AH96" s="276" t="str">
        <f t="shared" si="10"/>
        <v/>
      </c>
      <c r="AI96" s="105"/>
      <c r="AJ96" s="276" t="str">
        <f>IF(AI96="","",IF(AND(AI96="N/A - Culvert",N96&lt;&gt;"Culvert"),"Not possible ▲",IF(VLOOKUP(AI96,'G-7 WaterC'' Data'!$AA$4:$AB$7,2,FALSE)=0,"Spatial Data Missing ⚠",VLOOKUP(AI96,'G-7 WaterC'' Data'!$AA$4:$AB$7,2,FALSE))))</f>
        <v/>
      </c>
      <c r="AK96" s="106"/>
      <c r="AL96" s="276" t="str">
        <f>IF(AK96="","",IF(AND(AK96="N/A - Culvert",N96&lt;&gt;"Culvert"),"Not possible ▲",IF(VLOOKUP(AK96,'G-7 WaterC'' Data'!$AD$4:$AE$14,2,FALSE)=0,"Spatial Data Missing ⚠",VLOOKUP(AK96,'G-7 WaterC'' Data'!$AD$4:$AE$14,2,FALSE))))</f>
        <v/>
      </c>
      <c r="AM96" s="317" t="str">
        <f t="shared" si="17"/>
        <v/>
      </c>
      <c r="AN96" s="101"/>
      <c r="AO96" s="115"/>
      <c r="AP96" s="104"/>
      <c r="AS96" s="30" t="str">
        <f>IF(B96="","",IF(ISNA(VLOOKUP($B96,'C-1 On-Site WaterC'' Baseline'!$C$8:$AD$257,17,FALSE)),"",(VLOOKUP($B96,'C-1 On-Site WaterC'' Baseline'!$C$8:$AD$257,17,FALSE))))</f>
        <v/>
      </c>
      <c r="AT96" s="30" t="str">
        <f>IF(B96="","",VLOOKUP($B96,'C-1 On-Site WaterC'' Baseline'!$C$9:$Z$257,12,FALSE))</f>
        <v/>
      </c>
      <c r="AU96" s="30" t="str">
        <f>IF(B96="","",VLOOKUP($B96,'C-1 On-Site WaterC'' Baseline'!$C$9:$Z$257,14,FALSE))</f>
        <v/>
      </c>
      <c r="AV96" s="30" t="str">
        <f>IFERROR(INDEX('G-7 WaterC'' Data'!$AZ$3:$AZ$7,MATCH(N96,'G-7 WaterC'' Data'!$AY$3:$AY$7,0)),"")</f>
        <v/>
      </c>
      <c r="AX96" s="30" t="str">
        <f>IF(B96="","",VLOOKUP($B96,'C-1 On-Site WaterC'' Baseline'!$C$9:$Y$257,22,FALSE))</f>
        <v/>
      </c>
      <c r="AY96" s="30" t="str">
        <f t="shared" si="18"/>
        <v/>
      </c>
      <c r="AZ96" s="30" t="str">
        <f>IF(B96="","",VLOOKUP($B96,'C-1 On-Site WaterC'' Baseline'!$C$9:$Y$257,21,FALSE))</f>
        <v/>
      </c>
      <c r="BA96" s="30" t="str">
        <f>IF(B96="","",VLOOKUP($B96,'C-1 On-Site WaterC'' Baseline'!$C$9:$Y$257,19,FALSE))</f>
        <v/>
      </c>
      <c r="BD96" s="30" t="str">
        <f t="shared" si="19"/>
        <v>No</v>
      </c>
    </row>
    <row r="97" spans="2:56" ht="14">
      <c r="B97" s="305" t="str">
        <f>'C-1 On-Site WaterC'' Baseline'!AP95</f>
        <v/>
      </c>
      <c r="C97" s="295" t="str">
        <f>IF(B97="","",VLOOKUP($B97,'C-1 On-Site WaterC'' Baseline'!$C$9:$R$257,2,FALSE))</f>
        <v/>
      </c>
      <c r="D97" s="295" t="str">
        <f>IF(C97="","",VLOOKUP($B97,'C-1 On-Site WaterC'' Baseline'!$C$9:$R$257,3,FALSE))</f>
        <v/>
      </c>
      <c r="E97" s="295" t="str">
        <f>IF(D97="","",VLOOKUP($B97,'C-1 On-Site WaterC'' Baseline'!$C$9:$R$257,4,FALSE))</f>
        <v/>
      </c>
      <c r="F97" s="295" t="str">
        <f>IF(E97="","",VLOOKUP($B97,'C-1 On-Site WaterC'' Baseline'!$C$9:$R$257,5,FALSE))</f>
        <v/>
      </c>
      <c r="G97" s="295" t="str">
        <f>IF(F97="","",VLOOKUP($B97,'C-1 On-Site WaterC'' Baseline'!$C$9:$R$257,6,FALSE))</f>
        <v/>
      </c>
      <c r="H97" s="295" t="str">
        <f>IF(G97="","",VLOOKUP($B97,'C-1 On-Site WaterC'' Baseline'!$C$9:$R$257,7,FALSE))</f>
        <v/>
      </c>
      <c r="I97" s="295" t="str">
        <f>IF(H97="","",VLOOKUP($B97,'C-1 On-Site WaterC'' Baseline'!$C$9:$R$257,8,FALSE))</f>
        <v/>
      </c>
      <c r="J97" s="295" t="str">
        <f>IF(I97="","",VLOOKUP($B97,'C-1 On-Site WaterC'' Baseline'!$C$9:$R$257,9,FALSE))</f>
        <v/>
      </c>
      <c r="K97" s="295" t="str">
        <f>IF(J97="","",VLOOKUP($B97,'C-1 On-Site WaterC'' Baseline'!$C$9:$R$257,10,FALSE))</f>
        <v/>
      </c>
      <c r="L97" s="295" t="str">
        <f>IF(B97="","",VLOOKUP($B97,'C-1 On-Site WaterC'' Baseline'!$C$9:$R$257,15,FALSE))</f>
        <v/>
      </c>
      <c r="M97" s="299" t="str">
        <f>IF(L97="","",VLOOKUP($B97,'C-1 On-Site WaterC'' Baseline'!$C$9:$R$257,16,FALSE))</f>
        <v/>
      </c>
      <c r="N97" s="245"/>
      <c r="O97" s="275" t="str">
        <f t="shared" si="11"/>
        <v/>
      </c>
      <c r="P97" s="276" t="str">
        <f t="shared" si="12"/>
        <v/>
      </c>
      <c r="Q97" s="336" t="str">
        <f>IF(N97="","",VLOOKUP(B97,'C-1 On-Site WaterC'' Baseline'!$C$10:$AC$257,20,FALSE))</f>
        <v/>
      </c>
      <c r="R97" s="275" t="str">
        <f>IF(N97="","",VLOOKUP(N97,'G-7 WaterC'' Data'!$B$2:$G$8,2,FALSE))</f>
        <v/>
      </c>
      <c r="S97" s="276" t="str">
        <f>IFERROR(VLOOKUP(R97,'G-7 WaterC'' Data'!$C$4:$D$8,2,FALSE),"")</f>
        <v/>
      </c>
      <c r="T97" s="101"/>
      <c r="U97" s="276" t="str">
        <f>IFERROR(INDEX('G-7 WaterC'' Data'!$H$4:$L$8,MATCH(N97,'G-7 WaterC'' Data'!$B$4:$B$8,0),MATCH(T97,'G-7 WaterC'' Data'!$H$3:$L$3,0)),"")</f>
        <v/>
      </c>
      <c r="V97" s="101"/>
      <c r="W97" s="283" t="str">
        <f>IF(V97="","",IF(VLOOKUP(V97,'G-7 WaterC'' Data'!$AK$4:$AM$6,2,FALSE)=0,"Spatial Data Missing ⚠",VLOOKUP(V97,'G-7 WaterC'' Data'!$AK$4:$AM$6,2,FALSE)))</f>
        <v/>
      </c>
      <c r="X97" s="276" t="str">
        <f>IF(V97="","",IF(VLOOKUP(V97,'G-7 WaterC'' Data'!$AK$4:$AM$6,3,FALSE)=0,"Spatial Data Missing ⚠",VLOOKUP(V97,'G-7 WaterC'' Data'!$AK$4:$AM$6,3,FALSE)))</f>
        <v/>
      </c>
      <c r="Y97" s="275" t="str">
        <f>IFERROR(IF(OR(LEFT(P97,5)="Error",LEFT(O97,5)="Error"),"Check Data ⚠",IF(F97&lt;S97,'G-7 WaterC'' Data'!$R$3,INDEX('G-7 WaterC'' Data'!$U$5:$Y$9,MATCH(G97,'G-7 WaterC'' Data'!$T$5:$T$9,0),MATCH(T97,'G-7 WaterC'' Data'!$U$4:$Y$4,0)))),"")</f>
        <v/>
      </c>
      <c r="Z97" s="133"/>
      <c r="AA97" s="133"/>
      <c r="AB97" s="283" t="str">
        <f t="shared" si="13"/>
        <v/>
      </c>
      <c r="AC97" s="296" t="str">
        <f t="shared" si="14"/>
        <v/>
      </c>
      <c r="AD97" s="334" t="str">
        <f>IFERROR(IF(AC97="Check Data ⚠","Check Data ⚠",VLOOKUP(AC97,'G-4 Temporal multipliers'!$A$4:$C$37,3,FALSE)),"")</f>
        <v/>
      </c>
      <c r="AE97" s="275" t="str">
        <f>IF(N97="","",VLOOKUP(N97,'G-7 WaterC'' Data'!$B$4:$G$8,5,FALSE))</f>
        <v/>
      </c>
      <c r="AF97" s="283" t="str">
        <f t="shared" si="15"/>
        <v/>
      </c>
      <c r="AG97" s="314" t="str">
        <f t="shared" si="16"/>
        <v/>
      </c>
      <c r="AH97" s="276" t="str">
        <f t="shared" si="10"/>
        <v/>
      </c>
      <c r="AI97" s="105"/>
      <c r="AJ97" s="276" t="str">
        <f>IF(AI97="","",IF(AND(AI97="N/A - Culvert",N97&lt;&gt;"Culvert"),"Not possible ▲",IF(VLOOKUP(AI97,'G-7 WaterC'' Data'!$AA$4:$AB$7,2,FALSE)=0,"Spatial Data Missing ⚠",VLOOKUP(AI97,'G-7 WaterC'' Data'!$AA$4:$AB$7,2,FALSE))))</f>
        <v/>
      </c>
      <c r="AK97" s="106"/>
      <c r="AL97" s="276" t="str">
        <f>IF(AK97="","",IF(AND(AK97="N/A - Culvert",N97&lt;&gt;"Culvert"),"Not possible ▲",IF(VLOOKUP(AK97,'G-7 WaterC'' Data'!$AD$4:$AE$14,2,FALSE)=0,"Spatial Data Missing ⚠",VLOOKUP(AK97,'G-7 WaterC'' Data'!$AD$4:$AE$14,2,FALSE))))</f>
        <v/>
      </c>
      <c r="AM97" s="317" t="str">
        <f t="shared" si="17"/>
        <v/>
      </c>
      <c r="AN97" s="101"/>
      <c r="AO97" s="115"/>
      <c r="AP97" s="104"/>
      <c r="AS97" s="30" t="str">
        <f>IF(B97="","",IF(ISNA(VLOOKUP($B97,'C-1 On-Site WaterC'' Baseline'!$C$8:$AD$257,17,FALSE)),"",(VLOOKUP($B97,'C-1 On-Site WaterC'' Baseline'!$C$8:$AD$257,17,FALSE))))</f>
        <v/>
      </c>
      <c r="AT97" s="30" t="str">
        <f>IF(B97="","",VLOOKUP($B97,'C-1 On-Site WaterC'' Baseline'!$C$9:$Z$257,12,FALSE))</f>
        <v/>
      </c>
      <c r="AU97" s="30" t="str">
        <f>IF(B97="","",VLOOKUP($B97,'C-1 On-Site WaterC'' Baseline'!$C$9:$Z$257,14,FALSE))</f>
        <v/>
      </c>
      <c r="AV97" s="30" t="str">
        <f>IFERROR(INDEX('G-7 WaterC'' Data'!$AZ$3:$AZ$7,MATCH(N97,'G-7 WaterC'' Data'!$AY$3:$AY$7,0)),"")</f>
        <v/>
      </c>
      <c r="AX97" s="30" t="str">
        <f>IF(B97="","",VLOOKUP($B97,'C-1 On-Site WaterC'' Baseline'!$C$9:$Y$257,22,FALSE))</f>
        <v/>
      </c>
      <c r="AY97" s="30" t="str">
        <f t="shared" si="18"/>
        <v/>
      </c>
      <c r="AZ97" s="30" t="str">
        <f>IF(B97="","",VLOOKUP($B97,'C-1 On-Site WaterC'' Baseline'!$C$9:$Y$257,21,FALSE))</f>
        <v/>
      </c>
      <c r="BA97" s="30" t="str">
        <f>IF(B97="","",VLOOKUP($B97,'C-1 On-Site WaterC'' Baseline'!$C$9:$Y$257,19,FALSE))</f>
        <v/>
      </c>
      <c r="BD97" s="30" t="str">
        <f t="shared" si="19"/>
        <v>No</v>
      </c>
    </row>
    <row r="98" spans="2:56" ht="14">
      <c r="B98" s="305" t="str">
        <f>'C-1 On-Site WaterC'' Baseline'!AP96</f>
        <v/>
      </c>
      <c r="C98" s="295" t="str">
        <f>IF(B98="","",VLOOKUP($B98,'C-1 On-Site WaterC'' Baseline'!$C$9:$R$257,2,FALSE))</f>
        <v/>
      </c>
      <c r="D98" s="295" t="str">
        <f>IF(C98="","",VLOOKUP($B98,'C-1 On-Site WaterC'' Baseline'!$C$9:$R$257,3,FALSE))</f>
        <v/>
      </c>
      <c r="E98" s="295" t="str">
        <f>IF(D98="","",VLOOKUP($B98,'C-1 On-Site WaterC'' Baseline'!$C$9:$R$257,4,FALSE))</f>
        <v/>
      </c>
      <c r="F98" s="295" t="str">
        <f>IF(E98="","",VLOOKUP($B98,'C-1 On-Site WaterC'' Baseline'!$C$9:$R$257,5,FALSE))</f>
        <v/>
      </c>
      <c r="G98" s="295" t="str">
        <f>IF(F98="","",VLOOKUP($B98,'C-1 On-Site WaterC'' Baseline'!$C$9:$R$257,6,FALSE))</f>
        <v/>
      </c>
      <c r="H98" s="295" t="str">
        <f>IF(G98="","",VLOOKUP($B98,'C-1 On-Site WaterC'' Baseline'!$C$9:$R$257,7,FALSE))</f>
        <v/>
      </c>
      <c r="I98" s="295" t="str">
        <f>IF(H98="","",VLOOKUP($B98,'C-1 On-Site WaterC'' Baseline'!$C$9:$R$257,8,FALSE))</f>
        <v/>
      </c>
      <c r="J98" s="295" t="str">
        <f>IF(I98="","",VLOOKUP($B98,'C-1 On-Site WaterC'' Baseline'!$C$9:$R$257,9,FALSE))</f>
        <v/>
      </c>
      <c r="K98" s="295" t="str">
        <f>IF(J98="","",VLOOKUP($B98,'C-1 On-Site WaterC'' Baseline'!$C$9:$R$257,10,FALSE))</f>
        <v/>
      </c>
      <c r="L98" s="295" t="str">
        <f>IF(B98="","",VLOOKUP($B98,'C-1 On-Site WaterC'' Baseline'!$C$9:$R$257,15,FALSE))</f>
        <v/>
      </c>
      <c r="M98" s="299" t="str">
        <f>IF(L98="","",VLOOKUP($B98,'C-1 On-Site WaterC'' Baseline'!$C$9:$R$257,16,FALSE))</f>
        <v/>
      </c>
      <c r="N98" s="245"/>
      <c r="O98" s="275" t="str">
        <f t="shared" si="11"/>
        <v/>
      </c>
      <c r="P98" s="276" t="str">
        <f t="shared" si="12"/>
        <v/>
      </c>
      <c r="Q98" s="336" t="str">
        <f>IF(N98="","",VLOOKUP(B98,'C-1 On-Site WaterC'' Baseline'!$C$10:$AC$257,20,FALSE))</f>
        <v/>
      </c>
      <c r="R98" s="275" t="str">
        <f>IF(N98="","",VLOOKUP(N98,'G-7 WaterC'' Data'!$B$2:$G$8,2,FALSE))</f>
        <v/>
      </c>
      <c r="S98" s="276" t="str">
        <f>IFERROR(VLOOKUP(R98,'G-7 WaterC'' Data'!$C$4:$D$8,2,FALSE),"")</f>
        <v/>
      </c>
      <c r="T98" s="101"/>
      <c r="U98" s="276" t="str">
        <f>IFERROR(INDEX('G-7 WaterC'' Data'!$H$4:$L$8,MATCH(N98,'G-7 WaterC'' Data'!$B$4:$B$8,0),MATCH(T98,'G-7 WaterC'' Data'!$H$3:$L$3,0)),"")</f>
        <v/>
      </c>
      <c r="V98" s="101"/>
      <c r="W98" s="283" t="str">
        <f>IF(V98="","",IF(VLOOKUP(V98,'G-7 WaterC'' Data'!$AK$4:$AM$6,2,FALSE)=0,"Spatial Data Missing ⚠",VLOOKUP(V98,'G-7 WaterC'' Data'!$AK$4:$AM$6,2,FALSE)))</f>
        <v/>
      </c>
      <c r="X98" s="276" t="str">
        <f>IF(V98="","",IF(VLOOKUP(V98,'G-7 WaterC'' Data'!$AK$4:$AM$6,3,FALSE)=0,"Spatial Data Missing ⚠",VLOOKUP(V98,'G-7 WaterC'' Data'!$AK$4:$AM$6,3,FALSE)))</f>
        <v/>
      </c>
      <c r="Y98" s="275" t="str">
        <f>IFERROR(IF(OR(LEFT(P98,5)="Error",LEFT(O98,5)="Error"),"Check Data ⚠",IF(F98&lt;S98,'G-7 WaterC'' Data'!$R$3,INDEX('G-7 WaterC'' Data'!$U$5:$Y$9,MATCH(G98,'G-7 WaterC'' Data'!$T$5:$T$9,0),MATCH(T98,'G-7 WaterC'' Data'!$U$4:$Y$4,0)))),"")</f>
        <v/>
      </c>
      <c r="Z98" s="133"/>
      <c r="AA98" s="133"/>
      <c r="AB98" s="283" t="str">
        <f t="shared" si="13"/>
        <v/>
      </c>
      <c r="AC98" s="296" t="str">
        <f t="shared" si="14"/>
        <v/>
      </c>
      <c r="AD98" s="334" t="str">
        <f>IFERROR(IF(AC98="Check Data ⚠","Check Data ⚠",VLOOKUP(AC98,'G-4 Temporal multipliers'!$A$4:$C$37,3,FALSE)),"")</f>
        <v/>
      </c>
      <c r="AE98" s="275" t="str">
        <f>IF(N98="","",VLOOKUP(N98,'G-7 WaterC'' Data'!$B$4:$G$8,5,FALSE))</f>
        <v/>
      </c>
      <c r="AF98" s="283" t="str">
        <f t="shared" si="15"/>
        <v/>
      </c>
      <c r="AG98" s="314" t="str">
        <f t="shared" si="16"/>
        <v/>
      </c>
      <c r="AH98" s="276" t="str">
        <f t="shared" si="10"/>
        <v/>
      </c>
      <c r="AI98" s="105"/>
      <c r="AJ98" s="276" t="str">
        <f>IF(AI98="","",IF(AND(AI98="N/A - Culvert",N98&lt;&gt;"Culvert"),"Not possible ▲",IF(VLOOKUP(AI98,'G-7 WaterC'' Data'!$AA$4:$AB$7,2,FALSE)=0,"Spatial Data Missing ⚠",VLOOKUP(AI98,'G-7 WaterC'' Data'!$AA$4:$AB$7,2,FALSE))))</f>
        <v/>
      </c>
      <c r="AK98" s="106"/>
      <c r="AL98" s="276" t="str">
        <f>IF(AK98="","",IF(AND(AK98="N/A - Culvert",N98&lt;&gt;"Culvert"),"Not possible ▲",IF(VLOOKUP(AK98,'G-7 WaterC'' Data'!$AD$4:$AE$14,2,FALSE)=0,"Spatial Data Missing ⚠",VLOOKUP(AK98,'G-7 WaterC'' Data'!$AD$4:$AE$14,2,FALSE))))</f>
        <v/>
      </c>
      <c r="AM98" s="317" t="str">
        <f t="shared" si="17"/>
        <v/>
      </c>
      <c r="AN98" s="101"/>
      <c r="AO98" s="115"/>
      <c r="AP98" s="104"/>
      <c r="AS98" s="30" t="str">
        <f>IF(B98="","",IF(ISNA(VLOOKUP($B98,'C-1 On-Site WaterC'' Baseline'!$C$8:$AD$257,17,FALSE)),"",(VLOOKUP($B98,'C-1 On-Site WaterC'' Baseline'!$C$8:$AD$257,17,FALSE))))</f>
        <v/>
      </c>
      <c r="AT98" s="30" t="str">
        <f>IF(B98="","",VLOOKUP($B98,'C-1 On-Site WaterC'' Baseline'!$C$9:$Z$257,12,FALSE))</f>
        <v/>
      </c>
      <c r="AU98" s="30" t="str">
        <f>IF(B98="","",VLOOKUP($B98,'C-1 On-Site WaterC'' Baseline'!$C$9:$Z$257,14,FALSE))</f>
        <v/>
      </c>
      <c r="AV98" s="30" t="str">
        <f>IFERROR(INDEX('G-7 WaterC'' Data'!$AZ$3:$AZ$7,MATCH(N98,'G-7 WaterC'' Data'!$AY$3:$AY$7,0)),"")</f>
        <v/>
      </c>
      <c r="AX98" s="30" t="str">
        <f>IF(B98="","",VLOOKUP($B98,'C-1 On-Site WaterC'' Baseline'!$C$9:$Y$257,22,FALSE))</f>
        <v/>
      </c>
      <c r="AY98" s="30" t="str">
        <f t="shared" si="18"/>
        <v/>
      </c>
      <c r="AZ98" s="30" t="str">
        <f>IF(B98="","",VLOOKUP($B98,'C-1 On-Site WaterC'' Baseline'!$C$9:$Y$257,21,FALSE))</f>
        <v/>
      </c>
      <c r="BA98" s="30" t="str">
        <f>IF(B98="","",VLOOKUP($B98,'C-1 On-Site WaterC'' Baseline'!$C$9:$Y$257,19,FALSE))</f>
        <v/>
      </c>
      <c r="BD98" s="30" t="str">
        <f t="shared" si="19"/>
        <v>No</v>
      </c>
    </row>
    <row r="99" spans="2:56" ht="14">
      <c r="B99" s="305" t="str">
        <f>'C-1 On-Site WaterC'' Baseline'!AP97</f>
        <v/>
      </c>
      <c r="C99" s="295" t="str">
        <f>IF(B99="","",VLOOKUP($B99,'C-1 On-Site WaterC'' Baseline'!$C$9:$R$257,2,FALSE))</f>
        <v/>
      </c>
      <c r="D99" s="295" t="str">
        <f>IF(C99="","",VLOOKUP($B99,'C-1 On-Site WaterC'' Baseline'!$C$9:$R$257,3,FALSE))</f>
        <v/>
      </c>
      <c r="E99" s="295" t="str">
        <f>IF(D99="","",VLOOKUP($B99,'C-1 On-Site WaterC'' Baseline'!$C$9:$R$257,4,FALSE))</f>
        <v/>
      </c>
      <c r="F99" s="295" t="str">
        <f>IF(E99="","",VLOOKUP($B99,'C-1 On-Site WaterC'' Baseline'!$C$9:$R$257,5,FALSE))</f>
        <v/>
      </c>
      <c r="G99" s="295" t="str">
        <f>IF(F99="","",VLOOKUP($B99,'C-1 On-Site WaterC'' Baseline'!$C$9:$R$257,6,FALSE))</f>
        <v/>
      </c>
      <c r="H99" s="295" t="str">
        <f>IF(G99="","",VLOOKUP($B99,'C-1 On-Site WaterC'' Baseline'!$C$9:$R$257,7,FALSE))</f>
        <v/>
      </c>
      <c r="I99" s="295" t="str">
        <f>IF(H99="","",VLOOKUP($B99,'C-1 On-Site WaterC'' Baseline'!$C$9:$R$257,8,FALSE))</f>
        <v/>
      </c>
      <c r="J99" s="295" t="str">
        <f>IF(I99="","",VLOOKUP($B99,'C-1 On-Site WaterC'' Baseline'!$C$9:$R$257,9,FALSE))</f>
        <v/>
      </c>
      <c r="K99" s="295" t="str">
        <f>IF(J99="","",VLOOKUP($B99,'C-1 On-Site WaterC'' Baseline'!$C$9:$R$257,10,FALSE))</f>
        <v/>
      </c>
      <c r="L99" s="295" t="str">
        <f>IF(B99="","",VLOOKUP($B99,'C-1 On-Site WaterC'' Baseline'!$C$9:$R$257,15,FALSE))</f>
        <v/>
      </c>
      <c r="M99" s="299" t="str">
        <f>IF(L99="","",VLOOKUP($B99,'C-1 On-Site WaterC'' Baseline'!$C$9:$R$257,16,FALSE))</f>
        <v/>
      </c>
      <c r="N99" s="245"/>
      <c r="O99" s="275" t="str">
        <f t="shared" si="11"/>
        <v/>
      </c>
      <c r="P99" s="276" t="str">
        <f t="shared" si="12"/>
        <v/>
      </c>
      <c r="Q99" s="336" t="str">
        <f>IF(N99="","",VLOOKUP(B99,'C-1 On-Site WaterC'' Baseline'!$C$10:$AC$257,20,FALSE))</f>
        <v/>
      </c>
      <c r="R99" s="275" t="str">
        <f>IF(N99="","",VLOOKUP(N99,'G-7 WaterC'' Data'!$B$2:$G$8,2,FALSE))</f>
        <v/>
      </c>
      <c r="S99" s="276" t="str">
        <f>IFERROR(VLOOKUP(R99,'G-7 WaterC'' Data'!$C$4:$D$8,2,FALSE),"")</f>
        <v/>
      </c>
      <c r="T99" s="101"/>
      <c r="U99" s="276" t="str">
        <f>IFERROR(INDEX('G-7 WaterC'' Data'!$H$4:$L$8,MATCH(N99,'G-7 WaterC'' Data'!$B$4:$B$8,0),MATCH(T99,'G-7 WaterC'' Data'!$H$3:$L$3,0)),"")</f>
        <v/>
      </c>
      <c r="V99" s="101"/>
      <c r="W99" s="283" t="str">
        <f>IF(V99="","",IF(VLOOKUP(V99,'G-7 WaterC'' Data'!$AK$4:$AM$6,2,FALSE)=0,"Spatial Data Missing ⚠",VLOOKUP(V99,'G-7 WaterC'' Data'!$AK$4:$AM$6,2,FALSE)))</f>
        <v/>
      </c>
      <c r="X99" s="276" t="str">
        <f>IF(V99="","",IF(VLOOKUP(V99,'G-7 WaterC'' Data'!$AK$4:$AM$6,3,FALSE)=0,"Spatial Data Missing ⚠",VLOOKUP(V99,'G-7 WaterC'' Data'!$AK$4:$AM$6,3,FALSE)))</f>
        <v/>
      </c>
      <c r="Y99" s="275" t="str">
        <f>IFERROR(IF(OR(LEFT(P99,5)="Error",LEFT(O99,5)="Error"),"Check Data ⚠",IF(F99&lt;S99,'G-7 WaterC'' Data'!$R$3,INDEX('G-7 WaterC'' Data'!$U$5:$Y$9,MATCH(G99,'G-7 WaterC'' Data'!$T$5:$T$9,0),MATCH(T99,'G-7 WaterC'' Data'!$U$4:$Y$4,0)))),"")</f>
        <v/>
      </c>
      <c r="Z99" s="133"/>
      <c r="AA99" s="133"/>
      <c r="AB99" s="283" t="str">
        <f t="shared" si="13"/>
        <v/>
      </c>
      <c r="AC99" s="296" t="str">
        <f t="shared" si="14"/>
        <v/>
      </c>
      <c r="AD99" s="334" t="str">
        <f>IFERROR(IF(AC99="Check Data ⚠","Check Data ⚠",VLOOKUP(AC99,'G-4 Temporal multipliers'!$A$4:$C$37,3,FALSE)),"")</f>
        <v/>
      </c>
      <c r="AE99" s="275" t="str">
        <f>IF(N99="","",VLOOKUP(N99,'G-7 WaterC'' Data'!$B$4:$G$8,5,FALSE))</f>
        <v/>
      </c>
      <c r="AF99" s="283" t="str">
        <f t="shared" si="15"/>
        <v/>
      </c>
      <c r="AG99" s="314" t="str">
        <f t="shared" si="16"/>
        <v/>
      </c>
      <c r="AH99" s="276" t="str">
        <f t="shared" si="10"/>
        <v/>
      </c>
      <c r="AI99" s="105"/>
      <c r="AJ99" s="276" t="str">
        <f>IF(AI99="","",IF(AND(AI99="N/A - Culvert",N99&lt;&gt;"Culvert"),"Not possible ▲",IF(VLOOKUP(AI99,'G-7 WaterC'' Data'!$AA$4:$AB$7,2,FALSE)=0,"Spatial Data Missing ⚠",VLOOKUP(AI99,'G-7 WaterC'' Data'!$AA$4:$AB$7,2,FALSE))))</f>
        <v/>
      </c>
      <c r="AK99" s="106"/>
      <c r="AL99" s="276" t="str">
        <f>IF(AK99="","",IF(AND(AK99="N/A - Culvert",N99&lt;&gt;"Culvert"),"Not possible ▲",IF(VLOOKUP(AK99,'G-7 WaterC'' Data'!$AD$4:$AE$14,2,FALSE)=0,"Spatial Data Missing ⚠",VLOOKUP(AK99,'G-7 WaterC'' Data'!$AD$4:$AE$14,2,FALSE))))</f>
        <v/>
      </c>
      <c r="AM99" s="317" t="str">
        <f t="shared" si="17"/>
        <v/>
      </c>
      <c r="AN99" s="101"/>
      <c r="AO99" s="115"/>
      <c r="AP99" s="104"/>
      <c r="AS99" s="30" t="str">
        <f>IF(B99="","",IF(ISNA(VLOOKUP($B99,'C-1 On-Site WaterC'' Baseline'!$C$8:$AD$257,17,FALSE)),"",(VLOOKUP($B99,'C-1 On-Site WaterC'' Baseline'!$C$8:$AD$257,17,FALSE))))</f>
        <v/>
      </c>
      <c r="AT99" s="30" t="str">
        <f>IF(B99="","",VLOOKUP($B99,'C-1 On-Site WaterC'' Baseline'!$C$9:$Z$257,12,FALSE))</f>
        <v/>
      </c>
      <c r="AU99" s="30" t="str">
        <f>IF(B99="","",VLOOKUP($B99,'C-1 On-Site WaterC'' Baseline'!$C$9:$Z$257,14,FALSE))</f>
        <v/>
      </c>
      <c r="AV99" s="30" t="str">
        <f>IFERROR(INDEX('G-7 WaterC'' Data'!$AZ$3:$AZ$7,MATCH(N99,'G-7 WaterC'' Data'!$AY$3:$AY$7,0)),"")</f>
        <v/>
      </c>
      <c r="AX99" s="30" t="str">
        <f>IF(B99="","",VLOOKUP($B99,'C-1 On-Site WaterC'' Baseline'!$C$9:$Y$257,22,FALSE))</f>
        <v/>
      </c>
      <c r="AY99" s="30" t="str">
        <f t="shared" si="18"/>
        <v/>
      </c>
      <c r="AZ99" s="30" t="str">
        <f>IF(B99="","",VLOOKUP($B99,'C-1 On-Site WaterC'' Baseline'!$C$9:$Y$257,21,FALSE))</f>
        <v/>
      </c>
      <c r="BA99" s="30" t="str">
        <f>IF(B99="","",VLOOKUP($B99,'C-1 On-Site WaterC'' Baseline'!$C$9:$Y$257,19,FALSE))</f>
        <v/>
      </c>
      <c r="BD99" s="30" t="str">
        <f t="shared" si="19"/>
        <v>No</v>
      </c>
    </row>
    <row r="100" spans="2:56" ht="14">
      <c r="B100" s="305" t="str">
        <f>'C-1 On-Site WaterC'' Baseline'!AP98</f>
        <v/>
      </c>
      <c r="C100" s="295" t="str">
        <f>IF(B100="","",VLOOKUP($B100,'C-1 On-Site WaterC'' Baseline'!$C$9:$R$257,2,FALSE))</f>
        <v/>
      </c>
      <c r="D100" s="295" t="str">
        <f>IF(C100="","",VLOOKUP($B100,'C-1 On-Site WaterC'' Baseline'!$C$9:$R$257,3,FALSE))</f>
        <v/>
      </c>
      <c r="E100" s="295" t="str">
        <f>IF(D100="","",VLOOKUP($B100,'C-1 On-Site WaterC'' Baseline'!$C$9:$R$257,4,FALSE))</f>
        <v/>
      </c>
      <c r="F100" s="295" t="str">
        <f>IF(E100="","",VLOOKUP($B100,'C-1 On-Site WaterC'' Baseline'!$C$9:$R$257,5,FALSE))</f>
        <v/>
      </c>
      <c r="G100" s="295" t="str">
        <f>IF(F100="","",VLOOKUP($B100,'C-1 On-Site WaterC'' Baseline'!$C$9:$R$257,6,FALSE))</f>
        <v/>
      </c>
      <c r="H100" s="295" t="str">
        <f>IF(G100="","",VLOOKUP($B100,'C-1 On-Site WaterC'' Baseline'!$C$9:$R$257,7,FALSE))</f>
        <v/>
      </c>
      <c r="I100" s="295" t="str">
        <f>IF(H100="","",VLOOKUP($B100,'C-1 On-Site WaterC'' Baseline'!$C$9:$R$257,8,FALSE))</f>
        <v/>
      </c>
      <c r="J100" s="295" t="str">
        <f>IF(I100="","",VLOOKUP($B100,'C-1 On-Site WaterC'' Baseline'!$C$9:$R$257,9,FALSE))</f>
        <v/>
      </c>
      <c r="K100" s="295" t="str">
        <f>IF(J100="","",VLOOKUP($B100,'C-1 On-Site WaterC'' Baseline'!$C$9:$R$257,10,FALSE))</f>
        <v/>
      </c>
      <c r="L100" s="295" t="str">
        <f>IF(B100="","",VLOOKUP($B100,'C-1 On-Site WaterC'' Baseline'!$C$9:$R$257,15,FALSE))</f>
        <v/>
      </c>
      <c r="M100" s="299" t="str">
        <f>IF(L100="","",VLOOKUP($B100,'C-1 On-Site WaterC'' Baseline'!$C$9:$R$257,16,FALSE))</f>
        <v/>
      </c>
      <c r="N100" s="245"/>
      <c r="O100" s="275" t="str">
        <f t="shared" si="11"/>
        <v/>
      </c>
      <c r="P100" s="276" t="str">
        <f t="shared" si="12"/>
        <v/>
      </c>
      <c r="Q100" s="336" t="str">
        <f>IF(N100="","",VLOOKUP(B100,'C-1 On-Site WaterC'' Baseline'!$C$10:$AC$257,20,FALSE))</f>
        <v/>
      </c>
      <c r="R100" s="275" t="str">
        <f>IF(N100="","",VLOOKUP(N100,'G-7 WaterC'' Data'!$B$2:$G$8,2,FALSE))</f>
        <v/>
      </c>
      <c r="S100" s="276" t="str">
        <f>IFERROR(VLOOKUP(R100,'G-7 WaterC'' Data'!$C$4:$D$8,2,FALSE),"")</f>
        <v/>
      </c>
      <c r="T100" s="101"/>
      <c r="U100" s="276" t="str">
        <f>IFERROR(INDEX('G-7 WaterC'' Data'!$H$4:$L$8,MATCH(N100,'G-7 WaterC'' Data'!$B$4:$B$8,0),MATCH(T100,'G-7 WaterC'' Data'!$H$3:$L$3,0)),"")</f>
        <v/>
      </c>
      <c r="V100" s="101"/>
      <c r="W100" s="283" t="str">
        <f>IF(V100="","",IF(VLOOKUP(V100,'G-7 WaterC'' Data'!$AK$4:$AM$6,2,FALSE)=0,"Spatial Data Missing ⚠",VLOOKUP(V100,'G-7 WaterC'' Data'!$AK$4:$AM$6,2,FALSE)))</f>
        <v/>
      </c>
      <c r="X100" s="276" t="str">
        <f>IF(V100="","",IF(VLOOKUP(V100,'G-7 WaterC'' Data'!$AK$4:$AM$6,3,FALSE)=0,"Spatial Data Missing ⚠",VLOOKUP(V100,'G-7 WaterC'' Data'!$AK$4:$AM$6,3,FALSE)))</f>
        <v/>
      </c>
      <c r="Y100" s="275" t="str">
        <f>IFERROR(IF(OR(LEFT(P100,5)="Error",LEFT(O100,5)="Error"),"Check Data ⚠",IF(F100&lt;S100,'G-7 WaterC'' Data'!$R$3,INDEX('G-7 WaterC'' Data'!$U$5:$Y$9,MATCH(G100,'G-7 WaterC'' Data'!$T$5:$T$9,0),MATCH(T100,'G-7 WaterC'' Data'!$U$4:$Y$4,0)))),"")</f>
        <v/>
      </c>
      <c r="Z100" s="133"/>
      <c r="AA100" s="133"/>
      <c r="AB100" s="283" t="str">
        <f t="shared" si="13"/>
        <v/>
      </c>
      <c r="AC100" s="296" t="str">
        <f t="shared" si="14"/>
        <v/>
      </c>
      <c r="AD100" s="334" t="str">
        <f>IFERROR(IF(AC100="Check Data ⚠","Check Data ⚠",VLOOKUP(AC100,'G-4 Temporal multipliers'!$A$4:$C$37,3,FALSE)),"")</f>
        <v/>
      </c>
      <c r="AE100" s="275" t="str">
        <f>IF(N100="","",VLOOKUP(N100,'G-7 WaterC'' Data'!$B$4:$G$8,5,FALSE))</f>
        <v/>
      </c>
      <c r="AF100" s="283" t="str">
        <f t="shared" si="15"/>
        <v/>
      </c>
      <c r="AG100" s="314" t="str">
        <f t="shared" si="16"/>
        <v/>
      </c>
      <c r="AH100" s="276" t="str">
        <f t="shared" si="10"/>
        <v/>
      </c>
      <c r="AI100" s="105"/>
      <c r="AJ100" s="276" t="str">
        <f>IF(AI100="","",IF(AND(AI100="N/A - Culvert",N100&lt;&gt;"Culvert"),"Not possible ▲",IF(VLOOKUP(AI100,'G-7 WaterC'' Data'!$AA$4:$AB$7,2,FALSE)=0,"Spatial Data Missing ⚠",VLOOKUP(AI100,'G-7 WaterC'' Data'!$AA$4:$AB$7,2,FALSE))))</f>
        <v/>
      </c>
      <c r="AK100" s="106"/>
      <c r="AL100" s="276" t="str">
        <f>IF(AK100="","",IF(AND(AK100="N/A - Culvert",N100&lt;&gt;"Culvert"),"Not possible ▲",IF(VLOOKUP(AK100,'G-7 WaterC'' Data'!$AD$4:$AE$14,2,FALSE)=0,"Spatial Data Missing ⚠",VLOOKUP(AK100,'G-7 WaterC'' Data'!$AD$4:$AE$14,2,FALSE))))</f>
        <v/>
      </c>
      <c r="AM100" s="317" t="str">
        <f t="shared" si="17"/>
        <v/>
      </c>
      <c r="AN100" s="101"/>
      <c r="AO100" s="115"/>
      <c r="AP100" s="104"/>
      <c r="AS100" s="30" t="str">
        <f>IF(B100="","",IF(ISNA(VLOOKUP($B100,'C-1 On-Site WaterC'' Baseline'!$C$8:$AD$257,17,FALSE)),"",(VLOOKUP($B100,'C-1 On-Site WaterC'' Baseline'!$C$8:$AD$257,17,FALSE))))</f>
        <v/>
      </c>
      <c r="AT100" s="30" t="str">
        <f>IF(B100="","",VLOOKUP($B100,'C-1 On-Site WaterC'' Baseline'!$C$9:$Z$257,12,FALSE))</f>
        <v/>
      </c>
      <c r="AU100" s="30" t="str">
        <f>IF(B100="","",VLOOKUP($B100,'C-1 On-Site WaterC'' Baseline'!$C$9:$Z$257,14,FALSE))</f>
        <v/>
      </c>
      <c r="AV100" s="30" t="str">
        <f>IFERROR(INDEX('G-7 WaterC'' Data'!$AZ$3:$AZ$7,MATCH(N100,'G-7 WaterC'' Data'!$AY$3:$AY$7,0)),"")</f>
        <v/>
      </c>
      <c r="AX100" s="30" t="str">
        <f>IF(B100="","",VLOOKUP($B100,'C-1 On-Site WaterC'' Baseline'!$C$9:$Y$257,22,FALSE))</f>
        <v/>
      </c>
      <c r="AY100" s="30" t="str">
        <f t="shared" si="18"/>
        <v/>
      </c>
      <c r="AZ100" s="30" t="str">
        <f>IF(B100="","",VLOOKUP($B100,'C-1 On-Site WaterC'' Baseline'!$C$9:$Y$257,21,FALSE))</f>
        <v/>
      </c>
      <c r="BA100" s="30" t="str">
        <f>IF(B100="","",VLOOKUP($B100,'C-1 On-Site WaterC'' Baseline'!$C$9:$Y$257,19,FALSE))</f>
        <v/>
      </c>
      <c r="BD100" s="30" t="str">
        <f t="shared" si="19"/>
        <v>No</v>
      </c>
    </row>
    <row r="101" spans="2:56" ht="14">
      <c r="B101" s="305" t="str">
        <f>'C-1 On-Site WaterC'' Baseline'!AP99</f>
        <v/>
      </c>
      <c r="C101" s="295" t="str">
        <f>IF(B101="","",VLOOKUP($B101,'C-1 On-Site WaterC'' Baseline'!$C$9:$R$257,2,FALSE))</f>
        <v/>
      </c>
      <c r="D101" s="295" t="str">
        <f>IF(C101="","",VLOOKUP($B101,'C-1 On-Site WaterC'' Baseline'!$C$9:$R$257,3,FALSE))</f>
        <v/>
      </c>
      <c r="E101" s="295" t="str">
        <f>IF(D101="","",VLOOKUP($B101,'C-1 On-Site WaterC'' Baseline'!$C$9:$R$257,4,FALSE))</f>
        <v/>
      </c>
      <c r="F101" s="295" t="str">
        <f>IF(E101="","",VLOOKUP($B101,'C-1 On-Site WaterC'' Baseline'!$C$9:$R$257,5,FALSE))</f>
        <v/>
      </c>
      <c r="G101" s="295" t="str">
        <f>IF(F101="","",VLOOKUP($B101,'C-1 On-Site WaterC'' Baseline'!$C$9:$R$257,6,FALSE))</f>
        <v/>
      </c>
      <c r="H101" s="295" t="str">
        <f>IF(G101="","",VLOOKUP($B101,'C-1 On-Site WaterC'' Baseline'!$C$9:$R$257,7,FALSE))</f>
        <v/>
      </c>
      <c r="I101" s="295" t="str">
        <f>IF(H101="","",VLOOKUP($B101,'C-1 On-Site WaterC'' Baseline'!$C$9:$R$257,8,FALSE))</f>
        <v/>
      </c>
      <c r="J101" s="295" t="str">
        <f>IF(I101="","",VLOOKUP($B101,'C-1 On-Site WaterC'' Baseline'!$C$9:$R$257,9,FALSE))</f>
        <v/>
      </c>
      <c r="K101" s="295" t="str">
        <f>IF(J101="","",VLOOKUP($B101,'C-1 On-Site WaterC'' Baseline'!$C$9:$R$257,10,FALSE))</f>
        <v/>
      </c>
      <c r="L101" s="295" t="str">
        <f>IF(B101="","",VLOOKUP($B101,'C-1 On-Site WaterC'' Baseline'!$C$9:$R$257,15,FALSE))</f>
        <v/>
      </c>
      <c r="M101" s="299" t="str">
        <f>IF(L101="","",VLOOKUP($B101,'C-1 On-Site WaterC'' Baseline'!$C$9:$R$257,16,FALSE))</f>
        <v/>
      </c>
      <c r="N101" s="245"/>
      <c r="O101" s="275" t="str">
        <f t="shared" si="11"/>
        <v/>
      </c>
      <c r="P101" s="276" t="str">
        <f t="shared" si="12"/>
        <v/>
      </c>
      <c r="Q101" s="336" t="str">
        <f>IF(N101="","",VLOOKUP(B101,'C-1 On-Site WaterC'' Baseline'!$C$10:$AC$257,20,FALSE))</f>
        <v/>
      </c>
      <c r="R101" s="275" t="str">
        <f>IF(N101="","",VLOOKUP(N101,'G-7 WaterC'' Data'!$B$2:$G$8,2,FALSE))</f>
        <v/>
      </c>
      <c r="S101" s="276" t="str">
        <f>IFERROR(VLOOKUP(R101,'G-7 WaterC'' Data'!$C$4:$D$8,2,FALSE),"")</f>
        <v/>
      </c>
      <c r="T101" s="101"/>
      <c r="U101" s="276" t="str">
        <f>IFERROR(INDEX('G-7 WaterC'' Data'!$H$4:$L$8,MATCH(N101,'G-7 WaterC'' Data'!$B$4:$B$8,0),MATCH(T101,'G-7 WaterC'' Data'!$H$3:$L$3,0)),"")</f>
        <v/>
      </c>
      <c r="V101" s="101"/>
      <c r="W101" s="283" t="str">
        <f>IF(V101="","",IF(VLOOKUP(V101,'G-7 WaterC'' Data'!$AK$4:$AM$6,2,FALSE)=0,"Spatial Data Missing ⚠",VLOOKUP(V101,'G-7 WaterC'' Data'!$AK$4:$AM$6,2,FALSE)))</f>
        <v/>
      </c>
      <c r="X101" s="276" t="str">
        <f>IF(V101="","",IF(VLOOKUP(V101,'G-7 WaterC'' Data'!$AK$4:$AM$6,3,FALSE)=0,"Spatial Data Missing ⚠",VLOOKUP(V101,'G-7 WaterC'' Data'!$AK$4:$AM$6,3,FALSE)))</f>
        <v/>
      </c>
      <c r="Y101" s="275" t="str">
        <f>IFERROR(IF(OR(LEFT(P101,5)="Error",LEFT(O101,5)="Error"),"Check Data ⚠",IF(F101&lt;S101,'G-7 WaterC'' Data'!$R$3,INDEX('G-7 WaterC'' Data'!$U$5:$Y$9,MATCH(G101,'G-7 WaterC'' Data'!$T$5:$T$9,0),MATCH(T101,'G-7 WaterC'' Data'!$U$4:$Y$4,0)))),"")</f>
        <v/>
      </c>
      <c r="Z101" s="133"/>
      <c r="AA101" s="133"/>
      <c r="AB101" s="283" t="str">
        <f t="shared" si="13"/>
        <v/>
      </c>
      <c r="AC101" s="296" t="str">
        <f t="shared" si="14"/>
        <v/>
      </c>
      <c r="AD101" s="334" t="str">
        <f>IFERROR(IF(AC101="Check Data ⚠","Check Data ⚠",VLOOKUP(AC101,'G-4 Temporal multipliers'!$A$4:$C$37,3,FALSE)),"")</f>
        <v/>
      </c>
      <c r="AE101" s="275" t="str">
        <f>IF(N101="","",VLOOKUP(N101,'G-7 WaterC'' Data'!$B$4:$G$8,5,FALSE))</f>
        <v/>
      </c>
      <c r="AF101" s="283" t="str">
        <f t="shared" si="15"/>
        <v/>
      </c>
      <c r="AG101" s="314" t="str">
        <f t="shared" si="16"/>
        <v/>
      </c>
      <c r="AH101" s="276" t="str">
        <f t="shared" si="10"/>
        <v/>
      </c>
      <c r="AI101" s="105"/>
      <c r="AJ101" s="276" t="str">
        <f>IF(AI101="","",IF(AND(AI101="N/A - Culvert",N101&lt;&gt;"Culvert"),"Not possible ▲",IF(VLOOKUP(AI101,'G-7 WaterC'' Data'!$AA$4:$AB$7,2,FALSE)=0,"Spatial Data Missing ⚠",VLOOKUP(AI101,'G-7 WaterC'' Data'!$AA$4:$AB$7,2,FALSE))))</f>
        <v/>
      </c>
      <c r="AK101" s="106"/>
      <c r="AL101" s="276" t="str">
        <f>IF(AK101="","",IF(AND(AK101="N/A - Culvert",N101&lt;&gt;"Culvert"),"Not possible ▲",IF(VLOOKUP(AK101,'G-7 WaterC'' Data'!$AD$4:$AE$14,2,FALSE)=0,"Spatial Data Missing ⚠",VLOOKUP(AK101,'G-7 WaterC'' Data'!$AD$4:$AE$14,2,FALSE))))</f>
        <v/>
      </c>
      <c r="AM101" s="317" t="str">
        <f t="shared" si="17"/>
        <v/>
      </c>
      <c r="AN101" s="101"/>
      <c r="AO101" s="115"/>
      <c r="AP101" s="104"/>
      <c r="AS101" s="30" t="str">
        <f>IF(B101="","",IF(ISNA(VLOOKUP($B101,'C-1 On-Site WaterC'' Baseline'!$C$8:$AD$257,17,FALSE)),"",(VLOOKUP($B101,'C-1 On-Site WaterC'' Baseline'!$C$8:$AD$257,17,FALSE))))</f>
        <v/>
      </c>
      <c r="AT101" s="30" t="str">
        <f>IF(B101="","",VLOOKUP($B101,'C-1 On-Site WaterC'' Baseline'!$C$9:$Z$257,12,FALSE))</f>
        <v/>
      </c>
      <c r="AU101" s="30" t="str">
        <f>IF(B101="","",VLOOKUP($B101,'C-1 On-Site WaterC'' Baseline'!$C$9:$Z$257,14,FALSE))</f>
        <v/>
      </c>
      <c r="AV101" s="30" t="str">
        <f>IFERROR(INDEX('G-7 WaterC'' Data'!$AZ$3:$AZ$7,MATCH(N101,'G-7 WaterC'' Data'!$AY$3:$AY$7,0)),"")</f>
        <v/>
      </c>
      <c r="AX101" s="30" t="str">
        <f>IF(B101="","",VLOOKUP($B101,'C-1 On-Site WaterC'' Baseline'!$C$9:$Y$257,22,FALSE))</f>
        <v/>
      </c>
      <c r="AY101" s="30" t="str">
        <f t="shared" si="18"/>
        <v/>
      </c>
      <c r="AZ101" s="30" t="str">
        <f>IF(B101="","",VLOOKUP($B101,'C-1 On-Site WaterC'' Baseline'!$C$9:$Y$257,21,FALSE))</f>
        <v/>
      </c>
      <c r="BA101" s="30" t="str">
        <f>IF(B101="","",VLOOKUP($B101,'C-1 On-Site WaterC'' Baseline'!$C$9:$Y$257,19,FALSE))</f>
        <v/>
      </c>
      <c r="BD101" s="30" t="str">
        <f t="shared" si="19"/>
        <v>No</v>
      </c>
    </row>
    <row r="102" spans="2:56" ht="14">
      <c r="B102" s="305" t="str">
        <f>'C-1 On-Site WaterC'' Baseline'!AP100</f>
        <v/>
      </c>
      <c r="C102" s="295" t="str">
        <f>IF(B102="","",VLOOKUP($B102,'C-1 On-Site WaterC'' Baseline'!$C$9:$R$257,2,FALSE))</f>
        <v/>
      </c>
      <c r="D102" s="295" t="str">
        <f>IF(C102="","",VLOOKUP($B102,'C-1 On-Site WaterC'' Baseline'!$C$9:$R$257,3,FALSE))</f>
        <v/>
      </c>
      <c r="E102" s="295" t="str">
        <f>IF(D102="","",VLOOKUP($B102,'C-1 On-Site WaterC'' Baseline'!$C$9:$R$257,4,FALSE))</f>
        <v/>
      </c>
      <c r="F102" s="295" t="str">
        <f>IF(E102="","",VLOOKUP($B102,'C-1 On-Site WaterC'' Baseline'!$C$9:$R$257,5,FALSE))</f>
        <v/>
      </c>
      <c r="G102" s="295" t="str">
        <f>IF(F102="","",VLOOKUP($B102,'C-1 On-Site WaterC'' Baseline'!$C$9:$R$257,6,FALSE))</f>
        <v/>
      </c>
      <c r="H102" s="295" t="str">
        <f>IF(G102="","",VLOOKUP($B102,'C-1 On-Site WaterC'' Baseline'!$C$9:$R$257,7,FALSE))</f>
        <v/>
      </c>
      <c r="I102" s="295" t="str">
        <f>IF(H102="","",VLOOKUP($B102,'C-1 On-Site WaterC'' Baseline'!$C$9:$R$257,8,FALSE))</f>
        <v/>
      </c>
      <c r="J102" s="295" t="str">
        <f>IF(I102="","",VLOOKUP($B102,'C-1 On-Site WaterC'' Baseline'!$C$9:$R$257,9,FALSE))</f>
        <v/>
      </c>
      <c r="K102" s="295" t="str">
        <f>IF(J102="","",VLOOKUP($B102,'C-1 On-Site WaterC'' Baseline'!$C$9:$R$257,10,FALSE))</f>
        <v/>
      </c>
      <c r="L102" s="295" t="str">
        <f>IF(B102="","",VLOOKUP($B102,'C-1 On-Site WaterC'' Baseline'!$C$9:$R$257,15,FALSE))</f>
        <v/>
      </c>
      <c r="M102" s="299" t="str">
        <f>IF(L102="","",VLOOKUP($B102,'C-1 On-Site WaterC'' Baseline'!$C$9:$R$257,16,FALSE))</f>
        <v/>
      </c>
      <c r="N102" s="245"/>
      <c r="O102" s="275" t="str">
        <f t="shared" si="11"/>
        <v/>
      </c>
      <c r="P102" s="276" t="str">
        <f t="shared" si="12"/>
        <v/>
      </c>
      <c r="Q102" s="336" t="str">
        <f>IF(N102="","",VLOOKUP(B102,'C-1 On-Site WaterC'' Baseline'!$C$10:$AC$257,20,FALSE))</f>
        <v/>
      </c>
      <c r="R102" s="275" t="str">
        <f>IF(N102="","",VLOOKUP(N102,'G-7 WaterC'' Data'!$B$2:$G$8,2,FALSE))</f>
        <v/>
      </c>
      <c r="S102" s="276" t="str">
        <f>IFERROR(VLOOKUP(R102,'G-7 WaterC'' Data'!$C$4:$D$8,2,FALSE),"")</f>
        <v/>
      </c>
      <c r="T102" s="101"/>
      <c r="U102" s="276" t="str">
        <f>IFERROR(INDEX('G-7 WaterC'' Data'!$H$4:$L$8,MATCH(N102,'G-7 WaterC'' Data'!$B$4:$B$8,0),MATCH(T102,'G-7 WaterC'' Data'!$H$3:$L$3,0)),"")</f>
        <v/>
      </c>
      <c r="V102" s="101"/>
      <c r="W102" s="283" t="str">
        <f>IF(V102="","",IF(VLOOKUP(V102,'G-7 WaterC'' Data'!$AK$4:$AM$6,2,FALSE)=0,"Spatial Data Missing ⚠",VLOOKUP(V102,'G-7 WaterC'' Data'!$AK$4:$AM$6,2,FALSE)))</f>
        <v/>
      </c>
      <c r="X102" s="276" t="str">
        <f>IF(V102="","",IF(VLOOKUP(V102,'G-7 WaterC'' Data'!$AK$4:$AM$6,3,FALSE)=0,"Spatial Data Missing ⚠",VLOOKUP(V102,'G-7 WaterC'' Data'!$AK$4:$AM$6,3,FALSE)))</f>
        <v/>
      </c>
      <c r="Y102" s="275" t="str">
        <f>IFERROR(IF(OR(LEFT(P102,5)="Error",LEFT(O102,5)="Error"),"Check Data ⚠",IF(F102&lt;S102,'G-7 WaterC'' Data'!$R$3,INDEX('G-7 WaterC'' Data'!$U$5:$Y$9,MATCH(G102,'G-7 WaterC'' Data'!$T$5:$T$9,0),MATCH(T102,'G-7 WaterC'' Data'!$U$4:$Y$4,0)))),"")</f>
        <v/>
      </c>
      <c r="Z102" s="133"/>
      <c r="AA102" s="133"/>
      <c r="AB102" s="283" t="str">
        <f t="shared" si="13"/>
        <v/>
      </c>
      <c r="AC102" s="296" t="str">
        <f t="shared" si="14"/>
        <v/>
      </c>
      <c r="AD102" s="334" t="str">
        <f>IFERROR(IF(AC102="Check Data ⚠","Check Data ⚠",VLOOKUP(AC102,'G-4 Temporal multipliers'!$A$4:$C$37,3,FALSE)),"")</f>
        <v/>
      </c>
      <c r="AE102" s="275" t="str">
        <f>IF(N102="","",VLOOKUP(N102,'G-7 WaterC'' Data'!$B$4:$G$8,5,FALSE))</f>
        <v/>
      </c>
      <c r="AF102" s="283" t="str">
        <f t="shared" si="15"/>
        <v/>
      </c>
      <c r="AG102" s="314" t="str">
        <f t="shared" si="16"/>
        <v/>
      </c>
      <c r="AH102" s="276" t="str">
        <f t="shared" si="10"/>
        <v/>
      </c>
      <c r="AI102" s="105"/>
      <c r="AJ102" s="276" t="str">
        <f>IF(AI102="","",IF(AND(AI102="N/A - Culvert",N102&lt;&gt;"Culvert"),"Not possible ▲",IF(VLOOKUP(AI102,'G-7 WaterC'' Data'!$AA$4:$AB$7,2,FALSE)=0,"Spatial Data Missing ⚠",VLOOKUP(AI102,'G-7 WaterC'' Data'!$AA$4:$AB$7,2,FALSE))))</f>
        <v/>
      </c>
      <c r="AK102" s="106"/>
      <c r="AL102" s="276" t="str">
        <f>IF(AK102="","",IF(AND(AK102="N/A - Culvert",N102&lt;&gt;"Culvert"),"Not possible ▲",IF(VLOOKUP(AK102,'G-7 WaterC'' Data'!$AD$4:$AE$14,2,FALSE)=0,"Spatial Data Missing ⚠",VLOOKUP(AK102,'G-7 WaterC'' Data'!$AD$4:$AE$14,2,FALSE))))</f>
        <v/>
      </c>
      <c r="AM102" s="317" t="str">
        <f t="shared" si="17"/>
        <v/>
      </c>
      <c r="AN102" s="101"/>
      <c r="AO102" s="115"/>
      <c r="AP102" s="104"/>
      <c r="AS102" s="30" t="str">
        <f>IF(B102="","",IF(ISNA(VLOOKUP($B102,'C-1 On-Site WaterC'' Baseline'!$C$8:$AD$257,17,FALSE)),"",(VLOOKUP($B102,'C-1 On-Site WaterC'' Baseline'!$C$8:$AD$257,17,FALSE))))</f>
        <v/>
      </c>
      <c r="AT102" s="30" t="str">
        <f>IF(B102="","",VLOOKUP($B102,'C-1 On-Site WaterC'' Baseline'!$C$9:$Z$257,12,FALSE))</f>
        <v/>
      </c>
      <c r="AU102" s="30" t="str">
        <f>IF(B102="","",VLOOKUP($B102,'C-1 On-Site WaterC'' Baseline'!$C$9:$Z$257,14,FALSE))</f>
        <v/>
      </c>
      <c r="AV102" s="30" t="str">
        <f>IFERROR(INDEX('G-7 WaterC'' Data'!$AZ$3:$AZ$7,MATCH(N102,'G-7 WaterC'' Data'!$AY$3:$AY$7,0)),"")</f>
        <v/>
      </c>
      <c r="AX102" s="30" t="str">
        <f>IF(B102="","",VLOOKUP($B102,'C-1 On-Site WaterC'' Baseline'!$C$9:$Y$257,22,FALSE))</f>
        <v/>
      </c>
      <c r="AY102" s="30" t="str">
        <f t="shared" si="18"/>
        <v/>
      </c>
      <c r="AZ102" s="30" t="str">
        <f>IF(B102="","",VLOOKUP($B102,'C-1 On-Site WaterC'' Baseline'!$C$9:$Y$257,21,FALSE))</f>
        <v/>
      </c>
      <c r="BA102" s="30" t="str">
        <f>IF(B102="","",VLOOKUP($B102,'C-1 On-Site WaterC'' Baseline'!$C$9:$Y$257,19,FALSE))</f>
        <v/>
      </c>
      <c r="BD102" s="30" t="str">
        <f t="shared" si="19"/>
        <v>No</v>
      </c>
    </row>
    <row r="103" spans="2:56" ht="14">
      <c r="B103" s="305" t="str">
        <f>'C-1 On-Site WaterC'' Baseline'!AP101</f>
        <v/>
      </c>
      <c r="C103" s="295" t="str">
        <f>IF(B103="","",VLOOKUP($B103,'C-1 On-Site WaterC'' Baseline'!$C$9:$R$257,2,FALSE))</f>
        <v/>
      </c>
      <c r="D103" s="295" t="str">
        <f>IF(C103="","",VLOOKUP($B103,'C-1 On-Site WaterC'' Baseline'!$C$9:$R$257,3,FALSE))</f>
        <v/>
      </c>
      <c r="E103" s="295" t="str">
        <f>IF(D103="","",VLOOKUP($B103,'C-1 On-Site WaterC'' Baseline'!$C$9:$R$257,4,FALSE))</f>
        <v/>
      </c>
      <c r="F103" s="295" t="str">
        <f>IF(E103="","",VLOOKUP($B103,'C-1 On-Site WaterC'' Baseline'!$C$9:$R$257,5,FALSE))</f>
        <v/>
      </c>
      <c r="G103" s="295" t="str">
        <f>IF(F103="","",VLOOKUP($B103,'C-1 On-Site WaterC'' Baseline'!$C$9:$R$257,6,FALSE))</f>
        <v/>
      </c>
      <c r="H103" s="295" t="str">
        <f>IF(G103="","",VLOOKUP($B103,'C-1 On-Site WaterC'' Baseline'!$C$9:$R$257,7,FALSE))</f>
        <v/>
      </c>
      <c r="I103" s="295" t="str">
        <f>IF(H103="","",VLOOKUP($B103,'C-1 On-Site WaterC'' Baseline'!$C$9:$R$257,8,FALSE))</f>
        <v/>
      </c>
      <c r="J103" s="295" t="str">
        <f>IF(I103="","",VLOOKUP($B103,'C-1 On-Site WaterC'' Baseline'!$C$9:$R$257,9,FALSE))</f>
        <v/>
      </c>
      <c r="K103" s="295" t="str">
        <f>IF(J103="","",VLOOKUP($B103,'C-1 On-Site WaterC'' Baseline'!$C$9:$R$257,10,FALSE))</f>
        <v/>
      </c>
      <c r="L103" s="295" t="str">
        <f>IF(B103="","",VLOOKUP($B103,'C-1 On-Site WaterC'' Baseline'!$C$9:$R$257,15,FALSE))</f>
        <v/>
      </c>
      <c r="M103" s="299" t="str">
        <f>IF(L103="","",VLOOKUP($B103,'C-1 On-Site WaterC'' Baseline'!$C$9:$R$257,16,FALSE))</f>
        <v/>
      </c>
      <c r="N103" s="245"/>
      <c r="O103" s="275" t="str">
        <f t="shared" si="11"/>
        <v/>
      </c>
      <c r="P103" s="276" t="str">
        <f t="shared" si="12"/>
        <v/>
      </c>
      <c r="Q103" s="336" t="str">
        <f>IF(N103="","",VLOOKUP(B103,'C-1 On-Site WaterC'' Baseline'!$C$10:$AC$257,20,FALSE))</f>
        <v/>
      </c>
      <c r="R103" s="275" t="str">
        <f>IF(N103="","",VLOOKUP(N103,'G-7 WaterC'' Data'!$B$2:$G$8,2,FALSE))</f>
        <v/>
      </c>
      <c r="S103" s="276" t="str">
        <f>IFERROR(VLOOKUP(R103,'G-7 WaterC'' Data'!$C$4:$D$8,2,FALSE),"")</f>
        <v/>
      </c>
      <c r="T103" s="101"/>
      <c r="U103" s="276" t="str">
        <f>IFERROR(INDEX('G-7 WaterC'' Data'!$H$4:$L$8,MATCH(N103,'G-7 WaterC'' Data'!$B$4:$B$8,0),MATCH(T103,'G-7 WaterC'' Data'!$H$3:$L$3,0)),"")</f>
        <v/>
      </c>
      <c r="V103" s="101"/>
      <c r="W103" s="283" t="str">
        <f>IF(V103="","",IF(VLOOKUP(V103,'G-7 WaterC'' Data'!$AK$4:$AM$6,2,FALSE)=0,"Spatial Data Missing ⚠",VLOOKUP(V103,'G-7 WaterC'' Data'!$AK$4:$AM$6,2,FALSE)))</f>
        <v/>
      </c>
      <c r="X103" s="276" t="str">
        <f>IF(V103="","",IF(VLOOKUP(V103,'G-7 WaterC'' Data'!$AK$4:$AM$6,3,FALSE)=0,"Spatial Data Missing ⚠",VLOOKUP(V103,'G-7 WaterC'' Data'!$AK$4:$AM$6,3,FALSE)))</f>
        <v/>
      </c>
      <c r="Y103" s="275" t="str">
        <f>IFERROR(IF(OR(LEFT(P103,5)="Error",LEFT(O103,5)="Error"),"Check Data ⚠",IF(F103&lt;S103,'G-7 WaterC'' Data'!$R$3,INDEX('G-7 WaterC'' Data'!$U$5:$Y$9,MATCH(G103,'G-7 WaterC'' Data'!$T$5:$T$9,0),MATCH(T103,'G-7 WaterC'' Data'!$U$4:$Y$4,0)))),"")</f>
        <v/>
      </c>
      <c r="Z103" s="133"/>
      <c r="AA103" s="133"/>
      <c r="AB103" s="283" t="str">
        <f t="shared" si="13"/>
        <v/>
      </c>
      <c r="AC103" s="296" t="str">
        <f t="shared" si="14"/>
        <v/>
      </c>
      <c r="AD103" s="334" t="str">
        <f>IFERROR(IF(AC103="Check Data ⚠","Check Data ⚠",VLOOKUP(AC103,'G-4 Temporal multipliers'!$A$4:$C$37,3,FALSE)),"")</f>
        <v/>
      </c>
      <c r="AE103" s="275" t="str">
        <f>IF(N103="","",VLOOKUP(N103,'G-7 WaterC'' Data'!$B$4:$G$8,5,FALSE))</f>
        <v/>
      </c>
      <c r="AF103" s="283" t="str">
        <f t="shared" si="15"/>
        <v/>
      </c>
      <c r="AG103" s="314" t="str">
        <f t="shared" si="16"/>
        <v/>
      </c>
      <c r="AH103" s="276" t="str">
        <f t="shared" si="10"/>
        <v/>
      </c>
      <c r="AI103" s="105"/>
      <c r="AJ103" s="276" t="str">
        <f>IF(AI103="","",IF(AND(AI103="N/A - Culvert",N103&lt;&gt;"Culvert"),"Not possible ▲",IF(VLOOKUP(AI103,'G-7 WaterC'' Data'!$AA$4:$AB$7,2,FALSE)=0,"Spatial Data Missing ⚠",VLOOKUP(AI103,'G-7 WaterC'' Data'!$AA$4:$AB$7,2,FALSE))))</f>
        <v/>
      </c>
      <c r="AK103" s="106"/>
      <c r="AL103" s="276" t="str">
        <f>IF(AK103="","",IF(AND(AK103="N/A - Culvert",N103&lt;&gt;"Culvert"),"Not possible ▲",IF(VLOOKUP(AK103,'G-7 WaterC'' Data'!$AD$4:$AE$14,2,FALSE)=0,"Spatial Data Missing ⚠",VLOOKUP(AK103,'G-7 WaterC'' Data'!$AD$4:$AE$14,2,FALSE))))</f>
        <v/>
      </c>
      <c r="AM103" s="317" t="str">
        <f t="shared" si="17"/>
        <v/>
      </c>
      <c r="AN103" s="101"/>
      <c r="AO103" s="115"/>
      <c r="AP103" s="104"/>
      <c r="AS103" s="30" t="str">
        <f>IF(B103="","",IF(ISNA(VLOOKUP($B103,'C-1 On-Site WaterC'' Baseline'!$C$8:$AD$257,17,FALSE)),"",(VLOOKUP($B103,'C-1 On-Site WaterC'' Baseline'!$C$8:$AD$257,17,FALSE))))</f>
        <v/>
      </c>
      <c r="AT103" s="30" t="str">
        <f>IF(B103="","",VLOOKUP($B103,'C-1 On-Site WaterC'' Baseline'!$C$9:$Z$257,12,FALSE))</f>
        <v/>
      </c>
      <c r="AU103" s="30" t="str">
        <f>IF(B103="","",VLOOKUP($B103,'C-1 On-Site WaterC'' Baseline'!$C$9:$Z$257,14,FALSE))</f>
        <v/>
      </c>
      <c r="AV103" s="30" t="str">
        <f>IFERROR(INDEX('G-7 WaterC'' Data'!$AZ$3:$AZ$7,MATCH(N103,'G-7 WaterC'' Data'!$AY$3:$AY$7,0)),"")</f>
        <v/>
      </c>
      <c r="AX103" s="30" t="str">
        <f>IF(B103="","",VLOOKUP($B103,'C-1 On-Site WaterC'' Baseline'!$C$9:$Y$257,22,FALSE))</f>
        <v/>
      </c>
      <c r="AY103" s="30" t="str">
        <f t="shared" si="18"/>
        <v/>
      </c>
      <c r="AZ103" s="30" t="str">
        <f>IF(B103="","",VLOOKUP($B103,'C-1 On-Site WaterC'' Baseline'!$C$9:$Y$257,21,FALSE))</f>
        <v/>
      </c>
      <c r="BA103" s="30" t="str">
        <f>IF(B103="","",VLOOKUP($B103,'C-1 On-Site WaterC'' Baseline'!$C$9:$Y$257,19,FALSE))</f>
        <v/>
      </c>
      <c r="BD103" s="30" t="str">
        <f t="shared" si="19"/>
        <v>No</v>
      </c>
    </row>
    <row r="104" spans="2:56" ht="14">
      <c r="B104" s="305" t="str">
        <f>'C-1 On-Site WaterC'' Baseline'!AP102</f>
        <v/>
      </c>
      <c r="C104" s="295" t="str">
        <f>IF(B104="","",VLOOKUP($B104,'C-1 On-Site WaterC'' Baseline'!$C$9:$R$257,2,FALSE))</f>
        <v/>
      </c>
      <c r="D104" s="295" t="str">
        <f>IF(C104="","",VLOOKUP($B104,'C-1 On-Site WaterC'' Baseline'!$C$9:$R$257,3,FALSE))</f>
        <v/>
      </c>
      <c r="E104" s="295" t="str">
        <f>IF(D104="","",VLOOKUP($B104,'C-1 On-Site WaterC'' Baseline'!$C$9:$R$257,4,FALSE))</f>
        <v/>
      </c>
      <c r="F104" s="295" t="str">
        <f>IF(E104="","",VLOOKUP($B104,'C-1 On-Site WaterC'' Baseline'!$C$9:$R$257,5,FALSE))</f>
        <v/>
      </c>
      <c r="G104" s="295" t="str">
        <f>IF(F104="","",VLOOKUP($B104,'C-1 On-Site WaterC'' Baseline'!$C$9:$R$257,6,FALSE))</f>
        <v/>
      </c>
      <c r="H104" s="295" t="str">
        <f>IF(G104="","",VLOOKUP($B104,'C-1 On-Site WaterC'' Baseline'!$C$9:$R$257,7,FALSE))</f>
        <v/>
      </c>
      <c r="I104" s="295" t="str">
        <f>IF(H104="","",VLOOKUP($B104,'C-1 On-Site WaterC'' Baseline'!$C$9:$R$257,8,FALSE))</f>
        <v/>
      </c>
      <c r="J104" s="295" t="str">
        <f>IF(I104="","",VLOOKUP($B104,'C-1 On-Site WaterC'' Baseline'!$C$9:$R$257,9,FALSE))</f>
        <v/>
      </c>
      <c r="K104" s="295" t="str">
        <f>IF(J104="","",VLOOKUP($B104,'C-1 On-Site WaterC'' Baseline'!$C$9:$R$257,10,FALSE))</f>
        <v/>
      </c>
      <c r="L104" s="295" t="str">
        <f>IF(B104="","",VLOOKUP($B104,'C-1 On-Site WaterC'' Baseline'!$C$9:$R$257,15,FALSE))</f>
        <v/>
      </c>
      <c r="M104" s="299" t="str">
        <f>IF(L104="","",VLOOKUP($B104,'C-1 On-Site WaterC'' Baseline'!$C$9:$R$257,16,FALSE))</f>
        <v/>
      </c>
      <c r="N104" s="245"/>
      <c r="O104" s="275" t="str">
        <f t="shared" si="11"/>
        <v/>
      </c>
      <c r="P104" s="276" t="str">
        <f t="shared" si="12"/>
        <v/>
      </c>
      <c r="Q104" s="336" t="str">
        <f>IF(N104="","",VLOOKUP(B104,'C-1 On-Site WaterC'' Baseline'!$C$10:$AC$257,20,FALSE))</f>
        <v/>
      </c>
      <c r="R104" s="275" t="str">
        <f>IF(N104="","",VLOOKUP(N104,'G-7 WaterC'' Data'!$B$2:$G$8,2,FALSE))</f>
        <v/>
      </c>
      <c r="S104" s="276" t="str">
        <f>IFERROR(VLOOKUP(R104,'G-7 WaterC'' Data'!$C$4:$D$8,2,FALSE),"")</f>
        <v/>
      </c>
      <c r="T104" s="101"/>
      <c r="U104" s="276" t="str">
        <f>IFERROR(INDEX('G-7 WaterC'' Data'!$H$4:$L$8,MATCH(N104,'G-7 WaterC'' Data'!$B$4:$B$8,0),MATCH(T104,'G-7 WaterC'' Data'!$H$3:$L$3,0)),"")</f>
        <v/>
      </c>
      <c r="V104" s="101"/>
      <c r="W104" s="283" t="str">
        <f>IF(V104="","",IF(VLOOKUP(V104,'G-7 WaterC'' Data'!$AK$4:$AM$6,2,FALSE)=0,"Spatial Data Missing ⚠",VLOOKUP(V104,'G-7 WaterC'' Data'!$AK$4:$AM$6,2,FALSE)))</f>
        <v/>
      </c>
      <c r="X104" s="276" t="str">
        <f>IF(V104="","",IF(VLOOKUP(V104,'G-7 WaterC'' Data'!$AK$4:$AM$6,3,FALSE)=0,"Spatial Data Missing ⚠",VLOOKUP(V104,'G-7 WaterC'' Data'!$AK$4:$AM$6,3,FALSE)))</f>
        <v/>
      </c>
      <c r="Y104" s="275" t="str">
        <f>IFERROR(IF(OR(LEFT(P104,5)="Error",LEFT(O104,5)="Error"),"Check Data ⚠",IF(F104&lt;S104,'G-7 WaterC'' Data'!$R$3,INDEX('G-7 WaterC'' Data'!$U$5:$Y$9,MATCH(G104,'G-7 WaterC'' Data'!$T$5:$T$9,0),MATCH(T104,'G-7 WaterC'' Data'!$U$4:$Y$4,0)))),"")</f>
        <v/>
      </c>
      <c r="Z104" s="133"/>
      <c r="AA104" s="133"/>
      <c r="AB104" s="283" t="str">
        <f t="shared" si="13"/>
        <v/>
      </c>
      <c r="AC104" s="296" t="str">
        <f t="shared" si="14"/>
        <v/>
      </c>
      <c r="AD104" s="334" t="str">
        <f>IFERROR(IF(AC104="Check Data ⚠","Check Data ⚠",VLOOKUP(AC104,'G-4 Temporal multipliers'!$A$4:$C$37,3,FALSE)),"")</f>
        <v/>
      </c>
      <c r="AE104" s="275" t="str">
        <f>IF(N104="","",VLOOKUP(N104,'G-7 WaterC'' Data'!$B$4:$G$8,5,FALSE))</f>
        <v/>
      </c>
      <c r="AF104" s="283" t="str">
        <f t="shared" si="15"/>
        <v/>
      </c>
      <c r="AG104" s="314" t="str">
        <f t="shared" si="16"/>
        <v/>
      </c>
      <c r="AH104" s="276" t="str">
        <f t="shared" si="10"/>
        <v/>
      </c>
      <c r="AI104" s="105"/>
      <c r="AJ104" s="276" t="str">
        <f>IF(AI104="","",IF(AND(AI104="N/A - Culvert",N104&lt;&gt;"Culvert"),"Not possible ▲",IF(VLOOKUP(AI104,'G-7 WaterC'' Data'!$AA$4:$AB$7,2,FALSE)=0,"Spatial Data Missing ⚠",VLOOKUP(AI104,'G-7 WaterC'' Data'!$AA$4:$AB$7,2,FALSE))))</f>
        <v/>
      </c>
      <c r="AK104" s="106"/>
      <c r="AL104" s="276" t="str">
        <f>IF(AK104="","",IF(AND(AK104="N/A - Culvert",N104&lt;&gt;"Culvert"),"Not possible ▲",IF(VLOOKUP(AK104,'G-7 WaterC'' Data'!$AD$4:$AE$14,2,FALSE)=0,"Spatial Data Missing ⚠",VLOOKUP(AK104,'G-7 WaterC'' Data'!$AD$4:$AE$14,2,FALSE))))</f>
        <v/>
      </c>
      <c r="AM104" s="317" t="str">
        <f t="shared" si="17"/>
        <v/>
      </c>
      <c r="AN104" s="101"/>
      <c r="AO104" s="115"/>
      <c r="AP104" s="104"/>
      <c r="AS104" s="30" t="str">
        <f>IF(B104="","",IF(ISNA(VLOOKUP($B104,'C-1 On-Site WaterC'' Baseline'!$C$8:$AD$257,17,FALSE)),"",(VLOOKUP($B104,'C-1 On-Site WaterC'' Baseline'!$C$8:$AD$257,17,FALSE))))</f>
        <v/>
      </c>
      <c r="AT104" s="30" t="str">
        <f>IF(B104="","",VLOOKUP($B104,'C-1 On-Site WaterC'' Baseline'!$C$9:$Z$257,12,FALSE))</f>
        <v/>
      </c>
      <c r="AU104" s="30" t="str">
        <f>IF(B104="","",VLOOKUP($B104,'C-1 On-Site WaterC'' Baseline'!$C$9:$Z$257,14,FALSE))</f>
        <v/>
      </c>
      <c r="AV104" s="30" t="str">
        <f>IFERROR(INDEX('G-7 WaterC'' Data'!$AZ$3:$AZ$7,MATCH(N104,'G-7 WaterC'' Data'!$AY$3:$AY$7,0)),"")</f>
        <v/>
      </c>
      <c r="AX104" s="30" t="str">
        <f>IF(B104="","",VLOOKUP($B104,'C-1 On-Site WaterC'' Baseline'!$C$9:$Y$257,22,FALSE))</f>
        <v/>
      </c>
      <c r="AY104" s="30" t="str">
        <f t="shared" si="18"/>
        <v/>
      </c>
      <c r="AZ104" s="30" t="str">
        <f>IF(B104="","",VLOOKUP($B104,'C-1 On-Site WaterC'' Baseline'!$C$9:$Y$257,21,FALSE))</f>
        <v/>
      </c>
      <c r="BA104" s="30" t="str">
        <f>IF(B104="","",VLOOKUP($B104,'C-1 On-Site WaterC'' Baseline'!$C$9:$Y$257,19,FALSE))</f>
        <v/>
      </c>
      <c r="BD104" s="30" t="str">
        <f t="shared" si="19"/>
        <v>No</v>
      </c>
    </row>
    <row r="105" spans="2:56" ht="14">
      <c r="B105" s="305" t="str">
        <f>'C-1 On-Site WaterC'' Baseline'!AP103</f>
        <v/>
      </c>
      <c r="C105" s="295" t="str">
        <f>IF(B105="","",VLOOKUP($B105,'C-1 On-Site WaterC'' Baseline'!$C$9:$R$257,2,FALSE))</f>
        <v/>
      </c>
      <c r="D105" s="295" t="str">
        <f>IF(C105="","",VLOOKUP($B105,'C-1 On-Site WaterC'' Baseline'!$C$9:$R$257,3,FALSE))</f>
        <v/>
      </c>
      <c r="E105" s="295" t="str">
        <f>IF(D105="","",VLOOKUP($B105,'C-1 On-Site WaterC'' Baseline'!$C$9:$R$257,4,FALSE))</f>
        <v/>
      </c>
      <c r="F105" s="295" t="str">
        <f>IF(E105="","",VLOOKUP($B105,'C-1 On-Site WaterC'' Baseline'!$C$9:$R$257,5,FALSE))</f>
        <v/>
      </c>
      <c r="G105" s="295" t="str">
        <f>IF(F105="","",VLOOKUP($B105,'C-1 On-Site WaterC'' Baseline'!$C$9:$R$257,6,FALSE))</f>
        <v/>
      </c>
      <c r="H105" s="295" t="str">
        <f>IF(G105="","",VLOOKUP($B105,'C-1 On-Site WaterC'' Baseline'!$C$9:$R$257,7,FALSE))</f>
        <v/>
      </c>
      <c r="I105" s="295" t="str">
        <f>IF(H105="","",VLOOKUP($B105,'C-1 On-Site WaterC'' Baseline'!$C$9:$R$257,8,FALSE))</f>
        <v/>
      </c>
      <c r="J105" s="295" t="str">
        <f>IF(I105="","",VLOOKUP($B105,'C-1 On-Site WaterC'' Baseline'!$C$9:$R$257,9,FALSE))</f>
        <v/>
      </c>
      <c r="K105" s="295" t="str">
        <f>IF(J105="","",VLOOKUP($B105,'C-1 On-Site WaterC'' Baseline'!$C$9:$R$257,10,FALSE))</f>
        <v/>
      </c>
      <c r="L105" s="295" t="str">
        <f>IF(B105="","",VLOOKUP($B105,'C-1 On-Site WaterC'' Baseline'!$C$9:$R$257,15,FALSE))</f>
        <v/>
      </c>
      <c r="M105" s="299" t="str">
        <f>IF(L105="","",VLOOKUP($B105,'C-1 On-Site WaterC'' Baseline'!$C$9:$R$257,16,FALSE))</f>
        <v/>
      </c>
      <c r="N105" s="245"/>
      <c r="O105" s="275" t="str">
        <f t="shared" si="11"/>
        <v/>
      </c>
      <c r="P105" s="276" t="str">
        <f t="shared" si="12"/>
        <v/>
      </c>
      <c r="Q105" s="336" t="str">
        <f>IF(N105="","",VLOOKUP(B105,'C-1 On-Site WaterC'' Baseline'!$C$10:$AC$257,20,FALSE))</f>
        <v/>
      </c>
      <c r="R105" s="275" t="str">
        <f>IF(N105="","",VLOOKUP(N105,'G-7 WaterC'' Data'!$B$2:$G$8,2,FALSE))</f>
        <v/>
      </c>
      <c r="S105" s="276" t="str">
        <f>IFERROR(VLOOKUP(R105,'G-7 WaterC'' Data'!$C$4:$D$8,2,FALSE),"")</f>
        <v/>
      </c>
      <c r="T105" s="101"/>
      <c r="U105" s="276" t="str">
        <f>IFERROR(INDEX('G-7 WaterC'' Data'!$H$4:$L$8,MATCH(N105,'G-7 WaterC'' Data'!$B$4:$B$8,0),MATCH(T105,'G-7 WaterC'' Data'!$H$3:$L$3,0)),"")</f>
        <v/>
      </c>
      <c r="V105" s="101"/>
      <c r="W105" s="283" t="str">
        <f>IF(V105="","",IF(VLOOKUP(V105,'G-7 WaterC'' Data'!$AK$4:$AM$6,2,FALSE)=0,"Spatial Data Missing ⚠",VLOOKUP(V105,'G-7 WaterC'' Data'!$AK$4:$AM$6,2,FALSE)))</f>
        <v/>
      </c>
      <c r="X105" s="276" t="str">
        <f>IF(V105="","",IF(VLOOKUP(V105,'G-7 WaterC'' Data'!$AK$4:$AM$6,3,FALSE)=0,"Spatial Data Missing ⚠",VLOOKUP(V105,'G-7 WaterC'' Data'!$AK$4:$AM$6,3,FALSE)))</f>
        <v/>
      </c>
      <c r="Y105" s="275" t="str">
        <f>IFERROR(IF(OR(LEFT(P105,5)="Error",LEFT(O105,5)="Error"),"Check Data ⚠",IF(F105&lt;S105,'G-7 WaterC'' Data'!$R$3,INDEX('G-7 WaterC'' Data'!$U$5:$Y$9,MATCH(G105,'G-7 WaterC'' Data'!$T$5:$T$9,0),MATCH(T105,'G-7 WaterC'' Data'!$U$4:$Y$4,0)))),"")</f>
        <v/>
      </c>
      <c r="Z105" s="133"/>
      <c r="AA105" s="133"/>
      <c r="AB105" s="283" t="str">
        <f t="shared" si="13"/>
        <v/>
      </c>
      <c r="AC105" s="296" t="str">
        <f t="shared" si="14"/>
        <v/>
      </c>
      <c r="AD105" s="334" t="str">
        <f>IFERROR(IF(AC105="Check Data ⚠","Check Data ⚠",VLOOKUP(AC105,'G-4 Temporal multipliers'!$A$4:$C$37,3,FALSE)),"")</f>
        <v/>
      </c>
      <c r="AE105" s="275" t="str">
        <f>IF(N105="","",VLOOKUP(N105,'G-7 WaterC'' Data'!$B$4:$G$8,5,FALSE))</f>
        <v/>
      </c>
      <c r="AF105" s="283" t="str">
        <f t="shared" si="15"/>
        <v/>
      </c>
      <c r="AG105" s="314" t="str">
        <f t="shared" si="16"/>
        <v/>
      </c>
      <c r="AH105" s="276" t="str">
        <f t="shared" si="10"/>
        <v/>
      </c>
      <c r="AI105" s="105"/>
      <c r="AJ105" s="276" t="str">
        <f>IF(AI105="","",IF(AND(AI105="N/A - Culvert",N105&lt;&gt;"Culvert"),"Not possible ▲",IF(VLOOKUP(AI105,'G-7 WaterC'' Data'!$AA$4:$AB$7,2,FALSE)=0,"Spatial Data Missing ⚠",VLOOKUP(AI105,'G-7 WaterC'' Data'!$AA$4:$AB$7,2,FALSE))))</f>
        <v/>
      </c>
      <c r="AK105" s="106"/>
      <c r="AL105" s="276" t="str">
        <f>IF(AK105="","",IF(AND(AK105="N/A - Culvert",N105&lt;&gt;"Culvert"),"Not possible ▲",IF(VLOOKUP(AK105,'G-7 WaterC'' Data'!$AD$4:$AE$14,2,FALSE)=0,"Spatial Data Missing ⚠",VLOOKUP(AK105,'G-7 WaterC'' Data'!$AD$4:$AE$14,2,FALSE))))</f>
        <v/>
      </c>
      <c r="AM105" s="317" t="str">
        <f t="shared" si="17"/>
        <v/>
      </c>
      <c r="AN105" s="101"/>
      <c r="AO105" s="115"/>
      <c r="AP105" s="104"/>
      <c r="AS105" s="30" t="str">
        <f>IF(B105="","",IF(ISNA(VLOOKUP($B105,'C-1 On-Site WaterC'' Baseline'!$C$8:$AD$257,17,FALSE)),"",(VLOOKUP($B105,'C-1 On-Site WaterC'' Baseline'!$C$8:$AD$257,17,FALSE))))</f>
        <v/>
      </c>
      <c r="AT105" s="30" t="str">
        <f>IF(B105="","",VLOOKUP($B105,'C-1 On-Site WaterC'' Baseline'!$C$9:$Z$257,12,FALSE))</f>
        <v/>
      </c>
      <c r="AU105" s="30" t="str">
        <f>IF(B105="","",VLOOKUP($B105,'C-1 On-Site WaterC'' Baseline'!$C$9:$Z$257,14,FALSE))</f>
        <v/>
      </c>
      <c r="AV105" s="30" t="str">
        <f>IFERROR(INDEX('G-7 WaterC'' Data'!$AZ$3:$AZ$7,MATCH(N105,'G-7 WaterC'' Data'!$AY$3:$AY$7,0)),"")</f>
        <v/>
      </c>
      <c r="AX105" s="30" t="str">
        <f>IF(B105="","",VLOOKUP($B105,'C-1 On-Site WaterC'' Baseline'!$C$9:$Y$257,22,FALSE))</f>
        <v/>
      </c>
      <c r="AY105" s="30" t="str">
        <f t="shared" si="18"/>
        <v/>
      </c>
      <c r="AZ105" s="30" t="str">
        <f>IF(B105="","",VLOOKUP($B105,'C-1 On-Site WaterC'' Baseline'!$C$9:$Y$257,21,FALSE))</f>
        <v/>
      </c>
      <c r="BA105" s="30" t="str">
        <f>IF(B105="","",VLOOKUP($B105,'C-1 On-Site WaterC'' Baseline'!$C$9:$Y$257,19,FALSE))</f>
        <v/>
      </c>
      <c r="BD105" s="30" t="str">
        <f t="shared" si="19"/>
        <v>No</v>
      </c>
    </row>
    <row r="106" spans="2:56" ht="14">
      <c r="B106" s="305" t="str">
        <f>'C-1 On-Site WaterC'' Baseline'!AP104</f>
        <v/>
      </c>
      <c r="C106" s="295" t="str">
        <f>IF(B106="","",VLOOKUP($B106,'C-1 On-Site WaterC'' Baseline'!$C$9:$R$257,2,FALSE))</f>
        <v/>
      </c>
      <c r="D106" s="295" t="str">
        <f>IF(C106="","",VLOOKUP($B106,'C-1 On-Site WaterC'' Baseline'!$C$9:$R$257,3,FALSE))</f>
        <v/>
      </c>
      <c r="E106" s="295" t="str">
        <f>IF(D106="","",VLOOKUP($B106,'C-1 On-Site WaterC'' Baseline'!$C$9:$R$257,4,FALSE))</f>
        <v/>
      </c>
      <c r="F106" s="295" t="str">
        <f>IF(E106="","",VLOOKUP($B106,'C-1 On-Site WaterC'' Baseline'!$C$9:$R$257,5,FALSE))</f>
        <v/>
      </c>
      <c r="G106" s="295" t="str">
        <f>IF(F106="","",VLOOKUP($B106,'C-1 On-Site WaterC'' Baseline'!$C$9:$R$257,6,FALSE))</f>
        <v/>
      </c>
      <c r="H106" s="295" t="str">
        <f>IF(G106="","",VLOOKUP($B106,'C-1 On-Site WaterC'' Baseline'!$C$9:$R$257,7,FALSE))</f>
        <v/>
      </c>
      <c r="I106" s="295" t="str">
        <f>IF(H106="","",VLOOKUP($B106,'C-1 On-Site WaterC'' Baseline'!$C$9:$R$257,8,FALSE))</f>
        <v/>
      </c>
      <c r="J106" s="295" t="str">
        <f>IF(I106="","",VLOOKUP($B106,'C-1 On-Site WaterC'' Baseline'!$C$9:$R$257,9,FALSE))</f>
        <v/>
      </c>
      <c r="K106" s="295" t="str">
        <f>IF(J106="","",VLOOKUP($B106,'C-1 On-Site WaterC'' Baseline'!$C$9:$R$257,10,FALSE))</f>
        <v/>
      </c>
      <c r="L106" s="295" t="str">
        <f>IF(B106="","",VLOOKUP($B106,'C-1 On-Site WaterC'' Baseline'!$C$9:$R$257,15,FALSE))</f>
        <v/>
      </c>
      <c r="M106" s="299" t="str">
        <f>IF(L106="","",VLOOKUP($B106,'C-1 On-Site WaterC'' Baseline'!$C$9:$R$257,16,FALSE))</f>
        <v/>
      </c>
      <c r="N106" s="245"/>
      <c r="O106" s="275" t="str">
        <f t="shared" si="11"/>
        <v/>
      </c>
      <c r="P106" s="276" t="str">
        <f t="shared" si="12"/>
        <v/>
      </c>
      <c r="Q106" s="336" t="str">
        <f>IF(N106="","",VLOOKUP(B106,'C-1 On-Site WaterC'' Baseline'!$C$10:$AC$257,20,FALSE))</f>
        <v/>
      </c>
      <c r="R106" s="275" t="str">
        <f>IF(N106="","",VLOOKUP(N106,'G-7 WaterC'' Data'!$B$2:$G$8,2,FALSE))</f>
        <v/>
      </c>
      <c r="S106" s="276" t="str">
        <f>IFERROR(VLOOKUP(R106,'G-7 WaterC'' Data'!$C$4:$D$8,2,FALSE),"")</f>
        <v/>
      </c>
      <c r="T106" s="101"/>
      <c r="U106" s="276" t="str">
        <f>IFERROR(INDEX('G-7 WaterC'' Data'!$H$4:$L$8,MATCH(N106,'G-7 WaterC'' Data'!$B$4:$B$8,0),MATCH(T106,'G-7 WaterC'' Data'!$H$3:$L$3,0)),"")</f>
        <v/>
      </c>
      <c r="V106" s="101"/>
      <c r="W106" s="283" t="str">
        <f>IF(V106="","",IF(VLOOKUP(V106,'G-7 WaterC'' Data'!$AK$4:$AM$6,2,FALSE)=0,"Spatial Data Missing ⚠",VLOOKUP(V106,'G-7 WaterC'' Data'!$AK$4:$AM$6,2,FALSE)))</f>
        <v/>
      </c>
      <c r="X106" s="276" t="str">
        <f>IF(V106="","",IF(VLOOKUP(V106,'G-7 WaterC'' Data'!$AK$4:$AM$6,3,FALSE)=0,"Spatial Data Missing ⚠",VLOOKUP(V106,'G-7 WaterC'' Data'!$AK$4:$AM$6,3,FALSE)))</f>
        <v/>
      </c>
      <c r="Y106" s="275" t="str">
        <f>IFERROR(IF(OR(LEFT(P106,5)="Error",LEFT(O106,5)="Error"),"Check Data ⚠",IF(F106&lt;S106,'G-7 WaterC'' Data'!$R$3,INDEX('G-7 WaterC'' Data'!$U$5:$Y$9,MATCH(G106,'G-7 WaterC'' Data'!$T$5:$T$9,0),MATCH(T106,'G-7 WaterC'' Data'!$U$4:$Y$4,0)))),"")</f>
        <v/>
      </c>
      <c r="Z106" s="133"/>
      <c r="AA106" s="133"/>
      <c r="AB106" s="283" t="str">
        <f t="shared" si="13"/>
        <v/>
      </c>
      <c r="AC106" s="296" t="str">
        <f t="shared" si="14"/>
        <v/>
      </c>
      <c r="AD106" s="334" t="str">
        <f>IFERROR(IF(AC106="Check Data ⚠","Check Data ⚠",VLOOKUP(AC106,'G-4 Temporal multipliers'!$A$4:$C$37,3,FALSE)),"")</f>
        <v/>
      </c>
      <c r="AE106" s="275" t="str">
        <f>IF(N106="","",VLOOKUP(N106,'G-7 WaterC'' Data'!$B$4:$G$8,5,FALSE))</f>
        <v/>
      </c>
      <c r="AF106" s="283" t="str">
        <f t="shared" si="15"/>
        <v/>
      </c>
      <c r="AG106" s="314" t="str">
        <f t="shared" si="16"/>
        <v/>
      </c>
      <c r="AH106" s="276" t="str">
        <f t="shared" si="10"/>
        <v/>
      </c>
      <c r="AI106" s="105"/>
      <c r="AJ106" s="276" t="str">
        <f>IF(AI106="","",IF(AND(AI106="N/A - Culvert",N106&lt;&gt;"Culvert"),"Not possible ▲",IF(VLOOKUP(AI106,'G-7 WaterC'' Data'!$AA$4:$AB$7,2,FALSE)=0,"Spatial Data Missing ⚠",VLOOKUP(AI106,'G-7 WaterC'' Data'!$AA$4:$AB$7,2,FALSE))))</f>
        <v/>
      </c>
      <c r="AK106" s="106"/>
      <c r="AL106" s="276" t="str">
        <f>IF(AK106="","",IF(AND(AK106="N/A - Culvert",N106&lt;&gt;"Culvert"),"Not possible ▲",IF(VLOOKUP(AK106,'G-7 WaterC'' Data'!$AD$4:$AE$14,2,FALSE)=0,"Spatial Data Missing ⚠",VLOOKUP(AK106,'G-7 WaterC'' Data'!$AD$4:$AE$14,2,FALSE))))</f>
        <v/>
      </c>
      <c r="AM106" s="317" t="str">
        <f t="shared" si="17"/>
        <v/>
      </c>
      <c r="AN106" s="101"/>
      <c r="AO106" s="115"/>
      <c r="AP106" s="104"/>
      <c r="AS106" s="30" t="str">
        <f>IF(B106="","",IF(ISNA(VLOOKUP($B106,'C-1 On-Site WaterC'' Baseline'!$C$8:$AD$257,17,FALSE)),"",(VLOOKUP($B106,'C-1 On-Site WaterC'' Baseline'!$C$8:$AD$257,17,FALSE))))</f>
        <v/>
      </c>
      <c r="AT106" s="30" t="str">
        <f>IF(B106="","",VLOOKUP($B106,'C-1 On-Site WaterC'' Baseline'!$C$9:$Z$257,12,FALSE))</f>
        <v/>
      </c>
      <c r="AU106" s="30" t="str">
        <f>IF(B106="","",VLOOKUP($B106,'C-1 On-Site WaterC'' Baseline'!$C$9:$Z$257,14,FALSE))</f>
        <v/>
      </c>
      <c r="AV106" s="30" t="str">
        <f>IFERROR(INDEX('G-7 WaterC'' Data'!$AZ$3:$AZ$7,MATCH(N106,'G-7 WaterC'' Data'!$AY$3:$AY$7,0)),"")</f>
        <v/>
      </c>
      <c r="AX106" s="30" t="str">
        <f>IF(B106="","",VLOOKUP($B106,'C-1 On-Site WaterC'' Baseline'!$C$9:$Y$257,22,FALSE))</f>
        <v/>
      </c>
      <c r="AY106" s="30" t="str">
        <f t="shared" si="18"/>
        <v/>
      </c>
      <c r="AZ106" s="30" t="str">
        <f>IF(B106="","",VLOOKUP($B106,'C-1 On-Site WaterC'' Baseline'!$C$9:$Y$257,21,FALSE))</f>
        <v/>
      </c>
      <c r="BA106" s="30" t="str">
        <f>IF(B106="","",VLOOKUP($B106,'C-1 On-Site WaterC'' Baseline'!$C$9:$Y$257,19,FALSE))</f>
        <v/>
      </c>
      <c r="BD106" s="30" t="str">
        <f t="shared" si="19"/>
        <v>No</v>
      </c>
    </row>
    <row r="107" spans="2:56" ht="14">
      <c r="B107" s="305" t="str">
        <f>'C-1 On-Site WaterC'' Baseline'!AP105</f>
        <v/>
      </c>
      <c r="C107" s="295" t="str">
        <f>IF(B107="","",VLOOKUP($B107,'C-1 On-Site WaterC'' Baseline'!$C$9:$R$257,2,FALSE))</f>
        <v/>
      </c>
      <c r="D107" s="295" t="str">
        <f>IF(C107="","",VLOOKUP($B107,'C-1 On-Site WaterC'' Baseline'!$C$9:$R$257,3,FALSE))</f>
        <v/>
      </c>
      <c r="E107" s="295" t="str">
        <f>IF(D107="","",VLOOKUP($B107,'C-1 On-Site WaterC'' Baseline'!$C$9:$R$257,4,FALSE))</f>
        <v/>
      </c>
      <c r="F107" s="295" t="str">
        <f>IF(E107="","",VLOOKUP($B107,'C-1 On-Site WaterC'' Baseline'!$C$9:$R$257,5,FALSE))</f>
        <v/>
      </c>
      <c r="G107" s="295" t="str">
        <f>IF(F107="","",VLOOKUP($B107,'C-1 On-Site WaterC'' Baseline'!$C$9:$R$257,6,FALSE))</f>
        <v/>
      </c>
      <c r="H107" s="295" t="str">
        <f>IF(G107="","",VLOOKUP($B107,'C-1 On-Site WaterC'' Baseline'!$C$9:$R$257,7,FALSE))</f>
        <v/>
      </c>
      <c r="I107" s="295" t="str">
        <f>IF(H107="","",VLOOKUP($B107,'C-1 On-Site WaterC'' Baseline'!$C$9:$R$257,8,FALSE))</f>
        <v/>
      </c>
      <c r="J107" s="295" t="str">
        <f>IF(I107="","",VLOOKUP($B107,'C-1 On-Site WaterC'' Baseline'!$C$9:$R$257,9,FALSE))</f>
        <v/>
      </c>
      <c r="K107" s="295" t="str">
        <f>IF(J107="","",VLOOKUP($B107,'C-1 On-Site WaterC'' Baseline'!$C$9:$R$257,10,FALSE))</f>
        <v/>
      </c>
      <c r="L107" s="295" t="str">
        <f>IF(B107="","",VLOOKUP($B107,'C-1 On-Site WaterC'' Baseline'!$C$9:$R$257,15,FALSE))</f>
        <v/>
      </c>
      <c r="M107" s="299" t="str">
        <f>IF(L107="","",VLOOKUP($B107,'C-1 On-Site WaterC'' Baseline'!$C$9:$R$257,16,FALSE))</f>
        <v/>
      </c>
      <c r="N107" s="245"/>
      <c r="O107" s="275" t="str">
        <f t="shared" si="11"/>
        <v/>
      </c>
      <c r="P107" s="276" t="str">
        <f t="shared" si="12"/>
        <v/>
      </c>
      <c r="Q107" s="336" t="str">
        <f>IF(N107="","",VLOOKUP(B107,'C-1 On-Site WaterC'' Baseline'!$C$10:$AC$257,20,FALSE))</f>
        <v/>
      </c>
      <c r="R107" s="275" t="str">
        <f>IF(N107="","",VLOOKUP(N107,'G-7 WaterC'' Data'!$B$2:$G$8,2,FALSE))</f>
        <v/>
      </c>
      <c r="S107" s="276" t="str">
        <f>IFERROR(VLOOKUP(R107,'G-7 WaterC'' Data'!$C$4:$D$8,2,FALSE),"")</f>
        <v/>
      </c>
      <c r="T107" s="101"/>
      <c r="U107" s="276" t="str">
        <f>IFERROR(INDEX('G-7 WaterC'' Data'!$H$4:$L$8,MATCH(N107,'G-7 WaterC'' Data'!$B$4:$B$8,0),MATCH(T107,'G-7 WaterC'' Data'!$H$3:$L$3,0)),"")</f>
        <v/>
      </c>
      <c r="V107" s="101"/>
      <c r="W107" s="283" t="str">
        <f>IF(V107="","",IF(VLOOKUP(V107,'G-7 WaterC'' Data'!$AK$4:$AM$6,2,FALSE)=0,"Spatial Data Missing ⚠",VLOOKUP(V107,'G-7 WaterC'' Data'!$AK$4:$AM$6,2,FALSE)))</f>
        <v/>
      </c>
      <c r="X107" s="276" t="str">
        <f>IF(V107="","",IF(VLOOKUP(V107,'G-7 WaterC'' Data'!$AK$4:$AM$6,3,FALSE)=0,"Spatial Data Missing ⚠",VLOOKUP(V107,'G-7 WaterC'' Data'!$AK$4:$AM$6,3,FALSE)))</f>
        <v/>
      </c>
      <c r="Y107" s="275" t="str">
        <f>IFERROR(IF(OR(LEFT(P107,5)="Error",LEFT(O107,5)="Error"),"Check Data ⚠",IF(F107&lt;S107,'G-7 WaterC'' Data'!$R$3,INDEX('G-7 WaterC'' Data'!$U$5:$Y$9,MATCH(G107,'G-7 WaterC'' Data'!$T$5:$T$9,0),MATCH(T107,'G-7 WaterC'' Data'!$U$4:$Y$4,0)))),"")</f>
        <v/>
      </c>
      <c r="Z107" s="133"/>
      <c r="AA107" s="133"/>
      <c r="AB107" s="283" t="str">
        <f t="shared" si="13"/>
        <v/>
      </c>
      <c r="AC107" s="296" t="str">
        <f t="shared" si="14"/>
        <v/>
      </c>
      <c r="AD107" s="334" t="str">
        <f>IFERROR(IF(AC107="Check Data ⚠","Check Data ⚠",VLOOKUP(AC107,'G-4 Temporal multipliers'!$A$4:$C$37,3,FALSE)),"")</f>
        <v/>
      </c>
      <c r="AE107" s="275" t="str">
        <f>IF(N107="","",VLOOKUP(N107,'G-7 WaterC'' Data'!$B$4:$G$8,5,FALSE))</f>
        <v/>
      </c>
      <c r="AF107" s="283" t="str">
        <f t="shared" si="15"/>
        <v/>
      </c>
      <c r="AG107" s="314" t="str">
        <f t="shared" si="16"/>
        <v/>
      </c>
      <c r="AH107" s="276" t="str">
        <f t="shared" si="10"/>
        <v/>
      </c>
      <c r="AI107" s="105"/>
      <c r="AJ107" s="276" t="str">
        <f>IF(AI107="","",IF(AND(AI107="N/A - Culvert",N107&lt;&gt;"Culvert"),"Not possible ▲",IF(VLOOKUP(AI107,'G-7 WaterC'' Data'!$AA$4:$AB$7,2,FALSE)=0,"Spatial Data Missing ⚠",VLOOKUP(AI107,'G-7 WaterC'' Data'!$AA$4:$AB$7,2,FALSE))))</f>
        <v/>
      </c>
      <c r="AK107" s="106"/>
      <c r="AL107" s="276" t="str">
        <f>IF(AK107="","",IF(AND(AK107="N/A - Culvert",N107&lt;&gt;"Culvert"),"Not possible ▲",IF(VLOOKUP(AK107,'G-7 WaterC'' Data'!$AD$4:$AE$14,2,FALSE)=0,"Spatial Data Missing ⚠",VLOOKUP(AK107,'G-7 WaterC'' Data'!$AD$4:$AE$14,2,FALSE))))</f>
        <v/>
      </c>
      <c r="AM107" s="317" t="str">
        <f t="shared" si="17"/>
        <v/>
      </c>
      <c r="AN107" s="101"/>
      <c r="AO107" s="115"/>
      <c r="AP107" s="104"/>
      <c r="AS107" s="30" t="str">
        <f>IF(B107="","",IF(ISNA(VLOOKUP($B107,'C-1 On-Site WaterC'' Baseline'!$C$8:$AD$257,17,FALSE)),"",(VLOOKUP($B107,'C-1 On-Site WaterC'' Baseline'!$C$8:$AD$257,17,FALSE))))</f>
        <v/>
      </c>
      <c r="AT107" s="30" t="str">
        <f>IF(B107="","",VLOOKUP($B107,'C-1 On-Site WaterC'' Baseline'!$C$9:$Z$257,12,FALSE))</f>
        <v/>
      </c>
      <c r="AU107" s="30" t="str">
        <f>IF(B107="","",VLOOKUP($B107,'C-1 On-Site WaterC'' Baseline'!$C$9:$Z$257,14,FALSE))</f>
        <v/>
      </c>
      <c r="AV107" s="30" t="str">
        <f>IFERROR(INDEX('G-7 WaterC'' Data'!$AZ$3:$AZ$7,MATCH(N107,'G-7 WaterC'' Data'!$AY$3:$AY$7,0)),"")</f>
        <v/>
      </c>
      <c r="AX107" s="30" t="str">
        <f>IF(B107="","",VLOOKUP($B107,'C-1 On-Site WaterC'' Baseline'!$C$9:$Y$257,22,FALSE))</f>
        <v/>
      </c>
      <c r="AY107" s="30" t="str">
        <f t="shared" si="18"/>
        <v/>
      </c>
      <c r="AZ107" s="30" t="str">
        <f>IF(B107="","",VLOOKUP($B107,'C-1 On-Site WaterC'' Baseline'!$C$9:$Y$257,21,FALSE))</f>
        <v/>
      </c>
      <c r="BA107" s="30" t="str">
        <f>IF(B107="","",VLOOKUP($B107,'C-1 On-Site WaterC'' Baseline'!$C$9:$Y$257,19,FALSE))</f>
        <v/>
      </c>
      <c r="BD107" s="30" t="str">
        <f t="shared" si="19"/>
        <v>No</v>
      </c>
    </row>
    <row r="108" spans="2:56" ht="14">
      <c r="B108" s="305" t="str">
        <f>'C-1 On-Site WaterC'' Baseline'!AP106</f>
        <v/>
      </c>
      <c r="C108" s="295" t="str">
        <f>IF(B108="","",VLOOKUP($B108,'C-1 On-Site WaterC'' Baseline'!$C$9:$R$257,2,FALSE))</f>
        <v/>
      </c>
      <c r="D108" s="295" t="str">
        <f>IF(C108="","",VLOOKUP($B108,'C-1 On-Site WaterC'' Baseline'!$C$9:$R$257,3,FALSE))</f>
        <v/>
      </c>
      <c r="E108" s="295" t="str">
        <f>IF(D108="","",VLOOKUP($B108,'C-1 On-Site WaterC'' Baseline'!$C$9:$R$257,4,FALSE))</f>
        <v/>
      </c>
      <c r="F108" s="295" t="str">
        <f>IF(E108="","",VLOOKUP($B108,'C-1 On-Site WaterC'' Baseline'!$C$9:$R$257,5,FALSE))</f>
        <v/>
      </c>
      <c r="G108" s="295" t="str">
        <f>IF(F108="","",VLOOKUP($B108,'C-1 On-Site WaterC'' Baseline'!$C$9:$R$257,6,FALSE))</f>
        <v/>
      </c>
      <c r="H108" s="295" t="str">
        <f>IF(G108="","",VLOOKUP($B108,'C-1 On-Site WaterC'' Baseline'!$C$9:$R$257,7,FALSE))</f>
        <v/>
      </c>
      <c r="I108" s="295" t="str">
        <f>IF(H108="","",VLOOKUP($B108,'C-1 On-Site WaterC'' Baseline'!$C$9:$R$257,8,FALSE))</f>
        <v/>
      </c>
      <c r="J108" s="295" t="str">
        <f>IF(I108="","",VLOOKUP($B108,'C-1 On-Site WaterC'' Baseline'!$C$9:$R$257,9,FALSE))</f>
        <v/>
      </c>
      <c r="K108" s="295" t="str">
        <f>IF(J108="","",VLOOKUP($B108,'C-1 On-Site WaterC'' Baseline'!$C$9:$R$257,10,FALSE))</f>
        <v/>
      </c>
      <c r="L108" s="295" t="str">
        <f>IF(B108="","",VLOOKUP($B108,'C-1 On-Site WaterC'' Baseline'!$C$9:$R$257,15,FALSE))</f>
        <v/>
      </c>
      <c r="M108" s="299" t="str">
        <f>IF(L108="","",VLOOKUP($B108,'C-1 On-Site WaterC'' Baseline'!$C$9:$R$257,16,FALSE))</f>
        <v/>
      </c>
      <c r="N108" s="245"/>
      <c r="O108" s="275" t="str">
        <f t="shared" si="11"/>
        <v/>
      </c>
      <c r="P108" s="276" t="str">
        <f t="shared" si="12"/>
        <v/>
      </c>
      <c r="Q108" s="336" t="str">
        <f>IF(N108="","",VLOOKUP(B108,'C-1 On-Site WaterC'' Baseline'!$C$10:$AC$257,20,FALSE))</f>
        <v/>
      </c>
      <c r="R108" s="275" t="str">
        <f>IF(N108="","",VLOOKUP(N108,'G-7 WaterC'' Data'!$B$2:$G$8,2,FALSE))</f>
        <v/>
      </c>
      <c r="S108" s="276" t="str">
        <f>IFERROR(VLOOKUP(R108,'G-7 WaterC'' Data'!$C$4:$D$8,2,FALSE),"")</f>
        <v/>
      </c>
      <c r="T108" s="101"/>
      <c r="U108" s="276" t="str">
        <f>IFERROR(INDEX('G-7 WaterC'' Data'!$H$4:$L$8,MATCH(N108,'G-7 WaterC'' Data'!$B$4:$B$8,0),MATCH(T108,'G-7 WaterC'' Data'!$H$3:$L$3,0)),"")</f>
        <v/>
      </c>
      <c r="V108" s="101"/>
      <c r="W108" s="283" t="str">
        <f>IF(V108="","",IF(VLOOKUP(V108,'G-7 WaterC'' Data'!$AK$4:$AM$6,2,FALSE)=0,"Spatial Data Missing ⚠",VLOOKUP(V108,'G-7 WaterC'' Data'!$AK$4:$AM$6,2,FALSE)))</f>
        <v/>
      </c>
      <c r="X108" s="276" t="str">
        <f>IF(V108="","",IF(VLOOKUP(V108,'G-7 WaterC'' Data'!$AK$4:$AM$6,3,FALSE)=0,"Spatial Data Missing ⚠",VLOOKUP(V108,'G-7 WaterC'' Data'!$AK$4:$AM$6,3,FALSE)))</f>
        <v/>
      </c>
      <c r="Y108" s="275" t="str">
        <f>IFERROR(IF(OR(LEFT(P108,5)="Error",LEFT(O108,5)="Error"),"Check Data ⚠",IF(F108&lt;S108,'G-7 WaterC'' Data'!$R$3,INDEX('G-7 WaterC'' Data'!$U$5:$Y$9,MATCH(G108,'G-7 WaterC'' Data'!$T$5:$T$9,0),MATCH(T108,'G-7 WaterC'' Data'!$U$4:$Y$4,0)))),"")</f>
        <v/>
      </c>
      <c r="Z108" s="133"/>
      <c r="AA108" s="133"/>
      <c r="AB108" s="283" t="str">
        <f t="shared" si="13"/>
        <v/>
      </c>
      <c r="AC108" s="296" t="str">
        <f t="shared" si="14"/>
        <v/>
      </c>
      <c r="AD108" s="334" t="str">
        <f>IFERROR(IF(AC108="Check Data ⚠","Check Data ⚠",VLOOKUP(AC108,'G-4 Temporal multipliers'!$A$4:$C$37,3,FALSE)),"")</f>
        <v/>
      </c>
      <c r="AE108" s="275" t="str">
        <f>IF(N108="","",VLOOKUP(N108,'G-7 WaterC'' Data'!$B$4:$G$8,5,FALSE))</f>
        <v/>
      </c>
      <c r="AF108" s="283" t="str">
        <f t="shared" si="15"/>
        <v/>
      </c>
      <c r="AG108" s="314" t="str">
        <f t="shared" si="16"/>
        <v/>
      </c>
      <c r="AH108" s="276" t="str">
        <f t="shared" si="10"/>
        <v/>
      </c>
      <c r="AI108" s="105"/>
      <c r="AJ108" s="276" t="str">
        <f>IF(AI108="","",IF(AND(AI108="N/A - Culvert",N108&lt;&gt;"Culvert"),"Not possible ▲",IF(VLOOKUP(AI108,'G-7 WaterC'' Data'!$AA$4:$AB$7,2,FALSE)=0,"Spatial Data Missing ⚠",VLOOKUP(AI108,'G-7 WaterC'' Data'!$AA$4:$AB$7,2,FALSE))))</f>
        <v/>
      </c>
      <c r="AK108" s="106"/>
      <c r="AL108" s="276" t="str">
        <f>IF(AK108="","",IF(AND(AK108="N/A - Culvert",N108&lt;&gt;"Culvert"),"Not possible ▲",IF(VLOOKUP(AK108,'G-7 WaterC'' Data'!$AD$4:$AE$14,2,FALSE)=0,"Spatial Data Missing ⚠",VLOOKUP(AK108,'G-7 WaterC'' Data'!$AD$4:$AE$14,2,FALSE))))</f>
        <v/>
      </c>
      <c r="AM108" s="317" t="str">
        <f t="shared" si="17"/>
        <v/>
      </c>
      <c r="AN108" s="101"/>
      <c r="AO108" s="115"/>
      <c r="AP108" s="104"/>
      <c r="AS108" s="30" t="str">
        <f>IF(B108="","",IF(ISNA(VLOOKUP($B108,'C-1 On-Site WaterC'' Baseline'!$C$8:$AD$257,17,FALSE)),"",(VLOOKUP($B108,'C-1 On-Site WaterC'' Baseline'!$C$8:$AD$257,17,FALSE))))</f>
        <v/>
      </c>
      <c r="AT108" s="30" t="str">
        <f>IF(B108="","",VLOOKUP($B108,'C-1 On-Site WaterC'' Baseline'!$C$9:$Z$257,12,FALSE))</f>
        <v/>
      </c>
      <c r="AU108" s="30" t="str">
        <f>IF(B108="","",VLOOKUP($B108,'C-1 On-Site WaterC'' Baseline'!$C$9:$Z$257,14,FALSE))</f>
        <v/>
      </c>
      <c r="AV108" s="30" t="str">
        <f>IFERROR(INDEX('G-7 WaterC'' Data'!$AZ$3:$AZ$7,MATCH(N108,'G-7 WaterC'' Data'!$AY$3:$AY$7,0)),"")</f>
        <v/>
      </c>
      <c r="AX108" s="30" t="str">
        <f>IF(B108="","",VLOOKUP($B108,'C-1 On-Site WaterC'' Baseline'!$C$9:$Y$257,22,FALSE))</f>
        <v/>
      </c>
      <c r="AY108" s="30" t="str">
        <f t="shared" si="18"/>
        <v/>
      </c>
      <c r="AZ108" s="30" t="str">
        <f>IF(B108="","",VLOOKUP($B108,'C-1 On-Site WaterC'' Baseline'!$C$9:$Y$257,21,FALSE))</f>
        <v/>
      </c>
      <c r="BA108" s="30" t="str">
        <f>IF(B108="","",VLOOKUP($B108,'C-1 On-Site WaterC'' Baseline'!$C$9:$Y$257,19,FALSE))</f>
        <v/>
      </c>
      <c r="BD108" s="30" t="str">
        <f t="shared" si="19"/>
        <v>No</v>
      </c>
    </row>
    <row r="109" spans="2:56" ht="14">
      <c r="B109" s="305" t="str">
        <f>'C-1 On-Site WaterC'' Baseline'!AP107</f>
        <v/>
      </c>
      <c r="C109" s="295" t="str">
        <f>IF(B109="","",VLOOKUP($B109,'C-1 On-Site WaterC'' Baseline'!$C$9:$R$257,2,FALSE))</f>
        <v/>
      </c>
      <c r="D109" s="295" t="str">
        <f>IF(C109="","",VLOOKUP($B109,'C-1 On-Site WaterC'' Baseline'!$C$9:$R$257,3,FALSE))</f>
        <v/>
      </c>
      <c r="E109" s="295" t="str">
        <f>IF(D109="","",VLOOKUP($B109,'C-1 On-Site WaterC'' Baseline'!$C$9:$R$257,4,FALSE))</f>
        <v/>
      </c>
      <c r="F109" s="295" t="str">
        <f>IF(E109="","",VLOOKUP($B109,'C-1 On-Site WaterC'' Baseline'!$C$9:$R$257,5,FALSE))</f>
        <v/>
      </c>
      <c r="G109" s="295" t="str">
        <f>IF(F109="","",VLOOKUP($B109,'C-1 On-Site WaterC'' Baseline'!$C$9:$R$257,6,FALSE))</f>
        <v/>
      </c>
      <c r="H109" s="295" t="str">
        <f>IF(G109="","",VLOOKUP($B109,'C-1 On-Site WaterC'' Baseline'!$C$9:$R$257,7,FALSE))</f>
        <v/>
      </c>
      <c r="I109" s="295" t="str">
        <f>IF(H109="","",VLOOKUP($B109,'C-1 On-Site WaterC'' Baseline'!$C$9:$R$257,8,FALSE))</f>
        <v/>
      </c>
      <c r="J109" s="295" t="str">
        <f>IF(I109="","",VLOOKUP($B109,'C-1 On-Site WaterC'' Baseline'!$C$9:$R$257,9,FALSE))</f>
        <v/>
      </c>
      <c r="K109" s="295" t="str">
        <f>IF(J109="","",VLOOKUP($B109,'C-1 On-Site WaterC'' Baseline'!$C$9:$R$257,10,FALSE))</f>
        <v/>
      </c>
      <c r="L109" s="295" t="str">
        <f>IF(B109="","",VLOOKUP($B109,'C-1 On-Site WaterC'' Baseline'!$C$9:$R$257,15,FALSE))</f>
        <v/>
      </c>
      <c r="M109" s="299" t="str">
        <f>IF(L109="","",VLOOKUP($B109,'C-1 On-Site WaterC'' Baseline'!$C$9:$R$257,16,FALSE))</f>
        <v/>
      </c>
      <c r="N109" s="245"/>
      <c r="O109" s="275" t="str">
        <f t="shared" si="11"/>
        <v/>
      </c>
      <c r="P109" s="276" t="str">
        <f t="shared" si="12"/>
        <v/>
      </c>
      <c r="Q109" s="336" t="str">
        <f>IF(N109="","",VLOOKUP(B109,'C-1 On-Site WaterC'' Baseline'!$C$10:$AC$257,20,FALSE))</f>
        <v/>
      </c>
      <c r="R109" s="275" t="str">
        <f>IF(N109="","",VLOOKUP(N109,'G-7 WaterC'' Data'!$B$2:$G$8,2,FALSE))</f>
        <v/>
      </c>
      <c r="S109" s="276" t="str">
        <f>IFERROR(VLOOKUP(R109,'G-7 WaterC'' Data'!$C$4:$D$8,2,FALSE),"")</f>
        <v/>
      </c>
      <c r="T109" s="101"/>
      <c r="U109" s="276" t="str">
        <f>IFERROR(INDEX('G-7 WaterC'' Data'!$H$4:$L$8,MATCH(N109,'G-7 WaterC'' Data'!$B$4:$B$8,0),MATCH(T109,'G-7 WaterC'' Data'!$H$3:$L$3,0)),"")</f>
        <v/>
      </c>
      <c r="V109" s="101"/>
      <c r="W109" s="283" t="str">
        <f>IF(V109="","",IF(VLOOKUP(V109,'G-7 WaterC'' Data'!$AK$4:$AM$6,2,FALSE)=0,"Spatial Data Missing ⚠",VLOOKUP(V109,'G-7 WaterC'' Data'!$AK$4:$AM$6,2,FALSE)))</f>
        <v/>
      </c>
      <c r="X109" s="276" t="str">
        <f>IF(V109="","",IF(VLOOKUP(V109,'G-7 WaterC'' Data'!$AK$4:$AM$6,3,FALSE)=0,"Spatial Data Missing ⚠",VLOOKUP(V109,'G-7 WaterC'' Data'!$AK$4:$AM$6,3,FALSE)))</f>
        <v/>
      </c>
      <c r="Y109" s="275" t="str">
        <f>IFERROR(IF(OR(LEFT(P109,5)="Error",LEFT(O109,5)="Error"),"Check Data ⚠",IF(F109&lt;S109,'G-7 WaterC'' Data'!$R$3,INDEX('G-7 WaterC'' Data'!$U$5:$Y$9,MATCH(G109,'G-7 WaterC'' Data'!$T$5:$T$9,0),MATCH(T109,'G-7 WaterC'' Data'!$U$4:$Y$4,0)))),"")</f>
        <v/>
      </c>
      <c r="Z109" s="133"/>
      <c r="AA109" s="133"/>
      <c r="AB109" s="283" t="str">
        <f t="shared" si="13"/>
        <v/>
      </c>
      <c r="AC109" s="296" t="str">
        <f t="shared" si="14"/>
        <v/>
      </c>
      <c r="AD109" s="334" t="str">
        <f>IFERROR(IF(AC109="Check Data ⚠","Check Data ⚠",VLOOKUP(AC109,'G-4 Temporal multipliers'!$A$4:$C$37,3,FALSE)),"")</f>
        <v/>
      </c>
      <c r="AE109" s="275" t="str">
        <f>IF(N109="","",VLOOKUP(N109,'G-7 WaterC'' Data'!$B$4:$G$8,5,FALSE))</f>
        <v/>
      </c>
      <c r="AF109" s="283" t="str">
        <f t="shared" si="15"/>
        <v/>
      </c>
      <c r="AG109" s="314" t="str">
        <f t="shared" si="16"/>
        <v/>
      </c>
      <c r="AH109" s="276" t="str">
        <f t="shared" si="10"/>
        <v/>
      </c>
      <c r="AI109" s="105"/>
      <c r="AJ109" s="276" t="str">
        <f>IF(AI109="","",IF(AND(AI109="N/A - Culvert",N109&lt;&gt;"Culvert"),"Not possible ▲",IF(VLOOKUP(AI109,'G-7 WaterC'' Data'!$AA$4:$AB$7,2,FALSE)=0,"Spatial Data Missing ⚠",VLOOKUP(AI109,'G-7 WaterC'' Data'!$AA$4:$AB$7,2,FALSE))))</f>
        <v/>
      </c>
      <c r="AK109" s="106"/>
      <c r="AL109" s="276" t="str">
        <f>IF(AK109="","",IF(AND(AK109="N/A - Culvert",N109&lt;&gt;"Culvert"),"Not possible ▲",IF(VLOOKUP(AK109,'G-7 WaterC'' Data'!$AD$4:$AE$14,2,FALSE)=0,"Spatial Data Missing ⚠",VLOOKUP(AK109,'G-7 WaterC'' Data'!$AD$4:$AE$14,2,FALSE))))</f>
        <v/>
      </c>
      <c r="AM109" s="317" t="str">
        <f t="shared" si="17"/>
        <v/>
      </c>
      <c r="AN109" s="101"/>
      <c r="AO109" s="115"/>
      <c r="AP109" s="104"/>
      <c r="AS109" s="30" t="str">
        <f>IF(B109="","",IF(ISNA(VLOOKUP($B109,'C-1 On-Site WaterC'' Baseline'!$C$8:$AD$257,17,FALSE)),"",(VLOOKUP($B109,'C-1 On-Site WaterC'' Baseline'!$C$8:$AD$257,17,FALSE))))</f>
        <v/>
      </c>
      <c r="AT109" s="30" t="str">
        <f>IF(B109="","",VLOOKUP($B109,'C-1 On-Site WaterC'' Baseline'!$C$9:$Z$257,12,FALSE))</f>
        <v/>
      </c>
      <c r="AU109" s="30" t="str">
        <f>IF(B109="","",VLOOKUP($B109,'C-1 On-Site WaterC'' Baseline'!$C$9:$Z$257,14,FALSE))</f>
        <v/>
      </c>
      <c r="AV109" s="30" t="str">
        <f>IFERROR(INDEX('G-7 WaterC'' Data'!$AZ$3:$AZ$7,MATCH(N109,'G-7 WaterC'' Data'!$AY$3:$AY$7,0)),"")</f>
        <v/>
      </c>
      <c r="AX109" s="30" t="str">
        <f>IF(B109="","",VLOOKUP($B109,'C-1 On-Site WaterC'' Baseline'!$C$9:$Y$257,22,FALSE))</f>
        <v/>
      </c>
      <c r="AY109" s="30" t="str">
        <f t="shared" si="18"/>
        <v/>
      </c>
      <c r="AZ109" s="30" t="str">
        <f>IF(B109="","",VLOOKUP($B109,'C-1 On-Site WaterC'' Baseline'!$C$9:$Y$257,21,FALSE))</f>
        <v/>
      </c>
      <c r="BA109" s="30" t="str">
        <f>IF(B109="","",VLOOKUP($B109,'C-1 On-Site WaterC'' Baseline'!$C$9:$Y$257,19,FALSE))</f>
        <v/>
      </c>
      <c r="BD109" s="30" t="str">
        <f t="shared" si="19"/>
        <v>No</v>
      </c>
    </row>
    <row r="110" spans="2:56" ht="14">
      <c r="B110" s="305" t="str">
        <f>'C-1 On-Site WaterC'' Baseline'!AP108</f>
        <v/>
      </c>
      <c r="C110" s="295" t="str">
        <f>IF(B110="","",VLOOKUP($B110,'C-1 On-Site WaterC'' Baseline'!$C$9:$R$257,2,FALSE))</f>
        <v/>
      </c>
      <c r="D110" s="295" t="str">
        <f>IF(C110="","",VLOOKUP($B110,'C-1 On-Site WaterC'' Baseline'!$C$9:$R$257,3,FALSE))</f>
        <v/>
      </c>
      <c r="E110" s="295" t="str">
        <f>IF(D110="","",VLOOKUP($B110,'C-1 On-Site WaterC'' Baseline'!$C$9:$R$257,4,FALSE))</f>
        <v/>
      </c>
      <c r="F110" s="295" t="str">
        <f>IF(E110="","",VLOOKUP($B110,'C-1 On-Site WaterC'' Baseline'!$C$9:$R$257,5,FALSE))</f>
        <v/>
      </c>
      <c r="G110" s="295" t="str">
        <f>IF(F110="","",VLOOKUP($B110,'C-1 On-Site WaterC'' Baseline'!$C$9:$R$257,6,FALSE))</f>
        <v/>
      </c>
      <c r="H110" s="295" t="str">
        <f>IF(G110="","",VLOOKUP($B110,'C-1 On-Site WaterC'' Baseline'!$C$9:$R$257,7,FALSE))</f>
        <v/>
      </c>
      <c r="I110" s="295" t="str">
        <f>IF(H110="","",VLOOKUP($B110,'C-1 On-Site WaterC'' Baseline'!$C$9:$R$257,8,FALSE))</f>
        <v/>
      </c>
      <c r="J110" s="295" t="str">
        <f>IF(I110="","",VLOOKUP($B110,'C-1 On-Site WaterC'' Baseline'!$C$9:$R$257,9,FALSE))</f>
        <v/>
      </c>
      <c r="K110" s="295" t="str">
        <f>IF(J110="","",VLOOKUP($B110,'C-1 On-Site WaterC'' Baseline'!$C$9:$R$257,10,FALSE))</f>
        <v/>
      </c>
      <c r="L110" s="295" t="str">
        <f>IF(B110="","",VLOOKUP($B110,'C-1 On-Site WaterC'' Baseline'!$C$9:$R$257,15,FALSE))</f>
        <v/>
      </c>
      <c r="M110" s="299" t="str">
        <f>IF(L110="","",VLOOKUP($B110,'C-1 On-Site WaterC'' Baseline'!$C$9:$R$257,16,FALSE))</f>
        <v/>
      </c>
      <c r="N110" s="245"/>
      <c r="O110" s="275" t="str">
        <f t="shared" si="11"/>
        <v/>
      </c>
      <c r="P110" s="276" t="str">
        <f t="shared" si="12"/>
        <v/>
      </c>
      <c r="Q110" s="336" t="str">
        <f>IF(N110="","",VLOOKUP(B110,'C-1 On-Site WaterC'' Baseline'!$C$10:$AC$257,20,FALSE))</f>
        <v/>
      </c>
      <c r="R110" s="275" t="str">
        <f>IF(N110="","",VLOOKUP(N110,'G-7 WaterC'' Data'!$B$2:$G$8,2,FALSE))</f>
        <v/>
      </c>
      <c r="S110" s="276" t="str">
        <f>IFERROR(VLOOKUP(R110,'G-7 WaterC'' Data'!$C$4:$D$8,2,FALSE),"")</f>
        <v/>
      </c>
      <c r="T110" s="101"/>
      <c r="U110" s="276" t="str">
        <f>IFERROR(INDEX('G-7 WaterC'' Data'!$H$4:$L$8,MATCH(N110,'G-7 WaterC'' Data'!$B$4:$B$8,0),MATCH(T110,'G-7 WaterC'' Data'!$H$3:$L$3,0)),"")</f>
        <v/>
      </c>
      <c r="V110" s="101"/>
      <c r="W110" s="283" t="str">
        <f>IF(V110="","",IF(VLOOKUP(V110,'G-7 WaterC'' Data'!$AK$4:$AM$6,2,FALSE)=0,"Spatial Data Missing ⚠",VLOOKUP(V110,'G-7 WaterC'' Data'!$AK$4:$AM$6,2,FALSE)))</f>
        <v/>
      </c>
      <c r="X110" s="276" t="str">
        <f>IF(V110="","",IF(VLOOKUP(V110,'G-7 WaterC'' Data'!$AK$4:$AM$6,3,FALSE)=0,"Spatial Data Missing ⚠",VLOOKUP(V110,'G-7 WaterC'' Data'!$AK$4:$AM$6,3,FALSE)))</f>
        <v/>
      </c>
      <c r="Y110" s="275" t="str">
        <f>IFERROR(IF(OR(LEFT(P110,5)="Error",LEFT(O110,5)="Error"),"Check Data ⚠",IF(F110&lt;S110,'G-7 WaterC'' Data'!$R$3,INDEX('G-7 WaterC'' Data'!$U$5:$Y$9,MATCH(G110,'G-7 WaterC'' Data'!$T$5:$T$9,0),MATCH(T110,'G-7 WaterC'' Data'!$U$4:$Y$4,0)))),"")</f>
        <v/>
      </c>
      <c r="Z110" s="133"/>
      <c r="AA110" s="133"/>
      <c r="AB110" s="283" t="str">
        <f t="shared" si="13"/>
        <v/>
      </c>
      <c r="AC110" s="296" t="str">
        <f t="shared" si="14"/>
        <v/>
      </c>
      <c r="AD110" s="334" t="str">
        <f>IFERROR(IF(AC110="Check Data ⚠","Check Data ⚠",VLOOKUP(AC110,'G-4 Temporal multipliers'!$A$4:$C$37,3,FALSE)),"")</f>
        <v/>
      </c>
      <c r="AE110" s="275" t="str">
        <f>IF(N110="","",VLOOKUP(N110,'G-7 WaterC'' Data'!$B$4:$G$8,5,FALSE))</f>
        <v/>
      </c>
      <c r="AF110" s="283" t="str">
        <f t="shared" si="15"/>
        <v/>
      </c>
      <c r="AG110" s="314" t="str">
        <f t="shared" si="16"/>
        <v/>
      </c>
      <c r="AH110" s="276" t="str">
        <f t="shared" si="10"/>
        <v/>
      </c>
      <c r="AI110" s="105"/>
      <c r="AJ110" s="276" t="str">
        <f>IF(AI110="","",IF(AND(AI110="N/A - Culvert",N110&lt;&gt;"Culvert"),"Not possible ▲",IF(VLOOKUP(AI110,'G-7 WaterC'' Data'!$AA$4:$AB$7,2,FALSE)=0,"Spatial Data Missing ⚠",VLOOKUP(AI110,'G-7 WaterC'' Data'!$AA$4:$AB$7,2,FALSE))))</f>
        <v/>
      </c>
      <c r="AK110" s="106"/>
      <c r="AL110" s="276" t="str">
        <f>IF(AK110="","",IF(AND(AK110="N/A - Culvert",N110&lt;&gt;"Culvert"),"Not possible ▲",IF(VLOOKUP(AK110,'G-7 WaterC'' Data'!$AD$4:$AE$14,2,FALSE)=0,"Spatial Data Missing ⚠",VLOOKUP(AK110,'G-7 WaterC'' Data'!$AD$4:$AE$14,2,FALSE))))</f>
        <v/>
      </c>
      <c r="AM110" s="317" t="str">
        <f t="shared" si="17"/>
        <v/>
      </c>
      <c r="AN110" s="101"/>
      <c r="AO110" s="115"/>
      <c r="AP110" s="104"/>
      <c r="AS110" s="30" t="str">
        <f>IF(B110="","",IF(ISNA(VLOOKUP($B110,'C-1 On-Site WaterC'' Baseline'!$C$8:$AD$257,17,FALSE)),"",(VLOOKUP($B110,'C-1 On-Site WaterC'' Baseline'!$C$8:$AD$257,17,FALSE))))</f>
        <v/>
      </c>
      <c r="AT110" s="30" t="str">
        <f>IF(B110="","",VLOOKUP($B110,'C-1 On-Site WaterC'' Baseline'!$C$9:$Z$257,12,FALSE))</f>
        <v/>
      </c>
      <c r="AU110" s="30" t="str">
        <f>IF(B110="","",VLOOKUP($B110,'C-1 On-Site WaterC'' Baseline'!$C$9:$Z$257,14,FALSE))</f>
        <v/>
      </c>
      <c r="AV110" s="30" t="str">
        <f>IFERROR(INDEX('G-7 WaterC'' Data'!$AZ$3:$AZ$7,MATCH(N110,'G-7 WaterC'' Data'!$AY$3:$AY$7,0)),"")</f>
        <v/>
      </c>
      <c r="AX110" s="30" t="str">
        <f>IF(B110="","",VLOOKUP($B110,'C-1 On-Site WaterC'' Baseline'!$C$9:$Y$257,22,FALSE))</f>
        <v/>
      </c>
      <c r="AY110" s="30" t="str">
        <f t="shared" si="18"/>
        <v/>
      </c>
      <c r="AZ110" s="30" t="str">
        <f>IF(B110="","",VLOOKUP($B110,'C-1 On-Site WaterC'' Baseline'!$C$9:$Y$257,21,FALSE))</f>
        <v/>
      </c>
      <c r="BA110" s="30" t="str">
        <f>IF(B110="","",VLOOKUP($B110,'C-1 On-Site WaterC'' Baseline'!$C$9:$Y$257,19,FALSE))</f>
        <v/>
      </c>
      <c r="BD110" s="30" t="str">
        <f t="shared" si="19"/>
        <v>No</v>
      </c>
    </row>
    <row r="111" spans="2:56" ht="14">
      <c r="B111" s="305" t="str">
        <f>'C-1 On-Site WaterC'' Baseline'!AP109</f>
        <v/>
      </c>
      <c r="C111" s="295" t="str">
        <f>IF(B111="","",VLOOKUP($B111,'C-1 On-Site WaterC'' Baseline'!$C$9:$R$257,2,FALSE))</f>
        <v/>
      </c>
      <c r="D111" s="295" t="str">
        <f>IF(C111="","",VLOOKUP($B111,'C-1 On-Site WaterC'' Baseline'!$C$9:$R$257,3,FALSE))</f>
        <v/>
      </c>
      <c r="E111" s="295" t="str">
        <f>IF(D111="","",VLOOKUP($B111,'C-1 On-Site WaterC'' Baseline'!$C$9:$R$257,4,FALSE))</f>
        <v/>
      </c>
      <c r="F111" s="295" t="str">
        <f>IF(E111="","",VLOOKUP($B111,'C-1 On-Site WaterC'' Baseline'!$C$9:$R$257,5,FALSE))</f>
        <v/>
      </c>
      <c r="G111" s="295" t="str">
        <f>IF(F111="","",VLOOKUP($B111,'C-1 On-Site WaterC'' Baseline'!$C$9:$R$257,6,FALSE))</f>
        <v/>
      </c>
      <c r="H111" s="295" t="str">
        <f>IF(G111="","",VLOOKUP($B111,'C-1 On-Site WaterC'' Baseline'!$C$9:$R$257,7,FALSE))</f>
        <v/>
      </c>
      <c r="I111" s="295" t="str">
        <f>IF(H111="","",VLOOKUP($B111,'C-1 On-Site WaterC'' Baseline'!$C$9:$R$257,8,FALSE))</f>
        <v/>
      </c>
      <c r="J111" s="295" t="str">
        <f>IF(I111="","",VLOOKUP($B111,'C-1 On-Site WaterC'' Baseline'!$C$9:$R$257,9,FALSE))</f>
        <v/>
      </c>
      <c r="K111" s="295" t="str">
        <f>IF(J111="","",VLOOKUP($B111,'C-1 On-Site WaterC'' Baseline'!$C$9:$R$257,10,FALSE))</f>
        <v/>
      </c>
      <c r="L111" s="295" t="str">
        <f>IF(B111="","",VLOOKUP($B111,'C-1 On-Site WaterC'' Baseline'!$C$9:$R$257,15,FALSE))</f>
        <v/>
      </c>
      <c r="M111" s="299" t="str">
        <f>IF(L111="","",VLOOKUP($B111,'C-1 On-Site WaterC'' Baseline'!$C$9:$R$257,16,FALSE))</f>
        <v/>
      </c>
      <c r="N111" s="245"/>
      <c r="O111" s="275" t="str">
        <f t="shared" si="11"/>
        <v/>
      </c>
      <c r="P111" s="276" t="str">
        <f t="shared" si="12"/>
        <v/>
      </c>
      <c r="Q111" s="336" t="str">
        <f>IF(N111="","",VLOOKUP(B111,'C-1 On-Site WaterC'' Baseline'!$C$10:$AC$257,20,FALSE))</f>
        <v/>
      </c>
      <c r="R111" s="275" t="str">
        <f>IF(N111="","",VLOOKUP(N111,'G-7 WaterC'' Data'!$B$2:$G$8,2,FALSE))</f>
        <v/>
      </c>
      <c r="S111" s="276" t="str">
        <f>IFERROR(VLOOKUP(R111,'G-7 WaterC'' Data'!$C$4:$D$8,2,FALSE),"")</f>
        <v/>
      </c>
      <c r="T111" s="101"/>
      <c r="U111" s="276" t="str">
        <f>IFERROR(INDEX('G-7 WaterC'' Data'!$H$4:$L$8,MATCH(N111,'G-7 WaterC'' Data'!$B$4:$B$8,0),MATCH(T111,'G-7 WaterC'' Data'!$H$3:$L$3,0)),"")</f>
        <v/>
      </c>
      <c r="V111" s="101"/>
      <c r="W111" s="283" t="str">
        <f>IF(V111="","",IF(VLOOKUP(V111,'G-7 WaterC'' Data'!$AK$4:$AM$6,2,FALSE)=0,"Spatial Data Missing ⚠",VLOOKUP(V111,'G-7 WaterC'' Data'!$AK$4:$AM$6,2,FALSE)))</f>
        <v/>
      </c>
      <c r="X111" s="276" t="str">
        <f>IF(V111="","",IF(VLOOKUP(V111,'G-7 WaterC'' Data'!$AK$4:$AM$6,3,FALSE)=0,"Spatial Data Missing ⚠",VLOOKUP(V111,'G-7 WaterC'' Data'!$AK$4:$AM$6,3,FALSE)))</f>
        <v/>
      </c>
      <c r="Y111" s="275" t="str">
        <f>IFERROR(IF(OR(LEFT(P111,5)="Error",LEFT(O111,5)="Error"),"Check Data ⚠",IF(F111&lt;S111,'G-7 WaterC'' Data'!$R$3,INDEX('G-7 WaterC'' Data'!$U$5:$Y$9,MATCH(G111,'G-7 WaterC'' Data'!$T$5:$T$9,0),MATCH(T111,'G-7 WaterC'' Data'!$U$4:$Y$4,0)))),"")</f>
        <v/>
      </c>
      <c r="Z111" s="133"/>
      <c r="AA111" s="133"/>
      <c r="AB111" s="283" t="str">
        <f t="shared" si="13"/>
        <v/>
      </c>
      <c r="AC111" s="296" t="str">
        <f t="shared" si="14"/>
        <v/>
      </c>
      <c r="AD111" s="334" t="str">
        <f>IFERROR(IF(AC111="Check Data ⚠","Check Data ⚠",VLOOKUP(AC111,'G-4 Temporal multipliers'!$A$4:$C$37,3,FALSE)),"")</f>
        <v/>
      </c>
      <c r="AE111" s="275" t="str">
        <f>IF(N111="","",VLOOKUP(N111,'G-7 WaterC'' Data'!$B$4:$G$8,5,FALSE))</f>
        <v/>
      </c>
      <c r="AF111" s="283" t="str">
        <f t="shared" si="15"/>
        <v/>
      </c>
      <c r="AG111" s="314" t="str">
        <f t="shared" si="16"/>
        <v/>
      </c>
      <c r="AH111" s="276" t="str">
        <f t="shared" si="10"/>
        <v/>
      </c>
      <c r="AI111" s="105"/>
      <c r="AJ111" s="276" t="str">
        <f>IF(AI111="","",IF(AND(AI111="N/A - Culvert",N111&lt;&gt;"Culvert"),"Not possible ▲",IF(VLOOKUP(AI111,'G-7 WaterC'' Data'!$AA$4:$AB$7,2,FALSE)=0,"Spatial Data Missing ⚠",VLOOKUP(AI111,'G-7 WaterC'' Data'!$AA$4:$AB$7,2,FALSE))))</f>
        <v/>
      </c>
      <c r="AK111" s="106"/>
      <c r="AL111" s="276" t="str">
        <f>IF(AK111="","",IF(AND(AK111="N/A - Culvert",N111&lt;&gt;"Culvert"),"Not possible ▲",IF(VLOOKUP(AK111,'G-7 WaterC'' Data'!$AD$4:$AE$14,2,FALSE)=0,"Spatial Data Missing ⚠",VLOOKUP(AK111,'G-7 WaterC'' Data'!$AD$4:$AE$14,2,FALSE))))</f>
        <v/>
      </c>
      <c r="AM111" s="317" t="str">
        <f t="shared" si="17"/>
        <v/>
      </c>
      <c r="AN111" s="101"/>
      <c r="AO111" s="115"/>
      <c r="AP111" s="104"/>
      <c r="AS111" s="30" t="str">
        <f>IF(B111="","",IF(ISNA(VLOOKUP($B111,'C-1 On-Site WaterC'' Baseline'!$C$8:$AD$257,17,FALSE)),"",(VLOOKUP($B111,'C-1 On-Site WaterC'' Baseline'!$C$8:$AD$257,17,FALSE))))</f>
        <v/>
      </c>
      <c r="AT111" s="30" t="str">
        <f>IF(B111="","",VLOOKUP($B111,'C-1 On-Site WaterC'' Baseline'!$C$9:$Z$257,12,FALSE))</f>
        <v/>
      </c>
      <c r="AU111" s="30" t="str">
        <f>IF(B111="","",VLOOKUP($B111,'C-1 On-Site WaterC'' Baseline'!$C$9:$Z$257,14,FALSE))</f>
        <v/>
      </c>
      <c r="AV111" s="30" t="str">
        <f>IFERROR(INDEX('G-7 WaterC'' Data'!$AZ$3:$AZ$7,MATCH(N111,'G-7 WaterC'' Data'!$AY$3:$AY$7,0)),"")</f>
        <v/>
      </c>
      <c r="AX111" s="30" t="str">
        <f>IF(B111="","",VLOOKUP($B111,'C-1 On-Site WaterC'' Baseline'!$C$9:$Y$257,22,FALSE))</f>
        <v/>
      </c>
      <c r="AY111" s="30" t="str">
        <f t="shared" si="18"/>
        <v/>
      </c>
      <c r="AZ111" s="30" t="str">
        <f>IF(B111="","",VLOOKUP($B111,'C-1 On-Site WaterC'' Baseline'!$C$9:$Y$257,21,FALSE))</f>
        <v/>
      </c>
      <c r="BA111" s="30" t="str">
        <f>IF(B111="","",VLOOKUP($B111,'C-1 On-Site WaterC'' Baseline'!$C$9:$Y$257,19,FALSE))</f>
        <v/>
      </c>
      <c r="BD111" s="30" t="str">
        <f t="shared" si="19"/>
        <v>No</v>
      </c>
    </row>
    <row r="112" spans="2:56" ht="14">
      <c r="B112" s="305" t="str">
        <f>'C-1 On-Site WaterC'' Baseline'!AP110</f>
        <v/>
      </c>
      <c r="C112" s="295" t="str">
        <f>IF(B112="","",VLOOKUP($B112,'C-1 On-Site WaterC'' Baseline'!$C$9:$R$257,2,FALSE))</f>
        <v/>
      </c>
      <c r="D112" s="295" t="str">
        <f>IF(C112="","",VLOOKUP($B112,'C-1 On-Site WaterC'' Baseline'!$C$9:$R$257,3,FALSE))</f>
        <v/>
      </c>
      <c r="E112" s="295" t="str">
        <f>IF(D112="","",VLOOKUP($B112,'C-1 On-Site WaterC'' Baseline'!$C$9:$R$257,4,FALSE))</f>
        <v/>
      </c>
      <c r="F112" s="295" t="str">
        <f>IF(E112="","",VLOOKUP($B112,'C-1 On-Site WaterC'' Baseline'!$C$9:$R$257,5,FALSE))</f>
        <v/>
      </c>
      <c r="G112" s="295" t="str">
        <f>IF(F112="","",VLOOKUP($B112,'C-1 On-Site WaterC'' Baseline'!$C$9:$R$257,6,FALSE))</f>
        <v/>
      </c>
      <c r="H112" s="295" t="str">
        <f>IF(G112="","",VLOOKUP($B112,'C-1 On-Site WaterC'' Baseline'!$C$9:$R$257,7,FALSE))</f>
        <v/>
      </c>
      <c r="I112" s="295" t="str">
        <f>IF(H112="","",VLOOKUP($B112,'C-1 On-Site WaterC'' Baseline'!$C$9:$R$257,8,FALSE))</f>
        <v/>
      </c>
      <c r="J112" s="295" t="str">
        <f>IF(I112="","",VLOOKUP($B112,'C-1 On-Site WaterC'' Baseline'!$C$9:$R$257,9,FALSE))</f>
        <v/>
      </c>
      <c r="K112" s="295" t="str">
        <f>IF(J112="","",VLOOKUP($B112,'C-1 On-Site WaterC'' Baseline'!$C$9:$R$257,10,FALSE))</f>
        <v/>
      </c>
      <c r="L112" s="295" t="str">
        <f>IF(B112="","",VLOOKUP($B112,'C-1 On-Site WaterC'' Baseline'!$C$9:$R$257,15,FALSE))</f>
        <v/>
      </c>
      <c r="M112" s="299" t="str">
        <f>IF(L112="","",VLOOKUP($B112,'C-1 On-Site WaterC'' Baseline'!$C$9:$R$257,16,FALSE))</f>
        <v/>
      </c>
      <c r="N112" s="245"/>
      <c r="O112" s="275" t="str">
        <f t="shared" si="11"/>
        <v/>
      </c>
      <c r="P112" s="276" t="str">
        <f t="shared" si="12"/>
        <v/>
      </c>
      <c r="Q112" s="336" t="str">
        <f>IF(N112="","",VLOOKUP(B112,'C-1 On-Site WaterC'' Baseline'!$C$10:$AC$257,20,FALSE))</f>
        <v/>
      </c>
      <c r="R112" s="275" t="str">
        <f>IF(N112="","",VLOOKUP(N112,'G-7 WaterC'' Data'!$B$2:$G$8,2,FALSE))</f>
        <v/>
      </c>
      <c r="S112" s="276" t="str">
        <f>IFERROR(VLOOKUP(R112,'G-7 WaterC'' Data'!$C$4:$D$8,2,FALSE),"")</f>
        <v/>
      </c>
      <c r="T112" s="101"/>
      <c r="U112" s="276" t="str">
        <f>IFERROR(INDEX('G-7 WaterC'' Data'!$H$4:$L$8,MATCH(N112,'G-7 WaterC'' Data'!$B$4:$B$8,0),MATCH(T112,'G-7 WaterC'' Data'!$H$3:$L$3,0)),"")</f>
        <v/>
      </c>
      <c r="V112" s="101"/>
      <c r="W112" s="283" t="str">
        <f>IF(V112="","",IF(VLOOKUP(V112,'G-7 WaterC'' Data'!$AK$4:$AM$6,2,FALSE)=0,"Spatial Data Missing ⚠",VLOOKUP(V112,'G-7 WaterC'' Data'!$AK$4:$AM$6,2,FALSE)))</f>
        <v/>
      </c>
      <c r="X112" s="276" t="str">
        <f>IF(V112="","",IF(VLOOKUP(V112,'G-7 WaterC'' Data'!$AK$4:$AM$6,3,FALSE)=0,"Spatial Data Missing ⚠",VLOOKUP(V112,'G-7 WaterC'' Data'!$AK$4:$AM$6,3,FALSE)))</f>
        <v/>
      </c>
      <c r="Y112" s="275" t="str">
        <f>IFERROR(IF(OR(LEFT(P112,5)="Error",LEFT(O112,5)="Error"),"Check Data ⚠",IF(F112&lt;S112,'G-7 WaterC'' Data'!$R$3,INDEX('G-7 WaterC'' Data'!$U$5:$Y$9,MATCH(G112,'G-7 WaterC'' Data'!$T$5:$T$9,0),MATCH(T112,'G-7 WaterC'' Data'!$U$4:$Y$4,0)))),"")</f>
        <v/>
      </c>
      <c r="Z112" s="133"/>
      <c r="AA112" s="133"/>
      <c r="AB112" s="283" t="str">
        <f t="shared" si="13"/>
        <v/>
      </c>
      <c r="AC112" s="296" t="str">
        <f t="shared" si="14"/>
        <v/>
      </c>
      <c r="AD112" s="334" t="str">
        <f>IFERROR(IF(AC112="Check Data ⚠","Check Data ⚠",VLOOKUP(AC112,'G-4 Temporal multipliers'!$A$4:$C$37,3,FALSE)),"")</f>
        <v/>
      </c>
      <c r="AE112" s="275" t="str">
        <f>IF(N112="","",VLOOKUP(N112,'G-7 WaterC'' Data'!$B$4:$G$8,5,FALSE))</f>
        <v/>
      </c>
      <c r="AF112" s="283" t="str">
        <f t="shared" si="15"/>
        <v/>
      </c>
      <c r="AG112" s="314" t="str">
        <f t="shared" si="16"/>
        <v/>
      </c>
      <c r="AH112" s="276" t="str">
        <f t="shared" si="10"/>
        <v/>
      </c>
      <c r="AI112" s="105"/>
      <c r="AJ112" s="276" t="str">
        <f>IF(AI112="","",IF(AND(AI112="N/A - Culvert",N112&lt;&gt;"Culvert"),"Not possible ▲",IF(VLOOKUP(AI112,'G-7 WaterC'' Data'!$AA$4:$AB$7,2,FALSE)=0,"Spatial Data Missing ⚠",VLOOKUP(AI112,'G-7 WaterC'' Data'!$AA$4:$AB$7,2,FALSE))))</f>
        <v/>
      </c>
      <c r="AK112" s="106"/>
      <c r="AL112" s="276" t="str">
        <f>IF(AK112="","",IF(AND(AK112="N/A - Culvert",N112&lt;&gt;"Culvert"),"Not possible ▲",IF(VLOOKUP(AK112,'G-7 WaterC'' Data'!$AD$4:$AE$14,2,FALSE)=0,"Spatial Data Missing ⚠",VLOOKUP(AK112,'G-7 WaterC'' Data'!$AD$4:$AE$14,2,FALSE))))</f>
        <v/>
      </c>
      <c r="AM112" s="317" t="str">
        <f t="shared" si="17"/>
        <v/>
      </c>
      <c r="AN112" s="101"/>
      <c r="AO112" s="115"/>
      <c r="AP112" s="104"/>
      <c r="AS112" s="30" t="str">
        <f>IF(B112="","",IF(ISNA(VLOOKUP($B112,'C-1 On-Site WaterC'' Baseline'!$C$8:$AD$257,17,FALSE)),"",(VLOOKUP($B112,'C-1 On-Site WaterC'' Baseline'!$C$8:$AD$257,17,FALSE))))</f>
        <v/>
      </c>
      <c r="AT112" s="30" t="str">
        <f>IF(B112="","",VLOOKUP($B112,'C-1 On-Site WaterC'' Baseline'!$C$9:$Z$257,12,FALSE))</f>
        <v/>
      </c>
      <c r="AU112" s="30" t="str">
        <f>IF(B112="","",VLOOKUP($B112,'C-1 On-Site WaterC'' Baseline'!$C$9:$Z$257,14,FALSE))</f>
        <v/>
      </c>
      <c r="AV112" s="30" t="str">
        <f>IFERROR(INDEX('G-7 WaterC'' Data'!$AZ$3:$AZ$7,MATCH(N112,'G-7 WaterC'' Data'!$AY$3:$AY$7,0)),"")</f>
        <v/>
      </c>
      <c r="AX112" s="30" t="str">
        <f>IF(B112="","",VLOOKUP($B112,'C-1 On-Site WaterC'' Baseline'!$C$9:$Y$257,22,FALSE))</f>
        <v/>
      </c>
      <c r="AY112" s="30" t="str">
        <f t="shared" si="18"/>
        <v/>
      </c>
      <c r="AZ112" s="30" t="str">
        <f>IF(B112="","",VLOOKUP($B112,'C-1 On-Site WaterC'' Baseline'!$C$9:$Y$257,21,FALSE))</f>
        <v/>
      </c>
      <c r="BA112" s="30" t="str">
        <f>IF(B112="","",VLOOKUP($B112,'C-1 On-Site WaterC'' Baseline'!$C$9:$Y$257,19,FALSE))</f>
        <v/>
      </c>
      <c r="BD112" s="30" t="str">
        <f t="shared" si="19"/>
        <v>No</v>
      </c>
    </row>
    <row r="113" spans="2:56" ht="14">
      <c r="B113" s="305" t="str">
        <f>'C-1 On-Site WaterC'' Baseline'!AP111</f>
        <v/>
      </c>
      <c r="C113" s="295" t="str">
        <f>IF(B113="","",VLOOKUP($B113,'C-1 On-Site WaterC'' Baseline'!$C$9:$R$257,2,FALSE))</f>
        <v/>
      </c>
      <c r="D113" s="295" t="str">
        <f>IF(C113="","",VLOOKUP($B113,'C-1 On-Site WaterC'' Baseline'!$C$9:$R$257,3,FALSE))</f>
        <v/>
      </c>
      <c r="E113" s="295" t="str">
        <f>IF(D113="","",VLOOKUP($B113,'C-1 On-Site WaterC'' Baseline'!$C$9:$R$257,4,FALSE))</f>
        <v/>
      </c>
      <c r="F113" s="295" t="str">
        <f>IF(E113="","",VLOOKUP($B113,'C-1 On-Site WaterC'' Baseline'!$C$9:$R$257,5,FALSE))</f>
        <v/>
      </c>
      <c r="G113" s="295" t="str">
        <f>IF(F113="","",VLOOKUP($B113,'C-1 On-Site WaterC'' Baseline'!$C$9:$R$257,6,FALSE))</f>
        <v/>
      </c>
      <c r="H113" s="295" t="str">
        <f>IF(G113="","",VLOOKUP($B113,'C-1 On-Site WaterC'' Baseline'!$C$9:$R$257,7,FALSE))</f>
        <v/>
      </c>
      <c r="I113" s="295" t="str">
        <f>IF(H113="","",VLOOKUP($B113,'C-1 On-Site WaterC'' Baseline'!$C$9:$R$257,8,FALSE))</f>
        <v/>
      </c>
      <c r="J113" s="295" t="str">
        <f>IF(I113="","",VLOOKUP($B113,'C-1 On-Site WaterC'' Baseline'!$C$9:$R$257,9,FALSE))</f>
        <v/>
      </c>
      <c r="K113" s="295" t="str">
        <f>IF(J113="","",VLOOKUP($B113,'C-1 On-Site WaterC'' Baseline'!$C$9:$R$257,10,FALSE))</f>
        <v/>
      </c>
      <c r="L113" s="295" t="str">
        <f>IF(B113="","",VLOOKUP($B113,'C-1 On-Site WaterC'' Baseline'!$C$9:$R$257,15,FALSE))</f>
        <v/>
      </c>
      <c r="M113" s="299" t="str">
        <f>IF(L113="","",VLOOKUP($B113,'C-1 On-Site WaterC'' Baseline'!$C$9:$R$257,16,FALSE))</f>
        <v/>
      </c>
      <c r="N113" s="245"/>
      <c r="O113" s="275" t="str">
        <f t="shared" si="11"/>
        <v/>
      </c>
      <c r="P113" s="276" t="str">
        <f t="shared" si="12"/>
        <v/>
      </c>
      <c r="Q113" s="336" t="str">
        <f>IF(N113="","",VLOOKUP(B113,'C-1 On-Site WaterC'' Baseline'!$C$10:$AC$257,20,FALSE))</f>
        <v/>
      </c>
      <c r="R113" s="275" t="str">
        <f>IF(N113="","",VLOOKUP(N113,'G-7 WaterC'' Data'!$B$2:$G$8,2,FALSE))</f>
        <v/>
      </c>
      <c r="S113" s="276" t="str">
        <f>IFERROR(VLOOKUP(R113,'G-7 WaterC'' Data'!$C$4:$D$8,2,FALSE),"")</f>
        <v/>
      </c>
      <c r="T113" s="101"/>
      <c r="U113" s="276" t="str">
        <f>IFERROR(INDEX('G-7 WaterC'' Data'!$H$4:$L$8,MATCH(N113,'G-7 WaterC'' Data'!$B$4:$B$8,0),MATCH(T113,'G-7 WaterC'' Data'!$H$3:$L$3,0)),"")</f>
        <v/>
      </c>
      <c r="V113" s="101"/>
      <c r="W113" s="283" t="str">
        <f>IF(V113="","",IF(VLOOKUP(V113,'G-7 WaterC'' Data'!$AK$4:$AM$6,2,FALSE)=0,"Spatial Data Missing ⚠",VLOOKUP(V113,'G-7 WaterC'' Data'!$AK$4:$AM$6,2,FALSE)))</f>
        <v/>
      </c>
      <c r="X113" s="276" t="str">
        <f>IF(V113="","",IF(VLOOKUP(V113,'G-7 WaterC'' Data'!$AK$4:$AM$6,3,FALSE)=0,"Spatial Data Missing ⚠",VLOOKUP(V113,'G-7 WaterC'' Data'!$AK$4:$AM$6,3,FALSE)))</f>
        <v/>
      </c>
      <c r="Y113" s="275" t="str">
        <f>IFERROR(IF(OR(LEFT(P113,5)="Error",LEFT(O113,5)="Error"),"Check Data ⚠",IF(F113&lt;S113,'G-7 WaterC'' Data'!$R$3,INDEX('G-7 WaterC'' Data'!$U$5:$Y$9,MATCH(G113,'G-7 WaterC'' Data'!$T$5:$T$9,0),MATCH(T113,'G-7 WaterC'' Data'!$U$4:$Y$4,0)))),"")</f>
        <v/>
      </c>
      <c r="Z113" s="133"/>
      <c r="AA113" s="133"/>
      <c r="AB113" s="283" t="str">
        <f t="shared" si="13"/>
        <v/>
      </c>
      <c r="AC113" s="296" t="str">
        <f t="shared" si="14"/>
        <v/>
      </c>
      <c r="AD113" s="334" t="str">
        <f>IFERROR(IF(AC113="Check Data ⚠","Check Data ⚠",VLOOKUP(AC113,'G-4 Temporal multipliers'!$A$4:$C$37,3,FALSE)),"")</f>
        <v/>
      </c>
      <c r="AE113" s="275" t="str">
        <f>IF(N113="","",VLOOKUP(N113,'G-7 WaterC'' Data'!$B$4:$G$8,5,FALSE))</f>
        <v/>
      </c>
      <c r="AF113" s="283" t="str">
        <f t="shared" si="15"/>
        <v/>
      </c>
      <c r="AG113" s="314" t="str">
        <f t="shared" si="16"/>
        <v/>
      </c>
      <c r="AH113" s="276" t="str">
        <f t="shared" si="10"/>
        <v/>
      </c>
      <c r="AI113" s="105"/>
      <c r="AJ113" s="276" t="str">
        <f>IF(AI113="","",IF(AND(AI113="N/A - Culvert",N113&lt;&gt;"Culvert"),"Not possible ▲",IF(VLOOKUP(AI113,'G-7 WaterC'' Data'!$AA$4:$AB$7,2,FALSE)=0,"Spatial Data Missing ⚠",VLOOKUP(AI113,'G-7 WaterC'' Data'!$AA$4:$AB$7,2,FALSE))))</f>
        <v/>
      </c>
      <c r="AK113" s="106"/>
      <c r="AL113" s="276" t="str">
        <f>IF(AK113="","",IF(AND(AK113="N/A - Culvert",N113&lt;&gt;"Culvert"),"Not possible ▲",IF(VLOOKUP(AK113,'G-7 WaterC'' Data'!$AD$4:$AE$14,2,FALSE)=0,"Spatial Data Missing ⚠",VLOOKUP(AK113,'G-7 WaterC'' Data'!$AD$4:$AE$14,2,FALSE))))</f>
        <v/>
      </c>
      <c r="AM113" s="317" t="str">
        <f t="shared" si="17"/>
        <v/>
      </c>
      <c r="AN113" s="101"/>
      <c r="AO113" s="115"/>
      <c r="AP113" s="104"/>
      <c r="AS113" s="30" t="str">
        <f>IF(B113="","",IF(ISNA(VLOOKUP($B113,'C-1 On-Site WaterC'' Baseline'!$C$8:$AD$257,17,FALSE)),"",(VLOOKUP($B113,'C-1 On-Site WaterC'' Baseline'!$C$8:$AD$257,17,FALSE))))</f>
        <v/>
      </c>
      <c r="AT113" s="30" t="str">
        <f>IF(B113="","",VLOOKUP($B113,'C-1 On-Site WaterC'' Baseline'!$C$9:$Z$257,12,FALSE))</f>
        <v/>
      </c>
      <c r="AU113" s="30" t="str">
        <f>IF(B113="","",VLOOKUP($B113,'C-1 On-Site WaterC'' Baseline'!$C$9:$Z$257,14,FALSE))</f>
        <v/>
      </c>
      <c r="AV113" s="30" t="str">
        <f>IFERROR(INDEX('G-7 WaterC'' Data'!$AZ$3:$AZ$7,MATCH(N113,'G-7 WaterC'' Data'!$AY$3:$AY$7,0)),"")</f>
        <v/>
      </c>
      <c r="AX113" s="30" t="str">
        <f>IF(B113="","",VLOOKUP($B113,'C-1 On-Site WaterC'' Baseline'!$C$9:$Y$257,22,FALSE))</f>
        <v/>
      </c>
      <c r="AY113" s="30" t="str">
        <f t="shared" si="18"/>
        <v/>
      </c>
      <c r="AZ113" s="30" t="str">
        <f>IF(B113="","",VLOOKUP($B113,'C-1 On-Site WaterC'' Baseline'!$C$9:$Y$257,21,FALSE))</f>
        <v/>
      </c>
      <c r="BA113" s="30" t="str">
        <f>IF(B113="","",VLOOKUP($B113,'C-1 On-Site WaterC'' Baseline'!$C$9:$Y$257,19,FALSE))</f>
        <v/>
      </c>
      <c r="BD113" s="30" t="str">
        <f t="shared" si="19"/>
        <v>No</v>
      </c>
    </row>
    <row r="114" spans="2:56" ht="14">
      <c r="B114" s="305" t="str">
        <f>'C-1 On-Site WaterC'' Baseline'!AP112</f>
        <v/>
      </c>
      <c r="C114" s="295" t="str">
        <f>IF(B114="","",VLOOKUP($B114,'C-1 On-Site WaterC'' Baseline'!$C$9:$R$257,2,FALSE))</f>
        <v/>
      </c>
      <c r="D114" s="295" t="str">
        <f>IF(C114="","",VLOOKUP($B114,'C-1 On-Site WaterC'' Baseline'!$C$9:$R$257,3,FALSE))</f>
        <v/>
      </c>
      <c r="E114" s="295" t="str">
        <f>IF(D114="","",VLOOKUP($B114,'C-1 On-Site WaterC'' Baseline'!$C$9:$R$257,4,FALSE))</f>
        <v/>
      </c>
      <c r="F114" s="295" t="str">
        <f>IF(E114="","",VLOOKUP($B114,'C-1 On-Site WaterC'' Baseline'!$C$9:$R$257,5,FALSE))</f>
        <v/>
      </c>
      <c r="G114" s="295" t="str">
        <f>IF(F114="","",VLOOKUP($B114,'C-1 On-Site WaterC'' Baseline'!$C$9:$R$257,6,FALSE))</f>
        <v/>
      </c>
      <c r="H114" s="295" t="str">
        <f>IF(G114="","",VLOOKUP($B114,'C-1 On-Site WaterC'' Baseline'!$C$9:$R$257,7,FALSE))</f>
        <v/>
      </c>
      <c r="I114" s="295" t="str">
        <f>IF(H114="","",VLOOKUP($B114,'C-1 On-Site WaterC'' Baseline'!$C$9:$R$257,8,FALSE))</f>
        <v/>
      </c>
      <c r="J114" s="295" t="str">
        <f>IF(I114="","",VLOOKUP($B114,'C-1 On-Site WaterC'' Baseline'!$C$9:$R$257,9,FALSE))</f>
        <v/>
      </c>
      <c r="K114" s="295" t="str">
        <f>IF(J114="","",VLOOKUP($B114,'C-1 On-Site WaterC'' Baseline'!$C$9:$R$257,10,FALSE))</f>
        <v/>
      </c>
      <c r="L114" s="295" t="str">
        <f>IF(B114="","",VLOOKUP($B114,'C-1 On-Site WaterC'' Baseline'!$C$9:$R$257,15,FALSE))</f>
        <v/>
      </c>
      <c r="M114" s="299" t="str">
        <f>IF(L114="","",VLOOKUP($B114,'C-1 On-Site WaterC'' Baseline'!$C$9:$R$257,16,FALSE))</f>
        <v/>
      </c>
      <c r="N114" s="245"/>
      <c r="O114" s="275" t="str">
        <f t="shared" si="11"/>
        <v/>
      </c>
      <c r="P114" s="276" t="str">
        <f t="shared" si="12"/>
        <v/>
      </c>
      <c r="Q114" s="336" t="str">
        <f>IF(N114="","",VLOOKUP(B114,'C-1 On-Site WaterC'' Baseline'!$C$10:$AC$257,20,FALSE))</f>
        <v/>
      </c>
      <c r="R114" s="275" t="str">
        <f>IF(N114="","",VLOOKUP(N114,'G-7 WaterC'' Data'!$B$2:$G$8,2,FALSE))</f>
        <v/>
      </c>
      <c r="S114" s="276" t="str">
        <f>IFERROR(VLOOKUP(R114,'G-7 WaterC'' Data'!$C$4:$D$8,2,FALSE),"")</f>
        <v/>
      </c>
      <c r="T114" s="101"/>
      <c r="U114" s="276" t="str">
        <f>IFERROR(INDEX('G-7 WaterC'' Data'!$H$4:$L$8,MATCH(N114,'G-7 WaterC'' Data'!$B$4:$B$8,0),MATCH(T114,'G-7 WaterC'' Data'!$H$3:$L$3,0)),"")</f>
        <v/>
      </c>
      <c r="V114" s="101"/>
      <c r="W114" s="283" t="str">
        <f>IF(V114="","",IF(VLOOKUP(V114,'G-7 WaterC'' Data'!$AK$4:$AM$6,2,FALSE)=0,"Spatial Data Missing ⚠",VLOOKUP(V114,'G-7 WaterC'' Data'!$AK$4:$AM$6,2,FALSE)))</f>
        <v/>
      </c>
      <c r="X114" s="276" t="str">
        <f>IF(V114="","",IF(VLOOKUP(V114,'G-7 WaterC'' Data'!$AK$4:$AM$6,3,FALSE)=0,"Spatial Data Missing ⚠",VLOOKUP(V114,'G-7 WaterC'' Data'!$AK$4:$AM$6,3,FALSE)))</f>
        <v/>
      </c>
      <c r="Y114" s="275" t="str">
        <f>IFERROR(IF(OR(LEFT(P114,5)="Error",LEFT(O114,5)="Error"),"Check Data ⚠",IF(F114&lt;S114,'G-7 WaterC'' Data'!$R$3,INDEX('G-7 WaterC'' Data'!$U$5:$Y$9,MATCH(G114,'G-7 WaterC'' Data'!$T$5:$T$9,0),MATCH(T114,'G-7 WaterC'' Data'!$U$4:$Y$4,0)))),"")</f>
        <v/>
      </c>
      <c r="Z114" s="133"/>
      <c r="AA114" s="133"/>
      <c r="AB114" s="283" t="str">
        <f t="shared" si="13"/>
        <v/>
      </c>
      <c r="AC114" s="296" t="str">
        <f t="shared" si="14"/>
        <v/>
      </c>
      <c r="AD114" s="334" t="str">
        <f>IFERROR(IF(AC114="Check Data ⚠","Check Data ⚠",VLOOKUP(AC114,'G-4 Temporal multipliers'!$A$4:$C$37,3,FALSE)),"")</f>
        <v/>
      </c>
      <c r="AE114" s="275" t="str">
        <f>IF(N114="","",VLOOKUP(N114,'G-7 WaterC'' Data'!$B$4:$G$8,5,FALSE))</f>
        <v/>
      </c>
      <c r="AF114" s="283" t="str">
        <f t="shared" si="15"/>
        <v/>
      </c>
      <c r="AG114" s="314" t="str">
        <f t="shared" si="16"/>
        <v/>
      </c>
      <c r="AH114" s="276" t="str">
        <f t="shared" si="10"/>
        <v/>
      </c>
      <c r="AI114" s="105"/>
      <c r="AJ114" s="276" t="str">
        <f>IF(AI114="","",IF(AND(AI114="N/A - Culvert",N114&lt;&gt;"Culvert"),"Not possible ▲",IF(VLOOKUP(AI114,'G-7 WaterC'' Data'!$AA$4:$AB$7,2,FALSE)=0,"Spatial Data Missing ⚠",VLOOKUP(AI114,'G-7 WaterC'' Data'!$AA$4:$AB$7,2,FALSE))))</f>
        <v/>
      </c>
      <c r="AK114" s="106"/>
      <c r="AL114" s="276" t="str">
        <f>IF(AK114="","",IF(AND(AK114="N/A - Culvert",N114&lt;&gt;"Culvert"),"Not possible ▲",IF(VLOOKUP(AK114,'G-7 WaterC'' Data'!$AD$4:$AE$14,2,FALSE)=0,"Spatial Data Missing ⚠",VLOOKUP(AK114,'G-7 WaterC'' Data'!$AD$4:$AE$14,2,FALSE))))</f>
        <v/>
      </c>
      <c r="AM114" s="317" t="str">
        <f t="shared" si="17"/>
        <v/>
      </c>
      <c r="AN114" s="101"/>
      <c r="AO114" s="115"/>
      <c r="AP114" s="104"/>
      <c r="AS114" s="30" t="str">
        <f>IF(B114="","",IF(ISNA(VLOOKUP($B114,'C-1 On-Site WaterC'' Baseline'!$C$8:$AD$257,17,FALSE)),"",(VLOOKUP($B114,'C-1 On-Site WaterC'' Baseline'!$C$8:$AD$257,17,FALSE))))</f>
        <v/>
      </c>
      <c r="AT114" s="30" t="str">
        <f>IF(B114="","",VLOOKUP($B114,'C-1 On-Site WaterC'' Baseline'!$C$9:$Z$257,12,FALSE))</f>
        <v/>
      </c>
      <c r="AU114" s="30" t="str">
        <f>IF(B114="","",VLOOKUP($B114,'C-1 On-Site WaterC'' Baseline'!$C$9:$Z$257,14,FALSE))</f>
        <v/>
      </c>
      <c r="AV114" s="30" t="str">
        <f>IFERROR(INDEX('G-7 WaterC'' Data'!$AZ$3:$AZ$7,MATCH(N114,'G-7 WaterC'' Data'!$AY$3:$AY$7,0)),"")</f>
        <v/>
      </c>
      <c r="AX114" s="30" t="str">
        <f>IF(B114="","",VLOOKUP($B114,'C-1 On-Site WaterC'' Baseline'!$C$9:$Y$257,22,FALSE))</f>
        <v/>
      </c>
      <c r="AY114" s="30" t="str">
        <f t="shared" si="18"/>
        <v/>
      </c>
      <c r="AZ114" s="30" t="str">
        <f>IF(B114="","",VLOOKUP($B114,'C-1 On-Site WaterC'' Baseline'!$C$9:$Y$257,21,FALSE))</f>
        <v/>
      </c>
      <c r="BA114" s="30" t="str">
        <f>IF(B114="","",VLOOKUP($B114,'C-1 On-Site WaterC'' Baseline'!$C$9:$Y$257,19,FALSE))</f>
        <v/>
      </c>
      <c r="BD114" s="30" t="str">
        <f t="shared" si="19"/>
        <v>No</v>
      </c>
    </row>
    <row r="115" spans="2:56" ht="14">
      <c r="B115" s="305" t="str">
        <f>'C-1 On-Site WaterC'' Baseline'!AP113</f>
        <v/>
      </c>
      <c r="C115" s="295" t="str">
        <f>IF(B115="","",VLOOKUP($B115,'C-1 On-Site WaterC'' Baseline'!$C$9:$R$257,2,FALSE))</f>
        <v/>
      </c>
      <c r="D115" s="295" t="str">
        <f>IF(C115="","",VLOOKUP($B115,'C-1 On-Site WaterC'' Baseline'!$C$9:$R$257,3,FALSE))</f>
        <v/>
      </c>
      <c r="E115" s="295" t="str">
        <f>IF(D115="","",VLOOKUP($B115,'C-1 On-Site WaterC'' Baseline'!$C$9:$R$257,4,FALSE))</f>
        <v/>
      </c>
      <c r="F115" s="295" t="str">
        <f>IF(E115="","",VLOOKUP($B115,'C-1 On-Site WaterC'' Baseline'!$C$9:$R$257,5,FALSE))</f>
        <v/>
      </c>
      <c r="G115" s="295" t="str">
        <f>IF(F115="","",VLOOKUP($B115,'C-1 On-Site WaterC'' Baseline'!$C$9:$R$257,6,FALSE))</f>
        <v/>
      </c>
      <c r="H115" s="295" t="str">
        <f>IF(G115="","",VLOOKUP($B115,'C-1 On-Site WaterC'' Baseline'!$C$9:$R$257,7,FALSE))</f>
        <v/>
      </c>
      <c r="I115" s="295" t="str">
        <f>IF(H115="","",VLOOKUP($B115,'C-1 On-Site WaterC'' Baseline'!$C$9:$R$257,8,FALSE))</f>
        <v/>
      </c>
      <c r="J115" s="295" t="str">
        <f>IF(I115="","",VLOOKUP($B115,'C-1 On-Site WaterC'' Baseline'!$C$9:$R$257,9,FALSE))</f>
        <v/>
      </c>
      <c r="K115" s="295" t="str">
        <f>IF(J115="","",VLOOKUP($B115,'C-1 On-Site WaterC'' Baseline'!$C$9:$R$257,10,FALSE))</f>
        <v/>
      </c>
      <c r="L115" s="295" t="str">
        <f>IF(B115="","",VLOOKUP($B115,'C-1 On-Site WaterC'' Baseline'!$C$9:$R$257,15,FALSE))</f>
        <v/>
      </c>
      <c r="M115" s="299" t="str">
        <f>IF(L115="","",VLOOKUP($B115,'C-1 On-Site WaterC'' Baseline'!$C$9:$R$257,16,FALSE))</f>
        <v/>
      </c>
      <c r="N115" s="245"/>
      <c r="O115" s="275" t="str">
        <f t="shared" si="11"/>
        <v/>
      </c>
      <c r="P115" s="276" t="str">
        <f t="shared" si="12"/>
        <v/>
      </c>
      <c r="Q115" s="336" t="str">
        <f>IF(N115="","",VLOOKUP(B115,'C-1 On-Site WaterC'' Baseline'!$C$10:$AC$257,20,FALSE))</f>
        <v/>
      </c>
      <c r="R115" s="275" t="str">
        <f>IF(N115="","",VLOOKUP(N115,'G-7 WaterC'' Data'!$B$2:$G$8,2,FALSE))</f>
        <v/>
      </c>
      <c r="S115" s="276" t="str">
        <f>IFERROR(VLOOKUP(R115,'G-7 WaterC'' Data'!$C$4:$D$8,2,FALSE),"")</f>
        <v/>
      </c>
      <c r="T115" s="101"/>
      <c r="U115" s="276" t="str">
        <f>IFERROR(INDEX('G-7 WaterC'' Data'!$H$4:$L$8,MATCH(N115,'G-7 WaterC'' Data'!$B$4:$B$8,0),MATCH(T115,'G-7 WaterC'' Data'!$H$3:$L$3,0)),"")</f>
        <v/>
      </c>
      <c r="V115" s="101"/>
      <c r="W115" s="283" t="str">
        <f>IF(V115="","",IF(VLOOKUP(V115,'G-7 WaterC'' Data'!$AK$4:$AM$6,2,FALSE)=0,"Spatial Data Missing ⚠",VLOOKUP(V115,'G-7 WaterC'' Data'!$AK$4:$AM$6,2,FALSE)))</f>
        <v/>
      </c>
      <c r="X115" s="276" t="str">
        <f>IF(V115="","",IF(VLOOKUP(V115,'G-7 WaterC'' Data'!$AK$4:$AM$6,3,FALSE)=0,"Spatial Data Missing ⚠",VLOOKUP(V115,'G-7 WaterC'' Data'!$AK$4:$AM$6,3,FALSE)))</f>
        <v/>
      </c>
      <c r="Y115" s="275" t="str">
        <f>IFERROR(IF(OR(LEFT(P115,5)="Error",LEFT(O115,5)="Error"),"Check Data ⚠",IF(F115&lt;S115,'G-7 WaterC'' Data'!$R$3,INDEX('G-7 WaterC'' Data'!$U$5:$Y$9,MATCH(G115,'G-7 WaterC'' Data'!$T$5:$T$9,0),MATCH(T115,'G-7 WaterC'' Data'!$U$4:$Y$4,0)))),"")</f>
        <v/>
      </c>
      <c r="Z115" s="133"/>
      <c r="AA115" s="133"/>
      <c r="AB115" s="283" t="str">
        <f t="shared" si="13"/>
        <v/>
      </c>
      <c r="AC115" s="296" t="str">
        <f t="shared" si="14"/>
        <v/>
      </c>
      <c r="AD115" s="334" t="str">
        <f>IFERROR(IF(AC115="Check Data ⚠","Check Data ⚠",VLOOKUP(AC115,'G-4 Temporal multipliers'!$A$4:$C$37,3,FALSE)),"")</f>
        <v/>
      </c>
      <c r="AE115" s="275" t="str">
        <f>IF(N115="","",VLOOKUP(N115,'G-7 WaterC'' Data'!$B$4:$G$8,5,FALSE))</f>
        <v/>
      </c>
      <c r="AF115" s="283" t="str">
        <f t="shared" si="15"/>
        <v/>
      </c>
      <c r="AG115" s="314" t="str">
        <f t="shared" si="16"/>
        <v/>
      </c>
      <c r="AH115" s="276" t="str">
        <f t="shared" si="10"/>
        <v/>
      </c>
      <c r="AI115" s="105"/>
      <c r="AJ115" s="276" t="str">
        <f>IF(AI115="","",IF(AND(AI115="N/A - Culvert",N115&lt;&gt;"Culvert"),"Not possible ▲",IF(VLOOKUP(AI115,'G-7 WaterC'' Data'!$AA$4:$AB$7,2,FALSE)=0,"Spatial Data Missing ⚠",VLOOKUP(AI115,'G-7 WaterC'' Data'!$AA$4:$AB$7,2,FALSE))))</f>
        <v/>
      </c>
      <c r="AK115" s="106"/>
      <c r="AL115" s="276" t="str">
        <f>IF(AK115="","",IF(AND(AK115="N/A - Culvert",N115&lt;&gt;"Culvert"),"Not possible ▲",IF(VLOOKUP(AK115,'G-7 WaterC'' Data'!$AD$4:$AE$14,2,FALSE)=0,"Spatial Data Missing ⚠",VLOOKUP(AK115,'G-7 WaterC'' Data'!$AD$4:$AE$14,2,FALSE))))</f>
        <v/>
      </c>
      <c r="AM115" s="317" t="str">
        <f t="shared" si="17"/>
        <v/>
      </c>
      <c r="AN115" s="101"/>
      <c r="AO115" s="115"/>
      <c r="AP115" s="104"/>
      <c r="AS115" s="30" t="str">
        <f>IF(B115="","",IF(ISNA(VLOOKUP($B115,'C-1 On-Site WaterC'' Baseline'!$C$8:$AD$257,17,FALSE)),"",(VLOOKUP($B115,'C-1 On-Site WaterC'' Baseline'!$C$8:$AD$257,17,FALSE))))</f>
        <v/>
      </c>
      <c r="AT115" s="30" t="str">
        <f>IF(B115="","",VLOOKUP($B115,'C-1 On-Site WaterC'' Baseline'!$C$9:$Z$257,12,FALSE))</f>
        <v/>
      </c>
      <c r="AU115" s="30" t="str">
        <f>IF(B115="","",VLOOKUP($B115,'C-1 On-Site WaterC'' Baseline'!$C$9:$Z$257,14,FALSE))</f>
        <v/>
      </c>
      <c r="AV115" s="30" t="str">
        <f>IFERROR(INDEX('G-7 WaterC'' Data'!$AZ$3:$AZ$7,MATCH(N115,'G-7 WaterC'' Data'!$AY$3:$AY$7,0)),"")</f>
        <v/>
      </c>
      <c r="AX115" s="30" t="str">
        <f>IF(B115="","",VLOOKUP($B115,'C-1 On-Site WaterC'' Baseline'!$C$9:$Y$257,22,FALSE))</f>
        <v/>
      </c>
      <c r="AY115" s="30" t="str">
        <f t="shared" si="18"/>
        <v/>
      </c>
      <c r="AZ115" s="30" t="str">
        <f>IF(B115="","",VLOOKUP($B115,'C-1 On-Site WaterC'' Baseline'!$C$9:$Y$257,21,FALSE))</f>
        <v/>
      </c>
      <c r="BA115" s="30" t="str">
        <f>IF(B115="","",VLOOKUP($B115,'C-1 On-Site WaterC'' Baseline'!$C$9:$Y$257,19,FALSE))</f>
        <v/>
      </c>
      <c r="BD115" s="30" t="str">
        <f t="shared" si="19"/>
        <v>No</v>
      </c>
    </row>
    <row r="116" spans="2:56" ht="14">
      <c r="B116" s="305" t="str">
        <f>'C-1 On-Site WaterC'' Baseline'!AP114</f>
        <v/>
      </c>
      <c r="C116" s="295" t="str">
        <f>IF(B116="","",VLOOKUP($B116,'C-1 On-Site WaterC'' Baseline'!$C$9:$R$257,2,FALSE))</f>
        <v/>
      </c>
      <c r="D116" s="295" t="str">
        <f>IF(C116="","",VLOOKUP($B116,'C-1 On-Site WaterC'' Baseline'!$C$9:$R$257,3,FALSE))</f>
        <v/>
      </c>
      <c r="E116" s="295" t="str">
        <f>IF(D116="","",VLOOKUP($B116,'C-1 On-Site WaterC'' Baseline'!$C$9:$R$257,4,FALSE))</f>
        <v/>
      </c>
      <c r="F116" s="295" t="str">
        <f>IF(E116="","",VLOOKUP($B116,'C-1 On-Site WaterC'' Baseline'!$C$9:$R$257,5,FALSE))</f>
        <v/>
      </c>
      <c r="G116" s="295" t="str">
        <f>IF(F116="","",VLOOKUP($B116,'C-1 On-Site WaterC'' Baseline'!$C$9:$R$257,6,FALSE))</f>
        <v/>
      </c>
      <c r="H116" s="295" t="str">
        <f>IF(G116="","",VLOOKUP($B116,'C-1 On-Site WaterC'' Baseline'!$C$9:$R$257,7,FALSE))</f>
        <v/>
      </c>
      <c r="I116" s="295" t="str">
        <f>IF(H116="","",VLOOKUP($B116,'C-1 On-Site WaterC'' Baseline'!$C$9:$R$257,8,FALSE))</f>
        <v/>
      </c>
      <c r="J116" s="295" t="str">
        <f>IF(I116="","",VLOOKUP($B116,'C-1 On-Site WaterC'' Baseline'!$C$9:$R$257,9,FALSE))</f>
        <v/>
      </c>
      <c r="K116" s="295" t="str">
        <f>IF(J116="","",VLOOKUP($B116,'C-1 On-Site WaterC'' Baseline'!$C$9:$R$257,10,FALSE))</f>
        <v/>
      </c>
      <c r="L116" s="295" t="str">
        <f>IF(B116="","",VLOOKUP($B116,'C-1 On-Site WaterC'' Baseline'!$C$9:$R$257,15,FALSE))</f>
        <v/>
      </c>
      <c r="M116" s="299" t="str">
        <f>IF(L116="","",VLOOKUP($B116,'C-1 On-Site WaterC'' Baseline'!$C$9:$R$257,16,FALSE))</f>
        <v/>
      </c>
      <c r="N116" s="245"/>
      <c r="O116" s="275" t="str">
        <f t="shared" si="11"/>
        <v/>
      </c>
      <c r="P116" s="276" t="str">
        <f t="shared" si="12"/>
        <v/>
      </c>
      <c r="Q116" s="336" t="str">
        <f>IF(N116="","",VLOOKUP(B116,'C-1 On-Site WaterC'' Baseline'!$C$10:$AC$257,20,FALSE))</f>
        <v/>
      </c>
      <c r="R116" s="275" t="str">
        <f>IF(N116="","",VLOOKUP(N116,'G-7 WaterC'' Data'!$B$2:$G$8,2,FALSE))</f>
        <v/>
      </c>
      <c r="S116" s="276" t="str">
        <f>IFERROR(VLOOKUP(R116,'G-7 WaterC'' Data'!$C$4:$D$8,2,FALSE),"")</f>
        <v/>
      </c>
      <c r="T116" s="101"/>
      <c r="U116" s="276" t="str">
        <f>IFERROR(INDEX('G-7 WaterC'' Data'!$H$4:$L$8,MATCH(N116,'G-7 WaterC'' Data'!$B$4:$B$8,0),MATCH(T116,'G-7 WaterC'' Data'!$H$3:$L$3,0)),"")</f>
        <v/>
      </c>
      <c r="V116" s="101"/>
      <c r="W116" s="283" t="str">
        <f>IF(V116="","",IF(VLOOKUP(V116,'G-7 WaterC'' Data'!$AK$4:$AM$6,2,FALSE)=0,"Spatial Data Missing ⚠",VLOOKUP(V116,'G-7 WaterC'' Data'!$AK$4:$AM$6,2,FALSE)))</f>
        <v/>
      </c>
      <c r="X116" s="276" t="str">
        <f>IF(V116="","",IF(VLOOKUP(V116,'G-7 WaterC'' Data'!$AK$4:$AM$6,3,FALSE)=0,"Spatial Data Missing ⚠",VLOOKUP(V116,'G-7 WaterC'' Data'!$AK$4:$AM$6,3,FALSE)))</f>
        <v/>
      </c>
      <c r="Y116" s="275" t="str">
        <f>IFERROR(IF(OR(LEFT(P116,5)="Error",LEFT(O116,5)="Error"),"Check Data ⚠",IF(F116&lt;S116,'G-7 WaterC'' Data'!$R$3,INDEX('G-7 WaterC'' Data'!$U$5:$Y$9,MATCH(G116,'G-7 WaterC'' Data'!$T$5:$T$9,0),MATCH(T116,'G-7 WaterC'' Data'!$U$4:$Y$4,0)))),"")</f>
        <v/>
      </c>
      <c r="Z116" s="133"/>
      <c r="AA116" s="133"/>
      <c r="AB116" s="283" t="str">
        <f t="shared" si="13"/>
        <v/>
      </c>
      <c r="AC116" s="296" t="str">
        <f t="shared" si="14"/>
        <v/>
      </c>
      <c r="AD116" s="334" t="str">
        <f>IFERROR(IF(AC116="Check Data ⚠","Check Data ⚠",VLOOKUP(AC116,'G-4 Temporal multipliers'!$A$4:$C$37,3,FALSE)),"")</f>
        <v/>
      </c>
      <c r="AE116" s="275" t="str">
        <f>IF(N116="","",VLOOKUP(N116,'G-7 WaterC'' Data'!$B$4:$G$8,5,FALSE))</f>
        <v/>
      </c>
      <c r="AF116" s="283" t="str">
        <f t="shared" si="15"/>
        <v/>
      </c>
      <c r="AG116" s="314" t="str">
        <f t="shared" si="16"/>
        <v/>
      </c>
      <c r="AH116" s="276" t="str">
        <f t="shared" si="10"/>
        <v/>
      </c>
      <c r="AI116" s="105"/>
      <c r="AJ116" s="276" t="str">
        <f>IF(AI116="","",IF(AND(AI116="N/A - Culvert",N116&lt;&gt;"Culvert"),"Not possible ▲",IF(VLOOKUP(AI116,'G-7 WaterC'' Data'!$AA$4:$AB$7,2,FALSE)=0,"Spatial Data Missing ⚠",VLOOKUP(AI116,'G-7 WaterC'' Data'!$AA$4:$AB$7,2,FALSE))))</f>
        <v/>
      </c>
      <c r="AK116" s="106"/>
      <c r="AL116" s="276" t="str">
        <f>IF(AK116="","",IF(AND(AK116="N/A - Culvert",N116&lt;&gt;"Culvert"),"Not possible ▲",IF(VLOOKUP(AK116,'G-7 WaterC'' Data'!$AD$4:$AE$14,2,FALSE)=0,"Spatial Data Missing ⚠",VLOOKUP(AK116,'G-7 WaterC'' Data'!$AD$4:$AE$14,2,FALSE))))</f>
        <v/>
      </c>
      <c r="AM116" s="317" t="str">
        <f t="shared" si="17"/>
        <v/>
      </c>
      <c r="AN116" s="101"/>
      <c r="AO116" s="115"/>
      <c r="AP116" s="104"/>
      <c r="AS116" s="30" t="str">
        <f>IF(B116="","",IF(ISNA(VLOOKUP($B116,'C-1 On-Site WaterC'' Baseline'!$C$8:$AD$257,17,FALSE)),"",(VLOOKUP($B116,'C-1 On-Site WaterC'' Baseline'!$C$8:$AD$257,17,FALSE))))</f>
        <v/>
      </c>
      <c r="AT116" s="30" t="str">
        <f>IF(B116="","",VLOOKUP($B116,'C-1 On-Site WaterC'' Baseline'!$C$9:$Z$257,12,FALSE))</f>
        <v/>
      </c>
      <c r="AU116" s="30" t="str">
        <f>IF(B116="","",VLOOKUP($B116,'C-1 On-Site WaterC'' Baseline'!$C$9:$Z$257,14,FALSE))</f>
        <v/>
      </c>
      <c r="AV116" s="30" t="str">
        <f>IFERROR(INDEX('G-7 WaterC'' Data'!$AZ$3:$AZ$7,MATCH(N116,'G-7 WaterC'' Data'!$AY$3:$AY$7,0)),"")</f>
        <v/>
      </c>
      <c r="AX116" s="30" t="str">
        <f>IF(B116="","",VLOOKUP($B116,'C-1 On-Site WaterC'' Baseline'!$C$9:$Y$257,22,FALSE))</f>
        <v/>
      </c>
      <c r="AY116" s="30" t="str">
        <f t="shared" si="18"/>
        <v/>
      </c>
      <c r="AZ116" s="30" t="str">
        <f>IF(B116="","",VLOOKUP($B116,'C-1 On-Site WaterC'' Baseline'!$C$9:$Y$257,21,FALSE))</f>
        <v/>
      </c>
      <c r="BA116" s="30" t="str">
        <f>IF(B116="","",VLOOKUP($B116,'C-1 On-Site WaterC'' Baseline'!$C$9:$Y$257,19,FALSE))</f>
        <v/>
      </c>
      <c r="BD116" s="30" t="str">
        <f t="shared" si="19"/>
        <v>No</v>
      </c>
    </row>
    <row r="117" spans="2:56" ht="14">
      <c r="B117" s="305" t="str">
        <f>'C-1 On-Site WaterC'' Baseline'!AP115</f>
        <v/>
      </c>
      <c r="C117" s="295" t="str">
        <f>IF(B117="","",VLOOKUP($B117,'C-1 On-Site WaterC'' Baseline'!$C$9:$R$257,2,FALSE))</f>
        <v/>
      </c>
      <c r="D117" s="295" t="str">
        <f>IF(C117="","",VLOOKUP($B117,'C-1 On-Site WaterC'' Baseline'!$C$9:$R$257,3,FALSE))</f>
        <v/>
      </c>
      <c r="E117" s="295" t="str">
        <f>IF(D117="","",VLOOKUP($B117,'C-1 On-Site WaterC'' Baseline'!$C$9:$R$257,4,FALSE))</f>
        <v/>
      </c>
      <c r="F117" s="295" t="str">
        <f>IF(E117="","",VLOOKUP($B117,'C-1 On-Site WaterC'' Baseline'!$C$9:$R$257,5,FALSE))</f>
        <v/>
      </c>
      <c r="G117" s="295" t="str">
        <f>IF(F117="","",VLOOKUP($B117,'C-1 On-Site WaterC'' Baseline'!$C$9:$R$257,6,FALSE))</f>
        <v/>
      </c>
      <c r="H117" s="295" t="str">
        <f>IF(G117="","",VLOOKUP($B117,'C-1 On-Site WaterC'' Baseline'!$C$9:$R$257,7,FALSE))</f>
        <v/>
      </c>
      <c r="I117" s="295" t="str">
        <f>IF(H117="","",VLOOKUP($B117,'C-1 On-Site WaterC'' Baseline'!$C$9:$R$257,8,FALSE))</f>
        <v/>
      </c>
      <c r="J117" s="295" t="str">
        <f>IF(I117="","",VLOOKUP($B117,'C-1 On-Site WaterC'' Baseline'!$C$9:$R$257,9,FALSE))</f>
        <v/>
      </c>
      <c r="K117" s="295" t="str">
        <f>IF(J117="","",VLOOKUP($B117,'C-1 On-Site WaterC'' Baseline'!$C$9:$R$257,10,FALSE))</f>
        <v/>
      </c>
      <c r="L117" s="295" t="str">
        <f>IF(B117="","",VLOOKUP($B117,'C-1 On-Site WaterC'' Baseline'!$C$9:$R$257,15,FALSE))</f>
        <v/>
      </c>
      <c r="M117" s="299" t="str">
        <f>IF(L117="","",VLOOKUP($B117,'C-1 On-Site WaterC'' Baseline'!$C$9:$R$257,16,FALSE))</f>
        <v/>
      </c>
      <c r="N117" s="245"/>
      <c r="O117" s="275" t="str">
        <f t="shared" si="11"/>
        <v/>
      </c>
      <c r="P117" s="276" t="str">
        <f t="shared" si="12"/>
        <v/>
      </c>
      <c r="Q117" s="336" t="str">
        <f>IF(N117="","",VLOOKUP(B117,'C-1 On-Site WaterC'' Baseline'!$C$10:$AC$257,20,FALSE))</f>
        <v/>
      </c>
      <c r="R117" s="275" t="str">
        <f>IF(N117="","",VLOOKUP(N117,'G-7 WaterC'' Data'!$B$2:$G$8,2,FALSE))</f>
        <v/>
      </c>
      <c r="S117" s="276" t="str">
        <f>IFERROR(VLOOKUP(R117,'G-7 WaterC'' Data'!$C$4:$D$8,2,FALSE),"")</f>
        <v/>
      </c>
      <c r="T117" s="101"/>
      <c r="U117" s="276" t="str">
        <f>IFERROR(INDEX('G-7 WaterC'' Data'!$H$4:$L$8,MATCH(N117,'G-7 WaterC'' Data'!$B$4:$B$8,0),MATCH(T117,'G-7 WaterC'' Data'!$H$3:$L$3,0)),"")</f>
        <v/>
      </c>
      <c r="V117" s="101"/>
      <c r="W117" s="283" t="str">
        <f>IF(V117="","",IF(VLOOKUP(V117,'G-7 WaterC'' Data'!$AK$4:$AM$6,2,FALSE)=0,"Spatial Data Missing ⚠",VLOOKUP(V117,'G-7 WaterC'' Data'!$AK$4:$AM$6,2,FALSE)))</f>
        <v/>
      </c>
      <c r="X117" s="276" t="str">
        <f>IF(V117="","",IF(VLOOKUP(V117,'G-7 WaterC'' Data'!$AK$4:$AM$6,3,FALSE)=0,"Spatial Data Missing ⚠",VLOOKUP(V117,'G-7 WaterC'' Data'!$AK$4:$AM$6,3,FALSE)))</f>
        <v/>
      </c>
      <c r="Y117" s="275" t="str">
        <f>IFERROR(IF(OR(LEFT(P117,5)="Error",LEFT(O117,5)="Error"),"Check Data ⚠",IF(F117&lt;S117,'G-7 WaterC'' Data'!$R$3,INDEX('G-7 WaterC'' Data'!$U$5:$Y$9,MATCH(G117,'G-7 WaterC'' Data'!$T$5:$T$9,0),MATCH(T117,'G-7 WaterC'' Data'!$U$4:$Y$4,0)))),"")</f>
        <v/>
      </c>
      <c r="Z117" s="133"/>
      <c r="AA117" s="133"/>
      <c r="AB117" s="283" t="str">
        <f t="shared" si="13"/>
        <v/>
      </c>
      <c r="AC117" s="296" t="str">
        <f t="shared" si="14"/>
        <v/>
      </c>
      <c r="AD117" s="334" t="str">
        <f>IFERROR(IF(AC117="Check Data ⚠","Check Data ⚠",VLOOKUP(AC117,'G-4 Temporal multipliers'!$A$4:$C$37,3,FALSE)),"")</f>
        <v/>
      </c>
      <c r="AE117" s="275" t="str">
        <f>IF(N117="","",VLOOKUP(N117,'G-7 WaterC'' Data'!$B$4:$G$8,5,FALSE))</f>
        <v/>
      </c>
      <c r="AF117" s="283" t="str">
        <f t="shared" si="15"/>
        <v/>
      </c>
      <c r="AG117" s="314" t="str">
        <f t="shared" si="16"/>
        <v/>
      </c>
      <c r="AH117" s="276" t="str">
        <f t="shared" si="10"/>
        <v/>
      </c>
      <c r="AI117" s="105"/>
      <c r="AJ117" s="276" t="str">
        <f>IF(AI117="","",IF(AND(AI117="N/A - Culvert",N117&lt;&gt;"Culvert"),"Not possible ▲",IF(VLOOKUP(AI117,'G-7 WaterC'' Data'!$AA$4:$AB$7,2,FALSE)=0,"Spatial Data Missing ⚠",VLOOKUP(AI117,'G-7 WaterC'' Data'!$AA$4:$AB$7,2,FALSE))))</f>
        <v/>
      </c>
      <c r="AK117" s="106"/>
      <c r="AL117" s="276" t="str">
        <f>IF(AK117="","",IF(AND(AK117="N/A - Culvert",N117&lt;&gt;"Culvert"),"Not possible ▲",IF(VLOOKUP(AK117,'G-7 WaterC'' Data'!$AD$4:$AE$14,2,FALSE)=0,"Spatial Data Missing ⚠",VLOOKUP(AK117,'G-7 WaterC'' Data'!$AD$4:$AE$14,2,FALSE))))</f>
        <v/>
      </c>
      <c r="AM117" s="317" t="str">
        <f t="shared" si="17"/>
        <v/>
      </c>
      <c r="AN117" s="101"/>
      <c r="AO117" s="115"/>
      <c r="AP117" s="104"/>
      <c r="AS117" s="30" t="str">
        <f>IF(B117="","",IF(ISNA(VLOOKUP($B117,'C-1 On-Site WaterC'' Baseline'!$C$8:$AD$257,17,FALSE)),"",(VLOOKUP($B117,'C-1 On-Site WaterC'' Baseline'!$C$8:$AD$257,17,FALSE))))</f>
        <v/>
      </c>
      <c r="AT117" s="30" t="str">
        <f>IF(B117="","",VLOOKUP($B117,'C-1 On-Site WaterC'' Baseline'!$C$9:$Z$257,12,FALSE))</f>
        <v/>
      </c>
      <c r="AU117" s="30" t="str">
        <f>IF(B117="","",VLOOKUP($B117,'C-1 On-Site WaterC'' Baseline'!$C$9:$Z$257,14,FALSE))</f>
        <v/>
      </c>
      <c r="AV117" s="30" t="str">
        <f>IFERROR(INDEX('G-7 WaterC'' Data'!$AZ$3:$AZ$7,MATCH(N117,'G-7 WaterC'' Data'!$AY$3:$AY$7,0)),"")</f>
        <v/>
      </c>
      <c r="AX117" s="30" t="str">
        <f>IF(B117="","",VLOOKUP($B117,'C-1 On-Site WaterC'' Baseline'!$C$9:$Y$257,22,FALSE))</f>
        <v/>
      </c>
      <c r="AY117" s="30" t="str">
        <f t="shared" si="18"/>
        <v/>
      </c>
      <c r="AZ117" s="30" t="str">
        <f>IF(B117="","",VLOOKUP($B117,'C-1 On-Site WaterC'' Baseline'!$C$9:$Y$257,21,FALSE))</f>
        <v/>
      </c>
      <c r="BA117" s="30" t="str">
        <f>IF(B117="","",VLOOKUP($B117,'C-1 On-Site WaterC'' Baseline'!$C$9:$Y$257,19,FALSE))</f>
        <v/>
      </c>
      <c r="BD117" s="30" t="str">
        <f t="shared" si="19"/>
        <v>No</v>
      </c>
    </row>
    <row r="118" spans="2:56" ht="14">
      <c r="B118" s="305" t="str">
        <f>'C-1 On-Site WaterC'' Baseline'!AP116</f>
        <v/>
      </c>
      <c r="C118" s="295" t="str">
        <f>IF(B118="","",VLOOKUP($B118,'C-1 On-Site WaterC'' Baseline'!$C$9:$R$257,2,FALSE))</f>
        <v/>
      </c>
      <c r="D118" s="295" t="str">
        <f>IF(C118="","",VLOOKUP($B118,'C-1 On-Site WaterC'' Baseline'!$C$9:$R$257,3,FALSE))</f>
        <v/>
      </c>
      <c r="E118" s="295" t="str">
        <f>IF(D118="","",VLOOKUP($B118,'C-1 On-Site WaterC'' Baseline'!$C$9:$R$257,4,FALSE))</f>
        <v/>
      </c>
      <c r="F118" s="295" t="str">
        <f>IF(E118="","",VLOOKUP($B118,'C-1 On-Site WaterC'' Baseline'!$C$9:$R$257,5,FALSE))</f>
        <v/>
      </c>
      <c r="G118" s="295" t="str">
        <f>IF(F118="","",VLOOKUP($B118,'C-1 On-Site WaterC'' Baseline'!$C$9:$R$257,6,FALSE))</f>
        <v/>
      </c>
      <c r="H118" s="295" t="str">
        <f>IF(G118="","",VLOOKUP($B118,'C-1 On-Site WaterC'' Baseline'!$C$9:$R$257,7,FALSE))</f>
        <v/>
      </c>
      <c r="I118" s="295" t="str">
        <f>IF(H118="","",VLOOKUP($B118,'C-1 On-Site WaterC'' Baseline'!$C$9:$R$257,8,FALSE))</f>
        <v/>
      </c>
      <c r="J118" s="295" t="str">
        <f>IF(I118="","",VLOOKUP($B118,'C-1 On-Site WaterC'' Baseline'!$C$9:$R$257,9,FALSE))</f>
        <v/>
      </c>
      <c r="K118" s="295" t="str">
        <f>IF(J118="","",VLOOKUP($B118,'C-1 On-Site WaterC'' Baseline'!$C$9:$R$257,10,FALSE))</f>
        <v/>
      </c>
      <c r="L118" s="295" t="str">
        <f>IF(B118="","",VLOOKUP($B118,'C-1 On-Site WaterC'' Baseline'!$C$9:$R$257,15,FALSE))</f>
        <v/>
      </c>
      <c r="M118" s="299" t="str">
        <f>IF(L118="","",VLOOKUP($B118,'C-1 On-Site WaterC'' Baseline'!$C$9:$R$257,16,FALSE))</f>
        <v/>
      </c>
      <c r="N118" s="245"/>
      <c r="O118" s="275" t="str">
        <f t="shared" si="11"/>
        <v/>
      </c>
      <c r="P118" s="276" t="str">
        <f t="shared" si="12"/>
        <v/>
      </c>
      <c r="Q118" s="336" t="str">
        <f>IF(N118="","",VLOOKUP(B118,'C-1 On-Site WaterC'' Baseline'!$C$10:$AC$257,20,FALSE))</f>
        <v/>
      </c>
      <c r="R118" s="275" t="str">
        <f>IF(N118="","",VLOOKUP(N118,'G-7 WaterC'' Data'!$B$2:$G$8,2,FALSE))</f>
        <v/>
      </c>
      <c r="S118" s="276" t="str">
        <f>IFERROR(VLOOKUP(R118,'G-7 WaterC'' Data'!$C$4:$D$8,2,FALSE),"")</f>
        <v/>
      </c>
      <c r="T118" s="101"/>
      <c r="U118" s="276" t="str">
        <f>IFERROR(INDEX('G-7 WaterC'' Data'!$H$4:$L$8,MATCH(N118,'G-7 WaterC'' Data'!$B$4:$B$8,0),MATCH(T118,'G-7 WaterC'' Data'!$H$3:$L$3,0)),"")</f>
        <v/>
      </c>
      <c r="V118" s="101"/>
      <c r="W118" s="283" t="str">
        <f>IF(V118="","",IF(VLOOKUP(V118,'G-7 WaterC'' Data'!$AK$4:$AM$6,2,FALSE)=0,"Spatial Data Missing ⚠",VLOOKUP(V118,'G-7 WaterC'' Data'!$AK$4:$AM$6,2,FALSE)))</f>
        <v/>
      </c>
      <c r="X118" s="276" t="str">
        <f>IF(V118="","",IF(VLOOKUP(V118,'G-7 WaterC'' Data'!$AK$4:$AM$6,3,FALSE)=0,"Spatial Data Missing ⚠",VLOOKUP(V118,'G-7 WaterC'' Data'!$AK$4:$AM$6,3,FALSE)))</f>
        <v/>
      </c>
      <c r="Y118" s="275" t="str">
        <f>IFERROR(IF(OR(LEFT(P118,5)="Error",LEFT(O118,5)="Error"),"Check Data ⚠",IF(F118&lt;S118,'G-7 WaterC'' Data'!$R$3,INDEX('G-7 WaterC'' Data'!$U$5:$Y$9,MATCH(G118,'G-7 WaterC'' Data'!$T$5:$T$9,0),MATCH(T118,'G-7 WaterC'' Data'!$U$4:$Y$4,0)))),"")</f>
        <v/>
      </c>
      <c r="Z118" s="133"/>
      <c r="AA118" s="133"/>
      <c r="AB118" s="283" t="str">
        <f t="shared" si="13"/>
        <v/>
      </c>
      <c r="AC118" s="296" t="str">
        <f t="shared" si="14"/>
        <v/>
      </c>
      <c r="AD118" s="334" t="str">
        <f>IFERROR(IF(AC118="Check Data ⚠","Check Data ⚠",VLOOKUP(AC118,'G-4 Temporal multipliers'!$A$4:$C$37,3,FALSE)),"")</f>
        <v/>
      </c>
      <c r="AE118" s="275" t="str">
        <f>IF(N118="","",VLOOKUP(N118,'G-7 WaterC'' Data'!$B$4:$G$8,5,FALSE))</f>
        <v/>
      </c>
      <c r="AF118" s="283" t="str">
        <f t="shared" si="15"/>
        <v/>
      </c>
      <c r="AG118" s="314" t="str">
        <f t="shared" si="16"/>
        <v/>
      </c>
      <c r="AH118" s="276" t="str">
        <f t="shared" si="10"/>
        <v/>
      </c>
      <c r="AI118" s="105"/>
      <c r="AJ118" s="276" t="str">
        <f>IF(AI118="","",IF(AND(AI118="N/A - Culvert",N118&lt;&gt;"Culvert"),"Not possible ▲",IF(VLOOKUP(AI118,'G-7 WaterC'' Data'!$AA$4:$AB$7,2,FALSE)=0,"Spatial Data Missing ⚠",VLOOKUP(AI118,'G-7 WaterC'' Data'!$AA$4:$AB$7,2,FALSE))))</f>
        <v/>
      </c>
      <c r="AK118" s="106"/>
      <c r="AL118" s="276" t="str">
        <f>IF(AK118="","",IF(AND(AK118="N/A - Culvert",N118&lt;&gt;"Culvert"),"Not possible ▲",IF(VLOOKUP(AK118,'G-7 WaterC'' Data'!$AD$4:$AE$14,2,FALSE)=0,"Spatial Data Missing ⚠",VLOOKUP(AK118,'G-7 WaterC'' Data'!$AD$4:$AE$14,2,FALSE))))</f>
        <v/>
      </c>
      <c r="AM118" s="317" t="str">
        <f t="shared" si="17"/>
        <v/>
      </c>
      <c r="AN118" s="101"/>
      <c r="AO118" s="115"/>
      <c r="AP118" s="104"/>
      <c r="AS118" s="30" t="str">
        <f>IF(B118="","",IF(ISNA(VLOOKUP($B118,'C-1 On-Site WaterC'' Baseline'!$C$8:$AD$257,17,FALSE)),"",(VLOOKUP($B118,'C-1 On-Site WaterC'' Baseline'!$C$8:$AD$257,17,FALSE))))</f>
        <v/>
      </c>
      <c r="AT118" s="30" t="str">
        <f>IF(B118="","",VLOOKUP($B118,'C-1 On-Site WaterC'' Baseline'!$C$9:$Z$257,12,FALSE))</f>
        <v/>
      </c>
      <c r="AU118" s="30" t="str">
        <f>IF(B118="","",VLOOKUP($B118,'C-1 On-Site WaterC'' Baseline'!$C$9:$Z$257,14,FALSE))</f>
        <v/>
      </c>
      <c r="AV118" s="30" t="str">
        <f>IFERROR(INDEX('G-7 WaterC'' Data'!$AZ$3:$AZ$7,MATCH(N118,'G-7 WaterC'' Data'!$AY$3:$AY$7,0)),"")</f>
        <v/>
      </c>
      <c r="AX118" s="30" t="str">
        <f>IF(B118="","",VLOOKUP($B118,'C-1 On-Site WaterC'' Baseline'!$C$9:$Y$257,22,FALSE))</f>
        <v/>
      </c>
      <c r="AY118" s="30" t="str">
        <f t="shared" si="18"/>
        <v/>
      </c>
      <c r="AZ118" s="30" t="str">
        <f>IF(B118="","",VLOOKUP($B118,'C-1 On-Site WaterC'' Baseline'!$C$9:$Y$257,21,FALSE))</f>
        <v/>
      </c>
      <c r="BA118" s="30" t="str">
        <f>IF(B118="","",VLOOKUP($B118,'C-1 On-Site WaterC'' Baseline'!$C$9:$Y$257,19,FALSE))</f>
        <v/>
      </c>
      <c r="BD118" s="30" t="str">
        <f t="shared" si="19"/>
        <v>No</v>
      </c>
    </row>
    <row r="119" spans="2:56" ht="14">
      <c r="B119" s="305" t="str">
        <f>'C-1 On-Site WaterC'' Baseline'!AP117</f>
        <v/>
      </c>
      <c r="C119" s="295" t="str">
        <f>IF(B119="","",VLOOKUP($B119,'C-1 On-Site WaterC'' Baseline'!$C$9:$R$257,2,FALSE))</f>
        <v/>
      </c>
      <c r="D119" s="295" t="str">
        <f>IF(C119="","",VLOOKUP($B119,'C-1 On-Site WaterC'' Baseline'!$C$9:$R$257,3,FALSE))</f>
        <v/>
      </c>
      <c r="E119" s="295" t="str">
        <f>IF(D119="","",VLOOKUP($B119,'C-1 On-Site WaterC'' Baseline'!$C$9:$R$257,4,FALSE))</f>
        <v/>
      </c>
      <c r="F119" s="295" t="str">
        <f>IF(E119="","",VLOOKUP($B119,'C-1 On-Site WaterC'' Baseline'!$C$9:$R$257,5,FALSE))</f>
        <v/>
      </c>
      <c r="G119" s="295" t="str">
        <f>IF(F119="","",VLOOKUP($B119,'C-1 On-Site WaterC'' Baseline'!$C$9:$R$257,6,FALSE))</f>
        <v/>
      </c>
      <c r="H119" s="295" t="str">
        <f>IF(G119="","",VLOOKUP($B119,'C-1 On-Site WaterC'' Baseline'!$C$9:$R$257,7,FALSE))</f>
        <v/>
      </c>
      <c r="I119" s="295" t="str">
        <f>IF(H119="","",VLOOKUP($B119,'C-1 On-Site WaterC'' Baseline'!$C$9:$R$257,8,FALSE))</f>
        <v/>
      </c>
      <c r="J119" s="295" t="str">
        <f>IF(I119="","",VLOOKUP($B119,'C-1 On-Site WaterC'' Baseline'!$C$9:$R$257,9,FALSE))</f>
        <v/>
      </c>
      <c r="K119" s="295" t="str">
        <f>IF(J119="","",VLOOKUP($B119,'C-1 On-Site WaterC'' Baseline'!$C$9:$R$257,10,FALSE))</f>
        <v/>
      </c>
      <c r="L119" s="295" t="str">
        <f>IF(B119="","",VLOOKUP($B119,'C-1 On-Site WaterC'' Baseline'!$C$9:$R$257,15,FALSE))</f>
        <v/>
      </c>
      <c r="M119" s="299" t="str">
        <f>IF(L119="","",VLOOKUP($B119,'C-1 On-Site WaterC'' Baseline'!$C$9:$R$257,16,FALSE))</f>
        <v/>
      </c>
      <c r="N119" s="245"/>
      <c r="O119" s="275" t="str">
        <f t="shared" si="11"/>
        <v/>
      </c>
      <c r="P119" s="276" t="str">
        <f t="shared" si="12"/>
        <v/>
      </c>
      <c r="Q119" s="336" t="str">
        <f>IF(N119="","",VLOOKUP(B119,'C-1 On-Site WaterC'' Baseline'!$C$10:$AC$257,20,FALSE))</f>
        <v/>
      </c>
      <c r="R119" s="275" t="str">
        <f>IF(N119="","",VLOOKUP(N119,'G-7 WaterC'' Data'!$B$2:$G$8,2,FALSE))</f>
        <v/>
      </c>
      <c r="S119" s="276" t="str">
        <f>IFERROR(VLOOKUP(R119,'G-7 WaterC'' Data'!$C$4:$D$8,2,FALSE),"")</f>
        <v/>
      </c>
      <c r="T119" s="101"/>
      <c r="U119" s="276" t="str">
        <f>IFERROR(INDEX('G-7 WaterC'' Data'!$H$4:$L$8,MATCH(N119,'G-7 WaterC'' Data'!$B$4:$B$8,0),MATCH(T119,'G-7 WaterC'' Data'!$H$3:$L$3,0)),"")</f>
        <v/>
      </c>
      <c r="V119" s="101"/>
      <c r="W119" s="283" t="str">
        <f>IF(V119="","",IF(VLOOKUP(V119,'G-7 WaterC'' Data'!$AK$4:$AM$6,2,FALSE)=0,"Spatial Data Missing ⚠",VLOOKUP(V119,'G-7 WaterC'' Data'!$AK$4:$AM$6,2,FALSE)))</f>
        <v/>
      </c>
      <c r="X119" s="276" t="str">
        <f>IF(V119="","",IF(VLOOKUP(V119,'G-7 WaterC'' Data'!$AK$4:$AM$6,3,FALSE)=0,"Spatial Data Missing ⚠",VLOOKUP(V119,'G-7 WaterC'' Data'!$AK$4:$AM$6,3,FALSE)))</f>
        <v/>
      </c>
      <c r="Y119" s="275" t="str">
        <f>IFERROR(IF(OR(LEFT(P119,5)="Error",LEFT(O119,5)="Error"),"Check Data ⚠",IF(F119&lt;S119,'G-7 WaterC'' Data'!$R$3,INDEX('G-7 WaterC'' Data'!$U$5:$Y$9,MATCH(G119,'G-7 WaterC'' Data'!$T$5:$T$9,0),MATCH(T119,'G-7 WaterC'' Data'!$U$4:$Y$4,0)))),"")</f>
        <v/>
      </c>
      <c r="Z119" s="133"/>
      <c r="AA119" s="133"/>
      <c r="AB119" s="283" t="str">
        <f t="shared" si="13"/>
        <v/>
      </c>
      <c r="AC119" s="296" t="str">
        <f t="shared" si="14"/>
        <v/>
      </c>
      <c r="AD119" s="334" t="str">
        <f>IFERROR(IF(AC119="Check Data ⚠","Check Data ⚠",VLOOKUP(AC119,'G-4 Temporal multipliers'!$A$4:$C$37,3,FALSE)),"")</f>
        <v/>
      </c>
      <c r="AE119" s="275" t="str">
        <f>IF(N119="","",VLOOKUP(N119,'G-7 WaterC'' Data'!$B$4:$G$8,5,FALSE))</f>
        <v/>
      </c>
      <c r="AF119" s="283" t="str">
        <f t="shared" si="15"/>
        <v/>
      </c>
      <c r="AG119" s="314" t="str">
        <f t="shared" si="16"/>
        <v/>
      </c>
      <c r="AH119" s="276" t="str">
        <f t="shared" si="10"/>
        <v/>
      </c>
      <c r="AI119" s="105"/>
      <c r="AJ119" s="276" t="str">
        <f>IF(AI119="","",IF(AND(AI119="N/A - Culvert",N119&lt;&gt;"Culvert"),"Not possible ▲",IF(VLOOKUP(AI119,'G-7 WaterC'' Data'!$AA$4:$AB$7,2,FALSE)=0,"Spatial Data Missing ⚠",VLOOKUP(AI119,'G-7 WaterC'' Data'!$AA$4:$AB$7,2,FALSE))))</f>
        <v/>
      </c>
      <c r="AK119" s="106"/>
      <c r="AL119" s="276" t="str">
        <f>IF(AK119="","",IF(AND(AK119="N/A - Culvert",N119&lt;&gt;"Culvert"),"Not possible ▲",IF(VLOOKUP(AK119,'G-7 WaterC'' Data'!$AD$4:$AE$14,2,FALSE)=0,"Spatial Data Missing ⚠",VLOOKUP(AK119,'G-7 WaterC'' Data'!$AD$4:$AE$14,2,FALSE))))</f>
        <v/>
      </c>
      <c r="AM119" s="317" t="str">
        <f t="shared" si="17"/>
        <v/>
      </c>
      <c r="AN119" s="101"/>
      <c r="AO119" s="115"/>
      <c r="AP119" s="104"/>
      <c r="AS119" s="30" t="str">
        <f>IF(B119="","",IF(ISNA(VLOOKUP($B119,'C-1 On-Site WaterC'' Baseline'!$C$8:$AD$257,17,FALSE)),"",(VLOOKUP($B119,'C-1 On-Site WaterC'' Baseline'!$C$8:$AD$257,17,FALSE))))</f>
        <v/>
      </c>
      <c r="AT119" s="30" t="str">
        <f>IF(B119="","",VLOOKUP($B119,'C-1 On-Site WaterC'' Baseline'!$C$9:$Z$257,12,FALSE))</f>
        <v/>
      </c>
      <c r="AU119" s="30" t="str">
        <f>IF(B119="","",VLOOKUP($B119,'C-1 On-Site WaterC'' Baseline'!$C$9:$Z$257,14,FALSE))</f>
        <v/>
      </c>
      <c r="AV119" s="30" t="str">
        <f>IFERROR(INDEX('G-7 WaterC'' Data'!$AZ$3:$AZ$7,MATCH(N119,'G-7 WaterC'' Data'!$AY$3:$AY$7,0)),"")</f>
        <v/>
      </c>
      <c r="AX119" s="30" t="str">
        <f>IF(B119="","",VLOOKUP($B119,'C-1 On-Site WaterC'' Baseline'!$C$9:$Y$257,22,FALSE))</f>
        <v/>
      </c>
      <c r="AY119" s="30" t="str">
        <f t="shared" si="18"/>
        <v/>
      </c>
      <c r="AZ119" s="30" t="str">
        <f>IF(B119="","",VLOOKUP($B119,'C-1 On-Site WaterC'' Baseline'!$C$9:$Y$257,21,FALSE))</f>
        <v/>
      </c>
      <c r="BA119" s="30" t="str">
        <f>IF(B119="","",VLOOKUP($B119,'C-1 On-Site WaterC'' Baseline'!$C$9:$Y$257,19,FALSE))</f>
        <v/>
      </c>
      <c r="BD119" s="30" t="str">
        <f t="shared" si="19"/>
        <v>No</v>
      </c>
    </row>
    <row r="120" spans="2:56" ht="14">
      <c r="B120" s="305" t="str">
        <f>'C-1 On-Site WaterC'' Baseline'!AP118</f>
        <v/>
      </c>
      <c r="C120" s="295" t="str">
        <f>IF(B120="","",VLOOKUP($B120,'C-1 On-Site WaterC'' Baseline'!$C$9:$R$257,2,FALSE))</f>
        <v/>
      </c>
      <c r="D120" s="295" t="str">
        <f>IF(C120="","",VLOOKUP($B120,'C-1 On-Site WaterC'' Baseline'!$C$9:$R$257,3,FALSE))</f>
        <v/>
      </c>
      <c r="E120" s="295" t="str">
        <f>IF(D120="","",VLOOKUP($B120,'C-1 On-Site WaterC'' Baseline'!$C$9:$R$257,4,FALSE))</f>
        <v/>
      </c>
      <c r="F120" s="295" t="str">
        <f>IF(E120="","",VLOOKUP($B120,'C-1 On-Site WaterC'' Baseline'!$C$9:$R$257,5,FALSE))</f>
        <v/>
      </c>
      <c r="G120" s="295" t="str">
        <f>IF(F120="","",VLOOKUP($B120,'C-1 On-Site WaterC'' Baseline'!$C$9:$R$257,6,FALSE))</f>
        <v/>
      </c>
      <c r="H120" s="295" t="str">
        <f>IF(G120="","",VLOOKUP($B120,'C-1 On-Site WaterC'' Baseline'!$C$9:$R$257,7,FALSE))</f>
        <v/>
      </c>
      <c r="I120" s="295" t="str">
        <f>IF(H120="","",VLOOKUP($B120,'C-1 On-Site WaterC'' Baseline'!$C$9:$R$257,8,FALSE))</f>
        <v/>
      </c>
      <c r="J120" s="295" t="str">
        <f>IF(I120="","",VLOOKUP($B120,'C-1 On-Site WaterC'' Baseline'!$C$9:$R$257,9,FALSE))</f>
        <v/>
      </c>
      <c r="K120" s="295" t="str">
        <f>IF(J120="","",VLOOKUP($B120,'C-1 On-Site WaterC'' Baseline'!$C$9:$R$257,10,FALSE))</f>
        <v/>
      </c>
      <c r="L120" s="295" t="str">
        <f>IF(B120="","",VLOOKUP($B120,'C-1 On-Site WaterC'' Baseline'!$C$9:$R$257,15,FALSE))</f>
        <v/>
      </c>
      <c r="M120" s="299" t="str">
        <f>IF(L120="","",VLOOKUP($B120,'C-1 On-Site WaterC'' Baseline'!$C$9:$R$257,16,FALSE))</f>
        <v/>
      </c>
      <c r="N120" s="245"/>
      <c r="O120" s="275" t="str">
        <f t="shared" si="11"/>
        <v/>
      </c>
      <c r="P120" s="276" t="str">
        <f t="shared" si="12"/>
        <v/>
      </c>
      <c r="Q120" s="336" t="str">
        <f>IF(N120="","",VLOOKUP(B120,'C-1 On-Site WaterC'' Baseline'!$C$10:$AC$257,20,FALSE))</f>
        <v/>
      </c>
      <c r="R120" s="275" t="str">
        <f>IF(N120="","",VLOOKUP(N120,'G-7 WaterC'' Data'!$B$2:$G$8,2,FALSE))</f>
        <v/>
      </c>
      <c r="S120" s="276" t="str">
        <f>IFERROR(VLOOKUP(R120,'G-7 WaterC'' Data'!$C$4:$D$8,2,FALSE),"")</f>
        <v/>
      </c>
      <c r="T120" s="101"/>
      <c r="U120" s="276" t="str">
        <f>IFERROR(INDEX('G-7 WaterC'' Data'!$H$4:$L$8,MATCH(N120,'G-7 WaterC'' Data'!$B$4:$B$8,0),MATCH(T120,'G-7 WaterC'' Data'!$H$3:$L$3,0)),"")</f>
        <v/>
      </c>
      <c r="V120" s="101"/>
      <c r="W120" s="283" t="str">
        <f>IF(V120="","",IF(VLOOKUP(V120,'G-7 WaterC'' Data'!$AK$4:$AM$6,2,FALSE)=0,"Spatial Data Missing ⚠",VLOOKUP(V120,'G-7 WaterC'' Data'!$AK$4:$AM$6,2,FALSE)))</f>
        <v/>
      </c>
      <c r="X120" s="276" t="str">
        <f>IF(V120="","",IF(VLOOKUP(V120,'G-7 WaterC'' Data'!$AK$4:$AM$6,3,FALSE)=0,"Spatial Data Missing ⚠",VLOOKUP(V120,'G-7 WaterC'' Data'!$AK$4:$AM$6,3,FALSE)))</f>
        <v/>
      </c>
      <c r="Y120" s="275" t="str">
        <f>IFERROR(IF(OR(LEFT(P120,5)="Error",LEFT(O120,5)="Error"),"Check Data ⚠",IF(F120&lt;S120,'G-7 WaterC'' Data'!$R$3,INDEX('G-7 WaterC'' Data'!$U$5:$Y$9,MATCH(G120,'G-7 WaterC'' Data'!$T$5:$T$9,0),MATCH(T120,'G-7 WaterC'' Data'!$U$4:$Y$4,0)))),"")</f>
        <v/>
      </c>
      <c r="Z120" s="133"/>
      <c r="AA120" s="133"/>
      <c r="AB120" s="283" t="str">
        <f t="shared" si="13"/>
        <v/>
      </c>
      <c r="AC120" s="296" t="str">
        <f t="shared" si="14"/>
        <v/>
      </c>
      <c r="AD120" s="334" t="str">
        <f>IFERROR(IF(AC120="Check Data ⚠","Check Data ⚠",VLOOKUP(AC120,'G-4 Temporal multipliers'!$A$4:$C$37,3,FALSE)),"")</f>
        <v/>
      </c>
      <c r="AE120" s="275" t="str">
        <f>IF(N120="","",VLOOKUP(N120,'G-7 WaterC'' Data'!$B$4:$G$8,5,FALSE))</f>
        <v/>
      </c>
      <c r="AF120" s="283" t="str">
        <f t="shared" si="15"/>
        <v/>
      </c>
      <c r="AG120" s="314" t="str">
        <f t="shared" si="16"/>
        <v/>
      </c>
      <c r="AH120" s="276" t="str">
        <f t="shared" si="10"/>
        <v/>
      </c>
      <c r="AI120" s="105"/>
      <c r="AJ120" s="276" t="str">
        <f>IF(AI120="","",IF(AND(AI120="N/A - Culvert",N120&lt;&gt;"Culvert"),"Not possible ▲",IF(VLOOKUP(AI120,'G-7 WaterC'' Data'!$AA$4:$AB$7,2,FALSE)=0,"Spatial Data Missing ⚠",VLOOKUP(AI120,'G-7 WaterC'' Data'!$AA$4:$AB$7,2,FALSE))))</f>
        <v/>
      </c>
      <c r="AK120" s="106"/>
      <c r="AL120" s="276" t="str">
        <f>IF(AK120="","",IF(AND(AK120="N/A - Culvert",N120&lt;&gt;"Culvert"),"Not possible ▲",IF(VLOOKUP(AK120,'G-7 WaterC'' Data'!$AD$4:$AE$14,2,FALSE)=0,"Spatial Data Missing ⚠",VLOOKUP(AK120,'G-7 WaterC'' Data'!$AD$4:$AE$14,2,FALSE))))</f>
        <v/>
      </c>
      <c r="AM120" s="317" t="str">
        <f t="shared" si="17"/>
        <v/>
      </c>
      <c r="AN120" s="101"/>
      <c r="AO120" s="115"/>
      <c r="AP120" s="104"/>
      <c r="AS120" s="30" t="str">
        <f>IF(B120="","",IF(ISNA(VLOOKUP($B120,'C-1 On-Site WaterC'' Baseline'!$C$8:$AD$257,17,FALSE)),"",(VLOOKUP($B120,'C-1 On-Site WaterC'' Baseline'!$C$8:$AD$257,17,FALSE))))</f>
        <v/>
      </c>
      <c r="AT120" s="30" t="str">
        <f>IF(B120="","",VLOOKUP($B120,'C-1 On-Site WaterC'' Baseline'!$C$9:$Z$257,12,FALSE))</f>
        <v/>
      </c>
      <c r="AU120" s="30" t="str">
        <f>IF(B120="","",VLOOKUP($B120,'C-1 On-Site WaterC'' Baseline'!$C$9:$Z$257,14,FALSE))</f>
        <v/>
      </c>
      <c r="AV120" s="30" t="str">
        <f>IFERROR(INDEX('G-7 WaterC'' Data'!$AZ$3:$AZ$7,MATCH(N120,'G-7 WaterC'' Data'!$AY$3:$AY$7,0)),"")</f>
        <v/>
      </c>
      <c r="AX120" s="30" t="str">
        <f>IF(B120="","",VLOOKUP($B120,'C-1 On-Site WaterC'' Baseline'!$C$9:$Y$257,22,FALSE))</f>
        <v/>
      </c>
      <c r="AY120" s="30" t="str">
        <f t="shared" si="18"/>
        <v/>
      </c>
      <c r="AZ120" s="30" t="str">
        <f>IF(B120="","",VLOOKUP($B120,'C-1 On-Site WaterC'' Baseline'!$C$9:$Y$257,21,FALSE))</f>
        <v/>
      </c>
      <c r="BA120" s="30" t="str">
        <f>IF(B120="","",VLOOKUP($B120,'C-1 On-Site WaterC'' Baseline'!$C$9:$Y$257,19,FALSE))</f>
        <v/>
      </c>
      <c r="BD120" s="30" t="str">
        <f t="shared" si="19"/>
        <v>No</v>
      </c>
    </row>
    <row r="121" spans="2:56" ht="14">
      <c r="B121" s="305" t="str">
        <f>'C-1 On-Site WaterC'' Baseline'!AP119</f>
        <v/>
      </c>
      <c r="C121" s="295" t="str">
        <f>IF(B121="","",VLOOKUP($B121,'C-1 On-Site WaterC'' Baseline'!$C$9:$R$257,2,FALSE))</f>
        <v/>
      </c>
      <c r="D121" s="295" t="str">
        <f>IF(C121="","",VLOOKUP($B121,'C-1 On-Site WaterC'' Baseline'!$C$9:$R$257,3,FALSE))</f>
        <v/>
      </c>
      <c r="E121" s="295" t="str">
        <f>IF(D121="","",VLOOKUP($B121,'C-1 On-Site WaterC'' Baseline'!$C$9:$R$257,4,FALSE))</f>
        <v/>
      </c>
      <c r="F121" s="295" t="str">
        <f>IF(E121="","",VLOOKUP($B121,'C-1 On-Site WaterC'' Baseline'!$C$9:$R$257,5,FALSE))</f>
        <v/>
      </c>
      <c r="G121" s="295" t="str">
        <f>IF(F121="","",VLOOKUP($B121,'C-1 On-Site WaterC'' Baseline'!$C$9:$R$257,6,FALSE))</f>
        <v/>
      </c>
      <c r="H121" s="295" t="str">
        <f>IF(G121="","",VLOOKUP($B121,'C-1 On-Site WaterC'' Baseline'!$C$9:$R$257,7,FALSE))</f>
        <v/>
      </c>
      <c r="I121" s="295" t="str">
        <f>IF(H121="","",VLOOKUP($B121,'C-1 On-Site WaterC'' Baseline'!$C$9:$R$257,8,FALSE))</f>
        <v/>
      </c>
      <c r="J121" s="295" t="str">
        <f>IF(I121="","",VLOOKUP($B121,'C-1 On-Site WaterC'' Baseline'!$C$9:$R$257,9,FALSE))</f>
        <v/>
      </c>
      <c r="K121" s="295" t="str">
        <f>IF(J121="","",VLOOKUP($B121,'C-1 On-Site WaterC'' Baseline'!$C$9:$R$257,10,FALSE))</f>
        <v/>
      </c>
      <c r="L121" s="295" t="str">
        <f>IF(B121="","",VLOOKUP($B121,'C-1 On-Site WaterC'' Baseline'!$C$9:$R$257,15,FALSE))</f>
        <v/>
      </c>
      <c r="M121" s="299" t="str">
        <f>IF(L121="","",VLOOKUP($B121,'C-1 On-Site WaterC'' Baseline'!$C$9:$R$257,16,FALSE))</f>
        <v/>
      </c>
      <c r="N121" s="245"/>
      <c r="O121" s="275" t="str">
        <f t="shared" si="11"/>
        <v/>
      </c>
      <c r="P121" s="276" t="str">
        <f t="shared" si="12"/>
        <v/>
      </c>
      <c r="Q121" s="336" t="str">
        <f>IF(N121="","",VLOOKUP(B121,'C-1 On-Site WaterC'' Baseline'!$C$10:$AC$257,20,FALSE))</f>
        <v/>
      </c>
      <c r="R121" s="275" t="str">
        <f>IF(N121="","",VLOOKUP(N121,'G-7 WaterC'' Data'!$B$2:$G$8,2,FALSE))</f>
        <v/>
      </c>
      <c r="S121" s="276" t="str">
        <f>IFERROR(VLOOKUP(R121,'G-7 WaterC'' Data'!$C$4:$D$8,2,FALSE),"")</f>
        <v/>
      </c>
      <c r="T121" s="101"/>
      <c r="U121" s="276" t="str">
        <f>IFERROR(INDEX('G-7 WaterC'' Data'!$H$4:$L$8,MATCH(N121,'G-7 WaterC'' Data'!$B$4:$B$8,0),MATCH(T121,'G-7 WaterC'' Data'!$H$3:$L$3,0)),"")</f>
        <v/>
      </c>
      <c r="V121" s="101"/>
      <c r="W121" s="283" t="str">
        <f>IF(V121="","",IF(VLOOKUP(V121,'G-7 WaterC'' Data'!$AK$4:$AM$6,2,FALSE)=0,"Spatial Data Missing ⚠",VLOOKUP(V121,'G-7 WaterC'' Data'!$AK$4:$AM$6,2,FALSE)))</f>
        <v/>
      </c>
      <c r="X121" s="276" t="str">
        <f>IF(V121="","",IF(VLOOKUP(V121,'G-7 WaterC'' Data'!$AK$4:$AM$6,3,FALSE)=0,"Spatial Data Missing ⚠",VLOOKUP(V121,'G-7 WaterC'' Data'!$AK$4:$AM$6,3,FALSE)))</f>
        <v/>
      </c>
      <c r="Y121" s="275" t="str">
        <f>IFERROR(IF(OR(LEFT(P121,5)="Error",LEFT(O121,5)="Error"),"Check Data ⚠",IF(F121&lt;S121,'G-7 WaterC'' Data'!$R$3,INDEX('G-7 WaterC'' Data'!$U$5:$Y$9,MATCH(G121,'G-7 WaterC'' Data'!$T$5:$T$9,0),MATCH(T121,'G-7 WaterC'' Data'!$U$4:$Y$4,0)))),"")</f>
        <v/>
      </c>
      <c r="Z121" s="133"/>
      <c r="AA121" s="133"/>
      <c r="AB121" s="283" t="str">
        <f t="shared" si="13"/>
        <v/>
      </c>
      <c r="AC121" s="296" t="str">
        <f t="shared" si="14"/>
        <v/>
      </c>
      <c r="AD121" s="334" t="str">
        <f>IFERROR(IF(AC121="Check Data ⚠","Check Data ⚠",VLOOKUP(AC121,'G-4 Temporal multipliers'!$A$4:$C$37,3,FALSE)),"")</f>
        <v/>
      </c>
      <c r="AE121" s="275" t="str">
        <f>IF(N121="","",VLOOKUP(N121,'G-7 WaterC'' Data'!$B$4:$G$8,5,FALSE))</f>
        <v/>
      </c>
      <c r="AF121" s="283" t="str">
        <f t="shared" si="15"/>
        <v/>
      </c>
      <c r="AG121" s="314" t="str">
        <f t="shared" si="16"/>
        <v/>
      </c>
      <c r="AH121" s="276" t="str">
        <f t="shared" si="10"/>
        <v/>
      </c>
      <c r="AI121" s="105"/>
      <c r="AJ121" s="276" t="str">
        <f>IF(AI121="","",IF(AND(AI121="N/A - Culvert",N121&lt;&gt;"Culvert"),"Not possible ▲",IF(VLOOKUP(AI121,'G-7 WaterC'' Data'!$AA$4:$AB$7,2,FALSE)=0,"Spatial Data Missing ⚠",VLOOKUP(AI121,'G-7 WaterC'' Data'!$AA$4:$AB$7,2,FALSE))))</f>
        <v/>
      </c>
      <c r="AK121" s="106"/>
      <c r="AL121" s="276" t="str">
        <f>IF(AK121="","",IF(AND(AK121="N/A - Culvert",N121&lt;&gt;"Culvert"),"Not possible ▲",IF(VLOOKUP(AK121,'G-7 WaterC'' Data'!$AD$4:$AE$14,2,FALSE)=0,"Spatial Data Missing ⚠",VLOOKUP(AK121,'G-7 WaterC'' Data'!$AD$4:$AE$14,2,FALSE))))</f>
        <v/>
      </c>
      <c r="AM121" s="317" t="str">
        <f t="shared" si="17"/>
        <v/>
      </c>
      <c r="AN121" s="101"/>
      <c r="AO121" s="115"/>
      <c r="AP121" s="104"/>
      <c r="AS121" s="30" t="str">
        <f>IF(B121="","",IF(ISNA(VLOOKUP($B121,'C-1 On-Site WaterC'' Baseline'!$C$8:$AD$257,17,FALSE)),"",(VLOOKUP($B121,'C-1 On-Site WaterC'' Baseline'!$C$8:$AD$257,17,FALSE))))</f>
        <v/>
      </c>
      <c r="AT121" s="30" t="str">
        <f>IF(B121="","",VLOOKUP($B121,'C-1 On-Site WaterC'' Baseline'!$C$9:$Z$257,12,FALSE))</f>
        <v/>
      </c>
      <c r="AU121" s="30" t="str">
        <f>IF(B121="","",VLOOKUP($B121,'C-1 On-Site WaterC'' Baseline'!$C$9:$Z$257,14,FALSE))</f>
        <v/>
      </c>
      <c r="AV121" s="30" t="str">
        <f>IFERROR(INDEX('G-7 WaterC'' Data'!$AZ$3:$AZ$7,MATCH(N121,'G-7 WaterC'' Data'!$AY$3:$AY$7,0)),"")</f>
        <v/>
      </c>
      <c r="AX121" s="30" t="str">
        <f>IF(B121="","",VLOOKUP($B121,'C-1 On-Site WaterC'' Baseline'!$C$9:$Y$257,22,FALSE))</f>
        <v/>
      </c>
      <c r="AY121" s="30" t="str">
        <f t="shared" si="18"/>
        <v/>
      </c>
      <c r="AZ121" s="30" t="str">
        <f>IF(B121="","",VLOOKUP($B121,'C-1 On-Site WaterC'' Baseline'!$C$9:$Y$257,21,FALSE))</f>
        <v/>
      </c>
      <c r="BA121" s="30" t="str">
        <f>IF(B121="","",VLOOKUP($B121,'C-1 On-Site WaterC'' Baseline'!$C$9:$Y$257,19,FALSE))</f>
        <v/>
      </c>
      <c r="BD121" s="30" t="str">
        <f t="shared" si="19"/>
        <v>No</v>
      </c>
    </row>
    <row r="122" spans="2:56" ht="14">
      <c r="B122" s="305" t="str">
        <f>'C-1 On-Site WaterC'' Baseline'!AP120</f>
        <v/>
      </c>
      <c r="C122" s="295" t="str">
        <f>IF(B122="","",VLOOKUP($B122,'C-1 On-Site WaterC'' Baseline'!$C$9:$R$257,2,FALSE))</f>
        <v/>
      </c>
      <c r="D122" s="295" t="str">
        <f>IF(C122="","",VLOOKUP($B122,'C-1 On-Site WaterC'' Baseline'!$C$9:$R$257,3,FALSE))</f>
        <v/>
      </c>
      <c r="E122" s="295" t="str">
        <f>IF(D122="","",VLOOKUP($B122,'C-1 On-Site WaterC'' Baseline'!$C$9:$R$257,4,FALSE))</f>
        <v/>
      </c>
      <c r="F122" s="295" t="str">
        <f>IF(E122="","",VLOOKUP($B122,'C-1 On-Site WaterC'' Baseline'!$C$9:$R$257,5,FALSE))</f>
        <v/>
      </c>
      <c r="G122" s="295" t="str">
        <f>IF(F122="","",VLOOKUP($B122,'C-1 On-Site WaterC'' Baseline'!$C$9:$R$257,6,FALSE))</f>
        <v/>
      </c>
      <c r="H122" s="295" t="str">
        <f>IF(G122="","",VLOOKUP($B122,'C-1 On-Site WaterC'' Baseline'!$C$9:$R$257,7,FALSE))</f>
        <v/>
      </c>
      <c r="I122" s="295" t="str">
        <f>IF(H122="","",VLOOKUP($B122,'C-1 On-Site WaterC'' Baseline'!$C$9:$R$257,8,FALSE))</f>
        <v/>
      </c>
      <c r="J122" s="295" t="str">
        <f>IF(I122="","",VLOOKUP($B122,'C-1 On-Site WaterC'' Baseline'!$C$9:$R$257,9,FALSE))</f>
        <v/>
      </c>
      <c r="K122" s="295" t="str">
        <f>IF(J122="","",VLOOKUP($B122,'C-1 On-Site WaterC'' Baseline'!$C$9:$R$257,10,FALSE))</f>
        <v/>
      </c>
      <c r="L122" s="295" t="str">
        <f>IF(B122="","",VLOOKUP($B122,'C-1 On-Site WaterC'' Baseline'!$C$9:$R$257,15,FALSE))</f>
        <v/>
      </c>
      <c r="M122" s="299" t="str">
        <f>IF(L122="","",VLOOKUP($B122,'C-1 On-Site WaterC'' Baseline'!$C$9:$R$257,16,FALSE))</f>
        <v/>
      </c>
      <c r="N122" s="245"/>
      <c r="O122" s="275" t="str">
        <f t="shared" si="11"/>
        <v/>
      </c>
      <c r="P122" s="276" t="str">
        <f t="shared" si="12"/>
        <v/>
      </c>
      <c r="Q122" s="336" t="str">
        <f>IF(N122="","",VLOOKUP(B122,'C-1 On-Site WaterC'' Baseline'!$C$10:$AC$257,20,FALSE))</f>
        <v/>
      </c>
      <c r="R122" s="275" t="str">
        <f>IF(N122="","",VLOOKUP(N122,'G-7 WaterC'' Data'!$B$2:$G$8,2,FALSE))</f>
        <v/>
      </c>
      <c r="S122" s="276" t="str">
        <f>IFERROR(VLOOKUP(R122,'G-7 WaterC'' Data'!$C$4:$D$8,2,FALSE),"")</f>
        <v/>
      </c>
      <c r="T122" s="101"/>
      <c r="U122" s="276" t="str">
        <f>IFERROR(INDEX('G-7 WaterC'' Data'!$H$4:$L$8,MATCH(N122,'G-7 WaterC'' Data'!$B$4:$B$8,0),MATCH(T122,'G-7 WaterC'' Data'!$H$3:$L$3,0)),"")</f>
        <v/>
      </c>
      <c r="V122" s="101"/>
      <c r="W122" s="283" t="str">
        <f>IF(V122="","",IF(VLOOKUP(V122,'G-7 WaterC'' Data'!$AK$4:$AM$6,2,FALSE)=0,"Spatial Data Missing ⚠",VLOOKUP(V122,'G-7 WaterC'' Data'!$AK$4:$AM$6,2,FALSE)))</f>
        <v/>
      </c>
      <c r="X122" s="276" t="str">
        <f>IF(V122="","",IF(VLOOKUP(V122,'G-7 WaterC'' Data'!$AK$4:$AM$6,3,FALSE)=0,"Spatial Data Missing ⚠",VLOOKUP(V122,'G-7 WaterC'' Data'!$AK$4:$AM$6,3,FALSE)))</f>
        <v/>
      </c>
      <c r="Y122" s="275" t="str">
        <f>IFERROR(IF(OR(LEFT(P122,5)="Error",LEFT(O122,5)="Error"),"Check Data ⚠",IF(F122&lt;S122,'G-7 WaterC'' Data'!$R$3,INDEX('G-7 WaterC'' Data'!$U$5:$Y$9,MATCH(G122,'G-7 WaterC'' Data'!$T$5:$T$9,0),MATCH(T122,'G-7 WaterC'' Data'!$U$4:$Y$4,0)))),"")</f>
        <v/>
      </c>
      <c r="Z122" s="133"/>
      <c r="AA122" s="133"/>
      <c r="AB122" s="283" t="str">
        <f t="shared" si="13"/>
        <v/>
      </c>
      <c r="AC122" s="296" t="str">
        <f t="shared" si="14"/>
        <v/>
      </c>
      <c r="AD122" s="334" t="str">
        <f>IFERROR(IF(AC122="Check Data ⚠","Check Data ⚠",VLOOKUP(AC122,'G-4 Temporal multipliers'!$A$4:$C$37,3,FALSE)),"")</f>
        <v/>
      </c>
      <c r="AE122" s="275" t="str">
        <f>IF(N122="","",VLOOKUP(N122,'G-7 WaterC'' Data'!$B$4:$G$8,5,FALSE))</f>
        <v/>
      </c>
      <c r="AF122" s="283" t="str">
        <f t="shared" si="15"/>
        <v/>
      </c>
      <c r="AG122" s="314" t="str">
        <f t="shared" si="16"/>
        <v/>
      </c>
      <c r="AH122" s="276" t="str">
        <f t="shared" si="10"/>
        <v/>
      </c>
      <c r="AI122" s="105"/>
      <c r="AJ122" s="276" t="str">
        <f>IF(AI122="","",IF(AND(AI122="N/A - Culvert",N122&lt;&gt;"Culvert"),"Not possible ▲",IF(VLOOKUP(AI122,'G-7 WaterC'' Data'!$AA$4:$AB$7,2,FALSE)=0,"Spatial Data Missing ⚠",VLOOKUP(AI122,'G-7 WaterC'' Data'!$AA$4:$AB$7,2,FALSE))))</f>
        <v/>
      </c>
      <c r="AK122" s="106"/>
      <c r="AL122" s="276" t="str">
        <f>IF(AK122="","",IF(AND(AK122="N/A - Culvert",N122&lt;&gt;"Culvert"),"Not possible ▲",IF(VLOOKUP(AK122,'G-7 WaterC'' Data'!$AD$4:$AE$14,2,FALSE)=0,"Spatial Data Missing ⚠",VLOOKUP(AK122,'G-7 WaterC'' Data'!$AD$4:$AE$14,2,FALSE))))</f>
        <v/>
      </c>
      <c r="AM122" s="317" t="str">
        <f t="shared" si="17"/>
        <v/>
      </c>
      <c r="AN122" s="101"/>
      <c r="AO122" s="115"/>
      <c r="AP122" s="104"/>
      <c r="AS122" s="30" t="str">
        <f>IF(B122="","",IF(ISNA(VLOOKUP($B122,'C-1 On-Site WaterC'' Baseline'!$C$8:$AD$257,17,FALSE)),"",(VLOOKUP($B122,'C-1 On-Site WaterC'' Baseline'!$C$8:$AD$257,17,FALSE))))</f>
        <v/>
      </c>
      <c r="AT122" s="30" t="str">
        <f>IF(B122="","",VLOOKUP($B122,'C-1 On-Site WaterC'' Baseline'!$C$9:$Z$257,12,FALSE))</f>
        <v/>
      </c>
      <c r="AU122" s="30" t="str">
        <f>IF(B122="","",VLOOKUP($B122,'C-1 On-Site WaterC'' Baseline'!$C$9:$Z$257,14,FALSE))</f>
        <v/>
      </c>
      <c r="AV122" s="30" t="str">
        <f>IFERROR(INDEX('G-7 WaterC'' Data'!$AZ$3:$AZ$7,MATCH(N122,'G-7 WaterC'' Data'!$AY$3:$AY$7,0)),"")</f>
        <v/>
      </c>
      <c r="AX122" s="30" t="str">
        <f>IF(B122="","",VLOOKUP($B122,'C-1 On-Site WaterC'' Baseline'!$C$9:$Y$257,22,FALSE))</f>
        <v/>
      </c>
      <c r="AY122" s="30" t="str">
        <f t="shared" si="18"/>
        <v/>
      </c>
      <c r="AZ122" s="30" t="str">
        <f>IF(B122="","",VLOOKUP($B122,'C-1 On-Site WaterC'' Baseline'!$C$9:$Y$257,21,FALSE))</f>
        <v/>
      </c>
      <c r="BA122" s="30" t="str">
        <f>IF(B122="","",VLOOKUP($B122,'C-1 On-Site WaterC'' Baseline'!$C$9:$Y$257,19,FALSE))</f>
        <v/>
      </c>
      <c r="BD122" s="30" t="str">
        <f t="shared" si="19"/>
        <v>No</v>
      </c>
    </row>
    <row r="123" spans="2:56" ht="14">
      <c r="B123" s="305" t="str">
        <f>'C-1 On-Site WaterC'' Baseline'!AP121</f>
        <v/>
      </c>
      <c r="C123" s="295" t="str">
        <f>IF(B123="","",VLOOKUP($B123,'C-1 On-Site WaterC'' Baseline'!$C$9:$R$257,2,FALSE))</f>
        <v/>
      </c>
      <c r="D123" s="295" t="str">
        <f>IF(C123="","",VLOOKUP($B123,'C-1 On-Site WaterC'' Baseline'!$C$9:$R$257,3,FALSE))</f>
        <v/>
      </c>
      <c r="E123" s="295" t="str">
        <f>IF(D123="","",VLOOKUP($B123,'C-1 On-Site WaterC'' Baseline'!$C$9:$R$257,4,FALSE))</f>
        <v/>
      </c>
      <c r="F123" s="295" t="str">
        <f>IF(E123="","",VLOOKUP($B123,'C-1 On-Site WaterC'' Baseline'!$C$9:$R$257,5,FALSE))</f>
        <v/>
      </c>
      <c r="G123" s="295" t="str">
        <f>IF(F123="","",VLOOKUP($B123,'C-1 On-Site WaterC'' Baseline'!$C$9:$R$257,6,FALSE))</f>
        <v/>
      </c>
      <c r="H123" s="295" t="str">
        <f>IF(G123="","",VLOOKUP($B123,'C-1 On-Site WaterC'' Baseline'!$C$9:$R$257,7,FALSE))</f>
        <v/>
      </c>
      <c r="I123" s="295" t="str">
        <f>IF(H123="","",VLOOKUP($B123,'C-1 On-Site WaterC'' Baseline'!$C$9:$R$257,8,FALSE))</f>
        <v/>
      </c>
      <c r="J123" s="295" t="str">
        <f>IF(I123="","",VLOOKUP($B123,'C-1 On-Site WaterC'' Baseline'!$C$9:$R$257,9,FALSE))</f>
        <v/>
      </c>
      <c r="K123" s="295" t="str">
        <f>IF(J123="","",VLOOKUP($B123,'C-1 On-Site WaterC'' Baseline'!$C$9:$R$257,10,FALSE))</f>
        <v/>
      </c>
      <c r="L123" s="295" t="str">
        <f>IF(B123="","",VLOOKUP($B123,'C-1 On-Site WaterC'' Baseline'!$C$9:$R$257,15,FALSE))</f>
        <v/>
      </c>
      <c r="M123" s="299" t="str">
        <f>IF(L123="","",VLOOKUP($B123,'C-1 On-Site WaterC'' Baseline'!$C$9:$R$257,16,FALSE))</f>
        <v/>
      </c>
      <c r="N123" s="245"/>
      <c r="O123" s="275" t="str">
        <f t="shared" si="11"/>
        <v/>
      </c>
      <c r="P123" s="276" t="str">
        <f t="shared" si="12"/>
        <v/>
      </c>
      <c r="Q123" s="336" t="str">
        <f>IF(N123="","",VLOOKUP(B123,'C-1 On-Site WaterC'' Baseline'!$C$10:$AC$257,20,FALSE))</f>
        <v/>
      </c>
      <c r="R123" s="275" t="str">
        <f>IF(N123="","",VLOOKUP(N123,'G-7 WaterC'' Data'!$B$2:$G$8,2,FALSE))</f>
        <v/>
      </c>
      <c r="S123" s="276" t="str">
        <f>IFERROR(VLOOKUP(R123,'G-7 WaterC'' Data'!$C$4:$D$8,2,FALSE),"")</f>
        <v/>
      </c>
      <c r="T123" s="101"/>
      <c r="U123" s="276" t="str">
        <f>IFERROR(INDEX('G-7 WaterC'' Data'!$H$4:$L$8,MATCH(N123,'G-7 WaterC'' Data'!$B$4:$B$8,0),MATCH(T123,'G-7 WaterC'' Data'!$H$3:$L$3,0)),"")</f>
        <v/>
      </c>
      <c r="V123" s="101"/>
      <c r="W123" s="283" t="str">
        <f>IF(V123="","",IF(VLOOKUP(V123,'G-7 WaterC'' Data'!$AK$4:$AM$6,2,FALSE)=0,"Spatial Data Missing ⚠",VLOOKUP(V123,'G-7 WaterC'' Data'!$AK$4:$AM$6,2,FALSE)))</f>
        <v/>
      </c>
      <c r="X123" s="276" t="str">
        <f>IF(V123="","",IF(VLOOKUP(V123,'G-7 WaterC'' Data'!$AK$4:$AM$6,3,FALSE)=0,"Spatial Data Missing ⚠",VLOOKUP(V123,'G-7 WaterC'' Data'!$AK$4:$AM$6,3,FALSE)))</f>
        <v/>
      </c>
      <c r="Y123" s="275" t="str">
        <f>IFERROR(IF(OR(LEFT(P123,5)="Error",LEFT(O123,5)="Error"),"Check Data ⚠",IF(F123&lt;S123,'G-7 WaterC'' Data'!$R$3,INDEX('G-7 WaterC'' Data'!$U$5:$Y$9,MATCH(G123,'G-7 WaterC'' Data'!$T$5:$T$9,0),MATCH(T123,'G-7 WaterC'' Data'!$U$4:$Y$4,0)))),"")</f>
        <v/>
      </c>
      <c r="Z123" s="133"/>
      <c r="AA123" s="133"/>
      <c r="AB123" s="283" t="str">
        <f t="shared" si="13"/>
        <v/>
      </c>
      <c r="AC123" s="296" t="str">
        <f t="shared" si="14"/>
        <v/>
      </c>
      <c r="AD123" s="334" t="str">
        <f>IFERROR(IF(AC123="Check Data ⚠","Check Data ⚠",VLOOKUP(AC123,'G-4 Temporal multipliers'!$A$4:$C$37,3,FALSE)),"")</f>
        <v/>
      </c>
      <c r="AE123" s="275" t="str">
        <f>IF(N123="","",VLOOKUP(N123,'G-7 WaterC'' Data'!$B$4:$G$8,5,FALSE))</f>
        <v/>
      </c>
      <c r="AF123" s="283" t="str">
        <f t="shared" si="15"/>
        <v/>
      </c>
      <c r="AG123" s="314" t="str">
        <f t="shared" si="16"/>
        <v/>
      </c>
      <c r="AH123" s="276" t="str">
        <f t="shared" si="10"/>
        <v/>
      </c>
      <c r="AI123" s="105"/>
      <c r="AJ123" s="276" t="str">
        <f>IF(AI123="","",IF(AND(AI123="N/A - Culvert",N123&lt;&gt;"Culvert"),"Not possible ▲",IF(VLOOKUP(AI123,'G-7 WaterC'' Data'!$AA$4:$AB$7,2,FALSE)=0,"Spatial Data Missing ⚠",VLOOKUP(AI123,'G-7 WaterC'' Data'!$AA$4:$AB$7,2,FALSE))))</f>
        <v/>
      </c>
      <c r="AK123" s="106"/>
      <c r="AL123" s="276" t="str">
        <f>IF(AK123="","",IF(AND(AK123="N/A - Culvert",N123&lt;&gt;"Culvert"),"Not possible ▲",IF(VLOOKUP(AK123,'G-7 WaterC'' Data'!$AD$4:$AE$14,2,FALSE)=0,"Spatial Data Missing ⚠",VLOOKUP(AK123,'G-7 WaterC'' Data'!$AD$4:$AE$14,2,FALSE))))</f>
        <v/>
      </c>
      <c r="AM123" s="317" t="str">
        <f t="shared" si="17"/>
        <v/>
      </c>
      <c r="AN123" s="101"/>
      <c r="AO123" s="115"/>
      <c r="AP123" s="104"/>
      <c r="AS123" s="30" t="str">
        <f>IF(B123="","",IF(ISNA(VLOOKUP($B123,'C-1 On-Site WaterC'' Baseline'!$C$8:$AD$257,17,FALSE)),"",(VLOOKUP($B123,'C-1 On-Site WaterC'' Baseline'!$C$8:$AD$257,17,FALSE))))</f>
        <v/>
      </c>
      <c r="AT123" s="30" t="str">
        <f>IF(B123="","",VLOOKUP($B123,'C-1 On-Site WaterC'' Baseline'!$C$9:$Z$257,12,FALSE))</f>
        <v/>
      </c>
      <c r="AU123" s="30" t="str">
        <f>IF(B123="","",VLOOKUP($B123,'C-1 On-Site WaterC'' Baseline'!$C$9:$Z$257,14,FALSE))</f>
        <v/>
      </c>
      <c r="AV123" s="30" t="str">
        <f>IFERROR(INDEX('G-7 WaterC'' Data'!$AZ$3:$AZ$7,MATCH(N123,'G-7 WaterC'' Data'!$AY$3:$AY$7,0)),"")</f>
        <v/>
      </c>
      <c r="AX123" s="30" t="str">
        <f>IF(B123="","",VLOOKUP($B123,'C-1 On-Site WaterC'' Baseline'!$C$9:$Y$257,22,FALSE))</f>
        <v/>
      </c>
      <c r="AY123" s="30" t="str">
        <f t="shared" si="18"/>
        <v/>
      </c>
      <c r="AZ123" s="30" t="str">
        <f>IF(B123="","",VLOOKUP($B123,'C-1 On-Site WaterC'' Baseline'!$C$9:$Y$257,21,FALSE))</f>
        <v/>
      </c>
      <c r="BA123" s="30" t="str">
        <f>IF(B123="","",VLOOKUP($B123,'C-1 On-Site WaterC'' Baseline'!$C$9:$Y$257,19,FALSE))</f>
        <v/>
      </c>
      <c r="BD123" s="30" t="str">
        <f t="shared" si="19"/>
        <v>No</v>
      </c>
    </row>
    <row r="124" spans="2:56" ht="14">
      <c r="B124" s="305" t="str">
        <f>'C-1 On-Site WaterC'' Baseline'!AP122</f>
        <v/>
      </c>
      <c r="C124" s="295" t="str">
        <f>IF(B124="","",VLOOKUP($B124,'C-1 On-Site WaterC'' Baseline'!$C$9:$R$257,2,FALSE))</f>
        <v/>
      </c>
      <c r="D124" s="295" t="str">
        <f>IF(C124="","",VLOOKUP($B124,'C-1 On-Site WaterC'' Baseline'!$C$9:$R$257,3,FALSE))</f>
        <v/>
      </c>
      <c r="E124" s="295" t="str">
        <f>IF(D124="","",VLOOKUP($B124,'C-1 On-Site WaterC'' Baseline'!$C$9:$R$257,4,FALSE))</f>
        <v/>
      </c>
      <c r="F124" s="295" t="str">
        <f>IF(E124="","",VLOOKUP($B124,'C-1 On-Site WaterC'' Baseline'!$C$9:$R$257,5,FALSE))</f>
        <v/>
      </c>
      <c r="G124" s="295" t="str">
        <f>IF(F124="","",VLOOKUP($B124,'C-1 On-Site WaterC'' Baseline'!$C$9:$R$257,6,FALSE))</f>
        <v/>
      </c>
      <c r="H124" s="295" t="str">
        <f>IF(G124="","",VLOOKUP($B124,'C-1 On-Site WaterC'' Baseline'!$C$9:$R$257,7,FALSE))</f>
        <v/>
      </c>
      <c r="I124" s="295" t="str">
        <f>IF(H124="","",VLOOKUP($B124,'C-1 On-Site WaterC'' Baseline'!$C$9:$R$257,8,FALSE))</f>
        <v/>
      </c>
      <c r="J124" s="295" t="str">
        <f>IF(I124="","",VLOOKUP($B124,'C-1 On-Site WaterC'' Baseline'!$C$9:$R$257,9,FALSE))</f>
        <v/>
      </c>
      <c r="K124" s="295" t="str">
        <f>IF(J124="","",VLOOKUP($B124,'C-1 On-Site WaterC'' Baseline'!$C$9:$R$257,10,FALSE))</f>
        <v/>
      </c>
      <c r="L124" s="295" t="str">
        <f>IF(B124="","",VLOOKUP($B124,'C-1 On-Site WaterC'' Baseline'!$C$9:$R$257,15,FALSE))</f>
        <v/>
      </c>
      <c r="M124" s="299" t="str">
        <f>IF(L124="","",VLOOKUP($B124,'C-1 On-Site WaterC'' Baseline'!$C$9:$R$257,16,FALSE))</f>
        <v/>
      </c>
      <c r="N124" s="245"/>
      <c r="O124" s="275" t="str">
        <f t="shared" si="11"/>
        <v/>
      </c>
      <c r="P124" s="276" t="str">
        <f t="shared" si="12"/>
        <v/>
      </c>
      <c r="Q124" s="336" t="str">
        <f>IF(N124="","",VLOOKUP(B124,'C-1 On-Site WaterC'' Baseline'!$C$10:$AC$257,20,FALSE))</f>
        <v/>
      </c>
      <c r="R124" s="275" t="str">
        <f>IF(N124="","",VLOOKUP(N124,'G-7 WaterC'' Data'!$B$2:$G$8,2,FALSE))</f>
        <v/>
      </c>
      <c r="S124" s="276" t="str">
        <f>IFERROR(VLOOKUP(R124,'G-7 WaterC'' Data'!$C$4:$D$8,2,FALSE),"")</f>
        <v/>
      </c>
      <c r="T124" s="101"/>
      <c r="U124" s="276" t="str">
        <f>IFERROR(INDEX('G-7 WaterC'' Data'!$H$4:$L$8,MATCH(N124,'G-7 WaterC'' Data'!$B$4:$B$8,0),MATCH(T124,'G-7 WaterC'' Data'!$H$3:$L$3,0)),"")</f>
        <v/>
      </c>
      <c r="V124" s="101"/>
      <c r="W124" s="283" t="str">
        <f>IF(V124="","",IF(VLOOKUP(V124,'G-7 WaterC'' Data'!$AK$4:$AM$6,2,FALSE)=0,"Spatial Data Missing ⚠",VLOOKUP(V124,'G-7 WaterC'' Data'!$AK$4:$AM$6,2,FALSE)))</f>
        <v/>
      </c>
      <c r="X124" s="276" t="str">
        <f>IF(V124="","",IF(VLOOKUP(V124,'G-7 WaterC'' Data'!$AK$4:$AM$6,3,FALSE)=0,"Spatial Data Missing ⚠",VLOOKUP(V124,'G-7 WaterC'' Data'!$AK$4:$AM$6,3,FALSE)))</f>
        <v/>
      </c>
      <c r="Y124" s="275" t="str">
        <f>IFERROR(IF(OR(LEFT(P124,5)="Error",LEFT(O124,5)="Error"),"Check Data ⚠",IF(F124&lt;S124,'G-7 WaterC'' Data'!$R$3,INDEX('G-7 WaterC'' Data'!$U$5:$Y$9,MATCH(G124,'G-7 WaterC'' Data'!$T$5:$T$9,0),MATCH(T124,'G-7 WaterC'' Data'!$U$4:$Y$4,0)))),"")</f>
        <v/>
      </c>
      <c r="Z124" s="133"/>
      <c r="AA124" s="133"/>
      <c r="AB124" s="283" t="str">
        <f t="shared" si="13"/>
        <v/>
      </c>
      <c r="AC124" s="296" t="str">
        <f t="shared" si="14"/>
        <v/>
      </c>
      <c r="AD124" s="334" t="str">
        <f>IFERROR(IF(AC124="Check Data ⚠","Check Data ⚠",VLOOKUP(AC124,'G-4 Temporal multipliers'!$A$4:$C$37,3,FALSE)),"")</f>
        <v/>
      </c>
      <c r="AE124" s="275" t="str">
        <f>IF(N124="","",VLOOKUP(N124,'G-7 WaterC'' Data'!$B$4:$G$8,5,FALSE))</f>
        <v/>
      </c>
      <c r="AF124" s="283" t="str">
        <f t="shared" si="15"/>
        <v/>
      </c>
      <c r="AG124" s="314" t="str">
        <f t="shared" si="16"/>
        <v/>
      </c>
      <c r="AH124" s="276" t="str">
        <f t="shared" si="10"/>
        <v/>
      </c>
      <c r="AI124" s="105"/>
      <c r="AJ124" s="276" t="str">
        <f>IF(AI124="","",IF(AND(AI124="N/A - Culvert",N124&lt;&gt;"Culvert"),"Not possible ▲",IF(VLOOKUP(AI124,'G-7 WaterC'' Data'!$AA$4:$AB$7,2,FALSE)=0,"Spatial Data Missing ⚠",VLOOKUP(AI124,'G-7 WaterC'' Data'!$AA$4:$AB$7,2,FALSE))))</f>
        <v/>
      </c>
      <c r="AK124" s="106"/>
      <c r="AL124" s="276" t="str">
        <f>IF(AK124="","",IF(AND(AK124="N/A - Culvert",N124&lt;&gt;"Culvert"),"Not possible ▲",IF(VLOOKUP(AK124,'G-7 WaterC'' Data'!$AD$4:$AE$14,2,FALSE)=0,"Spatial Data Missing ⚠",VLOOKUP(AK124,'G-7 WaterC'' Data'!$AD$4:$AE$14,2,FALSE))))</f>
        <v/>
      </c>
      <c r="AM124" s="317" t="str">
        <f t="shared" si="17"/>
        <v/>
      </c>
      <c r="AN124" s="101"/>
      <c r="AO124" s="115"/>
      <c r="AP124" s="104"/>
      <c r="AS124" s="30" t="str">
        <f>IF(B124="","",IF(ISNA(VLOOKUP($B124,'C-1 On-Site WaterC'' Baseline'!$C$8:$AD$257,17,FALSE)),"",(VLOOKUP($B124,'C-1 On-Site WaterC'' Baseline'!$C$8:$AD$257,17,FALSE))))</f>
        <v/>
      </c>
      <c r="AT124" s="30" t="str">
        <f>IF(B124="","",VLOOKUP($B124,'C-1 On-Site WaterC'' Baseline'!$C$9:$Z$257,12,FALSE))</f>
        <v/>
      </c>
      <c r="AU124" s="30" t="str">
        <f>IF(B124="","",VLOOKUP($B124,'C-1 On-Site WaterC'' Baseline'!$C$9:$Z$257,14,FALSE))</f>
        <v/>
      </c>
      <c r="AV124" s="30" t="str">
        <f>IFERROR(INDEX('G-7 WaterC'' Data'!$AZ$3:$AZ$7,MATCH(N124,'G-7 WaterC'' Data'!$AY$3:$AY$7,0)),"")</f>
        <v/>
      </c>
      <c r="AX124" s="30" t="str">
        <f>IF(B124="","",VLOOKUP($B124,'C-1 On-Site WaterC'' Baseline'!$C$9:$Y$257,22,FALSE))</f>
        <v/>
      </c>
      <c r="AY124" s="30" t="str">
        <f t="shared" si="18"/>
        <v/>
      </c>
      <c r="AZ124" s="30" t="str">
        <f>IF(B124="","",VLOOKUP($B124,'C-1 On-Site WaterC'' Baseline'!$C$9:$Y$257,21,FALSE))</f>
        <v/>
      </c>
      <c r="BA124" s="30" t="str">
        <f>IF(B124="","",VLOOKUP($B124,'C-1 On-Site WaterC'' Baseline'!$C$9:$Y$257,19,FALSE))</f>
        <v/>
      </c>
      <c r="BD124" s="30" t="str">
        <f t="shared" si="19"/>
        <v>No</v>
      </c>
    </row>
    <row r="125" spans="2:56" ht="14">
      <c r="B125" s="305" t="str">
        <f>'C-1 On-Site WaterC'' Baseline'!AP123</f>
        <v/>
      </c>
      <c r="C125" s="295" t="str">
        <f>IF(B125="","",VLOOKUP($B125,'C-1 On-Site WaterC'' Baseline'!$C$9:$R$257,2,FALSE))</f>
        <v/>
      </c>
      <c r="D125" s="295" t="str">
        <f>IF(C125="","",VLOOKUP($B125,'C-1 On-Site WaterC'' Baseline'!$C$9:$R$257,3,FALSE))</f>
        <v/>
      </c>
      <c r="E125" s="295" t="str">
        <f>IF(D125="","",VLOOKUP($B125,'C-1 On-Site WaterC'' Baseline'!$C$9:$R$257,4,FALSE))</f>
        <v/>
      </c>
      <c r="F125" s="295" t="str">
        <f>IF(E125="","",VLOOKUP($B125,'C-1 On-Site WaterC'' Baseline'!$C$9:$R$257,5,FALSE))</f>
        <v/>
      </c>
      <c r="G125" s="295" t="str">
        <f>IF(F125="","",VLOOKUP($B125,'C-1 On-Site WaterC'' Baseline'!$C$9:$R$257,6,FALSE))</f>
        <v/>
      </c>
      <c r="H125" s="295" t="str">
        <f>IF(G125="","",VLOOKUP($B125,'C-1 On-Site WaterC'' Baseline'!$C$9:$R$257,7,FALSE))</f>
        <v/>
      </c>
      <c r="I125" s="295" t="str">
        <f>IF(H125="","",VLOOKUP($B125,'C-1 On-Site WaterC'' Baseline'!$C$9:$R$257,8,FALSE))</f>
        <v/>
      </c>
      <c r="J125" s="295" t="str">
        <f>IF(I125="","",VLOOKUP($B125,'C-1 On-Site WaterC'' Baseline'!$C$9:$R$257,9,FALSE))</f>
        <v/>
      </c>
      <c r="K125" s="295" t="str">
        <f>IF(J125="","",VLOOKUP($B125,'C-1 On-Site WaterC'' Baseline'!$C$9:$R$257,10,FALSE))</f>
        <v/>
      </c>
      <c r="L125" s="295" t="str">
        <f>IF(B125="","",VLOOKUP($B125,'C-1 On-Site WaterC'' Baseline'!$C$9:$R$257,15,FALSE))</f>
        <v/>
      </c>
      <c r="M125" s="299" t="str">
        <f>IF(L125="","",VLOOKUP($B125,'C-1 On-Site WaterC'' Baseline'!$C$9:$R$257,16,FALSE))</f>
        <v/>
      </c>
      <c r="N125" s="245"/>
      <c r="O125" s="275" t="str">
        <f t="shared" si="11"/>
        <v/>
      </c>
      <c r="P125" s="276" t="str">
        <f t="shared" si="12"/>
        <v/>
      </c>
      <c r="Q125" s="336" t="str">
        <f>IF(N125="","",VLOOKUP(B125,'C-1 On-Site WaterC'' Baseline'!$C$10:$AC$257,20,FALSE))</f>
        <v/>
      </c>
      <c r="R125" s="275" t="str">
        <f>IF(N125="","",VLOOKUP(N125,'G-7 WaterC'' Data'!$B$2:$G$8,2,FALSE))</f>
        <v/>
      </c>
      <c r="S125" s="276" t="str">
        <f>IFERROR(VLOOKUP(R125,'G-7 WaterC'' Data'!$C$4:$D$8,2,FALSE),"")</f>
        <v/>
      </c>
      <c r="T125" s="101"/>
      <c r="U125" s="276" t="str">
        <f>IFERROR(INDEX('G-7 WaterC'' Data'!$H$4:$L$8,MATCH(N125,'G-7 WaterC'' Data'!$B$4:$B$8,0),MATCH(T125,'G-7 WaterC'' Data'!$H$3:$L$3,0)),"")</f>
        <v/>
      </c>
      <c r="V125" s="101"/>
      <c r="W125" s="283" t="str">
        <f>IF(V125="","",IF(VLOOKUP(V125,'G-7 WaterC'' Data'!$AK$4:$AM$6,2,FALSE)=0,"Spatial Data Missing ⚠",VLOOKUP(V125,'G-7 WaterC'' Data'!$AK$4:$AM$6,2,FALSE)))</f>
        <v/>
      </c>
      <c r="X125" s="276" t="str">
        <f>IF(V125="","",IF(VLOOKUP(V125,'G-7 WaterC'' Data'!$AK$4:$AM$6,3,FALSE)=0,"Spatial Data Missing ⚠",VLOOKUP(V125,'G-7 WaterC'' Data'!$AK$4:$AM$6,3,FALSE)))</f>
        <v/>
      </c>
      <c r="Y125" s="275" t="str">
        <f>IFERROR(IF(OR(LEFT(P125,5)="Error",LEFT(O125,5)="Error"),"Check Data ⚠",IF(F125&lt;S125,'G-7 WaterC'' Data'!$R$3,INDEX('G-7 WaterC'' Data'!$U$5:$Y$9,MATCH(G125,'G-7 WaterC'' Data'!$T$5:$T$9,0),MATCH(T125,'G-7 WaterC'' Data'!$U$4:$Y$4,0)))),"")</f>
        <v/>
      </c>
      <c r="Z125" s="133"/>
      <c r="AA125" s="133"/>
      <c r="AB125" s="283" t="str">
        <f t="shared" si="13"/>
        <v/>
      </c>
      <c r="AC125" s="296" t="str">
        <f t="shared" si="14"/>
        <v/>
      </c>
      <c r="AD125" s="334" t="str">
        <f>IFERROR(IF(AC125="Check Data ⚠","Check Data ⚠",VLOOKUP(AC125,'G-4 Temporal multipliers'!$A$4:$C$37,3,FALSE)),"")</f>
        <v/>
      </c>
      <c r="AE125" s="275" t="str">
        <f>IF(N125="","",VLOOKUP(N125,'G-7 WaterC'' Data'!$B$4:$G$8,5,FALSE))</f>
        <v/>
      </c>
      <c r="AF125" s="283" t="str">
        <f t="shared" si="15"/>
        <v/>
      </c>
      <c r="AG125" s="314" t="str">
        <f t="shared" si="16"/>
        <v/>
      </c>
      <c r="AH125" s="276" t="str">
        <f t="shared" si="10"/>
        <v/>
      </c>
      <c r="AI125" s="105"/>
      <c r="AJ125" s="276" t="str">
        <f>IF(AI125="","",IF(AND(AI125="N/A - Culvert",N125&lt;&gt;"Culvert"),"Not possible ▲",IF(VLOOKUP(AI125,'G-7 WaterC'' Data'!$AA$4:$AB$7,2,FALSE)=0,"Spatial Data Missing ⚠",VLOOKUP(AI125,'G-7 WaterC'' Data'!$AA$4:$AB$7,2,FALSE))))</f>
        <v/>
      </c>
      <c r="AK125" s="106"/>
      <c r="AL125" s="276" t="str">
        <f>IF(AK125="","",IF(AND(AK125="N/A - Culvert",N125&lt;&gt;"Culvert"),"Not possible ▲",IF(VLOOKUP(AK125,'G-7 WaterC'' Data'!$AD$4:$AE$14,2,FALSE)=0,"Spatial Data Missing ⚠",VLOOKUP(AK125,'G-7 WaterC'' Data'!$AD$4:$AE$14,2,FALSE))))</f>
        <v/>
      </c>
      <c r="AM125" s="317" t="str">
        <f t="shared" si="17"/>
        <v/>
      </c>
      <c r="AN125" s="101"/>
      <c r="AO125" s="115"/>
      <c r="AP125" s="104"/>
      <c r="AS125" s="30" t="str">
        <f>IF(B125="","",IF(ISNA(VLOOKUP($B125,'C-1 On-Site WaterC'' Baseline'!$C$8:$AD$257,17,FALSE)),"",(VLOOKUP($B125,'C-1 On-Site WaterC'' Baseline'!$C$8:$AD$257,17,FALSE))))</f>
        <v/>
      </c>
      <c r="AT125" s="30" t="str">
        <f>IF(B125="","",VLOOKUP($B125,'C-1 On-Site WaterC'' Baseline'!$C$9:$Z$257,12,FALSE))</f>
        <v/>
      </c>
      <c r="AU125" s="30" t="str">
        <f>IF(B125="","",VLOOKUP($B125,'C-1 On-Site WaterC'' Baseline'!$C$9:$Z$257,14,FALSE))</f>
        <v/>
      </c>
      <c r="AV125" s="30" t="str">
        <f>IFERROR(INDEX('G-7 WaterC'' Data'!$AZ$3:$AZ$7,MATCH(N125,'G-7 WaterC'' Data'!$AY$3:$AY$7,0)),"")</f>
        <v/>
      </c>
      <c r="AX125" s="30" t="str">
        <f>IF(B125="","",VLOOKUP($B125,'C-1 On-Site WaterC'' Baseline'!$C$9:$Y$257,22,FALSE))</f>
        <v/>
      </c>
      <c r="AY125" s="30" t="str">
        <f t="shared" si="18"/>
        <v/>
      </c>
      <c r="AZ125" s="30" t="str">
        <f>IF(B125="","",VLOOKUP($B125,'C-1 On-Site WaterC'' Baseline'!$C$9:$Y$257,21,FALSE))</f>
        <v/>
      </c>
      <c r="BA125" s="30" t="str">
        <f>IF(B125="","",VLOOKUP($B125,'C-1 On-Site WaterC'' Baseline'!$C$9:$Y$257,19,FALSE))</f>
        <v/>
      </c>
      <c r="BD125" s="30" t="str">
        <f t="shared" si="19"/>
        <v>No</v>
      </c>
    </row>
    <row r="126" spans="2:56" ht="14">
      <c r="B126" s="305" t="str">
        <f>'C-1 On-Site WaterC'' Baseline'!AP124</f>
        <v/>
      </c>
      <c r="C126" s="295" t="str">
        <f>IF(B126="","",VLOOKUP($B126,'C-1 On-Site WaterC'' Baseline'!$C$9:$R$257,2,FALSE))</f>
        <v/>
      </c>
      <c r="D126" s="295" t="str">
        <f>IF(C126="","",VLOOKUP($B126,'C-1 On-Site WaterC'' Baseline'!$C$9:$R$257,3,FALSE))</f>
        <v/>
      </c>
      <c r="E126" s="295" t="str">
        <f>IF(D126="","",VLOOKUP($B126,'C-1 On-Site WaterC'' Baseline'!$C$9:$R$257,4,FALSE))</f>
        <v/>
      </c>
      <c r="F126" s="295" t="str">
        <f>IF(E126="","",VLOOKUP($B126,'C-1 On-Site WaterC'' Baseline'!$C$9:$R$257,5,FALSE))</f>
        <v/>
      </c>
      <c r="G126" s="295" t="str">
        <f>IF(F126="","",VLOOKUP($B126,'C-1 On-Site WaterC'' Baseline'!$C$9:$R$257,6,FALSE))</f>
        <v/>
      </c>
      <c r="H126" s="295" t="str">
        <f>IF(G126="","",VLOOKUP($B126,'C-1 On-Site WaterC'' Baseline'!$C$9:$R$257,7,FALSE))</f>
        <v/>
      </c>
      <c r="I126" s="295" t="str">
        <f>IF(H126="","",VLOOKUP($B126,'C-1 On-Site WaterC'' Baseline'!$C$9:$R$257,8,FALSE))</f>
        <v/>
      </c>
      <c r="J126" s="295" t="str">
        <f>IF(I126="","",VLOOKUP($B126,'C-1 On-Site WaterC'' Baseline'!$C$9:$R$257,9,FALSE))</f>
        <v/>
      </c>
      <c r="K126" s="295" t="str">
        <f>IF(J126="","",VLOOKUP($B126,'C-1 On-Site WaterC'' Baseline'!$C$9:$R$257,10,FALSE))</f>
        <v/>
      </c>
      <c r="L126" s="295" t="str">
        <f>IF(B126="","",VLOOKUP($B126,'C-1 On-Site WaterC'' Baseline'!$C$9:$R$257,15,FALSE))</f>
        <v/>
      </c>
      <c r="M126" s="299" t="str">
        <f>IF(L126="","",VLOOKUP($B126,'C-1 On-Site WaterC'' Baseline'!$C$9:$R$257,16,FALSE))</f>
        <v/>
      </c>
      <c r="N126" s="245"/>
      <c r="O126" s="275" t="str">
        <f t="shared" si="11"/>
        <v/>
      </c>
      <c r="P126" s="276" t="str">
        <f t="shared" si="12"/>
        <v/>
      </c>
      <c r="Q126" s="336" t="str">
        <f>IF(N126="","",VLOOKUP(B126,'C-1 On-Site WaterC'' Baseline'!$C$10:$AC$257,20,FALSE))</f>
        <v/>
      </c>
      <c r="R126" s="275" t="str">
        <f>IF(N126="","",VLOOKUP(N126,'G-7 WaterC'' Data'!$B$2:$G$8,2,FALSE))</f>
        <v/>
      </c>
      <c r="S126" s="276" t="str">
        <f>IFERROR(VLOOKUP(R126,'G-7 WaterC'' Data'!$C$4:$D$8,2,FALSE),"")</f>
        <v/>
      </c>
      <c r="T126" s="101"/>
      <c r="U126" s="276" t="str">
        <f>IFERROR(INDEX('G-7 WaterC'' Data'!$H$4:$L$8,MATCH(N126,'G-7 WaterC'' Data'!$B$4:$B$8,0),MATCH(T126,'G-7 WaterC'' Data'!$H$3:$L$3,0)),"")</f>
        <v/>
      </c>
      <c r="V126" s="101"/>
      <c r="W126" s="283" t="str">
        <f>IF(V126="","",IF(VLOOKUP(V126,'G-7 WaterC'' Data'!$AK$4:$AM$6,2,FALSE)=0,"Spatial Data Missing ⚠",VLOOKUP(V126,'G-7 WaterC'' Data'!$AK$4:$AM$6,2,FALSE)))</f>
        <v/>
      </c>
      <c r="X126" s="276" t="str">
        <f>IF(V126="","",IF(VLOOKUP(V126,'G-7 WaterC'' Data'!$AK$4:$AM$6,3,FALSE)=0,"Spatial Data Missing ⚠",VLOOKUP(V126,'G-7 WaterC'' Data'!$AK$4:$AM$6,3,FALSE)))</f>
        <v/>
      </c>
      <c r="Y126" s="275" t="str">
        <f>IFERROR(IF(OR(LEFT(P126,5)="Error",LEFT(O126,5)="Error"),"Check Data ⚠",IF(F126&lt;S126,'G-7 WaterC'' Data'!$R$3,INDEX('G-7 WaterC'' Data'!$U$5:$Y$9,MATCH(G126,'G-7 WaterC'' Data'!$T$5:$T$9,0),MATCH(T126,'G-7 WaterC'' Data'!$U$4:$Y$4,0)))),"")</f>
        <v/>
      </c>
      <c r="Z126" s="133"/>
      <c r="AA126" s="133"/>
      <c r="AB126" s="283" t="str">
        <f t="shared" si="13"/>
        <v/>
      </c>
      <c r="AC126" s="296" t="str">
        <f t="shared" si="14"/>
        <v/>
      </c>
      <c r="AD126" s="334" t="str">
        <f>IFERROR(IF(AC126="Check Data ⚠","Check Data ⚠",VLOOKUP(AC126,'G-4 Temporal multipliers'!$A$4:$C$37,3,FALSE)),"")</f>
        <v/>
      </c>
      <c r="AE126" s="275" t="str">
        <f>IF(N126="","",VLOOKUP(N126,'G-7 WaterC'' Data'!$B$4:$G$8,5,FALSE))</f>
        <v/>
      </c>
      <c r="AF126" s="283" t="str">
        <f t="shared" si="15"/>
        <v/>
      </c>
      <c r="AG126" s="314" t="str">
        <f t="shared" si="16"/>
        <v/>
      </c>
      <c r="AH126" s="276" t="str">
        <f t="shared" si="10"/>
        <v/>
      </c>
      <c r="AI126" s="105"/>
      <c r="AJ126" s="276" t="str">
        <f>IF(AI126="","",IF(AND(AI126="N/A - Culvert",N126&lt;&gt;"Culvert"),"Not possible ▲",IF(VLOOKUP(AI126,'G-7 WaterC'' Data'!$AA$4:$AB$7,2,FALSE)=0,"Spatial Data Missing ⚠",VLOOKUP(AI126,'G-7 WaterC'' Data'!$AA$4:$AB$7,2,FALSE))))</f>
        <v/>
      </c>
      <c r="AK126" s="106"/>
      <c r="AL126" s="276" t="str">
        <f>IF(AK126="","",IF(AND(AK126="N/A - Culvert",N126&lt;&gt;"Culvert"),"Not possible ▲",IF(VLOOKUP(AK126,'G-7 WaterC'' Data'!$AD$4:$AE$14,2,FALSE)=0,"Spatial Data Missing ⚠",VLOOKUP(AK126,'G-7 WaterC'' Data'!$AD$4:$AE$14,2,FALSE))))</f>
        <v/>
      </c>
      <c r="AM126" s="317" t="str">
        <f t="shared" si="17"/>
        <v/>
      </c>
      <c r="AN126" s="101"/>
      <c r="AO126" s="115"/>
      <c r="AP126" s="104"/>
      <c r="AS126" s="30" t="str">
        <f>IF(B126="","",IF(ISNA(VLOOKUP($B126,'C-1 On-Site WaterC'' Baseline'!$C$8:$AD$257,17,FALSE)),"",(VLOOKUP($B126,'C-1 On-Site WaterC'' Baseline'!$C$8:$AD$257,17,FALSE))))</f>
        <v/>
      </c>
      <c r="AT126" s="30" t="str">
        <f>IF(B126="","",VLOOKUP($B126,'C-1 On-Site WaterC'' Baseline'!$C$9:$Z$257,12,FALSE))</f>
        <v/>
      </c>
      <c r="AU126" s="30" t="str">
        <f>IF(B126="","",VLOOKUP($B126,'C-1 On-Site WaterC'' Baseline'!$C$9:$Z$257,14,FALSE))</f>
        <v/>
      </c>
      <c r="AV126" s="30" t="str">
        <f>IFERROR(INDEX('G-7 WaterC'' Data'!$AZ$3:$AZ$7,MATCH(N126,'G-7 WaterC'' Data'!$AY$3:$AY$7,0)),"")</f>
        <v/>
      </c>
      <c r="AX126" s="30" t="str">
        <f>IF(B126="","",VLOOKUP($B126,'C-1 On-Site WaterC'' Baseline'!$C$9:$Y$257,22,FALSE))</f>
        <v/>
      </c>
      <c r="AY126" s="30" t="str">
        <f t="shared" si="18"/>
        <v/>
      </c>
      <c r="AZ126" s="30" t="str">
        <f>IF(B126="","",VLOOKUP($B126,'C-1 On-Site WaterC'' Baseline'!$C$9:$Y$257,21,FALSE))</f>
        <v/>
      </c>
      <c r="BA126" s="30" t="str">
        <f>IF(B126="","",VLOOKUP($B126,'C-1 On-Site WaterC'' Baseline'!$C$9:$Y$257,19,FALSE))</f>
        <v/>
      </c>
      <c r="BD126" s="30" t="str">
        <f t="shared" si="19"/>
        <v>No</v>
      </c>
    </row>
    <row r="127" spans="2:56" ht="14">
      <c r="B127" s="305" t="str">
        <f>'C-1 On-Site WaterC'' Baseline'!AP125</f>
        <v/>
      </c>
      <c r="C127" s="295" t="str">
        <f>IF(B127="","",VLOOKUP($B127,'C-1 On-Site WaterC'' Baseline'!$C$9:$R$257,2,FALSE))</f>
        <v/>
      </c>
      <c r="D127" s="295" t="str">
        <f>IF(C127="","",VLOOKUP($B127,'C-1 On-Site WaterC'' Baseline'!$C$9:$R$257,3,FALSE))</f>
        <v/>
      </c>
      <c r="E127" s="295" t="str">
        <f>IF(D127="","",VLOOKUP($B127,'C-1 On-Site WaterC'' Baseline'!$C$9:$R$257,4,FALSE))</f>
        <v/>
      </c>
      <c r="F127" s="295" t="str">
        <f>IF(E127="","",VLOOKUP($B127,'C-1 On-Site WaterC'' Baseline'!$C$9:$R$257,5,FALSE))</f>
        <v/>
      </c>
      <c r="G127" s="295" t="str">
        <f>IF(F127="","",VLOOKUP($B127,'C-1 On-Site WaterC'' Baseline'!$C$9:$R$257,6,FALSE))</f>
        <v/>
      </c>
      <c r="H127" s="295" t="str">
        <f>IF(G127="","",VLOOKUP($B127,'C-1 On-Site WaterC'' Baseline'!$C$9:$R$257,7,FALSE))</f>
        <v/>
      </c>
      <c r="I127" s="295" t="str">
        <f>IF(H127="","",VLOOKUP($B127,'C-1 On-Site WaterC'' Baseline'!$C$9:$R$257,8,FALSE))</f>
        <v/>
      </c>
      <c r="J127" s="295" t="str">
        <f>IF(I127="","",VLOOKUP($B127,'C-1 On-Site WaterC'' Baseline'!$C$9:$R$257,9,FALSE))</f>
        <v/>
      </c>
      <c r="K127" s="295" t="str">
        <f>IF(J127="","",VLOOKUP($B127,'C-1 On-Site WaterC'' Baseline'!$C$9:$R$257,10,FALSE))</f>
        <v/>
      </c>
      <c r="L127" s="295" t="str">
        <f>IF(B127="","",VLOOKUP($B127,'C-1 On-Site WaterC'' Baseline'!$C$9:$R$257,15,FALSE))</f>
        <v/>
      </c>
      <c r="M127" s="299" t="str">
        <f>IF(L127="","",VLOOKUP($B127,'C-1 On-Site WaterC'' Baseline'!$C$9:$R$257,16,FALSE))</f>
        <v/>
      </c>
      <c r="N127" s="245"/>
      <c r="O127" s="275" t="str">
        <f t="shared" si="11"/>
        <v/>
      </c>
      <c r="P127" s="276" t="str">
        <f t="shared" si="12"/>
        <v/>
      </c>
      <c r="Q127" s="336" t="str">
        <f>IF(N127="","",VLOOKUP(B127,'C-1 On-Site WaterC'' Baseline'!$C$10:$AC$257,20,FALSE))</f>
        <v/>
      </c>
      <c r="R127" s="275" t="str">
        <f>IF(N127="","",VLOOKUP(N127,'G-7 WaterC'' Data'!$B$2:$G$8,2,FALSE))</f>
        <v/>
      </c>
      <c r="S127" s="276" t="str">
        <f>IFERROR(VLOOKUP(R127,'G-7 WaterC'' Data'!$C$4:$D$8,2,FALSE),"")</f>
        <v/>
      </c>
      <c r="T127" s="101"/>
      <c r="U127" s="276" t="str">
        <f>IFERROR(INDEX('G-7 WaterC'' Data'!$H$4:$L$8,MATCH(N127,'G-7 WaterC'' Data'!$B$4:$B$8,0),MATCH(T127,'G-7 WaterC'' Data'!$H$3:$L$3,0)),"")</f>
        <v/>
      </c>
      <c r="V127" s="101"/>
      <c r="W127" s="283" t="str">
        <f>IF(V127="","",IF(VLOOKUP(V127,'G-7 WaterC'' Data'!$AK$4:$AM$6,2,FALSE)=0,"Spatial Data Missing ⚠",VLOOKUP(V127,'G-7 WaterC'' Data'!$AK$4:$AM$6,2,FALSE)))</f>
        <v/>
      </c>
      <c r="X127" s="276" t="str">
        <f>IF(V127="","",IF(VLOOKUP(V127,'G-7 WaterC'' Data'!$AK$4:$AM$6,3,FALSE)=0,"Spatial Data Missing ⚠",VLOOKUP(V127,'G-7 WaterC'' Data'!$AK$4:$AM$6,3,FALSE)))</f>
        <v/>
      </c>
      <c r="Y127" s="275" t="str">
        <f>IFERROR(IF(OR(LEFT(P127,5)="Error",LEFT(O127,5)="Error"),"Check Data ⚠",IF(F127&lt;S127,'G-7 WaterC'' Data'!$R$3,INDEX('G-7 WaterC'' Data'!$U$5:$Y$9,MATCH(G127,'G-7 WaterC'' Data'!$T$5:$T$9,0),MATCH(T127,'G-7 WaterC'' Data'!$U$4:$Y$4,0)))),"")</f>
        <v/>
      </c>
      <c r="Z127" s="133"/>
      <c r="AA127" s="133"/>
      <c r="AB127" s="283" t="str">
        <f t="shared" si="13"/>
        <v/>
      </c>
      <c r="AC127" s="296" t="str">
        <f t="shared" si="14"/>
        <v/>
      </c>
      <c r="AD127" s="334" t="str">
        <f>IFERROR(IF(AC127="Check Data ⚠","Check Data ⚠",VLOOKUP(AC127,'G-4 Temporal multipliers'!$A$4:$C$37,3,FALSE)),"")</f>
        <v/>
      </c>
      <c r="AE127" s="275" t="str">
        <f>IF(N127="","",VLOOKUP(N127,'G-7 WaterC'' Data'!$B$4:$G$8,5,FALSE))</f>
        <v/>
      </c>
      <c r="AF127" s="283" t="str">
        <f t="shared" si="15"/>
        <v/>
      </c>
      <c r="AG127" s="314" t="str">
        <f t="shared" si="16"/>
        <v/>
      </c>
      <c r="AH127" s="276" t="str">
        <f t="shared" si="10"/>
        <v/>
      </c>
      <c r="AI127" s="105"/>
      <c r="AJ127" s="276" t="str">
        <f>IF(AI127="","",IF(AND(AI127="N/A - Culvert",N127&lt;&gt;"Culvert"),"Not possible ▲",IF(VLOOKUP(AI127,'G-7 WaterC'' Data'!$AA$4:$AB$7,2,FALSE)=0,"Spatial Data Missing ⚠",VLOOKUP(AI127,'G-7 WaterC'' Data'!$AA$4:$AB$7,2,FALSE))))</f>
        <v/>
      </c>
      <c r="AK127" s="106"/>
      <c r="AL127" s="276" t="str">
        <f>IF(AK127="","",IF(AND(AK127="N/A - Culvert",N127&lt;&gt;"Culvert"),"Not possible ▲",IF(VLOOKUP(AK127,'G-7 WaterC'' Data'!$AD$4:$AE$14,2,FALSE)=0,"Spatial Data Missing ⚠",VLOOKUP(AK127,'G-7 WaterC'' Data'!$AD$4:$AE$14,2,FALSE))))</f>
        <v/>
      </c>
      <c r="AM127" s="317" t="str">
        <f t="shared" si="17"/>
        <v/>
      </c>
      <c r="AN127" s="101"/>
      <c r="AO127" s="115"/>
      <c r="AP127" s="104"/>
      <c r="AS127" s="30" t="str">
        <f>IF(B127="","",IF(ISNA(VLOOKUP($B127,'C-1 On-Site WaterC'' Baseline'!$C$8:$AD$257,17,FALSE)),"",(VLOOKUP($B127,'C-1 On-Site WaterC'' Baseline'!$C$8:$AD$257,17,FALSE))))</f>
        <v/>
      </c>
      <c r="AT127" s="30" t="str">
        <f>IF(B127="","",VLOOKUP($B127,'C-1 On-Site WaterC'' Baseline'!$C$9:$Z$257,12,FALSE))</f>
        <v/>
      </c>
      <c r="AU127" s="30" t="str">
        <f>IF(B127="","",VLOOKUP($B127,'C-1 On-Site WaterC'' Baseline'!$C$9:$Z$257,14,FALSE))</f>
        <v/>
      </c>
      <c r="AV127" s="30" t="str">
        <f>IFERROR(INDEX('G-7 WaterC'' Data'!$AZ$3:$AZ$7,MATCH(N127,'G-7 WaterC'' Data'!$AY$3:$AY$7,0)),"")</f>
        <v/>
      </c>
      <c r="AX127" s="30" t="str">
        <f>IF(B127="","",VLOOKUP($B127,'C-1 On-Site WaterC'' Baseline'!$C$9:$Y$257,22,FALSE))</f>
        <v/>
      </c>
      <c r="AY127" s="30" t="str">
        <f t="shared" si="18"/>
        <v/>
      </c>
      <c r="AZ127" s="30" t="str">
        <f>IF(B127="","",VLOOKUP($B127,'C-1 On-Site WaterC'' Baseline'!$C$9:$Y$257,21,FALSE))</f>
        <v/>
      </c>
      <c r="BA127" s="30" t="str">
        <f>IF(B127="","",VLOOKUP($B127,'C-1 On-Site WaterC'' Baseline'!$C$9:$Y$257,19,FALSE))</f>
        <v/>
      </c>
      <c r="BD127" s="30" t="str">
        <f t="shared" si="19"/>
        <v>No</v>
      </c>
    </row>
    <row r="128" spans="2:56" ht="14">
      <c r="B128" s="305" t="str">
        <f>'C-1 On-Site WaterC'' Baseline'!AP126</f>
        <v/>
      </c>
      <c r="C128" s="295" t="str">
        <f>IF(B128="","",VLOOKUP($B128,'C-1 On-Site WaterC'' Baseline'!$C$9:$R$257,2,FALSE))</f>
        <v/>
      </c>
      <c r="D128" s="295" t="str">
        <f>IF(C128="","",VLOOKUP($B128,'C-1 On-Site WaterC'' Baseline'!$C$9:$R$257,3,FALSE))</f>
        <v/>
      </c>
      <c r="E128" s="295" t="str">
        <f>IF(D128="","",VLOOKUP($B128,'C-1 On-Site WaterC'' Baseline'!$C$9:$R$257,4,FALSE))</f>
        <v/>
      </c>
      <c r="F128" s="295" t="str">
        <f>IF(E128="","",VLOOKUP($B128,'C-1 On-Site WaterC'' Baseline'!$C$9:$R$257,5,FALSE))</f>
        <v/>
      </c>
      <c r="G128" s="295" t="str">
        <f>IF(F128="","",VLOOKUP($B128,'C-1 On-Site WaterC'' Baseline'!$C$9:$R$257,6,FALSE))</f>
        <v/>
      </c>
      <c r="H128" s="295" t="str">
        <f>IF(G128="","",VLOOKUP($B128,'C-1 On-Site WaterC'' Baseline'!$C$9:$R$257,7,FALSE))</f>
        <v/>
      </c>
      <c r="I128" s="295" t="str">
        <f>IF(H128="","",VLOOKUP($B128,'C-1 On-Site WaterC'' Baseline'!$C$9:$R$257,8,FALSE))</f>
        <v/>
      </c>
      <c r="J128" s="295" t="str">
        <f>IF(I128="","",VLOOKUP($B128,'C-1 On-Site WaterC'' Baseline'!$C$9:$R$257,9,FALSE))</f>
        <v/>
      </c>
      <c r="K128" s="295" t="str">
        <f>IF(J128="","",VLOOKUP($B128,'C-1 On-Site WaterC'' Baseline'!$C$9:$R$257,10,FALSE))</f>
        <v/>
      </c>
      <c r="L128" s="295" t="str">
        <f>IF(B128="","",VLOOKUP($B128,'C-1 On-Site WaterC'' Baseline'!$C$9:$R$257,15,FALSE))</f>
        <v/>
      </c>
      <c r="M128" s="299" t="str">
        <f>IF(L128="","",VLOOKUP($B128,'C-1 On-Site WaterC'' Baseline'!$C$9:$R$257,16,FALSE))</f>
        <v/>
      </c>
      <c r="N128" s="245"/>
      <c r="O128" s="275" t="str">
        <f t="shared" si="11"/>
        <v/>
      </c>
      <c r="P128" s="276" t="str">
        <f t="shared" si="12"/>
        <v/>
      </c>
      <c r="Q128" s="336" t="str">
        <f>IF(N128="","",VLOOKUP(B128,'C-1 On-Site WaterC'' Baseline'!$C$10:$AC$257,20,FALSE))</f>
        <v/>
      </c>
      <c r="R128" s="275" t="str">
        <f>IF(N128="","",VLOOKUP(N128,'G-7 WaterC'' Data'!$B$2:$G$8,2,FALSE))</f>
        <v/>
      </c>
      <c r="S128" s="276" t="str">
        <f>IFERROR(VLOOKUP(R128,'G-7 WaterC'' Data'!$C$4:$D$8,2,FALSE),"")</f>
        <v/>
      </c>
      <c r="T128" s="101"/>
      <c r="U128" s="276" t="str">
        <f>IFERROR(INDEX('G-7 WaterC'' Data'!$H$4:$L$8,MATCH(N128,'G-7 WaterC'' Data'!$B$4:$B$8,0),MATCH(T128,'G-7 WaterC'' Data'!$H$3:$L$3,0)),"")</f>
        <v/>
      </c>
      <c r="V128" s="101"/>
      <c r="W128" s="283" t="str">
        <f>IF(V128="","",IF(VLOOKUP(V128,'G-7 WaterC'' Data'!$AK$4:$AM$6,2,FALSE)=0,"Spatial Data Missing ⚠",VLOOKUP(V128,'G-7 WaterC'' Data'!$AK$4:$AM$6,2,FALSE)))</f>
        <v/>
      </c>
      <c r="X128" s="276" t="str">
        <f>IF(V128="","",IF(VLOOKUP(V128,'G-7 WaterC'' Data'!$AK$4:$AM$6,3,FALSE)=0,"Spatial Data Missing ⚠",VLOOKUP(V128,'G-7 WaterC'' Data'!$AK$4:$AM$6,3,FALSE)))</f>
        <v/>
      </c>
      <c r="Y128" s="275" t="str">
        <f>IFERROR(IF(OR(LEFT(P128,5)="Error",LEFT(O128,5)="Error"),"Check Data ⚠",IF(F128&lt;S128,'G-7 WaterC'' Data'!$R$3,INDEX('G-7 WaterC'' Data'!$U$5:$Y$9,MATCH(G128,'G-7 WaterC'' Data'!$T$5:$T$9,0),MATCH(T128,'G-7 WaterC'' Data'!$U$4:$Y$4,0)))),"")</f>
        <v/>
      </c>
      <c r="Z128" s="133"/>
      <c r="AA128" s="133"/>
      <c r="AB128" s="283" t="str">
        <f t="shared" si="13"/>
        <v/>
      </c>
      <c r="AC128" s="296" t="str">
        <f t="shared" si="14"/>
        <v/>
      </c>
      <c r="AD128" s="334" t="str">
        <f>IFERROR(IF(AC128="Check Data ⚠","Check Data ⚠",VLOOKUP(AC128,'G-4 Temporal multipliers'!$A$4:$C$37,3,FALSE)),"")</f>
        <v/>
      </c>
      <c r="AE128" s="275" t="str">
        <f>IF(N128="","",VLOOKUP(N128,'G-7 WaterC'' Data'!$B$4:$G$8,5,FALSE))</f>
        <v/>
      </c>
      <c r="AF128" s="283" t="str">
        <f t="shared" si="15"/>
        <v/>
      </c>
      <c r="AG128" s="314" t="str">
        <f t="shared" si="16"/>
        <v/>
      </c>
      <c r="AH128" s="276" t="str">
        <f t="shared" si="10"/>
        <v/>
      </c>
      <c r="AI128" s="105"/>
      <c r="AJ128" s="276" t="str">
        <f>IF(AI128="","",IF(AND(AI128="N/A - Culvert",N128&lt;&gt;"Culvert"),"Not possible ▲",IF(VLOOKUP(AI128,'G-7 WaterC'' Data'!$AA$4:$AB$7,2,FALSE)=0,"Spatial Data Missing ⚠",VLOOKUP(AI128,'G-7 WaterC'' Data'!$AA$4:$AB$7,2,FALSE))))</f>
        <v/>
      </c>
      <c r="AK128" s="106"/>
      <c r="AL128" s="276" t="str">
        <f>IF(AK128="","",IF(AND(AK128="N/A - Culvert",N128&lt;&gt;"Culvert"),"Not possible ▲",IF(VLOOKUP(AK128,'G-7 WaterC'' Data'!$AD$4:$AE$14,2,FALSE)=0,"Spatial Data Missing ⚠",VLOOKUP(AK128,'G-7 WaterC'' Data'!$AD$4:$AE$14,2,FALSE))))</f>
        <v/>
      </c>
      <c r="AM128" s="317" t="str">
        <f t="shared" si="17"/>
        <v/>
      </c>
      <c r="AN128" s="101"/>
      <c r="AO128" s="115"/>
      <c r="AP128" s="104"/>
      <c r="AS128" s="30" t="str">
        <f>IF(B128="","",IF(ISNA(VLOOKUP($B128,'C-1 On-Site WaterC'' Baseline'!$C$8:$AD$257,17,FALSE)),"",(VLOOKUP($B128,'C-1 On-Site WaterC'' Baseline'!$C$8:$AD$257,17,FALSE))))</f>
        <v/>
      </c>
      <c r="AT128" s="30" t="str">
        <f>IF(B128="","",VLOOKUP($B128,'C-1 On-Site WaterC'' Baseline'!$C$9:$Z$257,12,FALSE))</f>
        <v/>
      </c>
      <c r="AU128" s="30" t="str">
        <f>IF(B128="","",VLOOKUP($B128,'C-1 On-Site WaterC'' Baseline'!$C$9:$Z$257,14,FALSE))</f>
        <v/>
      </c>
      <c r="AV128" s="30" t="str">
        <f>IFERROR(INDEX('G-7 WaterC'' Data'!$AZ$3:$AZ$7,MATCH(N128,'G-7 WaterC'' Data'!$AY$3:$AY$7,0)),"")</f>
        <v/>
      </c>
      <c r="AX128" s="30" t="str">
        <f>IF(B128="","",VLOOKUP($B128,'C-1 On-Site WaterC'' Baseline'!$C$9:$Y$257,22,FALSE))</f>
        <v/>
      </c>
      <c r="AY128" s="30" t="str">
        <f t="shared" si="18"/>
        <v/>
      </c>
      <c r="AZ128" s="30" t="str">
        <f>IF(B128="","",VLOOKUP($B128,'C-1 On-Site WaterC'' Baseline'!$C$9:$Y$257,21,FALSE))</f>
        <v/>
      </c>
      <c r="BA128" s="30" t="str">
        <f>IF(B128="","",VLOOKUP($B128,'C-1 On-Site WaterC'' Baseline'!$C$9:$Y$257,19,FALSE))</f>
        <v/>
      </c>
      <c r="BD128" s="30" t="str">
        <f t="shared" si="19"/>
        <v>No</v>
      </c>
    </row>
    <row r="129" spans="2:56" ht="14">
      <c r="B129" s="305" t="str">
        <f>'C-1 On-Site WaterC'' Baseline'!AP127</f>
        <v/>
      </c>
      <c r="C129" s="295" t="str">
        <f>IF(B129="","",VLOOKUP($B129,'C-1 On-Site WaterC'' Baseline'!$C$9:$R$257,2,FALSE))</f>
        <v/>
      </c>
      <c r="D129" s="295" t="str">
        <f>IF(C129="","",VLOOKUP($B129,'C-1 On-Site WaterC'' Baseline'!$C$9:$R$257,3,FALSE))</f>
        <v/>
      </c>
      <c r="E129" s="295" t="str">
        <f>IF(D129="","",VLOOKUP($B129,'C-1 On-Site WaterC'' Baseline'!$C$9:$R$257,4,FALSE))</f>
        <v/>
      </c>
      <c r="F129" s="295" t="str">
        <f>IF(E129="","",VLOOKUP($B129,'C-1 On-Site WaterC'' Baseline'!$C$9:$R$257,5,FALSE))</f>
        <v/>
      </c>
      <c r="G129" s="295" t="str">
        <f>IF(F129="","",VLOOKUP($B129,'C-1 On-Site WaterC'' Baseline'!$C$9:$R$257,6,FALSE))</f>
        <v/>
      </c>
      <c r="H129" s="295" t="str">
        <f>IF(G129="","",VLOOKUP($B129,'C-1 On-Site WaterC'' Baseline'!$C$9:$R$257,7,FALSE))</f>
        <v/>
      </c>
      <c r="I129" s="295" t="str">
        <f>IF(H129="","",VLOOKUP($B129,'C-1 On-Site WaterC'' Baseline'!$C$9:$R$257,8,FALSE))</f>
        <v/>
      </c>
      <c r="J129" s="295" t="str">
        <f>IF(I129="","",VLOOKUP($B129,'C-1 On-Site WaterC'' Baseline'!$C$9:$R$257,9,FALSE))</f>
        <v/>
      </c>
      <c r="K129" s="295" t="str">
        <f>IF(J129="","",VLOOKUP($B129,'C-1 On-Site WaterC'' Baseline'!$C$9:$R$257,10,FALSE))</f>
        <v/>
      </c>
      <c r="L129" s="295" t="str">
        <f>IF(B129="","",VLOOKUP($B129,'C-1 On-Site WaterC'' Baseline'!$C$9:$R$257,15,FALSE))</f>
        <v/>
      </c>
      <c r="M129" s="299" t="str">
        <f>IF(L129="","",VLOOKUP($B129,'C-1 On-Site WaterC'' Baseline'!$C$9:$R$257,16,FALSE))</f>
        <v/>
      </c>
      <c r="N129" s="245"/>
      <c r="O129" s="275" t="str">
        <f t="shared" si="11"/>
        <v/>
      </c>
      <c r="P129" s="276" t="str">
        <f t="shared" si="12"/>
        <v/>
      </c>
      <c r="Q129" s="336" t="str">
        <f>IF(N129="","",VLOOKUP(B129,'C-1 On-Site WaterC'' Baseline'!$C$10:$AC$257,20,FALSE))</f>
        <v/>
      </c>
      <c r="R129" s="275" t="str">
        <f>IF(N129="","",VLOOKUP(N129,'G-7 WaterC'' Data'!$B$2:$G$8,2,FALSE))</f>
        <v/>
      </c>
      <c r="S129" s="276" t="str">
        <f>IFERROR(VLOOKUP(R129,'G-7 WaterC'' Data'!$C$4:$D$8,2,FALSE),"")</f>
        <v/>
      </c>
      <c r="T129" s="101"/>
      <c r="U129" s="276" t="str">
        <f>IFERROR(INDEX('G-7 WaterC'' Data'!$H$4:$L$8,MATCH(N129,'G-7 WaterC'' Data'!$B$4:$B$8,0),MATCH(T129,'G-7 WaterC'' Data'!$H$3:$L$3,0)),"")</f>
        <v/>
      </c>
      <c r="V129" s="101"/>
      <c r="W129" s="283" t="str">
        <f>IF(V129="","",IF(VLOOKUP(V129,'G-7 WaterC'' Data'!$AK$4:$AM$6,2,FALSE)=0,"Spatial Data Missing ⚠",VLOOKUP(V129,'G-7 WaterC'' Data'!$AK$4:$AM$6,2,FALSE)))</f>
        <v/>
      </c>
      <c r="X129" s="276" t="str">
        <f>IF(V129="","",IF(VLOOKUP(V129,'G-7 WaterC'' Data'!$AK$4:$AM$6,3,FALSE)=0,"Spatial Data Missing ⚠",VLOOKUP(V129,'G-7 WaterC'' Data'!$AK$4:$AM$6,3,FALSE)))</f>
        <v/>
      </c>
      <c r="Y129" s="275" t="str">
        <f>IFERROR(IF(OR(LEFT(P129,5)="Error",LEFT(O129,5)="Error"),"Check Data ⚠",IF(F129&lt;S129,'G-7 WaterC'' Data'!$R$3,INDEX('G-7 WaterC'' Data'!$U$5:$Y$9,MATCH(G129,'G-7 WaterC'' Data'!$T$5:$T$9,0),MATCH(T129,'G-7 WaterC'' Data'!$U$4:$Y$4,0)))),"")</f>
        <v/>
      </c>
      <c r="Z129" s="133"/>
      <c r="AA129" s="133"/>
      <c r="AB129" s="283" t="str">
        <f t="shared" si="13"/>
        <v/>
      </c>
      <c r="AC129" s="296" t="str">
        <f t="shared" si="14"/>
        <v/>
      </c>
      <c r="AD129" s="334" t="str">
        <f>IFERROR(IF(AC129="Check Data ⚠","Check Data ⚠",VLOOKUP(AC129,'G-4 Temporal multipliers'!$A$4:$C$37,3,FALSE)),"")</f>
        <v/>
      </c>
      <c r="AE129" s="275" t="str">
        <f>IF(N129="","",VLOOKUP(N129,'G-7 WaterC'' Data'!$B$4:$G$8,5,FALSE))</f>
        <v/>
      </c>
      <c r="AF129" s="283" t="str">
        <f t="shared" si="15"/>
        <v/>
      </c>
      <c r="AG129" s="314" t="str">
        <f t="shared" si="16"/>
        <v/>
      </c>
      <c r="AH129" s="276" t="str">
        <f t="shared" si="10"/>
        <v/>
      </c>
      <c r="AI129" s="105"/>
      <c r="AJ129" s="276" t="str">
        <f>IF(AI129="","",IF(AND(AI129="N/A - Culvert",N129&lt;&gt;"Culvert"),"Not possible ▲",IF(VLOOKUP(AI129,'G-7 WaterC'' Data'!$AA$4:$AB$7,2,FALSE)=0,"Spatial Data Missing ⚠",VLOOKUP(AI129,'G-7 WaterC'' Data'!$AA$4:$AB$7,2,FALSE))))</f>
        <v/>
      </c>
      <c r="AK129" s="106"/>
      <c r="AL129" s="276" t="str">
        <f>IF(AK129="","",IF(AND(AK129="N/A - Culvert",N129&lt;&gt;"Culvert"),"Not possible ▲",IF(VLOOKUP(AK129,'G-7 WaterC'' Data'!$AD$4:$AE$14,2,FALSE)=0,"Spatial Data Missing ⚠",VLOOKUP(AK129,'G-7 WaterC'' Data'!$AD$4:$AE$14,2,FALSE))))</f>
        <v/>
      </c>
      <c r="AM129" s="317" t="str">
        <f t="shared" si="17"/>
        <v/>
      </c>
      <c r="AN129" s="101"/>
      <c r="AO129" s="115"/>
      <c r="AP129" s="104"/>
      <c r="AS129" s="30" t="str">
        <f>IF(B129="","",IF(ISNA(VLOOKUP($B129,'C-1 On-Site WaterC'' Baseline'!$C$8:$AD$257,17,FALSE)),"",(VLOOKUP($B129,'C-1 On-Site WaterC'' Baseline'!$C$8:$AD$257,17,FALSE))))</f>
        <v/>
      </c>
      <c r="AT129" s="30" t="str">
        <f>IF(B129="","",VLOOKUP($B129,'C-1 On-Site WaterC'' Baseline'!$C$9:$Z$257,12,FALSE))</f>
        <v/>
      </c>
      <c r="AU129" s="30" t="str">
        <f>IF(B129="","",VLOOKUP($B129,'C-1 On-Site WaterC'' Baseline'!$C$9:$Z$257,14,FALSE))</f>
        <v/>
      </c>
      <c r="AV129" s="30" t="str">
        <f>IFERROR(INDEX('G-7 WaterC'' Data'!$AZ$3:$AZ$7,MATCH(N129,'G-7 WaterC'' Data'!$AY$3:$AY$7,0)),"")</f>
        <v/>
      </c>
      <c r="AX129" s="30" t="str">
        <f>IF(B129="","",VLOOKUP($B129,'C-1 On-Site WaterC'' Baseline'!$C$9:$Y$257,22,FALSE))</f>
        <v/>
      </c>
      <c r="AY129" s="30" t="str">
        <f t="shared" si="18"/>
        <v/>
      </c>
      <c r="AZ129" s="30" t="str">
        <f>IF(B129="","",VLOOKUP($B129,'C-1 On-Site WaterC'' Baseline'!$C$9:$Y$257,21,FALSE))</f>
        <v/>
      </c>
      <c r="BA129" s="30" t="str">
        <f>IF(B129="","",VLOOKUP($B129,'C-1 On-Site WaterC'' Baseline'!$C$9:$Y$257,19,FALSE))</f>
        <v/>
      </c>
      <c r="BD129" s="30" t="str">
        <f t="shared" si="19"/>
        <v>No</v>
      </c>
    </row>
    <row r="130" spans="2:56" ht="14">
      <c r="B130" s="305" t="str">
        <f>'C-1 On-Site WaterC'' Baseline'!AP128</f>
        <v/>
      </c>
      <c r="C130" s="295" t="str">
        <f>IF(B130="","",VLOOKUP($B130,'C-1 On-Site WaterC'' Baseline'!$C$9:$R$257,2,FALSE))</f>
        <v/>
      </c>
      <c r="D130" s="295" t="str">
        <f>IF(C130="","",VLOOKUP($B130,'C-1 On-Site WaterC'' Baseline'!$C$9:$R$257,3,FALSE))</f>
        <v/>
      </c>
      <c r="E130" s="295" t="str">
        <f>IF(D130="","",VLOOKUP($B130,'C-1 On-Site WaterC'' Baseline'!$C$9:$R$257,4,FALSE))</f>
        <v/>
      </c>
      <c r="F130" s="295" t="str">
        <f>IF(E130="","",VLOOKUP($B130,'C-1 On-Site WaterC'' Baseline'!$C$9:$R$257,5,FALSE))</f>
        <v/>
      </c>
      <c r="G130" s="295" t="str">
        <f>IF(F130="","",VLOOKUP($B130,'C-1 On-Site WaterC'' Baseline'!$C$9:$R$257,6,FALSE))</f>
        <v/>
      </c>
      <c r="H130" s="295" t="str">
        <f>IF(G130="","",VLOOKUP($B130,'C-1 On-Site WaterC'' Baseline'!$C$9:$R$257,7,FALSE))</f>
        <v/>
      </c>
      <c r="I130" s="295" t="str">
        <f>IF(H130="","",VLOOKUP($B130,'C-1 On-Site WaterC'' Baseline'!$C$9:$R$257,8,FALSE))</f>
        <v/>
      </c>
      <c r="J130" s="295" t="str">
        <f>IF(I130="","",VLOOKUP($B130,'C-1 On-Site WaterC'' Baseline'!$C$9:$R$257,9,FALSE))</f>
        <v/>
      </c>
      <c r="K130" s="295" t="str">
        <f>IF(J130="","",VLOOKUP($B130,'C-1 On-Site WaterC'' Baseline'!$C$9:$R$257,10,FALSE))</f>
        <v/>
      </c>
      <c r="L130" s="295" t="str">
        <f>IF(B130="","",VLOOKUP($B130,'C-1 On-Site WaterC'' Baseline'!$C$9:$R$257,15,FALSE))</f>
        <v/>
      </c>
      <c r="M130" s="299" t="str">
        <f>IF(L130="","",VLOOKUP($B130,'C-1 On-Site WaterC'' Baseline'!$C$9:$R$257,16,FALSE))</f>
        <v/>
      </c>
      <c r="N130" s="245"/>
      <c r="O130" s="275" t="str">
        <f t="shared" si="11"/>
        <v/>
      </c>
      <c r="P130" s="276" t="str">
        <f t="shared" si="12"/>
        <v/>
      </c>
      <c r="Q130" s="336" t="str">
        <f>IF(N130="","",VLOOKUP(B130,'C-1 On-Site WaterC'' Baseline'!$C$10:$AC$257,20,FALSE))</f>
        <v/>
      </c>
      <c r="R130" s="275" t="str">
        <f>IF(N130="","",VLOOKUP(N130,'G-7 WaterC'' Data'!$B$2:$G$8,2,FALSE))</f>
        <v/>
      </c>
      <c r="S130" s="276" t="str">
        <f>IFERROR(VLOOKUP(R130,'G-7 WaterC'' Data'!$C$4:$D$8,2,FALSE),"")</f>
        <v/>
      </c>
      <c r="T130" s="101"/>
      <c r="U130" s="276" t="str">
        <f>IFERROR(INDEX('G-7 WaterC'' Data'!$H$4:$L$8,MATCH(N130,'G-7 WaterC'' Data'!$B$4:$B$8,0),MATCH(T130,'G-7 WaterC'' Data'!$H$3:$L$3,0)),"")</f>
        <v/>
      </c>
      <c r="V130" s="101"/>
      <c r="W130" s="283" t="str">
        <f>IF(V130="","",IF(VLOOKUP(V130,'G-7 WaterC'' Data'!$AK$4:$AM$6,2,FALSE)=0,"Spatial Data Missing ⚠",VLOOKUP(V130,'G-7 WaterC'' Data'!$AK$4:$AM$6,2,FALSE)))</f>
        <v/>
      </c>
      <c r="X130" s="276" t="str">
        <f>IF(V130="","",IF(VLOOKUP(V130,'G-7 WaterC'' Data'!$AK$4:$AM$6,3,FALSE)=0,"Spatial Data Missing ⚠",VLOOKUP(V130,'G-7 WaterC'' Data'!$AK$4:$AM$6,3,FALSE)))</f>
        <v/>
      </c>
      <c r="Y130" s="275" t="str">
        <f>IFERROR(IF(OR(LEFT(P130,5)="Error",LEFT(O130,5)="Error"),"Check Data ⚠",IF(F130&lt;S130,'G-7 WaterC'' Data'!$R$3,INDEX('G-7 WaterC'' Data'!$U$5:$Y$9,MATCH(G130,'G-7 WaterC'' Data'!$T$5:$T$9,0),MATCH(T130,'G-7 WaterC'' Data'!$U$4:$Y$4,0)))),"")</f>
        <v/>
      </c>
      <c r="Z130" s="133"/>
      <c r="AA130" s="133"/>
      <c r="AB130" s="283" t="str">
        <f t="shared" si="13"/>
        <v/>
      </c>
      <c r="AC130" s="296" t="str">
        <f t="shared" si="14"/>
        <v/>
      </c>
      <c r="AD130" s="334" t="str">
        <f>IFERROR(IF(AC130="Check Data ⚠","Check Data ⚠",VLOOKUP(AC130,'G-4 Temporal multipliers'!$A$4:$C$37,3,FALSE)),"")</f>
        <v/>
      </c>
      <c r="AE130" s="275" t="str">
        <f>IF(N130="","",VLOOKUP(N130,'G-7 WaterC'' Data'!$B$4:$G$8,5,FALSE))</f>
        <v/>
      </c>
      <c r="AF130" s="283" t="str">
        <f t="shared" si="15"/>
        <v/>
      </c>
      <c r="AG130" s="314" t="str">
        <f t="shared" si="16"/>
        <v/>
      </c>
      <c r="AH130" s="276" t="str">
        <f t="shared" si="10"/>
        <v/>
      </c>
      <c r="AI130" s="105"/>
      <c r="AJ130" s="276" t="str">
        <f>IF(AI130="","",IF(AND(AI130="N/A - Culvert",N130&lt;&gt;"Culvert"),"Not possible ▲",IF(VLOOKUP(AI130,'G-7 WaterC'' Data'!$AA$4:$AB$7,2,FALSE)=0,"Spatial Data Missing ⚠",VLOOKUP(AI130,'G-7 WaterC'' Data'!$AA$4:$AB$7,2,FALSE))))</f>
        <v/>
      </c>
      <c r="AK130" s="106"/>
      <c r="AL130" s="276" t="str">
        <f>IF(AK130="","",IF(AND(AK130="N/A - Culvert",N130&lt;&gt;"Culvert"),"Not possible ▲",IF(VLOOKUP(AK130,'G-7 WaterC'' Data'!$AD$4:$AE$14,2,FALSE)=0,"Spatial Data Missing ⚠",VLOOKUP(AK130,'G-7 WaterC'' Data'!$AD$4:$AE$14,2,FALSE))))</f>
        <v/>
      </c>
      <c r="AM130" s="317" t="str">
        <f t="shared" si="17"/>
        <v/>
      </c>
      <c r="AN130" s="101"/>
      <c r="AO130" s="115"/>
      <c r="AP130" s="104"/>
      <c r="AS130" s="30" t="str">
        <f>IF(B130="","",IF(ISNA(VLOOKUP($B130,'C-1 On-Site WaterC'' Baseline'!$C$8:$AD$257,17,FALSE)),"",(VLOOKUP($B130,'C-1 On-Site WaterC'' Baseline'!$C$8:$AD$257,17,FALSE))))</f>
        <v/>
      </c>
      <c r="AT130" s="30" t="str">
        <f>IF(B130="","",VLOOKUP($B130,'C-1 On-Site WaterC'' Baseline'!$C$9:$Z$257,12,FALSE))</f>
        <v/>
      </c>
      <c r="AU130" s="30" t="str">
        <f>IF(B130="","",VLOOKUP($B130,'C-1 On-Site WaterC'' Baseline'!$C$9:$Z$257,14,FALSE))</f>
        <v/>
      </c>
      <c r="AV130" s="30" t="str">
        <f>IFERROR(INDEX('G-7 WaterC'' Data'!$AZ$3:$AZ$7,MATCH(N130,'G-7 WaterC'' Data'!$AY$3:$AY$7,0)),"")</f>
        <v/>
      </c>
      <c r="AX130" s="30" t="str">
        <f>IF(B130="","",VLOOKUP($B130,'C-1 On-Site WaterC'' Baseline'!$C$9:$Y$257,22,FALSE))</f>
        <v/>
      </c>
      <c r="AY130" s="30" t="str">
        <f t="shared" si="18"/>
        <v/>
      </c>
      <c r="AZ130" s="30" t="str">
        <f>IF(B130="","",VLOOKUP($B130,'C-1 On-Site WaterC'' Baseline'!$C$9:$Y$257,21,FALSE))</f>
        <v/>
      </c>
      <c r="BA130" s="30" t="str">
        <f>IF(B130="","",VLOOKUP($B130,'C-1 On-Site WaterC'' Baseline'!$C$9:$Y$257,19,FALSE))</f>
        <v/>
      </c>
      <c r="BD130" s="30" t="str">
        <f t="shared" si="19"/>
        <v>No</v>
      </c>
    </row>
    <row r="131" spans="2:56" ht="14">
      <c r="B131" s="305" t="str">
        <f>'C-1 On-Site WaterC'' Baseline'!AP129</f>
        <v/>
      </c>
      <c r="C131" s="295" t="str">
        <f>IF(B131="","",VLOOKUP($B131,'C-1 On-Site WaterC'' Baseline'!$C$9:$R$257,2,FALSE))</f>
        <v/>
      </c>
      <c r="D131" s="295" t="str">
        <f>IF(C131="","",VLOOKUP($B131,'C-1 On-Site WaterC'' Baseline'!$C$9:$R$257,3,FALSE))</f>
        <v/>
      </c>
      <c r="E131" s="295" t="str">
        <f>IF(D131="","",VLOOKUP($B131,'C-1 On-Site WaterC'' Baseline'!$C$9:$R$257,4,FALSE))</f>
        <v/>
      </c>
      <c r="F131" s="295" t="str">
        <f>IF(E131="","",VLOOKUP($B131,'C-1 On-Site WaterC'' Baseline'!$C$9:$R$257,5,FALSE))</f>
        <v/>
      </c>
      <c r="G131" s="295" t="str">
        <f>IF(F131="","",VLOOKUP($B131,'C-1 On-Site WaterC'' Baseline'!$C$9:$R$257,6,FALSE))</f>
        <v/>
      </c>
      <c r="H131" s="295" t="str">
        <f>IF(G131="","",VLOOKUP($B131,'C-1 On-Site WaterC'' Baseline'!$C$9:$R$257,7,FALSE))</f>
        <v/>
      </c>
      <c r="I131" s="295" t="str">
        <f>IF(H131="","",VLOOKUP($B131,'C-1 On-Site WaterC'' Baseline'!$C$9:$R$257,8,FALSE))</f>
        <v/>
      </c>
      <c r="J131" s="295" t="str">
        <f>IF(I131="","",VLOOKUP($B131,'C-1 On-Site WaterC'' Baseline'!$C$9:$R$257,9,FALSE))</f>
        <v/>
      </c>
      <c r="K131" s="295" t="str">
        <f>IF(J131="","",VLOOKUP($B131,'C-1 On-Site WaterC'' Baseline'!$C$9:$R$257,10,FALSE))</f>
        <v/>
      </c>
      <c r="L131" s="295" t="str">
        <f>IF(B131="","",VLOOKUP($B131,'C-1 On-Site WaterC'' Baseline'!$C$9:$R$257,15,FALSE))</f>
        <v/>
      </c>
      <c r="M131" s="299" t="str">
        <f>IF(L131="","",VLOOKUP($B131,'C-1 On-Site WaterC'' Baseline'!$C$9:$R$257,16,FALSE))</f>
        <v/>
      </c>
      <c r="N131" s="245"/>
      <c r="O131" s="275" t="str">
        <f t="shared" si="11"/>
        <v/>
      </c>
      <c r="P131" s="276" t="str">
        <f t="shared" si="12"/>
        <v/>
      </c>
      <c r="Q131" s="336" t="str">
        <f>IF(N131="","",VLOOKUP(B131,'C-1 On-Site WaterC'' Baseline'!$C$10:$AC$257,20,FALSE))</f>
        <v/>
      </c>
      <c r="R131" s="275" t="str">
        <f>IF(N131="","",VLOOKUP(N131,'G-7 WaterC'' Data'!$B$2:$G$8,2,FALSE))</f>
        <v/>
      </c>
      <c r="S131" s="276" t="str">
        <f>IFERROR(VLOOKUP(R131,'G-7 WaterC'' Data'!$C$4:$D$8,2,FALSE),"")</f>
        <v/>
      </c>
      <c r="T131" s="101"/>
      <c r="U131" s="276" t="str">
        <f>IFERROR(INDEX('G-7 WaterC'' Data'!$H$4:$L$8,MATCH(N131,'G-7 WaterC'' Data'!$B$4:$B$8,0),MATCH(T131,'G-7 WaterC'' Data'!$H$3:$L$3,0)),"")</f>
        <v/>
      </c>
      <c r="V131" s="101"/>
      <c r="W131" s="283" t="str">
        <f>IF(V131="","",IF(VLOOKUP(V131,'G-7 WaterC'' Data'!$AK$4:$AM$6,2,FALSE)=0,"Spatial Data Missing ⚠",VLOOKUP(V131,'G-7 WaterC'' Data'!$AK$4:$AM$6,2,FALSE)))</f>
        <v/>
      </c>
      <c r="X131" s="276" t="str">
        <f>IF(V131="","",IF(VLOOKUP(V131,'G-7 WaterC'' Data'!$AK$4:$AM$6,3,FALSE)=0,"Spatial Data Missing ⚠",VLOOKUP(V131,'G-7 WaterC'' Data'!$AK$4:$AM$6,3,FALSE)))</f>
        <v/>
      </c>
      <c r="Y131" s="275" t="str">
        <f>IFERROR(IF(OR(LEFT(P131,5)="Error",LEFT(O131,5)="Error"),"Check Data ⚠",IF(F131&lt;S131,'G-7 WaterC'' Data'!$R$3,INDEX('G-7 WaterC'' Data'!$U$5:$Y$9,MATCH(G131,'G-7 WaterC'' Data'!$T$5:$T$9,0),MATCH(T131,'G-7 WaterC'' Data'!$U$4:$Y$4,0)))),"")</f>
        <v/>
      </c>
      <c r="Z131" s="133"/>
      <c r="AA131" s="133"/>
      <c r="AB131" s="283" t="str">
        <f t="shared" si="13"/>
        <v/>
      </c>
      <c r="AC131" s="296" t="str">
        <f t="shared" si="14"/>
        <v/>
      </c>
      <c r="AD131" s="334" t="str">
        <f>IFERROR(IF(AC131="Check Data ⚠","Check Data ⚠",VLOOKUP(AC131,'G-4 Temporal multipliers'!$A$4:$C$37,3,FALSE)),"")</f>
        <v/>
      </c>
      <c r="AE131" s="275" t="str">
        <f>IF(N131="","",VLOOKUP(N131,'G-7 WaterC'' Data'!$B$4:$G$8,5,FALSE))</f>
        <v/>
      </c>
      <c r="AF131" s="283" t="str">
        <f t="shared" si="15"/>
        <v/>
      </c>
      <c r="AG131" s="314" t="str">
        <f t="shared" si="16"/>
        <v/>
      </c>
      <c r="AH131" s="276" t="str">
        <f t="shared" si="10"/>
        <v/>
      </c>
      <c r="AI131" s="105"/>
      <c r="AJ131" s="276" t="str">
        <f>IF(AI131="","",IF(AND(AI131="N/A - Culvert",N131&lt;&gt;"Culvert"),"Not possible ▲",IF(VLOOKUP(AI131,'G-7 WaterC'' Data'!$AA$4:$AB$7,2,FALSE)=0,"Spatial Data Missing ⚠",VLOOKUP(AI131,'G-7 WaterC'' Data'!$AA$4:$AB$7,2,FALSE))))</f>
        <v/>
      </c>
      <c r="AK131" s="106"/>
      <c r="AL131" s="276" t="str">
        <f>IF(AK131="","",IF(AND(AK131="N/A - Culvert",N131&lt;&gt;"Culvert"),"Not possible ▲",IF(VLOOKUP(AK131,'G-7 WaterC'' Data'!$AD$4:$AE$14,2,FALSE)=0,"Spatial Data Missing ⚠",VLOOKUP(AK131,'G-7 WaterC'' Data'!$AD$4:$AE$14,2,FALSE))))</f>
        <v/>
      </c>
      <c r="AM131" s="317" t="str">
        <f t="shared" si="17"/>
        <v/>
      </c>
      <c r="AN131" s="101"/>
      <c r="AO131" s="115"/>
      <c r="AP131" s="104"/>
      <c r="AS131" s="30" t="str">
        <f>IF(B131="","",IF(ISNA(VLOOKUP($B131,'C-1 On-Site WaterC'' Baseline'!$C$8:$AD$257,17,FALSE)),"",(VLOOKUP($B131,'C-1 On-Site WaterC'' Baseline'!$C$8:$AD$257,17,FALSE))))</f>
        <v/>
      </c>
      <c r="AT131" s="30" t="str">
        <f>IF(B131="","",VLOOKUP($B131,'C-1 On-Site WaterC'' Baseline'!$C$9:$Z$257,12,FALSE))</f>
        <v/>
      </c>
      <c r="AU131" s="30" t="str">
        <f>IF(B131="","",VLOOKUP($B131,'C-1 On-Site WaterC'' Baseline'!$C$9:$Z$257,14,FALSE))</f>
        <v/>
      </c>
      <c r="AV131" s="30" t="str">
        <f>IFERROR(INDEX('G-7 WaterC'' Data'!$AZ$3:$AZ$7,MATCH(N131,'G-7 WaterC'' Data'!$AY$3:$AY$7,0)),"")</f>
        <v/>
      </c>
      <c r="AX131" s="30" t="str">
        <f>IF(B131="","",VLOOKUP($B131,'C-1 On-Site WaterC'' Baseline'!$C$9:$Y$257,22,FALSE))</f>
        <v/>
      </c>
      <c r="AY131" s="30" t="str">
        <f t="shared" si="18"/>
        <v/>
      </c>
      <c r="AZ131" s="30" t="str">
        <f>IF(B131="","",VLOOKUP($B131,'C-1 On-Site WaterC'' Baseline'!$C$9:$Y$257,21,FALSE))</f>
        <v/>
      </c>
      <c r="BA131" s="30" t="str">
        <f>IF(B131="","",VLOOKUP($B131,'C-1 On-Site WaterC'' Baseline'!$C$9:$Y$257,19,FALSE))</f>
        <v/>
      </c>
      <c r="BD131" s="30" t="str">
        <f t="shared" si="19"/>
        <v>No</v>
      </c>
    </row>
    <row r="132" spans="2:56" ht="14">
      <c r="B132" s="305" t="str">
        <f>'C-1 On-Site WaterC'' Baseline'!AP130</f>
        <v/>
      </c>
      <c r="C132" s="295" t="str">
        <f>IF(B132="","",VLOOKUP($B132,'C-1 On-Site WaterC'' Baseline'!$C$9:$R$257,2,FALSE))</f>
        <v/>
      </c>
      <c r="D132" s="295" t="str">
        <f>IF(C132="","",VLOOKUP($B132,'C-1 On-Site WaterC'' Baseline'!$C$9:$R$257,3,FALSE))</f>
        <v/>
      </c>
      <c r="E132" s="295" t="str">
        <f>IF(D132="","",VLOOKUP($B132,'C-1 On-Site WaterC'' Baseline'!$C$9:$R$257,4,FALSE))</f>
        <v/>
      </c>
      <c r="F132" s="295" t="str">
        <f>IF(E132="","",VLOOKUP($B132,'C-1 On-Site WaterC'' Baseline'!$C$9:$R$257,5,FALSE))</f>
        <v/>
      </c>
      <c r="G132" s="295" t="str">
        <f>IF(F132="","",VLOOKUP($B132,'C-1 On-Site WaterC'' Baseline'!$C$9:$R$257,6,FALSE))</f>
        <v/>
      </c>
      <c r="H132" s="295" t="str">
        <f>IF(G132="","",VLOOKUP($B132,'C-1 On-Site WaterC'' Baseline'!$C$9:$R$257,7,FALSE))</f>
        <v/>
      </c>
      <c r="I132" s="295" t="str">
        <f>IF(H132="","",VLOOKUP($B132,'C-1 On-Site WaterC'' Baseline'!$C$9:$R$257,8,FALSE))</f>
        <v/>
      </c>
      <c r="J132" s="295" t="str">
        <f>IF(I132="","",VLOOKUP($B132,'C-1 On-Site WaterC'' Baseline'!$C$9:$R$257,9,FALSE))</f>
        <v/>
      </c>
      <c r="K132" s="295" t="str">
        <f>IF(J132="","",VLOOKUP($B132,'C-1 On-Site WaterC'' Baseline'!$C$9:$R$257,10,FALSE))</f>
        <v/>
      </c>
      <c r="L132" s="295" t="str">
        <f>IF(B132="","",VLOOKUP($B132,'C-1 On-Site WaterC'' Baseline'!$C$9:$R$257,15,FALSE))</f>
        <v/>
      </c>
      <c r="M132" s="299" t="str">
        <f>IF(L132="","",VLOOKUP($B132,'C-1 On-Site WaterC'' Baseline'!$C$9:$R$257,16,FALSE))</f>
        <v/>
      </c>
      <c r="N132" s="245"/>
      <c r="O132" s="275" t="str">
        <f t="shared" si="11"/>
        <v/>
      </c>
      <c r="P132" s="276" t="str">
        <f t="shared" si="12"/>
        <v/>
      </c>
      <c r="Q132" s="336" t="str">
        <f>IF(N132="","",VLOOKUP(B132,'C-1 On-Site WaterC'' Baseline'!$C$10:$AC$257,20,FALSE))</f>
        <v/>
      </c>
      <c r="R132" s="275" t="str">
        <f>IF(N132="","",VLOOKUP(N132,'G-7 WaterC'' Data'!$B$2:$G$8,2,FALSE))</f>
        <v/>
      </c>
      <c r="S132" s="276" t="str">
        <f>IFERROR(VLOOKUP(R132,'G-7 WaterC'' Data'!$C$4:$D$8,2,FALSE),"")</f>
        <v/>
      </c>
      <c r="T132" s="101"/>
      <c r="U132" s="276" t="str">
        <f>IFERROR(INDEX('G-7 WaterC'' Data'!$H$4:$L$8,MATCH(N132,'G-7 WaterC'' Data'!$B$4:$B$8,0),MATCH(T132,'G-7 WaterC'' Data'!$H$3:$L$3,0)),"")</f>
        <v/>
      </c>
      <c r="V132" s="101"/>
      <c r="W132" s="283" t="str">
        <f>IF(V132="","",IF(VLOOKUP(V132,'G-7 WaterC'' Data'!$AK$4:$AM$6,2,FALSE)=0,"Spatial Data Missing ⚠",VLOOKUP(V132,'G-7 WaterC'' Data'!$AK$4:$AM$6,2,FALSE)))</f>
        <v/>
      </c>
      <c r="X132" s="276" t="str">
        <f>IF(V132="","",IF(VLOOKUP(V132,'G-7 WaterC'' Data'!$AK$4:$AM$6,3,FALSE)=0,"Spatial Data Missing ⚠",VLOOKUP(V132,'G-7 WaterC'' Data'!$AK$4:$AM$6,3,FALSE)))</f>
        <v/>
      </c>
      <c r="Y132" s="275" t="str">
        <f>IFERROR(IF(OR(LEFT(P132,5)="Error",LEFT(O132,5)="Error"),"Check Data ⚠",IF(F132&lt;S132,'G-7 WaterC'' Data'!$R$3,INDEX('G-7 WaterC'' Data'!$U$5:$Y$9,MATCH(G132,'G-7 WaterC'' Data'!$T$5:$T$9,0),MATCH(T132,'G-7 WaterC'' Data'!$U$4:$Y$4,0)))),"")</f>
        <v/>
      </c>
      <c r="Z132" s="133"/>
      <c r="AA132" s="133"/>
      <c r="AB132" s="283" t="str">
        <f t="shared" si="13"/>
        <v/>
      </c>
      <c r="AC132" s="296" t="str">
        <f t="shared" si="14"/>
        <v/>
      </c>
      <c r="AD132" s="334" t="str">
        <f>IFERROR(IF(AC132="Check Data ⚠","Check Data ⚠",VLOOKUP(AC132,'G-4 Temporal multipliers'!$A$4:$C$37,3,FALSE)),"")</f>
        <v/>
      </c>
      <c r="AE132" s="275" t="str">
        <f>IF(N132="","",VLOOKUP(N132,'G-7 WaterC'' Data'!$B$4:$G$8,5,FALSE))</f>
        <v/>
      </c>
      <c r="AF132" s="283" t="str">
        <f t="shared" si="15"/>
        <v/>
      </c>
      <c r="AG132" s="314" t="str">
        <f t="shared" si="16"/>
        <v/>
      </c>
      <c r="AH132" s="276" t="str">
        <f t="shared" si="10"/>
        <v/>
      </c>
      <c r="AI132" s="105"/>
      <c r="AJ132" s="276" t="str">
        <f>IF(AI132="","",IF(AND(AI132="N/A - Culvert",N132&lt;&gt;"Culvert"),"Not possible ▲",IF(VLOOKUP(AI132,'G-7 WaterC'' Data'!$AA$4:$AB$7,2,FALSE)=0,"Spatial Data Missing ⚠",VLOOKUP(AI132,'G-7 WaterC'' Data'!$AA$4:$AB$7,2,FALSE))))</f>
        <v/>
      </c>
      <c r="AK132" s="106"/>
      <c r="AL132" s="276" t="str">
        <f>IF(AK132="","",IF(AND(AK132="N/A - Culvert",N132&lt;&gt;"Culvert"),"Not possible ▲",IF(VLOOKUP(AK132,'G-7 WaterC'' Data'!$AD$4:$AE$14,2,FALSE)=0,"Spatial Data Missing ⚠",VLOOKUP(AK132,'G-7 WaterC'' Data'!$AD$4:$AE$14,2,FALSE))))</f>
        <v/>
      </c>
      <c r="AM132" s="317" t="str">
        <f t="shared" si="17"/>
        <v/>
      </c>
      <c r="AN132" s="101"/>
      <c r="AO132" s="115"/>
      <c r="AP132" s="104"/>
      <c r="AS132" s="30" t="str">
        <f>IF(B132="","",IF(ISNA(VLOOKUP($B132,'C-1 On-Site WaterC'' Baseline'!$C$8:$AD$257,17,FALSE)),"",(VLOOKUP($B132,'C-1 On-Site WaterC'' Baseline'!$C$8:$AD$257,17,FALSE))))</f>
        <v/>
      </c>
      <c r="AT132" s="30" t="str">
        <f>IF(B132="","",VLOOKUP($B132,'C-1 On-Site WaterC'' Baseline'!$C$9:$Z$257,12,FALSE))</f>
        <v/>
      </c>
      <c r="AU132" s="30" t="str">
        <f>IF(B132="","",VLOOKUP($B132,'C-1 On-Site WaterC'' Baseline'!$C$9:$Z$257,14,FALSE))</f>
        <v/>
      </c>
      <c r="AV132" s="30" t="str">
        <f>IFERROR(INDEX('G-7 WaterC'' Data'!$AZ$3:$AZ$7,MATCH(N132,'G-7 WaterC'' Data'!$AY$3:$AY$7,0)),"")</f>
        <v/>
      </c>
      <c r="AX132" s="30" t="str">
        <f>IF(B132="","",VLOOKUP($B132,'C-1 On-Site WaterC'' Baseline'!$C$9:$Y$257,22,FALSE))</f>
        <v/>
      </c>
      <c r="AY132" s="30" t="str">
        <f t="shared" si="18"/>
        <v/>
      </c>
      <c r="AZ132" s="30" t="str">
        <f>IF(B132="","",VLOOKUP($B132,'C-1 On-Site WaterC'' Baseline'!$C$9:$Y$257,21,FALSE))</f>
        <v/>
      </c>
      <c r="BA132" s="30" t="str">
        <f>IF(B132="","",VLOOKUP($B132,'C-1 On-Site WaterC'' Baseline'!$C$9:$Y$257,19,FALSE))</f>
        <v/>
      </c>
      <c r="BD132" s="30" t="str">
        <f t="shared" si="19"/>
        <v>No</v>
      </c>
    </row>
    <row r="133" spans="2:56" ht="14">
      <c r="B133" s="305" t="str">
        <f>'C-1 On-Site WaterC'' Baseline'!AP131</f>
        <v/>
      </c>
      <c r="C133" s="295" t="str">
        <f>IF(B133="","",VLOOKUP($B133,'C-1 On-Site WaterC'' Baseline'!$C$9:$R$257,2,FALSE))</f>
        <v/>
      </c>
      <c r="D133" s="295" t="str">
        <f>IF(C133="","",VLOOKUP($B133,'C-1 On-Site WaterC'' Baseline'!$C$9:$R$257,3,FALSE))</f>
        <v/>
      </c>
      <c r="E133" s="295" t="str">
        <f>IF(D133="","",VLOOKUP($B133,'C-1 On-Site WaterC'' Baseline'!$C$9:$R$257,4,FALSE))</f>
        <v/>
      </c>
      <c r="F133" s="295" t="str">
        <f>IF(E133="","",VLOOKUP($B133,'C-1 On-Site WaterC'' Baseline'!$C$9:$R$257,5,FALSE))</f>
        <v/>
      </c>
      <c r="G133" s="295" t="str">
        <f>IF(F133="","",VLOOKUP($B133,'C-1 On-Site WaterC'' Baseline'!$C$9:$R$257,6,FALSE))</f>
        <v/>
      </c>
      <c r="H133" s="295" t="str">
        <f>IF(G133="","",VLOOKUP($B133,'C-1 On-Site WaterC'' Baseline'!$C$9:$R$257,7,FALSE))</f>
        <v/>
      </c>
      <c r="I133" s="295" t="str">
        <f>IF(H133="","",VLOOKUP($B133,'C-1 On-Site WaterC'' Baseline'!$C$9:$R$257,8,FALSE))</f>
        <v/>
      </c>
      <c r="J133" s="295" t="str">
        <f>IF(I133="","",VLOOKUP($B133,'C-1 On-Site WaterC'' Baseline'!$C$9:$R$257,9,FALSE))</f>
        <v/>
      </c>
      <c r="K133" s="295" t="str">
        <f>IF(J133="","",VLOOKUP($B133,'C-1 On-Site WaterC'' Baseline'!$C$9:$R$257,10,FALSE))</f>
        <v/>
      </c>
      <c r="L133" s="295" t="str">
        <f>IF(B133="","",VLOOKUP($B133,'C-1 On-Site WaterC'' Baseline'!$C$9:$R$257,15,FALSE))</f>
        <v/>
      </c>
      <c r="M133" s="299" t="str">
        <f>IF(L133="","",VLOOKUP($B133,'C-1 On-Site WaterC'' Baseline'!$C$9:$R$257,16,FALSE))</f>
        <v/>
      </c>
      <c r="N133" s="245"/>
      <c r="O133" s="275" t="str">
        <f t="shared" si="11"/>
        <v/>
      </c>
      <c r="P133" s="276" t="str">
        <f t="shared" si="12"/>
        <v/>
      </c>
      <c r="Q133" s="336" t="str">
        <f>IF(N133="","",VLOOKUP(B133,'C-1 On-Site WaterC'' Baseline'!$C$10:$AC$257,20,FALSE))</f>
        <v/>
      </c>
      <c r="R133" s="275" t="str">
        <f>IF(N133="","",VLOOKUP(N133,'G-7 WaterC'' Data'!$B$2:$G$8,2,FALSE))</f>
        <v/>
      </c>
      <c r="S133" s="276" t="str">
        <f>IFERROR(VLOOKUP(R133,'G-7 WaterC'' Data'!$C$4:$D$8,2,FALSE),"")</f>
        <v/>
      </c>
      <c r="T133" s="101"/>
      <c r="U133" s="276" t="str">
        <f>IFERROR(INDEX('G-7 WaterC'' Data'!$H$4:$L$8,MATCH(N133,'G-7 WaterC'' Data'!$B$4:$B$8,0),MATCH(T133,'G-7 WaterC'' Data'!$H$3:$L$3,0)),"")</f>
        <v/>
      </c>
      <c r="V133" s="101"/>
      <c r="W133" s="283" t="str">
        <f>IF(V133="","",IF(VLOOKUP(V133,'G-7 WaterC'' Data'!$AK$4:$AM$6,2,FALSE)=0,"Spatial Data Missing ⚠",VLOOKUP(V133,'G-7 WaterC'' Data'!$AK$4:$AM$6,2,FALSE)))</f>
        <v/>
      </c>
      <c r="X133" s="276" t="str">
        <f>IF(V133="","",IF(VLOOKUP(V133,'G-7 WaterC'' Data'!$AK$4:$AM$6,3,FALSE)=0,"Spatial Data Missing ⚠",VLOOKUP(V133,'G-7 WaterC'' Data'!$AK$4:$AM$6,3,FALSE)))</f>
        <v/>
      </c>
      <c r="Y133" s="275" t="str">
        <f>IFERROR(IF(OR(LEFT(P133,5)="Error",LEFT(O133,5)="Error"),"Check Data ⚠",IF(F133&lt;S133,'G-7 WaterC'' Data'!$R$3,INDEX('G-7 WaterC'' Data'!$U$5:$Y$9,MATCH(G133,'G-7 WaterC'' Data'!$T$5:$T$9,0),MATCH(T133,'G-7 WaterC'' Data'!$U$4:$Y$4,0)))),"")</f>
        <v/>
      </c>
      <c r="Z133" s="133"/>
      <c r="AA133" s="133"/>
      <c r="AB133" s="283" t="str">
        <f t="shared" si="13"/>
        <v/>
      </c>
      <c r="AC133" s="296" t="str">
        <f t="shared" si="14"/>
        <v/>
      </c>
      <c r="AD133" s="334" t="str">
        <f>IFERROR(IF(AC133="Check Data ⚠","Check Data ⚠",VLOOKUP(AC133,'G-4 Temporal multipliers'!$A$4:$C$37,3,FALSE)),"")</f>
        <v/>
      </c>
      <c r="AE133" s="275" t="str">
        <f>IF(N133="","",VLOOKUP(N133,'G-7 WaterC'' Data'!$B$4:$G$8,5,FALSE))</f>
        <v/>
      </c>
      <c r="AF133" s="283" t="str">
        <f t="shared" si="15"/>
        <v/>
      </c>
      <c r="AG133" s="314" t="str">
        <f t="shared" si="16"/>
        <v/>
      </c>
      <c r="AH133" s="276" t="str">
        <f t="shared" si="10"/>
        <v/>
      </c>
      <c r="AI133" s="105"/>
      <c r="AJ133" s="276" t="str">
        <f>IF(AI133="","",IF(AND(AI133="N/A - Culvert",N133&lt;&gt;"Culvert"),"Not possible ▲",IF(VLOOKUP(AI133,'G-7 WaterC'' Data'!$AA$4:$AB$7,2,FALSE)=0,"Spatial Data Missing ⚠",VLOOKUP(AI133,'G-7 WaterC'' Data'!$AA$4:$AB$7,2,FALSE))))</f>
        <v/>
      </c>
      <c r="AK133" s="106"/>
      <c r="AL133" s="276" t="str">
        <f>IF(AK133="","",IF(AND(AK133="N/A - Culvert",N133&lt;&gt;"Culvert"),"Not possible ▲",IF(VLOOKUP(AK133,'G-7 WaterC'' Data'!$AD$4:$AE$14,2,FALSE)=0,"Spatial Data Missing ⚠",VLOOKUP(AK133,'G-7 WaterC'' Data'!$AD$4:$AE$14,2,FALSE))))</f>
        <v/>
      </c>
      <c r="AM133" s="317" t="str">
        <f t="shared" si="17"/>
        <v/>
      </c>
      <c r="AN133" s="101"/>
      <c r="AO133" s="115"/>
      <c r="AP133" s="104"/>
      <c r="AS133" s="30" t="str">
        <f>IF(B133="","",IF(ISNA(VLOOKUP($B133,'C-1 On-Site WaterC'' Baseline'!$C$8:$AD$257,17,FALSE)),"",(VLOOKUP($B133,'C-1 On-Site WaterC'' Baseline'!$C$8:$AD$257,17,FALSE))))</f>
        <v/>
      </c>
      <c r="AT133" s="30" t="str">
        <f>IF(B133="","",VLOOKUP($B133,'C-1 On-Site WaterC'' Baseline'!$C$9:$Z$257,12,FALSE))</f>
        <v/>
      </c>
      <c r="AU133" s="30" t="str">
        <f>IF(B133="","",VLOOKUP($B133,'C-1 On-Site WaterC'' Baseline'!$C$9:$Z$257,14,FALSE))</f>
        <v/>
      </c>
      <c r="AV133" s="30" t="str">
        <f>IFERROR(INDEX('G-7 WaterC'' Data'!$AZ$3:$AZ$7,MATCH(N133,'G-7 WaterC'' Data'!$AY$3:$AY$7,0)),"")</f>
        <v/>
      </c>
      <c r="AX133" s="30" t="str">
        <f>IF(B133="","",VLOOKUP($B133,'C-1 On-Site WaterC'' Baseline'!$C$9:$Y$257,22,FALSE))</f>
        <v/>
      </c>
      <c r="AY133" s="30" t="str">
        <f t="shared" si="18"/>
        <v/>
      </c>
      <c r="AZ133" s="30" t="str">
        <f>IF(B133="","",VLOOKUP($B133,'C-1 On-Site WaterC'' Baseline'!$C$9:$Y$257,21,FALSE))</f>
        <v/>
      </c>
      <c r="BA133" s="30" t="str">
        <f>IF(B133="","",VLOOKUP($B133,'C-1 On-Site WaterC'' Baseline'!$C$9:$Y$257,19,FALSE))</f>
        <v/>
      </c>
      <c r="BD133" s="30" t="str">
        <f t="shared" si="19"/>
        <v>No</v>
      </c>
    </row>
    <row r="134" spans="2:56" ht="14">
      <c r="B134" s="305" t="str">
        <f>'C-1 On-Site WaterC'' Baseline'!AP132</f>
        <v/>
      </c>
      <c r="C134" s="295" t="str">
        <f>IF(B134="","",VLOOKUP($B134,'C-1 On-Site WaterC'' Baseline'!$C$9:$R$257,2,FALSE))</f>
        <v/>
      </c>
      <c r="D134" s="295" t="str">
        <f>IF(C134="","",VLOOKUP($B134,'C-1 On-Site WaterC'' Baseline'!$C$9:$R$257,3,FALSE))</f>
        <v/>
      </c>
      <c r="E134" s="295" t="str">
        <f>IF(D134="","",VLOOKUP($B134,'C-1 On-Site WaterC'' Baseline'!$C$9:$R$257,4,FALSE))</f>
        <v/>
      </c>
      <c r="F134" s="295" t="str">
        <f>IF(E134="","",VLOOKUP($B134,'C-1 On-Site WaterC'' Baseline'!$C$9:$R$257,5,FALSE))</f>
        <v/>
      </c>
      <c r="G134" s="295" t="str">
        <f>IF(F134="","",VLOOKUP($B134,'C-1 On-Site WaterC'' Baseline'!$C$9:$R$257,6,FALSE))</f>
        <v/>
      </c>
      <c r="H134" s="295" t="str">
        <f>IF(G134="","",VLOOKUP($B134,'C-1 On-Site WaterC'' Baseline'!$C$9:$R$257,7,FALSE))</f>
        <v/>
      </c>
      <c r="I134" s="295" t="str">
        <f>IF(H134="","",VLOOKUP($B134,'C-1 On-Site WaterC'' Baseline'!$C$9:$R$257,8,FALSE))</f>
        <v/>
      </c>
      <c r="J134" s="295" t="str">
        <f>IF(I134="","",VLOOKUP($B134,'C-1 On-Site WaterC'' Baseline'!$C$9:$R$257,9,FALSE))</f>
        <v/>
      </c>
      <c r="K134" s="295" t="str">
        <f>IF(J134="","",VLOOKUP($B134,'C-1 On-Site WaterC'' Baseline'!$C$9:$R$257,10,FALSE))</f>
        <v/>
      </c>
      <c r="L134" s="295" t="str">
        <f>IF(B134="","",VLOOKUP($B134,'C-1 On-Site WaterC'' Baseline'!$C$9:$R$257,15,FALSE))</f>
        <v/>
      </c>
      <c r="M134" s="299" t="str">
        <f>IF(L134="","",VLOOKUP($B134,'C-1 On-Site WaterC'' Baseline'!$C$9:$R$257,16,FALSE))</f>
        <v/>
      </c>
      <c r="N134" s="245"/>
      <c r="O134" s="275" t="str">
        <f t="shared" si="11"/>
        <v/>
      </c>
      <c r="P134" s="276" t="str">
        <f t="shared" si="12"/>
        <v/>
      </c>
      <c r="Q134" s="336" t="str">
        <f>IF(N134="","",VLOOKUP(B134,'C-1 On-Site WaterC'' Baseline'!$C$10:$AC$257,20,FALSE))</f>
        <v/>
      </c>
      <c r="R134" s="275" t="str">
        <f>IF(N134="","",VLOOKUP(N134,'G-7 WaterC'' Data'!$B$2:$G$8,2,FALSE))</f>
        <v/>
      </c>
      <c r="S134" s="276" t="str">
        <f>IFERROR(VLOOKUP(R134,'G-7 WaterC'' Data'!$C$4:$D$8,2,FALSE),"")</f>
        <v/>
      </c>
      <c r="T134" s="101"/>
      <c r="U134" s="276" t="str">
        <f>IFERROR(INDEX('G-7 WaterC'' Data'!$H$4:$L$8,MATCH(N134,'G-7 WaterC'' Data'!$B$4:$B$8,0),MATCH(T134,'G-7 WaterC'' Data'!$H$3:$L$3,0)),"")</f>
        <v/>
      </c>
      <c r="V134" s="101"/>
      <c r="W134" s="283" t="str">
        <f>IF(V134="","",IF(VLOOKUP(V134,'G-7 WaterC'' Data'!$AK$4:$AM$6,2,FALSE)=0,"Spatial Data Missing ⚠",VLOOKUP(V134,'G-7 WaterC'' Data'!$AK$4:$AM$6,2,FALSE)))</f>
        <v/>
      </c>
      <c r="X134" s="276" t="str">
        <f>IF(V134="","",IF(VLOOKUP(V134,'G-7 WaterC'' Data'!$AK$4:$AM$6,3,FALSE)=0,"Spatial Data Missing ⚠",VLOOKUP(V134,'G-7 WaterC'' Data'!$AK$4:$AM$6,3,FALSE)))</f>
        <v/>
      </c>
      <c r="Y134" s="275" t="str">
        <f>IFERROR(IF(OR(LEFT(P134,5)="Error",LEFT(O134,5)="Error"),"Check Data ⚠",IF(F134&lt;S134,'G-7 WaterC'' Data'!$R$3,INDEX('G-7 WaterC'' Data'!$U$5:$Y$9,MATCH(G134,'G-7 WaterC'' Data'!$T$5:$T$9,0),MATCH(T134,'G-7 WaterC'' Data'!$U$4:$Y$4,0)))),"")</f>
        <v/>
      </c>
      <c r="Z134" s="133"/>
      <c r="AA134" s="133"/>
      <c r="AB134" s="283" t="str">
        <f t="shared" si="13"/>
        <v/>
      </c>
      <c r="AC134" s="296" t="str">
        <f t="shared" si="14"/>
        <v/>
      </c>
      <c r="AD134" s="334" t="str">
        <f>IFERROR(IF(AC134="Check Data ⚠","Check Data ⚠",VLOOKUP(AC134,'G-4 Temporal multipliers'!$A$4:$C$37,3,FALSE)),"")</f>
        <v/>
      </c>
      <c r="AE134" s="275" t="str">
        <f>IF(N134="","",VLOOKUP(N134,'G-7 WaterC'' Data'!$B$4:$G$8,5,FALSE))</f>
        <v/>
      </c>
      <c r="AF134" s="283" t="str">
        <f t="shared" si="15"/>
        <v/>
      </c>
      <c r="AG134" s="314" t="str">
        <f t="shared" si="16"/>
        <v/>
      </c>
      <c r="AH134" s="276" t="str">
        <f t="shared" si="10"/>
        <v/>
      </c>
      <c r="AI134" s="105"/>
      <c r="AJ134" s="276" t="str">
        <f>IF(AI134="","",IF(AND(AI134="N/A - Culvert",N134&lt;&gt;"Culvert"),"Not possible ▲",IF(VLOOKUP(AI134,'G-7 WaterC'' Data'!$AA$4:$AB$7,2,FALSE)=0,"Spatial Data Missing ⚠",VLOOKUP(AI134,'G-7 WaterC'' Data'!$AA$4:$AB$7,2,FALSE))))</f>
        <v/>
      </c>
      <c r="AK134" s="106"/>
      <c r="AL134" s="276" t="str">
        <f>IF(AK134="","",IF(AND(AK134="N/A - Culvert",N134&lt;&gt;"Culvert"),"Not possible ▲",IF(VLOOKUP(AK134,'G-7 WaterC'' Data'!$AD$4:$AE$14,2,FALSE)=0,"Spatial Data Missing ⚠",VLOOKUP(AK134,'G-7 WaterC'' Data'!$AD$4:$AE$14,2,FALSE))))</f>
        <v/>
      </c>
      <c r="AM134" s="317" t="str">
        <f t="shared" si="17"/>
        <v/>
      </c>
      <c r="AN134" s="101"/>
      <c r="AO134" s="115"/>
      <c r="AP134" s="104"/>
      <c r="AS134" s="30" t="str">
        <f>IF(B134="","",IF(ISNA(VLOOKUP($B134,'C-1 On-Site WaterC'' Baseline'!$C$8:$AD$257,17,FALSE)),"",(VLOOKUP($B134,'C-1 On-Site WaterC'' Baseline'!$C$8:$AD$257,17,FALSE))))</f>
        <v/>
      </c>
      <c r="AT134" s="30" t="str">
        <f>IF(B134="","",VLOOKUP($B134,'C-1 On-Site WaterC'' Baseline'!$C$9:$Z$257,12,FALSE))</f>
        <v/>
      </c>
      <c r="AU134" s="30" t="str">
        <f>IF(B134="","",VLOOKUP($B134,'C-1 On-Site WaterC'' Baseline'!$C$9:$Z$257,14,FALSE))</f>
        <v/>
      </c>
      <c r="AV134" s="30" t="str">
        <f>IFERROR(INDEX('G-7 WaterC'' Data'!$AZ$3:$AZ$7,MATCH(N134,'G-7 WaterC'' Data'!$AY$3:$AY$7,0)),"")</f>
        <v/>
      </c>
      <c r="AX134" s="30" t="str">
        <f>IF(B134="","",VLOOKUP($B134,'C-1 On-Site WaterC'' Baseline'!$C$9:$Y$257,22,FALSE))</f>
        <v/>
      </c>
      <c r="AY134" s="30" t="str">
        <f t="shared" si="18"/>
        <v/>
      </c>
      <c r="AZ134" s="30" t="str">
        <f>IF(B134="","",VLOOKUP($B134,'C-1 On-Site WaterC'' Baseline'!$C$9:$Y$257,21,FALSE))</f>
        <v/>
      </c>
      <c r="BA134" s="30" t="str">
        <f>IF(B134="","",VLOOKUP($B134,'C-1 On-Site WaterC'' Baseline'!$C$9:$Y$257,19,FALSE))</f>
        <v/>
      </c>
      <c r="BD134" s="30" t="str">
        <f t="shared" si="19"/>
        <v>No</v>
      </c>
    </row>
    <row r="135" spans="2:56" ht="14">
      <c r="B135" s="305" t="str">
        <f>'C-1 On-Site WaterC'' Baseline'!AP133</f>
        <v/>
      </c>
      <c r="C135" s="295" t="str">
        <f>IF(B135="","",VLOOKUP($B135,'C-1 On-Site WaterC'' Baseline'!$C$9:$R$257,2,FALSE))</f>
        <v/>
      </c>
      <c r="D135" s="295" t="str">
        <f>IF(C135="","",VLOOKUP($B135,'C-1 On-Site WaterC'' Baseline'!$C$9:$R$257,3,FALSE))</f>
        <v/>
      </c>
      <c r="E135" s="295" t="str">
        <f>IF(D135="","",VLOOKUP($B135,'C-1 On-Site WaterC'' Baseline'!$C$9:$R$257,4,FALSE))</f>
        <v/>
      </c>
      <c r="F135" s="295" t="str">
        <f>IF(E135="","",VLOOKUP($B135,'C-1 On-Site WaterC'' Baseline'!$C$9:$R$257,5,FALSE))</f>
        <v/>
      </c>
      <c r="G135" s="295" t="str">
        <f>IF(F135="","",VLOOKUP($B135,'C-1 On-Site WaterC'' Baseline'!$C$9:$R$257,6,FALSE))</f>
        <v/>
      </c>
      <c r="H135" s="295" t="str">
        <f>IF(G135="","",VLOOKUP($B135,'C-1 On-Site WaterC'' Baseline'!$C$9:$R$257,7,FALSE))</f>
        <v/>
      </c>
      <c r="I135" s="295" t="str">
        <f>IF(H135="","",VLOOKUP($B135,'C-1 On-Site WaterC'' Baseline'!$C$9:$R$257,8,FALSE))</f>
        <v/>
      </c>
      <c r="J135" s="295" t="str">
        <f>IF(I135="","",VLOOKUP($B135,'C-1 On-Site WaterC'' Baseline'!$C$9:$R$257,9,FALSE))</f>
        <v/>
      </c>
      <c r="K135" s="295" t="str">
        <f>IF(J135="","",VLOOKUP($B135,'C-1 On-Site WaterC'' Baseline'!$C$9:$R$257,10,FALSE))</f>
        <v/>
      </c>
      <c r="L135" s="295" t="str">
        <f>IF(B135="","",VLOOKUP($B135,'C-1 On-Site WaterC'' Baseline'!$C$9:$R$257,15,FALSE))</f>
        <v/>
      </c>
      <c r="M135" s="299" t="str">
        <f>IF(L135="","",VLOOKUP($B135,'C-1 On-Site WaterC'' Baseline'!$C$9:$R$257,16,FALSE))</f>
        <v/>
      </c>
      <c r="N135" s="245"/>
      <c r="O135" s="275" t="str">
        <f t="shared" si="11"/>
        <v/>
      </c>
      <c r="P135" s="276" t="str">
        <f t="shared" si="12"/>
        <v/>
      </c>
      <c r="Q135" s="336" t="str">
        <f>IF(N135="","",VLOOKUP(B135,'C-1 On-Site WaterC'' Baseline'!$C$10:$AC$257,20,FALSE))</f>
        <v/>
      </c>
      <c r="R135" s="275" t="str">
        <f>IF(N135="","",VLOOKUP(N135,'G-7 WaterC'' Data'!$B$2:$G$8,2,FALSE))</f>
        <v/>
      </c>
      <c r="S135" s="276" t="str">
        <f>IFERROR(VLOOKUP(R135,'G-7 WaterC'' Data'!$C$4:$D$8,2,FALSE),"")</f>
        <v/>
      </c>
      <c r="T135" s="101"/>
      <c r="U135" s="276" t="str">
        <f>IFERROR(INDEX('G-7 WaterC'' Data'!$H$4:$L$8,MATCH(N135,'G-7 WaterC'' Data'!$B$4:$B$8,0),MATCH(T135,'G-7 WaterC'' Data'!$H$3:$L$3,0)),"")</f>
        <v/>
      </c>
      <c r="V135" s="101"/>
      <c r="W135" s="283" t="str">
        <f>IF(V135="","",IF(VLOOKUP(V135,'G-7 WaterC'' Data'!$AK$4:$AM$6,2,FALSE)=0,"Spatial Data Missing ⚠",VLOOKUP(V135,'G-7 WaterC'' Data'!$AK$4:$AM$6,2,FALSE)))</f>
        <v/>
      </c>
      <c r="X135" s="276" t="str">
        <f>IF(V135="","",IF(VLOOKUP(V135,'G-7 WaterC'' Data'!$AK$4:$AM$6,3,FALSE)=0,"Spatial Data Missing ⚠",VLOOKUP(V135,'G-7 WaterC'' Data'!$AK$4:$AM$6,3,FALSE)))</f>
        <v/>
      </c>
      <c r="Y135" s="275" t="str">
        <f>IFERROR(IF(OR(LEFT(P135,5)="Error",LEFT(O135,5)="Error"),"Check Data ⚠",IF(F135&lt;S135,'G-7 WaterC'' Data'!$R$3,INDEX('G-7 WaterC'' Data'!$U$5:$Y$9,MATCH(G135,'G-7 WaterC'' Data'!$T$5:$T$9,0),MATCH(T135,'G-7 WaterC'' Data'!$U$4:$Y$4,0)))),"")</f>
        <v/>
      </c>
      <c r="Z135" s="133"/>
      <c r="AA135" s="133"/>
      <c r="AB135" s="283" t="str">
        <f t="shared" si="13"/>
        <v/>
      </c>
      <c r="AC135" s="296" t="str">
        <f t="shared" si="14"/>
        <v/>
      </c>
      <c r="AD135" s="334" t="str">
        <f>IFERROR(IF(AC135="Check Data ⚠","Check Data ⚠",VLOOKUP(AC135,'G-4 Temporal multipliers'!$A$4:$C$37,3,FALSE)),"")</f>
        <v/>
      </c>
      <c r="AE135" s="275" t="str">
        <f>IF(N135="","",VLOOKUP(N135,'G-7 WaterC'' Data'!$B$4:$G$8,5,FALSE))</f>
        <v/>
      </c>
      <c r="AF135" s="283" t="str">
        <f t="shared" si="15"/>
        <v/>
      </c>
      <c r="AG135" s="314" t="str">
        <f t="shared" si="16"/>
        <v/>
      </c>
      <c r="AH135" s="276" t="str">
        <f t="shared" si="10"/>
        <v/>
      </c>
      <c r="AI135" s="105"/>
      <c r="AJ135" s="276" t="str">
        <f>IF(AI135="","",IF(AND(AI135="N/A - Culvert",N135&lt;&gt;"Culvert"),"Not possible ▲",IF(VLOOKUP(AI135,'G-7 WaterC'' Data'!$AA$4:$AB$7,2,FALSE)=0,"Spatial Data Missing ⚠",VLOOKUP(AI135,'G-7 WaterC'' Data'!$AA$4:$AB$7,2,FALSE))))</f>
        <v/>
      </c>
      <c r="AK135" s="106"/>
      <c r="AL135" s="276" t="str">
        <f>IF(AK135="","",IF(AND(AK135="N/A - Culvert",N135&lt;&gt;"Culvert"),"Not possible ▲",IF(VLOOKUP(AK135,'G-7 WaterC'' Data'!$AD$4:$AE$14,2,FALSE)=0,"Spatial Data Missing ⚠",VLOOKUP(AK135,'G-7 WaterC'' Data'!$AD$4:$AE$14,2,FALSE))))</f>
        <v/>
      </c>
      <c r="AM135" s="317" t="str">
        <f t="shared" si="17"/>
        <v/>
      </c>
      <c r="AN135" s="101"/>
      <c r="AO135" s="115"/>
      <c r="AP135" s="104"/>
      <c r="AS135" s="30" t="str">
        <f>IF(B135="","",IF(ISNA(VLOOKUP($B135,'C-1 On-Site WaterC'' Baseline'!$C$8:$AD$257,17,FALSE)),"",(VLOOKUP($B135,'C-1 On-Site WaterC'' Baseline'!$C$8:$AD$257,17,FALSE))))</f>
        <v/>
      </c>
      <c r="AT135" s="30" t="str">
        <f>IF(B135="","",VLOOKUP($B135,'C-1 On-Site WaterC'' Baseline'!$C$9:$Z$257,12,FALSE))</f>
        <v/>
      </c>
      <c r="AU135" s="30" t="str">
        <f>IF(B135="","",VLOOKUP($B135,'C-1 On-Site WaterC'' Baseline'!$C$9:$Z$257,14,FALSE))</f>
        <v/>
      </c>
      <c r="AV135" s="30" t="str">
        <f>IFERROR(INDEX('G-7 WaterC'' Data'!$AZ$3:$AZ$7,MATCH(N135,'G-7 WaterC'' Data'!$AY$3:$AY$7,0)),"")</f>
        <v/>
      </c>
      <c r="AX135" s="30" t="str">
        <f>IF(B135="","",VLOOKUP($B135,'C-1 On-Site WaterC'' Baseline'!$C$9:$Y$257,22,FALSE))</f>
        <v/>
      </c>
      <c r="AY135" s="30" t="str">
        <f t="shared" si="18"/>
        <v/>
      </c>
      <c r="AZ135" s="30" t="str">
        <f>IF(B135="","",VLOOKUP($B135,'C-1 On-Site WaterC'' Baseline'!$C$9:$Y$257,21,FALSE))</f>
        <v/>
      </c>
      <c r="BA135" s="30" t="str">
        <f>IF(B135="","",VLOOKUP($B135,'C-1 On-Site WaterC'' Baseline'!$C$9:$Y$257,19,FALSE))</f>
        <v/>
      </c>
      <c r="BD135" s="30" t="str">
        <f t="shared" si="19"/>
        <v>No</v>
      </c>
    </row>
    <row r="136" spans="2:56" ht="14">
      <c r="B136" s="305" t="str">
        <f>'C-1 On-Site WaterC'' Baseline'!AP134</f>
        <v/>
      </c>
      <c r="C136" s="295" t="str">
        <f>IF(B136="","",VLOOKUP($B136,'C-1 On-Site WaterC'' Baseline'!$C$9:$R$257,2,FALSE))</f>
        <v/>
      </c>
      <c r="D136" s="295" t="str">
        <f>IF(C136="","",VLOOKUP($B136,'C-1 On-Site WaterC'' Baseline'!$C$9:$R$257,3,FALSE))</f>
        <v/>
      </c>
      <c r="E136" s="295" t="str">
        <f>IF(D136="","",VLOOKUP($B136,'C-1 On-Site WaterC'' Baseline'!$C$9:$R$257,4,FALSE))</f>
        <v/>
      </c>
      <c r="F136" s="295" t="str">
        <f>IF(E136="","",VLOOKUP($B136,'C-1 On-Site WaterC'' Baseline'!$C$9:$R$257,5,FALSE))</f>
        <v/>
      </c>
      <c r="G136" s="295" t="str">
        <f>IF(F136="","",VLOOKUP($B136,'C-1 On-Site WaterC'' Baseline'!$C$9:$R$257,6,FALSE))</f>
        <v/>
      </c>
      <c r="H136" s="295" t="str">
        <f>IF(G136="","",VLOOKUP($B136,'C-1 On-Site WaterC'' Baseline'!$C$9:$R$257,7,FALSE))</f>
        <v/>
      </c>
      <c r="I136" s="295" t="str">
        <f>IF(H136="","",VLOOKUP($B136,'C-1 On-Site WaterC'' Baseline'!$C$9:$R$257,8,FALSE))</f>
        <v/>
      </c>
      <c r="J136" s="295" t="str">
        <f>IF(I136="","",VLOOKUP($B136,'C-1 On-Site WaterC'' Baseline'!$C$9:$R$257,9,FALSE))</f>
        <v/>
      </c>
      <c r="K136" s="295" t="str">
        <f>IF(J136="","",VLOOKUP($B136,'C-1 On-Site WaterC'' Baseline'!$C$9:$R$257,10,FALSE))</f>
        <v/>
      </c>
      <c r="L136" s="295" t="str">
        <f>IF(B136="","",VLOOKUP($B136,'C-1 On-Site WaterC'' Baseline'!$C$9:$R$257,15,FALSE))</f>
        <v/>
      </c>
      <c r="M136" s="299" t="str">
        <f>IF(L136="","",VLOOKUP($B136,'C-1 On-Site WaterC'' Baseline'!$C$9:$R$257,16,FALSE))</f>
        <v/>
      </c>
      <c r="N136" s="245"/>
      <c r="O136" s="275" t="str">
        <f t="shared" si="11"/>
        <v/>
      </c>
      <c r="P136" s="276" t="str">
        <f t="shared" si="12"/>
        <v/>
      </c>
      <c r="Q136" s="336" t="str">
        <f>IF(N136="","",VLOOKUP(B136,'C-1 On-Site WaterC'' Baseline'!$C$10:$AC$257,20,FALSE))</f>
        <v/>
      </c>
      <c r="R136" s="275" t="str">
        <f>IF(N136="","",VLOOKUP(N136,'G-7 WaterC'' Data'!$B$2:$G$8,2,FALSE))</f>
        <v/>
      </c>
      <c r="S136" s="276" t="str">
        <f>IFERROR(VLOOKUP(R136,'G-7 WaterC'' Data'!$C$4:$D$8,2,FALSE),"")</f>
        <v/>
      </c>
      <c r="T136" s="101"/>
      <c r="U136" s="276" t="str">
        <f>IFERROR(INDEX('G-7 WaterC'' Data'!$H$4:$L$8,MATCH(N136,'G-7 WaterC'' Data'!$B$4:$B$8,0),MATCH(T136,'G-7 WaterC'' Data'!$H$3:$L$3,0)),"")</f>
        <v/>
      </c>
      <c r="V136" s="101"/>
      <c r="W136" s="283" t="str">
        <f>IF(V136="","",IF(VLOOKUP(V136,'G-7 WaterC'' Data'!$AK$4:$AM$6,2,FALSE)=0,"Spatial Data Missing ⚠",VLOOKUP(V136,'G-7 WaterC'' Data'!$AK$4:$AM$6,2,FALSE)))</f>
        <v/>
      </c>
      <c r="X136" s="276" t="str">
        <f>IF(V136="","",IF(VLOOKUP(V136,'G-7 WaterC'' Data'!$AK$4:$AM$6,3,FALSE)=0,"Spatial Data Missing ⚠",VLOOKUP(V136,'G-7 WaterC'' Data'!$AK$4:$AM$6,3,FALSE)))</f>
        <v/>
      </c>
      <c r="Y136" s="275" t="str">
        <f>IFERROR(IF(OR(LEFT(P136,5)="Error",LEFT(O136,5)="Error"),"Check Data ⚠",IF(F136&lt;S136,'G-7 WaterC'' Data'!$R$3,INDEX('G-7 WaterC'' Data'!$U$5:$Y$9,MATCH(G136,'G-7 WaterC'' Data'!$T$5:$T$9,0),MATCH(T136,'G-7 WaterC'' Data'!$U$4:$Y$4,0)))),"")</f>
        <v/>
      </c>
      <c r="Z136" s="133"/>
      <c r="AA136" s="133"/>
      <c r="AB136" s="283" t="str">
        <f t="shared" si="13"/>
        <v/>
      </c>
      <c r="AC136" s="296" t="str">
        <f t="shared" si="14"/>
        <v/>
      </c>
      <c r="AD136" s="334" t="str">
        <f>IFERROR(IF(AC136="Check Data ⚠","Check Data ⚠",VLOOKUP(AC136,'G-4 Temporal multipliers'!$A$4:$C$37,3,FALSE)),"")</f>
        <v/>
      </c>
      <c r="AE136" s="275" t="str">
        <f>IF(N136="","",VLOOKUP(N136,'G-7 WaterC'' Data'!$B$4:$G$8,5,FALSE))</f>
        <v/>
      </c>
      <c r="AF136" s="283" t="str">
        <f t="shared" si="15"/>
        <v/>
      </c>
      <c r="AG136" s="314" t="str">
        <f t="shared" si="16"/>
        <v/>
      </c>
      <c r="AH136" s="276" t="str">
        <f t="shared" si="10"/>
        <v/>
      </c>
      <c r="AI136" s="105"/>
      <c r="AJ136" s="276" t="str">
        <f>IF(AI136="","",IF(AND(AI136="N/A - Culvert",N136&lt;&gt;"Culvert"),"Not possible ▲",IF(VLOOKUP(AI136,'G-7 WaterC'' Data'!$AA$4:$AB$7,2,FALSE)=0,"Spatial Data Missing ⚠",VLOOKUP(AI136,'G-7 WaterC'' Data'!$AA$4:$AB$7,2,FALSE))))</f>
        <v/>
      </c>
      <c r="AK136" s="106"/>
      <c r="AL136" s="276" t="str">
        <f>IF(AK136="","",IF(AND(AK136="N/A - Culvert",N136&lt;&gt;"Culvert"),"Not possible ▲",IF(VLOOKUP(AK136,'G-7 WaterC'' Data'!$AD$4:$AE$14,2,FALSE)=0,"Spatial Data Missing ⚠",VLOOKUP(AK136,'G-7 WaterC'' Data'!$AD$4:$AE$14,2,FALSE))))</f>
        <v/>
      </c>
      <c r="AM136" s="317" t="str">
        <f t="shared" si="17"/>
        <v/>
      </c>
      <c r="AN136" s="101"/>
      <c r="AO136" s="115"/>
      <c r="AP136" s="104"/>
      <c r="AS136" s="30" t="str">
        <f>IF(B136="","",IF(ISNA(VLOOKUP($B136,'C-1 On-Site WaterC'' Baseline'!$C$8:$AD$257,17,FALSE)),"",(VLOOKUP($B136,'C-1 On-Site WaterC'' Baseline'!$C$8:$AD$257,17,FALSE))))</f>
        <v/>
      </c>
      <c r="AT136" s="30" t="str">
        <f>IF(B136="","",VLOOKUP($B136,'C-1 On-Site WaterC'' Baseline'!$C$9:$Z$257,12,FALSE))</f>
        <v/>
      </c>
      <c r="AU136" s="30" t="str">
        <f>IF(B136="","",VLOOKUP($B136,'C-1 On-Site WaterC'' Baseline'!$C$9:$Z$257,14,FALSE))</f>
        <v/>
      </c>
      <c r="AV136" s="30" t="str">
        <f>IFERROR(INDEX('G-7 WaterC'' Data'!$AZ$3:$AZ$7,MATCH(N136,'G-7 WaterC'' Data'!$AY$3:$AY$7,0)),"")</f>
        <v/>
      </c>
      <c r="AX136" s="30" t="str">
        <f>IF(B136="","",VLOOKUP($B136,'C-1 On-Site WaterC'' Baseline'!$C$9:$Y$257,22,FALSE))</f>
        <v/>
      </c>
      <c r="AY136" s="30" t="str">
        <f t="shared" si="18"/>
        <v/>
      </c>
      <c r="AZ136" s="30" t="str">
        <f>IF(B136="","",VLOOKUP($B136,'C-1 On-Site WaterC'' Baseline'!$C$9:$Y$257,21,FALSE))</f>
        <v/>
      </c>
      <c r="BA136" s="30" t="str">
        <f>IF(B136="","",VLOOKUP($B136,'C-1 On-Site WaterC'' Baseline'!$C$9:$Y$257,19,FALSE))</f>
        <v/>
      </c>
      <c r="BD136" s="30" t="str">
        <f t="shared" si="19"/>
        <v>No</v>
      </c>
    </row>
    <row r="137" spans="2:56" ht="14">
      <c r="B137" s="305" t="str">
        <f>'C-1 On-Site WaterC'' Baseline'!AP135</f>
        <v/>
      </c>
      <c r="C137" s="295" t="str">
        <f>IF(B137="","",VLOOKUP($B137,'C-1 On-Site WaterC'' Baseline'!$C$9:$R$257,2,FALSE))</f>
        <v/>
      </c>
      <c r="D137" s="295" t="str">
        <f>IF(C137="","",VLOOKUP($B137,'C-1 On-Site WaterC'' Baseline'!$C$9:$R$257,3,FALSE))</f>
        <v/>
      </c>
      <c r="E137" s="295" t="str">
        <f>IF(D137="","",VLOOKUP($B137,'C-1 On-Site WaterC'' Baseline'!$C$9:$R$257,4,FALSE))</f>
        <v/>
      </c>
      <c r="F137" s="295" t="str">
        <f>IF(E137="","",VLOOKUP($B137,'C-1 On-Site WaterC'' Baseline'!$C$9:$R$257,5,FALSE))</f>
        <v/>
      </c>
      <c r="G137" s="295" t="str">
        <f>IF(F137="","",VLOOKUP($B137,'C-1 On-Site WaterC'' Baseline'!$C$9:$R$257,6,FALSE))</f>
        <v/>
      </c>
      <c r="H137" s="295" t="str">
        <f>IF(G137="","",VLOOKUP($B137,'C-1 On-Site WaterC'' Baseline'!$C$9:$R$257,7,FALSE))</f>
        <v/>
      </c>
      <c r="I137" s="295" t="str">
        <f>IF(H137="","",VLOOKUP($B137,'C-1 On-Site WaterC'' Baseline'!$C$9:$R$257,8,FALSE))</f>
        <v/>
      </c>
      <c r="J137" s="295" t="str">
        <f>IF(I137="","",VLOOKUP($B137,'C-1 On-Site WaterC'' Baseline'!$C$9:$R$257,9,FALSE))</f>
        <v/>
      </c>
      <c r="K137" s="295" t="str">
        <f>IF(J137="","",VLOOKUP($B137,'C-1 On-Site WaterC'' Baseline'!$C$9:$R$257,10,FALSE))</f>
        <v/>
      </c>
      <c r="L137" s="295" t="str">
        <f>IF(B137="","",VLOOKUP($B137,'C-1 On-Site WaterC'' Baseline'!$C$9:$R$257,15,FALSE))</f>
        <v/>
      </c>
      <c r="M137" s="299" t="str">
        <f>IF(L137="","",VLOOKUP($B137,'C-1 On-Site WaterC'' Baseline'!$C$9:$R$257,16,FALSE))</f>
        <v/>
      </c>
      <c r="N137" s="245"/>
      <c r="O137" s="275" t="str">
        <f t="shared" si="11"/>
        <v/>
      </c>
      <c r="P137" s="276" t="str">
        <f t="shared" si="12"/>
        <v/>
      </c>
      <c r="Q137" s="336" t="str">
        <f>IF(N137="","",VLOOKUP(B137,'C-1 On-Site WaterC'' Baseline'!$C$10:$AC$257,20,FALSE))</f>
        <v/>
      </c>
      <c r="R137" s="275" t="str">
        <f>IF(N137="","",VLOOKUP(N137,'G-7 WaterC'' Data'!$B$2:$G$8,2,FALSE))</f>
        <v/>
      </c>
      <c r="S137" s="276" t="str">
        <f>IFERROR(VLOOKUP(R137,'G-7 WaterC'' Data'!$C$4:$D$8,2,FALSE),"")</f>
        <v/>
      </c>
      <c r="T137" s="101"/>
      <c r="U137" s="276" t="str">
        <f>IFERROR(INDEX('G-7 WaterC'' Data'!$H$4:$L$8,MATCH(N137,'G-7 WaterC'' Data'!$B$4:$B$8,0),MATCH(T137,'G-7 WaterC'' Data'!$H$3:$L$3,0)),"")</f>
        <v/>
      </c>
      <c r="V137" s="101"/>
      <c r="W137" s="283" t="str">
        <f>IF(V137="","",IF(VLOOKUP(V137,'G-7 WaterC'' Data'!$AK$4:$AM$6,2,FALSE)=0,"Spatial Data Missing ⚠",VLOOKUP(V137,'G-7 WaterC'' Data'!$AK$4:$AM$6,2,FALSE)))</f>
        <v/>
      </c>
      <c r="X137" s="276" t="str">
        <f>IF(V137="","",IF(VLOOKUP(V137,'G-7 WaterC'' Data'!$AK$4:$AM$6,3,FALSE)=0,"Spatial Data Missing ⚠",VLOOKUP(V137,'G-7 WaterC'' Data'!$AK$4:$AM$6,3,FALSE)))</f>
        <v/>
      </c>
      <c r="Y137" s="275" t="str">
        <f>IFERROR(IF(OR(LEFT(P137,5)="Error",LEFT(O137,5)="Error"),"Check Data ⚠",IF(F137&lt;S137,'G-7 WaterC'' Data'!$R$3,INDEX('G-7 WaterC'' Data'!$U$5:$Y$9,MATCH(G137,'G-7 WaterC'' Data'!$T$5:$T$9,0),MATCH(T137,'G-7 WaterC'' Data'!$U$4:$Y$4,0)))),"")</f>
        <v/>
      </c>
      <c r="Z137" s="133"/>
      <c r="AA137" s="133"/>
      <c r="AB137" s="283" t="str">
        <f t="shared" si="13"/>
        <v/>
      </c>
      <c r="AC137" s="296" t="str">
        <f t="shared" si="14"/>
        <v/>
      </c>
      <c r="AD137" s="334" t="str">
        <f>IFERROR(IF(AC137="Check Data ⚠","Check Data ⚠",VLOOKUP(AC137,'G-4 Temporal multipliers'!$A$4:$C$37,3,FALSE)),"")</f>
        <v/>
      </c>
      <c r="AE137" s="275" t="str">
        <f>IF(N137="","",VLOOKUP(N137,'G-7 WaterC'' Data'!$B$4:$G$8,5,FALSE))</f>
        <v/>
      </c>
      <c r="AF137" s="283" t="str">
        <f t="shared" si="15"/>
        <v/>
      </c>
      <c r="AG137" s="314" t="str">
        <f t="shared" si="16"/>
        <v/>
      </c>
      <c r="AH137" s="276" t="str">
        <f t="shared" si="10"/>
        <v/>
      </c>
      <c r="AI137" s="105"/>
      <c r="AJ137" s="276" t="str">
        <f>IF(AI137="","",IF(AND(AI137="N/A - Culvert",N137&lt;&gt;"Culvert"),"Not possible ▲",IF(VLOOKUP(AI137,'G-7 WaterC'' Data'!$AA$4:$AB$7,2,FALSE)=0,"Spatial Data Missing ⚠",VLOOKUP(AI137,'G-7 WaterC'' Data'!$AA$4:$AB$7,2,FALSE))))</f>
        <v/>
      </c>
      <c r="AK137" s="106"/>
      <c r="AL137" s="276" t="str">
        <f>IF(AK137="","",IF(AND(AK137="N/A - Culvert",N137&lt;&gt;"Culvert"),"Not possible ▲",IF(VLOOKUP(AK137,'G-7 WaterC'' Data'!$AD$4:$AE$14,2,FALSE)=0,"Spatial Data Missing ⚠",VLOOKUP(AK137,'G-7 WaterC'' Data'!$AD$4:$AE$14,2,FALSE))))</f>
        <v/>
      </c>
      <c r="AM137" s="317" t="str">
        <f t="shared" si="17"/>
        <v/>
      </c>
      <c r="AN137" s="101"/>
      <c r="AO137" s="115"/>
      <c r="AP137" s="104"/>
      <c r="AS137" s="30" t="str">
        <f>IF(B137="","",IF(ISNA(VLOOKUP($B137,'C-1 On-Site WaterC'' Baseline'!$C$8:$AD$257,17,FALSE)),"",(VLOOKUP($B137,'C-1 On-Site WaterC'' Baseline'!$C$8:$AD$257,17,FALSE))))</f>
        <v/>
      </c>
      <c r="AT137" s="30" t="str">
        <f>IF(B137="","",VLOOKUP($B137,'C-1 On-Site WaterC'' Baseline'!$C$9:$Z$257,12,FALSE))</f>
        <v/>
      </c>
      <c r="AU137" s="30" t="str">
        <f>IF(B137="","",VLOOKUP($B137,'C-1 On-Site WaterC'' Baseline'!$C$9:$Z$257,14,FALSE))</f>
        <v/>
      </c>
      <c r="AV137" s="30" t="str">
        <f>IFERROR(INDEX('G-7 WaterC'' Data'!$AZ$3:$AZ$7,MATCH(N137,'G-7 WaterC'' Data'!$AY$3:$AY$7,0)),"")</f>
        <v/>
      </c>
      <c r="AX137" s="30" t="str">
        <f>IF(B137="","",VLOOKUP($B137,'C-1 On-Site WaterC'' Baseline'!$C$9:$Y$257,22,FALSE))</f>
        <v/>
      </c>
      <c r="AY137" s="30" t="str">
        <f t="shared" si="18"/>
        <v/>
      </c>
      <c r="AZ137" s="30" t="str">
        <f>IF(B137="","",VLOOKUP($B137,'C-1 On-Site WaterC'' Baseline'!$C$9:$Y$257,21,FALSE))</f>
        <v/>
      </c>
      <c r="BA137" s="30" t="str">
        <f>IF(B137="","",VLOOKUP($B137,'C-1 On-Site WaterC'' Baseline'!$C$9:$Y$257,19,FALSE))</f>
        <v/>
      </c>
      <c r="BD137" s="30" t="str">
        <f t="shared" si="19"/>
        <v>No</v>
      </c>
    </row>
    <row r="138" spans="2:56" ht="14">
      <c r="B138" s="305" t="str">
        <f>'C-1 On-Site WaterC'' Baseline'!AP136</f>
        <v/>
      </c>
      <c r="C138" s="295" t="str">
        <f>IF(B138="","",VLOOKUP($B138,'C-1 On-Site WaterC'' Baseline'!$C$9:$R$257,2,FALSE))</f>
        <v/>
      </c>
      <c r="D138" s="295" t="str">
        <f>IF(C138="","",VLOOKUP($B138,'C-1 On-Site WaterC'' Baseline'!$C$9:$R$257,3,FALSE))</f>
        <v/>
      </c>
      <c r="E138" s="295" t="str">
        <f>IF(D138="","",VLOOKUP($B138,'C-1 On-Site WaterC'' Baseline'!$C$9:$R$257,4,FALSE))</f>
        <v/>
      </c>
      <c r="F138" s="295" t="str">
        <f>IF(E138="","",VLOOKUP($B138,'C-1 On-Site WaterC'' Baseline'!$C$9:$R$257,5,FALSE))</f>
        <v/>
      </c>
      <c r="G138" s="295" t="str">
        <f>IF(F138="","",VLOOKUP($B138,'C-1 On-Site WaterC'' Baseline'!$C$9:$R$257,6,FALSE))</f>
        <v/>
      </c>
      <c r="H138" s="295" t="str">
        <f>IF(G138="","",VLOOKUP($B138,'C-1 On-Site WaterC'' Baseline'!$C$9:$R$257,7,FALSE))</f>
        <v/>
      </c>
      <c r="I138" s="295" t="str">
        <f>IF(H138="","",VLOOKUP($B138,'C-1 On-Site WaterC'' Baseline'!$C$9:$R$257,8,FALSE))</f>
        <v/>
      </c>
      <c r="J138" s="295" t="str">
        <f>IF(I138="","",VLOOKUP($B138,'C-1 On-Site WaterC'' Baseline'!$C$9:$R$257,9,FALSE))</f>
        <v/>
      </c>
      <c r="K138" s="295" t="str">
        <f>IF(J138="","",VLOOKUP($B138,'C-1 On-Site WaterC'' Baseline'!$C$9:$R$257,10,FALSE))</f>
        <v/>
      </c>
      <c r="L138" s="295" t="str">
        <f>IF(B138="","",VLOOKUP($B138,'C-1 On-Site WaterC'' Baseline'!$C$9:$R$257,15,FALSE))</f>
        <v/>
      </c>
      <c r="M138" s="299" t="str">
        <f>IF(L138="","",VLOOKUP($B138,'C-1 On-Site WaterC'' Baseline'!$C$9:$R$257,16,FALSE))</f>
        <v/>
      </c>
      <c r="N138" s="245"/>
      <c r="O138" s="275" t="str">
        <f t="shared" si="11"/>
        <v/>
      </c>
      <c r="P138" s="276" t="str">
        <f t="shared" si="12"/>
        <v/>
      </c>
      <c r="Q138" s="336" t="str">
        <f>IF(N138="","",VLOOKUP(B138,'C-1 On-Site WaterC'' Baseline'!$C$10:$AC$257,20,FALSE))</f>
        <v/>
      </c>
      <c r="R138" s="275" t="str">
        <f>IF(N138="","",VLOOKUP(N138,'G-7 WaterC'' Data'!$B$2:$G$8,2,FALSE))</f>
        <v/>
      </c>
      <c r="S138" s="276" t="str">
        <f>IFERROR(VLOOKUP(R138,'G-7 WaterC'' Data'!$C$4:$D$8,2,FALSE),"")</f>
        <v/>
      </c>
      <c r="T138" s="101"/>
      <c r="U138" s="276" t="str">
        <f>IFERROR(INDEX('G-7 WaterC'' Data'!$H$4:$L$8,MATCH(N138,'G-7 WaterC'' Data'!$B$4:$B$8,0),MATCH(T138,'G-7 WaterC'' Data'!$H$3:$L$3,0)),"")</f>
        <v/>
      </c>
      <c r="V138" s="101"/>
      <c r="W138" s="283" t="str">
        <f>IF(V138="","",IF(VLOOKUP(V138,'G-7 WaterC'' Data'!$AK$4:$AM$6,2,FALSE)=0,"Spatial Data Missing ⚠",VLOOKUP(V138,'G-7 WaterC'' Data'!$AK$4:$AM$6,2,FALSE)))</f>
        <v/>
      </c>
      <c r="X138" s="276" t="str">
        <f>IF(V138="","",IF(VLOOKUP(V138,'G-7 WaterC'' Data'!$AK$4:$AM$6,3,FALSE)=0,"Spatial Data Missing ⚠",VLOOKUP(V138,'G-7 WaterC'' Data'!$AK$4:$AM$6,3,FALSE)))</f>
        <v/>
      </c>
      <c r="Y138" s="275" t="str">
        <f>IFERROR(IF(OR(LEFT(P138,5)="Error",LEFT(O138,5)="Error"),"Check Data ⚠",IF(F138&lt;S138,'G-7 WaterC'' Data'!$R$3,INDEX('G-7 WaterC'' Data'!$U$5:$Y$9,MATCH(G138,'G-7 WaterC'' Data'!$T$5:$T$9,0),MATCH(T138,'G-7 WaterC'' Data'!$U$4:$Y$4,0)))),"")</f>
        <v/>
      </c>
      <c r="Z138" s="133"/>
      <c r="AA138" s="133"/>
      <c r="AB138" s="283" t="str">
        <f t="shared" si="13"/>
        <v/>
      </c>
      <c r="AC138" s="296" t="str">
        <f t="shared" si="14"/>
        <v/>
      </c>
      <c r="AD138" s="334" t="str">
        <f>IFERROR(IF(AC138="Check Data ⚠","Check Data ⚠",VLOOKUP(AC138,'G-4 Temporal multipliers'!$A$4:$C$37,3,FALSE)),"")</f>
        <v/>
      </c>
      <c r="AE138" s="275" t="str">
        <f>IF(N138="","",VLOOKUP(N138,'G-7 WaterC'' Data'!$B$4:$G$8,5,FALSE))</f>
        <v/>
      </c>
      <c r="AF138" s="283" t="str">
        <f t="shared" si="15"/>
        <v/>
      </c>
      <c r="AG138" s="314" t="str">
        <f t="shared" si="16"/>
        <v/>
      </c>
      <c r="AH138" s="276" t="str">
        <f t="shared" si="10"/>
        <v/>
      </c>
      <c r="AI138" s="105"/>
      <c r="AJ138" s="276" t="str">
        <f>IF(AI138="","",IF(AND(AI138="N/A - Culvert",N138&lt;&gt;"Culvert"),"Not possible ▲",IF(VLOOKUP(AI138,'G-7 WaterC'' Data'!$AA$4:$AB$7,2,FALSE)=0,"Spatial Data Missing ⚠",VLOOKUP(AI138,'G-7 WaterC'' Data'!$AA$4:$AB$7,2,FALSE))))</f>
        <v/>
      </c>
      <c r="AK138" s="106"/>
      <c r="AL138" s="276" t="str">
        <f>IF(AK138="","",IF(AND(AK138="N/A - Culvert",N138&lt;&gt;"Culvert"),"Not possible ▲",IF(VLOOKUP(AK138,'G-7 WaterC'' Data'!$AD$4:$AE$14,2,FALSE)=0,"Spatial Data Missing ⚠",VLOOKUP(AK138,'G-7 WaterC'' Data'!$AD$4:$AE$14,2,FALSE))))</f>
        <v/>
      </c>
      <c r="AM138" s="317" t="str">
        <f t="shared" si="17"/>
        <v/>
      </c>
      <c r="AN138" s="101"/>
      <c r="AO138" s="115"/>
      <c r="AP138" s="104"/>
      <c r="AS138" s="30" t="str">
        <f>IF(B138="","",IF(ISNA(VLOOKUP($B138,'C-1 On-Site WaterC'' Baseline'!$C$8:$AD$257,17,FALSE)),"",(VLOOKUP($B138,'C-1 On-Site WaterC'' Baseline'!$C$8:$AD$257,17,FALSE))))</f>
        <v/>
      </c>
      <c r="AT138" s="30" t="str">
        <f>IF(B138="","",VLOOKUP($B138,'C-1 On-Site WaterC'' Baseline'!$C$9:$Z$257,12,FALSE))</f>
        <v/>
      </c>
      <c r="AU138" s="30" t="str">
        <f>IF(B138="","",VLOOKUP($B138,'C-1 On-Site WaterC'' Baseline'!$C$9:$Z$257,14,FALSE))</f>
        <v/>
      </c>
      <c r="AV138" s="30" t="str">
        <f>IFERROR(INDEX('G-7 WaterC'' Data'!$AZ$3:$AZ$7,MATCH(N138,'G-7 WaterC'' Data'!$AY$3:$AY$7,0)),"")</f>
        <v/>
      </c>
      <c r="AX138" s="30" t="str">
        <f>IF(B138="","",VLOOKUP($B138,'C-1 On-Site WaterC'' Baseline'!$C$9:$Y$257,22,FALSE))</f>
        <v/>
      </c>
      <c r="AY138" s="30" t="str">
        <f t="shared" si="18"/>
        <v/>
      </c>
      <c r="AZ138" s="30" t="str">
        <f>IF(B138="","",VLOOKUP($B138,'C-1 On-Site WaterC'' Baseline'!$C$9:$Y$257,21,FALSE))</f>
        <v/>
      </c>
      <c r="BA138" s="30" t="str">
        <f>IF(B138="","",VLOOKUP($B138,'C-1 On-Site WaterC'' Baseline'!$C$9:$Y$257,19,FALSE))</f>
        <v/>
      </c>
      <c r="BD138" s="30" t="str">
        <f t="shared" si="19"/>
        <v>No</v>
      </c>
    </row>
    <row r="139" spans="2:56" ht="14">
      <c r="B139" s="305" t="str">
        <f>'C-1 On-Site WaterC'' Baseline'!AP137</f>
        <v/>
      </c>
      <c r="C139" s="295" t="str">
        <f>IF(B139="","",VLOOKUP($B139,'C-1 On-Site WaterC'' Baseline'!$C$9:$R$257,2,FALSE))</f>
        <v/>
      </c>
      <c r="D139" s="295" t="str">
        <f>IF(C139="","",VLOOKUP($B139,'C-1 On-Site WaterC'' Baseline'!$C$9:$R$257,3,FALSE))</f>
        <v/>
      </c>
      <c r="E139" s="295" t="str">
        <f>IF(D139="","",VLOOKUP($B139,'C-1 On-Site WaterC'' Baseline'!$C$9:$R$257,4,FALSE))</f>
        <v/>
      </c>
      <c r="F139" s="295" t="str">
        <f>IF(E139="","",VLOOKUP($B139,'C-1 On-Site WaterC'' Baseline'!$C$9:$R$257,5,FALSE))</f>
        <v/>
      </c>
      <c r="G139" s="295" t="str">
        <f>IF(F139="","",VLOOKUP($B139,'C-1 On-Site WaterC'' Baseline'!$C$9:$R$257,6,FALSE))</f>
        <v/>
      </c>
      <c r="H139" s="295" t="str">
        <f>IF(G139="","",VLOOKUP($B139,'C-1 On-Site WaterC'' Baseline'!$C$9:$R$257,7,FALSE))</f>
        <v/>
      </c>
      <c r="I139" s="295" t="str">
        <f>IF(H139="","",VLOOKUP($B139,'C-1 On-Site WaterC'' Baseline'!$C$9:$R$257,8,FALSE))</f>
        <v/>
      </c>
      <c r="J139" s="295" t="str">
        <f>IF(I139="","",VLOOKUP($B139,'C-1 On-Site WaterC'' Baseline'!$C$9:$R$257,9,FALSE))</f>
        <v/>
      </c>
      <c r="K139" s="295" t="str">
        <f>IF(J139="","",VLOOKUP($B139,'C-1 On-Site WaterC'' Baseline'!$C$9:$R$257,10,FALSE))</f>
        <v/>
      </c>
      <c r="L139" s="295" t="str">
        <f>IF(B139="","",VLOOKUP($B139,'C-1 On-Site WaterC'' Baseline'!$C$9:$R$257,15,FALSE))</f>
        <v/>
      </c>
      <c r="M139" s="299" t="str">
        <f>IF(L139="","",VLOOKUP($B139,'C-1 On-Site WaterC'' Baseline'!$C$9:$R$257,16,FALSE))</f>
        <v/>
      </c>
      <c r="N139" s="245"/>
      <c r="O139" s="275" t="str">
        <f t="shared" si="11"/>
        <v/>
      </c>
      <c r="P139" s="276" t="str">
        <f t="shared" si="12"/>
        <v/>
      </c>
      <c r="Q139" s="336" t="str">
        <f>IF(N139="","",VLOOKUP(B139,'C-1 On-Site WaterC'' Baseline'!$C$10:$AC$257,20,FALSE))</f>
        <v/>
      </c>
      <c r="R139" s="275" t="str">
        <f>IF(N139="","",VLOOKUP(N139,'G-7 WaterC'' Data'!$B$2:$G$8,2,FALSE))</f>
        <v/>
      </c>
      <c r="S139" s="276" t="str">
        <f>IFERROR(VLOOKUP(R139,'G-7 WaterC'' Data'!$C$4:$D$8,2,FALSE),"")</f>
        <v/>
      </c>
      <c r="T139" s="101"/>
      <c r="U139" s="276" t="str">
        <f>IFERROR(INDEX('G-7 WaterC'' Data'!$H$4:$L$8,MATCH(N139,'G-7 WaterC'' Data'!$B$4:$B$8,0),MATCH(T139,'G-7 WaterC'' Data'!$H$3:$L$3,0)),"")</f>
        <v/>
      </c>
      <c r="V139" s="101"/>
      <c r="W139" s="283" t="str">
        <f>IF(V139="","",IF(VLOOKUP(V139,'G-7 WaterC'' Data'!$AK$4:$AM$6,2,FALSE)=0,"Spatial Data Missing ⚠",VLOOKUP(V139,'G-7 WaterC'' Data'!$AK$4:$AM$6,2,FALSE)))</f>
        <v/>
      </c>
      <c r="X139" s="276" t="str">
        <f>IF(V139="","",IF(VLOOKUP(V139,'G-7 WaterC'' Data'!$AK$4:$AM$6,3,FALSE)=0,"Spatial Data Missing ⚠",VLOOKUP(V139,'G-7 WaterC'' Data'!$AK$4:$AM$6,3,FALSE)))</f>
        <v/>
      </c>
      <c r="Y139" s="275" t="str">
        <f>IFERROR(IF(OR(LEFT(P139,5)="Error",LEFT(O139,5)="Error"),"Check Data ⚠",IF(F139&lt;S139,'G-7 WaterC'' Data'!$R$3,INDEX('G-7 WaterC'' Data'!$U$5:$Y$9,MATCH(G139,'G-7 WaterC'' Data'!$T$5:$T$9,0),MATCH(T139,'G-7 WaterC'' Data'!$U$4:$Y$4,0)))),"")</f>
        <v/>
      </c>
      <c r="Z139" s="133"/>
      <c r="AA139" s="133"/>
      <c r="AB139" s="283" t="str">
        <f t="shared" si="13"/>
        <v/>
      </c>
      <c r="AC139" s="296" t="str">
        <f t="shared" si="14"/>
        <v/>
      </c>
      <c r="AD139" s="334" t="str">
        <f>IFERROR(IF(AC139="Check Data ⚠","Check Data ⚠",VLOOKUP(AC139,'G-4 Temporal multipliers'!$A$4:$C$37,3,FALSE)),"")</f>
        <v/>
      </c>
      <c r="AE139" s="275" t="str">
        <f>IF(N139="","",VLOOKUP(N139,'G-7 WaterC'' Data'!$B$4:$G$8,5,FALSE))</f>
        <v/>
      </c>
      <c r="AF139" s="283" t="str">
        <f t="shared" si="15"/>
        <v/>
      </c>
      <c r="AG139" s="314" t="str">
        <f t="shared" si="16"/>
        <v/>
      </c>
      <c r="AH139" s="276" t="str">
        <f t="shared" si="10"/>
        <v/>
      </c>
      <c r="AI139" s="105"/>
      <c r="AJ139" s="276" t="str">
        <f>IF(AI139="","",IF(AND(AI139="N/A - Culvert",N139&lt;&gt;"Culvert"),"Not possible ▲",IF(VLOOKUP(AI139,'G-7 WaterC'' Data'!$AA$4:$AB$7,2,FALSE)=0,"Spatial Data Missing ⚠",VLOOKUP(AI139,'G-7 WaterC'' Data'!$AA$4:$AB$7,2,FALSE))))</f>
        <v/>
      </c>
      <c r="AK139" s="106"/>
      <c r="AL139" s="276" t="str">
        <f>IF(AK139="","",IF(AND(AK139="N/A - Culvert",N139&lt;&gt;"Culvert"),"Not possible ▲",IF(VLOOKUP(AK139,'G-7 WaterC'' Data'!$AD$4:$AE$14,2,FALSE)=0,"Spatial Data Missing ⚠",VLOOKUP(AK139,'G-7 WaterC'' Data'!$AD$4:$AE$14,2,FALSE))))</f>
        <v/>
      </c>
      <c r="AM139" s="317" t="str">
        <f t="shared" si="17"/>
        <v/>
      </c>
      <c r="AN139" s="101"/>
      <c r="AO139" s="115"/>
      <c r="AP139" s="104"/>
      <c r="AS139" s="30" t="str">
        <f>IF(B139="","",IF(ISNA(VLOOKUP($B139,'C-1 On-Site WaterC'' Baseline'!$C$8:$AD$257,17,FALSE)),"",(VLOOKUP($B139,'C-1 On-Site WaterC'' Baseline'!$C$8:$AD$257,17,FALSE))))</f>
        <v/>
      </c>
      <c r="AT139" s="30" t="str">
        <f>IF(B139="","",VLOOKUP($B139,'C-1 On-Site WaterC'' Baseline'!$C$9:$Z$257,12,FALSE))</f>
        <v/>
      </c>
      <c r="AU139" s="30" t="str">
        <f>IF(B139="","",VLOOKUP($B139,'C-1 On-Site WaterC'' Baseline'!$C$9:$Z$257,14,FALSE))</f>
        <v/>
      </c>
      <c r="AV139" s="30" t="str">
        <f>IFERROR(INDEX('G-7 WaterC'' Data'!$AZ$3:$AZ$7,MATCH(N139,'G-7 WaterC'' Data'!$AY$3:$AY$7,0)),"")</f>
        <v/>
      </c>
      <c r="AX139" s="30" t="str">
        <f>IF(B139="","",VLOOKUP($B139,'C-1 On-Site WaterC'' Baseline'!$C$9:$Y$257,22,FALSE))</f>
        <v/>
      </c>
      <c r="AY139" s="30" t="str">
        <f t="shared" si="18"/>
        <v/>
      </c>
      <c r="AZ139" s="30" t="str">
        <f>IF(B139="","",VLOOKUP($B139,'C-1 On-Site WaterC'' Baseline'!$C$9:$Y$257,21,FALSE))</f>
        <v/>
      </c>
      <c r="BA139" s="30" t="str">
        <f>IF(B139="","",VLOOKUP($B139,'C-1 On-Site WaterC'' Baseline'!$C$9:$Y$257,19,FALSE))</f>
        <v/>
      </c>
      <c r="BD139" s="30" t="str">
        <f t="shared" si="19"/>
        <v>No</v>
      </c>
    </row>
    <row r="140" spans="2:56" ht="14">
      <c r="B140" s="305" t="str">
        <f>'C-1 On-Site WaterC'' Baseline'!AP138</f>
        <v/>
      </c>
      <c r="C140" s="295" t="str">
        <f>IF(B140="","",VLOOKUP($B140,'C-1 On-Site WaterC'' Baseline'!$C$9:$R$257,2,FALSE))</f>
        <v/>
      </c>
      <c r="D140" s="295" t="str">
        <f>IF(C140="","",VLOOKUP($B140,'C-1 On-Site WaterC'' Baseline'!$C$9:$R$257,3,FALSE))</f>
        <v/>
      </c>
      <c r="E140" s="295" t="str">
        <f>IF(D140="","",VLOOKUP($B140,'C-1 On-Site WaterC'' Baseline'!$C$9:$R$257,4,FALSE))</f>
        <v/>
      </c>
      <c r="F140" s="295" t="str">
        <f>IF(E140="","",VLOOKUP($B140,'C-1 On-Site WaterC'' Baseline'!$C$9:$R$257,5,FALSE))</f>
        <v/>
      </c>
      <c r="G140" s="295" t="str">
        <f>IF(F140="","",VLOOKUP($B140,'C-1 On-Site WaterC'' Baseline'!$C$9:$R$257,6,FALSE))</f>
        <v/>
      </c>
      <c r="H140" s="295" t="str">
        <f>IF(G140="","",VLOOKUP($B140,'C-1 On-Site WaterC'' Baseline'!$C$9:$R$257,7,FALSE))</f>
        <v/>
      </c>
      <c r="I140" s="295" t="str">
        <f>IF(H140="","",VLOOKUP($B140,'C-1 On-Site WaterC'' Baseline'!$C$9:$R$257,8,FALSE))</f>
        <v/>
      </c>
      <c r="J140" s="295" t="str">
        <f>IF(I140="","",VLOOKUP($B140,'C-1 On-Site WaterC'' Baseline'!$C$9:$R$257,9,FALSE))</f>
        <v/>
      </c>
      <c r="K140" s="295" t="str">
        <f>IF(J140="","",VLOOKUP($B140,'C-1 On-Site WaterC'' Baseline'!$C$9:$R$257,10,FALSE))</f>
        <v/>
      </c>
      <c r="L140" s="295" t="str">
        <f>IF(B140="","",VLOOKUP($B140,'C-1 On-Site WaterC'' Baseline'!$C$9:$R$257,15,FALSE))</f>
        <v/>
      </c>
      <c r="M140" s="299" t="str">
        <f>IF(L140="","",VLOOKUP($B140,'C-1 On-Site WaterC'' Baseline'!$C$9:$R$257,16,FALSE))</f>
        <v/>
      </c>
      <c r="N140" s="245"/>
      <c r="O140" s="275" t="str">
        <f t="shared" si="11"/>
        <v/>
      </c>
      <c r="P140" s="276" t="str">
        <f t="shared" si="12"/>
        <v/>
      </c>
      <c r="Q140" s="336" t="str">
        <f>IF(N140="","",VLOOKUP(B140,'C-1 On-Site WaterC'' Baseline'!$C$10:$AC$257,20,FALSE))</f>
        <v/>
      </c>
      <c r="R140" s="275" t="str">
        <f>IF(N140="","",VLOOKUP(N140,'G-7 WaterC'' Data'!$B$2:$G$8,2,FALSE))</f>
        <v/>
      </c>
      <c r="S140" s="276" t="str">
        <f>IFERROR(VLOOKUP(R140,'G-7 WaterC'' Data'!$C$4:$D$8,2,FALSE),"")</f>
        <v/>
      </c>
      <c r="T140" s="101"/>
      <c r="U140" s="276" t="str">
        <f>IFERROR(INDEX('G-7 WaterC'' Data'!$H$4:$L$8,MATCH(N140,'G-7 WaterC'' Data'!$B$4:$B$8,0),MATCH(T140,'G-7 WaterC'' Data'!$H$3:$L$3,0)),"")</f>
        <v/>
      </c>
      <c r="V140" s="101"/>
      <c r="W140" s="283" t="str">
        <f>IF(V140="","",IF(VLOOKUP(V140,'G-7 WaterC'' Data'!$AK$4:$AM$6,2,FALSE)=0,"Spatial Data Missing ⚠",VLOOKUP(V140,'G-7 WaterC'' Data'!$AK$4:$AM$6,2,FALSE)))</f>
        <v/>
      </c>
      <c r="X140" s="276" t="str">
        <f>IF(V140="","",IF(VLOOKUP(V140,'G-7 WaterC'' Data'!$AK$4:$AM$6,3,FALSE)=0,"Spatial Data Missing ⚠",VLOOKUP(V140,'G-7 WaterC'' Data'!$AK$4:$AM$6,3,FALSE)))</f>
        <v/>
      </c>
      <c r="Y140" s="275" t="str">
        <f>IFERROR(IF(OR(LEFT(P140,5)="Error",LEFT(O140,5)="Error"),"Check Data ⚠",IF(F140&lt;S140,'G-7 WaterC'' Data'!$R$3,INDEX('G-7 WaterC'' Data'!$U$5:$Y$9,MATCH(G140,'G-7 WaterC'' Data'!$T$5:$T$9,0),MATCH(T140,'G-7 WaterC'' Data'!$U$4:$Y$4,0)))),"")</f>
        <v/>
      </c>
      <c r="Z140" s="133"/>
      <c r="AA140" s="133"/>
      <c r="AB140" s="283" t="str">
        <f t="shared" si="13"/>
        <v/>
      </c>
      <c r="AC140" s="296" t="str">
        <f t="shared" si="14"/>
        <v/>
      </c>
      <c r="AD140" s="334" t="str">
        <f>IFERROR(IF(AC140="Check Data ⚠","Check Data ⚠",VLOOKUP(AC140,'G-4 Temporal multipliers'!$A$4:$C$37,3,FALSE)),"")</f>
        <v/>
      </c>
      <c r="AE140" s="275" t="str">
        <f>IF(N140="","",VLOOKUP(N140,'G-7 WaterC'' Data'!$B$4:$G$8,5,FALSE))</f>
        <v/>
      </c>
      <c r="AF140" s="283" t="str">
        <f t="shared" si="15"/>
        <v/>
      </c>
      <c r="AG140" s="314" t="str">
        <f t="shared" si="16"/>
        <v/>
      </c>
      <c r="AH140" s="276" t="str">
        <f t="shared" si="20" ref="AH140:AH203">IF(N140="","",VLOOKUP(AG140,Difficulty,2,FALSE))</f>
        <v/>
      </c>
      <c r="AI140" s="105"/>
      <c r="AJ140" s="276" t="str">
        <f>IF(AI140="","",IF(AND(AI140="N/A - Culvert",N140&lt;&gt;"Culvert"),"Not possible ▲",IF(VLOOKUP(AI140,'G-7 WaterC'' Data'!$AA$4:$AB$7,2,FALSE)=0,"Spatial Data Missing ⚠",VLOOKUP(AI140,'G-7 WaterC'' Data'!$AA$4:$AB$7,2,FALSE))))</f>
        <v/>
      </c>
      <c r="AK140" s="106"/>
      <c r="AL140" s="276" t="str">
        <f>IF(AK140="","",IF(AND(AK140="N/A - Culvert",N140&lt;&gt;"Culvert"),"Not possible ▲",IF(VLOOKUP(AK140,'G-7 WaterC'' Data'!$AD$4:$AE$14,2,FALSE)=0,"Spatial Data Missing ⚠",VLOOKUP(AK140,'G-7 WaterC'' Data'!$AD$4:$AE$14,2,FALSE))))</f>
        <v/>
      </c>
      <c r="AM140" s="317" t="str">
        <f t="shared" si="17"/>
        <v/>
      </c>
      <c r="AN140" s="101"/>
      <c r="AO140" s="115"/>
      <c r="AP140" s="104"/>
      <c r="AS140" s="30" t="str">
        <f>IF(B140="","",IF(ISNA(VLOOKUP($B140,'C-1 On-Site WaterC'' Baseline'!$C$8:$AD$257,17,FALSE)),"",(VLOOKUP($B140,'C-1 On-Site WaterC'' Baseline'!$C$8:$AD$257,17,FALSE))))</f>
        <v/>
      </c>
      <c r="AT140" s="30" t="str">
        <f>IF(B140="","",VLOOKUP($B140,'C-1 On-Site WaterC'' Baseline'!$C$9:$Z$257,12,FALSE))</f>
        <v/>
      </c>
      <c r="AU140" s="30" t="str">
        <f>IF(B140="","",VLOOKUP($B140,'C-1 On-Site WaterC'' Baseline'!$C$9:$Z$257,14,FALSE))</f>
        <v/>
      </c>
      <c r="AV140" s="30" t="str">
        <f>IFERROR(INDEX('G-7 WaterC'' Data'!$AZ$3:$AZ$7,MATCH(N140,'G-7 WaterC'' Data'!$AY$3:$AY$7,0)),"")</f>
        <v/>
      </c>
      <c r="AX140" s="30" t="str">
        <f>IF(B140="","",VLOOKUP($B140,'C-1 On-Site WaterC'' Baseline'!$C$9:$Y$257,22,FALSE))</f>
        <v/>
      </c>
      <c r="AY140" s="30" t="str">
        <f t="shared" si="18"/>
        <v/>
      </c>
      <c r="AZ140" s="30" t="str">
        <f>IF(B140="","",VLOOKUP($B140,'C-1 On-Site WaterC'' Baseline'!$C$9:$Y$257,21,FALSE))</f>
        <v/>
      </c>
      <c r="BA140" s="30" t="str">
        <f>IF(B140="","",VLOOKUP($B140,'C-1 On-Site WaterC'' Baseline'!$C$9:$Y$257,19,FALSE))</f>
        <v/>
      </c>
      <c r="BD140" s="30" t="str">
        <f t="shared" si="19"/>
        <v>No</v>
      </c>
    </row>
    <row r="141" spans="2:56" ht="14">
      <c r="B141" s="305" t="str">
        <f>'C-1 On-Site WaterC'' Baseline'!AP139</f>
        <v/>
      </c>
      <c r="C141" s="295" t="str">
        <f>IF(B141="","",VLOOKUP($B141,'C-1 On-Site WaterC'' Baseline'!$C$9:$R$257,2,FALSE))</f>
        <v/>
      </c>
      <c r="D141" s="295" t="str">
        <f>IF(C141="","",VLOOKUP($B141,'C-1 On-Site WaterC'' Baseline'!$C$9:$R$257,3,FALSE))</f>
        <v/>
      </c>
      <c r="E141" s="295" t="str">
        <f>IF(D141="","",VLOOKUP($B141,'C-1 On-Site WaterC'' Baseline'!$C$9:$R$257,4,FALSE))</f>
        <v/>
      </c>
      <c r="F141" s="295" t="str">
        <f>IF(E141="","",VLOOKUP($B141,'C-1 On-Site WaterC'' Baseline'!$C$9:$R$257,5,FALSE))</f>
        <v/>
      </c>
      <c r="G141" s="295" t="str">
        <f>IF(F141="","",VLOOKUP($B141,'C-1 On-Site WaterC'' Baseline'!$C$9:$R$257,6,FALSE))</f>
        <v/>
      </c>
      <c r="H141" s="295" t="str">
        <f>IF(G141="","",VLOOKUP($B141,'C-1 On-Site WaterC'' Baseline'!$C$9:$R$257,7,FALSE))</f>
        <v/>
      </c>
      <c r="I141" s="295" t="str">
        <f>IF(H141="","",VLOOKUP($B141,'C-1 On-Site WaterC'' Baseline'!$C$9:$R$257,8,FALSE))</f>
        <v/>
      </c>
      <c r="J141" s="295" t="str">
        <f>IF(I141="","",VLOOKUP($B141,'C-1 On-Site WaterC'' Baseline'!$C$9:$R$257,9,FALSE))</f>
        <v/>
      </c>
      <c r="K141" s="295" t="str">
        <f>IF(J141="","",VLOOKUP($B141,'C-1 On-Site WaterC'' Baseline'!$C$9:$R$257,10,FALSE))</f>
        <v/>
      </c>
      <c r="L141" s="295" t="str">
        <f>IF(B141="","",VLOOKUP($B141,'C-1 On-Site WaterC'' Baseline'!$C$9:$R$257,15,FALSE))</f>
        <v/>
      </c>
      <c r="M141" s="299" t="str">
        <f>IF(L141="","",VLOOKUP($B141,'C-1 On-Site WaterC'' Baseline'!$C$9:$R$257,16,FALSE))</f>
        <v/>
      </c>
      <c r="N141" s="245"/>
      <c r="O141" s="275" t="str">
        <f t="shared" si="21" ref="O141:O204">IF(B141="","",IF(S141&lt;F141,"Error Trading Down ▲",E141&amp;" - "&amp;R141))</f>
        <v/>
      </c>
      <c r="P141" s="276" t="str">
        <f t="shared" si="22" ref="P141:P204">IF(C141="","",IF(AND(N141&lt;&gt;C141,AS141="Yes"),"Error you cannot replace and irreplaceable habitat ▲",IF(AND(LEFT(C141,55)&lt;&gt;LEFT(N141,55),O141="High - High"),"Error - Not like for like ▲",IF(H141&gt;U141,"Error - Can not reduce condition ▲",IF(AND(C141&lt;&gt;N141,F141&lt;S141),"Lower Distinctiveness Habitat"&amp;" - "&amp;T141,G141&amp;" - "&amp;T141)))))</f>
        <v/>
      </c>
      <c r="Q141" s="336" t="str">
        <f>IF(N141="","",VLOOKUP(B141,'C-1 On-Site WaterC'' Baseline'!$C$10:$AC$257,20,FALSE))</f>
        <v/>
      </c>
      <c r="R141" s="275" t="str">
        <f>IF(N141="","",VLOOKUP(N141,'G-7 WaterC'' Data'!$B$2:$G$8,2,FALSE))</f>
        <v/>
      </c>
      <c r="S141" s="276" t="str">
        <f>IFERROR(VLOOKUP(R141,'G-7 WaterC'' Data'!$C$4:$D$8,2,FALSE),"")</f>
        <v/>
      </c>
      <c r="T141" s="101"/>
      <c r="U141" s="276" t="str">
        <f>IFERROR(INDEX('G-7 WaterC'' Data'!$H$4:$L$8,MATCH(N141,'G-7 WaterC'' Data'!$B$4:$B$8,0),MATCH(T141,'G-7 WaterC'' Data'!$H$3:$L$3,0)),"")</f>
        <v/>
      </c>
      <c r="V141" s="101"/>
      <c r="W141" s="283" t="str">
        <f>IF(V141="","",IF(VLOOKUP(V141,'G-7 WaterC'' Data'!$AK$4:$AM$6,2,FALSE)=0,"Spatial Data Missing ⚠",VLOOKUP(V141,'G-7 WaterC'' Data'!$AK$4:$AM$6,2,FALSE)))</f>
        <v/>
      </c>
      <c r="X141" s="276" t="str">
        <f>IF(V141="","",IF(VLOOKUP(V141,'G-7 WaterC'' Data'!$AK$4:$AM$6,3,FALSE)=0,"Spatial Data Missing ⚠",VLOOKUP(V141,'G-7 WaterC'' Data'!$AK$4:$AM$6,3,FALSE)))</f>
        <v/>
      </c>
      <c r="Y141" s="275" t="str">
        <f>IFERROR(IF(OR(LEFT(P141,5)="Error",LEFT(O141,5)="Error"),"Check Data ⚠",IF(F141&lt;S141,'G-7 WaterC'' Data'!$R$3,INDEX('G-7 WaterC'' Data'!$U$5:$Y$9,MATCH(G141,'G-7 WaterC'' Data'!$T$5:$T$9,0),MATCH(T141,'G-7 WaterC'' Data'!$U$4:$Y$4,0)))),"")</f>
        <v/>
      </c>
      <c r="Z141" s="133"/>
      <c r="AA141" s="133"/>
      <c r="AB141" s="283" t="str">
        <f t="shared" si="23" ref="AB141:AB204">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296" t="str">
        <f t="shared" si="24" ref="AC141:AC204">IF(AB141="Error -both advance and delayed habitat creation ▲","Check Data ⚠",IF(AB141="Check Data ⚠","Check Data ⚠",IF(Y141="","",IF(Z141="30+",0,IF(AA141="30+","30+",IF(Y141+AA141&gt;30,"30+",IF(Y141+AA141-Z141&gt;0,Y141+AA141-Z141,IF(Y141-Z141&lt;0,0,Y141+AA141-Z141))))))))</f>
        <v/>
      </c>
      <c r="AD141" s="334" t="str">
        <f>IFERROR(IF(AC141="Check Data ⚠","Check Data ⚠",VLOOKUP(AC141,'G-4 Temporal multipliers'!$A$4:$C$37,3,FALSE)),"")</f>
        <v/>
      </c>
      <c r="AE141" s="275" t="str">
        <f>IF(N141="","",VLOOKUP(N141,'G-7 WaterC'' Data'!$B$4:$G$8,5,FALSE))</f>
        <v/>
      </c>
      <c r="AF141" s="283" t="str">
        <f t="shared" si="25" ref="AF141:AF204">IF(N141="","",IF(AC141="Check Data ⚠","Check Data ⚠",IF(T141="","",IF($AB141="Check details - Is there evidence that habitat has reached target condition? ⚠","Low Difficulty - only applicable if all habitat created before losses ⚠","Standard difficulty applied"))))</f>
        <v/>
      </c>
      <c r="AG141" s="314" t="str">
        <f t="shared" si="26" ref="AG141:AG204">(IF(AND(AF141="Standard difficulty applied",Y141&gt;Z141),AE141,IF(AND(AF141="Low Difficulty - only applicable if all habitat created before losses ⚠",Z141&gt;=Y141),"Low",AE141)))</f>
        <v/>
      </c>
      <c r="AH141" s="276" t="str">
        <f t="shared" si="20"/>
        <v/>
      </c>
      <c r="AI141" s="105"/>
      <c r="AJ141" s="276" t="str">
        <f>IF(AI141="","",IF(AND(AI141="N/A - Culvert",N141&lt;&gt;"Culvert"),"Not possible ▲",IF(VLOOKUP(AI141,'G-7 WaterC'' Data'!$AA$4:$AB$7,2,FALSE)=0,"Spatial Data Missing ⚠",VLOOKUP(AI141,'G-7 WaterC'' Data'!$AA$4:$AB$7,2,FALSE))))</f>
        <v/>
      </c>
      <c r="AK141" s="106"/>
      <c r="AL141" s="276" t="str">
        <f>IF(AK141="","",IF(AND(AK141="N/A - Culvert",N141&lt;&gt;"Culvert"),"Not possible ▲",IF(VLOOKUP(AK141,'G-7 WaterC'' Data'!$AD$4:$AE$14,2,FALSE)=0,"Spatial Data Missing ⚠",VLOOKUP(AK141,'G-7 WaterC'' Data'!$AD$4:$AE$14,2,FALSE))))</f>
        <v/>
      </c>
      <c r="AM141" s="317" t="str">
        <f t="shared" si="27" ref="AM141:AM204">IFERROR(IF(C141="","",IF(AND(N141&lt;&gt;"",M141=""),"Check Data ⚠",IF(Q141&gt;D141,((((Q141*S141*U141)-(D141*F141*H141))*(AH141*AD141))+(D141*F141*H141))*(AL141*X141*AJ141),((((Q141*S141*U141)-(Q141*F141*H141))*(AH141*AD141))+(Q141*F141*H141))*(AL141*X141*AJ141)))),"")</f>
        <v/>
      </c>
      <c r="AN141" s="101"/>
      <c r="AO141" s="115"/>
      <c r="AP141" s="104"/>
      <c r="AS141" s="30" t="str">
        <f>IF(B141="","",IF(ISNA(VLOOKUP($B141,'C-1 On-Site WaterC'' Baseline'!$C$8:$AD$257,17,FALSE)),"",(VLOOKUP($B141,'C-1 On-Site WaterC'' Baseline'!$C$8:$AD$257,17,FALSE))))</f>
        <v/>
      </c>
      <c r="AT141" s="30" t="str">
        <f>IF(B141="","",VLOOKUP($B141,'C-1 On-Site WaterC'' Baseline'!$C$9:$Z$257,12,FALSE))</f>
        <v/>
      </c>
      <c r="AU141" s="30" t="str">
        <f>IF(B141="","",VLOOKUP($B141,'C-1 On-Site WaterC'' Baseline'!$C$9:$Z$257,14,FALSE))</f>
        <v/>
      </c>
      <c r="AV141" s="30" t="str">
        <f>IFERROR(INDEX('G-7 WaterC'' Data'!$AZ$3:$AZ$7,MATCH(N141,'G-7 WaterC'' Data'!$AY$3:$AY$7,0)),"")</f>
        <v/>
      </c>
      <c r="AX141" s="30" t="str">
        <f>IF(B141="","",VLOOKUP($B141,'C-1 On-Site WaterC'' Baseline'!$C$9:$Y$257,22,FALSE))</f>
        <v/>
      </c>
      <c r="AY141" s="30" t="str">
        <f t="shared" si="28" ref="AY141:AY204">IF(B141="","",IF(AX141&gt;M141,M141,IF((BA141+Q141)&gt;D141,M141-AZ141,AX141)))</f>
        <v/>
      </c>
      <c r="AZ141" s="30" t="str">
        <f>IF(B141="","",VLOOKUP($B141,'C-1 On-Site WaterC'' Baseline'!$C$9:$Y$257,21,FALSE))</f>
        <v/>
      </c>
      <c r="BA141" s="30" t="str">
        <f>IF(B141="","",VLOOKUP($B141,'C-1 On-Site WaterC'' Baseline'!$C$9:$Y$257,19,FALSE))</f>
        <v/>
      </c>
      <c r="BD141" s="30" t="str">
        <f t="shared" si="29" ref="BD141:BD204">IF(AND(N141="Ditches",(OR(T141="Fairly Poor",T141="Fairly Good"))),"Yes","No")</f>
        <v>No</v>
      </c>
    </row>
    <row r="142" spans="2:56" ht="14">
      <c r="B142" s="305" t="str">
        <f>'C-1 On-Site WaterC'' Baseline'!AP140</f>
        <v/>
      </c>
      <c r="C142" s="295" t="str">
        <f>IF(B142="","",VLOOKUP($B142,'C-1 On-Site WaterC'' Baseline'!$C$9:$R$257,2,FALSE))</f>
        <v/>
      </c>
      <c r="D142" s="295" t="str">
        <f>IF(C142="","",VLOOKUP($B142,'C-1 On-Site WaterC'' Baseline'!$C$9:$R$257,3,FALSE))</f>
        <v/>
      </c>
      <c r="E142" s="295" t="str">
        <f>IF(D142="","",VLOOKUP($B142,'C-1 On-Site WaterC'' Baseline'!$C$9:$R$257,4,FALSE))</f>
        <v/>
      </c>
      <c r="F142" s="295" t="str">
        <f>IF(E142="","",VLOOKUP($B142,'C-1 On-Site WaterC'' Baseline'!$C$9:$R$257,5,FALSE))</f>
        <v/>
      </c>
      <c r="G142" s="295" t="str">
        <f>IF(F142="","",VLOOKUP($B142,'C-1 On-Site WaterC'' Baseline'!$C$9:$R$257,6,FALSE))</f>
        <v/>
      </c>
      <c r="H142" s="295" t="str">
        <f>IF(G142="","",VLOOKUP($B142,'C-1 On-Site WaterC'' Baseline'!$C$9:$R$257,7,FALSE))</f>
        <v/>
      </c>
      <c r="I142" s="295" t="str">
        <f>IF(H142="","",VLOOKUP($B142,'C-1 On-Site WaterC'' Baseline'!$C$9:$R$257,8,FALSE))</f>
        <v/>
      </c>
      <c r="J142" s="295" t="str">
        <f>IF(I142="","",VLOOKUP($B142,'C-1 On-Site WaterC'' Baseline'!$C$9:$R$257,9,FALSE))</f>
        <v/>
      </c>
      <c r="K142" s="295" t="str">
        <f>IF(J142="","",VLOOKUP($B142,'C-1 On-Site WaterC'' Baseline'!$C$9:$R$257,10,FALSE))</f>
        <v/>
      </c>
      <c r="L142" s="295" t="str">
        <f>IF(B142="","",VLOOKUP($B142,'C-1 On-Site WaterC'' Baseline'!$C$9:$R$257,15,FALSE))</f>
        <v/>
      </c>
      <c r="M142" s="299" t="str">
        <f>IF(L142="","",VLOOKUP($B142,'C-1 On-Site WaterC'' Baseline'!$C$9:$R$257,16,FALSE))</f>
        <v/>
      </c>
      <c r="N142" s="245"/>
      <c r="O142" s="275" t="str">
        <f t="shared" si="21"/>
        <v/>
      </c>
      <c r="P142" s="276" t="str">
        <f t="shared" si="22"/>
        <v/>
      </c>
      <c r="Q142" s="336" t="str">
        <f>IF(N142="","",VLOOKUP(B142,'C-1 On-Site WaterC'' Baseline'!$C$10:$AC$257,20,FALSE))</f>
        <v/>
      </c>
      <c r="R142" s="275" t="str">
        <f>IF(N142="","",VLOOKUP(N142,'G-7 WaterC'' Data'!$B$2:$G$8,2,FALSE))</f>
        <v/>
      </c>
      <c r="S142" s="276" t="str">
        <f>IFERROR(VLOOKUP(R142,'G-7 WaterC'' Data'!$C$4:$D$8,2,FALSE),"")</f>
        <v/>
      </c>
      <c r="T142" s="101"/>
      <c r="U142" s="276" t="str">
        <f>IFERROR(INDEX('G-7 WaterC'' Data'!$H$4:$L$8,MATCH(N142,'G-7 WaterC'' Data'!$B$4:$B$8,0),MATCH(T142,'G-7 WaterC'' Data'!$H$3:$L$3,0)),"")</f>
        <v/>
      </c>
      <c r="V142" s="101"/>
      <c r="W142" s="283" t="str">
        <f>IF(V142="","",IF(VLOOKUP(V142,'G-7 WaterC'' Data'!$AK$4:$AM$6,2,FALSE)=0,"Spatial Data Missing ⚠",VLOOKUP(V142,'G-7 WaterC'' Data'!$AK$4:$AM$6,2,FALSE)))</f>
        <v/>
      </c>
      <c r="X142" s="276" t="str">
        <f>IF(V142="","",IF(VLOOKUP(V142,'G-7 WaterC'' Data'!$AK$4:$AM$6,3,FALSE)=0,"Spatial Data Missing ⚠",VLOOKUP(V142,'G-7 WaterC'' Data'!$AK$4:$AM$6,3,FALSE)))</f>
        <v/>
      </c>
      <c r="Y142" s="275" t="str">
        <f>IFERROR(IF(OR(LEFT(P142,5)="Error",LEFT(O142,5)="Error"),"Check Data ⚠",IF(F142&lt;S142,'G-7 WaterC'' Data'!$R$3,INDEX('G-7 WaterC'' Data'!$U$5:$Y$9,MATCH(G142,'G-7 WaterC'' Data'!$T$5:$T$9,0),MATCH(T142,'G-7 WaterC'' Data'!$U$4:$Y$4,0)))),"")</f>
        <v/>
      </c>
      <c r="Z142" s="133"/>
      <c r="AA142" s="133"/>
      <c r="AB142" s="283" t="str">
        <f t="shared" si="23"/>
        <v/>
      </c>
      <c r="AC142" s="296" t="str">
        <f t="shared" si="24"/>
        <v/>
      </c>
      <c r="AD142" s="334" t="str">
        <f>IFERROR(IF(AC142="Check Data ⚠","Check Data ⚠",VLOOKUP(AC142,'G-4 Temporal multipliers'!$A$4:$C$37,3,FALSE)),"")</f>
        <v/>
      </c>
      <c r="AE142" s="275" t="str">
        <f>IF(N142="","",VLOOKUP(N142,'G-7 WaterC'' Data'!$B$4:$G$8,5,FALSE))</f>
        <v/>
      </c>
      <c r="AF142" s="283" t="str">
        <f t="shared" si="25"/>
        <v/>
      </c>
      <c r="AG142" s="314" t="str">
        <f t="shared" si="26"/>
        <v/>
      </c>
      <c r="AH142" s="276" t="str">
        <f t="shared" si="20"/>
        <v/>
      </c>
      <c r="AI142" s="105"/>
      <c r="AJ142" s="276" t="str">
        <f>IF(AI142="","",IF(AND(AI142="N/A - Culvert",N142&lt;&gt;"Culvert"),"Not possible ▲",IF(VLOOKUP(AI142,'G-7 WaterC'' Data'!$AA$4:$AB$7,2,FALSE)=0,"Spatial Data Missing ⚠",VLOOKUP(AI142,'G-7 WaterC'' Data'!$AA$4:$AB$7,2,FALSE))))</f>
        <v/>
      </c>
      <c r="AK142" s="106"/>
      <c r="AL142" s="276" t="str">
        <f>IF(AK142="","",IF(AND(AK142="N/A - Culvert",N142&lt;&gt;"Culvert"),"Not possible ▲",IF(VLOOKUP(AK142,'G-7 WaterC'' Data'!$AD$4:$AE$14,2,FALSE)=0,"Spatial Data Missing ⚠",VLOOKUP(AK142,'G-7 WaterC'' Data'!$AD$4:$AE$14,2,FALSE))))</f>
        <v/>
      </c>
      <c r="AM142" s="317" t="str">
        <f t="shared" si="27"/>
        <v/>
      </c>
      <c r="AN142" s="101"/>
      <c r="AO142" s="115"/>
      <c r="AP142" s="104"/>
      <c r="AS142" s="30" t="str">
        <f>IF(B142="","",IF(ISNA(VLOOKUP($B142,'C-1 On-Site WaterC'' Baseline'!$C$8:$AD$257,17,FALSE)),"",(VLOOKUP($B142,'C-1 On-Site WaterC'' Baseline'!$C$8:$AD$257,17,FALSE))))</f>
        <v/>
      </c>
      <c r="AT142" s="30" t="str">
        <f>IF(B142="","",VLOOKUP($B142,'C-1 On-Site WaterC'' Baseline'!$C$9:$Z$257,12,FALSE))</f>
        <v/>
      </c>
      <c r="AU142" s="30" t="str">
        <f>IF(B142="","",VLOOKUP($B142,'C-1 On-Site WaterC'' Baseline'!$C$9:$Z$257,14,FALSE))</f>
        <v/>
      </c>
      <c r="AV142" s="30" t="str">
        <f>IFERROR(INDEX('G-7 WaterC'' Data'!$AZ$3:$AZ$7,MATCH(N142,'G-7 WaterC'' Data'!$AY$3:$AY$7,0)),"")</f>
        <v/>
      </c>
      <c r="AX142" s="30" t="str">
        <f>IF(B142="","",VLOOKUP($B142,'C-1 On-Site WaterC'' Baseline'!$C$9:$Y$257,22,FALSE))</f>
        <v/>
      </c>
      <c r="AY142" s="30" t="str">
        <f t="shared" si="28"/>
        <v/>
      </c>
      <c r="AZ142" s="30" t="str">
        <f>IF(B142="","",VLOOKUP($B142,'C-1 On-Site WaterC'' Baseline'!$C$9:$Y$257,21,FALSE))</f>
        <v/>
      </c>
      <c r="BA142" s="30" t="str">
        <f>IF(B142="","",VLOOKUP($B142,'C-1 On-Site WaterC'' Baseline'!$C$9:$Y$257,19,FALSE))</f>
        <v/>
      </c>
      <c r="BD142" s="30" t="str">
        <f t="shared" si="29"/>
        <v>No</v>
      </c>
    </row>
    <row r="143" spans="2:56" ht="14">
      <c r="B143" s="305" t="str">
        <f>'C-1 On-Site WaterC'' Baseline'!AP141</f>
        <v/>
      </c>
      <c r="C143" s="295" t="str">
        <f>IF(B143="","",VLOOKUP($B143,'C-1 On-Site WaterC'' Baseline'!$C$9:$R$257,2,FALSE))</f>
        <v/>
      </c>
      <c r="D143" s="295" t="str">
        <f>IF(C143="","",VLOOKUP($B143,'C-1 On-Site WaterC'' Baseline'!$C$9:$R$257,3,FALSE))</f>
        <v/>
      </c>
      <c r="E143" s="295" t="str">
        <f>IF(D143="","",VLOOKUP($B143,'C-1 On-Site WaterC'' Baseline'!$C$9:$R$257,4,FALSE))</f>
        <v/>
      </c>
      <c r="F143" s="295" t="str">
        <f>IF(E143="","",VLOOKUP($B143,'C-1 On-Site WaterC'' Baseline'!$C$9:$R$257,5,FALSE))</f>
        <v/>
      </c>
      <c r="G143" s="295" t="str">
        <f>IF(F143="","",VLOOKUP($B143,'C-1 On-Site WaterC'' Baseline'!$C$9:$R$257,6,FALSE))</f>
        <v/>
      </c>
      <c r="H143" s="295" t="str">
        <f>IF(G143="","",VLOOKUP($B143,'C-1 On-Site WaterC'' Baseline'!$C$9:$R$257,7,FALSE))</f>
        <v/>
      </c>
      <c r="I143" s="295" t="str">
        <f>IF(H143="","",VLOOKUP($B143,'C-1 On-Site WaterC'' Baseline'!$C$9:$R$257,8,FALSE))</f>
        <v/>
      </c>
      <c r="J143" s="295" t="str">
        <f>IF(I143="","",VLOOKUP($B143,'C-1 On-Site WaterC'' Baseline'!$C$9:$R$257,9,FALSE))</f>
        <v/>
      </c>
      <c r="K143" s="295" t="str">
        <f>IF(J143="","",VLOOKUP($B143,'C-1 On-Site WaterC'' Baseline'!$C$9:$R$257,10,FALSE))</f>
        <v/>
      </c>
      <c r="L143" s="295" t="str">
        <f>IF(B143="","",VLOOKUP($B143,'C-1 On-Site WaterC'' Baseline'!$C$9:$R$257,15,FALSE))</f>
        <v/>
      </c>
      <c r="M143" s="299" t="str">
        <f>IF(L143="","",VLOOKUP($B143,'C-1 On-Site WaterC'' Baseline'!$C$9:$R$257,16,FALSE))</f>
        <v/>
      </c>
      <c r="N143" s="245"/>
      <c r="O143" s="275" t="str">
        <f t="shared" si="21"/>
        <v/>
      </c>
      <c r="P143" s="276" t="str">
        <f t="shared" si="22"/>
        <v/>
      </c>
      <c r="Q143" s="336" t="str">
        <f>IF(N143="","",VLOOKUP(B143,'C-1 On-Site WaterC'' Baseline'!$C$10:$AC$257,20,FALSE))</f>
        <v/>
      </c>
      <c r="R143" s="275" t="str">
        <f>IF(N143="","",VLOOKUP(N143,'G-7 WaterC'' Data'!$B$2:$G$8,2,FALSE))</f>
        <v/>
      </c>
      <c r="S143" s="276" t="str">
        <f>IFERROR(VLOOKUP(R143,'G-7 WaterC'' Data'!$C$4:$D$8,2,FALSE),"")</f>
        <v/>
      </c>
      <c r="T143" s="101"/>
      <c r="U143" s="276" t="str">
        <f>IFERROR(INDEX('G-7 WaterC'' Data'!$H$4:$L$8,MATCH(N143,'G-7 WaterC'' Data'!$B$4:$B$8,0),MATCH(T143,'G-7 WaterC'' Data'!$H$3:$L$3,0)),"")</f>
        <v/>
      </c>
      <c r="V143" s="101"/>
      <c r="W143" s="283" t="str">
        <f>IF(V143="","",IF(VLOOKUP(V143,'G-7 WaterC'' Data'!$AK$4:$AM$6,2,FALSE)=0,"Spatial Data Missing ⚠",VLOOKUP(V143,'G-7 WaterC'' Data'!$AK$4:$AM$6,2,FALSE)))</f>
        <v/>
      </c>
      <c r="X143" s="276" t="str">
        <f>IF(V143="","",IF(VLOOKUP(V143,'G-7 WaterC'' Data'!$AK$4:$AM$6,3,FALSE)=0,"Spatial Data Missing ⚠",VLOOKUP(V143,'G-7 WaterC'' Data'!$AK$4:$AM$6,3,FALSE)))</f>
        <v/>
      </c>
      <c r="Y143" s="275" t="str">
        <f>IFERROR(IF(OR(LEFT(P143,5)="Error",LEFT(O143,5)="Error"),"Check Data ⚠",IF(F143&lt;S143,'G-7 WaterC'' Data'!$R$3,INDEX('G-7 WaterC'' Data'!$U$5:$Y$9,MATCH(G143,'G-7 WaterC'' Data'!$T$5:$T$9,0),MATCH(T143,'G-7 WaterC'' Data'!$U$4:$Y$4,0)))),"")</f>
        <v/>
      </c>
      <c r="Z143" s="133"/>
      <c r="AA143" s="133"/>
      <c r="AB143" s="283" t="str">
        <f t="shared" si="23"/>
        <v/>
      </c>
      <c r="AC143" s="296" t="str">
        <f t="shared" si="24"/>
        <v/>
      </c>
      <c r="AD143" s="334" t="str">
        <f>IFERROR(IF(AC143="Check Data ⚠","Check Data ⚠",VLOOKUP(AC143,'G-4 Temporal multipliers'!$A$4:$C$37,3,FALSE)),"")</f>
        <v/>
      </c>
      <c r="AE143" s="275" t="str">
        <f>IF(N143="","",VLOOKUP(N143,'G-7 WaterC'' Data'!$B$4:$G$8,5,FALSE))</f>
        <v/>
      </c>
      <c r="AF143" s="283" t="str">
        <f t="shared" si="25"/>
        <v/>
      </c>
      <c r="AG143" s="314" t="str">
        <f t="shared" si="26"/>
        <v/>
      </c>
      <c r="AH143" s="276" t="str">
        <f t="shared" si="20"/>
        <v/>
      </c>
      <c r="AI143" s="105"/>
      <c r="AJ143" s="276" t="str">
        <f>IF(AI143="","",IF(AND(AI143="N/A - Culvert",N143&lt;&gt;"Culvert"),"Not possible ▲",IF(VLOOKUP(AI143,'G-7 WaterC'' Data'!$AA$4:$AB$7,2,FALSE)=0,"Spatial Data Missing ⚠",VLOOKUP(AI143,'G-7 WaterC'' Data'!$AA$4:$AB$7,2,FALSE))))</f>
        <v/>
      </c>
      <c r="AK143" s="106"/>
      <c r="AL143" s="276" t="str">
        <f>IF(AK143="","",IF(AND(AK143="N/A - Culvert",N143&lt;&gt;"Culvert"),"Not possible ▲",IF(VLOOKUP(AK143,'G-7 WaterC'' Data'!$AD$4:$AE$14,2,FALSE)=0,"Spatial Data Missing ⚠",VLOOKUP(AK143,'G-7 WaterC'' Data'!$AD$4:$AE$14,2,FALSE))))</f>
        <v/>
      </c>
      <c r="AM143" s="317" t="str">
        <f t="shared" si="27"/>
        <v/>
      </c>
      <c r="AN143" s="101"/>
      <c r="AO143" s="115"/>
      <c r="AP143" s="104"/>
      <c r="AS143" s="30" t="str">
        <f>IF(B143="","",IF(ISNA(VLOOKUP($B143,'C-1 On-Site WaterC'' Baseline'!$C$8:$AD$257,17,FALSE)),"",(VLOOKUP($B143,'C-1 On-Site WaterC'' Baseline'!$C$8:$AD$257,17,FALSE))))</f>
        <v/>
      </c>
      <c r="AT143" s="30" t="str">
        <f>IF(B143="","",VLOOKUP($B143,'C-1 On-Site WaterC'' Baseline'!$C$9:$Z$257,12,FALSE))</f>
        <v/>
      </c>
      <c r="AU143" s="30" t="str">
        <f>IF(B143="","",VLOOKUP($B143,'C-1 On-Site WaterC'' Baseline'!$C$9:$Z$257,14,FALSE))</f>
        <v/>
      </c>
      <c r="AV143" s="30" t="str">
        <f>IFERROR(INDEX('G-7 WaterC'' Data'!$AZ$3:$AZ$7,MATCH(N143,'G-7 WaterC'' Data'!$AY$3:$AY$7,0)),"")</f>
        <v/>
      </c>
      <c r="AX143" s="30" t="str">
        <f>IF(B143="","",VLOOKUP($B143,'C-1 On-Site WaterC'' Baseline'!$C$9:$Y$257,22,FALSE))</f>
        <v/>
      </c>
      <c r="AY143" s="30" t="str">
        <f t="shared" si="28"/>
        <v/>
      </c>
      <c r="AZ143" s="30" t="str">
        <f>IF(B143="","",VLOOKUP($B143,'C-1 On-Site WaterC'' Baseline'!$C$9:$Y$257,21,FALSE))</f>
        <v/>
      </c>
      <c r="BA143" s="30" t="str">
        <f>IF(B143="","",VLOOKUP($B143,'C-1 On-Site WaterC'' Baseline'!$C$9:$Y$257,19,FALSE))</f>
        <v/>
      </c>
      <c r="BD143" s="30" t="str">
        <f t="shared" si="29"/>
        <v>No</v>
      </c>
    </row>
    <row r="144" spans="2:56" ht="14">
      <c r="B144" s="305" t="str">
        <f>'C-1 On-Site WaterC'' Baseline'!AP142</f>
        <v/>
      </c>
      <c r="C144" s="295" t="str">
        <f>IF(B144="","",VLOOKUP($B144,'C-1 On-Site WaterC'' Baseline'!$C$9:$R$257,2,FALSE))</f>
        <v/>
      </c>
      <c r="D144" s="295" t="str">
        <f>IF(C144="","",VLOOKUP($B144,'C-1 On-Site WaterC'' Baseline'!$C$9:$R$257,3,FALSE))</f>
        <v/>
      </c>
      <c r="E144" s="295" t="str">
        <f>IF(D144="","",VLOOKUP($B144,'C-1 On-Site WaterC'' Baseline'!$C$9:$R$257,4,FALSE))</f>
        <v/>
      </c>
      <c r="F144" s="295" t="str">
        <f>IF(E144="","",VLOOKUP($B144,'C-1 On-Site WaterC'' Baseline'!$C$9:$R$257,5,FALSE))</f>
        <v/>
      </c>
      <c r="G144" s="295" t="str">
        <f>IF(F144="","",VLOOKUP($B144,'C-1 On-Site WaterC'' Baseline'!$C$9:$R$257,6,FALSE))</f>
        <v/>
      </c>
      <c r="H144" s="295" t="str">
        <f>IF(G144="","",VLOOKUP($B144,'C-1 On-Site WaterC'' Baseline'!$C$9:$R$257,7,FALSE))</f>
        <v/>
      </c>
      <c r="I144" s="295" t="str">
        <f>IF(H144="","",VLOOKUP($B144,'C-1 On-Site WaterC'' Baseline'!$C$9:$R$257,8,FALSE))</f>
        <v/>
      </c>
      <c r="J144" s="295" t="str">
        <f>IF(I144="","",VLOOKUP($B144,'C-1 On-Site WaterC'' Baseline'!$C$9:$R$257,9,FALSE))</f>
        <v/>
      </c>
      <c r="K144" s="295" t="str">
        <f>IF(J144="","",VLOOKUP($B144,'C-1 On-Site WaterC'' Baseline'!$C$9:$R$257,10,FALSE))</f>
        <v/>
      </c>
      <c r="L144" s="295" t="str">
        <f>IF(B144="","",VLOOKUP($B144,'C-1 On-Site WaterC'' Baseline'!$C$9:$R$257,15,FALSE))</f>
        <v/>
      </c>
      <c r="M144" s="299" t="str">
        <f>IF(L144="","",VLOOKUP($B144,'C-1 On-Site WaterC'' Baseline'!$C$9:$R$257,16,FALSE))</f>
        <v/>
      </c>
      <c r="N144" s="245"/>
      <c r="O144" s="275" t="str">
        <f t="shared" si="21"/>
        <v/>
      </c>
      <c r="P144" s="276" t="str">
        <f t="shared" si="22"/>
        <v/>
      </c>
      <c r="Q144" s="336" t="str">
        <f>IF(N144="","",VLOOKUP(B144,'C-1 On-Site WaterC'' Baseline'!$C$10:$AC$257,20,FALSE))</f>
        <v/>
      </c>
      <c r="R144" s="275" t="str">
        <f>IF(N144="","",VLOOKUP(N144,'G-7 WaterC'' Data'!$B$2:$G$8,2,FALSE))</f>
        <v/>
      </c>
      <c r="S144" s="276" t="str">
        <f>IFERROR(VLOOKUP(R144,'G-7 WaterC'' Data'!$C$4:$D$8,2,FALSE),"")</f>
        <v/>
      </c>
      <c r="T144" s="101"/>
      <c r="U144" s="276" t="str">
        <f>IFERROR(INDEX('G-7 WaterC'' Data'!$H$4:$L$8,MATCH(N144,'G-7 WaterC'' Data'!$B$4:$B$8,0),MATCH(T144,'G-7 WaterC'' Data'!$H$3:$L$3,0)),"")</f>
        <v/>
      </c>
      <c r="V144" s="101"/>
      <c r="W144" s="283" t="str">
        <f>IF(V144="","",IF(VLOOKUP(V144,'G-7 WaterC'' Data'!$AK$4:$AM$6,2,FALSE)=0,"Spatial Data Missing ⚠",VLOOKUP(V144,'G-7 WaterC'' Data'!$AK$4:$AM$6,2,FALSE)))</f>
        <v/>
      </c>
      <c r="X144" s="276" t="str">
        <f>IF(V144="","",IF(VLOOKUP(V144,'G-7 WaterC'' Data'!$AK$4:$AM$6,3,FALSE)=0,"Spatial Data Missing ⚠",VLOOKUP(V144,'G-7 WaterC'' Data'!$AK$4:$AM$6,3,FALSE)))</f>
        <v/>
      </c>
      <c r="Y144" s="275" t="str">
        <f>IFERROR(IF(OR(LEFT(P144,5)="Error",LEFT(O144,5)="Error"),"Check Data ⚠",IF(F144&lt;S144,'G-7 WaterC'' Data'!$R$3,INDEX('G-7 WaterC'' Data'!$U$5:$Y$9,MATCH(G144,'G-7 WaterC'' Data'!$T$5:$T$9,0),MATCH(T144,'G-7 WaterC'' Data'!$U$4:$Y$4,0)))),"")</f>
        <v/>
      </c>
      <c r="Z144" s="133"/>
      <c r="AA144" s="133"/>
      <c r="AB144" s="283" t="str">
        <f t="shared" si="23"/>
        <v/>
      </c>
      <c r="AC144" s="296" t="str">
        <f t="shared" si="24"/>
        <v/>
      </c>
      <c r="AD144" s="334" t="str">
        <f>IFERROR(IF(AC144="Check Data ⚠","Check Data ⚠",VLOOKUP(AC144,'G-4 Temporal multipliers'!$A$4:$C$37,3,FALSE)),"")</f>
        <v/>
      </c>
      <c r="AE144" s="275" t="str">
        <f>IF(N144="","",VLOOKUP(N144,'G-7 WaterC'' Data'!$B$4:$G$8,5,FALSE))</f>
        <v/>
      </c>
      <c r="AF144" s="283" t="str">
        <f t="shared" si="25"/>
        <v/>
      </c>
      <c r="AG144" s="314" t="str">
        <f t="shared" si="26"/>
        <v/>
      </c>
      <c r="AH144" s="276" t="str">
        <f t="shared" si="20"/>
        <v/>
      </c>
      <c r="AI144" s="105"/>
      <c r="AJ144" s="276" t="str">
        <f>IF(AI144="","",IF(AND(AI144="N/A - Culvert",N144&lt;&gt;"Culvert"),"Not possible ▲",IF(VLOOKUP(AI144,'G-7 WaterC'' Data'!$AA$4:$AB$7,2,FALSE)=0,"Spatial Data Missing ⚠",VLOOKUP(AI144,'G-7 WaterC'' Data'!$AA$4:$AB$7,2,FALSE))))</f>
        <v/>
      </c>
      <c r="AK144" s="106"/>
      <c r="AL144" s="276" t="str">
        <f>IF(AK144="","",IF(AND(AK144="N/A - Culvert",N144&lt;&gt;"Culvert"),"Not possible ▲",IF(VLOOKUP(AK144,'G-7 WaterC'' Data'!$AD$4:$AE$14,2,FALSE)=0,"Spatial Data Missing ⚠",VLOOKUP(AK144,'G-7 WaterC'' Data'!$AD$4:$AE$14,2,FALSE))))</f>
        <v/>
      </c>
      <c r="AM144" s="317" t="str">
        <f t="shared" si="27"/>
        <v/>
      </c>
      <c r="AN144" s="101"/>
      <c r="AO144" s="115"/>
      <c r="AP144" s="104"/>
      <c r="AS144" s="30" t="str">
        <f>IF(B144="","",IF(ISNA(VLOOKUP($B144,'C-1 On-Site WaterC'' Baseline'!$C$8:$AD$257,17,FALSE)),"",(VLOOKUP($B144,'C-1 On-Site WaterC'' Baseline'!$C$8:$AD$257,17,FALSE))))</f>
        <v/>
      </c>
      <c r="AT144" s="30" t="str">
        <f>IF(B144="","",VLOOKUP($B144,'C-1 On-Site WaterC'' Baseline'!$C$9:$Z$257,12,FALSE))</f>
        <v/>
      </c>
      <c r="AU144" s="30" t="str">
        <f>IF(B144="","",VLOOKUP($B144,'C-1 On-Site WaterC'' Baseline'!$C$9:$Z$257,14,FALSE))</f>
        <v/>
      </c>
      <c r="AV144" s="30" t="str">
        <f>IFERROR(INDEX('G-7 WaterC'' Data'!$AZ$3:$AZ$7,MATCH(N144,'G-7 WaterC'' Data'!$AY$3:$AY$7,0)),"")</f>
        <v/>
      </c>
      <c r="AX144" s="30" t="str">
        <f>IF(B144="","",VLOOKUP($B144,'C-1 On-Site WaterC'' Baseline'!$C$9:$Y$257,22,FALSE))</f>
        <v/>
      </c>
      <c r="AY144" s="30" t="str">
        <f t="shared" si="28"/>
        <v/>
      </c>
      <c r="AZ144" s="30" t="str">
        <f>IF(B144="","",VLOOKUP($B144,'C-1 On-Site WaterC'' Baseline'!$C$9:$Y$257,21,FALSE))</f>
        <v/>
      </c>
      <c r="BA144" s="30" t="str">
        <f>IF(B144="","",VLOOKUP($B144,'C-1 On-Site WaterC'' Baseline'!$C$9:$Y$257,19,FALSE))</f>
        <v/>
      </c>
      <c r="BD144" s="30" t="str">
        <f t="shared" si="29"/>
        <v>No</v>
      </c>
    </row>
    <row r="145" spans="2:56" ht="14">
      <c r="B145" s="305" t="str">
        <f>'C-1 On-Site WaterC'' Baseline'!AP143</f>
        <v/>
      </c>
      <c r="C145" s="295" t="str">
        <f>IF(B145="","",VLOOKUP($B145,'C-1 On-Site WaterC'' Baseline'!$C$9:$R$257,2,FALSE))</f>
        <v/>
      </c>
      <c r="D145" s="295" t="str">
        <f>IF(C145="","",VLOOKUP($B145,'C-1 On-Site WaterC'' Baseline'!$C$9:$R$257,3,FALSE))</f>
        <v/>
      </c>
      <c r="E145" s="295" t="str">
        <f>IF(D145="","",VLOOKUP($B145,'C-1 On-Site WaterC'' Baseline'!$C$9:$R$257,4,FALSE))</f>
        <v/>
      </c>
      <c r="F145" s="295" t="str">
        <f>IF(E145="","",VLOOKUP($B145,'C-1 On-Site WaterC'' Baseline'!$C$9:$R$257,5,FALSE))</f>
        <v/>
      </c>
      <c r="G145" s="295" t="str">
        <f>IF(F145="","",VLOOKUP($B145,'C-1 On-Site WaterC'' Baseline'!$C$9:$R$257,6,FALSE))</f>
        <v/>
      </c>
      <c r="H145" s="295" t="str">
        <f>IF(G145="","",VLOOKUP($B145,'C-1 On-Site WaterC'' Baseline'!$C$9:$R$257,7,FALSE))</f>
        <v/>
      </c>
      <c r="I145" s="295" t="str">
        <f>IF(H145="","",VLOOKUP($B145,'C-1 On-Site WaterC'' Baseline'!$C$9:$R$257,8,FALSE))</f>
        <v/>
      </c>
      <c r="J145" s="295" t="str">
        <f>IF(I145="","",VLOOKUP($B145,'C-1 On-Site WaterC'' Baseline'!$C$9:$R$257,9,FALSE))</f>
        <v/>
      </c>
      <c r="K145" s="295" t="str">
        <f>IF(J145="","",VLOOKUP($B145,'C-1 On-Site WaterC'' Baseline'!$C$9:$R$257,10,FALSE))</f>
        <v/>
      </c>
      <c r="L145" s="295" t="str">
        <f>IF(B145="","",VLOOKUP($B145,'C-1 On-Site WaterC'' Baseline'!$C$9:$R$257,15,FALSE))</f>
        <v/>
      </c>
      <c r="M145" s="299" t="str">
        <f>IF(L145="","",VLOOKUP($B145,'C-1 On-Site WaterC'' Baseline'!$C$9:$R$257,16,FALSE))</f>
        <v/>
      </c>
      <c r="N145" s="245"/>
      <c r="O145" s="275" t="str">
        <f t="shared" si="21"/>
        <v/>
      </c>
      <c r="P145" s="276" t="str">
        <f t="shared" si="22"/>
        <v/>
      </c>
      <c r="Q145" s="336" t="str">
        <f>IF(N145="","",VLOOKUP(B145,'C-1 On-Site WaterC'' Baseline'!$C$10:$AC$257,20,FALSE))</f>
        <v/>
      </c>
      <c r="R145" s="275" t="str">
        <f>IF(N145="","",VLOOKUP(N145,'G-7 WaterC'' Data'!$B$2:$G$8,2,FALSE))</f>
        <v/>
      </c>
      <c r="S145" s="276" t="str">
        <f>IFERROR(VLOOKUP(R145,'G-7 WaterC'' Data'!$C$4:$D$8,2,FALSE),"")</f>
        <v/>
      </c>
      <c r="T145" s="101"/>
      <c r="U145" s="276" t="str">
        <f>IFERROR(INDEX('G-7 WaterC'' Data'!$H$4:$L$8,MATCH(N145,'G-7 WaterC'' Data'!$B$4:$B$8,0),MATCH(T145,'G-7 WaterC'' Data'!$H$3:$L$3,0)),"")</f>
        <v/>
      </c>
      <c r="V145" s="101"/>
      <c r="W145" s="283" t="str">
        <f>IF(V145="","",IF(VLOOKUP(V145,'G-7 WaterC'' Data'!$AK$4:$AM$6,2,FALSE)=0,"Spatial Data Missing ⚠",VLOOKUP(V145,'G-7 WaterC'' Data'!$AK$4:$AM$6,2,FALSE)))</f>
        <v/>
      </c>
      <c r="X145" s="276" t="str">
        <f>IF(V145="","",IF(VLOOKUP(V145,'G-7 WaterC'' Data'!$AK$4:$AM$6,3,FALSE)=0,"Spatial Data Missing ⚠",VLOOKUP(V145,'G-7 WaterC'' Data'!$AK$4:$AM$6,3,FALSE)))</f>
        <v/>
      </c>
      <c r="Y145" s="275" t="str">
        <f>IFERROR(IF(OR(LEFT(P145,5)="Error",LEFT(O145,5)="Error"),"Check Data ⚠",IF(F145&lt;S145,'G-7 WaterC'' Data'!$R$3,INDEX('G-7 WaterC'' Data'!$U$5:$Y$9,MATCH(G145,'G-7 WaterC'' Data'!$T$5:$T$9,0),MATCH(T145,'G-7 WaterC'' Data'!$U$4:$Y$4,0)))),"")</f>
        <v/>
      </c>
      <c r="Z145" s="133"/>
      <c r="AA145" s="133"/>
      <c r="AB145" s="283" t="str">
        <f t="shared" si="23"/>
        <v/>
      </c>
      <c r="AC145" s="296" t="str">
        <f t="shared" si="24"/>
        <v/>
      </c>
      <c r="AD145" s="334" t="str">
        <f>IFERROR(IF(AC145="Check Data ⚠","Check Data ⚠",VLOOKUP(AC145,'G-4 Temporal multipliers'!$A$4:$C$37,3,FALSE)),"")</f>
        <v/>
      </c>
      <c r="AE145" s="275" t="str">
        <f>IF(N145="","",VLOOKUP(N145,'G-7 WaterC'' Data'!$B$4:$G$8,5,FALSE))</f>
        <v/>
      </c>
      <c r="AF145" s="283" t="str">
        <f t="shared" si="25"/>
        <v/>
      </c>
      <c r="AG145" s="314" t="str">
        <f t="shared" si="26"/>
        <v/>
      </c>
      <c r="AH145" s="276" t="str">
        <f t="shared" si="20"/>
        <v/>
      </c>
      <c r="AI145" s="105"/>
      <c r="AJ145" s="276" t="str">
        <f>IF(AI145="","",IF(AND(AI145="N/A - Culvert",N145&lt;&gt;"Culvert"),"Not possible ▲",IF(VLOOKUP(AI145,'G-7 WaterC'' Data'!$AA$4:$AB$7,2,FALSE)=0,"Spatial Data Missing ⚠",VLOOKUP(AI145,'G-7 WaterC'' Data'!$AA$4:$AB$7,2,FALSE))))</f>
        <v/>
      </c>
      <c r="AK145" s="106"/>
      <c r="AL145" s="276" t="str">
        <f>IF(AK145="","",IF(AND(AK145="N/A - Culvert",N145&lt;&gt;"Culvert"),"Not possible ▲",IF(VLOOKUP(AK145,'G-7 WaterC'' Data'!$AD$4:$AE$14,2,FALSE)=0,"Spatial Data Missing ⚠",VLOOKUP(AK145,'G-7 WaterC'' Data'!$AD$4:$AE$14,2,FALSE))))</f>
        <v/>
      </c>
      <c r="AM145" s="317" t="str">
        <f t="shared" si="27"/>
        <v/>
      </c>
      <c r="AN145" s="101"/>
      <c r="AO145" s="115"/>
      <c r="AP145" s="104"/>
      <c r="AS145" s="30" t="str">
        <f>IF(B145="","",IF(ISNA(VLOOKUP($B145,'C-1 On-Site WaterC'' Baseline'!$C$8:$AD$257,17,FALSE)),"",(VLOOKUP($B145,'C-1 On-Site WaterC'' Baseline'!$C$8:$AD$257,17,FALSE))))</f>
        <v/>
      </c>
      <c r="AT145" s="30" t="str">
        <f>IF(B145="","",VLOOKUP($B145,'C-1 On-Site WaterC'' Baseline'!$C$9:$Z$257,12,FALSE))</f>
        <v/>
      </c>
      <c r="AU145" s="30" t="str">
        <f>IF(B145="","",VLOOKUP($B145,'C-1 On-Site WaterC'' Baseline'!$C$9:$Z$257,14,FALSE))</f>
        <v/>
      </c>
      <c r="AV145" s="30" t="str">
        <f>IFERROR(INDEX('G-7 WaterC'' Data'!$AZ$3:$AZ$7,MATCH(N145,'G-7 WaterC'' Data'!$AY$3:$AY$7,0)),"")</f>
        <v/>
      </c>
      <c r="AX145" s="30" t="str">
        <f>IF(B145="","",VLOOKUP($B145,'C-1 On-Site WaterC'' Baseline'!$C$9:$Y$257,22,FALSE))</f>
        <v/>
      </c>
      <c r="AY145" s="30" t="str">
        <f t="shared" si="28"/>
        <v/>
      </c>
      <c r="AZ145" s="30" t="str">
        <f>IF(B145="","",VLOOKUP($B145,'C-1 On-Site WaterC'' Baseline'!$C$9:$Y$257,21,FALSE))</f>
        <v/>
      </c>
      <c r="BA145" s="30" t="str">
        <f>IF(B145="","",VLOOKUP($B145,'C-1 On-Site WaterC'' Baseline'!$C$9:$Y$257,19,FALSE))</f>
        <v/>
      </c>
      <c r="BD145" s="30" t="str">
        <f t="shared" si="29"/>
        <v>No</v>
      </c>
    </row>
    <row r="146" spans="2:56" ht="14">
      <c r="B146" s="305" t="str">
        <f>'C-1 On-Site WaterC'' Baseline'!AP144</f>
        <v/>
      </c>
      <c r="C146" s="295" t="str">
        <f>IF(B146="","",VLOOKUP($B146,'C-1 On-Site WaterC'' Baseline'!$C$9:$R$257,2,FALSE))</f>
        <v/>
      </c>
      <c r="D146" s="295" t="str">
        <f>IF(C146="","",VLOOKUP($B146,'C-1 On-Site WaterC'' Baseline'!$C$9:$R$257,3,FALSE))</f>
        <v/>
      </c>
      <c r="E146" s="295" t="str">
        <f>IF(D146="","",VLOOKUP($B146,'C-1 On-Site WaterC'' Baseline'!$C$9:$R$257,4,FALSE))</f>
        <v/>
      </c>
      <c r="F146" s="295" t="str">
        <f>IF(E146="","",VLOOKUP($B146,'C-1 On-Site WaterC'' Baseline'!$C$9:$R$257,5,FALSE))</f>
        <v/>
      </c>
      <c r="G146" s="295" t="str">
        <f>IF(F146="","",VLOOKUP($B146,'C-1 On-Site WaterC'' Baseline'!$C$9:$R$257,6,FALSE))</f>
        <v/>
      </c>
      <c r="H146" s="295" t="str">
        <f>IF(G146="","",VLOOKUP($B146,'C-1 On-Site WaterC'' Baseline'!$C$9:$R$257,7,FALSE))</f>
        <v/>
      </c>
      <c r="I146" s="295" t="str">
        <f>IF(H146="","",VLOOKUP($B146,'C-1 On-Site WaterC'' Baseline'!$C$9:$R$257,8,FALSE))</f>
        <v/>
      </c>
      <c r="J146" s="295" t="str">
        <f>IF(I146="","",VLOOKUP($B146,'C-1 On-Site WaterC'' Baseline'!$C$9:$R$257,9,FALSE))</f>
        <v/>
      </c>
      <c r="K146" s="295" t="str">
        <f>IF(J146="","",VLOOKUP($B146,'C-1 On-Site WaterC'' Baseline'!$C$9:$R$257,10,FALSE))</f>
        <v/>
      </c>
      <c r="L146" s="295" t="str">
        <f>IF(B146="","",VLOOKUP($B146,'C-1 On-Site WaterC'' Baseline'!$C$9:$R$257,15,FALSE))</f>
        <v/>
      </c>
      <c r="M146" s="299" t="str">
        <f>IF(L146="","",VLOOKUP($B146,'C-1 On-Site WaterC'' Baseline'!$C$9:$R$257,16,FALSE))</f>
        <v/>
      </c>
      <c r="N146" s="245"/>
      <c r="O146" s="275" t="str">
        <f t="shared" si="21"/>
        <v/>
      </c>
      <c r="P146" s="276" t="str">
        <f t="shared" si="22"/>
        <v/>
      </c>
      <c r="Q146" s="336" t="str">
        <f>IF(N146="","",VLOOKUP(B146,'C-1 On-Site WaterC'' Baseline'!$C$10:$AC$257,20,FALSE))</f>
        <v/>
      </c>
      <c r="R146" s="275" t="str">
        <f>IF(N146="","",VLOOKUP(N146,'G-7 WaterC'' Data'!$B$2:$G$8,2,FALSE))</f>
        <v/>
      </c>
      <c r="S146" s="276" t="str">
        <f>IFERROR(VLOOKUP(R146,'G-7 WaterC'' Data'!$C$4:$D$8,2,FALSE),"")</f>
        <v/>
      </c>
      <c r="T146" s="101"/>
      <c r="U146" s="276" t="str">
        <f>IFERROR(INDEX('G-7 WaterC'' Data'!$H$4:$L$8,MATCH(N146,'G-7 WaterC'' Data'!$B$4:$B$8,0),MATCH(T146,'G-7 WaterC'' Data'!$H$3:$L$3,0)),"")</f>
        <v/>
      </c>
      <c r="V146" s="101"/>
      <c r="W146" s="283" t="str">
        <f>IF(V146="","",IF(VLOOKUP(V146,'G-7 WaterC'' Data'!$AK$4:$AM$6,2,FALSE)=0,"Spatial Data Missing ⚠",VLOOKUP(V146,'G-7 WaterC'' Data'!$AK$4:$AM$6,2,FALSE)))</f>
        <v/>
      </c>
      <c r="X146" s="276" t="str">
        <f>IF(V146="","",IF(VLOOKUP(V146,'G-7 WaterC'' Data'!$AK$4:$AM$6,3,FALSE)=0,"Spatial Data Missing ⚠",VLOOKUP(V146,'G-7 WaterC'' Data'!$AK$4:$AM$6,3,FALSE)))</f>
        <v/>
      </c>
      <c r="Y146" s="275" t="str">
        <f>IFERROR(IF(OR(LEFT(P146,5)="Error",LEFT(O146,5)="Error"),"Check Data ⚠",IF(F146&lt;S146,'G-7 WaterC'' Data'!$R$3,INDEX('G-7 WaterC'' Data'!$U$5:$Y$9,MATCH(G146,'G-7 WaterC'' Data'!$T$5:$T$9,0),MATCH(T146,'G-7 WaterC'' Data'!$U$4:$Y$4,0)))),"")</f>
        <v/>
      </c>
      <c r="Z146" s="133"/>
      <c r="AA146" s="133"/>
      <c r="AB146" s="283" t="str">
        <f t="shared" si="23"/>
        <v/>
      </c>
      <c r="AC146" s="296" t="str">
        <f t="shared" si="24"/>
        <v/>
      </c>
      <c r="AD146" s="334" t="str">
        <f>IFERROR(IF(AC146="Check Data ⚠","Check Data ⚠",VLOOKUP(AC146,'G-4 Temporal multipliers'!$A$4:$C$37,3,FALSE)),"")</f>
        <v/>
      </c>
      <c r="AE146" s="275" t="str">
        <f>IF(N146="","",VLOOKUP(N146,'G-7 WaterC'' Data'!$B$4:$G$8,5,FALSE))</f>
        <v/>
      </c>
      <c r="AF146" s="283" t="str">
        <f t="shared" si="25"/>
        <v/>
      </c>
      <c r="AG146" s="314" t="str">
        <f t="shared" si="26"/>
        <v/>
      </c>
      <c r="AH146" s="276" t="str">
        <f t="shared" si="20"/>
        <v/>
      </c>
      <c r="AI146" s="105"/>
      <c r="AJ146" s="276" t="str">
        <f>IF(AI146="","",IF(AND(AI146="N/A - Culvert",N146&lt;&gt;"Culvert"),"Not possible ▲",IF(VLOOKUP(AI146,'G-7 WaterC'' Data'!$AA$4:$AB$7,2,FALSE)=0,"Spatial Data Missing ⚠",VLOOKUP(AI146,'G-7 WaterC'' Data'!$AA$4:$AB$7,2,FALSE))))</f>
        <v/>
      </c>
      <c r="AK146" s="106"/>
      <c r="AL146" s="276" t="str">
        <f>IF(AK146="","",IF(AND(AK146="N/A - Culvert",N146&lt;&gt;"Culvert"),"Not possible ▲",IF(VLOOKUP(AK146,'G-7 WaterC'' Data'!$AD$4:$AE$14,2,FALSE)=0,"Spatial Data Missing ⚠",VLOOKUP(AK146,'G-7 WaterC'' Data'!$AD$4:$AE$14,2,FALSE))))</f>
        <v/>
      </c>
      <c r="AM146" s="317" t="str">
        <f t="shared" si="27"/>
        <v/>
      </c>
      <c r="AN146" s="101"/>
      <c r="AO146" s="115"/>
      <c r="AP146" s="104"/>
      <c r="AS146" s="30" t="str">
        <f>IF(B146="","",IF(ISNA(VLOOKUP($B146,'C-1 On-Site WaterC'' Baseline'!$C$8:$AD$257,17,FALSE)),"",(VLOOKUP($B146,'C-1 On-Site WaterC'' Baseline'!$C$8:$AD$257,17,FALSE))))</f>
        <v/>
      </c>
      <c r="AT146" s="30" t="str">
        <f>IF(B146="","",VLOOKUP($B146,'C-1 On-Site WaterC'' Baseline'!$C$9:$Z$257,12,FALSE))</f>
        <v/>
      </c>
      <c r="AU146" s="30" t="str">
        <f>IF(B146="","",VLOOKUP($B146,'C-1 On-Site WaterC'' Baseline'!$C$9:$Z$257,14,FALSE))</f>
        <v/>
      </c>
      <c r="AV146" s="30" t="str">
        <f>IFERROR(INDEX('G-7 WaterC'' Data'!$AZ$3:$AZ$7,MATCH(N146,'G-7 WaterC'' Data'!$AY$3:$AY$7,0)),"")</f>
        <v/>
      </c>
      <c r="AX146" s="30" t="str">
        <f>IF(B146="","",VLOOKUP($B146,'C-1 On-Site WaterC'' Baseline'!$C$9:$Y$257,22,FALSE))</f>
        <v/>
      </c>
      <c r="AY146" s="30" t="str">
        <f t="shared" si="28"/>
        <v/>
      </c>
      <c r="AZ146" s="30" t="str">
        <f>IF(B146="","",VLOOKUP($B146,'C-1 On-Site WaterC'' Baseline'!$C$9:$Y$257,21,FALSE))</f>
        <v/>
      </c>
      <c r="BA146" s="30" t="str">
        <f>IF(B146="","",VLOOKUP($B146,'C-1 On-Site WaterC'' Baseline'!$C$9:$Y$257,19,FALSE))</f>
        <v/>
      </c>
      <c r="BD146" s="30" t="str">
        <f t="shared" si="29"/>
        <v>No</v>
      </c>
    </row>
    <row r="147" spans="2:56" ht="14">
      <c r="B147" s="305" t="str">
        <f>'C-1 On-Site WaterC'' Baseline'!AP145</f>
        <v/>
      </c>
      <c r="C147" s="295" t="str">
        <f>IF(B147="","",VLOOKUP($B147,'C-1 On-Site WaterC'' Baseline'!$C$9:$R$257,2,FALSE))</f>
        <v/>
      </c>
      <c r="D147" s="295" t="str">
        <f>IF(C147="","",VLOOKUP($B147,'C-1 On-Site WaterC'' Baseline'!$C$9:$R$257,3,FALSE))</f>
        <v/>
      </c>
      <c r="E147" s="295" t="str">
        <f>IF(D147="","",VLOOKUP($B147,'C-1 On-Site WaterC'' Baseline'!$C$9:$R$257,4,FALSE))</f>
        <v/>
      </c>
      <c r="F147" s="295" t="str">
        <f>IF(E147="","",VLOOKUP($B147,'C-1 On-Site WaterC'' Baseline'!$C$9:$R$257,5,FALSE))</f>
        <v/>
      </c>
      <c r="G147" s="295" t="str">
        <f>IF(F147="","",VLOOKUP($B147,'C-1 On-Site WaterC'' Baseline'!$C$9:$R$257,6,FALSE))</f>
        <v/>
      </c>
      <c r="H147" s="295" t="str">
        <f>IF(G147="","",VLOOKUP($B147,'C-1 On-Site WaterC'' Baseline'!$C$9:$R$257,7,FALSE))</f>
        <v/>
      </c>
      <c r="I147" s="295" t="str">
        <f>IF(H147="","",VLOOKUP($B147,'C-1 On-Site WaterC'' Baseline'!$C$9:$R$257,8,FALSE))</f>
        <v/>
      </c>
      <c r="J147" s="295" t="str">
        <f>IF(I147="","",VLOOKUP($B147,'C-1 On-Site WaterC'' Baseline'!$C$9:$R$257,9,FALSE))</f>
        <v/>
      </c>
      <c r="K147" s="295" t="str">
        <f>IF(J147="","",VLOOKUP($B147,'C-1 On-Site WaterC'' Baseline'!$C$9:$R$257,10,FALSE))</f>
        <v/>
      </c>
      <c r="L147" s="295" t="str">
        <f>IF(B147="","",VLOOKUP($B147,'C-1 On-Site WaterC'' Baseline'!$C$9:$R$257,15,FALSE))</f>
        <v/>
      </c>
      <c r="M147" s="299" t="str">
        <f>IF(L147="","",VLOOKUP($B147,'C-1 On-Site WaterC'' Baseline'!$C$9:$R$257,16,FALSE))</f>
        <v/>
      </c>
      <c r="N147" s="245"/>
      <c r="O147" s="275" t="str">
        <f t="shared" si="21"/>
        <v/>
      </c>
      <c r="P147" s="276" t="str">
        <f t="shared" si="22"/>
        <v/>
      </c>
      <c r="Q147" s="336" t="str">
        <f>IF(N147="","",VLOOKUP(B147,'C-1 On-Site WaterC'' Baseline'!$C$10:$AC$257,20,FALSE))</f>
        <v/>
      </c>
      <c r="R147" s="275" t="str">
        <f>IF(N147="","",VLOOKUP(N147,'G-7 WaterC'' Data'!$B$2:$G$8,2,FALSE))</f>
        <v/>
      </c>
      <c r="S147" s="276" t="str">
        <f>IFERROR(VLOOKUP(R147,'G-7 WaterC'' Data'!$C$4:$D$8,2,FALSE),"")</f>
        <v/>
      </c>
      <c r="T147" s="101"/>
      <c r="U147" s="276" t="str">
        <f>IFERROR(INDEX('G-7 WaterC'' Data'!$H$4:$L$8,MATCH(N147,'G-7 WaterC'' Data'!$B$4:$B$8,0),MATCH(T147,'G-7 WaterC'' Data'!$H$3:$L$3,0)),"")</f>
        <v/>
      </c>
      <c r="V147" s="101"/>
      <c r="W147" s="283" t="str">
        <f>IF(V147="","",IF(VLOOKUP(V147,'G-7 WaterC'' Data'!$AK$4:$AM$6,2,FALSE)=0,"Spatial Data Missing ⚠",VLOOKUP(V147,'G-7 WaterC'' Data'!$AK$4:$AM$6,2,FALSE)))</f>
        <v/>
      </c>
      <c r="X147" s="276" t="str">
        <f>IF(V147="","",IF(VLOOKUP(V147,'G-7 WaterC'' Data'!$AK$4:$AM$6,3,FALSE)=0,"Spatial Data Missing ⚠",VLOOKUP(V147,'G-7 WaterC'' Data'!$AK$4:$AM$6,3,FALSE)))</f>
        <v/>
      </c>
      <c r="Y147" s="275" t="str">
        <f>IFERROR(IF(OR(LEFT(P147,5)="Error",LEFT(O147,5)="Error"),"Check Data ⚠",IF(F147&lt;S147,'G-7 WaterC'' Data'!$R$3,INDEX('G-7 WaterC'' Data'!$U$5:$Y$9,MATCH(G147,'G-7 WaterC'' Data'!$T$5:$T$9,0),MATCH(T147,'G-7 WaterC'' Data'!$U$4:$Y$4,0)))),"")</f>
        <v/>
      </c>
      <c r="Z147" s="133"/>
      <c r="AA147" s="133"/>
      <c r="AB147" s="283" t="str">
        <f t="shared" si="23"/>
        <v/>
      </c>
      <c r="AC147" s="296" t="str">
        <f t="shared" si="24"/>
        <v/>
      </c>
      <c r="AD147" s="334" t="str">
        <f>IFERROR(IF(AC147="Check Data ⚠","Check Data ⚠",VLOOKUP(AC147,'G-4 Temporal multipliers'!$A$4:$C$37,3,FALSE)),"")</f>
        <v/>
      </c>
      <c r="AE147" s="275" t="str">
        <f>IF(N147="","",VLOOKUP(N147,'G-7 WaterC'' Data'!$B$4:$G$8,5,FALSE))</f>
        <v/>
      </c>
      <c r="AF147" s="283" t="str">
        <f t="shared" si="25"/>
        <v/>
      </c>
      <c r="AG147" s="314" t="str">
        <f t="shared" si="26"/>
        <v/>
      </c>
      <c r="AH147" s="276" t="str">
        <f t="shared" si="20"/>
        <v/>
      </c>
      <c r="AI147" s="105"/>
      <c r="AJ147" s="276" t="str">
        <f>IF(AI147="","",IF(AND(AI147="N/A - Culvert",N147&lt;&gt;"Culvert"),"Not possible ▲",IF(VLOOKUP(AI147,'G-7 WaterC'' Data'!$AA$4:$AB$7,2,FALSE)=0,"Spatial Data Missing ⚠",VLOOKUP(AI147,'G-7 WaterC'' Data'!$AA$4:$AB$7,2,FALSE))))</f>
        <v/>
      </c>
      <c r="AK147" s="106"/>
      <c r="AL147" s="276" t="str">
        <f>IF(AK147="","",IF(AND(AK147="N/A - Culvert",N147&lt;&gt;"Culvert"),"Not possible ▲",IF(VLOOKUP(AK147,'G-7 WaterC'' Data'!$AD$4:$AE$14,2,FALSE)=0,"Spatial Data Missing ⚠",VLOOKUP(AK147,'G-7 WaterC'' Data'!$AD$4:$AE$14,2,FALSE))))</f>
        <v/>
      </c>
      <c r="AM147" s="317" t="str">
        <f t="shared" si="27"/>
        <v/>
      </c>
      <c r="AN147" s="101"/>
      <c r="AO147" s="115"/>
      <c r="AP147" s="104"/>
      <c r="AS147" s="30" t="str">
        <f>IF(B147="","",IF(ISNA(VLOOKUP($B147,'C-1 On-Site WaterC'' Baseline'!$C$8:$AD$257,17,FALSE)),"",(VLOOKUP($B147,'C-1 On-Site WaterC'' Baseline'!$C$8:$AD$257,17,FALSE))))</f>
        <v/>
      </c>
      <c r="AT147" s="30" t="str">
        <f>IF(B147="","",VLOOKUP($B147,'C-1 On-Site WaterC'' Baseline'!$C$9:$Z$257,12,FALSE))</f>
        <v/>
      </c>
      <c r="AU147" s="30" t="str">
        <f>IF(B147="","",VLOOKUP($B147,'C-1 On-Site WaterC'' Baseline'!$C$9:$Z$257,14,FALSE))</f>
        <v/>
      </c>
      <c r="AV147" s="30" t="str">
        <f>IFERROR(INDEX('G-7 WaterC'' Data'!$AZ$3:$AZ$7,MATCH(N147,'G-7 WaterC'' Data'!$AY$3:$AY$7,0)),"")</f>
        <v/>
      </c>
      <c r="AX147" s="30" t="str">
        <f>IF(B147="","",VLOOKUP($B147,'C-1 On-Site WaterC'' Baseline'!$C$9:$Y$257,22,FALSE))</f>
        <v/>
      </c>
      <c r="AY147" s="30" t="str">
        <f t="shared" si="28"/>
        <v/>
      </c>
      <c r="AZ147" s="30" t="str">
        <f>IF(B147="","",VLOOKUP($B147,'C-1 On-Site WaterC'' Baseline'!$C$9:$Y$257,21,FALSE))</f>
        <v/>
      </c>
      <c r="BA147" s="30" t="str">
        <f>IF(B147="","",VLOOKUP($B147,'C-1 On-Site WaterC'' Baseline'!$C$9:$Y$257,19,FALSE))</f>
        <v/>
      </c>
      <c r="BD147" s="30" t="str">
        <f t="shared" si="29"/>
        <v>No</v>
      </c>
    </row>
    <row r="148" spans="2:56" ht="14">
      <c r="B148" s="305" t="str">
        <f>'C-1 On-Site WaterC'' Baseline'!AP146</f>
        <v/>
      </c>
      <c r="C148" s="295" t="str">
        <f>IF(B148="","",VLOOKUP($B148,'C-1 On-Site WaterC'' Baseline'!$C$9:$R$257,2,FALSE))</f>
        <v/>
      </c>
      <c r="D148" s="295" t="str">
        <f>IF(C148="","",VLOOKUP($B148,'C-1 On-Site WaterC'' Baseline'!$C$9:$R$257,3,FALSE))</f>
        <v/>
      </c>
      <c r="E148" s="295" t="str">
        <f>IF(D148="","",VLOOKUP($B148,'C-1 On-Site WaterC'' Baseline'!$C$9:$R$257,4,FALSE))</f>
        <v/>
      </c>
      <c r="F148" s="295" t="str">
        <f>IF(E148="","",VLOOKUP($B148,'C-1 On-Site WaterC'' Baseline'!$C$9:$R$257,5,FALSE))</f>
        <v/>
      </c>
      <c r="G148" s="295" t="str">
        <f>IF(F148="","",VLOOKUP($B148,'C-1 On-Site WaterC'' Baseline'!$C$9:$R$257,6,FALSE))</f>
        <v/>
      </c>
      <c r="H148" s="295" t="str">
        <f>IF(G148="","",VLOOKUP($B148,'C-1 On-Site WaterC'' Baseline'!$C$9:$R$257,7,FALSE))</f>
        <v/>
      </c>
      <c r="I148" s="295" t="str">
        <f>IF(H148="","",VLOOKUP($B148,'C-1 On-Site WaterC'' Baseline'!$C$9:$R$257,8,FALSE))</f>
        <v/>
      </c>
      <c r="J148" s="295" t="str">
        <f>IF(I148="","",VLOOKUP($B148,'C-1 On-Site WaterC'' Baseline'!$C$9:$R$257,9,FALSE))</f>
        <v/>
      </c>
      <c r="K148" s="295" t="str">
        <f>IF(J148="","",VLOOKUP($B148,'C-1 On-Site WaterC'' Baseline'!$C$9:$R$257,10,FALSE))</f>
        <v/>
      </c>
      <c r="L148" s="295" t="str">
        <f>IF(B148="","",VLOOKUP($B148,'C-1 On-Site WaterC'' Baseline'!$C$9:$R$257,15,FALSE))</f>
        <v/>
      </c>
      <c r="M148" s="299" t="str">
        <f>IF(L148="","",VLOOKUP($B148,'C-1 On-Site WaterC'' Baseline'!$C$9:$R$257,16,FALSE))</f>
        <v/>
      </c>
      <c r="N148" s="245"/>
      <c r="O148" s="275" t="str">
        <f t="shared" si="21"/>
        <v/>
      </c>
      <c r="P148" s="276" t="str">
        <f t="shared" si="22"/>
        <v/>
      </c>
      <c r="Q148" s="336" t="str">
        <f>IF(N148="","",VLOOKUP(B148,'C-1 On-Site WaterC'' Baseline'!$C$10:$AC$257,20,FALSE))</f>
        <v/>
      </c>
      <c r="R148" s="275" t="str">
        <f>IF(N148="","",VLOOKUP(N148,'G-7 WaterC'' Data'!$B$2:$G$8,2,FALSE))</f>
        <v/>
      </c>
      <c r="S148" s="276" t="str">
        <f>IFERROR(VLOOKUP(R148,'G-7 WaterC'' Data'!$C$4:$D$8,2,FALSE),"")</f>
        <v/>
      </c>
      <c r="T148" s="101"/>
      <c r="U148" s="276" t="str">
        <f>IFERROR(INDEX('G-7 WaterC'' Data'!$H$4:$L$8,MATCH(N148,'G-7 WaterC'' Data'!$B$4:$B$8,0),MATCH(T148,'G-7 WaterC'' Data'!$H$3:$L$3,0)),"")</f>
        <v/>
      </c>
      <c r="V148" s="101"/>
      <c r="W148" s="283" t="str">
        <f>IF(V148="","",IF(VLOOKUP(V148,'G-7 WaterC'' Data'!$AK$4:$AM$6,2,FALSE)=0,"Spatial Data Missing ⚠",VLOOKUP(V148,'G-7 WaterC'' Data'!$AK$4:$AM$6,2,FALSE)))</f>
        <v/>
      </c>
      <c r="X148" s="276" t="str">
        <f>IF(V148="","",IF(VLOOKUP(V148,'G-7 WaterC'' Data'!$AK$4:$AM$6,3,FALSE)=0,"Spatial Data Missing ⚠",VLOOKUP(V148,'G-7 WaterC'' Data'!$AK$4:$AM$6,3,FALSE)))</f>
        <v/>
      </c>
      <c r="Y148" s="275" t="str">
        <f>IFERROR(IF(OR(LEFT(P148,5)="Error",LEFT(O148,5)="Error"),"Check Data ⚠",IF(F148&lt;S148,'G-7 WaterC'' Data'!$R$3,INDEX('G-7 WaterC'' Data'!$U$5:$Y$9,MATCH(G148,'G-7 WaterC'' Data'!$T$5:$T$9,0),MATCH(T148,'G-7 WaterC'' Data'!$U$4:$Y$4,0)))),"")</f>
        <v/>
      </c>
      <c r="Z148" s="133"/>
      <c r="AA148" s="133"/>
      <c r="AB148" s="283" t="str">
        <f t="shared" si="23"/>
        <v/>
      </c>
      <c r="AC148" s="296" t="str">
        <f t="shared" si="24"/>
        <v/>
      </c>
      <c r="AD148" s="334" t="str">
        <f>IFERROR(IF(AC148="Check Data ⚠","Check Data ⚠",VLOOKUP(AC148,'G-4 Temporal multipliers'!$A$4:$C$37,3,FALSE)),"")</f>
        <v/>
      </c>
      <c r="AE148" s="275" t="str">
        <f>IF(N148="","",VLOOKUP(N148,'G-7 WaterC'' Data'!$B$4:$G$8,5,FALSE))</f>
        <v/>
      </c>
      <c r="AF148" s="283" t="str">
        <f t="shared" si="25"/>
        <v/>
      </c>
      <c r="AG148" s="314" t="str">
        <f t="shared" si="26"/>
        <v/>
      </c>
      <c r="AH148" s="276" t="str">
        <f t="shared" si="20"/>
        <v/>
      </c>
      <c r="AI148" s="105"/>
      <c r="AJ148" s="276" t="str">
        <f>IF(AI148="","",IF(AND(AI148="N/A - Culvert",N148&lt;&gt;"Culvert"),"Not possible ▲",IF(VLOOKUP(AI148,'G-7 WaterC'' Data'!$AA$4:$AB$7,2,FALSE)=0,"Spatial Data Missing ⚠",VLOOKUP(AI148,'G-7 WaterC'' Data'!$AA$4:$AB$7,2,FALSE))))</f>
        <v/>
      </c>
      <c r="AK148" s="106"/>
      <c r="AL148" s="276" t="str">
        <f>IF(AK148="","",IF(AND(AK148="N/A - Culvert",N148&lt;&gt;"Culvert"),"Not possible ▲",IF(VLOOKUP(AK148,'G-7 WaterC'' Data'!$AD$4:$AE$14,2,FALSE)=0,"Spatial Data Missing ⚠",VLOOKUP(AK148,'G-7 WaterC'' Data'!$AD$4:$AE$14,2,FALSE))))</f>
        <v/>
      </c>
      <c r="AM148" s="317" t="str">
        <f t="shared" si="27"/>
        <v/>
      </c>
      <c r="AN148" s="101"/>
      <c r="AO148" s="115"/>
      <c r="AP148" s="104"/>
      <c r="AS148" s="30" t="str">
        <f>IF(B148="","",IF(ISNA(VLOOKUP($B148,'C-1 On-Site WaterC'' Baseline'!$C$8:$AD$257,17,FALSE)),"",(VLOOKUP($B148,'C-1 On-Site WaterC'' Baseline'!$C$8:$AD$257,17,FALSE))))</f>
        <v/>
      </c>
      <c r="AT148" s="30" t="str">
        <f>IF(B148="","",VLOOKUP($B148,'C-1 On-Site WaterC'' Baseline'!$C$9:$Z$257,12,FALSE))</f>
        <v/>
      </c>
      <c r="AU148" s="30" t="str">
        <f>IF(B148="","",VLOOKUP($B148,'C-1 On-Site WaterC'' Baseline'!$C$9:$Z$257,14,FALSE))</f>
        <v/>
      </c>
      <c r="AV148" s="30" t="str">
        <f>IFERROR(INDEX('G-7 WaterC'' Data'!$AZ$3:$AZ$7,MATCH(N148,'G-7 WaterC'' Data'!$AY$3:$AY$7,0)),"")</f>
        <v/>
      </c>
      <c r="AX148" s="30" t="str">
        <f>IF(B148="","",VLOOKUP($B148,'C-1 On-Site WaterC'' Baseline'!$C$9:$Y$257,22,FALSE))</f>
        <v/>
      </c>
      <c r="AY148" s="30" t="str">
        <f t="shared" si="28"/>
        <v/>
      </c>
      <c r="AZ148" s="30" t="str">
        <f>IF(B148="","",VLOOKUP($B148,'C-1 On-Site WaterC'' Baseline'!$C$9:$Y$257,21,FALSE))</f>
        <v/>
      </c>
      <c r="BA148" s="30" t="str">
        <f>IF(B148="","",VLOOKUP($B148,'C-1 On-Site WaterC'' Baseline'!$C$9:$Y$257,19,FALSE))</f>
        <v/>
      </c>
      <c r="BD148" s="30" t="str">
        <f t="shared" si="29"/>
        <v>No</v>
      </c>
    </row>
    <row r="149" spans="2:56" ht="14">
      <c r="B149" s="305" t="str">
        <f>'C-1 On-Site WaterC'' Baseline'!AP147</f>
        <v/>
      </c>
      <c r="C149" s="295" t="str">
        <f>IF(B149="","",VLOOKUP($B149,'C-1 On-Site WaterC'' Baseline'!$C$9:$R$257,2,FALSE))</f>
        <v/>
      </c>
      <c r="D149" s="295" t="str">
        <f>IF(C149="","",VLOOKUP($B149,'C-1 On-Site WaterC'' Baseline'!$C$9:$R$257,3,FALSE))</f>
        <v/>
      </c>
      <c r="E149" s="295" t="str">
        <f>IF(D149="","",VLOOKUP($B149,'C-1 On-Site WaterC'' Baseline'!$C$9:$R$257,4,FALSE))</f>
        <v/>
      </c>
      <c r="F149" s="295" t="str">
        <f>IF(E149="","",VLOOKUP($B149,'C-1 On-Site WaterC'' Baseline'!$C$9:$R$257,5,FALSE))</f>
        <v/>
      </c>
      <c r="G149" s="295" t="str">
        <f>IF(F149="","",VLOOKUP($B149,'C-1 On-Site WaterC'' Baseline'!$C$9:$R$257,6,FALSE))</f>
        <v/>
      </c>
      <c r="H149" s="295" t="str">
        <f>IF(G149="","",VLOOKUP($B149,'C-1 On-Site WaterC'' Baseline'!$C$9:$R$257,7,FALSE))</f>
        <v/>
      </c>
      <c r="I149" s="295" t="str">
        <f>IF(H149="","",VLOOKUP($B149,'C-1 On-Site WaterC'' Baseline'!$C$9:$R$257,8,FALSE))</f>
        <v/>
      </c>
      <c r="J149" s="295" t="str">
        <f>IF(I149="","",VLOOKUP($B149,'C-1 On-Site WaterC'' Baseline'!$C$9:$R$257,9,FALSE))</f>
        <v/>
      </c>
      <c r="K149" s="295" t="str">
        <f>IF(J149="","",VLOOKUP($B149,'C-1 On-Site WaterC'' Baseline'!$C$9:$R$257,10,FALSE))</f>
        <v/>
      </c>
      <c r="L149" s="295" t="str">
        <f>IF(B149="","",VLOOKUP($B149,'C-1 On-Site WaterC'' Baseline'!$C$9:$R$257,15,FALSE))</f>
        <v/>
      </c>
      <c r="M149" s="299" t="str">
        <f>IF(L149="","",VLOOKUP($B149,'C-1 On-Site WaterC'' Baseline'!$C$9:$R$257,16,FALSE))</f>
        <v/>
      </c>
      <c r="N149" s="245"/>
      <c r="O149" s="275" t="str">
        <f t="shared" si="21"/>
        <v/>
      </c>
      <c r="P149" s="276" t="str">
        <f t="shared" si="22"/>
        <v/>
      </c>
      <c r="Q149" s="336" t="str">
        <f>IF(N149="","",VLOOKUP(B149,'C-1 On-Site WaterC'' Baseline'!$C$10:$AC$257,20,FALSE))</f>
        <v/>
      </c>
      <c r="R149" s="275" t="str">
        <f>IF(N149="","",VLOOKUP(N149,'G-7 WaterC'' Data'!$B$2:$G$8,2,FALSE))</f>
        <v/>
      </c>
      <c r="S149" s="276" t="str">
        <f>IFERROR(VLOOKUP(R149,'G-7 WaterC'' Data'!$C$4:$D$8,2,FALSE),"")</f>
        <v/>
      </c>
      <c r="T149" s="101"/>
      <c r="U149" s="276" t="str">
        <f>IFERROR(INDEX('G-7 WaterC'' Data'!$H$4:$L$8,MATCH(N149,'G-7 WaterC'' Data'!$B$4:$B$8,0),MATCH(T149,'G-7 WaterC'' Data'!$H$3:$L$3,0)),"")</f>
        <v/>
      </c>
      <c r="V149" s="101"/>
      <c r="W149" s="283" t="str">
        <f>IF(V149="","",IF(VLOOKUP(V149,'G-7 WaterC'' Data'!$AK$4:$AM$6,2,FALSE)=0,"Spatial Data Missing ⚠",VLOOKUP(V149,'G-7 WaterC'' Data'!$AK$4:$AM$6,2,FALSE)))</f>
        <v/>
      </c>
      <c r="X149" s="276" t="str">
        <f>IF(V149="","",IF(VLOOKUP(V149,'G-7 WaterC'' Data'!$AK$4:$AM$6,3,FALSE)=0,"Spatial Data Missing ⚠",VLOOKUP(V149,'G-7 WaterC'' Data'!$AK$4:$AM$6,3,FALSE)))</f>
        <v/>
      </c>
      <c r="Y149" s="275" t="str">
        <f>IFERROR(IF(OR(LEFT(P149,5)="Error",LEFT(O149,5)="Error"),"Check Data ⚠",IF(F149&lt;S149,'G-7 WaterC'' Data'!$R$3,INDEX('G-7 WaterC'' Data'!$U$5:$Y$9,MATCH(G149,'G-7 WaterC'' Data'!$T$5:$T$9,0),MATCH(T149,'G-7 WaterC'' Data'!$U$4:$Y$4,0)))),"")</f>
        <v/>
      </c>
      <c r="Z149" s="133"/>
      <c r="AA149" s="133"/>
      <c r="AB149" s="283" t="str">
        <f t="shared" si="23"/>
        <v/>
      </c>
      <c r="AC149" s="296" t="str">
        <f t="shared" si="24"/>
        <v/>
      </c>
      <c r="AD149" s="334" t="str">
        <f>IFERROR(IF(AC149="Check Data ⚠","Check Data ⚠",VLOOKUP(AC149,'G-4 Temporal multipliers'!$A$4:$C$37,3,FALSE)),"")</f>
        <v/>
      </c>
      <c r="AE149" s="275" t="str">
        <f>IF(N149="","",VLOOKUP(N149,'G-7 WaterC'' Data'!$B$4:$G$8,5,FALSE))</f>
        <v/>
      </c>
      <c r="AF149" s="283" t="str">
        <f t="shared" si="25"/>
        <v/>
      </c>
      <c r="AG149" s="314" t="str">
        <f t="shared" si="26"/>
        <v/>
      </c>
      <c r="AH149" s="276" t="str">
        <f t="shared" si="20"/>
        <v/>
      </c>
      <c r="AI149" s="105"/>
      <c r="AJ149" s="276" t="str">
        <f>IF(AI149="","",IF(AND(AI149="N/A - Culvert",N149&lt;&gt;"Culvert"),"Not possible ▲",IF(VLOOKUP(AI149,'G-7 WaterC'' Data'!$AA$4:$AB$7,2,FALSE)=0,"Spatial Data Missing ⚠",VLOOKUP(AI149,'G-7 WaterC'' Data'!$AA$4:$AB$7,2,FALSE))))</f>
        <v/>
      </c>
      <c r="AK149" s="106"/>
      <c r="AL149" s="276" t="str">
        <f>IF(AK149="","",IF(AND(AK149="N/A - Culvert",N149&lt;&gt;"Culvert"),"Not possible ▲",IF(VLOOKUP(AK149,'G-7 WaterC'' Data'!$AD$4:$AE$14,2,FALSE)=0,"Spatial Data Missing ⚠",VLOOKUP(AK149,'G-7 WaterC'' Data'!$AD$4:$AE$14,2,FALSE))))</f>
        <v/>
      </c>
      <c r="AM149" s="317" t="str">
        <f t="shared" si="27"/>
        <v/>
      </c>
      <c r="AN149" s="101"/>
      <c r="AO149" s="115"/>
      <c r="AP149" s="104"/>
      <c r="AS149" s="30" t="str">
        <f>IF(B149="","",IF(ISNA(VLOOKUP($B149,'C-1 On-Site WaterC'' Baseline'!$C$8:$AD$257,17,FALSE)),"",(VLOOKUP($B149,'C-1 On-Site WaterC'' Baseline'!$C$8:$AD$257,17,FALSE))))</f>
        <v/>
      </c>
      <c r="AT149" s="30" t="str">
        <f>IF(B149="","",VLOOKUP($B149,'C-1 On-Site WaterC'' Baseline'!$C$9:$Z$257,12,FALSE))</f>
        <v/>
      </c>
      <c r="AU149" s="30" t="str">
        <f>IF(B149="","",VLOOKUP($B149,'C-1 On-Site WaterC'' Baseline'!$C$9:$Z$257,14,FALSE))</f>
        <v/>
      </c>
      <c r="AV149" s="30" t="str">
        <f>IFERROR(INDEX('G-7 WaterC'' Data'!$AZ$3:$AZ$7,MATCH(N149,'G-7 WaterC'' Data'!$AY$3:$AY$7,0)),"")</f>
        <v/>
      </c>
      <c r="AX149" s="30" t="str">
        <f>IF(B149="","",VLOOKUP($B149,'C-1 On-Site WaterC'' Baseline'!$C$9:$Y$257,22,FALSE))</f>
        <v/>
      </c>
      <c r="AY149" s="30" t="str">
        <f t="shared" si="28"/>
        <v/>
      </c>
      <c r="AZ149" s="30" t="str">
        <f>IF(B149="","",VLOOKUP($B149,'C-1 On-Site WaterC'' Baseline'!$C$9:$Y$257,21,FALSE))</f>
        <v/>
      </c>
      <c r="BA149" s="30" t="str">
        <f>IF(B149="","",VLOOKUP($B149,'C-1 On-Site WaterC'' Baseline'!$C$9:$Y$257,19,FALSE))</f>
        <v/>
      </c>
      <c r="BD149" s="30" t="str">
        <f t="shared" si="29"/>
        <v>No</v>
      </c>
    </row>
    <row r="150" spans="2:56" ht="14">
      <c r="B150" s="305" t="str">
        <f>'C-1 On-Site WaterC'' Baseline'!AP148</f>
        <v/>
      </c>
      <c r="C150" s="295" t="str">
        <f>IF(B150="","",VLOOKUP($B150,'C-1 On-Site WaterC'' Baseline'!$C$9:$R$257,2,FALSE))</f>
        <v/>
      </c>
      <c r="D150" s="295" t="str">
        <f>IF(C150="","",VLOOKUP($B150,'C-1 On-Site WaterC'' Baseline'!$C$9:$R$257,3,FALSE))</f>
        <v/>
      </c>
      <c r="E150" s="295" t="str">
        <f>IF(D150="","",VLOOKUP($B150,'C-1 On-Site WaterC'' Baseline'!$C$9:$R$257,4,FALSE))</f>
        <v/>
      </c>
      <c r="F150" s="295" t="str">
        <f>IF(E150="","",VLOOKUP($B150,'C-1 On-Site WaterC'' Baseline'!$C$9:$R$257,5,FALSE))</f>
        <v/>
      </c>
      <c r="G150" s="295" t="str">
        <f>IF(F150="","",VLOOKUP($B150,'C-1 On-Site WaterC'' Baseline'!$C$9:$R$257,6,FALSE))</f>
        <v/>
      </c>
      <c r="H150" s="295" t="str">
        <f>IF(G150="","",VLOOKUP($B150,'C-1 On-Site WaterC'' Baseline'!$C$9:$R$257,7,FALSE))</f>
        <v/>
      </c>
      <c r="I150" s="295" t="str">
        <f>IF(H150="","",VLOOKUP($B150,'C-1 On-Site WaterC'' Baseline'!$C$9:$R$257,8,FALSE))</f>
        <v/>
      </c>
      <c r="J150" s="295" t="str">
        <f>IF(I150="","",VLOOKUP($B150,'C-1 On-Site WaterC'' Baseline'!$C$9:$R$257,9,FALSE))</f>
        <v/>
      </c>
      <c r="K150" s="295" t="str">
        <f>IF(J150="","",VLOOKUP($B150,'C-1 On-Site WaterC'' Baseline'!$C$9:$R$257,10,FALSE))</f>
        <v/>
      </c>
      <c r="L150" s="295" t="str">
        <f>IF(B150="","",VLOOKUP($B150,'C-1 On-Site WaterC'' Baseline'!$C$9:$R$257,15,FALSE))</f>
        <v/>
      </c>
      <c r="M150" s="299" t="str">
        <f>IF(L150="","",VLOOKUP($B150,'C-1 On-Site WaterC'' Baseline'!$C$9:$R$257,16,FALSE))</f>
        <v/>
      </c>
      <c r="N150" s="245"/>
      <c r="O150" s="275" t="str">
        <f t="shared" si="21"/>
        <v/>
      </c>
      <c r="P150" s="276" t="str">
        <f t="shared" si="22"/>
        <v/>
      </c>
      <c r="Q150" s="336" t="str">
        <f>IF(N150="","",VLOOKUP(B150,'C-1 On-Site WaterC'' Baseline'!$C$10:$AC$257,20,FALSE))</f>
        <v/>
      </c>
      <c r="R150" s="275" t="str">
        <f>IF(N150="","",VLOOKUP(N150,'G-7 WaterC'' Data'!$B$2:$G$8,2,FALSE))</f>
        <v/>
      </c>
      <c r="S150" s="276" t="str">
        <f>IFERROR(VLOOKUP(R150,'G-7 WaterC'' Data'!$C$4:$D$8,2,FALSE),"")</f>
        <v/>
      </c>
      <c r="T150" s="101"/>
      <c r="U150" s="276" t="str">
        <f>IFERROR(INDEX('G-7 WaterC'' Data'!$H$4:$L$8,MATCH(N150,'G-7 WaterC'' Data'!$B$4:$B$8,0),MATCH(T150,'G-7 WaterC'' Data'!$H$3:$L$3,0)),"")</f>
        <v/>
      </c>
      <c r="V150" s="101"/>
      <c r="W150" s="283" t="str">
        <f>IF(V150="","",IF(VLOOKUP(V150,'G-7 WaterC'' Data'!$AK$4:$AM$6,2,FALSE)=0,"Spatial Data Missing ⚠",VLOOKUP(V150,'G-7 WaterC'' Data'!$AK$4:$AM$6,2,FALSE)))</f>
        <v/>
      </c>
      <c r="X150" s="276" t="str">
        <f>IF(V150="","",IF(VLOOKUP(V150,'G-7 WaterC'' Data'!$AK$4:$AM$6,3,FALSE)=0,"Spatial Data Missing ⚠",VLOOKUP(V150,'G-7 WaterC'' Data'!$AK$4:$AM$6,3,FALSE)))</f>
        <v/>
      </c>
      <c r="Y150" s="275" t="str">
        <f>IFERROR(IF(OR(LEFT(P150,5)="Error",LEFT(O150,5)="Error"),"Check Data ⚠",IF(F150&lt;S150,'G-7 WaterC'' Data'!$R$3,INDEX('G-7 WaterC'' Data'!$U$5:$Y$9,MATCH(G150,'G-7 WaterC'' Data'!$T$5:$T$9,0),MATCH(T150,'G-7 WaterC'' Data'!$U$4:$Y$4,0)))),"")</f>
        <v/>
      </c>
      <c r="Z150" s="133"/>
      <c r="AA150" s="133"/>
      <c r="AB150" s="283" t="str">
        <f t="shared" si="23"/>
        <v/>
      </c>
      <c r="AC150" s="296" t="str">
        <f t="shared" si="24"/>
        <v/>
      </c>
      <c r="AD150" s="334" t="str">
        <f>IFERROR(IF(AC150="Check Data ⚠","Check Data ⚠",VLOOKUP(AC150,'G-4 Temporal multipliers'!$A$4:$C$37,3,FALSE)),"")</f>
        <v/>
      </c>
      <c r="AE150" s="275" t="str">
        <f>IF(N150="","",VLOOKUP(N150,'G-7 WaterC'' Data'!$B$4:$G$8,5,FALSE))</f>
        <v/>
      </c>
      <c r="AF150" s="283" t="str">
        <f t="shared" si="25"/>
        <v/>
      </c>
      <c r="AG150" s="314" t="str">
        <f t="shared" si="26"/>
        <v/>
      </c>
      <c r="AH150" s="276" t="str">
        <f t="shared" si="20"/>
        <v/>
      </c>
      <c r="AI150" s="105"/>
      <c r="AJ150" s="276" t="str">
        <f>IF(AI150="","",IF(AND(AI150="N/A - Culvert",N150&lt;&gt;"Culvert"),"Not possible ▲",IF(VLOOKUP(AI150,'G-7 WaterC'' Data'!$AA$4:$AB$7,2,FALSE)=0,"Spatial Data Missing ⚠",VLOOKUP(AI150,'G-7 WaterC'' Data'!$AA$4:$AB$7,2,FALSE))))</f>
        <v/>
      </c>
      <c r="AK150" s="106"/>
      <c r="AL150" s="276" t="str">
        <f>IF(AK150="","",IF(AND(AK150="N/A - Culvert",N150&lt;&gt;"Culvert"),"Not possible ▲",IF(VLOOKUP(AK150,'G-7 WaterC'' Data'!$AD$4:$AE$14,2,FALSE)=0,"Spatial Data Missing ⚠",VLOOKUP(AK150,'G-7 WaterC'' Data'!$AD$4:$AE$14,2,FALSE))))</f>
        <v/>
      </c>
      <c r="AM150" s="317" t="str">
        <f t="shared" si="27"/>
        <v/>
      </c>
      <c r="AN150" s="101"/>
      <c r="AO150" s="115"/>
      <c r="AP150" s="104"/>
      <c r="AS150" s="30" t="str">
        <f>IF(B150="","",IF(ISNA(VLOOKUP($B150,'C-1 On-Site WaterC'' Baseline'!$C$8:$AD$257,17,FALSE)),"",(VLOOKUP($B150,'C-1 On-Site WaterC'' Baseline'!$C$8:$AD$257,17,FALSE))))</f>
        <v/>
      </c>
      <c r="AT150" s="30" t="str">
        <f>IF(B150="","",VLOOKUP($B150,'C-1 On-Site WaterC'' Baseline'!$C$9:$Z$257,12,FALSE))</f>
        <v/>
      </c>
      <c r="AU150" s="30" t="str">
        <f>IF(B150="","",VLOOKUP($B150,'C-1 On-Site WaterC'' Baseline'!$C$9:$Z$257,14,FALSE))</f>
        <v/>
      </c>
      <c r="AV150" s="30" t="str">
        <f>IFERROR(INDEX('G-7 WaterC'' Data'!$AZ$3:$AZ$7,MATCH(N150,'G-7 WaterC'' Data'!$AY$3:$AY$7,0)),"")</f>
        <v/>
      </c>
      <c r="AX150" s="30" t="str">
        <f>IF(B150="","",VLOOKUP($B150,'C-1 On-Site WaterC'' Baseline'!$C$9:$Y$257,22,FALSE))</f>
        <v/>
      </c>
      <c r="AY150" s="30" t="str">
        <f t="shared" si="28"/>
        <v/>
      </c>
      <c r="AZ150" s="30" t="str">
        <f>IF(B150="","",VLOOKUP($B150,'C-1 On-Site WaterC'' Baseline'!$C$9:$Y$257,21,FALSE))</f>
        <v/>
      </c>
      <c r="BA150" s="30" t="str">
        <f>IF(B150="","",VLOOKUP($B150,'C-1 On-Site WaterC'' Baseline'!$C$9:$Y$257,19,FALSE))</f>
        <v/>
      </c>
      <c r="BD150" s="30" t="str">
        <f t="shared" si="29"/>
        <v>No</v>
      </c>
    </row>
    <row r="151" spans="2:56" ht="14">
      <c r="B151" s="305" t="str">
        <f>'C-1 On-Site WaterC'' Baseline'!AP149</f>
        <v/>
      </c>
      <c r="C151" s="295" t="str">
        <f>IF(B151="","",VLOOKUP($B151,'C-1 On-Site WaterC'' Baseline'!$C$9:$R$257,2,FALSE))</f>
        <v/>
      </c>
      <c r="D151" s="295" t="str">
        <f>IF(C151="","",VLOOKUP($B151,'C-1 On-Site WaterC'' Baseline'!$C$9:$R$257,3,FALSE))</f>
        <v/>
      </c>
      <c r="E151" s="295" t="str">
        <f>IF(D151="","",VLOOKUP($B151,'C-1 On-Site WaterC'' Baseline'!$C$9:$R$257,4,FALSE))</f>
        <v/>
      </c>
      <c r="F151" s="295" t="str">
        <f>IF(E151="","",VLOOKUP($B151,'C-1 On-Site WaterC'' Baseline'!$C$9:$R$257,5,FALSE))</f>
        <v/>
      </c>
      <c r="G151" s="295" t="str">
        <f>IF(F151="","",VLOOKUP($B151,'C-1 On-Site WaterC'' Baseline'!$C$9:$R$257,6,FALSE))</f>
        <v/>
      </c>
      <c r="H151" s="295" t="str">
        <f>IF(G151="","",VLOOKUP($B151,'C-1 On-Site WaterC'' Baseline'!$C$9:$R$257,7,FALSE))</f>
        <v/>
      </c>
      <c r="I151" s="295" t="str">
        <f>IF(H151="","",VLOOKUP($B151,'C-1 On-Site WaterC'' Baseline'!$C$9:$R$257,8,FALSE))</f>
        <v/>
      </c>
      <c r="J151" s="295" t="str">
        <f>IF(I151="","",VLOOKUP($B151,'C-1 On-Site WaterC'' Baseline'!$C$9:$R$257,9,FALSE))</f>
        <v/>
      </c>
      <c r="K151" s="295" t="str">
        <f>IF(J151="","",VLOOKUP($B151,'C-1 On-Site WaterC'' Baseline'!$C$9:$R$257,10,FALSE))</f>
        <v/>
      </c>
      <c r="L151" s="295" t="str">
        <f>IF(B151="","",VLOOKUP($B151,'C-1 On-Site WaterC'' Baseline'!$C$9:$R$257,15,FALSE))</f>
        <v/>
      </c>
      <c r="M151" s="299" t="str">
        <f>IF(L151="","",VLOOKUP($B151,'C-1 On-Site WaterC'' Baseline'!$C$9:$R$257,16,FALSE))</f>
        <v/>
      </c>
      <c r="N151" s="245"/>
      <c r="O151" s="275" t="str">
        <f t="shared" si="21"/>
        <v/>
      </c>
      <c r="P151" s="276" t="str">
        <f t="shared" si="22"/>
        <v/>
      </c>
      <c r="Q151" s="336" t="str">
        <f>IF(N151="","",VLOOKUP(B151,'C-1 On-Site WaterC'' Baseline'!$C$10:$AC$257,20,FALSE))</f>
        <v/>
      </c>
      <c r="R151" s="275" t="str">
        <f>IF(N151="","",VLOOKUP(N151,'G-7 WaterC'' Data'!$B$2:$G$8,2,FALSE))</f>
        <v/>
      </c>
      <c r="S151" s="276" t="str">
        <f>IFERROR(VLOOKUP(R151,'G-7 WaterC'' Data'!$C$4:$D$8,2,FALSE),"")</f>
        <v/>
      </c>
      <c r="T151" s="101"/>
      <c r="U151" s="276" t="str">
        <f>IFERROR(INDEX('G-7 WaterC'' Data'!$H$4:$L$8,MATCH(N151,'G-7 WaterC'' Data'!$B$4:$B$8,0),MATCH(T151,'G-7 WaterC'' Data'!$H$3:$L$3,0)),"")</f>
        <v/>
      </c>
      <c r="V151" s="101"/>
      <c r="W151" s="283" t="str">
        <f>IF(V151="","",IF(VLOOKUP(V151,'G-7 WaterC'' Data'!$AK$4:$AM$6,2,FALSE)=0,"Spatial Data Missing ⚠",VLOOKUP(V151,'G-7 WaterC'' Data'!$AK$4:$AM$6,2,FALSE)))</f>
        <v/>
      </c>
      <c r="X151" s="276" t="str">
        <f>IF(V151="","",IF(VLOOKUP(V151,'G-7 WaterC'' Data'!$AK$4:$AM$6,3,FALSE)=0,"Spatial Data Missing ⚠",VLOOKUP(V151,'G-7 WaterC'' Data'!$AK$4:$AM$6,3,FALSE)))</f>
        <v/>
      </c>
      <c r="Y151" s="275" t="str">
        <f>IFERROR(IF(OR(LEFT(P151,5)="Error",LEFT(O151,5)="Error"),"Check Data ⚠",IF(F151&lt;S151,'G-7 WaterC'' Data'!$R$3,INDEX('G-7 WaterC'' Data'!$U$5:$Y$9,MATCH(G151,'G-7 WaterC'' Data'!$T$5:$T$9,0),MATCH(T151,'G-7 WaterC'' Data'!$U$4:$Y$4,0)))),"")</f>
        <v/>
      </c>
      <c r="Z151" s="133"/>
      <c r="AA151" s="133"/>
      <c r="AB151" s="283" t="str">
        <f t="shared" si="23"/>
        <v/>
      </c>
      <c r="AC151" s="296" t="str">
        <f t="shared" si="24"/>
        <v/>
      </c>
      <c r="AD151" s="334" t="str">
        <f>IFERROR(IF(AC151="Check Data ⚠","Check Data ⚠",VLOOKUP(AC151,'G-4 Temporal multipliers'!$A$4:$C$37,3,FALSE)),"")</f>
        <v/>
      </c>
      <c r="AE151" s="275" t="str">
        <f>IF(N151="","",VLOOKUP(N151,'G-7 WaterC'' Data'!$B$4:$G$8,5,FALSE))</f>
        <v/>
      </c>
      <c r="AF151" s="283" t="str">
        <f t="shared" si="25"/>
        <v/>
      </c>
      <c r="AG151" s="314" t="str">
        <f t="shared" si="26"/>
        <v/>
      </c>
      <c r="AH151" s="276" t="str">
        <f t="shared" si="20"/>
        <v/>
      </c>
      <c r="AI151" s="105"/>
      <c r="AJ151" s="276" t="str">
        <f>IF(AI151="","",IF(AND(AI151="N/A - Culvert",N151&lt;&gt;"Culvert"),"Not possible ▲",IF(VLOOKUP(AI151,'G-7 WaterC'' Data'!$AA$4:$AB$7,2,FALSE)=0,"Spatial Data Missing ⚠",VLOOKUP(AI151,'G-7 WaterC'' Data'!$AA$4:$AB$7,2,FALSE))))</f>
        <v/>
      </c>
      <c r="AK151" s="106"/>
      <c r="AL151" s="276" t="str">
        <f>IF(AK151="","",IF(AND(AK151="N/A - Culvert",N151&lt;&gt;"Culvert"),"Not possible ▲",IF(VLOOKUP(AK151,'G-7 WaterC'' Data'!$AD$4:$AE$14,2,FALSE)=0,"Spatial Data Missing ⚠",VLOOKUP(AK151,'G-7 WaterC'' Data'!$AD$4:$AE$14,2,FALSE))))</f>
        <v/>
      </c>
      <c r="AM151" s="317" t="str">
        <f t="shared" si="27"/>
        <v/>
      </c>
      <c r="AN151" s="101"/>
      <c r="AO151" s="115"/>
      <c r="AP151" s="104"/>
      <c r="AS151" s="30" t="str">
        <f>IF(B151="","",IF(ISNA(VLOOKUP($B151,'C-1 On-Site WaterC'' Baseline'!$C$8:$AD$257,17,FALSE)),"",(VLOOKUP($B151,'C-1 On-Site WaterC'' Baseline'!$C$8:$AD$257,17,FALSE))))</f>
        <v/>
      </c>
      <c r="AT151" s="30" t="str">
        <f>IF(B151="","",VLOOKUP($B151,'C-1 On-Site WaterC'' Baseline'!$C$9:$Z$257,12,FALSE))</f>
        <v/>
      </c>
      <c r="AU151" s="30" t="str">
        <f>IF(B151="","",VLOOKUP($B151,'C-1 On-Site WaterC'' Baseline'!$C$9:$Z$257,14,FALSE))</f>
        <v/>
      </c>
      <c r="AV151" s="30" t="str">
        <f>IFERROR(INDEX('G-7 WaterC'' Data'!$AZ$3:$AZ$7,MATCH(N151,'G-7 WaterC'' Data'!$AY$3:$AY$7,0)),"")</f>
        <v/>
      </c>
      <c r="AX151" s="30" t="str">
        <f>IF(B151="","",VLOOKUP($B151,'C-1 On-Site WaterC'' Baseline'!$C$9:$Y$257,22,FALSE))</f>
        <v/>
      </c>
      <c r="AY151" s="30" t="str">
        <f t="shared" si="28"/>
        <v/>
      </c>
      <c r="AZ151" s="30" t="str">
        <f>IF(B151="","",VLOOKUP($B151,'C-1 On-Site WaterC'' Baseline'!$C$9:$Y$257,21,FALSE))</f>
        <v/>
      </c>
      <c r="BA151" s="30" t="str">
        <f>IF(B151="","",VLOOKUP($B151,'C-1 On-Site WaterC'' Baseline'!$C$9:$Y$257,19,FALSE))</f>
        <v/>
      </c>
      <c r="BD151" s="30" t="str">
        <f t="shared" si="29"/>
        <v>No</v>
      </c>
    </row>
    <row r="152" spans="2:56" ht="14">
      <c r="B152" s="305" t="str">
        <f>'C-1 On-Site WaterC'' Baseline'!AP150</f>
        <v/>
      </c>
      <c r="C152" s="295" t="str">
        <f>IF(B152="","",VLOOKUP($B152,'C-1 On-Site WaterC'' Baseline'!$C$9:$R$257,2,FALSE))</f>
        <v/>
      </c>
      <c r="D152" s="295" t="str">
        <f>IF(C152="","",VLOOKUP($B152,'C-1 On-Site WaterC'' Baseline'!$C$9:$R$257,3,FALSE))</f>
        <v/>
      </c>
      <c r="E152" s="295" t="str">
        <f>IF(D152="","",VLOOKUP($B152,'C-1 On-Site WaterC'' Baseline'!$C$9:$R$257,4,FALSE))</f>
        <v/>
      </c>
      <c r="F152" s="295" t="str">
        <f>IF(E152="","",VLOOKUP($B152,'C-1 On-Site WaterC'' Baseline'!$C$9:$R$257,5,FALSE))</f>
        <v/>
      </c>
      <c r="G152" s="295" t="str">
        <f>IF(F152="","",VLOOKUP($B152,'C-1 On-Site WaterC'' Baseline'!$C$9:$R$257,6,FALSE))</f>
        <v/>
      </c>
      <c r="H152" s="295" t="str">
        <f>IF(G152="","",VLOOKUP($B152,'C-1 On-Site WaterC'' Baseline'!$C$9:$R$257,7,FALSE))</f>
        <v/>
      </c>
      <c r="I152" s="295" t="str">
        <f>IF(H152="","",VLOOKUP($B152,'C-1 On-Site WaterC'' Baseline'!$C$9:$R$257,8,FALSE))</f>
        <v/>
      </c>
      <c r="J152" s="295" t="str">
        <f>IF(I152="","",VLOOKUP($B152,'C-1 On-Site WaterC'' Baseline'!$C$9:$R$257,9,FALSE))</f>
        <v/>
      </c>
      <c r="K152" s="295" t="str">
        <f>IF(J152="","",VLOOKUP($B152,'C-1 On-Site WaterC'' Baseline'!$C$9:$R$257,10,FALSE))</f>
        <v/>
      </c>
      <c r="L152" s="295" t="str">
        <f>IF(B152="","",VLOOKUP($B152,'C-1 On-Site WaterC'' Baseline'!$C$9:$R$257,15,FALSE))</f>
        <v/>
      </c>
      <c r="M152" s="299" t="str">
        <f>IF(L152="","",VLOOKUP($B152,'C-1 On-Site WaterC'' Baseline'!$C$9:$R$257,16,FALSE))</f>
        <v/>
      </c>
      <c r="N152" s="245"/>
      <c r="O152" s="275" t="str">
        <f t="shared" si="21"/>
        <v/>
      </c>
      <c r="P152" s="276" t="str">
        <f t="shared" si="22"/>
        <v/>
      </c>
      <c r="Q152" s="336" t="str">
        <f>IF(N152="","",VLOOKUP(B152,'C-1 On-Site WaterC'' Baseline'!$C$10:$AC$257,20,FALSE))</f>
        <v/>
      </c>
      <c r="R152" s="275" t="str">
        <f>IF(N152="","",VLOOKUP(N152,'G-7 WaterC'' Data'!$B$2:$G$8,2,FALSE))</f>
        <v/>
      </c>
      <c r="S152" s="276" t="str">
        <f>IFERROR(VLOOKUP(R152,'G-7 WaterC'' Data'!$C$4:$D$8,2,FALSE),"")</f>
        <v/>
      </c>
      <c r="T152" s="101"/>
      <c r="U152" s="276" t="str">
        <f>IFERROR(INDEX('G-7 WaterC'' Data'!$H$4:$L$8,MATCH(N152,'G-7 WaterC'' Data'!$B$4:$B$8,0),MATCH(T152,'G-7 WaterC'' Data'!$H$3:$L$3,0)),"")</f>
        <v/>
      </c>
      <c r="V152" s="101"/>
      <c r="W152" s="283" t="str">
        <f>IF(V152="","",IF(VLOOKUP(V152,'G-7 WaterC'' Data'!$AK$4:$AM$6,2,FALSE)=0,"Spatial Data Missing ⚠",VLOOKUP(V152,'G-7 WaterC'' Data'!$AK$4:$AM$6,2,FALSE)))</f>
        <v/>
      </c>
      <c r="X152" s="276" t="str">
        <f>IF(V152="","",IF(VLOOKUP(V152,'G-7 WaterC'' Data'!$AK$4:$AM$6,3,FALSE)=0,"Spatial Data Missing ⚠",VLOOKUP(V152,'G-7 WaterC'' Data'!$AK$4:$AM$6,3,FALSE)))</f>
        <v/>
      </c>
      <c r="Y152" s="275" t="str">
        <f>IFERROR(IF(OR(LEFT(P152,5)="Error",LEFT(O152,5)="Error"),"Check Data ⚠",IF(F152&lt;S152,'G-7 WaterC'' Data'!$R$3,INDEX('G-7 WaterC'' Data'!$U$5:$Y$9,MATCH(G152,'G-7 WaterC'' Data'!$T$5:$T$9,0),MATCH(T152,'G-7 WaterC'' Data'!$U$4:$Y$4,0)))),"")</f>
        <v/>
      </c>
      <c r="Z152" s="133"/>
      <c r="AA152" s="133"/>
      <c r="AB152" s="283" t="str">
        <f t="shared" si="23"/>
        <v/>
      </c>
      <c r="AC152" s="296" t="str">
        <f t="shared" si="24"/>
        <v/>
      </c>
      <c r="AD152" s="334" t="str">
        <f>IFERROR(IF(AC152="Check Data ⚠","Check Data ⚠",VLOOKUP(AC152,'G-4 Temporal multipliers'!$A$4:$C$37,3,FALSE)),"")</f>
        <v/>
      </c>
      <c r="AE152" s="275" t="str">
        <f>IF(N152="","",VLOOKUP(N152,'G-7 WaterC'' Data'!$B$4:$G$8,5,FALSE))</f>
        <v/>
      </c>
      <c r="AF152" s="283" t="str">
        <f t="shared" si="25"/>
        <v/>
      </c>
      <c r="AG152" s="314" t="str">
        <f t="shared" si="26"/>
        <v/>
      </c>
      <c r="AH152" s="276" t="str">
        <f t="shared" si="20"/>
        <v/>
      </c>
      <c r="AI152" s="105"/>
      <c r="AJ152" s="276" t="str">
        <f>IF(AI152="","",IF(AND(AI152="N/A - Culvert",N152&lt;&gt;"Culvert"),"Not possible ▲",IF(VLOOKUP(AI152,'G-7 WaterC'' Data'!$AA$4:$AB$7,2,FALSE)=0,"Spatial Data Missing ⚠",VLOOKUP(AI152,'G-7 WaterC'' Data'!$AA$4:$AB$7,2,FALSE))))</f>
        <v/>
      </c>
      <c r="AK152" s="106"/>
      <c r="AL152" s="276" t="str">
        <f>IF(AK152="","",IF(AND(AK152="N/A - Culvert",N152&lt;&gt;"Culvert"),"Not possible ▲",IF(VLOOKUP(AK152,'G-7 WaterC'' Data'!$AD$4:$AE$14,2,FALSE)=0,"Spatial Data Missing ⚠",VLOOKUP(AK152,'G-7 WaterC'' Data'!$AD$4:$AE$14,2,FALSE))))</f>
        <v/>
      </c>
      <c r="AM152" s="317" t="str">
        <f t="shared" si="27"/>
        <v/>
      </c>
      <c r="AN152" s="101"/>
      <c r="AO152" s="115"/>
      <c r="AP152" s="104"/>
      <c r="AS152" s="30" t="str">
        <f>IF(B152="","",IF(ISNA(VLOOKUP($B152,'C-1 On-Site WaterC'' Baseline'!$C$8:$AD$257,17,FALSE)),"",(VLOOKUP($B152,'C-1 On-Site WaterC'' Baseline'!$C$8:$AD$257,17,FALSE))))</f>
        <v/>
      </c>
      <c r="AT152" s="30" t="str">
        <f>IF(B152="","",VLOOKUP($B152,'C-1 On-Site WaterC'' Baseline'!$C$9:$Z$257,12,FALSE))</f>
        <v/>
      </c>
      <c r="AU152" s="30" t="str">
        <f>IF(B152="","",VLOOKUP($B152,'C-1 On-Site WaterC'' Baseline'!$C$9:$Z$257,14,FALSE))</f>
        <v/>
      </c>
      <c r="AV152" s="30" t="str">
        <f>IFERROR(INDEX('G-7 WaterC'' Data'!$AZ$3:$AZ$7,MATCH(N152,'G-7 WaterC'' Data'!$AY$3:$AY$7,0)),"")</f>
        <v/>
      </c>
      <c r="AX152" s="30" t="str">
        <f>IF(B152="","",VLOOKUP($B152,'C-1 On-Site WaterC'' Baseline'!$C$9:$Y$257,22,FALSE))</f>
        <v/>
      </c>
      <c r="AY152" s="30" t="str">
        <f t="shared" si="28"/>
        <v/>
      </c>
      <c r="AZ152" s="30" t="str">
        <f>IF(B152="","",VLOOKUP($B152,'C-1 On-Site WaterC'' Baseline'!$C$9:$Y$257,21,FALSE))</f>
        <v/>
      </c>
      <c r="BA152" s="30" t="str">
        <f>IF(B152="","",VLOOKUP($B152,'C-1 On-Site WaterC'' Baseline'!$C$9:$Y$257,19,FALSE))</f>
        <v/>
      </c>
      <c r="BD152" s="30" t="str">
        <f t="shared" si="29"/>
        <v>No</v>
      </c>
    </row>
    <row r="153" spans="2:56" ht="14">
      <c r="B153" s="305" t="str">
        <f>'C-1 On-Site WaterC'' Baseline'!AP151</f>
        <v/>
      </c>
      <c r="C153" s="295" t="str">
        <f>IF(B153="","",VLOOKUP($B153,'C-1 On-Site WaterC'' Baseline'!$C$9:$R$257,2,FALSE))</f>
        <v/>
      </c>
      <c r="D153" s="295" t="str">
        <f>IF(C153="","",VLOOKUP($B153,'C-1 On-Site WaterC'' Baseline'!$C$9:$R$257,3,FALSE))</f>
        <v/>
      </c>
      <c r="E153" s="295" t="str">
        <f>IF(D153="","",VLOOKUP($B153,'C-1 On-Site WaterC'' Baseline'!$C$9:$R$257,4,FALSE))</f>
        <v/>
      </c>
      <c r="F153" s="295" t="str">
        <f>IF(E153="","",VLOOKUP($B153,'C-1 On-Site WaterC'' Baseline'!$C$9:$R$257,5,FALSE))</f>
        <v/>
      </c>
      <c r="G153" s="295" t="str">
        <f>IF(F153="","",VLOOKUP($B153,'C-1 On-Site WaterC'' Baseline'!$C$9:$R$257,6,FALSE))</f>
        <v/>
      </c>
      <c r="H153" s="295" t="str">
        <f>IF(G153="","",VLOOKUP($B153,'C-1 On-Site WaterC'' Baseline'!$C$9:$R$257,7,FALSE))</f>
        <v/>
      </c>
      <c r="I153" s="295" t="str">
        <f>IF(H153="","",VLOOKUP($B153,'C-1 On-Site WaterC'' Baseline'!$C$9:$R$257,8,FALSE))</f>
        <v/>
      </c>
      <c r="J153" s="295" t="str">
        <f>IF(I153="","",VLOOKUP($B153,'C-1 On-Site WaterC'' Baseline'!$C$9:$R$257,9,FALSE))</f>
        <v/>
      </c>
      <c r="K153" s="295" t="str">
        <f>IF(J153="","",VLOOKUP($B153,'C-1 On-Site WaterC'' Baseline'!$C$9:$R$257,10,FALSE))</f>
        <v/>
      </c>
      <c r="L153" s="295" t="str">
        <f>IF(B153="","",VLOOKUP($B153,'C-1 On-Site WaterC'' Baseline'!$C$9:$R$257,15,FALSE))</f>
        <v/>
      </c>
      <c r="M153" s="299" t="str">
        <f>IF(L153="","",VLOOKUP($B153,'C-1 On-Site WaterC'' Baseline'!$C$9:$R$257,16,FALSE))</f>
        <v/>
      </c>
      <c r="N153" s="245"/>
      <c r="O153" s="275" t="str">
        <f t="shared" si="21"/>
        <v/>
      </c>
      <c r="P153" s="276" t="str">
        <f t="shared" si="22"/>
        <v/>
      </c>
      <c r="Q153" s="336" t="str">
        <f>IF(N153="","",VLOOKUP(B153,'C-1 On-Site WaterC'' Baseline'!$C$10:$AC$257,20,FALSE))</f>
        <v/>
      </c>
      <c r="R153" s="275" t="str">
        <f>IF(N153="","",VLOOKUP(N153,'G-7 WaterC'' Data'!$B$2:$G$8,2,FALSE))</f>
        <v/>
      </c>
      <c r="S153" s="276" t="str">
        <f>IFERROR(VLOOKUP(R153,'G-7 WaterC'' Data'!$C$4:$D$8,2,FALSE),"")</f>
        <v/>
      </c>
      <c r="T153" s="101"/>
      <c r="U153" s="276" t="str">
        <f>IFERROR(INDEX('G-7 WaterC'' Data'!$H$4:$L$8,MATCH(N153,'G-7 WaterC'' Data'!$B$4:$B$8,0),MATCH(T153,'G-7 WaterC'' Data'!$H$3:$L$3,0)),"")</f>
        <v/>
      </c>
      <c r="V153" s="101"/>
      <c r="W153" s="283" t="str">
        <f>IF(V153="","",IF(VLOOKUP(V153,'G-7 WaterC'' Data'!$AK$4:$AM$6,2,FALSE)=0,"Spatial Data Missing ⚠",VLOOKUP(V153,'G-7 WaterC'' Data'!$AK$4:$AM$6,2,FALSE)))</f>
        <v/>
      </c>
      <c r="X153" s="276" t="str">
        <f>IF(V153="","",IF(VLOOKUP(V153,'G-7 WaterC'' Data'!$AK$4:$AM$6,3,FALSE)=0,"Spatial Data Missing ⚠",VLOOKUP(V153,'G-7 WaterC'' Data'!$AK$4:$AM$6,3,FALSE)))</f>
        <v/>
      </c>
      <c r="Y153" s="275" t="str">
        <f>IFERROR(IF(OR(LEFT(P153,5)="Error",LEFT(O153,5)="Error"),"Check Data ⚠",IF(F153&lt;S153,'G-7 WaterC'' Data'!$R$3,INDEX('G-7 WaterC'' Data'!$U$5:$Y$9,MATCH(G153,'G-7 WaterC'' Data'!$T$5:$T$9,0),MATCH(T153,'G-7 WaterC'' Data'!$U$4:$Y$4,0)))),"")</f>
        <v/>
      </c>
      <c r="Z153" s="133"/>
      <c r="AA153" s="133"/>
      <c r="AB153" s="283" t="str">
        <f t="shared" si="23"/>
        <v/>
      </c>
      <c r="AC153" s="296" t="str">
        <f t="shared" si="24"/>
        <v/>
      </c>
      <c r="AD153" s="334" t="str">
        <f>IFERROR(IF(AC153="Check Data ⚠","Check Data ⚠",VLOOKUP(AC153,'G-4 Temporal multipliers'!$A$4:$C$37,3,FALSE)),"")</f>
        <v/>
      </c>
      <c r="AE153" s="275" t="str">
        <f>IF(N153="","",VLOOKUP(N153,'G-7 WaterC'' Data'!$B$4:$G$8,5,FALSE))</f>
        <v/>
      </c>
      <c r="AF153" s="283" t="str">
        <f t="shared" si="25"/>
        <v/>
      </c>
      <c r="AG153" s="314" t="str">
        <f t="shared" si="26"/>
        <v/>
      </c>
      <c r="AH153" s="276" t="str">
        <f t="shared" si="20"/>
        <v/>
      </c>
      <c r="AI153" s="105"/>
      <c r="AJ153" s="276" t="str">
        <f>IF(AI153="","",IF(AND(AI153="N/A - Culvert",N153&lt;&gt;"Culvert"),"Not possible ▲",IF(VLOOKUP(AI153,'G-7 WaterC'' Data'!$AA$4:$AB$7,2,FALSE)=0,"Spatial Data Missing ⚠",VLOOKUP(AI153,'G-7 WaterC'' Data'!$AA$4:$AB$7,2,FALSE))))</f>
        <v/>
      </c>
      <c r="AK153" s="106"/>
      <c r="AL153" s="276" t="str">
        <f>IF(AK153="","",IF(AND(AK153="N/A - Culvert",N153&lt;&gt;"Culvert"),"Not possible ▲",IF(VLOOKUP(AK153,'G-7 WaterC'' Data'!$AD$4:$AE$14,2,FALSE)=0,"Spatial Data Missing ⚠",VLOOKUP(AK153,'G-7 WaterC'' Data'!$AD$4:$AE$14,2,FALSE))))</f>
        <v/>
      </c>
      <c r="AM153" s="317" t="str">
        <f t="shared" si="27"/>
        <v/>
      </c>
      <c r="AN153" s="101"/>
      <c r="AO153" s="115"/>
      <c r="AP153" s="104"/>
      <c r="AS153" s="30" t="str">
        <f>IF(B153="","",IF(ISNA(VLOOKUP($B153,'C-1 On-Site WaterC'' Baseline'!$C$8:$AD$257,17,FALSE)),"",(VLOOKUP($B153,'C-1 On-Site WaterC'' Baseline'!$C$8:$AD$257,17,FALSE))))</f>
        <v/>
      </c>
      <c r="AT153" s="30" t="str">
        <f>IF(B153="","",VLOOKUP($B153,'C-1 On-Site WaterC'' Baseline'!$C$9:$Z$257,12,FALSE))</f>
        <v/>
      </c>
      <c r="AU153" s="30" t="str">
        <f>IF(B153="","",VLOOKUP($B153,'C-1 On-Site WaterC'' Baseline'!$C$9:$Z$257,14,FALSE))</f>
        <v/>
      </c>
      <c r="AV153" s="30" t="str">
        <f>IFERROR(INDEX('G-7 WaterC'' Data'!$AZ$3:$AZ$7,MATCH(N153,'G-7 WaterC'' Data'!$AY$3:$AY$7,0)),"")</f>
        <v/>
      </c>
      <c r="AX153" s="30" t="str">
        <f>IF(B153="","",VLOOKUP($B153,'C-1 On-Site WaterC'' Baseline'!$C$9:$Y$257,22,FALSE))</f>
        <v/>
      </c>
      <c r="AY153" s="30" t="str">
        <f t="shared" si="28"/>
        <v/>
      </c>
      <c r="AZ153" s="30" t="str">
        <f>IF(B153="","",VLOOKUP($B153,'C-1 On-Site WaterC'' Baseline'!$C$9:$Y$257,21,FALSE))</f>
        <v/>
      </c>
      <c r="BA153" s="30" t="str">
        <f>IF(B153="","",VLOOKUP($B153,'C-1 On-Site WaterC'' Baseline'!$C$9:$Y$257,19,FALSE))</f>
        <v/>
      </c>
      <c r="BD153" s="30" t="str">
        <f t="shared" si="29"/>
        <v>No</v>
      </c>
    </row>
    <row r="154" spans="2:56" ht="14">
      <c r="B154" s="305" t="str">
        <f>'C-1 On-Site WaterC'' Baseline'!AP152</f>
        <v/>
      </c>
      <c r="C154" s="295" t="str">
        <f>IF(B154="","",VLOOKUP($B154,'C-1 On-Site WaterC'' Baseline'!$C$9:$R$257,2,FALSE))</f>
        <v/>
      </c>
      <c r="D154" s="295" t="str">
        <f>IF(C154="","",VLOOKUP($B154,'C-1 On-Site WaterC'' Baseline'!$C$9:$R$257,3,FALSE))</f>
        <v/>
      </c>
      <c r="E154" s="295" t="str">
        <f>IF(D154="","",VLOOKUP($B154,'C-1 On-Site WaterC'' Baseline'!$C$9:$R$257,4,FALSE))</f>
        <v/>
      </c>
      <c r="F154" s="295" t="str">
        <f>IF(E154="","",VLOOKUP($B154,'C-1 On-Site WaterC'' Baseline'!$C$9:$R$257,5,FALSE))</f>
        <v/>
      </c>
      <c r="G154" s="295" t="str">
        <f>IF(F154="","",VLOOKUP($B154,'C-1 On-Site WaterC'' Baseline'!$C$9:$R$257,6,FALSE))</f>
        <v/>
      </c>
      <c r="H154" s="295" t="str">
        <f>IF(G154="","",VLOOKUP($B154,'C-1 On-Site WaterC'' Baseline'!$C$9:$R$257,7,FALSE))</f>
        <v/>
      </c>
      <c r="I154" s="295" t="str">
        <f>IF(H154="","",VLOOKUP($B154,'C-1 On-Site WaterC'' Baseline'!$C$9:$R$257,8,FALSE))</f>
        <v/>
      </c>
      <c r="J154" s="295" t="str">
        <f>IF(I154="","",VLOOKUP($B154,'C-1 On-Site WaterC'' Baseline'!$C$9:$R$257,9,FALSE))</f>
        <v/>
      </c>
      <c r="K154" s="295" t="str">
        <f>IF(J154="","",VLOOKUP($B154,'C-1 On-Site WaterC'' Baseline'!$C$9:$R$257,10,FALSE))</f>
        <v/>
      </c>
      <c r="L154" s="295" t="str">
        <f>IF(B154="","",VLOOKUP($B154,'C-1 On-Site WaterC'' Baseline'!$C$9:$R$257,15,FALSE))</f>
        <v/>
      </c>
      <c r="M154" s="299" t="str">
        <f>IF(L154="","",VLOOKUP($B154,'C-1 On-Site WaterC'' Baseline'!$C$9:$R$257,16,FALSE))</f>
        <v/>
      </c>
      <c r="N154" s="245"/>
      <c r="O154" s="275" t="str">
        <f t="shared" si="21"/>
        <v/>
      </c>
      <c r="P154" s="276" t="str">
        <f t="shared" si="22"/>
        <v/>
      </c>
      <c r="Q154" s="336" t="str">
        <f>IF(N154="","",VLOOKUP(B154,'C-1 On-Site WaterC'' Baseline'!$C$10:$AC$257,20,FALSE))</f>
        <v/>
      </c>
      <c r="R154" s="275" t="str">
        <f>IF(N154="","",VLOOKUP(N154,'G-7 WaterC'' Data'!$B$2:$G$8,2,FALSE))</f>
        <v/>
      </c>
      <c r="S154" s="276" t="str">
        <f>IFERROR(VLOOKUP(R154,'G-7 WaterC'' Data'!$C$4:$D$8,2,FALSE),"")</f>
        <v/>
      </c>
      <c r="T154" s="101"/>
      <c r="U154" s="276" t="str">
        <f>IFERROR(INDEX('G-7 WaterC'' Data'!$H$4:$L$8,MATCH(N154,'G-7 WaterC'' Data'!$B$4:$B$8,0),MATCH(T154,'G-7 WaterC'' Data'!$H$3:$L$3,0)),"")</f>
        <v/>
      </c>
      <c r="V154" s="101"/>
      <c r="W154" s="283" t="str">
        <f>IF(V154="","",IF(VLOOKUP(V154,'G-7 WaterC'' Data'!$AK$4:$AM$6,2,FALSE)=0,"Spatial Data Missing ⚠",VLOOKUP(V154,'G-7 WaterC'' Data'!$AK$4:$AM$6,2,FALSE)))</f>
        <v/>
      </c>
      <c r="X154" s="276" t="str">
        <f>IF(V154="","",IF(VLOOKUP(V154,'G-7 WaterC'' Data'!$AK$4:$AM$6,3,FALSE)=0,"Spatial Data Missing ⚠",VLOOKUP(V154,'G-7 WaterC'' Data'!$AK$4:$AM$6,3,FALSE)))</f>
        <v/>
      </c>
      <c r="Y154" s="275" t="str">
        <f>IFERROR(IF(OR(LEFT(P154,5)="Error",LEFT(O154,5)="Error"),"Check Data ⚠",IF(F154&lt;S154,'G-7 WaterC'' Data'!$R$3,INDEX('G-7 WaterC'' Data'!$U$5:$Y$9,MATCH(G154,'G-7 WaterC'' Data'!$T$5:$T$9,0),MATCH(T154,'G-7 WaterC'' Data'!$U$4:$Y$4,0)))),"")</f>
        <v/>
      </c>
      <c r="Z154" s="133"/>
      <c r="AA154" s="133"/>
      <c r="AB154" s="283" t="str">
        <f t="shared" si="23"/>
        <v/>
      </c>
      <c r="AC154" s="296" t="str">
        <f t="shared" si="24"/>
        <v/>
      </c>
      <c r="AD154" s="334" t="str">
        <f>IFERROR(IF(AC154="Check Data ⚠","Check Data ⚠",VLOOKUP(AC154,'G-4 Temporal multipliers'!$A$4:$C$37,3,FALSE)),"")</f>
        <v/>
      </c>
      <c r="AE154" s="275" t="str">
        <f>IF(N154="","",VLOOKUP(N154,'G-7 WaterC'' Data'!$B$4:$G$8,5,FALSE))</f>
        <v/>
      </c>
      <c r="AF154" s="283" t="str">
        <f t="shared" si="25"/>
        <v/>
      </c>
      <c r="AG154" s="314" t="str">
        <f t="shared" si="26"/>
        <v/>
      </c>
      <c r="AH154" s="276" t="str">
        <f t="shared" si="20"/>
        <v/>
      </c>
      <c r="AI154" s="105"/>
      <c r="AJ154" s="276" t="str">
        <f>IF(AI154="","",IF(AND(AI154="N/A - Culvert",N154&lt;&gt;"Culvert"),"Not possible ▲",IF(VLOOKUP(AI154,'G-7 WaterC'' Data'!$AA$4:$AB$7,2,FALSE)=0,"Spatial Data Missing ⚠",VLOOKUP(AI154,'G-7 WaterC'' Data'!$AA$4:$AB$7,2,FALSE))))</f>
        <v/>
      </c>
      <c r="AK154" s="106"/>
      <c r="AL154" s="276" t="str">
        <f>IF(AK154="","",IF(AND(AK154="N/A - Culvert",N154&lt;&gt;"Culvert"),"Not possible ▲",IF(VLOOKUP(AK154,'G-7 WaterC'' Data'!$AD$4:$AE$14,2,FALSE)=0,"Spatial Data Missing ⚠",VLOOKUP(AK154,'G-7 WaterC'' Data'!$AD$4:$AE$14,2,FALSE))))</f>
        <v/>
      </c>
      <c r="AM154" s="317" t="str">
        <f t="shared" si="27"/>
        <v/>
      </c>
      <c r="AN154" s="101"/>
      <c r="AO154" s="115"/>
      <c r="AP154" s="104"/>
      <c r="AS154" s="30" t="str">
        <f>IF(B154="","",IF(ISNA(VLOOKUP($B154,'C-1 On-Site WaterC'' Baseline'!$C$8:$AD$257,17,FALSE)),"",(VLOOKUP($B154,'C-1 On-Site WaterC'' Baseline'!$C$8:$AD$257,17,FALSE))))</f>
        <v/>
      </c>
      <c r="AT154" s="30" t="str">
        <f>IF(B154="","",VLOOKUP($B154,'C-1 On-Site WaterC'' Baseline'!$C$9:$Z$257,12,FALSE))</f>
        <v/>
      </c>
      <c r="AU154" s="30" t="str">
        <f>IF(B154="","",VLOOKUP($B154,'C-1 On-Site WaterC'' Baseline'!$C$9:$Z$257,14,FALSE))</f>
        <v/>
      </c>
      <c r="AV154" s="30" t="str">
        <f>IFERROR(INDEX('G-7 WaterC'' Data'!$AZ$3:$AZ$7,MATCH(N154,'G-7 WaterC'' Data'!$AY$3:$AY$7,0)),"")</f>
        <v/>
      </c>
      <c r="AX154" s="30" t="str">
        <f>IF(B154="","",VLOOKUP($B154,'C-1 On-Site WaterC'' Baseline'!$C$9:$Y$257,22,FALSE))</f>
        <v/>
      </c>
      <c r="AY154" s="30" t="str">
        <f t="shared" si="28"/>
        <v/>
      </c>
      <c r="AZ154" s="30" t="str">
        <f>IF(B154="","",VLOOKUP($B154,'C-1 On-Site WaterC'' Baseline'!$C$9:$Y$257,21,FALSE))</f>
        <v/>
      </c>
      <c r="BA154" s="30" t="str">
        <f>IF(B154="","",VLOOKUP($B154,'C-1 On-Site WaterC'' Baseline'!$C$9:$Y$257,19,FALSE))</f>
        <v/>
      </c>
      <c r="BD154" s="30" t="str">
        <f t="shared" si="29"/>
        <v>No</v>
      </c>
    </row>
    <row r="155" spans="2:56" ht="14">
      <c r="B155" s="305" t="str">
        <f>'C-1 On-Site WaterC'' Baseline'!AP153</f>
        <v/>
      </c>
      <c r="C155" s="295" t="str">
        <f>IF(B155="","",VLOOKUP($B155,'C-1 On-Site WaterC'' Baseline'!$C$9:$R$257,2,FALSE))</f>
        <v/>
      </c>
      <c r="D155" s="295" t="str">
        <f>IF(C155="","",VLOOKUP($B155,'C-1 On-Site WaterC'' Baseline'!$C$9:$R$257,3,FALSE))</f>
        <v/>
      </c>
      <c r="E155" s="295" t="str">
        <f>IF(D155="","",VLOOKUP($B155,'C-1 On-Site WaterC'' Baseline'!$C$9:$R$257,4,FALSE))</f>
        <v/>
      </c>
      <c r="F155" s="295" t="str">
        <f>IF(E155="","",VLOOKUP($B155,'C-1 On-Site WaterC'' Baseline'!$C$9:$R$257,5,FALSE))</f>
        <v/>
      </c>
      <c r="G155" s="295" t="str">
        <f>IF(F155="","",VLOOKUP($B155,'C-1 On-Site WaterC'' Baseline'!$C$9:$R$257,6,FALSE))</f>
        <v/>
      </c>
      <c r="H155" s="295" t="str">
        <f>IF(G155="","",VLOOKUP($B155,'C-1 On-Site WaterC'' Baseline'!$C$9:$R$257,7,FALSE))</f>
        <v/>
      </c>
      <c r="I155" s="295" t="str">
        <f>IF(H155="","",VLOOKUP($B155,'C-1 On-Site WaterC'' Baseline'!$C$9:$R$257,8,FALSE))</f>
        <v/>
      </c>
      <c r="J155" s="295" t="str">
        <f>IF(I155="","",VLOOKUP($B155,'C-1 On-Site WaterC'' Baseline'!$C$9:$R$257,9,FALSE))</f>
        <v/>
      </c>
      <c r="K155" s="295" t="str">
        <f>IF(J155="","",VLOOKUP($B155,'C-1 On-Site WaterC'' Baseline'!$C$9:$R$257,10,FALSE))</f>
        <v/>
      </c>
      <c r="L155" s="295" t="str">
        <f>IF(B155="","",VLOOKUP($B155,'C-1 On-Site WaterC'' Baseline'!$C$9:$R$257,15,FALSE))</f>
        <v/>
      </c>
      <c r="M155" s="299" t="str">
        <f>IF(L155="","",VLOOKUP($B155,'C-1 On-Site WaterC'' Baseline'!$C$9:$R$257,16,FALSE))</f>
        <v/>
      </c>
      <c r="N155" s="245"/>
      <c r="O155" s="275" t="str">
        <f t="shared" si="21"/>
        <v/>
      </c>
      <c r="P155" s="276" t="str">
        <f t="shared" si="22"/>
        <v/>
      </c>
      <c r="Q155" s="336" t="str">
        <f>IF(N155="","",VLOOKUP(B155,'C-1 On-Site WaterC'' Baseline'!$C$10:$AC$257,20,FALSE))</f>
        <v/>
      </c>
      <c r="R155" s="275" t="str">
        <f>IF(N155="","",VLOOKUP(N155,'G-7 WaterC'' Data'!$B$2:$G$8,2,FALSE))</f>
        <v/>
      </c>
      <c r="S155" s="276" t="str">
        <f>IFERROR(VLOOKUP(R155,'G-7 WaterC'' Data'!$C$4:$D$8,2,FALSE),"")</f>
        <v/>
      </c>
      <c r="T155" s="101"/>
      <c r="U155" s="276" t="str">
        <f>IFERROR(INDEX('G-7 WaterC'' Data'!$H$4:$L$8,MATCH(N155,'G-7 WaterC'' Data'!$B$4:$B$8,0),MATCH(T155,'G-7 WaterC'' Data'!$H$3:$L$3,0)),"")</f>
        <v/>
      </c>
      <c r="V155" s="101"/>
      <c r="W155" s="283" t="str">
        <f>IF(V155="","",IF(VLOOKUP(V155,'G-7 WaterC'' Data'!$AK$4:$AM$6,2,FALSE)=0,"Spatial Data Missing ⚠",VLOOKUP(V155,'G-7 WaterC'' Data'!$AK$4:$AM$6,2,FALSE)))</f>
        <v/>
      </c>
      <c r="X155" s="276" t="str">
        <f>IF(V155="","",IF(VLOOKUP(V155,'G-7 WaterC'' Data'!$AK$4:$AM$6,3,FALSE)=0,"Spatial Data Missing ⚠",VLOOKUP(V155,'G-7 WaterC'' Data'!$AK$4:$AM$6,3,FALSE)))</f>
        <v/>
      </c>
      <c r="Y155" s="275" t="str">
        <f>IFERROR(IF(OR(LEFT(P155,5)="Error",LEFT(O155,5)="Error"),"Check Data ⚠",IF(F155&lt;S155,'G-7 WaterC'' Data'!$R$3,INDEX('G-7 WaterC'' Data'!$U$5:$Y$9,MATCH(G155,'G-7 WaterC'' Data'!$T$5:$T$9,0),MATCH(T155,'G-7 WaterC'' Data'!$U$4:$Y$4,0)))),"")</f>
        <v/>
      </c>
      <c r="Z155" s="133"/>
      <c r="AA155" s="133"/>
      <c r="AB155" s="283" t="str">
        <f t="shared" si="23"/>
        <v/>
      </c>
      <c r="AC155" s="296" t="str">
        <f t="shared" si="24"/>
        <v/>
      </c>
      <c r="AD155" s="334" t="str">
        <f>IFERROR(IF(AC155="Check Data ⚠","Check Data ⚠",VLOOKUP(AC155,'G-4 Temporal multipliers'!$A$4:$C$37,3,FALSE)),"")</f>
        <v/>
      </c>
      <c r="AE155" s="275" t="str">
        <f>IF(N155="","",VLOOKUP(N155,'G-7 WaterC'' Data'!$B$4:$G$8,5,FALSE))</f>
        <v/>
      </c>
      <c r="AF155" s="283" t="str">
        <f t="shared" si="25"/>
        <v/>
      </c>
      <c r="AG155" s="314" t="str">
        <f t="shared" si="26"/>
        <v/>
      </c>
      <c r="AH155" s="276" t="str">
        <f t="shared" si="20"/>
        <v/>
      </c>
      <c r="AI155" s="105"/>
      <c r="AJ155" s="276" t="str">
        <f>IF(AI155="","",IF(AND(AI155="N/A - Culvert",N155&lt;&gt;"Culvert"),"Not possible ▲",IF(VLOOKUP(AI155,'G-7 WaterC'' Data'!$AA$4:$AB$7,2,FALSE)=0,"Spatial Data Missing ⚠",VLOOKUP(AI155,'G-7 WaterC'' Data'!$AA$4:$AB$7,2,FALSE))))</f>
        <v/>
      </c>
      <c r="AK155" s="106"/>
      <c r="AL155" s="276" t="str">
        <f>IF(AK155="","",IF(AND(AK155="N/A - Culvert",N155&lt;&gt;"Culvert"),"Not possible ▲",IF(VLOOKUP(AK155,'G-7 WaterC'' Data'!$AD$4:$AE$14,2,FALSE)=0,"Spatial Data Missing ⚠",VLOOKUP(AK155,'G-7 WaterC'' Data'!$AD$4:$AE$14,2,FALSE))))</f>
        <v/>
      </c>
      <c r="AM155" s="317" t="str">
        <f t="shared" si="27"/>
        <v/>
      </c>
      <c r="AN155" s="101"/>
      <c r="AO155" s="115"/>
      <c r="AP155" s="104"/>
      <c r="AS155" s="30" t="str">
        <f>IF(B155="","",IF(ISNA(VLOOKUP($B155,'C-1 On-Site WaterC'' Baseline'!$C$8:$AD$257,17,FALSE)),"",(VLOOKUP($B155,'C-1 On-Site WaterC'' Baseline'!$C$8:$AD$257,17,FALSE))))</f>
        <v/>
      </c>
      <c r="AT155" s="30" t="str">
        <f>IF(B155="","",VLOOKUP($B155,'C-1 On-Site WaterC'' Baseline'!$C$9:$Z$257,12,FALSE))</f>
        <v/>
      </c>
      <c r="AU155" s="30" t="str">
        <f>IF(B155="","",VLOOKUP($B155,'C-1 On-Site WaterC'' Baseline'!$C$9:$Z$257,14,FALSE))</f>
        <v/>
      </c>
      <c r="AV155" s="30" t="str">
        <f>IFERROR(INDEX('G-7 WaterC'' Data'!$AZ$3:$AZ$7,MATCH(N155,'G-7 WaterC'' Data'!$AY$3:$AY$7,0)),"")</f>
        <v/>
      </c>
      <c r="AX155" s="30" t="str">
        <f>IF(B155="","",VLOOKUP($B155,'C-1 On-Site WaterC'' Baseline'!$C$9:$Y$257,22,FALSE))</f>
        <v/>
      </c>
      <c r="AY155" s="30" t="str">
        <f t="shared" si="28"/>
        <v/>
      </c>
      <c r="AZ155" s="30" t="str">
        <f>IF(B155="","",VLOOKUP($B155,'C-1 On-Site WaterC'' Baseline'!$C$9:$Y$257,21,FALSE))</f>
        <v/>
      </c>
      <c r="BA155" s="30" t="str">
        <f>IF(B155="","",VLOOKUP($B155,'C-1 On-Site WaterC'' Baseline'!$C$9:$Y$257,19,FALSE))</f>
        <v/>
      </c>
      <c r="BD155" s="30" t="str">
        <f t="shared" si="29"/>
        <v>No</v>
      </c>
    </row>
    <row r="156" spans="2:56" ht="14">
      <c r="B156" s="305" t="str">
        <f>'C-1 On-Site WaterC'' Baseline'!AP154</f>
        <v/>
      </c>
      <c r="C156" s="295" t="str">
        <f>IF(B156="","",VLOOKUP($B156,'C-1 On-Site WaterC'' Baseline'!$C$9:$R$257,2,FALSE))</f>
        <v/>
      </c>
      <c r="D156" s="295" t="str">
        <f>IF(C156="","",VLOOKUP($B156,'C-1 On-Site WaterC'' Baseline'!$C$9:$R$257,3,FALSE))</f>
        <v/>
      </c>
      <c r="E156" s="295" t="str">
        <f>IF(D156="","",VLOOKUP($B156,'C-1 On-Site WaterC'' Baseline'!$C$9:$R$257,4,FALSE))</f>
        <v/>
      </c>
      <c r="F156" s="295" t="str">
        <f>IF(E156="","",VLOOKUP($B156,'C-1 On-Site WaterC'' Baseline'!$C$9:$R$257,5,FALSE))</f>
        <v/>
      </c>
      <c r="G156" s="295" t="str">
        <f>IF(F156="","",VLOOKUP($B156,'C-1 On-Site WaterC'' Baseline'!$C$9:$R$257,6,FALSE))</f>
        <v/>
      </c>
      <c r="H156" s="295" t="str">
        <f>IF(G156="","",VLOOKUP($B156,'C-1 On-Site WaterC'' Baseline'!$C$9:$R$257,7,FALSE))</f>
        <v/>
      </c>
      <c r="I156" s="295" t="str">
        <f>IF(H156="","",VLOOKUP($B156,'C-1 On-Site WaterC'' Baseline'!$C$9:$R$257,8,FALSE))</f>
        <v/>
      </c>
      <c r="J156" s="295" t="str">
        <f>IF(I156="","",VLOOKUP($B156,'C-1 On-Site WaterC'' Baseline'!$C$9:$R$257,9,FALSE))</f>
        <v/>
      </c>
      <c r="K156" s="295" t="str">
        <f>IF(J156="","",VLOOKUP($B156,'C-1 On-Site WaterC'' Baseline'!$C$9:$R$257,10,FALSE))</f>
        <v/>
      </c>
      <c r="L156" s="295" t="str">
        <f>IF(B156="","",VLOOKUP($B156,'C-1 On-Site WaterC'' Baseline'!$C$9:$R$257,15,FALSE))</f>
        <v/>
      </c>
      <c r="M156" s="299" t="str">
        <f>IF(L156="","",VLOOKUP($B156,'C-1 On-Site WaterC'' Baseline'!$C$9:$R$257,16,FALSE))</f>
        <v/>
      </c>
      <c r="N156" s="245"/>
      <c r="O156" s="275" t="str">
        <f t="shared" si="21"/>
        <v/>
      </c>
      <c r="P156" s="276" t="str">
        <f t="shared" si="22"/>
        <v/>
      </c>
      <c r="Q156" s="336" t="str">
        <f>IF(N156="","",VLOOKUP(B156,'C-1 On-Site WaterC'' Baseline'!$C$10:$AC$257,20,FALSE))</f>
        <v/>
      </c>
      <c r="R156" s="275" t="str">
        <f>IF(N156="","",VLOOKUP(N156,'G-7 WaterC'' Data'!$B$2:$G$8,2,FALSE))</f>
        <v/>
      </c>
      <c r="S156" s="276" t="str">
        <f>IFERROR(VLOOKUP(R156,'G-7 WaterC'' Data'!$C$4:$D$8,2,FALSE),"")</f>
        <v/>
      </c>
      <c r="T156" s="101"/>
      <c r="U156" s="276" t="str">
        <f>IFERROR(INDEX('G-7 WaterC'' Data'!$H$4:$L$8,MATCH(N156,'G-7 WaterC'' Data'!$B$4:$B$8,0),MATCH(T156,'G-7 WaterC'' Data'!$H$3:$L$3,0)),"")</f>
        <v/>
      </c>
      <c r="V156" s="101"/>
      <c r="W156" s="283" t="str">
        <f>IF(V156="","",IF(VLOOKUP(V156,'G-7 WaterC'' Data'!$AK$4:$AM$6,2,FALSE)=0,"Spatial Data Missing ⚠",VLOOKUP(V156,'G-7 WaterC'' Data'!$AK$4:$AM$6,2,FALSE)))</f>
        <v/>
      </c>
      <c r="X156" s="276" t="str">
        <f>IF(V156="","",IF(VLOOKUP(V156,'G-7 WaterC'' Data'!$AK$4:$AM$6,3,FALSE)=0,"Spatial Data Missing ⚠",VLOOKUP(V156,'G-7 WaterC'' Data'!$AK$4:$AM$6,3,FALSE)))</f>
        <v/>
      </c>
      <c r="Y156" s="275" t="str">
        <f>IFERROR(IF(OR(LEFT(P156,5)="Error",LEFT(O156,5)="Error"),"Check Data ⚠",IF(F156&lt;S156,'G-7 WaterC'' Data'!$R$3,INDEX('G-7 WaterC'' Data'!$U$5:$Y$9,MATCH(G156,'G-7 WaterC'' Data'!$T$5:$T$9,0),MATCH(T156,'G-7 WaterC'' Data'!$U$4:$Y$4,0)))),"")</f>
        <v/>
      </c>
      <c r="Z156" s="133"/>
      <c r="AA156" s="133"/>
      <c r="AB156" s="283" t="str">
        <f t="shared" si="23"/>
        <v/>
      </c>
      <c r="AC156" s="296" t="str">
        <f t="shared" si="24"/>
        <v/>
      </c>
      <c r="AD156" s="334" t="str">
        <f>IFERROR(IF(AC156="Check Data ⚠","Check Data ⚠",VLOOKUP(AC156,'G-4 Temporal multipliers'!$A$4:$C$37,3,FALSE)),"")</f>
        <v/>
      </c>
      <c r="AE156" s="275" t="str">
        <f>IF(N156="","",VLOOKUP(N156,'G-7 WaterC'' Data'!$B$4:$G$8,5,FALSE))</f>
        <v/>
      </c>
      <c r="AF156" s="283" t="str">
        <f t="shared" si="25"/>
        <v/>
      </c>
      <c r="AG156" s="314" t="str">
        <f t="shared" si="26"/>
        <v/>
      </c>
      <c r="AH156" s="276" t="str">
        <f t="shared" si="20"/>
        <v/>
      </c>
      <c r="AI156" s="105"/>
      <c r="AJ156" s="276" t="str">
        <f>IF(AI156="","",IF(AND(AI156="N/A - Culvert",N156&lt;&gt;"Culvert"),"Not possible ▲",IF(VLOOKUP(AI156,'G-7 WaterC'' Data'!$AA$4:$AB$7,2,FALSE)=0,"Spatial Data Missing ⚠",VLOOKUP(AI156,'G-7 WaterC'' Data'!$AA$4:$AB$7,2,FALSE))))</f>
        <v/>
      </c>
      <c r="AK156" s="106"/>
      <c r="AL156" s="276" t="str">
        <f>IF(AK156="","",IF(AND(AK156="N/A - Culvert",N156&lt;&gt;"Culvert"),"Not possible ▲",IF(VLOOKUP(AK156,'G-7 WaterC'' Data'!$AD$4:$AE$14,2,FALSE)=0,"Spatial Data Missing ⚠",VLOOKUP(AK156,'G-7 WaterC'' Data'!$AD$4:$AE$14,2,FALSE))))</f>
        <v/>
      </c>
      <c r="AM156" s="317" t="str">
        <f t="shared" si="27"/>
        <v/>
      </c>
      <c r="AN156" s="101"/>
      <c r="AO156" s="115"/>
      <c r="AP156" s="104"/>
      <c r="AS156" s="30" t="str">
        <f>IF(B156="","",IF(ISNA(VLOOKUP($B156,'C-1 On-Site WaterC'' Baseline'!$C$8:$AD$257,17,FALSE)),"",(VLOOKUP($B156,'C-1 On-Site WaterC'' Baseline'!$C$8:$AD$257,17,FALSE))))</f>
        <v/>
      </c>
      <c r="AT156" s="30" t="str">
        <f>IF(B156="","",VLOOKUP($B156,'C-1 On-Site WaterC'' Baseline'!$C$9:$Z$257,12,FALSE))</f>
        <v/>
      </c>
      <c r="AU156" s="30" t="str">
        <f>IF(B156="","",VLOOKUP($B156,'C-1 On-Site WaterC'' Baseline'!$C$9:$Z$257,14,FALSE))</f>
        <v/>
      </c>
      <c r="AV156" s="30" t="str">
        <f>IFERROR(INDEX('G-7 WaterC'' Data'!$AZ$3:$AZ$7,MATCH(N156,'G-7 WaterC'' Data'!$AY$3:$AY$7,0)),"")</f>
        <v/>
      </c>
      <c r="AX156" s="30" t="str">
        <f>IF(B156="","",VLOOKUP($B156,'C-1 On-Site WaterC'' Baseline'!$C$9:$Y$257,22,FALSE))</f>
        <v/>
      </c>
      <c r="AY156" s="30" t="str">
        <f t="shared" si="28"/>
        <v/>
      </c>
      <c r="AZ156" s="30" t="str">
        <f>IF(B156="","",VLOOKUP($B156,'C-1 On-Site WaterC'' Baseline'!$C$9:$Y$257,21,FALSE))</f>
        <v/>
      </c>
      <c r="BA156" s="30" t="str">
        <f>IF(B156="","",VLOOKUP($B156,'C-1 On-Site WaterC'' Baseline'!$C$9:$Y$257,19,FALSE))</f>
        <v/>
      </c>
      <c r="BD156" s="30" t="str">
        <f t="shared" si="29"/>
        <v>No</v>
      </c>
    </row>
    <row r="157" spans="2:56" ht="14">
      <c r="B157" s="305" t="str">
        <f>'C-1 On-Site WaterC'' Baseline'!AP155</f>
        <v/>
      </c>
      <c r="C157" s="295" t="str">
        <f>IF(B157="","",VLOOKUP($B157,'C-1 On-Site WaterC'' Baseline'!$C$9:$R$257,2,FALSE))</f>
        <v/>
      </c>
      <c r="D157" s="295" t="str">
        <f>IF(C157="","",VLOOKUP($B157,'C-1 On-Site WaterC'' Baseline'!$C$9:$R$257,3,FALSE))</f>
        <v/>
      </c>
      <c r="E157" s="295" t="str">
        <f>IF(D157="","",VLOOKUP($B157,'C-1 On-Site WaterC'' Baseline'!$C$9:$R$257,4,FALSE))</f>
        <v/>
      </c>
      <c r="F157" s="295" t="str">
        <f>IF(E157="","",VLOOKUP($B157,'C-1 On-Site WaterC'' Baseline'!$C$9:$R$257,5,FALSE))</f>
        <v/>
      </c>
      <c r="G157" s="295" t="str">
        <f>IF(F157="","",VLOOKUP($B157,'C-1 On-Site WaterC'' Baseline'!$C$9:$R$257,6,FALSE))</f>
        <v/>
      </c>
      <c r="H157" s="295" t="str">
        <f>IF(G157="","",VLOOKUP($B157,'C-1 On-Site WaterC'' Baseline'!$C$9:$R$257,7,FALSE))</f>
        <v/>
      </c>
      <c r="I157" s="295" t="str">
        <f>IF(H157="","",VLOOKUP($B157,'C-1 On-Site WaterC'' Baseline'!$C$9:$R$257,8,FALSE))</f>
        <v/>
      </c>
      <c r="J157" s="295" t="str">
        <f>IF(I157="","",VLOOKUP($B157,'C-1 On-Site WaterC'' Baseline'!$C$9:$R$257,9,FALSE))</f>
        <v/>
      </c>
      <c r="K157" s="295" t="str">
        <f>IF(J157="","",VLOOKUP($B157,'C-1 On-Site WaterC'' Baseline'!$C$9:$R$257,10,FALSE))</f>
        <v/>
      </c>
      <c r="L157" s="295" t="str">
        <f>IF(B157="","",VLOOKUP($B157,'C-1 On-Site WaterC'' Baseline'!$C$9:$R$257,15,FALSE))</f>
        <v/>
      </c>
      <c r="M157" s="299" t="str">
        <f>IF(L157="","",VLOOKUP($B157,'C-1 On-Site WaterC'' Baseline'!$C$9:$R$257,16,FALSE))</f>
        <v/>
      </c>
      <c r="N157" s="245"/>
      <c r="O157" s="275" t="str">
        <f t="shared" si="21"/>
        <v/>
      </c>
      <c r="P157" s="276" t="str">
        <f t="shared" si="22"/>
        <v/>
      </c>
      <c r="Q157" s="336" t="str">
        <f>IF(N157="","",VLOOKUP(B157,'C-1 On-Site WaterC'' Baseline'!$C$10:$AC$257,20,FALSE))</f>
        <v/>
      </c>
      <c r="R157" s="275" t="str">
        <f>IF(N157="","",VLOOKUP(N157,'G-7 WaterC'' Data'!$B$2:$G$8,2,FALSE))</f>
        <v/>
      </c>
      <c r="S157" s="276" t="str">
        <f>IFERROR(VLOOKUP(R157,'G-7 WaterC'' Data'!$C$4:$D$8,2,FALSE),"")</f>
        <v/>
      </c>
      <c r="T157" s="101"/>
      <c r="U157" s="276" t="str">
        <f>IFERROR(INDEX('G-7 WaterC'' Data'!$H$4:$L$8,MATCH(N157,'G-7 WaterC'' Data'!$B$4:$B$8,0),MATCH(T157,'G-7 WaterC'' Data'!$H$3:$L$3,0)),"")</f>
        <v/>
      </c>
      <c r="V157" s="101"/>
      <c r="W157" s="283" t="str">
        <f>IF(V157="","",IF(VLOOKUP(V157,'G-7 WaterC'' Data'!$AK$4:$AM$6,2,FALSE)=0,"Spatial Data Missing ⚠",VLOOKUP(V157,'G-7 WaterC'' Data'!$AK$4:$AM$6,2,FALSE)))</f>
        <v/>
      </c>
      <c r="X157" s="276" t="str">
        <f>IF(V157="","",IF(VLOOKUP(V157,'G-7 WaterC'' Data'!$AK$4:$AM$6,3,FALSE)=0,"Spatial Data Missing ⚠",VLOOKUP(V157,'G-7 WaterC'' Data'!$AK$4:$AM$6,3,FALSE)))</f>
        <v/>
      </c>
      <c r="Y157" s="275" t="str">
        <f>IFERROR(IF(OR(LEFT(P157,5)="Error",LEFT(O157,5)="Error"),"Check Data ⚠",IF(F157&lt;S157,'G-7 WaterC'' Data'!$R$3,INDEX('G-7 WaterC'' Data'!$U$5:$Y$9,MATCH(G157,'G-7 WaterC'' Data'!$T$5:$T$9,0),MATCH(T157,'G-7 WaterC'' Data'!$U$4:$Y$4,0)))),"")</f>
        <v/>
      </c>
      <c r="Z157" s="133"/>
      <c r="AA157" s="133"/>
      <c r="AB157" s="283" t="str">
        <f t="shared" si="23"/>
        <v/>
      </c>
      <c r="AC157" s="296" t="str">
        <f t="shared" si="24"/>
        <v/>
      </c>
      <c r="AD157" s="334" t="str">
        <f>IFERROR(IF(AC157="Check Data ⚠","Check Data ⚠",VLOOKUP(AC157,'G-4 Temporal multipliers'!$A$4:$C$37,3,FALSE)),"")</f>
        <v/>
      </c>
      <c r="AE157" s="275" t="str">
        <f>IF(N157="","",VLOOKUP(N157,'G-7 WaterC'' Data'!$B$4:$G$8,5,FALSE))</f>
        <v/>
      </c>
      <c r="AF157" s="283" t="str">
        <f t="shared" si="25"/>
        <v/>
      </c>
      <c r="AG157" s="314" t="str">
        <f t="shared" si="26"/>
        <v/>
      </c>
      <c r="AH157" s="276" t="str">
        <f t="shared" si="20"/>
        <v/>
      </c>
      <c r="AI157" s="105"/>
      <c r="AJ157" s="276" t="str">
        <f>IF(AI157="","",IF(AND(AI157="N/A - Culvert",N157&lt;&gt;"Culvert"),"Not possible ▲",IF(VLOOKUP(AI157,'G-7 WaterC'' Data'!$AA$4:$AB$7,2,FALSE)=0,"Spatial Data Missing ⚠",VLOOKUP(AI157,'G-7 WaterC'' Data'!$AA$4:$AB$7,2,FALSE))))</f>
        <v/>
      </c>
      <c r="AK157" s="106"/>
      <c r="AL157" s="276" t="str">
        <f>IF(AK157="","",IF(AND(AK157="N/A - Culvert",N157&lt;&gt;"Culvert"),"Not possible ▲",IF(VLOOKUP(AK157,'G-7 WaterC'' Data'!$AD$4:$AE$14,2,FALSE)=0,"Spatial Data Missing ⚠",VLOOKUP(AK157,'G-7 WaterC'' Data'!$AD$4:$AE$14,2,FALSE))))</f>
        <v/>
      </c>
      <c r="AM157" s="317" t="str">
        <f t="shared" si="27"/>
        <v/>
      </c>
      <c r="AN157" s="101"/>
      <c r="AO157" s="115"/>
      <c r="AP157" s="104"/>
      <c r="AS157" s="30" t="str">
        <f>IF(B157="","",IF(ISNA(VLOOKUP($B157,'C-1 On-Site WaterC'' Baseline'!$C$8:$AD$257,17,FALSE)),"",(VLOOKUP($B157,'C-1 On-Site WaterC'' Baseline'!$C$8:$AD$257,17,FALSE))))</f>
        <v/>
      </c>
      <c r="AT157" s="30" t="str">
        <f>IF(B157="","",VLOOKUP($B157,'C-1 On-Site WaterC'' Baseline'!$C$9:$Z$257,12,FALSE))</f>
        <v/>
      </c>
      <c r="AU157" s="30" t="str">
        <f>IF(B157="","",VLOOKUP($B157,'C-1 On-Site WaterC'' Baseline'!$C$9:$Z$257,14,FALSE))</f>
        <v/>
      </c>
      <c r="AV157" s="30" t="str">
        <f>IFERROR(INDEX('G-7 WaterC'' Data'!$AZ$3:$AZ$7,MATCH(N157,'G-7 WaterC'' Data'!$AY$3:$AY$7,0)),"")</f>
        <v/>
      </c>
      <c r="AX157" s="30" t="str">
        <f>IF(B157="","",VLOOKUP($B157,'C-1 On-Site WaterC'' Baseline'!$C$9:$Y$257,22,FALSE))</f>
        <v/>
      </c>
      <c r="AY157" s="30" t="str">
        <f t="shared" si="28"/>
        <v/>
      </c>
      <c r="AZ157" s="30" t="str">
        <f>IF(B157="","",VLOOKUP($B157,'C-1 On-Site WaterC'' Baseline'!$C$9:$Y$257,21,FALSE))</f>
        <v/>
      </c>
      <c r="BA157" s="30" t="str">
        <f>IF(B157="","",VLOOKUP($B157,'C-1 On-Site WaterC'' Baseline'!$C$9:$Y$257,19,FALSE))</f>
        <v/>
      </c>
      <c r="BD157" s="30" t="str">
        <f t="shared" si="29"/>
        <v>No</v>
      </c>
    </row>
    <row r="158" spans="2:56" ht="14">
      <c r="B158" s="305" t="str">
        <f>'C-1 On-Site WaterC'' Baseline'!AP156</f>
        <v/>
      </c>
      <c r="C158" s="295" t="str">
        <f>IF(B158="","",VLOOKUP($B158,'C-1 On-Site WaterC'' Baseline'!$C$9:$R$257,2,FALSE))</f>
        <v/>
      </c>
      <c r="D158" s="295" t="str">
        <f>IF(C158="","",VLOOKUP($B158,'C-1 On-Site WaterC'' Baseline'!$C$9:$R$257,3,FALSE))</f>
        <v/>
      </c>
      <c r="E158" s="295" t="str">
        <f>IF(D158="","",VLOOKUP($B158,'C-1 On-Site WaterC'' Baseline'!$C$9:$R$257,4,FALSE))</f>
        <v/>
      </c>
      <c r="F158" s="295" t="str">
        <f>IF(E158="","",VLOOKUP($B158,'C-1 On-Site WaterC'' Baseline'!$C$9:$R$257,5,FALSE))</f>
        <v/>
      </c>
      <c r="G158" s="295" t="str">
        <f>IF(F158="","",VLOOKUP($B158,'C-1 On-Site WaterC'' Baseline'!$C$9:$R$257,6,FALSE))</f>
        <v/>
      </c>
      <c r="H158" s="295" t="str">
        <f>IF(G158="","",VLOOKUP($B158,'C-1 On-Site WaterC'' Baseline'!$C$9:$R$257,7,FALSE))</f>
        <v/>
      </c>
      <c r="I158" s="295" t="str">
        <f>IF(H158="","",VLOOKUP($B158,'C-1 On-Site WaterC'' Baseline'!$C$9:$R$257,8,FALSE))</f>
        <v/>
      </c>
      <c r="J158" s="295" t="str">
        <f>IF(I158="","",VLOOKUP($B158,'C-1 On-Site WaterC'' Baseline'!$C$9:$R$257,9,FALSE))</f>
        <v/>
      </c>
      <c r="K158" s="295" t="str">
        <f>IF(J158="","",VLOOKUP($B158,'C-1 On-Site WaterC'' Baseline'!$C$9:$R$257,10,FALSE))</f>
        <v/>
      </c>
      <c r="L158" s="295" t="str">
        <f>IF(B158="","",VLOOKUP($B158,'C-1 On-Site WaterC'' Baseline'!$C$9:$R$257,15,FALSE))</f>
        <v/>
      </c>
      <c r="M158" s="299" t="str">
        <f>IF(L158="","",VLOOKUP($B158,'C-1 On-Site WaterC'' Baseline'!$C$9:$R$257,16,FALSE))</f>
        <v/>
      </c>
      <c r="N158" s="245"/>
      <c r="O158" s="275" t="str">
        <f t="shared" si="21"/>
        <v/>
      </c>
      <c r="P158" s="276" t="str">
        <f t="shared" si="22"/>
        <v/>
      </c>
      <c r="Q158" s="336" t="str">
        <f>IF(N158="","",VLOOKUP(B158,'C-1 On-Site WaterC'' Baseline'!$C$10:$AC$257,20,FALSE))</f>
        <v/>
      </c>
      <c r="R158" s="275" t="str">
        <f>IF(N158="","",VLOOKUP(N158,'G-7 WaterC'' Data'!$B$2:$G$8,2,FALSE))</f>
        <v/>
      </c>
      <c r="S158" s="276" t="str">
        <f>IFERROR(VLOOKUP(R158,'G-7 WaterC'' Data'!$C$4:$D$8,2,FALSE),"")</f>
        <v/>
      </c>
      <c r="T158" s="101"/>
      <c r="U158" s="276" t="str">
        <f>IFERROR(INDEX('G-7 WaterC'' Data'!$H$4:$L$8,MATCH(N158,'G-7 WaterC'' Data'!$B$4:$B$8,0),MATCH(T158,'G-7 WaterC'' Data'!$H$3:$L$3,0)),"")</f>
        <v/>
      </c>
      <c r="V158" s="101"/>
      <c r="W158" s="283" t="str">
        <f>IF(V158="","",IF(VLOOKUP(V158,'G-7 WaterC'' Data'!$AK$4:$AM$6,2,FALSE)=0,"Spatial Data Missing ⚠",VLOOKUP(V158,'G-7 WaterC'' Data'!$AK$4:$AM$6,2,FALSE)))</f>
        <v/>
      </c>
      <c r="X158" s="276" t="str">
        <f>IF(V158="","",IF(VLOOKUP(V158,'G-7 WaterC'' Data'!$AK$4:$AM$6,3,FALSE)=0,"Spatial Data Missing ⚠",VLOOKUP(V158,'G-7 WaterC'' Data'!$AK$4:$AM$6,3,FALSE)))</f>
        <v/>
      </c>
      <c r="Y158" s="275" t="str">
        <f>IFERROR(IF(OR(LEFT(P158,5)="Error",LEFT(O158,5)="Error"),"Check Data ⚠",IF(F158&lt;S158,'G-7 WaterC'' Data'!$R$3,INDEX('G-7 WaterC'' Data'!$U$5:$Y$9,MATCH(G158,'G-7 WaterC'' Data'!$T$5:$T$9,0),MATCH(T158,'G-7 WaterC'' Data'!$U$4:$Y$4,0)))),"")</f>
        <v/>
      </c>
      <c r="Z158" s="133"/>
      <c r="AA158" s="133"/>
      <c r="AB158" s="283" t="str">
        <f t="shared" si="23"/>
        <v/>
      </c>
      <c r="AC158" s="296" t="str">
        <f t="shared" si="24"/>
        <v/>
      </c>
      <c r="AD158" s="334" t="str">
        <f>IFERROR(IF(AC158="Check Data ⚠","Check Data ⚠",VLOOKUP(AC158,'G-4 Temporal multipliers'!$A$4:$C$37,3,FALSE)),"")</f>
        <v/>
      </c>
      <c r="AE158" s="275" t="str">
        <f>IF(N158="","",VLOOKUP(N158,'G-7 WaterC'' Data'!$B$4:$G$8,5,FALSE))</f>
        <v/>
      </c>
      <c r="AF158" s="283" t="str">
        <f t="shared" si="25"/>
        <v/>
      </c>
      <c r="AG158" s="314" t="str">
        <f t="shared" si="26"/>
        <v/>
      </c>
      <c r="AH158" s="276" t="str">
        <f t="shared" si="20"/>
        <v/>
      </c>
      <c r="AI158" s="105"/>
      <c r="AJ158" s="276" t="str">
        <f>IF(AI158="","",IF(AND(AI158="N/A - Culvert",N158&lt;&gt;"Culvert"),"Not possible ▲",IF(VLOOKUP(AI158,'G-7 WaterC'' Data'!$AA$4:$AB$7,2,FALSE)=0,"Spatial Data Missing ⚠",VLOOKUP(AI158,'G-7 WaterC'' Data'!$AA$4:$AB$7,2,FALSE))))</f>
        <v/>
      </c>
      <c r="AK158" s="106"/>
      <c r="AL158" s="276" t="str">
        <f>IF(AK158="","",IF(AND(AK158="N/A - Culvert",N158&lt;&gt;"Culvert"),"Not possible ▲",IF(VLOOKUP(AK158,'G-7 WaterC'' Data'!$AD$4:$AE$14,2,FALSE)=0,"Spatial Data Missing ⚠",VLOOKUP(AK158,'G-7 WaterC'' Data'!$AD$4:$AE$14,2,FALSE))))</f>
        <v/>
      </c>
      <c r="AM158" s="317" t="str">
        <f t="shared" si="27"/>
        <v/>
      </c>
      <c r="AN158" s="101"/>
      <c r="AO158" s="115"/>
      <c r="AP158" s="104"/>
      <c r="AS158" s="30" t="str">
        <f>IF(B158="","",IF(ISNA(VLOOKUP($B158,'C-1 On-Site WaterC'' Baseline'!$C$8:$AD$257,17,FALSE)),"",(VLOOKUP($B158,'C-1 On-Site WaterC'' Baseline'!$C$8:$AD$257,17,FALSE))))</f>
        <v/>
      </c>
      <c r="AT158" s="30" t="str">
        <f>IF(B158="","",VLOOKUP($B158,'C-1 On-Site WaterC'' Baseline'!$C$9:$Z$257,12,FALSE))</f>
        <v/>
      </c>
      <c r="AU158" s="30" t="str">
        <f>IF(B158="","",VLOOKUP($B158,'C-1 On-Site WaterC'' Baseline'!$C$9:$Z$257,14,FALSE))</f>
        <v/>
      </c>
      <c r="AV158" s="30" t="str">
        <f>IFERROR(INDEX('G-7 WaterC'' Data'!$AZ$3:$AZ$7,MATCH(N158,'G-7 WaterC'' Data'!$AY$3:$AY$7,0)),"")</f>
        <v/>
      </c>
      <c r="AX158" s="30" t="str">
        <f>IF(B158="","",VLOOKUP($B158,'C-1 On-Site WaterC'' Baseline'!$C$9:$Y$257,22,FALSE))</f>
        <v/>
      </c>
      <c r="AY158" s="30" t="str">
        <f t="shared" si="28"/>
        <v/>
      </c>
      <c r="AZ158" s="30" t="str">
        <f>IF(B158="","",VLOOKUP($B158,'C-1 On-Site WaterC'' Baseline'!$C$9:$Y$257,21,FALSE))</f>
        <v/>
      </c>
      <c r="BA158" s="30" t="str">
        <f>IF(B158="","",VLOOKUP($B158,'C-1 On-Site WaterC'' Baseline'!$C$9:$Y$257,19,FALSE))</f>
        <v/>
      </c>
      <c r="BD158" s="30" t="str">
        <f t="shared" si="29"/>
        <v>No</v>
      </c>
    </row>
    <row r="159" spans="2:56" ht="14">
      <c r="B159" s="305" t="str">
        <f>'C-1 On-Site WaterC'' Baseline'!AP157</f>
        <v/>
      </c>
      <c r="C159" s="295" t="str">
        <f>IF(B159="","",VLOOKUP($B159,'C-1 On-Site WaterC'' Baseline'!$C$9:$R$257,2,FALSE))</f>
        <v/>
      </c>
      <c r="D159" s="295" t="str">
        <f>IF(C159="","",VLOOKUP($B159,'C-1 On-Site WaterC'' Baseline'!$C$9:$R$257,3,FALSE))</f>
        <v/>
      </c>
      <c r="E159" s="295" t="str">
        <f>IF(D159="","",VLOOKUP($B159,'C-1 On-Site WaterC'' Baseline'!$C$9:$R$257,4,FALSE))</f>
        <v/>
      </c>
      <c r="F159" s="295" t="str">
        <f>IF(E159="","",VLOOKUP($B159,'C-1 On-Site WaterC'' Baseline'!$C$9:$R$257,5,FALSE))</f>
        <v/>
      </c>
      <c r="G159" s="295" t="str">
        <f>IF(F159="","",VLOOKUP($B159,'C-1 On-Site WaterC'' Baseline'!$C$9:$R$257,6,FALSE))</f>
        <v/>
      </c>
      <c r="H159" s="295" t="str">
        <f>IF(G159="","",VLOOKUP($B159,'C-1 On-Site WaterC'' Baseline'!$C$9:$R$257,7,FALSE))</f>
        <v/>
      </c>
      <c r="I159" s="295" t="str">
        <f>IF(H159="","",VLOOKUP($B159,'C-1 On-Site WaterC'' Baseline'!$C$9:$R$257,8,FALSE))</f>
        <v/>
      </c>
      <c r="J159" s="295" t="str">
        <f>IF(I159="","",VLOOKUP($B159,'C-1 On-Site WaterC'' Baseline'!$C$9:$R$257,9,FALSE))</f>
        <v/>
      </c>
      <c r="K159" s="295" t="str">
        <f>IF(J159="","",VLOOKUP($B159,'C-1 On-Site WaterC'' Baseline'!$C$9:$R$257,10,FALSE))</f>
        <v/>
      </c>
      <c r="L159" s="295" t="str">
        <f>IF(B159="","",VLOOKUP($B159,'C-1 On-Site WaterC'' Baseline'!$C$9:$R$257,15,FALSE))</f>
        <v/>
      </c>
      <c r="M159" s="299" t="str">
        <f>IF(L159="","",VLOOKUP($B159,'C-1 On-Site WaterC'' Baseline'!$C$9:$R$257,16,FALSE))</f>
        <v/>
      </c>
      <c r="N159" s="245"/>
      <c r="O159" s="275" t="str">
        <f t="shared" si="21"/>
        <v/>
      </c>
      <c r="P159" s="276" t="str">
        <f t="shared" si="22"/>
        <v/>
      </c>
      <c r="Q159" s="336" t="str">
        <f>IF(N159="","",VLOOKUP(B159,'C-1 On-Site WaterC'' Baseline'!$C$10:$AC$257,20,FALSE))</f>
        <v/>
      </c>
      <c r="R159" s="275" t="str">
        <f>IF(N159="","",VLOOKUP(N159,'G-7 WaterC'' Data'!$B$2:$G$8,2,FALSE))</f>
        <v/>
      </c>
      <c r="S159" s="276" t="str">
        <f>IFERROR(VLOOKUP(R159,'G-7 WaterC'' Data'!$C$4:$D$8,2,FALSE),"")</f>
        <v/>
      </c>
      <c r="T159" s="101"/>
      <c r="U159" s="276" t="str">
        <f>IFERROR(INDEX('G-7 WaterC'' Data'!$H$4:$L$8,MATCH(N159,'G-7 WaterC'' Data'!$B$4:$B$8,0),MATCH(T159,'G-7 WaterC'' Data'!$H$3:$L$3,0)),"")</f>
        <v/>
      </c>
      <c r="V159" s="101"/>
      <c r="W159" s="283" t="str">
        <f>IF(V159="","",IF(VLOOKUP(V159,'G-7 WaterC'' Data'!$AK$4:$AM$6,2,FALSE)=0,"Spatial Data Missing ⚠",VLOOKUP(V159,'G-7 WaterC'' Data'!$AK$4:$AM$6,2,FALSE)))</f>
        <v/>
      </c>
      <c r="X159" s="276" t="str">
        <f>IF(V159="","",IF(VLOOKUP(V159,'G-7 WaterC'' Data'!$AK$4:$AM$6,3,FALSE)=0,"Spatial Data Missing ⚠",VLOOKUP(V159,'G-7 WaterC'' Data'!$AK$4:$AM$6,3,FALSE)))</f>
        <v/>
      </c>
      <c r="Y159" s="275" t="str">
        <f>IFERROR(IF(OR(LEFT(P159,5)="Error",LEFT(O159,5)="Error"),"Check Data ⚠",IF(F159&lt;S159,'G-7 WaterC'' Data'!$R$3,INDEX('G-7 WaterC'' Data'!$U$5:$Y$9,MATCH(G159,'G-7 WaterC'' Data'!$T$5:$T$9,0),MATCH(T159,'G-7 WaterC'' Data'!$U$4:$Y$4,0)))),"")</f>
        <v/>
      </c>
      <c r="Z159" s="133"/>
      <c r="AA159" s="133"/>
      <c r="AB159" s="283" t="str">
        <f t="shared" si="23"/>
        <v/>
      </c>
      <c r="AC159" s="296" t="str">
        <f t="shared" si="24"/>
        <v/>
      </c>
      <c r="AD159" s="334" t="str">
        <f>IFERROR(IF(AC159="Check Data ⚠","Check Data ⚠",VLOOKUP(AC159,'G-4 Temporal multipliers'!$A$4:$C$37,3,FALSE)),"")</f>
        <v/>
      </c>
      <c r="AE159" s="275" t="str">
        <f>IF(N159="","",VLOOKUP(N159,'G-7 WaterC'' Data'!$B$4:$G$8,5,FALSE))</f>
        <v/>
      </c>
      <c r="AF159" s="283" t="str">
        <f t="shared" si="25"/>
        <v/>
      </c>
      <c r="AG159" s="314" t="str">
        <f t="shared" si="26"/>
        <v/>
      </c>
      <c r="AH159" s="276" t="str">
        <f t="shared" si="20"/>
        <v/>
      </c>
      <c r="AI159" s="105"/>
      <c r="AJ159" s="276" t="str">
        <f>IF(AI159="","",IF(AND(AI159="N/A - Culvert",N159&lt;&gt;"Culvert"),"Not possible ▲",IF(VLOOKUP(AI159,'G-7 WaterC'' Data'!$AA$4:$AB$7,2,FALSE)=0,"Spatial Data Missing ⚠",VLOOKUP(AI159,'G-7 WaterC'' Data'!$AA$4:$AB$7,2,FALSE))))</f>
        <v/>
      </c>
      <c r="AK159" s="106"/>
      <c r="AL159" s="276" t="str">
        <f>IF(AK159="","",IF(AND(AK159="N/A - Culvert",N159&lt;&gt;"Culvert"),"Not possible ▲",IF(VLOOKUP(AK159,'G-7 WaterC'' Data'!$AD$4:$AE$14,2,FALSE)=0,"Spatial Data Missing ⚠",VLOOKUP(AK159,'G-7 WaterC'' Data'!$AD$4:$AE$14,2,FALSE))))</f>
        <v/>
      </c>
      <c r="AM159" s="317" t="str">
        <f t="shared" si="27"/>
        <v/>
      </c>
      <c r="AN159" s="101"/>
      <c r="AO159" s="115"/>
      <c r="AP159" s="104"/>
      <c r="AS159" s="30" t="str">
        <f>IF(B159="","",IF(ISNA(VLOOKUP($B159,'C-1 On-Site WaterC'' Baseline'!$C$8:$AD$257,17,FALSE)),"",(VLOOKUP($B159,'C-1 On-Site WaterC'' Baseline'!$C$8:$AD$257,17,FALSE))))</f>
        <v/>
      </c>
      <c r="AT159" s="30" t="str">
        <f>IF(B159="","",VLOOKUP($B159,'C-1 On-Site WaterC'' Baseline'!$C$9:$Z$257,12,FALSE))</f>
        <v/>
      </c>
      <c r="AU159" s="30" t="str">
        <f>IF(B159="","",VLOOKUP($B159,'C-1 On-Site WaterC'' Baseline'!$C$9:$Z$257,14,FALSE))</f>
        <v/>
      </c>
      <c r="AV159" s="30" t="str">
        <f>IFERROR(INDEX('G-7 WaterC'' Data'!$AZ$3:$AZ$7,MATCH(N159,'G-7 WaterC'' Data'!$AY$3:$AY$7,0)),"")</f>
        <v/>
      </c>
      <c r="AX159" s="30" t="str">
        <f>IF(B159="","",VLOOKUP($B159,'C-1 On-Site WaterC'' Baseline'!$C$9:$Y$257,22,FALSE))</f>
        <v/>
      </c>
      <c r="AY159" s="30" t="str">
        <f t="shared" si="28"/>
        <v/>
      </c>
      <c r="AZ159" s="30" t="str">
        <f>IF(B159="","",VLOOKUP($B159,'C-1 On-Site WaterC'' Baseline'!$C$9:$Y$257,21,FALSE))</f>
        <v/>
      </c>
      <c r="BA159" s="30" t="str">
        <f>IF(B159="","",VLOOKUP($B159,'C-1 On-Site WaterC'' Baseline'!$C$9:$Y$257,19,FALSE))</f>
        <v/>
      </c>
      <c r="BD159" s="30" t="str">
        <f t="shared" si="29"/>
        <v>No</v>
      </c>
    </row>
    <row r="160" spans="2:56" ht="14">
      <c r="B160" s="305" t="str">
        <f>'C-1 On-Site WaterC'' Baseline'!AP158</f>
        <v/>
      </c>
      <c r="C160" s="295" t="str">
        <f>IF(B160="","",VLOOKUP($B160,'C-1 On-Site WaterC'' Baseline'!$C$9:$R$257,2,FALSE))</f>
        <v/>
      </c>
      <c r="D160" s="295" t="str">
        <f>IF(C160="","",VLOOKUP($B160,'C-1 On-Site WaterC'' Baseline'!$C$9:$R$257,3,FALSE))</f>
        <v/>
      </c>
      <c r="E160" s="295" t="str">
        <f>IF(D160="","",VLOOKUP($B160,'C-1 On-Site WaterC'' Baseline'!$C$9:$R$257,4,FALSE))</f>
        <v/>
      </c>
      <c r="F160" s="295" t="str">
        <f>IF(E160="","",VLOOKUP($B160,'C-1 On-Site WaterC'' Baseline'!$C$9:$R$257,5,FALSE))</f>
        <v/>
      </c>
      <c r="G160" s="295" t="str">
        <f>IF(F160="","",VLOOKUP($B160,'C-1 On-Site WaterC'' Baseline'!$C$9:$R$257,6,FALSE))</f>
        <v/>
      </c>
      <c r="H160" s="295" t="str">
        <f>IF(G160="","",VLOOKUP($B160,'C-1 On-Site WaterC'' Baseline'!$C$9:$R$257,7,FALSE))</f>
        <v/>
      </c>
      <c r="I160" s="295" t="str">
        <f>IF(H160="","",VLOOKUP($B160,'C-1 On-Site WaterC'' Baseline'!$C$9:$R$257,8,FALSE))</f>
        <v/>
      </c>
      <c r="J160" s="295" t="str">
        <f>IF(I160="","",VLOOKUP($B160,'C-1 On-Site WaterC'' Baseline'!$C$9:$R$257,9,FALSE))</f>
        <v/>
      </c>
      <c r="K160" s="295" t="str">
        <f>IF(J160="","",VLOOKUP($B160,'C-1 On-Site WaterC'' Baseline'!$C$9:$R$257,10,FALSE))</f>
        <v/>
      </c>
      <c r="L160" s="295" t="str">
        <f>IF(B160="","",VLOOKUP($B160,'C-1 On-Site WaterC'' Baseline'!$C$9:$R$257,15,FALSE))</f>
        <v/>
      </c>
      <c r="M160" s="299" t="str">
        <f>IF(L160="","",VLOOKUP($B160,'C-1 On-Site WaterC'' Baseline'!$C$9:$R$257,16,FALSE))</f>
        <v/>
      </c>
      <c r="N160" s="245"/>
      <c r="O160" s="275" t="str">
        <f t="shared" si="21"/>
        <v/>
      </c>
      <c r="P160" s="276" t="str">
        <f t="shared" si="22"/>
        <v/>
      </c>
      <c r="Q160" s="336" t="str">
        <f>IF(N160="","",VLOOKUP(B160,'C-1 On-Site WaterC'' Baseline'!$C$10:$AC$257,20,FALSE))</f>
        <v/>
      </c>
      <c r="R160" s="275" t="str">
        <f>IF(N160="","",VLOOKUP(N160,'G-7 WaterC'' Data'!$B$2:$G$8,2,FALSE))</f>
        <v/>
      </c>
      <c r="S160" s="276" t="str">
        <f>IFERROR(VLOOKUP(R160,'G-7 WaterC'' Data'!$C$4:$D$8,2,FALSE),"")</f>
        <v/>
      </c>
      <c r="T160" s="101"/>
      <c r="U160" s="276" t="str">
        <f>IFERROR(INDEX('G-7 WaterC'' Data'!$H$4:$L$8,MATCH(N160,'G-7 WaterC'' Data'!$B$4:$B$8,0),MATCH(T160,'G-7 WaterC'' Data'!$H$3:$L$3,0)),"")</f>
        <v/>
      </c>
      <c r="V160" s="101"/>
      <c r="W160" s="283" t="str">
        <f>IF(V160="","",IF(VLOOKUP(V160,'G-7 WaterC'' Data'!$AK$4:$AM$6,2,FALSE)=0,"Spatial Data Missing ⚠",VLOOKUP(V160,'G-7 WaterC'' Data'!$AK$4:$AM$6,2,FALSE)))</f>
        <v/>
      </c>
      <c r="X160" s="276" t="str">
        <f>IF(V160="","",IF(VLOOKUP(V160,'G-7 WaterC'' Data'!$AK$4:$AM$6,3,FALSE)=0,"Spatial Data Missing ⚠",VLOOKUP(V160,'G-7 WaterC'' Data'!$AK$4:$AM$6,3,FALSE)))</f>
        <v/>
      </c>
      <c r="Y160" s="275" t="str">
        <f>IFERROR(IF(OR(LEFT(P160,5)="Error",LEFT(O160,5)="Error"),"Check Data ⚠",IF(F160&lt;S160,'G-7 WaterC'' Data'!$R$3,INDEX('G-7 WaterC'' Data'!$U$5:$Y$9,MATCH(G160,'G-7 WaterC'' Data'!$T$5:$T$9,0),MATCH(T160,'G-7 WaterC'' Data'!$U$4:$Y$4,0)))),"")</f>
        <v/>
      </c>
      <c r="Z160" s="133"/>
      <c r="AA160" s="133"/>
      <c r="AB160" s="283" t="str">
        <f t="shared" si="23"/>
        <v/>
      </c>
      <c r="AC160" s="296" t="str">
        <f t="shared" si="24"/>
        <v/>
      </c>
      <c r="AD160" s="334" t="str">
        <f>IFERROR(IF(AC160="Check Data ⚠","Check Data ⚠",VLOOKUP(AC160,'G-4 Temporal multipliers'!$A$4:$C$37,3,FALSE)),"")</f>
        <v/>
      </c>
      <c r="AE160" s="275" t="str">
        <f>IF(N160="","",VLOOKUP(N160,'G-7 WaterC'' Data'!$B$4:$G$8,5,FALSE))</f>
        <v/>
      </c>
      <c r="AF160" s="283" t="str">
        <f t="shared" si="25"/>
        <v/>
      </c>
      <c r="AG160" s="314" t="str">
        <f t="shared" si="26"/>
        <v/>
      </c>
      <c r="AH160" s="276" t="str">
        <f t="shared" si="20"/>
        <v/>
      </c>
      <c r="AI160" s="105"/>
      <c r="AJ160" s="276" t="str">
        <f>IF(AI160="","",IF(AND(AI160="N/A - Culvert",N160&lt;&gt;"Culvert"),"Not possible ▲",IF(VLOOKUP(AI160,'G-7 WaterC'' Data'!$AA$4:$AB$7,2,FALSE)=0,"Spatial Data Missing ⚠",VLOOKUP(AI160,'G-7 WaterC'' Data'!$AA$4:$AB$7,2,FALSE))))</f>
        <v/>
      </c>
      <c r="AK160" s="106"/>
      <c r="AL160" s="276" t="str">
        <f>IF(AK160="","",IF(AND(AK160="N/A - Culvert",N160&lt;&gt;"Culvert"),"Not possible ▲",IF(VLOOKUP(AK160,'G-7 WaterC'' Data'!$AD$4:$AE$14,2,FALSE)=0,"Spatial Data Missing ⚠",VLOOKUP(AK160,'G-7 WaterC'' Data'!$AD$4:$AE$14,2,FALSE))))</f>
        <v/>
      </c>
      <c r="AM160" s="317" t="str">
        <f t="shared" si="27"/>
        <v/>
      </c>
      <c r="AN160" s="101"/>
      <c r="AO160" s="115"/>
      <c r="AP160" s="104"/>
      <c r="AS160" s="30" t="str">
        <f>IF(B160="","",IF(ISNA(VLOOKUP($B160,'C-1 On-Site WaterC'' Baseline'!$C$8:$AD$257,17,FALSE)),"",(VLOOKUP($B160,'C-1 On-Site WaterC'' Baseline'!$C$8:$AD$257,17,FALSE))))</f>
        <v/>
      </c>
      <c r="AT160" s="30" t="str">
        <f>IF(B160="","",VLOOKUP($B160,'C-1 On-Site WaterC'' Baseline'!$C$9:$Z$257,12,FALSE))</f>
        <v/>
      </c>
      <c r="AU160" s="30" t="str">
        <f>IF(B160="","",VLOOKUP($B160,'C-1 On-Site WaterC'' Baseline'!$C$9:$Z$257,14,FALSE))</f>
        <v/>
      </c>
      <c r="AV160" s="30" t="str">
        <f>IFERROR(INDEX('G-7 WaterC'' Data'!$AZ$3:$AZ$7,MATCH(N160,'G-7 WaterC'' Data'!$AY$3:$AY$7,0)),"")</f>
        <v/>
      </c>
      <c r="AX160" s="30" t="str">
        <f>IF(B160="","",VLOOKUP($B160,'C-1 On-Site WaterC'' Baseline'!$C$9:$Y$257,22,FALSE))</f>
        <v/>
      </c>
      <c r="AY160" s="30" t="str">
        <f t="shared" si="28"/>
        <v/>
      </c>
      <c r="AZ160" s="30" t="str">
        <f>IF(B160="","",VLOOKUP($B160,'C-1 On-Site WaterC'' Baseline'!$C$9:$Y$257,21,FALSE))</f>
        <v/>
      </c>
      <c r="BA160" s="30" t="str">
        <f>IF(B160="","",VLOOKUP($B160,'C-1 On-Site WaterC'' Baseline'!$C$9:$Y$257,19,FALSE))</f>
        <v/>
      </c>
      <c r="BD160" s="30" t="str">
        <f t="shared" si="29"/>
        <v>No</v>
      </c>
    </row>
    <row r="161" spans="2:56" ht="14">
      <c r="B161" s="305" t="str">
        <f>'C-1 On-Site WaterC'' Baseline'!AP159</f>
        <v/>
      </c>
      <c r="C161" s="295" t="str">
        <f>IF(B161="","",VLOOKUP($B161,'C-1 On-Site WaterC'' Baseline'!$C$9:$R$257,2,FALSE))</f>
        <v/>
      </c>
      <c r="D161" s="295" t="str">
        <f>IF(C161="","",VLOOKUP($B161,'C-1 On-Site WaterC'' Baseline'!$C$9:$R$257,3,FALSE))</f>
        <v/>
      </c>
      <c r="E161" s="295" t="str">
        <f>IF(D161="","",VLOOKUP($B161,'C-1 On-Site WaterC'' Baseline'!$C$9:$R$257,4,FALSE))</f>
        <v/>
      </c>
      <c r="F161" s="295" t="str">
        <f>IF(E161="","",VLOOKUP($B161,'C-1 On-Site WaterC'' Baseline'!$C$9:$R$257,5,FALSE))</f>
        <v/>
      </c>
      <c r="G161" s="295" t="str">
        <f>IF(F161="","",VLOOKUP($B161,'C-1 On-Site WaterC'' Baseline'!$C$9:$R$257,6,FALSE))</f>
        <v/>
      </c>
      <c r="H161" s="295" t="str">
        <f>IF(G161="","",VLOOKUP($B161,'C-1 On-Site WaterC'' Baseline'!$C$9:$R$257,7,FALSE))</f>
        <v/>
      </c>
      <c r="I161" s="295" t="str">
        <f>IF(H161="","",VLOOKUP($B161,'C-1 On-Site WaterC'' Baseline'!$C$9:$R$257,8,FALSE))</f>
        <v/>
      </c>
      <c r="J161" s="295" t="str">
        <f>IF(I161="","",VLOOKUP($B161,'C-1 On-Site WaterC'' Baseline'!$C$9:$R$257,9,FALSE))</f>
        <v/>
      </c>
      <c r="K161" s="295" t="str">
        <f>IF(J161="","",VLOOKUP($B161,'C-1 On-Site WaterC'' Baseline'!$C$9:$R$257,10,FALSE))</f>
        <v/>
      </c>
      <c r="L161" s="295" t="str">
        <f>IF(B161="","",VLOOKUP($B161,'C-1 On-Site WaterC'' Baseline'!$C$9:$R$257,15,FALSE))</f>
        <v/>
      </c>
      <c r="M161" s="299" t="str">
        <f>IF(L161="","",VLOOKUP($B161,'C-1 On-Site WaterC'' Baseline'!$C$9:$R$257,16,FALSE))</f>
        <v/>
      </c>
      <c r="N161" s="245"/>
      <c r="O161" s="275" t="str">
        <f t="shared" si="21"/>
        <v/>
      </c>
      <c r="P161" s="276" t="str">
        <f t="shared" si="22"/>
        <v/>
      </c>
      <c r="Q161" s="336" t="str">
        <f>IF(N161="","",VLOOKUP(B161,'C-1 On-Site WaterC'' Baseline'!$C$10:$AC$257,20,FALSE))</f>
        <v/>
      </c>
      <c r="R161" s="275" t="str">
        <f>IF(N161="","",VLOOKUP(N161,'G-7 WaterC'' Data'!$B$2:$G$8,2,FALSE))</f>
        <v/>
      </c>
      <c r="S161" s="276" t="str">
        <f>IFERROR(VLOOKUP(R161,'G-7 WaterC'' Data'!$C$4:$D$8,2,FALSE),"")</f>
        <v/>
      </c>
      <c r="T161" s="101"/>
      <c r="U161" s="276" t="str">
        <f>IFERROR(INDEX('G-7 WaterC'' Data'!$H$4:$L$8,MATCH(N161,'G-7 WaterC'' Data'!$B$4:$B$8,0),MATCH(T161,'G-7 WaterC'' Data'!$H$3:$L$3,0)),"")</f>
        <v/>
      </c>
      <c r="V161" s="101"/>
      <c r="W161" s="283" t="str">
        <f>IF(V161="","",IF(VLOOKUP(V161,'G-7 WaterC'' Data'!$AK$4:$AM$6,2,FALSE)=0,"Spatial Data Missing ⚠",VLOOKUP(V161,'G-7 WaterC'' Data'!$AK$4:$AM$6,2,FALSE)))</f>
        <v/>
      </c>
      <c r="X161" s="276" t="str">
        <f>IF(V161="","",IF(VLOOKUP(V161,'G-7 WaterC'' Data'!$AK$4:$AM$6,3,FALSE)=0,"Spatial Data Missing ⚠",VLOOKUP(V161,'G-7 WaterC'' Data'!$AK$4:$AM$6,3,FALSE)))</f>
        <v/>
      </c>
      <c r="Y161" s="275" t="str">
        <f>IFERROR(IF(OR(LEFT(P161,5)="Error",LEFT(O161,5)="Error"),"Check Data ⚠",IF(F161&lt;S161,'G-7 WaterC'' Data'!$R$3,INDEX('G-7 WaterC'' Data'!$U$5:$Y$9,MATCH(G161,'G-7 WaterC'' Data'!$T$5:$T$9,0),MATCH(T161,'G-7 WaterC'' Data'!$U$4:$Y$4,0)))),"")</f>
        <v/>
      </c>
      <c r="Z161" s="133"/>
      <c r="AA161" s="133"/>
      <c r="AB161" s="283" t="str">
        <f t="shared" si="23"/>
        <v/>
      </c>
      <c r="AC161" s="296" t="str">
        <f t="shared" si="24"/>
        <v/>
      </c>
      <c r="AD161" s="334" t="str">
        <f>IFERROR(IF(AC161="Check Data ⚠","Check Data ⚠",VLOOKUP(AC161,'G-4 Temporal multipliers'!$A$4:$C$37,3,FALSE)),"")</f>
        <v/>
      </c>
      <c r="AE161" s="275" t="str">
        <f>IF(N161="","",VLOOKUP(N161,'G-7 WaterC'' Data'!$B$4:$G$8,5,FALSE))</f>
        <v/>
      </c>
      <c r="AF161" s="283" t="str">
        <f t="shared" si="25"/>
        <v/>
      </c>
      <c r="AG161" s="314" t="str">
        <f t="shared" si="26"/>
        <v/>
      </c>
      <c r="AH161" s="276" t="str">
        <f t="shared" si="20"/>
        <v/>
      </c>
      <c r="AI161" s="105"/>
      <c r="AJ161" s="276" t="str">
        <f>IF(AI161="","",IF(AND(AI161="N/A - Culvert",N161&lt;&gt;"Culvert"),"Not possible ▲",IF(VLOOKUP(AI161,'G-7 WaterC'' Data'!$AA$4:$AB$7,2,FALSE)=0,"Spatial Data Missing ⚠",VLOOKUP(AI161,'G-7 WaterC'' Data'!$AA$4:$AB$7,2,FALSE))))</f>
        <v/>
      </c>
      <c r="AK161" s="106"/>
      <c r="AL161" s="276" t="str">
        <f>IF(AK161="","",IF(AND(AK161="N/A - Culvert",N161&lt;&gt;"Culvert"),"Not possible ▲",IF(VLOOKUP(AK161,'G-7 WaterC'' Data'!$AD$4:$AE$14,2,FALSE)=0,"Spatial Data Missing ⚠",VLOOKUP(AK161,'G-7 WaterC'' Data'!$AD$4:$AE$14,2,FALSE))))</f>
        <v/>
      </c>
      <c r="AM161" s="317" t="str">
        <f t="shared" si="27"/>
        <v/>
      </c>
      <c r="AN161" s="101"/>
      <c r="AO161" s="115"/>
      <c r="AP161" s="104"/>
      <c r="AS161" s="30" t="str">
        <f>IF(B161="","",IF(ISNA(VLOOKUP($B161,'C-1 On-Site WaterC'' Baseline'!$C$8:$AD$257,17,FALSE)),"",(VLOOKUP($B161,'C-1 On-Site WaterC'' Baseline'!$C$8:$AD$257,17,FALSE))))</f>
        <v/>
      </c>
      <c r="AT161" s="30" t="str">
        <f>IF(B161="","",VLOOKUP($B161,'C-1 On-Site WaterC'' Baseline'!$C$9:$Z$257,12,FALSE))</f>
        <v/>
      </c>
      <c r="AU161" s="30" t="str">
        <f>IF(B161="","",VLOOKUP($B161,'C-1 On-Site WaterC'' Baseline'!$C$9:$Z$257,14,FALSE))</f>
        <v/>
      </c>
      <c r="AV161" s="30" t="str">
        <f>IFERROR(INDEX('G-7 WaterC'' Data'!$AZ$3:$AZ$7,MATCH(N161,'G-7 WaterC'' Data'!$AY$3:$AY$7,0)),"")</f>
        <v/>
      </c>
      <c r="AX161" s="30" t="str">
        <f>IF(B161="","",VLOOKUP($B161,'C-1 On-Site WaterC'' Baseline'!$C$9:$Y$257,22,FALSE))</f>
        <v/>
      </c>
      <c r="AY161" s="30" t="str">
        <f t="shared" si="28"/>
        <v/>
      </c>
      <c r="AZ161" s="30" t="str">
        <f>IF(B161="","",VLOOKUP($B161,'C-1 On-Site WaterC'' Baseline'!$C$9:$Y$257,21,FALSE))</f>
        <v/>
      </c>
      <c r="BA161" s="30" t="str">
        <f>IF(B161="","",VLOOKUP($B161,'C-1 On-Site WaterC'' Baseline'!$C$9:$Y$257,19,FALSE))</f>
        <v/>
      </c>
      <c r="BD161" s="30" t="str">
        <f t="shared" si="29"/>
        <v>No</v>
      </c>
    </row>
    <row r="162" spans="2:56" ht="14">
      <c r="B162" s="305" t="str">
        <f>'C-1 On-Site WaterC'' Baseline'!AP160</f>
        <v/>
      </c>
      <c r="C162" s="295" t="str">
        <f>IF(B162="","",VLOOKUP($B162,'C-1 On-Site WaterC'' Baseline'!$C$9:$R$257,2,FALSE))</f>
        <v/>
      </c>
      <c r="D162" s="295" t="str">
        <f>IF(C162="","",VLOOKUP($B162,'C-1 On-Site WaterC'' Baseline'!$C$9:$R$257,3,FALSE))</f>
        <v/>
      </c>
      <c r="E162" s="295" t="str">
        <f>IF(D162="","",VLOOKUP($B162,'C-1 On-Site WaterC'' Baseline'!$C$9:$R$257,4,FALSE))</f>
        <v/>
      </c>
      <c r="F162" s="295" t="str">
        <f>IF(E162="","",VLOOKUP($B162,'C-1 On-Site WaterC'' Baseline'!$C$9:$R$257,5,FALSE))</f>
        <v/>
      </c>
      <c r="G162" s="295" t="str">
        <f>IF(F162="","",VLOOKUP($B162,'C-1 On-Site WaterC'' Baseline'!$C$9:$R$257,6,FALSE))</f>
        <v/>
      </c>
      <c r="H162" s="295" t="str">
        <f>IF(G162="","",VLOOKUP($B162,'C-1 On-Site WaterC'' Baseline'!$C$9:$R$257,7,FALSE))</f>
        <v/>
      </c>
      <c r="I162" s="295" t="str">
        <f>IF(H162="","",VLOOKUP($B162,'C-1 On-Site WaterC'' Baseline'!$C$9:$R$257,8,FALSE))</f>
        <v/>
      </c>
      <c r="J162" s="295" t="str">
        <f>IF(I162="","",VLOOKUP($B162,'C-1 On-Site WaterC'' Baseline'!$C$9:$R$257,9,FALSE))</f>
        <v/>
      </c>
      <c r="K162" s="295" t="str">
        <f>IF(J162="","",VLOOKUP($B162,'C-1 On-Site WaterC'' Baseline'!$C$9:$R$257,10,FALSE))</f>
        <v/>
      </c>
      <c r="L162" s="295" t="str">
        <f>IF(B162="","",VLOOKUP($B162,'C-1 On-Site WaterC'' Baseline'!$C$9:$R$257,15,FALSE))</f>
        <v/>
      </c>
      <c r="M162" s="299" t="str">
        <f>IF(L162="","",VLOOKUP($B162,'C-1 On-Site WaterC'' Baseline'!$C$9:$R$257,16,FALSE))</f>
        <v/>
      </c>
      <c r="N162" s="245"/>
      <c r="O162" s="275" t="str">
        <f t="shared" si="21"/>
        <v/>
      </c>
      <c r="P162" s="276" t="str">
        <f t="shared" si="22"/>
        <v/>
      </c>
      <c r="Q162" s="336" t="str">
        <f>IF(N162="","",VLOOKUP(B162,'C-1 On-Site WaterC'' Baseline'!$C$10:$AC$257,20,FALSE))</f>
        <v/>
      </c>
      <c r="R162" s="275" t="str">
        <f>IF(N162="","",VLOOKUP(N162,'G-7 WaterC'' Data'!$B$2:$G$8,2,FALSE))</f>
        <v/>
      </c>
      <c r="S162" s="276" t="str">
        <f>IFERROR(VLOOKUP(R162,'G-7 WaterC'' Data'!$C$4:$D$8,2,FALSE),"")</f>
        <v/>
      </c>
      <c r="T162" s="101"/>
      <c r="U162" s="276" t="str">
        <f>IFERROR(INDEX('G-7 WaterC'' Data'!$H$4:$L$8,MATCH(N162,'G-7 WaterC'' Data'!$B$4:$B$8,0),MATCH(T162,'G-7 WaterC'' Data'!$H$3:$L$3,0)),"")</f>
        <v/>
      </c>
      <c r="V162" s="101"/>
      <c r="W162" s="283" t="str">
        <f>IF(V162="","",IF(VLOOKUP(V162,'G-7 WaterC'' Data'!$AK$4:$AM$6,2,FALSE)=0,"Spatial Data Missing ⚠",VLOOKUP(V162,'G-7 WaterC'' Data'!$AK$4:$AM$6,2,FALSE)))</f>
        <v/>
      </c>
      <c r="X162" s="276" t="str">
        <f>IF(V162="","",IF(VLOOKUP(V162,'G-7 WaterC'' Data'!$AK$4:$AM$6,3,FALSE)=0,"Spatial Data Missing ⚠",VLOOKUP(V162,'G-7 WaterC'' Data'!$AK$4:$AM$6,3,FALSE)))</f>
        <v/>
      </c>
      <c r="Y162" s="275" t="str">
        <f>IFERROR(IF(OR(LEFT(P162,5)="Error",LEFT(O162,5)="Error"),"Check Data ⚠",IF(F162&lt;S162,'G-7 WaterC'' Data'!$R$3,INDEX('G-7 WaterC'' Data'!$U$5:$Y$9,MATCH(G162,'G-7 WaterC'' Data'!$T$5:$T$9,0),MATCH(T162,'G-7 WaterC'' Data'!$U$4:$Y$4,0)))),"")</f>
        <v/>
      </c>
      <c r="Z162" s="133"/>
      <c r="AA162" s="133"/>
      <c r="AB162" s="283" t="str">
        <f t="shared" si="23"/>
        <v/>
      </c>
      <c r="AC162" s="296" t="str">
        <f t="shared" si="24"/>
        <v/>
      </c>
      <c r="AD162" s="334" t="str">
        <f>IFERROR(IF(AC162="Check Data ⚠","Check Data ⚠",VLOOKUP(AC162,'G-4 Temporal multipliers'!$A$4:$C$37,3,FALSE)),"")</f>
        <v/>
      </c>
      <c r="AE162" s="275" t="str">
        <f>IF(N162="","",VLOOKUP(N162,'G-7 WaterC'' Data'!$B$4:$G$8,5,FALSE))</f>
        <v/>
      </c>
      <c r="AF162" s="283" t="str">
        <f t="shared" si="25"/>
        <v/>
      </c>
      <c r="AG162" s="314" t="str">
        <f t="shared" si="26"/>
        <v/>
      </c>
      <c r="AH162" s="276" t="str">
        <f t="shared" si="20"/>
        <v/>
      </c>
      <c r="AI162" s="105"/>
      <c r="AJ162" s="276" t="str">
        <f>IF(AI162="","",IF(AND(AI162="N/A - Culvert",N162&lt;&gt;"Culvert"),"Not possible ▲",IF(VLOOKUP(AI162,'G-7 WaterC'' Data'!$AA$4:$AB$7,2,FALSE)=0,"Spatial Data Missing ⚠",VLOOKUP(AI162,'G-7 WaterC'' Data'!$AA$4:$AB$7,2,FALSE))))</f>
        <v/>
      </c>
      <c r="AK162" s="106"/>
      <c r="AL162" s="276" t="str">
        <f>IF(AK162="","",IF(AND(AK162="N/A - Culvert",N162&lt;&gt;"Culvert"),"Not possible ▲",IF(VLOOKUP(AK162,'G-7 WaterC'' Data'!$AD$4:$AE$14,2,FALSE)=0,"Spatial Data Missing ⚠",VLOOKUP(AK162,'G-7 WaterC'' Data'!$AD$4:$AE$14,2,FALSE))))</f>
        <v/>
      </c>
      <c r="AM162" s="317" t="str">
        <f t="shared" si="27"/>
        <v/>
      </c>
      <c r="AN162" s="101"/>
      <c r="AO162" s="115"/>
      <c r="AP162" s="104"/>
      <c r="AS162" s="30" t="str">
        <f>IF(B162="","",IF(ISNA(VLOOKUP($B162,'C-1 On-Site WaterC'' Baseline'!$C$8:$AD$257,17,FALSE)),"",(VLOOKUP($B162,'C-1 On-Site WaterC'' Baseline'!$C$8:$AD$257,17,FALSE))))</f>
        <v/>
      </c>
      <c r="AT162" s="30" t="str">
        <f>IF(B162="","",VLOOKUP($B162,'C-1 On-Site WaterC'' Baseline'!$C$9:$Z$257,12,FALSE))</f>
        <v/>
      </c>
      <c r="AU162" s="30" t="str">
        <f>IF(B162="","",VLOOKUP($B162,'C-1 On-Site WaterC'' Baseline'!$C$9:$Z$257,14,FALSE))</f>
        <v/>
      </c>
      <c r="AV162" s="30" t="str">
        <f>IFERROR(INDEX('G-7 WaterC'' Data'!$AZ$3:$AZ$7,MATCH(N162,'G-7 WaterC'' Data'!$AY$3:$AY$7,0)),"")</f>
        <v/>
      </c>
      <c r="AX162" s="30" t="str">
        <f>IF(B162="","",VLOOKUP($B162,'C-1 On-Site WaterC'' Baseline'!$C$9:$Y$257,22,FALSE))</f>
        <v/>
      </c>
      <c r="AY162" s="30" t="str">
        <f t="shared" si="28"/>
        <v/>
      </c>
      <c r="AZ162" s="30" t="str">
        <f>IF(B162="","",VLOOKUP($B162,'C-1 On-Site WaterC'' Baseline'!$C$9:$Y$257,21,FALSE))</f>
        <v/>
      </c>
      <c r="BA162" s="30" t="str">
        <f>IF(B162="","",VLOOKUP($B162,'C-1 On-Site WaterC'' Baseline'!$C$9:$Y$257,19,FALSE))</f>
        <v/>
      </c>
      <c r="BD162" s="30" t="str">
        <f t="shared" si="29"/>
        <v>No</v>
      </c>
    </row>
    <row r="163" spans="2:56" ht="14">
      <c r="B163" s="305" t="str">
        <f>'C-1 On-Site WaterC'' Baseline'!AP161</f>
        <v/>
      </c>
      <c r="C163" s="295" t="str">
        <f>IF(B163="","",VLOOKUP($B163,'C-1 On-Site WaterC'' Baseline'!$C$9:$R$257,2,FALSE))</f>
        <v/>
      </c>
      <c r="D163" s="295" t="str">
        <f>IF(C163="","",VLOOKUP($B163,'C-1 On-Site WaterC'' Baseline'!$C$9:$R$257,3,FALSE))</f>
        <v/>
      </c>
      <c r="E163" s="295" t="str">
        <f>IF(D163="","",VLOOKUP($B163,'C-1 On-Site WaterC'' Baseline'!$C$9:$R$257,4,FALSE))</f>
        <v/>
      </c>
      <c r="F163" s="295" t="str">
        <f>IF(E163="","",VLOOKUP($B163,'C-1 On-Site WaterC'' Baseline'!$C$9:$R$257,5,FALSE))</f>
        <v/>
      </c>
      <c r="G163" s="295" t="str">
        <f>IF(F163="","",VLOOKUP($B163,'C-1 On-Site WaterC'' Baseline'!$C$9:$R$257,6,FALSE))</f>
        <v/>
      </c>
      <c r="H163" s="295" t="str">
        <f>IF(G163="","",VLOOKUP($B163,'C-1 On-Site WaterC'' Baseline'!$C$9:$R$257,7,FALSE))</f>
        <v/>
      </c>
      <c r="I163" s="295" t="str">
        <f>IF(H163="","",VLOOKUP($B163,'C-1 On-Site WaterC'' Baseline'!$C$9:$R$257,8,FALSE))</f>
        <v/>
      </c>
      <c r="J163" s="295" t="str">
        <f>IF(I163="","",VLOOKUP($B163,'C-1 On-Site WaterC'' Baseline'!$C$9:$R$257,9,FALSE))</f>
        <v/>
      </c>
      <c r="K163" s="295" t="str">
        <f>IF(J163="","",VLOOKUP($B163,'C-1 On-Site WaterC'' Baseline'!$C$9:$R$257,10,FALSE))</f>
        <v/>
      </c>
      <c r="L163" s="295" t="str">
        <f>IF(B163="","",VLOOKUP($B163,'C-1 On-Site WaterC'' Baseline'!$C$9:$R$257,15,FALSE))</f>
        <v/>
      </c>
      <c r="M163" s="299" t="str">
        <f>IF(L163="","",VLOOKUP($B163,'C-1 On-Site WaterC'' Baseline'!$C$9:$R$257,16,FALSE))</f>
        <v/>
      </c>
      <c r="N163" s="245"/>
      <c r="O163" s="275" t="str">
        <f t="shared" si="21"/>
        <v/>
      </c>
      <c r="P163" s="276" t="str">
        <f t="shared" si="22"/>
        <v/>
      </c>
      <c r="Q163" s="336" t="str">
        <f>IF(N163="","",VLOOKUP(B163,'C-1 On-Site WaterC'' Baseline'!$C$10:$AC$257,20,FALSE))</f>
        <v/>
      </c>
      <c r="R163" s="275" t="str">
        <f>IF(N163="","",VLOOKUP(N163,'G-7 WaterC'' Data'!$B$2:$G$8,2,FALSE))</f>
        <v/>
      </c>
      <c r="S163" s="276" t="str">
        <f>IFERROR(VLOOKUP(R163,'G-7 WaterC'' Data'!$C$4:$D$8,2,FALSE),"")</f>
        <v/>
      </c>
      <c r="T163" s="101"/>
      <c r="U163" s="276" t="str">
        <f>IFERROR(INDEX('G-7 WaterC'' Data'!$H$4:$L$8,MATCH(N163,'G-7 WaterC'' Data'!$B$4:$B$8,0),MATCH(T163,'G-7 WaterC'' Data'!$H$3:$L$3,0)),"")</f>
        <v/>
      </c>
      <c r="V163" s="101"/>
      <c r="W163" s="283" t="str">
        <f>IF(V163="","",IF(VLOOKUP(V163,'G-7 WaterC'' Data'!$AK$4:$AM$6,2,FALSE)=0,"Spatial Data Missing ⚠",VLOOKUP(V163,'G-7 WaterC'' Data'!$AK$4:$AM$6,2,FALSE)))</f>
        <v/>
      </c>
      <c r="X163" s="276" t="str">
        <f>IF(V163="","",IF(VLOOKUP(V163,'G-7 WaterC'' Data'!$AK$4:$AM$6,3,FALSE)=0,"Spatial Data Missing ⚠",VLOOKUP(V163,'G-7 WaterC'' Data'!$AK$4:$AM$6,3,FALSE)))</f>
        <v/>
      </c>
      <c r="Y163" s="275" t="str">
        <f>IFERROR(IF(OR(LEFT(P163,5)="Error",LEFT(O163,5)="Error"),"Check Data ⚠",IF(F163&lt;S163,'G-7 WaterC'' Data'!$R$3,INDEX('G-7 WaterC'' Data'!$U$5:$Y$9,MATCH(G163,'G-7 WaterC'' Data'!$T$5:$T$9,0),MATCH(T163,'G-7 WaterC'' Data'!$U$4:$Y$4,0)))),"")</f>
        <v/>
      </c>
      <c r="Z163" s="133"/>
      <c r="AA163" s="133"/>
      <c r="AB163" s="283" t="str">
        <f t="shared" si="23"/>
        <v/>
      </c>
      <c r="AC163" s="296" t="str">
        <f t="shared" si="24"/>
        <v/>
      </c>
      <c r="AD163" s="334" t="str">
        <f>IFERROR(IF(AC163="Check Data ⚠","Check Data ⚠",VLOOKUP(AC163,'G-4 Temporal multipliers'!$A$4:$C$37,3,FALSE)),"")</f>
        <v/>
      </c>
      <c r="AE163" s="275" t="str">
        <f>IF(N163="","",VLOOKUP(N163,'G-7 WaterC'' Data'!$B$4:$G$8,5,FALSE))</f>
        <v/>
      </c>
      <c r="AF163" s="283" t="str">
        <f t="shared" si="25"/>
        <v/>
      </c>
      <c r="AG163" s="314" t="str">
        <f t="shared" si="26"/>
        <v/>
      </c>
      <c r="AH163" s="276" t="str">
        <f t="shared" si="20"/>
        <v/>
      </c>
      <c r="AI163" s="105"/>
      <c r="AJ163" s="276" t="str">
        <f>IF(AI163="","",IF(AND(AI163="N/A - Culvert",N163&lt;&gt;"Culvert"),"Not possible ▲",IF(VLOOKUP(AI163,'G-7 WaterC'' Data'!$AA$4:$AB$7,2,FALSE)=0,"Spatial Data Missing ⚠",VLOOKUP(AI163,'G-7 WaterC'' Data'!$AA$4:$AB$7,2,FALSE))))</f>
        <v/>
      </c>
      <c r="AK163" s="106"/>
      <c r="AL163" s="276" t="str">
        <f>IF(AK163="","",IF(AND(AK163="N/A - Culvert",N163&lt;&gt;"Culvert"),"Not possible ▲",IF(VLOOKUP(AK163,'G-7 WaterC'' Data'!$AD$4:$AE$14,2,FALSE)=0,"Spatial Data Missing ⚠",VLOOKUP(AK163,'G-7 WaterC'' Data'!$AD$4:$AE$14,2,FALSE))))</f>
        <v/>
      </c>
      <c r="AM163" s="317" t="str">
        <f t="shared" si="27"/>
        <v/>
      </c>
      <c r="AN163" s="101"/>
      <c r="AO163" s="115"/>
      <c r="AP163" s="104"/>
      <c r="AS163" s="30" t="str">
        <f>IF(B163="","",IF(ISNA(VLOOKUP($B163,'C-1 On-Site WaterC'' Baseline'!$C$8:$AD$257,17,FALSE)),"",(VLOOKUP($B163,'C-1 On-Site WaterC'' Baseline'!$C$8:$AD$257,17,FALSE))))</f>
        <v/>
      </c>
      <c r="AT163" s="30" t="str">
        <f>IF(B163="","",VLOOKUP($B163,'C-1 On-Site WaterC'' Baseline'!$C$9:$Z$257,12,FALSE))</f>
        <v/>
      </c>
      <c r="AU163" s="30" t="str">
        <f>IF(B163="","",VLOOKUP($B163,'C-1 On-Site WaterC'' Baseline'!$C$9:$Z$257,14,FALSE))</f>
        <v/>
      </c>
      <c r="AV163" s="30" t="str">
        <f>IFERROR(INDEX('G-7 WaterC'' Data'!$AZ$3:$AZ$7,MATCH(N163,'G-7 WaterC'' Data'!$AY$3:$AY$7,0)),"")</f>
        <v/>
      </c>
      <c r="AX163" s="30" t="str">
        <f>IF(B163="","",VLOOKUP($B163,'C-1 On-Site WaterC'' Baseline'!$C$9:$Y$257,22,FALSE))</f>
        <v/>
      </c>
      <c r="AY163" s="30" t="str">
        <f t="shared" si="28"/>
        <v/>
      </c>
      <c r="AZ163" s="30" t="str">
        <f>IF(B163="","",VLOOKUP($B163,'C-1 On-Site WaterC'' Baseline'!$C$9:$Y$257,21,FALSE))</f>
        <v/>
      </c>
      <c r="BA163" s="30" t="str">
        <f>IF(B163="","",VLOOKUP($B163,'C-1 On-Site WaterC'' Baseline'!$C$9:$Y$257,19,FALSE))</f>
        <v/>
      </c>
      <c r="BD163" s="30" t="str">
        <f t="shared" si="29"/>
        <v>No</v>
      </c>
    </row>
    <row r="164" spans="2:56" ht="14">
      <c r="B164" s="305" t="str">
        <f>'C-1 On-Site WaterC'' Baseline'!AP162</f>
        <v/>
      </c>
      <c r="C164" s="295" t="str">
        <f>IF(B164="","",VLOOKUP($B164,'C-1 On-Site WaterC'' Baseline'!$C$9:$R$257,2,FALSE))</f>
        <v/>
      </c>
      <c r="D164" s="295" t="str">
        <f>IF(C164="","",VLOOKUP($B164,'C-1 On-Site WaterC'' Baseline'!$C$9:$R$257,3,FALSE))</f>
        <v/>
      </c>
      <c r="E164" s="295" t="str">
        <f>IF(D164="","",VLOOKUP($B164,'C-1 On-Site WaterC'' Baseline'!$C$9:$R$257,4,FALSE))</f>
        <v/>
      </c>
      <c r="F164" s="295" t="str">
        <f>IF(E164="","",VLOOKUP($B164,'C-1 On-Site WaterC'' Baseline'!$C$9:$R$257,5,FALSE))</f>
        <v/>
      </c>
      <c r="G164" s="295" t="str">
        <f>IF(F164="","",VLOOKUP($B164,'C-1 On-Site WaterC'' Baseline'!$C$9:$R$257,6,FALSE))</f>
        <v/>
      </c>
      <c r="H164" s="295" t="str">
        <f>IF(G164="","",VLOOKUP($B164,'C-1 On-Site WaterC'' Baseline'!$C$9:$R$257,7,FALSE))</f>
        <v/>
      </c>
      <c r="I164" s="295" t="str">
        <f>IF(H164="","",VLOOKUP($B164,'C-1 On-Site WaterC'' Baseline'!$C$9:$R$257,8,FALSE))</f>
        <v/>
      </c>
      <c r="J164" s="295" t="str">
        <f>IF(I164="","",VLOOKUP($B164,'C-1 On-Site WaterC'' Baseline'!$C$9:$R$257,9,FALSE))</f>
        <v/>
      </c>
      <c r="K164" s="295" t="str">
        <f>IF(J164="","",VLOOKUP($B164,'C-1 On-Site WaterC'' Baseline'!$C$9:$R$257,10,FALSE))</f>
        <v/>
      </c>
      <c r="L164" s="295" t="str">
        <f>IF(B164="","",VLOOKUP($B164,'C-1 On-Site WaterC'' Baseline'!$C$9:$R$257,15,FALSE))</f>
        <v/>
      </c>
      <c r="M164" s="299" t="str">
        <f>IF(L164="","",VLOOKUP($B164,'C-1 On-Site WaterC'' Baseline'!$C$9:$R$257,16,FALSE))</f>
        <v/>
      </c>
      <c r="N164" s="245"/>
      <c r="O164" s="275" t="str">
        <f t="shared" si="21"/>
        <v/>
      </c>
      <c r="P164" s="276" t="str">
        <f t="shared" si="22"/>
        <v/>
      </c>
      <c r="Q164" s="336" t="str">
        <f>IF(N164="","",VLOOKUP(B164,'C-1 On-Site WaterC'' Baseline'!$C$10:$AC$257,20,FALSE))</f>
        <v/>
      </c>
      <c r="R164" s="275" t="str">
        <f>IF(N164="","",VLOOKUP(N164,'G-7 WaterC'' Data'!$B$2:$G$8,2,FALSE))</f>
        <v/>
      </c>
      <c r="S164" s="276" t="str">
        <f>IFERROR(VLOOKUP(R164,'G-7 WaterC'' Data'!$C$4:$D$8,2,FALSE),"")</f>
        <v/>
      </c>
      <c r="T164" s="101"/>
      <c r="U164" s="276" t="str">
        <f>IFERROR(INDEX('G-7 WaterC'' Data'!$H$4:$L$8,MATCH(N164,'G-7 WaterC'' Data'!$B$4:$B$8,0),MATCH(T164,'G-7 WaterC'' Data'!$H$3:$L$3,0)),"")</f>
        <v/>
      </c>
      <c r="V164" s="101"/>
      <c r="W164" s="283" t="str">
        <f>IF(V164="","",IF(VLOOKUP(V164,'G-7 WaterC'' Data'!$AK$4:$AM$6,2,FALSE)=0,"Spatial Data Missing ⚠",VLOOKUP(V164,'G-7 WaterC'' Data'!$AK$4:$AM$6,2,FALSE)))</f>
        <v/>
      </c>
      <c r="X164" s="276" t="str">
        <f>IF(V164="","",IF(VLOOKUP(V164,'G-7 WaterC'' Data'!$AK$4:$AM$6,3,FALSE)=0,"Spatial Data Missing ⚠",VLOOKUP(V164,'G-7 WaterC'' Data'!$AK$4:$AM$6,3,FALSE)))</f>
        <v/>
      </c>
      <c r="Y164" s="275" t="str">
        <f>IFERROR(IF(OR(LEFT(P164,5)="Error",LEFT(O164,5)="Error"),"Check Data ⚠",IF(F164&lt;S164,'G-7 WaterC'' Data'!$R$3,INDEX('G-7 WaterC'' Data'!$U$5:$Y$9,MATCH(G164,'G-7 WaterC'' Data'!$T$5:$T$9,0),MATCH(T164,'G-7 WaterC'' Data'!$U$4:$Y$4,0)))),"")</f>
        <v/>
      </c>
      <c r="Z164" s="133"/>
      <c r="AA164" s="133"/>
      <c r="AB164" s="283" t="str">
        <f t="shared" si="23"/>
        <v/>
      </c>
      <c r="AC164" s="296" t="str">
        <f t="shared" si="24"/>
        <v/>
      </c>
      <c r="AD164" s="334" t="str">
        <f>IFERROR(IF(AC164="Check Data ⚠","Check Data ⚠",VLOOKUP(AC164,'G-4 Temporal multipliers'!$A$4:$C$37,3,FALSE)),"")</f>
        <v/>
      </c>
      <c r="AE164" s="275" t="str">
        <f>IF(N164="","",VLOOKUP(N164,'G-7 WaterC'' Data'!$B$4:$G$8,5,FALSE))</f>
        <v/>
      </c>
      <c r="AF164" s="283" t="str">
        <f t="shared" si="25"/>
        <v/>
      </c>
      <c r="AG164" s="314" t="str">
        <f t="shared" si="26"/>
        <v/>
      </c>
      <c r="AH164" s="276" t="str">
        <f t="shared" si="20"/>
        <v/>
      </c>
      <c r="AI164" s="105"/>
      <c r="AJ164" s="276" t="str">
        <f>IF(AI164="","",IF(AND(AI164="N/A - Culvert",N164&lt;&gt;"Culvert"),"Not possible ▲",IF(VLOOKUP(AI164,'G-7 WaterC'' Data'!$AA$4:$AB$7,2,FALSE)=0,"Spatial Data Missing ⚠",VLOOKUP(AI164,'G-7 WaterC'' Data'!$AA$4:$AB$7,2,FALSE))))</f>
        <v/>
      </c>
      <c r="AK164" s="106"/>
      <c r="AL164" s="276" t="str">
        <f>IF(AK164="","",IF(AND(AK164="N/A - Culvert",N164&lt;&gt;"Culvert"),"Not possible ▲",IF(VLOOKUP(AK164,'G-7 WaterC'' Data'!$AD$4:$AE$14,2,FALSE)=0,"Spatial Data Missing ⚠",VLOOKUP(AK164,'G-7 WaterC'' Data'!$AD$4:$AE$14,2,FALSE))))</f>
        <v/>
      </c>
      <c r="AM164" s="317" t="str">
        <f t="shared" si="27"/>
        <v/>
      </c>
      <c r="AN164" s="101"/>
      <c r="AO164" s="115"/>
      <c r="AP164" s="104"/>
      <c r="AS164" s="30" t="str">
        <f>IF(B164="","",IF(ISNA(VLOOKUP($B164,'C-1 On-Site WaterC'' Baseline'!$C$8:$AD$257,17,FALSE)),"",(VLOOKUP($B164,'C-1 On-Site WaterC'' Baseline'!$C$8:$AD$257,17,FALSE))))</f>
        <v/>
      </c>
      <c r="AT164" s="30" t="str">
        <f>IF(B164="","",VLOOKUP($B164,'C-1 On-Site WaterC'' Baseline'!$C$9:$Z$257,12,FALSE))</f>
        <v/>
      </c>
      <c r="AU164" s="30" t="str">
        <f>IF(B164="","",VLOOKUP($B164,'C-1 On-Site WaterC'' Baseline'!$C$9:$Z$257,14,FALSE))</f>
        <v/>
      </c>
      <c r="AV164" s="30" t="str">
        <f>IFERROR(INDEX('G-7 WaterC'' Data'!$AZ$3:$AZ$7,MATCH(N164,'G-7 WaterC'' Data'!$AY$3:$AY$7,0)),"")</f>
        <v/>
      </c>
      <c r="AX164" s="30" t="str">
        <f>IF(B164="","",VLOOKUP($B164,'C-1 On-Site WaterC'' Baseline'!$C$9:$Y$257,22,FALSE))</f>
        <v/>
      </c>
      <c r="AY164" s="30" t="str">
        <f t="shared" si="28"/>
        <v/>
      </c>
      <c r="AZ164" s="30" t="str">
        <f>IF(B164="","",VLOOKUP($B164,'C-1 On-Site WaterC'' Baseline'!$C$9:$Y$257,21,FALSE))</f>
        <v/>
      </c>
      <c r="BA164" s="30" t="str">
        <f>IF(B164="","",VLOOKUP($B164,'C-1 On-Site WaterC'' Baseline'!$C$9:$Y$257,19,FALSE))</f>
        <v/>
      </c>
      <c r="BD164" s="30" t="str">
        <f t="shared" si="29"/>
        <v>No</v>
      </c>
    </row>
    <row r="165" spans="2:56" ht="14">
      <c r="B165" s="305" t="str">
        <f>'C-1 On-Site WaterC'' Baseline'!AP163</f>
        <v/>
      </c>
      <c r="C165" s="295" t="str">
        <f>IF(B165="","",VLOOKUP($B165,'C-1 On-Site WaterC'' Baseline'!$C$9:$R$257,2,FALSE))</f>
        <v/>
      </c>
      <c r="D165" s="295" t="str">
        <f>IF(C165="","",VLOOKUP($B165,'C-1 On-Site WaterC'' Baseline'!$C$9:$R$257,3,FALSE))</f>
        <v/>
      </c>
      <c r="E165" s="295" t="str">
        <f>IF(D165="","",VLOOKUP($B165,'C-1 On-Site WaterC'' Baseline'!$C$9:$R$257,4,FALSE))</f>
        <v/>
      </c>
      <c r="F165" s="295" t="str">
        <f>IF(E165="","",VLOOKUP($B165,'C-1 On-Site WaterC'' Baseline'!$C$9:$R$257,5,FALSE))</f>
        <v/>
      </c>
      <c r="G165" s="295" t="str">
        <f>IF(F165="","",VLOOKUP($B165,'C-1 On-Site WaterC'' Baseline'!$C$9:$R$257,6,FALSE))</f>
        <v/>
      </c>
      <c r="H165" s="295" t="str">
        <f>IF(G165="","",VLOOKUP($B165,'C-1 On-Site WaterC'' Baseline'!$C$9:$R$257,7,FALSE))</f>
        <v/>
      </c>
      <c r="I165" s="295" t="str">
        <f>IF(H165="","",VLOOKUP($B165,'C-1 On-Site WaterC'' Baseline'!$C$9:$R$257,8,FALSE))</f>
        <v/>
      </c>
      <c r="J165" s="295" t="str">
        <f>IF(I165="","",VLOOKUP($B165,'C-1 On-Site WaterC'' Baseline'!$C$9:$R$257,9,FALSE))</f>
        <v/>
      </c>
      <c r="K165" s="295" t="str">
        <f>IF(J165="","",VLOOKUP($B165,'C-1 On-Site WaterC'' Baseline'!$C$9:$R$257,10,FALSE))</f>
        <v/>
      </c>
      <c r="L165" s="295" t="str">
        <f>IF(B165="","",VLOOKUP($B165,'C-1 On-Site WaterC'' Baseline'!$C$9:$R$257,15,FALSE))</f>
        <v/>
      </c>
      <c r="M165" s="299" t="str">
        <f>IF(L165="","",VLOOKUP($B165,'C-1 On-Site WaterC'' Baseline'!$C$9:$R$257,16,FALSE))</f>
        <v/>
      </c>
      <c r="N165" s="245"/>
      <c r="O165" s="275" t="str">
        <f t="shared" si="21"/>
        <v/>
      </c>
      <c r="P165" s="276" t="str">
        <f t="shared" si="22"/>
        <v/>
      </c>
      <c r="Q165" s="336" t="str">
        <f>IF(N165="","",VLOOKUP(B165,'C-1 On-Site WaterC'' Baseline'!$C$10:$AC$257,20,FALSE))</f>
        <v/>
      </c>
      <c r="R165" s="275" t="str">
        <f>IF(N165="","",VLOOKUP(N165,'G-7 WaterC'' Data'!$B$2:$G$8,2,FALSE))</f>
        <v/>
      </c>
      <c r="S165" s="276" t="str">
        <f>IFERROR(VLOOKUP(R165,'G-7 WaterC'' Data'!$C$4:$D$8,2,FALSE),"")</f>
        <v/>
      </c>
      <c r="T165" s="101"/>
      <c r="U165" s="276" t="str">
        <f>IFERROR(INDEX('G-7 WaterC'' Data'!$H$4:$L$8,MATCH(N165,'G-7 WaterC'' Data'!$B$4:$B$8,0),MATCH(T165,'G-7 WaterC'' Data'!$H$3:$L$3,0)),"")</f>
        <v/>
      </c>
      <c r="V165" s="101"/>
      <c r="W165" s="283" t="str">
        <f>IF(V165="","",IF(VLOOKUP(V165,'G-7 WaterC'' Data'!$AK$4:$AM$6,2,FALSE)=0,"Spatial Data Missing ⚠",VLOOKUP(V165,'G-7 WaterC'' Data'!$AK$4:$AM$6,2,FALSE)))</f>
        <v/>
      </c>
      <c r="X165" s="276" t="str">
        <f>IF(V165="","",IF(VLOOKUP(V165,'G-7 WaterC'' Data'!$AK$4:$AM$6,3,FALSE)=0,"Spatial Data Missing ⚠",VLOOKUP(V165,'G-7 WaterC'' Data'!$AK$4:$AM$6,3,FALSE)))</f>
        <v/>
      </c>
      <c r="Y165" s="275" t="str">
        <f>IFERROR(IF(OR(LEFT(P165,5)="Error",LEFT(O165,5)="Error"),"Check Data ⚠",IF(F165&lt;S165,'G-7 WaterC'' Data'!$R$3,INDEX('G-7 WaterC'' Data'!$U$5:$Y$9,MATCH(G165,'G-7 WaterC'' Data'!$T$5:$T$9,0),MATCH(T165,'G-7 WaterC'' Data'!$U$4:$Y$4,0)))),"")</f>
        <v/>
      </c>
      <c r="Z165" s="133"/>
      <c r="AA165" s="133"/>
      <c r="AB165" s="283" t="str">
        <f t="shared" si="23"/>
        <v/>
      </c>
      <c r="AC165" s="296" t="str">
        <f t="shared" si="24"/>
        <v/>
      </c>
      <c r="AD165" s="334" t="str">
        <f>IFERROR(IF(AC165="Check Data ⚠","Check Data ⚠",VLOOKUP(AC165,'G-4 Temporal multipliers'!$A$4:$C$37,3,FALSE)),"")</f>
        <v/>
      </c>
      <c r="AE165" s="275" t="str">
        <f>IF(N165="","",VLOOKUP(N165,'G-7 WaterC'' Data'!$B$4:$G$8,5,FALSE))</f>
        <v/>
      </c>
      <c r="AF165" s="283" t="str">
        <f t="shared" si="25"/>
        <v/>
      </c>
      <c r="AG165" s="314" t="str">
        <f t="shared" si="26"/>
        <v/>
      </c>
      <c r="AH165" s="276" t="str">
        <f t="shared" si="20"/>
        <v/>
      </c>
      <c r="AI165" s="105"/>
      <c r="AJ165" s="276" t="str">
        <f>IF(AI165="","",IF(AND(AI165="N/A - Culvert",N165&lt;&gt;"Culvert"),"Not possible ▲",IF(VLOOKUP(AI165,'G-7 WaterC'' Data'!$AA$4:$AB$7,2,FALSE)=0,"Spatial Data Missing ⚠",VLOOKUP(AI165,'G-7 WaterC'' Data'!$AA$4:$AB$7,2,FALSE))))</f>
        <v/>
      </c>
      <c r="AK165" s="106"/>
      <c r="AL165" s="276" t="str">
        <f>IF(AK165="","",IF(AND(AK165="N/A - Culvert",N165&lt;&gt;"Culvert"),"Not possible ▲",IF(VLOOKUP(AK165,'G-7 WaterC'' Data'!$AD$4:$AE$14,2,FALSE)=0,"Spatial Data Missing ⚠",VLOOKUP(AK165,'G-7 WaterC'' Data'!$AD$4:$AE$14,2,FALSE))))</f>
        <v/>
      </c>
      <c r="AM165" s="317" t="str">
        <f t="shared" si="27"/>
        <v/>
      </c>
      <c r="AN165" s="101"/>
      <c r="AO165" s="115"/>
      <c r="AP165" s="104"/>
      <c r="AS165" s="30" t="str">
        <f>IF(B165="","",IF(ISNA(VLOOKUP($B165,'C-1 On-Site WaterC'' Baseline'!$C$8:$AD$257,17,FALSE)),"",(VLOOKUP($B165,'C-1 On-Site WaterC'' Baseline'!$C$8:$AD$257,17,FALSE))))</f>
        <v/>
      </c>
      <c r="AT165" s="30" t="str">
        <f>IF(B165="","",VLOOKUP($B165,'C-1 On-Site WaterC'' Baseline'!$C$9:$Z$257,12,FALSE))</f>
        <v/>
      </c>
      <c r="AU165" s="30" t="str">
        <f>IF(B165="","",VLOOKUP($B165,'C-1 On-Site WaterC'' Baseline'!$C$9:$Z$257,14,FALSE))</f>
        <v/>
      </c>
      <c r="AV165" s="30" t="str">
        <f>IFERROR(INDEX('G-7 WaterC'' Data'!$AZ$3:$AZ$7,MATCH(N165,'G-7 WaterC'' Data'!$AY$3:$AY$7,0)),"")</f>
        <v/>
      </c>
      <c r="AX165" s="30" t="str">
        <f>IF(B165="","",VLOOKUP($B165,'C-1 On-Site WaterC'' Baseline'!$C$9:$Y$257,22,FALSE))</f>
        <v/>
      </c>
      <c r="AY165" s="30" t="str">
        <f t="shared" si="28"/>
        <v/>
      </c>
      <c r="AZ165" s="30" t="str">
        <f>IF(B165="","",VLOOKUP($B165,'C-1 On-Site WaterC'' Baseline'!$C$9:$Y$257,21,FALSE))</f>
        <v/>
      </c>
      <c r="BA165" s="30" t="str">
        <f>IF(B165="","",VLOOKUP($B165,'C-1 On-Site WaterC'' Baseline'!$C$9:$Y$257,19,FALSE))</f>
        <v/>
      </c>
      <c r="BD165" s="30" t="str">
        <f t="shared" si="29"/>
        <v>No</v>
      </c>
    </row>
    <row r="166" spans="2:56" ht="14">
      <c r="B166" s="305" t="str">
        <f>'C-1 On-Site WaterC'' Baseline'!AP164</f>
        <v/>
      </c>
      <c r="C166" s="295" t="str">
        <f>IF(B166="","",VLOOKUP($B166,'C-1 On-Site WaterC'' Baseline'!$C$9:$R$257,2,FALSE))</f>
        <v/>
      </c>
      <c r="D166" s="295" t="str">
        <f>IF(C166="","",VLOOKUP($B166,'C-1 On-Site WaterC'' Baseline'!$C$9:$R$257,3,FALSE))</f>
        <v/>
      </c>
      <c r="E166" s="295" t="str">
        <f>IF(D166="","",VLOOKUP($B166,'C-1 On-Site WaterC'' Baseline'!$C$9:$R$257,4,FALSE))</f>
        <v/>
      </c>
      <c r="F166" s="295" t="str">
        <f>IF(E166="","",VLOOKUP($B166,'C-1 On-Site WaterC'' Baseline'!$C$9:$R$257,5,FALSE))</f>
        <v/>
      </c>
      <c r="G166" s="295" t="str">
        <f>IF(F166="","",VLOOKUP($B166,'C-1 On-Site WaterC'' Baseline'!$C$9:$R$257,6,FALSE))</f>
        <v/>
      </c>
      <c r="H166" s="295" t="str">
        <f>IF(G166="","",VLOOKUP($B166,'C-1 On-Site WaterC'' Baseline'!$C$9:$R$257,7,FALSE))</f>
        <v/>
      </c>
      <c r="I166" s="295" t="str">
        <f>IF(H166="","",VLOOKUP($B166,'C-1 On-Site WaterC'' Baseline'!$C$9:$R$257,8,FALSE))</f>
        <v/>
      </c>
      <c r="J166" s="295" t="str">
        <f>IF(I166="","",VLOOKUP($B166,'C-1 On-Site WaterC'' Baseline'!$C$9:$R$257,9,FALSE))</f>
        <v/>
      </c>
      <c r="K166" s="295" t="str">
        <f>IF(J166="","",VLOOKUP($B166,'C-1 On-Site WaterC'' Baseline'!$C$9:$R$257,10,FALSE))</f>
        <v/>
      </c>
      <c r="L166" s="295" t="str">
        <f>IF(B166="","",VLOOKUP($B166,'C-1 On-Site WaterC'' Baseline'!$C$9:$R$257,15,FALSE))</f>
        <v/>
      </c>
      <c r="M166" s="299" t="str">
        <f>IF(L166="","",VLOOKUP($B166,'C-1 On-Site WaterC'' Baseline'!$C$9:$R$257,16,FALSE))</f>
        <v/>
      </c>
      <c r="N166" s="245"/>
      <c r="O166" s="275" t="str">
        <f t="shared" si="21"/>
        <v/>
      </c>
      <c r="P166" s="276" t="str">
        <f t="shared" si="22"/>
        <v/>
      </c>
      <c r="Q166" s="336" t="str">
        <f>IF(N166="","",VLOOKUP(B166,'C-1 On-Site WaterC'' Baseline'!$C$10:$AC$257,20,FALSE))</f>
        <v/>
      </c>
      <c r="R166" s="275" t="str">
        <f>IF(N166="","",VLOOKUP(N166,'G-7 WaterC'' Data'!$B$2:$G$8,2,FALSE))</f>
        <v/>
      </c>
      <c r="S166" s="276" t="str">
        <f>IFERROR(VLOOKUP(R166,'G-7 WaterC'' Data'!$C$4:$D$8,2,FALSE),"")</f>
        <v/>
      </c>
      <c r="T166" s="101"/>
      <c r="U166" s="276" t="str">
        <f>IFERROR(INDEX('G-7 WaterC'' Data'!$H$4:$L$8,MATCH(N166,'G-7 WaterC'' Data'!$B$4:$B$8,0),MATCH(T166,'G-7 WaterC'' Data'!$H$3:$L$3,0)),"")</f>
        <v/>
      </c>
      <c r="V166" s="101"/>
      <c r="W166" s="283" t="str">
        <f>IF(V166="","",IF(VLOOKUP(V166,'G-7 WaterC'' Data'!$AK$4:$AM$6,2,FALSE)=0,"Spatial Data Missing ⚠",VLOOKUP(V166,'G-7 WaterC'' Data'!$AK$4:$AM$6,2,FALSE)))</f>
        <v/>
      </c>
      <c r="X166" s="276" t="str">
        <f>IF(V166="","",IF(VLOOKUP(V166,'G-7 WaterC'' Data'!$AK$4:$AM$6,3,FALSE)=0,"Spatial Data Missing ⚠",VLOOKUP(V166,'G-7 WaterC'' Data'!$AK$4:$AM$6,3,FALSE)))</f>
        <v/>
      </c>
      <c r="Y166" s="275" t="str">
        <f>IFERROR(IF(OR(LEFT(P166,5)="Error",LEFT(O166,5)="Error"),"Check Data ⚠",IF(F166&lt;S166,'G-7 WaterC'' Data'!$R$3,INDEX('G-7 WaterC'' Data'!$U$5:$Y$9,MATCH(G166,'G-7 WaterC'' Data'!$T$5:$T$9,0),MATCH(T166,'G-7 WaterC'' Data'!$U$4:$Y$4,0)))),"")</f>
        <v/>
      </c>
      <c r="Z166" s="133"/>
      <c r="AA166" s="133"/>
      <c r="AB166" s="283" t="str">
        <f t="shared" si="23"/>
        <v/>
      </c>
      <c r="AC166" s="296" t="str">
        <f t="shared" si="24"/>
        <v/>
      </c>
      <c r="AD166" s="334" t="str">
        <f>IFERROR(IF(AC166="Check Data ⚠","Check Data ⚠",VLOOKUP(AC166,'G-4 Temporal multipliers'!$A$4:$C$37,3,FALSE)),"")</f>
        <v/>
      </c>
      <c r="AE166" s="275" t="str">
        <f>IF(N166="","",VLOOKUP(N166,'G-7 WaterC'' Data'!$B$4:$G$8,5,FALSE))</f>
        <v/>
      </c>
      <c r="AF166" s="283" t="str">
        <f t="shared" si="25"/>
        <v/>
      </c>
      <c r="AG166" s="314" t="str">
        <f t="shared" si="26"/>
        <v/>
      </c>
      <c r="AH166" s="276" t="str">
        <f t="shared" si="20"/>
        <v/>
      </c>
      <c r="AI166" s="105"/>
      <c r="AJ166" s="276" t="str">
        <f>IF(AI166="","",IF(AND(AI166="N/A - Culvert",N166&lt;&gt;"Culvert"),"Not possible ▲",IF(VLOOKUP(AI166,'G-7 WaterC'' Data'!$AA$4:$AB$7,2,FALSE)=0,"Spatial Data Missing ⚠",VLOOKUP(AI166,'G-7 WaterC'' Data'!$AA$4:$AB$7,2,FALSE))))</f>
        <v/>
      </c>
      <c r="AK166" s="106"/>
      <c r="AL166" s="276" t="str">
        <f>IF(AK166="","",IF(AND(AK166="N/A - Culvert",N166&lt;&gt;"Culvert"),"Not possible ▲",IF(VLOOKUP(AK166,'G-7 WaterC'' Data'!$AD$4:$AE$14,2,FALSE)=0,"Spatial Data Missing ⚠",VLOOKUP(AK166,'G-7 WaterC'' Data'!$AD$4:$AE$14,2,FALSE))))</f>
        <v/>
      </c>
      <c r="AM166" s="317" t="str">
        <f t="shared" si="27"/>
        <v/>
      </c>
      <c r="AN166" s="101"/>
      <c r="AO166" s="115"/>
      <c r="AP166" s="104"/>
      <c r="AS166" s="30" t="str">
        <f>IF(B166="","",IF(ISNA(VLOOKUP($B166,'C-1 On-Site WaterC'' Baseline'!$C$8:$AD$257,17,FALSE)),"",(VLOOKUP($B166,'C-1 On-Site WaterC'' Baseline'!$C$8:$AD$257,17,FALSE))))</f>
        <v/>
      </c>
      <c r="AT166" s="30" t="str">
        <f>IF(B166="","",VLOOKUP($B166,'C-1 On-Site WaterC'' Baseline'!$C$9:$Z$257,12,FALSE))</f>
        <v/>
      </c>
      <c r="AU166" s="30" t="str">
        <f>IF(B166="","",VLOOKUP($B166,'C-1 On-Site WaterC'' Baseline'!$C$9:$Z$257,14,FALSE))</f>
        <v/>
      </c>
      <c r="AV166" s="30" t="str">
        <f>IFERROR(INDEX('G-7 WaterC'' Data'!$AZ$3:$AZ$7,MATCH(N166,'G-7 WaterC'' Data'!$AY$3:$AY$7,0)),"")</f>
        <v/>
      </c>
      <c r="AX166" s="30" t="str">
        <f>IF(B166="","",VLOOKUP($B166,'C-1 On-Site WaterC'' Baseline'!$C$9:$Y$257,22,FALSE))</f>
        <v/>
      </c>
      <c r="AY166" s="30" t="str">
        <f t="shared" si="28"/>
        <v/>
      </c>
      <c r="AZ166" s="30" t="str">
        <f>IF(B166="","",VLOOKUP($B166,'C-1 On-Site WaterC'' Baseline'!$C$9:$Y$257,21,FALSE))</f>
        <v/>
      </c>
      <c r="BA166" s="30" t="str">
        <f>IF(B166="","",VLOOKUP($B166,'C-1 On-Site WaterC'' Baseline'!$C$9:$Y$257,19,FALSE))</f>
        <v/>
      </c>
      <c r="BD166" s="30" t="str">
        <f t="shared" si="29"/>
        <v>No</v>
      </c>
    </row>
    <row r="167" spans="2:56" ht="14">
      <c r="B167" s="305" t="str">
        <f>'C-1 On-Site WaterC'' Baseline'!AP165</f>
        <v/>
      </c>
      <c r="C167" s="295" t="str">
        <f>IF(B167="","",VLOOKUP($B167,'C-1 On-Site WaterC'' Baseline'!$C$9:$R$257,2,FALSE))</f>
        <v/>
      </c>
      <c r="D167" s="295" t="str">
        <f>IF(C167="","",VLOOKUP($B167,'C-1 On-Site WaterC'' Baseline'!$C$9:$R$257,3,FALSE))</f>
        <v/>
      </c>
      <c r="E167" s="295" t="str">
        <f>IF(D167="","",VLOOKUP($B167,'C-1 On-Site WaterC'' Baseline'!$C$9:$R$257,4,FALSE))</f>
        <v/>
      </c>
      <c r="F167" s="295" t="str">
        <f>IF(E167="","",VLOOKUP($B167,'C-1 On-Site WaterC'' Baseline'!$C$9:$R$257,5,FALSE))</f>
        <v/>
      </c>
      <c r="G167" s="295" t="str">
        <f>IF(F167="","",VLOOKUP($B167,'C-1 On-Site WaterC'' Baseline'!$C$9:$R$257,6,FALSE))</f>
        <v/>
      </c>
      <c r="H167" s="295" t="str">
        <f>IF(G167="","",VLOOKUP($B167,'C-1 On-Site WaterC'' Baseline'!$C$9:$R$257,7,FALSE))</f>
        <v/>
      </c>
      <c r="I167" s="295" t="str">
        <f>IF(H167="","",VLOOKUP($B167,'C-1 On-Site WaterC'' Baseline'!$C$9:$R$257,8,FALSE))</f>
        <v/>
      </c>
      <c r="J167" s="295" t="str">
        <f>IF(I167="","",VLOOKUP($B167,'C-1 On-Site WaterC'' Baseline'!$C$9:$R$257,9,FALSE))</f>
        <v/>
      </c>
      <c r="K167" s="295" t="str">
        <f>IF(J167="","",VLOOKUP($B167,'C-1 On-Site WaterC'' Baseline'!$C$9:$R$257,10,FALSE))</f>
        <v/>
      </c>
      <c r="L167" s="295" t="str">
        <f>IF(B167="","",VLOOKUP($B167,'C-1 On-Site WaterC'' Baseline'!$C$9:$R$257,15,FALSE))</f>
        <v/>
      </c>
      <c r="M167" s="299" t="str">
        <f>IF(L167="","",VLOOKUP($B167,'C-1 On-Site WaterC'' Baseline'!$C$9:$R$257,16,FALSE))</f>
        <v/>
      </c>
      <c r="N167" s="245"/>
      <c r="O167" s="275" t="str">
        <f t="shared" si="21"/>
        <v/>
      </c>
      <c r="P167" s="276" t="str">
        <f t="shared" si="22"/>
        <v/>
      </c>
      <c r="Q167" s="336" t="str">
        <f>IF(N167="","",VLOOKUP(B167,'C-1 On-Site WaterC'' Baseline'!$C$10:$AC$257,20,FALSE))</f>
        <v/>
      </c>
      <c r="R167" s="275" t="str">
        <f>IF(N167="","",VLOOKUP(N167,'G-7 WaterC'' Data'!$B$2:$G$8,2,FALSE))</f>
        <v/>
      </c>
      <c r="S167" s="276" t="str">
        <f>IFERROR(VLOOKUP(R167,'G-7 WaterC'' Data'!$C$4:$D$8,2,FALSE),"")</f>
        <v/>
      </c>
      <c r="T167" s="101"/>
      <c r="U167" s="276" t="str">
        <f>IFERROR(INDEX('G-7 WaterC'' Data'!$H$4:$L$8,MATCH(N167,'G-7 WaterC'' Data'!$B$4:$B$8,0),MATCH(T167,'G-7 WaterC'' Data'!$H$3:$L$3,0)),"")</f>
        <v/>
      </c>
      <c r="V167" s="101"/>
      <c r="W167" s="283" t="str">
        <f>IF(V167="","",IF(VLOOKUP(V167,'G-7 WaterC'' Data'!$AK$4:$AM$6,2,FALSE)=0,"Spatial Data Missing ⚠",VLOOKUP(V167,'G-7 WaterC'' Data'!$AK$4:$AM$6,2,FALSE)))</f>
        <v/>
      </c>
      <c r="X167" s="276" t="str">
        <f>IF(V167="","",IF(VLOOKUP(V167,'G-7 WaterC'' Data'!$AK$4:$AM$6,3,FALSE)=0,"Spatial Data Missing ⚠",VLOOKUP(V167,'G-7 WaterC'' Data'!$AK$4:$AM$6,3,FALSE)))</f>
        <v/>
      </c>
      <c r="Y167" s="275" t="str">
        <f>IFERROR(IF(OR(LEFT(P167,5)="Error",LEFT(O167,5)="Error"),"Check Data ⚠",IF(F167&lt;S167,'G-7 WaterC'' Data'!$R$3,INDEX('G-7 WaterC'' Data'!$U$5:$Y$9,MATCH(G167,'G-7 WaterC'' Data'!$T$5:$T$9,0),MATCH(T167,'G-7 WaterC'' Data'!$U$4:$Y$4,0)))),"")</f>
        <v/>
      </c>
      <c r="Z167" s="133"/>
      <c r="AA167" s="133"/>
      <c r="AB167" s="283" t="str">
        <f t="shared" si="23"/>
        <v/>
      </c>
      <c r="AC167" s="296" t="str">
        <f t="shared" si="24"/>
        <v/>
      </c>
      <c r="AD167" s="334" t="str">
        <f>IFERROR(IF(AC167="Check Data ⚠","Check Data ⚠",VLOOKUP(AC167,'G-4 Temporal multipliers'!$A$4:$C$37,3,FALSE)),"")</f>
        <v/>
      </c>
      <c r="AE167" s="275" t="str">
        <f>IF(N167="","",VLOOKUP(N167,'G-7 WaterC'' Data'!$B$4:$G$8,5,FALSE))</f>
        <v/>
      </c>
      <c r="AF167" s="283" t="str">
        <f t="shared" si="25"/>
        <v/>
      </c>
      <c r="AG167" s="314" t="str">
        <f t="shared" si="26"/>
        <v/>
      </c>
      <c r="AH167" s="276" t="str">
        <f t="shared" si="20"/>
        <v/>
      </c>
      <c r="AI167" s="105"/>
      <c r="AJ167" s="276" t="str">
        <f>IF(AI167="","",IF(AND(AI167="N/A - Culvert",N167&lt;&gt;"Culvert"),"Not possible ▲",IF(VLOOKUP(AI167,'G-7 WaterC'' Data'!$AA$4:$AB$7,2,FALSE)=0,"Spatial Data Missing ⚠",VLOOKUP(AI167,'G-7 WaterC'' Data'!$AA$4:$AB$7,2,FALSE))))</f>
        <v/>
      </c>
      <c r="AK167" s="106"/>
      <c r="AL167" s="276" t="str">
        <f>IF(AK167="","",IF(AND(AK167="N/A - Culvert",N167&lt;&gt;"Culvert"),"Not possible ▲",IF(VLOOKUP(AK167,'G-7 WaterC'' Data'!$AD$4:$AE$14,2,FALSE)=0,"Spatial Data Missing ⚠",VLOOKUP(AK167,'G-7 WaterC'' Data'!$AD$4:$AE$14,2,FALSE))))</f>
        <v/>
      </c>
      <c r="AM167" s="317" t="str">
        <f t="shared" si="27"/>
        <v/>
      </c>
      <c r="AN167" s="101"/>
      <c r="AO167" s="115"/>
      <c r="AP167" s="104"/>
      <c r="AS167" s="30" t="str">
        <f>IF(B167="","",IF(ISNA(VLOOKUP($B167,'C-1 On-Site WaterC'' Baseline'!$C$8:$AD$257,17,FALSE)),"",(VLOOKUP($B167,'C-1 On-Site WaterC'' Baseline'!$C$8:$AD$257,17,FALSE))))</f>
        <v/>
      </c>
      <c r="AT167" s="30" t="str">
        <f>IF(B167="","",VLOOKUP($B167,'C-1 On-Site WaterC'' Baseline'!$C$9:$Z$257,12,FALSE))</f>
        <v/>
      </c>
      <c r="AU167" s="30" t="str">
        <f>IF(B167="","",VLOOKUP($B167,'C-1 On-Site WaterC'' Baseline'!$C$9:$Z$257,14,FALSE))</f>
        <v/>
      </c>
      <c r="AV167" s="30" t="str">
        <f>IFERROR(INDEX('G-7 WaterC'' Data'!$AZ$3:$AZ$7,MATCH(N167,'G-7 WaterC'' Data'!$AY$3:$AY$7,0)),"")</f>
        <v/>
      </c>
      <c r="AX167" s="30" t="str">
        <f>IF(B167="","",VLOOKUP($B167,'C-1 On-Site WaterC'' Baseline'!$C$9:$Y$257,22,FALSE))</f>
        <v/>
      </c>
      <c r="AY167" s="30" t="str">
        <f t="shared" si="28"/>
        <v/>
      </c>
      <c r="AZ167" s="30" t="str">
        <f>IF(B167="","",VLOOKUP($B167,'C-1 On-Site WaterC'' Baseline'!$C$9:$Y$257,21,FALSE))</f>
        <v/>
      </c>
      <c r="BA167" s="30" t="str">
        <f>IF(B167="","",VLOOKUP($B167,'C-1 On-Site WaterC'' Baseline'!$C$9:$Y$257,19,FALSE))</f>
        <v/>
      </c>
      <c r="BD167" s="30" t="str">
        <f t="shared" si="29"/>
        <v>No</v>
      </c>
    </row>
    <row r="168" spans="2:56" ht="14">
      <c r="B168" s="305" t="str">
        <f>'C-1 On-Site WaterC'' Baseline'!AP166</f>
        <v/>
      </c>
      <c r="C168" s="295" t="str">
        <f>IF(B168="","",VLOOKUP($B168,'C-1 On-Site WaterC'' Baseline'!$C$9:$R$257,2,FALSE))</f>
        <v/>
      </c>
      <c r="D168" s="295" t="str">
        <f>IF(C168="","",VLOOKUP($B168,'C-1 On-Site WaterC'' Baseline'!$C$9:$R$257,3,FALSE))</f>
        <v/>
      </c>
      <c r="E168" s="295" t="str">
        <f>IF(D168="","",VLOOKUP($B168,'C-1 On-Site WaterC'' Baseline'!$C$9:$R$257,4,FALSE))</f>
        <v/>
      </c>
      <c r="F168" s="295" t="str">
        <f>IF(E168="","",VLOOKUP($B168,'C-1 On-Site WaterC'' Baseline'!$C$9:$R$257,5,FALSE))</f>
        <v/>
      </c>
      <c r="G168" s="295" t="str">
        <f>IF(F168="","",VLOOKUP($B168,'C-1 On-Site WaterC'' Baseline'!$C$9:$R$257,6,FALSE))</f>
        <v/>
      </c>
      <c r="H168" s="295" t="str">
        <f>IF(G168="","",VLOOKUP($B168,'C-1 On-Site WaterC'' Baseline'!$C$9:$R$257,7,FALSE))</f>
        <v/>
      </c>
      <c r="I168" s="295" t="str">
        <f>IF(H168="","",VLOOKUP($B168,'C-1 On-Site WaterC'' Baseline'!$C$9:$R$257,8,FALSE))</f>
        <v/>
      </c>
      <c r="J168" s="295" t="str">
        <f>IF(I168="","",VLOOKUP($B168,'C-1 On-Site WaterC'' Baseline'!$C$9:$R$257,9,FALSE))</f>
        <v/>
      </c>
      <c r="K168" s="295" t="str">
        <f>IF(J168="","",VLOOKUP($B168,'C-1 On-Site WaterC'' Baseline'!$C$9:$R$257,10,FALSE))</f>
        <v/>
      </c>
      <c r="L168" s="295" t="str">
        <f>IF(B168="","",VLOOKUP($B168,'C-1 On-Site WaterC'' Baseline'!$C$9:$R$257,15,FALSE))</f>
        <v/>
      </c>
      <c r="M168" s="299" t="str">
        <f>IF(L168="","",VLOOKUP($B168,'C-1 On-Site WaterC'' Baseline'!$C$9:$R$257,16,FALSE))</f>
        <v/>
      </c>
      <c r="N168" s="245"/>
      <c r="O168" s="275" t="str">
        <f t="shared" si="21"/>
        <v/>
      </c>
      <c r="P168" s="276" t="str">
        <f t="shared" si="22"/>
        <v/>
      </c>
      <c r="Q168" s="336" t="str">
        <f>IF(N168="","",VLOOKUP(B168,'C-1 On-Site WaterC'' Baseline'!$C$10:$AC$257,20,FALSE))</f>
        <v/>
      </c>
      <c r="R168" s="275" t="str">
        <f>IF(N168="","",VLOOKUP(N168,'G-7 WaterC'' Data'!$B$2:$G$8,2,FALSE))</f>
        <v/>
      </c>
      <c r="S168" s="276" t="str">
        <f>IFERROR(VLOOKUP(R168,'G-7 WaterC'' Data'!$C$4:$D$8,2,FALSE),"")</f>
        <v/>
      </c>
      <c r="T168" s="101"/>
      <c r="U168" s="276" t="str">
        <f>IFERROR(INDEX('G-7 WaterC'' Data'!$H$4:$L$8,MATCH(N168,'G-7 WaterC'' Data'!$B$4:$B$8,0),MATCH(T168,'G-7 WaterC'' Data'!$H$3:$L$3,0)),"")</f>
        <v/>
      </c>
      <c r="V168" s="101"/>
      <c r="W168" s="283" t="str">
        <f>IF(V168="","",IF(VLOOKUP(V168,'G-7 WaterC'' Data'!$AK$4:$AM$6,2,FALSE)=0,"Spatial Data Missing ⚠",VLOOKUP(V168,'G-7 WaterC'' Data'!$AK$4:$AM$6,2,FALSE)))</f>
        <v/>
      </c>
      <c r="X168" s="276" t="str">
        <f>IF(V168="","",IF(VLOOKUP(V168,'G-7 WaterC'' Data'!$AK$4:$AM$6,3,FALSE)=0,"Spatial Data Missing ⚠",VLOOKUP(V168,'G-7 WaterC'' Data'!$AK$4:$AM$6,3,FALSE)))</f>
        <v/>
      </c>
      <c r="Y168" s="275" t="str">
        <f>IFERROR(IF(OR(LEFT(P168,5)="Error",LEFT(O168,5)="Error"),"Check Data ⚠",IF(F168&lt;S168,'G-7 WaterC'' Data'!$R$3,INDEX('G-7 WaterC'' Data'!$U$5:$Y$9,MATCH(G168,'G-7 WaterC'' Data'!$T$5:$T$9,0),MATCH(T168,'G-7 WaterC'' Data'!$U$4:$Y$4,0)))),"")</f>
        <v/>
      </c>
      <c r="Z168" s="133"/>
      <c r="AA168" s="133"/>
      <c r="AB168" s="283" t="str">
        <f t="shared" si="23"/>
        <v/>
      </c>
      <c r="AC168" s="296" t="str">
        <f t="shared" si="24"/>
        <v/>
      </c>
      <c r="AD168" s="334" t="str">
        <f>IFERROR(IF(AC168="Check Data ⚠","Check Data ⚠",VLOOKUP(AC168,'G-4 Temporal multipliers'!$A$4:$C$37,3,FALSE)),"")</f>
        <v/>
      </c>
      <c r="AE168" s="275" t="str">
        <f>IF(N168="","",VLOOKUP(N168,'G-7 WaterC'' Data'!$B$4:$G$8,5,FALSE))</f>
        <v/>
      </c>
      <c r="AF168" s="283" t="str">
        <f t="shared" si="25"/>
        <v/>
      </c>
      <c r="AG168" s="314" t="str">
        <f t="shared" si="26"/>
        <v/>
      </c>
      <c r="AH168" s="276" t="str">
        <f t="shared" si="20"/>
        <v/>
      </c>
      <c r="AI168" s="105"/>
      <c r="AJ168" s="276" t="str">
        <f>IF(AI168="","",IF(AND(AI168="N/A - Culvert",N168&lt;&gt;"Culvert"),"Not possible ▲",IF(VLOOKUP(AI168,'G-7 WaterC'' Data'!$AA$4:$AB$7,2,FALSE)=0,"Spatial Data Missing ⚠",VLOOKUP(AI168,'G-7 WaterC'' Data'!$AA$4:$AB$7,2,FALSE))))</f>
        <v/>
      </c>
      <c r="AK168" s="106"/>
      <c r="AL168" s="276" t="str">
        <f>IF(AK168="","",IF(AND(AK168="N/A - Culvert",N168&lt;&gt;"Culvert"),"Not possible ▲",IF(VLOOKUP(AK168,'G-7 WaterC'' Data'!$AD$4:$AE$14,2,FALSE)=0,"Spatial Data Missing ⚠",VLOOKUP(AK168,'G-7 WaterC'' Data'!$AD$4:$AE$14,2,FALSE))))</f>
        <v/>
      </c>
      <c r="AM168" s="317" t="str">
        <f t="shared" si="27"/>
        <v/>
      </c>
      <c r="AN168" s="101"/>
      <c r="AO168" s="115"/>
      <c r="AP168" s="104"/>
      <c r="AS168" s="30" t="str">
        <f>IF(B168="","",IF(ISNA(VLOOKUP($B168,'C-1 On-Site WaterC'' Baseline'!$C$8:$AD$257,17,FALSE)),"",(VLOOKUP($B168,'C-1 On-Site WaterC'' Baseline'!$C$8:$AD$257,17,FALSE))))</f>
        <v/>
      </c>
      <c r="AT168" s="30" t="str">
        <f>IF(B168="","",VLOOKUP($B168,'C-1 On-Site WaterC'' Baseline'!$C$9:$Z$257,12,FALSE))</f>
        <v/>
      </c>
      <c r="AU168" s="30" t="str">
        <f>IF(B168="","",VLOOKUP($B168,'C-1 On-Site WaterC'' Baseline'!$C$9:$Z$257,14,FALSE))</f>
        <v/>
      </c>
      <c r="AV168" s="30" t="str">
        <f>IFERROR(INDEX('G-7 WaterC'' Data'!$AZ$3:$AZ$7,MATCH(N168,'G-7 WaterC'' Data'!$AY$3:$AY$7,0)),"")</f>
        <v/>
      </c>
      <c r="AX168" s="30" t="str">
        <f>IF(B168="","",VLOOKUP($B168,'C-1 On-Site WaterC'' Baseline'!$C$9:$Y$257,22,FALSE))</f>
        <v/>
      </c>
      <c r="AY168" s="30" t="str">
        <f t="shared" si="28"/>
        <v/>
      </c>
      <c r="AZ168" s="30" t="str">
        <f>IF(B168="","",VLOOKUP($B168,'C-1 On-Site WaterC'' Baseline'!$C$9:$Y$257,21,FALSE))</f>
        <v/>
      </c>
      <c r="BA168" s="30" t="str">
        <f>IF(B168="","",VLOOKUP($B168,'C-1 On-Site WaterC'' Baseline'!$C$9:$Y$257,19,FALSE))</f>
        <v/>
      </c>
      <c r="BD168" s="30" t="str">
        <f t="shared" si="29"/>
        <v>No</v>
      </c>
    </row>
    <row r="169" spans="2:56" ht="14">
      <c r="B169" s="305" t="str">
        <f>'C-1 On-Site WaterC'' Baseline'!AP167</f>
        <v/>
      </c>
      <c r="C169" s="295" t="str">
        <f>IF(B169="","",VLOOKUP($B169,'C-1 On-Site WaterC'' Baseline'!$C$9:$R$257,2,FALSE))</f>
        <v/>
      </c>
      <c r="D169" s="295" t="str">
        <f>IF(C169="","",VLOOKUP($B169,'C-1 On-Site WaterC'' Baseline'!$C$9:$R$257,3,FALSE))</f>
        <v/>
      </c>
      <c r="E169" s="295" t="str">
        <f>IF(D169="","",VLOOKUP($B169,'C-1 On-Site WaterC'' Baseline'!$C$9:$R$257,4,FALSE))</f>
        <v/>
      </c>
      <c r="F169" s="295" t="str">
        <f>IF(E169="","",VLOOKUP($B169,'C-1 On-Site WaterC'' Baseline'!$C$9:$R$257,5,FALSE))</f>
        <v/>
      </c>
      <c r="G169" s="295" t="str">
        <f>IF(F169="","",VLOOKUP($B169,'C-1 On-Site WaterC'' Baseline'!$C$9:$R$257,6,FALSE))</f>
        <v/>
      </c>
      <c r="H169" s="295" t="str">
        <f>IF(G169="","",VLOOKUP($B169,'C-1 On-Site WaterC'' Baseline'!$C$9:$R$257,7,FALSE))</f>
        <v/>
      </c>
      <c r="I169" s="295" t="str">
        <f>IF(H169="","",VLOOKUP($B169,'C-1 On-Site WaterC'' Baseline'!$C$9:$R$257,8,FALSE))</f>
        <v/>
      </c>
      <c r="J169" s="295" t="str">
        <f>IF(I169="","",VLOOKUP($B169,'C-1 On-Site WaterC'' Baseline'!$C$9:$R$257,9,FALSE))</f>
        <v/>
      </c>
      <c r="K169" s="295" t="str">
        <f>IF(J169="","",VLOOKUP($B169,'C-1 On-Site WaterC'' Baseline'!$C$9:$R$257,10,FALSE))</f>
        <v/>
      </c>
      <c r="L169" s="295" t="str">
        <f>IF(B169="","",VLOOKUP($B169,'C-1 On-Site WaterC'' Baseline'!$C$9:$R$257,15,FALSE))</f>
        <v/>
      </c>
      <c r="M169" s="299" t="str">
        <f>IF(L169="","",VLOOKUP($B169,'C-1 On-Site WaterC'' Baseline'!$C$9:$R$257,16,FALSE))</f>
        <v/>
      </c>
      <c r="N169" s="245"/>
      <c r="O169" s="275" t="str">
        <f t="shared" si="21"/>
        <v/>
      </c>
      <c r="P169" s="276" t="str">
        <f t="shared" si="22"/>
        <v/>
      </c>
      <c r="Q169" s="336" t="str">
        <f>IF(N169="","",VLOOKUP(B169,'C-1 On-Site WaterC'' Baseline'!$C$10:$AC$257,20,FALSE))</f>
        <v/>
      </c>
      <c r="R169" s="275" t="str">
        <f>IF(N169="","",VLOOKUP(N169,'G-7 WaterC'' Data'!$B$2:$G$8,2,FALSE))</f>
        <v/>
      </c>
      <c r="S169" s="276" t="str">
        <f>IFERROR(VLOOKUP(R169,'G-7 WaterC'' Data'!$C$4:$D$8,2,FALSE),"")</f>
        <v/>
      </c>
      <c r="T169" s="101"/>
      <c r="U169" s="276" t="str">
        <f>IFERROR(INDEX('G-7 WaterC'' Data'!$H$4:$L$8,MATCH(N169,'G-7 WaterC'' Data'!$B$4:$B$8,0),MATCH(T169,'G-7 WaterC'' Data'!$H$3:$L$3,0)),"")</f>
        <v/>
      </c>
      <c r="V169" s="101"/>
      <c r="W169" s="283" t="str">
        <f>IF(V169="","",IF(VLOOKUP(V169,'G-7 WaterC'' Data'!$AK$4:$AM$6,2,FALSE)=0,"Spatial Data Missing ⚠",VLOOKUP(V169,'G-7 WaterC'' Data'!$AK$4:$AM$6,2,FALSE)))</f>
        <v/>
      </c>
      <c r="X169" s="276" t="str">
        <f>IF(V169="","",IF(VLOOKUP(V169,'G-7 WaterC'' Data'!$AK$4:$AM$6,3,FALSE)=0,"Spatial Data Missing ⚠",VLOOKUP(V169,'G-7 WaterC'' Data'!$AK$4:$AM$6,3,FALSE)))</f>
        <v/>
      </c>
      <c r="Y169" s="275" t="str">
        <f>IFERROR(IF(OR(LEFT(P169,5)="Error",LEFT(O169,5)="Error"),"Check Data ⚠",IF(F169&lt;S169,'G-7 WaterC'' Data'!$R$3,INDEX('G-7 WaterC'' Data'!$U$5:$Y$9,MATCH(G169,'G-7 WaterC'' Data'!$T$5:$T$9,0),MATCH(T169,'G-7 WaterC'' Data'!$U$4:$Y$4,0)))),"")</f>
        <v/>
      </c>
      <c r="Z169" s="133"/>
      <c r="AA169" s="133"/>
      <c r="AB169" s="283" t="str">
        <f t="shared" si="23"/>
        <v/>
      </c>
      <c r="AC169" s="296" t="str">
        <f t="shared" si="24"/>
        <v/>
      </c>
      <c r="AD169" s="334" t="str">
        <f>IFERROR(IF(AC169="Check Data ⚠","Check Data ⚠",VLOOKUP(AC169,'G-4 Temporal multipliers'!$A$4:$C$37,3,FALSE)),"")</f>
        <v/>
      </c>
      <c r="AE169" s="275" t="str">
        <f>IF(N169="","",VLOOKUP(N169,'G-7 WaterC'' Data'!$B$4:$G$8,5,FALSE))</f>
        <v/>
      </c>
      <c r="AF169" s="283" t="str">
        <f t="shared" si="25"/>
        <v/>
      </c>
      <c r="AG169" s="314" t="str">
        <f t="shared" si="26"/>
        <v/>
      </c>
      <c r="AH169" s="276" t="str">
        <f t="shared" si="20"/>
        <v/>
      </c>
      <c r="AI169" s="105"/>
      <c r="AJ169" s="276" t="str">
        <f>IF(AI169="","",IF(AND(AI169="N/A - Culvert",N169&lt;&gt;"Culvert"),"Not possible ▲",IF(VLOOKUP(AI169,'G-7 WaterC'' Data'!$AA$4:$AB$7,2,FALSE)=0,"Spatial Data Missing ⚠",VLOOKUP(AI169,'G-7 WaterC'' Data'!$AA$4:$AB$7,2,FALSE))))</f>
        <v/>
      </c>
      <c r="AK169" s="106"/>
      <c r="AL169" s="276" t="str">
        <f>IF(AK169="","",IF(AND(AK169="N/A - Culvert",N169&lt;&gt;"Culvert"),"Not possible ▲",IF(VLOOKUP(AK169,'G-7 WaterC'' Data'!$AD$4:$AE$14,2,FALSE)=0,"Spatial Data Missing ⚠",VLOOKUP(AK169,'G-7 WaterC'' Data'!$AD$4:$AE$14,2,FALSE))))</f>
        <v/>
      </c>
      <c r="AM169" s="317" t="str">
        <f t="shared" si="27"/>
        <v/>
      </c>
      <c r="AN169" s="101"/>
      <c r="AO169" s="115"/>
      <c r="AP169" s="104"/>
      <c r="AS169" s="30" t="str">
        <f>IF(B169="","",IF(ISNA(VLOOKUP($B169,'C-1 On-Site WaterC'' Baseline'!$C$8:$AD$257,17,FALSE)),"",(VLOOKUP($B169,'C-1 On-Site WaterC'' Baseline'!$C$8:$AD$257,17,FALSE))))</f>
        <v/>
      </c>
      <c r="AT169" s="30" t="str">
        <f>IF(B169="","",VLOOKUP($B169,'C-1 On-Site WaterC'' Baseline'!$C$9:$Z$257,12,FALSE))</f>
        <v/>
      </c>
      <c r="AU169" s="30" t="str">
        <f>IF(B169="","",VLOOKUP($B169,'C-1 On-Site WaterC'' Baseline'!$C$9:$Z$257,14,FALSE))</f>
        <v/>
      </c>
      <c r="AV169" s="30" t="str">
        <f>IFERROR(INDEX('G-7 WaterC'' Data'!$AZ$3:$AZ$7,MATCH(N169,'G-7 WaterC'' Data'!$AY$3:$AY$7,0)),"")</f>
        <v/>
      </c>
      <c r="AX169" s="30" t="str">
        <f>IF(B169="","",VLOOKUP($B169,'C-1 On-Site WaterC'' Baseline'!$C$9:$Y$257,22,FALSE))</f>
        <v/>
      </c>
      <c r="AY169" s="30" t="str">
        <f t="shared" si="28"/>
        <v/>
      </c>
      <c r="AZ169" s="30" t="str">
        <f>IF(B169="","",VLOOKUP($B169,'C-1 On-Site WaterC'' Baseline'!$C$9:$Y$257,21,FALSE))</f>
        <v/>
      </c>
      <c r="BA169" s="30" t="str">
        <f>IF(B169="","",VLOOKUP($B169,'C-1 On-Site WaterC'' Baseline'!$C$9:$Y$257,19,FALSE))</f>
        <v/>
      </c>
      <c r="BD169" s="30" t="str">
        <f t="shared" si="29"/>
        <v>No</v>
      </c>
    </row>
    <row r="170" spans="2:56" ht="14">
      <c r="B170" s="305" t="str">
        <f>'C-1 On-Site WaterC'' Baseline'!AP168</f>
        <v/>
      </c>
      <c r="C170" s="295" t="str">
        <f>IF(B170="","",VLOOKUP($B170,'C-1 On-Site WaterC'' Baseline'!$C$9:$R$257,2,FALSE))</f>
        <v/>
      </c>
      <c r="D170" s="295" t="str">
        <f>IF(C170="","",VLOOKUP($B170,'C-1 On-Site WaterC'' Baseline'!$C$9:$R$257,3,FALSE))</f>
        <v/>
      </c>
      <c r="E170" s="295" t="str">
        <f>IF(D170="","",VLOOKUP($B170,'C-1 On-Site WaterC'' Baseline'!$C$9:$R$257,4,FALSE))</f>
        <v/>
      </c>
      <c r="F170" s="295" t="str">
        <f>IF(E170="","",VLOOKUP($B170,'C-1 On-Site WaterC'' Baseline'!$C$9:$R$257,5,FALSE))</f>
        <v/>
      </c>
      <c r="G170" s="295" t="str">
        <f>IF(F170="","",VLOOKUP($B170,'C-1 On-Site WaterC'' Baseline'!$C$9:$R$257,6,FALSE))</f>
        <v/>
      </c>
      <c r="H170" s="295" t="str">
        <f>IF(G170="","",VLOOKUP($B170,'C-1 On-Site WaterC'' Baseline'!$C$9:$R$257,7,FALSE))</f>
        <v/>
      </c>
      <c r="I170" s="295" t="str">
        <f>IF(H170="","",VLOOKUP($B170,'C-1 On-Site WaterC'' Baseline'!$C$9:$R$257,8,FALSE))</f>
        <v/>
      </c>
      <c r="J170" s="295" t="str">
        <f>IF(I170="","",VLOOKUP($B170,'C-1 On-Site WaterC'' Baseline'!$C$9:$R$257,9,FALSE))</f>
        <v/>
      </c>
      <c r="K170" s="295" t="str">
        <f>IF(J170="","",VLOOKUP($B170,'C-1 On-Site WaterC'' Baseline'!$C$9:$R$257,10,FALSE))</f>
        <v/>
      </c>
      <c r="L170" s="295" t="str">
        <f>IF(B170="","",VLOOKUP($B170,'C-1 On-Site WaterC'' Baseline'!$C$9:$R$257,15,FALSE))</f>
        <v/>
      </c>
      <c r="M170" s="299" t="str">
        <f>IF(L170="","",VLOOKUP($B170,'C-1 On-Site WaterC'' Baseline'!$C$9:$R$257,16,FALSE))</f>
        <v/>
      </c>
      <c r="N170" s="245"/>
      <c r="O170" s="275" t="str">
        <f t="shared" si="21"/>
        <v/>
      </c>
      <c r="P170" s="276" t="str">
        <f t="shared" si="22"/>
        <v/>
      </c>
      <c r="Q170" s="336" t="str">
        <f>IF(N170="","",VLOOKUP(B170,'C-1 On-Site WaterC'' Baseline'!$C$10:$AC$257,20,FALSE))</f>
        <v/>
      </c>
      <c r="R170" s="275" t="str">
        <f>IF(N170="","",VLOOKUP(N170,'G-7 WaterC'' Data'!$B$2:$G$8,2,FALSE))</f>
        <v/>
      </c>
      <c r="S170" s="276" t="str">
        <f>IFERROR(VLOOKUP(R170,'G-7 WaterC'' Data'!$C$4:$D$8,2,FALSE),"")</f>
        <v/>
      </c>
      <c r="T170" s="101"/>
      <c r="U170" s="276" t="str">
        <f>IFERROR(INDEX('G-7 WaterC'' Data'!$H$4:$L$8,MATCH(N170,'G-7 WaterC'' Data'!$B$4:$B$8,0),MATCH(T170,'G-7 WaterC'' Data'!$H$3:$L$3,0)),"")</f>
        <v/>
      </c>
      <c r="V170" s="101"/>
      <c r="W170" s="283" t="str">
        <f>IF(V170="","",IF(VLOOKUP(V170,'G-7 WaterC'' Data'!$AK$4:$AM$6,2,FALSE)=0,"Spatial Data Missing ⚠",VLOOKUP(V170,'G-7 WaterC'' Data'!$AK$4:$AM$6,2,FALSE)))</f>
        <v/>
      </c>
      <c r="X170" s="276" t="str">
        <f>IF(V170="","",IF(VLOOKUP(V170,'G-7 WaterC'' Data'!$AK$4:$AM$6,3,FALSE)=0,"Spatial Data Missing ⚠",VLOOKUP(V170,'G-7 WaterC'' Data'!$AK$4:$AM$6,3,FALSE)))</f>
        <v/>
      </c>
      <c r="Y170" s="275" t="str">
        <f>IFERROR(IF(OR(LEFT(P170,5)="Error",LEFT(O170,5)="Error"),"Check Data ⚠",IF(F170&lt;S170,'G-7 WaterC'' Data'!$R$3,INDEX('G-7 WaterC'' Data'!$U$5:$Y$9,MATCH(G170,'G-7 WaterC'' Data'!$T$5:$T$9,0),MATCH(T170,'G-7 WaterC'' Data'!$U$4:$Y$4,0)))),"")</f>
        <v/>
      </c>
      <c r="Z170" s="133"/>
      <c r="AA170" s="133"/>
      <c r="AB170" s="283" t="str">
        <f t="shared" si="23"/>
        <v/>
      </c>
      <c r="AC170" s="296" t="str">
        <f t="shared" si="24"/>
        <v/>
      </c>
      <c r="AD170" s="334" t="str">
        <f>IFERROR(IF(AC170="Check Data ⚠","Check Data ⚠",VLOOKUP(AC170,'G-4 Temporal multipliers'!$A$4:$C$37,3,FALSE)),"")</f>
        <v/>
      </c>
      <c r="AE170" s="275" t="str">
        <f>IF(N170="","",VLOOKUP(N170,'G-7 WaterC'' Data'!$B$4:$G$8,5,FALSE))</f>
        <v/>
      </c>
      <c r="AF170" s="283" t="str">
        <f t="shared" si="25"/>
        <v/>
      </c>
      <c r="AG170" s="314" t="str">
        <f t="shared" si="26"/>
        <v/>
      </c>
      <c r="AH170" s="276" t="str">
        <f t="shared" si="20"/>
        <v/>
      </c>
      <c r="AI170" s="105"/>
      <c r="AJ170" s="276" t="str">
        <f>IF(AI170="","",IF(AND(AI170="N/A - Culvert",N170&lt;&gt;"Culvert"),"Not possible ▲",IF(VLOOKUP(AI170,'G-7 WaterC'' Data'!$AA$4:$AB$7,2,FALSE)=0,"Spatial Data Missing ⚠",VLOOKUP(AI170,'G-7 WaterC'' Data'!$AA$4:$AB$7,2,FALSE))))</f>
        <v/>
      </c>
      <c r="AK170" s="106"/>
      <c r="AL170" s="276" t="str">
        <f>IF(AK170="","",IF(AND(AK170="N/A - Culvert",N170&lt;&gt;"Culvert"),"Not possible ▲",IF(VLOOKUP(AK170,'G-7 WaterC'' Data'!$AD$4:$AE$14,2,FALSE)=0,"Spatial Data Missing ⚠",VLOOKUP(AK170,'G-7 WaterC'' Data'!$AD$4:$AE$14,2,FALSE))))</f>
        <v/>
      </c>
      <c r="AM170" s="317" t="str">
        <f t="shared" si="27"/>
        <v/>
      </c>
      <c r="AN170" s="101"/>
      <c r="AO170" s="115"/>
      <c r="AP170" s="104"/>
      <c r="AS170" s="30" t="str">
        <f>IF(B170="","",IF(ISNA(VLOOKUP($B170,'C-1 On-Site WaterC'' Baseline'!$C$8:$AD$257,17,FALSE)),"",(VLOOKUP($B170,'C-1 On-Site WaterC'' Baseline'!$C$8:$AD$257,17,FALSE))))</f>
        <v/>
      </c>
      <c r="AT170" s="30" t="str">
        <f>IF(B170="","",VLOOKUP($B170,'C-1 On-Site WaterC'' Baseline'!$C$9:$Z$257,12,FALSE))</f>
        <v/>
      </c>
      <c r="AU170" s="30" t="str">
        <f>IF(B170="","",VLOOKUP($B170,'C-1 On-Site WaterC'' Baseline'!$C$9:$Z$257,14,FALSE))</f>
        <v/>
      </c>
      <c r="AV170" s="30" t="str">
        <f>IFERROR(INDEX('G-7 WaterC'' Data'!$AZ$3:$AZ$7,MATCH(N170,'G-7 WaterC'' Data'!$AY$3:$AY$7,0)),"")</f>
        <v/>
      </c>
      <c r="AX170" s="30" t="str">
        <f>IF(B170="","",VLOOKUP($B170,'C-1 On-Site WaterC'' Baseline'!$C$9:$Y$257,22,FALSE))</f>
        <v/>
      </c>
      <c r="AY170" s="30" t="str">
        <f t="shared" si="28"/>
        <v/>
      </c>
      <c r="AZ170" s="30" t="str">
        <f>IF(B170="","",VLOOKUP($B170,'C-1 On-Site WaterC'' Baseline'!$C$9:$Y$257,21,FALSE))</f>
        <v/>
      </c>
      <c r="BA170" s="30" t="str">
        <f>IF(B170="","",VLOOKUP($B170,'C-1 On-Site WaterC'' Baseline'!$C$9:$Y$257,19,FALSE))</f>
        <v/>
      </c>
      <c r="BD170" s="30" t="str">
        <f t="shared" si="29"/>
        <v>No</v>
      </c>
    </row>
    <row r="171" spans="2:56" ht="14">
      <c r="B171" s="305" t="str">
        <f>'C-1 On-Site WaterC'' Baseline'!AP169</f>
        <v/>
      </c>
      <c r="C171" s="295" t="str">
        <f>IF(B171="","",VLOOKUP($B171,'C-1 On-Site WaterC'' Baseline'!$C$9:$R$257,2,FALSE))</f>
        <v/>
      </c>
      <c r="D171" s="295" t="str">
        <f>IF(C171="","",VLOOKUP($B171,'C-1 On-Site WaterC'' Baseline'!$C$9:$R$257,3,FALSE))</f>
        <v/>
      </c>
      <c r="E171" s="295" t="str">
        <f>IF(D171="","",VLOOKUP($B171,'C-1 On-Site WaterC'' Baseline'!$C$9:$R$257,4,FALSE))</f>
        <v/>
      </c>
      <c r="F171" s="295" t="str">
        <f>IF(E171="","",VLOOKUP($B171,'C-1 On-Site WaterC'' Baseline'!$C$9:$R$257,5,FALSE))</f>
        <v/>
      </c>
      <c r="G171" s="295" t="str">
        <f>IF(F171="","",VLOOKUP($B171,'C-1 On-Site WaterC'' Baseline'!$C$9:$R$257,6,FALSE))</f>
        <v/>
      </c>
      <c r="H171" s="295" t="str">
        <f>IF(G171="","",VLOOKUP($B171,'C-1 On-Site WaterC'' Baseline'!$C$9:$R$257,7,FALSE))</f>
        <v/>
      </c>
      <c r="I171" s="295" t="str">
        <f>IF(H171="","",VLOOKUP($B171,'C-1 On-Site WaterC'' Baseline'!$C$9:$R$257,8,FALSE))</f>
        <v/>
      </c>
      <c r="J171" s="295" t="str">
        <f>IF(I171="","",VLOOKUP($B171,'C-1 On-Site WaterC'' Baseline'!$C$9:$R$257,9,FALSE))</f>
        <v/>
      </c>
      <c r="K171" s="295" t="str">
        <f>IF(J171="","",VLOOKUP($B171,'C-1 On-Site WaterC'' Baseline'!$C$9:$R$257,10,FALSE))</f>
        <v/>
      </c>
      <c r="L171" s="295" t="str">
        <f>IF(B171="","",VLOOKUP($B171,'C-1 On-Site WaterC'' Baseline'!$C$9:$R$257,15,FALSE))</f>
        <v/>
      </c>
      <c r="M171" s="299" t="str">
        <f>IF(L171="","",VLOOKUP($B171,'C-1 On-Site WaterC'' Baseline'!$C$9:$R$257,16,FALSE))</f>
        <v/>
      </c>
      <c r="N171" s="245"/>
      <c r="O171" s="275" t="str">
        <f t="shared" si="21"/>
        <v/>
      </c>
      <c r="P171" s="276" t="str">
        <f t="shared" si="22"/>
        <v/>
      </c>
      <c r="Q171" s="336" t="str">
        <f>IF(N171="","",VLOOKUP(B171,'C-1 On-Site WaterC'' Baseline'!$C$10:$AC$257,20,FALSE))</f>
        <v/>
      </c>
      <c r="R171" s="275" t="str">
        <f>IF(N171="","",VLOOKUP(N171,'G-7 WaterC'' Data'!$B$2:$G$8,2,FALSE))</f>
        <v/>
      </c>
      <c r="S171" s="276" t="str">
        <f>IFERROR(VLOOKUP(R171,'G-7 WaterC'' Data'!$C$4:$D$8,2,FALSE),"")</f>
        <v/>
      </c>
      <c r="T171" s="101"/>
      <c r="U171" s="276" t="str">
        <f>IFERROR(INDEX('G-7 WaterC'' Data'!$H$4:$L$8,MATCH(N171,'G-7 WaterC'' Data'!$B$4:$B$8,0),MATCH(T171,'G-7 WaterC'' Data'!$H$3:$L$3,0)),"")</f>
        <v/>
      </c>
      <c r="V171" s="101"/>
      <c r="W171" s="283" t="str">
        <f>IF(V171="","",IF(VLOOKUP(V171,'G-7 WaterC'' Data'!$AK$4:$AM$6,2,FALSE)=0,"Spatial Data Missing ⚠",VLOOKUP(V171,'G-7 WaterC'' Data'!$AK$4:$AM$6,2,FALSE)))</f>
        <v/>
      </c>
      <c r="X171" s="276" t="str">
        <f>IF(V171="","",IF(VLOOKUP(V171,'G-7 WaterC'' Data'!$AK$4:$AM$6,3,FALSE)=0,"Spatial Data Missing ⚠",VLOOKUP(V171,'G-7 WaterC'' Data'!$AK$4:$AM$6,3,FALSE)))</f>
        <v/>
      </c>
      <c r="Y171" s="275" t="str">
        <f>IFERROR(IF(OR(LEFT(P171,5)="Error",LEFT(O171,5)="Error"),"Check Data ⚠",IF(F171&lt;S171,'G-7 WaterC'' Data'!$R$3,INDEX('G-7 WaterC'' Data'!$U$5:$Y$9,MATCH(G171,'G-7 WaterC'' Data'!$T$5:$T$9,0),MATCH(T171,'G-7 WaterC'' Data'!$U$4:$Y$4,0)))),"")</f>
        <v/>
      </c>
      <c r="Z171" s="133"/>
      <c r="AA171" s="133"/>
      <c r="AB171" s="283" t="str">
        <f t="shared" si="23"/>
        <v/>
      </c>
      <c r="AC171" s="296" t="str">
        <f t="shared" si="24"/>
        <v/>
      </c>
      <c r="AD171" s="334" t="str">
        <f>IFERROR(IF(AC171="Check Data ⚠","Check Data ⚠",VLOOKUP(AC171,'G-4 Temporal multipliers'!$A$4:$C$37,3,FALSE)),"")</f>
        <v/>
      </c>
      <c r="AE171" s="275" t="str">
        <f>IF(N171="","",VLOOKUP(N171,'G-7 WaterC'' Data'!$B$4:$G$8,5,FALSE))</f>
        <v/>
      </c>
      <c r="AF171" s="283" t="str">
        <f t="shared" si="25"/>
        <v/>
      </c>
      <c r="AG171" s="314" t="str">
        <f t="shared" si="26"/>
        <v/>
      </c>
      <c r="AH171" s="276" t="str">
        <f t="shared" si="20"/>
        <v/>
      </c>
      <c r="AI171" s="105"/>
      <c r="AJ171" s="276" t="str">
        <f>IF(AI171="","",IF(AND(AI171="N/A - Culvert",N171&lt;&gt;"Culvert"),"Not possible ▲",IF(VLOOKUP(AI171,'G-7 WaterC'' Data'!$AA$4:$AB$7,2,FALSE)=0,"Spatial Data Missing ⚠",VLOOKUP(AI171,'G-7 WaterC'' Data'!$AA$4:$AB$7,2,FALSE))))</f>
        <v/>
      </c>
      <c r="AK171" s="106"/>
      <c r="AL171" s="276" t="str">
        <f>IF(AK171="","",IF(AND(AK171="N/A - Culvert",N171&lt;&gt;"Culvert"),"Not possible ▲",IF(VLOOKUP(AK171,'G-7 WaterC'' Data'!$AD$4:$AE$14,2,FALSE)=0,"Spatial Data Missing ⚠",VLOOKUP(AK171,'G-7 WaterC'' Data'!$AD$4:$AE$14,2,FALSE))))</f>
        <v/>
      </c>
      <c r="AM171" s="317" t="str">
        <f t="shared" si="27"/>
        <v/>
      </c>
      <c r="AN171" s="101"/>
      <c r="AO171" s="115"/>
      <c r="AP171" s="104"/>
      <c r="AS171" s="30" t="str">
        <f>IF(B171="","",IF(ISNA(VLOOKUP($B171,'C-1 On-Site WaterC'' Baseline'!$C$8:$AD$257,17,FALSE)),"",(VLOOKUP($B171,'C-1 On-Site WaterC'' Baseline'!$C$8:$AD$257,17,FALSE))))</f>
        <v/>
      </c>
      <c r="AT171" s="30" t="str">
        <f>IF(B171="","",VLOOKUP($B171,'C-1 On-Site WaterC'' Baseline'!$C$9:$Z$257,12,FALSE))</f>
        <v/>
      </c>
      <c r="AU171" s="30" t="str">
        <f>IF(B171="","",VLOOKUP($B171,'C-1 On-Site WaterC'' Baseline'!$C$9:$Z$257,14,FALSE))</f>
        <v/>
      </c>
      <c r="AV171" s="30" t="str">
        <f>IFERROR(INDEX('G-7 WaterC'' Data'!$AZ$3:$AZ$7,MATCH(N171,'G-7 WaterC'' Data'!$AY$3:$AY$7,0)),"")</f>
        <v/>
      </c>
      <c r="AX171" s="30" t="str">
        <f>IF(B171="","",VLOOKUP($B171,'C-1 On-Site WaterC'' Baseline'!$C$9:$Y$257,22,FALSE))</f>
        <v/>
      </c>
      <c r="AY171" s="30" t="str">
        <f t="shared" si="28"/>
        <v/>
      </c>
      <c r="AZ171" s="30" t="str">
        <f>IF(B171="","",VLOOKUP($B171,'C-1 On-Site WaterC'' Baseline'!$C$9:$Y$257,21,FALSE))</f>
        <v/>
      </c>
      <c r="BA171" s="30" t="str">
        <f>IF(B171="","",VLOOKUP($B171,'C-1 On-Site WaterC'' Baseline'!$C$9:$Y$257,19,FALSE))</f>
        <v/>
      </c>
      <c r="BD171" s="30" t="str">
        <f t="shared" si="29"/>
        <v>No</v>
      </c>
    </row>
    <row r="172" spans="2:56" ht="14">
      <c r="B172" s="305" t="str">
        <f>'C-1 On-Site WaterC'' Baseline'!AP170</f>
        <v/>
      </c>
      <c r="C172" s="295" t="str">
        <f>IF(B172="","",VLOOKUP($B172,'C-1 On-Site WaterC'' Baseline'!$C$9:$R$257,2,FALSE))</f>
        <v/>
      </c>
      <c r="D172" s="295" t="str">
        <f>IF(C172="","",VLOOKUP($B172,'C-1 On-Site WaterC'' Baseline'!$C$9:$R$257,3,FALSE))</f>
        <v/>
      </c>
      <c r="E172" s="295" t="str">
        <f>IF(D172="","",VLOOKUP($B172,'C-1 On-Site WaterC'' Baseline'!$C$9:$R$257,4,FALSE))</f>
        <v/>
      </c>
      <c r="F172" s="295" t="str">
        <f>IF(E172="","",VLOOKUP($B172,'C-1 On-Site WaterC'' Baseline'!$C$9:$R$257,5,FALSE))</f>
        <v/>
      </c>
      <c r="G172" s="295" t="str">
        <f>IF(F172="","",VLOOKUP($B172,'C-1 On-Site WaterC'' Baseline'!$C$9:$R$257,6,FALSE))</f>
        <v/>
      </c>
      <c r="H172" s="295" t="str">
        <f>IF(G172="","",VLOOKUP($B172,'C-1 On-Site WaterC'' Baseline'!$C$9:$R$257,7,FALSE))</f>
        <v/>
      </c>
      <c r="I172" s="295" t="str">
        <f>IF(H172="","",VLOOKUP($B172,'C-1 On-Site WaterC'' Baseline'!$C$9:$R$257,8,FALSE))</f>
        <v/>
      </c>
      <c r="J172" s="295" t="str">
        <f>IF(I172="","",VLOOKUP($B172,'C-1 On-Site WaterC'' Baseline'!$C$9:$R$257,9,FALSE))</f>
        <v/>
      </c>
      <c r="K172" s="295" t="str">
        <f>IF(J172="","",VLOOKUP($B172,'C-1 On-Site WaterC'' Baseline'!$C$9:$R$257,10,FALSE))</f>
        <v/>
      </c>
      <c r="L172" s="295" t="str">
        <f>IF(B172="","",VLOOKUP($B172,'C-1 On-Site WaterC'' Baseline'!$C$9:$R$257,15,FALSE))</f>
        <v/>
      </c>
      <c r="M172" s="299" t="str">
        <f>IF(L172="","",VLOOKUP($B172,'C-1 On-Site WaterC'' Baseline'!$C$9:$R$257,16,FALSE))</f>
        <v/>
      </c>
      <c r="N172" s="245"/>
      <c r="O172" s="275" t="str">
        <f t="shared" si="21"/>
        <v/>
      </c>
      <c r="P172" s="276" t="str">
        <f t="shared" si="22"/>
        <v/>
      </c>
      <c r="Q172" s="336" t="str">
        <f>IF(N172="","",VLOOKUP(B172,'C-1 On-Site WaterC'' Baseline'!$C$10:$AC$257,20,FALSE))</f>
        <v/>
      </c>
      <c r="R172" s="275" t="str">
        <f>IF(N172="","",VLOOKUP(N172,'G-7 WaterC'' Data'!$B$2:$G$8,2,FALSE))</f>
        <v/>
      </c>
      <c r="S172" s="276" t="str">
        <f>IFERROR(VLOOKUP(R172,'G-7 WaterC'' Data'!$C$4:$D$8,2,FALSE),"")</f>
        <v/>
      </c>
      <c r="T172" s="101"/>
      <c r="U172" s="276" t="str">
        <f>IFERROR(INDEX('G-7 WaterC'' Data'!$H$4:$L$8,MATCH(N172,'G-7 WaterC'' Data'!$B$4:$B$8,0),MATCH(T172,'G-7 WaterC'' Data'!$H$3:$L$3,0)),"")</f>
        <v/>
      </c>
      <c r="V172" s="101"/>
      <c r="W172" s="283" t="str">
        <f>IF(V172="","",IF(VLOOKUP(V172,'G-7 WaterC'' Data'!$AK$4:$AM$6,2,FALSE)=0,"Spatial Data Missing ⚠",VLOOKUP(V172,'G-7 WaterC'' Data'!$AK$4:$AM$6,2,FALSE)))</f>
        <v/>
      </c>
      <c r="X172" s="276" t="str">
        <f>IF(V172="","",IF(VLOOKUP(V172,'G-7 WaterC'' Data'!$AK$4:$AM$6,3,FALSE)=0,"Spatial Data Missing ⚠",VLOOKUP(V172,'G-7 WaterC'' Data'!$AK$4:$AM$6,3,FALSE)))</f>
        <v/>
      </c>
      <c r="Y172" s="275" t="str">
        <f>IFERROR(IF(OR(LEFT(P172,5)="Error",LEFT(O172,5)="Error"),"Check Data ⚠",IF(F172&lt;S172,'G-7 WaterC'' Data'!$R$3,INDEX('G-7 WaterC'' Data'!$U$5:$Y$9,MATCH(G172,'G-7 WaterC'' Data'!$T$5:$T$9,0),MATCH(T172,'G-7 WaterC'' Data'!$U$4:$Y$4,0)))),"")</f>
        <v/>
      </c>
      <c r="Z172" s="133"/>
      <c r="AA172" s="133"/>
      <c r="AB172" s="283" t="str">
        <f t="shared" si="23"/>
        <v/>
      </c>
      <c r="AC172" s="296" t="str">
        <f t="shared" si="24"/>
        <v/>
      </c>
      <c r="AD172" s="334" t="str">
        <f>IFERROR(IF(AC172="Check Data ⚠","Check Data ⚠",VLOOKUP(AC172,'G-4 Temporal multipliers'!$A$4:$C$37,3,FALSE)),"")</f>
        <v/>
      </c>
      <c r="AE172" s="275" t="str">
        <f>IF(N172="","",VLOOKUP(N172,'G-7 WaterC'' Data'!$B$4:$G$8,5,FALSE))</f>
        <v/>
      </c>
      <c r="AF172" s="283" t="str">
        <f t="shared" si="25"/>
        <v/>
      </c>
      <c r="AG172" s="314" t="str">
        <f t="shared" si="26"/>
        <v/>
      </c>
      <c r="AH172" s="276" t="str">
        <f t="shared" si="20"/>
        <v/>
      </c>
      <c r="AI172" s="105"/>
      <c r="AJ172" s="276" t="str">
        <f>IF(AI172="","",IF(AND(AI172="N/A - Culvert",N172&lt;&gt;"Culvert"),"Not possible ▲",IF(VLOOKUP(AI172,'G-7 WaterC'' Data'!$AA$4:$AB$7,2,FALSE)=0,"Spatial Data Missing ⚠",VLOOKUP(AI172,'G-7 WaterC'' Data'!$AA$4:$AB$7,2,FALSE))))</f>
        <v/>
      </c>
      <c r="AK172" s="106"/>
      <c r="AL172" s="276" t="str">
        <f>IF(AK172="","",IF(AND(AK172="N/A - Culvert",N172&lt;&gt;"Culvert"),"Not possible ▲",IF(VLOOKUP(AK172,'G-7 WaterC'' Data'!$AD$4:$AE$14,2,FALSE)=0,"Spatial Data Missing ⚠",VLOOKUP(AK172,'G-7 WaterC'' Data'!$AD$4:$AE$14,2,FALSE))))</f>
        <v/>
      </c>
      <c r="AM172" s="317" t="str">
        <f t="shared" si="27"/>
        <v/>
      </c>
      <c r="AN172" s="101"/>
      <c r="AO172" s="115"/>
      <c r="AP172" s="104"/>
      <c r="AS172" s="30" t="str">
        <f>IF(B172="","",IF(ISNA(VLOOKUP($B172,'C-1 On-Site WaterC'' Baseline'!$C$8:$AD$257,17,FALSE)),"",(VLOOKUP($B172,'C-1 On-Site WaterC'' Baseline'!$C$8:$AD$257,17,FALSE))))</f>
        <v/>
      </c>
      <c r="AT172" s="30" t="str">
        <f>IF(B172="","",VLOOKUP($B172,'C-1 On-Site WaterC'' Baseline'!$C$9:$Z$257,12,FALSE))</f>
        <v/>
      </c>
      <c r="AU172" s="30" t="str">
        <f>IF(B172="","",VLOOKUP($B172,'C-1 On-Site WaterC'' Baseline'!$C$9:$Z$257,14,FALSE))</f>
        <v/>
      </c>
      <c r="AV172" s="30" t="str">
        <f>IFERROR(INDEX('G-7 WaterC'' Data'!$AZ$3:$AZ$7,MATCH(N172,'G-7 WaterC'' Data'!$AY$3:$AY$7,0)),"")</f>
        <v/>
      </c>
      <c r="AX172" s="30" t="str">
        <f>IF(B172="","",VLOOKUP($B172,'C-1 On-Site WaterC'' Baseline'!$C$9:$Y$257,22,FALSE))</f>
        <v/>
      </c>
      <c r="AY172" s="30" t="str">
        <f t="shared" si="28"/>
        <v/>
      </c>
      <c r="AZ172" s="30" t="str">
        <f>IF(B172="","",VLOOKUP($B172,'C-1 On-Site WaterC'' Baseline'!$C$9:$Y$257,21,FALSE))</f>
        <v/>
      </c>
      <c r="BA172" s="30" t="str">
        <f>IF(B172="","",VLOOKUP($B172,'C-1 On-Site WaterC'' Baseline'!$C$9:$Y$257,19,FALSE))</f>
        <v/>
      </c>
      <c r="BD172" s="30" t="str">
        <f t="shared" si="29"/>
        <v>No</v>
      </c>
    </row>
    <row r="173" spans="2:56" ht="14">
      <c r="B173" s="305" t="str">
        <f>'C-1 On-Site WaterC'' Baseline'!AP171</f>
        <v/>
      </c>
      <c r="C173" s="295" t="str">
        <f>IF(B173="","",VLOOKUP($B173,'C-1 On-Site WaterC'' Baseline'!$C$9:$R$257,2,FALSE))</f>
        <v/>
      </c>
      <c r="D173" s="295" t="str">
        <f>IF(C173="","",VLOOKUP($B173,'C-1 On-Site WaterC'' Baseline'!$C$9:$R$257,3,FALSE))</f>
        <v/>
      </c>
      <c r="E173" s="295" t="str">
        <f>IF(D173="","",VLOOKUP($B173,'C-1 On-Site WaterC'' Baseline'!$C$9:$R$257,4,FALSE))</f>
        <v/>
      </c>
      <c r="F173" s="295" t="str">
        <f>IF(E173="","",VLOOKUP($B173,'C-1 On-Site WaterC'' Baseline'!$C$9:$R$257,5,FALSE))</f>
        <v/>
      </c>
      <c r="G173" s="295" t="str">
        <f>IF(F173="","",VLOOKUP($B173,'C-1 On-Site WaterC'' Baseline'!$C$9:$R$257,6,FALSE))</f>
        <v/>
      </c>
      <c r="H173" s="295" t="str">
        <f>IF(G173="","",VLOOKUP($B173,'C-1 On-Site WaterC'' Baseline'!$C$9:$R$257,7,FALSE))</f>
        <v/>
      </c>
      <c r="I173" s="295" t="str">
        <f>IF(H173="","",VLOOKUP($B173,'C-1 On-Site WaterC'' Baseline'!$C$9:$R$257,8,FALSE))</f>
        <v/>
      </c>
      <c r="J173" s="295" t="str">
        <f>IF(I173="","",VLOOKUP($B173,'C-1 On-Site WaterC'' Baseline'!$C$9:$R$257,9,FALSE))</f>
        <v/>
      </c>
      <c r="K173" s="295" t="str">
        <f>IF(J173="","",VLOOKUP($B173,'C-1 On-Site WaterC'' Baseline'!$C$9:$R$257,10,FALSE))</f>
        <v/>
      </c>
      <c r="L173" s="295" t="str">
        <f>IF(B173="","",VLOOKUP($B173,'C-1 On-Site WaterC'' Baseline'!$C$9:$R$257,15,FALSE))</f>
        <v/>
      </c>
      <c r="M173" s="299" t="str">
        <f>IF(L173="","",VLOOKUP($B173,'C-1 On-Site WaterC'' Baseline'!$C$9:$R$257,16,FALSE))</f>
        <v/>
      </c>
      <c r="N173" s="245"/>
      <c r="O173" s="275" t="str">
        <f t="shared" si="21"/>
        <v/>
      </c>
      <c r="P173" s="276" t="str">
        <f t="shared" si="22"/>
        <v/>
      </c>
      <c r="Q173" s="336" t="str">
        <f>IF(N173="","",VLOOKUP(B173,'C-1 On-Site WaterC'' Baseline'!$C$10:$AC$257,20,FALSE))</f>
        <v/>
      </c>
      <c r="R173" s="275" t="str">
        <f>IF(N173="","",VLOOKUP(N173,'G-7 WaterC'' Data'!$B$2:$G$8,2,FALSE))</f>
        <v/>
      </c>
      <c r="S173" s="276" t="str">
        <f>IFERROR(VLOOKUP(R173,'G-7 WaterC'' Data'!$C$4:$D$8,2,FALSE),"")</f>
        <v/>
      </c>
      <c r="T173" s="101"/>
      <c r="U173" s="276" t="str">
        <f>IFERROR(INDEX('G-7 WaterC'' Data'!$H$4:$L$8,MATCH(N173,'G-7 WaterC'' Data'!$B$4:$B$8,0),MATCH(T173,'G-7 WaterC'' Data'!$H$3:$L$3,0)),"")</f>
        <v/>
      </c>
      <c r="V173" s="101"/>
      <c r="W173" s="283" t="str">
        <f>IF(V173="","",IF(VLOOKUP(V173,'G-7 WaterC'' Data'!$AK$4:$AM$6,2,FALSE)=0,"Spatial Data Missing ⚠",VLOOKUP(V173,'G-7 WaterC'' Data'!$AK$4:$AM$6,2,FALSE)))</f>
        <v/>
      </c>
      <c r="X173" s="276" t="str">
        <f>IF(V173="","",IF(VLOOKUP(V173,'G-7 WaterC'' Data'!$AK$4:$AM$6,3,FALSE)=0,"Spatial Data Missing ⚠",VLOOKUP(V173,'G-7 WaterC'' Data'!$AK$4:$AM$6,3,FALSE)))</f>
        <v/>
      </c>
      <c r="Y173" s="275" t="str">
        <f>IFERROR(IF(OR(LEFT(P173,5)="Error",LEFT(O173,5)="Error"),"Check Data ⚠",IF(F173&lt;S173,'G-7 WaterC'' Data'!$R$3,INDEX('G-7 WaterC'' Data'!$U$5:$Y$9,MATCH(G173,'G-7 WaterC'' Data'!$T$5:$T$9,0),MATCH(T173,'G-7 WaterC'' Data'!$U$4:$Y$4,0)))),"")</f>
        <v/>
      </c>
      <c r="Z173" s="133"/>
      <c r="AA173" s="133"/>
      <c r="AB173" s="283" t="str">
        <f t="shared" si="23"/>
        <v/>
      </c>
      <c r="AC173" s="296" t="str">
        <f t="shared" si="24"/>
        <v/>
      </c>
      <c r="AD173" s="334" t="str">
        <f>IFERROR(IF(AC173="Check Data ⚠","Check Data ⚠",VLOOKUP(AC173,'G-4 Temporal multipliers'!$A$4:$C$37,3,FALSE)),"")</f>
        <v/>
      </c>
      <c r="AE173" s="275" t="str">
        <f>IF(N173="","",VLOOKUP(N173,'G-7 WaterC'' Data'!$B$4:$G$8,5,FALSE))</f>
        <v/>
      </c>
      <c r="AF173" s="283" t="str">
        <f t="shared" si="25"/>
        <v/>
      </c>
      <c r="AG173" s="314" t="str">
        <f t="shared" si="26"/>
        <v/>
      </c>
      <c r="AH173" s="276" t="str">
        <f t="shared" si="20"/>
        <v/>
      </c>
      <c r="AI173" s="105"/>
      <c r="AJ173" s="276" t="str">
        <f>IF(AI173="","",IF(AND(AI173="N/A - Culvert",N173&lt;&gt;"Culvert"),"Not possible ▲",IF(VLOOKUP(AI173,'G-7 WaterC'' Data'!$AA$4:$AB$7,2,FALSE)=0,"Spatial Data Missing ⚠",VLOOKUP(AI173,'G-7 WaterC'' Data'!$AA$4:$AB$7,2,FALSE))))</f>
        <v/>
      </c>
      <c r="AK173" s="106"/>
      <c r="AL173" s="276" t="str">
        <f>IF(AK173="","",IF(AND(AK173="N/A - Culvert",N173&lt;&gt;"Culvert"),"Not possible ▲",IF(VLOOKUP(AK173,'G-7 WaterC'' Data'!$AD$4:$AE$14,2,FALSE)=0,"Spatial Data Missing ⚠",VLOOKUP(AK173,'G-7 WaterC'' Data'!$AD$4:$AE$14,2,FALSE))))</f>
        <v/>
      </c>
      <c r="AM173" s="317" t="str">
        <f t="shared" si="27"/>
        <v/>
      </c>
      <c r="AN173" s="101"/>
      <c r="AO173" s="115"/>
      <c r="AP173" s="104"/>
      <c r="AS173" s="30" t="str">
        <f>IF(B173="","",IF(ISNA(VLOOKUP($B173,'C-1 On-Site WaterC'' Baseline'!$C$8:$AD$257,17,FALSE)),"",(VLOOKUP($B173,'C-1 On-Site WaterC'' Baseline'!$C$8:$AD$257,17,FALSE))))</f>
        <v/>
      </c>
      <c r="AT173" s="30" t="str">
        <f>IF(B173="","",VLOOKUP($B173,'C-1 On-Site WaterC'' Baseline'!$C$9:$Z$257,12,FALSE))</f>
        <v/>
      </c>
      <c r="AU173" s="30" t="str">
        <f>IF(B173="","",VLOOKUP($B173,'C-1 On-Site WaterC'' Baseline'!$C$9:$Z$257,14,FALSE))</f>
        <v/>
      </c>
      <c r="AV173" s="30" t="str">
        <f>IFERROR(INDEX('G-7 WaterC'' Data'!$AZ$3:$AZ$7,MATCH(N173,'G-7 WaterC'' Data'!$AY$3:$AY$7,0)),"")</f>
        <v/>
      </c>
      <c r="AX173" s="30" t="str">
        <f>IF(B173="","",VLOOKUP($B173,'C-1 On-Site WaterC'' Baseline'!$C$9:$Y$257,22,FALSE))</f>
        <v/>
      </c>
      <c r="AY173" s="30" t="str">
        <f t="shared" si="28"/>
        <v/>
      </c>
      <c r="AZ173" s="30" t="str">
        <f>IF(B173="","",VLOOKUP($B173,'C-1 On-Site WaterC'' Baseline'!$C$9:$Y$257,21,FALSE))</f>
        <v/>
      </c>
      <c r="BA173" s="30" t="str">
        <f>IF(B173="","",VLOOKUP($B173,'C-1 On-Site WaterC'' Baseline'!$C$9:$Y$257,19,FALSE))</f>
        <v/>
      </c>
      <c r="BD173" s="30" t="str">
        <f t="shared" si="29"/>
        <v>No</v>
      </c>
    </row>
    <row r="174" spans="2:56" ht="14">
      <c r="B174" s="305" t="str">
        <f>'C-1 On-Site WaterC'' Baseline'!AP172</f>
        <v/>
      </c>
      <c r="C174" s="295" t="str">
        <f>IF(B174="","",VLOOKUP($B174,'C-1 On-Site WaterC'' Baseline'!$C$9:$R$257,2,FALSE))</f>
        <v/>
      </c>
      <c r="D174" s="295" t="str">
        <f>IF(C174="","",VLOOKUP($B174,'C-1 On-Site WaterC'' Baseline'!$C$9:$R$257,3,FALSE))</f>
        <v/>
      </c>
      <c r="E174" s="295" t="str">
        <f>IF(D174="","",VLOOKUP($B174,'C-1 On-Site WaterC'' Baseline'!$C$9:$R$257,4,FALSE))</f>
        <v/>
      </c>
      <c r="F174" s="295" t="str">
        <f>IF(E174="","",VLOOKUP($B174,'C-1 On-Site WaterC'' Baseline'!$C$9:$R$257,5,FALSE))</f>
        <v/>
      </c>
      <c r="G174" s="295" t="str">
        <f>IF(F174="","",VLOOKUP($B174,'C-1 On-Site WaterC'' Baseline'!$C$9:$R$257,6,FALSE))</f>
        <v/>
      </c>
      <c r="H174" s="295" t="str">
        <f>IF(G174="","",VLOOKUP($B174,'C-1 On-Site WaterC'' Baseline'!$C$9:$R$257,7,FALSE))</f>
        <v/>
      </c>
      <c r="I174" s="295" t="str">
        <f>IF(H174="","",VLOOKUP($B174,'C-1 On-Site WaterC'' Baseline'!$C$9:$R$257,8,FALSE))</f>
        <v/>
      </c>
      <c r="J174" s="295" t="str">
        <f>IF(I174="","",VLOOKUP($B174,'C-1 On-Site WaterC'' Baseline'!$C$9:$R$257,9,FALSE))</f>
        <v/>
      </c>
      <c r="K174" s="295" t="str">
        <f>IF(J174="","",VLOOKUP($B174,'C-1 On-Site WaterC'' Baseline'!$C$9:$R$257,10,FALSE))</f>
        <v/>
      </c>
      <c r="L174" s="295" t="str">
        <f>IF(B174="","",VLOOKUP($B174,'C-1 On-Site WaterC'' Baseline'!$C$9:$R$257,15,FALSE))</f>
        <v/>
      </c>
      <c r="M174" s="299" t="str">
        <f>IF(L174="","",VLOOKUP($B174,'C-1 On-Site WaterC'' Baseline'!$C$9:$R$257,16,FALSE))</f>
        <v/>
      </c>
      <c r="N174" s="245"/>
      <c r="O174" s="275" t="str">
        <f t="shared" si="21"/>
        <v/>
      </c>
      <c r="P174" s="276" t="str">
        <f t="shared" si="22"/>
        <v/>
      </c>
      <c r="Q174" s="336" t="str">
        <f>IF(N174="","",VLOOKUP(B174,'C-1 On-Site WaterC'' Baseline'!$C$10:$AC$257,20,FALSE))</f>
        <v/>
      </c>
      <c r="R174" s="275" t="str">
        <f>IF(N174="","",VLOOKUP(N174,'G-7 WaterC'' Data'!$B$2:$G$8,2,FALSE))</f>
        <v/>
      </c>
      <c r="S174" s="276" t="str">
        <f>IFERROR(VLOOKUP(R174,'G-7 WaterC'' Data'!$C$4:$D$8,2,FALSE),"")</f>
        <v/>
      </c>
      <c r="T174" s="101"/>
      <c r="U174" s="276" t="str">
        <f>IFERROR(INDEX('G-7 WaterC'' Data'!$H$4:$L$8,MATCH(N174,'G-7 WaterC'' Data'!$B$4:$B$8,0),MATCH(T174,'G-7 WaterC'' Data'!$H$3:$L$3,0)),"")</f>
        <v/>
      </c>
      <c r="V174" s="101"/>
      <c r="W174" s="283" t="str">
        <f>IF(V174="","",IF(VLOOKUP(V174,'G-7 WaterC'' Data'!$AK$4:$AM$6,2,FALSE)=0,"Spatial Data Missing ⚠",VLOOKUP(V174,'G-7 WaterC'' Data'!$AK$4:$AM$6,2,FALSE)))</f>
        <v/>
      </c>
      <c r="X174" s="276" t="str">
        <f>IF(V174="","",IF(VLOOKUP(V174,'G-7 WaterC'' Data'!$AK$4:$AM$6,3,FALSE)=0,"Spatial Data Missing ⚠",VLOOKUP(V174,'G-7 WaterC'' Data'!$AK$4:$AM$6,3,FALSE)))</f>
        <v/>
      </c>
      <c r="Y174" s="275" t="str">
        <f>IFERROR(IF(OR(LEFT(P174,5)="Error",LEFT(O174,5)="Error"),"Check Data ⚠",IF(F174&lt;S174,'G-7 WaterC'' Data'!$R$3,INDEX('G-7 WaterC'' Data'!$U$5:$Y$9,MATCH(G174,'G-7 WaterC'' Data'!$T$5:$T$9,0),MATCH(T174,'G-7 WaterC'' Data'!$U$4:$Y$4,0)))),"")</f>
        <v/>
      </c>
      <c r="Z174" s="133"/>
      <c r="AA174" s="133"/>
      <c r="AB174" s="283" t="str">
        <f t="shared" si="23"/>
        <v/>
      </c>
      <c r="AC174" s="296" t="str">
        <f t="shared" si="24"/>
        <v/>
      </c>
      <c r="AD174" s="334" t="str">
        <f>IFERROR(IF(AC174="Check Data ⚠","Check Data ⚠",VLOOKUP(AC174,'G-4 Temporal multipliers'!$A$4:$C$37,3,FALSE)),"")</f>
        <v/>
      </c>
      <c r="AE174" s="275" t="str">
        <f>IF(N174="","",VLOOKUP(N174,'G-7 WaterC'' Data'!$B$4:$G$8,5,FALSE))</f>
        <v/>
      </c>
      <c r="AF174" s="283" t="str">
        <f t="shared" si="25"/>
        <v/>
      </c>
      <c r="AG174" s="314" t="str">
        <f t="shared" si="26"/>
        <v/>
      </c>
      <c r="AH174" s="276" t="str">
        <f t="shared" si="20"/>
        <v/>
      </c>
      <c r="AI174" s="105"/>
      <c r="AJ174" s="276" t="str">
        <f>IF(AI174="","",IF(AND(AI174="N/A - Culvert",N174&lt;&gt;"Culvert"),"Not possible ▲",IF(VLOOKUP(AI174,'G-7 WaterC'' Data'!$AA$4:$AB$7,2,FALSE)=0,"Spatial Data Missing ⚠",VLOOKUP(AI174,'G-7 WaterC'' Data'!$AA$4:$AB$7,2,FALSE))))</f>
        <v/>
      </c>
      <c r="AK174" s="106"/>
      <c r="AL174" s="276" t="str">
        <f>IF(AK174="","",IF(AND(AK174="N/A - Culvert",N174&lt;&gt;"Culvert"),"Not possible ▲",IF(VLOOKUP(AK174,'G-7 WaterC'' Data'!$AD$4:$AE$14,2,FALSE)=0,"Spatial Data Missing ⚠",VLOOKUP(AK174,'G-7 WaterC'' Data'!$AD$4:$AE$14,2,FALSE))))</f>
        <v/>
      </c>
      <c r="AM174" s="317" t="str">
        <f t="shared" si="27"/>
        <v/>
      </c>
      <c r="AN174" s="101"/>
      <c r="AO174" s="115"/>
      <c r="AP174" s="104"/>
      <c r="AS174" s="30" t="str">
        <f>IF(B174="","",IF(ISNA(VLOOKUP($B174,'C-1 On-Site WaterC'' Baseline'!$C$8:$AD$257,17,FALSE)),"",(VLOOKUP($B174,'C-1 On-Site WaterC'' Baseline'!$C$8:$AD$257,17,FALSE))))</f>
        <v/>
      </c>
      <c r="AT174" s="30" t="str">
        <f>IF(B174="","",VLOOKUP($B174,'C-1 On-Site WaterC'' Baseline'!$C$9:$Z$257,12,FALSE))</f>
        <v/>
      </c>
      <c r="AU174" s="30" t="str">
        <f>IF(B174="","",VLOOKUP($B174,'C-1 On-Site WaterC'' Baseline'!$C$9:$Z$257,14,FALSE))</f>
        <v/>
      </c>
      <c r="AV174" s="30" t="str">
        <f>IFERROR(INDEX('G-7 WaterC'' Data'!$AZ$3:$AZ$7,MATCH(N174,'G-7 WaterC'' Data'!$AY$3:$AY$7,0)),"")</f>
        <v/>
      </c>
      <c r="AX174" s="30" t="str">
        <f>IF(B174="","",VLOOKUP($B174,'C-1 On-Site WaterC'' Baseline'!$C$9:$Y$257,22,FALSE))</f>
        <v/>
      </c>
      <c r="AY174" s="30" t="str">
        <f t="shared" si="28"/>
        <v/>
      </c>
      <c r="AZ174" s="30" t="str">
        <f>IF(B174="","",VLOOKUP($B174,'C-1 On-Site WaterC'' Baseline'!$C$9:$Y$257,21,FALSE))</f>
        <v/>
      </c>
      <c r="BA174" s="30" t="str">
        <f>IF(B174="","",VLOOKUP($B174,'C-1 On-Site WaterC'' Baseline'!$C$9:$Y$257,19,FALSE))</f>
        <v/>
      </c>
      <c r="BD174" s="30" t="str">
        <f t="shared" si="29"/>
        <v>No</v>
      </c>
    </row>
    <row r="175" spans="2:56" ht="14">
      <c r="B175" s="305" t="str">
        <f>'C-1 On-Site WaterC'' Baseline'!AP173</f>
        <v/>
      </c>
      <c r="C175" s="295" t="str">
        <f>IF(B175="","",VLOOKUP($B175,'C-1 On-Site WaterC'' Baseline'!$C$9:$R$257,2,FALSE))</f>
        <v/>
      </c>
      <c r="D175" s="295" t="str">
        <f>IF(C175="","",VLOOKUP($B175,'C-1 On-Site WaterC'' Baseline'!$C$9:$R$257,3,FALSE))</f>
        <v/>
      </c>
      <c r="E175" s="295" t="str">
        <f>IF(D175="","",VLOOKUP($B175,'C-1 On-Site WaterC'' Baseline'!$C$9:$R$257,4,FALSE))</f>
        <v/>
      </c>
      <c r="F175" s="295" t="str">
        <f>IF(E175="","",VLOOKUP($B175,'C-1 On-Site WaterC'' Baseline'!$C$9:$R$257,5,FALSE))</f>
        <v/>
      </c>
      <c r="G175" s="295" t="str">
        <f>IF(F175="","",VLOOKUP($B175,'C-1 On-Site WaterC'' Baseline'!$C$9:$R$257,6,FALSE))</f>
        <v/>
      </c>
      <c r="H175" s="295" t="str">
        <f>IF(G175="","",VLOOKUP($B175,'C-1 On-Site WaterC'' Baseline'!$C$9:$R$257,7,FALSE))</f>
        <v/>
      </c>
      <c r="I175" s="295" t="str">
        <f>IF(H175="","",VLOOKUP($B175,'C-1 On-Site WaterC'' Baseline'!$C$9:$R$257,8,FALSE))</f>
        <v/>
      </c>
      <c r="J175" s="295" t="str">
        <f>IF(I175="","",VLOOKUP($B175,'C-1 On-Site WaterC'' Baseline'!$C$9:$R$257,9,FALSE))</f>
        <v/>
      </c>
      <c r="K175" s="295" t="str">
        <f>IF(J175="","",VLOOKUP($B175,'C-1 On-Site WaterC'' Baseline'!$C$9:$R$257,10,FALSE))</f>
        <v/>
      </c>
      <c r="L175" s="295" t="str">
        <f>IF(B175="","",VLOOKUP($B175,'C-1 On-Site WaterC'' Baseline'!$C$9:$R$257,15,FALSE))</f>
        <v/>
      </c>
      <c r="M175" s="299" t="str">
        <f>IF(L175="","",VLOOKUP($B175,'C-1 On-Site WaterC'' Baseline'!$C$9:$R$257,16,FALSE))</f>
        <v/>
      </c>
      <c r="N175" s="245"/>
      <c r="O175" s="275" t="str">
        <f t="shared" si="21"/>
        <v/>
      </c>
      <c r="P175" s="276" t="str">
        <f t="shared" si="22"/>
        <v/>
      </c>
      <c r="Q175" s="336" t="str">
        <f>IF(N175="","",VLOOKUP(B175,'C-1 On-Site WaterC'' Baseline'!$C$10:$AC$257,20,FALSE))</f>
        <v/>
      </c>
      <c r="R175" s="275" t="str">
        <f>IF(N175="","",VLOOKUP(N175,'G-7 WaterC'' Data'!$B$2:$G$8,2,FALSE))</f>
        <v/>
      </c>
      <c r="S175" s="276" t="str">
        <f>IFERROR(VLOOKUP(R175,'G-7 WaterC'' Data'!$C$4:$D$8,2,FALSE),"")</f>
        <v/>
      </c>
      <c r="T175" s="101"/>
      <c r="U175" s="276" t="str">
        <f>IFERROR(INDEX('G-7 WaterC'' Data'!$H$4:$L$8,MATCH(N175,'G-7 WaterC'' Data'!$B$4:$B$8,0),MATCH(T175,'G-7 WaterC'' Data'!$H$3:$L$3,0)),"")</f>
        <v/>
      </c>
      <c r="V175" s="101"/>
      <c r="W175" s="283" t="str">
        <f>IF(V175="","",IF(VLOOKUP(V175,'G-7 WaterC'' Data'!$AK$4:$AM$6,2,FALSE)=0,"Spatial Data Missing ⚠",VLOOKUP(V175,'G-7 WaterC'' Data'!$AK$4:$AM$6,2,FALSE)))</f>
        <v/>
      </c>
      <c r="X175" s="276" t="str">
        <f>IF(V175="","",IF(VLOOKUP(V175,'G-7 WaterC'' Data'!$AK$4:$AM$6,3,FALSE)=0,"Spatial Data Missing ⚠",VLOOKUP(V175,'G-7 WaterC'' Data'!$AK$4:$AM$6,3,FALSE)))</f>
        <v/>
      </c>
      <c r="Y175" s="275" t="str">
        <f>IFERROR(IF(OR(LEFT(P175,5)="Error",LEFT(O175,5)="Error"),"Check Data ⚠",IF(F175&lt;S175,'G-7 WaterC'' Data'!$R$3,INDEX('G-7 WaterC'' Data'!$U$5:$Y$9,MATCH(G175,'G-7 WaterC'' Data'!$T$5:$T$9,0),MATCH(T175,'G-7 WaterC'' Data'!$U$4:$Y$4,0)))),"")</f>
        <v/>
      </c>
      <c r="Z175" s="133"/>
      <c r="AA175" s="133"/>
      <c r="AB175" s="283" t="str">
        <f t="shared" si="23"/>
        <v/>
      </c>
      <c r="AC175" s="296" t="str">
        <f t="shared" si="24"/>
        <v/>
      </c>
      <c r="AD175" s="334" t="str">
        <f>IFERROR(IF(AC175="Check Data ⚠","Check Data ⚠",VLOOKUP(AC175,'G-4 Temporal multipliers'!$A$4:$C$37,3,FALSE)),"")</f>
        <v/>
      </c>
      <c r="AE175" s="275" t="str">
        <f>IF(N175="","",VLOOKUP(N175,'G-7 WaterC'' Data'!$B$4:$G$8,5,FALSE))</f>
        <v/>
      </c>
      <c r="AF175" s="283" t="str">
        <f t="shared" si="25"/>
        <v/>
      </c>
      <c r="AG175" s="314" t="str">
        <f t="shared" si="26"/>
        <v/>
      </c>
      <c r="AH175" s="276" t="str">
        <f t="shared" si="20"/>
        <v/>
      </c>
      <c r="AI175" s="105"/>
      <c r="AJ175" s="276" t="str">
        <f>IF(AI175="","",IF(AND(AI175="N/A - Culvert",N175&lt;&gt;"Culvert"),"Not possible ▲",IF(VLOOKUP(AI175,'G-7 WaterC'' Data'!$AA$4:$AB$7,2,FALSE)=0,"Spatial Data Missing ⚠",VLOOKUP(AI175,'G-7 WaterC'' Data'!$AA$4:$AB$7,2,FALSE))))</f>
        <v/>
      </c>
      <c r="AK175" s="106"/>
      <c r="AL175" s="276" t="str">
        <f>IF(AK175="","",IF(AND(AK175="N/A - Culvert",N175&lt;&gt;"Culvert"),"Not possible ▲",IF(VLOOKUP(AK175,'G-7 WaterC'' Data'!$AD$4:$AE$14,2,FALSE)=0,"Spatial Data Missing ⚠",VLOOKUP(AK175,'G-7 WaterC'' Data'!$AD$4:$AE$14,2,FALSE))))</f>
        <v/>
      </c>
      <c r="AM175" s="317" t="str">
        <f t="shared" si="27"/>
        <v/>
      </c>
      <c r="AN175" s="101"/>
      <c r="AO175" s="115"/>
      <c r="AP175" s="104"/>
      <c r="AS175" s="30" t="str">
        <f>IF(B175="","",IF(ISNA(VLOOKUP($B175,'C-1 On-Site WaterC'' Baseline'!$C$8:$AD$257,17,FALSE)),"",(VLOOKUP($B175,'C-1 On-Site WaterC'' Baseline'!$C$8:$AD$257,17,FALSE))))</f>
        <v/>
      </c>
      <c r="AT175" s="30" t="str">
        <f>IF(B175="","",VLOOKUP($B175,'C-1 On-Site WaterC'' Baseline'!$C$9:$Z$257,12,FALSE))</f>
        <v/>
      </c>
      <c r="AU175" s="30" t="str">
        <f>IF(B175="","",VLOOKUP($B175,'C-1 On-Site WaterC'' Baseline'!$C$9:$Z$257,14,FALSE))</f>
        <v/>
      </c>
      <c r="AV175" s="30" t="str">
        <f>IFERROR(INDEX('G-7 WaterC'' Data'!$AZ$3:$AZ$7,MATCH(N175,'G-7 WaterC'' Data'!$AY$3:$AY$7,0)),"")</f>
        <v/>
      </c>
      <c r="AX175" s="30" t="str">
        <f>IF(B175="","",VLOOKUP($B175,'C-1 On-Site WaterC'' Baseline'!$C$9:$Y$257,22,FALSE))</f>
        <v/>
      </c>
      <c r="AY175" s="30" t="str">
        <f t="shared" si="28"/>
        <v/>
      </c>
      <c r="AZ175" s="30" t="str">
        <f>IF(B175="","",VLOOKUP($B175,'C-1 On-Site WaterC'' Baseline'!$C$9:$Y$257,21,FALSE))</f>
        <v/>
      </c>
      <c r="BA175" s="30" t="str">
        <f>IF(B175="","",VLOOKUP($B175,'C-1 On-Site WaterC'' Baseline'!$C$9:$Y$257,19,FALSE))</f>
        <v/>
      </c>
      <c r="BD175" s="30" t="str">
        <f t="shared" si="29"/>
        <v>No</v>
      </c>
    </row>
    <row r="176" spans="2:56" ht="14">
      <c r="B176" s="305" t="str">
        <f>'C-1 On-Site WaterC'' Baseline'!AP174</f>
        <v/>
      </c>
      <c r="C176" s="295" t="str">
        <f>IF(B176="","",VLOOKUP($B176,'C-1 On-Site WaterC'' Baseline'!$C$9:$R$257,2,FALSE))</f>
        <v/>
      </c>
      <c r="D176" s="295" t="str">
        <f>IF(C176="","",VLOOKUP($B176,'C-1 On-Site WaterC'' Baseline'!$C$9:$R$257,3,FALSE))</f>
        <v/>
      </c>
      <c r="E176" s="295" t="str">
        <f>IF(D176="","",VLOOKUP($B176,'C-1 On-Site WaterC'' Baseline'!$C$9:$R$257,4,FALSE))</f>
        <v/>
      </c>
      <c r="F176" s="295" t="str">
        <f>IF(E176="","",VLOOKUP($B176,'C-1 On-Site WaterC'' Baseline'!$C$9:$R$257,5,FALSE))</f>
        <v/>
      </c>
      <c r="G176" s="295" t="str">
        <f>IF(F176="","",VLOOKUP($B176,'C-1 On-Site WaterC'' Baseline'!$C$9:$R$257,6,FALSE))</f>
        <v/>
      </c>
      <c r="H176" s="295" t="str">
        <f>IF(G176="","",VLOOKUP($B176,'C-1 On-Site WaterC'' Baseline'!$C$9:$R$257,7,FALSE))</f>
        <v/>
      </c>
      <c r="I176" s="295" t="str">
        <f>IF(H176="","",VLOOKUP($B176,'C-1 On-Site WaterC'' Baseline'!$C$9:$R$257,8,FALSE))</f>
        <v/>
      </c>
      <c r="J176" s="295" t="str">
        <f>IF(I176="","",VLOOKUP($B176,'C-1 On-Site WaterC'' Baseline'!$C$9:$R$257,9,FALSE))</f>
        <v/>
      </c>
      <c r="K176" s="295" t="str">
        <f>IF(J176="","",VLOOKUP($B176,'C-1 On-Site WaterC'' Baseline'!$C$9:$R$257,10,FALSE))</f>
        <v/>
      </c>
      <c r="L176" s="295" t="str">
        <f>IF(B176="","",VLOOKUP($B176,'C-1 On-Site WaterC'' Baseline'!$C$9:$R$257,15,FALSE))</f>
        <v/>
      </c>
      <c r="M176" s="299" t="str">
        <f>IF(L176="","",VLOOKUP($B176,'C-1 On-Site WaterC'' Baseline'!$C$9:$R$257,16,FALSE))</f>
        <v/>
      </c>
      <c r="N176" s="245"/>
      <c r="O176" s="275" t="str">
        <f t="shared" si="21"/>
        <v/>
      </c>
      <c r="P176" s="276" t="str">
        <f t="shared" si="22"/>
        <v/>
      </c>
      <c r="Q176" s="336" t="str">
        <f>IF(N176="","",VLOOKUP(B176,'C-1 On-Site WaterC'' Baseline'!$C$10:$AC$257,20,FALSE))</f>
        <v/>
      </c>
      <c r="R176" s="275" t="str">
        <f>IF(N176="","",VLOOKUP(N176,'G-7 WaterC'' Data'!$B$2:$G$8,2,FALSE))</f>
        <v/>
      </c>
      <c r="S176" s="276" t="str">
        <f>IFERROR(VLOOKUP(R176,'G-7 WaterC'' Data'!$C$4:$D$8,2,FALSE),"")</f>
        <v/>
      </c>
      <c r="T176" s="101"/>
      <c r="U176" s="276" t="str">
        <f>IFERROR(INDEX('G-7 WaterC'' Data'!$H$4:$L$8,MATCH(N176,'G-7 WaterC'' Data'!$B$4:$B$8,0),MATCH(T176,'G-7 WaterC'' Data'!$H$3:$L$3,0)),"")</f>
        <v/>
      </c>
      <c r="V176" s="101"/>
      <c r="W176" s="283" t="str">
        <f>IF(V176="","",IF(VLOOKUP(V176,'G-7 WaterC'' Data'!$AK$4:$AM$6,2,FALSE)=0,"Spatial Data Missing ⚠",VLOOKUP(V176,'G-7 WaterC'' Data'!$AK$4:$AM$6,2,FALSE)))</f>
        <v/>
      </c>
      <c r="X176" s="276" t="str">
        <f>IF(V176="","",IF(VLOOKUP(V176,'G-7 WaterC'' Data'!$AK$4:$AM$6,3,FALSE)=0,"Spatial Data Missing ⚠",VLOOKUP(V176,'G-7 WaterC'' Data'!$AK$4:$AM$6,3,FALSE)))</f>
        <v/>
      </c>
      <c r="Y176" s="275" t="str">
        <f>IFERROR(IF(OR(LEFT(P176,5)="Error",LEFT(O176,5)="Error"),"Check Data ⚠",IF(F176&lt;S176,'G-7 WaterC'' Data'!$R$3,INDEX('G-7 WaterC'' Data'!$U$5:$Y$9,MATCH(G176,'G-7 WaterC'' Data'!$T$5:$T$9,0),MATCH(T176,'G-7 WaterC'' Data'!$U$4:$Y$4,0)))),"")</f>
        <v/>
      </c>
      <c r="Z176" s="133"/>
      <c r="AA176" s="133"/>
      <c r="AB176" s="283" t="str">
        <f t="shared" si="23"/>
        <v/>
      </c>
      <c r="AC176" s="296" t="str">
        <f t="shared" si="24"/>
        <v/>
      </c>
      <c r="AD176" s="334" t="str">
        <f>IFERROR(IF(AC176="Check Data ⚠","Check Data ⚠",VLOOKUP(AC176,'G-4 Temporal multipliers'!$A$4:$C$37,3,FALSE)),"")</f>
        <v/>
      </c>
      <c r="AE176" s="275" t="str">
        <f>IF(N176="","",VLOOKUP(N176,'G-7 WaterC'' Data'!$B$4:$G$8,5,FALSE))</f>
        <v/>
      </c>
      <c r="AF176" s="283" t="str">
        <f t="shared" si="25"/>
        <v/>
      </c>
      <c r="AG176" s="314" t="str">
        <f t="shared" si="26"/>
        <v/>
      </c>
      <c r="AH176" s="276" t="str">
        <f t="shared" si="20"/>
        <v/>
      </c>
      <c r="AI176" s="105"/>
      <c r="AJ176" s="276" t="str">
        <f>IF(AI176="","",IF(AND(AI176="N/A - Culvert",N176&lt;&gt;"Culvert"),"Not possible ▲",IF(VLOOKUP(AI176,'G-7 WaterC'' Data'!$AA$4:$AB$7,2,FALSE)=0,"Spatial Data Missing ⚠",VLOOKUP(AI176,'G-7 WaterC'' Data'!$AA$4:$AB$7,2,FALSE))))</f>
        <v/>
      </c>
      <c r="AK176" s="106"/>
      <c r="AL176" s="276" t="str">
        <f>IF(AK176="","",IF(AND(AK176="N/A - Culvert",N176&lt;&gt;"Culvert"),"Not possible ▲",IF(VLOOKUP(AK176,'G-7 WaterC'' Data'!$AD$4:$AE$14,2,FALSE)=0,"Spatial Data Missing ⚠",VLOOKUP(AK176,'G-7 WaterC'' Data'!$AD$4:$AE$14,2,FALSE))))</f>
        <v/>
      </c>
      <c r="AM176" s="317" t="str">
        <f t="shared" si="27"/>
        <v/>
      </c>
      <c r="AN176" s="101"/>
      <c r="AO176" s="115"/>
      <c r="AP176" s="104"/>
      <c r="AS176" s="30" t="str">
        <f>IF(B176="","",IF(ISNA(VLOOKUP($B176,'C-1 On-Site WaterC'' Baseline'!$C$8:$AD$257,17,FALSE)),"",(VLOOKUP($B176,'C-1 On-Site WaterC'' Baseline'!$C$8:$AD$257,17,FALSE))))</f>
        <v/>
      </c>
      <c r="AT176" s="30" t="str">
        <f>IF(B176="","",VLOOKUP($B176,'C-1 On-Site WaterC'' Baseline'!$C$9:$Z$257,12,FALSE))</f>
        <v/>
      </c>
      <c r="AU176" s="30" t="str">
        <f>IF(B176="","",VLOOKUP($B176,'C-1 On-Site WaterC'' Baseline'!$C$9:$Z$257,14,FALSE))</f>
        <v/>
      </c>
      <c r="AV176" s="30" t="str">
        <f>IFERROR(INDEX('G-7 WaterC'' Data'!$AZ$3:$AZ$7,MATCH(N176,'G-7 WaterC'' Data'!$AY$3:$AY$7,0)),"")</f>
        <v/>
      </c>
      <c r="AX176" s="30" t="str">
        <f>IF(B176="","",VLOOKUP($B176,'C-1 On-Site WaterC'' Baseline'!$C$9:$Y$257,22,FALSE))</f>
        <v/>
      </c>
      <c r="AY176" s="30" t="str">
        <f t="shared" si="28"/>
        <v/>
      </c>
      <c r="AZ176" s="30" t="str">
        <f>IF(B176="","",VLOOKUP($B176,'C-1 On-Site WaterC'' Baseline'!$C$9:$Y$257,21,FALSE))</f>
        <v/>
      </c>
      <c r="BA176" s="30" t="str">
        <f>IF(B176="","",VLOOKUP($B176,'C-1 On-Site WaterC'' Baseline'!$C$9:$Y$257,19,FALSE))</f>
        <v/>
      </c>
      <c r="BD176" s="30" t="str">
        <f t="shared" si="29"/>
        <v>No</v>
      </c>
    </row>
    <row r="177" spans="2:56" ht="14">
      <c r="B177" s="305" t="str">
        <f>'C-1 On-Site WaterC'' Baseline'!AP175</f>
        <v/>
      </c>
      <c r="C177" s="295" t="str">
        <f>IF(B177="","",VLOOKUP($B177,'C-1 On-Site WaterC'' Baseline'!$C$9:$R$257,2,FALSE))</f>
        <v/>
      </c>
      <c r="D177" s="295" t="str">
        <f>IF(C177="","",VLOOKUP($B177,'C-1 On-Site WaterC'' Baseline'!$C$9:$R$257,3,FALSE))</f>
        <v/>
      </c>
      <c r="E177" s="295" t="str">
        <f>IF(D177="","",VLOOKUP($B177,'C-1 On-Site WaterC'' Baseline'!$C$9:$R$257,4,FALSE))</f>
        <v/>
      </c>
      <c r="F177" s="295" t="str">
        <f>IF(E177="","",VLOOKUP($B177,'C-1 On-Site WaterC'' Baseline'!$C$9:$R$257,5,FALSE))</f>
        <v/>
      </c>
      <c r="G177" s="295" t="str">
        <f>IF(F177="","",VLOOKUP($B177,'C-1 On-Site WaterC'' Baseline'!$C$9:$R$257,6,FALSE))</f>
        <v/>
      </c>
      <c r="H177" s="295" t="str">
        <f>IF(G177="","",VLOOKUP($B177,'C-1 On-Site WaterC'' Baseline'!$C$9:$R$257,7,FALSE))</f>
        <v/>
      </c>
      <c r="I177" s="295" t="str">
        <f>IF(H177="","",VLOOKUP($B177,'C-1 On-Site WaterC'' Baseline'!$C$9:$R$257,8,FALSE))</f>
        <v/>
      </c>
      <c r="J177" s="295" t="str">
        <f>IF(I177="","",VLOOKUP($B177,'C-1 On-Site WaterC'' Baseline'!$C$9:$R$257,9,FALSE))</f>
        <v/>
      </c>
      <c r="K177" s="295" t="str">
        <f>IF(J177="","",VLOOKUP($B177,'C-1 On-Site WaterC'' Baseline'!$C$9:$R$257,10,FALSE))</f>
        <v/>
      </c>
      <c r="L177" s="295" t="str">
        <f>IF(B177="","",VLOOKUP($B177,'C-1 On-Site WaterC'' Baseline'!$C$9:$R$257,15,FALSE))</f>
        <v/>
      </c>
      <c r="M177" s="299" t="str">
        <f>IF(L177="","",VLOOKUP($B177,'C-1 On-Site WaterC'' Baseline'!$C$9:$R$257,16,FALSE))</f>
        <v/>
      </c>
      <c r="N177" s="245"/>
      <c r="O177" s="275" t="str">
        <f t="shared" si="21"/>
        <v/>
      </c>
      <c r="P177" s="276" t="str">
        <f t="shared" si="22"/>
        <v/>
      </c>
      <c r="Q177" s="336" t="str">
        <f>IF(N177="","",VLOOKUP(B177,'C-1 On-Site WaterC'' Baseline'!$C$10:$AC$257,20,FALSE))</f>
        <v/>
      </c>
      <c r="R177" s="275" t="str">
        <f>IF(N177="","",VLOOKUP(N177,'G-7 WaterC'' Data'!$B$2:$G$8,2,FALSE))</f>
        <v/>
      </c>
      <c r="S177" s="276" t="str">
        <f>IFERROR(VLOOKUP(R177,'G-7 WaterC'' Data'!$C$4:$D$8,2,FALSE),"")</f>
        <v/>
      </c>
      <c r="T177" s="101"/>
      <c r="U177" s="276" t="str">
        <f>IFERROR(INDEX('G-7 WaterC'' Data'!$H$4:$L$8,MATCH(N177,'G-7 WaterC'' Data'!$B$4:$B$8,0),MATCH(T177,'G-7 WaterC'' Data'!$H$3:$L$3,0)),"")</f>
        <v/>
      </c>
      <c r="V177" s="101"/>
      <c r="W177" s="283" t="str">
        <f>IF(V177="","",IF(VLOOKUP(V177,'G-7 WaterC'' Data'!$AK$4:$AM$6,2,FALSE)=0,"Spatial Data Missing ⚠",VLOOKUP(V177,'G-7 WaterC'' Data'!$AK$4:$AM$6,2,FALSE)))</f>
        <v/>
      </c>
      <c r="X177" s="276" t="str">
        <f>IF(V177="","",IF(VLOOKUP(V177,'G-7 WaterC'' Data'!$AK$4:$AM$6,3,FALSE)=0,"Spatial Data Missing ⚠",VLOOKUP(V177,'G-7 WaterC'' Data'!$AK$4:$AM$6,3,FALSE)))</f>
        <v/>
      </c>
      <c r="Y177" s="275" t="str">
        <f>IFERROR(IF(OR(LEFT(P177,5)="Error",LEFT(O177,5)="Error"),"Check Data ⚠",IF(F177&lt;S177,'G-7 WaterC'' Data'!$R$3,INDEX('G-7 WaterC'' Data'!$U$5:$Y$9,MATCH(G177,'G-7 WaterC'' Data'!$T$5:$T$9,0),MATCH(T177,'G-7 WaterC'' Data'!$U$4:$Y$4,0)))),"")</f>
        <v/>
      </c>
      <c r="Z177" s="133"/>
      <c r="AA177" s="133"/>
      <c r="AB177" s="283" t="str">
        <f t="shared" si="23"/>
        <v/>
      </c>
      <c r="AC177" s="296" t="str">
        <f t="shared" si="24"/>
        <v/>
      </c>
      <c r="AD177" s="334" t="str">
        <f>IFERROR(IF(AC177="Check Data ⚠","Check Data ⚠",VLOOKUP(AC177,'G-4 Temporal multipliers'!$A$4:$C$37,3,FALSE)),"")</f>
        <v/>
      </c>
      <c r="AE177" s="275" t="str">
        <f>IF(N177="","",VLOOKUP(N177,'G-7 WaterC'' Data'!$B$4:$G$8,5,FALSE))</f>
        <v/>
      </c>
      <c r="AF177" s="283" t="str">
        <f t="shared" si="25"/>
        <v/>
      </c>
      <c r="AG177" s="314" t="str">
        <f t="shared" si="26"/>
        <v/>
      </c>
      <c r="AH177" s="276" t="str">
        <f t="shared" si="20"/>
        <v/>
      </c>
      <c r="AI177" s="105"/>
      <c r="AJ177" s="276" t="str">
        <f>IF(AI177="","",IF(AND(AI177="N/A - Culvert",N177&lt;&gt;"Culvert"),"Not possible ▲",IF(VLOOKUP(AI177,'G-7 WaterC'' Data'!$AA$4:$AB$7,2,FALSE)=0,"Spatial Data Missing ⚠",VLOOKUP(AI177,'G-7 WaterC'' Data'!$AA$4:$AB$7,2,FALSE))))</f>
        <v/>
      </c>
      <c r="AK177" s="106"/>
      <c r="AL177" s="276" t="str">
        <f>IF(AK177="","",IF(AND(AK177="N/A - Culvert",N177&lt;&gt;"Culvert"),"Not possible ▲",IF(VLOOKUP(AK177,'G-7 WaterC'' Data'!$AD$4:$AE$14,2,FALSE)=0,"Spatial Data Missing ⚠",VLOOKUP(AK177,'G-7 WaterC'' Data'!$AD$4:$AE$14,2,FALSE))))</f>
        <v/>
      </c>
      <c r="AM177" s="317" t="str">
        <f t="shared" si="27"/>
        <v/>
      </c>
      <c r="AN177" s="101"/>
      <c r="AO177" s="115"/>
      <c r="AP177" s="104"/>
      <c r="AS177" s="30" t="str">
        <f>IF(B177="","",IF(ISNA(VLOOKUP($B177,'C-1 On-Site WaterC'' Baseline'!$C$8:$AD$257,17,FALSE)),"",(VLOOKUP($B177,'C-1 On-Site WaterC'' Baseline'!$C$8:$AD$257,17,FALSE))))</f>
        <v/>
      </c>
      <c r="AT177" s="30" t="str">
        <f>IF(B177="","",VLOOKUP($B177,'C-1 On-Site WaterC'' Baseline'!$C$9:$Z$257,12,FALSE))</f>
        <v/>
      </c>
      <c r="AU177" s="30" t="str">
        <f>IF(B177="","",VLOOKUP($B177,'C-1 On-Site WaterC'' Baseline'!$C$9:$Z$257,14,FALSE))</f>
        <v/>
      </c>
      <c r="AV177" s="30" t="str">
        <f>IFERROR(INDEX('G-7 WaterC'' Data'!$AZ$3:$AZ$7,MATCH(N177,'G-7 WaterC'' Data'!$AY$3:$AY$7,0)),"")</f>
        <v/>
      </c>
      <c r="AX177" s="30" t="str">
        <f>IF(B177="","",VLOOKUP($B177,'C-1 On-Site WaterC'' Baseline'!$C$9:$Y$257,22,FALSE))</f>
        <v/>
      </c>
      <c r="AY177" s="30" t="str">
        <f t="shared" si="28"/>
        <v/>
      </c>
      <c r="AZ177" s="30" t="str">
        <f>IF(B177="","",VLOOKUP($B177,'C-1 On-Site WaterC'' Baseline'!$C$9:$Y$257,21,FALSE))</f>
        <v/>
      </c>
      <c r="BA177" s="30" t="str">
        <f>IF(B177="","",VLOOKUP($B177,'C-1 On-Site WaterC'' Baseline'!$C$9:$Y$257,19,FALSE))</f>
        <v/>
      </c>
      <c r="BD177" s="30" t="str">
        <f t="shared" si="29"/>
        <v>No</v>
      </c>
    </row>
    <row r="178" spans="2:56" ht="14">
      <c r="B178" s="305" t="str">
        <f>'C-1 On-Site WaterC'' Baseline'!AP176</f>
        <v/>
      </c>
      <c r="C178" s="295" t="str">
        <f>IF(B178="","",VLOOKUP($B178,'C-1 On-Site WaterC'' Baseline'!$C$9:$R$257,2,FALSE))</f>
        <v/>
      </c>
      <c r="D178" s="295" t="str">
        <f>IF(C178="","",VLOOKUP($B178,'C-1 On-Site WaterC'' Baseline'!$C$9:$R$257,3,FALSE))</f>
        <v/>
      </c>
      <c r="E178" s="295" t="str">
        <f>IF(D178="","",VLOOKUP($B178,'C-1 On-Site WaterC'' Baseline'!$C$9:$R$257,4,FALSE))</f>
        <v/>
      </c>
      <c r="F178" s="295" t="str">
        <f>IF(E178="","",VLOOKUP($B178,'C-1 On-Site WaterC'' Baseline'!$C$9:$R$257,5,FALSE))</f>
        <v/>
      </c>
      <c r="G178" s="295" t="str">
        <f>IF(F178="","",VLOOKUP($B178,'C-1 On-Site WaterC'' Baseline'!$C$9:$R$257,6,FALSE))</f>
        <v/>
      </c>
      <c r="H178" s="295" t="str">
        <f>IF(G178="","",VLOOKUP($B178,'C-1 On-Site WaterC'' Baseline'!$C$9:$R$257,7,FALSE))</f>
        <v/>
      </c>
      <c r="I178" s="295" t="str">
        <f>IF(H178="","",VLOOKUP($B178,'C-1 On-Site WaterC'' Baseline'!$C$9:$R$257,8,FALSE))</f>
        <v/>
      </c>
      <c r="J178" s="295" t="str">
        <f>IF(I178="","",VLOOKUP($B178,'C-1 On-Site WaterC'' Baseline'!$C$9:$R$257,9,FALSE))</f>
        <v/>
      </c>
      <c r="K178" s="295" t="str">
        <f>IF(J178="","",VLOOKUP($B178,'C-1 On-Site WaterC'' Baseline'!$C$9:$R$257,10,FALSE))</f>
        <v/>
      </c>
      <c r="L178" s="295" t="str">
        <f>IF(B178="","",VLOOKUP($B178,'C-1 On-Site WaterC'' Baseline'!$C$9:$R$257,15,FALSE))</f>
        <v/>
      </c>
      <c r="M178" s="299" t="str">
        <f>IF(L178="","",VLOOKUP($B178,'C-1 On-Site WaterC'' Baseline'!$C$9:$R$257,16,FALSE))</f>
        <v/>
      </c>
      <c r="N178" s="245"/>
      <c r="O178" s="275" t="str">
        <f t="shared" si="21"/>
        <v/>
      </c>
      <c r="P178" s="276" t="str">
        <f t="shared" si="22"/>
        <v/>
      </c>
      <c r="Q178" s="336" t="str">
        <f>IF(N178="","",VLOOKUP(B178,'C-1 On-Site WaterC'' Baseline'!$C$10:$AC$257,20,FALSE))</f>
        <v/>
      </c>
      <c r="R178" s="275" t="str">
        <f>IF(N178="","",VLOOKUP(N178,'G-7 WaterC'' Data'!$B$2:$G$8,2,FALSE))</f>
        <v/>
      </c>
      <c r="S178" s="276" t="str">
        <f>IFERROR(VLOOKUP(R178,'G-7 WaterC'' Data'!$C$4:$D$8,2,FALSE),"")</f>
        <v/>
      </c>
      <c r="T178" s="101"/>
      <c r="U178" s="276" t="str">
        <f>IFERROR(INDEX('G-7 WaterC'' Data'!$H$4:$L$8,MATCH(N178,'G-7 WaterC'' Data'!$B$4:$B$8,0),MATCH(T178,'G-7 WaterC'' Data'!$H$3:$L$3,0)),"")</f>
        <v/>
      </c>
      <c r="V178" s="101"/>
      <c r="W178" s="283" t="str">
        <f>IF(V178="","",IF(VLOOKUP(V178,'G-7 WaterC'' Data'!$AK$4:$AM$6,2,FALSE)=0,"Spatial Data Missing ⚠",VLOOKUP(V178,'G-7 WaterC'' Data'!$AK$4:$AM$6,2,FALSE)))</f>
        <v/>
      </c>
      <c r="X178" s="276" t="str">
        <f>IF(V178="","",IF(VLOOKUP(V178,'G-7 WaterC'' Data'!$AK$4:$AM$6,3,FALSE)=0,"Spatial Data Missing ⚠",VLOOKUP(V178,'G-7 WaterC'' Data'!$AK$4:$AM$6,3,FALSE)))</f>
        <v/>
      </c>
      <c r="Y178" s="275" t="str">
        <f>IFERROR(IF(OR(LEFT(P178,5)="Error",LEFT(O178,5)="Error"),"Check Data ⚠",IF(F178&lt;S178,'G-7 WaterC'' Data'!$R$3,INDEX('G-7 WaterC'' Data'!$U$5:$Y$9,MATCH(G178,'G-7 WaterC'' Data'!$T$5:$T$9,0),MATCH(T178,'G-7 WaterC'' Data'!$U$4:$Y$4,0)))),"")</f>
        <v/>
      </c>
      <c r="Z178" s="133"/>
      <c r="AA178" s="133"/>
      <c r="AB178" s="283" t="str">
        <f t="shared" si="23"/>
        <v/>
      </c>
      <c r="AC178" s="296" t="str">
        <f t="shared" si="24"/>
        <v/>
      </c>
      <c r="AD178" s="334" t="str">
        <f>IFERROR(IF(AC178="Check Data ⚠","Check Data ⚠",VLOOKUP(AC178,'G-4 Temporal multipliers'!$A$4:$C$37,3,FALSE)),"")</f>
        <v/>
      </c>
      <c r="AE178" s="275" t="str">
        <f>IF(N178="","",VLOOKUP(N178,'G-7 WaterC'' Data'!$B$4:$G$8,5,FALSE))</f>
        <v/>
      </c>
      <c r="AF178" s="283" t="str">
        <f t="shared" si="25"/>
        <v/>
      </c>
      <c r="AG178" s="314" t="str">
        <f t="shared" si="26"/>
        <v/>
      </c>
      <c r="AH178" s="276" t="str">
        <f t="shared" si="20"/>
        <v/>
      </c>
      <c r="AI178" s="105"/>
      <c r="AJ178" s="276" t="str">
        <f>IF(AI178="","",IF(AND(AI178="N/A - Culvert",N178&lt;&gt;"Culvert"),"Not possible ▲",IF(VLOOKUP(AI178,'G-7 WaterC'' Data'!$AA$4:$AB$7,2,FALSE)=0,"Spatial Data Missing ⚠",VLOOKUP(AI178,'G-7 WaterC'' Data'!$AA$4:$AB$7,2,FALSE))))</f>
        <v/>
      </c>
      <c r="AK178" s="106"/>
      <c r="AL178" s="276" t="str">
        <f>IF(AK178="","",IF(AND(AK178="N/A - Culvert",N178&lt;&gt;"Culvert"),"Not possible ▲",IF(VLOOKUP(AK178,'G-7 WaterC'' Data'!$AD$4:$AE$14,2,FALSE)=0,"Spatial Data Missing ⚠",VLOOKUP(AK178,'G-7 WaterC'' Data'!$AD$4:$AE$14,2,FALSE))))</f>
        <v/>
      </c>
      <c r="AM178" s="317" t="str">
        <f t="shared" si="27"/>
        <v/>
      </c>
      <c r="AN178" s="101"/>
      <c r="AO178" s="115"/>
      <c r="AP178" s="104"/>
      <c r="AS178" s="30" t="str">
        <f>IF(B178="","",IF(ISNA(VLOOKUP($B178,'C-1 On-Site WaterC'' Baseline'!$C$8:$AD$257,17,FALSE)),"",(VLOOKUP($B178,'C-1 On-Site WaterC'' Baseline'!$C$8:$AD$257,17,FALSE))))</f>
        <v/>
      </c>
      <c r="AT178" s="30" t="str">
        <f>IF(B178="","",VLOOKUP($B178,'C-1 On-Site WaterC'' Baseline'!$C$9:$Z$257,12,FALSE))</f>
        <v/>
      </c>
      <c r="AU178" s="30" t="str">
        <f>IF(B178="","",VLOOKUP($B178,'C-1 On-Site WaterC'' Baseline'!$C$9:$Z$257,14,FALSE))</f>
        <v/>
      </c>
      <c r="AV178" s="30" t="str">
        <f>IFERROR(INDEX('G-7 WaterC'' Data'!$AZ$3:$AZ$7,MATCH(N178,'G-7 WaterC'' Data'!$AY$3:$AY$7,0)),"")</f>
        <v/>
      </c>
      <c r="AX178" s="30" t="str">
        <f>IF(B178="","",VLOOKUP($B178,'C-1 On-Site WaterC'' Baseline'!$C$9:$Y$257,22,FALSE))</f>
        <v/>
      </c>
      <c r="AY178" s="30" t="str">
        <f t="shared" si="28"/>
        <v/>
      </c>
      <c r="AZ178" s="30" t="str">
        <f>IF(B178="","",VLOOKUP($B178,'C-1 On-Site WaterC'' Baseline'!$C$9:$Y$257,21,FALSE))</f>
        <v/>
      </c>
      <c r="BA178" s="30" t="str">
        <f>IF(B178="","",VLOOKUP($B178,'C-1 On-Site WaterC'' Baseline'!$C$9:$Y$257,19,FALSE))</f>
        <v/>
      </c>
      <c r="BD178" s="30" t="str">
        <f t="shared" si="29"/>
        <v>No</v>
      </c>
    </row>
    <row r="179" spans="2:56" ht="14">
      <c r="B179" s="305" t="str">
        <f>'C-1 On-Site WaterC'' Baseline'!AP177</f>
        <v/>
      </c>
      <c r="C179" s="295" t="str">
        <f>IF(B179="","",VLOOKUP($B179,'C-1 On-Site WaterC'' Baseline'!$C$9:$R$257,2,FALSE))</f>
        <v/>
      </c>
      <c r="D179" s="295" t="str">
        <f>IF(C179="","",VLOOKUP($B179,'C-1 On-Site WaterC'' Baseline'!$C$9:$R$257,3,FALSE))</f>
        <v/>
      </c>
      <c r="E179" s="295" t="str">
        <f>IF(D179="","",VLOOKUP($B179,'C-1 On-Site WaterC'' Baseline'!$C$9:$R$257,4,FALSE))</f>
        <v/>
      </c>
      <c r="F179" s="295" t="str">
        <f>IF(E179="","",VLOOKUP($B179,'C-1 On-Site WaterC'' Baseline'!$C$9:$R$257,5,FALSE))</f>
        <v/>
      </c>
      <c r="G179" s="295" t="str">
        <f>IF(F179="","",VLOOKUP($B179,'C-1 On-Site WaterC'' Baseline'!$C$9:$R$257,6,FALSE))</f>
        <v/>
      </c>
      <c r="H179" s="295" t="str">
        <f>IF(G179="","",VLOOKUP($B179,'C-1 On-Site WaterC'' Baseline'!$C$9:$R$257,7,FALSE))</f>
        <v/>
      </c>
      <c r="I179" s="295" t="str">
        <f>IF(H179="","",VLOOKUP($B179,'C-1 On-Site WaterC'' Baseline'!$C$9:$R$257,8,FALSE))</f>
        <v/>
      </c>
      <c r="J179" s="295" t="str">
        <f>IF(I179="","",VLOOKUP($B179,'C-1 On-Site WaterC'' Baseline'!$C$9:$R$257,9,FALSE))</f>
        <v/>
      </c>
      <c r="K179" s="295" t="str">
        <f>IF(J179="","",VLOOKUP($B179,'C-1 On-Site WaterC'' Baseline'!$C$9:$R$257,10,FALSE))</f>
        <v/>
      </c>
      <c r="L179" s="295" t="str">
        <f>IF(B179="","",VLOOKUP($B179,'C-1 On-Site WaterC'' Baseline'!$C$9:$R$257,15,FALSE))</f>
        <v/>
      </c>
      <c r="M179" s="299" t="str">
        <f>IF(L179="","",VLOOKUP($B179,'C-1 On-Site WaterC'' Baseline'!$C$9:$R$257,16,FALSE))</f>
        <v/>
      </c>
      <c r="N179" s="245"/>
      <c r="O179" s="275" t="str">
        <f t="shared" si="21"/>
        <v/>
      </c>
      <c r="P179" s="276" t="str">
        <f t="shared" si="22"/>
        <v/>
      </c>
      <c r="Q179" s="336" t="str">
        <f>IF(N179="","",VLOOKUP(B179,'C-1 On-Site WaterC'' Baseline'!$C$10:$AC$257,20,FALSE))</f>
        <v/>
      </c>
      <c r="R179" s="275" t="str">
        <f>IF(N179="","",VLOOKUP(N179,'G-7 WaterC'' Data'!$B$2:$G$8,2,FALSE))</f>
        <v/>
      </c>
      <c r="S179" s="276" t="str">
        <f>IFERROR(VLOOKUP(R179,'G-7 WaterC'' Data'!$C$4:$D$8,2,FALSE),"")</f>
        <v/>
      </c>
      <c r="T179" s="101"/>
      <c r="U179" s="276" t="str">
        <f>IFERROR(INDEX('G-7 WaterC'' Data'!$H$4:$L$8,MATCH(N179,'G-7 WaterC'' Data'!$B$4:$B$8,0),MATCH(T179,'G-7 WaterC'' Data'!$H$3:$L$3,0)),"")</f>
        <v/>
      </c>
      <c r="V179" s="101"/>
      <c r="W179" s="283" t="str">
        <f>IF(V179="","",IF(VLOOKUP(V179,'G-7 WaterC'' Data'!$AK$4:$AM$6,2,FALSE)=0,"Spatial Data Missing ⚠",VLOOKUP(V179,'G-7 WaterC'' Data'!$AK$4:$AM$6,2,FALSE)))</f>
        <v/>
      </c>
      <c r="X179" s="276" t="str">
        <f>IF(V179="","",IF(VLOOKUP(V179,'G-7 WaterC'' Data'!$AK$4:$AM$6,3,FALSE)=0,"Spatial Data Missing ⚠",VLOOKUP(V179,'G-7 WaterC'' Data'!$AK$4:$AM$6,3,FALSE)))</f>
        <v/>
      </c>
      <c r="Y179" s="275" t="str">
        <f>IFERROR(IF(OR(LEFT(P179,5)="Error",LEFT(O179,5)="Error"),"Check Data ⚠",IF(F179&lt;S179,'G-7 WaterC'' Data'!$R$3,INDEX('G-7 WaterC'' Data'!$U$5:$Y$9,MATCH(G179,'G-7 WaterC'' Data'!$T$5:$T$9,0),MATCH(T179,'G-7 WaterC'' Data'!$U$4:$Y$4,0)))),"")</f>
        <v/>
      </c>
      <c r="Z179" s="133"/>
      <c r="AA179" s="133"/>
      <c r="AB179" s="283" t="str">
        <f t="shared" si="23"/>
        <v/>
      </c>
      <c r="AC179" s="296" t="str">
        <f t="shared" si="24"/>
        <v/>
      </c>
      <c r="AD179" s="334" t="str">
        <f>IFERROR(IF(AC179="Check Data ⚠","Check Data ⚠",VLOOKUP(AC179,'G-4 Temporal multipliers'!$A$4:$C$37,3,FALSE)),"")</f>
        <v/>
      </c>
      <c r="AE179" s="275" t="str">
        <f>IF(N179="","",VLOOKUP(N179,'G-7 WaterC'' Data'!$B$4:$G$8,5,FALSE))</f>
        <v/>
      </c>
      <c r="AF179" s="283" t="str">
        <f t="shared" si="25"/>
        <v/>
      </c>
      <c r="AG179" s="314" t="str">
        <f t="shared" si="26"/>
        <v/>
      </c>
      <c r="AH179" s="276" t="str">
        <f t="shared" si="20"/>
        <v/>
      </c>
      <c r="AI179" s="105"/>
      <c r="AJ179" s="276" t="str">
        <f>IF(AI179="","",IF(AND(AI179="N/A - Culvert",N179&lt;&gt;"Culvert"),"Not possible ▲",IF(VLOOKUP(AI179,'G-7 WaterC'' Data'!$AA$4:$AB$7,2,FALSE)=0,"Spatial Data Missing ⚠",VLOOKUP(AI179,'G-7 WaterC'' Data'!$AA$4:$AB$7,2,FALSE))))</f>
        <v/>
      </c>
      <c r="AK179" s="106"/>
      <c r="AL179" s="276" t="str">
        <f>IF(AK179="","",IF(AND(AK179="N/A - Culvert",N179&lt;&gt;"Culvert"),"Not possible ▲",IF(VLOOKUP(AK179,'G-7 WaterC'' Data'!$AD$4:$AE$14,2,FALSE)=0,"Spatial Data Missing ⚠",VLOOKUP(AK179,'G-7 WaterC'' Data'!$AD$4:$AE$14,2,FALSE))))</f>
        <v/>
      </c>
      <c r="AM179" s="317" t="str">
        <f t="shared" si="27"/>
        <v/>
      </c>
      <c r="AN179" s="101"/>
      <c r="AO179" s="115"/>
      <c r="AP179" s="104"/>
      <c r="AS179" s="30" t="str">
        <f>IF(B179="","",IF(ISNA(VLOOKUP($B179,'C-1 On-Site WaterC'' Baseline'!$C$8:$AD$257,17,FALSE)),"",(VLOOKUP($B179,'C-1 On-Site WaterC'' Baseline'!$C$8:$AD$257,17,FALSE))))</f>
        <v/>
      </c>
      <c r="AT179" s="30" t="str">
        <f>IF(B179="","",VLOOKUP($B179,'C-1 On-Site WaterC'' Baseline'!$C$9:$Z$257,12,FALSE))</f>
        <v/>
      </c>
      <c r="AU179" s="30" t="str">
        <f>IF(B179="","",VLOOKUP($B179,'C-1 On-Site WaterC'' Baseline'!$C$9:$Z$257,14,FALSE))</f>
        <v/>
      </c>
      <c r="AV179" s="30" t="str">
        <f>IFERROR(INDEX('G-7 WaterC'' Data'!$AZ$3:$AZ$7,MATCH(N179,'G-7 WaterC'' Data'!$AY$3:$AY$7,0)),"")</f>
        <v/>
      </c>
      <c r="AX179" s="30" t="str">
        <f>IF(B179="","",VLOOKUP($B179,'C-1 On-Site WaterC'' Baseline'!$C$9:$Y$257,22,FALSE))</f>
        <v/>
      </c>
      <c r="AY179" s="30" t="str">
        <f t="shared" si="28"/>
        <v/>
      </c>
      <c r="AZ179" s="30" t="str">
        <f>IF(B179="","",VLOOKUP($B179,'C-1 On-Site WaterC'' Baseline'!$C$9:$Y$257,21,FALSE))</f>
        <v/>
      </c>
      <c r="BA179" s="30" t="str">
        <f>IF(B179="","",VLOOKUP($B179,'C-1 On-Site WaterC'' Baseline'!$C$9:$Y$257,19,FALSE))</f>
        <v/>
      </c>
      <c r="BD179" s="30" t="str">
        <f t="shared" si="29"/>
        <v>No</v>
      </c>
    </row>
    <row r="180" spans="2:56" ht="14">
      <c r="B180" s="305" t="str">
        <f>'C-1 On-Site WaterC'' Baseline'!AP178</f>
        <v/>
      </c>
      <c r="C180" s="295" t="str">
        <f>IF(B180="","",VLOOKUP($B180,'C-1 On-Site WaterC'' Baseline'!$C$9:$R$257,2,FALSE))</f>
        <v/>
      </c>
      <c r="D180" s="295" t="str">
        <f>IF(C180="","",VLOOKUP($B180,'C-1 On-Site WaterC'' Baseline'!$C$9:$R$257,3,FALSE))</f>
        <v/>
      </c>
      <c r="E180" s="295" t="str">
        <f>IF(D180="","",VLOOKUP($B180,'C-1 On-Site WaterC'' Baseline'!$C$9:$R$257,4,FALSE))</f>
        <v/>
      </c>
      <c r="F180" s="295" t="str">
        <f>IF(E180="","",VLOOKUP($B180,'C-1 On-Site WaterC'' Baseline'!$C$9:$R$257,5,FALSE))</f>
        <v/>
      </c>
      <c r="G180" s="295" t="str">
        <f>IF(F180="","",VLOOKUP($B180,'C-1 On-Site WaterC'' Baseline'!$C$9:$R$257,6,FALSE))</f>
        <v/>
      </c>
      <c r="H180" s="295" t="str">
        <f>IF(G180="","",VLOOKUP($B180,'C-1 On-Site WaterC'' Baseline'!$C$9:$R$257,7,FALSE))</f>
        <v/>
      </c>
      <c r="I180" s="295" t="str">
        <f>IF(H180="","",VLOOKUP($B180,'C-1 On-Site WaterC'' Baseline'!$C$9:$R$257,8,FALSE))</f>
        <v/>
      </c>
      <c r="J180" s="295" t="str">
        <f>IF(I180="","",VLOOKUP($B180,'C-1 On-Site WaterC'' Baseline'!$C$9:$R$257,9,FALSE))</f>
        <v/>
      </c>
      <c r="K180" s="295" t="str">
        <f>IF(J180="","",VLOOKUP($B180,'C-1 On-Site WaterC'' Baseline'!$C$9:$R$257,10,FALSE))</f>
        <v/>
      </c>
      <c r="L180" s="295" t="str">
        <f>IF(B180="","",VLOOKUP($B180,'C-1 On-Site WaterC'' Baseline'!$C$9:$R$257,15,FALSE))</f>
        <v/>
      </c>
      <c r="M180" s="299" t="str">
        <f>IF(L180="","",VLOOKUP($B180,'C-1 On-Site WaterC'' Baseline'!$C$9:$R$257,16,FALSE))</f>
        <v/>
      </c>
      <c r="N180" s="245"/>
      <c r="O180" s="275" t="str">
        <f t="shared" si="21"/>
        <v/>
      </c>
      <c r="P180" s="276" t="str">
        <f t="shared" si="22"/>
        <v/>
      </c>
      <c r="Q180" s="336" t="str">
        <f>IF(N180="","",VLOOKUP(B180,'C-1 On-Site WaterC'' Baseline'!$C$10:$AC$257,20,FALSE))</f>
        <v/>
      </c>
      <c r="R180" s="275" t="str">
        <f>IF(N180="","",VLOOKUP(N180,'G-7 WaterC'' Data'!$B$2:$G$8,2,FALSE))</f>
        <v/>
      </c>
      <c r="S180" s="276" t="str">
        <f>IFERROR(VLOOKUP(R180,'G-7 WaterC'' Data'!$C$4:$D$8,2,FALSE),"")</f>
        <v/>
      </c>
      <c r="T180" s="101"/>
      <c r="U180" s="276" t="str">
        <f>IFERROR(INDEX('G-7 WaterC'' Data'!$H$4:$L$8,MATCH(N180,'G-7 WaterC'' Data'!$B$4:$B$8,0),MATCH(T180,'G-7 WaterC'' Data'!$H$3:$L$3,0)),"")</f>
        <v/>
      </c>
      <c r="V180" s="101"/>
      <c r="W180" s="283" t="str">
        <f>IF(V180="","",IF(VLOOKUP(V180,'G-7 WaterC'' Data'!$AK$4:$AM$6,2,FALSE)=0,"Spatial Data Missing ⚠",VLOOKUP(V180,'G-7 WaterC'' Data'!$AK$4:$AM$6,2,FALSE)))</f>
        <v/>
      </c>
      <c r="X180" s="276" t="str">
        <f>IF(V180="","",IF(VLOOKUP(V180,'G-7 WaterC'' Data'!$AK$4:$AM$6,3,FALSE)=0,"Spatial Data Missing ⚠",VLOOKUP(V180,'G-7 WaterC'' Data'!$AK$4:$AM$6,3,FALSE)))</f>
        <v/>
      </c>
      <c r="Y180" s="275" t="str">
        <f>IFERROR(IF(OR(LEFT(P180,5)="Error",LEFT(O180,5)="Error"),"Check Data ⚠",IF(F180&lt;S180,'G-7 WaterC'' Data'!$R$3,INDEX('G-7 WaterC'' Data'!$U$5:$Y$9,MATCH(G180,'G-7 WaterC'' Data'!$T$5:$T$9,0),MATCH(T180,'G-7 WaterC'' Data'!$U$4:$Y$4,0)))),"")</f>
        <v/>
      </c>
      <c r="Z180" s="133"/>
      <c r="AA180" s="133"/>
      <c r="AB180" s="283" t="str">
        <f t="shared" si="23"/>
        <v/>
      </c>
      <c r="AC180" s="296" t="str">
        <f t="shared" si="24"/>
        <v/>
      </c>
      <c r="AD180" s="334" t="str">
        <f>IFERROR(IF(AC180="Check Data ⚠","Check Data ⚠",VLOOKUP(AC180,'G-4 Temporal multipliers'!$A$4:$C$37,3,FALSE)),"")</f>
        <v/>
      </c>
      <c r="AE180" s="275" t="str">
        <f>IF(N180="","",VLOOKUP(N180,'G-7 WaterC'' Data'!$B$4:$G$8,5,FALSE))</f>
        <v/>
      </c>
      <c r="AF180" s="283" t="str">
        <f t="shared" si="25"/>
        <v/>
      </c>
      <c r="AG180" s="314" t="str">
        <f t="shared" si="26"/>
        <v/>
      </c>
      <c r="AH180" s="276" t="str">
        <f t="shared" si="20"/>
        <v/>
      </c>
      <c r="AI180" s="105"/>
      <c r="AJ180" s="276" t="str">
        <f>IF(AI180="","",IF(AND(AI180="N/A - Culvert",N180&lt;&gt;"Culvert"),"Not possible ▲",IF(VLOOKUP(AI180,'G-7 WaterC'' Data'!$AA$4:$AB$7,2,FALSE)=0,"Spatial Data Missing ⚠",VLOOKUP(AI180,'G-7 WaterC'' Data'!$AA$4:$AB$7,2,FALSE))))</f>
        <v/>
      </c>
      <c r="AK180" s="106"/>
      <c r="AL180" s="276" t="str">
        <f>IF(AK180="","",IF(AND(AK180="N/A - Culvert",N180&lt;&gt;"Culvert"),"Not possible ▲",IF(VLOOKUP(AK180,'G-7 WaterC'' Data'!$AD$4:$AE$14,2,FALSE)=0,"Spatial Data Missing ⚠",VLOOKUP(AK180,'G-7 WaterC'' Data'!$AD$4:$AE$14,2,FALSE))))</f>
        <v/>
      </c>
      <c r="AM180" s="317" t="str">
        <f t="shared" si="27"/>
        <v/>
      </c>
      <c r="AN180" s="101"/>
      <c r="AO180" s="115"/>
      <c r="AP180" s="104"/>
      <c r="AS180" s="30" t="str">
        <f>IF(B180="","",IF(ISNA(VLOOKUP($B180,'C-1 On-Site WaterC'' Baseline'!$C$8:$AD$257,17,FALSE)),"",(VLOOKUP($B180,'C-1 On-Site WaterC'' Baseline'!$C$8:$AD$257,17,FALSE))))</f>
        <v/>
      </c>
      <c r="AT180" s="30" t="str">
        <f>IF(B180="","",VLOOKUP($B180,'C-1 On-Site WaterC'' Baseline'!$C$9:$Z$257,12,FALSE))</f>
        <v/>
      </c>
      <c r="AU180" s="30" t="str">
        <f>IF(B180="","",VLOOKUP($B180,'C-1 On-Site WaterC'' Baseline'!$C$9:$Z$257,14,FALSE))</f>
        <v/>
      </c>
      <c r="AV180" s="30" t="str">
        <f>IFERROR(INDEX('G-7 WaterC'' Data'!$AZ$3:$AZ$7,MATCH(N180,'G-7 WaterC'' Data'!$AY$3:$AY$7,0)),"")</f>
        <v/>
      </c>
      <c r="AX180" s="30" t="str">
        <f>IF(B180="","",VLOOKUP($B180,'C-1 On-Site WaterC'' Baseline'!$C$9:$Y$257,22,FALSE))</f>
        <v/>
      </c>
      <c r="AY180" s="30" t="str">
        <f t="shared" si="28"/>
        <v/>
      </c>
      <c r="AZ180" s="30" t="str">
        <f>IF(B180="","",VLOOKUP($B180,'C-1 On-Site WaterC'' Baseline'!$C$9:$Y$257,21,FALSE))</f>
        <v/>
      </c>
      <c r="BA180" s="30" t="str">
        <f>IF(B180="","",VLOOKUP($B180,'C-1 On-Site WaterC'' Baseline'!$C$9:$Y$257,19,FALSE))</f>
        <v/>
      </c>
      <c r="BD180" s="30" t="str">
        <f t="shared" si="29"/>
        <v>No</v>
      </c>
    </row>
    <row r="181" spans="2:56" ht="14">
      <c r="B181" s="305" t="str">
        <f>'C-1 On-Site WaterC'' Baseline'!AP179</f>
        <v/>
      </c>
      <c r="C181" s="295" t="str">
        <f>IF(B181="","",VLOOKUP($B181,'C-1 On-Site WaterC'' Baseline'!$C$9:$R$257,2,FALSE))</f>
        <v/>
      </c>
      <c r="D181" s="295" t="str">
        <f>IF(C181="","",VLOOKUP($B181,'C-1 On-Site WaterC'' Baseline'!$C$9:$R$257,3,FALSE))</f>
        <v/>
      </c>
      <c r="E181" s="295" t="str">
        <f>IF(D181="","",VLOOKUP($B181,'C-1 On-Site WaterC'' Baseline'!$C$9:$R$257,4,FALSE))</f>
        <v/>
      </c>
      <c r="F181" s="295" t="str">
        <f>IF(E181="","",VLOOKUP($B181,'C-1 On-Site WaterC'' Baseline'!$C$9:$R$257,5,FALSE))</f>
        <v/>
      </c>
      <c r="G181" s="295" t="str">
        <f>IF(F181="","",VLOOKUP($B181,'C-1 On-Site WaterC'' Baseline'!$C$9:$R$257,6,FALSE))</f>
        <v/>
      </c>
      <c r="H181" s="295" t="str">
        <f>IF(G181="","",VLOOKUP($B181,'C-1 On-Site WaterC'' Baseline'!$C$9:$R$257,7,FALSE))</f>
        <v/>
      </c>
      <c r="I181" s="295" t="str">
        <f>IF(H181="","",VLOOKUP($B181,'C-1 On-Site WaterC'' Baseline'!$C$9:$R$257,8,FALSE))</f>
        <v/>
      </c>
      <c r="J181" s="295" t="str">
        <f>IF(I181="","",VLOOKUP($B181,'C-1 On-Site WaterC'' Baseline'!$C$9:$R$257,9,FALSE))</f>
        <v/>
      </c>
      <c r="K181" s="295" t="str">
        <f>IF(J181="","",VLOOKUP($B181,'C-1 On-Site WaterC'' Baseline'!$C$9:$R$257,10,FALSE))</f>
        <v/>
      </c>
      <c r="L181" s="295" t="str">
        <f>IF(B181="","",VLOOKUP($B181,'C-1 On-Site WaterC'' Baseline'!$C$9:$R$257,15,FALSE))</f>
        <v/>
      </c>
      <c r="M181" s="299" t="str">
        <f>IF(L181="","",VLOOKUP($B181,'C-1 On-Site WaterC'' Baseline'!$C$9:$R$257,16,FALSE))</f>
        <v/>
      </c>
      <c r="N181" s="245"/>
      <c r="O181" s="275" t="str">
        <f t="shared" si="21"/>
        <v/>
      </c>
      <c r="P181" s="276" t="str">
        <f t="shared" si="22"/>
        <v/>
      </c>
      <c r="Q181" s="336" t="str">
        <f>IF(N181="","",VLOOKUP(B181,'C-1 On-Site WaterC'' Baseline'!$C$10:$AC$257,20,FALSE))</f>
        <v/>
      </c>
      <c r="R181" s="275" t="str">
        <f>IF(N181="","",VLOOKUP(N181,'G-7 WaterC'' Data'!$B$2:$G$8,2,FALSE))</f>
        <v/>
      </c>
      <c r="S181" s="276" t="str">
        <f>IFERROR(VLOOKUP(R181,'G-7 WaterC'' Data'!$C$4:$D$8,2,FALSE),"")</f>
        <v/>
      </c>
      <c r="T181" s="101"/>
      <c r="U181" s="276" t="str">
        <f>IFERROR(INDEX('G-7 WaterC'' Data'!$H$4:$L$8,MATCH(N181,'G-7 WaterC'' Data'!$B$4:$B$8,0),MATCH(T181,'G-7 WaterC'' Data'!$H$3:$L$3,0)),"")</f>
        <v/>
      </c>
      <c r="V181" s="101"/>
      <c r="W181" s="283" t="str">
        <f>IF(V181="","",IF(VLOOKUP(V181,'G-7 WaterC'' Data'!$AK$4:$AM$6,2,FALSE)=0,"Spatial Data Missing ⚠",VLOOKUP(V181,'G-7 WaterC'' Data'!$AK$4:$AM$6,2,FALSE)))</f>
        <v/>
      </c>
      <c r="X181" s="276" t="str">
        <f>IF(V181="","",IF(VLOOKUP(V181,'G-7 WaterC'' Data'!$AK$4:$AM$6,3,FALSE)=0,"Spatial Data Missing ⚠",VLOOKUP(V181,'G-7 WaterC'' Data'!$AK$4:$AM$6,3,FALSE)))</f>
        <v/>
      </c>
      <c r="Y181" s="275" t="str">
        <f>IFERROR(IF(OR(LEFT(P181,5)="Error",LEFT(O181,5)="Error"),"Check Data ⚠",IF(F181&lt;S181,'G-7 WaterC'' Data'!$R$3,INDEX('G-7 WaterC'' Data'!$U$5:$Y$9,MATCH(G181,'G-7 WaterC'' Data'!$T$5:$T$9,0),MATCH(T181,'G-7 WaterC'' Data'!$U$4:$Y$4,0)))),"")</f>
        <v/>
      </c>
      <c r="Z181" s="133"/>
      <c r="AA181" s="133"/>
      <c r="AB181" s="283" t="str">
        <f t="shared" si="23"/>
        <v/>
      </c>
      <c r="AC181" s="296" t="str">
        <f t="shared" si="24"/>
        <v/>
      </c>
      <c r="AD181" s="334" t="str">
        <f>IFERROR(IF(AC181="Check Data ⚠","Check Data ⚠",VLOOKUP(AC181,'G-4 Temporal multipliers'!$A$4:$C$37,3,FALSE)),"")</f>
        <v/>
      </c>
      <c r="AE181" s="275" t="str">
        <f>IF(N181="","",VLOOKUP(N181,'G-7 WaterC'' Data'!$B$4:$G$8,5,FALSE))</f>
        <v/>
      </c>
      <c r="AF181" s="283" t="str">
        <f t="shared" si="25"/>
        <v/>
      </c>
      <c r="AG181" s="314" t="str">
        <f t="shared" si="26"/>
        <v/>
      </c>
      <c r="AH181" s="276" t="str">
        <f t="shared" si="20"/>
        <v/>
      </c>
      <c r="AI181" s="105"/>
      <c r="AJ181" s="276" t="str">
        <f>IF(AI181="","",IF(AND(AI181="N/A - Culvert",N181&lt;&gt;"Culvert"),"Not possible ▲",IF(VLOOKUP(AI181,'G-7 WaterC'' Data'!$AA$4:$AB$7,2,FALSE)=0,"Spatial Data Missing ⚠",VLOOKUP(AI181,'G-7 WaterC'' Data'!$AA$4:$AB$7,2,FALSE))))</f>
        <v/>
      </c>
      <c r="AK181" s="106"/>
      <c r="AL181" s="276" t="str">
        <f>IF(AK181="","",IF(AND(AK181="N/A - Culvert",N181&lt;&gt;"Culvert"),"Not possible ▲",IF(VLOOKUP(AK181,'G-7 WaterC'' Data'!$AD$4:$AE$14,2,FALSE)=0,"Spatial Data Missing ⚠",VLOOKUP(AK181,'G-7 WaterC'' Data'!$AD$4:$AE$14,2,FALSE))))</f>
        <v/>
      </c>
      <c r="AM181" s="317" t="str">
        <f t="shared" si="27"/>
        <v/>
      </c>
      <c r="AN181" s="101"/>
      <c r="AO181" s="115"/>
      <c r="AP181" s="104"/>
      <c r="AS181" s="30" t="str">
        <f>IF(B181="","",IF(ISNA(VLOOKUP($B181,'C-1 On-Site WaterC'' Baseline'!$C$8:$AD$257,17,FALSE)),"",(VLOOKUP($B181,'C-1 On-Site WaterC'' Baseline'!$C$8:$AD$257,17,FALSE))))</f>
        <v/>
      </c>
      <c r="AT181" s="30" t="str">
        <f>IF(B181="","",VLOOKUP($B181,'C-1 On-Site WaterC'' Baseline'!$C$9:$Z$257,12,FALSE))</f>
        <v/>
      </c>
      <c r="AU181" s="30" t="str">
        <f>IF(B181="","",VLOOKUP($B181,'C-1 On-Site WaterC'' Baseline'!$C$9:$Z$257,14,FALSE))</f>
        <v/>
      </c>
      <c r="AV181" s="30" t="str">
        <f>IFERROR(INDEX('G-7 WaterC'' Data'!$AZ$3:$AZ$7,MATCH(N181,'G-7 WaterC'' Data'!$AY$3:$AY$7,0)),"")</f>
        <v/>
      </c>
      <c r="AX181" s="30" t="str">
        <f>IF(B181="","",VLOOKUP($B181,'C-1 On-Site WaterC'' Baseline'!$C$9:$Y$257,22,FALSE))</f>
        <v/>
      </c>
      <c r="AY181" s="30" t="str">
        <f t="shared" si="28"/>
        <v/>
      </c>
      <c r="AZ181" s="30" t="str">
        <f>IF(B181="","",VLOOKUP($B181,'C-1 On-Site WaterC'' Baseline'!$C$9:$Y$257,21,FALSE))</f>
        <v/>
      </c>
      <c r="BA181" s="30" t="str">
        <f>IF(B181="","",VLOOKUP($B181,'C-1 On-Site WaterC'' Baseline'!$C$9:$Y$257,19,FALSE))</f>
        <v/>
      </c>
      <c r="BD181" s="30" t="str">
        <f t="shared" si="29"/>
        <v>No</v>
      </c>
    </row>
    <row r="182" spans="2:56" ht="14">
      <c r="B182" s="305" t="str">
        <f>'C-1 On-Site WaterC'' Baseline'!AP180</f>
        <v/>
      </c>
      <c r="C182" s="295" t="str">
        <f>IF(B182="","",VLOOKUP($B182,'C-1 On-Site WaterC'' Baseline'!$C$9:$R$257,2,FALSE))</f>
        <v/>
      </c>
      <c r="D182" s="295" t="str">
        <f>IF(C182="","",VLOOKUP($B182,'C-1 On-Site WaterC'' Baseline'!$C$9:$R$257,3,FALSE))</f>
        <v/>
      </c>
      <c r="E182" s="295" t="str">
        <f>IF(D182="","",VLOOKUP($B182,'C-1 On-Site WaterC'' Baseline'!$C$9:$R$257,4,FALSE))</f>
        <v/>
      </c>
      <c r="F182" s="295" t="str">
        <f>IF(E182="","",VLOOKUP($B182,'C-1 On-Site WaterC'' Baseline'!$C$9:$R$257,5,FALSE))</f>
        <v/>
      </c>
      <c r="G182" s="295" t="str">
        <f>IF(F182="","",VLOOKUP($B182,'C-1 On-Site WaterC'' Baseline'!$C$9:$R$257,6,FALSE))</f>
        <v/>
      </c>
      <c r="H182" s="295" t="str">
        <f>IF(G182="","",VLOOKUP($B182,'C-1 On-Site WaterC'' Baseline'!$C$9:$R$257,7,FALSE))</f>
        <v/>
      </c>
      <c r="I182" s="295" t="str">
        <f>IF(H182="","",VLOOKUP($B182,'C-1 On-Site WaterC'' Baseline'!$C$9:$R$257,8,FALSE))</f>
        <v/>
      </c>
      <c r="J182" s="295" t="str">
        <f>IF(I182="","",VLOOKUP($B182,'C-1 On-Site WaterC'' Baseline'!$C$9:$R$257,9,FALSE))</f>
        <v/>
      </c>
      <c r="K182" s="295" t="str">
        <f>IF(J182="","",VLOOKUP($B182,'C-1 On-Site WaterC'' Baseline'!$C$9:$R$257,10,FALSE))</f>
        <v/>
      </c>
      <c r="L182" s="295" t="str">
        <f>IF(B182="","",VLOOKUP($B182,'C-1 On-Site WaterC'' Baseline'!$C$9:$R$257,15,FALSE))</f>
        <v/>
      </c>
      <c r="M182" s="299" t="str">
        <f>IF(L182="","",VLOOKUP($B182,'C-1 On-Site WaterC'' Baseline'!$C$9:$R$257,16,FALSE))</f>
        <v/>
      </c>
      <c r="N182" s="245"/>
      <c r="O182" s="275" t="str">
        <f t="shared" si="21"/>
        <v/>
      </c>
      <c r="P182" s="276" t="str">
        <f t="shared" si="22"/>
        <v/>
      </c>
      <c r="Q182" s="336" t="str">
        <f>IF(N182="","",VLOOKUP(B182,'C-1 On-Site WaterC'' Baseline'!$C$10:$AC$257,20,FALSE))</f>
        <v/>
      </c>
      <c r="R182" s="275" t="str">
        <f>IF(N182="","",VLOOKUP(N182,'G-7 WaterC'' Data'!$B$2:$G$8,2,FALSE))</f>
        <v/>
      </c>
      <c r="S182" s="276" t="str">
        <f>IFERROR(VLOOKUP(R182,'G-7 WaterC'' Data'!$C$4:$D$8,2,FALSE),"")</f>
        <v/>
      </c>
      <c r="T182" s="101"/>
      <c r="U182" s="276" t="str">
        <f>IFERROR(INDEX('G-7 WaterC'' Data'!$H$4:$L$8,MATCH(N182,'G-7 WaterC'' Data'!$B$4:$B$8,0),MATCH(T182,'G-7 WaterC'' Data'!$H$3:$L$3,0)),"")</f>
        <v/>
      </c>
      <c r="V182" s="101"/>
      <c r="W182" s="283" t="str">
        <f>IF(V182="","",IF(VLOOKUP(V182,'G-7 WaterC'' Data'!$AK$4:$AM$6,2,FALSE)=0,"Spatial Data Missing ⚠",VLOOKUP(V182,'G-7 WaterC'' Data'!$AK$4:$AM$6,2,FALSE)))</f>
        <v/>
      </c>
      <c r="X182" s="276" t="str">
        <f>IF(V182="","",IF(VLOOKUP(V182,'G-7 WaterC'' Data'!$AK$4:$AM$6,3,FALSE)=0,"Spatial Data Missing ⚠",VLOOKUP(V182,'G-7 WaterC'' Data'!$AK$4:$AM$6,3,FALSE)))</f>
        <v/>
      </c>
      <c r="Y182" s="275" t="str">
        <f>IFERROR(IF(OR(LEFT(P182,5)="Error",LEFT(O182,5)="Error"),"Check Data ⚠",IF(F182&lt;S182,'G-7 WaterC'' Data'!$R$3,INDEX('G-7 WaterC'' Data'!$U$5:$Y$9,MATCH(G182,'G-7 WaterC'' Data'!$T$5:$T$9,0),MATCH(T182,'G-7 WaterC'' Data'!$U$4:$Y$4,0)))),"")</f>
        <v/>
      </c>
      <c r="Z182" s="133"/>
      <c r="AA182" s="133"/>
      <c r="AB182" s="283" t="str">
        <f t="shared" si="23"/>
        <v/>
      </c>
      <c r="AC182" s="296" t="str">
        <f t="shared" si="24"/>
        <v/>
      </c>
      <c r="AD182" s="334" t="str">
        <f>IFERROR(IF(AC182="Check Data ⚠","Check Data ⚠",VLOOKUP(AC182,'G-4 Temporal multipliers'!$A$4:$C$37,3,FALSE)),"")</f>
        <v/>
      </c>
      <c r="AE182" s="275" t="str">
        <f>IF(N182="","",VLOOKUP(N182,'G-7 WaterC'' Data'!$B$4:$G$8,5,FALSE))</f>
        <v/>
      </c>
      <c r="AF182" s="283" t="str">
        <f t="shared" si="25"/>
        <v/>
      </c>
      <c r="AG182" s="314" t="str">
        <f t="shared" si="26"/>
        <v/>
      </c>
      <c r="AH182" s="276" t="str">
        <f t="shared" si="20"/>
        <v/>
      </c>
      <c r="AI182" s="105"/>
      <c r="AJ182" s="276" t="str">
        <f>IF(AI182="","",IF(AND(AI182="N/A - Culvert",N182&lt;&gt;"Culvert"),"Not possible ▲",IF(VLOOKUP(AI182,'G-7 WaterC'' Data'!$AA$4:$AB$7,2,FALSE)=0,"Spatial Data Missing ⚠",VLOOKUP(AI182,'G-7 WaterC'' Data'!$AA$4:$AB$7,2,FALSE))))</f>
        <v/>
      </c>
      <c r="AK182" s="106"/>
      <c r="AL182" s="276" t="str">
        <f>IF(AK182="","",IF(AND(AK182="N/A - Culvert",N182&lt;&gt;"Culvert"),"Not possible ▲",IF(VLOOKUP(AK182,'G-7 WaterC'' Data'!$AD$4:$AE$14,2,FALSE)=0,"Spatial Data Missing ⚠",VLOOKUP(AK182,'G-7 WaterC'' Data'!$AD$4:$AE$14,2,FALSE))))</f>
        <v/>
      </c>
      <c r="AM182" s="317" t="str">
        <f t="shared" si="27"/>
        <v/>
      </c>
      <c r="AN182" s="101"/>
      <c r="AO182" s="115"/>
      <c r="AP182" s="104"/>
      <c r="AS182" s="30" t="str">
        <f>IF(B182="","",IF(ISNA(VLOOKUP($B182,'C-1 On-Site WaterC'' Baseline'!$C$8:$AD$257,17,FALSE)),"",(VLOOKUP($B182,'C-1 On-Site WaterC'' Baseline'!$C$8:$AD$257,17,FALSE))))</f>
        <v/>
      </c>
      <c r="AT182" s="30" t="str">
        <f>IF(B182="","",VLOOKUP($B182,'C-1 On-Site WaterC'' Baseline'!$C$9:$Z$257,12,FALSE))</f>
        <v/>
      </c>
      <c r="AU182" s="30" t="str">
        <f>IF(B182="","",VLOOKUP($B182,'C-1 On-Site WaterC'' Baseline'!$C$9:$Z$257,14,FALSE))</f>
        <v/>
      </c>
      <c r="AV182" s="30" t="str">
        <f>IFERROR(INDEX('G-7 WaterC'' Data'!$AZ$3:$AZ$7,MATCH(N182,'G-7 WaterC'' Data'!$AY$3:$AY$7,0)),"")</f>
        <v/>
      </c>
      <c r="AX182" s="30" t="str">
        <f>IF(B182="","",VLOOKUP($B182,'C-1 On-Site WaterC'' Baseline'!$C$9:$Y$257,22,FALSE))</f>
        <v/>
      </c>
      <c r="AY182" s="30" t="str">
        <f t="shared" si="28"/>
        <v/>
      </c>
      <c r="AZ182" s="30" t="str">
        <f>IF(B182="","",VLOOKUP($B182,'C-1 On-Site WaterC'' Baseline'!$C$9:$Y$257,21,FALSE))</f>
        <v/>
      </c>
      <c r="BA182" s="30" t="str">
        <f>IF(B182="","",VLOOKUP($B182,'C-1 On-Site WaterC'' Baseline'!$C$9:$Y$257,19,FALSE))</f>
        <v/>
      </c>
      <c r="BD182" s="30" t="str">
        <f t="shared" si="29"/>
        <v>No</v>
      </c>
    </row>
    <row r="183" spans="2:56" ht="14">
      <c r="B183" s="305" t="str">
        <f>'C-1 On-Site WaterC'' Baseline'!AP181</f>
        <v/>
      </c>
      <c r="C183" s="295" t="str">
        <f>IF(B183="","",VLOOKUP($B183,'C-1 On-Site WaterC'' Baseline'!$C$9:$R$257,2,FALSE))</f>
        <v/>
      </c>
      <c r="D183" s="295" t="str">
        <f>IF(C183="","",VLOOKUP($B183,'C-1 On-Site WaterC'' Baseline'!$C$9:$R$257,3,FALSE))</f>
        <v/>
      </c>
      <c r="E183" s="295" t="str">
        <f>IF(D183="","",VLOOKUP($B183,'C-1 On-Site WaterC'' Baseline'!$C$9:$R$257,4,FALSE))</f>
        <v/>
      </c>
      <c r="F183" s="295" t="str">
        <f>IF(E183="","",VLOOKUP($B183,'C-1 On-Site WaterC'' Baseline'!$C$9:$R$257,5,FALSE))</f>
        <v/>
      </c>
      <c r="G183" s="295" t="str">
        <f>IF(F183="","",VLOOKUP($B183,'C-1 On-Site WaterC'' Baseline'!$C$9:$R$257,6,FALSE))</f>
        <v/>
      </c>
      <c r="H183" s="295" t="str">
        <f>IF(G183="","",VLOOKUP($B183,'C-1 On-Site WaterC'' Baseline'!$C$9:$R$257,7,FALSE))</f>
        <v/>
      </c>
      <c r="I183" s="295" t="str">
        <f>IF(H183="","",VLOOKUP($B183,'C-1 On-Site WaterC'' Baseline'!$C$9:$R$257,8,FALSE))</f>
        <v/>
      </c>
      <c r="J183" s="295" t="str">
        <f>IF(I183="","",VLOOKUP($B183,'C-1 On-Site WaterC'' Baseline'!$C$9:$R$257,9,FALSE))</f>
        <v/>
      </c>
      <c r="K183" s="295" t="str">
        <f>IF(J183="","",VLOOKUP($B183,'C-1 On-Site WaterC'' Baseline'!$C$9:$R$257,10,FALSE))</f>
        <v/>
      </c>
      <c r="L183" s="295" t="str">
        <f>IF(B183="","",VLOOKUP($B183,'C-1 On-Site WaterC'' Baseline'!$C$9:$R$257,15,FALSE))</f>
        <v/>
      </c>
      <c r="M183" s="299" t="str">
        <f>IF(L183="","",VLOOKUP($B183,'C-1 On-Site WaterC'' Baseline'!$C$9:$R$257,16,FALSE))</f>
        <v/>
      </c>
      <c r="N183" s="245"/>
      <c r="O183" s="275" t="str">
        <f t="shared" si="21"/>
        <v/>
      </c>
      <c r="P183" s="276" t="str">
        <f t="shared" si="22"/>
        <v/>
      </c>
      <c r="Q183" s="336" t="str">
        <f>IF(N183="","",VLOOKUP(B183,'C-1 On-Site WaterC'' Baseline'!$C$10:$AC$257,20,FALSE))</f>
        <v/>
      </c>
      <c r="R183" s="275" t="str">
        <f>IF(N183="","",VLOOKUP(N183,'G-7 WaterC'' Data'!$B$2:$G$8,2,FALSE))</f>
        <v/>
      </c>
      <c r="S183" s="276" t="str">
        <f>IFERROR(VLOOKUP(R183,'G-7 WaterC'' Data'!$C$4:$D$8,2,FALSE),"")</f>
        <v/>
      </c>
      <c r="T183" s="101"/>
      <c r="U183" s="276" t="str">
        <f>IFERROR(INDEX('G-7 WaterC'' Data'!$H$4:$L$8,MATCH(N183,'G-7 WaterC'' Data'!$B$4:$B$8,0),MATCH(T183,'G-7 WaterC'' Data'!$H$3:$L$3,0)),"")</f>
        <v/>
      </c>
      <c r="V183" s="101"/>
      <c r="W183" s="283" t="str">
        <f>IF(V183="","",IF(VLOOKUP(V183,'G-7 WaterC'' Data'!$AK$4:$AM$6,2,FALSE)=0,"Spatial Data Missing ⚠",VLOOKUP(V183,'G-7 WaterC'' Data'!$AK$4:$AM$6,2,FALSE)))</f>
        <v/>
      </c>
      <c r="X183" s="276" t="str">
        <f>IF(V183="","",IF(VLOOKUP(V183,'G-7 WaterC'' Data'!$AK$4:$AM$6,3,FALSE)=0,"Spatial Data Missing ⚠",VLOOKUP(V183,'G-7 WaterC'' Data'!$AK$4:$AM$6,3,FALSE)))</f>
        <v/>
      </c>
      <c r="Y183" s="275" t="str">
        <f>IFERROR(IF(OR(LEFT(P183,5)="Error",LEFT(O183,5)="Error"),"Check Data ⚠",IF(F183&lt;S183,'G-7 WaterC'' Data'!$R$3,INDEX('G-7 WaterC'' Data'!$U$5:$Y$9,MATCH(G183,'G-7 WaterC'' Data'!$T$5:$T$9,0),MATCH(T183,'G-7 WaterC'' Data'!$U$4:$Y$4,0)))),"")</f>
        <v/>
      </c>
      <c r="Z183" s="133"/>
      <c r="AA183" s="133"/>
      <c r="AB183" s="283" t="str">
        <f t="shared" si="23"/>
        <v/>
      </c>
      <c r="AC183" s="296" t="str">
        <f t="shared" si="24"/>
        <v/>
      </c>
      <c r="AD183" s="334" t="str">
        <f>IFERROR(IF(AC183="Check Data ⚠","Check Data ⚠",VLOOKUP(AC183,'G-4 Temporal multipliers'!$A$4:$C$37,3,FALSE)),"")</f>
        <v/>
      </c>
      <c r="AE183" s="275" t="str">
        <f>IF(N183="","",VLOOKUP(N183,'G-7 WaterC'' Data'!$B$4:$G$8,5,FALSE))</f>
        <v/>
      </c>
      <c r="AF183" s="283" t="str">
        <f t="shared" si="25"/>
        <v/>
      </c>
      <c r="AG183" s="314" t="str">
        <f t="shared" si="26"/>
        <v/>
      </c>
      <c r="AH183" s="276" t="str">
        <f t="shared" si="20"/>
        <v/>
      </c>
      <c r="AI183" s="105"/>
      <c r="AJ183" s="276" t="str">
        <f>IF(AI183="","",IF(AND(AI183="N/A - Culvert",N183&lt;&gt;"Culvert"),"Not possible ▲",IF(VLOOKUP(AI183,'G-7 WaterC'' Data'!$AA$4:$AB$7,2,FALSE)=0,"Spatial Data Missing ⚠",VLOOKUP(AI183,'G-7 WaterC'' Data'!$AA$4:$AB$7,2,FALSE))))</f>
        <v/>
      </c>
      <c r="AK183" s="106"/>
      <c r="AL183" s="276" t="str">
        <f>IF(AK183="","",IF(AND(AK183="N/A - Culvert",N183&lt;&gt;"Culvert"),"Not possible ▲",IF(VLOOKUP(AK183,'G-7 WaterC'' Data'!$AD$4:$AE$14,2,FALSE)=0,"Spatial Data Missing ⚠",VLOOKUP(AK183,'G-7 WaterC'' Data'!$AD$4:$AE$14,2,FALSE))))</f>
        <v/>
      </c>
      <c r="AM183" s="317" t="str">
        <f t="shared" si="27"/>
        <v/>
      </c>
      <c r="AN183" s="101"/>
      <c r="AO183" s="115"/>
      <c r="AP183" s="104"/>
      <c r="AS183" s="30" t="str">
        <f>IF(B183="","",IF(ISNA(VLOOKUP($B183,'C-1 On-Site WaterC'' Baseline'!$C$8:$AD$257,17,FALSE)),"",(VLOOKUP($B183,'C-1 On-Site WaterC'' Baseline'!$C$8:$AD$257,17,FALSE))))</f>
        <v/>
      </c>
      <c r="AT183" s="30" t="str">
        <f>IF(B183="","",VLOOKUP($B183,'C-1 On-Site WaterC'' Baseline'!$C$9:$Z$257,12,FALSE))</f>
        <v/>
      </c>
      <c r="AU183" s="30" t="str">
        <f>IF(B183="","",VLOOKUP($B183,'C-1 On-Site WaterC'' Baseline'!$C$9:$Z$257,14,FALSE))</f>
        <v/>
      </c>
      <c r="AV183" s="30" t="str">
        <f>IFERROR(INDEX('G-7 WaterC'' Data'!$AZ$3:$AZ$7,MATCH(N183,'G-7 WaterC'' Data'!$AY$3:$AY$7,0)),"")</f>
        <v/>
      </c>
      <c r="AX183" s="30" t="str">
        <f>IF(B183="","",VLOOKUP($B183,'C-1 On-Site WaterC'' Baseline'!$C$9:$Y$257,22,FALSE))</f>
        <v/>
      </c>
      <c r="AY183" s="30" t="str">
        <f t="shared" si="28"/>
        <v/>
      </c>
      <c r="AZ183" s="30" t="str">
        <f>IF(B183="","",VLOOKUP($B183,'C-1 On-Site WaterC'' Baseline'!$C$9:$Y$257,21,FALSE))</f>
        <v/>
      </c>
      <c r="BA183" s="30" t="str">
        <f>IF(B183="","",VLOOKUP($B183,'C-1 On-Site WaterC'' Baseline'!$C$9:$Y$257,19,FALSE))</f>
        <v/>
      </c>
      <c r="BD183" s="30" t="str">
        <f t="shared" si="29"/>
        <v>No</v>
      </c>
    </row>
    <row r="184" spans="2:56" ht="14">
      <c r="B184" s="305" t="str">
        <f>'C-1 On-Site WaterC'' Baseline'!AP182</f>
        <v/>
      </c>
      <c r="C184" s="295" t="str">
        <f>IF(B184="","",VLOOKUP($B184,'C-1 On-Site WaterC'' Baseline'!$C$9:$R$257,2,FALSE))</f>
        <v/>
      </c>
      <c r="D184" s="295" t="str">
        <f>IF(C184="","",VLOOKUP($B184,'C-1 On-Site WaterC'' Baseline'!$C$9:$R$257,3,FALSE))</f>
        <v/>
      </c>
      <c r="E184" s="295" t="str">
        <f>IF(D184="","",VLOOKUP($B184,'C-1 On-Site WaterC'' Baseline'!$C$9:$R$257,4,FALSE))</f>
        <v/>
      </c>
      <c r="F184" s="295" t="str">
        <f>IF(E184="","",VLOOKUP($B184,'C-1 On-Site WaterC'' Baseline'!$C$9:$R$257,5,FALSE))</f>
        <v/>
      </c>
      <c r="G184" s="295" t="str">
        <f>IF(F184="","",VLOOKUP($B184,'C-1 On-Site WaterC'' Baseline'!$C$9:$R$257,6,FALSE))</f>
        <v/>
      </c>
      <c r="H184" s="295" t="str">
        <f>IF(G184="","",VLOOKUP($B184,'C-1 On-Site WaterC'' Baseline'!$C$9:$R$257,7,FALSE))</f>
        <v/>
      </c>
      <c r="I184" s="295" t="str">
        <f>IF(H184="","",VLOOKUP($B184,'C-1 On-Site WaterC'' Baseline'!$C$9:$R$257,8,FALSE))</f>
        <v/>
      </c>
      <c r="J184" s="295" t="str">
        <f>IF(I184="","",VLOOKUP($B184,'C-1 On-Site WaterC'' Baseline'!$C$9:$R$257,9,FALSE))</f>
        <v/>
      </c>
      <c r="K184" s="295" t="str">
        <f>IF(J184="","",VLOOKUP($B184,'C-1 On-Site WaterC'' Baseline'!$C$9:$R$257,10,FALSE))</f>
        <v/>
      </c>
      <c r="L184" s="295" t="str">
        <f>IF(B184="","",VLOOKUP($B184,'C-1 On-Site WaterC'' Baseline'!$C$9:$R$257,15,FALSE))</f>
        <v/>
      </c>
      <c r="M184" s="299" t="str">
        <f>IF(L184="","",VLOOKUP($B184,'C-1 On-Site WaterC'' Baseline'!$C$9:$R$257,16,FALSE))</f>
        <v/>
      </c>
      <c r="N184" s="245"/>
      <c r="O184" s="275" t="str">
        <f t="shared" si="21"/>
        <v/>
      </c>
      <c r="P184" s="276" t="str">
        <f t="shared" si="22"/>
        <v/>
      </c>
      <c r="Q184" s="336" t="str">
        <f>IF(N184="","",VLOOKUP(B184,'C-1 On-Site WaterC'' Baseline'!$C$10:$AC$257,20,FALSE))</f>
        <v/>
      </c>
      <c r="R184" s="275" t="str">
        <f>IF(N184="","",VLOOKUP(N184,'G-7 WaterC'' Data'!$B$2:$G$8,2,FALSE))</f>
        <v/>
      </c>
      <c r="S184" s="276" t="str">
        <f>IFERROR(VLOOKUP(R184,'G-7 WaterC'' Data'!$C$4:$D$8,2,FALSE),"")</f>
        <v/>
      </c>
      <c r="T184" s="101"/>
      <c r="U184" s="276" t="str">
        <f>IFERROR(INDEX('G-7 WaterC'' Data'!$H$4:$L$8,MATCH(N184,'G-7 WaterC'' Data'!$B$4:$B$8,0),MATCH(T184,'G-7 WaterC'' Data'!$H$3:$L$3,0)),"")</f>
        <v/>
      </c>
      <c r="V184" s="101"/>
      <c r="W184" s="283" t="str">
        <f>IF(V184="","",IF(VLOOKUP(V184,'G-7 WaterC'' Data'!$AK$4:$AM$6,2,FALSE)=0,"Spatial Data Missing ⚠",VLOOKUP(V184,'G-7 WaterC'' Data'!$AK$4:$AM$6,2,FALSE)))</f>
        <v/>
      </c>
      <c r="X184" s="276" t="str">
        <f>IF(V184="","",IF(VLOOKUP(V184,'G-7 WaterC'' Data'!$AK$4:$AM$6,3,FALSE)=0,"Spatial Data Missing ⚠",VLOOKUP(V184,'G-7 WaterC'' Data'!$AK$4:$AM$6,3,FALSE)))</f>
        <v/>
      </c>
      <c r="Y184" s="275" t="str">
        <f>IFERROR(IF(OR(LEFT(P184,5)="Error",LEFT(O184,5)="Error"),"Check Data ⚠",IF(F184&lt;S184,'G-7 WaterC'' Data'!$R$3,INDEX('G-7 WaterC'' Data'!$U$5:$Y$9,MATCH(G184,'G-7 WaterC'' Data'!$T$5:$T$9,0),MATCH(T184,'G-7 WaterC'' Data'!$U$4:$Y$4,0)))),"")</f>
        <v/>
      </c>
      <c r="Z184" s="133"/>
      <c r="AA184" s="133"/>
      <c r="AB184" s="283" t="str">
        <f t="shared" si="23"/>
        <v/>
      </c>
      <c r="AC184" s="296" t="str">
        <f t="shared" si="24"/>
        <v/>
      </c>
      <c r="AD184" s="334" t="str">
        <f>IFERROR(IF(AC184="Check Data ⚠","Check Data ⚠",VLOOKUP(AC184,'G-4 Temporal multipliers'!$A$4:$C$37,3,FALSE)),"")</f>
        <v/>
      </c>
      <c r="AE184" s="275" t="str">
        <f>IF(N184="","",VLOOKUP(N184,'G-7 WaterC'' Data'!$B$4:$G$8,5,FALSE))</f>
        <v/>
      </c>
      <c r="AF184" s="283" t="str">
        <f t="shared" si="25"/>
        <v/>
      </c>
      <c r="AG184" s="314" t="str">
        <f t="shared" si="26"/>
        <v/>
      </c>
      <c r="AH184" s="276" t="str">
        <f t="shared" si="20"/>
        <v/>
      </c>
      <c r="AI184" s="105"/>
      <c r="AJ184" s="276" t="str">
        <f>IF(AI184="","",IF(AND(AI184="N/A - Culvert",N184&lt;&gt;"Culvert"),"Not possible ▲",IF(VLOOKUP(AI184,'G-7 WaterC'' Data'!$AA$4:$AB$7,2,FALSE)=0,"Spatial Data Missing ⚠",VLOOKUP(AI184,'G-7 WaterC'' Data'!$AA$4:$AB$7,2,FALSE))))</f>
        <v/>
      </c>
      <c r="AK184" s="106"/>
      <c r="AL184" s="276" t="str">
        <f>IF(AK184="","",IF(AND(AK184="N/A - Culvert",N184&lt;&gt;"Culvert"),"Not possible ▲",IF(VLOOKUP(AK184,'G-7 WaterC'' Data'!$AD$4:$AE$14,2,FALSE)=0,"Spatial Data Missing ⚠",VLOOKUP(AK184,'G-7 WaterC'' Data'!$AD$4:$AE$14,2,FALSE))))</f>
        <v/>
      </c>
      <c r="AM184" s="317" t="str">
        <f t="shared" si="27"/>
        <v/>
      </c>
      <c r="AN184" s="101"/>
      <c r="AO184" s="115"/>
      <c r="AP184" s="104"/>
      <c r="AS184" s="30" t="str">
        <f>IF(B184="","",IF(ISNA(VLOOKUP($B184,'C-1 On-Site WaterC'' Baseline'!$C$8:$AD$257,17,FALSE)),"",(VLOOKUP($B184,'C-1 On-Site WaterC'' Baseline'!$C$8:$AD$257,17,FALSE))))</f>
        <v/>
      </c>
      <c r="AT184" s="30" t="str">
        <f>IF(B184="","",VLOOKUP($B184,'C-1 On-Site WaterC'' Baseline'!$C$9:$Z$257,12,FALSE))</f>
        <v/>
      </c>
      <c r="AU184" s="30" t="str">
        <f>IF(B184="","",VLOOKUP($B184,'C-1 On-Site WaterC'' Baseline'!$C$9:$Z$257,14,FALSE))</f>
        <v/>
      </c>
      <c r="AV184" s="30" t="str">
        <f>IFERROR(INDEX('G-7 WaterC'' Data'!$AZ$3:$AZ$7,MATCH(N184,'G-7 WaterC'' Data'!$AY$3:$AY$7,0)),"")</f>
        <v/>
      </c>
      <c r="AX184" s="30" t="str">
        <f>IF(B184="","",VLOOKUP($B184,'C-1 On-Site WaterC'' Baseline'!$C$9:$Y$257,22,FALSE))</f>
        <v/>
      </c>
      <c r="AY184" s="30" t="str">
        <f t="shared" si="28"/>
        <v/>
      </c>
      <c r="AZ184" s="30" t="str">
        <f>IF(B184="","",VLOOKUP($B184,'C-1 On-Site WaterC'' Baseline'!$C$9:$Y$257,21,FALSE))</f>
        <v/>
      </c>
      <c r="BA184" s="30" t="str">
        <f>IF(B184="","",VLOOKUP($B184,'C-1 On-Site WaterC'' Baseline'!$C$9:$Y$257,19,FALSE))</f>
        <v/>
      </c>
      <c r="BD184" s="30" t="str">
        <f t="shared" si="29"/>
        <v>No</v>
      </c>
    </row>
    <row r="185" spans="2:56" ht="14">
      <c r="B185" s="305" t="str">
        <f>'C-1 On-Site WaterC'' Baseline'!AP183</f>
        <v/>
      </c>
      <c r="C185" s="295" t="str">
        <f>IF(B185="","",VLOOKUP($B185,'C-1 On-Site WaterC'' Baseline'!$C$9:$R$257,2,FALSE))</f>
        <v/>
      </c>
      <c r="D185" s="295" t="str">
        <f>IF(C185="","",VLOOKUP($B185,'C-1 On-Site WaterC'' Baseline'!$C$9:$R$257,3,FALSE))</f>
        <v/>
      </c>
      <c r="E185" s="295" t="str">
        <f>IF(D185="","",VLOOKUP($B185,'C-1 On-Site WaterC'' Baseline'!$C$9:$R$257,4,FALSE))</f>
        <v/>
      </c>
      <c r="F185" s="295" t="str">
        <f>IF(E185="","",VLOOKUP($B185,'C-1 On-Site WaterC'' Baseline'!$C$9:$R$257,5,FALSE))</f>
        <v/>
      </c>
      <c r="G185" s="295" t="str">
        <f>IF(F185="","",VLOOKUP($B185,'C-1 On-Site WaterC'' Baseline'!$C$9:$R$257,6,FALSE))</f>
        <v/>
      </c>
      <c r="H185" s="295" t="str">
        <f>IF(G185="","",VLOOKUP($B185,'C-1 On-Site WaterC'' Baseline'!$C$9:$R$257,7,FALSE))</f>
        <v/>
      </c>
      <c r="I185" s="295" t="str">
        <f>IF(H185="","",VLOOKUP($B185,'C-1 On-Site WaterC'' Baseline'!$C$9:$R$257,8,FALSE))</f>
        <v/>
      </c>
      <c r="J185" s="295" t="str">
        <f>IF(I185="","",VLOOKUP($B185,'C-1 On-Site WaterC'' Baseline'!$C$9:$R$257,9,FALSE))</f>
        <v/>
      </c>
      <c r="K185" s="295" t="str">
        <f>IF(J185="","",VLOOKUP($B185,'C-1 On-Site WaterC'' Baseline'!$C$9:$R$257,10,FALSE))</f>
        <v/>
      </c>
      <c r="L185" s="295" t="str">
        <f>IF(B185="","",VLOOKUP($B185,'C-1 On-Site WaterC'' Baseline'!$C$9:$R$257,15,FALSE))</f>
        <v/>
      </c>
      <c r="M185" s="299" t="str">
        <f>IF(L185="","",VLOOKUP($B185,'C-1 On-Site WaterC'' Baseline'!$C$9:$R$257,16,FALSE))</f>
        <v/>
      </c>
      <c r="N185" s="245"/>
      <c r="O185" s="275" t="str">
        <f t="shared" si="21"/>
        <v/>
      </c>
      <c r="P185" s="276" t="str">
        <f t="shared" si="22"/>
        <v/>
      </c>
      <c r="Q185" s="336" t="str">
        <f>IF(N185="","",VLOOKUP(B185,'C-1 On-Site WaterC'' Baseline'!$C$10:$AC$257,20,FALSE))</f>
        <v/>
      </c>
      <c r="R185" s="275" t="str">
        <f>IF(N185="","",VLOOKUP(N185,'G-7 WaterC'' Data'!$B$2:$G$8,2,FALSE))</f>
        <v/>
      </c>
      <c r="S185" s="276" t="str">
        <f>IFERROR(VLOOKUP(R185,'G-7 WaterC'' Data'!$C$4:$D$8,2,FALSE),"")</f>
        <v/>
      </c>
      <c r="T185" s="101"/>
      <c r="U185" s="276" t="str">
        <f>IFERROR(INDEX('G-7 WaterC'' Data'!$H$4:$L$8,MATCH(N185,'G-7 WaterC'' Data'!$B$4:$B$8,0),MATCH(T185,'G-7 WaterC'' Data'!$H$3:$L$3,0)),"")</f>
        <v/>
      </c>
      <c r="V185" s="101"/>
      <c r="W185" s="283" t="str">
        <f>IF(V185="","",IF(VLOOKUP(V185,'G-7 WaterC'' Data'!$AK$4:$AM$6,2,FALSE)=0,"Spatial Data Missing ⚠",VLOOKUP(V185,'G-7 WaterC'' Data'!$AK$4:$AM$6,2,FALSE)))</f>
        <v/>
      </c>
      <c r="X185" s="276" t="str">
        <f>IF(V185="","",IF(VLOOKUP(V185,'G-7 WaterC'' Data'!$AK$4:$AM$6,3,FALSE)=0,"Spatial Data Missing ⚠",VLOOKUP(V185,'G-7 WaterC'' Data'!$AK$4:$AM$6,3,FALSE)))</f>
        <v/>
      </c>
      <c r="Y185" s="275" t="str">
        <f>IFERROR(IF(OR(LEFT(P185,5)="Error",LEFT(O185,5)="Error"),"Check Data ⚠",IF(F185&lt;S185,'G-7 WaterC'' Data'!$R$3,INDEX('G-7 WaterC'' Data'!$U$5:$Y$9,MATCH(G185,'G-7 WaterC'' Data'!$T$5:$T$9,0),MATCH(T185,'G-7 WaterC'' Data'!$U$4:$Y$4,0)))),"")</f>
        <v/>
      </c>
      <c r="Z185" s="133"/>
      <c r="AA185" s="133"/>
      <c r="AB185" s="283" t="str">
        <f t="shared" si="23"/>
        <v/>
      </c>
      <c r="AC185" s="296" t="str">
        <f t="shared" si="24"/>
        <v/>
      </c>
      <c r="AD185" s="334" t="str">
        <f>IFERROR(IF(AC185="Check Data ⚠","Check Data ⚠",VLOOKUP(AC185,'G-4 Temporal multipliers'!$A$4:$C$37,3,FALSE)),"")</f>
        <v/>
      </c>
      <c r="AE185" s="275" t="str">
        <f>IF(N185="","",VLOOKUP(N185,'G-7 WaterC'' Data'!$B$4:$G$8,5,FALSE))</f>
        <v/>
      </c>
      <c r="AF185" s="283" t="str">
        <f t="shared" si="25"/>
        <v/>
      </c>
      <c r="AG185" s="314" t="str">
        <f t="shared" si="26"/>
        <v/>
      </c>
      <c r="AH185" s="276" t="str">
        <f t="shared" si="20"/>
        <v/>
      </c>
      <c r="AI185" s="105"/>
      <c r="AJ185" s="276" t="str">
        <f>IF(AI185="","",IF(AND(AI185="N/A - Culvert",N185&lt;&gt;"Culvert"),"Not possible ▲",IF(VLOOKUP(AI185,'G-7 WaterC'' Data'!$AA$4:$AB$7,2,FALSE)=0,"Spatial Data Missing ⚠",VLOOKUP(AI185,'G-7 WaterC'' Data'!$AA$4:$AB$7,2,FALSE))))</f>
        <v/>
      </c>
      <c r="AK185" s="106"/>
      <c r="AL185" s="276" t="str">
        <f>IF(AK185="","",IF(AND(AK185="N/A - Culvert",N185&lt;&gt;"Culvert"),"Not possible ▲",IF(VLOOKUP(AK185,'G-7 WaterC'' Data'!$AD$4:$AE$14,2,FALSE)=0,"Spatial Data Missing ⚠",VLOOKUP(AK185,'G-7 WaterC'' Data'!$AD$4:$AE$14,2,FALSE))))</f>
        <v/>
      </c>
      <c r="AM185" s="317" t="str">
        <f t="shared" si="27"/>
        <v/>
      </c>
      <c r="AN185" s="101"/>
      <c r="AO185" s="115"/>
      <c r="AP185" s="104"/>
      <c r="AS185" s="30" t="str">
        <f>IF(B185="","",IF(ISNA(VLOOKUP($B185,'C-1 On-Site WaterC'' Baseline'!$C$8:$AD$257,17,FALSE)),"",(VLOOKUP($B185,'C-1 On-Site WaterC'' Baseline'!$C$8:$AD$257,17,FALSE))))</f>
        <v/>
      </c>
      <c r="AT185" s="30" t="str">
        <f>IF(B185="","",VLOOKUP($B185,'C-1 On-Site WaterC'' Baseline'!$C$9:$Z$257,12,FALSE))</f>
        <v/>
      </c>
      <c r="AU185" s="30" t="str">
        <f>IF(B185="","",VLOOKUP($B185,'C-1 On-Site WaterC'' Baseline'!$C$9:$Z$257,14,FALSE))</f>
        <v/>
      </c>
      <c r="AV185" s="30" t="str">
        <f>IFERROR(INDEX('G-7 WaterC'' Data'!$AZ$3:$AZ$7,MATCH(N185,'G-7 WaterC'' Data'!$AY$3:$AY$7,0)),"")</f>
        <v/>
      </c>
      <c r="AX185" s="30" t="str">
        <f>IF(B185="","",VLOOKUP($B185,'C-1 On-Site WaterC'' Baseline'!$C$9:$Y$257,22,FALSE))</f>
        <v/>
      </c>
      <c r="AY185" s="30" t="str">
        <f t="shared" si="28"/>
        <v/>
      </c>
      <c r="AZ185" s="30" t="str">
        <f>IF(B185="","",VLOOKUP($B185,'C-1 On-Site WaterC'' Baseline'!$C$9:$Y$257,21,FALSE))</f>
        <v/>
      </c>
      <c r="BA185" s="30" t="str">
        <f>IF(B185="","",VLOOKUP($B185,'C-1 On-Site WaterC'' Baseline'!$C$9:$Y$257,19,FALSE))</f>
        <v/>
      </c>
      <c r="BD185" s="30" t="str">
        <f t="shared" si="29"/>
        <v>No</v>
      </c>
    </row>
    <row r="186" spans="2:56" ht="14">
      <c r="B186" s="305" t="str">
        <f>'C-1 On-Site WaterC'' Baseline'!AP184</f>
        <v/>
      </c>
      <c r="C186" s="295" t="str">
        <f>IF(B186="","",VLOOKUP($B186,'C-1 On-Site WaterC'' Baseline'!$C$9:$R$257,2,FALSE))</f>
        <v/>
      </c>
      <c r="D186" s="295" t="str">
        <f>IF(C186="","",VLOOKUP($B186,'C-1 On-Site WaterC'' Baseline'!$C$9:$R$257,3,FALSE))</f>
        <v/>
      </c>
      <c r="E186" s="295" t="str">
        <f>IF(D186="","",VLOOKUP($B186,'C-1 On-Site WaterC'' Baseline'!$C$9:$R$257,4,FALSE))</f>
        <v/>
      </c>
      <c r="F186" s="295" t="str">
        <f>IF(E186="","",VLOOKUP($B186,'C-1 On-Site WaterC'' Baseline'!$C$9:$R$257,5,FALSE))</f>
        <v/>
      </c>
      <c r="G186" s="295" t="str">
        <f>IF(F186="","",VLOOKUP($B186,'C-1 On-Site WaterC'' Baseline'!$C$9:$R$257,6,FALSE))</f>
        <v/>
      </c>
      <c r="H186" s="295" t="str">
        <f>IF(G186="","",VLOOKUP($B186,'C-1 On-Site WaterC'' Baseline'!$C$9:$R$257,7,FALSE))</f>
        <v/>
      </c>
      <c r="I186" s="295" t="str">
        <f>IF(H186="","",VLOOKUP($B186,'C-1 On-Site WaterC'' Baseline'!$C$9:$R$257,8,FALSE))</f>
        <v/>
      </c>
      <c r="J186" s="295" t="str">
        <f>IF(I186="","",VLOOKUP($B186,'C-1 On-Site WaterC'' Baseline'!$C$9:$R$257,9,FALSE))</f>
        <v/>
      </c>
      <c r="K186" s="295" t="str">
        <f>IF(J186="","",VLOOKUP($B186,'C-1 On-Site WaterC'' Baseline'!$C$9:$R$257,10,FALSE))</f>
        <v/>
      </c>
      <c r="L186" s="295" t="str">
        <f>IF(B186="","",VLOOKUP($B186,'C-1 On-Site WaterC'' Baseline'!$C$9:$R$257,15,FALSE))</f>
        <v/>
      </c>
      <c r="M186" s="299" t="str">
        <f>IF(L186="","",VLOOKUP($B186,'C-1 On-Site WaterC'' Baseline'!$C$9:$R$257,16,FALSE))</f>
        <v/>
      </c>
      <c r="N186" s="245"/>
      <c r="O186" s="275" t="str">
        <f t="shared" si="21"/>
        <v/>
      </c>
      <c r="P186" s="276" t="str">
        <f t="shared" si="22"/>
        <v/>
      </c>
      <c r="Q186" s="336" t="str">
        <f>IF(N186="","",VLOOKUP(B186,'C-1 On-Site WaterC'' Baseline'!$C$10:$AC$257,20,FALSE))</f>
        <v/>
      </c>
      <c r="R186" s="275" t="str">
        <f>IF(N186="","",VLOOKUP(N186,'G-7 WaterC'' Data'!$B$2:$G$8,2,FALSE))</f>
        <v/>
      </c>
      <c r="S186" s="276" t="str">
        <f>IFERROR(VLOOKUP(R186,'G-7 WaterC'' Data'!$C$4:$D$8,2,FALSE),"")</f>
        <v/>
      </c>
      <c r="T186" s="101"/>
      <c r="U186" s="276" t="str">
        <f>IFERROR(INDEX('G-7 WaterC'' Data'!$H$4:$L$8,MATCH(N186,'G-7 WaterC'' Data'!$B$4:$B$8,0),MATCH(T186,'G-7 WaterC'' Data'!$H$3:$L$3,0)),"")</f>
        <v/>
      </c>
      <c r="V186" s="101"/>
      <c r="W186" s="283" t="str">
        <f>IF(V186="","",IF(VLOOKUP(V186,'G-7 WaterC'' Data'!$AK$4:$AM$6,2,FALSE)=0,"Spatial Data Missing ⚠",VLOOKUP(V186,'G-7 WaterC'' Data'!$AK$4:$AM$6,2,FALSE)))</f>
        <v/>
      </c>
      <c r="X186" s="276" t="str">
        <f>IF(V186="","",IF(VLOOKUP(V186,'G-7 WaterC'' Data'!$AK$4:$AM$6,3,FALSE)=0,"Spatial Data Missing ⚠",VLOOKUP(V186,'G-7 WaterC'' Data'!$AK$4:$AM$6,3,FALSE)))</f>
        <v/>
      </c>
      <c r="Y186" s="275" t="str">
        <f>IFERROR(IF(OR(LEFT(P186,5)="Error",LEFT(O186,5)="Error"),"Check Data ⚠",IF(F186&lt;S186,'G-7 WaterC'' Data'!$R$3,INDEX('G-7 WaterC'' Data'!$U$5:$Y$9,MATCH(G186,'G-7 WaterC'' Data'!$T$5:$T$9,0),MATCH(T186,'G-7 WaterC'' Data'!$U$4:$Y$4,0)))),"")</f>
        <v/>
      </c>
      <c r="Z186" s="133"/>
      <c r="AA186" s="133"/>
      <c r="AB186" s="283" t="str">
        <f t="shared" si="23"/>
        <v/>
      </c>
      <c r="AC186" s="296" t="str">
        <f t="shared" si="24"/>
        <v/>
      </c>
      <c r="AD186" s="334" t="str">
        <f>IFERROR(IF(AC186="Check Data ⚠","Check Data ⚠",VLOOKUP(AC186,'G-4 Temporal multipliers'!$A$4:$C$37,3,FALSE)),"")</f>
        <v/>
      </c>
      <c r="AE186" s="275" t="str">
        <f>IF(N186="","",VLOOKUP(N186,'G-7 WaterC'' Data'!$B$4:$G$8,5,FALSE))</f>
        <v/>
      </c>
      <c r="AF186" s="283" t="str">
        <f t="shared" si="25"/>
        <v/>
      </c>
      <c r="AG186" s="314" t="str">
        <f t="shared" si="26"/>
        <v/>
      </c>
      <c r="AH186" s="276" t="str">
        <f t="shared" si="20"/>
        <v/>
      </c>
      <c r="AI186" s="105"/>
      <c r="AJ186" s="276" t="str">
        <f>IF(AI186="","",IF(AND(AI186="N/A - Culvert",N186&lt;&gt;"Culvert"),"Not possible ▲",IF(VLOOKUP(AI186,'G-7 WaterC'' Data'!$AA$4:$AB$7,2,FALSE)=0,"Spatial Data Missing ⚠",VLOOKUP(AI186,'G-7 WaterC'' Data'!$AA$4:$AB$7,2,FALSE))))</f>
        <v/>
      </c>
      <c r="AK186" s="106"/>
      <c r="AL186" s="276" t="str">
        <f>IF(AK186="","",IF(AND(AK186="N/A - Culvert",N186&lt;&gt;"Culvert"),"Not possible ▲",IF(VLOOKUP(AK186,'G-7 WaterC'' Data'!$AD$4:$AE$14,2,FALSE)=0,"Spatial Data Missing ⚠",VLOOKUP(AK186,'G-7 WaterC'' Data'!$AD$4:$AE$14,2,FALSE))))</f>
        <v/>
      </c>
      <c r="AM186" s="317" t="str">
        <f t="shared" si="27"/>
        <v/>
      </c>
      <c r="AN186" s="101"/>
      <c r="AO186" s="115"/>
      <c r="AP186" s="104"/>
      <c r="AS186" s="30" t="str">
        <f>IF(B186="","",IF(ISNA(VLOOKUP($B186,'C-1 On-Site WaterC'' Baseline'!$C$8:$AD$257,17,FALSE)),"",(VLOOKUP($B186,'C-1 On-Site WaterC'' Baseline'!$C$8:$AD$257,17,FALSE))))</f>
        <v/>
      </c>
      <c r="AT186" s="30" t="str">
        <f>IF(B186="","",VLOOKUP($B186,'C-1 On-Site WaterC'' Baseline'!$C$9:$Z$257,12,FALSE))</f>
        <v/>
      </c>
      <c r="AU186" s="30" t="str">
        <f>IF(B186="","",VLOOKUP($B186,'C-1 On-Site WaterC'' Baseline'!$C$9:$Z$257,14,FALSE))</f>
        <v/>
      </c>
      <c r="AV186" s="30" t="str">
        <f>IFERROR(INDEX('G-7 WaterC'' Data'!$AZ$3:$AZ$7,MATCH(N186,'G-7 WaterC'' Data'!$AY$3:$AY$7,0)),"")</f>
        <v/>
      </c>
      <c r="AX186" s="30" t="str">
        <f>IF(B186="","",VLOOKUP($B186,'C-1 On-Site WaterC'' Baseline'!$C$9:$Y$257,22,FALSE))</f>
        <v/>
      </c>
      <c r="AY186" s="30" t="str">
        <f t="shared" si="28"/>
        <v/>
      </c>
      <c r="AZ186" s="30" t="str">
        <f>IF(B186="","",VLOOKUP($B186,'C-1 On-Site WaterC'' Baseline'!$C$9:$Y$257,21,FALSE))</f>
        <v/>
      </c>
      <c r="BA186" s="30" t="str">
        <f>IF(B186="","",VLOOKUP($B186,'C-1 On-Site WaterC'' Baseline'!$C$9:$Y$257,19,FALSE))</f>
        <v/>
      </c>
      <c r="BD186" s="30" t="str">
        <f t="shared" si="29"/>
        <v>No</v>
      </c>
    </row>
    <row r="187" spans="2:56" ht="14">
      <c r="B187" s="305" t="str">
        <f>'C-1 On-Site WaterC'' Baseline'!AP185</f>
        <v/>
      </c>
      <c r="C187" s="295" t="str">
        <f>IF(B187="","",VLOOKUP($B187,'C-1 On-Site WaterC'' Baseline'!$C$9:$R$257,2,FALSE))</f>
        <v/>
      </c>
      <c r="D187" s="295" t="str">
        <f>IF(C187="","",VLOOKUP($B187,'C-1 On-Site WaterC'' Baseline'!$C$9:$R$257,3,FALSE))</f>
        <v/>
      </c>
      <c r="E187" s="295" t="str">
        <f>IF(D187="","",VLOOKUP($B187,'C-1 On-Site WaterC'' Baseline'!$C$9:$R$257,4,FALSE))</f>
        <v/>
      </c>
      <c r="F187" s="295" t="str">
        <f>IF(E187="","",VLOOKUP($B187,'C-1 On-Site WaterC'' Baseline'!$C$9:$R$257,5,FALSE))</f>
        <v/>
      </c>
      <c r="G187" s="295" t="str">
        <f>IF(F187="","",VLOOKUP($B187,'C-1 On-Site WaterC'' Baseline'!$C$9:$R$257,6,FALSE))</f>
        <v/>
      </c>
      <c r="H187" s="295" t="str">
        <f>IF(G187="","",VLOOKUP($B187,'C-1 On-Site WaterC'' Baseline'!$C$9:$R$257,7,FALSE))</f>
        <v/>
      </c>
      <c r="I187" s="295" t="str">
        <f>IF(H187="","",VLOOKUP($B187,'C-1 On-Site WaterC'' Baseline'!$C$9:$R$257,8,FALSE))</f>
        <v/>
      </c>
      <c r="J187" s="295" t="str">
        <f>IF(I187="","",VLOOKUP($B187,'C-1 On-Site WaterC'' Baseline'!$C$9:$R$257,9,FALSE))</f>
        <v/>
      </c>
      <c r="K187" s="295" t="str">
        <f>IF(J187="","",VLOOKUP($B187,'C-1 On-Site WaterC'' Baseline'!$C$9:$R$257,10,FALSE))</f>
        <v/>
      </c>
      <c r="L187" s="295" t="str">
        <f>IF(B187="","",VLOOKUP($B187,'C-1 On-Site WaterC'' Baseline'!$C$9:$R$257,15,FALSE))</f>
        <v/>
      </c>
      <c r="M187" s="299" t="str">
        <f>IF(L187="","",VLOOKUP($B187,'C-1 On-Site WaterC'' Baseline'!$C$9:$R$257,16,FALSE))</f>
        <v/>
      </c>
      <c r="N187" s="245"/>
      <c r="O187" s="275" t="str">
        <f t="shared" si="21"/>
        <v/>
      </c>
      <c r="P187" s="276" t="str">
        <f t="shared" si="22"/>
        <v/>
      </c>
      <c r="Q187" s="336" t="str">
        <f>IF(N187="","",VLOOKUP(B187,'C-1 On-Site WaterC'' Baseline'!$C$10:$AC$257,20,FALSE))</f>
        <v/>
      </c>
      <c r="R187" s="275" t="str">
        <f>IF(N187="","",VLOOKUP(N187,'G-7 WaterC'' Data'!$B$2:$G$8,2,FALSE))</f>
        <v/>
      </c>
      <c r="S187" s="276" t="str">
        <f>IFERROR(VLOOKUP(R187,'G-7 WaterC'' Data'!$C$4:$D$8,2,FALSE),"")</f>
        <v/>
      </c>
      <c r="T187" s="101"/>
      <c r="U187" s="276" t="str">
        <f>IFERROR(INDEX('G-7 WaterC'' Data'!$H$4:$L$8,MATCH(N187,'G-7 WaterC'' Data'!$B$4:$B$8,0),MATCH(T187,'G-7 WaterC'' Data'!$H$3:$L$3,0)),"")</f>
        <v/>
      </c>
      <c r="V187" s="101"/>
      <c r="W187" s="283" t="str">
        <f>IF(V187="","",IF(VLOOKUP(V187,'G-7 WaterC'' Data'!$AK$4:$AM$6,2,FALSE)=0,"Spatial Data Missing ⚠",VLOOKUP(V187,'G-7 WaterC'' Data'!$AK$4:$AM$6,2,FALSE)))</f>
        <v/>
      </c>
      <c r="X187" s="276" t="str">
        <f>IF(V187="","",IF(VLOOKUP(V187,'G-7 WaterC'' Data'!$AK$4:$AM$6,3,FALSE)=0,"Spatial Data Missing ⚠",VLOOKUP(V187,'G-7 WaterC'' Data'!$AK$4:$AM$6,3,FALSE)))</f>
        <v/>
      </c>
      <c r="Y187" s="275" t="str">
        <f>IFERROR(IF(OR(LEFT(P187,5)="Error",LEFT(O187,5)="Error"),"Check Data ⚠",IF(F187&lt;S187,'G-7 WaterC'' Data'!$R$3,INDEX('G-7 WaterC'' Data'!$U$5:$Y$9,MATCH(G187,'G-7 WaterC'' Data'!$T$5:$T$9,0),MATCH(T187,'G-7 WaterC'' Data'!$U$4:$Y$4,0)))),"")</f>
        <v/>
      </c>
      <c r="Z187" s="133"/>
      <c r="AA187" s="133"/>
      <c r="AB187" s="283" t="str">
        <f t="shared" si="23"/>
        <v/>
      </c>
      <c r="AC187" s="296" t="str">
        <f t="shared" si="24"/>
        <v/>
      </c>
      <c r="AD187" s="334" t="str">
        <f>IFERROR(IF(AC187="Check Data ⚠","Check Data ⚠",VLOOKUP(AC187,'G-4 Temporal multipliers'!$A$4:$C$37,3,FALSE)),"")</f>
        <v/>
      </c>
      <c r="AE187" s="275" t="str">
        <f>IF(N187="","",VLOOKUP(N187,'G-7 WaterC'' Data'!$B$4:$G$8,5,FALSE))</f>
        <v/>
      </c>
      <c r="AF187" s="283" t="str">
        <f t="shared" si="25"/>
        <v/>
      </c>
      <c r="AG187" s="314" t="str">
        <f t="shared" si="26"/>
        <v/>
      </c>
      <c r="AH187" s="276" t="str">
        <f t="shared" si="20"/>
        <v/>
      </c>
      <c r="AI187" s="105"/>
      <c r="AJ187" s="276" t="str">
        <f>IF(AI187="","",IF(AND(AI187="N/A - Culvert",N187&lt;&gt;"Culvert"),"Not possible ▲",IF(VLOOKUP(AI187,'G-7 WaterC'' Data'!$AA$4:$AB$7,2,FALSE)=0,"Spatial Data Missing ⚠",VLOOKUP(AI187,'G-7 WaterC'' Data'!$AA$4:$AB$7,2,FALSE))))</f>
        <v/>
      </c>
      <c r="AK187" s="106"/>
      <c r="AL187" s="276" t="str">
        <f>IF(AK187="","",IF(AND(AK187="N/A - Culvert",N187&lt;&gt;"Culvert"),"Not possible ▲",IF(VLOOKUP(AK187,'G-7 WaterC'' Data'!$AD$4:$AE$14,2,FALSE)=0,"Spatial Data Missing ⚠",VLOOKUP(AK187,'G-7 WaterC'' Data'!$AD$4:$AE$14,2,FALSE))))</f>
        <v/>
      </c>
      <c r="AM187" s="317" t="str">
        <f t="shared" si="27"/>
        <v/>
      </c>
      <c r="AN187" s="101"/>
      <c r="AO187" s="115"/>
      <c r="AP187" s="104"/>
      <c r="AS187" s="30" t="str">
        <f>IF(B187="","",IF(ISNA(VLOOKUP($B187,'C-1 On-Site WaterC'' Baseline'!$C$8:$AD$257,17,FALSE)),"",(VLOOKUP($B187,'C-1 On-Site WaterC'' Baseline'!$C$8:$AD$257,17,FALSE))))</f>
        <v/>
      </c>
      <c r="AT187" s="30" t="str">
        <f>IF(B187="","",VLOOKUP($B187,'C-1 On-Site WaterC'' Baseline'!$C$9:$Z$257,12,FALSE))</f>
        <v/>
      </c>
      <c r="AU187" s="30" t="str">
        <f>IF(B187="","",VLOOKUP($B187,'C-1 On-Site WaterC'' Baseline'!$C$9:$Z$257,14,FALSE))</f>
        <v/>
      </c>
      <c r="AV187" s="30" t="str">
        <f>IFERROR(INDEX('G-7 WaterC'' Data'!$AZ$3:$AZ$7,MATCH(N187,'G-7 WaterC'' Data'!$AY$3:$AY$7,0)),"")</f>
        <v/>
      </c>
      <c r="AX187" s="30" t="str">
        <f>IF(B187="","",VLOOKUP($B187,'C-1 On-Site WaterC'' Baseline'!$C$9:$Y$257,22,FALSE))</f>
        <v/>
      </c>
      <c r="AY187" s="30" t="str">
        <f t="shared" si="28"/>
        <v/>
      </c>
      <c r="AZ187" s="30" t="str">
        <f>IF(B187="","",VLOOKUP($B187,'C-1 On-Site WaterC'' Baseline'!$C$9:$Y$257,21,FALSE))</f>
        <v/>
      </c>
      <c r="BA187" s="30" t="str">
        <f>IF(B187="","",VLOOKUP($B187,'C-1 On-Site WaterC'' Baseline'!$C$9:$Y$257,19,FALSE))</f>
        <v/>
      </c>
      <c r="BD187" s="30" t="str">
        <f t="shared" si="29"/>
        <v>No</v>
      </c>
    </row>
    <row r="188" spans="2:56" ht="14">
      <c r="B188" s="305" t="str">
        <f>'C-1 On-Site WaterC'' Baseline'!AP186</f>
        <v/>
      </c>
      <c r="C188" s="295" t="str">
        <f>IF(B188="","",VLOOKUP($B188,'C-1 On-Site WaterC'' Baseline'!$C$9:$R$257,2,FALSE))</f>
        <v/>
      </c>
      <c r="D188" s="295" t="str">
        <f>IF(C188="","",VLOOKUP($B188,'C-1 On-Site WaterC'' Baseline'!$C$9:$R$257,3,FALSE))</f>
        <v/>
      </c>
      <c r="E188" s="295" t="str">
        <f>IF(D188="","",VLOOKUP($B188,'C-1 On-Site WaterC'' Baseline'!$C$9:$R$257,4,FALSE))</f>
        <v/>
      </c>
      <c r="F188" s="295" t="str">
        <f>IF(E188="","",VLOOKUP($B188,'C-1 On-Site WaterC'' Baseline'!$C$9:$R$257,5,FALSE))</f>
        <v/>
      </c>
      <c r="G188" s="295" t="str">
        <f>IF(F188="","",VLOOKUP($B188,'C-1 On-Site WaterC'' Baseline'!$C$9:$R$257,6,FALSE))</f>
        <v/>
      </c>
      <c r="H188" s="295" t="str">
        <f>IF(G188="","",VLOOKUP($B188,'C-1 On-Site WaterC'' Baseline'!$C$9:$R$257,7,FALSE))</f>
        <v/>
      </c>
      <c r="I188" s="295" t="str">
        <f>IF(H188="","",VLOOKUP($B188,'C-1 On-Site WaterC'' Baseline'!$C$9:$R$257,8,FALSE))</f>
        <v/>
      </c>
      <c r="J188" s="295" t="str">
        <f>IF(I188="","",VLOOKUP($B188,'C-1 On-Site WaterC'' Baseline'!$C$9:$R$257,9,FALSE))</f>
        <v/>
      </c>
      <c r="K188" s="295" t="str">
        <f>IF(J188="","",VLOOKUP($B188,'C-1 On-Site WaterC'' Baseline'!$C$9:$R$257,10,FALSE))</f>
        <v/>
      </c>
      <c r="L188" s="295" t="str">
        <f>IF(B188="","",VLOOKUP($B188,'C-1 On-Site WaterC'' Baseline'!$C$9:$R$257,15,FALSE))</f>
        <v/>
      </c>
      <c r="M188" s="299" t="str">
        <f>IF(L188="","",VLOOKUP($B188,'C-1 On-Site WaterC'' Baseline'!$C$9:$R$257,16,FALSE))</f>
        <v/>
      </c>
      <c r="N188" s="245"/>
      <c r="O188" s="275" t="str">
        <f t="shared" si="21"/>
        <v/>
      </c>
      <c r="P188" s="276" t="str">
        <f t="shared" si="22"/>
        <v/>
      </c>
      <c r="Q188" s="336" t="str">
        <f>IF(N188="","",VLOOKUP(B188,'C-1 On-Site WaterC'' Baseline'!$C$10:$AC$257,20,FALSE))</f>
        <v/>
      </c>
      <c r="R188" s="275" t="str">
        <f>IF(N188="","",VLOOKUP(N188,'G-7 WaterC'' Data'!$B$2:$G$8,2,FALSE))</f>
        <v/>
      </c>
      <c r="S188" s="276" t="str">
        <f>IFERROR(VLOOKUP(R188,'G-7 WaterC'' Data'!$C$4:$D$8,2,FALSE),"")</f>
        <v/>
      </c>
      <c r="T188" s="101"/>
      <c r="U188" s="276" t="str">
        <f>IFERROR(INDEX('G-7 WaterC'' Data'!$H$4:$L$8,MATCH(N188,'G-7 WaterC'' Data'!$B$4:$B$8,0),MATCH(T188,'G-7 WaterC'' Data'!$H$3:$L$3,0)),"")</f>
        <v/>
      </c>
      <c r="V188" s="101"/>
      <c r="W188" s="283" t="str">
        <f>IF(V188="","",IF(VLOOKUP(V188,'G-7 WaterC'' Data'!$AK$4:$AM$6,2,FALSE)=0,"Spatial Data Missing ⚠",VLOOKUP(V188,'G-7 WaterC'' Data'!$AK$4:$AM$6,2,FALSE)))</f>
        <v/>
      </c>
      <c r="X188" s="276" t="str">
        <f>IF(V188="","",IF(VLOOKUP(V188,'G-7 WaterC'' Data'!$AK$4:$AM$6,3,FALSE)=0,"Spatial Data Missing ⚠",VLOOKUP(V188,'G-7 WaterC'' Data'!$AK$4:$AM$6,3,FALSE)))</f>
        <v/>
      </c>
      <c r="Y188" s="275" t="str">
        <f>IFERROR(IF(OR(LEFT(P188,5)="Error",LEFT(O188,5)="Error"),"Check Data ⚠",IF(F188&lt;S188,'G-7 WaterC'' Data'!$R$3,INDEX('G-7 WaterC'' Data'!$U$5:$Y$9,MATCH(G188,'G-7 WaterC'' Data'!$T$5:$T$9,0),MATCH(T188,'G-7 WaterC'' Data'!$U$4:$Y$4,0)))),"")</f>
        <v/>
      </c>
      <c r="Z188" s="133"/>
      <c r="AA188" s="133"/>
      <c r="AB188" s="283" t="str">
        <f t="shared" si="23"/>
        <v/>
      </c>
      <c r="AC188" s="296" t="str">
        <f t="shared" si="24"/>
        <v/>
      </c>
      <c r="AD188" s="334" t="str">
        <f>IFERROR(IF(AC188="Check Data ⚠","Check Data ⚠",VLOOKUP(AC188,'G-4 Temporal multipliers'!$A$4:$C$37,3,FALSE)),"")</f>
        <v/>
      </c>
      <c r="AE188" s="275" t="str">
        <f>IF(N188="","",VLOOKUP(N188,'G-7 WaterC'' Data'!$B$4:$G$8,5,FALSE))</f>
        <v/>
      </c>
      <c r="AF188" s="283" t="str">
        <f t="shared" si="25"/>
        <v/>
      </c>
      <c r="AG188" s="314" t="str">
        <f t="shared" si="26"/>
        <v/>
      </c>
      <c r="AH188" s="276" t="str">
        <f t="shared" si="20"/>
        <v/>
      </c>
      <c r="AI188" s="105"/>
      <c r="AJ188" s="276" t="str">
        <f>IF(AI188="","",IF(AND(AI188="N/A - Culvert",N188&lt;&gt;"Culvert"),"Not possible ▲",IF(VLOOKUP(AI188,'G-7 WaterC'' Data'!$AA$4:$AB$7,2,FALSE)=0,"Spatial Data Missing ⚠",VLOOKUP(AI188,'G-7 WaterC'' Data'!$AA$4:$AB$7,2,FALSE))))</f>
        <v/>
      </c>
      <c r="AK188" s="106"/>
      <c r="AL188" s="276" t="str">
        <f>IF(AK188="","",IF(AND(AK188="N/A - Culvert",N188&lt;&gt;"Culvert"),"Not possible ▲",IF(VLOOKUP(AK188,'G-7 WaterC'' Data'!$AD$4:$AE$14,2,FALSE)=0,"Spatial Data Missing ⚠",VLOOKUP(AK188,'G-7 WaterC'' Data'!$AD$4:$AE$14,2,FALSE))))</f>
        <v/>
      </c>
      <c r="AM188" s="317" t="str">
        <f t="shared" si="27"/>
        <v/>
      </c>
      <c r="AN188" s="101"/>
      <c r="AO188" s="115"/>
      <c r="AP188" s="104"/>
      <c r="AS188" s="30" t="str">
        <f>IF(B188="","",IF(ISNA(VLOOKUP($B188,'C-1 On-Site WaterC'' Baseline'!$C$8:$AD$257,17,FALSE)),"",(VLOOKUP($B188,'C-1 On-Site WaterC'' Baseline'!$C$8:$AD$257,17,FALSE))))</f>
        <v/>
      </c>
      <c r="AT188" s="30" t="str">
        <f>IF(B188="","",VLOOKUP($B188,'C-1 On-Site WaterC'' Baseline'!$C$9:$Z$257,12,FALSE))</f>
        <v/>
      </c>
      <c r="AU188" s="30" t="str">
        <f>IF(B188="","",VLOOKUP($B188,'C-1 On-Site WaterC'' Baseline'!$C$9:$Z$257,14,FALSE))</f>
        <v/>
      </c>
      <c r="AV188" s="30" t="str">
        <f>IFERROR(INDEX('G-7 WaterC'' Data'!$AZ$3:$AZ$7,MATCH(N188,'G-7 WaterC'' Data'!$AY$3:$AY$7,0)),"")</f>
        <v/>
      </c>
      <c r="AX188" s="30" t="str">
        <f>IF(B188="","",VLOOKUP($B188,'C-1 On-Site WaterC'' Baseline'!$C$9:$Y$257,22,FALSE))</f>
        <v/>
      </c>
      <c r="AY188" s="30" t="str">
        <f t="shared" si="28"/>
        <v/>
      </c>
      <c r="AZ188" s="30" t="str">
        <f>IF(B188="","",VLOOKUP($B188,'C-1 On-Site WaterC'' Baseline'!$C$9:$Y$257,21,FALSE))</f>
        <v/>
      </c>
      <c r="BA188" s="30" t="str">
        <f>IF(B188="","",VLOOKUP($B188,'C-1 On-Site WaterC'' Baseline'!$C$9:$Y$257,19,FALSE))</f>
        <v/>
      </c>
      <c r="BD188" s="30" t="str">
        <f t="shared" si="29"/>
        <v>No</v>
      </c>
    </row>
    <row r="189" spans="2:56" ht="14">
      <c r="B189" s="305" t="str">
        <f>'C-1 On-Site WaterC'' Baseline'!AP187</f>
        <v/>
      </c>
      <c r="C189" s="295" t="str">
        <f>IF(B189="","",VLOOKUP($B189,'C-1 On-Site WaterC'' Baseline'!$C$9:$R$257,2,FALSE))</f>
        <v/>
      </c>
      <c r="D189" s="295" t="str">
        <f>IF(C189="","",VLOOKUP($B189,'C-1 On-Site WaterC'' Baseline'!$C$9:$R$257,3,FALSE))</f>
        <v/>
      </c>
      <c r="E189" s="295" t="str">
        <f>IF(D189="","",VLOOKUP($B189,'C-1 On-Site WaterC'' Baseline'!$C$9:$R$257,4,FALSE))</f>
        <v/>
      </c>
      <c r="F189" s="295" t="str">
        <f>IF(E189="","",VLOOKUP($B189,'C-1 On-Site WaterC'' Baseline'!$C$9:$R$257,5,FALSE))</f>
        <v/>
      </c>
      <c r="G189" s="295" t="str">
        <f>IF(F189="","",VLOOKUP($B189,'C-1 On-Site WaterC'' Baseline'!$C$9:$R$257,6,FALSE))</f>
        <v/>
      </c>
      <c r="H189" s="295" t="str">
        <f>IF(G189="","",VLOOKUP($B189,'C-1 On-Site WaterC'' Baseline'!$C$9:$R$257,7,FALSE))</f>
        <v/>
      </c>
      <c r="I189" s="295" t="str">
        <f>IF(H189="","",VLOOKUP($B189,'C-1 On-Site WaterC'' Baseline'!$C$9:$R$257,8,FALSE))</f>
        <v/>
      </c>
      <c r="J189" s="295" t="str">
        <f>IF(I189="","",VLOOKUP($B189,'C-1 On-Site WaterC'' Baseline'!$C$9:$R$257,9,FALSE))</f>
        <v/>
      </c>
      <c r="K189" s="295" t="str">
        <f>IF(J189="","",VLOOKUP($B189,'C-1 On-Site WaterC'' Baseline'!$C$9:$R$257,10,FALSE))</f>
        <v/>
      </c>
      <c r="L189" s="295" t="str">
        <f>IF(B189="","",VLOOKUP($B189,'C-1 On-Site WaterC'' Baseline'!$C$9:$R$257,15,FALSE))</f>
        <v/>
      </c>
      <c r="M189" s="299" t="str">
        <f>IF(L189="","",VLOOKUP($B189,'C-1 On-Site WaterC'' Baseline'!$C$9:$R$257,16,FALSE))</f>
        <v/>
      </c>
      <c r="N189" s="245"/>
      <c r="O189" s="275" t="str">
        <f t="shared" si="21"/>
        <v/>
      </c>
      <c r="P189" s="276" t="str">
        <f t="shared" si="22"/>
        <v/>
      </c>
      <c r="Q189" s="336" t="str">
        <f>IF(N189="","",VLOOKUP(B189,'C-1 On-Site WaterC'' Baseline'!$C$10:$AC$257,20,FALSE))</f>
        <v/>
      </c>
      <c r="R189" s="275" t="str">
        <f>IF(N189="","",VLOOKUP(N189,'G-7 WaterC'' Data'!$B$2:$G$8,2,FALSE))</f>
        <v/>
      </c>
      <c r="S189" s="276" t="str">
        <f>IFERROR(VLOOKUP(R189,'G-7 WaterC'' Data'!$C$4:$D$8,2,FALSE),"")</f>
        <v/>
      </c>
      <c r="T189" s="101"/>
      <c r="U189" s="276" t="str">
        <f>IFERROR(INDEX('G-7 WaterC'' Data'!$H$4:$L$8,MATCH(N189,'G-7 WaterC'' Data'!$B$4:$B$8,0),MATCH(T189,'G-7 WaterC'' Data'!$H$3:$L$3,0)),"")</f>
        <v/>
      </c>
      <c r="V189" s="101"/>
      <c r="W189" s="283" t="str">
        <f>IF(V189="","",IF(VLOOKUP(V189,'G-7 WaterC'' Data'!$AK$4:$AM$6,2,FALSE)=0,"Spatial Data Missing ⚠",VLOOKUP(V189,'G-7 WaterC'' Data'!$AK$4:$AM$6,2,FALSE)))</f>
        <v/>
      </c>
      <c r="X189" s="276" t="str">
        <f>IF(V189="","",IF(VLOOKUP(V189,'G-7 WaterC'' Data'!$AK$4:$AM$6,3,FALSE)=0,"Spatial Data Missing ⚠",VLOOKUP(V189,'G-7 WaterC'' Data'!$AK$4:$AM$6,3,FALSE)))</f>
        <v/>
      </c>
      <c r="Y189" s="275" t="str">
        <f>IFERROR(IF(OR(LEFT(P189,5)="Error",LEFT(O189,5)="Error"),"Check Data ⚠",IF(F189&lt;S189,'G-7 WaterC'' Data'!$R$3,INDEX('G-7 WaterC'' Data'!$U$5:$Y$9,MATCH(G189,'G-7 WaterC'' Data'!$T$5:$T$9,0),MATCH(T189,'G-7 WaterC'' Data'!$U$4:$Y$4,0)))),"")</f>
        <v/>
      </c>
      <c r="Z189" s="133"/>
      <c r="AA189" s="133"/>
      <c r="AB189" s="283" t="str">
        <f t="shared" si="23"/>
        <v/>
      </c>
      <c r="AC189" s="296" t="str">
        <f t="shared" si="24"/>
        <v/>
      </c>
      <c r="AD189" s="334" t="str">
        <f>IFERROR(IF(AC189="Check Data ⚠","Check Data ⚠",VLOOKUP(AC189,'G-4 Temporal multipliers'!$A$4:$C$37,3,FALSE)),"")</f>
        <v/>
      </c>
      <c r="AE189" s="275" t="str">
        <f>IF(N189="","",VLOOKUP(N189,'G-7 WaterC'' Data'!$B$4:$G$8,5,FALSE))</f>
        <v/>
      </c>
      <c r="AF189" s="283" t="str">
        <f t="shared" si="25"/>
        <v/>
      </c>
      <c r="AG189" s="314" t="str">
        <f t="shared" si="26"/>
        <v/>
      </c>
      <c r="AH189" s="276" t="str">
        <f t="shared" si="20"/>
        <v/>
      </c>
      <c r="AI189" s="105"/>
      <c r="AJ189" s="276" t="str">
        <f>IF(AI189="","",IF(AND(AI189="N/A - Culvert",N189&lt;&gt;"Culvert"),"Not possible ▲",IF(VLOOKUP(AI189,'G-7 WaterC'' Data'!$AA$4:$AB$7,2,FALSE)=0,"Spatial Data Missing ⚠",VLOOKUP(AI189,'G-7 WaterC'' Data'!$AA$4:$AB$7,2,FALSE))))</f>
        <v/>
      </c>
      <c r="AK189" s="106"/>
      <c r="AL189" s="276" t="str">
        <f>IF(AK189="","",IF(AND(AK189="N/A - Culvert",N189&lt;&gt;"Culvert"),"Not possible ▲",IF(VLOOKUP(AK189,'G-7 WaterC'' Data'!$AD$4:$AE$14,2,FALSE)=0,"Spatial Data Missing ⚠",VLOOKUP(AK189,'G-7 WaterC'' Data'!$AD$4:$AE$14,2,FALSE))))</f>
        <v/>
      </c>
      <c r="AM189" s="317" t="str">
        <f t="shared" si="27"/>
        <v/>
      </c>
      <c r="AN189" s="101"/>
      <c r="AO189" s="115"/>
      <c r="AP189" s="104"/>
      <c r="AS189" s="30" t="str">
        <f>IF(B189="","",IF(ISNA(VLOOKUP($B189,'C-1 On-Site WaterC'' Baseline'!$C$8:$AD$257,17,FALSE)),"",(VLOOKUP($B189,'C-1 On-Site WaterC'' Baseline'!$C$8:$AD$257,17,FALSE))))</f>
        <v/>
      </c>
      <c r="AT189" s="30" t="str">
        <f>IF(B189="","",VLOOKUP($B189,'C-1 On-Site WaterC'' Baseline'!$C$9:$Z$257,12,FALSE))</f>
        <v/>
      </c>
      <c r="AU189" s="30" t="str">
        <f>IF(B189="","",VLOOKUP($B189,'C-1 On-Site WaterC'' Baseline'!$C$9:$Z$257,14,FALSE))</f>
        <v/>
      </c>
      <c r="AV189" s="30" t="str">
        <f>IFERROR(INDEX('G-7 WaterC'' Data'!$AZ$3:$AZ$7,MATCH(N189,'G-7 WaterC'' Data'!$AY$3:$AY$7,0)),"")</f>
        <v/>
      </c>
      <c r="AX189" s="30" t="str">
        <f>IF(B189="","",VLOOKUP($B189,'C-1 On-Site WaterC'' Baseline'!$C$9:$Y$257,22,FALSE))</f>
        <v/>
      </c>
      <c r="AY189" s="30" t="str">
        <f t="shared" si="28"/>
        <v/>
      </c>
      <c r="AZ189" s="30" t="str">
        <f>IF(B189="","",VLOOKUP($B189,'C-1 On-Site WaterC'' Baseline'!$C$9:$Y$257,21,FALSE))</f>
        <v/>
      </c>
      <c r="BA189" s="30" t="str">
        <f>IF(B189="","",VLOOKUP($B189,'C-1 On-Site WaterC'' Baseline'!$C$9:$Y$257,19,FALSE))</f>
        <v/>
      </c>
      <c r="BD189" s="30" t="str">
        <f t="shared" si="29"/>
        <v>No</v>
      </c>
    </row>
    <row r="190" spans="2:56" ht="14">
      <c r="B190" s="305" t="str">
        <f>'C-1 On-Site WaterC'' Baseline'!AP188</f>
        <v/>
      </c>
      <c r="C190" s="295" t="str">
        <f>IF(B190="","",VLOOKUP($B190,'C-1 On-Site WaterC'' Baseline'!$C$9:$R$257,2,FALSE))</f>
        <v/>
      </c>
      <c r="D190" s="295" t="str">
        <f>IF(C190="","",VLOOKUP($B190,'C-1 On-Site WaterC'' Baseline'!$C$9:$R$257,3,FALSE))</f>
        <v/>
      </c>
      <c r="E190" s="295" t="str">
        <f>IF(D190="","",VLOOKUP($B190,'C-1 On-Site WaterC'' Baseline'!$C$9:$R$257,4,FALSE))</f>
        <v/>
      </c>
      <c r="F190" s="295" t="str">
        <f>IF(E190="","",VLOOKUP($B190,'C-1 On-Site WaterC'' Baseline'!$C$9:$R$257,5,FALSE))</f>
        <v/>
      </c>
      <c r="G190" s="295" t="str">
        <f>IF(F190="","",VLOOKUP($B190,'C-1 On-Site WaterC'' Baseline'!$C$9:$R$257,6,FALSE))</f>
        <v/>
      </c>
      <c r="H190" s="295" t="str">
        <f>IF(G190="","",VLOOKUP($B190,'C-1 On-Site WaterC'' Baseline'!$C$9:$R$257,7,FALSE))</f>
        <v/>
      </c>
      <c r="I190" s="295" t="str">
        <f>IF(H190="","",VLOOKUP($B190,'C-1 On-Site WaterC'' Baseline'!$C$9:$R$257,8,FALSE))</f>
        <v/>
      </c>
      <c r="J190" s="295" t="str">
        <f>IF(I190="","",VLOOKUP($B190,'C-1 On-Site WaterC'' Baseline'!$C$9:$R$257,9,FALSE))</f>
        <v/>
      </c>
      <c r="K190" s="295" t="str">
        <f>IF(J190="","",VLOOKUP($B190,'C-1 On-Site WaterC'' Baseline'!$C$9:$R$257,10,FALSE))</f>
        <v/>
      </c>
      <c r="L190" s="295" t="str">
        <f>IF(B190="","",VLOOKUP($B190,'C-1 On-Site WaterC'' Baseline'!$C$9:$R$257,15,FALSE))</f>
        <v/>
      </c>
      <c r="M190" s="299" t="str">
        <f>IF(L190="","",VLOOKUP($B190,'C-1 On-Site WaterC'' Baseline'!$C$9:$R$257,16,FALSE))</f>
        <v/>
      </c>
      <c r="N190" s="245"/>
      <c r="O190" s="275" t="str">
        <f t="shared" si="21"/>
        <v/>
      </c>
      <c r="P190" s="276" t="str">
        <f t="shared" si="22"/>
        <v/>
      </c>
      <c r="Q190" s="336" t="str">
        <f>IF(N190="","",VLOOKUP(B190,'C-1 On-Site WaterC'' Baseline'!$C$10:$AC$257,20,FALSE))</f>
        <v/>
      </c>
      <c r="R190" s="275" t="str">
        <f>IF(N190="","",VLOOKUP(N190,'G-7 WaterC'' Data'!$B$2:$G$8,2,FALSE))</f>
        <v/>
      </c>
      <c r="S190" s="276" t="str">
        <f>IFERROR(VLOOKUP(R190,'G-7 WaterC'' Data'!$C$4:$D$8,2,FALSE),"")</f>
        <v/>
      </c>
      <c r="T190" s="101"/>
      <c r="U190" s="276" t="str">
        <f>IFERROR(INDEX('G-7 WaterC'' Data'!$H$4:$L$8,MATCH(N190,'G-7 WaterC'' Data'!$B$4:$B$8,0),MATCH(T190,'G-7 WaterC'' Data'!$H$3:$L$3,0)),"")</f>
        <v/>
      </c>
      <c r="V190" s="101"/>
      <c r="W190" s="283" t="str">
        <f>IF(V190="","",IF(VLOOKUP(V190,'G-7 WaterC'' Data'!$AK$4:$AM$6,2,FALSE)=0,"Spatial Data Missing ⚠",VLOOKUP(V190,'G-7 WaterC'' Data'!$AK$4:$AM$6,2,FALSE)))</f>
        <v/>
      </c>
      <c r="X190" s="276" t="str">
        <f>IF(V190="","",IF(VLOOKUP(V190,'G-7 WaterC'' Data'!$AK$4:$AM$6,3,FALSE)=0,"Spatial Data Missing ⚠",VLOOKUP(V190,'G-7 WaterC'' Data'!$AK$4:$AM$6,3,FALSE)))</f>
        <v/>
      </c>
      <c r="Y190" s="275" t="str">
        <f>IFERROR(IF(OR(LEFT(P190,5)="Error",LEFT(O190,5)="Error"),"Check Data ⚠",IF(F190&lt;S190,'G-7 WaterC'' Data'!$R$3,INDEX('G-7 WaterC'' Data'!$U$5:$Y$9,MATCH(G190,'G-7 WaterC'' Data'!$T$5:$T$9,0),MATCH(T190,'G-7 WaterC'' Data'!$U$4:$Y$4,0)))),"")</f>
        <v/>
      </c>
      <c r="Z190" s="133"/>
      <c r="AA190" s="133"/>
      <c r="AB190" s="283" t="str">
        <f t="shared" si="23"/>
        <v/>
      </c>
      <c r="AC190" s="296" t="str">
        <f t="shared" si="24"/>
        <v/>
      </c>
      <c r="AD190" s="334" t="str">
        <f>IFERROR(IF(AC190="Check Data ⚠","Check Data ⚠",VLOOKUP(AC190,'G-4 Temporal multipliers'!$A$4:$C$37,3,FALSE)),"")</f>
        <v/>
      </c>
      <c r="AE190" s="275" t="str">
        <f>IF(N190="","",VLOOKUP(N190,'G-7 WaterC'' Data'!$B$4:$G$8,5,FALSE))</f>
        <v/>
      </c>
      <c r="AF190" s="283" t="str">
        <f t="shared" si="25"/>
        <v/>
      </c>
      <c r="AG190" s="314" t="str">
        <f t="shared" si="26"/>
        <v/>
      </c>
      <c r="AH190" s="276" t="str">
        <f t="shared" si="20"/>
        <v/>
      </c>
      <c r="AI190" s="105"/>
      <c r="AJ190" s="276" t="str">
        <f>IF(AI190="","",IF(AND(AI190="N/A - Culvert",N190&lt;&gt;"Culvert"),"Not possible ▲",IF(VLOOKUP(AI190,'G-7 WaterC'' Data'!$AA$4:$AB$7,2,FALSE)=0,"Spatial Data Missing ⚠",VLOOKUP(AI190,'G-7 WaterC'' Data'!$AA$4:$AB$7,2,FALSE))))</f>
        <v/>
      </c>
      <c r="AK190" s="106"/>
      <c r="AL190" s="276" t="str">
        <f>IF(AK190="","",IF(AND(AK190="N/A - Culvert",N190&lt;&gt;"Culvert"),"Not possible ▲",IF(VLOOKUP(AK190,'G-7 WaterC'' Data'!$AD$4:$AE$14,2,FALSE)=0,"Spatial Data Missing ⚠",VLOOKUP(AK190,'G-7 WaterC'' Data'!$AD$4:$AE$14,2,FALSE))))</f>
        <v/>
      </c>
      <c r="AM190" s="317" t="str">
        <f t="shared" si="27"/>
        <v/>
      </c>
      <c r="AN190" s="101"/>
      <c r="AO190" s="115"/>
      <c r="AP190" s="104"/>
      <c r="AS190" s="30" t="str">
        <f>IF(B190="","",IF(ISNA(VLOOKUP($B190,'C-1 On-Site WaterC'' Baseline'!$C$8:$AD$257,17,FALSE)),"",(VLOOKUP($B190,'C-1 On-Site WaterC'' Baseline'!$C$8:$AD$257,17,FALSE))))</f>
        <v/>
      </c>
      <c r="AT190" s="30" t="str">
        <f>IF(B190="","",VLOOKUP($B190,'C-1 On-Site WaterC'' Baseline'!$C$9:$Z$257,12,FALSE))</f>
        <v/>
      </c>
      <c r="AU190" s="30" t="str">
        <f>IF(B190="","",VLOOKUP($B190,'C-1 On-Site WaterC'' Baseline'!$C$9:$Z$257,14,FALSE))</f>
        <v/>
      </c>
      <c r="AV190" s="30" t="str">
        <f>IFERROR(INDEX('G-7 WaterC'' Data'!$AZ$3:$AZ$7,MATCH(N190,'G-7 WaterC'' Data'!$AY$3:$AY$7,0)),"")</f>
        <v/>
      </c>
      <c r="AX190" s="30" t="str">
        <f>IF(B190="","",VLOOKUP($B190,'C-1 On-Site WaterC'' Baseline'!$C$9:$Y$257,22,FALSE))</f>
        <v/>
      </c>
      <c r="AY190" s="30" t="str">
        <f t="shared" si="28"/>
        <v/>
      </c>
      <c r="AZ190" s="30" t="str">
        <f>IF(B190="","",VLOOKUP($B190,'C-1 On-Site WaterC'' Baseline'!$C$9:$Y$257,21,FALSE))</f>
        <v/>
      </c>
      <c r="BA190" s="30" t="str">
        <f>IF(B190="","",VLOOKUP($B190,'C-1 On-Site WaterC'' Baseline'!$C$9:$Y$257,19,FALSE))</f>
        <v/>
      </c>
      <c r="BD190" s="30" t="str">
        <f t="shared" si="29"/>
        <v>No</v>
      </c>
    </row>
    <row r="191" spans="2:56" ht="14">
      <c r="B191" s="305" t="str">
        <f>'C-1 On-Site WaterC'' Baseline'!AP189</f>
        <v/>
      </c>
      <c r="C191" s="295" t="str">
        <f>IF(B191="","",VLOOKUP($B191,'C-1 On-Site WaterC'' Baseline'!$C$9:$R$257,2,FALSE))</f>
        <v/>
      </c>
      <c r="D191" s="295" t="str">
        <f>IF(C191="","",VLOOKUP($B191,'C-1 On-Site WaterC'' Baseline'!$C$9:$R$257,3,FALSE))</f>
        <v/>
      </c>
      <c r="E191" s="295" t="str">
        <f>IF(D191="","",VLOOKUP($B191,'C-1 On-Site WaterC'' Baseline'!$C$9:$R$257,4,FALSE))</f>
        <v/>
      </c>
      <c r="F191" s="295" t="str">
        <f>IF(E191="","",VLOOKUP($B191,'C-1 On-Site WaterC'' Baseline'!$C$9:$R$257,5,FALSE))</f>
        <v/>
      </c>
      <c r="G191" s="295" t="str">
        <f>IF(F191="","",VLOOKUP($B191,'C-1 On-Site WaterC'' Baseline'!$C$9:$R$257,6,FALSE))</f>
        <v/>
      </c>
      <c r="H191" s="295" t="str">
        <f>IF(G191="","",VLOOKUP($B191,'C-1 On-Site WaterC'' Baseline'!$C$9:$R$257,7,FALSE))</f>
        <v/>
      </c>
      <c r="I191" s="295" t="str">
        <f>IF(H191="","",VLOOKUP($B191,'C-1 On-Site WaterC'' Baseline'!$C$9:$R$257,8,FALSE))</f>
        <v/>
      </c>
      <c r="J191" s="295" t="str">
        <f>IF(I191="","",VLOOKUP($B191,'C-1 On-Site WaterC'' Baseline'!$C$9:$R$257,9,FALSE))</f>
        <v/>
      </c>
      <c r="K191" s="295" t="str">
        <f>IF(J191="","",VLOOKUP($B191,'C-1 On-Site WaterC'' Baseline'!$C$9:$R$257,10,FALSE))</f>
        <v/>
      </c>
      <c r="L191" s="295" t="str">
        <f>IF(B191="","",VLOOKUP($B191,'C-1 On-Site WaterC'' Baseline'!$C$9:$R$257,15,FALSE))</f>
        <v/>
      </c>
      <c r="M191" s="299" t="str">
        <f>IF(L191="","",VLOOKUP($B191,'C-1 On-Site WaterC'' Baseline'!$C$9:$R$257,16,FALSE))</f>
        <v/>
      </c>
      <c r="N191" s="245"/>
      <c r="O191" s="275" t="str">
        <f t="shared" si="21"/>
        <v/>
      </c>
      <c r="P191" s="276" t="str">
        <f t="shared" si="22"/>
        <v/>
      </c>
      <c r="Q191" s="336" t="str">
        <f>IF(N191="","",VLOOKUP(B191,'C-1 On-Site WaterC'' Baseline'!$C$10:$AC$257,20,FALSE))</f>
        <v/>
      </c>
      <c r="R191" s="275" t="str">
        <f>IF(N191="","",VLOOKUP(N191,'G-7 WaterC'' Data'!$B$2:$G$8,2,FALSE))</f>
        <v/>
      </c>
      <c r="S191" s="276" t="str">
        <f>IFERROR(VLOOKUP(R191,'G-7 WaterC'' Data'!$C$4:$D$8,2,FALSE),"")</f>
        <v/>
      </c>
      <c r="T191" s="101"/>
      <c r="U191" s="276" t="str">
        <f>IFERROR(INDEX('G-7 WaterC'' Data'!$H$4:$L$8,MATCH(N191,'G-7 WaterC'' Data'!$B$4:$B$8,0),MATCH(T191,'G-7 WaterC'' Data'!$H$3:$L$3,0)),"")</f>
        <v/>
      </c>
      <c r="V191" s="101"/>
      <c r="W191" s="283" t="str">
        <f>IF(V191="","",IF(VLOOKUP(V191,'G-7 WaterC'' Data'!$AK$4:$AM$6,2,FALSE)=0,"Spatial Data Missing ⚠",VLOOKUP(V191,'G-7 WaterC'' Data'!$AK$4:$AM$6,2,FALSE)))</f>
        <v/>
      </c>
      <c r="X191" s="276" t="str">
        <f>IF(V191="","",IF(VLOOKUP(V191,'G-7 WaterC'' Data'!$AK$4:$AM$6,3,FALSE)=0,"Spatial Data Missing ⚠",VLOOKUP(V191,'G-7 WaterC'' Data'!$AK$4:$AM$6,3,FALSE)))</f>
        <v/>
      </c>
      <c r="Y191" s="275" t="str">
        <f>IFERROR(IF(OR(LEFT(P191,5)="Error",LEFT(O191,5)="Error"),"Check Data ⚠",IF(F191&lt;S191,'G-7 WaterC'' Data'!$R$3,INDEX('G-7 WaterC'' Data'!$U$5:$Y$9,MATCH(G191,'G-7 WaterC'' Data'!$T$5:$T$9,0),MATCH(T191,'G-7 WaterC'' Data'!$U$4:$Y$4,0)))),"")</f>
        <v/>
      </c>
      <c r="Z191" s="133"/>
      <c r="AA191" s="133"/>
      <c r="AB191" s="283" t="str">
        <f t="shared" si="23"/>
        <v/>
      </c>
      <c r="AC191" s="296" t="str">
        <f t="shared" si="24"/>
        <v/>
      </c>
      <c r="AD191" s="334" t="str">
        <f>IFERROR(IF(AC191="Check Data ⚠","Check Data ⚠",VLOOKUP(AC191,'G-4 Temporal multipliers'!$A$4:$C$37,3,FALSE)),"")</f>
        <v/>
      </c>
      <c r="AE191" s="275" t="str">
        <f>IF(N191="","",VLOOKUP(N191,'G-7 WaterC'' Data'!$B$4:$G$8,5,FALSE))</f>
        <v/>
      </c>
      <c r="AF191" s="283" t="str">
        <f t="shared" si="25"/>
        <v/>
      </c>
      <c r="AG191" s="314" t="str">
        <f t="shared" si="26"/>
        <v/>
      </c>
      <c r="AH191" s="276" t="str">
        <f t="shared" si="20"/>
        <v/>
      </c>
      <c r="AI191" s="105"/>
      <c r="AJ191" s="276" t="str">
        <f>IF(AI191="","",IF(AND(AI191="N/A - Culvert",N191&lt;&gt;"Culvert"),"Not possible ▲",IF(VLOOKUP(AI191,'G-7 WaterC'' Data'!$AA$4:$AB$7,2,FALSE)=0,"Spatial Data Missing ⚠",VLOOKUP(AI191,'G-7 WaterC'' Data'!$AA$4:$AB$7,2,FALSE))))</f>
        <v/>
      </c>
      <c r="AK191" s="106"/>
      <c r="AL191" s="276" t="str">
        <f>IF(AK191="","",IF(AND(AK191="N/A - Culvert",N191&lt;&gt;"Culvert"),"Not possible ▲",IF(VLOOKUP(AK191,'G-7 WaterC'' Data'!$AD$4:$AE$14,2,FALSE)=0,"Spatial Data Missing ⚠",VLOOKUP(AK191,'G-7 WaterC'' Data'!$AD$4:$AE$14,2,FALSE))))</f>
        <v/>
      </c>
      <c r="AM191" s="317" t="str">
        <f t="shared" si="27"/>
        <v/>
      </c>
      <c r="AN191" s="101"/>
      <c r="AO191" s="115"/>
      <c r="AP191" s="104"/>
      <c r="AS191" s="30" t="str">
        <f>IF(B191="","",IF(ISNA(VLOOKUP($B191,'C-1 On-Site WaterC'' Baseline'!$C$8:$AD$257,17,FALSE)),"",(VLOOKUP($B191,'C-1 On-Site WaterC'' Baseline'!$C$8:$AD$257,17,FALSE))))</f>
        <v/>
      </c>
      <c r="AT191" s="30" t="str">
        <f>IF(B191="","",VLOOKUP($B191,'C-1 On-Site WaterC'' Baseline'!$C$9:$Z$257,12,FALSE))</f>
        <v/>
      </c>
      <c r="AU191" s="30" t="str">
        <f>IF(B191="","",VLOOKUP($B191,'C-1 On-Site WaterC'' Baseline'!$C$9:$Z$257,14,FALSE))</f>
        <v/>
      </c>
      <c r="AV191" s="30" t="str">
        <f>IFERROR(INDEX('G-7 WaterC'' Data'!$AZ$3:$AZ$7,MATCH(N191,'G-7 WaterC'' Data'!$AY$3:$AY$7,0)),"")</f>
        <v/>
      </c>
      <c r="AX191" s="30" t="str">
        <f>IF(B191="","",VLOOKUP($B191,'C-1 On-Site WaterC'' Baseline'!$C$9:$Y$257,22,FALSE))</f>
        <v/>
      </c>
      <c r="AY191" s="30" t="str">
        <f t="shared" si="28"/>
        <v/>
      </c>
      <c r="AZ191" s="30" t="str">
        <f>IF(B191="","",VLOOKUP($B191,'C-1 On-Site WaterC'' Baseline'!$C$9:$Y$257,21,FALSE))</f>
        <v/>
      </c>
      <c r="BA191" s="30" t="str">
        <f>IF(B191="","",VLOOKUP($B191,'C-1 On-Site WaterC'' Baseline'!$C$9:$Y$257,19,FALSE))</f>
        <v/>
      </c>
      <c r="BD191" s="30" t="str">
        <f t="shared" si="29"/>
        <v>No</v>
      </c>
    </row>
    <row r="192" spans="2:56" ht="14">
      <c r="B192" s="305" t="str">
        <f>'C-1 On-Site WaterC'' Baseline'!AP190</f>
        <v/>
      </c>
      <c r="C192" s="295" t="str">
        <f>IF(B192="","",VLOOKUP($B192,'C-1 On-Site WaterC'' Baseline'!$C$9:$R$257,2,FALSE))</f>
        <v/>
      </c>
      <c r="D192" s="295" t="str">
        <f>IF(C192="","",VLOOKUP($B192,'C-1 On-Site WaterC'' Baseline'!$C$9:$R$257,3,FALSE))</f>
        <v/>
      </c>
      <c r="E192" s="295" t="str">
        <f>IF(D192="","",VLOOKUP($B192,'C-1 On-Site WaterC'' Baseline'!$C$9:$R$257,4,FALSE))</f>
        <v/>
      </c>
      <c r="F192" s="295" t="str">
        <f>IF(E192="","",VLOOKUP($B192,'C-1 On-Site WaterC'' Baseline'!$C$9:$R$257,5,FALSE))</f>
        <v/>
      </c>
      <c r="G192" s="295" t="str">
        <f>IF(F192="","",VLOOKUP($B192,'C-1 On-Site WaterC'' Baseline'!$C$9:$R$257,6,FALSE))</f>
        <v/>
      </c>
      <c r="H192" s="295" t="str">
        <f>IF(G192="","",VLOOKUP($B192,'C-1 On-Site WaterC'' Baseline'!$C$9:$R$257,7,FALSE))</f>
        <v/>
      </c>
      <c r="I192" s="295" t="str">
        <f>IF(H192="","",VLOOKUP($B192,'C-1 On-Site WaterC'' Baseline'!$C$9:$R$257,8,FALSE))</f>
        <v/>
      </c>
      <c r="J192" s="295" t="str">
        <f>IF(I192="","",VLOOKUP($B192,'C-1 On-Site WaterC'' Baseline'!$C$9:$R$257,9,FALSE))</f>
        <v/>
      </c>
      <c r="K192" s="295" t="str">
        <f>IF(J192="","",VLOOKUP($B192,'C-1 On-Site WaterC'' Baseline'!$C$9:$R$257,10,FALSE))</f>
        <v/>
      </c>
      <c r="L192" s="295" t="str">
        <f>IF(B192="","",VLOOKUP($B192,'C-1 On-Site WaterC'' Baseline'!$C$9:$R$257,15,FALSE))</f>
        <v/>
      </c>
      <c r="M192" s="299" t="str">
        <f>IF(L192="","",VLOOKUP($B192,'C-1 On-Site WaterC'' Baseline'!$C$9:$R$257,16,FALSE))</f>
        <v/>
      </c>
      <c r="N192" s="245"/>
      <c r="O192" s="275" t="str">
        <f t="shared" si="21"/>
        <v/>
      </c>
      <c r="P192" s="276" t="str">
        <f t="shared" si="22"/>
        <v/>
      </c>
      <c r="Q192" s="336" t="str">
        <f>IF(N192="","",VLOOKUP(B192,'C-1 On-Site WaterC'' Baseline'!$C$10:$AC$257,20,FALSE))</f>
        <v/>
      </c>
      <c r="R192" s="275" t="str">
        <f>IF(N192="","",VLOOKUP(N192,'G-7 WaterC'' Data'!$B$2:$G$8,2,FALSE))</f>
        <v/>
      </c>
      <c r="S192" s="276" t="str">
        <f>IFERROR(VLOOKUP(R192,'G-7 WaterC'' Data'!$C$4:$D$8,2,FALSE),"")</f>
        <v/>
      </c>
      <c r="T192" s="101"/>
      <c r="U192" s="276" t="str">
        <f>IFERROR(INDEX('G-7 WaterC'' Data'!$H$4:$L$8,MATCH(N192,'G-7 WaterC'' Data'!$B$4:$B$8,0),MATCH(T192,'G-7 WaterC'' Data'!$H$3:$L$3,0)),"")</f>
        <v/>
      </c>
      <c r="V192" s="101"/>
      <c r="W192" s="283" t="str">
        <f>IF(V192="","",IF(VLOOKUP(V192,'G-7 WaterC'' Data'!$AK$4:$AM$6,2,FALSE)=0,"Spatial Data Missing ⚠",VLOOKUP(V192,'G-7 WaterC'' Data'!$AK$4:$AM$6,2,FALSE)))</f>
        <v/>
      </c>
      <c r="X192" s="276" t="str">
        <f>IF(V192="","",IF(VLOOKUP(V192,'G-7 WaterC'' Data'!$AK$4:$AM$6,3,FALSE)=0,"Spatial Data Missing ⚠",VLOOKUP(V192,'G-7 WaterC'' Data'!$AK$4:$AM$6,3,FALSE)))</f>
        <v/>
      </c>
      <c r="Y192" s="275" t="str">
        <f>IFERROR(IF(OR(LEFT(P192,5)="Error",LEFT(O192,5)="Error"),"Check Data ⚠",IF(F192&lt;S192,'G-7 WaterC'' Data'!$R$3,INDEX('G-7 WaterC'' Data'!$U$5:$Y$9,MATCH(G192,'G-7 WaterC'' Data'!$T$5:$T$9,0),MATCH(T192,'G-7 WaterC'' Data'!$U$4:$Y$4,0)))),"")</f>
        <v/>
      </c>
      <c r="Z192" s="133"/>
      <c r="AA192" s="133"/>
      <c r="AB192" s="283" t="str">
        <f t="shared" si="23"/>
        <v/>
      </c>
      <c r="AC192" s="296" t="str">
        <f t="shared" si="24"/>
        <v/>
      </c>
      <c r="AD192" s="334" t="str">
        <f>IFERROR(IF(AC192="Check Data ⚠","Check Data ⚠",VLOOKUP(AC192,'G-4 Temporal multipliers'!$A$4:$C$37,3,FALSE)),"")</f>
        <v/>
      </c>
      <c r="AE192" s="275" t="str">
        <f>IF(N192="","",VLOOKUP(N192,'G-7 WaterC'' Data'!$B$4:$G$8,5,FALSE))</f>
        <v/>
      </c>
      <c r="AF192" s="283" t="str">
        <f t="shared" si="25"/>
        <v/>
      </c>
      <c r="AG192" s="314" t="str">
        <f t="shared" si="26"/>
        <v/>
      </c>
      <c r="AH192" s="276" t="str">
        <f t="shared" si="20"/>
        <v/>
      </c>
      <c r="AI192" s="105"/>
      <c r="AJ192" s="276" t="str">
        <f>IF(AI192="","",IF(AND(AI192="N/A - Culvert",N192&lt;&gt;"Culvert"),"Not possible ▲",IF(VLOOKUP(AI192,'G-7 WaterC'' Data'!$AA$4:$AB$7,2,FALSE)=0,"Spatial Data Missing ⚠",VLOOKUP(AI192,'G-7 WaterC'' Data'!$AA$4:$AB$7,2,FALSE))))</f>
        <v/>
      </c>
      <c r="AK192" s="106"/>
      <c r="AL192" s="276" t="str">
        <f>IF(AK192="","",IF(AND(AK192="N/A - Culvert",N192&lt;&gt;"Culvert"),"Not possible ▲",IF(VLOOKUP(AK192,'G-7 WaterC'' Data'!$AD$4:$AE$14,2,FALSE)=0,"Spatial Data Missing ⚠",VLOOKUP(AK192,'G-7 WaterC'' Data'!$AD$4:$AE$14,2,FALSE))))</f>
        <v/>
      </c>
      <c r="AM192" s="317" t="str">
        <f t="shared" si="27"/>
        <v/>
      </c>
      <c r="AN192" s="101"/>
      <c r="AO192" s="115"/>
      <c r="AP192" s="104"/>
      <c r="AS192" s="30" t="str">
        <f>IF(B192="","",IF(ISNA(VLOOKUP($B192,'C-1 On-Site WaterC'' Baseline'!$C$8:$AD$257,17,FALSE)),"",(VLOOKUP($B192,'C-1 On-Site WaterC'' Baseline'!$C$8:$AD$257,17,FALSE))))</f>
        <v/>
      </c>
      <c r="AT192" s="30" t="str">
        <f>IF(B192="","",VLOOKUP($B192,'C-1 On-Site WaterC'' Baseline'!$C$9:$Z$257,12,FALSE))</f>
        <v/>
      </c>
      <c r="AU192" s="30" t="str">
        <f>IF(B192="","",VLOOKUP($B192,'C-1 On-Site WaterC'' Baseline'!$C$9:$Z$257,14,FALSE))</f>
        <v/>
      </c>
      <c r="AV192" s="30" t="str">
        <f>IFERROR(INDEX('G-7 WaterC'' Data'!$AZ$3:$AZ$7,MATCH(N192,'G-7 WaterC'' Data'!$AY$3:$AY$7,0)),"")</f>
        <v/>
      </c>
      <c r="AX192" s="30" t="str">
        <f>IF(B192="","",VLOOKUP($B192,'C-1 On-Site WaterC'' Baseline'!$C$9:$Y$257,22,FALSE))</f>
        <v/>
      </c>
      <c r="AY192" s="30" t="str">
        <f t="shared" si="28"/>
        <v/>
      </c>
      <c r="AZ192" s="30" t="str">
        <f>IF(B192="","",VLOOKUP($B192,'C-1 On-Site WaterC'' Baseline'!$C$9:$Y$257,21,FALSE))</f>
        <v/>
      </c>
      <c r="BA192" s="30" t="str">
        <f>IF(B192="","",VLOOKUP($B192,'C-1 On-Site WaterC'' Baseline'!$C$9:$Y$257,19,FALSE))</f>
        <v/>
      </c>
      <c r="BD192" s="30" t="str">
        <f t="shared" si="29"/>
        <v>No</v>
      </c>
    </row>
    <row r="193" spans="2:56" ht="14">
      <c r="B193" s="305" t="str">
        <f>'C-1 On-Site WaterC'' Baseline'!AP191</f>
        <v/>
      </c>
      <c r="C193" s="295" t="str">
        <f>IF(B193="","",VLOOKUP($B193,'C-1 On-Site WaterC'' Baseline'!$C$9:$R$257,2,FALSE))</f>
        <v/>
      </c>
      <c r="D193" s="295" t="str">
        <f>IF(C193="","",VLOOKUP($B193,'C-1 On-Site WaterC'' Baseline'!$C$9:$R$257,3,FALSE))</f>
        <v/>
      </c>
      <c r="E193" s="295" t="str">
        <f>IF(D193="","",VLOOKUP($B193,'C-1 On-Site WaterC'' Baseline'!$C$9:$R$257,4,FALSE))</f>
        <v/>
      </c>
      <c r="F193" s="295" t="str">
        <f>IF(E193="","",VLOOKUP($B193,'C-1 On-Site WaterC'' Baseline'!$C$9:$R$257,5,FALSE))</f>
        <v/>
      </c>
      <c r="G193" s="295" t="str">
        <f>IF(F193="","",VLOOKUP($B193,'C-1 On-Site WaterC'' Baseline'!$C$9:$R$257,6,FALSE))</f>
        <v/>
      </c>
      <c r="H193" s="295" t="str">
        <f>IF(G193="","",VLOOKUP($B193,'C-1 On-Site WaterC'' Baseline'!$C$9:$R$257,7,FALSE))</f>
        <v/>
      </c>
      <c r="I193" s="295" t="str">
        <f>IF(H193="","",VLOOKUP($B193,'C-1 On-Site WaterC'' Baseline'!$C$9:$R$257,8,FALSE))</f>
        <v/>
      </c>
      <c r="J193" s="295" t="str">
        <f>IF(I193="","",VLOOKUP($B193,'C-1 On-Site WaterC'' Baseline'!$C$9:$R$257,9,FALSE))</f>
        <v/>
      </c>
      <c r="K193" s="295" t="str">
        <f>IF(J193="","",VLOOKUP($B193,'C-1 On-Site WaterC'' Baseline'!$C$9:$R$257,10,FALSE))</f>
        <v/>
      </c>
      <c r="L193" s="295" t="str">
        <f>IF(B193="","",VLOOKUP($B193,'C-1 On-Site WaterC'' Baseline'!$C$9:$R$257,15,FALSE))</f>
        <v/>
      </c>
      <c r="M193" s="299" t="str">
        <f>IF(L193="","",VLOOKUP($B193,'C-1 On-Site WaterC'' Baseline'!$C$9:$R$257,16,FALSE))</f>
        <v/>
      </c>
      <c r="N193" s="245"/>
      <c r="O193" s="275" t="str">
        <f t="shared" si="21"/>
        <v/>
      </c>
      <c r="P193" s="276" t="str">
        <f t="shared" si="22"/>
        <v/>
      </c>
      <c r="Q193" s="336" t="str">
        <f>IF(N193="","",VLOOKUP(B193,'C-1 On-Site WaterC'' Baseline'!$C$10:$AC$257,20,FALSE))</f>
        <v/>
      </c>
      <c r="R193" s="275" t="str">
        <f>IF(N193="","",VLOOKUP(N193,'G-7 WaterC'' Data'!$B$2:$G$8,2,FALSE))</f>
        <v/>
      </c>
      <c r="S193" s="276" t="str">
        <f>IFERROR(VLOOKUP(R193,'G-7 WaterC'' Data'!$C$4:$D$8,2,FALSE),"")</f>
        <v/>
      </c>
      <c r="T193" s="101"/>
      <c r="U193" s="276" t="str">
        <f>IFERROR(INDEX('G-7 WaterC'' Data'!$H$4:$L$8,MATCH(N193,'G-7 WaterC'' Data'!$B$4:$B$8,0),MATCH(T193,'G-7 WaterC'' Data'!$H$3:$L$3,0)),"")</f>
        <v/>
      </c>
      <c r="V193" s="101"/>
      <c r="W193" s="283" t="str">
        <f>IF(V193="","",IF(VLOOKUP(V193,'G-7 WaterC'' Data'!$AK$4:$AM$6,2,FALSE)=0,"Spatial Data Missing ⚠",VLOOKUP(V193,'G-7 WaterC'' Data'!$AK$4:$AM$6,2,FALSE)))</f>
        <v/>
      </c>
      <c r="X193" s="276" t="str">
        <f>IF(V193="","",IF(VLOOKUP(V193,'G-7 WaterC'' Data'!$AK$4:$AM$6,3,FALSE)=0,"Spatial Data Missing ⚠",VLOOKUP(V193,'G-7 WaterC'' Data'!$AK$4:$AM$6,3,FALSE)))</f>
        <v/>
      </c>
      <c r="Y193" s="275" t="str">
        <f>IFERROR(IF(OR(LEFT(P193,5)="Error",LEFT(O193,5)="Error"),"Check Data ⚠",IF(F193&lt;S193,'G-7 WaterC'' Data'!$R$3,INDEX('G-7 WaterC'' Data'!$U$5:$Y$9,MATCH(G193,'G-7 WaterC'' Data'!$T$5:$T$9,0),MATCH(T193,'G-7 WaterC'' Data'!$U$4:$Y$4,0)))),"")</f>
        <v/>
      </c>
      <c r="Z193" s="133"/>
      <c r="AA193" s="133"/>
      <c r="AB193" s="283" t="str">
        <f t="shared" si="23"/>
        <v/>
      </c>
      <c r="AC193" s="296" t="str">
        <f t="shared" si="24"/>
        <v/>
      </c>
      <c r="AD193" s="334" t="str">
        <f>IFERROR(IF(AC193="Check Data ⚠","Check Data ⚠",VLOOKUP(AC193,'G-4 Temporal multipliers'!$A$4:$C$37,3,FALSE)),"")</f>
        <v/>
      </c>
      <c r="AE193" s="275" t="str">
        <f>IF(N193="","",VLOOKUP(N193,'G-7 WaterC'' Data'!$B$4:$G$8,5,FALSE))</f>
        <v/>
      </c>
      <c r="AF193" s="283" t="str">
        <f t="shared" si="25"/>
        <v/>
      </c>
      <c r="AG193" s="314" t="str">
        <f t="shared" si="26"/>
        <v/>
      </c>
      <c r="AH193" s="276" t="str">
        <f t="shared" si="20"/>
        <v/>
      </c>
      <c r="AI193" s="105"/>
      <c r="AJ193" s="276" t="str">
        <f>IF(AI193="","",IF(AND(AI193="N/A - Culvert",N193&lt;&gt;"Culvert"),"Not possible ▲",IF(VLOOKUP(AI193,'G-7 WaterC'' Data'!$AA$4:$AB$7,2,FALSE)=0,"Spatial Data Missing ⚠",VLOOKUP(AI193,'G-7 WaterC'' Data'!$AA$4:$AB$7,2,FALSE))))</f>
        <v/>
      </c>
      <c r="AK193" s="106"/>
      <c r="AL193" s="276" t="str">
        <f>IF(AK193="","",IF(AND(AK193="N/A - Culvert",N193&lt;&gt;"Culvert"),"Not possible ▲",IF(VLOOKUP(AK193,'G-7 WaterC'' Data'!$AD$4:$AE$14,2,FALSE)=0,"Spatial Data Missing ⚠",VLOOKUP(AK193,'G-7 WaterC'' Data'!$AD$4:$AE$14,2,FALSE))))</f>
        <v/>
      </c>
      <c r="AM193" s="317" t="str">
        <f t="shared" si="27"/>
        <v/>
      </c>
      <c r="AN193" s="101"/>
      <c r="AO193" s="115"/>
      <c r="AP193" s="104"/>
      <c r="AS193" s="30" t="str">
        <f>IF(B193="","",IF(ISNA(VLOOKUP($B193,'C-1 On-Site WaterC'' Baseline'!$C$8:$AD$257,17,FALSE)),"",(VLOOKUP($B193,'C-1 On-Site WaterC'' Baseline'!$C$8:$AD$257,17,FALSE))))</f>
        <v/>
      </c>
      <c r="AT193" s="30" t="str">
        <f>IF(B193="","",VLOOKUP($B193,'C-1 On-Site WaterC'' Baseline'!$C$9:$Z$257,12,FALSE))</f>
        <v/>
      </c>
      <c r="AU193" s="30" t="str">
        <f>IF(B193="","",VLOOKUP($B193,'C-1 On-Site WaterC'' Baseline'!$C$9:$Z$257,14,FALSE))</f>
        <v/>
      </c>
      <c r="AV193" s="30" t="str">
        <f>IFERROR(INDEX('G-7 WaterC'' Data'!$AZ$3:$AZ$7,MATCH(N193,'G-7 WaterC'' Data'!$AY$3:$AY$7,0)),"")</f>
        <v/>
      </c>
      <c r="AX193" s="30" t="str">
        <f>IF(B193="","",VLOOKUP($B193,'C-1 On-Site WaterC'' Baseline'!$C$9:$Y$257,22,FALSE))</f>
        <v/>
      </c>
      <c r="AY193" s="30" t="str">
        <f t="shared" si="28"/>
        <v/>
      </c>
      <c r="AZ193" s="30" t="str">
        <f>IF(B193="","",VLOOKUP($B193,'C-1 On-Site WaterC'' Baseline'!$C$9:$Y$257,21,FALSE))</f>
        <v/>
      </c>
      <c r="BA193" s="30" t="str">
        <f>IF(B193="","",VLOOKUP($B193,'C-1 On-Site WaterC'' Baseline'!$C$9:$Y$257,19,FALSE))</f>
        <v/>
      </c>
      <c r="BD193" s="30" t="str">
        <f t="shared" si="29"/>
        <v>No</v>
      </c>
    </row>
    <row r="194" spans="2:56" ht="14">
      <c r="B194" s="305" t="str">
        <f>'C-1 On-Site WaterC'' Baseline'!AP192</f>
        <v/>
      </c>
      <c r="C194" s="295" t="str">
        <f>IF(B194="","",VLOOKUP($B194,'C-1 On-Site WaterC'' Baseline'!$C$9:$R$257,2,FALSE))</f>
        <v/>
      </c>
      <c r="D194" s="295" t="str">
        <f>IF(C194="","",VLOOKUP($B194,'C-1 On-Site WaterC'' Baseline'!$C$9:$R$257,3,FALSE))</f>
        <v/>
      </c>
      <c r="E194" s="295" t="str">
        <f>IF(D194="","",VLOOKUP($B194,'C-1 On-Site WaterC'' Baseline'!$C$9:$R$257,4,FALSE))</f>
        <v/>
      </c>
      <c r="F194" s="295" t="str">
        <f>IF(E194="","",VLOOKUP($B194,'C-1 On-Site WaterC'' Baseline'!$C$9:$R$257,5,FALSE))</f>
        <v/>
      </c>
      <c r="G194" s="295" t="str">
        <f>IF(F194="","",VLOOKUP($B194,'C-1 On-Site WaterC'' Baseline'!$C$9:$R$257,6,FALSE))</f>
        <v/>
      </c>
      <c r="H194" s="295" t="str">
        <f>IF(G194="","",VLOOKUP($B194,'C-1 On-Site WaterC'' Baseline'!$C$9:$R$257,7,FALSE))</f>
        <v/>
      </c>
      <c r="I194" s="295" t="str">
        <f>IF(H194="","",VLOOKUP($B194,'C-1 On-Site WaterC'' Baseline'!$C$9:$R$257,8,FALSE))</f>
        <v/>
      </c>
      <c r="J194" s="295" t="str">
        <f>IF(I194="","",VLOOKUP($B194,'C-1 On-Site WaterC'' Baseline'!$C$9:$R$257,9,FALSE))</f>
        <v/>
      </c>
      <c r="K194" s="295" t="str">
        <f>IF(J194="","",VLOOKUP($B194,'C-1 On-Site WaterC'' Baseline'!$C$9:$R$257,10,FALSE))</f>
        <v/>
      </c>
      <c r="L194" s="295" t="str">
        <f>IF(B194="","",VLOOKUP($B194,'C-1 On-Site WaterC'' Baseline'!$C$9:$R$257,15,FALSE))</f>
        <v/>
      </c>
      <c r="M194" s="299" t="str">
        <f>IF(L194="","",VLOOKUP($B194,'C-1 On-Site WaterC'' Baseline'!$C$9:$R$257,16,FALSE))</f>
        <v/>
      </c>
      <c r="N194" s="245"/>
      <c r="O194" s="275" t="str">
        <f t="shared" si="21"/>
        <v/>
      </c>
      <c r="P194" s="276" t="str">
        <f t="shared" si="22"/>
        <v/>
      </c>
      <c r="Q194" s="336" t="str">
        <f>IF(N194="","",VLOOKUP(B194,'C-1 On-Site WaterC'' Baseline'!$C$10:$AC$257,20,FALSE))</f>
        <v/>
      </c>
      <c r="R194" s="275" t="str">
        <f>IF(N194="","",VLOOKUP(N194,'G-7 WaterC'' Data'!$B$2:$G$8,2,FALSE))</f>
        <v/>
      </c>
      <c r="S194" s="276" t="str">
        <f>IFERROR(VLOOKUP(R194,'G-7 WaterC'' Data'!$C$4:$D$8,2,FALSE),"")</f>
        <v/>
      </c>
      <c r="T194" s="101"/>
      <c r="U194" s="276" t="str">
        <f>IFERROR(INDEX('G-7 WaterC'' Data'!$H$4:$L$8,MATCH(N194,'G-7 WaterC'' Data'!$B$4:$B$8,0),MATCH(T194,'G-7 WaterC'' Data'!$H$3:$L$3,0)),"")</f>
        <v/>
      </c>
      <c r="V194" s="101"/>
      <c r="W194" s="283" t="str">
        <f>IF(V194="","",IF(VLOOKUP(V194,'G-7 WaterC'' Data'!$AK$4:$AM$6,2,FALSE)=0,"Spatial Data Missing ⚠",VLOOKUP(V194,'G-7 WaterC'' Data'!$AK$4:$AM$6,2,FALSE)))</f>
        <v/>
      </c>
      <c r="X194" s="276" t="str">
        <f>IF(V194="","",IF(VLOOKUP(V194,'G-7 WaterC'' Data'!$AK$4:$AM$6,3,FALSE)=0,"Spatial Data Missing ⚠",VLOOKUP(V194,'G-7 WaterC'' Data'!$AK$4:$AM$6,3,FALSE)))</f>
        <v/>
      </c>
      <c r="Y194" s="275" t="str">
        <f>IFERROR(IF(OR(LEFT(P194,5)="Error",LEFT(O194,5)="Error"),"Check Data ⚠",IF(F194&lt;S194,'G-7 WaterC'' Data'!$R$3,INDEX('G-7 WaterC'' Data'!$U$5:$Y$9,MATCH(G194,'G-7 WaterC'' Data'!$T$5:$T$9,0),MATCH(T194,'G-7 WaterC'' Data'!$U$4:$Y$4,0)))),"")</f>
        <v/>
      </c>
      <c r="Z194" s="133"/>
      <c r="AA194" s="133"/>
      <c r="AB194" s="283" t="str">
        <f t="shared" si="23"/>
        <v/>
      </c>
      <c r="AC194" s="296" t="str">
        <f t="shared" si="24"/>
        <v/>
      </c>
      <c r="AD194" s="334" t="str">
        <f>IFERROR(IF(AC194="Check Data ⚠","Check Data ⚠",VLOOKUP(AC194,'G-4 Temporal multipliers'!$A$4:$C$37,3,FALSE)),"")</f>
        <v/>
      </c>
      <c r="AE194" s="275" t="str">
        <f>IF(N194="","",VLOOKUP(N194,'G-7 WaterC'' Data'!$B$4:$G$8,5,FALSE))</f>
        <v/>
      </c>
      <c r="AF194" s="283" t="str">
        <f t="shared" si="25"/>
        <v/>
      </c>
      <c r="AG194" s="314" t="str">
        <f t="shared" si="26"/>
        <v/>
      </c>
      <c r="AH194" s="276" t="str">
        <f t="shared" si="20"/>
        <v/>
      </c>
      <c r="AI194" s="105"/>
      <c r="AJ194" s="276" t="str">
        <f>IF(AI194="","",IF(AND(AI194="N/A - Culvert",N194&lt;&gt;"Culvert"),"Not possible ▲",IF(VLOOKUP(AI194,'G-7 WaterC'' Data'!$AA$4:$AB$7,2,FALSE)=0,"Spatial Data Missing ⚠",VLOOKUP(AI194,'G-7 WaterC'' Data'!$AA$4:$AB$7,2,FALSE))))</f>
        <v/>
      </c>
      <c r="AK194" s="106"/>
      <c r="AL194" s="276" t="str">
        <f>IF(AK194="","",IF(AND(AK194="N/A - Culvert",N194&lt;&gt;"Culvert"),"Not possible ▲",IF(VLOOKUP(AK194,'G-7 WaterC'' Data'!$AD$4:$AE$14,2,FALSE)=0,"Spatial Data Missing ⚠",VLOOKUP(AK194,'G-7 WaterC'' Data'!$AD$4:$AE$14,2,FALSE))))</f>
        <v/>
      </c>
      <c r="AM194" s="317" t="str">
        <f t="shared" si="27"/>
        <v/>
      </c>
      <c r="AN194" s="101"/>
      <c r="AO194" s="115"/>
      <c r="AP194" s="104"/>
      <c r="AS194" s="30" t="str">
        <f>IF(B194="","",IF(ISNA(VLOOKUP($B194,'C-1 On-Site WaterC'' Baseline'!$C$8:$AD$257,17,FALSE)),"",(VLOOKUP($B194,'C-1 On-Site WaterC'' Baseline'!$C$8:$AD$257,17,FALSE))))</f>
        <v/>
      </c>
      <c r="AT194" s="30" t="str">
        <f>IF(B194="","",VLOOKUP($B194,'C-1 On-Site WaterC'' Baseline'!$C$9:$Z$257,12,FALSE))</f>
        <v/>
      </c>
      <c r="AU194" s="30" t="str">
        <f>IF(B194="","",VLOOKUP($B194,'C-1 On-Site WaterC'' Baseline'!$C$9:$Z$257,14,FALSE))</f>
        <v/>
      </c>
      <c r="AV194" s="30" t="str">
        <f>IFERROR(INDEX('G-7 WaterC'' Data'!$AZ$3:$AZ$7,MATCH(N194,'G-7 WaterC'' Data'!$AY$3:$AY$7,0)),"")</f>
        <v/>
      </c>
      <c r="AX194" s="30" t="str">
        <f>IF(B194="","",VLOOKUP($B194,'C-1 On-Site WaterC'' Baseline'!$C$9:$Y$257,22,FALSE))</f>
        <v/>
      </c>
      <c r="AY194" s="30" t="str">
        <f t="shared" si="28"/>
        <v/>
      </c>
      <c r="AZ194" s="30" t="str">
        <f>IF(B194="","",VLOOKUP($B194,'C-1 On-Site WaterC'' Baseline'!$C$9:$Y$257,21,FALSE))</f>
        <v/>
      </c>
      <c r="BA194" s="30" t="str">
        <f>IF(B194="","",VLOOKUP($B194,'C-1 On-Site WaterC'' Baseline'!$C$9:$Y$257,19,FALSE))</f>
        <v/>
      </c>
      <c r="BD194" s="30" t="str">
        <f t="shared" si="29"/>
        <v>No</v>
      </c>
    </row>
    <row r="195" spans="2:56" ht="14">
      <c r="B195" s="305" t="str">
        <f>'C-1 On-Site WaterC'' Baseline'!AP193</f>
        <v/>
      </c>
      <c r="C195" s="295" t="str">
        <f>IF(B195="","",VLOOKUP($B195,'C-1 On-Site WaterC'' Baseline'!$C$9:$R$257,2,FALSE))</f>
        <v/>
      </c>
      <c r="D195" s="295" t="str">
        <f>IF(C195="","",VLOOKUP($B195,'C-1 On-Site WaterC'' Baseline'!$C$9:$R$257,3,FALSE))</f>
        <v/>
      </c>
      <c r="E195" s="295" t="str">
        <f>IF(D195="","",VLOOKUP($B195,'C-1 On-Site WaterC'' Baseline'!$C$9:$R$257,4,FALSE))</f>
        <v/>
      </c>
      <c r="F195" s="295" t="str">
        <f>IF(E195="","",VLOOKUP($B195,'C-1 On-Site WaterC'' Baseline'!$C$9:$R$257,5,FALSE))</f>
        <v/>
      </c>
      <c r="G195" s="295" t="str">
        <f>IF(F195="","",VLOOKUP($B195,'C-1 On-Site WaterC'' Baseline'!$C$9:$R$257,6,FALSE))</f>
        <v/>
      </c>
      <c r="H195" s="295" t="str">
        <f>IF(G195="","",VLOOKUP($B195,'C-1 On-Site WaterC'' Baseline'!$C$9:$R$257,7,FALSE))</f>
        <v/>
      </c>
      <c r="I195" s="295" t="str">
        <f>IF(H195="","",VLOOKUP($B195,'C-1 On-Site WaterC'' Baseline'!$C$9:$R$257,8,FALSE))</f>
        <v/>
      </c>
      <c r="J195" s="295" t="str">
        <f>IF(I195="","",VLOOKUP($B195,'C-1 On-Site WaterC'' Baseline'!$C$9:$R$257,9,FALSE))</f>
        <v/>
      </c>
      <c r="K195" s="295" t="str">
        <f>IF(J195="","",VLOOKUP($B195,'C-1 On-Site WaterC'' Baseline'!$C$9:$R$257,10,FALSE))</f>
        <v/>
      </c>
      <c r="L195" s="295" t="str">
        <f>IF(B195="","",VLOOKUP($B195,'C-1 On-Site WaterC'' Baseline'!$C$9:$R$257,15,FALSE))</f>
        <v/>
      </c>
      <c r="M195" s="299" t="str">
        <f>IF(L195="","",VLOOKUP($B195,'C-1 On-Site WaterC'' Baseline'!$C$9:$R$257,16,FALSE))</f>
        <v/>
      </c>
      <c r="N195" s="245"/>
      <c r="O195" s="275" t="str">
        <f t="shared" si="21"/>
        <v/>
      </c>
      <c r="P195" s="276" t="str">
        <f t="shared" si="22"/>
        <v/>
      </c>
      <c r="Q195" s="336" t="str">
        <f>IF(N195="","",VLOOKUP(B195,'C-1 On-Site WaterC'' Baseline'!$C$10:$AC$257,20,FALSE))</f>
        <v/>
      </c>
      <c r="R195" s="275" t="str">
        <f>IF(N195="","",VLOOKUP(N195,'G-7 WaterC'' Data'!$B$2:$G$8,2,FALSE))</f>
        <v/>
      </c>
      <c r="S195" s="276" t="str">
        <f>IFERROR(VLOOKUP(R195,'G-7 WaterC'' Data'!$C$4:$D$8,2,FALSE),"")</f>
        <v/>
      </c>
      <c r="T195" s="101"/>
      <c r="U195" s="276" t="str">
        <f>IFERROR(INDEX('G-7 WaterC'' Data'!$H$4:$L$8,MATCH(N195,'G-7 WaterC'' Data'!$B$4:$B$8,0),MATCH(T195,'G-7 WaterC'' Data'!$H$3:$L$3,0)),"")</f>
        <v/>
      </c>
      <c r="V195" s="101"/>
      <c r="W195" s="283" t="str">
        <f>IF(V195="","",IF(VLOOKUP(V195,'G-7 WaterC'' Data'!$AK$4:$AM$6,2,FALSE)=0,"Spatial Data Missing ⚠",VLOOKUP(V195,'G-7 WaterC'' Data'!$AK$4:$AM$6,2,FALSE)))</f>
        <v/>
      </c>
      <c r="X195" s="276" t="str">
        <f>IF(V195="","",IF(VLOOKUP(V195,'G-7 WaterC'' Data'!$AK$4:$AM$6,3,FALSE)=0,"Spatial Data Missing ⚠",VLOOKUP(V195,'G-7 WaterC'' Data'!$AK$4:$AM$6,3,FALSE)))</f>
        <v/>
      </c>
      <c r="Y195" s="275" t="str">
        <f>IFERROR(IF(OR(LEFT(P195,5)="Error",LEFT(O195,5)="Error"),"Check Data ⚠",IF(F195&lt;S195,'G-7 WaterC'' Data'!$R$3,INDEX('G-7 WaterC'' Data'!$U$5:$Y$9,MATCH(G195,'G-7 WaterC'' Data'!$T$5:$T$9,0),MATCH(T195,'G-7 WaterC'' Data'!$U$4:$Y$4,0)))),"")</f>
        <v/>
      </c>
      <c r="Z195" s="133"/>
      <c r="AA195" s="133"/>
      <c r="AB195" s="283" t="str">
        <f t="shared" si="23"/>
        <v/>
      </c>
      <c r="AC195" s="296" t="str">
        <f t="shared" si="24"/>
        <v/>
      </c>
      <c r="AD195" s="334" t="str">
        <f>IFERROR(IF(AC195="Check Data ⚠","Check Data ⚠",VLOOKUP(AC195,'G-4 Temporal multipliers'!$A$4:$C$37,3,FALSE)),"")</f>
        <v/>
      </c>
      <c r="AE195" s="275" t="str">
        <f>IF(N195="","",VLOOKUP(N195,'G-7 WaterC'' Data'!$B$4:$G$8,5,FALSE))</f>
        <v/>
      </c>
      <c r="AF195" s="283" t="str">
        <f t="shared" si="25"/>
        <v/>
      </c>
      <c r="AG195" s="314" t="str">
        <f t="shared" si="26"/>
        <v/>
      </c>
      <c r="AH195" s="276" t="str">
        <f t="shared" si="20"/>
        <v/>
      </c>
      <c r="AI195" s="105"/>
      <c r="AJ195" s="276" t="str">
        <f>IF(AI195="","",IF(AND(AI195="N/A - Culvert",N195&lt;&gt;"Culvert"),"Not possible ▲",IF(VLOOKUP(AI195,'G-7 WaterC'' Data'!$AA$4:$AB$7,2,FALSE)=0,"Spatial Data Missing ⚠",VLOOKUP(AI195,'G-7 WaterC'' Data'!$AA$4:$AB$7,2,FALSE))))</f>
        <v/>
      </c>
      <c r="AK195" s="106"/>
      <c r="AL195" s="276" t="str">
        <f>IF(AK195="","",IF(AND(AK195="N/A - Culvert",N195&lt;&gt;"Culvert"),"Not possible ▲",IF(VLOOKUP(AK195,'G-7 WaterC'' Data'!$AD$4:$AE$14,2,FALSE)=0,"Spatial Data Missing ⚠",VLOOKUP(AK195,'G-7 WaterC'' Data'!$AD$4:$AE$14,2,FALSE))))</f>
        <v/>
      </c>
      <c r="AM195" s="317" t="str">
        <f t="shared" si="27"/>
        <v/>
      </c>
      <c r="AN195" s="101"/>
      <c r="AO195" s="115"/>
      <c r="AP195" s="104"/>
      <c r="AS195" s="30" t="str">
        <f>IF(B195="","",IF(ISNA(VLOOKUP($B195,'C-1 On-Site WaterC'' Baseline'!$C$8:$AD$257,17,FALSE)),"",(VLOOKUP($B195,'C-1 On-Site WaterC'' Baseline'!$C$8:$AD$257,17,FALSE))))</f>
        <v/>
      </c>
      <c r="AT195" s="30" t="str">
        <f>IF(B195="","",VLOOKUP($B195,'C-1 On-Site WaterC'' Baseline'!$C$9:$Z$257,12,FALSE))</f>
        <v/>
      </c>
      <c r="AU195" s="30" t="str">
        <f>IF(B195="","",VLOOKUP($B195,'C-1 On-Site WaterC'' Baseline'!$C$9:$Z$257,14,FALSE))</f>
        <v/>
      </c>
      <c r="AV195" s="30" t="str">
        <f>IFERROR(INDEX('G-7 WaterC'' Data'!$AZ$3:$AZ$7,MATCH(N195,'G-7 WaterC'' Data'!$AY$3:$AY$7,0)),"")</f>
        <v/>
      </c>
      <c r="AX195" s="30" t="str">
        <f>IF(B195="","",VLOOKUP($B195,'C-1 On-Site WaterC'' Baseline'!$C$9:$Y$257,22,FALSE))</f>
        <v/>
      </c>
      <c r="AY195" s="30" t="str">
        <f t="shared" si="28"/>
        <v/>
      </c>
      <c r="AZ195" s="30" t="str">
        <f>IF(B195="","",VLOOKUP($B195,'C-1 On-Site WaterC'' Baseline'!$C$9:$Y$257,21,FALSE))</f>
        <v/>
      </c>
      <c r="BA195" s="30" t="str">
        <f>IF(B195="","",VLOOKUP($B195,'C-1 On-Site WaterC'' Baseline'!$C$9:$Y$257,19,FALSE))</f>
        <v/>
      </c>
      <c r="BD195" s="30" t="str">
        <f t="shared" si="29"/>
        <v>No</v>
      </c>
    </row>
    <row r="196" spans="2:56" ht="14">
      <c r="B196" s="305" t="str">
        <f>'C-1 On-Site WaterC'' Baseline'!AP194</f>
        <v/>
      </c>
      <c r="C196" s="295" t="str">
        <f>IF(B196="","",VLOOKUP($B196,'C-1 On-Site WaterC'' Baseline'!$C$9:$R$257,2,FALSE))</f>
        <v/>
      </c>
      <c r="D196" s="295" t="str">
        <f>IF(C196="","",VLOOKUP($B196,'C-1 On-Site WaterC'' Baseline'!$C$9:$R$257,3,FALSE))</f>
        <v/>
      </c>
      <c r="E196" s="295" t="str">
        <f>IF(D196="","",VLOOKUP($B196,'C-1 On-Site WaterC'' Baseline'!$C$9:$R$257,4,FALSE))</f>
        <v/>
      </c>
      <c r="F196" s="295" t="str">
        <f>IF(E196="","",VLOOKUP($B196,'C-1 On-Site WaterC'' Baseline'!$C$9:$R$257,5,FALSE))</f>
        <v/>
      </c>
      <c r="G196" s="295" t="str">
        <f>IF(F196="","",VLOOKUP($B196,'C-1 On-Site WaterC'' Baseline'!$C$9:$R$257,6,FALSE))</f>
        <v/>
      </c>
      <c r="H196" s="295" t="str">
        <f>IF(G196="","",VLOOKUP($B196,'C-1 On-Site WaterC'' Baseline'!$C$9:$R$257,7,FALSE))</f>
        <v/>
      </c>
      <c r="I196" s="295" t="str">
        <f>IF(H196="","",VLOOKUP($B196,'C-1 On-Site WaterC'' Baseline'!$C$9:$R$257,8,FALSE))</f>
        <v/>
      </c>
      <c r="J196" s="295" t="str">
        <f>IF(I196="","",VLOOKUP($B196,'C-1 On-Site WaterC'' Baseline'!$C$9:$R$257,9,FALSE))</f>
        <v/>
      </c>
      <c r="K196" s="295" t="str">
        <f>IF(J196="","",VLOOKUP($B196,'C-1 On-Site WaterC'' Baseline'!$C$9:$R$257,10,FALSE))</f>
        <v/>
      </c>
      <c r="L196" s="295" t="str">
        <f>IF(B196="","",VLOOKUP($B196,'C-1 On-Site WaterC'' Baseline'!$C$9:$R$257,15,FALSE))</f>
        <v/>
      </c>
      <c r="M196" s="299" t="str">
        <f>IF(L196="","",VLOOKUP($B196,'C-1 On-Site WaterC'' Baseline'!$C$9:$R$257,16,FALSE))</f>
        <v/>
      </c>
      <c r="N196" s="245"/>
      <c r="O196" s="275" t="str">
        <f t="shared" si="21"/>
        <v/>
      </c>
      <c r="P196" s="276" t="str">
        <f t="shared" si="22"/>
        <v/>
      </c>
      <c r="Q196" s="336" t="str">
        <f>IF(N196="","",VLOOKUP(B196,'C-1 On-Site WaterC'' Baseline'!$C$10:$AC$257,20,FALSE))</f>
        <v/>
      </c>
      <c r="R196" s="275" t="str">
        <f>IF(N196="","",VLOOKUP(N196,'G-7 WaterC'' Data'!$B$2:$G$8,2,FALSE))</f>
        <v/>
      </c>
      <c r="S196" s="276" t="str">
        <f>IFERROR(VLOOKUP(R196,'G-7 WaterC'' Data'!$C$4:$D$8,2,FALSE),"")</f>
        <v/>
      </c>
      <c r="T196" s="101"/>
      <c r="U196" s="276" t="str">
        <f>IFERROR(INDEX('G-7 WaterC'' Data'!$H$4:$L$8,MATCH(N196,'G-7 WaterC'' Data'!$B$4:$B$8,0),MATCH(T196,'G-7 WaterC'' Data'!$H$3:$L$3,0)),"")</f>
        <v/>
      </c>
      <c r="V196" s="101"/>
      <c r="W196" s="283" t="str">
        <f>IF(V196="","",IF(VLOOKUP(V196,'G-7 WaterC'' Data'!$AK$4:$AM$6,2,FALSE)=0,"Spatial Data Missing ⚠",VLOOKUP(V196,'G-7 WaterC'' Data'!$AK$4:$AM$6,2,FALSE)))</f>
        <v/>
      </c>
      <c r="X196" s="276" t="str">
        <f>IF(V196="","",IF(VLOOKUP(V196,'G-7 WaterC'' Data'!$AK$4:$AM$6,3,FALSE)=0,"Spatial Data Missing ⚠",VLOOKUP(V196,'G-7 WaterC'' Data'!$AK$4:$AM$6,3,FALSE)))</f>
        <v/>
      </c>
      <c r="Y196" s="275" t="str">
        <f>IFERROR(IF(OR(LEFT(P196,5)="Error",LEFT(O196,5)="Error"),"Check Data ⚠",IF(F196&lt;S196,'G-7 WaterC'' Data'!$R$3,INDEX('G-7 WaterC'' Data'!$U$5:$Y$9,MATCH(G196,'G-7 WaterC'' Data'!$T$5:$T$9,0),MATCH(T196,'G-7 WaterC'' Data'!$U$4:$Y$4,0)))),"")</f>
        <v/>
      </c>
      <c r="Z196" s="133"/>
      <c r="AA196" s="133"/>
      <c r="AB196" s="283" t="str">
        <f t="shared" si="23"/>
        <v/>
      </c>
      <c r="AC196" s="296" t="str">
        <f t="shared" si="24"/>
        <v/>
      </c>
      <c r="AD196" s="334" t="str">
        <f>IFERROR(IF(AC196="Check Data ⚠","Check Data ⚠",VLOOKUP(AC196,'G-4 Temporal multipliers'!$A$4:$C$37,3,FALSE)),"")</f>
        <v/>
      </c>
      <c r="AE196" s="275" t="str">
        <f>IF(N196="","",VLOOKUP(N196,'G-7 WaterC'' Data'!$B$4:$G$8,5,FALSE))</f>
        <v/>
      </c>
      <c r="AF196" s="283" t="str">
        <f t="shared" si="25"/>
        <v/>
      </c>
      <c r="AG196" s="314" t="str">
        <f t="shared" si="26"/>
        <v/>
      </c>
      <c r="AH196" s="276" t="str">
        <f t="shared" si="20"/>
        <v/>
      </c>
      <c r="AI196" s="105"/>
      <c r="AJ196" s="276" t="str">
        <f>IF(AI196="","",IF(AND(AI196="N/A - Culvert",N196&lt;&gt;"Culvert"),"Not possible ▲",IF(VLOOKUP(AI196,'G-7 WaterC'' Data'!$AA$4:$AB$7,2,FALSE)=0,"Spatial Data Missing ⚠",VLOOKUP(AI196,'G-7 WaterC'' Data'!$AA$4:$AB$7,2,FALSE))))</f>
        <v/>
      </c>
      <c r="AK196" s="106"/>
      <c r="AL196" s="276" t="str">
        <f>IF(AK196="","",IF(AND(AK196="N/A - Culvert",N196&lt;&gt;"Culvert"),"Not possible ▲",IF(VLOOKUP(AK196,'G-7 WaterC'' Data'!$AD$4:$AE$14,2,FALSE)=0,"Spatial Data Missing ⚠",VLOOKUP(AK196,'G-7 WaterC'' Data'!$AD$4:$AE$14,2,FALSE))))</f>
        <v/>
      </c>
      <c r="AM196" s="317" t="str">
        <f t="shared" si="27"/>
        <v/>
      </c>
      <c r="AN196" s="101"/>
      <c r="AO196" s="115"/>
      <c r="AP196" s="104"/>
      <c r="AS196" s="30" t="str">
        <f>IF(B196="","",IF(ISNA(VLOOKUP($B196,'C-1 On-Site WaterC'' Baseline'!$C$8:$AD$257,17,FALSE)),"",(VLOOKUP($B196,'C-1 On-Site WaterC'' Baseline'!$C$8:$AD$257,17,FALSE))))</f>
        <v/>
      </c>
      <c r="AT196" s="30" t="str">
        <f>IF(B196="","",VLOOKUP($B196,'C-1 On-Site WaterC'' Baseline'!$C$9:$Z$257,12,FALSE))</f>
        <v/>
      </c>
      <c r="AU196" s="30" t="str">
        <f>IF(B196="","",VLOOKUP($B196,'C-1 On-Site WaterC'' Baseline'!$C$9:$Z$257,14,FALSE))</f>
        <v/>
      </c>
      <c r="AV196" s="30" t="str">
        <f>IFERROR(INDEX('G-7 WaterC'' Data'!$AZ$3:$AZ$7,MATCH(N196,'G-7 WaterC'' Data'!$AY$3:$AY$7,0)),"")</f>
        <v/>
      </c>
      <c r="AX196" s="30" t="str">
        <f>IF(B196="","",VLOOKUP($B196,'C-1 On-Site WaterC'' Baseline'!$C$9:$Y$257,22,FALSE))</f>
        <v/>
      </c>
      <c r="AY196" s="30" t="str">
        <f t="shared" si="28"/>
        <v/>
      </c>
      <c r="AZ196" s="30" t="str">
        <f>IF(B196="","",VLOOKUP($B196,'C-1 On-Site WaterC'' Baseline'!$C$9:$Y$257,21,FALSE))</f>
        <v/>
      </c>
      <c r="BA196" s="30" t="str">
        <f>IF(B196="","",VLOOKUP($B196,'C-1 On-Site WaterC'' Baseline'!$C$9:$Y$257,19,FALSE))</f>
        <v/>
      </c>
      <c r="BD196" s="30" t="str">
        <f t="shared" si="29"/>
        <v>No</v>
      </c>
    </row>
    <row r="197" spans="2:56" ht="14">
      <c r="B197" s="305" t="str">
        <f>'C-1 On-Site WaterC'' Baseline'!AP195</f>
        <v/>
      </c>
      <c r="C197" s="295" t="str">
        <f>IF(B197="","",VLOOKUP($B197,'C-1 On-Site WaterC'' Baseline'!$C$9:$R$257,2,FALSE))</f>
        <v/>
      </c>
      <c r="D197" s="295" t="str">
        <f>IF(C197="","",VLOOKUP($B197,'C-1 On-Site WaterC'' Baseline'!$C$9:$R$257,3,FALSE))</f>
        <v/>
      </c>
      <c r="E197" s="295" t="str">
        <f>IF(D197="","",VLOOKUP($B197,'C-1 On-Site WaterC'' Baseline'!$C$9:$R$257,4,FALSE))</f>
        <v/>
      </c>
      <c r="F197" s="295" t="str">
        <f>IF(E197="","",VLOOKUP($B197,'C-1 On-Site WaterC'' Baseline'!$C$9:$R$257,5,FALSE))</f>
        <v/>
      </c>
      <c r="G197" s="295" t="str">
        <f>IF(F197="","",VLOOKUP($B197,'C-1 On-Site WaterC'' Baseline'!$C$9:$R$257,6,FALSE))</f>
        <v/>
      </c>
      <c r="H197" s="295" t="str">
        <f>IF(G197="","",VLOOKUP($B197,'C-1 On-Site WaterC'' Baseline'!$C$9:$R$257,7,FALSE))</f>
        <v/>
      </c>
      <c r="I197" s="295" t="str">
        <f>IF(H197="","",VLOOKUP($B197,'C-1 On-Site WaterC'' Baseline'!$C$9:$R$257,8,FALSE))</f>
        <v/>
      </c>
      <c r="J197" s="295" t="str">
        <f>IF(I197="","",VLOOKUP($B197,'C-1 On-Site WaterC'' Baseline'!$C$9:$R$257,9,FALSE))</f>
        <v/>
      </c>
      <c r="K197" s="295" t="str">
        <f>IF(J197="","",VLOOKUP($B197,'C-1 On-Site WaterC'' Baseline'!$C$9:$R$257,10,FALSE))</f>
        <v/>
      </c>
      <c r="L197" s="295" t="str">
        <f>IF(B197="","",VLOOKUP($B197,'C-1 On-Site WaterC'' Baseline'!$C$9:$R$257,15,FALSE))</f>
        <v/>
      </c>
      <c r="M197" s="299" t="str">
        <f>IF(L197="","",VLOOKUP($B197,'C-1 On-Site WaterC'' Baseline'!$C$9:$R$257,16,FALSE))</f>
        <v/>
      </c>
      <c r="N197" s="245"/>
      <c r="O197" s="275" t="str">
        <f t="shared" si="21"/>
        <v/>
      </c>
      <c r="P197" s="276" t="str">
        <f t="shared" si="22"/>
        <v/>
      </c>
      <c r="Q197" s="336" t="str">
        <f>IF(N197="","",VLOOKUP(B197,'C-1 On-Site WaterC'' Baseline'!$C$10:$AC$257,20,FALSE))</f>
        <v/>
      </c>
      <c r="R197" s="275" t="str">
        <f>IF(N197="","",VLOOKUP(N197,'G-7 WaterC'' Data'!$B$2:$G$8,2,FALSE))</f>
        <v/>
      </c>
      <c r="S197" s="276" t="str">
        <f>IFERROR(VLOOKUP(R197,'G-7 WaterC'' Data'!$C$4:$D$8,2,FALSE),"")</f>
        <v/>
      </c>
      <c r="T197" s="101"/>
      <c r="U197" s="276" t="str">
        <f>IFERROR(INDEX('G-7 WaterC'' Data'!$H$4:$L$8,MATCH(N197,'G-7 WaterC'' Data'!$B$4:$B$8,0),MATCH(T197,'G-7 WaterC'' Data'!$H$3:$L$3,0)),"")</f>
        <v/>
      </c>
      <c r="V197" s="101"/>
      <c r="W197" s="283" t="str">
        <f>IF(V197="","",IF(VLOOKUP(V197,'G-7 WaterC'' Data'!$AK$4:$AM$6,2,FALSE)=0,"Spatial Data Missing ⚠",VLOOKUP(V197,'G-7 WaterC'' Data'!$AK$4:$AM$6,2,FALSE)))</f>
        <v/>
      </c>
      <c r="X197" s="276" t="str">
        <f>IF(V197="","",IF(VLOOKUP(V197,'G-7 WaterC'' Data'!$AK$4:$AM$6,3,FALSE)=0,"Spatial Data Missing ⚠",VLOOKUP(V197,'G-7 WaterC'' Data'!$AK$4:$AM$6,3,FALSE)))</f>
        <v/>
      </c>
      <c r="Y197" s="275" t="str">
        <f>IFERROR(IF(OR(LEFT(P197,5)="Error",LEFT(O197,5)="Error"),"Check Data ⚠",IF(F197&lt;S197,'G-7 WaterC'' Data'!$R$3,INDEX('G-7 WaterC'' Data'!$U$5:$Y$9,MATCH(G197,'G-7 WaterC'' Data'!$T$5:$T$9,0),MATCH(T197,'G-7 WaterC'' Data'!$U$4:$Y$4,0)))),"")</f>
        <v/>
      </c>
      <c r="Z197" s="133"/>
      <c r="AA197" s="133"/>
      <c r="AB197" s="283" t="str">
        <f t="shared" si="23"/>
        <v/>
      </c>
      <c r="AC197" s="296" t="str">
        <f t="shared" si="24"/>
        <v/>
      </c>
      <c r="AD197" s="334" t="str">
        <f>IFERROR(IF(AC197="Check Data ⚠","Check Data ⚠",VLOOKUP(AC197,'G-4 Temporal multipliers'!$A$4:$C$37,3,FALSE)),"")</f>
        <v/>
      </c>
      <c r="AE197" s="275" t="str">
        <f>IF(N197="","",VLOOKUP(N197,'G-7 WaterC'' Data'!$B$4:$G$8,5,FALSE))</f>
        <v/>
      </c>
      <c r="AF197" s="283" t="str">
        <f t="shared" si="25"/>
        <v/>
      </c>
      <c r="AG197" s="314" t="str">
        <f t="shared" si="26"/>
        <v/>
      </c>
      <c r="AH197" s="276" t="str">
        <f t="shared" si="20"/>
        <v/>
      </c>
      <c r="AI197" s="105"/>
      <c r="AJ197" s="276" t="str">
        <f>IF(AI197="","",IF(AND(AI197="N/A - Culvert",N197&lt;&gt;"Culvert"),"Not possible ▲",IF(VLOOKUP(AI197,'G-7 WaterC'' Data'!$AA$4:$AB$7,2,FALSE)=0,"Spatial Data Missing ⚠",VLOOKUP(AI197,'G-7 WaterC'' Data'!$AA$4:$AB$7,2,FALSE))))</f>
        <v/>
      </c>
      <c r="AK197" s="106"/>
      <c r="AL197" s="276" t="str">
        <f>IF(AK197="","",IF(AND(AK197="N/A - Culvert",N197&lt;&gt;"Culvert"),"Not possible ▲",IF(VLOOKUP(AK197,'G-7 WaterC'' Data'!$AD$4:$AE$14,2,FALSE)=0,"Spatial Data Missing ⚠",VLOOKUP(AK197,'G-7 WaterC'' Data'!$AD$4:$AE$14,2,FALSE))))</f>
        <v/>
      </c>
      <c r="AM197" s="317" t="str">
        <f t="shared" si="27"/>
        <v/>
      </c>
      <c r="AN197" s="101"/>
      <c r="AO197" s="115"/>
      <c r="AP197" s="104"/>
      <c r="AS197" s="30" t="str">
        <f>IF(B197="","",IF(ISNA(VLOOKUP($B197,'C-1 On-Site WaterC'' Baseline'!$C$8:$AD$257,17,FALSE)),"",(VLOOKUP($B197,'C-1 On-Site WaterC'' Baseline'!$C$8:$AD$257,17,FALSE))))</f>
        <v/>
      </c>
      <c r="AT197" s="30" t="str">
        <f>IF(B197="","",VLOOKUP($B197,'C-1 On-Site WaterC'' Baseline'!$C$9:$Z$257,12,FALSE))</f>
        <v/>
      </c>
      <c r="AU197" s="30" t="str">
        <f>IF(B197="","",VLOOKUP($B197,'C-1 On-Site WaterC'' Baseline'!$C$9:$Z$257,14,FALSE))</f>
        <v/>
      </c>
      <c r="AV197" s="30" t="str">
        <f>IFERROR(INDEX('G-7 WaterC'' Data'!$AZ$3:$AZ$7,MATCH(N197,'G-7 WaterC'' Data'!$AY$3:$AY$7,0)),"")</f>
        <v/>
      </c>
      <c r="AX197" s="30" t="str">
        <f>IF(B197="","",VLOOKUP($B197,'C-1 On-Site WaterC'' Baseline'!$C$9:$Y$257,22,FALSE))</f>
        <v/>
      </c>
      <c r="AY197" s="30" t="str">
        <f t="shared" si="28"/>
        <v/>
      </c>
      <c r="AZ197" s="30" t="str">
        <f>IF(B197="","",VLOOKUP($B197,'C-1 On-Site WaterC'' Baseline'!$C$9:$Y$257,21,FALSE))</f>
        <v/>
      </c>
      <c r="BA197" s="30" t="str">
        <f>IF(B197="","",VLOOKUP($B197,'C-1 On-Site WaterC'' Baseline'!$C$9:$Y$257,19,FALSE))</f>
        <v/>
      </c>
      <c r="BD197" s="30" t="str">
        <f t="shared" si="29"/>
        <v>No</v>
      </c>
    </row>
    <row r="198" spans="2:56" ht="14">
      <c r="B198" s="305" t="str">
        <f>'C-1 On-Site WaterC'' Baseline'!AP196</f>
        <v/>
      </c>
      <c r="C198" s="295" t="str">
        <f>IF(B198="","",VLOOKUP($B198,'C-1 On-Site WaterC'' Baseline'!$C$9:$R$257,2,FALSE))</f>
        <v/>
      </c>
      <c r="D198" s="295" t="str">
        <f>IF(C198="","",VLOOKUP($B198,'C-1 On-Site WaterC'' Baseline'!$C$9:$R$257,3,FALSE))</f>
        <v/>
      </c>
      <c r="E198" s="295" t="str">
        <f>IF(D198="","",VLOOKUP($B198,'C-1 On-Site WaterC'' Baseline'!$C$9:$R$257,4,FALSE))</f>
        <v/>
      </c>
      <c r="F198" s="295" t="str">
        <f>IF(E198="","",VLOOKUP($B198,'C-1 On-Site WaterC'' Baseline'!$C$9:$R$257,5,FALSE))</f>
        <v/>
      </c>
      <c r="G198" s="295" t="str">
        <f>IF(F198="","",VLOOKUP($B198,'C-1 On-Site WaterC'' Baseline'!$C$9:$R$257,6,FALSE))</f>
        <v/>
      </c>
      <c r="H198" s="295" t="str">
        <f>IF(G198="","",VLOOKUP($B198,'C-1 On-Site WaterC'' Baseline'!$C$9:$R$257,7,FALSE))</f>
        <v/>
      </c>
      <c r="I198" s="295" t="str">
        <f>IF(H198="","",VLOOKUP($B198,'C-1 On-Site WaterC'' Baseline'!$C$9:$R$257,8,FALSE))</f>
        <v/>
      </c>
      <c r="J198" s="295" t="str">
        <f>IF(I198="","",VLOOKUP($B198,'C-1 On-Site WaterC'' Baseline'!$C$9:$R$257,9,FALSE))</f>
        <v/>
      </c>
      <c r="K198" s="295" t="str">
        <f>IF(J198="","",VLOOKUP($B198,'C-1 On-Site WaterC'' Baseline'!$C$9:$R$257,10,FALSE))</f>
        <v/>
      </c>
      <c r="L198" s="295" t="str">
        <f>IF(B198="","",VLOOKUP($B198,'C-1 On-Site WaterC'' Baseline'!$C$9:$R$257,15,FALSE))</f>
        <v/>
      </c>
      <c r="M198" s="299" t="str">
        <f>IF(L198="","",VLOOKUP($B198,'C-1 On-Site WaterC'' Baseline'!$C$9:$R$257,16,FALSE))</f>
        <v/>
      </c>
      <c r="N198" s="245"/>
      <c r="O198" s="275" t="str">
        <f t="shared" si="21"/>
        <v/>
      </c>
      <c r="P198" s="276" t="str">
        <f t="shared" si="22"/>
        <v/>
      </c>
      <c r="Q198" s="336" t="str">
        <f>IF(N198="","",VLOOKUP(B198,'C-1 On-Site WaterC'' Baseline'!$C$10:$AC$257,20,FALSE))</f>
        <v/>
      </c>
      <c r="R198" s="275" t="str">
        <f>IF(N198="","",VLOOKUP(N198,'G-7 WaterC'' Data'!$B$2:$G$8,2,FALSE))</f>
        <v/>
      </c>
      <c r="S198" s="276" t="str">
        <f>IFERROR(VLOOKUP(R198,'G-7 WaterC'' Data'!$C$4:$D$8,2,FALSE),"")</f>
        <v/>
      </c>
      <c r="T198" s="101"/>
      <c r="U198" s="276" t="str">
        <f>IFERROR(INDEX('G-7 WaterC'' Data'!$H$4:$L$8,MATCH(N198,'G-7 WaterC'' Data'!$B$4:$B$8,0),MATCH(T198,'G-7 WaterC'' Data'!$H$3:$L$3,0)),"")</f>
        <v/>
      </c>
      <c r="V198" s="101"/>
      <c r="W198" s="283" t="str">
        <f>IF(V198="","",IF(VLOOKUP(V198,'G-7 WaterC'' Data'!$AK$4:$AM$6,2,FALSE)=0,"Spatial Data Missing ⚠",VLOOKUP(V198,'G-7 WaterC'' Data'!$AK$4:$AM$6,2,FALSE)))</f>
        <v/>
      </c>
      <c r="X198" s="276" t="str">
        <f>IF(V198="","",IF(VLOOKUP(V198,'G-7 WaterC'' Data'!$AK$4:$AM$6,3,FALSE)=0,"Spatial Data Missing ⚠",VLOOKUP(V198,'G-7 WaterC'' Data'!$AK$4:$AM$6,3,FALSE)))</f>
        <v/>
      </c>
      <c r="Y198" s="275" t="str">
        <f>IFERROR(IF(OR(LEFT(P198,5)="Error",LEFT(O198,5)="Error"),"Check Data ⚠",IF(F198&lt;S198,'G-7 WaterC'' Data'!$R$3,INDEX('G-7 WaterC'' Data'!$U$5:$Y$9,MATCH(G198,'G-7 WaterC'' Data'!$T$5:$T$9,0),MATCH(T198,'G-7 WaterC'' Data'!$U$4:$Y$4,0)))),"")</f>
        <v/>
      </c>
      <c r="Z198" s="133"/>
      <c r="AA198" s="133"/>
      <c r="AB198" s="283" t="str">
        <f t="shared" si="23"/>
        <v/>
      </c>
      <c r="AC198" s="296" t="str">
        <f t="shared" si="24"/>
        <v/>
      </c>
      <c r="AD198" s="334" t="str">
        <f>IFERROR(IF(AC198="Check Data ⚠","Check Data ⚠",VLOOKUP(AC198,'G-4 Temporal multipliers'!$A$4:$C$37,3,FALSE)),"")</f>
        <v/>
      </c>
      <c r="AE198" s="275" t="str">
        <f>IF(N198="","",VLOOKUP(N198,'G-7 WaterC'' Data'!$B$4:$G$8,5,FALSE))</f>
        <v/>
      </c>
      <c r="AF198" s="283" t="str">
        <f t="shared" si="25"/>
        <v/>
      </c>
      <c r="AG198" s="314" t="str">
        <f t="shared" si="26"/>
        <v/>
      </c>
      <c r="AH198" s="276" t="str">
        <f t="shared" si="20"/>
        <v/>
      </c>
      <c r="AI198" s="105"/>
      <c r="AJ198" s="276" t="str">
        <f>IF(AI198="","",IF(AND(AI198="N/A - Culvert",N198&lt;&gt;"Culvert"),"Not possible ▲",IF(VLOOKUP(AI198,'G-7 WaterC'' Data'!$AA$4:$AB$7,2,FALSE)=0,"Spatial Data Missing ⚠",VLOOKUP(AI198,'G-7 WaterC'' Data'!$AA$4:$AB$7,2,FALSE))))</f>
        <v/>
      </c>
      <c r="AK198" s="106"/>
      <c r="AL198" s="276" t="str">
        <f>IF(AK198="","",IF(AND(AK198="N/A - Culvert",N198&lt;&gt;"Culvert"),"Not possible ▲",IF(VLOOKUP(AK198,'G-7 WaterC'' Data'!$AD$4:$AE$14,2,FALSE)=0,"Spatial Data Missing ⚠",VLOOKUP(AK198,'G-7 WaterC'' Data'!$AD$4:$AE$14,2,FALSE))))</f>
        <v/>
      </c>
      <c r="AM198" s="317" t="str">
        <f t="shared" si="27"/>
        <v/>
      </c>
      <c r="AN198" s="101"/>
      <c r="AO198" s="115"/>
      <c r="AP198" s="104"/>
      <c r="AS198" s="30" t="str">
        <f>IF(B198="","",IF(ISNA(VLOOKUP($B198,'C-1 On-Site WaterC'' Baseline'!$C$8:$AD$257,17,FALSE)),"",(VLOOKUP($B198,'C-1 On-Site WaterC'' Baseline'!$C$8:$AD$257,17,FALSE))))</f>
        <v/>
      </c>
      <c r="AT198" s="30" t="str">
        <f>IF(B198="","",VLOOKUP($B198,'C-1 On-Site WaterC'' Baseline'!$C$9:$Z$257,12,FALSE))</f>
        <v/>
      </c>
      <c r="AU198" s="30" t="str">
        <f>IF(B198="","",VLOOKUP($B198,'C-1 On-Site WaterC'' Baseline'!$C$9:$Z$257,14,FALSE))</f>
        <v/>
      </c>
      <c r="AV198" s="30" t="str">
        <f>IFERROR(INDEX('G-7 WaterC'' Data'!$AZ$3:$AZ$7,MATCH(N198,'G-7 WaterC'' Data'!$AY$3:$AY$7,0)),"")</f>
        <v/>
      </c>
      <c r="AX198" s="30" t="str">
        <f>IF(B198="","",VLOOKUP($B198,'C-1 On-Site WaterC'' Baseline'!$C$9:$Y$257,22,FALSE))</f>
        <v/>
      </c>
      <c r="AY198" s="30" t="str">
        <f t="shared" si="28"/>
        <v/>
      </c>
      <c r="AZ198" s="30" t="str">
        <f>IF(B198="","",VLOOKUP($B198,'C-1 On-Site WaterC'' Baseline'!$C$9:$Y$257,21,FALSE))</f>
        <v/>
      </c>
      <c r="BA198" s="30" t="str">
        <f>IF(B198="","",VLOOKUP($B198,'C-1 On-Site WaterC'' Baseline'!$C$9:$Y$257,19,FALSE))</f>
        <v/>
      </c>
      <c r="BD198" s="30" t="str">
        <f t="shared" si="29"/>
        <v>No</v>
      </c>
    </row>
    <row r="199" spans="2:56" ht="14">
      <c r="B199" s="305" t="str">
        <f>'C-1 On-Site WaterC'' Baseline'!AP197</f>
        <v/>
      </c>
      <c r="C199" s="295" t="str">
        <f>IF(B199="","",VLOOKUP($B199,'C-1 On-Site WaterC'' Baseline'!$C$9:$R$257,2,FALSE))</f>
        <v/>
      </c>
      <c r="D199" s="295" t="str">
        <f>IF(C199="","",VLOOKUP($B199,'C-1 On-Site WaterC'' Baseline'!$C$9:$R$257,3,FALSE))</f>
        <v/>
      </c>
      <c r="E199" s="295" t="str">
        <f>IF(D199="","",VLOOKUP($B199,'C-1 On-Site WaterC'' Baseline'!$C$9:$R$257,4,FALSE))</f>
        <v/>
      </c>
      <c r="F199" s="295" t="str">
        <f>IF(E199="","",VLOOKUP($B199,'C-1 On-Site WaterC'' Baseline'!$C$9:$R$257,5,FALSE))</f>
        <v/>
      </c>
      <c r="G199" s="295" t="str">
        <f>IF(F199="","",VLOOKUP($B199,'C-1 On-Site WaterC'' Baseline'!$C$9:$R$257,6,FALSE))</f>
        <v/>
      </c>
      <c r="H199" s="295" t="str">
        <f>IF(G199="","",VLOOKUP($B199,'C-1 On-Site WaterC'' Baseline'!$C$9:$R$257,7,FALSE))</f>
        <v/>
      </c>
      <c r="I199" s="295" t="str">
        <f>IF(H199="","",VLOOKUP($B199,'C-1 On-Site WaterC'' Baseline'!$C$9:$R$257,8,FALSE))</f>
        <v/>
      </c>
      <c r="J199" s="295" t="str">
        <f>IF(I199="","",VLOOKUP($B199,'C-1 On-Site WaterC'' Baseline'!$C$9:$R$257,9,FALSE))</f>
        <v/>
      </c>
      <c r="K199" s="295" t="str">
        <f>IF(J199="","",VLOOKUP($B199,'C-1 On-Site WaterC'' Baseline'!$C$9:$R$257,10,FALSE))</f>
        <v/>
      </c>
      <c r="L199" s="295" t="str">
        <f>IF(B199="","",VLOOKUP($B199,'C-1 On-Site WaterC'' Baseline'!$C$9:$R$257,15,FALSE))</f>
        <v/>
      </c>
      <c r="M199" s="299" t="str">
        <f>IF(L199="","",VLOOKUP($B199,'C-1 On-Site WaterC'' Baseline'!$C$9:$R$257,16,FALSE))</f>
        <v/>
      </c>
      <c r="N199" s="245"/>
      <c r="O199" s="275" t="str">
        <f t="shared" si="21"/>
        <v/>
      </c>
      <c r="P199" s="276" t="str">
        <f t="shared" si="22"/>
        <v/>
      </c>
      <c r="Q199" s="336" t="str">
        <f>IF(N199="","",VLOOKUP(B199,'C-1 On-Site WaterC'' Baseline'!$C$10:$AC$257,20,FALSE))</f>
        <v/>
      </c>
      <c r="R199" s="275" t="str">
        <f>IF(N199="","",VLOOKUP(N199,'G-7 WaterC'' Data'!$B$2:$G$8,2,FALSE))</f>
        <v/>
      </c>
      <c r="S199" s="276" t="str">
        <f>IFERROR(VLOOKUP(R199,'G-7 WaterC'' Data'!$C$4:$D$8,2,FALSE),"")</f>
        <v/>
      </c>
      <c r="T199" s="101"/>
      <c r="U199" s="276" t="str">
        <f>IFERROR(INDEX('G-7 WaterC'' Data'!$H$4:$L$8,MATCH(N199,'G-7 WaterC'' Data'!$B$4:$B$8,0),MATCH(T199,'G-7 WaterC'' Data'!$H$3:$L$3,0)),"")</f>
        <v/>
      </c>
      <c r="V199" s="101"/>
      <c r="W199" s="283" t="str">
        <f>IF(V199="","",IF(VLOOKUP(V199,'G-7 WaterC'' Data'!$AK$4:$AM$6,2,FALSE)=0,"Spatial Data Missing ⚠",VLOOKUP(V199,'G-7 WaterC'' Data'!$AK$4:$AM$6,2,FALSE)))</f>
        <v/>
      </c>
      <c r="X199" s="276" t="str">
        <f>IF(V199="","",IF(VLOOKUP(V199,'G-7 WaterC'' Data'!$AK$4:$AM$6,3,FALSE)=0,"Spatial Data Missing ⚠",VLOOKUP(V199,'G-7 WaterC'' Data'!$AK$4:$AM$6,3,FALSE)))</f>
        <v/>
      </c>
      <c r="Y199" s="275" t="str">
        <f>IFERROR(IF(OR(LEFT(P199,5)="Error",LEFT(O199,5)="Error"),"Check Data ⚠",IF(F199&lt;S199,'G-7 WaterC'' Data'!$R$3,INDEX('G-7 WaterC'' Data'!$U$5:$Y$9,MATCH(G199,'G-7 WaterC'' Data'!$T$5:$T$9,0),MATCH(T199,'G-7 WaterC'' Data'!$U$4:$Y$4,0)))),"")</f>
        <v/>
      </c>
      <c r="Z199" s="133"/>
      <c r="AA199" s="133"/>
      <c r="AB199" s="283" t="str">
        <f t="shared" si="23"/>
        <v/>
      </c>
      <c r="AC199" s="296" t="str">
        <f t="shared" si="24"/>
        <v/>
      </c>
      <c r="AD199" s="334" t="str">
        <f>IFERROR(IF(AC199="Check Data ⚠","Check Data ⚠",VLOOKUP(AC199,'G-4 Temporal multipliers'!$A$4:$C$37,3,FALSE)),"")</f>
        <v/>
      </c>
      <c r="AE199" s="275" t="str">
        <f>IF(N199="","",VLOOKUP(N199,'G-7 WaterC'' Data'!$B$4:$G$8,5,FALSE))</f>
        <v/>
      </c>
      <c r="AF199" s="283" t="str">
        <f t="shared" si="25"/>
        <v/>
      </c>
      <c r="AG199" s="314" t="str">
        <f t="shared" si="26"/>
        <v/>
      </c>
      <c r="AH199" s="276" t="str">
        <f t="shared" si="20"/>
        <v/>
      </c>
      <c r="AI199" s="105"/>
      <c r="AJ199" s="276" t="str">
        <f>IF(AI199="","",IF(AND(AI199="N/A - Culvert",N199&lt;&gt;"Culvert"),"Not possible ▲",IF(VLOOKUP(AI199,'G-7 WaterC'' Data'!$AA$4:$AB$7,2,FALSE)=0,"Spatial Data Missing ⚠",VLOOKUP(AI199,'G-7 WaterC'' Data'!$AA$4:$AB$7,2,FALSE))))</f>
        <v/>
      </c>
      <c r="AK199" s="106"/>
      <c r="AL199" s="276" t="str">
        <f>IF(AK199="","",IF(AND(AK199="N/A - Culvert",N199&lt;&gt;"Culvert"),"Not possible ▲",IF(VLOOKUP(AK199,'G-7 WaterC'' Data'!$AD$4:$AE$14,2,FALSE)=0,"Spatial Data Missing ⚠",VLOOKUP(AK199,'G-7 WaterC'' Data'!$AD$4:$AE$14,2,FALSE))))</f>
        <v/>
      </c>
      <c r="AM199" s="317" t="str">
        <f t="shared" si="27"/>
        <v/>
      </c>
      <c r="AN199" s="101"/>
      <c r="AO199" s="115"/>
      <c r="AP199" s="104"/>
      <c r="AS199" s="30" t="str">
        <f>IF(B199="","",IF(ISNA(VLOOKUP($B199,'C-1 On-Site WaterC'' Baseline'!$C$8:$AD$257,17,FALSE)),"",(VLOOKUP($B199,'C-1 On-Site WaterC'' Baseline'!$C$8:$AD$257,17,FALSE))))</f>
        <v/>
      </c>
      <c r="AT199" s="30" t="str">
        <f>IF(B199="","",VLOOKUP($B199,'C-1 On-Site WaterC'' Baseline'!$C$9:$Z$257,12,FALSE))</f>
        <v/>
      </c>
      <c r="AU199" s="30" t="str">
        <f>IF(B199="","",VLOOKUP($B199,'C-1 On-Site WaterC'' Baseline'!$C$9:$Z$257,14,FALSE))</f>
        <v/>
      </c>
      <c r="AV199" s="30" t="str">
        <f>IFERROR(INDEX('G-7 WaterC'' Data'!$AZ$3:$AZ$7,MATCH(N199,'G-7 WaterC'' Data'!$AY$3:$AY$7,0)),"")</f>
        <v/>
      </c>
      <c r="AX199" s="30" t="str">
        <f>IF(B199="","",VLOOKUP($B199,'C-1 On-Site WaterC'' Baseline'!$C$9:$Y$257,22,FALSE))</f>
        <v/>
      </c>
      <c r="AY199" s="30" t="str">
        <f t="shared" si="28"/>
        <v/>
      </c>
      <c r="AZ199" s="30" t="str">
        <f>IF(B199="","",VLOOKUP($B199,'C-1 On-Site WaterC'' Baseline'!$C$9:$Y$257,21,FALSE))</f>
        <v/>
      </c>
      <c r="BA199" s="30" t="str">
        <f>IF(B199="","",VLOOKUP($B199,'C-1 On-Site WaterC'' Baseline'!$C$9:$Y$257,19,FALSE))</f>
        <v/>
      </c>
      <c r="BD199" s="30" t="str">
        <f t="shared" si="29"/>
        <v>No</v>
      </c>
    </row>
    <row r="200" spans="2:56" ht="14">
      <c r="B200" s="305" t="str">
        <f>'C-1 On-Site WaterC'' Baseline'!AP198</f>
        <v/>
      </c>
      <c r="C200" s="295" t="str">
        <f>IF(B200="","",VLOOKUP($B200,'C-1 On-Site WaterC'' Baseline'!$C$9:$R$257,2,FALSE))</f>
        <v/>
      </c>
      <c r="D200" s="295" t="str">
        <f>IF(C200="","",VLOOKUP($B200,'C-1 On-Site WaterC'' Baseline'!$C$9:$R$257,3,FALSE))</f>
        <v/>
      </c>
      <c r="E200" s="295" t="str">
        <f>IF(D200="","",VLOOKUP($B200,'C-1 On-Site WaterC'' Baseline'!$C$9:$R$257,4,FALSE))</f>
        <v/>
      </c>
      <c r="F200" s="295" t="str">
        <f>IF(E200="","",VLOOKUP($B200,'C-1 On-Site WaterC'' Baseline'!$C$9:$R$257,5,FALSE))</f>
        <v/>
      </c>
      <c r="G200" s="295" t="str">
        <f>IF(F200="","",VLOOKUP($B200,'C-1 On-Site WaterC'' Baseline'!$C$9:$R$257,6,FALSE))</f>
        <v/>
      </c>
      <c r="H200" s="295" t="str">
        <f>IF(G200="","",VLOOKUP($B200,'C-1 On-Site WaterC'' Baseline'!$C$9:$R$257,7,FALSE))</f>
        <v/>
      </c>
      <c r="I200" s="295" t="str">
        <f>IF(H200="","",VLOOKUP($B200,'C-1 On-Site WaterC'' Baseline'!$C$9:$R$257,8,FALSE))</f>
        <v/>
      </c>
      <c r="J200" s="295" t="str">
        <f>IF(I200="","",VLOOKUP($B200,'C-1 On-Site WaterC'' Baseline'!$C$9:$R$257,9,FALSE))</f>
        <v/>
      </c>
      <c r="K200" s="295" t="str">
        <f>IF(J200="","",VLOOKUP($B200,'C-1 On-Site WaterC'' Baseline'!$C$9:$R$257,10,FALSE))</f>
        <v/>
      </c>
      <c r="L200" s="295" t="str">
        <f>IF(B200="","",VLOOKUP($B200,'C-1 On-Site WaterC'' Baseline'!$C$9:$R$257,15,FALSE))</f>
        <v/>
      </c>
      <c r="M200" s="299" t="str">
        <f>IF(L200="","",VLOOKUP($B200,'C-1 On-Site WaterC'' Baseline'!$C$9:$R$257,16,FALSE))</f>
        <v/>
      </c>
      <c r="N200" s="245"/>
      <c r="O200" s="275" t="str">
        <f t="shared" si="21"/>
        <v/>
      </c>
      <c r="P200" s="276" t="str">
        <f t="shared" si="22"/>
        <v/>
      </c>
      <c r="Q200" s="336" t="str">
        <f>IF(N200="","",VLOOKUP(B200,'C-1 On-Site WaterC'' Baseline'!$C$10:$AC$257,20,FALSE))</f>
        <v/>
      </c>
      <c r="R200" s="275" t="str">
        <f>IF(N200="","",VLOOKUP(N200,'G-7 WaterC'' Data'!$B$2:$G$8,2,FALSE))</f>
        <v/>
      </c>
      <c r="S200" s="276" t="str">
        <f>IFERROR(VLOOKUP(R200,'G-7 WaterC'' Data'!$C$4:$D$8,2,FALSE),"")</f>
        <v/>
      </c>
      <c r="T200" s="101"/>
      <c r="U200" s="276" t="str">
        <f>IFERROR(INDEX('G-7 WaterC'' Data'!$H$4:$L$8,MATCH(N200,'G-7 WaterC'' Data'!$B$4:$B$8,0),MATCH(T200,'G-7 WaterC'' Data'!$H$3:$L$3,0)),"")</f>
        <v/>
      </c>
      <c r="V200" s="101"/>
      <c r="W200" s="283" t="str">
        <f>IF(V200="","",IF(VLOOKUP(V200,'G-7 WaterC'' Data'!$AK$4:$AM$6,2,FALSE)=0,"Spatial Data Missing ⚠",VLOOKUP(V200,'G-7 WaterC'' Data'!$AK$4:$AM$6,2,FALSE)))</f>
        <v/>
      </c>
      <c r="X200" s="276" t="str">
        <f>IF(V200="","",IF(VLOOKUP(V200,'G-7 WaterC'' Data'!$AK$4:$AM$6,3,FALSE)=0,"Spatial Data Missing ⚠",VLOOKUP(V200,'G-7 WaterC'' Data'!$AK$4:$AM$6,3,FALSE)))</f>
        <v/>
      </c>
      <c r="Y200" s="275" t="str">
        <f>IFERROR(IF(OR(LEFT(P200,5)="Error",LEFT(O200,5)="Error"),"Check Data ⚠",IF(F200&lt;S200,'G-7 WaterC'' Data'!$R$3,INDEX('G-7 WaterC'' Data'!$U$5:$Y$9,MATCH(G200,'G-7 WaterC'' Data'!$T$5:$T$9,0),MATCH(T200,'G-7 WaterC'' Data'!$U$4:$Y$4,0)))),"")</f>
        <v/>
      </c>
      <c r="Z200" s="133"/>
      <c r="AA200" s="133"/>
      <c r="AB200" s="283" t="str">
        <f t="shared" si="23"/>
        <v/>
      </c>
      <c r="AC200" s="296" t="str">
        <f t="shared" si="24"/>
        <v/>
      </c>
      <c r="AD200" s="334" t="str">
        <f>IFERROR(IF(AC200="Check Data ⚠","Check Data ⚠",VLOOKUP(AC200,'G-4 Temporal multipliers'!$A$4:$C$37,3,FALSE)),"")</f>
        <v/>
      </c>
      <c r="AE200" s="275" t="str">
        <f>IF(N200="","",VLOOKUP(N200,'G-7 WaterC'' Data'!$B$4:$G$8,5,FALSE))</f>
        <v/>
      </c>
      <c r="AF200" s="283" t="str">
        <f t="shared" si="25"/>
        <v/>
      </c>
      <c r="AG200" s="314" t="str">
        <f t="shared" si="26"/>
        <v/>
      </c>
      <c r="AH200" s="276" t="str">
        <f t="shared" si="20"/>
        <v/>
      </c>
      <c r="AI200" s="105"/>
      <c r="AJ200" s="276" t="str">
        <f>IF(AI200="","",IF(AND(AI200="N/A - Culvert",N200&lt;&gt;"Culvert"),"Not possible ▲",IF(VLOOKUP(AI200,'G-7 WaterC'' Data'!$AA$4:$AB$7,2,FALSE)=0,"Spatial Data Missing ⚠",VLOOKUP(AI200,'G-7 WaterC'' Data'!$AA$4:$AB$7,2,FALSE))))</f>
        <v/>
      </c>
      <c r="AK200" s="106"/>
      <c r="AL200" s="276" t="str">
        <f>IF(AK200="","",IF(AND(AK200="N/A - Culvert",N200&lt;&gt;"Culvert"),"Not possible ▲",IF(VLOOKUP(AK200,'G-7 WaterC'' Data'!$AD$4:$AE$14,2,FALSE)=0,"Spatial Data Missing ⚠",VLOOKUP(AK200,'G-7 WaterC'' Data'!$AD$4:$AE$14,2,FALSE))))</f>
        <v/>
      </c>
      <c r="AM200" s="317" t="str">
        <f t="shared" si="27"/>
        <v/>
      </c>
      <c r="AN200" s="101"/>
      <c r="AO200" s="115"/>
      <c r="AP200" s="104"/>
      <c r="AS200" s="30" t="str">
        <f>IF(B200="","",IF(ISNA(VLOOKUP($B200,'C-1 On-Site WaterC'' Baseline'!$C$8:$AD$257,17,FALSE)),"",(VLOOKUP($B200,'C-1 On-Site WaterC'' Baseline'!$C$8:$AD$257,17,FALSE))))</f>
        <v/>
      </c>
      <c r="AT200" s="30" t="str">
        <f>IF(B200="","",VLOOKUP($B200,'C-1 On-Site WaterC'' Baseline'!$C$9:$Z$257,12,FALSE))</f>
        <v/>
      </c>
      <c r="AU200" s="30" t="str">
        <f>IF(B200="","",VLOOKUP($B200,'C-1 On-Site WaterC'' Baseline'!$C$9:$Z$257,14,FALSE))</f>
        <v/>
      </c>
      <c r="AV200" s="30" t="str">
        <f>IFERROR(INDEX('G-7 WaterC'' Data'!$AZ$3:$AZ$7,MATCH(N200,'G-7 WaterC'' Data'!$AY$3:$AY$7,0)),"")</f>
        <v/>
      </c>
      <c r="AX200" s="30" t="str">
        <f>IF(B200="","",VLOOKUP($B200,'C-1 On-Site WaterC'' Baseline'!$C$9:$Y$257,22,FALSE))</f>
        <v/>
      </c>
      <c r="AY200" s="30" t="str">
        <f t="shared" si="28"/>
        <v/>
      </c>
      <c r="AZ200" s="30" t="str">
        <f>IF(B200="","",VLOOKUP($B200,'C-1 On-Site WaterC'' Baseline'!$C$9:$Y$257,21,FALSE))</f>
        <v/>
      </c>
      <c r="BA200" s="30" t="str">
        <f>IF(B200="","",VLOOKUP($B200,'C-1 On-Site WaterC'' Baseline'!$C$9:$Y$257,19,FALSE))</f>
        <v/>
      </c>
      <c r="BD200" s="30" t="str">
        <f t="shared" si="29"/>
        <v>No</v>
      </c>
    </row>
    <row r="201" spans="2:56" ht="14">
      <c r="B201" s="305" t="str">
        <f>'C-1 On-Site WaterC'' Baseline'!AP199</f>
        <v/>
      </c>
      <c r="C201" s="295" t="str">
        <f>IF(B201="","",VLOOKUP($B201,'C-1 On-Site WaterC'' Baseline'!$C$9:$R$257,2,FALSE))</f>
        <v/>
      </c>
      <c r="D201" s="295" t="str">
        <f>IF(C201="","",VLOOKUP($B201,'C-1 On-Site WaterC'' Baseline'!$C$9:$R$257,3,FALSE))</f>
        <v/>
      </c>
      <c r="E201" s="295" t="str">
        <f>IF(D201="","",VLOOKUP($B201,'C-1 On-Site WaterC'' Baseline'!$C$9:$R$257,4,FALSE))</f>
        <v/>
      </c>
      <c r="F201" s="295" t="str">
        <f>IF(E201="","",VLOOKUP($B201,'C-1 On-Site WaterC'' Baseline'!$C$9:$R$257,5,FALSE))</f>
        <v/>
      </c>
      <c r="G201" s="295" t="str">
        <f>IF(F201="","",VLOOKUP($B201,'C-1 On-Site WaterC'' Baseline'!$C$9:$R$257,6,FALSE))</f>
        <v/>
      </c>
      <c r="H201" s="295" t="str">
        <f>IF(G201="","",VLOOKUP($B201,'C-1 On-Site WaterC'' Baseline'!$C$9:$R$257,7,FALSE))</f>
        <v/>
      </c>
      <c r="I201" s="295" t="str">
        <f>IF(H201="","",VLOOKUP($B201,'C-1 On-Site WaterC'' Baseline'!$C$9:$R$257,8,FALSE))</f>
        <v/>
      </c>
      <c r="J201" s="295" t="str">
        <f>IF(I201="","",VLOOKUP($B201,'C-1 On-Site WaterC'' Baseline'!$C$9:$R$257,9,FALSE))</f>
        <v/>
      </c>
      <c r="K201" s="295" t="str">
        <f>IF(J201="","",VLOOKUP($B201,'C-1 On-Site WaterC'' Baseline'!$C$9:$R$257,10,FALSE))</f>
        <v/>
      </c>
      <c r="L201" s="295" t="str">
        <f>IF(B201="","",VLOOKUP($B201,'C-1 On-Site WaterC'' Baseline'!$C$9:$R$257,15,FALSE))</f>
        <v/>
      </c>
      <c r="M201" s="299" t="str">
        <f>IF(L201="","",VLOOKUP($B201,'C-1 On-Site WaterC'' Baseline'!$C$9:$R$257,16,FALSE))</f>
        <v/>
      </c>
      <c r="N201" s="245"/>
      <c r="O201" s="275" t="str">
        <f t="shared" si="21"/>
        <v/>
      </c>
      <c r="P201" s="276" t="str">
        <f t="shared" si="22"/>
        <v/>
      </c>
      <c r="Q201" s="336" t="str">
        <f>IF(N201="","",VLOOKUP(B201,'C-1 On-Site WaterC'' Baseline'!$C$10:$AC$257,20,FALSE))</f>
        <v/>
      </c>
      <c r="R201" s="275" t="str">
        <f>IF(N201="","",VLOOKUP(N201,'G-7 WaterC'' Data'!$B$2:$G$8,2,FALSE))</f>
        <v/>
      </c>
      <c r="S201" s="276" t="str">
        <f>IFERROR(VLOOKUP(R201,'G-7 WaterC'' Data'!$C$4:$D$8,2,FALSE),"")</f>
        <v/>
      </c>
      <c r="T201" s="101"/>
      <c r="U201" s="276" t="str">
        <f>IFERROR(INDEX('G-7 WaterC'' Data'!$H$4:$L$8,MATCH(N201,'G-7 WaterC'' Data'!$B$4:$B$8,0),MATCH(T201,'G-7 WaterC'' Data'!$H$3:$L$3,0)),"")</f>
        <v/>
      </c>
      <c r="V201" s="101"/>
      <c r="W201" s="283" t="str">
        <f>IF(V201="","",IF(VLOOKUP(V201,'G-7 WaterC'' Data'!$AK$4:$AM$6,2,FALSE)=0,"Spatial Data Missing ⚠",VLOOKUP(V201,'G-7 WaterC'' Data'!$AK$4:$AM$6,2,FALSE)))</f>
        <v/>
      </c>
      <c r="X201" s="276" t="str">
        <f>IF(V201="","",IF(VLOOKUP(V201,'G-7 WaterC'' Data'!$AK$4:$AM$6,3,FALSE)=0,"Spatial Data Missing ⚠",VLOOKUP(V201,'G-7 WaterC'' Data'!$AK$4:$AM$6,3,FALSE)))</f>
        <v/>
      </c>
      <c r="Y201" s="275" t="str">
        <f>IFERROR(IF(OR(LEFT(P201,5)="Error",LEFT(O201,5)="Error"),"Check Data ⚠",IF(F201&lt;S201,'G-7 WaterC'' Data'!$R$3,INDEX('G-7 WaterC'' Data'!$U$5:$Y$9,MATCH(G201,'G-7 WaterC'' Data'!$T$5:$T$9,0),MATCH(T201,'G-7 WaterC'' Data'!$U$4:$Y$4,0)))),"")</f>
        <v/>
      </c>
      <c r="Z201" s="133"/>
      <c r="AA201" s="133"/>
      <c r="AB201" s="283" t="str">
        <f t="shared" si="23"/>
        <v/>
      </c>
      <c r="AC201" s="296" t="str">
        <f t="shared" si="24"/>
        <v/>
      </c>
      <c r="AD201" s="334" t="str">
        <f>IFERROR(IF(AC201="Check Data ⚠","Check Data ⚠",VLOOKUP(AC201,'G-4 Temporal multipliers'!$A$4:$C$37,3,FALSE)),"")</f>
        <v/>
      </c>
      <c r="AE201" s="275" t="str">
        <f>IF(N201="","",VLOOKUP(N201,'G-7 WaterC'' Data'!$B$4:$G$8,5,FALSE))</f>
        <v/>
      </c>
      <c r="AF201" s="283" t="str">
        <f t="shared" si="25"/>
        <v/>
      </c>
      <c r="AG201" s="314" t="str">
        <f t="shared" si="26"/>
        <v/>
      </c>
      <c r="AH201" s="276" t="str">
        <f t="shared" si="20"/>
        <v/>
      </c>
      <c r="AI201" s="105"/>
      <c r="AJ201" s="276" t="str">
        <f>IF(AI201="","",IF(AND(AI201="N/A - Culvert",N201&lt;&gt;"Culvert"),"Not possible ▲",IF(VLOOKUP(AI201,'G-7 WaterC'' Data'!$AA$4:$AB$7,2,FALSE)=0,"Spatial Data Missing ⚠",VLOOKUP(AI201,'G-7 WaterC'' Data'!$AA$4:$AB$7,2,FALSE))))</f>
        <v/>
      </c>
      <c r="AK201" s="106"/>
      <c r="AL201" s="276" t="str">
        <f>IF(AK201="","",IF(AND(AK201="N/A - Culvert",N201&lt;&gt;"Culvert"),"Not possible ▲",IF(VLOOKUP(AK201,'G-7 WaterC'' Data'!$AD$4:$AE$14,2,FALSE)=0,"Spatial Data Missing ⚠",VLOOKUP(AK201,'G-7 WaterC'' Data'!$AD$4:$AE$14,2,FALSE))))</f>
        <v/>
      </c>
      <c r="AM201" s="317" t="str">
        <f t="shared" si="27"/>
        <v/>
      </c>
      <c r="AN201" s="101"/>
      <c r="AO201" s="115"/>
      <c r="AP201" s="104"/>
      <c r="AS201" s="30" t="str">
        <f>IF(B201="","",IF(ISNA(VLOOKUP($B201,'C-1 On-Site WaterC'' Baseline'!$C$8:$AD$257,17,FALSE)),"",(VLOOKUP($B201,'C-1 On-Site WaterC'' Baseline'!$C$8:$AD$257,17,FALSE))))</f>
        <v/>
      </c>
      <c r="AT201" s="30" t="str">
        <f>IF(B201="","",VLOOKUP($B201,'C-1 On-Site WaterC'' Baseline'!$C$9:$Z$257,12,FALSE))</f>
        <v/>
      </c>
      <c r="AU201" s="30" t="str">
        <f>IF(B201="","",VLOOKUP($B201,'C-1 On-Site WaterC'' Baseline'!$C$9:$Z$257,14,FALSE))</f>
        <v/>
      </c>
      <c r="AV201" s="30" t="str">
        <f>IFERROR(INDEX('G-7 WaterC'' Data'!$AZ$3:$AZ$7,MATCH(N201,'G-7 WaterC'' Data'!$AY$3:$AY$7,0)),"")</f>
        <v/>
      </c>
      <c r="AX201" s="30" t="str">
        <f>IF(B201="","",VLOOKUP($B201,'C-1 On-Site WaterC'' Baseline'!$C$9:$Y$257,22,FALSE))</f>
        <v/>
      </c>
      <c r="AY201" s="30" t="str">
        <f t="shared" si="28"/>
        <v/>
      </c>
      <c r="AZ201" s="30" t="str">
        <f>IF(B201="","",VLOOKUP($B201,'C-1 On-Site WaterC'' Baseline'!$C$9:$Y$257,21,FALSE))</f>
        <v/>
      </c>
      <c r="BA201" s="30" t="str">
        <f>IF(B201="","",VLOOKUP($B201,'C-1 On-Site WaterC'' Baseline'!$C$9:$Y$257,19,FALSE))</f>
        <v/>
      </c>
      <c r="BD201" s="30" t="str">
        <f t="shared" si="29"/>
        <v>No</v>
      </c>
    </row>
    <row r="202" spans="2:56" ht="14">
      <c r="B202" s="305" t="str">
        <f>'C-1 On-Site WaterC'' Baseline'!AP200</f>
        <v/>
      </c>
      <c r="C202" s="295" t="str">
        <f>IF(B202="","",VLOOKUP($B202,'C-1 On-Site WaterC'' Baseline'!$C$9:$R$257,2,FALSE))</f>
        <v/>
      </c>
      <c r="D202" s="295" t="str">
        <f>IF(C202="","",VLOOKUP($B202,'C-1 On-Site WaterC'' Baseline'!$C$9:$R$257,3,FALSE))</f>
        <v/>
      </c>
      <c r="E202" s="295" t="str">
        <f>IF(D202="","",VLOOKUP($B202,'C-1 On-Site WaterC'' Baseline'!$C$9:$R$257,4,FALSE))</f>
        <v/>
      </c>
      <c r="F202" s="295" t="str">
        <f>IF(E202="","",VLOOKUP($B202,'C-1 On-Site WaterC'' Baseline'!$C$9:$R$257,5,FALSE))</f>
        <v/>
      </c>
      <c r="G202" s="295" t="str">
        <f>IF(F202="","",VLOOKUP($B202,'C-1 On-Site WaterC'' Baseline'!$C$9:$R$257,6,FALSE))</f>
        <v/>
      </c>
      <c r="H202" s="295" t="str">
        <f>IF(G202="","",VLOOKUP($B202,'C-1 On-Site WaterC'' Baseline'!$C$9:$R$257,7,FALSE))</f>
        <v/>
      </c>
      <c r="I202" s="295" t="str">
        <f>IF(H202="","",VLOOKUP($B202,'C-1 On-Site WaterC'' Baseline'!$C$9:$R$257,8,FALSE))</f>
        <v/>
      </c>
      <c r="J202" s="295" t="str">
        <f>IF(I202="","",VLOOKUP($B202,'C-1 On-Site WaterC'' Baseline'!$C$9:$R$257,9,FALSE))</f>
        <v/>
      </c>
      <c r="K202" s="295" t="str">
        <f>IF(J202="","",VLOOKUP($B202,'C-1 On-Site WaterC'' Baseline'!$C$9:$R$257,10,FALSE))</f>
        <v/>
      </c>
      <c r="L202" s="295" t="str">
        <f>IF(B202="","",VLOOKUP($B202,'C-1 On-Site WaterC'' Baseline'!$C$9:$R$257,15,FALSE))</f>
        <v/>
      </c>
      <c r="M202" s="299" t="str">
        <f>IF(L202="","",VLOOKUP($B202,'C-1 On-Site WaterC'' Baseline'!$C$9:$R$257,16,FALSE))</f>
        <v/>
      </c>
      <c r="N202" s="245"/>
      <c r="O202" s="275" t="str">
        <f t="shared" si="21"/>
        <v/>
      </c>
      <c r="P202" s="276" t="str">
        <f t="shared" si="22"/>
        <v/>
      </c>
      <c r="Q202" s="336" t="str">
        <f>IF(N202="","",VLOOKUP(B202,'C-1 On-Site WaterC'' Baseline'!$C$10:$AC$257,20,FALSE))</f>
        <v/>
      </c>
      <c r="R202" s="275" t="str">
        <f>IF(N202="","",VLOOKUP(N202,'G-7 WaterC'' Data'!$B$2:$G$8,2,FALSE))</f>
        <v/>
      </c>
      <c r="S202" s="276" t="str">
        <f>IFERROR(VLOOKUP(R202,'G-7 WaterC'' Data'!$C$4:$D$8,2,FALSE),"")</f>
        <v/>
      </c>
      <c r="T202" s="101"/>
      <c r="U202" s="276" t="str">
        <f>IFERROR(INDEX('G-7 WaterC'' Data'!$H$4:$L$8,MATCH(N202,'G-7 WaterC'' Data'!$B$4:$B$8,0),MATCH(T202,'G-7 WaterC'' Data'!$H$3:$L$3,0)),"")</f>
        <v/>
      </c>
      <c r="V202" s="101"/>
      <c r="W202" s="283" t="str">
        <f>IF(V202="","",IF(VLOOKUP(V202,'G-7 WaterC'' Data'!$AK$4:$AM$6,2,FALSE)=0,"Spatial Data Missing ⚠",VLOOKUP(V202,'G-7 WaterC'' Data'!$AK$4:$AM$6,2,FALSE)))</f>
        <v/>
      </c>
      <c r="X202" s="276" t="str">
        <f>IF(V202="","",IF(VLOOKUP(V202,'G-7 WaterC'' Data'!$AK$4:$AM$6,3,FALSE)=0,"Spatial Data Missing ⚠",VLOOKUP(V202,'G-7 WaterC'' Data'!$AK$4:$AM$6,3,FALSE)))</f>
        <v/>
      </c>
      <c r="Y202" s="275" t="str">
        <f>IFERROR(IF(OR(LEFT(P202,5)="Error",LEFT(O202,5)="Error"),"Check Data ⚠",IF(F202&lt;S202,'G-7 WaterC'' Data'!$R$3,INDEX('G-7 WaterC'' Data'!$U$5:$Y$9,MATCH(G202,'G-7 WaterC'' Data'!$T$5:$T$9,0),MATCH(T202,'G-7 WaterC'' Data'!$U$4:$Y$4,0)))),"")</f>
        <v/>
      </c>
      <c r="Z202" s="133"/>
      <c r="AA202" s="133"/>
      <c r="AB202" s="283" t="str">
        <f t="shared" si="23"/>
        <v/>
      </c>
      <c r="AC202" s="296" t="str">
        <f t="shared" si="24"/>
        <v/>
      </c>
      <c r="AD202" s="334" t="str">
        <f>IFERROR(IF(AC202="Check Data ⚠","Check Data ⚠",VLOOKUP(AC202,'G-4 Temporal multipliers'!$A$4:$C$37,3,FALSE)),"")</f>
        <v/>
      </c>
      <c r="AE202" s="275" t="str">
        <f>IF(N202="","",VLOOKUP(N202,'G-7 WaterC'' Data'!$B$4:$G$8,5,FALSE))</f>
        <v/>
      </c>
      <c r="AF202" s="283" t="str">
        <f t="shared" si="25"/>
        <v/>
      </c>
      <c r="AG202" s="314" t="str">
        <f t="shared" si="26"/>
        <v/>
      </c>
      <c r="AH202" s="276" t="str">
        <f t="shared" si="20"/>
        <v/>
      </c>
      <c r="AI202" s="105"/>
      <c r="AJ202" s="276" t="str">
        <f>IF(AI202="","",IF(AND(AI202="N/A - Culvert",N202&lt;&gt;"Culvert"),"Not possible ▲",IF(VLOOKUP(AI202,'G-7 WaterC'' Data'!$AA$4:$AB$7,2,FALSE)=0,"Spatial Data Missing ⚠",VLOOKUP(AI202,'G-7 WaterC'' Data'!$AA$4:$AB$7,2,FALSE))))</f>
        <v/>
      </c>
      <c r="AK202" s="106"/>
      <c r="AL202" s="276" t="str">
        <f>IF(AK202="","",IF(AND(AK202="N/A - Culvert",N202&lt;&gt;"Culvert"),"Not possible ▲",IF(VLOOKUP(AK202,'G-7 WaterC'' Data'!$AD$4:$AE$14,2,FALSE)=0,"Spatial Data Missing ⚠",VLOOKUP(AK202,'G-7 WaterC'' Data'!$AD$4:$AE$14,2,FALSE))))</f>
        <v/>
      </c>
      <c r="AM202" s="317" t="str">
        <f t="shared" si="27"/>
        <v/>
      </c>
      <c r="AN202" s="101"/>
      <c r="AO202" s="115"/>
      <c r="AP202" s="104"/>
      <c r="AS202" s="30" t="str">
        <f>IF(B202="","",IF(ISNA(VLOOKUP($B202,'C-1 On-Site WaterC'' Baseline'!$C$8:$AD$257,17,FALSE)),"",(VLOOKUP($B202,'C-1 On-Site WaterC'' Baseline'!$C$8:$AD$257,17,FALSE))))</f>
        <v/>
      </c>
      <c r="AT202" s="30" t="str">
        <f>IF(B202="","",VLOOKUP($B202,'C-1 On-Site WaterC'' Baseline'!$C$9:$Z$257,12,FALSE))</f>
        <v/>
      </c>
      <c r="AU202" s="30" t="str">
        <f>IF(B202="","",VLOOKUP($B202,'C-1 On-Site WaterC'' Baseline'!$C$9:$Z$257,14,FALSE))</f>
        <v/>
      </c>
      <c r="AV202" s="30" t="str">
        <f>IFERROR(INDEX('G-7 WaterC'' Data'!$AZ$3:$AZ$7,MATCH(N202,'G-7 WaterC'' Data'!$AY$3:$AY$7,0)),"")</f>
        <v/>
      </c>
      <c r="AX202" s="30" t="str">
        <f>IF(B202="","",VLOOKUP($B202,'C-1 On-Site WaterC'' Baseline'!$C$9:$Y$257,22,FALSE))</f>
        <v/>
      </c>
      <c r="AY202" s="30" t="str">
        <f t="shared" si="28"/>
        <v/>
      </c>
      <c r="AZ202" s="30" t="str">
        <f>IF(B202="","",VLOOKUP($B202,'C-1 On-Site WaterC'' Baseline'!$C$9:$Y$257,21,FALSE))</f>
        <v/>
      </c>
      <c r="BA202" s="30" t="str">
        <f>IF(B202="","",VLOOKUP($B202,'C-1 On-Site WaterC'' Baseline'!$C$9:$Y$257,19,FALSE))</f>
        <v/>
      </c>
      <c r="BD202" s="30" t="str">
        <f t="shared" si="29"/>
        <v>No</v>
      </c>
    </row>
    <row r="203" spans="2:56" ht="14">
      <c r="B203" s="305" t="str">
        <f>'C-1 On-Site WaterC'' Baseline'!AP201</f>
        <v/>
      </c>
      <c r="C203" s="295" t="str">
        <f>IF(B203="","",VLOOKUP($B203,'C-1 On-Site WaterC'' Baseline'!$C$9:$R$257,2,FALSE))</f>
        <v/>
      </c>
      <c r="D203" s="295" t="str">
        <f>IF(C203="","",VLOOKUP($B203,'C-1 On-Site WaterC'' Baseline'!$C$9:$R$257,3,FALSE))</f>
        <v/>
      </c>
      <c r="E203" s="295" t="str">
        <f>IF(D203="","",VLOOKUP($B203,'C-1 On-Site WaterC'' Baseline'!$C$9:$R$257,4,FALSE))</f>
        <v/>
      </c>
      <c r="F203" s="295" t="str">
        <f>IF(E203="","",VLOOKUP($B203,'C-1 On-Site WaterC'' Baseline'!$C$9:$R$257,5,FALSE))</f>
        <v/>
      </c>
      <c r="G203" s="295" t="str">
        <f>IF(F203="","",VLOOKUP($B203,'C-1 On-Site WaterC'' Baseline'!$C$9:$R$257,6,FALSE))</f>
        <v/>
      </c>
      <c r="H203" s="295" t="str">
        <f>IF(G203="","",VLOOKUP($B203,'C-1 On-Site WaterC'' Baseline'!$C$9:$R$257,7,FALSE))</f>
        <v/>
      </c>
      <c r="I203" s="295" t="str">
        <f>IF(H203="","",VLOOKUP($B203,'C-1 On-Site WaterC'' Baseline'!$C$9:$R$257,8,FALSE))</f>
        <v/>
      </c>
      <c r="J203" s="295" t="str">
        <f>IF(I203="","",VLOOKUP($B203,'C-1 On-Site WaterC'' Baseline'!$C$9:$R$257,9,FALSE))</f>
        <v/>
      </c>
      <c r="K203" s="295" t="str">
        <f>IF(J203="","",VLOOKUP($B203,'C-1 On-Site WaterC'' Baseline'!$C$9:$R$257,10,FALSE))</f>
        <v/>
      </c>
      <c r="L203" s="295" t="str">
        <f>IF(B203="","",VLOOKUP($B203,'C-1 On-Site WaterC'' Baseline'!$C$9:$R$257,15,FALSE))</f>
        <v/>
      </c>
      <c r="M203" s="299" t="str">
        <f>IF(L203="","",VLOOKUP($B203,'C-1 On-Site WaterC'' Baseline'!$C$9:$R$257,16,FALSE))</f>
        <v/>
      </c>
      <c r="N203" s="245"/>
      <c r="O203" s="275" t="str">
        <f t="shared" si="21"/>
        <v/>
      </c>
      <c r="P203" s="276" t="str">
        <f t="shared" si="22"/>
        <v/>
      </c>
      <c r="Q203" s="336" t="str">
        <f>IF(N203="","",VLOOKUP(B203,'C-1 On-Site WaterC'' Baseline'!$C$10:$AC$257,20,FALSE))</f>
        <v/>
      </c>
      <c r="R203" s="275" t="str">
        <f>IF(N203="","",VLOOKUP(N203,'G-7 WaterC'' Data'!$B$2:$G$8,2,FALSE))</f>
        <v/>
      </c>
      <c r="S203" s="276" t="str">
        <f>IFERROR(VLOOKUP(R203,'G-7 WaterC'' Data'!$C$4:$D$8,2,FALSE),"")</f>
        <v/>
      </c>
      <c r="T203" s="101"/>
      <c r="U203" s="276" t="str">
        <f>IFERROR(INDEX('G-7 WaterC'' Data'!$H$4:$L$8,MATCH(N203,'G-7 WaterC'' Data'!$B$4:$B$8,0),MATCH(T203,'G-7 WaterC'' Data'!$H$3:$L$3,0)),"")</f>
        <v/>
      </c>
      <c r="V203" s="101"/>
      <c r="W203" s="283" t="str">
        <f>IF(V203="","",IF(VLOOKUP(V203,'G-7 WaterC'' Data'!$AK$4:$AM$6,2,FALSE)=0,"Spatial Data Missing ⚠",VLOOKUP(V203,'G-7 WaterC'' Data'!$AK$4:$AM$6,2,FALSE)))</f>
        <v/>
      </c>
      <c r="X203" s="276" t="str">
        <f>IF(V203="","",IF(VLOOKUP(V203,'G-7 WaterC'' Data'!$AK$4:$AM$6,3,FALSE)=0,"Spatial Data Missing ⚠",VLOOKUP(V203,'G-7 WaterC'' Data'!$AK$4:$AM$6,3,FALSE)))</f>
        <v/>
      </c>
      <c r="Y203" s="275" t="str">
        <f>IFERROR(IF(OR(LEFT(P203,5)="Error",LEFT(O203,5)="Error"),"Check Data ⚠",IF(F203&lt;S203,'G-7 WaterC'' Data'!$R$3,INDEX('G-7 WaterC'' Data'!$U$5:$Y$9,MATCH(G203,'G-7 WaterC'' Data'!$T$5:$T$9,0),MATCH(T203,'G-7 WaterC'' Data'!$U$4:$Y$4,0)))),"")</f>
        <v/>
      </c>
      <c r="Z203" s="133"/>
      <c r="AA203" s="133"/>
      <c r="AB203" s="283" t="str">
        <f t="shared" si="23"/>
        <v/>
      </c>
      <c r="AC203" s="296" t="str">
        <f t="shared" si="24"/>
        <v/>
      </c>
      <c r="AD203" s="334" t="str">
        <f>IFERROR(IF(AC203="Check Data ⚠","Check Data ⚠",VLOOKUP(AC203,'G-4 Temporal multipliers'!$A$4:$C$37,3,FALSE)),"")</f>
        <v/>
      </c>
      <c r="AE203" s="275" t="str">
        <f>IF(N203="","",VLOOKUP(N203,'G-7 WaterC'' Data'!$B$4:$G$8,5,FALSE))</f>
        <v/>
      </c>
      <c r="AF203" s="283" t="str">
        <f t="shared" si="25"/>
        <v/>
      </c>
      <c r="AG203" s="314" t="str">
        <f t="shared" si="26"/>
        <v/>
      </c>
      <c r="AH203" s="276" t="str">
        <f t="shared" si="20"/>
        <v/>
      </c>
      <c r="AI203" s="105"/>
      <c r="AJ203" s="276" t="str">
        <f>IF(AI203="","",IF(AND(AI203="N/A - Culvert",N203&lt;&gt;"Culvert"),"Not possible ▲",IF(VLOOKUP(AI203,'G-7 WaterC'' Data'!$AA$4:$AB$7,2,FALSE)=0,"Spatial Data Missing ⚠",VLOOKUP(AI203,'G-7 WaterC'' Data'!$AA$4:$AB$7,2,FALSE))))</f>
        <v/>
      </c>
      <c r="AK203" s="106"/>
      <c r="AL203" s="276" t="str">
        <f>IF(AK203="","",IF(AND(AK203="N/A - Culvert",N203&lt;&gt;"Culvert"),"Not possible ▲",IF(VLOOKUP(AK203,'G-7 WaterC'' Data'!$AD$4:$AE$14,2,FALSE)=0,"Spatial Data Missing ⚠",VLOOKUP(AK203,'G-7 WaterC'' Data'!$AD$4:$AE$14,2,FALSE))))</f>
        <v/>
      </c>
      <c r="AM203" s="317" t="str">
        <f t="shared" si="27"/>
        <v/>
      </c>
      <c r="AN203" s="101"/>
      <c r="AO203" s="115"/>
      <c r="AP203" s="104"/>
      <c r="AS203" s="30" t="str">
        <f>IF(B203="","",IF(ISNA(VLOOKUP($B203,'C-1 On-Site WaterC'' Baseline'!$C$8:$AD$257,17,FALSE)),"",(VLOOKUP($B203,'C-1 On-Site WaterC'' Baseline'!$C$8:$AD$257,17,FALSE))))</f>
        <v/>
      </c>
      <c r="AT203" s="30" t="str">
        <f>IF(B203="","",VLOOKUP($B203,'C-1 On-Site WaterC'' Baseline'!$C$9:$Z$257,12,FALSE))</f>
        <v/>
      </c>
      <c r="AU203" s="30" t="str">
        <f>IF(B203="","",VLOOKUP($B203,'C-1 On-Site WaterC'' Baseline'!$C$9:$Z$257,14,FALSE))</f>
        <v/>
      </c>
      <c r="AV203" s="30" t="str">
        <f>IFERROR(INDEX('G-7 WaterC'' Data'!$AZ$3:$AZ$7,MATCH(N203,'G-7 WaterC'' Data'!$AY$3:$AY$7,0)),"")</f>
        <v/>
      </c>
      <c r="AX203" s="30" t="str">
        <f>IF(B203="","",VLOOKUP($B203,'C-1 On-Site WaterC'' Baseline'!$C$9:$Y$257,22,FALSE))</f>
        <v/>
      </c>
      <c r="AY203" s="30" t="str">
        <f t="shared" si="28"/>
        <v/>
      </c>
      <c r="AZ203" s="30" t="str">
        <f>IF(B203="","",VLOOKUP($B203,'C-1 On-Site WaterC'' Baseline'!$C$9:$Y$257,21,FALSE))</f>
        <v/>
      </c>
      <c r="BA203" s="30" t="str">
        <f>IF(B203="","",VLOOKUP($B203,'C-1 On-Site WaterC'' Baseline'!$C$9:$Y$257,19,FALSE))</f>
        <v/>
      </c>
      <c r="BD203" s="30" t="str">
        <f t="shared" si="29"/>
        <v>No</v>
      </c>
    </row>
    <row r="204" spans="2:56" ht="14">
      <c r="B204" s="305" t="str">
        <f>'C-1 On-Site WaterC'' Baseline'!AP202</f>
        <v/>
      </c>
      <c r="C204" s="295" t="str">
        <f>IF(B204="","",VLOOKUP($B204,'C-1 On-Site WaterC'' Baseline'!$C$9:$R$257,2,FALSE))</f>
        <v/>
      </c>
      <c r="D204" s="295" t="str">
        <f>IF(C204="","",VLOOKUP($B204,'C-1 On-Site WaterC'' Baseline'!$C$9:$R$257,3,FALSE))</f>
        <v/>
      </c>
      <c r="E204" s="295" t="str">
        <f>IF(D204="","",VLOOKUP($B204,'C-1 On-Site WaterC'' Baseline'!$C$9:$R$257,4,FALSE))</f>
        <v/>
      </c>
      <c r="F204" s="295" t="str">
        <f>IF(E204="","",VLOOKUP($B204,'C-1 On-Site WaterC'' Baseline'!$C$9:$R$257,5,FALSE))</f>
        <v/>
      </c>
      <c r="G204" s="295" t="str">
        <f>IF(F204="","",VLOOKUP($B204,'C-1 On-Site WaterC'' Baseline'!$C$9:$R$257,6,FALSE))</f>
        <v/>
      </c>
      <c r="H204" s="295" t="str">
        <f>IF(G204="","",VLOOKUP($B204,'C-1 On-Site WaterC'' Baseline'!$C$9:$R$257,7,FALSE))</f>
        <v/>
      </c>
      <c r="I204" s="295" t="str">
        <f>IF(H204="","",VLOOKUP($B204,'C-1 On-Site WaterC'' Baseline'!$C$9:$R$257,8,FALSE))</f>
        <v/>
      </c>
      <c r="J204" s="295" t="str">
        <f>IF(I204="","",VLOOKUP($B204,'C-1 On-Site WaterC'' Baseline'!$C$9:$R$257,9,FALSE))</f>
        <v/>
      </c>
      <c r="K204" s="295" t="str">
        <f>IF(J204="","",VLOOKUP($B204,'C-1 On-Site WaterC'' Baseline'!$C$9:$R$257,10,FALSE))</f>
        <v/>
      </c>
      <c r="L204" s="295" t="str">
        <f>IF(B204="","",VLOOKUP($B204,'C-1 On-Site WaterC'' Baseline'!$C$9:$R$257,15,FALSE))</f>
        <v/>
      </c>
      <c r="M204" s="299" t="str">
        <f>IF(L204="","",VLOOKUP($B204,'C-1 On-Site WaterC'' Baseline'!$C$9:$R$257,16,FALSE))</f>
        <v/>
      </c>
      <c r="N204" s="245"/>
      <c r="O204" s="275" t="str">
        <f t="shared" si="21"/>
        <v/>
      </c>
      <c r="P204" s="276" t="str">
        <f t="shared" si="22"/>
        <v/>
      </c>
      <c r="Q204" s="336" t="str">
        <f>IF(N204="","",VLOOKUP(B204,'C-1 On-Site WaterC'' Baseline'!$C$10:$AC$257,20,FALSE))</f>
        <v/>
      </c>
      <c r="R204" s="275" t="str">
        <f>IF(N204="","",VLOOKUP(N204,'G-7 WaterC'' Data'!$B$2:$G$8,2,FALSE))</f>
        <v/>
      </c>
      <c r="S204" s="276" t="str">
        <f>IFERROR(VLOOKUP(R204,'G-7 WaterC'' Data'!$C$4:$D$8,2,FALSE),"")</f>
        <v/>
      </c>
      <c r="T204" s="101"/>
      <c r="U204" s="276" t="str">
        <f>IFERROR(INDEX('G-7 WaterC'' Data'!$H$4:$L$8,MATCH(N204,'G-7 WaterC'' Data'!$B$4:$B$8,0),MATCH(T204,'G-7 WaterC'' Data'!$H$3:$L$3,0)),"")</f>
        <v/>
      </c>
      <c r="V204" s="101"/>
      <c r="W204" s="283" t="str">
        <f>IF(V204="","",IF(VLOOKUP(V204,'G-7 WaterC'' Data'!$AK$4:$AM$6,2,FALSE)=0,"Spatial Data Missing ⚠",VLOOKUP(V204,'G-7 WaterC'' Data'!$AK$4:$AM$6,2,FALSE)))</f>
        <v/>
      </c>
      <c r="X204" s="276" t="str">
        <f>IF(V204="","",IF(VLOOKUP(V204,'G-7 WaterC'' Data'!$AK$4:$AM$6,3,FALSE)=0,"Spatial Data Missing ⚠",VLOOKUP(V204,'G-7 WaterC'' Data'!$AK$4:$AM$6,3,FALSE)))</f>
        <v/>
      </c>
      <c r="Y204" s="275" t="str">
        <f>IFERROR(IF(OR(LEFT(P204,5)="Error",LEFT(O204,5)="Error"),"Check Data ⚠",IF(F204&lt;S204,'G-7 WaterC'' Data'!$R$3,INDEX('G-7 WaterC'' Data'!$U$5:$Y$9,MATCH(G204,'G-7 WaterC'' Data'!$T$5:$T$9,0),MATCH(T204,'G-7 WaterC'' Data'!$U$4:$Y$4,0)))),"")</f>
        <v/>
      </c>
      <c r="Z204" s="133"/>
      <c r="AA204" s="133"/>
      <c r="AB204" s="283" t="str">
        <f t="shared" si="23"/>
        <v/>
      </c>
      <c r="AC204" s="296" t="str">
        <f t="shared" si="24"/>
        <v/>
      </c>
      <c r="AD204" s="334" t="str">
        <f>IFERROR(IF(AC204="Check Data ⚠","Check Data ⚠",VLOOKUP(AC204,'G-4 Temporal multipliers'!$A$4:$C$37,3,FALSE)),"")</f>
        <v/>
      </c>
      <c r="AE204" s="275" t="str">
        <f>IF(N204="","",VLOOKUP(N204,'G-7 WaterC'' Data'!$B$4:$G$8,5,FALSE))</f>
        <v/>
      </c>
      <c r="AF204" s="283" t="str">
        <f t="shared" si="25"/>
        <v/>
      </c>
      <c r="AG204" s="314" t="str">
        <f t="shared" si="26"/>
        <v/>
      </c>
      <c r="AH204" s="276" t="str">
        <f t="shared" si="30" ref="AH204:AH257">IF(N204="","",VLOOKUP(AG204,Difficulty,2,FALSE))</f>
        <v/>
      </c>
      <c r="AI204" s="105"/>
      <c r="AJ204" s="276" t="str">
        <f>IF(AI204="","",IF(AND(AI204="N/A - Culvert",N204&lt;&gt;"Culvert"),"Not possible ▲",IF(VLOOKUP(AI204,'G-7 WaterC'' Data'!$AA$4:$AB$7,2,FALSE)=0,"Spatial Data Missing ⚠",VLOOKUP(AI204,'G-7 WaterC'' Data'!$AA$4:$AB$7,2,FALSE))))</f>
        <v/>
      </c>
      <c r="AK204" s="106"/>
      <c r="AL204" s="276" t="str">
        <f>IF(AK204="","",IF(AND(AK204="N/A - Culvert",N204&lt;&gt;"Culvert"),"Not possible ▲",IF(VLOOKUP(AK204,'G-7 WaterC'' Data'!$AD$4:$AE$14,2,FALSE)=0,"Spatial Data Missing ⚠",VLOOKUP(AK204,'G-7 WaterC'' Data'!$AD$4:$AE$14,2,FALSE))))</f>
        <v/>
      </c>
      <c r="AM204" s="317" t="str">
        <f t="shared" si="27"/>
        <v/>
      </c>
      <c r="AN204" s="101"/>
      <c r="AO204" s="115"/>
      <c r="AP204" s="104"/>
      <c r="AS204" s="30" t="str">
        <f>IF(B204="","",IF(ISNA(VLOOKUP($B204,'C-1 On-Site WaterC'' Baseline'!$C$8:$AD$257,17,FALSE)),"",(VLOOKUP($B204,'C-1 On-Site WaterC'' Baseline'!$C$8:$AD$257,17,FALSE))))</f>
        <v/>
      </c>
      <c r="AT204" s="30" t="str">
        <f>IF(B204="","",VLOOKUP($B204,'C-1 On-Site WaterC'' Baseline'!$C$9:$Z$257,12,FALSE))</f>
        <v/>
      </c>
      <c r="AU204" s="30" t="str">
        <f>IF(B204="","",VLOOKUP($B204,'C-1 On-Site WaterC'' Baseline'!$C$9:$Z$257,14,FALSE))</f>
        <v/>
      </c>
      <c r="AV204" s="30" t="str">
        <f>IFERROR(INDEX('G-7 WaterC'' Data'!$AZ$3:$AZ$7,MATCH(N204,'G-7 WaterC'' Data'!$AY$3:$AY$7,0)),"")</f>
        <v/>
      </c>
      <c r="AX204" s="30" t="str">
        <f>IF(B204="","",VLOOKUP($B204,'C-1 On-Site WaterC'' Baseline'!$C$9:$Y$257,22,FALSE))</f>
        <v/>
      </c>
      <c r="AY204" s="30" t="str">
        <f t="shared" si="28"/>
        <v/>
      </c>
      <c r="AZ204" s="30" t="str">
        <f>IF(B204="","",VLOOKUP($B204,'C-1 On-Site WaterC'' Baseline'!$C$9:$Y$257,21,FALSE))</f>
        <v/>
      </c>
      <c r="BA204" s="30" t="str">
        <f>IF(B204="","",VLOOKUP($B204,'C-1 On-Site WaterC'' Baseline'!$C$9:$Y$257,19,FALSE))</f>
        <v/>
      </c>
      <c r="BD204" s="30" t="str">
        <f t="shared" si="29"/>
        <v>No</v>
      </c>
    </row>
    <row r="205" spans="2:56" ht="14">
      <c r="B205" s="305" t="str">
        <f>'C-1 On-Site WaterC'' Baseline'!AP203</f>
        <v/>
      </c>
      <c r="C205" s="295" t="str">
        <f>IF(B205="","",VLOOKUP($B205,'C-1 On-Site WaterC'' Baseline'!$C$9:$R$257,2,FALSE))</f>
        <v/>
      </c>
      <c r="D205" s="295" t="str">
        <f>IF(C205="","",VLOOKUP($B205,'C-1 On-Site WaterC'' Baseline'!$C$9:$R$257,3,FALSE))</f>
        <v/>
      </c>
      <c r="E205" s="295" t="str">
        <f>IF(D205="","",VLOOKUP($B205,'C-1 On-Site WaterC'' Baseline'!$C$9:$R$257,4,FALSE))</f>
        <v/>
      </c>
      <c r="F205" s="295" t="str">
        <f>IF(E205="","",VLOOKUP($B205,'C-1 On-Site WaterC'' Baseline'!$C$9:$R$257,5,FALSE))</f>
        <v/>
      </c>
      <c r="G205" s="295" t="str">
        <f>IF(F205="","",VLOOKUP($B205,'C-1 On-Site WaterC'' Baseline'!$C$9:$R$257,6,FALSE))</f>
        <v/>
      </c>
      <c r="H205" s="295" t="str">
        <f>IF(G205="","",VLOOKUP($B205,'C-1 On-Site WaterC'' Baseline'!$C$9:$R$257,7,FALSE))</f>
        <v/>
      </c>
      <c r="I205" s="295" t="str">
        <f>IF(H205="","",VLOOKUP($B205,'C-1 On-Site WaterC'' Baseline'!$C$9:$R$257,8,FALSE))</f>
        <v/>
      </c>
      <c r="J205" s="295" t="str">
        <f>IF(I205="","",VLOOKUP($B205,'C-1 On-Site WaterC'' Baseline'!$C$9:$R$257,9,FALSE))</f>
        <v/>
      </c>
      <c r="K205" s="295" t="str">
        <f>IF(J205="","",VLOOKUP($B205,'C-1 On-Site WaterC'' Baseline'!$C$9:$R$257,10,FALSE))</f>
        <v/>
      </c>
      <c r="L205" s="295" t="str">
        <f>IF(B205="","",VLOOKUP($B205,'C-1 On-Site WaterC'' Baseline'!$C$9:$R$257,15,FALSE))</f>
        <v/>
      </c>
      <c r="M205" s="299" t="str">
        <f>IF(L205="","",VLOOKUP($B205,'C-1 On-Site WaterC'' Baseline'!$C$9:$R$257,16,FALSE))</f>
        <v/>
      </c>
      <c r="N205" s="245"/>
      <c r="O205" s="275" t="str">
        <f t="shared" si="31" ref="O205:O257">IF(B205="","",IF(S205&lt;F205,"Error Trading Down ▲",E205&amp;" - "&amp;R205))</f>
        <v/>
      </c>
      <c r="P205" s="276" t="str">
        <f t="shared" si="32" ref="P205:P257">IF(C205="","",IF(AND(N205&lt;&gt;C205,AS205="Yes"),"Error you cannot replace and irreplaceable habitat ▲",IF(AND(LEFT(C205,55)&lt;&gt;LEFT(N205,55),O205="High - High"),"Error - Not like for like ▲",IF(H205&gt;U205,"Error - Can not reduce condition ▲",IF(AND(C205&lt;&gt;N205,F205&lt;S205),"Lower Distinctiveness Habitat"&amp;" - "&amp;T205,G205&amp;" - "&amp;T205)))))</f>
        <v/>
      </c>
      <c r="Q205" s="336" t="str">
        <f>IF(N205="","",VLOOKUP(B205,'C-1 On-Site WaterC'' Baseline'!$C$10:$AC$257,20,FALSE))</f>
        <v/>
      </c>
      <c r="R205" s="275" t="str">
        <f>IF(N205="","",VLOOKUP(N205,'G-7 WaterC'' Data'!$B$2:$G$8,2,FALSE))</f>
        <v/>
      </c>
      <c r="S205" s="276" t="str">
        <f>IFERROR(VLOOKUP(R205,'G-7 WaterC'' Data'!$C$4:$D$8,2,FALSE),"")</f>
        <v/>
      </c>
      <c r="T205" s="101"/>
      <c r="U205" s="276" t="str">
        <f>IFERROR(INDEX('G-7 WaterC'' Data'!$H$4:$L$8,MATCH(N205,'G-7 WaterC'' Data'!$B$4:$B$8,0),MATCH(T205,'G-7 WaterC'' Data'!$H$3:$L$3,0)),"")</f>
        <v/>
      </c>
      <c r="V205" s="101"/>
      <c r="W205" s="283" t="str">
        <f>IF(V205="","",IF(VLOOKUP(V205,'G-7 WaterC'' Data'!$AK$4:$AM$6,2,FALSE)=0,"Spatial Data Missing ⚠",VLOOKUP(V205,'G-7 WaterC'' Data'!$AK$4:$AM$6,2,FALSE)))</f>
        <v/>
      </c>
      <c r="X205" s="276" t="str">
        <f>IF(V205="","",IF(VLOOKUP(V205,'G-7 WaterC'' Data'!$AK$4:$AM$6,3,FALSE)=0,"Spatial Data Missing ⚠",VLOOKUP(V205,'G-7 WaterC'' Data'!$AK$4:$AM$6,3,FALSE)))</f>
        <v/>
      </c>
      <c r="Y205" s="275" t="str">
        <f>IFERROR(IF(OR(LEFT(P205,5)="Error",LEFT(O205,5)="Error"),"Check Data ⚠",IF(F205&lt;S205,'G-7 WaterC'' Data'!$R$3,INDEX('G-7 WaterC'' Data'!$U$5:$Y$9,MATCH(G205,'G-7 WaterC'' Data'!$T$5:$T$9,0),MATCH(T205,'G-7 WaterC'' Data'!$U$4:$Y$4,0)))),"")</f>
        <v/>
      </c>
      <c r="Z205" s="133"/>
      <c r="AA205" s="133"/>
      <c r="AB205" s="283" t="str">
        <f t="shared" si="33" ref="AB205:AB25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296" t="str">
        <f t="shared" si="34" ref="AC205:AC257">IF(AB205="Error -both advance and delayed habitat creation ▲","Check Data ⚠",IF(AB205="Check Data ⚠","Check Data ⚠",IF(Y205="","",IF(Z205="30+",0,IF(AA205="30+","30+",IF(Y205+AA205&gt;30,"30+",IF(Y205+AA205-Z205&gt;0,Y205+AA205-Z205,IF(Y205-Z205&lt;0,0,Y205+AA205-Z205))))))))</f>
        <v/>
      </c>
      <c r="AD205" s="334" t="str">
        <f>IFERROR(IF(AC205="Check Data ⚠","Check Data ⚠",VLOOKUP(AC205,'G-4 Temporal multipliers'!$A$4:$C$37,3,FALSE)),"")</f>
        <v/>
      </c>
      <c r="AE205" s="275" t="str">
        <f>IF(N205="","",VLOOKUP(N205,'G-7 WaterC'' Data'!$B$4:$G$8,5,FALSE))</f>
        <v/>
      </c>
      <c r="AF205" s="283" t="str">
        <f t="shared" si="35" ref="AF205:AF257">IF(N205="","",IF(AC205="Check Data ⚠","Check Data ⚠",IF(T205="","",IF($AB205="Check details - Is there evidence that habitat has reached target condition? ⚠","Low Difficulty - only applicable if all habitat created before losses ⚠","Standard difficulty applied"))))</f>
        <v/>
      </c>
      <c r="AG205" s="314" t="str">
        <f t="shared" si="36" ref="AG205:AG257">(IF(AND(AF205="Standard difficulty applied",Y205&gt;Z205),AE205,IF(AND(AF205="Low Difficulty - only applicable if all habitat created before losses ⚠",Z205&gt;=Y205),"Low",AE205)))</f>
        <v/>
      </c>
      <c r="AH205" s="276" t="str">
        <f t="shared" si="30"/>
        <v/>
      </c>
      <c r="AI205" s="105"/>
      <c r="AJ205" s="276" t="str">
        <f>IF(AI205="","",IF(AND(AI205="N/A - Culvert",N205&lt;&gt;"Culvert"),"Not possible ▲",IF(VLOOKUP(AI205,'G-7 WaterC'' Data'!$AA$4:$AB$7,2,FALSE)=0,"Spatial Data Missing ⚠",VLOOKUP(AI205,'G-7 WaterC'' Data'!$AA$4:$AB$7,2,FALSE))))</f>
        <v/>
      </c>
      <c r="AK205" s="106"/>
      <c r="AL205" s="276" t="str">
        <f>IF(AK205="","",IF(AND(AK205="N/A - Culvert",N205&lt;&gt;"Culvert"),"Not possible ▲",IF(VLOOKUP(AK205,'G-7 WaterC'' Data'!$AD$4:$AE$14,2,FALSE)=0,"Spatial Data Missing ⚠",VLOOKUP(AK205,'G-7 WaterC'' Data'!$AD$4:$AE$14,2,FALSE))))</f>
        <v/>
      </c>
      <c r="AM205" s="317" t="str">
        <f t="shared" si="37" ref="AM205:AM257">IFERROR(IF(C205="","",IF(AND(N205&lt;&gt;"",M205=""),"Check Data ⚠",IF(Q205&gt;D205,((((Q205*S205*U205)-(D205*F205*H205))*(AH205*AD205))+(D205*F205*H205))*(AL205*X205*AJ205),((((Q205*S205*U205)-(Q205*F205*H205))*(AH205*AD205))+(Q205*F205*H205))*(AL205*X205*AJ205)))),"")</f>
        <v/>
      </c>
      <c r="AN205" s="101"/>
      <c r="AO205" s="115"/>
      <c r="AP205" s="104"/>
      <c r="AS205" s="30" t="str">
        <f>IF(B205="","",IF(ISNA(VLOOKUP($B205,'C-1 On-Site WaterC'' Baseline'!$C$8:$AD$257,17,FALSE)),"",(VLOOKUP($B205,'C-1 On-Site WaterC'' Baseline'!$C$8:$AD$257,17,FALSE))))</f>
        <v/>
      </c>
      <c r="AT205" s="30" t="str">
        <f>IF(B205="","",VLOOKUP($B205,'C-1 On-Site WaterC'' Baseline'!$C$9:$Z$257,12,FALSE))</f>
        <v/>
      </c>
      <c r="AU205" s="30" t="str">
        <f>IF(B205="","",VLOOKUP($B205,'C-1 On-Site WaterC'' Baseline'!$C$9:$Z$257,14,FALSE))</f>
        <v/>
      </c>
      <c r="AV205" s="30" t="str">
        <f>IFERROR(INDEX('G-7 WaterC'' Data'!$AZ$3:$AZ$7,MATCH(N205,'G-7 WaterC'' Data'!$AY$3:$AY$7,0)),"")</f>
        <v/>
      </c>
      <c r="AX205" s="30" t="str">
        <f>IF(B205="","",VLOOKUP($B205,'C-1 On-Site WaterC'' Baseline'!$C$9:$Y$257,22,FALSE))</f>
        <v/>
      </c>
      <c r="AY205" s="30" t="str">
        <f t="shared" si="38" ref="AY205:AY257">IF(B205="","",IF(AX205&gt;M205,M205,IF((BA205+Q205)&gt;D205,M205-AZ205,AX205)))</f>
        <v/>
      </c>
      <c r="AZ205" s="30" t="str">
        <f>IF(B205="","",VLOOKUP($B205,'C-1 On-Site WaterC'' Baseline'!$C$9:$Y$257,21,FALSE))</f>
        <v/>
      </c>
      <c r="BA205" s="30" t="str">
        <f>IF(B205="","",VLOOKUP($B205,'C-1 On-Site WaterC'' Baseline'!$C$9:$Y$257,19,FALSE))</f>
        <v/>
      </c>
      <c r="BD205" s="30" t="str">
        <f t="shared" si="39" ref="BD205:BD260">IF(AND(N205="Ditches",(OR(T205="Fairly Poor",T205="Fairly Good"))),"Yes","No")</f>
        <v>No</v>
      </c>
    </row>
    <row r="206" spans="2:56" ht="14">
      <c r="B206" s="305" t="str">
        <f>'C-1 On-Site WaterC'' Baseline'!AP204</f>
        <v/>
      </c>
      <c r="C206" s="295" t="str">
        <f>IF(B206="","",VLOOKUP($B206,'C-1 On-Site WaterC'' Baseline'!$C$9:$R$257,2,FALSE))</f>
        <v/>
      </c>
      <c r="D206" s="295" t="str">
        <f>IF(C206="","",VLOOKUP($B206,'C-1 On-Site WaterC'' Baseline'!$C$9:$R$257,3,FALSE))</f>
        <v/>
      </c>
      <c r="E206" s="295" t="str">
        <f>IF(D206="","",VLOOKUP($B206,'C-1 On-Site WaterC'' Baseline'!$C$9:$R$257,4,FALSE))</f>
        <v/>
      </c>
      <c r="F206" s="295" t="str">
        <f>IF(E206="","",VLOOKUP($B206,'C-1 On-Site WaterC'' Baseline'!$C$9:$R$257,5,FALSE))</f>
        <v/>
      </c>
      <c r="G206" s="295" t="str">
        <f>IF(F206="","",VLOOKUP($B206,'C-1 On-Site WaterC'' Baseline'!$C$9:$R$257,6,FALSE))</f>
        <v/>
      </c>
      <c r="H206" s="295" t="str">
        <f>IF(G206="","",VLOOKUP($B206,'C-1 On-Site WaterC'' Baseline'!$C$9:$R$257,7,FALSE))</f>
        <v/>
      </c>
      <c r="I206" s="295" t="str">
        <f>IF(H206="","",VLOOKUP($B206,'C-1 On-Site WaterC'' Baseline'!$C$9:$R$257,8,FALSE))</f>
        <v/>
      </c>
      <c r="J206" s="295" t="str">
        <f>IF(I206="","",VLOOKUP($B206,'C-1 On-Site WaterC'' Baseline'!$C$9:$R$257,9,FALSE))</f>
        <v/>
      </c>
      <c r="K206" s="295" t="str">
        <f>IF(J206="","",VLOOKUP($B206,'C-1 On-Site WaterC'' Baseline'!$C$9:$R$257,10,FALSE))</f>
        <v/>
      </c>
      <c r="L206" s="295" t="str">
        <f>IF(B206="","",VLOOKUP($B206,'C-1 On-Site WaterC'' Baseline'!$C$9:$R$257,15,FALSE))</f>
        <v/>
      </c>
      <c r="M206" s="299" t="str">
        <f>IF(L206="","",VLOOKUP($B206,'C-1 On-Site WaterC'' Baseline'!$C$9:$R$257,16,FALSE))</f>
        <v/>
      </c>
      <c r="N206" s="245"/>
      <c r="O206" s="275" t="str">
        <f t="shared" si="31"/>
        <v/>
      </c>
      <c r="P206" s="276" t="str">
        <f t="shared" si="32"/>
        <v/>
      </c>
      <c r="Q206" s="336" t="str">
        <f>IF(N206="","",VLOOKUP(B206,'C-1 On-Site WaterC'' Baseline'!$C$10:$AC$257,20,FALSE))</f>
        <v/>
      </c>
      <c r="R206" s="275" t="str">
        <f>IF(N206="","",VLOOKUP(N206,'G-7 WaterC'' Data'!$B$2:$G$8,2,FALSE))</f>
        <v/>
      </c>
      <c r="S206" s="276" t="str">
        <f>IFERROR(VLOOKUP(R206,'G-7 WaterC'' Data'!$C$4:$D$8,2,FALSE),"")</f>
        <v/>
      </c>
      <c r="T206" s="101"/>
      <c r="U206" s="276" t="str">
        <f>IFERROR(INDEX('G-7 WaterC'' Data'!$H$4:$L$8,MATCH(N206,'G-7 WaterC'' Data'!$B$4:$B$8,0),MATCH(T206,'G-7 WaterC'' Data'!$H$3:$L$3,0)),"")</f>
        <v/>
      </c>
      <c r="V206" s="101"/>
      <c r="W206" s="283" t="str">
        <f>IF(V206="","",IF(VLOOKUP(V206,'G-7 WaterC'' Data'!$AK$4:$AM$6,2,FALSE)=0,"Spatial Data Missing ⚠",VLOOKUP(V206,'G-7 WaterC'' Data'!$AK$4:$AM$6,2,FALSE)))</f>
        <v/>
      </c>
      <c r="X206" s="276" t="str">
        <f>IF(V206="","",IF(VLOOKUP(V206,'G-7 WaterC'' Data'!$AK$4:$AM$6,3,FALSE)=0,"Spatial Data Missing ⚠",VLOOKUP(V206,'G-7 WaterC'' Data'!$AK$4:$AM$6,3,FALSE)))</f>
        <v/>
      </c>
      <c r="Y206" s="275" t="str">
        <f>IFERROR(IF(OR(LEFT(P206,5)="Error",LEFT(O206,5)="Error"),"Check Data ⚠",IF(F206&lt;S206,'G-7 WaterC'' Data'!$R$3,INDEX('G-7 WaterC'' Data'!$U$5:$Y$9,MATCH(G206,'G-7 WaterC'' Data'!$T$5:$T$9,0),MATCH(T206,'G-7 WaterC'' Data'!$U$4:$Y$4,0)))),"")</f>
        <v/>
      </c>
      <c r="Z206" s="133"/>
      <c r="AA206" s="133"/>
      <c r="AB206" s="283" t="str">
        <f t="shared" si="33"/>
        <v/>
      </c>
      <c r="AC206" s="296" t="str">
        <f t="shared" si="34"/>
        <v/>
      </c>
      <c r="AD206" s="334" t="str">
        <f>IFERROR(IF(AC206="Check Data ⚠","Check Data ⚠",VLOOKUP(AC206,'G-4 Temporal multipliers'!$A$4:$C$37,3,FALSE)),"")</f>
        <v/>
      </c>
      <c r="AE206" s="275" t="str">
        <f>IF(N206="","",VLOOKUP(N206,'G-7 WaterC'' Data'!$B$4:$G$8,5,FALSE))</f>
        <v/>
      </c>
      <c r="AF206" s="283" t="str">
        <f t="shared" si="35"/>
        <v/>
      </c>
      <c r="AG206" s="314" t="str">
        <f t="shared" si="36"/>
        <v/>
      </c>
      <c r="AH206" s="276" t="str">
        <f t="shared" si="30"/>
        <v/>
      </c>
      <c r="AI206" s="105"/>
      <c r="AJ206" s="276" t="str">
        <f>IF(AI206="","",IF(AND(AI206="N/A - Culvert",N206&lt;&gt;"Culvert"),"Not possible ▲",IF(VLOOKUP(AI206,'G-7 WaterC'' Data'!$AA$4:$AB$7,2,FALSE)=0,"Spatial Data Missing ⚠",VLOOKUP(AI206,'G-7 WaterC'' Data'!$AA$4:$AB$7,2,FALSE))))</f>
        <v/>
      </c>
      <c r="AK206" s="106"/>
      <c r="AL206" s="276" t="str">
        <f>IF(AK206="","",IF(AND(AK206="N/A - Culvert",N206&lt;&gt;"Culvert"),"Not possible ▲",IF(VLOOKUP(AK206,'G-7 WaterC'' Data'!$AD$4:$AE$14,2,FALSE)=0,"Spatial Data Missing ⚠",VLOOKUP(AK206,'G-7 WaterC'' Data'!$AD$4:$AE$14,2,FALSE))))</f>
        <v/>
      </c>
      <c r="AM206" s="317" t="str">
        <f t="shared" si="37"/>
        <v/>
      </c>
      <c r="AN206" s="101"/>
      <c r="AO206" s="115"/>
      <c r="AP206" s="104"/>
      <c r="AS206" s="30" t="str">
        <f>IF(B206="","",IF(ISNA(VLOOKUP($B206,'C-1 On-Site WaterC'' Baseline'!$C$8:$AD$257,17,FALSE)),"",(VLOOKUP($B206,'C-1 On-Site WaterC'' Baseline'!$C$8:$AD$257,17,FALSE))))</f>
        <v/>
      </c>
      <c r="AT206" s="30" t="str">
        <f>IF(B206="","",VLOOKUP($B206,'C-1 On-Site WaterC'' Baseline'!$C$9:$Z$257,12,FALSE))</f>
        <v/>
      </c>
      <c r="AU206" s="30" t="str">
        <f>IF(B206="","",VLOOKUP($B206,'C-1 On-Site WaterC'' Baseline'!$C$9:$Z$257,14,FALSE))</f>
        <v/>
      </c>
      <c r="AV206" s="30" t="str">
        <f>IFERROR(INDEX('G-7 WaterC'' Data'!$AZ$3:$AZ$7,MATCH(N206,'G-7 WaterC'' Data'!$AY$3:$AY$7,0)),"")</f>
        <v/>
      </c>
      <c r="AX206" s="30" t="str">
        <f>IF(B206="","",VLOOKUP($B206,'C-1 On-Site WaterC'' Baseline'!$C$9:$Y$257,22,FALSE))</f>
        <v/>
      </c>
      <c r="AY206" s="30" t="str">
        <f t="shared" si="38"/>
        <v/>
      </c>
      <c r="AZ206" s="30" t="str">
        <f>IF(B206="","",VLOOKUP($B206,'C-1 On-Site WaterC'' Baseline'!$C$9:$Y$257,21,FALSE))</f>
        <v/>
      </c>
      <c r="BA206" s="30" t="str">
        <f>IF(B206="","",VLOOKUP($B206,'C-1 On-Site WaterC'' Baseline'!$C$9:$Y$257,19,FALSE))</f>
        <v/>
      </c>
      <c r="BD206" s="30" t="str">
        <f t="shared" si="39"/>
        <v>No</v>
      </c>
    </row>
    <row r="207" spans="2:56" ht="14">
      <c r="B207" s="305" t="str">
        <f>'C-1 On-Site WaterC'' Baseline'!AP205</f>
        <v/>
      </c>
      <c r="C207" s="295" t="str">
        <f>IF(B207="","",VLOOKUP($B207,'C-1 On-Site WaterC'' Baseline'!$C$9:$R$257,2,FALSE))</f>
        <v/>
      </c>
      <c r="D207" s="295" t="str">
        <f>IF(C207="","",VLOOKUP($B207,'C-1 On-Site WaterC'' Baseline'!$C$9:$R$257,3,FALSE))</f>
        <v/>
      </c>
      <c r="E207" s="295" t="str">
        <f>IF(D207="","",VLOOKUP($B207,'C-1 On-Site WaterC'' Baseline'!$C$9:$R$257,4,FALSE))</f>
        <v/>
      </c>
      <c r="F207" s="295" t="str">
        <f>IF(E207="","",VLOOKUP($B207,'C-1 On-Site WaterC'' Baseline'!$C$9:$R$257,5,FALSE))</f>
        <v/>
      </c>
      <c r="G207" s="295" t="str">
        <f>IF(F207="","",VLOOKUP($B207,'C-1 On-Site WaterC'' Baseline'!$C$9:$R$257,6,FALSE))</f>
        <v/>
      </c>
      <c r="H207" s="295" t="str">
        <f>IF(G207="","",VLOOKUP($B207,'C-1 On-Site WaterC'' Baseline'!$C$9:$R$257,7,FALSE))</f>
        <v/>
      </c>
      <c r="I207" s="295" t="str">
        <f>IF(H207="","",VLOOKUP($B207,'C-1 On-Site WaterC'' Baseline'!$C$9:$R$257,8,FALSE))</f>
        <v/>
      </c>
      <c r="J207" s="295" t="str">
        <f>IF(I207="","",VLOOKUP($B207,'C-1 On-Site WaterC'' Baseline'!$C$9:$R$257,9,FALSE))</f>
        <v/>
      </c>
      <c r="K207" s="295" t="str">
        <f>IF(J207="","",VLOOKUP($B207,'C-1 On-Site WaterC'' Baseline'!$C$9:$R$257,10,FALSE))</f>
        <v/>
      </c>
      <c r="L207" s="295" t="str">
        <f>IF(B207="","",VLOOKUP($B207,'C-1 On-Site WaterC'' Baseline'!$C$9:$R$257,15,FALSE))</f>
        <v/>
      </c>
      <c r="M207" s="299" t="str">
        <f>IF(L207="","",VLOOKUP($B207,'C-1 On-Site WaterC'' Baseline'!$C$9:$R$257,16,FALSE))</f>
        <v/>
      </c>
      <c r="N207" s="245"/>
      <c r="O207" s="275" t="str">
        <f t="shared" si="31"/>
        <v/>
      </c>
      <c r="P207" s="276" t="str">
        <f t="shared" si="32"/>
        <v/>
      </c>
      <c r="Q207" s="336" t="str">
        <f>IF(N207="","",VLOOKUP(B207,'C-1 On-Site WaterC'' Baseline'!$C$10:$AC$257,20,FALSE))</f>
        <v/>
      </c>
      <c r="R207" s="275" t="str">
        <f>IF(N207="","",VLOOKUP(N207,'G-7 WaterC'' Data'!$B$2:$G$8,2,FALSE))</f>
        <v/>
      </c>
      <c r="S207" s="276" t="str">
        <f>IFERROR(VLOOKUP(R207,'G-7 WaterC'' Data'!$C$4:$D$8,2,FALSE),"")</f>
        <v/>
      </c>
      <c r="T207" s="101"/>
      <c r="U207" s="276" t="str">
        <f>IFERROR(INDEX('G-7 WaterC'' Data'!$H$4:$L$8,MATCH(N207,'G-7 WaterC'' Data'!$B$4:$B$8,0),MATCH(T207,'G-7 WaterC'' Data'!$H$3:$L$3,0)),"")</f>
        <v/>
      </c>
      <c r="V207" s="101"/>
      <c r="W207" s="283" t="str">
        <f>IF(V207="","",IF(VLOOKUP(V207,'G-7 WaterC'' Data'!$AK$4:$AM$6,2,FALSE)=0,"Spatial Data Missing ⚠",VLOOKUP(V207,'G-7 WaterC'' Data'!$AK$4:$AM$6,2,FALSE)))</f>
        <v/>
      </c>
      <c r="X207" s="276" t="str">
        <f>IF(V207="","",IF(VLOOKUP(V207,'G-7 WaterC'' Data'!$AK$4:$AM$6,3,FALSE)=0,"Spatial Data Missing ⚠",VLOOKUP(V207,'G-7 WaterC'' Data'!$AK$4:$AM$6,3,FALSE)))</f>
        <v/>
      </c>
      <c r="Y207" s="275" t="str">
        <f>IFERROR(IF(OR(LEFT(P207,5)="Error",LEFT(O207,5)="Error"),"Check Data ⚠",IF(F207&lt;S207,'G-7 WaterC'' Data'!$R$3,INDEX('G-7 WaterC'' Data'!$U$5:$Y$9,MATCH(G207,'G-7 WaterC'' Data'!$T$5:$T$9,0),MATCH(T207,'G-7 WaterC'' Data'!$U$4:$Y$4,0)))),"")</f>
        <v/>
      </c>
      <c r="Z207" s="133"/>
      <c r="AA207" s="133"/>
      <c r="AB207" s="283" t="str">
        <f t="shared" si="33"/>
        <v/>
      </c>
      <c r="AC207" s="296" t="str">
        <f t="shared" si="34"/>
        <v/>
      </c>
      <c r="AD207" s="334" t="str">
        <f>IFERROR(IF(AC207="Check Data ⚠","Check Data ⚠",VLOOKUP(AC207,'G-4 Temporal multipliers'!$A$4:$C$37,3,FALSE)),"")</f>
        <v/>
      </c>
      <c r="AE207" s="275" t="str">
        <f>IF(N207="","",VLOOKUP(N207,'G-7 WaterC'' Data'!$B$4:$G$8,5,FALSE))</f>
        <v/>
      </c>
      <c r="AF207" s="283" t="str">
        <f t="shared" si="35"/>
        <v/>
      </c>
      <c r="AG207" s="314" t="str">
        <f t="shared" si="36"/>
        <v/>
      </c>
      <c r="AH207" s="276" t="str">
        <f t="shared" si="30"/>
        <v/>
      </c>
      <c r="AI207" s="105"/>
      <c r="AJ207" s="276" t="str">
        <f>IF(AI207="","",IF(AND(AI207="N/A - Culvert",N207&lt;&gt;"Culvert"),"Not possible ▲",IF(VLOOKUP(AI207,'G-7 WaterC'' Data'!$AA$4:$AB$7,2,FALSE)=0,"Spatial Data Missing ⚠",VLOOKUP(AI207,'G-7 WaterC'' Data'!$AA$4:$AB$7,2,FALSE))))</f>
        <v/>
      </c>
      <c r="AK207" s="106"/>
      <c r="AL207" s="276" t="str">
        <f>IF(AK207="","",IF(AND(AK207="N/A - Culvert",N207&lt;&gt;"Culvert"),"Not possible ▲",IF(VLOOKUP(AK207,'G-7 WaterC'' Data'!$AD$4:$AE$14,2,FALSE)=0,"Spatial Data Missing ⚠",VLOOKUP(AK207,'G-7 WaterC'' Data'!$AD$4:$AE$14,2,FALSE))))</f>
        <v/>
      </c>
      <c r="AM207" s="317" t="str">
        <f t="shared" si="37"/>
        <v/>
      </c>
      <c r="AN207" s="101"/>
      <c r="AO207" s="115"/>
      <c r="AP207" s="104"/>
      <c r="AS207" s="30" t="str">
        <f>IF(B207="","",IF(ISNA(VLOOKUP($B207,'C-1 On-Site WaterC'' Baseline'!$C$8:$AD$257,17,FALSE)),"",(VLOOKUP($B207,'C-1 On-Site WaterC'' Baseline'!$C$8:$AD$257,17,FALSE))))</f>
        <v/>
      </c>
      <c r="AT207" s="30" t="str">
        <f>IF(B207="","",VLOOKUP($B207,'C-1 On-Site WaterC'' Baseline'!$C$9:$Z$257,12,FALSE))</f>
        <v/>
      </c>
      <c r="AU207" s="30" t="str">
        <f>IF(B207="","",VLOOKUP($B207,'C-1 On-Site WaterC'' Baseline'!$C$9:$Z$257,14,FALSE))</f>
        <v/>
      </c>
      <c r="AV207" s="30" t="str">
        <f>IFERROR(INDEX('G-7 WaterC'' Data'!$AZ$3:$AZ$7,MATCH(N207,'G-7 WaterC'' Data'!$AY$3:$AY$7,0)),"")</f>
        <v/>
      </c>
      <c r="AX207" s="30" t="str">
        <f>IF(B207="","",VLOOKUP($B207,'C-1 On-Site WaterC'' Baseline'!$C$9:$Y$257,22,FALSE))</f>
        <v/>
      </c>
      <c r="AY207" s="30" t="str">
        <f t="shared" si="38"/>
        <v/>
      </c>
      <c r="AZ207" s="30" t="str">
        <f>IF(B207="","",VLOOKUP($B207,'C-1 On-Site WaterC'' Baseline'!$C$9:$Y$257,21,FALSE))</f>
        <v/>
      </c>
      <c r="BA207" s="30" t="str">
        <f>IF(B207="","",VLOOKUP($B207,'C-1 On-Site WaterC'' Baseline'!$C$9:$Y$257,19,FALSE))</f>
        <v/>
      </c>
      <c r="BD207" s="30" t="str">
        <f t="shared" si="39"/>
        <v>No</v>
      </c>
    </row>
    <row r="208" spans="2:56" ht="14">
      <c r="B208" s="305" t="str">
        <f>'C-1 On-Site WaterC'' Baseline'!AP206</f>
        <v/>
      </c>
      <c r="C208" s="295" t="str">
        <f>IF(B208="","",VLOOKUP($B208,'C-1 On-Site WaterC'' Baseline'!$C$9:$R$257,2,FALSE))</f>
        <v/>
      </c>
      <c r="D208" s="295" t="str">
        <f>IF(C208="","",VLOOKUP($B208,'C-1 On-Site WaterC'' Baseline'!$C$9:$R$257,3,FALSE))</f>
        <v/>
      </c>
      <c r="E208" s="295" t="str">
        <f>IF(D208="","",VLOOKUP($B208,'C-1 On-Site WaterC'' Baseline'!$C$9:$R$257,4,FALSE))</f>
        <v/>
      </c>
      <c r="F208" s="295" t="str">
        <f>IF(E208="","",VLOOKUP($B208,'C-1 On-Site WaterC'' Baseline'!$C$9:$R$257,5,FALSE))</f>
        <v/>
      </c>
      <c r="G208" s="295" t="str">
        <f>IF(F208="","",VLOOKUP($B208,'C-1 On-Site WaterC'' Baseline'!$C$9:$R$257,6,FALSE))</f>
        <v/>
      </c>
      <c r="H208" s="295" t="str">
        <f>IF(G208="","",VLOOKUP($B208,'C-1 On-Site WaterC'' Baseline'!$C$9:$R$257,7,FALSE))</f>
        <v/>
      </c>
      <c r="I208" s="295" t="str">
        <f>IF(H208="","",VLOOKUP($B208,'C-1 On-Site WaterC'' Baseline'!$C$9:$R$257,8,FALSE))</f>
        <v/>
      </c>
      <c r="J208" s="295" t="str">
        <f>IF(I208="","",VLOOKUP($B208,'C-1 On-Site WaterC'' Baseline'!$C$9:$R$257,9,FALSE))</f>
        <v/>
      </c>
      <c r="K208" s="295" t="str">
        <f>IF(J208="","",VLOOKUP($B208,'C-1 On-Site WaterC'' Baseline'!$C$9:$R$257,10,FALSE))</f>
        <v/>
      </c>
      <c r="L208" s="295" t="str">
        <f>IF(B208="","",VLOOKUP($B208,'C-1 On-Site WaterC'' Baseline'!$C$9:$R$257,15,FALSE))</f>
        <v/>
      </c>
      <c r="M208" s="299" t="str">
        <f>IF(L208="","",VLOOKUP($B208,'C-1 On-Site WaterC'' Baseline'!$C$9:$R$257,16,FALSE))</f>
        <v/>
      </c>
      <c r="N208" s="245"/>
      <c r="O208" s="275" t="str">
        <f t="shared" si="31"/>
        <v/>
      </c>
      <c r="P208" s="276" t="str">
        <f t="shared" si="32"/>
        <v/>
      </c>
      <c r="Q208" s="336" t="str">
        <f>IF(N208="","",VLOOKUP(B208,'C-1 On-Site WaterC'' Baseline'!$C$10:$AC$257,20,FALSE))</f>
        <v/>
      </c>
      <c r="R208" s="275" t="str">
        <f>IF(N208="","",VLOOKUP(N208,'G-7 WaterC'' Data'!$B$2:$G$8,2,FALSE))</f>
        <v/>
      </c>
      <c r="S208" s="276" t="str">
        <f>IFERROR(VLOOKUP(R208,'G-7 WaterC'' Data'!$C$4:$D$8,2,FALSE),"")</f>
        <v/>
      </c>
      <c r="T208" s="101"/>
      <c r="U208" s="276" t="str">
        <f>IFERROR(INDEX('G-7 WaterC'' Data'!$H$4:$L$8,MATCH(N208,'G-7 WaterC'' Data'!$B$4:$B$8,0),MATCH(T208,'G-7 WaterC'' Data'!$H$3:$L$3,0)),"")</f>
        <v/>
      </c>
      <c r="V208" s="101"/>
      <c r="W208" s="283" t="str">
        <f>IF(V208="","",IF(VLOOKUP(V208,'G-7 WaterC'' Data'!$AK$4:$AM$6,2,FALSE)=0,"Spatial Data Missing ⚠",VLOOKUP(V208,'G-7 WaterC'' Data'!$AK$4:$AM$6,2,FALSE)))</f>
        <v/>
      </c>
      <c r="X208" s="276" t="str">
        <f>IF(V208="","",IF(VLOOKUP(V208,'G-7 WaterC'' Data'!$AK$4:$AM$6,3,FALSE)=0,"Spatial Data Missing ⚠",VLOOKUP(V208,'G-7 WaterC'' Data'!$AK$4:$AM$6,3,FALSE)))</f>
        <v/>
      </c>
      <c r="Y208" s="275" t="str">
        <f>IFERROR(IF(OR(LEFT(P208,5)="Error",LEFT(O208,5)="Error"),"Check Data ⚠",IF(F208&lt;S208,'G-7 WaterC'' Data'!$R$3,INDEX('G-7 WaterC'' Data'!$U$5:$Y$9,MATCH(G208,'G-7 WaterC'' Data'!$T$5:$T$9,0),MATCH(T208,'G-7 WaterC'' Data'!$U$4:$Y$4,0)))),"")</f>
        <v/>
      </c>
      <c r="Z208" s="133"/>
      <c r="AA208" s="133"/>
      <c r="AB208" s="283" t="str">
        <f t="shared" si="33"/>
        <v/>
      </c>
      <c r="AC208" s="296" t="str">
        <f t="shared" si="34"/>
        <v/>
      </c>
      <c r="AD208" s="334" t="str">
        <f>IFERROR(IF(AC208="Check Data ⚠","Check Data ⚠",VLOOKUP(AC208,'G-4 Temporal multipliers'!$A$4:$C$37,3,FALSE)),"")</f>
        <v/>
      </c>
      <c r="AE208" s="275" t="str">
        <f>IF(N208="","",VLOOKUP(N208,'G-7 WaterC'' Data'!$B$4:$G$8,5,FALSE))</f>
        <v/>
      </c>
      <c r="AF208" s="283" t="str">
        <f t="shared" si="35"/>
        <v/>
      </c>
      <c r="AG208" s="314" t="str">
        <f t="shared" si="36"/>
        <v/>
      </c>
      <c r="AH208" s="276" t="str">
        <f t="shared" si="30"/>
        <v/>
      </c>
      <c r="AI208" s="105"/>
      <c r="AJ208" s="276" t="str">
        <f>IF(AI208="","",IF(AND(AI208="N/A - Culvert",N208&lt;&gt;"Culvert"),"Not possible ▲",IF(VLOOKUP(AI208,'G-7 WaterC'' Data'!$AA$4:$AB$7,2,FALSE)=0,"Spatial Data Missing ⚠",VLOOKUP(AI208,'G-7 WaterC'' Data'!$AA$4:$AB$7,2,FALSE))))</f>
        <v/>
      </c>
      <c r="AK208" s="106"/>
      <c r="AL208" s="276" t="str">
        <f>IF(AK208="","",IF(AND(AK208="N/A - Culvert",N208&lt;&gt;"Culvert"),"Not possible ▲",IF(VLOOKUP(AK208,'G-7 WaterC'' Data'!$AD$4:$AE$14,2,FALSE)=0,"Spatial Data Missing ⚠",VLOOKUP(AK208,'G-7 WaterC'' Data'!$AD$4:$AE$14,2,FALSE))))</f>
        <v/>
      </c>
      <c r="AM208" s="317" t="str">
        <f t="shared" si="37"/>
        <v/>
      </c>
      <c r="AN208" s="101"/>
      <c r="AO208" s="115"/>
      <c r="AP208" s="104"/>
      <c r="AS208" s="30" t="str">
        <f>IF(B208="","",IF(ISNA(VLOOKUP($B208,'C-1 On-Site WaterC'' Baseline'!$C$8:$AD$257,17,FALSE)),"",(VLOOKUP($B208,'C-1 On-Site WaterC'' Baseline'!$C$8:$AD$257,17,FALSE))))</f>
        <v/>
      </c>
      <c r="AT208" s="30" t="str">
        <f>IF(B208="","",VLOOKUP($B208,'C-1 On-Site WaterC'' Baseline'!$C$9:$Z$257,12,FALSE))</f>
        <v/>
      </c>
      <c r="AU208" s="30" t="str">
        <f>IF(B208="","",VLOOKUP($B208,'C-1 On-Site WaterC'' Baseline'!$C$9:$Z$257,14,FALSE))</f>
        <v/>
      </c>
      <c r="AV208" s="30" t="str">
        <f>IFERROR(INDEX('G-7 WaterC'' Data'!$AZ$3:$AZ$7,MATCH(N208,'G-7 WaterC'' Data'!$AY$3:$AY$7,0)),"")</f>
        <v/>
      </c>
      <c r="AX208" s="30" t="str">
        <f>IF(B208="","",VLOOKUP($B208,'C-1 On-Site WaterC'' Baseline'!$C$9:$Y$257,22,FALSE))</f>
        <v/>
      </c>
      <c r="AY208" s="30" t="str">
        <f t="shared" si="38"/>
        <v/>
      </c>
      <c r="AZ208" s="30" t="str">
        <f>IF(B208="","",VLOOKUP($B208,'C-1 On-Site WaterC'' Baseline'!$C$9:$Y$257,21,FALSE))</f>
        <v/>
      </c>
      <c r="BA208" s="30" t="str">
        <f>IF(B208="","",VLOOKUP($B208,'C-1 On-Site WaterC'' Baseline'!$C$9:$Y$257,19,FALSE))</f>
        <v/>
      </c>
      <c r="BD208" s="30" t="str">
        <f t="shared" si="39"/>
        <v>No</v>
      </c>
    </row>
    <row r="209" spans="2:56" ht="14">
      <c r="B209" s="305" t="str">
        <f>'C-1 On-Site WaterC'' Baseline'!AP207</f>
        <v/>
      </c>
      <c r="C209" s="295" t="str">
        <f>IF(B209="","",VLOOKUP($B209,'C-1 On-Site WaterC'' Baseline'!$C$9:$R$257,2,FALSE))</f>
        <v/>
      </c>
      <c r="D209" s="295" t="str">
        <f>IF(C209="","",VLOOKUP($B209,'C-1 On-Site WaterC'' Baseline'!$C$9:$R$257,3,FALSE))</f>
        <v/>
      </c>
      <c r="E209" s="295" t="str">
        <f>IF(D209="","",VLOOKUP($B209,'C-1 On-Site WaterC'' Baseline'!$C$9:$R$257,4,FALSE))</f>
        <v/>
      </c>
      <c r="F209" s="295" t="str">
        <f>IF(E209="","",VLOOKUP($B209,'C-1 On-Site WaterC'' Baseline'!$C$9:$R$257,5,FALSE))</f>
        <v/>
      </c>
      <c r="G209" s="295" t="str">
        <f>IF(F209="","",VLOOKUP($B209,'C-1 On-Site WaterC'' Baseline'!$C$9:$R$257,6,FALSE))</f>
        <v/>
      </c>
      <c r="H209" s="295" t="str">
        <f>IF(G209="","",VLOOKUP($B209,'C-1 On-Site WaterC'' Baseline'!$C$9:$R$257,7,FALSE))</f>
        <v/>
      </c>
      <c r="I209" s="295" t="str">
        <f>IF(H209="","",VLOOKUP($B209,'C-1 On-Site WaterC'' Baseline'!$C$9:$R$257,8,FALSE))</f>
        <v/>
      </c>
      <c r="J209" s="295" t="str">
        <f>IF(I209="","",VLOOKUP($B209,'C-1 On-Site WaterC'' Baseline'!$C$9:$R$257,9,FALSE))</f>
        <v/>
      </c>
      <c r="K209" s="295" t="str">
        <f>IF(J209="","",VLOOKUP($B209,'C-1 On-Site WaterC'' Baseline'!$C$9:$R$257,10,FALSE))</f>
        <v/>
      </c>
      <c r="L209" s="295" t="str">
        <f>IF(B209="","",VLOOKUP($B209,'C-1 On-Site WaterC'' Baseline'!$C$9:$R$257,15,FALSE))</f>
        <v/>
      </c>
      <c r="M209" s="299" t="str">
        <f>IF(L209="","",VLOOKUP($B209,'C-1 On-Site WaterC'' Baseline'!$C$9:$R$257,16,FALSE))</f>
        <v/>
      </c>
      <c r="N209" s="245"/>
      <c r="O209" s="275" t="str">
        <f t="shared" si="31"/>
        <v/>
      </c>
      <c r="P209" s="276" t="str">
        <f t="shared" si="32"/>
        <v/>
      </c>
      <c r="Q209" s="336" t="str">
        <f>IF(N209="","",VLOOKUP(B209,'C-1 On-Site WaterC'' Baseline'!$C$10:$AC$257,20,FALSE))</f>
        <v/>
      </c>
      <c r="R209" s="275" t="str">
        <f>IF(N209="","",VLOOKUP(N209,'G-7 WaterC'' Data'!$B$2:$G$8,2,FALSE))</f>
        <v/>
      </c>
      <c r="S209" s="276" t="str">
        <f>IFERROR(VLOOKUP(R209,'G-7 WaterC'' Data'!$C$4:$D$8,2,FALSE),"")</f>
        <v/>
      </c>
      <c r="T209" s="101"/>
      <c r="U209" s="276" t="str">
        <f>IFERROR(INDEX('G-7 WaterC'' Data'!$H$4:$L$8,MATCH(N209,'G-7 WaterC'' Data'!$B$4:$B$8,0),MATCH(T209,'G-7 WaterC'' Data'!$H$3:$L$3,0)),"")</f>
        <v/>
      </c>
      <c r="V209" s="101"/>
      <c r="W209" s="283" t="str">
        <f>IF(V209="","",IF(VLOOKUP(V209,'G-7 WaterC'' Data'!$AK$4:$AM$6,2,FALSE)=0,"Spatial Data Missing ⚠",VLOOKUP(V209,'G-7 WaterC'' Data'!$AK$4:$AM$6,2,FALSE)))</f>
        <v/>
      </c>
      <c r="X209" s="276" t="str">
        <f>IF(V209="","",IF(VLOOKUP(V209,'G-7 WaterC'' Data'!$AK$4:$AM$6,3,FALSE)=0,"Spatial Data Missing ⚠",VLOOKUP(V209,'G-7 WaterC'' Data'!$AK$4:$AM$6,3,FALSE)))</f>
        <v/>
      </c>
      <c r="Y209" s="275" t="str">
        <f>IFERROR(IF(OR(LEFT(P209,5)="Error",LEFT(O209,5)="Error"),"Check Data ⚠",IF(F209&lt;S209,'G-7 WaterC'' Data'!$R$3,INDEX('G-7 WaterC'' Data'!$U$5:$Y$9,MATCH(G209,'G-7 WaterC'' Data'!$T$5:$T$9,0),MATCH(T209,'G-7 WaterC'' Data'!$U$4:$Y$4,0)))),"")</f>
        <v/>
      </c>
      <c r="Z209" s="133"/>
      <c r="AA209" s="133"/>
      <c r="AB209" s="283" t="str">
        <f t="shared" si="33"/>
        <v/>
      </c>
      <c r="AC209" s="296" t="str">
        <f t="shared" si="34"/>
        <v/>
      </c>
      <c r="AD209" s="334" t="str">
        <f>IFERROR(IF(AC209="Check Data ⚠","Check Data ⚠",VLOOKUP(AC209,'G-4 Temporal multipliers'!$A$4:$C$37,3,FALSE)),"")</f>
        <v/>
      </c>
      <c r="AE209" s="275" t="str">
        <f>IF(N209="","",VLOOKUP(N209,'G-7 WaterC'' Data'!$B$4:$G$8,5,FALSE))</f>
        <v/>
      </c>
      <c r="AF209" s="283" t="str">
        <f t="shared" si="35"/>
        <v/>
      </c>
      <c r="AG209" s="314" t="str">
        <f t="shared" si="36"/>
        <v/>
      </c>
      <c r="AH209" s="276" t="str">
        <f t="shared" si="30"/>
        <v/>
      </c>
      <c r="AI209" s="105"/>
      <c r="AJ209" s="276" t="str">
        <f>IF(AI209="","",IF(AND(AI209="N/A - Culvert",N209&lt;&gt;"Culvert"),"Not possible ▲",IF(VLOOKUP(AI209,'G-7 WaterC'' Data'!$AA$4:$AB$7,2,FALSE)=0,"Spatial Data Missing ⚠",VLOOKUP(AI209,'G-7 WaterC'' Data'!$AA$4:$AB$7,2,FALSE))))</f>
        <v/>
      </c>
      <c r="AK209" s="106"/>
      <c r="AL209" s="276" t="str">
        <f>IF(AK209="","",IF(AND(AK209="N/A - Culvert",N209&lt;&gt;"Culvert"),"Not possible ▲",IF(VLOOKUP(AK209,'G-7 WaterC'' Data'!$AD$4:$AE$14,2,FALSE)=0,"Spatial Data Missing ⚠",VLOOKUP(AK209,'G-7 WaterC'' Data'!$AD$4:$AE$14,2,FALSE))))</f>
        <v/>
      </c>
      <c r="AM209" s="317" t="str">
        <f t="shared" si="37"/>
        <v/>
      </c>
      <c r="AN209" s="101"/>
      <c r="AO209" s="115"/>
      <c r="AP209" s="104"/>
      <c r="AS209" s="30" t="str">
        <f>IF(B209="","",IF(ISNA(VLOOKUP($B209,'C-1 On-Site WaterC'' Baseline'!$C$8:$AD$257,17,FALSE)),"",(VLOOKUP($B209,'C-1 On-Site WaterC'' Baseline'!$C$8:$AD$257,17,FALSE))))</f>
        <v/>
      </c>
      <c r="AT209" s="30" t="str">
        <f>IF(B209="","",VLOOKUP($B209,'C-1 On-Site WaterC'' Baseline'!$C$9:$Z$257,12,FALSE))</f>
        <v/>
      </c>
      <c r="AU209" s="30" t="str">
        <f>IF(B209="","",VLOOKUP($B209,'C-1 On-Site WaterC'' Baseline'!$C$9:$Z$257,14,FALSE))</f>
        <v/>
      </c>
      <c r="AV209" s="30" t="str">
        <f>IFERROR(INDEX('G-7 WaterC'' Data'!$AZ$3:$AZ$7,MATCH(N209,'G-7 WaterC'' Data'!$AY$3:$AY$7,0)),"")</f>
        <v/>
      </c>
      <c r="AX209" s="30" t="str">
        <f>IF(B209="","",VLOOKUP($B209,'C-1 On-Site WaterC'' Baseline'!$C$9:$Y$257,22,FALSE))</f>
        <v/>
      </c>
      <c r="AY209" s="30" t="str">
        <f t="shared" si="38"/>
        <v/>
      </c>
      <c r="AZ209" s="30" t="str">
        <f>IF(B209="","",VLOOKUP($B209,'C-1 On-Site WaterC'' Baseline'!$C$9:$Y$257,21,FALSE))</f>
        <v/>
      </c>
      <c r="BA209" s="30" t="str">
        <f>IF(B209="","",VLOOKUP($B209,'C-1 On-Site WaterC'' Baseline'!$C$9:$Y$257,19,FALSE))</f>
        <v/>
      </c>
      <c r="BD209" s="30" t="str">
        <f t="shared" si="39"/>
        <v>No</v>
      </c>
    </row>
    <row r="210" spans="2:56" ht="14">
      <c r="B210" s="305" t="str">
        <f>'C-1 On-Site WaterC'' Baseline'!AP208</f>
        <v/>
      </c>
      <c r="C210" s="295" t="str">
        <f>IF(B210="","",VLOOKUP($B210,'C-1 On-Site WaterC'' Baseline'!$C$9:$R$257,2,FALSE))</f>
        <v/>
      </c>
      <c r="D210" s="295" t="str">
        <f>IF(C210="","",VLOOKUP($B210,'C-1 On-Site WaterC'' Baseline'!$C$9:$R$257,3,FALSE))</f>
        <v/>
      </c>
      <c r="E210" s="295" t="str">
        <f>IF(D210="","",VLOOKUP($B210,'C-1 On-Site WaterC'' Baseline'!$C$9:$R$257,4,FALSE))</f>
        <v/>
      </c>
      <c r="F210" s="295" t="str">
        <f>IF(E210="","",VLOOKUP($B210,'C-1 On-Site WaterC'' Baseline'!$C$9:$R$257,5,FALSE))</f>
        <v/>
      </c>
      <c r="G210" s="295" t="str">
        <f>IF(F210="","",VLOOKUP($B210,'C-1 On-Site WaterC'' Baseline'!$C$9:$R$257,6,FALSE))</f>
        <v/>
      </c>
      <c r="H210" s="295" t="str">
        <f>IF(G210="","",VLOOKUP($B210,'C-1 On-Site WaterC'' Baseline'!$C$9:$R$257,7,FALSE))</f>
        <v/>
      </c>
      <c r="I210" s="295" t="str">
        <f>IF(H210="","",VLOOKUP($B210,'C-1 On-Site WaterC'' Baseline'!$C$9:$R$257,8,FALSE))</f>
        <v/>
      </c>
      <c r="J210" s="295" t="str">
        <f>IF(I210="","",VLOOKUP($B210,'C-1 On-Site WaterC'' Baseline'!$C$9:$R$257,9,FALSE))</f>
        <v/>
      </c>
      <c r="K210" s="295" t="str">
        <f>IF(J210="","",VLOOKUP($B210,'C-1 On-Site WaterC'' Baseline'!$C$9:$R$257,10,FALSE))</f>
        <v/>
      </c>
      <c r="L210" s="295" t="str">
        <f>IF(B210="","",VLOOKUP($B210,'C-1 On-Site WaterC'' Baseline'!$C$9:$R$257,15,FALSE))</f>
        <v/>
      </c>
      <c r="M210" s="299" t="str">
        <f>IF(L210="","",VLOOKUP($B210,'C-1 On-Site WaterC'' Baseline'!$C$9:$R$257,16,FALSE))</f>
        <v/>
      </c>
      <c r="N210" s="245"/>
      <c r="O210" s="275" t="str">
        <f t="shared" si="31"/>
        <v/>
      </c>
      <c r="P210" s="276" t="str">
        <f t="shared" si="32"/>
        <v/>
      </c>
      <c r="Q210" s="336" t="str">
        <f>IF(N210="","",VLOOKUP(B210,'C-1 On-Site WaterC'' Baseline'!$C$10:$AC$257,20,FALSE))</f>
        <v/>
      </c>
      <c r="R210" s="275" t="str">
        <f>IF(N210="","",VLOOKUP(N210,'G-7 WaterC'' Data'!$B$2:$G$8,2,FALSE))</f>
        <v/>
      </c>
      <c r="S210" s="276" t="str">
        <f>IFERROR(VLOOKUP(R210,'G-7 WaterC'' Data'!$C$4:$D$8,2,FALSE),"")</f>
        <v/>
      </c>
      <c r="T210" s="101"/>
      <c r="U210" s="276" t="str">
        <f>IFERROR(INDEX('G-7 WaterC'' Data'!$H$4:$L$8,MATCH(N210,'G-7 WaterC'' Data'!$B$4:$B$8,0),MATCH(T210,'G-7 WaterC'' Data'!$H$3:$L$3,0)),"")</f>
        <v/>
      </c>
      <c r="V210" s="101"/>
      <c r="W210" s="283" t="str">
        <f>IF(V210="","",IF(VLOOKUP(V210,'G-7 WaterC'' Data'!$AK$4:$AM$6,2,FALSE)=0,"Spatial Data Missing ⚠",VLOOKUP(V210,'G-7 WaterC'' Data'!$AK$4:$AM$6,2,FALSE)))</f>
        <v/>
      </c>
      <c r="X210" s="276" t="str">
        <f>IF(V210="","",IF(VLOOKUP(V210,'G-7 WaterC'' Data'!$AK$4:$AM$6,3,FALSE)=0,"Spatial Data Missing ⚠",VLOOKUP(V210,'G-7 WaterC'' Data'!$AK$4:$AM$6,3,FALSE)))</f>
        <v/>
      </c>
      <c r="Y210" s="275" t="str">
        <f>IFERROR(IF(OR(LEFT(P210,5)="Error",LEFT(O210,5)="Error"),"Check Data ⚠",IF(F210&lt;S210,'G-7 WaterC'' Data'!$R$3,INDEX('G-7 WaterC'' Data'!$U$5:$Y$9,MATCH(G210,'G-7 WaterC'' Data'!$T$5:$T$9,0),MATCH(T210,'G-7 WaterC'' Data'!$U$4:$Y$4,0)))),"")</f>
        <v/>
      </c>
      <c r="Z210" s="133"/>
      <c r="AA210" s="133"/>
      <c r="AB210" s="283" t="str">
        <f t="shared" si="33"/>
        <v/>
      </c>
      <c r="AC210" s="296" t="str">
        <f t="shared" si="34"/>
        <v/>
      </c>
      <c r="AD210" s="334" t="str">
        <f>IFERROR(IF(AC210="Check Data ⚠","Check Data ⚠",VLOOKUP(AC210,'G-4 Temporal multipliers'!$A$4:$C$37,3,FALSE)),"")</f>
        <v/>
      </c>
      <c r="AE210" s="275" t="str">
        <f>IF(N210="","",VLOOKUP(N210,'G-7 WaterC'' Data'!$B$4:$G$8,5,FALSE))</f>
        <v/>
      </c>
      <c r="AF210" s="283" t="str">
        <f t="shared" si="35"/>
        <v/>
      </c>
      <c r="AG210" s="314" t="str">
        <f t="shared" si="36"/>
        <v/>
      </c>
      <c r="AH210" s="276" t="str">
        <f t="shared" si="30"/>
        <v/>
      </c>
      <c r="AI210" s="105"/>
      <c r="AJ210" s="276" t="str">
        <f>IF(AI210="","",IF(AND(AI210="N/A - Culvert",N210&lt;&gt;"Culvert"),"Not possible ▲",IF(VLOOKUP(AI210,'G-7 WaterC'' Data'!$AA$4:$AB$7,2,FALSE)=0,"Spatial Data Missing ⚠",VLOOKUP(AI210,'G-7 WaterC'' Data'!$AA$4:$AB$7,2,FALSE))))</f>
        <v/>
      </c>
      <c r="AK210" s="106"/>
      <c r="AL210" s="276" t="str">
        <f>IF(AK210="","",IF(AND(AK210="N/A - Culvert",N210&lt;&gt;"Culvert"),"Not possible ▲",IF(VLOOKUP(AK210,'G-7 WaterC'' Data'!$AD$4:$AE$14,2,FALSE)=0,"Spatial Data Missing ⚠",VLOOKUP(AK210,'G-7 WaterC'' Data'!$AD$4:$AE$14,2,FALSE))))</f>
        <v/>
      </c>
      <c r="AM210" s="317" t="str">
        <f t="shared" si="37"/>
        <v/>
      </c>
      <c r="AN210" s="101"/>
      <c r="AO210" s="115"/>
      <c r="AP210" s="104"/>
      <c r="AS210" s="30" t="str">
        <f>IF(B210="","",IF(ISNA(VLOOKUP($B210,'C-1 On-Site WaterC'' Baseline'!$C$8:$AD$257,17,FALSE)),"",(VLOOKUP($B210,'C-1 On-Site WaterC'' Baseline'!$C$8:$AD$257,17,FALSE))))</f>
        <v/>
      </c>
      <c r="AT210" s="30" t="str">
        <f>IF(B210="","",VLOOKUP($B210,'C-1 On-Site WaterC'' Baseline'!$C$9:$Z$257,12,FALSE))</f>
        <v/>
      </c>
      <c r="AU210" s="30" t="str">
        <f>IF(B210="","",VLOOKUP($B210,'C-1 On-Site WaterC'' Baseline'!$C$9:$Z$257,14,FALSE))</f>
        <v/>
      </c>
      <c r="AV210" s="30" t="str">
        <f>IFERROR(INDEX('G-7 WaterC'' Data'!$AZ$3:$AZ$7,MATCH(N210,'G-7 WaterC'' Data'!$AY$3:$AY$7,0)),"")</f>
        <v/>
      </c>
      <c r="AX210" s="30" t="str">
        <f>IF(B210="","",VLOOKUP($B210,'C-1 On-Site WaterC'' Baseline'!$C$9:$Y$257,22,FALSE))</f>
        <v/>
      </c>
      <c r="AY210" s="30" t="str">
        <f t="shared" si="38"/>
        <v/>
      </c>
      <c r="AZ210" s="30" t="str">
        <f>IF(B210="","",VLOOKUP($B210,'C-1 On-Site WaterC'' Baseline'!$C$9:$Y$257,21,FALSE))</f>
        <v/>
      </c>
      <c r="BA210" s="30" t="str">
        <f>IF(B210="","",VLOOKUP($B210,'C-1 On-Site WaterC'' Baseline'!$C$9:$Y$257,19,FALSE))</f>
        <v/>
      </c>
      <c r="BD210" s="30" t="str">
        <f t="shared" si="39"/>
        <v>No</v>
      </c>
    </row>
    <row r="211" spans="2:56" ht="14">
      <c r="B211" s="305" t="str">
        <f>'C-1 On-Site WaterC'' Baseline'!AP209</f>
        <v/>
      </c>
      <c r="C211" s="295" t="str">
        <f>IF(B211="","",VLOOKUP($B211,'C-1 On-Site WaterC'' Baseline'!$C$9:$R$257,2,FALSE))</f>
        <v/>
      </c>
      <c r="D211" s="295" t="str">
        <f>IF(C211="","",VLOOKUP($B211,'C-1 On-Site WaterC'' Baseline'!$C$9:$R$257,3,FALSE))</f>
        <v/>
      </c>
      <c r="E211" s="295" t="str">
        <f>IF(D211="","",VLOOKUP($B211,'C-1 On-Site WaterC'' Baseline'!$C$9:$R$257,4,FALSE))</f>
        <v/>
      </c>
      <c r="F211" s="295" t="str">
        <f>IF(E211="","",VLOOKUP($B211,'C-1 On-Site WaterC'' Baseline'!$C$9:$R$257,5,FALSE))</f>
        <v/>
      </c>
      <c r="G211" s="295" t="str">
        <f>IF(F211="","",VLOOKUP($B211,'C-1 On-Site WaterC'' Baseline'!$C$9:$R$257,6,FALSE))</f>
        <v/>
      </c>
      <c r="H211" s="295" t="str">
        <f>IF(G211="","",VLOOKUP($B211,'C-1 On-Site WaterC'' Baseline'!$C$9:$R$257,7,FALSE))</f>
        <v/>
      </c>
      <c r="I211" s="295" t="str">
        <f>IF(H211="","",VLOOKUP($B211,'C-1 On-Site WaterC'' Baseline'!$C$9:$R$257,8,FALSE))</f>
        <v/>
      </c>
      <c r="J211" s="295" t="str">
        <f>IF(I211="","",VLOOKUP($B211,'C-1 On-Site WaterC'' Baseline'!$C$9:$R$257,9,FALSE))</f>
        <v/>
      </c>
      <c r="K211" s="295" t="str">
        <f>IF(J211="","",VLOOKUP($B211,'C-1 On-Site WaterC'' Baseline'!$C$9:$R$257,10,FALSE))</f>
        <v/>
      </c>
      <c r="L211" s="295" t="str">
        <f>IF(B211="","",VLOOKUP($B211,'C-1 On-Site WaterC'' Baseline'!$C$9:$R$257,15,FALSE))</f>
        <v/>
      </c>
      <c r="M211" s="299" t="str">
        <f>IF(L211="","",VLOOKUP($B211,'C-1 On-Site WaterC'' Baseline'!$C$9:$R$257,16,FALSE))</f>
        <v/>
      </c>
      <c r="N211" s="245"/>
      <c r="O211" s="275" t="str">
        <f t="shared" si="31"/>
        <v/>
      </c>
      <c r="P211" s="276" t="str">
        <f t="shared" si="32"/>
        <v/>
      </c>
      <c r="Q211" s="336" t="str">
        <f>IF(N211="","",VLOOKUP(B211,'C-1 On-Site WaterC'' Baseline'!$C$10:$AC$257,20,FALSE))</f>
        <v/>
      </c>
      <c r="R211" s="275" t="str">
        <f>IF(N211="","",VLOOKUP(N211,'G-7 WaterC'' Data'!$B$2:$G$8,2,FALSE))</f>
        <v/>
      </c>
      <c r="S211" s="276" t="str">
        <f>IFERROR(VLOOKUP(R211,'G-7 WaterC'' Data'!$C$4:$D$8,2,FALSE),"")</f>
        <v/>
      </c>
      <c r="T211" s="101"/>
      <c r="U211" s="276" t="str">
        <f>IFERROR(INDEX('G-7 WaterC'' Data'!$H$4:$L$8,MATCH(N211,'G-7 WaterC'' Data'!$B$4:$B$8,0),MATCH(T211,'G-7 WaterC'' Data'!$H$3:$L$3,0)),"")</f>
        <v/>
      </c>
      <c r="V211" s="101"/>
      <c r="W211" s="283" t="str">
        <f>IF(V211="","",IF(VLOOKUP(V211,'G-7 WaterC'' Data'!$AK$4:$AM$6,2,FALSE)=0,"Spatial Data Missing ⚠",VLOOKUP(V211,'G-7 WaterC'' Data'!$AK$4:$AM$6,2,FALSE)))</f>
        <v/>
      </c>
      <c r="X211" s="276" t="str">
        <f>IF(V211="","",IF(VLOOKUP(V211,'G-7 WaterC'' Data'!$AK$4:$AM$6,3,FALSE)=0,"Spatial Data Missing ⚠",VLOOKUP(V211,'G-7 WaterC'' Data'!$AK$4:$AM$6,3,FALSE)))</f>
        <v/>
      </c>
      <c r="Y211" s="275" t="str">
        <f>IFERROR(IF(OR(LEFT(P211,5)="Error",LEFT(O211,5)="Error"),"Check Data ⚠",IF(F211&lt;S211,'G-7 WaterC'' Data'!$R$3,INDEX('G-7 WaterC'' Data'!$U$5:$Y$9,MATCH(G211,'G-7 WaterC'' Data'!$T$5:$T$9,0),MATCH(T211,'G-7 WaterC'' Data'!$U$4:$Y$4,0)))),"")</f>
        <v/>
      </c>
      <c r="Z211" s="133"/>
      <c r="AA211" s="133"/>
      <c r="AB211" s="283" t="str">
        <f t="shared" si="33"/>
        <v/>
      </c>
      <c r="AC211" s="296" t="str">
        <f t="shared" si="34"/>
        <v/>
      </c>
      <c r="AD211" s="334" t="str">
        <f>IFERROR(IF(AC211="Check Data ⚠","Check Data ⚠",VLOOKUP(AC211,'G-4 Temporal multipliers'!$A$4:$C$37,3,FALSE)),"")</f>
        <v/>
      </c>
      <c r="AE211" s="275" t="str">
        <f>IF(N211="","",VLOOKUP(N211,'G-7 WaterC'' Data'!$B$4:$G$8,5,FALSE))</f>
        <v/>
      </c>
      <c r="AF211" s="283" t="str">
        <f t="shared" si="35"/>
        <v/>
      </c>
      <c r="AG211" s="314" t="str">
        <f t="shared" si="36"/>
        <v/>
      </c>
      <c r="AH211" s="276" t="str">
        <f t="shared" si="30"/>
        <v/>
      </c>
      <c r="AI211" s="105"/>
      <c r="AJ211" s="276" t="str">
        <f>IF(AI211="","",IF(AND(AI211="N/A - Culvert",N211&lt;&gt;"Culvert"),"Not possible ▲",IF(VLOOKUP(AI211,'G-7 WaterC'' Data'!$AA$4:$AB$7,2,FALSE)=0,"Spatial Data Missing ⚠",VLOOKUP(AI211,'G-7 WaterC'' Data'!$AA$4:$AB$7,2,FALSE))))</f>
        <v/>
      </c>
      <c r="AK211" s="106"/>
      <c r="AL211" s="276" t="str">
        <f>IF(AK211="","",IF(AND(AK211="N/A - Culvert",N211&lt;&gt;"Culvert"),"Not possible ▲",IF(VLOOKUP(AK211,'G-7 WaterC'' Data'!$AD$4:$AE$14,2,FALSE)=0,"Spatial Data Missing ⚠",VLOOKUP(AK211,'G-7 WaterC'' Data'!$AD$4:$AE$14,2,FALSE))))</f>
        <v/>
      </c>
      <c r="AM211" s="317" t="str">
        <f t="shared" si="37"/>
        <v/>
      </c>
      <c r="AN211" s="101"/>
      <c r="AO211" s="115"/>
      <c r="AP211" s="104"/>
      <c r="AS211" s="30" t="str">
        <f>IF(B211="","",IF(ISNA(VLOOKUP($B211,'C-1 On-Site WaterC'' Baseline'!$C$8:$AD$257,17,FALSE)),"",(VLOOKUP($B211,'C-1 On-Site WaterC'' Baseline'!$C$8:$AD$257,17,FALSE))))</f>
        <v/>
      </c>
      <c r="AT211" s="30" t="str">
        <f>IF(B211="","",VLOOKUP($B211,'C-1 On-Site WaterC'' Baseline'!$C$9:$Z$257,12,FALSE))</f>
        <v/>
      </c>
      <c r="AU211" s="30" t="str">
        <f>IF(B211="","",VLOOKUP($B211,'C-1 On-Site WaterC'' Baseline'!$C$9:$Z$257,14,FALSE))</f>
        <v/>
      </c>
      <c r="AV211" s="30" t="str">
        <f>IFERROR(INDEX('G-7 WaterC'' Data'!$AZ$3:$AZ$7,MATCH(N211,'G-7 WaterC'' Data'!$AY$3:$AY$7,0)),"")</f>
        <v/>
      </c>
      <c r="AX211" s="30" t="str">
        <f>IF(B211="","",VLOOKUP($B211,'C-1 On-Site WaterC'' Baseline'!$C$9:$Y$257,22,FALSE))</f>
        <v/>
      </c>
      <c r="AY211" s="30" t="str">
        <f t="shared" si="38"/>
        <v/>
      </c>
      <c r="AZ211" s="30" t="str">
        <f>IF(B211="","",VLOOKUP($B211,'C-1 On-Site WaterC'' Baseline'!$C$9:$Y$257,21,FALSE))</f>
        <v/>
      </c>
      <c r="BA211" s="30" t="str">
        <f>IF(B211="","",VLOOKUP($B211,'C-1 On-Site WaterC'' Baseline'!$C$9:$Y$257,19,FALSE))</f>
        <v/>
      </c>
      <c r="BD211" s="30" t="str">
        <f t="shared" si="39"/>
        <v>No</v>
      </c>
    </row>
    <row r="212" spans="2:56" ht="14">
      <c r="B212" s="305" t="str">
        <f>'C-1 On-Site WaterC'' Baseline'!AP210</f>
        <v/>
      </c>
      <c r="C212" s="295" t="str">
        <f>IF(B212="","",VLOOKUP($B212,'C-1 On-Site WaterC'' Baseline'!$C$9:$R$257,2,FALSE))</f>
        <v/>
      </c>
      <c r="D212" s="295" t="str">
        <f>IF(C212="","",VLOOKUP($B212,'C-1 On-Site WaterC'' Baseline'!$C$9:$R$257,3,FALSE))</f>
        <v/>
      </c>
      <c r="E212" s="295" t="str">
        <f>IF(D212="","",VLOOKUP($B212,'C-1 On-Site WaterC'' Baseline'!$C$9:$R$257,4,FALSE))</f>
        <v/>
      </c>
      <c r="F212" s="295" t="str">
        <f>IF(E212="","",VLOOKUP($B212,'C-1 On-Site WaterC'' Baseline'!$C$9:$R$257,5,FALSE))</f>
        <v/>
      </c>
      <c r="G212" s="295" t="str">
        <f>IF(F212="","",VLOOKUP($B212,'C-1 On-Site WaterC'' Baseline'!$C$9:$R$257,6,FALSE))</f>
        <v/>
      </c>
      <c r="H212" s="295" t="str">
        <f>IF(G212="","",VLOOKUP($B212,'C-1 On-Site WaterC'' Baseline'!$C$9:$R$257,7,FALSE))</f>
        <v/>
      </c>
      <c r="I212" s="295" t="str">
        <f>IF(H212="","",VLOOKUP($B212,'C-1 On-Site WaterC'' Baseline'!$C$9:$R$257,8,FALSE))</f>
        <v/>
      </c>
      <c r="J212" s="295" t="str">
        <f>IF(I212="","",VLOOKUP($B212,'C-1 On-Site WaterC'' Baseline'!$C$9:$R$257,9,FALSE))</f>
        <v/>
      </c>
      <c r="K212" s="295" t="str">
        <f>IF(J212="","",VLOOKUP($B212,'C-1 On-Site WaterC'' Baseline'!$C$9:$R$257,10,FALSE))</f>
        <v/>
      </c>
      <c r="L212" s="295" t="str">
        <f>IF(B212="","",VLOOKUP($B212,'C-1 On-Site WaterC'' Baseline'!$C$9:$R$257,15,FALSE))</f>
        <v/>
      </c>
      <c r="M212" s="299" t="str">
        <f>IF(L212="","",VLOOKUP($B212,'C-1 On-Site WaterC'' Baseline'!$C$9:$R$257,16,FALSE))</f>
        <v/>
      </c>
      <c r="N212" s="245"/>
      <c r="O212" s="275" t="str">
        <f t="shared" si="31"/>
        <v/>
      </c>
      <c r="P212" s="276" t="str">
        <f t="shared" si="32"/>
        <v/>
      </c>
      <c r="Q212" s="336" t="str">
        <f>IF(N212="","",VLOOKUP(B212,'C-1 On-Site WaterC'' Baseline'!$C$10:$AC$257,20,FALSE))</f>
        <v/>
      </c>
      <c r="R212" s="275" t="str">
        <f>IF(N212="","",VLOOKUP(N212,'G-7 WaterC'' Data'!$B$2:$G$8,2,FALSE))</f>
        <v/>
      </c>
      <c r="S212" s="276" t="str">
        <f>IFERROR(VLOOKUP(R212,'G-7 WaterC'' Data'!$C$4:$D$8,2,FALSE),"")</f>
        <v/>
      </c>
      <c r="T212" s="101"/>
      <c r="U212" s="276" t="str">
        <f>IFERROR(INDEX('G-7 WaterC'' Data'!$H$4:$L$8,MATCH(N212,'G-7 WaterC'' Data'!$B$4:$B$8,0),MATCH(T212,'G-7 WaterC'' Data'!$H$3:$L$3,0)),"")</f>
        <v/>
      </c>
      <c r="V212" s="101"/>
      <c r="W212" s="283" t="str">
        <f>IF(V212="","",IF(VLOOKUP(V212,'G-7 WaterC'' Data'!$AK$4:$AM$6,2,FALSE)=0,"Spatial Data Missing ⚠",VLOOKUP(V212,'G-7 WaterC'' Data'!$AK$4:$AM$6,2,FALSE)))</f>
        <v/>
      </c>
      <c r="X212" s="276" t="str">
        <f>IF(V212="","",IF(VLOOKUP(V212,'G-7 WaterC'' Data'!$AK$4:$AM$6,3,FALSE)=0,"Spatial Data Missing ⚠",VLOOKUP(V212,'G-7 WaterC'' Data'!$AK$4:$AM$6,3,FALSE)))</f>
        <v/>
      </c>
      <c r="Y212" s="275" t="str">
        <f>IFERROR(IF(OR(LEFT(P212,5)="Error",LEFT(O212,5)="Error"),"Check Data ⚠",IF(F212&lt;S212,'G-7 WaterC'' Data'!$R$3,INDEX('G-7 WaterC'' Data'!$U$5:$Y$9,MATCH(G212,'G-7 WaterC'' Data'!$T$5:$T$9,0),MATCH(T212,'G-7 WaterC'' Data'!$U$4:$Y$4,0)))),"")</f>
        <v/>
      </c>
      <c r="Z212" s="133"/>
      <c r="AA212" s="133"/>
      <c r="AB212" s="283" t="str">
        <f t="shared" si="33"/>
        <v/>
      </c>
      <c r="AC212" s="296" t="str">
        <f t="shared" si="34"/>
        <v/>
      </c>
      <c r="AD212" s="334" t="str">
        <f>IFERROR(IF(AC212="Check Data ⚠","Check Data ⚠",VLOOKUP(AC212,'G-4 Temporal multipliers'!$A$4:$C$37,3,FALSE)),"")</f>
        <v/>
      </c>
      <c r="AE212" s="275" t="str">
        <f>IF(N212="","",VLOOKUP(N212,'G-7 WaterC'' Data'!$B$4:$G$8,5,FALSE))</f>
        <v/>
      </c>
      <c r="AF212" s="283" t="str">
        <f t="shared" si="35"/>
        <v/>
      </c>
      <c r="AG212" s="314" t="str">
        <f t="shared" si="36"/>
        <v/>
      </c>
      <c r="AH212" s="276" t="str">
        <f t="shared" si="30"/>
        <v/>
      </c>
      <c r="AI212" s="105"/>
      <c r="AJ212" s="276" t="str">
        <f>IF(AI212="","",IF(AND(AI212="N/A - Culvert",N212&lt;&gt;"Culvert"),"Not possible ▲",IF(VLOOKUP(AI212,'G-7 WaterC'' Data'!$AA$4:$AB$7,2,FALSE)=0,"Spatial Data Missing ⚠",VLOOKUP(AI212,'G-7 WaterC'' Data'!$AA$4:$AB$7,2,FALSE))))</f>
        <v/>
      </c>
      <c r="AK212" s="106"/>
      <c r="AL212" s="276" t="str">
        <f>IF(AK212="","",IF(AND(AK212="N/A - Culvert",N212&lt;&gt;"Culvert"),"Not possible ▲",IF(VLOOKUP(AK212,'G-7 WaterC'' Data'!$AD$4:$AE$14,2,FALSE)=0,"Spatial Data Missing ⚠",VLOOKUP(AK212,'G-7 WaterC'' Data'!$AD$4:$AE$14,2,FALSE))))</f>
        <v/>
      </c>
      <c r="AM212" s="317" t="str">
        <f t="shared" si="37"/>
        <v/>
      </c>
      <c r="AN212" s="101"/>
      <c r="AO212" s="115"/>
      <c r="AP212" s="104"/>
      <c r="AS212" s="30" t="str">
        <f>IF(B212="","",IF(ISNA(VLOOKUP($B212,'C-1 On-Site WaterC'' Baseline'!$C$8:$AD$257,17,FALSE)),"",(VLOOKUP($B212,'C-1 On-Site WaterC'' Baseline'!$C$8:$AD$257,17,FALSE))))</f>
        <v/>
      </c>
      <c r="AT212" s="30" t="str">
        <f>IF(B212="","",VLOOKUP($B212,'C-1 On-Site WaterC'' Baseline'!$C$9:$Z$257,12,FALSE))</f>
        <v/>
      </c>
      <c r="AU212" s="30" t="str">
        <f>IF(B212="","",VLOOKUP($B212,'C-1 On-Site WaterC'' Baseline'!$C$9:$Z$257,14,FALSE))</f>
        <v/>
      </c>
      <c r="AV212" s="30" t="str">
        <f>IFERROR(INDEX('G-7 WaterC'' Data'!$AZ$3:$AZ$7,MATCH(N212,'G-7 WaterC'' Data'!$AY$3:$AY$7,0)),"")</f>
        <v/>
      </c>
      <c r="AX212" s="30" t="str">
        <f>IF(B212="","",VLOOKUP($B212,'C-1 On-Site WaterC'' Baseline'!$C$9:$Y$257,22,FALSE))</f>
        <v/>
      </c>
      <c r="AY212" s="30" t="str">
        <f t="shared" si="38"/>
        <v/>
      </c>
      <c r="AZ212" s="30" t="str">
        <f>IF(B212="","",VLOOKUP($B212,'C-1 On-Site WaterC'' Baseline'!$C$9:$Y$257,21,FALSE))</f>
        <v/>
      </c>
      <c r="BA212" s="30" t="str">
        <f>IF(B212="","",VLOOKUP($B212,'C-1 On-Site WaterC'' Baseline'!$C$9:$Y$257,19,FALSE))</f>
        <v/>
      </c>
      <c r="BD212" s="30" t="str">
        <f t="shared" si="39"/>
        <v>No</v>
      </c>
    </row>
    <row r="213" spans="2:56" ht="14">
      <c r="B213" s="305" t="str">
        <f>'C-1 On-Site WaterC'' Baseline'!AP211</f>
        <v/>
      </c>
      <c r="C213" s="295" t="str">
        <f>IF(B213="","",VLOOKUP($B213,'C-1 On-Site WaterC'' Baseline'!$C$9:$R$257,2,FALSE))</f>
        <v/>
      </c>
      <c r="D213" s="295" t="str">
        <f>IF(C213="","",VLOOKUP($B213,'C-1 On-Site WaterC'' Baseline'!$C$9:$R$257,3,FALSE))</f>
        <v/>
      </c>
      <c r="E213" s="295" t="str">
        <f>IF(D213="","",VLOOKUP($B213,'C-1 On-Site WaterC'' Baseline'!$C$9:$R$257,4,FALSE))</f>
        <v/>
      </c>
      <c r="F213" s="295" t="str">
        <f>IF(E213="","",VLOOKUP($B213,'C-1 On-Site WaterC'' Baseline'!$C$9:$R$257,5,FALSE))</f>
        <v/>
      </c>
      <c r="G213" s="295" t="str">
        <f>IF(F213="","",VLOOKUP($B213,'C-1 On-Site WaterC'' Baseline'!$C$9:$R$257,6,FALSE))</f>
        <v/>
      </c>
      <c r="H213" s="295" t="str">
        <f>IF(G213="","",VLOOKUP($B213,'C-1 On-Site WaterC'' Baseline'!$C$9:$R$257,7,FALSE))</f>
        <v/>
      </c>
      <c r="I213" s="295" t="str">
        <f>IF(H213="","",VLOOKUP($B213,'C-1 On-Site WaterC'' Baseline'!$C$9:$R$257,8,FALSE))</f>
        <v/>
      </c>
      <c r="J213" s="295" t="str">
        <f>IF(I213="","",VLOOKUP($B213,'C-1 On-Site WaterC'' Baseline'!$C$9:$R$257,9,FALSE))</f>
        <v/>
      </c>
      <c r="K213" s="295" t="str">
        <f>IF(J213="","",VLOOKUP($B213,'C-1 On-Site WaterC'' Baseline'!$C$9:$R$257,10,FALSE))</f>
        <v/>
      </c>
      <c r="L213" s="295" t="str">
        <f>IF(B213="","",VLOOKUP($B213,'C-1 On-Site WaterC'' Baseline'!$C$9:$R$257,15,FALSE))</f>
        <v/>
      </c>
      <c r="M213" s="299" t="str">
        <f>IF(L213="","",VLOOKUP($B213,'C-1 On-Site WaterC'' Baseline'!$C$9:$R$257,16,FALSE))</f>
        <v/>
      </c>
      <c r="N213" s="245"/>
      <c r="O213" s="275" t="str">
        <f t="shared" si="31"/>
        <v/>
      </c>
      <c r="P213" s="276" t="str">
        <f t="shared" si="32"/>
        <v/>
      </c>
      <c r="Q213" s="336" t="str">
        <f>IF(N213="","",VLOOKUP(B213,'C-1 On-Site WaterC'' Baseline'!$C$10:$AC$257,20,FALSE))</f>
        <v/>
      </c>
      <c r="R213" s="275" t="str">
        <f>IF(N213="","",VLOOKUP(N213,'G-7 WaterC'' Data'!$B$2:$G$8,2,FALSE))</f>
        <v/>
      </c>
      <c r="S213" s="276" t="str">
        <f>IFERROR(VLOOKUP(R213,'G-7 WaterC'' Data'!$C$4:$D$8,2,FALSE),"")</f>
        <v/>
      </c>
      <c r="T213" s="101"/>
      <c r="U213" s="276" t="str">
        <f>IFERROR(INDEX('G-7 WaterC'' Data'!$H$4:$L$8,MATCH(N213,'G-7 WaterC'' Data'!$B$4:$B$8,0),MATCH(T213,'G-7 WaterC'' Data'!$H$3:$L$3,0)),"")</f>
        <v/>
      </c>
      <c r="V213" s="101"/>
      <c r="W213" s="283" t="str">
        <f>IF(V213="","",IF(VLOOKUP(V213,'G-7 WaterC'' Data'!$AK$4:$AM$6,2,FALSE)=0,"Spatial Data Missing ⚠",VLOOKUP(V213,'G-7 WaterC'' Data'!$AK$4:$AM$6,2,FALSE)))</f>
        <v/>
      </c>
      <c r="X213" s="276" t="str">
        <f>IF(V213="","",IF(VLOOKUP(V213,'G-7 WaterC'' Data'!$AK$4:$AM$6,3,FALSE)=0,"Spatial Data Missing ⚠",VLOOKUP(V213,'G-7 WaterC'' Data'!$AK$4:$AM$6,3,FALSE)))</f>
        <v/>
      </c>
      <c r="Y213" s="275" t="str">
        <f>IFERROR(IF(OR(LEFT(P213,5)="Error",LEFT(O213,5)="Error"),"Check Data ⚠",IF(F213&lt;S213,'G-7 WaterC'' Data'!$R$3,INDEX('G-7 WaterC'' Data'!$U$5:$Y$9,MATCH(G213,'G-7 WaterC'' Data'!$T$5:$T$9,0),MATCH(T213,'G-7 WaterC'' Data'!$U$4:$Y$4,0)))),"")</f>
        <v/>
      </c>
      <c r="Z213" s="133"/>
      <c r="AA213" s="133"/>
      <c r="AB213" s="283" t="str">
        <f t="shared" si="33"/>
        <v/>
      </c>
      <c r="AC213" s="296" t="str">
        <f t="shared" si="34"/>
        <v/>
      </c>
      <c r="AD213" s="334" t="str">
        <f>IFERROR(IF(AC213="Check Data ⚠","Check Data ⚠",VLOOKUP(AC213,'G-4 Temporal multipliers'!$A$4:$C$37,3,FALSE)),"")</f>
        <v/>
      </c>
      <c r="AE213" s="275" t="str">
        <f>IF(N213="","",VLOOKUP(N213,'G-7 WaterC'' Data'!$B$4:$G$8,5,FALSE))</f>
        <v/>
      </c>
      <c r="AF213" s="283" t="str">
        <f t="shared" si="35"/>
        <v/>
      </c>
      <c r="AG213" s="314" t="str">
        <f t="shared" si="36"/>
        <v/>
      </c>
      <c r="AH213" s="276" t="str">
        <f t="shared" si="30"/>
        <v/>
      </c>
      <c r="AI213" s="105"/>
      <c r="AJ213" s="276" t="str">
        <f>IF(AI213="","",IF(AND(AI213="N/A - Culvert",N213&lt;&gt;"Culvert"),"Not possible ▲",IF(VLOOKUP(AI213,'G-7 WaterC'' Data'!$AA$4:$AB$7,2,FALSE)=0,"Spatial Data Missing ⚠",VLOOKUP(AI213,'G-7 WaterC'' Data'!$AA$4:$AB$7,2,FALSE))))</f>
        <v/>
      </c>
      <c r="AK213" s="106"/>
      <c r="AL213" s="276" t="str">
        <f>IF(AK213="","",IF(AND(AK213="N/A - Culvert",N213&lt;&gt;"Culvert"),"Not possible ▲",IF(VLOOKUP(AK213,'G-7 WaterC'' Data'!$AD$4:$AE$14,2,FALSE)=0,"Spatial Data Missing ⚠",VLOOKUP(AK213,'G-7 WaterC'' Data'!$AD$4:$AE$14,2,FALSE))))</f>
        <v/>
      </c>
      <c r="AM213" s="317" t="str">
        <f t="shared" si="37"/>
        <v/>
      </c>
      <c r="AN213" s="101"/>
      <c r="AO213" s="115"/>
      <c r="AP213" s="104"/>
      <c r="AS213" s="30" t="str">
        <f>IF(B213="","",IF(ISNA(VLOOKUP($B213,'C-1 On-Site WaterC'' Baseline'!$C$8:$AD$257,17,FALSE)),"",(VLOOKUP($B213,'C-1 On-Site WaterC'' Baseline'!$C$8:$AD$257,17,FALSE))))</f>
        <v/>
      </c>
      <c r="AT213" s="30" t="str">
        <f>IF(B213="","",VLOOKUP($B213,'C-1 On-Site WaterC'' Baseline'!$C$9:$Z$257,12,FALSE))</f>
        <v/>
      </c>
      <c r="AU213" s="30" t="str">
        <f>IF(B213="","",VLOOKUP($B213,'C-1 On-Site WaterC'' Baseline'!$C$9:$Z$257,14,FALSE))</f>
        <v/>
      </c>
      <c r="AV213" s="30" t="str">
        <f>IFERROR(INDEX('G-7 WaterC'' Data'!$AZ$3:$AZ$7,MATCH(N213,'G-7 WaterC'' Data'!$AY$3:$AY$7,0)),"")</f>
        <v/>
      </c>
      <c r="AX213" s="30" t="str">
        <f>IF(B213="","",VLOOKUP($B213,'C-1 On-Site WaterC'' Baseline'!$C$9:$Y$257,22,FALSE))</f>
        <v/>
      </c>
      <c r="AY213" s="30" t="str">
        <f t="shared" si="38"/>
        <v/>
      </c>
      <c r="AZ213" s="30" t="str">
        <f>IF(B213="","",VLOOKUP($B213,'C-1 On-Site WaterC'' Baseline'!$C$9:$Y$257,21,FALSE))</f>
        <v/>
      </c>
      <c r="BA213" s="30" t="str">
        <f>IF(B213="","",VLOOKUP($B213,'C-1 On-Site WaterC'' Baseline'!$C$9:$Y$257,19,FALSE))</f>
        <v/>
      </c>
      <c r="BD213" s="30" t="str">
        <f t="shared" si="39"/>
        <v>No</v>
      </c>
    </row>
    <row r="214" spans="2:56" ht="14">
      <c r="B214" s="305" t="str">
        <f>'C-1 On-Site WaterC'' Baseline'!AP212</f>
        <v/>
      </c>
      <c r="C214" s="295" t="str">
        <f>IF(B214="","",VLOOKUP($B214,'C-1 On-Site WaterC'' Baseline'!$C$9:$R$257,2,FALSE))</f>
        <v/>
      </c>
      <c r="D214" s="295" t="str">
        <f>IF(C214="","",VLOOKUP($B214,'C-1 On-Site WaterC'' Baseline'!$C$9:$R$257,3,FALSE))</f>
        <v/>
      </c>
      <c r="E214" s="295" t="str">
        <f>IF(D214="","",VLOOKUP($B214,'C-1 On-Site WaterC'' Baseline'!$C$9:$R$257,4,FALSE))</f>
        <v/>
      </c>
      <c r="F214" s="295" t="str">
        <f>IF(E214="","",VLOOKUP($B214,'C-1 On-Site WaterC'' Baseline'!$C$9:$R$257,5,FALSE))</f>
        <v/>
      </c>
      <c r="G214" s="295" t="str">
        <f>IF(F214="","",VLOOKUP($B214,'C-1 On-Site WaterC'' Baseline'!$C$9:$R$257,6,FALSE))</f>
        <v/>
      </c>
      <c r="H214" s="295" t="str">
        <f>IF(G214="","",VLOOKUP($B214,'C-1 On-Site WaterC'' Baseline'!$C$9:$R$257,7,FALSE))</f>
        <v/>
      </c>
      <c r="I214" s="295" t="str">
        <f>IF(H214="","",VLOOKUP($B214,'C-1 On-Site WaterC'' Baseline'!$C$9:$R$257,8,FALSE))</f>
        <v/>
      </c>
      <c r="J214" s="295" t="str">
        <f>IF(I214="","",VLOOKUP($B214,'C-1 On-Site WaterC'' Baseline'!$C$9:$R$257,9,FALSE))</f>
        <v/>
      </c>
      <c r="K214" s="295" t="str">
        <f>IF(J214="","",VLOOKUP($B214,'C-1 On-Site WaterC'' Baseline'!$C$9:$R$257,10,FALSE))</f>
        <v/>
      </c>
      <c r="L214" s="295" t="str">
        <f>IF(B214="","",VLOOKUP($B214,'C-1 On-Site WaterC'' Baseline'!$C$9:$R$257,15,FALSE))</f>
        <v/>
      </c>
      <c r="M214" s="299" t="str">
        <f>IF(L214="","",VLOOKUP($B214,'C-1 On-Site WaterC'' Baseline'!$C$9:$R$257,16,FALSE))</f>
        <v/>
      </c>
      <c r="N214" s="245"/>
      <c r="O214" s="275" t="str">
        <f t="shared" si="31"/>
        <v/>
      </c>
      <c r="P214" s="276" t="str">
        <f t="shared" si="32"/>
        <v/>
      </c>
      <c r="Q214" s="336" t="str">
        <f>IF(N214="","",VLOOKUP(B214,'C-1 On-Site WaterC'' Baseline'!$C$10:$AC$257,20,FALSE))</f>
        <v/>
      </c>
      <c r="R214" s="275" t="str">
        <f>IF(N214="","",VLOOKUP(N214,'G-7 WaterC'' Data'!$B$2:$G$8,2,FALSE))</f>
        <v/>
      </c>
      <c r="S214" s="276" t="str">
        <f>IFERROR(VLOOKUP(R214,'G-7 WaterC'' Data'!$C$4:$D$8,2,FALSE),"")</f>
        <v/>
      </c>
      <c r="T214" s="101"/>
      <c r="U214" s="276" t="str">
        <f>IFERROR(INDEX('G-7 WaterC'' Data'!$H$4:$L$8,MATCH(N214,'G-7 WaterC'' Data'!$B$4:$B$8,0),MATCH(T214,'G-7 WaterC'' Data'!$H$3:$L$3,0)),"")</f>
        <v/>
      </c>
      <c r="V214" s="101"/>
      <c r="W214" s="283" t="str">
        <f>IF(V214="","",IF(VLOOKUP(V214,'G-7 WaterC'' Data'!$AK$4:$AM$6,2,FALSE)=0,"Spatial Data Missing ⚠",VLOOKUP(V214,'G-7 WaterC'' Data'!$AK$4:$AM$6,2,FALSE)))</f>
        <v/>
      </c>
      <c r="X214" s="276" t="str">
        <f>IF(V214="","",IF(VLOOKUP(V214,'G-7 WaterC'' Data'!$AK$4:$AM$6,3,FALSE)=0,"Spatial Data Missing ⚠",VLOOKUP(V214,'G-7 WaterC'' Data'!$AK$4:$AM$6,3,FALSE)))</f>
        <v/>
      </c>
      <c r="Y214" s="275" t="str">
        <f>IFERROR(IF(OR(LEFT(P214,5)="Error",LEFT(O214,5)="Error"),"Check Data ⚠",IF(F214&lt;S214,'G-7 WaterC'' Data'!$R$3,INDEX('G-7 WaterC'' Data'!$U$5:$Y$9,MATCH(G214,'G-7 WaterC'' Data'!$T$5:$T$9,0),MATCH(T214,'G-7 WaterC'' Data'!$U$4:$Y$4,0)))),"")</f>
        <v/>
      </c>
      <c r="Z214" s="133"/>
      <c r="AA214" s="133"/>
      <c r="AB214" s="283" t="str">
        <f t="shared" si="33"/>
        <v/>
      </c>
      <c r="AC214" s="296" t="str">
        <f t="shared" si="34"/>
        <v/>
      </c>
      <c r="AD214" s="334" t="str">
        <f>IFERROR(IF(AC214="Check Data ⚠","Check Data ⚠",VLOOKUP(AC214,'G-4 Temporal multipliers'!$A$4:$C$37,3,FALSE)),"")</f>
        <v/>
      </c>
      <c r="AE214" s="275" t="str">
        <f>IF(N214="","",VLOOKUP(N214,'G-7 WaterC'' Data'!$B$4:$G$8,5,FALSE))</f>
        <v/>
      </c>
      <c r="AF214" s="283" t="str">
        <f t="shared" si="35"/>
        <v/>
      </c>
      <c r="AG214" s="314" t="str">
        <f t="shared" si="36"/>
        <v/>
      </c>
      <c r="AH214" s="276" t="str">
        <f t="shared" si="30"/>
        <v/>
      </c>
      <c r="AI214" s="105"/>
      <c r="AJ214" s="276" t="str">
        <f>IF(AI214="","",IF(AND(AI214="N/A - Culvert",N214&lt;&gt;"Culvert"),"Not possible ▲",IF(VLOOKUP(AI214,'G-7 WaterC'' Data'!$AA$4:$AB$7,2,FALSE)=0,"Spatial Data Missing ⚠",VLOOKUP(AI214,'G-7 WaterC'' Data'!$AA$4:$AB$7,2,FALSE))))</f>
        <v/>
      </c>
      <c r="AK214" s="106"/>
      <c r="AL214" s="276" t="str">
        <f>IF(AK214="","",IF(AND(AK214="N/A - Culvert",N214&lt;&gt;"Culvert"),"Not possible ▲",IF(VLOOKUP(AK214,'G-7 WaterC'' Data'!$AD$4:$AE$14,2,FALSE)=0,"Spatial Data Missing ⚠",VLOOKUP(AK214,'G-7 WaterC'' Data'!$AD$4:$AE$14,2,FALSE))))</f>
        <v/>
      </c>
      <c r="AM214" s="317" t="str">
        <f t="shared" si="37"/>
        <v/>
      </c>
      <c r="AN214" s="101"/>
      <c r="AO214" s="115"/>
      <c r="AP214" s="104"/>
      <c r="AS214" s="30" t="str">
        <f>IF(B214="","",IF(ISNA(VLOOKUP($B214,'C-1 On-Site WaterC'' Baseline'!$C$8:$AD$257,17,FALSE)),"",(VLOOKUP($B214,'C-1 On-Site WaterC'' Baseline'!$C$8:$AD$257,17,FALSE))))</f>
        <v/>
      </c>
      <c r="AT214" s="30" t="str">
        <f>IF(B214="","",VLOOKUP($B214,'C-1 On-Site WaterC'' Baseline'!$C$9:$Z$257,12,FALSE))</f>
        <v/>
      </c>
      <c r="AU214" s="30" t="str">
        <f>IF(B214="","",VLOOKUP($B214,'C-1 On-Site WaterC'' Baseline'!$C$9:$Z$257,14,FALSE))</f>
        <v/>
      </c>
      <c r="AV214" s="30" t="str">
        <f>IFERROR(INDEX('G-7 WaterC'' Data'!$AZ$3:$AZ$7,MATCH(N214,'G-7 WaterC'' Data'!$AY$3:$AY$7,0)),"")</f>
        <v/>
      </c>
      <c r="AX214" s="30" t="str">
        <f>IF(B214="","",VLOOKUP($B214,'C-1 On-Site WaterC'' Baseline'!$C$9:$Y$257,22,FALSE))</f>
        <v/>
      </c>
      <c r="AY214" s="30" t="str">
        <f t="shared" si="38"/>
        <v/>
      </c>
      <c r="AZ214" s="30" t="str">
        <f>IF(B214="","",VLOOKUP($B214,'C-1 On-Site WaterC'' Baseline'!$C$9:$Y$257,21,FALSE))</f>
        <v/>
      </c>
      <c r="BA214" s="30" t="str">
        <f>IF(B214="","",VLOOKUP($B214,'C-1 On-Site WaterC'' Baseline'!$C$9:$Y$257,19,FALSE))</f>
        <v/>
      </c>
      <c r="BD214" s="30" t="str">
        <f t="shared" si="39"/>
        <v>No</v>
      </c>
    </row>
    <row r="215" spans="2:56" ht="14">
      <c r="B215" s="305" t="str">
        <f>'C-1 On-Site WaterC'' Baseline'!AP213</f>
        <v/>
      </c>
      <c r="C215" s="295" t="str">
        <f>IF(B215="","",VLOOKUP($B215,'C-1 On-Site WaterC'' Baseline'!$C$9:$R$257,2,FALSE))</f>
        <v/>
      </c>
      <c r="D215" s="295" t="str">
        <f>IF(C215="","",VLOOKUP($B215,'C-1 On-Site WaterC'' Baseline'!$C$9:$R$257,3,FALSE))</f>
        <v/>
      </c>
      <c r="E215" s="295" t="str">
        <f>IF(D215="","",VLOOKUP($B215,'C-1 On-Site WaterC'' Baseline'!$C$9:$R$257,4,FALSE))</f>
        <v/>
      </c>
      <c r="F215" s="295" t="str">
        <f>IF(E215="","",VLOOKUP($B215,'C-1 On-Site WaterC'' Baseline'!$C$9:$R$257,5,FALSE))</f>
        <v/>
      </c>
      <c r="G215" s="295" t="str">
        <f>IF(F215="","",VLOOKUP($B215,'C-1 On-Site WaterC'' Baseline'!$C$9:$R$257,6,FALSE))</f>
        <v/>
      </c>
      <c r="H215" s="295" t="str">
        <f>IF(G215="","",VLOOKUP($B215,'C-1 On-Site WaterC'' Baseline'!$C$9:$R$257,7,FALSE))</f>
        <v/>
      </c>
      <c r="I215" s="295" t="str">
        <f>IF(H215="","",VLOOKUP($B215,'C-1 On-Site WaterC'' Baseline'!$C$9:$R$257,8,FALSE))</f>
        <v/>
      </c>
      <c r="J215" s="295" t="str">
        <f>IF(I215="","",VLOOKUP($B215,'C-1 On-Site WaterC'' Baseline'!$C$9:$R$257,9,FALSE))</f>
        <v/>
      </c>
      <c r="K215" s="295" t="str">
        <f>IF(J215="","",VLOOKUP($B215,'C-1 On-Site WaterC'' Baseline'!$C$9:$R$257,10,FALSE))</f>
        <v/>
      </c>
      <c r="L215" s="295" t="str">
        <f>IF(B215="","",VLOOKUP($B215,'C-1 On-Site WaterC'' Baseline'!$C$9:$R$257,15,FALSE))</f>
        <v/>
      </c>
      <c r="M215" s="299" t="str">
        <f>IF(L215="","",VLOOKUP($B215,'C-1 On-Site WaterC'' Baseline'!$C$9:$R$257,16,FALSE))</f>
        <v/>
      </c>
      <c r="N215" s="245"/>
      <c r="O215" s="275" t="str">
        <f t="shared" si="31"/>
        <v/>
      </c>
      <c r="P215" s="276" t="str">
        <f t="shared" si="32"/>
        <v/>
      </c>
      <c r="Q215" s="336" t="str">
        <f>IF(N215="","",VLOOKUP(B215,'C-1 On-Site WaterC'' Baseline'!$C$10:$AC$257,20,FALSE))</f>
        <v/>
      </c>
      <c r="R215" s="275" t="str">
        <f>IF(N215="","",VLOOKUP(N215,'G-7 WaterC'' Data'!$B$2:$G$8,2,FALSE))</f>
        <v/>
      </c>
      <c r="S215" s="276" t="str">
        <f>IFERROR(VLOOKUP(R215,'G-7 WaterC'' Data'!$C$4:$D$8,2,FALSE),"")</f>
        <v/>
      </c>
      <c r="T215" s="101"/>
      <c r="U215" s="276" t="str">
        <f>IFERROR(INDEX('G-7 WaterC'' Data'!$H$4:$L$8,MATCH(N215,'G-7 WaterC'' Data'!$B$4:$B$8,0),MATCH(T215,'G-7 WaterC'' Data'!$H$3:$L$3,0)),"")</f>
        <v/>
      </c>
      <c r="V215" s="101"/>
      <c r="W215" s="283" t="str">
        <f>IF(V215="","",IF(VLOOKUP(V215,'G-7 WaterC'' Data'!$AK$4:$AM$6,2,FALSE)=0,"Spatial Data Missing ⚠",VLOOKUP(V215,'G-7 WaterC'' Data'!$AK$4:$AM$6,2,FALSE)))</f>
        <v/>
      </c>
      <c r="X215" s="276" t="str">
        <f>IF(V215="","",IF(VLOOKUP(V215,'G-7 WaterC'' Data'!$AK$4:$AM$6,3,FALSE)=0,"Spatial Data Missing ⚠",VLOOKUP(V215,'G-7 WaterC'' Data'!$AK$4:$AM$6,3,FALSE)))</f>
        <v/>
      </c>
      <c r="Y215" s="275" t="str">
        <f>IFERROR(IF(OR(LEFT(P215,5)="Error",LEFT(O215,5)="Error"),"Check Data ⚠",IF(F215&lt;S215,'G-7 WaterC'' Data'!$R$3,INDEX('G-7 WaterC'' Data'!$U$5:$Y$9,MATCH(G215,'G-7 WaterC'' Data'!$T$5:$T$9,0),MATCH(T215,'G-7 WaterC'' Data'!$U$4:$Y$4,0)))),"")</f>
        <v/>
      </c>
      <c r="Z215" s="133"/>
      <c r="AA215" s="133"/>
      <c r="AB215" s="283" t="str">
        <f t="shared" si="33"/>
        <v/>
      </c>
      <c r="AC215" s="296" t="str">
        <f t="shared" si="34"/>
        <v/>
      </c>
      <c r="AD215" s="334" t="str">
        <f>IFERROR(IF(AC215="Check Data ⚠","Check Data ⚠",VLOOKUP(AC215,'G-4 Temporal multipliers'!$A$4:$C$37,3,FALSE)),"")</f>
        <v/>
      </c>
      <c r="AE215" s="275" t="str">
        <f>IF(N215="","",VLOOKUP(N215,'G-7 WaterC'' Data'!$B$4:$G$8,5,FALSE))</f>
        <v/>
      </c>
      <c r="AF215" s="283" t="str">
        <f t="shared" si="35"/>
        <v/>
      </c>
      <c r="AG215" s="314" t="str">
        <f t="shared" si="36"/>
        <v/>
      </c>
      <c r="AH215" s="276" t="str">
        <f t="shared" si="30"/>
        <v/>
      </c>
      <c r="AI215" s="105"/>
      <c r="AJ215" s="276" t="str">
        <f>IF(AI215="","",IF(AND(AI215="N/A - Culvert",N215&lt;&gt;"Culvert"),"Not possible ▲",IF(VLOOKUP(AI215,'G-7 WaterC'' Data'!$AA$4:$AB$7,2,FALSE)=0,"Spatial Data Missing ⚠",VLOOKUP(AI215,'G-7 WaterC'' Data'!$AA$4:$AB$7,2,FALSE))))</f>
        <v/>
      </c>
      <c r="AK215" s="106"/>
      <c r="AL215" s="276" t="str">
        <f>IF(AK215="","",IF(AND(AK215="N/A - Culvert",N215&lt;&gt;"Culvert"),"Not possible ▲",IF(VLOOKUP(AK215,'G-7 WaterC'' Data'!$AD$4:$AE$14,2,FALSE)=0,"Spatial Data Missing ⚠",VLOOKUP(AK215,'G-7 WaterC'' Data'!$AD$4:$AE$14,2,FALSE))))</f>
        <v/>
      </c>
      <c r="AM215" s="317" t="str">
        <f t="shared" si="37"/>
        <v/>
      </c>
      <c r="AN215" s="101"/>
      <c r="AO215" s="115"/>
      <c r="AP215" s="104"/>
      <c r="AS215" s="30" t="str">
        <f>IF(B215="","",IF(ISNA(VLOOKUP($B215,'C-1 On-Site WaterC'' Baseline'!$C$8:$AD$257,17,FALSE)),"",(VLOOKUP($B215,'C-1 On-Site WaterC'' Baseline'!$C$8:$AD$257,17,FALSE))))</f>
        <v/>
      </c>
      <c r="AT215" s="30" t="str">
        <f>IF(B215="","",VLOOKUP($B215,'C-1 On-Site WaterC'' Baseline'!$C$9:$Z$257,12,FALSE))</f>
        <v/>
      </c>
      <c r="AU215" s="30" t="str">
        <f>IF(B215="","",VLOOKUP($B215,'C-1 On-Site WaterC'' Baseline'!$C$9:$Z$257,14,FALSE))</f>
        <v/>
      </c>
      <c r="AV215" s="30" t="str">
        <f>IFERROR(INDEX('G-7 WaterC'' Data'!$AZ$3:$AZ$7,MATCH(N215,'G-7 WaterC'' Data'!$AY$3:$AY$7,0)),"")</f>
        <v/>
      </c>
      <c r="AX215" s="30" t="str">
        <f>IF(B215="","",VLOOKUP($B215,'C-1 On-Site WaterC'' Baseline'!$C$9:$Y$257,22,FALSE))</f>
        <v/>
      </c>
      <c r="AY215" s="30" t="str">
        <f t="shared" si="38"/>
        <v/>
      </c>
      <c r="AZ215" s="30" t="str">
        <f>IF(B215="","",VLOOKUP($B215,'C-1 On-Site WaterC'' Baseline'!$C$9:$Y$257,21,FALSE))</f>
        <v/>
      </c>
      <c r="BA215" s="30" t="str">
        <f>IF(B215="","",VLOOKUP($B215,'C-1 On-Site WaterC'' Baseline'!$C$9:$Y$257,19,FALSE))</f>
        <v/>
      </c>
      <c r="BD215" s="30" t="str">
        <f t="shared" si="39"/>
        <v>No</v>
      </c>
    </row>
    <row r="216" spans="2:56" ht="14">
      <c r="B216" s="305" t="str">
        <f>'C-1 On-Site WaterC'' Baseline'!AP214</f>
        <v/>
      </c>
      <c r="C216" s="295" t="str">
        <f>IF(B216="","",VLOOKUP($B216,'C-1 On-Site WaterC'' Baseline'!$C$9:$R$257,2,FALSE))</f>
        <v/>
      </c>
      <c r="D216" s="295" t="str">
        <f>IF(C216="","",VLOOKUP($B216,'C-1 On-Site WaterC'' Baseline'!$C$9:$R$257,3,FALSE))</f>
        <v/>
      </c>
      <c r="E216" s="295" t="str">
        <f>IF(D216="","",VLOOKUP($B216,'C-1 On-Site WaterC'' Baseline'!$C$9:$R$257,4,FALSE))</f>
        <v/>
      </c>
      <c r="F216" s="295" t="str">
        <f>IF(E216="","",VLOOKUP($B216,'C-1 On-Site WaterC'' Baseline'!$C$9:$R$257,5,FALSE))</f>
        <v/>
      </c>
      <c r="G216" s="295" t="str">
        <f>IF(F216="","",VLOOKUP($B216,'C-1 On-Site WaterC'' Baseline'!$C$9:$R$257,6,FALSE))</f>
        <v/>
      </c>
      <c r="H216" s="295" t="str">
        <f>IF(G216="","",VLOOKUP($B216,'C-1 On-Site WaterC'' Baseline'!$C$9:$R$257,7,FALSE))</f>
        <v/>
      </c>
      <c r="I216" s="295" t="str">
        <f>IF(H216="","",VLOOKUP($B216,'C-1 On-Site WaterC'' Baseline'!$C$9:$R$257,8,FALSE))</f>
        <v/>
      </c>
      <c r="J216" s="295" t="str">
        <f>IF(I216="","",VLOOKUP($B216,'C-1 On-Site WaterC'' Baseline'!$C$9:$R$257,9,FALSE))</f>
        <v/>
      </c>
      <c r="K216" s="295" t="str">
        <f>IF(J216="","",VLOOKUP($B216,'C-1 On-Site WaterC'' Baseline'!$C$9:$R$257,10,FALSE))</f>
        <v/>
      </c>
      <c r="L216" s="295" t="str">
        <f>IF(B216="","",VLOOKUP($B216,'C-1 On-Site WaterC'' Baseline'!$C$9:$R$257,15,FALSE))</f>
        <v/>
      </c>
      <c r="M216" s="299" t="str">
        <f>IF(L216="","",VLOOKUP($B216,'C-1 On-Site WaterC'' Baseline'!$C$9:$R$257,16,FALSE))</f>
        <v/>
      </c>
      <c r="N216" s="245"/>
      <c r="O216" s="275" t="str">
        <f t="shared" si="31"/>
        <v/>
      </c>
      <c r="P216" s="276" t="str">
        <f t="shared" si="32"/>
        <v/>
      </c>
      <c r="Q216" s="336" t="str">
        <f>IF(N216="","",VLOOKUP(B216,'C-1 On-Site WaterC'' Baseline'!$C$10:$AC$257,20,FALSE))</f>
        <v/>
      </c>
      <c r="R216" s="275" t="str">
        <f>IF(N216="","",VLOOKUP(N216,'G-7 WaterC'' Data'!$B$2:$G$8,2,FALSE))</f>
        <v/>
      </c>
      <c r="S216" s="276" t="str">
        <f>IFERROR(VLOOKUP(R216,'G-7 WaterC'' Data'!$C$4:$D$8,2,FALSE),"")</f>
        <v/>
      </c>
      <c r="T216" s="101"/>
      <c r="U216" s="276" t="str">
        <f>IFERROR(INDEX('G-7 WaterC'' Data'!$H$4:$L$8,MATCH(N216,'G-7 WaterC'' Data'!$B$4:$B$8,0),MATCH(T216,'G-7 WaterC'' Data'!$H$3:$L$3,0)),"")</f>
        <v/>
      </c>
      <c r="V216" s="101"/>
      <c r="W216" s="283" t="str">
        <f>IF(V216="","",IF(VLOOKUP(V216,'G-7 WaterC'' Data'!$AK$4:$AM$6,2,FALSE)=0,"Spatial Data Missing ⚠",VLOOKUP(V216,'G-7 WaterC'' Data'!$AK$4:$AM$6,2,FALSE)))</f>
        <v/>
      </c>
      <c r="X216" s="276" t="str">
        <f>IF(V216="","",IF(VLOOKUP(V216,'G-7 WaterC'' Data'!$AK$4:$AM$6,3,FALSE)=0,"Spatial Data Missing ⚠",VLOOKUP(V216,'G-7 WaterC'' Data'!$AK$4:$AM$6,3,FALSE)))</f>
        <v/>
      </c>
      <c r="Y216" s="275" t="str">
        <f>IFERROR(IF(OR(LEFT(P216,5)="Error",LEFT(O216,5)="Error"),"Check Data ⚠",IF(F216&lt;S216,'G-7 WaterC'' Data'!$R$3,INDEX('G-7 WaterC'' Data'!$U$5:$Y$9,MATCH(G216,'G-7 WaterC'' Data'!$T$5:$T$9,0),MATCH(T216,'G-7 WaterC'' Data'!$U$4:$Y$4,0)))),"")</f>
        <v/>
      </c>
      <c r="Z216" s="133"/>
      <c r="AA216" s="133"/>
      <c r="AB216" s="283" t="str">
        <f t="shared" si="33"/>
        <v/>
      </c>
      <c r="AC216" s="296" t="str">
        <f t="shared" si="34"/>
        <v/>
      </c>
      <c r="AD216" s="334" t="str">
        <f>IFERROR(IF(AC216="Check Data ⚠","Check Data ⚠",VLOOKUP(AC216,'G-4 Temporal multipliers'!$A$4:$C$37,3,FALSE)),"")</f>
        <v/>
      </c>
      <c r="AE216" s="275" t="str">
        <f>IF(N216="","",VLOOKUP(N216,'G-7 WaterC'' Data'!$B$4:$G$8,5,FALSE))</f>
        <v/>
      </c>
      <c r="AF216" s="283" t="str">
        <f t="shared" si="35"/>
        <v/>
      </c>
      <c r="AG216" s="314" t="str">
        <f t="shared" si="36"/>
        <v/>
      </c>
      <c r="AH216" s="276" t="str">
        <f t="shared" si="30"/>
        <v/>
      </c>
      <c r="AI216" s="105"/>
      <c r="AJ216" s="276" t="str">
        <f>IF(AI216="","",IF(AND(AI216="N/A - Culvert",N216&lt;&gt;"Culvert"),"Not possible ▲",IF(VLOOKUP(AI216,'G-7 WaterC'' Data'!$AA$4:$AB$7,2,FALSE)=0,"Spatial Data Missing ⚠",VLOOKUP(AI216,'G-7 WaterC'' Data'!$AA$4:$AB$7,2,FALSE))))</f>
        <v/>
      </c>
      <c r="AK216" s="106"/>
      <c r="AL216" s="276" t="str">
        <f>IF(AK216="","",IF(AND(AK216="N/A - Culvert",N216&lt;&gt;"Culvert"),"Not possible ▲",IF(VLOOKUP(AK216,'G-7 WaterC'' Data'!$AD$4:$AE$14,2,FALSE)=0,"Spatial Data Missing ⚠",VLOOKUP(AK216,'G-7 WaterC'' Data'!$AD$4:$AE$14,2,FALSE))))</f>
        <v/>
      </c>
      <c r="AM216" s="317" t="str">
        <f t="shared" si="37"/>
        <v/>
      </c>
      <c r="AN216" s="101"/>
      <c r="AO216" s="115"/>
      <c r="AP216" s="104"/>
      <c r="AS216" s="30" t="str">
        <f>IF(B216="","",IF(ISNA(VLOOKUP($B216,'C-1 On-Site WaterC'' Baseline'!$C$8:$AD$257,17,FALSE)),"",(VLOOKUP($B216,'C-1 On-Site WaterC'' Baseline'!$C$8:$AD$257,17,FALSE))))</f>
        <v/>
      </c>
      <c r="AT216" s="30" t="str">
        <f>IF(B216="","",VLOOKUP($B216,'C-1 On-Site WaterC'' Baseline'!$C$9:$Z$257,12,FALSE))</f>
        <v/>
      </c>
      <c r="AU216" s="30" t="str">
        <f>IF(B216="","",VLOOKUP($B216,'C-1 On-Site WaterC'' Baseline'!$C$9:$Z$257,14,FALSE))</f>
        <v/>
      </c>
      <c r="AV216" s="30" t="str">
        <f>IFERROR(INDEX('G-7 WaterC'' Data'!$AZ$3:$AZ$7,MATCH(N216,'G-7 WaterC'' Data'!$AY$3:$AY$7,0)),"")</f>
        <v/>
      </c>
      <c r="AX216" s="30" t="str">
        <f>IF(B216="","",VLOOKUP($B216,'C-1 On-Site WaterC'' Baseline'!$C$9:$Y$257,22,FALSE))</f>
        <v/>
      </c>
      <c r="AY216" s="30" t="str">
        <f t="shared" si="38"/>
        <v/>
      </c>
      <c r="AZ216" s="30" t="str">
        <f>IF(B216="","",VLOOKUP($B216,'C-1 On-Site WaterC'' Baseline'!$C$9:$Y$257,21,FALSE))</f>
        <v/>
      </c>
      <c r="BA216" s="30" t="str">
        <f>IF(B216="","",VLOOKUP($B216,'C-1 On-Site WaterC'' Baseline'!$C$9:$Y$257,19,FALSE))</f>
        <v/>
      </c>
      <c r="BD216" s="30" t="str">
        <f t="shared" si="39"/>
        <v>No</v>
      </c>
    </row>
    <row r="217" spans="2:56" ht="14">
      <c r="B217" s="305" t="str">
        <f>'C-1 On-Site WaterC'' Baseline'!AP215</f>
        <v/>
      </c>
      <c r="C217" s="295" t="str">
        <f>IF(B217="","",VLOOKUP($B217,'C-1 On-Site WaterC'' Baseline'!$C$9:$R$257,2,FALSE))</f>
        <v/>
      </c>
      <c r="D217" s="295" t="str">
        <f>IF(C217="","",VLOOKUP($B217,'C-1 On-Site WaterC'' Baseline'!$C$9:$R$257,3,FALSE))</f>
        <v/>
      </c>
      <c r="E217" s="295" t="str">
        <f>IF(D217="","",VLOOKUP($B217,'C-1 On-Site WaterC'' Baseline'!$C$9:$R$257,4,FALSE))</f>
        <v/>
      </c>
      <c r="F217" s="295" t="str">
        <f>IF(E217="","",VLOOKUP($B217,'C-1 On-Site WaterC'' Baseline'!$C$9:$R$257,5,FALSE))</f>
        <v/>
      </c>
      <c r="G217" s="295" t="str">
        <f>IF(F217="","",VLOOKUP($B217,'C-1 On-Site WaterC'' Baseline'!$C$9:$R$257,6,FALSE))</f>
        <v/>
      </c>
      <c r="H217" s="295" t="str">
        <f>IF(G217="","",VLOOKUP($B217,'C-1 On-Site WaterC'' Baseline'!$C$9:$R$257,7,FALSE))</f>
        <v/>
      </c>
      <c r="I217" s="295" t="str">
        <f>IF(H217="","",VLOOKUP($B217,'C-1 On-Site WaterC'' Baseline'!$C$9:$R$257,8,FALSE))</f>
        <v/>
      </c>
      <c r="J217" s="295" t="str">
        <f>IF(I217="","",VLOOKUP($B217,'C-1 On-Site WaterC'' Baseline'!$C$9:$R$257,9,FALSE))</f>
        <v/>
      </c>
      <c r="K217" s="295" t="str">
        <f>IF(J217="","",VLOOKUP($B217,'C-1 On-Site WaterC'' Baseline'!$C$9:$R$257,10,FALSE))</f>
        <v/>
      </c>
      <c r="L217" s="295" t="str">
        <f>IF(B217="","",VLOOKUP($B217,'C-1 On-Site WaterC'' Baseline'!$C$9:$R$257,15,FALSE))</f>
        <v/>
      </c>
      <c r="M217" s="299" t="str">
        <f>IF(L217="","",VLOOKUP($B217,'C-1 On-Site WaterC'' Baseline'!$C$9:$R$257,16,FALSE))</f>
        <v/>
      </c>
      <c r="N217" s="245"/>
      <c r="O217" s="275" t="str">
        <f t="shared" si="31"/>
        <v/>
      </c>
      <c r="P217" s="276" t="str">
        <f t="shared" si="32"/>
        <v/>
      </c>
      <c r="Q217" s="336" t="str">
        <f>IF(N217="","",VLOOKUP(B217,'C-1 On-Site WaterC'' Baseline'!$C$10:$AC$257,20,FALSE))</f>
        <v/>
      </c>
      <c r="R217" s="275" t="str">
        <f>IF(N217="","",VLOOKUP(N217,'G-7 WaterC'' Data'!$B$2:$G$8,2,FALSE))</f>
        <v/>
      </c>
      <c r="S217" s="276" t="str">
        <f>IFERROR(VLOOKUP(R217,'G-7 WaterC'' Data'!$C$4:$D$8,2,FALSE),"")</f>
        <v/>
      </c>
      <c r="T217" s="101"/>
      <c r="U217" s="276" t="str">
        <f>IFERROR(INDEX('G-7 WaterC'' Data'!$H$4:$L$8,MATCH(N217,'G-7 WaterC'' Data'!$B$4:$B$8,0),MATCH(T217,'G-7 WaterC'' Data'!$H$3:$L$3,0)),"")</f>
        <v/>
      </c>
      <c r="V217" s="101"/>
      <c r="W217" s="283" t="str">
        <f>IF(V217="","",IF(VLOOKUP(V217,'G-7 WaterC'' Data'!$AK$4:$AM$6,2,FALSE)=0,"Spatial Data Missing ⚠",VLOOKUP(V217,'G-7 WaterC'' Data'!$AK$4:$AM$6,2,FALSE)))</f>
        <v/>
      </c>
      <c r="X217" s="276" t="str">
        <f>IF(V217="","",IF(VLOOKUP(V217,'G-7 WaterC'' Data'!$AK$4:$AM$6,3,FALSE)=0,"Spatial Data Missing ⚠",VLOOKUP(V217,'G-7 WaterC'' Data'!$AK$4:$AM$6,3,FALSE)))</f>
        <v/>
      </c>
      <c r="Y217" s="275" t="str">
        <f>IFERROR(IF(OR(LEFT(P217,5)="Error",LEFT(O217,5)="Error"),"Check Data ⚠",IF(F217&lt;S217,'G-7 WaterC'' Data'!$R$3,INDEX('G-7 WaterC'' Data'!$U$5:$Y$9,MATCH(G217,'G-7 WaterC'' Data'!$T$5:$T$9,0),MATCH(T217,'G-7 WaterC'' Data'!$U$4:$Y$4,0)))),"")</f>
        <v/>
      </c>
      <c r="Z217" s="133"/>
      <c r="AA217" s="133"/>
      <c r="AB217" s="283" t="str">
        <f t="shared" si="33"/>
        <v/>
      </c>
      <c r="AC217" s="296" t="str">
        <f t="shared" si="34"/>
        <v/>
      </c>
      <c r="AD217" s="334" t="str">
        <f>IFERROR(IF(AC217="Check Data ⚠","Check Data ⚠",VLOOKUP(AC217,'G-4 Temporal multipliers'!$A$4:$C$37,3,FALSE)),"")</f>
        <v/>
      </c>
      <c r="AE217" s="275" t="str">
        <f>IF(N217="","",VLOOKUP(N217,'G-7 WaterC'' Data'!$B$4:$G$8,5,FALSE))</f>
        <v/>
      </c>
      <c r="AF217" s="283" t="str">
        <f t="shared" si="35"/>
        <v/>
      </c>
      <c r="AG217" s="314" t="str">
        <f t="shared" si="36"/>
        <v/>
      </c>
      <c r="AH217" s="276" t="str">
        <f t="shared" si="30"/>
        <v/>
      </c>
      <c r="AI217" s="105"/>
      <c r="AJ217" s="276" t="str">
        <f>IF(AI217="","",IF(AND(AI217="N/A - Culvert",N217&lt;&gt;"Culvert"),"Not possible ▲",IF(VLOOKUP(AI217,'G-7 WaterC'' Data'!$AA$4:$AB$7,2,FALSE)=0,"Spatial Data Missing ⚠",VLOOKUP(AI217,'G-7 WaterC'' Data'!$AA$4:$AB$7,2,FALSE))))</f>
        <v/>
      </c>
      <c r="AK217" s="106"/>
      <c r="AL217" s="276" t="str">
        <f>IF(AK217="","",IF(AND(AK217="N/A - Culvert",N217&lt;&gt;"Culvert"),"Not possible ▲",IF(VLOOKUP(AK217,'G-7 WaterC'' Data'!$AD$4:$AE$14,2,FALSE)=0,"Spatial Data Missing ⚠",VLOOKUP(AK217,'G-7 WaterC'' Data'!$AD$4:$AE$14,2,FALSE))))</f>
        <v/>
      </c>
      <c r="AM217" s="317" t="str">
        <f t="shared" si="37"/>
        <v/>
      </c>
      <c r="AN217" s="101"/>
      <c r="AO217" s="115"/>
      <c r="AP217" s="104"/>
      <c r="AS217" s="30" t="str">
        <f>IF(B217="","",IF(ISNA(VLOOKUP($B217,'C-1 On-Site WaterC'' Baseline'!$C$8:$AD$257,17,FALSE)),"",(VLOOKUP($B217,'C-1 On-Site WaterC'' Baseline'!$C$8:$AD$257,17,FALSE))))</f>
        <v/>
      </c>
      <c r="AT217" s="30" t="str">
        <f>IF(B217="","",VLOOKUP($B217,'C-1 On-Site WaterC'' Baseline'!$C$9:$Z$257,12,FALSE))</f>
        <v/>
      </c>
      <c r="AU217" s="30" t="str">
        <f>IF(B217="","",VLOOKUP($B217,'C-1 On-Site WaterC'' Baseline'!$C$9:$Z$257,14,FALSE))</f>
        <v/>
      </c>
      <c r="AV217" s="30" t="str">
        <f>IFERROR(INDEX('G-7 WaterC'' Data'!$AZ$3:$AZ$7,MATCH(N217,'G-7 WaterC'' Data'!$AY$3:$AY$7,0)),"")</f>
        <v/>
      </c>
      <c r="AX217" s="30" t="str">
        <f>IF(B217="","",VLOOKUP($B217,'C-1 On-Site WaterC'' Baseline'!$C$9:$Y$257,22,FALSE))</f>
        <v/>
      </c>
      <c r="AY217" s="30" t="str">
        <f t="shared" si="38"/>
        <v/>
      </c>
      <c r="AZ217" s="30" t="str">
        <f>IF(B217="","",VLOOKUP($B217,'C-1 On-Site WaterC'' Baseline'!$C$9:$Y$257,21,FALSE))</f>
        <v/>
      </c>
      <c r="BA217" s="30" t="str">
        <f>IF(B217="","",VLOOKUP($B217,'C-1 On-Site WaterC'' Baseline'!$C$9:$Y$257,19,FALSE))</f>
        <v/>
      </c>
      <c r="BD217" s="30" t="str">
        <f t="shared" si="39"/>
        <v>No</v>
      </c>
    </row>
    <row r="218" spans="2:56" ht="14">
      <c r="B218" s="305" t="str">
        <f>'C-1 On-Site WaterC'' Baseline'!AP216</f>
        <v/>
      </c>
      <c r="C218" s="295" t="str">
        <f>IF(B218="","",VLOOKUP($B218,'C-1 On-Site WaterC'' Baseline'!$C$9:$R$257,2,FALSE))</f>
        <v/>
      </c>
      <c r="D218" s="295" t="str">
        <f>IF(C218="","",VLOOKUP($B218,'C-1 On-Site WaterC'' Baseline'!$C$9:$R$257,3,FALSE))</f>
        <v/>
      </c>
      <c r="E218" s="295" t="str">
        <f>IF(D218="","",VLOOKUP($B218,'C-1 On-Site WaterC'' Baseline'!$C$9:$R$257,4,FALSE))</f>
        <v/>
      </c>
      <c r="F218" s="295" t="str">
        <f>IF(E218="","",VLOOKUP($B218,'C-1 On-Site WaterC'' Baseline'!$C$9:$R$257,5,FALSE))</f>
        <v/>
      </c>
      <c r="G218" s="295" t="str">
        <f>IF(F218="","",VLOOKUP($B218,'C-1 On-Site WaterC'' Baseline'!$C$9:$R$257,6,FALSE))</f>
        <v/>
      </c>
      <c r="H218" s="295" t="str">
        <f>IF(G218="","",VLOOKUP($B218,'C-1 On-Site WaterC'' Baseline'!$C$9:$R$257,7,FALSE))</f>
        <v/>
      </c>
      <c r="I218" s="295" t="str">
        <f>IF(H218="","",VLOOKUP($B218,'C-1 On-Site WaterC'' Baseline'!$C$9:$R$257,8,FALSE))</f>
        <v/>
      </c>
      <c r="J218" s="295" t="str">
        <f>IF(I218="","",VLOOKUP($B218,'C-1 On-Site WaterC'' Baseline'!$C$9:$R$257,9,FALSE))</f>
        <v/>
      </c>
      <c r="K218" s="295" t="str">
        <f>IF(J218="","",VLOOKUP($B218,'C-1 On-Site WaterC'' Baseline'!$C$9:$R$257,10,FALSE))</f>
        <v/>
      </c>
      <c r="L218" s="295" t="str">
        <f>IF(B218="","",VLOOKUP($B218,'C-1 On-Site WaterC'' Baseline'!$C$9:$R$257,15,FALSE))</f>
        <v/>
      </c>
      <c r="M218" s="299" t="str">
        <f>IF(L218="","",VLOOKUP($B218,'C-1 On-Site WaterC'' Baseline'!$C$9:$R$257,16,FALSE))</f>
        <v/>
      </c>
      <c r="N218" s="245"/>
      <c r="O218" s="275" t="str">
        <f t="shared" si="31"/>
        <v/>
      </c>
      <c r="P218" s="276" t="str">
        <f t="shared" si="32"/>
        <v/>
      </c>
      <c r="Q218" s="336" t="str">
        <f>IF(N218="","",VLOOKUP(B218,'C-1 On-Site WaterC'' Baseline'!$C$10:$AC$257,20,FALSE))</f>
        <v/>
      </c>
      <c r="R218" s="275" t="str">
        <f>IF(N218="","",VLOOKUP(N218,'G-7 WaterC'' Data'!$B$2:$G$8,2,FALSE))</f>
        <v/>
      </c>
      <c r="S218" s="276" t="str">
        <f>IFERROR(VLOOKUP(R218,'G-7 WaterC'' Data'!$C$4:$D$8,2,FALSE),"")</f>
        <v/>
      </c>
      <c r="T218" s="101"/>
      <c r="U218" s="276" t="str">
        <f>IFERROR(INDEX('G-7 WaterC'' Data'!$H$4:$L$8,MATCH(N218,'G-7 WaterC'' Data'!$B$4:$B$8,0),MATCH(T218,'G-7 WaterC'' Data'!$H$3:$L$3,0)),"")</f>
        <v/>
      </c>
      <c r="V218" s="101"/>
      <c r="W218" s="283" t="str">
        <f>IF(V218="","",IF(VLOOKUP(V218,'G-7 WaterC'' Data'!$AK$4:$AM$6,2,FALSE)=0,"Spatial Data Missing ⚠",VLOOKUP(V218,'G-7 WaterC'' Data'!$AK$4:$AM$6,2,FALSE)))</f>
        <v/>
      </c>
      <c r="X218" s="276" t="str">
        <f>IF(V218="","",IF(VLOOKUP(V218,'G-7 WaterC'' Data'!$AK$4:$AM$6,3,FALSE)=0,"Spatial Data Missing ⚠",VLOOKUP(V218,'G-7 WaterC'' Data'!$AK$4:$AM$6,3,FALSE)))</f>
        <v/>
      </c>
      <c r="Y218" s="275" t="str">
        <f>IFERROR(IF(OR(LEFT(P218,5)="Error",LEFT(O218,5)="Error"),"Check Data ⚠",IF(F218&lt;S218,'G-7 WaterC'' Data'!$R$3,INDEX('G-7 WaterC'' Data'!$U$5:$Y$9,MATCH(G218,'G-7 WaterC'' Data'!$T$5:$T$9,0),MATCH(T218,'G-7 WaterC'' Data'!$U$4:$Y$4,0)))),"")</f>
        <v/>
      </c>
      <c r="Z218" s="133"/>
      <c r="AA218" s="133"/>
      <c r="AB218" s="283" t="str">
        <f t="shared" si="33"/>
        <v/>
      </c>
      <c r="AC218" s="296" t="str">
        <f t="shared" si="34"/>
        <v/>
      </c>
      <c r="AD218" s="334" t="str">
        <f>IFERROR(IF(AC218="Check Data ⚠","Check Data ⚠",VLOOKUP(AC218,'G-4 Temporal multipliers'!$A$4:$C$37,3,FALSE)),"")</f>
        <v/>
      </c>
      <c r="AE218" s="275" t="str">
        <f>IF(N218="","",VLOOKUP(N218,'G-7 WaterC'' Data'!$B$4:$G$8,5,FALSE))</f>
        <v/>
      </c>
      <c r="AF218" s="283" t="str">
        <f t="shared" si="35"/>
        <v/>
      </c>
      <c r="AG218" s="314" t="str">
        <f t="shared" si="36"/>
        <v/>
      </c>
      <c r="AH218" s="276" t="str">
        <f t="shared" si="30"/>
        <v/>
      </c>
      <c r="AI218" s="105"/>
      <c r="AJ218" s="276" t="str">
        <f>IF(AI218="","",IF(AND(AI218="N/A - Culvert",N218&lt;&gt;"Culvert"),"Not possible ▲",IF(VLOOKUP(AI218,'G-7 WaterC'' Data'!$AA$4:$AB$7,2,FALSE)=0,"Spatial Data Missing ⚠",VLOOKUP(AI218,'G-7 WaterC'' Data'!$AA$4:$AB$7,2,FALSE))))</f>
        <v/>
      </c>
      <c r="AK218" s="106"/>
      <c r="AL218" s="276" t="str">
        <f>IF(AK218="","",IF(AND(AK218="N/A - Culvert",N218&lt;&gt;"Culvert"),"Not possible ▲",IF(VLOOKUP(AK218,'G-7 WaterC'' Data'!$AD$4:$AE$14,2,FALSE)=0,"Spatial Data Missing ⚠",VLOOKUP(AK218,'G-7 WaterC'' Data'!$AD$4:$AE$14,2,FALSE))))</f>
        <v/>
      </c>
      <c r="AM218" s="317" t="str">
        <f t="shared" si="37"/>
        <v/>
      </c>
      <c r="AN218" s="101"/>
      <c r="AO218" s="115"/>
      <c r="AP218" s="104"/>
      <c r="AS218" s="30" t="str">
        <f>IF(B218="","",IF(ISNA(VLOOKUP($B218,'C-1 On-Site WaterC'' Baseline'!$C$8:$AD$257,17,FALSE)),"",(VLOOKUP($B218,'C-1 On-Site WaterC'' Baseline'!$C$8:$AD$257,17,FALSE))))</f>
        <v/>
      </c>
      <c r="AT218" s="30" t="str">
        <f>IF(B218="","",VLOOKUP($B218,'C-1 On-Site WaterC'' Baseline'!$C$9:$Z$257,12,FALSE))</f>
        <v/>
      </c>
      <c r="AU218" s="30" t="str">
        <f>IF(B218="","",VLOOKUP($B218,'C-1 On-Site WaterC'' Baseline'!$C$9:$Z$257,14,FALSE))</f>
        <v/>
      </c>
      <c r="AV218" s="30" t="str">
        <f>IFERROR(INDEX('G-7 WaterC'' Data'!$AZ$3:$AZ$7,MATCH(N218,'G-7 WaterC'' Data'!$AY$3:$AY$7,0)),"")</f>
        <v/>
      </c>
      <c r="AX218" s="30" t="str">
        <f>IF(B218="","",VLOOKUP($B218,'C-1 On-Site WaterC'' Baseline'!$C$9:$Y$257,22,FALSE))</f>
        <v/>
      </c>
      <c r="AY218" s="30" t="str">
        <f t="shared" si="38"/>
        <v/>
      </c>
      <c r="AZ218" s="30" t="str">
        <f>IF(B218="","",VLOOKUP($B218,'C-1 On-Site WaterC'' Baseline'!$C$9:$Y$257,21,FALSE))</f>
        <v/>
      </c>
      <c r="BA218" s="30" t="str">
        <f>IF(B218="","",VLOOKUP($B218,'C-1 On-Site WaterC'' Baseline'!$C$9:$Y$257,19,FALSE))</f>
        <v/>
      </c>
      <c r="BD218" s="30" t="str">
        <f t="shared" si="39"/>
        <v>No</v>
      </c>
    </row>
    <row r="219" spans="2:56" ht="14">
      <c r="B219" s="305" t="str">
        <f>'C-1 On-Site WaterC'' Baseline'!AP217</f>
        <v/>
      </c>
      <c r="C219" s="295" t="str">
        <f>IF(B219="","",VLOOKUP($B219,'C-1 On-Site WaterC'' Baseline'!$C$9:$R$257,2,FALSE))</f>
        <v/>
      </c>
      <c r="D219" s="295" t="str">
        <f>IF(C219="","",VLOOKUP($B219,'C-1 On-Site WaterC'' Baseline'!$C$9:$R$257,3,FALSE))</f>
        <v/>
      </c>
      <c r="E219" s="295" t="str">
        <f>IF(D219="","",VLOOKUP($B219,'C-1 On-Site WaterC'' Baseline'!$C$9:$R$257,4,FALSE))</f>
        <v/>
      </c>
      <c r="F219" s="295" t="str">
        <f>IF(E219="","",VLOOKUP($B219,'C-1 On-Site WaterC'' Baseline'!$C$9:$R$257,5,FALSE))</f>
        <v/>
      </c>
      <c r="G219" s="295" t="str">
        <f>IF(F219="","",VLOOKUP($B219,'C-1 On-Site WaterC'' Baseline'!$C$9:$R$257,6,FALSE))</f>
        <v/>
      </c>
      <c r="H219" s="295" t="str">
        <f>IF(G219="","",VLOOKUP($B219,'C-1 On-Site WaterC'' Baseline'!$C$9:$R$257,7,FALSE))</f>
        <v/>
      </c>
      <c r="I219" s="295" t="str">
        <f>IF(H219="","",VLOOKUP($B219,'C-1 On-Site WaterC'' Baseline'!$C$9:$R$257,8,FALSE))</f>
        <v/>
      </c>
      <c r="J219" s="295" t="str">
        <f>IF(I219="","",VLOOKUP($B219,'C-1 On-Site WaterC'' Baseline'!$C$9:$R$257,9,FALSE))</f>
        <v/>
      </c>
      <c r="K219" s="295" t="str">
        <f>IF(J219="","",VLOOKUP($B219,'C-1 On-Site WaterC'' Baseline'!$C$9:$R$257,10,FALSE))</f>
        <v/>
      </c>
      <c r="L219" s="295" t="str">
        <f>IF(B219="","",VLOOKUP($B219,'C-1 On-Site WaterC'' Baseline'!$C$9:$R$257,15,FALSE))</f>
        <v/>
      </c>
      <c r="M219" s="299" t="str">
        <f>IF(L219="","",VLOOKUP($B219,'C-1 On-Site WaterC'' Baseline'!$C$9:$R$257,16,FALSE))</f>
        <v/>
      </c>
      <c r="N219" s="245"/>
      <c r="O219" s="275" t="str">
        <f t="shared" si="31"/>
        <v/>
      </c>
      <c r="P219" s="276" t="str">
        <f t="shared" si="32"/>
        <v/>
      </c>
      <c r="Q219" s="336" t="str">
        <f>IF(N219="","",VLOOKUP(B219,'C-1 On-Site WaterC'' Baseline'!$C$10:$AC$257,20,FALSE))</f>
        <v/>
      </c>
      <c r="R219" s="275" t="str">
        <f>IF(N219="","",VLOOKUP(N219,'G-7 WaterC'' Data'!$B$2:$G$8,2,FALSE))</f>
        <v/>
      </c>
      <c r="S219" s="276" t="str">
        <f>IFERROR(VLOOKUP(R219,'G-7 WaterC'' Data'!$C$4:$D$8,2,FALSE),"")</f>
        <v/>
      </c>
      <c r="T219" s="101"/>
      <c r="U219" s="276" t="str">
        <f>IFERROR(INDEX('G-7 WaterC'' Data'!$H$4:$L$8,MATCH(N219,'G-7 WaterC'' Data'!$B$4:$B$8,0),MATCH(T219,'G-7 WaterC'' Data'!$H$3:$L$3,0)),"")</f>
        <v/>
      </c>
      <c r="V219" s="101"/>
      <c r="W219" s="283" t="str">
        <f>IF(V219="","",IF(VLOOKUP(V219,'G-7 WaterC'' Data'!$AK$4:$AM$6,2,FALSE)=0,"Spatial Data Missing ⚠",VLOOKUP(V219,'G-7 WaterC'' Data'!$AK$4:$AM$6,2,FALSE)))</f>
        <v/>
      </c>
      <c r="X219" s="276" t="str">
        <f>IF(V219="","",IF(VLOOKUP(V219,'G-7 WaterC'' Data'!$AK$4:$AM$6,3,FALSE)=0,"Spatial Data Missing ⚠",VLOOKUP(V219,'G-7 WaterC'' Data'!$AK$4:$AM$6,3,FALSE)))</f>
        <v/>
      </c>
      <c r="Y219" s="275" t="str">
        <f>IFERROR(IF(OR(LEFT(P219,5)="Error",LEFT(O219,5)="Error"),"Check Data ⚠",IF(F219&lt;S219,'G-7 WaterC'' Data'!$R$3,INDEX('G-7 WaterC'' Data'!$U$5:$Y$9,MATCH(G219,'G-7 WaterC'' Data'!$T$5:$T$9,0),MATCH(T219,'G-7 WaterC'' Data'!$U$4:$Y$4,0)))),"")</f>
        <v/>
      </c>
      <c r="Z219" s="133"/>
      <c r="AA219" s="133"/>
      <c r="AB219" s="283" t="str">
        <f t="shared" si="33"/>
        <v/>
      </c>
      <c r="AC219" s="296" t="str">
        <f t="shared" si="34"/>
        <v/>
      </c>
      <c r="AD219" s="334" t="str">
        <f>IFERROR(IF(AC219="Check Data ⚠","Check Data ⚠",VLOOKUP(AC219,'G-4 Temporal multipliers'!$A$4:$C$37,3,FALSE)),"")</f>
        <v/>
      </c>
      <c r="AE219" s="275" t="str">
        <f>IF(N219="","",VLOOKUP(N219,'G-7 WaterC'' Data'!$B$4:$G$8,5,FALSE))</f>
        <v/>
      </c>
      <c r="AF219" s="283" t="str">
        <f t="shared" si="35"/>
        <v/>
      </c>
      <c r="AG219" s="314" t="str">
        <f t="shared" si="36"/>
        <v/>
      </c>
      <c r="AH219" s="276" t="str">
        <f t="shared" si="30"/>
        <v/>
      </c>
      <c r="AI219" s="105"/>
      <c r="AJ219" s="276" t="str">
        <f>IF(AI219="","",IF(AND(AI219="N/A - Culvert",N219&lt;&gt;"Culvert"),"Not possible ▲",IF(VLOOKUP(AI219,'G-7 WaterC'' Data'!$AA$4:$AB$7,2,FALSE)=0,"Spatial Data Missing ⚠",VLOOKUP(AI219,'G-7 WaterC'' Data'!$AA$4:$AB$7,2,FALSE))))</f>
        <v/>
      </c>
      <c r="AK219" s="106"/>
      <c r="AL219" s="276" t="str">
        <f>IF(AK219="","",IF(AND(AK219="N/A - Culvert",N219&lt;&gt;"Culvert"),"Not possible ▲",IF(VLOOKUP(AK219,'G-7 WaterC'' Data'!$AD$4:$AE$14,2,FALSE)=0,"Spatial Data Missing ⚠",VLOOKUP(AK219,'G-7 WaterC'' Data'!$AD$4:$AE$14,2,FALSE))))</f>
        <v/>
      </c>
      <c r="AM219" s="317" t="str">
        <f t="shared" si="37"/>
        <v/>
      </c>
      <c r="AN219" s="101"/>
      <c r="AO219" s="115"/>
      <c r="AP219" s="104"/>
      <c r="AS219" s="30" t="str">
        <f>IF(B219="","",IF(ISNA(VLOOKUP($B219,'C-1 On-Site WaterC'' Baseline'!$C$8:$AD$257,17,FALSE)),"",(VLOOKUP($B219,'C-1 On-Site WaterC'' Baseline'!$C$8:$AD$257,17,FALSE))))</f>
        <v/>
      </c>
      <c r="AT219" s="30" t="str">
        <f>IF(B219="","",VLOOKUP($B219,'C-1 On-Site WaterC'' Baseline'!$C$9:$Z$257,12,FALSE))</f>
        <v/>
      </c>
      <c r="AU219" s="30" t="str">
        <f>IF(B219="","",VLOOKUP($B219,'C-1 On-Site WaterC'' Baseline'!$C$9:$Z$257,14,FALSE))</f>
        <v/>
      </c>
      <c r="AV219" s="30" t="str">
        <f>IFERROR(INDEX('G-7 WaterC'' Data'!$AZ$3:$AZ$7,MATCH(N219,'G-7 WaterC'' Data'!$AY$3:$AY$7,0)),"")</f>
        <v/>
      </c>
      <c r="AX219" s="30" t="str">
        <f>IF(B219="","",VLOOKUP($B219,'C-1 On-Site WaterC'' Baseline'!$C$9:$Y$257,22,FALSE))</f>
        <v/>
      </c>
      <c r="AY219" s="30" t="str">
        <f t="shared" si="38"/>
        <v/>
      </c>
      <c r="AZ219" s="30" t="str">
        <f>IF(B219="","",VLOOKUP($B219,'C-1 On-Site WaterC'' Baseline'!$C$9:$Y$257,21,FALSE))</f>
        <v/>
      </c>
      <c r="BA219" s="30" t="str">
        <f>IF(B219="","",VLOOKUP($B219,'C-1 On-Site WaterC'' Baseline'!$C$9:$Y$257,19,FALSE))</f>
        <v/>
      </c>
      <c r="BD219" s="30" t="str">
        <f t="shared" si="39"/>
        <v>No</v>
      </c>
    </row>
    <row r="220" spans="2:56" ht="14">
      <c r="B220" s="305" t="str">
        <f>'C-1 On-Site WaterC'' Baseline'!AP218</f>
        <v/>
      </c>
      <c r="C220" s="295" t="str">
        <f>IF(B220="","",VLOOKUP($B220,'C-1 On-Site WaterC'' Baseline'!$C$9:$R$257,2,FALSE))</f>
        <v/>
      </c>
      <c r="D220" s="295" t="str">
        <f>IF(C220="","",VLOOKUP($B220,'C-1 On-Site WaterC'' Baseline'!$C$9:$R$257,3,FALSE))</f>
        <v/>
      </c>
      <c r="E220" s="295" t="str">
        <f>IF(D220="","",VLOOKUP($B220,'C-1 On-Site WaterC'' Baseline'!$C$9:$R$257,4,FALSE))</f>
        <v/>
      </c>
      <c r="F220" s="295" t="str">
        <f>IF(E220="","",VLOOKUP($B220,'C-1 On-Site WaterC'' Baseline'!$C$9:$R$257,5,FALSE))</f>
        <v/>
      </c>
      <c r="G220" s="295" t="str">
        <f>IF(F220="","",VLOOKUP($B220,'C-1 On-Site WaterC'' Baseline'!$C$9:$R$257,6,FALSE))</f>
        <v/>
      </c>
      <c r="H220" s="295" t="str">
        <f>IF(G220="","",VLOOKUP($B220,'C-1 On-Site WaterC'' Baseline'!$C$9:$R$257,7,FALSE))</f>
        <v/>
      </c>
      <c r="I220" s="295" t="str">
        <f>IF(H220="","",VLOOKUP($B220,'C-1 On-Site WaterC'' Baseline'!$C$9:$R$257,8,FALSE))</f>
        <v/>
      </c>
      <c r="J220" s="295" t="str">
        <f>IF(I220="","",VLOOKUP($B220,'C-1 On-Site WaterC'' Baseline'!$C$9:$R$257,9,FALSE))</f>
        <v/>
      </c>
      <c r="K220" s="295" t="str">
        <f>IF(J220="","",VLOOKUP($B220,'C-1 On-Site WaterC'' Baseline'!$C$9:$R$257,10,FALSE))</f>
        <v/>
      </c>
      <c r="L220" s="295" t="str">
        <f>IF(B220="","",VLOOKUP($B220,'C-1 On-Site WaterC'' Baseline'!$C$9:$R$257,15,FALSE))</f>
        <v/>
      </c>
      <c r="M220" s="299" t="str">
        <f>IF(L220="","",VLOOKUP($B220,'C-1 On-Site WaterC'' Baseline'!$C$9:$R$257,16,FALSE))</f>
        <v/>
      </c>
      <c r="N220" s="245"/>
      <c r="O220" s="275" t="str">
        <f t="shared" si="31"/>
        <v/>
      </c>
      <c r="P220" s="276" t="str">
        <f t="shared" si="32"/>
        <v/>
      </c>
      <c r="Q220" s="336" t="str">
        <f>IF(N220="","",VLOOKUP(B220,'C-1 On-Site WaterC'' Baseline'!$C$10:$AC$257,20,FALSE))</f>
        <v/>
      </c>
      <c r="R220" s="275" t="str">
        <f>IF(N220="","",VLOOKUP(N220,'G-7 WaterC'' Data'!$B$2:$G$8,2,FALSE))</f>
        <v/>
      </c>
      <c r="S220" s="276" t="str">
        <f>IFERROR(VLOOKUP(R220,'G-7 WaterC'' Data'!$C$4:$D$8,2,FALSE),"")</f>
        <v/>
      </c>
      <c r="T220" s="101"/>
      <c r="U220" s="276" t="str">
        <f>IFERROR(INDEX('G-7 WaterC'' Data'!$H$4:$L$8,MATCH(N220,'G-7 WaterC'' Data'!$B$4:$B$8,0),MATCH(T220,'G-7 WaterC'' Data'!$H$3:$L$3,0)),"")</f>
        <v/>
      </c>
      <c r="V220" s="101"/>
      <c r="W220" s="283" t="str">
        <f>IF(V220="","",IF(VLOOKUP(V220,'G-7 WaterC'' Data'!$AK$4:$AM$6,2,FALSE)=0,"Spatial Data Missing ⚠",VLOOKUP(V220,'G-7 WaterC'' Data'!$AK$4:$AM$6,2,FALSE)))</f>
        <v/>
      </c>
      <c r="X220" s="276" t="str">
        <f>IF(V220="","",IF(VLOOKUP(V220,'G-7 WaterC'' Data'!$AK$4:$AM$6,3,FALSE)=0,"Spatial Data Missing ⚠",VLOOKUP(V220,'G-7 WaterC'' Data'!$AK$4:$AM$6,3,FALSE)))</f>
        <v/>
      </c>
      <c r="Y220" s="275" t="str">
        <f>IFERROR(IF(OR(LEFT(P220,5)="Error",LEFT(O220,5)="Error"),"Check Data ⚠",IF(F220&lt;S220,'G-7 WaterC'' Data'!$R$3,INDEX('G-7 WaterC'' Data'!$U$5:$Y$9,MATCH(G220,'G-7 WaterC'' Data'!$T$5:$T$9,0),MATCH(T220,'G-7 WaterC'' Data'!$U$4:$Y$4,0)))),"")</f>
        <v/>
      </c>
      <c r="Z220" s="133"/>
      <c r="AA220" s="133"/>
      <c r="AB220" s="283" t="str">
        <f t="shared" si="33"/>
        <v/>
      </c>
      <c r="AC220" s="296" t="str">
        <f t="shared" si="34"/>
        <v/>
      </c>
      <c r="AD220" s="334" t="str">
        <f>IFERROR(IF(AC220="Check Data ⚠","Check Data ⚠",VLOOKUP(AC220,'G-4 Temporal multipliers'!$A$4:$C$37,3,FALSE)),"")</f>
        <v/>
      </c>
      <c r="AE220" s="275" t="str">
        <f>IF(N220="","",VLOOKUP(N220,'G-7 WaterC'' Data'!$B$4:$G$8,5,FALSE))</f>
        <v/>
      </c>
      <c r="AF220" s="283" t="str">
        <f t="shared" si="35"/>
        <v/>
      </c>
      <c r="AG220" s="314" t="str">
        <f t="shared" si="36"/>
        <v/>
      </c>
      <c r="AH220" s="276" t="str">
        <f t="shared" si="30"/>
        <v/>
      </c>
      <c r="AI220" s="105"/>
      <c r="AJ220" s="276" t="str">
        <f>IF(AI220="","",IF(AND(AI220="N/A - Culvert",N220&lt;&gt;"Culvert"),"Not possible ▲",IF(VLOOKUP(AI220,'G-7 WaterC'' Data'!$AA$4:$AB$7,2,FALSE)=0,"Spatial Data Missing ⚠",VLOOKUP(AI220,'G-7 WaterC'' Data'!$AA$4:$AB$7,2,FALSE))))</f>
        <v/>
      </c>
      <c r="AK220" s="106"/>
      <c r="AL220" s="276" t="str">
        <f>IF(AK220="","",IF(AND(AK220="N/A - Culvert",N220&lt;&gt;"Culvert"),"Not possible ▲",IF(VLOOKUP(AK220,'G-7 WaterC'' Data'!$AD$4:$AE$14,2,FALSE)=0,"Spatial Data Missing ⚠",VLOOKUP(AK220,'G-7 WaterC'' Data'!$AD$4:$AE$14,2,FALSE))))</f>
        <v/>
      </c>
      <c r="AM220" s="317" t="str">
        <f t="shared" si="37"/>
        <v/>
      </c>
      <c r="AN220" s="101"/>
      <c r="AO220" s="115"/>
      <c r="AP220" s="104"/>
      <c r="AS220" s="30" t="str">
        <f>IF(B220="","",IF(ISNA(VLOOKUP($B220,'C-1 On-Site WaterC'' Baseline'!$C$8:$AD$257,17,FALSE)),"",(VLOOKUP($B220,'C-1 On-Site WaterC'' Baseline'!$C$8:$AD$257,17,FALSE))))</f>
        <v/>
      </c>
      <c r="AT220" s="30" t="str">
        <f>IF(B220="","",VLOOKUP($B220,'C-1 On-Site WaterC'' Baseline'!$C$9:$Z$257,12,FALSE))</f>
        <v/>
      </c>
      <c r="AU220" s="30" t="str">
        <f>IF(B220="","",VLOOKUP($B220,'C-1 On-Site WaterC'' Baseline'!$C$9:$Z$257,14,FALSE))</f>
        <v/>
      </c>
      <c r="AV220" s="30" t="str">
        <f>IFERROR(INDEX('G-7 WaterC'' Data'!$AZ$3:$AZ$7,MATCH(N220,'G-7 WaterC'' Data'!$AY$3:$AY$7,0)),"")</f>
        <v/>
      </c>
      <c r="AX220" s="30" t="str">
        <f>IF(B220="","",VLOOKUP($B220,'C-1 On-Site WaterC'' Baseline'!$C$9:$Y$257,22,FALSE))</f>
        <v/>
      </c>
      <c r="AY220" s="30" t="str">
        <f t="shared" si="38"/>
        <v/>
      </c>
      <c r="AZ220" s="30" t="str">
        <f>IF(B220="","",VLOOKUP($B220,'C-1 On-Site WaterC'' Baseline'!$C$9:$Y$257,21,FALSE))</f>
        <v/>
      </c>
      <c r="BA220" s="30" t="str">
        <f>IF(B220="","",VLOOKUP($B220,'C-1 On-Site WaterC'' Baseline'!$C$9:$Y$257,19,FALSE))</f>
        <v/>
      </c>
      <c r="BD220" s="30" t="str">
        <f t="shared" si="39"/>
        <v>No</v>
      </c>
    </row>
    <row r="221" spans="2:56" ht="14">
      <c r="B221" s="305" t="str">
        <f>'C-1 On-Site WaterC'' Baseline'!AP219</f>
        <v/>
      </c>
      <c r="C221" s="295" t="str">
        <f>IF(B221="","",VLOOKUP($B221,'C-1 On-Site WaterC'' Baseline'!$C$9:$R$257,2,FALSE))</f>
        <v/>
      </c>
      <c r="D221" s="295" t="str">
        <f>IF(C221="","",VLOOKUP($B221,'C-1 On-Site WaterC'' Baseline'!$C$9:$R$257,3,FALSE))</f>
        <v/>
      </c>
      <c r="E221" s="295" t="str">
        <f>IF(D221="","",VLOOKUP($B221,'C-1 On-Site WaterC'' Baseline'!$C$9:$R$257,4,FALSE))</f>
        <v/>
      </c>
      <c r="F221" s="295" t="str">
        <f>IF(E221="","",VLOOKUP($B221,'C-1 On-Site WaterC'' Baseline'!$C$9:$R$257,5,FALSE))</f>
        <v/>
      </c>
      <c r="G221" s="295" t="str">
        <f>IF(F221="","",VLOOKUP($B221,'C-1 On-Site WaterC'' Baseline'!$C$9:$R$257,6,FALSE))</f>
        <v/>
      </c>
      <c r="H221" s="295" t="str">
        <f>IF(G221="","",VLOOKUP($B221,'C-1 On-Site WaterC'' Baseline'!$C$9:$R$257,7,FALSE))</f>
        <v/>
      </c>
      <c r="I221" s="295" t="str">
        <f>IF(H221="","",VLOOKUP($B221,'C-1 On-Site WaterC'' Baseline'!$C$9:$R$257,8,FALSE))</f>
        <v/>
      </c>
      <c r="J221" s="295" t="str">
        <f>IF(I221="","",VLOOKUP($B221,'C-1 On-Site WaterC'' Baseline'!$C$9:$R$257,9,FALSE))</f>
        <v/>
      </c>
      <c r="K221" s="295" t="str">
        <f>IF(J221="","",VLOOKUP($B221,'C-1 On-Site WaterC'' Baseline'!$C$9:$R$257,10,FALSE))</f>
        <v/>
      </c>
      <c r="L221" s="295" t="str">
        <f>IF(B221="","",VLOOKUP($B221,'C-1 On-Site WaterC'' Baseline'!$C$9:$R$257,15,FALSE))</f>
        <v/>
      </c>
      <c r="M221" s="299" t="str">
        <f>IF(L221="","",VLOOKUP($B221,'C-1 On-Site WaterC'' Baseline'!$C$9:$R$257,16,FALSE))</f>
        <v/>
      </c>
      <c r="N221" s="245"/>
      <c r="O221" s="275" t="str">
        <f t="shared" si="31"/>
        <v/>
      </c>
      <c r="P221" s="276" t="str">
        <f t="shared" si="32"/>
        <v/>
      </c>
      <c r="Q221" s="336" t="str">
        <f>IF(N221="","",VLOOKUP(B221,'C-1 On-Site WaterC'' Baseline'!$C$10:$AC$257,20,FALSE))</f>
        <v/>
      </c>
      <c r="R221" s="275" t="str">
        <f>IF(N221="","",VLOOKUP(N221,'G-7 WaterC'' Data'!$B$2:$G$8,2,FALSE))</f>
        <v/>
      </c>
      <c r="S221" s="276" t="str">
        <f>IFERROR(VLOOKUP(R221,'G-7 WaterC'' Data'!$C$4:$D$8,2,FALSE),"")</f>
        <v/>
      </c>
      <c r="T221" s="101"/>
      <c r="U221" s="276" t="str">
        <f>IFERROR(INDEX('G-7 WaterC'' Data'!$H$4:$L$8,MATCH(N221,'G-7 WaterC'' Data'!$B$4:$B$8,0),MATCH(T221,'G-7 WaterC'' Data'!$H$3:$L$3,0)),"")</f>
        <v/>
      </c>
      <c r="V221" s="101"/>
      <c r="W221" s="283" t="str">
        <f>IF(V221="","",IF(VLOOKUP(V221,'G-7 WaterC'' Data'!$AK$4:$AM$6,2,FALSE)=0,"Spatial Data Missing ⚠",VLOOKUP(V221,'G-7 WaterC'' Data'!$AK$4:$AM$6,2,FALSE)))</f>
        <v/>
      </c>
      <c r="X221" s="276" t="str">
        <f>IF(V221="","",IF(VLOOKUP(V221,'G-7 WaterC'' Data'!$AK$4:$AM$6,3,FALSE)=0,"Spatial Data Missing ⚠",VLOOKUP(V221,'G-7 WaterC'' Data'!$AK$4:$AM$6,3,FALSE)))</f>
        <v/>
      </c>
      <c r="Y221" s="275" t="str">
        <f>IFERROR(IF(OR(LEFT(P221,5)="Error",LEFT(O221,5)="Error"),"Check Data ⚠",IF(F221&lt;S221,'G-7 WaterC'' Data'!$R$3,INDEX('G-7 WaterC'' Data'!$U$5:$Y$9,MATCH(G221,'G-7 WaterC'' Data'!$T$5:$T$9,0),MATCH(T221,'G-7 WaterC'' Data'!$U$4:$Y$4,0)))),"")</f>
        <v/>
      </c>
      <c r="Z221" s="133"/>
      <c r="AA221" s="133"/>
      <c r="AB221" s="283" t="str">
        <f t="shared" si="33"/>
        <v/>
      </c>
      <c r="AC221" s="296" t="str">
        <f t="shared" si="34"/>
        <v/>
      </c>
      <c r="AD221" s="334" t="str">
        <f>IFERROR(IF(AC221="Check Data ⚠","Check Data ⚠",VLOOKUP(AC221,'G-4 Temporal multipliers'!$A$4:$C$37,3,FALSE)),"")</f>
        <v/>
      </c>
      <c r="AE221" s="275" t="str">
        <f>IF(N221="","",VLOOKUP(N221,'G-7 WaterC'' Data'!$B$4:$G$8,5,FALSE))</f>
        <v/>
      </c>
      <c r="AF221" s="283" t="str">
        <f t="shared" si="35"/>
        <v/>
      </c>
      <c r="AG221" s="314" t="str">
        <f t="shared" si="36"/>
        <v/>
      </c>
      <c r="AH221" s="276" t="str">
        <f t="shared" si="30"/>
        <v/>
      </c>
      <c r="AI221" s="105"/>
      <c r="AJ221" s="276" t="str">
        <f>IF(AI221="","",IF(AND(AI221="N/A - Culvert",N221&lt;&gt;"Culvert"),"Not possible ▲",IF(VLOOKUP(AI221,'G-7 WaterC'' Data'!$AA$4:$AB$7,2,FALSE)=0,"Spatial Data Missing ⚠",VLOOKUP(AI221,'G-7 WaterC'' Data'!$AA$4:$AB$7,2,FALSE))))</f>
        <v/>
      </c>
      <c r="AK221" s="106"/>
      <c r="AL221" s="276" t="str">
        <f>IF(AK221="","",IF(AND(AK221="N/A - Culvert",N221&lt;&gt;"Culvert"),"Not possible ▲",IF(VLOOKUP(AK221,'G-7 WaterC'' Data'!$AD$4:$AE$14,2,FALSE)=0,"Spatial Data Missing ⚠",VLOOKUP(AK221,'G-7 WaterC'' Data'!$AD$4:$AE$14,2,FALSE))))</f>
        <v/>
      </c>
      <c r="AM221" s="317" t="str">
        <f t="shared" si="37"/>
        <v/>
      </c>
      <c r="AN221" s="101"/>
      <c r="AO221" s="115"/>
      <c r="AP221" s="104"/>
      <c r="AS221" s="30" t="str">
        <f>IF(B221="","",IF(ISNA(VLOOKUP($B221,'C-1 On-Site WaterC'' Baseline'!$C$8:$AD$257,17,FALSE)),"",(VLOOKUP($B221,'C-1 On-Site WaterC'' Baseline'!$C$8:$AD$257,17,FALSE))))</f>
        <v/>
      </c>
      <c r="AT221" s="30" t="str">
        <f>IF(B221="","",VLOOKUP($B221,'C-1 On-Site WaterC'' Baseline'!$C$9:$Z$257,12,FALSE))</f>
        <v/>
      </c>
      <c r="AU221" s="30" t="str">
        <f>IF(B221="","",VLOOKUP($B221,'C-1 On-Site WaterC'' Baseline'!$C$9:$Z$257,14,FALSE))</f>
        <v/>
      </c>
      <c r="AV221" s="30" t="str">
        <f>IFERROR(INDEX('G-7 WaterC'' Data'!$AZ$3:$AZ$7,MATCH(N221,'G-7 WaterC'' Data'!$AY$3:$AY$7,0)),"")</f>
        <v/>
      </c>
      <c r="AX221" s="30" t="str">
        <f>IF(B221="","",VLOOKUP($B221,'C-1 On-Site WaterC'' Baseline'!$C$9:$Y$257,22,FALSE))</f>
        <v/>
      </c>
      <c r="AY221" s="30" t="str">
        <f t="shared" si="38"/>
        <v/>
      </c>
      <c r="AZ221" s="30" t="str">
        <f>IF(B221="","",VLOOKUP($B221,'C-1 On-Site WaterC'' Baseline'!$C$9:$Y$257,21,FALSE))</f>
        <v/>
      </c>
      <c r="BA221" s="30" t="str">
        <f>IF(B221="","",VLOOKUP($B221,'C-1 On-Site WaterC'' Baseline'!$C$9:$Y$257,19,FALSE))</f>
        <v/>
      </c>
      <c r="BD221" s="30" t="str">
        <f t="shared" si="39"/>
        <v>No</v>
      </c>
    </row>
    <row r="222" spans="2:56" ht="14">
      <c r="B222" s="305" t="str">
        <f>'C-1 On-Site WaterC'' Baseline'!AP220</f>
        <v/>
      </c>
      <c r="C222" s="295" t="str">
        <f>IF(B222="","",VLOOKUP($B222,'C-1 On-Site WaterC'' Baseline'!$C$9:$R$257,2,FALSE))</f>
        <v/>
      </c>
      <c r="D222" s="295" t="str">
        <f>IF(C222="","",VLOOKUP($B222,'C-1 On-Site WaterC'' Baseline'!$C$9:$R$257,3,FALSE))</f>
        <v/>
      </c>
      <c r="E222" s="295" t="str">
        <f>IF(D222="","",VLOOKUP($B222,'C-1 On-Site WaterC'' Baseline'!$C$9:$R$257,4,FALSE))</f>
        <v/>
      </c>
      <c r="F222" s="295" t="str">
        <f>IF(E222="","",VLOOKUP($B222,'C-1 On-Site WaterC'' Baseline'!$C$9:$R$257,5,FALSE))</f>
        <v/>
      </c>
      <c r="G222" s="295" t="str">
        <f>IF(F222="","",VLOOKUP($B222,'C-1 On-Site WaterC'' Baseline'!$C$9:$R$257,6,FALSE))</f>
        <v/>
      </c>
      <c r="H222" s="295" t="str">
        <f>IF(G222="","",VLOOKUP($B222,'C-1 On-Site WaterC'' Baseline'!$C$9:$R$257,7,FALSE))</f>
        <v/>
      </c>
      <c r="I222" s="295" t="str">
        <f>IF(H222="","",VLOOKUP($B222,'C-1 On-Site WaterC'' Baseline'!$C$9:$R$257,8,FALSE))</f>
        <v/>
      </c>
      <c r="J222" s="295" t="str">
        <f>IF(I222="","",VLOOKUP($B222,'C-1 On-Site WaterC'' Baseline'!$C$9:$R$257,9,FALSE))</f>
        <v/>
      </c>
      <c r="K222" s="295" t="str">
        <f>IF(J222="","",VLOOKUP($B222,'C-1 On-Site WaterC'' Baseline'!$C$9:$R$257,10,FALSE))</f>
        <v/>
      </c>
      <c r="L222" s="295" t="str">
        <f>IF(B222="","",VLOOKUP($B222,'C-1 On-Site WaterC'' Baseline'!$C$9:$R$257,15,FALSE))</f>
        <v/>
      </c>
      <c r="M222" s="299" t="str">
        <f>IF(L222="","",VLOOKUP($B222,'C-1 On-Site WaterC'' Baseline'!$C$9:$R$257,16,FALSE))</f>
        <v/>
      </c>
      <c r="N222" s="245"/>
      <c r="O222" s="275" t="str">
        <f t="shared" si="31"/>
        <v/>
      </c>
      <c r="P222" s="276" t="str">
        <f t="shared" si="32"/>
        <v/>
      </c>
      <c r="Q222" s="336" t="str">
        <f>IF(N222="","",VLOOKUP(B222,'C-1 On-Site WaterC'' Baseline'!$C$10:$AC$257,20,FALSE))</f>
        <v/>
      </c>
      <c r="R222" s="275" t="str">
        <f>IF(N222="","",VLOOKUP(N222,'G-7 WaterC'' Data'!$B$2:$G$8,2,FALSE))</f>
        <v/>
      </c>
      <c r="S222" s="276" t="str">
        <f>IFERROR(VLOOKUP(R222,'G-7 WaterC'' Data'!$C$4:$D$8,2,FALSE),"")</f>
        <v/>
      </c>
      <c r="T222" s="101"/>
      <c r="U222" s="276" t="str">
        <f>IFERROR(INDEX('G-7 WaterC'' Data'!$H$4:$L$8,MATCH(N222,'G-7 WaterC'' Data'!$B$4:$B$8,0),MATCH(T222,'G-7 WaterC'' Data'!$H$3:$L$3,0)),"")</f>
        <v/>
      </c>
      <c r="V222" s="101"/>
      <c r="W222" s="283" t="str">
        <f>IF(V222="","",IF(VLOOKUP(V222,'G-7 WaterC'' Data'!$AK$4:$AM$6,2,FALSE)=0,"Spatial Data Missing ⚠",VLOOKUP(V222,'G-7 WaterC'' Data'!$AK$4:$AM$6,2,FALSE)))</f>
        <v/>
      </c>
      <c r="X222" s="276" t="str">
        <f>IF(V222="","",IF(VLOOKUP(V222,'G-7 WaterC'' Data'!$AK$4:$AM$6,3,FALSE)=0,"Spatial Data Missing ⚠",VLOOKUP(V222,'G-7 WaterC'' Data'!$AK$4:$AM$6,3,FALSE)))</f>
        <v/>
      </c>
      <c r="Y222" s="275" t="str">
        <f>IFERROR(IF(OR(LEFT(P222,5)="Error",LEFT(O222,5)="Error"),"Check Data ⚠",IF(F222&lt;S222,'G-7 WaterC'' Data'!$R$3,INDEX('G-7 WaterC'' Data'!$U$5:$Y$9,MATCH(G222,'G-7 WaterC'' Data'!$T$5:$T$9,0),MATCH(T222,'G-7 WaterC'' Data'!$U$4:$Y$4,0)))),"")</f>
        <v/>
      </c>
      <c r="Z222" s="133"/>
      <c r="AA222" s="133"/>
      <c r="AB222" s="283" t="str">
        <f t="shared" si="33"/>
        <v/>
      </c>
      <c r="AC222" s="296" t="str">
        <f t="shared" si="34"/>
        <v/>
      </c>
      <c r="AD222" s="334" t="str">
        <f>IFERROR(IF(AC222="Check Data ⚠","Check Data ⚠",VLOOKUP(AC222,'G-4 Temporal multipliers'!$A$4:$C$37,3,FALSE)),"")</f>
        <v/>
      </c>
      <c r="AE222" s="275" t="str">
        <f>IF(N222="","",VLOOKUP(N222,'G-7 WaterC'' Data'!$B$4:$G$8,5,FALSE))</f>
        <v/>
      </c>
      <c r="AF222" s="283" t="str">
        <f t="shared" si="35"/>
        <v/>
      </c>
      <c r="AG222" s="314" t="str">
        <f t="shared" si="36"/>
        <v/>
      </c>
      <c r="AH222" s="276" t="str">
        <f t="shared" si="30"/>
        <v/>
      </c>
      <c r="AI222" s="105"/>
      <c r="AJ222" s="276" t="str">
        <f>IF(AI222="","",IF(AND(AI222="N/A - Culvert",N222&lt;&gt;"Culvert"),"Not possible ▲",IF(VLOOKUP(AI222,'G-7 WaterC'' Data'!$AA$4:$AB$7,2,FALSE)=0,"Spatial Data Missing ⚠",VLOOKUP(AI222,'G-7 WaterC'' Data'!$AA$4:$AB$7,2,FALSE))))</f>
        <v/>
      </c>
      <c r="AK222" s="106"/>
      <c r="AL222" s="276" t="str">
        <f>IF(AK222="","",IF(AND(AK222="N/A - Culvert",N222&lt;&gt;"Culvert"),"Not possible ▲",IF(VLOOKUP(AK222,'G-7 WaterC'' Data'!$AD$4:$AE$14,2,FALSE)=0,"Spatial Data Missing ⚠",VLOOKUP(AK222,'G-7 WaterC'' Data'!$AD$4:$AE$14,2,FALSE))))</f>
        <v/>
      </c>
      <c r="AM222" s="317" t="str">
        <f t="shared" si="37"/>
        <v/>
      </c>
      <c r="AN222" s="101"/>
      <c r="AO222" s="115"/>
      <c r="AP222" s="104"/>
      <c r="AS222" s="30" t="str">
        <f>IF(B222="","",IF(ISNA(VLOOKUP($B222,'C-1 On-Site WaterC'' Baseline'!$C$8:$AD$257,17,FALSE)),"",(VLOOKUP($B222,'C-1 On-Site WaterC'' Baseline'!$C$8:$AD$257,17,FALSE))))</f>
        <v/>
      </c>
      <c r="AT222" s="30" t="str">
        <f>IF(B222="","",VLOOKUP($B222,'C-1 On-Site WaterC'' Baseline'!$C$9:$Z$257,12,FALSE))</f>
        <v/>
      </c>
      <c r="AU222" s="30" t="str">
        <f>IF(B222="","",VLOOKUP($B222,'C-1 On-Site WaterC'' Baseline'!$C$9:$Z$257,14,FALSE))</f>
        <v/>
      </c>
      <c r="AV222" s="30" t="str">
        <f>IFERROR(INDEX('G-7 WaterC'' Data'!$AZ$3:$AZ$7,MATCH(N222,'G-7 WaterC'' Data'!$AY$3:$AY$7,0)),"")</f>
        <v/>
      </c>
      <c r="AX222" s="30" t="str">
        <f>IF(B222="","",VLOOKUP($B222,'C-1 On-Site WaterC'' Baseline'!$C$9:$Y$257,22,FALSE))</f>
        <v/>
      </c>
      <c r="AY222" s="30" t="str">
        <f t="shared" si="38"/>
        <v/>
      </c>
      <c r="AZ222" s="30" t="str">
        <f>IF(B222="","",VLOOKUP($B222,'C-1 On-Site WaterC'' Baseline'!$C$9:$Y$257,21,FALSE))</f>
        <v/>
      </c>
      <c r="BA222" s="30" t="str">
        <f>IF(B222="","",VLOOKUP($B222,'C-1 On-Site WaterC'' Baseline'!$C$9:$Y$257,19,FALSE))</f>
        <v/>
      </c>
      <c r="BD222" s="30" t="str">
        <f t="shared" si="39"/>
        <v>No</v>
      </c>
    </row>
    <row r="223" spans="2:56" ht="14">
      <c r="B223" s="305" t="str">
        <f>'C-1 On-Site WaterC'' Baseline'!AP221</f>
        <v/>
      </c>
      <c r="C223" s="295" t="str">
        <f>IF(B223="","",VLOOKUP($B223,'C-1 On-Site WaterC'' Baseline'!$C$9:$R$257,2,FALSE))</f>
        <v/>
      </c>
      <c r="D223" s="295" t="str">
        <f>IF(C223="","",VLOOKUP($B223,'C-1 On-Site WaterC'' Baseline'!$C$9:$R$257,3,FALSE))</f>
        <v/>
      </c>
      <c r="E223" s="295" t="str">
        <f>IF(D223="","",VLOOKUP($B223,'C-1 On-Site WaterC'' Baseline'!$C$9:$R$257,4,FALSE))</f>
        <v/>
      </c>
      <c r="F223" s="295" t="str">
        <f>IF(E223="","",VLOOKUP($B223,'C-1 On-Site WaterC'' Baseline'!$C$9:$R$257,5,FALSE))</f>
        <v/>
      </c>
      <c r="G223" s="295" t="str">
        <f>IF(F223="","",VLOOKUP($B223,'C-1 On-Site WaterC'' Baseline'!$C$9:$R$257,6,FALSE))</f>
        <v/>
      </c>
      <c r="H223" s="295" t="str">
        <f>IF(G223="","",VLOOKUP($B223,'C-1 On-Site WaterC'' Baseline'!$C$9:$R$257,7,FALSE))</f>
        <v/>
      </c>
      <c r="I223" s="295" t="str">
        <f>IF(H223="","",VLOOKUP($B223,'C-1 On-Site WaterC'' Baseline'!$C$9:$R$257,8,FALSE))</f>
        <v/>
      </c>
      <c r="J223" s="295" t="str">
        <f>IF(I223="","",VLOOKUP($B223,'C-1 On-Site WaterC'' Baseline'!$C$9:$R$257,9,FALSE))</f>
        <v/>
      </c>
      <c r="K223" s="295" t="str">
        <f>IF(J223="","",VLOOKUP($B223,'C-1 On-Site WaterC'' Baseline'!$C$9:$R$257,10,FALSE))</f>
        <v/>
      </c>
      <c r="L223" s="295" t="str">
        <f>IF(B223="","",VLOOKUP($B223,'C-1 On-Site WaterC'' Baseline'!$C$9:$R$257,15,FALSE))</f>
        <v/>
      </c>
      <c r="M223" s="299" t="str">
        <f>IF(L223="","",VLOOKUP($B223,'C-1 On-Site WaterC'' Baseline'!$C$9:$R$257,16,FALSE))</f>
        <v/>
      </c>
      <c r="N223" s="245"/>
      <c r="O223" s="275" t="str">
        <f t="shared" si="31"/>
        <v/>
      </c>
      <c r="P223" s="276" t="str">
        <f t="shared" si="32"/>
        <v/>
      </c>
      <c r="Q223" s="336" t="str">
        <f>IF(N223="","",VLOOKUP(B223,'C-1 On-Site WaterC'' Baseline'!$C$10:$AC$257,20,FALSE))</f>
        <v/>
      </c>
      <c r="R223" s="275" t="str">
        <f>IF(N223="","",VLOOKUP(N223,'G-7 WaterC'' Data'!$B$2:$G$8,2,FALSE))</f>
        <v/>
      </c>
      <c r="S223" s="276" t="str">
        <f>IFERROR(VLOOKUP(R223,'G-7 WaterC'' Data'!$C$4:$D$8,2,FALSE),"")</f>
        <v/>
      </c>
      <c r="T223" s="101"/>
      <c r="U223" s="276" t="str">
        <f>IFERROR(INDEX('G-7 WaterC'' Data'!$H$4:$L$8,MATCH(N223,'G-7 WaterC'' Data'!$B$4:$B$8,0),MATCH(T223,'G-7 WaterC'' Data'!$H$3:$L$3,0)),"")</f>
        <v/>
      </c>
      <c r="V223" s="101"/>
      <c r="W223" s="283" t="str">
        <f>IF(V223="","",IF(VLOOKUP(V223,'G-7 WaterC'' Data'!$AK$4:$AM$6,2,FALSE)=0,"Spatial Data Missing ⚠",VLOOKUP(V223,'G-7 WaterC'' Data'!$AK$4:$AM$6,2,FALSE)))</f>
        <v/>
      </c>
      <c r="X223" s="276" t="str">
        <f>IF(V223="","",IF(VLOOKUP(V223,'G-7 WaterC'' Data'!$AK$4:$AM$6,3,FALSE)=0,"Spatial Data Missing ⚠",VLOOKUP(V223,'G-7 WaterC'' Data'!$AK$4:$AM$6,3,FALSE)))</f>
        <v/>
      </c>
      <c r="Y223" s="275" t="str">
        <f>IFERROR(IF(OR(LEFT(P223,5)="Error",LEFT(O223,5)="Error"),"Check Data ⚠",IF(F223&lt;S223,'G-7 WaterC'' Data'!$R$3,INDEX('G-7 WaterC'' Data'!$U$5:$Y$9,MATCH(G223,'G-7 WaterC'' Data'!$T$5:$T$9,0),MATCH(T223,'G-7 WaterC'' Data'!$U$4:$Y$4,0)))),"")</f>
        <v/>
      </c>
      <c r="Z223" s="133"/>
      <c r="AA223" s="133"/>
      <c r="AB223" s="283" t="str">
        <f t="shared" si="33"/>
        <v/>
      </c>
      <c r="AC223" s="296" t="str">
        <f t="shared" si="34"/>
        <v/>
      </c>
      <c r="AD223" s="334" t="str">
        <f>IFERROR(IF(AC223="Check Data ⚠","Check Data ⚠",VLOOKUP(AC223,'G-4 Temporal multipliers'!$A$4:$C$37,3,FALSE)),"")</f>
        <v/>
      </c>
      <c r="AE223" s="275" t="str">
        <f>IF(N223="","",VLOOKUP(N223,'G-7 WaterC'' Data'!$B$4:$G$8,5,FALSE))</f>
        <v/>
      </c>
      <c r="AF223" s="283" t="str">
        <f t="shared" si="35"/>
        <v/>
      </c>
      <c r="AG223" s="314" t="str">
        <f t="shared" si="36"/>
        <v/>
      </c>
      <c r="AH223" s="276" t="str">
        <f t="shared" si="30"/>
        <v/>
      </c>
      <c r="AI223" s="105"/>
      <c r="AJ223" s="276" t="str">
        <f>IF(AI223="","",IF(AND(AI223="N/A - Culvert",N223&lt;&gt;"Culvert"),"Not possible ▲",IF(VLOOKUP(AI223,'G-7 WaterC'' Data'!$AA$4:$AB$7,2,FALSE)=0,"Spatial Data Missing ⚠",VLOOKUP(AI223,'G-7 WaterC'' Data'!$AA$4:$AB$7,2,FALSE))))</f>
        <v/>
      </c>
      <c r="AK223" s="106"/>
      <c r="AL223" s="276" t="str">
        <f>IF(AK223="","",IF(AND(AK223="N/A - Culvert",N223&lt;&gt;"Culvert"),"Not possible ▲",IF(VLOOKUP(AK223,'G-7 WaterC'' Data'!$AD$4:$AE$14,2,FALSE)=0,"Spatial Data Missing ⚠",VLOOKUP(AK223,'G-7 WaterC'' Data'!$AD$4:$AE$14,2,FALSE))))</f>
        <v/>
      </c>
      <c r="AM223" s="317" t="str">
        <f t="shared" si="37"/>
        <v/>
      </c>
      <c r="AN223" s="101"/>
      <c r="AO223" s="115"/>
      <c r="AP223" s="104"/>
      <c r="AS223" s="30" t="str">
        <f>IF(B223="","",IF(ISNA(VLOOKUP($B223,'C-1 On-Site WaterC'' Baseline'!$C$8:$AD$257,17,FALSE)),"",(VLOOKUP($B223,'C-1 On-Site WaterC'' Baseline'!$C$8:$AD$257,17,FALSE))))</f>
        <v/>
      </c>
      <c r="AT223" s="30" t="str">
        <f>IF(B223="","",VLOOKUP($B223,'C-1 On-Site WaterC'' Baseline'!$C$9:$Z$257,12,FALSE))</f>
        <v/>
      </c>
      <c r="AU223" s="30" t="str">
        <f>IF(B223="","",VLOOKUP($B223,'C-1 On-Site WaterC'' Baseline'!$C$9:$Z$257,14,FALSE))</f>
        <v/>
      </c>
      <c r="AV223" s="30" t="str">
        <f>IFERROR(INDEX('G-7 WaterC'' Data'!$AZ$3:$AZ$7,MATCH(N223,'G-7 WaterC'' Data'!$AY$3:$AY$7,0)),"")</f>
        <v/>
      </c>
      <c r="AX223" s="30" t="str">
        <f>IF(B223="","",VLOOKUP($B223,'C-1 On-Site WaterC'' Baseline'!$C$9:$Y$257,22,FALSE))</f>
        <v/>
      </c>
      <c r="AY223" s="30" t="str">
        <f t="shared" si="38"/>
        <v/>
      </c>
      <c r="AZ223" s="30" t="str">
        <f>IF(B223="","",VLOOKUP($B223,'C-1 On-Site WaterC'' Baseline'!$C$9:$Y$257,21,FALSE))</f>
        <v/>
      </c>
      <c r="BA223" s="30" t="str">
        <f>IF(B223="","",VLOOKUP($B223,'C-1 On-Site WaterC'' Baseline'!$C$9:$Y$257,19,FALSE))</f>
        <v/>
      </c>
      <c r="BD223" s="30" t="str">
        <f t="shared" si="39"/>
        <v>No</v>
      </c>
    </row>
    <row r="224" spans="2:56" ht="14">
      <c r="B224" s="305" t="str">
        <f>'C-1 On-Site WaterC'' Baseline'!AP222</f>
        <v/>
      </c>
      <c r="C224" s="295" t="str">
        <f>IF(B224="","",VLOOKUP($B224,'C-1 On-Site WaterC'' Baseline'!$C$9:$R$257,2,FALSE))</f>
        <v/>
      </c>
      <c r="D224" s="295" t="str">
        <f>IF(C224="","",VLOOKUP($B224,'C-1 On-Site WaterC'' Baseline'!$C$9:$R$257,3,FALSE))</f>
        <v/>
      </c>
      <c r="E224" s="295" t="str">
        <f>IF(D224="","",VLOOKUP($B224,'C-1 On-Site WaterC'' Baseline'!$C$9:$R$257,4,FALSE))</f>
        <v/>
      </c>
      <c r="F224" s="295" t="str">
        <f>IF(E224="","",VLOOKUP($B224,'C-1 On-Site WaterC'' Baseline'!$C$9:$R$257,5,FALSE))</f>
        <v/>
      </c>
      <c r="G224" s="295" t="str">
        <f>IF(F224="","",VLOOKUP($B224,'C-1 On-Site WaterC'' Baseline'!$C$9:$R$257,6,FALSE))</f>
        <v/>
      </c>
      <c r="H224" s="295" t="str">
        <f>IF(G224="","",VLOOKUP($B224,'C-1 On-Site WaterC'' Baseline'!$C$9:$R$257,7,FALSE))</f>
        <v/>
      </c>
      <c r="I224" s="295" t="str">
        <f>IF(H224="","",VLOOKUP($B224,'C-1 On-Site WaterC'' Baseline'!$C$9:$R$257,8,FALSE))</f>
        <v/>
      </c>
      <c r="J224" s="295" t="str">
        <f>IF(I224="","",VLOOKUP($B224,'C-1 On-Site WaterC'' Baseline'!$C$9:$R$257,9,FALSE))</f>
        <v/>
      </c>
      <c r="K224" s="295" t="str">
        <f>IF(J224="","",VLOOKUP($B224,'C-1 On-Site WaterC'' Baseline'!$C$9:$R$257,10,FALSE))</f>
        <v/>
      </c>
      <c r="L224" s="295" t="str">
        <f>IF(B224="","",VLOOKUP($B224,'C-1 On-Site WaterC'' Baseline'!$C$9:$R$257,15,FALSE))</f>
        <v/>
      </c>
      <c r="M224" s="299" t="str">
        <f>IF(L224="","",VLOOKUP($B224,'C-1 On-Site WaterC'' Baseline'!$C$9:$R$257,16,FALSE))</f>
        <v/>
      </c>
      <c r="N224" s="245"/>
      <c r="O224" s="275" t="str">
        <f t="shared" si="31"/>
        <v/>
      </c>
      <c r="P224" s="276" t="str">
        <f t="shared" si="32"/>
        <v/>
      </c>
      <c r="Q224" s="336" t="str">
        <f>IF(N224="","",VLOOKUP(B224,'C-1 On-Site WaterC'' Baseline'!$C$10:$AC$257,20,FALSE))</f>
        <v/>
      </c>
      <c r="R224" s="275" t="str">
        <f>IF(N224="","",VLOOKUP(N224,'G-7 WaterC'' Data'!$B$2:$G$8,2,FALSE))</f>
        <v/>
      </c>
      <c r="S224" s="276" t="str">
        <f>IFERROR(VLOOKUP(R224,'G-7 WaterC'' Data'!$C$4:$D$8,2,FALSE),"")</f>
        <v/>
      </c>
      <c r="T224" s="101"/>
      <c r="U224" s="276" t="str">
        <f>IFERROR(INDEX('G-7 WaterC'' Data'!$H$4:$L$8,MATCH(N224,'G-7 WaterC'' Data'!$B$4:$B$8,0),MATCH(T224,'G-7 WaterC'' Data'!$H$3:$L$3,0)),"")</f>
        <v/>
      </c>
      <c r="V224" s="101"/>
      <c r="W224" s="283" t="str">
        <f>IF(V224="","",IF(VLOOKUP(V224,'G-7 WaterC'' Data'!$AK$4:$AM$6,2,FALSE)=0,"Spatial Data Missing ⚠",VLOOKUP(V224,'G-7 WaterC'' Data'!$AK$4:$AM$6,2,FALSE)))</f>
        <v/>
      </c>
      <c r="X224" s="276" t="str">
        <f>IF(V224="","",IF(VLOOKUP(V224,'G-7 WaterC'' Data'!$AK$4:$AM$6,3,FALSE)=0,"Spatial Data Missing ⚠",VLOOKUP(V224,'G-7 WaterC'' Data'!$AK$4:$AM$6,3,FALSE)))</f>
        <v/>
      </c>
      <c r="Y224" s="275" t="str">
        <f>IFERROR(IF(OR(LEFT(P224,5)="Error",LEFT(O224,5)="Error"),"Check Data ⚠",IF(F224&lt;S224,'G-7 WaterC'' Data'!$R$3,INDEX('G-7 WaterC'' Data'!$U$5:$Y$9,MATCH(G224,'G-7 WaterC'' Data'!$T$5:$T$9,0),MATCH(T224,'G-7 WaterC'' Data'!$U$4:$Y$4,0)))),"")</f>
        <v/>
      </c>
      <c r="Z224" s="133"/>
      <c r="AA224" s="133"/>
      <c r="AB224" s="283" t="str">
        <f t="shared" si="33"/>
        <v/>
      </c>
      <c r="AC224" s="296" t="str">
        <f t="shared" si="34"/>
        <v/>
      </c>
      <c r="AD224" s="334" t="str">
        <f>IFERROR(IF(AC224="Check Data ⚠","Check Data ⚠",VLOOKUP(AC224,'G-4 Temporal multipliers'!$A$4:$C$37,3,FALSE)),"")</f>
        <v/>
      </c>
      <c r="AE224" s="275" t="str">
        <f>IF(N224="","",VLOOKUP(N224,'G-7 WaterC'' Data'!$B$4:$G$8,5,FALSE))</f>
        <v/>
      </c>
      <c r="AF224" s="283" t="str">
        <f t="shared" si="35"/>
        <v/>
      </c>
      <c r="AG224" s="314" t="str">
        <f t="shared" si="36"/>
        <v/>
      </c>
      <c r="AH224" s="276" t="str">
        <f t="shared" si="30"/>
        <v/>
      </c>
      <c r="AI224" s="105"/>
      <c r="AJ224" s="276" t="str">
        <f>IF(AI224="","",IF(AND(AI224="N/A - Culvert",N224&lt;&gt;"Culvert"),"Not possible ▲",IF(VLOOKUP(AI224,'G-7 WaterC'' Data'!$AA$4:$AB$7,2,FALSE)=0,"Spatial Data Missing ⚠",VLOOKUP(AI224,'G-7 WaterC'' Data'!$AA$4:$AB$7,2,FALSE))))</f>
        <v/>
      </c>
      <c r="AK224" s="106"/>
      <c r="AL224" s="276" t="str">
        <f>IF(AK224="","",IF(AND(AK224="N/A - Culvert",N224&lt;&gt;"Culvert"),"Not possible ▲",IF(VLOOKUP(AK224,'G-7 WaterC'' Data'!$AD$4:$AE$14,2,FALSE)=0,"Spatial Data Missing ⚠",VLOOKUP(AK224,'G-7 WaterC'' Data'!$AD$4:$AE$14,2,FALSE))))</f>
        <v/>
      </c>
      <c r="AM224" s="317" t="str">
        <f t="shared" si="37"/>
        <v/>
      </c>
      <c r="AN224" s="101"/>
      <c r="AO224" s="115"/>
      <c r="AP224" s="104"/>
      <c r="AS224" s="30" t="str">
        <f>IF(B224="","",IF(ISNA(VLOOKUP($B224,'C-1 On-Site WaterC'' Baseline'!$C$8:$AD$257,17,FALSE)),"",(VLOOKUP($B224,'C-1 On-Site WaterC'' Baseline'!$C$8:$AD$257,17,FALSE))))</f>
        <v/>
      </c>
      <c r="AT224" s="30" t="str">
        <f>IF(B224="","",VLOOKUP($B224,'C-1 On-Site WaterC'' Baseline'!$C$9:$Z$257,12,FALSE))</f>
        <v/>
      </c>
      <c r="AU224" s="30" t="str">
        <f>IF(B224="","",VLOOKUP($B224,'C-1 On-Site WaterC'' Baseline'!$C$9:$Z$257,14,FALSE))</f>
        <v/>
      </c>
      <c r="AV224" s="30" t="str">
        <f>IFERROR(INDEX('G-7 WaterC'' Data'!$AZ$3:$AZ$7,MATCH(N224,'G-7 WaterC'' Data'!$AY$3:$AY$7,0)),"")</f>
        <v/>
      </c>
      <c r="AX224" s="30" t="str">
        <f>IF(B224="","",VLOOKUP($B224,'C-1 On-Site WaterC'' Baseline'!$C$9:$Y$257,22,FALSE))</f>
        <v/>
      </c>
      <c r="AY224" s="30" t="str">
        <f t="shared" si="38"/>
        <v/>
      </c>
      <c r="AZ224" s="30" t="str">
        <f>IF(B224="","",VLOOKUP($B224,'C-1 On-Site WaterC'' Baseline'!$C$9:$Y$257,21,FALSE))</f>
        <v/>
      </c>
      <c r="BA224" s="30" t="str">
        <f>IF(B224="","",VLOOKUP($B224,'C-1 On-Site WaterC'' Baseline'!$C$9:$Y$257,19,FALSE))</f>
        <v/>
      </c>
      <c r="BD224" s="30" t="str">
        <f t="shared" si="39"/>
        <v>No</v>
      </c>
    </row>
    <row r="225" spans="2:56" ht="14">
      <c r="B225" s="305" t="str">
        <f>'C-1 On-Site WaterC'' Baseline'!AP223</f>
        <v/>
      </c>
      <c r="C225" s="295" t="str">
        <f>IF(B225="","",VLOOKUP($B225,'C-1 On-Site WaterC'' Baseline'!$C$9:$R$257,2,FALSE))</f>
        <v/>
      </c>
      <c r="D225" s="295" t="str">
        <f>IF(C225="","",VLOOKUP($B225,'C-1 On-Site WaterC'' Baseline'!$C$9:$R$257,3,FALSE))</f>
        <v/>
      </c>
      <c r="E225" s="295" t="str">
        <f>IF(D225="","",VLOOKUP($B225,'C-1 On-Site WaterC'' Baseline'!$C$9:$R$257,4,FALSE))</f>
        <v/>
      </c>
      <c r="F225" s="295" t="str">
        <f>IF(E225="","",VLOOKUP($B225,'C-1 On-Site WaterC'' Baseline'!$C$9:$R$257,5,FALSE))</f>
        <v/>
      </c>
      <c r="G225" s="295" t="str">
        <f>IF(F225="","",VLOOKUP($B225,'C-1 On-Site WaterC'' Baseline'!$C$9:$R$257,6,FALSE))</f>
        <v/>
      </c>
      <c r="H225" s="295" t="str">
        <f>IF(G225="","",VLOOKUP($B225,'C-1 On-Site WaterC'' Baseline'!$C$9:$R$257,7,FALSE))</f>
        <v/>
      </c>
      <c r="I225" s="295" t="str">
        <f>IF(H225="","",VLOOKUP($B225,'C-1 On-Site WaterC'' Baseline'!$C$9:$R$257,8,FALSE))</f>
        <v/>
      </c>
      <c r="J225" s="295" t="str">
        <f>IF(I225="","",VLOOKUP($B225,'C-1 On-Site WaterC'' Baseline'!$C$9:$R$257,9,FALSE))</f>
        <v/>
      </c>
      <c r="K225" s="295" t="str">
        <f>IF(J225="","",VLOOKUP($B225,'C-1 On-Site WaterC'' Baseline'!$C$9:$R$257,10,FALSE))</f>
        <v/>
      </c>
      <c r="L225" s="295" t="str">
        <f>IF(B225="","",VLOOKUP($B225,'C-1 On-Site WaterC'' Baseline'!$C$9:$R$257,15,FALSE))</f>
        <v/>
      </c>
      <c r="M225" s="299" t="str">
        <f>IF(L225="","",VLOOKUP($B225,'C-1 On-Site WaterC'' Baseline'!$C$9:$R$257,16,FALSE))</f>
        <v/>
      </c>
      <c r="N225" s="245"/>
      <c r="O225" s="275" t="str">
        <f t="shared" si="31"/>
        <v/>
      </c>
      <c r="P225" s="276" t="str">
        <f t="shared" si="32"/>
        <v/>
      </c>
      <c r="Q225" s="336" t="str">
        <f>IF(N225="","",VLOOKUP(B225,'C-1 On-Site WaterC'' Baseline'!$C$10:$AC$257,20,FALSE))</f>
        <v/>
      </c>
      <c r="R225" s="275" t="str">
        <f>IF(N225="","",VLOOKUP(N225,'G-7 WaterC'' Data'!$B$2:$G$8,2,FALSE))</f>
        <v/>
      </c>
      <c r="S225" s="276" t="str">
        <f>IFERROR(VLOOKUP(R225,'G-7 WaterC'' Data'!$C$4:$D$8,2,FALSE),"")</f>
        <v/>
      </c>
      <c r="T225" s="101"/>
      <c r="U225" s="276" t="str">
        <f>IFERROR(INDEX('G-7 WaterC'' Data'!$H$4:$L$8,MATCH(N225,'G-7 WaterC'' Data'!$B$4:$B$8,0),MATCH(T225,'G-7 WaterC'' Data'!$H$3:$L$3,0)),"")</f>
        <v/>
      </c>
      <c r="V225" s="101"/>
      <c r="W225" s="283" t="str">
        <f>IF(V225="","",IF(VLOOKUP(V225,'G-7 WaterC'' Data'!$AK$4:$AM$6,2,FALSE)=0,"Spatial Data Missing ⚠",VLOOKUP(V225,'G-7 WaterC'' Data'!$AK$4:$AM$6,2,FALSE)))</f>
        <v/>
      </c>
      <c r="X225" s="276" t="str">
        <f>IF(V225="","",IF(VLOOKUP(V225,'G-7 WaterC'' Data'!$AK$4:$AM$6,3,FALSE)=0,"Spatial Data Missing ⚠",VLOOKUP(V225,'G-7 WaterC'' Data'!$AK$4:$AM$6,3,FALSE)))</f>
        <v/>
      </c>
      <c r="Y225" s="275" t="str">
        <f>IFERROR(IF(OR(LEFT(P225,5)="Error",LEFT(O225,5)="Error"),"Check Data ⚠",IF(F225&lt;S225,'G-7 WaterC'' Data'!$R$3,INDEX('G-7 WaterC'' Data'!$U$5:$Y$9,MATCH(G225,'G-7 WaterC'' Data'!$T$5:$T$9,0),MATCH(T225,'G-7 WaterC'' Data'!$U$4:$Y$4,0)))),"")</f>
        <v/>
      </c>
      <c r="Z225" s="133"/>
      <c r="AA225" s="133"/>
      <c r="AB225" s="283" t="str">
        <f t="shared" si="33"/>
        <v/>
      </c>
      <c r="AC225" s="296" t="str">
        <f t="shared" si="34"/>
        <v/>
      </c>
      <c r="AD225" s="334" t="str">
        <f>IFERROR(IF(AC225="Check Data ⚠","Check Data ⚠",VLOOKUP(AC225,'G-4 Temporal multipliers'!$A$4:$C$37,3,FALSE)),"")</f>
        <v/>
      </c>
      <c r="AE225" s="275" t="str">
        <f>IF(N225="","",VLOOKUP(N225,'G-7 WaterC'' Data'!$B$4:$G$8,5,FALSE))</f>
        <v/>
      </c>
      <c r="AF225" s="283" t="str">
        <f t="shared" si="35"/>
        <v/>
      </c>
      <c r="AG225" s="314" t="str">
        <f t="shared" si="36"/>
        <v/>
      </c>
      <c r="AH225" s="276" t="str">
        <f t="shared" si="30"/>
        <v/>
      </c>
      <c r="AI225" s="105"/>
      <c r="AJ225" s="276" t="str">
        <f>IF(AI225="","",IF(AND(AI225="N/A - Culvert",N225&lt;&gt;"Culvert"),"Not possible ▲",IF(VLOOKUP(AI225,'G-7 WaterC'' Data'!$AA$4:$AB$7,2,FALSE)=0,"Spatial Data Missing ⚠",VLOOKUP(AI225,'G-7 WaterC'' Data'!$AA$4:$AB$7,2,FALSE))))</f>
        <v/>
      </c>
      <c r="AK225" s="106"/>
      <c r="AL225" s="276" t="str">
        <f>IF(AK225="","",IF(AND(AK225="N/A - Culvert",N225&lt;&gt;"Culvert"),"Not possible ▲",IF(VLOOKUP(AK225,'G-7 WaterC'' Data'!$AD$4:$AE$14,2,FALSE)=0,"Spatial Data Missing ⚠",VLOOKUP(AK225,'G-7 WaterC'' Data'!$AD$4:$AE$14,2,FALSE))))</f>
        <v/>
      </c>
      <c r="AM225" s="317" t="str">
        <f t="shared" si="37"/>
        <v/>
      </c>
      <c r="AN225" s="101"/>
      <c r="AO225" s="115"/>
      <c r="AP225" s="104"/>
      <c r="AS225" s="30" t="str">
        <f>IF(B225="","",IF(ISNA(VLOOKUP($B225,'C-1 On-Site WaterC'' Baseline'!$C$8:$AD$257,17,FALSE)),"",(VLOOKUP($B225,'C-1 On-Site WaterC'' Baseline'!$C$8:$AD$257,17,FALSE))))</f>
        <v/>
      </c>
      <c r="AT225" s="30" t="str">
        <f>IF(B225="","",VLOOKUP($B225,'C-1 On-Site WaterC'' Baseline'!$C$9:$Z$257,12,FALSE))</f>
        <v/>
      </c>
      <c r="AU225" s="30" t="str">
        <f>IF(B225="","",VLOOKUP($B225,'C-1 On-Site WaterC'' Baseline'!$C$9:$Z$257,14,FALSE))</f>
        <v/>
      </c>
      <c r="AV225" s="30" t="str">
        <f>IFERROR(INDEX('G-7 WaterC'' Data'!$AZ$3:$AZ$7,MATCH(N225,'G-7 WaterC'' Data'!$AY$3:$AY$7,0)),"")</f>
        <v/>
      </c>
      <c r="AX225" s="30" t="str">
        <f>IF(B225="","",VLOOKUP($B225,'C-1 On-Site WaterC'' Baseline'!$C$9:$Y$257,22,FALSE))</f>
        <v/>
      </c>
      <c r="AY225" s="30" t="str">
        <f t="shared" si="38"/>
        <v/>
      </c>
      <c r="AZ225" s="30" t="str">
        <f>IF(B225="","",VLOOKUP($B225,'C-1 On-Site WaterC'' Baseline'!$C$9:$Y$257,21,FALSE))</f>
        <v/>
      </c>
      <c r="BA225" s="30" t="str">
        <f>IF(B225="","",VLOOKUP($B225,'C-1 On-Site WaterC'' Baseline'!$C$9:$Y$257,19,FALSE))</f>
        <v/>
      </c>
      <c r="BD225" s="30" t="str">
        <f t="shared" si="39"/>
        <v>No</v>
      </c>
    </row>
    <row r="226" spans="2:56" ht="14">
      <c r="B226" s="305" t="str">
        <f>'C-1 On-Site WaterC'' Baseline'!AP224</f>
        <v/>
      </c>
      <c r="C226" s="295" t="str">
        <f>IF(B226="","",VLOOKUP($B226,'C-1 On-Site WaterC'' Baseline'!$C$9:$R$257,2,FALSE))</f>
        <v/>
      </c>
      <c r="D226" s="295" t="str">
        <f>IF(C226="","",VLOOKUP($B226,'C-1 On-Site WaterC'' Baseline'!$C$9:$R$257,3,FALSE))</f>
        <v/>
      </c>
      <c r="E226" s="295" t="str">
        <f>IF(D226="","",VLOOKUP($B226,'C-1 On-Site WaterC'' Baseline'!$C$9:$R$257,4,FALSE))</f>
        <v/>
      </c>
      <c r="F226" s="295" t="str">
        <f>IF(E226="","",VLOOKUP($B226,'C-1 On-Site WaterC'' Baseline'!$C$9:$R$257,5,FALSE))</f>
        <v/>
      </c>
      <c r="G226" s="295" t="str">
        <f>IF(F226="","",VLOOKUP($B226,'C-1 On-Site WaterC'' Baseline'!$C$9:$R$257,6,FALSE))</f>
        <v/>
      </c>
      <c r="H226" s="295" t="str">
        <f>IF(G226="","",VLOOKUP($B226,'C-1 On-Site WaterC'' Baseline'!$C$9:$R$257,7,FALSE))</f>
        <v/>
      </c>
      <c r="I226" s="295" t="str">
        <f>IF(H226="","",VLOOKUP($B226,'C-1 On-Site WaterC'' Baseline'!$C$9:$R$257,8,FALSE))</f>
        <v/>
      </c>
      <c r="J226" s="295" t="str">
        <f>IF(I226="","",VLOOKUP($B226,'C-1 On-Site WaterC'' Baseline'!$C$9:$R$257,9,FALSE))</f>
        <v/>
      </c>
      <c r="K226" s="295" t="str">
        <f>IF(J226="","",VLOOKUP($B226,'C-1 On-Site WaterC'' Baseline'!$C$9:$R$257,10,FALSE))</f>
        <v/>
      </c>
      <c r="L226" s="295" t="str">
        <f>IF(B226="","",VLOOKUP($B226,'C-1 On-Site WaterC'' Baseline'!$C$9:$R$257,15,FALSE))</f>
        <v/>
      </c>
      <c r="M226" s="299" t="str">
        <f>IF(L226="","",VLOOKUP($B226,'C-1 On-Site WaterC'' Baseline'!$C$9:$R$257,16,FALSE))</f>
        <v/>
      </c>
      <c r="N226" s="245"/>
      <c r="O226" s="275" t="str">
        <f t="shared" si="31"/>
        <v/>
      </c>
      <c r="P226" s="276" t="str">
        <f t="shared" si="32"/>
        <v/>
      </c>
      <c r="Q226" s="336" t="str">
        <f>IF(N226="","",VLOOKUP(B226,'C-1 On-Site WaterC'' Baseline'!$C$10:$AC$257,20,FALSE))</f>
        <v/>
      </c>
      <c r="R226" s="275" t="str">
        <f>IF(N226="","",VLOOKUP(N226,'G-7 WaterC'' Data'!$B$2:$G$8,2,FALSE))</f>
        <v/>
      </c>
      <c r="S226" s="276" t="str">
        <f>IFERROR(VLOOKUP(R226,'G-7 WaterC'' Data'!$C$4:$D$8,2,FALSE),"")</f>
        <v/>
      </c>
      <c r="T226" s="101"/>
      <c r="U226" s="276" t="str">
        <f>IFERROR(INDEX('G-7 WaterC'' Data'!$H$4:$L$8,MATCH(N226,'G-7 WaterC'' Data'!$B$4:$B$8,0),MATCH(T226,'G-7 WaterC'' Data'!$H$3:$L$3,0)),"")</f>
        <v/>
      </c>
      <c r="V226" s="101"/>
      <c r="W226" s="283" t="str">
        <f>IF(V226="","",IF(VLOOKUP(V226,'G-7 WaterC'' Data'!$AK$4:$AM$6,2,FALSE)=0,"Spatial Data Missing ⚠",VLOOKUP(V226,'G-7 WaterC'' Data'!$AK$4:$AM$6,2,FALSE)))</f>
        <v/>
      </c>
      <c r="X226" s="276" t="str">
        <f>IF(V226="","",IF(VLOOKUP(V226,'G-7 WaterC'' Data'!$AK$4:$AM$6,3,FALSE)=0,"Spatial Data Missing ⚠",VLOOKUP(V226,'G-7 WaterC'' Data'!$AK$4:$AM$6,3,FALSE)))</f>
        <v/>
      </c>
      <c r="Y226" s="275" t="str">
        <f>IFERROR(IF(OR(LEFT(P226,5)="Error",LEFT(O226,5)="Error"),"Check Data ⚠",IF(F226&lt;S226,'G-7 WaterC'' Data'!$R$3,INDEX('G-7 WaterC'' Data'!$U$5:$Y$9,MATCH(G226,'G-7 WaterC'' Data'!$T$5:$T$9,0),MATCH(T226,'G-7 WaterC'' Data'!$U$4:$Y$4,0)))),"")</f>
        <v/>
      </c>
      <c r="Z226" s="133"/>
      <c r="AA226" s="133"/>
      <c r="AB226" s="283" t="str">
        <f t="shared" si="33"/>
        <v/>
      </c>
      <c r="AC226" s="296" t="str">
        <f t="shared" si="34"/>
        <v/>
      </c>
      <c r="AD226" s="334" t="str">
        <f>IFERROR(IF(AC226="Check Data ⚠","Check Data ⚠",VLOOKUP(AC226,'G-4 Temporal multipliers'!$A$4:$C$37,3,FALSE)),"")</f>
        <v/>
      </c>
      <c r="AE226" s="275" t="str">
        <f>IF(N226="","",VLOOKUP(N226,'G-7 WaterC'' Data'!$B$4:$G$8,5,FALSE))</f>
        <v/>
      </c>
      <c r="AF226" s="283" t="str">
        <f t="shared" si="35"/>
        <v/>
      </c>
      <c r="AG226" s="314" t="str">
        <f t="shared" si="36"/>
        <v/>
      </c>
      <c r="AH226" s="276" t="str">
        <f t="shared" si="30"/>
        <v/>
      </c>
      <c r="AI226" s="105"/>
      <c r="AJ226" s="276" t="str">
        <f>IF(AI226="","",IF(AND(AI226="N/A - Culvert",N226&lt;&gt;"Culvert"),"Not possible ▲",IF(VLOOKUP(AI226,'G-7 WaterC'' Data'!$AA$4:$AB$7,2,FALSE)=0,"Spatial Data Missing ⚠",VLOOKUP(AI226,'G-7 WaterC'' Data'!$AA$4:$AB$7,2,FALSE))))</f>
        <v/>
      </c>
      <c r="AK226" s="106"/>
      <c r="AL226" s="276" t="str">
        <f>IF(AK226="","",IF(AND(AK226="N/A - Culvert",N226&lt;&gt;"Culvert"),"Not possible ▲",IF(VLOOKUP(AK226,'G-7 WaterC'' Data'!$AD$4:$AE$14,2,FALSE)=0,"Spatial Data Missing ⚠",VLOOKUP(AK226,'G-7 WaterC'' Data'!$AD$4:$AE$14,2,FALSE))))</f>
        <v/>
      </c>
      <c r="AM226" s="317" t="str">
        <f t="shared" si="37"/>
        <v/>
      </c>
      <c r="AN226" s="101"/>
      <c r="AO226" s="115"/>
      <c r="AP226" s="104"/>
      <c r="AS226" s="30" t="str">
        <f>IF(B226="","",IF(ISNA(VLOOKUP($B226,'C-1 On-Site WaterC'' Baseline'!$C$8:$AD$257,17,FALSE)),"",(VLOOKUP($B226,'C-1 On-Site WaterC'' Baseline'!$C$8:$AD$257,17,FALSE))))</f>
        <v/>
      </c>
      <c r="AT226" s="30" t="str">
        <f>IF(B226="","",VLOOKUP($B226,'C-1 On-Site WaterC'' Baseline'!$C$9:$Z$257,12,FALSE))</f>
        <v/>
      </c>
      <c r="AU226" s="30" t="str">
        <f>IF(B226="","",VLOOKUP($B226,'C-1 On-Site WaterC'' Baseline'!$C$9:$Z$257,14,FALSE))</f>
        <v/>
      </c>
      <c r="AV226" s="30" t="str">
        <f>IFERROR(INDEX('G-7 WaterC'' Data'!$AZ$3:$AZ$7,MATCH(N226,'G-7 WaterC'' Data'!$AY$3:$AY$7,0)),"")</f>
        <v/>
      </c>
      <c r="AX226" s="30" t="str">
        <f>IF(B226="","",VLOOKUP($B226,'C-1 On-Site WaterC'' Baseline'!$C$9:$Y$257,22,FALSE))</f>
        <v/>
      </c>
      <c r="AY226" s="30" t="str">
        <f t="shared" si="38"/>
        <v/>
      </c>
      <c r="AZ226" s="30" t="str">
        <f>IF(B226="","",VLOOKUP($B226,'C-1 On-Site WaterC'' Baseline'!$C$9:$Y$257,21,FALSE))</f>
        <v/>
      </c>
      <c r="BA226" s="30" t="str">
        <f>IF(B226="","",VLOOKUP($B226,'C-1 On-Site WaterC'' Baseline'!$C$9:$Y$257,19,FALSE))</f>
        <v/>
      </c>
      <c r="BD226" s="30" t="str">
        <f t="shared" si="39"/>
        <v>No</v>
      </c>
    </row>
    <row r="227" spans="2:56" ht="14">
      <c r="B227" s="305" t="str">
        <f>'C-1 On-Site WaterC'' Baseline'!AP225</f>
        <v/>
      </c>
      <c r="C227" s="295" t="str">
        <f>IF(B227="","",VLOOKUP($B227,'C-1 On-Site WaterC'' Baseline'!$C$9:$R$257,2,FALSE))</f>
        <v/>
      </c>
      <c r="D227" s="295" t="str">
        <f>IF(C227="","",VLOOKUP($B227,'C-1 On-Site WaterC'' Baseline'!$C$9:$R$257,3,FALSE))</f>
        <v/>
      </c>
      <c r="E227" s="295" t="str">
        <f>IF(D227="","",VLOOKUP($B227,'C-1 On-Site WaterC'' Baseline'!$C$9:$R$257,4,FALSE))</f>
        <v/>
      </c>
      <c r="F227" s="295" t="str">
        <f>IF(E227="","",VLOOKUP($B227,'C-1 On-Site WaterC'' Baseline'!$C$9:$R$257,5,FALSE))</f>
        <v/>
      </c>
      <c r="G227" s="295" t="str">
        <f>IF(F227="","",VLOOKUP($B227,'C-1 On-Site WaterC'' Baseline'!$C$9:$R$257,6,FALSE))</f>
        <v/>
      </c>
      <c r="H227" s="295" t="str">
        <f>IF(G227="","",VLOOKUP($B227,'C-1 On-Site WaterC'' Baseline'!$C$9:$R$257,7,FALSE))</f>
        <v/>
      </c>
      <c r="I227" s="295" t="str">
        <f>IF(H227="","",VLOOKUP($B227,'C-1 On-Site WaterC'' Baseline'!$C$9:$R$257,8,FALSE))</f>
        <v/>
      </c>
      <c r="J227" s="295" t="str">
        <f>IF(I227="","",VLOOKUP($B227,'C-1 On-Site WaterC'' Baseline'!$C$9:$R$257,9,FALSE))</f>
        <v/>
      </c>
      <c r="K227" s="295" t="str">
        <f>IF(J227="","",VLOOKUP($B227,'C-1 On-Site WaterC'' Baseline'!$C$9:$R$257,10,FALSE))</f>
        <v/>
      </c>
      <c r="L227" s="295" t="str">
        <f>IF(B227="","",VLOOKUP($B227,'C-1 On-Site WaterC'' Baseline'!$C$9:$R$257,15,FALSE))</f>
        <v/>
      </c>
      <c r="M227" s="299" t="str">
        <f>IF(L227="","",VLOOKUP($B227,'C-1 On-Site WaterC'' Baseline'!$C$9:$R$257,16,FALSE))</f>
        <v/>
      </c>
      <c r="N227" s="245"/>
      <c r="O227" s="275" t="str">
        <f t="shared" si="31"/>
        <v/>
      </c>
      <c r="P227" s="276" t="str">
        <f t="shared" si="32"/>
        <v/>
      </c>
      <c r="Q227" s="336" t="str">
        <f>IF(N227="","",VLOOKUP(B227,'C-1 On-Site WaterC'' Baseline'!$C$10:$AC$257,20,FALSE))</f>
        <v/>
      </c>
      <c r="R227" s="275" t="str">
        <f>IF(N227="","",VLOOKUP(N227,'G-7 WaterC'' Data'!$B$2:$G$8,2,FALSE))</f>
        <v/>
      </c>
      <c r="S227" s="276" t="str">
        <f>IFERROR(VLOOKUP(R227,'G-7 WaterC'' Data'!$C$4:$D$8,2,FALSE),"")</f>
        <v/>
      </c>
      <c r="T227" s="101"/>
      <c r="U227" s="276" t="str">
        <f>IFERROR(INDEX('G-7 WaterC'' Data'!$H$4:$L$8,MATCH(N227,'G-7 WaterC'' Data'!$B$4:$B$8,0),MATCH(T227,'G-7 WaterC'' Data'!$H$3:$L$3,0)),"")</f>
        <v/>
      </c>
      <c r="V227" s="101"/>
      <c r="W227" s="283" t="str">
        <f>IF(V227="","",IF(VLOOKUP(V227,'G-7 WaterC'' Data'!$AK$4:$AM$6,2,FALSE)=0,"Spatial Data Missing ⚠",VLOOKUP(V227,'G-7 WaterC'' Data'!$AK$4:$AM$6,2,FALSE)))</f>
        <v/>
      </c>
      <c r="X227" s="276" t="str">
        <f>IF(V227="","",IF(VLOOKUP(V227,'G-7 WaterC'' Data'!$AK$4:$AM$6,3,FALSE)=0,"Spatial Data Missing ⚠",VLOOKUP(V227,'G-7 WaterC'' Data'!$AK$4:$AM$6,3,FALSE)))</f>
        <v/>
      </c>
      <c r="Y227" s="275" t="str">
        <f>IFERROR(IF(OR(LEFT(P227,5)="Error",LEFT(O227,5)="Error"),"Check Data ⚠",IF(F227&lt;S227,'G-7 WaterC'' Data'!$R$3,INDEX('G-7 WaterC'' Data'!$U$5:$Y$9,MATCH(G227,'G-7 WaterC'' Data'!$T$5:$T$9,0),MATCH(T227,'G-7 WaterC'' Data'!$U$4:$Y$4,0)))),"")</f>
        <v/>
      </c>
      <c r="Z227" s="133"/>
      <c r="AA227" s="133"/>
      <c r="AB227" s="283" t="str">
        <f t="shared" si="33"/>
        <v/>
      </c>
      <c r="AC227" s="296" t="str">
        <f t="shared" si="34"/>
        <v/>
      </c>
      <c r="AD227" s="334" t="str">
        <f>IFERROR(IF(AC227="Check Data ⚠","Check Data ⚠",VLOOKUP(AC227,'G-4 Temporal multipliers'!$A$4:$C$37,3,FALSE)),"")</f>
        <v/>
      </c>
      <c r="AE227" s="275" t="str">
        <f>IF(N227="","",VLOOKUP(N227,'G-7 WaterC'' Data'!$B$4:$G$8,5,FALSE))</f>
        <v/>
      </c>
      <c r="AF227" s="283" t="str">
        <f t="shared" si="35"/>
        <v/>
      </c>
      <c r="AG227" s="314" t="str">
        <f t="shared" si="36"/>
        <v/>
      </c>
      <c r="AH227" s="276" t="str">
        <f t="shared" si="30"/>
        <v/>
      </c>
      <c r="AI227" s="105"/>
      <c r="AJ227" s="276" t="str">
        <f>IF(AI227="","",IF(AND(AI227="N/A - Culvert",N227&lt;&gt;"Culvert"),"Not possible ▲",IF(VLOOKUP(AI227,'G-7 WaterC'' Data'!$AA$4:$AB$7,2,FALSE)=0,"Spatial Data Missing ⚠",VLOOKUP(AI227,'G-7 WaterC'' Data'!$AA$4:$AB$7,2,FALSE))))</f>
        <v/>
      </c>
      <c r="AK227" s="106"/>
      <c r="AL227" s="276" t="str">
        <f>IF(AK227="","",IF(AND(AK227="N/A - Culvert",N227&lt;&gt;"Culvert"),"Not possible ▲",IF(VLOOKUP(AK227,'G-7 WaterC'' Data'!$AD$4:$AE$14,2,FALSE)=0,"Spatial Data Missing ⚠",VLOOKUP(AK227,'G-7 WaterC'' Data'!$AD$4:$AE$14,2,FALSE))))</f>
        <v/>
      </c>
      <c r="AM227" s="317" t="str">
        <f t="shared" si="37"/>
        <v/>
      </c>
      <c r="AN227" s="101"/>
      <c r="AO227" s="115"/>
      <c r="AP227" s="104"/>
      <c r="AS227" s="30" t="str">
        <f>IF(B227="","",IF(ISNA(VLOOKUP($B227,'C-1 On-Site WaterC'' Baseline'!$C$8:$AD$257,17,FALSE)),"",(VLOOKUP($B227,'C-1 On-Site WaterC'' Baseline'!$C$8:$AD$257,17,FALSE))))</f>
        <v/>
      </c>
      <c r="AT227" s="30" t="str">
        <f>IF(B227="","",VLOOKUP($B227,'C-1 On-Site WaterC'' Baseline'!$C$9:$Z$257,12,FALSE))</f>
        <v/>
      </c>
      <c r="AU227" s="30" t="str">
        <f>IF(B227="","",VLOOKUP($B227,'C-1 On-Site WaterC'' Baseline'!$C$9:$Z$257,14,FALSE))</f>
        <v/>
      </c>
      <c r="AV227" s="30" t="str">
        <f>IFERROR(INDEX('G-7 WaterC'' Data'!$AZ$3:$AZ$7,MATCH(N227,'G-7 WaterC'' Data'!$AY$3:$AY$7,0)),"")</f>
        <v/>
      </c>
      <c r="AX227" s="30" t="str">
        <f>IF(B227="","",VLOOKUP($B227,'C-1 On-Site WaterC'' Baseline'!$C$9:$Y$257,22,FALSE))</f>
        <v/>
      </c>
      <c r="AY227" s="30" t="str">
        <f t="shared" si="38"/>
        <v/>
      </c>
      <c r="AZ227" s="30" t="str">
        <f>IF(B227="","",VLOOKUP($B227,'C-1 On-Site WaterC'' Baseline'!$C$9:$Y$257,21,FALSE))</f>
        <v/>
      </c>
      <c r="BA227" s="30" t="str">
        <f>IF(B227="","",VLOOKUP($B227,'C-1 On-Site WaterC'' Baseline'!$C$9:$Y$257,19,FALSE))</f>
        <v/>
      </c>
      <c r="BD227" s="30" t="str">
        <f t="shared" si="39"/>
        <v>No</v>
      </c>
    </row>
    <row r="228" spans="2:56" ht="14">
      <c r="B228" s="305" t="str">
        <f>'C-1 On-Site WaterC'' Baseline'!AP226</f>
        <v/>
      </c>
      <c r="C228" s="295" t="str">
        <f>IF(B228="","",VLOOKUP($B228,'C-1 On-Site WaterC'' Baseline'!$C$9:$R$257,2,FALSE))</f>
        <v/>
      </c>
      <c r="D228" s="295" t="str">
        <f>IF(C228="","",VLOOKUP($B228,'C-1 On-Site WaterC'' Baseline'!$C$9:$R$257,3,FALSE))</f>
        <v/>
      </c>
      <c r="E228" s="295" t="str">
        <f>IF(D228="","",VLOOKUP($B228,'C-1 On-Site WaterC'' Baseline'!$C$9:$R$257,4,FALSE))</f>
        <v/>
      </c>
      <c r="F228" s="295" t="str">
        <f>IF(E228="","",VLOOKUP($B228,'C-1 On-Site WaterC'' Baseline'!$C$9:$R$257,5,FALSE))</f>
        <v/>
      </c>
      <c r="G228" s="295" t="str">
        <f>IF(F228="","",VLOOKUP($B228,'C-1 On-Site WaterC'' Baseline'!$C$9:$R$257,6,FALSE))</f>
        <v/>
      </c>
      <c r="H228" s="295" t="str">
        <f>IF(G228="","",VLOOKUP($B228,'C-1 On-Site WaterC'' Baseline'!$C$9:$R$257,7,FALSE))</f>
        <v/>
      </c>
      <c r="I228" s="295" t="str">
        <f>IF(H228="","",VLOOKUP($B228,'C-1 On-Site WaterC'' Baseline'!$C$9:$R$257,8,FALSE))</f>
        <v/>
      </c>
      <c r="J228" s="295" t="str">
        <f>IF(I228="","",VLOOKUP($B228,'C-1 On-Site WaterC'' Baseline'!$C$9:$R$257,9,FALSE))</f>
        <v/>
      </c>
      <c r="K228" s="295" t="str">
        <f>IF(J228="","",VLOOKUP($B228,'C-1 On-Site WaterC'' Baseline'!$C$9:$R$257,10,FALSE))</f>
        <v/>
      </c>
      <c r="L228" s="295" t="str">
        <f>IF(B228="","",VLOOKUP($B228,'C-1 On-Site WaterC'' Baseline'!$C$9:$R$257,15,FALSE))</f>
        <v/>
      </c>
      <c r="M228" s="299" t="str">
        <f>IF(L228="","",VLOOKUP($B228,'C-1 On-Site WaterC'' Baseline'!$C$9:$R$257,16,FALSE))</f>
        <v/>
      </c>
      <c r="N228" s="245"/>
      <c r="O228" s="275" t="str">
        <f t="shared" si="31"/>
        <v/>
      </c>
      <c r="P228" s="276" t="str">
        <f t="shared" si="32"/>
        <v/>
      </c>
      <c r="Q228" s="336" t="str">
        <f>IF(N228="","",VLOOKUP(B228,'C-1 On-Site WaterC'' Baseline'!$C$10:$AC$257,20,FALSE))</f>
        <v/>
      </c>
      <c r="R228" s="275" t="str">
        <f>IF(N228="","",VLOOKUP(N228,'G-7 WaterC'' Data'!$B$2:$G$8,2,FALSE))</f>
        <v/>
      </c>
      <c r="S228" s="276" t="str">
        <f>IFERROR(VLOOKUP(R228,'G-7 WaterC'' Data'!$C$4:$D$8,2,FALSE),"")</f>
        <v/>
      </c>
      <c r="T228" s="101"/>
      <c r="U228" s="276" t="str">
        <f>IFERROR(INDEX('G-7 WaterC'' Data'!$H$4:$L$8,MATCH(N228,'G-7 WaterC'' Data'!$B$4:$B$8,0),MATCH(T228,'G-7 WaterC'' Data'!$H$3:$L$3,0)),"")</f>
        <v/>
      </c>
      <c r="V228" s="101"/>
      <c r="W228" s="283" t="str">
        <f>IF(V228="","",IF(VLOOKUP(V228,'G-7 WaterC'' Data'!$AK$4:$AM$6,2,FALSE)=0,"Spatial Data Missing ⚠",VLOOKUP(V228,'G-7 WaterC'' Data'!$AK$4:$AM$6,2,FALSE)))</f>
        <v/>
      </c>
      <c r="X228" s="276" t="str">
        <f>IF(V228="","",IF(VLOOKUP(V228,'G-7 WaterC'' Data'!$AK$4:$AM$6,3,FALSE)=0,"Spatial Data Missing ⚠",VLOOKUP(V228,'G-7 WaterC'' Data'!$AK$4:$AM$6,3,FALSE)))</f>
        <v/>
      </c>
      <c r="Y228" s="275" t="str">
        <f>IFERROR(IF(OR(LEFT(P228,5)="Error",LEFT(O228,5)="Error"),"Check Data ⚠",IF(F228&lt;S228,'G-7 WaterC'' Data'!$R$3,INDEX('G-7 WaterC'' Data'!$U$5:$Y$9,MATCH(G228,'G-7 WaterC'' Data'!$T$5:$T$9,0),MATCH(T228,'G-7 WaterC'' Data'!$U$4:$Y$4,0)))),"")</f>
        <v/>
      </c>
      <c r="Z228" s="133"/>
      <c r="AA228" s="133"/>
      <c r="AB228" s="283" t="str">
        <f t="shared" si="33"/>
        <v/>
      </c>
      <c r="AC228" s="296" t="str">
        <f t="shared" si="34"/>
        <v/>
      </c>
      <c r="AD228" s="334" t="str">
        <f>IFERROR(IF(AC228="Check Data ⚠","Check Data ⚠",VLOOKUP(AC228,'G-4 Temporal multipliers'!$A$4:$C$37,3,FALSE)),"")</f>
        <v/>
      </c>
      <c r="AE228" s="275" t="str">
        <f>IF(N228="","",VLOOKUP(N228,'G-7 WaterC'' Data'!$B$4:$G$8,5,FALSE))</f>
        <v/>
      </c>
      <c r="AF228" s="283" t="str">
        <f t="shared" si="35"/>
        <v/>
      </c>
      <c r="AG228" s="314" t="str">
        <f t="shared" si="36"/>
        <v/>
      </c>
      <c r="AH228" s="276" t="str">
        <f t="shared" si="30"/>
        <v/>
      </c>
      <c r="AI228" s="105"/>
      <c r="AJ228" s="276" t="str">
        <f>IF(AI228="","",IF(AND(AI228="N/A - Culvert",N228&lt;&gt;"Culvert"),"Not possible ▲",IF(VLOOKUP(AI228,'G-7 WaterC'' Data'!$AA$4:$AB$7,2,FALSE)=0,"Spatial Data Missing ⚠",VLOOKUP(AI228,'G-7 WaterC'' Data'!$AA$4:$AB$7,2,FALSE))))</f>
        <v/>
      </c>
      <c r="AK228" s="106"/>
      <c r="AL228" s="276" t="str">
        <f>IF(AK228="","",IF(AND(AK228="N/A - Culvert",N228&lt;&gt;"Culvert"),"Not possible ▲",IF(VLOOKUP(AK228,'G-7 WaterC'' Data'!$AD$4:$AE$14,2,FALSE)=0,"Spatial Data Missing ⚠",VLOOKUP(AK228,'G-7 WaterC'' Data'!$AD$4:$AE$14,2,FALSE))))</f>
        <v/>
      </c>
      <c r="AM228" s="317" t="str">
        <f t="shared" si="37"/>
        <v/>
      </c>
      <c r="AN228" s="101"/>
      <c r="AO228" s="115"/>
      <c r="AP228" s="104"/>
      <c r="AS228" s="30" t="str">
        <f>IF(B228="","",IF(ISNA(VLOOKUP($B228,'C-1 On-Site WaterC'' Baseline'!$C$8:$AD$257,17,FALSE)),"",(VLOOKUP($B228,'C-1 On-Site WaterC'' Baseline'!$C$8:$AD$257,17,FALSE))))</f>
        <v/>
      </c>
      <c r="AT228" s="30" t="str">
        <f>IF(B228="","",VLOOKUP($B228,'C-1 On-Site WaterC'' Baseline'!$C$9:$Z$257,12,FALSE))</f>
        <v/>
      </c>
      <c r="AU228" s="30" t="str">
        <f>IF(B228="","",VLOOKUP($B228,'C-1 On-Site WaterC'' Baseline'!$C$9:$Z$257,14,FALSE))</f>
        <v/>
      </c>
      <c r="AV228" s="30" t="str">
        <f>IFERROR(INDEX('G-7 WaterC'' Data'!$AZ$3:$AZ$7,MATCH(N228,'G-7 WaterC'' Data'!$AY$3:$AY$7,0)),"")</f>
        <v/>
      </c>
      <c r="AX228" s="30" t="str">
        <f>IF(B228="","",VLOOKUP($B228,'C-1 On-Site WaterC'' Baseline'!$C$9:$Y$257,22,FALSE))</f>
        <v/>
      </c>
      <c r="AY228" s="30" t="str">
        <f t="shared" si="38"/>
        <v/>
      </c>
      <c r="AZ228" s="30" t="str">
        <f>IF(B228="","",VLOOKUP($B228,'C-1 On-Site WaterC'' Baseline'!$C$9:$Y$257,21,FALSE))</f>
        <v/>
      </c>
      <c r="BA228" s="30" t="str">
        <f>IF(B228="","",VLOOKUP($B228,'C-1 On-Site WaterC'' Baseline'!$C$9:$Y$257,19,FALSE))</f>
        <v/>
      </c>
      <c r="BD228" s="30" t="str">
        <f t="shared" si="39"/>
        <v>No</v>
      </c>
    </row>
    <row r="229" spans="2:56" ht="14">
      <c r="B229" s="305" t="str">
        <f>'C-1 On-Site WaterC'' Baseline'!AP227</f>
        <v/>
      </c>
      <c r="C229" s="295" t="str">
        <f>IF(B229="","",VLOOKUP($B229,'C-1 On-Site WaterC'' Baseline'!$C$9:$R$257,2,FALSE))</f>
        <v/>
      </c>
      <c r="D229" s="295" t="str">
        <f>IF(C229="","",VLOOKUP($B229,'C-1 On-Site WaterC'' Baseline'!$C$9:$R$257,3,FALSE))</f>
        <v/>
      </c>
      <c r="E229" s="295" t="str">
        <f>IF(D229="","",VLOOKUP($B229,'C-1 On-Site WaterC'' Baseline'!$C$9:$R$257,4,FALSE))</f>
        <v/>
      </c>
      <c r="F229" s="295" t="str">
        <f>IF(E229="","",VLOOKUP($B229,'C-1 On-Site WaterC'' Baseline'!$C$9:$R$257,5,FALSE))</f>
        <v/>
      </c>
      <c r="G229" s="295" t="str">
        <f>IF(F229="","",VLOOKUP($B229,'C-1 On-Site WaterC'' Baseline'!$C$9:$R$257,6,FALSE))</f>
        <v/>
      </c>
      <c r="H229" s="295" t="str">
        <f>IF(G229="","",VLOOKUP($B229,'C-1 On-Site WaterC'' Baseline'!$C$9:$R$257,7,FALSE))</f>
        <v/>
      </c>
      <c r="I229" s="295" t="str">
        <f>IF(H229="","",VLOOKUP($B229,'C-1 On-Site WaterC'' Baseline'!$C$9:$R$257,8,FALSE))</f>
        <v/>
      </c>
      <c r="J229" s="295" t="str">
        <f>IF(I229="","",VLOOKUP($B229,'C-1 On-Site WaterC'' Baseline'!$C$9:$R$257,9,FALSE))</f>
        <v/>
      </c>
      <c r="K229" s="295" t="str">
        <f>IF(J229="","",VLOOKUP($B229,'C-1 On-Site WaterC'' Baseline'!$C$9:$R$257,10,FALSE))</f>
        <v/>
      </c>
      <c r="L229" s="295" t="str">
        <f>IF(B229="","",VLOOKUP($B229,'C-1 On-Site WaterC'' Baseline'!$C$9:$R$257,15,FALSE))</f>
        <v/>
      </c>
      <c r="M229" s="299" t="str">
        <f>IF(L229="","",VLOOKUP($B229,'C-1 On-Site WaterC'' Baseline'!$C$9:$R$257,16,FALSE))</f>
        <v/>
      </c>
      <c r="N229" s="245"/>
      <c r="O229" s="275" t="str">
        <f t="shared" si="31"/>
        <v/>
      </c>
      <c r="P229" s="276" t="str">
        <f t="shared" si="32"/>
        <v/>
      </c>
      <c r="Q229" s="336" t="str">
        <f>IF(N229="","",VLOOKUP(B229,'C-1 On-Site WaterC'' Baseline'!$C$10:$AC$257,20,FALSE))</f>
        <v/>
      </c>
      <c r="R229" s="275" t="str">
        <f>IF(N229="","",VLOOKUP(N229,'G-7 WaterC'' Data'!$B$2:$G$8,2,FALSE))</f>
        <v/>
      </c>
      <c r="S229" s="276" t="str">
        <f>IFERROR(VLOOKUP(R229,'G-7 WaterC'' Data'!$C$4:$D$8,2,FALSE),"")</f>
        <v/>
      </c>
      <c r="T229" s="101"/>
      <c r="U229" s="276" t="str">
        <f>IFERROR(INDEX('G-7 WaterC'' Data'!$H$4:$L$8,MATCH(N229,'G-7 WaterC'' Data'!$B$4:$B$8,0),MATCH(T229,'G-7 WaterC'' Data'!$H$3:$L$3,0)),"")</f>
        <v/>
      </c>
      <c r="V229" s="101"/>
      <c r="W229" s="283" t="str">
        <f>IF(V229="","",IF(VLOOKUP(V229,'G-7 WaterC'' Data'!$AK$4:$AM$6,2,FALSE)=0,"Spatial Data Missing ⚠",VLOOKUP(V229,'G-7 WaterC'' Data'!$AK$4:$AM$6,2,FALSE)))</f>
        <v/>
      </c>
      <c r="X229" s="276" t="str">
        <f>IF(V229="","",IF(VLOOKUP(V229,'G-7 WaterC'' Data'!$AK$4:$AM$6,3,FALSE)=0,"Spatial Data Missing ⚠",VLOOKUP(V229,'G-7 WaterC'' Data'!$AK$4:$AM$6,3,FALSE)))</f>
        <v/>
      </c>
      <c r="Y229" s="275" t="str">
        <f>IFERROR(IF(OR(LEFT(P229,5)="Error",LEFT(O229,5)="Error"),"Check Data ⚠",IF(F229&lt;S229,'G-7 WaterC'' Data'!$R$3,INDEX('G-7 WaterC'' Data'!$U$5:$Y$9,MATCH(G229,'G-7 WaterC'' Data'!$T$5:$T$9,0),MATCH(T229,'G-7 WaterC'' Data'!$U$4:$Y$4,0)))),"")</f>
        <v/>
      </c>
      <c r="Z229" s="133"/>
      <c r="AA229" s="133"/>
      <c r="AB229" s="283" t="str">
        <f t="shared" si="33"/>
        <v/>
      </c>
      <c r="AC229" s="296" t="str">
        <f t="shared" si="34"/>
        <v/>
      </c>
      <c r="AD229" s="334" t="str">
        <f>IFERROR(IF(AC229="Check Data ⚠","Check Data ⚠",VLOOKUP(AC229,'G-4 Temporal multipliers'!$A$4:$C$37,3,FALSE)),"")</f>
        <v/>
      </c>
      <c r="AE229" s="275" t="str">
        <f>IF(N229="","",VLOOKUP(N229,'G-7 WaterC'' Data'!$B$4:$G$8,5,FALSE))</f>
        <v/>
      </c>
      <c r="AF229" s="283" t="str">
        <f t="shared" si="35"/>
        <v/>
      </c>
      <c r="AG229" s="314" t="str">
        <f t="shared" si="36"/>
        <v/>
      </c>
      <c r="AH229" s="276" t="str">
        <f t="shared" si="30"/>
        <v/>
      </c>
      <c r="AI229" s="105"/>
      <c r="AJ229" s="276" t="str">
        <f>IF(AI229="","",IF(AND(AI229="N/A - Culvert",N229&lt;&gt;"Culvert"),"Not possible ▲",IF(VLOOKUP(AI229,'G-7 WaterC'' Data'!$AA$4:$AB$7,2,FALSE)=0,"Spatial Data Missing ⚠",VLOOKUP(AI229,'G-7 WaterC'' Data'!$AA$4:$AB$7,2,FALSE))))</f>
        <v/>
      </c>
      <c r="AK229" s="106"/>
      <c r="AL229" s="276" t="str">
        <f>IF(AK229="","",IF(AND(AK229="N/A - Culvert",N229&lt;&gt;"Culvert"),"Not possible ▲",IF(VLOOKUP(AK229,'G-7 WaterC'' Data'!$AD$4:$AE$14,2,FALSE)=0,"Spatial Data Missing ⚠",VLOOKUP(AK229,'G-7 WaterC'' Data'!$AD$4:$AE$14,2,FALSE))))</f>
        <v/>
      </c>
      <c r="AM229" s="317" t="str">
        <f t="shared" si="37"/>
        <v/>
      </c>
      <c r="AN229" s="101"/>
      <c r="AO229" s="115"/>
      <c r="AP229" s="104"/>
      <c r="AS229" s="30" t="str">
        <f>IF(B229="","",IF(ISNA(VLOOKUP($B229,'C-1 On-Site WaterC'' Baseline'!$C$8:$AD$257,17,FALSE)),"",(VLOOKUP($B229,'C-1 On-Site WaterC'' Baseline'!$C$8:$AD$257,17,FALSE))))</f>
        <v/>
      </c>
      <c r="AT229" s="30" t="str">
        <f>IF(B229="","",VLOOKUP($B229,'C-1 On-Site WaterC'' Baseline'!$C$9:$Z$257,12,FALSE))</f>
        <v/>
      </c>
      <c r="AU229" s="30" t="str">
        <f>IF(B229="","",VLOOKUP($B229,'C-1 On-Site WaterC'' Baseline'!$C$9:$Z$257,14,FALSE))</f>
        <v/>
      </c>
      <c r="AV229" s="30" t="str">
        <f>IFERROR(INDEX('G-7 WaterC'' Data'!$AZ$3:$AZ$7,MATCH(N229,'G-7 WaterC'' Data'!$AY$3:$AY$7,0)),"")</f>
        <v/>
      </c>
      <c r="AX229" s="30" t="str">
        <f>IF(B229="","",VLOOKUP($B229,'C-1 On-Site WaterC'' Baseline'!$C$9:$Y$257,22,FALSE))</f>
        <v/>
      </c>
      <c r="AY229" s="30" t="str">
        <f t="shared" si="38"/>
        <v/>
      </c>
      <c r="AZ229" s="30" t="str">
        <f>IF(B229="","",VLOOKUP($B229,'C-1 On-Site WaterC'' Baseline'!$C$9:$Y$257,21,FALSE))</f>
        <v/>
      </c>
      <c r="BA229" s="30" t="str">
        <f>IF(B229="","",VLOOKUP($B229,'C-1 On-Site WaterC'' Baseline'!$C$9:$Y$257,19,FALSE))</f>
        <v/>
      </c>
      <c r="BD229" s="30" t="str">
        <f t="shared" si="39"/>
        <v>No</v>
      </c>
    </row>
    <row r="230" spans="2:56" ht="14">
      <c r="B230" s="305" t="str">
        <f>'C-1 On-Site WaterC'' Baseline'!AP228</f>
        <v/>
      </c>
      <c r="C230" s="295" t="str">
        <f>IF(B230="","",VLOOKUP($B230,'C-1 On-Site WaterC'' Baseline'!$C$9:$R$257,2,FALSE))</f>
        <v/>
      </c>
      <c r="D230" s="295" t="str">
        <f>IF(C230="","",VLOOKUP($B230,'C-1 On-Site WaterC'' Baseline'!$C$9:$R$257,3,FALSE))</f>
        <v/>
      </c>
      <c r="E230" s="295" t="str">
        <f>IF(D230="","",VLOOKUP($B230,'C-1 On-Site WaterC'' Baseline'!$C$9:$R$257,4,FALSE))</f>
        <v/>
      </c>
      <c r="F230" s="295" t="str">
        <f>IF(E230="","",VLOOKUP($B230,'C-1 On-Site WaterC'' Baseline'!$C$9:$R$257,5,FALSE))</f>
        <v/>
      </c>
      <c r="G230" s="295" t="str">
        <f>IF(F230="","",VLOOKUP($B230,'C-1 On-Site WaterC'' Baseline'!$C$9:$R$257,6,FALSE))</f>
        <v/>
      </c>
      <c r="H230" s="295" t="str">
        <f>IF(G230="","",VLOOKUP($B230,'C-1 On-Site WaterC'' Baseline'!$C$9:$R$257,7,FALSE))</f>
        <v/>
      </c>
      <c r="I230" s="295" t="str">
        <f>IF(H230="","",VLOOKUP($B230,'C-1 On-Site WaterC'' Baseline'!$C$9:$R$257,8,FALSE))</f>
        <v/>
      </c>
      <c r="J230" s="295" t="str">
        <f>IF(I230="","",VLOOKUP($B230,'C-1 On-Site WaterC'' Baseline'!$C$9:$R$257,9,FALSE))</f>
        <v/>
      </c>
      <c r="K230" s="295" t="str">
        <f>IF(J230="","",VLOOKUP($B230,'C-1 On-Site WaterC'' Baseline'!$C$9:$R$257,10,FALSE))</f>
        <v/>
      </c>
      <c r="L230" s="295" t="str">
        <f>IF(B230="","",VLOOKUP($B230,'C-1 On-Site WaterC'' Baseline'!$C$9:$R$257,15,FALSE))</f>
        <v/>
      </c>
      <c r="M230" s="299" t="str">
        <f>IF(L230="","",VLOOKUP($B230,'C-1 On-Site WaterC'' Baseline'!$C$9:$R$257,16,FALSE))</f>
        <v/>
      </c>
      <c r="N230" s="245"/>
      <c r="O230" s="275" t="str">
        <f t="shared" si="31"/>
        <v/>
      </c>
      <c r="P230" s="276" t="str">
        <f t="shared" si="32"/>
        <v/>
      </c>
      <c r="Q230" s="336" t="str">
        <f>IF(N230="","",VLOOKUP(B230,'C-1 On-Site WaterC'' Baseline'!$C$10:$AC$257,20,FALSE))</f>
        <v/>
      </c>
      <c r="R230" s="275" t="str">
        <f>IF(N230="","",VLOOKUP(N230,'G-7 WaterC'' Data'!$B$2:$G$8,2,FALSE))</f>
        <v/>
      </c>
      <c r="S230" s="276" t="str">
        <f>IFERROR(VLOOKUP(R230,'G-7 WaterC'' Data'!$C$4:$D$8,2,FALSE),"")</f>
        <v/>
      </c>
      <c r="T230" s="101"/>
      <c r="U230" s="276" t="str">
        <f>IFERROR(INDEX('G-7 WaterC'' Data'!$H$4:$L$8,MATCH(N230,'G-7 WaterC'' Data'!$B$4:$B$8,0),MATCH(T230,'G-7 WaterC'' Data'!$H$3:$L$3,0)),"")</f>
        <v/>
      </c>
      <c r="V230" s="101"/>
      <c r="W230" s="283" t="str">
        <f>IF(V230="","",IF(VLOOKUP(V230,'G-7 WaterC'' Data'!$AK$4:$AM$6,2,FALSE)=0,"Spatial Data Missing ⚠",VLOOKUP(V230,'G-7 WaterC'' Data'!$AK$4:$AM$6,2,FALSE)))</f>
        <v/>
      </c>
      <c r="X230" s="276" t="str">
        <f>IF(V230="","",IF(VLOOKUP(V230,'G-7 WaterC'' Data'!$AK$4:$AM$6,3,FALSE)=0,"Spatial Data Missing ⚠",VLOOKUP(V230,'G-7 WaterC'' Data'!$AK$4:$AM$6,3,FALSE)))</f>
        <v/>
      </c>
      <c r="Y230" s="275" t="str">
        <f>IFERROR(IF(OR(LEFT(P230,5)="Error",LEFT(O230,5)="Error"),"Check Data ⚠",IF(F230&lt;S230,'G-7 WaterC'' Data'!$R$3,INDEX('G-7 WaterC'' Data'!$U$5:$Y$9,MATCH(G230,'G-7 WaterC'' Data'!$T$5:$T$9,0),MATCH(T230,'G-7 WaterC'' Data'!$U$4:$Y$4,0)))),"")</f>
        <v/>
      </c>
      <c r="Z230" s="133"/>
      <c r="AA230" s="133"/>
      <c r="AB230" s="283" t="str">
        <f t="shared" si="33"/>
        <v/>
      </c>
      <c r="AC230" s="296" t="str">
        <f t="shared" si="34"/>
        <v/>
      </c>
      <c r="AD230" s="334" t="str">
        <f>IFERROR(IF(AC230="Check Data ⚠","Check Data ⚠",VLOOKUP(AC230,'G-4 Temporal multipliers'!$A$4:$C$37,3,FALSE)),"")</f>
        <v/>
      </c>
      <c r="AE230" s="275" t="str">
        <f>IF(N230="","",VLOOKUP(N230,'G-7 WaterC'' Data'!$B$4:$G$8,5,FALSE))</f>
        <v/>
      </c>
      <c r="AF230" s="283" t="str">
        <f t="shared" si="35"/>
        <v/>
      </c>
      <c r="AG230" s="314" t="str">
        <f t="shared" si="36"/>
        <v/>
      </c>
      <c r="AH230" s="276" t="str">
        <f t="shared" si="30"/>
        <v/>
      </c>
      <c r="AI230" s="105"/>
      <c r="AJ230" s="276" t="str">
        <f>IF(AI230="","",IF(AND(AI230="N/A - Culvert",N230&lt;&gt;"Culvert"),"Not possible ▲",IF(VLOOKUP(AI230,'G-7 WaterC'' Data'!$AA$4:$AB$7,2,FALSE)=0,"Spatial Data Missing ⚠",VLOOKUP(AI230,'G-7 WaterC'' Data'!$AA$4:$AB$7,2,FALSE))))</f>
        <v/>
      </c>
      <c r="AK230" s="106"/>
      <c r="AL230" s="276" t="str">
        <f>IF(AK230="","",IF(AND(AK230="N/A - Culvert",N230&lt;&gt;"Culvert"),"Not possible ▲",IF(VLOOKUP(AK230,'G-7 WaterC'' Data'!$AD$4:$AE$14,2,FALSE)=0,"Spatial Data Missing ⚠",VLOOKUP(AK230,'G-7 WaterC'' Data'!$AD$4:$AE$14,2,FALSE))))</f>
        <v/>
      </c>
      <c r="AM230" s="317" t="str">
        <f t="shared" si="37"/>
        <v/>
      </c>
      <c r="AN230" s="101"/>
      <c r="AO230" s="115"/>
      <c r="AP230" s="104"/>
      <c r="AS230" s="30" t="str">
        <f>IF(B230="","",IF(ISNA(VLOOKUP($B230,'C-1 On-Site WaterC'' Baseline'!$C$8:$AD$257,17,FALSE)),"",(VLOOKUP($B230,'C-1 On-Site WaterC'' Baseline'!$C$8:$AD$257,17,FALSE))))</f>
        <v/>
      </c>
      <c r="AT230" s="30" t="str">
        <f>IF(B230="","",VLOOKUP($B230,'C-1 On-Site WaterC'' Baseline'!$C$9:$Z$257,12,FALSE))</f>
        <v/>
      </c>
      <c r="AU230" s="30" t="str">
        <f>IF(B230="","",VLOOKUP($B230,'C-1 On-Site WaterC'' Baseline'!$C$9:$Z$257,14,FALSE))</f>
        <v/>
      </c>
      <c r="AV230" s="30" t="str">
        <f>IFERROR(INDEX('G-7 WaterC'' Data'!$AZ$3:$AZ$7,MATCH(N230,'G-7 WaterC'' Data'!$AY$3:$AY$7,0)),"")</f>
        <v/>
      </c>
      <c r="AX230" s="30" t="str">
        <f>IF(B230="","",VLOOKUP($B230,'C-1 On-Site WaterC'' Baseline'!$C$9:$Y$257,22,FALSE))</f>
        <v/>
      </c>
      <c r="AY230" s="30" t="str">
        <f t="shared" si="38"/>
        <v/>
      </c>
      <c r="AZ230" s="30" t="str">
        <f>IF(B230="","",VLOOKUP($B230,'C-1 On-Site WaterC'' Baseline'!$C$9:$Y$257,21,FALSE))</f>
        <v/>
      </c>
      <c r="BA230" s="30" t="str">
        <f>IF(B230="","",VLOOKUP($B230,'C-1 On-Site WaterC'' Baseline'!$C$9:$Y$257,19,FALSE))</f>
        <v/>
      </c>
      <c r="BD230" s="30" t="str">
        <f t="shared" si="39"/>
        <v>No</v>
      </c>
    </row>
    <row r="231" spans="2:56" ht="14">
      <c r="B231" s="305" t="str">
        <f>'C-1 On-Site WaterC'' Baseline'!AP229</f>
        <v/>
      </c>
      <c r="C231" s="295" t="str">
        <f>IF(B231="","",VLOOKUP($B231,'C-1 On-Site WaterC'' Baseline'!$C$9:$R$257,2,FALSE))</f>
        <v/>
      </c>
      <c r="D231" s="295" t="str">
        <f>IF(C231="","",VLOOKUP($B231,'C-1 On-Site WaterC'' Baseline'!$C$9:$R$257,3,FALSE))</f>
        <v/>
      </c>
      <c r="E231" s="295" t="str">
        <f>IF(D231="","",VLOOKUP($B231,'C-1 On-Site WaterC'' Baseline'!$C$9:$R$257,4,FALSE))</f>
        <v/>
      </c>
      <c r="F231" s="295" t="str">
        <f>IF(E231="","",VLOOKUP($B231,'C-1 On-Site WaterC'' Baseline'!$C$9:$R$257,5,FALSE))</f>
        <v/>
      </c>
      <c r="G231" s="295" t="str">
        <f>IF(F231="","",VLOOKUP($B231,'C-1 On-Site WaterC'' Baseline'!$C$9:$R$257,6,FALSE))</f>
        <v/>
      </c>
      <c r="H231" s="295" t="str">
        <f>IF(G231="","",VLOOKUP($B231,'C-1 On-Site WaterC'' Baseline'!$C$9:$R$257,7,FALSE))</f>
        <v/>
      </c>
      <c r="I231" s="295" t="str">
        <f>IF(H231="","",VLOOKUP($B231,'C-1 On-Site WaterC'' Baseline'!$C$9:$R$257,8,FALSE))</f>
        <v/>
      </c>
      <c r="J231" s="295" t="str">
        <f>IF(I231="","",VLOOKUP($B231,'C-1 On-Site WaterC'' Baseline'!$C$9:$R$257,9,FALSE))</f>
        <v/>
      </c>
      <c r="K231" s="295" t="str">
        <f>IF(J231="","",VLOOKUP($B231,'C-1 On-Site WaterC'' Baseline'!$C$9:$R$257,10,FALSE))</f>
        <v/>
      </c>
      <c r="L231" s="295" t="str">
        <f>IF(B231="","",VLOOKUP($B231,'C-1 On-Site WaterC'' Baseline'!$C$9:$R$257,15,FALSE))</f>
        <v/>
      </c>
      <c r="M231" s="299" t="str">
        <f>IF(L231="","",VLOOKUP($B231,'C-1 On-Site WaterC'' Baseline'!$C$9:$R$257,16,FALSE))</f>
        <v/>
      </c>
      <c r="N231" s="245"/>
      <c r="O231" s="275" t="str">
        <f t="shared" si="31"/>
        <v/>
      </c>
      <c r="P231" s="276" t="str">
        <f t="shared" si="32"/>
        <v/>
      </c>
      <c r="Q231" s="336" t="str">
        <f>IF(N231="","",VLOOKUP(B231,'C-1 On-Site WaterC'' Baseline'!$C$10:$AC$257,20,FALSE))</f>
        <v/>
      </c>
      <c r="R231" s="275" t="str">
        <f>IF(N231="","",VLOOKUP(N231,'G-7 WaterC'' Data'!$B$2:$G$8,2,FALSE))</f>
        <v/>
      </c>
      <c r="S231" s="276" t="str">
        <f>IFERROR(VLOOKUP(R231,'G-7 WaterC'' Data'!$C$4:$D$8,2,FALSE),"")</f>
        <v/>
      </c>
      <c r="T231" s="101"/>
      <c r="U231" s="276" t="str">
        <f>IFERROR(INDEX('G-7 WaterC'' Data'!$H$4:$L$8,MATCH(N231,'G-7 WaterC'' Data'!$B$4:$B$8,0),MATCH(T231,'G-7 WaterC'' Data'!$H$3:$L$3,0)),"")</f>
        <v/>
      </c>
      <c r="V231" s="101"/>
      <c r="W231" s="283" t="str">
        <f>IF(V231="","",IF(VLOOKUP(V231,'G-7 WaterC'' Data'!$AK$4:$AM$6,2,FALSE)=0,"Spatial Data Missing ⚠",VLOOKUP(V231,'G-7 WaterC'' Data'!$AK$4:$AM$6,2,FALSE)))</f>
        <v/>
      </c>
      <c r="X231" s="276" t="str">
        <f>IF(V231="","",IF(VLOOKUP(V231,'G-7 WaterC'' Data'!$AK$4:$AM$6,3,FALSE)=0,"Spatial Data Missing ⚠",VLOOKUP(V231,'G-7 WaterC'' Data'!$AK$4:$AM$6,3,FALSE)))</f>
        <v/>
      </c>
      <c r="Y231" s="275" t="str">
        <f>IFERROR(IF(OR(LEFT(P231,5)="Error",LEFT(O231,5)="Error"),"Check Data ⚠",IF(F231&lt;S231,'G-7 WaterC'' Data'!$R$3,INDEX('G-7 WaterC'' Data'!$U$5:$Y$9,MATCH(G231,'G-7 WaterC'' Data'!$T$5:$T$9,0),MATCH(T231,'G-7 WaterC'' Data'!$U$4:$Y$4,0)))),"")</f>
        <v/>
      </c>
      <c r="Z231" s="133"/>
      <c r="AA231" s="133"/>
      <c r="AB231" s="283" t="str">
        <f t="shared" si="33"/>
        <v/>
      </c>
      <c r="AC231" s="296" t="str">
        <f t="shared" si="34"/>
        <v/>
      </c>
      <c r="AD231" s="334" t="str">
        <f>IFERROR(IF(AC231="Check Data ⚠","Check Data ⚠",VLOOKUP(AC231,'G-4 Temporal multipliers'!$A$4:$C$37,3,FALSE)),"")</f>
        <v/>
      </c>
      <c r="AE231" s="275" t="str">
        <f>IF(N231="","",VLOOKUP(N231,'G-7 WaterC'' Data'!$B$4:$G$8,5,FALSE))</f>
        <v/>
      </c>
      <c r="AF231" s="283" t="str">
        <f t="shared" si="35"/>
        <v/>
      </c>
      <c r="AG231" s="314" t="str">
        <f t="shared" si="36"/>
        <v/>
      </c>
      <c r="AH231" s="276" t="str">
        <f t="shared" si="30"/>
        <v/>
      </c>
      <c r="AI231" s="105"/>
      <c r="AJ231" s="276" t="str">
        <f>IF(AI231="","",IF(AND(AI231="N/A - Culvert",N231&lt;&gt;"Culvert"),"Not possible ▲",IF(VLOOKUP(AI231,'G-7 WaterC'' Data'!$AA$4:$AB$7,2,FALSE)=0,"Spatial Data Missing ⚠",VLOOKUP(AI231,'G-7 WaterC'' Data'!$AA$4:$AB$7,2,FALSE))))</f>
        <v/>
      </c>
      <c r="AK231" s="106"/>
      <c r="AL231" s="276" t="str">
        <f>IF(AK231="","",IF(AND(AK231="N/A - Culvert",N231&lt;&gt;"Culvert"),"Not possible ▲",IF(VLOOKUP(AK231,'G-7 WaterC'' Data'!$AD$4:$AE$14,2,FALSE)=0,"Spatial Data Missing ⚠",VLOOKUP(AK231,'G-7 WaterC'' Data'!$AD$4:$AE$14,2,FALSE))))</f>
        <v/>
      </c>
      <c r="AM231" s="317" t="str">
        <f t="shared" si="37"/>
        <v/>
      </c>
      <c r="AN231" s="101"/>
      <c r="AO231" s="115"/>
      <c r="AP231" s="104"/>
      <c r="AS231" s="30" t="str">
        <f>IF(B231="","",IF(ISNA(VLOOKUP($B231,'C-1 On-Site WaterC'' Baseline'!$C$8:$AD$257,17,FALSE)),"",(VLOOKUP($B231,'C-1 On-Site WaterC'' Baseline'!$C$8:$AD$257,17,FALSE))))</f>
        <v/>
      </c>
      <c r="AT231" s="30" t="str">
        <f>IF(B231="","",VLOOKUP($B231,'C-1 On-Site WaterC'' Baseline'!$C$9:$Z$257,12,FALSE))</f>
        <v/>
      </c>
      <c r="AU231" s="30" t="str">
        <f>IF(B231="","",VLOOKUP($B231,'C-1 On-Site WaterC'' Baseline'!$C$9:$Z$257,14,FALSE))</f>
        <v/>
      </c>
      <c r="AV231" s="30" t="str">
        <f>IFERROR(INDEX('G-7 WaterC'' Data'!$AZ$3:$AZ$7,MATCH(N231,'G-7 WaterC'' Data'!$AY$3:$AY$7,0)),"")</f>
        <v/>
      </c>
      <c r="AX231" s="30" t="str">
        <f>IF(B231="","",VLOOKUP($B231,'C-1 On-Site WaterC'' Baseline'!$C$9:$Y$257,22,FALSE))</f>
        <v/>
      </c>
      <c r="AY231" s="30" t="str">
        <f t="shared" si="38"/>
        <v/>
      </c>
      <c r="AZ231" s="30" t="str">
        <f>IF(B231="","",VLOOKUP($B231,'C-1 On-Site WaterC'' Baseline'!$C$9:$Y$257,21,FALSE))</f>
        <v/>
      </c>
      <c r="BA231" s="30" t="str">
        <f>IF(B231="","",VLOOKUP($B231,'C-1 On-Site WaterC'' Baseline'!$C$9:$Y$257,19,FALSE))</f>
        <v/>
      </c>
      <c r="BD231" s="30" t="str">
        <f t="shared" si="39"/>
        <v>No</v>
      </c>
    </row>
    <row r="232" spans="2:56" ht="14">
      <c r="B232" s="305" t="str">
        <f>'C-1 On-Site WaterC'' Baseline'!AP230</f>
        <v/>
      </c>
      <c r="C232" s="295" t="str">
        <f>IF(B232="","",VLOOKUP($B232,'C-1 On-Site WaterC'' Baseline'!$C$9:$R$257,2,FALSE))</f>
        <v/>
      </c>
      <c r="D232" s="295" t="str">
        <f>IF(C232="","",VLOOKUP($B232,'C-1 On-Site WaterC'' Baseline'!$C$9:$R$257,3,FALSE))</f>
        <v/>
      </c>
      <c r="E232" s="295" t="str">
        <f>IF(D232="","",VLOOKUP($B232,'C-1 On-Site WaterC'' Baseline'!$C$9:$R$257,4,FALSE))</f>
        <v/>
      </c>
      <c r="F232" s="295" t="str">
        <f>IF(E232="","",VLOOKUP($B232,'C-1 On-Site WaterC'' Baseline'!$C$9:$R$257,5,FALSE))</f>
        <v/>
      </c>
      <c r="G232" s="295" t="str">
        <f>IF(F232="","",VLOOKUP($B232,'C-1 On-Site WaterC'' Baseline'!$C$9:$R$257,6,FALSE))</f>
        <v/>
      </c>
      <c r="H232" s="295" t="str">
        <f>IF(G232="","",VLOOKUP($B232,'C-1 On-Site WaterC'' Baseline'!$C$9:$R$257,7,FALSE))</f>
        <v/>
      </c>
      <c r="I232" s="295" t="str">
        <f>IF(H232="","",VLOOKUP($B232,'C-1 On-Site WaterC'' Baseline'!$C$9:$R$257,8,FALSE))</f>
        <v/>
      </c>
      <c r="J232" s="295" t="str">
        <f>IF(I232="","",VLOOKUP($B232,'C-1 On-Site WaterC'' Baseline'!$C$9:$R$257,9,FALSE))</f>
        <v/>
      </c>
      <c r="K232" s="295" t="str">
        <f>IF(J232="","",VLOOKUP($B232,'C-1 On-Site WaterC'' Baseline'!$C$9:$R$257,10,FALSE))</f>
        <v/>
      </c>
      <c r="L232" s="295" t="str">
        <f>IF(B232="","",VLOOKUP($B232,'C-1 On-Site WaterC'' Baseline'!$C$9:$R$257,15,FALSE))</f>
        <v/>
      </c>
      <c r="M232" s="299" t="str">
        <f>IF(L232="","",VLOOKUP($B232,'C-1 On-Site WaterC'' Baseline'!$C$9:$R$257,16,FALSE))</f>
        <v/>
      </c>
      <c r="N232" s="245"/>
      <c r="O232" s="275" t="str">
        <f t="shared" si="31"/>
        <v/>
      </c>
      <c r="P232" s="276" t="str">
        <f t="shared" si="32"/>
        <v/>
      </c>
      <c r="Q232" s="336" t="str">
        <f>IF(N232="","",VLOOKUP(B232,'C-1 On-Site WaterC'' Baseline'!$C$10:$AC$257,20,FALSE))</f>
        <v/>
      </c>
      <c r="R232" s="275" t="str">
        <f>IF(N232="","",VLOOKUP(N232,'G-7 WaterC'' Data'!$B$2:$G$8,2,FALSE))</f>
        <v/>
      </c>
      <c r="S232" s="276" t="str">
        <f>IFERROR(VLOOKUP(R232,'G-7 WaterC'' Data'!$C$4:$D$8,2,FALSE),"")</f>
        <v/>
      </c>
      <c r="T232" s="101"/>
      <c r="U232" s="276" t="str">
        <f>IFERROR(INDEX('G-7 WaterC'' Data'!$H$4:$L$8,MATCH(N232,'G-7 WaterC'' Data'!$B$4:$B$8,0),MATCH(T232,'G-7 WaterC'' Data'!$H$3:$L$3,0)),"")</f>
        <v/>
      </c>
      <c r="V232" s="101"/>
      <c r="W232" s="283" t="str">
        <f>IF(V232="","",IF(VLOOKUP(V232,'G-7 WaterC'' Data'!$AK$4:$AM$6,2,FALSE)=0,"Spatial Data Missing ⚠",VLOOKUP(V232,'G-7 WaterC'' Data'!$AK$4:$AM$6,2,FALSE)))</f>
        <v/>
      </c>
      <c r="X232" s="276" t="str">
        <f>IF(V232="","",IF(VLOOKUP(V232,'G-7 WaterC'' Data'!$AK$4:$AM$6,3,FALSE)=0,"Spatial Data Missing ⚠",VLOOKUP(V232,'G-7 WaterC'' Data'!$AK$4:$AM$6,3,FALSE)))</f>
        <v/>
      </c>
      <c r="Y232" s="275" t="str">
        <f>IFERROR(IF(OR(LEFT(P232,5)="Error",LEFT(O232,5)="Error"),"Check Data ⚠",IF(F232&lt;S232,'G-7 WaterC'' Data'!$R$3,INDEX('G-7 WaterC'' Data'!$U$5:$Y$9,MATCH(G232,'G-7 WaterC'' Data'!$T$5:$T$9,0),MATCH(T232,'G-7 WaterC'' Data'!$U$4:$Y$4,0)))),"")</f>
        <v/>
      </c>
      <c r="Z232" s="133"/>
      <c r="AA232" s="133"/>
      <c r="AB232" s="283" t="str">
        <f t="shared" si="33"/>
        <v/>
      </c>
      <c r="AC232" s="296" t="str">
        <f t="shared" si="34"/>
        <v/>
      </c>
      <c r="AD232" s="334" t="str">
        <f>IFERROR(IF(AC232="Check Data ⚠","Check Data ⚠",VLOOKUP(AC232,'G-4 Temporal multipliers'!$A$4:$C$37,3,FALSE)),"")</f>
        <v/>
      </c>
      <c r="AE232" s="275" t="str">
        <f>IF(N232="","",VLOOKUP(N232,'G-7 WaterC'' Data'!$B$4:$G$8,5,FALSE))</f>
        <v/>
      </c>
      <c r="AF232" s="283" t="str">
        <f t="shared" si="35"/>
        <v/>
      </c>
      <c r="AG232" s="314" t="str">
        <f t="shared" si="36"/>
        <v/>
      </c>
      <c r="AH232" s="276" t="str">
        <f t="shared" si="30"/>
        <v/>
      </c>
      <c r="AI232" s="105"/>
      <c r="AJ232" s="276" t="str">
        <f>IF(AI232="","",IF(AND(AI232="N/A - Culvert",N232&lt;&gt;"Culvert"),"Not possible ▲",IF(VLOOKUP(AI232,'G-7 WaterC'' Data'!$AA$4:$AB$7,2,FALSE)=0,"Spatial Data Missing ⚠",VLOOKUP(AI232,'G-7 WaterC'' Data'!$AA$4:$AB$7,2,FALSE))))</f>
        <v/>
      </c>
      <c r="AK232" s="106"/>
      <c r="AL232" s="276" t="str">
        <f>IF(AK232="","",IF(AND(AK232="N/A - Culvert",N232&lt;&gt;"Culvert"),"Not possible ▲",IF(VLOOKUP(AK232,'G-7 WaterC'' Data'!$AD$4:$AE$14,2,FALSE)=0,"Spatial Data Missing ⚠",VLOOKUP(AK232,'G-7 WaterC'' Data'!$AD$4:$AE$14,2,FALSE))))</f>
        <v/>
      </c>
      <c r="AM232" s="317" t="str">
        <f t="shared" si="37"/>
        <v/>
      </c>
      <c r="AN232" s="101"/>
      <c r="AO232" s="115"/>
      <c r="AP232" s="104"/>
      <c r="AS232" s="30" t="str">
        <f>IF(B232="","",IF(ISNA(VLOOKUP($B232,'C-1 On-Site WaterC'' Baseline'!$C$8:$AD$257,17,FALSE)),"",(VLOOKUP($B232,'C-1 On-Site WaterC'' Baseline'!$C$8:$AD$257,17,FALSE))))</f>
        <v/>
      </c>
      <c r="AT232" s="30" t="str">
        <f>IF(B232="","",VLOOKUP($B232,'C-1 On-Site WaterC'' Baseline'!$C$9:$Z$257,12,FALSE))</f>
        <v/>
      </c>
      <c r="AU232" s="30" t="str">
        <f>IF(B232="","",VLOOKUP($B232,'C-1 On-Site WaterC'' Baseline'!$C$9:$Z$257,14,FALSE))</f>
        <v/>
      </c>
      <c r="AV232" s="30" t="str">
        <f>IFERROR(INDEX('G-7 WaterC'' Data'!$AZ$3:$AZ$7,MATCH(N232,'G-7 WaterC'' Data'!$AY$3:$AY$7,0)),"")</f>
        <v/>
      </c>
      <c r="AX232" s="30" t="str">
        <f>IF(B232="","",VLOOKUP($B232,'C-1 On-Site WaterC'' Baseline'!$C$9:$Y$257,22,FALSE))</f>
        <v/>
      </c>
      <c r="AY232" s="30" t="str">
        <f t="shared" si="38"/>
        <v/>
      </c>
      <c r="AZ232" s="30" t="str">
        <f>IF(B232="","",VLOOKUP($B232,'C-1 On-Site WaterC'' Baseline'!$C$9:$Y$257,21,FALSE))</f>
        <v/>
      </c>
      <c r="BA232" s="30" t="str">
        <f>IF(B232="","",VLOOKUP($B232,'C-1 On-Site WaterC'' Baseline'!$C$9:$Y$257,19,FALSE))</f>
        <v/>
      </c>
      <c r="BD232" s="30" t="str">
        <f t="shared" si="39"/>
        <v>No</v>
      </c>
    </row>
    <row r="233" spans="2:56" ht="14">
      <c r="B233" s="305" t="str">
        <f>'C-1 On-Site WaterC'' Baseline'!AP231</f>
        <v/>
      </c>
      <c r="C233" s="295" t="str">
        <f>IF(B233="","",VLOOKUP($B233,'C-1 On-Site WaterC'' Baseline'!$C$9:$R$257,2,FALSE))</f>
        <v/>
      </c>
      <c r="D233" s="295" t="str">
        <f>IF(C233="","",VLOOKUP($B233,'C-1 On-Site WaterC'' Baseline'!$C$9:$R$257,3,FALSE))</f>
        <v/>
      </c>
      <c r="E233" s="295" t="str">
        <f>IF(D233="","",VLOOKUP($B233,'C-1 On-Site WaterC'' Baseline'!$C$9:$R$257,4,FALSE))</f>
        <v/>
      </c>
      <c r="F233" s="295" t="str">
        <f>IF(E233="","",VLOOKUP($B233,'C-1 On-Site WaterC'' Baseline'!$C$9:$R$257,5,FALSE))</f>
        <v/>
      </c>
      <c r="G233" s="295" t="str">
        <f>IF(F233="","",VLOOKUP($B233,'C-1 On-Site WaterC'' Baseline'!$C$9:$R$257,6,FALSE))</f>
        <v/>
      </c>
      <c r="H233" s="295" t="str">
        <f>IF(G233="","",VLOOKUP($B233,'C-1 On-Site WaterC'' Baseline'!$C$9:$R$257,7,FALSE))</f>
        <v/>
      </c>
      <c r="I233" s="295" t="str">
        <f>IF(H233="","",VLOOKUP($B233,'C-1 On-Site WaterC'' Baseline'!$C$9:$R$257,8,FALSE))</f>
        <v/>
      </c>
      <c r="J233" s="295" t="str">
        <f>IF(I233="","",VLOOKUP($B233,'C-1 On-Site WaterC'' Baseline'!$C$9:$R$257,9,FALSE))</f>
        <v/>
      </c>
      <c r="K233" s="295" t="str">
        <f>IF(J233="","",VLOOKUP($B233,'C-1 On-Site WaterC'' Baseline'!$C$9:$R$257,10,FALSE))</f>
        <v/>
      </c>
      <c r="L233" s="295" t="str">
        <f>IF(B233="","",VLOOKUP($B233,'C-1 On-Site WaterC'' Baseline'!$C$9:$R$257,15,FALSE))</f>
        <v/>
      </c>
      <c r="M233" s="299" t="str">
        <f>IF(L233="","",VLOOKUP($B233,'C-1 On-Site WaterC'' Baseline'!$C$9:$R$257,16,FALSE))</f>
        <v/>
      </c>
      <c r="N233" s="245"/>
      <c r="O233" s="275" t="str">
        <f t="shared" si="31"/>
        <v/>
      </c>
      <c r="P233" s="276" t="str">
        <f t="shared" si="32"/>
        <v/>
      </c>
      <c r="Q233" s="336" t="str">
        <f>IF(N233="","",VLOOKUP(B233,'C-1 On-Site WaterC'' Baseline'!$C$10:$AC$257,20,FALSE))</f>
        <v/>
      </c>
      <c r="R233" s="275" t="str">
        <f>IF(N233="","",VLOOKUP(N233,'G-7 WaterC'' Data'!$B$2:$G$8,2,FALSE))</f>
        <v/>
      </c>
      <c r="S233" s="276" t="str">
        <f>IFERROR(VLOOKUP(R233,'G-7 WaterC'' Data'!$C$4:$D$8,2,FALSE),"")</f>
        <v/>
      </c>
      <c r="T233" s="101"/>
      <c r="U233" s="276" t="str">
        <f>IFERROR(INDEX('G-7 WaterC'' Data'!$H$4:$L$8,MATCH(N233,'G-7 WaterC'' Data'!$B$4:$B$8,0),MATCH(T233,'G-7 WaterC'' Data'!$H$3:$L$3,0)),"")</f>
        <v/>
      </c>
      <c r="V233" s="101"/>
      <c r="W233" s="283" t="str">
        <f>IF(V233="","",IF(VLOOKUP(V233,'G-7 WaterC'' Data'!$AK$4:$AM$6,2,FALSE)=0,"Spatial Data Missing ⚠",VLOOKUP(V233,'G-7 WaterC'' Data'!$AK$4:$AM$6,2,FALSE)))</f>
        <v/>
      </c>
      <c r="X233" s="276" t="str">
        <f>IF(V233="","",IF(VLOOKUP(V233,'G-7 WaterC'' Data'!$AK$4:$AM$6,3,FALSE)=0,"Spatial Data Missing ⚠",VLOOKUP(V233,'G-7 WaterC'' Data'!$AK$4:$AM$6,3,FALSE)))</f>
        <v/>
      </c>
      <c r="Y233" s="275" t="str">
        <f>IFERROR(IF(OR(LEFT(P233,5)="Error",LEFT(O233,5)="Error"),"Check Data ⚠",IF(F233&lt;S233,'G-7 WaterC'' Data'!$R$3,INDEX('G-7 WaterC'' Data'!$U$5:$Y$9,MATCH(G233,'G-7 WaterC'' Data'!$T$5:$T$9,0),MATCH(T233,'G-7 WaterC'' Data'!$U$4:$Y$4,0)))),"")</f>
        <v/>
      </c>
      <c r="Z233" s="133"/>
      <c r="AA233" s="133"/>
      <c r="AB233" s="283" t="str">
        <f t="shared" si="33"/>
        <v/>
      </c>
      <c r="AC233" s="296" t="str">
        <f t="shared" si="34"/>
        <v/>
      </c>
      <c r="AD233" s="334" t="str">
        <f>IFERROR(IF(AC233="Check Data ⚠","Check Data ⚠",VLOOKUP(AC233,'G-4 Temporal multipliers'!$A$4:$C$37,3,FALSE)),"")</f>
        <v/>
      </c>
      <c r="AE233" s="275" t="str">
        <f>IF(N233="","",VLOOKUP(N233,'G-7 WaterC'' Data'!$B$4:$G$8,5,FALSE))</f>
        <v/>
      </c>
      <c r="AF233" s="283" t="str">
        <f t="shared" si="35"/>
        <v/>
      </c>
      <c r="AG233" s="314" t="str">
        <f t="shared" si="36"/>
        <v/>
      </c>
      <c r="AH233" s="276" t="str">
        <f t="shared" si="30"/>
        <v/>
      </c>
      <c r="AI233" s="105"/>
      <c r="AJ233" s="276" t="str">
        <f>IF(AI233="","",IF(AND(AI233="N/A - Culvert",N233&lt;&gt;"Culvert"),"Not possible ▲",IF(VLOOKUP(AI233,'G-7 WaterC'' Data'!$AA$4:$AB$7,2,FALSE)=0,"Spatial Data Missing ⚠",VLOOKUP(AI233,'G-7 WaterC'' Data'!$AA$4:$AB$7,2,FALSE))))</f>
        <v/>
      </c>
      <c r="AK233" s="106"/>
      <c r="AL233" s="276" t="str">
        <f>IF(AK233="","",IF(AND(AK233="N/A - Culvert",N233&lt;&gt;"Culvert"),"Not possible ▲",IF(VLOOKUP(AK233,'G-7 WaterC'' Data'!$AD$4:$AE$14,2,FALSE)=0,"Spatial Data Missing ⚠",VLOOKUP(AK233,'G-7 WaterC'' Data'!$AD$4:$AE$14,2,FALSE))))</f>
        <v/>
      </c>
      <c r="AM233" s="317" t="str">
        <f t="shared" si="37"/>
        <v/>
      </c>
      <c r="AN233" s="101"/>
      <c r="AO233" s="115"/>
      <c r="AP233" s="104"/>
      <c r="AS233" s="30" t="str">
        <f>IF(B233="","",IF(ISNA(VLOOKUP($B233,'C-1 On-Site WaterC'' Baseline'!$C$8:$AD$257,17,FALSE)),"",(VLOOKUP($B233,'C-1 On-Site WaterC'' Baseline'!$C$8:$AD$257,17,FALSE))))</f>
        <v/>
      </c>
      <c r="AT233" s="30" t="str">
        <f>IF(B233="","",VLOOKUP($B233,'C-1 On-Site WaterC'' Baseline'!$C$9:$Z$257,12,FALSE))</f>
        <v/>
      </c>
      <c r="AU233" s="30" t="str">
        <f>IF(B233="","",VLOOKUP($B233,'C-1 On-Site WaterC'' Baseline'!$C$9:$Z$257,14,FALSE))</f>
        <v/>
      </c>
      <c r="AV233" s="30" t="str">
        <f>IFERROR(INDEX('G-7 WaterC'' Data'!$AZ$3:$AZ$7,MATCH(N233,'G-7 WaterC'' Data'!$AY$3:$AY$7,0)),"")</f>
        <v/>
      </c>
      <c r="AX233" s="30" t="str">
        <f>IF(B233="","",VLOOKUP($B233,'C-1 On-Site WaterC'' Baseline'!$C$9:$Y$257,22,FALSE))</f>
        <v/>
      </c>
      <c r="AY233" s="30" t="str">
        <f t="shared" si="38"/>
        <v/>
      </c>
      <c r="AZ233" s="30" t="str">
        <f>IF(B233="","",VLOOKUP($B233,'C-1 On-Site WaterC'' Baseline'!$C$9:$Y$257,21,FALSE))</f>
        <v/>
      </c>
      <c r="BA233" s="30" t="str">
        <f>IF(B233="","",VLOOKUP($B233,'C-1 On-Site WaterC'' Baseline'!$C$9:$Y$257,19,FALSE))</f>
        <v/>
      </c>
      <c r="BD233" s="30" t="str">
        <f t="shared" si="39"/>
        <v>No</v>
      </c>
    </row>
    <row r="234" spans="2:56" ht="14">
      <c r="B234" s="305" t="str">
        <f>'C-1 On-Site WaterC'' Baseline'!AP232</f>
        <v/>
      </c>
      <c r="C234" s="295" t="str">
        <f>IF(B234="","",VLOOKUP($B234,'C-1 On-Site WaterC'' Baseline'!$C$9:$R$257,2,FALSE))</f>
        <v/>
      </c>
      <c r="D234" s="295" t="str">
        <f>IF(C234="","",VLOOKUP($B234,'C-1 On-Site WaterC'' Baseline'!$C$9:$R$257,3,FALSE))</f>
        <v/>
      </c>
      <c r="E234" s="295" t="str">
        <f>IF(D234="","",VLOOKUP($B234,'C-1 On-Site WaterC'' Baseline'!$C$9:$R$257,4,FALSE))</f>
        <v/>
      </c>
      <c r="F234" s="295" t="str">
        <f>IF(E234="","",VLOOKUP($B234,'C-1 On-Site WaterC'' Baseline'!$C$9:$R$257,5,FALSE))</f>
        <v/>
      </c>
      <c r="G234" s="295" t="str">
        <f>IF(F234="","",VLOOKUP($B234,'C-1 On-Site WaterC'' Baseline'!$C$9:$R$257,6,FALSE))</f>
        <v/>
      </c>
      <c r="H234" s="295" t="str">
        <f>IF(G234="","",VLOOKUP($B234,'C-1 On-Site WaterC'' Baseline'!$C$9:$R$257,7,FALSE))</f>
        <v/>
      </c>
      <c r="I234" s="295" t="str">
        <f>IF(H234="","",VLOOKUP($B234,'C-1 On-Site WaterC'' Baseline'!$C$9:$R$257,8,FALSE))</f>
        <v/>
      </c>
      <c r="J234" s="295" t="str">
        <f>IF(I234="","",VLOOKUP($B234,'C-1 On-Site WaterC'' Baseline'!$C$9:$R$257,9,FALSE))</f>
        <v/>
      </c>
      <c r="K234" s="295" t="str">
        <f>IF(J234="","",VLOOKUP($B234,'C-1 On-Site WaterC'' Baseline'!$C$9:$R$257,10,FALSE))</f>
        <v/>
      </c>
      <c r="L234" s="295" t="str">
        <f>IF(B234="","",VLOOKUP($B234,'C-1 On-Site WaterC'' Baseline'!$C$9:$R$257,15,FALSE))</f>
        <v/>
      </c>
      <c r="M234" s="299" t="str">
        <f>IF(L234="","",VLOOKUP($B234,'C-1 On-Site WaterC'' Baseline'!$C$9:$R$257,16,FALSE))</f>
        <v/>
      </c>
      <c r="N234" s="245"/>
      <c r="O234" s="275" t="str">
        <f t="shared" si="31"/>
        <v/>
      </c>
      <c r="P234" s="276" t="str">
        <f t="shared" si="32"/>
        <v/>
      </c>
      <c r="Q234" s="336" t="str">
        <f>IF(N234="","",VLOOKUP(B234,'C-1 On-Site WaterC'' Baseline'!$C$10:$AC$257,20,FALSE))</f>
        <v/>
      </c>
      <c r="R234" s="275" t="str">
        <f>IF(N234="","",VLOOKUP(N234,'G-7 WaterC'' Data'!$B$2:$G$8,2,FALSE))</f>
        <v/>
      </c>
      <c r="S234" s="276" t="str">
        <f>IFERROR(VLOOKUP(R234,'G-7 WaterC'' Data'!$C$4:$D$8,2,FALSE),"")</f>
        <v/>
      </c>
      <c r="T234" s="101"/>
      <c r="U234" s="276" t="str">
        <f>IFERROR(INDEX('G-7 WaterC'' Data'!$H$4:$L$8,MATCH(N234,'G-7 WaterC'' Data'!$B$4:$B$8,0),MATCH(T234,'G-7 WaterC'' Data'!$H$3:$L$3,0)),"")</f>
        <v/>
      </c>
      <c r="V234" s="101"/>
      <c r="W234" s="283" t="str">
        <f>IF(V234="","",IF(VLOOKUP(V234,'G-7 WaterC'' Data'!$AK$4:$AM$6,2,FALSE)=0,"Spatial Data Missing ⚠",VLOOKUP(V234,'G-7 WaterC'' Data'!$AK$4:$AM$6,2,FALSE)))</f>
        <v/>
      </c>
      <c r="X234" s="276" t="str">
        <f>IF(V234="","",IF(VLOOKUP(V234,'G-7 WaterC'' Data'!$AK$4:$AM$6,3,FALSE)=0,"Spatial Data Missing ⚠",VLOOKUP(V234,'G-7 WaterC'' Data'!$AK$4:$AM$6,3,FALSE)))</f>
        <v/>
      </c>
      <c r="Y234" s="275" t="str">
        <f>IFERROR(IF(OR(LEFT(P234,5)="Error",LEFT(O234,5)="Error"),"Check Data ⚠",IF(F234&lt;S234,'G-7 WaterC'' Data'!$R$3,INDEX('G-7 WaterC'' Data'!$U$5:$Y$9,MATCH(G234,'G-7 WaterC'' Data'!$T$5:$T$9,0),MATCH(T234,'G-7 WaterC'' Data'!$U$4:$Y$4,0)))),"")</f>
        <v/>
      </c>
      <c r="Z234" s="133"/>
      <c r="AA234" s="133"/>
      <c r="AB234" s="283" t="str">
        <f t="shared" si="33"/>
        <v/>
      </c>
      <c r="AC234" s="296" t="str">
        <f t="shared" si="34"/>
        <v/>
      </c>
      <c r="AD234" s="334" t="str">
        <f>IFERROR(IF(AC234="Check Data ⚠","Check Data ⚠",VLOOKUP(AC234,'G-4 Temporal multipliers'!$A$4:$C$37,3,FALSE)),"")</f>
        <v/>
      </c>
      <c r="AE234" s="275" t="str">
        <f>IF(N234="","",VLOOKUP(N234,'G-7 WaterC'' Data'!$B$4:$G$8,5,FALSE))</f>
        <v/>
      </c>
      <c r="AF234" s="283" t="str">
        <f t="shared" si="35"/>
        <v/>
      </c>
      <c r="AG234" s="314" t="str">
        <f t="shared" si="36"/>
        <v/>
      </c>
      <c r="AH234" s="276" t="str">
        <f t="shared" si="30"/>
        <v/>
      </c>
      <c r="AI234" s="105"/>
      <c r="AJ234" s="276" t="str">
        <f>IF(AI234="","",IF(AND(AI234="N/A - Culvert",N234&lt;&gt;"Culvert"),"Not possible ▲",IF(VLOOKUP(AI234,'G-7 WaterC'' Data'!$AA$4:$AB$7,2,FALSE)=0,"Spatial Data Missing ⚠",VLOOKUP(AI234,'G-7 WaterC'' Data'!$AA$4:$AB$7,2,FALSE))))</f>
        <v/>
      </c>
      <c r="AK234" s="106"/>
      <c r="AL234" s="276" t="str">
        <f>IF(AK234="","",IF(AND(AK234="N/A - Culvert",N234&lt;&gt;"Culvert"),"Not possible ▲",IF(VLOOKUP(AK234,'G-7 WaterC'' Data'!$AD$4:$AE$14,2,FALSE)=0,"Spatial Data Missing ⚠",VLOOKUP(AK234,'G-7 WaterC'' Data'!$AD$4:$AE$14,2,FALSE))))</f>
        <v/>
      </c>
      <c r="AM234" s="317" t="str">
        <f t="shared" si="37"/>
        <v/>
      </c>
      <c r="AN234" s="101"/>
      <c r="AO234" s="115"/>
      <c r="AP234" s="104"/>
      <c r="AS234" s="30" t="str">
        <f>IF(B234="","",IF(ISNA(VLOOKUP($B234,'C-1 On-Site WaterC'' Baseline'!$C$8:$AD$257,17,FALSE)),"",(VLOOKUP($B234,'C-1 On-Site WaterC'' Baseline'!$C$8:$AD$257,17,FALSE))))</f>
        <v/>
      </c>
      <c r="AT234" s="30" t="str">
        <f>IF(B234="","",VLOOKUP($B234,'C-1 On-Site WaterC'' Baseline'!$C$9:$Z$257,12,FALSE))</f>
        <v/>
      </c>
      <c r="AU234" s="30" t="str">
        <f>IF(B234="","",VLOOKUP($B234,'C-1 On-Site WaterC'' Baseline'!$C$9:$Z$257,14,FALSE))</f>
        <v/>
      </c>
      <c r="AV234" s="30" t="str">
        <f>IFERROR(INDEX('G-7 WaterC'' Data'!$AZ$3:$AZ$7,MATCH(N234,'G-7 WaterC'' Data'!$AY$3:$AY$7,0)),"")</f>
        <v/>
      </c>
      <c r="AX234" s="30" t="str">
        <f>IF(B234="","",VLOOKUP($B234,'C-1 On-Site WaterC'' Baseline'!$C$9:$Y$257,22,FALSE))</f>
        <v/>
      </c>
      <c r="AY234" s="30" t="str">
        <f t="shared" si="38"/>
        <v/>
      </c>
      <c r="AZ234" s="30" t="str">
        <f>IF(B234="","",VLOOKUP($B234,'C-1 On-Site WaterC'' Baseline'!$C$9:$Y$257,21,FALSE))</f>
        <v/>
      </c>
      <c r="BA234" s="30" t="str">
        <f>IF(B234="","",VLOOKUP($B234,'C-1 On-Site WaterC'' Baseline'!$C$9:$Y$257,19,FALSE))</f>
        <v/>
      </c>
      <c r="BD234" s="30" t="str">
        <f t="shared" si="39"/>
        <v>No</v>
      </c>
    </row>
    <row r="235" spans="2:56" ht="14">
      <c r="B235" s="305" t="str">
        <f>'C-1 On-Site WaterC'' Baseline'!AP233</f>
        <v/>
      </c>
      <c r="C235" s="295" t="str">
        <f>IF(B235="","",VLOOKUP($B235,'C-1 On-Site WaterC'' Baseline'!$C$9:$R$257,2,FALSE))</f>
        <v/>
      </c>
      <c r="D235" s="295" t="str">
        <f>IF(C235="","",VLOOKUP($B235,'C-1 On-Site WaterC'' Baseline'!$C$9:$R$257,3,FALSE))</f>
        <v/>
      </c>
      <c r="E235" s="295" t="str">
        <f>IF(D235="","",VLOOKUP($B235,'C-1 On-Site WaterC'' Baseline'!$C$9:$R$257,4,FALSE))</f>
        <v/>
      </c>
      <c r="F235" s="295" t="str">
        <f>IF(E235="","",VLOOKUP($B235,'C-1 On-Site WaterC'' Baseline'!$C$9:$R$257,5,FALSE))</f>
        <v/>
      </c>
      <c r="G235" s="295" t="str">
        <f>IF(F235="","",VLOOKUP($B235,'C-1 On-Site WaterC'' Baseline'!$C$9:$R$257,6,FALSE))</f>
        <v/>
      </c>
      <c r="H235" s="295" t="str">
        <f>IF(G235="","",VLOOKUP($B235,'C-1 On-Site WaterC'' Baseline'!$C$9:$R$257,7,FALSE))</f>
        <v/>
      </c>
      <c r="I235" s="295" t="str">
        <f>IF(H235="","",VLOOKUP($B235,'C-1 On-Site WaterC'' Baseline'!$C$9:$R$257,8,FALSE))</f>
        <v/>
      </c>
      <c r="J235" s="295" t="str">
        <f>IF(I235="","",VLOOKUP($B235,'C-1 On-Site WaterC'' Baseline'!$C$9:$R$257,9,FALSE))</f>
        <v/>
      </c>
      <c r="K235" s="295" t="str">
        <f>IF(J235="","",VLOOKUP($B235,'C-1 On-Site WaterC'' Baseline'!$C$9:$R$257,10,FALSE))</f>
        <v/>
      </c>
      <c r="L235" s="295" t="str">
        <f>IF(B235="","",VLOOKUP($B235,'C-1 On-Site WaterC'' Baseline'!$C$9:$R$257,15,FALSE))</f>
        <v/>
      </c>
      <c r="M235" s="299" t="str">
        <f>IF(L235="","",VLOOKUP($B235,'C-1 On-Site WaterC'' Baseline'!$C$9:$R$257,16,FALSE))</f>
        <v/>
      </c>
      <c r="N235" s="245"/>
      <c r="O235" s="275" t="str">
        <f t="shared" si="31"/>
        <v/>
      </c>
      <c r="P235" s="276" t="str">
        <f t="shared" si="32"/>
        <v/>
      </c>
      <c r="Q235" s="336" t="str">
        <f>IF(N235="","",VLOOKUP(B235,'C-1 On-Site WaterC'' Baseline'!$C$10:$AC$257,20,FALSE))</f>
        <v/>
      </c>
      <c r="R235" s="275" t="str">
        <f>IF(N235="","",VLOOKUP(N235,'G-7 WaterC'' Data'!$B$2:$G$8,2,FALSE))</f>
        <v/>
      </c>
      <c r="S235" s="276" t="str">
        <f>IFERROR(VLOOKUP(R235,'G-7 WaterC'' Data'!$C$4:$D$8,2,FALSE),"")</f>
        <v/>
      </c>
      <c r="T235" s="101"/>
      <c r="U235" s="276" t="str">
        <f>IFERROR(INDEX('G-7 WaterC'' Data'!$H$4:$L$8,MATCH(N235,'G-7 WaterC'' Data'!$B$4:$B$8,0),MATCH(T235,'G-7 WaterC'' Data'!$H$3:$L$3,0)),"")</f>
        <v/>
      </c>
      <c r="V235" s="101"/>
      <c r="W235" s="283" t="str">
        <f>IF(V235="","",IF(VLOOKUP(V235,'G-7 WaterC'' Data'!$AK$4:$AM$6,2,FALSE)=0,"Spatial Data Missing ⚠",VLOOKUP(V235,'G-7 WaterC'' Data'!$AK$4:$AM$6,2,FALSE)))</f>
        <v/>
      </c>
      <c r="X235" s="276" t="str">
        <f>IF(V235="","",IF(VLOOKUP(V235,'G-7 WaterC'' Data'!$AK$4:$AM$6,3,FALSE)=0,"Spatial Data Missing ⚠",VLOOKUP(V235,'G-7 WaterC'' Data'!$AK$4:$AM$6,3,FALSE)))</f>
        <v/>
      </c>
      <c r="Y235" s="275" t="str">
        <f>IFERROR(IF(OR(LEFT(P235,5)="Error",LEFT(O235,5)="Error"),"Check Data ⚠",IF(F235&lt;S235,'G-7 WaterC'' Data'!$R$3,INDEX('G-7 WaterC'' Data'!$U$5:$Y$9,MATCH(G235,'G-7 WaterC'' Data'!$T$5:$T$9,0),MATCH(T235,'G-7 WaterC'' Data'!$U$4:$Y$4,0)))),"")</f>
        <v/>
      </c>
      <c r="Z235" s="133"/>
      <c r="AA235" s="133"/>
      <c r="AB235" s="283" t="str">
        <f t="shared" si="33"/>
        <v/>
      </c>
      <c r="AC235" s="296" t="str">
        <f t="shared" si="34"/>
        <v/>
      </c>
      <c r="AD235" s="334" t="str">
        <f>IFERROR(IF(AC235="Check Data ⚠","Check Data ⚠",VLOOKUP(AC235,'G-4 Temporal multipliers'!$A$4:$C$37,3,FALSE)),"")</f>
        <v/>
      </c>
      <c r="AE235" s="275" t="str">
        <f>IF(N235="","",VLOOKUP(N235,'G-7 WaterC'' Data'!$B$4:$G$8,5,FALSE))</f>
        <v/>
      </c>
      <c r="AF235" s="283" t="str">
        <f t="shared" si="35"/>
        <v/>
      </c>
      <c r="AG235" s="314" t="str">
        <f t="shared" si="36"/>
        <v/>
      </c>
      <c r="AH235" s="276" t="str">
        <f t="shared" si="30"/>
        <v/>
      </c>
      <c r="AI235" s="105"/>
      <c r="AJ235" s="276" t="str">
        <f>IF(AI235="","",IF(AND(AI235="N/A - Culvert",N235&lt;&gt;"Culvert"),"Not possible ▲",IF(VLOOKUP(AI235,'G-7 WaterC'' Data'!$AA$4:$AB$7,2,FALSE)=0,"Spatial Data Missing ⚠",VLOOKUP(AI235,'G-7 WaterC'' Data'!$AA$4:$AB$7,2,FALSE))))</f>
        <v/>
      </c>
      <c r="AK235" s="106"/>
      <c r="AL235" s="276" t="str">
        <f>IF(AK235="","",IF(AND(AK235="N/A - Culvert",N235&lt;&gt;"Culvert"),"Not possible ▲",IF(VLOOKUP(AK235,'G-7 WaterC'' Data'!$AD$4:$AE$14,2,FALSE)=0,"Spatial Data Missing ⚠",VLOOKUP(AK235,'G-7 WaterC'' Data'!$AD$4:$AE$14,2,FALSE))))</f>
        <v/>
      </c>
      <c r="AM235" s="317" t="str">
        <f t="shared" si="37"/>
        <v/>
      </c>
      <c r="AN235" s="101"/>
      <c r="AO235" s="115"/>
      <c r="AP235" s="104"/>
      <c r="AS235" s="30" t="str">
        <f>IF(B235="","",IF(ISNA(VLOOKUP($B235,'C-1 On-Site WaterC'' Baseline'!$C$8:$AD$257,17,FALSE)),"",(VLOOKUP($B235,'C-1 On-Site WaterC'' Baseline'!$C$8:$AD$257,17,FALSE))))</f>
        <v/>
      </c>
      <c r="AT235" s="30" t="str">
        <f>IF(B235="","",VLOOKUP($B235,'C-1 On-Site WaterC'' Baseline'!$C$9:$Z$257,12,FALSE))</f>
        <v/>
      </c>
      <c r="AU235" s="30" t="str">
        <f>IF(B235="","",VLOOKUP($B235,'C-1 On-Site WaterC'' Baseline'!$C$9:$Z$257,14,FALSE))</f>
        <v/>
      </c>
      <c r="AV235" s="30" t="str">
        <f>IFERROR(INDEX('G-7 WaterC'' Data'!$AZ$3:$AZ$7,MATCH(N235,'G-7 WaterC'' Data'!$AY$3:$AY$7,0)),"")</f>
        <v/>
      </c>
      <c r="AX235" s="30" t="str">
        <f>IF(B235="","",VLOOKUP($B235,'C-1 On-Site WaterC'' Baseline'!$C$9:$Y$257,22,FALSE))</f>
        <v/>
      </c>
      <c r="AY235" s="30" t="str">
        <f t="shared" si="38"/>
        <v/>
      </c>
      <c r="AZ235" s="30" t="str">
        <f>IF(B235="","",VLOOKUP($B235,'C-1 On-Site WaterC'' Baseline'!$C$9:$Y$257,21,FALSE))</f>
        <v/>
      </c>
      <c r="BA235" s="30" t="str">
        <f>IF(B235="","",VLOOKUP($B235,'C-1 On-Site WaterC'' Baseline'!$C$9:$Y$257,19,FALSE))</f>
        <v/>
      </c>
      <c r="BD235" s="30" t="str">
        <f t="shared" si="39"/>
        <v>No</v>
      </c>
    </row>
    <row r="236" spans="2:56" ht="14">
      <c r="B236" s="305" t="str">
        <f>'C-1 On-Site WaterC'' Baseline'!AP234</f>
        <v/>
      </c>
      <c r="C236" s="295" t="str">
        <f>IF(B236="","",VLOOKUP($B236,'C-1 On-Site WaterC'' Baseline'!$C$9:$R$257,2,FALSE))</f>
        <v/>
      </c>
      <c r="D236" s="295" t="str">
        <f>IF(C236="","",VLOOKUP($B236,'C-1 On-Site WaterC'' Baseline'!$C$9:$R$257,3,FALSE))</f>
        <v/>
      </c>
      <c r="E236" s="295" t="str">
        <f>IF(D236="","",VLOOKUP($B236,'C-1 On-Site WaterC'' Baseline'!$C$9:$R$257,4,FALSE))</f>
        <v/>
      </c>
      <c r="F236" s="295" t="str">
        <f>IF(E236="","",VLOOKUP($B236,'C-1 On-Site WaterC'' Baseline'!$C$9:$R$257,5,FALSE))</f>
        <v/>
      </c>
      <c r="G236" s="295" t="str">
        <f>IF(F236="","",VLOOKUP($B236,'C-1 On-Site WaterC'' Baseline'!$C$9:$R$257,6,FALSE))</f>
        <v/>
      </c>
      <c r="H236" s="295" t="str">
        <f>IF(G236="","",VLOOKUP($B236,'C-1 On-Site WaterC'' Baseline'!$C$9:$R$257,7,FALSE))</f>
        <v/>
      </c>
      <c r="I236" s="295" t="str">
        <f>IF(H236="","",VLOOKUP($B236,'C-1 On-Site WaterC'' Baseline'!$C$9:$R$257,8,FALSE))</f>
        <v/>
      </c>
      <c r="J236" s="295" t="str">
        <f>IF(I236="","",VLOOKUP($B236,'C-1 On-Site WaterC'' Baseline'!$C$9:$R$257,9,FALSE))</f>
        <v/>
      </c>
      <c r="K236" s="295" t="str">
        <f>IF(J236="","",VLOOKUP($B236,'C-1 On-Site WaterC'' Baseline'!$C$9:$R$257,10,FALSE))</f>
        <v/>
      </c>
      <c r="L236" s="295" t="str">
        <f>IF(B236="","",VLOOKUP($B236,'C-1 On-Site WaterC'' Baseline'!$C$9:$R$257,15,FALSE))</f>
        <v/>
      </c>
      <c r="M236" s="299" t="str">
        <f>IF(L236="","",VLOOKUP($B236,'C-1 On-Site WaterC'' Baseline'!$C$9:$R$257,16,FALSE))</f>
        <v/>
      </c>
      <c r="N236" s="245"/>
      <c r="O236" s="275" t="str">
        <f t="shared" si="31"/>
        <v/>
      </c>
      <c r="P236" s="276" t="str">
        <f t="shared" si="32"/>
        <v/>
      </c>
      <c r="Q236" s="336" t="str">
        <f>IF(N236="","",VLOOKUP(B236,'C-1 On-Site WaterC'' Baseline'!$C$10:$AC$257,20,FALSE))</f>
        <v/>
      </c>
      <c r="R236" s="275" t="str">
        <f>IF(N236="","",VLOOKUP(N236,'G-7 WaterC'' Data'!$B$2:$G$8,2,FALSE))</f>
        <v/>
      </c>
      <c r="S236" s="276" t="str">
        <f>IFERROR(VLOOKUP(R236,'G-7 WaterC'' Data'!$C$4:$D$8,2,FALSE),"")</f>
        <v/>
      </c>
      <c r="T236" s="101"/>
      <c r="U236" s="276" t="str">
        <f>IFERROR(INDEX('G-7 WaterC'' Data'!$H$4:$L$8,MATCH(N236,'G-7 WaterC'' Data'!$B$4:$B$8,0),MATCH(T236,'G-7 WaterC'' Data'!$H$3:$L$3,0)),"")</f>
        <v/>
      </c>
      <c r="V236" s="101"/>
      <c r="W236" s="283" t="str">
        <f>IF(V236="","",IF(VLOOKUP(V236,'G-7 WaterC'' Data'!$AK$4:$AM$6,2,FALSE)=0,"Spatial Data Missing ⚠",VLOOKUP(V236,'G-7 WaterC'' Data'!$AK$4:$AM$6,2,FALSE)))</f>
        <v/>
      </c>
      <c r="X236" s="276" t="str">
        <f>IF(V236="","",IF(VLOOKUP(V236,'G-7 WaterC'' Data'!$AK$4:$AM$6,3,FALSE)=0,"Spatial Data Missing ⚠",VLOOKUP(V236,'G-7 WaterC'' Data'!$AK$4:$AM$6,3,FALSE)))</f>
        <v/>
      </c>
      <c r="Y236" s="275" t="str">
        <f>IFERROR(IF(OR(LEFT(P236,5)="Error",LEFT(O236,5)="Error"),"Check Data ⚠",IF(F236&lt;S236,'G-7 WaterC'' Data'!$R$3,INDEX('G-7 WaterC'' Data'!$U$5:$Y$9,MATCH(G236,'G-7 WaterC'' Data'!$T$5:$T$9,0),MATCH(T236,'G-7 WaterC'' Data'!$U$4:$Y$4,0)))),"")</f>
        <v/>
      </c>
      <c r="Z236" s="133"/>
      <c r="AA236" s="133"/>
      <c r="AB236" s="283" t="str">
        <f t="shared" si="33"/>
        <v/>
      </c>
      <c r="AC236" s="296" t="str">
        <f t="shared" si="34"/>
        <v/>
      </c>
      <c r="AD236" s="334" t="str">
        <f>IFERROR(IF(AC236="Check Data ⚠","Check Data ⚠",VLOOKUP(AC236,'G-4 Temporal multipliers'!$A$4:$C$37,3,FALSE)),"")</f>
        <v/>
      </c>
      <c r="AE236" s="275" t="str">
        <f>IF(N236="","",VLOOKUP(N236,'G-7 WaterC'' Data'!$B$4:$G$8,5,FALSE))</f>
        <v/>
      </c>
      <c r="AF236" s="283" t="str">
        <f t="shared" si="35"/>
        <v/>
      </c>
      <c r="AG236" s="314" t="str">
        <f t="shared" si="36"/>
        <v/>
      </c>
      <c r="AH236" s="276" t="str">
        <f t="shared" si="30"/>
        <v/>
      </c>
      <c r="AI236" s="105"/>
      <c r="AJ236" s="276" t="str">
        <f>IF(AI236="","",IF(AND(AI236="N/A - Culvert",N236&lt;&gt;"Culvert"),"Not possible ▲",IF(VLOOKUP(AI236,'G-7 WaterC'' Data'!$AA$4:$AB$7,2,FALSE)=0,"Spatial Data Missing ⚠",VLOOKUP(AI236,'G-7 WaterC'' Data'!$AA$4:$AB$7,2,FALSE))))</f>
        <v/>
      </c>
      <c r="AK236" s="106"/>
      <c r="AL236" s="276" t="str">
        <f>IF(AK236="","",IF(AND(AK236="N/A - Culvert",N236&lt;&gt;"Culvert"),"Not possible ▲",IF(VLOOKUP(AK236,'G-7 WaterC'' Data'!$AD$4:$AE$14,2,FALSE)=0,"Spatial Data Missing ⚠",VLOOKUP(AK236,'G-7 WaterC'' Data'!$AD$4:$AE$14,2,FALSE))))</f>
        <v/>
      </c>
      <c r="AM236" s="317" t="str">
        <f t="shared" si="37"/>
        <v/>
      </c>
      <c r="AN236" s="101"/>
      <c r="AO236" s="115"/>
      <c r="AP236" s="104"/>
      <c r="AS236" s="30" t="str">
        <f>IF(B236="","",IF(ISNA(VLOOKUP($B236,'C-1 On-Site WaterC'' Baseline'!$C$8:$AD$257,17,FALSE)),"",(VLOOKUP($B236,'C-1 On-Site WaterC'' Baseline'!$C$8:$AD$257,17,FALSE))))</f>
        <v/>
      </c>
      <c r="AT236" s="30" t="str">
        <f>IF(B236="","",VLOOKUP($B236,'C-1 On-Site WaterC'' Baseline'!$C$9:$Z$257,12,FALSE))</f>
        <v/>
      </c>
      <c r="AU236" s="30" t="str">
        <f>IF(B236="","",VLOOKUP($B236,'C-1 On-Site WaterC'' Baseline'!$C$9:$Z$257,14,FALSE))</f>
        <v/>
      </c>
      <c r="AV236" s="30" t="str">
        <f>IFERROR(INDEX('G-7 WaterC'' Data'!$AZ$3:$AZ$7,MATCH(N236,'G-7 WaterC'' Data'!$AY$3:$AY$7,0)),"")</f>
        <v/>
      </c>
      <c r="AX236" s="30" t="str">
        <f>IF(B236="","",VLOOKUP($B236,'C-1 On-Site WaterC'' Baseline'!$C$9:$Y$257,22,FALSE))</f>
        <v/>
      </c>
      <c r="AY236" s="30" t="str">
        <f t="shared" si="38"/>
        <v/>
      </c>
      <c r="AZ236" s="30" t="str">
        <f>IF(B236="","",VLOOKUP($B236,'C-1 On-Site WaterC'' Baseline'!$C$9:$Y$257,21,FALSE))</f>
        <v/>
      </c>
      <c r="BA236" s="30" t="str">
        <f>IF(B236="","",VLOOKUP($B236,'C-1 On-Site WaterC'' Baseline'!$C$9:$Y$257,19,FALSE))</f>
        <v/>
      </c>
      <c r="BD236" s="30" t="str">
        <f t="shared" si="39"/>
        <v>No</v>
      </c>
    </row>
    <row r="237" spans="2:56" ht="14">
      <c r="B237" s="305" t="str">
        <f>'C-1 On-Site WaterC'' Baseline'!AP235</f>
        <v/>
      </c>
      <c r="C237" s="295" t="str">
        <f>IF(B237="","",VLOOKUP($B237,'C-1 On-Site WaterC'' Baseline'!$C$9:$R$257,2,FALSE))</f>
        <v/>
      </c>
      <c r="D237" s="295" t="str">
        <f>IF(C237="","",VLOOKUP($B237,'C-1 On-Site WaterC'' Baseline'!$C$9:$R$257,3,FALSE))</f>
        <v/>
      </c>
      <c r="E237" s="295" t="str">
        <f>IF(D237="","",VLOOKUP($B237,'C-1 On-Site WaterC'' Baseline'!$C$9:$R$257,4,FALSE))</f>
        <v/>
      </c>
      <c r="F237" s="295" t="str">
        <f>IF(E237="","",VLOOKUP($B237,'C-1 On-Site WaterC'' Baseline'!$C$9:$R$257,5,FALSE))</f>
        <v/>
      </c>
      <c r="G237" s="295" t="str">
        <f>IF(F237="","",VLOOKUP($B237,'C-1 On-Site WaterC'' Baseline'!$C$9:$R$257,6,FALSE))</f>
        <v/>
      </c>
      <c r="H237" s="295" t="str">
        <f>IF(G237="","",VLOOKUP($B237,'C-1 On-Site WaterC'' Baseline'!$C$9:$R$257,7,FALSE))</f>
        <v/>
      </c>
      <c r="I237" s="295" t="str">
        <f>IF(H237="","",VLOOKUP($B237,'C-1 On-Site WaterC'' Baseline'!$C$9:$R$257,8,FALSE))</f>
        <v/>
      </c>
      <c r="J237" s="295" t="str">
        <f>IF(I237="","",VLOOKUP($B237,'C-1 On-Site WaterC'' Baseline'!$C$9:$R$257,9,FALSE))</f>
        <v/>
      </c>
      <c r="K237" s="295" t="str">
        <f>IF(J237="","",VLOOKUP($B237,'C-1 On-Site WaterC'' Baseline'!$C$9:$R$257,10,FALSE))</f>
        <v/>
      </c>
      <c r="L237" s="295" t="str">
        <f>IF(B237="","",VLOOKUP($B237,'C-1 On-Site WaterC'' Baseline'!$C$9:$R$257,15,FALSE))</f>
        <v/>
      </c>
      <c r="M237" s="299" t="str">
        <f>IF(L237="","",VLOOKUP($B237,'C-1 On-Site WaterC'' Baseline'!$C$9:$R$257,16,FALSE))</f>
        <v/>
      </c>
      <c r="N237" s="245"/>
      <c r="O237" s="275" t="str">
        <f t="shared" si="31"/>
        <v/>
      </c>
      <c r="P237" s="276" t="str">
        <f t="shared" si="32"/>
        <v/>
      </c>
      <c r="Q237" s="336" t="str">
        <f>IF(N237="","",VLOOKUP(B237,'C-1 On-Site WaterC'' Baseline'!$C$10:$AC$257,20,FALSE))</f>
        <v/>
      </c>
      <c r="R237" s="275" t="str">
        <f>IF(N237="","",VLOOKUP(N237,'G-7 WaterC'' Data'!$B$2:$G$8,2,FALSE))</f>
        <v/>
      </c>
      <c r="S237" s="276" t="str">
        <f>IFERROR(VLOOKUP(R237,'G-7 WaterC'' Data'!$C$4:$D$8,2,FALSE),"")</f>
        <v/>
      </c>
      <c r="T237" s="101"/>
      <c r="U237" s="276" t="str">
        <f>IFERROR(INDEX('G-7 WaterC'' Data'!$H$4:$L$8,MATCH(N237,'G-7 WaterC'' Data'!$B$4:$B$8,0),MATCH(T237,'G-7 WaterC'' Data'!$H$3:$L$3,0)),"")</f>
        <v/>
      </c>
      <c r="V237" s="101"/>
      <c r="W237" s="283" t="str">
        <f>IF(V237="","",IF(VLOOKUP(V237,'G-7 WaterC'' Data'!$AK$4:$AM$6,2,FALSE)=0,"Spatial Data Missing ⚠",VLOOKUP(V237,'G-7 WaterC'' Data'!$AK$4:$AM$6,2,FALSE)))</f>
        <v/>
      </c>
      <c r="X237" s="276" t="str">
        <f>IF(V237="","",IF(VLOOKUP(V237,'G-7 WaterC'' Data'!$AK$4:$AM$6,3,FALSE)=0,"Spatial Data Missing ⚠",VLOOKUP(V237,'G-7 WaterC'' Data'!$AK$4:$AM$6,3,FALSE)))</f>
        <v/>
      </c>
      <c r="Y237" s="275" t="str">
        <f>IFERROR(IF(OR(LEFT(P237,5)="Error",LEFT(O237,5)="Error"),"Check Data ⚠",IF(F237&lt;S237,'G-7 WaterC'' Data'!$R$3,INDEX('G-7 WaterC'' Data'!$U$5:$Y$9,MATCH(G237,'G-7 WaterC'' Data'!$T$5:$T$9,0),MATCH(T237,'G-7 WaterC'' Data'!$U$4:$Y$4,0)))),"")</f>
        <v/>
      </c>
      <c r="Z237" s="133"/>
      <c r="AA237" s="133"/>
      <c r="AB237" s="283" t="str">
        <f t="shared" si="33"/>
        <v/>
      </c>
      <c r="AC237" s="296" t="str">
        <f t="shared" si="34"/>
        <v/>
      </c>
      <c r="AD237" s="334" t="str">
        <f>IFERROR(IF(AC237="Check Data ⚠","Check Data ⚠",VLOOKUP(AC237,'G-4 Temporal multipliers'!$A$4:$C$37,3,FALSE)),"")</f>
        <v/>
      </c>
      <c r="AE237" s="275" t="str">
        <f>IF(N237="","",VLOOKUP(N237,'G-7 WaterC'' Data'!$B$4:$G$8,5,FALSE))</f>
        <v/>
      </c>
      <c r="AF237" s="283" t="str">
        <f t="shared" si="35"/>
        <v/>
      </c>
      <c r="AG237" s="314" t="str">
        <f t="shared" si="36"/>
        <v/>
      </c>
      <c r="AH237" s="276" t="str">
        <f t="shared" si="30"/>
        <v/>
      </c>
      <c r="AI237" s="105"/>
      <c r="AJ237" s="276" t="str">
        <f>IF(AI237="","",IF(AND(AI237="N/A - Culvert",N237&lt;&gt;"Culvert"),"Not possible ▲",IF(VLOOKUP(AI237,'G-7 WaterC'' Data'!$AA$4:$AB$7,2,FALSE)=0,"Spatial Data Missing ⚠",VLOOKUP(AI237,'G-7 WaterC'' Data'!$AA$4:$AB$7,2,FALSE))))</f>
        <v/>
      </c>
      <c r="AK237" s="106"/>
      <c r="AL237" s="276" t="str">
        <f>IF(AK237="","",IF(AND(AK237="N/A - Culvert",N237&lt;&gt;"Culvert"),"Not possible ▲",IF(VLOOKUP(AK237,'G-7 WaterC'' Data'!$AD$4:$AE$14,2,FALSE)=0,"Spatial Data Missing ⚠",VLOOKUP(AK237,'G-7 WaterC'' Data'!$AD$4:$AE$14,2,FALSE))))</f>
        <v/>
      </c>
      <c r="AM237" s="317" t="str">
        <f t="shared" si="37"/>
        <v/>
      </c>
      <c r="AN237" s="101"/>
      <c r="AO237" s="115"/>
      <c r="AP237" s="104"/>
      <c r="AS237" s="30" t="str">
        <f>IF(B237="","",IF(ISNA(VLOOKUP($B237,'C-1 On-Site WaterC'' Baseline'!$C$8:$AD$257,17,FALSE)),"",(VLOOKUP($B237,'C-1 On-Site WaterC'' Baseline'!$C$8:$AD$257,17,FALSE))))</f>
        <v/>
      </c>
      <c r="AT237" s="30" t="str">
        <f>IF(B237="","",VLOOKUP($B237,'C-1 On-Site WaterC'' Baseline'!$C$9:$Z$257,12,FALSE))</f>
        <v/>
      </c>
      <c r="AU237" s="30" t="str">
        <f>IF(B237="","",VLOOKUP($B237,'C-1 On-Site WaterC'' Baseline'!$C$9:$Z$257,14,FALSE))</f>
        <v/>
      </c>
      <c r="AV237" s="30" t="str">
        <f>IFERROR(INDEX('G-7 WaterC'' Data'!$AZ$3:$AZ$7,MATCH(N237,'G-7 WaterC'' Data'!$AY$3:$AY$7,0)),"")</f>
        <v/>
      </c>
      <c r="AX237" s="30" t="str">
        <f>IF(B237="","",VLOOKUP($B237,'C-1 On-Site WaterC'' Baseline'!$C$9:$Y$257,22,FALSE))</f>
        <v/>
      </c>
      <c r="AY237" s="30" t="str">
        <f t="shared" si="38"/>
        <v/>
      </c>
      <c r="AZ237" s="30" t="str">
        <f>IF(B237="","",VLOOKUP($B237,'C-1 On-Site WaterC'' Baseline'!$C$9:$Y$257,21,FALSE))</f>
        <v/>
      </c>
      <c r="BA237" s="30" t="str">
        <f>IF(B237="","",VLOOKUP($B237,'C-1 On-Site WaterC'' Baseline'!$C$9:$Y$257,19,FALSE))</f>
        <v/>
      </c>
      <c r="BD237" s="30" t="str">
        <f t="shared" si="39"/>
        <v>No</v>
      </c>
    </row>
    <row r="238" spans="2:56" ht="14">
      <c r="B238" s="305" t="str">
        <f>'C-1 On-Site WaterC'' Baseline'!AP236</f>
        <v/>
      </c>
      <c r="C238" s="295" t="str">
        <f>IF(B238="","",VLOOKUP($B238,'C-1 On-Site WaterC'' Baseline'!$C$9:$R$257,2,FALSE))</f>
        <v/>
      </c>
      <c r="D238" s="295" t="str">
        <f>IF(C238="","",VLOOKUP($B238,'C-1 On-Site WaterC'' Baseline'!$C$9:$R$257,3,FALSE))</f>
        <v/>
      </c>
      <c r="E238" s="295" t="str">
        <f>IF(D238="","",VLOOKUP($B238,'C-1 On-Site WaterC'' Baseline'!$C$9:$R$257,4,FALSE))</f>
        <v/>
      </c>
      <c r="F238" s="295" t="str">
        <f>IF(E238="","",VLOOKUP($B238,'C-1 On-Site WaterC'' Baseline'!$C$9:$R$257,5,FALSE))</f>
        <v/>
      </c>
      <c r="G238" s="295" t="str">
        <f>IF(F238="","",VLOOKUP($B238,'C-1 On-Site WaterC'' Baseline'!$C$9:$R$257,6,FALSE))</f>
        <v/>
      </c>
      <c r="H238" s="295" t="str">
        <f>IF(G238="","",VLOOKUP($B238,'C-1 On-Site WaterC'' Baseline'!$C$9:$R$257,7,FALSE))</f>
        <v/>
      </c>
      <c r="I238" s="295" t="str">
        <f>IF(H238="","",VLOOKUP($B238,'C-1 On-Site WaterC'' Baseline'!$C$9:$R$257,8,FALSE))</f>
        <v/>
      </c>
      <c r="J238" s="295" t="str">
        <f>IF(I238="","",VLOOKUP($B238,'C-1 On-Site WaterC'' Baseline'!$C$9:$R$257,9,FALSE))</f>
        <v/>
      </c>
      <c r="K238" s="295" t="str">
        <f>IF(J238="","",VLOOKUP($B238,'C-1 On-Site WaterC'' Baseline'!$C$9:$R$257,10,FALSE))</f>
        <v/>
      </c>
      <c r="L238" s="295" t="str">
        <f>IF(B238="","",VLOOKUP($B238,'C-1 On-Site WaterC'' Baseline'!$C$9:$R$257,15,FALSE))</f>
        <v/>
      </c>
      <c r="M238" s="299" t="str">
        <f>IF(L238="","",VLOOKUP($B238,'C-1 On-Site WaterC'' Baseline'!$C$9:$R$257,16,FALSE))</f>
        <v/>
      </c>
      <c r="N238" s="245"/>
      <c r="O238" s="275" t="str">
        <f t="shared" si="31"/>
        <v/>
      </c>
      <c r="P238" s="276" t="str">
        <f t="shared" si="32"/>
        <v/>
      </c>
      <c r="Q238" s="336" t="str">
        <f>IF(N238="","",VLOOKUP(B238,'C-1 On-Site WaterC'' Baseline'!$C$10:$AC$257,20,FALSE))</f>
        <v/>
      </c>
      <c r="R238" s="275" t="str">
        <f>IF(N238="","",VLOOKUP(N238,'G-7 WaterC'' Data'!$B$2:$G$8,2,FALSE))</f>
        <v/>
      </c>
      <c r="S238" s="276" t="str">
        <f>IFERROR(VLOOKUP(R238,'G-7 WaterC'' Data'!$C$4:$D$8,2,FALSE),"")</f>
        <v/>
      </c>
      <c r="T238" s="101"/>
      <c r="U238" s="276" t="str">
        <f>IFERROR(INDEX('G-7 WaterC'' Data'!$H$4:$L$8,MATCH(N238,'G-7 WaterC'' Data'!$B$4:$B$8,0),MATCH(T238,'G-7 WaterC'' Data'!$H$3:$L$3,0)),"")</f>
        <v/>
      </c>
      <c r="V238" s="101"/>
      <c r="W238" s="283" t="str">
        <f>IF(V238="","",IF(VLOOKUP(V238,'G-7 WaterC'' Data'!$AK$4:$AM$6,2,FALSE)=0,"Spatial Data Missing ⚠",VLOOKUP(V238,'G-7 WaterC'' Data'!$AK$4:$AM$6,2,FALSE)))</f>
        <v/>
      </c>
      <c r="X238" s="276" t="str">
        <f>IF(V238="","",IF(VLOOKUP(V238,'G-7 WaterC'' Data'!$AK$4:$AM$6,3,FALSE)=0,"Spatial Data Missing ⚠",VLOOKUP(V238,'G-7 WaterC'' Data'!$AK$4:$AM$6,3,FALSE)))</f>
        <v/>
      </c>
      <c r="Y238" s="275" t="str">
        <f>IFERROR(IF(OR(LEFT(P238,5)="Error",LEFT(O238,5)="Error"),"Check Data ⚠",IF(F238&lt;S238,'G-7 WaterC'' Data'!$R$3,INDEX('G-7 WaterC'' Data'!$U$5:$Y$9,MATCH(G238,'G-7 WaterC'' Data'!$T$5:$T$9,0),MATCH(T238,'G-7 WaterC'' Data'!$U$4:$Y$4,0)))),"")</f>
        <v/>
      </c>
      <c r="Z238" s="133"/>
      <c r="AA238" s="133"/>
      <c r="AB238" s="283" t="str">
        <f t="shared" si="33"/>
        <v/>
      </c>
      <c r="AC238" s="296" t="str">
        <f t="shared" si="34"/>
        <v/>
      </c>
      <c r="AD238" s="334" t="str">
        <f>IFERROR(IF(AC238="Check Data ⚠","Check Data ⚠",VLOOKUP(AC238,'G-4 Temporal multipliers'!$A$4:$C$37,3,FALSE)),"")</f>
        <v/>
      </c>
      <c r="AE238" s="275" t="str">
        <f>IF(N238="","",VLOOKUP(N238,'G-7 WaterC'' Data'!$B$4:$G$8,5,FALSE))</f>
        <v/>
      </c>
      <c r="AF238" s="283" t="str">
        <f t="shared" si="35"/>
        <v/>
      </c>
      <c r="AG238" s="314" t="str">
        <f t="shared" si="36"/>
        <v/>
      </c>
      <c r="AH238" s="276" t="str">
        <f t="shared" si="30"/>
        <v/>
      </c>
      <c r="AI238" s="105"/>
      <c r="AJ238" s="276" t="str">
        <f>IF(AI238="","",IF(AND(AI238="N/A - Culvert",N238&lt;&gt;"Culvert"),"Not possible ▲",IF(VLOOKUP(AI238,'G-7 WaterC'' Data'!$AA$4:$AB$7,2,FALSE)=0,"Spatial Data Missing ⚠",VLOOKUP(AI238,'G-7 WaterC'' Data'!$AA$4:$AB$7,2,FALSE))))</f>
        <v/>
      </c>
      <c r="AK238" s="106"/>
      <c r="AL238" s="276" t="str">
        <f>IF(AK238="","",IF(AND(AK238="N/A - Culvert",N238&lt;&gt;"Culvert"),"Not possible ▲",IF(VLOOKUP(AK238,'G-7 WaterC'' Data'!$AD$4:$AE$14,2,FALSE)=0,"Spatial Data Missing ⚠",VLOOKUP(AK238,'G-7 WaterC'' Data'!$AD$4:$AE$14,2,FALSE))))</f>
        <v/>
      </c>
      <c r="AM238" s="317" t="str">
        <f t="shared" si="37"/>
        <v/>
      </c>
      <c r="AN238" s="101"/>
      <c r="AO238" s="115"/>
      <c r="AP238" s="104"/>
      <c r="AS238" s="30" t="str">
        <f>IF(B238="","",IF(ISNA(VLOOKUP($B238,'C-1 On-Site WaterC'' Baseline'!$C$8:$AD$257,17,FALSE)),"",(VLOOKUP($B238,'C-1 On-Site WaterC'' Baseline'!$C$8:$AD$257,17,FALSE))))</f>
        <v/>
      </c>
      <c r="AT238" s="30" t="str">
        <f>IF(B238="","",VLOOKUP($B238,'C-1 On-Site WaterC'' Baseline'!$C$9:$Z$257,12,FALSE))</f>
        <v/>
      </c>
      <c r="AU238" s="30" t="str">
        <f>IF(B238="","",VLOOKUP($B238,'C-1 On-Site WaterC'' Baseline'!$C$9:$Z$257,14,FALSE))</f>
        <v/>
      </c>
      <c r="AV238" s="30" t="str">
        <f>IFERROR(INDEX('G-7 WaterC'' Data'!$AZ$3:$AZ$7,MATCH(N238,'G-7 WaterC'' Data'!$AY$3:$AY$7,0)),"")</f>
        <v/>
      </c>
      <c r="AX238" s="30" t="str">
        <f>IF(B238="","",VLOOKUP($B238,'C-1 On-Site WaterC'' Baseline'!$C$9:$Y$257,22,FALSE))</f>
        <v/>
      </c>
      <c r="AY238" s="30" t="str">
        <f t="shared" si="38"/>
        <v/>
      </c>
      <c r="AZ238" s="30" t="str">
        <f>IF(B238="","",VLOOKUP($B238,'C-1 On-Site WaterC'' Baseline'!$C$9:$Y$257,21,FALSE))</f>
        <v/>
      </c>
      <c r="BA238" s="30" t="str">
        <f>IF(B238="","",VLOOKUP($B238,'C-1 On-Site WaterC'' Baseline'!$C$9:$Y$257,19,FALSE))</f>
        <v/>
      </c>
      <c r="BD238" s="30" t="str">
        <f t="shared" si="39"/>
        <v>No</v>
      </c>
    </row>
    <row r="239" spans="2:56" ht="14">
      <c r="B239" s="305" t="str">
        <f>'C-1 On-Site WaterC'' Baseline'!AP237</f>
        <v/>
      </c>
      <c r="C239" s="295" t="str">
        <f>IF(B239="","",VLOOKUP($B239,'C-1 On-Site WaterC'' Baseline'!$C$9:$R$257,2,FALSE))</f>
        <v/>
      </c>
      <c r="D239" s="295" t="str">
        <f>IF(C239="","",VLOOKUP($B239,'C-1 On-Site WaterC'' Baseline'!$C$9:$R$257,3,FALSE))</f>
        <v/>
      </c>
      <c r="E239" s="295" t="str">
        <f>IF(D239="","",VLOOKUP($B239,'C-1 On-Site WaterC'' Baseline'!$C$9:$R$257,4,FALSE))</f>
        <v/>
      </c>
      <c r="F239" s="295" t="str">
        <f>IF(E239="","",VLOOKUP($B239,'C-1 On-Site WaterC'' Baseline'!$C$9:$R$257,5,FALSE))</f>
        <v/>
      </c>
      <c r="G239" s="295" t="str">
        <f>IF(F239="","",VLOOKUP($B239,'C-1 On-Site WaterC'' Baseline'!$C$9:$R$257,6,FALSE))</f>
        <v/>
      </c>
      <c r="H239" s="295" t="str">
        <f>IF(G239="","",VLOOKUP($B239,'C-1 On-Site WaterC'' Baseline'!$C$9:$R$257,7,FALSE))</f>
        <v/>
      </c>
      <c r="I239" s="295" t="str">
        <f>IF(H239="","",VLOOKUP($B239,'C-1 On-Site WaterC'' Baseline'!$C$9:$R$257,8,FALSE))</f>
        <v/>
      </c>
      <c r="J239" s="295" t="str">
        <f>IF(I239="","",VLOOKUP($B239,'C-1 On-Site WaterC'' Baseline'!$C$9:$R$257,9,FALSE))</f>
        <v/>
      </c>
      <c r="K239" s="295" t="str">
        <f>IF(J239="","",VLOOKUP($B239,'C-1 On-Site WaterC'' Baseline'!$C$9:$R$257,10,FALSE))</f>
        <v/>
      </c>
      <c r="L239" s="295" t="str">
        <f>IF(B239="","",VLOOKUP($B239,'C-1 On-Site WaterC'' Baseline'!$C$9:$R$257,15,FALSE))</f>
        <v/>
      </c>
      <c r="M239" s="299" t="str">
        <f>IF(L239="","",VLOOKUP($B239,'C-1 On-Site WaterC'' Baseline'!$C$9:$R$257,16,FALSE))</f>
        <v/>
      </c>
      <c r="N239" s="245"/>
      <c r="O239" s="275" t="str">
        <f t="shared" si="31"/>
        <v/>
      </c>
      <c r="P239" s="276" t="str">
        <f t="shared" si="32"/>
        <v/>
      </c>
      <c r="Q239" s="336" t="str">
        <f>IF(N239="","",VLOOKUP(B239,'C-1 On-Site WaterC'' Baseline'!$C$10:$AC$257,20,FALSE))</f>
        <v/>
      </c>
      <c r="R239" s="275" t="str">
        <f>IF(N239="","",VLOOKUP(N239,'G-7 WaterC'' Data'!$B$2:$G$8,2,FALSE))</f>
        <v/>
      </c>
      <c r="S239" s="276" t="str">
        <f>IFERROR(VLOOKUP(R239,'G-7 WaterC'' Data'!$C$4:$D$8,2,FALSE),"")</f>
        <v/>
      </c>
      <c r="T239" s="101"/>
      <c r="U239" s="276" t="str">
        <f>IFERROR(INDEX('G-7 WaterC'' Data'!$H$4:$L$8,MATCH(N239,'G-7 WaterC'' Data'!$B$4:$B$8,0),MATCH(T239,'G-7 WaterC'' Data'!$H$3:$L$3,0)),"")</f>
        <v/>
      </c>
      <c r="V239" s="101"/>
      <c r="W239" s="283" t="str">
        <f>IF(V239="","",IF(VLOOKUP(V239,'G-7 WaterC'' Data'!$AK$4:$AM$6,2,FALSE)=0,"Spatial Data Missing ⚠",VLOOKUP(V239,'G-7 WaterC'' Data'!$AK$4:$AM$6,2,FALSE)))</f>
        <v/>
      </c>
      <c r="X239" s="276" t="str">
        <f>IF(V239="","",IF(VLOOKUP(V239,'G-7 WaterC'' Data'!$AK$4:$AM$6,3,FALSE)=0,"Spatial Data Missing ⚠",VLOOKUP(V239,'G-7 WaterC'' Data'!$AK$4:$AM$6,3,FALSE)))</f>
        <v/>
      </c>
      <c r="Y239" s="275" t="str">
        <f>IFERROR(IF(OR(LEFT(P239,5)="Error",LEFT(O239,5)="Error"),"Check Data ⚠",IF(F239&lt;S239,'G-7 WaterC'' Data'!$R$3,INDEX('G-7 WaterC'' Data'!$U$5:$Y$9,MATCH(G239,'G-7 WaterC'' Data'!$T$5:$T$9,0),MATCH(T239,'G-7 WaterC'' Data'!$U$4:$Y$4,0)))),"")</f>
        <v/>
      </c>
      <c r="Z239" s="133"/>
      <c r="AA239" s="133"/>
      <c r="AB239" s="283" t="str">
        <f t="shared" si="33"/>
        <v/>
      </c>
      <c r="AC239" s="296" t="str">
        <f t="shared" si="34"/>
        <v/>
      </c>
      <c r="AD239" s="334" t="str">
        <f>IFERROR(IF(AC239="Check Data ⚠","Check Data ⚠",VLOOKUP(AC239,'G-4 Temporal multipliers'!$A$4:$C$37,3,FALSE)),"")</f>
        <v/>
      </c>
      <c r="AE239" s="275" t="str">
        <f>IF(N239="","",VLOOKUP(N239,'G-7 WaterC'' Data'!$B$4:$G$8,5,FALSE))</f>
        <v/>
      </c>
      <c r="AF239" s="283" t="str">
        <f t="shared" si="35"/>
        <v/>
      </c>
      <c r="AG239" s="314" t="str">
        <f t="shared" si="36"/>
        <v/>
      </c>
      <c r="AH239" s="276" t="str">
        <f t="shared" si="30"/>
        <v/>
      </c>
      <c r="AI239" s="105"/>
      <c r="AJ239" s="276" t="str">
        <f>IF(AI239="","",IF(AND(AI239="N/A - Culvert",N239&lt;&gt;"Culvert"),"Not possible ▲",IF(VLOOKUP(AI239,'G-7 WaterC'' Data'!$AA$4:$AB$7,2,FALSE)=0,"Spatial Data Missing ⚠",VLOOKUP(AI239,'G-7 WaterC'' Data'!$AA$4:$AB$7,2,FALSE))))</f>
        <v/>
      </c>
      <c r="AK239" s="106"/>
      <c r="AL239" s="276" t="str">
        <f>IF(AK239="","",IF(AND(AK239="N/A - Culvert",N239&lt;&gt;"Culvert"),"Not possible ▲",IF(VLOOKUP(AK239,'G-7 WaterC'' Data'!$AD$4:$AE$14,2,FALSE)=0,"Spatial Data Missing ⚠",VLOOKUP(AK239,'G-7 WaterC'' Data'!$AD$4:$AE$14,2,FALSE))))</f>
        <v/>
      </c>
      <c r="AM239" s="317" t="str">
        <f t="shared" si="37"/>
        <v/>
      </c>
      <c r="AN239" s="101"/>
      <c r="AO239" s="115"/>
      <c r="AP239" s="104"/>
      <c r="AS239" s="30" t="str">
        <f>IF(B239="","",IF(ISNA(VLOOKUP($B239,'C-1 On-Site WaterC'' Baseline'!$C$8:$AD$257,17,FALSE)),"",(VLOOKUP($B239,'C-1 On-Site WaterC'' Baseline'!$C$8:$AD$257,17,FALSE))))</f>
        <v/>
      </c>
      <c r="AT239" s="30" t="str">
        <f>IF(B239="","",VLOOKUP($B239,'C-1 On-Site WaterC'' Baseline'!$C$9:$Z$257,12,FALSE))</f>
        <v/>
      </c>
      <c r="AU239" s="30" t="str">
        <f>IF(B239="","",VLOOKUP($B239,'C-1 On-Site WaterC'' Baseline'!$C$9:$Z$257,14,FALSE))</f>
        <v/>
      </c>
      <c r="AV239" s="30" t="str">
        <f>IFERROR(INDEX('G-7 WaterC'' Data'!$AZ$3:$AZ$7,MATCH(N239,'G-7 WaterC'' Data'!$AY$3:$AY$7,0)),"")</f>
        <v/>
      </c>
      <c r="AX239" s="30" t="str">
        <f>IF(B239="","",VLOOKUP($B239,'C-1 On-Site WaterC'' Baseline'!$C$9:$Y$257,22,FALSE))</f>
        <v/>
      </c>
      <c r="AY239" s="30" t="str">
        <f t="shared" si="38"/>
        <v/>
      </c>
      <c r="AZ239" s="30" t="str">
        <f>IF(B239="","",VLOOKUP($B239,'C-1 On-Site WaterC'' Baseline'!$C$9:$Y$257,21,FALSE))</f>
        <v/>
      </c>
      <c r="BA239" s="30" t="str">
        <f>IF(B239="","",VLOOKUP($B239,'C-1 On-Site WaterC'' Baseline'!$C$9:$Y$257,19,FALSE))</f>
        <v/>
      </c>
      <c r="BD239" s="30" t="str">
        <f t="shared" si="39"/>
        <v>No</v>
      </c>
    </row>
    <row r="240" spans="2:56" ht="14">
      <c r="B240" s="305" t="str">
        <f>'C-1 On-Site WaterC'' Baseline'!AP238</f>
        <v/>
      </c>
      <c r="C240" s="295" t="str">
        <f>IF(B240="","",VLOOKUP($B240,'C-1 On-Site WaterC'' Baseline'!$C$9:$R$257,2,FALSE))</f>
        <v/>
      </c>
      <c r="D240" s="295" t="str">
        <f>IF(C240="","",VLOOKUP($B240,'C-1 On-Site WaterC'' Baseline'!$C$9:$R$257,3,FALSE))</f>
        <v/>
      </c>
      <c r="E240" s="295" t="str">
        <f>IF(D240="","",VLOOKUP($B240,'C-1 On-Site WaterC'' Baseline'!$C$9:$R$257,4,FALSE))</f>
        <v/>
      </c>
      <c r="F240" s="295" t="str">
        <f>IF(E240="","",VLOOKUP($B240,'C-1 On-Site WaterC'' Baseline'!$C$9:$R$257,5,FALSE))</f>
        <v/>
      </c>
      <c r="G240" s="295" t="str">
        <f>IF(F240="","",VLOOKUP($B240,'C-1 On-Site WaterC'' Baseline'!$C$9:$R$257,6,FALSE))</f>
        <v/>
      </c>
      <c r="H240" s="295" t="str">
        <f>IF(G240="","",VLOOKUP($B240,'C-1 On-Site WaterC'' Baseline'!$C$9:$R$257,7,FALSE))</f>
        <v/>
      </c>
      <c r="I240" s="295" t="str">
        <f>IF(H240="","",VLOOKUP($B240,'C-1 On-Site WaterC'' Baseline'!$C$9:$R$257,8,FALSE))</f>
        <v/>
      </c>
      <c r="J240" s="295" t="str">
        <f>IF(I240="","",VLOOKUP($B240,'C-1 On-Site WaterC'' Baseline'!$C$9:$R$257,9,FALSE))</f>
        <v/>
      </c>
      <c r="K240" s="295" t="str">
        <f>IF(J240="","",VLOOKUP($B240,'C-1 On-Site WaterC'' Baseline'!$C$9:$R$257,10,FALSE))</f>
        <v/>
      </c>
      <c r="L240" s="295" t="str">
        <f>IF(B240="","",VLOOKUP($B240,'C-1 On-Site WaterC'' Baseline'!$C$9:$R$257,15,FALSE))</f>
        <v/>
      </c>
      <c r="M240" s="299" t="str">
        <f>IF(L240="","",VLOOKUP($B240,'C-1 On-Site WaterC'' Baseline'!$C$9:$R$257,16,FALSE))</f>
        <v/>
      </c>
      <c r="N240" s="245"/>
      <c r="O240" s="275" t="str">
        <f t="shared" si="31"/>
        <v/>
      </c>
      <c r="P240" s="276" t="str">
        <f t="shared" si="32"/>
        <v/>
      </c>
      <c r="Q240" s="336" t="str">
        <f>IF(N240="","",VLOOKUP(B240,'C-1 On-Site WaterC'' Baseline'!$C$10:$AC$257,20,FALSE))</f>
        <v/>
      </c>
      <c r="R240" s="275" t="str">
        <f>IF(N240="","",VLOOKUP(N240,'G-7 WaterC'' Data'!$B$2:$G$8,2,FALSE))</f>
        <v/>
      </c>
      <c r="S240" s="276" t="str">
        <f>IFERROR(VLOOKUP(R240,'G-7 WaterC'' Data'!$C$4:$D$8,2,FALSE),"")</f>
        <v/>
      </c>
      <c r="T240" s="101"/>
      <c r="U240" s="276" t="str">
        <f>IFERROR(INDEX('G-7 WaterC'' Data'!$H$4:$L$8,MATCH(N240,'G-7 WaterC'' Data'!$B$4:$B$8,0),MATCH(T240,'G-7 WaterC'' Data'!$H$3:$L$3,0)),"")</f>
        <v/>
      </c>
      <c r="V240" s="101"/>
      <c r="W240" s="283" t="str">
        <f>IF(V240="","",IF(VLOOKUP(V240,'G-7 WaterC'' Data'!$AK$4:$AM$6,2,FALSE)=0,"Spatial Data Missing ⚠",VLOOKUP(V240,'G-7 WaterC'' Data'!$AK$4:$AM$6,2,FALSE)))</f>
        <v/>
      </c>
      <c r="X240" s="276" t="str">
        <f>IF(V240="","",IF(VLOOKUP(V240,'G-7 WaterC'' Data'!$AK$4:$AM$6,3,FALSE)=0,"Spatial Data Missing ⚠",VLOOKUP(V240,'G-7 WaterC'' Data'!$AK$4:$AM$6,3,FALSE)))</f>
        <v/>
      </c>
      <c r="Y240" s="275" t="str">
        <f>IFERROR(IF(OR(LEFT(P240,5)="Error",LEFT(O240,5)="Error"),"Check Data ⚠",IF(F240&lt;S240,'G-7 WaterC'' Data'!$R$3,INDEX('G-7 WaterC'' Data'!$U$5:$Y$9,MATCH(G240,'G-7 WaterC'' Data'!$T$5:$T$9,0),MATCH(T240,'G-7 WaterC'' Data'!$U$4:$Y$4,0)))),"")</f>
        <v/>
      </c>
      <c r="Z240" s="133"/>
      <c r="AA240" s="133"/>
      <c r="AB240" s="283" t="str">
        <f t="shared" si="33"/>
        <v/>
      </c>
      <c r="AC240" s="296" t="str">
        <f t="shared" si="34"/>
        <v/>
      </c>
      <c r="AD240" s="334" t="str">
        <f>IFERROR(IF(AC240="Check Data ⚠","Check Data ⚠",VLOOKUP(AC240,'G-4 Temporal multipliers'!$A$4:$C$37,3,FALSE)),"")</f>
        <v/>
      </c>
      <c r="AE240" s="275" t="str">
        <f>IF(N240="","",VLOOKUP(N240,'G-7 WaterC'' Data'!$B$4:$G$8,5,FALSE))</f>
        <v/>
      </c>
      <c r="AF240" s="283" t="str">
        <f t="shared" si="35"/>
        <v/>
      </c>
      <c r="AG240" s="314" t="str">
        <f t="shared" si="36"/>
        <v/>
      </c>
      <c r="AH240" s="276" t="str">
        <f t="shared" si="30"/>
        <v/>
      </c>
      <c r="AI240" s="105"/>
      <c r="AJ240" s="276" t="str">
        <f>IF(AI240="","",IF(AND(AI240="N/A - Culvert",N240&lt;&gt;"Culvert"),"Not possible ▲",IF(VLOOKUP(AI240,'G-7 WaterC'' Data'!$AA$4:$AB$7,2,FALSE)=0,"Spatial Data Missing ⚠",VLOOKUP(AI240,'G-7 WaterC'' Data'!$AA$4:$AB$7,2,FALSE))))</f>
        <v/>
      </c>
      <c r="AK240" s="106"/>
      <c r="AL240" s="276" t="str">
        <f>IF(AK240="","",IF(AND(AK240="N/A - Culvert",N240&lt;&gt;"Culvert"),"Not possible ▲",IF(VLOOKUP(AK240,'G-7 WaterC'' Data'!$AD$4:$AE$14,2,FALSE)=0,"Spatial Data Missing ⚠",VLOOKUP(AK240,'G-7 WaterC'' Data'!$AD$4:$AE$14,2,FALSE))))</f>
        <v/>
      </c>
      <c r="AM240" s="317" t="str">
        <f t="shared" si="37"/>
        <v/>
      </c>
      <c r="AN240" s="101"/>
      <c r="AO240" s="115"/>
      <c r="AP240" s="104"/>
      <c r="AS240" s="30" t="str">
        <f>IF(B240="","",IF(ISNA(VLOOKUP($B240,'C-1 On-Site WaterC'' Baseline'!$C$8:$AD$257,17,FALSE)),"",(VLOOKUP($B240,'C-1 On-Site WaterC'' Baseline'!$C$8:$AD$257,17,FALSE))))</f>
        <v/>
      </c>
      <c r="AT240" s="30" t="str">
        <f>IF(B240="","",VLOOKUP($B240,'C-1 On-Site WaterC'' Baseline'!$C$9:$Z$257,12,FALSE))</f>
        <v/>
      </c>
      <c r="AU240" s="30" t="str">
        <f>IF(B240="","",VLOOKUP($B240,'C-1 On-Site WaterC'' Baseline'!$C$9:$Z$257,14,FALSE))</f>
        <v/>
      </c>
      <c r="AV240" s="30" t="str">
        <f>IFERROR(INDEX('G-7 WaterC'' Data'!$AZ$3:$AZ$7,MATCH(N240,'G-7 WaterC'' Data'!$AY$3:$AY$7,0)),"")</f>
        <v/>
      </c>
      <c r="AX240" s="30" t="str">
        <f>IF(B240="","",VLOOKUP($B240,'C-1 On-Site WaterC'' Baseline'!$C$9:$Y$257,22,FALSE))</f>
        <v/>
      </c>
      <c r="AY240" s="30" t="str">
        <f t="shared" si="38"/>
        <v/>
      </c>
      <c r="AZ240" s="30" t="str">
        <f>IF(B240="","",VLOOKUP($B240,'C-1 On-Site WaterC'' Baseline'!$C$9:$Y$257,21,FALSE))</f>
        <v/>
      </c>
      <c r="BA240" s="30" t="str">
        <f>IF(B240="","",VLOOKUP($B240,'C-1 On-Site WaterC'' Baseline'!$C$9:$Y$257,19,FALSE))</f>
        <v/>
      </c>
      <c r="BD240" s="30" t="str">
        <f t="shared" si="39"/>
        <v>No</v>
      </c>
    </row>
    <row r="241" spans="2:56" ht="14">
      <c r="B241" s="305" t="str">
        <f>'C-1 On-Site WaterC'' Baseline'!AP239</f>
        <v/>
      </c>
      <c r="C241" s="295" t="str">
        <f>IF(B241="","",VLOOKUP($B241,'C-1 On-Site WaterC'' Baseline'!$C$9:$R$257,2,FALSE))</f>
        <v/>
      </c>
      <c r="D241" s="295" t="str">
        <f>IF(C241="","",VLOOKUP($B241,'C-1 On-Site WaterC'' Baseline'!$C$9:$R$257,3,FALSE))</f>
        <v/>
      </c>
      <c r="E241" s="295" t="str">
        <f>IF(D241="","",VLOOKUP($B241,'C-1 On-Site WaterC'' Baseline'!$C$9:$R$257,4,FALSE))</f>
        <v/>
      </c>
      <c r="F241" s="295" t="str">
        <f>IF(E241="","",VLOOKUP($B241,'C-1 On-Site WaterC'' Baseline'!$C$9:$R$257,5,FALSE))</f>
        <v/>
      </c>
      <c r="G241" s="295" t="str">
        <f>IF(F241="","",VLOOKUP($B241,'C-1 On-Site WaterC'' Baseline'!$C$9:$R$257,6,FALSE))</f>
        <v/>
      </c>
      <c r="H241" s="295" t="str">
        <f>IF(G241="","",VLOOKUP($B241,'C-1 On-Site WaterC'' Baseline'!$C$9:$R$257,7,FALSE))</f>
        <v/>
      </c>
      <c r="I241" s="295" t="str">
        <f>IF(H241="","",VLOOKUP($B241,'C-1 On-Site WaterC'' Baseline'!$C$9:$R$257,8,FALSE))</f>
        <v/>
      </c>
      <c r="J241" s="295" t="str">
        <f>IF(I241="","",VLOOKUP($B241,'C-1 On-Site WaterC'' Baseline'!$C$9:$R$257,9,FALSE))</f>
        <v/>
      </c>
      <c r="K241" s="295" t="str">
        <f>IF(J241="","",VLOOKUP($B241,'C-1 On-Site WaterC'' Baseline'!$C$9:$R$257,10,FALSE))</f>
        <v/>
      </c>
      <c r="L241" s="295" t="str">
        <f>IF(B241="","",VLOOKUP($B241,'C-1 On-Site WaterC'' Baseline'!$C$9:$R$257,15,FALSE))</f>
        <v/>
      </c>
      <c r="M241" s="299" t="str">
        <f>IF(L241="","",VLOOKUP($B241,'C-1 On-Site WaterC'' Baseline'!$C$9:$R$257,16,FALSE))</f>
        <v/>
      </c>
      <c r="N241" s="245"/>
      <c r="O241" s="275" t="str">
        <f t="shared" si="31"/>
        <v/>
      </c>
      <c r="P241" s="276" t="str">
        <f t="shared" si="32"/>
        <v/>
      </c>
      <c r="Q241" s="336" t="str">
        <f>IF(N241="","",VLOOKUP(B241,'C-1 On-Site WaterC'' Baseline'!$C$10:$AC$257,20,FALSE))</f>
        <v/>
      </c>
      <c r="R241" s="275" t="str">
        <f>IF(N241="","",VLOOKUP(N241,'G-7 WaterC'' Data'!$B$2:$G$8,2,FALSE))</f>
        <v/>
      </c>
      <c r="S241" s="276" t="str">
        <f>IFERROR(VLOOKUP(R241,'G-7 WaterC'' Data'!$C$4:$D$8,2,FALSE),"")</f>
        <v/>
      </c>
      <c r="T241" s="101"/>
      <c r="U241" s="276" t="str">
        <f>IFERROR(INDEX('G-7 WaterC'' Data'!$H$4:$L$8,MATCH(N241,'G-7 WaterC'' Data'!$B$4:$B$8,0),MATCH(T241,'G-7 WaterC'' Data'!$H$3:$L$3,0)),"")</f>
        <v/>
      </c>
      <c r="V241" s="101"/>
      <c r="W241" s="283" t="str">
        <f>IF(V241="","",IF(VLOOKUP(V241,'G-7 WaterC'' Data'!$AK$4:$AM$6,2,FALSE)=0,"Spatial Data Missing ⚠",VLOOKUP(V241,'G-7 WaterC'' Data'!$AK$4:$AM$6,2,FALSE)))</f>
        <v/>
      </c>
      <c r="X241" s="276" t="str">
        <f>IF(V241="","",IF(VLOOKUP(V241,'G-7 WaterC'' Data'!$AK$4:$AM$6,3,FALSE)=0,"Spatial Data Missing ⚠",VLOOKUP(V241,'G-7 WaterC'' Data'!$AK$4:$AM$6,3,FALSE)))</f>
        <v/>
      </c>
      <c r="Y241" s="275" t="str">
        <f>IFERROR(IF(OR(LEFT(P241,5)="Error",LEFT(O241,5)="Error"),"Check Data ⚠",IF(F241&lt;S241,'G-7 WaterC'' Data'!$R$3,INDEX('G-7 WaterC'' Data'!$U$5:$Y$9,MATCH(G241,'G-7 WaterC'' Data'!$T$5:$T$9,0),MATCH(T241,'G-7 WaterC'' Data'!$U$4:$Y$4,0)))),"")</f>
        <v/>
      </c>
      <c r="Z241" s="133"/>
      <c r="AA241" s="133"/>
      <c r="AB241" s="283" t="str">
        <f t="shared" si="33"/>
        <v/>
      </c>
      <c r="AC241" s="296" t="str">
        <f t="shared" si="34"/>
        <v/>
      </c>
      <c r="AD241" s="334" t="str">
        <f>IFERROR(IF(AC241="Check Data ⚠","Check Data ⚠",VLOOKUP(AC241,'G-4 Temporal multipliers'!$A$4:$C$37,3,FALSE)),"")</f>
        <v/>
      </c>
      <c r="AE241" s="275" t="str">
        <f>IF(N241="","",VLOOKUP(N241,'G-7 WaterC'' Data'!$B$4:$G$8,5,FALSE))</f>
        <v/>
      </c>
      <c r="AF241" s="283" t="str">
        <f t="shared" si="35"/>
        <v/>
      </c>
      <c r="AG241" s="314" t="str">
        <f t="shared" si="36"/>
        <v/>
      </c>
      <c r="AH241" s="276" t="str">
        <f t="shared" si="30"/>
        <v/>
      </c>
      <c r="AI241" s="105"/>
      <c r="AJ241" s="276" t="str">
        <f>IF(AI241="","",IF(AND(AI241="N/A - Culvert",N241&lt;&gt;"Culvert"),"Not possible ▲",IF(VLOOKUP(AI241,'G-7 WaterC'' Data'!$AA$4:$AB$7,2,FALSE)=0,"Spatial Data Missing ⚠",VLOOKUP(AI241,'G-7 WaterC'' Data'!$AA$4:$AB$7,2,FALSE))))</f>
        <v/>
      </c>
      <c r="AK241" s="106"/>
      <c r="AL241" s="276" t="str">
        <f>IF(AK241="","",IF(AND(AK241="N/A - Culvert",N241&lt;&gt;"Culvert"),"Not possible ▲",IF(VLOOKUP(AK241,'G-7 WaterC'' Data'!$AD$4:$AE$14,2,FALSE)=0,"Spatial Data Missing ⚠",VLOOKUP(AK241,'G-7 WaterC'' Data'!$AD$4:$AE$14,2,FALSE))))</f>
        <v/>
      </c>
      <c r="AM241" s="317" t="str">
        <f t="shared" si="37"/>
        <v/>
      </c>
      <c r="AN241" s="101"/>
      <c r="AO241" s="115"/>
      <c r="AP241" s="104"/>
      <c r="AS241" s="30" t="str">
        <f>IF(B241="","",IF(ISNA(VLOOKUP($B241,'C-1 On-Site WaterC'' Baseline'!$C$8:$AD$257,17,FALSE)),"",(VLOOKUP($B241,'C-1 On-Site WaterC'' Baseline'!$C$8:$AD$257,17,FALSE))))</f>
        <v/>
      </c>
      <c r="AT241" s="30" t="str">
        <f>IF(B241="","",VLOOKUP($B241,'C-1 On-Site WaterC'' Baseline'!$C$9:$Z$257,12,FALSE))</f>
        <v/>
      </c>
      <c r="AU241" s="30" t="str">
        <f>IF(B241="","",VLOOKUP($B241,'C-1 On-Site WaterC'' Baseline'!$C$9:$Z$257,14,FALSE))</f>
        <v/>
      </c>
      <c r="AV241" s="30" t="str">
        <f>IFERROR(INDEX('G-7 WaterC'' Data'!$AZ$3:$AZ$7,MATCH(N241,'G-7 WaterC'' Data'!$AY$3:$AY$7,0)),"")</f>
        <v/>
      </c>
      <c r="AX241" s="30" t="str">
        <f>IF(B241="","",VLOOKUP($B241,'C-1 On-Site WaterC'' Baseline'!$C$9:$Y$257,22,FALSE))</f>
        <v/>
      </c>
      <c r="AY241" s="30" t="str">
        <f t="shared" si="38"/>
        <v/>
      </c>
      <c r="AZ241" s="30" t="str">
        <f>IF(B241="","",VLOOKUP($B241,'C-1 On-Site WaterC'' Baseline'!$C$9:$Y$257,21,FALSE))</f>
        <v/>
      </c>
      <c r="BA241" s="30" t="str">
        <f>IF(B241="","",VLOOKUP($B241,'C-1 On-Site WaterC'' Baseline'!$C$9:$Y$257,19,FALSE))</f>
        <v/>
      </c>
      <c r="BD241" s="30" t="str">
        <f t="shared" si="39"/>
        <v>No</v>
      </c>
    </row>
    <row r="242" spans="2:56" ht="14">
      <c r="B242" s="305" t="str">
        <f>'C-1 On-Site WaterC'' Baseline'!AP240</f>
        <v/>
      </c>
      <c r="C242" s="295" t="str">
        <f>IF(B242="","",VLOOKUP($B242,'C-1 On-Site WaterC'' Baseline'!$C$9:$R$257,2,FALSE))</f>
        <v/>
      </c>
      <c r="D242" s="295" t="str">
        <f>IF(C242="","",VLOOKUP($B242,'C-1 On-Site WaterC'' Baseline'!$C$9:$R$257,3,FALSE))</f>
        <v/>
      </c>
      <c r="E242" s="295" t="str">
        <f>IF(D242="","",VLOOKUP($B242,'C-1 On-Site WaterC'' Baseline'!$C$9:$R$257,4,FALSE))</f>
        <v/>
      </c>
      <c r="F242" s="295" t="str">
        <f>IF(E242="","",VLOOKUP($B242,'C-1 On-Site WaterC'' Baseline'!$C$9:$R$257,5,FALSE))</f>
        <v/>
      </c>
      <c r="G242" s="295" t="str">
        <f>IF(F242="","",VLOOKUP($B242,'C-1 On-Site WaterC'' Baseline'!$C$9:$R$257,6,FALSE))</f>
        <v/>
      </c>
      <c r="H242" s="295" t="str">
        <f>IF(G242="","",VLOOKUP($B242,'C-1 On-Site WaterC'' Baseline'!$C$9:$R$257,7,FALSE))</f>
        <v/>
      </c>
      <c r="I242" s="295" t="str">
        <f>IF(H242="","",VLOOKUP($B242,'C-1 On-Site WaterC'' Baseline'!$C$9:$R$257,8,FALSE))</f>
        <v/>
      </c>
      <c r="J242" s="295" t="str">
        <f>IF(I242="","",VLOOKUP($B242,'C-1 On-Site WaterC'' Baseline'!$C$9:$R$257,9,FALSE))</f>
        <v/>
      </c>
      <c r="K242" s="295" t="str">
        <f>IF(J242="","",VLOOKUP($B242,'C-1 On-Site WaterC'' Baseline'!$C$9:$R$257,10,FALSE))</f>
        <v/>
      </c>
      <c r="L242" s="295" t="str">
        <f>IF(B242="","",VLOOKUP($B242,'C-1 On-Site WaterC'' Baseline'!$C$9:$R$257,15,FALSE))</f>
        <v/>
      </c>
      <c r="M242" s="299" t="str">
        <f>IF(L242="","",VLOOKUP($B242,'C-1 On-Site WaterC'' Baseline'!$C$9:$R$257,16,FALSE))</f>
        <v/>
      </c>
      <c r="N242" s="245"/>
      <c r="O242" s="275" t="str">
        <f t="shared" si="31"/>
        <v/>
      </c>
      <c r="P242" s="276" t="str">
        <f t="shared" si="32"/>
        <v/>
      </c>
      <c r="Q242" s="336" t="str">
        <f>IF(N242="","",VLOOKUP(B242,'C-1 On-Site WaterC'' Baseline'!$C$10:$AC$257,20,FALSE))</f>
        <v/>
      </c>
      <c r="R242" s="275" t="str">
        <f>IF(N242="","",VLOOKUP(N242,'G-7 WaterC'' Data'!$B$2:$G$8,2,FALSE))</f>
        <v/>
      </c>
      <c r="S242" s="276" t="str">
        <f>IFERROR(VLOOKUP(R242,'G-7 WaterC'' Data'!$C$4:$D$8,2,FALSE),"")</f>
        <v/>
      </c>
      <c r="T242" s="101"/>
      <c r="U242" s="276" t="str">
        <f>IFERROR(INDEX('G-7 WaterC'' Data'!$H$4:$L$8,MATCH(N242,'G-7 WaterC'' Data'!$B$4:$B$8,0),MATCH(T242,'G-7 WaterC'' Data'!$H$3:$L$3,0)),"")</f>
        <v/>
      </c>
      <c r="V242" s="101"/>
      <c r="W242" s="283" t="str">
        <f>IF(V242="","",IF(VLOOKUP(V242,'G-7 WaterC'' Data'!$AK$4:$AM$6,2,FALSE)=0,"Spatial Data Missing ⚠",VLOOKUP(V242,'G-7 WaterC'' Data'!$AK$4:$AM$6,2,FALSE)))</f>
        <v/>
      </c>
      <c r="X242" s="276" t="str">
        <f>IF(V242="","",IF(VLOOKUP(V242,'G-7 WaterC'' Data'!$AK$4:$AM$6,3,FALSE)=0,"Spatial Data Missing ⚠",VLOOKUP(V242,'G-7 WaterC'' Data'!$AK$4:$AM$6,3,FALSE)))</f>
        <v/>
      </c>
      <c r="Y242" s="275" t="str">
        <f>IFERROR(IF(OR(LEFT(P242,5)="Error",LEFT(O242,5)="Error"),"Check Data ⚠",IF(F242&lt;S242,'G-7 WaterC'' Data'!$R$3,INDEX('G-7 WaterC'' Data'!$U$5:$Y$9,MATCH(G242,'G-7 WaterC'' Data'!$T$5:$T$9,0),MATCH(T242,'G-7 WaterC'' Data'!$U$4:$Y$4,0)))),"")</f>
        <v/>
      </c>
      <c r="Z242" s="133"/>
      <c r="AA242" s="133"/>
      <c r="AB242" s="283" t="str">
        <f t="shared" si="33"/>
        <v/>
      </c>
      <c r="AC242" s="296" t="str">
        <f t="shared" si="34"/>
        <v/>
      </c>
      <c r="AD242" s="334" t="str">
        <f>IFERROR(IF(AC242="Check Data ⚠","Check Data ⚠",VLOOKUP(AC242,'G-4 Temporal multipliers'!$A$4:$C$37,3,FALSE)),"")</f>
        <v/>
      </c>
      <c r="AE242" s="275" t="str">
        <f>IF(N242="","",VLOOKUP(N242,'G-7 WaterC'' Data'!$B$4:$G$8,5,FALSE))</f>
        <v/>
      </c>
      <c r="AF242" s="283" t="str">
        <f t="shared" si="35"/>
        <v/>
      </c>
      <c r="AG242" s="314" t="str">
        <f t="shared" si="36"/>
        <v/>
      </c>
      <c r="AH242" s="276" t="str">
        <f t="shared" si="30"/>
        <v/>
      </c>
      <c r="AI242" s="105"/>
      <c r="AJ242" s="276" t="str">
        <f>IF(AI242="","",IF(AND(AI242="N/A - Culvert",N242&lt;&gt;"Culvert"),"Not possible ▲",IF(VLOOKUP(AI242,'G-7 WaterC'' Data'!$AA$4:$AB$7,2,FALSE)=0,"Spatial Data Missing ⚠",VLOOKUP(AI242,'G-7 WaterC'' Data'!$AA$4:$AB$7,2,FALSE))))</f>
        <v/>
      </c>
      <c r="AK242" s="106"/>
      <c r="AL242" s="276" t="str">
        <f>IF(AK242="","",IF(AND(AK242="N/A - Culvert",N242&lt;&gt;"Culvert"),"Not possible ▲",IF(VLOOKUP(AK242,'G-7 WaterC'' Data'!$AD$4:$AE$14,2,FALSE)=0,"Spatial Data Missing ⚠",VLOOKUP(AK242,'G-7 WaterC'' Data'!$AD$4:$AE$14,2,FALSE))))</f>
        <v/>
      </c>
      <c r="AM242" s="317" t="str">
        <f t="shared" si="37"/>
        <v/>
      </c>
      <c r="AN242" s="101"/>
      <c r="AO242" s="115"/>
      <c r="AP242" s="104"/>
      <c r="AS242" s="30" t="str">
        <f>IF(B242="","",IF(ISNA(VLOOKUP($B242,'C-1 On-Site WaterC'' Baseline'!$C$8:$AD$257,17,FALSE)),"",(VLOOKUP($B242,'C-1 On-Site WaterC'' Baseline'!$C$8:$AD$257,17,FALSE))))</f>
        <v/>
      </c>
      <c r="AT242" s="30" t="str">
        <f>IF(B242="","",VLOOKUP($B242,'C-1 On-Site WaterC'' Baseline'!$C$9:$Z$257,12,FALSE))</f>
        <v/>
      </c>
      <c r="AU242" s="30" t="str">
        <f>IF(B242="","",VLOOKUP($B242,'C-1 On-Site WaterC'' Baseline'!$C$9:$Z$257,14,FALSE))</f>
        <v/>
      </c>
      <c r="AV242" s="30" t="str">
        <f>IFERROR(INDEX('G-7 WaterC'' Data'!$AZ$3:$AZ$7,MATCH(N242,'G-7 WaterC'' Data'!$AY$3:$AY$7,0)),"")</f>
        <v/>
      </c>
      <c r="AX242" s="30" t="str">
        <f>IF(B242="","",VLOOKUP($B242,'C-1 On-Site WaterC'' Baseline'!$C$9:$Y$257,22,FALSE))</f>
        <v/>
      </c>
      <c r="AY242" s="30" t="str">
        <f t="shared" si="38"/>
        <v/>
      </c>
      <c r="AZ242" s="30" t="str">
        <f>IF(B242="","",VLOOKUP($B242,'C-1 On-Site WaterC'' Baseline'!$C$9:$Y$257,21,FALSE))</f>
        <v/>
      </c>
      <c r="BA242" s="30" t="str">
        <f>IF(B242="","",VLOOKUP($B242,'C-1 On-Site WaterC'' Baseline'!$C$9:$Y$257,19,FALSE))</f>
        <v/>
      </c>
      <c r="BD242" s="30" t="str">
        <f t="shared" si="39"/>
        <v>No</v>
      </c>
    </row>
    <row r="243" spans="2:56" ht="14">
      <c r="B243" s="305" t="str">
        <f>'C-1 On-Site WaterC'' Baseline'!AP241</f>
        <v/>
      </c>
      <c r="C243" s="295" t="str">
        <f>IF(B243="","",VLOOKUP($B243,'C-1 On-Site WaterC'' Baseline'!$C$9:$R$257,2,FALSE))</f>
        <v/>
      </c>
      <c r="D243" s="295" t="str">
        <f>IF(C243="","",VLOOKUP($B243,'C-1 On-Site WaterC'' Baseline'!$C$9:$R$257,3,FALSE))</f>
        <v/>
      </c>
      <c r="E243" s="295" t="str">
        <f>IF(D243="","",VLOOKUP($B243,'C-1 On-Site WaterC'' Baseline'!$C$9:$R$257,4,FALSE))</f>
        <v/>
      </c>
      <c r="F243" s="295" t="str">
        <f>IF(E243="","",VLOOKUP($B243,'C-1 On-Site WaterC'' Baseline'!$C$9:$R$257,5,FALSE))</f>
        <v/>
      </c>
      <c r="G243" s="295" t="str">
        <f>IF(F243="","",VLOOKUP($B243,'C-1 On-Site WaterC'' Baseline'!$C$9:$R$257,6,FALSE))</f>
        <v/>
      </c>
      <c r="H243" s="295" t="str">
        <f>IF(G243="","",VLOOKUP($B243,'C-1 On-Site WaterC'' Baseline'!$C$9:$R$257,7,FALSE))</f>
        <v/>
      </c>
      <c r="I243" s="295" t="str">
        <f>IF(H243="","",VLOOKUP($B243,'C-1 On-Site WaterC'' Baseline'!$C$9:$R$257,8,FALSE))</f>
        <v/>
      </c>
      <c r="J243" s="295" t="str">
        <f>IF(I243="","",VLOOKUP($B243,'C-1 On-Site WaterC'' Baseline'!$C$9:$R$257,9,FALSE))</f>
        <v/>
      </c>
      <c r="K243" s="295" t="str">
        <f>IF(J243="","",VLOOKUP($B243,'C-1 On-Site WaterC'' Baseline'!$C$9:$R$257,10,FALSE))</f>
        <v/>
      </c>
      <c r="L243" s="295" t="str">
        <f>IF(B243="","",VLOOKUP($B243,'C-1 On-Site WaterC'' Baseline'!$C$9:$R$257,15,FALSE))</f>
        <v/>
      </c>
      <c r="M243" s="299" t="str">
        <f>IF(L243="","",VLOOKUP($B243,'C-1 On-Site WaterC'' Baseline'!$C$9:$R$257,16,FALSE))</f>
        <v/>
      </c>
      <c r="N243" s="245"/>
      <c r="O243" s="275" t="str">
        <f t="shared" si="31"/>
        <v/>
      </c>
      <c r="P243" s="276" t="str">
        <f t="shared" si="32"/>
        <v/>
      </c>
      <c r="Q243" s="336" t="str">
        <f>IF(N243="","",VLOOKUP(B243,'C-1 On-Site WaterC'' Baseline'!$C$10:$AC$257,20,FALSE))</f>
        <v/>
      </c>
      <c r="R243" s="275" t="str">
        <f>IF(N243="","",VLOOKUP(N243,'G-7 WaterC'' Data'!$B$2:$G$8,2,FALSE))</f>
        <v/>
      </c>
      <c r="S243" s="276" t="str">
        <f>IFERROR(VLOOKUP(R243,'G-7 WaterC'' Data'!$C$4:$D$8,2,FALSE),"")</f>
        <v/>
      </c>
      <c r="T243" s="101"/>
      <c r="U243" s="276" t="str">
        <f>IFERROR(INDEX('G-7 WaterC'' Data'!$H$4:$L$8,MATCH(N243,'G-7 WaterC'' Data'!$B$4:$B$8,0),MATCH(T243,'G-7 WaterC'' Data'!$H$3:$L$3,0)),"")</f>
        <v/>
      </c>
      <c r="V243" s="101"/>
      <c r="W243" s="283" t="str">
        <f>IF(V243="","",IF(VLOOKUP(V243,'G-7 WaterC'' Data'!$AK$4:$AM$6,2,FALSE)=0,"Spatial Data Missing ⚠",VLOOKUP(V243,'G-7 WaterC'' Data'!$AK$4:$AM$6,2,FALSE)))</f>
        <v/>
      </c>
      <c r="X243" s="276" t="str">
        <f>IF(V243="","",IF(VLOOKUP(V243,'G-7 WaterC'' Data'!$AK$4:$AM$6,3,FALSE)=0,"Spatial Data Missing ⚠",VLOOKUP(V243,'G-7 WaterC'' Data'!$AK$4:$AM$6,3,FALSE)))</f>
        <v/>
      </c>
      <c r="Y243" s="275" t="str">
        <f>IFERROR(IF(OR(LEFT(P243,5)="Error",LEFT(O243,5)="Error"),"Check Data ⚠",IF(F243&lt;S243,'G-7 WaterC'' Data'!$R$3,INDEX('G-7 WaterC'' Data'!$U$5:$Y$9,MATCH(G243,'G-7 WaterC'' Data'!$T$5:$T$9,0),MATCH(T243,'G-7 WaterC'' Data'!$U$4:$Y$4,0)))),"")</f>
        <v/>
      </c>
      <c r="Z243" s="133"/>
      <c r="AA243" s="133"/>
      <c r="AB243" s="283" t="str">
        <f t="shared" si="33"/>
        <v/>
      </c>
      <c r="AC243" s="296" t="str">
        <f t="shared" si="34"/>
        <v/>
      </c>
      <c r="AD243" s="334" t="str">
        <f>IFERROR(IF(AC243="Check Data ⚠","Check Data ⚠",VLOOKUP(AC243,'G-4 Temporal multipliers'!$A$4:$C$37,3,FALSE)),"")</f>
        <v/>
      </c>
      <c r="AE243" s="275" t="str">
        <f>IF(N243="","",VLOOKUP(N243,'G-7 WaterC'' Data'!$B$4:$G$8,5,FALSE))</f>
        <v/>
      </c>
      <c r="AF243" s="283" t="str">
        <f t="shared" si="35"/>
        <v/>
      </c>
      <c r="AG243" s="314" t="str">
        <f t="shared" si="36"/>
        <v/>
      </c>
      <c r="AH243" s="276" t="str">
        <f t="shared" si="30"/>
        <v/>
      </c>
      <c r="AI243" s="105"/>
      <c r="AJ243" s="276" t="str">
        <f>IF(AI243="","",IF(AND(AI243="N/A - Culvert",N243&lt;&gt;"Culvert"),"Not possible ▲",IF(VLOOKUP(AI243,'G-7 WaterC'' Data'!$AA$4:$AB$7,2,FALSE)=0,"Spatial Data Missing ⚠",VLOOKUP(AI243,'G-7 WaterC'' Data'!$AA$4:$AB$7,2,FALSE))))</f>
        <v/>
      </c>
      <c r="AK243" s="106"/>
      <c r="AL243" s="276" t="str">
        <f>IF(AK243="","",IF(AND(AK243="N/A - Culvert",N243&lt;&gt;"Culvert"),"Not possible ▲",IF(VLOOKUP(AK243,'G-7 WaterC'' Data'!$AD$4:$AE$14,2,FALSE)=0,"Spatial Data Missing ⚠",VLOOKUP(AK243,'G-7 WaterC'' Data'!$AD$4:$AE$14,2,FALSE))))</f>
        <v/>
      </c>
      <c r="AM243" s="317" t="str">
        <f t="shared" si="37"/>
        <v/>
      </c>
      <c r="AN243" s="101"/>
      <c r="AO243" s="115"/>
      <c r="AP243" s="104"/>
      <c r="AS243" s="30" t="str">
        <f>IF(B243="","",IF(ISNA(VLOOKUP($B243,'C-1 On-Site WaterC'' Baseline'!$C$8:$AD$257,17,FALSE)),"",(VLOOKUP($B243,'C-1 On-Site WaterC'' Baseline'!$C$8:$AD$257,17,FALSE))))</f>
        <v/>
      </c>
      <c r="AT243" s="30" t="str">
        <f>IF(B243="","",VLOOKUP($B243,'C-1 On-Site WaterC'' Baseline'!$C$9:$Z$257,12,FALSE))</f>
        <v/>
      </c>
      <c r="AU243" s="30" t="str">
        <f>IF(B243="","",VLOOKUP($B243,'C-1 On-Site WaterC'' Baseline'!$C$9:$Z$257,14,FALSE))</f>
        <v/>
      </c>
      <c r="AV243" s="30" t="str">
        <f>IFERROR(INDEX('G-7 WaterC'' Data'!$AZ$3:$AZ$7,MATCH(N243,'G-7 WaterC'' Data'!$AY$3:$AY$7,0)),"")</f>
        <v/>
      </c>
      <c r="AX243" s="30" t="str">
        <f>IF(B243="","",VLOOKUP($B243,'C-1 On-Site WaterC'' Baseline'!$C$9:$Y$257,22,FALSE))</f>
        <v/>
      </c>
      <c r="AY243" s="30" t="str">
        <f t="shared" si="38"/>
        <v/>
      </c>
      <c r="AZ243" s="30" t="str">
        <f>IF(B243="","",VLOOKUP($B243,'C-1 On-Site WaterC'' Baseline'!$C$9:$Y$257,21,FALSE))</f>
        <v/>
      </c>
      <c r="BA243" s="30" t="str">
        <f>IF(B243="","",VLOOKUP($B243,'C-1 On-Site WaterC'' Baseline'!$C$9:$Y$257,19,FALSE))</f>
        <v/>
      </c>
      <c r="BD243" s="30" t="str">
        <f t="shared" si="39"/>
        <v>No</v>
      </c>
    </row>
    <row r="244" spans="2:56" ht="14">
      <c r="B244" s="305" t="str">
        <f>'C-1 On-Site WaterC'' Baseline'!AP242</f>
        <v/>
      </c>
      <c r="C244" s="295" t="str">
        <f>IF(B244="","",VLOOKUP($B244,'C-1 On-Site WaterC'' Baseline'!$C$9:$R$257,2,FALSE))</f>
        <v/>
      </c>
      <c r="D244" s="295" t="str">
        <f>IF(C244="","",VLOOKUP($B244,'C-1 On-Site WaterC'' Baseline'!$C$9:$R$257,3,FALSE))</f>
        <v/>
      </c>
      <c r="E244" s="295" t="str">
        <f>IF(D244="","",VLOOKUP($B244,'C-1 On-Site WaterC'' Baseline'!$C$9:$R$257,4,FALSE))</f>
        <v/>
      </c>
      <c r="F244" s="295" t="str">
        <f>IF(E244="","",VLOOKUP($B244,'C-1 On-Site WaterC'' Baseline'!$C$9:$R$257,5,FALSE))</f>
        <v/>
      </c>
      <c r="G244" s="295" t="str">
        <f>IF(F244="","",VLOOKUP($B244,'C-1 On-Site WaterC'' Baseline'!$C$9:$R$257,6,FALSE))</f>
        <v/>
      </c>
      <c r="H244" s="295" t="str">
        <f>IF(G244="","",VLOOKUP($B244,'C-1 On-Site WaterC'' Baseline'!$C$9:$R$257,7,FALSE))</f>
        <v/>
      </c>
      <c r="I244" s="295" t="str">
        <f>IF(H244="","",VLOOKUP($B244,'C-1 On-Site WaterC'' Baseline'!$C$9:$R$257,8,FALSE))</f>
        <v/>
      </c>
      <c r="J244" s="295" t="str">
        <f>IF(I244="","",VLOOKUP($B244,'C-1 On-Site WaterC'' Baseline'!$C$9:$R$257,9,FALSE))</f>
        <v/>
      </c>
      <c r="K244" s="295" t="str">
        <f>IF(J244="","",VLOOKUP($B244,'C-1 On-Site WaterC'' Baseline'!$C$9:$R$257,10,FALSE))</f>
        <v/>
      </c>
      <c r="L244" s="295" t="str">
        <f>IF(B244="","",VLOOKUP($B244,'C-1 On-Site WaterC'' Baseline'!$C$9:$R$257,15,FALSE))</f>
        <v/>
      </c>
      <c r="M244" s="299" t="str">
        <f>IF(L244="","",VLOOKUP($B244,'C-1 On-Site WaterC'' Baseline'!$C$9:$R$257,16,FALSE))</f>
        <v/>
      </c>
      <c r="N244" s="245"/>
      <c r="O244" s="275" t="str">
        <f t="shared" si="31"/>
        <v/>
      </c>
      <c r="P244" s="276" t="str">
        <f t="shared" si="32"/>
        <v/>
      </c>
      <c r="Q244" s="336" t="str">
        <f>IF(N244="","",VLOOKUP(B244,'C-1 On-Site WaterC'' Baseline'!$C$10:$AC$257,20,FALSE))</f>
        <v/>
      </c>
      <c r="R244" s="275" t="str">
        <f>IF(N244="","",VLOOKUP(N244,'G-7 WaterC'' Data'!$B$2:$G$8,2,FALSE))</f>
        <v/>
      </c>
      <c r="S244" s="276" t="str">
        <f>IFERROR(VLOOKUP(R244,'G-7 WaterC'' Data'!$C$4:$D$8,2,FALSE),"")</f>
        <v/>
      </c>
      <c r="T244" s="101"/>
      <c r="U244" s="276" t="str">
        <f>IFERROR(INDEX('G-7 WaterC'' Data'!$H$4:$L$8,MATCH(N244,'G-7 WaterC'' Data'!$B$4:$B$8,0),MATCH(T244,'G-7 WaterC'' Data'!$H$3:$L$3,0)),"")</f>
        <v/>
      </c>
      <c r="V244" s="101"/>
      <c r="W244" s="283" t="str">
        <f>IF(V244="","",IF(VLOOKUP(V244,'G-7 WaterC'' Data'!$AK$4:$AM$6,2,FALSE)=0,"Spatial Data Missing ⚠",VLOOKUP(V244,'G-7 WaterC'' Data'!$AK$4:$AM$6,2,FALSE)))</f>
        <v/>
      </c>
      <c r="X244" s="276" t="str">
        <f>IF(V244="","",IF(VLOOKUP(V244,'G-7 WaterC'' Data'!$AK$4:$AM$6,3,FALSE)=0,"Spatial Data Missing ⚠",VLOOKUP(V244,'G-7 WaterC'' Data'!$AK$4:$AM$6,3,FALSE)))</f>
        <v/>
      </c>
      <c r="Y244" s="275" t="str">
        <f>IFERROR(IF(OR(LEFT(P244,5)="Error",LEFT(O244,5)="Error"),"Check Data ⚠",IF(F244&lt;S244,'G-7 WaterC'' Data'!$R$3,INDEX('G-7 WaterC'' Data'!$U$5:$Y$9,MATCH(G244,'G-7 WaterC'' Data'!$T$5:$T$9,0),MATCH(T244,'G-7 WaterC'' Data'!$U$4:$Y$4,0)))),"")</f>
        <v/>
      </c>
      <c r="Z244" s="133"/>
      <c r="AA244" s="133"/>
      <c r="AB244" s="283" t="str">
        <f t="shared" si="33"/>
        <v/>
      </c>
      <c r="AC244" s="296" t="str">
        <f t="shared" si="34"/>
        <v/>
      </c>
      <c r="AD244" s="334" t="str">
        <f>IFERROR(IF(AC244="Check Data ⚠","Check Data ⚠",VLOOKUP(AC244,'G-4 Temporal multipliers'!$A$4:$C$37,3,FALSE)),"")</f>
        <v/>
      </c>
      <c r="AE244" s="275" t="str">
        <f>IF(N244="","",VLOOKUP(N244,'G-7 WaterC'' Data'!$B$4:$G$8,5,FALSE))</f>
        <v/>
      </c>
      <c r="AF244" s="283" t="str">
        <f t="shared" si="35"/>
        <v/>
      </c>
      <c r="AG244" s="314" t="str">
        <f t="shared" si="36"/>
        <v/>
      </c>
      <c r="AH244" s="276" t="str">
        <f t="shared" si="30"/>
        <v/>
      </c>
      <c r="AI244" s="105"/>
      <c r="AJ244" s="276" t="str">
        <f>IF(AI244="","",IF(AND(AI244="N/A - Culvert",N244&lt;&gt;"Culvert"),"Not possible ▲",IF(VLOOKUP(AI244,'G-7 WaterC'' Data'!$AA$4:$AB$7,2,FALSE)=0,"Spatial Data Missing ⚠",VLOOKUP(AI244,'G-7 WaterC'' Data'!$AA$4:$AB$7,2,FALSE))))</f>
        <v/>
      </c>
      <c r="AK244" s="106"/>
      <c r="AL244" s="276" t="str">
        <f>IF(AK244="","",IF(AND(AK244="N/A - Culvert",N244&lt;&gt;"Culvert"),"Not possible ▲",IF(VLOOKUP(AK244,'G-7 WaterC'' Data'!$AD$4:$AE$14,2,FALSE)=0,"Spatial Data Missing ⚠",VLOOKUP(AK244,'G-7 WaterC'' Data'!$AD$4:$AE$14,2,FALSE))))</f>
        <v/>
      </c>
      <c r="AM244" s="317" t="str">
        <f t="shared" si="37"/>
        <v/>
      </c>
      <c r="AN244" s="101"/>
      <c r="AO244" s="115"/>
      <c r="AP244" s="104"/>
      <c r="AS244" s="30" t="str">
        <f>IF(B244="","",IF(ISNA(VLOOKUP($B244,'C-1 On-Site WaterC'' Baseline'!$C$8:$AD$257,17,FALSE)),"",(VLOOKUP($B244,'C-1 On-Site WaterC'' Baseline'!$C$8:$AD$257,17,FALSE))))</f>
        <v/>
      </c>
      <c r="AT244" s="30" t="str">
        <f>IF(B244="","",VLOOKUP($B244,'C-1 On-Site WaterC'' Baseline'!$C$9:$Z$257,12,FALSE))</f>
        <v/>
      </c>
      <c r="AU244" s="30" t="str">
        <f>IF(B244="","",VLOOKUP($B244,'C-1 On-Site WaterC'' Baseline'!$C$9:$Z$257,14,FALSE))</f>
        <v/>
      </c>
      <c r="AV244" s="30" t="str">
        <f>IFERROR(INDEX('G-7 WaterC'' Data'!$AZ$3:$AZ$7,MATCH(N244,'G-7 WaterC'' Data'!$AY$3:$AY$7,0)),"")</f>
        <v/>
      </c>
      <c r="AX244" s="30" t="str">
        <f>IF(B244="","",VLOOKUP($B244,'C-1 On-Site WaterC'' Baseline'!$C$9:$Y$257,22,FALSE))</f>
        <v/>
      </c>
      <c r="AY244" s="30" t="str">
        <f t="shared" si="38"/>
        <v/>
      </c>
      <c r="AZ244" s="30" t="str">
        <f>IF(B244="","",VLOOKUP($B244,'C-1 On-Site WaterC'' Baseline'!$C$9:$Y$257,21,FALSE))</f>
        <v/>
      </c>
      <c r="BA244" s="30" t="str">
        <f>IF(B244="","",VLOOKUP($B244,'C-1 On-Site WaterC'' Baseline'!$C$9:$Y$257,19,FALSE))</f>
        <v/>
      </c>
      <c r="BD244" s="30" t="str">
        <f t="shared" si="39"/>
        <v>No</v>
      </c>
    </row>
    <row r="245" spans="2:56" ht="14">
      <c r="B245" s="305" t="str">
        <f>'C-1 On-Site WaterC'' Baseline'!AP243</f>
        <v/>
      </c>
      <c r="C245" s="295" t="str">
        <f>IF(B245="","",VLOOKUP($B245,'C-1 On-Site WaterC'' Baseline'!$C$9:$R$257,2,FALSE))</f>
        <v/>
      </c>
      <c r="D245" s="295" t="str">
        <f>IF(C245="","",VLOOKUP($B245,'C-1 On-Site WaterC'' Baseline'!$C$9:$R$257,3,FALSE))</f>
        <v/>
      </c>
      <c r="E245" s="295" t="str">
        <f>IF(D245="","",VLOOKUP($B245,'C-1 On-Site WaterC'' Baseline'!$C$9:$R$257,4,FALSE))</f>
        <v/>
      </c>
      <c r="F245" s="295" t="str">
        <f>IF(E245="","",VLOOKUP($B245,'C-1 On-Site WaterC'' Baseline'!$C$9:$R$257,5,FALSE))</f>
        <v/>
      </c>
      <c r="G245" s="295" t="str">
        <f>IF(F245="","",VLOOKUP($B245,'C-1 On-Site WaterC'' Baseline'!$C$9:$R$257,6,FALSE))</f>
        <v/>
      </c>
      <c r="H245" s="295" t="str">
        <f>IF(G245="","",VLOOKUP($B245,'C-1 On-Site WaterC'' Baseline'!$C$9:$R$257,7,FALSE))</f>
        <v/>
      </c>
      <c r="I245" s="295" t="str">
        <f>IF(H245="","",VLOOKUP($B245,'C-1 On-Site WaterC'' Baseline'!$C$9:$R$257,8,FALSE))</f>
        <v/>
      </c>
      <c r="J245" s="295" t="str">
        <f>IF(I245="","",VLOOKUP($B245,'C-1 On-Site WaterC'' Baseline'!$C$9:$R$257,9,FALSE))</f>
        <v/>
      </c>
      <c r="K245" s="295" t="str">
        <f>IF(J245="","",VLOOKUP($B245,'C-1 On-Site WaterC'' Baseline'!$C$9:$R$257,10,FALSE))</f>
        <v/>
      </c>
      <c r="L245" s="295" t="str">
        <f>IF(B245="","",VLOOKUP($B245,'C-1 On-Site WaterC'' Baseline'!$C$9:$R$257,15,FALSE))</f>
        <v/>
      </c>
      <c r="M245" s="299" t="str">
        <f>IF(L245="","",VLOOKUP($B245,'C-1 On-Site WaterC'' Baseline'!$C$9:$R$257,16,FALSE))</f>
        <v/>
      </c>
      <c r="N245" s="245"/>
      <c r="O245" s="275" t="str">
        <f t="shared" si="31"/>
        <v/>
      </c>
      <c r="P245" s="276" t="str">
        <f t="shared" si="32"/>
        <v/>
      </c>
      <c r="Q245" s="336" t="str">
        <f>IF(N245="","",VLOOKUP(B245,'C-1 On-Site WaterC'' Baseline'!$C$10:$AC$257,20,FALSE))</f>
        <v/>
      </c>
      <c r="R245" s="275" t="str">
        <f>IF(N245="","",VLOOKUP(N245,'G-7 WaterC'' Data'!$B$2:$G$8,2,FALSE))</f>
        <v/>
      </c>
      <c r="S245" s="276" t="str">
        <f>IFERROR(VLOOKUP(R245,'G-7 WaterC'' Data'!$C$4:$D$8,2,FALSE),"")</f>
        <v/>
      </c>
      <c r="T245" s="101"/>
      <c r="U245" s="276" t="str">
        <f>IFERROR(INDEX('G-7 WaterC'' Data'!$H$4:$L$8,MATCH(N245,'G-7 WaterC'' Data'!$B$4:$B$8,0),MATCH(T245,'G-7 WaterC'' Data'!$H$3:$L$3,0)),"")</f>
        <v/>
      </c>
      <c r="V245" s="101"/>
      <c r="W245" s="283" t="str">
        <f>IF(V245="","",IF(VLOOKUP(V245,'G-7 WaterC'' Data'!$AK$4:$AM$6,2,FALSE)=0,"Spatial Data Missing ⚠",VLOOKUP(V245,'G-7 WaterC'' Data'!$AK$4:$AM$6,2,FALSE)))</f>
        <v/>
      </c>
      <c r="X245" s="276" t="str">
        <f>IF(V245="","",IF(VLOOKUP(V245,'G-7 WaterC'' Data'!$AK$4:$AM$6,3,FALSE)=0,"Spatial Data Missing ⚠",VLOOKUP(V245,'G-7 WaterC'' Data'!$AK$4:$AM$6,3,FALSE)))</f>
        <v/>
      </c>
      <c r="Y245" s="275" t="str">
        <f>IFERROR(IF(OR(LEFT(P245,5)="Error",LEFT(O245,5)="Error"),"Check Data ⚠",IF(F245&lt;S245,'G-7 WaterC'' Data'!$R$3,INDEX('G-7 WaterC'' Data'!$U$5:$Y$9,MATCH(G245,'G-7 WaterC'' Data'!$T$5:$T$9,0),MATCH(T245,'G-7 WaterC'' Data'!$U$4:$Y$4,0)))),"")</f>
        <v/>
      </c>
      <c r="Z245" s="133"/>
      <c r="AA245" s="133"/>
      <c r="AB245" s="283" t="str">
        <f t="shared" si="33"/>
        <v/>
      </c>
      <c r="AC245" s="296" t="str">
        <f t="shared" si="34"/>
        <v/>
      </c>
      <c r="AD245" s="334" t="str">
        <f>IFERROR(IF(AC245="Check Data ⚠","Check Data ⚠",VLOOKUP(AC245,'G-4 Temporal multipliers'!$A$4:$C$37,3,FALSE)),"")</f>
        <v/>
      </c>
      <c r="AE245" s="275" t="str">
        <f>IF(N245="","",VLOOKUP(N245,'G-7 WaterC'' Data'!$B$4:$G$8,5,FALSE))</f>
        <v/>
      </c>
      <c r="AF245" s="283" t="str">
        <f t="shared" si="35"/>
        <v/>
      </c>
      <c r="AG245" s="314" t="str">
        <f t="shared" si="36"/>
        <v/>
      </c>
      <c r="AH245" s="276" t="str">
        <f t="shared" si="30"/>
        <v/>
      </c>
      <c r="AI245" s="105"/>
      <c r="AJ245" s="276" t="str">
        <f>IF(AI245="","",IF(AND(AI245="N/A - Culvert",N245&lt;&gt;"Culvert"),"Not possible ▲",IF(VLOOKUP(AI245,'G-7 WaterC'' Data'!$AA$4:$AB$7,2,FALSE)=0,"Spatial Data Missing ⚠",VLOOKUP(AI245,'G-7 WaterC'' Data'!$AA$4:$AB$7,2,FALSE))))</f>
        <v/>
      </c>
      <c r="AK245" s="106"/>
      <c r="AL245" s="276" t="str">
        <f>IF(AK245="","",IF(AND(AK245="N/A - Culvert",N245&lt;&gt;"Culvert"),"Not possible ▲",IF(VLOOKUP(AK245,'G-7 WaterC'' Data'!$AD$4:$AE$14,2,FALSE)=0,"Spatial Data Missing ⚠",VLOOKUP(AK245,'G-7 WaterC'' Data'!$AD$4:$AE$14,2,FALSE))))</f>
        <v/>
      </c>
      <c r="AM245" s="317" t="str">
        <f t="shared" si="37"/>
        <v/>
      </c>
      <c r="AN245" s="101"/>
      <c r="AO245" s="115"/>
      <c r="AP245" s="104"/>
      <c r="AS245" s="30" t="str">
        <f>IF(B245="","",IF(ISNA(VLOOKUP($B245,'C-1 On-Site WaterC'' Baseline'!$C$8:$AD$257,17,FALSE)),"",(VLOOKUP($B245,'C-1 On-Site WaterC'' Baseline'!$C$8:$AD$257,17,FALSE))))</f>
        <v/>
      </c>
      <c r="AT245" s="30" t="str">
        <f>IF(B245="","",VLOOKUP($B245,'C-1 On-Site WaterC'' Baseline'!$C$9:$Z$257,12,FALSE))</f>
        <v/>
      </c>
      <c r="AU245" s="30" t="str">
        <f>IF(B245="","",VLOOKUP($B245,'C-1 On-Site WaterC'' Baseline'!$C$9:$Z$257,14,FALSE))</f>
        <v/>
      </c>
      <c r="AV245" s="30" t="str">
        <f>IFERROR(INDEX('G-7 WaterC'' Data'!$AZ$3:$AZ$7,MATCH(N245,'G-7 WaterC'' Data'!$AY$3:$AY$7,0)),"")</f>
        <v/>
      </c>
      <c r="AX245" s="30" t="str">
        <f>IF(B245="","",VLOOKUP($B245,'C-1 On-Site WaterC'' Baseline'!$C$9:$Y$257,22,FALSE))</f>
        <v/>
      </c>
      <c r="AY245" s="30" t="str">
        <f t="shared" si="38"/>
        <v/>
      </c>
      <c r="AZ245" s="30" t="str">
        <f>IF(B245="","",VLOOKUP($B245,'C-1 On-Site WaterC'' Baseline'!$C$9:$Y$257,21,FALSE))</f>
        <v/>
      </c>
      <c r="BA245" s="30" t="str">
        <f>IF(B245="","",VLOOKUP($B245,'C-1 On-Site WaterC'' Baseline'!$C$9:$Y$257,19,FALSE))</f>
        <v/>
      </c>
      <c r="BD245" s="30" t="str">
        <f t="shared" si="39"/>
        <v>No</v>
      </c>
    </row>
    <row r="246" spans="2:56" ht="14">
      <c r="B246" s="305" t="str">
        <f>'C-1 On-Site WaterC'' Baseline'!AP244</f>
        <v/>
      </c>
      <c r="C246" s="295" t="str">
        <f>IF(B246="","",VLOOKUP($B246,'C-1 On-Site WaterC'' Baseline'!$C$9:$R$257,2,FALSE))</f>
        <v/>
      </c>
      <c r="D246" s="295" t="str">
        <f>IF(C246="","",VLOOKUP($B246,'C-1 On-Site WaterC'' Baseline'!$C$9:$R$257,3,FALSE))</f>
        <v/>
      </c>
      <c r="E246" s="295" t="str">
        <f>IF(D246="","",VLOOKUP($B246,'C-1 On-Site WaterC'' Baseline'!$C$9:$R$257,4,FALSE))</f>
        <v/>
      </c>
      <c r="F246" s="295" t="str">
        <f>IF(E246="","",VLOOKUP($B246,'C-1 On-Site WaterC'' Baseline'!$C$9:$R$257,5,FALSE))</f>
        <v/>
      </c>
      <c r="G246" s="295" t="str">
        <f>IF(F246="","",VLOOKUP($B246,'C-1 On-Site WaterC'' Baseline'!$C$9:$R$257,6,FALSE))</f>
        <v/>
      </c>
      <c r="H246" s="295" t="str">
        <f>IF(G246="","",VLOOKUP($B246,'C-1 On-Site WaterC'' Baseline'!$C$9:$R$257,7,FALSE))</f>
        <v/>
      </c>
      <c r="I246" s="295" t="str">
        <f>IF(H246="","",VLOOKUP($B246,'C-1 On-Site WaterC'' Baseline'!$C$9:$R$257,8,FALSE))</f>
        <v/>
      </c>
      <c r="J246" s="295" t="str">
        <f>IF(I246="","",VLOOKUP($B246,'C-1 On-Site WaterC'' Baseline'!$C$9:$R$257,9,FALSE))</f>
        <v/>
      </c>
      <c r="K246" s="295" t="str">
        <f>IF(J246="","",VLOOKUP($B246,'C-1 On-Site WaterC'' Baseline'!$C$9:$R$257,10,FALSE))</f>
        <v/>
      </c>
      <c r="L246" s="295" t="str">
        <f>IF(B246="","",VLOOKUP($B246,'C-1 On-Site WaterC'' Baseline'!$C$9:$R$257,15,FALSE))</f>
        <v/>
      </c>
      <c r="M246" s="299" t="str">
        <f>IF(L246="","",VLOOKUP($B246,'C-1 On-Site WaterC'' Baseline'!$C$9:$R$257,16,FALSE))</f>
        <v/>
      </c>
      <c r="N246" s="245"/>
      <c r="O246" s="275" t="str">
        <f t="shared" si="31"/>
        <v/>
      </c>
      <c r="P246" s="276" t="str">
        <f t="shared" si="32"/>
        <v/>
      </c>
      <c r="Q246" s="336" t="str">
        <f>IF(N246="","",VLOOKUP(B246,'C-1 On-Site WaterC'' Baseline'!$C$10:$AC$257,20,FALSE))</f>
        <v/>
      </c>
      <c r="R246" s="275" t="str">
        <f>IF(N246="","",VLOOKUP(N246,'G-7 WaterC'' Data'!$B$2:$G$8,2,FALSE))</f>
        <v/>
      </c>
      <c r="S246" s="276" t="str">
        <f>IFERROR(VLOOKUP(R246,'G-7 WaterC'' Data'!$C$4:$D$8,2,FALSE),"")</f>
        <v/>
      </c>
      <c r="T246" s="101"/>
      <c r="U246" s="276" t="str">
        <f>IFERROR(INDEX('G-7 WaterC'' Data'!$H$4:$L$8,MATCH(N246,'G-7 WaterC'' Data'!$B$4:$B$8,0),MATCH(T246,'G-7 WaterC'' Data'!$H$3:$L$3,0)),"")</f>
        <v/>
      </c>
      <c r="V246" s="101"/>
      <c r="W246" s="283" t="str">
        <f>IF(V246="","",IF(VLOOKUP(V246,'G-7 WaterC'' Data'!$AK$4:$AM$6,2,FALSE)=0,"Spatial Data Missing ⚠",VLOOKUP(V246,'G-7 WaterC'' Data'!$AK$4:$AM$6,2,FALSE)))</f>
        <v/>
      </c>
      <c r="X246" s="276" t="str">
        <f>IF(V246="","",IF(VLOOKUP(V246,'G-7 WaterC'' Data'!$AK$4:$AM$6,3,FALSE)=0,"Spatial Data Missing ⚠",VLOOKUP(V246,'G-7 WaterC'' Data'!$AK$4:$AM$6,3,FALSE)))</f>
        <v/>
      </c>
      <c r="Y246" s="275" t="str">
        <f>IFERROR(IF(OR(LEFT(P246,5)="Error",LEFT(O246,5)="Error"),"Check Data ⚠",IF(F246&lt;S246,'G-7 WaterC'' Data'!$R$3,INDEX('G-7 WaterC'' Data'!$U$5:$Y$9,MATCH(G246,'G-7 WaterC'' Data'!$T$5:$T$9,0),MATCH(T246,'G-7 WaterC'' Data'!$U$4:$Y$4,0)))),"")</f>
        <v/>
      </c>
      <c r="Z246" s="133"/>
      <c r="AA246" s="133"/>
      <c r="AB246" s="283" t="str">
        <f t="shared" si="33"/>
        <v/>
      </c>
      <c r="AC246" s="296" t="str">
        <f t="shared" si="34"/>
        <v/>
      </c>
      <c r="AD246" s="334" t="str">
        <f>IFERROR(IF(AC246="Check Data ⚠","Check Data ⚠",VLOOKUP(AC246,'G-4 Temporal multipliers'!$A$4:$C$37,3,FALSE)),"")</f>
        <v/>
      </c>
      <c r="AE246" s="275" t="str">
        <f>IF(N246="","",VLOOKUP(N246,'G-7 WaterC'' Data'!$B$4:$G$8,5,FALSE))</f>
        <v/>
      </c>
      <c r="AF246" s="283" t="str">
        <f t="shared" si="35"/>
        <v/>
      </c>
      <c r="AG246" s="314" t="str">
        <f t="shared" si="36"/>
        <v/>
      </c>
      <c r="AH246" s="276" t="str">
        <f t="shared" si="30"/>
        <v/>
      </c>
      <c r="AI246" s="105"/>
      <c r="AJ246" s="276" t="str">
        <f>IF(AI246="","",IF(AND(AI246="N/A - Culvert",N246&lt;&gt;"Culvert"),"Not possible ▲",IF(VLOOKUP(AI246,'G-7 WaterC'' Data'!$AA$4:$AB$7,2,FALSE)=0,"Spatial Data Missing ⚠",VLOOKUP(AI246,'G-7 WaterC'' Data'!$AA$4:$AB$7,2,FALSE))))</f>
        <v/>
      </c>
      <c r="AK246" s="106"/>
      <c r="AL246" s="276" t="str">
        <f>IF(AK246="","",IF(AND(AK246="N/A - Culvert",N246&lt;&gt;"Culvert"),"Not possible ▲",IF(VLOOKUP(AK246,'G-7 WaterC'' Data'!$AD$4:$AE$14,2,FALSE)=0,"Spatial Data Missing ⚠",VLOOKUP(AK246,'G-7 WaterC'' Data'!$AD$4:$AE$14,2,FALSE))))</f>
        <v/>
      </c>
      <c r="AM246" s="317" t="str">
        <f t="shared" si="37"/>
        <v/>
      </c>
      <c r="AN246" s="101"/>
      <c r="AO246" s="115"/>
      <c r="AP246" s="104"/>
      <c r="AS246" s="30" t="str">
        <f>IF(B246="","",IF(ISNA(VLOOKUP($B246,'C-1 On-Site WaterC'' Baseline'!$C$8:$AD$257,17,FALSE)),"",(VLOOKUP($B246,'C-1 On-Site WaterC'' Baseline'!$C$8:$AD$257,17,FALSE))))</f>
        <v/>
      </c>
      <c r="AT246" s="30" t="str">
        <f>IF(B246="","",VLOOKUP($B246,'C-1 On-Site WaterC'' Baseline'!$C$9:$Z$257,12,FALSE))</f>
        <v/>
      </c>
      <c r="AU246" s="30" t="str">
        <f>IF(B246="","",VLOOKUP($B246,'C-1 On-Site WaterC'' Baseline'!$C$9:$Z$257,14,FALSE))</f>
        <v/>
      </c>
      <c r="AV246" s="30" t="str">
        <f>IFERROR(INDEX('G-7 WaterC'' Data'!$AZ$3:$AZ$7,MATCH(N246,'G-7 WaterC'' Data'!$AY$3:$AY$7,0)),"")</f>
        <v/>
      </c>
      <c r="AX246" s="30" t="str">
        <f>IF(B246="","",VLOOKUP($B246,'C-1 On-Site WaterC'' Baseline'!$C$9:$Y$257,22,FALSE))</f>
        <v/>
      </c>
      <c r="AY246" s="30" t="str">
        <f t="shared" si="38"/>
        <v/>
      </c>
      <c r="AZ246" s="30" t="str">
        <f>IF(B246="","",VLOOKUP($B246,'C-1 On-Site WaterC'' Baseline'!$C$9:$Y$257,21,FALSE))</f>
        <v/>
      </c>
      <c r="BA246" s="30" t="str">
        <f>IF(B246="","",VLOOKUP($B246,'C-1 On-Site WaterC'' Baseline'!$C$9:$Y$257,19,FALSE))</f>
        <v/>
      </c>
      <c r="BD246" s="30" t="str">
        <f t="shared" si="39"/>
        <v>No</v>
      </c>
    </row>
    <row r="247" spans="2:56" ht="14">
      <c r="B247" s="305" t="str">
        <f>'C-1 On-Site WaterC'' Baseline'!AP245</f>
        <v/>
      </c>
      <c r="C247" s="295" t="str">
        <f>IF(B247="","",VLOOKUP($B247,'C-1 On-Site WaterC'' Baseline'!$C$9:$R$257,2,FALSE))</f>
        <v/>
      </c>
      <c r="D247" s="295" t="str">
        <f>IF(C247="","",VLOOKUP($B247,'C-1 On-Site WaterC'' Baseline'!$C$9:$R$257,3,FALSE))</f>
        <v/>
      </c>
      <c r="E247" s="295" t="str">
        <f>IF(D247="","",VLOOKUP($B247,'C-1 On-Site WaterC'' Baseline'!$C$9:$R$257,4,FALSE))</f>
        <v/>
      </c>
      <c r="F247" s="295" t="str">
        <f>IF(E247="","",VLOOKUP($B247,'C-1 On-Site WaterC'' Baseline'!$C$9:$R$257,5,FALSE))</f>
        <v/>
      </c>
      <c r="G247" s="295" t="str">
        <f>IF(F247="","",VLOOKUP($B247,'C-1 On-Site WaterC'' Baseline'!$C$9:$R$257,6,FALSE))</f>
        <v/>
      </c>
      <c r="H247" s="295" t="str">
        <f>IF(G247="","",VLOOKUP($B247,'C-1 On-Site WaterC'' Baseline'!$C$9:$R$257,7,FALSE))</f>
        <v/>
      </c>
      <c r="I247" s="295" t="str">
        <f>IF(H247="","",VLOOKUP($B247,'C-1 On-Site WaterC'' Baseline'!$C$9:$R$257,8,FALSE))</f>
        <v/>
      </c>
      <c r="J247" s="295" t="str">
        <f>IF(I247="","",VLOOKUP($B247,'C-1 On-Site WaterC'' Baseline'!$C$9:$R$257,9,FALSE))</f>
        <v/>
      </c>
      <c r="K247" s="295" t="str">
        <f>IF(J247="","",VLOOKUP($B247,'C-1 On-Site WaterC'' Baseline'!$C$9:$R$257,10,FALSE))</f>
        <v/>
      </c>
      <c r="L247" s="295" t="str">
        <f>IF(B247="","",VLOOKUP($B247,'C-1 On-Site WaterC'' Baseline'!$C$9:$R$257,15,FALSE))</f>
        <v/>
      </c>
      <c r="M247" s="299" t="str">
        <f>IF(L247="","",VLOOKUP($B247,'C-1 On-Site WaterC'' Baseline'!$C$9:$R$257,16,FALSE))</f>
        <v/>
      </c>
      <c r="N247" s="245"/>
      <c r="O247" s="275" t="str">
        <f t="shared" si="31"/>
        <v/>
      </c>
      <c r="P247" s="276" t="str">
        <f t="shared" si="32"/>
        <v/>
      </c>
      <c r="Q247" s="336" t="str">
        <f>IF(N247="","",VLOOKUP(B247,'C-1 On-Site WaterC'' Baseline'!$C$10:$AC$257,20,FALSE))</f>
        <v/>
      </c>
      <c r="R247" s="275" t="str">
        <f>IF(N247="","",VLOOKUP(N247,'G-7 WaterC'' Data'!$B$2:$G$8,2,FALSE))</f>
        <v/>
      </c>
      <c r="S247" s="276" t="str">
        <f>IFERROR(VLOOKUP(R247,'G-7 WaterC'' Data'!$C$4:$D$8,2,FALSE),"")</f>
        <v/>
      </c>
      <c r="T247" s="101"/>
      <c r="U247" s="276" t="str">
        <f>IFERROR(INDEX('G-7 WaterC'' Data'!$H$4:$L$8,MATCH(N247,'G-7 WaterC'' Data'!$B$4:$B$8,0),MATCH(T247,'G-7 WaterC'' Data'!$H$3:$L$3,0)),"")</f>
        <v/>
      </c>
      <c r="V247" s="101"/>
      <c r="W247" s="283" t="str">
        <f>IF(V247="","",IF(VLOOKUP(V247,'G-7 WaterC'' Data'!$AK$4:$AM$6,2,FALSE)=0,"Spatial Data Missing ⚠",VLOOKUP(V247,'G-7 WaterC'' Data'!$AK$4:$AM$6,2,FALSE)))</f>
        <v/>
      </c>
      <c r="X247" s="276" t="str">
        <f>IF(V247="","",IF(VLOOKUP(V247,'G-7 WaterC'' Data'!$AK$4:$AM$6,3,FALSE)=0,"Spatial Data Missing ⚠",VLOOKUP(V247,'G-7 WaterC'' Data'!$AK$4:$AM$6,3,FALSE)))</f>
        <v/>
      </c>
      <c r="Y247" s="275" t="str">
        <f>IFERROR(IF(OR(LEFT(P247,5)="Error",LEFT(O247,5)="Error"),"Check Data ⚠",IF(F247&lt;S247,'G-7 WaterC'' Data'!$R$3,INDEX('G-7 WaterC'' Data'!$U$5:$Y$9,MATCH(G247,'G-7 WaterC'' Data'!$T$5:$T$9,0),MATCH(T247,'G-7 WaterC'' Data'!$U$4:$Y$4,0)))),"")</f>
        <v/>
      </c>
      <c r="Z247" s="133"/>
      <c r="AA247" s="133"/>
      <c r="AB247" s="283" t="str">
        <f t="shared" si="33"/>
        <v/>
      </c>
      <c r="AC247" s="296" t="str">
        <f t="shared" si="34"/>
        <v/>
      </c>
      <c r="AD247" s="334" t="str">
        <f>IFERROR(IF(AC247="Check Data ⚠","Check Data ⚠",VLOOKUP(AC247,'G-4 Temporal multipliers'!$A$4:$C$37,3,FALSE)),"")</f>
        <v/>
      </c>
      <c r="AE247" s="275" t="str">
        <f>IF(N247="","",VLOOKUP(N247,'G-7 WaterC'' Data'!$B$4:$G$8,5,FALSE))</f>
        <v/>
      </c>
      <c r="AF247" s="283" t="str">
        <f t="shared" si="35"/>
        <v/>
      </c>
      <c r="AG247" s="314" t="str">
        <f t="shared" si="36"/>
        <v/>
      </c>
      <c r="AH247" s="276" t="str">
        <f t="shared" si="30"/>
        <v/>
      </c>
      <c r="AI247" s="105"/>
      <c r="AJ247" s="276" t="str">
        <f>IF(AI247="","",IF(AND(AI247="N/A - Culvert",N247&lt;&gt;"Culvert"),"Not possible ▲",IF(VLOOKUP(AI247,'G-7 WaterC'' Data'!$AA$4:$AB$7,2,FALSE)=0,"Spatial Data Missing ⚠",VLOOKUP(AI247,'G-7 WaterC'' Data'!$AA$4:$AB$7,2,FALSE))))</f>
        <v/>
      </c>
      <c r="AK247" s="106"/>
      <c r="AL247" s="276" t="str">
        <f>IF(AK247="","",IF(AND(AK247="N/A - Culvert",N247&lt;&gt;"Culvert"),"Not possible ▲",IF(VLOOKUP(AK247,'G-7 WaterC'' Data'!$AD$4:$AE$14,2,FALSE)=0,"Spatial Data Missing ⚠",VLOOKUP(AK247,'G-7 WaterC'' Data'!$AD$4:$AE$14,2,FALSE))))</f>
        <v/>
      </c>
      <c r="AM247" s="317" t="str">
        <f t="shared" si="37"/>
        <v/>
      </c>
      <c r="AN247" s="101"/>
      <c r="AO247" s="115"/>
      <c r="AP247" s="104"/>
      <c r="AS247" s="30" t="str">
        <f>IF(B247="","",IF(ISNA(VLOOKUP($B247,'C-1 On-Site WaterC'' Baseline'!$C$8:$AD$257,17,FALSE)),"",(VLOOKUP($B247,'C-1 On-Site WaterC'' Baseline'!$C$8:$AD$257,17,FALSE))))</f>
        <v/>
      </c>
      <c r="AT247" s="30" t="str">
        <f>IF(B247="","",VLOOKUP($B247,'C-1 On-Site WaterC'' Baseline'!$C$9:$Z$257,12,FALSE))</f>
        <v/>
      </c>
      <c r="AU247" s="30" t="str">
        <f>IF(B247="","",VLOOKUP($B247,'C-1 On-Site WaterC'' Baseline'!$C$9:$Z$257,14,FALSE))</f>
        <v/>
      </c>
      <c r="AV247" s="30" t="str">
        <f>IFERROR(INDEX('G-7 WaterC'' Data'!$AZ$3:$AZ$7,MATCH(N247,'G-7 WaterC'' Data'!$AY$3:$AY$7,0)),"")</f>
        <v/>
      </c>
      <c r="AX247" s="30" t="str">
        <f>IF(B247="","",VLOOKUP($B247,'C-1 On-Site WaterC'' Baseline'!$C$9:$Y$257,22,FALSE))</f>
        <v/>
      </c>
      <c r="AY247" s="30" t="str">
        <f t="shared" si="38"/>
        <v/>
      </c>
      <c r="AZ247" s="30" t="str">
        <f>IF(B247="","",VLOOKUP($B247,'C-1 On-Site WaterC'' Baseline'!$C$9:$Y$257,21,FALSE))</f>
        <v/>
      </c>
      <c r="BA247" s="30" t="str">
        <f>IF(B247="","",VLOOKUP($B247,'C-1 On-Site WaterC'' Baseline'!$C$9:$Y$257,19,FALSE))</f>
        <v/>
      </c>
      <c r="BD247" s="30" t="str">
        <f t="shared" si="39"/>
        <v>No</v>
      </c>
    </row>
    <row r="248" spans="2:56" ht="14">
      <c r="B248" s="305" t="str">
        <f>'C-1 On-Site WaterC'' Baseline'!AP246</f>
        <v/>
      </c>
      <c r="C248" s="295" t="str">
        <f>IF(B248="","",VLOOKUP($B248,'C-1 On-Site WaterC'' Baseline'!$C$9:$R$257,2,FALSE))</f>
        <v/>
      </c>
      <c r="D248" s="295" t="str">
        <f>IF(C248="","",VLOOKUP($B248,'C-1 On-Site WaterC'' Baseline'!$C$9:$R$257,3,FALSE))</f>
        <v/>
      </c>
      <c r="E248" s="295" t="str">
        <f>IF(D248="","",VLOOKUP($B248,'C-1 On-Site WaterC'' Baseline'!$C$9:$R$257,4,FALSE))</f>
        <v/>
      </c>
      <c r="F248" s="295" t="str">
        <f>IF(E248="","",VLOOKUP($B248,'C-1 On-Site WaterC'' Baseline'!$C$9:$R$257,5,FALSE))</f>
        <v/>
      </c>
      <c r="G248" s="295" t="str">
        <f>IF(F248="","",VLOOKUP($B248,'C-1 On-Site WaterC'' Baseline'!$C$9:$R$257,6,FALSE))</f>
        <v/>
      </c>
      <c r="H248" s="295" t="str">
        <f>IF(G248="","",VLOOKUP($B248,'C-1 On-Site WaterC'' Baseline'!$C$9:$R$257,7,FALSE))</f>
        <v/>
      </c>
      <c r="I248" s="295" t="str">
        <f>IF(H248="","",VLOOKUP($B248,'C-1 On-Site WaterC'' Baseline'!$C$9:$R$257,8,FALSE))</f>
        <v/>
      </c>
      <c r="J248" s="295" t="str">
        <f>IF(I248="","",VLOOKUP($B248,'C-1 On-Site WaterC'' Baseline'!$C$9:$R$257,9,FALSE))</f>
        <v/>
      </c>
      <c r="K248" s="295" t="str">
        <f>IF(J248="","",VLOOKUP($B248,'C-1 On-Site WaterC'' Baseline'!$C$9:$R$257,10,FALSE))</f>
        <v/>
      </c>
      <c r="L248" s="295" t="str">
        <f>IF(B248="","",VLOOKUP($B248,'C-1 On-Site WaterC'' Baseline'!$C$9:$R$257,15,FALSE))</f>
        <v/>
      </c>
      <c r="M248" s="299" t="str">
        <f>IF(L248="","",VLOOKUP($B248,'C-1 On-Site WaterC'' Baseline'!$C$9:$R$257,16,FALSE))</f>
        <v/>
      </c>
      <c r="N248" s="245"/>
      <c r="O248" s="275" t="str">
        <f t="shared" si="31"/>
        <v/>
      </c>
      <c r="P248" s="276" t="str">
        <f t="shared" si="32"/>
        <v/>
      </c>
      <c r="Q248" s="336" t="str">
        <f>IF(N248="","",VLOOKUP(B248,'C-1 On-Site WaterC'' Baseline'!$C$10:$AC$257,20,FALSE))</f>
        <v/>
      </c>
      <c r="R248" s="275" t="str">
        <f>IF(N248="","",VLOOKUP(N248,'G-7 WaterC'' Data'!$B$2:$G$8,2,FALSE))</f>
        <v/>
      </c>
      <c r="S248" s="276" t="str">
        <f>IFERROR(VLOOKUP(R248,'G-7 WaterC'' Data'!$C$4:$D$8,2,FALSE),"")</f>
        <v/>
      </c>
      <c r="T248" s="101"/>
      <c r="U248" s="276" t="str">
        <f>IFERROR(INDEX('G-7 WaterC'' Data'!$H$4:$L$8,MATCH(N248,'G-7 WaterC'' Data'!$B$4:$B$8,0),MATCH(T248,'G-7 WaterC'' Data'!$H$3:$L$3,0)),"")</f>
        <v/>
      </c>
      <c r="V248" s="101"/>
      <c r="W248" s="283" t="str">
        <f>IF(V248="","",IF(VLOOKUP(V248,'G-7 WaterC'' Data'!$AK$4:$AM$6,2,FALSE)=0,"Spatial Data Missing ⚠",VLOOKUP(V248,'G-7 WaterC'' Data'!$AK$4:$AM$6,2,FALSE)))</f>
        <v/>
      </c>
      <c r="X248" s="276" t="str">
        <f>IF(V248="","",IF(VLOOKUP(V248,'G-7 WaterC'' Data'!$AK$4:$AM$6,3,FALSE)=0,"Spatial Data Missing ⚠",VLOOKUP(V248,'G-7 WaterC'' Data'!$AK$4:$AM$6,3,FALSE)))</f>
        <v/>
      </c>
      <c r="Y248" s="275" t="str">
        <f>IFERROR(IF(OR(LEFT(P248,5)="Error",LEFT(O248,5)="Error"),"Check Data ⚠",IF(F248&lt;S248,'G-7 WaterC'' Data'!$R$3,INDEX('G-7 WaterC'' Data'!$U$5:$Y$9,MATCH(G248,'G-7 WaterC'' Data'!$T$5:$T$9,0),MATCH(T248,'G-7 WaterC'' Data'!$U$4:$Y$4,0)))),"")</f>
        <v/>
      </c>
      <c r="Z248" s="133"/>
      <c r="AA248" s="133"/>
      <c r="AB248" s="283" t="str">
        <f t="shared" si="33"/>
        <v/>
      </c>
      <c r="AC248" s="296" t="str">
        <f t="shared" si="34"/>
        <v/>
      </c>
      <c r="AD248" s="334" t="str">
        <f>IFERROR(IF(AC248="Check Data ⚠","Check Data ⚠",VLOOKUP(AC248,'G-4 Temporal multipliers'!$A$4:$C$37,3,FALSE)),"")</f>
        <v/>
      </c>
      <c r="AE248" s="275" t="str">
        <f>IF(N248="","",VLOOKUP(N248,'G-7 WaterC'' Data'!$B$4:$G$8,5,FALSE))</f>
        <v/>
      </c>
      <c r="AF248" s="283" t="str">
        <f t="shared" si="35"/>
        <v/>
      </c>
      <c r="AG248" s="314" t="str">
        <f t="shared" si="36"/>
        <v/>
      </c>
      <c r="AH248" s="276" t="str">
        <f t="shared" si="30"/>
        <v/>
      </c>
      <c r="AI248" s="105"/>
      <c r="AJ248" s="276" t="str">
        <f>IF(AI248="","",IF(AND(AI248="N/A - Culvert",N248&lt;&gt;"Culvert"),"Not possible ▲",IF(VLOOKUP(AI248,'G-7 WaterC'' Data'!$AA$4:$AB$7,2,FALSE)=0,"Spatial Data Missing ⚠",VLOOKUP(AI248,'G-7 WaterC'' Data'!$AA$4:$AB$7,2,FALSE))))</f>
        <v/>
      </c>
      <c r="AK248" s="106"/>
      <c r="AL248" s="276" t="str">
        <f>IF(AK248="","",IF(AND(AK248="N/A - Culvert",N248&lt;&gt;"Culvert"),"Not possible ▲",IF(VLOOKUP(AK248,'G-7 WaterC'' Data'!$AD$4:$AE$14,2,FALSE)=0,"Spatial Data Missing ⚠",VLOOKUP(AK248,'G-7 WaterC'' Data'!$AD$4:$AE$14,2,FALSE))))</f>
        <v/>
      </c>
      <c r="AM248" s="317" t="str">
        <f t="shared" si="37"/>
        <v/>
      </c>
      <c r="AN248" s="101"/>
      <c r="AO248" s="115"/>
      <c r="AP248" s="104"/>
      <c r="AS248" s="30" t="str">
        <f>IF(B248="","",IF(ISNA(VLOOKUP($B248,'C-1 On-Site WaterC'' Baseline'!$C$8:$AD$257,17,FALSE)),"",(VLOOKUP($B248,'C-1 On-Site WaterC'' Baseline'!$C$8:$AD$257,17,FALSE))))</f>
        <v/>
      </c>
      <c r="AT248" s="30" t="str">
        <f>IF(B248="","",VLOOKUP($B248,'C-1 On-Site WaterC'' Baseline'!$C$9:$Z$257,12,FALSE))</f>
        <v/>
      </c>
      <c r="AU248" s="30" t="str">
        <f>IF(B248="","",VLOOKUP($B248,'C-1 On-Site WaterC'' Baseline'!$C$9:$Z$257,14,FALSE))</f>
        <v/>
      </c>
      <c r="AV248" s="30" t="str">
        <f>IFERROR(INDEX('G-7 WaterC'' Data'!$AZ$3:$AZ$7,MATCH(N248,'G-7 WaterC'' Data'!$AY$3:$AY$7,0)),"")</f>
        <v/>
      </c>
      <c r="AX248" s="30" t="str">
        <f>IF(B248="","",VLOOKUP($B248,'C-1 On-Site WaterC'' Baseline'!$C$9:$Y$257,22,FALSE))</f>
        <v/>
      </c>
      <c r="AY248" s="30" t="str">
        <f t="shared" si="38"/>
        <v/>
      </c>
      <c r="AZ248" s="30" t="str">
        <f>IF(B248="","",VLOOKUP($B248,'C-1 On-Site WaterC'' Baseline'!$C$9:$Y$257,21,FALSE))</f>
        <v/>
      </c>
      <c r="BA248" s="30" t="str">
        <f>IF(B248="","",VLOOKUP($B248,'C-1 On-Site WaterC'' Baseline'!$C$9:$Y$257,19,FALSE))</f>
        <v/>
      </c>
      <c r="BD248" s="30" t="str">
        <f t="shared" si="39"/>
        <v>No</v>
      </c>
    </row>
    <row r="249" spans="2:56" ht="14">
      <c r="B249" s="305" t="str">
        <f>'C-1 On-Site WaterC'' Baseline'!AP247</f>
        <v/>
      </c>
      <c r="C249" s="295" t="str">
        <f>IF(B249="","",VLOOKUP($B249,'C-1 On-Site WaterC'' Baseline'!$C$9:$R$257,2,FALSE))</f>
        <v/>
      </c>
      <c r="D249" s="295" t="str">
        <f>IF(C249="","",VLOOKUP($B249,'C-1 On-Site WaterC'' Baseline'!$C$9:$R$257,3,FALSE))</f>
        <v/>
      </c>
      <c r="E249" s="295" t="str">
        <f>IF(D249="","",VLOOKUP($B249,'C-1 On-Site WaterC'' Baseline'!$C$9:$R$257,4,FALSE))</f>
        <v/>
      </c>
      <c r="F249" s="295" t="str">
        <f>IF(E249="","",VLOOKUP($B249,'C-1 On-Site WaterC'' Baseline'!$C$9:$R$257,5,FALSE))</f>
        <v/>
      </c>
      <c r="G249" s="295" t="str">
        <f>IF(F249="","",VLOOKUP($B249,'C-1 On-Site WaterC'' Baseline'!$C$9:$R$257,6,FALSE))</f>
        <v/>
      </c>
      <c r="H249" s="295" t="str">
        <f>IF(G249="","",VLOOKUP($B249,'C-1 On-Site WaterC'' Baseline'!$C$9:$R$257,7,FALSE))</f>
        <v/>
      </c>
      <c r="I249" s="295" t="str">
        <f>IF(H249="","",VLOOKUP($B249,'C-1 On-Site WaterC'' Baseline'!$C$9:$R$257,8,FALSE))</f>
        <v/>
      </c>
      <c r="J249" s="295" t="str">
        <f>IF(I249="","",VLOOKUP($B249,'C-1 On-Site WaterC'' Baseline'!$C$9:$R$257,9,FALSE))</f>
        <v/>
      </c>
      <c r="K249" s="295" t="str">
        <f>IF(J249="","",VLOOKUP($B249,'C-1 On-Site WaterC'' Baseline'!$C$9:$R$257,10,FALSE))</f>
        <v/>
      </c>
      <c r="L249" s="295" t="str">
        <f>IF(B249="","",VLOOKUP($B249,'C-1 On-Site WaterC'' Baseline'!$C$9:$R$257,15,FALSE))</f>
        <v/>
      </c>
      <c r="M249" s="299" t="str">
        <f>IF(L249="","",VLOOKUP($B249,'C-1 On-Site WaterC'' Baseline'!$C$9:$R$257,16,FALSE))</f>
        <v/>
      </c>
      <c r="N249" s="245"/>
      <c r="O249" s="275" t="str">
        <f t="shared" si="31"/>
        <v/>
      </c>
      <c r="P249" s="276" t="str">
        <f t="shared" si="32"/>
        <v/>
      </c>
      <c r="Q249" s="336" t="str">
        <f>IF(N249="","",VLOOKUP(B249,'C-1 On-Site WaterC'' Baseline'!$C$10:$AC$257,20,FALSE))</f>
        <v/>
      </c>
      <c r="R249" s="275" t="str">
        <f>IF(N249="","",VLOOKUP(N249,'G-7 WaterC'' Data'!$B$2:$G$8,2,FALSE))</f>
        <v/>
      </c>
      <c r="S249" s="276" t="str">
        <f>IFERROR(VLOOKUP(R249,'G-7 WaterC'' Data'!$C$4:$D$8,2,FALSE),"")</f>
        <v/>
      </c>
      <c r="T249" s="101"/>
      <c r="U249" s="276" t="str">
        <f>IFERROR(INDEX('G-7 WaterC'' Data'!$H$4:$L$8,MATCH(N249,'G-7 WaterC'' Data'!$B$4:$B$8,0),MATCH(T249,'G-7 WaterC'' Data'!$H$3:$L$3,0)),"")</f>
        <v/>
      </c>
      <c r="V249" s="101"/>
      <c r="W249" s="283" t="str">
        <f>IF(V249="","",IF(VLOOKUP(V249,'G-7 WaterC'' Data'!$AK$4:$AM$6,2,FALSE)=0,"Spatial Data Missing ⚠",VLOOKUP(V249,'G-7 WaterC'' Data'!$AK$4:$AM$6,2,FALSE)))</f>
        <v/>
      </c>
      <c r="X249" s="276" t="str">
        <f>IF(V249="","",IF(VLOOKUP(V249,'G-7 WaterC'' Data'!$AK$4:$AM$6,3,FALSE)=0,"Spatial Data Missing ⚠",VLOOKUP(V249,'G-7 WaterC'' Data'!$AK$4:$AM$6,3,FALSE)))</f>
        <v/>
      </c>
      <c r="Y249" s="275" t="str">
        <f>IFERROR(IF(OR(LEFT(P249,5)="Error",LEFT(O249,5)="Error"),"Check Data ⚠",IF(F249&lt;S249,'G-7 WaterC'' Data'!$R$3,INDEX('G-7 WaterC'' Data'!$U$5:$Y$9,MATCH(G249,'G-7 WaterC'' Data'!$T$5:$T$9,0),MATCH(T249,'G-7 WaterC'' Data'!$U$4:$Y$4,0)))),"")</f>
        <v/>
      </c>
      <c r="Z249" s="133"/>
      <c r="AA249" s="133"/>
      <c r="AB249" s="283" t="str">
        <f t="shared" si="33"/>
        <v/>
      </c>
      <c r="AC249" s="296" t="str">
        <f t="shared" si="34"/>
        <v/>
      </c>
      <c r="AD249" s="334" t="str">
        <f>IFERROR(IF(AC249="Check Data ⚠","Check Data ⚠",VLOOKUP(AC249,'G-4 Temporal multipliers'!$A$4:$C$37,3,FALSE)),"")</f>
        <v/>
      </c>
      <c r="AE249" s="275" t="str">
        <f>IF(N249="","",VLOOKUP(N249,'G-7 WaterC'' Data'!$B$4:$G$8,5,FALSE))</f>
        <v/>
      </c>
      <c r="AF249" s="283" t="str">
        <f t="shared" si="35"/>
        <v/>
      </c>
      <c r="AG249" s="314" t="str">
        <f t="shared" si="36"/>
        <v/>
      </c>
      <c r="AH249" s="276" t="str">
        <f t="shared" si="30"/>
        <v/>
      </c>
      <c r="AI249" s="105"/>
      <c r="AJ249" s="276" t="str">
        <f>IF(AI249="","",IF(AND(AI249="N/A - Culvert",N249&lt;&gt;"Culvert"),"Not possible ▲",IF(VLOOKUP(AI249,'G-7 WaterC'' Data'!$AA$4:$AB$7,2,FALSE)=0,"Spatial Data Missing ⚠",VLOOKUP(AI249,'G-7 WaterC'' Data'!$AA$4:$AB$7,2,FALSE))))</f>
        <v/>
      </c>
      <c r="AK249" s="106"/>
      <c r="AL249" s="276" t="str">
        <f>IF(AK249="","",IF(AND(AK249="N/A - Culvert",N249&lt;&gt;"Culvert"),"Not possible ▲",IF(VLOOKUP(AK249,'G-7 WaterC'' Data'!$AD$4:$AE$14,2,FALSE)=0,"Spatial Data Missing ⚠",VLOOKUP(AK249,'G-7 WaterC'' Data'!$AD$4:$AE$14,2,FALSE))))</f>
        <v/>
      </c>
      <c r="AM249" s="317" t="str">
        <f t="shared" si="37"/>
        <v/>
      </c>
      <c r="AN249" s="101"/>
      <c r="AO249" s="115"/>
      <c r="AP249" s="104"/>
      <c r="AS249" s="30" t="str">
        <f>IF(B249="","",IF(ISNA(VLOOKUP($B249,'C-1 On-Site WaterC'' Baseline'!$C$8:$AD$257,17,FALSE)),"",(VLOOKUP($B249,'C-1 On-Site WaterC'' Baseline'!$C$8:$AD$257,17,FALSE))))</f>
        <v/>
      </c>
      <c r="AT249" s="30" t="str">
        <f>IF(B249="","",VLOOKUP($B249,'C-1 On-Site WaterC'' Baseline'!$C$9:$Z$257,12,FALSE))</f>
        <v/>
      </c>
      <c r="AU249" s="30" t="str">
        <f>IF(B249="","",VLOOKUP($B249,'C-1 On-Site WaterC'' Baseline'!$C$9:$Z$257,14,FALSE))</f>
        <v/>
      </c>
      <c r="AV249" s="30" t="str">
        <f>IFERROR(INDEX('G-7 WaterC'' Data'!$AZ$3:$AZ$7,MATCH(N249,'G-7 WaterC'' Data'!$AY$3:$AY$7,0)),"")</f>
        <v/>
      </c>
      <c r="AX249" s="30" t="str">
        <f>IF(B249="","",VLOOKUP($B249,'C-1 On-Site WaterC'' Baseline'!$C$9:$Y$257,22,FALSE))</f>
        <v/>
      </c>
      <c r="AY249" s="30" t="str">
        <f t="shared" si="38"/>
        <v/>
      </c>
      <c r="AZ249" s="30" t="str">
        <f>IF(B249="","",VLOOKUP($B249,'C-1 On-Site WaterC'' Baseline'!$C$9:$Y$257,21,FALSE))</f>
        <v/>
      </c>
      <c r="BA249" s="30" t="str">
        <f>IF(B249="","",VLOOKUP($B249,'C-1 On-Site WaterC'' Baseline'!$C$9:$Y$257,19,FALSE))</f>
        <v/>
      </c>
      <c r="BD249" s="30" t="str">
        <f t="shared" si="39"/>
        <v>No</v>
      </c>
    </row>
    <row r="250" spans="2:56" ht="14">
      <c r="B250" s="305" t="str">
        <f>'C-1 On-Site WaterC'' Baseline'!AP248</f>
        <v/>
      </c>
      <c r="C250" s="295" t="str">
        <f>IF(B250="","",VLOOKUP($B250,'C-1 On-Site WaterC'' Baseline'!$C$9:$R$257,2,FALSE))</f>
        <v/>
      </c>
      <c r="D250" s="295" t="str">
        <f>IF(C250="","",VLOOKUP($B250,'C-1 On-Site WaterC'' Baseline'!$C$9:$R$257,3,FALSE))</f>
        <v/>
      </c>
      <c r="E250" s="295" t="str">
        <f>IF(D250="","",VLOOKUP($B250,'C-1 On-Site WaterC'' Baseline'!$C$9:$R$257,4,FALSE))</f>
        <v/>
      </c>
      <c r="F250" s="295" t="str">
        <f>IF(E250="","",VLOOKUP($B250,'C-1 On-Site WaterC'' Baseline'!$C$9:$R$257,5,FALSE))</f>
        <v/>
      </c>
      <c r="G250" s="295" t="str">
        <f>IF(F250="","",VLOOKUP($B250,'C-1 On-Site WaterC'' Baseline'!$C$9:$R$257,6,FALSE))</f>
        <v/>
      </c>
      <c r="H250" s="295" t="str">
        <f>IF(G250="","",VLOOKUP($B250,'C-1 On-Site WaterC'' Baseline'!$C$9:$R$257,7,FALSE))</f>
        <v/>
      </c>
      <c r="I250" s="295" t="str">
        <f>IF(H250="","",VLOOKUP($B250,'C-1 On-Site WaterC'' Baseline'!$C$9:$R$257,8,FALSE))</f>
        <v/>
      </c>
      <c r="J250" s="295" t="str">
        <f>IF(I250="","",VLOOKUP($B250,'C-1 On-Site WaterC'' Baseline'!$C$9:$R$257,9,FALSE))</f>
        <v/>
      </c>
      <c r="K250" s="295" t="str">
        <f>IF(J250="","",VLOOKUP($B250,'C-1 On-Site WaterC'' Baseline'!$C$9:$R$257,10,FALSE))</f>
        <v/>
      </c>
      <c r="L250" s="295" t="str">
        <f>IF(B250="","",VLOOKUP($B250,'C-1 On-Site WaterC'' Baseline'!$C$9:$R$257,15,FALSE))</f>
        <v/>
      </c>
      <c r="M250" s="299" t="str">
        <f>IF(L250="","",VLOOKUP($B250,'C-1 On-Site WaterC'' Baseline'!$C$9:$R$257,16,FALSE))</f>
        <v/>
      </c>
      <c r="N250" s="245"/>
      <c r="O250" s="275" t="str">
        <f t="shared" si="31"/>
        <v/>
      </c>
      <c r="P250" s="276" t="str">
        <f t="shared" si="32"/>
        <v/>
      </c>
      <c r="Q250" s="336" t="str">
        <f>IF(N250="","",VLOOKUP(B250,'C-1 On-Site WaterC'' Baseline'!$C$10:$AC$257,20,FALSE))</f>
        <v/>
      </c>
      <c r="R250" s="275" t="str">
        <f>IF(N250="","",VLOOKUP(N250,'G-7 WaterC'' Data'!$B$2:$G$8,2,FALSE))</f>
        <v/>
      </c>
      <c r="S250" s="276" t="str">
        <f>IFERROR(VLOOKUP(R250,'G-7 WaterC'' Data'!$C$4:$D$8,2,FALSE),"")</f>
        <v/>
      </c>
      <c r="T250" s="101"/>
      <c r="U250" s="276" t="str">
        <f>IFERROR(INDEX('G-7 WaterC'' Data'!$H$4:$L$8,MATCH(N250,'G-7 WaterC'' Data'!$B$4:$B$8,0),MATCH(T250,'G-7 WaterC'' Data'!$H$3:$L$3,0)),"")</f>
        <v/>
      </c>
      <c r="V250" s="101"/>
      <c r="W250" s="283" t="str">
        <f>IF(V250="","",IF(VLOOKUP(V250,'G-7 WaterC'' Data'!$AK$4:$AM$6,2,FALSE)=0,"Spatial Data Missing ⚠",VLOOKUP(V250,'G-7 WaterC'' Data'!$AK$4:$AM$6,2,FALSE)))</f>
        <v/>
      </c>
      <c r="X250" s="276" t="str">
        <f>IF(V250="","",IF(VLOOKUP(V250,'G-7 WaterC'' Data'!$AK$4:$AM$6,3,FALSE)=0,"Spatial Data Missing ⚠",VLOOKUP(V250,'G-7 WaterC'' Data'!$AK$4:$AM$6,3,FALSE)))</f>
        <v/>
      </c>
      <c r="Y250" s="275" t="str">
        <f>IFERROR(IF(OR(LEFT(P250,5)="Error",LEFT(O250,5)="Error"),"Check Data ⚠",IF(F250&lt;S250,'G-7 WaterC'' Data'!$R$3,INDEX('G-7 WaterC'' Data'!$U$5:$Y$9,MATCH(G250,'G-7 WaterC'' Data'!$T$5:$T$9,0),MATCH(T250,'G-7 WaterC'' Data'!$U$4:$Y$4,0)))),"")</f>
        <v/>
      </c>
      <c r="Z250" s="133"/>
      <c r="AA250" s="133"/>
      <c r="AB250" s="283" t="str">
        <f t="shared" si="33"/>
        <v/>
      </c>
      <c r="AC250" s="296" t="str">
        <f t="shared" si="34"/>
        <v/>
      </c>
      <c r="AD250" s="334" t="str">
        <f>IFERROR(IF(AC250="Check Data ⚠","Check Data ⚠",VLOOKUP(AC250,'G-4 Temporal multipliers'!$A$4:$C$37,3,FALSE)),"")</f>
        <v/>
      </c>
      <c r="AE250" s="275" t="str">
        <f>IF(N250="","",VLOOKUP(N250,'G-7 WaterC'' Data'!$B$4:$G$8,5,FALSE))</f>
        <v/>
      </c>
      <c r="AF250" s="283" t="str">
        <f t="shared" si="35"/>
        <v/>
      </c>
      <c r="AG250" s="314" t="str">
        <f t="shared" si="36"/>
        <v/>
      </c>
      <c r="AH250" s="276" t="str">
        <f t="shared" si="30"/>
        <v/>
      </c>
      <c r="AI250" s="105"/>
      <c r="AJ250" s="276" t="str">
        <f>IF(AI250="","",IF(AND(AI250="N/A - Culvert",N250&lt;&gt;"Culvert"),"Not possible ▲",IF(VLOOKUP(AI250,'G-7 WaterC'' Data'!$AA$4:$AB$7,2,FALSE)=0,"Spatial Data Missing ⚠",VLOOKUP(AI250,'G-7 WaterC'' Data'!$AA$4:$AB$7,2,FALSE))))</f>
        <v/>
      </c>
      <c r="AK250" s="106"/>
      <c r="AL250" s="276" t="str">
        <f>IF(AK250="","",IF(AND(AK250="N/A - Culvert",N250&lt;&gt;"Culvert"),"Not possible ▲",IF(VLOOKUP(AK250,'G-7 WaterC'' Data'!$AD$4:$AE$14,2,FALSE)=0,"Spatial Data Missing ⚠",VLOOKUP(AK250,'G-7 WaterC'' Data'!$AD$4:$AE$14,2,FALSE))))</f>
        <v/>
      </c>
      <c r="AM250" s="317" t="str">
        <f t="shared" si="37"/>
        <v/>
      </c>
      <c r="AN250" s="101"/>
      <c r="AO250" s="115"/>
      <c r="AP250" s="104"/>
      <c r="AS250" s="30" t="str">
        <f>IF(B250="","",IF(ISNA(VLOOKUP($B250,'C-1 On-Site WaterC'' Baseline'!$C$8:$AD$257,17,FALSE)),"",(VLOOKUP($B250,'C-1 On-Site WaterC'' Baseline'!$C$8:$AD$257,17,FALSE))))</f>
        <v/>
      </c>
      <c r="AT250" s="30" t="str">
        <f>IF(B250="","",VLOOKUP($B250,'C-1 On-Site WaterC'' Baseline'!$C$9:$Z$257,12,FALSE))</f>
        <v/>
      </c>
      <c r="AU250" s="30" t="str">
        <f>IF(B250="","",VLOOKUP($B250,'C-1 On-Site WaterC'' Baseline'!$C$9:$Z$257,14,FALSE))</f>
        <v/>
      </c>
      <c r="AV250" s="30" t="str">
        <f>IFERROR(INDEX('G-7 WaterC'' Data'!$AZ$3:$AZ$7,MATCH(N250,'G-7 WaterC'' Data'!$AY$3:$AY$7,0)),"")</f>
        <v/>
      </c>
      <c r="AX250" s="30" t="str">
        <f>IF(B250="","",VLOOKUP($B250,'C-1 On-Site WaterC'' Baseline'!$C$9:$Y$257,22,FALSE))</f>
        <v/>
      </c>
      <c r="AY250" s="30" t="str">
        <f t="shared" si="38"/>
        <v/>
      </c>
      <c r="AZ250" s="30" t="str">
        <f>IF(B250="","",VLOOKUP($B250,'C-1 On-Site WaterC'' Baseline'!$C$9:$Y$257,21,FALSE))</f>
        <v/>
      </c>
      <c r="BA250" s="30" t="str">
        <f>IF(B250="","",VLOOKUP($B250,'C-1 On-Site WaterC'' Baseline'!$C$9:$Y$257,19,FALSE))</f>
        <v/>
      </c>
      <c r="BD250" s="30" t="str">
        <f t="shared" si="39"/>
        <v>No</v>
      </c>
    </row>
    <row r="251" spans="2:56" ht="14">
      <c r="B251" s="305" t="str">
        <f>'C-1 On-Site WaterC'' Baseline'!AP249</f>
        <v/>
      </c>
      <c r="C251" s="295" t="str">
        <f>IF(B251="","",VLOOKUP($B251,'C-1 On-Site WaterC'' Baseline'!$C$9:$R$257,2,FALSE))</f>
        <v/>
      </c>
      <c r="D251" s="295" t="str">
        <f>IF(C251="","",VLOOKUP($B251,'C-1 On-Site WaterC'' Baseline'!$C$9:$R$257,3,FALSE))</f>
        <v/>
      </c>
      <c r="E251" s="295" t="str">
        <f>IF(D251="","",VLOOKUP($B251,'C-1 On-Site WaterC'' Baseline'!$C$9:$R$257,4,FALSE))</f>
        <v/>
      </c>
      <c r="F251" s="295" t="str">
        <f>IF(E251="","",VLOOKUP($B251,'C-1 On-Site WaterC'' Baseline'!$C$9:$R$257,5,FALSE))</f>
        <v/>
      </c>
      <c r="G251" s="295" t="str">
        <f>IF(F251="","",VLOOKUP($B251,'C-1 On-Site WaterC'' Baseline'!$C$9:$R$257,6,FALSE))</f>
        <v/>
      </c>
      <c r="H251" s="295" t="str">
        <f>IF(G251="","",VLOOKUP($B251,'C-1 On-Site WaterC'' Baseline'!$C$9:$R$257,7,FALSE))</f>
        <v/>
      </c>
      <c r="I251" s="295" t="str">
        <f>IF(H251="","",VLOOKUP($B251,'C-1 On-Site WaterC'' Baseline'!$C$9:$R$257,8,FALSE))</f>
        <v/>
      </c>
      <c r="J251" s="295" t="str">
        <f>IF(I251="","",VLOOKUP($B251,'C-1 On-Site WaterC'' Baseline'!$C$9:$R$257,9,FALSE))</f>
        <v/>
      </c>
      <c r="K251" s="295" t="str">
        <f>IF(J251="","",VLOOKUP($B251,'C-1 On-Site WaterC'' Baseline'!$C$9:$R$257,10,FALSE))</f>
        <v/>
      </c>
      <c r="L251" s="295" t="str">
        <f>IF(B251="","",VLOOKUP($B251,'C-1 On-Site WaterC'' Baseline'!$C$9:$R$257,15,FALSE))</f>
        <v/>
      </c>
      <c r="M251" s="299" t="str">
        <f>IF(L251="","",VLOOKUP($B251,'C-1 On-Site WaterC'' Baseline'!$C$9:$R$257,16,FALSE))</f>
        <v/>
      </c>
      <c r="N251" s="245"/>
      <c r="O251" s="275" t="str">
        <f t="shared" si="31"/>
        <v/>
      </c>
      <c r="P251" s="276" t="str">
        <f t="shared" si="32"/>
        <v/>
      </c>
      <c r="Q251" s="336" t="str">
        <f>IF(N251="","",VLOOKUP(B251,'C-1 On-Site WaterC'' Baseline'!$C$10:$AC$257,20,FALSE))</f>
        <v/>
      </c>
      <c r="R251" s="275" t="str">
        <f>IF(N251="","",VLOOKUP(N251,'G-7 WaterC'' Data'!$B$2:$G$8,2,FALSE))</f>
        <v/>
      </c>
      <c r="S251" s="276" t="str">
        <f>IFERROR(VLOOKUP(R251,'G-7 WaterC'' Data'!$C$4:$D$8,2,FALSE),"")</f>
        <v/>
      </c>
      <c r="T251" s="101"/>
      <c r="U251" s="276" t="str">
        <f>IFERROR(INDEX('G-7 WaterC'' Data'!$H$4:$L$8,MATCH(N251,'G-7 WaterC'' Data'!$B$4:$B$8,0),MATCH(T251,'G-7 WaterC'' Data'!$H$3:$L$3,0)),"")</f>
        <v/>
      </c>
      <c r="V251" s="101"/>
      <c r="W251" s="283" t="str">
        <f>IF(V251="","",IF(VLOOKUP(V251,'G-7 WaterC'' Data'!$AK$4:$AM$6,2,FALSE)=0,"Spatial Data Missing ⚠",VLOOKUP(V251,'G-7 WaterC'' Data'!$AK$4:$AM$6,2,FALSE)))</f>
        <v/>
      </c>
      <c r="X251" s="276" t="str">
        <f>IF(V251="","",IF(VLOOKUP(V251,'G-7 WaterC'' Data'!$AK$4:$AM$6,3,FALSE)=0,"Spatial Data Missing ⚠",VLOOKUP(V251,'G-7 WaterC'' Data'!$AK$4:$AM$6,3,FALSE)))</f>
        <v/>
      </c>
      <c r="Y251" s="275" t="str">
        <f>IFERROR(IF(OR(LEFT(P251,5)="Error",LEFT(O251,5)="Error"),"Check Data ⚠",IF(F251&lt;S251,'G-7 WaterC'' Data'!$R$3,INDEX('G-7 WaterC'' Data'!$U$5:$Y$9,MATCH(G251,'G-7 WaterC'' Data'!$T$5:$T$9,0),MATCH(T251,'G-7 WaterC'' Data'!$U$4:$Y$4,0)))),"")</f>
        <v/>
      </c>
      <c r="Z251" s="133"/>
      <c r="AA251" s="133"/>
      <c r="AB251" s="283" t="str">
        <f t="shared" si="33"/>
        <v/>
      </c>
      <c r="AC251" s="296" t="str">
        <f t="shared" si="34"/>
        <v/>
      </c>
      <c r="AD251" s="334" t="str">
        <f>IFERROR(IF(AC251="Check Data ⚠","Check Data ⚠",VLOOKUP(AC251,'G-4 Temporal multipliers'!$A$4:$C$37,3,FALSE)),"")</f>
        <v/>
      </c>
      <c r="AE251" s="275" t="str">
        <f>IF(N251="","",VLOOKUP(N251,'G-7 WaterC'' Data'!$B$4:$G$8,5,FALSE))</f>
        <v/>
      </c>
      <c r="AF251" s="283" t="str">
        <f t="shared" si="35"/>
        <v/>
      </c>
      <c r="AG251" s="314" t="str">
        <f t="shared" si="36"/>
        <v/>
      </c>
      <c r="AH251" s="276" t="str">
        <f t="shared" si="30"/>
        <v/>
      </c>
      <c r="AI251" s="105"/>
      <c r="AJ251" s="276" t="str">
        <f>IF(AI251="","",IF(AND(AI251="N/A - Culvert",N251&lt;&gt;"Culvert"),"Not possible ▲",IF(VLOOKUP(AI251,'G-7 WaterC'' Data'!$AA$4:$AB$7,2,FALSE)=0,"Spatial Data Missing ⚠",VLOOKUP(AI251,'G-7 WaterC'' Data'!$AA$4:$AB$7,2,FALSE))))</f>
        <v/>
      </c>
      <c r="AK251" s="106"/>
      <c r="AL251" s="276" t="str">
        <f>IF(AK251="","",IF(AND(AK251="N/A - Culvert",N251&lt;&gt;"Culvert"),"Not possible ▲",IF(VLOOKUP(AK251,'G-7 WaterC'' Data'!$AD$4:$AE$14,2,FALSE)=0,"Spatial Data Missing ⚠",VLOOKUP(AK251,'G-7 WaterC'' Data'!$AD$4:$AE$14,2,FALSE))))</f>
        <v/>
      </c>
      <c r="AM251" s="317" t="str">
        <f t="shared" si="37"/>
        <v/>
      </c>
      <c r="AN251" s="101"/>
      <c r="AO251" s="115"/>
      <c r="AP251" s="104"/>
      <c r="AS251" s="30" t="str">
        <f>IF(B251="","",IF(ISNA(VLOOKUP($B251,'C-1 On-Site WaterC'' Baseline'!$C$8:$AD$257,17,FALSE)),"",(VLOOKUP($B251,'C-1 On-Site WaterC'' Baseline'!$C$8:$AD$257,17,FALSE))))</f>
        <v/>
      </c>
      <c r="AT251" s="30" t="str">
        <f>IF(B251="","",VLOOKUP($B251,'C-1 On-Site WaterC'' Baseline'!$C$9:$Z$257,12,FALSE))</f>
        <v/>
      </c>
      <c r="AU251" s="30" t="str">
        <f>IF(B251="","",VLOOKUP($B251,'C-1 On-Site WaterC'' Baseline'!$C$9:$Z$257,14,FALSE))</f>
        <v/>
      </c>
      <c r="AV251" s="30" t="str">
        <f>IFERROR(INDEX('G-7 WaterC'' Data'!$AZ$3:$AZ$7,MATCH(N251,'G-7 WaterC'' Data'!$AY$3:$AY$7,0)),"")</f>
        <v/>
      </c>
      <c r="AX251" s="30" t="str">
        <f>IF(B251="","",VLOOKUP($B251,'C-1 On-Site WaterC'' Baseline'!$C$9:$Y$257,22,FALSE))</f>
        <v/>
      </c>
      <c r="AY251" s="30" t="str">
        <f t="shared" si="38"/>
        <v/>
      </c>
      <c r="AZ251" s="30" t="str">
        <f>IF(B251="","",VLOOKUP($B251,'C-1 On-Site WaterC'' Baseline'!$C$9:$Y$257,21,FALSE))</f>
        <v/>
      </c>
      <c r="BA251" s="30" t="str">
        <f>IF(B251="","",VLOOKUP($B251,'C-1 On-Site WaterC'' Baseline'!$C$9:$Y$257,19,FALSE))</f>
        <v/>
      </c>
      <c r="BD251" s="30" t="str">
        <f t="shared" si="39"/>
        <v>No</v>
      </c>
    </row>
    <row r="252" spans="2:56" ht="14">
      <c r="B252" s="305" t="str">
        <f>'C-1 On-Site WaterC'' Baseline'!AP250</f>
        <v/>
      </c>
      <c r="C252" s="295" t="str">
        <f>IF(B252="","",VLOOKUP($B252,'C-1 On-Site WaterC'' Baseline'!$C$9:$R$257,2,FALSE))</f>
        <v/>
      </c>
      <c r="D252" s="295" t="str">
        <f>IF(C252="","",VLOOKUP($B252,'C-1 On-Site WaterC'' Baseline'!$C$9:$R$257,3,FALSE))</f>
        <v/>
      </c>
      <c r="E252" s="295" t="str">
        <f>IF(D252="","",VLOOKUP($B252,'C-1 On-Site WaterC'' Baseline'!$C$9:$R$257,4,FALSE))</f>
        <v/>
      </c>
      <c r="F252" s="295" t="str">
        <f>IF(E252="","",VLOOKUP($B252,'C-1 On-Site WaterC'' Baseline'!$C$9:$R$257,5,FALSE))</f>
        <v/>
      </c>
      <c r="G252" s="295" t="str">
        <f>IF(F252="","",VLOOKUP($B252,'C-1 On-Site WaterC'' Baseline'!$C$9:$R$257,6,FALSE))</f>
        <v/>
      </c>
      <c r="H252" s="295" t="str">
        <f>IF(G252="","",VLOOKUP($B252,'C-1 On-Site WaterC'' Baseline'!$C$9:$R$257,7,FALSE))</f>
        <v/>
      </c>
      <c r="I252" s="295" t="str">
        <f>IF(H252="","",VLOOKUP($B252,'C-1 On-Site WaterC'' Baseline'!$C$9:$R$257,8,FALSE))</f>
        <v/>
      </c>
      <c r="J252" s="295" t="str">
        <f>IF(I252="","",VLOOKUP($B252,'C-1 On-Site WaterC'' Baseline'!$C$9:$R$257,9,FALSE))</f>
        <v/>
      </c>
      <c r="K252" s="295" t="str">
        <f>IF(J252="","",VLOOKUP($B252,'C-1 On-Site WaterC'' Baseline'!$C$9:$R$257,10,FALSE))</f>
        <v/>
      </c>
      <c r="L252" s="295" t="str">
        <f>IF(B252="","",VLOOKUP($B252,'C-1 On-Site WaterC'' Baseline'!$C$9:$R$257,15,FALSE))</f>
        <v/>
      </c>
      <c r="M252" s="299" t="str">
        <f>IF(L252="","",VLOOKUP($B252,'C-1 On-Site WaterC'' Baseline'!$C$9:$R$257,16,FALSE))</f>
        <v/>
      </c>
      <c r="N252" s="245"/>
      <c r="O252" s="275" t="str">
        <f t="shared" si="31"/>
        <v/>
      </c>
      <c r="P252" s="276" t="str">
        <f t="shared" si="32"/>
        <v/>
      </c>
      <c r="Q252" s="336" t="str">
        <f>IF(N252="","",VLOOKUP(B252,'C-1 On-Site WaterC'' Baseline'!$C$10:$AC$257,20,FALSE))</f>
        <v/>
      </c>
      <c r="R252" s="275" t="str">
        <f>IF(N252="","",VLOOKUP(N252,'G-7 WaterC'' Data'!$B$2:$G$8,2,FALSE))</f>
        <v/>
      </c>
      <c r="S252" s="276" t="str">
        <f>IFERROR(VLOOKUP(R252,'G-7 WaterC'' Data'!$C$4:$D$8,2,FALSE),"")</f>
        <v/>
      </c>
      <c r="T252" s="101"/>
      <c r="U252" s="276" t="str">
        <f>IFERROR(INDEX('G-7 WaterC'' Data'!$H$4:$L$8,MATCH(N252,'G-7 WaterC'' Data'!$B$4:$B$8,0),MATCH(T252,'G-7 WaterC'' Data'!$H$3:$L$3,0)),"")</f>
        <v/>
      </c>
      <c r="V252" s="101"/>
      <c r="W252" s="283" t="str">
        <f>IF(V252="","",IF(VLOOKUP(V252,'G-7 WaterC'' Data'!$AK$4:$AM$6,2,FALSE)=0,"Spatial Data Missing ⚠",VLOOKUP(V252,'G-7 WaterC'' Data'!$AK$4:$AM$6,2,FALSE)))</f>
        <v/>
      </c>
      <c r="X252" s="276" t="str">
        <f>IF(V252="","",IF(VLOOKUP(V252,'G-7 WaterC'' Data'!$AK$4:$AM$6,3,FALSE)=0,"Spatial Data Missing ⚠",VLOOKUP(V252,'G-7 WaterC'' Data'!$AK$4:$AM$6,3,FALSE)))</f>
        <v/>
      </c>
      <c r="Y252" s="275" t="str">
        <f>IFERROR(IF(OR(LEFT(P252,5)="Error",LEFT(O252,5)="Error"),"Check Data ⚠",IF(F252&lt;S252,'G-7 WaterC'' Data'!$R$3,INDEX('G-7 WaterC'' Data'!$U$5:$Y$9,MATCH(G252,'G-7 WaterC'' Data'!$T$5:$T$9,0),MATCH(T252,'G-7 WaterC'' Data'!$U$4:$Y$4,0)))),"")</f>
        <v/>
      </c>
      <c r="Z252" s="133"/>
      <c r="AA252" s="133"/>
      <c r="AB252" s="283" t="str">
        <f t="shared" si="33"/>
        <v/>
      </c>
      <c r="AC252" s="296" t="str">
        <f t="shared" si="34"/>
        <v/>
      </c>
      <c r="AD252" s="334" t="str">
        <f>IFERROR(IF(AC252="Check Data ⚠","Check Data ⚠",VLOOKUP(AC252,'G-4 Temporal multipliers'!$A$4:$C$37,3,FALSE)),"")</f>
        <v/>
      </c>
      <c r="AE252" s="275" t="str">
        <f>IF(N252="","",VLOOKUP(N252,'G-7 WaterC'' Data'!$B$4:$G$8,5,FALSE))</f>
        <v/>
      </c>
      <c r="AF252" s="283" t="str">
        <f t="shared" si="35"/>
        <v/>
      </c>
      <c r="AG252" s="314" t="str">
        <f t="shared" si="36"/>
        <v/>
      </c>
      <c r="AH252" s="276" t="str">
        <f t="shared" si="30"/>
        <v/>
      </c>
      <c r="AI252" s="105"/>
      <c r="AJ252" s="276" t="str">
        <f>IF(AI252="","",IF(AND(AI252="N/A - Culvert",N252&lt;&gt;"Culvert"),"Not possible ▲",IF(VLOOKUP(AI252,'G-7 WaterC'' Data'!$AA$4:$AB$7,2,FALSE)=0,"Spatial Data Missing ⚠",VLOOKUP(AI252,'G-7 WaterC'' Data'!$AA$4:$AB$7,2,FALSE))))</f>
        <v/>
      </c>
      <c r="AK252" s="106"/>
      <c r="AL252" s="276" t="str">
        <f>IF(AK252="","",IF(AND(AK252="N/A - Culvert",N252&lt;&gt;"Culvert"),"Not possible ▲",IF(VLOOKUP(AK252,'G-7 WaterC'' Data'!$AD$4:$AE$14,2,FALSE)=0,"Spatial Data Missing ⚠",VLOOKUP(AK252,'G-7 WaterC'' Data'!$AD$4:$AE$14,2,FALSE))))</f>
        <v/>
      </c>
      <c r="AM252" s="317" t="str">
        <f t="shared" si="37"/>
        <v/>
      </c>
      <c r="AN252" s="101"/>
      <c r="AO252" s="115"/>
      <c r="AP252" s="104"/>
      <c r="AS252" s="30" t="str">
        <f>IF(B252="","",IF(ISNA(VLOOKUP($B252,'C-1 On-Site WaterC'' Baseline'!$C$8:$AD$257,17,FALSE)),"",(VLOOKUP($B252,'C-1 On-Site WaterC'' Baseline'!$C$8:$AD$257,17,FALSE))))</f>
        <v/>
      </c>
      <c r="AT252" s="30" t="str">
        <f>IF(B252="","",VLOOKUP($B252,'C-1 On-Site WaterC'' Baseline'!$C$9:$Z$257,12,FALSE))</f>
        <v/>
      </c>
      <c r="AU252" s="30" t="str">
        <f>IF(B252="","",VLOOKUP($B252,'C-1 On-Site WaterC'' Baseline'!$C$9:$Z$257,14,FALSE))</f>
        <v/>
      </c>
      <c r="AV252" s="30" t="str">
        <f>IFERROR(INDEX('G-7 WaterC'' Data'!$AZ$3:$AZ$7,MATCH(N252,'G-7 WaterC'' Data'!$AY$3:$AY$7,0)),"")</f>
        <v/>
      </c>
      <c r="AX252" s="30" t="str">
        <f>IF(B252="","",VLOOKUP($B252,'C-1 On-Site WaterC'' Baseline'!$C$9:$Y$257,22,FALSE))</f>
        <v/>
      </c>
      <c r="AY252" s="30" t="str">
        <f t="shared" si="38"/>
        <v/>
      </c>
      <c r="AZ252" s="30" t="str">
        <f>IF(B252="","",VLOOKUP($B252,'C-1 On-Site WaterC'' Baseline'!$C$9:$Y$257,21,FALSE))</f>
        <v/>
      </c>
      <c r="BA252" s="30" t="str">
        <f>IF(B252="","",VLOOKUP($B252,'C-1 On-Site WaterC'' Baseline'!$C$9:$Y$257,19,FALSE))</f>
        <v/>
      </c>
      <c r="BD252" s="30" t="str">
        <f t="shared" si="39"/>
        <v>No</v>
      </c>
    </row>
    <row r="253" spans="2:56" ht="14">
      <c r="B253" s="305" t="str">
        <f>'C-1 On-Site WaterC'' Baseline'!AP251</f>
        <v/>
      </c>
      <c r="C253" s="295" t="str">
        <f>IF(B253="","",VLOOKUP($B253,'C-1 On-Site WaterC'' Baseline'!$C$9:$R$257,2,FALSE))</f>
        <v/>
      </c>
      <c r="D253" s="295" t="str">
        <f>IF(C253="","",VLOOKUP($B253,'C-1 On-Site WaterC'' Baseline'!$C$9:$R$257,3,FALSE))</f>
        <v/>
      </c>
      <c r="E253" s="295" t="str">
        <f>IF(D253="","",VLOOKUP($B253,'C-1 On-Site WaterC'' Baseline'!$C$9:$R$257,4,FALSE))</f>
        <v/>
      </c>
      <c r="F253" s="295" t="str">
        <f>IF(E253="","",VLOOKUP($B253,'C-1 On-Site WaterC'' Baseline'!$C$9:$R$257,5,FALSE))</f>
        <v/>
      </c>
      <c r="G253" s="295" t="str">
        <f>IF(F253="","",VLOOKUP($B253,'C-1 On-Site WaterC'' Baseline'!$C$9:$R$257,6,FALSE))</f>
        <v/>
      </c>
      <c r="H253" s="295" t="str">
        <f>IF(G253="","",VLOOKUP($B253,'C-1 On-Site WaterC'' Baseline'!$C$9:$R$257,7,FALSE))</f>
        <v/>
      </c>
      <c r="I253" s="295" t="str">
        <f>IF(H253="","",VLOOKUP($B253,'C-1 On-Site WaterC'' Baseline'!$C$9:$R$257,8,FALSE))</f>
        <v/>
      </c>
      <c r="J253" s="295" t="str">
        <f>IF(I253="","",VLOOKUP($B253,'C-1 On-Site WaterC'' Baseline'!$C$9:$R$257,9,FALSE))</f>
        <v/>
      </c>
      <c r="K253" s="295" t="str">
        <f>IF(J253="","",VLOOKUP($B253,'C-1 On-Site WaterC'' Baseline'!$C$9:$R$257,10,FALSE))</f>
        <v/>
      </c>
      <c r="L253" s="295" t="str">
        <f>IF(B253="","",VLOOKUP($B253,'C-1 On-Site WaterC'' Baseline'!$C$9:$R$257,15,FALSE))</f>
        <v/>
      </c>
      <c r="M253" s="299" t="str">
        <f>IF(L253="","",VLOOKUP($B253,'C-1 On-Site WaterC'' Baseline'!$C$9:$R$257,16,FALSE))</f>
        <v/>
      </c>
      <c r="N253" s="245"/>
      <c r="O253" s="275" t="str">
        <f t="shared" si="31"/>
        <v/>
      </c>
      <c r="P253" s="276" t="str">
        <f t="shared" si="32"/>
        <v/>
      </c>
      <c r="Q253" s="336" t="str">
        <f>IF(N253="","",VLOOKUP(B253,'C-1 On-Site WaterC'' Baseline'!$C$10:$AC$257,20,FALSE))</f>
        <v/>
      </c>
      <c r="R253" s="275" t="str">
        <f>IF(N253="","",VLOOKUP(N253,'G-7 WaterC'' Data'!$B$2:$G$8,2,FALSE))</f>
        <v/>
      </c>
      <c r="S253" s="276" t="str">
        <f>IFERROR(VLOOKUP(R253,'G-7 WaterC'' Data'!$C$4:$D$8,2,FALSE),"")</f>
        <v/>
      </c>
      <c r="T253" s="101"/>
      <c r="U253" s="276" t="str">
        <f>IFERROR(INDEX('G-7 WaterC'' Data'!$H$4:$L$8,MATCH(N253,'G-7 WaterC'' Data'!$B$4:$B$8,0),MATCH(T253,'G-7 WaterC'' Data'!$H$3:$L$3,0)),"")</f>
        <v/>
      </c>
      <c r="V253" s="101"/>
      <c r="W253" s="283" t="str">
        <f>IF(V253="","",IF(VLOOKUP(V253,'G-7 WaterC'' Data'!$AK$4:$AM$6,2,FALSE)=0,"Spatial Data Missing ⚠",VLOOKUP(V253,'G-7 WaterC'' Data'!$AK$4:$AM$6,2,FALSE)))</f>
        <v/>
      </c>
      <c r="X253" s="276" t="str">
        <f>IF(V253="","",IF(VLOOKUP(V253,'G-7 WaterC'' Data'!$AK$4:$AM$6,3,FALSE)=0,"Spatial Data Missing ⚠",VLOOKUP(V253,'G-7 WaterC'' Data'!$AK$4:$AM$6,3,FALSE)))</f>
        <v/>
      </c>
      <c r="Y253" s="275" t="str">
        <f>IFERROR(IF(OR(LEFT(P253,5)="Error",LEFT(O253,5)="Error"),"Check Data ⚠",IF(F253&lt;S253,'G-7 WaterC'' Data'!$R$3,INDEX('G-7 WaterC'' Data'!$U$5:$Y$9,MATCH(G253,'G-7 WaterC'' Data'!$T$5:$T$9,0),MATCH(T253,'G-7 WaterC'' Data'!$U$4:$Y$4,0)))),"")</f>
        <v/>
      </c>
      <c r="Z253" s="133"/>
      <c r="AA253" s="133"/>
      <c r="AB253" s="283" t="str">
        <f t="shared" si="33"/>
        <v/>
      </c>
      <c r="AC253" s="296" t="str">
        <f t="shared" si="34"/>
        <v/>
      </c>
      <c r="AD253" s="334" t="str">
        <f>IFERROR(IF(AC253="Check Data ⚠","Check Data ⚠",VLOOKUP(AC253,'G-4 Temporal multipliers'!$A$4:$C$37,3,FALSE)),"")</f>
        <v/>
      </c>
      <c r="AE253" s="275" t="str">
        <f>IF(N253="","",VLOOKUP(N253,'G-7 WaterC'' Data'!$B$4:$G$8,5,FALSE))</f>
        <v/>
      </c>
      <c r="AF253" s="283" t="str">
        <f t="shared" si="35"/>
        <v/>
      </c>
      <c r="AG253" s="314" t="str">
        <f t="shared" si="36"/>
        <v/>
      </c>
      <c r="AH253" s="276" t="str">
        <f t="shared" si="30"/>
        <v/>
      </c>
      <c r="AI253" s="105"/>
      <c r="AJ253" s="276" t="str">
        <f>IF(AI253="","",IF(AND(AI253="N/A - Culvert",N253&lt;&gt;"Culvert"),"Not possible ▲",IF(VLOOKUP(AI253,'G-7 WaterC'' Data'!$AA$4:$AB$7,2,FALSE)=0,"Spatial Data Missing ⚠",VLOOKUP(AI253,'G-7 WaterC'' Data'!$AA$4:$AB$7,2,FALSE))))</f>
        <v/>
      </c>
      <c r="AK253" s="106"/>
      <c r="AL253" s="276" t="str">
        <f>IF(AK253="","",IF(AND(AK253="N/A - Culvert",N253&lt;&gt;"Culvert"),"Not possible ▲",IF(VLOOKUP(AK253,'G-7 WaterC'' Data'!$AD$4:$AE$14,2,FALSE)=0,"Spatial Data Missing ⚠",VLOOKUP(AK253,'G-7 WaterC'' Data'!$AD$4:$AE$14,2,FALSE))))</f>
        <v/>
      </c>
      <c r="AM253" s="317" t="str">
        <f t="shared" si="37"/>
        <v/>
      </c>
      <c r="AN253" s="101"/>
      <c r="AO253" s="115"/>
      <c r="AP253" s="104"/>
      <c r="AS253" s="30" t="str">
        <f>IF(B253="","",IF(ISNA(VLOOKUP($B253,'C-1 On-Site WaterC'' Baseline'!$C$8:$AD$257,17,FALSE)),"",(VLOOKUP($B253,'C-1 On-Site WaterC'' Baseline'!$C$8:$AD$257,17,FALSE))))</f>
        <v/>
      </c>
      <c r="AT253" s="30" t="str">
        <f>IF(B253="","",VLOOKUP($B253,'C-1 On-Site WaterC'' Baseline'!$C$9:$Z$257,12,FALSE))</f>
        <v/>
      </c>
      <c r="AU253" s="30" t="str">
        <f>IF(B253="","",VLOOKUP($B253,'C-1 On-Site WaterC'' Baseline'!$C$9:$Z$257,14,FALSE))</f>
        <v/>
      </c>
      <c r="AV253" s="30" t="str">
        <f>IFERROR(INDEX('G-7 WaterC'' Data'!$AZ$3:$AZ$7,MATCH(N253,'G-7 WaterC'' Data'!$AY$3:$AY$7,0)),"")</f>
        <v/>
      </c>
      <c r="AX253" s="30" t="str">
        <f>IF(B253="","",VLOOKUP($B253,'C-1 On-Site WaterC'' Baseline'!$C$9:$Y$257,22,FALSE))</f>
        <v/>
      </c>
      <c r="AY253" s="30" t="str">
        <f t="shared" si="38"/>
        <v/>
      </c>
      <c r="AZ253" s="30" t="str">
        <f>IF(B253="","",VLOOKUP($B253,'C-1 On-Site WaterC'' Baseline'!$C$9:$Y$257,21,FALSE))</f>
        <v/>
      </c>
      <c r="BA253" s="30" t="str">
        <f>IF(B253="","",VLOOKUP($B253,'C-1 On-Site WaterC'' Baseline'!$C$9:$Y$257,19,FALSE))</f>
        <v/>
      </c>
      <c r="BD253" s="30" t="str">
        <f t="shared" si="39"/>
        <v>No</v>
      </c>
    </row>
    <row r="254" spans="2:56" ht="14">
      <c r="B254" s="305" t="str">
        <f>'C-1 On-Site WaterC'' Baseline'!AP252</f>
        <v/>
      </c>
      <c r="C254" s="295" t="str">
        <f>IF(B254="","",VLOOKUP($B254,'C-1 On-Site WaterC'' Baseline'!$C$9:$R$257,2,FALSE))</f>
        <v/>
      </c>
      <c r="D254" s="295" t="str">
        <f>IF(C254="","",VLOOKUP($B254,'C-1 On-Site WaterC'' Baseline'!$C$9:$R$257,3,FALSE))</f>
        <v/>
      </c>
      <c r="E254" s="295" t="str">
        <f>IF(D254="","",VLOOKUP($B254,'C-1 On-Site WaterC'' Baseline'!$C$9:$R$257,4,FALSE))</f>
        <v/>
      </c>
      <c r="F254" s="295" t="str">
        <f>IF(E254="","",VLOOKUP($B254,'C-1 On-Site WaterC'' Baseline'!$C$9:$R$257,5,FALSE))</f>
        <v/>
      </c>
      <c r="G254" s="295" t="str">
        <f>IF(F254="","",VLOOKUP($B254,'C-1 On-Site WaterC'' Baseline'!$C$9:$R$257,6,FALSE))</f>
        <v/>
      </c>
      <c r="H254" s="295" t="str">
        <f>IF(G254="","",VLOOKUP($B254,'C-1 On-Site WaterC'' Baseline'!$C$9:$R$257,7,FALSE))</f>
        <v/>
      </c>
      <c r="I254" s="295" t="str">
        <f>IF(H254="","",VLOOKUP($B254,'C-1 On-Site WaterC'' Baseline'!$C$9:$R$257,8,FALSE))</f>
        <v/>
      </c>
      <c r="J254" s="295" t="str">
        <f>IF(I254="","",VLOOKUP($B254,'C-1 On-Site WaterC'' Baseline'!$C$9:$R$257,9,FALSE))</f>
        <v/>
      </c>
      <c r="K254" s="295" t="str">
        <f>IF(J254="","",VLOOKUP($B254,'C-1 On-Site WaterC'' Baseline'!$C$9:$R$257,10,FALSE))</f>
        <v/>
      </c>
      <c r="L254" s="295" t="str">
        <f>IF(B254="","",VLOOKUP($B254,'C-1 On-Site WaterC'' Baseline'!$C$9:$R$257,15,FALSE))</f>
        <v/>
      </c>
      <c r="M254" s="299" t="str">
        <f>IF(L254="","",VLOOKUP($B254,'C-1 On-Site WaterC'' Baseline'!$C$9:$R$257,16,FALSE))</f>
        <v/>
      </c>
      <c r="N254" s="245"/>
      <c r="O254" s="275" t="str">
        <f t="shared" si="31"/>
        <v/>
      </c>
      <c r="P254" s="276" t="str">
        <f t="shared" si="32"/>
        <v/>
      </c>
      <c r="Q254" s="336" t="str">
        <f>IF(N254="","",VLOOKUP(B254,'C-1 On-Site WaterC'' Baseline'!$C$10:$AC$257,20,FALSE))</f>
        <v/>
      </c>
      <c r="R254" s="275" t="str">
        <f>IF(N254="","",VLOOKUP(N254,'G-7 WaterC'' Data'!$B$2:$G$8,2,FALSE))</f>
        <v/>
      </c>
      <c r="S254" s="276" t="str">
        <f>IFERROR(VLOOKUP(R254,'G-7 WaterC'' Data'!$C$4:$D$8,2,FALSE),"")</f>
        <v/>
      </c>
      <c r="T254" s="101"/>
      <c r="U254" s="276" t="str">
        <f>IFERROR(INDEX('G-7 WaterC'' Data'!$H$4:$L$8,MATCH(N254,'G-7 WaterC'' Data'!$B$4:$B$8,0),MATCH(T254,'G-7 WaterC'' Data'!$H$3:$L$3,0)),"")</f>
        <v/>
      </c>
      <c r="V254" s="101"/>
      <c r="W254" s="283" t="str">
        <f>IF(V254="","",IF(VLOOKUP(V254,'G-7 WaterC'' Data'!$AK$4:$AM$6,2,FALSE)=0,"Spatial Data Missing ⚠",VLOOKUP(V254,'G-7 WaterC'' Data'!$AK$4:$AM$6,2,FALSE)))</f>
        <v/>
      </c>
      <c r="X254" s="276" t="str">
        <f>IF(V254="","",IF(VLOOKUP(V254,'G-7 WaterC'' Data'!$AK$4:$AM$6,3,FALSE)=0,"Spatial Data Missing ⚠",VLOOKUP(V254,'G-7 WaterC'' Data'!$AK$4:$AM$6,3,FALSE)))</f>
        <v/>
      </c>
      <c r="Y254" s="275" t="str">
        <f>IFERROR(IF(OR(LEFT(P254,5)="Error",LEFT(O254,5)="Error"),"Check Data ⚠",IF(F254&lt;S254,'G-7 WaterC'' Data'!$R$3,INDEX('G-7 WaterC'' Data'!$U$5:$Y$9,MATCH(G254,'G-7 WaterC'' Data'!$T$5:$T$9,0),MATCH(T254,'G-7 WaterC'' Data'!$U$4:$Y$4,0)))),"")</f>
        <v/>
      </c>
      <c r="Z254" s="133"/>
      <c r="AA254" s="133"/>
      <c r="AB254" s="283" t="str">
        <f t="shared" si="33"/>
        <v/>
      </c>
      <c r="AC254" s="296" t="str">
        <f t="shared" si="34"/>
        <v/>
      </c>
      <c r="AD254" s="334" t="str">
        <f>IFERROR(IF(AC254="Check Data ⚠","Check Data ⚠",VLOOKUP(AC254,'G-4 Temporal multipliers'!$A$4:$C$37,3,FALSE)),"")</f>
        <v/>
      </c>
      <c r="AE254" s="275" t="str">
        <f>IF(N254="","",VLOOKUP(N254,'G-7 WaterC'' Data'!$B$4:$G$8,5,FALSE))</f>
        <v/>
      </c>
      <c r="AF254" s="283" t="str">
        <f t="shared" si="35"/>
        <v/>
      </c>
      <c r="AG254" s="314" t="str">
        <f t="shared" si="36"/>
        <v/>
      </c>
      <c r="AH254" s="276" t="str">
        <f t="shared" si="30"/>
        <v/>
      </c>
      <c r="AI254" s="105"/>
      <c r="AJ254" s="276" t="str">
        <f>IF(AI254="","",IF(AND(AI254="N/A - Culvert",N254&lt;&gt;"Culvert"),"Not possible ▲",IF(VLOOKUP(AI254,'G-7 WaterC'' Data'!$AA$4:$AB$7,2,FALSE)=0,"Spatial Data Missing ⚠",VLOOKUP(AI254,'G-7 WaterC'' Data'!$AA$4:$AB$7,2,FALSE))))</f>
        <v/>
      </c>
      <c r="AK254" s="106"/>
      <c r="AL254" s="276" t="str">
        <f>IF(AK254="","",IF(AND(AK254="N/A - Culvert",N254&lt;&gt;"Culvert"),"Not possible ▲",IF(VLOOKUP(AK254,'G-7 WaterC'' Data'!$AD$4:$AE$14,2,FALSE)=0,"Spatial Data Missing ⚠",VLOOKUP(AK254,'G-7 WaterC'' Data'!$AD$4:$AE$14,2,FALSE))))</f>
        <v/>
      </c>
      <c r="AM254" s="317" t="str">
        <f t="shared" si="37"/>
        <v/>
      </c>
      <c r="AN254" s="101"/>
      <c r="AO254" s="115"/>
      <c r="AP254" s="104"/>
      <c r="AS254" s="30" t="str">
        <f>IF(B254="","",IF(ISNA(VLOOKUP($B254,'C-1 On-Site WaterC'' Baseline'!$C$8:$AD$257,17,FALSE)),"",(VLOOKUP($B254,'C-1 On-Site WaterC'' Baseline'!$C$8:$AD$257,17,FALSE))))</f>
        <v/>
      </c>
      <c r="AT254" s="30" t="str">
        <f>IF(B254="","",VLOOKUP($B254,'C-1 On-Site WaterC'' Baseline'!$C$9:$Z$257,12,FALSE))</f>
        <v/>
      </c>
      <c r="AU254" s="30" t="str">
        <f>IF(B254="","",VLOOKUP($B254,'C-1 On-Site WaterC'' Baseline'!$C$9:$Z$257,14,FALSE))</f>
        <v/>
      </c>
      <c r="AV254" s="30" t="str">
        <f>IFERROR(INDEX('G-7 WaterC'' Data'!$AZ$3:$AZ$7,MATCH(N254,'G-7 WaterC'' Data'!$AY$3:$AY$7,0)),"")</f>
        <v/>
      </c>
      <c r="AX254" s="30" t="str">
        <f>IF(B254="","",VLOOKUP($B254,'C-1 On-Site WaterC'' Baseline'!$C$9:$Y$257,22,FALSE))</f>
        <v/>
      </c>
      <c r="AY254" s="30" t="str">
        <f t="shared" si="38"/>
        <v/>
      </c>
      <c r="AZ254" s="30" t="str">
        <f>IF(B254="","",VLOOKUP($B254,'C-1 On-Site WaterC'' Baseline'!$C$9:$Y$257,21,FALSE))</f>
        <v/>
      </c>
      <c r="BA254" s="30" t="str">
        <f>IF(B254="","",VLOOKUP($B254,'C-1 On-Site WaterC'' Baseline'!$C$9:$Y$257,19,FALSE))</f>
        <v/>
      </c>
      <c r="BD254" s="30" t="str">
        <f t="shared" si="39"/>
        <v>No</v>
      </c>
    </row>
    <row r="255" spans="2:56" ht="14">
      <c r="B255" s="305" t="str">
        <f>'C-1 On-Site WaterC'' Baseline'!AP253</f>
        <v/>
      </c>
      <c r="C255" s="295" t="str">
        <f>IF(B255="","",VLOOKUP($B255,'C-1 On-Site WaterC'' Baseline'!$C$9:$R$257,2,FALSE))</f>
        <v/>
      </c>
      <c r="D255" s="295" t="str">
        <f>IF(C255="","",VLOOKUP($B255,'C-1 On-Site WaterC'' Baseline'!$C$9:$R$257,3,FALSE))</f>
        <v/>
      </c>
      <c r="E255" s="295" t="str">
        <f>IF(D255="","",VLOOKUP($B255,'C-1 On-Site WaterC'' Baseline'!$C$9:$R$257,4,FALSE))</f>
        <v/>
      </c>
      <c r="F255" s="295" t="str">
        <f>IF(E255="","",VLOOKUP($B255,'C-1 On-Site WaterC'' Baseline'!$C$9:$R$257,5,FALSE))</f>
        <v/>
      </c>
      <c r="G255" s="295" t="str">
        <f>IF(F255="","",VLOOKUP($B255,'C-1 On-Site WaterC'' Baseline'!$C$9:$R$257,6,FALSE))</f>
        <v/>
      </c>
      <c r="H255" s="295" t="str">
        <f>IF(G255="","",VLOOKUP($B255,'C-1 On-Site WaterC'' Baseline'!$C$9:$R$257,7,FALSE))</f>
        <v/>
      </c>
      <c r="I255" s="295" t="str">
        <f>IF(H255="","",VLOOKUP($B255,'C-1 On-Site WaterC'' Baseline'!$C$9:$R$257,8,FALSE))</f>
        <v/>
      </c>
      <c r="J255" s="295" t="str">
        <f>IF(I255="","",VLOOKUP($B255,'C-1 On-Site WaterC'' Baseline'!$C$9:$R$257,9,FALSE))</f>
        <v/>
      </c>
      <c r="K255" s="295" t="str">
        <f>IF(J255="","",VLOOKUP($B255,'C-1 On-Site WaterC'' Baseline'!$C$9:$R$257,10,FALSE))</f>
        <v/>
      </c>
      <c r="L255" s="295" t="str">
        <f>IF(B255="","",VLOOKUP($B255,'C-1 On-Site WaterC'' Baseline'!$C$9:$R$257,15,FALSE))</f>
        <v/>
      </c>
      <c r="M255" s="299" t="str">
        <f>IF(L255="","",VLOOKUP($B255,'C-1 On-Site WaterC'' Baseline'!$C$9:$R$257,16,FALSE))</f>
        <v/>
      </c>
      <c r="N255" s="245"/>
      <c r="O255" s="275" t="str">
        <f t="shared" si="31"/>
        <v/>
      </c>
      <c r="P255" s="276" t="str">
        <f t="shared" si="32"/>
        <v/>
      </c>
      <c r="Q255" s="336" t="str">
        <f>IF(N255="","",VLOOKUP(B255,'C-1 On-Site WaterC'' Baseline'!$C$10:$AC$257,20,FALSE))</f>
        <v/>
      </c>
      <c r="R255" s="275" t="str">
        <f>IF(N255="","",VLOOKUP(N255,'G-7 WaterC'' Data'!$B$2:$G$8,2,FALSE))</f>
        <v/>
      </c>
      <c r="S255" s="276" t="str">
        <f>IFERROR(VLOOKUP(R255,'G-7 WaterC'' Data'!$C$4:$D$8,2,FALSE),"")</f>
        <v/>
      </c>
      <c r="T255" s="101"/>
      <c r="U255" s="276" t="str">
        <f>IFERROR(INDEX('G-7 WaterC'' Data'!$H$4:$L$8,MATCH(N255,'G-7 WaterC'' Data'!$B$4:$B$8,0),MATCH(T255,'G-7 WaterC'' Data'!$H$3:$L$3,0)),"")</f>
        <v/>
      </c>
      <c r="V255" s="101"/>
      <c r="W255" s="283" t="str">
        <f>IF(V255="","",IF(VLOOKUP(V255,'G-7 WaterC'' Data'!$AK$4:$AM$6,2,FALSE)=0,"Spatial Data Missing ⚠",VLOOKUP(V255,'G-7 WaterC'' Data'!$AK$4:$AM$6,2,FALSE)))</f>
        <v/>
      </c>
      <c r="X255" s="276" t="str">
        <f>IF(V255="","",IF(VLOOKUP(V255,'G-7 WaterC'' Data'!$AK$4:$AM$6,3,FALSE)=0,"Spatial Data Missing ⚠",VLOOKUP(V255,'G-7 WaterC'' Data'!$AK$4:$AM$6,3,FALSE)))</f>
        <v/>
      </c>
      <c r="Y255" s="275" t="str">
        <f>IFERROR(IF(OR(LEFT(P255,5)="Error",LEFT(O255,5)="Error"),"Check Data ⚠",IF(F255&lt;S255,'G-7 WaterC'' Data'!$R$3,INDEX('G-7 WaterC'' Data'!$U$5:$Y$9,MATCH(G255,'G-7 WaterC'' Data'!$T$5:$T$9,0),MATCH(T255,'G-7 WaterC'' Data'!$U$4:$Y$4,0)))),"")</f>
        <v/>
      </c>
      <c r="Z255" s="133"/>
      <c r="AA255" s="133"/>
      <c r="AB255" s="283" t="str">
        <f t="shared" si="33"/>
        <v/>
      </c>
      <c r="AC255" s="296" t="str">
        <f t="shared" si="34"/>
        <v/>
      </c>
      <c r="AD255" s="334" t="str">
        <f>IFERROR(IF(AC255="Check Data ⚠","Check Data ⚠",VLOOKUP(AC255,'G-4 Temporal multipliers'!$A$4:$C$37,3,FALSE)),"")</f>
        <v/>
      </c>
      <c r="AE255" s="275" t="str">
        <f>IF(N255="","",VLOOKUP(N255,'G-7 WaterC'' Data'!$B$4:$G$8,5,FALSE))</f>
        <v/>
      </c>
      <c r="AF255" s="283" t="str">
        <f t="shared" si="35"/>
        <v/>
      </c>
      <c r="AG255" s="314" t="str">
        <f t="shared" si="36"/>
        <v/>
      </c>
      <c r="AH255" s="276" t="str">
        <f t="shared" si="30"/>
        <v/>
      </c>
      <c r="AI255" s="105"/>
      <c r="AJ255" s="276" t="str">
        <f>IF(AI255="","",IF(AND(AI255="N/A - Culvert",N255&lt;&gt;"Culvert"),"Not possible ▲",IF(VLOOKUP(AI255,'G-7 WaterC'' Data'!$AA$4:$AB$7,2,FALSE)=0,"Spatial Data Missing ⚠",VLOOKUP(AI255,'G-7 WaterC'' Data'!$AA$4:$AB$7,2,FALSE))))</f>
        <v/>
      </c>
      <c r="AK255" s="106"/>
      <c r="AL255" s="276" t="str">
        <f>IF(AK255="","",IF(AND(AK255="N/A - Culvert",N255&lt;&gt;"Culvert"),"Not possible ▲",IF(VLOOKUP(AK255,'G-7 WaterC'' Data'!$AD$4:$AE$14,2,FALSE)=0,"Spatial Data Missing ⚠",VLOOKUP(AK255,'G-7 WaterC'' Data'!$AD$4:$AE$14,2,FALSE))))</f>
        <v/>
      </c>
      <c r="AM255" s="317" t="str">
        <f t="shared" si="37"/>
        <v/>
      </c>
      <c r="AN255" s="101"/>
      <c r="AO255" s="115"/>
      <c r="AP255" s="104"/>
      <c r="AS255" s="30" t="str">
        <f>IF(B255="","",IF(ISNA(VLOOKUP($B255,'C-1 On-Site WaterC'' Baseline'!$C$8:$AD$257,17,FALSE)),"",(VLOOKUP($B255,'C-1 On-Site WaterC'' Baseline'!$C$8:$AD$257,17,FALSE))))</f>
        <v/>
      </c>
      <c r="AT255" s="30" t="str">
        <f>IF(B255="","",VLOOKUP($B255,'C-1 On-Site WaterC'' Baseline'!$C$9:$Z$257,12,FALSE))</f>
        <v/>
      </c>
      <c r="AU255" s="30" t="str">
        <f>IF(B255="","",VLOOKUP($B255,'C-1 On-Site WaterC'' Baseline'!$C$9:$Z$257,14,FALSE))</f>
        <v/>
      </c>
      <c r="AV255" s="30" t="str">
        <f>IFERROR(INDEX('G-7 WaterC'' Data'!$AZ$3:$AZ$7,MATCH(N255,'G-7 WaterC'' Data'!$AY$3:$AY$7,0)),"")</f>
        <v/>
      </c>
      <c r="AX255" s="30" t="str">
        <f>IF(B255="","",VLOOKUP($B255,'C-1 On-Site WaterC'' Baseline'!$C$9:$Y$257,22,FALSE))</f>
        <v/>
      </c>
      <c r="AY255" s="30" t="str">
        <f t="shared" si="38"/>
        <v/>
      </c>
      <c r="AZ255" s="30" t="str">
        <f>IF(B255="","",VLOOKUP($B255,'C-1 On-Site WaterC'' Baseline'!$C$9:$Y$257,21,FALSE))</f>
        <v/>
      </c>
      <c r="BA255" s="30" t="str">
        <f>IF(B255="","",VLOOKUP($B255,'C-1 On-Site WaterC'' Baseline'!$C$9:$Y$257,19,FALSE))</f>
        <v/>
      </c>
      <c r="BD255" s="30" t="str">
        <f t="shared" si="39"/>
        <v>No</v>
      </c>
    </row>
    <row r="256" spans="2:56" ht="14">
      <c r="B256" s="305" t="str">
        <f>'C-1 On-Site WaterC'' Baseline'!AP254</f>
        <v/>
      </c>
      <c r="C256" s="295" t="str">
        <f>IF(B256="","",VLOOKUP($B256,'C-1 On-Site WaterC'' Baseline'!$C$9:$R$257,2,FALSE))</f>
        <v/>
      </c>
      <c r="D256" s="295" t="str">
        <f>IF(C256="","",VLOOKUP($B256,'C-1 On-Site WaterC'' Baseline'!$C$9:$R$257,3,FALSE))</f>
        <v/>
      </c>
      <c r="E256" s="295" t="str">
        <f>IF(D256="","",VLOOKUP($B256,'C-1 On-Site WaterC'' Baseline'!$C$9:$R$257,4,FALSE))</f>
        <v/>
      </c>
      <c r="F256" s="295" t="str">
        <f>IF(E256="","",VLOOKUP($B256,'C-1 On-Site WaterC'' Baseline'!$C$9:$R$257,5,FALSE))</f>
        <v/>
      </c>
      <c r="G256" s="295" t="str">
        <f>IF(F256="","",VLOOKUP($B256,'C-1 On-Site WaterC'' Baseline'!$C$9:$R$257,6,FALSE))</f>
        <v/>
      </c>
      <c r="H256" s="295" t="str">
        <f>IF(G256="","",VLOOKUP($B256,'C-1 On-Site WaterC'' Baseline'!$C$9:$R$257,7,FALSE))</f>
        <v/>
      </c>
      <c r="I256" s="295" t="str">
        <f>IF(H256="","",VLOOKUP($B256,'C-1 On-Site WaterC'' Baseline'!$C$9:$R$257,8,FALSE))</f>
        <v/>
      </c>
      <c r="J256" s="295" t="str">
        <f>IF(I256="","",VLOOKUP($B256,'C-1 On-Site WaterC'' Baseline'!$C$9:$R$257,9,FALSE))</f>
        <v/>
      </c>
      <c r="K256" s="295" t="str">
        <f>IF(J256="","",VLOOKUP($B256,'C-1 On-Site WaterC'' Baseline'!$C$9:$R$257,10,FALSE))</f>
        <v/>
      </c>
      <c r="L256" s="295" t="str">
        <f>IF(B256="","",VLOOKUP($B256,'C-1 On-Site WaterC'' Baseline'!$C$9:$R$257,15,FALSE))</f>
        <v/>
      </c>
      <c r="M256" s="299" t="str">
        <f>IF(L256="","",VLOOKUP($B256,'C-1 On-Site WaterC'' Baseline'!$C$9:$R$257,16,FALSE))</f>
        <v/>
      </c>
      <c r="N256" s="245"/>
      <c r="O256" s="275" t="str">
        <f t="shared" si="31"/>
        <v/>
      </c>
      <c r="P256" s="276" t="str">
        <f t="shared" si="32"/>
        <v/>
      </c>
      <c r="Q256" s="336" t="str">
        <f>IF(N256="","",VLOOKUP(B256,'C-1 On-Site WaterC'' Baseline'!$C$10:$AC$257,20,FALSE))</f>
        <v/>
      </c>
      <c r="R256" s="275" t="str">
        <f>IF(N256="","",VLOOKUP(N256,'G-7 WaterC'' Data'!$B$2:$G$8,2,FALSE))</f>
        <v/>
      </c>
      <c r="S256" s="276" t="str">
        <f>IFERROR(VLOOKUP(R256,'G-7 WaterC'' Data'!$C$4:$D$8,2,FALSE),"")</f>
        <v/>
      </c>
      <c r="T256" s="101"/>
      <c r="U256" s="276" t="str">
        <f>IFERROR(INDEX('G-7 WaterC'' Data'!$H$4:$L$8,MATCH(N256,'G-7 WaterC'' Data'!$B$4:$B$8,0),MATCH(T256,'G-7 WaterC'' Data'!$H$3:$L$3,0)),"")</f>
        <v/>
      </c>
      <c r="V256" s="101"/>
      <c r="W256" s="283" t="str">
        <f>IF(V256="","",IF(VLOOKUP(V256,'G-7 WaterC'' Data'!$AK$4:$AM$6,2,FALSE)=0,"Spatial Data Missing ⚠",VLOOKUP(V256,'G-7 WaterC'' Data'!$AK$4:$AM$6,2,FALSE)))</f>
        <v/>
      </c>
      <c r="X256" s="276" t="str">
        <f>IF(V256="","",IF(VLOOKUP(V256,'G-7 WaterC'' Data'!$AK$4:$AM$6,3,FALSE)=0,"Spatial Data Missing ⚠",VLOOKUP(V256,'G-7 WaterC'' Data'!$AK$4:$AM$6,3,FALSE)))</f>
        <v/>
      </c>
      <c r="Y256" s="275" t="str">
        <f>IFERROR(IF(OR(LEFT(P256,5)="Error",LEFT(O256,5)="Error"),"Check Data ⚠",IF(F256&lt;S256,'G-7 WaterC'' Data'!$R$3,INDEX('G-7 WaterC'' Data'!$U$5:$Y$9,MATCH(G256,'G-7 WaterC'' Data'!$T$5:$T$9,0),MATCH(T256,'G-7 WaterC'' Data'!$U$4:$Y$4,0)))),"")</f>
        <v/>
      </c>
      <c r="Z256" s="133"/>
      <c r="AA256" s="133"/>
      <c r="AB256" s="283" t="str">
        <f t="shared" si="33"/>
        <v/>
      </c>
      <c r="AC256" s="296" t="str">
        <f t="shared" si="34"/>
        <v/>
      </c>
      <c r="AD256" s="334" t="str">
        <f>IFERROR(IF(AC256="Check Data ⚠","Check Data ⚠",VLOOKUP(AC256,'G-4 Temporal multipliers'!$A$4:$C$37,3,FALSE)),"")</f>
        <v/>
      </c>
      <c r="AE256" s="275" t="str">
        <f>IF(N256="","",VLOOKUP(N256,'G-7 WaterC'' Data'!$B$4:$G$8,5,FALSE))</f>
        <v/>
      </c>
      <c r="AF256" s="283" t="str">
        <f t="shared" si="35"/>
        <v/>
      </c>
      <c r="AG256" s="314" t="str">
        <f t="shared" si="36"/>
        <v/>
      </c>
      <c r="AH256" s="276" t="str">
        <f t="shared" si="30"/>
        <v/>
      </c>
      <c r="AI256" s="105"/>
      <c r="AJ256" s="276" t="str">
        <f>IF(AI256="","",IF(AND(AI256="N/A - Culvert",N256&lt;&gt;"Culvert"),"Not possible ▲",IF(VLOOKUP(AI256,'G-7 WaterC'' Data'!$AA$4:$AB$7,2,FALSE)=0,"Spatial Data Missing ⚠",VLOOKUP(AI256,'G-7 WaterC'' Data'!$AA$4:$AB$7,2,FALSE))))</f>
        <v/>
      </c>
      <c r="AK256" s="106"/>
      <c r="AL256" s="276" t="str">
        <f>IF(AK256="","",IF(AND(AK256="N/A - Culvert",N256&lt;&gt;"Culvert"),"Not possible ▲",IF(VLOOKUP(AK256,'G-7 WaterC'' Data'!$AD$4:$AE$14,2,FALSE)=0,"Spatial Data Missing ⚠",VLOOKUP(AK256,'G-7 WaterC'' Data'!$AD$4:$AE$14,2,FALSE))))</f>
        <v/>
      </c>
      <c r="AM256" s="317" t="str">
        <f t="shared" si="37"/>
        <v/>
      </c>
      <c r="AN256" s="101"/>
      <c r="AO256" s="115"/>
      <c r="AP256" s="104"/>
      <c r="AS256" s="30" t="str">
        <f>IF(B256="","",IF(ISNA(VLOOKUP($B256,'C-1 On-Site WaterC'' Baseline'!$C$8:$AD$257,17,FALSE)),"",(VLOOKUP($B256,'C-1 On-Site WaterC'' Baseline'!$C$8:$AD$257,17,FALSE))))</f>
        <v/>
      </c>
      <c r="AT256" s="30" t="str">
        <f>IF(B256="","",VLOOKUP($B256,'C-1 On-Site WaterC'' Baseline'!$C$9:$Z$257,12,FALSE))</f>
        <v/>
      </c>
      <c r="AU256" s="30" t="str">
        <f>IF(B256="","",VLOOKUP($B256,'C-1 On-Site WaterC'' Baseline'!$C$9:$Z$257,14,FALSE))</f>
        <v/>
      </c>
      <c r="AV256" s="30" t="str">
        <f>IFERROR(INDEX('G-7 WaterC'' Data'!$AZ$3:$AZ$7,MATCH(N256,'G-7 WaterC'' Data'!$AY$3:$AY$7,0)),"")</f>
        <v/>
      </c>
      <c r="AX256" s="30" t="str">
        <f>IF(B256="","",VLOOKUP($B256,'C-1 On-Site WaterC'' Baseline'!$C$9:$Y$257,22,FALSE))</f>
        <v/>
      </c>
      <c r="AY256" s="30" t="str">
        <f t="shared" si="38"/>
        <v/>
      </c>
      <c r="AZ256" s="30" t="str">
        <f>IF(B256="","",VLOOKUP($B256,'C-1 On-Site WaterC'' Baseline'!$C$9:$Y$257,21,FALSE))</f>
        <v/>
      </c>
      <c r="BA256" s="30" t="str">
        <f>IF(B256="","",VLOOKUP($B256,'C-1 On-Site WaterC'' Baseline'!$C$9:$Y$257,19,FALSE))</f>
        <v/>
      </c>
      <c r="BD256" s="30" t="str">
        <f t="shared" si="39"/>
        <v>No</v>
      </c>
    </row>
    <row r="257" spans="2:56" ht="14.5" thickBot="1">
      <c r="B257" s="328" t="str">
        <f>'C-1 On-Site WaterC'' Baseline'!AP255</f>
        <v/>
      </c>
      <c r="C257" s="284" t="str">
        <f>IF(B257="","",VLOOKUP($B257,'C-1 On-Site WaterC'' Baseline'!$C$9:$R$257,2,FALSE))</f>
        <v/>
      </c>
      <c r="D257" s="284" t="str">
        <f>IF(C257="","",VLOOKUP($B257,'C-1 On-Site WaterC'' Baseline'!$C$9:$R$257,3,FALSE))</f>
        <v/>
      </c>
      <c r="E257" s="284" t="str">
        <f>IF(D257="","",VLOOKUP($B257,'C-1 On-Site WaterC'' Baseline'!$C$9:$R$257,4,FALSE))</f>
        <v/>
      </c>
      <c r="F257" s="284" t="str">
        <f>IF(E257="","",VLOOKUP($B257,'C-1 On-Site WaterC'' Baseline'!$C$9:$R$257,5,FALSE))</f>
        <v/>
      </c>
      <c r="G257" s="284" t="str">
        <f>IF(F257="","",VLOOKUP($B257,'C-1 On-Site WaterC'' Baseline'!$C$9:$R$257,6,FALSE))</f>
        <v/>
      </c>
      <c r="H257" s="284" t="str">
        <f>IF(G257="","",VLOOKUP($B257,'C-1 On-Site WaterC'' Baseline'!$C$9:$R$257,7,FALSE))</f>
        <v/>
      </c>
      <c r="I257" s="284" t="str">
        <f>IF(H257="","",VLOOKUP($B257,'C-1 On-Site WaterC'' Baseline'!$C$9:$R$257,8,FALSE))</f>
        <v/>
      </c>
      <c r="J257" s="284" t="str">
        <f>IF(I257="","",VLOOKUP($B257,'C-1 On-Site WaterC'' Baseline'!$C$9:$R$257,9,FALSE))</f>
        <v/>
      </c>
      <c r="K257" s="284" t="str">
        <f>IF(J257="","",VLOOKUP($B257,'C-1 On-Site WaterC'' Baseline'!$C$9:$R$257,10,FALSE))</f>
        <v/>
      </c>
      <c r="L257" s="284" t="str">
        <f>IF(B257="","",VLOOKUP($B257,'C-1 On-Site WaterC'' Baseline'!$C$9:$R$257,15,FALSE))</f>
        <v/>
      </c>
      <c r="M257" s="278" t="str">
        <f>IF(L257="","",VLOOKUP($B257,'C-1 On-Site WaterC'' Baseline'!$C$9:$R$257,16,FALSE))</f>
        <v/>
      </c>
      <c r="N257" s="245"/>
      <c r="O257" s="275" t="str">
        <f t="shared" si="31"/>
        <v/>
      </c>
      <c r="P257" s="276" t="str">
        <f t="shared" si="32"/>
        <v/>
      </c>
      <c r="Q257" s="337" t="str">
        <f>IF(N257="","",VLOOKUP(B257,'C-1 On-Site WaterC'' Baseline'!$C$10:$AC$257,20,FALSE))</f>
        <v/>
      </c>
      <c r="R257" s="277" t="str">
        <f>IF(N257="","",VLOOKUP(N257,'G-7 WaterC'' Data'!$B$2:$G$8,2,FALSE))</f>
        <v/>
      </c>
      <c r="S257" s="278" t="str">
        <f>IFERROR(VLOOKUP(R257,'G-7 WaterC'' Data'!$C$4:$D$8,2,FALSE),"")</f>
        <v/>
      </c>
      <c r="T257" s="111"/>
      <c r="U257" s="550" t="str">
        <f>IFERROR(INDEX('G-7 WaterC'' Data'!$H$4:$L$8,MATCH(N257,'G-7 WaterC'' Data'!$B$4:$B$8,0),MATCH(T257,'G-7 WaterC'' Data'!$H$3:$L$3,0)),"")</f>
        <v/>
      </c>
      <c r="V257" s="619"/>
      <c r="W257" s="551" t="str">
        <f>IF(V257="","",IF(VLOOKUP(V257,'G-7 WaterC'' Data'!$AK$4:$AM$6,2,FALSE)=0,"Spatial Data Missing ⚠",VLOOKUP(V257,'G-7 WaterC'' Data'!$AK$4:$AM$6,2,FALSE)))</f>
        <v/>
      </c>
      <c r="X257" s="550" t="str">
        <f>IF(V257="","",IF(VLOOKUP(V257,'G-7 WaterC'' Data'!$AK$4:$AM$6,3,FALSE)=0,"Spatial Data Missing ⚠",VLOOKUP(V257,'G-7 WaterC'' Data'!$AK$4:$AM$6,3,FALSE)))</f>
        <v/>
      </c>
      <c r="Y257" s="549" t="str">
        <f>IFERROR(IF(OR(LEFT(P257,5)="Error",LEFT(O257,5)="Error"),"Check Data ⚠",IF(F257&lt;S257,'G-7 WaterC'' Data'!$R$3,INDEX('G-7 WaterC'' Data'!$U$5:$Y$9,MATCH(G257,'G-7 WaterC'' Data'!$T$5:$T$9,0),MATCH(T257,'G-7 WaterC'' Data'!$U$4:$Y$4,0)))),"")</f>
        <v/>
      </c>
      <c r="Z257" s="141"/>
      <c r="AA257" s="141"/>
      <c r="AB257" s="551" t="str">
        <f t="shared" si="33"/>
        <v/>
      </c>
      <c r="AC257" s="572" t="str">
        <f t="shared" si="34"/>
        <v/>
      </c>
      <c r="AD257" s="624" t="str">
        <f>IFERROR(IF(AC257="Check Data ⚠","Check Data ⚠",VLOOKUP(AC257,'G-4 Temporal multipliers'!$A$4:$C$37,3,FALSE)),"")</f>
        <v/>
      </c>
      <c r="AE257" s="277" t="str">
        <f>IF(N257="","",VLOOKUP(N257,'G-7 WaterC'' Data'!$B$4:$G$8,5,FALSE))</f>
        <v/>
      </c>
      <c r="AF257" s="551" t="str">
        <f t="shared" si="35"/>
        <v/>
      </c>
      <c r="AG257" s="599" t="str">
        <f t="shared" si="36"/>
        <v/>
      </c>
      <c r="AH257" s="278" t="str">
        <f t="shared" si="30"/>
        <v/>
      </c>
      <c r="AI257" s="111"/>
      <c r="AJ257" s="550" t="str">
        <f>IF(AI257="","",IF(AND(AI257="N/A - Culvert",N257&lt;&gt;"Culvert"),"Not possible ▲",IF(VLOOKUP(AI257,'G-7 WaterC'' Data'!$AA$4:$AB$7,2,FALSE)=0,"Spatial Data Missing ⚠",VLOOKUP(AI257,'G-7 WaterC'' Data'!$AA$4:$AB$7,2,FALSE))))</f>
        <v/>
      </c>
      <c r="AK257" s="625"/>
      <c r="AL257" s="550" t="str">
        <f>IF(AK257="","",IF(AND(AK257="N/A - Culvert",N257&lt;&gt;"Culvert"),"Not possible ▲",IF(VLOOKUP(AK257,'G-7 WaterC'' Data'!$AD$4:$AE$14,2,FALSE)=0,"Spatial Data Missing ⚠",VLOOKUP(AK257,'G-7 WaterC'' Data'!$AD$4:$AE$14,2,FALSE))))</f>
        <v/>
      </c>
      <c r="AM257" s="601" t="str">
        <f t="shared" si="37"/>
        <v/>
      </c>
      <c r="AN257" s="111"/>
      <c r="AO257" s="110"/>
      <c r="AP257" s="929"/>
      <c r="AS257" s="30" t="str">
        <f>IF(B257="","",IF(ISNA(VLOOKUP($B257,'C-1 On-Site WaterC'' Baseline'!$C$8:$AD$257,17,FALSE)),"",(VLOOKUP($B257,'C-1 On-Site WaterC'' Baseline'!$C$8:$AD$257,17,FALSE))))</f>
        <v/>
      </c>
      <c r="AT257" s="30" t="str">
        <f>IF(B257="","",VLOOKUP($B257,'C-1 On-Site WaterC'' Baseline'!$C$9:$Z$257,12,FALSE))</f>
        <v/>
      </c>
      <c r="AU257" s="30" t="str">
        <f>IF(B257="","",VLOOKUP($B257,'C-1 On-Site WaterC'' Baseline'!$C$9:$Z$257,14,FALSE))</f>
        <v/>
      </c>
      <c r="AV257" s="30" t="str">
        <f>IFERROR(INDEX('G-7 WaterC'' Data'!$AZ$3:$AZ$7,MATCH(N257,'G-7 WaterC'' Data'!$AY$3:$AY$7,0)),"")</f>
        <v/>
      </c>
      <c r="AX257" s="30" t="str">
        <f>IF(B257="","",VLOOKUP($B257,'C-1 On-Site WaterC'' Baseline'!$C$9:$Y$257,22,FALSE))</f>
        <v/>
      </c>
      <c r="AY257" s="30" t="str">
        <f t="shared" si="38"/>
        <v/>
      </c>
      <c r="AZ257" s="30" t="str">
        <f>IF(B257="","",VLOOKUP($B257,'C-1 On-Site WaterC'' Baseline'!$C$9:$Y$257,21,FALSE))</f>
        <v/>
      </c>
      <c r="BA257" s="30" t="str">
        <f>IF(B257="","",VLOOKUP($B257,'C-1 On-Site WaterC'' Baseline'!$C$9:$Y$257,19,FALSE))</f>
        <v/>
      </c>
      <c r="BD257" s="30" t="str">
        <f t="shared" si="39"/>
        <v>No</v>
      </c>
    </row>
    <row r="258" spans="3:56" ht="14.5" thickBot="1">
      <c r="C258" s="113"/>
      <c r="D258" s="113"/>
      <c r="E258" s="113"/>
      <c r="F258" s="113"/>
      <c r="G258" s="113"/>
      <c r="H258" s="113"/>
      <c r="I258" s="113"/>
      <c r="J258" s="113"/>
      <c r="K258" s="113"/>
      <c r="L258" s="113"/>
      <c r="M258" s="113"/>
      <c r="N258" s="178"/>
      <c r="O258" s="113"/>
      <c r="P258" s="113"/>
      <c r="Q258" s="335">
        <f>SUM(Q12:Q257)</f>
        <v>0</v>
      </c>
      <c r="R258" s="177"/>
      <c r="AJ258" s="30" t="s">
        <v>1796</v>
      </c>
      <c r="AK258" s="1696"/>
      <c r="AL258" s="1696"/>
      <c r="AM258" s="267">
        <f>IF(AM6="Error - No enhancement - units less than baseline ▲","Error ▲",SUM(AM12:AM257))</f>
        <v>0</v>
      </c>
      <c r="BD258" s="30" t="str">
        <f t="shared" si="39"/>
        <v>No</v>
      </c>
    </row>
    <row r="259" spans="36:56" ht="14">
      <c r="AJ259" s="30" t="s">
        <v>1796</v>
      </c>
      <c r="BD259" s="30" t="str">
        <f t="shared" si="39"/>
        <v>No</v>
      </c>
    </row>
    <row r="260" spans="56:56" ht="14">
      <c r="BD260" s="30" t="str">
        <f t="shared" si="39"/>
        <v>No</v>
      </c>
    </row>
    <row r="261" ht="14"/>
    <row r="262" ht="14"/>
    <row r="263" ht="14"/>
    <row r="264" ht="14"/>
    <row r="265" ht="14" hidden="1"/>
  </sheetData>
  <sheetProtection algorithmName="SHA-512" hashValue="skV+lXykWYmEy9AZlOksH0wJt0Kuh27nb+aag+vL+GpeE3NMKhedJdM6ZJJHI0JxRSPpQL9OuxVK6deaB26Btw==" saltValue="E7rfnNCaYgYH5qZvrthpqQ=="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22">
    <mergeCell ref="AN10:AP10"/>
    <mergeCell ref="O10:P10"/>
    <mergeCell ref="N10:N11"/>
    <mergeCell ref="AK10:AL10"/>
    <mergeCell ref="AM10:AM11"/>
    <mergeCell ref="AI10:AJ10"/>
    <mergeCell ref="AM6:AO6"/>
    <mergeCell ref="AK258:AL258"/>
    <mergeCell ref="B2:E2"/>
    <mergeCell ref="B3:E4"/>
    <mergeCell ref="Q10:Q11"/>
    <mergeCell ref="N9:AL9"/>
    <mergeCell ref="R10:S10"/>
    <mergeCell ref="T10:U10"/>
    <mergeCell ref="Y2:AD4"/>
    <mergeCell ref="O2:P2"/>
    <mergeCell ref="S2:X4"/>
    <mergeCell ref="F4:I5"/>
    <mergeCell ref="C10:M10"/>
    <mergeCell ref="V10:X10"/>
    <mergeCell ref="Y10:AD10"/>
    <mergeCell ref="AE10:AH10"/>
  </mergeCells>
  <conditionalFormatting sqref="L12:L257">
    <cfRule type="containsText" priority="46" dxfId="666" operator="containsText" text="Restore">
      <formula>NOT(ISERROR(SEARCH("Restore",L12)))</formula>
    </cfRule>
  </conditionalFormatting>
  <conditionalFormatting sqref="O12:P257">
    <cfRule type="containsText" priority="44" dxfId="1267" operator="containsText" text="Check">
      <formula>NOT(ISERROR(SEARCH("Check",O12)))</formula>
    </cfRule>
    <cfRule type="containsText" priority="45" dxfId="1273" operator="containsText" text="Error">
      <formula>NOT(ISERROR(SEARCH("Error",O12)))</formula>
    </cfRule>
  </conditionalFormatting>
  <conditionalFormatting sqref="W12:X257">
    <cfRule type="containsText" priority="43" dxfId="1281" operator="containsText" text="Spatial">
      <formula>NOT(ISERROR(SEARCH("Spatial",W12)))</formula>
    </cfRule>
  </conditionalFormatting>
  <conditionalFormatting sqref="Y12:Y257">
    <cfRule type="containsText" priority="41" dxfId="1267" operator="containsText" text="Check">
      <formula>NOT(ISERROR(SEARCH("Check",Y12)))</formula>
    </cfRule>
    <cfRule type="containsText" priority="42" dxfId="1273" operator="containsText" text="Error">
      <formula>NOT(ISERROR(SEARCH("Error",Y12)))</formula>
    </cfRule>
  </conditionalFormatting>
  <conditionalFormatting sqref="AB12:AM12 AB13:AL257 AM13:AM258">
    <cfRule type="containsText" priority="9" dxfId="1267" operator="containsText" text="Check">
      <formula>NOT(ISERROR(SEARCH("Check",AB12)))</formula>
    </cfRule>
    <cfRule type="beginsWith" priority="11" dxfId="1273" operator="beginsWith" text="Error">
      <formula>LEFT(AB12,LEN("Error"))="Error"</formula>
    </cfRule>
  </conditionalFormatting>
  <conditionalFormatting sqref="AF12:AF257">
    <cfRule type="beginsWith" priority="38" dxfId="1281" operator="beginsWith" text="No - Low Difficulty">
      <formula>LEFT(AF12,LEN("No - Low Difficulty"))="No - Low Difficulty"</formula>
    </cfRule>
  </conditionalFormatting>
  <conditionalFormatting sqref="AJ12:AL257">
    <cfRule type="containsText" priority="37" dxfId="1281" operator="containsText" text="Spatial">
      <formula>NOT(ISERROR(SEARCH("Spatial",AJ12)))</formula>
    </cfRule>
  </conditionalFormatting>
  <conditionalFormatting sqref="Y2">
    <cfRule type="containsText" priority="36" dxfId="1281" operator="containsText" text="Note">
      <formula>NOT(ISERROR(SEARCH("Note",Y2)))</formula>
    </cfRule>
  </conditionalFormatting>
  <conditionalFormatting sqref="P3">
    <cfRule type="containsText" priority="34" dxfId="1273" operator="containsText" text="Error">
      <formula>NOT(ISERROR(SEARCH("Error",P3)))</formula>
    </cfRule>
    <cfRule type="containsText" priority="35" dxfId="1267" operator="containsText" text="Check">
      <formula>NOT(ISERROR(SEARCH("Check",P3)))</formula>
    </cfRule>
  </conditionalFormatting>
  <conditionalFormatting sqref="P4">
    <cfRule type="containsText" priority="16" dxfId="1273" operator="containsText" text="Error">
      <formula>NOT(ISERROR(SEARCH("Error",P4)))</formula>
    </cfRule>
    <cfRule type="cellIs" priority="24" dxfId="881" operator="equal">
      <formula>0</formula>
    </cfRule>
    <cfRule type="containsText" priority="25" dxfId="1267" operator="containsText" text="Check">
      <formula>NOT(ISERROR(SEARCH("Check",P4)))</formula>
    </cfRule>
    <cfRule type="cellIs" priority="468" dxfId="1273" operator="lessThan">
      <formula>0</formula>
    </cfRule>
  </conditionalFormatting>
  <conditionalFormatting sqref="S2:X4">
    <cfRule type="containsText" priority="29" dxfId="1281" operator="containsText" text="Check">
      <formula>NOT(ISERROR(SEARCH("Check",S2)))</formula>
    </cfRule>
  </conditionalFormatting>
  <conditionalFormatting sqref="P5">
    <cfRule type="containsText" priority="27" dxfId="1273" operator="containsText" text="No">
      <formula>NOT(ISERROR(SEARCH("No",P5)))</formula>
    </cfRule>
    <cfRule type="containsText" priority="28" dxfId="1253" operator="containsText" text="Yes">
      <formula>NOT(ISERROR(SEARCH("Yes",P5)))</formula>
    </cfRule>
  </conditionalFormatting>
  <conditionalFormatting sqref="U12:U257">
    <cfRule type="containsText" priority="26" dxfId="1273" operator="containsText" text="Not possible">
      <formula>NOT(ISERROR(SEARCH("Not possible",U12)))</formula>
    </cfRule>
  </conditionalFormatting>
  <conditionalFormatting sqref="P3:P5">
    <cfRule type="containsText" priority="23" dxfId="932" operator="containsText" text="N/A">
      <formula>NOT(ISERROR(SEARCH("N/A",P3)))</formula>
    </cfRule>
  </conditionalFormatting>
  <conditionalFormatting sqref="F4:I5">
    <cfRule type="containsText" priority="20" dxfId="877" operator="containsText" text="Enhanced">
      <formula>NOT(ISERROR(SEARCH("Enhanced",F4)))</formula>
    </cfRule>
  </conditionalFormatting>
  <conditionalFormatting sqref="C12:C258">
    <cfRule type="expression" priority="19" dxfId="877">
      <formula>$AS12="Yes"</formula>
    </cfRule>
  </conditionalFormatting>
  <conditionalFormatting sqref="AJ1:AJ1048576">
    <cfRule type="containsText" priority="18" dxfId="1273" operator="containsText" text="Not possible">
      <formula>NOT(ISERROR(SEARCH("Not possible",AJ1)))</formula>
    </cfRule>
  </conditionalFormatting>
  <conditionalFormatting sqref="AL1:AL1048576">
    <cfRule type="containsText" priority="17" dxfId="1273" operator="containsText" text="Not possible">
      <formula>NOT(ISERROR(SEARCH("Not possible",AL1)))</formula>
    </cfRule>
  </conditionalFormatting>
  <conditionalFormatting sqref="M1:M1048576">
    <cfRule type="containsText" priority="15" dxfId="1273" operator="containsText" text="▲">
      <formula>NOT(ISERROR(SEARCH("▲",M1)))</formula>
    </cfRule>
  </conditionalFormatting>
  <conditionalFormatting sqref="W1:W1048576">
    <cfRule type="containsText" priority="14" dxfId="1273" operator="containsText" text="Not possible">
      <formula>NOT(ISERROR(SEARCH("Not possible",W1)))</formula>
    </cfRule>
  </conditionalFormatting>
  <conditionalFormatting sqref="J1:J1048576">
    <cfRule type="containsText" priority="13" dxfId="1273" operator="containsText" text="Not possible">
      <formula>NOT(ISERROR(SEARCH("Not possible",J1)))</formula>
    </cfRule>
  </conditionalFormatting>
  <conditionalFormatting sqref="AM12:AM257">
    <cfRule type="containsBlanks" priority="12" dxfId="1231">
      <formula>LEN(TRIM(AM12))=0</formula>
    </cfRule>
    <cfRule type="expression" priority="39" dxfId="1257">
      <formula>$AM12=$AY12</formula>
    </cfRule>
    <cfRule type="expression" priority="40" dxfId="1273">
      <formula>$AM12&lt;$AY12</formula>
    </cfRule>
  </conditionalFormatting>
  <conditionalFormatting sqref="AM6:AO6">
    <cfRule type="containsText" priority="10" dxfId="1273" operator="containsText" text="Error">
      <formula>NOT(ISERROR(SEARCH("Error",AM6)))</formula>
    </cfRule>
  </conditionalFormatting>
  <conditionalFormatting sqref="L1:L1048576">
    <cfRule type="containsText" priority="2" dxfId="1281" operator="containsText" text=" ⚠">
      <formula>NOT(ISERROR(SEARCH(" ⚠",L1)))</formula>
    </cfRule>
    <cfRule type="containsText" priority="5" dxfId="291" operator="containsText" text="Better">
      <formula>NOT(ISERROR(SEARCH("Better",L1)))</formula>
    </cfRule>
    <cfRule type="containsText" priority="6" dxfId="1281" operator="containsText" text="Check">
      <formula>NOT(ISERROR(SEARCH("Check",L1)))</formula>
    </cfRule>
    <cfRule type="containsText" priority="7" dxfId="666" operator="containsText" text="Same">
      <formula>NOT(ISERROR(SEARCH("Same",L1)))</formula>
    </cfRule>
    <cfRule type="containsText" priority="8" dxfId="1053" operator="containsText" text="Bespoke">
      <formula>NOT(ISERROR(SEARCH("Bespoke",L1)))</formula>
    </cfRule>
  </conditionalFormatting>
  <conditionalFormatting sqref="AF1:AF1048576">
    <cfRule type="containsText" priority="4" dxfId="1281" operator="containsText" text="⚠">
      <formula>NOT(ISERROR(SEARCH("⚠",AF1)))</formula>
    </cfRule>
  </conditionalFormatting>
  <conditionalFormatting sqref="H12:H257">
    <cfRule type="containsText" priority="3" dxfId="1273" operator="containsText" text="possible">
      <formula>NOT(ISERROR(SEARCH("possible",H12)))</formula>
    </cfRule>
  </conditionalFormatting>
  <conditionalFormatting sqref="AC1:AC1048576">
    <cfRule type="containsText" priority="1" dxfId="1281" operator="containsText" text="30+">
      <formula>NOT(ISERROR(SEARCH("30+",AC1)))</formula>
    </cfRule>
  </conditionalFormatting>
  <conditionalFormatting sqref="P4">
    <cfRule type="expression" priority="21" dxfId="1289">
      <formula>'Headline Results'!$H$10:$I$10=0</formula>
    </cfRule>
  </conditionalFormatting>
  <conditionalFormatting sqref="P4">
    <cfRule type="cellIs" priority="22" dxfId="1294" operator="lessThan">
      <formula>Start!$F$22</formula>
    </cfRule>
    <cfRule type="cellIs" priority="469" dxfId="1284" operator="greaterThanOrEqual">
      <formula>Start!$F$22</formula>
    </cfRule>
  </conditionalFormatting>
  <dataValidations count="7">
    <dataValidation type="list" allowBlank="1" showInputMessage="1" showErrorMessage="1" sqref="T12:T257">
      <formula1>INDIRECT(AV12)</formula1>
    </dataValidation>
    <dataValidation type="list" allowBlank="1" showInputMessage="1" showErrorMessage="1" sqref="AI12:AI257">
      <formula1>IF(N12="Culvert",riparianencroachment2,riparianencroachment1)</formula1>
    </dataValidation>
    <dataValidation type="list" allowBlank="1" showInputMessage="1" showErrorMessage="1" sqref="AK12:AK257">
      <formula1>IF(N12="Culvert",Encroachment2,Encroachment1)</formula1>
    </dataValidation>
    <dataValidation type="list" allowBlank="1" showInputMessage="1" showErrorMessage="1" sqref="AI258:AI259">
      <formula1>#REF!</formula1>
    </dataValidation>
    <dataValidation type="list" allowBlank="1" showInputMessage="1" showErrorMessage="1" sqref="Z12:AA257">
      <formula1>'G-4 Temporal multipliers'!$A$42:$A$73</formula1>
    </dataValidation>
    <dataValidation type="list" allowBlank="1" showInputMessage="1" showErrorMessage="1" sqref="V12:V257">
      <formula1>'G-7 WaterC'' Data'!$AK$4:$AK$6</formula1>
    </dataValidation>
    <dataValidation type="list" allowBlank="1" showInputMessage="1" showErrorMessage="1" sqref="N12:N257">
      <formula1>'G-7 WaterC'' Data'!$B$4:$B$7</formula1>
    </dataValidation>
  </dataValidations>
  <pageMargins left="0.7" right="0.7" top="0.75" bottom="0.75" header="0.3" footer="0.3"/>
  <pageSetup horizontalDpi="90" verticalDpi="90" orientation="portrait" paperSize="9" r:id="rId2"/>
  <cellWatches>
    <cellWatch r="Y13"/>
  </cellWatches>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A259"/>
  <sheetViews>
    <sheetView zoomScale="80" zoomScaleNormal="80" workbookViewId="0" topLeftCell="A1">
      <pane ySplit="9" topLeftCell="A10" activePane="bottomLeft" state="frozen"/>
      <selection pane="topLeft" activeCell="A1" sqref="A1"/>
      <selection pane="bottomLeft" activeCell="A1" sqref="A1"/>
    </sheetView>
  </sheetViews>
  <sheetFormatPr defaultColWidth="35.4542857142857" defaultRowHeight="32.15" customHeight="1" zeroHeight="1"/>
  <cols>
    <col min="1" max="1" width="3" style="30" customWidth="1"/>
    <col min="2" max="2" width="4.57142857142857" style="89" customWidth="1"/>
    <col min="3" max="3" width="10" style="89" customWidth="1"/>
    <col min="4" max="4" width="55" style="30" customWidth="1"/>
    <col min="5" max="5" width="13.4285714285714" style="30" customWidth="1"/>
    <col min="6" max="6" width="18.5714285714286" style="30" customWidth="1"/>
    <col min="7" max="7" width="8.57142857142857" style="30" customWidth="1"/>
    <col min="8" max="8" width="14.4285714285714" style="30" bestFit="1" customWidth="1"/>
    <col min="9" max="9" width="12.5714285714286" style="30" customWidth="1"/>
    <col min="10" max="10" width="33.5714285714286" style="30" customWidth="1"/>
    <col min="11" max="11" width="15.4285714285714" style="30" customWidth="1"/>
    <col min="12" max="12" width="13.5714285714286" style="30" customWidth="1"/>
    <col min="13" max="13" width="18.4285714285714" style="30" customWidth="1"/>
    <col min="14" max="14" width="12.5714285714286" style="30" customWidth="1"/>
    <col min="15" max="15" width="21" style="30" customWidth="1"/>
    <col min="16" max="16" width="12.5714285714286" style="30" customWidth="1"/>
    <col min="17" max="17" width="14.4285714285714" style="30" customWidth="1"/>
    <col min="18" max="18" width="15.5714285714286" style="30" hidden="1" customWidth="1"/>
    <col min="19" max="19" width="77.5714285714286" style="30" customWidth="1"/>
    <col min="20" max="20" width="14.4285714285714" style="30" hidden="1" customWidth="1"/>
    <col min="21" max="21" width="15.4285714285714" style="30" customWidth="1"/>
    <col min="22" max="22" width="17.4285714285714" style="30" hidden="1" customWidth="1"/>
    <col min="23" max="23" width="3.57142857142857" style="30" customWidth="1"/>
    <col min="24" max="24" width="12.4285714285714" style="30" customWidth="1"/>
    <col min="25" max="25" width="12.5714285714286" style="30" customWidth="1"/>
    <col min="26" max="26" width="13.5714285714286" style="30" customWidth="1"/>
    <col min="27" max="27" width="11.5714285714286" style="30" customWidth="1"/>
    <col min="28" max="28" width="15.4285714285714" style="30" customWidth="1"/>
    <col min="29" max="29" width="13.5714285714286" style="30" customWidth="1"/>
    <col min="30" max="30" width="22.4285714285714" style="30" customWidth="1"/>
    <col min="31" max="32" width="50.4285714285714" style="30" customWidth="1"/>
    <col min="33" max="33" width="12.5714285714286" style="30" customWidth="1"/>
    <col min="34" max="34" width="28.4285714285714" style="30" customWidth="1"/>
    <col min="35" max="16382" width="0" style="30" hidden="1" customWidth="1"/>
    <col min="16383" max="16384" width="35.4285714285714" style="30"/>
  </cols>
  <sheetData>
    <row r="1" spans="2:3" ht="12.75" customHeight="1" thickBot="1">
      <c r="B1" s="30"/>
      <c r="C1" s="30"/>
    </row>
    <row r="2" spans="2:23" ht="19.5" customHeight="1" thickBot="1">
      <c r="B2" s="1784" t="str">
        <f>CONCATENATE("Project Name:"," ",Start!F12,"     ","Map Reference:"," ",Start!F66)</f>
        <v xml:space="preserve">Project Name: Land east of Calne Road, Lyneham     Map Reference: </v>
      </c>
      <c r="C2" s="1786"/>
      <c r="D2" s="1786"/>
      <c r="E2" s="1785"/>
      <c r="H2" s="1597" t="s">
        <v>475</v>
      </c>
      <c r="I2" s="1598"/>
      <c r="J2" s="1598"/>
      <c r="K2" s="1598"/>
      <c r="L2" s="1598"/>
      <c r="M2" s="1599"/>
      <c r="O2" s="1794" t="str" cm="1">
        <f t="array" ref="O2">IF(OR(AW10:AW257="Yes"),"A 'Fairly' Category has been used for ditches - check evidence to ensure this is appropriate ⚠","")</f>
        <v/>
      </c>
      <c r="P2" s="1794"/>
      <c r="Q2" s="1794"/>
      <c r="R2" s="1794"/>
      <c r="S2" s="1794"/>
      <c r="T2" s="1794"/>
      <c r="U2" s="1794"/>
      <c r="V2" s="1794"/>
      <c r="W2" s="1794"/>
    </row>
    <row r="3" spans="2:23" ht="15" customHeight="1" thickBot="1">
      <c r="B3" s="1449" t="str">
        <f ca="1">MID(CELL("filename",A1),FIND("]",CELL("filename",A1))+1,256)</f>
        <v>F-1 Off-Site WaterC' Baseline</v>
      </c>
      <c r="C3" s="1450"/>
      <c r="D3" s="1450"/>
      <c r="E3" s="1451"/>
      <c r="H3" s="1663" t="s">
        <v>306</v>
      </c>
      <c r="I3" s="1664"/>
      <c r="J3" s="1664"/>
      <c r="K3" s="1658">
        <f>'Headline Results'!H49</f>
        <v>0</v>
      </c>
      <c r="L3" s="1658"/>
      <c r="M3" s="1659"/>
      <c r="O3" s="1794"/>
      <c r="P3" s="1794"/>
      <c r="Q3" s="1794"/>
      <c r="R3" s="1794"/>
      <c r="S3" s="1794"/>
      <c r="T3" s="1794"/>
      <c r="U3" s="1794"/>
      <c r="V3" s="1794"/>
      <c r="W3" s="1794"/>
    </row>
    <row r="4" spans="2:30" ht="15" customHeight="1" thickBot="1">
      <c r="B4" s="1449"/>
      <c r="C4" s="1450"/>
      <c r="D4" s="1450"/>
      <c r="E4" s="1451"/>
      <c r="H4" s="1772" t="s">
        <v>308</v>
      </c>
      <c r="I4" s="1773"/>
      <c r="J4" s="1773"/>
      <c r="K4" s="1660">
        <f>'Headline Results'!H53</f>
        <v>0</v>
      </c>
      <c r="L4" s="1660"/>
      <c r="M4" s="1661"/>
      <c r="O4" s="1794"/>
      <c r="P4" s="1794"/>
      <c r="Q4" s="1794"/>
      <c r="R4" s="1794"/>
      <c r="S4" s="1794"/>
      <c r="T4" s="1794"/>
      <c r="U4" s="1794"/>
      <c r="V4" s="1794"/>
      <c r="W4" s="1794"/>
      <c r="X4" s="1791" t="str">
        <f>IF(SUM(AL10:AL257)&gt;0,"Check Lengths ⚠","")</f>
        <v/>
      </c>
      <c r="Y4" s="1791"/>
      <c r="Z4" s="1791"/>
      <c r="AA4" s="1791"/>
      <c r="AB4" s="1791"/>
      <c r="AC4" s="1791"/>
      <c r="AD4" s="490"/>
    </row>
    <row r="5" spans="2:30" ht="27" customHeight="1" thickBot="1">
      <c r="B5" s="30"/>
      <c r="C5" s="30"/>
      <c r="H5" s="1774" t="s">
        <v>310</v>
      </c>
      <c r="I5" s="1750"/>
      <c r="J5" s="1750"/>
      <c r="K5" s="1750" t="str" cm="1">
        <f t="array" ref="K5">IF(OR('Trading Summary WaterC''s'!G5:H8="No ▲"),"No - check trading summary ▲","Yes ✓")</f>
        <v>Yes ✓</v>
      </c>
      <c r="L5" s="1750"/>
      <c r="M5" s="1751"/>
      <c r="W5" s="252"/>
      <c r="X5" s="1791"/>
      <c r="Y5" s="1791"/>
      <c r="Z5" s="1791"/>
      <c r="AA5" s="1791"/>
      <c r="AB5" s="1791"/>
      <c r="AC5" s="1791"/>
      <c r="AD5" s="490"/>
    </row>
    <row r="6" spans="2:4" ht="40.4" customHeight="1">
      <c r="B6" s="30"/>
      <c r="C6" s="30"/>
      <c r="D6" s="88"/>
    </row>
    <row r="7" ht="14.5" thickBot="1"/>
    <row r="8" spans="3:36" ht="30.75" customHeight="1" thickBot="1">
      <c r="C8" s="1699" t="s">
        <v>476</v>
      </c>
      <c r="D8" s="1699"/>
      <c r="E8" s="1699"/>
      <c r="F8" s="1692" t="s">
        <v>312</v>
      </c>
      <c r="G8" s="1692"/>
      <c r="H8" s="1692" t="s">
        <v>407</v>
      </c>
      <c r="I8" s="1692"/>
      <c r="J8" s="1699" t="s">
        <v>314</v>
      </c>
      <c r="K8" s="1699"/>
      <c r="L8" s="1699"/>
      <c r="M8" s="1692" t="s">
        <v>477</v>
      </c>
      <c r="N8" s="1692"/>
      <c r="O8" s="1692" t="s">
        <v>478</v>
      </c>
      <c r="P8" s="1692"/>
      <c r="Q8" s="1698" t="s">
        <v>315</v>
      </c>
      <c r="R8" s="114" t="s">
        <v>316</v>
      </c>
      <c r="S8" s="1699" t="s">
        <v>408</v>
      </c>
      <c r="T8" s="1700"/>
      <c r="U8" s="114" t="s">
        <v>316</v>
      </c>
      <c r="V8" s="1692" t="s">
        <v>326</v>
      </c>
      <c r="W8" s="90"/>
      <c r="X8" s="1719"/>
      <c r="Y8" s="1719"/>
      <c r="Z8" s="1719"/>
      <c r="AA8" s="1719"/>
      <c r="AB8" s="1719"/>
      <c r="AC8" s="1719"/>
      <c r="AD8" s="1692" t="s">
        <v>479</v>
      </c>
      <c r="AE8" s="1709" t="s">
        <v>318</v>
      </c>
      <c r="AF8" s="1710"/>
      <c r="AG8" s="1710"/>
      <c r="AH8" s="1711"/>
      <c r="AI8" s="37" t="s">
        <v>309</v>
      </c>
      <c r="AJ8" s="37" t="s">
        <v>309</v>
      </c>
    </row>
    <row r="9" spans="3:53" ht="62.15" customHeight="1" thickBot="1">
      <c r="C9" s="506" t="s">
        <v>323</v>
      </c>
      <c r="D9" s="949" t="s">
        <v>175</v>
      </c>
      <c r="E9" s="120" t="s">
        <v>451</v>
      </c>
      <c r="F9" s="116" t="s">
        <v>312</v>
      </c>
      <c r="G9" s="120" t="s">
        <v>328</v>
      </c>
      <c r="H9" s="116" t="s">
        <v>313</v>
      </c>
      <c r="I9" s="120" t="s">
        <v>328</v>
      </c>
      <c r="J9" s="116" t="s">
        <v>314</v>
      </c>
      <c r="K9" s="121" t="s">
        <v>314</v>
      </c>
      <c r="L9" s="120" t="s">
        <v>329</v>
      </c>
      <c r="M9" s="116" t="s">
        <v>480</v>
      </c>
      <c r="N9" s="120" t="s">
        <v>481</v>
      </c>
      <c r="O9" s="116" t="s">
        <v>482</v>
      </c>
      <c r="P9" s="120" t="s">
        <v>481</v>
      </c>
      <c r="Q9" s="1698"/>
      <c r="R9" s="528" t="s">
        <v>506</v>
      </c>
      <c r="S9" s="589" t="s">
        <v>411</v>
      </c>
      <c r="T9" s="613" t="s">
        <v>408</v>
      </c>
      <c r="U9" s="528" t="s">
        <v>483</v>
      </c>
      <c r="V9" s="1748"/>
      <c r="W9" s="94"/>
      <c r="X9" s="112" t="s">
        <v>453</v>
      </c>
      <c r="Y9" s="564" t="s">
        <v>454</v>
      </c>
      <c r="Z9" s="564" t="s">
        <v>455</v>
      </c>
      <c r="AA9" s="564" t="s">
        <v>456</v>
      </c>
      <c r="AB9" s="564" t="s">
        <v>457</v>
      </c>
      <c r="AC9" s="530" t="s">
        <v>334</v>
      </c>
      <c r="AD9" s="1742"/>
      <c r="AE9" s="112" t="s">
        <v>302</v>
      </c>
      <c r="AF9" s="530" t="s">
        <v>279</v>
      </c>
      <c r="AG9" s="617" t="s">
        <v>270</v>
      </c>
      <c r="AH9" s="617" t="s">
        <v>413</v>
      </c>
      <c r="AI9" s="49" t="s">
        <v>335</v>
      </c>
      <c r="AJ9" s="49" t="s">
        <v>336</v>
      </c>
      <c r="AK9" s="88" t="s">
        <v>322</v>
      </c>
      <c r="AL9" s="33" t="s">
        <v>507</v>
      </c>
      <c r="AM9" s="95" t="s">
        <v>337</v>
      </c>
      <c r="AN9" s="95" t="s">
        <v>338</v>
      </c>
      <c r="AO9" s="96"/>
      <c r="AP9" s="95" t="s">
        <v>340</v>
      </c>
      <c r="AQ9" s="96"/>
      <c r="AR9" s="95" t="s">
        <v>337</v>
      </c>
      <c r="AS9" s="95" t="s">
        <v>338</v>
      </c>
      <c r="AT9" s="886" t="s">
        <v>341</v>
      </c>
      <c r="AW9" s="33" t="s">
        <v>505</v>
      </c>
      <c r="BA9" s="564" t="s">
        <v>455</v>
      </c>
    </row>
    <row r="10" spans="3:53" ht="14.5" thickBot="1">
      <c r="C10" s="91">
        <v>1</v>
      </c>
      <c r="D10" s="575"/>
      <c r="E10" s="543"/>
      <c r="F10" s="346" t="str">
        <f>IF(D10="","",VLOOKUP(D10,'G-7 WaterC'' Data'!$B$2:$G$8,2,FALSE))</f>
        <v/>
      </c>
      <c r="G10" s="596" t="str">
        <f>IFERROR(VLOOKUP(F10,'G-7 WaterC'' Data'!$C$4:$D$8,2,FALSE),"")</f>
        <v/>
      </c>
      <c r="H10" s="591"/>
      <c r="I10" s="544" t="str">
        <f>IFERROR(INDEX('G-7 WaterC'' Data'!$H$4:$L$8,MATCH(D10,'G-7 WaterC'' Data'!$B$4:$B$8,0),MATCH(H10,'G-7 WaterC'' Data'!$H$3:$L$3,0)),"")</f>
        <v/>
      </c>
      <c r="J10" s="554"/>
      <c r="K10" s="280" t="str">
        <f>IF(J10="","",IF(VLOOKUP(J10,'G-7 WaterC'' Data'!$AK$4:$AM$9,2,FALSE)=0,"Spatial Data Missing ⚠",VLOOKUP(J10,'G-7 WaterC'' Data'!$AK$4:$AM$6,2,FALSE)))</f>
        <v/>
      </c>
      <c r="L10" s="544" t="str">
        <f>IF(J10="","",IF(VLOOKUP(J10,'G-7 WaterC'' Data'!$AK$4:$AM$9,3,FALSE)=0,"Spatial Data Missing ⚠",VLOOKUP(J10,'G-7 WaterC'' Data'!$AK$4:$AM$6,3,FALSE)))</f>
        <v/>
      </c>
      <c r="M10" s="545"/>
      <c r="N10" s="544" t="str">
        <f>IF(M10="","",IF(AND(M10="N/A - Culvert",D10&lt;&gt;"Culvert"),"Not possible ▲",IF(AND(D10="Culvert",M10&lt;&gt;"N/A - Culvert"),"Not possible ▲",IF(VLOOKUP(M10,'G-7 WaterC'' Data'!$AA$4:$AB$7,2,FALSE)=0,"Spatial Data Missing ⚠",VLOOKUP(M10,'G-7 WaterC'' Data'!$AA$4:$AB$7,2,FALSE)))))</f>
        <v/>
      </c>
      <c r="O10" s="626"/>
      <c r="P10" s="544" t="str">
        <f>IF(O10="","",IF(AND(O10="N/A - Culvert",D10&lt;&gt;"Culvert"),"Not possible ▲",IF(AND(D10="Culvert",O10&lt;&gt;"N/A - Culvert"),"Not possible ▲",IF(VLOOKUP(O10,'G-7 WaterC'' Data'!$AD$4:$AE$14,2,FALSE)=0,"Spatial Data Missing ⚠",VLOOKUP(O10,'G-7 WaterC'' Data'!$AD$4:$AE$14,2,FALSE)))))</f>
        <v/>
      </c>
      <c r="Q10" s="547" t="str">
        <f>IF(D10="","",VLOOKUP(D10,'G-7 WaterC'' Data'!$B$4:$G$8,6,FALSE))</f>
        <v/>
      </c>
      <c r="R10" s="548" t="str">
        <f>IFERROR(IF(AND(X10&gt;0,Y10&gt;0,X10+Y10&gt;E10),"Split retained and enhanced into separate entries ▲",IF(OR(K10="Check data ⚠",I10="Check data ⚠"),"Check data ▲",E10*G10*I10*L10*N10*P10*T10))," ")</f>
        <v xml:space="preserve"> </v>
      </c>
      <c r="S10" s="428"/>
      <c r="T10" s="546" t="str">
        <f>IF(S10="","",IF(VLOOKUP(S10,'G-7 WaterC'' Data'!$AO$4:$BO$7,2,FALSE)=0,"Spatial Data Missing ⚠",VLOOKUP(S10,'G-7 WaterC'' Data'!$AO$4:$BO$7,2,FALSE)))</f>
        <v/>
      </c>
      <c r="U10" s="548" t="str">
        <f>IFERROR(IF(AND(X10&gt;0,Y10&gt;0,X10+Y10&gt;E10),"Split retained and enhanced into separate entries ▲",IF(AND(S10&lt;&gt;"",AH10=""),"Off-site reference required ▲",IF(OR(K10="Check data ⚠",I10="Check data ⚠"),"Check data ▲",E10*G10*I10*L10*N10*P10)))," ")</f>
        <v xml:space="preserve"> </v>
      </c>
      <c r="V10" s="693" t="str">
        <f>AU10</f>
        <v/>
      </c>
      <c r="W10" s="32"/>
      <c r="X10" s="545"/>
      <c r="Y10" s="554"/>
      <c r="Z10" s="555" t="str">
        <f>IFERROR(IF(X10&gt;E10,"Error in Lengths ▲",X10*G10*I10*L10*N10*P10),"")</f>
        <v/>
      </c>
      <c r="AA10" s="555" t="str">
        <f>IFERROR(IF(D10="","",Y10*G10*I10*L10*N10*P10),"")</f>
        <v/>
      </c>
      <c r="AB10" s="555" t="str">
        <f>IFERROR(IF(D10="","",IF(E10&gt;(X10+Y10),E10-X10-Y10,0)),"")</f>
        <v/>
      </c>
      <c r="AC10" s="491" t="str">
        <f>IFERROR(IF(OR(E10="",R10=""),"",IF(AND(AB10&lt;&gt;"",S10=""),"Spatial risk category missing ▲",IF(AND(Q10='G-7 WaterC'' Data'!$G$4,AD10="Yes"),"Alternative Compensation ✓",IF(AND(AD10="Pending",Q10='G-7 WaterC'' Data'!$G$4),"Bespoke compensation must be agreed ▲",IF((Z10+AA10)&gt;=U10,0,U10-Z10-AA10))))),"Check Data ⚠")</f>
        <v/>
      </c>
      <c r="AD10" s="428"/>
      <c r="AE10" s="591"/>
      <c r="AF10" s="607"/>
      <c r="AG10" s="607"/>
      <c r="AH10" s="607"/>
      <c r="AI10" s="54" t="str">
        <f>IF(OR(Q10="",AD10="Yes"),"",IF(Q10='G-1 All Habitats'!$X$9,E10-Y10-X10,"None"))</f>
        <v/>
      </c>
      <c r="AJ10" s="55" t="str">
        <f>IF(Q10="","",IF(Q10='G-1 All Habitats'!$X$9,AI10*G10*I10*L10*N10*P10,"None"))</f>
        <v/>
      </c>
      <c r="AK10" s="30" t="str">
        <f>IFERROR(INDEX('G-7 WaterC'' Data'!$AZ$3:$AZ$7,MATCH(D10,'G-7 WaterC'' Data'!$AY$3:$AY$7,0)),"")</f>
        <v/>
      </c>
      <c r="AL10" s="30">
        <f>IFERROR(IF(X10+Y10&gt;E10,1,0),"")</f>
        <v>0</v>
      </c>
      <c r="AM10" s="95" t="str">
        <f>IF(D10="","",IF(X10&gt;0,TRUE,FALSE))</f>
        <v/>
      </c>
      <c r="AN10" s="95" t="str">
        <f>IF(D10="","",IF(Y10&gt;0,TRUE,FALSE))</f>
        <v/>
      </c>
      <c r="AO10" s="96"/>
      <c r="AP10" s="95">
        <v>1</v>
      </c>
      <c r="AQ10" s="96"/>
      <c r="AR10" s="95" t="str">
        <f t="array" ref="AR10">IFERROR(INDEX($AP$10:$AP$258,MATCH(0,IF(TRUE=$AM$10:$AM$258,COUNTIF($AR9:$AR$9,$AP$10:$AP$258),""),0)),"")</f>
        <v/>
      </c>
      <c r="AS10" s="95" t="str">
        <f t="array" ref="AS10">IFERROR(INDEX($AP$10:$AP$258,MATCH(0,IF(TRUE=$AN$10:$AN$258,COUNTIF($AS9:$AS$9,$AP$10:$AP$258),""),0)),"")</f>
        <v/>
      </c>
      <c r="AT10" s="885" t="str">
        <f>IF(AND(OR(AD10="Yes",AD10="Pending"),Q10='G-7 WaterC'' Data'!$G$4),U10-AA10-Z10,"0")</f>
        <v>0</v>
      </c>
      <c r="AU10" s="30" t="str">
        <f>IF(D10="","",VLOOKUP(D10,'G-7 WaterC'' Data'!B$4:M$8,12,FALSE))</f>
        <v/>
      </c>
      <c r="AV10" s="30" t="str">
        <f t="shared" si="0" ref="AV10:AV73">IF(AD10="","",IF(AD10="Yes","Yes ✓","No ▲"))</f>
        <v/>
      </c>
      <c r="AW10" s="30" t="str">
        <f>IF(AND(D10="Ditches",(OR(H10="Fairly Poor",H10="Fairly Good"))),"Yes","No")</f>
        <v>No</v>
      </c>
      <c r="BA10" s="555" t="str">
        <f>IFERROR(IF(X10&gt;E10,"Error in Lengths ▲",IF(Z10="Irreplaceable habitat - no units generated ⚠","0",X10*G10*I10*L10*N10*P10*T10)+(AT10*T10)),"")</f>
        <v/>
      </c>
    </row>
    <row r="11" spans="3:53" ht="14.5" thickBot="1">
      <c r="C11" s="97">
        <v>2</v>
      </c>
      <c r="D11" s="262"/>
      <c r="E11" s="98"/>
      <c r="F11" s="275" t="str">
        <f>IF(D11="","",VLOOKUP(D11,'G-7 WaterC'' Data'!$B$2:$G$8,2,FALSE))</f>
        <v/>
      </c>
      <c r="G11" s="314" t="str">
        <f>IFERROR(VLOOKUP(F11,'G-7 WaterC'' Data'!$C$4:$D$8,2,FALSE),"")</f>
        <v/>
      </c>
      <c r="H11" s="105"/>
      <c r="I11" s="299" t="str">
        <f>IFERROR(INDEX('G-7 WaterC'' Data'!$H$4:$L$8,MATCH(D11,'G-7 WaterC'' Data'!$B$4:$B$8,0),MATCH(H11,'G-7 WaterC'' Data'!$H$3:$L$3,0)),"")</f>
        <v/>
      </c>
      <c r="J11" s="702"/>
      <c r="K11" s="295" t="str">
        <f>IF(J11="","",IF(VLOOKUP(J11,'G-7 WaterC'' Data'!$AK$4:$AM$9,2,FALSE)=0,"Spatial Data Missing ⚠",VLOOKUP(J11,'G-7 WaterC'' Data'!$AK$4:$AM$6,2,FALSE)))</f>
        <v/>
      </c>
      <c r="L11" s="299" t="str">
        <f>IF(J11="","",IF(VLOOKUP(J11,'G-7 WaterC'' Data'!$AK$4:$AM$9,3,FALSE)=0,"Spatial Data Missing ⚠",VLOOKUP(J11,'G-7 WaterC'' Data'!$AK$4:$AM$6,3,FALSE)))</f>
        <v/>
      </c>
      <c r="M11" s="102"/>
      <c r="N11" s="276" t="str">
        <f>IF(M11="","",IF(AND(M11="N/A - Culvert",D11&lt;&gt;"Culvert"),"Not possible ▲",IF(AND(D11="Culvert",M11&lt;&gt;"N/A - Culvert"),"Not possible ▲",IF(VLOOKUP(M11,'G-7 WaterC'' Data'!$AA$4:$AB$7,2,FALSE)=0,"Spatial Data Missing ⚠",VLOOKUP(M11,'G-7 WaterC'' Data'!$AA$4:$AB$7,2,FALSE)))))</f>
        <v/>
      </c>
      <c r="O11" s="56"/>
      <c r="P11" s="276" t="str">
        <f>IF(O11="","",IF(AND(O11="N/A - Culvert",D11&lt;&gt;"Culvert"),"Not possible ▲",IF(AND(D11="Culvert",O11&lt;&gt;"N/A - Culvert"),"Not possible ▲",IF(VLOOKUP(O11,'G-7 WaterC'' Data'!$AD$4:$AE$14,2,FALSE)=0,"Spatial Data Missing ⚠",VLOOKUP(O11,'G-7 WaterC'' Data'!$AD$4:$AE$14,2,FALSE)))))</f>
        <v/>
      </c>
      <c r="Q11" s="282" t="str">
        <f>IF(D11="","",VLOOKUP(D11,'G-7 WaterC'' Data'!$B$4:$G$8,6,FALSE))</f>
        <v/>
      </c>
      <c r="R11" s="289" t="str">
        <f t="shared" si="1" ref="R11:R74">IFERROR(IF(AND(X11&gt;0,Y11&gt;0,X11+Y11&gt;E11),"Split retained and enhanced into separate entries ▲",IF(OR(K11="Check data ⚠",I11="Check data ⚠"),"Check data ▲",E11*G11*I11*L11*N11*P11*T11))," ")</f>
        <v xml:space="preserve"> </v>
      </c>
      <c r="S11" s="393"/>
      <c r="T11" s="281" t="str">
        <f>IF(S11="","",IF(VLOOKUP(S11,'G-7 WaterC'' Data'!$AO$4:$BO$7,2,FALSE)=0,"Spatial Data Missing ⚠",VLOOKUP(S11,'G-7 WaterC'' Data'!$AO$4:$BO$7,2,FALSE)))</f>
        <v/>
      </c>
      <c r="U11" s="289" t="str">
        <f t="shared" si="2" ref="U11:U74">IFERROR(IF(AND(X11&gt;0,Y11&gt;0,X11+Y11&gt;E11),"Split retained and enhanced into separate entries ▲",IF(AND(S11&lt;&gt;"",AH11=""),"Off-site reference required ▲",IF(OR(K11="Check data ⚠",I11="Check data ⚠"),"Check data ▲",E11*G11*I11*L11*N11*P11)))," ")</f>
        <v xml:space="preserve"> </v>
      </c>
      <c r="V11" s="694" t="str">
        <f t="shared" si="3" ref="V11:V74">AU11</f>
        <v/>
      </c>
      <c r="W11" s="32"/>
      <c r="X11" s="52"/>
      <c r="Y11" s="53"/>
      <c r="Z11" s="287" t="str">
        <f t="shared" si="4" ref="Z11:Z74">IFERROR(IF(X11&gt;E11,"Error in Lengths ▲",X11*G11*I11*L11*N11*P11),"")</f>
        <v/>
      </c>
      <c r="AA11" s="287" t="str">
        <f t="shared" si="5" ref="AA11:AA74">IFERROR(IF(D11="","",Y11*G11*I11*L11*N11*P11),"")</f>
        <v/>
      </c>
      <c r="AB11" s="287" t="str">
        <f t="shared" si="6" ref="AB11:AB74">IFERROR(IF(D11="","",IF(E11&gt;(X11+Y11),E11-X11-Y11,0)),"")</f>
        <v/>
      </c>
      <c r="AC11" s="491" t="str">
        <f>IFERROR(IF(OR(E11="",R11=""),"",IF(AND(AB11&lt;&gt;"",S11=""),"Spatial risk category missing ▲",IF(AND(Q11='G-7 WaterC'' Data'!$G$4,AD11="Yes"),"Alternative Compensation ✓",IF(AND(AD11="Pending",Q11='G-7 WaterC'' Data'!$G$4),"Bespoke compensation must be agreed ▲",IF((Z11+AA11)&gt;=U11,0,U11-Z11-AA11))))),"Check Data ⚠")</f>
        <v/>
      </c>
      <c r="AD11" s="393"/>
      <c r="AE11" s="105"/>
      <c r="AF11" s="104"/>
      <c r="AG11" s="104"/>
      <c r="AH11" s="104"/>
      <c r="AI11" s="54" t="str">
        <f>IF(OR(Q11="",AD11="Yes"),"",IF(Q11='G-1 All Habitats'!$X$9,E11-Y11-X11,"None"))</f>
        <v/>
      </c>
      <c r="AJ11" s="55" t="str">
        <f>IF(Q11="","",IF(Q11='G-1 All Habitats'!$X$9,AI11*G11*I11*L11*N11*P11,"None"))</f>
        <v/>
      </c>
      <c r="AK11" s="30" t="str">
        <f>IFERROR(INDEX('G-7 WaterC'' Data'!$AZ$3:$AZ$7,MATCH(D11,'G-7 WaterC'' Data'!$AY$3:$AY$7,0)),"")</f>
        <v/>
      </c>
      <c r="AL11" s="30">
        <f t="shared" si="7" ref="AL11:AL74">IFERROR(IF(X11+Y11&gt;E11,1,0),"")</f>
        <v>0</v>
      </c>
      <c r="AM11" s="95" t="str">
        <f t="shared" si="8" ref="AM11:AM74">IF(D11="","",IF(X11&gt;0,TRUE,FALSE))</f>
        <v/>
      </c>
      <c r="AN11" s="95" t="str">
        <f t="shared" si="9" ref="AN11:AN74">IF(D11="","",IF(Y11&gt;0,TRUE,FALSE))</f>
        <v/>
      </c>
      <c r="AO11" s="96"/>
      <c r="AP11" s="95">
        <v>2</v>
      </c>
      <c r="AQ11" s="96"/>
      <c r="AR11" s="95" t="str">
        <f t="array" ref="AR11">IFERROR(INDEX($AP$10:$AP$258,MATCH(0,IF(TRUE=$AM$10:$AM$258,COUNTIF($AR$9:$AR10,$AP$10:$AP$258),""),0)),"")</f>
        <v/>
      </c>
      <c r="AS11" s="95" t="str">
        <f t="array" ref="AS11">IFERROR(INDEX($AP$10:$AP$258,MATCH(0,IF(TRUE=$AN$10:$AN$258,COUNTIF($AS$9:$AS10,$AP$10:$AP$258),""),0)),"")</f>
        <v/>
      </c>
      <c r="AT11" s="885" t="str">
        <f>IF(AND(OR(AD11="Yes",AD11="Pending"),Q11='G-7 WaterC'' Data'!$G$4),U11-AA11-Z11,"0")</f>
        <v>0</v>
      </c>
      <c r="AU11" s="30" t="str">
        <f>IF(D11="","",VLOOKUP(D11,'G-7 WaterC'' Data'!B$4:M$8,12,FALSE))</f>
        <v/>
      </c>
      <c r="AV11" s="30" t="str">
        <f t="shared" si="0"/>
        <v/>
      </c>
      <c r="AW11" s="30" t="str">
        <f t="shared" si="10" ref="AW11:AW74">IF(AND(D11="Ditches",(OR(H11="Fairly Poor",H11="Fairly Good"))),"Yes","No")</f>
        <v>No</v>
      </c>
      <c r="BA11" s="555" t="str">
        <f t="shared" si="11" ref="BA11:BA74">IFERROR(IF(X11&gt;E11,"Error in Lengths ▲",IF(Z11="Irreplaceable habitat - no units generated ⚠","0",X11*G11*I11*L11*N11*P11*T11)+(AT11*T11)),"")</f>
        <v/>
      </c>
    </row>
    <row r="12" spans="3:53" ht="14.5" thickBot="1">
      <c r="C12" s="97">
        <v>3</v>
      </c>
      <c r="D12" s="262"/>
      <c r="E12" s="98"/>
      <c r="F12" s="275" t="str">
        <f>IF(D12="","",VLOOKUP(D12,'G-7 WaterC'' Data'!$B$2:$G$8,2,FALSE))</f>
        <v/>
      </c>
      <c r="G12" s="314" t="str">
        <f>IFERROR(VLOOKUP(F12,'G-7 WaterC'' Data'!$C$4:$D$8,2,FALSE),"")</f>
        <v/>
      </c>
      <c r="H12" s="105"/>
      <c r="I12" s="299" t="str">
        <f>IFERROR(INDEX('G-7 WaterC'' Data'!$H$4:$L$8,MATCH(D12,'G-7 WaterC'' Data'!$B$4:$B$8,0),MATCH(H12,'G-7 WaterC'' Data'!$H$3:$L$3,0)),"")</f>
        <v/>
      </c>
      <c r="J12" s="702"/>
      <c r="K12" s="295" t="str">
        <f>IF(J12="","",IF(VLOOKUP(J12,'G-7 WaterC'' Data'!$AK$4:$AM$9,2,FALSE)=0,"Spatial Data Missing ⚠",VLOOKUP(J12,'G-7 WaterC'' Data'!$AK$4:$AM$6,2,FALSE)))</f>
        <v/>
      </c>
      <c r="L12" s="299" t="str">
        <f>IF(J12="","",IF(VLOOKUP(J12,'G-7 WaterC'' Data'!$AK$4:$AM$9,3,FALSE)=0,"Spatial Data Missing ⚠",VLOOKUP(J12,'G-7 WaterC'' Data'!$AK$4:$AM$6,3,FALSE)))</f>
        <v/>
      </c>
      <c r="M12" s="102"/>
      <c r="N12" s="276" t="str">
        <f>IF(M12="","",IF(AND(M12="N/A - Culvert",D12&lt;&gt;"Culvert"),"Not possible ▲",IF(AND(D12="Culvert",M12&lt;&gt;"N/A - Culvert"),"Not possible ▲",IF(VLOOKUP(M12,'G-7 WaterC'' Data'!$AA$4:$AB$7,2,FALSE)=0,"Spatial Data Missing ⚠",VLOOKUP(M12,'G-7 WaterC'' Data'!$AA$4:$AB$7,2,FALSE)))))</f>
        <v/>
      </c>
      <c r="O12" s="56"/>
      <c r="P12" s="276" t="str">
        <f>IF(O12="","",IF(AND(O12="N/A - Culvert",D12&lt;&gt;"Culvert"),"Not possible ▲",IF(AND(D12="Culvert",O12&lt;&gt;"N/A - Culvert"),"Not possible ▲",IF(VLOOKUP(O12,'G-7 WaterC'' Data'!$AD$4:$AE$14,2,FALSE)=0,"Spatial Data Missing ⚠",VLOOKUP(O12,'G-7 WaterC'' Data'!$AD$4:$AE$14,2,FALSE)))))</f>
        <v/>
      </c>
      <c r="Q12" s="282" t="str">
        <f>IF(D12="","",VLOOKUP(D12,'G-7 WaterC'' Data'!$B$4:$G$8,6,FALSE))</f>
        <v/>
      </c>
      <c r="R12" s="289" t="str">
        <f t="shared" si="1"/>
        <v xml:space="preserve"> </v>
      </c>
      <c r="S12" s="393"/>
      <c r="T12" s="281" t="str">
        <f>IF(S12="","",IF(VLOOKUP(S12,'G-7 WaterC'' Data'!$AO$4:$BO$7,2,FALSE)=0,"Spatial Data Missing ⚠",VLOOKUP(S12,'G-7 WaterC'' Data'!$AO$4:$BO$7,2,FALSE)))</f>
        <v/>
      </c>
      <c r="U12" s="289" t="str">
        <f t="shared" si="2"/>
        <v xml:space="preserve"> </v>
      </c>
      <c r="V12" s="694" t="str">
        <f t="shared" si="3"/>
        <v/>
      </c>
      <c r="W12" s="32"/>
      <c r="X12" s="52"/>
      <c r="Y12" s="53"/>
      <c r="Z12" s="287" t="str">
        <f t="shared" si="4"/>
        <v/>
      </c>
      <c r="AA12" s="287" t="str">
        <f t="shared" si="5"/>
        <v/>
      </c>
      <c r="AB12" s="287" t="str">
        <f t="shared" si="6"/>
        <v/>
      </c>
      <c r="AC12" s="491" t="str">
        <f>IFERROR(IF(OR(E12="",R12=""),"",IF(AND(AB12&lt;&gt;"",S12=""),"Spatial risk category missing ▲",IF(AND(Q12='G-7 WaterC'' Data'!$G$4,AD12="Yes"),"Alternative Compensation ✓",IF(AND(AD12="Pending",Q12='G-7 WaterC'' Data'!$G$4),"Bespoke compensation must be agreed ▲",IF((Z12+AA12)&gt;=U12,0,U12-Z12-AA12))))),"Check Data ⚠")</f>
        <v/>
      </c>
      <c r="AD12" s="393"/>
      <c r="AE12" s="105"/>
      <c r="AF12" s="104"/>
      <c r="AG12" s="104"/>
      <c r="AH12" s="104"/>
      <c r="AI12" s="54" t="str">
        <f>IF(OR(Q12="",AD12="Yes"),"",IF(Q12='G-1 All Habitats'!$X$9,E12-Y12-X12,"None"))</f>
        <v/>
      </c>
      <c r="AJ12" s="55" t="str">
        <f>IF(Q12="","",IF(Q12='G-1 All Habitats'!$X$9,AI12*G12*I12*L12*N12*P12,"None"))</f>
        <v/>
      </c>
      <c r="AK12" s="30" t="str">
        <f>IFERROR(INDEX('G-7 WaterC'' Data'!$AZ$3:$AZ$7,MATCH(D12,'G-7 WaterC'' Data'!$AY$3:$AY$7,0)),"")</f>
        <v/>
      </c>
      <c r="AL12" s="30">
        <f t="shared" si="7"/>
        <v>0</v>
      </c>
      <c r="AM12" s="95" t="str">
        <f t="shared" si="8"/>
        <v/>
      </c>
      <c r="AN12" s="95" t="str">
        <f t="shared" si="9"/>
        <v/>
      </c>
      <c r="AO12" s="96"/>
      <c r="AP12" s="95">
        <v>3</v>
      </c>
      <c r="AQ12" s="96"/>
      <c r="AR12" s="95" t="str">
        <f t="array" ref="AR12">IFERROR(INDEX($AP$10:$AP$258,MATCH(0,IF(TRUE=$AM$10:$AM$258,COUNTIF($AR$9:$AR11,$AP$10:$AP$258),""),0)),"")</f>
        <v/>
      </c>
      <c r="AS12" s="95" t="str">
        <f t="array" ref="AS12">IFERROR(INDEX($AP$10:$AP$258,MATCH(0,IF(TRUE=$AN$10:$AN$258,COUNTIF($AS$9:$AS11,$AP$10:$AP$258),""),0)),"")</f>
        <v/>
      </c>
      <c r="AT12" s="885" t="str">
        <f>IF(AND(OR(AD12="Yes",AD12="Pending"),Q12='G-7 WaterC'' Data'!$G$4),U12-AA12-Z12,"0")</f>
        <v>0</v>
      </c>
      <c r="AU12" s="30" t="str">
        <f>IF(D12="","",VLOOKUP(D12,'G-7 WaterC'' Data'!B$4:M$8,12,FALSE))</f>
        <v/>
      </c>
      <c r="AV12" s="30" t="str">
        <f t="shared" si="0"/>
        <v/>
      </c>
      <c r="AW12" s="30" t="str">
        <f t="shared" si="10"/>
        <v>No</v>
      </c>
      <c r="BA12" s="555" t="str">
        <f t="shared" si="11"/>
        <v/>
      </c>
    </row>
    <row r="13" spans="3:53" ht="14.5" thickBot="1">
      <c r="C13" s="97">
        <v>4</v>
      </c>
      <c r="D13" s="262"/>
      <c r="E13" s="98"/>
      <c r="F13" s="275" t="str">
        <f>IF(D13="","",VLOOKUP(D13,'G-7 WaterC'' Data'!$B$2:$G$8,2,FALSE))</f>
        <v/>
      </c>
      <c r="G13" s="314" t="str">
        <f>IFERROR(VLOOKUP(F13,'G-7 WaterC'' Data'!$C$4:$D$8,2,FALSE),"")</f>
        <v/>
      </c>
      <c r="H13" s="105"/>
      <c r="I13" s="299" t="str">
        <f>IFERROR(INDEX('G-7 WaterC'' Data'!$H$4:$L$8,MATCH(D13,'G-7 WaterC'' Data'!$B$4:$B$8,0),MATCH(H13,'G-7 WaterC'' Data'!$H$3:$L$3,0)),"")</f>
        <v/>
      </c>
      <c r="J13" s="702"/>
      <c r="K13" s="295" t="str">
        <f>IF(J13="","",IF(VLOOKUP(J13,'G-7 WaterC'' Data'!$AK$4:$AM$9,2,FALSE)=0,"Spatial Data Missing ⚠",VLOOKUP(J13,'G-7 WaterC'' Data'!$AK$4:$AM$6,2,FALSE)))</f>
        <v/>
      </c>
      <c r="L13" s="299" t="str">
        <f>IF(J13="","",IF(VLOOKUP(J13,'G-7 WaterC'' Data'!$AK$4:$AM$9,3,FALSE)=0,"Spatial Data Missing ⚠",VLOOKUP(J13,'G-7 WaterC'' Data'!$AK$4:$AM$6,3,FALSE)))</f>
        <v/>
      </c>
      <c r="M13" s="102"/>
      <c r="N13" s="276" t="str">
        <f>IF(M13="","",IF(AND(M13="N/A - Culvert",D13&lt;&gt;"Culvert"),"Not possible ▲",IF(AND(D13="Culvert",M13&lt;&gt;"N/A - Culvert"),"Not possible ▲",IF(VLOOKUP(M13,'G-7 WaterC'' Data'!$AA$4:$AB$7,2,FALSE)=0,"Spatial Data Missing ⚠",VLOOKUP(M13,'G-7 WaterC'' Data'!$AA$4:$AB$7,2,FALSE)))))</f>
        <v/>
      </c>
      <c r="O13" s="56"/>
      <c r="P13" s="276" t="str">
        <f>IF(O13="","",IF(AND(O13="N/A - Culvert",D13&lt;&gt;"Culvert"),"Not possible ▲",IF(AND(D13="Culvert",O13&lt;&gt;"N/A - Culvert"),"Not possible ▲",IF(VLOOKUP(O13,'G-7 WaterC'' Data'!$AD$4:$AE$14,2,FALSE)=0,"Spatial Data Missing ⚠",VLOOKUP(O13,'G-7 WaterC'' Data'!$AD$4:$AE$14,2,FALSE)))))</f>
        <v/>
      </c>
      <c r="Q13" s="282" t="str">
        <f>IF(D13="","",VLOOKUP(D13,'G-7 WaterC'' Data'!$B$4:$G$8,6,FALSE))</f>
        <v/>
      </c>
      <c r="R13" s="289" t="str">
        <f t="shared" si="1"/>
        <v xml:space="preserve"> </v>
      </c>
      <c r="S13" s="393"/>
      <c r="T13" s="281" t="str">
        <f>IF(S13="","",IF(VLOOKUP(S13,'G-7 WaterC'' Data'!$AO$4:$BO$7,2,FALSE)=0,"Spatial Data Missing ⚠",VLOOKUP(S13,'G-7 WaterC'' Data'!$AO$4:$BO$7,2,FALSE)))</f>
        <v/>
      </c>
      <c r="U13" s="289" t="str">
        <f t="shared" si="2"/>
        <v xml:space="preserve"> </v>
      </c>
      <c r="V13" s="694" t="str">
        <f t="shared" si="3"/>
        <v/>
      </c>
      <c r="W13" s="32"/>
      <c r="X13" s="52"/>
      <c r="Y13" s="53"/>
      <c r="Z13" s="287" t="str">
        <f t="shared" si="4"/>
        <v/>
      </c>
      <c r="AA13" s="287" t="str">
        <f t="shared" si="5"/>
        <v/>
      </c>
      <c r="AB13" s="287" t="str">
        <f t="shared" si="6"/>
        <v/>
      </c>
      <c r="AC13" s="491" t="str">
        <f>IFERROR(IF(OR(E13="",R13=""),"",IF(AND(AB13&lt;&gt;"",S13=""),"Spatial risk category missing ▲",IF(AND(Q13='G-7 WaterC'' Data'!$G$4,AD13="Yes"),"Alternative Compensation ✓",IF(AND(AD13="Pending",Q13='G-7 WaterC'' Data'!$G$4),"Bespoke compensation must be agreed ▲",IF((Z13+AA13)&gt;=U13,0,U13-Z13-AA13))))),"Check Data ⚠")</f>
        <v/>
      </c>
      <c r="AD13" s="393"/>
      <c r="AE13" s="105"/>
      <c r="AF13" s="104"/>
      <c r="AG13" s="104"/>
      <c r="AH13" s="104"/>
      <c r="AI13" s="54" t="str">
        <f>IF(OR(Q13="",AD13="Yes"),"",IF(Q13='G-1 All Habitats'!$X$9,E13-Y13-X13,"None"))</f>
        <v/>
      </c>
      <c r="AJ13" s="55" t="str">
        <f>IF(Q13="","",IF(Q13='G-1 All Habitats'!$X$9,AI13*G13*I13*L13*N13*P13,"None"))</f>
        <v/>
      </c>
      <c r="AK13" s="30" t="str">
        <f>IFERROR(INDEX('G-7 WaterC'' Data'!$AZ$3:$AZ$7,MATCH(D13,'G-7 WaterC'' Data'!$AY$3:$AY$7,0)),"")</f>
        <v/>
      </c>
      <c r="AL13" s="30">
        <f t="shared" si="7"/>
        <v>0</v>
      </c>
      <c r="AM13" s="95" t="str">
        <f t="shared" si="8"/>
        <v/>
      </c>
      <c r="AN13" s="95" t="str">
        <f t="shared" si="9"/>
        <v/>
      </c>
      <c r="AO13" s="96"/>
      <c r="AP13" s="95">
        <v>4</v>
      </c>
      <c r="AQ13" s="96"/>
      <c r="AR13" s="95" t="str">
        <f t="array" ref="AR13">IFERROR(INDEX($AP$10:$AP$258,MATCH(0,IF(TRUE=$AM$10:$AM$258,COUNTIF($AR$9:$AR12,$AP$10:$AP$258),""),0)),"")</f>
        <v/>
      </c>
      <c r="AS13" s="95" t="str">
        <f t="array" ref="AS13">IFERROR(INDEX($AP$10:$AP$258,MATCH(0,IF(TRUE=$AN$10:$AN$258,COUNTIF($AS$9:$AS12,$AP$10:$AP$258),""),0)),"")</f>
        <v/>
      </c>
      <c r="AT13" s="885" t="str">
        <f>IF(AND(OR(AD13="Yes",AD13="Pending"),Q13='G-7 WaterC'' Data'!$G$4),U13-AA13-Z13,"0")</f>
        <v>0</v>
      </c>
      <c r="AU13" s="30" t="str">
        <f>IF(D13="","",VLOOKUP(D13,'G-7 WaterC'' Data'!B$4:M$8,12,FALSE))</f>
        <v/>
      </c>
      <c r="AV13" s="30" t="str">
        <f t="shared" si="0"/>
        <v/>
      </c>
      <c r="AW13" s="30" t="str">
        <f t="shared" si="10"/>
        <v>No</v>
      </c>
      <c r="BA13" s="555" t="str">
        <f t="shared" si="11"/>
        <v/>
      </c>
    </row>
    <row r="14" spans="3:53" ht="14.5" thickBot="1">
      <c r="C14" s="97">
        <v>5</v>
      </c>
      <c r="D14" s="263"/>
      <c r="E14" s="104"/>
      <c r="F14" s="275" t="str">
        <f>IF(D14="","",VLOOKUP(D14,'G-7 WaterC'' Data'!$B$2:$G$8,2,FALSE))</f>
        <v/>
      </c>
      <c r="G14" s="314" t="str">
        <f>IFERROR(VLOOKUP(F14,'G-7 WaterC'' Data'!$C$4:$D$8,2,FALSE),"")</f>
        <v/>
      </c>
      <c r="H14" s="105"/>
      <c r="I14" s="299" t="str">
        <f>IFERROR(INDEX('G-7 WaterC'' Data'!$H$4:$L$8,MATCH(D14,'G-7 WaterC'' Data'!$B$4:$B$8,0),MATCH(H14,'G-7 WaterC'' Data'!$H$3:$L$3,0)),"")</f>
        <v/>
      </c>
      <c r="J14" s="702"/>
      <c r="K14" s="295" t="str">
        <f>IF(J14="","",IF(VLOOKUP(J14,'G-7 WaterC'' Data'!$AK$4:$AM$9,2,FALSE)=0,"Spatial Data Missing ⚠",VLOOKUP(J14,'G-7 WaterC'' Data'!$AK$4:$AM$6,2,FALSE)))</f>
        <v/>
      </c>
      <c r="L14" s="299" t="str">
        <f>IF(J14="","",IF(VLOOKUP(J14,'G-7 WaterC'' Data'!$AK$4:$AM$9,3,FALSE)=0,"Spatial Data Missing ⚠",VLOOKUP(J14,'G-7 WaterC'' Data'!$AK$4:$AM$6,3,FALSE)))</f>
        <v/>
      </c>
      <c r="M14" s="102"/>
      <c r="N14" s="276" t="str">
        <f>IF(M14="","",IF(AND(M14="N/A - Culvert",D14&lt;&gt;"Culvert"),"Not possible ▲",IF(AND(D14="Culvert",M14&lt;&gt;"N/A - Culvert"),"Not possible ▲",IF(VLOOKUP(M14,'G-7 WaterC'' Data'!$AA$4:$AB$7,2,FALSE)=0,"Spatial Data Missing ⚠",VLOOKUP(M14,'G-7 WaterC'' Data'!$AA$4:$AB$7,2,FALSE)))))</f>
        <v/>
      </c>
      <c r="O14" s="56"/>
      <c r="P14" s="276" t="str">
        <f>IF(O14="","",IF(AND(O14="N/A - Culvert",D14&lt;&gt;"Culvert"),"Not possible ▲",IF(AND(D14="Culvert",O14&lt;&gt;"N/A - Culvert"),"Not possible ▲",IF(VLOOKUP(O14,'G-7 WaterC'' Data'!$AD$4:$AE$14,2,FALSE)=0,"Spatial Data Missing ⚠",VLOOKUP(O14,'G-7 WaterC'' Data'!$AD$4:$AE$14,2,FALSE)))))</f>
        <v/>
      </c>
      <c r="Q14" s="282" t="str">
        <f>IF(D14="","",VLOOKUP(D14,'G-7 WaterC'' Data'!$B$4:$G$8,6,FALSE))</f>
        <v/>
      </c>
      <c r="R14" s="289" t="str">
        <f t="shared" si="1"/>
        <v xml:space="preserve"> </v>
      </c>
      <c r="S14" s="393"/>
      <c r="T14" s="281" t="str">
        <f>IF(S14="","",IF(VLOOKUP(S14,'G-7 WaterC'' Data'!$AO$4:$BO$7,2,FALSE)=0,"Spatial Data Missing ⚠",VLOOKUP(S14,'G-7 WaterC'' Data'!$AO$4:$BO$7,2,FALSE)))</f>
        <v/>
      </c>
      <c r="U14" s="289" t="str">
        <f t="shared" si="2"/>
        <v xml:space="preserve"> </v>
      </c>
      <c r="V14" s="694" t="str">
        <f t="shared" si="3"/>
        <v/>
      </c>
      <c r="W14" s="32"/>
      <c r="X14" s="52"/>
      <c r="Y14" s="53"/>
      <c r="Z14" s="287" t="str">
        <f t="shared" si="4"/>
        <v/>
      </c>
      <c r="AA14" s="287" t="str">
        <f t="shared" si="5"/>
        <v/>
      </c>
      <c r="AB14" s="287" t="str">
        <f t="shared" si="6"/>
        <v/>
      </c>
      <c r="AC14" s="491" t="str">
        <f>IFERROR(IF(OR(E14="",R14=""),"",IF(AND(AB14&lt;&gt;"",S14=""),"Spatial risk category missing ▲",IF(AND(Q14='G-7 WaterC'' Data'!$G$4,AD14="Yes"),"Alternative Compensation ✓",IF(AND(AD14="Pending",Q14='G-7 WaterC'' Data'!$G$4),"Bespoke compensation must be agreed ▲",IF((Z14+AA14)&gt;=U14,0,U14-Z14-AA14))))),"Check Data ⚠")</f>
        <v/>
      </c>
      <c r="AD14" s="393"/>
      <c r="AE14" s="105"/>
      <c r="AF14" s="104"/>
      <c r="AG14" s="104"/>
      <c r="AH14" s="104"/>
      <c r="AI14" s="54" t="str">
        <f>IF(OR(Q14="",AD14="Yes"),"",IF(Q14='G-1 All Habitats'!$X$9,E14-Y14-X14,"None"))</f>
        <v/>
      </c>
      <c r="AJ14" s="55" t="str">
        <f>IF(Q14="","",IF(Q14='G-1 All Habitats'!$X$9,AI14*G14*I14*L14*N14*P14,"None"))</f>
        <v/>
      </c>
      <c r="AK14" s="30" t="str">
        <f>IFERROR(INDEX('G-7 WaterC'' Data'!$AZ$3:$AZ$7,MATCH(D14,'G-7 WaterC'' Data'!$AY$3:$AY$7,0)),"")</f>
        <v/>
      </c>
      <c r="AL14" s="30">
        <f t="shared" si="7"/>
        <v>0</v>
      </c>
      <c r="AM14" s="95" t="str">
        <f t="shared" si="8"/>
        <v/>
      </c>
      <c r="AN14" s="95" t="str">
        <f t="shared" si="9"/>
        <v/>
      </c>
      <c r="AO14" s="96"/>
      <c r="AP14" s="95">
        <v>5</v>
      </c>
      <c r="AQ14" s="96"/>
      <c r="AR14" s="95" t="str">
        <f t="array" ref="AR14">IFERROR(INDEX($AP$10:$AP$258,MATCH(0,IF(TRUE=$AM$10:$AM$258,COUNTIF($AR$9:$AR13,$AP$10:$AP$258),""),0)),"")</f>
        <v/>
      </c>
      <c r="AS14" s="95" t="str">
        <f t="array" ref="AS14">IFERROR(INDEX($AP$10:$AP$258,MATCH(0,IF(TRUE=$AN$10:$AN$258,COUNTIF($AS$9:$AS13,$AP$10:$AP$258),""),0)),"")</f>
        <v/>
      </c>
      <c r="AT14" s="885" t="str">
        <f>IF(AND(OR(AD14="Yes",AD14="Pending"),Q14='G-7 WaterC'' Data'!$G$4),U14-AA14-Z14,"0")</f>
        <v>0</v>
      </c>
      <c r="AU14" s="30" t="str">
        <f>IF(D14="","",VLOOKUP(D14,'G-7 WaterC'' Data'!B$4:M$8,12,FALSE))</f>
        <v/>
      </c>
      <c r="AV14" s="30" t="str">
        <f t="shared" si="0"/>
        <v/>
      </c>
      <c r="AW14" s="30" t="str">
        <f t="shared" si="10"/>
        <v>No</v>
      </c>
      <c r="BA14" s="555" t="str">
        <f t="shared" si="11"/>
        <v/>
      </c>
    </row>
    <row r="15" spans="3:53" ht="14.5" thickBot="1">
      <c r="C15" s="97">
        <v>6</v>
      </c>
      <c r="D15" s="263"/>
      <c r="E15" s="104"/>
      <c r="F15" s="275" t="str">
        <f>IF(D15="","",VLOOKUP(D15,'G-7 WaterC'' Data'!$B$2:$G$8,2,FALSE))</f>
        <v/>
      </c>
      <c r="G15" s="314" t="str">
        <f>IFERROR(VLOOKUP(F15,'G-7 WaterC'' Data'!$C$4:$D$8,2,FALSE),"")</f>
        <v/>
      </c>
      <c r="H15" s="105"/>
      <c r="I15" s="299" t="str">
        <f>IFERROR(INDEX('G-7 WaterC'' Data'!$H$4:$L$8,MATCH(D15,'G-7 WaterC'' Data'!$B$4:$B$8,0),MATCH(H15,'G-7 WaterC'' Data'!$H$3:$L$3,0)),"")</f>
        <v/>
      </c>
      <c r="J15" s="702"/>
      <c r="K15" s="295" t="str">
        <f>IF(J15="","",IF(VLOOKUP(J15,'G-7 WaterC'' Data'!$AK$4:$AM$9,2,FALSE)=0,"Spatial Data Missing ⚠",VLOOKUP(J15,'G-7 WaterC'' Data'!$AK$4:$AM$6,2,FALSE)))</f>
        <v/>
      </c>
      <c r="L15" s="299" t="str">
        <f>IF(J15="","",IF(VLOOKUP(J15,'G-7 WaterC'' Data'!$AK$4:$AM$9,3,FALSE)=0,"Spatial Data Missing ⚠",VLOOKUP(J15,'G-7 WaterC'' Data'!$AK$4:$AM$6,3,FALSE)))</f>
        <v/>
      </c>
      <c r="M15" s="102"/>
      <c r="N15" s="276" t="str">
        <f>IF(M15="","",IF(AND(M15="N/A - Culvert",D15&lt;&gt;"Culvert"),"Not possible ▲",IF(AND(D15="Culvert",M15&lt;&gt;"N/A - Culvert"),"Not possible ▲",IF(VLOOKUP(M15,'G-7 WaterC'' Data'!$AA$4:$AB$7,2,FALSE)=0,"Spatial Data Missing ⚠",VLOOKUP(M15,'G-7 WaterC'' Data'!$AA$4:$AB$7,2,FALSE)))))</f>
        <v/>
      </c>
      <c r="O15" s="56"/>
      <c r="P15" s="276" t="str">
        <f>IF(O15="","",IF(AND(O15="N/A - Culvert",D15&lt;&gt;"Culvert"),"Not possible ▲",IF(AND(D15="Culvert",O15&lt;&gt;"N/A - Culvert"),"Not possible ▲",IF(VLOOKUP(O15,'G-7 WaterC'' Data'!$AD$4:$AE$14,2,FALSE)=0,"Spatial Data Missing ⚠",VLOOKUP(O15,'G-7 WaterC'' Data'!$AD$4:$AE$14,2,FALSE)))))</f>
        <v/>
      </c>
      <c r="Q15" s="282" t="str">
        <f>IF(D15="","",VLOOKUP(D15,'G-7 WaterC'' Data'!$B$4:$G$8,6,FALSE))</f>
        <v/>
      </c>
      <c r="R15" s="289" t="str">
        <f t="shared" si="1"/>
        <v xml:space="preserve"> </v>
      </c>
      <c r="S15" s="393"/>
      <c r="T15" s="281" t="str">
        <f>IF(S15="","",IF(VLOOKUP(S15,'G-7 WaterC'' Data'!$AO$4:$BO$7,2,FALSE)=0,"Spatial Data Missing ⚠",VLOOKUP(S15,'G-7 WaterC'' Data'!$AO$4:$BO$7,2,FALSE)))</f>
        <v/>
      </c>
      <c r="U15" s="289" t="str">
        <f t="shared" si="2"/>
        <v xml:space="preserve"> </v>
      </c>
      <c r="V15" s="694" t="str">
        <f t="shared" si="3"/>
        <v/>
      </c>
      <c r="W15" s="32"/>
      <c r="X15" s="52"/>
      <c r="Y15" s="53"/>
      <c r="Z15" s="287" t="str">
        <f t="shared" si="4"/>
        <v/>
      </c>
      <c r="AA15" s="287" t="str">
        <f t="shared" si="5"/>
        <v/>
      </c>
      <c r="AB15" s="287" t="str">
        <f t="shared" si="6"/>
        <v/>
      </c>
      <c r="AC15" s="491" t="str">
        <f>IFERROR(IF(OR(E15="",R15=""),"",IF(AND(AB15&lt;&gt;"",S15=""),"Spatial risk category missing ▲",IF(AND(Q15='G-7 WaterC'' Data'!$G$4,AD15="Yes"),"Alternative Compensation ✓",IF(AND(AD15="Pending",Q15='G-7 WaterC'' Data'!$G$4),"Bespoke compensation must be agreed ▲",IF((Z15+AA15)&gt;=U15,0,U15-Z15-AA15))))),"Check Data ⚠")</f>
        <v/>
      </c>
      <c r="AD15" s="393"/>
      <c r="AE15" s="105"/>
      <c r="AF15" s="104"/>
      <c r="AG15" s="104"/>
      <c r="AH15" s="104"/>
      <c r="AI15" s="54" t="str">
        <f>IF(OR(Q15="",AD15="Yes"),"",IF(Q15='G-1 All Habitats'!$X$9,E15-Y15-X15,"None"))</f>
        <v/>
      </c>
      <c r="AJ15" s="55" t="str">
        <f>IF(Q15="","",IF(Q15='G-1 All Habitats'!$X$9,AI15*G15*I15*L15*N15*P15,"None"))</f>
        <v/>
      </c>
      <c r="AK15" s="30" t="str">
        <f>IFERROR(INDEX('G-7 WaterC'' Data'!$AZ$3:$AZ$7,MATCH(D15,'G-7 WaterC'' Data'!$AY$3:$AY$7,0)),"")</f>
        <v/>
      </c>
      <c r="AL15" s="30">
        <f t="shared" si="7"/>
        <v>0</v>
      </c>
      <c r="AM15" s="95" t="str">
        <f t="shared" si="8"/>
        <v/>
      </c>
      <c r="AN15" s="95" t="str">
        <f t="shared" si="9"/>
        <v/>
      </c>
      <c r="AO15" s="96"/>
      <c r="AP15" s="95">
        <v>6</v>
      </c>
      <c r="AQ15" s="96"/>
      <c r="AR15" s="95" t="str">
        <f t="array" ref="AR15">IFERROR(INDEX($AP$10:$AP$258,MATCH(0,IF(TRUE=$AM$10:$AM$258,COUNTIF($AR$9:$AR14,$AP$10:$AP$258),""),0)),"")</f>
        <v/>
      </c>
      <c r="AS15" s="95" t="str">
        <f t="array" ref="AS15">IFERROR(INDEX($AP$10:$AP$258,MATCH(0,IF(TRUE=$AN$10:$AN$258,COUNTIF($AS$9:$AS14,$AP$10:$AP$258),""),0)),"")</f>
        <v/>
      </c>
      <c r="AT15" s="885" t="str">
        <f>IF(AND(OR(AD15="Yes",AD15="Pending"),Q15='G-7 WaterC'' Data'!$G$4),U15-AA15-Z15,"0")</f>
        <v>0</v>
      </c>
      <c r="AU15" s="30" t="str">
        <f>IF(D15="","",VLOOKUP(D15,'G-7 WaterC'' Data'!B$4:M$8,12,FALSE))</f>
        <v/>
      </c>
      <c r="AV15" s="30" t="str">
        <f t="shared" si="0"/>
        <v/>
      </c>
      <c r="AW15" s="30" t="str">
        <f t="shared" si="10"/>
        <v>No</v>
      </c>
      <c r="BA15" s="555" t="str">
        <f t="shared" si="11"/>
        <v/>
      </c>
    </row>
    <row r="16" spans="3:53" ht="14.5" thickBot="1">
      <c r="C16" s="97">
        <v>7</v>
      </c>
      <c r="D16" s="263"/>
      <c r="E16" s="104"/>
      <c r="F16" s="275" t="str">
        <f>IF(D16="","",VLOOKUP(D16,'G-7 WaterC'' Data'!$B$2:$G$8,2,FALSE))</f>
        <v/>
      </c>
      <c r="G16" s="314" t="str">
        <f>IFERROR(VLOOKUP(F16,'G-7 WaterC'' Data'!$C$4:$D$8,2,FALSE),"")</f>
        <v/>
      </c>
      <c r="H16" s="105"/>
      <c r="I16" s="299" t="str">
        <f>IFERROR(INDEX('G-7 WaterC'' Data'!$H$4:$L$8,MATCH(D16,'G-7 WaterC'' Data'!$B$4:$B$8,0),MATCH(H16,'G-7 WaterC'' Data'!$H$3:$L$3,0)),"")</f>
        <v/>
      </c>
      <c r="J16" s="702"/>
      <c r="K16" s="295" t="str">
        <f>IF(J16="","",IF(VLOOKUP(J16,'G-7 WaterC'' Data'!$AK$4:$AM$9,2,FALSE)=0,"Spatial Data Missing ⚠",VLOOKUP(J16,'G-7 WaterC'' Data'!$AK$4:$AM$6,2,FALSE)))</f>
        <v/>
      </c>
      <c r="L16" s="299" t="str">
        <f>IF(J16="","",IF(VLOOKUP(J16,'G-7 WaterC'' Data'!$AK$4:$AM$9,3,FALSE)=0,"Spatial Data Missing ⚠",VLOOKUP(J16,'G-7 WaterC'' Data'!$AK$4:$AM$6,3,FALSE)))</f>
        <v/>
      </c>
      <c r="M16" s="102"/>
      <c r="N16" s="276" t="str">
        <f>IF(M16="","",IF(AND(M16="N/A - Culvert",D16&lt;&gt;"Culvert"),"Not possible ▲",IF(AND(D16="Culvert",M16&lt;&gt;"N/A - Culvert"),"Not possible ▲",IF(VLOOKUP(M16,'G-7 WaterC'' Data'!$AA$4:$AB$7,2,FALSE)=0,"Spatial Data Missing ⚠",VLOOKUP(M16,'G-7 WaterC'' Data'!$AA$4:$AB$7,2,FALSE)))))</f>
        <v/>
      </c>
      <c r="O16" s="56"/>
      <c r="P16" s="276" t="str">
        <f>IF(O16="","",IF(AND(O16="N/A - Culvert",D16&lt;&gt;"Culvert"),"Not possible ▲",IF(AND(D16="Culvert",O16&lt;&gt;"N/A - Culvert"),"Not possible ▲",IF(VLOOKUP(O16,'G-7 WaterC'' Data'!$AD$4:$AE$14,2,FALSE)=0,"Spatial Data Missing ⚠",VLOOKUP(O16,'G-7 WaterC'' Data'!$AD$4:$AE$14,2,FALSE)))))</f>
        <v/>
      </c>
      <c r="Q16" s="282" t="str">
        <f>IF(D16="","",VLOOKUP(D16,'G-7 WaterC'' Data'!$B$4:$G$8,6,FALSE))</f>
        <v/>
      </c>
      <c r="R16" s="289" t="str">
        <f t="shared" si="1"/>
        <v xml:space="preserve"> </v>
      </c>
      <c r="S16" s="393"/>
      <c r="T16" s="281" t="str">
        <f>IF(S16="","",IF(VLOOKUP(S16,'G-7 WaterC'' Data'!$AO$4:$BO$7,2,FALSE)=0,"Spatial Data Missing ⚠",VLOOKUP(S16,'G-7 WaterC'' Data'!$AO$4:$BO$7,2,FALSE)))</f>
        <v/>
      </c>
      <c r="U16" s="289" t="str">
        <f t="shared" si="2"/>
        <v xml:space="preserve"> </v>
      </c>
      <c r="V16" s="694" t="str">
        <f t="shared" si="3"/>
        <v/>
      </c>
      <c r="W16" s="32"/>
      <c r="X16" s="52"/>
      <c r="Y16" s="53"/>
      <c r="Z16" s="287" t="str">
        <f t="shared" si="4"/>
        <v/>
      </c>
      <c r="AA16" s="287" t="str">
        <f t="shared" si="5"/>
        <v/>
      </c>
      <c r="AB16" s="287" t="str">
        <f t="shared" si="6"/>
        <v/>
      </c>
      <c r="AC16" s="491" t="str">
        <f>IFERROR(IF(OR(E16="",R16=""),"",IF(AND(AB16&lt;&gt;"",S16=""),"Spatial risk category missing ▲",IF(AND(Q16='G-7 WaterC'' Data'!$G$4,AD16="Yes"),"Alternative Compensation ✓",IF(AND(AD16="Pending",Q16='G-7 WaterC'' Data'!$G$4),"Bespoke compensation must be agreed ▲",IF((Z16+AA16)&gt;=U16,0,U16-Z16-AA16))))),"Check Data ⚠")</f>
        <v/>
      </c>
      <c r="AD16" s="393"/>
      <c r="AE16" s="105"/>
      <c r="AF16" s="104"/>
      <c r="AG16" s="104"/>
      <c r="AH16" s="104"/>
      <c r="AI16" s="54" t="str">
        <f>IF(OR(Q16="",AD16="Yes"),"",IF(Q16='G-1 All Habitats'!$X$9,E16-Y16-X16,"None"))</f>
        <v/>
      </c>
      <c r="AJ16" s="55" t="str">
        <f>IF(Q16="","",IF(Q16='G-1 All Habitats'!$X$9,AI16*G16*I16*L16*N16*P16,"None"))</f>
        <v/>
      </c>
      <c r="AK16" s="30" t="str">
        <f>IFERROR(INDEX('G-7 WaterC'' Data'!$AZ$3:$AZ$7,MATCH(D16,'G-7 WaterC'' Data'!$AY$3:$AY$7,0)),"")</f>
        <v/>
      </c>
      <c r="AL16" s="30">
        <f t="shared" si="7"/>
        <v>0</v>
      </c>
      <c r="AM16" s="95" t="str">
        <f t="shared" si="8"/>
        <v/>
      </c>
      <c r="AN16" s="95" t="str">
        <f t="shared" si="9"/>
        <v/>
      </c>
      <c r="AO16" s="96"/>
      <c r="AP16" s="95">
        <v>7</v>
      </c>
      <c r="AQ16" s="96"/>
      <c r="AR16" s="95" t="str">
        <f t="array" ref="AR16">IFERROR(INDEX($AP$10:$AP$258,MATCH(0,IF(TRUE=$AM$10:$AM$258,COUNTIF($AR$9:$AR15,$AP$10:$AP$258),""),0)),"")</f>
        <v/>
      </c>
      <c r="AS16" s="95" t="str">
        <f t="array" ref="AS16">IFERROR(INDEX($AP$10:$AP$258,MATCH(0,IF(TRUE=$AN$10:$AN$258,COUNTIF($AS$9:$AS15,$AP$10:$AP$258),""),0)),"")</f>
        <v/>
      </c>
      <c r="AT16" s="885" t="str">
        <f>IF(AND(OR(AD16="Yes",AD16="Pending"),Q16='G-7 WaterC'' Data'!$G$4),U16-AA16-Z16,"0")</f>
        <v>0</v>
      </c>
      <c r="AU16" s="30" t="str">
        <f>IF(D16="","",VLOOKUP(D16,'G-7 WaterC'' Data'!B$4:M$8,12,FALSE))</f>
        <v/>
      </c>
      <c r="AV16" s="30" t="str">
        <f t="shared" si="0"/>
        <v/>
      </c>
      <c r="AW16" s="30" t="str">
        <f t="shared" si="10"/>
        <v>No</v>
      </c>
      <c r="BA16" s="555" t="str">
        <f t="shared" si="11"/>
        <v/>
      </c>
    </row>
    <row r="17" spans="3:53" ht="14.5" thickBot="1">
      <c r="C17" s="97">
        <v>8</v>
      </c>
      <c r="D17" s="263"/>
      <c r="E17" s="104"/>
      <c r="F17" s="275" t="str">
        <f>IF(D17="","",VLOOKUP(D17,'G-7 WaterC'' Data'!$B$2:$G$8,2,FALSE))</f>
        <v/>
      </c>
      <c r="G17" s="314" t="str">
        <f>IFERROR(VLOOKUP(F17,'G-7 WaterC'' Data'!$C$4:$D$8,2,FALSE),"")</f>
        <v/>
      </c>
      <c r="H17" s="105"/>
      <c r="I17" s="299" t="str">
        <f>IFERROR(INDEX('G-7 WaterC'' Data'!$H$4:$L$8,MATCH(D17,'G-7 WaterC'' Data'!$B$4:$B$8,0),MATCH(H17,'G-7 WaterC'' Data'!$H$3:$L$3,0)),"")</f>
        <v/>
      </c>
      <c r="J17" s="702"/>
      <c r="K17" s="295" t="str">
        <f>IF(J17="","",IF(VLOOKUP(J17,'G-7 WaterC'' Data'!$AK$4:$AM$9,2,FALSE)=0,"Spatial Data Missing ⚠",VLOOKUP(J17,'G-7 WaterC'' Data'!$AK$4:$AM$6,2,FALSE)))</f>
        <v/>
      </c>
      <c r="L17" s="299" t="str">
        <f>IF(J17="","",IF(VLOOKUP(J17,'G-7 WaterC'' Data'!$AK$4:$AM$9,3,FALSE)=0,"Spatial Data Missing ⚠",VLOOKUP(J17,'G-7 WaterC'' Data'!$AK$4:$AM$6,3,FALSE)))</f>
        <v/>
      </c>
      <c r="M17" s="102"/>
      <c r="N17" s="276" t="str">
        <f>IF(M17="","",IF(AND(M17="N/A - Culvert",D17&lt;&gt;"Culvert"),"Not possible ▲",IF(AND(D17="Culvert",M17&lt;&gt;"N/A - Culvert"),"Not possible ▲",IF(VLOOKUP(M17,'G-7 WaterC'' Data'!$AA$4:$AB$7,2,FALSE)=0,"Spatial Data Missing ⚠",VLOOKUP(M17,'G-7 WaterC'' Data'!$AA$4:$AB$7,2,FALSE)))))</f>
        <v/>
      </c>
      <c r="O17" s="56"/>
      <c r="P17" s="276" t="str">
        <f>IF(O17="","",IF(AND(O17="N/A - Culvert",D17&lt;&gt;"Culvert"),"Not possible ▲",IF(AND(D17="Culvert",O17&lt;&gt;"N/A - Culvert"),"Not possible ▲",IF(VLOOKUP(O17,'G-7 WaterC'' Data'!$AD$4:$AE$14,2,FALSE)=0,"Spatial Data Missing ⚠",VLOOKUP(O17,'G-7 WaterC'' Data'!$AD$4:$AE$14,2,FALSE)))))</f>
        <v/>
      </c>
      <c r="Q17" s="282" t="str">
        <f>IF(D17="","",VLOOKUP(D17,'G-7 WaterC'' Data'!$B$4:$G$8,6,FALSE))</f>
        <v/>
      </c>
      <c r="R17" s="289" t="str">
        <f t="shared" si="1"/>
        <v xml:space="preserve"> </v>
      </c>
      <c r="S17" s="393"/>
      <c r="T17" s="281" t="str">
        <f>IF(S17="","",IF(VLOOKUP(S17,'G-7 WaterC'' Data'!$AO$4:$BO$7,2,FALSE)=0,"Spatial Data Missing ⚠",VLOOKUP(S17,'G-7 WaterC'' Data'!$AO$4:$BO$7,2,FALSE)))</f>
        <v/>
      </c>
      <c r="U17" s="289" t="str">
        <f t="shared" si="2"/>
        <v xml:space="preserve"> </v>
      </c>
      <c r="V17" s="694" t="str">
        <f t="shared" si="3"/>
        <v/>
      </c>
      <c r="W17" s="32"/>
      <c r="X17" s="52"/>
      <c r="Y17" s="53"/>
      <c r="Z17" s="287" t="str">
        <f t="shared" si="4"/>
        <v/>
      </c>
      <c r="AA17" s="287" t="str">
        <f t="shared" si="5"/>
        <v/>
      </c>
      <c r="AB17" s="287" t="str">
        <f t="shared" si="6"/>
        <v/>
      </c>
      <c r="AC17" s="491" t="str">
        <f>IFERROR(IF(OR(E17="",R17=""),"",IF(AND(AB17&lt;&gt;"",S17=""),"Spatial risk category missing ▲",IF(AND(Q17='G-7 WaterC'' Data'!$G$4,AD17="Yes"),"Alternative Compensation ✓",IF(AND(AD17="Pending",Q17='G-7 WaterC'' Data'!$G$4),"Bespoke compensation must be agreed ▲",IF((Z17+AA17)&gt;=U17,0,U17-Z17-AA17))))),"Check Data ⚠")</f>
        <v/>
      </c>
      <c r="AD17" s="393"/>
      <c r="AE17" s="105"/>
      <c r="AF17" s="104"/>
      <c r="AG17" s="104"/>
      <c r="AH17" s="104"/>
      <c r="AI17" s="54" t="str">
        <f>IF(OR(Q17="",AD17="Yes"),"",IF(Q17='G-1 All Habitats'!$X$9,E17-Y17-X17,"None"))</f>
        <v/>
      </c>
      <c r="AJ17" s="55" t="str">
        <f>IF(Q17="","",IF(Q17='G-1 All Habitats'!$X$9,AI17*G17*I17*L17*N17*P17,"None"))</f>
        <v/>
      </c>
      <c r="AK17" s="30" t="str">
        <f>IFERROR(INDEX('G-7 WaterC'' Data'!$AZ$3:$AZ$7,MATCH(D17,'G-7 WaterC'' Data'!$AY$3:$AY$7,0)),"")</f>
        <v/>
      </c>
      <c r="AL17" s="30">
        <f t="shared" si="7"/>
        <v>0</v>
      </c>
      <c r="AM17" s="95" t="str">
        <f t="shared" si="8"/>
        <v/>
      </c>
      <c r="AN17" s="95" t="str">
        <f t="shared" si="9"/>
        <v/>
      </c>
      <c r="AO17" s="96"/>
      <c r="AP17" s="95">
        <v>8</v>
      </c>
      <c r="AQ17" s="96"/>
      <c r="AR17" s="95" t="str">
        <f t="array" ref="AR17">IFERROR(INDEX($AP$10:$AP$258,MATCH(0,IF(TRUE=$AM$10:$AM$258,COUNTIF($AR$9:$AR16,$AP$10:$AP$258),""),0)),"")</f>
        <v/>
      </c>
      <c r="AS17" s="95" t="str">
        <f t="array" ref="AS17">IFERROR(INDEX($AP$10:$AP$258,MATCH(0,IF(TRUE=$AN$10:$AN$258,COUNTIF($AS$9:$AS16,$AP$10:$AP$258),""),0)),"")</f>
        <v/>
      </c>
      <c r="AT17" s="885" t="str">
        <f>IF(AND(OR(AD17="Yes",AD17="Pending"),Q17='G-7 WaterC'' Data'!$G$4),U17-AA17-Z17,"0")</f>
        <v>0</v>
      </c>
      <c r="AU17" s="30" t="str">
        <f>IF(D17="","",VLOOKUP(D17,'G-7 WaterC'' Data'!B$4:M$8,12,FALSE))</f>
        <v/>
      </c>
      <c r="AV17" s="30" t="str">
        <f t="shared" si="0"/>
        <v/>
      </c>
      <c r="AW17" s="30" t="str">
        <f t="shared" si="10"/>
        <v>No</v>
      </c>
      <c r="BA17" s="555" t="str">
        <f t="shared" si="11"/>
        <v/>
      </c>
    </row>
    <row r="18" spans="3:53" ht="14.5" thickBot="1">
      <c r="C18" s="97">
        <v>9</v>
      </c>
      <c r="D18" s="263"/>
      <c r="E18" s="104"/>
      <c r="F18" s="275" t="str">
        <f>IF(D18="","",VLOOKUP(D18,'G-7 WaterC'' Data'!$B$2:$G$8,2,FALSE))</f>
        <v/>
      </c>
      <c r="G18" s="314" t="str">
        <f>IFERROR(VLOOKUP(F18,'G-7 WaterC'' Data'!$C$4:$D$8,2,FALSE),"")</f>
        <v/>
      </c>
      <c r="H18" s="105"/>
      <c r="I18" s="299" t="str">
        <f>IFERROR(INDEX('G-7 WaterC'' Data'!$H$4:$L$8,MATCH(D18,'G-7 WaterC'' Data'!$B$4:$B$8,0),MATCH(H18,'G-7 WaterC'' Data'!$H$3:$L$3,0)),"")</f>
        <v/>
      </c>
      <c r="J18" s="702"/>
      <c r="K18" s="295" t="str">
        <f>IF(J18="","",IF(VLOOKUP(J18,'G-7 WaterC'' Data'!$AK$4:$AM$9,2,FALSE)=0,"Spatial Data Missing ⚠",VLOOKUP(J18,'G-7 WaterC'' Data'!$AK$4:$AM$6,2,FALSE)))</f>
        <v/>
      </c>
      <c r="L18" s="299" t="str">
        <f>IF(J18="","",IF(VLOOKUP(J18,'G-7 WaterC'' Data'!$AK$4:$AM$9,3,FALSE)=0,"Spatial Data Missing ⚠",VLOOKUP(J18,'G-7 WaterC'' Data'!$AK$4:$AM$6,3,FALSE)))</f>
        <v/>
      </c>
      <c r="M18" s="102"/>
      <c r="N18" s="276" t="str">
        <f>IF(M18="","",IF(AND(M18="N/A - Culvert",D18&lt;&gt;"Culvert"),"Not possible ▲",IF(AND(D18="Culvert",M18&lt;&gt;"N/A - Culvert"),"Not possible ▲",IF(VLOOKUP(M18,'G-7 WaterC'' Data'!$AA$4:$AB$7,2,FALSE)=0,"Spatial Data Missing ⚠",VLOOKUP(M18,'G-7 WaterC'' Data'!$AA$4:$AB$7,2,FALSE)))))</f>
        <v/>
      </c>
      <c r="O18" s="56"/>
      <c r="P18" s="276" t="str">
        <f>IF(O18="","",IF(AND(O18="N/A - Culvert",D18&lt;&gt;"Culvert"),"Not possible ▲",IF(AND(D18="Culvert",O18&lt;&gt;"N/A - Culvert"),"Not possible ▲",IF(VLOOKUP(O18,'G-7 WaterC'' Data'!$AD$4:$AE$14,2,FALSE)=0,"Spatial Data Missing ⚠",VLOOKUP(O18,'G-7 WaterC'' Data'!$AD$4:$AE$14,2,FALSE)))))</f>
        <v/>
      </c>
      <c r="Q18" s="282" t="str">
        <f>IF(D18="","",VLOOKUP(D18,'G-7 WaterC'' Data'!$B$4:$G$8,6,FALSE))</f>
        <v/>
      </c>
      <c r="R18" s="289" t="str">
        <f t="shared" si="1"/>
        <v xml:space="preserve"> </v>
      </c>
      <c r="S18" s="393"/>
      <c r="T18" s="281" t="str">
        <f>IF(S18="","",IF(VLOOKUP(S18,'G-7 WaterC'' Data'!$AO$4:$BO$7,2,FALSE)=0,"Spatial Data Missing ⚠",VLOOKUP(S18,'G-7 WaterC'' Data'!$AO$4:$BO$7,2,FALSE)))</f>
        <v/>
      </c>
      <c r="U18" s="289" t="str">
        <f t="shared" si="2"/>
        <v xml:space="preserve"> </v>
      </c>
      <c r="V18" s="694" t="str">
        <f t="shared" si="3"/>
        <v/>
      </c>
      <c r="W18" s="32"/>
      <c r="X18" s="52"/>
      <c r="Y18" s="53"/>
      <c r="Z18" s="287" t="str">
        <f t="shared" si="4"/>
        <v/>
      </c>
      <c r="AA18" s="287" t="str">
        <f t="shared" si="5"/>
        <v/>
      </c>
      <c r="AB18" s="287" t="str">
        <f t="shared" si="6"/>
        <v/>
      </c>
      <c r="AC18" s="491" t="str">
        <f>IFERROR(IF(OR(E18="",R18=""),"",IF(AND(AB18&lt;&gt;"",S18=""),"Spatial risk category missing ▲",IF(AND(Q18='G-7 WaterC'' Data'!$G$4,AD18="Yes"),"Alternative Compensation ✓",IF(AND(AD18="Pending",Q18='G-7 WaterC'' Data'!$G$4),"Bespoke compensation must be agreed ▲",IF((Z18+AA18)&gt;=U18,0,U18-Z18-AA18))))),"Check Data ⚠")</f>
        <v/>
      </c>
      <c r="AD18" s="393"/>
      <c r="AE18" s="105"/>
      <c r="AF18" s="104"/>
      <c r="AG18" s="104"/>
      <c r="AH18" s="104"/>
      <c r="AI18" s="54" t="str">
        <f>IF(OR(Q18="",AD18="Yes"),"",IF(Q18='G-1 All Habitats'!$X$9,E18-Y18-X18,"None"))</f>
        <v/>
      </c>
      <c r="AJ18" s="55" t="str">
        <f>IF(Q18="","",IF(Q18='G-1 All Habitats'!$X$9,AI18*G18*I18*L18*N18*P18,"None"))</f>
        <v/>
      </c>
      <c r="AK18" s="30" t="str">
        <f>IFERROR(INDEX('G-7 WaterC'' Data'!$AZ$3:$AZ$7,MATCH(D18,'G-7 WaterC'' Data'!$AY$3:$AY$7,0)),"")</f>
        <v/>
      </c>
      <c r="AL18" s="30">
        <f t="shared" si="7"/>
        <v>0</v>
      </c>
      <c r="AM18" s="95" t="str">
        <f t="shared" si="8"/>
        <v/>
      </c>
      <c r="AN18" s="95" t="str">
        <f t="shared" si="9"/>
        <v/>
      </c>
      <c r="AO18" s="96"/>
      <c r="AP18" s="95">
        <v>9</v>
      </c>
      <c r="AQ18" s="96"/>
      <c r="AR18" s="95" t="str">
        <f t="array" ref="AR18">IFERROR(INDEX($AP$10:$AP$258,MATCH(0,IF(TRUE=$AM$10:$AM$258,COUNTIF($AR$9:$AR17,$AP$10:$AP$258),""),0)),"")</f>
        <v/>
      </c>
      <c r="AS18" s="95" t="str">
        <f t="array" ref="AS18">IFERROR(INDEX($AP$10:$AP$258,MATCH(0,IF(TRUE=$AN$10:$AN$258,COUNTIF($AS$9:$AS17,$AP$10:$AP$258),""),0)),"")</f>
        <v/>
      </c>
      <c r="AT18" s="885" t="str">
        <f>IF(AND(OR(AD18="Yes",AD18="Pending"),Q18='G-7 WaterC'' Data'!$G$4),U18-AA18-Z18,"0")</f>
        <v>0</v>
      </c>
      <c r="AU18" s="30" t="str">
        <f>IF(D18="","",VLOOKUP(D18,'G-7 WaterC'' Data'!B$4:M$8,12,FALSE))</f>
        <v/>
      </c>
      <c r="AV18" s="30" t="str">
        <f t="shared" si="0"/>
        <v/>
      </c>
      <c r="AW18" s="30" t="str">
        <f t="shared" si="10"/>
        <v>No</v>
      </c>
      <c r="BA18" s="555" t="str">
        <f t="shared" si="11"/>
        <v/>
      </c>
    </row>
    <row r="19" spans="3:53" ht="14.5" thickBot="1">
      <c r="C19" s="97">
        <v>10</v>
      </c>
      <c r="D19" s="263"/>
      <c r="E19" s="104"/>
      <c r="F19" s="275" t="str">
        <f>IF(D19="","",VLOOKUP(D19,'G-7 WaterC'' Data'!$B$2:$G$8,2,FALSE))</f>
        <v/>
      </c>
      <c r="G19" s="314" t="str">
        <f>IFERROR(VLOOKUP(F19,'G-7 WaterC'' Data'!$C$4:$D$8,2,FALSE),"")</f>
        <v/>
      </c>
      <c r="H19" s="105"/>
      <c r="I19" s="299" t="str">
        <f>IFERROR(INDEX('G-7 WaterC'' Data'!$H$4:$L$8,MATCH(D19,'G-7 WaterC'' Data'!$B$4:$B$8,0),MATCH(H19,'G-7 WaterC'' Data'!$H$3:$L$3,0)),"")</f>
        <v/>
      </c>
      <c r="J19" s="702"/>
      <c r="K19" s="295" t="str">
        <f>IF(J19="","",IF(VLOOKUP(J19,'G-7 WaterC'' Data'!$AK$4:$AM$9,2,FALSE)=0,"Spatial Data Missing ⚠",VLOOKUP(J19,'G-7 WaterC'' Data'!$AK$4:$AM$6,2,FALSE)))</f>
        <v/>
      </c>
      <c r="L19" s="299" t="str">
        <f>IF(J19="","",IF(VLOOKUP(J19,'G-7 WaterC'' Data'!$AK$4:$AM$9,3,FALSE)=0,"Spatial Data Missing ⚠",VLOOKUP(J19,'G-7 WaterC'' Data'!$AK$4:$AM$6,3,FALSE)))</f>
        <v/>
      </c>
      <c r="M19" s="102"/>
      <c r="N19" s="276" t="str">
        <f>IF(M19="","",IF(AND(M19="N/A - Culvert",D19&lt;&gt;"Culvert"),"Not possible ▲",IF(AND(D19="Culvert",M19&lt;&gt;"N/A - Culvert"),"Not possible ▲",IF(VLOOKUP(M19,'G-7 WaterC'' Data'!$AA$4:$AB$7,2,FALSE)=0,"Spatial Data Missing ⚠",VLOOKUP(M19,'G-7 WaterC'' Data'!$AA$4:$AB$7,2,FALSE)))))</f>
        <v/>
      </c>
      <c r="O19" s="56"/>
      <c r="P19" s="276" t="str">
        <f>IF(O19="","",IF(AND(O19="N/A - Culvert",D19&lt;&gt;"Culvert"),"Not possible ▲",IF(AND(D19="Culvert",O19&lt;&gt;"N/A - Culvert"),"Not possible ▲",IF(VLOOKUP(O19,'G-7 WaterC'' Data'!$AD$4:$AE$14,2,FALSE)=0,"Spatial Data Missing ⚠",VLOOKUP(O19,'G-7 WaterC'' Data'!$AD$4:$AE$14,2,FALSE)))))</f>
        <v/>
      </c>
      <c r="Q19" s="282" t="str">
        <f>IF(D19="","",VLOOKUP(D19,'G-7 WaterC'' Data'!$B$4:$G$8,6,FALSE))</f>
        <v/>
      </c>
      <c r="R19" s="289" t="str">
        <f t="shared" si="1"/>
        <v xml:space="preserve"> </v>
      </c>
      <c r="S19" s="393"/>
      <c r="T19" s="281" t="str">
        <f>IF(S19="","",IF(VLOOKUP(S19,'G-7 WaterC'' Data'!$AO$4:$BO$7,2,FALSE)=0,"Spatial Data Missing ⚠",VLOOKUP(S19,'G-7 WaterC'' Data'!$AO$4:$BO$7,2,FALSE)))</f>
        <v/>
      </c>
      <c r="U19" s="289" t="str">
        <f t="shared" si="2"/>
        <v xml:space="preserve"> </v>
      </c>
      <c r="V19" s="694" t="str">
        <f t="shared" si="3"/>
        <v/>
      </c>
      <c r="W19" s="32"/>
      <c r="X19" s="52"/>
      <c r="Y19" s="53"/>
      <c r="Z19" s="287" t="str">
        <f t="shared" si="4"/>
        <v/>
      </c>
      <c r="AA19" s="287" t="str">
        <f t="shared" si="5"/>
        <v/>
      </c>
      <c r="AB19" s="287" t="str">
        <f t="shared" si="6"/>
        <v/>
      </c>
      <c r="AC19" s="491" t="str">
        <f>IFERROR(IF(OR(E19="",R19=""),"",IF(AND(AB19&lt;&gt;"",S19=""),"Spatial risk category missing ▲",IF(AND(Q19='G-7 WaterC'' Data'!$G$4,AD19="Yes"),"Alternative Compensation ✓",IF(AND(AD19="Pending",Q19='G-7 WaterC'' Data'!$G$4),"Bespoke compensation must be agreed ▲",IF((Z19+AA19)&gt;=U19,0,U19-Z19-AA19))))),"Check Data ⚠")</f>
        <v/>
      </c>
      <c r="AD19" s="393"/>
      <c r="AE19" s="105"/>
      <c r="AF19" s="104"/>
      <c r="AG19" s="104"/>
      <c r="AH19" s="104"/>
      <c r="AI19" s="54" t="str">
        <f>IF(OR(Q19="",AD19="Yes"),"",IF(Q19='G-1 All Habitats'!$X$9,E19-Y19-X19,"None"))</f>
        <v/>
      </c>
      <c r="AJ19" s="55" t="str">
        <f>IF(Q19="","",IF(Q19='G-1 All Habitats'!$X$9,AI19*G19*I19*L19*N19*P19,"None"))</f>
        <v/>
      </c>
      <c r="AK19" s="30" t="str">
        <f>IFERROR(INDEX('G-7 WaterC'' Data'!$AZ$3:$AZ$7,MATCH(D19,'G-7 WaterC'' Data'!$AY$3:$AY$7,0)),"")</f>
        <v/>
      </c>
      <c r="AL19" s="30">
        <f t="shared" si="7"/>
        <v>0</v>
      </c>
      <c r="AM19" s="95" t="str">
        <f t="shared" si="8"/>
        <v/>
      </c>
      <c r="AN19" s="95" t="str">
        <f t="shared" si="9"/>
        <v/>
      </c>
      <c r="AO19" s="96"/>
      <c r="AP19" s="95">
        <v>10</v>
      </c>
      <c r="AQ19" s="96"/>
      <c r="AR19" s="95" t="str">
        <f t="array" ref="AR19">IFERROR(INDEX($AP$10:$AP$258,MATCH(0,IF(TRUE=$AM$10:$AM$258,COUNTIF($AR$9:$AR18,$AP$10:$AP$258),""),0)),"")</f>
        <v/>
      </c>
      <c r="AS19" s="95" t="str">
        <f t="array" ref="AS19">IFERROR(INDEX($AP$10:$AP$258,MATCH(0,IF(TRUE=$AN$10:$AN$258,COUNTIF($AS$9:$AS18,$AP$10:$AP$258),""),0)),"")</f>
        <v/>
      </c>
      <c r="AT19" s="885" t="str">
        <f>IF(AND(OR(AD19="Yes",AD19="Pending"),Q19='G-7 WaterC'' Data'!$G$4),U19-AA19-Z19,"0")</f>
        <v>0</v>
      </c>
      <c r="AU19" s="30" t="str">
        <f>IF(D19="","",VLOOKUP(D19,'G-7 WaterC'' Data'!B$4:M$8,12,FALSE))</f>
        <v/>
      </c>
      <c r="AV19" s="30" t="str">
        <f t="shared" si="0"/>
        <v/>
      </c>
      <c r="AW19" s="30" t="str">
        <f t="shared" si="10"/>
        <v>No</v>
      </c>
      <c r="BA19" s="555" t="str">
        <f t="shared" si="11"/>
        <v/>
      </c>
    </row>
    <row r="20" spans="3:53" ht="14.5" thickBot="1">
      <c r="C20" s="97">
        <v>11</v>
      </c>
      <c r="D20" s="263"/>
      <c r="E20" s="104"/>
      <c r="F20" s="275" t="str">
        <f>IF(D20="","",VLOOKUP(D20,'G-7 WaterC'' Data'!$B$2:$G$8,2,FALSE))</f>
        <v/>
      </c>
      <c r="G20" s="314" t="str">
        <f>IFERROR(VLOOKUP(F20,'G-7 WaterC'' Data'!$C$4:$D$8,2,FALSE),"")</f>
        <v/>
      </c>
      <c r="H20" s="105"/>
      <c r="I20" s="299" t="str">
        <f>IFERROR(INDEX('G-7 WaterC'' Data'!$H$4:$L$8,MATCH(D20,'G-7 WaterC'' Data'!$B$4:$B$8,0),MATCH(H20,'G-7 WaterC'' Data'!$H$3:$L$3,0)),"")</f>
        <v/>
      </c>
      <c r="J20" s="702"/>
      <c r="K20" s="295" t="str">
        <f>IF(J20="","",IF(VLOOKUP(J20,'G-7 WaterC'' Data'!$AK$4:$AM$9,2,FALSE)=0,"Spatial Data Missing ⚠",VLOOKUP(J20,'G-7 WaterC'' Data'!$AK$4:$AM$6,2,FALSE)))</f>
        <v/>
      </c>
      <c r="L20" s="299" t="str">
        <f>IF(J20="","",IF(VLOOKUP(J20,'G-7 WaterC'' Data'!$AK$4:$AM$9,3,FALSE)=0,"Spatial Data Missing ⚠",VLOOKUP(J20,'G-7 WaterC'' Data'!$AK$4:$AM$6,3,FALSE)))</f>
        <v/>
      </c>
      <c r="M20" s="102"/>
      <c r="N20" s="276" t="str">
        <f>IF(M20="","",IF(AND(M20="N/A - Culvert",D20&lt;&gt;"Culvert"),"Not possible ▲",IF(AND(D20="Culvert",M20&lt;&gt;"N/A - Culvert"),"Not possible ▲",IF(VLOOKUP(M20,'G-7 WaterC'' Data'!$AA$4:$AB$7,2,FALSE)=0,"Spatial Data Missing ⚠",VLOOKUP(M20,'G-7 WaterC'' Data'!$AA$4:$AB$7,2,FALSE)))))</f>
        <v/>
      </c>
      <c r="O20" s="56"/>
      <c r="P20" s="276" t="str">
        <f>IF(O20="","",IF(AND(O20="N/A - Culvert",D20&lt;&gt;"Culvert"),"Not possible ▲",IF(AND(D20="Culvert",O20&lt;&gt;"N/A - Culvert"),"Not possible ▲",IF(VLOOKUP(O20,'G-7 WaterC'' Data'!$AD$4:$AE$14,2,FALSE)=0,"Spatial Data Missing ⚠",VLOOKUP(O20,'G-7 WaterC'' Data'!$AD$4:$AE$14,2,FALSE)))))</f>
        <v/>
      </c>
      <c r="Q20" s="282" t="str">
        <f>IF(D20="","",VLOOKUP(D20,'G-7 WaterC'' Data'!$B$4:$G$8,6,FALSE))</f>
        <v/>
      </c>
      <c r="R20" s="289" t="str">
        <f t="shared" si="1"/>
        <v xml:space="preserve"> </v>
      </c>
      <c r="S20" s="393"/>
      <c r="T20" s="281" t="str">
        <f>IF(S20="","",IF(VLOOKUP(S20,'G-7 WaterC'' Data'!$AO$4:$BO$7,2,FALSE)=0,"Spatial Data Missing ⚠",VLOOKUP(S20,'G-7 WaterC'' Data'!$AO$4:$BO$7,2,FALSE)))</f>
        <v/>
      </c>
      <c r="U20" s="289" t="str">
        <f t="shared" si="2"/>
        <v xml:space="preserve"> </v>
      </c>
      <c r="V20" s="694" t="str">
        <f t="shared" si="3"/>
        <v/>
      </c>
      <c r="W20" s="32"/>
      <c r="X20" s="52"/>
      <c r="Y20" s="53"/>
      <c r="Z20" s="287" t="str">
        <f t="shared" si="4"/>
        <v/>
      </c>
      <c r="AA20" s="287" t="str">
        <f t="shared" si="5"/>
        <v/>
      </c>
      <c r="AB20" s="287" t="str">
        <f t="shared" si="6"/>
        <v/>
      </c>
      <c r="AC20" s="491" t="str">
        <f>IFERROR(IF(OR(E20="",R20=""),"",IF(AND(AB20&lt;&gt;"",S20=""),"Spatial risk category missing ▲",IF(AND(Q20='G-7 WaterC'' Data'!$G$4,AD20="Yes"),"Alternative Compensation ✓",IF(AND(AD20="Pending",Q20='G-7 WaterC'' Data'!$G$4),"Bespoke compensation must be agreed ▲",IF((Z20+AA20)&gt;=U20,0,U20-Z20-AA20))))),"Check Data ⚠")</f>
        <v/>
      </c>
      <c r="AD20" s="393"/>
      <c r="AE20" s="105"/>
      <c r="AF20" s="104"/>
      <c r="AG20" s="104"/>
      <c r="AH20" s="104"/>
      <c r="AI20" s="54" t="str">
        <f>IF(OR(Q20="",AD20="Yes"),"",IF(Q20='G-1 All Habitats'!$X$9,E20-Y20-X20,"None"))</f>
        <v/>
      </c>
      <c r="AJ20" s="55" t="str">
        <f>IF(Q20="","",IF(Q20='G-1 All Habitats'!$X$9,AI20*G20*I20*L20*N20*P20,"None"))</f>
        <v/>
      </c>
      <c r="AK20" s="30" t="str">
        <f>IFERROR(INDEX('G-7 WaterC'' Data'!$AZ$3:$AZ$7,MATCH(D20,'G-7 WaterC'' Data'!$AY$3:$AY$7,0)),"")</f>
        <v/>
      </c>
      <c r="AL20" s="30">
        <f t="shared" si="7"/>
        <v>0</v>
      </c>
      <c r="AM20" s="95" t="str">
        <f t="shared" si="8"/>
        <v/>
      </c>
      <c r="AN20" s="95" t="str">
        <f t="shared" si="9"/>
        <v/>
      </c>
      <c r="AO20" s="96"/>
      <c r="AP20" s="95">
        <v>11</v>
      </c>
      <c r="AQ20" s="96"/>
      <c r="AR20" s="95" t="str">
        <f t="array" ref="AR20">IFERROR(INDEX($AP$10:$AP$258,MATCH(0,IF(TRUE=$AM$10:$AM$258,COUNTIF($AR$9:$AR19,$AP$10:$AP$258),""),0)),"")</f>
        <v/>
      </c>
      <c r="AS20" s="95" t="str">
        <f t="array" ref="AS20">IFERROR(INDEX($AP$10:$AP$258,MATCH(0,IF(TRUE=$AN$10:$AN$258,COUNTIF($AS$9:$AS19,$AP$10:$AP$258),""),0)),"")</f>
        <v/>
      </c>
      <c r="AT20" s="885" t="str">
        <f>IF(AND(OR(AD20="Yes",AD20="Pending"),Q20='G-7 WaterC'' Data'!$G$4),U20-AA20-Z20,"0")</f>
        <v>0</v>
      </c>
      <c r="AU20" s="30" t="str">
        <f>IF(D20="","",VLOOKUP(D20,'G-7 WaterC'' Data'!B$4:M$8,12,FALSE))</f>
        <v/>
      </c>
      <c r="AV20" s="30" t="str">
        <f t="shared" si="0"/>
        <v/>
      </c>
      <c r="AW20" s="30" t="str">
        <f t="shared" si="10"/>
        <v>No</v>
      </c>
      <c r="BA20" s="555" t="str">
        <f t="shared" si="11"/>
        <v/>
      </c>
    </row>
    <row r="21" spans="3:53" ht="14.5" thickBot="1">
      <c r="C21" s="97">
        <v>12</v>
      </c>
      <c r="D21" s="263"/>
      <c r="E21" s="104"/>
      <c r="F21" s="275" t="str">
        <f>IF(D21="","",VLOOKUP(D21,'G-7 WaterC'' Data'!$B$2:$G$8,2,FALSE))</f>
        <v/>
      </c>
      <c r="G21" s="314" t="str">
        <f>IFERROR(VLOOKUP(F21,'G-7 WaterC'' Data'!$C$4:$D$8,2,FALSE),"")</f>
        <v/>
      </c>
      <c r="H21" s="105"/>
      <c r="I21" s="299" t="str">
        <f>IFERROR(INDEX('G-7 WaterC'' Data'!$H$4:$L$8,MATCH(D21,'G-7 WaterC'' Data'!$B$4:$B$8,0),MATCH(H21,'G-7 WaterC'' Data'!$H$3:$L$3,0)),"")</f>
        <v/>
      </c>
      <c r="J21" s="702"/>
      <c r="K21" s="295" t="str">
        <f>IF(J21="","",IF(VLOOKUP(J21,'G-7 WaterC'' Data'!$AK$4:$AM$9,2,FALSE)=0,"Spatial Data Missing ⚠",VLOOKUP(J21,'G-7 WaterC'' Data'!$AK$4:$AM$6,2,FALSE)))</f>
        <v/>
      </c>
      <c r="L21" s="299" t="str">
        <f>IF(J21="","",IF(VLOOKUP(J21,'G-7 WaterC'' Data'!$AK$4:$AM$9,3,FALSE)=0,"Spatial Data Missing ⚠",VLOOKUP(J21,'G-7 WaterC'' Data'!$AK$4:$AM$6,3,FALSE)))</f>
        <v/>
      </c>
      <c r="M21" s="102"/>
      <c r="N21" s="276" t="str">
        <f>IF(M21="","",IF(AND(M21="N/A - Culvert",D21&lt;&gt;"Culvert"),"Not possible ▲",IF(AND(D21="Culvert",M21&lt;&gt;"N/A - Culvert"),"Not possible ▲",IF(VLOOKUP(M21,'G-7 WaterC'' Data'!$AA$4:$AB$7,2,FALSE)=0,"Spatial Data Missing ⚠",VLOOKUP(M21,'G-7 WaterC'' Data'!$AA$4:$AB$7,2,FALSE)))))</f>
        <v/>
      </c>
      <c r="O21" s="56"/>
      <c r="P21" s="276" t="str">
        <f>IF(O21="","",IF(AND(O21="N/A - Culvert",D21&lt;&gt;"Culvert"),"Not possible ▲",IF(AND(D21="Culvert",O21&lt;&gt;"N/A - Culvert"),"Not possible ▲",IF(VLOOKUP(O21,'G-7 WaterC'' Data'!$AD$4:$AE$14,2,FALSE)=0,"Spatial Data Missing ⚠",VLOOKUP(O21,'G-7 WaterC'' Data'!$AD$4:$AE$14,2,FALSE)))))</f>
        <v/>
      </c>
      <c r="Q21" s="282" t="str">
        <f>IF(D21="","",VLOOKUP(D21,'G-7 WaterC'' Data'!$B$4:$G$8,6,FALSE))</f>
        <v/>
      </c>
      <c r="R21" s="289" t="str">
        <f t="shared" si="1"/>
        <v xml:space="preserve"> </v>
      </c>
      <c r="S21" s="393"/>
      <c r="T21" s="281" t="str">
        <f>IF(S21="","",IF(VLOOKUP(S21,'G-7 WaterC'' Data'!$AO$4:$BO$7,2,FALSE)=0,"Spatial Data Missing ⚠",VLOOKUP(S21,'G-7 WaterC'' Data'!$AO$4:$BO$7,2,FALSE)))</f>
        <v/>
      </c>
      <c r="U21" s="289" t="str">
        <f t="shared" si="2"/>
        <v xml:space="preserve"> </v>
      </c>
      <c r="V21" s="694" t="str">
        <f t="shared" si="3"/>
        <v/>
      </c>
      <c r="W21" s="32"/>
      <c r="X21" s="52"/>
      <c r="Y21" s="53"/>
      <c r="Z21" s="287" t="str">
        <f t="shared" si="4"/>
        <v/>
      </c>
      <c r="AA21" s="287" t="str">
        <f t="shared" si="5"/>
        <v/>
      </c>
      <c r="AB21" s="287" t="str">
        <f t="shared" si="6"/>
        <v/>
      </c>
      <c r="AC21" s="491" t="str">
        <f>IFERROR(IF(OR(E21="",R21=""),"",IF(AND(AB21&lt;&gt;"",S21=""),"Spatial risk category missing ▲",IF(AND(Q21='G-7 WaterC'' Data'!$G$4,AD21="Yes"),"Alternative Compensation ✓",IF(AND(AD21="Pending",Q21='G-7 WaterC'' Data'!$G$4),"Bespoke compensation must be agreed ▲",IF((Z21+AA21)&gt;=U21,0,U21-Z21-AA21))))),"Check Data ⚠")</f>
        <v/>
      </c>
      <c r="AD21" s="393"/>
      <c r="AE21" s="105"/>
      <c r="AF21" s="104"/>
      <c r="AG21" s="104"/>
      <c r="AH21" s="104"/>
      <c r="AI21" s="54" t="str">
        <f>IF(OR(Q21="",AD21="Yes"),"",IF(Q21='G-1 All Habitats'!$X$9,E21-Y21-X21,"None"))</f>
        <v/>
      </c>
      <c r="AJ21" s="55" t="str">
        <f>IF(Q21="","",IF(Q21='G-1 All Habitats'!$X$9,AI21*G21*I21*L21*N21*P21,"None"))</f>
        <v/>
      </c>
      <c r="AK21" s="30" t="str">
        <f>IFERROR(INDEX('G-7 WaterC'' Data'!$AZ$3:$AZ$7,MATCH(D21,'G-7 WaterC'' Data'!$AY$3:$AY$7,0)),"")</f>
        <v/>
      </c>
      <c r="AL21" s="30">
        <f t="shared" si="7"/>
        <v>0</v>
      </c>
      <c r="AM21" s="95" t="str">
        <f t="shared" si="8"/>
        <v/>
      </c>
      <c r="AN21" s="95" t="str">
        <f t="shared" si="9"/>
        <v/>
      </c>
      <c r="AO21" s="96"/>
      <c r="AP21" s="95">
        <v>12</v>
      </c>
      <c r="AQ21" s="96"/>
      <c r="AR21" s="95" t="str">
        <f t="array" ref="AR21">IFERROR(INDEX($AP$10:$AP$258,MATCH(0,IF(TRUE=$AM$10:$AM$258,COUNTIF($AR$9:$AR20,$AP$10:$AP$258),""),0)),"")</f>
        <v/>
      </c>
      <c r="AS21" s="95" t="str">
        <f t="array" ref="AS21">IFERROR(INDEX($AP$10:$AP$258,MATCH(0,IF(TRUE=$AN$10:$AN$258,COUNTIF($AS$9:$AS20,$AP$10:$AP$258),""),0)),"")</f>
        <v/>
      </c>
      <c r="AT21" s="885" t="str">
        <f>IF(AND(OR(AD21="Yes",AD21="Pending"),Q21='G-7 WaterC'' Data'!$G$4),U21-AA21-Z21,"0")</f>
        <v>0</v>
      </c>
      <c r="AU21" s="30" t="str">
        <f>IF(D21="","",VLOOKUP(D21,'G-7 WaterC'' Data'!B$4:M$8,12,FALSE))</f>
        <v/>
      </c>
      <c r="AV21" s="30" t="str">
        <f t="shared" si="0"/>
        <v/>
      </c>
      <c r="AW21" s="30" t="str">
        <f t="shared" si="10"/>
        <v>No</v>
      </c>
      <c r="BA21" s="555" t="str">
        <f t="shared" si="11"/>
        <v/>
      </c>
    </row>
    <row r="22" spans="3:53" ht="14.5" thickBot="1">
      <c r="C22" s="97">
        <v>13</v>
      </c>
      <c r="D22" s="263"/>
      <c r="E22" s="104"/>
      <c r="F22" s="275" t="str">
        <f>IF(D22="","",VLOOKUP(D22,'G-7 WaterC'' Data'!$B$2:$G$8,2,FALSE))</f>
        <v/>
      </c>
      <c r="G22" s="314" t="str">
        <f>IFERROR(VLOOKUP(F22,'G-7 WaterC'' Data'!$C$4:$D$8,2,FALSE),"")</f>
        <v/>
      </c>
      <c r="H22" s="105"/>
      <c r="I22" s="299" t="str">
        <f>IFERROR(INDEX('G-7 WaterC'' Data'!$H$4:$L$8,MATCH(D22,'G-7 WaterC'' Data'!$B$4:$B$8,0),MATCH(H22,'G-7 WaterC'' Data'!$H$3:$L$3,0)),"")</f>
        <v/>
      </c>
      <c r="J22" s="702"/>
      <c r="K22" s="295" t="str">
        <f>IF(J22="","",IF(VLOOKUP(J22,'G-7 WaterC'' Data'!$AK$4:$AM$9,2,FALSE)=0,"Spatial Data Missing ⚠",VLOOKUP(J22,'G-7 WaterC'' Data'!$AK$4:$AM$6,2,FALSE)))</f>
        <v/>
      </c>
      <c r="L22" s="299" t="str">
        <f>IF(J22="","",IF(VLOOKUP(J22,'G-7 WaterC'' Data'!$AK$4:$AM$9,3,FALSE)=0,"Spatial Data Missing ⚠",VLOOKUP(J22,'G-7 WaterC'' Data'!$AK$4:$AM$6,3,FALSE)))</f>
        <v/>
      </c>
      <c r="M22" s="102"/>
      <c r="N22" s="276" t="str">
        <f>IF(M22="","",IF(AND(M22="N/A - Culvert",D22&lt;&gt;"Culvert"),"Not possible ▲",IF(AND(D22="Culvert",M22&lt;&gt;"N/A - Culvert"),"Not possible ▲",IF(VLOOKUP(M22,'G-7 WaterC'' Data'!$AA$4:$AB$7,2,FALSE)=0,"Spatial Data Missing ⚠",VLOOKUP(M22,'G-7 WaterC'' Data'!$AA$4:$AB$7,2,FALSE)))))</f>
        <v/>
      </c>
      <c r="O22" s="56"/>
      <c r="P22" s="276" t="str">
        <f>IF(O22="","",IF(AND(O22="N/A - Culvert",D22&lt;&gt;"Culvert"),"Not possible ▲",IF(AND(D22="Culvert",O22&lt;&gt;"N/A - Culvert"),"Not possible ▲",IF(VLOOKUP(O22,'G-7 WaterC'' Data'!$AD$4:$AE$14,2,FALSE)=0,"Spatial Data Missing ⚠",VLOOKUP(O22,'G-7 WaterC'' Data'!$AD$4:$AE$14,2,FALSE)))))</f>
        <v/>
      </c>
      <c r="Q22" s="282" t="str">
        <f>IF(D22="","",VLOOKUP(D22,'G-7 WaterC'' Data'!$B$4:$G$8,6,FALSE))</f>
        <v/>
      </c>
      <c r="R22" s="289" t="str">
        <f t="shared" si="1"/>
        <v xml:space="preserve"> </v>
      </c>
      <c r="S22" s="393"/>
      <c r="T22" s="281" t="str">
        <f>IF(S22="","",IF(VLOOKUP(S22,'G-7 WaterC'' Data'!$AO$4:$BO$7,2,FALSE)=0,"Spatial Data Missing ⚠",VLOOKUP(S22,'G-7 WaterC'' Data'!$AO$4:$BO$7,2,FALSE)))</f>
        <v/>
      </c>
      <c r="U22" s="289" t="str">
        <f t="shared" si="2"/>
        <v xml:space="preserve"> </v>
      </c>
      <c r="V22" s="694" t="str">
        <f t="shared" si="3"/>
        <v/>
      </c>
      <c r="W22" s="32"/>
      <c r="X22" s="52"/>
      <c r="Y22" s="53"/>
      <c r="Z22" s="287" t="str">
        <f t="shared" si="4"/>
        <v/>
      </c>
      <c r="AA22" s="287" t="str">
        <f t="shared" si="5"/>
        <v/>
      </c>
      <c r="AB22" s="287" t="str">
        <f t="shared" si="6"/>
        <v/>
      </c>
      <c r="AC22" s="491" t="str">
        <f>IFERROR(IF(OR(E22="",R22=""),"",IF(AND(AB22&lt;&gt;"",S22=""),"Spatial risk category missing ▲",IF(AND(Q22='G-7 WaterC'' Data'!$G$4,AD22="Yes"),"Alternative Compensation ✓",IF(AND(AD22="Pending",Q22='G-7 WaterC'' Data'!$G$4),"Bespoke compensation must be agreed ▲",IF((Z22+AA22)&gt;=U22,0,U22-Z22-AA22))))),"Check Data ⚠")</f>
        <v/>
      </c>
      <c r="AD22" s="393"/>
      <c r="AE22" s="105"/>
      <c r="AF22" s="104"/>
      <c r="AG22" s="104"/>
      <c r="AH22" s="104"/>
      <c r="AI22" s="54" t="str">
        <f>IF(OR(Q22="",AD22="Yes"),"",IF(Q22='G-1 All Habitats'!$X$9,E22-Y22-X22,"None"))</f>
        <v/>
      </c>
      <c r="AJ22" s="55" t="str">
        <f>IF(Q22="","",IF(Q22='G-1 All Habitats'!$X$9,AI22*G22*I22*L22*N22*P22,"None"))</f>
        <v/>
      </c>
      <c r="AK22" s="30" t="str">
        <f>IFERROR(INDEX('G-7 WaterC'' Data'!$AZ$3:$AZ$7,MATCH(D22,'G-7 WaterC'' Data'!$AY$3:$AY$7,0)),"")</f>
        <v/>
      </c>
      <c r="AL22" s="30">
        <f t="shared" si="7"/>
        <v>0</v>
      </c>
      <c r="AM22" s="95" t="str">
        <f t="shared" si="8"/>
        <v/>
      </c>
      <c r="AN22" s="95" t="str">
        <f t="shared" si="9"/>
        <v/>
      </c>
      <c r="AO22" s="96"/>
      <c r="AP22" s="95">
        <v>13</v>
      </c>
      <c r="AQ22" s="96"/>
      <c r="AR22" s="95" t="str">
        <f t="array" ref="AR22">IFERROR(INDEX($AP$10:$AP$258,MATCH(0,IF(TRUE=$AM$10:$AM$258,COUNTIF($AR$9:$AR21,$AP$10:$AP$258),""),0)),"")</f>
        <v/>
      </c>
      <c r="AS22" s="95" t="str">
        <f t="array" ref="AS22">IFERROR(INDEX($AP$10:$AP$258,MATCH(0,IF(TRUE=$AN$10:$AN$258,COUNTIF($AS$9:$AS21,$AP$10:$AP$258),""),0)),"")</f>
        <v/>
      </c>
      <c r="AT22" s="885" t="str">
        <f>IF(AND(OR(AD22="Yes",AD22="Pending"),Q22='G-7 WaterC'' Data'!$G$4),U22-AA22-Z22,"0")</f>
        <v>0</v>
      </c>
      <c r="AU22" s="30" t="str">
        <f>IF(D22="","",VLOOKUP(D22,'G-7 WaterC'' Data'!B$4:M$8,12,FALSE))</f>
        <v/>
      </c>
      <c r="AV22" s="30" t="str">
        <f t="shared" si="0"/>
        <v/>
      </c>
      <c r="AW22" s="30" t="str">
        <f t="shared" si="10"/>
        <v>No</v>
      </c>
      <c r="BA22" s="555" t="str">
        <f t="shared" si="11"/>
        <v/>
      </c>
    </row>
    <row r="23" spans="3:53" ht="14.5" thickBot="1">
      <c r="C23" s="97">
        <v>14</v>
      </c>
      <c r="D23" s="263"/>
      <c r="E23" s="104"/>
      <c r="F23" s="275" t="str">
        <f>IF(D23="","",VLOOKUP(D23,'G-7 WaterC'' Data'!$B$2:$G$8,2,FALSE))</f>
        <v/>
      </c>
      <c r="G23" s="314" t="str">
        <f>IFERROR(VLOOKUP(F23,'G-7 WaterC'' Data'!$C$4:$D$8,2,FALSE),"")</f>
        <v/>
      </c>
      <c r="H23" s="105"/>
      <c r="I23" s="299" t="str">
        <f>IFERROR(INDEX('G-7 WaterC'' Data'!$H$4:$L$8,MATCH(D23,'G-7 WaterC'' Data'!$B$4:$B$8,0),MATCH(H23,'G-7 WaterC'' Data'!$H$3:$L$3,0)),"")</f>
        <v/>
      </c>
      <c r="J23" s="702"/>
      <c r="K23" s="295" t="str">
        <f>IF(J23="","",IF(VLOOKUP(J23,'G-7 WaterC'' Data'!$AK$4:$AM$9,2,FALSE)=0,"Spatial Data Missing ⚠",VLOOKUP(J23,'G-7 WaterC'' Data'!$AK$4:$AM$6,2,FALSE)))</f>
        <v/>
      </c>
      <c r="L23" s="299" t="str">
        <f>IF(J23="","",IF(VLOOKUP(J23,'G-7 WaterC'' Data'!$AK$4:$AM$9,3,FALSE)=0,"Spatial Data Missing ⚠",VLOOKUP(J23,'G-7 WaterC'' Data'!$AK$4:$AM$6,3,FALSE)))</f>
        <v/>
      </c>
      <c r="M23" s="102"/>
      <c r="N23" s="276" t="str">
        <f>IF(M23="","",IF(AND(M23="N/A - Culvert",D23&lt;&gt;"Culvert"),"Not possible ▲",IF(AND(D23="Culvert",M23&lt;&gt;"N/A - Culvert"),"Not possible ▲",IF(VLOOKUP(M23,'G-7 WaterC'' Data'!$AA$4:$AB$7,2,FALSE)=0,"Spatial Data Missing ⚠",VLOOKUP(M23,'G-7 WaterC'' Data'!$AA$4:$AB$7,2,FALSE)))))</f>
        <v/>
      </c>
      <c r="O23" s="56"/>
      <c r="P23" s="276" t="str">
        <f>IF(O23="","",IF(AND(O23="N/A - Culvert",D23&lt;&gt;"Culvert"),"Not possible ▲",IF(AND(D23="Culvert",O23&lt;&gt;"N/A - Culvert"),"Not possible ▲",IF(VLOOKUP(O23,'G-7 WaterC'' Data'!$AD$4:$AE$14,2,FALSE)=0,"Spatial Data Missing ⚠",VLOOKUP(O23,'G-7 WaterC'' Data'!$AD$4:$AE$14,2,FALSE)))))</f>
        <v/>
      </c>
      <c r="Q23" s="282" t="str">
        <f>IF(D23="","",VLOOKUP(D23,'G-7 WaterC'' Data'!$B$4:$G$8,6,FALSE))</f>
        <v/>
      </c>
      <c r="R23" s="289" t="str">
        <f t="shared" si="1"/>
        <v xml:space="preserve"> </v>
      </c>
      <c r="S23" s="393"/>
      <c r="T23" s="281" t="str">
        <f>IF(S23="","",IF(VLOOKUP(S23,'G-7 WaterC'' Data'!$AO$4:$BO$7,2,FALSE)=0,"Spatial Data Missing ⚠",VLOOKUP(S23,'G-7 WaterC'' Data'!$AO$4:$BO$7,2,FALSE)))</f>
        <v/>
      </c>
      <c r="U23" s="289" t="str">
        <f t="shared" si="2"/>
        <v xml:space="preserve"> </v>
      </c>
      <c r="V23" s="694" t="str">
        <f t="shared" si="3"/>
        <v/>
      </c>
      <c r="W23" s="32"/>
      <c r="X23" s="52"/>
      <c r="Y23" s="53"/>
      <c r="Z23" s="287" t="str">
        <f t="shared" si="4"/>
        <v/>
      </c>
      <c r="AA23" s="287" t="str">
        <f t="shared" si="5"/>
        <v/>
      </c>
      <c r="AB23" s="287" t="str">
        <f t="shared" si="6"/>
        <v/>
      </c>
      <c r="AC23" s="491" t="str">
        <f>IFERROR(IF(OR(E23="",R23=""),"",IF(AND(AB23&lt;&gt;"",S23=""),"Spatial risk category missing ▲",IF(AND(Q23='G-7 WaterC'' Data'!$G$4,AD23="Yes"),"Alternative Compensation ✓",IF(AND(AD23="Pending",Q23='G-7 WaterC'' Data'!$G$4),"Bespoke compensation must be agreed ▲",IF((Z23+AA23)&gt;=U23,0,U23-Z23-AA23))))),"Check Data ⚠")</f>
        <v/>
      </c>
      <c r="AD23" s="393"/>
      <c r="AE23" s="105"/>
      <c r="AF23" s="104"/>
      <c r="AG23" s="104"/>
      <c r="AH23" s="104"/>
      <c r="AI23" s="54" t="str">
        <f>IF(OR(Q23="",AD23="Yes"),"",IF(Q23='G-1 All Habitats'!$X$9,E23-Y23-X23,"None"))</f>
        <v/>
      </c>
      <c r="AJ23" s="55" t="str">
        <f>IF(Q23="","",IF(Q23='G-1 All Habitats'!$X$9,AI23*G23*I23*L23*N23*P23,"None"))</f>
        <v/>
      </c>
      <c r="AK23" s="30" t="str">
        <f>IFERROR(INDEX('G-7 WaterC'' Data'!$AZ$3:$AZ$7,MATCH(D23,'G-7 WaterC'' Data'!$AY$3:$AY$7,0)),"")</f>
        <v/>
      </c>
      <c r="AL23" s="30">
        <f t="shared" si="7"/>
        <v>0</v>
      </c>
      <c r="AM23" s="107" t="str">
        <f t="shared" si="8"/>
        <v/>
      </c>
      <c r="AN23" s="107" t="str">
        <f t="shared" si="9"/>
        <v/>
      </c>
      <c r="AP23" s="107">
        <v>14</v>
      </c>
      <c r="AR23" s="107" t="str">
        <f t="array" ref="AR23">IFERROR(INDEX($AP$10:$AP$258,MATCH(0,IF(TRUE=$AM$10:$AM$258,COUNTIF($AR$9:$AR22,$AP$10:$AP$258),""),0)),"")</f>
        <v/>
      </c>
      <c r="AS23" s="107" t="str">
        <f t="array" ref="AS23">IFERROR(INDEX($AP$10:$AP$258,MATCH(0,IF(TRUE=$AN$10:$AN$258,COUNTIF($AS$9:$AS22,$AP$10:$AP$258),""),0)),"")</f>
        <v/>
      </c>
      <c r="AT23" s="885" t="str">
        <f>IF(AND(OR(AD23="Yes",AD23="Pending"),Q23='G-7 WaterC'' Data'!$G$4),U23-AA23-Z23,"0")</f>
        <v>0</v>
      </c>
      <c r="AU23" s="30" t="str">
        <f>IF(D23="","",VLOOKUP(D23,'G-7 WaterC'' Data'!B$4:M$8,12,FALSE))</f>
        <v/>
      </c>
      <c r="AV23" s="30" t="str">
        <f t="shared" si="0"/>
        <v/>
      </c>
      <c r="AW23" s="30" t="str">
        <f t="shared" si="10"/>
        <v>No</v>
      </c>
      <c r="BA23" s="555" t="str">
        <f t="shared" si="11"/>
        <v/>
      </c>
    </row>
    <row r="24" spans="3:53" ht="14.5" thickBot="1">
      <c r="C24" s="97">
        <v>15</v>
      </c>
      <c r="D24" s="263"/>
      <c r="E24" s="104"/>
      <c r="F24" s="275" t="str">
        <f>IF(D24="","",VLOOKUP(D24,'G-7 WaterC'' Data'!$B$2:$G$8,2,FALSE))</f>
        <v/>
      </c>
      <c r="G24" s="314" t="str">
        <f>IFERROR(VLOOKUP(F24,'G-7 WaterC'' Data'!$C$4:$D$8,2,FALSE),"")</f>
        <v/>
      </c>
      <c r="H24" s="105"/>
      <c r="I24" s="299" t="str">
        <f>IFERROR(INDEX('G-7 WaterC'' Data'!$H$4:$L$8,MATCH(D24,'G-7 WaterC'' Data'!$B$4:$B$8,0),MATCH(H24,'G-7 WaterC'' Data'!$H$3:$L$3,0)),"")</f>
        <v/>
      </c>
      <c r="J24" s="702"/>
      <c r="K24" s="295" t="str">
        <f>IF(J24="","",IF(VLOOKUP(J24,'G-7 WaterC'' Data'!$AK$4:$AM$9,2,FALSE)=0,"Spatial Data Missing ⚠",VLOOKUP(J24,'G-7 WaterC'' Data'!$AK$4:$AM$6,2,FALSE)))</f>
        <v/>
      </c>
      <c r="L24" s="299" t="str">
        <f>IF(J24="","",IF(VLOOKUP(J24,'G-7 WaterC'' Data'!$AK$4:$AM$9,3,FALSE)=0,"Spatial Data Missing ⚠",VLOOKUP(J24,'G-7 WaterC'' Data'!$AK$4:$AM$6,3,FALSE)))</f>
        <v/>
      </c>
      <c r="M24" s="102"/>
      <c r="N24" s="276" t="str">
        <f>IF(M24="","",IF(AND(M24="N/A - Culvert",D24&lt;&gt;"Culvert"),"Not possible ▲",IF(AND(D24="Culvert",M24&lt;&gt;"N/A - Culvert"),"Not possible ▲",IF(VLOOKUP(M24,'G-7 WaterC'' Data'!$AA$4:$AB$7,2,FALSE)=0,"Spatial Data Missing ⚠",VLOOKUP(M24,'G-7 WaterC'' Data'!$AA$4:$AB$7,2,FALSE)))))</f>
        <v/>
      </c>
      <c r="O24" s="56"/>
      <c r="P24" s="276" t="str">
        <f>IF(O24="","",IF(AND(O24="N/A - Culvert",D24&lt;&gt;"Culvert"),"Not possible ▲",IF(AND(D24="Culvert",O24&lt;&gt;"N/A - Culvert"),"Not possible ▲",IF(VLOOKUP(O24,'G-7 WaterC'' Data'!$AD$4:$AE$14,2,FALSE)=0,"Spatial Data Missing ⚠",VLOOKUP(O24,'G-7 WaterC'' Data'!$AD$4:$AE$14,2,FALSE)))))</f>
        <v/>
      </c>
      <c r="Q24" s="282" t="str">
        <f>IF(D24="","",VLOOKUP(D24,'G-7 WaterC'' Data'!$B$4:$G$8,6,FALSE))</f>
        <v/>
      </c>
      <c r="R24" s="289" t="str">
        <f t="shared" si="1"/>
        <v xml:space="preserve"> </v>
      </c>
      <c r="S24" s="393"/>
      <c r="T24" s="281" t="str">
        <f>IF(S24="","",IF(VLOOKUP(S24,'G-7 WaterC'' Data'!$AO$4:$BO$7,2,FALSE)=0,"Spatial Data Missing ⚠",VLOOKUP(S24,'G-7 WaterC'' Data'!$AO$4:$BO$7,2,FALSE)))</f>
        <v/>
      </c>
      <c r="U24" s="289" t="str">
        <f t="shared" si="2"/>
        <v xml:space="preserve"> </v>
      </c>
      <c r="V24" s="694" t="str">
        <f t="shared" si="3"/>
        <v/>
      </c>
      <c r="W24" s="32"/>
      <c r="X24" s="101"/>
      <c r="Y24" s="108"/>
      <c r="Z24" s="287" t="str">
        <f t="shared" si="4"/>
        <v/>
      </c>
      <c r="AA24" s="287" t="str">
        <f t="shared" si="5"/>
        <v/>
      </c>
      <c r="AB24" s="287" t="str">
        <f t="shared" si="6"/>
        <v/>
      </c>
      <c r="AC24" s="491" t="str">
        <f>IFERROR(IF(OR(E24="",R24=""),"",IF(AND(AB24&lt;&gt;"",S24=""),"Spatial risk category missing ▲",IF(AND(Q24='G-7 WaterC'' Data'!$G$4,AD24="Yes"),"Alternative Compensation ✓",IF(AND(AD24="Pending",Q24='G-7 WaterC'' Data'!$G$4),"Bespoke compensation must be agreed ▲",IF((Z24+AA24)&gt;=U24,0,U24-Z24-AA24))))),"Check Data ⚠")</f>
        <v/>
      </c>
      <c r="AD24" s="393"/>
      <c r="AE24" s="105"/>
      <c r="AF24" s="104"/>
      <c r="AG24" s="104"/>
      <c r="AH24" s="104"/>
      <c r="AI24" s="54" t="str">
        <f>IF(OR(Q24="",AD24="Yes"),"",IF(Q24='G-1 All Habitats'!$X$9,E24-Y24-X24,"None"))</f>
        <v/>
      </c>
      <c r="AJ24" s="55" t="str">
        <f>IF(Q24="","",IF(Q24='G-1 All Habitats'!$X$9,AI24*G24*I24*L24*N24*P24,"None"))</f>
        <v/>
      </c>
      <c r="AK24" s="30" t="str">
        <f>IFERROR(INDEX('G-7 WaterC'' Data'!$AZ$3:$AZ$7,MATCH(D24,'G-7 WaterC'' Data'!$AY$3:$AY$7,0)),"")</f>
        <v/>
      </c>
      <c r="AL24" s="30">
        <f t="shared" si="7"/>
        <v>0</v>
      </c>
      <c r="AM24" s="107" t="str">
        <f t="shared" si="8"/>
        <v/>
      </c>
      <c r="AN24" s="107" t="str">
        <f t="shared" si="9"/>
        <v/>
      </c>
      <c r="AP24" s="107">
        <v>15</v>
      </c>
      <c r="AR24" s="107" t="str">
        <f t="array" ref="AR24">IFERROR(INDEX($AP$10:$AP$258,MATCH(0,IF(TRUE=$AM$10:$AM$258,COUNTIF($AR$9:$AR23,$AP$10:$AP$258),""),0)),"")</f>
        <v/>
      </c>
      <c r="AS24" s="107" t="str">
        <f t="array" ref="AS24">IFERROR(INDEX($AP$10:$AP$258,MATCH(0,IF(TRUE=$AN$10:$AN$258,COUNTIF($AS$9:$AS23,$AP$10:$AP$258),""),0)),"")</f>
        <v/>
      </c>
      <c r="AT24" s="885" t="str">
        <f>IF(AND(OR(AD24="Yes",AD24="Pending"),Q24='G-7 WaterC'' Data'!$G$4),U24-AA24-Z24,"0")</f>
        <v>0</v>
      </c>
      <c r="AU24" s="30" t="str">
        <f>IF(D24="","",VLOOKUP(D24,'G-7 WaterC'' Data'!B$4:M$8,12,FALSE))</f>
        <v/>
      </c>
      <c r="AV24" s="30" t="str">
        <f t="shared" si="0"/>
        <v/>
      </c>
      <c r="AW24" s="30" t="str">
        <f t="shared" si="10"/>
        <v>No</v>
      </c>
      <c r="BA24" s="555" t="str">
        <f t="shared" si="11"/>
        <v/>
      </c>
    </row>
    <row r="25" spans="3:53" ht="14.5" thickBot="1">
      <c r="C25" s="97">
        <v>16</v>
      </c>
      <c r="D25" s="263"/>
      <c r="E25" s="104"/>
      <c r="F25" s="275" t="str">
        <f>IF(D25="","",VLOOKUP(D25,'G-7 WaterC'' Data'!$B$2:$G$8,2,FALSE))</f>
        <v/>
      </c>
      <c r="G25" s="314" t="str">
        <f>IFERROR(VLOOKUP(F25,'G-7 WaterC'' Data'!$C$4:$D$8,2,FALSE),"")</f>
        <v/>
      </c>
      <c r="H25" s="105"/>
      <c r="I25" s="299" t="str">
        <f>IFERROR(INDEX('G-7 WaterC'' Data'!$H$4:$L$8,MATCH(D25,'G-7 WaterC'' Data'!$B$4:$B$8,0),MATCH(H25,'G-7 WaterC'' Data'!$H$3:$L$3,0)),"")</f>
        <v/>
      </c>
      <c r="J25" s="702"/>
      <c r="K25" s="295" t="str">
        <f>IF(J25="","",IF(VLOOKUP(J25,'G-7 WaterC'' Data'!$AK$4:$AM$9,2,FALSE)=0,"Spatial Data Missing ⚠",VLOOKUP(J25,'G-7 WaterC'' Data'!$AK$4:$AM$6,2,FALSE)))</f>
        <v/>
      </c>
      <c r="L25" s="299" t="str">
        <f>IF(J25="","",IF(VLOOKUP(J25,'G-7 WaterC'' Data'!$AK$4:$AM$9,3,FALSE)=0,"Spatial Data Missing ⚠",VLOOKUP(J25,'G-7 WaterC'' Data'!$AK$4:$AM$6,3,FALSE)))</f>
        <v/>
      </c>
      <c r="M25" s="102"/>
      <c r="N25" s="276" t="str">
        <f>IF(M25="","",IF(AND(M25="N/A - Culvert",D25&lt;&gt;"Culvert"),"Not possible ▲",IF(AND(D25="Culvert",M25&lt;&gt;"N/A - Culvert"),"Not possible ▲",IF(VLOOKUP(M25,'G-7 WaterC'' Data'!$AA$4:$AB$7,2,FALSE)=0,"Spatial Data Missing ⚠",VLOOKUP(M25,'G-7 WaterC'' Data'!$AA$4:$AB$7,2,FALSE)))))</f>
        <v/>
      </c>
      <c r="O25" s="56"/>
      <c r="P25" s="276" t="str">
        <f>IF(O25="","",IF(AND(O25="N/A - Culvert",D25&lt;&gt;"Culvert"),"Not possible ▲",IF(AND(D25="Culvert",O25&lt;&gt;"N/A - Culvert"),"Not possible ▲",IF(VLOOKUP(O25,'G-7 WaterC'' Data'!$AD$4:$AE$14,2,FALSE)=0,"Spatial Data Missing ⚠",VLOOKUP(O25,'G-7 WaterC'' Data'!$AD$4:$AE$14,2,FALSE)))))</f>
        <v/>
      </c>
      <c r="Q25" s="282" t="str">
        <f>IF(D25="","",VLOOKUP(D25,'G-7 WaterC'' Data'!$B$4:$G$8,6,FALSE))</f>
        <v/>
      </c>
      <c r="R25" s="289" t="str">
        <f t="shared" si="1"/>
        <v xml:space="preserve"> </v>
      </c>
      <c r="S25" s="393"/>
      <c r="T25" s="281" t="str">
        <f>IF(S25="","",IF(VLOOKUP(S25,'G-7 WaterC'' Data'!$AO$4:$BO$7,2,FALSE)=0,"Spatial Data Missing ⚠",VLOOKUP(S25,'G-7 WaterC'' Data'!$AO$4:$BO$7,2,FALSE)))</f>
        <v/>
      </c>
      <c r="U25" s="289" t="str">
        <f t="shared" si="2"/>
        <v xml:space="preserve"> </v>
      </c>
      <c r="V25" s="694" t="str">
        <f t="shared" si="3"/>
        <v/>
      </c>
      <c r="W25" s="32"/>
      <c r="X25" s="101"/>
      <c r="Y25" s="108"/>
      <c r="Z25" s="287" t="str">
        <f t="shared" si="4"/>
        <v/>
      </c>
      <c r="AA25" s="287" t="str">
        <f t="shared" si="5"/>
        <v/>
      </c>
      <c r="AB25" s="287" t="str">
        <f t="shared" si="6"/>
        <v/>
      </c>
      <c r="AC25" s="491" t="str">
        <f>IFERROR(IF(OR(E25="",R25=""),"",IF(AND(AB25&lt;&gt;"",S25=""),"Spatial risk category missing ▲",IF(AND(Q25='G-7 WaterC'' Data'!$G$4,AD25="Yes"),"Alternative Compensation ✓",IF(AND(AD25="Pending",Q25='G-7 WaterC'' Data'!$G$4),"Bespoke compensation must be agreed ▲",IF((Z25+AA25)&gt;=U25,0,U25-Z25-AA25))))),"Check Data ⚠")</f>
        <v/>
      </c>
      <c r="AD25" s="393"/>
      <c r="AE25" s="105"/>
      <c r="AF25" s="104"/>
      <c r="AG25" s="104"/>
      <c r="AH25" s="104"/>
      <c r="AI25" s="54" t="str">
        <f>IF(OR(Q25="",AD25="Yes"),"",IF(Q25='G-1 All Habitats'!$X$9,E25-Y25-X25,"None"))</f>
        <v/>
      </c>
      <c r="AJ25" s="55" t="str">
        <f>IF(Q25="","",IF(Q25='G-1 All Habitats'!$X$9,AI25*G25*I25*L25*N25*P25,"None"))</f>
        <v/>
      </c>
      <c r="AK25" s="30" t="str">
        <f>IFERROR(INDEX('G-7 WaterC'' Data'!$AZ$3:$AZ$7,MATCH(D25,'G-7 WaterC'' Data'!$AY$3:$AY$7,0)),"")</f>
        <v/>
      </c>
      <c r="AL25" s="30">
        <f t="shared" si="7"/>
        <v>0</v>
      </c>
      <c r="AM25" s="107" t="str">
        <f t="shared" si="8"/>
        <v/>
      </c>
      <c r="AN25" s="107" t="str">
        <f t="shared" si="9"/>
        <v/>
      </c>
      <c r="AP25" s="107">
        <v>16</v>
      </c>
      <c r="AR25" s="107" t="str">
        <f t="array" ref="AR25">IFERROR(INDEX($AP$10:$AP$258,MATCH(0,IF(TRUE=$AM$10:$AM$258,COUNTIF($AR$9:$AR24,$AP$10:$AP$258),""),0)),"")</f>
        <v/>
      </c>
      <c r="AS25" s="107" t="str">
        <f t="array" ref="AS25">IFERROR(INDEX($AP$10:$AP$258,MATCH(0,IF(TRUE=$AN$10:$AN$258,COUNTIF($AS$9:$AS24,$AP$10:$AP$258),""),0)),"")</f>
        <v/>
      </c>
      <c r="AT25" s="885" t="str">
        <f>IF(AND(OR(AD25="Yes",AD25="Pending"),Q25='G-7 WaterC'' Data'!$G$4),U25-AA25-Z25,"0")</f>
        <v>0</v>
      </c>
      <c r="AU25" s="30" t="str">
        <f>IF(D25="","",VLOOKUP(D25,'G-7 WaterC'' Data'!B$4:M$8,12,FALSE))</f>
        <v/>
      </c>
      <c r="AV25" s="30" t="str">
        <f t="shared" si="0"/>
        <v/>
      </c>
      <c r="AW25" s="30" t="str">
        <f t="shared" si="10"/>
        <v>No</v>
      </c>
      <c r="BA25" s="555" t="str">
        <f t="shared" si="11"/>
        <v/>
      </c>
    </row>
    <row r="26" spans="3:53" ht="14.5" thickBot="1">
      <c r="C26" s="97">
        <v>17</v>
      </c>
      <c r="D26" s="263"/>
      <c r="E26" s="104"/>
      <c r="F26" s="275" t="str">
        <f>IF(D26="","",VLOOKUP(D26,'G-7 WaterC'' Data'!$B$2:$G$8,2,FALSE))</f>
        <v/>
      </c>
      <c r="G26" s="314" t="str">
        <f>IFERROR(VLOOKUP(F26,'G-7 WaterC'' Data'!$C$4:$D$8,2,FALSE),"")</f>
        <v/>
      </c>
      <c r="H26" s="105"/>
      <c r="I26" s="299" t="str">
        <f>IFERROR(INDEX('G-7 WaterC'' Data'!$H$4:$L$8,MATCH(D26,'G-7 WaterC'' Data'!$B$4:$B$8,0),MATCH(H26,'G-7 WaterC'' Data'!$H$3:$L$3,0)),"")</f>
        <v/>
      </c>
      <c r="J26" s="702"/>
      <c r="K26" s="295" t="str">
        <f>IF(J26="","",IF(VLOOKUP(J26,'G-7 WaterC'' Data'!$AK$4:$AM$9,2,FALSE)=0,"Spatial Data Missing ⚠",VLOOKUP(J26,'G-7 WaterC'' Data'!$AK$4:$AM$6,2,FALSE)))</f>
        <v/>
      </c>
      <c r="L26" s="299" t="str">
        <f>IF(J26="","",IF(VLOOKUP(J26,'G-7 WaterC'' Data'!$AK$4:$AM$9,3,FALSE)=0,"Spatial Data Missing ⚠",VLOOKUP(J26,'G-7 WaterC'' Data'!$AK$4:$AM$6,3,FALSE)))</f>
        <v/>
      </c>
      <c r="M26" s="102"/>
      <c r="N26" s="276" t="str">
        <f>IF(M26="","",IF(AND(M26="N/A - Culvert",D26&lt;&gt;"Culvert"),"Not possible ▲",IF(AND(D26="Culvert",M26&lt;&gt;"N/A - Culvert"),"Not possible ▲",IF(VLOOKUP(M26,'G-7 WaterC'' Data'!$AA$4:$AB$7,2,FALSE)=0,"Spatial Data Missing ⚠",VLOOKUP(M26,'G-7 WaterC'' Data'!$AA$4:$AB$7,2,FALSE)))))</f>
        <v/>
      </c>
      <c r="O26" s="56"/>
      <c r="P26" s="276" t="str">
        <f>IF(O26="","",IF(AND(O26="N/A - Culvert",D26&lt;&gt;"Culvert"),"Not possible ▲",IF(AND(D26="Culvert",O26&lt;&gt;"N/A - Culvert"),"Not possible ▲",IF(VLOOKUP(O26,'G-7 WaterC'' Data'!$AD$4:$AE$14,2,FALSE)=0,"Spatial Data Missing ⚠",VLOOKUP(O26,'G-7 WaterC'' Data'!$AD$4:$AE$14,2,FALSE)))))</f>
        <v/>
      </c>
      <c r="Q26" s="282" t="str">
        <f>IF(D26="","",VLOOKUP(D26,'G-7 WaterC'' Data'!$B$4:$G$8,6,FALSE))</f>
        <v/>
      </c>
      <c r="R26" s="289" t="str">
        <f t="shared" si="1"/>
        <v xml:space="preserve"> </v>
      </c>
      <c r="S26" s="393"/>
      <c r="T26" s="281" t="str">
        <f>IF(S26="","",IF(VLOOKUP(S26,'G-7 WaterC'' Data'!$AO$4:$BO$7,2,FALSE)=0,"Spatial Data Missing ⚠",VLOOKUP(S26,'G-7 WaterC'' Data'!$AO$4:$BO$7,2,FALSE)))</f>
        <v/>
      </c>
      <c r="U26" s="289" t="str">
        <f t="shared" si="2"/>
        <v xml:space="preserve"> </v>
      </c>
      <c r="V26" s="694" t="str">
        <f t="shared" si="3"/>
        <v/>
      </c>
      <c r="W26" s="32"/>
      <c r="X26" s="101"/>
      <c r="Y26" s="108"/>
      <c r="Z26" s="287" t="str">
        <f t="shared" si="4"/>
        <v/>
      </c>
      <c r="AA26" s="287" t="str">
        <f t="shared" si="5"/>
        <v/>
      </c>
      <c r="AB26" s="287" t="str">
        <f t="shared" si="6"/>
        <v/>
      </c>
      <c r="AC26" s="491" t="str">
        <f>IFERROR(IF(OR(E26="",R26=""),"",IF(AND(AB26&lt;&gt;"",S26=""),"Spatial risk category missing ▲",IF(AND(Q26='G-7 WaterC'' Data'!$G$4,AD26="Yes"),"Alternative Compensation ✓",IF(AND(AD26="Pending",Q26='G-7 WaterC'' Data'!$G$4),"Bespoke compensation must be agreed ▲",IF((Z26+AA26)&gt;=U26,0,U26-Z26-AA26))))),"Check Data ⚠")</f>
        <v/>
      </c>
      <c r="AD26" s="393"/>
      <c r="AE26" s="105"/>
      <c r="AF26" s="104"/>
      <c r="AG26" s="104"/>
      <c r="AH26" s="104"/>
      <c r="AI26" s="54" t="str">
        <f>IF(OR(Q26="",AD26="Yes"),"",IF(Q26='G-1 All Habitats'!$X$9,E26-Y26-X26,"None"))</f>
        <v/>
      </c>
      <c r="AJ26" s="55" t="str">
        <f>IF(Q26="","",IF(Q26='G-1 All Habitats'!$X$9,AI26*G26*I26*L26*N26*P26,"None"))</f>
        <v/>
      </c>
      <c r="AK26" s="30" t="str">
        <f>IFERROR(INDEX('G-7 WaterC'' Data'!$AZ$3:$AZ$7,MATCH(D26,'G-7 WaterC'' Data'!$AY$3:$AY$7,0)),"")</f>
        <v/>
      </c>
      <c r="AL26" s="30">
        <f t="shared" si="7"/>
        <v>0</v>
      </c>
      <c r="AM26" s="107" t="str">
        <f t="shared" si="8"/>
        <v/>
      </c>
      <c r="AN26" s="107" t="str">
        <f t="shared" si="9"/>
        <v/>
      </c>
      <c r="AP26" s="107">
        <v>17</v>
      </c>
      <c r="AR26" s="107" t="str">
        <f t="array" ref="AR26">IFERROR(INDEX($AP$10:$AP$258,MATCH(0,IF(TRUE=$AM$10:$AM$258,COUNTIF($AR$9:$AR25,$AP$10:$AP$258),""),0)),"")</f>
        <v/>
      </c>
      <c r="AS26" s="107" t="str">
        <f t="array" ref="AS26">IFERROR(INDEX($AP$10:$AP$258,MATCH(0,IF(TRUE=$AN$10:$AN$258,COUNTIF($AS$9:$AS25,$AP$10:$AP$258),""),0)),"")</f>
        <v/>
      </c>
      <c r="AT26" s="885" t="str">
        <f>IF(AND(OR(AD26="Yes",AD26="Pending"),Q26='G-7 WaterC'' Data'!$G$4),U26-AA26-Z26,"0")</f>
        <v>0</v>
      </c>
      <c r="AU26" s="30" t="str">
        <f>IF(D26="","",VLOOKUP(D26,'G-7 WaterC'' Data'!B$4:M$8,12,FALSE))</f>
        <v/>
      </c>
      <c r="AV26" s="30" t="str">
        <f t="shared" si="0"/>
        <v/>
      </c>
      <c r="AW26" s="30" t="str">
        <f t="shared" si="10"/>
        <v>No</v>
      </c>
      <c r="BA26" s="555" t="str">
        <f t="shared" si="11"/>
        <v/>
      </c>
    </row>
    <row r="27" spans="3:53" ht="14.5" thickBot="1">
      <c r="C27" s="97">
        <v>18</v>
      </c>
      <c r="D27" s="263"/>
      <c r="E27" s="104"/>
      <c r="F27" s="275" t="str">
        <f>IF(D27="","",VLOOKUP(D27,'G-7 WaterC'' Data'!$B$2:$G$8,2,FALSE))</f>
        <v/>
      </c>
      <c r="G27" s="314" t="str">
        <f>IFERROR(VLOOKUP(F27,'G-7 WaterC'' Data'!$C$4:$D$8,2,FALSE),"")</f>
        <v/>
      </c>
      <c r="H27" s="105"/>
      <c r="I27" s="299" t="str">
        <f>IFERROR(INDEX('G-7 WaterC'' Data'!$H$4:$L$8,MATCH(D27,'G-7 WaterC'' Data'!$B$4:$B$8,0),MATCH(H27,'G-7 WaterC'' Data'!$H$3:$L$3,0)),"")</f>
        <v/>
      </c>
      <c r="J27" s="702"/>
      <c r="K27" s="295" t="str">
        <f>IF(J27="","",IF(VLOOKUP(J27,'G-7 WaterC'' Data'!$AK$4:$AM$9,2,FALSE)=0,"Spatial Data Missing ⚠",VLOOKUP(J27,'G-7 WaterC'' Data'!$AK$4:$AM$6,2,FALSE)))</f>
        <v/>
      </c>
      <c r="L27" s="299" t="str">
        <f>IF(J27="","",IF(VLOOKUP(J27,'G-7 WaterC'' Data'!$AK$4:$AM$9,3,FALSE)=0,"Spatial Data Missing ⚠",VLOOKUP(J27,'G-7 WaterC'' Data'!$AK$4:$AM$6,3,FALSE)))</f>
        <v/>
      </c>
      <c r="M27" s="102"/>
      <c r="N27" s="276" t="str">
        <f>IF(M27="","",IF(AND(M27="N/A - Culvert",D27&lt;&gt;"Culvert"),"Not possible ▲",IF(AND(D27="Culvert",M27&lt;&gt;"N/A - Culvert"),"Not possible ▲",IF(VLOOKUP(M27,'G-7 WaterC'' Data'!$AA$4:$AB$7,2,FALSE)=0,"Spatial Data Missing ⚠",VLOOKUP(M27,'G-7 WaterC'' Data'!$AA$4:$AB$7,2,FALSE)))))</f>
        <v/>
      </c>
      <c r="O27" s="56"/>
      <c r="P27" s="276" t="str">
        <f>IF(O27="","",IF(AND(O27="N/A - Culvert",D27&lt;&gt;"Culvert"),"Not possible ▲",IF(AND(D27="Culvert",O27&lt;&gt;"N/A - Culvert"),"Not possible ▲",IF(VLOOKUP(O27,'G-7 WaterC'' Data'!$AD$4:$AE$14,2,FALSE)=0,"Spatial Data Missing ⚠",VLOOKUP(O27,'G-7 WaterC'' Data'!$AD$4:$AE$14,2,FALSE)))))</f>
        <v/>
      </c>
      <c r="Q27" s="282" t="str">
        <f>IF(D27="","",VLOOKUP(D27,'G-7 WaterC'' Data'!$B$4:$G$8,6,FALSE))</f>
        <v/>
      </c>
      <c r="R27" s="289" t="str">
        <f t="shared" si="1"/>
        <v xml:space="preserve"> </v>
      </c>
      <c r="S27" s="393"/>
      <c r="T27" s="281" t="str">
        <f>IF(S27="","",IF(VLOOKUP(S27,'G-7 WaterC'' Data'!$AO$4:$BO$7,2,FALSE)=0,"Spatial Data Missing ⚠",VLOOKUP(S27,'G-7 WaterC'' Data'!$AO$4:$BO$7,2,FALSE)))</f>
        <v/>
      </c>
      <c r="U27" s="289" t="str">
        <f t="shared" si="2"/>
        <v xml:space="preserve"> </v>
      </c>
      <c r="V27" s="694" t="str">
        <f t="shared" si="3"/>
        <v/>
      </c>
      <c r="W27" s="32"/>
      <c r="X27" s="101"/>
      <c r="Y27" s="108"/>
      <c r="Z27" s="287" t="str">
        <f t="shared" si="4"/>
        <v/>
      </c>
      <c r="AA27" s="287" t="str">
        <f t="shared" si="5"/>
        <v/>
      </c>
      <c r="AB27" s="287" t="str">
        <f t="shared" si="6"/>
        <v/>
      </c>
      <c r="AC27" s="491" t="str">
        <f>IFERROR(IF(OR(E27="",R27=""),"",IF(AND(AB27&lt;&gt;"",S27=""),"Spatial risk category missing ▲",IF(AND(Q27='G-7 WaterC'' Data'!$G$4,AD27="Yes"),"Alternative Compensation ✓",IF(AND(AD27="Pending",Q27='G-7 WaterC'' Data'!$G$4),"Bespoke compensation must be agreed ▲",IF((Z27+AA27)&gt;=U27,0,U27-Z27-AA27))))),"Check Data ⚠")</f>
        <v/>
      </c>
      <c r="AD27" s="393"/>
      <c r="AE27" s="105"/>
      <c r="AF27" s="104"/>
      <c r="AG27" s="104"/>
      <c r="AH27" s="104"/>
      <c r="AI27" s="54" t="str">
        <f>IF(OR(Q27="",AD27="Yes"),"",IF(Q27='G-1 All Habitats'!$X$9,E27-Y27-X27,"None"))</f>
        <v/>
      </c>
      <c r="AJ27" s="55" t="str">
        <f>IF(Q27="","",IF(Q27='G-1 All Habitats'!$X$9,AI27*G27*I27*L27*N27*P27,"None"))</f>
        <v/>
      </c>
      <c r="AK27" s="30" t="str">
        <f>IFERROR(INDEX('G-7 WaterC'' Data'!$AZ$3:$AZ$7,MATCH(D27,'G-7 WaterC'' Data'!$AY$3:$AY$7,0)),"")</f>
        <v/>
      </c>
      <c r="AL27" s="30">
        <f t="shared" si="7"/>
        <v>0</v>
      </c>
      <c r="AM27" s="107" t="str">
        <f t="shared" si="8"/>
        <v/>
      </c>
      <c r="AN27" s="107" t="str">
        <f t="shared" si="9"/>
        <v/>
      </c>
      <c r="AP27" s="107">
        <v>18</v>
      </c>
      <c r="AR27" s="107" t="str">
        <f t="array" ref="AR27">IFERROR(INDEX($AP$10:$AP$258,MATCH(0,IF(TRUE=$AM$10:$AM$258,COUNTIF($AR$9:$AR26,$AP$10:$AP$258),""),0)),"")</f>
        <v/>
      </c>
      <c r="AS27" s="107" t="str">
        <f t="array" ref="AS27">IFERROR(INDEX($AP$10:$AP$258,MATCH(0,IF(TRUE=$AN$10:$AN$258,COUNTIF($AS$9:$AS26,$AP$10:$AP$258),""),0)),"")</f>
        <v/>
      </c>
      <c r="AT27" s="885" t="str">
        <f>IF(AND(OR(AD27="Yes",AD27="Pending"),Q27='G-7 WaterC'' Data'!$G$4),U27-AA27-Z27,"0")</f>
        <v>0</v>
      </c>
      <c r="AU27" s="30" t="str">
        <f>IF(D27="","",VLOOKUP(D27,'G-7 WaterC'' Data'!B$4:M$8,12,FALSE))</f>
        <v/>
      </c>
      <c r="AV27" s="30" t="str">
        <f t="shared" si="0"/>
        <v/>
      </c>
      <c r="AW27" s="30" t="str">
        <f t="shared" si="10"/>
        <v>No</v>
      </c>
      <c r="BA27" s="555" t="str">
        <f t="shared" si="11"/>
        <v/>
      </c>
    </row>
    <row r="28" spans="3:53" ht="14.5" thickBot="1">
      <c r="C28" s="97">
        <v>19</v>
      </c>
      <c r="D28" s="263"/>
      <c r="E28" s="104"/>
      <c r="F28" s="275" t="str">
        <f>IF(D28="","",VLOOKUP(D28,'G-7 WaterC'' Data'!$B$2:$G$8,2,FALSE))</f>
        <v/>
      </c>
      <c r="G28" s="314" t="str">
        <f>IFERROR(VLOOKUP(F28,'G-7 WaterC'' Data'!$C$4:$D$8,2,FALSE),"")</f>
        <v/>
      </c>
      <c r="H28" s="105"/>
      <c r="I28" s="299" t="str">
        <f>IFERROR(INDEX('G-7 WaterC'' Data'!$H$4:$L$8,MATCH(D28,'G-7 WaterC'' Data'!$B$4:$B$8,0),MATCH(H28,'G-7 WaterC'' Data'!$H$3:$L$3,0)),"")</f>
        <v/>
      </c>
      <c r="J28" s="702"/>
      <c r="K28" s="295" t="str">
        <f>IF(J28="","",IF(VLOOKUP(J28,'G-7 WaterC'' Data'!$AK$4:$AM$9,2,FALSE)=0,"Spatial Data Missing ⚠",VLOOKUP(J28,'G-7 WaterC'' Data'!$AK$4:$AM$6,2,FALSE)))</f>
        <v/>
      </c>
      <c r="L28" s="299" t="str">
        <f>IF(J28="","",IF(VLOOKUP(J28,'G-7 WaterC'' Data'!$AK$4:$AM$9,3,FALSE)=0,"Spatial Data Missing ⚠",VLOOKUP(J28,'G-7 WaterC'' Data'!$AK$4:$AM$6,3,FALSE)))</f>
        <v/>
      </c>
      <c r="M28" s="102"/>
      <c r="N28" s="276" t="str">
        <f>IF(M28="","",IF(AND(M28="N/A - Culvert",D28&lt;&gt;"Culvert"),"Not possible ▲",IF(AND(D28="Culvert",M28&lt;&gt;"N/A - Culvert"),"Not possible ▲",IF(VLOOKUP(M28,'G-7 WaterC'' Data'!$AA$4:$AB$7,2,FALSE)=0,"Spatial Data Missing ⚠",VLOOKUP(M28,'G-7 WaterC'' Data'!$AA$4:$AB$7,2,FALSE)))))</f>
        <v/>
      </c>
      <c r="O28" s="56"/>
      <c r="P28" s="276" t="str">
        <f>IF(O28="","",IF(AND(O28="N/A - Culvert",D28&lt;&gt;"Culvert"),"Not possible ▲",IF(AND(D28="Culvert",O28&lt;&gt;"N/A - Culvert"),"Not possible ▲",IF(VLOOKUP(O28,'G-7 WaterC'' Data'!$AD$4:$AE$14,2,FALSE)=0,"Spatial Data Missing ⚠",VLOOKUP(O28,'G-7 WaterC'' Data'!$AD$4:$AE$14,2,FALSE)))))</f>
        <v/>
      </c>
      <c r="Q28" s="282" t="str">
        <f>IF(D28="","",VLOOKUP(D28,'G-7 WaterC'' Data'!$B$4:$G$8,6,FALSE))</f>
        <v/>
      </c>
      <c r="R28" s="289" t="str">
        <f t="shared" si="1"/>
        <v xml:space="preserve"> </v>
      </c>
      <c r="S28" s="393"/>
      <c r="T28" s="281" t="str">
        <f>IF(S28="","",IF(VLOOKUP(S28,'G-7 WaterC'' Data'!$AO$4:$BO$7,2,FALSE)=0,"Spatial Data Missing ⚠",VLOOKUP(S28,'G-7 WaterC'' Data'!$AO$4:$BO$7,2,FALSE)))</f>
        <v/>
      </c>
      <c r="U28" s="289" t="str">
        <f t="shared" si="2"/>
        <v xml:space="preserve"> </v>
      </c>
      <c r="V28" s="694" t="str">
        <f t="shared" si="3"/>
        <v/>
      </c>
      <c r="W28" s="32"/>
      <c r="X28" s="101"/>
      <c r="Y28" s="108"/>
      <c r="Z28" s="287" t="str">
        <f t="shared" si="4"/>
        <v/>
      </c>
      <c r="AA28" s="287" t="str">
        <f t="shared" si="5"/>
        <v/>
      </c>
      <c r="AB28" s="287" t="str">
        <f t="shared" si="6"/>
        <v/>
      </c>
      <c r="AC28" s="491" t="str">
        <f>IFERROR(IF(OR(E28="",R28=""),"",IF(AND(AB28&lt;&gt;"",S28=""),"Spatial risk category missing ▲",IF(AND(Q28='G-7 WaterC'' Data'!$G$4,AD28="Yes"),"Alternative Compensation ✓",IF(AND(AD28="Pending",Q28='G-7 WaterC'' Data'!$G$4),"Bespoke compensation must be agreed ▲",IF((Z28+AA28)&gt;=U28,0,U28-Z28-AA28))))),"Check Data ⚠")</f>
        <v/>
      </c>
      <c r="AD28" s="393"/>
      <c r="AE28" s="105"/>
      <c r="AF28" s="104"/>
      <c r="AG28" s="104"/>
      <c r="AH28" s="104"/>
      <c r="AI28" s="54" t="str">
        <f>IF(OR(Q28="",AD28="Yes"),"",IF(Q28='G-1 All Habitats'!$X$9,E28-Y28-X28,"None"))</f>
        <v/>
      </c>
      <c r="AJ28" s="55" t="str">
        <f>IF(Q28="","",IF(Q28='G-1 All Habitats'!$X$9,AI28*G28*I28*L28*N28*P28,"None"))</f>
        <v/>
      </c>
      <c r="AK28" s="30" t="str">
        <f>IFERROR(INDEX('G-7 WaterC'' Data'!$AZ$3:$AZ$7,MATCH(D28,'G-7 WaterC'' Data'!$AY$3:$AY$7,0)),"")</f>
        <v/>
      </c>
      <c r="AL28" s="30">
        <f t="shared" si="7"/>
        <v>0</v>
      </c>
      <c r="AM28" s="107" t="str">
        <f t="shared" si="8"/>
        <v/>
      </c>
      <c r="AN28" s="107" t="str">
        <f t="shared" si="9"/>
        <v/>
      </c>
      <c r="AP28" s="107">
        <v>19</v>
      </c>
      <c r="AR28" s="107" t="str">
        <f t="array" ref="AR28">IFERROR(INDEX($AP$10:$AP$258,MATCH(0,IF(TRUE=$AM$10:$AM$258,COUNTIF($AR$9:$AR27,$AP$10:$AP$258),""),0)),"")</f>
        <v/>
      </c>
      <c r="AS28" s="107" t="str">
        <f t="array" ref="AS28">IFERROR(INDEX($AP$10:$AP$258,MATCH(0,IF(TRUE=$AN$10:$AN$258,COUNTIF($AS$9:$AS27,$AP$10:$AP$258),""),0)),"")</f>
        <v/>
      </c>
      <c r="AT28" s="885" t="str">
        <f>IF(AND(OR(AD28="Yes",AD28="Pending"),Q28='G-7 WaterC'' Data'!$G$4),U28-AA28-Z28,"0")</f>
        <v>0</v>
      </c>
      <c r="AU28" s="30" t="str">
        <f>IF(D28="","",VLOOKUP(D28,'G-7 WaterC'' Data'!B$4:M$8,12,FALSE))</f>
        <v/>
      </c>
      <c r="AV28" s="30" t="str">
        <f t="shared" si="0"/>
        <v/>
      </c>
      <c r="AW28" s="30" t="str">
        <f t="shared" si="10"/>
        <v>No</v>
      </c>
      <c r="BA28" s="555" t="str">
        <f t="shared" si="11"/>
        <v/>
      </c>
    </row>
    <row r="29" spans="3:53" ht="14.5" thickBot="1">
      <c r="C29" s="97">
        <v>20</v>
      </c>
      <c r="D29" s="263"/>
      <c r="E29" s="104"/>
      <c r="F29" s="275" t="str">
        <f>IF(D29="","",VLOOKUP(D29,'G-7 WaterC'' Data'!$B$2:$G$8,2,FALSE))</f>
        <v/>
      </c>
      <c r="G29" s="314" t="str">
        <f>IFERROR(VLOOKUP(F29,'G-7 WaterC'' Data'!$C$4:$D$8,2,FALSE),"")</f>
        <v/>
      </c>
      <c r="H29" s="105"/>
      <c r="I29" s="299" t="str">
        <f>IFERROR(INDEX('G-7 WaterC'' Data'!$H$4:$L$8,MATCH(D29,'G-7 WaterC'' Data'!$B$4:$B$8,0),MATCH(H29,'G-7 WaterC'' Data'!$H$3:$L$3,0)),"")</f>
        <v/>
      </c>
      <c r="J29" s="702"/>
      <c r="K29" s="295" t="str">
        <f>IF(J29="","",IF(VLOOKUP(J29,'G-7 WaterC'' Data'!$AK$4:$AM$9,2,FALSE)=0,"Spatial Data Missing ⚠",VLOOKUP(J29,'G-7 WaterC'' Data'!$AK$4:$AM$6,2,FALSE)))</f>
        <v/>
      </c>
      <c r="L29" s="299" t="str">
        <f>IF(J29="","",IF(VLOOKUP(J29,'G-7 WaterC'' Data'!$AK$4:$AM$9,3,FALSE)=0,"Spatial Data Missing ⚠",VLOOKUP(J29,'G-7 WaterC'' Data'!$AK$4:$AM$6,3,FALSE)))</f>
        <v/>
      </c>
      <c r="M29" s="102"/>
      <c r="N29" s="276" t="str">
        <f>IF(M29="","",IF(AND(M29="N/A - Culvert",D29&lt;&gt;"Culvert"),"Not possible ▲",IF(AND(D29="Culvert",M29&lt;&gt;"N/A - Culvert"),"Not possible ▲",IF(VLOOKUP(M29,'G-7 WaterC'' Data'!$AA$4:$AB$7,2,FALSE)=0,"Spatial Data Missing ⚠",VLOOKUP(M29,'G-7 WaterC'' Data'!$AA$4:$AB$7,2,FALSE)))))</f>
        <v/>
      </c>
      <c r="O29" s="56"/>
      <c r="P29" s="276" t="str">
        <f>IF(O29="","",IF(AND(O29="N/A - Culvert",D29&lt;&gt;"Culvert"),"Not possible ▲",IF(AND(D29="Culvert",O29&lt;&gt;"N/A - Culvert"),"Not possible ▲",IF(VLOOKUP(O29,'G-7 WaterC'' Data'!$AD$4:$AE$14,2,FALSE)=0,"Spatial Data Missing ⚠",VLOOKUP(O29,'G-7 WaterC'' Data'!$AD$4:$AE$14,2,FALSE)))))</f>
        <v/>
      </c>
      <c r="Q29" s="282" t="str">
        <f>IF(D29="","",VLOOKUP(D29,'G-7 WaterC'' Data'!$B$4:$G$8,6,FALSE))</f>
        <v/>
      </c>
      <c r="R29" s="289" t="str">
        <f t="shared" si="1"/>
        <v xml:space="preserve"> </v>
      </c>
      <c r="S29" s="393"/>
      <c r="T29" s="281" t="str">
        <f>IF(S29="","",IF(VLOOKUP(S29,'G-7 WaterC'' Data'!$AO$4:$BO$7,2,FALSE)=0,"Spatial Data Missing ⚠",VLOOKUP(S29,'G-7 WaterC'' Data'!$AO$4:$BO$7,2,FALSE)))</f>
        <v/>
      </c>
      <c r="U29" s="289" t="str">
        <f t="shared" si="2"/>
        <v xml:space="preserve"> </v>
      </c>
      <c r="V29" s="694" t="str">
        <f t="shared" si="3"/>
        <v/>
      </c>
      <c r="W29" s="32"/>
      <c r="X29" s="101"/>
      <c r="Y29" s="108"/>
      <c r="Z29" s="287" t="str">
        <f t="shared" si="4"/>
        <v/>
      </c>
      <c r="AA29" s="287" t="str">
        <f t="shared" si="5"/>
        <v/>
      </c>
      <c r="AB29" s="287" t="str">
        <f t="shared" si="6"/>
        <v/>
      </c>
      <c r="AC29" s="491" t="str">
        <f>IFERROR(IF(OR(E29="",R29=""),"",IF(AND(AB29&lt;&gt;"",S29=""),"Spatial risk category missing ▲",IF(AND(Q29='G-7 WaterC'' Data'!$G$4,AD29="Yes"),"Alternative Compensation ✓",IF(AND(AD29="Pending",Q29='G-7 WaterC'' Data'!$G$4),"Bespoke compensation must be agreed ▲",IF((Z29+AA29)&gt;=U29,0,U29-Z29-AA29))))),"Check Data ⚠")</f>
        <v/>
      </c>
      <c r="AD29" s="393"/>
      <c r="AE29" s="105"/>
      <c r="AF29" s="104"/>
      <c r="AG29" s="104"/>
      <c r="AH29" s="104"/>
      <c r="AI29" s="54" t="str">
        <f>IF(OR(Q29="",AD29="Yes"),"",IF(Q29='G-1 All Habitats'!$X$9,E29-Y29-X29,"None"))</f>
        <v/>
      </c>
      <c r="AJ29" s="55" t="str">
        <f>IF(Q29="","",IF(Q29='G-1 All Habitats'!$X$9,AI29*G29*I29*L29*N29*P29,"None"))</f>
        <v/>
      </c>
      <c r="AK29" s="30" t="str">
        <f>IFERROR(INDEX('G-7 WaterC'' Data'!$AZ$3:$AZ$7,MATCH(D29,'G-7 WaterC'' Data'!$AY$3:$AY$7,0)),"")</f>
        <v/>
      </c>
      <c r="AL29" s="30">
        <f t="shared" si="7"/>
        <v>0</v>
      </c>
      <c r="AM29" s="107" t="str">
        <f t="shared" si="8"/>
        <v/>
      </c>
      <c r="AN29" s="107" t="str">
        <f t="shared" si="9"/>
        <v/>
      </c>
      <c r="AP29" s="107">
        <v>20</v>
      </c>
      <c r="AR29" s="107" t="str">
        <f t="array" ref="AR29">IFERROR(INDEX($AP$10:$AP$258,MATCH(0,IF(TRUE=$AM$10:$AM$258,COUNTIF($AR$9:$AR28,$AP$10:$AP$258),""),0)),"")</f>
        <v/>
      </c>
      <c r="AS29" s="107" t="str">
        <f t="array" ref="AS29">IFERROR(INDEX($AP$10:$AP$258,MATCH(0,IF(TRUE=$AN$10:$AN$258,COUNTIF($AS$9:$AS28,$AP$10:$AP$258),""),0)),"")</f>
        <v/>
      </c>
      <c r="AT29" s="885" t="str">
        <f>IF(AND(OR(AD29="Yes",AD29="Pending"),Q29='G-7 WaterC'' Data'!$G$4),U29-AA29-Z29,"0")</f>
        <v>0</v>
      </c>
      <c r="AU29" s="30" t="str">
        <f>IF(D29="","",VLOOKUP(D29,'G-7 WaterC'' Data'!B$4:M$8,12,FALSE))</f>
        <v/>
      </c>
      <c r="AV29" s="30" t="str">
        <f t="shared" si="0"/>
        <v/>
      </c>
      <c r="AW29" s="30" t="str">
        <f t="shared" si="10"/>
        <v>No</v>
      </c>
      <c r="BA29" s="555" t="str">
        <f t="shared" si="11"/>
        <v/>
      </c>
    </row>
    <row r="30" spans="3:53" ht="14.5" thickBot="1">
      <c r="C30" s="97">
        <v>21</v>
      </c>
      <c r="D30" s="263"/>
      <c r="E30" s="104"/>
      <c r="F30" s="275" t="str">
        <f>IF(D30="","",VLOOKUP(D30,'G-7 WaterC'' Data'!$B$2:$G$8,2,FALSE))</f>
        <v/>
      </c>
      <c r="G30" s="314" t="str">
        <f>IFERROR(VLOOKUP(F30,'G-7 WaterC'' Data'!$C$4:$D$8,2,FALSE),"")</f>
        <v/>
      </c>
      <c r="H30" s="105"/>
      <c r="I30" s="299" t="str">
        <f>IFERROR(INDEX('G-7 WaterC'' Data'!$H$4:$L$8,MATCH(D30,'G-7 WaterC'' Data'!$B$4:$B$8,0),MATCH(H30,'G-7 WaterC'' Data'!$H$3:$L$3,0)),"")</f>
        <v/>
      </c>
      <c r="J30" s="702"/>
      <c r="K30" s="295" t="str">
        <f>IF(J30="","",IF(VLOOKUP(J30,'G-7 WaterC'' Data'!$AK$4:$AM$9,2,FALSE)=0,"Spatial Data Missing ⚠",VLOOKUP(J30,'G-7 WaterC'' Data'!$AK$4:$AM$6,2,FALSE)))</f>
        <v/>
      </c>
      <c r="L30" s="299" t="str">
        <f>IF(J30="","",IF(VLOOKUP(J30,'G-7 WaterC'' Data'!$AK$4:$AM$9,3,FALSE)=0,"Spatial Data Missing ⚠",VLOOKUP(J30,'G-7 WaterC'' Data'!$AK$4:$AM$6,3,FALSE)))</f>
        <v/>
      </c>
      <c r="M30" s="102"/>
      <c r="N30" s="276" t="str">
        <f>IF(M30="","",IF(AND(M30="N/A - Culvert",D30&lt;&gt;"Culvert"),"Not possible ▲",IF(AND(D30="Culvert",M30&lt;&gt;"N/A - Culvert"),"Not possible ▲",IF(VLOOKUP(M30,'G-7 WaterC'' Data'!$AA$4:$AB$7,2,FALSE)=0,"Spatial Data Missing ⚠",VLOOKUP(M30,'G-7 WaterC'' Data'!$AA$4:$AB$7,2,FALSE)))))</f>
        <v/>
      </c>
      <c r="O30" s="56"/>
      <c r="P30" s="276" t="str">
        <f>IF(O30="","",IF(AND(O30="N/A - Culvert",D30&lt;&gt;"Culvert"),"Not possible ▲",IF(AND(D30="Culvert",O30&lt;&gt;"N/A - Culvert"),"Not possible ▲",IF(VLOOKUP(O30,'G-7 WaterC'' Data'!$AD$4:$AE$14,2,FALSE)=0,"Spatial Data Missing ⚠",VLOOKUP(O30,'G-7 WaterC'' Data'!$AD$4:$AE$14,2,FALSE)))))</f>
        <v/>
      </c>
      <c r="Q30" s="282" t="str">
        <f>IF(D30="","",VLOOKUP(D30,'G-7 WaterC'' Data'!$B$4:$G$8,6,FALSE))</f>
        <v/>
      </c>
      <c r="R30" s="289" t="str">
        <f t="shared" si="1"/>
        <v xml:space="preserve"> </v>
      </c>
      <c r="S30" s="393"/>
      <c r="T30" s="281" t="str">
        <f>IF(S30="","",IF(VLOOKUP(S30,'G-7 WaterC'' Data'!$AO$4:$BO$7,2,FALSE)=0,"Spatial Data Missing ⚠",VLOOKUP(S30,'G-7 WaterC'' Data'!$AO$4:$BO$7,2,FALSE)))</f>
        <v/>
      </c>
      <c r="U30" s="289" t="str">
        <f t="shared" si="2"/>
        <v xml:space="preserve"> </v>
      </c>
      <c r="V30" s="694" t="str">
        <f t="shared" si="3"/>
        <v/>
      </c>
      <c r="W30" s="32"/>
      <c r="X30" s="101"/>
      <c r="Y30" s="108"/>
      <c r="Z30" s="287" t="str">
        <f t="shared" si="4"/>
        <v/>
      </c>
      <c r="AA30" s="287" t="str">
        <f t="shared" si="5"/>
        <v/>
      </c>
      <c r="AB30" s="287" t="str">
        <f t="shared" si="6"/>
        <v/>
      </c>
      <c r="AC30" s="491" t="str">
        <f>IFERROR(IF(OR(E30="",R30=""),"",IF(AND(AB30&lt;&gt;"",S30=""),"Spatial risk category missing ▲",IF(AND(Q30='G-7 WaterC'' Data'!$G$4,AD30="Yes"),"Alternative Compensation ✓",IF(AND(AD30="Pending",Q30='G-7 WaterC'' Data'!$G$4),"Bespoke compensation must be agreed ▲",IF((Z30+AA30)&gt;=U30,0,U30-Z30-AA30))))),"Check Data ⚠")</f>
        <v/>
      </c>
      <c r="AD30" s="393"/>
      <c r="AE30" s="105"/>
      <c r="AF30" s="104"/>
      <c r="AG30" s="104"/>
      <c r="AH30" s="104"/>
      <c r="AI30" s="54" t="str">
        <f>IF(OR(Q30="",AD30="Yes"),"",IF(Q30='G-1 All Habitats'!$X$9,E30-Y30-X30,"None"))</f>
        <v/>
      </c>
      <c r="AJ30" s="55" t="str">
        <f>IF(Q30="","",IF(Q30='G-1 All Habitats'!$X$9,AI30*G30*I30*L30*N30*P30,"None"))</f>
        <v/>
      </c>
      <c r="AK30" s="30" t="str">
        <f>IFERROR(INDEX('G-7 WaterC'' Data'!$AZ$3:$AZ$7,MATCH(D30,'G-7 WaterC'' Data'!$AY$3:$AY$7,0)),"")</f>
        <v/>
      </c>
      <c r="AL30" s="30">
        <f t="shared" si="7"/>
        <v>0</v>
      </c>
      <c r="AM30" s="107" t="str">
        <f t="shared" si="8"/>
        <v/>
      </c>
      <c r="AN30" s="107" t="str">
        <f t="shared" si="9"/>
        <v/>
      </c>
      <c r="AP30" s="107">
        <v>21</v>
      </c>
      <c r="AR30" s="107" t="str">
        <f t="array" ref="AR30">IFERROR(INDEX($AP$10:$AP$258,MATCH(0,IF(TRUE=$AM$10:$AM$258,COUNTIF($AR$9:$AR29,$AP$10:$AP$258),""),0)),"")</f>
        <v/>
      </c>
      <c r="AS30" s="107" t="str">
        <f t="array" ref="AS30">IFERROR(INDEX($AP$10:$AP$258,MATCH(0,IF(TRUE=$AN$10:$AN$258,COUNTIF($AS$9:$AS29,$AP$10:$AP$258),""),0)),"")</f>
        <v/>
      </c>
      <c r="AT30" s="885" t="str">
        <f>IF(AND(OR(AD30="Yes",AD30="Pending"),Q30='G-7 WaterC'' Data'!$G$4),U30-AA30-Z30,"0")</f>
        <v>0</v>
      </c>
      <c r="AU30" s="30" t="str">
        <f>IF(D30="","",VLOOKUP(D30,'G-7 WaterC'' Data'!B$4:M$8,12,FALSE))</f>
        <v/>
      </c>
      <c r="AV30" s="30" t="str">
        <f t="shared" si="0"/>
        <v/>
      </c>
      <c r="AW30" s="30" t="str">
        <f t="shared" si="10"/>
        <v>No</v>
      </c>
      <c r="BA30" s="555" t="str">
        <f t="shared" si="11"/>
        <v/>
      </c>
    </row>
    <row r="31" spans="3:53" ht="14.5" thickBot="1">
      <c r="C31" s="97">
        <v>22</v>
      </c>
      <c r="D31" s="263"/>
      <c r="E31" s="104"/>
      <c r="F31" s="275" t="str">
        <f>IF(D31="","",VLOOKUP(D31,'G-7 WaterC'' Data'!$B$2:$G$8,2,FALSE))</f>
        <v/>
      </c>
      <c r="G31" s="314" t="str">
        <f>IFERROR(VLOOKUP(F31,'G-7 WaterC'' Data'!$C$4:$D$8,2,FALSE),"")</f>
        <v/>
      </c>
      <c r="H31" s="105"/>
      <c r="I31" s="299" t="str">
        <f>IFERROR(INDEX('G-7 WaterC'' Data'!$H$4:$L$8,MATCH(D31,'G-7 WaterC'' Data'!$B$4:$B$8,0),MATCH(H31,'G-7 WaterC'' Data'!$H$3:$L$3,0)),"")</f>
        <v/>
      </c>
      <c r="J31" s="702"/>
      <c r="K31" s="295" t="str">
        <f>IF(J31="","",IF(VLOOKUP(J31,'G-7 WaterC'' Data'!$AK$4:$AM$9,2,FALSE)=0,"Spatial Data Missing ⚠",VLOOKUP(J31,'G-7 WaterC'' Data'!$AK$4:$AM$6,2,FALSE)))</f>
        <v/>
      </c>
      <c r="L31" s="299" t="str">
        <f>IF(J31="","",IF(VLOOKUP(J31,'G-7 WaterC'' Data'!$AK$4:$AM$9,3,FALSE)=0,"Spatial Data Missing ⚠",VLOOKUP(J31,'G-7 WaterC'' Data'!$AK$4:$AM$6,3,FALSE)))</f>
        <v/>
      </c>
      <c r="M31" s="102"/>
      <c r="N31" s="276" t="str">
        <f>IF(M31="","",IF(AND(M31="N/A - Culvert",D31&lt;&gt;"Culvert"),"Not possible ▲",IF(AND(D31="Culvert",M31&lt;&gt;"N/A - Culvert"),"Not possible ▲",IF(VLOOKUP(M31,'G-7 WaterC'' Data'!$AA$4:$AB$7,2,FALSE)=0,"Spatial Data Missing ⚠",VLOOKUP(M31,'G-7 WaterC'' Data'!$AA$4:$AB$7,2,FALSE)))))</f>
        <v/>
      </c>
      <c r="O31" s="56"/>
      <c r="P31" s="276" t="str">
        <f>IF(O31="","",IF(AND(O31="N/A - Culvert",D31&lt;&gt;"Culvert"),"Not possible ▲",IF(AND(D31="Culvert",O31&lt;&gt;"N/A - Culvert"),"Not possible ▲",IF(VLOOKUP(O31,'G-7 WaterC'' Data'!$AD$4:$AE$14,2,FALSE)=0,"Spatial Data Missing ⚠",VLOOKUP(O31,'G-7 WaterC'' Data'!$AD$4:$AE$14,2,FALSE)))))</f>
        <v/>
      </c>
      <c r="Q31" s="282" t="str">
        <f>IF(D31="","",VLOOKUP(D31,'G-7 WaterC'' Data'!$B$4:$G$8,6,FALSE))</f>
        <v/>
      </c>
      <c r="R31" s="289" t="str">
        <f t="shared" si="1"/>
        <v xml:space="preserve"> </v>
      </c>
      <c r="S31" s="393"/>
      <c r="T31" s="281" t="str">
        <f>IF(S31="","",IF(VLOOKUP(S31,'G-7 WaterC'' Data'!$AO$4:$BO$7,2,FALSE)=0,"Spatial Data Missing ⚠",VLOOKUP(S31,'G-7 WaterC'' Data'!$AO$4:$BO$7,2,FALSE)))</f>
        <v/>
      </c>
      <c r="U31" s="289" t="str">
        <f t="shared" si="2"/>
        <v xml:space="preserve"> </v>
      </c>
      <c r="V31" s="694" t="str">
        <f t="shared" si="3"/>
        <v/>
      </c>
      <c r="W31" s="32"/>
      <c r="X31" s="101"/>
      <c r="Y31" s="108"/>
      <c r="Z31" s="287" t="str">
        <f t="shared" si="4"/>
        <v/>
      </c>
      <c r="AA31" s="287" t="str">
        <f t="shared" si="5"/>
        <v/>
      </c>
      <c r="AB31" s="287" t="str">
        <f t="shared" si="6"/>
        <v/>
      </c>
      <c r="AC31" s="491" t="str">
        <f>IFERROR(IF(OR(E31="",R31=""),"",IF(AND(AB31&lt;&gt;"",S31=""),"Spatial risk category missing ▲",IF(AND(Q31='G-7 WaterC'' Data'!$G$4,AD31="Yes"),"Alternative Compensation ✓",IF(AND(AD31="Pending",Q31='G-7 WaterC'' Data'!$G$4),"Bespoke compensation must be agreed ▲",IF((Z31+AA31)&gt;=U31,0,U31-Z31-AA31))))),"Check Data ⚠")</f>
        <v/>
      </c>
      <c r="AD31" s="393"/>
      <c r="AE31" s="105"/>
      <c r="AF31" s="104"/>
      <c r="AG31" s="104"/>
      <c r="AH31" s="104"/>
      <c r="AI31" s="54" t="str">
        <f>IF(OR(Q31="",AD31="Yes"),"",IF(Q31='G-1 All Habitats'!$X$9,E31-Y31-X31,"None"))</f>
        <v/>
      </c>
      <c r="AJ31" s="55" t="str">
        <f>IF(Q31="","",IF(Q31='G-1 All Habitats'!$X$9,AI31*G31*I31*L31*N31*P31,"None"))</f>
        <v/>
      </c>
      <c r="AK31" s="30" t="str">
        <f>IFERROR(INDEX('G-7 WaterC'' Data'!$AZ$3:$AZ$7,MATCH(D31,'G-7 WaterC'' Data'!$AY$3:$AY$7,0)),"")</f>
        <v/>
      </c>
      <c r="AL31" s="30">
        <f t="shared" si="7"/>
        <v>0</v>
      </c>
      <c r="AM31" s="107" t="str">
        <f t="shared" si="8"/>
        <v/>
      </c>
      <c r="AN31" s="107" t="str">
        <f t="shared" si="9"/>
        <v/>
      </c>
      <c r="AP31" s="107">
        <v>22</v>
      </c>
      <c r="AR31" s="107" t="str">
        <f t="array" ref="AR31">IFERROR(INDEX($AP$10:$AP$258,MATCH(0,IF(TRUE=$AM$10:$AM$258,COUNTIF($AR$9:$AR30,$AP$10:$AP$258),""),0)),"")</f>
        <v/>
      </c>
      <c r="AS31" s="107" t="str">
        <f t="array" ref="AS31">IFERROR(INDEX($AP$10:$AP$258,MATCH(0,IF(TRUE=$AN$10:$AN$258,COUNTIF($AS$9:$AS30,$AP$10:$AP$258),""),0)),"")</f>
        <v/>
      </c>
      <c r="AT31" s="885" t="str">
        <f>IF(AND(OR(AD31="Yes",AD31="Pending"),Q31='G-7 WaterC'' Data'!$G$4),U31-AA31-Z31,"0")</f>
        <v>0</v>
      </c>
      <c r="AU31" s="30" t="str">
        <f>IF(D31="","",VLOOKUP(D31,'G-7 WaterC'' Data'!B$4:M$8,12,FALSE))</f>
        <v/>
      </c>
      <c r="AV31" s="30" t="str">
        <f t="shared" si="0"/>
        <v/>
      </c>
      <c r="AW31" s="30" t="str">
        <f t="shared" si="10"/>
        <v>No</v>
      </c>
      <c r="BA31" s="555" t="str">
        <f t="shared" si="11"/>
        <v/>
      </c>
    </row>
    <row r="32" spans="3:53" ht="14.5" thickBot="1">
      <c r="C32" s="97">
        <v>23</v>
      </c>
      <c r="D32" s="263"/>
      <c r="E32" s="104"/>
      <c r="F32" s="275" t="str">
        <f>IF(D32="","",VLOOKUP(D32,'G-7 WaterC'' Data'!$B$2:$G$8,2,FALSE))</f>
        <v/>
      </c>
      <c r="G32" s="314" t="str">
        <f>IFERROR(VLOOKUP(F32,'G-7 WaterC'' Data'!$C$4:$D$8,2,FALSE),"")</f>
        <v/>
      </c>
      <c r="H32" s="105"/>
      <c r="I32" s="299" t="str">
        <f>IFERROR(INDEX('G-7 WaterC'' Data'!$H$4:$L$8,MATCH(D32,'G-7 WaterC'' Data'!$B$4:$B$8,0),MATCH(H32,'G-7 WaterC'' Data'!$H$3:$L$3,0)),"")</f>
        <v/>
      </c>
      <c r="J32" s="702"/>
      <c r="K32" s="295" t="str">
        <f>IF(J32="","",IF(VLOOKUP(J32,'G-7 WaterC'' Data'!$AK$4:$AM$9,2,FALSE)=0,"Spatial Data Missing ⚠",VLOOKUP(J32,'G-7 WaterC'' Data'!$AK$4:$AM$6,2,FALSE)))</f>
        <v/>
      </c>
      <c r="L32" s="299" t="str">
        <f>IF(J32="","",IF(VLOOKUP(J32,'G-7 WaterC'' Data'!$AK$4:$AM$9,3,FALSE)=0,"Spatial Data Missing ⚠",VLOOKUP(J32,'G-7 WaterC'' Data'!$AK$4:$AM$6,3,FALSE)))</f>
        <v/>
      </c>
      <c r="M32" s="102"/>
      <c r="N32" s="276" t="str">
        <f>IF(M32="","",IF(AND(M32="N/A - Culvert",D32&lt;&gt;"Culvert"),"Not possible ▲",IF(AND(D32="Culvert",M32&lt;&gt;"N/A - Culvert"),"Not possible ▲",IF(VLOOKUP(M32,'G-7 WaterC'' Data'!$AA$4:$AB$7,2,FALSE)=0,"Spatial Data Missing ⚠",VLOOKUP(M32,'G-7 WaterC'' Data'!$AA$4:$AB$7,2,FALSE)))))</f>
        <v/>
      </c>
      <c r="O32" s="56"/>
      <c r="P32" s="276" t="str">
        <f>IF(O32="","",IF(AND(O32="N/A - Culvert",D32&lt;&gt;"Culvert"),"Not possible ▲",IF(AND(D32="Culvert",O32&lt;&gt;"N/A - Culvert"),"Not possible ▲",IF(VLOOKUP(O32,'G-7 WaterC'' Data'!$AD$4:$AE$14,2,FALSE)=0,"Spatial Data Missing ⚠",VLOOKUP(O32,'G-7 WaterC'' Data'!$AD$4:$AE$14,2,FALSE)))))</f>
        <v/>
      </c>
      <c r="Q32" s="282" t="str">
        <f>IF(D32="","",VLOOKUP(D32,'G-7 WaterC'' Data'!$B$4:$G$8,6,FALSE))</f>
        <v/>
      </c>
      <c r="R32" s="289" t="str">
        <f t="shared" si="1"/>
        <v xml:space="preserve"> </v>
      </c>
      <c r="S32" s="393"/>
      <c r="T32" s="281" t="str">
        <f>IF(S32="","",IF(VLOOKUP(S32,'G-7 WaterC'' Data'!$AO$4:$BO$7,2,FALSE)=0,"Spatial Data Missing ⚠",VLOOKUP(S32,'G-7 WaterC'' Data'!$AO$4:$BO$7,2,FALSE)))</f>
        <v/>
      </c>
      <c r="U32" s="289" t="str">
        <f t="shared" si="2"/>
        <v xml:space="preserve"> </v>
      </c>
      <c r="V32" s="694" t="str">
        <f t="shared" si="3"/>
        <v/>
      </c>
      <c r="W32" s="32"/>
      <c r="X32" s="101"/>
      <c r="Y32" s="108"/>
      <c r="Z32" s="287" t="str">
        <f t="shared" si="4"/>
        <v/>
      </c>
      <c r="AA32" s="287" t="str">
        <f t="shared" si="5"/>
        <v/>
      </c>
      <c r="AB32" s="287" t="str">
        <f t="shared" si="6"/>
        <v/>
      </c>
      <c r="AC32" s="491" t="str">
        <f>IFERROR(IF(OR(E32="",R32=""),"",IF(AND(AB32&lt;&gt;"",S32=""),"Spatial risk category missing ▲",IF(AND(Q32='G-7 WaterC'' Data'!$G$4,AD32="Yes"),"Alternative Compensation ✓",IF(AND(AD32="Pending",Q32='G-7 WaterC'' Data'!$G$4),"Bespoke compensation must be agreed ▲",IF((Z32+AA32)&gt;=U32,0,U32-Z32-AA32))))),"Check Data ⚠")</f>
        <v/>
      </c>
      <c r="AD32" s="393"/>
      <c r="AE32" s="105"/>
      <c r="AF32" s="104"/>
      <c r="AG32" s="104"/>
      <c r="AH32" s="104"/>
      <c r="AI32" s="54" t="str">
        <f>IF(OR(Q32="",AD32="Yes"),"",IF(Q32='G-1 All Habitats'!$X$9,E32-Y32-X32,"None"))</f>
        <v/>
      </c>
      <c r="AJ32" s="55" t="str">
        <f>IF(Q32="","",IF(Q32='G-1 All Habitats'!$X$9,AI32*G32*I32*L32*N32*P32,"None"))</f>
        <v/>
      </c>
      <c r="AK32" s="30" t="str">
        <f>IFERROR(INDEX('G-7 WaterC'' Data'!$AZ$3:$AZ$7,MATCH(D32,'G-7 WaterC'' Data'!$AY$3:$AY$7,0)),"")</f>
        <v/>
      </c>
      <c r="AL32" s="30">
        <f t="shared" si="7"/>
        <v>0</v>
      </c>
      <c r="AM32" s="107" t="str">
        <f t="shared" si="8"/>
        <v/>
      </c>
      <c r="AN32" s="107" t="str">
        <f t="shared" si="9"/>
        <v/>
      </c>
      <c r="AP32" s="107">
        <v>23</v>
      </c>
      <c r="AR32" s="107" t="str">
        <f t="array" ref="AR32">IFERROR(INDEX($AP$10:$AP$258,MATCH(0,IF(TRUE=$AM$10:$AM$258,COUNTIF($AR$9:$AR31,$AP$10:$AP$258),""),0)),"")</f>
        <v/>
      </c>
      <c r="AS32" s="107" t="str">
        <f t="array" ref="AS32">IFERROR(INDEX($AP$10:$AP$258,MATCH(0,IF(TRUE=$AN$10:$AN$258,COUNTIF($AS$9:$AS31,$AP$10:$AP$258),""),0)),"")</f>
        <v/>
      </c>
      <c r="AT32" s="885" t="str">
        <f>IF(AND(OR(AD32="Yes",AD32="Pending"),Q32='G-7 WaterC'' Data'!$G$4),U32-AA32-Z32,"0")</f>
        <v>0</v>
      </c>
      <c r="AU32" s="30" t="str">
        <f>IF(D32="","",VLOOKUP(D32,'G-7 WaterC'' Data'!B$4:M$8,12,FALSE))</f>
        <v/>
      </c>
      <c r="AV32" s="30" t="str">
        <f t="shared" si="0"/>
        <v/>
      </c>
      <c r="AW32" s="30" t="str">
        <f t="shared" si="10"/>
        <v>No</v>
      </c>
      <c r="BA32" s="555" t="str">
        <f t="shared" si="11"/>
        <v/>
      </c>
    </row>
    <row r="33" spans="3:53" ht="14.5" thickBot="1">
      <c r="C33" s="97">
        <v>24</v>
      </c>
      <c r="D33" s="263"/>
      <c r="E33" s="104"/>
      <c r="F33" s="275" t="str">
        <f>IF(D33="","",VLOOKUP(D33,'G-7 WaterC'' Data'!$B$2:$G$8,2,FALSE))</f>
        <v/>
      </c>
      <c r="G33" s="314" t="str">
        <f>IFERROR(VLOOKUP(F33,'G-7 WaterC'' Data'!$C$4:$D$8,2,FALSE),"")</f>
        <v/>
      </c>
      <c r="H33" s="105"/>
      <c r="I33" s="299" t="str">
        <f>IFERROR(INDEX('G-7 WaterC'' Data'!$H$4:$L$8,MATCH(D33,'G-7 WaterC'' Data'!$B$4:$B$8,0),MATCH(H33,'G-7 WaterC'' Data'!$H$3:$L$3,0)),"")</f>
        <v/>
      </c>
      <c r="J33" s="702"/>
      <c r="K33" s="295" t="str">
        <f>IF(J33="","",IF(VLOOKUP(J33,'G-7 WaterC'' Data'!$AK$4:$AM$9,2,FALSE)=0,"Spatial Data Missing ⚠",VLOOKUP(J33,'G-7 WaterC'' Data'!$AK$4:$AM$6,2,FALSE)))</f>
        <v/>
      </c>
      <c r="L33" s="299" t="str">
        <f>IF(J33="","",IF(VLOOKUP(J33,'G-7 WaterC'' Data'!$AK$4:$AM$9,3,FALSE)=0,"Spatial Data Missing ⚠",VLOOKUP(J33,'G-7 WaterC'' Data'!$AK$4:$AM$6,3,FALSE)))</f>
        <v/>
      </c>
      <c r="M33" s="102"/>
      <c r="N33" s="276" t="str">
        <f>IF(M33="","",IF(AND(M33="N/A - Culvert",D33&lt;&gt;"Culvert"),"Not possible ▲",IF(AND(D33="Culvert",M33&lt;&gt;"N/A - Culvert"),"Not possible ▲",IF(VLOOKUP(M33,'G-7 WaterC'' Data'!$AA$4:$AB$7,2,FALSE)=0,"Spatial Data Missing ⚠",VLOOKUP(M33,'G-7 WaterC'' Data'!$AA$4:$AB$7,2,FALSE)))))</f>
        <v/>
      </c>
      <c r="O33" s="56"/>
      <c r="P33" s="276" t="str">
        <f>IF(O33="","",IF(AND(O33="N/A - Culvert",D33&lt;&gt;"Culvert"),"Not possible ▲",IF(AND(D33="Culvert",O33&lt;&gt;"N/A - Culvert"),"Not possible ▲",IF(VLOOKUP(O33,'G-7 WaterC'' Data'!$AD$4:$AE$14,2,FALSE)=0,"Spatial Data Missing ⚠",VLOOKUP(O33,'G-7 WaterC'' Data'!$AD$4:$AE$14,2,FALSE)))))</f>
        <v/>
      </c>
      <c r="Q33" s="282" t="str">
        <f>IF(D33="","",VLOOKUP(D33,'G-7 WaterC'' Data'!$B$4:$G$8,6,FALSE))</f>
        <v/>
      </c>
      <c r="R33" s="289" t="str">
        <f t="shared" si="1"/>
        <v xml:space="preserve"> </v>
      </c>
      <c r="S33" s="393"/>
      <c r="T33" s="281" t="str">
        <f>IF(S33="","",IF(VLOOKUP(S33,'G-7 WaterC'' Data'!$AO$4:$BO$7,2,FALSE)=0,"Spatial Data Missing ⚠",VLOOKUP(S33,'G-7 WaterC'' Data'!$AO$4:$BO$7,2,FALSE)))</f>
        <v/>
      </c>
      <c r="U33" s="289" t="str">
        <f t="shared" si="2"/>
        <v xml:space="preserve"> </v>
      </c>
      <c r="V33" s="694" t="str">
        <f t="shared" si="3"/>
        <v/>
      </c>
      <c r="W33" s="32"/>
      <c r="X33" s="101"/>
      <c r="Y33" s="108"/>
      <c r="Z33" s="287" t="str">
        <f t="shared" si="4"/>
        <v/>
      </c>
      <c r="AA33" s="287" t="str">
        <f t="shared" si="5"/>
        <v/>
      </c>
      <c r="AB33" s="287" t="str">
        <f t="shared" si="6"/>
        <v/>
      </c>
      <c r="AC33" s="491" t="str">
        <f>IFERROR(IF(OR(E33="",R33=""),"",IF(AND(AB33&lt;&gt;"",S33=""),"Spatial risk category missing ▲",IF(AND(Q33='G-7 WaterC'' Data'!$G$4,AD33="Yes"),"Alternative Compensation ✓",IF(AND(AD33="Pending",Q33='G-7 WaterC'' Data'!$G$4),"Bespoke compensation must be agreed ▲",IF((Z33+AA33)&gt;=U33,0,U33-Z33-AA33))))),"Check Data ⚠")</f>
        <v/>
      </c>
      <c r="AD33" s="393"/>
      <c r="AE33" s="105"/>
      <c r="AF33" s="104"/>
      <c r="AG33" s="104"/>
      <c r="AH33" s="104"/>
      <c r="AI33" s="54" t="str">
        <f>IF(OR(Q33="",AD33="Yes"),"",IF(Q33='G-1 All Habitats'!$X$9,E33-Y33-X33,"None"))</f>
        <v/>
      </c>
      <c r="AJ33" s="55" t="str">
        <f>IF(Q33="","",IF(Q33='G-1 All Habitats'!$X$9,AI33*G33*I33*L33*N33*P33,"None"))</f>
        <v/>
      </c>
      <c r="AK33" s="30" t="str">
        <f>IFERROR(INDEX('G-7 WaterC'' Data'!$AZ$3:$AZ$7,MATCH(D33,'G-7 WaterC'' Data'!$AY$3:$AY$7,0)),"")</f>
        <v/>
      </c>
      <c r="AL33" s="30">
        <f t="shared" si="7"/>
        <v>0</v>
      </c>
      <c r="AM33" s="107" t="str">
        <f t="shared" si="8"/>
        <v/>
      </c>
      <c r="AN33" s="107" t="str">
        <f t="shared" si="9"/>
        <v/>
      </c>
      <c r="AP33" s="107">
        <v>24</v>
      </c>
      <c r="AR33" s="107" t="str">
        <f t="array" ref="AR33">IFERROR(INDEX($AP$10:$AP$258,MATCH(0,IF(TRUE=$AM$10:$AM$258,COUNTIF($AR$9:$AR32,$AP$10:$AP$258),""),0)),"")</f>
        <v/>
      </c>
      <c r="AS33" s="107" t="str">
        <f t="array" ref="AS33">IFERROR(INDEX($AP$10:$AP$258,MATCH(0,IF(TRUE=$AN$10:$AN$258,COUNTIF($AS$9:$AS32,$AP$10:$AP$258),""),0)),"")</f>
        <v/>
      </c>
      <c r="AT33" s="885" t="str">
        <f>IF(AND(OR(AD33="Yes",AD33="Pending"),Q33='G-7 WaterC'' Data'!$G$4),U33-AA33-Z33,"0")</f>
        <v>0</v>
      </c>
      <c r="AU33" s="30" t="str">
        <f>IF(D33="","",VLOOKUP(D33,'G-7 WaterC'' Data'!B$4:M$8,12,FALSE))</f>
        <v/>
      </c>
      <c r="AV33" s="30" t="str">
        <f t="shared" si="0"/>
        <v/>
      </c>
      <c r="AW33" s="30" t="str">
        <f t="shared" si="10"/>
        <v>No</v>
      </c>
      <c r="BA33" s="555" t="str">
        <f t="shared" si="11"/>
        <v/>
      </c>
    </row>
    <row r="34" spans="3:53" ht="14.5" thickBot="1">
      <c r="C34" s="97">
        <v>25</v>
      </c>
      <c r="D34" s="263"/>
      <c r="E34" s="104"/>
      <c r="F34" s="275" t="str">
        <f>IF(D34="","",VLOOKUP(D34,'G-7 WaterC'' Data'!$B$2:$G$8,2,FALSE))</f>
        <v/>
      </c>
      <c r="G34" s="314" t="str">
        <f>IFERROR(VLOOKUP(F34,'G-7 WaterC'' Data'!$C$4:$D$8,2,FALSE),"")</f>
        <v/>
      </c>
      <c r="H34" s="105"/>
      <c r="I34" s="299" t="str">
        <f>IFERROR(INDEX('G-7 WaterC'' Data'!$H$4:$L$8,MATCH(D34,'G-7 WaterC'' Data'!$B$4:$B$8,0),MATCH(H34,'G-7 WaterC'' Data'!$H$3:$L$3,0)),"")</f>
        <v/>
      </c>
      <c r="J34" s="702"/>
      <c r="K34" s="295" t="str">
        <f>IF(J34="","",IF(VLOOKUP(J34,'G-7 WaterC'' Data'!$AK$4:$AM$9,2,FALSE)=0,"Spatial Data Missing ⚠",VLOOKUP(J34,'G-7 WaterC'' Data'!$AK$4:$AM$6,2,FALSE)))</f>
        <v/>
      </c>
      <c r="L34" s="299" t="str">
        <f>IF(J34="","",IF(VLOOKUP(J34,'G-7 WaterC'' Data'!$AK$4:$AM$9,3,FALSE)=0,"Spatial Data Missing ⚠",VLOOKUP(J34,'G-7 WaterC'' Data'!$AK$4:$AM$6,3,FALSE)))</f>
        <v/>
      </c>
      <c r="M34" s="102"/>
      <c r="N34" s="276" t="str">
        <f>IF(M34="","",IF(AND(M34="N/A - Culvert",D34&lt;&gt;"Culvert"),"Not possible ▲",IF(AND(D34="Culvert",M34&lt;&gt;"N/A - Culvert"),"Not possible ▲",IF(VLOOKUP(M34,'G-7 WaterC'' Data'!$AA$4:$AB$7,2,FALSE)=0,"Spatial Data Missing ⚠",VLOOKUP(M34,'G-7 WaterC'' Data'!$AA$4:$AB$7,2,FALSE)))))</f>
        <v/>
      </c>
      <c r="O34" s="56"/>
      <c r="P34" s="276" t="str">
        <f>IF(O34="","",IF(AND(O34="N/A - Culvert",D34&lt;&gt;"Culvert"),"Not possible ▲",IF(AND(D34="Culvert",O34&lt;&gt;"N/A - Culvert"),"Not possible ▲",IF(VLOOKUP(O34,'G-7 WaterC'' Data'!$AD$4:$AE$14,2,FALSE)=0,"Spatial Data Missing ⚠",VLOOKUP(O34,'G-7 WaterC'' Data'!$AD$4:$AE$14,2,FALSE)))))</f>
        <v/>
      </c>
      <c r="Q34" s="282" t="str">
        <f>IF(D34="","",VLOOKUP(D34,'G-7 WaterC'' Data'!$B$4:$G$8,6,FALSE))</f>
        <v/>
      </c>
      <c r="R34" s="289" t="str">
        <f t="shared" si="1"/>
        <v xml:space="preserve"> </v>
      </c>
      <c r="S34" s="393"/>
      <c r="T34" s="281" t="str">
        <f>IF(S34="","",IF(VLOOKUP(S34,'G-7 WaterC'' Data'!$AO$4:$BO$7,2,FALSE)=0,"Spatial Data Missing ⚠",VLOOKUP(S34,'G-7 WaterC'' Data'!$AO$4:$BO$7,2,FALSE)))</f>
        <v/>
      </c>
      <c r="U34" s="289" t="str">
        <f t="shared" si="2"/>
        <v xml:space="preserve"> </v>
      </c>
      <c r="V34" s="694" t="str">
        <f t="shared" si="3"/>
        <v/>
      </c>
      <c r="W34" s="32"/>
      <c r="X34" s="101"/>
      <c r="Y34" s="108"/>
      <c r="Z34" s="287" t="str">
        <f t="shared" si="4"/>
        <v/>
      </c>
      <c r="AA34" s="287" t="str">
        <f t="shared" si="5"/>
        <v/>
      </c>
      <c r="AB34" s="287" t="str">
        <f t="shared" si="6"/>
        <v/>
      </c>
      <c r="AC34" s="491" t="str">
        <f>IFERROR(IF(OR(E34="",R34=""),"",IF(AND(AB34&lt;&gt;"",S34=""),"Spatial risk category missing ▲",IF(AND(Q34='G-7 WaterC'' Data'!$G$4,AD34="Yes"),"Alternative Compensation ✓",IF(AND(AD34="Pending",Q34='G-7 WaterC'' Data'!$G$4),"Bespoke compensation must be agreed ▲",IF((Z34+AA34)&gt;=U34,0,U34-Z34-AA34))))),"Check Data ⚠")</f>
        <v/>
      </c>
      <c r="AD34" s="393"/>
      <c r="AE34" s="105"/>
      <c r="AF34" s="104"/>
      <c r="AG34" s="104"/>
      <c r="AH34" s="104"/>
      <c r="AI34" s="54" t="str">
        <f>IF(OR(Q34="",AD34="Yes"),"",IF(Q34='G-1 All Habitats'!$X$9,E34-Y34-X34,"None"))</f>
        <v/>
      </c>
      <c r="AJ34" s="55" t="str">
        <f>IF(Q34="","",IF(Q34='G-1 All Habitats'!$X$9,AI34*G34*I34*L34*N34*P34,"None"))</f>
        <v/>
      </c>
      <c r="AK34" s="30" t="str">
        <f>IFERROR(INDEX('G-7 WaterC'' Data'!$AZ$3:$AZ$7,MATCH(D34,'G-7 WaterC'' Data'!$AY$3:$AY$7,0)),"")</f>
        <v/>
      </c>
      <c r="AL34" s="30">
        <f t="shared" si="7"/>
        <v>0</v>
      </c>
      <c r="AM34" s="107" t="str">
        <f t="shared" si="8"/>
        <v/>
      </c>
      <c r="AN34" s="107" t="str">
        <f t="shared" si="9"/>
        <v/>
      </c>
      <c r="AP34" s="107">
        <v>25</v>
      </c>
      <c r="AR34" s="107" t="str">
        <f t="array" ref="AR34">IFERROR(INDEX($AP$10:$AP$258,MATCH(0,IF(TRUE=$AM$10:$AM$258,COUNTIF($AR$9:$AR33,$AP$10:$AP$258),""),0)),"")</f>
        <v/>
      </c>
      <c r="AS34" s="107" t="str">
        <f t="array" ref="AS34">IFERROR(INDEX($AP$10:$AP$258,MATCH(0,IF(TRUE=$AN$10:$AN$258,COUNTIF($AS$9:$AS33,$AP$10:$AP$258),""),0)),"")</f>
        <v/>
      </c>
      <c r="AT34" s="885" t="str">
        <f>IF(AND(OR(AD34="Yes",AD34="Pending"),Q34='G-7 WaterC'' Data'!$G$4),U34-AA34-Z34,"0")</f>
        <v>0</v>
      </c>
      <c r="AU34" s="30" t="str">
        <f>IF(D34="","",VLOOKUP(D34,'G-7 WaterC'' Data'!B$4:M$8,12,FALSE))</f>
        <v/>
      </c>
      <c r="AV34" s="30" t="str">
        <f t="shared" si="0"/>
        <v/>
      </c>
      <c r="AW34" s="30" t="str">
        <f t="shared" si="10"/>
        <v>No</v>
      </c>
      <c r="BA34" s="555" t="str">
        <f t="shared" si="11"/>
        <v/>
      </c>
    </row>
    <row r="35" spans="3:53" ht="14.5" thickBot="1">
      <c r="C35" s="97">
        <v>26</v>
      </c>
      <c r="D35" s="263"/>
      <c r="E35" s="104"/>
      <c r="F35" s="275" t="str">
        <f>IF(D35="","",VLOOKUP(D35,'G-7 WaterC'' Data'!$B$2:$G$8,2,FALSE))</f>
        <v/>
      </c>
      <c r="G35" s="314" t="str">
        <f>IFERROR(VLOOKUP(F35,'G-7 WaterC'' Data'!$C$4:$D$8,2,FALSE),"")</f>
        <v/>
      </c>
      <c r="H35" s="105"/>
      <c r="I35" s="299" t="str">
        <f>IFERROR(INDEX('G-7 WaterC'' Data'!$H$4:$L$8,MATCH(D35,'G-7 WaterC'' Data'!$B$4:$B$8,0),MATCH(H35,'G-7 WaterC'' Data'!$H$3:$L$3,0)),"")</f>
        <v/>
      </c>
      <c r="J35" s="702"/>
      <c r="K35" s="295" t="str">
        <f>IF(J35="","",IF(VLOOKUP(J35,'G-7 WaterC'' Data'!$AK$4:$AM$9,2,FALSE)=0,"Spatial Data Missing ⚠",VLOOKUP(J35,'G-7 WaterC'' Data'!$AK$4:$AM$6,2,FALSE)))</f>
        <v/>
      </c>
      <c r="L35" s="299" t="str">
        <f>IF(J35="","",IF(VLOOKUP(J35,'G-7 WaterC'' Data'!$AK$4:$AM$9,3,FALSE)=0,"Spatial Data Missing ⚠",VLOOKUP(J35,'G-7 WaterC'' Data'!$AK$4:$AM$6,3,FALSE)))</f>
        <v/>
      </c>
      <c r="M35" s="102"/>
      <c r="N35" s="276" t="str">
        <f>IF(M35="","",IF(AND(M35="N/A - Culvert",D35&lt;&gt;"Culvert"),"Not possible ▲",IF(AND(D35="Culvert",M35&lt;&gt;"N/A - Culvert"),"Not possible ▲",IF(VLOOKUP(M35,'G-7 WaterC'' Data'!$AA$4:$AB$7,2,FALSE)=0,"Spatial Data Missing ⚠",VLOOKUP(M35,'G-7 WaterC'' Data'!$AA$4:$AB$7,2,FALSE)))))</f>
        <v/>
      </c>
      <c r="O35" s="56"/>
      <c r="P35" s="276" t="str">
        <f>IF(O35="","",IF(AND(O35="N/A - Culvert",D35&lt;&gt;"Culvert"),"Not possible ▲",IF(AND(D35="Culvert",O35&lt;&gt;"N/A - Culvert"),"Not possible ▲",IF(VLOOKUP(O35,'G-7 WaterC'' Data'!$AD$4:$AE$14,2,FALSE)=0,"Spatial Data Missing ⚠",VLOOKUP(O35,'G-7 WaterC'' Data'!$AD$4:$AE$14,2,FALSE)))))</f>
        <v/>
      </c>
      <c r="Q35" s="282" t="str">
        <f>IF(D35="","",VLOOKUP(D35,'G-7 WaterC'' Data'!$B$4:$G$8,6,FALSE))</f>
        <v/>
      </c>
      <c r="R35" s="289" t="str">
        <f t="shared" si="1"/>
        <v xml:space="preserve"> </v>
      </c>
      <c r="S35" s="393"/>
      <c r="T35" s="281" t="str">
        <f>IF(S35="","",IF(VLOOKUP(S35,'G-7 WaterC'' Data'!$AO$4:$BO$7,2,FALSE)=0,"Spatial Data Missing ⚠",VLOOKUP(S35,'G-7 WaterC'' Data'!$AO$4:$BO$7,2,FALSE)))</f>
        <v/>
      </c>
      <c r="U35" s="289" t="str">
        <f t="shared" si="2"/>
        <v xml:space="preserve"> </v>
      </c>
      <c r="V35" s="694" t="str">
        <f t="shared" si="3"/>
        <v/>
      </c>
      <c r="W35" s="32"/>
      <c r="X35" s="101"/>
      <c r="Y35" s="108"/>
      <c r="Z35" s="287" t="str">
        <f t="shared" si="4"/>
        <v/>
      </c>
      <c r="AA35" s="287" t="str">
        <f t="shared" si="5"/>
        <v/>
      </c>
      <c r="AB35" s="287" t="str">
        <f t="shared" si="6"/>
        <v/>
      </c>
      <c r="AC35" s="491" t="str">
        <f>IFERROR(IF(OR(E35="",R35=""),"",IF(AND(AB35&lt;&gt;"",S35=""),"Spatial risk category missing ▲",IF(AND(Q35='G-7 WaterC'' Data'!$G$4,AD35="Yes"),"Alternative Compensation ✓",IF(AND(AD35="Pending",Q35='G-7 WaterC'' Data'!$G$4),"Bespoke compensation must be agreed ▲",IF((Z35+AA35)&gt;=U35,0,U35-Z35-AA35))))),"Check Data ⚠")</f>
        <v/>
      </c>
      <c r="AD35" s="393"/>
      <c r="AE35" s="105"/>
      <c r="AF35" s="104"/>
      <c r="AG35" s="104"/>
      <c r="AH35" s="104"/>
      <c r="AI35" s="54" t="str">
        <f>IF(OR(Q35="",AD35="Yes"),"",IF(Q35='G-1 All Habitats'!$X$9,E35-Y35-X35,"None"))</f>
        <v/>
      </c>
      <c r="AJ35" s="55" t="str">
        <f>IF(Q35="","",IF(Q35='G-1 All Habitats'!$X$9,AI35*G35*I35*L35*N35*P35,"None"))</f>
        <v/>
      </c>
      <c r="AK35" s="30" t="str">
        <f>IFERROR(INDEX('G-7 WaterC'' Data'!$AZ$3:$AZ$7,MATCH(D35,'G-7 WaterC'' Data'!$AY$3:$AY$7,0)),"")</f>
        <v/>
      </c>
      <c r="AL35" s="30">
        <f t="shared" si="7"/>
        <v>0</v>
      </c>
      <c r="AM35" s="107" t="str">
        <f t="shared" si="8"/>
        <v/>
      </c>
      <c r="AN35" s="107" t="str">
        <f t="shared" si="9"/>
        <v/>
      </c>
      <c r="AP35" s="107">
        <v>26</v>
      </c>
      <c r="AR35" s="107" t="str">
        <f t="array" ref="AR35">IFERROR(INDEX($AP$10:$AP$258,MATCH(0,IF(TRUE=$AM$10:$AM$258,COUNTIF($AR$9:$AR34,$AP$10:$AP$258),""),0)),"")</f>
        <v/>
      </c>
      <c r="AS35" s="107" t="str">
        <f t="array" ref="AS35">IFERROR(INDEX($AP$10:$AP$258,MATCH(0,IF(TRUE=$AN$10:$AN$258,COUNTIF($AS$9:$AS34,$AP$10:$AP$258),""),0)),"")</f>
        <v/>
      </c>
      <c r="AT35" s="885" t="str">
        <f>IF(AND(OR(AD35="Yes",AD35="Pending"),Q35='G-7 WaterC'' Data'!$G$4),U35-AA35-Z35,"0")</f>
        <v>0</v>
      </c>
      <c r="AU35" s="30" t="str">
        <f>IF(D35="","",VLOOKUP(D35,'G-7 WaterC'' Data'!B$4:M$8,12,FALSE))</f>
        <v/>
      </c>
      <c r="AV35" s="30" t="str">
        <f t="shared" si="0"/>
        <v/>
      </c>
      <c r="AW35" s="30" t="str">
        <f t="shared" si="10"/>
        <v>No</v>
      </c>
      <c r="BA35" s="555" t="str">
        <f t="shared" si="11"/>
        <v/>
      </c>
    </row>
    <row r="36" spans="3:53" ht="14.5" thickBot="1">
      <c r="C36" s="97">
        <v>27</v>
      </c>
      <c r="D36" s="263"/>
      <c r="E36" s="104"/>
      <c r="F36" s="275" t="str">
        <f>IF(D36="","",VLOOKUP(D36,'G-7 WaterC'' Data'!$B$2:$G$8,2,FALSE))</f>
        <v/>
      </c>
      <c r="G36" s="314" t="str">
        <f>IFERROR(VLOOKUP(F36,'G-7 WaterC'' Data'!$C$4:$D$8,2,FALSE),"")</f>
        <v/>
      </c>
      <c r="H36" s="105"/>
      <c r="I36" s="299" t="str">
        <f>IFERROR(INDEX('G-7 WaterC'' Data'!$H$4:$L$8,MATCH(D36,'G-7 WaterC'' Data'!$B$4:$B$8,0),MATCH(H36,'G-7 WaterC'' Data'!$H$3:$L$3,0)),"")</f>
        <v/>
      </c>
      <c r="J36" s="702"/>
      <c r="K36" s="295" t="str">
        <f>IF(J36="","",IF(VLOOKUP(J36,'G-7 WaterC'' Data'!$AK$4:$AM$9,2,FALSE)=0,"Spatial Data Missing ⚠",VLOOKUP(J36,'G-7 WaterC'' Data'!$AK$4:$AM$6,2,FALSE)))</f>
        <v/>
      </c>
      <c r="L36" s="299" t="str">
        <f>IF(J36="","",IF(VLOOKUP(J36,'G-7 WaterC'' Data'!$AK$4:$AM$9,3,FALSE)=0,"Spatial Data Missing ⚠",VLOOKUP(J36,'G-7 WaterC'' Data'!$AK$4:$AM$6,3,FALSE)))</f>
        <v/>
      </c>
      <c r="M36" s="102"/>
      <c r="N36" s="276" t="str">
        <f>IF(M36="","",IF(AND(M36="N/A - Culvert",D36&lt;&gt;"Culvert"),"Not possible ▲",IF(AND(D36="Culvert",M36&lt;&gt;"N/A - Culvert"),"Not possible ▲",IF(VLOOKUP(M36,'G-7 WaterC'' Data'!$AA$4:$AB$7,2,FALSE)=0,"Spatial Data Missing ⚠",VLOOKUP(M36,'G-7 WaterC'' Data'!$AA$4:$AB$7,2,FALSE)))))</f>
        <v/>
      </c>
      <c r="O36" s="56"/>
      <c r="P36" s="276" t="str">
        <f>IF(O36="","",IF(AND(O36="N/A - Culvert",D36&lt;&gt;"Culvert"),"Not possible ▲",IF(AND(D36="Culvert",O36&lt;&gt;"N/A - Culvert"),"Not possible ▲",IF(VLOOKUP(O36,'G-7 WaterC'' Data'!$AD$4:$AE$14,2,FALSE)=0,"Spatial Data Missing ⚠",VLOOKUP(O36,'G-7 WaterC'' Data'!$AD$4:$AE$14,2,FALSE)))))</f>
        <v/>
      </c>
      <c r="Q36" s="282" t="str">
        <f>IF(D36="","",VLOOKUP(D36,'G-7 WaterC'' Data'!$B$4:$G$8,6,FALSE))</f>
        <v/>
      </c>
      <c r="R36" s="289" t="str">
        <f t="shared" si="1"/>
        <v xml:space="preserve"> </v>
      </c>
      <c r="S36" s="393"/>
      <c r="T36" s="281" t="str">
        <f>IF(S36="","",IF(VLOOKUP(S36,'G-7 WaterC'' Data'!$AO$4:$BO$7,2,FALSE)=0,"Spatial Data Missing ⚠",VLOOKUP(S36,'G-7 WaterC'' Data'!$AO$4:$BO$7,2,FALSE)))</f>
        <v/>
      </c>
      <c r="U36" s="289" t="str">
        <f t="shared" si="2"/>
        <v xml:space="preserve"> </v>
      </c>
      <c r="V36" s="694" t="str">
        <f t="shared" si="3"/>
        <v/>
      </c>
      <c r="W36" s="32"/>
      <c r="X36" s="101"/>
      <c r="Y36" s="108"/>
      <c r="Z36" s="287" t="str">
        <f t="shared" si="4"/>
        <v/>
      </c>
      <c r="AA36" s="287" t="str">
        <f t="shared" si="5"/>
        <v/>
      </c>
      <c r="AB36" s="287" t="str">
        <f t="shared" si="6"/>
        <v/>
      </c>
      <c r="AC36" s="491" t="str">
        <f>IFERROR(IF(OR(E36="",R36=""),"",IF(AND(AB36&lt;&gt;"",S36=""),"Spatial risk category missing ▲",IF(AND(Q36='G-7 WaterC'' Data'!$G$4,AD36="Yes"),"Alternative Compensation ✓",IF(AND(AD36="Pending",Q36='G-7 WaterC'' Data'!$G$4),"Bespoke compensation must be agreed ▲",IF((Z36+AA36)&gt;=U36,0,U36-Z36-AA36))))),"Check Data ⚠")</f>
        <v/>
      </c>
      <c r="AD36" s="393"/>
      <c r="AE36" s="105"/>
      <c r="AF36" s="104"/>
      <c r="AG36" s="104"/>
      <c r="AH36" s="104"/>
      <c r="AI36" s="54" t="str">
        <f>IF(OR(Q36="",AD36="Yes"),"",IF(Q36='G-1 All Habitats'!$X$9,E36-Y36-X36,"None"))</f>
        <v/>
      </c>
      <c r="AJ36" s="55" t="str">
        <f>IF(Q36="","",IF(Q36='G-1 All Habitats'!$X$9,AI36*G36*I36*L36*N36*P36,"None"))</f>
        <v/>
      </c>
      <c r="AK36" s="30" t="str">
        <f>IFERROR(INDEX('G-7 WaterC'' Data'!$AZ$3:$AZ$7,MATCH(D36,'G-7 WaterC'' Data'!$AY$3:$AY$7,0)),"")</f>
        <v/>
      </c>
      <c r="AL36" s="30">
        <f t="shared" si="7"/>
        <v>0</v>
      </c>
      <c r="AM36" s="107" t="str">
        <f t="shared" si="8"/>
        <v/>
      </c>
      <c r="AN36" s="107" t="str">
        <f t="shared" si="9"/>
        <v/>
      </c>
      <c r="AP36" s="107">
        <v>27</v>
      </c>
      <c r="AR36" s="107" t="str">
        <f t="array" ref="AR36">IFERROR(INDEX($AP$10:$AP$258,MATCH(0,IF(TRUE=$AM$10:$AM$258,COUNTIF($AR$9:$AR35,$AP$10:$AP$258),""),0)),"")</f>
        <v/>
      </c>
      <c r="AS36" s="107" t="str">
        <f t="array" ref="AS36">IFERROR(INDEX($AP$10:$AP$258,MATCH(0,IF(TRUE=$AN$10:$AN$258,COUNTIF($AS$9:$AS35,$AP$10:$AP$258),""),0)),"")</f>
        <v/>
      </c>
      <c r="AT36" s="885" t="str">
        <f>IF(AND(OR(AD36="Yes",AD36="Pending"),Q36='G-7 WaterC'' Data'!$G$4),U36-AA36-Z36,"0")</f>
        <v>0</v>
      </c>
      <c r="AU36" s="30" t="str">
        <f>IF(D36="","",VLOOKUP(D36,'G-7 WaterC'' Data'!B$4:M$8,12,FALSE))</f>
        <v/>
      </c>
      <c r="AV36" s="30" t="str">
        <f t="shared" si="0"/>
        <v/>
      </c>
      <c r="AW36" s="30" t="str">
        <f t="shared" si="10"/>
        <v>No</v>
      </c>
      <c r="BA36" s="555" t="str">
        <f t="shared" si="11"/>
        <v/>
      </c>
    </row>
    <row r="37" spans="3:53" ht="14.5" thickBot="1">
      <c r="C37" s="97">
        <v>28</v>
      </c>
      <c r="D37" s="263"/>
      <c r="E37" s="104"/>
      <c r="F37" s="275" t="str">
        <f>IF(D37="","",VLOOKUP(D37,'G-7 WaterC'' Data'!$B$2:$G$8,2,FALSE))</f>
        <v/>
      </c>
      <c r="G37" s="314" t="str">
        <f>IFERROR(VLOOKUP(F37,'G-7 WaterC'' Data'!$C$4:$D$8,2,FALSE),"")</f>
        <v/>
      </c>
      <c r="H37" s="105"/>
      <c r="I37" s="299" t="str">
        <f>IFERROR(INDEX('G-7 WaterC'' Data'!$H$4:$L$8,MATCH(D37,'G-7 WaterC'' Data'!$B$4:$B$8,0),MATCH(H37,'G-7 WaterC'' Data'!$H$3:$L$3,0)),"")</f>
        <v/>
      </c>
      <c r="J37" s="702"/>
      <c r="K37" s="295" t="str">
        <f>IF(J37="","",IF(VLOOKUP(J37,'G-7 WaterC'' Data'!$AK$4:$AM$9,2,FALSE)=0,"Spatial Data Missing ⚠",VLOOKUP(J37,'G-7 WaterC'' Data'!$AK$4:$AM$6,2,FALSE)))</f>
        <v/>
      </c>
      <c r="L37" s="299" t="str">
        <f>IF(J37="","",IF(VLOOKUP(J37,'G-7 WaterC'' Data'!$AK$4:$AM$9,3,FALSE)=0,"Spatial Data Missing ⚠",VLOOKUP(J37,'G-7 WaterC'' Data'!$AK$4:$AM$6,3,FALSE)))</f>
        <v/>
      </c>
      <c r="M37" s="102"/>
      <c r="N37" s="276" t="str">
        <f>IF(M37="","",IF(AND(M37="N/A - Culvert",D37&lt;&gt;"Culvert"),"Not possible ▲",IF(AND(D37="Culvert",M37&lt;&gt;"N/A - Culvert"),"Not possible ▲",IF(VLOOKUP(M37,'G-7 WaterC'' Data'!$AA$4:$AB$7,2,FALSE)=0,"Spatial Data Missing ⚠",VLOOKUP(M37,'G-7 WaterC'' Data'!$AA$4:$AB$7,2,FALSE)))))</f>
        <v/>
      </c>
      <c r="O37" s="56"/>
      <c r="P37" s="276" t="str">
        <f>IF(O37="","",IF(AND(O37="N/A - Culvert",D37&lt;&gt;"Culvert"),"Not possible ▲",IF(AND(D37="Culvert",O37&lt;&gt;"N/A - Culvert"),"Not possible ▲",IF(VLOOKUP(O37,'G-7 WaterC'' Data'!$AD$4:$AE$14,2,FALSE)=0,"Spatial Data Missing ⚠",VLOOKUP(O37,'G-7 WaterC'' Data'!$AD$4:$AE$14,2,FALSE)))))</f>
        <v/>
      </c>
      <c r="Q37" s="282" t="str">
        <f>IF(D37="","",VLOOKUP(D37,'G-7 WaterC'' Data'!$B$4:$G$8,6,FALSE))</f>
        <v/>
      </c>
      <c r="R37" s="289" t="str">
        <f t="shared" si="1"/>
        <v xml:space="preserve"> </v>
      </c>
      <c r="S37" s="393"/>
      <c r="T37" s="281" t="str">
        <f>IF(S37="","",IF(VLOOKUP(S37,'G-7 WaterC'' Data'!$AO$4:$BO$7,2,FALSE)=0,"Spatial Data Missing ⚠",VLOOKUP(S37,'G-7 WaterC'' Data'!$AO$4:$BO$7,2,FALSE)))</f>
        <v/>
      </c>
      <c r="U37" s="289" t="str">
        <f t="shared" si="2"/>
        <v xml:space="preserve"> </v>
      </c>
      <c r="V37" s="694" t="str">
        <f t="shared" si="3"/>
        <v/>
      </c>
      <c r="W37" s="32"/>
      <c r="X37" s="101"/>
      <c r="Y37" s="108"/>
      <c r="Z37" s="287" t="str">
        <f t="shared" si="4"/>
        <v/>
      </c>
      <c r="AA37" s="287" t="str">
        <f t="shared" si="5"/>
        <v/>
      </c>
      <c r="AB37" s="287" t="str">
        <f t="shared" si="6"/>
        <v/>
      </c>
      <c r="AC37" s="491" t="str">
        <f>IFERROR(IF(OR(E37="",R37=""),"",IF(AND(AB37&lt;&gt;"",S37=""),"Spatial risk category missing ▲",IF(AND(Q37='G-7 WaterC'' Data'!$G$4,AD37="Yes"),"Alternative Compensation ✓",IF(AND(AD37="Pending",Q37='G-7 WaterC'' Data'!$G$4),"Bespoke compensation must be agreed ▲",IF((Z37+AA37)&gt;=U37,0,U37-Z37-AA37))))),"Check Data ⚠")</f>
        <v/>
      </c>
      <c r="AD37" s="393"/>
      <c r="AE37" s="105"/>
      <c r="AF37" s="104"/>
      <c r="AG37" s="104"/>
      <c r="AH37" s="104"/>
      <c r="AI37" s="54" t="str">
        <f>IF(OR(Q37="",AD37="Yes"),"",IF(Q37='G-1 All Habitats'!$X$9,E37-Y37-X37,"None"))</f>
        <v/>
      </c>
      <c r="AJ37" s="55" t="str">
        <f>IF(Q37="","",IF(Q37='G-1 All Habitats'!$X$9,AI37*G37*I37*L37*N37*P37,"None"))</f>
        <v/>
      </c>
      <c r="AK37" s="30" t="str">
        <f>IFERROR(INDEX('G-7 WaterC'' Data'!$AZ$3:$AZ$7,MATCH(D37,'G-7 WaterC'' Data'!$AY$3:$AY$7,0)),"")</f>
        <v/>
      </c>
      <c r="AL37" s="30">
        <f t="shared" si="7"/>
        <v>0</v>
      </c>
      <c r="AM37" s="107" t="str">
        <f t="shared" si="8"/>
        <v/>
      </c>
      <c r="AN37" s="107" t="str">
        <f t="shared" si="9"/>
        <v/>
      </c>
      <c r="AP37" s="107">
        <v>28</v>
      </c>
      <c r="AR37" s="107" t="str">
        <f t="array" ref="AR37">IFERROR(INDEX($AP$10:$AP$258,MATCH(0,IF(TRUE=$AM$10:$AM$258,COUNTIF($AR$9:$AR36,$AP$10:$AP$258),""),0)),"")</f>
        <v/>
      </c>
      <c r="AS37" s="107" t="str">
        <f t="array" ref="AS37">IFERROR(INDEX($AP$10:$AP$258,MATCH(0,IF(TRUE=$AN$10:$AN$258,COUNTIF($AS$9:$AS36,$AP$10:$AP$258),""),0)),"")</f>
        <v/>
      </c>
      <c r="AT37" s="885" t="str">
        <f>IF(AND(OR(AD37="Yes",AD37="Pending"),Q37='G-7 WaterC'' Data'!$G$4),U37-AA37-Z37,"0")</f>
        <v>0</v>
      </c>
      <c r="AU37" s="30" t="str">
        <f>IF(D37="","",VLOOKUP(D37,'G-7 WaterC'' Data'!B$4:M$8,12,FALSE))</f>
        <v/>
      </c>
      <c r="AV37" s="30" t="str">
        <f t="shared" si="0"/>
        <v/>
      </c>
      <c r="AW37" s="30" t="str">
        <f t="shared" si="10"/>
        <v>No</v>
      </c>
      <c r="BA37" s="555" t="str">
        <f t="shared" si="11"/>
        <v/>
      </c>
    </row>
    <row r="38" spans="3:53" ht="14.5" thickBot="1">
      <c r="C38" s="97">
        <v>29</v>
      </c>
      <c r="D38" s="263"/>
      <c r="E38" s="104"/>
      <c r="F38" s="275" t="str">
        <f>IF(D38="","",VLOOKUP(D38,'G-7 WaterC'' Data'!$B$2:$G$8,2,FALSE))</f>
        <v/>
      </c>
      <c r="G38" s="314" t="str">
        <f>IFERROR(VLOOKUP(F38,'G-7 WaterC'' Data'!$C$4:$D$8,2,FALSE),"")</f>
        <v/>
      </c>
      <c r="H38" s="105"/>
      <c r="I38" s="299" t="str">
        <f>IFERROR(INDEX('G-7 WaterC'' Data'!$H$4:$L$8,MATCH(D38,'G-7 WaterC'' Data'!$B$4:$B$8,0),MATCH(H38,'G-7 WaterC'' Data'!$H$3:$L$3,0)),"")</f>
        <v/>
      </c>
      <c r="J38" s="702"/>
      <c r="K38" s="295" t="str">
        <f>IF(J38="","",IF(VLOOKUP(J38,'G-7 WaterC'' Data'!$AK$4:$AM$9,2,FALSE)=0,"Spatial Data Missing ⚠",VLOOKUP(J38,'G-7 WaterC'' Data'!$AK$4:$AM$6,2,FALSE)))</f>
        <v/>
      </c>
      <c r="L38" s="299" t="str">
        <f>IF(J38="","",IF(VLOOKUP(J38,'G-7 WaterC'' Data'!$AK$4:$AM$9,3,FALSE)=0,"Spatial Data Missing ⚠",VLOOKUP(J38,'G-7 WaterC'' Data'!$AK$4:$AM$6,3,FALSE)))</f>
        <v/>
      </c>
      <c r="M38" s="102"/>
      <c r="N38" s="276" t="str">
        <f>IF(M38="","",IF(AND(M38="N/A - Culvert",D38&lt;&gt;"Culvert"),"Not possible ▲",IF(AND(D38="Culvert",M38&lt;&gt;"N/A - Culvert"),"Not possible ▲",IF(VLOOKUP(M38,'G-7 WaterC'' Data'!$AA$4:$AB$7,2,FALSE)=0,"Spatial Data Missing ⚠",VLOOKUP(M38,'G-7 WaterC'' Data'!$AA$4:$AB$7,2,FALSE)))))</f>
        <v/>
      </c>
      <c r="O38" s="56"/>
      <c r="P38" s="276" t="str">
        <f>IF(O38="","",IF(AND(O38="N/A - Culvert",D38&lt;&gt;"Culvert"),"Not possible ▲",IF(AND(D38="Culvert",O38&lt;&gt;"N/A - Culvert"),"Not possible ▲",IF(VLOOKUP(O38,'G-7 WaterC'' Data'!$AD$4:$AE$14,2,FALSE)=0,"Spatial Data Missing ⚠",VLOOKUP(O38,'G-7 WaterC'' Data'!$AD$4:$AE$14,2,FALSE)))))</f>
        <v/>
      </c>
      <c r="Q38" s="282" t="str">
        <f>IF(D38="","",VLOOKUP(D38,'G-7 WaterC'' Data'!$B$4:$G$8,6,FALSE))</f>
        <v/>
      </c>
      <c r="R38" s="289" t="str">
        <f t="shared" si="1"/>
        <v xml:space="preserve"> </v>
      </c>
      <c r="S38" s="393"/>
      <c r="T38" s="281" t="str">
        <f>IF(S38="","",IF(VLOOKUP(S38,'G-7 WaterC'' Data'!$AO$4:$BO$7,2,FALSE)=0,"Spatial Data Missing ⚠",VLOOKUP(S38,'G-7 WaterC'' Data'!$AO$4:$BO$7,2,FALSE)))</f>
        <v/>
      </c>
      <c r="U38" s="289" t="str">
        <f t="shared" si="2"/>
        <v xml:space="preserve"> </v>
      </c>
      <c r="V38" s="694" t="str">
        <f t="shared" si="3"/>
        <v/>
      </c>
      <c r="W38" s="32"/>
      <c r="X38" s="101"/>
      <c r="Y38" s="108"/>
      <c r="Z38" s="287" t="str">
        <f t="shared" si="4"/>
        <v/>
      </c>
      <c r="AA38" s="287" t="str">
        <f t="shared" si="5"/>
        <v/>
      </c>
      <c r="AB38" s="287" t="str">
        <f t="shared" si="6"/>
        <v/>
      </c>
      <c r="AC38" s="491" t="str">
        <f>IFERROR(IF(OR(E38="",R38=""),"",IF(AND(AB38&lt;&gt;"",S38=""),"Spatial risk category missing ▲",IF(AND(Q38='G-7 WaterC'' Data'!$G$4,AD38="Yes"),"Alternative Compensation ✓",IF(AND(AD38="Pending",Q38='G-7 WaterC'' Data'!$G$4),"Bespoke compensation must be agreed ▲",IF((Z38+AA38)&gt;=U38,0,U38-Z38-AA38))))),"Check Data ⚠")</f>
        <v/>
      </c>
      <c r="AD38" s="393"/>
      <c r="AE38" s="105"/>
      <c r="AF38" s="104"/>
      <c r="AG38" s="104"/>
      <c r="AH38" s="104"/>
      <c r="AI38" s="54" t="str">
        <f>IF(OR(Q38="",AD38="Yes"),"",IF(Q38='G-1 All Habitats'!$X$9,E38-Y38-X38,"None"))</f>
        <v/>
      </c>
      <c r="AJ38" s="55" t="str">
        <f>IF(Q38="","",IF(Q38='G-1 All Habitats'!$X$9,AI38*G38*I38*L38*N38*P38,"None"))</f>
        <v/>
      </c>
      <c r="AK38" s="30" t="str">
        <f>IFERROR(INDEX('G-7 WaterC'' Data'!$AZ$3:$AZ$7,MATCH(D38,'G-7 WaterC'' Data'!$AY$3:$AY$7,0)),"")</f>
        <v/>
      </c>
      <c r="AL38" s="30">
        <f t="shared" si="7"/>
        <v>0</v>
      </c>
      <c r="AM38" s="107" t="str">
        <f t="shared" si="8"/>
        <v/>
      </c>
      <c r="AN38" s="107" t="str">
        <f t="shared" si="9"/>
        <v/>
      </c>
      <c r="AP38" s="107">
        <v>29</v>
      </c>
      <c r="AR38" s="107" t="str">
        <f t="array" ref="AR38">IFERROR(INDEX($AP$10:$AP$258,MATCH(0,IF(TRUE=$AM$10:$AM$258,COUNTIF($AR$9:$AR37,$AP$10:$AP$258),""),0)),"")</f>
        <v/>
      </c>
      <c r="AS38" s="107" t="str">
        <f t="array" ref="AS38">IFERROR(INDEX($AP$10:$AP$258,MATCH(0,IF(TRUE=$AN$10:$AN$258,COUNTIF($AS$9:$AS37,$AP$10:$AP$258),""),0)),"")</f>
        <v/>
      </c>
      <c r="AT38" s="885" t="str">
        <f>IF(AND(OR(AD38="Yes",AD38="Pending"),Q38='G-7 WaterC'' Data'!$G$4),U38-AA38-Z38,"0")</f>
        <v>0</v>
      </c>
      <c r="AU38" s="30" t="str">
        <f>IF(D38="","",VLOOKUP(D38,'G-7 WaterC'' Data'!B$4:M$8,12,FALSE))</f>
        <v/>
      </c>
      <c r="AV38" s="30" t="str">
        <f t="shared" si="0"/>
        <v/>
      </c>
      <c r="AW38" s="30" t="str">
        <f t="shared" si="10"/>
        <v>No</v>
      </c>
      <c r="BA38" s="555" t="str">
        <f t="shared" si="11"/>
        <v/>
      </c>
    </row>
    <row r="39" spans="3:53" ht="14.5" thickBot="1">
      <c r="C39" s="97">
        <v>30</v>
      </c>
      <c r="D39" s="263"/>
      <c r="E39" s="104"/>
      <c r="F39" s="275" t="str">
        <f>IF(D39="","",VLOOKUP(D39,'G-7 WaterC'' Data'!$B$2:$G$8,2,FALSE))</f>
        <v/>
      </c>
      <c r="G39" s="314" t="str">
        <f>IFERROR(VLOOKUP(F39,'G-7 WaterC'' Data'!$C$4:$D$8,2,FALSE),"")</f>
        <v/>
      </c>
      <c r="H39" s="105"/>
      <c r="I39" s="299" t="str">
        <f>IFERROR(INDEX('G-7 WaterC'' Data'!$H$4:$L$8,MATCH(D39,'G-7 WaterC'' Data'!$B$4:$B$8,0),MATCH(H39,'G-7 WaterC'' Data'!$H$3:$L$3,0)),"")</f>
        <v/>
      </c>
      <c r="J39" s="702"/>
      <c r="K39" s="295" t="str">
        <f>IF(J39="","",IF(VLOOKUP(J39,'G-7 WaterC'' Data'!$AK$4:$AM$9,2,FALSE)=0,"Spatial Data Missing ⚠",VLOOKUP(J39,'G-7 WaterC'' Data'!$AK$4:$AM$6,2,FALSE)))</f>
        <v/>
      </c>
      <c r="L39" s="299" t="str">
        <f>IF(J39="","",IF(VLOOKUP(J39,'G-7 WaterC'' Data'!$AK$4:$AM$9,3,FALSE)=0,"Spatial Data Missing ⚠",VLOOKUP(J39,'G-7 WaterC'' Data'!$AK$4:$AM$6,3,FALSE)))</f>
        <v/>
      </c>
      <c r="M39" s="102"/>
      <c r="N39" s="276" t="str">
        <f>IF(M39="","",IF(AND(M39="N/A - Culvert",D39&lt;&gt;"Culvert"),"Not possible ▲",IF(AND(D39="Culvert",M39&lt;&gt;"N/A - Culvert"),"Not possible ▲",IF(VLOOKUP(M39,'G-7 WaterC'' Data'!$AA$4:$AB$7,2,FALSE)=0,"Spatial Data Missing ⚠",VLOOKUP(M39,'G-7 WaterC'' Data'!$AA$4:$AB$7,2,FALSE)))))</f>
        <v/>
      </c>
      <c r="O39" s="56"/>
      <c r="P39" s="276" t="str">
        <f>IF(O39="","",IF(AND(O39="N/A - Culvert",D39&lt;&gt;"Culvert"),"Not possible ▲",IF(AND(D39="Culvert",O39&lt;&gt;"N/A - Culvert"),"Not possible ▲",IF(VLOOKUP(O39,'G-7 WaterC'' Data'!$AD$4:$AE$14,2,FALSE)=0,"Spatial Data Missing ⚠",VLOOKUP(O39,'G-7 WaterC'' Data'!$AD$4:$AE$14,2,FALSE)))))</f>
        <v/>
      </c>
      <c r="Q39" s="282" t="str">
        <f>IF(D39="","",VLOOKUP(D39,'G-7 WaterC'' Data'!$B$4:$G$8,6,FALSE))</f>
        <v/>
      </c>
      <c r="R39" s="289" t="str">
        <f t="shared" si="1"/>
        <v xml:space="preserve"> </v>
      </c>
      <c r="S39" s="393"/>
      <c r="T39" s="281" t="str">
        <f>IF(S39="","",IF(VLOOKUP(S39,'G-7 WaterC'' Data'!$AO$4:$BO$7,2,FALSE)=0,"Spatial Data Missing ⚠",VLOOKUP(S39,'G-7 WaterC'' Data'!$AO$4:$BO$7,2,FALSE)))</f>
        <v/>
      </c>
      <c r="U39" s="289" t="str">
        <f t="shared" si="2"/>
        <v xml:space="preserve"> </v>
      </c>
      <c r="V39" s="694" t="str">
        <f t="shared" si="3"/>
        <v/>
      </c>
      <c r="W39" s="32"/>
      <c r="X39" s="101"/>
      <c r="Y39" s="108"/>
      <c r="Z39" s="287" t="str">
        <f t="shared" si="4"/>
        <v/>
      </c>
      <c r="AA39" s="287" t="str">
        <f t="shared" si="5"/>
        <v/>
      </c>
      <c r="AB39" s="287" t="str">
        <f t="shared" si="6"/>
        <v/>
      </c>
      <c r="AC39" s="491" t="str">
        <f>IFERROR(IF(OR(E39="",R39=""),"",IF(AND(AB39&lt;&gt;"",S39=""),"Spatial risk category missing ▲",IF(AND(Q39='G-7 WaterC'' Data'!$G$4,AD39="Yes"),"Alternative Compensation ✓",IF(AND(AD39="Pending",Q39='G-7 WaterC'' Data'!$G$4),"Bespoke compensation must be agreed ▲",IF((Z39+AA39)&gt;=U39,0,U39-Z39-AA39))))),"Check Data ⚠")</f>
        <v/>
      </c>
      <c r="AD39" s="393"/>
      <c r="AE39" s="105"/>
      <c r="AF39" s="104"/>
      <c r="AG39" s="104"/>
      <c r="AH39" s="104"/>
      <c r="AI39" s="54" t="str">
        <f>IF(OR(Q39="",AD39="Yes"),"",IF(Q39='G-1 All Habitats'!$X$9,E39-Y39-X39,"None"))</f>
        <v/>
      </c>
      <c r="AJ39" s="55" t="str">
        <f>IF(Q39="","",IF(Q39='G-1 All Habitats'!$X$9,AI39*G39*I39*L39*N39*P39,"None"))</f>
        <v/>
      </c>
      <c r="AK39" s="30" t="str">
        <f>IFERROR(INDEX('G-7 WaterC'' Data'!$AZ$3:$AZ$7,MATCH(D39,'G-7 WaterC'' Data'!$AY$3:$AY$7,0)),"")</f>
        <v/>
      </c>
      <c r="AL39" s="30">
        <f t="shared" si="7"/>
        <v>0</v>
      </c>
      <c r="AM39" s="107" t="str">
        <f t="shared" si="8"/>
        <v/>
      </c>
      <c r="AN39" s="107" t="str">
        <f t="shared" si="9"/>
        <v/>
      </c>
      <c r="AP39" s="107">
        <v>30</v>
      </c>
      <c r="AR39" s="107" t="str">
        <f t="array" ref="AR39">IFERROR(INDEX($AP$10:$AP$258,MATCH(0,IF(TRUE=$AM$10:$AM$258,COUNTIF($AR$9:$AR38,$AP$10:$AP$258),""),0)),"")</f>
        <v/>
      </c>
      <c r="AS39" s="107" t="str">
        <f t="array" ref="AS39">IFERROR(INDEX($AP$10:$AP$258,MATCH(0,IF(TRUE=$AN$10:$AN$258,COUNTIF($AS$9:$AS38,$AP$10:$AP$258),""),0)),"")</f>
        <v/>
      </c>
      <c r="AT39" s="885" t="str">
        <f>IF(AND(OR(AD39="Yes",AD39="Pending"),Q39='G-7 WaterC'' Data'!$G$4),U39-AA39-Z39,"0")</f>
        <v>0</v>
      </c>
      <c r="AU39" s="30" t="str">
        <f>IF(D39="","",VLOOKUP(D39,'G-7 WaterC'' Data'!B$4:M$8,12,FALSE))</f>
        <v/>
      </c>
      <c r="AV39" s="30" t="str">
        <f t="shared" si="0"/>
        <v/>
      </c>
      <c r="AW39" s="30" t="str">
        <f t="shared" si="10"/>
        <v>No</v>
      </c>
      <c r="BA39" s="555" t="str">
        <f t="shared" si="11"/>
        <v/>
      </c>
    </row>
    <row r="40" spans="3:53" ht="14.5" thickBot="1">
      <c r="C40" s="97">
        <v>31</v>
      </c>
      <c r="D40" s="263"/>
      <c r="E40" s="104"/>
      <c r="F40" s="275" t="str">
        <f>IF(D40="","",VLOOKUP(D40,'G-7 WaterC'' Data'!$B$2:$G$8,2,FALSE))</f>
        <v/>
      </c>
      <c r="G40" s="314" t="str">
        <f>IFERROR(VLOOKUP(F40,'G-7 WaterC'' Data'!$C$4:$D$8,2,FALSE),"")</f>
        <v/>
      </c>
      <c r="H40" s="105"/>
      <c r="I40" s="299" t="str">
        <f>IFERROR(INDEX('G-7 WaterC'' Data'!$H$4:$L$8,MATCH(D40,'G-7 WaterC'' Data'!$B$4:$B$8,0),MATCH(H40,'G-7 WaterC'' Data'!$H$3:$L$3,0)),"")</f>
        <v/>
      </c>
      <c r="J40" s="702"/>
      <c r="K40" s="295" t="str">
        <f>IF(J40="","",IF(VLOOKUP(J40,'G-7 WaterC'' Data'!$AK$4:$AM$9,2,FALSE)=0,"Spatial Data Missing ⚠",VLOOKUP(J40,'G-7 WaterC'' Data'!$AK$4:$AM$6,2,FALSE)))</f>
        <v/>
      </c>
      <c r="L40" s="299" t="str">
        <f>IF(J40="","",IF(VLOOKUP(J40,'G-7 WaterC'' Data'!$AK$4:$AM$9,3,FALSE)=0,"Spatial Data Missing ⚠",VLOOKUP(J40,'G-7 WaterC'' Data'!$AK$4:$AM$6,3,FALSE)))</f>
        <v/>
      </c>
      <c r="M40" s="102"/>
      <c r="N40" s="276" t="str">
        <f>IF(M40="","",IF(AND(M40="N/A - Culvert",D40&lt;&gt;"Culvert"),"Not possible ▲",IF(AND(D40="Culvert",M40&lt;&gt;"N/A - Culvert"),"Not possible ▲",IF(VLOOKUP(M40,'G-7 WaterC'' Data'!$AA$4:$AB$7,2,FALSE)=0,"Spatial Data Missing ⚠",VLOOKUP(M40,'G-7 WaterC'' Data'!$AA$4:$AB$7,2,FALSE)))))</f>
        <v/>
      </c>
      <c r="O40" s="56"/>
      <c r="P40" s="276" t="str">
        <f>IF(O40="","",IF(AND(O40="N/A - Culvert",D40&lt;&gt;"Culvert"),"Not possible ▲",IF(AND(D40="Culvert",O40&lt;&gt;"N/A - Culvert"),"Not possible ▲",IF(VLOOKUP(O40,'G-7 WaterC'' Data'!$AD$4:$AE$14,2,FALSE)=0,"Spatial Data Missing ⚠",VLOOKUP(O40,'G-7 WaterC'' Data'!$AD$4:$AE$14,2,FALSE)))))</f>
        <v/>
      </c>
      <c r="Q40" s="282" t="str">
        <f>IF(D40="","",VLOOKUP(D40,'G-7 WaterC'' Data'!$B$4:$G$8,6,FALSE))</f>
        <v/>
      </c>
      <c r="R40" s="289" t="str">
        <f t="shared" si="1"/>
        <v xml:space="preserve"> </v>
      </c>
      <c r="S40" s="393"/>
      <c r="T40" s="281" t="str">
        <f>IF(S40="","",IF(VLOOKUP(S40,'G-7 WaterC'' Data'!$AO$4:$BO$7,2,FALSE)=0,"Spatial Data Missing ⚠",VLOOKUP(S40,'G-7 WaterC'' Data'!$AO$4:$BO$7,2,FALSE)))</f>
        <v/>
      </c>
      <c r="U40" s="289" t="str">
        <f t="shared" si="2"/>
        <v xml:space="preserve"> </v>
      </c>
      <c r="V40" s="694" t="str">
        <f t="shared" si="3"/>
        <v/>
      </c>
      <c r="W40" s="32"/>
      <c r="X40" s="101"/>
      <c r="Y40" s="108"/>
      <c r="Z40" s="287" t="str">
        <f t="shared" si="4"/>
        <v/>
      </c>
      <c r="AA40" s="287" t="str">
        <f t="shared" si="5"/>
        <v/>
      </c>
      <c r="AB40" s="287" t="str">
        <f t="shared" si="6"/>
        <v/>
      </c>
      <c r="AC40" s="491" t="str">
        <f>IFERROR(IF(OR(E40="",R40=""),"",IF(AND(AB40&lt;&gt;"",S40=""),"Spatial risk category missing ▲",IF(AND(Q40='G-7 WaterC'' Data'!$G$4,AD40="Yes"),"Alternative Compensation ✓",IF(AND(AD40="Pending",Q40='G-7 WaterC'' Data'!$G$4),"Bespoke compensation must be agreed ▲",IF((Z40+AA40)&gt;=U40,0,U40-Z40-AA40))))),"Check Data ⚠")</f>
        <v/>
      </c>
      <c r="AD40" s="393"/>
      <c r="AE40" s="105"/>
      <c r="AF40" s="104"/>
      <c r="AG40" s="104"/>
      <c r="AH40" s="104"/>
      <c r="AI40" s="54" t="str">
        <f>IF(OR(Q40="",AD40="Yes"),"",IF(Q40='G-1 All Habitats'!$X$9,E40-Y40-X40,"None"))</f>
        <v/>
      </c>
      <c r="AJ40" s="55" t="str">
        <f>IF(Q40="","",IF(Q40='G-1 All Habitats'!$X$9,AI40*G40*I40*L40*N40*P40,"None"))</f>
        <v/>
      </c>
      <c r="AK40" s="30" t="str">
        <f>IFERROR(INDEX('G-7 WaterC'' Data'!$AZ$3:$AZ$7,MATCH(D40,'G-7 WaterC'' Data'!$AY$3:$AY$7,0)),"")</f>
        <v/>
      </c>
      <c r="AL40" s="30">
        <f t="shared" si="7"/>
        <v>0</v>
      </c>
      <c r="AM40" s="107" t="str">
        <f t="shared" si="8"/>
        <v/>
      </c>
      <c r="AN40" s="107" t="str">
        <f t="shared" si="9"/>
        <v/>
      </c>
      <c r="AP40" s="107">
        <v>31</v>
      </c>
      <c r="AR40" s="107" t="str">
        <f t="array" ref="AR40">IFERROR(INDEX($AP$10:$AP$258,MATCH(0,IF(TRUE=$AM$10:$AM$258,COUNTIF($AR$9:$AR39,$AP$10:$AP$258),""),0)),"")</f>
        <v/>
      </c>
      <c r="AS40" s="107" t="str">
        <f t="array" ref="AS40">IFERROR(INDEX($AP$10:$AP$258,MATCH(0,IF(TRUE=$AN$10:$AN$258,COUNTIF($AS$9:$AS39,$AP$10:$AP$258),""),0)),"")</f>
        <v/>
      </c>
      <c r="AT40" s="885" t="str">
        <f>IF(AND(OR(AD40="Yes",AD40="Pending"),Q40='G-7 WaterC'' Data'!$G$4),U40-AA40-Z40,"0")</f>
        <v>0</v>
      </c>
      <c r="AU40" s="30" t="str">
        <f>IF(D40="","",VLOOKUP(D40,'G-7 WaterC'' Data'!B$4:M$8,12,FALSE))</f>
        <v/>
      </c>
      <c r="AV40" s="30" t="str">
        <f t="shared" si="0"/>
        <v/>
      </c>
      <c r="AW40" s="30" t="str">
        <f t="shared" si="10"/>
        <v>No</v>
      </c>
      <c r="BA40" s="555" t="str">
        <f t="shared" si="11"/>
        <v/>
      </c>
    </row>
    <row r="41" spans="3:53" ht="14.5" thickBot="1">
      <c r="C41" s="97">
        <v>32</v>
      </c>
      <c r="D41" s="263"/>
      <c r="E41" s="104"/>
      <c r="F41" s="275" t="str">
        <f>IF(D41="","",VLOOKUP(D41,'G-7 WaterC'' Data'!$B$2:$G$8,2,FALSE))</f>
        <v/>
      </c>
      <c r="G41" s="314" t="str">
        <f>IFERROR(VLOOKUP(F41,'G-7 WaterC'' Data'!$C$4:$D$8,2,FALSE),"")</f>
        <v/>
      </c>
      <c r="H41" s="105"/>
      <c r="I41" s="299" t="str">
        <f>IFERROR(INDEX('G-7 WaterC'' Data'!$H$4:$L$8,MATCH(D41,'G-7 WaterC'' Data'!$B$4:$B$8,0),MATCH(H41,'G-7 WaterC'' Data'!$H$3:$L$3,0)),"")</f>
        <v/>
      </c>
      <c r="J41" s="702"/>
      <c r="K41" s="295" t="str">
        <f>IF(J41="","",IF(VLOOKUP(J41,'G-7 WaterC'' Data'!$AK$4:$AM$9,2,FALSE)=0,"Spatial Data Missing ⚠",VLOOKUP(J41,'G-7 WaterC'' Data'!$AK$4:$AM$6,2,FALSE)))</f>
        <v/>
      </c>
      <c r="L41" s="299" t="str">
        <f>IF(J41="","",IF(VLOOKUP(J41,'G-7 WaterC'' Data'!$AK$4:$AM$9,3,FALSE)=0,"Spatial Data Missing ⚠",VLOOKUP(J41,'G-7 WaterC'' Data'!$AK$4:$AM$6,3,FALSE)))</f>
        <v/>
      </c>
      <c r="M41" s="102"/>
      <c r="N41" s="276" t="str">
        <f>IF(M41="","",IF(AND(M41="N/A - Culvert",D41&lt;&gt;"Culvert"),"Not possible ▲",IF(AND(D41="Culvert",M41&lt;&gt;"N/A - Culvert"),"Not possible ▲",IF(VLOOKUP(M41,'G-7 WaterC'' Data'!$AA$4:$AB$7,2,FALSE)=0,"Spatial Data Missing ⚠",VLOOKUP(M41,'G-7 WaterC'' Data'!$AA$4:$AB$7,2,FALSE)))))</f>
        <v/>
      </c>
      <c r="O41" s="56"/>
      <c r="P41" s="276" t="str">
        <f>IF(O41="","",IF(AND(O41="N/A - Culvert",D41&lt;&gt;"Culvert"),"Not possible ▲",IF(AND(D41="Culvert",O41&lt;&gt;"N/A - Culvert"),"Not possible ▲",IF(VLOOKUP(O41,'G-7 WaterC'' Data'!$AD$4:$AE$14,2,FALSE)=0,"Spatial Data Missing ⚠",VLOOKUP(O41,'G-7 WaterC'' Data'!$AD$4:$AE$14,2,FALSE)))))</f>
        <v/>
      </c>
      <c r="Q41" s="282" t="str">
        <f>IF(D41="","",VLOOKUP(D41,'G-7 WaterC'' Data'!$B$4:$G$8,6,FALSE))</f>
        <v/>
      </c>
      <c r="R41" s="289" t="str">
        <f t="shared" si="1"/>
        <v xml:space="preserve"> </v>
      </c>
      <c r="S41" s="393"/>
      <c r="T41" s="281" t="str">
        <f>IF(S41="","",IF(VLOOKUP(S41,'G-7 WaterC'' Data'!$AO$4:$BO$7,2,FALSE)=0,"Spatial Data Missing ⚠",VLOOKUP(S41,'G-7 WaterC'' Data'!$AO$4:$BO$7,2,FALSE)))</f>
        <v/>
      </c>
      <c r="U41" s="289" t="str">
        <f t="shared" si="2"/>
        <v xml:space="preserve"> </v>
      </c>
      <c r="V41" s="694" t="str">
        <f t="shared" si="3"/>
        <v/>
      </c>
      <c r="W41" s="32"/>
      <c r="X41" s="101"/>
      <c r="Y41" s="108"/>
      <c r="Z41" s="287" t="str">
        <f t="shared" si="4"/>
        <v/>
      </c>
      <c r="AA41" s="287" t="str">
        <f t="shared" si="5"/>
        <v/>
      </c>
      <c r="AB41" s="287" t="str">
        <f t="shared" si="6"/>
        <v/>
      </c>
      <c r="AC41" s="491" t="str">
        <f>IFERROR(IF(OR(E41="",R41=""),"",IF(AND(AB41&lt;&gt;"",S41=""),"Spatial risk category missing ▲",IF(AND(Q41='G-7 WaterC'' Data'!$G$4,AD41="Yes"),"Alternative Compensation ✓",IF(AND(AD41="Pending",Q41='G-7 WaterC'' Data'!$G$4),"Bespoke compensation must be agreed ▲",IF((Z41+AA41)&gt;=U41,0,U41-Z41-AA41))))),"Check Data ⚠")</f>
        <v/>
      </c>
      <c r="AD41" s="393"/>
      <c r="AE41" s="105"/>
      <c r="AF41" s="104"/>
      <c r="AG41" s="104"/>
      <c r="AH41" s="104"/>
      <c r="AI41" s="54" t="str">
        <f>IF(OR(Q41="",AD41="Yes"),"",IF(Q41='G-1 All Habitats'!$X$9,E41-Y41-X41,"None"))</f>
        <v/>
      </c>
      <c r="AJ41" s="55" t="str">
        <f>IF(Q41="","",IF(Q41='G-1 All Habitats'!$X$9,AI41*G41*I41*L41*N41*P41,"None"))</f>
        <v/>
      </c>
      <c r="AK41" s="30" t="str">
        <f>IFERROR(INDEX('G-7 WaterC'' Data'!$AZ$3:$AZ$7,MATCH(D41,'G-7 WaterC'' Data'!$AY$3:$AY$7,0)),"")</f>
        <v/>
      </c>
      <c r="AL41" s="30">
        <f t="shared" si="7"/>
        <v>0</v>
      </c>
      <c r="AM41" s="107" t="str">
        <f t="shared" si="8"/>
        <v/>
      </c>
      <c r="AN41" s="107" t="str">
        <f t="shared" si="9"/>
        <v/>
      </c>
      <c r="AP41" s="107">
        <v>32</v>
      </c>
      <c r="AR41" s="107" t="str">
        <f t="array" ref="AR41">IFERROR(INDEX($AP$10:$AP$258,MATCH(0,IF(TRUE=$AM$10:$AM$258,COUNTIF($AR$9:$AR40,$AP$10:$AP$258),""),0)),"")</f>
        <v/>
      </c>
      <c r="AS41" s="107" t="str">
        <f t="array" ref="AS41">IFERROR(INDEX($AP$10:$AP$258,MATCH(0,IF(TRUE=$AN$10:$AN$258,COUNTIF($AS$9:$AS40,$AP$10:$AP$258),""),0)),"")</f>
        <v/>
      </c>
      <c r="AT41" s="885" t="str">
        <f>IF(AND(OR(AD41="Yes",AD41="Pending"),Q41='G-7 WaterC'' Data'!$G$4),U41-AA41-Z41,"0")</f>
        <v>0</v>
      </c>
      <c r="AU41" s="30" t="str">
        <f>IF(D41="","",VLOOKUP(D41,'G-7 WaterC'' Data'!B$4:M$8,12,FALSE))</f>
        <v/>
      </c>
      <c r="AV41" s="30" t="str">
        <f t="shared" si="0"/>
        <v/>
      </c>
      <c r="AW41" s="30" t="str">
        <f t="shared" si="10"/>
        <v>No</v>
      </c>
      <c r="BA41" s="555" t="str">
        <f t="shared" si="11"/>
        <v/>
      </c>
    </row>
    <row r="42" spans="3:53" ht="14.5" thickBot="1">
      <c r="C42" s="97">
        <v>33</v>
      </c>
      <c r="D42" s="263"/>
      <c r="E42" s="104"/>
      <c r="F42" s="275" t="str">
        <f>IF(D42="","",VLOOKUP(D42,'G-7 WaterC'' Data'!$B$2:$G$8,2,FALSE))</f>
        <v/>
      </c>
      <c r="G42" s="314" t="str">
        <f>IFERROR(VLOOKUP(F42,'G-7 WaterC'' Data'!$C$4:$D$8,2,FALSE),"")</f>
        <v/>
      </c>
      <c r="H42" s="105"/>
      <c r="I42" s="299" t="str">
        <f>IFERROR(INDEX('G-7 WaterC'' Data'!$H$4:$L$8,MATCH(D42,'G-7 WaterC'' Data'!$B$4:$B$8,0),MATCH(H42,'G-7 WaterC'' Data'!$H$3:$L$3,0)),"")</f>
        <v/>
      </c>
      <c r="J42" s="702"/>
      <c r="K42" s="295" t="str">
        <f>IF(J42="","",IF(VLOOKUP(J42,'G-7 WaterC'' Data'!$AK$4:$AM$9,2,FALSE)=0,"Spatial Data Missing ⚠",VLOOKUP(J42,'G-7 WaterC'' Data'!$AK$4:$AM$6,2,FALSE)))</f>
        <v/>
      </c>
      <c r="L42" s="299" t="str">
        <f>IF(J42="","",IF(VLOOKUP(J42,'G-7 WaterC'' Data'!$AK$4:$AM$9,3,FALSE)=0,"Spatial Data Missing ⚠",VLOOKUP(J42,'G-7 WaterC'' Data'!$AK$4:$AM$6,3,FALSE)))</f>
        <v/>
      </c>
      <c r="M42" s="102"/>
      <c r="N42" s="276" t="str">
        <f>IF(M42="","",IF(AND(M42="N/A - Culvert",D42&lt;&gt;"Culvert"),"Not possible ▲",IF(AND(D42="Culvert",M42&lt;&gt;"N/A - Culvert"),"Not possible ▲",IF(VLOOKUP(M42,'G-7 WaterC'' Data'!$AA$4:$AB$7,2,FALSE)=0,"Spatial Data Missing ⚠",VLOOKUP(M42,'G-7 WaterC'' Data'!$AA$4:$AB$7,2,FALSE)))))</f>
        <v/>
      </c>
      <c r="O42" s="56"/>
      <c r="P42" s="276" t="str">
        <f>IF(O42="","",IF(AND(O42="N/A - Culvert",D42&lt;&gt;"Culvert"),"Not possible ▲",IF(AND(D42="Culvert",O42&lt;&gt;"N/A - Culvert"),"Not possible ▲",IF(VLOOKUP(O42,'G-7 WaterC'' Data'!$AD$4:$AE$14,2,FALSE)=0,"Spatial Data Missing ⚠",VLOOKUP(O42,'G-7 WaterC'' Data'!$AD$4:$AE$14,2,FALSE)))))</f>
        <v/>
      </c>
      <c r="Q42" s="282" t="str">
        <f>IF(D42="","",VLOOKUP(D42,'G-7 WaterC'' Data'!$B$4:$G$8,6,FALSE))</f>
        <v/>
      </c>
      <c r="R42" s="289" t="str">
        <f t="shared" si="1"/>
        <v xml:space="preserve"> </v>
      </c>
      <c r="S42" s="393"/>
      <c r="T42" s="281" t="str">
        <f>IF(S42="","",IF(VLOOKUP(S42,'G-7 WaterC'' Data'!$AO$4:$BO$7,2,FALSE)=0,"Spatial Data Missing ⚠",VLOOKUP(S42,'G-7 WaterC'' Data'!$AO$4:$BO$7,2,FALSE)))</f>
        <v/>
      </c>
      <c r="U42" s="289" t="str">
        <f t="shared" si="2"/>
        <v xml:space="preserve"> </v>
      </c>
      <c r="V42" s="694" t="str">
        <f t="shared" si="3"/>
        <v/>
      </c>
      <c r="W42" s="32"/>
      <c r="X42" s="101"/>
      <c r="Y42" s="108"/>
      <c r="Z42" s="287" t="str">
        <f t="shared" si="4"/>
        <v/>
      </c>
      <c r="AA42" s="287" t="str">
        <f t="shared" si="5"/>
        <v/>
      </c>
      <c r="AB42" s="287" t="str">
        <f t="shared" si="6"/>
        <v/>
      </c>
      <c r="AC42" s="491" t="str">
        <f>IFERROR(IF(OR(E42="",R42=""),"",IF(AND(AB42&lt;&gt;"",S42=""),"Spatial risk category missing ▲",IF(AND(Q42='G-7 WaterC'' Data'!$G$4,AD42="Yes"),"Alternative Compensation ✓",IF(AND(AD42="Pending",Q42='G-7 WaterC'' Data'!$G$4),"Bespoke compensation must be agreed ▲",IF((Z42+AA42)&gt;=U42,0,U42-Z42-AA42))))),"Check Data ⚠")</f>
        <v/>
      </c>
      <c r="AD42" s="393"/>
      <c r="AE42" s="105"/>
      <c r="AF42" s="104"/>
      <c r="AG42" s="104"/>
      <c r="AH42" s="104"/>
      <c r="AI42" s="54" t="str">
        <f>IF(OR(Q42="",AD42="Yes"),"",IF(Q42='G-1 All Habitats'!$X$9,E42-Y42-X42,"None"))</f>
        <v/>
      </c>
      <c r="AJ42" s="55" t="str">
        <f>IF(Q42="","",IF(Q42='G-1 All Habitats'!$X$9,AI42*G42*I42*L42*N42*P42,"None"))</f>
        <v/>
      </c>
      <c r="AK42" s="30" t="str">
        <f>IFERROR(INDEX('G-7 WaterC'' Data'!$AZ$3:$AZ$7,MATCH(D42,'G-7 WaterC'' Data'!$AY$3:$AY$7,0)),"")</f>
        <v/>
      </c>
      <c r="AL42" s="30">
        <f t="shared" si="7"/>
        <v>0</v>
      </c>
      <c r="AM42" s="107" t="str">
        <f t="shared" si="8"/>
        <v/>
      </c>
      <c r="AN42" s="107" t="str">
        <f t="shared" si="9"/>
        <v/>
      </c>
      <c r="AP42" s="107">
        <v>33</v>
      </c>
      <c r="AR42" s="107" t="str">
        <f t="array" ref="AR42">IFERROR(INDEX($AP$10:$AP$258,MATCH(0,IF(TRUE=$AM$10:$AM$258,COUNTIF($AR$9:$AR41,$AP$10:$AP$258),""),0)),"")</f>
        <v/>
      </c>
      <c r="AS42" s="107" t="str">
        <f t="array" ref="AS42">IFERROR(INDEX($AP$10:$AP$258,MATCH(0,IF(TRUE=$AN$10:$AN$258,COUNTIF($AS$9:$AS41,$AP$10:$AP$258),""),0)),"")</f>
        <v/>
      </c>
      <c r="AT42" s="885" t="str">
        <f>IF(AND(OR(AD42="Yes",AD42="Pending"),Q42='G-7 WaterC'' Data'!$G$4),U42-AA42-Z42,"0")</f>
        <v>0</v>
      </c>
      <c r="AU42" s="30" t="str">
        <f>IF(D42="","",VLOOKUP(D42,'G-7 WaterC'' Data'!B$4:M$8,12,FALSE))</f>
        <v/>
      </c>
      <c r="AV42" s="30" t="str">
        <f t="shared" si="0"/>
        <v/>
      </c>
      <c r="AW42" s="30" t="str">
        <f t="shared" si="10"/>
        <v>No</v>
      </c>
      <c r="BA42" s="555" t="str">
        <f t="shared" si="11"/>
        <v/>
      </c>
    </row>
    <row r="43" spans="3:53" ht="14.5" thickBot="1">
      <c r="C43" s="97">
        <v>34</v>
      </c>
      <c r="D43" s="263"/>
      <c r="E43" s="104"/>
      <c r="F43" s="275" t="str">
        <f>IF(D43="","",VLOOKUP(D43,'G-7 WaterC'' Data'!$B$2:$G$8,2,FALSE))</f>
        <v/>
      </c>
      <c r="G43" s="314" t="str">
        <f>IFERROR(VLOOKUP(F43,'G-7 WaterC'' Data'!$C$4:$D$8,2,FALSE),"")</f>
        <v/>
      </c>
      <c r="H43" s="105"/>
      <c r="I43" s="299" t="str">
        <f>IFERROR(INDEX('G-7 WaterC'' Data'!$H$4:$L$8,MATCH(D43,'G-7 WaterC'' Data'!$B$4:$B$8,0),MATCH(H43,'G-7 WaterC'' Data'!$H$3:$L$3,0)),"")</f>
        <v/>
      </c>
      <c r="J43" s="702"/>
      <c r="K43" s="295" t="str">
        <f>IF(J43="","",IF(VLOOKUP(J43,'G-7 WaterC'' Data'!$AK$4:$AM$9,2,FALSE)=0,"Spatial Data Missing ⚠",VLOOKUP(J43,'G-7 WaterC'' Data'!$AK$4:$AM$6,2,FALSE)))</f>
        <v/>
      </c>
      <c r="L43" s="299" t="str">
        <f>IF(J43="","",IF(VLOOKUP(J43,'G-7 WaterC'' Data'!$AK$4:$AM$9,3,FALSE)=0,"Spatial Data Missing ⚠",VLOOKUP(J43,'G-7 WaterC'' Data'!$AK$4:$AM$6,3,FALSE)))</f>
        <v/>
      </c>
      <c r="M43" s="102"/>
      <c r="N43" s="276" t="str">
        <f>IF(M43="","",IF(AND(M43="N/A - Culvert",D43&lt;&gt;"Culvert"),"Not possible ▲",IF(AND(D43="Culvert",M43&lt;&gt;"N/A - Culvert"),"Not possible ▲",IF(VLOOKUP(M43,'G-7 WaterC'' Data'!$AA$4:$AB$7,2,FALSE)=0,"Spatial Data Missing ⚠",VLOOKUP(M43,'G-7 WaterC'' Data'!$AA$4:$AB$7,2,FALSE)))))</f>
        <v/>
      </c>
      <c r="O43" s="56"/>
      <c r="P43" s="276" t="str">
        <f>IF(O43="","",IF(AND(O43="N/A - Culvert",D43&lt;&gt;"Culvert"),"Not possible ▲",IF(AND(D43="Culvert",O43&lt;&gt;"N/A - Culvert"),"Not possible ▲",IF(VLOOKUP(O43,'G-7 WaterC'' Data'!$AD$4:$AE$14,2,FALSE)=0,"Spatial Data Missing ⚠",VLOOKUP(O43,'G-7 WaterC'' Data'!$AD$4:$AE$14,2,FALSE)))))</f>
        <v/>
      </c>
      <c r="Q43" s="282" t="str">
        <f>IF(D43="","",VLOOKUP(D43,'G-7 WaterC'' Data'!$B$4:$G$8,6,FALSE))</f>
        <v/>
      </c>
      <c r="R43" s="289" t="str">
        <f t="shared" si="1"/>
        <v xml:space="preserve"> </v>
      </c>
      <c r="S43" s="393"/>
      <c r="T43" s="281" t="str">
        <f>IF(S43="","",IF(VLOOKUP(S43,'G-7 WaterC'' Data'!$AO$4:$BO$7,2,FALSE)=0,"Spatial Data Missing ⚠",VLOOKUP(S43,'G-7 WaterC'' Data'!$AO$4:$BO$7,2,FALSE)))</f>
        <v/>
      </c>
      <c r="U43" s="289" t="str">
        <f t="shared" si="2"/>
        <v xml:space="preserve"> </v>
      </c>
      <c r="V43" s="694" t="str">
        <f t="shared" si="3"/>
        <v/>
      </c>
      <c r="W43" s="32"/>
      <c r="X43" s="101"/>
      <c r="Y43" s="108"/>
      <c r="Z43" s="287" t="str">
        <f t="shared" si="4"/>
        <v/>
      </c>
      <c r="AA43" s="287" t="str">
        <f t="shared" si="5"/>
        <v/>
      </c>
      <c r="AB43" s="287" t="str">
        <f t="shared" si="6"/>
        <v/>
      </c>
      <c r="AC43" s="491" t="str">
        <f>IFERROR(IF(OR(E43="",R43=""),"",IF(AND(AB43&lt;&gt;"",S43=""),"Spatial risk category missing ▲",IF(AND(Q43='G-7 WaterC'' Data'!$G$4,AD43="Yes"),"Alternative Compensation ✓",IF(AND(AD43="Pending",Q43='G-7 WaterC'' Data'!$G$4),"Bespoke compensation must be agreed ▲",IF((Z43+AA43)&gt;=U43,0,U43-Z43-AA43))))),"Check Data ⚠")</f>
        <v/>
      </c>
      <c r="AD43" s="393"/>
      <c r="AE43" s="105"/>
      <c r="AF43" s="104"/>
      <c r="AG43" s="104"/>
      <c r="AH43" s="104"/>
      <c r="AI43" s="54" t="str">
        <f>IF(OR(Q43="",AD43="Yes"),"",IF(Q43='G-1 All Habitats'!$X$9,E43-Y43-X43,"None"))</f>
        <v/>
      </c>
      <c r="AJ43" s="55" t="str">
        <f>IF(Q43="","",IF(Q43='G-1 All Habitats'!$X$9,AI43*G43*I43*L43*N43*P43,"None"))</f>
        <v/>
      </c>
      <c r="AK43" s="30" t="str">
        <f>IFERROR(INDEX('G-7 WaterC'' Data'!$AZ$3:$AZ$7,MATCH(D43,'G-7 WaterC'' Data'!$AY$3:$AY$7,0)),"")</f>
        <v/>
      </c>
      <c r="AL43" s="30">
        <f t="shared" si="7"/>
        <v>0</v>
      </c>
      <c r="AM43" s="107" t="str">
        <f t="shared" si="8"/>
        <v/>
      </c>
      <c r="AN43" s="107" t="str">
        <f t="shared" si="9"/>
        <v/>
      </c>
      <c r="AP43" s="107">
        <v>34</v>
      </c>
      <c r="AR43" s="107" t="str">
        <f t="array" ref="AR43">IFERROR(INDEX($AP$10:$AP$258,MATCH(0,IF(TRUE=$AM$10:$AM$258,COUNTIF($AR$9:$AR42,$AP$10:$AP$258),""),0)),"")</f>
        <v/>
      </c>
      <c r="AS43" s="107" t="str">
        <f t="array" ref="AS43">IFERROR(INDEX($AP$10:$AP$258,MATCH(0,IF(TRUE=$AN$10:$AN$258,COUNTIF($AS$9:$AS42,$AP$10:$AP$258),""),0)),"")</f>
        <v/>
      </c>
      <c r="AT43" s="885" t="str">
        <f>IF(AND(OR(AD43="Yes",AD43="Pending"),Q43='G-7 WaterC'' Data'!$G$4),U43-AA43-Z43,"0")</f>
        <v>0</v>
      </c>
      <c r="AU43" s="30" t="str">
        <f>IF(D43="","",VLOOKUP(D43,'G-7 WaterC'' Data'!B$4:M$8,12,FALSE))</f>
        <v/>
      </c>
      <c r="AV43" s="30" t="str">
        <f t="shared" si="0"/>
        <v/>
      </c>
      <c r="AW43" s="30" t="str">
        <f t="shared" si="10"/>
        <v>No</v>
      </c>
      <c r="BA43" s="555" t="str">
        <f t="shared" si="11"/>
        <v/>
      </c>
    </row>
    <row r="44" spans="3:53" ht="14.5" thickBot="1">
      <c r="C44" s="97">
        <v>35</v>
      </c>
      <c r="D44" s="263"/>
      <c r="E44" s="104"/>
      <c r="F44" s="275" t="str">
        <f>IF(D44="","",VLOOKUP(D44,'G-7 WaterC'' Data'!$B$2:$G$8,2,FALSE))</f>
        <v/>
      </c>
      <c r="G44" s="314" t="str">
        <f>IFERROR(VLOOKUP(F44,'G-7 WaterC'' Data'!$C$4:$D$8,2,FALSE),"")</f>
        <v/>
      </c>
      <c r="H44" s="105"/>
      <c r="I44" s="299" t="str">
        <f>IFERROR(INDEX('G-7 WaterC'' Data'!$H$4:$L$8,MATCH(D44,'G-7 WaterC'' Data'!$B$4:$B$8,0),MATCH(H44,'G-7 WaterC'' Data'!$H$3:$L$3,0)),"")</f>
        <v/>
      </c>
      <c r="J44" s="702"/>
      <c r="K44" s="295" t="str">
        <f>IF(J44="","",IF(VLOOKUP(J44,'G-7 WaterC'' Data'!$AK$4:$AM$9,2,FALSE)=0,"Spatial Data Missing ⚠",VLOOKUP(J44,'G-7 WaterC'' Data'!$AK$4:$AM$6,2,FALSE)))</f>
        <v/>
      </c>
      <c r="L44" s="299" t="str">
        <f>IF(J44="","",IF(VLOOKUP(J44,'G-7 WaterC'' Data'!$AK$4:$AM$9,3,FALSE)=0,"Spatial Data Missing ⚠",VLOOKUP(J44,'G-7 WaterC'' Data'!$AK$4:$AM$6,3,FALSE)))</f>
        <v/>
      </c>
      <c r="M44" s="102"/>
      <c r="N44" s="276" t="str">
        <f>IF(M44="","",IF(AND(M44="N/A - Culvert",D44&lt;&gt;"Culvert"),"Not possible ▲",IF(AND(D44="Culvert",M44&lt;&gt;"N/A - Culvert"),"Not possible ▲",IF(VLOOKUP(M44,'G-7 WaterC'' Data'!$AA$4:$AB$7,2,FALSE)=0,"Spatial Data Missing ⚠",VLOOKUP(M44,'G-7 WaterC'' Data'!$AA$4:$AB$7,2,FALSE)))))</f>
        <v/>
      </c>
      <c r="O44" s="56"/>
      <c r="P44" s="276" t="str">
        <f>IF(O44="","",IF(AND(O44="N/A - Culvert",D44&lt;&gt;"Culvert"),"Not possible ▲",IF(AND(D44="Culvert",O44&lt;&gt;"N/A - Culvert"),"Not possible ▲",IF(VLOOKUP(O44,'G-7 WaterC'' Data'!$AD$4:$AE$14,2,FALSE)=0,"Spatial Data Missing ⚠",VLOOKUP(O44,'G-7 WaterC'' Data'!$AD$4:$AE$14,2,FALSE)))))</f>
        <v/>
      </c>
      <c r="Q44" s="282" t="str">
        <f>IF(D44="","",VLOOKUP(D44,'G-7 WaterC'' Data'!$B$4:$G$8,6,FALSE))</f>
        <v/>
      </c>
      <c r="R44" s="289" t="str">
        <f t="shared" si="1"/>
        <v xml:space="preserve"> </v>
      </c>
      <c r="S44" s="393"/>
      <c r="T44" s="281" t="str">
        <f>IF(S44="","",IF(VLOOKUP(S44,'G-7 WaterC'' Data'!$AO$4:$BO$7,2,FALSE)=0,"Spatial Data Missing ⚠",VLOOKUP(S44,'G-7 WaterC'' Data'!$AO$4:$BO$7,2,FALSE)))</f>
        <v/>
      </c>
      <c r="U44" s="289" t="str">
        <f t="shared" si="2"/>
        <v xml:space="preserve"> </v>
      </c>
      <c r="V44" s="694" t="str">
        <f t="shared" si="3"/>
        <v/>
      </c>
      <c r="W44" s="32"/>
      <c r="X44" s="101"/>
      <c r="Y44" s="108"/>
      <c r="Z44" s="287" t="str">
        <f t="shared" si="4"/>
        <v/>
      </c>
      <c r="AA44" s="287" t="str">
        <f t="shared" si="5"/>
        <v/>
      </c>
      <c r="AB44" s="287" t="str">
        <f t="shared" si="6"/>
        <v/>
      </c>
      <c r="AC44" s="491" t="str">
        <f>IFERROR(IF(OR(E44="",R44=""),"",IF(AND(AB44&lt;&gt;"",S44=""),"Spatial risk category missing ▲",IF(AND(Q44='G-7 WaterC'' Data'!$G$4,AD44="Yes"),"Alternative Compensation ✓",IF(AND(AD44="Pending",Q44='G-7 WaterC'' Data'!$G$4),"Bespoke compensation must be agreed ▲",IF((Z44+AA44)&gt;=U44,0,U44-Z44-AA44))))),"Check Data ⚠")</f>
        <v/>
      </c>
      <c r="AD44" s="393"/>
      <c r="AE44" s="105"/>
      <c r="AF44" s="104"/>
      <c r="AG44" s="104"/>
      <c r="AH44" s="104"/>
      <c r="AI44" s="54" t="str">
        <f>IF(OR(Q44="",AD44="Yes"),"",IF(Q44='G-1 All Habitats'!$X$9,E44-Y44-X44,"None"))</f>
        <v/>
      </c>
      <c r="AJ44" s="55" t="str">
        <f>IF(Q44="","",IF(Q44='G-1 All Habitats'!$X$9,AI44*G44*I44*L44*N44*P44,"None"))</f>
        <v/>
      </c>
      <c r="AK44" s="30" t="str">
        <f>IFERROR(INDEX('G-7 WaterC'' Data'!$AZ$3:$AZ$7,MATCH(D44,'G-7 WaterC'' Data'!$AY$3:$AY$7,0)),"")</f>
        <v/>
      </c>
      <c r="AL44" s="30">
        <f t="shared" si="7"/>
        <v>0</v>
      </c>
      <c r="AM44" s="107" t="str">
        <f t="shared" si="8"/>
        <v/>
      </c>
      <c r="AN44" s="107" t="str">
        <f t="shared" si="9"/>
        <v/>
      </c>
      <c r="AP44" s="107">
        <v>35</v>
      </c>
      <c r="AR44" s="107" t="str">
        <f t="array" ref="AR44">IFERROR(INDEX($AP$10:$AP$258,MATCH(0,IF(TRUE=$AM$10:$AM$258,COUNTIF($AR$9:$AR43,$AP$10:$AP$258),""),0)),"")</f>
        <v/>
      </c>
      <c r="AS44" s="107" t="str">
        <f t="array" ref="AS44">IFERROR(INDEX($AP$10:$AP$258,MATCH(0,IF(TRUE=$AN$10:$AN$258,COUNTIF($AS$9:$AS43,$AP$10:$AP$258),""),0)),"")</f>
        <v/>
      </c>
      <c r="AT44" s="885" t="str">
        <f>IF(AND(OR(AD44="Yes",AD44="Pending"),Q44='G-7 WaterC'' Data'!$G$4),U44-AA44-Z44,"0")</f>
        <v>0</v>
      </c>
      <c r="AU44" s="30" t="str">
        <f>IF(D44="","",VLOOKUP(D44,'G-7 WaterC'' Data'!B$4:M$8,12,FALSE))</f>
        <v/>
      </c>
      <c r="AV44" s="30" t="str">
        <f t="shared" si="0"/>
        <v/>
      </c>
      <c r="AW44" s="30" t="str">
        <f t="shared" si="10"/>
        <v>No</v>
      </c>
      <c r="BA44" s="555" t="str">
        <f t="shared" si="11"/>
        <v/>
      </c>
    </row>
    <row r="45" spans="3:53" ht="14.5" thickBot="1">
      <c r="C45" s="97">
        <v>36</v>
      </c>
      <c r="D45" s="263"/>
      <c r="E45" s="104"/>
      <c r="F45" s="275" t="str">
        <f>IF(D45="","",VLOOKUP(D45,'G-7 WaterC'' Data'!$B$2:$G$8,2,FALSE))</f>
        <v/>
      </c>
      <c r="G45" s="314" t="str">
        <f>IFERROR(VLOOKUP(F45,'G-7 WaterC'' Data'!$C$4:$D$8,2,FALSE),"")</f>
        <v/>
      </c>
      <c r="H45" s="105"/>
      <c r="I45" s="299" t="str">
        <f>IFERROR(INDEX('G-7 WaterC'' Data'!$H$4:$L$8,MATCH(D45,'G-7 WaterC'' Data'!$B$4:$B$8,0),MATCH(H45,'G-7 WaterC'' Data'!$H$3:$L$3,0)),"")</f>
        <v/>
      </c>
      <c r="J45" s="702"/>
      <c r="K45" s="295" t="str">
        <f>IF(J45="","",IF(VLOOKUP(J45,'G-7 WaterC'' Data'!$AK$4:$AM$9,2,FALSE)=0,"Spatial Data Missing ⚠",VLOOKUP(J45,'G-7 WaterC'' Data'!$AK$4:$AM$6,2,FALSE)))</f>
        <v/>
      </c>
      <c r="L45" s="299" t="str">
        <f>IF(J45="","",IF(VLOOKUP(J45,'G-7 WaterC'' Data'!$AK$4:$AM$9,3,FALSE)=0,"Spatial Data Missing ⚠",VLOOKUP(J45,'G-7 WaterC'' Data'!$AK$4:$AM$6,3,FALSE)))</f>
        <v/>
      </c>
      <c r="M45" s="102"/>
      <c r="N45" s="276" t="str">
        <f>IF(M45="","",IF(AND(M45="N/A - Culvert",D45&lt;&gt;"Culvert"),"Not possible ▲",IF(AND(D45="Culvert",M45&lt;&gt;"N/A - Culvert"),"Not possible ▲",IF(VLOOKUP(M45,'G-7 WaterC'' Data'!$AA$4:$AB$7,2,FALSE)=0,"Spatial Data Missing ⚠",VLOOKUP(M45,'G-7 WaterC'' Data'!$AA$4:$AB$7,2,FALSE)))))</f>
        <v/>
      </c>
      <c r="O45" s="56"/>
      <c r="P45" s="276" t="str">
        <f>IF(O45="","",IF(AND(O45="N/A - Culvert",D45&lt;&gt;"Culvert"),"Not possible ▲",IF(AND(D45="Culvert",O45&lt;&gt;"N/A - Culvert"),"Not possible ▲",IF(VLOOKUP(O45,'G-7 WaterC'' Data'!$AD$4:$AE$14,2,FALSE)=0,"Spatial Data Missing ⚠",VLOOKUP(O45,'G-7 WaterC'' Data'!$AD$4:$AE$14,2,FALSE)))))</f>
        <v/>
      </c>
      <c r="Q45" s="282" t="str">
        <f>IF(D45="","",VLOOKUP(D45,'G-7 WaterC'' Data'!$B$4:$G$8,6,FALSE))</f>
        <v/>
      </c>
      <c r="R45" s="289" t="str">
        <f t="shared" si="1"/>
        <v xml:space="preserve"> </v>
      </c>
      <c r="S45" s="393"/>
      <c r="T45" s="281" t="str">
        <f>IF(S45="","",IF(VLOOKUP(S45,'G-7 WaterC'' Data'!$AO$4:$BO$7,2,FALSE)=0,"Spatial Data Missing ⚠",VLOOKUP(S45,'G-7 WaterC'' Data'!$AO$4:$BO$7,2,FALSE)))</f>
        <v/>
      </c>
      <c r="U45" s="289" t="str">
        <f t="shared" si="2"/>
        <v xml:space="preserve"> </v>
      </c>
      <c r="V45" s="694" t="str">
        <f t="shared" si="3"/>
        <v/>
      </c>
      <c r="W45" s="32"/>
      <c r="X45" s="101"/>
      <c r="Y45" s="108"/>
      <c r="Z45" s="287" t="str">
        <f t="shared" si="4"/>
        <v/>
      </c>
      <c r="AA45" s="287" t="str">
        <f t="shared" si="5"/>
        <v/>
      </c>
      <c r="AB45" s="287" t="str">
        <f t="shared" si="6"/>
        <v/>
      </c>
      <c r="AC45" s="491" t="str">
        <f>IFERROR(IF(OR(E45="",R45=""),"",IF(AND(AB45&lt;&gt;"",S45=""),"Spatial risk category missing ▲",IF(AND(Q45='G-7 WaterC'' Data'!$G$4,AD45="Yes"),"Alternative Compensation ✓",IF(AND(AD45="Pending",Q45='G-7 WaterC'' Data'!$G$4),"Bespoke compensation must be agreed ▲",IF((Z45+AA45)&gt;=U45,0,U45-Z45-AA45))))),"Check Data ⚠")</f>
        <v/>
      </c>
      <c r="AD45" s="393"/>
      <c r="AE45" s="105"/>
      <c r="AF45" s="104"/>
      <c r="AG45" s="104"/>
      <c r="AH45" s="104"/>
      <c r="AI45" s="54" t="str">
        <f>IF(OR(Q45="",AD45="Yes"),"",IF(Q45='G-1 All Habitats'!$X$9,E45-Y45-X45,"None"))</f>
        <v/>
      </c>
      <c r="AJ45" s="55" t="str">
        <f>IF(Q45="","",IF(Q45='G-1 All Habitats'!$X$9,AI45*G45*I45*L45*N45*P45,"None"))</f>
        <v/>
      </c>
      <c r="AK45" s="30" t="str">
        <f>IFERROR(INDEX('G-7 WaterC'' Data'!$AZ$3:$AZ$7,MATCH(D45,'G-7 WaterC'' Data'!$AY$3:$AY$7,0)),"")</f>
        <v/>
      </c>
      <c r="AL45" s="30">
        <f t="shared" si="7"/>
        <v>0</v>
      </c>
      <c r="AM45" s="107" t="str">
        <f t="shared" si="8"/>
        <v/>
      </c>
      <c r="AN45" s="107" t="str">
        <f t="shared" si="9"/>
        <v/>
      </c>
      <c r="AP45" s="107">
        <v>36</v>
      </c>
      <c r="AR45" s="107" t="str">
        <f t="array" ref="AR45">IFERROR(INDEX($AP$10:$AP$258,MATCH(0,IF(TRUE=$AM$10:$AM$258,COUNTIF($AR$9:$AR44,$AP$10:$AP$258),""),0)),"")</f>
        <v/>
      </c>
      <c r="AS45" s="107" t="str">
        <f t="array" ref="AS45">IFERROR(INDEX($AP$10:$AP$258,MATCH(0,IF(TRUE=$AN$10:$AN$258,COUNTIF($AS$9:$AS44,$AP$10:$AP$258),""),0)),"")</f>
        <v/>
      </c>
      <c r="AT45" s="885" t="str">
        <f>IF(AND(OR(AD45="Yes",AD45="Pending"),Q45='G-7 WaterC'' Data'!$G$4),U45-AA45-Z45,"0")</f>
        <v>0</v>
      </c>
      <c r="AU45" s="30" t="str">
        <f>IF(D45="","",VLOOKUP(D45,'G-7 WaterC'' Data'!B$4:M$8,12,FALSE))</f>
        <v/>
      </c>
      <c r="AV45" s="30" t="str">
        <f t="shared" si="0"/>
        <v/>
      </c>
      <c r="AW45" s="30" t="str">
        <f t="shared" si="10"/>
        <v>No</v>
      </c>
      <c r="BA45" s="555" t="str">
        <f t="shared" si="11"/>
        <v/>
      </c>
    </row>
    <row r="46" spans="3:53" ht="14.5" thickBot="1">
      <c r="C46" s="97">
        <v>37</v>
      </c>
      <c r="D46" s="263"/>
      <c r="E46" s="104"/>
      <c r="F46" s="275" t="str">
        <f>IF(D46="","",VLOOKUP(D46,'G-7 WaterC'' Data'!$B$2:$G$8,2,FALSE))</f>
        <v/>
      </c>
      <c r="G46" s="314" t="str">
        <f>IFERROR(VLOOKUP(F46,'G-7 WaterC'' Data'!$C$4:$D$8,2,FALSE),"")</f>
        <v/>
      </c>
      <c r="H46" s="105"/>
      <c r="I46" s="299" t="str">
        <f>IFERROR(INDEX('G-7 WaterC'' Data'!$H$4:$L$8,MATCH(D46,'G-7 WaterC'' Data'!$B$4:$B$8,0),MATCH(H46,'G-7 WaterC'' Data'!$H$3:$L$3,0)),"")</f>
        <v/>
      </c>
      <c r="J46" s="702"/>
      <c r="K46" s="295" t="str">
        <f>IF(J46="","",IF(VLOOKUP(J46,'G-7 WaterC'' Data'!$AK$4:$AM$9,2,FALSE)=0,"Spatial Data Missing ⚠",VLOOKUP(J46,'G-7 WaterC'' Data'!$AK$4:$AM$6,2,FALSE)))</f>
        <v/>
      </c>
      <c r="L46" s="299" t="str">
        <f>IF(J46="","",IF(VLOOKUP(J46,'G-7 WaterC'' Data'!$AK$4:$AM$9,3,FALSE)=0,"Spatial Data Missing ⚠",VLOOKUP(J46,'G-7 WaterC'' Data'!$AK$4:$AM$6,3,FALSE)))</f>
        <v/>
      </c>
      <c r="M46" s="102"/>
      <c r="N46" s="276" t="str">
        <f>IF(M46="","",IF(AND(M46="N/A - Culvert",D46&lt;&gt;"Culvert"),"Not possible ▲",IF(AND(D46="Culvert",M46&lt;&gt;"N/A - Culvert"),"Not possible ▲",IF(VLOOKUP(M46,'G-7 WaterC'' Data'!$AA$4:$AB$7,2,FALSE)=0,"Spatial Data Missing ⚠",VLOOKUP(M46,'G-7 WaterC'' Data'!$AA$4:$AB$7,2,FALSE)))))</f>
        <v/>
      </c>
      <c r="O46" s="56"/>
      <c r="P46" s="276" t="str">
        <f>IF(O46="","",IF(AND(O46="N/A - Culvert",D46&lt;&gt;"Culvert"),"Not possible ▲",IF(AND(D46="Culvert",O46&lt;&gt;"N/A - Culvert"),"Not possible ▲",IF(VLOOKUP(O46,'G-7 WaterC'' Data'!$AD$4:$AE$14,2,FALSE)=0,"Spatial Data Missing ⚠",VLOOKUP(O46,'G-7 WaterC'' Data'!$AD$4:$AE$14,2,FALSE)))))</f>
        <v/>
      </c>
      <c r="Q46" s="282" t="str">
        <f>IF(D46="","",VLOOKUP(D46,'G-7 WaterC'' Data'!$B$4:$G$8,6,FALSE))</f>
        <v/>
      </c>
      <c r="R46" s="289" t="str">
        <f t="shared" si="1"/>
        <v xml:space="preserve"> </v>
      </c>
      <c r="S46" s="393"/>
      <c r="T46" s="281" t="str">
        <f>IF(S46="","",IF(VLOOKUP(S46,'G-7 WaterC'' Data'!$AO$4:$BO$7,2,FALSE)=0,"Spatial Data Missing ⚠",VLOOKUP(S46,'G-7 WaterC'' Data'!$AO$4:$BO$7,2,FALSE)))</f>
        <v/>
      </c>
      <c r="U46" s="289" t="str">
        <f t="shared" si="2"/>
        <v xml:space="preserve"> </v>
      </c>
      <c r="V46" s="694" t="str">
        <f t="shared" si="3"/>
        <v/>
      </c>
      <c r="W46" s="32"/>
      <c r="X46" s="101"/>
      <c r="Y46" s="108"/>
      <c r="Z46" s="287" t="str">
        <f t="shared" si="4"/>
        <v/>
      </c>
      <c r="AA46" s="287" t="str">
        <f t="shared" si="5"/>
        <v/>
      </c>
      <c r="AB46" s="287" t="str">
        <f t="shared" si="6"/>
        <v/>
      </c>
      <c r="AC46" s="491" t="str">
        <f>IFERROR(IF(OR(E46="",R46=""),"",IF(AND(AB46&lt;&gt;"",S46=""),"Spatial risk category missing ▲",IF(AND(Q46='G-7 WaterC'' Data'!$G$4,AD46="Yes"),"Alternative Compensation ✓",IF(AND(AD46="Pending",Q46='G-7 WaterC'' Data'!$G$4),"Bespoke compensation must be agreed ▲",IF((Z46+AA46)&gt;=U46,0,U46-Z46-AA46))))),"Check Data ⚠")</f>
        <v/>
      </c>
      <c r="AD46" s="393"/>
      <c r="AE46" s="105"/>
      <c r="AF46" s="104"/>
      <c r="AG46" s="104"/>
      <c r="AH46" s="104"/>
      <c r="AI46" s="54" t="str">
        <f>IF(OR(Q46="",AD46="Yes"),"",IF(Q46='G-1 All Habitats'!$X$9,E46-Y46-X46,"None"))</f>
        <v/>
      </c>
      <c r="AJ46" s="55" t="str">
        <f>IF(Q46="","",IF(Q46='G-1 All Habitats'!$X$9,AI46*G46*I46*L46*N46*P46,"None"))</f>
        <v/>
      </c>
      <c r="AK46" s="30" t="str">
        <f>IFERROR(INDEX('G-7 WaterC'' Data'!$AZ$3:$AZ$7,MATCH(D46,'G-7 WaterC'' Data'!$AY$3:$AY$7,0)),"")</f>
        <v/>
      </c>
      <c r="AL46" s="30">
        <f t="shared" si="7"/>
        <v>0</v>
      </c>
      <c r="AM46" s="107" t="str">
        <f t="shared" si="8"/>
        <v/>
      </c>
      <c r="AN46" s="107" t="str">
        <f t="shared" si="9"/>
        <v/>
      </c>
      <c r="AP46" s="107">
        <v>37</v>
      </c>
      <c r="AR46" s="107" t="str">
        <f t="array" ref="AR46">IFERROR(INDEX($AP$10:$AP$258,MATCH(0,IF(TRUE=$AM$10:$AM$258,COUNTIF($AR$9:$AR45,$AP$10:$AP$258),""),0)),"")</f>
        <v/>
      </c>
      <c r="AS46" s="107" t="str">
        <f t="array" ref="AS46">IFERROR(INDEX($AP$10:$AP$258,MATCH(0,IF(TRUE=$AN$10:$AN$258,COUNTIF($AS$9:$AS45,$AP$10:$AP$258),""),0)),"")</f>
        <v/>
      </c>
      <c r="AT46" s="885" t="str">
        <f>IF(AND(OR(AD46="Yes",AD46="Pending"),Q46='G-7 WaterC'' Data'!$G$4),U46-AA46-Z46,"0")</f>
        <v>0</v>
      </c>
      <c r="AU46" s="30" t="str">
        <f>IF(D46="","",VLOOKUP(D46,'G-7 WaterC'' Data'!B$4:M$8,12,FALSE))</f>
        <v/>
      </c>
      <c r="AV46" s="30" t="str">
        <f t="shared" si="0"/>
        <v/>
      </c>
      <c r="AW46" s="30" t="str">
        <f t="shared" si="10"/>
        <v>No</v>
      </c>
      <c r="BA46" s="555" t="str">
        <f t="shared" si="11"/>
        <v/>
      </c>
    </row>
    <row r="47" spans="3:53" ht="14.5" thickBot="1">
      <c r="C47" s="97">
        <v>38</v>
      </c>
      <c r="D47" s="263"/>
      <c r="E47" s="104"/>
      <c r="F47" s="275" t="str">
        <f>IF(D47="","",VLOOKUP(D47,'G-7 WaterC'' Data'!$B$2:$G$8,2,FALSE))</f>
        <v/>
      </c>
      <c r="G47" s="314" t="str">
        <f>IFERROR(VLOOKUP(F47,'G-7 WaterC'' Data'!$C$4:$D$8,2,FALSE),"")</f>
        <v/>
      </c>
      <c r="H47" s="105"/>
      <c r="I47" s="299" t="str">
        <f>IFERROR(INDEX('G-7 WaterC'' Data'!$H$4:$L$8,MATCH(D47,'G-7 WaterC'' Data'!$B$4:$B$8,0),MATCH(H47,'G-7 WaterC'' Data'!$H$3:$L$3,0)),"")</f>
        <v/>
      </c>
      <c r="J47" s="702"/>
      <c r="K47" s="295" t="str">
        <f>IF(J47="","",IF(VLOOKUP(J47,'G-7 WaterC'' Data'!$AK$4:$AM$9,2,FALSE)=0,"Spatial Data Missing ⚠",VLOOKUP(J47,'G-7 WaterC'' Data'!$AK$4:$AM$6,2,FALSE)))</f>
        <v/>
      </c>
      <c r="L47" s="299" t="str">
        <f>IF(J47="","",IF(VLOOKUP(J47,'G-7 WaterC'' Data'!$AK$4:$AM$9,3,FALSE)=0,"Spatial Data Missing ⚠",VLOOKUP(J47,'G-7 WaterC'' Data'!$AK$4:$AM$6,3,FALSE)))</f>
        <v/>
      </c>
      <c r="M47" s="102"/>
      <c r="N47" s="276" t="str">
        <f>IF(M47="","",IF(AND(M47="N/A - Culvert",D47&lt;&gt;"Culvert"),"Not possible ▲",IF(AND(D47="Culvert",M47&lt;&gt;"N/A - Culvert"),"Not possible ▲",IF(VLOOKUP(M47,'G-7 WaterC'' Data'!$AA$4:$AB$7,2,FALSE)=0,"Spatial Data Missing ⚠",VLOOKUP(M47,'G-7 WaterC'' Data'!$AA$4:$AB$7,2,FALSE)))))</f>
        <v/>
      </c>
      <c r="O47" s="56"/>
      <c r="P47" s="276" t="str">
        <f>IF(O47="","",IF(AND(O47="N/A - Culvert",D47&lt;&gt;"Culvert"),"Not possible ▲",IF(AND(D47="Culvert",O47&lt;&gt;"N/A - Culvert"),"Not possible ▲",IF(VLOOKUP(O47,'G-7 WaterC'' Data'!$AD$4:$AE$14,2,FALSE)=0,"Spatial Data Missing ⚠",VLOOKUP(O47,'G-7 WaterC'' Data'!$AD$4:$AE$14,2,FALSE)))))</f>
        <v/>
      </c>
      <c r="Q47" s="282" t="str">
        <f>IF(D47="","",VLOOKUP(D47,'G-7 WaterC'' Data'!$B$4:$G$8,6,FALSE))</f>
        <v/>
      </c>
      <c r="R47" s="289" t="str">
        <f t="shared" si="1"/>
        <v xml:space="preserve"> </v>
      </c>
      <c r="S47" s="393"/>
      <c r="T47" s="281" t="str">
        <f>IF(S47="","",IF(VLOOKUP(S47,'G-7 WaterC'' Data'!$AO$4:$BO$7,2,FALSE)=0,"Spatial Data Missing ⚠",VLOOKUP(S47,'G-7 WaterC'' Data'!$AO$4:$BO$7,2,FALSE)))</f>
        <v/>
      </c>
      <c r="U47" s="289" t="str">
        <f t="shared" si="2"/>
        <v xml:space="preserve"> </v>
      </c>
      <c r="V47" s="694" t="str">
        <f t="shared" si="3"/>
        <v/>
      </c>
      <c r="W47" s="32"/>
      <c r="X47" s="101"/>
      <c r="Y47" s="108"/>
      <c r="Z47" s="287" t="str">
        <f t="shared" si="4"/>
        <v/>
      </c>
      <c r="AA47" s="287" t="str">
        <f t="shared" si="5"/>
        <v/>
      </c>
      <c r="AB47" s="287" t="str">
        <f t="shared" si="6"/>
        <v/>
      </c>
      <c r="AC47" s="491" t="str">
        <f>IFERROR(IF(OR(E47="",R47=""),"",IF(AND(AB47&lt;&gt;"",S47=""),"Spatial risk category missing ▲",IF(AND(Q47='G-7 WaterC'' Data'!$G$4,AD47="Yes"),"Alternative Compensation ✓",IF(AND(AD47="Pending",Q47='G-7 WaterC'' Data'!$G$4),"Bespoke compensation must be agreed ▲",IF((Z47+AA47)&gt;=U47,0,U47-Z47-AA47))))),"Check Data ⚠")</f>
        <v/>
      </c>
      <c r="AD47" s="393"/>
      <c r="AE47" s="105"/>
      <c r="AF47" s="104"/>
      <c r="AG47" s="104"/>
      <c r="AH47" s="104"/>
      <c r="AI47" s="54" t="str">
        <f>IF(OR(Q47="",AD47="Yes"),"",IF(Q47='G-1 All Habitats'!$X$9,E47-Y47-X47,"None"))</f>
        <v/>
      </c>
      <c r="AJ47" s="55" t="str">
        <f>IF(Q47="","",IF(Q47='G-1 All Habitats'!$X$9,AI47*G47*I47*L47*N47*P47,"None"))</f>
        <v/>
      </c>
      <c r="AK47" s="30" t="str">
        <f>IFERROR(INDEX('G-7 WaterC'' Data'!$AZ$3:$AZ$7,MATCH(D47,'G-7 WaterC'' Data'!$AY$3:$AY$7,0)),"")</f>
        <v/>
      </c>
      <c r="AL47" s="30">
        <f t="shared" si="7"/>
        <v>0</v>
      </c>
      <c r="AM47" s="107" t="str">
        <f t="shared" si="8"/>
        <v/>
      </c>
      <c r="AN47" s="107" t="str">
        <f t="shared" si="9"/>
        <v/>
      </c>
      <c r="AP47" s="107">
        <v>38</v>
      </c>
      <c r="AR47" s="107" t="str">
        <f t="array" ref="AR47">IFERROR(INDEX($AP$10:$AP$258,MATCH(0,IF(TRUE=$AM$10:$AM$258,COUNTIF($AR$9:$AR46,$AP$10:$AP$258),""),0)),"")</f>
        <v/>
      </c>
      <c r="AS47" s="107" t="str">
        <f t="array" ref="AS47">IFERROR(INDEX($AP$10:$AP$258,MATCH(0,IF(TRUE=$AN$10:$AN$258,COUNTIF($AS$9:$AS46,$AP$10:$AP$258),""),0)),"")</f>
        <v/>
      </c>
      <c r="AT47" s="885" t="str">
        <f>IF(AND(OR(AD47="Yes",AD47="Pending"),Q47='G-7 WaterC'' Data'!$G$4),U47-AA47-Z47,"0")</f>
        <v>0</v>
      </c>
      <c r="AU47" s="30" t="str">
        <f>IF(D47="","",VLOOKUP(D47,'G-7 WaterC'' Data'!B$4:M$8,12,FALSE))</f>
        <v/>
      </c>
      <c r="AV47" s="30" t="str">
        <f t="shared" si="0"/>
        <v/>
      </c>
      <c r="AW47" s="30" t="str">
        <f t="shared" si="10"/>
        <v>No</v>
      </c>
      <c r="BA47" s="555" t="str">
        <f t="shared" si="11"/>
        <v/>
      </c>
    </row>
    <row r="48" spans="3:53" ht="14.5" thickBot="1">
      <c r="C48" s="97">
        <v>39</v>
      </c>
      <c r="D48" s="263"/>
      <c r="E48" s="104"/>
      <c r="F48" s="275" t="str">
        <f>IF(D48="","",VLOOKUP(D48,'G-7 WaterC'' Data'!$B$2:$G$8,2,FALSE))</f>
        <v/>
      </c>
      <c r="G48" s="314" t="str">
        <f>IFERROR(VLOOKUP(F48,'G-7 WaterC'' Data'!$C$4:$D$8,2,FALSE),"")</f>
        <v/>
      </c>
      <c r="H48" s="105"/>
      <c r="I48" s="299" t="str">
        <f>IFERROR(INDEX('G-7 WaterC'' Data'!$H$4:$L$8,MATCH(D48,'G-7 WaterC'' Data'!$B$4:$B$8,0),MATCH(H48,'G-7 WaterC'' Data'!$H$3:$L$3,0)),"")</f>
        <v/>
      </c>
      <c r="J48" s="702"/>
      <c r="K48" s="295" t="str">
        <f>IF(J48="","",IF(VLOOKUP(J48,'G-7 WaterC'' Data'!$AK$4:$AM$9,2,FALSE)=0,"Spatial Data Missing ⚠",VLOOKUP(J48,'G-7 WaterC'' Data'!$AK$4:$AM$6,2,FALSE)))</f>
        <v/>
      </c>
      <c r="L48" s="299" t="str">
        <f>IF(J48="","",IF(VLOOKUP(J48,'G-7 WaterC'' Data'!$AK$4:$AM$9,3,FALSE)=0,"Spatial Data Missing ⚠",VLOOKUP(J48,'G-7 WaterC'' Data'!$AK$4:$AM$6,3,FALSE)))</f>
        <v/>
      </c>
      <c r="M48" s="102"/>
      <c r="N48" s="276" t="str">
        <f>IF(M48="","",IF(AND(M48="N/A - Culvert",D48&lt;&gt;"Culvert"),"Not possible ▲",IF(AND(D48="Culvert",M48&lt;&gt;"N/A - Culvert"),"Not possible ▲",IF(VLOOKUP(M48,'G-7 WaterC'' Data'!$AA$4:$AB$7,2,FALSE)=0,"Spatial Data Missing ⚠",VLOOKUP(M48,'G-7 WaterC'' Data'!$AA$4:$AB$7,2,FALSE)))))</f>
        <v/>
      </c>
      <c r="O48" s="56"/>
      <c r="P48" s="276" t="str">
        <f>IF(O48="","",IF(AND(O48="N/A - Culvert",D48&lt;&gt;"Culvert"),"Not possible ▲",IF(AND(D48="Culvert",O48&lt;&gt;"N/A - Culvert"),"Not possible ▲",IF(VLOOKUP(O48,'G-7 WaterC'' Data'!$AD$4:$AE$14,2,FALSE)=0,"Spatial Data Missing ⚠",VLOOKUP(O48,'G-7 WaterC'' Data'!$AD$4:$AE$14,2,FALSE)))))</f>
        <v/>
      </c>
      <c r="Q48" s="282" t="str">
        <f>IF(D48="","",VLOOKUP(D48,'G-7 WaterC'' Data'!$B$4:$G$8,6,FALSE))</f>
        <v/>
      </c>
      <c r="R48" s="289" t="str">
        <f t="shared" si="1"/>
        <v xml:space="preserve"> </v>
      </c>
      <c r="S48" s="393"/>
      <c r="T48" s="281" t="str">
        <f>IF(S48="","",IF(VLOOKUP(S48,'G-7 WaterC'' Data'!$AO$4:$BO$7,2,FALSE)=0,"Spatial Data Missing ⚠",VLOOKUP(S48,'G-7 WaterC'' Data'!$AO$4:$BO$7,2,FALSE)))</f>
        <v/>
      </c>
      <c r="U48" s="289" t="str">
        <f t="shared" si="2"/>
        <v xml:space="preserve"> </v>
      </c>
      <c r="V48" s="694" t="str">
        <f t="shared" si="3"/>
        <v/>
      </c>
      <c r="W48" s="32"/>
      <c r="X48" s="101"/>
      <c r="Y48" s="108"/>
      <c r="Z48" s="287" t="str">
        <f t="shared" si="4"/>
        <v/>
      </c>
      <c r="AA48" s="287" t="str">
        <f t="shared" si="5"/>
        <v/>
      </c>
      <c r="AB48" s="287" t="str">
        <f t="shared" si="6"/>
        <v/>
      </c>
      <c r="AC48" s="491" t="str">
        <f>IFERROR(IF(OR(E48="",R48=""),"",IF(AND(AB48&lt;&gt;"",S48=""),"Spatial risk category missing ▲",IF(AND(Q48='G-7 WaterC'' Data'!$G$4,AD48="Yes"),"Alternative Compensation ✓",IF(AND(AD48="Pending",Q48='G-7 WaterC'' Data'!$G$4),"Bespoke compensation must be agreed ▲",IF((Z48+AA48)&gt;=U48,0,U48-Z48-AA48))))),"Check Data ⚠")</f>
        <v/>
      </c>
      <c r="AD48" s="393"/>
      <c r="AE48" s="105"/>
      <c r="AF48" s="104"/>
      <c r="AG48" s="104"/>
      <c r="AH48" s="104"/>
      <c r="AI48" s="54" t="str">
        <f>IF(OR(Q48="",AD48="Yes"),"",IF(Q48='G-1 All Habitats'!$X$9,E48-Y48-X48,"None"))</f>
        <v/>
      </c>
      <c r="AJ48" s="55" t="str">
        <f>IF(Q48="","",IF(Q48='G-1 All Habitats'!$X$9,AI48*G48*I48*L48*N48*P48,"None"))</f>
        <v/>
      </c>
      <c r="AK48" s="30" t="str">
        <f>IFERROR(INDEX('G-7 WaterC'' Data'!$AZ$3:$AZ$7,MATCH(D48,'G-7 WaterC'' Data'!$AY$3:$AY$7,0)),"")</f>
        <v/>
      </c>
      <c r="AL48" s="30">
        <f t="shared" si="7"/>
        <v>0</v>
      </c>
      <c r="AM48" s="107" t="str">
        <f t="shared" si="8"/>
        <v/>
      </c>
      <c r="AN48" s="107" t="str">
        <f t="shared" si="9"/>
        <v/>
      </c>
      <c r="AP48" s="107">
        <v>39</v>
      </c>
      <c r="AR48" s="107" t="str">
        <f t="array" ref="AR48">IFERROR(INDEX($AP$10:$AP$258,MATCH(0,IF(TRUE=$AM$10:$AM$258,COUNTIF($AR$9:$AR47,$AP$10:$AP$258),""),0)),"")</f>
        <v/>
      </c>
      <c r="AS48" s="107" t="str">
        <f t="array" ref="AS48">IFERROR(INDEX($AP$10:$AP$258,MATCH(0,IF(TRUE=$AN$10:$AN$258,COUNTIF($AS$9:$AS47,$AP$10:$AP$258),""),0)),"")</f>
        <v/>
      </c>
      <c r="AT48" s="885" t="str">
        <f>IF(AND(OR(AD48="Yes",AD48="Pending"),Q48='G-7 WaterC'' Data'!$G$4),U48-AA48-Z48,"0")</f>
        <v>0</v>
      </c>
      <c r="AU48" s="30" t="str">
        <f>IF(D48="","",VLOOKUP(D48,'G-7 WaterC'' Data'!B$4:M$8,12,FALSE))</f>
        <v/>
      </c>
      <c r="AV48" s="30" t="str">
        <f t="shared" si="0"/>
        <v/>
      </c>
      <c r="AW48" s="30" t="str">
        <f t="shared" si="10"/>
        <v>No</v>
      </c>
      <c r="BA48" s="555" t="str">
        <f t="shared" si="11"/>
        <v/>
      </c>
    </row>
    <row r="49" spans="3:53" ht="14.5" thickBot="1">
      <c r="C49" s="97">
        <v>40</v>
      </c>
      <c r="D49" s="263"/>
      <c r="E49" s="104"/>
      <c r="F49" s="275" t="str">
        <f>IF(D49="","",VLOOKUP(D49,'G-7 WaterC'' Data'!$B$2:$G$8,2,FALSE))</f>
        <v/>
      </c>
      <c r="G49" s="314" t="str">
        <f>IFERROR(VLOOKUP(F49,'G-7 WaterC'' Data'!$C$4:$D$8,2,FALSE),"")</f>
        <v/>
      </c>
      <c r="H49" s="105"/>
      <c r="I49" s="299" t="str">
        <f>IFERROR(INDEX('G-7 WaterC'' Data'!$H$4:$L$8,MATCH(D49,'G-7 WaterC'' Data'!$B$4:$B$8,0),MATCH(H49,'G-7 WaterC'' Data'!$H$3:$L$3,0)),"")</f>
        <v/>
      </c>
      <c r="J49" s="702"/>
      <c r="K49" s="295" t="str">
        <f>IF(J49="","",IF(VLOOKUP(J49,'G-7 WaterC'' Data'!$AK$4:$AM$9,2,FALSE)=0,"Spatial Data Missing ⚠",VLOOKUP(J49,'G-7 WaterC'' Data'!$AK$4:$AM$6,2,FALSE)))</f>
        <v/>
      </c>
      <c r="L49" s="299" t="str">
        <f>IF(J49="","",IF(VLOOKUP(J49,'G-7 WaterC'' Data'!$AK$4:$AM$9,3,FALSE)=0,"Spatial Data Missing ⚠",VLOOKUP(J49,'G-7 WaterC'' Data'!$AK$4:$AM$6,3,FALSE)))</f>
        <v/>
      </c>
      <c r="M49" s="102"/>
      <c r="N49" s="276" t="str">
        <f>IF(M49="","",IF(AND(M49="N/A - Culvert",D49&lt;&gt;"Culvert"),"Not possible ▲",IF(AND(D49="Culvert",M49&lt;&gt;"N/A - Culvert"),"Not possible ▲",IF(VLOOKUP(M49,'G-7 WaterC'' Data'!$AA$4:$AB$7,2,FALSE)=0,"Spatial Data Missing ⚠",VLOOKUP(M49,'G-7 WaterC'' Data'!$AA$4:$AB$7,2,FALSE)))))</f>
        <v/>
      </c>
      <c r="O49" s="56"/>
      <c r="P49" s="276" t="str">
        <f>IF(O49="","",IF(AND(O49="N/A - Culvert",D49&lt;&gt;"Culvert"),"Not possible ▲",IF(AND(D49="Culvert",O49&lt;&gt;"N/A - Culvert"),"Not possible ▲",IF(VLOOKUP(O49,'G-7 WaterC'' Data'!$AD$4:$AE$14,2,FALSE)=0,"Spatial Data Missing ⚠",VLOOKUP(O49,'G-7 WaterC'' Data'!$AD$4:$AE$14,2,FALSE)))))</f>
        <v/>
      </c>
      <c r="Q49" s="282" t="str">
        <f>IF(D49="","",VLOOKUP(D49,'G-7 WaterC'' Data'!$B$4:$G$8,6,FALSE))</f>
        <v/>
      </c>
      <c r="R49" s="289" t="str">
        <f t="shared" si="1"/>
        <v xml:space="preserve"> </v>
      </c>
      <c r="S49" s="393"/>
      <c r="T49" s="281" t="str">
        <f>IF(S49="","",IF(VLOOKUP(S49,'G-7 WaterC'' Data'!$AO$4:$BO$7,2,FALSE)=0,"Spatial Data Missing ⚠",VLOOKUP(S49,'G-7 WaterC'' Data'!$AO$4:$BO$7,2,FALSE)))</f>
        <v/>
      </c>
      <c r="U49" s="289" t="str">
        <f t="shared" si="2"/>
        <v xml:space="preserve"> </v>
      </c>
      <c r="V49" s="694" t="str">
        <f t="shared" si="3"/>
        <v/>
      </c>
      <c r="W49" s="32"/>
      <c r="X49" s="101"/>
      <c r="Y49" s="108"/>
      <c r="Z49" s="287" t="str">
        <f t="shared" si="4"/>
        <v/>
      </c>
      <c r="AA49" s="287" t="str">
        <f t="shared" si="5"/>
        <v/>
      </c>
      <c r="AB49" s="287" t="str">
        <f t="shared" si="6"/>
        <v/>
      </c>
      <c r="AC49" s="491" t="str">
        <f>IFERROR(IF(OR(E49="",R49=""),"",IF(AND(AB49&lt;&gt;"",S49=""),"Spatial risk category missing ▲",IF(AND(Q49='G-7 WaterC'' Data'!$G$4,AD49="Yes"),"Alternative Compensation ✓",IF(AND(AD49="Pending",Q49='G-7 WaterC'' Data'!$G$4),"Bespoke compensation must be agreed ▲",IF((Z49+AA49)&gt;=U49,0,U49-Z49-AA49))))),"Check Data ⚠")</f>
        <v/>
      </c>
      <c r="AD49" s="393"/>
      <c r="AE49" s="105"/>
      <c r="AF49" s="104"/>
      <c r="AG49" s="104"/>
      <c r="AH49" s="104"/>
      <c r="AI49" s="54" t="str">
        <f>IF(OR(Q49="",AD49="Yes"),"",IF(Q49='G-1 All Habitats'!$X$9,E49-Y49-X49,"None"))</f>
        <v/>
      </c>
      <c r="AJ49" s="55" t="str">
        <f>IF(Q49="","",IF(Q49='G-1 All Habitats'!$X$9,AI49*G49*I49*L49*N49*P49,"None"))</f>
        <v/>
      </c>
      <c r="AK49" s="30" t="str">
        <f>IFERROR(INDEX('G-7 WaterC'' Data'!$AZ$3:$AZ$7,MATCH(D49,'G-7 WaterC'' Data'!$AY$3:$AY$7,0)),"")</f>
        <v/>
      </c>
      <c r="AL49" s="30">
        <f t="shared" si="7"/>
        <v>0</v>
      </c>
      <c r="AM49" s="107" t="str">
        <f t="shared" si="8"/>
        <v/>
      </c>
      <c r="AN49" s="107" t="str">
        <f t="shared" si="9"/>
        <v/>
      </c>
      <c r="AP49" s="107">
        <v>40</v>
      </c>
      <c r="AR49" s="107" t="str">
        <f t="array" ref="AR49">IFERROR(INDEX($AP$10:$AP$258,MATCH(0,IF(TRUE=$AM$10:$AM$258,COUNTIF($AR$9:$AR48,$AP$10:$AP$258),""),0)),"")</f>
        <v/>
      </c>
      <c r="AS49" s="107" t="str">
        <f t="array" ref="AS49">IFERROR(INDEX($AP$10:$AP$258,MATCH(0,IF(TRUE=$AN$10:$AN$258,COUNTIF($AS$9:$AS48,$AP$10:$AP$258),""),0)),"")</f>
        <v/>
      </c>
      <c r="AT49" s="885" t="str">
        <f>IF(AND(OR(AD49="Yes",AD49="Pending"),Q49='G-7 WaterC'' Data'!$G$4),U49-AA49-Z49,"0")</f>
        <v>0</v>
      </c>
      <c r="AU49" s="30" t="str">
        <f>IF(D49="","",VLOOKUP(D49,'G-7 WaterC'' Data'!B$4:M$8,12,FALSE))</f>
        <v/>
      </c>
      <c r="AV49" s="30" t="str">
        <f t="shared" si="0"/>
        <v/>
      </c>
      <c r="AW49" s="30" t="str">
        <f t="shared" si="10"/>
        <v>No</v>
      </c>
      <c r="BA49" s="555" t="str">
        <f t="shared" si="11"/>
        <v/>
      </c>
    </row>
    <row r="50" spans="3:53" ht="14.5" thickBot="1">
      <c r="C50" s="97">
        <v>41</v>
      </c>
      <c r="D50" s="263"/>
      <c r="E50" s="104"/>
      <c r="F50" s="275" t="str">
        <f>IF(D50="","",VLOOKUP(D50,'G-7 WaterC'' Data'!$B$2:$G$8,2,FALSE))</f>
        <v/>
      </c>
      <c r="G50" s="314" t="str">
        <f>IFERROR(VLOOKUP(F50,'G-7 WaterC'' Data'!$C$4:$D$8,2,FALSE),"")</f>
        <v/>
      </c>
      <c r="H50" s="105"/>
      <c r="I50" s="299" t="str">
        <f>IFERROR(INDEX('G-7 WaterC'' Data'!$H$4:$L$8,MATCH(D50,'G-7 WaterC'' Data'!$B$4:$B$8,0),MATCH(H50,'G-7 WaterC'' Data'!$H$3:$L$3,0)),"")</f>
        <v/>
      </c>
      <c r="J50" s="702"/>
      <c r="K50" s="295" t="str">
        <f>IF(J50="","",IF(VLOOKUP(J50,'G-7 WaterC'' Data'!$AK$4:$AM$9,2,FALSE)=0,"Spatial Data Missing ⚠",VLOOKUP(J50,'G-7 WaterC'' Data'!$AK$4:$AM$6,2,FALSE)))</f>
        <v/>
      </c>
      <c r="L50" s="299" t="str">
        <f>IF(J50="","",IF(VLOOKUP(J50,'G-7 WaterC'' Data'!$AK$4:$AM$9,3,FALSE)=0,"Spatial Data Missing ⚠",VLOOKUP(J50,'G-7 WaterC'' Data'!$AK$4:$AM$6,3,FALSE)))</f>
        <v/>
      </c>
      <c r="M50" s="102"/>
      <c r="N50" s="276" t="str">
        <f>IF(M50="","",IF(AND(M50="N/A - Culvert",D50&lt;&gt;"Culvert"),"Not possible ▲",IF(AND(D50="Culvert",M50&lt;&gt;"N/A - Culvert"),"Not possible ▲",IF(VLOOKUP(M50,'G-7 WaterC'' Data'!$AA$4:$AB$7,2,FALSE)=0,"Spatial Data Missing ⚠",VLOOKUP(M50,'G-7 WaterC'' Data'!$AA$4:$AB$7,2,FALSE)))))</f>
        <v/>
      </c>
      <c r="O50" s="56"/>
      <c r="P50" s="276" t="str">
        <f>IF(O50="","",IF(AND(O50="N/A - Culvert",D50&lt;&gt;"Culvert"),"Not possible ▲",IF(AND(D50="Culvert",O50&lt;&gt;"N/A - Culvert"),"Not possible ▲",IF(VLOOKUP(O50,'G-7 WaterC'' Data'!$AD$4:$AE$14,2,FALSE)=0,"Spatial Data Missing ⚠",VLOOKUP(O50,'G-7 WaterC'' Data'!$AD$4:$AE$14,2,FALSE)))))</f>
        <v/>
      </c>
      <c r="Q50" s="282" t="str">
        <f>IF(D50="","",VLOOKUP(D50,'G-7 WaterC'' Data'!$B$4:$G$8,6,FALSE))</f>
        <v/>
      </c>
      <c r="R50" s="289" t="str">
        <f t="shared" si="1"/>
        <v xml:space="preserve"> </v>
      </c>
      <c r="S50" s="393"/>
      <c r="T50" s="281" t="str">
        <f>IF(S50="","",IF(VLOOKUP(S50,'G-7 WaterC'' Data'!$AO$4:$BO$7,2,FALSE)=0,"Spatial Data Missing ⚠",VLOOKUP(S50,'G-7 WaterC'' Data'!$AO$4:$BO$7,2,FALSE)))</f>
        <v/>
      </c>
      <c r="U50" s="289" t="str">
        <f t="shared" si="2"/>
        <v xml:space="preserve"> </v>
      </c>
      <c r="V50" s="694" t="str">
        <f t="shared" si="3"/>
        <v/>
      </c>
      <c r="W50" s="32"/>
      <c r="X50" s="101"/>
      <c r="Y50" s="108"/>
      <c r="Z50" s="287" t="str">
        <f t="shared" si="4"/>
        <v/>
      </c>
      <c r="AA50" s="287" t="str">
        <f t="shared" si="5"/>
        <v/>
      </c>
      <c r="AB50" s="287" t="str">
        <f t="shared" si="6"/>
        <v/>
      </c>
      <c r="AC50" s="491" t="str">
        <f>IFERROR(IF(OR(E50="",R50=""),"",IF(AND(AB50&lt;&gt;"",S50=""),"Spatial risk category missing ▲",IF(AND(Q50='G-7 WaterC'' Data'!$G$4,AD50="Yes"),"Alternative Compensation ✓",IF(AND(AD50="Pending",Q50='G-7 WaterC'' Data'!$G$4),"Bespoke compensation must be agreed ▲",IF((Z50+AA50)&gt;=U50,0,U50-Z50-AA50))))),"Check Data ⚠")</f>
        <v/>
      </c>
      <c r="AD50" s="393"/>
      <c r="AE50" s="105"/>
      <c r="AF50" s="104"/>
      <c r="AG50" s="104"/>
      <c r="AH50" s="104"/>
      <c r="AI50" s="54" t="str">
        <f>IF(OR(Q50="",AD50="Yes"),"",IF(Q50='G-1 All Habitats'!$X$9,E50-Y50-X50,"None"))</f>
        <v/>
      </c>
      <c r="AJ50" s="55" t="str">
        <f>IF(Q50="","",IF(Q50='G-1 All Habitats'!$X$9,AI50*G50*I50*L50*N50*P50,"None"))</f>
        <v/>
      </c>
      <c r="AK50" s="30" t="str">
        <f>IFERROR(INDEX('G-7 WaterC'' Data'!$AZ$3:$AZ$7,MATCH(D50,'G-7 WaterC'' Data'!$AY$3:$AY$7,0)),"")</f>
        <v/>
      </c>
      <c r="AL50" s="30">
        <f t="shared" si="7"/>
        <v>0</v>
      </c>
      <c r="AM50" s="107" t="str">
        <f t="shared" si="8"/>
        <v/>
      </c>
      <c r="AN50" s="107" t="str">
        <f t="shared" si="9"/>
        <v/>
      </c>
      <c r="AP50" s="107">
        <v>41</v>
      </c>
      <c r="AR50" s="107" t="str">
        <f t="array" ref="AR50">IFERROR(INDEX($AP$10:$AP$258,MATCH(0,IF(TRUE=$AM$10:$AM$258,COUNTIF($AR$9:$AR49,$AP$10:$AP$258),""),0)),"")</f>
        <v/>
      </c>
      <c r="AS50" s="107" t="str">
        <f t="array" ref="AS50">IFERROR(INDEX($AP$10:$AP$258,MATCH(0,IF(TRUE=$AN$10:$AN$258,COUNTIF($AS$9:$AS49,$AP$10:$AP$258),""),0)),"")</f>
        <v/>
      </c>
      <c r="AT50" s="885" t="str">
        <f>IF(AND(OR(AD50="Yes",AD50="Pending"),Q50='G-7 WaterC'' Data'!$G$4),U50-AA50-Z50,"0")</f>
        <v>0</v>
      </c>
      <c r="AU50" s="30" t="str">
        <f>IF(D50="","",VLOOKUP(D50,'G-7 WaterC'' Data'!B$4:M$8,12,FALSE))</f>
        <v/>
      </c>
      <c r="AV50" s="30" t="str">
        <f t="shared" si="0"/>
        <v/>
      </c>
      <c r="AW50" s="30" t="str">
        <f t="shared" si="10"/>
        <v>No</v>
      </c>
      <c r="BA50" s="555" t="str">
        <f t="shared" si="11"/>
        <v/>
      </c>
    </row>
    <row r="51" spans="3:53" ht="14.5" thickBot="1">
      <c r="C51" s="97">
        <v>42</v>
      </c>
      <c r="D51" s="263"/>
      <c r="E51" s="104"/>
      <c r="F51" s="275" t="str">
        <f>IF(D51="","",VLOOKUP(D51,'G-7 WaterC'' Data'!$B$2:$G$8,2,FALSE))</f>
        <v/>
      </c>
      <c r="G51" s="314" t="str">
        <f>IFERROR(VLOOKUP(F51,'G-7 WaterC'' Data'!$C$4:$D$8,2,FALSE),"")</f>
        <v/>
      </c>
      <c r="H51" s="105"/>
      <c r="I51" s="299" t="str">
        <f>IFERROR(INDEX('G-7 WaterC'' Data'!$H$4:$L$8,MATCH(D51,'G-7 WaterC'' Data'!$B$4:$B$8,0),MATCH(H51,'G-7 WaterC'' Data'!$H$3:$L$3,0)),"")</f>
        <v/>
      </c>
      <c r="J51" s="702"/>
      <c r="K51" s="295" t="str">
        <f>IF(J51="","",IF(VLOOKUP(J51,'G-7 WaterC'' Data'!$AK$4:$AM$9,2,FALSE)=0,"Spatial Data Missing ⚠",VLOOKUP(J51,'G-7 WaterC'' Data'!$AK$4:$AM$6,2,FALSE)))</f>
        <v/>
      </c>
      <c r="L51" s="299" t="str">
        <f>IF(J51="","",IF(VLOOKUP(J51,'G-7 WaterC'' Data'!$AK$4:$AM$9,3,FALSE)=0,"Spatial Data Missing ⚠",VLOOKUP(J51,'G-7 WaterC'' Data'!$AK$4:$AM$6,3,FALSE)))</f>
        <v/>
      </c>
      <c r="M51" s="102"/>
      <c r="N51" s="276" t="str">
        <f>IF(M51="","",IF(AND(M51="N/A - Culvert",D51&lt;&gt;"Culvert"),"Not possible ▲",IF(AND(D51="Culvert",M51&lt;&gt;"N/A - Culvert"),"Not possible ▲",IF(VLOOKUP(M51,'G-7 WaterC'' Data'!$AA$4:$AB$7,2,FALSE)=0,"Spatial Data Missing ⚠",VLOOKUP(M51,'G-7 WaterC'' Data'!$AA$4:$AB$7,2,FALSE)))))</f>
        <v/>
      </c>
      <c r="O51" s="56"/>
      <c r="P51" s="276" t="str">
        <f>IF(O51="","",IF(AND(O51="N/A - Culvert",D51&lt;&gt;"Culvert"),"Not possible ▲",IF(AND(D51="Culvert",O51&lt;&gt;"N/A - Culvert"),"Not possible ▲",IF(VLOOKUP(O51,'G-7 WaterC'' Data'!$AD$4:$AE$14,2,FALSE)=0,"Spatial Data Missing ⚠",VLOOKUP(O51,'G-7 WaterC'' Data'!$AD$4:$AE$14,2,FALSE)))))</f>
        <v/>
      </c>
      <c r="Q51" s="282" t="str">
        <f>IF(D51="","",VLOOKUP(D51,'G-7 WaterC'' Data'!$B$4:$G$8,6,FALSE))</f>
        <v/>
      </c>
      <c r="R51" s="289" t="str">
        <f t="shared" si="1"/>
        <v xml:space="preserve"> </v>
      </c>
      <c r="S51" s="393"/>
      <c r="T51" s="281" t="str">
        <f>IF(S51="","",IF(VLOOKUP(S51,'G-7 WaterC'' Data'!$AO$4:$BO$7,2,FALSE)=0,"Spatial Data Missing ⚠",VLOOKUP(S51,'G-7 WaterC'' Data'!$AO$4:$BO$7,2,FALSE)))</f>
        <v/>
      </c>
      <c r="U51" s="289" t="str">
        <f t="shared" si="2"/>
        <v xml:space="preserve"> </v>
      </c>
      <c r="V51" s="694" t="str">
        <f t="shared" si="3"/>
        <v/>
      </c>
      <c r="W51" s="32"/>
      <c r="X51" s="101"/>
      <c r="Y51" s="108"/>
      <c r="Z51" s="287" t="str">
        <f t="shared" si="4"/>
        <v/>
      </c>
      <c r="AA51" s="287" t="str">
        <f t="shared" si="5"/>
        <v/>
      </c>
      <c r="AB51" s="287" t="str">
        <f t="shared" si="6"/>
        <v/>
      </c>
      <c r="AC51" s="491" t="str">
        <f>IFERROR(IF(OR(E51="",R51=""),"",IF(AND(AB51&lt;&gt;"",S51=""),"Spatial risk category missing ▲",IF(AND(Q51='G-7 WaterC'' Data'!$G$4,AD51="Yes"),"Alternative Compensation ✓",IF(AND(AD51="Pending",Q51='G-7 WaterC'' Data'!$G$4),"Bespoke compensation must be agreed ▲",IF((Z51+AA51)&gt;=U51,0,U51-Z51-AA51))))),"Check Data ⚠")</f>
        <v/>
      </c>
      <c r="AD51" s="393"/>
      <c r="AE51" s="105"/>
      <c r="AF51" s="104"/>
      <c r="AG51" s="104"/>
      <c r="AH51" s="104"/>
      <c r="AI51" s="54" t="str">
        <f>IF(OR(Q51="",AD51="Yes"),"",IF(Q51='G-1 All Habitats'!$X$9,E51-Y51-X51,"None"))</f>
        <v/>
      </c>
      <c r="AJ51" s="55" t="str">
        <f>IF(Q51="","",IF(Q51='G-1 All Habitats'!$X$9,AI51*G51*I51*L51*N51*P51,"None"))</f>
        <v/>
      </c>
      <c r="AK51" s="30" t="str">
        <f>IFERROR(INDEX('G-7 WaterC'' Data'!$AZ$3:$AZ$7,MATCH(D51,'G-7 WaterC'' Data'!$AY$3:$AY$7,0)),"")</f>
        <v/>
      </c>
      <c r="AL51" s="30">
        <f t="shared" si="7"/>
        <v>0</v>
      </c>
      <c r="AM51" s="107" t="str">
        <f t="shared" si="8"/>
        <v/>
      </c>
      <c r="AN51" s="107" t="str">
        <f t="shared" si="9"/>
        <v/>
      </c>
      <c r="AP51" s="107">
        <v>42</v>
      </c>
      <c r="AR51" s="107" t="str">
        <f t="array" ref="AR51">IFERROR(INDEX($AP$10:$AP$258,MATCH(0,IF(TRUE=$AM$10:$AM$258,COUNTIF($AR$9:$AR50,$AP$10:$AP$258),""),0)),"")</f>
        <v/>
      </c>
      <c r="AS51" s="107" t="str">
        <f t="array" ref="AS51">IFERROR(INDEX($AP$10:$AP$258,MATCH(0,IF(TRUE=$AN$10:$AN$258,COUNTIF($AS$9:$AS50,$AP$10:$AP$258),""),0)),"")</f>
        <v/>
      </c>
      <c r="AT51" s="885" t="str">
        <f>IF(AND(OR(AD51="Yes",AD51="Pending"),Q51='G-7 WaterC'' Data'!$G$4),U51-AA51-Z51,"0")</f>
        <v>0</v>
      </c>
      <c r="AU51" s="30" t="str">
        <f>IF(D51="","",VLOOKUP(D51,'G-7 WaterC'' Data'!B$4:M$8,12,FALSE))</f>
        <v/>
      </c>
      <c r="AV51" s="30" t="str">
        <f t="shared" si="0"/>
        <v/>
      </c>
      <c r="AW51" s="30" t="str">
        <f t="shared" si="10"/>
        <v>No</v>
      </c>
      <c r="BA51" s="555" t="str">
        <f t="shared" si="11"/>
        <v/>
      </c>
    </row>
    <row r="52" spans="3:53" ht="14.5" thickBot="1">
      <c r="C52" s="97">
        <v>43</v>
      </c>
      <c r="D52" s="263"/>
      <c r="E52" s="104"/>
      <c r="F52" s="275" t="str">
        <f>IF(D52="","",VLOOKUP(D52,'G-7 WaterC'' Data'!$B$2:$G$8,2,FALSE))</f>
        <v/>
      </c>
      <c r="G52" s="314" t="str">
        <f>IFERROR(VLOOKUP(F52,'G-7 WaterC'' Data'!$C$4:$D$8,2,FALSE),"")</f>
        <v/>
      </c>
      <c r="H52" s="105"/>
      <c r="I52" s="299" t="str">
        <f>IFERROR(INDEX('G-7 WaterC'' Data'!$H$4:$L$8,MATCH(D52,'G-7 WaterC'' Data'!$B$4:$B$8,0),MATCH(H52,'G-7 WaterC'' Data'!$H$3:$L$3,0)),"")</f>
        <v/>
      </c>
      <c r="J52" s="702"/>
      <c r="K52" s="295" t="str">
        <f>IF(J52="","",IF(VLOOKUP(J52,'G-7 WaterC'' Data'!$AK$4:$AM$9,2,FALSE)=0,"Spatial Data Missing ⚠",VLOOKUP(J52,'G-7 WaterC'' Data'!$AK$4:$AM$6,2,FALSE)))</f>
        <v/>
      </c>
      <c r="L52" s="299" t="str">
        <f>IF(J52="","",IF(VLOOKUP(J52,'G-7 WaterC'' Data'!$AK$4:$AM$9,3,FALSE)=0,"Spatial Data Missing ⚠",VLOOKUP(J52,'G-7 WaterC'' Data'!$AK$4:$AM$6,3,FALSE)))</f>
        <v/>
      </c>
      <c r="M52" s="102"/>
      <c r="N52" s="276" t="str">
        <f>IF(M52="","",IF(AND(M52="N/A - Culvert",D52&lt;&gt;"Culvert"),"Not possible ▲",IF(AND(D52="Culvert",M52&lt;&gt;"N/A - Culvert"),"Not possible ▲",IF(VLOOKUP(M52,'G-7 WaterC'' Data'!$AA$4:$AB$7,2,FALSE)=0,"Spatial Data Missing ⚠",VLOOKUP(M52,'G-7 WaterC'' Data'!$AA$4:$AB$7,2,FALSE)))))</f>
        <v/>
      </c>
      <c r="O52" s="56"/>
      <c r="P52" s="276" t="str">
        <f>IF(O52="","",IF(AND(O52="N/A - Culvert",D52&lt;&gt;"Culvert"),"Not possible ▲",IF(AND(D52="Culvert",O52&lt;&gt;"N/A - Culvert"),"Not possible ▲",IF(VLOOKUP(O52,'G-7 WaterC'' Data'!$AD$4:$AE$14,2,FALSE)=0,"Spatial Data Missing ⚠",VLOOKUP(O52,'G-7 WaterC'' Data'!$AD$4:$AE$14,2,FALSE)))))</f>
        <v/>
      </c>
      <c r="Q52" s="282" t="str">
        <f>IF(D52="","",VLOOKUP(D52,'G-7 WaterC'' Data'!$B$4:$G$8,6,FALSE))</f>
        <v/>
      </c>
      <c r="R52" s="289" t="str">
        <f t="shared" si="1"/>
        <v xml:space="preserve"> </v>
      </c>
      <c r="S52" s="393"/>
      <c r="T52" s="281" t="str">
        <f>IF(S52="","",IF(VLOOKUP(S52,'G-7 WaterC'' Data'!$AO$4:$BO$7,2,FALSE)=0,"Spatial Data Missing ⚠",VLOOKUP(S52,'G-7 WaterC'' Data'!$AO$4:$BO$7,2,FALSE)))</f>
        <v/>
      </c>
      <c r="U52" s="289" t="str">
        <f t="shared" si="2"/>
        <v xml:space="preserve"> </v>
      </c>
      <c r="V52" s="694" t="str">
        <f t="shared" si="3"/>
        <v/>
      </c>
      <c r="W52" s="32"/>
      <c r="X52" s="101"/>
      <c r="Y52" s="108"/>
      <c r="Z52" s="287" t="str">
        <f t="shared" si="4"/>
        <v/>
      </c>
      <c r="AA52" s="287" t="str">
        <f t="shared" si="5"/>
        <v/>
      </c>
      <c r="AB52" s="287" t="str">
        <f t="shared" si="6"/>
        <v/>
      </c>
      <c r="AC52" s="491" t="str">
        <f>IFERROR(IF(OR(E52="",R52=""),"",IF(AND(AB52&lt;&gt;"",S52=""),"Spatial risk category missing ▲",IF(AND(Q52='G-7 WaterC'' Data'!$G$4,AD52="Yes"),"Alternative Compensation ✓",IF(AND(AD52="Pending",Q52='G-7 WaterC'' Data'!$G$4),"Bespoke compensation must be agreed ▲",IF((Z52+AA52)&gt;=U52,0,U52-Z52-AA52))))),"Check Data ⚠")</f>
        <v/>
      </c>
      <c r="AD52" s="393"/>
      <c r="AE52" s="105"/>
      <c r="AF52" s="104"/>
      <c r="AG52" s="104"/>
      <c r="AH52" s="104"/>
      <c r="AI52" s="54" t="str">
        <f>IF(OR(Q52="",AD52="Yes"),"",IF(Q52='G-1 All Habitats'!$X$9,E52-Y52-X52,"None"))</f>
        <v/>
      </c>
      <c r="AJ52" s="55" t="str">
        <f>IF(Q52="","",IF(Q52='G-1 All Habitats'!$X$9,AI52*G52*I52*L52*N52*P52,"None"))</f>
        <v/>
      </c>
      <c r="AK52" s="30" t="str">
        <f>IFERROR(INDEX('G-7 WaterC'' Data'!$AZ$3:$AZ$7,MATCH(D52,'G-7 WaterC'' Data'!$AY$3:$AY$7,0)),"")</f>
        <v/>
      </c>
      <c r="AL52" s="30">
        <f t="shared" si="7"/>
        <v>0</v>
      </c>
      <c r="AM52" s="107" t="str">
        <f t="shared" si="8"/>
        <v/>
      </c>
      <c r="AN52" s="107" t="str">
        <f t="shared" si="9"/>
        <v/>
      </c>
      <c r="AP52" s="107">
        <v>43</v>
      </c>
      <c r="AR52" s="107" t="str">
        <f t="array" ref="AR52">IFERROR(INDEX($AP$10:$AP$258,MATCH(0,IF(TRUE=$AM$10:$AM$258,COUNTIF($AR$9:$AR51,$AP$10:$AP$258),""),0)),"")</f>
        <v/>
      </c>
      <c r="AS52" s="107" t="str">
        <f t="array" ref="AS52">IFERROR(INDEX($AP$10:$AP$258,MATCH(0,IF(TRUE=$AN$10:$AN$258,COUNTIF($AS$9:$AS51,$AP$10:$AP$258),""),0)),"")</f>
        <v/>
      </c>
      <c r="AT52" s="885" t="str">
        <f>IF(AND(OR(AD52="Yes",AD52="Pending"),Q52='G-7 WaterC'' Data'!$G$4),U52-AA52-Z52,"0")</f>
        <v>0</v>
      </c>
      <c r="AU52" s="30" t="str">
        <f>IF(D52="","",VLOOKUP(D52,'G-7 WaterC'' Data'!B$4:M$8,12,FALSE))</f>
        <v/>
      </c>
      <c r="AV52" s="30" t="str">
        <f t="shared" si="0"/>
        <v/>
      </c>
      <c r="AW52" s="30" t="str">
        <f t="shared" si="10"/>
        <v>No</v>
      </c>
      <c r="BA52" s="555" t="str">
        <f t="shared" si="11"/>
        <v/>
      </c>
    </row>
    <row r="53" spans="3:53" ht="14.5" thickBot="1">
      <c r="C53" s="97">
        <v>44</v>
      </c>
      <c r="D53" s="263"/>
      <c r="E53" s="104"/>
      <c r="F53" s="275" t="str">
        <f>IF(D53="","",VLOOKUP(D53,'G-7 WaterC'' Data'!$B$2:$G$8,2,FALSE))</f>
        <v/>
      </c>
      <c r="G53" s="314" t="str">
        <f>IFERROR(VLOOKUP(F53,'G-7 WaterC'' Data'!$C$4:$D$8,2,FALSE),"")</f>
        <v/>
      </c>
      <c r="H53" s="105"/>
      <c r="I53" s="299" t="str">
        <f>IFERROR(INDEX('G-7 WaterC'' Data'!$H$4:$L$8,MATCH(D53,'G-7 WaterC'' Data'!$B$4:$B$8,0),MATCH(H53,'G-7 WaterC'' Data'!$H$3:$L$3,0)),"")</f>
        <v/>
      </c>
      <c r="J53" s="702"/>
      <c r="K53" s="295" t="str">
        <f>IF(J53="","",IF(VLOOKUP(J53,'G-7 WaterC'' Data'!$AK$4:$AM$9,2,FALSE)=0,"Spatial Data Missing ⚠",VLOOKUP(J53,'G-7 WaterC'' Data'!$AK$4:$AM$6,2,FALSE)))</f>
        <v/>
      </c>
      <c r="L53" s="299" t="str">
        <f>IF(J53="","",IF(VLOOKUP(J53,'G-7 WaterC'' Data'!$AK$4:$AM$9,3,FALSE)=0,"Spatial Data Missing ⚠",VLOOKUP(J53,'G-7 WaterC'' Data'!$AK$4:$AM$6,3,FALSE)))</f>
        <v/>
      </c>
      <c r="M53" s="102"/>
      <c r="N53" s="276" t="str">
        <f>IF(M53="","",IF(AND(M53="N/A - Culvert",D53&lt;&gt;"Culvert"),"Not possible ▲",IF(AND(D53="Culvert",M53&lt;&gt;"N/A - Culvert"),"Not possible ▲",IF(VLOOKUP(M53,'G-7 WaterC'' Data'!$AA$4:$AB$7,2,FALSE)=0,"Spatial Data Missing ⚠",VLOOKUP(M53,'G-7 WaterC'' Data'!$AA$4:$AB$7,2,FALSE)))))</f>
        <v/>
      </c>
      <c r="O53" s="56"/>
      <c r="P53" s="276" t="str">
        <f>IF(O53="","",IF(AND(O53="N/A - Culvert",D53&lt;&gt;"Culvert"),"Not possible ▲",IF(AND(D53="Culvert",O53&lt;&gt;"N/A - Culvert"),"Not possible ▲",IF(VLOOKUP(O53,'G-7 WaterC'' Data'!$AD$4:$AE$14,2,FALSE)=0,"Spatial Data Missing ⚠",VLOOKUP(O53,'G-7 WaterC'' Data'!$AD$4:$AE$14,2,FALSE)))))</f>
        <v/>
      </c>
      <c r="Q53" s="282" t="str">
        <f>IF(D53="","",VLOOKUP(D53,'G-7 WaterC'' Data'!$B$4:$G$8,6,FALSE))</f>
        <v/>
      </c>
      <c r="R53" s="289" t="str">
        <f t="shared" si="1"/>
        <v xml:space="preserve"> </v>
      </c>
      <c r="S53" s="393"/>
      <c r="T53" s="281" t="str">
        <f>IF(S53="","",IF(VLOOKUP(S53,'G-7 WaterC'' Data'!$AO$4:$BO$7,2,FALSE)=0,"Spatial Data Missing ⚠",VLOOKUP(S53,'G-7 WaterC'' Data'!$AO$4:$BO$7,2,FALSE)))</f>
        <v/>
      </c>
      <c r="U53" s="289" t="str">
        <f t="shared" si="2"/>
        <v xml:space="preserve"> </v>
      </c>
      <c r="V53" s="694" t="str">
        <f t="shared" si="3"/>
        <v/>
      </c>
      <c r="W53" s="32"/>
      <c r="X53" s="101"/>
      <c r="Y53" s="108"/>
      <c r="Z53" s="287" t="str">
        <f t="shared" si="4"/>
        <v/>
      </c>
      <c r="AA53" s="287" t="str">
        <f t="shared" si="5"/>
        <v/>
      </c>
      <c r="AB53" s="287" t="str">
        <f t="shared" si="6"/>
        <v/>
      </c>
      <c r="AC53" s="491" t="str">
        <f>IFERROR(IF(OR(E53="",R53=""),"",IF(AND(AB53&lt;&gt;"",S53=""),"Spatial risk category missing ▲",IF(AND(Q53='G-7 WaterC'' Data'!$G$4,AD53="Yes"),"Alternative Compensation ✓",IF(AND(AD53="Pending",Q53='G-7 WaterC'' Data'!$G$4),"Bespoke compensation must be agreed ▲",IF((Z53+AA53)&gt;=U53,0,U53-Z53-AA53))))),"Check Data ⚠")</f>
        <v/>
      </c>
      <c r="AD53" s="393"/>
      <c r="AE53" s="105"/>
      <c r="AF53" s="104"/>
      <c r="AG53" s="104"/>
      <c r="AH53" s="104"/>
      <c r="AI53" s="54" t="str">
        <f>IF(OR(Q53="",AD53="Yes"),"",IF(Q53='G-1 All Habitats'!$X$9,E53-Y53-X53,"None"))</f>
        <v/>
      </c>
      <c r="AJ53" s="55" t="str">
        <f>IF(Q53="","",IF(Q53='G-1 All Habitats'!$X$9,AI53*G53*I53*L53*N53*P53,"None"))</f>
        <v/>
      </c>
      <c r="AK53" s="30" t="str">
        <f>IFERROR(INDEX('G-7 WaterC'' Data'!$AZ$3:$AZ$7,MATCH(D53,'G-7 WaterC'' Data'!$AY$3:$AY$7,0)),"")</f>
        <v/>
      </c>
      <c r="AL53" s="30">
        <f t="shared" si="7"/>
        <v>0</v>
      </c>
      <c r="AM53" s="107" t="str">
        <f t="shared" si="8"/>
        <v/>
      </c>
      <c r="AN53" s="107" t="str">
        <f t="shared" si="9"/>
        <v/>
      </c>
      <c r="AP53" s="107">
        <v>44</v>
      </c>
      <c r="AR53" s="107" t="str">
        <f t="array" ref="AR53">IFERROR(INDEX($AP$10:$AP$258,MATCH(0,IF(TRUE=$AM$10:$AM$258,COUNTIF($AR$9:$AR52,$AP$10:$AP$258),""),0)),"")</f>
        <v/>
      </c>
      <c r="AS53" s="107" t="str">
        <f t="array" ref="AS53">IFERROR(INDEX($AP$10:$AP$258,MATCH(0,IF(TRUE=$AN$10:$AN$258,COUNTIF($AS$9:$AS52,$AP$10:$AP$258),""),0)),"")</f>
        <v/>
      </c>
      <c r="AT53" s="885" t="str">
        <f>IF(AND(OR(AD53="Yes",AD53="Pending"),Q53='G-7 WaterC'' Data'!$G$4),U53-AA53-Z53,"0")</f>
        <v>0</v>
      </c>
      <c r="AU53" s="30" t="str">
        <f>IF(D53="","",VLOOKUP(D53,'G-7 WaterC'' Data'!B$4:M$8,12,FALSE))</f>
        <v/>
      </c>
      <c r="AV53" s="30" t="str">
        <f t="shared" si="0"/>
        <v/>
      </c>
      <c r="AW53" s="30" t="str">
        <f t="shared" si="10"/>
        <v>No</v>
      </c>
      <c r="BA53" s="555" t="str">
        <f t="shared" si="11"/>
        <v/>
      </c>
    </row>
    <row r="54" spans="3:53" ht="14.5" thickBot="1">
      <c r="C54" s="97">
        <v>45</v>
      </c>
      <c r="D54" s="263"/>
      <c r="E54" s="104"/>
      <c r="F54" s="275" t="str">
        <f>IF(D54="","",VLOOKUP(D54,'G-7 WaterC'' Data'!$B$2:$G$8,2,FALSE))</f>
        <v/>
      </c>
      <c r="G54" s="314" t="str">
        <f>IFERROR(VLOOKUP(F54,'G-7 WaterC'' Data'!$C$4:$D$8,2,FALSE),"")</f>
        <v/>
      </c>
      <c r="H54" s="105"/>
      <c r="I54" s="299" t="str">
        <f>IFERROR(INDEX('G-7 WaterC'' Data'!$H$4:$L$8,MATCH(D54,'G-7 WaterC'' Data'!$B$4:$B$8,0),MATCH(H54,'G-7 WaterC'' Data'!$H$3:$L$3,0)),"")</f>
        <v/>
      </c>
      <c r="J54" s="702"/>
      <c r="K54" s="295" t="str">
        <f>IF(J54="","",IF(VLOOKUP(J54,'G-7 WaterC'' Data'!$AK$4:$AM$9,2,FALSE)=0,"Spatial Data Missing ⚠",VLOOKUP(J54,'G-7 WaterC'' Data'!$AK$4:$AM$6,2,FALSE)))</f>
        <v/>
      </c>
      <c r="L54" s="299" t="str">
        <f>IF(J54="","",IF(VLOOKUP(J54,'G-7 WaterC'' Data'!$AK$4:$AM$9,3,FALSE)=0,"Spatial Data Missing ⚠",VLOOKUP(J54,'G-7 WaterC'' Data'!$AK$4:$AM$6,3,FALSE)))</f>
        <v/>
      </c>
      <c r="M54" s="102"/>
      <c r="N54" s="276" t="str">
        <f>IF(M54="","",IF(AND(M54="N/A - Culvert",D54&lt;&gt;"Culvert"),"Not possible ▲",IF(AND(D54="Culvert",M54&lt;&gt;"N/A - Culvert"),"Not possible ▲",IF(VLOOKUP(M54,'G-7 WaterC'' Data'!$AA$4:$AB$7,2,FALSE)=0,"Spatial Data Missing ⚠",VLOOKUP(M54,'G-7 WaterC'' Data'!$AA$4:$AB$7,2,FALSE)))))</f>
        <v/>
      </c>
      <c r="O54" s="56"/>
      <c r="P54" s="276" t="str">
        <f>IF(O54="","",IF(AND(O54="N/A - Culvert",D54&lt;&gt;"Culvert"),"Not possible ▲",IF(AND(D54="Culvert",O54&lt;&gt;"N/A - Culvert"),"Not possible ▲",IF(VLOOKUP(O54,'G-7 WaterC'' Data'!$AD$4:$AE$14,2,FALSE)=0,"Spatial Data Missing ⚠",VLOOKUP(O54,'G-7 WaterC'' Data'!$AD$4:$AE$14,2,FALSE)))))</f>
        <v/>
      </c>
      <c r="Q54" s="282" t="str">
        <f>IF(D54="","",VLOOKUP(D54,'G-7 WaterC'' Data'!$B$4:$G$8,6,FALSE))</f>
        <v/>
      </c>
      <c r="R54" s="289" t="str">
        <f t="shared" si="1"/>
        <v xml:space="preserve"> </v>
      </c>
      <c r="S54" s="393"/>
      <c r="T54" s="281" t="str">
        <f>IF(S54="","",IF(VLOOKUP(S54,'G-7 WaterC'' Data'!$AO$4:$BO$7,2,FALSE)=0,"Spatial Data Missing ⚠",VLOOKUP(S54,'G-7 WaterC'' Data'!$AO$4:$BO$7,2,FALSE)))</f>
        <v/>
      </c>
      <c r="U54" s="289" t="str">
        <f t="shared" si="2"/>
        <v xml:space="preserve"> </v>
      </c>
      <c r="V54" s="694" t="str">
        <f t="shared" si="3"/>
        <v/>
      </c>
      <c r="W54" s="32"/>
      <c r="X54" s="101"/>
      <c r="Y54" s="108"/>
      <c r="Z54" s="287" t="str">
        <f t="shared" si="4"/>
        <v/>
      </c>
      <c r="AA54" s="287" t="str">
        <f t="shared" si="5"/>
        <v/>
      </c>
      <c r="AB54" s="287" t="str">
        <f t="shared" si="6"/>
        <v/>
      </c>
      <c r="AC54" s="491" t="str">
        <f>IFERROR(IF(OR(E54="",R54=""),"",IF(AND(AB54&lt;&gt;"",S54=""),"Spatial risk category missing ▲",IF(AND(Q54='G-7 WaterC'' Data'!$G$4,AD54="Yes"),"Alternative Compensation ✓",IF(AND(AD54="Pending",Q54='G-7 WaterC'' Data'!$G$4),"Bespoke compensation must be agreed ▲",IF((Z54+AA54)&gt;=U54,0,U54-Z54-AA54))))),"Check Data ⚠")</f>
        <v/>
      </c>
      <c r="AD54" s="393"/>
      <c r="AE54" s="105"/>
      <c r="AF54" s="104"/>
      <c r="AG54" s="104"/>
      <c r="AH54" s="104"/>
      <c r="AI54" s="54" t="str">
        <f>IF(OR(Q54="",AD54="Yes"),"",IF(Q54='G-1 All Habitats'!$X$9,E54-Y54-X54,"None"))</f>
        <v/>
      </c>
      <c r="AJ54" s="55" t="str">
        <f>IF(Q54="","",IF(Q54='G-1 All Habitats'!$X$9,AI54*G54*I54*L54*N54*P54,"None"))</f>
        <v/>
      </c>
      <c r="AK54" s="30" t="str">
        <f>IFERROR(INDEX('G-7 WaterC'' Data'!$AZ$3:$AZ$7,MATCH(D54,'G-7 WaterC'' Data'!$AY$3:$AY$7,0)),"")</f>
        <v/>
      </c>
      <c r="AL54" s="30">
        <f t="shared" si="7"/>
        <v>0</v>
      </c>
      <c r="AM54" s="107" t="str">
        <f t="shared" si="8"/>
        <v/>
      </c>
      <c r="AN54" s="107" t="str">
        <f t="shared" si="9"/>
        <v/>
      </c>
      <c r="AP54" s="107">
        <v>45</v>
      </c>
      <c r="AR54" s="107" t="str">
        <f t="array" ref="AR54">IFERROR(INDEX($AP$10:$AP$258,MATCH(0,IF(TRUE=$AM$10:$AM$258,COUNTIF($AR$9:$AR53,$AP$10:$AP$258),""),0)),"")</f>
        <v/>
      </c>
      <c r="AS54" s="107" t="str">
        <f t="array" ref="AS54">IFERROR(INDEX($AP$10:$AP$258,MATCH(0,IF(TRUE=$AN$10:$AN$258,COUNTIF($AS$9:$AS53,$AP$10:$AP$258),""),0)),"")</f>
        <v/>
      </c>
      <c r="AT54" s="885" t="str">
        <f>IF(AND(OR(AD54="Yes",AD54="Pending"),Q54='G-7 WaterC'' Data'!$G$4),U54-AA54-Z54,"0")</f>
        <v>0</v>
      </c>
      <c r="AU54" s="30" t="str">
        <f>IF(D54="","",VLOOKUP(D54,'G-7 WaterC'' Data'!B$4:M$8,12,FALSE))</f>
        <v/>
      </c>
      <c r="AV54" s="30" t="str">
        <f t="shared" si="0"/>
        <v/>
      </c>
      <c r="AW54" s="30" t="str">
        <f t="shared" si="10"/>
        <v>No</v>
      </c>
      <c r="BA54" s="555" t="str">
        <f t="shared" si="11"/>
        <v/>
      </c>
    </row>
    <row r="55" spans="3:53" ht="14.5" thickBot="1">
      <c r="C55" s="97">
        <v>46</v>
      </c>
      <c r="D55" s="263"/>
      <c r="E55" s="104"/>
      <c r="F55" s="275" t="str">
        <f>IF(D55="","",VLOOKUP(D55,'G-7 WaterC'' Data'!$B$2:$G$8,2,FALSE))</f>
        <v/>
      </c>
      <c r="G55" s="314" t="str">
        <f>IFERROR(VLOOKUP(F55,'G-7 WaterC'' Data'!$C$4:$D$8,2,FALSE),"")</f>
        <v/>
      </c>
      <c r="H55" s="105"/>
      <c r="I55" s="299" t="str">
        <f>IFERROR(INDEX('G-7 WaterC'' Data'!$H$4:$L$8,MATCH(D55,'G-7 WaterC'' Data'!$B$4:$B$8,0),MATCH(H55,'G-7 WaterC'' Data'!$H$3:$L$3,0)),"")</f>
        <v/>
      </c>
      <c r="J55" s="702"/>
      <c r="K55" s="295" t="str">
        <f>IF(J55="","",IF(VLOOKUP(J55,'G-7 WaterC'' Data'!$AK$4:$AM$9,2,FALSE)=0,"Spatial Data Missing ⚠",VLOOKUP(J55,'G-7 WaterC'' Data'!$AK$4:$AM$6,2,FALSE)))</f>
        <v/>
      </c>
      <c r="L55" s="299" t="str">
        <f>IF(J55="","",IF(VLOOKUP(J55,'G-7 WaterC'' Data'!$AK$4:$AM$9,3,FALSE)=0,"Spatial Data Missing ⚠",VLOOKUP(J55,'G-7 WaterC'' Data'!$AK$4:$AM$6,3,FALSE)))</f>
        <v/>
      </c>
      <c r="M55" s="102"/>
      <c r="N55" s="276" t="str">
        <f>IF(M55="","",IF(AND(M55="N/A - Culvert",D55&lt;&gt;"Culvert"),"Not possible ▲",IF(AND(D55="Culvert",M55&lt;&gt;"N/A - Culvert"),"Not possible ▲",IF(VLOOKUP(M55,'G-7 WaterC'' Data'!$AA$4:$AB$7,2,FALSE)=0,"Spatial Data Missing ⚠",VLOOKUP(M55,'G-7 WaterC'' Data'!$AA$4:$AB$7,2,FALSE)))))</f>
        <v/>
      </c>
      <c r="O55" s="56"/>
      <c r="P55" s="276" t="str">
        <f>IF(O55="","",IF(AND(O55="N/A - Culvert",D55&lt;&gt;"Culvert"),"Not possible ▲",IF(AND(D55="Culvert",O55&lt;&gt;"N/A - Culvert"),"Not possible ▲",IF(VLOOKUP(O55,'G-7 WaterC'' Data'!$AD$4:$AE$14,2,FALSE)=0,"Spatial Data Missing ⚠",VLOOKUP(O55,'G-7 WaterC'' Data'!$AD$4:$AE$14,2,FALSE)))))</f>
        <v/>
      </c>
      <c r="Q55" s="282" t="str">
        <f>IF(D55="","",VLOOKUP(D55,'G-7 WaterC'' Data'!$B$4:$G$8,6,FALSE))</f>
        <v/>
      </c>
      <c r="R55" s="289" t="str">
        <f t="shared" si="1"/>
        <v xml:space="preserve"> </v>
      </c>
      <c r="S55" s="393"/>
      <c r="T55" s="281" t="str">
        <f>IF(S55="","",IF(VLOOKUP(S55,'G-7 WaterC'' Data'!$AO$4:$BO$7,2,FALSE)=0,"Spatial Data Missing ⚠",VLOOKUP(S55,'G-7 WaterC'' Data'!$AO$4:$BO$7,2,FALSE)))</f>
        <v/>
      </c>
      <c r="U55" s="289" t="str">
        <f t="shared" si="2"/>
        <v xml:space="preserve"> </v>
      </c>
      <c r="V55" s="694" t="str">
        <f t="shared" si="3"/>
        <v/>
      </c>
      <c r="W55" s="32"/>
      <c r="X55" s="101"/>
      <c r="Y55" s="108"/>
      <c r="Z55" s="287" t="str">
        <f t="shared" si="4"/>
        <v/>
      </c>
      <c r="AA55" s="287" t="str">
        <f t="shared" si="5"/>
        <v/>
      </c>
      <c r="AB55" s="287" t="str">
        <f t="shared" si="6"/>
        <v/>
      </c>
      <c r="AC55" s="491" t="str">
        <f>IFERROR(IF(OR(E55="",R55=""),"",IF(AND(AB55&lt;&gt;"",S55=""),"Spatial risk category missing ▲",IF(AND(Q55='G-7 WaterC'' Data'!$G$4,AD55="Yes"),"Alternative Compensation ✓",IF(AND(AD55="Pending",Q55='G-7 WaterC'' Data'!$G$4),"Bespoke compensation must be agreed ▲",IF((Z55+AA55)&gt;=U55,0,U55-Z55-AA55))))),"Check Data ⚠")</f>
        <v/>
      </c>
      <c r="AD55" s="393"/>
      <c r="AE55" s="105"/>
      <c r="AF55" s="104"/>
      <c r="AG55" s="104"/>
      <c r="AH55" s="104"/>
      <c r="AI55" s="54" t="str">
        <f>IF(OR(Q55="",AD55="Yes"),"",IF(Q55='G-1 All Habitats'!$X$9,E55-Y55-X55,"None"))</f>
        <v/>
      </c>
      <c r="AJ55" s="55" t="str">
        <f>IF(Q55="","",IF(Q55='G-1 All Habitats'!$X$9,AI55*G55*I55*L55*N55*P55,"None"))</f>
        <v/>
      </c>
      <c r="AK55" s="30" t="str">
        <f>IFERROR(INDEX('G-7 WaterC'' Data'!$AZ$3:$AZ$7,MATCH(D55,'G-7 WaterC'' Data'!$AY$3:$AY$7,0)),"")</f>
        <v/>
      </c>
      <c r="AL55" s="30">
        <f t="shared" si="7"/>
        <v>0</v>
      </c>
      <c r="AM55" s="107" t="str">
        <f t="shared" si="8"/>
        <v/>
      </c>
      <c r="AN55" s="107" t="str">
        <f t="shared" si="9"/>
        <v/>
      </c>
      <c r="AP55" s="107">
        <v>46</v>
      </c>
      <c r="AR55" s="107" t="str">
        <f t="array" ref="AR55">IFERROR(INDEX($AP$10:$AP$258,MATCH(0,IF(TRUE=$AM$10:$AM$258,COUNTIF($AR$9:$AR54,$AP$10:$AP$258),""),0)),"")</f>
        <v/>
      </c>
      <c r="AS55" s="107" t="str">
        <f t="array" ref="AS55">IFERROR(INDEX($AP$10:$AP$258,MATCH(0,IF(TRUE=$AN$10:$AN$258,COUNTIF($AS$9:$AS54,$AP$10:$AP$258),""),0)),"")</f>
        <v/>
      </c>
      <c r="AT55" s="885" t="str">
        <f>IF(AND(OR(AD55="Yes",AD55="Pending"),Q55='G-7 WaterC'' Data'!$G$4),U55-AA55-Z55,"0")</f>
        <v>0</v>
      </c>
      <c r="AU55" s="30" t="str">
        <f>IF(D55="","",VLOOKUP(D55,'G-7 WaterC'' Data'!B$4:M$8,12,FALSE))</f>
        <v/>
      </c>
      <c r="AV55" s="30" t="str">
        <f t="shared" si="0"/>
        <v/>
      </c>
      <c r="AW55" s="30" t="str">
        <f t="shared" si="10"/>
        <v>No</v>
      </c>
      <c r="BA55" s="555" t="str">
        <f t="shared" si="11"/>
        <v/>
      </c>
    </row>
    <row r="56" spans="3:53" ht="14.5" thickBot="1">
      <c r="C56" s="97">
        <v>47</v>
      </c>
      <c r="D56" s="263"/>
      <c r="E56" s="104"/>
      <c r="F56" s="275" t="str">
        <f>IF(D56="","",VLOOKUP(D56,'G-7 WaterC'' Data'!$B$2:$G$8,2,FALSE))</f>
        <v/>
      </c>
      <c r="G56" s="314" t="str">
        <f>IFERROR(VLOOKUP(F56,'G-7 WaterC'' Data'!$C$4:$D$8,2,FALSE),"")</f>
        <v/>
      </c>
      <c r="H56" s="105"/>
      <c r="I56" s="299" t="str">
        <f>IFERROR(INDEX('G-7 WaterC'' Data'!$H$4:$L$8,MATCH(D56,'G-7 WaterC'' Data'!$B$4:$B$8,0),MATCH(H56,'G-7 WaterC'' Data'!$H$3:$L$3,0)),"")</f>
        <v/>
      </c>
      <c r="J56" s="702"/>
      <c r="K56" s="295" t="str">
        <f>IF(J56="","",IF(VLOOKUP(J56,'G-7 WaterC'' Data'!$AK$4:$AM$9,2,FALSE)=0,"Spatial Data Missing ⚠",VLOOKUP(J56,'G-7 WaterC'' Data'!$AK$4:$AM$6,2,FALSE)))</f>
        <v/>
      </c>
      <c r="L56" s="299" t="str">
        <f>IF(J56="","",IF(VLOOKUP(J56,'G-7 WaterC'' Data'!$AK$4:$AM$9,3,FALSE)=0,"Spatial Data Missing ⚠",VLOOKUP(J56,'G-7 WaterC'' Data'!$AK$4:$AM$6,3,FALSE)))</f>
        <v/>
      </c>
      <c r="M56" s="102"/>
      <c r="N56" s="276" t="str">
        <f>IF(M56="","",IF(AND(M56="N/A - Culvert",D56&lt;&gt;"Culvert"),"Not possible ▲",IF(AND(D56="Culvert",M56&lt;&gt;"N/A - Culvert"),"Not possible ▲",IF(VLOOKUP(M56,'G-7 WaterC'' Data'!$AA$4:$AB$7,2,FALSE)=0,"Spatial Data Missing ⚠",VLOOKUP(M56,'G-7 WaterC'' Data'!$AA$4:$AB$7,2,FALSE)))))</f>
        <v/>
      </c>
      <c r="O56" s="56"/>
      <c r="P56" s="276" t="str">
        <f>IF(O56="","",IF(AND(O56="N/A - Culvert",D56&lt;&gt;"Culvert"),"Not possible ▲",IF(AND(D56="Culvert",O56&lt;&gt;"N/A - Culvert"),"Not possible ▲",IF(VLOOKUP(O56,'G-7 WaterC'' Data'!$AD$4:$AE$14,2,FALSE)=0,"Spatial Data Missing ⚠",VLOOKUP(O56,'G-7 WaterC'' Data'!$AD$4:$AE$14,2,FALSE)))))</f>
        <v/>
      </c>
      <c r="Q56" s="282" t="str">
        <f>IF(D56="","",VLOOKUP(D56,'G-7 WaterC'' Data'!$B$4:$G$8,6,FALSE))</f>
        <v/>
      </c>
      <c r="R56" s="289" t="str">
        <f t="shared" si="1"/>
        <v xml:space="preserve"> </v>
      </c>
      <c r="S56" s="393"/>
      <c r="T56" s="281" t="str">
        <f>IF(S56="","",IF(VLOOKUP(S56,'G-7 WaterC'' Data'!$AO$4:$BO$7,2,FALSE)=0,"Spatial Data Missing ⚠",VLOOKUP(S56,'G-7 WaterC'' Data'!$AO$4:$BO$7,2,FALSE)))</f>
        <v/>
      </c>
      <c r="U56" s="289" t="str">
        <f t="shared" si="2"/>
        <v xml:space="preserve"> </v>
      </c>
      <c r="V56" s="694" t="str">
        <f t="shared" si="3"/>
        <v/>
      </c>
      <c r="W56" s="32"/>
      <c r="X56" s="101"/>
      <c r="Y56" s="108"/>
      <c r="Z56" s="287" t="str">
        <f t="shared" si="4"/>
        <v/>
      </c>
      <c r="AA56" s="287" t="str">
        <f t="shared" si="5"/>
        <v/>
      </c>
      <c r="AB56" s="287" t="str">
        <f t="shared" si="6"/>
        <v/>
      </c>
      <c r="AC56" s="491" t="str">
        <f>IFERROR(IF(OR(E56="",R56=""),"",IF(AND(AB56&lt;&gt;"",S56=""),"Spatial risk category missing ▲",IF(AND(Q56='G-7 WaterC'' Data'!$G$4,AD56="Yes"),"Alternative Compensation ✓",IF(AND(AD56="Pending",Q56='G-7 WaterC'' Data'!$G$4),"Bespoke compensation must be agreed ▲",IF((Z56+AA56)&gt;=U56,0,U56-Z56-AA56))))),"Check Data ⚠")</f>
        <v/>
      </c>
      <c r="AD56" s="393"/>
      <c r="AE56" s="105"/>
      <c r="AF56" s="104"/>
      <c r="AG56" s="104"/>
      <c r="AH56" s="104"/>
      <c r="AI56" s="54" t="str">
        <f>IF(OR(Q56="",AD56="Yes"),"",IF(Q56='G-1 All Habitats'!$X$9,E56-Y56-X56,"None"))</f>
        <v/>
      </c>
      <c r="AJ56" s="55" t="str">
        <f>IF(Q56="","",IF(Q56='G-1 All Habitats'!$X$9,AI56*G56*I56*L56*N56*P56,"None"))</f>
        <v/>
      </c>
      <c r="AK56" s="30" t="str">
        <f>IFERROR(INDEX('G-7 WaterC'' Data'!$AZ$3:$AZ$7,MATCH(D56,'G-7 WaterC'' Data'!$AY$3:$AY$7,0)),"")</f>
        <v/>
      </c>
      <c r="AL56" s="30">
        <f t="shared" si="7"/>
        <v>0</v>
      </c>
      <c r="AM56" s="107" t="str">
        <f t="shared" si="8"/>
        <v/>
      </c>
      <c r="AN56" s="107" t="str">
        <f t="shared" si="9"/>
        <v/>
      </c>
      <c r="AP56" s="107">
        <v>47</v>
      </c>
      <c r="AR56" s="107" t="str">
        <f t="array" ref="AR56">IFERROR(INDEX($AP$10:$AP$258,MATCH(0,IF(TRUE=$AM$10:$AM$258,COUNTIF($AR$9:$AR55,$AP$10:$AP$258),""),0)),"")</f>
        <v/>
      </c>
      <c r="AS56" s="107" t="str">
        <f t="array" ref="AS56">IFERROR(INDEX($AP$10:$AP$258,MATCH(0,IF(TRUE=$AN$10:$AN$258,COUNTIF($AS$9:$AS55,$AP$10:$AP$258),""),0)),"")</f>
        <v/>
      </c>
      <c r="AT56" s="885" t="str">
        <f>IF(AND(OR(AD56="Yes",AD56="Pending"),Q56='G-7 WaterC'' Data'!$G$4),U56-AA56-Z56,"0")</f>
        <v>0</v>
      </c>
      <c r="AU56" s="30" t="str">
        <f>IF(D56="","",VLOOKUP(D56,'G-7 WaterC'' Data'!B$4:M$8,12,FALSE))</f>
        <v/>
      </c>
      <c r="AV56" s="30" t="str">
        <f t="shared" si="0"/>
        <v/>
      </c>
      <c r="AW56" s="30" t="str">
        <f t="shared" si="10"/>
        <v>No</v>
      </c>
      <c r="BA56" s="555" t="str">
        <f t="shared" si="11"/>
        <v/>
      </c>
    </row>
    <row r="57" spans="3:53" ht="14.5" thickBot="1">
      <c r="C57" s="97">
        <v>48</v>
      </c>
      <c r="D57" s="263"/>
      <c r="E57" s="104"/>
      <c r="F57" s="275" t="str">
        <f>IF(D57="","",VLOOKUP(D57,'G-7 WaterC'' Data'!$B$2:$G$8,2,FALSE))</f>
        <v/>
      </c>
      <c r="G57" s="314" t="str">
        <f>IFERROR(VLOOKUP(F57,'G-7 WaterC'' Data'!$C$4:$D$8,2,FALSE),"")</f>
        <v/>
      </c>
      <c r="H57" s="105"/>
      <c r="I57" s="299" t="str">
        <f>IFERROR(INDEX('G-7 WaterC'' Data'!$H$4:$L$8,MATCH(D57,'G-7 WaterC'' Data'!$B$4:$B$8,0),MATCH(H57,'G-7 WaterC'' Data'!$H$3:$L$3,0)),"")</f>
        <v/>
      </c>
      <c r="J57" s="702"/>
      <c r="K57" s="295" t="str">
        <f>IF(J57="","",IF(VLOOKUP(J57,'G-7 WaterC'' Data'!$AK$4:$AM$9,2,FALSE)=0,"Spatial Data Missing ⚠",VLOOKUP(J57,'G-7 WaterC'' Data'!$AK$4:$AM$6,2,FALSE)))</f>
        <v/>
      </c>
      <c r="L57" s="299" t="str">
        <f>IF(J57="","",IF(VLOOKUP(J57,'G-7 WaterC'' Data'!$AK$4:$AM$9,3,FALSE)=0,"Spatial Data Missing ⚠",VLOOKUP(J57,'G-7 WaterC'' Data'!$AK$4:$AM$6,3,FALSE)))</f>
        <v/>
      </c>
      <c r="M57" s="102"/>
      <c r="N57" s="276" t="str">
        <f>IF(M57="","",IF(AND(M57="N/A - Culvert",D57&lt;&gt;"Culvert"),"Not possible ▲",IF(AND(D57="Culvert",M57&lt;&gt;"N/A - Culvert"),"Not possible ▲",IF(VLOOKUP(M57,'G-7 WaterC'' Data'!$AA$4:$AB$7,2,FALSE)=0,"Spatial Data Missing ⚠",VLOOKUP(M57,'G-7 WaterC'' Data'!$AA$4:$AB$7,2,FALSE)))))</f>
        <v/>
      </c>
      <c r="O57" s="56"/>
      <c r="P57" s="276" t="str">
        <f>IF(O57="","",IF(AND(O57="N/A - Culvert",D57&lt;&gt;"Culvert"),"Not possible ▲",IF(AND(D57="Culvert",O57&lt;&gt;"N/A - Culvert"),"Not possible ▲",IF(VLOOKUP(O57,'G-7 WaterC'' Data'!$AD$4:$AE$14,2,FALSE)=0,"Spatial Data Missing ⚠",VLOOKUP(O57,'G-7 WaterC'' Data'!$AD$4:$AE$14,2,FALSE)))))</f>
        <v/>
      </c>
      <c r="Q57" s="282" t="str">
        <f>IF(D57="","",VLOOKUP(D57,'G-7 WaterC'' Data'!$B$4:$G$8,6,FALSE))</f>
        <v/>
      </c>
      <c r="R57" s="289" t="str">
        <f t="shared" si="1"/>
        <v xml:space="preserve"> </v>
      </c>
      <c r="S57" s="393"/>
      <c r="T57" s="281" t="str">
        <f>IF(S57="","",IF(VLOOKUP(S57,'G-7 WaterC'' Data'!$AO$4:$BO$7,2,FALSE)=0,"Spatial Data Missing ⚠",VLOOKUP(S57,'G-7 WaterC'' Data'!$AO$4:$BO$7,2,FALSE)))</f>
        <v/>
      </c>
      <c r="U57" s="289" t="str">
        <f t="shared" si="2"/>
        <v xml:space="preserve"> </v>
      </c>
      <c r="V57" s="694" t="str">
        <f t="shared" si="3"/>
        <v/>
      </c>
      <c r="W57" s="32"/>
      <c r="X57" s="101"/>
      <c r="Y57" s="108"/>
      <c r="Z57" s="287" t="str">
        <f t="shared" si="4"/>
        <v/>
      </c>
      <c r="AA57" s="287" t="str">
        <f t="shared" si="5"/>
        <v/>
      </c>
      <c r="AB57" s="287" t="str">
        <f t="shared" si="6"/>
        <v/>
      </c>
      <c r="AC57" s="491" t="str">
        <f>IFERROR(IF(OR(E57="",R57=""),"",IF(AND(AB57&lt;&gt;"",S57=""),"Spatial risk category missing ▲",IF(AND(Q57='G-7 WaterC'' Data'!$G$4,AD57="Yes"),"Alternative Compensation ✓",IF(AND(AD57="Pending",Q57='G-7 WaterC'' Data'!$G$4),"Bespoke compensation must be agreed ▲",IF((Z57+AA57)&gt;=U57,0,U57-Z57-AA57))))),"Check Data ⚠")</f>
        <v/>
      </c>
      <c r="AD57" s="393"/>
      <c r="AE57" s="105"/>
      <c r="AF57" s="104"/>
      <c r="AG57" s="104"/>
      <c r="AH57" s="104"/>
      <c r="AI57" s="54" t="str">
        <f>IF(OR(Q57="",AD57="Yes"),"",IF(Q57='G-1 All Habitats'!$X$9,E57-Y57-X57,"None"))</f>
        <v/>
      </c>
      <c r="AJ57" s="55" t="str">
        <f>IF(Q57="","",IF(Q57='G-1 All Habitats'!$X$9,AI57*G57*I57*L57*N57*P57,"None"))</f>
        <v/>
      </c>
      <c r="AK57" s="30" t="str">
        <f>IFERROR(INDEX('G-7 WaterC'' Data'!$AZ$3:$AZ$7,MATCH(D57,'G-7 WaterC'' Data'!$AY$3:$AY$7,0)),"")</f>
        <v/>
      </c>
      <c r="AL57" s="30">
        <f t="shared" si="7"/>
        <v>0</v>
      </c>
      <c r="AM57" s="107" t="str">
        <f t="shared" si="8"/>
        <v/>
      </c>
      <c r="AN57" s="107" t="str">
        <f t="shared" si="9"/>
        <v/>
      </c>
      <c r="AP57" s="107">
        <v>48</v>
      </c>
      <c r="AR57" s="107" t="str">
        <f t="array" ref="AR57">IFERROR(INDEX($AP$10:$AP$258,MATCH(0,IF(TRUE=$AM$10:$AM$258,COUNTIF($AR$9:$AR56,$AP$10:$AP$258),""),0)),"")</f>
        <v/>
      </c>
      <c r="AS57" s="107" t="str">
        <f t="array" ref="AS57">IFERROR(INDEX($AP$10:$AP$258,MATCH(0,IF(TRUE=$AN$10:$AN$258,COUNTIF($AS$9:$AS56,$AP$10:$AP$258),""),0)),"")</f>
        <v/>
      </c>
      <c r="AT57" s="885" t="str">
        <f>IF(AND(OR(AD57="Yes",AD57="Pending"),Q57='G-7 WaterC'' Data'!$G$4),U57-AA57-Z57,"0")</f>
        <v>0</v>
      </c>
      <c r="AU57" s="30" t="str">
        <f>IF(D57="","",VLOOKUP(D57,'G-7 WaterC'' Data'!B$4:M$8,12,FALSE))</f>
        <v/>
      </c>
      <c r="AV57" s="30" t="str">
        <f t="shared" si="0"/>
        <v/>
      </c>
      <c r="AW57" s="30" t="str">
        <f t="shared" si="10"/>
        <v>No</v>
      </c>
      <c r="BA57" s="555" t="str">
        <f t="shared" si="11"/>
        <v/>
      </c>
    </row>
    <row r="58" spans="3:53" ht="14.5" thickBot="1">
      <c r="C58" s="97">
        <v>49</v>
      </c>
      <c r="D58" s="263"/>
      <c r="E58" s="104"/>
      <c r="F58" s="275" t="str">
        <f>IF(D58="","",VLOOKUP(D58,'G-7 WaterC'' Data'!$B$2:$G$8,2,FALSE))</f>
        <v/>
      </c>
      <c r="G58" s="314" t="str">
        <f>IFERROR(VLOOKUP(F58,'G-7 WaterC'' Data'!$C$4:$D$8,2,FALSE),"")</f>
        <v/>
      </c>
      <c r="H58" s="105"/>
      <c r="I58" s="299" t="str">
        <f>IFERROR(INDEX('G-7 WaterC'' Data'!$H$4:$L$8,MATCH(D58,'G-7 WaterC'' Data'!$B$4:$B$8,0),MATCH(H58,'G-7 WaterC'' Data'!$H$3:$L$3,0)),"")</f>
        <v/>
      </c>
      <c r="J58" s="702"/>
      <c r="K58" s="295" t="str">
        <f>IF(J58="","",IF(VLOOKUP(J58,'G-7 WaterC'' Data'!$AK$4:$AM$9,2,FALSE)=0,"Spatial Data Missing ⚠",VLOOKUP(J58,'G-7 WaterC'' Data'!$AK$4:$AM$6,2,FALSE)))</f>
        <v/>
      </c>
      <c r="L58" s="299" t="str">
        <f>IF(J58="","",IF(VLOOKUP(J58,'G-7 WaterC'' Data'!$AK$4:$AM$9,3,FALSE)=0,"Spatial Data Missing ⚠",VLOOKUP(J58,'G-7 WaterC'' Data'!$AK$4:$AM$6,3,FALSE)))</f>
        <v/>
      </c>
      <c r="M58" s="102"/>
      <c r="N58" s="276" t="str">
        <f>IF(M58="","",IF(AND(M58="N/A - Culvert",D58&lt;&gt;"Culvert"),"Not possible ▲",IF(AND(D58="Culvert",M58&lt;&gt;"N/A - Culvert"),"Not possible ▲",IF(VLOOKUP(M58,'G-7 WaterC'' Data'!$AA$4:$AB$7,2,FALSE)=0,"Spatial Data Missing ⚠",VLOOKUP(M58,'G-7 WaterC'' Data'!$AA$4:$AB$7,2,FALSE)))))</f>
        <v/>
      </c>
      <c r="O58" s="56"/>
      <c r="P58" s="276" t="str">
        <f>IF(O58="","",IF(AND(O58="N/A - Culvert",D58&lt;&gt;"Culvert"),"Not possible ▲",IF(AND(D58="Culvert",O58&lt;&gt;"N/A - Culvert"),"Not possible ▲",IF(VLOOKUP(O58,'G-7 WaterC'' Data'!$AD$4:$AE$14,2,FALSE)=0,"Spatial Data Missing ⚠",VLOOKUP(O58,'G-7 WaterC'' Data'!$AD$4:$AE$14,2,FALSE)))))</f>
        <v/>
      </c>
      <c r="Q58" s="282" t="str">
        <f>IF(D58="","",VLOOKUP(D58,'G-7 WaterC'' Data'!$B$4:$G$8,6,FALSE))</f>
        <v/>
      </c>
      <c r="R58" s="289" t="str">
        <f t="shared" si="1"/>
        <v xml:space="preserve"> </v>
      </c>
      <c r="S58" s="393"/>
      <c r="T58" s="281" t="str">
        <f>IF(S58="","",IF(VLOOKUP(S58,'G-7 WaterC'' Data'!$AO$4:$BO$7,2,FALSE)=0,"Spatial Data Missing ⚠",VLOOKUP(S58,'G-7 WaterC'' Data'!$AO$4:$BO$7,2,FALSE)))</f>
        <v/>
      </c>
      <c r="U58" s="289" t="str">
        <f t="shared" si="2"/>
        <v xml:space="preserve"> </v>
      </c>
      <c r="V58" s="694" t="str">
        <f t="shared" si="3"/>
        <v/>
      </c>
      <c r="W58" s="32"/>
      <c r="X58" s="101"/>
      <c r="Y58" s="108"/>
      <c r="Z58" s="287" t="str">
        <f t="shared" si="4"/>
        <v/>
      </c>
      <c r="AA58" s="287" t="str">
        <f t="shared" si="5"/>
        <v/>
      </c>
      <c r="AB58" s="287" t="str">
        <f t="shared" si="6"/>
        <v/>
      </c>
      <c r="AC58" s="491" t="str">
        <f>IFERROR(IF(OR(E58="",R58=""),"",IF(AND(AB58&lt;&gt;"",S58=""),"Spatial risk category missing ▲",IF(AND(Q58='G-7 WaterC'' Data'!$G$4,AD58="Yes"),"Alternative Compensation ✓",IF(AND(AD58="Pending",Q58='G-7 WaterC'' Data'!$G$4),"Bespoke compensation must be agreed ▲",IF((Z58+AA58)&gt;=U58,0,U58-Z58-AA58))))),"Check Data ⚠")</f>
        <v/>
      </c>
      <c r="AD58" s="393"/>
      <c r="AE58" s="105"/>
      <c r="AF58" s="104"/>
      <c r="AG58" s="104"/>
      <c r="AH58" s="104"/>
      <c r="AI58" s="54" t="str">
        <f>IF(OR(Q58="",AD58="Yes"),"",IF(Q58='G-1 All Habitats'!$X$9,E58-Y58-X58,"None"))</f>
        <v/>
      </c>
      <c r="AJ58" s="55" t="str">
        <f>IF(Q58="","",IF(Q58='G-1 All Habitats'!$X$9,AI58*G58*I58*L58*N58*P58,"None"))</f>
        <v/>
      </c>
      <c r="AK58" s="30" t="str">
        <f>IFERROR(INDEX('G-7 WaterC'' Data'!$AZ$3:$AZ$7,MATCH(D58,'G-7 WaterC'' Data'!$AY$3:$AY$7,0)),"")</f>
        <v/>
      </c>
      <c r="AL58" s="30">
        <f t="shared" si="7"/>
        <v>0</v>
      </c>
      <c r="AM58" s="107" t="str">
        <f t="shared" si="8"/>
        <v/>
      </c>
      <c r="AN58" s="107" t="str">
        <f t="shared" si="9"/>
        <v/>
      </c>
      <c r="AP58" s="107">
        <v>49</v>
      </c>
      <c r="AR58" s="107" t="str">
        <f t="array" ref="AR58">IFERROR(INDEX($AP$10:$AP$258,MATCH(0,IF(TRUE=$AM$10:$AM$258,COUNTIF($AR$9:$AR57,$AP$10:$AP$258),""),0)),"")</f>
        <v/>
      </c>
      <c r="AS58" s="107" t="str">
        <f t="array" ref="AS58">IFERROR(INDEX($AP$10:$AP$258,MATCH(0,IF(TRUE=$AN$10:$AN$258,COUNTIF($AS$9:$AS57,$AP$10:$AP$258),""),0)),"")</f>
        <v/>
      </c>
      <c r="AT58" s="885" t="str">
        <f>IF(AND(OR(AD58="Yes",AD58="Pending"),Q58='G-7 WaterC'' Data'!$G$4),U58-AA58-Z58,"0")</f>
        <v>0</v>
      </c>
      <c r="AU58" s="30" t="str">
        <f>IF(D58="","",VLOOKUP(D58,'G-7 WaterC'' Data'!B$4:M$8,12,FALSE))</f>
        <v/>
      </c>
      <c r="AV58" s="30" t="str">
        <f t="shared" si="0"/>
        <v/>
      </c>
      <c r="AW58" s="30" t="str">
        <f t="shared" si="10"/>
        <v>No</v>
      </c>
      <c r="BA58" s="555" t="str">
        <f t="shared" si="11"/>
        <v/>
      </c>
    </row>
    <row r="59" spans="3:53" ht="14.5" thickBot="1">
      <c r="C59" s="97">
        <v>50</v>
      </c>
      <c r="D59" s="263"/>
      <c r="E59" s="104"/>
      <c r="F59" s="275" t="str">
        <f>IF(D59="","",VLOOKUP(D59,'G-7 WaterC'' Data'!$B$2:$G$8,2,FALSE))</f>
        <v/>
      </c>
      <c r="G59" s="314" t="str">
        <f>IFERROR(VLOOKUP(F59,'G-7 WaterC'' Data'!$C$4:$D$8,2,FALSE),"")</f>
        <v/>
      </c>
      <c r="H59" s="105"/>
      <c r="I59" s="299" t="str">
        <f>IFERROR(INDEX('G-7 WaterC'' Data'!$H$4:$L$8,MATCH(D59,'G-7 WaterC'' Data'!$B$4:$B$8,0),MATCH(H59,'G-7 WaterC'' Data'!$H$3:$L$3,0)),"")</f>
        <v/>
      </c>
      <c r="J59" s="702"/>
      <c r="K59" s="295" t="str">
        <f>IF(J59="","",IF(VLOOKUP(J59,'G-7 WaterC'' Data'!$AK$4:$AM$9,2,FALSE)=0,"Spatial Data Missing ⚠",VLOOKUP(J59,'G-7 WaterC'' Data'!$AK$4:$AM$6,2,FALSE)))</f>
        <v/>
      </c>
      <c r="L59" s="299" t="str">
        <f>IF(J59="","",IF(VLOOKUP(J59,'G-7 WaterC'' Data'!$AK$4:$AM$9,3,FALSE)=0,"Spatial Data Missing ⚠",VLOOKUP(J59,'G-7 WaterC'' Data'!$AK$4:$AM$6,3,FALSE)))</f>
        <v/>
      </c>
      <c r="M59" s="102"/>
      <c r="N59" s="276" t="str">
        <f>IF(M59="","",IF(AND(M59="N/A - Culvert",D59&lt;&gt;"Culvert"),"Not possible ▲",IF(AND(D59="Culvert",M59&lt;&gt;"N/A - Culvert"),"Not possible ▲",IF(VLOOKUP(M59,'G-7 WaterC'' Data'!$AA$4:$AB$7,2,FALSE)=0,"Spatial Data Missing ⚠",VLOOKUP(M59,'G-7 WaterC'' Data'!$AA$4:$AB$7,2,FALSE)))))</f>
        <v/>
      </c>
      <c r="O59" s="56"/>
      <c r="P59" s="276" t="str">
        <f>IF(O59="","",IF(AND(O59="N/A - Culvert",D59&lt;&gt;"Culvert"),"Not possible ▲",IF(AND(D59="Culvert",O59&lt;&gt;"N/A - Culvert"),"Not possible ▲",IF(VLOOKUP(O59,'G-7 WaterC'' Data'!$AD$4:$AE$14,2,FALSE)=0,"Spatial Data Missing ⚠",VLOOKUP(O59,'G-7 WaterC'' Data'!$AD$4:$AE$14,2,FALSE)))))</f>
        <v/>
      </c>
      <c r="Q59" s="282" t="str">
        <f>IF(D59="","",VLOOKUP(D59,'G-7 WaterC'' Data'!$B$4:$G$8,6,FALSE))</f>
        <v/>
      </c>
      <c r="R59" s="289" t="str">
        <f t="shared" si="1"/>
        <v xml:space="preserve"> </v>
      </c>
      <c r="S59" s="393"/>
      <c r="T59" s="281" t="str">
        <f>IF(S59="","",IF(VLOOKUP(S59,'G-7 WaterC'' Data'!$AO$4:$BO$7,2,FALSE)=0,"Spatial Data Missing ⚠",VLOOKUP(S59,'G-7 WaterC'' Data'!$AO$4:$BO$7,2,FALSE)))</f>
        <v/>
      </c>
      <c r="U59" s="289" t="str">
        <f t="shared" si="2"/>
        <v xml:space="preserve"> </v>
      </c>
      <c r="V59" s="694" t="str">
        <f t="shared" si="3"/>
        <v/>
      </c>
      <c r="W59" s="32"/>
      <c r="X59" s="101"/>
      <c r="Y59" s="108"/>
      <c r="Z59" s="287" t="str">
        <f t="shared" si="4"/>
        <v/>
      </c>
      <c r="AA59" s="287" t="str">
        <f t="shared" si="5"/>
        <v/>
      </c>
      <c r="AB59" s="287" t="str">
        <f t="shared" si="6"/>
        <v/>
      </c>
      <c r="AC59" s="491" t="str">
        <f>IFERROR(IF(OR(E59="",R59=""),"",IF(AND(AB59&lt;&gt;"",S59=""),"Spatial risk category missing ▲",IF(AND(Q59='G-7 WaterC'' Data'!$G$4,AD59="Yes"),"Alternative Compensation ✓",IF(AND(AD59="Pending",Q59='G-7 WaterC'' Data'!$G$4),"Bespoke compensation must be agreed ▲",IF((Z59+AA59)&gt;=U59,0,U59-Z59-AA59))))),"Check Data ⚠")</f>
        <v/>
      </c>
      <c r="AD59" s="393"/>
      <c r="AE59" s="105"/>
      <c r="AF59" s="104"/>
      <c r="AG59" s="104"/>
      <c r="AH59" s="104"/>
      <c r="AI59" s="54" t="str">
        <f>IF(OR(Q59="",AD59="Yes"),"",IF(Q59='G-1 All Habitats'!$X$9,E59-Y59-X59,"None"))</f>
        <v/>
      </c>
      <c r="AJ59" s="55" t="str">
        <f>IF(Q59="","",IF(Q59='G-1 All Habitats'!$X$9,AI59*G59*I59*L59*N59*P59,"None"))</f>
        <v/>
      </c>
      <c r="AK59" s="30" t="str">
        <f>IFERROR(INDEX('G-7 WaterC'' Data'!$AZ$3:$AZ$7,MATCH(D59,'G-7 WaterC'' Data'!$AY$3:$AY$7,0)),"")</f>
        <v/>
      </c>
      <c r="AL59" s="30">
        <f t="shared" si="7"/>
        <v>0</v>
      </c>
      <c r="AM59" s="107" t="str">
        <f t="shared" si="8"/>
        <v/>
      </c>
      <c r="AN59" s="107" t="str">
        <f t="shared" si="9"/>
        <v/>
      </c>
      <c r="AP59" s="107">
        <v>50</v>
      </c>
      <c r="AR59" s="107" t="str">
        <f t="array" ref="AR59">IFERROR(INDEX($AP$10:$AP$258,MATCH(0,IF(TRUE=$AM$10:$AM$258,COUNTIF($AR$9:$AR58,$AP$10:$AP$258),""),0)),"")</f>
        <v/>
      </c>
      <c r="AS59" s="107" t="str">
        <f t="array" ref="AS59">IFERROR(INDEX($AP$10:$AP$258,MATCH(0,IF(TRUE=$AN$10:$AN$258,COUNTIF($AS$9:$AS58,$AP$10:$AP$258),""),0)),"")</f>
        <v/>
      </c>
      <c r="AT59" s="885" t="str">
        <f>IF(AND(OR(AD59="Yes",AD59="Pending"),Q59='G-7 WaterC'' Data'!$G$4),U59-AA59-Z59,"0")</f>
        <v>0</v>
      </c>
      <c r="AU59" s="30" t="str">
        <f>IF(D59="","",VLOOKUP(D59,'G-7 WaterC'' Data'!B$4:M$8,12,FALSE))</f>
        <v/>
      </c>
      <c r="AV59" s="30" t="str">
        <f t="shared" si="0"/>
        <v/>
      </c>
      <c r="AW59" s="30" t="str">
        <f t="shared" si="10"/>
        <v>No</v>
      </c>
      <c r="BA59" s="555" t="str">
        <f t="shared" si="11"/>
        <v/>
      </c>
    </row>
    <row r="60" spans="3:53" ht="14.5" thickBot="1">
      <c r="C60" s="97">
        <v>51</v>
      </c>
      <c r="D60" s="263"/>
      <c r="E60" s="104"/>
      <c r="F60" s="275" t="str">
        <f>IF(D60="","",VLOOKUP(D60,'G-7 WaterC'' Data'!$B$2:$G$8,2,FALSE))</f>
        <v/>
      </c>
      <c r="G60" s="314" t="str">
        <f>IFERROR(VLOOKUP(F60,'G-7 WaterC'' Data'!$C$4:$D$8,2,FALSE),"")</f>
        <v/>
      </c>
      <c r="H60" s="105"/>
      <c r="I60" s="299" t="str">
        <f>IFERROR(INDEX('G-7 WaterC'' Data'!$H$4:$L$8,MATCH(D60,'G-7 WaterC'' Data'!$B$4:$B$8,0),MATCH(H60,'G-7 WaterC'' Data'!$H$3:$L$3,0)),"")</f>
        <v/>
      </c>
      <c r="J60" s="702"/>
      <c r="K60" s="295" t="str">
        <f>IF(J60="","",IF(VLOOKUP(J60,'G-7 WaterC'' Data'!$AK$4:$AM$9,2,FALSE)=0,"Spatial Data Missing ⚠",VLOOKUP(J60,'G-7 WaterC'' Data'!$AK$4:$AM$6,2,FALSE)))</f>
        <v/>
      </c>
      <c r="L60" s="299" t="str">
        <f>IF(J60="","",IF(VLOOKUP(J60,'G-7 WaterC'' Data'!$AK$4:$AM$9,3,FALSE)=0,"Spatial Data Missing ⚠",VLOOKUP(J60,'G-7 WaterC'' Data'!$AK$4:$AM$6,3,FALSE)))</f>
        <v/>
      </c>
      <c r="M60" s="102"/>
      <c r="N60" s="276" t="str">
        <f>IF(M60="","",IF(AND(M60="N/A - Culvert",D60&lt;&gt;"Culvert"),"Not possible ▲",IF(AND(D60="Culvert",M60&lt;&gt;"N/A - Culvert"),"Not possible ▲",IF(VLOOKUP(M60,'G-7 WaterC'' Data'!$AA$4:$AB$7,2,FALSE)=0,"Spatial Data Missing ⚠",VLOOKUP(M60,'G-7 WaterC'' Data'!$AA$4:$AB$7,2,FALSE)))))</f>
        <v/>
      </c>
      <c r="O60" s="56"/>
      <c r="P60" s="276" t="str">
        <f>IF(O60="","",IF(AND(O60="N/A - Culvert",D60&lt;&gt;"Culvert"),"Not possible ▲",IF(AND(D60="Culvert",O60&lt;&gt;"N/A - Culvert"),"Not possible ▲",IF(VLOOKUP(O60,'G-7 WaterC'' Data'!$AD$4:$AE$14,2,FALSE)=0,"Spatial Data Missing ⚠",VLOOKUP(O60,'G-7 WaterC'' Data'!$AD$4:$AE$14,2,FALSE)))))</f>
        <v/>
      </c>
      <c r="Q60" s="282" t="str">
        <f>IF(D60="","",VLOOKUP(D60,'G-7 WaterC'' Data'!$B$4:$G$8,6,FALSE))</f>
        <v/>
      </c>
      <c r="R60" s="289" t="str">
        <f t="shared" si="1"/>
        <v xml:space="preserve"> </v>
      </c>
      <c r="S60" s="393"/>
      <c r="T60" s="281" t="str">
        <f>IF(S60="","",IF(VLOOKUP(S60,'G-7 WaterC'' Data'!$AO$4:$BO$7,2,FALSE)=0,"Spatial Data Missing ⚠",VLOOKUP(S60,'G-7 WaterC'' Data'!$AO$4:$BO$7,2,FALSE)))</f>
        <v/>
      </c>
      <c r="U60" s="289" t="str">
        <f t="shared" si="2"/>
        <v xml:space="preserve"> </v>
      </c>
      <c r="V60" s="694" t="str">
        <f t="shared" si="3"/>
        <v/>
      </c>
      <c r="W60" s="32"/>
      <c r="X60" s="101"/>
      <c r="Y60" s="108"/>
      <c r="Z60" s="287" t="str">
        <f t="shared" si="4"/>
        <v/>
      </c>
      <c r="AA60" s="287" t="str">
        <f t="shared" si="5"/>
        <v/>
      </c>
      <c r="AB60" s="287" t="str">
        <f t="shared" si="6"/>
        <v/>
      </c>
      <c r="AC60" s="491" t="str">
        <f>IFERROR(IF(OR(E60="",R60=""),"",IF(AND(AB60&lt;&gt;"",S60=""),"Spatial risk category missing ▲",IF(AND(Q60='G-7 WaterC'' Data'!$G$4,AD60="Yes"),"Alternative Compensation ✓",IF(AND(AD60="Pending",Q60='G-7 WaterC'' Data'!$G$4),"Bespoke compensation must be agreed ▲",IF((Z60+AA60)&gt;=U60,0,U60-Z60-AA60))))),"Check Data ⚠")</f>
        <v/>
      </c>
      <c r="AD60" s="393"/>
      <c r="AE60" s="105"/>
      <c r="AF60" s="104"/>
      <c r="AG60" s="104"/>
      <c r="AH60" s="104"/>
      <c r="AI60" s="54" t="str">
        <f>IF(OR(Q60="",AD60="Yes"),"",IF(Q60='G-1 All Habitats'!$X$9,E60-Y60-X60,"None"))</f>
        <v/>
      </c>
      <c r="AJ60" s="55" t="str">
        <f>IF(Q60="","",IF(Q60='G-1 All Habitats'!$X$9,AI60*G60*I60*L60*N60*P60,"None"))</f>
        <v/>
      </c>
      <c r="AK60" s="30" t="str">
        <f>IFERROR(INDEX('G-7 WaterC'' Data'!$AZ$3:$AZ$7,MATCH(D60,'G-7 WaterC'' Data'!$AY$3:$AY$7,0)),"")</f>
        <v/>
      </c>
      <c r="AL60" s="30">
        <f t="shared" si="7"/>
        <v>0</v>
      </c>
      <c r="AM60" s="107" t="str">
        <f t="shared" si="8"/>
        <v/>
      </c>
      <c r="AN60" s="107" t="str">
        <f t="shared" si="9"/>
        <v/>
      </c>
      <c r="AP60" s="107">
        <v>51</v>
      </c>
      <c r="AR60" s="107" t="str">
        <f t="array" ref="AR60">IFERROR(INDEX($AP$10:$AP$258,MATCH(0,IF(TRUE=$AM$10:$AM$258,COUNTIF($AR$9:$AR59,$AP$10:$AP$258),""),0)),"")</f>
        <v/>
      </c>
      <c r="AS60" s="107" t="str">
        <f t="array" ref="AS60">IFERROR(INDEX($AP$10:$AP$258,MATCH(0,IF(TRUE=$AN$10:$AN$258,COUNTIF($AS$9:$AS59,$AP$10:$AP$258),""),0)),"")</f>
        <v/>
      </c>
      <c r="AT60" s="885" t="str">
        <f>IF(AND(OR(AD60="Yes",AD60="Pending"),Q60='G-7 WaterC'' Data'!$G$4),U60-AA60-Z60,"0")</f>
        <v>0</v>
      </c>
      <c r="AU60" s="30" t="str">
        <f>IF(D60="","",VLOOKUP(D60,'G-7 WaterC'' Data'!B$4:M$8,12,FALSE))</f>
        <v/>
      </c>
      <c r="AV60" s="30" t="str">
        <f t="shared" si="0"/>
        <v/>
      </c>
      <c r="AW60" s="30" t="str">
        <f t="shared" si="10"/>
        <v>No</v>
      </c>
      <c r="BA60" s="555" t="str">
        <f t="shared" si="11"/>
        <v/>
      </c>
    </row>
    <row r="61" spans="3:53" ht="14.5" thickBot="1">
      <c r="C61" s="97">
        <v>52</v>
      </c>
      <c r="D61" s="263"/>
      <c r="E61" s="104"/>
      <c r="F61" s="275" t="str">
        <f>IF(D61="","",VLOOKUP(D61,'G-7 WaterC'' Data'!$B$2:$G$8,2,FALSE))</f>
        <v/>
      </c>
      <c r="G61" s="314" t="str">
        <f>IFERROR(VLOOKUP(F61,'G-7 WaterC'' Data'!$C$4:$D$8,2,FALSE),"")</f>
        <v/>
      </c>
      <c r="H61" s="105"/>
      <c r="I61" s="299" t="str">
        <f>IFERROR(INDEX('G-7 WaterC'' Data'!$H$4:$L$8,MATCH(D61,'G-7 WaterC'' Data'!$B$4:$B$8,0),MATCH(H61,'G-7 WaterC'' Data'!$H$3:$L$3,0)),"")</f>
        <v/>
      </c>
      <c r="J61" s="702"/>
      <c r="K61" s="295" t="str">
        <f>IF(J61="","",IF(VLOOKUP(J61,'G-7 WaterC'' Data'!$AK$4:$AM$9,2,FALSE)=0,"Spatial Data Missing ⚠",VLOOKUP(J61,'G-7 WaterC'' Data'!$AK$4:$AM$6,2,FALSE)))</f>
        <v/>
      </c>
      <c r="L61" s="299" t="str">
        <f>IF(J61="","",IF(VLOOKUP(J61,'G-7 WaterC'' Data'!$AK$4:$AM$9,3,FALSE)=0,"Spatial Data Missing ⚠",VLOOKUP(J61,'G-7 WaterC'' Data'!$AK$4:$AM$6,3,FALSE)))</f>
        <v/>
      </c>
      <c r="M61" s="102"/>
      <c r="N61" s="276" t="str">
        <f>IF(M61="","",IF(AND(M61="N/A - Culvert",D61&lt;&gt;"Culvert"),"Not possible ▲",IF(AND(D61="Culvert",M61&lt;&gt;"N/A - Culvert"),"Not possible ▲",IF(VLOOKUP(M61,'G-7 WaterC'' Data'!$AA$4:$AB$7,2,FALSE)=0,"Spatial Data Missing ⚠",VLOOKUP(M61,'G-7 WaterC'' Data'!$AA$4:$AB$7,2,FALSE)))))</f>
        <v/>
      </c>
      <c r="O61" s="56"/>
      <c r="P61" s="276" t="str">
        <f>IF(O61="","",IF(AND(O61="N/A - Culvert",D61&lt;&gt;"Culvert"),"Not possible ▲",IF(AND(D61="Culvert",O61&lt;&gt;"N/A - Culvert"),"Not possible ▲",IF(VLOOKUP(O61,'G-7 WaterC'' Data'!$AD$4:$AE$14,2,FALSE)=0,"Spatial Data Missing ⚠",VLOOKUP(O61,'G-7 WaterC'' Data'!$AD$4:$AE$14,2,FALSE)))))</f>
        <v/>
      </c>
      <c r="Q61" s="282" t="str">
        <f>IF(D61="","",VLOOKUP(D61,'G-7 WaterC'' Data'!$B$4:$G$8,6,FALSE))</f>
        <v/>
      </c>
      <c r="R61" s="289" t="str">
        <f t="shared" si="1"/>
        <v xml:space="preserve"> </v>
      </c>
      <c r="S61" s="393"/>
      <c r="T61" s="281" t="str">
        <f>IF(S61="","",IF(VLOOKUP(S61,'G-7 WaterC'' Data'!$AO$4:$BO$7,2,FALSE)=0,"Spatial Data Missing ⚠",VLOOKUP(S61,'G-7 WaterC'' Data'!$AO$4:$BO$7,2,FALSE)))</f>
        <v/>
      </c>
      <c r="U61" s="289" t="str">
        <f t="shared" si="2"/>
        <v xml:space="preserve"> </v>
      </c>
      <c r="V61" s="694" t="str">
        <f t="shared" si="3"/>
        <v/>
      </c>
      <c r="W61" s="32"/>
      <c r="X61" s="101"/>
      <c r="Y61" s="108"/>
      <c r="Z61" s="287" t="str">
        <f t="shared" si="4"/>
        <v/>
      </c>
      <c r="AA61" s="287" t="str">
        <f t="shared" si="5"/>
        <v/>
      </c>
      <c r="AB61" s="287" t="str">
        <f t="shared" si="6"/>
        <v/>
      </c>
      <c r="AC61" s="491" t="str">
        <f>IFERROR(IF(OR(E61="",R61=""),"",IF(AND(AB61&lt;&gt;"",S61=""),"Spatial risk category missing ▲",IF(AND(Q61='G-7 WaterC'' Data'!$G$4,AD61="Yes"),"Alternative Compensation ✓",IF(AND(AD61="Pending",Q61='G-7 WaterC'' Data'!$G$4),"Bespoke compensation must be agreed ▲",IF((Z61+AA61)&gt;=U61,0,U61-Z61-AA61))))),"Check Data ⚠")</f>
        <v/>
      </c>
      <c r="AD61" s="393"/>
      <c r="AE61" s="105"/>
      <c r="AF61" s="104"/>
      <c r="AG61" s="104"/>
      <c r="AH61" s="104"/>
      <c r="AI61" s="54" t="str">
        <f>IF(OR(Q61="",AD61="Yes"),"",IF(Q61='G-1 All Habitats'!$X$9,E61-Y61-X61,"None"))</f>
        <v/>
      </c>
      <c r="AJ61" s="55" t="str">
        <f>IF(Q61="","",IF(Q61='G-1 All Habitats'!$X$9,AI61*G61*I61*L61*N61*P61,"None"))</f>
        <v/>
      </c>
      <c r="AK61" s="30" t="str">
        <f>IFERROR(INDEX('G-7 WaterC'' Data'!$AZ$3:$AZ$7,MATCH(D61,'G-7 WaterC'' Data'!$AY$3:$AY$7,0)),"")</f>
        <v/>
      </c>
      <c r="AL61" s="30">
        <f t="shared" si="7"/>
        <v>0</v>
      </c>
      <c r="AM61" s="107" t="str">
        <f t="shared" si="8"/>
        <v/>
      </c>
      <c r="AN61" s="107" t="str">
        <f t="shared" si="9"/>
        <v/>
      </c>
      <c r="AP61" s="107">
        <v>52</v>
      </c>
      <c r="AR61" s="107" t="str">
        <f t="array" ref="AR61">IFERROR(INDEX($AP$10:$AP$258,MATCH(0,IF(TRUE=$AM$10:$AM$258,COUNTIF($AR$9:$AR60,$AP$10:$AP$258),""),0)),"")</f>
        <v/>
      </c>
      <c r="AS61" s="107" t="str">
        <f t="array" ref="AS61">IFERROR(INDEX($AP$10:$AP$258,MATCH(0,IF(TRUE=$AN$10:$AN$258,COUNTIF($AS$9:$AS60,$AP$10:$AP$258),""),0)),"")</f>
        <v/>
      </c>
      <c r="AT61" s="885" t="str">
        <f>IF(AND(OR(AD61="Yes",AD61="Pending"),Q61='G-7 WaterC'' Data'!$G$4),U61-AA61-Z61,"0")</f>
        <v>0</v>
      </c>
      <c r="AU61" s="30" t="str">
        <f>IF(D61="","",VLOOKUP(D61,'G-7 WaterC'' Data'!B$4:M$8,12,FALSE))</f>
        <v/>
      </c>
      <c r="AV61" s="30" t="str">
        <f t="shared" si="0"/>
        <v/>
      </c>
      <c r="AW61" s="30" t="str">
        <f t="shared" si="10"/>
        <v>No</v>
      </c>
      <c r="BA61" s="555" t="str">
        <f t="shared" si="11"/>
        <v/>
      </c>
    </row>
    <row r="62" spans="3:53" ht="14.5" thickBot="1">
      <c r="C62" s="97">
        <v>53</v>
      </c>
      <c r="D62" s="263"/>
      <c r="E62" s="104"/>
      <c r="F62" s="275" t="str">
        <f>IF(D62="","",VLOOKUP(D62,'G-7 WaterC'' Data'!$B$2:$G$8,2,FALSE))</f>
        <v/>
      </c>
      <c r="G62" s="314" t="str">
        <f>IFERROR(VLOOKUP(F62,'G-7 WaterC'' Data'!$C$4:$D$8,2,FALSE),"")</f>
        <v/>
      </c>
      <c r="H62" s="105"/>
      <c r="I62" s="299" t="str">
        <f>IFERROR(INDEX('G-7 WaterC'' Data'!$H$4:$L$8,MATCH(D62,'G-7 WaterC'' Data'!$B$4:$B$8,0),MATCH(H62,'G-7 WaterC'' Data'!$H$3:$L$3,0)),"")</f>
        <v/>
      </c>
      <c r="J62" s="702"/>
      <c r="K62" s="295" t="str">
        <f>IF(J62="","",IF(VLOOKUP(J62,'G-7 WaterC'' Data'!$AK$4:$AM$9,2,FALSE)=0,"Spatial Data Missing ⚠",VLOOKUP(J62,'G-7 WaterC'' Data'!$AK$4:$AM$6,2,FALSE)))</f>
        <v/>
      </c>
      <c r="L62" s="299" t="str">
        <f>IF(J62="","",IF(VLOOKUP(J62,'G-7 WaterC'' Data'!$AK$4:$AM$9,3,FALSE)=0,"Spatial Data Missing ⚠",VLOOKUP(J62,'G-7 WaterC'' Data'!$AK$4:$AM$6,3,FALSE)))</f>
        <v/>
      </c>
      <c r="M62" s="102"/>
      <c r="N62" s="276" t="str">
        <f>IF(M62="","",IF(AND(M62="N/A - Culvert",D62&lt;&gt;"Culvert"),"Not possible ▲",IF(AND(D62="Culvert",M62&lt;&gt;"N/A - Culvert"),"Not possible ▲",IF(VLOOKUP(M62,'G-7 WaterC'' Data'!$AA$4:$AB$7,2,FALSE)=0,"Spatial Data Missing ⚠",VLOOKUP(M62,'G-7 WaterC'' Data'!$AA$4:$AB$7,2,FALSE)))))</f>
        <v/>
      </c>
      <c r="O62" s="56"/>
      <c r="P62" s="276" t="str">
        <f>IF(O62="","",IF(AND(O62="N/A - Culvert",D62&lt;&gt;"Culvert"),"Not possible ▲",IF(AND(D62="Culvert",O62&lt;&gt;"N/A - Culvert"),"Not possible ▲",IF(VLOOKUP(O62,'G-7 WaterC'' Data'!$AD$4:$AE$14,2,FALSE)=0,"Spatial Data Missing ⚠",VLOOKUP(O62,'G-7 WaterC'' Data'!$AD$4:$AE$14,2,FALSE)))))</f>
        <v/>
      </c>
      <c r="Q62" s="282" t="str">
        <f>IF(D62="","",VLOOKUP(D62,'G-7 WaterC'' Data'!$B$4:$G$8,6,FALSE))</f>
        <v/>
      </c>
      <c r="R62" s="289" t="str">
        <f t="shared" si="1"/>
        <v xml:space="preserve"> </v>
      </c>
      <c r="S62" s="393"/>
      <c r="T62" s="281" t="str">
        <f>IF(S62="","",IF(VLOOKUP(S62,'G-7 WaterC'' Data'!$AO$4:$BO$7,2,FALSE)=0,"Spatial Data Missing ⚠",VLOOKUP(S62,'G-7 WaterC'' Data'!$AO$4:$BO$7,2,FALSE)))</f>
        <v/>
      </c>
      <c r="U62" s="289" t="str">
        <f t="shared" si="2"/>
        <v xml:space="preserve"> </v>
      </c>
      <c r="V62" s="694" t="str">
        <f t="shared" si="3"/>
        <v/>
      </c>
      <c r="W62" s="32"/>
      <c r="X62" s="101"/>
      <c r="Y62" s="108"/>
      <c r="Z62" s="287" t="str">
        <f t="shared" si="4"/>
        <v/>
      </c>
      <c r="AA62" s="287" t="str">
        <f t="shared" si="5"/>
        <v/>
      </c>
      <c r="AB62" s="287" t="str">
        <f t="shared" si="6"/>
        <v/>
      </c>
      <c r="AC62" s="491" t="str">
        <f>IFERROR(IF(OR(E62="",R62=""),"",IF(AND(AB62&lt;&gt;"",S62=""),"Spatial risk category missing ▲",IF(AND(Q62='G-7 WaterC'' Data'!$G$4,AD62="Yes"),"Alternative Compensation ✓",IF(AND(AD62="Pending",Q62='G-7 WaterC'' Data'!$G$4),"Bespoke compensation must be agreed ▲",IF((Z62+AA62)&gt;=U62,0,U62-Z62-AA62))))),"Check Data ⚠")</f>
        <v/>
      </c>
      <c r="AD62" s="393"/>
      <c r="AE62" s="105"/>
      <c r="AF62" s="104"/>
      <c r="AG62" s="104"/>
      <c r="AH62" s="104"/>
      <c r="AI62" s="54" t="str">
        <f>IF(OR(Q62="",AD62="Yes"),"",IF(Q62='G-1 All Habitats'!$X$9,E62-Y62-X62,"None"))</f>
        <v/>
      </c>
      <c r="AJ62" s="55" t="str">
        <f>IF(Q62="","",IF(Q62='G-1 All Habitats'!$X$9,AI62*G62*I62*L62*N62*P62,"None"))</f>
        <v/>
      </c>
      <c r="AK62" s="30" t="str">
        <f>IFERROR(INDEX('G-7 WaterC'' Data'!$AZ$3:$AZ$7,MATCH(D62,'G-7 WaterC'' Data'!$AY$3:$AY$7,0)),"")</f>
        <v/>
      </c>
      <c r="AL62" s="30">
        <f t="shared" si="7"/>
        <v>0</v>
      </c>
      <c r="AM62" s="107" t="str">
        <f t="shared" si="8"/>
        <v/>
      </c>
      <c r="AN62" s="107" t="str">
        <f t="shared" si="9"/>
        <v/>
      </c>
      <c r="AP62" s="107">
        <v>53</v>
      </c>
      <c r="AR62" s="107" t="str">
        <f t="array" ref="AR62">IFERROR(INDEX($AP$10:$AP$258,MATCH(0,IF(TRUE=$AM$10:$AM$258,COUNTIF($AR$9:$AR61,$AP$10:$AP$258),""),0)),"")</f>
        <v/>
      </c>
      <c r="AS62" s="107" t="str">
        <f t="array" ref="AS62">IFERROR(INDEX($AP$10:$AP$258,MATCH(0,IF(TRUE=$AN$10:$AN$258,COUNTIF($AS$9:$AS61,$AP$10:$AP$258),""),0)),"")</f>
        <v/>
      </c>
      <c r="AT62" s="885" t="str">
        <f>IF(AND(OR(AD62="Yes",AD62="Pending"),Q62='G-7 WaterC'' Data'!$G$4),U62-AA62-Z62,"0")</f>
        <v>0</v>
      </c>
      <c r="AU62" s="30" t="str">
        <f>IF(D62="","",VLOOKUP(D62,'G-7 WaterC'' Data'!B$4:M$8,12,FALSE))</f>
        <v/>
      </c>
      <c r="AV62" s="30" t="str">
        <f t="shared" si="0"/>
        <v/>
      </c>
      <c r="AW62" s="30" t="str">
        <f t="shared" si="10"/>
        <v>No</v>
      </c>
      <c r="BA62" s="555" t="str">
        <f t="shared" si="11"/>
        <v/>
      </c>
    </row>
    <row r="63" spans="3:53" ht="14.5" thickBot="1">
      <c r="C63" s="97">
        <v>54</v>
      </c>
      <c r="D63" s="263"/>
      <c r="E63" s="104"/>
      <c r="F63" s="275" t="str">
        <f>IF(D63="","",VLOOKUP(D63,'G-7 WaterC'' Data'!$B$2:$G$8,2,FALSE))</f>
        <v/>
      </c>
      <c r="G63" s="314" t="str">
        <f>IFERROR(VLOOKUP(F63,'G-7 WaterC'' Data'!$C$4:$D$8,2,FALSE),"")</f>
        <v/>
      </c>
      <c r="H63" s="105"/>
      <c r="I63" s="299" t="str">
        <f>IFERROR(INDEX('G-7 WaterC'' Data'!$H$4:$L$8,MATCH(D63,'G-7 WaterC'' Data'!$B$4:$B$8,0),MATCH(H63,'G-7 WaterC'' Data'!$H$3:$L$3,0)),"")</f>
        <v/>
      </c>
      <c r="J63" s="702"/>
      <c r="K63" s="295" t="str">
        <f>IF(J63="","",IF(VLOOKUP(J63,'G-7 WaterC'' Data'!$AK$4:$AM$9,2,FALSE)=0,"Spatial Data Missing ⚠",VLOOKUP(J63,'G-7 WaterC'' Data'!$AK$4:$AM$6,2,FALSE)))</f>
        <v/>
      </c>
      <c r="L63" s="299" t="str">
        <f>IF(J63="","",IF(VLOOKUP(J63,'G-7 WaterC'' Data'!$AK$4:$AM$9,3,FALSE)=0,"Spatial Data Missing ⚠",VLOOKUP(J63,'G-7 WaterC'' Data'!$AK$4:$AM$6,3,FALSE)))</f>
        <v/>
      </c>
      <c r="M63" s="102"/>
      <c r="N63" s="276" t="str">
        <f>IF(M63="","",IF(AND(M63="N/A - Culvert",D63&lt;&gt;"Culvert"),"Not possible ▲",IF(AND(D63="Culvert",M63&lt;&gt;"N/A - Culvert"),"Not possible ▲",IF(VLOOKUP(M63,'G-7 WaterC'' Data'!$AA$4:$AB$7,2,FALSE)=0,"Spatial Data Missing ⚠",VLOOKUP(M63,'G-7 WaterC'' Data'!$AA$4:$AB$7,2,FALSE)))))</f>
        <v/>
      </c>
      <c r="O63" s="56"/>
      <c r="P63" s="276" t="str">
        <f>IF(O63="","",IF(AND(O63="N/A - Culvert",D63&lt;&gt;"Culvert"),"Not possible ▲",IF(AND(D63="Culvert",O63&lt;&gt;"N/A - Culvert"),"Not possible ▲",IF(VLOOKUP(O63,'G-7 WaterC'' Data'!$AD$4:$AE$14,2,FALSE)=0,"Spatial Data Missing ⚠",VLOOKUP(O63,'G-7 WaterC'' Data'!$AD$4:$AE$14,2,FALSE)))))</f>
        <v/>
      </c>
      <c r="Q63" s="282" t="str">
        <f>IF(D63="","",VLOOKUP(D63,'G-7 WaterC'' Data'!$B$4:$G$8,6,FALSE))</f>
        <v/>
      </c>
      <c r="R63" s="289" t="str">
        <f t="shared" si="1"/>
        <v xml:space="preserve"> </v>
      </c>
      <c r="S63" s="393"/>
      <c r="T63" s="281" t="str">
        <f>IF(S63="","",IF(VLOOKUP(S63,'G-7 WaterC'' Data'!$AO$4:$BO$7,2,FALSE)=0,"Spatial Data Missing ⚠",VLOOKUP(S63,'G-7 WaterC'' Data'!$AO$4:$BO$7,2,FALSE)))</f>
        <v/>
      </c>
      <c r="U63" s="289" t="str">
        <f t="shared" si="2"/>
        <v xml:space="preserve"> </v>
      </c>
      <c r="V63" s="694" t="str">
        <f t="shared" si="3"/>
        <v/>
      </c>
      <c r="W63" s="32"/>
      <c r="X63" s="101"/>
      <c r="Y63" s="108"/>
      <c r="Z63" s="287" t="str">
        <f t="shared" si="4"/>
        <v/>
      </c>
      <c r="AA63" s="287" t="str">
        <f t="shared" si="5"/>
        <v/>
      </c>
      <c r="AB63" s="287" t="str">
        <f t="shared" si="6"/>
        <v/>
      </c>
      <c r="AC63" s="491" t="str">
        <f>IFERROR(IF(OR(E63="",R63=""),"",IF(AND(AB63&lt;&gt;"",S63=""),"Spatial risk category missing ▲",IF(AND(Q63='G-7 WaterC'' Data'!$G$4,AD63="Yes"),"Alternative Compensation ✓",IF(AND(AD63="Pending",Q63='G-7 WaterC'' Data'!$G$4),"Bespoke compensation must be agreed ▲",IF((Z63+AA63)&gt;=U63,0,U63-Z63-AA63))))),"Check Data ⚠")</f>
        <v/>
      </c>
      <c r="AD63" s="393"/>
      <c r="AE63" s="105"/>
      <c r="AF63" s="104"/>
      <c r="AG63" s="104"/>
      <c r="AH63" s="104"/>
      <c r="AI63" s="54" t="str">
        <f>IF(OR(Q63="",AD63="Yes"),"",IF(Q63='G-1 All Habitats'!$X$9,E63-Y63-X63,"None"))</f>
        <v/>
      </c>
      <c r="AJ63" s="55" t="str">
        <f>IF(Q63="","",IF(Q63='G-1 All Habitats'!$X$9,AI63*G63*I63*L63*N63*P63,"None"))</f>
        <v/>
      </c>
      <c r="AK63" s="30" t="str">
        <f>IFERROR(INDEX('G-7 WaterC'' Data'!$AZ$3:$AZ$7,MATCH(D63,'G-7 WaterC'' Data'!$AY$3:$AY$7,0)),"")</f>
        <v/>
      </c>
      <c r="AL63" s="30">
        <f t="shared" si="7"/>
        <v>0</v>
      </c>
      <c r="AM63" s="107" t="str">
        <f t="shared" si="8"/>
        <v/>
      </c>
      <c r="AN63" s="107" t="str">
        <f t="shared" si="9"/>
        <v/>
      </c>
      <c r="AP63" s="107">
        <v>54</v>
      </c>
      <c r="AR63" s="107" t="str">
        <f t="array" ref="AR63">IFERROR(INDEX($AP$10:$AP$258,MATCH(0,IF(TRUE=$AM$10:$AM$258,COUNTIF($AR$9:$AR62,$AP$10:$AP$258),""),0)),"")</f>
        <v/>
      </c>
      <c r="AS63" s="107" t="str">
        <f t="array" ref="AS63">IFERROR(INDEX($AP$10:$AP$258,MATCH(0,IF(TRUE=$AN$10:$AN$258,COUNTIF($AS$9:$AS62,$AP$10:$AP$258),""),0)),"")</f>
        <v/>
      </c>
      <c r="AT63" s="885" t="str">
        <f>IF(AND(OR(AD63="Yes",AD63="Pending"),Q63='G-7 WaterC'' Data'!$G$4),U63-AA63-Z63,"0")</f>
        <v>0</v>
      </c>
      <c r="AU63" s="30" t="str">
        <f>IF(D63="","",VLOOKUP(D63,'G-7 WaterC'' Data'!B$4:M$8,12,FALSE))</f>
        <v/>
      </c>
      <c r="AV63" s="30" t="str">
        <f t="shared" si="0"/>
        <v/>
      </c>
      <c r="AW63" s="30" t="str">
        <f t="shared" si="10"/>
        <v>No</v>
      </c>
      <c r="BA63" s="555" t="str">
        <f t="shared" si="11"/>
        <v/>
      </c>
    </row>
    <row r="64" spans="3:53" ht="14.5" thickBot="1">
      <c r="C64" s="97">
        <v>55</v>
      </c>
      <c r="D64" s="263"/>
      <c r="E64" s="104"/>
      <c r="F64" s="275" t="str">
        <f>IF(D64="","",VLOOKUP(D64,'G-7 WaterC'' Data'!$B$2:$G$8,2,FALSE))</f>
        <v/>
      </c>
      <c r="G64" s="314" t="str">
        <f>IFERROR(VLOOKUP(F64,'G-7 WaterC'' Data'!$C$4:$D$8,2,FALSE),"")</f>
        <v/>
      </c>
      <c r="H64" s="105"/>
      <c r="I64" s="299" t="str">
        <f>IFERROR(INDEX('G-7 WaterC'' Data'!$H$4:$L$8,MATCH(D64,'G-7 WaterC'' Data'!$B$4:$B$8,0),MATCH(H64,'G-7 WaterC'' Data'!$H$3:$L$3,0)),"")</f>
        <v/>
      </c>
      <c r="J64" s="702"/>
      <c r="K64" s="295" t="str">
        <f>IF(J64="","",IF(VLOOKUP(J64,'G-7 WaterC'' Data'!$AK$4:$AM$9,2,FALSE)=0,"Spatial Data Missing ⚠",VLOOKUP(J64,'G-7 WaterC'' Data'!$AK$4:$AM$6,2,FALSE)))</f>
        <v/>
      </c>
      <c r="L64" s="299" t="str">
        <f>IF(J64="","",IF(VLOOKUP(J64,'G-7 WaterC'' Data'!$AK$4:$AM$9,3,FALSE)=0,"Spatial Data Missing ⚠",VLOOKUP(J64,'G-7 WaterC'' Data'!$AK$4:$AM$6,3,FALSE)))</f>
        <v/>
      </c>
      <c r="M64" s="102"/>
      <c r="N64" s="276" t="str">
        <f>IF(M64="","",IF(AND(M64="N/A - Culvert",D64&lt;&gt;"Culvert"),"Not possible ▲",IF(AND(D64="Culvert",M64&lt;&gt;"N/A - Culvert"),"Not possible ▲",IF(VLOOKUP(M64,'G-7 WaterC'' Data'!$AA$4:$AB$7,2,FALSE)=0,"Spatial Data Missing ⚠",VLOOKUP(M64,'G-7 WaterC'' Data'!$AA$4:$AB$7,2,FALSE)))))</f>
        <v/>
      </c>
      <c r="O64" s="56"/>
      <c r="P64" s="276" t="str">
        <f>IF(O64="","",IF(AND(O64="N/A - Culvert",D64&lt;&gt;"Culvert"),"Not possible ▲",IF(AND(D64="Culvert",O64&lt;&gt;"N/A - Culvert"),"Not possible ▲",IF(VLOOKUP(O64,'G-7 WaterC'' Data'!$AD$4:$AE$14,2,FALSE)=0,"Spatial Data Missing ⚠",VLOOKUP(O64,'G-7 WaterC'' Data'!$AD$4:$AE$14,2,FALSE)))))</f>
        <v/>
      </c>
      <c r="Q64" s="282" t="str">
        <f>IF(D64="","",VLOOKUP(D64,'G-7 WaterC'' Data'!$B$4:$G$8,6,FALSE))</f>
        <v/>
      </c>
      <c r="R64" s="289" t="str">
        <f t="shared" si="1"/>
        <v xml:space="preserve"> </v>
      </c>
      <c r="S64" s="393"/>
      <c r="T64" s="281" t="str">
        <f>IF(S64="","",IF(VLOOKUP(S64,'G-7 WaterC'' Data'!$AO$4:$BO$7,2,FALSE)=0,"Spatial Data Missing ⚠",VLOOKUP(S64,'G-7 WaterC'' Data'!$AO$4:$BO$7,2,FALSE)))</f>
        <v/>
      </c>
      <c r="U64" s="289" t="str">
        <f t="shared" si="2"/>
        <v xml:space="preserve"> </v>
      </c>
      <c r="V64" s="694" t="str">
        <f t="shared" si="3"/>
        <v/>
      </c>
      <c r="W64" s="32"/>
      <c r="X64" s="101"/>
      <c r="Y64" s="108"/>
      <c r="Z64" s="287" t="str">
        <f t="shared" si="4"/>
        <v/>
      </c>
      <c r="AA64" s="287" t="str">
        <f t="shared" si="5"/>
        <v/>
      </c>
      <c r="AB64" s="287" t="str">
        <f t="shared" si="6"/>
        <v/>
      </c>
      <c r="AC64" s="491" t="str">
        <f>IFERROR(IF(OR(E64="",R64=""),"",IF(AND(AB64&lt;&gt;"",S64=""),"Spatial risk category missing ▲",IF(AND(Q64='G-7 WaterC'' Data'!$G$4,AD64="Yes"),"Alternative Compensation ✓",IF(AND(AD64="Pending",Q64='G-7 WaterC'' Data'!$G$4),"Bespoke compensation must be agreed ▲",IF((Z64+AA64)&gt;=U64,0,U64-Z64-AA64))))),"Check Data ⚠")</f>
        <v/>
      </c>
      <c r="AD64" s="393"/>
      <c r="AE64" s="105"/>
      <c r="AF64" s="104"/>
      <c r="AG64" s="104"/>
      <c r="AH64" s="104"/>
      <c r="AI64" s="54" t="str">
        <f>IF(OR(Q64="",AD64="Yes"),"",IF(Q64='G-1 All Habitats'!$X$9,E64-Y64-X64,"None"))</f>
        <v/>
      </c>
      <c r="AJ64" s="55" t="str">
        <f>IF(Q64="","",IF(Q64='G-1 All Habitats'!$X$9,AI64*G64*I64*L64*N64*P64,"None"))</f>
        <v/>
      </c>
      <c r="AK64" s="30" t="str">
        <f>IFERROR(INDEX('G-7 WaterC'' Data'!$AZ$3:$AZ$7,MATCH(D64,'G-7 WaterC'' Data'!$AY$3:$AY$7,0)),"")</f>
        <v/>
      </c>
      <c r="AL64" s="30">
        <f t="shared" si="7"/>
        <v>0</v>
      </c>
      <c r="AM64" s="107" t="str">
        <f t="shared" si="8"/>
        <v/>
      </c>
      <c r="AN64" s="107" t="str">
        <f t="shared" si="9"/>
        <v/>
      </c>
      <c r="AP64" s="107">
        <v>55</v>
      </c>
      <c r="AR64" s="107" t="str">
        <f t="array" ref="AR64">IFERROR(INDEX($AP$10:$AP$258,MATCH(0,IF(TRUE=$AM$10:$AM$258,COUNTIF($AR$9:$AR63,$AP$10:$AP$258),""),0)),"")</f>
        <v/>
      </c>
      <c r="AS64" s="107" t="str">
        <f t="array" ref="AS64">IFERROR(INDEX($AP$10:$AP$258,MATCH(0,IF(TRUE=$AN$10:$AN$258,COUNTIF($AS$9:$AS63,$AP$10:$AP$258),""),0)),"")</f>
        <v/>
      </c>
      <c r="AT64" s="885" t="str">
        <f>IF(AND(OR(AD64="Yes",AD64="Pending"),Q64='G-7 WaterC'' Data'!$G$4),U64-AA64-Z64,"0")</f>
        <v>0</v>
      </c>
      <c r="AU64" s="30" t="str">
        <f>IF(D64="","",VLOOKUP(D64,'G-7 WaterC'' Data'!B$4:M$8,12,FALSE))</f>
        <v/>
      </c>
      <c r="AV64" s="30" t="str">
        <f t="shared" si="0"/>
        <v/>
      </c>
      <c r="AW64" s="30" t="str">
        <f t="shared" si="10"/>
        <v>No</v>
      </c>
      <c r="BA64" s="555" t="str">
        <f t="shared" si="11"/>
        <v/>
      </c>
    </row>
    <row r="65" spans="3:53" ht="14.5" thickBot="1">
      <c r="C65" s="97">
        <v>56</v>
      </c>
      <c r="D65" s="263"/>
      <c r="E65" s="104"/>
      <c r="F65" s="275" t="str">
        <f>IF(D65="","",VLOOKUP(D65,'G-7 WaterC'' Data'!$B$2:$G$8,2,FALSE))</f>
        <v/>
      </c>
      <c r="G65" s="314" t="str">
        <f>IFERROR(VLOOKUP(F65,'G-7 WaterC'' Data'!$C$4:$D$8,2,FALSE),"")</f>
        <v/>
      </c>
      <c r="H65" s="105"/>
      <c r="I65" s="299" t="str">
        <f>IFERROR(INDEX('G-7 WaterC'' Data'!$H$4:$L$8,MATCH(D65,'G-7 WaterC'' Data'!$B$4:$B$8,0),MATCH(H65,'G-7 WaterC'' Data'!$H$3:$L$3,0)),"")</f>
        <v/>
      </c>
      <c r="J65" s="702"/>
      <c r="K65" s="295" t="str">
        <f>IF(J65="","",IF(VLOOKUP(J65,'G-7 WaterC'' Data'!$AK$4:$AM$9,2,FALSE)=0,"Spatial Data Missing ⚠",VLOOKUP(J65,'G-7 WaterC'' Data'!$AK$4:$AM$6,2,FALSE)))</f>
        <v/>
      </c>
      <c r="L65" s="299" t="str">
        <f>IF(J65="","",IF(VLOOKUP(J65,'G-7 WaterC'' Data'!$AK$4:$AM$9,3,FALSE)=0,"Spatial Data Missing ⚠",VLOOKUP(J65,'G-7 WaterC'' Data'!$AK$4:$AM$6,3,FALSE)))</f>
        <v/>
      </c>
      <c r="M65" s="102"/>
      <c r="N65" s="276" t="str">
        <f>IF(M65="","",IF(AND(M65="N/A - Culvert",D65&lt;&gt;"Culvert"),"Not possible ▲",IF(AND(D65="Culvert",M65&lt;&gt;"N/A - Culvert"),"Not possible ▲",IF(VLOOKUP(M65,'G-7 WaterC'' Data'!$AA$4:$AB$7,2,FALSE)=0,"Spatial Data Missing ⚠",VLOOKUP(M65,'G-7 WaterC'' Data'!$AA$4:$AB$7,2,FALSE)))))</f>
        <v/>
      </c>
      <c r="O65" s="56"/>
      <c r="P65" s="276" t="str">
        <f>IF(O65="","",IF(AND(O65="N/A - Culvert",D65&lt;&gt;"Culvert"),"Not possible ▲",IF(AND(D65="Culvert",O65&lt;&gt;"N/A - Culvert"),"Not possible ▲",IF(VLOOKUP(O65,'G-7 WaterC'' Data'!$AD$4:$AE$14,2,FALSE)=0,"Spatial Data Missing ⚠",VLOOKUP(O65,'G-7 WaterC'' Data'!$AD$4:$AE$14,2,FALSE)))))</f>
        <v/>
      </c>
      <c r="Q65" s="282" t="str">
        <f>IF(D65="","",VLOOKUP(D65,'G-7 WaterC'' Data'!$B$4:$G$8,6,FALSE))</f>
        <v/>
      </c>
      <c r="R65" s="289" t="str">
        <f t="shared" si="1"/>
        <v xml:space="preserve"> </v>
      </c>
      <c r="S65" s="393"/>
      <c r="T65" s="281" t="str">
        <f>IF(S65="","",IF(VLOOKUP(S65,'G-7 WaterC'' Data'!$AO$4:$BO$7,2,FALSE)=0,"Spatial Data Missing ⚠",VLOOKUP(S65,'G-7 WaterC'' Data'!$AO$4:$BO$7,2,FALSE)))</f>
        <v/>
      </c>
      <c r="U65" s="289" t="str">
        <f t="shared" si="2"/>
        <v xml:space="preserve"> </v>
      </c>
      <c r="V65" s="694" t="str">
        <f t="shared" si="3"/>
        <v/>
      </c>
      <c r="W65" s="32"/>
      <c r="X65" s="101"/>
      <c r="Y65" s="108"/>
      <c r="Z65" s="287" t="str">
        <f t="shared" si="4"/>
        <v/>
      </c>
      <c r="AA65" s="287" t="str">
        <f t="shared" si="5"/>
        <v/>
      </c>
      <c r="AB65" s="287" t="str">
        <f t="shared" si="6"/>
        <v/>
      </c>
      <c r="AC65" s="491" t="str">
        <f>IFERROR(IF(OR(E65="",R65=""),"",IF(AND(AB65&lt;&gt;"",S65=""),"Spatial risk category missing ▲",IF(AND(Q65='G-7 WaterC'' Data'!$G$4,AD65="Yes"),"Alternative Compensation ✓",IF(AND(AD65="Pending",Q65='G-7 WaterC'' Data'!$G$4),"Bespoke compensation must be agreed ▲",IF((Z65+AA65)&gt;=U65,0,U65-Z65-AA65))))),"Check Data ⚠")</f>
        <v/>
      </c>
      <c r="AD65" s="393"/>
      <c r="AE65" s="105"/>
      <c r="AF65" s="104"/>
      <c r="AG65" s="104"/>
      <c r="AH65" s="104"/>
      <c r="AI65" s="54" t="str">
        <f>IF(OR(Q65="",AD65="Yes"),"",IF(Q65='G-1 All Habitats'!$X$9,E65-Y65-X65,"None"))</f>
        <v/>
      </c>
      <c r="AJ65" s="55" t="str">
        <f>IF(Q65="","",IF(Q65='G-1 All Habitats'!$X$9,AI65*G65*I65*L65*N65*P65,"None"))</f>
        <v/>
      </c>
      <c r="AK65" s="30" t="str">
        <f>IFERROR(INDEX('G-7 WaterC'' Data'!$AZ$3:$AZ$7,MATCH(D65,'G-7 WaterC'' Data'!$AY$3:$AY$7,0)),"")</f>
        <v/>
      </c>
      <c r="AL65" s="30">
        <f t="shared" si="7"/>
        <v>0</v>
      </c>
      <c r="AM65" s="107" t="str">
        <f t="shared" si="8"/>
        <v/>
      </c>
      <c r="AN65" s="107" t="str">
        <f t="shared" si="9"/>
        <v/>
      </c>
      <c r="AP65" s="107">
        <v>56</v>
      </c>
      <c r="AR65" s="107" t="str">
        <f t="array" ref="AR65">IFERROR(INDEX($AP$10:$AP$258,MATCH(0,IF(TRUE=$AM$10:$AM$258,COUNTIF($AR$9:$AR64,$AP$10:$AP$258),""),0)),"")</f>
        <v/>
      </c>
      <c r="AS65" s="107" t="str">
        <f t="array" ref="AS65">IFERROR(INDEX($AP$10:$AP$258,MATCH(0,IF(TRUE=$AN$10:$AN$258,COUNTIF($AS$9:$AS64,$AP$10:$AP$258),""),0)),"")</f>
        <v/>
      </c>
      <c r="AT65" s="885" t="str">
        <f>IF(AND(OR(AD65="Yes",AD65="Pending"),Q65='G-7 WaterC'' Data'!$G$4),U65-AA65-Z65,"0")</f>
        <v>0</v>
      </c>
      <c r="AU65" s="30" t="str">
        <f>IF(D65="","",VLOOKUP(D65,'G-7 WaterC'' Data'!B$4:M$8,12,FALSE))</f>
        <v/>
      </c>
      <c r="AV65" s="30" t="str">
        <f t="shared" si="0"/>
        <v/>
      </c>
      <c r="AW65" s="30" t="str">
        <f t="shared" si="10"/>
        <v>No</v>
      </c>
      <c r="BA65" s="555" t="str">
        <f t="shared" si="11"/>
        <v/>
      </c>
    </row>
    <row r="66" spans="3:53" ht="14.5" thickBot="1">
      <c r="C66" s="97">
        <v>57</v>
      </c>
      <c r="D66" s="263"/>
      <c r="E66" s="104"/>
      <c r="F66" s="275" t="str">
        <f>IF(D66="","",VLOOKUP(D66,'G-7 WaterC'' Data'!$B$2:$G$8,2,FALSE))</f>
        <v/>
      </c>
      <c r="G66" s="314" t="str">
        <f>IFERROR(VLOOKUP(F66,'G-7 WaterC'' Data'!$C$4:$D$8,2,FALSE),"")</f>
        <v/>
      </c>
      <c r="H66" s="105"/>
      <c r="I66" s="299" t="str">
        <f>IFERROR(INDEX('G-7 WaterC'' Data'!$H$4:$L$8,MATCH(D66,'G-7 WaterC'' Data'!$B$4:$B$8,0),MATCH(H66,'G-7 WaterC'' Data'!$H$3:$L$3,0)),"")</f>
        <v/>
      </c>
      <c r="J66" s="702"/>
      <c r="K66" s="295" t="str">
        <f>IF(J66="","",IF(VLOOKUP(J66,'G-7 WaterC'' Data'!$AK$4:$AM$9,2,FALSE)=0,"Spatial Data Missing ⚠",VLOOKUP(J66,'G-7 WaterC'' Data'!$AK$4:$AM$6,2,FALSE)))</f>
        <v/>
      </c>
      <c r="L66" s="299" t="str">
        <f>IF(J66="","",IF(VLOOKUP(J66,'G-7 WaterC'' Data'!$AK$4:$AM$9,3,FALSE)=0,"Spatial Data Missing ⚠",VLOOKUP(J66,'G-7 WaterC'' Data'!$AK$4:$AM$6,3,FALSE)))</f>
        <v/>
      </c>
      <c r="M66" s="102"/>
      <c r="N66" s="276" t="str">
        <f>IF(M66="","",IF(AND(M66="N/A - Culvert",D66&lt;&gt;"Culvert"),"Not possible ▲",IF(AND(D66="Culvert",M66&lt;&gt;"N/A - Culvert"),"Not possible ▲",IF(VLOOKUP(M66,'G-7 WaterC'' Data'!$AA$4:$AB$7,2,FALSE)=0,"Spatial Data Missing ⚠",VLOOKUP(M66,'G-7 WaterC'' Data'!$AA$4:$AB$7,2,FALSE)))))</f>
        <v/>
      </c>
      <c r="O66" s="56"/>
      <c r="P66" s="276" t="str">
        <f>IF(O66="","",IF(AND(O66="N/A - Culvert",D66&lt;&gt;"Culvert"),"Not possible ▲",IF(AND(D66="Culvert",O66&lt;&gt;"N/A - Culvert"),"Not possible ▲",IF(VLOOKUP(O66,'G-7 WaterC'' Data'!$AD$4:$AE$14,2,FALSE)=0,"Spatial Data Missing ⚠",VLOOKUP(O66,'G-7 WaterC'' Data'!$AD$4:$AE$14,2,FALSE)))))</f>
        <v/>
      </c>
      <c r="Q66" s="282" t="str">
        <f>IF(D66="","",VLOOKUP(D66,'G-7 WaterC'' Data'!$B$4:$G$8,6,FALSE))</f>
        <v/>
      </c>
      <c r="R66" s="289" t="str">
        <f t="shared" si="1"/>
        <v xml:space="preserve"> </v>
      </c>
      <c r="S66" s="393"/>
      <c r="T66" s="281" t="str">
        <f>IF(S66="","",IF(VLOOKUP(S66,'G-7 WaterC'' Data'!$AO$4:$BO$7,2,FALSE)=0,"Spatial Data Missing ⚠",VLOOKUP(S66,'G-7 WaterC'' Data'!$AO$4:$BO$7,2,FALSE)))</f>
        <v/>
      </c>
      <c r="U66" s="289" t="str">
        <f t="shared" si="2"/>
        <v xml:space="preserve"> </v>
      </c>
      <c r="V66" s="694" t="str">
        <f t="shared" si="3"/>
        <v/>
      </c>
      <c r="W66" s="32"/>
      <c r="X66" s="101"/>
      <c r="Y66" s="108"/>
      <c r="Z66" s="287" t="str">
        <f t="shared" si="4"/>
        <v/>
      </c>
      <c r="AA66" s="287" t="str">
        <f t="shared" si="5"/>
        <v/>
      </c>
      <c r="AB66" s="287" t="str">
        <f t="shared" si="6"/>
        <v/>
      </c>
      <c r="AC66" s="491" t="str">
        <f>IFERROR(IF(OR(E66="",R66=""),"",IF(AND(AB66&lt;&gt;"",S66=""),"Spatial risk category missing ▲",IF(AND(Q66='G-7 WaterC'' Data'!$G$4,AD66="Yes"),"Alternative Compensation ✓",IF(AND(AD66="Pending",Q66='G-7 WaterC'' Data'!$G$4),"Bespoke compensation must be agreed ▲",IF((Z66+AA66)&gt;=U66,0,U66-Z66-AA66))))),"Check Data ⚠")</f>
        <v/>
      </c>
      <c r="AD66" s="393"/>
      <c r="AE66" s="105"/>
      <c r="AF66" s="104"/>
      <c r="AG66" s="104"/>
      <c r="AH66" s="104"/>
      <c r="AI66" s="54" t="str">
        <f>IF(OR(Q66="",AD66="Yes"),"",IF(Q66='G-1 All Habitats'!$X$9,E66-Y66-X66,"None"))</f>
        <v/>
      </c>
      <c r="AJ66" s="55" t="str">
        <f>IF(Q66="","",IF(Q66='G-1 All Habitats'!$X$9,AI66*G66*I66*L66*N66*P66,"None"))</f>
        <v/>
      </c>
      <c r="AK66" s="30" t="str">
        <f>IFERROR(INDEX('G-7 WaterC'' Data'!$AZ$3:$AZ$7,MATCH(D66,'G-7 WaterC'' Data'!$AY$3:$AY$7,0)),"")</f>
        <v/>
      </c>
      <c r="AL66" s="30">
        <f t="shared" si="7"/>
        <v>0</v>
      </c>
      <c r="AM66" s="107" t="str">
        <f t="shared" si="8"/>
        <v/>
      </c>
      <c r="AN66" s="107" t="str">
        <f t="shared" si="9"/>
        <v/>
      </c>
      <c r="AP66" s="107">
        <v>57</v>
      </c>
      <c r="AR66" s="107" t="str">
        <f t="array" ref="AR66">IFERROR(INDEX($AP$10:$AP$258,MATCH(0,IF(TRUE=$AM$10:$AM$258,COUNTIF($AR$9:$AR65,$AP$10:$AP$258),""),0)),"")</f>
        <v/>
      </c>
      <c r="AS66" s="107" t="str">
        <f t="array" ref="AS66">IFERROR(INDEX($AP$10:$AP$258,MATCH(0,IF(TRUE=$AN$10:$AN$258,COUNTIF($AS$9:$AS65,$AP$10:$AP$258),""),0)),"")</f>
        <v/>
      </c>
      <c r="AT66" s="885" t="str">
        <f>IF(AND(OR(AD66="Yes",AD66="Pending"),Q66='G-7 WaterC'' Data'!$G$4),U66-AA66-Z66,"0")</f>
        <v>0</v>
      </c>
      <c r="AU66" s="30" t="str">
        <f>IF(D66="","",VLOOKUP(D66,'G-7 WaterC'' Data'!B$4:M$8,12,FALSE))</f>
        <v/>
      </c>
      <c r="AV66" s="30" t="str">
        <f t="shared" si="0"/>
        <v/>
      </c>
      <c r="AW66" s="30" t="str">
        <f t="shared" si="10"/>
        <v>No</v>
      </c>
      <c r="BA66" s="555" t="str">
        <f t="shared" si="11"/>
        <v/>
      </c>
    </row>
    <row r="67" spans="3:53" ht="14.5" thickBot="1">
      <c r="C67" s="97">
        <v>58</v>
      </c>
      <c r="D67" s="263"/>
      <c r="E67" s="104"/>
      <c r="F67" s="275" t="str">
        <f>IF(D67="","",VLOOKUP(D67,'G-7 WaterC'' Data'!$B$2:$G$8,2,FALSE))</f>
        <v/>
      </c>
      <c r="G67" s="314" t="str">
        <f>IFERROR(VLOOKUP(F67,'G-7 WaterC'' Data'!$C$4:$D$8,2,FALSE),"")</f>
        <v/>
      </c>
      <c r="H67" s="105"/>
      <c r="I67" s="299" t="str">
        <f>IFERROR(INDEX('G-7 WaterC'' Data'!$H$4:$L$8,MATCH(D67,'G-7 WaterC'' Data'!$B$4:$B$8,0),MATCH(H67,'G-7 WaterC'' Data'!$H$3:$L$3,0)),"")</f>
        <v/>
      </c>
      <c r="J67" s="702"/>
      <c r="K67" s="295" t="str">
        <f>IF(J67="","",IF(VLOOKUP(J67,'G-7 WaterC'' Data'!$AK$4:$AM$9,2,FALSE)=0,"Spatial Data Missing ⚠",VLOOKUP(J67,'G-7 WaterC'' Data'!$AK$4:$AM$6,2,FALSE)))</f>
        <v/>
      </c>
      <c r="L67" s="299" t="str">
        <f>IF(J67="","",IF(VLOOKUP(J67,'G-7 WaterC'' Data'!$AK$4:$AM$9,3,FALSE)=0,"Spatial Data Missing ⚠",VLOOKUP(J67,'G-7 WaterC'' Data'!$AK$4:$AM$6,3,FALSE)))</f>
        <v/>
      </c>
      <c r="M67" s="102"/>
      <c r="N67" s="276" t="str">
        <f>IF(M67="","",IF(AND(M67="N/A - Culvert",D67&lt;&gt;"Culvert"),"Not possible ▲",IF(AND(D67="Culvert",M67&lt;&gt;"N/A - Culvert"),"Not possible ▲",IF(VLOOKUP(M67,'G-7 WaterC'' Data'!$AA$4:$AB$7,2,FALSE)=0,"Spatial Data Missing ⚠",VLOOKUP(M67,'G-7 WaterC'' Data'!$AA$4:$AB$7,2,FALSE)))))</f>
        <v/>
      </c>
      <c r="O67" s="56"/>
      <c r="P67" s="276" t="str">
        <f>IF(O67="","",IF(AND(O67="N/A - Culvert",D67&lt;&gt;"Culvert"),"Not possible ▲",IF(AND(D67="Culvert",O67&lt;&gt;"N/A - Culvert"),"Not possible ▲",IF(VLOOKUP(O67,'G-7 WaterC'' Data'!$AD$4:$AE$14,2,FALSE)=0,"Spatial Data Missing ⚠",VLOOKUP(O67,'G-7 WaterC'' Data'!$AD$4:$AE$14,2,FALSE)))))</f>
        <v/>
      </c>
      <c r="Q67" s="282" t="str">
        <f>IF(D67="","",VLOOKUP(D67,'G-7 WaterC'' Data'!$B$4:$G$8,6,FALSE))</f>
        <v/>
      </c>
      <c r="R67" s="289" t="str">
        <f t="shared" si="1"/>
        <v xml:space="preserve"> </v>
      </c>
      <c r="S67" s="393"/>
      <c r="T67" s="281" t="str">
        <f>IF(S67="","",IF(VLOOKUP(S67,'G-7 WaterC'' Data'!$AO$4:$BO$7,2,FALSE)=0,"Spatial Data Missing ⚠",VLOOKUP(S67,'G-7 WaterC'' Data'!$AO$4:$BO$7,2,FALSE)))</f>
        <v/>
      </c>
      <c r="U67" s="289" t="str">
        <f t="shared" si="2"/>
        <v xml:space="preserve"> </v>
      </c>
      <c r="V67" s="694" t="str">
        <f t="shared" si="3"/>
        <v/>
      </c>
      <c r="W67" s="32"/>
      <c r="X67" s="101"/>
      <c r="Y67" s="108"/>
      <c r="Z67" s="287" t="str">
        <f t="shared" si="4"/>
        <v/>
      </c>
      <c r="AA67" s="287" t="str">
        <f t="shared" si="5"/>
        <v/>
      </c>
      <c r="AB67" s="287" t="str">
        <f t="shared" si="6"/>
        <v/>
      </c>
      <c r="AC67" s="491" t="str">
        <f>IFERROR(IF(OR(E67="",R67=""),"",IF(AND(AB67&lt;&gt;"",S67=""),"Spatial risk category missing ▲",IF(AND(Q67='G-7 WaterC'' Data'!$G$4,AD67="Yes"),"Alternative Compensation ✓",IF(AND(AD67="Pending",Q67='G-7 WaterC'' Data'!$G$4),"Bespoke compensation must be agreed ▲",IF((Z67+AA67)&gt;=U67,0,U67-Z67-AA67))))),"Check Data ⚠")</f>
        <v/>
      </c>
      <c r="AD67" s="393"/>
      <c r="AE67" s="105"/>
      <c r="AF67" s="104"/>
      <c r="AG67" s="104"/>
      <c r="AH67" s="104"/>
      <c r="AI67" s="54" t="str">
        <f>IF(OR(Q67="",AD67="Yes"),"",IF(Q67='G-1 All Habitats'!$X$9,E67-Y67-X67,"None"))</f>
        <v/>
      </c>
      <c r="AJ67" s="55" t="str">
        <f>IF(Q67="","",IF(Q67='G-1 All Habitats'!$X$9,AI67*G67*I67*L67*N67*P67,"None"))</f>
        <v/>
      </c>
      <c r="AK67" s="30" t="str">
        <f>IFERROR(INDEX('G-7 WaterC'' Data'!$AZ$3:$AZ$7,MATCH(D67,'G-7 WaterC'' Data'!$AY$3:$AY$7,0)),"")</f>
        <v/>
      </c>
      <c r="AL67" s="30">
        <f t="shared" si="7"/>
        <v>0</v>
      </c>
      <c r="AM67" s="107" t="str">
        <f t="shared" si="8"/>
        <v/>
      </c>
      <c r="AN67" s="107" t="str">
        <f t="shared" si="9"/>
        <v/>
      </c>
      <c r="AP67" s="107">
        <v>58</v>
      </c>
      <c r="AR67" s="107" t="str">
        <f t="array" ref="AR67">IFERROR(INDEX($AP$10:$AP$258,MATCH(0,IF(TRUE=$AM$10:$AM$258,COUNTIF($AR$9:$AR66,$AP$10:$AP$258),""),0)),"")</f>
        <v/>
      </c>
      <c r="AS67" s="107" t="str">
        <f t="array" ref="AS67">IFERROR(INDEX($AP$10:$AP$258,MATCH(0,IF(TRUE=$AN$10:$AN$258,COUNTIF($AS$9:$AS66,$AP$10:$AP$258),""),0)),"")</f>
        <v/>
      </c>
      <c r="AT67" s="885" t="str">
        <f>IF(AND(OR(AD67="Yes",AD67="Pending"),Q67='G-7 WaterC'' Data'!$G$4),U67-AA67-Z67,"0")</f>
        <v>0</v>
      </c>
      <c r="AU67" s="30" t="str">
        <f>IF(D67="","",VLOOKUP(D67,'G-7 WaterC'' Data'!B$4:M$8,12,FALSE))</f>
        <v/>
      </c>
      <c r="AV67" s="30" t="str">
        <f t="shared" si="0"/>
        <v/>
      </c>
      <c r="AW67" s="30" t="str">
        <f t="shared" si="10"/>
        <v>No</v>
      </c>
      <c r="BA67" s="555" t="str">
        <f t="shared" si="11"/>
        <v/>
      </c>
    </row>
    <row r="68" spans="3:53" ht="14.5" thickBot="1">
      <c r="C68" s="97">
        <v>59</v>
      </c>
      <c r="D68" s="263"/>
      <c r="E68" s="104"/>
      <c r="F68" s="275" t="str">
        <f>IF(D68="","",VLOOKUP(D68,'G-7 WaterC'' Data'!$B$2:$G$8,2,FALSE))</f>
        <v/>
      </c>
      <c r="G68" s="314" t="str">
        <f>IFERROR(VLOOKUP(F68,'G-7 WaterC'' Data'!$C$4:$D$8,2,FALSE),"")</f>
        <v/>
      </c>
      <c r="H68" s="105"/>
      <c r="I68" s="299" t="str">
        <f>IFERROR(INDEX('G-7 WaterC'' Data'!$H$4:$L$8,MATCH(D68,'G-7 WaterC'' Data'!$B$4:$B$8,0),MATCH(H68,'G-7 WaterC'' Data'!$H$3:$L$3,0)),"")</f>
        <v/>
      </c>
      <c r="J68" s="702"/>
      <c r="K68" s="295" t="str">
        <f>IF(J68="","",IF(VLOOKUP(J68,'G-7 WaterC'' Data'!$AK$4:$AM$9,2,FALSE)=0,"Spatial Data Missing ⚠",VLOOKUP(J68,'G-7 WaterC'' Data'!$AK$4:$AM$6,2,FALSE)))</f>
        <v/>
      </c>
      <c r="L68" s="299" t="str">
        <f>IF(J68="","",IF(VLOOKUP(J68,'G-7 WaterC'' Data'!$AK$4:$AM$9,3,FALSE)=0,"Spatial Data Missing ⚠",VLOOKUP(J68,'G-7 WaterC'' Data'!$AK$4:$AM$6,3,FALSE)))</f>
        <v/>
      </c>
      <c r="M68" s="102"/>
      <c r="N68" s="276" t="str">
        <f>IF(M68="","",IF(AND(M68="N/A - Culvert",D68&lt;&gt;"Culvert"),"Not possible ▲",IF(AND(D68="Culvert",M68&lt;&gt;"N/A - Culvert"),"Not possible ▲",IF(VLOOKUP(M68,'G-7 WaterC'' Data'!$AA$4:$AB$7,2,FALSE)=0,"Spatial Data Missing ⚠",VLOOKUP(M68,'G-7 WaterC'' Data'!$AA$4:$AB$7,2,FALSE)))))</f>
        <v/>
      </c>
      <c r="O68" s="56"/>
      <c r="P68" s="276" t="str">
        <f>IF(O68="","",IF(AND(O68="N/A - Culvert",D68&lt;&gt;"Culvert"),"Not possible ▲",IF(AND(D68="Culvert",O68&lt;&gt;"N/A - Culvert"),"Not possible ▲",IF(VLOOKUP(O68,'G-7 WaterC'' Data'!$AD$4:$AE$14,2,FALSE)=0,"Spatial Data Missing ⚠",VLOOKUP(O68,'G-7 WaterC'' Data'!$AD$4:$AE$14,2,FALSE)))))</f>
        <v/>
      </c>
      <c r="Q68" s="282" t="str">
        <f>IF(D68="","",VLOOKUP(D68,'G-7 WaterC'' Data'!$B$4:$G$8,6,FALSE))</f>
        <v/>
      </c>
      <c r="R68" s="289" t="str">
        <f t="shared" si="1"/>
        <v xml:space="preserve"> </v>
      </c>
      <c r="S68" s="393"/>
      <c r="T68" s="281" t="str">
        <f>IF(S68="","",IF(VLOOKUP(S68,'G-7 WaterC'' Data'!$AO$4:$BO$7,2,FALSE)=0,"Spatial Data Missing ⚠",VLOOKUP(S68,'G-7 WaterC'' Data'!$AO$4:$BO$7,2,FALSE)))</f>
        <v/>
      </c>
      <c r="U68" s="289" t="str">
        <f t="shared" si="2"/>
        <v xml:space="preserve"> </v>
      </c>
      <c r="V68" s="694" t="str">
        <f t="shared" si="3"/>
        <v/>
      </c>
      <c r="W68" s="32"/>
      <c r="X68" s="101"/>
      <c r="Y68" s="108"/>
      <c r="Z68" s="287" t="str">
        <f t="shared" si="4"/>
        <v/>
      </c>
      <c r="AA68" s="287" t="str">
        <f t="shared" si="5"/>
        <v/>
      </c>
      <c r="AB68" s="287" t="str">
        <f t="shared" si="6"/>
        <v/>
      </c>
      <c r="AC68" s="491" t="str">
        <f>IFERROR(IF(OR(E68="",R68=""),"",IF(AND(AB68&lt;&gt;"",S68=""),"Spatial risk category missing ▲",IF(AND(Q68='G-7 WaterC'' Data'!$G$4,AD68="Yes"),"Alternative Compensation ✓",IF(AND(AD68="Pending",Q68='G-7 WaterC'' Data'!$G$4),"Bespoke compensation must be agreed ▲",IF((Z68+AA68)&gt;=U68,0,U68-Z68-AA68))))),"Check Data ⚠")</f>
        <v/>
      </c>
      <c r="AD68" s="393"/>
      <c r="AE68" s="105"/>
      <c r="AF68" s="104"/>
      <c r="AG68" s="104"/>
      <c r="AH68" s="104"/>
      <c r="AI68" s="54" t="str">
        <f>IF(OR(Q68="",AD68="Yes"),"",IF(Q68='G-1 All Habitats'!$X$9,E68-Y68-X68,"None"))</f>
        <v/>
      </c>
      <c r="AJ68" s="55" t="str">
        <f>IF(Q68="","",IF(Q68='G-1 All Habitats'!$X$9,AI68*G68*I68*L68*N68*P68,"None"))</f>
        <v/>
      </c>
      <c r="AK68" s="30" t="str">
        <f>IFERROR(INDEX('G-7 WaterC'' Data'!$AZ$3:$AZ$7,MATCH(D68,'G-7 WaterC'' Data'!$AY$3:$AY$7,0)),"")</f>
        <v/>
      </c>
      <c r="AL68" s="30">
        <f t="shared" si="7"/>
        <v>0</v>
      </c>
      <c r="AM68" s="107" t="str">
        <f t="shared" si="8"/>
        <v/>
      </c>
      <c r="AN68" s="107" t="str">
        <f t="shared" si="9"/>
        <v/>
      </c>
      <c r="AP68" s="107">
        <v>59</v>
      </c>
      <c r="AR68" s="107" t="str">
        <f t="array" ref="AR68">IFERROR(INDEX($AP$10:$AP$258,MATCH(0,IF(TRUE=$AM$10:$AM$258,COUNTIF($AR$9:$AR67,$AP$10:$AP$258),""),0)),"")</f>
        <v/>
      </c>
      <c r="AS68" s="107" t="str">
        <f t="array" ref="AS68">IFERROR(INDEX($AP$10:$AP$258,MATCH(0,IF(TRUE=$AN$10:$AN$258,COUNTIF($AS$9:$AS67,$AP$10:$AP$258),""),0)),"")</f>
        <v/>
      </c>
      <c r="AT68" s="885" t="str">
        <f>IF(AND(OR(AD68="Yes",AD68="Pending"),Q68='G-7 WaterC'' Data'!$G$4),U68-AA68-Z68,"0")</f>
        <v>0</v>
      </c>
      <c r="AU68" s="30" t="str">
        <f>IF(D68="","",VLOOKUP(D68,'G-7 WaterC'' Data'!B$4:M$8,12,FALSE))</f>
        <v/>
      </c>
      <c r="AV68" s="30" t="str">
        <f t="shared" si="0"/>
        <v/>
      </c>
      <c r="AW68" s="30" t="str">
        <f t="shared" si="10"/>
        <v>No</v>
      </c>
      <c r="BA68" s="555" t="str">
        <f t="shared" si="11"/>
        <v/>
      </c>
    </row>
    <row r="69" spans="3:53" ht="14.5" thickBot="1">
      <c r="C69" s="97">
        <v>60</v>
      </c>
      <c r="D69" s="263"/>
      <c r="E69" s="104"/>
      <c r="F69" s="275" t="str">
        <f>IF(D69="","",VLOOKUP(D69,'G-7 WaterC'' Data'!$B$2:$G$8,2,FALSE))</f>
        <v/>
      </c>
      <c r="G69" s="314" t="str">
        <f>IFERROR(VLOOKUP(F69,'G-7 WaterC'' Data'!$C$4:$D$8,2,FALSE),"")</f>
        <v/>
      </c>
      <c r="H69" s="105"/>
      <c r="I69" s="299" t="str">
        <f>IFERROR(INDEX('G-7 WaterC'' Data'!$H$4:$L$8,MATCH(D69,'G-7 WaterC'' Data'!$B$4:$B$8,0),MATCH(H69,'G-7 WaterC'' Data'!$H$3:$L$3,0)),"")</f>
        <v/>
      </c>
      <c r="J69" s="702"/>
      <c r="K69" s="295" t="str">
        <f>IF(J69="","",IF(VLOOKUP(J69,'G-7 WaterC'' Data'!$AK$4:$AM$9,2,FALSE)=0,"Spatial Data Missing ⚠",VLOOKUP(J69,'G-7 WaterC'' Data'!$AK$4:$AM$6,2,FALSE)))</f>
        <v/>
      </c>
      <c r="L69" s="299" t="str">
        <f>IF(J69="","",IF(VLOOKUP(J69,'G-7 WaterC'' Data'!$AK$4:$AM$9,3,FALSE)=0,"Spatial Data Missing ⚠",VLOOKUP(J69,'G-7 WaterC'' Data'!$AK$4:$AM$6,3,FALSE)))</f>
        <v/>
      </c>
      <c r="M69" s="102"/>
      <c r="N69" s="276" t="str">
        <f>IF(M69="","",IF(AND(M69="N/A - Culvert",D69&lt;&gt;"Culvert"),"Not possible ▲",IF(AND(D69="Culvert",M69&lt;&gt;"N/A - Culvert"),"Not possible ▲",IF(VLOOKUP(M69,'G-7 WaterC'' Data'!$AA$4:$AB$7,2,FALSE)=0,"Spatial Data Missing ⚠",VLOOKUP(M69,'G-7 WaterC'' Data'!$AA$4:$AB$7,2,FALSE)))))</f>
        <v/>
      </c>
      <c r="O69" s="56"/>
      <c r="P69" s="276" t="str">
        <f>IF(O69="","",IF(AND(O69="N/A - Culvert",D69&lt;&gt;"Culvert"),"Not possible ▲",IF(AND(D69="Culvert",O69&lt;&gt;"N/A - Culvert"),"Not possible ▲",IF(VLOOKUP(O69,'G-7 WaterC'' Data'!$AD$4:$AE$14,2,FALSE)=0,"Spatial Data Missing ⚠",VLOOKUP(O69,'G-7 WaterC'' Data'!$AD$4:$AE$14,2,FALSE)))))</f>
        <v/>
      </c>
      <c r="Q69" s="282" t="str">
        <f>IF(D69="","",VLOOKUP(D69,'G-7 WaterC'' Data'!$B$4:$G$8,6,FALSE))</f>
        <v/>
      </c>
      <c r="R69" s="289" t="str">
        <f t="shared" si="1"/>
        <v xml:space="preserve"> </v>
      </c>
      <c r="S69" s="393"/>
      <c r="T69" s="281" t="str">
        <f>IF(S69="","",IF(VLOOKUP(S69,'G-7 WaterC'' Data'!$AO$4:$BO$7,2,FALSE)=0,"Spatial Data Missing ⚠",VLOOKUP(S69,'G-7 WaterC'' Data'!$AO$4:$BO$7,2,FALSE)))</f>
        <v/>
      </c>
      <c r="U69" s="289" t="str">
        <f t="shared" si="2"/>
        <v xml:space="preserve"> </v>
      </c>
      <c r="V69" s="694" t="str">
        <f t="shared" si="3"/>
        <v/>
      </c>
      <c r="W69" s="32"/>
      <c r="X69" s="101"/>
      <c r="Y69" s="108"/>
      <c r="Z69" s="287" t="str">
        <f t="shared" si="4"/>
        <v/>
      </c>
      <c r="AA69" s="287" t="str">
        <f t="shared" si="5"/>
        <v/>
      </c>
      <c r="AB69" s="287" t="str">
        <f t="shared" si="6"/>
        <v/>
      </c>
      <c r="AC69" s="491" t="str">
        <f>IFERROR(IF(OR(E69="",R69=""),"",IF(AND(AB69&lt;&gt;"",S69=""),"Spatial risk category missing ▲",IF(AND(Q69='G-7 WaterC'' Data'!$G$4,AD69="Yes"),"Alternative Compensation ✓",IF(AND(AD69="Pending",Q69='G-7 WaterC'' Data'!$G$4),"Bespoke compensation must be agreed ▲",IF((Z69+AA69)&gt;=U69,0,U69-Z69-AA69))))),"Check Data ⚠")</f>
        <v/>
      </c>
      <c r="AD69" s="393"/>
      <c r="AE69" s="105"/>
      <c r="AF69" s="104"/>
      <c r="AG69" s="104"/>
      <c r="AH69" s="104"/>
      <c r="AI69" s="54" t="str">
        <f>IF(OR(Q69="",AD69="Yes"),"",IF(Q69='G-1 All Habitats'!$X$9,E69-Y69-X69,"None"))</f>
        <v/>
      </c>
      <c r="AJ69" s="55" t="str">
        <f>IF(Q69="","",IF(Q69='G-1 All Habitats'!$X$9,AI69*G69*I69*L69*N69*P69,"None"))</f>
        <v/>
      </c>
      <c r="AK69" s="30" t="str">
        <f>IFERROR(INDEX('G-7 WaterC'' Data'!$AZ$3:$AZ$7,MATCH(D69,'G-7 WaterC'' Data'!$AY$3:$AY$7,0)),"")</f>
        <v/>
      </c>
      <c r="AL69" s="30">
        <f t="shared" si="7"/>
        <v>0</v>
      </c>
      <c r="AM69" s="107" t="str">
        <f t="shared" si="8"/>
        <v/>
      </c>
      <c r="AN69" s="107" t="str">
        <f t="shared" si="9"/>
        <v/>
      </c>
      <c r="AP69" s="107">
        <v>60</v>
      </c>
      <c r="AR69" s="107" t="str">
        <f t="array" ref="AR69">IFERROR(INDEX($AP$10:$AP$258,MATCH(0,IF(TRUE=$AM$10:$AM$258,COUNTIF($AR$9:$AR68,$AP$10:$AP$258),""),0)),"")</f>
        <v/>
      </c>
      <c r="AS69" s="107" t="str">
        <f t="array" ref="AS69">IFERROR(INDEX($AP$10:$AP$258,MATCH(0,IF(TRUE=$AN$10:$AN$258,COUNTIF($AS$9:$AS68,$AP$10:$AP$258),""),0)),"")</f>
        <v/>
      </c>
      <c r="AT69" s="885" t="str">
        <f>IF(AND(OR(AD69="Yes",AD69="Pending"),Q69='G-7 WaterC'' Data'!$G$4),U69-AA69-Z69,"0")</f>
        <v>0</v>
      </c>
      <c r="AU69" s="30" t="str">
        <f>IF(D69="","",VLOOKUP(D69,'G-7 WaterC'' Data'!B$4:M$8,12,FALSE))</f>
        <v/>
      </c>
      <c r="AV69" s="30" t="str">
        <f t="shared" si="0"/>
        <v/>
      </c>
      <c r="AW69" s="30" t="str">
        <f t="shared" si="10"/>
        <v>No</v>
      </c>
      <c r="BA69" s="555" t="str">
        <f t="shared" si="11"/>
        <v/>
      </c>
    </row>
    <row r="70" spans="3:53" ht="14.5" thickBot="1">
      <c r="C70" s="97">
        <v>61</v>
      </c>
      <c r="D70" s="263"/>
      <c r="E70" s="104"/>
      <c r="F70" s="275" t="str">
        <f>IF(D70="","",VLOOKUP(D70,'G-7 WaterC'' Data'!$B$2:$G$8,2,FALSE))</f>
        <v/>
      </c>
      <c r="G70" s="314" t="str">
        <f>IFERROR(VLOOKUP(F70,'G-7 WaterC'' Data'!$C$4:$D$8,2,FALSE),"")</f>
        <v/>
      </c>
      <c r="H70" s="105"/>
      <c r="I70" s="299" t="str">
        <f>IFERROR(INDEX('G-7 WaterC'' Data'!$H$4:$L$8,MATCH(D70,'G-7 WaterC'' Data'!$B$4:$B$8,0),MATCH(H70,'G-7 WaterC'' Data'!$H$3:$L$3,0)),"")</f>
        <v/>
      </c>
      <c r="J70" s="702"/>
      <c r="K70" s="295" t="str">
        <f>IF(J70="","",IF(VLOOKUP(J70,'G-7 WaterC'' Data'!$AK$4:$AM$9,2,FALSE)=0,"Spatial Data Missing ⚠",VLOOKUP(J70,'G-7 WaterC'' Data'!$AK$4:$AM$6,2,FALSE)))</f>
        <v/>
      </c>
      <c r="L70" s="299" t="str">
        <f>IF(J70="","",IF(VLOOKUP(J70,'G-7 WaterC'' Data'!$AK$4:$AM$9,3,FALSE)=0,"Spatial Data Missing ⚠",VLOOKUP(J70,'G-7 WaterC'' Data'!$AK$4:$AM$6,3,FALSE)))</f>
        <v/>
      </c>
      <c r="M70" s="102"/>
      <c r="N70" s="276" t="str">
        <f>IF(M70="","",IF(AND(M70="N/A - Culvert",D70&lt;&gt;"Culvert"),"Not possible ▲",IF(AND(D70="Culvert",M70&lt;&gt;"N/A - Culvert"),"Not possible ▲",IF(VLOOKUP(M70,'G-7 WaterC'' Data'!$AA$4:$AB$7,2,FALSE)=0,"Spatial Data Missing ⚠",VLOOKUP(M70,'G-7 WaterC'' Data'!$AA$4:$AB$7,2,FALSE)))))</f>
        <v/>
      </c>
      <c r="O70" s="56"/>
      <c r="P70" s="276" t="str">
        <f>IF(O70="","",IF(AND(O70="N/A - Culvert",D70&lt;&gt;"Culvert"),"Not possible ▲",IF(AND(D70="Culvert",O70&lt;&gt;"N/A - Culvert"),"Not possible ▲",IF(VLOOKUP(O70,'G-7 WaterC'' Data'!$AD$4:$AE$14,2,FALSE)=0,"Spatial Data Missing ⚠",VLOOKUP(O70,'G-7 WaterC'' Data'!$AD$4:$AE$14,2,FALSE)))))</f>
        <v/>
      </c>
      <c r="Q70" s="282" t="str">
        <f>IF(D70="","",VLOOKUP(D70,'G-7 WaterC'' Data'!$B$4:$G$8,6,FALSE))</f>
        <v/>
      </c>
      <c r="R70" s="289" t="str">
        <f t="shared" si="1"/>
        <v xml:space="preserve"> </v>
      </c>
      <c r="S70" s="393"/>
      <c r="T70" s="281" t="str">
        <f>IF(S70="","",IF(VLOOKUP(S70,'G-7 WaterC'' Data'!$AO$4:$BO$7,2,FALSE)=0,"Spatial Data Missing ⚠",VLOOKUP(S70,'G-7 WaterC'' Data'!$AO$4:$BO$7,2,FALSE)))</f>
        <v/>
      </c>
      <c r="U70" s="289" t="str">
        <f t="shared" si="2"/>
        <v xml:space="preserve"> </v>
      </c>
      <c r="V70" s="694" t="str">
        <f t="shared" si="3"/>
        <v/>
      </c>
      <c r="W70" s="32"/>
      <c r="X70" s="101"/>
      <c r="Y70" s="108"/>
      <c r="Z70" s="287" t="str">
        <f t="shared" si="4"/>
        <v/>
      </c>
      <c r="AA70" s="287" t="str">
        <f t="shared" si="5"/>
        <v/>
      </c>
      <c r="AB70" s="287" t="str">
        <f t="shared" si="6"/>
        <v/>
      </c>
      <c r="AC70" s="491" t="str">
        <f>IFERROR(IF(OR(E70="",R70=""),"",IF(AND(AB70&lt;&gt;"",S70=""),"Spatial risk category missing ▲",IF(AND(Q70='G-7 WaterC'' Data'!$G$4,AD70="Yes"),"Alternative Compensation ✓",IF(AND(AD70="Pending",Q70='G-7 WaterC'' Data'!$G$4),"Bespoke compensation must be agreed ▲",IF((Z70+AA70)&gt;=U70,0,U70-Z70-AA70))))),"Check Data ⚠")</f>
        <v/>
      </c>
      <c r="AD70" s="393"/>
      <c r="AE70" s="105"/>
      <c r="AF70" s="104"/>
      <c r="AG70" s="104"/>
      <c r="AH70" s="104"/>
      <c r="AI70" s="54" t="str">
        <f>IF(OR(Q70="",AD70="Yes"),"",IF(Q70='G-1 All Habitats'!$X$9,E70-Y70-X70,"None"))</f>
        <v/>
      </c>
      <c r="AJ70" s="55" t="str">
        <f>IF(Q70="","",IF(Q70='G-1 All Habitats'!$X$9,AI70*G70*I70*L70*N70*P70,"None"))</f>
        <v/>
      </c>
      <c r="AK70" s="30" t="str">
        <f>IFERROR(INDEX('G-7 WaterC'' Data'!$AZ$3:$AZ$7,MATCH(D70,'G-7 WaterC'' Data'!$AY$3:$AY$7,0)),"")</f>
        <v/>
      </c>
      <c r="AL70" s="30">
        <f t="shared" si="7"/>
        <v>0</v>
      </c>
      <c r="AM70" s="107" t="str">
        <f t="shared" si="8"/>
        <v/>
      </c>
      <c r="AN70" s="107" t="str">
        <f t="shared" si="9"/>
        <v/>
      </c>
      <c r="AP70" s="107">
        <v>61</v>
      </c>
      <c r="AR70" s="107" t="str">
        <f t="array" ref="AR70">IFERROR(INDEX($AP$10:$AP$258,MATCH(0,IF(TRUE=$AM$10:$AM$258,COUNTIF($AR$9:$AR69,$AP$10:$AP$258),""),0)),"")</f>
        <v/>
      </c>
      <c r="AS70" s="107" t="str">
        <f t="array" ref="AS70">IFERROR(INDEX($AP$10:$AP$258,MATCH(0,IF(TRUE=$AN$10:$AN$258,COUNTIF($AS$9:$AS69,$AP$10:$AP$258),""),0)),"")</f>
        <v/>
      </c>
      <c r="AT70" s="885" t="str">
        <f>IF(AND(OR(AD70="Yes",AD70="Pending"),Q70='G-7 WaterC'' Data'!$G$4),U70-AA70-Z70,"0")</f>
        <v>0</v>
      </c>
      <c r="AU70" s="30" t="str">
        <f>IF(D70="","",VLOOKUP(D70,'G-7 WaterC'' Data'!B$4:M$8,12,FALSE))</f>
        <v/>
      </c>
      <c r="AV70" s="30" t="str">
        <f t="shared" si="0"/>
        <v/>
      </c>
      <c r="AW70" s="30" t="str">
        <f t="shared" si="10"/>
        <v>No</v>
      </c>
      <c r="BA70" s="555" t="str">
        <f t="shared" si="11"/>
        <v/>
      </c>
    </row>
    <row r="71" spans="3:53" ht="14.5" thickBot="1">
      <c r="C71" s="97">
        <v>62</v>
      </c>
      <c r="D71" s="263"/>
      <c r="E71" s="104"/>
      <c r="F71" s="275" t="str">
        <f>IF(D71="","",VLOOKUP(D71,'G-7 WaterC'' Data'!$B$2:$G$8,2,FALSE))</f>
        <v/>
      </c>
      <c r="G71" s="314" t="str">
        <f>IFERROR(VLOOKUP(F71,'G-7 WaterC'' Data'!$C$4:$D$8,2,FALSE),"")</f>
        <v/>
      </c>
      <c r="H71" s="105"/>
      <c r="I71" s="299" t="str">
        <f>IFERROR(INDEX('G-7 WaterC'' Data'!$H$4:$L$8,MATCH(D71,'G-7 WaterC'' Data'!$B$4:$B$8,0),MATCH(H71,'G-7 WaterC'' Data'!$H$3:$L$3,0)),"")</f>
        <v/>
      </c>
      <c r="J71" s="702"/>
      <c r="K71" s="295" t="str">
        <f>IF(J71="","",IF(VLOOKUP(J71,'G-7 WaterC'' Data'!$AK$4:$AM$9,2,FALSE)=0,"Spatial Data Missing ⚠",VLOOKUP(J71,'G-7 WaterC'' Data'!$AK$4:$AM$6,2,FALSE)))</f>
        <v/>
      </c>
      <c r="L71" s="299" t="str">
        <f>IF(J71="","",IF(VLOOKUP(J71,'G-7 WaterC'' Data'!$AK$4:$AM$9,3,FALSE)=0,"Spatial Data Missing ⚠",VLOOKUP(J71,'G-7 WaterC'' Data'!$AK$4:$AM$6,3,FALSE)))</f>
        <v/>
      </c>
      <c r="M71" s="102"/>
      <c r="N71" s="276" t="str">
        <f>IF(M71="","",IF(AND(M71="N/A - Culvert",D71&lt;&gt;"Culvert"),"Not possible ▲",IF(AND(D71="Culvert",M71&lt;&gt;"N/A - Culvert"),"Not possible ▲",IF(VLOOKUP(M71,'G-7 WaterC'' Data'!$AA$4:$AB$7,2,FALSE)=0,"Spatial Data Missing ⚠",VLOOKUP(M71,'G-7 WaterC'' Data'!$AA$4:$AB$7,2,FALSE)))))</f>
        <v/>
      </c>
      <c r="O71" s="56"/>
      <c r="P71" s="276" t="str">
        <f>IF(O71="","",IF(AND(O71="N/A - Culvert",D71&lt;&gt;"Culvert"),"Not possible ▲",IF(AND(D71="Culvert",O71&lt;&gt;"N/A - Culvert"),"Not possible ▲",IF(VLOOKUP(O71,'G-7 WaterC'' Data'!$AD$4:$AE$14,2,FALSE)=0,"Spatial Data Missing ⚠",VLOOKUP(O71,'G-7 WaterC'' Data'!$AD$4:$AE$14,2,FALSE)))))</f>
        <v/>
      </c>
      <c r="Q71" s="282" t="str">
        <f>IF(D71="","",VLOOKUP(D71,'G-7 WaterC'' Data'!$B$4:$G$8,6,FALSE))</f>
        <v/>
      </c>
      <c r="R71" s="289" t="str">
        <f t="shared" si="1"/>
        <v xml:space="preserve"> </v>
      </c>
      <c r="S71" s="393"/>
      <c r="T71" s="281" t="str">
        <f>IF(S71="","",IF(VLOOKUP(S71,'G-7 WaterC'' Data'!$AO$4:$BO$7,2,FALSE)=0,"Spatial Data Missing ⚠",VLOOKUP(S71,'G-7 WaterC'' Data'!$AO$4:$BO$7,2,FALSE)))</f>
        <v/>
      </c>
      <c r="U71" s="289" t="str">
        <f t="shared" si="2"/>
        <v xml:space="preserve"> </v>
      </c>
      <c r="V71" s="694" t="str">
        <f t="shared" si="3"/>
        <v/>
      </c>
      <c r="W71" s="32"/>
      <c r="X71" s="101"/>
      <c r="Y71" s="108"/>
      <c r="Z71" s="287" t="str">
        <f t="shared" si="4"/>
        <v/>
      </c>
      <c r="AA71" s="287" t="str">
        <f t="shared" si="5"/>
        <v/>
      </c>
      <c r="AB71" s="287" t="str">
        <f t="shared" si="6"/>
        <v/>
      </c>
      <c r="AC71" s="491" t="str">
        <f>IFERROR(IF(OR(E71="",R71=""),"",IF(AND(AB71&lt;&gt;"",S71=""),"Spatial risk category missing ▲",IF(AND(Q71='G-7 WaterC'' Data'!$G$4,AD71="Yes"),"Alternative Compensation ✓",IF(AND(AD71="Pending",Q71='G-7 WaterC'' Data'!$G$4),"Bespoke compensation must be agreed ▲",IF((Z71+AA71)&gt;=U71,0,U71-Z71-AA71))))),"Check Data ⚠")</f>
        <v/>
      </c>
      <c r="AD71" s="393"/>
      <c r="AE71" s="105"/>
      <c r="AF71" s="104"/>
      <c r="AG71" s="104"/>
      <c r="AH71" s="104"/>
      <c r="AI71" s="54" t="str">
        <f>IF(OR(Q71="",AD71="Yes"),"",IF(Q71='G-1 All Habitats'!$X$9,E71-Y71-X71,"None"))</f>
        <v/>
      </c>
      <c r="AJ71" s="55" t="str">
        <f>IF(Q71="","",IF(Q71='G-1 All Habitats'!$X$9,AI71*G71*I71*L71*N71*P71,"None"))</f>
        <v/>
      </c>
      <c r="AK71" s="30" t="str">
        <f>IFERROR(INDEX('G-7 WaterC'' Data'!$AZ$3:$AZ$7,MATCH(D71,'G-7 WaterC'' Data'!$AY$3:$AY$7,0)),"")</f>
        <v/>
      </c>
      <c r="AL71" s="30">
        <f t="shared" si="7"/>
        <v>0</v>
      </c>
      <c r="AM71" s="107" t="str">
        <f t="shared" si="8"/>
        <v/>
      </c>
      <c r="AN71" s="107" t="str">
        <f t="shared" si="9"/>
        <v/>
      </c>
      <c r="AP71" s="107">
        <v>62</v>
      </c>
      <c r="AR71" s="107" t="str">
        <f t="array" ref="AR71">IFERROR(INDEX($AP$10:$AP$258,MATCH(0,IF(TRUE=$AM$10:$AM$258,COUNTIF($AR$9:$AR70,$AP$10:$AP$258),""),0)),"")</f>
        <v/>
      </c>
      <c r="AS71" s="107" t="str">
        <f t="array" ref="AS71">IFERROR(INDEX($AP$10:$AP$258,MATCH(0,IF(TRUE=$AN$10:$AN$258,COUNTIF($AS$9:$AS70,$AP$10:$AP$258),""),0)),"")</f>
        <v/>
      </c>
      <c r="AT71" s="885" t="str">
        <f>IF(AND(OR(AD71="Yes",AD71="Pending"),Q71='G-7 WaterC'' Data'!$G$4),U71-AA71-Z71,"0")</f>
        <v>0</v>
      </c>
      <c r="AU71" s="30" t="str">
        <f>IF(D71="","",VLOOKUP(D71,'G-7 WaterC'' Data'!B$4:M$8,12,FALSE))</f>
        <v/>
      </c>
      <c r="AV71" s="30" t="str">
        <f t="shared" si="0"/>
        <v/>
      </c>
      <c r="AW71" s="30" t="str">
        <f t="shared" si="10"/>
        <v>No</v>
      </c>
      <c r="BA71" s="555" t="str">
        <f t="shared" si="11"/>
        <v/>
      </c>
    </row>
    <row r="72" spans="3:53" ht="14.5" thickBot="1">
      <c r="C72" s="97">
        <v>63</v>
      </c>
      <c r="D72" s="263"/>
      <c r="E72" s="104"/>
      <c r="F72" s="275" t="str">
        <f>IF(D72="","",VLOOKUP(D72,'G-7 WaterC'' Data'!$B$2:$G$8,2,FALSE))</f>
        <v/>
      </c>
      <c r="G72" s="314" t="str">
        <f>IFERROR(VLOOKUP(F72,'G-7 WaterC'' Data'!$C$4:$D$8,2,FALSE),"")</f>
        <v/>
      </c>
      <c r="H72" s="105"/>
      <c r="I72" s="299" t="str">
        <f>IFERROR(INDEX('G-7 WaterC'' Data'!$H$4:$L$8,MATCH(D72,'G-7 WaterC'' Data'!$B$4:$B$8,0),MATCH(H72,'G-7 WaterC'' Data'!$H$3:$L$3,0)),"")</f>
        <v/>
      </c>
      <c r="J72" s="702"/>
      <c r="K72" s="295" t="str">
        <f>IF(J72="","",IF(VLOOKUP(J72,'G-7 WaterC'' Data'!$AK$4:$AM$9,2,FALSE)=0,"Spatial Data Missing ⚠",VLOOKUP(J72,'G-7 WaterC'' Data'!$AK$4:$AM$6,2,FALSE)))</f>
        <v/>
      </c>
      <c r="L72" s="299" t="str">
        <f>IF(J72="","",IF(VLOOKUP(J72,'G-7 WaterC'' Data'!$AK$4:$AM$9,3,FALSE)=0,"Spatial Data Missing ⚠",VLOOKUP(J72,'G-7 WaterC'' Data'!$AK$4:$AM$6,3,FALSE)))</f>
        <v/>
      </c>
      <c r="M72" s="102"/>
      <c r="N72" s="276" t="str">
        <f>IF(M72="","",IF(AND(M72="N/A - Culvert",D72&lt;&gt;"Culvert"),"Not possible ▲",IF(AND(D72="Culvert",M72&lt;&gt;"N/A - Culvert"),"Not possible ▲",IF(VLOOKUP(M72,'G-7 WaterC'' Data'!$AA$4:$AB$7,2,FALSE)=0,"Spatial Data Missing ⚠",VLOOKUP(M72,'G-7 WaterC'' Data'!$AA$4:$AB$7,2,FALSE)))))</f>
        <v/>
      </c>
      <c r="O72" s="56"/>
      <c r="P72" s="276" t="str">
        <f>IF(O72="","",IF(AND(O72="N/A - Culvert",D72&lt;&gt;"Culvert"),"Not possible ▲",IF(AND(D72="Culvert",O72&lt;&gt;"N/A - Culvert"),"Not possible ▲",IF(VLOOKUP(O72,'G-7 WaterC'' Data'!$AD$4:$AE$14,2,FALSE)=0,"Spatial Data Missing ⚠",VLOOKUP(O72,'G-7 WaterC'' Data'!$AD$4:$AE$14,2,FALSE)))))</f>
        <v/>
      </c>
      <c r="Q72" s="282" t="str">
        <f>IF(D72="","",VLOOKUP(D72,'G-7 WaterC'' Data'!$B$4:$G$8,6,FALSE))</f>
        <v/>
      </c>
      <c r="R72" s="289" t="str">
        <f t="shared" si="1"/>
        <v xml:space="preserve"> </v>
      </c>
      <c r="S72" s="393"/>
      <c r="T72" s="281" t="str">
        <f>IF(S72="","",IF(VLOOKUP(S72,'G-7 WaterC'' Data'!$AO$4:$BO$7,2,FALSE)=0,"Spatial Data Missing ⚠",VLOOKUP(S72,'G-7 WaterC'' Data'!$AO$4:$BO$7,2,FALSE)))</f>
        <v/>
      </c>
      <c r="U72" s="289" t="str">
        <f t="shared" si="2"/>
        <v xml:space="preserve"> </v>
      </c>
      <c r="V72" s="694" t="str">
        <f t="shared" si="3"/>
        <v/>
      </c>
      <c r="W72" s="32"/>
      <c r="X72" s="101"/>
      <c r="Y72" s="108"/>
      <c r="Z72" s="287" t="str">
        <f t="shared" si="4"/>
        <v/>
      </c>
      <c r="AA72" s="287" t="str">
        <f t="shared" si="5"/>
        <v/>
      </c>
      <c r="AB72" s="287" t="str">
        <f t="shared" si="6"/>
        <v/>
      </c>
      <c r="AC72" s="491" t="str">
        <f>IFERROR(IF(OR(E72="",R72=""),"",IF(AND(AB72&lt;&gt;"",S72=""),"Spatial risk category missing ▲",IF(AND(Q72='G-7 WaterC'' Data'!$G$4,AD72="Yes"),"Alternative Compensation ✓",IF(AND(AD72="Pending",Q72='G-7 WaterC'' Data'!$G$4),"Bespoke compensation must be agreed ▲",IF((Z72+AA72)&gt;=U72,0,U72-Z72-AA72))))),"Check Data ⚠")</f>
        <v/>
      </c>
      <c r="AD72" s="393"/>
      <c r="AE72" s="105"/>
      <c r="AF72" s="104"/>
      <c r="AG72" s="104"/>
      <c r="AH72" s="104"/>
      <c r="AI72" s="54" t="str">
        <f>IF(OR(Q72="",AD72="Yes"),"",IF(Q72='G-1 All Habitats'!$X$9,E72-Y72-X72,"None"))</f>
        <v/>
      </c>
      <c r="AJ72" s="55" t="str">
        <f>IF(Q72="","",IF(Q72='G-1 All Habitats'!$X$9,AI72*G72*I72*L72*N72*P72,"None"))</f>
        <v/>
      </c>
      <c r="AK72" s="30" t="str">
        <f>IFERROR(INDEX('G-7 WaterC'' Data'!$AZ$3:$AZ$7,MATCH(D72,'G-7 WaterC'' Data'!$AY$3:$AY$7,0)),"")</f>
        <v/>
      </c>
      <c r="AL72" s="30">
        <f t="shared" si="7"/>
        <v>0</v>
      </c>
      <c r="AM72" s="107" t="str">
        <f t="shared" si="8"/>
        <v/>
      </c>
      <c r="AN72" s="107" t="str">
        <f t="shared" si="9"/>
        <v/>
      </c>
      <c r="AP72" s="107">
        <v>63</v>
      </c>
      <c r="AR72" s="107" t="str">
        <f t="array" ref="AR72">IFERROR(INDEX($AP$10:$AP$258,MATCH(0,IF(TRUE=$AM$10:$AM$258,COUNTIF($AR$9:$AR71,$AP$10:$AP$258),""),0)),"")</f>
        <v/>
      </c>
      <c r="AS72" s="107" t="str">
        <f t="array" ref="AS72">IFERROR(INDEX($AP$10:$AP$258,MATCH(0,IF(TRUE=$AN$10:$AN$258,COUNTIF($AS$9:$AS71,$AP$10:$AP$258),""),0)),"")</f>
        <v/>
      </c>
      <c r="AT72" s="885" t="str">
        <f>IF(AND(OR(AD72="Yes",AD72="Pending"),Q72='G-7 WaterC'' Data'!$G$4),U72-AA72-Z72,"0")</f>
        <v>0</v>
      </c>
      <c r="AU72" s="30" t="str">
        <f>IF(D72="","",VLOOKUP(D72,'G-7 WaterC'' Data'!B$4:M$8,12,FALSE))</f>
        <v/>
      </c>
      <c r="AV72" s="30" t="str">
        <f t="shared" si="0"/>
        <v/>
      </c>
      <c r="AW72" s="30" t="str">
        <f t="shared" si="10"/>
        <v>No</v>
      </c>
      <c r="BA72" s="555" t="str">
        <f t="shared" si="11"/>
        <v/>
      </c>
    </row>
    <row r="73" spans="3:53" ht="14.5" thickBot="1">
      <c r="C73" s="97">
        <v>64</v>
      </c>
      <c r="D73" s="263"/>
      <c r="E73" s="104"/>
      <c r="F73" s="275" t="str">
        <f>IF(D73="","",VLOOKUP(D73,'G-7 WaterC'' Data'!$B$2:$G$8,2,FALSE))</f>
        <v/>
      </c>
      <c r="G73" s="314" t="str">
        <f>IFERROR(VLOOKUP(F73,'G-7 WaterC'' Data'!$C$4:$D$8,2,FALSE),"")</f>
        <v/>
      </c>
      <c r="H73" s="105"/>
      <c r="I73" s="299" t="str">
        <f>IFERROR(INDEX('G-7 WaterC'' Data'!$H$4:$L$8,MATCH(D73,'G-7 WaterC'' Data'!$B$4:$B$8,0),MATCH(H73,'G-7 WaterC'' Data'!$H$3:$L$3,0)),"")</f>
        <v/>
      </c>
      <c r="J73" s="702"/>
      <c r="K73" s="295" t="str">
        <f>IF(J73="","",IF(VLOOKUP(J73,'G-7 WaterC'' Data'!$AK$4:$AM$9,2,FALSE)=0,"Spatial Data Missing ⚠",VLOOKUP(J73,'G-7 WaterC'' Data'!$AK$4:$AM$6,2,FALSE)))</f>
        <v/>
      </c>
      <c r="L73" s="299" t="str">
        <f>IF(J73="","",IF(VLOOKUP(J73,'G-7 WaterC'' Data'!$AK$4:$AM$9,3,FALSE)=0,"Spatial Data Missing ⚠",VLOOKUP(J73,'G-7 WaterC'' Data'!$AK$4:$AM$6,3,FALSE)))</f>
        <v/>
      </c>
      <c r="M73" s="102"/>
      <c r="N73" s="276" t="str">
        <f>IF(M73="","",IF(AND(M73="N/A - Culvert",D73&lt;&gt;"Culvert"),"Not possible ▲",IF(AND(D73="Culvert",M73&lt;&gt;"N/A - Culvert"),"Not possible ▲",IF(VLOOKUP(M73,'G-7 WaterC'' Data'!$AA$4:$AB$7,2,FALSE)=0,"Spatial Data Missing ⚠",VLOOKUP(M73,'G-7 WaterC'' Data'!$AA$4:$AB$7,2,FALSE)))))</f>
        <v/>
      </c>
      <c r="O73" s="56"/>
      <c r="P73" s="276" t="str">
        <f>IF(O73="","",IF(AND(O73="N/A - Culvert",D73&lt;&gt;"Culvert"),"Not possible ▲",IF(AND(D73="Culvert",O73&lt;&gt;"N/A - Culvert"),"Not possible ▲",IF(VLOOKUP(O73,'G-7 WaterC'' Data'!$AD$4:$AE$14,2,FALSE)=0,"Spatial Data Missing ⚠",VLOOKUP(O73,'G-7 WaterC'' Data'!$AD$4:$AE$14,2,FALSE)))))</f>
        <v/>
      </c>
      <c r="Q73" s="282" t="str">
        <f>IF(D73="","",VLOOKUP(D73,'G-7 WaterC'' Data'!$B$4:$G$8,6,FALSE))</f>
        <v/>
      </c>
      <c r="R73" s="289" t="str">
        <f t="shared" si="1"/>
        <v xml:space="preserve"> </v>
      </c>
      <c r="S73" s="393"/>
      <c r="T73" s="281" t="str">
        <f>IF(S73="","",IF(VLOOKUP(S73,'G-7 WaterC'' Data'!$AO$4:$BO$7,2,FALSE)=0,"Spatial Data Missing ⚠",VLOOKUP(S73,'G-7 WaterC'' Data'!$AO$4:$BO$7,2,FALSE)))</f>
        <v/>
      </c>
      <c r="U73" s="289" t="str">
        <f t="shared" si="2"/>
        <v xml:space="preserve"> </v>
      </c>
      <c r="V73" s="694" t="str">
        <f t="shared" si="3"/>
        <v/>
      </c>
      <c r="W73" s="32"/>
      <c r="X73" s="101"/>
      <c r="Y73" s="108"/>
      <c r="Z73" s="287" t="str">
        <f t="shared" si="4"/>
        <v/>
      </c>
      <c r="AA73" s="287" t="str">
        <f t="shared" si="5"/>
        <v/>
      </c>
      <c r="AB73" s="287" t="str">
        <f t="shared" si="6"/>
        <v/>
      </c>
      <c r="AC73" s="491" t="str">
        <f>IFERROR(IF(OR(E73="",R73=""),"",IF(AND(AB73&lt;&gt;"",S73=""),"Spatial risk category missing ▲",IF(AND(Q73='G-7 WaterC'' Data'!$G$4,AD73="Yes"),"Alternative Compensation ✓",IF(AND(AD73="Pending",Q73='G-7 WaterC'' Data'!$G$4),"Bespoke compensation must be agreed ▲",IF((Z73+AA73)&gt;=U73,0,U73-Z73-AA73))))),"Check Data ⚠")</f>
        <v/>
      </c>
      <c r="AD73" s="393"/>
      <c r="AE73" s="105"/>
      <c r="AF73" s="104"/>
      <c r="AG73" s="104"/>
      <c r="AH73" s="104"/>
      <c r="AI73" s="54" t="str">
        <f>IF(OR(Q73="",AD73="Yes"),"",IF(Q73='G-1 All Habitats'!$X$9,E73-Y73-X73,"None"))</f>
        <v/>
      </c>
      <c r="AJ73" s="55" t="str">
        <f>IF(Q73="","",IF(Q73='G-1 All Habitats'!$X$9,AI73*G73*I73*L73*N73*P73,"None"))</f>
        <v/>
      </c>
      <c r="AK73" s="30" t="str">
        <f>IFERROR(INDEX('G-7 WaterC'' Data'!$AZ$3:$AZ$7,MATCH(D73,'G-7 WaterC'' Data'!$AY$3:$AY$7,0)),"")</f>
        <v/>
      </c>
      <c r="AL73" s="30">
        <f t="shared" si="7"/>
        <v>0</v>
      </c>
      <c r="AM73" s="107" t="str">
        <f t="shared" si="8"/>
        <v/>
      </c>
      <c r="AN73" s="107" t="str">
        <f t="shared" si="9"/>
        <v/>
      </c>
      <c r="AP73" s="107">
        <v>64</v>
      </c>
      <c r="AR73" s="107" t="str">
        <f t="array" ref="AR73">IFERROR(INDEX($AP$10:$AP$258,MATCH(0,IF(TRUE=$AM$10:$AM$258,COUNTIF($AR$9:$AR72,$AP$10:$AP$258),""),0)),"")</f>
        <v/>
      </c>
      <c r="AS73" s="107" t="str">
        <f t="array" ref="AS73">IFERROR(INDEX($AP$10:$AP$258,MATCH(0,IF(TRUE=$AN$10:$AN$258,COUNTIF($AS$9:$AS72,$AP$10:$AP$258),""),0)),"")</f>
        <v/>
      </c>
      <c r="AT73" s="885" t="str">
        <f>IF(AND(OR(AD73="Yes",AD73="Pending"),Q73='G-7 WaterC'' Data'!$G$4),U73-AA73-Z73,"0")</f>
        <v>0</v>
      </c>
      <c r="AU73" s="30" t="str">
        <f>IF(D73="","",VLOOKUP(D73,'G-7 WaterC'' Data'!B$4:M$8,12,FALSE))</f>
        <v/>
      </c>
      <c r="AV73" s="30" t="str">
        <f t="shared" si="0"/>
        <v/>
      </c>
      <c r="AW73" s="30" t="str">
        <f t="shared" si="10"/>
        <v>No</v>
      </c>
      <c r="BA73" s="555" t="str">
        <f t="shared" si="11"/>
        <v/>
      </c>
    </row>
    <row r="74" spans="3:53" ht="14.5" thickBot="1">
      <c r="C74" s="97">
        <v>65</v>
      </c>
      <c r="D74" s="263"/>
      <c r="E74" s="104"/>
      <c r="F74" s="275" t="str">
        <f>IF(D74="","",VLOOKUP(D74,'G-7 WaterC'' Data'!$B$2:$G$8,2,FALSE))</f>
        <v/>
      </c>
      <c r="G74" s="314" t="str">
        <f>IFERROR(VLOOKUP(F74,'G-7 WaterC'' Data'!$C$4:$D$8,2,FALSE),"")</f>
        <v/>
      </c>
      <c r="H74" s="105"/>
      <c r="I74" s="299" t="str">
        <f>IFERROR(INDEX('G-7 WaterC'' Data'!$H$4:$L$8,MATCH(D74,'G-7 WaterC'' Data'!$B$4:$B$8,0),MATCH(H74,'G-7 WaterC'' Data'!$H$3:$L$3,0)),"")</f>
        <v/>
      </c>
      <c r="J74" s="702"/>
      <c r="K74" s="295" t="str">
        <f>IF(J74="","",IF(VLOOKUP(J74,'G-7 WaterC'' Data'!$AK$4:$AM$9,2,FALSE)=0,"Spatial Data Missing ⚠",VLOOKUP(J74,'G-7 WaterC'' Data'!$AK$4:$AM$6,2,FALSE)))</f>
        <v/>
      </c>
      <c r="L74" s="299" t="str">
        <f>IF(J74="","",IF(VLOOKUP(J74,'G-7 WaterC'' Data'!$AK$4:$AM$9,3,FALSE)=0,"Spatial Data Missing ⚠",VLOOKUP(J74,'G-7 WaterC'' Data'!$AK$4:$AM$6,3,FALSE)))</f>
        <v/>
      </c>
      <c r="M74" s="102"/>
      <c r="N74" s="276" t="str">
        <f>IF(M74="","",IF(AND(M74="N/A - Culvert",D74&lt;&gt;"Culvert"),"Not possible ▲",IF(AND(D74="Culvert",M74&lt;&gt;"N/A - Culvert"),"Not possible ▲",IF(VLOOKUP(M74,'G-7 WaterC'' Data'!$AA$4:$AB$7,2,FALSE)=0,"Spatial Data Missing ⚠",VLOOKUP(M74,'G-7 WaterC'' Data'!$AA$4:$AB$7,2,FALSE)))))</f>
        <v/>
      </c>
      <c r="O74" s="56"/>
      <c r="P74" s="276" t="str">
        <f>IF(O74="","",IF(AND(O74="N/A - Culvert",D74&lt;&gt;"Culvert"),"Not possible ▲",IF(AND(D74="Culvert",O74&lt;&gt;"N/A - Culvert"),"Not possible ▲",IF(VLOOKUP(O74,'G-7 WaterC'' Data'!$AD$4:$AE$14,2,FALSE)=0,"Spatial Data Missing ⚠",VLOOKUP(O74,'G-7 WaterC'' Data'!$AD$4:$AE$14,2,FALSE)))))</f>
        <v/>
      </c>
      <c r="Q74" s="282" t="str">
        <f>IF(D74="","",VLOOKUP(D74,'G-7 WaterC'' Data'!$B$4:$G$8,6,FALSE))</f>
        <v/>
      </c>
      <c r="R74" s="289" t="str">
        <f t="shared" si="1"/>
        <v xml:space="preserve"> </v>
      </c>
      <c r="S74" s="393"/>
      <c r="T74" s="281" t="str">
        <f>IF(S74="","",IF(VLOOKUP(S74,'G-7 WaterC'' Data'!$AO$4:$BO$7,2,FALSE)=0,"Spatial Data Missing ⚠",VLOOKUP(S74,'G-7 WaterC'' Data'!$AO$4:$BO$7,2,FALSE)))</f>
        <v/>
      </c>
      <c r="U74" s="289" t="str">
        <f t="shared" si="2"/>
        <v xml:space="preserve"> </v>
      </c>
      <c r="V74" s="694" t="str">
        <f t="shared" si="3"/>
        <v/>
      </c>
      <c r="W74" s="32"/>
      <c r="X74" s="101"/>
      <c r="Y74" s="108"/>
      <c r="Z74" s="287" t="str">
        <f t="shared" si="4"/>
        <v/>
      </c>
      <c r="AA74" s="287" t="str">
        <f t="shared" si="5"/>
        <v/>
      </c>
      <c r="AB74" s="287" t="str">
        <f t="shared" si="6"/>
        <v/>
      </c>
      <c r="AC74" s="491" t="str">
        <f>IFERROR(IF(OR(E74="",R74=""),"",IF(AND(AB74&lt;&gt;"",S74=""),"Spatial risk category missing ▲",IF(AND(Q74='G-7 WaterC'' Data'!$G$4,AD74="Yes"),"Alternative Compensation ✓",IF(AND(AD74="Pending",Q74='G-7 WaterC'' Data'!$G$4),"Bespoke compensation must be agreed ▲",IF((Z74+AA74)&gt;=U74,0,U74-Z74-AA74))))),"Check Data ⚠")</f>
        <v/>
      </c>
      <c r="AD74" s="393"/>
      <c r="AE74" s="105"/>
      <c r="AF74" s="104"/>
      <c r="AG74" s="104"/>
      <c r="AH74" s="104"/>
      <c r="AI74" s="54" t="str">
        <f>IF(OR(Q74="",AD74="Yes"),"",IF(Q74='G-1 All Habitats'!$X$9,E74-Y74-X74,"None"))</f>
        <v/>
      </c>
      <c r="AJ74" s="55" t="str">
        <f>IF(Q74="","",IF(Q74='G-1 All Habitats'!$X$9,AI74*G74*I74*L74*N74*P74,"None"))</f>
        <v/>
      </c>
      <c r="AK74" s="30" t="str">
        <f>IFERROR(INDEX('G-7 WaterC'' Data'!$AZ$3:$AZ$7,MATCH(D74,'G-7 WaterC'' Data'!$AY$3:$AY$7,0)),"")</f>
        <v/>
      </c>
      <c r="AL74" s="30">
        <f t="shared" si="7"/>
        <v>0</v>
      </c>
      <c r="AM74" s="107" t="str">
        <f t="shared" si="8"/>
        <v/>
      </c>
      <c r="AN74" s="107" t="str">
        <f t="shared" si="9"/>
        <v/>
      </c>
      <c r="AP74" s="107">
        <v>65</v>
      </c>
      <c r="AR74" s="107" t="str">
        <f t="array" ref="AR74">IFERROR(INDEX($AP$10:$AP$258,MATCH(0,IF(TRUE=$AM$10:$AM$258,COUNTIF($AR$9:$AR73,$AP$10:$AP$258),""),0)),"")</f>
        <v/>
      </c>
      <c r="AS74" s="107" t="str">
        <f t="array" ref="AS74">IFERROR(INDEX($AP$10:$AP$258,MATCH(0,IF(TRUE=$AN$10:$AN$258,COUNTIF($AS$9:$AS73,$AP$10:$AP$258),""),0)),"")</f>
        <v/>
      </c>
      <c r="AT74" s="885" t="str">
        <f>IF(AND(OR(AD74="Yes",AD74="Pending"),Q74='G-7 WaterC'' Data'!$G$4),U74-AA74-Z74,"0")</f>
        <v>0</v>
      </c>
      <c r="AU74" s="30" t="str">
        <f>IF(D74="","",VLOOKUP(D74,'G-7 WaterC'' Data'!B$4:M$8,12,FALSE))</f>
        <v/>
      </c>
      <c r="AV74" s="30" t="str">
        <f t="shared" si="12" ref="AV74:AV137">IF(AD74="","",IF(AD74="Yes","Yes ✓","No ▲"))</f>
        <v/>
      </c>
      <c r="AW74" s="30" t="str">
        <f t="shared" si="10"/>
        <v>No</v>
      </c>
      <c r="BA74" s="555" t="str">
        <f t="shared" si="11"/>
        <v/>
      </c>
    </row>
    <row r="75" spans="3:53" ht="14.5" thickBot="1">
      <c r="C75" s="97">
        <v>66</v>
      </c>
      <c r="D75" s="263"/>
      <c r="E75" s="104"/>
      <c r="F75" s="275" t="str">
        <f>IF(D75="","",VLOOKUP(D75,'G-7 WaterC'' Data'!$B$2:$G$8,2,FALSE))</f>
        <v/>
      </c>
      <c r="G75" s="314" t="str">
        <f>IFERROR(VLOOKUP(F75,'G-7 WaterC'' Data'!$C$4:$D$8,2,FALSE),"")</f>
        <v/>
      </c>
      <c r="H75" s="105"/>
      <c r="I75" s="299" t="str">
        <f>IFERROR(INDEX('G-7 WaterC'' Data'!$H$4:$L$8,MATCH(D75,'G-7 WaterC'' Data'!$B$4:$B$8,0),MATCH(H75,'G-7 WaterC'' Data'!$H$3:$L$3,0)),"")</f>
        <v/>
      </c>
      <c r="J75" s="702"/>
      <c r="K75" s="295" t="str">
        <f>IF(J75="","",IF(VLOOKUP(J75,'G-7 WaterC'' Data'!$AK$4:$AM$9,2,FALSE)=0,"Spatial Data Missing ⚠",VLOOKUP(J75,'G-7 WaterC'' Data'!$AK$4:$AM$6,2,FALSE)))</f>
        <v/>
      </c>
      <c r="L75" s="299" t="str">
        <f>IF(J75="","",IF(VLOOKUP(J75,'G-7 WaterC'' Data'!$AK$4:$AM$9,3,FALSE)=0,"Spatial Data Missing ⚠",VLOOKUP(J75,'G-7 WaterC'' Data'!$AK$4:$AM$6,3,FALSE)))</f>
        <v/>
      </c>
      <c r="M75" s="102"/>
      <c r="N75" s="276" t="str">
        <f>IF(M75="","",IF(AND(M75="N/A - Culvert",D75&lt;&gt;"Culvert"),"Not possible ▲",IF(AND(D75="Culvert",M75&lt;&gt;"N/A - Culvert"),"Not possible ▲",IF(VLOOKUP(M75,'G-7 WaterC'' Data'!$AA$4:$AB$7,2,FALSE)=0,"Spatial Data Missing ⚠",VLOOKUP(M75,'G-7 WaterC'' Data'!$AA$4:$AB$7,2,FALSE)))))</f>
        <v/>
      </c>
      <c r="O75" s="56"/>
      <c r="P75" s="276" t="str">
        <f>IF(O75="","",IF(AND(O75="N/A - Culvert",D75&lt;&gt;"Culvert"),"Not possible ▲",IF(AND(D75="Culvert",O75&lt;&gt;"N/A - Culvert"),"Not possible ▲",IF(VLOOKUP(O75,'G-7 WaterC'' Data'!$AD$4:$AE$14,2,FALSE)=0,"Spatial Data Missing ⚠",VLOOKUP(O75,'G-7 WaterC'' Data'!$AD$4:$AE$14,2,FALSE)))))</f>
        <v/>
      </c>
      <c r="Q75" s="282" t="str">
        <f>IF(D75="","",VLOOKUP(D75,'G-7 WaterC'' Data'!$B$4:$G$8,6,FALSE))</f>
        <v/>
      </c>
      <c r="R75" s="289" t="str">
        <f t="shared" si="13" ref="R75:R138">IFERROR(IF(AND(X75&gt;0,Y75&gt;0,X75+Y75&gt;E75),"Split retained and enhanced into separate entries ▲",IF(OR(K75="Check data ⚠",I75="Check data ⚠"),"Check data ▲",E75*G75*I75*L75*N75*P75*T75))," ")</f>
        <v xml:space="preserve"> </v>
      </c>
      <c r="S75" s="393"/>
      <c r="T75" s="281" t="str">
        <f>IF(S75="","",IF(VLOOKUP(S75,'G-7 WaterC'' Data'!$AO$4:$BO$7,2,FALSE)=0,"Spatial Data Missing ⚠",VLOOKUP(S75,'G-7 WaterC'' Data'!$AO$4:$BO$7,2,FALSE)))</f>
        <v/>
      </c>
      <c r="U75" s="289" t="str">
        <f t="shared" si="14" ref="U75:U138">IFERROR(IF(AND(X75&gt;0,Y75&gt;0,X75+Y75&gt;E75),"Split retained and enhanced into separate entries ▲",IF(AND(S75&lt;&gt;"",AH75=""),"Off-site reference required ▲",IF(OR(K75="Check data ⚠",I75="Check data ⚠"),"Check data ▲",E75*G75*I75*L75*N75*P75)))," ")</f>
        <v xml:space="preserve"> </v>
      </c>
      <c r="V75" s="694" t="str">
        <f t="shared" si="15" ref="V75:V138">AU75</f>
        <v/>
      </c>
      <c r="W75" s="32"/>
      <c r="X75" s="101"/>
      <c r="Y75" s="108"/>
      <c r="Z75" s="287" t="str">
        <f t="shared" si="16" ref="Z75:Z138">IFERROR(IF(X75&gt;E75,"Error in Lengths ▲",X75*G75*I75*L75*N75*P75),"")</f>
        <v/>
      </c>
      <c r="AA75" s="287" t="str">
        <f t="shared" si="17" ref="AA75:AA138">IFERROR(IF(D75="","",Y75*G75*I75*L75*N75*P75),"")</f>
        <v/>
      </c>
      <c r="AB75" s="287" t="str">
        <f t="shared" si="18" ref="AB75:AB138">IFERROR(IF(D75="","",IF(E75&gt;(X75+Y75),E75-X75-Y75,0)),"")</f>
        <v/>
      </c>
      <c r="AC75" s="491" t="str">
        <f>IFERROR(IF(OR(E75="",R75=""),"",IF(AND(AB75&lt;&gt;"",S75=""),"Spatial risk category missing ▲",IF(AND(Q75='G-7 WaterC'' Data'!$G$4,AD75="Yes"),"Alternative Compensation ✓",IF(AND(AD75="Pending",Q75='G-7 WaterC'' Data'!$G$4),"Bespoke compensation must be agreed ▲",IF((Z75+AA75)&gt;=U75,0,U75-Z75-AA75))))),"Check Data ⚠")</f>
        <v/>
      </c>
      <c r="AD75" s="393"/>
      <c r="AE75" s="105"/>
      <c r="AF75" s="104"/>
      <c r="AG75" s="104"/>
      <c r="AH75" s="104"/>
      <c r="AI75" s="54" t="str">
        <f>IF(OR(Q75="",AD75="Yes"),"",IF(Q75='G-1 All Habitats'!$X$9,E75-Y75-X75,"None"))</f>
        <v/>
      </c>
      <c r="AJ75" s="55" t="str">
        <f>IF(Q75="","",IF(Q75='G-1 All Habitats'!$X$9,AI75*G75*I75*L75*N75*P75,"None"))</f>
        <v/>
      </c>
      <c r="AK75" s="30" t="str">
        <f>IFERROR(INDEX('G-7 WaterC'' Data'!$AZ$3:$AZ$7,MATCH(D75,'G-7 WaterC'' Data'!$AY$3:$AY$7,0)),"")</f>
        <v/>
      </c>
      <c r="AL75" s="30">
        <f t="shared" si="19" ref="AL75:AL138">IFERROR(IF(X75+Y75&gt;E75,1,0),"")</f>
        <v>0</v>
      </c>
      <c r="AM75" s="107" t="str">
        <f t="shared" si="20" ref="AM75:AM138">IF(D75="","",IF(X75&gt;0,TRUE,FALSE))</f>
        <v/>
      </c>
      <c r="AN75" s="107" t="str">
        <f t="shared" si="21" ref="AN75:AN138">IF(D75="","",IF(Y75&gt;0,TRUE,FALSE))</f>
        <v/>
      </c>
      <c r="AP75" s="107">
        <v>66</v>
      </c>
      <c r="AR75" s="107" t="str">
        <f t="array" ref="AR75">IFERROR(INDEX($AP$10:$AP$258,MATCH(0,IF(TRUE=$AM$10:$AM$258,COUNTIF($AR$9:$AR74,$AP$10:$AP$258),""),0)),"")</f>
        <v/>
      </c>
      <c r="AS75" s="107" t="str">
        <f t="array" ref="AS75">IFERROR(INDEX($AP$10:$AP$258,MATCH(0,IF(TRUE=$AN$10:$AN$258,COUNTIF($AS$9:$AS74,$AP$10:$AP$258),""),0)),"")</f>
        <v/>
      </c>
      <c r="AT75" s="885" t="str">
        <f>IF(AND(OR(AD75="Yes",AD75="Pending"),Q75='G-7 WaterC'' Data'!$G$4),U75-AA75-Z75,"0")</f>
        <v>0</v>
      </c>
      <c r="AU75" s="30" t="str">
        <f>IF(D75="","",VLOOKUP(D75,'G-7 WaterC'' Data'!B$4:M$8,12,FALSE))</f>
        <v/>
      </c>
      <c r="AV75" s="30" t="str">
        <f t="shared" si="12"/>
        <v/>
      </c>
      <c r="AW75" s="30" t="str">
        <f t="shared" si="22" ref="AW75:AW138">IF(AND(D75="Ditches",(OR(H75="Fairly Poor",H75="Fairly Good"))),"Yes","No")</f>
        <v>No</v>
      </c>
      <c r="BA75" s="555" t="str">
        <f t="shared" si="23" ref="BA75:BA138">IFERROR(IF(X75&gt;E75,"Error in Lengths ▲",IF(Z75="Irreplaceable habitat - no units generated ⚠","0",X75*G75*I75*L75*N75*P75*T75)+(AT75*T75)),"")</f>
        <v/>
      </c>
    </row>
    <row r="76" spans="3:53" ht="14.5" thickBot="1">
      <c r="C76" s="97">
        <v>67</v>
      </c>
      <c r="D76" s="263"/>
      <c r="E76" s="104"/>
      <c r="F76" s="275" t="str">
        <f>IF(D76="","",VLOOKUP(D76,'G-7 WaterC'' Data'!$B$2:$G$8,2,FALSE))</f>
        <v/>
      </c>
      <c r="G76" s="314" t="str">
        <f>IFERROR(VLOOKUP(F76,'G-7 WaterC'' Data'!$C$4:$D$8,2,FALSE),"")</f>
        <v/>
      </c>
      <c r="H76" s="105"/>
      <c r="I76" s="299" t="str">
        <f>IFERROR(INDEX('G-7 WaterC'' Data'!$H$4:$L$8,MATCH(D76,'G-7 WaterC'' Data'!$B$4:$B$8,0),MATCH(H76,'G-7 WaterC'' Data'!$H$3:$L$3,0)),"")</f>
        <v/>
      </c>
      <c r="J76" s="702"/>
      <c r="K76" s="295" t="str">
        <f>IF(J76="","",IF(VLOOKUP(J76,'G-7 WaterC'' Data'!$AK$4:$AM$9,2,FALSE)=0,"Spatial Data Missing ⚠",VLOOKUP(J76,'G-7 WaterC'' Data'!$AK$4:$AM$6,2,FALSE)))</f>
        <v/>
      </c>
      <c r="L76" s="299" t="str">
        <f>IF(J76="","",IF(VLOOKUP(J76,'G-7 WaterC'' Data'!$AK$4:$AM$9,3,FALSE)=0,"Spatial Data Missing ⚠",VLOOKUP(J76,'G-7 WaterC'' Data'!$AK$4:$AM$6,3,FALSE)))</f>
        <v/>
      </c>
      <c r="M76" s="102"/>
      <c r="N76" s="276" t="str">
        <f>IF(M76="","",IF(AND(M76="N/A - Culvert",D76&lt;&gt;"Culvert"),"Not possible ▲",IF(AND(D76="Culvert",M76&lt;&gt;"N/A - Culvert"),"Not possible ▲",IF(VLOOKUP(M76,'G-7 WaterC'' Data'!$AA$4:$AB$7,2,FALSE)=0,"Spatial Data Missing ⚠",VLOOKUP(M76,'G-7 WaterC'' Data'!$AA$4:$AB$7,2,FALSE)))))</f>
        <v/>
      </c>
      <c r="O76" s="56"/>
      <c r="P76" s="276" t="str">
        <f>IF(O76="","",IF(AND(O76="N/A - Culvert",D76&lt;&gt;"Culvert"),"Not possible ▲",IF(AND(D76="Culvert",O76&lt;&gt;"N/A - Culvert"),"Not possible ▲",IF(VLOOKUP(O76,'G-7 WaterC'' Data'!$AD$4:$AE$14,2,FALSE)=0,"Spatial Data Missing ⚠",VLOOKUP(O76,'G-7 WaterC'' Data'!$AD$4:$AE$14,2,FALSE)))))</f>
        <v/>
      </c>
      <c r="Q76" s="282" t="str">
        <f>IF(D76="","",VLOOKUP(D76,'G-7 WaterC'' Data'!$B$4:$G$8,6,FALSE))</f>
        <v/>
      </c>
      <c r="R76" s="289" t="str">
        <f t="shared" si="13"/>
        <v xml:space="preserve"> </v>
      </c>
      <c r="S76" s="393"/>
      <c r="T76" s="281" t="str">
        <f>IF(S76="","",IF(VLOOKUP(S76,'G-7 WaterC'' Data'!$AO$4:$BO$7,2,FALSE)=0,"Spatial Data Missing ⚠",VLOOKUP(S76,'G-7 WaterC'' Data'!$AO$4:$BO$7,2,FALSE)))</f>
        <v/>
      </c>
      <c r="U76" s="289" t="str">
        <f t="shared" si="14"/>
        <v xml:space="preserve"> </v>
      </c>
      <c r="V76" s="694" t="str">
        <f t="shared" si="15"/>
        <v/>
      </c>
      <c r="W76" s="32"/>
      <c r="X76" s="101"/>
      <c r="Y76" s="108"/>
      <c r="Z76" s="287" t="str">
        <f t="shared" si="16"/>
        <v/>
      </c>
      <c r="AA76" s="287" t="str">
        <f t="shared" si="17"/>
        <v/>
      </c>
      <c r="AB76" s="287" t="str">
        <f t="shared" si="18"/>
        <v/>
      </c>
      <c r="AC76" s="491" t="str">
        <f>IFERROR(IF(OR(E76="",R76=""),"",IF(AND(AB76&lt;&gt;"",S76=""),"Spatial risk category missing ▲",IF(AND(Q76='G-7 WaterC'' Data'!$G$4,AD76="Yes"),"Alternative Compensation ✓",IF(AND(AD76="Pending",Q76='G-7 WaterC'' Data'!$G$4),"Bespoke compensation must be agreed ▲",IF((Z76+AA76)&gt;=U76,0,U76-Z76-AA76))))),"Check Data ⚠")</f>
        <v/>
      </c>
      <c r="AD76" s="393"/>
      <c r="AE76" s="105"/>
      <c r="AF76" s="104"/>
      <c r="AG76" s="104"/>
      <c r="AH76" s="104"/>
      <c r="AI76" s="54" t="str">
        <f>IF(OR(Q76="",AD76="Yes"),"",IF(Q76='G-1 All Habitats'!$X$9,E76-Y76-X76,"None"))</f>
        <v/>
      </c>
      <c r="AJ76" s="55" t="str">
        <f>IF(Q76="","",IF(Q76='G-1 All Habitats'!$X$9,AI76*G76*I76*L76*N76*P76,"None"))</f>
        <v/>
      </c>
      <c r="AK76" s="30" t="str">
        <f>IFERROR(INDEX('G-7 WaterC'' Data'!$AZ$3:$AZ$7,MATCH(D76,'G-7 WaterC'' Data'!$AY$3:$AY$7,0)),"")</f>
        <v/>
      </c>
      <c r="AL76" s="30">
        <f t="shared" si="19"/>
        <v>0</v>
      </c>
      <c r="AM76" s="107" t="str">
        <f t="shared" si="20"/>
        <v/>
      </c>
      <c r="AN76" s="107" t="str">
        <f t="shared" si="21"/>
        <v/>
      </c>
      <c r="AP76" s="107">
        <v>67</v>
      </c>
      <c r="AR76" s="107" t="str">
        <f t="array" ref="AR76">IFERROR(INDEX($AP$10:$AP$258,MATCH(0,IF(TRUE=$AM$10:$AM$258,COUNTIF($AR$9:$AR75,$AP$10:$AP$258),""),0)),"")</f>
        <v/>
      </c>
      <c r="AS76" s="107" t="str">
        <f t="array" ref="AS76">IFERROR(INDEX($AP$10:$AP$258,MATCH(0,IF(TRUE=$AN$10:$AN$258,COUNTIF($AS$9:$AS75,$AP$10:$AP$258),""),0)),"")</f>
        <v/>
      </c>
      <c r="AT76" s="885" t="str">
        <f>IF(AND(OR(AD76="Yes",AD76="Pending"),Q76='G-7 WaterC'' Data'!$G$4),U76-AA76-Z76,"0")</f>
        <v>0</v>
      </c>
      <c r="AU76" s="30" t="str">
        <f>IF(D76="","",VLOOKUP(D76,'G-7 WaterC'' Data'!B$4:M$8,12,FALSE))</f>
        <v/>
      </c>
      <c r="AV76" s="30" t="str">
        <f t="shared" si="12"/>
        <v/>
      </c>
      <c r="AW76" s="30" t="str">
        <f t="shared" si="22"/>
        <v>No</v>
      </c>
      <c r="BA76" s="555" t="str">
        <f t="shared" si="23"/>
        <v/>
      </c>
    </row>
    <row r="77" spans="3:53" ht="14.5" thickBot="1">
      <c r="C77" s="97">
        <v>68</v>
      </c>
      <c r="D77" s="263"/>
      <c r="E77" s="104"/>
      <c r="F77" s="275" t="str">
        <f>IF(D77="","",VLOOKUP(D77,'G-7 WaterC'' Data'!$B$2:$G$8,2,FALSE))</f>
        <v/>
      </c>
      <c r="G77" s="314" t="str">
        <f>IFERROR(VLOOKUP(F77,'G-7 WaterC'' Data'!$C$4:$D$8,2,FALSE),"")</f>
        <v/>
      </c>
      <c r="H77" s="105"/>
      <c r="I77" s="299" t="str">
        <f>IFERROR(INDEX('G-7 WaterC'' Data'!$H$4:$L$8,MATCH(D77,'G-7 WaterC'' Data'!$B$4:$B$8,0),MATCH(H77,'G-7 WaterC'' Data'!$H$3:$L$3,0)),"")</f>
        <v/>
      </c>
      <c r="J77" s="702"/>
      <c r="K77" s="295" t="str">
        <f>IF(J77="","",IF(VLOOKUP(J77,'G-7 WaterC'' Data'!$AK$4:$AM$9,2,FALSE)=0,"Spatial Data Missing ⚠",VLOOKUP(J77,'G-7 WaterC'' Data'!$AK$4:$AM$6,2,FALSE)))</f>
        <v/>
      </c>
      <c r="L77" s="299" t="str">
        <f>IF(J77="","",IF(VLOOKUP(J77,'G-7 WaterC'' Data'!$AK$4:$AM$9,3,FALSE)=0,"Spatial Data Missing ⚠",VLOOKUP(J77,'G-7 WaterC'' Data'!$AK$4:$AM$6,3,FALSE)))</f>
        <v/>
      </c>
      <c r="M77" s="102"/>
      <c r="N77" s="276" t="str">
        <f>IF(M77="","",IF(AND(M77="N/A - Culvert",D77&lt;&gt;"Culvert"),"Not possible ▲",IF(AND(D77="Culvert",M77&lt;&gt;"N/A - Culvert"),"Not possible ▲",IF(VLOOKUP(M77,'G-7 WaterC'' Data'!$AA$4:$AB$7,2,FALSE)=0,"Spatial Data Missing ⚠",VLOOKUP(M77,'G-7 WaterC'' Data'!$AA$4:$AB$7,2,FALSE)))))</f>
        <v/>
      </c>
      <c r="O77" s="56"/>
      <c r="P77" s="276" t="str">
        <f>IF(O77="","",IF(AND(O77="N/A - Culvert",D77&lt;&gt;"Culvert"),"Not possible ▲",IF(AND(D77="Culvert",O77&lt;&gt;"N/A - Culvert"),"Not possible ▲",IF(VLOOKUP(O77,'G-7 WaterC'' Data'!$AD$4:$AE$14,2,FALSE)=0,"Spatial Data Missing ⚠",VLOOKUP(O77,'G-7 WaterC'' Data'!$AD$4:$AE$14,2,FALSE)))))</f>
        <v/>
      </c>
      <c r="Q77" s="282" t="str">
        <f>IF(D77="","",VLOOKUP(D77,'G-7 WaterC'' Data'!$B$4:$G$8,6,FALSE))</f>
        <v/>
      </c>
      <c r="R77" s="289" t="str">
        <f t="shared" si="13"/>
        <v xml:space="preserve"> </v>
      </c>
      <c r="S77" s="393"/>
      <c r="T77" s="281" t="str">
        <f>IF(S77="","",IF(VLOOKUP(S77,'G-7 WaterC'' Data'!$AO$4:$BO$7,2,FALSE)=0,"Spatial Data Missing ⚠",VLOOKUP(S77,'G-7 WaterC'' Data'!$AO$4:$BO$7,2,FALSE)))</f>
        <v/>
      </c>
      <c r="U77" s="289" t="str">
        <f t="shared" si="14"/>
        <v xml:space="preserve"> </v>
      </c>
      <c r="V77" s="694" t="str">
        <f t="shared" si="15"/>
        <v/>
      </c>
      <c r="W77" s="32"/>
      <c r="X77" s="101"/>
      <c r="Y77" s="108"/>
      <c r="Z77" s="287" t="str">
        <f t="shared" si="16"/>
        <v/>
      </c>
      <c r="AA77" s="287" t="str">
        <f t="shared" si="17"/>
        <v/>
      </c>
      <c r="AB77" s="287" t="str">
        <f t="shared" si="18"/>
        <v/>
      </c>
      <c r="AC77" s="491" t="str">
        <f>IFERROR(IF(OR(E77="",R77=""),"",IF(AND(AB77&lt;&gt;"",S77=""),"Spatial risk category missing ▲",IF(AND(Q77='G-7 WaterC'' Data'!$G$4,AD77="Yes"),"Alternative Compensation ✓",IF(AND(AD77="Pending",Q77='G-7 WaterC'' Data'!$G$4),"Bespoke compensation must be agreed ▲",IF((Z77+AA77)&gt;=U77,0,U77-Z77-AA77))))),"Check Data ⚠")</f>
        <v/>
      </c>
      <c r="AD77" s="393"/>
      <c r="AE77" s="105"/>
      <c r="AF77" s="104"/>
      <c r="AG77" s="104"/>
      <c r="AH77" s="104"/>
      <c r="AI77" s="54" t="str">
        <f>IF(OR(Q77="",AD77="Yes"),"",IF(Q77='G-1 All Habitats'!$X$9,E77-Y77-X77,"None"))</f>
        <v/>
      </c>
      <c r="AJ77" s="55" t="str">
        <f>IF(Q77="","",IF(Q77='G-1 All Habitats'!$X$9,AI77*G77*I77*L77*N77*P77,"None"))</f>
        <v/>
      </c>
      <c r="AK77" s="30" t="str">
        <f>IFERROR(INDEX('G-7 WaterC'' Data'!$AZ$3:$AZ$7,MATCH(D77,'G-7 WaterC'' Data'!$AY$3:$AY$7,0)),"")</f>
        <v/>
      </c>
      <c r="AL77" s="30">
        <f t="shared" si="19"/>
        <v>0</v>
      </c>
      <c r="AM77" s="107" t="str">
        <f t="shared" si="20"/>
        <v/>
      </c>
      <c r="AN77" s="107" t="str">
        <f t="shared" si="21"/>
        <v/>
      </c>
      <c r="AP77" s="107">
        <v>68</v>
      </c>
      <c r="AR77" s="107" t="str">
        <f t="array" ref="AR77">IFERROR(INDEX($AP$10:$AP$258,MATCH(0,IF(TRUE=$AM$10:$AM$258,COUNTIF($AR$9:$AR76,$AP$10:$AP$258),""),0)),"")</f>
        <v/>
      </c>
      <c r="AS77" s="107" t="str">
        <f t="array" ref="AS77">IFERROR(INDEX($AP$10:$AP$258,MATCH(0,IF(TRUE=$AN$10:$AN$258,COUNTIF($AS$9:$AS76,$AP$10:$AP$258),""),0)),"")</f>
        <v/>
      </c>
      <c r="AT77" s="885" t="str">
        <f>IF(AND(OR(AD77="Yes",AD77="Pending"),Q77='G-7 WaterC'' Data'!$G$4),U77-AA77-Z77,"0")</f>
        <v>0</v>
      </c>
      <c r="AU77" s="30" t="str">
        <f>IF(D77="","",VLOOKUP(D77,'G-7 WaterC'' Data'!B$4:M$8,12,FALSE))</f>
        <v/>
      </c>
      <c r="AV77" s="30" t="str">
        <f t="shared" si="12"/>
        <v/>
      </c>
      <c r="AW77" s="30" t="str">
        <f t="shared" si="22"/>
        <v>No</v>
      </c>
      <c r="BA77" s="555" t="str">
        <f t="shared" si="23"/>
        <v/>
      </c>
    </row>
    <row r="78" spans="3:53" ht="14.5" thickBot="1">
      <c r="C78" s="97">
        <v>69</v>
      </c>
      <c r="D78" s="263"/>
      <c r="E78" s="104"/>
      <c r="F78" s="275" t="str">
        <f>IF(D78="","",VLOOKUP(D78,'G-7 WaterC'' Data'!$B$2:$G$8,2,FALSE))</f>
        <v/>
      </c>
      <c r="G78" s="314" t="str">
        <f>IFERROR(VLOOKUP(F78,'G-7 WaterC'' Data'!$C$4:$D$8,2,FALSE),"")</f>
        <v/>
      </c>
      <c r="H78" s="105"/>
      <c r="I78" s="299" t="str">
        <f>IFERROR(INDEX('G-7 WaterC'' Data'!$H$4:$L$8,MATCH(D78,'G-7 WaterC'' Data'!$B$4:$B$8,0),MATCH(H78,'G-7 WaterC'' Data'!$H$3:$L$3,0)),"")</f>
        <v/>
      </c>
      <c r="J78" s="702"/>
      <c r="K78" s="295" t="str">
        <f>IF(J78="","",IF(VLOOKUP(J78,'G-7 WaterC'' Data'!$AK$4:$AM$9,2,FALSE)=0,"Spatial Data Missing ⚠",VLOOKUP(J78,'G-7 WaterC'' Data'!$AK$4:$AM$6,2,FALSE)))</f>
        <v/>
      </c>
      <c r="L78" s="299" t="str">
        <f>IF(J78="","",IF(VLOOKUP(J78,'G-7 WaterC'' Data'!$AK$4:$AM$9,3,FALSE)=0,"Spatial Data Missing ⚠",VLOOKUP(J78,'G-7 WaterC'' Data'!$AK$4:$AM$6,3,FALSE)))</f>
        <v/>
      </c>
      <c r="M78" s="102"/>
      <c r="N78" s="276" t="str">
        <f>IF(M78="","",IF(AND(M78="N/A - Culvert",D78&lt;&gt;"Culvert"),"Not possible ▲",IF(AND(D78="Culvert",M78&lt;&gt;"N/A - Culvert"),"Not possible ▲",IF(VLOOKUP(M78,'G-7 WaterC'' Data'!$AA$4:$AB$7,2,FALSE)=0,"Spatial Data Missing ⚠",VLOOKUP(M78,'G-7 WaterC'' Data'!$AA$4:$AB$7,2,FALSE)))))</f>
        <v/>
      </c>
      <c r="O78" s="56"/>
      <c r="P78" s="276" t="str">
        <f>IF(O78="","",IF(AND(O78="N/A - Culvert",D78&lt;&gt;"Culvert"),"Not possible ▲",IF(AND(D78="Culvert",O78&lt;&gt;"N/A - Culvert"),"Not possible ▲",IF(VLOOKUP(O78,'G-7 WaterC'' Data'!$AD$4:$AE$14,2,FALSE)=0,"Spatial Data Missing ⚠",VLOOKUP(O78,'G-7 WaterC'' Data'!$AD$4:$AE$14,2,FALSE)))))</f>
        <v/>
      </c>
      <c r="Q78" s="282" t="str">
        <f>IF(D78="","",VLOOKUP(D78,'G-7 WaterC'' Data'!$B$4:$G$8,6,FALSE))</f>
        <v/>
      </c>
      <c r="R78" s="289" t="str">
        <f t="shared" si="13"/>
        <v xml:space="preserve"> </v>
      </c>
      <c r="S78" s="393"/>
      <c r="T78" s="281" t="str">
        <f>IF(S78="","",IF(VLOOKUP(S78,'G-7 WaterC'' Data'!$AO$4:$BO$7,2,FALSE)=0,"Spatial Data Missing ⚠",VLOOKUP(S78,'G-7 WaterC'' Data'!$AO$4:$BO$7,2,FALSE)))</f>
        <v/>
      </c>
      <c r="U78" s="289" t="str">
        <f t="shared" si="14"/>
        <v xml:space="preserve"> </v>
      </c>
      <c r="V78" s="694" t="str">
        <f t="shared" si="15"/>
        <v/>
      </c>
      <c r="W78" s="32"/>
      <c r="X78" s="101"/>
      <c r="Y78" s="108"/>
      <c r="Z78" s="287" t="str">
        <f t="shared" si="16"/>
        <v/>
      </c>
      <c r="AA78" s="287" t="str">
        <f t="shared" si="17"/>
        <v/>
      </c>
      <c r="AB78" s="287" t="str">
        <f t="shared" si="18"/>
        <v/>
      </c>
      <c r="AC78" s="491" t="str">
        <f>IFERROR(IF(OR(E78="",R78=""),"",IF(AND(AB78&lt;&gt;"",S78=""),"Spatial risk category missing ▲",IF(AND(Q78='G-7 WaterC'' Data'!$G$4,AD78="Yes"),"Alternative Compensation ✓",IF(AND(AD78="Pending",Q78='G-7 WaterC'' Data'!$G$4),"Bespoke compensation must be agreed ▲",IF((Z78+AA78)&gt;=U78,0,U78-Z78-AA78))))),"Check Data ⚠")</f>
        <v/>
      </c>
      <c r="AD78" s="393"/>
      <c r="AE78" s="105"/>
      <c r="AF78" s="104"/>
      <c r="AG78" s="104"/>
      <c r="AH78" s="104"/>
      <c r="AI78" s="54" t="str">
        <f>IF(OR(Q78="",AD78="Yes"),"",IF(Q78='G-1 All Habitats'!$X$9,E78-Y78-X78,"None"))</f>
        <v/>
      </c>
      <c r="AJ78" s="55" t="str">
        <f>IF(Q78="","",IF(Q78='G-1 All Habitats'!$X$9,AI78*G78*I78*L78*N78*P78,"None"))</f>
        <v/>
      </c>
      <c r="AK78" s="30" t="str">
        <f>IFERROR(INDEX('G-7 WaterC'' Data'!$AZ$3:$AZ$7,MATCH(D78,'G-7 WaterC'' Data'!$AY$3:$AY$7,0)),"")</f>
        <v/>
      </c>
      <c r="AL78" s="30">
        <f t="shared" si="19"/>
        <v>0</v>
      </c>
      <c r="AM78" s="107" t="str">
        <f t="shared" si="20"/>
        <v/>
      </c>
      <c r="AN78" s="107" t="str">
        <f t="shared" si="21"/>
        <v/>
      </c>
      <c r="AP78" s="107">
        <v>69</v>
      </c>
      <c r="AR78" s="107" t="str">
        <f t="array" ref="AR78">IFERROR(INDEX($AP$10:$AP$258,MATCH(0,IF(TRUE=$AM$10:$AM$258,COUNTIF($AR$9:$AR77,$AP$10:$AP$258),""),0)),"")</f>
        <v/>
      </c>
      <c r="AS78" s="107" t="str">
        <f t="array" ref="AS78">IFERROR(INDEX($AP$10:$AP$258,MATCH(0,IF(TRUE=$AN$10:$AN$258,COUNTIF($AS$9:$AS77,$AP$10:$AP$258),""),0)),"")</f>
        <v/>
      </c>
      <c r="AT78" s="885" t="str">
        <f>IF(AND(OR(AD78="Yes",AD78="Pending"),Q78='G-7 WaterC'' Data'!$G$4),U78-AA78-Z78,"0")</f>
        <v>0</v>
      </c>
      <c r="AU78" s="30" t="str">
        <f>IF(D78="","",VLOOKUP(D78,'G-7 WaterC'' Data'!B$4:M$8,12,FALSE))</f>
        <v/>
      </c>
      <c r="AV78" s="30" t="str">
        <f t="shared" si="12"/>
        <v/>
      </c>
      <c r="AW78" s="30" t="str">
        <f t="shared" si="22"/>
        <v>No</v>
      </c>
      <c r="BA78" s="555" t="str">
        <f t="shared" si="23"/>
        <v/>
      </c>
    </row>
    <row r="79" spans="3:53" ht="14.5" thickBot="1">
      <c r="C79" s="97">
        <v>70</v>
      </c>
      <c r="D79" s="263"/>
      <c r="E79" s="104"/>
      <c r="F79" s="275" t="str">
        <f>IF(D79="","",VLOOKUP(D79,'G-7 WaterC'' Data'!$B$2:$G$8,2,FALSE))</f>
        <v/>
      </c>
      <c r="G79" s="314" t="str">
        <f>IFERROR(VLOOKUP(F79,'G-7 WaterC'' Data'!$C$4:$D$8,2,FALSE),"")</f>
        <v/>
      </c>
      <c r="H79" s="105"/>
      <c r="I79" s="299" t="str">
        <f>IFERROR(INDEX('G-7 WaterC'' Data'!$H$4:$L$8,MATCH(D79,'G-7 WaterC'' Data'!$B$4:$B$8,0),MATCH(H79,'G-7 WaterC'' Data'!$H$3:$L$3,0)),"")</f>
        <v/>
      </c>
      <c r="J79" s="702"/>
      <c r="K79" s="295" t="str">
        <f>IF(J79="","",IF(VLOOKUP(J79,'G-7 WaterC'' Data'!$AK$4:$AM$9,2,FALSE)=0,"Spatial Data Missing ⚠",VLOOKUP(J79,'G-7 WaterC'' Data'!$AK$4:$AM$6,2,FALSE)))</f>
        <v/>
      </c>
      <c r="L79" s="299" t="str">
        <f>IF(J79="","",IF(VLOOKUP(J79,'G-7 WaterC'' Data'!$AK$4:$AM$9,3,FALSE)=0,"Spatial Data Missing ⚠",VLOOKUP(J79,'G-7 WaterC'' Data'!$AK$4:$AM$6,3,FALSE)))</f>
        <v/>
      </c>
      <c r="M79" s="102"/>
      <c r="N79" s="276" t="str">
        <f>IF(M79="","",IF(AND(M79="N/A - Culvert",D79&lt;&gt;"Culvert"),"Not possible ▲",IF(AND(D79="Culvert",M79&lt;&gt;"N/A - Culvert"),"Not possible ▲",IF(VLOOKUP(M79,'G-7 WaterC'' Data'!$AA$4:$AB$7,2,FALSE)=0,"Spatial Data Missing ⚠",VLOOKUP(M79,'G-7 WaterC'' Data'!$AA$4:$AB$7,2,FALSE)))))</f>
        <v/>
      </c>
      <c r="O79" s="56"/>
      <c r="P79" s="276" t="str">
        <f>IF(O79="","",IF(AND(O79="N/A - Culvert",D79&lt;&gt;"Culvert"),"Not possible ▲",IF(AND(D79="Culvert",O79&lt;&gt;"N/A - Culvert"),"Not possible ▲",IF(VLOOKUP(O79,'G-7 WaterC'' Data'!$AD$4:$AE$14,2,FALSE)=0,"Spatial Data Missing ⚠",VLOOKUP(O79,'G-7 WaterC'' Data'!$AD$4:$AE$14,2,FALSE)))))</f>
        <v/>
      </c>
      <c r="Q79" s="282" t="str">
        <f>IF(D79="","",VLOOKUP(D79,'G-7 WaterC'' Data'!$B$4:$G$8,6,FALSE))</f>
        <v/>
      </c>
      <c r="R79" s="289" t="str">
        <f t="shared" si="13"/>
        <v xml:space="preserve"> </v>
      </c>
      <c r="S79" s="393"/>
      <c r="T79" s="281" t="str">
        <f>IF(S79="","",IF(VLOOKUP(S79,'G-7 WaterC'' Data'!$AO$4:$BO$7,2,FALSE)=0,"Spatial Data Missing ⚠",VLOOKUP(S79,'G-7 WaterC'' Data'!$AO$4:$BO$7,2,FALSE)))</f>
        <v/>
      </c>
      <c r="U79" s="289" t="str">
        <f t="shared" si="14"/>
        <v xml:space="preserve"> </v>
      </c>
      <c r="V79" s="694" t="str">
        <f t="shared" si="15"/>
        <v/>
      </c>
      <c r="W79" s="32"/>
      <c r="X79" s="101"/>
      <c r="Y79" s="108"/>
      <c r="Z79" s="287" t="str">
        <f t="shared" si="16"/>
        <v/>
      </c>
      <c r="AA79" s="287" t="str">
        <f t="shared" si="17"/>
        <v/>
      </c>
      <c r="AB79" s="287" t="str">
        <f t="shared" si="18"/>
        <v/>
      </c>
      <c r="AC79" s="491" t="str">
        <f>IFERROR(IF(OR(E79="",R79=""),"",IF(AND(AB79&lt;&gt;"",S79=""),"Spatial risk category missing ▲",IF(AND(Q79='G-7 WaterC'' Data'!$G$4,AD79="Yes"),"Alternative Compensation ✓",IF(AND(AD79="Pending",Q79='G-7 WaterC'' Data'!$G$4),"Bespoke compensation must be agreed ▲",IF((Z79+AA79)&gt;=U79,0,U79-Z79-AA79))))),"Check Data ⚠")</f>
        <v/>
      </c>
      <c r="AD79" s="393"/>
      <c r="AE79" s="105"/>
      <c r="AF79" s="104"/>
      <c r="AG79" s="104"/>
      <c r="AH79" s="104"/>
      <c r="AI79" s="54" t="str">
        <f>IF(OR(Q79="",AD79="Yes"),"",IF(Q79='G-1 All Habitats'!$X$9,E79-Y79-X79,"None"))</f>
        <v/>
      </c>
      <c r="AJ79" s="55" t="str">
        <f>IF(Q79="","",IF(Q79='G-1 All Habitats'!$X$9,AI79*G79*I79*L79*N79*P79,"None"))</f>
        <v/>
      </c>
      <c r="AK79" s="30" t="str">
        <f>IFERROR(INDEX('G-7 WaterC'' Data'!$AZ$3:$AZ$7,MATCH(D79,'G-7 WaterC'' Data'!$AY$3:$AY$7,0)),"")</f>
        <v/>
      </c>
      <c r="AL79" s="30">
        <f t="shared" si="19"/>
        <v>0</v>
      </c>
      <c r="AM79" s="107" t="str">
        <f t="shared" si="20"/>
        <v/>
      </c>
      <c r="AN79" s="107" t="str">
        <f t="shared" si="21"/>
        <v/>
      </c>
      <c r="AP79" s="107">
        <v>70</v>
      </c>
      <c r="AR79" s="107" t="str">
        <f t="array" ref="AR79">IFERROR(INDEX($AP$10:$AP$258,MATCH(0,IF(TRUE=$AM$10:$AM$258,COUNTIF($AR$9:$AR78,$AP$10:$AP$258),""),0)),"")</f>
        <v/>
      </c>
      <c r="AS79" s="107" t="str">
        <f t="array" ref="AS79">IFERROR(INDEX($AP$10:$AP$258,MATCH(0,IF(TRUE=$AN$10:$AN$258,COUNTIF($AS$9:$AS78,$AP$10:$AP$258),""),0)),"")</f>
        <v/>
      </c>
      <c r="AT79" s="885" t="str">
        <f>IF(AND(OR(AD79="Yes",AD79="Pending"),Q79='G-7 WaterC'' Data'!$G$4),U79-AA79-Z79,"0")</f>
        <v>0</v>
      </c>
      <c r="AU79" s="30" t="str">
        <f>IF(D79="","",VLOOKUP(D79,'G-7 WaterC'' Data'!B$4:M$8,12,FALSE))</f>
        <v/>
      </c>
      <c r="AV79" s="30" t="str">
        <f t="shared" si="12"/>
        <v/>
      </c>
      <c r="AW79" s="30" t="str">
        <f t="shared" si="22"/>
        <v>No</v>
      </c>
      <c r="BA79" s="555" t="str">
        <f t="shared" si="23"/>
        <v/>
      </c>
    </row>
    <row r="80" spans="3:53" ht="14.5" thickBot="1">
      <c r="C80" s="97">
        <v>71</v>
      </c>
      <c r="D80" s="263"/>
      <c r="E80" s="104"/>
      <c r="F80" s="275" t="str">
        <f>IF(D80="","",VLOOKUP(D80,'G-7 WaterC'' Data'!$B$2:$G$8,2,FALSE))</f>
        <v/>
      </c>
      <c r="G80" s="314" t="str">
        <f>IFERROR(VLOOKUP(F80,'G-7 WaterC'' Data'!$C$4:$D$8,2,FALSE),"")</f>
        <v/>
      </c>
      <c r="H80" s="105"/>
      <c r="I80" s="299" t="str">
        <f>IFERROR(INDEX('G-7 WaterC'' Data'!$H$4:$L$8,MATCH(D80,'G-7 WaterC'' Data'!$B$4:$B$8,0),MATCH(H80,'G-7 WaterC'' Data'!$H$3:$L$3,0)),"")</f>
        <v/>
      </c>
      <c r="J80" s="702"/>
      <c r="K80" s="295" t="str">
        <f>IF(J80="","",IF(VLOOKUP(J80,'G-7 WaterC'' Data'!$AK$4:$AM$9,2,FALSE)=0,"Spatial Data Missing ⚠",VLOOKUP(J80,'G-7 WaterC'' Data'!$AK$4:$AM$6,2,FALSE)))</f>
        <v/>
      </c>
      <c r="L80" s="299" t="str">
        <f>IF(J80="","",IF(VLOOKUP(J80,'G-7 WaterC'' Data'!$AK$4:$AM$9,3,FALSE)=0,"Spatial Data Missing ⚠",VLOOKUP(J80,'G-7 WaterC'' Data'!$AK$4:$AM$6,3,FALSE)))</f>
        <v/>
      </c>
      <c r="M80" s="102"/>
      <c r="N80" s="276" t="str">
        <f>IF(M80="","",IF(AND(M80="N/A - Culvert",D80&lt;&gt;"Culvert"),"Not possible ▲",IF(AND(D80="Culvert",M80&lt;&gt;"N/A - Culvert"),"Not possible ▲",IF(VLOOKUP(M80,'G-7 WaterC'' Data'!$AA$4:$AB$7,2,FALSE)=0,"Spatial Data Missing ⚠",VLOOKUP(M80,'G-7 WaterC'' Data'!$AA$4:$AB$7,2,FALSE)))))</f>
        <v/>
      </c>
      <c r="O80" s="56"/>
      <c r="P80" s="276" t="str">
        <f>IF(O80="","",IF(AND(O80="N/A - Culvert",D80&lt;&gt;"Culvert"),"Not possible ▲",IF(AND(D80="Culvert",O80&lt;&gt;"N/A - Culvert"),"Not possible ▲",IF(VLOOKUP(O80,'G-7 WaterC'' Data'!$AD$4:$AE$14,2,FALSE)=0,"Spatial Data Missing ⚠",VLOOKUP(O80,'G-7 WaterC'' Data'!$AD$4:$AE$14,2,FALSE)))))</f>
        <v/>
      </c>
      <c r="Q80" s="282" t="str">
        <f>IF(D80="","",VLOOKUP(D80,'G-7 WaterC'' Data'!$B$4:$G$8,6,FALSE))</f>
        <v/>
      </c>
      <c r="R80" s="289" t="str">
        <f t="shared" si="13"/>
        <v xml:space="preserve"> </v>
      </c>
      <c r="S80" s="393"/>
      <c r="T80" s="281" t="str">
        <f>IF(S80="","",IF(VLOOKUP(S80,'G-7 WaterC'' Data'!$AO$4:$BO$7,2,FALSE)=0,"Spatial Data Missing ⚠",VLOOKUP(S80,'G-7 WaterC'' Data'!$AO$4:$BO$7,2,FALSE)))</f>
        <v/>
      </c>
      <c r="U80" s="289" t="str">
        <f t="shared" si="14"/>
        <v xml:space="preserve"> </v>
      </c>
      <c r="V80" s="694" t="str">
        <f t="shared" si="15"/>
        <v/>
      </c>
      <c r="W80" s="32"/>
      <c r="X80" s="101"/>
      <c r="Y80" s="108"/>
      <c r="Z80" s="287" t="str">
        <f t="shared" si="16"/>
        <v/>
      </c>
      <c r="AA80" s="287" t="str">
        <f t="shared" si="17"/>
        <v/>
      </c>
      <c r="AB80" s="287" t="str">
        <f t="shared" si="18"/>
        <v/>
      </c>
      <c r="AC80" s="491" t="str">
        <f>IFERROR(IF(OR(E80="",R80=""),"",IF(AND(AB80&lt;&gt;"",S80=""),"Spatial risk category missing ▲",IF(AND(Q80='G-7 WaterC'' Data'!$G$4,AD80="Yes"),"Alternative Compensation ✓",IF(AND(AD80="Pending",Q80='G-7 WaterC'' Data'!$G$4),"Bespoke compensation must be agreed ▲",IF((Z80+AA80)&gt;=U80,0,U80-Z80-AA80))))),"Check Data ⚠")</f>
        <v/>
      </c>
      <c r="AD80" s="393"/>
      <c r="AE80" s="105"/>
      <c r="AF80" s="104"/>
      <c r="AG80" s="104"/>
      <c r="AH80" s="104"/>
      <c r="AI80" s="54" t="str">
        <f>IF(OR(Q80="",AD80="Yes"),"",IF(Q80='G-1 All Habitats'!$X$9,E80-Y80-X80,"None"))</f>
        <v/>
      </c>
      <c r="AJ80" s="55" t="str">
        <f>IF(Q80="","",IF(Q80='G-1 All Habitats'!$X$9,AI80*G80*I80*L80*N80*P80,"None"))</f>
        <v/>
      </c>
      <c r="AK80" s="30" t="str">
        <f>IFERROR(INDEX('G-7 WaterC'' Data'!$AZ$3:$AZ$7,MATCH(D80,'G-7 WaterC'' Data'!$AY$3:$AY$7,0)),"")</f>
        <v/>
      </c>
      <c r="AL80" s="30">
        <f t="shared" si="19"/>
        <v>0</v>
      </c>
      <c r="AM80" s="107" t="str">
        <f t="shared" si="20"/>
        <v/>
      </c>
      <c r="AN80" s="107" t="str">
        <f t="shared" si="21"/>
        <v/>
      </c>
      <c r="AP80" s="107">
        <v>71</v>
      </c>
      <c r="AR80" s="107" t="str">
        <f t="array" ref="AR80">IFERROR(INDEX($AP$10:$AP$258,MATCH(0,IF(TRUE=$AM$10:$AM$258,COUNTIF($AR$9:$AR79,$AP$10:$AP$258),""),0)),"")</f>
        <v/>
      </c>
      <c r="AS80" s="107" t="str">
        <f t="array" ref="AS80">IFERROR(INDEX($AP$10:$AP$258,MATCH(0,IF(TRUE=$AN$10:$AN$258,COUNTIF($AS$9:$AS79,$AP$10:$AP$258),""),0)),"")</f>
        <v/>
      </c>
      <c r="AT80" s="885" t="str">
        <f>IF(AND(OR(AD80="Yes",AD80="Pending"),Q80='G-7 WaterC'' Data'!$G$4),U80-AA80-Z80,"0")</f>
        <v>0</v>
      </c>
      <c r="AU80" s="30" t="str">
        <f>IF(D80="","",VLOOKUP(D80,'G-7 WaterC'' Data'!B$4:M$8,12,FALSE))</f>
        <v/>
      </c>
      <c r="AV80" s="30" t="str">
        <f t="shared" si="12"/>
        <v/>
      </c>
      <c r="AW80" s="30" t="str">
        <f t="shared" si="22"/>
        <v>No</v>
      </c>
      <c r="BA80" s="555" t="str">
        <f t="shared" si="23"/>
        <v/>
      </c>
    </row>
    <row r="81" spans="3:53" ht="14.5" thickBot="1">
      <c r="C81" s="97">
        <v>72</v>
      </c>
      <c r="D81" s="263"/>
      <c r="E81" s="104"/>
      <c r="F81" s="275" t="str">
        <f>IF(D81="","",VLOOKUP(D81,'G-7 WaterC'' Data'!$B$2:$G$8,2,FALSE))</f>
        <v/>
      </c>
      <c r="G81" s="314" t="str">
        <f>IFERROR(VLOOKUP(F81,'G-7 WaterC'' Data'!$C$4:$D$8,2,FALSE),"")</f>
        <v/>
      </c>
      <c r="H81" s="105"/>
      <c r="I81" s="299" t="str">
        <f>IFERROR(INDEX('G-7 WaterC'' Data'!$H$4:$L$8,MATCH(D81,'G-7 WaterC'' Data'!$B$4:$B$8,0),MATCH(H81,'G-7 WaterC'' Data'!$H$3:$L$3,0)),"")</f>
        <v/>
      </c>
      <c r="J81" s="702"/>
      <c r="K81" s="295" t="str">
        <f>IF(J81="","",IF(VLOOKUP(J81,'G-7 WaterC'' Data'!$AK$4:$AM$9,2,FALSE)=0,"Spatial Data Missing ⚠",VLOOKUP(J81,'G-7 WaterC'' Data'!$AK$4:$AM$6,2,FALSE)))</f>
        <v/>
      </c>
      <c r="L81" s="299" t="str">
        <f>IF(J81="","",IF(VLOOKUP(J81,'G-7 WaterC'' Data'!$AK$4:$AM$9,3,FALSE)=0,"Spatial Data Missing ⚠",VLOOKUP(J81,'G-7 WaterC'' Data'!$AK$4:$AM$6,3,FALSE)))</f>
        <v/>
      </c>
      <c r="M81" s="102"/>
      <c r="N81" s="276" t="str">
        <f>IF(M81="","",IF(AND(M81="N/A - Culvert",D81&lt;&gt;"Culvert"),"Not possible ▲",IF(AND(D81="Culvert",M81&lt;&gt;"N/A - Culvert"),"Not possible ▲",IF(VLOOKUP(M81,'G-7 WaterC'' Data'!$AA$4:$AB$7,2,FALSE)=0,"Spatial Data Missing ⚠",VLOOKUP(M81,'G-7 WaterC'' Data'!$AA$4:$AB$7,2,FALSE)))))</f>
        <v/>
      </c>
      <c r="O81" s="56"/>
      <c r="P81" s="276" t="str">
        <f>IF(O81="","",IF(AND(O81="N/A - Culvert",D81&lt;&gt;"Culvert"),"Not possible ▲",IF(AND(D81="Culvert",O81&lt;&gt;"N/A - Culvert"),"Not possible ▲",IF(VLOOKUP(O81,'G-7 WaterC'' Data'!$AD$4:$AE$14,2,FALSE)=0,"Spatial Data Missing ⚠",VLOOKUP(O81,'G-7 WaterC'' Data'!$AD$4:$AE$14,2,FALSE)))))</f>
        <v/>
      </c>
      <c r="Q81" s="282" t="str">
        <f>IF(D81="","",VLOOKUP(D81,'G-7 WaterC'' Data'!$B$4:$G$8,6,FALSE))</f>
        <v/>
      </c>
      <c r="R81" s="289" t="str">
        <f t="shared" si="13"/>
        <v xml:space="preserve"> </v>
      </c>
      <c r="S81" s="393"/>
      <c r="T81" s="281" t="str">
        <f>IF(S81="","",IF(VLOOKUP(S81,'G-7 WaterC'' Data'!$AO$4:$BO$7,2,FALSE)=0,"Spatial Data Missing ⚠",VLOOKUP(S81,'G-7 WaterC'' Data'!$AO$4:$BO$7,2,FALSE)))</f>
        <v/>
      </c>
      <c r="U81" s="289" t="str">
        <f t="shared" si="14"/>
        <v xml:space="preserve"> </v>
      </c>
      <c r="V81" s="694" t="str">
        <f t="shared" si="15"/>
        <v/>
      </c>
      <c r="W81" s="32"/>
      <c r="X81" s="101"/>
      <c r="Y81" s="108"/>
      <c r="Z81" s="287" t="str">
        <f t="shared" si="16"/>
        <v/>
      </c>
      <c r="AA81" s="287" t="str">
        <f t="shared" si="17"/>
        <v/>
      </c>
      <c r="AB81" s="287" t="str">
        <f t="shared" si="18"/>
        <v/>
      </c>
      <c r="AC81" s="491" t="str">
        <f>IFERROR(IF(OR(E81="",R81=""),"",IF(AND(AB81&lt;&gt;"",S81=""),"Spatial risk category missing ▲",IF(AND(Q81='G-7 WaterC'' Data'!$G$4,AD81="Yes"),"Alternative Compensation ✓",IF(AND(AD81="Pending",Q81='G-7 WaterC'' Data'!$G$4),"Bespoke compensation must be agreed ▲",IF((Z81+AA81)&gt;=U81,0,U81-Z81-AA81))))),"Check Data ⚠")</f>
        <v/>
      </c>
      <c r="AD81" s="393"/>
      <c r="AE81" s="105"/>
      <c r="AF81" s="104"/>
      <c r="AG81" s="104"/>
      <c r="AH81" s="104"/>
      <c r="AI81" s="54" t="str">
        <f>IF(OR(Q81="",AD81="Yes"),"",IF(Q81='G-1 All Habitats'!$X$9,E81-Y81-X81,"None"))</f>
        <v/>
      </c>
      <c r="AJ81" s="55" t="str">
        <f>IF(Q81="","",IF(Q81='G-1 All Habitats'!$X$9,AI81*G81*I81*L81*N81*P81,"None"))</f>
        <v/>
      </c>
      <c r="AK81" s="30" t="str">
        <f>IFERROR(INDEX('G-7 WaterC'' Data'!$AZ$3:$AZ$7,MATCH(D81,'G-7 WaterC'' Data'!$AY$3:$AY$7,0)),"")</f>
        <v/>
      </c>
      <c r="AL81" s="30">
        <f t="shared" si="19"/>
        <v>0</v>
      </c>
      <c r="AM81" s="107" t="str">
        <f t="shared" si="20"/>
        <v/>
      </c>
      <c r="AN81" s="107" t="str">
        <f t="shared" si="21"/>
        <v/>
      </c>
      <c r="AP81" s="107">
        <v>72</v>
      </c>
      <c r="AR81" s="107" t="str">
        <f t="array" ref="AR81">IFERROR(INDEX($AP$10:$AP$258,MATCH(0,IF(TRUE=$AM$10:$AM$258,COUNTIF($AR$9:$AR80,$AP$10:$AP$258),""),0)),"")</f>
        <v/>
      </c>
      <c r="AS81" s="107" t="str">
        <f t="array" ref="AS81">IFERROR(INDEX($AP$10:$AP$258,MATCH(0,IF(TRUE=$AN$10:$AN$258,COUNTIF($AS$9:$AS80,$AP$10:$AP$258),""),0)),"")</f>
        <v/>
      </c>
      <c r="AT81" s="885" t="str">
        <f>IF(AND(OR(AD81="Yes",AD81="Pending"),Q81='G-7 WaterC'' Data'!$G$4),U81-AA81-Z81,"0")</f>
        <v>0</v>
      </c>
      <c r="AU81" s="30" t="str">
        <f>IF(D81="","",VLOOKUP(D81,'G-7 WaterC'' Data'!B$4:M$8,12,FALSE))</f>
        <v/>
      </c>
      <c r="AV81" s="30" t="str">
        <f t="shared" si="12"/>
        <v/>
      </c>
      <c r="AW81" s="30" t="str">
        <f t="shared" si="22"/>
        <v>No</v>
      </c>
      <c r="BA81" s="555" t="str">
        <f t="shared" si="23"/>
        <v/>
      </c>
    </row>
    <row r="82" spans="3:53" ht="14.5" thickBot="1">
      <c r="C82" s="97">
        <v>73</v>
      </c>
      <c r="D82" s="263"/>
      <c r="E82" s="104"/>
      <c r="F82" s="275" t="str">
        <f>IF(D82="","",VLOOKUP(D82,'G-7 WaterC'' Data'!$B$2:$G$8,2,FALSE))</f>
        <v/>
      </c>
      <c r="G82" s="314" t="str">
        <f>IFERROR(VLOOKUP(F82,'G-7 WaterC'' Data'!$C$4:$D$8,2,FALSE),"")</f>
        <v/>
      </c>
      <c r="H82" s="105"/>
      <c r="I82" s="299" t="str">
        <f>IFERROR(INDEX('G-7 WaterC'' Data'!$H$4:$L$8,MATCH(D82,'G-7 WaterC'' Data'!$B$4:$B$8,0),MATCH(H82,'G-7 WaterC'' Data'!$H$3:$L$3,0)),"")</f>
        <v/>
      </c>
      <c r="J82" s="702"/>
      <c r="K82" s="295" t="str">
        <f>IF(J82="","",IF(VLOOKUP(J82,'G-7 WaterC'' Data'!$AK$4:$AM$9,2,FALSE)=0,"Spatial Data Missing ⚠",VLOOKUP(J82,'G-7 WaterC'' Data'!$AK$4:$AM$6,2,FALSE)))</f>
        <v/>
      </c>
      <c r="L82" s="299" t="str">
        <f>IF(J82="","",IF(VLOOKUP(J82,'G-7 WaterC'' Data'!$AK$4:$AM$9,3,FALSE)=0,"Spatial Data Missing ⚠",VLOOKUP(J82,'G-7 WaterC'' Data'!$AK$4:$AM$6,3,FALSE)))</f>
        <v/>
      </c>
      <c r="M82" s="102"/>
      <c r="N82" s="276" t="str">
        <f>IF(M82="","",IF(AND(M82="N/A - Culvert",D82&lt;&gt;"Culvert"),"Not possible ▲",IF(AND(D82="Culvert",M82&lt;&gt;"N/A - Culvert"),"Not possible ▲",IF(VLOOKUP(M82,'G-7 WaterC'' Data'!$AA$4:$AB$7,2,FALSE)=0,"Spatial Data Missing ⚠",VLOOKUP(M82,'G-7 WaterC'' Data'!$AA$4:$AB$7,2,FALSE)))))</f>
        <v/>
      </c>
      <c r="O82" s="56"/>
      <c r="P82" s="276" t="str">
        <f>IF(O82="","",IF(AND(O82="N/A - Culvert",D82&lt;&gt;"Culvert"),"Not possible ▲",IF(AND(D82="Culvert",O82&lt;&gt;"N/A - Culvert"),"Not possible ▲",IF(VLOOKUP(O82,'G-7 WaterC'' Data'!$AD$4:$AE$14,2,FALSE)=0,"Spatial Data Missing ⚠",VLOOKUP(O82,'G-7 WaterC'' Data'!$AD$4:$AE$14,2,FALSE)))))</f>
        <v/>
      </c>
      <c r="Q82" s="282" t="str">
        <f>IF(D82="","",VLOOKUP(D82,'G-7 WaterC'' Data'!$B$4:$G$8,6,FALSE))</f>
        <v/>
      </c>
      <c r="R82" s="289" t="str">
        <f t="shared" si="13"/>
        <v xml:space="preserve"> </v>
      </c>
      <c r="S82" s="393"/>
      <c r="T82" s="281" t="str">
        <f>IF(S82="","",IF(VLOOKUP(S82,'G-7 WaterC'' Data'!$AO$4:$BO$7,2,FALSE)=0,"Spatial Data Missing ⚠",VLOOKUP(S82,'G-7 WaterC'' Data'!$AO$4:$BO$7,2,FALSE)))</f>
        <v/>
      </c>
      <c r="U82" s="289" t="str">
        <f t="shared" si="14"/>
        <v xml:space="preserve"> </v>
      </c>
      <c r="V82" s="694" t="str">
        <f t="shared" si="15"/>
        <v/>
      </c>
      <c r="W82" s="32"/>
      <c r="X82" s="101"/>
      <c r="Y82" s="108"/>
      <c r="Z82" s="287" t="str">
        <f t="shared" si="16"/>
        <v/>
      </c>
      <c r="AA82" s="287" t="str">
        <f t="shared" si="17"/>
        <v/>
      </c>
      <c r="AB82" s="287" t="str">
        <f t="shared" si="18"/>
        <v/>
      </c>
      <c r="AC82" s="491" t="str">
        <f>IFERROR(IF(OR(E82="",R82=""),"",IF(AND(AB82&lt;&gt;"",S82=""),"Spatial risk category missing ▲",IF(AND(Q82='G-7 WaterC'' Data'!$G$4,AD82="Yes"),"Alternative Compensation ✓",IF(AND(AD82="Pending",Q82='G-7 WaterC'' Data'!$G$4),"Bespoke compensation must be agreed ▲",IF((Z82+AA82)&gt;=U82,0,U82-Z82-AA82))))),"Check Data ⚠")</f>
        <v/>
      </c>
      <c r="AD82" s="393"/>
      <c r="AE82" s="105"/>
      <c r="AF82" s="104"/>
      <c r="AG82" s="104"/>
      <c r="AH82" s="104"/>
      <c r="AI82" s="54" t="str">
        <f>IF(OR(Q82="",AD82="Yes"),"",IF(Q82='G-1 All Habitats'!$X$9,E82-Y82-X82,"None"))</f>
        <v/>
      </c>
      <c r="AJ82" s="55" t="str">
        <f>IF(Q82="","",IF(Q82='G-1 All Habitats'!$X$9,AI82*G82*I82*L82*N82*P82,"None"))</f>
        <v/>
      </c>
      <c r="AK82" s="30" t="str">
        <f>IFERROR(INDEX('G-7 WaterC'' Data'!$AZ$3:$AZ$7,MATCH(D82,'G-7 WaterC'' Data'!$AY$3:$AY$7,0)),"")</f>
        <v/>
      </c>
      <c r="AL82" s="30">
        <f t="shared" si="19"/>
        <v>0</v>
      </c>
      <c r="AM82" s="107" t="str">
        <f t="shared" si="20"/>
        <v/>
      </c>
      <c r="AN82" s="107" t="str">
        <f t="shared" si="21"/>
        <v/>
      </c>
      <c r="AP82" s="107">
        <v>73</v>
      </c>
      <c r="AR82" s="107" t="str">
        <f t="array" ref="AR82">IFERROR(INDEX($AP$10:$AP$258,MATCH(0,IF(TRUE=$AM$10:$AM$258,COUNTIF($AR$9:$AR81,$AP$10:$AP$258),""),0)),"")</f>
        <v/>
      </c>
      <c r="AS82" s="107" t="str">
        <f t="array" ref="AS82">IFERROR(INDEX($AP$10:$AP$258,MATCH(0,IF(TRUE=$AN$10:$AN$258,COUNTIF($AS$9:$AS81,$AP$10:$AP$258),""),0)),"")</f>
        <v/>
      </c>
      <c r="AT82" s="885" t="str">
        <f>IF(AND(OR(AD82="Yes",AD82="Pending"),Q82='G-7 WaterC'' Data'!$G$4),U82-AA82-Z82,"0")</f>
        <v>0</v>
      </c>
      <c r="AU82" s="30" t="str">
        <f>IF(D82="","",VLOOKUP(D82,'G-7 WaterC'' Data'!B$4:M$8,12,FALSE))</f>
        <v/>
      </c>
      <c r="AV82" s="30" t="str">
        <f t="shared" si="12"/>
        <v/>
      </c>
      <c r="AW82" s="30" t="str">
        <f t="shared" si="22"/>
        <v>No</v>
      </c>
      <c r="BA82" s="555" t="str">
        <f t="shared" si="23"/>
        <v/>
      </c>
    </row>
    <row r="83" spans="3:53" ht="14.5" thickBot="1">
      <c r="C83" s="97">
        <v>74</v>
      </c>
      <c r="D83" s="263"/>
      <c r="E83" s="104"/>
      <c r="F83" s="275" t="str">
        <f>IF(D83="","",VLOOKUP(D83,'G-7 WaterC'' Data'!$B$2:$G$8,2,FALSE))</f>
        <v/>
      </c>
      <c r="G83" s="314" t="str">
        <f>IFERROR(VLOOKUP(F83,'G-7 WaterC'' Data'!$C$4:$D$8,2,FALSE),"")</f>
        <v/>
      </c>
      <c r="H83" s="105"/>
      <c r="I83" s="299" t="str">
        <f>IFERROR(INDEX('G-7 WaterC'' Data'!$H$4:$L$8,MATCH(D83,'G-7 WaterC'' Data'!$B$4:$B$8,0),MATCH(H83,'G-7 WaterC'' Data'!$H$3:$L$3,0)),"")</f>
        <v/>
      </c>
      <c r="J83" s="702"/>
      <c r="K83" s="295" t="str">
        <f>IF(J83="","",IF(VLOOKUP(J83,'G-7 WaterC'' Data'!$AK$4:$AM$9,2,FALSE)=0,"Spatial Data Missing ⚠",VLOOKUP(J83,'G-7 WaterC'' Data'!$AK$4:$AM$6,2,FALSE)))</f>
        <v/>
      </c>
      <c r="L83" s="299" t="str">
        <f>IF(J83="","",IF(VLOOKUP(J83,'G-7 WaterC'' Data'!$AK$4:$AM$9,3,FALSE)=0,"Spatial Data Missing ⚠",VLOOKUP(J83,'G-7 WaterC'' Data'!$AK$4:$AM$6,3,FALSE)))</f>
        <v/>
      </c>
      <c r="M83" s="102"/>
      <c r="N83" s="276" t="str">
        <f>IF(M83="","",IF(AND(M83="N/A - Culvert",D83&lt;&gt;"Culvert"),"Not possible ▲",IF(AND(D83="Culvert",M83&lt;&gt;"N/A - Culvert"),"Not possible ▲",IF(VLOOKUP(M83,'G-7 WaterC'' Data'!$AA$4:$AB$7,2,FALSE)=0,"Spatial Data Missing ⚠",VLOOKUP(M83,'G-7 WaterC'' Data'!$AA$4:$AB$7,2,FALSE)))))</f>
        <v/>
      </c>
      <c r="O83" s="56"/>
      <c r="P83" s="276" t="str">
        <f>IF(O83="","",IF(AND(O83="N/A - Culvert",D83&lt;&gt;"Culvert"),"Not possible ▲",IF(AND(D83="Culvert",O83&lt;&gt;"N/A - Culvert"),"Not possible ▲",IF(VLOOKUP(O83,'G-7 WaterC'' Data'!$AD$4:$AE$14,2,FALSE)=0,"Spatial Data Missing ⚠",VLOOKUP(O83,'G-7 WaterC'' Data'!$AD$4:$AE$14,2,FALSE)))))</f>
        <v/>
      </c>
      <c r="Q83" s="282" t="str">
        <f>IF(D83="","",VLOOKUP(D83,'G-7 WaterC'' Data'!$B$4:$G$8,6,FALSE))</f>
        <v/>
      </c>
      <c r="R83" s="289" t="str">
        <f t="shared" si="13"/>
        <v xml:space="preserve"> </v>
      </c>
      <c r="S83" s="393"/>
      <c r="T83" s="281" t="str">
        <f>IF(S83="","",IF(VLOOKUP(S83,'G-7 WaterC'' Data'!$AO$4:$BO$7,2,FALSE)=0,"Spatial Data Missing ⚠",VLOOKUP(S83,'G-7 WaterC'' Data'!$AO$4:$BO$7,2,FALSE)))</f>
        <v/>
      </c>
      <c r="U83" s="289" t="str">
        <f t="shared" si="14"/>
        <v xml:space="preserve"> </v>
      </c>
      <c r="V83" s="694" t="str">
        <f t="shared" si="15"/>
        <v/>
      </c>
      <c r="W83" s="32"/>
      <c r="X83" s="101"/>
      <c r="Y83" s="108"/>
      <c r="Z83" s="287" t="str">
        <f t="shared" si="16"/>
        <v/>
      </c>
      <c r="AA83" s="287" t="str">
        <f t="shared" si="17"/>
        <v/>
      </c>
      <c r="AB83" s="287" t="str">
        <f t="shared" si="18"/>
        <v/>
      </c>
      <c r="AC83" s="491" t="str">
        <f>IFERROR(IF(OR(E83="",R83=""),"",IF(AND(AB83&lt;&gt;"",S83=""),"Spatial risk category missing ▲",IF(AND(Q83='G-7 WaterC'' Data'!$G$4,AD83="Yes"),"Alternative Compensation ✓",IF(AND(AD83="Pending",Q83='G-7 WaterC'' Data'!$G$4),"Bespoke compensation must be agreed ▲",IF((Z83+AA83)&gt;=U83,0,U83-Z83-AA83))))),"Check Data ⚠")</f>
        <v/>
      </c>
      <c r="AD83" s="393"/>
      <c r="AE83" s="105"/>
      <c r="AF83" s="104"/>
      <c r="AG83" s="104"/>
      <c r="AH83" s="104"/>
      <c r="AI83" s="54" t="str">
        <f>IF(OR(Q83="",AD83="Yes"),"",IF(Q83='G-1 All Habitats'!$X$9,E83-Y83-X83,"None"))</f>
        <v/>
      </c>
      <c r="AJ83" s="55" t="str">
        <f>IF(Q83="","",IF(Q83='G-1 All Habitats'!$X$9,AI83*G83*I83*L83*N83*P83,"None"))</f>
        <v/>
      </c>
      <c r="AK83" s="30" t="str">
        <f>IFERROR(INDEX('G-7 WaterC'' Data'!$AZ$3:$AZ$7,MATCH(D83,'G-7 WaterC'' Data'!$AY$3:$AY$7,0)),"")</f>
        <v/>
      </c>
      <c r="AL83" s="30">
        <f t="shared" si="19"/>
        <v>0</v>
      </c>
      <c r="AM83" s="107" t="str">
        <f t="shared" si="20"/>
        <v/>
      </c>
      <c r="AN83" s="107" t="str">
        <f t="shared" si="21"/>
        <v/>
      </c>
      <c r="AP83" s="107">
        <v>74</v>
      </c>
      <c r="AR83" s="107" t="str">
        <f t="array" ref="AR83">IFERROR(INDEX($AP$10:$AP$258,MATCH(0,IF(TRUE=$AM$10:$AM$258,COUNTIF($AR$9:$AR82,$AP$10:$AP$258),""),0)),"")</f>
        <v/>
      </c>
      <c r="AS83" s="107" t="str">
        <f t="array" ref="AS83">IFERROR(INDEX($AP$10:$AP$258,MATCH(0,IF(TRUE=$AN$10:$AN$258,COUNTIF($AS$9:$AS82,$AP$10:$AP$258),""),0)),"")</f>
        <v/>
      </c>
      <c r="AT83" s="885" t="str">
        <f>IF(AND(OR(AD83="Yes",AD83="Pending"),Q83='G-7 WaterC'' Data'!$G$4),U83-AA83-Z83,"0")</f>
        <v>0</v>
      </c>
      <c r="AU83" s="30" t="str">
        <f>IF(D83="","",VLOOKUP(D83,'G-7 WaterC'' Data'!B$4:M$8,12,FALSE))</f>
        <v/>
      </c>
      <c r="AV83" s="30" t="str">
        <f t="shared" si="12"/>
        <v/>
      </c>
      <c r="AW83" s="30" t="str">
        <f t="shared" si="22"/>
        <v>No</v>
      </c>
      <c r="BA83" s="555" t="str">
        <f t="shared" si="23"/>
        <v/>
      </c>
    </row>
    <row r="84" spans="3:53" ht="14.5" thickBot="1">
      <c r="C84" s="97">
        <v>75</v>
      </c>
      <c r="D84" s="263"/>
      <c r="E84" s="104"/>
      <c r="F84" s="275" t="str">
        <f>IF(D84="","",VLOOKUP(D84,'G-7 WaterC'' Data'!$B$2:$G$8,2,FALSE))</f>
        <v/>
      </c>
      <c r="G84" s="314" t="str">
        <f>IFERROR(VLOOKUP(F84,'G-7 WaterC'' Data'!$C$4:$D$8,2,FALSE),"")</f>
        <v/>
      </c>
      <c r="H84" s="105"/>
      <c r="I84" s="299" t="str">
        <f>IFERROR(INDEX('G-7 WaterC'' Data'!$H$4:$L$8,MATCH(D84,'G-7 WaterC'' Data'!$B$4:$B$8,0),MATCH(H84,'G-7 WaterC'' Data'!$H$3:$L$3,0)),"")</f>
        <v/>
      </c>
      <c r="J84" s="702"/>
      <c r="K84" s="295" t="str">
        <f>IF(J84="","",IF(VLOOKUP(J84,'G-7 WaterC'' Data'!$AK$4:$AM$9,2,FALSE)=0,"Spatial Data Missing ⚠",VLOOKUP(J84,'G-7 WaterC'' Data'!$AK$4:$AM$6,2,FALSE)))</f>
        <v/>
      </c>
      <c r="L84" s="299" t="str">
        <f>IF(J84="","",IF(VLOOKUP(J84,'G-7 WaterC'' Data'!$AK$4:$AM$9,3,FALSE)=0,"Spatial Data Missing ⚠",VLOOKUP(J84,'G-7 WaterC'' Data'!$AK$4:$AM$6,3,FALSE)))</f>
        <v/>
      </c>
      <c r="M84" s="102"/>
      <c r="N84" s="276" t="str">
        <f>IF(M84="","",IF(AND(M84="N/A - Culvert",D84&lt;&gt;"Culvert"),"Not possible ▲",IF(AND(D84="Culvert",M84&lt;&gt;"N/A - Culvert"),"Not possible ▲",IF(VLOOKUP(M84,'G-7 WaterC'' Data'!$AA$4:$AB$7,2,FALSE)=0,"Spatial Data Missing ⚠",VLOOKUP(M84,'G-7 WaterC'' Data'!$AA$4:$AB$7,2,FALSE)))))</f>
        <v/>
      </c>
      <c r="O84" s="56"/>
      <c r="P84" s="276" t="str">
        <f>IF(O84="","",IF(AND(O84="N/A - Culvert",D84&lt;&gt;"Culvert"),"Not possible ▲",IF(AND(D84="Culvert",O84&lt;&gt;"N/A - Culvert"),"Not possible ▲",IF(VLOOKUP(O84,'G-7 WaterC'' Data'!$AD$4:$AE$14,2,FALSE)=0,"Spatial Data Missing ⚠",VLOOKUP(O84,'G-7 WaterC'' Data'!$AD$4:$AE$14,2,FALSE)))))</f>
        <v/>
      </c>
      <c r="Q84" s="282" t="str">
        <f>IF(D84="","",VLOOKUP(D84,'G-7 WaterC'' Data'!$B$4:$G$8,6,FALSE))</f>
        <v/>
      </c>
      <c r="R84" s="289" t="str">
        <f t="shared" si="13"/>
        <v xml:space="preserve"> </v>
      </c>
      <c r="S84" s="393"/>
      <c r="T84" s="281" t="str">
        <f>IF(S84="","",IF(VLOOKUP(S84,'G-7 WaterC'' Data'!$AO$4:$BO$7,2,FALSE)=0,"Spatial Data Missing ⚠",VLOOKUP(S84,'G-7 WaterC'' Data'!$AO$4:$BO$7,2,FALSE)))</f>
        <v/>
      </c>
      <c r="U84" s="289" t="str">
        <f t="shared" si="14"/>
        <v xml:space="preserve"> </v>
      </c>
      <c r="V84" s="694" t="str">
        <f t="shared" si="15"/>
        <v/>
      </c>
      <c r="W84" s="32"/>
      <c r="X84" s="101"/>
      <c r="Y84" s="108"/>
      <c r="Z84" s="287" t="str">
        <f t="shared" si="16"/>
        <v/>
      </c>
      <c r="AA84" s="287" t="str">
        <f t="shared" si="17"/>
        <v/>
      </c>
      <c r="AB84" s="287" t="str">
        <f t="shared" si="18"/>
        <v/>
      </c>
      <c r="AC84" s="491" t="str">
        <f>IFERROR(IF(OR(E84="",R84=""),"",IF(AND(AB84&lt;&gt;"",S84=""),"Spatial risk category missing ▲",IF(AND(Q84='G-7 WaterC'' Data'!$G$4,AD84="Yes"),"Alternative Compensation ✓",IF(AND(AD84="Pending",Q84='G-7 WaterC'' Data'!$G$4),"Bespoke compensation must be agreed ▲",IF((Z84+AA84)&gt;=U84,0,U84-Z84-AA84))))),"Check Data ⚠")</f>
        <v/>
      </c>
      <c r="AD84" s="393"/>
      <c r="AE84" s="105"/>
      <c r="AF84" s="104"/>
      <c r="AG84" s="104"/>
      <c r="AH84" s="104"/>
      <c r="AI84" s="54" t="str">
        <f>IF(OR(Q84="",AD84="Yes"),"",IF(Q84='G-1 All Habitats'!$X$9,E84-Y84-X84,"None"))</f>
        <v/>
      </c>
      <c r="AJ84" s="55" t="str">
        <f>IF(Q84="","",IF(Q84='G-1 All Habitats'!$X$9,AI84*G84*I84*L84*N84*P84,"None"))</f>
        <v/>
      </c>
      <c r="AK84" s="30" t="str">
        <f>IFERROR(INDEX('G-7 WaterC'' Data'!$AZ$3:$AZ$7,MATCH(D84,'G-7 WaterC'' Data'!$AY$3:$AY$7,0)),"")</f>
        <v/>
      </c>
      <c r="AL84" s="30">
        <f t="shared" si="19"/>
        <v>0</v>
      </c>
      <c r="AM84" s="107" t="str">
        <f t="shared" si="20"/>
        <v/>
      </c>
      <c r="AN84" s="107" t="str">
        <f t="shared" si="21"/>
        <v/>
      </c>
      <c r="AP84" s="107">
        <v>75</v>
      </c>
      <c r="AR84" s="107" t="str">
        <f t="array" ref="AR84">IFERROR(INDEX($AP$10:$AP$258,MATCH(0,IF(TRUE=$AM$10:$AM$258,COUNTIF($AR$9:$AR83,$AP$10:$AP$258),""),0)),"")</f>
        <v/>
      </c>
      <c r="AS84" s="107" t="str">
        <f t="array" ref="AS84">IFERROR(INDEX($AP$10:$AP$258,MATCH(0,IF(TRUE=$AN$10:$AN$258,COUNTIF($AS$9:$AS83,$AP$10:$AP$258),""),0)),"")</f>
        <v/>
      </c>
      <c r="AT84" s="885" t="str">
        <f>IF(AND(OR(AD84="Yes",AD84="Pending"),Q84='G-7 WaterC'' Data'!$G$4),U84-AA84-Z84,"0")</f>
        <v>0</v>
      </c>
      <c r="AU84" s="30" t="str">
        <f>IF(D84="","",VLOOKUP(D84,'G-7 WaterC'' Data'!B$4:M$8,12,FALSE))</f>
        <v/>
      </c>
      <c r="AV84" s="30" t="str">
        <f t="shared" si="12"/>
        <v/>
      </c>
      <c r="AW84" s="30" t="str">
        <f t="shared" si="22"/>
        <v>No</v>
      </c>
      <c r="BA84" s="555" t="str">
        <f t="shared" si="23"/>
        <v/>
      </c>
    </row>
    <row r="85" spans="3:53" ht="14.5" thickBot="1">
      <c r="C85" s="97">
        <v>76</v>
      </c>
      <c r="D85" s="263"/>
      <c r="E85" s="104"/>
      <c r="F85" s="275" t="str">
        <f>IF(D85="","",VLOOKUP(D85,'G-7 WaterC'' Data'!$B$2:$G$8,2,FALSE))</f>
        <v/>
      </c>
      <c r="G85" s="314" t="str">
        <f>IFERROR(VLOOKUP(F85,'G-7 WaterC'' Data'!$C$4:$D$8,2,FALSE),"")</f>
        <v/>
      </c>
      <c r="H85" s="105"/>
      <c r="I85" s="299" t="str">
        <f>IFERROR(INDEX('G-7 WaterC'' Data'!$H$4:$L$8,MATCH(D85,'G-7 WaterC'' Data'!$B$4:$B$8,0),MATCH(H85,'G-7 WaterC'' Data'!$H$3:$L$3,0)),"")</f>
        <v/>
      </c>
      <c r="J85" s="702"/>
      <c r="K85" s="295" t="str">
        <f>IF(J85="","",IF(VLOOKUP(J85,'G-7 WaterC'' Data'!$AK$4:$AM$9,2,FALSE)=0,"Spatial Data Missing ⚠",VLOOKUP(J85,'G-7 WaterC'' Data'!$AK$4:$AM$6,2,FALSE)))</f>
        <v/>
      </c>
      <c r="L85" s="299" t="str">
        <f>IF(J85="","",IF(VLOOKUP(J85,'G-7 WaterC'' Data'!$AK$4:$AM$9,3,FALSE)=0,"Spatial Data Missing ⚠",VLOOKUP(J85,'G-7 WaterC'' Data'!$AK$4:$AM$6,3,FALSE)))</f>
        <v/>
      </c>
      <c r="M85" s="102"/>
      <c r="N85" s="276" t="str">
        <f>IF(M85="","",IF(AND(M85="N/A - Culvert",D85&lt;&gt;"Culvert"),"Not possible ▲",IF(AND(D85="Culvert",M85&lt;&gt;"N/A - Culvert"),"Not possible ▲",IF(VLOOKUP(M85,'G-7 WaterC'' Data'!$AA$4:$AB$7,2,FALSE)=0,"Spatial Data Missing ⚠",VLOOKUP(M85,'G-7 WaterC'' Data'!$AA$4:$AB$7,2,FALSE)))))</f>
        <v/>
      </c>
      <c r="O85" s="56"/>
      <c r="P85" s="276" t="str">
        <f>IF(O85="","",IF(AND(O85="N/A - Culvert",D85&lt;&gt;"Culvert"),"Not possible ▲",IF(AND(D85="Culvert",O85&lt;&gt;"N/A - Culvert"),"Not possible ▲",IF(VLOOKUP(O85,'G-7 WaterC'' Data'!$AD$4:$AE$14,2,FALSE)=0,"Spatial Data Missing ⚠",VLOOKUP(O85,'G-7 WaterC'' Data'!$AD$4:$AE$14,2,FALSE)))))</f>
        <v/>
      </c>
      <c r="Q85" s="282" t="str">
        <f>IF(D85="","",VLOOKUP(D85,'G-7 WaterC'' Data'!$B$4:$G$8,6,FALSE))</f>
        <v/>
      </c>
      <c r="R85" s="289" t="str">
        <f t="shared" si="13"/>
        <v xml:space="preserve"> </v>
      </c>
      <c r="S85" s="393"/>
      <c r="T85" s="281" t="str">
        <f>IF(S85="","",IF(VLOOKUP(S85,'G-7 WaterC'' Data'!$AO$4:$BO$7,2,FALSE)=0,"Spatial Data Missing ⚠",VLOOKUP(S85,'G-7 WaterC'' Data'!$AO$4:$BO$7,2,FALSE)))</f>
        <v/>
      </c>
      <c r="U85" s="289" t="str">
        <f t="shared" si="14"/>
        <v xml:space="preserve"> </v>
      </c>
      <c r="V85" s="694" t="str">
        <f t="shared" si="15"/>
        <v/>
      </c>
      <c r="W85" s="32"/>
      <c r="X85" s="101"/>
      <c r="Y85" s="108"/>
      <c r="Z85" s="287" t="str">
        <f t="shared" si="16"/>
        <v/>
      </c>
      <c r="AA85" s="287" t="str">
        <f t="shared" si="17"/>
        <v/>
      </c>
      <c r="AB85" s="287" t="str">
        <f t="shared" si="18"/>
        <v/>
      </c>
      <c r="AC85" s="491" t="str">
        <f>IFERROR(IF(OR(E85="",R85=""),"",IF(AND(AB85&lt;&gt;"",S85=""),"Spatial risk category missing ▲",IF(AND(Q85='G-7 WaterC'' Data'!$G$4,AD85="Yes"),"Alternative Compensation ✓",IF(AND(AD85="Pending",Q85='G-7 WaterC'' Data'!$G$4),"Bespoke compensation must be agreed ▲",IF((Z85+AA85)&gt;=U85,0,U85-Z85-AA85))))),"Check Data ⚠")</f>
        <v/>
      </c>
      <c r="AD85" s="393"/>
      <c r="AE85" s="105"/>
      <c r="AF85" s="104"/>
      <c r="AG85" s="104"/>
      <c r="AH85" s="104"/>
      <c r="AI85" s="54" t="str">
        <f>IF(OR(Q85="",AD85="Yes"),"",IF(Q85='G-1 All Habitats'!$X$9,E85-Y85-X85,"None"))</f>
        <v/>
      </c>
      <c r="AJ85" s="55" t="str">
        <f>IF(Q85="","",IF(Q85='G-1 All Habitats'!$X$9,AI85*G85*I85*L85*N85*P85,"None"))</f>
        <v/>
      </c>
      <c r="AK85" s="30" t="str">
        <f>IFERROR(INDEX('G-7 WaterC'' Data'!$AZ$3:$AZ$7,MATCH(D85,'G-7 WaterC'' Data'!$AY$3:$AY$7,0)),"")</f>
        <v/>
      </c>
      <c r="AL85" s="30">
        <f t="shared" si="19"/>
        <v>0</v>
      </c>
      <c r="AM85" s="107" t="str">
        <f t="shared" si="20"/>
        <v/>
      </c>
      <c r="AN85" s="107" t="str">
        <f t="shared" si="21"/>
        <v/>
      </c>
      <c r="AP85" s="107">
        <v>76</v>
      </c>
      <c r="AR85" s="107" t="str">
        <f t="array" ref="AR85">IFERROR(INDEX($AP$10:$AP$258,MATCH(0,IF(TRUE=$AM$10:$AM$258,COUNTIF($AR$9:$AR84,$AP$10:$AP$258),""),0)),"")</f>
        <v/>
      </c>
      <c r="AS85" s="107" t="str">
        <f t="array" ref="AS85">IFERROR(INDEX($AP$10:$AP$258,MATCH(0,IF(TRUE=$AN$10:$AN$258,COUNTIF($AS$9:$AS84,$AP$10:$AP$258),""),0)),"")</f>
        <v/>
      </c>
      <c r="AT85" s="885" t="str">
        <f>IF(AND(OR(AD85="Yes",AD85="Pending"),Q85='G-7 WaterC'' Data'!$G$4),U85-AA85-Z85,"0")</f>
        <v>0</v>
      </c>
      <c r="AU85" s="30" t="str">
        <f>IF(D85="","",VLOOKUP(D85,'G-7 WaterC'' Data'!B$4:M$8,12,FALSE))</f>
        <v/>
      </c>
      <c r="AV85" s="30" t="str">
        <f t="shared" si="12"/>
        <v/>
      </c>
      <c r="AW85" s="30" t="str">
        <f t="shared" si="22"/>
        <v>No</v>
      </c>
      <c r="BA85" s="555" t="str">
        <f t="shared" si="23"/>
        <v/>
      </c>
    </row>
    <row r="86" spans="3:53" ht="14.5" thickBot="1">
      <c r="C86" s="97">
        <v>77</v>
      </c>
      <c r="D86" s="263"/>
      <c r="E86" s="104"/>
      <c r="F86" s="275" t="str">
        <f>IF(D86="","",VLOOKUP(D86,'G-7 WaterC'' Data'!$B$2:$G$8,2,FALSE))</f>
        <v/>
      </c>
      <c r="G86" s="314" t="str">
        <f>IFERROR(VLOOKUP(F86,'G-7 WaterC'' Data'!$C$4:$D$8,2,FALSE),"")</f>
        <v/>
      </c>
      <c r="H86" s="105"/>
      <c r="I86" s="299" t="str">
        <f>IFERROR(INDEX('G-7 WaterC'' Data'!$H$4:$L$8,MATCH(D86,'G-7 WaterC'' Data'!$B$4:$B$8,0),MATCH(H86,'G-7 WaterC'' Data'!$H$3:$L$3,0)),"")</f>
        <v/>
      </c>
      <c r="J86" s="702"/>
      <c r="K86" s="295" t="str">
        <f>IF(J86="","",IF(VLOOKUP(J86,'G-7 WaterC'' Data'!$AK$4:$AM$9,2,FALSE)=0,"Spatial Data Missing ⚠",VLOOKUP(J86,'G-7 WaterC'' Data'!$AK$4:$AM$6,2,FALSE)))</f>
        <v/>
      </c>
      <c r="L86" s="299" t="str">
        <f>IF(J86="","",IF(VLOOKUP(J86,'G-7 WaterC'' Data'!$AK$4:$AM$9,3,FALSE)=0,"Spatial Data Missing ⚠",VLOOKUP(J86,'G-7 WaterC'' Data'!$AK$4:$AM$6,3,FALSE)))</f>
        <v/>
      </c>
      <c r="M86" s="102"/>
      <c r="N86" s="276" t="str">
        <f>IF(M86="","",IF(AND(M86="N/A - Culvert",D86&lt;&gt;"Culvert"),"Not possible ▲",IF(AND(D86="Culvert",M86&lt;&gt;"N/A - Culvert"),"Not possible ▲",IF(VLOOKUP(M86,'G-7 WaterC'' Data'!$AA$4:$AB$7,2,FALSE)=0,"Spatial Data Missing ⚠",VLOOKUP(M86,'G-7 WaterC'' Data'!$AA$4:$AB$7,2,FALSE)))))</f>
        <v/>
      </c>
      <c r="O86" s="56"/>
      <c r="P86" s="276" t="str">
        <f>IF(O86="","",IF(AND(O86="N/A - Culvert",D86&lt;&gt;"Culvert"),"Not possible ▲",IF(AND(D86="Culvert",O86&lt;&gt;"N/A - Culvert"),"Not possible ▲",IF(VLOOKUP(O86,'G-7 WaterC'' Data'!$AD$4:$AE$14,2,FALSE)=0,"Spatial Data Missing ⚠",VLOOKUP(O86,'G-7 WaterC'' Data'!$AD$4:$AE$14,2,FALSE)))))</f>
        <v/>
      </c>
      <c r="Q86" s="282" t="str">
        <f>IF(D86="","",VLOOKUP(D86,'G-7 WaterC'' Data'!$B$4:$G$8,6,FALSE))</f>
        <v/>
      </c>
      <c r="R86" s="289" t="str">
        <f t="shared" si="13"/>
        <v xml:space="preserve"> </v>
      </c>
      <c r="S86" s="393"/>
      <c r="T86" s="281" t="str">
        <f>IF(S86="","",IF(VLOOKUP(S86,'G-7 WaterC'' Data'!$AO$4:$BO$7,2,FALSE)=0,"Spatial Data Missing ⚠",VLOOKUP(S86,'G-7 WaterC'' Data'!$AO$4:$BO$7,2,FALSE)))</f>
        <v/>
      </c>
      <c r="U86" s="289" t="str">
        <f t="shared" si="14"/>
        <v xml:space="preserve"> </v>
      </c>
      <c r="V86" s="694" t="str">
        <f t="shared" si="15"/>
        <v/>
      </c>
      <c r="W86" s="32"/>
      <c r="X86" s="101"/>
      <c r="Y86" s="108"/>
      <c r="Z86" s="287" t="str">
        <f t="shared" si="16"/>
        <v/>
      </c>
      <c r="AA86" s="287" t="str">
        <f t="shared" si="17"/>
        <v/>
      </c>
      <c r="AB86" s="287" t="str">
        <f t="shared" si="18"/>
        <v/>
      </c>
      <c r="AC86" s="491" t="str">
        <f>IFERROR(IF(OR(E86="",R86=""),"",IF(AND(AB86&lt;&gt;"",S86=""),"Spatial risk category missing ▲",IF(AND(Q86='G-7 WaterC'' Data'!$G$4,AD86="Yes"),"Alternative Compensation ✓",IF(AND(AD86="Pending",Q86='G-7 WaterC'' Data'!$G$4),"Bespoke compensation must be agreed ▲",IF((Z86+AA86)&gt;=U86,0,U86-Z86-AA86))))),"Check Data ⚠")</f>
        <v/>
      </c>
      <c r="AD86" s="393"/>
      <c r="AE86" s="105"/>
      <c r="AF86" s="104"/>
      <c r="AG86" s="104"/>
      <c r="AH86" s="104"/>
      <c r="AI86" s="54" t="str">
        <f>IF(OR(Q86="",AD86="Yes"),"",IF(Q86='G-1 All Habitats'!$X$9,E86-Y86-X86,"None"))</f>
        <v/>
      </c>
      <c r="AJ86" s="55" t="str">
        <f>IF(Q86="","",IF(Q86='G-1 All Habitats'!$X$9,AI86*G86*I86*L86*N86*P86,"None"))</f>
        <v/>
      </c>
      <c r="AK86" s="30" t="str">
        <f>IFERROR(INDEX('G-7 WaterC'' Data'!$AZ$3:$AZ$7,MATCH(D86,'G-7 WaterC'' Data'!$AY$3:$AY$7,0)),"")</f>
        <v/>
      </c>
      <c r="AL86" s="30">
        <f t="shared" si="19"/>
        <v>0</v>
      </c>
      <c r="AM86" s="107" t="str">
        <f t="shared" si="20"/>
        <v/>
      </c>
      <c r="AN86" s="107" t="str">
        <f t="shared" si="21"/>
        <v/>
      </c>
      <c r="AP86" s="107">
        <v>77</v>
      </c>
      <c r="AR86" s="107" t="str">
        <f t="array" ref="AR86">IFERROR(INDEX($AP$10:$AP$258,MATCH(0,IF(TRUE=$AM$10:$AM$258,COUNTIF($AR$9:$AR85,$AP$10:$AP$258),""),0)),"")</f>
        <v/>
      </c>
      <c r="AS86" s="107" t="str">
        <f t="array" ref="AS86">IFERROR(INDEX($AP$10:$AP$258,MATCH(0,IF(TRUE=$AN$10:$AN$258,COUNTIF($AS$9:$AS85,$AP$10:$AP$258),""),0)),"")</f>
        <v/>
      </c>
      <c r="AT86" s="885" t="str">
        <f>IF(AND(OR(AD86="Yes",AD86="Pending"),Q86='G-7 WaterC'' Data'!$G$4),U86-AA86-Z86,"0")</f>
        <v>0</v>
      </c>
      <c r="AU86" s="30" t="str">
        <f>IF(D86="","",VLOOKUP(D86,'G-7 WaterC'' Data'!B$4:M$8,12,FALSE))</f>
        <v/>
      </c>
      <c r="AV86" s="30" t="str">
        <f t="shared" si="12"/>
        <v/>
      </c>
      <c r="AW86" s="30" t="str">
        <f t="shared" si="22"/>
        <v>No</v>
      </c>
      <c r="BA86" s="555" t="str">
        <f t="shared" si="23"/>
        <v/>
      </c>
    </row>
    <row r="87" spans="3:53" ht="14.5" thickBot="1">
      <c r="C87" s="97">
        <v>78</v>
      </c>
      <c r="D87" s="263"/>
      <c r="E87" s="104"/>
      <c r="F87" s="275" t="str">
        <f>IF(D87="","",VLOOKUP(D87,'G-7 WaterC'' Data'!$B$2:$G$8,2,FALSE))</f>
        <v/>
      </c>
      <c r="G87" s="314" t="str">
        <f>IFERROR(VLOOKUP(F87,'G-7 WaterC'' Data'!$C$4:$D$8,2,FALSE),"")</f>
        <v/>
      </c>
      <c r="H87" s="105"/>
      <c r="I87" s="299" t="str">
        <f>IFERROR(INDEX('G-7 WaterC'' Data'!$H$4:$L$8,MATCH(D87,'G-7 WaterC'' Data'!$B$4:$B$8,0),MATCH(H87,'G-7 WaterC'' Data'!$H$3:$L$3,0)),"")</f>
        <v/>
      </c>
      <c r="J87" s="702"/>
      <c r="K87" s="295" t="str">
        <f>IF(J87="","",IF(VLOOKUP(J87,'G-7 WaterC'' Data'!$AK$4:$AM$9,2,FALSE)=0,"Spatial Data Missing ⚠",VLOOKUP(J87,'G-7 WaterC'' Data'!$AK$4:$AM$6,2,FALSE)))</f>
        <v/>
      </c>
      <c r="L87" s="299" t="str">
        <f>IF(J87="","",IF(VLOOKUP(J87,'G-7 WaterC'' Data'!$AK$4:$AM$9,3,FALSE)=0,"Spatial Data Missing ⚠",VLOOKUP(J87,'G-7 WaterC'' Data'!$AK$4:$AM$6,3,FALSE)))</f>
        <v/>
      </c>
      <c r="M87" s="102"/>
      <c r="N87" s="276" t="str">
        <f>IF(M87="","",IF(AND(M87="N/A - Culvert",D87&lt;&gt;"Culvert"),"Not possible ▲",IF(AND(D87="Culvert",M87&lt;&gt;"N/A - Culvert"),"Not possible ▲",IF(VLOOKUP(M87,'G-7 WaterC'' Data'!$AA$4:$AB$7,2,FALSE)=0,"Spatial Data Missing ⚠",VLOOKUP(M87,'G-7 WaterC'' Data'!$AA$4:$AB$7,2,FALSE)))))</f>
        <v/>
      </c>
      <c r="O87" s="56"/>
      <c r="P87" s="276" t="str">
        <f>IF(O87="","",IF(AND(O87="N/A - Culvert",D87&lt;&gt;"Culvert"),"Not possible ▲",IF(AND(D87="Culvert",O87&lt;&gt;"N/A - Culvert"),"Not possible ▲",IF(VLOOKUP(O87,'G-7 WaterC'' Data'!$AD$4:$AE$14,2,FALSE)=0,"Spatial Data Missing ⚠",VLOOKUP(O87,'G-7 WaterC'' Data'!$AD$4:$AE$14,2,FALSE)))))</f>
        <v/>
      </c>
      <c r="Q87" s="282" t="str">
        <f>IF(D87="","",VLOOKUP(D87,'G-7 WaterC'' Data'!$B$4:$G$8,6,FALSE))</f>
        <v/>
      </c>
      <c r="R87" s="289" t="str">
        <f t="shared" si="13"/>
        <v xml:space="preserve"> </v>
      </c>
      <c r="S87" s="393"/>
      <c r="T87" s="281" t="str">
        <f>IF(S87="","",IF(VLOOKUP(S87,'G-7 WaterC'' Data'!$AO$4:$BO$7,2,FALSE)=0,"Spatial Data Missing ⚠",VLOOKUP(S87,'G-7 WaterC'' Data'!$AO$4:$BO$7,2,FALSE)))</f>
        <v/>
      </c>
      <c r="U87" s="289" t="str">
        <f t="shared" si="14"/>
        <v xml:space="preserve"> </v>
      </c>
      <c r="V87" s="694" t="str">
        <f t="shared" si="15"/>
        <v/>
      </c>
      <c r="W87" s="32"/>
      <c r="X87" s="101"/>
      <c r="Y87" s="108"/>
      <c r="Z87" s="287" t="str">
        <f t="shared" si="16"/>
        <v/>
      </c>
      <c r="AA87" s="287" t="str">
        <f t="shared" si="17"/>
        <v/>
      </c>
      <c r="AB87" s="287" t="str">
        <f t="shared" si="18"/>
        <v/>
      </c>
      <c r="AC87" s="491" t="str">
        <f>IFERROR(IF(OR(E87="",R87=""),"",IF(AND(AB87&lt;&gt;"",S87=""),"Spatial risk category missing ▲",IF(AND(Q87='G-7 WaterC'' Data'!$G$4,AD87="Yes"),"Alternative Compensation ✓",IF(AND(AD87="Pending",Q87='G-7 WaterC'' Data'!$G$4),"Bespoke compensation must be agreed ▲",IF((Z87+AA87)&gt;=U87,0,U87-Z87-AA87))))),"Check Data ⚠")</f>
        <v/>
      </c>
      <c r="AD87" s="393"/>
      <c r="AE87" s="105"/>
      <c r="AF87" s="104"/>
      <c r="AG87" s="104"/>
      <c r="AH87" s="104"/>
      <c r="AI87" s="54" t="str">
        <f>IF(OR(Q87="",AD87="Yes"),"",IF(Q87='G-1 All Habitats'!$X$9,E87-Y87-X87,"None"))</f>
        <v/>
      </c>
      <c r="AJ87" s="55" t="str">
        <f>IF(Q87="","",IF(Q87='G-1 All Habitats'!$X$9,AI87*G87*I87*L87*N87*P87,"None"))</f>
        <v/>
      </c>
      <c r="AK87" s="30" t="str">
        <f>IFERROR(INDEX('G-7 WaterC'' Data'!$AZ$3:$AZ$7,MATCH(D87,'G-7 WaterC'' Data'!$AY$3:$AY$7,0)),"")</f>
        <v/>
      </c>
      <c r="AL87" s="30">
        <f t="shared" si="19"/>
        <v>0</v>
      </c>
      <c r="AM87" s="107" t="str">
        <f t="shared" si="20"/>
        <v/>
      </c>
      <c r="AN87" s="107" t="str">
        <f t="shared" si="21"/>
        <v/>
      </c>
      <c r="AP87" s="107">
        <v>78</v>
      </c>
      <c r="AR87" s="107" t="str">
        <f t="array" ref="AR87">IFERROR(INDEX($AP$10:$AP$258,MATCH(0,IF(TRUE=$AM$10:$AM$258,COUNTIF($AR$9:$AR86,$AP$10:$AP$258),""),0)),"")</f>
        <v/>
      </c>
      <c r="AS87" s="107" t="str">
        <f t="array" ref="AS87">IFERROR(INDEX($AP$10:$AP$258,MATCH(0,IF(TRUE=$AN$10:$AN$258,COUNTIF($AS$9:$AS86,$AP$10:$AP$258),""),0)),"")</f>
        <v/>
      </c>
      <c r="AT87" s="885" t="str">
        <f>IF(AND(OR(AD87="Yes",AD87="Pending"),Q87='G-7 WaterC'' Data'!$G$4),U87-AA87-Z87,"0")</f>
        <v>0</v>
      </c>
      <c r="AU87" s="30" t="str">
        <f>IF(D87="","",VLOOKUP(D87,'G-7 WaterC'' Data'!B$4:M$8,12,FALSE))</f>
        <v/>
      </c>
      <c r="AV87" s="30" t="str">
        <f t="shared" si="12"/>
        <v/>
      </c>
      <c r="AW87" s="30" t="str">
        <f t="shared" si="22"/>
        <v>No</v>
      </c>
      <c r="BA87" s="555" t="str">
        <f t="shared" si="23"/>
        <v/>
      </c>
    </row>
    <row r="88" spans="3:53" ht="14.5" thickBot="1">
      <c r="C88" s="97">
        <v>79</v>
      </c>
      <c r="D88" s="263"/>
      <c r="E88" s="104"/>
      <c r="F88" s="275" t="str">
        <f>IF(D88="","",VLOOKUP(D88,'G-7 WaterC'' Data'!$B$2:$G$8,2,FALSE))</f>
        <v/>
      </c>
      <c r="G88" s="314" t="str">
        <f>IFERROR(VLOOKUP(F88,'G-7 WaterC'' Data'!$C$4:$D$8,2,FALSE),"")</f>
        <v/>
      </c>
      <c r="H88" s="105"/>
      <c r="I88" s="299" t="str">
        <f>IFERROR(INDEX('G-7 WaterC'' Data'!$H$4:$L$8,MATCH(D88,'G-7 WaterC'' Data'!$B$4:$B$8,0),MATCH(H88,'G-7 WaterC'' Data'!$H$3:$L$3,0)),"")</f>
        <v/>
      </c>
      <c r="J88" s="702"/>
      <c r="K88" s="295" t="str">
        <f>IF(J88="","",IF(VLOOKUP(J88,'G-7 WaterC'' Data'!$AK$4:$AM$9,2,FALSE)=0,"Spatial Data Missing ⚠",VLOOKUP(J88,'G-7 WaterC'' Data'!$AK$4:$AM$6,2,FALSE)))</f>
        <v/>
      </c>
      <c r="L88" s="299" t="str">
        <f>IF(J88="","",IF(VLOOKUP(J88,'G-7 WaterC'' Data'!$AK$4:$AM$9,3,FALSE)=0,"Spatial Data Missing ⚠",VLOOKUP(J88,'G-7 WaterC'' Data'!$AK$4:$AM$6,3,FALSE)))</f>
        <v/>
      </c>
      <c r="M88" s="102"/>
      <c r="N88" s="276" t="str">
        <f>IF(M88="","",IF(AND(M88="N/A - Culvert",D88&lt;&gt;"Culvert"),"Not possible ▲",IF(AND(D88="Culvert",M88&lt;&gt;"N/A - Culvert"),"Not possible ▲",IF(VLOOKUP(M88,'G-7 WaterC'' Data'!$AA$4:$AB$7,2,FALSE)=0,"Spatial Data Missing ⚠",VLOOKUP(M88,'G-7 WaterC'' Data'!$AA$4:$AB$7,2,FALSE)))))</f>
        <v/>
      </c>
      <c r="O88" s="56"/>
      <c r="P88" s="276" t="str">
        <f>IF(O88="","",IF(AND(O88="N/A - Culvert",D88&lt;&gt;"Culvert"),"Not possible ▲",IF(AND(D88="Culvert",O88&lt;&gt;"N/A - Culvert"),"Not possible ▲",IF(VLOOKUP(O88,'G-7 WaterC'' Data'!$AD$4:$AE$14,2,FALSE)=0,"Spatial Data Missing ⚠",VLOOKUP(O88,'G-7 WaterC'' Data'!$AD$4:$AE$14,2,FALSE)))))</f>
        <v/>
      </c>
      <c r="Q88" s="282" t="str">
        <f>IF(D88="","",VLOOKUP(D88,'G-7 WaterC'' Data'!$B$4:$G$8,6,FALSE))</f>
        <v/>
      </c>
      <c r="R88" s="289" t="str">
        <f t="shared" si="13"/>
        <v xml:space="preserve"> </v>
      </c>
      <c r="S88" s="393"/>
      <c r="T88" s="281" t="str">
        <f>IF(S88="","",IF(VLOOKUP(S88,'G-7 WaterC'' Data'!$AO$4:$BO$7,2,FALSE)=0,"Spatial Data Missing ⚠",VLOOKUP(S88,'G-7 WaterC'' Data'!$AO$4:$BO$7,2,FALSE)))</f>
        <v/>
      </c>
      <c r="U88" s="289" t="str">
        <f t="shared" si="14"/>
        <v xml:space="preserve"> </v>
      </c>
      <c r="V88" s="694" t="str">
        <f t="shared" si="15"/>
        <v/>
      </c>
      <c r="W88" s="32"/>
      <c r="X88" s="101"/>
      <c r="Y88" s="108"/>
      <c r="Z88" s="287" t="str">
        <f t="shared" si="16"/>
        <v/>
      </c>
      <c r="AA88" s="287" t="str">
        <f t="shared" si="17"/>
        <v/>
      </c>
      <c r="AB88" s="287" t="str">
        <f t="shared" si="18"/>
        <v/>
      </c>
      <c r="AC88" s="491" t="str">
        <f>IFERROR(IF(OR(E88="",R88=""),"",IF(AND(AB88&lt;&gt;"",S88=""),"Spatial risk category missing ▲",IF(AND(Q88='G-7 WaterC'' Data'!$G$4,AD88="Yes"),"Alternative Compensation ✓",IF(AND(AD88="Pending",Q88='G-7 WaterC'' Data'!$G$4),"Bespoke compensation must be agreed ▲",IF((Z88+AA88)&gt;=U88,0,U88-Z88-AA88))))),"Check Data ⚠")</f>
        <v/>
      </c>
      <c r="AD88" s="393"/>
      <c r="AE88" s="105"/>
      <c r="AF88" s="104"/>
      <c r="AG88" s="104"/>
      <c r="AH88" s="104"/>
      <c r="AI88" s="54" t="str">
        <f>IF(OR(Q88="",AD88="Yes"),"",IF(Q88='G-1 All Habitats'!$X$9,E88-Y88-X88,"None"))</f>
        <v/>
      </c>
      <c r="AJ88" s="55" t="str">
        <f>IF(Q88="","",IF(Q88='G-1 All Habitats'!$X$9,AI88*G88*I88*L88*N88*P88,"None"))</f>
        <v/>
      </c>
      <c r="AK88" s="30" t="str">
        <f>IFERROR(INDEX('G-7 WaterC'' Data'!$AZ$3:$AZ$7,MATCH(D88,'G-7 WaterC'' Data'!$AY$3:$AY$7,0)),"")</f>
        <v/>
      </c>
      <c r="AL88" s="30">
        <f t="shared" si="19"/>
        <v>0</v>
      </c>
      <c r="AM88" s="107" t="str">
        <f t="shared" si="20"/>
        <v/>
      </c>
      <c r="AN88" s="107" t="str">
        <f t="shared" si="21"/>
        <v/>
      </c>
      <c r="AP88" s="107">
        <v>79</v>
      </c>
      <c r="AR88" s="107" t="str">
        <f t="array" ref="AR88">IFERROR(INDEX($AP$10:$AP$258,MATCH(0,IF(TRUE=$AM$10:$AM$258,COUNTIF($AR$9:$AR87,$AP$10:$AP$258),""),0)),"")</f>
        <v/>
      </c>
      <c r="AS88" s="107" t="str">
        <f t="array" ref="AS88">IFERROR(INDEX($AP$10:$AP$258,MATCH(0,IF(TRUE=$AN$10:$AN$258,COUNTIF($AS$9:$AS87,$AP$10:$AP$258),""),0)),"")</f>
        <v/>
      </c>
      <c r="AT88" s="885" t="str">
        <f>IF(AND(OR(AD88="Yes",AD88="Pending"),Q88='G-7 WaterC'' Data'!$G$4),U88-AA88-Z88,"0")</f>
        <v>0</v>
      </c>
      <c r="AU88" s="30" t="str">
        <f>IF(D88="","",VLOOKUP(D88,'G-7 WaterC'' Data'!B$4:M$8,12,FALSE))</f>
        <v/>
      </c>
      <c r="AV88" s="30" t="str">
        <f t="shared" si="12"/>
        <v/>
      </c>
      <c r="AW88" s="30" t="str">
        <f t="shared" si="22"/>
        <v>No</v>
      </c>
      <c r="BA88" s="555" t="str">
        <f t="shared" si="23"/>
        <v/>
      </c>
    </row>
    <row r="89" spans="3:53" ht="14.5" thickBot="1">
      <c r="C89" s="97">
        <v>80</v>
      </c>
      <c r="D89" s="263"/>
      <c r="E89" s="104"/>
      <c r="F89" s="275" t="str">
        <f>IF(D89="","",VLOOKUP(D89,'G-7 WaterC'' Data'!$B$2:$G$8,2,FALSE))</f>
        <v/>
      </c>
      <c r="G89" s="314" t="str">
        <f>IFERROR(VLOOKUP(F89,'G-7 WaterC'' Data'!$C$4:$D$8,2,FALSE),"")</f>
        <v/>
      </c>
      <c r="H89" s="105"/>
      <c r="I89" s="299" t="str">
        <f>IFERROR(INDEX('G-7 WaterC'' Data'!$H$4:$L$8,MATCH(D89,'G-7 WaterC'' Data'!$B$4:$B$8,0),MATCH(H89,'G-7 WaterC'' Data'!$H$3:$L$3,0)),"")</f>
        <v/>
      </c>
      <c r="J89" s="702"/>
      <c r="K89" s="295" t="str">
        <f>IF(J89="","",IF(VLOOKUP(J89,'G-7 WaterC'' Data'!$AK$4:$AM$9,2,FALSE)=0,"Spatial Data Missing ⚠",VLOOKUP(J89,'G-7 WaterC'' Data'!$AK$4:$AM$6,2,FALSE)))</f>
        <v/>
      </c>
      <c r="L89" s="299" t="str">
        <f>IF(J89="","",IF(VLOOKUP(J89,'G-7 WaterC'' Data'!$AK$4:$AM$9,3,FALSE)=0,"Spatial Data Missing ⚠",VLOOKUP(J89,'G-7 WaterC'' Data'!$AK$4:$AM$6,3,FALSE)))</f>
        <v/>
      </c>
      <c r="M89" s="102"/>
      <c r="N89" s="276" t="str">
        <f>IF(M89="","",IF(AND(M89="N/A - Culvert",D89&lt;&gt;"Culvert"),"Not possible ▲",IF(AND(D89="Culvert",M89&lt;&gt;"N/A - Culvert"),"Not possible ▲",IF(VLOOKUP(M89,'G-7 WaterC'' Data'!$AA$4:$AB$7,2,FALSE)=0,"Spatial Data Missing ⚠",VLOOKUP(M89,'G-7 WaterC'' Data'!$AA$4:$AB$7,2,FALSE)))))</f>
        <v/>
      </c>
      <c r="O89" s="56"/>
      <c r="P89" s="276" t="str">
        <f>IF(O89="","",IF(AND(O89="N/A - Culvert",D89&lt;&gt;"Culvert"),"Not possible ▲",IF(AND(D89="Culvert",O89&lt;&gt;"N/A - Culvert"),"Not possible ▲",IF(VLOOKUP(O89,'G-7 WaterC'' Data'!$AD$4:$AE$14,2,FALSE)=0,"Spatial Data Missing ⚠",VLOOKUP(O89,'G-7 WaterC'' Data'!$AD$4:$AE$14,2,FALSE)))))</f>
        <v/>
      </c>
      <c r="Q89" s="282" t="str">
        <f>IF(D89="","",VLOOKUP(D89,'G-7 WaterC'' Data'!$B$4:$G$8,6,FALSE))</f>
        <v/>
      </c>
      <c r="R89" s="289" t="str">
        <f t="shared" si="13"/>
        <v xml:space="preserve"> </v>
      </c>
      <c r="S89" s="393"/>
      <c r="T89" s="281" t="str">
        <f>IF(S89="","",IF(VLOOKUP(S89,'G-7 WaterC'' Data'!$AO$4:$BO$7,2,FALSE)=0,"Spatial Data Missing ⚠",VLOOKUP(S89,'G-7 WaterC'' Data'!$AO$4:$BO$7,2,FALSE)))</f>
        <v/>
      </c>
      <c r="U89" s="289" t="str">
        <f t="shared" si="14"/>
        <v xml:space="preserve"> </v>
      </c>
      <c r="V89" s="694" t="str">
        <f t="shared" si="15"/>
        <v/>
      </c>
      <c r="W89" s="32"/>
      <c r="X89" s="101"/>
      <c r="Y89" s="108"/>
      <c r="Z89" s="287" t="str">
        <f t="shared" si="16"/>
        <v/>
      </c>
      <c r="AA89" s="287" t="str">
        <f t="shared" si="17"/>
        <v/>
      </c>
      <c r="AB89" s="287" t="str">
        <f t="shared" si="18"/>
        <v/>
      </c>
      <c r="AC89" s="491" t="str">
        <f>IFERROR(IF(OR(E89="",R89=""),"",IF(AND(AB89&lt;&gt;"",S89=""),"Spatial risk category missing ▲",IF(AND(Q89='G-7 WaterC'' Data'!$G$4,AD89="Yes"),"Alternative Compensation ✓",IF(AND(AD89="Pending",Q89='G-7 WaterC'' Data'!$G$4),"Bespoke compensation must be agreed ▲",IF((Z89+AA89)&gt;=U89,0,U89-Z89-AA89))))),"Check Data ⚠")</f>
        <v/>
      </c>
      <c r="AD89" s="393"/>
      <c r="AE89" s="105"/>
      <c r="AF89" s="104"/>
      <c r="AG89" s="104"/>
      <c r="AH89" s="104"/>
      <c r="AI89" s="54" t="str">
        <f>IF(OR(Q89="",AD89="Yes"),"",IF(Q89='G-1 All Habitats'!$X$9,E89-Y89-X89,"None"))</f>
        <v/>
      </c>
      <c r="AJ89" s="55" t="str">
        <f>IF(Q89="","",IF(Q89='G-1 All Habitats'!$X$9,AI89*G89*I89*L89*N89*P89,"None"))</f>
        <v/>
      </c>
      <c r="AK89" s="30" t="str">
        <f>IFERROR(INDEX('G-7 WaterC'' Data'!$AZ$3:$AZ$7,MATCH(D89,'G-7 WaterC'' Data'!$AY$3:$AY$7,0)),"")</f>
        <v/>
      </c>
      <c r="AL89" s="30">
        <f t="shared" si="19"/>
        <v>0</v>
      </c>
      <c r="AM89" s="107" t="str">
        <f t="shared" si="20"/>
        <v/>
      </c>
      <c r="AN89" s="107" t="str">
        <f t="shared" si="21"/>
        <v/>
      </c>
      <c r="AP89" s="107">
        <v>80</v>
      </c>
      <c r="AR89" s="107" t="str">
        <f t="array" ref="AR89">IFERROR(INDEX($AP$10:$AP$258,MATCH(0,IF(TRUE=$AM$10:$AM$258,COUNTIF($AR$9:$AR88,$AP$10:$AP$258),""),0)),"")</f>
        <v/>
      </c>
      <c r="AS89" s="107" t="str">
        <f t="array" ref="AS89">IFERROR(INDEX($AP$10:$AP$258,MATCH(0,IF(TRUE=$AN$10:$AN$258,COUNTIF($AS$9:$AS88,$AP$10:$AP$258),""),0)),"")</f>
        <v/>
      </c>
      <c r="AT89" s="885" t="str">
        <f>IF(AND(OR(AD89="Yes",AD89="Pending"),Q89='G-7 WaterC'' Data'!$G$4),U89-AA89-Z89,"0")</f>
        <v>0</v>
      </c>
      <c r="AU89" s="30" t="str">
        <f>IF(D89="","",VLOOKUP(D89,'G-7 WaterC'' Data'!B$4:M$8,12,FALSE))</f>
        <v/>
      </c>
      <c r="AV89" s="30" t="str">
        <f t="shared" si="12"/>
        <v/>
      </c>
      <c r="AW89" s="30" t="str">
        <f t="shared" si="22"/>
        <v>No</v>
      </c>
      <c r="BA89" s="555" t="str">
        <f t="shared" si="23"/>
        <v/>
      </c>
    </row>
    <row r="90" spans="3:53" ht="14.5" thickBot="1">
      <c r="C90" s="97">
        <v>81</v>
      </c>
      <c r="D90" s="263"/>
      <c r="E90" s="104"/>
      <c r="F90" s="275" t="str">
        <f>IF(D90="","",VLOOKUP(D90,'G-7 WaterC'' Data'!$B$2:$G$8,2,FALSE))</f>
        <v/>
      </c>
      <c r="G90" s="314" t="str">
        <f>IFERROR(VLOOKUP(F90,'G-7 WaterC'' Data'!$C$4:$D$8,2,FALSE),"")</f>
        <v/>
      </c>
      <c r="H90" s="105"/>
      <c r="I90" s="299" t="str">
        <f>IFERROR(INDEX('G-7 WaterC'' Data'!$H$4:$L$8,MATCH(D90,'G-7 WaterC'' Data'!$B$4:$B$8,0),MATCH(H90,'G-7 WaterC'' Data'!$H$3:$L$3,0)),"")</f>
        <v/>
      </c>
      <c r="J90" s="702"/>
      <c r="K90" s="295" t="str">
        <f>IF(J90="","",IF(VLOOKUP(J90,'G-7 WaterC'' Data'!$AK$4:$AM$9,2,FALSE)=0,"Spatial Data Missing ⚠",VLOOKUP(J90,'G-7 WaterC'' Data'!$AK$4:$AM$6,2,FALSE)))</f>
        <v/>
      </c>
      <c r="L90" s="299" t="str">
        <f>IF(J90="","",IF(VLOOKUP(J90,'G-7 WaterC'' Data'!$AK$4:$AM$9,3,FALSE)=0,"Spatial Data Missing ⚠",VLOOKUP(J90,'G-7 WaterC'' Data'!$AK$4:$AM$6,3,FALSE)))</f>
        <v/>
      </c>
      <c r="M90" s="102"/>
      <c r="N90" s="276" t="str">
        <f>IF(M90="","",IF(AND(M90="N/A - Culvert",D90&lt;&gt;"Culvert"),"Not possible ▲",IF(AND(D90="Culvert",M90&lt;&gt;"N/A - Culvert"),"Not possible ▲",IF(VLOOKUP(M90,'G-7 WaterC'' Data'!$AA$4:$AB$7,2,FALSE)=0,"Spatial Data Missing ⚠",VLOOKUP(M90,'G-7 WaterC'' Data'!$AA$4:$AB$7,2,FALSE)))))</f>
        <v/>
      </c>
      <c r="O90" s="56"/>
      <c r="P90" s="276" t="str">
        <f>IF(O90="","",IF(AND(O90="N/A - Culvert",D90&lt;&gt;"Culvert"),"Not possible ▲",IF(AND(D90="Culvert",O90&lt;&gt;"N/A - Culvert"),"Not possible ▲",IF(VLOOKUP(O90,'G-7 WaterC'' Data'!$AD$4:$AE$14,2,FALSE)=0,"Spatial Data Missing ⚠",VLOOKUP(O90,'G-7 WaterC'' Data'!$AD$4:$AE$14,2,FALSE)))))</f>
        <v/>
      </c>
      <c r="Q90" s="282" t="str">
        <f>IF(D90="","",VLOOKUP(D90,'G-7 WaterC'' Data'!$B$4:$G$8,6,FALSE))</f>
        <v/>
      </c>
      <c r="R90" s="289" t="str">
        <f t="shared" si="13"/>
        <v xml:space="preserve"> </v>
      </c>
      <c r="S90" s="393"/>
      <c r="T90" s="281" t="str">
        <f>IF(S90="","",IF(VLOOKUP(S90,'G-7 WaterC'' Data'!$AO$4:$BO$7,2,FALSE)=0,"Spatial Data Missing ⚠",VLOOKUP(S90,'G-7 WaterC'' Data'!$AO$4:$BO$7,2,FALSE)))</f>
        <v/>
      </c>
      <c r="U90" s="289" t="str">
        <f t="shared" si="14"/>
        <v xml:space="preserve"> </v>
      </c>
      <c r="V90" s="694" t="str">
        <f t="shared" si="15"/>
        <v/>
      </c>
      <c r="W90" s="32"/>
      <c r="X90" s="101"/>
      <c r="Y90" s="108"/>
      <c r="Z90" s="287" t="str">
        <f t="shared" si="16"/>
        <v/>
      </c>
      <c r="AA90" s="287" t="str">
        <f t="shared" si="17"/>
        <v/>
      </c>
      <c r="AB90" s="287" t="str">
        <f t="shared" si="18"/>
        <v/>
      </c>
      <c r="AC90" s="491" t="str">
        <f>IFERROR(IF(OR(E90="",R90=""),"",IF(AND(AB90&lt;&gt;"",S90=""),"Spatial risk category missing ▲",IF(AND(Q90='G-7 WaterC'' Data'!$G$4,AD90="Yes"),"Alternative Compensation ✓",IF(AND(AD90="Pending",Q90='G-7 WaterC'' Data'!$G$4),"Bespoke compensation must be agreed ▲",IF((Z90+AA90)&gt;=U90,0,U90-Z90-AA90))))),"Check Data ⚠")</f>
        <v/>
      </c>
      <c r="AD90" s="393"/>
      <c r="AE90" s="105"/>
      <c r="AF90" s="104"/>
      <c r="AG90" s="104"/>
      <c r="AH90" s="104"/>
      <c r="AI90" s="54" t="str">
        <f>IF(OR(Q90="",AD90="Yes"),"",IF(Q90='G-1 All Habitats'!$X$9,E90-Y90-X90,"None"))</f>
        <v/>
      </c>
      <c r="AJ90" s="55" t="str">
        <f>IF(Q90="","",IF(Q90='G-1 All Habitats'!$X$9,AI90*G90*I90*L90*N90*P90,"None"))</f>
        <v/>
      </c>
      <c r="AK90" s="30" t="str">
        <f>IFERROR(INDEX('G-7 WaterC'' Data'!$AZ$3:$AZ$7,MATCH(D90,'G-7 WaterC'' Data'!$AY$3:$AY$7,0)),"")</f>
        <v/>
      </c>
      <c r="AL90" s="30">
        <f t="shared" si="19"/>
        <v>0</v>
      </c>
      <c r="AM90" s="107" t="str">
        <f t="shared" si="20"/>
        <v/>
      </c>
      <c r="AN90" s="107" t="str">
        <f t="shared" si="21"/>
        <v/>
      </c>
      <c r="AP90" s="107">
        <v>81</v>
      </c>
      <c r="AR90" s="107" t="str">
        <f t="array" ref="AR90">IFERROR(INDEX($AP$10:$AP$258,MATCH(0,IF(TRUE=$AM$10:$AM$258,COUNTIF($AR$9:$AR89,$AP$10:$AP$258),""),0)),"")</f>
        <v/>
      </c>
      <c r="AS90" s="107" t="str">
        <f t="array" ref="AS90">IFERROR(INDEX($AP$10:$AP$258,MATCH(0,IF(TRUE=$AN$10:$AN$258,COUNTIF($AS$9:$AS89,$AP$10:$AP$258),""),0)),"")</f>
        <v/>
      </c>
      <c r="AT90" s="885" t="str">
        <f>IF(AND(OR(AD90="Yes",AD90="Pending"),Q90='G-7 WaterC'' Data'!$G$4),U90-AA90-Z90,"0")</f>
        <v>0</v>
      </c>
      <c r="AU90" s="30" t="str">
        <f>IF(D90="","",VLOOKUP(D90,'G-7 WaterC'' Data'!B$4:M$8,12,FALSE))</f>
        <v/>
      </c>
      <c r="AV90" s="30" t="str">
        <f t="shared" si="12"/>
        <v/>
      </c>
      <c r="AW90" s="30" t="str">
        <f t="shared" si="22"/>
        <v>No</v>
      </c>
      <c r="BA90" s="555" t="str">
        <f t="shared" si="23"/>
        <v/>
      </c>
    </row>
    <row r="91" spans="3:53" ht="14.5" thickBot="1">
      <c r="C91" s="97">
        <v>82</v>
      </c>
      <c r="D91" s="263"/>
      <c r="E91" s="104"/>
      <c r="F91" s="275" t="str">
        <f>IF(D91="","",VLOOKUP(D91,'G-7 WaterC'' Data'!$B$2:$G$8,2,FALSE))</f>
        <v/>
      </c>
      <c r="G91" s="314" t="str">
        <f>IFERROR(VLOOKUP(F91,'G-7 WaterC'' Data'!$C$4:$D$8,2,FALSE),"")</f>
        <v/>
      </c>
      <c r="H91" s="105"/>
      <c r="I91" s="299" t="str">
        <f>IFERROR(INDEX('G-7 WaterC'' Data'!$H$4:$L$8,MATCH(D91,'G-7 WaterC'' Data'!$B$4:$B$8,0),MATCH(H91,'G-7 WaterC'' Data'!$H$3:$L$3,0)),"")</f>
        <v/>
      </c>
      <c r="J91" s="702"/>
      <c r="K91" s="295" t="str">
        <f>IF(J91="","",IF(VLOOKUP(J91,'G-7 WaterC'' Data'!$AK$4:$AM$9,2,FALSE)=0,"Spatial Data Missing ⚠",VLOOKUP(J91,'G-7 WaterC'' Data'!$AK$4:$AM$6,2,FALSE)))</f>
        <v/>
      </c>
      <c r="L91" s="299" t="str">
        <f>IF(J91="","",IF(VLOOKUP(J91,'G-7 WaterC'' Data'!$AK$4:$AM$9,3,FALSE)=0,"Spatial Data Missing ⚠",VLOOKUP(J91,'G-7 WaterC'' Data'!$AK$4:$AM$6,3,FALSE)))</f>
        <v/>
      </c>
      <c r="M91" s="102"/>
      <c r="N91" s="276" t="str">
        <f>IF(M91="","",IF(AND(M91="N/A - Culvert",D91&lt;&gt;"Culvert"),"Not possible ▲",IF(AND(D91="Culvert",M91&lt;&gt;"N/A - Culvert"),"Not possible ▲",IF(VLOOKUP(M91,'G-7 WaterC'' Data'!$AA$4:$AB$7,2,FALSE)=0,"Spatial Data Missing ⚠",VLOOKUP(M91,'G-7 WaterC'' Data'!$AA$4:$AB$7,2,FALSE)))))</f>
        <v/>
      </c>
      <c r="O91" s="56"/>
      <c r="P91" s="276" t="str">
        <f>IF(O91="","",IF(AND(O91="N/A - Culvert",D91&lt;&gt;"Culvert"),"Not possible ▲",IF(AND(D91="Culvert",O91&lt;&gt;"N/A - Culvert"),"Not possible ▲",IF(VLOOKUP(O91,'G-7 WaterC'' Data'!$AD$4:$AE$14,2,FALSE)=0,"Spatial Data Missing ⚠",VLOOKUP(O91,'G-7 WaterC'' Data'!$AD$4:$AE$14,2,FALSE)))))</f>
        <v/>
      </c>
      <c r="Q91" s="282" t="str">
        <f>IF(D91="","",VLOOKUP(D91,'G-7 WaterC'' Data'!$B$4:$G$8,6,FALSE))</f>
        <v/>
      </c>
      <c r="R91" s="289" t="str">
        <f t="shared" si="13"/>
        <v xml:space="preserve"> </v>
      </c>
      <c r="S91" s="393"/>
      <c r="T91" s="281" t="str">
        <f>IF(S91="","",IF(VLOOKUP(S91,'G-7 WaterC'' Data'!$AO$4:$BO$7,2,FALSE)=0,"Spatial Data Missing ⚠",VLOOKUP(S91,'G-7 WaterC'' Data'!$AO$4:$BO$7,2,FALSE)))</f>
        <v/>
      </c>
      <c r="U91" s="289" t="str">
        <f t="shared" si="14"/>
        <v xml:space="preserve"> </v>
      </c>
      <c r="V91" s="694" t="str">
        <f t="shared" si="15"/>
        <v/>
      </c>
      <c r="W91" s="32"/>
      <c r="X91" s="101"/>
      <c r="Y91" s="108"/>
      <c r="Z91" s="287" t="str">
        <f t="shared" si="16"/>
        <v/>
      </c>
      <c r="AA91" s="287" t="str">
        <f t="shared" si="17"/>
        <v/>
      </c>
      <c r="AB91" s="287" t="str">
        <f t="shared" si="18"/>
        <v/>
      </c>
      <c r="AC91" s="491" t="str">
        <f>IFERROR(IF(OR(E91="",R91=""),"",IF(AND(AB91&lt;&gt;"",S91=""),"Spatial risk category missing ▲",IF(AND(Q91='G-7 WaterC'' Data'!$G$4,AD91="Yes"),"Alternative Compensation ✓",IF(AND(AD91="Pending",Q91='G-7 WaterC'' Data'!$G$4),"Bespoke compensation must be agreed ▲",IF((Z91+AA91)&gt;=U91,0,U91-Z91-AA91))))),"Check Data ⚠")</f>
        <v/>
      </c>
      <c r="AD91" s="393"/>
      <c r="AE91" s="105"/>
      <c r="AF91" s="104"/>
      <c r="AG91" s="104"/>
      <c r="AH91" s="104"/>
      <c r="AI91" s="54" t="str">
        <f>IF(OR(Q91="",AD91="Yes"),"",IF(Q91='G-1 All Habitats'!$X$9,E91-Y91-X91,"None"))</f>
        <v/>
      </c>
      <c r="AJ91" s="55" t="str">
        <f>IF(Q91="","",IF(Q91='G-1 All Habitats'!$X$9,AI91*G91*I91*L91*N91*P91,"None"))</f>
        <v/>
      </c>
      <c r="AK91" s="30" t="str">
        <f>IFERROR(INDEX('G-7 WaterC'' Data'!$AZ$3:$AZ$7,MATCH(D91,'G-7 WaterC'' Data'!$AY$3:$AY$7,0)),"")</f>
        <v/>
      </c>
      <c r="AL91" s="30">
        <f t="shared" si="19"/>
        <v>0</v>
      </c>
      <c r="AM91" s="107" t="str">
        <f t="shared" si="20"/>
        <v/>
      </c>
      <c r="AN91" s="107" t="str">
        <f t="shared" si="21"/>
        <v/>
      </c>
      <c r="AP91" s="107">
        <v>82</v>
      </c>
      <c r="AR91" s="107" t="str">
        <f t="array" ref="AR91">IFERROR(INDEX($AP$10:$AP$258,MATCH(0,IF(TRUE=$AM$10:$AM$258,COUNTIF($AR$9:$AR90,$AP$10:$AP$258),""),0)),"")</f>
        <v/>
      </c>
      <c r="AS91" s="107" t="str">
        <f t="array" ref="AS91">IFERROR(INDEX($AP$10:$AP$258,MATCH(0,IF(TRUE=$AN$10:$AN$258,COUNTIF($AS$9:$AS90,$AP$10:$AP$258),""),0)),"")</f>
        <v/>
      </c>
      <c r="AT91" s="885" t="str">
        <f>IF(AND(OR(AD91="Yes",AD91="Pending"),Q91='G-7 WaterC'' Data'!$G$4),U91-AA91-Z91,"0")</f>
        <v>0</v>
      </c>
      <c r="AU91" s="30" t="str">
        <f>IF(D91="","",VLOOKUP(D91,'G-7 WaterC'' Data'!B$4:M$8,12,FALSE))</f>
        <v/>
      </c>
      <c r="AV91" s="30" t="str">
        <f t="shared" si="12"/>
        <v/>
      </c>
      <c r="AW91" s="30" t="str">
        <f t="shared" si="22"/>
        <v>No</v>
      </c>
      <c r="BA91" s="555" t="str">
        <f t="shared" si="23"/>
        <v/>
      </c>
    </row>
    <row r="92" spans="3:53" ht="14.5" thickBot="1">
      <c r="C92" s="97">
        <v>83</v>
      </c>
      <c r="D92" s="263"/>
      <c r="E92" s="104"/>
      <c r="F92" s="275" t="str">
        <f>IF(D92="","",VLOOKUP(D92,'G-7 WaterC'' Data'!$B$2:$G$8,2,FALSE))</f>
        <v/>
      </c>
      <c r="G92" s="314" t="str">
        <f>IFERROR(VLOOKUP(F92,'G-7 WaterC'' Data'!$C$4:$D$8,2,FALSE),"")</f>
        <v/>
      </c>
      <c r="H92" s="105"/>
      <c r="I92" s="299" t="str">
        <f>IFERROR(INDEX('G-7 WaterC'' Data'!$H$4:$L$8,MATCH(D92,'G-7 WaterC'' Data'!$B$4:$B$8,0),MATCH(H92,'G-7 WaterC'' Data'!$H$3:$L$3,0)),"")</f>
        <v/>
      </c>
      <c r="J92" s="702"/>
      <c r="K92" s="295" t="str">
        <f>IF(J92="","",IF(VLOOKUP(J92,'G-7 WaterC'' Data'!$AK$4:$AM$9,2,FALSE)=0,"Spatial Data Missing ⚠",VLOOKUP(J92,'G-7 WaterC'' Data'!$AK$4:$AM$6,2,FALSE)))</f>
        <v/>
      </c>
      <c r="L92" s="299" t="str">
        <f>IF(J92="","",IF(VLOOKUP(J92,'G-7 WaterC'' Data'!$AK$4:$AM$9,3,FALSE)=0,"Spatial Data Missing ⚠",VLOOKUP(J92,'G-7 WaterC'' Data'!$AK$4:$AM$6,3,FALSE)))</f>
        <v/>
      </c>
      <c r="M92" s="102"/>
      <c r="N92" s="276" t="str">
        <f>IF(M92="","",IF(AND(M92="N/A - Culvert",D92&lt;&gt;"Culvert"),"Not possible ▲",IF(AND(D92="Culvert",M92&lt;&gt;"N/A - Culvert"),"Not possible ▲",IF(VLOOKUP(M92,'G-7 WaterC'' Data'!$AA$4:$AB$7,2,FALSE)=0,"Spatial Data Missing ⚠",VLOOKUP(M92,'G-7 WaterC'' Data'!$AA$4:$AB$7,2,FALSE)))))</f>
        <v/>
      </c>
      <c r="O92" s="56"/>
      <c r="P92" s="276" t="str">
        <f>IF(O92="","",IF(AND(O92="N/A - Culvert",D92&lt;&gt;"Culvert"),"Not possible ▲",IF(AND(D92="Culvert",O92&lt;&gt;"N/A - Culvert"),"Not possible ▲",IF(VLOOKUP(O92,'G-7 WaterC'' Data'!$AD$4:$AE$14,2,FALSE)=0,"Spatial Data Missing ⚠",VLOOKUP(O92,'G-7 WaterC'' Data'!$AD$4:$AE$14,2,FALSE)))))</f>
        <v/>
      </c>
      <c r="Q92" s="282" t="str">
        <f>IF(D92="","",VLOOKUP(D92,'G-7 WaterC'' Data'!$B$4:$G$8,6,FALSE))</f>
        <v/>
      </c>
      <c r="R92" s="289" t="str">
        <f t="shared" si="13"/>
        <v xml:space="preserve"> </v>
      </c>
      <c r="S92" s="393"/>
      <c r="T92" s="281" t="str">
        <f>IF(S92="","",IF(VLOOKUP(S92,'G-7 WaterC'' Data'!$AO$4:$BO$7,2,FALSE)=0,"Spatial Data Missing ⚠",VLOOKUP(S92,'G-7 WaterC'' Data'!$AO$4:$BO$7,2,FALSE)))</f>
        <v/>
      </c>
      <c r="U92" s="289" t="str">
        <f t="shared" si="14"/>
        <v xml:space="preserve"> </v>
      </c>
      <c r="V92" s="694" t="str">
        <f t="shared" si="15"/>
        <v/>
      </c>
      <c r="W92" s="32"/>
      <c r="X92" s="101"/>
      <c r="Y92" s="108"/>
      <c r="Z92" s="287" t="str">
        <f t="shared" si="16"/>
        <v/>
      </c>
      <c r="AA92" s="287" t="str">
        <f t="shared" si="17"/>
        <v/>
      </c>
      <c r="AB92" s="287" t="str">
        <f t="shared" si="18"/>
        <v/>
      </c>
      <c r="AC92" s="491" t="str">
        <f>IFERROR(IF(OR(E92="",R92=""),"",IF(AND(AB92&lt;&gt;"",S92=""),"Spatial risk category missing ▲",IF(AND(Q92='G-7 WaterC'' Data'!$G$4,AD92="Yes"),"Alternative Compensation ✓",IF(AND(AD92="Pending",Q92='G-7 WaterC'' Data'!$G$4),"Bespoke compensation must be agreed ▲",IF((Z92+AA92)&gt;=U92,0,U92-Z92-AA92))))),"Check Data ⚠")</f>
        <v/>
      </c>
      <c r="AD92" s="393"/>
      <c r="AE92" s="105"/>
      <c r="AF92" s="104"/>
      <c r="AG92" s="104"/>
      <c r="AH92" s="104"/>
      <c r="AI92" s="54" t="str">
        <f>IF(OR(Q92="",AD92="Yes"),"",IF(Q92='G-1 All Habitats'!$X$9,E92-Y92-X92,"None"))</f>
        <v/>
      </c>
      <c r="AJ92" s="55" t="str">
        <f>IF(Q92="","",IF(Q92='G-1 All Habitats'!$X$9,AI92*G92*I92*L92*N92*P92,"None"))</f>
        <v/>
      </c>
      <c r="AK92" s="30" t="str">
        <f>IFERROR(INDEX('G-7 WaterC'' Data'!$AZ$3:$AZ$7,MATCH(D92,'G-7 WaterC'' Data'!$AY$3:$AY$7,0)),"")</f>
        <v/>
      </c>
      <c r="AL92" s="30">
        <f t="shared" si="19"/>
        <v>0</v>
      </c>
      <c r="AM92" s="107" t="str">
        <f t="shared" si="20"/>
        <v/>
      </c>
      <c r="AN92" s="107" t="str">
        <f t="shared" si="21"/>
        <v/>
      </c>
      <c r="AP92" s="107">
        <v>83</v>
      </c>
      <c r="AR92" s="107" t="str">
        <f t="array" ref="AR92">IFERROR(INDEX($AP$10:$AP$258,MATCH(0,IF(TRUE=$AM$10:$AM$258,COUNTIF($AR$9:$AR91,$AP$10:$AP$258),""),0)),"")</f>
        <v/>
      </c>
      <c r="AS92" s="107" t="str">
        <f t="array" ref="AS92">IFERROR(INDEX($AP$10:$AP$258,MATCH(0,IF(TRUE=$AN$10:$AN$258,COUNTIF($AS$9:$AS91,$AP$10:$AP$258),""),0)),"")</f>
        <v/>
      </c>
      <c r="AT92" s="885" t="str">
        <f>IF(AND(OR(AD92="Yes",AD92="Pending"),Q92='G-7 WaterC'' Data'!$G$4),U92-AA92-Z92,"0")</f>
        <v>0</v>
      </c>
      <c r="AU92" s="30" t="str">
        <f>IF(D92="","",VLOOKUP(D92,'G-7 WaterC'' Data'!B$4:M$8,12,FALSE))</f>
        <v/>
      </c>
      <c r="AV92" s="30" t="str">
        <f t="shared" si="12"/>
        <v/>
      </c>
      <c r="AW92" s="30" t="str">
        <f t="shared" si="22"/>
        <v>No</v>
      </c>
      <c r="BA92" s="555" t="str">
        <f t="shared" si="23"/>
        <v/>
      </c>
    </row>
    <row r="93" spans="3:53" ht="14.5" thickBot="1">
      <c r="C93" s="97">
        <v>84</v>
      </c>
      <c r="D93" s="263"/>
      <c r="E93" s="104"/>
      <c r="F93" s="275" t="str">
        <f>IF(D93="","",VLOOKUP(D93,'G-7 WaterC'' Data'!$B$2:$G$8,2,FALSE))</f>
        <v/>
      </c>
      <c r="G93" s="314" t="str">
        <f>IFERROR(VLOOKUP(F93,'G-7 WaterC'' Data'!$C$4:$D$8,2,FALSE),"")</f>
        <v/>
      </c>
      <c r="H93" s="105"/>
      <c r="I93" s="299" t="str">
        <f>IFERROR(INDEX('G-7 WaterC'' Data'!$H$4:$L$8,MATCH(D93,'G-7 WaterC'' Data'!$B$4:$B$8,0),MATCH(H93,'G-7 WaterC'' Data'!$H$3:$L$3,0)),"")</f>
        <v/>
      </c>
      <c r="J93" s="702"/>
      <c r="K93" s="295" t="str">
        <f>IF(J93="","",IF(VLOOKUP(J93,'G-7 WaterC'' Data'!$AK$4:$AM$9,2,FALSE)=0,"Spatial Data Missing ⚠",VLOOKUP(J93,'G-7 WaterC'' Data'!$AK$4:$AM$6,2,FALSE)))</f>
        <v/>
      </c>
      <c r="L93" s="299" t="str">
        <f>IF(J93="","",IF(VLOOKUP(J93,'G-7 WaterC'' Data'!$AK$4:$AM$9,3,FALSE)=0,"Spatial Data Missing ⚠",VLOOKUP(J93,'G-7 WaterC'' Data'!$AK$4:$AM$6,3,FALSE)))</f>
        <v/>
      </c>
      <c r="M93" s="102"/>
      <c r="N93" s="276" t="str">
        <f>IF(M93="","",IF(AND(M93="N/A - Culvert",D93&lt;&gt;"Culvert"),"Not possible ▲",IF(AND(D93="Culvert",M93&lt;&gt;"N/A - Culvert"),"Not possible ▲",IF(VLOOKUP(M93,'G-7 WaterC'' Data'!$AA$4:$AB$7,2,FALSE)=0,"Spatial Data Missing ⚠",VLOOKUP(M93,'G-7 WaterC'' Data'!$AA$4:$AB$7,2,FALSE)))))</f>
        <v/>
      </c>
      <c r="O93" s="56"/>
      <c r="P93" s="276" t="str">
        <f>IF(O93="","",IF(AND(O93="N/A - Culvert",D93&lt;&gt;"Culvert"),"Not possible ▲",IF(AND(D93="Culvert",O93&lt;&gt;"N/A - Culvert"),"Not possible ▲",IF(VLOOKUP(O93,'G-7 WaterC'' Data'!$AD$4:$AE$14,2,FALSE)=0,"Spatial Data Missing ⚠",VLOOKUP(O93,'G-7 WaterC'' Data'!$AD$4:$AE$14,2,FALSE)))))</f>
        <v/>
      </c>
      <c r="Q93" s="282" t="str">
        <f>IF(D93="","",VLOOKUP(D93,'G-7 WaterC'' Data'!$B$4:$G$8,6,FALSE))</f>
        <v/>
      </c>
      <c r="R93" s="289" t="str">
        <f t="shared" si="13"/>
        <v xml:space="preserve"> </v>
      </c>
      <c r="S93" s="393"/>
      <c r="T93" s="281" t="str">
        <f>IF(S93="","",IF(VLOOKUP(S93,'G-7 WaterC'' Data'!$AO$4:$BO$7,2,FALSE)=0,"Spatial Data Missing ⚠",VLOOKUP(S93,'G-7 WaterC'' Data'!$AO$4:$BO$7,2,FALSE)))</f>
        <v/>
      </c>
      <c r="U93" s="289" t="str">
        <f t="shared" si="14"/>
        <v xml:space="preserve"> </v>
      </c>
      <c r="V93" s="694" t="str">
        <f t="shared" si="15"/>
        <v/>
      </c>
      <c r="W93" s="32"/>
      <c r="X93" s="101"/>
      <c r="Y93" s="108"/>
      <c r="Z93" s="287" t="str">
        <f t="shared" si="16"/>
        <v/>
      </c>
      <c r="AA93" s="287" t="str">
        <f t="shared" si="17"/>
        <v/>
      </c>
      <c r="AB93" s="287" t="str">
        <f t="shared" si="18"/>
        <v/>
      </c>
      <c r="AC93" s="491" t="str">
        <f>IFERROR(IF(OR(E93="",R93=""),"",IF(AND(AB93&lt;&gt;"",S93=""),"Spatial risk category missing ▲",IF(AND(Q93='G-7 WaterC'' Data'!$G$4,AD93="Yes"),"Alternative Compensation ✓",IF(AND(AD93="Pending",Q93='G-7 WaterC'' Data'!$G$4),"Bespoke compensation must be agreed ▲",IF((Z93+AA93)&gt;=U93,0,U93-Z93-AA93))))),"Check Data ⚠")</f>
        <v/>
      </c>
      <c r="AD93" s="393"/>
      <c r="AE93" s="105"/>
      <c r="AF93" s="104"/>
      <c r="AG93" s="104"/>
      <c r="AH93" s="104"/>
      <c r="AI93" s="54" t="str">
        <f>IF(OR(Q93="",AD93="Yes"),"",IF(Q93='G-1 All Habitats'!$X$9,E93-Y93-X93,"None"))</f>
        <v/>
      </c>
      <c r="AJ93" s="55" t="str">
        <f>IF(Q93="","",IF(Q93='G-1 All Habitats'!$X$9,AI93*G93*I93*L93*N93*P93,"None"))</f>
        <v/>
      </c>
      <c r="AK93" s="30" t="str">
        <f>IFERROR(INDEX('G-7 WaterC'' Data'!$AZ$3:$AZ$7,MATCH(D93,'G-7 WaterC'' Data'!$AY$3:$AY$7,0)),"")</f>
        <v/>
      </c>
      <c r="AL93" s="30">
        <f t="shared" si="19"/>
        <v>0</v>
      </c>
      <c r="AM93" s="107" t="str">
        <f t="shared" si="20"/>
        <v/>
      </c>
      <c r="AN93" s="107" t="str">
        <f t="shared" si="21"/>
        <v/>
      </c>
      <c r="AP93" s="107">
        <v>84</v>
      </c>
      <c r="AR93" s="107" t="str">
        <f t="array" ref="AR93">IFERROR(INDEX($AP$10:$AP$258,MATCH(0,IF(TRUE=$AM$10:$AM$258,COUNTIF($AR$9:$AR92,$AP$10:$AP$258),""),0)),"")</f>
        <v/>
      </c>
      <c r="AS93" s="107" t="str">
        <f t="array" ref="AS93">IFERROR(INDEX($AP$10:$AP$258,MATCH(0,IF(TRUE=$AN$10:$AN$258,COUNTIF($AS$9:$AS92,$AP$10:$AP$258),""),0)),"")</f>
        <v/>
      </c>
      <c r="AT93" s="885" t="str">
        <f>IF(AND(OR(AD93="Yes",AD93="Pending"),Q93='G-7 WaterC'' Data'!$G$4),U93-AA93-Z93,"0")</f>
        <v>0</v>
      </c>
      <c r="AU93" s="30" t="str">
        <f>IF(D93="","",VLOOKUP(D93,'G-7 WaterC'' Data'!B$4:M$8,12,FALSE))</f>
        <v/>
      </c>
      <c r="AV93" s="30" t="str">
        <f t="shared" si="12"/>
        <v/>
      </c>
      <c r="AW93" s="30" t="str">
        <f t="shared" si="22"/>
        <v>No</v>
      </c>
      <c r="BA93" s="555" t="str">
        <f t="shared" si="23"/>
        <v/>
      </c>
    </row>
    <row r="94" spans="3:53" ht="14.5" thickBot="1">
      <c r="C94" s="97">
        <v>85</v>
      </c>
      <c r="D94" s="263"/>
      <c r="E94" s="104"/>
      <c r="F94" s="275" t="str">
        <f>IF(D94="","",VLOOKUP(D94,'G-7 WaterC'' Data'!$B$2:$G$8,2,FALSE))</f>
        <v/>
      </c>
      <c r="G94" s="314" t="str">
        <f>IFERROR(VLOOKUP(F94,'G-7 WaterC'' Data'!$C$4:$D$8,2,FALSE),"")</f>
        <v/>
      </c>
      <c r="H94" s="105"/>
      <c r="I94" s="299" t="str">
        <f>IFERROR(INDEX('G-7 WaterC'' Data'!$H$4:$L$8,MATCH(D94,'G-7 WaterC'' Data'!$B$4:$B$8,0),MATCH(H94,'G-7 WaterC'' Data'!$H$3:$L$3,0)),"")</f>
        <v/>
      </c>
      <c r="J94" s="702"/>
      <c r="K94" s="295" t="str">
        <f>IF(J94="","",IF(VLOOKUP(J94,'G-7 WaterC'' Data'!$AK$4:$AM$9,2,FALSE)=0,"Spatial Data Missing ⚠",VLOOKUP(J94,'G-7 WaterC'' Data'!$AK$4:$AM$6,2,FALSE)))</f>
        <v/>
      </c>
      <c r="L94" s="299" t="str">
        <f>IF(J94="","",IF(VLOOKUP(J94,'G-7 WaterC'' Data'!$AK$4:$AM$9,3,FALSE)=0,"Spatial Data Missing ⚠",VLOOKUP(J94,'G-7 WaterC'' Data'!$AK$4:$AM$6,3,FALSE)))</f>
        <v/>
      </c>
      <c r="M94" s="102"/>
      <c r="N94" s="276" t="str">
        <f>IF(M94="","",IF(AND(M94="N/A - Culvert",D94&lt;&gt;"Culvert"),"Not possible ▲",IF(AND(D94="Culvert",M94&lt;&gt;"N/A - Culvert"),"Not possible ▲",IF(VLOOKUP(M94,'G-7 WaterC'' Data'!$AA$4:$AB$7,2,FALSE)=0,"Spatial Data Missing ⚠",VLOOKUP(M94,'G-7 WaterC'' Data'!$AA$4:$AB$7,2,FALSE)))))</f>
        <v/>
      </c>
      <c r="O94" s="56"/>
      <c r="P94" s="276" t="str">
        <f>IF(O94="","",IF(AND(O94="N/A - Culvert",D94&lt;&gt;"Culvert"),"Not possible ▲",IF(AND(D94="Culvert",O94&lt;&gt;"N/A - Culvert"),"Not possible ▲",IF(VLOOKUP(O94,'G-7 WaterC'' Data'!$AD$4:$AE$14,2,FALSE)=0,"Spatial Data Missing ⚠",VLOOKUP(O94,'G-7 WaterC'' Data'!$AD$4:$AE$14,2,FALSE)))))</f>
        <v/>
      </c>
      <c r="Q94" s="282" t="str">
        <f>IF(D94="","",VLOOKUP(D94,'G-7 WaterC'' Data'!$B$4:$G$8,6,FALSE))</f>
        <v/>
      </c>
      <c r="R94" s="289" t="str">
        <f t="shared" si="13"/>
        <v xml:space="preserve"> </v>
      </c>
      <c r="S94" s="393"/>
      <c r="T94" s="281" t="str">
        <f>IF(S94="","",IF(VLOOKUP(S94,'G-7 WaterC'' Data'!$AO$4:$BO$7,2,FALSE)=0,"Spatial Data Missing ⚠",VLOOKUP(S94,'G-7 WaterC'' Data'!$AO$4:$BO$7,2,FALSE)))</f>
        <v/>
      </c>
      <c r="U94" s="289" t="str">
        <f t="shared" si="14"/>
        <v xml:space="preserve"> </v>
      </c>
      <c r="V94" s="694" t="str">
        <f t="shared" si="15"/>
        <v/>
      </c>
      <c r="W94" s="32"/>
      <c r="X94" s="101"/>
      <c r="Y94" s="108"/>
      <c r="Z94" s="287" t="str">
        <f t="shared" si="16"/>
        <v/>
      </c>
      <c r="AA94" s="287" t="str">
        <f t="shared" si="17"/>
        <v/>
      </c>
      <c r="AB94" s="287" t="str">
        <f t="shared" si="18"/>
        <v/>
      </c>
      <c r="AC94" s="491" t="str">
        <f>IFERROR(IF(OR(E94="",R94=""),"",IF(AND(AB94&lt;&gt;"",S94=""),"Spatial risk category missing ▲",IF(AND(Q94='G-7 WaterC'' Data'!$G$4,AD94="Yes"),"Alternative Compensation ✓",IF(AND(AD94="Pending",Q94='G-7 WaterC'' Data'!$G$4),"Bespoke compensation must be agreed ▲",IF((Z94+AA94)&gt;=U94,0,U94-Z94-AA94))))),"Check Data ⚠")</f>
        <v/>
      </c>
      <c r="AD94" s="393"/>
      <c r="AE94" s="105"/>
      <c r="AF94" s="104"/>
      <c r="AG94" s="104"/>
      <c r="AH94" s="104"/>
      <c r="AI94" s="54" t="str">
        <f>IF(OR(Q94="",AD94="Yes"),"",IF(Q94='G-1 All Habitats'!$X$9,E94-Y94-X94,"None"))</f>
        <v/>
      </c>
      <c r="AJ94" s="55" t="str">
        <f>IF(Q94="","",IF(Q94='G-1 All Habitats'!$X$9,AI94*G94*I94*L94*N94*P94,"None"))</f>
        <v/>
      </c>
      <c r="AK94" s="30" t="str">
        <f>IFERROR(INDEX('G-7 WaterC'' Data'!$AZ$3:$AZ$7,MATCH(D94,'G-7 WaterC'' Data'!$AY$3:$AY$7,0)),"")</f>
        <v/>
      </c>
      <c r="AL94" s="30">
        <f t="shared" si="19"/>
        <v>0</v>
      </c>
      <c r="AM94" s="107" t="str">
        <f t="shared" si="20"/>
        <v/>
      </c>
      <c r="AN94" s="107" t="str">
        <f t="shared" si="21"/>
        <v/>
      </c>
      <c r="AP94" s="107">
        <v>85</v>
      </c>
      <c r="AR94" s="107" t="str">
        <f t="array" ref="AR94">IFERROR(INDEX($AP$10:$AP$258,MATCH(0,IF(TRUE=$AM$10:$AM$258,COUNTIF($AR$9:$AR93,$AP$10:$AP$258),""),0)),"")</f>
        <v/>
      </c>
      <c r="AS94" s="107" t="str">
        <f t="array" ref="AS94">IFERROR(INDEX($AP$10:$AP$258,MATCH(0,IF(TRUE=$AN$10:$AN$258,COUNTIF($AS$9:$AS93,$AP$10:$AP$258),""),0)),"")</f>
        <v/>
      </c>
      <c r="AT94" s="885" t="str">
        <f>IF(AND(OR(AD94="Yes",AD94="Pending"),Q94='G-7 WaterC'' Data'!$G$4),U94-AA94-Z94,"0")</f>
        <v>0</v>
      </c>
      <c r="AU94" s="30" t="str">
        <f>IF(D94="","",VLOOKUP(D94,'G-7 WaterC'' Data'!B$4:M$8,12,FALSE))</f>
        <v/>
      </c>
      <c r="AV94" s="30" t="str">
        <f t="shared" si="12"/>
        <v/>
      </c>
      <c r="AW94" s="30" t="str">
        <f t="shared" si="22"/>
        <v>No</v>
      </c>
      <c r="BA94" s="555" t="str">
        <f t="shared" si="23"/>
        <v/>
      </c>
    </row>
    <row r="95" spans="3:53" ht="14.5" thickBot="1">
      <c r="C95" s="97">
        <v>86</v>
      </c>
      <c r="D95" s="263"/>
      <c r="E95" s="104"/>
      <c r="F95" s="275" t="str">
        <f>IF(D95="","",VLOOKUP(D95,'G-7 WaterC'' Data'!$B$2:$G$8,2,FALSE))</f>
        <v/>
      </c>
      <c r="G95" s="314" t="str">
        <f>IFERROR(VLOOKUP(F95,'G-7 WaterC'' Data'!$C$4:$D$8,2,FALSE),"")</f>
        <v/>
      </c>
      <c r="H95" s="105"/>
      <c r="I95" s="299" t="str">
        <f>IFERROR(INDEX('G-7 WaterC'' Data'!$H$4:$L$8,MATCH(D95,'G-7 WaterC'' Data'!$B$4:$B$8,0),MATCH(H95,'G-7 WaterC'' Data'!$H$3:$L$3,0)),"")</f>
        <v/>
      </c>
      <c r="J95" s="702"/>
      <c r="K95" s="295" t="str">
        <f>IF(J95="","",IF(VLOOKUP(J95,'G-7 WaterC'' Data'!$AK$4:$AM$9,2,FALSE)=0,"Spatial Data Missing ⚠",VLOOKUP(J95,'G-7 WaterC'' Data'!$AK$4:$AM$6,2,FALSE)))</f>
        <v/>
      </c>
      <c r="L95" s="299" t="str">
        <f>IF(J95="","",IF(VLOOKUP(J95,'G-7 WaterC'' Data'!$AK$4:$AM$9,3,FALSE)=0,"Spatial Data Missing ⚠",VLOOKUP(J95,'G-7 WaterC'' Data'!$AK$4:$AM$6,3,FALSE)))</f>
        <v/>
      </c>
      <c r="M95" s="102"/>
      <c r="N95" s="276" t="str">
        <f>IF(M95="","",IF(AND(M95="N/A - Culvert",D95&lt;&gt;"Culvert"),"Not possible ▲",IF(AND(D95="Culvert",M95&lt;&gt;"N/A - Culvert"),"Not possible ▲",IF(VLOOKUP(M95,'G-7 WaterC'' Data'!$AA$4:$AB$7,2,FALSE)=0,"Spatial Data Missing ⚠",VLOOKUP(M95,'G-7 WaterC'' Data'!$AA$4:$AB$7,2,FALSE)))))</f>
        <v/>
      </c>
      <c r="O95" s="56"/>
      <c r="P95" s="276" t="str">
        <f>IF(O95="","",IF(AND(O95="N/A - Culvert",D95&lt;&gt;"Culvert"),"Not possible ▲",IF(AND(D95="Culvert",O95&lt;&gt;"N/A - Culvert"),"Not possible ▲",IF(VLOOKUP(O95,'G-7 WaterC'' Data'!$AD$4:$AE$14,2,FALSE)=0,"Spatial Data Missing ⚠",VLOOKUP(O95,'G-7 WaterC'' Data'!$AD$4:$AE$14,2,FALSE)))))</f>
        <v/>
      </c>
      <c r="Q95" s="282" t="str">
        <f>IF(D95="","",VLOOKUP(D95,'G-7 WaterC'' Data'!$B$4:$G$8,6,FALSE))</f>
        <v/>
      </c>
      <c r="R95" s="289" t="str">
        <f t="shared" si="13"/>
        <v xml:space="preserve"> </v>
      </c>
      <c r="S95" s="393"/>
      <c r="T95" s="281" t="str">
        <f>IF(S95="","",IF(VLOOKUP(S95,'G-7 WaterC'' Data'!$AO$4:$BO$7,2,FALSE)=0,"Spatial Data Missing ⚠",VLOOKUP(S95,'G-7 WaterC'' Data'!$AO$4:$BO$7,2,FALSE)))</f>
        <v/>
      </c>
      <c r="U95" s="289" t="str">
        <f t="shared" si="14"/>
        <v xml:space="preserve"> </v>
      </c>
      <c r="V95" s="694" t="str">
        <f t="shared" si="15"/>
        <v/>
      </c>
      <c r="W95" s="32"/>
      <c r="X95" s="101"/>
      <c r="Y95" s="108"/>
      <c r="Z95" s="287" t="str">
        <f t="shared" si="16"/>
        <v/>
      </c>
      <c r="AA95" s="287" t="str">
        <f t="shared" si="17"/>
        <v/>
      </c>
      <c r="AB95" s="287" t="str">
        <f t="shared" si="18"/>
        <v/>
      </c>
      <c r="AC95" s="491" t="str">
        <f>IFERROR(IF(OR(E95="",R95=""),"",IF(AND(AB95&lt;&gt;"",S95=""),"Spatial risk category missing ▲",IF(AND(Q95='G-7 WaterC'' Data'!$G$4,AD95="Yes"),"Alternative Compensation ✓",IF(AND(AD95="Pending",Q95='G-7 WaterC'' Data'!$G$4),"Bespoke compensation must be agreed ▲",IF((Z95+AA95)&gt;=U95,0,U95-Z95-AA95))))),"Check Data ⚠")</f>
        <v/>
      </c>
      <c r="AD95" s="393"/>
      <c r="AE95" s="105"/>
      <c r="AF95" s="104"/>
      <c r="AG95" s="104"/>
      <c r="AH95" s="104"/>
      <c r="AI95" s="54" t="str">
        <f>IF(OR(Q95="",AD95="Yes"),"",IF(Q95='G-1 All Habitats'!$X$9,E95-Y95-X95,"None"))</f>
        <v/>
      </c>
      <c r="AJ95" s="55" t="str">
        <f>IF(Q95="","",IF(Q95='G-1 All Habitats'!$X$9,AI95*G95*I95*L95*N95*P95,"None"))</f>
        <v/>
      </c>
      <c r="AK95" s="30" t="str">
        <f>IFERROR(INDEX('G-7 WaterC'' Data'!$AZ$3:$AZ$7,MATCH(D95,'G-7 WaterC'' Data'!$AY$3:$AY$7,0)),"")</f>
        <v/>
      </c>
      <c r="AL95" s="30">
        <f t="shared" si="19"/>
        <v>0</v>
      </c>
      <c r="AM95" s="107" t="str">
        <f t="shared" si="20"/>
        <v/>
      </c>
      <c r="AN95" s="107" t="str">
        <f t="shared" si="21"/>
        <v/>
      </c>
      <c r="AP95" s="107">
        <v>86</v>
      </c>
      <c r="AR95" s="107" t="str">
        <f t="array" ref="AR95">IFERROR(INDEX($AP$10:$AP$258,MATCH(0,IF(TRUE=$AM$10:$AM$258,COUNTIF($AR$9:$AR94,$AP$10:$AP$258),""),0)),"")</f>
        <v/>
      </c>
      <c r="AS95" s="107" t="str">
        <f t="array" ref="AS95">IFERROR(INDEX($AP$10:$AP$258,MATCH(0,IF(TRUE=$AN$10:$AN$258,COUNTIF($AS$9:$AS94,$AP$10:$AP$258),""),0)),"")</f>
        <v/>
      </c>
      <c r="AT95" s="885" t="str">
        <f>IF(AND(OR(AD95="Yes",AD95="Pending"),Q95='G-7 WaterC'' Data'!$G$4),U95-AA95-Z95,"0")</f>
        <v>0</v>
      </c>
      <c r="AU95" s="30" t="str">
        <f>IF(D95="","",VLOOKUP(D95,'G-7 WaterC'' Data'!B$4:M$8,12,FALSE))</f>
        <v/>
      </c>
      <c r="AV95" s="30" t="str">
        <f t="shared" si="12"/>
        <v/>
      </c>
      <c r="AW95" s="30" t="str">
        <f t="shared" si="22"/>
        <v>No</v>
      </c>
      <c r="BA95" s="555" t="str">
        <f t="shared" si="23"/>
        <v/>
      </c>
    </row>
    <row r="96" spans="3:53" ht="14.5" thickBot="1">
      <c r="C96" s="97">
        <v>87</v>
      </c>
      <c r="D96" s="263"/>
      <c r="E96" s="104"/>
      <c r="F96" s="275" t="str">
        <f>IF(D96="","",VLOOKUP(D96,'G-7 WaterC'' Data'!$B$2:$G$8,2,FALSE))</f>
        <v/>
      </c>
      <c r="G96" s="314" t="str">
        <f>IFERROR(VLOOKUP(F96,'G-7 WaterC'' Data'!$C$4:$D$8,2,FALSE),"")</f>
        <v/>
      </c>
      <c r="H96" s="105"/>
      <c r="I96" s="299" t="str">
        <f>IFERROR(INDEX('G-7 WaterC'' Data'!$H$4:$L$8,MATCH(D96,'G-7 WaterC'' Data'!$B$4:$B$8,0),MATCH(H96,'G-7 WaterC'' Data'!$H$3:$L$3,0)),"")</f>
        <v/>
      </c>
      <c r="J96" s="702"/>
      <c r="K96" s="295" t="str">
        <f>IF(J96="","",IF(VLOOKUP(J96,'G-7 WaterC'' Data'!$AK$4:$AM$9,2,FALSE)=0,"Spatial Data Missing ⚠",VLOOKUP(J96,'G-7 WaterC'' Data'!$AK$4:$AM$6,2,FALSE)))</f>
        <v/>
      </c>
      <c r="L96" s="299" t="str">
        <f>IF(J96="","",IF(VLOOKUP(J96,'G-7 WaterC'' Data'!$AK$4:$AM$9,3,FALSE)=0,"Spatial Data Missing ⚠",VLOOKUP(J96,'G-7 WaterC'' Data'!$AK$4:$AM$6,3,FALSE)))</f>
        <v/>
      </c>
      <c r="M96" s="102"/>
      <c r="N96" s="276" t="str">
        <f>IF(M96="","",IF(AND(M96="N/A - Culvert",D96&lt;&gt;"Culvert"),"Not possible ▲",IF(AND(D96="Culvert",M96&lt;&gt;"N/A - Culvert"),"Not possible ▲",IF(VLOOKUP(M96,'G-7 WaterC'' Data'!$AA$4:$AB$7,2,FALSE)=0,"Spatial Data Missing ⚠",VLOOKUP(M96,'G-7 WaterC'' Data'!$AA$4:$AB$7,2,FALSE)))))</f>
        <v/>
      </c>
      <c r="O96" s="56"/>
      <c r="P96" s="276" t="str">
        <f>IF(O96="","",IF(AND(O96="N/A - Culvert",D96&lt;&gt;"Culvert"),"Not possible ▲",IF(AND(D96="Culvert",O96&lt;&gt;"N/A - Culvert"),"Not possible ▲",IF(VLOOKUP(O96,'G-7 WaterC'' Data'!$AD$4:$AE$14,2,FALSE)=0,"Spatial Data Missing ⚠",VLOOKUP(O96,'G-7 WaterC'' Data'!$AD$4:$AE$14,2,FALSE)))))</f>
        <v/>
      </c>
      <c r="Q96" s="282" t="str">
        <f>IF(D96="","",VLOOKUP(D96,'G-7 WaterC'' Data'!$B$4:$G$8,6,FALSE))</f>
        <v/>
      </c>
      <c r="R96" s="289" t="str">
        <f t="shared" si="13"/>
        <v xml:space="preserve"> </v>
      </c>
      <c r="S96" s="393"/>
      <c r="T96" s="281" t="str">
        <f>IF(S96="","",IF(VLOOKUP(S96,'G-7 WaterC'' Data'!$AO$4:$BO$7,2,FALSE)=0,"Spatial Data Missing ⚠",VLOOKUP(S96,'G-7 WaterC'' Data'!$AO$4:$BO$7,2,FALSE)))</f>
        <v/>
      </c>
      <c r="U96" s="289" t="str">
        <f t="shared" si="14"/>
        <v xml:space="preserve"> </v>
      </c>
      <c r="V96" s="694" t="str">
        <f t="shared" si="15"/>
        <v/>
      </c>
      <c r="W96" s="32"/>
      <c r="X96" s="101"/>
      <c r="Y96" s="108"/>
      <c r="Z96" s="287" t="str">
        <f t="shared" si="16"/>
        <v/>
      </c>
      <c r="AA96" s="287" t="str">
        <f t="shared" si="17"/>
        <v/>
      </c>
      <c r="AB96" s="287" t="str">
        <f t="shared" si="18"/>
        <v/>
      </c>
      <c r="AC96" s="491" t="str">
        <f>IFERROR(IF(OR(E96="",R96=""),"",IF(AND(AB96&lt;&gt;"",S96=""),"Spatial risk category missing ▲",IF(AND(Q96='G-7 WaterC'' Data'!$G$4,AD96="Yes"),"Alternative Compensation ✓",IF(AND(AD96="Pending",Q96='G-7 WaterC'' Data'!$G$4),"Bespoke compensation must be agreed ▲",IF((Z96+AA96)&gt;=U96,0,U96-Z96-AA96))))),"Check Data ⚠")</f>
        <v/>
      </c>
      <c r="AD96" s="393"/>
      <c r="AE96" s="105"/>
      <c r="AF96" s="104"/>
      <c r="AG96" s="104"/>
      <c r="AH96" s="104"/>
      <c r="AI96" s="54" t="str">
        <f>IF(OR(Q96="",AD96="Yes"),"",IF(Q96='G-1 All Habitats'!$X$9,E96-Y96-X96,"None"))</f>
        <v/>
      </c>
      <c r="AJ96" s="55" t="str">
        <f>IF(Q96="","",IF(Q96='G-1 All Habitats'!$X$9,AI96*G96*I96*L96*N96*P96,"None"))</f>
        <v/>
      </c>
      <c r="AK96" s="30" t="str">
        <f>IFERROR(INDEX('G-7 WaterC'' Data'!$AZ$3:$AZ$7,MATCH(D96,'G-7 WaterC'' Data'!$AY$3:$AY$7,0)),"")</f>
        <v/>
      </c>
      <c r="AL96" s="30">
        <f t="shared" si="19"/>
        <v>0</v>
      </c>
      <c r="AM96" s="107" t="str">
        <f t="shared" si="20"/>
        <v/>
      </c>
      <c r="AN96" s="107" t="str">
        <f t="shared" si="21"/>
        <v/>
      </c>
      <c r="AP96" s="107">
        <v>87</v>
      </c>
      <c r="AR96" s="107" t="str">
        <f t="array" ref="AR96">IFERROR(INDEX($AP$10:$AP$258,MATCH(0,IF(TRUE=$AM$10:$AM$258,COUNTIF($AR$9:$AR95,$AP$10:$AP$258),""),0)),"")</f>
        <v/>
      </c>
      <c r="AS96" s="107" t="str">
        <f t="array" ref="AS96">IFERROR(INDEX($AP$10:$AP$258,MATCH(0,IF(TRUE=$AN$10:$AN$258,COUNTIF($AS$9:$AS95,$AP$10:$AP$258),""),0)),"")</f>
        <v/>
      </c>
      <c r="AT96" s="885" t="str">
        <f>IF(AND(OR(AD96="Yes",AD96="Pending"),Q96='G-7 WaterC'' Data'!$G$4),U96-AA96-Z96,"0")</f>
        <v>0</v>
      </c>
      <c r="AU96" s="30" t="str">
        <f>IF(D96="","",VLOOKUP(D96,'G-7 WaterC'' Data'!B$4:M$8,12,FALSE))</f>
        <v/>
      </c>
      <c r="AV96" s="30" t="str">
        <f t="shared" si="12"/>
        <v/>
      </c>
      <c r="AW96" s="30" t="str">
        <f t="shared" si="22"/>
        <v>No</v>
      </c>
      <c r="BA96" s="555" t="str">
        <f t="shared" si="23"/>
        <v/>
      </c>
    </row>
    <row r="97" spans="3:53" ht="14.5" thickBot="1">
      <c r="C97" s="97">
        <v>88</v>
      </c>
      <c r="D97" s="263"/>
      <c r="E97" s="104"/>
      <c r="F97" s="275" t="str">
        <f>IF(D97="","",VLOOKUP(D97,'G-7 WaterC'' Data'!$B$2:$G$8,2,FALSE))</f>
        <v/>
      </c>
      <c r="G97" s="314" t="str">
        <f>IFERROR(VLOOKUP(F97,'G-7 WaterC'' Data'!$C$4:$D$8,2,FALSE),"")</f>
        <v/>
      </c>
      <c r="H97" s="105"/>
      <c r="I97" s="299" t="str">
        <f>IFERROR(INDEX('G-7 WaterC'' Data'!$H$4:$L$8,MATCH(D97,'G-7 WaterC'' Data'!$B$4:$B$8,0),MATCH(H97,'G-7 WaterC'' Data'!$H$3:$L$3,0)),"")</f>
        <v/>
      </c>
      <c r="J97" s="702"/>
      <c r="K97" s="295" t="str">
        <f>IF(J97="","",IF(VLOOKUP(J97,'G-7 WaterC'' Data'!$AK$4:$AM$9,2,FALSE)=0,"Spatial Data Missing ⚠",VLOOKUP(J97,'G-7 WaterC'' Data'!$AK$4:$AM$6,2,FALSE)))</f>
        <v/>
      </c>
      <c r="L97" s="299" t="str">
        <f>IF(J97="","",IF(VLOOKUP(J97,'G-7 WaterC'' Data'!$AK$4:$AM$9,3,FALSE)=0,"Spatial Data Missing ⚠",VLOOKUP(J97,'G-7 WaterC'' Data'!$AK$4:$AM$6,3,FALSE)))</f>
        <v/>
      </c>
      <c r="M97" s="102"/>
      <c r="N97" s="276" t="str">
        <f>IF(M97="","",IF(AND(M97="N/A - Culvert",D97&lt;&gt;"Culvert"),"Not possible ▲",IF(AND(D97="Culvert",M97&lt;&gt;"N/A - Culvert"),"Not possible ▲",IF(VLOOKUP(M97,'G-7 WaterC'' Data'!$AA$4:$AB$7,2,FALSE)=0,"Spatial Data Missing ⚠",VLOOKUP(M97,'G-7 WaterC'' Data'!$AA$4:$AB$7,2,FALSE)))))</f>
        <v/>
      </c>
      <c r="O97" s="56"/>
      <c r="P97" s="276" t="str">
        <f>IF(O97="","",IF(AND(O97="N/A - Culvert",D97&lt;&gt;"Culvert"),"Not possible ▲",IF(AND(D97="Culvert",O97&lt;&gt;"N/A - Culvert"),"Not possible ▲",IF(VLOOKUP(O97,'G-7 WaterC'' Data'!$AD$4:$AE$14,2,FALSE)=0,"Spatial Data Missing ⚠",VLOOKUP(O97,'G-7 WaterC'' Data'!$AD$4:$AE$14,2,FALSE)))))</f>
        <v/>
      </c>
      <c r="Q97" s="282" t="str">
        <f>IF(D97="","",VLOOKUP(D97,'G-7 WaterC'' Data'!$B$4:$G$8,6,FALSE))</f>
        <v/>
      </c>
      <c r="R97" s="289" t="str">
        <f t="shared" si="13"/>
        <v xml:space="preserve"> </v>
      </c>
      <c r="S97" s="393"/>
      <c r="T97" s="281" t="str">
        <f>IF(S97="","",IF(VLOOKUP(S97,'G-7 WaterC'' Data'!$AO$4:$BO$7,2,FALSE)=0,"Spatial Data Missing ⚠",VLOOKUP(S97,'G-7 WaterC'' Data'!$AO$4:$BO$7,2,FALSE)))</f>
        <v/>
      </c>
      <c r="U97" s="289" t="str">
        <f t="shared" si="14"/>
        <v xml:space="preserve"> </v>
      </c>
      <c r="V97" s="694" t="str">
        <f t="shared" si="15"/>
        <v/>
      </c>
      <c r="W97" s="32"/>
      <c r="X97" s="101"/>
      <c r="Y97" s="108"/>
      <c r="Z97" s="287" t="str">
        <f t="shared" si="16"/>
        <v/>
      </c>
      <c r="AA97" s="287" t="str">
        <f t="shared" si="17"/>
        <v/>
      </c>
      <c r="AB97" s="287" t="str">
        <f t="shared" si="18"/>
        <v/>
      </c>
      <c r="AC97" s="491" t="str">
        <f>IFERROR(IF(OR(E97="",R97=""),"",IF(AND(AB97&lt;&gt;"",S97=""),"Spatial risk category missing ▲",IF(AND(Q97='G-7 WaterC'' Data'!$G$4,AD97="Yes"),"Alternative Compensation ✓",IF(AND(AD97="Pending",Q97='G-7 WaterC'' Data'!$G$4),"Bespoke compensation must be agreed ▲",IF((Z97+AA97)&gt;=U97,0,U97-Z97-AA97))))),"Check Data ⚠")</f>
        <v/>
      </c>
      <c r="AD97" s="393"/>
      <c r="AE97" s="105"/>
      <c r="AF97" s="104"/>
      <c r="AG97" s="104"/>
      <c r="AH97" s="104"/>
      <c r="AI97" s="54" t="str">
        <f>IF(OR(Q97="",AD97="Yes"),"",IF(Q97='G-1 All Habitats'!$X$9,E97-Y97-X97,"None"))</f>
        <v/>
      </c>
      <c r="AJ97" s="55" t="str">
        <f>IF(Q97="","",IF(Q97='G-1 All Habitats'!$X$9,AI97*G97*I97*L97*N97*P97,"None"))</f>
        <v/>
      </c>
      <c r="AK97" s="30" t="str">
        <f>IFERROR(INDEX('G-7 WaterC'' Data'!$AZ$3:$AZ$7,MATCH(D97,'G-7 WaterC'' Data'!$AY$3:$AY$7,0)),"")</f>
        <v/>
      </c>
      <c r="AL97" s="30">
        <f t="shared" si="19"/>
        <v>0</v>
      </c>
      <c r="AM97" s="107" t="str">
        <f t="shared" si="20"/>
        <v/>
      </c>
      <c r="AN97" s="107" t="str">
        <f t="shared" si="21"/>
        <v/>
      </c>
      <c r="AP97" s="107">
        <v>88</v>
      </c>
      <c r="AR97" s="107" t="str">
        <f t="array" ref="AR97">IFERROR(INDEX($AP$10:$AP$258,MATCH(0,IF(TRUE=$AM$10:$AM$258,COUNTIF($AR$9:$AR96,$AP$10:$AP$258),""),0)),"")</f>
        <v/>
      </c>
      <c r="AS97" s="107" t="str">
        <f t="array" ref="AS97">IFERROR(INDEX($AP$10:$AP$258,MATCH(0,IF(TRUE=$AN$10:$AN$258,COUNTIF($AS$9:$AS96,$AP$10:$AP$258),""),0)),"")</f>
        <v/>
      </c>
      <c r="AT97" s="885" t="str">
        <f>IF(AND(OR(AD97="Yes",AD97="Pending"),Q97='G-7 WaterC'' Data'!$G$4),U97-AA97-Z97,"0")</f>
        <v>0</v>
      </c>
      <c r="AU97" s="30" t="str">
        <f>IF(D97="","",VLOOKUP(D97,'G-7 WaterC'' Data'!B$4:M$8,12,FALSE))</f>
        <v/>
      </c>
      <c r="AV97" s="30" t="str">
        <f t="shared" si="12"/>
        <v/>
      </c>
      <c r="AW97" s="30" t="str">
        <f t="shared" si="22"/>
        <v>No</v>
      </c>
      <c r="BA97" s="555" t="str">
        <f t="shared" si="23"/>
        <v/>
      </c>
    </row>
    <row r="98" spans="3:53" ht="14.5" thickBot="1">
      <c r="C98" s="97">
        <v>89</v>
      </c>
      <c r="D98" s="263"/>
      <c r="E98" s="104"/>
      <c r="F98" s="275" t="str">
        <f>IF(D98="","",VLOOKUP(D98,'G-7 WaterC'' Data'!$B$2:$G$8,2,FALSE))</f>
        <v/>
      </c>
      <c r="G98" s="314" t="str">
        <f>IFERROR(VLOOKUP(F98,'G-7 WaterC'' Data'!$C$4:$D$8,2,FALSE),"")</f>
        <v/>
      </c>
      <c r="H98" s="105"/>
      <c r="I98" s="299" t="str">
        <f>IFERROR(INDEX('G-7 WaterC'' Data'!$H$4:$L$8,MATCH(D98,'G-7 WaterC'' Data'!$B$4:$B$8,0),MATCH(H98,'G-7 WaterC'' Data'!$H$3:$L$3,0)),"")</f>
        <v/>
      </c>
      <c r="J98" s="702"/>
      <c r="K98" s="295" t="str">
        <f>IF(J98="","",IF(VLOOKUP(J98,'G-7 WaterC'' Data'!$AK$4:$AM$9,2,FALSE)=0,"Spatial Data Missing ⚠",VLOOKUP(J98,'G-7 WaterC'' Data'!$AK$4:$AM$6,2,FALSE)))</f>
        <v/>
      </c>
      <c r="L98" s="299" t="str">
        <f>IF(J98="","",IF(VLOOKUP(J98,'G-7 WaterC'' Data'!$AK$4:$AM$9,3,FALSE)=0,"Spatial Data Missing ⚠",VLOOKUP(J98,'G-7 WaterC'' Data'!$AK$4:$AM$6,3,FALSE)))</f>
        <v/>
      </c>
      <c r="M98" s="102"/>
      <c r="N98" s="276" t="str">
        <f>IF(M98="","",IF(AND(M98="N/A - Culvert",D98&lt;&gt;"Culvert"),"Not possible ▲",IF(AND(D98="Culvert",M98&lt;&gt;"N/A - Culvert"),"Not possible ▲",IF(VLOOKUP(M98,'G-7 WaterC'' Data'!$AA$4:$AB$7,2,FALSE)=0,"Spatial Data Missing ⚠",VLOOKUP(M98,'G-7 WaterC'' Data'!$AA$4:$AB$7,2,FALSE)))))</f>
        <v/>
      </c>
      <c r="O98" s="56"/>
      <c r="P98" s="276" t="str">
        <f>IF(O98="","",IF(AND(O98="N/A - Culvert",D98&lt;&gt;"Culvert"),"Not possible ▲",IF(AND(D98="Culvert",O98&lt;&gt;"N/A - Culvert"),"Not possible ▲",IF(VLOOKUP(O98,'G-7 WaterC'' Data'!$AD$4:$AE$14,2,FALSE)=0,"Spatial Data Missing ⚠",VLOOKUP(O98,'G-7 WaterC'' Data'!$AD$4:$AE$14,2,FALSE)))))</f>
        <v/>
      </c>
      <c r="Q98" s="282" t="str">
        <f>IF(D98="","",VLOOKUP(D98,'G-7 WaterC'' Data'!$B$4:$G$8,6,FALSE))</f>
        <v/>
      </c>
      <c r="R98" s="289" t="str">
        <f t="shared" si="13"/>
        <v xml:space="preserve"> </v>
      </c>
      <c r="S98" s="393"/>
      <c r="T98" s="281" t="str">
        <f>IF(S98="","",IF(VLOOKUP(S98,'G-7 WaterC'' Data'!$AO$4:$BO$7,2,FALSE)=0,"Spatial Data Missing ⚠",VLOOKUP(S98,'G-7 WaterC'' Data'!$AO$4:$BO$7,2,FALSE)))</f>
        <v/>
      </c>
      <c r="U98" s="289" t="str">
        <f t="shared" si="14"/>
        <v xml:space="preserve"> </v>
      </c>
      <c r="V98" s="694" t="str">
        <f t="shared" si="15"/>
        <v/>
      </c>
      <c r="W98" s="32"/>
      <c r="X98" s="101"/>
      <c r="Y98" s="108"/>
      <c r="Z98" s="287" t="str">
        <f t="shared" si="16"/>
        <v/>
      </c>
      <c r="AA98" s="287" t="str">
        <f t="shared" si="17"/>
        <v/>
      </c>
      <c r="AB98" s="287" t="str">
        <f t="shared" si="18"/>
        <v/>
      </c>
      <c r="AC98" s="491" t="str">
        <f>IFERROR(IF(OR(E98="",R98=""),"",IF(AND(AB98&lt;&gt;"",S98=""),"Spatial risk category missing ▲",IF(AND(Q98='G-7 WaterC'' Data'!$G$4,AD98="Yes"),"Alternative Compensation ✓",IF(AND(AD98="Pending",Q98='G-7 WaterC'' Data'!$G$4),"Bespoke compensation must be agreed ▲",IF((Z98+AA98)&gt;=U98,0,U98-Z98-AA98))))),"Check Data ⚠")</f>
        <v/>
      </c>
      <c r="AD98" s="393"/>
      <c r="AE98" s="105"/>
      <c r="AF98" s="104"/>
      <c r="AG98" s="104"/>
      <c r="AH98" s="104"/>
      <c r="AI98" s="54" t="str">
        <f>IF(OR(Q98="",AD98="Yes"),"",IF(Q98='G-1 All Habitats'!$X$9,E98-Y98-X98,"None"))</f>
        <v/>
      </c>
      <c r="AJ98" s="55" t="str">
        <f>IF(Q98="","",IF(Q98='G-1 All Habitats'!$X$9,AI98*G98*I98*L98*N98*P98,"None"))</f>
        <v/>
      </c>
      <c r="AK98" s="30" t="str">
        <f>IFERROR(INDEX('G-7 WaterC'' Data'!$AZ$3:$AZ$7,MATCH(D98,'G-7 WaterC'' Data'!$AY$3:$AY$7,0)),"")</f>
        <v/>
      </c>
      <c r="AL98" s="30">
        <f t="shared" si="19"/>
        <v>0</v>
      </c>
      <c r="AM98" s="107" t="str">
        <f t="shared" si="20"/>
        <v/>
      </c>
      <c r="AN98" s="107" t="str">
        <f t="shared" si="21"/>
        <v/>
      </c>
      <c r="AP98" s="107">
        <v>89</v>
      </c>
      <c r="AR98" s="107" t="str">
        <f t="array" ref="AR98">IFERROR(INDEX($AP$10:$AP$258,MATCH(0,IF(TRUE=$AM$10:$AM$258,COUNTIF($AR$9:$AR97,$AP$10:$AP$258),""),0)),"")</f>
        <v/>
      </c>
      <c r="AS98" s="107" t="str">
        <f t="array" ref="AS98">IFERROR(INDEX($AP$10:$AP$258,MATCH(0,IF(TRUE=$AN$10:$AN$258,COUNTIF($AS$9:$AS97,$AP$10:$AP$258),""),0)),"")</f>
        <v/>
      </c>
      <c r="AT98" s="885" t="str">
        <f>IF(AND(OR(AD98="Yes",AD98="Pending"),Q98='G-7 WaterC'' Data'!$G$4),U98-AA98-Z98,"0")</f>
        <v>0</v>
      </c>
      <c r="AU98" s="30" t="str">
        <f>IF(D98="","",VLOOKUP(D98,'G-7 WaterC'' Data'!B$4:M$8,12,FALSE))</f>
        <v/>
      </c>
      <c r="AV98" s="30" t="str">
        <f t="shared" si="12"/>
        <v/>
      </c>
      <c r="AW98" s="30" t="str">
        <f t="shared" si="22"/>
        <v>No</v>
      </c>
      <c r="BA98" s="555" t="str">
        <f t="shared" si="23"/>
        <v/>
      </c>
    </row>
    <row r="99" spans="3:53" ht="14.5" thickBot="1">
      <c r="C99" s="97">
        <v>90</v>
      </c>
      <c r="D99" s="263"/>
      <c r="E99" s="104"/>
      <c r="F99" s="275" t="str">
        <f>IF(D99="","",VLOOKUP(D99,'G-7 WaterC'' Data'!$B$2:$G$8,2,FALSE))</f>
        <v/>
      </c>
      <c r="G99" s="314" t="str">
        <f>IFERROR(VLOOKUP(F99,'G-7 WaterC'' Data'!$C$4:$D$8,2,FALSE),"")</f>
        <v/>
      </c>
      <c r="H99" s="105"/>
      <c r="I99" s="299" t="str">
        <f>IFERROR(INDEX('G-7 WaterC'' Data'!$H$4:$L$8,MATCH(D99,'G-7 WaterC'' Data'!$B$4:$B$8,0),MATCH(H99,'G-7 WaterC'' Data'!$H$3:$L$3,0)),"")</f>
        <v/>
      </c>
      <c r="J99" s="702"/>
      <c r="K99" s="295" t="str">
        <f>IF(J99="","",IF(VLOOKUP(J99,'G-7 WaterC'' Data'!$AK$4:$AM$9,2,FALSE)=0,"Spatial Data Missing ⚠",VLOOKUP(J99,'G-7 WaterC'' Data'!$AK$4:$AM$6,2,FALSE)))</f>
        <v/>
      </c>
      <c r="L99" s="299" t="str">
        <f>IF(J99="","",IF(VLOOKUP(J99,'G-7 WaterC'' Data'!$AK$4:$AM$9,3,FALSE)=0,"Spatial Data Missing ⚠",VLOOKUP(J99,'G-7 WaterC'' Data'!$AK$4:$AM$6,3,FALSE)))</f>
        <v/>
      </c>
      <c r="M99" s="102"/>
      <c r="N99" s="276" t="str">
        <f>IF(M99="","",IF(AND(M99="N/A - Culvert",D99&lt;&gt;"Culvert"),"Not possible ▲",IF(AND(D99="Culvert",M99&lt;&gt;"N/A - Culvert"),"Not possible ▲",IF(VLOOKUP(M99,'G-7 WaterC'' Data'!$AA$4:$AB$7,2,FALSE)=0,"Spatial Data Missing ⚠",VLOOKUP(M99,'G-7 WaterC'' Data'!$AA$4:$AB$7,2,FALSE)))))</f>
        <v/>
      </c>
      <c r="O99" s="56"/>
      <c r="P99" s="276" t="str">
        <f>IF(O99="","",IF(AND(O99="N/A - Culvert",D99&lt;&gt;"Culvert"),"Not possible ▲",IF(AND(D99="Culvert",O99&lt;&gt;"N/A - Culvert"),"Not possible ▲",IF(VLOOKUP(O99,'G-7 WaterC'' Data'!$AD$4:$AE$14,2,FALSE)=0,"Spatial Data Missing ⚠",VLOOKUP(O99,'G-7 WaterC'' Data'!$AD$4:$AE$14,2,FALSE)))))</f>
        <v/>
      </c>
      <c r="Q99" s="282" t="str">
        <f>IF(D99="","",VLOOKUP(D99,'G-7 WaterC'' Data'!$B$4:$G$8,6,FALSE))</f>
        <v/>
      </c>
      <c r="R99" s="289" t="str">
        <f t="shared" si="13"/>
        <v xml:space="preserve"> </v>
      </c>
      <c r="S99" s="393"/>
      <c r="T99" s="281" t="str">
        <f>IF(S99="","",IF(VLOOKUP(S99,'G-7 WaterC'' Data'!$AO$4:$BO$7,2,FALSE)=0,"Spatial Data Missing ⚠",VLOOKUP(S99,'G-7 WaterC'' Data'!$AO$4:$BO$7,2,FALSE)))</f>
        <v/>
      </c>
      <c r="U99" s="289" t="str">
        <f t="shared" si="14"/>
        <v xml:space="preserve"> </v>
      </c>
      <c r="V99" s="694" t="str">
        <f t="shared" si="15"/>
        <v/>
      </c>
      <c r="W99" s="32"/>
      <c r="X99" s="101"/>
      <c r="Y99" s="108"/>
      <c r="Z99" s="287" t="str">
        <f t="shared" si="16"/>
        <v/>
      </c>
      <c r="AA99" s="287" t="str">
        <f t="shared" si="17"/>
        <v/>
      </c>
      <c r="AB99" s="287" t="str">
        <f t="shared" si="18"/>
        <v/>
      </c>
      <c r="AC99" s="491" t="str">
        <f>IFERROR(IF(OR(E99="",R99=""),"",IF(AND(AB99&lt;&gt;"",S99=""),"Spatial risk category missing ▲",IF(AND(Q99='G-7 WaterC'' Data'!$G$4,AD99="Yes"),"Alternative Compensation ✓",IF(AND(AD99="Pending",Q99='G-7 WaterC'' Data'!$G$4),"Bespoke compensation must be agreed ▲",IF((Z99+AA99)&gt;=U99,0,U99-Z99-AA99))))),"Check Data ⚠")</f>
        <v/>
      </c>
      <c r="AD99" s="393"/>
      <c r="AE99" s="105"/>
      <c r="AF99" s="104"/>
      <c r="AG99" s="104"/>
      <c r="AH99" s="104"/>
      <c r="AI99" s="54" t="str">
        <f>IF(OR(Q99="",AD99="Yes"),"",IF(Q99='G-1 All Habitats'!$X$9,E99-Y99-X99,"None"))</f>
        <v/>
      </c>
      <c r="AJ99" s="55" t="str">
        <f>IF(Q99="","",IF(Q99='G-1 All Habitats'!$X$9,AI99*G99*I99*L99*N99*P99,"None"))</f>
        <v/>
      </c>
      <c r="AK99" s="30" t="str">
        <f>IFERROR(INDEX('G-7 WaterC'' Data'!$AZ$3:$AZ$7,MATCH(D99,'G-7 WaterC'' Data'!$AY$3:$AY$7,0)),"")</f>
        <v/>
      </c>
      <c r="AL99" s="30">
        <f t="shared" si="19"/>
        <v>0</v>
      </c>
      <c r="AM99" s="107" t="str">
        <f t="shared" si="20"/>
        <v/>
      </c>
      <c r="AN99" s="107" t="str">
        <f t="shared" si="21"/>
        <v/>
      </c>
      <c r="AP99" s="107">
        <v>90</v>
      </c>
      <c r="AR99" s="107" t="str">
        <f t="array" ref="AR99">IFERROR(INDEX($AP$10:$AP$258,MATCH(0,IF(TRUE=$AM$10:$AM$258,COUNTIF($AR$9:$AR98,$AP$10:$AP$258),""),0)),"")</f>
        <v/>
      </c>
      <c r="AS99" s="107" t="str">
        <f t="array" ref="AS99">IFERROR(INDEX($AP$10:$AP$258,MATCH(0,IF(TRUE=$AN$10:$AN$258,COUNTIF($AS$9:$AS98,$AP$10:$AP$258),""),0)),"")</f>
        <v/>
      </c>
      <c r="AT99" s="885" t="str">
        <f>IF(AND(OR(AD99="Yes",AD99="Pending"),Q99='G-7 WaterC'' Data'!$G$4),U99-AA99-Z99,"0")</f>
        <v>0</v>
      </c>
      <c r="AU99" s="30" t="str">
        <f>IF(D99="","",VLOOKUP(D99,'G-7 WaterC'' Data'!B$4:M$8,12,FALSE))</f>
        <v/>
      </c>
      <c r="AV99" s="30" t="str">
        <f t="shared" si="12"/>
        <v/>
      </c>
      <c r="AW99" s="30" t="str">
        <f t="shared" si="22"/>
        <v>No</v>
      </c>
      <c r="BA99" s="555" t="str">
        <f t="shared" si="23"/>
        <v/>
      </c>
    </row>
    <row r="100" spans="3:53" ht="14.5" thickBot="1">
      <c r="C100" s="97">
        <v>91</v>
      </c>
      <c r="D100" s="263"/>
      <c r="E100" s="104"/>
      <c r="F100" s="275" t="str">
        <f>IF(D100="","",VLOOKUP(D100,'G-7 WaterC'' Data'!$B$2:$G$8,2,FALSE))</f>
        <v/>
      </c>
      <c r="G100" s="314" t="str">
        <f>IFERROR(VLOOKUP(F100,'G-7 WaterC'' Data'!$C$4:$D$8,2,FALSE),"")</f>
        <v/>
      </c>
      <c r="H100" s="105"/>
      <c r="I100" s="299" t="str">
        <f>IFERROR(INDEX('G-7 WaterC'' Data'!$H$4:$L$8,MATCH(D100,'G-7 WaterC'' Data'!$B$4:$B$8,0),MATCH(H100,'G-7 WaterC'' Data'!$H$3:$L$3,0)),"")</f>
        <v/>
      </c>
      <c r="J100" s="702"/>
      <c r="K100" s="295" t="str">
        <f>IF(J100="","",IF(VLOOKUP(J100,'G-7 WaterC'' Data'!$AK$4:$AM$9,2,FALSE)=0,"Spatial Data Missing ⚠",VLOOKUP(J100,'G-7 WaterC'' Data'!$AK$4:$AM$6,2,FALSE)))</f>
        <v/>
      </c>
      <c r="L100" s="299" t="str">
        <f>IF(J100="","",IF(VLOOKUP(J100,'G-7 WaterC'' Data'!$AK$4:$AM$9,3,FALSE)=0,"Spatial Data Missing ⚠",VLOOKUP(J100,'G-7 WaterC'' Data'!$AK$4:$AM$6,3,FALSE)))</f>
        <v/>
      </c>
      <c r="M100" s="102"/>
      <c r="N100" s="276" t="str">
        <f>IF(M100="","",IF(AND(M100="N/A - Culvert",D100&lt;&gt;"Culvert"),"Not possible ▲",IF(AND(D100="Culvert",M100&lt;&gt;"N/A - Culvert"),"Not possible ▲",IF(VLOOKUP(M100,'G-7 WaterC'' Data'!$AA$4:$AB$7,2,FALSE)=0,"Spatial Data Missing ⚠",VLOOKUP(M100,'G-7 WaterC'' Data'!$AA$4:$AB$7,2,FALSE)))))</f>
        <v/>
      </c>
      <c r="O100" s="56"/>
      <c r="P100" s="276" t="str">
        <f>IF(O100="","",IF(AND(O100="N/A - Culvert",D100&lt;&gt;"Culvert"),"Not possible ▲",IF(AND(D100="Culvert",O100&lt;&gt;"N/A - Culvert"),"Not possible ▲",IF(VLOOKUP(O100,'G-7 WaterC'' Data'!$AD$4:$AE$14,2,FALSE)=0,"Spatial Data Missing ⚠",VLOOKUP(O100,'G-7 WaterC'' Data'!$AD$4:$AE$14,2,FALSE)))))</f>
        <v/>
      </c>
      <c r="Q100" s="282" t="str">
        <f>IF(D100="","",VLOOKUP(D100,'G-7 WaterC'' Data'!$B$4:$G$8,6,FALSE))</f>
        <v/>
      </c>
      <c r="R100" s="289" t="str">
        <f t="shared" si="13"/>
        <v xml:space="preserve"> </v>
      </c>
      <c r="S100" s="393"/>
      <c r="T100" s="281" t="str">
        <f>IF(S100="","",IF(VLOOKUP(S100,'G-7 WaterC'' Data'!$AO$4:$BO$7,2,FALSE)=0,"Spatial Data Missing ⚠",VLOOKUP(S100,'G-7 WaterC'' Data'!$AO$4:$BO$7,2,FALSE)))</f>
        <v/>
      </c>
      <c r="U100" s="289" t="str">
        <f t="shared" si="14"/>
        <v xml:space="preserve"> </v>
      </c>
      <c r="V100" s="694" t="str">
        <f t="shared" si="15"/>
        <v/>
      </c>
      <c r="W100" s="32"/>
      <c r="X100" s="101"/>
      <c r="Y100" s="108"/>
      <c r="Z100" s="287" t="str">
        <f t="shared" si="16"/>
        <v/>
      </c>
      <c r="AA100" s="287" t="str">
        <f t="shared" si="17"/>
        <v/>
      </c>
      <c r="AB100" s="287" t="str">
        <f t="shared" si="18"/>
        <v/>
      </c>
      <c r="AC100" s="491" t="str">
        <f>IFERROR(IF(OR(E100="",R100=""),"",IF(AND(AB100&lt;&gt;"",S100=""),"Spatial risk category missing ▲",IF(AND(Q100='G-7 WaterC'' Data'!$G$4,AD100="Yes"),"Alternative Compensation ✓",IF(AND(AD100="Pending",Q100='G-7 WaterC'' Data'!$G$4),"Bespoke compensation must be agreed ▲",IF((Z100+AA100)&gt;=U100,0,U100-Z100-AA100))))),"Check Data ⚠")</f>
        <v/>
      </c>
      <c r="AD100" s="393"/>
      <c r="AE100" s="105"/>
      <c r="AF100" s="104"/>
      <c r="AG100" s="104"/>
      <c r="AH100" s="104"/>
      <c r="AI100" s="54" t="str">
        <f>IF(OR(Q100="",AD100="Yes"),"",IF(Q100='G-1 All Habitats'!$X$9,E100-Y100-X100,"None"))</f>
        <v/>
      </c>
      <c r="AJ100" s="55" t="str">
        <f>IF(Q100="","",IF(Q100='G-1 All Habitats'!$X$9,AI100*G100*I100*L100*N100*P100,"None"))</f>
        <v/>
      </c>
      <c r="AK100" s="30" t="str">
        <f>IFERROR(INDEX('G-7 WaterC'' Data'!$AZ$3:$AZ$7,MATCH(D100,'G-7 WaterC'' Data'!$AY$3:$AY$7,0)),"")</f>
        <v/>
      </c>
      <c r="AL100" s="30">
        <f t="shared" si="19"/>
        <v>0</v>
      </c>
      <c r="AM100" s="107" t="str">
        <f t="shared" si="20"/>
        <v/>
      </c>
      <c r="AN100" s="107" t="str">
        <f t="shared" si="21"/>
        <v/>
      </c>
      <c r="AP100" s="107">
        <v>91</v>
      </c>
      <c r="AR100" s="107" t="str">
        <f t="array" ref="AR100">IFERROR(INDEX($AP$10:$AP$258,MATCH(0,IF(TRUE=$AM$10:$AM$258,COUNTIF($AR$9:$AR99,$AP$10:$AP$258),""),0)),"")</f>
        <v/>
      </c>
      <c r="AS100" s="107" t="str">
        <f t="array" ref="AS100">IFERROR(INDEX($AP$10:$AP$258,MATCH(0,IF(TRUE=$AN$10:$AN$258,COUNTIF($AS$9:$AS99,$AP$10:$AP$258),""),0)),"")</f>
        <v/>
      </c>
      <c r="AT100" s="885" t="str">
        <f>IF(AND(OR(AD100="Yes",AD100="Pending"),Q100='G-7 WaterC'' Data'!$G$4),U100-AA100-Z100,"0")</f>
        <v>0</v>
      </c>
      <c r="AU100" s="30" t="str">
        <f>IF(D100="","",VLOOKUP(D100,'G-7 WaterC'' Data'!B$4:M$8,12,FALSE))</f>
        <v/>
      </c>
      <c r="AV100" s="30" t="str">
        <f t="shared" si="12"/>
        <v/>
      </c>
      <c r="AW100" s="30" t="str">
        <f t="shared" si="22"/>
        <v>No</v>
      </c>
      <c r="BA100" s="555" t="str">
        <f t="shared" si="23"/>
        <v/>
      </c>
    </row>
    <row r="101" spans="3:53" ht="14.5" thickBot="1">
      <c r="C101" s="97">
        <v>92</v>
      </c>
      <c r="D101" s="263"/>
      <c r="E101" s="104"/>
      <c r="F101" s="275" t="str">
        <f>IF(D101="","",VLOOKUP(D101,'G-7 WaterC'' Data'!$B$2:$G$8,2,FALSE))</f>
        <v/>
      </c>
      <c r="G101" s="314" t="str">
        <f>IFERROR(VLOOKUP(F101,'G-7 WaterC'' Data'!$C$4:$D$8,2,FALSE),"")</f>
        <v/>
      </c>
      <c r="H101" s="105"/>
      <c r="I101" s="299" t="str">
        <f>IFERROR(INDEX('G-7 WaterC'' Data'!$H$4:$L$8,MATCH(D101,'G-7 WaterC'' Data'!$B$4:$B$8,0),MATCH(H101,'G-7 WaterC'' Data'!$H$3:$L$3,0)),"")</f>
        <v/>
      </c>
      <c r="J101" s="702"/>
      <c r="K101" s="295" t="str">
        <f>IF(J101="","",IF(VLOOKUP(J101,'G-7 WaterC'' Data'!$AK$4:$AM$9,2,FALSE)=0,"Spatial Data Missing ⚠",VLOOKUP(J101,'G-7 WaterC'' Data'!$AK$4:$AM$6,2,FALSE)))</f>
        <v/>
      </c>
      <c r="L101" s="299" t="str">
        <f>IF(J101="","",IF(VLOOKUP(J101,'G-7 WaterC'' Data'!$AK$4:$AM$9,3,FALSE)=0,"Spatial Data Missing ⚠",VLOOKUP(J101,'G-7 WaterC'' Data'!$AK$4:$AM$6,3,FALSE)))</f>
        <v/>
      </c>
      <c r="M101" s="102"/>
      <c r="N101" s="276" t="str">
        <f>IF(M101="","",IF(AND(M101="N/A - Culvert",D101&lt;&gt;"Culvert"),"Not possible ▲",IF(AND(D101="Culvert",M101&lt;&gt;"N/A - Culvert"),"Not possible ▲",IF(VLOOKUP(M101,'G-7 WaterC'' Data'!$AA$4:$AB$7,2,FALSE)=0,"Spatial Data Missing ⚠",VLOOKUP(M101,'G-7 WaterC'' Data'!$AA$4:$AB$7,2,FALSE)))))</f>
        <v/>
      </c>
      <c r="O101" s="56"/>
      <c r="P101" s="276" t="str">
        <f>IF(O101="","",IF(AND(O101="N/A - Culvert",D101&lt;&gt;"Culvert"),"Not possible ▲",IF(AND(D101="Culvert",O101&lt;&gt;"N/A - Culvert"),"Not possible ▲",IF(VLOOKUP(O101,'G-7 WaterC'' Data'!$AD$4:$AE$14,2,FALSE)=0,"Spatial Data Missing ⚠",VLOOKUP(O101,'G-7 WaterC'' Data'!$AD$4:$AE$14,2,FALSE)))))</f>
        <v/>
      </c>
      <c r="Q101" s="282" t="str">
        <f>IF(D101="","",VLOOKUP(D101,'G-7 WaterC'' Data'!$B$4:$G$8,6,FALSE))</f>
        <v/>
      </c>
      <c r="R101" s="289" t="str">
        <f t="shared" si="13"/>
        <v xml:space="preserve"> </v>
      </c>
      <c r="S101" s="393"/>
      <c r="T101" s="281" t="str">
        <f>IF(S101="","",IF(VLOOKUP(S101,'G-7 WaterC'' Data'!$AO$4:$BO$7,2,FALSE)=0,"Spatial Data Missing ⚠",VLOOKUP(S101,'G-7 WaterC'' Data'!$AO$4:$BO$7,2,FALSE)))</f>
        <v/>
      </c>
      <c r="U101" s="289" t="str">
        <f t="shared" si="14"/>
        <v xml:space="preserve"> </v>
      </c>
      <c r="V101" s="694" t="str">
        <f t="shared" si="15"/>
        <v/>
      </c>
      <c r="W101" s="32"/>
      <c r="X101" s="101"/>
      <c r="Y101" s="108"/>
      <c r="Z101" s="287" t="str">
        <f t="shared" si="16"/>
        <v/>
      </c>
      <c r="AA101" s="287" t="str">
        <f t="shared" si="17"/>
        <v/>
      </c>
      <c r="AB101" s="287" t="str">
        <f t="shared" si="18"/>
        <v/>
      </c>
      <c r="AC101" s="491" t="str">
        <f>IFERROR(IF(OR(E101="",R101=""),"",IF(AND(AB101&lt;&gt;"",S101=""),"Spatial risk category missing ▲",IF(AND(Q101='G-7 WaterC'' Data'!$G$4,AD101="Yes"),"Alternative Compensation ✓",IF(AND(AD101="Pending",Q101='G-7 WaterC'' Data'!$G$4),"Bespoke compensation must be agreed ▲",IF((Z101+AA101)&gt;=U101,0,U101-Z101-AA101))))),"Check Data ⚠")</f>
        <v/>
      </c>
      <c r="AD101" s="393"/>
      <c r="AE101" s="105"/>
      <c r="AF101" s="104"/>
      <c r="AG101" s="104"/>
      <c r="AH101" s="104"/>
      <c r="AI101" s="54" t="str">
        <f>IF(OR(Q101="",AD101="Yes"),"",IF(Q101='G-1 All Habitats'!$X$9,E101-Y101-X101,"None"))</f>
        <v/>
      </c>
      <c r="AJ101" s="55" t="str">
        <f>IF(Q101="","",IF(Q101='G-1 All Habitats'!$X$9,AI101*G101*I101*L101*N101*P101,"None"))</f>
        <v/>
      </c>
      <c r="AK101" s="30" t="str">
        <f>IFERROR(INDEX('G-7 WaterC'' Data'!$AZ$3:$AZ$7,MATCH(D101,'G-7 WaterC'' Data'!$AY$3:$AY$7,0)),"")</f>
        <v/>
      </c>
      <c r="AL101" s="30">
        <f t="shared" si="19"/>
        <v>0</v>
      </c>
      <c r="AM101" s="107" t="str">
        <f t="shared" si="20"/>
        <v/>
      </c>
      <c r="AN101" s="107" t="str">
        <f t="shared" si="21"/>
        <v/>
      </c>
      <c r="AP101" s="107">
        <v>92</v>
      </c>
      <c r="AR101" s="107" t="str">
        <f t="array" ref="AR101">IFERROR(INDEX($AP$10:$AP$258,MATCH(0,IF(TRUE=$AM$10:$AM$258,COUNTIF($AR$9:$AR100,$AP$10:$AP$258),""),0)),"")</f>
        <v/>
      </c>
      <c r="AS101" s="107" t="str">
        <f t="array" ref="AS101">IFERROR(INDEX($AP$10:$AP$258,MATCH(0,IF(TRUE=$AN$10:$AN$258,COUNTIF($AS$9:$AS100,$AP$10:$AP$258),""),0)),"")</f>
        <v/>
      </c>
      <c r="AT101" s="885" t="str">
        <f>IF(AND(OR(AD101="Yes",AD101="Pending"),Q101='G-7 WaterC'' Data'!$G$4),U101-AA101-Z101,"0")</f>
        <v>0</v>
      </c>
      <c r="AU101" s="30" t="str">
        <f>IF(D101="","",VLOOKUP(D101,'G-7 WaterC'' Data'!B$4:M$8,12,FALSE))</f>
        <v/>
      </c>
      <c r="AV101" s="30" t="str">
        <f t="shared" si="12"/>
        <v/>
      </c>
      <c r="AW101" s="30" t="str">
        <f t="shared" si="22"/>
        <v>No</v>
      </c>
      <c r="BA101" s="555" t="str">
        <f t="shared" si="23"/>
        <v/>
      </c>
    </row>
    <row r="102" spans="3:53" ht="14.5" thickBot="1">
      <c r="C102" s="97">
        <v>93</v>
      </c>
      <c r="D102" s="263"/>
      <c r="E102" s="104"/>
      <c r="F102" s="275" t="str">
        <f>IF(D102="","",VLOOKUP(D102,'G-7 WaterC'' Data'!$B$2:$G$8,2,FALSE))</f>
        <v/>
      </c>
      <c r="G102" s="314" t="str">
        <f>IFERROR(VLOOKUP(F102,'G-7 WaterC'' Data'!$C$4:$D$8,2,FALSE),"")</f>
        <v/>
      </c>
      <c r="H102" s="105"/>
      <c r="I102" s="299" t="str">
        <f>IFERROR(INDEX('G-7 WaterC'' Data'!$H$4:$L$8,MATCH(D102,'G-7 WaterC'' Data'!$B$4:$B$8,0),MATCH(H102,'G-7 WaterC'' Data'!$H$3:$L$3,0)),"")</f>
        <v/>
      </c>
      <c r="J102" s="702"/>
      <c r="K102" s="295" t="str">
        <f>IF(J102="","",IF(VLOOKUP(J102,'G-7 WaterC'' Data'!$AK$4:$AM$9,2,FALSE)=0,"Spatial Data Missing ⚠",VLOOKUP(J102,'G-7 WaterC'' Data'!$AK$4:$AM$6,2,FALSE)))</f>
        <v/>
      </c>
      <c r="L102" s="299" t="str">
        <f>IF(J102="","",IF(VLOOKUP(J102,'G-7 WaterC'' Data'!$AK$4:$AM$9,3,FALSE)=0,"Spatial Data Missing ⚠",VLOOKUP(J102,'G-7 WaterC'' Data'!$AK$4:$AM$6,3,FALSE)))</f>
        <v/>
      </c>
      <c r="M102" s="102"/>
      <c r="N102" s="276" t="str">
        <f>IF(M102="","",IF(AND(M102="N/A - Culvert",D102&lt;&gt;"Culvert"),"Not possible ▲",IF(AND(D102="Culvert",M102&lt;&gt;"N/A - Culvert"),"Not possible ▲",IF(VLOOKUP(M102,'G-7 WaterC'' Data'!$AA$4:$AB$7,2,FALSE)=0,"Spatial Data Missing ⚠",VLOOKUP(M102,'G-7 WaterC'' Data'!$AA$4:$AB$7,2,FALSE)))))</f>
        <v/>
      </c>
      <c r="O102" s="56"/>
      <c r="P102" s="276" t="str">
        <f>IF(O102="","",IF(AND(O102="N/A - Culvert",D102&lt;&gt;"Culvert"),"Not possible ▲",IF(AND(D102="Culvert",O102&lt;&gt;"N/A - Culvert"),"Not possible ▲",IF(VLOOKUP(O102,'G-7 WaterC'' Data'!$AD$4:$AE$14,2,FALSE)=0,"Spatial Data Missing ⚠",VLOOKUP(O102,'G-7 WaterC'' Data'!$AD$4:$AE$14,2,FALSE)))))</f>
        <v/>
      </c>
      <c r="Q102" s="282" t="str">
        <f>IF(D102="","",VLOOKUP(D102,'G-7 WaterC'' Data'!$B$4:$G$8,6,FALSE))</f>
        <v/>
      </c>
      <c r="R102" s="289" t="str">
        <f t="shared" si="13"/>
        <v xml:space="preserve"> </v>
      </c>
      <c r="S102" s="393"/>
      <c r="T102" s="281" t="str">
        <f>IF(S102="","",IF(VLOOKUP(S102,'G-7 WaterC'' Data'!$AO$4:$BO$7,2,FALSE)=0,"Spatial Data Missing ⚠",VLOOKUP(S102,'G-7 WaterC'' Data'!$AO$4:$BO$7,2,FALSE)))</f>
        <v/>
      </c>
      <c r="U102" s="289" t="str">
        <f t="shared" si="14"/>
        <v xml:space="preserve"> </v>
      </c>
      <c r="V102" s="694" t="str">
        <f t="shared" si="15"/>
        <v/>
      </c>
      <c r="W102" s="32"/>
      <c r="X102" s="101"/>
      <c r="Y102" s="108"/>
      <c r="Z102" s="287" t="str">
        <f t="shared" si="16"/>
        <v/>
      </c>
      <c r="AA102" s="287" t="str">
        <f t="shared" si="17"/>
        <v/>
      </c>
      <c r="AB102" s="287" t="str">
        <f t="shared" si="18"/>
        <v/>
      </c>
      <c r="AC102" s="491" t="str">
        <f>IFERROR(IF(OR(E102="",R102=""),"",IF(AND(AB102&lt;&gt;"",S102=""),"Spatial risk category missing ▲",IF(AND(Q102='G-7 WaterC'' Data'!$G$4,AD102="Yes"),"Alternative Compensation ✓",IF(AND(AD102="Pending",Q102='G-7 WaterC'' Data'!$G$4),"Bespoke compensation must be agreed ▲",IF((Z102+AA102)&gt;=U102,0,U102-Z102-AA102))))),"Check Data ⚠")</f>
        <v/>
      </c>
      <c r="AD102" s="393"/>
      <c r="AE102" s="105"/>
      <c r="AF102" s="104"/>
      <c r="AG102" s="104"/>
      <c r="AH102" s="104"/>
      <c r="AI102" s="54" t="str">
        <f>IF(OR(Q102="",AD102="Yes"),"",IF(Q102='G-1 All Habitats'!$X$9,E102-Y102-X102,"None"))</f>
        <v/>
      </c>
      <c r="AJ102" s="55" t="str">
        <f>IF(Q102="","",IF(Q102='G-1 All Habitats'!$X$9,AI102*G102*I102*L102*N102*P102,"None"))</f>
        <v/>
      </c>
      <c r="AK102" s="30" t="str">
        <f>IFERROR(INDEX('G-7 WaterC'' Data'!$AZ$3:$AZ$7,MATCH(D102,'G-7 WaterC'' Data'!$AY$3:$AY$7,0)),"")</f>
        <v/>
      </c>
      <c r="AL102" s="30">
        <f t="shared" si="19"/>
        <v>0</v>
      </c>
      <c r="AM102" s="107" t="str">
        <f t="shared" si="20"/>
        <v/>
      </c>
      <c r="AN102" s="107" t="str">
        <f t="shared" si="21"/>
        <v/>
      </c>
      <c r="AP102" s="107">
        <v>93</v>
      </c>
      <c r="AR102" s="107" t="str">
        <f t="array" ref="AR102">IFERROR(INDEX($AP$10:$AP$258,MATCH(0,IF(TRUE=$AM$10:$AM$258,COUNTIF($AR$9:$AR101,$AP$10:$AP$258),""),0)),"")</f>
        <v/>
      </c>
      <c r="AS102" s="107" t="str">
        <f t="array" ref="AS102">IFERROR(INDEX($AP$10:$AP$258,MATCH(0,IF(TRUE=$AN$10:$AN$258,COUNTIF($AS$9:$AS101,$AP$10:$AP$258),""),0)),"")</f>
        <v/>
      </c>
      <c r="AT102" s="885" t="str">
        <f>IF(AND(OR(AD102="Yes",AD102="Pending"),Q102='G-7 WaterC'' Data'!$G$4),U102-AA102-Z102,"0")</f>
        <v>0</v>
      </c>
      <c r="AU102" s="30" t="str">
        <f>IF(D102="","",VLOOKUP(D102,'G-7 WaterC'' Data'!B$4:M$8,12,FALSE))</f>
        <v/>
      </c>
      <c r="AV102" s="30" t="str">
        <f t="shared" si="12"/>
        <v/>
      </c>
      <c r="AW102" s="30" t="str">
        <f t="shared" si="22"/>
        <v>No</v>
      </c>
      <c r="BA102" s="555" t="str">
        <f t="shared" si="23"/>
        <v/>
      </c>
    </row>
    <row r="103" spans="3:53" ht="14.5" thickBot="1">
      <c r="C103" s="97">
        <v>94</v>
      </c>
      <c r="D103" s="263"/>
      <c r="E103" s="104"/>
      <c r="F103" s="275" t="str">
        <f>IF(D103="","",VLOOKUP(D103,'G-7 WaterC'' Data'!$B$2:$G$8,2,FALSE))</f>
        <v/>
      </c>
      <c r="G103" s="314" t="str">
        <f>IFERROR(VLOOKUP(F103,'G-7 WaterC'' Data'!$C$4:$D$8,2,FALSE),"")</f>
        <v/>
      </c>
      <c r="H103" s="105"/>
      <c r="I103" s="299" t="str">
        <f>IFERROR(INDEX('G-7 WaterC'' Data'!$H$4:$L$8,MATCH(D103,'G-7 WaterC'' Data'!$B$4:$B$8,0),MATCH(H103,'G-7 WaterC'' Data'!$H$3:$L$3,0)),"")</f>
        <v/>
      </c>
      <c r="J103" s="702"/>
      <c r="K103" s="295" t="str">
        <f>IF(J103="","",IF(VLOOKUP(J103,'G-7 WaterC'' Data'!$AK$4:$AM$9,2,FALSE)=0,"Spatial Data Missing ⚠",VLOOKUP(J103,'G-7 WaterC'' Data'!$AK$4:$AM$6,2,FALSE)))</f>
        <v/>
      </c>
      <c r="L103" s="299" t="str">
        <f>IF(J103="","",IF(VLOOKUP(J103,'G-7 WaterC'' Data'!$AK$4:$AM$9,3,FALSE)=0,"Spatial Data Missing ⚠",VLOOKUP(J103,'G-7 WaterC'' Data'!$AK$4:$AM$6,3,FALSE)))</f>
        <v/>
      </c>
      <c r="M103" s="102"/>
      <c r="N103" s="276" t="str">
        <f>IF(M103="","",IF(AND(M103="N/A - Culvert",D103&lt;&gt;"Culvert"),"Not possible ▲",IF(AND(D103="Culvert",M103&lt;&gt;"N/A - Culvert"),"Not possible ▲",IF(VLOOKUP(M103,'G-7 WaterC'' Data'!$AA$4:$AB$7,2,FALSE)=0,"Spatial Data Missing ⚠",VLOOKUP(M103,'G-7 WaterC'' Data'!$AA$4:$AB$7,2,FALSE)))))</f>
        <v/>
      </c>
      <c r="O103" s="56"/>
      <c r="P103" s="276" t="str">
        <f>IF(O103="","",IF(AND(O103="N/A - Culvert",D103&lt;&gt;"Culvert"),"Not possible ▲",IF(AND(D103="Culvert",O103&lt;&gt;"N/A - Culvert"),"Not possible ▲",IF(VLOOKUP(O103,'G-7 WaterC'' Data'!$AD$4:$AE$14,2,FALSE)=0,"Spatial Data Missing ⚠",VLOOKUP(O103,'G-7 WaterC'' Data'!$AD$4:$AE$14,2,FALSE)))))</f>
        <v/>
      </c>
      <c r="Q103" s="282" t="str">
        <f>IF(D103="","",VLOOKUP(D103,'G-7 WaterC'' Data'!$B$4:$G$8,6,FALSE))</f>
        <v/>
      </c>
      <c r="R103" s="289" t="str">
        <f t="shared" si="13"/>
        <v xml:space="preserve"> </v>
      </c>
      <c r="S103" s="393"/>
      <c r="T103" s="281" t="str">
        <f>IF(S103="","",IF(VLOOKUP(S103,'G-7 WaterC'' Data'!$AO$4:$BO$7,2,FALSE)=0,"Spatial Data Missing ⚠",VLOOKUP(S103,'G-7 WaterC'' Data'!$AO$4:$BO$7,2,FALSE)))</f>
        <v/>
      </c>
      <c r="U103" s="289" t="str">
        <f t="shared" si="14"/>
        <v xml:space="preserve"> </v>
      </c>
      <c r="V103" s="694" t="str">
        <f t="shared" si="15"/>
        <v/>
      </c>
      <c r="W103" s="32"/>
      <c r="X103" s="101"/>
      <c r="Y103" s="108"/>
      <c r="Z103" s="287" t="str">
        <f t="shared" si="16"/>
        <v/>
      </c>
      <c r="AA103" s="287" t="str">
        <f t="shared" si="17"/>
        <v/>
      </c>
      <c r="AB103" s="287" t="str">
        <f t="shared" si="18"/>
        <v/>
      </c>
      <c r="AC103" s="491" t="str">
        <f>IFERROR(IF(OR(E103="",R103=""),"",IF(AND(AB103&lt;&gt;"",S103=""),"Spatial risk category missing ▲",IF(AND(Q103='G-7 WaterC'' Data'!$G$4,AD103="Yes"),"Alternative Compensation ✓",IF(AND(AD103="Pending",Q103='G-7 WaterC'' Data'!$G$4),"Bespoke compensation must be agreed ▲",IF((Z103+AA103)&gt;=U103,0,U103-Z103-AA103))))),"Check Data ⚠")</f>
        <v/>
      </c>
      <c r="AD103" s="393"/>
      <c r="AE103" s="105"/>
      <c r="AF103" s="104"/>
      <c r="AG103" s="104"/>
      <c r="AH103" s="104"/>
      <c r="AI103" s="54" t="str">
        <f>IF(OR(Q103="",AD103="Yes"),"",IF(Q103='G-1 All Habitats'!$X$9,E103-Y103-X103,"None"))</f>
        <v/>
      </c>
      <c r="AJ103" s="55" t="str">
        <f>IF(Q103="","",IF(Q103='G-1 All Habitats'!$X$9,AI103*G103*I103*L103*N103*P103,"None"))</f>
        <v/>
      </c>
      <c r="AK103" s="30" t="str">
        <f>IFERROR(INDEX('G-7 WaterC'' Data'!$AZ$3:$AZ$7,MATCH(D103,'G-7 WaterC'' Data'!$AY$3:$AY$7,0)),"")</f>
        <v/>
      </c>
      <c r="AL103" s="30">
        <f t="shared" si="19"/>
        <v>0</v>
      </c>
      <c r="AM103" s="107" t="str">
        <f t="shared" si="20"/>
        <v/>
      </c>
      <c r="AN103" s="107" t="str">
        <f t="shared" si="21"/>
        <v/>
      </c>
      <c r="AP103" s="107">
        <v>94</v>
      </c>
      <c r="AR103" s="107" t="str">
        <f t="array" ref="AR103">IFERROR(INDEX($AP$10:$AP$258,MATCH(0,IF(TRUE=$AM$10:$AM$258,COUNTIF($AR$9:$AR102,$AP$10:$AP$258),""),0)),"")</f>
        <v/>
      </c>
      <c r="AS103" s="107" t="str">
        <f t="array" ref="AS103">IFERROR(INDEX($AP$10:$AP$258,MATCH(0,IF(TRUE=$AN$10:$AN$258,COUNTIF($AS$9:$AS102,$AP$10:$AP$258),""),0)),"")</f>
        <v/>
      </c>
      <c r="AT103" s="885" t="str">
        <f>IF(AND(OR(AD103="Yes",AD103="Pending"),Q103='G-7 WaterC'' Data'!$G$4),U103-AA103-Z103,"0")</f>
        <v>0</v>
      </c>
      <c r="AU103" s="30" t="str">
        <f>IF(D103="","",VLOOKUP(D103,'G-7 WaterC'' Data'!B$4:M$8,12,FALSE))</f>
        <v/>
      </c>
      <c r="AV103" s="30" t="str">
        <f t="shared" si="12"/>
        <v/>
      </c>
      <c r="AW103" s="30" t="str">
        <f t="shared" si="22"/>
        <v>No</v>
      </c>
      <c r="BA103" s="555" t="str">
        <f t="shared" si="23"/>
        <v/>
      </c>
    </row>
    <row r="104" spans="3:53" ht="14.5" thickBot="1">
      <c r="C104" s="97">
        <v>95</v>
      </c>
      <c r="D104" s="263"/>
      <c r="E104" s="104"/>
      <c r="F104" s="275" t="str">
        <f>IF(D104="","",VLOOKUP(D104,'G-7 WaterC'' Data'!$B$2:$G$8,2,FALSE))</f>
        <v/>
      </c>
      <c r="G104" s="314" t="str">
        <f>IFERROR(VLOOKUP(F104,'G-7 WaterC'' Data'!$C$4:$D$8,2,FALSE),"")</f>
        <v/>
      </c>
      <c r="H104" s="105"/>
      <c r="I104" s="299" t="str">
        <f>IFERROR(INDEX('G-7 WaterC'' Data'!$H$4:$L$8,MATCH(D104,'G-7 WaterC'' Data'!$B$4:$B$8,0),MATCH(H104,'G-7 WaterC'' Data'!$H$3:$L$3,0)),"")</f>
        <v/>
      </c>
      <c r="J104" s="702"/>
      <c r="K104" s="295" t="str">
        <f>IF(J104="","",IF(VLOOKUP(J104,'G-7 WaterC'' Data'!$AK$4:$AM$9,2,FALSE)=0,"Spatial Data Missing ⚠",VLOOKUP(J104,'G-7 WaterC'' Data'!$AK$4:$AM$6,2,FALSE)))</f>
        <v/>
      </c>
      <c r="L104" s="299" t="str">
        <f>IF(J104="","",IF(VLOOKUP(J104,'G-7 WaterC'' Data'!$AK$4:$AM$9,3,FALSE)=0,"Spatial Data Missing ⚠",VLOOKUP(J104,'G-7 WaterC'' Data'!$AK$4:$AM$6,3,FALSE)))</f>
        <v/>
      </c>
      <c r="M104" s="102"/>
      <c r="N104" s="276" t="str">
        <f>IF(M104="","",IF(AND(M104="N/A - Culvert",D104&lt;&gt;"Culvert"),"Not possible ▲",IF(AND(D104="Culvert",M104&lt;&gt;"N/A - Culvert"),"Not possible ▲",IF(VLOOKUP(M104,'G-7 WaterC'' Data'!$AA$4:$AB$7,2,FALSE)=0,"Spatial Data Missing ⚠",VLOOKUP(M104,'G-7 WaterC'' Data'!$AA$4:$AB$7,2,FALSE)))))</f>
        <v/>
      </c>
      <c r="O104" s="56"/>
      <c r="P104" s="276" t="str">
        <f>IF(O104="","",IF(AND(O104="N/A - Culvert",D104&lt;&gt;"Culvert"),"Not possible ▲",IF(AND(D104="Culvert",O104&lt;&gt;"N/A - Culvert"),"Not possible ▲",IF(VLOOKUP(O104,'G-7 WaterC'' Data'!$AD$4:$AE$14,2,FALSE)=0,"Spatial Data Missing ⚠",VLOOKUP(O104,'G-7 WaterC'' Data'!$AD$4:$AE$14,2,FALSE)))))</f>
        <v/>
      </c>
      <c r="Q104" s="282" t="str">
        <f>IF(D104="","",VLOOKUP(D104,'G-7 WaterC'' Data'!$B$4:$G$8,6,FALSE))</f>
        <v/>
      </c>
      <c r="R104" s="289" t="str">
        <f t="shared" si="13"/>
        <v xml:space="preserve"> </v>
      </c>
      <c r="S104" s="393"/>
      <c r="T104" s="281" t="str">
        <f>IF(S104="","",IF(VLOOKUP(S104,'G-7 WaterC'' Data'!$AO$4:$BO$7,2,FALSE)=0,"Spatial Data Missing ⚠",VLOOKUP(S104,'G-7 WaterC'' Data'!$AO$4:$BO$7,2,FALSE)))</f>
        <v/>
      </c>
      <c r="U104" s="289" t="str">
        <f t="shared" si="14"/>
        <v xml:space="preserve"> </v>
      </c>
      <c r="V104" s="694" t="str">
        <f t="shared" si="15"/>
        <v/>
      </c>
      <c r="W104" s="32"/>
      <c r="X104" s="101"/>
      <c r="Y104" s="108"/>
      <c r="Z104" s="287" t="str">
        <f t="shared" si="16"/>
        <v/>
      </c>
      <c r="AA104" s="287" t="str">
        <f t="shared" si="17"/>
        <v/>
      </c>
      <c r="AB104" s="287" t="str">
        <f t="shared" si="18"/>
        <v/>
      </c>
      <c r="AC104" s="491" t="str">
        <f>IFERROR(IF(OR(E104="",R104=""),"",IF(AND(AB104&lt;&gt;"",S104=""),"Spatial risk category missing ▲",IF(AND(Q104='G-7 WaterC'' Data'!$G$4,AD104="Yes"),"Alternative Compensation ✓",IF(AND(AD104="Pending",Q104='G-7 WaterC'' Data'!$G$4),"Bespoke compensation must be agreed ▲",IF((Z104+AA104)&gt;=U104,0,U104-Z104-AA104))))),"Check Data ⚠")</f>
        <v/>
      </c>
      <c r="AD104" s="393"/>
      <c r="AE104" s="105"/>
      <c r="AF104" s="104"/>
      <c r="AG104" s="104"/>
      <c r="AH104" s="104"/>
      <c r="AI104" s="54" t="str">
        <f>IF(OR(Q104="",AD104="Yes"),"",IF(Q104='G-1 All Habitats'!$X$9,E104-Y104-X104,"None"))</f>
        <v/>
      </c>
      <c r="AJ104" s="55" t="str">
        <f>IF(Q104="","",IF(Q104='G-1 All Habitats'!$X$9,AI104*G104*I104*L104*N104*P104,"None"))</f>
        <v/>
      </c>
      <c r="AK104" s="30" t="str">
        <f>IFERROR(INDEX('G-7 WaterC'' Data'!$AZ$3:$AZ$7,MATCH(D104,'G-7 WaterC'' Data'!$AY$3:$AY$7,0)),"")</f>
        <v/>
      </c>
      <c r="AL104" s="30">
        <f t="shared" si="19"/>
        <v>0</v>
      </c>
      <c r="AM104" s="107" t="str">
        <f t="shared" si="20"/>
        <v/>
      </c>
      <c r="AN104" s="107" t="str">
        <f t="shared" si="21"/>
        <v/>
      </c>
      <c r="AP104" s="107">
        <v>95</v>
      </c>
      <c r="AR104" s="107" t="str">
        <f t="array" ref="AR104">IFERROR(INDEX($AP$10:$AP$258,MATCH(0,IF(TRUE=$AM$10:$AM$258,COUNTIF($AR$9:$AR103,$AP$10:$AP$258),""),0)),"")</f>
        <v/>
      </c>
      <c r="AS104" s="107" t="str">
        <f t="array" ref="AS104">IFERROR(INDEX($AP$10:$AP$258,MATCH(0,IF(TRUE=$AN$10:$AN$258,COUNTIF($AS$9:$AS103,$AP$10:$AP$258),""),0)),"")</f>
        <v/>
      </c>
      <c r="AT104" s="885" t="str">
        <f>IF(AND(OR(AD104="Yes",AD104="Pending"),Q104='G-7 WaterC'' Data'!$G$4),U104-AA104-Z104,"0")</f>
        <v>0</v>
      </c>
      <c r="AU104" s="30" t="str">
        <f>IF(D104="","",VLOOKUP(D104,'G-7 WaterC'' Data'!B$4:M$8,12,FALSE))</f>
        <v/>
      </c>
      <c r="AV104" s="30" t="str">
        <f t="shared" si="12"/>
        <v/>
      </c>
      <c r="AW104" s="30" t="str">
        <f t="shared" si="22"/>
        <v>No</v>
      </c>
      <c r="BA104" s="555" t="str">
        <f t="shared" si="23"/>
        <v/>
      </c>
    </row>
    <row r="105" spans="3:53" ht="14.5" thickBot="1">
      <c r="C105" s="97">
        <v>96</v>
      </c>
      <c r="D105" s="263"/>
      <c r="E105" s="104"/>
      <c r="F105" s="275" t="str">
        <f>IF(D105="","",VLOOKUP(D105,'G-7 WaterC'' Data'!$B$2:$G$8,2,FALSE))</f>
        <v/>
      </c>
      <c r="G105" s="314" t="str">
        <f>IFERROR(VLOOKUP(F105,'G-7 WaterC'' Data'!$C$4:$D$8,2,FALSE),"")</f>
        <v/>
      </c>
      <c r="H105" s="105"/>
      <c r="I105" s="299" t="str">
        <f>IFERROR(INDEX('G-7 WaterC'' Data'!$H$4:$L$8,MATCH(D105,'G-7 WaterC'' Data'!$B$4:$B$8,0),MATCH(H105,'G-7 WaterC'' Data'!$H$3:$L$3,0)),"")</f>
        <v/>
      </c>
      <c r="J105" s="702"/>
      <c r="K105" s="295" t="str">
        <f>IF(J105="","",IF(VLOOKUP(J105,'G-7 WaterC'' Data'!$AK$4:$AM$9,2,FALSE)=0,"Spatial Data Missing ⚠",VLOOKUP(J105,'G-7 WaterC'' Data'!$AK$4:$AM$6,2,FALSE)))</f>
        <v/>
      </c>
      <c r="L105" s="299" t="str">
        <f>IF(J105="","",IF(VLOOKUP(J105,'G-7 WaterC'' Data'!$AK$4:$AM$9,3,FALSE)=0,"Spatial Data Missing ⚠",VLOOKUP(J105,'G-7 WaterC'' Data'!$AK$4:$AM$6,3,FALSE)))</f>
        <v/>
      </c>
      <c r="M105" s="102"/>
      <c r="N105" s="276" t="str">
        <f>IF(M105="","",IF(AND(M105="N/A - Culvert",D105&lt;&gt;"Culvert"),"Not possible ▲",IF(AND(D105="Culvert",M105&lt;&gt;"N/A - Culvert"),"Not possible ▲",IF(VLOOKUP(M105,'G-7 WaterC'' Data'!$AA$4:$AB$7,2,FALSE)=0,"Spatial Data Missing ⚠",VLOOKUP(M105,'G-7 WaterC'' Data'!$AA$4:$AB$7,2,FALSE)))))</f>
        <v/>
      </c>
      <c r="O105" s="56"/>
      <c r="P105" s="276" t="str">
        <f>IF(O105="","",IF(AND(O105="N/A - Culvert",D105&lt;&gt;"Culvert"),"Not possible ▲",IF(AND(D105="Culvert",O105&lt;&gt;"N/A - Culvert"),"Not possible ▲",IF(VLOOKUP(O105,'G-7 WaterC'' Data'!$AD$4:$AE$14,2,FALSE)=0,"Spatial Data Missing ⚠",VLOOKUP(O105,'G-7 WaterC'' Data'!$AD$4:$AE$14,2,FALSE)))))</f>
        <v/>
      </c>
      <c r="Q105" s="282" t="str">
        <f>IF(D105="","",VLOOKUP(D105,'G-7 WaterC'' Data'!$B$4:$G$8,6,FALSE))</f>
        <v/>
      </c>
      <c r="R105" s="289" t="str">
        <f t="shared" si="13"/>
        <v xml:space="preserve"> </v>
      </c>
      <c r="S105" s="393"/>
      <c r="T105" s="281" t="str">
        <f>IF(S105="","",IF(VLOOKUP(S105,'G-7 WaterC'' Data'!$AO$4:$BO$7,2,FALSE)=0,"Spatial Data Missing ⚠",VLOOKUP(S105,'G-7 WaterC'' Data'!$AO$4:$BO$7,2,FALSE)))</f>
        <v/>
      </c>
      <c r="U105" s="289" t="str">
        <f t="shared" si="14"/>
        <v xml:space="preserve"> </v>
      </c>
      <c r="V105" s="694" t="str">
        <f t="shared" si="15"/>
        <v/>
      </c>
      <c r="W105" s="32"/>
      <c r="X105" s="101"/>
      <c r="Y105" s="108"/>
      <c r="Z105" s="287" t="str">
        <f t="shared" si="16"/>
        <v/>
      </c>
      <c r="AA105" s="287" t="str">
        <f t="shared" si="17"/>
        <v/>
      </c>
      <c r="AB105" s="287" t="str">
        <f t="shared" si="18"/>
        <v/>
      </c>
      <c r="AC105" s="491" t="str">
        <f>IFERROR(IF(OR(E105="",R105=""),"",IF(AND(AB105&lt;&gt;"",S105=""),"Spatial risk category missing ▲",IF(AND(Q105='G-7 WaterC'' Data'!$G$4,AD105="Yes"),"Alternative Compensation ✓",IF(AND(AD105="Pending",Q105='G-7 WaterC'' Data'!$G$4),"Bespoke compensation must be agreed ▲",IF((Z105+AA105)&gt;=U105,0,U105-Z105-AA105))))),"Check Data ⚠")</f>
        <v/>
      </c>
      <c r="AD105" s="393"/>
      <c r="AE105" s="105"/>
      <c r="AF105" s="104"/>
      <c r="AG105" s="104"/>
      <c r="AH105" s="104"/>
      <c r="AI105" s="54" t="str">
        <f>IF(OR(Q105="",AD105="Yes"),"",IF(Q105='G-1 All Habitats'!$X$9,E105-Y105-X105,"None"))</f>
        <v/>
      </c>
      <c r="AJ105" s="55" t="str">
        <f>IF(Q105="","",IF(Q105='G-1 All Habitats'!$X$9,AI105*G105*I105*L105*N105*P105,"None"))</f>
        <v/>
      </c>
      <c r="AK105" s="30" t="str">
        <f>IFERROR(INDEX('G-7 WaterC'' Data'!$AZ$3:$AZ$7,MATCH(D105,'G-7 WaterC'' Data'!$AY$3:$AY$7,0)),"")</f>
        <v/>
      </c>
      <c r="AL105" s="30">
        <f t="shared" si="19"/>
        <v>0</v>
      </c>
      <c r="AM105" s="107" t="str">
        <f t="shared" si="20"/>
        <v/>
      </c>
      <c r="AN105" s="107" t="str">
        <f t="shared" si="21"/>
        <v/>
      </c>
      <c r="AP105" s="107">
        <v>96</v>
      </c>
      <c r="AR105" s="107" t="str">
        <f t="array" ref="AR105">IFERROR(INDEX($AP$10:$AP$258,MATCH(0,IF(TRUE=$AM$10:$AM$258,COUNTIF($AR$9:$AR104,$AP$10:$AP$258),""),0)),"")</f>
        <v/>
      </c>
      <c r="AS105" s="107" t="str">
        <f t="array" ref="AS105">IFERROR(INDEX($AP$10:$AP$258,MATCH(0,IF(TRUE=$AN$10:$AN$258,COUNTIF($AS$9:$AS104,$AP$10:$AP$258),""),0)),"")</f>
        <v/>
      </c>
      <c r="AT105" s="885" t="str">
        <f>IF(AND(OR(AD105="Yes",AD105="Pending"),Q105='G-7 WaterC'' Data'!$G$4),U105-AA105-Z105,"0")</f>
        <v>0</v>
      </c>
      <c r="AU105" s="30" t="str">
        <f>IF(D105="","",VLOOKUP(D105,'G-7 WaterC'' Data'!B$4:M$8,12,FALSE))</f>
        <v/>
      </c>
      <c r="AV105" s="30" t="str">
        <f t="shared" si="12"/>
        <v/>
      </c>
      <c r="AW105" s="30" t="str">
        <f t="shared" si="22"/>
        <v>No</v>
      </c>
      <c r="BA105" s="555" t="str">
        <f t="shared" si="23"/>
        <v/>
      </c>
    </row>
    <row r="106" spans="3:53" ht="14.5" thickBot="1">
      <c r="C106" s="97">
        <v>97</v>
      </c>
      <c r="D106" s="263"/>
      <c r="E106" s="104"/>
      <c r="F106" s="275" t="str">
        <f>IF(D106="","",VLOOKUP(D106,'G-7 WaterC'' Data'!$B$2:$G$8,2,FALSE))</f>
        <v/>
      </c>
      <c r="G106" s="314" t="str">
        <f>IFERROR(VLOOKUP(F106,'G-7 WaterC'' Data'!$C$4:$D$8,2,FALSE),"")</f>
        <v/>
      </c>
      <c r="H106" s="105"/>
      <c r="I106" s="299" t="str">
        <f>IFERROR(INDEX('G-7 WaterC'' Data'!$H$4:$L$8,MATCH(D106,'G-7 WaterC'' Data'!$B$4:$B$8,0),MATCH(H106,'G-7 WaterC'' Data'!$H$3:$L$3,0)),"")</f>
        <v/>
      </c>
      <c r="J106" s="702"/>
      <c r="K106" s="295" t="str">
        <f>IF(J106="","",IF(VLOOKUP(J106,'G-7 WaterC'' Data'!$AK$4:$AM$9,2,FALSE)=0,"Spatial Data Missing ⚠",VLOOKUP(J106,'G-7 WaterC'' Data'!$AK$4:$AM$6,2,FALSE)))</f>
        <v/>
      </c>
      <c r="L106" s="299" t="str">
        <f>IF(J106="","",IF(VLOOKUP(J106,'G-7 WaterC'' Data'!$AK$4:$AM$9,3,FALSE)=0,"Spatial Data Missing ⚠",VLOOKUP(J106,'G-7 WaterC'' Data'!$AK$4:$AM$6,3,FALSE)))</f>
        <v/>
      </c>
      <c r="M106" s="102"/>
      <c r="N106" s="276" t="str">
        <f>IF(M106="","",IF(AND(M106="N/A - Culvert",D106&lt;&gt;"Culvert"),"Not possible ▲",IF(AND(D106="Culvert",M106&lt;&gt;"N/A - Culvert"),"Not possible ▲",IF(VLOOKUP(M106,'G-7 WaterC'' Data'!$AA$4:$AB$7,2,FALSE)=0,"Spatial Data Missing ⚠",VLOOKUP(M106,'G-7 WaterC'' Data'!$AA$4:$AB$7,2,FALSE)))))</f>
        <v/>
      </c>
      <c r="O106" s="56"/>
      <c r="P106" s="276" t="str">
        <f>IF(O106="","",IF(AND(O106="N/A - Culvert",D106&lt;&gt;"Culvert"),"Not possible ▲",IF(AND(D106="Culvert",O106&lt;&gt;"N/A - Culvert"),"Not possible ▲",IF(VLOOKUP(O106,'G-7 WaterC'' Data'!$AD$4:$AE$14,2,FALSE)=0,"Spatial Data Missing ⚠",VLOOKUP(O106,'G-7 WaterC'' Data'!$AD$4:$AE$14,2,FALSE)))))</f>
        <v/>
      </c>
      <c r="Q106" s="282" t="str">
        <f>IF(D106="","",VLOOKUP(D106,'G-7 WaterC'' Data'!$B$4:$G$8,6,FALSE))</f>
        <v/>
      </c>
      <c r="R106" s="289" t="str">
        <f t="shared" si="13"/>
        <v xml:space="preserve"> </v>
      </c>
      <c r="S106" s="393"/>
      <c r="T106" s="281" t="str">
        <f>IF(S106="","",IF(VLOOKUP(S106,'G-7 WaterC'' Data'!$AO$4:$BO$7,2,FALSE)=0,"Spatial Data Missing ⚠",VLOOKUP(S106,'G-7 WaterC'' Data'!$AO$4:$BO$7,2,FALSE)))</f>
        <v/>
      </c>
      <c r="U106" s="289" t="str">
        <f t="shared" si="14"/>
        <v xml:space="preserve"> </v>
      </c>
      <c r="V106" s="694" t="str">
        <f t="shared" si="15"/>
        <v/>
      </c>
      <c r="W106" s="32"/>
      <c r="X106" s="101"/>
      <c r="Y106" s="108"/>
      <c r="Z106" s="287" t="str">
        <f t="shared" si="16"/>
        <v/>
      </c>
      <c r="AA106" s="287" t="str">
        <f t="shared" si="17"/>
        <v/>
      </c>
      <c r="AB106" s="287" t="str">
        <f t="shared" si="18"/>
        <v/>
      </c>
      <c r="AC106" s="491" t="str">
        <f>IFERROR(IF(OR(E106="",R106=""),"",IF(AND(AB106&lt;&gt;"",S106=""),"Spatial risk category missing ▲",IF(AND(Q106='G-7 WaterC'' Data'!$G$4,AD106="Yes"),"Alternative Compensation ✓",IF(AND(AD106="Pending",Q106='G-7 WaterC'' Data'!$G$4),"Bespoke compensation must be agreed ▲",IF((Z106+AA106)&gt;=U106,0,U106-Z106-AA106))))),"Check Data ⚠")</f>
        <v/>
      </c>
      <c r="AD106" s="393"/>
      <c r="AE106" s="105"/>
      <c r="AF106" s="104"/>
      <c r="AG106" s="104"/>
      <c r="AH106" s="104"/>
      <c r="AI106" s="54" t="str">
        <f>IF(OR(Q106="",AD106="Yes"),"",IF(Q106='G-1 All Habitats'!$X$9,E106-Y106-X106,"None"))</f>
        <v/>
      </c>
      <c r="AJ106" s="55" t="str">
        <f>IF(Q106="","",IF(Q106='G-1 All Habitats'!$X$9,AI106*G106*I106*L106*N106*P106,"None"))</f>
        <v/>
      </c>
      <c r="AK106" s="30" t="str">
        <f>IFERROR(INDEX('G-7 WaterC'' Data'!$AZ$3:$AZ$7,MATCH(D106,'G-7 WaterC'' Data'!$AY$3:$AY$7,0)),"")</f>
        <v/>
      </c>
      <c r="AL106" s="30">
        <f t="shared" si="19"/>
        <v>0</v>
      </c>
      <c r="AM106" s="107" t="str">
        <f t="shared" si="20"/>
        <v/>
      </c>
      <c r="AN106" s="107" t="str">
        <f t="shared" si="21"/>
        <v/>
      </c>
      <c r="AP106" s="107">
        <v>97</v>
      </c>
      <c r="AR106" s="107" t="str">
        <f t="array" ref="AR106">IFERROR(INDEX($AP$10:$AP$258,MATCH(0,IF(TRUE=$AM$10:$AM$258,COUNTIF($AR$9:$AR105,$AP$10:$AP$258),""),0)),"")</f>
        <v/>
      </c>
      <c r="AS106" s="107" t="str">
        <f t="array" ref="AS106">IFERROR(INDEX($AP$10:$AP$258,MATCH(0,IF(TRUE=$AN$10:$AN$258,COUNTIF($AS$9:$AS105,$AP$10:$AP$258),""),0)),"")</f>
        <v/>
      </c>
      <c r="AT106" s="885" t="str">
        <f>IF(AND(OR(AD106="Yes",AD106="Pending"),Q106='G-7 WaterC'' Data'!$G$4),U106-AA106-Z106,"0")</f>
        <v>0</v>
      </c>
      <c r="AU106" s="30" t="str">
        <f>IF(D106="","",VLOOKUP(D106,'G-7 WaterC'' Data'!B$4:M$8,12,FALSE))</f>
        <v/>
      </c>
      <c r="AV106" s="30" t="str">
        <f t="shared" si="12"/>
        <v/>
      </c>
      <c r="AW106" s="30" t="str">
        <f t="shared" si="22"/>
        <v>No</v>
      </c>
      <c r="BA106" s="555" t="str">
        <f t="shared" si="23"/>
        <v/>
      </c>
    </row>
    <row r="107" spans="3:53" ht="14.5" thickBot="1">
      <c r="C107" s="97">
        <v>98</v>
      </c>
      <c r="D107" s="263"/>
      <c r="E107" s="104"/>
      <c r="F107" s="275" t="str">
        <f>IF(D107="","",VLOOKUP(D107,'G-7 WaterC'' Data'!$B$2:$G$8,2,FALSE))</f>
        <v/>
      </c>
      <c r="G107" s="314" t="str">
        <f>IFERROR(VLOOKUP(F107,'G-7 WaterC'' Data'!$C$4:$D$8,2,FALSE),"")</f>
        <v/>
      </c>
      <c r="H107" s="105"/>
      <c r="I107" s="299" t="str">
        <f>IFERROR(INDEX('G-7 WaterC'' Data'!$H$4:$L$8,MATCH(D107,'G-7 WaterC'' Data'!$B$4:$B$8,0),MATCH(H107,'G-7 WaterC'' Data'!$H$3:$L$3,0)),"")</f>
        <v/>
      </c>
      <c r="J107" s="702"/>
      <c r="K107" s="295" t="str">
        <f>IF(J107="","",IF(VLOOKUP(J107,'G-7 WaterC'' Data'!$AK$4:$AM$9,2,FALSE)=0,"Spatial Data Missing ⚠",VLOOKUP(J107,'G-7 WaterC'' Data'!$AK$4:$AM$6,2,FALSE)))</f>
        <v/>
      </c>
      <c r="L107" s="299" t="str">
        <f>IF(J107="","",IF(VLOOKUP(J107,'G-7 WaterC'' Data'!$AK$4:$AM$9,3,FALSE)=0,"Spatial Data Missing ⚠",VLOOKUP(J107,'G-7 WaterC'' Data'!$AK$4:$AM$6,3,FALSE)))</f>
        <v/>
      </c>
      <c r="M107" s="102"/>
      <c r="N107" s="276" t="str">
        <f>IF(M107="","",IF(AND(M107="N/A - Culvert",D107&lt;&gt;"Culvert"),"Not possible ▲",IF(AND(D107="Culvert",M107&lt;&gt;"N/A - Culvert"),"Not possible ▲",IF(VLOOKUP(M107,'G-7 WaterC'' Data'!$AA$4:$AB$7,2,FALSE)=0,"Spatial Data Missing ⚠",VLOOKUP(M107,'G-7 WaterC'' Data'!$AA$4:$AB$7,2,FALSE)))))</f>
        <v/>
      </c>
      <c r="O107" s="56"/>
      <c r="P107" s="276" t="str">
        <f>IF(O107="","",IF(AND(O107="N/A - Culvert",D107&lt;&gt;"Culvert"),"Not possible ▲",IF(AND(D107="Culvert",O107&lt;&gt;"N/A - Culvert"),"Not possible ▲",IF(VLOOKUP(O107,'G-7 WaterC'' Data'!$AD$4:$AE$14,2,FALSE)=0,"Spatial Data Missing ⚠",VLOOKUP(O107,'G-7 WaterC'' Data'!$AD$4:$AE$14,2,FALSE)))))</f>
        <v/>
      </c>
      <c r="Q107" s="282" t="str">
        <f>IF(D107="","",VLOOKUP(D107,'G-7 WaterC'' Data'!$B$4:$G$8,6,FALSE))</f>
        <v/>
      </c>
      <c r="R107" s="289" t="str">
        <f t="shared" si="13"/>
        <v xml:space="preserve"> </v>
      </c>
      <c r="S107" s="393"/>
      <c r="T107" s="281" t="str">
        <f>IF(S107="","",IF(VLOOKUP(S107,'G-7 WaterC'' Data'!$AO$4:$BO$7,2,FALSE)=0,"Spatial Data Missing ⚠",VLOOKUP(S107,'G-7 WaterC'' Data'!$AO$4:$BO$7,2,FALSE)))</f>
        <v/>
      </c>
      <c r="U107" s="289" t="str">
        <f t="shared" si="14"/>
        <v xml:space="preserve"> </v>
      </c>
      <c r="V107" s="694" t="str">
        <f t="shared" si="15"/>
        <v/>
      </c>
      <c r="W107" s="32"/>
      <c r="X107" s="101"/>
      <c r="Y107" s="108"/>
      <c r="Z107" s="287" t="str">
        <f t="shared" si="16"/>
        <v/>
      </c>
      <c r="AA107" s="287" t="str">
        <f t="shared" si="17"/>
        <v/>
      </c>
      <c r="AB107" s="287" t="str">
        <f t="shared" si="18"/>
        <v/>
      </c>
      <c r="AC107" s="491" t="str">
        <f>IFERROR(IF(OR(E107="",R107=""),"",IF(AND(AB107&lt;&gt;"",S107=""),"Spatial risk category missing ▲",IF(AND(Q107='G-7 WaterC'' Data'!$G$4,AD107="Yes"),"Alternative Compensation ✓",IF(AND(AD107="Pending",Q107='G-7 WaterC'' Data'!$G$4),"Bespoke compensation must be agreed ▲",IF((Z107+AA107)&gt;=U107,0,U107-Z107-AA107))))),"Check Data ⚠")</f>
        <v/>
      </c>
      <c r="AD107" s="393"/>
      <c r="AE107" s="105"/>
      <c r="AF107" s="104"/>
      <c r="AG107" s="104"/>
      <c r="AH107" s="104"/>
      <c r="AI107" s="54" t="str">
        <f>IF(OR(Q107="",AD107="Yes"),"",IF(Q107='G-1 All Habitats'!$X$9,E107-Y107-X107,"None"))</f>
        <v/>
      </c>
      <c r="AJ107" s="55" t="str">
        <f>IF(Q107="","",IF(Q107='G-1 All Habitats'!$X$9,AI107*G107*I107*L107*N107*P107,"None"))</f>
        <v/>
      </c>
      <c r="AK107" s="30" t="str">
        <f>IFERROR(INDEX('G-7 WaterC'' Data'!$AZ$3:$AZ$7,MATCH(D107,'G-7 WaterC'' Data'!$AY$3:$AY$7,0)),"")</f>
        <v/>
      </c>
      <c r="AL107" s="30">
        <f t="shared" si="19"/>
        <v>0</v>
      </c>
      <c r="AM107" s="107" t="str">
        <f t="shared" si="20"/>
        <v/>
      </c>
      <c r="AN107" s="107" t="str">
        <f t="shared" si="21"/>
        <v/>
      </c>
      <c r="AP107" s="107">
        <v>98</v>
      </c>
      <c r="AR107" s="107" t="str">
        <f t="array" ref="AR107">IFERROR(INDEX($AP$10:$AP$258,MATCH(0,IF(TRUE=$AM$10:$AM$258,COUNTIF($AR$9:$AR106,$AP$10:$AP$258),""),0)),"")</f>
        <v/>
      </c>
      <c r="AS107" s="107" t="str">
        <f t="array" ref="AS107">IFERROR(INDEX($AP$10:$AP$258,MATCH(0,IF(TRUE=$AN$10:$AN$258,COUNTIF($AS$9:$AS106,$AP$10:$AP$258),""),0)),"")</f>
        <v/>
      </c>
      <c r="AT107" s="885" t="str">
        <f>IF(AND(OR(AD107="Yes",AD107="Pending"),Q107='G-7 WaterC'' Data'!$G$4),U107-AA107-Z107,"0")</f>
        <v>0</v>
      </c>
      <c r="AU107" s="30" t="str">
        <f>IF(D107="","",VLOOKUP(D107,'G-7 WaterC'' Data'!B$4:M$8,12,FALSE))</f>
        <v/>
      </c>
      <c r="AV107" s="30" t="str">
        <f t="shared" si="12"/>
        <v/>
      </c>
      <c r="AW107" s="30" t="str">
        <f t="shared" si="22"/>
        <v>No</v>
      </c>
      <c r="BA107" s="555" t="str">
        <f t="shared" si="23"/>
        <v/>
      </c>
    </row>
    <row r="108" spans="3:53" ht="14.5" thickBot="1">
      <c r="C108" s="97">
        <v>99</v>
      </c>
      <c r="D108" s="263"/>
      <c r="E108" s="104"/>
      <c r="F108" s="275" t="str">
        <f>IF(D108="","",VLOOKUP(D108,'G-7 WaterC'' Data'!$B$2:$G$8,2,FALSE))</f>
        <v/>
      </c>
      <c r="G108" s="314" t="str">
        <f>IFERROR(VLOOKUP(F108,'G-7 WaterC'' Data'!$C$4:$D$8,2,FALSE),"")</f>
        <v/>
      </c>
      <c r="H108" s="105"/>
      <c r="I108" s="299" t="str">
        <f>IFERROR(INDEX('G-7 WaterC'' Data'!$H$4:$L$8,MATCH(D108,'G-7 WaterC'' Data'!$B$4:$B$8,0),MATCH(H108,'G-7 WaterC'' Data'!$H$3:$L$3,0)),"")</f>
        <v/>
      </c>
      <c r="J108" s="702"/>
      <c r="K108" s="295" t="str">
        <f>IF(J108="","",IF(VLOOKUP(J108,'G-7 WaterC'' Data'!$AK$4:$AM$9,2,FALSE)=0,"Spatial Data Missing ⚠",VLOOKUP(J108,'G-7 WaterC'' Data'!$AK$4:$AM$6,2,FALSE)))</f>
        <v/>
      </c>
      <c r="L108" s="299" t="str">
        <f>IF(J108="","",IF(VLOOKUP(J108,'G-7 WaterC'' Data'!$AK$4:$AM$9,3,FALSE)=0,"Spatial Data Missing ⚠",VLOOKUP(J108,'G-7 WaterC'' Data'!$AK$4:$AM$6,3,FALSE)))</f>
        <v/>
      </c>
      <c r="M108" s="102"/>
      <c r="N108" s="276" t="str">
        <f>IF(M108="","",IF(AND(M108="N/A - Culvert",D108&lt;&gt;"Culvert"),"Not possible ▲",IF(AND(D108="Culvert",M108&lt;&gt;"N/A - Culvert"),"Not possible ▲",IF(VLOOKUP(M108,'G-7 WaterC'' Data'!$AA$4:$AB$7,2,FALSE)=0,"Spatial Data Missing ⚠",VLOOKUP(M108,'G-7 WaterC'' Data'!$AA$4:$AB$7,2,FALSE)))))</f>
        <v/>
      </c>
      <c r="O108" s="56"/>
      <c r="P108" s="276" t="str">
        <f>IF(O108="","",IF(AND(O108="N/A - Culvert",D108&lt;&gt;"Culvert"),"Not possible ▲",IF(AND(D108="Culvert",O108&lt;&gt;"N/A - Culvert"),"Not possible ▲",IF(VLOOKUP(O108,'G-7 WaterC'' Data'!$AD$4:$AE$14,2,FALSE)=0,"Spatial Data Missing ⚠",VLOOKUP(O108,'G-7 WaterC'' Data'!$AD$4:$AE$14,2,FALSE)))))</f>
        <v/>
      </c>
      <c r="Q108" s="282" t="str">
        <f>IF(D108="","",VLOOKUP(D108,'G-7 WaterC'' Data'!$B$4:$G$8,6,FALSE))</f>
        <v/>
      </c>
      <c r="R108" s="289" t="str">
        <f t="shared" si="13"/>
        <v xml:space="preserve"> </v>
      </c>
      <c r="S108" s="393"/>
      <c r="T108" s="281" t="str">
        <f>IF(S108="","",IF(VLOOKUP(S108,'G-7 WaterC'' Data'!$AO$4:$BO$7,2,FALSE)=0,"Spatial Data Missing ⚠",VLOOKUP(S108,'G-7 WaterC'' Data'!$AO$4:$BO$7,2,FALSE)))</f>
        <v/>
      </c>
      <c r="U108" s="289" t="str">
        <f t="shared" si="14"/>
        <v xml:space="preserve"> </v>
      </c>
      <c r="V108" s="694" t="str">
        <f t="shared" si="15"/>
        <v/>
      </c>
      <c r="W108" s="32"/>
      <c r="X108" s="101"/>
      <c r="Y108" s="108"/>
      <c r="Z108" s="287" t="str">
        <f t="shared" si="16"/>
        <v/>
      </c>
      <c r="AA108" s="287" t="str">
        <f t="shared" si="17"/>
        <v/>
      </c>
      <c r="AB108" s="287" t="str">
        <f t="shared" si="18"/>
        <v/>
      </c>
      <c r="AC108" s="491" t="str">
        <f>IFERROR(IF(OR(E108="",R108=""),"",IF(AND(AB108&lt;&gt;"",S108=""),"Spatial risk category missing ▲",IF(AND(Q108='G-7 WaterC'' Data'!$G$4,AD108="Yes"),"Alternative Compensation ✓",IF(AND(AD108="Pending",Q108='G-7 WaterC'' Data'!$G$4),"Bespoke compensation must be agreed ▲",IF((Z108+AA108)&gt;=U108,0,U108-Z108-AA108))))),"Check Data ⚠")</f>
        <v/>
      </c>
      <c r="AD108" s="393"/>
      <c r="AE108" s="105"/>
      <c r="AF108" s="104"/>
      <c r="AG108" s="104"/>
      <c r="AH108" s="104"/>
      <c r="AI108" s="54" t="str">
        <f>IF(OR(Q108="",AD108="Yes"),"",IF(Q108='G-1 All Habitats'!$X$9,E108-Y108-X108,"None"))</f>
        <v/>
      </c>
      <c r="AJ108" s="55" t="str">
        <f>IF(Q108="","",IF(Q108='G-1 All Habitats'!$X$9,AI108*G108*I108*L108*N108*P108,"None"))</f>
        <v/>
      </c>
      <c r="AK108" s="30" t="str">
        <f>IFERROR(INDEX('G-7 WaterC'' Data'!$AZ$3:$AZ$7,MATCH(D108,'G-7 WaterC'' Data'!$AY$3:$AY$7,0)),"")</f>
        <v/>
      </c>
      <c r="AL108" s="30">
        <f t="shared" si="19"/>
        <v>0</v>
      </c>
      <c r="AM108" s="107" t="str">
        <f t="shared" si="20"/>
        <v/>
      </c>
      <c r="AN108" s="107" t="str">
        <f t="shared" si="21"/>
        <v/>
      </c>
      <c r="AP108" s="107">
        <v>99</v>
      </c>
      <c r="AR108" s="107" t="str">
        <f t="array" ref="AR108">IFERROR(INDEX($AP$10:$AP$258,MATCH(0,IF(TRUE=$AM$10:$AM$258,COUNTIF($AR$9:$AR107,$AP$10:$AP$258),""),0)),"")</f>
        <v/>
      </c>
      <c r="AS108" s="107" t="str">
        <f t="array" ref="AS108">IFERROR(INDEX($AP$10:$AP$258,MATCH(0,IF(TRUE=$AN$10:$AN$258,COUNTIF($AS$9:$AS107,$AP$10:$AP$258),""),0)),"")</f>
        <v/>
      </c>
      <c r="AT108" s="885" t="str">
        <f>IF(AND(OR(AD108="Yes",AD108="Pending"),Q108='G-7 WaterC'' Data'!$G$4),U108-AA108-Z108,"0")</f>
        <v>0</v>
      </c>
      <c r="AU108" s="30" t="str">
        <f>IF(D108="","",VLOOKUP(D108,'G-7 WaterC'' Data'!B$4:M$8,12,FALSE))</f>
        <v/>
      </c>
      <c r="AV108" s="30" t="str">
        <f t="shared" si="12"/>
        <v/>
      </c>
      <c r="AW108" s="30" t="str">
        <f t="shared" si="22"/>
        <v>No</v>
      </c>
      <c r="BA108" s="555" t="str">
        <f t="shared" si="23"/>
        <v/>
      </c>
    </row>
    <row r="109" spans="3:53" ht="14.5" thickBot="1">
      <c r="C109" s="97">
        <v>100</v>
      </c>
      <c r="D109" s="263"/>
      <c r="E109" s="104"/>
      <c r="F109" s="275" t="str">
        <f>IF(D109="","",VLOOKUP(D109,'G-7 WaterC'' Data'!$B$2:$G$8,2,FALSE))</f>
        <v/>
      </c>
      <c r="G109" s="314" t="str">
        <f>IFERROR(VLOOKUP(F109,'G-7 WaterC'' Data'!$C$4:$D$8,2,FALSE),"")</f>
        <v/>
      </c>
      <c r="H109" s="105"/>
      <c r="I109" s="299" t="str">
        <f>IFERROR(INDEX('G-7 WaterC'' Data'!$H$4:$L$8,MATCH(D109,'G-7 WaterC'' Data'!$B$4:$B$8,0),MATCH(H109,'G-7 WaterC'' Data'!$H$3:$L$3,0)),"")</f>
        <v/>
      </c>
      <c r="J109" s="702"/>
      <c r="K109" s="295" t="str">
        <f>IF(J109="","",IF(VLOOKUP(J109,'G-7 WaterC'' Data'!$AK$4:$AM$9,2,FALSE)=0,"Spatial Data Missing ⚠",VLOOKUP(J109,'G-7 WaterC'' Data'!$AK$4:$AM$6,2,FALSE)))</f>
        <v/>
      </c>
      <c r="L109" s="299" t="str">
        <f>IF(J109="","",IF(VLOOKUP(J109,'G-7 WaterC'' Data'!$AK$4:$AM$9,3,FALSE)=0,"Spatial Data Missing ⚠",VLOOKUP(J109,'G-7 WaterC'' Data'!$AK$4:$AM$6,3,FALSE)))</f>
        <v/>
      </c>
      <c r="M109" s="102"/>
      <c r="N109" s="276" t="str">
        <f>IF(M109="","",IF(AND(M109="N/A - Culvert",D109&lt;&gt;"Culvert"),"Not possible ▲",IF(AND(D109="Culvert",M109&lt;&gt;"N/A - Culvert"),"Not possible ▲",IF(VLOOKUP(M109,'G-7 WaterC'' Data'!$AA$4:$AB$7,2,FALSE)=0,"Spatial Data Missing ⚠",VLOOKUP(M109,'G-7 WaterC'' Data'!$AA$4:$AB$7,2,FALSE)))))</f>
        <v/>
      </c>
      <c r="O109" s="56"/>
      <c r="P109" s="276" t="str">
        <f>IF(O109="","",IF(AND(O109="N/A - Culvert",D109&lt;&gt;"Culvert"),"Not possible ▲",IF(AND(D109="Culvert",O109&lt;&gt;"N/A - Culvert"),"Not possible ▲",IF(VLOOKUP(O109,'G-7 WaterC'' Data'!$AD$4:$AE$14,2,FALSE)=0,"Spatial Data Missing ⚠",VLOOKUP(O109,'G-7 WaterC'' Data'!$AD$4:$AE$14,2,FALSE)))))</f>
        <v/>
      </c>
      <c r="Q109" s="282" t="str">
        <f>IF(D109="","",VLOOKUP(D109,'G-7 WaterC'' Data'!$B$4:$G$8,6,FALSE))</f>
        <v/>
      </c>
      <c r="R109" s="289" t="str">
        <f t="shared" si="13"/>
        <v xml:space="preserve"> </v>
      </c>
      <c r="S109" s="393"/>
      <c r="T109" s="281" t="str">
        <f>IF(S109="","",IF(VLOOKUP(S109,'G-7 WaterC'' Data'!$AO$4:$BO$7,2,FALSE)=0,"Spatial Data Missing ⚠",VLOOKUP(S109,'G-7 WaterC'' Data'!$AO$4:$BO$7,2,FALSE)))</f>
        <v/>
      </c>
      <c r="U109" s="289" t="str">
        <f t="shared" si="14"/>
        <v xml:space="preserve"> </v>
      </c>
      <c r="V109" s="694" t="str">
        <f t="shared" si="15"/>
        <v/>
      </c>
      <c r="W109" s="32"/>
      <c r="X109" s="101"/>
      <c r="Y109" s="108"/>
      <c r="Z109" s="287" t="str">
        <f t="shared" si="16"/>
        <v/>
      </c>
      <c r="AA109" s="287" t="str">
        <f t="shared" si="17"/>
        <v/>
      </c>
      <c r="AB109" s="287" t="str">
        <f t="shared" si="18"/>
        <v/>
      </c>
      <c r="AC109" s="491" t="str">
        <f>IFERROR(IF(OR(E109="",R109=""),"",IF(AND(AB109&lt;&gt;"",S109=""),"Spatial risk category missing ▲",IF(AND(Q109='G-7 WaterC'' Data'!$G$4,AD109="Yes"),"Alternative Compensation ✓",IF(AND(AD109="Pending",Q109='G-7 WaterC'' Data'!$G$4),"Bespoke compensation must be agreed ▲",IF((Z109+AA109)&gt;=U109,0,U109-Z109-AA109))))),"Check Data ⚠")</f>
        <v/>
      </c>
      <c r="AD109" s="393"/>
      <c r="AE109" s="105"/>
      <c r="AF109" s="104"/>
      <c r="AG109" s="104"/>
      <c r="AH109" s="104"/>
      <c r="AI109" s="54" t="str">
        <f>IF(OR(Q109="",AD109="Yes"),"",IF(Q109='G-1 All Habitats'!$X$9,E109-Y109-X109,"None"))</f>
        <v/>
      </c>
      <c r="AJ109" s="55" t="str">
        <f>IF(Q109="","",IF(Q109='G-1 All Habitats'!$X$9,AI109*G109*I109*L109*N109*P109,"None"))</f>
        <v/>
      </c>
      <c r="AK109" s="30" t="str">
        <f>IFERROR(INDEX('G-7 WaterC'' Data'!$AZ$3:$AZ$7,MATCH(D109,'G-7 WaterC'' Data'!$AY$3:$AY$7,0)),"")</f>
        <v/>
      </c>
      <c r="AL109" s="30">
        <f t="shared" si="19"/>
        <v>0</v>
      </c>
      <c r="AM109" s="107" t="str">
        <f t="shared" si="20"/>
        <v/>
      </c>
      <c r="AN109" s="107" t="str">
        <f t="shared" si="21"/>
        <v/>
      </c>
      <c r="AP109" s="107">
        <v>100</v>
      </c>
      <c r="AR109" s="107" t="str">
        <f t="array" ref="AR109">IFERROR(INDEX($AP$10:$AP$258,MATCH(0,IF(TRUE=$AM$10:$AM$258,COUNTIF($AR$9:$AR108,$AP$10:$AP$258),""),0)),"")</f>
        <v/>
      </c>
      <c r="AS109" s="107" t="str">
        <f t="array" ref="AS109">IFERROR(INDEX($AP$10:$AP$258,MATCH(0,IF(TRUE=$AN$10:$AN$258,COUNTIF($AS$9:$AS108,$AP$10:$AP$258),""),0)),"")</f>
        <v/>
      </c>
      <c r="AT109" s="885" t="str">
        <f>IF(AND(OR(AD109="Yes",AD109="Pending"),Q109='G-7 WaterC'' Data'!$G$4),U109-AA109-Z109,"0")</f>
        <v>0</v>
      </c>
      <c r="AU109" s="30" t="str">
        <f>IF(D109="","",VLOOKUP(D109,'G-7 WaterC'' Data'!B$4:M$8,12,FALSE))</f>
        <v/>
      </c>
      <c r="AV109" s="30" t="str">
        <f t="shared" si="12"/>
        <v/>
      </c>
      <c r="AW109" s="30" t="str">
        <f t="shared" si="22"/>
        <v>No</v>
      </c>
      <c r="BA109" s="555" t="str">
        <f t="shared" si="23"/>
        <v/>
      </c>
    </row>
    <row r="110" spans="3:53" ht="14.5" thickBot="1">
      <c r="C110" s="97">
        <v>101</v>
      </c>
      <c r="D110" s="263"/>
      <c r="E110" s="104"/>
      <c r="F110" s="275" t="str">
        <f>IF(D110="","",VLOOKUP(D110,'G-7 WaterC'' Data'!$B$2:$G$8,2,FALSE))</f>
        <v/>
      </c>
      <c r="G110" s="314" t="str">
        <f>IFERROR(VLOOKUP(F110,'G-7 WaterC'' Data'!$C$4:$D$8,2,FALSE),"")</f>
        <v/>
      </c>
      <c r="H110" s="105"/>
      <c r="I110" s="299" t="str">
        <f>IFERROR(INDEX('G-7 WaterC'' Data'!$H$4:$L$8,MATCH(D110,'G-7 WaterC'' Data'!$B$4:$B$8,0),MATCH(H110,'G-7 WaterC'' Data'!$H$3:$L$3,0)),"")</f>
        <v/>
      </c>
      <c r="J110" s="702"/>
      <c r="K110" s="295" t="str">
        <f>IF(J110="","",IF(VLOOKUP(J110,'G-7 WaterC'' Data'!$AK$4:$AM$9,2,FALSE)=0,"Spatial Data Missing ⚠",VLOOKUP(J110,'G-7 WaterC'' Data'!$AK$4:$AM$6,2,FALSE)))</f>
        <v/>
      </c>
      <c r="L110" s="299" t="str">
        <f>IF(J110="","",IF(VLOOKUP(J110,'G-7 WaterC'' Data'!$AK$4:$AM$9,3,FALSE)=0,"Spatial Data Missing ⚠",VLOOKUP(J110,'G-7 WaterC'' Data'!$AK$4:$AM$6,3,FALSE)))</f>
        <v/>
      </c>
      <c r="M110" s="102"/>
      <c r="N110" s="276" t="str">
        <f>IF(M110="","",IF(AND(M110="N/A - Culvert",D110&lt;&gt;"Culvert"),"Not possible ▲",IF(AND(D110="Culvert",M110&lt;&gt;"N/A - Culvert"),"Not possible ▲",IF(VLOOKUP(M110,'G-7 WaterC'' Data'!$AA$4:$AB$7,2,FALSE)=0,"Spatial Data Missing ⚠",VLOOKUP(M110,'G-7 WaterC'' Data'!$AA$4:$AB$7,2,FALSE)))))</f>
        <v/>
      </c>
      <c r="O110" s="56"/>
      <c r="P110" s="276" t="str">
        <f>IF(O110="","",IF(AND(O110="N/A - Culvert",D110&lt;&gt;"Culvert"),"Not possible ▲",IF(AND(D110="Culvert",O110&lt;&gt;"N/A - Culvert"),"Not possible ▲",IF(VLOOKUP(O110,'G-7 WaterC'' Data'!$AD$4:$AE$14,2,FALSE)=0,"Spatial Data Missing ⚠",VLOOKUP(O110,'G-7 WaterC'' Data'!$AD$4:$AE$14,2,FALSE)))))</f>
        <v/>
      </c>
      <c r="Q110" s="282" t="str">
        <f>IF(D110="","",VLOOKUP(D110,'G-7 WaterC'' Data'!$B$4:$G$8,6,FALSE))</f>
        <v/>
      </c>
      <c r="R110" s="289" t="str">
        <f t="shared" si="13"/>
        <v xml:space="preserve"> </v>
      </c>
      <c r="S110" s="393"/>
      <c r="T110" s="281" t="str">
        <f>IF(S110="","",IF(VLOOKUP(S110,'G-7 WaterC'' Data'!$AO$4:$BO$7,2,FALSE)=0,"Spatial Data Missing ⚠",VLOOKUP(S110,'G-7 WaterC'' Data'!$AO$4:$BO$7,2,FALSE)))</f>
        <v/>
      </c>
      <c r="U110" s="289" t="str">
        <f t="shared" si="14"/>
        <v xml:space="preserve"> </v>
      </c>
      <c r="V110" s="694" t="str">
        <f t="shared" si="15"/>
        <v/>
      </c>
      <c r="W110" s="32"/>
      <c r="X110" s="101"/>
      <c r="Y110" s="108"/>
      <c r="Z110" s="287" t="str">
        <f t="shared" si="16"/>
        <v/>
      </c>
      <c r="AA110" s="287" t="str">
        <f t="shared" si="17"/>
        <v/>
      </c>
      <c r="AB110" s="287" t="str">
        <f t="shared" si="18"/>
        <v/>
      </c>
      <c r="AC110" s="491" t="str">
        <f>IFERROR(IF(OR(E110="",R110=""),"",IF(AND(AB110&lt;&gt;"",S110=""),"Spatial risk category missing ▲",IF(AND(Q110='G-7 WaterC'' Data'!$G$4,AD110="Yes"),"Alternative Compensation ✓",IF(AND(AD110="Pending",Q110='G-7 WaterC'' Data'!$G$4),"Bespoke compensation must be agreed ▲",IF((Z110+AA110)&gt;=U110,0,U110-Z110-AA110))))),"Check Data ⚠")</f>
        <v/>
      </c>
      <c r="AD110" s="393"/>
      <c r="AE110" s="105"/>
      <c r="AF110" s="104"/>
      <c r="AG110" s="104"/>
      <c r="AH110" s="104"/>
      <c r="AI110" s="54" t="str">
        <f>IF(OR(Q110="",AD110="Yes"),"",IF(Q110='G-1 All Habitats'!$X$9,E110-Y110-X110,"None"))</f>
        <v/>
      </c>
      <c r="AJ110" s="55" t="str">
        <f>IF(Q110="","",IF(Q110='G-1 All Habitats'!$X$9,AI110*G110*I110*L110*N110*P110,"None"))</f>
        <v/>
      </c>
      <c r="AK110" s="30" t="str">
        <f>IFERROR(INDEX('G-7 WaterC'' Data'!$AZ$3:$AZ$7,MATCH(D110,'G-7 WaterC'' Data'!$AY$3:$AY$7,0)),"")</f>
        <v/>
      </c>
      <c r="AL110" s="30">
        <f t="shared" si="19"/>
        <v>0</v>
      </c>
      <c r="AM110" s="107" t="str">
        <f t="shared" si="20"/>
        <v/>
      </c>
      <c r="AN110" s="107" t="str">
        <f t="shared" si="21"/>
        <v/>
      </c>
      <c r="AP110" s="107">
        <v>101</v>
      </c>
      <c r="AR110" s="107" t="str">
        <f t="array" ref="AR110">IFERROR(INDEX($AP$10:$AP$258,MATCH(0,IF(TRUE=$AM$10:$AM$258,COUNTIF($AR$9:$AR109,$AP$10:$AP$258),""),0)),"")</f>
        <v/>
      </c>
      <c r="AS110" s="107" t="str">
        <f t="array" ref="AS110">IFERROR(INDEX($AP$10:$AP$258,MATCH(0,IF(TRUE=$AN$10:$AN$258,COUNTIF($AS$9:$AS109,$AP$10:$AP$258),""),0)),"")</f>
        <v/>
      </c>
      <c r="AT110" s="885" t="str">
        <f>IF(AND(OR(AD110="Yes",AD110="Pending"),Q110='G-7 WaterC'' Data'!$G$4),U110-AA110-Z110,"0")</f>
        <v>0</v>
      </c>
      <c r="AU110" s="30" t="str">
        <f>IF(D110="","",VLOOKUP(D110,'G-7 WaterC'' Data'!B$4:M$8,12,FALSE))</f>
        <v/>
      </c>
      <c r="AV110" s="30" t="str">
        <f t="shared" si="12"/>
        <v/>
      </c>
      <c r="AW110" s="30" t="str">
        <f t="shared" si="22"/>
        <v>No</v>
      </c>
      <c r="BA110" s="555" t="str">
        <f t="shared" si="23"/>
        <v/>
      </c>
    </row>
    <row r="111" spans="3:53" ht="14.5" thickBot="1">
      <c r="C111" s="97">
        <v>102</v>
      </c>
      <c r="D111" s="263"/>
      <c r="E111" s="104"/>
      <c r="F111" s="275" t="str">
        <f>IF(D111="","",VLOOKUP(D111,'G-7 WaterC'' Data'!$B$2:$G$8,2,FALSE))</f>
        <v/>
      </c>
      <c r="G111" s="314" t="str">
        <f>IFERROR(VLOOKUP(F111,'G-7 WaterC'' Data'!$C$4:$D$8,2,FALSE),"")</f>
        <v/>
      </c>
      <c r="H111" s="105"/>
      <c r="I111" s="299" t="str">
        <f>IFERROR(INDEX('G-7 WaterC'' Data'!$H$4:$L$8,MATCH(D111,'G-7 WaterC'' Data'!$B$4:$B$8,0),MATCH(H111,'G-7 WaterC'' Data'!$H$3:$L$3,0)),"")</f>
        <v/>
      </c>
      <c r="J111" s="702"/>
      <c r="K111" s="295" t="str">
        <f>IF(J111="","",IF(VLOOKUP(J111,'G-7 WaterC'' Data'!$AK$4:$AM$9,2,FALSE)=0,"Spatial Data Missing ⚠",VLOOKUP(J111,'G-7 WaterC'' Data'!$AK$4:$AM$6,2,FALSE)))</f>
        <v/>
      </c>
      <c r="L111" s="299" t="str">
        <f>IF(J111="","",IF(VLOOKUP(J111,'G-7 WaterC'' Data'!$AK$4:$AM$9,3,FALSE)=0,"Spatial Data Missing ⚠",VLOOKUP(J111,'G-7 WaterC'' Data'!$AK$4:$AM$6,3,FALSE)))</f>
        <v/>
      </c>
      <c r="M111" s="102"/>
      <c r="N111" s="276" t="str">
        <f>IF(M111="","",IF(AND(M111="N/A - Culvert",D111&lt;&gt;"Culvert"),"Not possible ▲",IF(AND(D111="Culvert",M111&lt;&gt;"N/A - Culvert"),"Not possible ▲",IF(VLOOKUP(M111,'G-7 WaterC'' Data'!$AA$4:$AB$7,2,FALSE)=0,"Spatial Data Missing ⚠",VLOOKUP(M111,'G-7 WaterC'' Data'!$AA$4:$AB$7,2,FALSE)))))</f>
        <v/>
      </c>
      <c r="O111" s="56"/>
      <c r="P111" s="276" t="str">
        <f>IF(O111="","",IF(AND(O111="N/A - Culvert",D111&lt;&gt;"Culvert"),"Not possible ▲",IF(AND(D111="Culvert",O111&lt;&gt;"N/A - Culvert"),"Not possible ▲",IF(VLOOKUP(O111,'G-7 WaterC'' Data'!$AD$4:$AE$14,2,FALSE)=0,"Spatial Data Missing ⚠",VLOOKUP(O111,'G-7 WaterC'' Data'!$AD$4:$AE$14,2,FALSE)))))</f>
        <v/>
      </c>
      <c r="Q111" s="282" t="str">
        <f>IF(D111="","",VLOOKUP(D111,'G-7 WaterC'' Data'!$B$4:$G$8,6,FALSE))</f>
        <v/>
      </c>
      <c r="R111" s="289" t="str">
        <f t="shared" si="13"/>
        <v xml:space="preserve"> </v>
      </c>
      <c r="S111" s="393"/>
      <c r="T111" s="281" t="str">
        <f>IF(S111="","",IF(VLOOKUP(S111,'G-7 WaterC'' Data'!$AO$4:$BO$7,2,FALSE)=0,"Spatial Data Missing ⚠",VLOOKUP(S111,'G-7 WaterC'' Data'!$AO$4:$BO$7,2,FALSE)))</f>
        <v/>
      </c>
      <c r="U111" s="289" t="str">
        <f t="shared" si="14"/>
        <v xml:space="preserve"> </v>
      </c>
      <c r="V111" s="694" t="str">
        <f t="shared" si="15"/>
        <v/>
      </c>
      <c r="W111" s="32"/>
      <c r="X111" s="101"/>
      <c r="Y111" s="108"/>
      <c r="Z111" s="287" t="str">
        <f t="shared" si="16"/>
        <v/>
      </c>
      <c r="AA111" s="287" t="str">
        <f t="shared" si="17"/>
        <v/>
      </c>
      <c r="AB111" s="287" t="str">
        <f t="shared" si="18"/>
        <v/>
      </c>
      <c r="AC111" s="491" t="str">
        <f>IFERROR(IF(OR(E111="",R111=""),"",IF(AND(AB111&lt;&gt;"",S111=""),"Spatial risk category missing ▲",IF(AND(Q111='G-7 WaterC'' Data'!$G$4,AD111="Yes"),"Alternative Compensation ✓",IF(AND(AD111="Pending",Q111='G-7 WaterC'' Data'!$G$4),"Bespoke compensation must be agreed ▲",IF((Z111+AA111)&gt;=U111,0,U111-Z111-AA111))))),"Check Data ⚠")</f>
        <v/>
      </c>
      <c r="AD111" s="393"/>
      <c r="AE111" s="105"/>
      <c r="AF111" s="104"/>
      <c r="AG111" s="104"/>
      <c r="AH111" s="104"/>
      <c r="AI111" s="54" t="str">
        <f>IF(OR(Q111="",AD111="Yes"),"",IF(Q111='G-1 All Habitats'!$X$9,E111-Y111-X111,"None"))</f>
        <v/>
      </c>
      <c r="AJ111" s="55" t="str">
        <f>IF(Q111="","",IF(Q111='G-1 All Habitats'!$X$9,AI111*G111*I111*L111*N111*P111,"None"))</f>
        <v/>
      </c>
      <c r="AK111" s="30" t="str">
        <f>IFERROR(INDEX('G-7 WaterC'' Data'!$AZ$3:$AZ$7,MATCH(D111,'G-7 WaterC'' Data'!$AY$3:$AY$7,0)),"")</f>
        <v/>
      </c>
      <c r="AL111" s="30">
        <f t="shared" si="19"/>
        <v>0</v>
      </c>
      <c r="AM111" s="107" t="str">
        <f t="shared" si="20"/>
        <v/>
      </c>
      <c r="AN111" s="107" t="str">
        <f t="shared" si="21"/>
        <v/>
      </c>
      <c r="AP111" s="107">
        <v>102</v>
      </c>
      <c r="AR111" s="107" t="str">
        <f t="array" ref="AR111">IFERROR(INDEX($AP$10:$AP$258,MATCH(0,IF(TRUE=$AM$10:$AM$258,COUNTIF($AR$9:$AR110,$AP$10:$AP$258),""),0)),"")</f>
        <v/>
      </c>
      <c r="AS111" s="107" t="str">
        <f t="array" ref="AS111">IFERROR(INDEX($AP$10:$AP$258,MATCH(0,IF(TRUE=$AN$10:$AN$258,COUNTIF($AS$9:$AS110,$AP$10:$AP$258),""),0)),"")</f>
        <v/>
      </c>
      <c r="AT111" s="885" t="str">
        <f>IF(AND(OR(AD111="Yes",AD111="Pending"),Q111='G-7 WaterC'' Data'!$G$4),U111-AA111-Z111,"0")</f>
        <v>0</v>
      </c>
      <c r="AU111" s="30" t="str">
        <f>IF(D111="","",VLOOKUP(D111,'G-7 WaterC'' Data'!B$4:M$8,12,FALSE))</f>
        <v/>
      </c>
      <c r="AV111" s="30" t="str">
        <f t="shared" si="12"/>
        <v/>
      </c>
      <c r="AW111" s="30" t="str">
        <f t="shared" si="22"/>
        <v>No</v>
      </c>
      <c r="BA111" s="555" t="str">
        <f t="shared" si="23"/>
        <v/>
      </c>
    </row>
    <row r="112" spans="3:53" ht="14.5" thickBot="1">
      <c r="C112" s="97">
        <v>103</v>
      </c>
      <c r="D112" s="263"/>
      <c r="E112" s="104"/>
      <c r="F112" s="275" t="str">
        <f>IF(D112="","",VLOOKUP(D112,'G-7 WaterC'' Data'!$B$2:$G$8,2,FALSE))</f>
        <v/>
      </c>
      <c r="G112" s="314" t="str">
        <f>IFERROR(VLOOKUP(F112,'G-7 WaterC'' Data'!$C$4:$D$8,2,FALSE),"")</f>
        <v/>
      </c>
      <c r="H112" s="105"/>
      <c r="I112" s="299" t="str">
        <f>IFERROR(INDEX('G-7 WaterC'' Data'!$H$4:$L$8,MATCH(D112,'G-7 WaterC'' Data'!$B$4:$B$8,0),MATCH(H112,'G-7 WaterC'' Data'!$H$3:$L$3,0)),"")</f>
        <v/>
      </c>
      <c r="J112" s="702"/>
      <c r="K112" s="295" t="str">
        <f>IF(J112="","",IF(VLOOKUP(J112,'G-7 WaterC'' Data'!$AK$4:$AM$9,2,FALSE)=0,"Spatial Data Missing ⚠",VLOOKUP(J112,'G-7 WaterC'' Data'!$AK$4:$AM$6,2,FALSE)))</f>
        <v/>
      </c>
      <c r="L112" s="299" t="str">
        <f>IF(J112="","",IF(VLOOKUP(J112,'G-7 WaterC'' Data'!$AK$4:$AM$9,3,FALSE)=0,"Spatial Data Missing ⚠",VLOOKUP(J112,'G-7 WaterC'' Data'!$AK$4:$AM$6,3,FALSE)))</f>
        <v/>
      </c>
      <c r="M112" s="102"/>
      <c r="N112" s="276" t="str">
        <f>IF(M112="","",IF(AND(M112="N/A - Culvert",D112&lt;&gt;"Culvert"),"Not possible ▲",IF(AND(D112="Culvert",M112&lt;&gt;"N/A - Culvert"),"Not possible ▲",IF(VLOOKUP(M112,'G-7 WaterC'' Data'!$AA$4:$AB$7,2,FALSE)=0,"Spatial Data Missing ⚠",VLOOKUP(M112,'G-7 WaterC'' Data'!$AA$4:$AB$7,2,FALSE)))))</f>
        <v/>
      </c>
      <c r="O112" s="56"/>
      <c r="P112" s="276" t="str">
        <f>IF(O112="","",IF(AND(O112="N/A - Culvert",D112&lt;&gt;"Culvert"),"Not possible ▲",IF(AND(D112="Culvert",O112&lt;&gt;"N/A - Culvert"),"Not possible ▲",IF(VLOOKUP(O112,'G-7 WaterC'' Data'!$AD$4:$AE$14,2,FALSE)=0,"Spatial Data Missing ⚠",VLOOKUP(O112,'G-7 WaterC'' Data'!$AD$4:$AE$14,2,FALSE)))))</f>
        <v/>
      </c>
      <c r="Q112" s="282" t="str">
        <f>IF(D112="","",VLOOKUP(D112,'G-7 WaterC'' Data'!$B$4:$G$8,6,FALSE))</f>
        <v/>
      </c>
      <c r="R112" s="289" t="str">
        <f t="shared" si="13"/>
        <v xml:space="preserve"> </v>
      </c>
      <c r="S112" s="393"/>
      <c r="T112" s="281" t="str">
        <f>IF(S112="","",IF(VLOOKUP(S112,'G-7 WaterC'' Data'!$AO$4:$BO$7,2,FALSE)=0,"Spatial Data Missing ⚠",VLOOKUP(S112,'G-7 WaterC'' Data'!$AO$4:$BO$7,2,FALSE)))</f>
        <v/>
      </c>
      <c r="U112" s="289" t="str">
        <f t="shared" si="14"/>
        <v xml:space="preserve"> </v>
      </c>
      <c r="V112" s="694" t="str">
        <f t="shared" si="15"/>
        <v/>
      </c>
      <c r="W112" s="32"/>
      <c r="X112" s="101"/>
      <c r="Y112" s="108"/>
      <c r="Z112" s="287" t="str">
        <f t="shared" si="16"/>
        <v/>
      </c>
      <c r="AA112" s="287" t="str">
        <f t="shared" si="17"/>
        <v/>
      </c>
      <c r="AB112" s="287" t="str">
        <f t="shared" si="18"/>
        <v/>
      </c>
      <c r="AC112" s="491" t="str">
        <f>IFERROR(IF(OR(E112="",R112=""),"",IF(AND(AB112&lt;&gt;"",S112=""),"Spatial risk category missing ▲",IF(AND(Q112='G-7 WaterC'' Data'!$G$4,AD112="Yes"),"Alternative Compensation ✓",IF(AND(AD112="Pending",Q112='G-7 WaterC'' Data'!$G$4),"Bespoke compensation must be agreed ▲",IF((Z112+AA112)&gt;=U112,0,U112-Z112-AA112))))),"Check Data ⚠")</f>
        <v/>
      </c>
      <c r="AD112" s="393"/>
      <c r="AE112" s="105"/>
      <c r="AF112" s="104"/>
      <c r="AG112" s="104"/>
      <c r="AH112" s="104"/>
      <c r="AI112" s="54" t="str">
        <f>IF(OR(Q112="",AD112="Yes"),"",IF(Q112='G-1 All Habitats'!$X$9,E112-Y112-X112,"None"))</f>
        <v/>
      </c>
      <c r="AJ112" s="55" t="str">
        <f>IF(Q112="","",IF(Q112='G-1 All Habitats'!$X$9,AI112*G112*I112*L112*N112*P112,"None"))</f>
        <v/>
      </c>
      <c r="AK112" s="30" t="str">
        <f>IFERROR(INDEX('G-7 WaterC'' Data'!$AZ$3:$AZ$7,MATCH(D112,'G-7 WaterC'' Data'!$AY$3:$AY$7,0)),"")</f>
        <v/>
      </c>
      <c r="AL112" s="30">
        <f t="shared" si="19"/>
        <v>0</v>
      </c>
      <c r="AM112" s="107" t="str">
        <f t="shared" si="20"/>
        <v/>
      </c>
      <c r="AN112" s="107" t="str">
        <f t="shared" si="21"/>
        <v/>
      </c>
      <c r="AP112" s="107">
        <v>103</v>
      </c>
      <c r="AR112" s="107" t="str">
        <f t="array" ref="AR112">IFERROR(INDEX($AP$10:$AP$258,MATCH(0,IF(TRUE=$AM$10:$AM$258,COUNTIF($AR$9:$AR111,$AP$10:$AP$258),""),0)),"")</f>
        <v/>
      </c>
      <c r="AS112" s="107" t="str">
        <f t="array" ref="AS112">IFERROR(INDEX($AP$10:$AP$258,MATCH(0,IF(TRUE=$AN$10:$AN$258,COUNTIF($AS$9:$AS111,$AP$10:$AP$258),""),0)),"")</f>
        <v/>
      </c>
      <c r="AT112" s="885" t="str">
        <f>IF(AND(OR(AD112="Yes",AD112="Pending"),Q112='G-7 WaterC'' Data'!$G$4),U112-AA112-Z112,"0")</f>
        <v>0</v>
      </c>
      <c r="AU112" s="30" t="str">
        <f>IF(D112="","",VLOOKUP(D112,'G-7 WaterC'' Data'!B$4:M$8,12,FALSE))</f>
        <v/>
      </c>
      <c r="AV112" s="30" t="str">
        <f t="shared" si="12"/>
        <v/>
      </c>
      <c r="AW112" s="30" t="str">
        <f t="shared" si="22"/>
        <v>No</v>
      </c>
      <c r="BA112" s="555" t="str">
        <f t="shared" si="23"/>
        <v/>
      </c>
    </row>
    <row r="113" spans="3:53" ht="14.5" thickBot="1">
      <c r="C113" s="97">
        <v>104</v>
      </c>
      <c r="D113" s="263"/>
      <c r="E113" s="104"/>
      <c r="F113" s="275" t="str">
        <f>IF(D113="","",VLOOKUP(D113,'G-7 WaterC'' Data'!$B$2:$G$8,2,FALSE))</f>
        <v/>
      </c>
      <c r="G113" s="314" t="str">
        <f>IFERROR(VLOOKUP(F113,'G-7 WaterC'' Data'!$C$4:$D$8,2,FALSE),"")</f>
        <v/>
      </c>
      <c r="H113" s="105"/>
      <c r="I113" s="299" t="str">
        <f>IFERROR(INDEX('G-7 WaterC'' Data'!$H$4:$L$8,MATCH(D113,'G-7 WaterC'' Data'!$B$4:$B$8,0),MATCH(H113,'G-7 WaterC'' Data'!$H$3:$L$3,0)),"")</f>
        <v/>
      </c>
      <c r="J113" s="702"/>
      <c r="K113" s="295" t="str">
        <f>IF(J113="","",IF(VLOOKUP(J113,'G-7 WaterC'' Data'!$AK$4:$AM$9,2,FALSE)=0,"Spatial Data Missing ⚠",VLOOKUP(J113,'G-7 WaterC'' Data'!$AK$4:$AM$6,2,FALSE)))</f>
        <v/>
      </c>
      <c r="L113" s="299" t="str">
        <f>IF(J113="","",IF(VLOOKUP(J113,'G-7 WaterC'' Data'!$AK$4:$AM$9,3,FALSE)=0,"Spatial Data Missing ⚠",VLOOKUP(J113,'G-7 WaterC'' Data'!$AK$4:$AM$6,3,FALSE)))</f>
        <v/>
      </c>
      <c r="M113" s="102"/>
      <c r="N113" s="276" t="str">
        <f>IF(M113="","",IF(AND(M113="N/A - Culvert",D113&lt;&gt;"Culvert"),"Not possible ▲",IF(AND(D113="Culvert",M113&lt;&gt;"N/A - Culvert"),"Not possible ▲",IF(VLOOKUP(M113,'G-7 WaterC'' Data'!$AA$4:$AB$7,2,FALSE)=0,"Spatial Data Missing ⚠",VLOOKUP(M113,'G-7 WaterC'' Data'!$AA$4:$AB$7,2,FALSE)))))</f>
        <v/>
      </c>
      <c r="O113" s="56"/>
      <c r="P113" s="276" t="str">
        <f>IF(O113="","",IF(AND(O113="N/A - Culvert",D113&lt;&gt;"Culvert"),"Not possible ▲",IF(AND(D113="Culvert",O113&lt;&gt;"N/A - Culvert"),"Not possible ▲",IF(VLOOKUP(O113,'G-7 WaterC'' Data'!$AD$4:$AE$14,2,FALSE)=0,"Spatial Data Missing ⚠",VLOOKUP(O113,'G-7 WaterC'' Data'!$AD$4:$AE$14,2,FALSE)))))</f>
        <v/>
      </c>
      <c r="Q113" s="282" t="str">
        <f>IF(D113="","",VLOOKUP(D113,'G-7 WaterC'' Data'!$B$4:$G$8,6,FALSE))</f>
        <v/>
      </c>
      <c r="R113" s="289" t="str">
        <f t="shared" si="13"/>
        <v xml:space="preserve"> </v>
      </c>
      <c r="S113" s="393"/>
      <c r="T113" s="281" t="str">
        <f>IF(S113="","",IF(VLOOKUP(S113,'G-7 WaterC'' Data'!$AO$4:$BO$7,2,FALSE)=0,"Spatial Data Missing ⚠",VLOOKUP(S113,'G-7 WaterC'' Data'!$AO$4:$BO$7,2,FALSE)))</f>
        <v/>
      </c>
      <c r="U113" s="289" t="str">
        <f t="shared" si="14"/>
        <v xml:space="preserve"> </v>
      </c>
      <c r="V113" s="694" t="str">
        <f t="shared" si="15"/>
        <v/>
      </c>
      <c r="W113" s="32"/>
      <c r="X113" s="101"/>
      <c r="Y113" s="108"/>
      <c r="Z113" s="287" t="str">
        <f t="shared" si="16"/>
        <v/>
      </c>
      <c r="AA113" s="287" t="str">
        <f t="shared" si="17"/>
        <v/>
      </c>
      <c r="AB113" s="287" t="str">
        <f t="shared" si="18"/>
        <v/>
      </c>
      <c r="AC113" s="491" t="str">
        <f>IFERROR(IF(OR(E113="",R113=""),"",IF(AND(AB113&lt;&gt;"",S113=""),"Spatial risk category missing ▲",IF(AND(Q113='G-7 WaterC'' Data'!$G$4,AD113="Yes"),"Alternative Compensation ✓",IF(AND(AD113="Pending",Q113='G-7 WaterC'' Data'!$G$4),"Bespoke compensation must be agreed ▲",IF((Z113+AA113)&gt;=U113,0,U113-Z113-AA113))))),"Check Data ⚠")</f>
        <v/>
      </c>
      <c r="AD113" s="393"/>
      <c r="AE113" s="105"/>
      <c r="AF113" s="104"/>
      <c r="AG113" s="104"/>
      <c r="AH113" s="104"/>
      <c r="AI113" s="54" t="str">
        <f>IF(OR(Q113="",AD113="Yes"),"",IF(Q113='G-1 All Habitats'!$X$9,E113-Y113-X113,"None"))</f>
        <v/>
      </c>
      <c r="AJ113" s="55" t="str">
        <f>IF(Q113="","",IF(Q113='G-1 All Habitats'!$X$9,AI113*G113*I113*L113*N113*P113,"None"))</f>
        <v/>
      </c>
      <c r="AK113" s="30" t="str">
        <f>IFERROR(INDEX('G-7 WaterC'' Data'!$AZ$3:$AZ$7,MATCH(D113,'G-7 WaterC'' Data'!$AY$3:$AY$7,0)),"")</f>
        <v/>
      </c>
      <c r="AL113" s="30">
        <f t="shared" si="19"/>
        <v>0</v>
      </c>
      <c r="AM113" s="107" t="str">
        <f t="shared" si="20"/>
        <v/>
      </c>
      <c r="AN113" s="107" t="str">
        <f t="shared" si="21"/>
        <v/>
      </c>
      <c r="AP113" s="107">
        <v>104</v>
      </c>
      <c r="AR113" s="107" t="str">
        <f t="array" ref="AR113">IFERROR(INDEX($AP$10:$AP$258,MATCH(0,IF(TRUE=$AM$10:$AM$258,COUNTIF($AR$9:$AR112,$AP$10:$AP$258),""),0)),"")</f>
        <v/>
      </c>
      <c r="AS113" s="107" t="str">
        <f t="array" ref="AS113">IFERROR(INDEX($AP$10:$AP$258,MATCH(0,IF(TRUE=$AN$10:$AN$258,COUNTIF($AS$9:$AS112,$AP$10:$AP$258),""),0)),"")</f>
        <v/>
      </c>
      <c r="AT113" s="885" t="str">
        <f>IF(AND(OR(AD113="Yes",AD113="Pending"),Q113='G-7 WaterC'' Data'!$G$4),U113-AA113-Z113,"0")</f>
        <v>0</v>
      </c>
      <c r="AU113" s="30" t="str">
        <f>IF(D113="","",VLOOKUP(D113,'G-7 WaterC'' Data'!B$4:M$8,12,FALSE))</f>
        <v/>
      </c>
      <c r="AV113" s="30" t="str">
        <f t="shared" si="12"/>
        <v/>
      </c>
      <c r="AW113" s="30" t="str">
        <f t="shared" si="22"/>
        <v>No</v>
      </c>
      <c r="BA113" s="555" t="str">
        <f t="shared" si="23"/>
        <v/>
      </c>
    </row>
    <row r="114" spans="3:53" ht="14.5" thickBot="1">
      <c r="C114" s="97">
        <v>105</v>
      </c>
      <c r="D114" s="263"/>
      <c r="E114" s="104"/>
      <c r="F114" s="275" t="str">
        <f>IF(D114="","",VLOOKUP(D114,'G-7 WaterC'' Data'!$B$2:$G$8,2,FALSE))</f>
        <v/>
      </c>
      <c r="G114" s="314" t="str">
        <f>IFERROR(VLOOKUP(F114,'G-7 WaterC'' Data'!$C$4:$D$8,2,FALSE),"")</f>
        <v/>
      </c>
      <c r="H114" s="105"/>
      <c r="I114" s="299" t="str">
        <f>IFERROR(INDEX('G-7 WaterC'' Data'!$H$4:$L$8,MATCH(D114,'G-7 WaterC'' Data'!$B$4:$B$8,0),MATCH(H114,'G-7 WaterC'' Data'!$H$3:$L$3,0)),"")</f>
        <v/>
      </c>
      <c r="J114" s="702"/>
      <c r="K114" s="295" t="str">
        <f>IF(J114="","",IF(VLOOKUP(J114,'G-7 WaterC'' Data'!$AK$4:$AM$9,2,FALSE)=0,"Spatial Data Missing ⚠",VLOOKUP(J114,'G-7 WaterC'' Data'!$AK$4:$AM$6,2,FALSE)))</f>
        <v/>
      </c>
      <c r="L114" s="299" t="str">
        <f>IF(J114="","",IF(VLOOKUP(J114,'G-7 WaterC'' Data'!$AK$4:$AM$9,3,FALSE)=0,"Spatial Data Missing ⚠",VLOOKUP(J114,'G-7 WaterC'' Data'!$AK$4:$AM$6,3,FALSE)))</f>
        <v/>
      </c>
      <c r="M114" s="102"/>
      <c r="N114" s="276" t="str">
        <f>IF(M114="","",IF(AND(M114="N/A - Culvert",D114&lt;&gt;"Culvert"),"Not possible ▲",IF(AND(D114="Culvert",M114&lt;&gt;"N/A - Culvert"),"Not possible ▲",IF(VLOOKUP(M114,'G-7 WaterC'' Data'!$AA$4:$AB$7,2,FALSE)=0,"Spatial Data Missing ⚠",VLOOKUP(M114,'G-7 WaterC'' Data'!$AA$4:$AB$7,2,FALSE)))))</f>
        <v/>
      </c>
      <c r="O114" s="56"/>
      <c r="P114" s="276" t="str">
        <f>IF(O114="","",IF(AND(O114="N/A - Culvert",D114&lt;&gt;"Culvert"),"Not possible ▲",IF(AND(D114="Culvert",O114&lt;&gt;"N/A - Culvert"),"Not possible ▲",IF(VLOOKUP(O114,'G-7 WaterC'' Data'!$AD$4:$AE$14,2,FALSE)=0,"Spatial Data Missing ⚠",VLOOKUP(O114,'G-7 WaterC'' Data'!$AD$4:$AE$14,2,FALSE)))))</f>
        <v/>
      </c>
      <c r="Q114" s="282" t="str">
        <f>IF(D114="","",VLOOKUP(D114,'G-7 WaterC'' Data'!$B$4:$G$8,6,FALSE))</f>
        <v/>
      </c>
      <c r="R114" s="289" t="str">
        <f t="shared" si="13"/>
        <v xml:space="preserve"> </v>
      </c>
      <c r="S114" s="393"/>
      <c r="T114" s="281" t="str">
        <f>IF(S114="","",IF(VLOOKUP(S114,'G-7 WaterC'' Data'!$AO$4:$BO$7,2,FALSE)=0,"Spatial Data Missing ⚠",VLOOKUP(S114,'G-7 WaterC'' Data'!$AO$4:$BO$7,2,FALSE)))</f>
        <v/>
      </c>
      <c r="U114" s="289" t="str">
        <f t="shared" si="14"/>
        <v xml:space="preserve"> </v>
      </c>
      <c r="V114" s="694" t="str">
        <f t="shared" si="15"/>
        <v/>
      </c>
      <c r="W114" s="32"/>
      <c r="X114" s="101"/>
      <c r="Y114" s="108"/>
      <c r="Z114" s="287" t="str">
        <f t="shared" si="16"/>
        <v/>
      </c>
      <c r="AA114" s="287" t="str">
        <f t="shared" si="17"/>
        <v/>
      </c>
      <c r="AB114" s="287" t="str">
        <f t="shared" si="18"/>
        <v/>
      </c>
      <c r="AC114" s="491" t="str">
        <f>IFERROR(IF(OR(E114="",R114=""),"",IF(AND(AB114&lt;&gt;"",S114=""),"Spatial risk category missing ▲",IF(AND(Q114='G-7 WaterC'' Data'!$G$4,AD114="Yes"),"Alternative Compensation ✓",IF(AND(AD114="Pending",Q114='G-7 WaterC'' Data'!$G$4),"Bespoke compensation must be agreed ▲",IF((Z114+AA114)&gt;=U114,0,U114-Z114-AA114))))),"Check Data ⚠")</f>
        <v/>
      </c>
      <c r="AD114" s="393"/>
      <c r="AE114" s="105"/>
      <c r="AF114" s="104"/>
      <c r="AG114" s="104"/>
      <c r="AH114" s="104"/>
      <c r="AI114" s="54" t="str">
        <f>IF(OR(Q114="",AD114="Yes"),"",IF(Q114='G-1 All Habitats'!$X$9,E114-Y114-X114,"None"))</f>
        <v/>
      </c>
      <c r="AJ114" s="55" t="str">
        <f>IF(Q114="","",IF(Q114='G-1 All Habitats'!$X$9,AI114*G114*I114*L114*N114*P114,"None"))</f>
        <v/>
      </c>
      <c r="AK114" s="30" t="str">
        <f>IFERROR(INDEX('G-7 WaterC'' Data'!$AZ$3:$AZ$7,MATCH(D114,'G-7 WaterC'' Data'!$AY$3:$AY$7,0)),"")</f>
        <v/>
      </c>
      <c r="AL114" s="30">
        <f t="shared" si="19"/>
        <v>0</v>
      </c>
      <c r="AM114" s="107" t="str">
        <f t="shared" si="20"/>
        <v/>
      </c>
      <c r="AN114" s="107" t="str">
        <f t="shared" si="21"/>
        <v/>
      </c>
      <c r="AP114" s="107">
        <v>105</v>
      </c>
      <c r="AR114" s="107" t="str">
        <f t="array" ref="AR114">IFERROR(INDEX($AP$10:$AP$258,MATCH(0,IF(TRUE=$AM$10:$AM$258,COUNTIF($AR$9:$AR113,$AP$10:$AP$258),""),0)),"")</f>
        <v/>
      </c>
      <c r="AS114" s="107" t="str">
        <f t="array" ref="AS114">IFERROR(INDEX($AP$10:$AP$258,MATCH(0,IF(TRUE=$AN$10:$AN$258,COUNTIF($AS$9:$AS113,$AP$10:$AP$258),""),0)),"")</f>
        <v/>
      </c>
      <c r="AT114" s="885" t="str">
        <f>IF(AND(OR(AD114="Yes",AD114="Pending"),Q114='G-7 WaterC'' Data'!$G$4),U114-AA114-Z114,"0")</f>
        <v>0</v>
      </c>
      <c r="AU114" s="30" t="str">
        <f>IF(D114="","",VLOOKUP(D114,'G-7 WaterC'' Data'!B$4:M$8,12,FALSE))</f>
        <v/>
      </c>
      <c r="AV114" s="30" t="str">
        <f t="shared" si="12"/>
        <v/>
      </c>
      <c r="AW114" s="30" t="str">
        <f t="shared" si="22"/>
        <v>No</v>
      </c>
      <c r="BA114" s="555" t="str">
        <f t="shared" si="23"/>
        <v/>
      </c>
    </row>
    <row r="115" spans="3:53" ht="14.5" thickBot="1">
      <c r="C115" s="97">
        <v>106</v>
      </c>
      <c r="D115" s="263"/>
      <c r="E115" s="104"/>
      <c r="F115" s="275" t="str">
        <f>IF(D115="","",VLOOKUP(D115,'G-7 WaterC'' Data'!$B$2:$G$8,2,FALSE))</f>
        <v/>
      </c>
      <c r="G115" s="314" t="str">
        <f>IFERROR(VLOOKUP(F115,'G-7 WaterC'' Data'!$C$4:$D$8,2,FALSE),"")</f>
        <v/>
      </c>
      <c r="H115" s="105"/>
      <c r="I115" s="299" t="str">
        <f>IFERROR(INDEX('G-7 WaterC'' Data'!$H$4:$L$8,MATCH(D115,'G-7 WaterC'' Data'!$B$4:$B$8,0),MATCH(H115,'G-7 WaterC'' Data'!$H$3:$L$3,0)),"")</f>
        <v/>
      </c>
      <c r="J115" s="702"/>
      <c r="K115" s="295" t="str">
        <f>IF(J115="","",IF(VLOOKUP(J115,'G-7 WaterC'' Data'!$AK$4:$AM$9,2,FALSE)=0,"Spatial Data Missing ⚠",VLOOKUP(J115,'G-7 WaterC'' Data'!$AK$4:$AM$6,2,FALSE)))</f>
        <v/>
      </c>
      <c r="L115" s="299" t="str">
        <f>IF(J115="","",IF(VLOOKUP(J115,'G-7 WaterC'' Data'!$AK$4:$AM$9,3,FALSE)=0,"Spatial Data Missing ⚠",VLOOKUP(J115,'G-7 WaterC'' Data'!$AK$4:$AM$6,3,FALSE)))</f>
        <v/>
      </c>
      <c r="M115" s="102"/>
      <c r="N115" s="276" t="str">
        <f>IF(M115="","",IF(AND(M115="N/A - Culvert",D115&lt;&gt;"Culvert"),"Not possible ▲",IF(AND(D115="Culvert",M115&lt;&gt;"N/A - Culvert"),"Not possible ▲",IF(VLOOKUP(M115,'G-7 WaterC'' Data'!$AA$4:$AB$7,2,FALSE)=0,"Spatial Data Missing ⚠",VLOOKUP(M115,'G-7 WaterC'' Data'!$AA$4:$AB$7,2,FALSE)))))</f>
        <v/>
      </c>
      <c r="O115" s="56"/>
      <c r="P115" s="276" t="str">
        <f>IF(O115="","",IF(AND(O115="N/A - Culvert",D115&lt;&gt;"Culvert"),"Not possible ▲",IF(AND(D115="Culvert",O115&lt;&gt;"N/A - Culvert"),"Not possible ▲",IF(VLOOKUP(O115,'G-7 WaterC'' Data'!$AD$4:$AE$14,2,FALSE)=0,"Spatial Data Missing ⚠",VLOOKUP(O115,'G-7 WaterC'' Data'!$AD$4:$AE$14,2,FALSE)))))</f>
        <v/>
      </c>
      <c r="Q115" s="282" t="str">
        <f>IF(D115="","",VLOOKUP(D115,'G-7 WaterC'' Data'!$B$4:$G$8,6,FALSE))</f>
        <v/>
      </c>
      <c r="R115" s="289" t="str">
        <f t="shared" si="13"/>
        <v xml:space="preserve"> </v>
      </c>
      <c r="S115" s="393"/>
      <c r="T115" s="281" t="str">
        <f>IF(S115="","",IF(VLOOKUP(S115,'G-7 WaterC'' Data'!$AO$4:$BO$7,2,FALSE)=0,"Spatial Data Missing ⚠",VLOOKUP(S115,'G-7 WaterC'' Data'!$AO$4:$BO$7,2,FALSE)))</f>
        <v/>
      </c>
      <c r="U115" s="289" t="str">
        <f t="shared" si="14"/>
        <v xml:space="preserve"> </v>
      </c>
      <c r="V115" s="694" t="str">
        <f t="shared" si="15"/>
        <v/>
      </c>
      <c r="W115" s="32"/>
      <c r="X115" s="101"/>
      <c r="Y115" s="108"/>
      <c r="Z115" s="287" t="str">
        <f t="shared" si="16"/>
        <v/>
      </c>
      <c r="AA115" s="287" t="str">
        <f t="shared" si="17"/>
        <v/>
      </c>
      <c r="AB115" s="287" t="str">
        <f t="shared" si="18"/>
        <v/>
      </c>
      <c r="AC115" s="491" t="str">
        <f>IFERROR(IF(OR(E115="",R115=""),"",IF(AND(AB115&lt;&gt;"",S115=""),"Spatial risk category missing ▲",IF(AND(Q115='G-7 WaterC'' Data'!$G$4,AD115="Yes"),"Alternative Compensation ✓",IF(AND(AD115="Pending",Q115='G-7 WaterC'' Data'!$G$4),"Bespoke compensation must be agreed ▲",IF((Z115+AA115)&gt;=U115,0,U115-Z115-AA115))))),"Check Data ⚠")</f>
        <v/>
      </c>
      <c r="AD115" s="393"/>
      <c r="AE115" s="105"/>
      <c r="AF115" s="104"/>
      <c r="AG115" s="104"/>
      <c r="AH115" s="104"/>
      <c r="AI115" s="54" t="str">
        <f>IF(OR(Q115="",AD115="Yes"),"",IF(Q115='G-1 All Habitats'!$X$9,E115-Y115-X115,"None"))</f>
        <v/>
      </c>
      <c r="AJ115" s="55" t="str">
        <f>IF(Q115="","",IF(Q115='G-1 All Habitats'!$X$9,AI115*G115*I115*L115*N115*P115,"None"))</f>
        <v/>
      </c>
      <c r="AK115" s="30" t="str">
        <f>IFERROR(INDEX('G-7 WaterC'' Data'!$AZ$3:$AZ$7,MATCH(D115,'G-7 WaterC'' Data'!$AY$3:$AY$7,0)),"")</f>
        <v/>
      </c>
      <c r="AL115" s="30">
        <f t="shared" si="19"/>
        <v>0</v>
      </c>
      <c r="AM115" s="107" t="str">
        <f t="shared" si="20"/>
        <v/>
      </c>
      <c r="AN115" s="107" t="str">
        <f t="shared" si="21"/>
        <v/>
      </c>
      <c r="AP115" s="107">
        <v>106</v>
      </c>
      <c r="AR115" s="107" t="str">
        <f t="array" ref="AR115">IFERROR(INDEX($AP$10:$AP$258,MATCH(0,IF(TRUE=$AM$10:$AM$258,COUNTIF($AR$9:$AR114,$AP$10:$AP$258),""),0)),"")</f>
        <v/>
      </c>
      <c r="AS115" s="107" t="str">
        <f t="array" ref="AS115">IFERROR(INDEX($AP$10:$AP$258,MATCH(0,IF(TRUE=$AN$10:$AN$258,COUNTIF($AS$9:$AS114,$AP$10:$AP$258),""),0)),"")</f>
        <v/>
      </c>
      <c r="AT115" s="885" t="str">
        <f>IF(AND(OR(AD115="Yes",AD115="Pending"),Q115='G-7 WaterC'' Data'!$G$4),U115-AA115-Z115,"0")</f>
        <v>0</v>
      </c>
      <c r="AU115" s="30" t="str">
        <f>IF(D115="","",VLOOKUP(D115,'G-7 WaterC'' Data'!B$4:M$8,12,FALSE))</f>
        <v/>
      </c>
      <c r="AV115" s="30" t="str">
        <f t="shared" si="12"/>
        <v/>
      </c>
      <c r="AW115" s="30" t="str">
        <f t="shared" si="22"/>
        <v>No</v>
      </c>
      <c r="BA115" s="555" t="str">
        <f t="shared" si="23"/>
        <v/>
      </c>
    </row>
    <row r="116" spans="3:53" ht="14.5" thickBot="1">
      <c r="C116" s="97">
        <v>107</v>
      </c>
      <c r="D116" s="263"/>
      <c r="E116" s="104"/>
      <c r="F116" s="275" t="str">
        <f>IF(D116="","",VLOOKUP(D116,'G-7 WaterC'' Data'!$B$2:$G$8,2,FALSE))</f>
        <v/>
      </c>
      <c r="G116" s="314" t="str">
        <f>IFERROR(VLOOKUP(F116,'G-7 WaterC'' Data'!$C$4:$D$8,2,FALSE),"")</f>
        <v/>
      </c>
      <c r="H116" s="105"/>
      <c r="I116" s="299" t="str">
        <f>IFERROR(INDEX('G-7 WaterC'' Data'!$H$4:$L$8,MATCH(D116,'G-7 WaterC'' Data'!$B$4:$B$8,0),MATCH(H116,'G-7 WaterC'' Data'!$H$3:$L$3,0)),"")</f>
        <v/>
      </c>
      <c r="J116" s="702"/>
      <c r="K116" s="295" t="str">
        <f>IF(J116="","",IF(VLOOKUP(J116,'G-7 WaterC'' Data'!$AK$4:$AM$9,2,FALSE)=0,"Spatial Data Missing ⚠",VLOOKUP(J116,'G-7 WaterC'' Data'!$AK$4:$AM$6,2,FALSE)))</f>
        <v/>
      </c>
      <c r="L116" s="299" t="str">
        <f>IF(J116="","",IF(VLOOKUP(J116,'G-7 WaterC'' Data'!$AK$4:$AM$9,3,FALSE)=0,"Spatial Data Missing ⚠",VLOOKUP(J116,'G-7 WaterC'' Data'!$AK$4:$AM$6,3,FALSE)))</f>
        <v/>
      </c>
      <c r="M116" s="102"/>
      <c r="N116" s="276" t="str">
        <f>IF(M116="","",IF(AND(M116="N/A - Culvert",D116&lt;&gt;"Culvert"),"Not possible ▲",IF(AND(D116="Culvert",M116&lt;&gt;"N/A - Culvert"),"Not possible ▲",IF(VLOOKUP(M116,'G-7 WaterC'' Data'!$AA$4:$AB$7,2,FALSE)=0,"Spatial Data Missing ⚠",VLOOKUP(M116,'G-7 WaterC'' Data'!$AA$4:$AB$7,2,FALSE)))))</f>
        <v/>
      </c>
      <c r="O116" s="56"/>
      <c r="P116" s="276" t="str">
        <f>IF(O116="","",IF(AND(O116="N/A - Culvert",D116&lt;&gt;"Culvert"),"Not possible ▲",IF(AND(D116="Culvert",O116&lt;&gt;"N/A - Culvert"),"Not possible ▲",IF(VLOOKUP(O116,'G-7 WaterC'' Data'!$AD$4:$AE$14,2,FALSE)=0,"Spatial Data Missing ⚠",VLOOKUP(O116,'G-7 WaterC'' Data'!$AD$4:$AE$14,2,FALSE)))))</f>
        <v/>
      </c>
      <c r="Q116" s="282" t="str">
        <f>IF(D116="","",VLOOKUP(D116,'G-7 WaterC'' Data'!$B$4:$G$8,6,FALSE))</f>
        <v/>
      </c>
      <c r="R116" s="289" t="str">
        <f t="shared" si="13"/>
        <v xml:space="preserve"> </v>
      </c>
      <c r="S116" s="393"/>
      <c r="T116" s="281" t="str">
        <f>IF(S116="","",IF(VLOOKUP(S116,'G-7 WaterC'' Data'!$AO$4:$BO$7,2,FALSE)=0,"Spatial Data Missing ⚠",VLOOKUP(S116,'G-7 WaterC'' Data'!$AO$4:$BO$7,2,FALSE)))</f>
        <v/>
      </c>
      <c r="U116" s="289" t="str">
        <f t="shared" si="14"/>
        <v xml:space="preserve"> </v>
      </c>
      <c r="V116" s="694" t="str">
        <f t="shared" si="15"/>
        <v/>
      </c>
      <c r="W116" s="32"/>
      <c r="X116" s="101"/>
      <c r="Y116" s="108"/>
      <c r="Z116" s="287" t="str">
        <f t="shared" si="16"/>
        <v/>
      </c>
      <c r="AA116" s="287" t="str">
        <f t="shared" si="17"/>
        <v/>
      </c>
      <c r="AB116" s="287" t="str">
        <f t="shared" si="18"/>
        <v/>
      </c>
      <c r="AC116" s="491" t="str">
        <f>IFERROR(IF(OR(E116="",R116=""),"",IF(AND(AB116&lt;&gt;"",S116=""),"Spatial risk category missing ▲",IF(AND(Q116='G-7 WaterC'' Data'!$G$4,AD116="Yes"),"Alternative Compensation ✓",IF(AND(AD116="Pending",Q116='G-7 WaterC'' Data'!$G$4),"Bespoke compensation must be agreed ▲",IF((Z116+AA116)&gt;=U116,0,U116-Z116-AA116))))),"Check Data ⚠")</f>
        <v/>
      </c>
      <c r="AD116" s="393"/>
      <c r="AE116" s="105"/>
      <c r="AF116" s="104"/>
      <c r="AG116" s="104"/>
      <c r="AH116" s="104"/>
      <c r="AI116" s="54" t="str">
        <f>IF(OR(Q116="",AD116="Yes"),"",IF(Q116='G-1 All Habitats'!$X$9,E116-Y116-X116,"None"))</f>
        <v/>
      </c>
      <c r="AJ116" s="55" t="str">
        <f>IF(Q116="","",IF(Q116='G-1 All Habitats'!$X$9,AI116*G116*I116*L116*N116*P116,"None"))</f>
        <v/>
      </c>
      <c r="AK116" s="30" t="str">
        <f>IFERROR(INDEX('G-7 WaterC'' Data'!$AZ$3:$AZ$7,MATCH(D116,'G-7 WaterC'' Data'!$AY$3:$AY$7,0)),"")</f>
        <v/>
      </c>
      <c r="AL116" s="30">
        <f t="shared" si="19"/>
        <v>0</v>
      </c>
      <c r="AM116" s="107" t="str">
        <f t="shared" si="20"/>
        <v/>
      </c>
      <c r="AN116" s="107" t="str">
        <f t="shared" si="21"/>
        <v/>
      </c>
      <c r="AP116" s="107">
        <v>107</v>
      </c>
      <c r="AR116" s="107" t="str">
        <f t="array" ref="AR116">IFERROR(INDEX($AP$10:$AP$258,MATCH(0,IF(TRUE=$AM$10:$AM$258,COUNTIF($AR$9:$AR115,$AP$10:$AP$258),""),0)),"")</f>
        <v/>
      </c>
      <c r="AS116" s="107" t="str">
        <f t="array" ref="AS116">IFERROR(INDEX($AP$10:$AP$258,MATCH(0,IF(TRUE=$AN$10:$AN$258,COUNTIF($AS$9:$AS115,$AP$10:$AP$258),""),0)),"")</f>
        <v/>
      </c>
      <c r="AT116" s="885" t="str">
        <f>IF(AND(OR(AD116="Yes",AD116="Pending"),Q116='G-7 WaterC'' Data'!$G$4),U116-AA116-Z116,"0")</f>
        <v>0</v>
      </c>
      <c r="AU116" s="30" t="str">
        <f>IF(D116="","",VLOOKUP(D116,'G-7 WaterC'' Data'!B$4:M$8,12,FALSE))</f>
        <v/>
      </c>
      <c r="AV116" s="30" t="str">
        <f t="shared" si="12"/>
        <v/>
      </c>
      <c r="AW116" s="30" t="str">
        <f t="shared" si="22"/>
        <v>No</v>
      </c>
      <c r="BA116" s="555" t="str">
        <f t="shared" si="23"/>
        <v/>
      </c>
    </row>
    <row r="117" spans="3:53" ht="14.5" thickBot="1">
      <c r="C117" s="97">
        <v>108</v>
      </c>
      <c r="D117" s="263"/>
      <c r="E117" s="104"/>
      <c r="F117" s="275" t="str">
        <f>IF(D117="","",VLOOKUP(D117,'G-7 WaterC'' Data'!$B$2:$G$8,2,FALSE))</f>
        <v/>
      </c>
      <c r="G117" s="314" t="str">
        <f>IFERROR(VLOOKUP(F117,'G-7 WaterC'' Data'!$C$4:$D$8,2,FALSE),"")</f>
        <v/>
      </c>
      <c r="H117" s="105"/>
      <c r="I117" s="299" t="str">
        <f>IFERROR(INDEX('G-7 WaterC'' Data'!$H$4:$L$8,MATCH(D117,'G-7 WaterC'' Data'!$B$4:$B$8,0),MATCH(H117,'G-7 WaterC'' Data'!$H$3:$L$3,0)),"")</f>
        <v/>
      </c>
      <c r="J117" s="702"/>
      <c r="K117" s="295" t="str">
        <f>IF(J117="","",IF(VLOOKUP(J117,'G-7 WaterC'' Data'!$AK$4:$AM$9,2,FALSE)=0,"Spatial Data Missing ⚠",VLOOKUP(J117,'G-7 WaterC'' Data'!$AK$4:$AM$6,2,FALSE)))</f>
        <v/>
      </c>
      <c r="L117" s="299" t="str">
        <f>IF(J117="","",IF(VLOOKUP(J117,'G-7 WaterC'' Data'!$AK$4:$AM$9,3,FALSE)=0,"Spatial Data Missing ⚠",VLOOKUP(J117,'G-7 WaterC'' Data'!$AK$4:$AM$6,3,FALSE)))</f>
        <v/>
      </c>
      <c r="M117" s="102"/>
      <c r="N117" s="276" t="str">
        <f>IF(M117="","",IF(AND(M117="N/A - Culvert",D117&lt;&gt;"Culvert"),"Not possible ▲",IF(AND(D117="Culvert",M117&lt;&gt;"N/A - Culvert"),"Not possible ▲",IF(VLOOKUP(M117,'G-7 WaterC'' Data'!$AA$4:$AB$7,2,FALSE)=0,"Spatial Data Missing ⚠",VLOOKUP(M117,'G-7 WaterC'' Data'!$AA$4:$AB$7,2,FALSE)))))</f>
        <v/>
      </c>
      <c r="O117" s="56"/>
      <c r="P117" s="276" t="str">
        <f>IF(O117="","",IF(AND(O117="N/A - Culvert",D117&lt;&gt;"Culvert"),"Not possible ▲",IF(AND(D117="Culvert",O117&lt;&gt;"N/A - Culvert"),"Not possible ▲",IF(VLOOKUP(O117,'G-7 WaterC'' Data'!$AD$4:$AE$14,2,FALSE)=0,"Spatial Data Missing ⚠",VLOOKUP(O117,'G-7 WaterC'' Data'!$AD$4:$AE$14,2,FALSE)))))</f>
        <v/>
      </c>
      <c r="Q117" s="282" t="str">
        <f>IF(D117="","",VLOOKUP(D117,'G-7 WaterC'' Data'!$B$4:$G$8,6,FALSE))</f>
        <v/>
      </c>
      <c r="R117" s="289" t="str">
        <f t="shared" si="13"/>
        <v xml:space="preserve"> </v>
      </c>
      <c r="S117" s="393"/>
      <c r="T117" s="281" t="str">
        <f>IF(S117="","",IF(VLOOKUP(S117,'G-7 WaterC'' Data'!$AO$4:$BO$7,2,FALSE)=0,"Spatial Data Missing ⚠",VLOOKUP(S117,'G-7 WaterC'' Data'!$AO$4:$BO$7,2,FALSE)))</f>
        <v/>
      </c>
      <c r="U117" s="289" t="str">
        <f t="shared" si="14"/>
        <v xml:space="preserve"> </v>
      </c>
      <c r="V117" s="694" t="str">
        <f t="shared" si="15"/>
        <v/>
      </c>
      <c r="W117" s="32"/>
      <c r="X117" s="101"/>
      <c r="Y117" s="108"/>
      <c r="Z117" s="287" t="str">
        <f t="shared" si="16"/>
        <v/>
      </c>
      <c r="AA117" s="287" t="str">
        <f t="shared" si="17"/>
        <v/>
      </c>
      <c r="AB117" s="287" t="str">
        <f t="shared" si="18"/>
        <v/>
      </c>
      <c r="AC117" s="491" t="str">
        <f>IFERROR(IF(OR(E117="",R117=""),"",IF(AND(AB117&lt;&gt;"",S117=""),"Spatial risk category missing ▲",IF(AND(Q117='G-7 WaterC'' Data'!$G$4,AD117="Yes"),"Alternative Compensation ✓",IF(AND(AD117="Pending",Q117='G-7 WaterC'' Data'!$G$4),"Bespoke compensation must be agreed ▲",IF((Z117+AA117)&gt;=U117,0,U117-Z117-AA117))))),"Check Data ⚠")</f>
        <v/>
      </c>
      <c r="AD117" s="393"/>
      <c r="AE117" s="105"/>
      <c r="AF117" s="104"/>
      <c r="AG117" s="104"/>
      <c r="AH117" s="104"/>
      <c r="AI117" s="54" t="str">
        <f>IF(OR(Q117="",AD117="Yes"),"",IF(Q117='G-1 All Habitats'!$X$9,E117-Y117-X117,"None"))</f>
        <v/>
      </c>
      <c r="AJ117" s="55" t="str">
        <f>IF(Q117="","",IF(Q117='G-1 All Habitats'!$X$9,AI117*G117*I117*L117*N117*P117,"None"))</f>
        <v/>
      </c>
      <c r="AK117" s="30" t="str">
        <f>IFERROR(INDEX('G-7 WaterC'' Data'!$AZ$3:$AZ$7,MATCH(D117,'G-7 WaterC'' Data'!$AY$3:$AY$7,0)),"")</f>
        <v/>
      </c>
      <c r="AL117" s="30">
        <f t="shared" si="19"/>
        <v>0</v>
      </c>
      <c r="AM117" s="107" t="str">
        <f t="shared" si="20"/>
        <v/>
      </c>
      <c r="AN117" s="107" t="str">
        <f t="shared" si="21"/>
        <v/>
      </c>
      <c r="AP117" s="107">
        <v>108</v>
      </c>
      <c r="AR117" s="107" t="str">
        <f t="array" ref="AR117">IFERROR(INDEX($AP$10:$AP$258,MATCH(0,IF(TRUE=$AM$10:$AM$258,COUNTIF($AR$9:$AR116,$AP$10:$AP$258),""),0)),"")</f>
        <v/>
      </c>
      <c r="AS117" s="107" t="str">
        <f t="array" ref="AS117">IFERROR(INDEX($AP$10:$AP$258,MATCH(0,IF(TRUE=$AN$10:$AN$258,COUNTIF($AS$9:$AS116,$AP$10:$AP$258),""),0)),"")</f>
        <v/>
      </c>
      <c r="AT117" s="885" t="str">
        <f>IF(AND(OR(AD117="Yes",AD117="Pending"),Q117='G-7 WaterC'' Data'!$G$4),U117-AA117-Z117,"0")</f>
        <v>0</v>
      </c>
      <c r="AU117" s="30" t="str">
        <f>IF(D117="","",VLOOKUP(D117,'G-7 WaterC'' Data'!B$4:M$8,12,FALSE))</f>
        <v/>
      </c>
      <c r="AV117" s="30" t="str">
        <f t="shared" si="12"/>
        <v/>
      </c>
      <c r="AW117" s="30" t="str">
        <f t="shared" si="22"/>
        <v>No</v>
      </c>
      <c r="BA117" s="555" t="str">
        <f t="shared" si="23"/>
        <v/>
      </c>
    </row>
    <row r="118" spans="3:53" ht="14.5" thickBot="1">
      <c r="C118" s="97">
        <v>109</v>
      </c>
      <c r="D118" s="263"/>
      <c r="E118" s="104"/>
      <c r="F118" s="275" t="str">
        <f>IF(D118="","",VLOOKUP(D118,'G-7 WaterC'' Data'!$B$2:$G$8,2,FALSE))</f>
        <v/>
      </c>
      <c r="G118" s="314" t="str">
        <f>IFERROR(VLOOKUP(F118,'G-7 WaterC'' Data'!$C$4:$D$8,2,FALSE),"")</f>
        <v/>
      </c>
      <c r="H118" s="105"/>
      <c r="I118" s="299" t="str">
        <f>IFERROR(INDEX('G-7 WaterC'' Data'!$H$4:$L$8,MATCH(D118,'G-7 WaterC'' Data'!$B$4:$B$8,0),MATCH(H118,'G-7 WaterC'' Data'!$H$3:$L$3,0)),"")</f>
        <v/>
      </c>
      <c r="J118" s="702"/>
      <c r="K118" s="295" t="str">
        <f>IF(J118="","",IF(VLOOKUP(J118,'G-7 WaterC'' Data'!$AK$4:$AM$9,2,FALSE)=0,"Spatial Data Missing ⚠",VLOOKUP(J118,'G-7 WaterC'' Data'!$AK$4:$AM$6,2,FALSE)))</f>
        <v/>
      </c>
      <c r="L118" s="299" t="str">
        <f>IF(J118="","",IF(VLOOKUP(J118,'G-7 WaterC'' Data'!$AK$4:$AM$9,3,FALSE)=0,"Spatial Data Missing ⚠",VLOOKUP(J118,'G-7 WaterC'' Data'!$AK$4:$AM$6,3,FALSE)))</f>
        <v/>
      </c>
      <c r="M118" s="102"/>
      <c r="N118" s="276" t="str">
        <f>IF(M118="","",IF(AND(M118="N/A - Culvert",D118&lt;&gt;"Culvert"),"Not possible ▲",IF(AND(D118="Culvert",M118&lt;&gt;"N/A - Culvert"),"Not possible ▲",IF(VLOOKUP(M118,'G-7 WaterC'' Data'!$AA$4:$AB$7,2,FALSE)=0,"Spatial Data Missing ⚠",VLOOKUP(M118,'G-7 WaterC'' Data'!$AA$4:$AB$7,2,FALSE)))))</f>
        <v/>
      </c>
      <c r="O118" s="56"/>
      <c r="P118" s="276" t="str">
        <f>IF(O118="","",IF(AND(O118="N/A - Culvert",D118&lt;&gt;"Culvert"),"Not possible ▲",IF(AND(D118="Culvert",O118&lt;&gt;"N/A - Culvert"),"Not possible ▲",IF(VLOOKUP(O118,'G-7 WaterC'' Data'!$AD$4:$AE$14,2,FALSE)=0,"Spatial Data Missing ⚠",VLOOKUP(O118,'G-7 WaterC'' Data'!$AD$4:$AE$14,2,FALSE)))))</f>
        <v/>
      </c>
      <c r="Q118" s="282" t="str">
        <f>IF(D118="","",VLOOKUP(D118,'G-7 WaterC'' Data'!$B$4:$G$8,6,FALSE))</f>
        <v/>
      </c>
      <c r="R118" s="289" t="str">
        <f t="shared" si="13"/>
        <v xml:space="preserve"> </v>
      </c>
      <c r="S118" s="393"/>
      <c r="T118" s="281" t="str">
        <f>IF(S118="","",IF(VLOOKUP(S118,'G-7 WaterC'' Data'!$AO$4:$BO$7,2,FALSE)=0,"Spatial Data Missing ⚠",VLOOKUP(S118,'G-7 WaterC'' Data'!$AO$4:$BO$7,2,FALSE)))</f>
        <v/>
      </c>
      <c r="U118" s="289" t="str">
        <f t="shared" si="14"/>
        <v xml:space="preserve"> </v>
      </c>
      <c r="V118" s="694" t="str">
        <f t="shared" si="15"/>
        <v/>
      </c>
      <c r="W118" s="32"/>
      <c r="X118" s="101"/>
      <c r="Y118" s="108"/>
      <c r="Z118" s="287" t="str">
        <f t="shared" si="16"/>
        <v/>
      </c>
      <c r="AA118" s="287" t="str">
        <f t="shared" si="17"/>
        <v/>
      </c>
      <c r="AB118" s="287" t="str">
        <f t="shared" si="18"/>
        <v/>
      </c>
      <c r="AC118" s="491" t="str">
        <f>IFERROR(IF(OR(E118="",R118=""),"",IF(AND(AB118&lt;&gt;"",S118=""),"Spatial risk category missing ▲",IF(AND(Q118='G-7 WaterC'' Data'!$G$4,AD118="Yes"),"Alternative Compensation ✓",IF(AND(AD118="Pending",Q118='G-7 WaterC'' Data'!$G$4),"Bespoke compensation must be agreed ▲",IF((Z118+AA118)&gt;=U118,0,U118-Z118-AA118))))),"Check Data ⚠")</f>
        <v/>
      </c>
      <c r="AD118" s="393"/>
      <c r="AE118" s="105"/>
      <c r="AF118" s="104"/>
      <c r="AG118" s="104"/>
      <c r="AH118" s="104"/>
      <c r="AI118" s="54" t="str">
        <f>IF(OR(Q118="",AD118="Yes"),"",IF(Q118='G-1 All Habitats'!$X$9,E118-Y118-X118,"None"))</f>
        <v/>
      </c>
      <c r="AJ118" s="55" t="str">
        <f>IF(Q118="","",IF(Q118='G-1 All Habitats'!$X$9,AI118*G118*I118*L118*N118*P118,"None"))</f>
        <v/>
      </c>
      <c r="AK118" s="30" t="str">
        <f>IFERROR(INDEX('G-7 WaterC'' Data'!$AZ$3:$AZ$7,MATCH(D118,'G-7 WaterC'' Data'!$AY$3:$AY$7,0)),"")</f>
        <v/>
      </c>
      <c r="AL118" s="30">
        <f t="shared" si="19"/>
        <v>0</v>
      </c>
      <c r="AM118" s="107" t="str">
        <f t="shared" si="20"/>
        <v/>
      </c>
      <c r="AN118" s="107" t="str">
        <f t="shared" si="21"/>
        <v/>
      </c>
      <c r="AP118" s="107">
        <v>109</v>
      </c>
      <c r="AR118" s="107" t="str">
        <f t="array" ref="AR118">IFERROR(INDEX($AP$10:$AP$258,MATCH(0,IF(TRUE=$AM$10:$AM$258,COUNTIF($AR$9:$AR117,$AP$10:$AP$258),""),0)),"")</f>
        <v/>
      </c>
      <c r="AS118" s="107" t="str">
        <f t="array" ref="AS118">IFERROR(INDEX($AP$10:$AP$258,MATCH(0,IF(TRUE=$AN$10:$AN$258,COUNTIF($AS$9:$AS117,$AP$10:$AP$258),""),0)),"")</f>
        <v/>
      </c>
      <c r="AT118" s="885" t="str">
        <f>IF(AND(OR(AD118="Yes",AD118="Pending"),Q118='G-7 WaterC'' Data'!$G$4),U118-AA118-Z118,"0")</f>
        <v>0</v>
      </c>
      <c r="AU118" s="30" t="str">
        <f>IF(D118="","",VLOOKUP(D118,'G-7 WaterC'' Data'!B$4:M$8,12,FALSE))</f>
        <v/>
      </c>
      <c r="AV118" s="30" t="str">
        <f t="shared" si="12"/>
        <v/>
      </c>
      <c r="AW118" s="30" t="str">
        <f t="shared" si="22"/>
        <v>No</v>
      </c>
      <c r="BA118" s="555" t="str">
        <f t="shared" si="23"/>
        <v/>
      </c>
    </row>
    <row r="119" spans="3:53" ht="14.5" thickBot="1">
      <c r="C119" s="97">
        <v>110</v>
      </c>
      <c r="D119" s="263"/>
      <c r="E119" s="104"/>
      <c r="F119" s="275" t="str">
        <f>IF(D119="","",VLOOKUP(D119,'G-7 WaterC'' Data'!$B$2:$G$8,2,FALSE))</f>
        <v/>
      </c>
      <c r="G119" s="314" t="str">
        <f>IFERROR(VLOOKUP(F119,'G-7 WaterC'' Data'!$C$4:$D$8,2,FALSE),"")</f>
        <v/>
      </c>
      <c r="H119" s="105"/>
      <c r="I119" s="299" t="str">
        <f>IFERROR(INDEX('G-7 WaterC'' Data'!$H$4:$L$8,MATCH(D119,'G-7 WaterC'' Data'!$B$4:$B$8,0),MATCH(H119,'G-7 WaterC'' Data'!$H$3:$L$3,0)),"")</f>
        <v/>
      </c>
      <c r="J119" s="702"/>
      <c r="K119" s="295" t="str">
        <f>IF(J119="","",IF(VLOOKUP(J119,'G-7 WaterC'' Data'!$AK$4:$AM$9,2,FALSE)=0,"Spatial Data Missing ⚠",VLOOKUP(J119,'G-7 WaterC'' Data'!$AK$4:$AM$6,2,FALSE)))</f>
        <v/>
      </c>
      <c r="L119" s="299" t="str">
        <f>IF(J119="","",IF(VLOOKUP(J119,'G-7 WaterC'' Data'!$AK$4:$AM$9,3,FALSE)=0,"Spatial Data Missing ⚠",VLOOKUP(J119,'G-7 WaterC'' Data'!$AK$4:$AM$6,3,FALSE)))</f>
        <v/>
      </c>
      <c r="M119" s="102"/>
      <c r="N119" s="276" t="str">
        <f>IF(M119="","",IF(AND(M119="N/A - Culvert",D119&lt;&gt;"Culvert"),"Not possible ▲",IF(AND(D119="Culvert",M119&lt;&gt;"N/A - Culvert"),"Not possible ▲",IF(VLOOKUP(M119,'G-7 WaterC'' Data'!$AA$4:$AB$7,2,FALSE)=0,"Spatial Data Missing ⚠",VLOOKUP(M119,'G-7 WaterC'' Data'!$AA$4:$AB$7,2,FALSE)))))</f>
        <v/>
      </c>
      <c r="O119" s="56"/>
      <c r="P119" s="276" t="str">
        <f>IF(O119="","",IF(AND(O119="N/A - Culvert",D119&lt;&gt;"Culvert"),"Not possible ▲",IF(AND(D119="Culvert",O119&lt;&gt;"N/A - Culvert"),"Not possible ▲",IF(VLOOKUP(O119,'G-7 WaterC'' Data'!$AD$4:$AE$14,2,FALSE)=0,"Spatial Data Missing ⚠",VLOOKUP(O119,'G-7 WaterC'' Data'!$AD$4:$AE$14,2,FALSE)))))</f>
        <v/>
      </c>
      <c r="Q119" s="282" t="str">
        <f>IF(D119="","",VLOOKUP(D119,'G-7 WaterC'' Data'!$B$4:$G$8,6,FALSE))</f>
        <v/>
      </c>
      <c r="R119" s="289" t="str">
        <f t="shared" si="13"/>
        <v xml:space="preserve"> </v>
      </c>
      <c r="S119" s="393"/>
      <c r="T119" s="281" t="str">
        <f>IF(S119="","",IF(VLOOKUP(S119,'G-7 WaterC'' Data'!$AO$4:$BO$7,2,FALSE)=0,"Spatial Data Missing ⚠",VLOOKUP(S119,'G-7 WaterC'' Data'!$AO$4:$BO$7,2,FALSE)))</f>
        <v/>
      </c>
      <c r="U119" s="289" t="str">
        <f t="shared" si="14"/>
        <v xml:space="preserve"> </v>
      </c>
      <c r="V119" s="694" t="str">
        <f t="shared" si="15"/>
        <v/>
      </c>
      <c r="W119" s="32"/>
      <c r="X119" s="101"/>
      <c r="Y119" s="108"/>
      <c r="Z119" s="287" t="str">
        <f t="shared" si="16"/>
        <v/>
      </c>
      <c r="AA119" s="287" t="str">
        <f t="shared" si="17"/>
        <v/>
      </c>
      <c r="AB119" s="287" t="str">
        <f t="shared" si="18"/>
        <v/>
      </c>
      <c r="AC119" s="491" t="str">
        <f>IFERROR(IF(OR(E119="",R119=""),"",IF(AND(AB119&lt;&gt;"",S119=""),"Spatial risk category missing ▲",IF(AND(Q119='G-7 WaterC'' Data'!$G$4,AD119="Yes"),"Alternative Compensation ✓",IF(AND(AD119="Pending",Q119='G-7 WaterC'' Data'!$G$4),"Bespoke compensation must be agreed ▲",IF((Z119+AA119)&gt;=U119,0,U119-Z119-AA119))))),"Check Data ⚠")</f>
        <v/>
      </c>
      <c r="AD119" s="393"/>
      <c r="AE119" s="105"/>
      <c r="AF119" s="104"/>
      <c r="AG119" s="104"/>
      <c r="AH119" s="104"/>
      <c r="AI119" s="54" t="str">
        <f>IF(OR(Q119="",AD119="Yes"),"",IF(Q119='G-1 All Habitats'!$X$9,E119-Y119-X119,"None"))</f>
        <v/>
      </c>
      <c r="AJ119" s="55" t="str">
        <f>IF(Q119="","",IF(Q119='G-1 All Habitats'!$X$9,AI119*G119*I119*L119*N119*P119,"None"))</f>
        <v/>
      </c>
      <c r="AK119" s="30" t="str">
        <f>IFERROR(INDEX('G-7 WaterC'' Data'!$AZ$3:$AZ$7,MATCH(D119,'G-7 WaterC'' Data'!$AY$3:$AY$7,0)),"")</f>
        <v/>
      </c>
      <c r="AL119" s="30">
        <f t="shared" si="19"/>
        <v>0</v>
      </c>
      <c r="AM119" s="107" t="str">
        <f t="shared" si="20"/>
        <v/>
      </c>
      <c r="AN119" s="107" t="str">
        <f t="shared" si="21"/>
        <v/>
      </c>
      <c r="AP119" s="107">
        <v>110</v>
      </c>
      <c r="AR119" s="107" t="str">
        <f t="array" ref="AR119">IFERROR(INDEX($AP$10:$AP$258,MATCH(0,IF(TRUE=$AM$10:$AM$258,COUNTIF($AR$9:$AR118,$AP$10:$AP$258),""),0)),"")</f>
        <v/>
      </c>
      <c r="AS119" s="107" t="str">
        <f t="array" ref="AS119">IFERROR(INDEX($AP$10:$AP$258,MATCH(0,IF(TRUE=$AN$10:$AN$258,COUNTIF($AS$9:$AS118,$AP$10:$AP$258),""),0)),"")</f>
        <v/>
      </c>
      <c r="AT119" s="885" t="str">
        <f>IF(AND(OR(AD119="Yes",AD119="Pending"),Q119='G-7 WaterC'' Data'!$G$4),U119-AA119-Z119,"0")</f>
        <v>0</v>
      </c>
      <c r="AU119" s="30" t="str">
        <f>IF(D119="","",VLOOKUP(D119,'G-7 WaterC'' Data'!B$4:M$8,12,FALSE))</f>
        <v/>
      </c>
      <c r="AV119" s="30" t="str">
        <f t="shared" si="12"/>
        <v/>
      </c>
      <c r="AW119" s="30" t="str">
        <f t="shared" si="22"/>
        <v>No</v>
      </c>
      <c r="BA119" s="555" t="str">
        <f t="shared" si="23"/>
        <v/>
      </c>
    </row>
    <row r="120" spans="3:53" ht="14.5" thickBot="1">
      <c r="C120" s="97">
        <v>111</v>
      </c>
      <c r="D120" s="263"/>
      <c r="E120" s="104"/>
      <c r="F120" s="275" t="str">
        <f>IF(D120="","",VLOOKUP(D120,'G-7 WaterC'' Data'!$B$2:$G$8,2,FALSE))</f>
        <v/>
      </c>
      <c r="G120" s="314" t="str">
        <f>IFERROR(VLOOKUP(F120,'G-7 WaterC'' Data'!$C$4:$D$8,2,FALSE),"")</f>
        <v/>
      </c>
      <c r="H120" s="105"/>
      <c r="I120" s="299" t="str">
        <f>IFERROR(INDEX('G-7 WaterC'' Data'!$H$4:$L$8,MATCH(D120,'G-7 WaterC'' Data'!$B$4:$B$8,0),MATCH(H120,'G-7 WaterC'' Data'!$H$3:$L$3,0)),"")</f>
        <v/>
      </c>
      <c r="J120" s="702"/>
      <c r="K120" s="295" t="str">
        <f>IF(J120="","",IF(VLOOKUP(J120,'G-7 WaterC'' Data'!$AK$4:$AM$9,2,FALSE)=0,"Spatial Data Missing ⚠",VLOOKUP(J120,'G-7 WaterC'' Data'!$AK$4:$AM$6,2,FALSE)))</f>
        <v/>
      </c>
      <c r="L120" s="299" t="str">
        <f>IF(J120="","",IF(VLOOKUP(J120,'G-7 WaterC'' Data'!$AK$4:$AM$9,3,FALSE)=0,"Spatial Data Missing ⚠",VLOOKUP(J120,'G-7 WaterC'' Data'!$AK$4:$AM$6,3,FALSE)))</f>
        <v/>
      </c>
      <c r="M120" s="102"/>
      <c r="N120" s="276" t="str">
        <f>IF(M120="","",IF(AND(M120="N/A - Culvert",D120&lt;&gt;"Culvert"),"Not possible ▲",IF(AND(D120="Culvert",M120&lt;&gt;"N/A - Culvert"),"Not possible ▲",IF(VLOOKUP(M120,'G-7 WaterC'' Data'!$AA$4:$AB$7,2,FALSE)=0,"Spatial Data Missing ⚠",VLOOKUP(M120,'G-7 WaterC'' Data'!$AA$4:$AB$7,2,FALSE)))))</f>
        <v/>
      </c>
      <c r="O120" s="56"/>
      <c r="P120" s="276" t="str">
        <f>IF(O120="","",IF(AND(O120="N/A - Culvert",D120&lt;&gt;"Culvert"),"Not possible ▲",IF(AND(D120="Culvert",O120&lt;&gt;"N/A - Culvert"),"Not possible ▲",IF(VLOOKUP(O120,'G-7 WaterC'' Data'!$AD$4:$AE$14,2,FALSE)=0,"Spatial Data Missing ⚠",VLOOKUP(O120,'G-7 WaterC'' Data'!$AD$4:$AE$14,2,FALSE)))))</f>
        <v/>
      </c>
      <c r="Q120" s="282" t="str">
        <f>IF(D120="","",VLOOKUP(D120,'G-7 WaterC'' Data'!$B$4:$G$8,6,FALSE))</f>
        <v/>
      </c>
      <c r="R120" s="289" t="str">
        <f t="shared" si="13"/>
        <v xml:space="preserve"> </v>
      </c>
      <c r="S120" s="393"/>
      <c r="T120" s="281" t="str">
        <f>IF(S120="","",IF(VLOOKUP(S120,'G-7 WaterC'' Data'!$AO$4:$BO$7,2,FALSE)=0,"Spatial Data Missing ⚠",VLOOKUP(S120,'G-7 WaterC'' Data'!$AO$4:$BO$7,2,FALSE)))</f>
        <v/>
      </c>
      <c r="U120" s="289" t="str">
        <f t="shared" si="14"/>
        <v xml:space="preserve"> </v>
      </c>
      <c r="V120" s="694" t="str">
        <f t="shared" si="15"/>
        <v/>
      </c>
      <c r="W120" s="32"/>
      <c r="X120" s="101"/>
      <c r="Y120" s="108"/>
      <c r="Z120" s="287" t="str">
        <f t="shared" si="16"/>
        <v/>
      </c>
      <c r="AA120" s="287" t="str">
        <f t="shared" si="17"/>
        <v/>
      </c>
      <c r="AB120" s="287" t="str">
        <f t="shared" si="18"/>
        <v/>
      </c>
      <c r="AC120" s="491" t="str">
        <f>IFERROR(IF(OR(E120="",R120=""),"",IF(AND(AB120&lt;&gt;"",S120=""),"Spatial risk category missing ▲",IF(AND(Q120='G-7 WaterC'' Data'!$G$4,AD120="Yes"),"Alternative Compensation ✓",IF(AND(AD120="Pending",Q120='G-7 WaterC'' Data'!$G$4),"Bespoke compensation must be agreed ▲",IF((Z120+AA120)&gt;=U120,0,U120-Z120-AA120))))),"Check Data ⚠")</f>
        <v/>
      </c>
      <c r="AD120" s="393"/>
      <c r="AE120" s="105"/>
      <c r="AF120" s="104"/>
      <c r="AG120" s="104"/>
      <c r="AH120" s="104"/>
      <c r="AI120" s="54" t="str">
        <f>IF(OR(Q120="",AD120="Yes"),"",IF(Q120='G-1 All Habitats'!$X$9,E120-Y120-X120,"None"))</f>
        <v/>
      </c>
      <c r="AJ120" s="55" t="str">
        <f>IF(Q120="","",IF(Q120='G-1 All Habitats'!$X$9,AI120*G120*I120*L120*N120*P120,"None"))</f>
        <v/>
      </c>
      <c r="AK120" s="30" t="str">
        <f>IFERROR(INDEX('G-7 WaterC'' Data'!$AZ$3:$AZ$7,MATCH(D120,'G-7 WaterC'' Data'!$AY$3:$AY$7,0)),"")</f>
        <v/>
      </c>
      <c r="AL120" s="30">
        <f t="shared" si="19"/>
        <v>0</v>
      </c>
      <c r="AM120" s="107" t="str">
        <f t="shared" si="20"/>
        <v/>
      </c>
      <c r="AN120" s="107" t="str">
        <f t="shared" si="21"/>
        <v/>
      </c>
      <c r="AP120" s="107">
        <v>111</v>
      </c>
      <c r="AR120" s="107" t="str">
        <f t="array" ref="AR120">IFERROR(INDEX($AP$10:$AP$258,MATCH(0,IF(TRUE=$AM$10:$AM$258,COUNTIF($AR$9:$AR119,$AP$10:$AP$258),""),0)),"")</f>
        <v/>
      </c>
      <c r="AS120" s="107" t="str">
        <f t="array" ref="AS120">IFERROR(INDEX($AP$10:$AP$258,MATCH(0,IF(TRUE=$AN$10:$AN$258,COUNTIF($AS$9:$AS119,$AP$10:$AP$258),""),0)),"")</f>
        <v/>
      </c>
      <c r="AT120" s="885" t="str">
        <f>IF(AND(OR(AD120="Yes",AD120="Pending"),Q120='G-7 WaterC'' Data'!$G$4),U120-AA120-Z120,"0")</f>
        <v>0</v>
      </c>
      <c r="AU120" s="30" t="str">
        <f>IF(D120="","",VLOOKUP(D120,'G-7 WaterC'' Data'!B$4:M$8,12,FALSE))</f>
        <v/>
      </c>
      <c r="AV120" s="30" t="str">
        <f t="shared" si="12"/>
        <v/>
      </c>
      <c r="AW120" s="30" t="str">
        <f t="shared" si="22"/>
        <v>No</v>
      </c>
      <c r="BA120" s="555" t="str">
        <f t="shared" si="23"/>
        <v/>
      </c>
    </row>
    <row r="121" spans="3:53" ht="14.5" thickBot="1">
      <c r="C121" s="97">
        <v>112</v>
      </c>
      <c r="D121" s="263"/>
      <c r="E121" s="104"/>
      <c r="F121" s="275" t="str">
        <f>IF(D121="","",VLOOKUP(D121,'G-7 WaterC'' Data'!$B$2:$G$8,2,FALSE))</f>
        <v/>
      </c>
      <c r="G121" s="314" t="str">
        <f>IFERROR(VLOOKUP(F121,'G-7 WaterC'' Data'!$C$4:$D$8,2,FALSE),"")</f>
        <v/>
      </c>
      <c r="H121" s="105"/>
      <c r="I121" s="299" t="str">
        <f>IFERROR(INDEX('G-7 WaterC'' Data'!$H$4:$L$8,MATCH(D121,'G-7 WaterC'' Data'!$B$4:$B$8,0),MATCH(H121,'G-7 WaterC'' Data'!$H$3:$L$3,0)),"")</f>
        <v/>
      </c>
      <c r="J121" s="702"/>
      <c r="K121" s="295" t="str">
        <f>IF(J121="","",IF(VLOOKUP(J121,'G-7 WaterC'' Data'!$AK$4:$AM$9,2,FALSE)=0,"Spatial Data Missing ⚠",VLOOKUP(J121,'G-7 WaterC'' Data'!$AK$4:$AM$6,2,FALSE)))</f>
        <v/>
      </c>
      <c r="L121" s="299" t="str">
        <f>IF(J121="","",IF(VLOOKUP(J121,'G-7 WaterC'' Data'!$AK$4:$AM$9,3,FALSE)=0,"Spatial Data Missing ⚠",VLOOKUP(J121,'G-7 WaterC'' Data'!$AK$4:$AM$6,3,FALSE)))</f>
        <v/>
      </c>
      <c r="M121" s="102"/>
      <c r="N121" s="276" t="str">
        <f>IF(M121="","",IF(AND(M121="N/A - Culvert",D121&lt;&gt;"Culvert"),"Not possible ▲",IF(AND(D121="Culvert",M121&lt;&gt;"N/A - Culvert"),"Not possible ▲",IF(VLOOKUP(M121,'G-7 WaterC'' Data'!$AA$4:$AB$7,2,FALSE)=0,"Spatial Data Missing ⚠",VLOOKUP(M121,'G-7 WaterC'' Data'!$AA$4:$AB$7,2,FALSE)))))</f>
        <v/>
      </c>
      <c r="O121" s="56"/>
      <c r="P121" s="276" t="str">
        <f>IF(O121="","",IF(AND(O121="N/A - Culvert",D121&lt;&gt;"Culvert"),"Not possible ▲",IF(AND(D121="Culvert",O121&lt;&gt;"N/A - Culvert"),"Not possible ▲",IF(VLOOKUP(O121,'G-7 WaterC'' Data'!$AD$4:$AE$14,2,FALSE)=0,"Spatial Data Missing ⚠",VLOOKUP(O121,'G-7 WaterC'' Data'!$AD$4:$AE$14,2,FALSE)))))</f>
        <v/>
      </c>
      <c r="Q121" s="282" t="str">
        <f>IF(D121="","",VLOOKUP(D121,'G-7 WaterC'' Data'!$B$4:$G$8,6,FALSE))</f>
        <v/>
      </c>
      <c r="R121" s="289" t="str">
        <f t="shared" si="13"/>
        <v xml:space="preserve"> </v>
      </c>
      <c r="S121" s="393"/>
      <c r="T121" s="281" t="str">
        <f>IF(S121="","",IF(VLOOKUP(S121,'G-7 WaterC'' Data'!$AO$4:$BO$7,2,FALSE)=0,"Spatial Data Missing ⚠",VLOOKUP(S121,'G-7 WaterC'' Data'!$AO$4:$BO$7,2,FALSE)))</f>
        <v/>
      </c>
      <c r="U121" s="289" t="str">
        <f t="shared" si="14"/>
        <v xml:space="preserve"> </v>
      </c>
      <c r="V121" s="694" t="str">
        <f t="shared" si="15"/>
        <v/>
      </c>
      <c r="W121" s="32"/>
      <c r="X121" s="101"/>
      <c r="Y121" s="108"/>
      <c r="Z121" s="287" t="str">
        <f t="shared" si="16"/>
        <v/>
      </c>
      <c r="AA121" s="287" t="str">
        <f t="shared" si="17"/>
        <v/>
      </c>
      <c r="AB121" s="287" t="str">
        <f t="shared" si="18"/>
        <v/>
      </c>
      <c r="AC121" s="491" t="str">
        <f>IFERROR(IF(OR(E121="",R121=""),"",IF(AND(AB121&lt;&gt;"",S121=""),"Spatial risk category missing ▲",IF(AND(Q121='G-7 WaterC'' Data'!$G$4,AD121="Yes"),"Alternative Compensation ✓",IF(AND(AD121="Pending",Q121='G-7 WaterC'' Data'!$G$4),"Bespoke compensation must be agreed ▲",IF((Z121+AA121)&gt;=U121,0,U121-Z121-AA121))))),"Check Data ⚠")</f>
        <v/>
      </c>
      <c r="AD121" s="393"/>
      <c r="AE121" s="105"/>
      <c r="AF121" s="104"/>
      <c r="AG121" s="104"/>
      <c r="AH121" s="104"/>
      <c r="AI121" s="54" t="str">
        <f>IF(OR(Q121="",AD121="Yes"),"",IF(Q121='G-1 All Habitats'!$X$9,E121-Y121-X121,"None"))</f>
        <v/>
      </c>
      <c r="AJ121" s="55" t="str">
        <f>IF(Q121="","",IF(Q121='G-1 All Habitats'!$X$9,AI121*G121*I121*L121*N121*P121,"None"))</f>
        <v/>
      </c>
      <c r="AK121" s="30" t="str">
        <f>IFERROR(INDEX('G-7 WaterC'' Data'!$AZ$3:$AZ$7,MATCH(D121,'G-7 WaterC'' Data'!$AY$3:$AY$7,0)),"")</f>
        <v/>
      </c>
      <c r="AL121" s="30">
        <f t="shared" si="19"/>
        <v>0</v>
      </c>
      <c r="AM121" s="107" t="str">
        <f t="shared" si="20"/>
        <v/>
      </c>
      <c r="AN121" s="107" t="str">
        <f t="shared" si="21"/>
        <v/>
      </c>
      <c r="AP121" s="107">
        <v>112</v>
      </c>
      <c r="AR121" s="107" t="str">
        <f t="array" ref="AR121">IFERROR(INDEX($AP$10:$AP$258,MATCH(0,IF(TRUE=$AM$10:$AM$258,COUNTIF($AR$9:$AR120,$AP$10:$AP$258),""),0)),"")</f>
        <v/>
      </c>
      <c r="AS121" s="107" t="str">
        <f t="array" ref="AS121">IFERROR(INDEX($AP$10:$AP$258,MATCH(0,IF(TRUE=$AN$10:$AN$258,COUNTIF($AS$9:$AS120,$AP$10:$AP$258),""),0)),"")</f>
        <v/>
      </c>
      <c r="AT121" s="885" t="str">
        <f>IF(AND(OR(AD121="Yes",AD121="Pending"),Q121='G-7 WaterC'' Data'!$G$4),U121-AA121-Z121,"0")</f>
        <v>0</v>
      </c>
      <c r="AU121" s="30" t="str">
        <f>IF(D121="","",VLOOKUP(D121,'G-7 WaterC'' Data'!B$4:M$8,12,FALSE))</f>
        <v/>
      </c>
      <c r="AV121" s="30" t="str">
        <f t="shared" si="12"/>
        <v/>
      </c>
      <c r="AW121" s="30" t="str">
        <f t="shared" si="22"/>
        <v>No</v>
      </c>
      <c r="BA121" s="555" t="str">
        <f t="shared" si="23"/>
        <v/>
      </c>
    </row>
    <row r="122" spans="3:53" ht="14.5" thickBot="1">
      <c r="C122" s="97">
        <v>113</v>
      </c>
      <c r="D122" s="263"/>
      <c r="E122" s="104"/>
      <c r="F122" s="275" t="str">
        <f>IF(D122="","",VLOOKUP(D122,'G-7 WaterC'' Data'!$B$2:$G$8,2,FALSE))</f>
        <v/>
      </c>
      <c r="G122" s="314" t="str">
        <f>IFERROR(VLOOKUP(F122,'G-7 WaterC'' Data'!$C$4:$D$8,2,FALSE),"")</f>
        <v/>
      </c>
      <c r="H122" s="105"/>
      <c r="I122" s="299" t="str">
        <f>IFERROR(INDEX('G-7 WaterC'' Data'!$H$4:$L$8,MATCH(D122,'G-7 WaterC'' Data'!$B$4:$B$8,0),MATCH(H122,'G-7 WaterC'' Data'!$H$3:$L$3,0)),"")</f>
        <v/>
      </c>
      <c r="J122" s="702"/>
      <c r="K122" s="295" t="str">
        <f>IF(J122="","",IF(VLOOKUP(J122,'G-7 WaterC'' Data'!$AK$4:$AM$9,2,FALSE)=0,"Spatial Data Missing ⚠",VLOOKUP(J122,'G-7 WaterC'' Data'!$AK$4:$AM$6,2,FALSE)))</f>
        <v/>
      </c>
      <c r="L122" s="299" t="str">
        <f>IF(J122="","",IF(VLOOKUP(J122,'G-7 WaterC'' Data'!$AK$4:$AM$9,3,FALSE)=0,"Spatial Data Missing ⚠",VLOOKUP(J122,'G-7 WaterC'' Data'!$AK$4:$AM$6,3,FALSE)))</f>
        <v/>
      </c>
      <c r="M122" s="102"/>
      <c r="N122" s="276" t="str">
        <f>IF(M122="","",IF(AND(M122="N/A - Culvert",D122&lt;&gt;"Culvert"),"Not possible ▲",IF(AND(D122="Culvert",M122&lt;&gt;"N/A - Culvert"),"Not possible ▲",IF(VLOOKUP(M122,'G-7 WaterC'' Data'!$AA$4:$AB$7,2,FALSE)=0,"Spatial Data Missing ⚠",VLOOKUP(M122,'G-7 WaterC'' Data'!$AA$4:$AB$7,2,FALSE)))))</f>
        <v/>
      </c>
      <c r="O122" s="56"/>
      <c r="P122" s="276" t="str">
        <f>IF(O122="","",IF(AND(O122="N/A - Culvert",D122&lt;&gt;"Culvert"),"Not possible ▲",IF(AND(D122="Culvert",O122&lt;&gt;"N/A - Culvert"),"Not possible ▲",IF(VLOOKUP(O122,'G-7 WaterC'' Data'!$AD$4:$AE$14,2,FALSE)=0,"Spatial Data Missing ⚠",VLOOKUP(O122,'G-7 WaterC'' Data'!$AD$4:$AE$14,2,FALSE)))))</f>
        <v/>
      </c>
      <c r="Q122" s="282" t="str">
        <f>IF(D122="","",VLOOKUP(D122,'G-7 WaterC'' Data'!$B$4:$G$8,6,FALSE))</f>
        <v/>
      </c>
      <c r="R122" s="289" t="str">
        <f t="shared" si="13"/>
        <v xml:space="preserve"> </v>
      </c>
      <c r="S122" s="393"/>
      <c r="T122" s="281" t="str">
        <f>IF(S122="","",IF(VLOOKUP(S122,'G-7 WaterC'' Data'!$AO$4:$BO$7,2,FALSE)=0,"Spatial Data Missing ⚠",VLOOKUP(S122,'G-7 WaterC'' Data'!$AO$4:$BO$7,2,FALSE)))</f>
        <v/>
      </c>
      <c r="U122" s="289" t="str">
        <f t="shared" si="14"/>
        <v xml:space="preserve"> </v>
      </c>
      <c r="V122" s="694" t="str">
        <f t="shared" si="15"/>
        <v/>
      </c>
      <c r="W122" s="32"/>
      <c r="X122" s="101"/>
      <c r="Y122" s="108"/>
      <c r="Z122" s="287" t="str">
        <f t="shared" si="16"/>
        <v/>
      </c>
      <c r="AA122" s="287" t="str">
        <f t="shared" si="17"/>
        <v/>
      </c>
      <c r="AB122" s="287" t="str">
        <f t="shared" si="18"/>
        <v/>
      </c>
      <c r="AC122" s="491" t="str">
        <f>IFERROR(IF(OR(E122="",R122=""),"",IF(AND(AB122&lt;&gt;"",S122=""),"Spatial risk category missing ▲",IF(AND(Q122='G-7 WaterC'' Data'!$G$4,AD122="Yes"),"Alternative Compensation ✓",IF(AND(AD122="Pending",Q122='G-7 WaterC'' Data'!$G$4),"Bespoke compensation must be agreed ▲",IF((Z122+AA122)&gt;=U122,0,U122-Z122-AA122))))),"Check Data ⚠")</f>
        <v/>
      </c>
      <c r="AD122" s="393"/>
      <c r="AE122" s="105"/>
      <c r="AF122" s="104"/>
      <c r="AG122" s="104"/>
      <c r="AH122" s="104"/>
      <c r="AI122" s="54" t="str">
        <f>IF(OR(Q122="",AD122="Yes"),"",IF(Q122='G-1 All Habitats'!$X$9,E122-Y122-X122,"None"))</f>
        <v/>
      </c>
      <c r="AJ122" s="55" t="str">
        <f>IF(Q122="","",IF(Q122='G-1 All Habitats'!$X$9,AI122*G122*I122*L122*N122*P122,"None"))</f>
        <v/>
      </c>
      <c r="AK122" s="30" t="str">
        <f>IFERROR(INDEX('G-7 WaterC'' Data'!$AZ$3:$AZ$7,MATCH(D122,'G-7 WaterC'' Data'!$AY$3:$AY$7,0)),"")</f>
        <v/>
      </c>
      <c r="AL122" s="30">
        <f t="shared" si="19"/>
        <v>0</v>
      </c>
      <c r="AM122" s="107" t="str">
        <f t="shared" si="20"/>
        <v/>
      </c>
      <c r="AN122" s="107" t="str">
        <f t="shared" si="21"/>
        <v/>
      </c>
      <c r="AP122" s="107">
        <v>113</v>
      </c>
      <c r="AR122" s="107" t="str">
        <f t="array" ref="AR122">IFERROR(INDEX($AP$10:$AP$258,MATCH(0,IF(TRUE=$AM$10:$AM$258,COUNTIF($AR$9:$AR121,$AP$10:$AP$258),""),0)),"")</f>
        <v/>
      </c>
      <c r="AS122" s="107" t="str">
        <f t="array" ref="AS122">IFERROR(INDEX($AP$10:$AP$258,MATCH(0,IF(TRUE=$AN$10:$AN$258,COUNTIF($AS$9:$AS121,$AP$10:$AP$258),""),0)),"")</f>
        <v/>
      </c>
      <c r="AT122" s="885" t="str">
        <f>IF(AND(OR(AD122="Yes",AD122="Pending"),Q122='G-7 WaterC'' Data'!$G$4),U122-AA122-Z122,"0")</f>
        <v>0</v>
      </c>
      <c r="AU122" s="30" t="str">
        <f>IF(D122="","",VLOOKUP(D122,'G-7 WaterC'' Data'!B$4:M$8,12,FALSE))</f>
        <v/>
      </c>
      <c r="AV122" s="30" t="str">
        <f t="shared" si="12"/>
        <v/>
      </c>
      <c r="AW122" s="30" t="str">
        <f t="shared" si="22"/>
        <v>No</v>
      </c>
      <c r="BA122" s="555" t="str">
        <f t="shared" si="23"/>
        <v/>
      </c>
    </row>
    <row r="123" spans="3:53" ht="14.5" thickBot="1">
      <c r="C123" s="97">
        <v>114</v>
      </c>
      <c r="D123" s="263"/>
      <c r="E123" s="104"/>
      <c r="F123" s="275" t="str">
        <f>IF(D123="","",VLOOKUP(D123,'G-7 WaterC'' Data'!$B$2:$G$8,2,FALSE))</f>
        <v/>
      </c>
      <c r="G123" s="314" t="str">
        <f>IFERROR(VLOOKUP(F123,'G-7 WaterC'' Data'!$C$4:$D$8,2,FALSE),"")</f>
        <v/>
      </c>
      <c r="H123" s="105"/>
      <c r="I123" s="299" t="str">
        <f>IFERROR(INDEX('G-7 WaterC'' Data'!$H$4:$L$8,MATCH(D123,'G-7 WaterC'' Data'!$B$4:$B$8,0),MATCH(H123,'G-7 WaterC'' Data'!$H$3:$L$3,0)),"")</f>
        <v/>
      </c>
      <c r="J123" s="702"/>
      <c r="K123" s="295" t="str">
        <f>IF(J123="","",IF(VLOOKUP(J123,'G-7 WaterC'' Data'!$AK$4:$AM$9,2,FALSE)=0,"Spatial Data Missing ⚠",VLOOKUP(J123,'G-7 WaterC'' Data'!$AK$4:$AM$6,2,FALSE)))</f>
        <v/>
      </c>
      <c r="L123" s="299" t="str">
        <f>IF(J123="","",IF(VLOOKUP(J123,'G-7 WaterC'' Data'!$AK$4:$AM$9,3,FALSE)=0,"Spatial Data Missing ⚠",VLOOKUP(J123,'G-7 WaterC'' Data'!$AK$4:$AM$6,3,FALSE)))</f>
        <v/>
      </c>
      <c r="M123" s="102"/>
      <c r="N123" s="276" t="str">
        <f>IF(M123="","",IF(AND(M123="N/A - Culvert",D123&lt;&gt;"Culvert"),"Not possible ▲",IF(AND(D123="Culvert",M123&lt;&gt;"N/A - Culvert"),"Not possible ▲",IF(VLOOKUP(M123,'G-7 WaterC'' Data'!$AA$4:$AB$7,2,FALSE)=0,"Spatial Data Missing ⚠",VLOOKUP(M123,'G-7 WaterC'' Data'!$AA$4:$AB$7,2,FALSE)))))</f>
        <v/>
      </c>
      <c r="O123" s="56"/>
      <c r="P123" s="276" t="str">
        <f>IF(O123="","",IF(AND(O123="N/A - Culvert",D123&lt;&gt;"Culvert"),"Not possible ▲",IF(AND(D123="Culvert",O123&lt;&gt;"N/A - Culvert"),"Not possible ▲",IF(VLOOKUP(O123,'G-7 WaterC'' Data'!$AD$4:$AE$14,2,FALSE)=0,"Spatial Data Missing ⚠",VLOOKUP(O123,'G-7 WaterC'' Data'!$AD$4:$AE$14,2,FALSE)))))</f>
        <v/>
      </c>
      <c r="Q123" s="282" t="str">
        <f>IF(D123="","",VLOOKUP(D123,'G-7 WaterC'' Data'!$B$4:$G$8,6,FALSE))</f>
        <v/>
      </c>
      <c r="R123" s="289" t="str">
        <f t="shared" si="13"/>
        <v xml:space="preserve"> </v>
      </c>
      <c r="S123" s="393"/>
      <c r="T123" s="281" t="str">
        <f>IF(S123="","",IF(VLOOKUP(S123,'G-7 WaterC'' Data'!$AO$4:$BO$7,2,FALSE)=0,"Spatial Data Missing ⚠",VLOOKUP(S123,'G-7 WaterC'' Data'!$AO$4:$BO$7,2,FALSE)))</f>
        <v/>
      </c>
      <c r="U123" s="289" t="str">
        <f t="shared" si="14"/>
        <v xml:space="preserve"> </v>
      </c>
      <c r="V123" s="694" t="str">
        <f t="shared" si="15"/>
        <v/>
      </c>
      <c r="W123" s="32"/>
      <c r="X123" s="101"/>
      <c r="Y123" s="108"/>
      <c r="Z123" s="287" t="str">
        <f t="shared" si="16"/>
        <v/>
      </c>
      <c r="AA123" s="287" t="str">
        <f t="shared" si="17"/>
        <v/>
      </c>
      <c r="AB123" s="287" t="str">
        <f t="shared" si="18"/>
        <v/>
      </c>
      <c r="AC123" s="491" t="str">
        <f>IFERROR(IF(OR(E123="",R123=""),"",IF(AND(AB123&lt;&gt;"",S123=""),"Spatial risk category missing ▲",IF(AND(Q123='G-7 WaterC'' Data'!$G$4,AD123="Yes"),"Alternative Compensation ✓",IF(AND(AD123="Pending",Q123='G-7 WaterC'' Data'!$G$4),"Bespoke compensation must be agreed ▲",IF((Z123+AA123)&gt;=U123,0,U123-Z123-AA123))))),"Check Data ⚠")</f>
        <v/>
      </c>
      <c r="AD123" s="393"/>
      <c r="AE123" s="105"/>
      <c r="AF123" s="104"/>
      <c r="AG123" s="104"/>
      <c r="AH123" s="104"/>
      <c r="AI123" s="54" t="str">
        <f>IF(OR(Q123="",AD123="Yes"),"",IF(Q123='G-1 All Habitats'!$X$9,E123-Y123-X123,"None"))</f>
        <v/>
      </c>
      <c r="AJ123" s="55" t="str">
        <f>IF(Q123="","",IF(Q123='G-1 All Habitats'!$X$9,AI123*G123*I123*L123*N123*P123,"None"))</f>
        <v/>
      </c>
      <c r="AK123" s="30" t="str">
        <f>IFERROR(INDEX('G-7 WaterC'' Data'!$AZ$3:$AZ$7,MATCH(D123,'G-7 WaterC'' Data'!$AY$3:$AY$7,0)),"")</f>
        <v/>
      </c>
      <c r="AL123" s="30">
        <f t="shared" si="19"/>
        <v>0</v>
      </c>
      <c r="AM123" s="107" t="str">
        <f t="shared" si="20"/>
        <v/>
      </c>
      <c r="AN123" s="107" t="str">
        <f t="shared" si="21"/>
        <v/>
      </c>
      <c r="AP123" s="107">
        <v>114</v>
      </c>
      <c r="AR123" s="107" t="str">
        <f t="array" ref="AR123">IFERROR(INDEX($AP$10:$AP$258,MATCH(0,IF(TRUE=$AM$10:$AM$258,COUNTIF($AR$9:$AR122,$AP$10:$AP$258),""),0)),"")</f>
        <v/>
      </c>
      <c r="AS123" s="107" t="str">
        <f t="array" ref="AS123">IFERROR(INDEX($AP$10:$AP$258,MATCH(0,IF(TRUE=$AN$10:$AN$258,COUNTIF($AS$9:$AS122,$AP$10:$AP$258),""),0)),"")</f>
        <v/>
      </c>
      <c r="AT123" s="885" t="str">
        <f>IF(AND(OR(AD123="Yes",AD123="Pending"),Q123='G-7 WaterC'' Data'!$G$4),U123-AA123-Z123,"0")</f>
        <v>0</v>
      </c>
      <c r="AU123" s="30" t="str">
        <f>IF(D123="","",VLOOKUP(D123,'G-7 WaterC'' Data'!B$4:M$8,12,FALSE))</f>
        <v/>
      </c>
      <c r="AV123" s="30" t="str">
        <f t="shared" si="12"/>
        <v/>
      </c>
      <c r="AW123" s="30" t="str">
        <f t="shared" si="22"/>
        <v>No</v>
      </c>
      <c r="BA123" s="555" t="str">
        <f t="shared" si="23"/>
        <v/>
      </c>
    </row>
    <row r="124" spans="3:53" ht="14.5" thickBot="1">
      <c r="C124" s="97">
        <v>115</v>
      </c>
      <c r="D124" s="263"/>
      <c r="E124" s="104"/>
      <c r="F124" s="275" t="str">
        <f>IF(D124="","",VLOOKUP(D124,'G-7 WaterC'' Data'!$B$2:$G$8,2,FALSE))</f>
        <v/>
      </c>
      <c r="G124" s="314" t="str">
        <f>IFERROR(VLOOKUP(F124,'G-7 WaterC'' Data'!$C$4:$D$8,2,FALSE),"")</f>
        <v/>
      </c>
      <c r="H124" s="105"/>
      <c r="I124" s="299" t="str">
        <f>IFERROR(INDEX('G-7 WaterC'' Data'!$H$4:$L$8,MATCH(D124,'G-7 WaterC'' Data'!$B$4:$B$8,0),MATCH(H124,'G-7 WaterC'' Data'!$H$3:$L$3,0)),"")</f>
        <v/>
      </c>
      <c r="J124" s="702"/>
      <c r="K124" s="295" t="str">
        <f>IF(J124="","",IF(VLOOKUP(J124,'G-7 WaterC'' Data'!$AK$4:$AM$9,2,FALSE)=0,"Spatial Data Missing ⚠",VLOOKUP(J124,'G-7 WaterC'' Data'!$AK$4:$AM$6,2,FALSE)))</f>
        <v/>
      </c>
      <c r="L124" s="299" t="str">
        <f>IF(J124="","",IF(VLOOKUP(J124,'G-7 WaterC'' Data'!$AK$4:$AM$9,3,FALSE)=0,"Spatial Data Missing ⚠",VLOOKUP(J124,'G-7 WaterC'' Data'!$AK$4:$AM$6,3,FALSE)))</f>
        <v/>
      </c>
      <c r="M124" s="102"/>
      <c r="N124" s="276" t="str">
        <f>IF(M124="","",IF(AND(M124="N/A - Culvert",D124&lt;&gt;"Culvert"),"Not possible ▲",IF(AND(D124="Culvert",M124&lt;&gt;"N/A - Culvert"),"Not possible ▲",IF(VLOOKUP(M124,'G-7 WaterC'' Data'!$AA$4:$AB$7,2,FALSE)=0,"Spatial Data Missing ⚠",VLOOKUP(M124,'G-7 WaterC'' Data'!$AA$4:$AB$7,2,FALSE)))))</f>
        <v/>
      </c>
      <c r="O124" s="56"/>
      <c r="P124" s="276" t="str">
        <f>IF(O124="","",IF(AND(O124="N/A - Culvert",D124&lt;&gt;"Culvert"),"Not possible ▲",IF(AND(D124="Culvert",O124&lt;&gt;"N/A - Culvert"),"Not possible ▲",IF(VLOOKUP(O124,'G-7 WaterC'' Data'!$AD$4:$AE$14,2,FALSE)=0,"Spatial Data Missing ⚠",VLOOKUP(O124,'G-7 WaterC'' Data'!$AD$4:$AE$14,2,FALSE)))))</f>
        <v/>
      </c>
      <c r="Q124" s="282" t="str">
        <f>IF(D124="","",VLOOKUP(D124,'G-7 WaterC'' Data'!$B$4:$G$8,6,FALSE))</f>
        <v/>
      </c>
      <c r="R124" s="289" t="str">
        <f t="shared" si="13"/>
        <v xml:space="preserve"> </v>
      </c>
      <c r="S124" s="393"/>
      <c r="T124" s="281" t="str">
        <f>IF(S124="","",IF(VLOOKUP(S124,'G-7 WaterC'' Data'!$AO$4:$BO$7,2,FALSE)=0,"Spatial Data Missing ⚠",VLOOKUP(S124,'G-7 WaterC'' Data'!$AO$4:$BO$7,2,FALSE)))</f>
        <v/>
      </c>
      <c r="U124" s="289" t="str">
        <f t="shared" si="14"/>
        <v xml:space="preserve"> </v>
      </c>
      <c r="V124" s="694" t="str">
        <f t="shared" si="15"/>
        <v/>
      </c>
      <c r="W124" s="32"/>
      <c r="X124" s="101"/>
      <c r="Y124" s="108"/>
      <c r="Z124" s="287" t="str">
        <f t="shared" si="16"/>
        <v/>
      </c>
      <c r="AA124" s="287" t="str">
        <f t="shared" si="17"/>
        <v/>
      </c>
      <c r="AB124" s="287" t="str">
        <f t="shared" si="18"/>
        <v/>
      </c>
      <c r="AC124" s="491" t="str">
        <f>IFERROR(IF(OR(E124="",R124=""),"",IF(AND(AB124&lt;&gt;"",S124=""),"Spatial risk category missing ▲",IF(AND(Q124='G-7 WaterC'' Data'!$G$4,AD124="Yes"),"Alternative Compensation ✓",IF(AND(AD124="Pending",Q124='G-7 WaterC'' Data'!$G$4),"Bespoke compensation must be agreed ▲",IF((Z124+AA124)&gt;=U124,0,U124-Z124-AA124))))),"Check Data ⚠")</f>
        <v/>
      </c>
      <c r="AD124" s="393"/>
      <c r="AE124" s="105"/>
      <c r="AF124" s="104"/>
      <c r="AG124" s="104"/>
      <c r="AH124" s="104"/>
      <c r="AI124" s="54" t="str">
        <f>IF(OR(Q124="",AD124="Yes"),"",IF(Q124='G-1 All Habitats'!$X$9,E124-Y124-X124,"None"))</f>
        <v/>
      </c>
      <c r="AJ124" s="55" t="str">
        <f>IF(Q124="","",IF(Q124='G-1 All Habitats'!$X$9,AI124*G124*I124*L124*N124*P124,"None"))</f>
        <v/>
      </c>
      <c r="AK124" s="30" t="str">
        <f>IFERROR(INDEX('G-7 WaterC'' Data'!$AZ$3:$AZ$7,MATCH(D124,'G-7 WaterC'' Data'!$AY$3:$AY$7,0)),"")</f>
        <v/>
      </c>
      <c r="AL124" s="30">
        <f t="shared" si="19"/>
        <v>0</v>
      </c>
      <c r="AM124" s="107" t="str">
        <f t="shared" si="20"/>
        <v/>
      </c>
      <c r="AN124" s="107" t="str">
        <f t="shared" si="21"/>
        <v/>
      </c>
      <c r="AP124" s="107">
        <v>115</v>
      </c>
      <c r="AR124" s="107" t="str">
        <f t="array" ref="AR124">IFERROR(INDEX($AP$10:$AP$258,MATCH(0,IF(TRUE=$AM$10:$AM$258,COUNTIF($AR$9:$AR123,$AP$10:$AP$258),""),0)),"")</f>
        <v/>
      </c>
      <c r="AS124" s="107" t="str">
        <f t="array" ref="AS124">IFERROR(INDEX($AP$10:$AP$258,MATCH(0,IF(TRUE=$AN$10:$AN$258,COUNTIF($AS$9:$AS123,$AP$10:$AP$258),""),0)),"")</f>
        <v/>
      </c>
      <c r="AT124" s="885" t="str">
        <f>IF(AND(OR(AD124="Yes",AD124="Pending"),Q124='G-7 WaterC'' Data'!$G$4),U124-AA124-Z124,"0")</f>
        <v>0</v>
      </c>
      <c r="AU124" s="30" t="str">
        <f>IF(D124="","",VLOOKUP(D124,'G-7 WaterC'' Data'!B$4:M$8,12,FALSE))</f>
        <v/>
      </c>
      <c r="AV124" s="30" t="str">
        <f t="shared" si="12"/>
        <v/>
      </c>
      <c r="AW124" s="30" t="str">
        <f t="shared" si="22"/>
        <v>No</v>
      </c>
      <c r="BA124" s="555" t="str">
        <f t="shared" si="23"/>
        <v/>
      </c>
    </row>
    <row r="125" spans="3:53" ht="14.5" thickBot="1">
      <c r="C125" s="97">
        <v>116</v>
      </c>
      <c r="D125" s="263"/>
      <c r="E125" s="104"/>
      <c r="F125" s="275" t="str">
        <f>IF(D125="","",VLOOKUP(D125,'G-7 WaterC'' Data'!$B$2:$G$8,2,FALSE))</f>
        <v/>
      </c>
      <c r="G125" s="314" t="str">
        <f>IFERROR(VLOOKUP(F125,'G-7 WaterC'' Data'!$C$4:$D$8,2,FALSE),"")</f>
        <v/>
      </c>
      <c r="H125" s="105"/>
      <c r="I125" s="299" t="str">
        <f>IFERROR(INDEX('G-7 WaterC'' Data'!$H$4:$L$8,MATCH(D125,'G-7 WaterC'' Data'!$B$4:$B$8,0),MATCH(H125,'G-7 WaterC'' Data'!$H$3:$L$3,0)),"")</f>
        <v/>
      </c>
      <c r="J125" s="702"/>
      <c r="K125" s="295" t="str">
        <f>IF(J125="","",IF(VLOOKUP(J125,'G-7 WaterC'' Data'!$AK$4:$AM$9,2,FALSE)=0,"Spatial Data Missing ⚠",VLOOKUP(J125,'G-7 WaterC'' Data'!$AK$4:$AM$6,2,FALSE)))</f>
        <v/>
      </c>
      <c r="L125" s="299" t="str">
        <f>IF(J125="","",IF(VLOOKUP(J125,'G-7 WaterC'' Data'!$AK$4:$AM$9,3,FALSE)=0,"Spatial Data Missing ⚠",VLOOKUP(J125,'G-7 WaterC'' Data'!$AK$4:$AM$6,3,FALSE)))</f>
        <v/>
      </c>
      <c r="M125" s="102"/>
      <c r="N125" s="276" t="str">
        <f>IF(M125="","",IF(AND(M125="N/A - Culvert",D125&lt;&gt;"Culvert"),"Not possible ▲",IF(AND(D125="Culvert",M125&lt;&gt;"N/A - Culvert"),"Not possible ▲",IF(VLOOKUP(M125,'G-7 WaterC'' Data'!$AA$4:$AB$7,2,FALSE)=0,"Spatial Data Missing ⚠",VLOOKUP(M125,'G-7 WaterC'' Data'!$AA$4:$AB$7,2,FALSE)))))</f>
        <v/>
      </c>
      <c r="O125" s="56"/>
      <c r="P125" s="276" t="str">
        <f>IF(O125="","",IF(AND(O125="N/A - Culvert",D125&lt;&gt;"Culvert"),"Not possible ▲",IF(AND(D125="Culvert",O125&lt;&gt;"N/A - Culvert"),"Not possible ▲",IF(VLOOKUP(O125,'G-7 WaterC'' Data'!$AD$4:$AE$14,2,FALSE)=0,"Spatial Data Missing ⚠",VLOOKUP(O125,'G-7 WaterC'' Data'!$AD$4:$AE$14,2,FALSE)))))</f>
        <v/>
      </c>
      <c r="Q125" s="282" t="str">
        <f>IF(D125="","",VLOOKUP(D125,'G-7 WaterC'' Data'!$B$4:$G$8,6,FALSE))</f>
        <v/>
      </c>
      <c r="R125" s="289" t="str">
        <f t="shared" si="13"/>
        <v xml:space="preserve"> </v>
      </c>
      <c r="S125" s="393"/>
      <c r="T125" s="281" t="str">
        <f>IF(S125="","",IF(VLOOKUP(S125,'G-7 WaterC'' Data'!$AO$4:$BO$7,2,FALSE)=0,"Spatial Data Missing ⚠",VLOOKUP(S125,'G-7 WaterC'' Data'!$AO$4:$BO$7,2,FALSE)))</f>
        <v/>
      </c>
      <c r="U125" s="289" t="str">
        <f t="shared" si="14"/>
        <v xml:space="preserve"> </v>
      </c>
      <c r="V125" s="694" t="str">
        <f t="shared" si="15"/>
        <v/>
      </c>
      <c r="W125" s="32"/>
      <c r="X125" s="101"/>
      <c r="Y125" s="108"/>
      <c r="Z125" s="287" t="str">
        <f t="shared" si="16"/>
        <v/>
      </c>
      <c r="AA125" s="287" t="str">
        <f t="shared" si="17"/>
        <v/>
      </c>
      <c r="AB125" s="287" t="str">
        <f t="shared" si="18"/>
        <v/>
      </c>
      <c r="AC125" s="491" t="str">
        <f>IFERROR(IF(OR(E125="",R125=""),"",IF(AND(AB125&lt;&gt;"",S125=""),"Spatial risk category missing ▲",IF(AND(Q125='G-7 WaterC'' Data'!$G$4,AD125="Yes"),"Alternative Compensation ✓",IF(AND(AD125="Pending",Q125='G-7 WaterC'' Data'!$G$4),"Bespoke compensation must be agreed ▲",IF((Z125+AA125)&gt;=U125,0,U125-Z125-AA125))))),"Check Data ⚠")</f>
        <v/>
      </c>
      <c r="AD125" s="393"/>
      <c r="AE125" s="105"/>
      <c r="AF125" s="104"/>
      <c r="AG125" s="104"/>
      <c r="AH125" s="104"/>
      <c r="AI125" s="54" t="str">
        <f>IF(OR(Q125="",AD125="Yes"),"",IF(Q125='G-1 All Habitats'!$X$9,E125-Y125-X125,"None"))</f>
        <v/>
      </c>
      <c r="AJ125" s="55" t="str">
        <f>IF(Q125="","",IF(Q125='G-1 All Habitats'!$X$9,AI125*G125*I125*L125*N125*P125,"None"))</f>
        <v/>
      </c>
      <c r="AK125" s="30" t="str">
        <f>IFERROR(INDEX('G-7 WaterC'' Data'!$AZ$3:$AZ$7,MATCH(D125,'G-7 WaterC'' Data'!$AY$3:$AY$7,0)),"")</f>
        <v/>
      </c>
      <c r="AL125" s="30">
        <f t="shared" si="19"/>
        <v>0</v>
      </c>
      <c r="AM125" s="107" t="str">
        <f t="shared" si="20"/>
        <v/>
      </c>
      <c r="AN125" s="107" t="str">
        <f t="shared" si="21"/>
        <v/>
      </c>
      <c r="AP125" s="107">
        <v>116</v>
      </c>
      <c r="AR125" s="107" t="str">
        <f t="array" ref="AR125">IFERROR(INDEX($AP$10:$AP$258,MATCH(0,IF(TRUE=$AM$10:$AM$258,COUNTIF($AR$9:$AR124,$AP$10:$AP$258),""),0)),"")</f>
        <v/>
      </c>
      <c r="AS125" s="107" t="str">
        <f t="array" ref="AS125">IFERROR(INDEX($AP$10:$AP$258,MATCH(0,IF(TRUE=$AN$10:$AN$258,COUNTIF($AS$9:$AS124,$AP$10:$AP$258),""),0)),"")</f>
        <v/>
      </c>
      <c r="AT125" s="885" t="str">
        <f>IF(AND(OR(AD125="Yes",AD125="Pending"),Q125='G-7 WaterC'' Data'!$G$4),U125-AA125-Z125,"0")</f>
        <v>0</v>
      </c>
      <c r="AU125" s="30" t="str">
        <f>IF(D125="","",VLOOKUP(D125,'G-7 WaterC'' Data'!B$4:M$8,12,FALSE))</f>
        <v/>
      </c>
      <c r="AV125" s="30" t="str">
        <f t="shared" si="12"/>
        <v/>
      </c>
      <c r="AW125" s="30" t="str">
        <f t="shared" si="22"/>
        <v>No</v>
      </c>
      <c r="BA125" s="555" t="str">
        <f t="shared" si="23"/>
        <v/>
      </c>
    </row>
    <row r="126" spans="3:53" ht="14.5" thickBot="1">
      <c r="C126" s="97">
        <v>117</v>
      </c>
      <c r="D126" s="263"/>
      <c r="E126" s="104"/>
      <c r="F126" s="275" t="str">
        <f>IF(D126="","",VLOOKUP(D126,'G-7 WaterC'' Data'!$B$2:$G$8,2,FALSE))</f>
        <v/>
      </c>
      <c r="G126" s="314" t="str">
        <f>IFERROR(VLOOKUP(F126,'G-7 WaterC'' Data'!$C$4:$D$8,2,FALSE),"")</f>
        <v/>
      </c>
      <c r="H126" s="105"/>
      <c r="I126" s="299" t="str">
        <f>IFERROR(INDEX('G-7 WaterC'' Data'!$H$4:$L$8,MATCH(D126,'G-7 WaterC'' Data'!$B$4:$B$8,0),MATCH(H126,'G-7 WaterC'' Data'!$H$3:$L$3,0)),"")</f>
        <v/>
      </c>
      <c r="J126" s="702"/>
      <c r="K126" s="295" t="str">
        <f>IF(J126="","",IF(VLOOKUP(J126,'G-7 WaterC'' Data'!$AK$4:$AM$9,2,FALSE)=0,"Spatial Data Missing ⚠",VLOOKUP(J126,'G-7 WaterC'' Data'!$AK$4:$AM$6,2,FALSE)))</f>
        <v/>
      </c>
      <c r="L126" s="299" t="str">
        <f>IF(J126="","",IF(VLOOKUP(J126,'G-7 WaterC'' Data'!$AK$4:$AM$9,3,FALSE)=0,"Spatial Data Missing ⚠",VLOOKUP(J126,'G-7 WaterC'' Data'!$AK$4:$AM$6,3,FALSE)))</f>
        <v/>
      </c>
      <c r="M126" s="102"/>
      <c r="N126" s="276" t="str">
        <f>IF(M126="","",IF(AND(M126="N/A - Culvert",D126&lt;&gt;"Culvert"),"Not possible ▲",IF(AND(D126="Culvert",M126&lt;&gt;"N/A - Culvert"),"Not possible ▲",IF(VLOOKUP(M126,'G-7 WaterC'' Data'!$AA$4:$AB$7,2,FALSE)=0,"Spatial Data Missing ⚠",VLOOKUP(M126,'G-7 WaterC'' Data'!$AA$4:$AB$7,2,FALSE)))))</f>
        <v/>
      </c>
      <c r="O126" s="56"/>
      <c r="P126" s="276" t="str">
        <f>IF(O126="","",IF(AND(O126="N/A - Culvert",D126&lt;&gt;"Culvert"),"Not possible ▲",IF(AND(D126="Culvert",O126&lt;&gt;"N/A - Culvert"),"Not possible ▲",IF(VLOOKUP(O126,'G-7 WaterC'' Data'!$AD$4:$AE$14,2,FALSE)=0,"Spatial Data Missing ⚠",VLOOKUP(O126,'G-7 WaterC'' Data'!$AD$4:$AE$14,2,FALSE)))))</f>
        <v/>
      </c>
      <c r="Q126" s="282" t="str">
        <f>IF(D126="","",VLOOKUP(D126,'G-7 WaterC'' Data'!$B$4:$G$8,6,FALSE))</f>
        <v/>
      </c>
      <c r="R126" s="289" t="str">
        <f t="shared" si="13"/>
        <v xml:space="preserve"> </v>
      </c>
      <c r="S126" s="393"/>
      <c r="T126" s="281" t="str">
        <f>IF(S126="","",IF(VLOOKUP(S126,'G-7 WaterC'' Data'!$AO$4:$BO$7,2,FALSE)=0,"Spatial Data Missing ⚠",VLOOKUP(S126,'G-7 WaterC'' Data'!$AO$4:$BO$7,2,FALSE)))</f>
        <v/>
      </c>
      <c r="U126" s="289" t="str">
        <f t="shared" si="14"/>
        <v xml:space="preserve"> </v>
      </c>
      <c r="V126" s="694" t="str">
        <f t="shared" si="15"/>
        <v/>
      </c>
      <c r="W126" s="32"/>
      <c r="X126" s="101"/>
      <c r="Y126" s="108"/>
      <c r="Z126" s="287" t="str">
        <f t="shared" si="16"/>
        <v/>
      </c>
      <c r="AA126" s="287" t="str">
        <f t="shared" si="17"/>
        <v/>
      </c>
      <c r="AB126" s="287" t="str">
        <f t="shared" si="18"/>
        <v/>
      </c>
      <c r="AC126" s="491" t="str">
        <f>IFERROR(IF(OR(E126="",R126=""),"",IF(AND(AB126&lt;&gt;"",S126=""),"Spatial risk category missing ▲",IF(AND(Q126='G-7 WaterC'' Data'!$G$4,AD126="Yes"),"Alternative Compensation ✓",IF(AND(AD126="Pending",Q126='G-7 WaterC'' Data'!$G$4),"Bespoke compensation must be agreed ▲",IF((Z126+AA126)&gt;=U126,0,U126-Z126-AA126))))),"Check Data ⚠")</f>
        <v/>
      </c>
      <c r="AD126" s="393"/>
      <c r="AE126" s="105"/>
      <c r="AF126" s="104"/>
      <c r="AG126" s="104"/>
      <c r="AH126" s="104"/>
      <c r="AI126" s="54" t="str">
        <f>IF(OR(Q126="",AD126="Yes"),"",IF(Q126='G-1 All Habitats'!$X$9,E126-Y126-X126,"None"))</f>
        <v/>
      </c>
      <c r="AJ126" s="55" t="str">
        <f>IF(Q126="","",IF(Q126='G-1 All Habitats'!$X$9,AI126*G126*I126*L126*N126*P126,"None"))</f>
        <v/>
      </c>
      <c r="AK126" s="30" t="str">
        <f>IFERROR(INDEX('G-7 WaterC'' Data'!$AZ$3:$AZ$7,MATCH(D126,'G-7 WaterC'' Data'!$AY$3:$AY$7,0)),"")</f>
        <v/>
      </c>
      <c r="AL126" s="30">
        <f t="shared" si="19"/>
        <v>0</v>
      </c>
      <c r="AM126" s="107" t="str">
        <f t="shared" si="20"/>
        <v/>
      </c>
      <c r="AN126" s="107" t="str">
        <f t="shared" si="21"/>
        <v/>
      </c>
      <c r="AP126" s="107">
        <v>117</v>
      </c>
      <c r="AR126" s="107" t="str">
        <f t="array" ref="AR126">IFERROR(INDEX($AP$10:$AP$258,MATCH(0,IF(TRUE=$AM$10:$AM$258,COUNTIF($AR$9:$AR125,$AP$10:$AP$258),""),0)),"")</f>
        <v/>
      </c>
      <c r="AS126" s="107" t="str">
        <f t="array" ref="AS126">IFERROR(INDEX($AP$10:$AP$258,MATCH(0,IF(TRUE=$AN$10:$AN$258,COUNTIF($AS$9:$AS125,$AP$10:$AP$258),""),0)),"")</f>
        <v/>
      </c>
      <c r="AT126" s="885" t="str">
        <f>IF(AND(OR(AD126="Yes",AD126="Pending"),Q126='G-7 WaterC'' Data'!$G$4),U126-AA126-Z126,"0")</f>
        <v>0</v>
      </c>
      <c r="AU126" s="30" t="str">
        <f>IF(D126="","",VLOOKUP(D126,'G-7 WaterC'' Data'!B$4:M$8,12,FALSE))</f>
        <v/>
      </c>
      <c r="AV126" s="30" t="str">
        <f t="shared" si="12"/>
        <v/>
      </c>
      <c r="AW126" s="30" t="str">
        <f t="shared" si="22"/>
        <v>No</v>
      </c>
      <c r="BA126" s="555" t="str">
        <f t="shared" si="23"/>
        <v/>
      </c>
    </row>
    <row r="127" spans="3:53" ht="14.5" thickBot="1">
      <c r="C127" s="97">
        <v>118</v>
      </c>
      <c r="D127" s="263"/>
      <c r="E127" s="104"/>
      <c r="F127" s="275" t="str">
        <f>IF(D127="","",VLOOKUP(D127,'G-7 WaterC'' Data'!$B$2:$G$8,2,FALSE))</f>
        <v/>
      </c>
      <c r="G127" s="314" t="str">
        <f>IFERROR(VLOOKUP(F127,'G-7 WaterC'' Data'!$C$4:$D$8,2,FALSE),"")</f>
        <v/>
      </c>
      <c r="H127" s="105"/>
      <c r="I127" s="299" t="str">
        <f>IFERROR(INDEX('G-7 WaterC'' Data'!$H$4:$L$8,MATCH(D127,'G-7 WaterC'' Data'!$B$4:$B$8,0),MATCH(H127,'G-7 WaterC'' Data'!$H$3:$L$3,0)),"")</f>
        <v/>
      </c>
      <c r="J127" s="702"/>
      <c r="K127" s="295" t="str">
        <f>IF(J127="","",IF(VLOOKUP(J127,'G-7 WaterC'' Data'!$AK$4:$AM$9,2,FALSE)=0,"Spatial Data Missing ⚠",VLOOKUP(J127,'G-7 WaterC'' Data'!$AK$4:$AM$6,2,FALSE)))</f>
        <v/>
      </c>
      <c r="L127" s="299" t="str">
        <f>IF(J127="","",IF(VLOOKUP(J127,'G-7 WaterC'' Data'!$AK$4:$AM$9,3,FALSE)=0,"Spatial Data Missing ⚠",VLOOKUP(J127,'G-7 WaterC'' Data'!$AK$4:$AM$6,3,FALSE)))</f>
        <v/>
      </c>
      <c r="M127" s="102"/>
      <c r="N127" s="276" t="str">
        <f>IF(M127="","",IF(AND(M127="N/A - Culvert",D127&lt;&gt;"Culvert"),"Not possible ▲",IF(AND(D127="Culvert",M127&lt;&gt;"N/A - Culvert"),"Not possible ▲",IF(VLOOKUP(M127,'G-7 WaterC'' Data'!$AA$4:$AB$7,2,FALSE)=0,"Spatial Data Missing ⚠",VLOOKUP(M127,'G-7 WaterC'' Data'!$AA$4:$AB$7,2,FALSE)))))</f>
        <v/>
      </c>
      <c r="O127" s="56"/>
      <c r="P127" s="276" t="str">
        <f>IF(O127="","",IF(AND(O127="N/A - Culvert",D127&lt;&gt;"Culvert"),"Not possible ▲",IF(AND(D127="Culvert",O127&lt;&gt;"N/A - Culvert"),"Not possible ▲",IF(VLOOKUP(O127,'G-7 WaterC'' Data'!$AD$4:$AE$14,2,FALSE)=0,"Spatial Data Missing ⚠",VLOOKUP(O127,'G-7 WaterC'' Data'!$AD$4:$AE$14,2,FALSE)))))</f>
        <v/>
      </c>
      <c r="Q127" s="282" t="str">
        <f>IF(D127="","",VLOOKUP(D127,'G-7 WaterC'' Data'!$B$4:$G$8,6,FALSE))</f>
        <v/>
      </c>
      <c r="R127" s="289" t="str">
        <f t="shared" si="13"/>
        <v xml:space="preserve"> </v>
      </c>
      <c r="S127" s="393"/>
      <c r="T127" s="281" t="str">
        <f>IF(S127="","",IF(VLOOKUP(S127,'G-7 WaterC'' Data'!$AO$4:$BO$7,2,FALSE)=0,"Spatial Data Missing ⚠",VLOOKUP(S127,'G-7 WaterC'' Data'!$AO$4:$BO$7,2,FALSE)))</f>
        <v/>
      </c>
      <c r="U127" s="289" t="str">
        <f t="shared" si="14"/>
        <v xml:space="preserve"> </v>
      </c>
      <c r="V127" s="694" t="str">
        <f t="shared" si="15"/>
        <v/>
      </c>
      <c r="W127" s="32"/>
      <c r="X127" s="101"/>
      <c r="Y127" s="108"/>
      <c r="Z127" s="287" t="str">
        <f t="shared" si="16"/>
        <v/>
      </c>
      <c r="AA127" s="287" t="str">
        <f t="shared" si="17"/>
        <v/>
      </c>
      <c r="AB127" s="287" t="str">
        <f t="shared" si="18"/>
        <v/>
      </c>
      <c r="AC127" s="491" t="str">
        <f>IFERROR(IF(OR(E127="",R127=""),"",IF(AND(AB127&lt;&gt;"",S127=""),"Spatial risk category missing ▲",IF(AND(Q127='G-7 WaterC'' Data'!$G$4,AD127="Yes"),"Alternative Compensation ✓",IF(AND(AD127="Pending",Q127='G-7 WaterC'' Data'!$G$4),"Bespoke compensation must be agreed ▲",IF((Z127+AA127)&gt;=U127,0,U127-Z127-AA127))))),"Check Data ⚠")</f>
        <v/>
      </c>
      <c r="AD127" s="393"/>
      <c r="AE127" s="105"/>
      <c r="AF127" s="104"/>
      <c r="AG127" s="104"/>
      <c r="AH127" s="104"/>
      <c r="AI127" s="54" t="str">
        <f>IF(OR(Q127="",AD127="Yes"),"",IF(Q127='G-1 All Habitats'!$X$9,E127-Y127-X127,"None"))</f>
        <v/>
      </c>
      <c r="AJ127" s="55" t="str">
        <f>IF(Q127="","",IF(Q127='G-1 All Habitats'!$X$9,AI127*G127*I127*L127*N127*P127,"None"))</f>
        <v/>
      </c>
      <c r="AK127" s="30" t="str">
        <f>IFERROR(INDEX('G-7 WaterC'' Data'!$AZ$3:$AZ$7,MATCH(D127,'G-7 WaterC'' Data'!$AY$3:$AY$7,0)),"")</f>
        <v/>
      </c>
      <c r="AL127" s="30">
        <f t="shared" si="19"/>
        <v>0</v>
      </c>
      <c r="AM127" s="107" t="str">
        <f t="shared" si="20"/>
        <v/>
      </c>
      <c r="AN127" s="107" t="str">
        <f t="shared" si="21"/>
        <v/>
      </c>
      <c r="AP127" s="107">
        <v>118</v>
      </c>
      <c r="AR127" s="107" t="str">
        <f t="array" ref="AR127">IFERROR(INDEX($AP$10:$AP$258,MATCH(0,IF(TRUE=$AM$10:$AM$258,COUNTIF($AR$9:$AR126,$AP$10:$AP$258),""),0)),"")</f>
        <v/>
      </c>
      <c r="AS127" s="107" t="str">
        <f t="array" ref="AS127">IFERROR(INDEX($AP$10:$AP$258,MATCH(0,IF(TRUE=$AN$10:$AN$258,COUNTIF($AS$9:$AS126,$AP$10:$AP$258),""),0)),"")</f>
        <v/>
      </c>
      <c r="AT127" s="885" t="str">
        <f>IF(AND(OR(AD127="Yes",AD127="Pending"),Q127='G-7 WaterC'' Data'!$G$4),U127-AA127-Z127,"0")</f>
        <v>0</v>
      </c>
      <c r="AU127" s="30" t="str">
        <f>IF(D127="","",VLOOKUP(D127,'G-7 WaterC'' Data'!B$4:M$8,12,FALSE))</f>
        <v/>
      </c>
      <c r="AV127" s="30" t="str">
        <f t="shared" si="12"/>
        <v/>
      </c>
      <c r="AW127" s="30" t="str">
        <f t="shared" si="22"/>
        <v>No</v>
      </c>
      <c r="BA127" s="555" t="str">
        <f t="shared" si="23"/>
        <v/>
      </c>
    </row>
    <row r="128" spans="3:53" ht="14.5" thickBot="1">
      <c r="C128" s="97">
        <v>119</v>
      </c>
      <c r="D128" s="263"/>
      <c r="E128" s="104"/>
      <c r="F128" s="275" t="str">
        <f>IF(D128="","",VLOOKUP(D128,'G-7 WaterC'' Data'!$B$2:$G$8,2,FALSE))</f>
        <v/>
      </c>
      <c r="G128" s="314" t="str">
        <f>IFERROR(VLOOKUP(F128,'G-7 WaterC'' Data'!$C$4:$D$8,2,FALSE),"")</f>
        <v/>
      </c>
      <c r="H128" s="105"/>
      <c r="I128" s="299" t="str">
        <f>IFERROR(INDEX('G-7 WaterC'' Data'!$H$4:$L$8,MATCH(D128,'G-7 WaterC'' Data'!$B$4:$B$8,0),MATCH(H128,'G-7 WaterC'' Data'!$H$3:$L$3,0)),"")</f>
        <v/>
      </c>
      <c r="J128" s="702"/>
      <c r="K128" s="295" t="str">
        <f>IF(J128="","",IF(VLOOKUP(J128,'G-7 WaterC'' Data'!$AK$4:$AM$9,2,FALSE)=0,"Spatial Data Missing ⚠",VLOOKUP(J128,'G-7 WaterC'' Data'!$AK$4:$AM$6,2,FALSE)))</f>
        <v/>
      </c>
      <c r="L128" s="299" t="str">
        <f>IF(J128="","",IF(VLOOKUP(J128,'G-7 WaterC'' Data'!$AK$4:$AM$9,3,FALSE)=0,"Spatial Data Missing ⚠",VLOOKUP(J128,'G-7 WaterC'' Data'!$AK$4:$AM$6,3,FALSE)))</f>
        <v/>
      </c>
      <c r="M128" s="102"/>
      <c r="N128" s="276" t="str">
        <f>IF(M128="","",IF(AND(M128="N/A - Culvert",D128&lt;&gt;"Culvert"),"Not possible ▲",IF(AND(D128="Culvert",M128&lt;&gt;"N/A - Culvert"),"Not possible ▲",IF(VLOOKUP(M128,'G-7 WaterC'' Data'!$AA$4:$AB$7,2,FALSE)=0,"Spatial Data Missing ⚠",VLOOKUP(M128,'G-7 WaterC'' Data'!$AA$4:$AB$7,2,FALSE)))))</f>
        <v/>
      </c>
      <c r="O128" s="56"/>
      <c r="P128" s="276" t="str">
        <f>IF(O128="","",IF(AND(O128="N/A - Culvert",D128&lt;&gt;"Culvert"),"Not possible ▲",IF(AND(D128="Culvert",O128&lt;&gt;"N/A - Culvert"),"Not possible ▲",IF(VLOOKUP(O128,'G-7 WaterC'' Data'!$AD$4:$AE$14,2,FALSE)=0,"Spatial Data Missing ⚠",VLOOKUP(O128,'G-7 WaterC'' Data'!$AD$4:$AE$14,2,FALSE)))))</f>
        <v/>
      </c>
      <c r="Q128" s="282" t="str">
        <f>IF(D128="","",VLOOKUP(D128,'G-7 WaterC'' Data'!$B$4:$G$8,6,FALSE))</f>
        <v/>
      </c>
      <c r="R128" s="289" t="str">
        <f t="shared" si="13"/>
        <v xml:space="preserve"> </v>
      </c>
      <c r="S128" s="393"/>
      <c r="T128" s="281" t="str">
        <f>IF(S128="","",IF(VLOOKUP(S128,'G-7 WaterC'' Data'!$AO$4:$BO$7,2,FALSE)=0,"Spatial Data Missing ⚠",VLOOKUP(S128,'G-7 WaterC'' Data'!$AO$4:$BO$7,2,FALSE)))</f>
        <v/>
      </c>
      <c r="U128" s="289" t="str">
        <f t="shared" si="14"/>
        <v xml:space="preserve"> </v>
      </c>
      <c r="V128" s="694" t="str">
        <f t="shared" si="15"/>
        <v/>
      </c>
      <c r="W128" s="32"/>
      <c r="X128" s="101"/>
      <c r="Y128" s="108"/>
      <c r="Z128" s="287" t="str">
        <f t="shared" si="16"/>
        <v/>
      </c>
      <c r="AA128" s="287" t="str">
        <f t="shared" si="17"/>
        <v/>
      </c>
      <c r="AB128" s="287" t="str">
        <f t="shared" si="18"/>
        <v/>
      </c>
      <c r="AC128" s="491" t="str">
        <f>IFERROR(IF(OR(E128="",R128=""),"",IF(AND(AB128&lt;&gt;"",S128=""),"Spatial risk category missing ▲",IF(AND(Q128='G-7 WaterC'' Data'!$G$4,AD128="Yes"),"Alternative Compensation ✓",IF(AND(AD128="Pending",Q128='G-7 WaterC'' Data'!$G$4),"Bespoke compensation must be agreed ▲",IF((Z128+AA128)&gt;=U128,0,U128-Z128-AA128))))),"Check Data ⚠")</f>
        <v/>
      </c>
      <c r="AD128" s="393"/>
      <c r="AE128" s="105"/>
      <c r="AF128" s="104"/>
      <c r="AG128" s="104"/>
      <c r="AH128" s="104"/>
      <c r="AI128" s="54" t="str">
        <f>IF(OR(Q128="",AD128="Yes"),"",IF(Q128='G-1 All Habitats'!$X$9,E128-Y128-X128,"None"))</f>
        <v/>
      </c>
      <c r="AJ128" s="55" t="str">
        <f>IF(Q128="","",IF(Q128='G-1 All Habitats'!$X$9,AI128*G128*I128*L128*N128*P128,"None"))</f>
        <v/>
      </c>
      <c r="AK128" s="30" t="str">
        <f>IFERROR(INDEX('G-7 WaterC'' Data'!$AZ$3:$AZ$7,MATCH(D128,'G-7 WaterC'' Data'!$AY$3:$AY$7,0)),"")</f>
        <v/>
      </c>
      <c r="AL128" s="30">
        <f t="shared" si="19"/>
        <v>0</v>
      </c>
      <c r="AM128" s="107" t="str">
        <f t="shared" si="20"/>
        <v/>
      </c>
      <c r="AN128" s="107" t="str">
        <f t="shared" si="21"/>
        <v/>
      </c>
      <c r="AP128" s="107">
        <v>119</v>
      </c>
      <c r="AR128" s="107" t="str">
        <f t="array" ref="AR128">IFERROR(INDEX($AP$10:$AP$258,MATCH(0,IF(TRUE=$AM$10:$AM$258,COUNTIF($AR$9:$AR127,$AP$10:$AP$258),""),0)),"")</f>
        <v/>
      </c>
      <c r="AS128" s="107" t="str">
        <f t="array" ref="AS128">IFERROR(INDEX($AP$10:$AP$258,MATCH(0,IF(TRUE=$AN$10:$AN$258,COUNTIF($AS$9:$AS127,$AP$10:$AP$258),""),0)),"")</f>
        <v/>
      </c>
      <c r="AT128" s="885" t="str">
        <f>IF(AND(OR(AD128="Yes",AD128="Pending"),Q128='G-7 WaterC'' Data'!$G$4),U128-AA128-Z128,"0")</f>
        <v>0</v>
      </c>
      <c r="AU128" s="30" t="str">
        <f>IF(D128="","",VLOOKUP(D128,'G-7 WaterC'' Data'!B$4:M$8,12,FALSE))</f>
        <v/>
      </c>
      <c r="AV128" s="30" t="str">
        <f t="shared" si="12"/>
        <v/>
      </c>
      <c r="AW128" s="30" t="str">
        <f t="shared" si="22"/>
        <v>No</v>
      </c>
      <c r="BA128" s="555" t="str">
        <f t="shared" si="23"/>
        <v/>
      </c>
    </row>
    <row r="129" spans="3:53" ht="14.5" thickBot="1">
      <c r="C129" s="97">
        <v>120</v>
      </c>
      <c r="D129" s="263"/>
      <c r="E129" s="104"/>
      <c r="F129" s="275" t="str">
        <f>IF(D129="","",VLOOKUP(D129,'G-7 WaterC'' Data'!$B$2:$G$8,2,FALSE))</f>
        <v/>
      </c>
      <c r="G129" s="314" t="str">
        <f>IFERROR(VLOOKUP(F129,'G-7 WaterC'' Data'!$C$4:$D$8,2,FALSE),"")</f>
        <v/>
      </c>
      <c r="H129" s="105"/>
      <c r="I129" s="299" t="str">
        <f>IFERROR(INDEX('G-7 WaterC'' Data'!$H$4:$L$8,MATCH(D129,'G-7 WaterC'' Data'!$B$4:$B$8,0),MATCH(H129,'G-7 WaterC'' Data'!$H$3:$L$3,0)),"")</f>
        <v/>
      </c>
      <c r="J129" s="702"/>
      <c r="K129" s="295" t="str">
        <f>IF(J129="","",IF(VLOOKUP(J129,'G-7 WaterC'' Data'!$AK$4:$AM$9,2,FALSE)=0,"Spatial Data Missing ⚠",VLOOKUP(J129,'G-7 WaterC'' Data'!$AK$4:$AM$6,2,FALSE)))</f>
        <v/>
      </c>
      <c r="L129" s="299" t="str">
        <f>IF(J129="","",IF(VLOOKUP(J129,'G-7 WaterC'' Data'!$AK$4:$AM$9,3,FALSE)=0,"Spatial Data Missing ⚠",VLOOKUP(J129,'G-7 WaterC'' Data'!$AK$4:$AM$6,3,FALSE)))</f>
        <v/>
      </c>
      <c r="M129" s="102"/>
      <c r="N129" s="276" t="str">
        <f>IF(M129="","",IF(AND(M129="N/A - Culvert",D129&lt;&gt;"Culvert"),"Not possible ▲",IF(AND(D129="Culvert",M129&lt;&gt;"N/A - Culvert"),"Not possible ▲",IF(VLOOKUP(M129,'G-7 WaterC'' Data'!$AA$4:$AB$7,2,FALSE)=0,"Spatial Data Missing ⚠",VLOOKUP(M129,'G-7 WaterC'' Data'!$AA$4:$AB$7,2,FALSE)))))</f>
        <v/>
      </c>
      <c r="O129" s="56"/>
      <c r="P129" s="276" t="str">
        <f>IF(O129="","",IF(AND(O129="N/A - Culvert",D129&lt;&gt;"Culvert"),"Not possible ▲",IF(AND(D129="Culvert",O129&lt;&gt;"N/A - Culvert"),"Not possible ▲",IF(VLOOKUP(O129,'G-7 WaterC'' Data'!$AD$4:$AE$14,2,FALSE)=0,"Spatial Data Missing ⚠",VLOOKUP(O129,'G-7 WaterC'' Data'!$AD$4:$AE$14,2,FALSE)))))</f>
        <v/>
      </c>
      <c r="Q129" s="282" t="str">
        <f>IF(D129="","",VLOOKUP(D129,'G-7 WaterC'' Data'!$B$4:$G$8,6,FALSE))</f>
        <v/>
      </c>
      <c r="R129" s="289" t="str">
        <f t="shared" si="13"/>
        <v xml:space="preserve"> </v>
      </c>
      <c r="S129" s="393"/>
      <c r="T129" s="281" t="str">
        <f>IF(S129="","",IF(VLOOKUP(S129,'G-7 WaterC'' Data'!$AO$4:$BO$7,2,FALSE)=0,"Spatial Data Missing ⚠",VLOOKUP(S129,'G-7 WaterC'' Data'!$AO$4:$BO$7,2,FALSE)))</f>
        <v/>
      </c>
      <c r="U129" s="289" t="str">
        <f t="shared" si="14"/>
        <v xml:space="preserve"> </v>
      </c>
      <c r="V129" s="694" t="str">
        <f t="shared" si="15"/>
        <v/>
      </c>
      <c r="W129" s="32"/>
      <c r="X129" s="101"/>
      <c r="Y129" s="108"/>
      <c r="Z129" s="287" t="str">
        <f t="shared" si="16"/>
        <v/>
      </c>
      <c r="AA129" s="287" t="str">
        <f t="shared" si="17"/>
        <v/>
      </c>
      <c r="AB129" s="287" t="str">
        <f t="shared" si="18"/>
        <v/>
      </c>
      <c r="AC129" s="491" t="str">
        <f>IFERROR(IF(OR(E129="",R129=""),"",IF(AND(AB129&lt;&gt;"",S129=""),"Spatial risk category missing ▲",IF(AND(Q129='G-7 WaterC'' Data'!$G$4,AD129="Yes"),"Alternative Compensation ✓",IF(AND(AD129="Pending",Q129='G-7 WaterC'' Data'!$G$4),"Bespoke compensation must be agreed ▲",IF((Z129+AA129)&gt;=U129,0,U129-Z129-AA129))))),"Check Data ⚠")</f>
        <v/>
      </c>
      <c r="AD129" s="393"/>
      <c r="AE129" s="105"/>
      <c r="AF129" s="104"/>
      <c r="AG129" s="104"/>
      <c r="AH129" s="104"/>
      <c r="AI129" s="54" t="str">
        <f>IF(OR(Q129="",AD129="Yes"),"",IF(Q129='G-1 All Habitats'!$X$9,E129-Y129-X129,"None"))</f>
        <v/>
      </c>
      <c r="AJ129" s="55" t="str">
        <f>IF(Q129="","",IF(Q129='G-1 All Habitats'!$X$9,AI129*G129*I129*L129*N129*P129,"None"))</f>
        <v/>
      </c>
      <c r="AK129" s="30" t="str">
        <f>IFERROR(INDEX('G-7 WaterC'' Data'!$AZ$3:$AZ$7,MATCH(D129,'G-7 WaterC'' Data'!$AY$3:$AY$7,0)),"")</f>
        <v/>
      </c>
      <c r="AL129" s="30">
        <f t="shared" si="19"/>
        <v>0</v>
      </c>
      <c r="AM129" s="107" t="str">
        <f t="shared" si="20"/>
        <v/>
      </c>
      <c r="AN129" s="107" t="str">
        <f t="shared" si="21"/>
        <v/>
      </c>
      <c r="AP129" s="107">
        <v>120</v>
      </c>
      <c r="AR129" s="107" t="str">
        <f t="array" ref="AR129">IFERROR(INDEX($AP$10:$AP$258,MATCH(0,IF(TRUE=$AM$10:$AM$258,COUNTIF($AR$9:$AR128,$AP$10:$AP$258),""),0)),"")</f>
        <v/>
      </c>
      <c r="AS129" s="107" t="str">
        <f t="array" ref="AS129">IFERROR(INDEX($AP$10:$AP$258,MATCH(0,IF(TRUE=$AN$10:$AN$258,COUNTIF($AS$9:$AS128,$AP$10:$AP$258),""),0)),"")</f>
        <v/>
      </c>
      <c r="AT129" s="885" t="str">
        <f>IF(AND(OR(AD129="Yes",AD129="Pending"),Q129='G-7 WaterC'' Data'!$G$4),U129-AA129-Z129,"0")</f>
        <v>0</v>
      </c>
      <c r="AU129" s="30" t="str">
        <f>IF(D129="","",VLOOKUP(D129,'G-7 WaterC'' Data'!B$4:M$8,12,FALSE))</f>
        <v/>
      </c>
      <c r="AV129" s="30" t="str">
        <f t="shared" si="12"/>
        <v/>
      </c>
      <c r="AW129" s="30" t="str">
        <f t="shared" si="22"/>
        <v>No</v>
      </c>
      <c r="BA129" s="555" t="str">
        <f t="shared" si="23"/>
        <v/>
      </c>
    </row>
    <row r="130" spans="3:53" ht="14.5" thickBot="1">
      <c r="C130" s="97">
        <v>121</v>
      </c>
      <c r="D130" s="263"/>
      <c r="E130" s="104"/>
      <c r="F130" s="275" t="str">
        <f>IF(D130="","",VLOOKUP(D130,'G-7 WaterC'' Data'!$B$2:$G$8,2,FALSE))</f>
        <v/>
      </c>
      <c r="G130" s="314" t="str">
        <f>IFERROR(VLOOKUP(F130,'G-7 WaterC'' Data'!$C$4:$D$8,2,FALSE),"")</f>
        <v/>
      </c>
      <c r="H130" s="105"/>
      <c r="I130" s="299" t="str">
        <f>IFERROR(INDEX('G-7 WaterC'' Data'!$H$4:$L$8,MATCH(D130,'G-7 WaterC'' Data'!$B$4:$B$8,0),MATCH(H130,'G-7 WaterC'' Data'!$H$3:$L$3,0)),"")</f>
        <v/>
      </c>
      <c r="J130" s="702"/>
      <c r="K130" s="295" t="str">
        <f>IF(J130="","",IF(VLOOKUP(J130,'G-7 WaterC'' Data'!$AK$4:$AM$9,2,FALSE)=0,"Spatial Data Missing ⚠",VLOOKUP(J130,'G-7 WaterC'' Data'!$AK$4:$AM$6,2,FALSE)))</f>
        <v/>
      </c>
      <c r="L130" s="299" t="str">
        <f>IF(J130="","",IF(VLOOKUP(J130,'G-7 WaterC'' Data'!$AK$4:$AM$9,3,FALSE)=0,"Spatial Data Missing ⚠",VLOOKUP(J130,'G-7 WaterC'' Data'!$AK$4:$AM$6,3,FALSE)))</f>
        <v/>
      </c>
      <c r="M130" s="102"/>
      <c r="N130" s="276" t="str">
        <f>IF(M130="","",IF(AND(M130="N/A - Culvert",D130&lt;&gt;"Culvert"),"Not possible ▲",IF(AND(D130="Culvert",M130&lt;&gt;"N/A - Culvert"),"Not possible ▲",IF(VLOOKUP(M130,'G-7 WaterC'' Data'!$AA$4:$AB$7,2,FALSE)=0,"Spatial Data Missing ⚠",VLOOKUP(M130,'G-7 WaterC'' Data'!$AA$4:$AB$7,2,FALSE)))))</f>
        <v/>
      </c>
      <c r="O130" s="56"/>
      <c r="P130" s="276" t="str">
        <f>IF(O130="","",IF(AND(O130="N/A - Culvert",D130&lt;&gt;"Culvert"),"Not possible ▲",IF(AND(D130="Culvert",O130&lt;&gt;"N/A - Culvert"),"Not possible ▲",IF(VLOOKUP(O130,'G-7 WaterC'' Data'!$AD$4:$AE$14,2,FALSE)=0,"Spatial Data Missing ⚠",VLOOKUP(O130,'G-7 WaterC'' Data'!$AD$4:$AE$14,2,FALSE)))))</f>
        <v/>
      </c>
      <c r="Q130" s="282" t="str">
        <f>IF(D130="","",VLOOKUP(D130,'G-7 WaterC'' Data'!$B$4:$G$8,6,FALSE))</f>
        <v/>
      </c>
      <c r="R130" s="289" t="str">
        <f t="shared" si="13"/>
        <v xml:space="preserve"> </v>
      </c>
      <c r="S130" s="393"/>
      <c r="T130" s="281" t="str">
        <f>IF(S130="","",IF(VLOOKUP(S130,'G-7 WaterC'' Data'!$AO$4:$BO$7,2,FALSE)=0,"Spatial Data Missing ⚠",VLOOKUP(S130,'G-7 WaterC'' Data'!$AO$4:$BO$7,2,FALSE)))</f>
        <v/>
      </c>
      <c r="U130" s="289" t="str">
        <f t="shared" si="14"/>
        <v xml:space="preserve"> </v>
      </c>
      <c r="V130" s="694" t="str">
        <f t="shared" si="15"/>
        <v/>
      </c>
      <c r="W130" s="32"/>
      <c r="X130" s="101"/>
      <c r="Y130" s="108"/>
      <c r="Z130" s="287" t="str">
        <f t="shared" si="16"/>
        <v/>
      </c>
      <c r="AA130" s="287" t="str">
        <f t="shared" si="17"/>
        <v/>
      </c>
      <c r="AB130" s="287" t="str">
        <f t="shared" si="18"/>
        <v/>
      </c>
      <c r="AC130" s="491" t="str">
        <f>IFERROR(IF(OR(E130="",R130=""),"",IF(AND(AB130&lt;&gt;"",S130=""),"Spatial risk category missing ▲",IF(AND(Q130='G-7 WaterC'' Data'!$G$4,AD130="Yes"),"Alternative Compensation ✓",IF(AND(AD130="Pending",Q130='G-7 WaterC'' Data'!$G$4),"Bespoke compensation must be agreed ▲",IF((Z130+AA130)&gt;=U130,0,U130-Z130-AA130))))),"Check Data ⚠")</f>
        <v/>
      </c>
      <c r="AD130" s="393"/>
      <c r="AE130" s="105"/>
      <c r="AF130" s="104"/>
      <c r="AG130" s="104"/>
      <c r="AH130" s="104"/>
      <c r="AI130" s="54" t="str">
        <f>IF(OR(Q130="",AD130="Yes"),"",IF(Q130='G-1 All Habitats'!$X$9,E130-Y130-X130,"None"))</f>
        <v/>
      </c>
      <c r="AJ130" s="55" t="str">
        <f>IF(Q130="","",IF(Q130='G-1 All Habitats'!$X$9,AI130*G130*I130*L130*N130*P130,"None"))</f>
        <v/>
      </c>
      <c r="AK130" s="30" t="str">
        <f>IFERROR(INDEX('G-7 WaterC'' Data'!$AZ$3:$AZ$7,MATCH(D130,'G-7 WaterC'' Data'!$AY$3:$AY$7,0)),"")</f>
        <v/>
      </c>
      <c r="AL130" s="30">
        <f t="shared" si="19"/>
        <v>0</v>
      </c>
      <c r="AM130" s="107" t="str">
        <f t="shared" si="20"/>
        <v/>
      </c>
      <c r="AN130" s="107" t="str">
        <f t="shared" si="21"/>
        <v/>
      </c>
      <c r="AP130" s="107">
        <v>121</v>
      </c>
      <c r="AR130" s="107" t="str">
        <f t="array" ref="AR130">IFERROR(INDEX($AP$10:$AP$258,MATCH(0,IF(TRUE=$AM$10:$AM$258,COUNTIF($AR$9:$AR129,$AP$10:$AP$258),""),0)),"")</f>
        <v/>
      </c>
      <c r="AS130" s="107" t="str">
        <f t="array" ref="AS130">IFERROR(INDEX($AP$10:$AP$258,MATCH(0,IF(TRUE=$AN$10:$AN$258,COUNTIF($AS$9:$AS129,$AP$10:$AP$258),""),0)),"")</f>
        <v/>
      </c>
      <c r="AT130" s="885" t="str">
        <f>IF(AND(OR(AD130="Yes",AD130="Pending"),Q130='G-7 WaterC'' Data'!$G$4),U130-AA130-Z130,"0")</f>
        <v>0</v>
      </c>
      <c r="AU130" s="30" t="str">
        <f>IF(D130="","",VLOOKUP(D130,'G-7 WaterC'' Data'!B$4:M$8,12,FALSE))</f>
        <v/>
      </c>
      <c r="AV130" s="30" t="str">
        <f t="shared" si="12"/>
        <v/>
      </c>
      <c r="AW130" s="30" t="str">
        <f t="shared" si="22"/>
        <v>No</v>
      </c>
      <c r="BA130" s="555" t="str">
        <f t="shared" si="23"/>
        <v/>
      </c>
    </row>
    <row r="131" spans="3:53" ht="14.5" thickBot="1">
      <c r="C131" s="97">
        <v>122</v>
      </c>
      <c r="D131" s="263"/>
      <c r="E131" s="104"/>
      <c r="F131" s="275" t="str">
        <f>IF(D131="","",VLOOKUP(D131,'G-7 WaterC'' Data'!$B$2:$G$8,2,FALSE))</f>
        <v/>
      </c>
      <c r="G131" s="314" t="str">
        <f>IFERROR(VLOOKUP(F131,'G-7 WaterC'' Data'!$C$4:$D$8,2,FALSE),"")</f>
        <v/>
      </c>
      <c r="H131" s="105"/>
      <c r="I131" s="299" t="str">
        <f>IFERROR(INDEX('G-7 WaterC'' Data'!$H$4:$L$8,MATCH(D131,'G-7 WaterC'' Data'!$B$4:$B$8,0),MATCH(H131,'G-7 WaterC'' Data'!$H$3:$L$3,0)),"")</f>
        <v/>
      </c>
      <c r="J131" s="702"/>
      <c r="K131" s="295" t="str">
        <f>IF(J131="","",IF(VLOOKUP(J131,'G-7 WaterC'' Data'!$AK$4:$AM$9,2,FALSE)=0,"Spatial Data Missing ⚠",VLOOKUP(J131,'G-7 WaterC'' Data'!$AK$4:$AM$6,2,FALSE)))</f>
        <v/>
      </c>
      <c r="L131" s="299" t="str">
        <f>IF(J131="","",IF(VLOOKUP(J131,'G-7 WaterC'' Data'!$AK$4:$AM$9,3,FALSE)=0,"Spatial Data Missing ⚠",VLOOKUP(J131,'G-7 WaterC'' Data'!$AK$4:$AM$6,3,FALSE)))</f>
        <v/>
      </c>
      <c r="M131" s="102"/>
      <c r="N131" s="276" t="str">
        <f>IF(M131="","",IF(AND(M131="N/A - Culvert",D131&lt;&gt;"Culvert"),"Not possible ▲",IF(AND(D131="Culvert",M131&lt;&gt;"N/A - Culvert"),"Not possible ▲",IF(VLOOKUP(M131,'G-7 WaterC'' Data'!$AA$4:$AB$7,2,FALSE)=0,"Spatial Data Missing ⚠",VLOOKUP(M131,'G-7 WaterC'' Data'!$AA$4:$AB$7,2,FALSE)))))</f>
        <v/>
      </c>
      <c r="O131" s="56"/>
      <c r="P131" s="276" t="str">
        <f>IF(O131="","",IF(AND(O131="N/A - Culvert",D131&lt;&gt;"Culvert"),"Not possible ▲",IF(AND(D131="Culvert",O131&lt;&gt;"N/A - Culvert"),"Not possible ▲",IF(VLOOKUP(O131,'G-7 WaterC'' Data'!$AD$4:$AE$14,2,FALSE)=0,"Spatial Data Missing ⚠",VLOOKUP(O131,'G-7 WaterC'' Data'!$AD$4:$AE$14,2,FALSE)))))</f>
        <v/>
      </c>
      <c r="Q131" s="282" t="str">
        <f>IF(D131="","",VLOOKUP(D131,'G-7 WaterC'' Data'!$B$4:$G$8,6,FALSE))</f>
        <v/>
      </c>
      <c r="R131" s="289" t="str">
        <f t="shared" si="13"/>
        <v xml:space="preserve"> </v>
      </c>
      <c r="S131" s="393"/>
      <c r="T131" s="281" t="str">
        <f>IF(S131="","",IF(VLOOKUP(S131,'G-7 WaterC'' Data'!$AO$4:$BO$7,2,FALSE)=0,"Spatial Data Missing ⚠",VLOOKUP(S131,'G-7 WaterC'' Data'!$AO$4:$BO$7,2,FALSE)))</f>
        <v/>
      </c>
      <c r="U131" s="289" t="str">
        <f t="shared" si="14"/>
        <v xml:space="preserve"> </v>
      </c>
      <c r="V131" s="694" t="str">
        <f t="shared" si="15"/>
        <v/>
      </c>
      <c r="W131" s="32"/>
      <c r="X131" s="101"/>
      <c r="Y131" s="108"/>
      <c r="Z131" s="287" t="str">
        <f t="shared" si="16"/>
        <v/>
      </c>
      <c r="AA131" s="287" t="str">
        <f t="shared" si="17"/>
        <v/>
      </c>
      <c r="AB131" s="287" t="str">
        <f t="shared" si="18"/>
        <v/>
      </c>
      <c r="AC131" s="491" t="str">
        <f>IFERROR(IF(OR(E131="",R131=""),"",IF(AND(AB131&lt;&gt;"",S131=""),"Spatial risk category missing ▲",IF(AND(Q131='G-7 WaterC'' Data'!$G$4,AD131="Yes"),"Alternative Compensation ✓",IF(AND(AD131="Pending",Q131='G-7 WaterC'' Data'!$G$4),"Bespoke compensation must be agreed ▲",IF((Z131+AA131)&gt;=U131,0,U131-Z131-AA131))))),"Check Data ⚠")</f>
        <v/>
      </c>
      <c r="AD131" s="393"/>
      <c r="AE131" s="105"/>
      <c r="AF131" s="104"/>
      <c r="AG131" s="104"/>
      <c r="AH131" s="104"/>
      <c r="AI131" s="54" t="str">
        <f>IF(OR(Q131="",AD131="Yes"),"",IF(Q131='G-1 All Habitats'!$X$9,E131-Y131-X131,"None"))</f>
        <v/>
      </c>
      <c r="AJ131" s="55" t="str">
        <f>IF(Q131="","",IF(Q131='G-1 All Habitats'!$X$9,AI131*G131*I131*L131*N131*P131,"None"))</f>
        <v/>
      </c>
      <c r="AK131" s="30" t="str">
        <f>IFERROR(INDEX('G-7 WaterC'' Data'!$AZ$3:$AZ$7,MATCH(D131,'G-7 WaterC'' Data'!$AY$3:$AY$7,0)),"")</f>
        <v/>
      </c>
      <c r="AL131" s="30">
        <f t="shared" si="19"/>
        <v>0</v>
      </c>
      <c r="AM131" s="107" t="str">
        <f t="shared" si="20"/>
        <v/>
      </c>
      <c r="AN131" s="107" t="str">
        <f t="shared" si="21"/>
        <v/>
      </c>
      <c r="AP131" s="107">
        <v>122</v>
      </c>
      <c r="AR131" s="107" t="str">
        <f t="array" ref="AR131">IFERROR(INDEX($AP$10:$AP$258,MATCH(0,IF(TRUE=$AM$10:$AM$258,COUNTIF($AR$9:$AR130,$AP$10:$AP$258),""),0)),"")</f>
        <v/>
      </c>
      <c r="AS131" s="107" t="str">
        <f t="array" ref="AS131">IFERROR(INDEX($AP$10:$AP$258,MATCH(0,IF(TRUE=$AN$10:$AN$258,COUNTIF($AS$9:$AS130,$AP$10:$AP$258),""),0)),"")</f>
        <v/>
      </c>
      <c r="AT131" s="885" t="str">
        <f>IF(AND(OR(AD131="Yes",AD131="Pending"),Q131='G-7 WaterC'' Data'!$G$4),U131-AA131-Z131,"0")</f>
        <v>0</v>
      </c>
      <c r="AU131" s="30" t="str">
        <f>IF(D131="","",VLOOKUP(D131,'G-7 WaterC'' Data'!B$4:M$8,12,FALSE))</f>
        <v/>
      </c>
      <c r="AV131" s="30" t="str">
        <f t="shared" si="12"/>
        <v/>
      </c>
      <c r="AW131" s="30" t="str">
        <f t="shared" si="22"/>
        <v>No</v>
      </c>
      <c r="BA131" s="555" t="str">
        <f t="shared" si="23"/>
        <v/>
      </c>
    </row>
    <row r="132" spans="3:53" ht="14.5" thickBot="1">
      <c r="C132" s="97">
        <v>123</v>
      </c>
      <c r="D132" s="263"/>
      <c r="E132" s="104"/>
      <c r="F132" s="275" t="str">
        <f>IF(D132="","",VLOOKUP(D132,'G-7 WaterC'' Data'!$B$2:$G$8,2,FALSE))</f>
        <v/>
      </c>
      <c r="G132" s="314" t="str">
        <f>IFERROR(VLOOKUP(F132,'G-7 WaterC'' Data'!$C$4:$D$8,2,FALSE),"")</f>
        <v/>
      </c>
      <c r="H132" s="105"/>
      <c r="I132" s="299" t="str">
        <f>IFERROR(INDEX('G-7 WaterC'' Data'!$H$4:$L$8,MATCH(D132,'G-7 WaterC'' Data'!$B$4:$B$8,0),MATCH(H132,'G-7 WaterC'' Data'!$H$3:$L$3,0)),"")</f>
        <v/>
      </c>
      <c r="J132" s="702"/>
      <c r="K132" s="295" t="str">
        <f>IF(J132="","",IF(VLOOKUP(J132,'G-7 WaterC'' Data'!$AK$4:$AM$9,2,FALSE)=0,"Spatial Data Missing ⚠",VLOOKUP(J132,'G-7 WaterC'' Data'!$AK$4:$AM$6,2,FALSE)))</f>
        <v/>
      </c>
      <c r="L132" s="299" t="str">
        <f>IF(J132="","",IF(VLOOKUP(J132,'G-7 WaterC'' Data'!$AK$4:$AM$9,3,FALSE)=0,"Spatial Data Missing ⚠",VLOOKUP(J132,'G-7 WaterC'' Data'!$AK$4:$AM$6,3,FALSE)))</f>
        <v/>
      </c>
      <c r="M132" s="102"/>
      <c r="N132" s="276" t="str">
        <f>IF(M132="","",IF(AND(M132="N/A - Culvert",D132&lt;&gt;"Culvert"),"Not possible ▲",IF(AND(D132="Culvert",M132&lt;&gt;"N/A - Culvert"),"Not possible ▲",IF(VLOOKUP(M132,'G-7 WaterC'' Data'!$AA$4:$AB$7,2,FALSE)=0,"Spatial Data Missing ⚠",VLOOKUP(M132,'G-7 WaterC'' Data'!$AA$4:$AB$7,2,FALSE)))))</f>
        <v/>
      </c>
      <c r="O132" s="56"/>
      <c r="P132" s="276" t="str">
        <f>IF(O132="","",IF(AND(O132="N/A - Culvert",D132&lt;&gt;"Culvert"),"Not possible ▲",IF(AND(D132="Culvert",O132&lt;&gt;"N/A - Culvert"),"Not possible ▲",IF(VLOOKUP(O132,'G-7 WaterC'' Data'!$AD$4:$AE$14,2,FALSE)=0,"Spatial Data Missing ⚠",VLOOKUP(O132,'G-7 WaterC'' Data'!$AD$4:$AE$14,2,FALSE)))))</f>
        <v/>
      </c>
      <c r="Q132" s="282" t="str">
        <f>IF(D132="","",VLOOKUP(D132,'G-7 WaterC'' Data'!$B$4:$G$8,6,FALSE))</f>
        <v/>
      </c>
      <c r="R132" s="289" t="str">
        <f t="shared" si="13"/>
        <v xml:space="preserve"> </v>
      </c>
      <c r="S132" s="393"/>
      <c r="T132" s="281" t="str">
        <f>IF(S132="","",IF(VLOOKUP(S132,'G-7 WaterC'' Data'!$AO$4:$BO$7,2,FALSE)=0,"Spatial Data Missing ⚠",VLOOKUP(S132,'G-7 WaterC'' Data'!$AO$4:$BO$7,2,FALSE)))</f>
        <v/>
      </c>
      <c r="U132" s="289" t="str">
        <f t="shared" si="14"/>
        <v xml:space="preserve"> </v>
      </c>
      <c r="V132" s="694" t="str">
        <f t="shared" si="15"/>
        <v/>
      </c>
      <c r="W132" s="32"/>
      <c r="X132" s="101"/>
      <c r="Y132" s="108"/>
      <c r="Z132" s="287" t="str">
        <f t="shared" si="16"/>
        <v/>
      </c>
      <c r="AA132" s="287" t="str">
        <f t="shared" si="17"/>
        <v/>
      </c>
      <c r="AB132" s="287" t="str">
        <f t="shared" si="18"/>
        <v/>
      </c>
      <c r="AC132" s="491" t="str">
        <f>IFERROR(IF(OR(E132="",R132=""),"",IF(AND(AB132&lt;&gt;"",S132=""),"Spatial risk category missing ▲",IF(AND(Q132='G-7 WaterC'' Data'!$G$4,AD132="Yes"),"Alternative Compensation ✓",IF(AND(AD132="Pending",Q132='G-7 WaterC'' Data'!$G$4),"Bespoke compensation must be agreed ▲",IF((Z132+AA132)&gt;=U132,0,U132-Z132-AA132))))),"Check Data ⚠")</f>
        <v/>
      </c>
      <c r="AD132" s="393"/>
      <c r="AE132" s="105"/>
      <c r="AF132" s="104"/>
      <c r="AG132" s="104"/>
      <c r="AH132" s="104"/>
      <c r="AI132" s="54" t="str">
        <f>IF(OR(Q132="",AD132="Yes"),"",IF(Q132='G-1 All Habitats'!$X$9,E132-Y132-X132,"None"))</f>
        <v/>
      </c>
      <c r="AJ132" s="55" t="str">
        <f>IF(Q132="","",IF(Q132='G-1 All Habitats'!$X$9,AI132*G132*I132*L132*N132*P132,"None"))</f>
        <v/>
      </c>
      <c r="AK132" s="30" t="str">
        <f>IFERROR(INDEX('G-7 WaterC'' Data'!$AZ$3:$AZ$7,MATCH(D132,'G-7 WaterC'' Data'!$AY$3:$AY$7,0)),"")</f>
        <v/>
      </c>
      <c r="AL132" s="30">
        <f t="shared" si="19"/>
        <v>0</v>
      </c>
      <c r="AM132" s="107" t="str">
        <f t="shared" si="20"/>
        <v/>
      </c>
      <c r="AN132" s="107" t="str">
        <f t="shared" si="21"/>
        <v/>
      </c>
      <c r="AP132" s="107">
        <v>123</v>
      </c>
      <c r="AR132" s="107" t="str">
        <f t="array" ref="AR132">IFERROR(INDEX($AP$10:$AP$258,MATCH(0,IF(TRUE=$AM$10:$AM$258,COUNTIF($AR$9:$AR131,$AP$10:$AP$258),""),0)),"")</f>
        <v/>
      </c>
      <c r="AS132" s="107" t="str">
        <f t="array" ref="AS132">IFERROR(INDEX($AP$10:$AP$258,MATCH(0,IF(TRUE=$AN$10:$AN$258,COUNTIF($AS$9:$AS131,$AP$10:$AP$258),""),0)),"")</f>
        <v/>
      </c>
      <c r="AT132" s="885" t="str">
        <f>IF(AND(OR(AD132="Yes",AD132="Pending"),Q132='G-7 WaterC'' Data'!$G$4),U132-AA132-Z132,"0")</f>
        <v>0</v>
      </c>
      <c r="AU132" s="30" t="str">
        <f>IF(D132="","",VLOOKUP(D132,'G-7 WaterC'' Data'!B$4:M$8,12,FALSE))</f>
        <v/>
      </c>
      <c r="AV132" s="30" t="str">
        <f t="shared" si="12"/>
        <v/>
      </c>
      <c r="AW132" s="30" t="str">
        <f t="shared" si="22"/>
        <v>No</v>
      </c>
      <c r="BA132" s="555" t="str">
        <f t="shared" si="23"/>
        <v/>
      </c>
    </row>
    <row r="133" spans="3:53" ht="14.5" thickBot="1">
      <c r="C133" s="97">
        <v>124</v>
      </c>
      <c r="D133" s="263"/>
      <c r="E133" s="104"/>
      <c r="F133" s="275" t="str">
        <f>IF(D133="","",VLOOKUP(D133,'G-7 WaterC'' Data'!$B$2:$G$8,2,FALSE))</f>
        <v/>
      </c>
      <c r="G133" s="314" t="str">
        <f>IFERROR(VLOOKUP(F133,'G-7 WaterC'' Data'!$C$4:$D$8,2,FALSE),"")</f>
        <v/>
      </c>
      <c r="H133" s="105"/>
      <c r="I133" s="299" t="str">
        <f>IFERROR(INDEX('G-7 WaterC'' Data'!$H$4:$L$8,MATCH(D133,'G-7 WaterC'' Data'!$B$4:$B$8,0),MATCH(H133,'G-7 WaterC'' Data'!$H$3:$L$3,0)),"")</f>
        <v/>
      </c>
      <c r="J133" s="702"/>
      <c r="K133" s="295" t="str">
        <f>IF(J133="","",IF(VLOOKUP(J133,'G-7 WaterC'' Data'!$AK$4:$AM$9,2,FALSE)=0,"Spatial Data Missing ⚠",VLOOKUP(J133,'G-7 WaterC'' Data'!$AK$4:$AM$6,2,FALSE)))</f>
        <v/>
      </c>
      <c r="L133" s="299" t="str">
        <f>IF(J133="","",IF(VLOOKUP(J133,'G-7 WaterC'' Data'!$AK$4:$AM$9,3,FALSE)=0,"Spatial Data Missing ⚠",VLOOKUP(J133,'G-7 WaterC'' Data'!$AK$4:$AM$6,3,FALSE)))</f>
        <v/>
      </c>
      <c r="M133" s="102"/>
      <c r="N133" s="276" t="str">
        <f>IF(M133="","",IF(AND(M133="N/A - Culvert",D133&lt;&gt;"Culvert"),"Not possible ▲",IF(AND(D133="Culvert",M133&lt;&gt;"N/A - Culvert"),"Not possible ▲",IF(VLOOKUP(M133,'G-7 WaterC'' Data'!$AA$4:$AB$7,2,FALSE)=0,"Spatial Data Missing ⚠",VLOOKUP(M133,'G-7 WaterC'' Data'!$AA$4:$AB$7,2,FALSE)))))</f>
        <v/>
      </c>
      <c r="O133" s="56"/>
      <c r="P133" s="276" t="str">
        <f>IF(O133="","",IF(AND(O133="N/A - Culvert",D133&lt;&gt;"Culvert"),"Not possible ▲",IF(AND(D133="Culvert",O133&lt;&gt;"N/A - Culvert"),"Not possible ▲",IF(VLOOKUP(O133,'G-7 WaterC'' Data'!$AD$4:$AE$14,2,FALSE)=0,"Spatial Data Missing ⚠",VLOOKUP(O133,'G-7 WaterC'' Data'!$AD$4:$AE$14,2,FALSE)))))</f>
        <v/>
      </c>
      <c r="Q133" s="282" t="str">
        <f>IF(D133="","",VLOOKUP(D133,'G-7 WaterC'' Data'!$B$4:$G$8,6,FALSE))</f>
        <v/>
      </c>
      <c r="R133" s="289" t="str">
        <f t="shared" si="13"/>
        <v xml:space="preserve"> </v>
      </c>
      <c r="S133" s="393"/>
      <c r="T133" s="281" t="str">
        <f>IF(S133="","",IF(VLOOKUP(S133,'G-7 WaterC'' Data'!$AO$4:$BO$7,2,FALSE)=0,"Spatial Data Missing ⚠",VLOOKUP(S133,'G-7 WaterC'' Data'!$AO$4:$BO$7,2,FALSE)))</f>
        <v/>
      </c>
      <c r="U133" s="289" t="str">
        <f t="shared" si="14"/>
        <v xml:space="preserve"> </v>
      </c>
      <c r="V133" s="694" t="str">
        <f t="shared" si="15"/>
        <v/>
      </c>
      <c r="W133" s="32"/>
      <c r="X133" s="101"/>
      <c r="Y133" s="108"/>
      <c r="Z133" s="287" t="str">
        <f t="shared" si="16"/>
        <v/>
      </c>
      <c r="AA133" s="287" t="str">
        <f t="shared" si="17"/>
        <v/>
      </c>
      <c r="AB133" s="287" t="str">
        <f t="shared" si="18"/>
        <v/>
      </c>
      <c r="AC133" s="491" t="str">
        <f>IFERROR(IF(OR(E133="",R133=""),"",IF(AND(AB133&lt;&gt;"",S133=""),"Spatial risk category missing ▲",IF(AND(Q133='G-7 WaterC'' Data'!$G$4,AD133="Yes"),"Alternative Compensation ✓",IF(AND(AD133="Pending",Q133='G-7 WaterC'' Data'!$G$4),"Bespoke compensation must be agreed ▲",IF((Z133+AA133)&gt;=U133,0,U133-Z133-AA133))))),"Check Data ⚠")</f>
        <v/>
      </c>
      <c r="AD133" s="393"/>
      <c r="AE133" s="105"/>
      <c r="AF133" s="104"/>
      <c r="AG133" s="104"/>
      <c r="AH133" s="104"/>
      <c r="AI133" s="54" t="str">
        <f>IF(OR(Q133="",AD133="Yes"),"",IF(Q133='G-1 All Habitats'!$X$9,E133-Y133-X133,"None"))</f>
        <v/>
      </c>
      <c r="AJ133" s="55" t="str">
        <f>IF(Q133="","",IF(Q133='G-1 All Habitats'!$X$9,AI133*G133*I133*L133*N133*P133,"None"))</f>
        <v/>
      </c>
      <c r="AK133" s="30" t="str">
        <f>IFERROR(INDEX('G-7 WaterC'' Data'!$AZ$3:$AZ$7,MATCH(D133,'G-7 WaterC'' Data'!$AY$3:$AY$7,0)),"")</f>
        <v/>
      </c>
      <c r="AL133" s="30">
        <f t="shared" si="19"/>
        <v>0</v>
      </c>
      <c r="AM133" s="107" t="str">
        <f t="shared" si="20"/>
        <v/>
      </c>
      <c r="AN133" s="107" t="str">
        <f t="shared" si="21"/>
        <v/>
      </c>
      <c r="AP133" s="107">
        <v>124</v>
      </c>
      <c r="AR133" s="107" t="str">
        <f t="array" ref="AR133">IFERROR(INDEX($AP$10:$AP$258,MATCH(0,IF(TRUE=$AM$10:$AM$258,COUNTIF($AR$9:$AR132,$AP$10:$AP$258),""),0)),"")</f>
        <v/>
      </c>
      <c r="AS133" s="107" t="str">
        <f t="array" ref="AS133">IFERROR(INDEX($AP$10:$AP$258,MATCH(0,IF(TRUE=$AN$10:$AN$258,COUNTIF($AS$9:$AS132,$AP$10:$AP$258),""),0)),"")</f>
        <v/>
      </c>
      <c r="AT133" s="885" t="str">
        <f>IF(AND(OR(AD133="Yes",AD133="Pending"),Q133='G-7 WaterC'' Data'!$G$4),U133-AA133-Z133,"0")</f>
        <v>0</v>
      </c>
      <c r="AU133" s="30" t="str">
        <f>IF(D133="","",VLOOKUP(D133,'G-7 WaterC'' Data'!B$4:M$8,12,FALSE))</f>
        <v/>
      </c>
      <c r="AV133" s="30" t="str">
        <f t="shared" si="12"/>
        <v/>
      </c>
      <c r="AW133" s="30" t="str">
        <f t="shared" si="22"/>
        <v>No</v>
      </c>
      <c r="BA133" s="555" t="str">
        <f t="shared" si="23"/>
        <v/>
      </c>
    </row>
    <row r="134" spans="3:53" ht="14.5" thickBot="1">
      <c r="C134" s="97">
        <v>125</v>
      </c>
      <c r="D134" s="263"/>
      <c r="E134" s="104"/>
      <c r="F134" s="275" t="str">
        <f>IF(D134="","",VLOOKUP(D134,'G-7 WaterC'' Data'!$B$2:$G$8,2,FALSE))</f>
        <v/>
      </c>
      <c r="G134" s="314" t="str">
        <f>IFERROR(VLOOKUP(F134,'G-7 WaterC'' Data'!$C$4:$D$8,2,FALSE),"")</f>
        <v/>
      </c>
      <c r="H134" s="105"/>
      <c r="I134" s="299" t="str">
        <f>IFERROR(INDEX('G-7 WaterC'' Data'!$H$4:$L$8,MATCH(D134,'G-7 WaterC'' Data'!$B$4:$B$8,0),MATCH(H134,'G-7 WaterC'' Data'!$H$3:$L$3,0)),"")</f>
        <v/>
      </c>
      <c r="J134" s="702"/>
      <c r="K134" s="295" t="str">
        <f>IF(J134="","",IF(VLOOKUP(J134,'G-7 WaterC'' Data'!$AK$4:$AM$9,2,FALSE)=0,"Spatial Data Missing ⚠",VLOOKUP(J134,'G-7 WaterC'' Data'!$AK$4:$AM$6,2,FALSE)))</f>
        <v/>
      </c>
      <c r="L134" s="299" t="str">
        <f>IF(J134="","",IF(VLOOKUP(J134,'G-7 WaterC'' Data'!$AK$4:$AM$9,3,FALSE)=0,"Spatial Data Missing ⚠",VLOOKUP(J134,'G-7 WaterC'' Data'!$AK$4:$AM$6,3,FALSE)))</f>
        <v/>
      </c>
      <c r="M134" s="102"/>
      <c r="N134" s="276" t="str">
        <f>IF(M134="","",IF(AND(M134="N/A - Culvert",D134&lt;&gt;"Culvert"),"Not possible ▲",IF(AND(D134="Culvert",M134&lt;&gt;"N/A - Culvert"),"Not possible ▲",IF(VLOOKUP(M134,'G-7 WaterC'' Data'!$AA$4:$AB$7,2,FALSE)=0,"Spatial Data Missing ⚠",VLOOKUP(M134,'G-7 WaterC'' Data'!$AA$4:$AB$7,2,FALSE)))))</f>
        <v/>
      </c>
      <c r="O134" s="56"/>
      <c r="P134" s="276" t="str">
        <f>IF(O134="","",IF(AND(O134="N/A - Culvert",D134&lt;&gt;"Culvert"),"Not possible ▲",IF(AND(D134="Culvert",O134&lt;&gt;"N/A - Culvert"),"Not possible ▲",IF(VLOOKUP(O134,'G-7 WaterC'' Data'!$AD$4:$AE$14,2,FALSE)=0,"Spatial Data Missing ⚠",VLOOKUP(O134,'G-7 WaterC'' Data'!$AD$4:$AE$14,2,FALSE)))))</f>
        <v/>
      </c>
      <c r="Q134" s="282" t="str">
        <f>IF(D134="","",VLOOKUP(D134,'G-7 WaterC'' Data'!$B$4:$G$8,6,FALSE))</f>
        <v/>
      </c>
      <c r="R134" s="289" t="str">
        <f t="shared" si="13"/>
        <v xml:space="preserve"> </v>
      </c>
      <c r="S134" s="393"/>
      <c r="T134" s="281" t="str">
        <f>IF(S134="","",IF(VLOOKUP(S134,'G-7 WaterC'' Data'!$AO$4:$BO$7,2,FALSE)=0,"Spatial Data Missing ⚠",VLOOKUP(S134,'G-7 WaterC'' Data'!$AO$4:$BO$7,2,FALSE)))</f>
        <v/>
      </c>
      <c r="U134" s="289" t="str">
        <f t="shared" si="14"/>
        <v xml:space="preserve"> </v>
      </c>
      <c r="V134" s="694" t="str">
        <f t="shared" si="15"/>
        <v/>
      </c>
      <c r="W134" s="32"/>
      <c r="X134" s="101"/>
      <c r="Y134" s="108"/>
      <c r="Z134" s="287" t="str">
        <f t="shared" si="16"/>
        <v/>
      </c>
      <c r="AA134" s="287" t="str">
        <f t="shared" si="17"/>
        <v/>
      </c>
      <c r="AB134" s="287" t="str">
        <f t="shared" si="18"/>
        <v/>
      </c>
      <c r="AC134" s="491" t="str">
        <f>IFERROR(IF(OR(E134="",R134=""),"",IF(AND(AB134&lt;&gt;"",S134=""),"Spatial risk category missing ▲",IF(AND(Q134='G-7 WaterC'' Data'!$G$4,AD134="Yes"),"Alternative Compensation ✓",IF(AND(AD134="Pending",Q134='G-7 WaterC'' Data'!$G$4),"Bespoke compensation must be agreed ▲",IF((Z134+AA134)&gt;=U134,0,U134-Z134-AA134))))),"Check Data ⚠")</f>
        <v/>
      </c>
      <c r="AD134" s="393"/>
      <c r="AE134" s="105"/>
      <c r="AF134" s="104"/>
      <c r="AG134" s="104"/>
      <c r="AH134" s="104"/>
      <c r="AI134" s="54" t="str">
        <f>IF(OR(Q134="",AD134="Yes"),"",IF(Q134='G-1 All Habitats'!$X$9,E134-Y134-X134,"None"))</f>
        <v/>
      </c>
      <c r="AJ134" s="55" t="str">
        <f>IF(Q134="","",IF(Q134='G-1 All Habitats'!$X$9,AI134*G134*I134*L134*N134*P134,"None"))</f>
        <v/>
      </c>
      <c r="AK134" s="30" t="str">
        <f>IFERROR(INDEX('G-7 WaterC'' Data'!$AZ$3:$AZ$7,MATCH(D134,'G-7 WaterC'' Data'!$AY$3:$AY$7,0)),"")</f>
        <v/>
      </c>
      <c r="AL134" s="30">
        <f t="shared" si="19"/>
        <v>0</v>
      </c>
      <c r="AM134" s="107" t="str">
        <f t="shared" si="20"/>
        <v/>
      </c>
      <c r="AN134" s="107" t="str">
        <f t="shared" si="21"/>
        <v/>
      </c>
      <c r="AP134" s="107">
        <v>125</v>
      </c>
      <c r="AR134" s="107" t="str">
        <f t="array" ref="AR134">IFERROR(INDEX($AP$10:$AP$258,MATCH(0,IF(TRUE=$AM$10:$AM$258,COUNTIF($AR$9:$AR133,$AP$10:$AP$258),""),0)),"")</f>
        <v/>
      </c>
      <c r="AS134" s="107" t="str">
        <f t="array" ref="AS134">IFERROR(INDEX($AP$10:$AP$258,MATCH(0,IF(TRUE=$AN$10:$AN$258,COUNTIF($AS$9:$AS133,$AP$10:$AP$258),""),0)),"")</f>
        <v/>
      </c>
      <c r="AT134" s="885" t="str">
        <f>IF(AND(OR(AD134="Yes",AD134="Pending"),Q134='G-7 WaterC'' Data'!$G$4),U134-AA134-Z134,"0")</f>
        <v>0</v>
      </c>
      <c r="AU134" s="30" t="str">
        <f>IF(D134="","",VLOOKUP(D134,'G-7 WaterC'' Data'!B$4:M$8,12,FALSE))</f>
        <v/>
      </c>
      <c r="AV134" s="30" t="str">
        <f t="shared" si="12"/>
        <v/>
      </c>
      <c r="AW134" s="30" t="str">
        <f t="shared" si="22"/>
        <v>No</v>
      </c>
      <c r="BA134" s="555" t="str">
        <f t="shared" si="23"/>
        <v/>
      </c>
    </row>
    <row r="135" spans="3:53" ht="14.5" thickBot="1">
      <c r="C135" s="97">
        <v>126</v>
      </c>
      <c r="D135" s="263"/>
      <c r="E135" s="104"/>
      <c r="F135" s="275" t="str">
        <f>IF(D135="","",VLOOKUP(D135,'G-7 WaterC'' Data'!$B$2:$G$8,2,FALSE))</f>
        <v/>
      </c>
      <c r="G135" s="314" t="str">
        <f>IFERROR(VLOOKUP(F135,'G-7 WaterC'' Data'!$C$4:$D$8,2,FALSE),"")</f>
        <v/>
      </c>
      <c r="H135" s="105"/>
      <c r="I135" s="299" t="str">
        <f>IFERROR(INDEX('G-7 WaterC'' Data'!$H$4:$L$8,MATCH(D135,'G-7 WaterC'' Data'!$B$4:$B$8,0),MATCH(H135,'G-7 WaterC'' Data'!$H$3:$L$3,0)),"")</f>
        <v/>
      </c>
      <c r="J135" s="702"/>
      <c r="K135" s="295" t="str">
        <f>IF(J135="","",IF(VLOOKUP(J135,'G-7 WaterC'' Data'!$AK$4:$AM$9,2,FALSE)=0,"Spatial Data Missing ⚠",VLOOKUP(J135,'G-7 WaterC'' Data'!$AK$4:$AM$6,2,FALSE)))</f>
        <v/>
      </c>
      <c r="L135" s="299" t="str">
        <f>IF(J135="","",IF(VLOOKUP(J135,'G-7 WaterC'' Data'!$AK$4:$AM$9,3,FALSE)=0,"Spatial Data Missing ⚠",VLOOKUP(J135,'G-7 WaterC'' Data'!$AK$4:$AM$6,3,FALSE)))</f>
        <v/>
      </c>
      <c r="M135" s="102"/>
      <c r="N135" s="276" t="str">
        <f>IF(M135="","",IF(AND(M135="N/A - Culvert",D135&lt;&gt;"Culvert"),"Not possible ▲",IF(AND(D135="Culvert",M135&lt;&gt;"N/A - Culvert"),"Not possible ▲",IF(VLOOKUP(M135,'G-7 WaterC'' Data'!$AA$4:$AB$7,2,FALSE)=0,"Spatial Data Missing ⚠",VLOOKUP(M135,'G-7 WaterC'' Data'!$AA$4:$AB$7,2,FALSE)))))</f>
        <v/>
      </c>
      <c r="O135" s="56"/>
      <c r="P135" s="276" t="str">
        <f>IF(O135="","",IF(AND(O135="N/A - Culvert",D135&lt;&gt;"Culvert"),"Not possible ▲",IF(AND(D135="Culvert",O135&lt;&gt;"N/A - Culvert"),"Not possible ▲",IF(VLOOKUP(O135,'G-7 WaterC'' Data'!$AD$4:$AE$14,2,FALSE)=0,"Spatial Data Missing ⚠",VLOOKUP(O135,'G-7 WaterC'' Data'!$AD$4:$AE$14,2,FALSE)))))</f>
        <v/>
      </c>
      <c r="Q135" s="282" t="str">
        <f>IF(D135="","",VLOOKUP(D135,'G-7 WaterC'' Data'!$B$4:$G$8,6,FALSE))</f>
        <v/>
      </c>
      <c r="R135" s="289" t="str">
        <f t="shared" si="13"/>
        <v xml:space="preserve"> </v>
      </c>
      <c r="S135" s="393"/>
      <c r="T135" s="281" t="str">
        <f>IF(S135="","",IF(VLOOKUP(S135,'G-7 WaterC'' Data'!$AO$4:$BO$7,2,FALSE)=0,"Spatial Data Missing ⚠",VLOOKUP(S135,'G-7 WaterC'' Data'!$AO$4:$BO$7,2,FALSE)))</f>
        <v/>
      </c>
      <c r="U135" s="289" t="str">
        <f t="shared" si="14"/>
        <v xml:space="preserve"> </v>
      </c>
      <c r="V135" s="694" t="str">
        <f t="shared" si="15"/>
        <v/>
      </c>
      <c r="W135" s="32"/>
      <c r="X135" s="101"/>
      <c r="Y135" s="108"/>
      <c r="Z135" s="287" t="str">
        <f t="shared" si="16"/>
        <v/>
      </c>
      <c r="AA135" s="287" t="str">
        <f t="shared" si="17"/>
        <v/>
      </c>
      <c r="AB135" s="287" t="str">
        <f t="shared" si="18"/>
        <v/>
      </c>
      <c r="AC135" s="491" t="str">
        <f>IFERROR(IF(OR(E135="",R135=""),"",IF(AND(AB135&lt;&gt;"",S135=""),"Spatial risk category missing ▲",IF(AND(Q135='G-7 WaterC'' Data'!$G$4,AD135="Yes"),"Alternative Compensation ✓",IF(AND(AD135="Pending",Q135='G-7 WaterC'' Data'!$G$4),"Bespoke compensation must be agreed ▲",IF((Z135+AA135)&gt;=U135,0,U135-Z135-AA135))))),"Check Data ⚠")</f>
        <v/>
      </c>
      <c r="AD135" s="393"/>
      <c r="AE135" s="105"/>
      <c r="AF135" s="104"/>
      <c r="AG135" s="104"/>
      <c r="AH135" s="104"/>
      <c r="AI135" s="54" t="str">
        <f>IF(OR(Q135="",AD135="Yes"),"",IF(Q135='G-1 All Habitats'!$X$9,E135-Y135-X135,"None"))</f>
        <v/>
      </c>
      <c r="AJ135" s="55" t="str">
        <f>IF(Q135="","",IF(Q135='G-1 All Habitats'!$X$9,AI135*G135*I135*L135*N135*P135,"None"))</f>
        <v/>
      </c>
      <c r="AK135" s="30" t="str">
        <f>IFERROR(INDEX('G-7 WaterC'' Data'!$AZ$3:$AZ$7,MATCH(D135,'G-7 WaterC'' Data'!$AY$3:$AY$7,0)),"")</f>
        <v/>
      </c>
      <c r="AL135" s="30">
        <f t="shared" si="19"/>
        <v>0</v>
      </c>
      <c r="AM135" s="107" t="str">
        <f t="shared" si="20"/>
        <v/>
      </c>
      <c r="AN135" s="107" t="str">
        <f t="shared" si="21"/>
        <v/>
      </c>
      <c r="AP135" s="107">
        <v>126</v>
      </c>
      <c r="AR135" s="107" t="str">
        <f t="array" ref="AR135">IFERROR(INDEX($AP$10:$AP$258,MATCH(0,IF(TRUE=$AM$10:$AM$258,COUNTIF($AR$9:$AR134,$AP$10:$AP$258),""),0)),"")</f>
        <v/>
      </c>
      <c r="AS135" s="107" t="str">
        <f t="array" ref="AS135">IFERROR(INDEX($AP$10:$AP$258,MATCH(0,IF(TRUE=$AN$10:$AN$258,COUNTIF($AS$9:$AS134,$AP$10:$AP$258),""),0)),"")</f>
        <v/>
      </c>
      <c r="AT135" s="885" t="str">
        <f>IF(AND(OR(AD135="Yes",AD135="Pending"),Q135='G-7 WaterC'' Data'!$G$4),U135-AA135-Z135,"0")</f>
        <v>0</v>
      </c>
      <c r="AU135" s="30" t="str">
        <f>IF(D135="","",VLOOKUP(D135,'G-7 WaterC'' Data'!B$4:M$8,12,FALSE))</f>
        <v/>
      </c>
      <c r="AV135" s="30" t="str">
        <f t="shared" si="12"/>
        <v/>
      </c>
      <c r="AW135" s="30" t="str">
        <f t="shared" si="22"/>
        <v>No</v>
      </c>
      <c r="BA135" s="555" t="str">
        <f t="shared" si="23"/>
        <v/>
      </c>
    </row>
    <row r="136" spans="3:53" ht="14.5" thickBot="1">
      <c r="C136" s="97">
        <v>127</v>
      </c>
      <c r="D136" s="263"/>
      <c r="E136" s="104"/>
      <c r="F136" s="275" t="str">
        <f>IF(D136="","",VLOOKUP(D136,'G-7 WaterC'' Data'!$B$2:$G$8,2,FALSE))</f>
        <v/>
      </c>
      <c r="G136" s="314" t="str">
        <f>IFERROR(VLOOKUP(F136,'G-7 WaterC'' Data'!$C$4:$D$8,2,FALSE),"")</f>
        <v/>
      </c>
      <c r="H136" s="105"/>
      <c r="I136" s="299" t="str">
        <f>IFERROR(INDEX('G-7 WaterC'' Data'!$H$4:$L$8,MATCH(D136,'G-7 WaterC'' Data'!$B$4:$B$8,0),MATCH(H136,'G-7 WaterC'' Data'!$H$3:$L$3,0)),"")</f>
        <v/>
      </c>
      <c r="J136" s="702"/>
      <c r="K136" s="295" t="str">
        <f>IF(J136="","",IF(VLOOKUP(J136,'G-7 WaterC'' Data'!$AK$4:$AM$9,2,FALSE)=0,"Spatial Data Missing ⚠",VLOOKUP(J136,'G-7 WaterC'' Data'!$AK$4:$AM$6,2,FALSE)))</f>
        <v/>
      </c>
      <c r="L136" s="299" t="str">
        <f>IF(J136="","",IF(VLOOKUP(J136,'G-7 WaterC'' Data'!$AK$4:$AM$9,3,FALSE)=0,"Spatial Data Missing ⚠",VLOOKUP(J136,'G-7 WaterC'' Data'!$AK$4:$AM$6,3,FALSE)))</f>
        <v/>
      </c>
      <c r="M136" s="102"/>
      <c r="N136" s="276" t="str">
        <f>IF(M136="","",IF(AND(M136="N/A - Culvert",D136&lt;&gt;"Culvert"),"Not possible ▲",IF(AND(D136="Culvert",M136&lt;&gt;"N/A - Culvert"),"Not possible ▲",IF(VLOOKUP(M136,'G-7 WaterC'' Data'!$AA$4:$AB$7,2,FALSE)=0,"Spatial Data Missing ⚠",VLOOKUP(M136,'G-7 WaterC'' Data'!$AA$4:$AB$7,2,FALSE)))))</f>
        <v/>
      </c>
      <c r="O136" s="56"/>
      <c r="P136" s="276" t="str">
        <f>IF(O136="","",IF(AND(O136="N/A - Culvert",D136&lt;&gt;"Culvert"),"Not possible ▲",IF(AND(D136="Culvert",O136&lt;&gt;"N/A - Culvert"),"Not possible ▲",IF(VLOOKUP(O136,'G-7 WaterC'' Data'!$AD$4:$AE$14,2,FALSE)=0,"Spatial Data Missing ⚠",VLOOKUP(O136,'G-7 WaterC'' Data'!$AD$4:$AE$14,2,FALSE)))))</f>
        <v/>
      </c>
      <c r="Q136" s="282" t="str">
        <f>IF(D136="","",VLOOKUP(D136,'G-7 WaterC'' Data'!$B$4:$G$8,6,FALSE))</f>
        <v/>
      </c>
      <c r="R136" s="289" t="str">
        <f t="shared" si="13"/>
        <v xml:space="preserve"> </v>
      </c>
      <c r="S136" s="393"/>
      <c r="T136" s="281" t="str">
        <f>IF(S136="","",IF(VLOOKUP(S136,'G-7 WaterC'' Data'!$AO$4:$BO$7,2,FALSE)=0,"Spatial Data Missing ⚠",VLOOKUP(S136,'G-7 WaterC'' Data'!$AO$4:$BO$7,2,FALSE)))</f>
        <v/>
      </c>
      <c r="U136" s="289" t="str">
        <f t="shared" si="14"/>
        <v xml:space="preserve"> </v>
      </c>
      <c r="V136" s="694" t="str">
        <f t="shared" si="15"/>
        <v/>
      </c>
      <c r="W136" s="32"/>
      <c r="X136" s="101"/>
      <c r="Y136" s="108"/>
      <c r="Z136" s="287" t="str">
        <f t="shared" si="16"/>
        <v/>
      </c>
      <c r="AA136" s="287" t="str">
        <f t="shared" si="17"/>
        <v/>
      </c>
      <c r="AB136" s="287" t="str">
        <f t="shared" si="18"/>
        <v/>
      </c>
      <c r="AC136" s="491" t="str">
        <f>IFERROR(IF(OR(E136="",R136=""),"",IF(AND(AB136&lt;&gt;"",S136=""),"Spatial risk category missing ▲",IF(AND(Q136='G-7 WaterC'' Data'!$G$4,AD136="Yes"),"Alternative Compensation ✓",IF(AND(AD136="Pending",Q136='G-7 WaterC'' Data'!$G$4),"Bespoke compensation must be agreed ▲",IF((Z136+AA136)&gt;=U136,0,U136-Z136-AA136))))),"Check Data ⚠")</f>
        <v/>
      </c>
      <c r="AD136" s="393"/>
      <c r="AE136" s="105"/>
      <c r="AF136" s="104"/>
      <c r="AG136" s="104"/>
      <c r="AH136" s="104"/>
      <c r="AI136" s="54" t="str">
        <f>IF(OR(Q136="",AD136="Yes"),"",IF(Q136='G-1 All Habitats'!$X$9,E136-Y136-X136,"None"))</f>
        <v/>
      </c>
      <c r="AJ136" s="55" t="str">
        <f>IF(Q136="","",IF(Q136='G-1 All Habitats'!$X$9,AI136*G136*I136*L136*N136*P136,"None"))</f>
        <v/>
      </c>
      <c r="AK136" s="30" t="str">
        <f>IFERROR(INDEX('G-7 WaterC'' Data'!$AZ$3:$AZ$7,MATCH(D136,'G-7 WaterC'' Data'!$AY$3:$AY$7,0)),"")</f>
        <v/>
      </c>
      <c r="AL136" s="30">
        <f t="shared" si="19"/>
        <v>0</v>
      </c>
      <c r="AM136" s="107" t="str">
        <f t="shared" si="20"/>
        <v/>
      </c>
      <c r="AN136" s="107" t="str">
        <f t="shared" si="21"/>
        <v/>
      </c>
      <c r="AP136" s="107">
        <v>127</v>
      </c>
      <c r="AR136" s="107" t="str">
        <f t="array" ref="AR136">IFERROR(INDEX($AP$10:$AP$258,MATCH(0,IF(TRUE=$AM$10:$AM$258,COUNTIF($AR$9:$AR135,$AP$10:$AP$258),""),0)),"")</f>
        <v/>
      </c>
      <c r="AS136" s="107" t="str">
        <f t="array" ref="AS136">IFERROR(INDEX($AP$10:$AP$258,MATCH(0,IF(TRUE=$AN$10:$AN$258,COUNTIF($AS$9:$AS135,$AP$10:$AP$258),""),0)),"")</f>
        <v/>
      </c>
      <c r="AT136" s="885" t="str">
        <f>IF(AND(OR(AD136="Yes",AD136="Pending"),Q136='G-7 WaterC'' Data'!$G$4),U136-AA136-Z136,"0")</f>
        <v>0</v>
      </c>
      <c r="AU136" s="30" t="str">
        <f>IF(D136="","",VLOOKUP(D136,'G-7 WaterC'' Data'!B$4:M$8,12,FALSE))</f>
        <v/>
      </c>
      <c r="AV136" s="30" t="str">
        <f t="shared" si="12"/>
        <v/>
      </c>
      <c r="AW136" s="30" t="str">
        <f t="shared" si="22"/>
        <v>No</v>
      </c>
      <c r="BA136" s="555" t="str">
        <f t="shared" si="23"/>
        <v/>
      </c>
    </row>
    <row r="137" spans="3:53" ht="14.5" thickBot="1">
      <c r="C137" s="97">
        <v>128</v>
      </c>
      <c r="D137" s="263"/>
      <c r="E137" s="104"/>
      <c r="F137" s="275" t="str">
        <f>IF(D137="","",VLOOKUP(D137,'G-7 WaterC'' Data'!$B$2:$G$8,2,FALSE))</f>
        <v/>
      </c>
      <c r="G137" s="314" t="str">
        <f>IFERROR(VLOOKUP(F137,'G-7 WaterC'' Data'!$C$4:$D$8,2,FALSE),"")</f>
        <v/>
      </c>
      <c r="H137" s="105"/>
      <c r="I137" s="299" t="str">
        <f>IFERROR(INDEX('G-7 WaterC'' Data'!$H$4:$L$8,MATCH(D137,'G-7 WaterC'' Data'!$B$4:$B$8,0),MATCH(H137,'G-7 WaterC'' Data'!$H$3:$L$3,0)),"")</f>
        <v/>
      </c>
      <c r="J137" s="702"/>
      <c r="K137" s="295" t="str">
        <f>IF(J137="","",IF(VLOOKUP(J137,'G-7 WaterC'' Data'!$AK$4:$AM$9,2,FALSE)=0,"Spatial Data Missing ⚠",VLOOKUP(J137,'G-7 WaterC'' Data'!$AK$4:$AM$6,2,FALSE)))</f>
        <v/>
      </c>
      <c r="L137" s="299" t="str">
        <f>IF(J137="","",IF(VLOOKUP(J137,'G-7 WaterC'' Data'!$AK$4:$AM$9,3,FALSE)=0,"Spatial Data Missing ⚠",VLOOKUP(J137,'G-7 WaterC'' Data'!$AK$4:$AM$6,3,FALSE)))</f>
        <v/>
      </c>
      <c r="M137" s="102"/>
      <c r="N137" s="276" t="str">
        <f>IF(M137="","",IF(AND(M137="N/A - Culvert",D137&lt;&gt;"Culvert"),"Not possible ▲",IF(AND(D137="Culvert",M137&lt;&gt;"N/A - Culvert"),"Not possible ▲",IF(VLOOKUP(M137,'G-7 WaterC'' Data'!$AA$4:$AB$7,2,FALSE)=0,"Spatial Data Missing ⚠",VLOOKUP(M137,'G-7 WaterC'' Data'!$AA$4:$AB$7,2,FALSE)))))</f>
        <v/>
      </c>
      <c r="O137" s="56"/>
      <c r="P137" s="276" t="str">
        <f>IF(O137="","",IF(AND(O137="N/A - Culvert",D137&lt;&gt;"Culvert"),"Not possible ▲",IF(AND(D137="Culvert",O137&lt;&gt;"N/A - Culvert"),"Not possible ▲",IF(VLOOKUP(O137,'G-7 WaterC'' Data'!$AD$4:$AE$14,2,FALSE)=0,"Spatial Data Missing ⚠",VLOOKUP(O137,'G-7 WaterC'' Data'!$AD$4:$AE$14,2,FALSE)))))</f>
        <v/>
      </c>
      <c r="Q137" s="282" t="str">
        <f>IF(D137="","",VLOOKUP(D137,'G-7 WaterC'' Data'!$B$4:$G$8,6,FALSE))</f>
        <v/>
      </c>
      <c r="R137" s="289" t="str">
        <f t="shared" si="13"/>
        <v xml:space="preserve"> </v>
      </c>
      <c r="S137" s="393"/>
      <c r="T137" s="281" t="str">
        <f>IF(S137="","",IF(VLOOKUP(S137,'G-7 WaterC'' Data'!$AO$4:$BO$7,2,FALSE)=0,"Spatial Data Missing ⚠",VLOOKUP(S137,'G-7 WaterC'' Data'!$AO$4:$BO$7,2,FALSE)))</f>
        <v/>
      </c>
      <c r="U137" s="289" t="str">
        <f t="shared" si="14"/>
        <v xml:space="preserve"> </v>
      </c>
      <c r="V137" s="694" t="str">
        <f t="shared" si="15"/>
        <v/>
      </c>
      <c r="W137" s="32"/>
      <c r="X137" s="101"/>
      <c r="Y137" s="108"/>
      <c r="Z137" s="287" t="str">
        <f t="shared" si="16"/>
        <v/>
      </c>
      <c r="AA137" s="287" t="str">
        <f t="shared" si="17"/>
        <v/>
      </c>
      <c r="AB137" s="287" t="str">
        <f t="shared" si="18"/>
        <v/>
      </c>
      <c r="AC137" s="491" t="str">
        <f>IFERROR(IF(OR(E137="",R137=""),"",IF(AND(AB137&lt;&gt;"",S137=""),"Spatial risk category missing ▲",IF(AND(Q137='G-7 WaterC'' Data'!$G$4,AD137="Yes"),"Alternative Compensation ✓",IF(AND(AD137="Pending",Q137='G-7 WaterC'' Data'!$G$4),"Bespoke compensation must be agreed ▲",IF((Z137+AA137)&gt;=U137,0,U137-Z137-AA137))))),"Check Data ⚠")</f>
        <v/>
      </c>
      <c r="AD137" s="393"/>
      <c r="AE137" s="105"/>
      <c r="AF137" s="104"/>
      <c r="AG137" s="104"/>
      <c r="AH137" s="104"/>
      <c r="AI137" s="54" t="str">
        <f>IF(OR(Q137="",AD137="Yes"),"",IF(Q137='G-1 All Habitats'!$X$9,E137-Y137-X137,"None"))</f>
        <v/>
      </c>
      <c r="AJ137" s="55" t="str">
        <f>IF(Q137="","",IF(Q137='G-1 All Habitats'!$X$9,AI137*G137*I137*L137*N137*P137,"None"))</f>
        <v/>
      </c>
      <c r="AK137" s="30" t="str">
        <f>IFERROR(INDEX('G-7 WaterC'' Data'!$AZ$3:$AZ$7,MATCH(D137,'G-7 WaterC'' Data'!$AY$3:$AY$7,0)),"")</f>
        <v/>
      </c>
      <c r="AL137" s="30">
        <f t="shared" si="19"/>
        <v>0</v>
      </c>
      <c r="AM137" s="107" t="str">
        <f t="shared" si="20"/>
        <v/>
      </c>
      <c r="AN137" s="107" t="str">
        <f t="shared" si="21"/>
        <v/>
      </c>
      <c r="AP137" s="107">
        <v>128</v>
      </c>
      <c r="AR137" s="107" t="str">
        <f t="array" ref="AR137">IFERROR(INDEX($AP$10:$AP$258,MATCH(0,IF(TRUE=$AM$10:$AM$258,COUNTIF($AR$9:$AR136,$AP$10:$AP$258),""),0)),"")</f>
        <v/>
      </c>
      <c r="AS137" s="107" t="str">
        <f t="array" ref="AS137">IFERROR(INDEX($AP$10:$AP$258,MATCH(0,IF(TRUE=$AN$10:$AN$258,COUNTIF($AS$9:$AS136,$AP$10:$AP$258),""),0)),"")</f>
        <v/>
      </c>
      <c r="AT137" s="885" t="str">
        <f>IF(AND(OR(AD137="Yes",AD137="Pending"),Q137='G-7 WaterC'' Data'!$G$4),U137-AA137-Z137,"0")</f>
        <v>0</v>
      </c>
      <c r="AU137" s="30" t="str">
        <f>IF(D137="","",VLOOKUP(D137,'G-7 WaterC'' Data'!B$4:M$8,12,FALSE))</f>
        <v/>
      </c>
      <c r="AV137" s="30" t="str">
        <f t="shared" si="12"/>
        <v/>
      </c>
      <c r="AW137" s="30" t="str">
        <f t="shared" si="22"/>
        <v>No</v>
      </c>
      <c r="BA137" s="555" t="str">
        <f t="shared" si="23"/>
        <v/>
      </c>
    </row>
    <row r="138" spans="3:53" ht="14.5" thickBot="1">
      <c r="C138" s="97">
        <v>129</v>
      </c>
      <c r="D138" s="263"/>
      <c r="E138" s="104"/>
      <c r="F138" s="275" t="str">
        <f>IF(D138="","",VLOOKUP(D138,'G-7 WaterC'' Data'!$B$2:$G$8,2,FALSE))</f>
        <v/>
      </c>
      <c r="G138" s="314" t="str">
        <f>IFERROR(VLOOKUP(F138,'G-7 WaterC'' Data'!$C$4:$D$8,2,FALSE),"")</f>
        <v/>
      </c>
      <c r="H138" s="105"/>
      <c r="I138" s="299" t="str">
        <f>IFERROR(INDEX('G-7 WaterC'' Data'!$H$4:$L$8,MATCH(D138,'G-7 WaterC'' Data'!$B$4:$B$8,0),MATCH(H138,'G-7 WaterC'' Data'!$H$3:$L$3,0)),"")</f>
        <v/>
      </c>
      <c r="J138" s="702"/>
      <c r="K138" s="295" t="str">
        <f>IF(J138="","",IF(VLOOKUP(J138,'G-7 WaterC'' Data'!$AK$4:$AM$9,2,FALSE)=0,"Spatial Data Missing ⚠",VLOOKUP(J138,'G-7 WaterC'' Data'!$AK$4:$AM$6,2,FALSE)))</f>
        <v/>
      </c>
      <c r="L138" s="299" t="str">
        <f>IF(J138="","",IF(VLOOKUP(J138,'G-7 WaterC'' Data'!$AK$4:$AM$9,3,FALSE)=0,"Spatial Data Missing ⚠",VLOOKUP(J138,'G-7 WaterC'' Data'!$AK$4:$AM$6,3,FALSE)))</f>
        <v/>
      </c>
      <c r="M138" s="102"/>
      <c r="N138" s="276" t="str">
        <f>IF(M138="","",IF(AND(M138="N/A - Culvert",D138&lt;&gt;"Culvert"),"Not possible ▲",IF(AND(D138="Culvert",M138&lt;&gt;"N/A - Culvert"),"Not possible ▲",IF(VLOOKUP(M138,'G-7 WaterC'' Data'!$AA$4:$AB$7,2,FALSE)=0,"Spatial Data Missing ⚠",VLOOKUP(M138,'G-7 WaterC'' Data'!$AA$4:$AB$7,2,FALSE)))))</f>
        <v/>
      </c>
      <c r="O138" s="56"/>
      <c r="P138" s="276" t="str">
        <f>IF(O138="","",IF(AND(O138="N/A - Culvert",D138&lt;&gt;"Culvert"),"Not possible ▲",IF(AND(D138="Culvert",O138&lt;&gt;"N/A - Culvert"),"Not possible ▲",IF(VLOOKUP(O138,'G-7 WaterC'' Data'!$AD$4:$AE$14,2,FALSE)=0,"Spatial Data Missing ⚠",VLOOKUP(O138,'G-7 WaterC'' Data'!$AD$4:$AE$14,2,FALSE)))))</f>
        <v/>
      </c>
      <c r="Q138" s="282" t="str">
        <f>IF(D138="","",VLOOKUP(D138,'G-7 WaterC'' Data'!$B$4:$G$8,6,FALSE))</f>
        <v/>
      </c>
      <c r="R138" s="289" t="str">
        <f t="shared" si="13"/>
        <v xml:space="preserve"> </v>
      </c>
      <c r="S138" s="393"/>
      <c r="T138" s="281" t="str">
        <f>IF(S138="","",IF(VLOOKUP(S138,'G-7 WaterC'' Data'!$AO$4:$BO$7,2,FALSE)=0,"Spatial Data Missing ⚠",VLOOKUP(S138,'G-7 WaterC'' Data'!$AO$4:$BO$7,2,FALSE)))</f>
        <v/>
      </c>
      <c r="U138" s="289" t="str">
        <f t="shared" si="14"/>
        <v xml:space="preserve"> </v>
      </c>
      <c r="V138" s="694" t="str">
        <f t="shared" si="15"/>
        <v/>
      </c>
      <c r="W138" s="32"/>
      <c r="X138" s="101"/>
      <c r="Y138" s="108"/>
      <c r="Z138" s="287" t="str">
        <f t="shared" si="16"/>
        <v/>
      </c>
      <c r="AA138" s="287" t="str">
        <f t="shared" si="17"/>
        <v/>
      </c>
      <c r="AB138" s="287" t="str">
        <f t="shared" si="18"/>
        <v/>
      </c>
      <c r="AC138" s="491" t="str">
        <f>IFERROR(IF(OR(E138="",R138=""),"",IF(AND(AB138&lt;&gt;"",S138=""),"Spatial risk category missing ▲",IF(AND(Q138='G-7 WaterC'' Data'!$G$4,AD138="Yes"),"Alternative Compensation ✓",IF(AND(AD138="Pending",Q138='G-7 WaterC'' Data'!$G$4),"Bespoke compensation must be agreed ▲",IF((Z138+AA138)&gt;=U138,0,U138-Z138-AA138))))),"Check Data ⚠")</f>
        <v/>
      </c>
      <c r="AD138" s="393"/>
      <c r="AE138" s="105"/>
      <c r="AF138" s="104"/>
      <c r="AG138" s="104"/>
      <c r="AH138" s="104"/>
      <c r="AI138" s="54" t="str">
        <f>IF(OR(Q138="",AD138="Yes"),"",IF(Q138='G-1 All Habitats'!$X$9,E138-Y138-X138,"None"))</f>
        <v/>
      </c>
      <c r="AJ138" s="55" t="str">
        <f>IF(Q138="","",IF(Q138='G-1 All Habitats'!$X$9,AI138*G138*I138*L138*N138*P138,"None"))</f>
        <v/>
      </c>
      <c r="AK138" s="30" t="str">
        <f>IFERROR(INDEX('G-7 WaterC'' Data'!$AZ$3:$AZ$7,MATCH(D138,'G-7 WaterC'' Data'!$AY$3:$AY$7,0)),"")</f>
        <v/>
      </c>
      <c r="AL138" s="30">
        <f t="shared" si="19"/>
        <v>0</v>
      </c>
      <c r="AM138" s="107" t="str">
        <f t="shared" si="20"/>
        <v/>
      </c>
      <c r="AN138" s="107" t="str">
        <f t="shared" si="21"/>
        <v/>
      </c>
      <c r="AP138" s="107">
        <v>129</v>
      </c>
      <c r="AR138" s="107" t="str">
        <f t="array" ref="AR138">IFERROR(INDEX($AP$10:$AP$258,MATCH(0,IF(TRUE=$AM$10:$AM$258,COUNTIF($AR$9:$AR137,$AP$10:$AP$258),""),0)),"")</f>
        <v/>
      </c>
      <c r="AS138" s="107" t="str">
        <f t="array" ref="AS138">IFERROR(INDEX($AP$10:$AP$258,MATCH(0,IF(TRUE=$AN$10:$AN$258,COUNTIF($AS$9:$AS137,$AP$10:$AP$258),""),0)),"")</f>
        <v/>
      </c>
      <c r="AT138" s="885" t="str">
        <f>IF(AND(OR(AD138="Yes",AD138="Pending"),Q138='G-7 WaterC'' Data'!$G$4),U138-AA138-Z138,"0")</f>
        <v>0</v>
      </c>
      <c r="AU138" s="30" t="str">
        <f>IF(D138="","",VLOOKUP(D138,'G-7 WaterC'' Data'!B$4:M$8,12,FALSE))</f>
        <v/>
      </c>
      <c r="AV138" s="30" t="str">
        <f t="shared" si="24" ref="AV138:AV201">IF(AD138="","",IF(AD138="Yes","Yes ✓","No ▲"))</f>
        <v/>
      </c>
      <c r="AW138" s="30" t="str">
        <f t="shared" si="22"/>
        <v>No</v>
      </c>
      <c r="BA138" s="555" t="str">
        <f t="shared" si="23"/>
        <v/>
      </c>
    </row>
    <row r="139" spans="3:53" ht="14.5" thickBot="1">
      <c r="C139" s="97">
        <v>130</v>
      </c>
      <c r="D139" s="263"/>
      <c r="E139" s="104"/>
      <c r="F139" s="275" t="str">
        <f>IF(D139="","",VLOOKUP(D139,'G-7 WaterC'' Data'!$B$2:$G$8,2,FALSE))</f>
        <v/>
      </c>
      <c r="G139" s="314" t="str">
        <f>IFERROR(VLOOKUP(F139,'G-7 WaterC'' Data'!$C$4:$D$8,2,FALSE),"")</f>
        <v/>
      </c>
      <c r="H139" s="105"/>
      <c r="I139" s="299" t="str">
        <f>IFERROR(INDEX('G-7 WaterC'' Data'!$H$4:$L$8,MATCH(D139,'G-7 WaterC'' Data'!$B$4:$B$8,0),MATCH(H139,'G-7 WaterC'' Data'!$H$3:$L$3,0)),"")</f>
        <v/>
      </c>
      <c r="J139" s="702"/>
      <c r="K139" s="295" t="str">
        <f>IF(J139="","",IF(VLOOKUP(J139,'G-7 WaterC'' Data'!$AK$4:$AM$9,2,FALSE)=0,"Spatial Data Missing ⚠",VLOOKUP(J139,'G-7 WaterC'' Data'!$AK$4:$AM$6,2,FALSE)))</f>
        <v/>
      </c>
      <c r="L139" s="299" t="str">
        <f>IF(J139="","",IF(VLOOKUP(J139,'G-7 WaterC'' Data'!$AK$4:$AM$9,3,FALSE)=0,"Spatial Data Missing ⚠",VLOOKUP(J139,'G-7 WaterC'' Data'!$AK$4:$AM$6,3,FALSE)))</f>
        <v/>
      </c>
      <c r="M139" s="102"/>
      <c r="N139" s="276" t="str">
        <f>IF(M139="","",IF(AND(M139="N/A - Culvert",D139&lt;&gt;"Culvert"),"Not possible ▲",IF(AND(D139="Culvert",M139&lt;&gt;"N/A - Culvert"),"Not possible ▲",IF(VLOOKUP(M139,'G-7 WaterC'' Data'!$AA$4:$AB$7,2,FALSE)=0,"Spatial Data Missing ⚠",VLOOKUP(M139,'G-7 WaterC'' Data'!$AA$4:$AB$7,2,FALSE)))))</f>
        <v/>
      </c>
      <c r="O139" s="56"/>
      <c r="P139" s="276" t="str">
        <f>IF(O139="","",IF(AND(O139="N/A - Culvert",D139&lt;&gt;"Culvert"),"Not possible ▲",IF(AND(D139="Culvert",O139&lt;&gt;"N/A - Culvert"),"Not possible ▲",IF(VLOOKUP(O139,'G-7 WaterC'' Data'!$AD$4:$AE$14,2,FALSE)=0,"Spatial Data Missing ⚠",VLOOKUP(O139,'G-7 WaterC'' Data'!$AD$4:$AE$14,2,FALSE)))))</f>
        <v/>
      </c>
      <c r="Q139" s="282" t="str">
        <f>IF(D139="","",VLOOKUP(D139,'G-7 WaterC'' Data'!$B$4:$G$8,6,FALSE))</f>
        <v/>
      </c>
      <c r="R139" s="289" t="str">
        <f t="shared" si="25" ref="R139:R202">IFERROR(IF(AND(X139&gt;0,Y139&gt;0,X139+Y139&gt;E139),"Split retained and enhanced into separate entries ▲",IF(OR(K139="Check data ⚠",I139="Check data ⚠"),"Check data ▲",E139*G139*I139*L139*N139*P139*T139))," ")</f>
        <v xml:space="preserve"> </v>
      </c>
      <c r="S139" s="393"/>
      <c r="T139" s="281" t="str">
        <f>IF(S139="","",IF(VLOOKUP(S139,'G-7 WaterC'' Data'!$AO$4:$BO$7,2,FALSE)=0,"Spatial Data Missing ⚠",VLOOKUP(S139,'G-7 WaterC'' Data'!$AO$4:$BO$7,2,FALSE)))</f>
        <v/>
      </c>
      <c r="U139" s="289" t="str">
        <f t="shared" si="26" ref="U139:U202">IFERROR(IF(AND(X139&gt;0,Y139&gt;0,X139+Y139&gt;E139),"Split retained and enhanced into separate entries ▲",IF(AND(S139&lt;&gt;"",AH139=""),"Off-site reference required ▲",IF(OR(K139="Check data ⚠",I139="Check data ⚠"),"Check data ▲",E139*G139*I139*L139*N139*P139)))," ")</f>
        <v xml:space="preserve"> </v>
      </c>
      <c r="V139" s="694" t="str">
        <f t="shared" si="27" ref="V139:V202">AU139</f>
        <v/>
      </c>
      <c r="W139" s="32"/>
      <c r="X139" s="101"/>
      <c r="Y139" s="108"/>
      <c r="Z139" s="287" t="str">
        <f t="shared" si="28" ref="Z139:Z202">IFERROR(IF(X139&gt;E139,"Error in Lengths ▲",X139*G139*I139*L139*N139*P139),"")</f>
        <v/>
      </c>
      <c r="AA139" s="287" t="str">
        <f t="shared" si="29" ref="AA139:AA202">IFERROR(IF(D139="","",Y139*G139*I139*L139*N139*P139),"")</f>
        <v/>
      </c>
      <c r="AB139" s="287" t="str">
        <f t="shared" si="30" ref="AB139:AB202">IFERROR(IF(D139="","",IF(E139&gt;(X139+Y139),E139-X139-Y139,0)),"")</f>
        <v/>
      </c>
      <c r="AC139" s="491" t="str">
        <f>IFERROR(IF(OR(E139="",R139=""),"",IF(AND(AB139&lt;&gt;"",S139=""),"Spatial risk category missing ▲",IF(AND(Q139='G-7 WaterC'' Data'!$G$4,AD139="Yes"),"Alternative Compensation ✓",IF(AND(AD139="Pending",Q139='G-7 WaterC'' Data'!$G$4),"Bespoke compensation must be agreed ▲",IF((Z139+AA139)&gt;=U139,0,U139-Z139-AA139))))),"Check Data ⚠")</f>
        <v/>
      </c>
      <c r="AD139" s="393"/>
      <c r="AE139" s="105"/>
      <c r="AF139" s="104"/>
      <c r="AG139" s="104"/>
      <c r="AH139" s="104"/>
      <c r="AI139" s="54" t="str">
        <f>IF(OR(Q139="",AD139="Yes"),"",IF(Q139='G-1 All Habitats'!$X$9,E139-Y139-X139,"None"))</f>
        <v/>
      </c>
      <c r="AJ139" s="55" t="str">
        <f>IF(Q139="","",IF(Q139='G-1 All Habitats'!$X$9,AI139*G139*I139*L139*N139*P139,"None"))</f>
        <v/>
      </c>
      <c r="AK139" s="30" t="str">
        <f>IFERROR(INDEX('G-7 WaterC'' Data'!$AZ$3:$AZ$7,MATCH(D139,'G-7 WaterC'' Data'!$AY$3:$AY$7,0)),"")</f>
        <v/>
      </c>
      <c r="AL139" s="30">
        <f t="shared" si="31" ref="AL139:AL202">IFERROR(IF(X139+Y139&gt;E139,1,0),"")</f>
        <v>0</v>
      </c>
      <c r="AM139" s="107" t="str">
        <f t="shared" si="32" ref="AM139:AM202">IF(D139="","",IF(X139&gt;0,TRUE,FALSE))</f>
        <v/>
      </c>
      <c r="AN139" s="107" t="str">
        <f t="shared" si="33" ref="AN139:AN202">IF(D139="","",IF(Y139&gt;0,TRUE,FALSE))</f>
        <v/>
      </c>
      <c r="AP139" s="107">
        <v>130</v>
      </c>
      <c r="AR139" s="107" t="str">
        <f t="array" ref="AR139">IFERROR(INDEX($AP$10:$AP$258,MATCH(0,IF(TRUE=$AM$10:$AM$258,COUNTIF($AR$9:$AR138,$AP$10:$AP$258),""),0)),"")</f>
        <v/>
      </c>
      <c r="AS139" s="107" t="str">
        <f t="array" ref="AS139">IFERROR(INDEX($AP$10:$AP$258,MATCH(0,IF(TRUE=$AN$10:$AN$258,COUNTIF($AS$9:$AS138,$AP$10:$AP$258),""),0)),"")</f>
        <v/>
      </c>
      <c r="AT139" s="885" t="str">
        <f>IF(AND(OR(AD139="Yes",AD139="Pending"),Q139='G-7 WaterC'' Data'!$G$4),U139-AA139-Z139,"0")</f>
        <v>0</v>
      </c>
      <c r="AU139" s="30" t="str">
        <f>IF(D139="","",VLOOKUP(D139,'G-7 WaterC'' Data'!B$4:M$8,12,FALSE))</f>
        <v/>
      </c>
      <c r="AV139" s="30" t="str">
        <f t="shared" si="24"/>
        <v/>
      </c>
      <c r="AW139" s="30" t="str">
        <f t="shared" si="34" ref="AW139:AW202">IF(AND(D139="Ditches",(OR(H139="Fairly Poor",H139="Fairly Good"))),"Yes","No")</f>
        <v>No</v>
      </c>
      <c r="BA139" s="555" t="str">
        <f t="shared" si="35" ref="BA139:BA202">IFERROR(IF(X139&gt;E139,"Error in Lengths ▲",IF(Z139="Irreplaceable habitat - no units generated ⚠","0",X139*G139*I139*L139*N139*P139*T139)+(AT139*T139)),"")</f>
        <v/>
      </c>
    </row>
    <row r="140" spans="3:53" ht="14.5" thickBot="1">
      <c r="C140" s="97">
        <v>131</v>
      </c>
      <c r="D140" s="263"/>
      <c r="E140" s="104"/>
      <c r="F140" s="275" t="str">
        <f>IF(D140="","",VLOOKUP(D140,'G-7 WaterC'' Data'!$B$2:$G$8,2,FALSE))</f>
        <v/>
      </c>
      <c r="G140" s="314" t="str">
        <f>IFERROR(VLOOKUP(F140,'G-7 WaterC'' Data'!$C$4:$D$8,2,FALSE),"")</f>
        <v/>
      </c>
      <c r="H140" s="105"/>
      <c r="I140" s="299" t="str">
        <f>IFERROR(INDEX('G-7 WaterC'' Data'!$H$4:$L$8,MATCH(D140,'G-7 WaterC'' Data'!$B$4:$B$8,0),MATCH(H140,'G-7 WaterC'' Data'!$H$3:$L$3,0)),"")</f>
        <v/>
      </c>
      <c r="J140" s="702"/>
      <c r="K140" s="295" t="str">
        <f>IF(J140="","",IF(VLOOKUP(J140,'G-7 WaterC'' Data'!$AK$4:$AM$9,2,FALSE)=0,"Spatial Data Missing ⚠",VLOOKUP(J140,'G-7 WaterC'' Data'!$AK$4:$AM$6,2,FALSE)))</f>
        <v/>
      </c>
      <c r="L140" s="299" t="str">
        <f>IF(J140="","",IF(VLOOKUP(J140,'G-7 WaterC'' Data'!$AK$4:$AM$9,3,FALSE)=0,"Spatial Data Missing ⚠",VLOOKUP(J140,'G-7 WaterC'' Data'!$AK$4:$AM$6,3,FALSE)))</f>
        <v/>
      </c>
      <c r="M140" s="102"/>
      <c r="N140" s="276" t="str">
        <f>IF(M140="","",IF(AND(M140="N/A - Culvert",D140&lt;&gt;"Culvert"),"Not possible ▲",IF(AND(D140="Culvert",M140&lt;&gt;"N/A - Culvert"),"Not possible ▲",IF(VLOOKUP(M140,'G-7 WaterC'' Data'!$AA$4:$AB$7,2,FALSE)=0,"Spatial Data Missing ⚠",VLOOKUP(M140,'G-7 WaterC'' Data'!$AA$4:$AB$7,2,FALSE)))))</f>
        <v/>
      </c>
      <c r="O140" s="56"/>
      <c r="P140" s="276" t="str">
        <f>IF(O140="","",IF(AND(O140="N/A - Culvert",D140&lt;&gt;"Culvert"),"Not possible ▲",IF(AND(D140="Culvert",O140&lt;&gt;"N/A - Culvert"),"Not possible ▲",IF(VLOOKUP(O140,'G-7 WaterC'' Data'!$AD$4:$AE$14,2,FALSE)=0,"Spatial Data Missing ⚠",VLOOKUP(O140,'G-7 WaterC'' Data'!$AD$4:$AE$14,2,FALSE)))))</f>
        <v/>
      </c>
      <c r="Q140" s="282" t="str">
        <f>IF(D140="","",VLOOKUP(D140,'G-7 WaterC'' Data'!$B$4:$G$8,6,FALSE))</f>
        <v/>
      </c>
      <c r="R140" s="289" t="str">
        <f t="shared" si="25"/>
        <v xml:space="preserve"> </v>
      </c>
      <c r="S140" s="393"/>
      <c r="T140" s="281" t="str">
        <f>IF(S140="","",IF(VLOOKUP(S140,'G-7 WaterC'' Data'!$AO$4:$BO$7,2,FALSE)=0,"Spatial Data Missing ⚠",VLOOKUP(S140,'G-7 WaterC'' Data'!$AO$4:$BO$7,2,FALSE)))</f>
        <v/>
      </c>
      <c r="U140" s="289" t="str">
        <f t="shared" si="26"/>
        <v xml:space="preserve"> </v>
      </c>
      <c r="V140" s="694" t="str">
        <f t="shared" si="27"/>
        <v/>
      </c>
      <c r="W140" s="32"/>
      <c r="X140" s="101"/>
      <c r="Y140" s="108"/>
      <c r="Z140" s="287" t="str">
        <f t="shared" si="28"/>
        <v/>
      </c>
      <c r="AA140" s="287" t="str">
        <f t="shared" si="29"/>
        <v/>
      </c>
      <c r="AB140" s="287" t="str">
        <f t="shared" si="30"/>
        <v/>
      </c>
      <c r="AC140" s="491" t="str">
        <f>IFERROR(IF(OR(E140="",R140=""),"",IF(AND(AB140&lt;&gt;"",S140=""),"Spatial risk category missing ▲",IF(AND(Q140='G-7 WaterC'' Data'!$G$4,AD140="Yes"),"Alternative Compensation ✓",IF(AND(AD140="Pending",Q140='G-7 WaterC'' Data'!$G$4),"Bespoke compensation must be agreed ▲",IF((Z140+AA140)&gt;=U140,0,U140-Z140-AA140))))),"Check Data ⚠")</f>
        <v/>
      </c>
      <c r="AD140" s="393"/>
      <c r="AE140" s="105"/>
      <c r="AF140" s="104"/>
      <c r="AG140" s="104"/>
      <c r="AH140" s="104"/>
      <c r="AI140" s="54" t="str">
        <f>IF(OR(Q140="",AD140="Yes"),"",IF(Q140='G-1 All Habitats'!$X$9,E140-Y140-X140,"None"))</f>
        <v/>
      </c>
      <c r="AJ140" s="55" t="str">
        <f>IF(Q140="","",IF(Q140='G-1 All Habitats'!$X$9,AI140*G140*I140*L140*N140*P140,"None"))</f>
        <v/>
      </c>
      <c r="AK140" s="30" t="str">
        <f>IFERROR(INDEX('G-7 WaterC'' Data'!$AZ$3:$AZ$7,MATCH(D140,'G-7 WaterC'' Data'!$AY$3:$AY$7,0)),"")</f>
        <v/>
      </c>
      <c r="AL140" s="30">
        <f t="shared" si="31"/>
        <v>0</v>
      </c>
      <c r="AM140" s="107" t="str">
        <f t="shared" si="32"/>
        <v/>
      </c>
      <c r="AN140" s="107" t="str">
        <f t="shared" si="33"/>
        <v/>
      </c>
      <c r="AP140" s="107">
        <v>131</v>
      </c>
      <c r="AR140" s="107" t="str">
        <f t="array" ref="AR140">IFERROR(INDEX($AP$10:$AP$258,MATCH(0,IF(TRUE=$AM$10:$AM$258,COUNTIF($AR$9:$AR139,$AP$10:$AP$258),""),0)),"")</f>
        <v/>
      </c>
      <c r="AS140" s="107" t="str">
        <f t="array" ref="AS140">IFERROR(INDEX($AP$10:$AP$258,MATCH(0,IF(TRUE=$AN$10:$AN$258,COUNTIF($AS$9:$AS139,$AP$10:$AP$258),""),0)),"")</f>
        <v/>
      </c>
      <c r="AT140" s="885" t="str">
        <f>IF(AND(OR(AD140="Yes",AD140="Pending"),Q140='G-7 WaterC'' Data'!$G$4),U140-AA140-Z140,"0")</f>
        <v>0</v>
      </c>
      <c r="AU140" s="30" t="str">
        <f>IF(D140="","",VLOOKUP(D140,'G-7 WaterC'' Data'!B$4:M$8,12,FALSE))</f>
        <v/>
      </c>
      <c r="AV140" s="30" t="str">
        <f t="shared" si="24"/>
        <v/>
      </c>
      <c r="AW140" s="30" t="str">
        <f t="shared" si="34"/>
        <v>No</v>
      </c>
      <c r="BA140" s="555" t="str">
        <f t="shared" si="35"/>
        <v/>
      </c>
    </row>
    <row r="141" spans="3:53" ht="14.5" thickBot="1">
      <c r="C141" s="97">
        <v>132</v>
      </c>
      <c r="D141" s="263"/>
      <c r="E141" s="104"/>
      <c r="F141" s="275" t="str">
        <f>IF(D141="","",VLOOKUP(D141,'G-7 WaterC'' Data'!$B$2:$G$8,2,FALSE))</f>
        <v/>
      </c>
      <c r="G141" s="314" t="str">
        <f>IFERROR(VLOOKUP(F141,'G-7 WaterC'' Data'!$C$4:$D$8,2,FALSE),"")</f>
        <v/>
      </c>
      <c r="H141" s="105"/>
      <c r="I141" s="299" t="str">
        <f>IFERROR(INDEX('G-7 WaterC'' Data'!$H$4:$L$8,MATCH(D141,'G-7 WaterC'' Data'!$B$4:$B$8,0),MATCH(H141,'G-7 WaterC'' Data'!$H$3:$L$3,0)),"")</f>
        <v/>
      </c>
      <c r="J141" s="702"/>
      <c r="K141" s="295" t="str">
        <f>IF(J141="","",IF(VLOOKUP(J141,'G-7 WaterC'' Data'!$AK$4:$AM$9,2,FALSE)=0,"Spatial Data Missing ⚠",VLOOKUP(J141,'G-7 WaterC'' Data'!$AK$4:$AM$6,2,FALSE)))</f>
        <v/>
      </c>
      <c r="L141" s="299" t="str">
        <f>IF(J141="","",IF(VLOOKUP(J141,'G-7 WaterC'' Data'!$AK$4:$AM$9,3,FALSE)=0,"Spatial Data Missing ⚠",VLOOKUP(J141,'G-7 WaterC'' Data'!$AK$4:$AM$6,3,FALSE)))</f>
        <v/>
      </c>
      <c r="M141" s="102"/>
      <c r="N141" s="276" t="str">
        <f>IF(M141="","",IF(AND(M141="N/A - Culvert",D141&lt;&gt;"Culvert"),"Not possible ▲",IF(AND(D141="Culvert",M141&lt;&gt;"N/A - Culvert"),"Not possible ▲",IF(VLOOKUP(M141,'G-7 WaterC'' Data'!$AA$4:$AB$7,2,FALSE)=0,"Spatial Data Missing ⚠",VLOOKUP(M141,'G-7 WaterC'' Data'!$AA$4:$AB$7,2,FALSE)))))</f>
        <v/>
      </c>
      <c r="O141" s="56"/>
      <c r="P141" s="276" t="str">
        <f>IF(O141="","",IF(AND(O141="N/A - Culvert",D141&lt;&gt;"Culvert"),"Not possible ▲",IF(AND(D141="Culvert",O141&lt;&gt;"N/A - Culvert"),"Not possible ▲",IF(VLOOKUP(O141,'G-7 WaterC'' Data'!$AD$4:$AE$14,2,FALSE)=0,"Spatial Data Missing ⚠",VLOOKUP(O141,'G-7 WaterC'' Data'!$AD$4:$AE$14,2,FALSE)))))</f>
        <v/>
      </c>
      <c r="Q141" s="282" t="str">
        <f>IF(D141="","",VLOOKUP(D141,'G-7 WaterC'' Data'!$B$4:$G$8,6,FALSE))</f>
        <v/>
      </c>
      <c r="R141" s="289" t="str">
        <f t="shared" si="25"/>
        <v xml:space="preserve"> </v>
      </c>
      <c r="S141" s="393"/>
      <c r="T141" s="281" t="str">
        <f>IF(S141="","",IF(VLOOKUP(S141,'G-7 WaterC'' Data'!$AO$4:$BO$7,2,FALSE)=0,"Spatial Data Missing ⚠",VLOOKUP(S141,'G-7 WaterC'' Data'!$AO$4:$BO$7,2,FALSE)))</f>
        <v/>
      </c>
      <c r="U141" s="289" t="str">
        <f t="shared" si="26"/>
        <v xml:space="preserve"> </v>
      </c>
      <c r="V141" s="694" t="str">
        <f t="shared" si="27"/>
        <v/>
      </c>
      <c r="W141" s="32"/>
      <c r="X141" s="101"/>
      <c r="Y141" s="108"/>
      <c r="Z141" s="287" t="str">
        <f t="shared" si="28"/>
        <v/>
      </c>
      <c r="AA141" s="287" t="str">
        <f t="shared" si="29"/>
        <v/>
      </c>
      <c r="AB141" s="287" t="str">
        <f t="shared" si="30"/>
        <v/>
      </c>
      <c r="AC141" s="491" t="str">
        <f>IFERROR(IF(OR(E141="",R141=""),"",IF(AND(AB141&lt;&gt;"",S141=""),"Spatial risk category missing ▲",IF(AND(Q141='G-7 WaterC'' Data'!$G$4,AD141="Yes"),"Alternative Compensation ✓",IF(AND(AD141="Pending",Q141='G-7 WaterC'' Data'!$G$4),"Bespoke compensation must be agreed ▲",IF((Z141+AA141)&gt;=U141,0,U141-Z141-AA141))))),"Check Data ⚠")</f>
        <v/>
      </c>
      <c r="AD141" s="393"/>
      <c r="AE141" s="105"/>
      <c r="AF141" s="104"/>
      <c r="AG141" s="104"/>
      <c r="AH141" s="104"/>
      <c r="AI141" s="54" t="str">
        <f>IF(OR(Q141="",AD141="Yes"),"",IF(Q141='G-1 All Habitats'!$X$9,E141-Y141-X141,"None"))</f>
        <v/>
      </c>
      <c r="AJ141" s="55" t="str">
        <f>IF(Q141="","",IF(Q141='G-1 All Habitats'!$X$9,AI141*G141*I141*L141*N141*P141,"None"))</f>
        <v/>
      </c>
      <c r="AK141" s="30" t="str">
        <f>IFERROR(INDEX('G-7 WaterC'' Data'!$AZ$3:$AZ$7,MATCH(D141,'G-7 WaterC'' Data'!$AY$3:$AY$7,0)),"")</f>
        <v/>
      </c>
      <c r="AL141" s="30">
        <f t="shared" si="31"/>
        <v>0</v>
      </c>
      <c r="AM141" s="107" t="str">
        <f t="shared" si="32"/>
        <v/>
      </c>
      <c r="AN141" s="107" t="str">
        <f t="shared" si="33"/>
        <v/>
      </c>
      <c r="AP141" s="107">
        <v>132</v>
      </c>
      <c r="AR141" s="107" t="str">
        <f t="array" ref="AR141">IFERROR(INDEX($AP$10:$AP$258,MATCH(0,IF(TRUE=$AM$10:$AM$258,COUNTIF($AR$9:$AR140,$AP$10:$AP$258),""),0)),"")</f>
        <v/>
      </c>
      <c r="AS141" s="107" t="str">
        <f t="array" ref="AS141">IFERROR(INDEX($AP$10:$AP$258,MATCH(0,IF(TRUE=$AN$10:$AN$258,COUNTIF($AS$9:$AS140,$AP$10:$AP$258),""),0)),"")</f>
        <v/>
      </c>
      <c r="AT141" s="885" t="str">
        <f>IF(AND(OR(AD141="Yes",AD141="Pending"),Q141='G-7 WaterC'' Data'!$G$4),U141-AA141-Z141,"0")</f>
        <v>0</v>
      </c>
      <c r="AU141" s="30" t="str">
        <f>IF(D141="","",VLOOKUP(D141,'G-7 WaterC'' Data'!B$4:M$8,12,FALSE))</f>
        <v/>
      </c>
      <c r="AV141" s="30" t="str">
        <f t="shared" si="24"/>
        <v/>
      </c>
      <c r="AW141" s="30" t="str">
        <f t="shared" si="34"/>
        <v>No</v>
      </c>
      <c r="BA141" s="555" t="str">
        <f t="shared" si="35"/>
        <v/>
      </c>
    </row>
    <row r="142" spans="3:53" ht="14.5" thickBot="1">
      <c r="C142" s="97">
        <v>133</v>
      </c>
      <c r="D142" s="263"/>
      <c r="E142" s="104"/>
      <c r="F142" s="275" t="str">
        <f>IF(D142="","",VLOOKUP(D142,'G-7 WaterC'' Data'!$B$2:$G$8,2,FALSE))</f>
        <v/>
      </c>
      <c r="G142" s="314" t="str">
        <f>IFERROR(VLOOKUP(F142,'G-7 WaterC'' Data'!$C$4:$D$8,2,FALSE),"")</f>
        <v/>
      </c>
      <c r="H142" s="105"/>
      <c r="I142" s="299" t="str">
        <f>IFERROR(INDEX('G-7 WaterC'' Data'!$H$4:$L$8,MATCH(D142,'G-7 WaterC'' Data'!$B$4:$B$8,0),MATCH(H142,'G-7 WaterC'' Data'!$H$3:$L$3,0)),"")</f>
        <v/>
      </c>
      <c r="J142" s="702"/>
      <c r="K142" s="295" t="str">
        <f>IF(J142="","",IF(VLOOKUP(J142,'G-7 WaterC'' Data'!$AK$4:$AM$9,2,FALSE)=0,"Spatial Data Missing ⚠",VLOOKUP(J142,'G-7 WaterC'' Data'!$AK$4:$AM$6,2,FALSE)))</f>
        <v/>
      </c>
      <c r="L142" s="299" t="str">
        <f>IF(J142="","",IF(VLOOKUP(J142,'G-7 WaterC'' Data'!$AK$4:$AM$9,3,FALSE)=0,"Spatial Data Missing ⚠",VLOOKUP(J142,'G-7 WaterC'' Data'!$AK$4:$AM$6,3,FALSE)))</f>
        <v/>
      </c>
      <c r="M142" s="102"/>
      <c r="N142" s="276" t="str">
        <f>IF(M142="","",IF(AND(M142="N/A - Culvert",D142&lt;&gt;"Culvert"),"Not possible ▲",IF(AND(D142="Culvert",M142&lt;&gt;"N/A - Culvert"),"Not possible ▲",IF(VLOOKUP(M142,'G-7 WaterC'' Data'!$AA$4:$AB$7,2,FALSE)=0,"Spatial Data Missing ⚠",VLOOKUP(M142,'G-7 WaterC'' Data'!$AA$4:$AB$7,2,FALSE)))))</f>
        <v/>
      </c>
      <c r="O142" s="56"/>
      <c r="P142" s="276" t="str">
        <f>IF(O142="","",IF(AND(O142="N/A - Culvert",D142&lt;&gt;"Culvert"),"Not possible ▲",IF(AND(D142="Culvert",O142&lt;&gt;"N/A - Culvert"),"Not possible ▲",IF(VLOOKUP(O142,'G-7 WaterC'' Data'!$AD$4:$AE$14,2,FALSE)=0,"Spatial Data Missing ⚠",VLOOKUP(O142,'G-7 WaterC'' Data'!$AD$4:$AE$14,2,FALSE)))))</f>
        <v/>
      </c>
      <c r="Q142" s="282" t="str">
        <f>IF(D142="","",VLOOKUP(D142,'G-7 WaterC'' Data'!$B$4:$G$8,6,FALSE))</f>
        <v/>
      </c>
      <c r="R142" s="289" t="str">
        <f t="shared" si="25"/>
        <v xml:space="preserve"> </v>
      </c>
      <c r="S142" s="393"/>
      <c r="T142" s="281" t="str">
        <f>IF(S142="","",IF(VLOOKUP(S142,'G-7 WaterC'' Data'!$AO$4:$BO$7,2,FALSE)=0,"Spatial Data Missing ⚠",VLOOKUP(S142,'G-7 WaterC'' Data'!$AO$4:$BO$7,2,FALSE)))</f>
        <v/>
      </c>
      <c r="U142" s="289" t="str">
        <f t="shared" si="26"/>
        <v xml:space="preserve"> </v>
      </c>
      <c r="V142" s="694" t="str">
        <f t="shared" si="27"/>
        <v/>
      </c>
      <c r="W142" s="32"/>
      <c r="X142" s="101"/>
      <c r="Y142" s="108"/>
      <c r="Z142" s="287" t="str">
        <f t="shared" si="28"/>
        <v/>
      </c>
      <c r="AA142" s="287" t="str">
        <f t="shared" si="29"/>
        <v/>
      </c>
      <c r="AB142" s="287" t="str">
        <f t="shared" si="30"/>
        <v/>
      </c>
      <c r="AC142" s="491" t="str">
        <f>IFERROR(IF(OR(E142="",R142=""),"",IF(AND(AB142&lt;&gt;"",S142=""),"Spatial risk category missing ▲",IF(AND(Q142='G-7 WaterC'' Data'!$G$4,AD142="Yes"),"Alternative Compensation ✓",IF(AND(AD142="Pending",Q142='G-7 WaterC'' Data'!$G$4),"Bespoke compensation must be agreed ▲",IF((Z142+AA142)&gt;=U142,0,U142-Z142-AA142))))),"Check Data ⚠")</f>
        <v/>
      </c>
      <c r="AD142" s="393"/>
      <c r="AE142" s="105"/>
      <c r="AF142" s="104"/>
      <c r="AG142" s="104"/>
      <c r="AH142" s="104"/>
      <c r="AI142" s="54" t="str">
        <f>IF(OR(Q142="",AD142="Yes"),"",IF(Q142='G-1 All Habitats'!$X$9,E142-Y142-X142,"None"))</f>
        <v/>
      </c>
      <c r="AJ142" s="55" t="str">
        <f>IF(Q142="","",IF(Q142='G-1 All Habitats'!$X$9,AI142*G142*I142*L142*N142*P142,"None"))</f>
        <v/>
      </c>
      <c r="AK142" s="30" t="str">
        <f>IFERROR(INDEX('G-7 WaterC'' Data'!$AZ$3:$AZ$7,MATCH(D142,'G-7 WaterC'' Data'!$AY$3:$AY$7,0)),"")</f>
        <v/>
      </c>
      <c r="AL142" s="30">
        <f t="shared" si="31"/>
        <v>0</v>
      </c>
      <c r="AM142" s="107" t="str">
        <f t="shared" si="32"/>
        <v/>
      </c>
      <c r="AN142" s="107" t="str">
        <f t="shared" si="33"/>
        <v/>
      </c>
      <c r="AP142" s="107">
        <v>133</v>
      </c>
      <c r="AR142" s="107" t="str">
        <f t="array" ref="AR142">IFERROR(INDEX($AP$10:$AP$258,MATCH(0,IF(TRUE=$AM$10:$AM$258,COUNTIF($AR$9:$AR141,$AP$10:$AP$258),""),0)),"")</f>
        <v/>
      </c>
      <c r="AS142" s="107" t="str">
        <f t="array" ref="AS142">IFERROR(INDEX($AP$10:$AP$258,MATCH(0,IF(TRUE=$AN$10:$AN$258,COUNTIF($AS$9:$AS141,$AP$10:$AP$258),""),0)),"")</f>
        <v/>
      </c>
      <c r="AT142" s="885" t="str">
        <f>IF(AND(OR(AD142="Yes",AD142="Pending"),Q142='G-7 WaterC'' Data'!$G$4),U142-AA142-Z142,"0")</f>
        <v>0</v>
      </c>
      <c r="AU142" s="30" t="str">
        <f>IF(D142="","",VLOOKUP(D142,'G-7 WaterC'' Data'!B$4:M$8,12,FALSE))</f>
        <v/>
      </c>
      <c r="AV142" s="30" t="str">
        <f t="shared" si="24"/>
        <v/>
      </c>
      <c r="AW142" s="30" t="str">
        <f t="shared" si="34"/>
        <v>No</v>
      </c>
      <c r="BA142" s="555" t="str">
        <f t="shared" si="35"/>
        <v/>
      </c>
    </row>
    <row r="143" spans="3:53" ht="14.5" thickBot="1">
      <c r="C143" s="97">
        <v>134</v>
      </c>
      <c r="D143" s="263"/>
      <c r="E143" s="104"/>
      <c r="F143" s="275" t="str">
        <f>IF(D143="","",VLOOKUP(D143,'G-7 WaterC'' Data'!$B$2:$G$8,2,FALSE))</f>
        <v/>
      </c>
      <c r="G143" s="314" t="str">
        <f>IFERROR(VLOOKUP(F143,'G-7 WaterC'' Data'!$C$4:$D$8,2,FALSE),"")</f>
        <v/>
      </c>
      <c r="H143" s="105"/>
      <c r="I143" s="299" t="str">
        <f>IFERROR(INDEX('G-7 WaterC'' Data'!$H$4:$L$8,MATCH(D143,'G-7 WaterC'' Data'!$B$4:$B$8,0),MATCH(H143,'G-7 WaterC'' Data'!$H$3:$L$3,0)),"")</f>
        <v/>
      </c>
      <c r="J143" s="702"/>
      <c r="K143" s="295" t="str">
        <f>IF(J143="","",IF(VLOOKUP(J143,'G-7 WaterC'' Data'!$AK$4:$AM$9,2,FALSE)=0,"Spatial Data Missing ⚠",VLOOKUP(J143,'G-7 WaterC'' Data'!$AK$4:$AM$6,2,FALSE)))</f>
        <v/>
      </c>
      <c r="L143" s="299" t="str">
        <f>IF(J143="","",IF(VLOOKUP(J143,'G-7 WaterC'' Data'!$AK$4:$AM$9,3,FALSE)=0,"Spatial Data Missing ⚠",VLOOKUP(J143,'G-7 WaterC'' Data'!$AK$4:$AM$6,3,FALSE)))</f>
        <v/>
      </c>
      <c r="M143" s="102"/>
      <c r="N143" s="276" t="str">
        <f>IF(M143="","",IF(AND(M143="N/A - Culvert",D143&lt;&gt;"Culvert"),"Not possible ▲",IF(AND(D143="Culvert",M143&lt;&gt;"N/A - Culvert"),"Not possible ▲",IF(VLOOKUP(M143,'G-7 WaterC'' Data'!$AA$4:$AB$7,2,FALSE)=0,"Spatial Data Missing ⚠",VLOOKUP(M143,'G-7 WaterC'' Data'!$AA$4:$AB$7,2,FALSE)))))</f>
        <v/>
      </c>
      <c r="O143" s="56"/>
      <c r="P143" s="276" t="str">
        <f>IF(O143="","",IF(AND(O143="N/A - Culvert",D143&lt;&gt;"Culvert"),"Not possible ▲",IF(AND(D143="Culvert",O143&lt;&gt;"N/A - Culvert"),"Not possible ▲",IF(VLOOKUP(O143,'G-7 WaterC'' Data'!$AD$4:$AE$14,2,FALSE)=0,"Spatial Data Missing ⚠",VLOOKUP(O143,'G-7 WaterC'' Data'!$AD$4:$AE$14,2,FALSE)))))</f>
        <v/>
      </c>
      <c r="Q143" s="282" t="str">
        <f>IF(D143="","",VLOOKUP(D143,'G-7 WaterC'' Data'!$B$4:$G$8,6,FALSE))</f>
        <v/>
      </c>
      <c r="R143" s="289" t="str">
        <f t="shared" si="25"/>
        <v xml:space="preserve"> </v>
      </c>
      <c r="S143" s="393"/>
      <c r="T143" s="281" t="str">
        <f>IF(S143="","",IF(VLOOKUP(S143,'G-7 WaterC'' Data'!$AO$4:$BO$7,2,FALSE)=0,"Spatial Data Missing ⚠",VLOOKUP(S143,'G-7 WaterC'' Data'!$AO$4:$BO$7,2,FALSE)))</f>
        <v/>
      </c>
      <c r="U143" s="289" t="str">
        <f t="shared" si="26"/>
        <v xml:space="preserve"> </v>
      </c>
      <c r="V143" s="694" t="str">
        <f t="shared" si="27"/>
        <v/>
      </c>
      <c r="W143" s="32"/>
      <c r="X143" s="101"/>
      <c r="Y143" s="108"/>
      <c r="Z143" s="287" t="str">
        <f t="shared" si="28"/>
        <v/>
      </c>
      <c r="AA143" s="287" t="str">
        <f t="shared" si="29"/>
        <v/>
      </c>
      <c r="AB143" s="287" t="str">
        <f t="shared" si="30"/>
        <v/>
      </c>
      <c r="AC143" s="491" t="str">
        <f>IFERROR(IF(OR(E143="",R143=""),"",IF(AND(AB143&lt;&gt;"",S143=""),"Spatial risk category missing ▲",IF(AND(Q143='G-7 WaterC'' Data'!$G$4,AD143="Yes"),"Alternative Compensation ✓",IF(AND(AD143="Pending",Q143='G-7 WaterC'' Data'!$G$4),"Bespoke compensation must be agreed ▲",IF((Z143+AA143)&gt;=U143,0,U143-Z143-AA143))))),"Check Data ⚠")</f>
        <v/>
      </c>
      <c r="AD143" s="393"/>
      <c r="AE143" s="105"/>
      <c r="AF143" s="104"/>
      <c r="AG143" s="104"/>
      <c r="AH143" s="104"/>
      <c r="AI143" s="54" t="str">
        <f>IF(OR(Q143="",AD143="Yes"),"",IF(Q143='G-1 All Habitats'!$X$9,E143-Y143-X143,"None"))</f>
        <v/>
      </c>
      <c r="AJ143" s="55" t="str">
        <f>IF(Q143="","",IF(Q143='G-1 All Habitats'!$X$9,AI143*G143*I143*L143*N143*P143,"None"))</f>
        <v/>
      </c>
      <c r="AK143" s="30" t="str">
        <f>IFERROR(INDEX('G-7 WaterC'' Data'!$AZ$3:$AZ$7,MATCH(D143,'G-7 WaterC'' Data'!$AY$3:$AY$7,0)),"")</f>
        <v/>
      </c>
      <c r="AL143" s="30">
        <f t="shared" si="31"/>
        <v>0</v>
      </c>
      <c r="AM143" s="107" t="str">
        <f t="shared" si="32"/>
        <v/>
      </c>
      <c r="AN143" s="107" t="str">
        <f t="shared" si="33"/>
        <v/>
      </c>
      <c r="AP143" s="107">
        <v>134</v>
      </c>
      <c r="AR143" s="107" t="str">
        <f t="array" ref="AR143">IFERROR(INDEX($AP$10:$AP$258,MATCH(0,IF(TRUE=$AM$10:$AM$258,COUNTIF($AR$9:$AR142,$AP$10:$AP$258),""),0)),"")</f>
        <v/>
      </c>
      <c r="AS143" s="107" t="str">
        <f t="array" ref="AS143">IFERROR(INDEX($AP$10:$AP$258,MATCH(0,IF(TRUE=$AN$10:$AN$258,COUNTIF($AS$9:$AS142,$AP$10:$AP$258),""),0)),"")</f>
        <v/>
      </c>
      <c r="AT143" s="885" t="str">
        <f>IF(AND(OR(AD143="Yes",AD143="Pending"),Q143='G-7 WaterC'' Data'!$G$4),U143-AA143-Z143,"0")</f>
        <v>0</v>
      </c>
      <c r="AU143" s="30" t="str">
        <f>IF(D143="","",VLOOKUP(D143,'G-7 WaterC'' Data'!B$4:M$8,12,FALSE))</f>
        <v/>
      </c>
      <c r="AV143" s="30" t="str">
        <f t="shared" si="24"/>
        <v/>
      </c>
      <c r="AW143" s="30" t="str">
        <f t="shared" si="34"/>
        <v>No</v>
      </c>
      <c r="BA143" s="555" t="str">
        <f t="shared" si="35"/>
        <v/>
      </c>
    </row>
    <row r="144" spans="3:53" ht="14.5" thickBot="1">
      <c r="C144" s="97">
        <v>135</v>
      </c>
      <c r="D144" s="263"/>
      <c r="E144" s="104"/>
      <c r="F144" s="275" t="str">
        <f>IF(D144="","",VLOOKUP(D144,'G-7 WaterC'' Data'!$B$2:$G$8,2,FALSE))</f>
        <v/>
      </c>
      <c r="G144" s="314" t="str">
        <f>IFERROR(VLOOKUP(F144,'G-7 WaterC'' Data'!$C$4:$D$8,2,FALSE),"")</f>
        <v/>
      </c>
      <c r="H144" s="105"/>
      <c r="I144" s="299" t="str">
        <f>IFERROR(INDEX('G-7 WaterC'' Data'!$H$4:$L$8,MATCH(D144,'G-7 WaterC'' Data'!$B$4:$B$8,0),MATCH(H144,'G-7 WaterC'' Data'!$H$3:$L$3,0)),"")</f>
        <v/>
      </c>
      <c r="J144" s="702"/>
      <c r="K144" s="295" t="str">
        <f>IF(J144="","",IF(VLOOKUP(J144,'G-7 WaterC'' Data'!$AK$4:$AM$9,2,FALSE)=0,"Spatial Data Missing ⚠",VLOOKUP(J144,'G-7 WaterC'' Data'!$AK$4:$AM$6,2,FALSE)))</f>
        <v/>
      </c>
      <c r="L144" s="299" t="str">
        <f>IF(J144="","",IF(VLOOKUP(J144,'G-7 WaterC'' Data'!$AK$4:$AM$9,3,FALSE)=0,"Spatial Data Missing ⚠",VLOOKUP(J144,'G-7 WaterC'' Data'!$AK$4:$AM$6,3,FALSE)))</f>
        <v/>
      </c>
      <c r="M144" s="102"/>
      <c r="N144" s="276" t="str">
        <f>IF(M144="","",IF(AND(M144="N/A - Culvert",D144&lt;&gt;"Culvert"),"Not possible ▲",IF(AND(D144="Culvert",M144&lt;&gt;"N/A - Culvert"),"Not possible ▲",IF(VLOOKUP(M144,'G-7 WaterC'' Data'!$AA$4:$AB$7,2,FALSE)=0,"Spatial Data Missing ⚠",VLOOKUP(M144,'G-7 WaterC'' Data'!$AA$4:$AB$7,2,FALSE)))))</f>
        <v/>
      </c>
      <c r="O144" s="56"/>
      <c r="P144" s="276" t="str">
        <f>IF(O144="","",IF(AND(O144="N/A - Culvert",D144&lt;&gt;"Culvert"),"Not possible ▲",IF(AND(D144="Culvert",O144&lt;&gt;"N/A - Culvert"),"Not possible ▲",IF(VLOOKUP(O144,'G-7 WaterC'' Data'!$AD$4:$AE$14,2,FALSE)=0,"Spatial Data Missing ⚠",VLOOKUP(O144,'G-7 WaterC'' Data'!$AD$4:$AE$14,2,FALSE)))))</f>
        <v/>
      </c>
      <c r="Q144" s="282" t="str">
        <f>IF(D144="","",VLOOKUP(D144,'G-7 WaterC'' Data'!$B$4:$G$8,6,FALSE))</f>
        <v/>
      </c>
      <c r="R144" s="289" t="str">
        <f t="shared" si="25"/>
        <v xml:space="preserve"> </v>
      </c>
      <c r="S144" s="393"/>
      <c r="T144" s="281" t="str">
        <f>IF(S144="","",IF(VLOOKUP(S144,'G-7 WaterC'' Data'!$AO$4:$BO$7,2,FALSE)=0,"Spatial Data Missing ⚠",VLOOKUP(S144,'G-7 WaterC'' Data'!$AO$4:$BO$7,2,FALSE)))</f>
        <v/>
      </c>
      <c r="U144" s="289" t="str">
        <f t="shared" si="26"/>
        <v xml:space="preserve"> </v>
      </c>
      <c r="V144" s="694" t="str">
        <f t="shared" si="27"/>
        <v/>
      </c>
      <c r="W144" s="32"/>
      <c r="X144" s="101"/>
      <c r="Y144" s="108"/>
      <c r="Z144" s="287" t="str">
        <f t="shared" si="28"/>
        <v/>
      </c>
      <c r="AA144" s="287" t="str">
        <f t="shared" si="29"/>
        <v/>
      </c>
      <c r="AB144" s="287" t="str">
        <f t="shared" si="30"/>
        <v/>
      </c>
      <c r="AC144" s="491" t="str">
        <f>IFERROR(IF(OR(E144="",R144=""),"",IF(AND(AB144&lt;&gt;"",S144=""),"Spatial risk category missing ▲",IF(AND(Q144='G-7 WaterC'' Data'!$G$4,AD144="Yes"),"Alternative Compensation ✓",IF(AND(AD144="Pending",Q144='G-7 WaterC'' Data'!$G$4),"Bespoke compensation must be agreed ▲",IF((Z144+AA144)&gt;=U144,0,U144-Z144-AA144))))),"Check Data ⚠")</f>
        <v/>
      </c>
      <c r="AD144" s="393"/>
      <c r="AE144" s="105"/>
      <c r="AF144" s="104"/>
      <c r="AG144" s="104"/>
      <c r="AH144" s="104"/>
      <c r="AI144" s="54" t="str">
        <f>IF(OR(Q144="",AD144="Yes"),"",IF(Q144='G-1 All Habitats'!$X$9,E144-Y144-X144,"None"))</f>
        <v/>
      </c>
      <c r="AJ144" s="55" t="str">
        <f>IF(Q144="","",IF(Q144='G-1 All Habitats'!$X$9,AI144*G144*I144*L144*N144*P144,"None"))</f>
        <v/>
      </c>
      <c r="AK144" s="30" t="str">
        <f>IFERROR(INDEX('G-7 WaterC'' Data'!$AZ$3:$AZ$7,MATCH(D144,'G-7 WaterC'' Data'!$AY$3:$AY$7,0)),"")</f>
        <v/>
      </c>
      <c r="AL144" s="30">
        <f t="shared" si="31"/>
        <v>0</v>
      </c>
      <c r="AM144" s="107" t="str">
        <f t="shared" si="32"/>
        <v/>
      </c>
      <c r="AN144" s="107" t="str">
        <f t="shared" si="33"/>
        <v/>
      </c>
      <c r="AP144" s="107">
        <v>135</v>
      </c>
      <c r="AR144" s="107" t="str">
        <f t="array" ref="AR144">IFERROR(INDEX($AP$10:$AP$258,MATCH(0,IF(TRUE=$AM$10:$AM$258,COUNTIF($AR$9:$AR143,$AP$10:$AP$258),""),0)),"")</f>
        <v/>
      </c>
      <c r="AS144" s="107" t="str">
        <f t="array" ref="AS144">IFERROR(INDEX($AP$10:$AP$258,MATCH(0,IF(TRUE=$AN$10:$AN$258,COUNTIF($AS$9:$AS143,$AP$10:$AP$258),""),0)),"")</f>
        <v/>
      </c>
      <c r="AT144" s="885" t="str">
        <f>IF(AND(OR(AD144="Yes",AD144="Pending"),Q144='G-7 WaterC'' Data'!$G$4),U144-AA144-Z144,"0")</f>
        <v>0</v>
      </c>
      <c r="AU144" s="30" t="str">
        <f>IF(D144="","",VLOOKUP(D144,'G-7 WaterC'' Data'!B$4:M$8,12,FALSE))</f>
        <v/>
      </c>
      <c r="AV144" s="30" t="str">
        <f t="shared" si="24"/>
        <v/>
      </c>
      <c r="AW144" s="30" t="str">
        <f t="shared" si="34"/>
        <v>No</v>
      </c>
      <c r="BA144" s="555" t="str">
        <f t="shared" si="35"/>
        <v/>
      </c>
    </row>
    <row r="145" spans="3:53" ht="14.5" thickBot="1">
      <c r="C145" s="97">
        <v>136</v>
      </c>
      <c r="D145" s="263"/>
      <c r="E145" s="104"/>
      <c r="F145" s="275" t="str">
        <f>IF(D145="","",VLOOKUP(D145,'G-7 WaterC'' Data'!$B$2:$G$8,2,FALSE))</f>
        <v/>
      </c>
      <c r="G145" s="314" t="str">
        <f>IFERROR(VLOOKUP(F145,'G-7 WaterC'' Data'!$C$4:$D$8,2,FALSE),"")</f>
        <v/>
      </c>
      <c r="H145" s="105"/>
      <c r="I145" s="299" t="str">
        <f>IFERROR(INDEX('G-7 WaterC'' Data'!$H$4:$L$8,MATCH(D145,'G-7 WaterC'' Data'!$B$4:$B$8,0),MATCH(H145,'G-7 WaterC'' Data'!$H$3:$L$3,0)),"")</f>
        <v/>
      </c>
      <c r="J145" s="702"/>
      <c r="K145" s="295" t="str">
        <f>IF(J145="","",IF(VLOOKUP(J145,'G-7 WaterC'' Data'!$AK$4:$AM$9,2,FALSE)=0,"Spatial Data Missing ⚠",VLOOKUP(J145,'G-7 WaterC'' Data'!$AK$4:$AM$6,2,FALSE)))</f>
        <v/>
      </c>
      <c r="L145" s="299" t="str">
        <f>IF(J145="","",IF(VLOOKUP(J145,'G-7 WaterC'' Data'!$AK$4:$AM$9,3,FALSE)=0,"Spatial Data Missing ⚠",VLOOKUP(J145,'G-7 WaterC'' Data'!$AK$4:$AM$6,3,FALSE)))</f>
        <v/>
      </c>
      <c r="M145" s="102"/>
      <c r="N145" s="276" t="str">
        <f>IF(M145="","",IF(AND(M145="N/A - Culvert",D145&lt;&gt;"Culvert"),"Not possible ▲",IF(AND(D145="Culvert",M145&lt;&gt;"N/A - Culvert"),"Not possible ▲",IF(VLOOKUP(M145,'G-7 WaterC'' Data'!$AA$4:$AB$7,2,FALSE)=0,"Spatial Data Missing ⚠",VLOOKUP(M145,'G-7 WaterC'' Data'!$AA$4:$AB$7,2,FALSE)))))</f>
        <v/>
      </c>
      <c r="O145" s="56"/>
      <c r="P145" s="276" t="str">
        <f>IF(O145="","",IF(AND(O145="N/A - Culvert",D145&lt;&gt;"Culvert"),"Not possible ▲",IF(AND(D145="Culvert",O145&lt;&gt;"N/A - Culvert"),"Not possible ▲",IF(VLOOKUP(O145,'G-7 WaterC'' Data'!$AD$4:$AE$14,2,FALSE)=0,"Spatial Data Missing ⚠",VLOOKUP(O145,'G-7 WaterC'' Data'!$AD$4:$AE$14,2,FALSE)))))</f>
        <v/>
      </c>
      <c r="Q145" s="282" t="str">
        <f>IF(D145="","",VLOOKUP(D145,'G-7 WaterC'' Data'!$B$4:$G$8,6,FALSE))</f>
        <v/>
      </c>
      <c r="R145" s="289" t="str">
        <f t="shared" si="25"/>
        <v xml:space="preserve"> </v>
      </c>
      <c r="S145" s="393"/>
      <c r="T145" s="281" t="str">
        <f>IF(S145="","",IF(VLOOKUP(S145,'G-7 WaterC'' Data'!$AO$4:$BO$7,2,FALSE)=0,"Spatial Data Missing ⚠",VLOOKUP(S145,'G-7 WaterC'' Data'!$AO$4:$BO$7,2,FALSE)))</f>
        <v/>
      </c>
      <c r="U145" s="289" t="str">
        <f t="shared" si="26"/>
        <v xml:space="preserve"> </v>
      </c>
      <c r="V145" s="694" t="str">
        <f t="shared" si="27"/>
        <v/>
      </c>
      <c r="W145" s="32"/>
      <c r="X145" s="101"/>
      <c r="Y145" s="108"/>
      <c r="Z145" s="287" t="str">
        <f t="shared" si="28"/>
        <v/>
      </c>
      <c r="AA145" s="287" t="str">
        <f t="shared" si="29"/>
        <v/>
      </c>
      <c r="AB145" s="287" t="str">
        <f t="shared" si="30"/>
        <v/>
      </c>
      <c r="AC145" s="491" t="str">
        <f>IFERROR(IF(OR(E145="",R145=""),"",IF(AND(AB145&lt;&gt;"",S145=""),"Spatial risk category missing ▲",IF(AND(Q145='G-7 WaterC'' Data'!$G$4,AD145="Yes"),"Alternative Compensation ✓",IF(AND(AD145="Pending",Q145='G-7 WaterC'' Data'!$G$4),"Bespoke compensation must be agreed ▲",IF((Z145+AA145)&gt;=U145,0,U145-Z145-AA145))))),"Check Data ⚠")</f>
        <v/>
      </c>
      <c r="AD145" s="393"/>
      <c r="AE145" s="105"/>
      <c r="AF145" s="104"/>
      <c r="AG145" s="104"/>
      <c r="AH145" s="104"/>
      <c r="AI145" s="54" t="str">
        <f>IF(OR(Q145="",AD145="Yes"),"",IF(Q145='G-1 All Habitats'!$X$9,E145-Y145-X145,"None"))</f>
        <v/>
      </c>
      <c r="AJ145" s="55" t="str">
        <f>IF(Q145="","",IF(Q145='G-1 All Habitats'!$X$9,AI145*G145*I145*L145*N145*P145,"None"))</f>
        <v/>
      </c>
      <c r="AK145" s="30" t="str">
        <f>IFERROR(INDEX('G-7 WaterC'' Data'!$AZ$3:$AZ$7,MATCH(D145,'G-7 WaterC'' Data'!$AY$3:$AY$7,0)),"")</f>
        <v/>
      </c>
      <c r="AL145" s="30">
        <f t="shared" si="31"/>
        <v>0</v>
      </c>
      <c r="AM145" s="107" t="str">
        <f t="shared" si="32"/>
        <v/>
      </c>
      <c r="AN145" s="107" t="str">
        <f t="shared" si="33"/>
        <v/>
      </c>
      <c r="AP145" s="107">
        <v>136</v>
      </c>
      <c r="AR145" s="107" t="str">
        <f t="array" ref="AR145">IFERROR(INDEX($AP$10:$AP$258,MATCH(0,IF(TRUE=$AM$10:$AM$258,COUNTIF($AR$9:$AR144,$AP$10:$AP$258),""),0)),"")</f>
        <v/>
      </c>
      <c r="AS145" s="107" t="str">
        <f t="array" ref="AS145">IFERROR(INDEX($AP$10:$AP$258,MATCH(0,IF(TRUE=$AN$10:$AN$258,COUNTIF($AS$9:$AS144,$AP$10:$AP$258),""),0)),"")</f>
        <v/>
      </c>
      <c r="AT145" s="885" t="str">
        <f>IF(AND(OR(AD145="Yes",AD145="Pending"),Q145='G-7 WaterC'' Data'!$G$4),U145-AA145-Z145,"0")</f>
        <v>0</v>
      </c>
      <c r="AU145" s="30" t="str">
        <f>IF(D145="","",VLOOKUP(D145,'G-7 WaterC'' Data'!B$4:M$8,12,FALSE))</f>
        <v/>
      </c>
      <c r="AV145" s="30" t="str">
        <f t="shared" si="24"/>
        <v/>
      </c>
      <c r="AW145" s="30" t="str">
        <f t="shared" si="34"/>
        <v>No</v>
      </c>
      <c r="BA145" s="555" t="str">
        <f t="shared" si="35"/>
        <v/>
      </c>
    </row>
    <row r="146" spans="3:53" ht="14.5" thickBot="1">
      <c r="C146" s="97">
        <v>137</v>
      </c>
      <c r="D146" s="263"/>
      <c r="E146" s="104"/>
      <c r="F146" s="275" t="str">
        <f>IF(D146="","",VLOOKUP(D146,'G-7 WaterC'' Data'!$B$2:$G$8,2,FALSE))</f>
        <v/>
      </c>
      <c r="G146" s="314" t="str">
        <f>IFERROR(VLOOKUP(F146,'G-7 WaterC'' Data'!$C$4:$D$8,2,FALSE),"")</f>
        <v/>
      </c>
      <c r="H146" s="105"/>
      <c r="I146" s="299" t="str">
        <f>IFERROR(INDEX('G-7 WaterC'' Data'!$H$4:$L$8,MATCH(D146,'G-7 WaterC'' Data'!$B$4:$B$8,0),MATCH(H146,'G-7 WaterC'' Data'!$H$3:$L$3,0)),"")</f>
        <v/>
      </c>
      <c r="J146" s="702"/>
      <c r="K146" s="295" t="str">
        <f>IF(J146="","",IF(VLOOKUP(J146,'G-7 WaterC'' Data'!$AK$4:$AM$9,2,FALSE)=0,"Spatial Data Missing ⚠",VLOOKUP(J146,'G-7 WaterC'' Data'!$AK$4:$AM$6,2,FALSE)))</f>
        <v/>
      </c>
      <c r="L146" s="299" t="str">
        <f>IF(J146="","",IF(VLOOKUP(J146,'G-7 WaterC'' Data'!$AK$4:$AM$9,3,FALSE)=0,"Spatial Data Missing ⚠",VLOOKUP(J146,'G-7 WaterC'' Data'!$AK$4:$AM$6,3,FALSE)))</f>
        <v/>
      </c>
      <c r="M146" s="102"/>
      <c r="N146" s="276" t="str">
        <f>IF(M146="","",IF(AND(M146="N/A - Culvert",D146&lt;&gt;"Culvert"),"Not possible ▲",IF(AND(D146="Culvert",M146&lt;&gt;"N/A - Culvert"),"Not possible ▲",IF(VLOOKUP(M146,'G-7 WaterC'' Data'!$AA$4:$AB$7,2,FALSE)=0,"Spatial Data Missing ⚠",VLOOKUP(M146,'G-7 WaterC'' Data'!$AA$4:$AB$7,2,FALSE)))))</f>
        <v/>
      </c>
      <c r="O146" s="56"/>
      <c r="P146" s="276" t="str">
        <f>IF(O146="","",IF(AND(O146="N/A - Culvert",D146&lt;&gt;"Culvert"),"Not possible ▲",IF(AND(D146="Culvert",O146&lt;&gt;"N/A - Culvert"),"Not possible ▲",IF(VLOOKUP(O146,'G-7 WaterC'' Data'!$AD$4:$AE$14,2,FALSE)=0,"Spatial Data Missing ⚠",VLOOKUP(O146,'G-7 WaterC'' Data'!$AD$4:$AE$14,2,FALSE)))))</f>
        <v/>
      </c>
      <c r="Q146" s="282" t="str">
        <f>IF(D146="","",VLOOKUP(D146,'G-7 WaterC'' Data'!$B$4:$G$8,6,FALSE))</f>
        <v/>
      </c>
      <c r="R146" s="289" t="str">
        <f t="shared" si="25"/>
        <v xml:space="preserve"> </v>
      </c>
      <c r="S146" s="393"/>
      <c r="T146" s="281" t="str">
        <f>IF(S146="","",IF(VLOOKUP(S146,'G-7 WaterC'' Data'!$AO$4:$BO$7,2,FALSE)=0,"Spatial Data Missing ⚠",VLOOKUP(S146,'G-7 WaterC'' Data'!$AO$4:$BO$7,2,FALSE)))</f>
        <v/>
      </c>
      <c r="U146" s="289" t="str">
        <f t="shared" si="26"/>
        <v xml:space="preserve"> </v>
      </c>
      <c r="V146" s="694" t="str">
        <f t="shared" si="27"/>
        <v/>
      </c>
      <c r="W146" s="32"/>
      <c r="X146" s="101"/>
      <c r="Y146" s="108"/>
      <c r="Z146" s="287" t="str">
        <f t="shared" si="28"/>
        <v/>
      </c>
      <c r="AA146" s="287" t="str">
        <f t="shared" si="29"/>
        <v/>
      </c>
      <c r="AB146" s="287" t="str">
        <f t="shared" si="30"/>
        <v/>
      </c>
      <c r="AC146" s="491" t="str">
        <f>IFERROR(IF(OR(E146="",R146=""),"",IF(AND(AB146&lt;&gt;"",S146=""),"Spatial risk category missing ▲",IF(AND(Q146='G-7 WaterC'' Data'!$G$4,AD146="Yes"),"Alternative Compensation ✓",IF(AND(AD146="Pending",Q146='G-7 WaterC'' Data'!$G$4),"Bespoke compensation must be agreed ▲",IF((Z146+AA146)&gt;=U146,0,U146-Z146-AA146))))),"Check Data ⚠")</f>
        <v/>
      </c>
      <c r="AD146" s="393"/>
      <c r="AE146" s="105"/>
      <c r="AF146" s="104"/>
      <c r="AG146" s="104"/>
      <c r="AH146" s="104"/>
      <c r="AI146" s="54" t="str">
        <f>IF(OR(Q146="",AD146="Yes"),"",IF(Q146='G-1 All Habitats'!$X$9,E146-Y146-X146,"None"))</f>
        <v/>
      </c>
      <c r="AJ146" s="55" t="str">
        <f>IF(Q146="","",IF(Q146='G-1 All Habitats'!$X$9,AI146*G146*I146*L146*N146*P146,"None"))</f>
        <v/>
      </c>
      <c r="AK146" s="30" t="str">
        <f>IFERROR(INDEX('G-7 WaterC'' Data'!$AZ$3:$AZ$7,MATCH(D146,'G-7 WaterC'' Data'!$AY$3:$AY$7,0)),"")</f>
        <v/>
      </c>
      <c r="AL146" s="30">
        <f t="shared" si="31"/>
        <v>0</v>
      </c>
      <c r="AM146" s="107" t="str">
        <f t="shared" si="32"/>
        <v/>
      </c>
      <c r="AN146" s="107" t="str">
        <f t="shared" si="33"/>
        <v/>
      </c>
      <c r="AP146" s="107">
        <v>137</v>
      </c>
      <c r="AR146" s="107" t="str">
        <f t="array" ref="AR146">IFERROR(INDEX($AP$10:$AP$258,MATCH(0,IF(TRUE=$AM$10:$AM$258,COUNTIF($AR$9:$AR145,$AP$10:$AP$258),""),0)),"")</f>
        <v/>
      </c>
      <c r="AS146" s="107" t="str">
        <f t="array" ref="AS146">IFERROR(INDEX($AP$10:$AP$258,MATCH(0,IF(TRUE=$AN$10:$AN$258,COUNTIF($AS$9:$AS145,$AP$10:$AP$258),""),0)),"")</f>
        <v/>
      </c>
      <c r="AT146" s="885" t="str">
        <f>IF(AND(OR(AD146="Yes",AD146="Pending"),Q146='G-7 WaterC'' Data'!$G$4),U146-AA146-Z146,"0")</f>
        <v>0</v>
      </c>
      <c r="AU146" s="30" t="str">
        <f>IF(D146="","",VLOOKUP(D146,'G-7 WaterC'' Data'!B$4:M$8,12,FALSE))</f>
        <v/>
      </c>
      <c r="AV146" s="30" t="str">
        <f t="shared" si="24"/>
        <v/>
      </c>
      <c r="AW146" s="30" t="str">
        <f t="shared" si="34"/>
        <v>No</v>
      </c>
      <c r="BA146" s="555" t="str">
        <f t="shared" si="35"/>
        <v/>
      </c>
    </row>
    <row r="147" spans="3:53" ht="14.5" thickBot="1">
      <c r="C147" s="97">
        <v>138</v>
      </c>
      <c r="D147" s="263"/>
      <c r="E147" s="104"/>
      <c r="F147" s="275" t="str">
        <f>IF(D147="","",VLOOKUP(D147,'G-7 WaterC'' Data'!$B$2:$G$8,2,FALSE))</f>
        <v/>
      </c>
      <c r="G147" s="314" t="str">
        <f>IFERROR(VLOOKUP(F147,'G-7 WaterC'' Data'!$C$4:$D$8,2,FALSE),"")</f>
        <v/>
      </c>
      <c r="H147" s="105"/>
      <c r="I147" s="299" t="str">
        <f>IFERROR(INDEX('G-7 WaterC'' Data'!$H$4:$L$8,MATCH(D147,'G-7 WaterC'' Data'!$B$4:$B$8,0),MATCH(H147,'G-7 WaterC'' Data'!$H$3:$L$3,0)),"")</f>
        <v/>
      </c>
      <c r="J147" s="702"/>
      <c r="K147" s="295" t="str">
        <f>IF(J147="","",IF(VLOOKUP(J147,'G-7 WaterC'' Data'!$AK$4:$AM$9,2,FALSE)=0,"Spatial Data Missing ⚠",VLOOKUP(J147,'G-7 WaterC'' Data'!$AK$4:$AM$6,2,FALSE)))</f>
        <v/>
      </c>
      <c r="L147" s="299" t="str">
        <f>IF(J147="","",IF(VLOOKUP(J147,'G-7 WaterC'' Data'!$AK$4:$AM$9,3,FALSE)=0,"Spatial Data Missing ⚠",VLOOKUP(J147,'G-7 WaterC'' Data'!$AK$4:$AM$6,3,FALSE)))</f>
        <v/>
      </c>
      <c r="M147" s="102"/>
      <c r="N147" s="276" t="str">
        <f>IF(M147="","",IF(AND(M147="N/A - Culvert",D147&lt;&gt;"Culvert"),"Not possible ▲",IF(AND(D147="Culvert",M147&lt;&gt;"N/A - Culvert"),"Not possible ▲",IF(VLOOKUP(M147,'G-7 WaterC'' Data'!$AA$4:$AB$7,2,FALSE)=0,"Spatial Data Missing ⚠",VLOOKUP(M147,'G-7 WaterC'' Data'!$AA$4:$AB$7,2,FALSE)))))</f>
        <v/>
      </c>
      <c r="O147" s="56"/>
      <c r="P147" s="276" t="str">
        <f>IF(O147="","",IF(AND(O147="N/A - Culvert",D147&lt;&gt;"Culvert"),"Not possible ▲",IF(AND(D147="Culvert",O147&lt;&gt;"N/A - Culvert"),"Not possible ▲",IF(VLOOKUP(O147,'G-7 WaterC'' Data'!$AD$4:$AE$14,2,FALSE)=0,"Spatial Data Missing ⚠",VLOOKUP(O147,'G-7 WaterC'' Data'!$AD$4:$AE$14,2,FALSE)))))</f>
        <v/>
      </c>
      <c r="Q147" s="282" t="str">
        <f>IF(D147="","",VLOOKUP(D147,'G-7 WaterC'' Data'!$B$4:$G$8,6,FALSE))</f>
        <v/>
      </c>
      <c r="R147" s="289" t="str">
        <f t="shared" si="25"/>
        <v xml:space="preserve"> </v>
      </c>
      <c r="S147" s="393"/>
      <c r="T147" s="281" t="str">
        <f>IF(S147="","",IF(VLOOKUP(S147,'G-7 WaterC'' Data'!$AO$4:$BO$7,2,FALSE)=0,"Spatial Data Missing ⚠",VLOOKUP(S147,'G-7 WaterC'' Data'!$AO$4:$BO$7,2,FALSE)))</f>
        <v/>
      </c>
      <c r="U147" s="289" t="str">
        <f t="shared" si="26"/>
        <v xml:space="preserve"> </v>
      </c>
      <c r="V147" s="694" t="str">
        <f t="shared" si="27"/>
        <v/>
      </c>
      <c r="W147" s="32"/>
      <c r="X147" s="101"/>
      <c r="Y147" s="108"/>
      <c r="Z147" s="287" t="str">
        <f t="shared" si="28"/>
        <v/>
      </c>
      <c r="AA147" s="287" t="str">
        <f t="shared" si="29"/>
        <v/>
      </c>
      <c r="AB147" s="287" t="str">
        <f t="shared" si="30"/>
        <v/>
      </c>
      <c r="AC147" s="491" t="str">
        <f>IFERROR(IF(OR(E147="",R147=""),"",IF(AND(AB147&lt;&gt;"",S147=""),"Spatial risk category missing ▲",IF(AND(Q147='G-7 WaterC'' Data'!$G$4,AD147="Yes"),"Alternative Compensation ✓",IF(AND(AD147="Pending",Q147='G-7 WaterC'' Data'!$G$4),"Bespoke compensation must be agreed ▲",IF((Z147+AA147)&gt;=U147,0,U147-Z147-AA147))))),"Check Data ⚠")</f>
        <v/>
      </c>
      <c r="AD147" s="393"/>
      <c r="AE147" s="105"/>
      <c r="AF147" s="104"/>
      <c r="AG147" s="104"/>
      <c r="AH147" s="104"/>
      <c r="AI147" s="54" t="str">
        <f>IF(OR(Q147="",AD147="Yes"),"",IF(Q147='G-1 All Habitats'!$X$9,E147-Y147-X147,"None"))</f>
        <v/>
      </c>
      <c r="AJ147" s="55" t="str">
        <f>IF(Q147="","",IF(Q147='G-1 All Habitats'!$X$9,AI147*G147*I147*L147*N147*P147,"None"))</f>
        <v/>
      </c>
      <c r="AK147" s="30" t="str">
        <f>IFERROR(INDEX('G-7 WaterC'' Data'!$AZ$3:$AZ$7,MATCH(D147,'G-7 WaterC'' Data'!$AY$3:$AY$7,0)),"")</f>
        <v/>
      </c>
      <c r="AL147" s="30">
        <f t="shared" si="31"/>
        <v>0</v>
      </c>
      <c r="AM147" s="107" t="str">
        <f t="shared" si="32"/>
        <v/>
      </c>
      <c r="AN147" s="107" t="str">
        <f t="shared" si="33"/>
        <v/>
      </c>
      <c r="AP147" s="107">
        <v>138</v>
      </c>
      <c r="AR147" s="107" t="str">
        <f t="array" ref="AR147">IFERROR(INDEX($AP$10:$AP$258,MATCH(0,IF(TRUE=$AM$10:$AM$258,COUNTIF($AR$9:$AR146,$AP$10:$AP$258),""),0)),"")</f>
        <v/>
      </c>
      <c r="AS147" s="107" t="str">
        <f t="array" ref="AS147">IFERROR(INDEX($AP$10:$AP$258,MATCH(0,IF(TRUE=$AN$10:$AN$258,COUNTIF($AS$9:$AS146,$AP$10:$AP$258),""),0)),"")</f>
        <v/>
      </c>
      <c r="AT147" s="885" t="str">
        <f>IF(AND(OR(AD147="Yes",AD147="Pending"),Q147='G-7 WaterC'' Data'!$G$4),U147-AA147-Z147,"0")</f>
        <v>0</v>
      </c>
      <c r="AU147" s="30" t="str">
        <f>IF(D147="","",VLOOKUP(D147,'G-7 WaterC'' Data'!B$4:M$8,12,FALSE))</f>
        <v/>
      </c>
      <c r="AV147" s="30" t="str">
        <f t="shared" si="24"/>
        <v/>
      </c>
      <c r="AW147" s="30" t="str">
        <f t="shared" si="34"/>
        <v>No</v>
      </c>
      <c r="BA147" s="555" t="str">
        <f t="shared" si="35"/>
        <v/>
      </c>
    </row>
    <row r="148" spans="3:53" ht="14.5" thickBot="1">
      <c r="C148" s="97">
        <v>139</v>
      </c>
      <c r="D148" s="263"/>
      <c r="E148" s="104"/>
      <c r="F148" s="275" t="str">
        <f>IF(D148="","",VLOOKUP(D148,'G-7 WaterC'' Data'!$B$2:$G$8,2,FALSE))</f>
        <v/>
      </c>
      <c r="G148" s="314" t="str">
        <f>IFERROR(VLOOKUP(F148,'G-7 WaterC'' Data'!$C$4:$D$8,2,FALSE),"")</f>
        <v/>
      </c>
      <c r="H148" s="105"/>
      <c r="I148" s="299" t="str">
        <f>IFERROR(INDEX('G-7 WaterC'' Data'!$H$4:$L$8,MATCH(D148,'G-7 WaterC'' Data'!$B$4:$B$8,0),MATCH(H148,'G-7 WaterC'' Data'!$H$3:$L$3,0)),"")</f>
        <v/>
      </c>
      <c r="J148" s="702"/>
      <c r="K148" s="295" t="str">
        <f>IF(J148="","",IF(VLOOKUP(J148,'G-7 WaterC'' Data'!$AK$4:$AM$9,2,FALSE)=0,"Spatial Data Missing ⚠",VLOOKUP(J148,'G-7 WaterC'' Data'!$AK$4:$AM$6,2,FALSE)))</f>
        <v/>
      </c>
      <c r="L148" s="299" t="str">
        <f>IF(J148="","",IF(VLOOKUP(J148,'G-7 WaterC'' Data'!$AK$4:$AM$9,3,FALSE)=0,"Spatial Data Missing ⚠",VLOOKUP(J148,'G-7 WaterC'' Data'!$AK$4:$AM$6,3,FALSE)))</f>
        <v/>
      </c>
      <c r="M148" s="102"/>
      <c r="N148" s="276" t="str">
        <f>IF(M148="","",IF(AND(M148="N/A - Culvert",D148&lt;&gt;"Culvert"),"Not possible ▲",IF(AND(D148="Culvert",M148&lt;&gt;"N/A - Culvert"),"Not possible ▲",IF(VLOOKUP(M148,'G-7 WaterC'' Data'!$AA$4:$AB$7,2,FALSE)=0,"Spatial Data Missing ⚠",VLOOKUP(M148,'G-7 WaterC'' Data'!$AA$4:$AB$7,2,FALSE)))))</f>
        <v/>
      </c>
      <c r="O148" s="56"/>
      <c r="P148" s="276" t="str">
        <f>IF(O148="","",IF(AND(O148="N/A - Culvert",D148&lt;&gt;"Culvert"),"Not possible ▲",IF(AND(D148="Culvert",O148&lt;&gt;"N/A - Culvert"),"Not possible ▲",IF(VLOOKUP(O148,'G-7 WaterC'' Data'!$AD$4:$AE$14,2,FALSE)=0,"Spatial Data Missing ⚠",VLOOKUP(O148,'G-7 WaterC'' Data'!$AD$4:$AE$14,2,FALSE)))))</f>
        <v/>
      </c>
      <c r="Q148" s="282" t="str">
        <f>IF(D148="","",VLOOKUP(D148,'G-7 WaterC'' Data'!$B$4:$G$8,6,FALSE))</f>
        <v/>
      </c>
      <c r="R148" s="289" t="str">
        <f t="shared" si="25"/>
        <v xml:space="preserve"> </v>
      </c>
      <c r="S148" s="393"/>
      <c r="T148" s="281" t="str">
        <f>IF(S148="","",IF(VLOOKUP(S148,'G-7 WaterC'' Data'!$AO$4:$BO$7,2,FALSE)=0,"Spatial Data Missing ⚠",VLOOKUP(S148,'G-7 WaterC'' Data'!$AO$4:$BO$7,2,FALSE)))</f>
        <v/>
      </c>
      <c r="U148" s="289" t="str">
        <f t="shared" si="26"/>
        <v xml:space="preserve"> </v>
      </c>
      <c r="V148" s="694" t="str">
        <f t="shared" si="27"/>
        <v/>
      </c>
      <c r="W148" s="32"/>
      <c r="X148" s="101"/>
      <c r="Y148" s="108"/>
      <c r="Z148" s="287" t="str">
        <f t="shared" si="28"/>
        <v/>
      </c>
      <c r="AA148" s="287" t="str">
        <f t="shared" si="29"/>
        <v/>
      </c>
      <c r="AB148" s="287" t="str">
        <f t="shared" si="30"/>
        <v/>
      </c>
      <c r="AC148" s="491" t="str">
        <f>IFERROR(IF(OR(E148="",R148=""),"",IF(AND(AB148&lt;&gt;"",S148=""),"Spatial risk category missing ▲",IF(AND(Q148='G-7 WaterC'' Data'!$G$4,AD148="Yes"),"Alternative Compensation ✓",IF(AND(AD148="Pending",Q148='G-7 WaterC'' Data'!$G$4),"Bespoke compensation must be agreed ▲",IF((Z148+AA148)&gt;=U148,0,U148-Z148-AA148))))),"Check Data ⚠")</f>
        <v/>
      </c>
      <c r="AD148" s="393"/>
      <c r="AE148" s="105"/>
      <c r="AF148" s="104"/>
      <c r="AG148" s="104"/>
      <c r="AH148" s="104"/>
      <c r="AI148" s="54" t="str">
        <f>IF(OR(Q148="",AD148="Yes"),"",IF(Q148='G-1 All Habitats'!$X$9,E148-Y148-X148,"None"))</f>
        <v/>
      </c>
      <c r="AJ148" s="55" t="str">
        <f>IF(Q148="","",IF(Q148='G-1 All Habitats'!$X$9,AI148*G148*I148*L148*N148*P148,"None"))</f>
        <v/>
      </c>
      <c r="AK148" s="30" t="str">
        <f>IFERROR(INDEX('G-7 WaterC'' Data'!$AZ$3:$AZ$7,MATCH(D148,'G-7 WaterC'' Data'!$AY$3:$AY$7,0)),"")</f>
        <v/>
      </c>
      <c r="AL148" s="30">
        <f t="shared" si="31"/>
        <v>0</v>
      </c>
      <c r="AM148" s="107" t="str">
        <f t="shared" si="32"/>
        <v/>
      </c>
      <c r="AN148" s="107" t="str">
        <f t="shared" si="33"/>
        <v/>
      </c>
      <c r="AP148" s="107">
        <v>139</v>
      </c>
      <c r="AR148" s="107" t="str">
        <f t="array" ref="AR148">IFERROR(INDEX($AP$10:$AP$258,MATCH(0,IF(TRUE=$AM$10:$AM$258,COUNTIF($AR$9:$AR147,$AP$10:$AP$258),""),0)),"")</f>
        <v/>
      </c>
      <c r="AS148" s="107" t="str">
        <f t="array" ref="AS148">IFERROR(INDEX($AP$10:$AP$258,MATCH(0,IF(TRUE=$AN$10:$AN$258,COUNTIF($AS$9:$AS147,$AP$10:$AP$258),""),0)),"")</f>
        <v/>
      </c>
      <c r="AT148" s="885" t="str">
        <f>IF(AND(OR(AD148="Yes",AD148="Pending"),Q148='G-7 WaterC'' Data'!$G$4),U148-AA148-Z148,"0")</f>
        <v>0</v>
      </c>
      <c r="AU148" s="30" t="str">
        <f>IF(D148="","",VLOOKUP(D148,'G-7 WaterC'' Data'!B$4:M$8,12,FALSE))</f>
        <v/>
      </c>
      <c r="AV148" s="30" t="str">
        <f t="shared" si="24"/>
        <v/>
      </c>
      <c r="AW148" s="30" t="str">
        <f t="shared" si="34"/>
        <v>No</v>
      </c>
      <c r="BA148" s="555" t="str">
        <f t="shared" si="35"/>
        <v/>
      </c>
    </row>
    <row r="149" spans="3:53" ht="14.5" thickBot="1">
      <c r="C149" s="97">
        <v>140</v>
      </c>
      <c r="D149" s="263"/>
      <c r="E149" s="104"/>
      <c r="F149" s="275" t="str">
        <f>IF(D149="","",VLOOKUP(D149,'G-7 WaterC'' Data'!$B$2:$G$8,2,FALSE))</f>
        <v/>
      </c>
      <c r="G149" s="314" t="str">
        <f>IFERROR(VLOOKUP(F149,'G-7 WaterC'' Data'!$C$4:$D$8,2,FALSE),"")</f>
        <v/>
      </c>
      <c r="H149" s="105"/>
      <c r="I149" s="299" t="str">
        <f>IFERROR(INDEX('G-7 WaterC'' Data'!$H$4:$L$8,MATCH(D149,'G-7 WaterC'' Data'!$B$4:$B$8,0),MATCH(H149,'G-7 WaterC'' Data'!$H$3:$L$3,0)),"")</f>
        <v/>
      </c>
      <c r="J149" s="702"/>
      <c r="K149" s="295" t="str">
        <f>IF(J149="","",IF(VLOOKUP(J149,'G-7 WaterC'' Data'!$AK$4:$AM$9,2,FALSE)=0,"Spatial Data Missing ⚠",VLOOKUP(J149,'G-7 WaterC'' Data'!$AK$4:$AM$6,2,FALSE)))</f>
        <v/>
      </c>
      <c r="L149" s="299" t="str">
        <f>IF(J149="","",IF(VLOOKUP(J149,'G-7 WaterC'' Data'!$AK$4:$AM$9,3,FALSE)=0,"Spatial Data Missing ⚠",VLOOKUP(J149,'G-7 WaterC'' Data'!$AK$4:$AM$6,3,FALSE)))</f>
        <v/>
      </c>
      <c r="M149" s="102"/>
      <c r="N149" s="276" t="str">
        <f>IF(M149="","",IF(AND(M149="N/A - Culvert",D149&lt;&gt;"Culvert"),"Not possible ▲",IF(AND(D149="Culvert",M149&lt;&gt;"N/A - Culvert"),"Not possible ▲",IF(VLOOKUP(M149,'G-7 WaterC'' Data'!$AA$4:$AB$7,2,FALSE)=0,"Spatial Data Missing ⚠",VLOOKUP(M149,'G-7 WaterC'' Data'!$AA$4:$AB$7,2,FALSE)))))</f>
        <v/>
      </c>
      <c r="O149" s="56"/>
      <c r="P149" s="276" t="str">
        <f>IF(O149="","",IF(AND(O149="N/A - Culvert",D149&lt;&gt;"Culvert"),"Not possible ▲",IF(AND(D149="Culvert",O149&lt;&gt;"N/A - Culvert"),"Not possible ▲",IF(VLOOKUP(O149,'G-7 WaterC'' Data'!$AD$4:$AE$14,2,FALSE)=0,"Spatial Data Missing ⚠",VLOOKUP(O149,'G-7 WaterC'' Data'!$AD$4:$AE$14,2,FALSE)))))</f>
        <v/>
      </c>
      <c r="Q149" s="282" t="str">
        <f>IF(D149="","",VLOOKUP(D149,'G-7 WaterC'' Data'!$B$4:$G$8,6,FALSE))</f>
        <v/>
      </c>
      <c r="R149" s="289" t="str">
        <f t="shared" si="25"/>
        <v xml:space="preserve"> </v>
      </c>
      <c r="S149" s="393"/>
      <c r="T149" s="281" t="str">
        <f>IF(S149="","",IF(VLOOKUP(S149,'G-7 WaterC'' Data'!$AO$4:$BO$7,2,FALSE)=0,"Spatial Data Missing ⚠",VLOOKUP(S149,'G-7 WaterC'' Data'!$AO$4:$BO$7,2,FALSE)))</f>
        <v/>
      </c>
      <c r="U149" s="289" t="str">
        <f t="shared" si="26"/>
        <v xml:space="preserve"> </v>
      </c>
      <c r="V149" s="694" t="str">
        <f t="shared" si="27"/>
        <v/>
      </c>
      <c r="W149" s="32"/>
      <c r="X149" s="101"/>
      <c r="Y149" s="108"/>
      <c r="Z149" s="287" t="str">
        <f t="shared" si="28"/>
        <v/>
      </c>
      <c r="AA149" s="287" t="str">
        <f t="shared" si="29"/>
        <v/>
      </c>
      <c r="AB149" s="287" t="str">
        <f t="shared" si="30"/>
        <v/>
      </c>
      <c r="AC149" s="491" t="str">
        <f>IFERROR(IF(OR(E149="",R149=""),"",IF(AND(AB149&lt;&gt;"",S149=""),"Spatial risk category missing ▲",IF(AND(Q149='G-7 WaterC'' Data'!$G$4,AD149="Yes"),"Alternative Compensation ✓",IF(AND(AD149="Pending",Q149='G-7 WaterC'' Data'!$G$4),"Bespoke compensation must be agreed ▲",IF((Z149+AA149)&gt;=U149,0,U149-Z149-AA149))))),"Check Data ⚠")</f>
        <v/>
      </c>
      <c r="AD149" s="393"/>
      <c r="AE149" s="105"/>
      <c r="AF149" s="104"/>
      <c r="AG149" s="104"/>
      <c r="AH149" s="104"/>
      <c r="AI149" s="54" t="str">
        <f>IF(OR(Q149="",AD149="Yes"),"",IF(Q149='G-1 All Habitats'!$X$9,E149-Y149-X149,"None"))</f>
        <v/>
      </c>
      <c r="AJ149" s="55" t="str">
        <f>IF(Q149="","",IF(Q149='G-1 All Habitats'!$X$9,AI149*G149*I149*L149*N149*P149,"None"))</f>
        <v/>
      </c>
      <c r="AK149" s="30" t="str">
        <f>IFERROR(INDEX('G-7 WaterC'' Data'!$AZ$3:$AZ$7,MATCH(D149,'G-7 WaterC'' Data'!$AY$3:$AY$7,0)),"")</f>
        <v/>
      </c>
      <c r="AL149" s="30">
        <f t="shared" si="31"/>
        <v>0</v>
      </c>
      <c r="AM149" s="107" t="str">
        <f t="shared" si="32"/>
        <v/>
      </c>
      <c r="AN149" s="107" t="str">
        <f t="shared" si="33"/>
        <v/>
      </c>
      <c r="AP149" s="107">
        <v>140</v>
      </c>
      <c r="AR149" s="107" t="str">
        <f t="array" ref="AR149">IFERROR(INDEX($AP$10:$AP$258,MATCH(0,IF(TRUE=$AM$10:$AM$258,COUNTIF($AR$9:$AR148,$AP$10:$AP$258),""),0)),"")</f>
        <v/>
      </c>
      <c r="AS149" s="107" t="str">
        <f t="array" ref="AS149">IFERROR(INDEX($AP$10:$AP$258,MATCH(0,IF(TRUE=$AN$10:$AN$258,COUNTIF($AS$9:$AS148,$AP$10:$AP$258),""),0)),"")</f>
        <v/>
      </c>
      <c r="AT149" s="885" t="str">
        <f>IF(AND(OR(AD149="Yes",AD149="Pending"),Q149='G-7 WaterC'' Data'!$G$4),U149-AA149-Z149,"0")</f>
        <v>0</v>
      </c>
      <c r="AU149" s="30" t="str">
        <f>IF(D149="","",VLOOKUP(D149,'G-7 WaterC'' Data'!B$4:M$8,12,FALSE))</f>
        <v/>
      </c>
      <c r="AV149" s="30" t="str">
        <f t="shared" si="24"/>
        <v/>
      </c>
      <c r="AW149" s="30" t="str">
        <f t="shared" si="34"/>
        <v>No</v>
      </c>
      <c r="BA149" s="555" t="str">
        <f t="shared" si="35"/>
        <v/>
      </c>
    </row>
    <row r="150" spans="3:53" ht="14.5" thickBot="1">
      <c r="C150" s="97">
        <v>141</v>
      </c>
      <c r="D150" s="263"/>
      <c r="E150" s="104"/>
      <c r="F150" s="275" t="str">
        <f>IF(D150="","",VLOOKUP(D150,'G-7 WaterC'' Data'!$B$2:$G$8,2,FALSE))</f>
        <v/>
      </c>
      <c r="G150" s="314" t="str">
        <f>IFERROR(VLOOKUP(F150,'G-7 WaterC'' Data'!$C$4:$D$8,2,FALSE),"")</f>
        <v/>
      </c>
      <c r="H150" s="105"/>
      <c r="I150" s="299" t="str">
        <f>IFERROR(INDEX('G-7 WaterC'' Data'!$H$4:$L$8,MATCH(D150,'G-7 WaterC'' Data'!$B$4:$B$8,0),MATCH(H150,'G-7 WaterC'' Data'!$H$3:$L$3,0)),"")</f>
        <v/>
      </c>
      <c r="J150" s="702"/>
      <c r="K150" s="295" t="str">
        <f>IF(J150="","",IF(VLOOKUP(J150,'G-7 WaterC'' Data'!$AK$4:$AM$9,2,FALSE)=0,"Spatial Data Missing ⚠",VLOOKUP(J150,'G-7 WaterC'' Data'!$AK$4:$AM$6,2,FALSE)))</f>
        <v/>
      </c>
      <c r="L150" s="299" t="str">
        <f>IF(J150="","",IF(VLOOKUP(J150,'G-7 WaterC'' Data'!$AK$4:$AM$9,3,FALSE)=0,"Spatial Data Missing ⚠",VLOOKUP(J150,'G-7 WaterC'' Data'!$AK$4:$AM$6,3,FALSE)))</f>
        <v/>
      </c>
      <c r="M150" s="102"/>
      <c r="N150" s="276" t="str">
        <f>IF(M150="","",IF(AND(M150="N/A - Culvert",D150&lt;&gt;"Culvert"),"Not possible ▲",IF(AND(D150="Culvert",M150&lt;&gt;"N/A - Culvert"),"Not possible ▲",IF(VLOOKUP(M150,'G-7 WaterC'' Data'!$AA$4:$AB$7,2,FALSE)=0,"Spatial Data Missing ⚠",VLOOKUP(M150,'G-7 WaterC'' Data'!$AA$4:$AB$7,2,FALSE)))))</f>
        <v/>
      </c>
      <c r="O150" s="56"/>
      <c r="P150" s="276" t="str">
        <f>IF(O150="","",IF(AND(O150="N/A - Culvert",D150&lt;&gt;"Culvert"),"Not possible ▲",IF(AND(D150="Culvert",O150&lt;&gt;"N/A - Culvert"),"Not possible ▲",IF(VLOOKUP(O150,'G-7 WaterC'' Data'!$AD$4:$AE$14,2,FALSE)=0,"Spatial Data Missing ⚠",VLOOKUP(O150,'G-7 WaterC'' Data'!$AD$4:$AE$14,2,FALSE)))))</f>
        <v/>
      </c>
      <c r="Q150" s="282" t="str">
        <f>IF(D150="","",VLOOKUP(D150,'G-7 WaterC'' Data'!$B$4:$G$8,6,FALSE))</f>
        <v/>
      </c>
      <c r="R150" s="289" t="str">
        <f t="shared" si="25"/>
        <v xml:space="preserve"> </v>
      </c>
      <c r="S150" s="393"/>
      <c r="T150" s="281" t="str">
        <f>IF(S150="","",IF(VLOOKUP(S150,'G-7 WaterC'' Data'!$AO$4:$BO$7,2,FALSE)=0,"Spatial Data Missing ⚠",VLOOKUP(S150,'G-7 WaterC'' Data'!$AO$4:$BO$7,2,FALSE)))</f>
        <v/>
      </c>
      <c r="U150" s="289" t="str">
        <f t="shared" si="26"/>
        <v xml:space="preserve"> </v>
      </c>
      <c r="V150" s="694" t="str">
        <f t="shared" si="27"/>
        <v/>
      </c>
      <c r="W150" s="32"/>
      <c r="X150" s="101"/>
      <c r="Y150" s="108"/>
      <c r="Z150" s="287" t="str">
        <f t="shared" si="28"/>
        <v/>
      </c>
      <c r="AA150" s="287" t="str">
        <f t="shared" si="29"/>
        <v/>
      </c>
      <c r="AB150" s="287" t="str">
        <f t="shared" si="30"/>
        <v/>
      </c>
      <c r="AC150" s="491" t="str">
        <f>IFERROR(IF(OR(E150="",R150=""),"",IF(AND(AB150&lt;&gt;"",S150=""),"Spatial risk category missing ▲",IF(AND(Q150='G-7 WaterC'' Data'!$G$4,AD150="Yes"),"Alternative Compensation ✓",IF(AND(AD150="Pending",Q150='G-7 WaterC'' Data'!$G$4),"Bespoke compensation must be agreed ▲",IF((Z150+AA150)&gt;=U150,0,U150-Z150-AA150))))),"Check Data ⚠")</f>
        <v/>
      </c>
      <c r="AD150" s="393"/>
      <c r="AE150" s="105"/>
      <c r="AF150" s="104"/>
      <c r="AG150" s="104"/>
      <c r="AH150" s="104"/>
      <c r="AI150" s="54" t="str">
        <f>IF(OR(Q150="",AD150="Yes"),"",IF(Q150='G-1 All Habitats'!$X$9,E150-Y150-X150,"None"))</f>
        <v/>
      </c>
      <c r="AJ150" s="55" t="str">
        <f>IF(Q150="","",IF(Q150='G-1 All Habitats'!$X$9,AI150*G150*I150*L150*N150*P150,"None"))</f>
        <v/>
      </c>
      <c r="AK150" s="30" t="str">
        <f>IFERROR(INDEX('G-7 WaterC'' Data'!$AZ$3:$AZ$7,MATCH(D150,'G-7 WaterC'' Data'!$AY$3:$AY$7,0)),"")</f>
        <v/>
      </c>
      <c r="AL150" s="30">
        <f t="shared" si="31"/>
        <v>0</v>
      </c>
      <c r="AM150" s="107" t="str">
        <f t="shared" si="32"/>
        <v/>
      </c>
      <c r="AN150" s="107" t="str">
        <f t="shared" si="33"/>
        <v/>
      </c>
      <c r="AP150" s="107">
        <v>141</v>
      </c>
      <c r="AR150" s="107" t="str">
        <f t="array" ref="AR150">IFERROR(INDEX($AP$10:$AP$258,MATCH(0,IF(TRUE=$AM$10:$AM$258,COUNTIF($AR$9:$AR149,$AP$10:$AP$258),""),0)),"")</f>
        <v/>
      </c>
      <c r="AS150" s="107" t="str">
        <f t="array" ref="AS150">IFERROR(INDEX($AP$10:$AP$258,MATCH(0,IF(TRUE=$AN$10:$AN$258,COUNTIF($AS$9:$AS149,$AP$10:$AP$258),""),0)),"")</f>
        <v/>
      </c>
      <c r="AT150" s="885" t="str">
        <f>IF(AND(OR(AD150="Yes",AD150="Pending"),Q150='G-7 WaterC'' Data'!$G$4),U150-AA150-Z150,"0")</f>
        <v>0</v>
      </c>
      <c r="AU150" s="30" t="str">
        <f>IF(D150="","",VLOOKUP(D150,'G-7 WaterC'' Data'!B$4:M$8,12,FALSE))</f>
        <v/>
      </c>
      <c r="AV150" s="30" t="str">
        <f t="shared" si="24"/>
        <v/>
      </c>
      <c r="AW150" s="30" t="str">
        <f t="shared" si="34"/>
        <v>No</v>
      </c>
      <c r="BA150" s="555" t="str">
        <f t="shared" si="35"/>
        <v/>
      </c>
    </row>
    <row r="151" spans="3:53" ht="14.5" thickBot="1">
      <c r="C151" s="97">
        <v>142</v>
      </c>
      <c r="D151" s="263"/>
      <c r="E151" s="104"/>
      <c r="F151" s="275" t="str">
        <f>IF(D151="","",VLOOKUP(D151,'G-7 WaterC'' Data'!$B$2:$G$8,2,FALSE))</f>
        <v/>
      </c>
      <c r="G151" s="314" t="str">
        <f>IFERROR(VLOOKUP(F151,'G-7 WaterC'' Data'!$C$4:$D$8,2,FALSE),"")</f>
        <v/>
      </c>
      <c r="H151" s="105"/>
      <c r="I151" s="299" t="str">
        <f>IFERROR(INDEX('G-7 WaterC'' Data'!$H$4:$L$8,MATCH(D151,'G-7 WaterC'' Data'!$B$4:$B$8,0),MATCH(H151,'G-7 WaterC'' Data'!$H$3:$L$3,0)),"")</f>
        <v/>
      </c>
      <c r="J151" s="702"/>
      <c r="K151" s="295" t="str">
        <f>IF(J151="","",IF(VLOOKUP(J151,'G-7 WaterC'' Data'!$AK$4:$AM$9,2,FALSE)=0,"Spatial Data Missing ⚠",VLOOKUP(J151,'G-7 WaterC'' Data'!$AK$4:$AM$6,2,FALSE)))</f>
        <v/>
      </c>
      <c r="L151" s="299" t="str">
        <f>IF(J151="","",IF(VLOOKUP(J151,'G-7 WaterC'' Data'!$AK$4:$AM$9,3,FALSE)=0,"Spatial Data Missing ⚠",VLOOKUP(J151,'G-7 WaterC'' Data'!$AK$4:$AM$6,3,FALSE)))</f>
        <v/>
      </c>
      <c r="M151" s="102"/>
      <c r="N151" s="276" t="str">
        <f>IF(M151="","",IF(AND(M151="N/A - Culvert",D151&lt;&gt;"Culvert"),"Not possible ▲",IF(AND(D151="Culvert",M151&lt;&gt;"N/A - Culvert"),"Not possible ▲",IF(VLOOKUP(M151,'G-7 WaterC'' Data'!$AA$4:$AB$7,2,FALSE)=0,"Spatial Data Missing ⚠",VLOOKUP(M151,'G-7 WaterC'' Data'!$AA$4:$AB$7,2,FALSE)))))</f>
        <v/>
      </c>
      <c r="O151" s="56"/>
      <c r="P151" s="276" t="str">
        <f>IF(O151="","",IF(AND(O151="N/A - Culvert",D151&lt;&gt;"Culvert"),"Not possible ▲",IF(AND(D151="Culvert",O151&lt;&gt;"N/A - Culvert"),"Not possible ▲",IF(VLOOKUP(O151,'G-7 WaterC'' Data'!$AD$4:$AE$14,2,FALSE)=0,"Spatial Data Missing ⚠",VLOOKUP(O151,'G-7 WaterC'' Data'!$AD$4:$AE$14,2,FALSE)))))</f>
        <v/>
      </c>
      <c r="Q151" s="282" t="str">
        <f>IF(D151="","",VLOOKUP(D151,'G-7 WaterC'' Data'!$B$4:$G$8,6,FALSE))</f>
        <v/>
      </c>
      <c r="R151" s="289" t="str">
        <f t="shared" si="25"/>
        <v xml:space="preserve"> </v>
      </c>
      <c r="S151" s="393"/>
      <c r="T151" s="281" t="str">
        <f>IF(S151="","",IF(VLOOKUP(S151,'G-7 WaterC'' Data'!$AO$4:$BO$7,2,FALSE)=0,"Spatial Data Missing ⚠",VLOOKUP(S151,'G-7 WaterC'' Data'!$AO$4:$BO$7,2,FALSE)))</f>
        <v/>
      </c>
      <c r="U151" s="289" t="str">
        <f t="shared" si="26"/>
        <v xml:space="preserve"> </v>
      </c>
      <c r="V151" s="694" t="str">
        <f t="shared" si="27"/>
        <v/>
      </c>
      <c r="W151" s="32"/>
      <c r="X151" s="101"/>
      <c r="Y151" s="108"/>
      <c r="Z151" s="287" t="str">
        <f t="shared" si="28"/>
        <v/>
      </c>
      <c r="AA151" s="287" t="str">
        <f t="shared" si="29"/>
        <v/>
      </c>
      <c r="AB151" s="287" t="str">
        <f t="shared" si="30"/>
        <v/>
      </c>
      <c r="AC151" s="491" t="str">
        <f>IFERROR(IF(OR(E151="",R151=""),"",IF(AND(AB151&lt;&gt;"",S151=""),"Spatial risk category missing ▲",IF(AND(Q151='G-7 WaterC'' Data'!$G$4,AD151="Yes"),"Alternative Compensation ✓",IF(AND(AD151="Pending",Q151='G-7 WaterC'' Data'!$G$4),"Bespoke compensation must be agreed ▲",IF((Z151+AA151)&gt;=U151,0,U151-Z151-AA151))))),"Check Data ⚠")</f>
        <v/>
      </c>
      <c r="AD151" s="393"/>
      <c r="AE151" s="105"/>
      <c r="AF151" s="104"/>
      <c r="AG151" s="104"/>
      <c r="AH151" s="104"/>
      <c r="AI151" s="54" t="str">
        <f>IF(OR(Q151="",AD151="Yes"),"",IF(Q151='G-1 All Habitats'!$X$9,E151-Y151-X151,"None"))</f>
        <v/>
      </c>
      <c r="AJ151" s="55" t="str">
        <f>IF(Q151="","",IF(Q151='G-1 All Habitats'!$X$9,AI151*G151*I151*L151*N151*P151,"None"))</f>
        <v/>
      </c>
      <c r="AK151" s="30" t="str">
        <f>IFERROR(INDEX('G-7 WaterC'' Data'!$AZ$3:$AZ$7,MATCH(D151,'G-7 WaterC'' Data'!$AY$3:$AY$7,0)),"")</f>
        <v/>
      </c>
      <c r="AL151" s="30">
        <f t="shared" si="31"/>
        <v>0</v>
      </c>
      <c r="AM151" s="107" t="str">
        <f t="shared" si="32"/>
        <v/>
      </c>
      <c r="AN151" s="107" t="str">
        <f t="shared" si="33"/>
        <v/>
      </c>
      <c r="AP151" s="107">
        <v>142</v>
      </c>
      <c r="AR151" s="107" t="str">
        <f t="array" ref="AR151">IFERROR(INDEX($AP$10:$AP$258,MATCH(0,IF(TRUE=$AM$10:$AM$258,COUNTIF($AR$9:$AR150,$AP$10:$AP$258),""),0)),"")</f>
        <v/>
      </c>
      <c r="AS151" s="107" t="str">
        <f t="array" ref="AS151">IFERROR(INDEX($AP$10:$AP$258,MATCH(0,IF(TRUE=$AN$10:$AN$258,COUNTIF($AS$9:$AS150,$AP$10:$AP$258),""),0)),"")</f>
        <v/>
      </c>
      <c r="AT151" s="885" t="str">
        <f>IF(AND(OR(AD151="Yes",AD151="Pending"),Q151='G-7 WaterC'' Data'!$G$4),U151-AA151-Z151,"0")</f>
        <v>0</v>
      </c>
      <c r="AU151" s="30" t="str">
        <f>IF(D151="","",VLOOKUP(D151,'G-7 WaterC'' Data'!B$4:M$8,12,FALSE))</f>
        <v/>
      </c>
      <c r="AV151" s="30" t="str">
        <f t="shared" si="24"/>
        <v/>
      </c>
      <c r="AW151" s="30" t="str">
        <f t="shared" si="34"/>
        <v>No</v>
      </c>
      <c r="BA151" s="555" t="str">
        <f t="shared" si="35"/>
        <v/>
      </c>
    </row>
    <row r="152" spans="3:53" ht="14.5" thickBot="1">
      <c r="C152" s="97">
        <v>143</v>
      </c>
      <c r="D152" s="263"/>
      <c r="E152" s="104"/>
      <c r="F152" s="275" t="str">
        <f>IF(D152="","",VLOOKUP(D152,'G-7 WaterC'' Data'!$B$2:$G$8,2,FALSE))</f>
        <v/>
      </c>
      <c r="G152" s="314" t="str">
        <f>IFERROR(VLOOKUP(F152,'G-7 WaterC'' Data'!$C$4:$D$8,2,FALSE),"")</f>
        <v/>
      </c>
      <c r="H152" s="105"/>
      <c r="I152" s="299" t="str">
        <f>IFERROR(INDEX('G-7 WaterC'' Data'!$H$4:$L$8,MATCH(D152,'G-7 WaterC'' Data'!$B$4:$B$8,0),MATCH(H152,'G-7 WaterC'' Data'!$H$3:$L$3,0)),"")</f>
        <v/>
      </c>
      <c r="J152" s="702"/>
      <c r="K152" s="295" t="str">
        <f>IF(J152="","",IF(VLOOKUP(J152,'G-7 WaterC'' Data'!$AK$4:$AM$9,2,FALSE)=0,"Spatial Data Missing ⚠",VLOOKUP(J152,'G-7 WaterC'' Data'!$AK$4:$AM$6,2,FALSE)))</f>
        <v/>
      </c>
      <c r="L152" s="299" t="str">
        <f>IF(J152="","",IF(VLOOKUP(J152,'G-7 WaterC'' Data'!$AK$4:$AM$9,3,FALSE)=0,"Spatial Data Missing ⚠",VLOOKUP(J152,'G-7 WaterC'' Data'!$AK$4:$AM$6,3,FALSE)))</f>
        <v/>
      </c>
      <c r="M152" s="102"/>
      <c r="N152" s="276" t="str">
        <f>IF(M152="","",IF(AND(M152="N/A - Culvert",D152&lt;&gt;"Culvert"),"Not possible ▲",IF(AND(D152="Culvert",M152&lt;&gt;"N/A - Culvert"),"Not possible ▲",IF(VLOOKUP(M152,'G-7 WaterC'' Data'!$AA$4:$AB$7,2,FALSE)=0,"Spatial Data Missing ⚠",VLOOKUP(M152,'G-7 WaterC'' Data'!$AA$4:$AB$7,2,FALSE)))))</f>
        <v/>
      </c>
      <c r="O152" s="56"/>
      <c r="P152" s="276" t="str">
        <f>IF(O152="","",IF(AND(O152="N/A - Culvert",D152&lt;&gt;"Culvert"),"Not possible ▲",IF(AND(D152="Culvert",O152&lt;&gt;"N/A - Culvert"),"Not possible ▲",IF(VLOOKUP(O152,'G-7 WaterC'' Data'!$AD$4:$AE$14,2,FALSE)=0,"Spatial Data Missing ⚠",VLOOKUP(O152,'G-7 WaterC'' Data'!$AD$4:$AE$14,2,FALSE)))))</f>
        <v/>
      </c>
      <c r="Q152" s="282" t="str">
        <f>IF(D152="","",VLOOKUP(D152,'G-7 WaterC'' Data'!$B$4:$G$8,6,FALSE))</f>
        <v/>
      </c>
      <c r="R152" s="289" t="str">
        <f t="shared" si="25"/>
        <v xml:space="preserve"> </v>
      </c>
      <c r="S152" s="393"/>
      <c r="T152" s="281" t="str">
        <f>IF(S152="","",IF(VLOOKUP(S152,'G-7 WaterC'' Data'!$AO$4:$BO$7,2,FALSE)=0,"Spatial Data Missing ⚠",VLOOKUP(S152,'G-7 WaterC'' Data'!$AO$4:$BO$7,2,FALSE)))</f>
        <v/>
      </c>
      <c r="U152" s="289" t="str">
        <f t="shared" si="26"/>
        <v xml:space="preserve"> </v>
      </c>
      <c r="V152" s="694" t="str">
        <f t="shared" si="27"/>
        <v/>
      </c>
      <c r="W152" s="32"/>
      <c r="X152" s="101"/>
      <c r="Y152" s="108"/>
      <c r="Z152" s="287" t="str">
        <f t="shared" si="28"/>
        <v/>
      </c>
      <c r="AA152" s="287" t="str">
        <f t="shared" si="29"/>
        <v/>
      </c>
      <c r="AB152" s="287" t="str">
        <f t="shared" si="30"/>
        <v/>
      </c>
      <c r="AC152" s="491" t="str">
        <f>IFERROR(IF(OR(E152="",R152=""),"",IF(AND(AB152&lt;&gt;"",S152=""),"Spatial risk category missing ▲",IF(AND(Q152='G-7 WaterC'' Data'!$G$4,AD152="Yes"),"Alternative Compensation ✓",IF(AND(AD152="Pending",Q152='G-7 WaterC'' Data'!$G$4),"Bespoke compensation must be agreed ▲",IF((Z152+AA152)&gt;=U152,0,U152-Z152-AA152))))),"Check Data ⚠")</f>
        <v/>
      </c>
      <c r="AD152" s="393"/>
      <c r="AE152" s="105"/>
      <c r="AF152" s="104"/>
      <c r="AG152" s="104"/>
      <c r="AH152" s="104"/>
      <c r="AI152" s="54" t="str">
        <f>IF(OR(Q152="",AD152="Yes"),"",IF(Q152='G-1 All Habitats'!$X$9,E152-Y152-X152,"None"))</f>
        <v/>
      </c>
      <c r="AJ152" s="55" t="str">
        <f>IF(Q152="","",IF(Q152='G-1 All Habitats'!$X$9,AI152*G152*I152*L152*N152*P152,"None"))</f>
        <v/>
      </c>
      <c r="AK152" s="30" t="str">
        <f>IFERROR(INDEX('G-7 WaterC'' Data'!$AZ$3:$AZ$7,MATCH(D152,'G-7 WaterC'' Data'!$AY$3:$AY$7,0)),"")</f>
        <v/>
      </c>
      <c r="AL152" s="30">
        <f t="shared" si="31"/>
        <v>0</v>
      </c>
      <c r="AM152" s="107" t="str">
        <f t="shared" si="32"/>
        <v/>
      </c>
      <c r="AN152" s="107" t="str">
        <f t="shared" si="33"/>
        <v/>
      </c>
      <c r="AP152" s="107">
        <v>143</v>
      </c>
      <c r="AR152" s="107" t="str">
        <f t="array" ref="AR152">IFERROR(INDEX($AP$10:$AP$258,MATCH(0,IF(TRUE=$AM$10:$AM$258,COUNTIF($AR$9:$AR151,$AP$10:$AP$258),""),0)),"")</f>
        <v/>
      </c>
      <c r="AS152" s="107" t="str">
        <f t="array" ref="AS152">IFERROR(INDEX($AP$10:$AP$258,MATCH(0,IF(TRUE=$AN$10:$AN$258,COUNTIF($AS$9:$AS151,$AP$10:$AP$258),""),0)),"")</f>
        <v/>
      </c>
      <c r="AT152" s="885" t="str">
        <f>IF(AND(OR(AD152="Yes",AD152="Pending"),Q152='G-7 WaterC'' Data'!$G$4),U152-AA152-Z152,"0")</f>
        <v>0</v>
      </c>
      <c r="AU152" s="30" t="str">
        <f>IF(D152="","",VLOOKUP(D152,'G-7 WaterC'' Data'!B$4:M$8,12,FALSE))</f>
        <v/>
      </c>
      <c r="AV152" s="30" t="str">
        <f t="shared" si="24"/>
        <v/>
      </c>
      <c r="AW152" s="30" t="str">
        <f t="shared" si="34"/>
        <v>No</v>
      </c>
      <c r="BA152" s="555" t="str">
        <f t="shared" si="35"/>
        <v/>
      </c>
    </row>
    <row r="153" spans="3:53" ht="14.5" thickBot="1">
      <c r="C153" s="97">
        <v>144</v>
      </c>
      <c r="D153" s="263"/>
      <c r="E153" s="104"/>
      <c r="F153" s="275" t="str">
        <f>IF(D153="","",VLOOKUP(D153,'G-7 WaterC'' Data'!$B$2:$G$8,2,FALSE))</f>
        <v/>
      </c>
      <c r="G153" s="314" t="str">
        <f>IFERROR(VLOOKUP(F153,'G-7 WaterC'' Data'!$C$4:$D$8,2,FALSE),"")</f>
        <v/>
      </c>
      <c r="H153" s="105"/>
      <c r="I153" s="299" t="str">
        <f>IFERROR(INDEX('G-7 WaterC'' Data'!$H$4:$L$8,MATCH(D153,'G-7 WaterC'' Data'!$B$4:$B$8,0),MATCH(H153,'G-7 WaterC'' Data'!$H$3:$L$3,0)),"")</f>
        <v/>
      </c>
      <c r="J153" s="702"/>
      <c r="K153" s="295" t="str">
        <f>IF(J153="","",IF(VLOOKUP(J153,'G-7 WaterC'' Data'!$AK$4:$AM$9,2,FALSE)=0,"Spatial Data Missing ⚠",VLOOKUP(J153,'G-7 WaterC'' Data'!$AK$4:$AM$6,2,FALSE)))</f>
        <v/>
      </c>
      <c r="L153" s="299" t="str">
        <f>IF(J153="","",IF(VLOOKUP(J153,'G-7 WaterC'' Data'!$AK$4:$AM$9,3,FALSE)=0,"Spatial Data Missing ⚠",VLOOKUP(J153,'G-7 WaterC'' Data'!$AK$4:$AM$6,3,FALSE)))</f>
        <v/>
      </c>
      <c r="M153" s="102"/>
      <c r="N153" s="276" t="str">
        <f>IF(M153="","",IF(AND(M153="N/A - Culvert",D153&lt;&gt;"Culvert"),"Not possible ▲",IF(AND(D153="Culvert",M153&lt;&gt;"N/A - Culvert"),"Not possible ▲",IF(VLOOKUP(M153,'G-7 WaterC'' Data'!$AA$4:$AB$7,2,FALSE)=0,"Spatial Data Missing ⚠",VLOOKUP(M153,'G-7 WaterC'' Data'!$AA$4:$AB$7,2,FALSE)))))</f>
        <v/>
      </c>
      <c r="O153" s="56"/>
      <c r="P153" s="276" t="str">
        <f>IF(O153="","",IF(AND(O153="N/A - Culvert",D153&lt;&gt;"Culvert"),"Not possible ▲",IF(AND(D153="Culvert",O153&lt;&gt;"N/A - Culvert"),"Not possible ▲",IF(VLOOKUP(O153,'G-7 WaterC'' Data'!$AD$4:$AE$14,2,FALSE)=0,"Spatial Data Missing ⚠",VLOOKUP(O153,'G-7 WaterC'' Data'!$AD$4:$AE$14,2,FALSE)))))</f>
        <v/>
      </c>
      <c r="Q153" s="282" t="str">
        <f>IF(D153="","",VLOOKUP(D153,'G-7 WaterC'' Data'!$B$4:$G$8,6,FALSE))</f>
        <v/>
      </c>
      <c r="R153" s="289" t="str">
        <f t="shared" si="25"/>
        <v xml:space="preserve"> </v>
      </c>
      <c r="S153" s="393"/>
      <c r="T153" s="281" t="str">
        <f>IF(S153="","",IF(VLOOKUP(S153,'G-7 WaterC'' Data'!$AO$4:$BO$7,2,FALSE)=0,"Spatial Data Missing ⚠",VLOOKUP(S153,'G-7 WaterC'' Data'!$AO$4:$BO$7,2,FALSE)))</f>
        <v/>
      </c>
      <c r="U153" s="289" t="str">
        <f t="shared" si="26"/>
        <v xml:space="preserve"> </v>
      </c>
      <c r="V153" s="694" t="str">
        <f t="shared" si="27"/>
        <v/>
      </c>
      <c r="W153" s="32"/>
      <c r="X153" s="101"/>
      <c r="Y153" s="108"/>
      <c r="Z153" s="287" t="str">
        <f t="shared" si="28"/>
        <v/>
      </c>
      <c r="AA153" s="287" t="str">
        <f t="shared" si="29"/>
        <v/>
      </c>
      <c r="AB153" s="287" t="str">
        <f t="shared" si="30"/>
        <v/>
      </c>
      <c r="AC153" s="491" t="str">
        <f>IFERROR(IF(OR(E153="",R153=""),"",IF(AND(AB153&lt;&gt;"",S153=""),"Spatial risk category missing ▲",IF(AND(Q153='G-7 WaterC'' Data'!$G$4,AD153="Yes"),"Alternative Compensation ✓",IF(AND(AD153="Pending",Q153='G-7 WaterC'' Data'!$G$4),"Bespoke compensation must be agreed ▲",IF((Z153+AA153)&gt;=U153,0,U153-Z153-AA153))))),"Check Data ⚠")</f>
        <v/>
      </c>
      <c r="AD153" s="393"/>
      <c r="AE153" s="105"/>
      <c r="AF153" s="104"/>
      <c r="AG153" s="104"/>
      <c r="AH153" s="104"/>
      <c r="AI153" s="54" t="str">
        <f>IF(OR(Q153="",AD153="Yes"),"",IF(Q153='G-1 All Habitats'!$X$9,E153-Y153-X153,"None"))</f>
        <v/>
      </c>
      <c r="AJ153" s="55" t="str">
        <f>IF(Q153="","",IF(Q153='G-1 All Habitats'!$X$9,AI153*G153*I153*L153*N153*P153,"None"))</f>
        <v/>
      </c>
      <c r="AK153" s="30" t="str">
        <f>IFERROR(INDEX('G-7 WaterC'' Data'!$AZ$3:$AZ$7,MATCH(D153,'G-7 WaterC'' Data'!$AY$3:$AY$7,0)),"")</f>
        <v/>
      </c>
      <c r="AL153" s="30">
        <f t="shared" si="31"/>
        <v>0</v>
      </c>
      <c r="AM153" s="107" t="str">
        <f t="shared" si="32"/>
        <v/>
      </c>
      <c r="AN153" s="107" t="str">
        <f t="shared" si="33"/>
        <v/>
      </c>
      <c r="AP153" s="107">
        <v>144</v>
      </c>
      <c r="AR153" s="107" t="str">
        <f t="array" ref="AR153">IFERROR(INDEX($AP$10:$AP$258,MATCH(0,IF(TRUE=$AM$10:$AM$258,COUNTIF($AR$9:$AR152,$AP$10:$AP$258),""),0)),"")</f>
        <v/>
      </c>
      <c r="AS153" s="107" t="str">
        <f t="array" ref="AS153">IFERROR(INDEX($AP$10:$AP$258,MATCH(0,IF(TRUE=$AN$10:$AN$258,COUNTIF($AS$9:$AS152,$AP$10:$AP$258),""),0)),"")</f>
        <v/>
      </c>
      <c r="AT153" s="885" t="str">
        <f>IF(AND(OR(AD153="Yes",AD153="Pending"),Q153='G-7 WaterC'' Data'!$G$4),U153-AA153-Z153,"0")</f>
        <v>0</v>
      </c>
      <c r="AU153" s="30" t="str">
        <f>IF(D153="","",VLOOKUP(D153,'G-7 WaterC'' Data'!B$4:M$8,12,FALSE))</f>
        <v/>
      </c>
      <c r="AV153" s="30" t="str">
        <f t="shared" si="24"/>
        <v/>
      </c>
      <c r="AW153" s="30" t="str">
        <f t="shared" si="34"/>
        <v>No</v>
      </c>
      <c r="BA153" s="555" t="str">
        <f t="shared" si="35"/>
        <v/>
      </c>
    </row>
    <row r="154" spans="3:53" ht="14.5" thickBot="1">
      <c r="C154" s="97">
        <v>145</v>
      </c>
      <c r="D154" s="263"/>
      <c r="E154" s="104"/>
      <c r="F154" s="275" t="str">
        <f>IF(D154="","",VLOOKUP(D154,'G-7 WaterC'' Data'!$B$2:$G$8,2,FALSE))</f>
        <v/>
      </c>
      <c r="G154" s="314" t="str">
        <f>IFERROR(VLOOKUP(F154,'G-7 WaterC'' Data'!$C$4:$D$8,2,FALSE),"")</f>
        <v/>
      </c>
      <c r="H154" s="105"/>
      <c r="I154" s="299" t="str">
        <f>IFERROR(INDEX('G-7 WaterC'' Data'!$H$4:$L$8,MATCH(D154,'G-7 WaterC'' Data'!$B$4:$B$8,0),MATCH(H154,'G-7 WaterC'' Data'!$H$3:$L$3,0)),"")</f>
        <v/>
      </c>
      <c r="J154" s="702"/>
      <c r="K154" s="295" t="str">
        <f>IF(J154="","",IF(VLOOKUP(J154,'G-7 WaterC'' Data'!$AK$4:$AM$9,2,FALSE)=0,"Spatial Data Missing ⚠",VLOOKUP(J154,'G-7 WaterC'' Data'!$AK$4:$AM$6,2,FALSE)))</f>
        <v/>
      </c>
      <c r="L154" s="299" t="str">
        <f>IF(J154="","",IF(VLOOKUP(J154,'G-7 WaterC'' Data'!$AK$4:$AM$9,3,FALSE)=0,"Spatial Data Missing ⚠",VLOOKUP(J154,'G-7 WaterC'' Data'!$AK$4:$AM$6,3,FALSE)))</f>
        <v/>
      </c>
      <c r="M154" s="102"/>
      <c r="N154" s="276" t="str">
        <f>IF(M154="","",IF(AND(M154="N/A - Culvert",D154&lt;&gt;"Culvert"),"Not possible ▲",IF(AND(D154="Culvert",M154&lt;&gt;"N/A - Culvert"),"Not possible ▲",IF(VLOOKUP(M154,'G-7 WaterC'' Data'!$AA$4:$AB$7,2,FALSE)=0,"Spatial Data Missing ⚠",VLOOKUP(M154,'G-7 WaterC'' Data'!$AA$4:$AB$7,2,FALSE)))))</f>
        <v/>
      </c>
      <c r="O154" s="56"/>
      <c r="P154" s="276" t="str">
        <f>IF(O154="","",IF(AND(O154="N/A - Culvert",D154&lt;&gt;"Culvert"),"Not possible ▲",IF(AND(D154="Culvert",O154&lt;&gt;"N/A - Culvert"),"Not possible ▲",IF(VLOOKUP(O154,'G-7 WaterC'' Data'!$AD$4:$AE$14,2,FALSE)=0,"Spatial Data Missing ⚠",VLOOKUP(O154,'G-7 WaterC'' Data'!$AD$4:$AE$14,2,FALSE)))))</f>
        <v/>
      </c>
      <c r="Q154" s="282" t="str">
        <f>IF(D154="","",VLOOKUP(D154,'G-7 WaterC'' Data'!$B$4:$G$8,6,FALSE))</f>
        <v/>
      </c>
      <c r="R154" s="289" t="str">
        <f t="shared" si="25"/>
        <v xml:space="preserve"> </v>
      </c>
      <c r="S154" s="393"/>
      <c r="T154" s="281" t="str">
        <f>IF(S154="","",IF(VLOOKUP(S154,'G-7 WaterC'' Data'!$AO$4:$BO$7,2,FALSE)=0,"Spatial Data Missing ⚠",VLOOKUP(S154,'G-7 WaterC'' Data'!$AO$4:$BO$7,2,FALSE)))</f>
        <v/>
      </c>
      <c r="U154" s="289" t="str">
        <f t="shared" si="26"/>
        <v xml:space="preserve"> </v>
      </c>
      <c r="V154" s="694" t="str">
        <f t="shared" si="27"/>
        <v/>
      </c>
      <c r="W154" s="32"/>
      <c r="X154" s="101"/>
      <c r="Y154" s="108"/>
      <c r="Z154" s="287" t="str">
        <f t="shared" si="28"/>
        <v/>
      </c>
      <c r="AA154" s="287" t="str">
        <f t="shared" si="29"/>
        <v/>
      </c>
      <c r="AB154" s="287" t="str">
        <f t="shared" si="30"/>
        <v/>
      </c>
      <c r="AC154" s="491" t="str">
        <f>IFERROR(IF(OR(E154="",R154=""),"",IF(AND(AB154&lt;&gt;"",S154=""),"Spatial risk category missing ▲",IF(AND(Q154='G-7 WaterC'' Data'!$G$4,AD154="Yes"),"Alternative Compensation ✓",IF(AND(AD154="Pending",Q154='G-7 WaterC'' Data'!$G$4),"Bespoke compensation must be agreed ▲",IF((Z154+AA154)&gt;=U154,0,U154-Z154-AA154))))),"Check Data ⚠")</f>
        <v/>
      </c>
      <c r="AD154" s="393"/>
      <c r="AE154" s="105"/>
      <c r="AF154" s="104"/>
      <c r="AG154" s="104"/>
      <c r="AH154" s="104"/>
      <c r="AI154" s="54" t="str">
        <f>IF(OR(Q154="",AD154="Yes"),"",IF(Q154='G-1 All Habitats'!$X$9,E154-Y154-X154,"None"))</f>
        <v/>
      </c>
      <c r="AJ154" s="55" t="str">
        <f>IF(Q154="","",IF(Q154='G-1 All Habitats'!$X$9,AI154*G154*I154*L154*N154*P154,"None"))</f>
        <v/>
      </c>
      <c r="AK154" s="30" t="str">
        <f>IFERROR(INDEX('G-7 WaterC'' Data'!$AZ$3:$AZ$7,MATCH(D154,'G-7 WaterC'' Data'!$AY$3:$AY$7,0)),"")</f>
        <v/>
      </c>
      <c r="AL154" s="30">
        <f t="shared" si="31"/>
        <v>0</v>
      </c>
      <c r="AM154" s="107" t="str">
        <f t="shared" si="32"/>
        <v/>
      </c>
      <c r="AN154" s="107" t="str">
        <f t="shared" si="33"/>
        <v/>
      </c>
      <c r="AP154" s="107">
        <v>145</v>
      </c>
      <c r="AR154" s="107" t="str">
        <f t="array" ref="AR154">IFERROR(INDEX($AP$10:$AP$258,MATCH(0,IF(TRUE=$AM$10:$AM$258,COUNTIF($AR$9:$AR153,$AP$10:$AP$258),""),0)),"")</f>
        <v/>
      </c>
      <c r="AS154" s="107" t="str">
        <f t="array" ref="AS154">IFERROR(INDEX($AP$10:$AP$258,MATCH(0,IF(TRUE=$AN$10:$AN$258,COUNTIF($AS$9:$AS153,$AP$10:$AP$258),""),0)),"")</f>
        <v/>
      </c>
      <c r="AT154" s="885" t="str">
        <f>IF(AND(OR(AD154="Yes",AD154="Pending"),Q154='G-7 WaterC'' Data'!$G$4),U154-AA154-Z154,"0")</f>
        <v>0</v>
      </c>
      <c r="AU154" s="30" t="str">
        <f>IF(D154="","",VLOOKUP(D154,'G-7 WaterC'' Data'!B$4:M$8,12,FALSE))</f>
        <v/>
      </c>
      <c r="AV154" s="30" t="str">
        <f t="shared" si="24"/>
        <v/>
      </c>
      <c r="AW154" s="30" t="str">
        <f t="shared" si="34"/>
        <v>No</v>
      </c>
      <c r="BA154" s="555" t="str">
        <f t="shared" si="35"/>
        <v/>
      </c>
    </row>
    <row r="155" spans="3:53" ht="14.5" thickBot="1">
      <c r="C155" s="97">
        <v>146</v>
      </c>
      <c r="D155" s="263"/>
      <c r="E155" s="104"/>
      <c r="F155" s="275" t="str">
        <f>IF(D155="","",VLOOKUP(D155,'G-7 WaterC'' Data'!$B$2:$G$8,2,FALSE))</f>
        <v/>
      </c>
      <c r="G155" s="314" t="str">
        <f>IFERROR(VLOOKUP(F155,'G-7 WaterC'' Data'!$C$4:$D$8,2,FALSE),"")</f>
        <v/>
      </c>
      <c r="H155" s="105"/>
      <c r="I155" s="299" t="str">
        <f>IFERROR(INDEX('G-7 WaterC'' Data'!$H$4:$L$8,MATCH(D155,'G-7 WaterC'' Data'!$B$4:$B$8,0),MATCH(H155,'G-7 WaterC'' Data'!$H$3:$L$3,0)),"")</f>
        <v/>
      </c>
      <c r="J155" s="702"/>
      <c r="K155" s="295" t="str">
        <f>IF(J155="","",IF(VLOOKUP(J155,'G-7 WaterC'' Data'!$AK$4:$AM$9,2,FALSE)=0,"Spatial Data Missing ⚠",VLOOKUP(J155,'G-7 WaterC'' Data'!$AK$4:$AM$6,2,FALSE)))</f>
        <v/>
      </c>
      <c r="L155" s="299" t="str">
        <f>IF(J155="","",IF(VLOOKUP(J155,'G-7 WaterC'' Data'!$AK$4:$AM$9,3,FALSE)=0,"Spatial Data Missing ⚠",VLOOKUP(J155,'G-7 WaterC'' Data'!$AK$4:$AM$6,3,FALSE)))</f>
        <v/>
      </c>
      <c r="M155" s="102"/>
      <c r="N155" s="276" t="str">
        <f>IF(M155="","",IF(AND(M155="N/A - Culvert",D155&lt;&gt;"Culvert"),"Not possible ▲",IF(AND(D155="Culvert",M155&lt;&gt;"N/A - Culvert"),"Not possible ▲",IF(VLOOKUP(M155,'G-7 WaterC'' Data'!$AA$4:$AB$7,2,FALSE)=0,"Spatial Data Missing ⚠",VLOOKUP(M155,'G-7 WaterC'' Data'!$AA$4:$AB$7,2,FALSE)))))</f>
        <v/>
      </c>
      <c r="O155" s="56"/>
      <c r="P155" s="276" t="str">
        <f>IF(O155="","",IF(AND(O155="N/A - Culvert",D155&lt;&gt;"Culvert"),"Not possible ▲",IF(AND(D155="Culvert",O155&lt;&gt;"N/A - Culvert"),"Not possible ▲",IF(VLOOKUP(O155,'G-7 WaterC'' Data'!$AD$4:$AE$14,2,FALSE)=0,"Spatial Data Missing ⚠",VLOOKUP(O155,'G-7 WaterC'' Data'!$AD$4:$AE$14,2,FALSE)))))</f>
        <v/>
      </c>
      <c r="Q155" s="282" t="str">
        <f>IF(D155="","",VLOOKUP(D155,'G-7 WaterC'' Data'!$B$4:$G$8,6,FALSE))</f>
        <v/>
      </c>
      <c r="R155" s="289" t="str">
        <f t="shared" si="25"/>
        <v xml:space="preserve"> </v>
      </c>
      <c r="S155" s="393"/>
      <c r="T155" s="281" t="str">
        <f>IF(S155="","",IF(VLOOKUP(S155,'G-7 WaterC'' Data'!$AO$4:$BO$7,2,FALSE)=0,"Spatial Data Missing ⚠",VLOOKUP(S155,'G-7 WaterC'' Data'!$AO$4:$BO$7,2,FALSE)))</f>
        <v/>
      </c>
      <c r="U155" s="289" t="str">
        <f t="shared" si="26"/>
        <v xml:space="preserve"> </v>
      </c>
      <c r="V155" s="694" t="str">
        <f t="shared" si="27"/>
        <v/>
      </c>
      <c r="W155" s="32"/>
      <c r="X155" s="101"/>
      <c r="Y155" s="108"/>
      <c r="Z155" s="287" t="str">
        <f t="shared" si="28"/>
        <v/>
      </c>
      <c r="AA155" s="287" t="str">
        <f t="shared" si="29"/>
        <v/>
      </c>
      <c r="AB155" s="287" t="str">
        <f t="shared" si="30"/>
        <v/>
      </c>
      <c r="AC155" s="491" t="str">
        <f>IFERROR(IF(OR(E155="",R155=""),"",IF(AND(AB155&lt;&gt;"",S155=""),"Spatial risk category missing ▲",IF(AND(Q155='G-7 WaterC'' Data'!$G$4,AD155="Yes"),"Alternative Compensation ✓",IF(AND(AD155="Pending",Q155='G-7 WaterC'' Data'!$G$4),"Bespoke compensation must be agreed ▲",IF((Z155+AA155)&gt;=U155,0,U155-Z155-AA155))))),"Check Data ⚠")</f>
        <v/>
      </c>
      <c r="AD155" s="393"/>
      <c r="AE155" s="105"/>
      <c r="AF155" s="104"/>
      <c r="AG155" s="104"/>
      <c r="AH155" s="104"/>
      <c r="AI155" s="54" t="str">
        <f>IF(OR(Q155="",AD155="Yes"),"",IF(Q155='G-1 All Habitats'!$X$9,E155-Y155-X155,"None"))</f>
        <v/>
      </c>
      <c r="AJ155" s="55" t="str">
        <f>IF(Q155="","",IF(Q155='G-1 All Habitats'!$X$9,AI155*G155*I155*L155*N155*P155,"None"))</f>
        <v/>
      </c>
      <c r="AK155" s="30" t="str">
        <f>IFERROR(INDEX('G-7 WaterC'' Data'!$AZ$3:$AZ$7,MATCH(D155,'G-7 WaterC'' Data'!$AY$3:$AY$7,0)),"")</f>
        <v/>
      </c>
      <c r="AL155" s="30">
        <f t="shared" si="31"/>
        <v>0</v>
      </c>
      <c r="AM155" s="107" t="str">
        <f t="shared" si="32"/>
        <v/>
      </c>
      <c r="AN155" s="107" t="str">
        <f t="shared" si="33"/>
        <v/>
      </c>
      <c r="AP155" s="107">
        <v>146</v>
      </c>
      <c r="AR155" s="107" t="str">
        <f t="array" ref="AR155">IFERROR(INDEX($AP$10:$AP$258,MATCH(0,IF(TRUE=$AM$10:$AM$258,COUNTIF($AR$9:$AR154,$AP$10:$AP$258),""),0)),"")</f>
        <v/>
      </c>
      <c r="AS155" s="107" t="str">
        <f t="array" ref="AS155">IFERROR(INDEX($AP$10:$AP$258,MATCH(0,IF(TRUE=$AN$10:$AN$258,COUNTIF($AS$9:$AS154,$AP$10:$AP$258),""),0)),"")</f>
        <v/>
      </c>
      <c r="AT155" s="885" t="str">
        <f>IF(AND(OR(AD155="Yes",AD155="Pending"),Q155='G-7 WaterC'' Data'!$G$4),U155-AA155-Z155,"0")</f>
        <v>0</v>
      </c>
      <c r="AU155" s="30" t="str">
        <f>IF(D155="","",VLOOKUP(D155,'G-7 WaterC'' Data'!B$4:M$8,12,FALSE))</f>
        <v/>
      </c>
      <c r="AV155" s="30" t="str">
        <f t="shared" si="24"/>
        <v/>
      </c>
      <c r="AW155" s="30" t="str">
        <f t="shared" si="34"/>
        <v>No</v>
      </c>
      <c r="BA155" s="555" t="str">
        <f t="shared" si="35"/>
        <v/>
      </c>
    </row>
    <row r="156" spans="3:53" ht="14.5" thickBot="1">
      <c r="C156" s="97">
        <v>147</v>
      </c>
      <c r="D156" s="263"/>
      <c r="E156" s="104"/>
      <c r="F156" s="275" t="str">
        <f>IF(D156="","",VLOOKUP(D156,'G-7 WaterC'' Data'!$B$2:$G$8,2,FALSE))</f>
        <v/>
      </c>
      <c r="G156" s="314" t="str">
        <f>IFERROR(VLOOKUP(F156,'G-7 WaterC'' Data'!$C$4:$D$8,2,FALSE),"")</f>
        <v/>
      </c>
      <c r="H156" s="105"/>
      <c r="I156" s="299" t="str">
        <f>IFERROR(INDEX('G-7 WaterC'' Data'!$H$4:$L$8,MATCH(D156,'G-7 WaterC'' Data'!$B$4:$B$8,0),MATCH(H156,'G-7 WaterC'' Data'!$H$3:$L$3,0)),"")</f>
        <v/>
      </c>
      <c r="J156" s="702"/>
      <c r="K156" s="295" t="str">
        <f>IF(J156="","",IF(VLOOKUP(J156,'G-7 WaterC'' Data'!$AK$4:$AM$9,2,FALSE)=0,"Spatial Data Missing ⚠",VLOOKUP(J156,'G-7 WaterC'' Data'!$AK$4:$AM$6,2,FALSE)))</f>
        <v/>
      </c>
      <c r="L156" s="299" t="str">
        <f>IF(J156="","",IF(VLOOKUP(J156,'G-7 WaterC'' Data'!$AK$4:$AM$9,3,FALSE)=0,"Spatial Data Missing ⚠",VLOOKUP(J156,'G-7 WaterC'' Data'!$AK$4:$AM$6,3,FALSE)))</f>
        <v/>
      </c>
      <c r="M156" s="102"/>
      <c r="N156" s="276" t="str">
        <f>IF(M156="","",IF(AND(M156="N/A - Culvert",D156&lt;&gt;"Culvert"),"Not possible ▲",IF(AND(D156="Culvert",M156&lt;&gt;"N/A - Culvert"),"Not possible ▲",IF(VLOOKUP(M156,'G-7 WaterC'' Data'!$AA$4:$AB$7,2,FALSE)=0,"Spatial Data Missing ⚠",VLOOKUP(M156,'G-7 WaterC'' Data'!$AA$4:$AB$7,2,FALSE)))))</f>
        <v/>
      </c>
      <c r="O156" s="56"/>
      <c r="P156" s="276" t="str">
        <f>IF(O156="","",IF(AND(O156="N/A - Culvert",D156&lt;&gt;"Culvert"),"Not possible ▲",IF(AND(D156="Culvert",O156&lt;&gt;"N/A - Culvert"),"Not possible ▲",IF(VLOOKUP(O156,'G-7 WaterC'' Data'!$AD$4:$AE$14,2,FALSE)=0,"Spatial Data Missing ⚠",VLOOKUP(O156,'G-7 WaterC'' Data'!$AD$4:$AE$14,2,FALSE)))))</f>
        <v/>
      </c>
      <c r="Q156" s="282" t="str">
        <f>IF(D156="","",VLOOKUP(D156,'G-7 WaterC'' Data'!$B$4:$G$8,6,FALSE))</f>
        <v/>
      </c>
      <c r="R156" s="289" t="str">
        <f t="shared" si="25"/>
        <v xml:space="preserve"> </v>
      </c>
      <c r="S156" s="393"/>
      <c r="T156" s="281" t="str">
        <f>IF(S156="","",IF(VLOOKUP(S156,'G-7 WaterC'' Data'!$AO$4:$BO$7,2,FALSE)=0,"Spatial Data Missing ⚠",VLOOKUP(S156,'G-7 WaterC'' Data'!$AO$4:$BO$7,2,FALSE)))</f>
        <v/>
      </c>
      <c r="U156" s="289" t="str">
        <f t="shared" si="26"/>
        <v xml:space="preserve"> </v>
      </c>
      <c r="V156" s="694" t="str">
        <f t="shared" si="27"/>
        <v/>
      </c>
      <c r="W156" s="32"/>
      <c r="X156" s="101"/>
      <c r="Y156" s="108"/>
      <c r="Z156" s="287" t="str">
        <f t="shared" si="28"/>
        <v/>
      </c>
      <c r="AA156" s="287" t="str">
        <f t="shared" si="29"/>
        <v/>
      </c>
      <c r="AB156" s="287" t="str">
        <f t="shared" si="30"/>
        <v/>
      </c>
      <c r="AC156" s="491" t="str">
        <f>IFERROR(IF(OR(E156="",R156=""),"",IF(AND(AB156&lt;&gt;"",S156=""),"Spatial risk category missing ▲",IF(AND(Q156='G-7 WaterC'' Data'!$G$4,AD156="Yes"),"Alternative Compensation ✓",IF(AND(AD156="Pending",Q156='G-7 WaterC'' Data'!$G$4),"Bespoke compensation must be agreed ▲",IF((Z156+AA156)&gt;=U156,0,U156-Z156-AA156))))),"Check Data ⚠")</f>
        <v/>
      </c>
      <c r="AD156" s="393"/>
      <c r="AE156" s="105"/>
      <c r="AF156" s="104"/>
      <c r="AG156" s="104"/>
      <c r="AH156" s="104"/>
      <c r="AI156" s="54" t="str">
        <f>IF(OR(Q156="",AD156="Yes"),"",IF(Q156='G-1 All Habitats'!$X$9,E156-Y156-X156,"None"))</f>
        <v/>
      </c>
      <c r="AJ156" s="55" t="str">
        <f>IF(Q156="","",IF(Q156='G-1 All Habitats'!$X$9,AI156*G156*I156*L156*N156*P156,"None"))</f>
        <v/>
      </c>
      <c r="AK156" s="30" t="str">
        <f>IFERROR(INDEX('G-7 WaterC'' Data'!$AZ$3:$AZ$7,MATCH(D156,'G-7 WaterC'' Data'!$AY$3:$AY$7,0)),"")</f>
        <v/>
      </c>
      <c r="AL156" s="30">
        <f t="shared" si="31"/>
        <v>0</v>
      </c>
      <c r="AM156" s="107" t="str">
        <f t="shared" si="32"/>
        <v/>
      </c>
      <c r="AN156" s="107" t="str">
        <f t="shared" si="33"/>
        <v/>
      </c>
      <c r="AP156" s="107">
        <v>147</v>
      </c>
      <c r="AR156" s="107" t="str">
        <f t="array" ref="AR156">IFERROR(INDEX($AP$10:$AP$258,MATCH(0,IF(TRUE=$AM$10:$AM$258,COUNTIF($AR$9:$AR155,$AP$10:$AP$258),""),0)),"")</f>
        <v/>
      </c>
      <c r="AS156" s="107" t="str">
        <f t="array" ref="AS156">IFERROR(INDEX($AP$10:$AP$258,MATCH(0,IF(TRUE=$AN$10:$AN$258,COUNTIF($AS$9:$AS155,$AP$10:$AP$258),""),0)),"")</f>
        <v/>
      </c>
      <c r="AT156" s="885" t="str">
        <f>IF(AND(OR(AD156="Yes",AD156="Pending"),Q156='G-7 WaterC'' Data'!$G$4),U156-AA156-Z156,"0")</f>
        <v>0</v>
      </c>
      <c r="AU156" s="30" t="str">
        <f>IF(D156="","",VLOOKUP(D156,'G-7 WaterC'' Data'!B$4:M$8,12,FALSE))</f>
        <v/>
      </c>
      <c r="AV156" s="30" t="str">
        <f t="shared" si="24"/>
        <v/>
      </c>
      <c r="AW156" s="30" t="str">
        <f t="shared" si="34"/>
        <v>No</v>
      </c>
      <c r="BA156" s="555" t="str">
        <f t="shared" si="35"/>
        <v/>
      </c>
    </row>
    <row r="157" spans="3:53" ht="14.5" thickBot="1">
      <c r="C157" s="97">
        <v>148</v>
      </c>
      <c r="D157" s="263"/>
      <c r="E157" s="104"/>
      <c r="F157" s="275" t="str">
        <f>IF(D157="","",VLOOKUP(D157,'G-7 WaterC'' Data'!$B$2:$G$8,2,FALSE))</f>
        <v/>
      </c>
      <c r="G157" s="314" t="str">
        <f>IFERROR(VLOOKUP(F157,'G-7 WaterC'' Data'!$C$4:$D$8,2,FALSE),"")</f>
        <v/>
      </c>
      <c r="H157" s="105"/>
      <c r="I157" s="299" t="str">
        <f>IFERROR(INDEX('G-7 WaterC'' Data'!$H$4:$L$8,MATCH(D157,'G-7 WaterC'' Data'!$B$4:$B$8,0),MATCH(H157,'G-7 WaterC'' Data'!$H$3:$L$3,0)),"")</f>
        <v/>
      </c>
      <c r="J157" s="702"/>
      <c r="K157" s="295" t="str">
        <f>IF(J157="","",IF(VLOOKUP(J157,'G-7 WaterC'' Data'!$AK$4:$AM$9,2,FALSE)=0,"Spatial Data Missing ⚠",VLOOKUP(J157,'G-7 WaterC'' Data'!$AK$4:$AM$6,2,FALSE)))</f>
        <v/>
      </c>
      <c r="L157" s="299" t="str">
        <f>IF(J157="","",IF(VLOOKUP(J157,'G-7 WaterC'' Data'!$AK$4:$AM$9,3,FALSE)=0,"Spatial Data Missing ⚠",VLOOKUP(J157,'G-7 WaterC'' Data'!$AK$4:$AM$6,3,FALSE)))</f>
        <v/>
      </c>
      <c r="M157" s="102"/>
      <c r="N157" s="276" t="str">
        <f>IF(M157="","",IF(AND(M157="N/A - Culvert",D157&lt;&gt;"Culvert"),"Not possible ▲",IF(AND(D157="Culvert",M157&lt;&gt;"N/A - Culvert"),"Not possible ▲",IF(VLOOKUP(M157,'G-7 WaterC'' Data'!$AA$4:$AB$7,2,FALSE)=0,"Spatial Data Missing ⚠",VLOOKUP(M157,'G-7 WaterC'' Data'!$AA$4:$AB$7,2,FALSE)))))</f>
        <v/>
      </c>
      <c r="O157" s="56"/>
      <c r="P157" s="276" t="str">
        <f>IF(O157="","",IF(AND(O157="N/A - Culvert",D157&lt;&gt;"Culvert"),"Not possible ▲",IF(AND(D157="Culvert",O157&lt;&gt;"N/A - Culvert"),"Not possible ▲",IF(VLOOKUP(O157,'G-7 WaterC'' Data'!$AD$4:$AE$14,2,FALSE)=0,"Spatial Data Missing ⚠",VLOOKUP(O157,'G-7 WaterC'' Data'!$AD$4:$AE$14,2,FALSE)))))</f>
        <v/>
      </c>
      <c r="Q157" s="282" t="str">
        <f>IF(D157="","",VLOOKUP(D157,'G-7 WaterC'' Data'!$B$4:$G$8,6,FALSE))</f>
        <v/>
      </c>
      <c r="R157" s="289" t="str">
        <f t="shared" si="25"/>
        <v xml:space="preserve"> </v>
      </c>
      <c r="S157" s="393"/>
      <c r="T157" s="281" t="str">
        <f>IF(S157="","",IF(VLOOKUP(S157,'G-7 WaterC'' Data'!$AO$4:$BO$7,2,FALSE)=0,"Spatial Data Missing ⚠",VLOOKUP(S157,'G-7 WaterC'' Data'!$AO$4:$BO$7,2,FALSE)))</f>
        <v/>
      </c>
      <c r="U157" s="289" t="str">
        <f t="shared" si="26"/>
        <v xml:space="preserve"> </v>
      </c>
      <c r="V157" s="694" t="str">
        <f t="shared" si="27"/>
        <v/>
      </c>
      <c r="W157" s="32"/>
      <c r="X157" s="101"/>
      <c r="Y157" s="108"/>
      <c r="Z157" s="287" t="str">
        <f t="shared" si="28"/>
        <v/>
      </c>
      <c r="AA157" s="287" t="str">
        <f t="shared" si="29"/>
        <v/>
      </c>
      <c r="AB157" s="287" t="str">
        <f t="shared" si="30"/>
        <v/>
      </c>
      <c r="AC157" s="491" t="str">
        <f>IFERROR(IF(OR(E157="",R157=""),"",IF(AND(AB157&lt;&gt;"",S157=""),"Spatial risk category missing ▲",IF(AND(Q157='G-7 WaterC'' Data'!$G$4,AD157="Yes"),"Alternative Compensation ✓",IF(AND(AD157="Pending",Q157='G-7 WaterC'' Data'!$G$4),"Bespoke compensation must be agreed ▲",IF((Z157+AA157)&gt;=U157,0,U157-Z157-AA157))))),"Check Data ⚠")</f>
        <v/>
      </c>
      <c r="AD157" s="393"/>
      <c r="AE157" s="105"/>
      <c r="AF157" s="104"/>
      <c r="AG157" s="104"/>
      <c r="AH157" s="104"/>
      <c r="AI157" s="54" t="str">
        <f>IF(OR(Q157="",AD157="Yes"),"",IF(Q157='G-1 All Habitats'!$X$9,E157-Y157-X157,"None"))</f>
        <v/>
      </c>
      <c r="AJ157" s="55" t="str">
        <f>IF(Q157="","",IF(Q157='G-1 All Habitats'!$X$9,AI157*G157*I157*L157*N157*P157,"None"))</f>
        <v/>
      </c>
      <c r="AK157" s="30" t="str">
        <f>IFERROR(INDEX('G-7 WaterC'' Data'!$AZ$3:$AZ$7,MATCH(D157,'G-7 WaterC'' Data'!$AY$3:$AY$7,0)),"")</f>
        <v/>
      </c>
      <c r="AL157" s="30">
        <f t="shared" si="31"/>
        <v>0</v>
      </c>
      <c r="AM157" s="107" t="str">
        <f t="shared" si="32"/>
        <v/>
      </c>
      <c r="AN157" s="107" t="str">
        <f t="shared" si="33"/>
        <v/>
      </c>
      <c r="AP157" s="107">
        <v>148</v>
      </c>
      <c r="AR157" s="107" t="str">
        <f t="array" ref="AR157">IFERROR(INDEX($AP$10:$AP$258,MATCH(0,IF(TRUE=$AM$10:$AM$258,COUNTIF($AR$9:$AR156,$AP$10:$AP$258),""),0)),"")</f>
        <v/>
      </c>
      <c r="AS157" s="107" t="str">
        <f t="array" ref="AS157">IFERROR(INDEX($AP$10:$AP$258,MATCH(0,IF(TRUE=$AN$10:$AN$258,COUNTIF($AS$9:$AS156,$AP$10:$AP$258),""),0)),"")</f>
        <v/>
      </c>
      <c r="AT157" s="885" t="str">
        <f>IF(AND(OR(AD157="Yes",AD157="Pending"),Q157='G-7 WaterC'' Data'!$G$4),U157-AA157-Z157,"0")</f>
        <v>0</v>
      </c>
      <c r="AU157" s="30" t="str">
        <f>IF(D157="","",VLOOKUP(D157,'G-7 WaterC'' Data'!B$4:M$8,12,FALSE))</f>
        <v/>
      </c>
      <c r="AV157" s="30" t="str">
        <f t="shared" si="24"/>
        <v/>
      </c>
      <c r="AW157" s="30" t="str">
        <f t="shared" si="34"/>
        <v>No</v>
      </c>
      <c r="BA157" s="555" t="str">
        <f t="shared" si="35"/>
        <v/>
      </c>
    </row>
    <row r="158" spans="3:53" ht="14.5" thickBot="1">
      <c r="C158" s="97">
        <v>149</v>
      </c>
      <c r="D158" s="263"/>
      <c r="E158" s="104"/>
      <c r="F158" s="275" t="str">
        <f>IF(D158="","",VLOOKUP(D158,'G-7 WaterC'' Data'!$B$2:$G$8,2,FALSE))</f>
        <v/>
      </c>
      <c r="G158" s="314" t="str">
        <f>IFERROR(VLOOKUP(F158,'G-7 WaterC'' Data'!$C$4:$D$8,2,FALSE),"")</f>
        <v/>
      </c>
      <c r="H158" s="105"/>
      <c r="I158" s="299" t="str">
        <f>IFERROR(INDEX('G-7 WaterC'' Data'!$H$4:$L$8,MATCH(D158,'G-7 WaterC'' Data'!$B$4:$B$8,0),MATCH(H158,'G-7 WaterC'' Data'!$H$3:$L$3,0)),"")</f>
        <v/>
      </c>
      <c r="J158" s="702"/>
      <c r="K158" s="295" t="str">
        <f>IF(J158="","",IF(VLOOKUP(J158,'G-7 WaterC'' Data'!$AK$4:$AM$9,2,FALSE)=0,"Spatial Data Missing ⚠",VLOOKUP(J158,'G-7 WaterC'' Data'!$AK$4:$AM$6,2,FALSE)))</f>
        <v/>
      </c>
      <c r="L158" s="299" t="str">
        <f>IF(J158="","",IF(VLOOKUP(J158,'G-7 WaterC'' Data'!$AK$4:$AM$9,3,FALSE)=0,"Spatial Data Missing ⚠",VLOOKUP(J158,'G-7 WaterC'' Data'!$AK$4:$AM$6,3,FALSE)))</f>
        <v/>
      </c>
      <c r="M158" s="102"/>
      <c r="N158" s="276" t="str">
        <f>IF(M158="","",IF(AND(M158="N/A - Culvert",D158&lt;&gt;"Culvert"),"Not possible ▲",IF(AND(D158="Culvert",M158&lt;&gt;"N/A - Culvert"),"Not possible ▲",IF(VLOOKUP(M158,'G-7 WaterC'' Data'!$AA$4:$AB$7,2,FALSE)=0,"Spatial Data Missing ⚠",VLOOKUP(M158,'G-7 WaterC'' Data'!$AA$4:$AB$7,2,FALSE)))))</f>
        <v/>
      </c>
      <c r="O158" s="56"/>
      <c r="P158" s="276" t="str">
        <f>IF(O158="","",IF(AND(O158="N/A - Culvert",D158&lt;&gt;"Culvert"),"Not possible ▲",IF(AND(D158="Culvert",O158&lt;&gt;"N/A - Culvert"),"Not possible ▲",IF(VLOOKUP(O158,'G-7 WaterC'' Data'!$AD$4:$AE$14,2,FALSE)=0,"Spatial Data Missing ⚠",VLOOKUP(O158,'G-7 WaterC'' Data'!$AD$4:$AE$14,2,FALSE)))))</f>
        <v/>
      </c>
      <c r="Q158" s="282" t="str">
        <f>IF(D158="","",VLOOKUP(D158,'G-7 WaterC'' Data'!$B$4:$G$8,6,FALSE))</f>
        <v/>
      </c>
      <c r="R158" s="289" t="str">
        <f t="shared" si="25"/>
        <v xml:space="preserve"> </v>
      </c>
      <c r="S158" s="393"/>
      <c r="T158" s="281" t="str">
        <f>IF(S158="","",IF(VLOOKUP(S158,'G-7 WaterC'' Data'!$AO$4:$BO$7,2,FALSE)=0,"Spatial Data Missing ⚠",VLOOKUP(S158,'G-7 WaterC'' Data'!$AO$4:$BO$7,2,FALSE)))</f>
        <v/>
      </c>
      <c r="U158" s="289" t="str">
        <f t="shared" si="26"/>
        <v xml:space="preserve"> </v>
      </c>
      <c r="V158" s="694" t="str">
        <f t="shared" si="27"/>
        <v/>
      </c>
      <c r="W158" s="32"/>
      <c r="X158" s="101"/>
      <c r="Y158" s="108"/>
      <c r="Z158" s="287" t="str">
        <f t="shared" si="28"/>
        <v/>
      </c>
      <c r="AA158" s="287" t="str">
        <f t="shared" si="29"/>
        <v/>
      </c>
      <c r="AB158" s="287" t="str">
        <f t="shared" si="30"/>
        <v/>
      </c>
      <c r="AC158" s="491" t="str">
        <f>IFERROR(IF(OR(E158="",R158=""),"",IF(AND(AB158&lt;&gt;"",S158=""),"Spatial risk category missing ▲",IF(AND(Q158='G-7 WaterC'' Data'!$G$4,AD158="Yes"),"Alternative Compensation ✓",IF(AND(AD158="Pending",Q158='G-7 WaterC'' Data'!$G$4),"Bespoke compensation must be agreed ▲",IF((Z158+AA158)&gt;=U158,0,U158-Z158-AA158))))),"Check Data ⚠")</f>
        <v/>
      </c>
      <c r="AD158" s="393"/>
      <c r="AE158" s="105"/>
      <c r="AF158" s="104"/>
      <c r="AG158" s="104"/>
      <c r="AH158" s="104"/>
      <c r="AI158" s="54" t="str">
        <f>IF(OR(Q158="",AD158="Yes"),"",IF(Q158='G-1 All Habitats'!$X$9,E158-Y158-X158,"None"))</f>
        <v/>
      </c>
      <c r="AJ158" s="55" t="str">
        <f>IF(Q158="","",IF(Q158='G-1 All Habitats'!$X$9,AI158*G158*I158*L158*N158*P158,"None"))</f>
        <v/>
      </c>
      <c r="AK158" s="30" t="str">
        <f>IFERROR(INDEX('G-7 WaterC'' Data'!$AZ$3:$AZ$7,MATCH(D158,'G-7 WaterC'' Data'!$AY$3:$AY$7,0)),"")</f>
        <v/>
      </c>
      <c r="AL158" s="30">
        <f t="shared" si="31"/>
        <v>0</v>
      </c>
      <c r="AM158" s="107" t="str">
        <f t="shared" si="32"/>
        <v/>
      </c>
      <c r="AN158" s="107" t="str">
        <f t="shared" si="33"/>
        <v/>
      </c>
      <c r="AP158" s="107">
        <v>149</v>
      </c>
      <c r="AR158" s="107" t="str">
        <f t="array" ref="AR158">IFERROR(INDEX($AP$10:$AP$258,MATCH(0,IF(TRUE=$AM$10:$AM$258,COUNTIF($AR$9:$AR157,$AP$10:$AP$258),""),0)),"")</f>
        <v/>
      </c>
      <c r="AS158" s="107" t="str">
        <f t="array" ref="AS158">IFERROR(INDEX($AP$10:$AP$258,MATCH(0,IF(TRUE=$AN$10:$AN$258,COUNTIF($AS$9:$AS157,$AP$10:$AP$258),""),0)),"")</f>
        <v/>
      </c>
      <c r="AT158" s="885" t="str">
        <f>IF(AND(OR(AD158="Yes",AD158="Pending"),Q158='G-7 WaterC'' Data'!$G$4),U158-AA158-Z158,"0")</f>
        <v>0</v>
      </c>
      <c r="AU158" s="30" t="str">
        <f>IF(D158="","",VLOOKUP(D158,'G-7 WaterC'' Data'!B$4:M$8,12,FALSE))</f>
        <v/>
      </c>
      <c r="AV158" s="30" t="str">
        <f t="shared" si="24"/>
        <v/>
      </c>
      <c r="AW158" s="30" t="str">
        <f t="shared" si="34"/>
        <v>No</v>
      </c>
      <c r="BA158" s="555" t="str">
        <f t="shared" si="35"/>
        <v/>
      </c>
    </row>
    <row r="159" spans="3:53" ht="14.5" thickBot="1">
      <c r="C159" s="97">
        <v>150</v>
      </c>
      <c r="D159" s="263"/>
      <c r="E159" s="104"/>
      <c r="F159" s="275" t="str">
        <f>IF(D159="","",VLOOKUP(D159,'G-7 WaterC'' Data'!$B$2:$G$8,2,FALSE))</f>
        <v/>
      </c>
      <c r="G159" s="314" t="str">
        <f>IFERROR(VLOOKUP(F159,'G-7 WaterC'' Data'!$C$4:$D$8,2,FALSE),"")</f>
        <v/>
      </c>
      <c r="H159" s="105"/>
      <c r="I159" s="299" t="str">
        <f>IFERROR(INDEX('G-7 WaterC'' Data'!$H$4:$L$8,MATCH(D159,'G-7 WaterC'' Data'!$B$4:$B$8,0),MATCH(H159,'G-7 WaterC'' Data'!$H$3:$L$3,0)),"")</f>
        <v/>
      </c>
      <c r="J159" s="702"/>
      <c r="K159" s="295" t="str">
        <f>IF(J159="","",IF(VLOOKUP(J159,'G-7 WaterC'' Data'!$AK$4:$AM$9,2,FALSE)=0,"Spatial Data Missing ⚠",VLOOKUP(J159,'G-7 WaterC'' Data'!$AK$4:$AM$6,2,FALSE)))</f>
        <v/>
      </c>
      <c r="L159" s="299" t="str">
        <f>IF(J159="","",IF(VLOOKUP(J159,'G-7 WaterC'' Data'!$AK$4:$AM$9,3,FALSE)=0,"Spatial Data Missing ⚠",VLOOKUP(J159,'G-7 WaterC'' Data'!$AK$4:$AM$6,3,FALSE)))</f>
        <v/>
      </c>
      <c r="M159" s="102"/>
      <c r="N159" s="276" t="str">
        <f>IF(M159="","",IF(AND(M159="N/A - Culvert",D159&lt;&gt;"Culvert"),"Not possible ▲",IF(AND(D159="Culvert",M159&lt;&gt;"N/A - Culvert"),"Not possible ▲",IF(VLOOKUP(M159,'G-7 WaterC'' Data'!$AA$4:$AB$7,2,FALSE)=0,"Spatial Data Missing ⚠",VLOOKUP(M159,'G-7 WaterC'' Data'!$AA$4:$AB$7,2,FALSE)))))</f>
        <v/>
      </c>
      <c r="O159" s="56"/>
      <c r="P159" s="276" t="str">
        <f>IF(O159="","",IF(AND(O159="N/A - Culvert",D159&lt;&gt;"Culvert"),"Not possible ▲",IF(AND(D159="Culvert",O159&lt;&gt;"N/A - Culvert"),"Not possible ▲",IF(VLOOKUP(O159,'G-7 WaterC'' Data'!$AD$4:$AE$14,2,FALSE)=0,"Spatial Data Missing ⚠",VLOOKUP(O159,'G-7 WaterC'' Data'!$AD$4:$AE$14,2,FALSE)))))</f>
        <v/>
      </c>
      <c r="Q159" s="282" t="str">
        <f>IF(D159="","",VLOOKUP(D159,'G-7 WaterC'' Data'!$B$4:$G$8,6,FALSE))</f>
        <v/>
      </c>
      <c r="R159" s="289" t="str">
        <f t="shared" si="25"/>
        <v xml:space="preserve"> </v>
      </c>
      <c r="S159" s="393"/>
      <c r="T159" s="281" t="str">
        <f>IF(S159="","",IF(VLOOKUP(S159,'G-7 WaterC'' Data'!$AO$4:$BO$7,2,FALSE)=0,"Spatial Data Missing ⚠",VLOOKUP(S159,'G-7 WaterC'' Data'!$AO$4:$BO$7,2,FALSE)))</f>
        <v/>
      </c>
      <c r="U159" s="289" t="str">
        <f t="shared" si="26"/>
        <v xml:space="preserve"> </v>
      </c>
      <c r="V159" s="694" t="str">
        <f t="shared" si="27"/>
        <v/>
      </c>
      <c r="W159" s="32"/>
      <c r="X159" s="101"/>
      <c r="Y159" s="108"/>
      <c r="Z159" s="287" t="str">
        <f t="shared" si="28"/>
        <v/>
      </c>
      <c r="AA159" s="287" t="str">
        <f t="shared" si="29"/>
        <v/>
      </c>
      <c r="AB159" s="287" t="str">
        <f t="shared" si="30"/>
        <v/>
      </c>
      <c r="AC159" s="491" t="str">
        <f>IFERROR(IF(OR(E159="",R159=""),"",IF(AND(AB159&lt;&gt;"",S159=""),"Spatial risk category missing ▲",IF(AND(Q159='G-7 WaterC'' Data'!$G$4,AD159="Yes"),"Alternative Compensation ✓",IF(AND(AD159="Pending",Q159='G-7 WaterC'' Data'!$G$4),"Bespoke compensation must be agreed ▲",IF((Z159+AA159)&gt;=U159,0,U159-Z159-AA159))))),"Check Data ⚠")</f>
        <v/>
      </c>
      <c r="AD159" s="393"/>
      <c r="AE159" s="105"/>
      <c r="AF159" s="104"/>
      <c r="AG159" s="104"/>
      <c r="AH159" s="104"/>
      <c r="AI159" s="54" t="str">
        <f>IF(OR(Q159="",AD159="Yes"),"",IF(Q159='G-1 All Habitats'!$X$9,E159-Y159-X159,"None"))</f>
        <v/>
      </c>
      <c r="AJ159" s="55" t="str">
        <f>IF(Q159="","",IF(Q159='G-1 All Habitats'!$X$9,AI159*G159*I159*L159*N159*P159,"None"))</f>
        <v/>
      </c>
      <c r="AK159" s="30" t="str">
        <f>IFERROR(INDEX('G-7 WaterC'' Data'!$AZ$3:$AZ$7,MATCH(D159,'G-7 WaterC'' Data'!$AY$3:$AY$7,0)),"")</f>
        <v/>
      </c>
      <c r="AL159" s="30">
        <f t="shared" si="31"/>
        <v>0</v>
      </c>
      <c r="AM159" s="107" t="str">
        <f t="shared" si="32"/>
        <v/>
      </c>
      <c r="AN159" s="107" t="str">
        <f t="shared" si="33"/>
        <v/>
      </c>
      <c r="AP159" s="107">
        <v>150</v>
      </c>
      <c r="AR159" s="107" t="str">
        <f t="array" ref="AR159">IFERROR(INDEX($AP$10:$AP$258,MATCH(0,IF(TRUE=$AM$10:$AM$258,COUNTIF($AR$9:$AR158,$AP$10:$AP$258),""),0)),"")</f>
        <v/>
      </c>
      <c r="AS159" s="107" t="str">
        <f t="array" ref="AS159">IFERROR(INDEX($AP$10:$AP$258,MATCH(0,IF(TRUE=$AN$10:$AN$258,COUNTIF($AS$9:$AS158,$AP$10:$AP$258),""),0)),"")</f>
        <v/>
      </c>
      <c r="AT159" s="885" t="str">
        <f>IF(AND(OR(AD159="Yes",AD159="Pending"),Q159='G-7 WaterC'' Data'!$G$4),U159-AA159-Z159,"0")</f>
        <v>0</v>
      </c>
      <c r="AU159" s="30" t="str">
        <f>IF(D159="","",VLOOKUP(D159,'G-7 WaterC'' Data'!B$4:M$8,12,FALSE))</f>
        <v/>
      </c>
      <c r="AV159" s="30" t="str">
        <f t="shared" si="24"/>
        <v/>
      </c>
      <c r="AW159" s="30" t="str">
        <f t="shared" si="34"/>
        <v>No</v>
      </c>
      <c r="BA159" s="555" t="str">
        <f t="shared" si="35"/>
        <v/>
      </c>
    </row>
    <row r="160" spans="3:53" ht="14.5" thickBot="1">
      <c r="C160" s="97">
        <v>151</v>
      </c>
      <c r="D160" s="263"/>
      <c r="E160" s="104"/>
      <c r="F160" s="275" t="str">
        <f>IF(D160="","",VLOOKUP(D160,'G-7 WaterC'' Data'!$B$2:$G$8,2,FALSE))</f>
        <v/>
      </c>
      <c r="G160" s="314" t="str">
        <f>IFERROR(VLOOKUP(F160,'G-7 WaterC'' Data'!$C$4:$D$8,2,FALSE),"")</f>
        <v/>
      </c>
      <c r="H160" s="105"/>
      <c r="I160" s="299" t="str">
        <f>IFERROR(INDEX('G-7 WaterC'' Data'!$H$4:$L$8,MATCH(D160,'G-7 WaterC'' Data'!$B$4:$B$8,0),MATCH(H160,'G-7 WaterC'' Data'!$H$3:$L$3,0)),"")</f>
        <v/>
      </c>
      <c r="J160" s="702"/>
      <c r="K160" s="295" t="str">
        <f>IF(J160="","",IF(VLOOKUP(J160,'G-7 WaterC'' Data'!$AK$4:$AM$9,2,FALSE)=0,"Spatial Data Missing ⚠",VLOOKUP(J160,'G-7 WaterC'' Data'!$AK$4:$AM$6,2,FALSE)))</f>
        <v/>
      </c>
      <c r="L160" s="299" t="str">
        <f>IF(J160="","",IF(VLOOKUP(J160,'G-7 WaterC'' Data'!$AK$4:$AM$9,3,FALSE)=0,"Spatial Data Missing ⚠",VLOOKUP(J160,'G-7 WaterC'' Data'!$AK$4:$AM$6,3,FALSE)))</f>
        <v/>
      </c>
      <c r="M160" s="102"/>
      <c r="N160" s="276" t="str">
        <f>IF(M160="","",IF(AND(M160="N/A - Culvert",D160&lt;&gt;"Culvert"),"Not possible ▲",IF(AND(D160="Culvert",M160&lt;&gt;"N/A - Culvert"),"Not possible ▲",IF(VLOOKUP(M160,'G-7 WaterC'' Data'!$AA$4:$AB$7,2,FALSE)=0,"Spatial Data Missing ⚠",VLOOKUP(M160,'G-7 WaterC'' Data'!$AA$4:$AB$7,2,FALSE)))))</f>
        <v/>
      </c>
      <c r="O160" s="56"/>
      <c r="P160" s="276" t="str">
        <f>IF(O160="","",IF(AND(O160="N/A - Culvert",D160&lt;&gt;"Culvert"),"Not possible ▲",IF(AND(D160="Culvert",O160&lt;&gt;"N/A - Culvert"),"Not possible ▲",IF(VLOOKUP(O160,'G-7 WaterC'' Data'!$AD$4:$AE$14,2,FALSE)=0,"Spatial Data Missing ⚠",VLOOKUP(O160,'G-7 WaterC'' Data'!$AD$4:$AE$14,2,FALSE)))))</f>
        <v/>
      </c>
      <c r="Q160" s="282" t="str">
        <f>IF(D160="","",VLOOKUP(D160,'G-7 WaterC'' Data'!$B$4:$G$8,6,FALSE))</f>
        <v/>
      </c>
      <c r="R160" s="289" t="str">
        <f t="shared" si="25"/>
        <v xml:space="preserve"> </v>
      </c>
      <c r="S160" s="393"/>
      <c r="T160" s="281" t="str">
        <f>IF(S160="","",IF(VLOOKUP(S160,'G-7 WaterC'' Data'!$AO$4:$BO$7,2,FALSE)=0,"Spatial Data Missing ⚠",VLOOKUP(S160,'G-7 WaterC'' Data'!$AO$4:$BO$7,2,FALSE)))</f>
        <v/>
      </c>
      <c r="U160" s="289" t="str">
        <f t="shared" si="26"/>
        <v xml:space="preserve"> </v>
      </c>
      <c r="V160" s="694" t="str">
        <f t="shared" si="27"/>
        <v/>
      </c>
      <c r="W160" s="32"/>
      <c r="X160" s="101"/>
      <c r="Y160" s="108"/>
      <c r="Z160" s="287" t="str">
        <f t="shared" si="28"/>
        <v/>
      </c>
      <c r="AA160" s="287" t="str">
        <f t="shared" si="29"/>
        <v/>
      </c>
      <c r="AB160" s="287" t="str">
        <f t="shared" si="30"/>
        <v/>
      </c>
      <c r="AC160" s="491" t="str">
        <f>IFERROR(IF(OR(E160="",R160=""),"",IF(AND(AB160&lt;&gt;"",S160=""),"Spatial risk category missing ▲",IF(AND(Q160='G-7 WaterC'' Data'!$G$4,AD160="Yes"),"Alternative Compensation ✓",IF(AND(AD160="Pending",Q160='G-7 WaterC'' Data'!$G$4),"Bespoke compensation must be agreed ▲",IF((Z160+AA160)&gt;=U160,0,U160-Z160-AA160))))),"Check Data ⚠")</f>
        <v/>
      </c>
      <c r="AD160" s="393"/>
      <c r="AE160" s="105"/>
      <c r="AF160" s="104"/>
      <c r="AG160" s="104"/>
      <c r="AH160" s="104"/>
      <c r="AI160" s="54" t="str">
        <f>IF(OR(Q160="",AD160="Yes"),"",IF(Q160='G-1 All Habitats'!$X$9,E160-Y160-X160,"None"))</f>
        <v/>
      </c>
      <c r="AJ160" s="55" t="str">
        <f>IF(Q160="","",IF(Q160='G-1 All Habitats'!$X$9,AI160*G160*I160*L160*N160*P160,"None"))</f>
        <v/>
      </c>
      <c r="AK160" s="30" t="str">
        <f>IFERROR(INDEX('G-7 WaterC'' Data'!$AZ$3:$AZ$7,MATCH(D160,'G-7 WaterC'' Data'!$AY$3:$AY$7,0)),"")</f>
        <v/>
      </c>
      <c r="AL160" s="30">
        <f t="shared" si="31"/>
        <v>0</v>
      </c>
      <c r="AM160" s="107" t="str">
        <f t="shared" si="32"/>
        <v/>
      </c>
      <c r="AN160" s="107" t="str">
        <f t="shared" si="33"/>
        <v/>
      </c>
      <c r="AP160" s="107">
        <v>151</v>
      </c>
      <c r="AR160" s="107" t="str">
        <f t="array" ref="AR160">IFERROR(INDEX($AP$10:$AP$258,MATCH(0,IF(TRUE=$AM$10:$AM$258,COUNTIF($AR$9:$AR159,$AP$10:$AP$258),""),0)),"")</f>
        <v/>
      </c>
      <c r="AS160" s="107" t="str">
        <f t="array" ref="AS160">IFERROR(INDEX($AP$10:$AP$258,MATCH(0,IF(TRUE=$AN$10:$AN$258,COUNTIF($AS$9:$AS159,$AP$10:$AP$258),""),0)),"")</f>
        <v/>
      </c>
      <c r="AT160" s="885" t="str">
        <f>IF(AND(OR(AD160="Yes",AD160="Pending"),Q160='G-7 WaterC'' Data'!$G$4),U160-AA160-Z160,"0")</f>
        <v>0</v>
      </c>
      <c r="AU160" s="30" t="str">
        <f>IF(D160="","",VLOOKUP(D160,'G-7 WaterC'' Data'!B$4:M$8,12,FALSE))</f>
        <v/>
      </c>
      <c r="AV160" s="30" t="str">
        <f t="shared" si="24"/>
        <v/>
      </c>
      <c r="AW160" s="30" t="str">
        <f t="shared" si="34"/>
        <v>No</v>
      </c>
      <c r="BA160" s="555" t="str">
        <f t="shared" si="35"/>
        <v/>
      </c>
    </row>
    <row r="161" spans="3:53" ht="14.5" thickBot="1">
      <c r="C161" s="97">
        <v>152</v>
      </c>
      <c r="D161" s="263"/>
      <c r="E161" s="104"/>
      <c r="F161" s="275" t="str">
        <f>IF(D161="","",VLOOKUP(D161,'G-7 WaterC'' Data'!$B$2:$G$8,2,FALSE))</f>
        <v/>
      </c>
      <c r="G161" s="314" t="str">
        <f>IFERROR(VLOOKUP(F161,'G-7 WaterC'' Data'!$C$4:$D$8,2,FALSE),"")</f>
        <v/>
      </c>
      <c r="H161" s="105"/>
      <c r="I161" s="299" t="str">
        <f>IFERROR(INDEX('G-7 WaterC'' Data'!$H$4:$L$8,MATCH(D161,'G-7 WaterC'' Data'!$B$4:$B$8,0),MATCH(H161,'G-7 WaterC'' Data'!$H$3:$L$3,0)),"")</f>
        <v/>
      </c>
      <c r="J161" s="702"/>
      <c r="K161" s="295" t="str">
        <f>IF(J161="","",IF(VLOOKUP(J161,'G-7 WaterC'' Data'!$AK$4:$AM$9,2,FALSE)=0,"Spatial Data Missing ⚠",VLOOKUP(J161,'G-7 WaterC'' Data'!$AK$4:$AM$6,2,FALSE)))</f>
        <v/>
      </c>
      <c r="L161" s="299" t="str">
        <f>IF(J161="","",IF(VLOOKUP(J161,'G-7 WaterC'' Data'!$AK$4:$AM$9,3,FALSE)=0,"Spatial Data Missing ⚠",VLOOKUP(J161,'G-7 WaterC'' Data'!$AK$4:$AM$6,3,FALSE)))</f>
        <v/>
      </c>
      <c r="M161" s="102"/>
      <c r="N161" s="276" t="str">
        <f>IF(M161="","",IF(AND(M161="N/A - Culvert",D161&lt;&gt;"Culvert"),"Not possible ▲",IF(AND(D161="Culvert",M161&lt;&gt;"N/A - Culvert"),"Not possible ▲",IF(VLOOKUP(M161,'G-7 WaterC'' Data'!$AA$4:$AB$7,2,FALSE)=0,"Spatial Data Missing ⚠",VLOOKUP(M161,'G-7 WaterC'' Data'!$AA$4:$AB$7,2,FALSE)))))</f>
        <v/>
      </c>
      <c r="O161" s="56"/>
      <c r="P161" s="276" t="str">
        <f>IF(O161="","",IF(AND(O161="N/A - Culvert",D161&lt;&gt;"Culvert"),"Not possible ▲",IF(AND(D161="Culvert",O161&lt;&gt;"N/A - Culvert"),"Not possible ▲",IF(VLOOKUP(O161,'G-7 WaterC'' Data'!$AD$4:$AE$14,2,FALSE)=0,"Spatial Data Missing ⚠",VLOOKUP(O161,'G-7 WaterC'' Data'!$AD$4:$AE$14,2,FALSE)))))</f>
        <v/>
      </c>
      <c r="Q161" s="282" t="str">
        <f>IF(D161="","",VLOOKUP(D161,'G-7 WaterC'' Data'!$B$4:$G$8,6,FALSE))</f>
        <v/>
      </c>
      <c r="R161" s="289" t="str">
        <f t="shared" si="25"/>
        <v xml:space="preserve"> </v>
      </c>
      <c r="S161" s="393"/>
      <c r="T161" s="281" t="str">
        <f>IF(S161="","",IF(VLOOKUP(S161,'G-7 WaterC'' Data'!$AO$4:$BO$7,2,FALSE)=0,"Spatial Data Missing ⚠",VLOOKUP(S161,'G-7 WaterC'' Data'!$AO$4:$BO$7,2,FALSE)))</f>
        <v/>
      </c>
      <c r="U161" s="289" t="str">
        <f t="shared" si="26"/>
        <v xml:space="preserve"> </v>
      </c>
      <c r="V161" s="694" t="str">
        <f t="shared" si="27"/>
        <v/>
      </c>
      <c r="W161" s="32"/>
      <c r="X161" s="101"/>
      <c r="Y161" s="108"/>
      <c r="Z161" s="287" t="str">
        <f t="shared" si="28"/>
        <v/>
      </c>
      <c r="AA161" s="287" t="str">
        <f t="shared" si="29"/>
        <v/>
      </c>
      <c r="AB161" s="287" t="str">
        <f t="shared" si="30"/>
        <v/>
      </c>
      <c r="AC161" s="491" t="str">
        <f>IFERROR(IF(OR(E161="",R161=""),"",IF(AND(AB161&lt;&gt;"",S161=""),"Spatial risk category missing ▲",IF(AND(Q161='G-7 WaterC'' Data'!$G$4,AD161="Yes"),"Alternative Compensation ✓",IF(AND(AD161="Pending",Q161='G-7 WaterC'' Data'!$G$4),"Bespoke compensation must be agreed ▲",IF((Z161+AA161)&gt;=U161,0,U161-Z161-AA161))))),"Check Data ⚠")</f>
        <v/>
      </c>
      <c r="AD161" s="393"/>
      <c r="AE161" s="105"/>
      <c r="AF161" s="104"/>
      <c r="AG161" s="104"/>
      <c r="AH161" s="104"/>
      <c r="AI161" s="54" t="str">
        <f>IF(OR(Q161="",AD161="Yes"),"",IF(Q161='G-1 All Habitats'!$X$9,E161-Y161-X161,"None"))</f>
        <v/>
      </c>
      <c r="AJ161" s="55" t="str">
        <f>IF(Q161="","",IF(Q161='G-1 All Habitats'!$X$9,AI161*G161*I161*L161*N161*P161,"None"))</f>
        <v/>
      </c>
      <c r="AK161" s="30" t="str">
        <f>IFERROR(INDEX('G-7 WaterC'' Data'!$AZ$3:$AZ$7,MATCH(D161,'G-7 WaterC'' Data'!$AY$3:$AY$7,0)),"")</f>
        <v/>
      </c>
      <c r="AL161" s="30">
        <f t="shared" si="31"/>
        <v>0</v>
      </c>
      <c r="AM161" s="107" t="str">
        <f t="shared" si="32"/>
        <v/>
      </c>
      <c r="AN161" s="107" t="str">
        <f t="shared" si="33"/>
        <v/>
      </c>
      <c r="AP161" s="107">
        <v>152</v>
      </c>
      <c r="AR161" s="107" t="str">
        <f t="array" ref="AR161">IFERROR(INDEX($AP$10:$AP$258,MATCH(0,IF(TRUE=$AM$10:$AM$258,COUNTIF($AR$9:$AR160,$AP$10:$AP$258),""),0)),"")</f>
        <v/>
      </c>
      <c r="AS161" s="107" t="str">
        <f t="array" ref="AS161">IFERROR(INDEX($AP$10:$AP$258,MATCH(0,IF(TRUE=$AN$10:$AN$258,COUNTIF($AS$9:$AS160,$AP$10:$AP$258),""),0)),"")</f>
        <v/>
      </c>
      <c r="AT161" s="885" t="str">
        <f>IF(AND(OR(AD161="Yes",AD161="Pending"),Q161='G-7 WaterC'' Data'!$G$4),U161-AA161-Z161,"0")</f>
        <v>0</v>
      </c>
      <c r="AU161" s="30" t="str">
        <f>IF(D161="","",VLOOKUP(D161,'G-7 WaterC'' Data'!B$4:M$8,12,FALSE))</f>
        <v/>
      </c>
      <c r="AV161" s="30" t="str">
        <f t="shared" si="24"/>
        <v/>
      </c>
      <c r="AW161" s="30" t="str">
        <f t="shared" si="34"/>
        <v>No</v>
      </c>
      <c r="BA161" s="555" t="str">
        <f t="shared" si="35"/>
        <v/>
      </c>
    </row>
    <row r="162" spans="3:53" ht="14.5" thickBot="1">
      <c r="C162" s="97">
        <v>153</v>
      </c>
      <c r="D162" s="263"/>
      <c r="E162" s="104"/>
      <c r="F162" s="275" t="str">
        <f>IF(D162="","",VLOOKUP(D162,'G-7 WaterC'' Data'!$B$2:$G$8,2,FALSE))</f>
        <v/>
      </c>
      <c r="G162" s="314" t="str">
        <f>IFERROR(VLOOKUP(F162,'G-7 WaterC'' Data'!$C$4:$D$8,2,FALSE),"")</f>
        <v/>
      </c>
      <c r="H162" s="105"/>
      <c r="I162" s="299" t="str">
        <f>IFERROR(INDEX('G-7 WaterC'' Data'!$H$4:$L$8,MATCH(D162,'G-7 WaterC'' Data'!$B$4:$B$8,0),MATCH(H162,'G-7 WaterC'' Data'!$H$3:$L$3,0)),"")</f>
        <v/>
      </c>
      <c r="J162" s="702"/>
      <c r="K162" s="295" t="str">
        <f>IF(J162="","",IF(VLOOKUP(J162,'G-7 WaterC'' Data'!$AK$4:$AM$9,2,FALSE)=0,"Spatial Data Missing ⚠",VLOOKUP(J162,'G-7 WaterC'' Data'!$AK$4:$AM$6,2,FALSE)))</f>
        <v/>
      </c>
      <c r="L162" s="299" t="str">
        <f>IF(J162="","",IF(VLOOKUP(J162,'G-7 WaterC'' Data'!$AK$4:$AM$9,3,FALSE)=0,"Spatial Data Missing ⚠",VLOOKUP(J162,'G-7 WaterC'' Data'!$AK$4:$AM$6,3,FALSE)))</f>
        <v/>
      </c>
      <c r="M162" s="102"/>
      <c r="N162" s="276" t="str">
        <f>IF(M162="","",IF(AND(M162="N/A - Culvert",D162&lt;&gt;"Culvert"),"Not possible ▲",IF(AND(D162="Culvert",M162&lt;&gt;"N/A - Culvert"),"Not possible ▲",IF(VLOOKUP(M162,'G-7 WaterC'' Data'!$AA$4:$AB$7,2,FALSE)=0,"Spatial Data Missing ⚠",VLOOKUP(M162,'G-7 WaterC'' Data'!$AA$4:$AB$7,2,FALSE)))))</f>
        <v/>
      </c>
      <c r="O162" s="56"/>
      <c r="P162" s="276" t="str">
        <f>IF(O162="","",IF(AND(O162="N/A - Culvert",D162&lt;&gt;"Culvert"),"Not possible ▲",IF(AND(D162="Culvert",O162&lt;&gt;"N/A - Culvert"),"Not possible ▲",IF(VLOOKUP(O162,'G-7 WaterC'' Data'!$AD$4:$AE$14,2,FALSE)=0,"Spatial Data Missing ⚠",VLOOKUP(O162,'G-7 WaterC'' Data'!$AD$4:$AE$14,2,FALSE)))))</f>
        <v/>
      </c>
      <c r="Q162" s="282" t="str">
        <f>IF(D162="","",VLOOKUP(D162,'G-7 WaterC'' Data'!$B$4:$G$8,6,FALSE))</f>
        <v/>
      </c>
      <c r="R162" s="289" t="str">
        <f t="shared" si="25"/>
        <v xml:space="preserve"> </v>
      </c>
      <c r="S162" s="393"/>
      <c r="T162" s="281" t="str">
        <f>IF(S162="","",IF(VLOOKUP(S162,'G-7 WaterC'' Data'!$AO$4:$BO$7,2,FALSE)=0,"Spatial Data Missing ⚠",VLOOKUP(S162,'G-7 WaterC'' Data'!$AO$4:$BO$7,2,FALSE)))</f>
        <v/>
      </c>
      <c r="U162" s="289" t="str">
        <f t="shared" si="26"/>
        <v xml:space="preserve"> </v>
      </c>
      <c r="V162" s="694" t="str">
        <f t="shared" si="27"/>
        <v/>
      </c>
      <c r="W162" s="32"/>
      <c r="X162" s="101"/>
      <c r="Y162" s="108"/>
      <c r="Z162" s="287" t="str">
        <f t="shared" si="28"/>
        <v/>
      </c>
      <c r="AA162" s="287" t="str">
        <f t="shared" si="29"/>
        <v/>
      </c>
      <c r="AB162" s="287" t="str">
        <f t="shared" si="30"/>
        <v/>
      </c>
      <c r="AC162" s="491" t="str">
        <f>IFERROR(IF(OR(E162="",R162=""),"",IF(AND(AB162&lt;&gt;"",S162=""),"Spatial risk category missing ▲",IF(AND(Q162='G-7 WaterC'' Data'!$G$4,AD162="Yes"),"Alternative Compensation ✓",IF(AND(AD162="Pending",Q162='G-7 WaterC'' Data'!$G$4),"Bespoke compensation must be agreed ▲",IF((Z162+AA162)&gt;=U162,0,U162-Z162-AA162))))),"Check Data ⚠")</f>
        <v/>
      </c>
      <c r="AD162" s="393"/>
      <c r="AE162" s="105"/>
      <c r="AF162" s="104"/>
      <c r="AG162" s="104"/>
      <c r="AH162" s="104"/>
      <c r="AI162" s="54" t="str">
        <f>IF(OR(Q162="",AD162="Yes"),"",IF(Q162='G-1 All Habitats'!$X$9,E162-Y162-X162,"None"))</f>
        <v/>
      </c>
      <c r="AJ162" s="55" t="str">
        <f>IF(Q162="","",IF(Q162='G-1 All Habitats'!$X$9,AI162*G162*I162*L162*N162*P162,"None"))</f>
        <v/>
      </c>
      <c r="AK162" s="30" t="str">
        <f>IFERROR(INDEX('G-7 WaterC'' Data'!$AZ$3:$AZ$7,MATCH(D162,'G-7 WaterC'' Data'!$AY$3:$AY$7,0)),"")</f>
        <v/>
      </c>
      <c r="AL162" s="30">
        <f t="shared" si="31"/>
        <v>0</v>
      </c>
      <c r="AM162" s="107" t="str">
        <f t="shared" si="32"/>
        <v/>
      </c>
      <c r="AN162" s="107" t="str">
        <f t="shared" si="33"/>
        <v/>
      </c>
      <c r="AP162" s="107">
        <v>153</v>
      </c>
      <c r="AR162" s="107" t="str">
        <f t="array" ref="AR162">IFERROR(INDEX($AP$10:$AP$258,MATCH(0,IF(TRUE=$AM$10:$AM$258,COUNTIF($AR$9:$AR161,$AP$10:$AP$258),""),0)),"")</f>
        <v/>
      </c>
      <c r="AS162" s="107" t="str">
        <f t="array" ref="AS162">IFERROR(INDEX($AP$10:$AP$258,MATCH(0,IF(TRUE=$AN$10:$AN$258,COUNTIF($AS$9:$AS161,$AP$10:$AP$258),""),0)),"")</f>
        <v/>
      </c>
      <c r="AT162" s="885" t="str">
        <f>IF(AND(OR(AD162="Yes",AD162="Pending"),Q162='G-7 WaterC'' Data'!$G$4),U162-AA162-Z162,"0")</f>
        <v>0</v>
      </c>
      <c r="AU162" s="30" t="str">
        <f>IF(D162="","",VLOOKUP(D162,'G-7 WaterC'' Data'!B$4:M$8,12,FALSE))</f>
        <v/>
      </c>
      <c r="AV162" s="30" t="str">
        <f t="shared" si="24"/>
        <v/>
      </c>
      <c r="AW162" s="30" t="str">
        <f t="shared" si="34"/>
        <v>No</v>
      </c>
      <c r="BA162" s="555" t="str">
        <f t="shared" si="35"/>
        <v/>
      </c>
    </row>
    <row r="163" spans="3:53" ht="14.5" thickBot="1">
      <c r="C163" s="97">
        <v>154</v>
      </c>
      <c r="D163" s="263"/>
      <c r="E163" s="104"/>
      <c r="F163" s="275" t="str">
        <f>IF(D163="","",VLOOKUP(D163,'G-7 WaterC'' Data'!$B$2:$G$8,2,FALSE))</f>
        <v/>
      </c>
      <c r="G163" s="314" t="str">
        <f>IFERROR(VLOOKUP(F163,'G-7 WaterC'' Data'!$C$4:$D$8,2,FALSE),"")</f>
        <v/>
      </c>
      <c r="H163" s="105"/>
      <c r="I163" s="299" t="str">
        <f>IFERROR(INDEX('G-7 WaterC'' Data'!$H$4:$L$8,MATCH(D163,'G-7 WaterC'' Data'!$B$4:$B$8,0),MATCH(H163,'G-7 WaterC'' Data'!$H$3:$L$3,0)),"")</f>
        <v/>
      </c>
      <c r="J163" s="702"/>
      <c r="K163" s="295" t="str">
        <f>IF(J163="","",IF(VLOOKUP(J163,'G-7 WaterC'' Data'!$AK$4:$AM$9,2,FALSE)=0,"Spatial Data Missing ⚠",VLOOKUP(J163,'G-7 WaterC'' Data'!$AK$4:$AM$6,2,FALSE)))</f>
        <v/>
      </c>
      <c r="L163" s="299" t="str">
        <f>IF(J163="","",IF(VLOOKUP(J163,'G-7 WaterC'' Data'!$AK$4:$AM$9,3,FALSE)=0,"Spatial Data Missing ⚠",VLOOKUP(J163,'G-7 WaterC'' Data'!$AK$4:$AM$6,3,FALSE)))</f>
        <v/>
      </c>
      <c r="M163" s="102"/>
      <c r="N163" s="276" t="str">
        <f>IF(M163="","",IF(AND(M163="N/A - Culvert",D163&lt;&gt;"Culvert"),"Not possible ▲",IF(AND(D163="Culvert",M163&lt;&gt;"N/A - Culvert"),"Not possible ▲",IF(VLOOKUP(M163,'G-7 WaterC'' Data'!$AA$4:$AB$7,2,FALSE)=0,"Spatial Data Missing ⚠",VLOOKUP(M163,'G-7 WaterC'' Data'!$AA$4:$AB$7,2,FALSE)))))</f>
        <v/>
      </c>
      <c r="O163" s="56"/>
      <c r="P163" s="276" t="str">
        <f>IF(O163="","",IF(AND(O163="N/A - Culvert",D163&lt;&gt;"Culvert"),"Not possible ▲",IF(AND(D163="Culvert",O163&lt;&gt;"N/A - Culvert"),"Not possible ▲",IF(VLOOKUP(O163,'G-7 WaterC'' Data'!$AD$4:$AE$14,2,FALSE)=0,"Spatial Data Missing ⚠",VLOOKUP(O163,'G-7 WaterC'' Data'!$AD$4:$AE$14,2,FALSE)))))</f>
        <v/>
      </c>
      <c r="Q163" s="282" t="str">
        <f>IF(D163="","",VLOOKUP(D163,'G-7 WaterC'' Data'!$B$4:$G$8,6,FALSE))</f>
        <v/>
      </c>
      <c r="R163" s="289" t="str">
        <f t="shared" si="25"/>
        <v xml:space="preserve"> </v>
      </c>
      <c r="S163" s="393"/>
      <c r="T163" s="281" t="str">
        <f>IF(S163="","",IF(VLOOKUP(S163,'G-7 WaterC'' Data'!$AO$4:$BO$7,2,FALSE)=0,"Spatial Data Missing ⚠",VLOOKUP(S163,'G-7 WaterC'' Data'!$AO$4:$BO$7,2,FALSE)))</f>
        <v/>
      </c>
      <c r="U163" s="289" t="str">
        <f t="shared" si="26"/>
        <v xml:space="preserve"> </v>
      </c>
      <c r="V163" s="694" t="str">
        <f t="shared" si="27"/>
        <v/>
      </c>
      <c r="W163" s="32"/>
      <c r="X163" s="101"/>
      <c r="Y163" s="108"/>
      <c r="Z163" s="287" t="str">
        <f t="shared" si="28"/>
        <v/>
      </c>
      <c r="AA163" s="287" t="str">
        <f t="shared" si="29"/>
        <v/>
      </c>
      <c r="AB163" s="287" t="str">
        <f t="shared" si="30"/>
        <v/>
      </c>
      <c r="AC163" s="491" t="str">
        <f>IFERROR(IF(OR(E163="",R163=""),"",IF(AND(AB163&lt;&gt;"",S163=""),"Spatial risk category missing ▲",IF(AND(Q163='G-7 WaterC'' Data'!$G$4,AD163="Yes"),"Alternative Compensation ✓",IF(AND(AD163="Pending",Q163='G-7 WaterC'' Data'!$G$4),"Bespoke compensation must be agreed ▲",IF((Z163+AA163)&gt;=U163,0,U163-Z163-AA163))))),"Check Data ⚠")</f>
        <v/>
      </c>
      <c r="AD163" s="393"/>
      <c r="AE163" s="105"/>
      <c r="AF163" s="104"/>
      <c r="AG163" s="104"/>
      <c r="AH163" s="104"/>
      <c r="AI163" s="54" t="str">
        <f>IF(OR(Q163="",AD163="Yes"),"",IF(Q163='G-1 All Habitats'!$X$9,E163-Y163-X163,"None"))</f>
        <v/>
      </c>
      <c r="AJ163" s="55" t="str">
        <f>IF(Q163="","",IF(Q163='G-1 All Habitats'!$X$9,AI163*G163*I163*L163*N163*P163,"None"))</f>
        <v/>
      </c>
      <c r="AK163" s="30" t="str">
        <f>IFERROR(INDEX('G-7 WaterC'' Data'!$AZ$3:$AZ$7,MATCH(D163,'G-7 WaterC'' Data'!$AY$3:$AY$7,0)),"")</f>
        <v/>
      </c>
      <c r="AL163" s="30">
        <f t="shared" si="31"/>
        <v>0</v>
      </c>
      <c r="AM163" s="107" t="str">
        <f t="shared" si="32"/>
        <v/>
      </c>
      <c r="AN163" s="107" t="str">
        <f t="shared" si="33"/>
        <v/>
      </c>
      <c r="AP163" s="107">
        <v>154</v>
      </c>
      <c r="AR163" s="107" t="str">
        <f t="array" ref="AR163">IFERROR(INDEX($AP$10:$AP$258,MATCH(0,IF(TRUE=$AM$10:$AM$258,COUNTIF($AR$9:$AR162,$AP$10:$AP$258),""),0)),"")</f>
        <v/>
      </c>
      <c r="AS163" s="107" t="str">
        <f t="array" ref="AS163">IFERROR(INDEX($AP$10:$AP$258,MATCH(0,IF(TRUE=$AN$10:$AN$258,COUNTIF($AS$9:$AS162,$AP$10:$AP$258),""),0)),"")</f>
        <v/>
      </c>
      <c r="AT163" s="885" t="str">
        <f>IF(AND(OR(AD163="Yes",AD163="Pending"),Q163='G-7 WaterC'' Data'!$G$4),U163-AA163-Z163,"0")</f>
        <v>0</v>
      </c>
      <c r="AU163" s="30" t="str">
        <f>IF(D163="","",VLOOKUP(D163,'G-7 WaterC'' Data'!B$4:M$8,12,FALSE))</f>
        <v/>
      </c>
      <c r="AV163" s="30" t="str">
        <f t="shared" si="24"/>
        <v/>
      </c>
      <c r="AW163" s="30" t="str">
        <f t="shared" si="34"/>
        <v>No</v>
      </c>
      <c r="BA163" s="555" t="str">
        <f t="shared" si="35"/>
        <v/>
      </c>
    </row>
    <row r="164" spans="3:53" ht="14.5" thickBot="1">
      <c r="C164" s="97">
        <v>155</v>
      </c>
      <c r="D164" s="263"/>
      <c r="E164" s="104"/>
      <c r="F164" s="275" t="str">
        <f>IF(D164="","",VLOOKUP(D164,'G-7 WaterC'' Data'!$B$2:$G$8,2,FALSE))</f>
        <v/>
      </c>
      <c r="G164" s="314" t="str">
        <f>IFERROR(VLOOKUP(F164,'G-7 WaterC'' Data'!$C$4:$D$8,2,FALSE),"")</f>
        <v/>
      </c>
      <c r="H164" s="105"/>
      <c r="I164" s="299" t="str">
        <f>IFERROR(INDEX('G-7 WaterC'' Data'!$H$4:$L$8,MATCH(D164,'G-7 WaterC'' Data'!$B$4:$B$8,0),MATCH(H164,'G-7 WaterC'' Data'!$H$3:$L$3,0)),"")</f>
        <v/>
      </c>
      <c r="J164" s="702"/>
      <c r="K164" s="295" t="str">
        <f>IF(J164="","",IF(VLOOKUP(J164,'G-7 WaterC'' Data'!$AK$4:$AM$9,2,FALSE)=0,"Spatial Data Missing ⚠",VLOOKUP(J164,'G-7 WaterC'' Data'!$AK$4:$AM$6,2,FALSE)))</f>
        <v/>
      </c>
      <c r="L164" s="299" t="str">
        <f>IF(J164="","",IF(VLOOKUP(J164,'G-7 WaterC'' Data'!$AK$4:$AM$9,3,FALSE)=0,"Spatial Data Missing ⚠",VLOOKUP(J164,'G-7 WaterC'' Data'!$AK$4:$AM$6,3,FALSE)))</f>
        <v/>
      </c>
      <c r="M164" s="102"/>
      <c r="N164" s="276" t="str">
        <f>IF(M164="","",IF(AND(M164="N/A - Culvert",D164&lt;&gt;"Culvert"),"Not possible ▲",IF(AND(D164="Culvert",M164&lt;&gt;"N/A - Culvert"),"Not possible ▲",IF(VLOOKUP(M164,'G-7 WaterC'' Data'!$AA$4:$AB$7,2,FALSE)=0,"Spatial Data Missing ⚠",VLOOKUP(M164,'G-7 WaterC'' Data'!$AA$4:$AB$7,2,FALSE)))))</f>
        <v/>
      </c>
      <c r="O164" s="56"/>
      <c r="P164" s="276" t="str">
        <f>IF(O164="","",IF(AND(O164="N/A - Culvert",D164&lt;&gt;"Culvert"),"Not possible ▲",IF(AND(D164="Culvert",O164&lt;&gt;"N/A - Culvert"),"Not possible ▲",IF(VLOOKUP(O164,'G-7 WaterC'' Data'!$AD$4:$AE$14,2,FALSE)=0,"Spatial Data Missing ⚠",VLOOKUP(O164,'G-7 WaterC'' Data'!$AD$4:$AE$14,2,FALSE)))))</f>
        <v/>
      </c>
      <c r="Q164" s="282" t="str">
        <f>IF(D164="","",VLOOKUP(D164,'G-7 WaterC'' Data'!$B$4:$G$8,6,FALSE))</f>
        <v/>
      </c>
      <c r="R164" s="289" t="str">
        <f t="shared" si="25"/>
        <v xml:space="preserve"> </v>
      </c>
      <c r="S164" s="393"/>
      <c r="T164" s="281" t="str">
        <f>IF(S164="","",IF(VLOOKUP(S164,'G-7 WaterC'' Data'!$AO$4:$BO$7,2,FALSE)=0,"Spatial Data Missing ⚠",VLOOKUP(S164,'G-7 WaterC'' Data'!$AO$4:$BO$7,2,FALSE)))</f>
        <v/>
      </c>
      <c r="U164" s="289" t="str">
        <f t="shared" si="26"/>
        <v xml:space="preserve"> </v>
      </c>
      <c r="V164" s="694" t="str">
        <f t="shared" si="27"/>
        <v/>
      </c>
      <c r="W164" s="32"/>
      <c r="X164" s="101"/>
      <c r="Y164" s="108"/>
      <c r="Z164" s="287" t="str">
        <f t="shared" si="28"/>
        <v/>
      </c>
      <c r="AA164" s="287" t="str">
        <f t="shared" si="29"/>
        <v/>
      </c>
      <c r="AB164" s="287" t="str">
        <f t="shared" si="30"/>
        <v/>
      </c>
      <c r="AC164" s="491" t="str">
        <f>IFERROR(IF(OR(E164="",R164=""),"",IF(AND(AB164&lt;&gt;"",S164=""),"Spatial risk category missing ▲",IF(AND(Q164='G-7 WaterC'' Data'!$G$4,AD164="Yes"),"Alternative Compensation ✓",IF(AND(AD164="Pending",Q164='G-7 WaterC'' Data'!$G$4),"Bespoke compensation must be agreed ▲",IF((Z164+AA164)&gt;=U164,0,U164-Z164-AA164))))),"Check Data ⚠")</f>
        <v/>
      </c>
      <c r="AD164" s="393"/>
      <c r="AE164" s="105"/>
      <c r="AF164" s="104"/>
      <c r="AG164" s="104"/>
      <c r="AH164" s="104"/>
      <c r="AI164" s="54" t="str">
        <f>IF(OR(Q164="",AD164="Yes"),"",IF(Q164='G-1 All Habitats'!$X$9,E164-Y164-X164,"None"))</f>
        <v/>
      </c>
      <c r="AJ164" s="55" t="str">
        <f>IF(Q164="","",IF(Q164='G-1 All Habitats'!$X$9,AI164*G164*I164*L164*N164*P164,"None"))</f>
        <v/>
      </c>
      <c r="AK164" s="30" t="str">
        <f>IFERROR(INDEX('G-7 WaterC'' Data'!$AZ$3:$AZ$7,MATCH(D164,'G-7 WaterC'' Data'!$AY$3:$AY$7,0)),"")</f>
        <v/>
      </c>
      <c r="AL164" s="30">
        <f t="shared" si="31"/>
        <v>0</v>
      </c>
      <c r="AM164" s="107" t="str">
        <f t="shared" si="32"/>
        <v/>
      </c>
      <c r="AN164" s="107" t="str">
        <f t="shared" si="33"/>
        <v/>
      </c>
      <c r="AP164" s="107">
        <v>155</v>
      </c>
      <c r="AR164" s="107" t="str">
        <f t="array" ref="AR164">IFERROR(INDEX($AP$10:$AP$258,MATCH(0,IF(TRUE=$AM$10:$AM$258,COUNTIF($AR$9:$AR163,$AP$10:$AP$258),""),0)),"")</f>
        <v/>
      </c>
      <c r="AS164" s="107" t="str">
        <f t="array" ref="AS164">IFERROR(INDEX($AP$10:$AP$258,MATCH(0,IF(TRUE=$AN$10:$AN$258,COUNTIF($AS$9:$AS163,$AP$10:$AP$258),""),0)),"")</f>
        <v/>
      </c>
      <c r="AT164" s="885" t="str">
        <f>IF(AND(OR(AD164="Yes",AD164="Pending"),Q164='G-7 WaterC'' Data'!$G$4),U164-AA164-Z164,"0")</f>
        <v>0</v>
      </c>
      <c r="AU164" s="30" t="str">
        <f>IF(D164="","",VLOOKUP(D164,'G-7 WaterC'' Data'!B$4:M$8,12,FALSE))</f>
        <v/>
      </c>
      <c r="AV164" s="30" t="str">
        <f t="shared" si="24"/>
        <v/>
      </c>
      <c r="AW164" s="30" t="str">
        <f t="shared" si="34"/>
        <v>No</v>
      </c>
      <c r="BA164" s="555" t="str">
        <f t="shared" si="35"/>
        <v/>
      </c>
    </row>
    <row r="165" spans="3:53" ht="14.5" thickBot="1">
      <c r="C165" s="97">
        <v>156</v>
      </c>
      <c r="D165" s="263"/>
      <c r="E165" s="104"/>
      <c r="F165" s="275" t="str">
        <f>IF(D165="","",VLOOKUP(D165,'G-7 WaterC'' Data'!$B$2:$G$8,2,FALSE))</f>
        <v/>
      </c>
      <c r="G165" s="314" t="str">
        <f>IFERROR(VLOOKUP(F165,'G-7 WaterC'' Data'!$C$4:$D$8,2,FALSE),"")</f>
        <v/>
      </c>
      <c r="H165" s="105"/>
      <c r="I165" s="299" t="str">
        <f>IFERROR(INDEX('G-7 WaterC'' Data'!$H$4:$L$8,MATCH(D165,'G-7 WaterC'' Data'!$B$4:$B$8,0),MATCH(H165,'G-7 WaterC'' Data'!$H$3:$L$3,0)),"")</f>
        <v/>
      </c>
      <c r="J165" s="702"/>
      <c r="K165" s="295" t="str">
        <f>IF(J165="","",IF(VLOOKUP(J165,'G-7 WaterC'' Data'!$AK$4:$AM$9,2,FALSE)=0,"Spatial Data Missing ⚠",VLOOKUP(J165,'G-7 WaterC'' Data'!$AK$4:$AM$6,2,FALSE)))</f>
        <v/>
      </c>
      <c r="L165" s="299" t="str">
        <f>IF(J165="","",IF(VLOOKUP(J165,'G-7 WaterC'' Data'!$AK$4:$AM$9,3,FALSE)=0,"Spatial Data Missing ⚠",VLOOKUP(J165,'G-7 WaterC'' Data'!$AK$4:$AM$6,3,FALSE)))</f>
        <v/>
      </c>
      <c r="M165" s="102"/>
      <c r="N165" s="276" t="str">
        <f>IF(M165="","",IF(AND(M165="N/A - Culvert",D165&lt;&gt;"Culvert"),"Not possible ▲",IF(AND(D165="Culvert",M165&lt;&gt;"N/A - Culvert"),"Not possible ▲",IF(VLOOKUP(M165,'G-7 WaterC'' Data'!$AA$4:$AB$7,2,FALSE)=0,"Spatial Data Missing ⚠",VLOOKUP(M165,'G-7 WaterC'' Data'!$AA$4:$AB$7,2,FALSE)))))</f>
        <v/>
      </c>
      <c r="O165" s="56"/>
      <c r="P165" s="276" t="str">
        <f>IF(O165="","",IF(AND(O165="N/A - Culvert",D165&lt;&gt;"Culvert"),"Not possible ▲",IF(AND(D165="Culvert",O165&lt;&gt;"N/A - Culvert"),"Not possible ▲",IF(VLOOKUP(O165,'G-7 WaterC'' Data'!$AD$4:$AE$14,2,FALSE)=0,"Spatial Data Missing ⚠",VLOOKUP(O165,'G-7 WaterC'' Data'!$AD$4:$AE$14,2,FALSE)))))</f>
        <v/>
      </c>
      <c r="Q165" s="282" t="str">
        <f>IF(D165="","",VLOOKUP(D165,'G-7 WaterC'' Data'!$B$4:$G$8,6,FALSE))</f>
        <v/>
      </c>
      <c r="R165" s="289" t="str">
        <f t="shared" si="25"/>
        <v xml:space="preserve"> </v>
      </c>
      <c r="S165" s="393"/>
      <c r="T165" s="281" t="str">
        <f>IF(S165="","",IF(VLOOKUP(S165,'G-7 WaterC'' Data'!$AO$4:$BO$7,2,FALSE)=0,"Spatial Data Missing ⚠",VLOOKUP(S165,'G-7 WaterC'' Data'!$AO$4:$BO$7,2,FALSE)))</f>
        <v/>
      </c>
      <c r="U165" s="289" t="str">
        <f t="shared" si="26"/>
        <v xml:space="preserve"> </v>
      </c>
      <c r="V165" s="694" t="str">
        <f t="shared" si="27"/>
        <v/>
      </c>
      <c r="W165" s="32"/>
      <c r="X165" s="101"/>
      <c r="Y165" s="108"/>
      <c r="Z165" s="287" t="str">
        <f t="shared" si="28"/>
        <v/>
      </c>
      <c r="AA165" s="287" t="str">
        <f t="shared" si="29"/>
        <v/>
      </c>
      <c r="AB165" s="287" t="str">
        <f t="shared" si="30"/>
        <v/>
      </c>
      <c r="AC165" s="491" t="str">
        <f>IFERROR(IF(OR(E165="",R165=""),"",IF(AND(AB165&lt;&gt;"",S165=""),"Spatial risk category missing ▲",IF(AND(Q165='G-7 WaterC'' Data'!$G$4,AD165="Yes"),"Alternative Compensation ✓",IF(AND(AD165="Pending",Q165='G-7 WaterC'' Data'!$G$4),"Bespoke compensation must be agreed ▲",IF((Z165+AA165)&gt;=U165,0,U165-Z165-AA165))))),"Check Data ⚠")</f>
        <v/>
      </c>
      <c r="AD165" s="393"/>
      <c r="AE165" s="105"/>
      <c r="AF165" s="104"/>
      <c r="AG165" s="104"/>
      <c r="AH165" s="104"/>
      <c r="AI165" s="54" t="str">
        <f>IF(OR(Q165="",AD165="Yes"),"",IF(Q165='G-1 All Habitats'!$X$9,E165-Y165-X165,"None"))</f>
        <v/>
      </c>
      <c r="AJ165" s="55" t="str">
        <f>IF(Q165="","",IF(Q165='G-1 All Habitats'!$X$9,AI165*G165*I165*L165*N165*P165,"None"))</f>
        <v/>
      </c>
      <c r="AK165" s="30" t="str">
        <f>IFERROR(INDEX('G-7 WaterC'' Data'!$AZ$3:$AZ$7,MATCH(D165,'G-7 WaterC'' Data'!$AY$3:$AY$7,0)),"")</f>
        <v/>
      </c>
      <c r="AL165" s="30">
        <f t="shared" si="31"/>
        <v>0</v>
      </c>
      <c r="AM165" s="107" t="str">
        <f t="shared" si="32"/>
        <v/>
      </c>
      <c r="AN165" s="107" t="str">
        <f t="shared" si="33"/>
        <v/>
      </c>
      <c r="AP165" s="107">
        <v>156</v>
      </c>
      <c r="AR165" s="107" t="str">
        <f t="array" ref="AR165">IFERROR(INDEX($AP$10:$AP$258,MATCH(0,IF(TRUE=$AM$10:$AM$258,COUNTIF($AR$9:$AR164,$AP$10:$AP$258),""),0)),"")</f>
        <v/>
      </c>
      <c r="AS165" s="107" t="str">
        <f t="array" ref="AS165">IFERROR(INDEX($AP$10:$AP$258,MATCH(0,IF(TRUE=$AN$10:$AN$258,COUNTIF($AS$9:$AS164,$AP$10:$AP$258),""),0)),"")</f>
        <v/>
      </c>
      <c r="AT165" s="885" t="str">
        <f>IF(AND(OR(AD165="Yes",AD165="Pending"),Q165='G-7 WaterC'' Data'!$G$4),U165-AA165-Z165,"0")</f>
        <v>0</v>
      </c>
      <c r="AU165" s="30" t="str">
        <f>IF(D165="","",VLOOKUP(D165,'G-7 WaterC'' Data'!B$4:M$8,12,FALSE))</f>
        <v/>
      </c>
      <c r="AV165" s="30" t="str">
        <f t="shared" si="24"/>
        <v/>
      </c>
      <c r="AW165" s="30" t="str">
        <f t="shared" si="34"/>
        <v>No</v>
      </c>
      <c r="BA165" s="555" t="str">
        <f t="shared" si="35"/>
        <v/>
      </c>
    </row>
    <row r="166" spans="3:53" ht="14.5" thickBot="1">
      <c r="C166" s="97">
        <v>157</v>
      </c>
      <c r="D166" s="263"/>
      <c r="E166" s="104"/>
      <c r="F166" s="275" t="str">
        <f>IF(D166="","",VLOOKUP(D166,'G-7 WaterC'' Data'!$B$2:$G$8,2,FALSE))</f>
        <v/>
      </c>
      <c r="G166" s="314" t="str">
        <f>IFERROR(VLOOKUP(F166,'G-7 WaterC'' Data'!$C$4:$D$8,2,FALSE),"")</f>
        <v/>
      </c>
      <c r="H166" s="105"/>
      <c r="I166" s="299" t="str">
        <f>IFERROR(INDEX('G-7 WaterC'' Data'!$H$4:$L$8,MATCH(D166,'G-7 WaterC'' Data'!$B$4:$B$8,0),MATCH(H166,'G-7 WaterC'' Data'!$H$3:$L$3,0)),"")</f>
        <v/>
      </c>
      <c r="J166" s="702"/>
      <c r="K166" s="295" t="str">
        <f>IF(J166="","",IF(VLOOKUP(J166,'G-7 WaterC'' Data'!$AK$4:$AM$9,2,FALSE)=0,"Spatial Data Missing ⚠",VLOOKUP(J166,'G-7 WaterC'' Data'!$AK$4:$AM$6,2,FALSE)))</f>
        <v/>
      </c>
      <c r="L166" s="299" t="str">
        <f>IF(J166="","",IF(VLOOKUP(J166,'G-7 WaterC'' Data'!$AK$4:$AM$9,3,FALSE)=0,"Spatial Data Missing ⚠",VLOOKUP(J166,'G-7 WaterC'' Data'!$AK$4:$AM$6,3,FALSE)))</f>
        <v/>
      </c>
      <c r="M166" s="102"/>
      <c r="N166" s="276" t="str">
        <f>IF(M166="","",IF(AND(M166="N/A - Culvert",D166&lt;&gt;"Culvert"),"Not possible ▲",IF(AND(D166="Culvert",M166&lt;&gt;"N/A - Culvert"),"Not possible ▲",IF(VLOOKUP(M166,'G-7 WaterC'' Data'!$AA$4:$AB$7,2,FALSE)=0,"Spatial Data Missing ⚠",VLOOKUP(M166,'G-7 WaterC'' Data'!$AA$4:$AB$7,2,FALSE)))))</f>
        <v/>
      </c>
      <c r="O166" s="56"/>
      <c r="P166" s="276" t="str">
        <f>IF(O166="","",IF(AND(O166="N/A - Culvert",D166&lt;&gt;"Culvert"),"Not possible ▲",IF(AND(D166="Culvert",O166&lt;&gt;"N/A - Culvert"),"Not possible ▲",IF(VLOOKUP(O166,'G-7 WaterC'' Data'!$AD$4:$AE$14,2,FALSE)=0,"Spatial Data Missing ⚠",VLOOKUP(O166,'G-7 WaterC'' Data'!$AD$4:$AE$14,2,FALSE)))))</f>
        <v/>
      </c>
      <c r="Q166" s="282" t="str">
        <f>IF(D166="","",VLOOKUP(D166,'G-7 WaterC'' Data'!$B$4:$G$8,6,FALSE))</f>
        <v/>
      </c>
      <c r="R166" s="289" t="str">
        <f t="shared" si="25"/>
        <v xml:space="preserve"> </v>
      </c>
      <c r="S166" s="393"/>
      <c r="T166" s="281" t="str">
        <f>IF(S166="","",IF(VLOOKUP(S166,'G-7 WaterC'' Data'!$AO$4:$BO$7,2,FALSE)=0,"Spatial Data Missing ⚠",VLOOKUP(S166,'G-7 WaterC'' Data'!$AO$4:$BO$7,2,FALSE)))</f>
        <v/>
      </c>
      <c r="U166" s="289" t="str">
        <f t="shared" si="26"/>
        <v xml:space="preserve"> </v>
      </c>
      <c r="V166" s="694" t="str">
        <f t="shared" si="27"/>
        <v/>
      </c>
      <c r="W166" s="32"/>
      <c r="X166" s="101"/>
      <c r="Y166" s="108"/>
      <c r="Z166" s="287" t="str">
        <f t="shared" si="28"/>
        <v/>
      </c>
      <c r="AA166" s="287" t="str">
        <f t="shared" si="29"/>
        <v/>
      </c>
      <c r="AB166" s="287" t="str">
        <f t="shared" si="30"/>
        <v/>
      </c>
      <c r="AC166" s="491" t="str">
        <f>IFERROR(IF(OR(E166="",R166=""),"",IF(AND(AB166&lt;&gt;"",S166=""),"Spatial risk category missing ▲",IF(AND(Q166='G-7 WaterC'' Data'!$G$4,AD166="Yes"),"Alternative Compensation ✓",IF(AND(AD166="Pending",Q166='G-7 WaterC'' Data'!$G$4),"Bespoke compensation must be agreed ▲",IF((Z166+AA166)&gt;=U166,0,U166-Z166-AA166))))),"Check Data ⚠")</f>
        <v/>
      </c>
      <c r="AD166" s="393"/>
      <c r="AE166" s="105"/>
      <c r="AF166" s="104"/>
      <c r="AG166" s="104"/>
      <c r="AH166" s="104"/>
      <c r="AI166" s="54" t="str">
        <f>IF(OR(Q166="",AD166="Yes"),"",IF(Q166='G-1 All Habitats'!$X$9,E166-Y166-X166,"None"))</f>
        <v/>
      </c>
      <c r="AJ166" s="55" t="str">
        <f>IF(Q166="","",IF(Q166='G-1 All Habitats'!$X$9,AI166*G166*I166*L166*N166*P166,"None"))</f>
        <v/>
      </c>
      <c r="AK166" s="30" t="str">
        <f>IFERROR(INDEX('G-7 WaterC'' Data'!$AZ$3:$AZ$7,MATCH(D166,'G-7 WaterC'' Data'!$AY$3:$AY$7,0)),"")</f>
        <v/>
      </c>
      <c r="AL166" s="30">
        <f t="shared" si="31"/>
        <v>0</v>
      </c>
      <c r="AM166" s="107" t="str">
        <f t="shared" si="32"/>
        <v/>
      </c>
      <c r="AN166" s="107" t="str">
        <f t="shared" si="33"/>
        <v/>
      </c>
      <c r="AP166" s="107">
        <v>157</v>
      </c>
      <c r="AR166" s="107" t="str">
        <f t="array" ref="AR166">IFERROR(INDEX($AP$10:$AP$258,MATCH(0,IF(TRUE=$AM$10:$AM$258,COUNTIF($AR$9:$AR165,$AP$10:$AP$258),""),0)),"")</f>
        <v/>
      </c>
      <c r="AS166" s="107" t="str">
        <f t="array" ref="AS166">IFERROR(INDEX($AP$10:$AP$258,MATCH(0,IF(TRUE=$AN$10:$AN$258,COUNTIF($AS$9:$AS165,$AP$10:$AP$258),""),0)),"")</f>
        <v/>
      </c>
      <c r="AT166" s="885" t="str">
        <f>IF(AND(OR(AD166="Yes",AD166="Pending"),Q166='G-7 WaterC'' Data'!$G$4),U166-AA166-Z166,"0")</f>
        <v>0</v>
      </c>
      <c r="AU166" s="30" t="str">
        <f>IF(D166="","",VLOOKUP(D166,'G-7 WaterC'' Data'!B$4:M$8,12,FALSE))</f>
        <v/>
      </c>
      <c r="AV166" s="30" t="str">
        <f t="shared" si="24"/>
        <v/>
      </c>
      <c r="AW166" s="30" t="str">
        <f t="shared" si="34"/>
        <v>No</v>
      </c>
      <c r="BA166" s="555" t="str">
        <f t="shared" si="35"/>
        <v/>
      </c>
    </row>
    <row r="167" spans="3:53" ht="14.5" thickBot="1">
      <c r="C167" s="97">
        <v>158</v>
      </c>
      <c r="D167" s="263"/>
      <c r="E167" s="104"/>
      <c r="F167" s="275" t="str">
        <f>IF(D167="","",VLOOKUP(D167,'G-7 WaterC'' Data'!$B$2:$G$8,2,FALSE))</f>
        <v/>
      </c>
      <c r="G167" s="314" t="str">
        <f>IFERROR(VLOOKUP(F167,'G-7 WaterC'' Data'!$C$4:$D$8,2,FALSE),"")</f>
        <v/>
      </c>
      <c r="H167" s="105"/>
      <c r="I167" s="299" t="str">
        <f>IFERROR(INDEX('G-7 WaterC'' Data'!$H$4:$L$8,MATCH(D167,'G-7 WaterC'' Data'!$B$4:$B$8,0),MATCH(H167,'G-7 WaterC'' Data'!$H$3:$L$3,0)),"")</f>
        <v/>
      </c>
      <c r="J167" s="702"/>
      <c r="K167" s="295" t="str">
        <f>IF(J167="","",IF(VLOOKUP(J167,'G-7 WaterC'' Data'!$AK$4:$AM$9,2,FALSE)=0,"Spatial Data Missing ⚠",VLOOKUP(J167,'G-7 WaterC'' Data'!$AK$4:$AM$6,2,FALSE)))</f>
        <v/>
      </c>
      <c r="L167" s="299" t="str">
        <f>IF(J167="","",IF(VLOOKUP(J167,'G-7 WaterC'' Data'!$AK$4:$AM$9,3,FALSE)=0,"Spatial Data Missing ⚠",VLOOKUP(J167,'G-7 WaterC'' Data'!$AK$4:$AM$6,3,FALSE)))</f>
        <v/>
      </c>
      <c r="M167" s="102"/>
      <c r="N167" s="276" t="str">
        <f>IF(M167="","",IF(AND(M167="N/A - Culvert",D167&lt;&gt;"Culvert"),"Not possible ▲",IF(AND(D167="Culvert",M167&lt;&gt;"N/A - Culvert"),"Not possible ▲",IF(VLOOKUP(M167,'G-7 WaterC'' Data'!$AA$4:$AB$7,2,FALSE)=0,"Spatial Data Missing ⚠",VLOOKUP(M167,'G-7 WaterC'' Data'!$AA$4:$AB$7,2,FALSE)))))</f>
        <v/>
      </c>
      <c r="O167" s="56"/>
      <c r="P167" s="276" t="str">
        <f>IF(O167="","",IF(AND(O167="N/A - Culvert",D167&lt;&gt;"Culvert"),"Not possible ▲",IF(AND(D167="Culvert",O167&lt;&gt;"N/A - Culvert"),"Not possible ▲",IF(VLOOKUP(O167,'G-7 WaterC'' Data'!$AD$4:$AE$14,2,FALSE)=0,"Spatial Data Missing ⚠",VLOOKUP(O167,'G-7 WaterC'' Data'!$AD$4:$AE$14,2,FALSE)))))</f>
        <v/>
      </c>
      <c r="Q167" s="282" t="str">
        <f>IF(D167="","",VLOOKUP(D167,'G-7 WaterC'' Data'!$B$4:$G$8,6,FALSE))</f>
        <v/>
      </c>
      <c r="R167" s="289" t="str">
        <f t="shared" si="25"/>
        <v xml:space="preserve"> </v>
      </c>
      <c r="S167" s="393"/>
      <c r="T167" s="281" t="str">
        <f>IF(S167="","",IF(VLOOKUP(S167,'G-7 WaterC'' Data'!$AO$4:$BO$7,2,FALSE)=0,"Spatial Data Missing ⚠",VLOOKUP(S167,'G-7 WaterC'' Data'!$AO$4:$BO$7,2,FALSE)))</f>
        <v/>
      </c>
      <c r="U167" s="289" t="str">
        <f t="shared" si="26"/>
        <v xml:space="preserve"> </v>
      </c>
      <c r="V167" s="694" t="str">
        <f t="shared" si="27"/>
        <v/>
      </c>
      <c r="W167" s="32"/>
      <c r="X167" s="101"/>
      <c r="Y167" s="108"/>
      <c r="Z167" s="287" t="str">
        <f t="shared" si="28"/>
        <v/>
      </c>
      <c r="AA167" s="287" t="str">
        <f t="shared" si="29"/>
        <v/>
      </c>
      <c r="AB167" s="287" t="str">
        <f t="shared" si="30"/>
        <v/>
      </c>
      <c r="AC167" s="491" t="str">
        <f>IFERROR(IF(OR(E167="",R167=""),"",IF(AND(AB167&lt;&gt;"",S167=""),"Spatial risk category missing ▲",IF(AND(Q167='G-7 WaterC'' Data'!$G$4,AD167="Yes"),"Alternative Compensation ✓",IF(AND(AD167="Pending",Q167='G-7 WaterC'' Data'!$G$4),"Bespoke compensation must be agreed ▲",IF((Z167+AA167)&gt;=U167,0,U167-Z167-AA167))))),"Check Data ⚠")</f>
        <v/>
      </c>
      <c r="AD167" s="393"/>
      <c r="AE167" s="105"/>
      <c r="AF167" s="104"/>
      <c r="AG167" s="104"/>
      <c r="AH167" s="104"/>
      <c r="AI167" s="54" t="str">
        <f>IF(OR(Q167="",AD167="Yes"),"",IF(Q167='G-1 All Habitats'!$X$9,E167-Y167-X167,"None"))</f>
        <v/>
      </c>
      <c r="AJ167" s="55" t="str">
        <f>IF(Q167="","",IF(Q167='G-1 All Habitats'!$X$9,AI167*G167*I167*L167*N167*P167,"None"))</f>
        <v/>
      </c>
      <c r="AK167" s="30" t="str">
        <f>IFERROR(INDEX('G-7 WaterC'' Data'!$AZ$3:$AZ$7,MATCH(D167,'G-7 WaterC'' Data'!$AY$3:$AY$7,0)),"")</f>
        <v/>
      </c>
      <c r="AL167" s="30">
        <f t="shared" si="31"/>
        <v>0</v>
      </c>
      <c r="AM167" s="107" t="str">
        <f t="shared" si="32"/>
        <v/>
      </c>
      <c r="AN167" s="107" t="str">
        <f t="shared" si="33"/>
        <v/>
      </c>
      <c r="AP167" s="107">
        <v>158</v>
      </c>
      <c r="AR167" s="107" t="str">
        <f t="array" ref="AR167">IFERROR(INDEX($AP$10:$AP$258,MATCH(0,IF(TRUE=$AM$10:$AM$258,COUNTIF($AR$9:$AR166,$AP$10:$AP$258),""),0)),"")</f>
        <v/>
      </c>
      <c r="AS167" s="107" t="str">
        <f t="array" ref="AS167">IFERROR(INDEX($AP$10:$AP$258,MATCH(0,IF(TRUE=$AN$10:$AN$258,COUNTIF($AS$9:$AS166,$AP$10:$AP$258),""),0)),"")</f>
        <v/>
      </c>
      <c r="AT167" s="885" t="str">
        <f>IF(AND(OR(AD167="Yes",AD167="Pending"),Q167='G-7 WaterC'' Data'!$G$4),U167-AA167-Z167,"0")</f>
        <v>0</v>
      </c>
      <c r="AU167" s="30" t="str">
        <f>IF(D167="","",VLOOKUP(D167,'G-7 WaterC'' Data'!B$4:M$8,12,FALSE))</f>
        <v/>
      </c>
      <c r="AV167" s="30" t="str">
        <f t="shared" si="24"/>
        <v/>
      </c>
      <c r="AW167" s="30" t="str">
        <f t="shared" si="34"/>
        <v>No</v>
      </c>
      <c r="BA167" s="555" t="str">
        <f t="shared" si="35"/>
        <v/>
      </c>
    </row>
    <row r="168" spans="3:53" ht="14.5" thickBot="1">
      <c r="C168" s="97">
        <v>159</v>
      </c>
      <c r="D168" s="263"/>
      <c r="E168" s="104"/>
      <c r="F168" s="275" t="str">
        <f>IF(D168="","",VLOOKUP(D168,'G-7 WaterC'' Data'!$B$2:$G$8,2,FALSE))</f>
        <v/>
      </c>
      <c r="G168" s="314" t="str">
        <f>IFERROR(VLOOKUP(F168,'G-7 WaterC'' Data'!$C$4:$D$8,2,FALSE),"")</f>
        <v/>
      </c>
      <c r="H168" s="105"/>
      <c r="I168" s="299" t="str">
        <f>IFERROR(INDEX('G-7 WaterC'' Data'!$H$4:$L$8,MATCH(D168,'G-7 WaterC'' Data'!$B$4:$B$8,0),MATCH(H168,'G-7 WaterC'' Data'!$H$3:$L$3,0)),"")</f>
        <v/>
      </c>
      <c r="J168" s="702"/>
      <c r="K168" s="295" t="str">
        <f>IF(J168="","",IF(VLOOKUP(J168,'G-7 WaterC'' Data'!$AK$4:$AM$9,2,FALSE)=0,"Spatial Data Missing ⚠",VLOOKUP(J168,'G-7 WaterC'' Data'!$AK$4:$AM$6,2,FALSE)))</f>
        <v/>
      </c>
      <c r="L168" s="299" t="str">
        <f>IF(J168="","",IF(VLOOKUP(J168,'G-7 WaterC'' Data'!$AK$4:$AM$9,3,FALSE)=0,"Spatial Data Missing ⚠",VLOOKUP(J168,'G-7 WaterC'' Data'!$AK$4:$AM$6,3,FALSE)))</f>
        <v/>
      </c>
      <c r="M168" s="102"/>
      <c r="N168" s="276" t="str">
        <f>IF(M168="","",IF(AND(M168="N/A - Culvert",D168&lt;&gt;"Culvert"),"Not possible ▲",IF(AND(D168="Culvert",M168&lt;&gt;"N/A - Culvert"),"Not possible ▲",IF(VLOOKUP(M168,'G-7 WaterC'' Data'!$AA$4:$AB$7,2,FALSE)=0,"Spatial Data Missing ⚠",VLOOKUP(M168,'G-7 WaterC'' Data'!$AA$4:$AB$7,2,FALSE)))))</f>
        <v/>
      </c>
      <c r="O168" s="56"/>
      <c r="P168" s="276" t="str">
        <f>IF(O168="","",IF(AND(O168="N/A - Culvert",D168&lt;&gt;"Culvert"),"Not possible ▲",IF(AND(D168="Culvert",O168&lt;&gt;"N/A - Culvert"),"Not possible ▲",IF(VLOOKUP(O168,'G-7 WaterC'' Data'!$AD$4:$AE$14,2,FALSE)=0,"Spatial Data Missing ⚠",VLOOKUP(O168,'G-7 WaterC'' Data'!$AD$4:$AE$14,2,FALSE)))))</f>
        <v/>
      </c>
      <c r="Q168" s="282" t="str">
        <f>IF(D168="","",VLOOKUP(D168,'G-7 WaterC'' Data'!$B$4:$G$8,6,FALSE))</f>
        <v/>
      </c>
      <c r="R168" s="289" t="str">
        <f t="shared" si="25"/>
        <v xml:space="preserve"> </v>
      </c>
      <c r="S168" s="393"/>
      <c r="T168" s="281" t="str">
        <f>IF(S168="","",IF(VLOOKUP(S168,'G-7 WaterC'' Data'!$AO$4:$BO$7,2,FALSE)=0,"Spatial Data Missing ⚠",VLOOKUP(S168,'G-7 WaterC'' Data'!$AO$4:$BO$7,2,FALSE)))</f>
        <v/>
      </c>
      <c r="U168" s="289" t="str">
        <f t="shared" si="26"/>
        <v xml:space="preserve"> </v>
      </c>
      <c r="V168" s="694" t="str">
        <f t="shared" si="27"/>
        <v/>
      </c>
      <c r="W168" s="32"/>
      <c r="X168" s="101"/>
      <c r="Y168" s="108"/>
      <c r="Z168" s="287" t="str">
        <f t="shared" si="28"/>
        <v/>
      </c>
      <c r="AA168" s="287" t="str">
        <f t="shared" si="29"/>
        <v/>
      </c>
      <c r="AB168" s="287" t="str">
        <f t="shared" si="30"/>
        <v/>
      </c>
      <c r="AC168" s="491" t="str">
        <f>IFERROR(IF(OR(E168="",R168=""),"",IF(AND(AB168&lt;&gt;"",S168=""),"Spatial risk category missing ▲",IF(AND(Q168='G-7 WaterC'' Data'!$G$4,AD168="Yes"),"Alternative Compensation ✓",IF(AND(AD168="Pending",Q168='G-7 WaterC'' Data'!$G$4),"Bespoke compensation must be agreed ▲",IF((Z168+AA168)&gt;=U168,0,U168-Z168-AA168))))),"Check Data ⚠")</f>
        <v/>
      </c>
      <c r="AD168" s="393"/>
      <c r="AE168" s="105"/>
      <c r="AF168" s="104"/>
      <c r="AG168" s="104"/>
      <c r="AH168" s="104"/>
      <c r="AI168" s="54" t="str">
        <f>IF(OR(Q168="",AD168="Yes"),"",IF(Q168='G-1 All Habitats'!$X$9,E168-Y168-X168,"None"))</f>
        <v/>
      </c>
      <c r="AJ168" s="55" t="str">
        <f>IF(Q168="","",IF(Q168='G-1 All Habitats'!$X$9,AI168*G168*I168*L168*N168*P168,"None"))</f>
        <v/>
      </c>
      <c r="AK168" s="30" t="str">
        <f>IFERROR(INDEX('G-7 WaterC'' Data'!$AZ$3:$AZ$7,MATCH(D168,'G-7 WaterC'' Data'!$AY$3:$AY$7,0)),"")</f>
        <v/>
      </c>
      <c r="AL168" s="30">
        <f t="shared" si="31"/>
        <v>0</v>
      </c>
      <c r="AM168" s="107" t="str">
        <f t="shared" si="32"/>
        <v/>
      </c>
      <c r="AN168" s="107" t="str">
        <f t="shared" si="33"/>
        <v/>
      </c>
      <c r="AP168" s="107">
        <v>159</v>
      </c>
      <c r="AR168" s="107" t="str">
        <f t="array" ref="AR168">IFERROR(INDEX($AP$10:$AP$258,MATCH(0,IF(TRUE=$AM$10:$AM$258,COUNTIF($AR$9:$AR167,$AP$10:$AP$258),""),0)),"")</f>
        <v/>
      </c>
      <c r="AS168" s="107" t="str">
        <f t="array" ref="AS168">IFERROR(INDEX($AP$10:$AP$258,MATCH(0,IF(TRUE=$AN$10:$AN$258,COUNTIF($AS$9:$AS167,$AP$10:$AP$258),""),0)),"")</f>
        <v/>
      </c>
      <c r="AT168" s="885" t="str">
        <f>IF(AND(OR(AD168="Yes",AD168="Pending"),Q168='G-7 WaterC'' Data'!$G$4),U168-AA168-Z168,"0")</f>
        <v>0</v>
      </c>
      <c r="AU168" s="30" t="str">
        <f>IF(D168="","",VLOOKUP(D168,'G-7 WaterC'' Data'!B$4:M$8,12,FALSE))</f>
        <v/>
      </c>
      <c r="AV168" s="30" t="str">
        <f t="shared" si="24"/>
        <v/>
      </c>
      <c r="AW168" s="30" t="str">
        <f t="shared" si="34"/>
        <v>No</v>
      </c>
      <c r="BA168" s="555" t="str">
        <f t="shared" si="35"/>
        <v/>
      </c>
    </row>
    <row r="169" spans="3:53" ht="14.5" thickBot="1">
      <c r="C169" s="97">
        <v>160</v>
      </c>
      <c r="D169" s="263"/>
      <c r="E169" s="104"/>
      <c r="F169" s="275" t="str">
        <f>IF(D169="","",VLOOKUP(D169,'G-7 WaterC'' Data'!$B$2:$G$8,2,FALSE))</f>
        <v/>
      </c>
      <c r="G169" s="314" t="str">
        <f>IFERROR(VLOOKUP(F169,'G-7 WaterC'' Data'!$C$4:$D$8,2,FALSE),"")</f>
        <v/>
      </c>
      <c r="H169" s="105"/>
      <c r="I169" s="299" t="str">
        <f>IFERROR(INDEX('G-7 WaterC'' Data'!$H$4:$L$8,MATCH(D169,'G-7 WaterC'' Data'!$B$4:$B$8,0),MATCH(H169,'G-7 WaterC'' Data'!$H$3:$L$3,0)),"")</f>
        <v/>
      </c>
      <c r="J169" s="702"/>
      <c r="K169" s="295" t="str">
        <f>IF(J169="","",IF(VLOOKUP(J169,'G-7 WaterC'' Data'!$AK$4:$AM$9,2,FALSE)=0,"Spatial Data Missing ⚠",VLOOKUP(J169,'G-7 WaterC'' Data'!$AK$4:$AM$6,2,FALSE)))</f>
        <v/>
      </c>
      <c r="L169" s="299" t="str">
        <f>IF(J169="","",IF(VLOOKUP(J169,'G-7 WaterC'' Data'!$AK$4:$AM$9,3,FALSE)=0,"Spatial Data Missing ⚠",VLOOKUP(J169,'G-7 WaterC'' Data'!$AK$4:$AM$6,3,FALSE)))</f>
        <v/>
      </c>
      <c r="M169" s="102"/>
      <c r="N169" s="276" t="str">
        <f>IF(M169="","",IF(AND(M169="N/A - Culvert",D169&lt;&gt;"Culvert"),"Not possible ▲",IF(AND(D169="Culvert",M169&lt;&gt;"N/A - Culvert"),"Not possible ▲",IF(VLOOKUP(M169,'G-7 WaterC'' Data'!$AA$4:$AB$7,2,FALSE)=0,"Spatial Data Missing ⚠",VLOOKUP(M169,'G-7 WaterC'' Data'!$AA$4:$AB$7,2,FALSE)))))</f>
        <v/>
      </c>
      <c r="O169" s="56"/>
      <c r="P169" s="276" t="str">
        <f>IF(O169="","",IF(AND(O169="N/A - Culvert",D169&lt;&gt;"Culvert"),"Not possible ▲",IF(AND(D169="Culvert",O169&lt;&gt;"N/A - Culvert"),"Not possible ▲",IF(VLOOKUP(O169,'G-7 WaterC'' Data'!$AD$4:$AE$14,2,FALSE)=0,"Spatial Data Missing ⚠",VLOOKUP(O169,'G-7 WaterC'' Data'!$AD$4:$AE$14,2,FALSE)))))</f>
        <v/>
      </c>
      <c r="Q169" s="282" t="str">
        <f>IF(D169="","",VLOOKUP(D169,'G-7 WaterC'' Data'!$B$4:$G$8,6,FALSE))</f>
        <v/>
      </c>
      <c r="R169" s="289" t="str">
        <f t="shared" si="25"/>
        <v xml:space="preserve"> </v>
      </c>
      <c r="S169" s="393"/>
      <c r="T169" s="281" t="str">
        <f>IF(S169="","",IF(VLOOKUP(S169,'G-7 WaterC'' Data'!$AO$4:$BO$7,2,FALSE)=0,"Spatial Data Missing ⚠",VLOOKUP(S169,'G-7 WaterC'' Data'!$AO$4:$BO$7,2,FALSE)))</f>
        <v/>
      </c>
      <c r="U169" s="289" t="str">
        <f t="shared" si="26"/>
        <v xml:space="preserve"> </v>
      </c>
      <c r="V169" s="694" t="str">
        <f t="shared" si="27"/>
        <v/>
      </c>
      <c r="W169" s="32"/>
      <c r="X169" s="101"/>
      <c r="Y169" s="108"/>
      <c r="Z169" s="287" t="str">
        <f t="shared" si="28"/>
        <v/>
      </c>
      <c r="AA169" s="287" t="str">
        <f t="shared" si="29"/>
        <v/>
      </c>
      <c r="AB169" s="287" t="str">
        <f t="shared" si="30"/>
        <v/>
      </c>
      <c r="AC169" s="491" t="str">
        <f>IFERROR(IF(OR(E169="",R169=""),"",IF(AND(AB169&lt;&gt;"",S169=""),"Spatial risk category missing ▲",IF(AND(Q169='G-7 WaterC'' Data'!$G$4,AD169="Yes"),"Alternative Compensation ✓",IF(AND(AD169="Pending",Q169='G-7 WaterC'' Data'!$G$4),"Bespoke compensation must be agreed ▲",IF((Z169+AA169)&gt;=U169,0,U169-Z169-AA169))))),"Check Data ⚠")</f>
        <v/>
      </c>
      <c r="AD169" s="393"/>
      <c r="AE169" s="105"/>
      <c r="AF169" s="104"/>
      <c r="AG169" s="104"/>
      <c r="AH169" s="104"/>
      <c r="AI169" s="54" t="str">
        <f>IF(OR(Q169="",AD169="Yes"),"",IF(Q169='G-1 All Habitats'!$X$9,E169-Y169-X169,"None"))</f>
        <v/>
      </c>
      <c r="AJ169" s="55" t="str">
        <f>IF(Q169="","",IF(Q169='G-1 All Habitats'!$X$9,AI169*G169*I169*L169*N169*P169,"None"))</f>
        <v/>
      </c>
      <c r="AK169" s="30" t="str">
        <f>IFERROR(INDEX('G-7 WaterC'' Data'!$AZ$3:$AZ$7,MATCH(D169,'G-7 WaterC'' Data'!$AY$3:$AY$7,0)),"")</f>
        <v/>
      </c>
      <c r="AL169" s="30">
        <f t="shared" si="31"/>
        <v>0</v>
      </c>
      <c r="AM169" s="107" t="str">
        <f t="shared" si="32"/>
        <v/>
      </c>
      <c r="AN169" s="107" t="str">
        <f t="shared" si="33"/>
        <v/>
      </c>
      <c r="AP169" s="107">
        <v>160</v>
      </c>
      <c r="AR169" s="107" t="str">
        <f t="array" ref="AR169">IFERROR(INDEX($AP$10:$AP$258,MATCH(0,IF(TRUE=$AM$10:$AM$258,COUNTIF($AR$9:$AR168,$AP$10:$AP$258),""),0)),"")</f>
        <v/>
      </c>
      <c r="AS169" s="107" t="str">
        <f t="array" ref="AS169">IFERROR(INDEX($AP$10:$AP$258,MATCH(0,IF(TRUE=$AN$10:$AN$258,COUNTIF($AS$9:$AS168,$AP$10:$AP$258),""),0)),"")</f>
        <v/>
      </c>
      <c r="AT169" s="885" t="str">
        <f>IF(AND(OR(AD169="Yes",AD169="Pending"),Q169='G-7 WaterC'' Data'!$G$4),U169-AA169-Z169,"0")</f>
        <v>0</v>
      </c>
      <c r="AU169" s="30" t="str">
        <f>IF(D169="","",VLOOKUP(D169,'G-7 WaterC'' Data'!B$4:M$8,12,FALSE))</f>
        <v/>
      </c>
      <c r="AV169" s="30" t="str">
        <f t="shared" si="24"/>
        <v/>
      </c>
      <c r="AW169" s="30" t="str">
        <f t="shared" si="34"/>
        <v>No</v>
      </c>
      <c r="BA169" s="555" t="str">
        <f t="shared" si="35"/>
        <v/>
      </c>
    </row>
    <row r="170" spans="3:53" ht="14.5" thickBot="1">
      <c r="C170" s="97">
        <v>161</v>
      </c>
      <c r="D170" s="263"/>
      <c r="E170" s="104"/>
      <c r="F170" s="275" t="str">
        <f>IF(D170="","",VLOOKUP(D170,'G-7 WaterC'' Data'!$B$2:$G$8,2,FALSE))</f>
        <v/>
      </c>
      <c r="G170" s="314" t="str">
        <f>IFERROR(VLOOKUP(F170,'G-7 WaterC'' Data'!$C$4:$D$8,2,FALSE),"")</f>
        <v/>
      </c>
      <c r="H170" s="105"/>
      <c r="I170" s="299" t="str">
        <f>IFERROR(INDEX('G-7 WaterC'' Data'!$H$4:$L$8,MATCH(D170,'G-7 WaterC'' Data'!$B$4:$B$8,0),MATCH(H170,'G-7 WaterC'' Data'!$H$3:$L$3,0)),"")</f>
        <v/>
      </c>
      <c r="J170" s="702"/>
      <c r="K170" s="295" t="str">
        <f>IF(J170="","",IF(VLOOKUP(J170,'G-7 WaterC'' Data'!$AK$4:$AM$9,2,FALSE)=0,"Spatial Data Missing ⚠",VLOOKUP(J170,'G-7 WaterC'' Data'!$AK$4:$AM$6,2,FALSE)))</f>
        <v/>
      </c>
      <c r="L170" s="299" t="str">
        <f>IF(J170="","",IF(VLOOKUP(J170,'G-7 WaterC'' Data'!$AK$4:$AM$9,3,FALSE)=0,"Spatial Data Missing ⚠",VLOOKUP(J170,'G-7 WaterC'' Data'!$AK$4:$AM$6,3,FALSE)))</f>
        <v/>
      </c>
      <c r="M170" s="102"/>
      <c r="N170" s="276" t="str">
        <f>IF(M170="","",IF(AND(M170="N/A - Culvert",D170&lt;&gt;"Culvert"),"Not possible ▲",IF(AND(D170="Culvert",M170&lt;&gt;"N/A - Culvert"),"Not possible ▲",IF(VLOOKUP(M170,'G-7 WaterC'' Data'!$AA$4:$AB$7,2,FALSE)=0,"Spatial Data Missing ⚠",VLOOKUP(M170,'G-7 WaterC'' Data'!$AA$4:$AB$7,2,FALSE)))))</f>
        <v/>
      </c>
      <c r="O170" s="56"/>
      <c r="P170" s="276" t="str">
        <f>IF(O170="","",IF(AND(O170="N/A - Culvert",D170&lt;&gt;"Culvert"),"Not possible ▲",IF(AND(D170="Culvert",O170&lt;&gt;"N/A - Culvert"),"Not possible ▲",IF(VLOOKUP(O170,'G-7 WaterC'' Data'!$AD$4:$AE$14,2,FALSE)=0,"Spatial Data Missing ⚠",VLOOKUP(O170,'G-7 WaterC'' Data'!$AD$4:$AE$14,2,FALSE)))))</f>
        <v/>
      </c>
      <c r="Q170" s="282" t="str">
        <f>IF(D170="","",VLOOKUP(D170,'G-7 WaterC'' Data'!$B$4:$G$8,6,FALSE))</f>
        <v/>
      </c>
      <c r="R170" s="289" t="str">
        <f t="shared" si="25"/>
        <v xml:space="preserve"> </v>
      </c>
      <c r="S170" s="393"/>
      <c r="T170" s="281" t="str">
        <f>IF(S170="","",IF(VLOOKUP(S170,'G-7 WaterC'' Data'!$AO$4:$BO$7,2,FALSE)=0,"Spatial Data Missing ⚠",VLOOKUP(S170,'G-7 WaterC'' Data'!$AO$4:$BO$7,2,FALSE)))</f>
        <v/>
      </c>
      <c r="U170" s="289" t="str">
        <f t="shared" si="26"/>
        <v xml:space="preserve"> </v>
      </c>
      <c r="V170" s="694" t="str">
        <f t="shared" si="27"/>
        <v/>
      </c>
      <c r="W170" s="32"/>
      <c r="X170" s="101"/>
      <c r="Y170" s="108"/>
      <c r="Z170" s="287" t="str">
        <f t="shared" si="28"/>
        <v/>
      </c>
      <c r="AA170" s="287" t="str">
        <f t="shared" si="29"/>
        <v/>
      </c>
      <c r="AB170" s="287" t="str">
        <f t="shared" si="30"/>
        <v/>
      </c>
      <c r="AC170" s="491" t="str">
        <f>IFERROR(IF(OR(E170="",R170=""),"",IF(AND(AB170&lt;&gt;"",S170=""),"Spatial risk category missing ▲",IF(AND(Q170='G-7 WaterC'' Data'!$G$4,AD170="Yes"),"Alternative Compensation ✓",IF(AND(AD170="Pending",Q170='G-7 WaterC'' Data'!$G$4),"Bespoke compensation must be agreed ▲",IF((Z170+AA170)&gt;=U170,0,U170-Z170-AA170))))),"Check Data ⚠")</f>
        <v/>
      </c>
      <c r="AD170" s="393"/>
      <c r="AE170" s="105"/>
      <c r="AF170" s="104"/>
      <c r="AG170" s="104"/>
      <c r="AH170" s="104"/>
      <c r="AI170" s="54" t="str">
        <f>IF(OR(Q170="",AD170="Yes"),"",IF(Q170='G-1 All Habitats'!$X$9,E170-Y170-X170,"None"))</f>
        <v/>
      </c>
      <c r="AJ170" s="55" t="str">
        <f>IF(Q170="","",IF(Q170='G-1 All Habitats'!$X$9,AI170*G170*I170*L170*N170*P170,"None"))</f>
        <v/>
      </c>
      <c r="AK170" s="30" t="str">
        <f>IFERROR(INDEX('G-7 WaterC'' Data'!$AZ$3:$AZ$7,MATCH(D170,'G-7 WaterC'' Data'!$AY$3:$AY$7,0)),"")</f>
        <v/>
      </c>
      <c r="AL170" s="30">
        <f t="shared" si="31"/>
        <v>0</v>
      </c>
      <c r="AM170" s="107" t="str">
        <f t="shared" si="32"/>
        <v/>
      </c>
      <c r="AN170" s="107" t="str">
        <f t="shared" si="33"/>
        <v/>
      </c>
      <c r="AP170" s="107">
        <v>161</v>
      </c>
      <c r="AR170" s="107" t="str">
        <f t="array" ref="AR170">IFERROR(INDEX($AP$10:$AP$258,MATCH(0,IF(TRUE=$AM$10:$AM$258,COUNTIF($AR$9:$AR169,$AP$10:$AP$258),""),0)),"")</f>
        <v/>
      </c>
      <c r="AS170" s="107" t="str">
        <f t="array" ref="AS170">IFERROR(INDEX($AP$10:$AP$258,MATCH(0,IF(TRUE=$AN$10:$AN$258,COUNTIF($AS$9:$AS169,$AP$10:$AP$258),""),0)),"")</f>
        <v/>
      </c>
      <c r="AT170" s="885" t="str">
        <f>IF(AND(OR(AD170="Yes",AD170="Pending"),Q170='G-7 WaterC'' Data'!$G$4),U170-AA170-Z170,"0")</f>
        <v>0</v>
      </c>
      <c r="AU170" s="30" t="str">
        <f>IF(D170="","",VLOOKUP(D170,'G-7 WaterC'' Data'!B$4:M$8,12,FALSE))</f>
        <v/>
      </c>
      <c r="AV170" s="30" t="str">
        <f t="shared" si="24"/>
        <v/>
      </c>
      <c r="AW170" s="30" t="str">
        <f t="shared" si="34"/>
        <v>No</v>
      </c>
      <c r="BA170" s="555" t="str">
        <f t="shared" si="35"/>
        <v/>
      </c>
    </row>
    <row r="171" spans="3:53" ht="14.5" thickBot="1">
      <c r="C171" s="97">
        <v>162</v>
      </c>
      <c r="D171" s="263"/>
      <c r="E171" s="104"/>
      <c r="F171" s="275" t="str">
        <f>IF(D171="","",VLOOKUP(D171,'G-7 WaterC'' Data'!$B$2:$G$8,2,FALSE))</f>
        <v/>
      </c>
      <c r="G171" s="314" t="str">
        <f>IFERROR(VLOOKUP(F171,'G-7 WaterC'' Data'!$C$4:$D$8,2,FALSE),"")</f>
        <v/>
      </c>
      <c r="H171" s="105"/>
      <c r="I171" s="299" t="str">
        <f>IFERROR(INDEX('G-7 WaterC'' Data'!$H$4:$L$8,MATCH(D171,'G-7 WaterC'' Data'!$B$4:$B$8,0),MATCH(H171,'G-7 WaterC'' Data'!$H$3:$L$3,0)),"")</f>
        <v/>
      </c>
      <c r="J171" s="702"/>
      <c r="K171" s="295" t="str">
        <f>IF(J171="","",IF(VLOOKUP(J171,'G-7 WaterC'' Data'!$AK$4:$AM$9,2,FALSE)=0,"Spatial Data Missing ⚠",VLOOKUP(J171,'G-7 WaterC'' Data'!$AK$4:$AM$6,2,FALSE)))</f>
        <v/>
      </c>
      <c r="L171" s="299" t="str">
        <f>IF(J171="","",IF(VLOOKUP(J171,'G-7 WaterC'' Data'!$AK$4:$AM$9,3,FALSE)=0,"Spatial Data Missing ⚠",VLOOKUP(J171,'G-7 WaterC'' Data'!$AK$4:$AM$6,3,FALSE)))</f>
        <v/>
      </c>
      <c r="M171" s="102"/>
      <c r="N171" s="276" t="str">
        <f>IF(M171="","",IF(AND(M171="N/A - Culvert",D171&lt;&gt;"Culvert"),"Not possible ▲",IF(AND(D171="Culvert",M171&lt;&gt;"N/A - Culvert"),"Not possible ▲",IF(VLOOKUP(M171,'G-7 WaterC'' Data'!$AA$4:$AB$7,2,FALSE)=0,"Spatial Data Missing ⚠",VLOOKUP(M171,'G-7 WaterC'' Data'!$AA$4:$AB$7,2,FALSE)))))</f>
        <v/>
      </c>
      <c r="O171" s="56"/>
      <c r="P171" s="276" t="str">
        <f>IF(O171="","",IF(AND(O171="N/A - Culvert",D171&lt;&gt;"Culvert"),"Not possible ▲",IF(AND(D171="Culvert",O171&lt;&gt;"N/A - Culvert"),"Not possible ▲",IF(VLOOKUP(O171,'G-7 WaterC'' Data'!$AD$4:$AE$14,2,FALSE)=0,"Spatial Data Missing ⚠",VLOOKUP(O171,'G-7 WaterC'' Data'!$AD$4:$AE$14,2,FALSE)))))</f>
        <v/>
      </c>
      <c r="Q171" s="282" t="str">
        <f>IF(D171="","",VLOOKUP(D171,'G-7 WaterC'' Data'!$B$4:$G$8,6,FALSE))</f>
        <v/>
      </c>
      <c r="R171" s="289" t="str">
        <f t="shared" si="25"/>
        <v xml:space="preserve"> </v>
      </c>
      <c r="S171" s="393"/>
      <c r="T171" s="281" t="str">
        <f>IF(S171="","",IF(VLOOKUP(S171,'G-7 WaterC'' Data'!$AO$4:$BO$7,2,FALSE)=0,"Spatial Data Missing ⚠",VLOOKUP(S171,'G-7 WaterC'' Data'!$AO$4:$BO$7,2,FALSE)))</f>
        <v/>
      </c>
      <c r="U171" s="289" t="str">
        <f t="shared" si="26"/>
        <v xml:space="preserve"> </v>
      </c>
      <c r="V171" s="694" t="str">
        <f t="shared" si="27"/>
        <v/>
      </c>
      <c r="W171" s="32"/>
      <c r="X171" s="101"/>
      <c r="Y171" s="108"/>
      <c r="Z171" s="287" t="str">
        <f t="shared" si="28"/>
        <v/>
      </c>
      <c r="AA171" s="287" t="str">
        <f t="shared" si="29"/>
        <v/>
      </c>
      <c r="AB171" s="287" t="str">
        <f t="shared" si="30"/>
        <v/>
      </c>
      <c r="AC171" s="491" t="str">
        <f>IFERROR(IF(OR(E171="",R171=""),"",IF(AND(AB171&lt;&gt;"",S171=""),"Spatial risk category missing ▲",IF(AND(Q171='G-7 WaterC'' Data'!$G$4,AD171="Yes"),"Alternative Compensation ✓",IF(AND(AD171="Pending",Q171='G-7 WaterC'' Data'!$G$4),"Bespoke compensation must be agreed ▲",IF((Z171+AA171)&gt;=U171,0,U171-Z171-AA171))))),"Check Data ⚠")</f>
        <v/>
      </c>
      <c r="AD171" s="393"/>
      <c r="AE171" s="105"/>
      <c r="AF171" s="104"/>
      <c r="AG171" s="104"/>
      <c r="AH171" s="104"/>
      <c r="AI171" s="54" t="str">
        <f>IF(OR(Q171="",AD171="Yes"),"",IF(Q171='G-1 All Habitats'!$X$9,E171-Y171-X171,"None"))</f>
        <v/>
      </c>
      <c r="AJ171" s="55" t="str">
        <f>IF(Q171="","",IF(Q171='G-1 All Habitats'!$X$9,AI171*G171*I171*L171*N171*P171,"None"))</f>
        <v/>
      </c>
      <c r="AK171" s="30" t="str">
        <f>IFERROR(INDEX('G-7 WaterC'' Data'!$AZ$3:$AZ$7,MATCH(D171,'G-7 WaterC'' Data'!$AY$3:$AY$7,0)),"")</f>
        <v/>
      </c>
      <c r="AL171" s="30">
        <f t="shared" si="31"/>
        <v>0</v>
      </c>
      <c r="AM171" s="107" t="str">
        <f t="shared" si="32"/>
        <v/>
      </c>
      <c r="AN171" s="107" t="str">
        <f t="shared" si="33"/>
        <v/>
      </c>
      <c r="AP171" s="107">
        <v>162</v>
      </c>
      <c r="AR171" s="107" t="str">
        <f t="array" ref="AR171">IFERROR(INDEX($AP$10:$AP$258,MATCH(0,IF(TRUE=$AM$10:$AM$258,COUNTIF($AR$9:$AR170,$AP$10:$AP$258),""),0)),"")</f>
        <v/>
      </c>
      <c r="AS171" s="107" t="str">
        <f t="array" ref="AS171">IFERROR(INDEX($AP$10:$AP$258,MATCH(0,IF(TRUE=$AN$10:$AN$258,COUNTIF($AS$9:$AS170,$AP$10:$AP$258),""),0)),"")</f>
        <v/>
      </c>
      <c r="AT171" s="885" t="str">
        <f>IF(AND(OR(AD171="Yes",AD171="Pending"),Q171='G-7 WaterC'' Data'!$G$4),U171-AA171-Z171,"0")</f>
        <v>0</v>
      </c>
      <c r="AU171" s="30" t="str">
        <f>IF(D171="","",VLOOKUP(D171,'G-7 WaterC'' Data'!B$4:M$8,12,FALSE))</f>
        <v/>
      </c>
      <c r="AV171" s="30" t="str">
        <f t="shared" si="24"/>
        <v/>
      </c>
      <c r="AW171" s="30" t="str">
        <f t="shared" si="34"/>
        <v>No</v>
      </c>
      <c r="BA171" s="555" t="str">
        <f t="shared" si="35"/>
        <v/>
      </c>
    </row>
    <row r="172" spans="3:53" ht="14.5" thickBot="1">
      <c r="C172" s="97">
        <v>163</v>
      </c>
      <c r="D172" s="263"/>
      <c r="E172" s="104"/>
      <c r="F172" s="275" t="str">
        <f>IF(D172="","",VLOOKUP(D172,'G-7 WaterC'' Data'!$B$2:$G$8,2,FALSE))</f>
        <v/>
      </c>
      <c r="G172" s="314" t="str">
        <f>IFERROR(VLOOKUP(F172,'G-7 WaterC'' Data'!$C$4:$D$8,2,FALSE),"")</f>
        <v/>
      </c>
      <c r="H172" s="105"/>
      <c r="I172" s="299" t="str">
        <f>IFERROR(INDEX('G-7 WaterC'' Data'!$H$4:$L$8,MATCH(D172,'G-7 WaterC'' Data'!$B$4:$B$8,0),MATCH(H172,'G-7 WaterC'' Data'!$H$3:$L$3,0)),"")</f>
        <v/>
      </c>
      <c r="J172" s="702"/>
      <c r="K172" s="295" t="str">
        <f>IF(J172="","",IF(VLOOKUP(J172,'G-7 WaterC'' Data'!$AK$4:$AM$9,2,FALSE)=0,"Spatial Data Missing ⚠",VLOOKUP(J172,'G-7 WaterC'' Data'!$AK$4:$AM$6,2,FALSE)))</f>
        <v/>
      </c>
      <c r="L172" s="299" t="str">
        <f>IF(J172="","",IF(VLOOKUP(J172,'G-7 WaterC'' Data'!$AK$4:$AM$9,3,FALSE)=0,"Spatial Data Missing ⚠",VLOOKUP(J172,'G-7 WaterC'' Data'!$AK$4:$AM$6,3,FALSE)))</f>
        <v/>
      </c>
      <c r="M172" s="102"/>
      <c r="N172" s="276" t="str">
        <f>IF(M172="","",IF(AND(M172="N/A - Culvert",D172&lt;&gt;"Culvert"),"Not possible ▲",IF(AND(D172="Culvert",M172&lt;&gt;"N/A - Culvert"),"Not possible ▲",IF(VLOOKUP(M172,'G-7 WaterC'' Data'!$AA$4:$AB$7,2,FALSE)=0,"Spatial Data Missing ⚠",VLOOKUP(M172,'G-7 WaterC'' Data'!$AA$4:$AB$7,2,FALSE)))))</f>
        <v/>
      </c>
      <c r="O172" s="56"/>
      <c r="P172" s="276" t="str">
        <f>IF(O172="","",IF(AND(O172="N/A - Culvert",D172&lt;&gt;"Culvert"),"Not possible ▲",IF(AND(D172="Culvert",O172&lt;&gt;"N/A - Culvert"),"Not possible ▲",IF(VLOOKUP(O172,'G-7 WaterC'' Data'!$AD$4:$AE$14,2,FALSE)=0,"Spatial Data Missing ⚠",VLOOKUP(O172,'G-7 WaterC'' Data'!$AD$4:$AE$14,2,FALSE)))))</f>
        <v/>
      </c>
      <c r="Q172" s="282" t="str">
        <f>IF(D172="","",VLOOKUP(D172,'G-7 WaterC'' Data'!$B$4:$G$8,6,FALSE))</f>
        <v/>
      </c>
      <c r="R172" s="289" t="str">
        <f t="shared" si="25"/>
        <v xml:space="preserve"> </v>
      </c>
      <c r="S172" s="393"/>
      <c r="T172" s="281" t="str">
        <f>IF(S172="","",IF(VLOOKUP(S172,'G-7 WaterC'' Data'!$AO$4:$BO$7,2,FALSE)=0,"Spatial Data Missing ⚠",VLOOKUP(S172,'G-7 WaterC'' Data'!$AO$4:$BO$7,2,FALSE)))</f>
        <v/>
      </c>
      <c r="U172" s="289" t="str">
        <f t="shared" si="26"/>
        <v xml:space="preserve"> </v>
      </c>
      <c r="V172" s="694" t="str">
        <f t="shared" si="27"/>
        <v/>
      </c>
      <c r="W172" s="32"/>
      <c r="X172" s="101"/>
      <c r="Y172" s="108"/>
      <c r="Z172" s="287" t="str">
        <f t="shared" si="28"/>
        <v/>
      </c>
      <c r="AA172" s="287" t="str">
        <f t="shared" si="29"/>
        <v/>
      </c>
      <c r="AB172" s="287" t="str">
        <f t="shared" si="30"/>
        <v/>
      </c>
      <c r="AC172" s="491" t="str">
        <f>IFERROR(IF(OR(E172="",R172=""),"",IF(AND(AB172&lt;&gt;"",S172=""),"Spatial risk category missing ▲",IF(AND(Q172='G-7 WaterC'' Data'!$G$4,AD172="Yes"),"Alternative Compensation ✓",IF(AND(AD172="Pending",Q172='G-7 WaterC'' Data'!$G$4),"Bespoke compensation must be agreed ▲",IF((Z172+AA172)&gt;=U172,0,U172-Z172-AA172))))),"Check Data ⚠")</f>
        <v/>
      </c>
      <c r="AD172" s="393"/>
      <c r="AE172" s="105"/>
      <c r="AF172" s="104"/>
      <c r="AG172" s="104"/>
      <c r="AH172" s="104"/>
      <c r="AI172" s="54" t="str">
        <f>IF(OR(Q172="",AD172="Yes"),"",IF(Q172='G-1 All Habitats'!$X$9,E172-Y172-X172,"None"))</f>
        <v/>
      </c>
      <c r="AJ172" s="55" t="str">
        <f>IF(Q172="","",IF(Q172='G-1 All Habitats'!$X$9,AI172*G172*I172*L172*N172*P172,"None"))</f>
        <v/>
      </c>
      <c r="AK172" s="30" t="str">
        <f>IFERROR(INDEX('G-7 WaterC'' Data'!$AZ$3:$AZ$7,MATCH(D172,'G-7 WaterC'' Data'!$AY$3:$AY$7,0)),"")</f>
        <v/>
      </c>
      <c r="AL172" s="30">
        <f t="shared" si="31"/>
        <v>0</v>
      </c>
      <c r="AM172" s="107" t="str">
        <f t="shared" si="32"/>
        <v/>
      </c>
      <c r="AN172" s="107" t="str">
        <f t="shared" si="33"/>
        <v/>
      </c>
      <c r="AP172" s="107">
        <v>163</v>
      </c>
      <c r="AR172" s="107" t="str">
        <f t="array" ref="AR172">IFERROR(INDEX($AP$10:$AP$258,MATCH(0,IF(TRUE=$AM$10:$AM$258,COUNTIF($AR$9:$AR171,$AP$10:$AP$258),""),0)),"")</f>
        <v/>
      </c>
      <c r="AS172" s="107" t="str">
        <f t="array" ref="AS172">IFERROR(INDEX($AP$10:$AP$258,MATCH(0,IF(TRUE=$AN$10:$AN$258,COUNTIF($AS$9:$AS171,$AP$10:$AP$258),""),0)),"")</f>
        <v/>
      </c>
      <c r="AT172" s="885" t="str">
        <f>IF(AND(OR(AD172="Yes",AD172="Pending"),Q172='G-7 WaterC'' Data'!$G$4),U172-AA172-Z172,"0")</f>
        <v>0</v>
      </c>
      <c r="AU172" s="30" t="str">
        <f>IF(D172="","",VLOOKUP(D172,'G-7 WaterC'' Data'!B$4:M$8,12,FALSE))</f>
        <v/>
      </c>
      <c r="AV172" s="30" t="str">
        <f t="shared" si="24"/>
        <v/>
      </c>
      <c r="AW172" s="30" t="str">
        <f t="shared" si="34"/>
        <v>No</v>
      </c>
      <c r="BA172" s="555" t="str">
        <f t="shared" si="35"/>
        <v/>
      </c>
    </row>
    <row r="173" spans="3:53" ht="14.5" thickBot="1">
      <c r="C173" s="97">
        <v>164</v>
      </c>
      <c r="D173" s="263"/>
      <c r="E173" s="104"/>
      <c r="F173" s="275" t="str">
        <f>IF(D173="","",VLOOKUP(D173,'G-7 WaterC'' Data'!$B$2:$G$8,2,FALSE))</f>
        <v/>
      </c>
      <c r="G173" s="314" t="str">
        <f>IFERROR(VLOOKUP(F173,'G-7 WaterC'' Data'!$C$4:$D$8,2,FALSE),"")</f>
        <v/>
      </c>
      <c r="H173" s="105"/>
      <c r="I173" s="299" t="str">
        <f>IFERROR(INDEX('G-7 WaterC'' Data'!$H$4:$L$8,MATCH(D173,'G-7 WaterC'' Data'!$B$4:$B$8,0),MATCH(H173,'G-7 WaterC'' Data'!$H$3:$L$3,0)),"")</f>
        <v/>
      </c>
      <c r="J173" s="702"/>
      <c r="K173" s="295" t="str">
        <f>IF(J173="","",IF(VLOOKUP(J173,'G-7 WaterC'' Data'!$AK$4:$AM$9,2,FALSE)=0,"Spatial Data Missing ⚠",VLOOKUP(J173,'G-7 WaterC'' Data'!$AK$4:$AM$6,2,FALSE)))</f>
        <v/>
      </c>
      <c r="L173" s="299" t="str">
        <f>IF(J173="","",IF(VLOOKUP(J173,'G-7 WaterC'' Data'!$AK$4:$AM$9,3,FALSE)=0,"Spatial Data Missing ⚠",VLOOKUP(J173,'G-7 WaterC'' Data'!$AK$4:$AM$6,3,FALSE)))</f>
        <v/>
      </c>
      <c r="M173" s="102"/>
      <c r="N173" s="276" t="str">
        <f>IF(M173="","",IF(AND(M173="N/A - Culvert",D173&lt;&gt;"Culvert"),"Not possible ▲",IF(AND(D173="Culvert",M173&lt;&gt;"N/A - Culvert"),"Not possible ▲",IF(VLOOKUP(M173,'G-7 WaterC'' Data'!$AA$4:$AB$7,2,FALSE)=0,"Spatial Data Missing ⚠",VLOOKUP(M173,'G-7 WaterC'' Data'!$AA$4:$AB$7,2,FALSE)))))</f>
        <v/>
      </c>
      <c r="O173" s="56"/>
      <c r="P173" s="276" t="str">
        <f>IF(O173="","",IF(AND(O173="N/A - Culvert",D173&lt;&gt;"Culvert"),"Not possible ▲",IF(AND(D173="Culvert",O173&lt;&gt;"N/A - Culvert"),"Not possible ▲",IF(VLOOKUP(O173,'G-7 WaterC'' Data'!$AD$4:$AE$14,2,FALSE)=0,"Spatial Data Missing ⚠",VLOOKUP(O173,'G-7 WaterC'' Data'!$AD$4:$AE$14,2,FALSE)))))</f>
        <v/>
      </c>
      <c r="Q173" s="282" t="str">
        <f>IF(D173="","",VLOOKUP(D173,'G-7 WaterC'' Data'!$B$4:$G$8,6,FALSE))</f>
        <v/>
      </c>
      <c r="R173" s="289" t="str">
        <f t="shared" si="25"/>
        <v xml:space="preserve"> </v>
      </c>
      <c r="S173" s="393"/>
      <c r="T173" s="281" t="str">
        <f>IF(S173="","",IF(VLOOKUP(S173,'G-7 WaterC'' Data'!$AO$4:$BO$7,2,FALSE)=0,"Spatial Data Missing ⚠",VLOOKUP(S173,'G-7 WaterC'' Data'!$AO$4:$BO$7,2,FALSE)))</f>
        <v/>
      </c>
      <c r="U173" s="289" t="str">
        <f t="shared" si="26"/>
        <v xml:space="preserve"> </v>
      </c>
      <c r="V173" s="694" t="str">
        <f t="shared" si="27"/>
        <v/>
      </c>
      <c r="W173" s="32"/>
      <c r="X173" s="101"/>
      <c r="Y173" s="108"/>
      <c r="Z173" s="287" t="str">
        <f t="shared" si="28"/>
        <v/>
      </c>
      <c r="AA173" s="287" t="str">
        <f t="shared" si="29"/>
        <v/>
      </c>
      <c r="AB173" s="287" t="str">
        <f t="shared" si="30"/>
        <v/>
      </c>
      <c r="AC173" s="491" t="str">
        <f>IFERROR(IF(OR(E173="",R173=""),"",IF(AND(AB173&lt;&gt;"",S173=""),"Spatial risk category missing ▲",IF(AND(Q173='G-7 WaterC'' Data'!$G$4,AD173="Yes"),"Alternative Compensation ✓",IF(AND(AD173="Pending",Q173='G-7 WaterC'' Data'!$G$4),"Bespoke compensation must be agreed ▲",IF((Z173+AA173)&gt;=U173,0,U173-Z173-AA173))))),"Check Data ⚠")</f>
        <v/>
      </c>
      <c r="AD173" s="393"/>
      <c r="AE173" s="105"/>
      <c r="AF173" s="104"/>
      <c r="AG173" s="104"/>
      <c r="AH173" s="104"/>
      <c r="AI173" s="54" t="str">
        <f>IF(OR(Q173="",AD173="Yes"),"",IF(Q173='G-1 All Habitats'!$X$9,E173-Y173-X173,"None"))</f>
        <v/>
      </c>
      <c r="AJ173" s="55" t="str">
        <f>IF(Q173="","",IF(Q173='G-1 All Habitats'!$X$9,AI173*G173*I173*L173*N173*P173,"None"))</f>
        <v/>
      </c>
      <c r="AK173" s="30" t="str">
        <f>IFERROR(INDEX('G-7 WaterC'' Data'!$AZ$3:$AZ$7,MATCH(D173,'G-7 WaterC'' Data'!$AY$3:$AY$7,0)),"")</f>
        <v/>
      </c>
      <c r="AL173" s="30">
        <f t="shared" si="31"/>
        <v>0</v>
      </c>
      <c r="AM173" s="107" t="str">
        <f t="shared" si="32"/>
        <v/>
      </c>
      <c r="AN173" s="107" t="str">
        <f t="shared" si="33"/>
        <v/>
      </c>
      <c r="AP173" s="107">
        <v>164</v>
      </c>
      <c r="AR173" s="107" t="str">
        <f t="array" ref="AR173">IFERROR(INDEX($AP$10:$AP$258,MATCH(0,IF(TRUE=$AM$10:$AM$258,COUNTIF($AR$9:$AR172,$AP$10:$AP$258),""),0)),"")</f>
        <v/>
      </c>
      <c r="AS173" s="107" t="str">
        <f t="array" ref="AS173">IFERROR(INDEX($AP$10:$AP$258,MATCH(0,IF(TRUE=$AN$10:$AN$258,COUNTIF($AS$9:$AS172,$AP$10:$AP$258),""),0)),"")</f>
        <v/>
      </c>
      <c r="AT173" s="885" t="str">
        <f>IF(AND(OR(AD173="Yes",AD173="Pending"),Q173='G-7 WaterC'' Data'!$G$4),U173-AA173-Z173,"0")</f>
        <v>0</v>
      </c>
      <c r="AU173" s="30" t="str">
        <f>IF(D173="","",VLOOKUP(D173,'G-7 WaterC'' Data'!B$4:M$8,12,FALSE))</f>
        <v/>
      </c>
      <c r="AV173" s="30" t="str">
        <f t="shared" si="24"/>
        <v/>
      </c>
      <c r="AW173" s="30" t="str">
        <f t="shared" si="34"/>
        <v>No</v>
      </c>
      <c r="BA173" s="555" t="str">
        <f t="shared" si="35"/>
        <v/>
      </c>
    </row>
    <row r="174" spans="3:53" ht="14.5" thickBot="1">
      <c r="C174" s="97">
        <v>165</v>
      </c>
      <c r="D174" s="263"/>
      <c r="E174" s="104"/>
      <c r="F174" s="275" t="str">
        <f>IF(D174="","",VLOOKUP(D174,'G-7 WaterC'' Data'!$B$2:$G$8,2,FALSE))</f>
        <v/>
      </c>
      <c r="G174" s="314" t="str">
        <f>IFERROR(VLOOKUP(F174,'G-7 WaterC'' Data'!$C$4:$D$8,2,FALSE),"")</f>
        <v/>
      </c>
      <c r="H174" s="105"/>
      <c r="I174" s="299" t="str">
        <f>IFERROR(INDEX('G-7 WaterC'' Data'!$H$4:$L$8,MATCH(D174,'G-7 WaterC'' Data'!$B$4:$B$8,0),MATCH(H174,'G-7 WaterC'' Data'!$H$3:$L$3,0)),"")</f>
        <v/>
      </c>
      <c r="J174" s="702"/>
      <c r="K174" s="295" t="str">
        <f>IF(J174="","",IF(VLOOKUP(J174,'G-7 WaterC'' Data'!$AK$4:$AM$9,2,FALSE)=0,"Spatial Data Missing ⚠",VLOOKUP(J174,'G-7 WaterC'' Data'!$AK$4:$AM$6,2,FALSE)))</f>
        <v/>
      </c>
      <c r="L174" s="299" t="str">
        <f>IF(J174="","",IF(VLOOKUP(J174,'G-7 WaterC'' Data'!$AK$4:$AM$9,3,FALSE)=0,"Spatial Data Missing ⚠",VLOOKUP(J174,'G-7 WaterC'' Data'!$AK$4:$AM$6,3,FALSE)))</f>
        <v/>
      </c>
      <c r="M174" s="102"/>
      <c r="N174" s="276" t="str">
        <f>IF(M174="","",IF(AND(M174="N/A - Culvert",D174&lt;&gt;"Culvert"),"Not possible ▲",IF(AND(D174="Culvert",M174&lt;&gt;"N/A - Culvert"),"Not possible ▲",IF(VLOOKUP(M174,'G-7 WaterC'' Data'!$AA$4:$AB$7,2,FALSE)=0,"Spatial Data Missing ⚠",VLOOKUP(M174,'G-7 WaterC'' Data'!$AA$4:$AB$7,2,FALSE)))))</f>
        <v/>
      </c>
      <c r="O174" s="56"/>
      <c r="P174" s="276" t="str">
        <f>IF(O174="","",IF(AND(O174="N/A - Culvert",D174&lt;&gt;"Culvert"),"Not possible ▲",IF(AND(D174="Culvert",O174&lt;&gt;"N/A - Culvert"),"Not possible ▲",IF(VLOOKUP(O174,'G-7 WaterC'' Data'!$AD$4:$AE$14,2,FALSE)=0,"Spatial Data Missing ⚠",VLOOKUP(O174,'G-7 WaterC'' Data'!$AD$4:$AE$14,2,FALSE)))))</f>
        <v/>
      </c>
      <c r="Q174" s="282" t="str">
        <f>IF(D174="","",VLOOKUP(D174,'G-7 WaterC'' Data'!$B$4:$G$8,6,FALSE))</f>
        <v/>
      </c>
      <c r="R174" s="289" t="str">
        <f t="shared" si="25"/>
        <v xml:space="preserve"> </v>
      </c>
      <c r="S174" s="393"/>
      <c r="T174" s="281" t="str">
        <f>IF(S174="","",IF(VLOOKUP(S174,'G-7 WaterC'' Data'!$AO$4:$BO$7,2,FALSE)=0,"Spatial Data Missing ⚠",VLOOKUP(S174,'G-7 WaterC'' Data'!$AO$4:$BO$7,2,FALSE)))</f>
        <v/>
      </c>
      <c r="U174" s="289" t="str">
        <f t="shared" si="26"/>
        <v xml:space="preserve"> </v>
      </c>
      <c r="V174" s="694" t="str">
        <f t="shared" si="27"/>
        <v/>
      </c>
      <c r="W174" s="32"/>
      <c r="X174" s="101"/>
      <c r="Y174" s="108"/>
      <c r="Z174" s="287" t="str">
        <f t="shared" si="28"/>
        <v/>
      </c>
      <c r="AA174" s="287" t="str">
        <f t="shared" si="29"/>
        <v/>
      </c>
      <c r="AB174" s="287" t="str">
        <f t="shared" si="30"/>
        <v/>
      </c>
      <c r="AC174" s="491" t="str">
        <f>IFERROR(IF(OR(E174="",R174=""),"",IF(AND(AB174&lt;&gt;"",S174=""),"Spatial risk category missing ▲",IF(AND(Q174='G-7 WaterC'' Data'!$G$4,AD174="Yes"),"Alternative Compensation ✓",IF(AND(AD174="Pending",Q174='G-7 WaterC'' Data'!$G$4),"Bespoke compensation must be agreed ▲",IF((Z174+AA174)&gt;=U174,0,U174-Z174-AA174))))),"Check Data ⚠")</f>
        <v/>
      </c>
      <c r="AD174" s="393"/>
      <c r="AE174" s="105"/>
      <c r="AF174" s="104"/>
      <c r="AG174" s="104"/>
      <c r="AH174" s="104"/>
      <c r="AI174" s="54" t="str">
        <f>IF(OR(Q174="",AD174="Yes"),"",IF(Q174='G-1 All Habitats'!$X$9,E174-Y174-X174,"None"))</f>
        <v/>
      </c>
      <c r="AJ174" s="55" t="str">
        <f>IF(Q174="","",IF(Q174='G-1 All Habitats'!$X$9,AI174*G174*I174*L174*N174*P174,"None"))</f>
        <v/>
      </c>
      <c r="AK174" s="30" t="str">
        <f>IFERROR(INDEX('G-7 WaterC'' Data'!$AZ$3:$AZ$7,MATCH(D174,'G-7 WaterC'' Data'!$AY$3:$AY$7,0)),"")</f>
        <v/>
      </c>
      <c r="AL174" s="30">
        <f t="shared" si="31"/>
        <v>0</v>
      </c>
      <c r="AM174" s="107" t="str">
        <f t="shared" si="32"/>
        <v/>
      </c>
      <c r="AN174" s="107" t="str">
        <f t="shared" si="33"/>
        <v/>
      </c>
      <c r="AP174" s="107">
        <v>165</v>
      </c>
      <c r="AR174" s="107" t="str">
        <f t="array" ref="AR174">IFERROR(INDEX($AP$10:$AP$258,MATCH(0,IF(TRUE=$AM$10:$AM$258,COUNTIF($AR$9:$AR173,$AP$10:$AP$258),""),0)),"")</f>
        <v/>
      </c>
      <c r="AS174" s="107" t="str">
        <f t="array" ref="AS174">IFERROR(INDEX($AP$10:$AP$258,MATCH(0,IF(TRUE=$AN$10:$AN$258,COUNTIF($AS$9:$AS173,$AP$10:$AP$258),""),0)),"")</f>
        <v/>
      </c>
      <c r="AT174" s="885" t="str">
        <f>IF(AND(OR(AD174="Yes",AD174="Pending"),Q174='G-7 WaterC'' Data'!$G$4),U174-AA174-Z174,"0")</f>
        <v>0</v>
      </c>
      <c r="AU174" s="30" t="str">
        <f>IF(D174="","",VLOOKUP(D174,'G-7 WaterC'' Data'!B$4:M$8,12,FALSE))</f>
        <v/>
      </c>
      <c r="AV174" s="30" t="str">
        <f t="shared" si="24"/>
        <v/>
      </c>
      <c r="AW174" s="30" t="str">
        <f t="shared" si="34"/>
        <v>No</v>
      </c>
      <c r="BA174" s="555" t="str">
        <f t="shared" si="35"/>
        <v/>
      </c>
    </row>
    <row r="175" spans="3:53" ht="14.5" thickBot="1">
      <c r="C175" s="97">
        <v>166</v>
      </c>
      <c r="D175" s="263"/>
      <c r="E175" s="104"/>
      <c r="F175" s="275" t="str">
        <f>IF(D175="","",VLOOKUP(D175,'G-7 WaterC'' Data'!$B$2:$G$8,2,FALSE))</f>
        <v/>
      </c>
      <c r="G175" s="314" t="str">
        <f>IFERROR(VLOOKUP(F175,'G-7 WaterC'' Data'!$C$4:$D$8,2,FALSE),"")</f>
        <v/>
      </c>
      <c r="H175" s="105"/>
      <c r="I175" s="299" t="str">
        <f>IFERROR(INDEX('G-7 WaterC'' Data'!$H$4:$L$8,MATCH(D175,'G-7 WaterC'' Data'!$B$4:$B$8,0),MATCH(H175,'G-7 WaterC'' Data'!$H$3:$L$3,0)),"")</f>
        <v/>
      </c>
      <c r="J175" s="702"/>
      <c r="K175" s="295" t="str">
        <f>IF(J175="","",IF(VLOOKUP(J175,'G-7 WaterC'' Data'!$AK$4:$AM$9,2,FALSE)=0,"Spatial Data Missing ⚠",VLOOKUP(J175,'G-7 WaterC'' Data'!$AK$4:$AM$6,2,FALSE)))</f>
        <v/>
      </c>
      <c r="L175" s="299" t="str">
        <f>IF(J175="","",IF(VLOOKUP(J175,'G-7 WaterC'' Data'!$AK$4:$AM$9,3,FALSE)=0,"Spatial Data Missing ⚠",VLOOKUP(J175,'G-7 WaterC'' Data'!$AK$4:$AM$6,3,FALSE)))</f>
        <v/>
      </c>
      <c r="M175" s="102"/>
      <c r="N175" s="276" t="str">
        <f>IF(M175="","",IF(AND(M175="N/A - Culvert",D175&lt;&gt;"Culvert"),"Not possible ▲",IF(AND(D175="Culvert",M175&lt;&gt;"N/A - Culvert"),"Not possible ▲",IF(VLOOKUP(M175,'G-7 WaterC'' Data'!$AA$4:$AB$7,2,FALSE)=0,"Spatial Data Missing ⚠",VLOOKUP(M175,'G-7 WaterC'' Data'!$AA$4:$AB$7,2,FALSE)))))</f>
        <v/>
      </c>
      <c r="O175" s="56"/>
      <c r="P175" s="276" t="str">
        <f>IF(O175="","",IF(AND(O175="N/A - Culvert",D175&lt;&gt;"Culvert"),"Not possible ▲",IF(AND(D175="Culvert",O175&lt;&gt;"N/A - Culvert"),"Not possible ▲",IF(VLOOKUP(O175,'G-7 WaterC'' Data'!$AD$4:$AE$14,2,FALSE)=0,"Spatial Data Missing ⚠",VLOOKUP(O175,'G-7 WaterC'' Data'!$AD$4:$AE$14,2,FALSE)))))</f>
        <v/>
      </c>
      <c r="Q175" s="282" t="str">
        <f>IF(D175="","",VLOOKUP(D175,'G-7 WaterC'' Data'!$B$4:$G$8,6,FALSE))</f>
        <v/>
      </c>
      <c r="R175" s="289" t="str">
        <f t="shared" si="25"/>
        <v xml:space="preserve"> </v>
      </c>
      <c r="S175" s="393"/>
      <c r="T175" s="281" t="str">
        <f>IF(S175="","",IF(VLOOKUP(S175,'G-7 WaterC'' Data'!$AO$4:$BO$7,2,FALSE)=0,"Spatial Data Missing ⚠",VLOOKUP(S175,'G-7 WaterC'' Data'!$AO$4:$BO$7,2,FALSE)))</f>
        <v/>
      </c>
      <c r="U175" s="289" t="str">
        <f t="shared" si="26"/>
        <v xml:space="preserve"> </v>
      </c>
      <c r="V175" s="694" t="str">
        <f t="shared" si="27"/>
        <v/>
      </c>
      <c r="W175" s="32"/>
      <c r="X175" s="101"/>
      <c r="Y175" s="108"/>
      <c r="Z175" s="287" t="str">
        <f t="shared" si="28"/>
        <v/>
      </c>
      <c r="AA175" s="287" t="str">
        <f t="shared" si="29"/>
        <v/>
      </c>
      <c r="AB175" s="287" t="str">
        <f t="shared" si="30"/>
        <v/>
      </c>
      <c r="AC175" s="491" t="str">
        <f>IFERROR(IF(OR(E175="",R175=""),"",IF(AND(AB175&lt;&gt;"",S175=""),"Spatial risk category missing ▲",IF(AND(Q175='G-7 WaterC'' Data'!$G$4,AD175="Yes"),"Alternative Compensation ✓",IF(AND(AD175="Pending",Q175='G-7 WaterC'' Data'!$G$4),"Bespoke compensation must be agreed ▲",IF((Z175+AA175)&gt;=U175,0,U175-Z175-AA175))))),"Check Data ⚠")</f>
        <v/>
      </c>
      <c r="AD175" s="393"/>
      <c r="AE175" s="105"/>
      <c r="AF175" s="104"/>
      <c r="AG175" s="104"/>
      <c r="AH175" s="104"/>
      <c r="AI175" s="54" t="str">
        <f>IF(OR(Q175="",AD175="Yes"),"",IF(Q175='G-1 All Habitats'!$X$9,E175-Y175-X175,"None"))</f>
        <v/>
      </c>
      <c r="AJ175" s="55" t="str">
        <f>IF(Q175="","",IF(Q175='G-1 All Habitats'!$X$9,AI175*G175*I175*L175*N175*P175,"None"))</f>
        <v/>
      </c>
      <c r="AK175" s="30" t="str">
        <f>IFERROR(INDEX('G-7 WaterC'' Data'!$AZ$3:$AZ$7,MATCH(D175,'G-7 WaterC'' Data'!$AY$3:$AY$7,0)),"")</f>
        <v/>
      </c>
      <c r="AL175" s="30">
        <f t="shared" si="31"/>
        <v>0</v>
      </c>
      <c r="AM175" s="107" t="str">
        <f t="shared" si="32"/>
        <v/>
      </c>
      <c r="AN175" s="107" t="str">
        <f t="shared" si="33"/>
        <v/>
      </c>
      <c r="AP175" s="107">
        <v>166</v>
      </c>
      <c r="AR175" s="107" t="str">
        <f t="array" ref="AR175">IFERROR(INDEX($AP$10:$AP$258,MATCH(0,IF(TRUE=$AM$10:$AM$258,COUNTIF($AR$9:$AR174,$AP$10:$AP$258),""),0)),"")</f>
        <v/>
      </c>
      <c r="AS175" s="107" t="str">
        <f t="array" ref="AS175">IFERROR(INDEX($AP$10:$AP$258,MATCH(0,IF(TRUE=$AN$10:$AN$258,COUNTIF($AS$9:$AS174,$AP$10:$AP$258),""),0)),"")</f>
        <v/>
      </c>
      <c r="AT175" s="885" t="str">
        <f>IF(AND(OR(AD175="Yes",AD175="Pending"),Q175='G-7 WaterC'' Data'!$G$4),U175-AA175-Z175,"0")</f>
        <v>0</v>
      </c>
      <c r="AU175" s="30" t="str">
        <f>IF(D175="","",VLOOKUP(D175,'G-7 WaterC'' Data'!B$4:M$8,12,FALSE))</f>
        <v/>
      </c>
      <c r="AV175" s="30" t="str">
        <f t="shared" si="24"/>
        <v/>
      </c>
      <c r="AW175" s="30" t="str">
        <f t="shared" si="34"/>
        <v>No</v>
      </c>
      <c r="BA175" s="555" t="str">
        <f t="shared" si="35"/>
        <v/>
      </c>
    </row>
    <row r="176" spans="3:53" ht="14.5" thickBot="1">
      <c r="C176" s="97">
        <v>167</v>
      </c>
      <c r="D176" s="263"/>
      <c r="E176" s="104"/>
      <c r="F176" s="275" t="str">
        <f>IF(D176="","",VLOOKUP(D176,'G-7 WaterC'' Data'!$B$2:$G$8,2,FALSE))</f>
        <v/>
      </c>
      <c r="G176" s="314" t="str">
        <f>IFERROR(VLOOKUP(F176,'G-7 WaterC'' Data'!$C$4:$D$8,2,FALSE),"")</f>
        <v/>
      </c>
      <c r="H176" s="105"/>
      <c r="I176" s="299" t="str">
        <f>IFERROR(INDEX('G-7 WaterC'' Data'!$H$4:$L$8,MATCH(D176,'G-7 WaterC'' Data'!$B$4:$B$8,0),MATCH(H176,'G-7 WaterC'' Data'!$H$3:$L$3,0)),"")</f>
        <v/>
      </c>
      <c r="J176" s="702"/>
      <c r="K176" s="295" t="str">
        <f>IF(J176="","",IF(VLOOKUP(J176,'G-7 WaterC'' Data'!$AK$4:$AM$9,2,FALSE)=0,"Spatial Data Missing ⚠",VLOOKUP(J176,'G-7 WaterC'' Data'!$AK$4:$AM$6,2,FALSE)))</f>
        <v/>
      </c>
      <c r="L176" s="299" t="str">
        <f>IF(J176="","",IF(VLOOKUP(J176,'G-7 WaterC'' Data'!$AK$4:$AM$9,3,FALSE)=0,"Spatial Data Missing ⚠",VLOOKUP(J176,'G-7 WaterC'' Data'!$AK$4:$AM$6,3,FALSE)))</f>
        <v/>
      </c>
      <c r="M176" s="102"/>
      <c r="N176" s="276" t="str">
        <f>IF(M176="","",IF(AND(M176="N/A - Culvert",D176&lt;&gt;"Culvert"),"Not possible ▲",IF(AND(D176="Culvert",M176&lt;&gt;"N/A - Culvert"),"Not possible ▲",IF(VLOOKUP(M176,'G-7 WaterC'' Data'!$AA$4:$AB$7,2,FALSE)=0,"Spatial Data Missing ⚠",VLOOKUP(M176,'G-7 WaterC'' Data'!$AA$4:$AB$7,2,FALSE)))))</f>
        <v/>
      </c>
      <c r="O176" s="56"/>
      <c r="P176" s="276" t="str">
        <f>IF(O176="","",IF(AND(O176="N/A - Culvert",D176&lt;&gt;"Culvert"),"Not possible ▲",IF(AND(D176="Culvert",O176&lt;&gt;"N/A - Culvert"),"Not possible ▲",IF(VLOOKUP(O176,'G-7 WaterC'' Data'!$AD$4:$AE$14,2,FALSE)=0,"Spatial Data Missing ⚠",VLOOKUP(O176,'G-7 WaterC'' Data'!$AD$4:$AE$14,2,FALSE)))))</f>
        <v/>
      </c>
      <c r="Q176" s="282" t="str">
        <f>IF(D176="","",VLOOKUP(D176,'G-7 WaterC'' Data'!$B$4:$G$8,6,FALSE))</f>
        <v/>
      </c>
      <c r="R176" s="289" t="str">
        <f t="shared" si="25"/>
        <v xml:space="preserve"> </v>
      </c>
      <c r="S176" s="393"/>
      <c r="T176" s="281" t="str">
        <f>IF(S176="","",IF(VLOOKUP(S176,'G-7 WaterC'' Data'!$AO$4:$BO$7,2,FALSE)=0,"Spatial Data Missing ⚠",VLOOKUP(S176,'G-7 WaterC'' Data'!$AO$4:$BO$7,2,FALSE)))</f>
        <v/>
      </c>
      <c r="U176" s="289" t="str">
        <f t="shared" si="26"/>
        <v xml:space="preserve"> </v>
      </c>
      <c r="V176" s="694" t="str">
        <f t="shared" si="27"/>
        <v/>
      </c>
      <c r="W176" s="32"/>
      <c r="X176" s="101"/>
      <c r="Y176" s="108"/>
      <c r="Z176" s="287" t="str">
        <f t="shared" si="28"/>
        <v/>
      </c>
      <c r="AA176" s="287" t="str">
        <f t="shared" si="29"/>
        <v/>
      </c>
      <c r="AB176" s="287" t="str">
        <f t="shared" si="30"/>
        <v/>
      </c>
      <c r="AC176" s="491" t="str">
        <f>IFERROR(IF(OR(E176="",R176=""),"",IF(AND(AB176&lt;&gt;"",S176=""),"Spatial risk category missing ▲",IF(AND(Q176='G-7 WaterC'' Data'!$G$4,AD176="Yes"),"Alternative Compensation ✓",IF(AND(AD176="Pending",Q176='G-7 WaterC'' Data'!$G$4),"Bespoke compensation must be agreed ▲",IF((Z176+AA176)&gt;=U176,0,U176-Z176-AA176))))),"Check Data ⚠")</f>
        <v/>
      </c>
      <c r="AD176" s="393"/>
      <c r="AE176" s="105"/>
      <c r="AF176" s="104"/>
      <c r="AG176" s="104"/>
      <c r="AH176" s="104"/>
      <c r="AI176" s="54" t="str">
        <f>IF(OR(Q176="",AD176="Yes"),"",IF(Q176='G-1 All Habitats'!$X$9,E176-Y176-X176,"None"))</f>
        <v/>
      </c>
      <c r="AJ176" s="55" t="str">
        <f>IF(Q176="","",IF(Q176='G-1 All Habitats'!$X$9,AI176*G176*I176*L176*N176*P176,"None"))</f>
        <v/>
      </c>
      <c r="AK176" s="30" t="str">
        <f>IFERROR(INDEX('G-7 WaterC'' Data'!$AZ$3:$AZ$7,MATCH(D176,'G-7 WaterC'' Data'!$AY$3:$AY$7,0)),"")</f>
        <v/>
      </c>
      <c r="AL176" s="30">
        <f t="shared" si="31"/>
        <v>0</v>
      </c>
      <c r="AM176" s="107" t="str">
        <f t="shared" si="32"/>
        <v/>
      </c>
      <c r="AN176" s="107" t="str">
        <f t="shared" si="33"/>
        <v/>
      </c>
      <c r="AP176" s="107">
        <v>167</v>
      </c>
      <c r="AR176" s="107" t="str">
        <f t="array" ref="AR176">IFERROR(INDEX($AP$10:$AP$258,MATCH(0,IF(TRUE=$AM$10:$AM$258,COUNTIF($AR$9:$AR175,$AP$10:$AP$258),""),0)),"")</f>
        <v/>
      </c>
      <c r="AS176" s="107" t="str">
        <f t="array" ref="AS176">IFERROR(INDEX($AP$10:$AP$258,MATCH(0,IF(TRUE=$AN$10:$AN$258,COUNTIF($AS$9:$AS175,$AP$10:$AP$258),""),0)),"")</f>
        <v/>
      </c>
      <c r="AT176" s="885" t="str">
        <f>IF(AND(OR(AD176="Yes",AD176="Pending"),Q176='G-7 WaterC'' Data'!$G$4),U176-AA176-Z176,"0")</f>
        <v>0</v>
      </c>
      <c r="AU176" s="30" t="str">
        <f>IF(D176="","",VLOOKUP(D176,'G-7 WaterC'' Data'!B$4:M$8,12,FALSE))</f>
        <v/>
      </c>
      <c r="AV176" s="30" t="str">
        <f t="shared" si="24"/>
        <v/>
      </c>
      <c r="AW176" s="30" t="str">
        <f t="shared" si="34"/>
        <v>No</v>
      </c>
      <c r="BA176" s="555" t="str">
        <f t="shared" si="35"/>
        <v/>
      </c>
    </row>
    <row r="177" spans="3:53" ht="14.5" thickBot="1">
      <c r="C177" s="97">
        <v>168</v>
      </c>
      <c r="D177" s="263"/>
      <c r="E177" s="104"/>
      <c r="F177" s="275" t="str">
        <f>IF(D177="","",VLOOKUP(D177,'G-7 WaterC'' Data'!$B$2:$G$8,2,FALSE))</f>
        <v/>
      </c>
      <c r="G177" s="314" t="str">
        <f>IFERROR(VLOOKUP(F177,'G-7 WaterC'' Data'!$C$4:$D$8,2,FALSE),"")</f>
        <v/>
      </c>
      <c r="H177" s="105"/>
      <c r="I177" s="299" t="str">
        <f>IFERROR(INDEX('G-7 WaterC'' Data'!$H$4:$L$8,MATCH(D177,'G-7 WaterC'' Data'!$B$4:$B$8,0),MATCH(H177,'G-7 WaterC'' Data'!$H$3:$L$3,0)),"")</f>
        <v/>
      </c>
      <c r="J177" s="702"/>
      <c r="K177" s="295" t="str">
        <f>IF(J177="","",IF(VLOOKUP(J177,'G-7 WaterC'' Data'!$AK$4:$AM$9,2,FALSE)=0,"Spatial Data Missing ⚠",VLOOKUP(J177,'G-7 WaterC'' Data'!$AK$4:$AM$6,2,FALSE)))</f>
        <v/>
      </c>
      <c r="L177" s="299" t="str">
        <f>IF(J177="","",IF(VLOOKUP(J177,'G-7 WaterC'' Data'!$AK$4:$AM$9,3,FALSE)=0,"Spatial Data Missing ⚠",VLOOKUP(J177,'G-7 WaterC'' Data'!$AK$4:$AM$6,3,FALSE)))</f>
        <v/>
      </c>
      <c r="M177" s="102"/>
      <c r="N177" s="276" t="str">
        <f>IF(M177="","",IF(AND(M177="N/A - Culvert",D177&lt;&gt;"Culvert"),"Not possible ▲",IF(AND(D177="Culvert",M177&lt;&gt;"N/A - Culvert"),"Not possible ▲",IF(VLOOKUP(M177,'G-7 WaterC'' Data'!$AA$4:$AB$7,2,FALSE)=0,"Spatial Data Missing ⚠",VLOOKUP(M177,'G-7 WaterC'' Data'!$AA$4:$AB$7,2,FALSE)))))</f>
        <v/>
      </c>
      <c r="O177" s="56"/>
      <c r="P177" s="276" t="str">
        <f>IF(O177="","",IF(AND(O177="N/A - Culvert",D177&lt;&gt;"Culvert"),"Not possible ▲",IF(AND(D177="Culvert",O177&lt;&gt;"N/A - Culvert"),"Not possible ▲",IF(VLOOKUP(O177,'G-7 WaterC'' Data'!$AD$4:$AE$14,2,FALSE)=0,"Spatial Data Missing ⚠",VLOOKUP(O177,'G-7 WaterC'' Data'!$AD$4:$AE$14,2,FALSE)))))</f>
        <v/>
      </c>
      <c r="Q177" s="282" t="str">
        <f>IF(D177="","",VLOOKUP(D177,'G-7 WaterC'' Data'!$B$4:$G$8,6,FALSE))</f>
        <v/>
      </c>
      <c r="R177" s="289" t="str">
        <f t="shared" si="25"/>
        <v xml:space="preserve"> </v>
      </c>
      <c r="S177" s="393"/>
      <c r="T177" s="281" t="str">
        <f>IF(S177="","",IF(VLOOKUP(S177,'G-7 WaterC'' Data'!$AO$4:$BO$7,2,FALSE)=0,"Spatial Data Missing ⚠",VLOOKUP(S177,'G-7 WaterC'' Data'!$AO$4:$BO$7,2,FALSE)))</f>
        <v/>
      </c>
      <c r="U177" s="289" t="str">
        <f t="shared" si="26"/>
        <v xml:space="preserve"> </v>
      </c>
      <c r="V177" s="694" t="str">
        <f t="shared" si="27"/>
        <v/>
      </c>
      <c r="W177" s="32"/>
      <c r="X177" s="101"/>
      <c r="Y177" s="108"/>
      <c r="Z177" s="287" t="str">
        <f t="shared" si="28"/>
        <v/>
      </c>
      <c r="AA177" s="287" t="str">
        <f t="shared" si="29"/>
        <v/>
      </c>
      <c r="AB177" s="287" t="str">
        <f t="shared" si="30"/>
        <v/>
      </c>
      <c r="AC177" s="491" t="str">
        <f>IFERROR(IF(OR(E177="",R177=""),"",IF(AND(AB177&lt;&gt;"",S177=""),"Spatial risk category missing ▲",IF(AND(Q177='G-7 WaterC'' Data'!$G$4,AD177="Yes"),"Alternative Compensation ✓",IF(AND(AD177="Pending",Q177='G-7 WaterC'' Data'!$G$4),"Bespoke compensation must be agreed ▲",IF((Z177+AA177)&gt;=U177,0,U177-Z177-AA177))))),"Check Data ⚠")</f>
        <v/>
      </c>
      <c r="AD177" s="393"/>
      <c r="AE177" s="105"/>
      <c r="AF177" s="104"/>
      <c r="AG177" s="104"/>
      <c r="AH177" s="104"/>
      <c r="AI177" s="54" t="str">
        <f>IF(OR(Q177="",AD177="Yes"),"",IF(Q177='G-1 All Habitats'!$X$9,E177-Y177-X177,"None"))</f>
        <v/>
      </c>
      <c r="AJ177" s="55" t="str">
        <f>IF(Q177="","",IF(Q177='G-1 All Habitats'!$X$9,AI177*G177*I177*L177*N177*P177,"None"))</f>
        <v/>
      </c>
      <c r="AK177" s="30" t="str">
        <f>IFERROR(INDEX('G-7 WaterC'' Data'!$AZ$3:$AZ$7,MATCH(D177,'G-7 WaterC'' Data'!$AY$3:$AY$7,0)),"")</f>
        <v/>
      </c>
      <c r="AL177" s="30">
        <f t="shared" si="31"/>
        <v>0</v>
      </c>
      <c r="AM177" s="107" t="str">
        <f t="shared" si="32"/>
        <v/>
      </c>
      <c r="AN177" s="107" t="str">
        <f t="shared" si="33"/>
        <v/>
      </c>
      <c r="AP177" s="107">
        <v>168</v>
      </c>
      <c r="AR177" s="107" t="str">
        <f t="array" ref="AR177">IFERROR(INDEX($AP$10:$AP$258,MATCH(0,IF(TRUE=$AM$10:$AM$258,COUNTIF($AR$9:$AR176,$AP$10:$AP$258),""),0)),"")</f>
        <v/>
      </c>
      <c r="AS177" s="107" t="str">
        <f t="array" ref="AS177">IFERROR(INDEX($AP$10:$AP$258,MATCH(0,IF(TRUE=$AN$10:$AN$258,COUNTIF($AS$9:$AS176,$AP$10:$AP$258),""),0)),"")</f>
        <v/>
      </c>
      <c r="AT177" s="885" t="str">
        <f>IF(AND(OR(AD177="Yes",AD177="Pending"),Q177='G-7 WaterC'' Data'!$G$4),U177-AA177-Z177,"0")</f>
        <v>0</v>
      </c>
      <c r="AU177" s="30" t="str">
        <f>IF(D177="","",VLOOKUP(D177,'G-7 WaterC'' Data'!B$4:M$8,12,FALSE))</f>
        <v/>
      </c>
      <c r="AV177" s="30" t="str">
        <f t="shared" si="24"/>
        <v/>
      </c>
      <c r="AW177" s="30" t="str">
        <f t="shared" si="34"/>
        <v>No</v>
      </c>
      <c r="BA177" s="555" t="str">
        <f t="shared" si="35"/>
        <v/>
      </c>
    </row>
    <row r="178" spans="3:53" ht="14.5" thickBot="1">
      <c r="C178" s="97">
        <v>169</v>
      </c>
      <c r="D178" s="263"/>
      <c r="E178" s="104"/>
      <c r="F178" s="275" t="str">
        <f>IF(D178="","",VLOOKUP(D178,'G-7 WaterC'' Data'!$B$2:$G$8,2,FALSE))</f>
        <v/>
      </c>
      <c r="G178" s="314" t="str">
        <f>IFERROR(VLOOKUP(F178,'G-7 WaterC'' Data'!$C$4:$D$8,2,FALSE),"")</f>
        <v/>
      </c>
      <c r="H178" s="105"/>
      <c r="I178" s="299" t="str">
        <f>IFERROR(INDEX('G-7 WaterC'' Data'!$H$4:$L$8,MATCH(D178,'G-7 WaterC'' Data'!$B$4:$B$8,0),MATCH(H178,'G-7 WaterC'' Data'!$H$3:$L$3,0)),"")</f>
        <v/>
      </c>
      <c r="J178" s="702"/>
      <c r="K178" s="295" t="str">
        <f>IF(J178="","",IF(VLOOKUP(J178,'G-7 WaterC'' Data'!$AK$4:$AM$9,2,FALSE)=0,"Spatial Data Missing ⚠",VLOOKUP(J178,'G-7 WaterC'' Data'!$AK$4:$AM$6,2,FALSE)))</f>
        <v/>
      </c>
      <c r="L178" s="299" t="str">
        <f>IF(J178="","",IF(VLOOKUP(J178,'G-7 WaterC'' Data'!$AK$4:$AM$9,3,FALSE)=0,"Spatial Data Missing ⚠",VLOOKUP(J178,'G-7 WaterC'' Data'!$AK$4:$AM$6,3,FALSE)))</f>
        <v/>
      </c>
      <c r="M178" s="102"/>
      <c r="N178" s="276" t="str">
        <f>IF(M178="","",IF(AND(M178="N/A - Culvert",D178&lt;&gt;"Culvert"),"Not possible ▲",IF(AND(D178="Culvert",M178&lt;&gt;"N/A - Culvert"),"Not possible ▲",IF(VLOOKUP(M178,'G-7 WaterC'' Data'!$AA$4:$AB$7,2,FALSE)=0,"Spatial Data Missing ⚠",VLOOKUP(M178,'G-7 WaterC'' Data'!$AA$4:$AB$7,2,FALSE)))))</f>
        <v/>
      </c>
      <c r="O178" s="56"/>
      <c r="P178" s="276" t="str">
        <f>IF(O178="","",IF(AND(O178="N/A - Culvert",D178&lt;&gt;"Culvert"),"Not possible ▲",IF(AND(D178="Culvert",O178&lt;&gt;"N/A - Culvert"),"Not possible ▲",IF(VLOOKUP(O178,'G-7 WaterC'' Data'!$AD$4:$AE$14,2,FALSE)=0,"Spatial Data Missing ⚠",VLOOKUP(O178,'G-7 WaterC'' Data'!$AD$4:$AE$14,2,FALSE)))))</f>
        <v/>
      </c>
      <c r="Q178" s="282" t="str">
        <f>IF(D178="","",VLOOKUP(D178,'G-7 WaterC'' Data'!$B$4:$G$8,6,FALSE))</f>
        <v/>
      </c>
      <c r="R178" s="289" t="str">
        <f t="shared" si="25"/>
        <v xml:space="preserve"> </v>
      </c>
      <c r="S178" s="393"/>
      <c r="T178" s="281" t="str">
        <f>IF(S178="","",IF(VLOOKUP(S178,'G-7 WaterC'' Data'!$AO$4:$BO$7,2,FALSE)=0,"Spatial Data Missing ⚠",VLOOKUP(S178,'G-7 WaterC'' Data'!$AO$4:$BO$7,2,FALSE)))</f>
        <v/>
      </c>
      <c r="U178" s="289" t="str">
        <f t="shared" si="26"/>
        <v xml:space="preserve"> </v>
      </c>
      <c r="V178" s="694" t="str">
        <f t="shared" si="27"/>
        <v/>
      </c>
      <c r="W178" s="32"/>
      <c r="X178" s="101"/>
      <c r="Y178" s="108"/>
      <c r="Z178" s="287" t="str">
        <f t="shared" si="28"/>
        <v/>
      </c>
      <c r="AA178" s="287" t="str">
        <f t="shared" si="29"/>
        <v/>
      </c>
      <c r="AB178" s="287" t="str">
        <f t="shared" si="30"/>
        <v/>
      </c>
      <c r="AC178" s="491" t="str">
        <f>IFERROR(IF(OR(E178="",R178=""),"",IF(AND(AB178&lt;&gt;"",S178=""),"Spatial risk category missing ▲",IF(AND(Q178='G-7 WaterC'' Data'!$G$4,AD178="Yes"),"Alternative Compensation ✓",IF(AND(AD178="Pending",Q178='G-7 WaterC'' Data'!$G$4),"Bespoke compensation must be agreed ▲",IF((Z178+AA178)&gt;=U178,0,U178-Z178-AA178))))),"Check Data ⚠")</f>
        <v/>
      </c>
      <c r="AD178" s="393"/>
      <c r="AE178" s="105"/>
      <c r="AF178" s="104"/>
      <c r="AG178" s="104"/>
      <c r="AH178" s="104"/>
      <c r="AI178" s="54" t="str">
        <f>IF(OR(Q178="",AD178="Yes"),"",IF(Q178='G-1 All Habitats'!$X$9,E178-Y178-X178,"None"))</f>
        <v/>
      </c>
      <c r="AJ178" s="55" t="str">
        <f>IF(Q178="","",IF(Q178='G-1 All Habitats'!$X$9,AI178*G178*I178*L178*N178*P178,"None"))</f>
        <v/>
      </c>
      <c r="AK178" s="30" t="str">
        <f>IFERROR(INDEX('G-7 WaterC'' Data'!$AZ$3:$AZ$7,MATCH(D178,'G-7 WaterC'' Data'!$AY$3:$AY$7,0)),"")</f>
        <v/>
      </c>
      <c r="AL178" s="30">
        <f t="shared" si="31"/>
        <v>0</v>
      </c>
      <c r="AM178" s="107" t="str">
        <f t="shared" si="32"/>
        <v/>
      </c>
      <c r="AN178" s="107" t="str">
        <f t="shared" si="33"/>
        <v/>
      </c>
      <c r="AP178" s="107">
        <v>169</v>
      </c>
      <c r="AR178" s="107" t="str">
        <f t="array" ref="AR178">IFERROR(INDEX($AP$10:$AP$258,MATCH(0,IF(TRUE=$AM$10:$AM$258,COUNTIF($AR$9:$AR177,$AP$10:$AP$258),""),0)),"")</f>
        <v/>
      </c>
      <c r="AS178" s="107" t="str">
        <f t="array" ref="AS178">IFERROR(INDEX($AP$10:$AP$258,MATCH(0,IF(TRUE=$AN$10:$AN$258,COUNTIF($AS$9:$AS177,$AP$10:$AP$258),""),0)),"")</f>
        <v/>
      </c>
      <c r="AT178" s="885" t="str">
        <f>IF(AND(OR(AD178="Yes",AD178="Pending"),Q178='G-7 WaterC'' Data'!$G$4),U178-AA178-Z178,"0")</f>
        <v>0</v>
      </c>
      <c r="AU178" s="30" t="str">
        <f>IF(D178="","",VLOOKUP(D178,'G-7 WaterC'' Data'!B$4:M$8,12,FALSE))</f>
        <v/>
      </c>
      <c r="AV178" s="30" t="str">
        <f t="shared" si="24"/>
        <v/>
      </c>
      <c r="AW178" s="30" t="str">
        <f t="shared" si="34"/>
        <v>No</v>
      </c>
      <c r="BA178" s="555" t="str">
        <f t="shared" si="35"/>
        <v/>
      </c>
    </row>
    <row r="179" spans="3:53" ht="14.5" thickBot="1">
      <c r="C179" s="97">
        <v>170</v>
      </c>
      <c r="D179" s="263"/>
      <c r="E179" s="104"/>
      <c r="F179" s="275" t="str">
        <f>IF(D179="","",VLOOKUP(D179,'G-7 WaterC'' Data'!$B$2:$G$8,2,FALSE))</f>
        <v/>
      </c>
      <c r="G179" s="314" t="str">
        <f>IFERROR(VLOOKUP(F179,'G-7 WaterC'' Data'!$C$4:$D$8,2,FALSE),"")</f>
        <v/>
      </c>
      <c r="H179" s="105"/>
      <c r="I179" s="299" t="str">
        <f>IFERROR(INDEX('G-7 WaterC'' Data'!$H$4:$L$8,MATCH(D179,'G-7 WaterC'' Data'!$B$4:$B$8,0),MATCH(H179,'G-7 WaterC'' Data'!$H$3:$L$3,0)),"")</f>
        <v/>
      </c>
      <c r="J179" s="702"/>
      <c r="K179" s="295" t="str">
        <f>IF(J179="","",IF(VLOOKUP(J179,'G-7 WaterC'' Data'!$AK$4:$AM$9,2,FALSE)=0,"Spatial Data Missing ⚠",VLOOKUP(J179,'G-7 WaterC'' Data'!$AK$4:$AM$6,2,FALSE)))</f>
        <v/>
      </c>
      <c r="L179" s="299" t="str">
        <f>IF(J179="","",IF(VLOOKUP(J179,'G-7 WaterC'' Data'!$AK$4:$AM$9,3,FALSE)=0,"Spatial Data Missing ⚠",VLOOKUP(J179,'G-7 WaterC'' Data'!$AK$4:$AM$6,3,FALSE)))</f>
        <v/>
      </c>
      <c r="M179" s="102"/>
      <c r="N179" s="276" t="str">
        <f>IF(M179="","",IF(AND(M179="N/A - Culvert",D179&lt;&gt;"Culvert"),"Not possible ▲",IF(AND(D179="Culvert",M179&lt;&gt;"N/A - Culvert"),"Not possible ▲",IF(VLOOKUP(M179,'G-7 WaterC'' Data'!$AA$4:$AB$7,2,FALSE)=0,"Spatial Data Missing ⚠",VLOOKUP(M179,'G-7 WaterC'' Data'!$AA$4:$AB$7,2,FALSE)))))</f>
        <v/>
      </c>
      <c r="O179" s="56"/>
      <c r="P179" s="276" t="str">
        <f>IF(O179="","",IF(AND(O179="N/A - Culvert",D179&lt;&gt;"Culvert"),"Not possible ▲",IF(AND(D179="Culvert",O179&lt;&gt;"N/A - Culvert"),"Not possible ▲",IF(VLOOKUP(O179,'G-7 WaterC'' Data'!$AD$4:$AE$14,2,FALSE)=0,"Spatial Data Missing ⚠",VLOOKUP(O179,'G-7 WaterC'' Data'!$AD$4:$AE$14,2,FALSE)))))</f>
        <v/>
      </c>
      <c r="Q179" s="282" t="str">
        <f>IF(D179="","",VLOOKUP(D179,'G-7 WaterC'' Data'!$B$4:$G$8,6,FALSE))</f>
        <v/>
      </c>
      <c r="R179" s="289" t="str">
        <f t="shared" si="25"/>
        <v xml:space="preserve"> </v>
      </c>
      <c r="S179" s="393"/>
      <c r="T179" s="281" t="str">
        <f>IF(S179="","",IF(VLOOKUP(S179,'G-7 WaterC'' Data'!$AO$4:$BO$7,2,FALSE)=0,"Spatial Data Missing ⚠",VLOOKUP(S179,'G-7 WaterC'' Data'!$AO$4:$BO$7,2,FALSE)))</f>
        <v/>
      </c>
      <c r="U179" s="289" t="str">
        <f t="shared" si="26"/>
        <v xml:space="preserve"> </v>
      </c>
      <c r="V179" s="694" t="str">
        <f t="shared" si="27"/>
        <v/>
      </c>
      <c r="W179" s="32"/>
      <c r="X179" s="101"/>
      <c r="Y179" s="108"/>
      <c r="Z179" s="287" t="str">
        <f t="shared" si="28"/>
        <v/>
      </c>
      <c r="AA179" s="287" t="str">
        <f t="shared" si="29"/>
        <v/>
      </c>
      <c r="AB179" s="287" t="str">
        <f t="shared" si="30"/>
        <v/>
      </c>
      <c r="AC179" s="491" t="str">
        <f>IFERROR(IF(OR(E179="",R179=""),"",IF(AND(AB179&lt;&gt;"",S179=""),"Spatial risk category missing ▲",IF(AND(Q179='G-7 WaterC'' Data'!$G$4,AD179="Yes"),"Alternative Compensation ✓",IF(AND(AD179="Pending",Q179='G-7 WaterC'' Data'!$G$4),"Bespoke compensation must be agreed ▲",IF((Z179+AA179)&gt;=U179,0,U179-Z179-AA179))))),"Check Data ⚠")</f>
        <v/>
      </c>
      <c r="AD179" s="393"/>
      <c r="AE179" s="105"/>
      <c r="AF179" s="104"/>
      <c r="AG179" s="104"/>
      <c r="AH179" s="104"/>
      <c r="AI179" s="54" t="str">
        <f>IF(OR(Q179="",AD179="Yes"),"",IF(Q179='G-1 All Habitats'!$X$9,E179-Y179-X179,"None"))</f>
        <v/>
      </c>
      <c r="AJ179" s="55" t="str">
        <f>IF(Q179="","",IF(Q179='G-1 All Habitats'!$X$9,AI179*G179*I179*L179*N179*P179,"None"))</f>
        <v/>
      </c>
      <c r="AK179" s="30" t="str">
        <f>IFERROR(INDEX('G-7 WaterC'' Data'!$AZ$3:$AZ$7,MATCH(D179,'G-7 WaterC'' Data'!$AY$3:$AY$7,0)),"")</f>
        <v/>
      </c>
      <c r="AL179" s="30">
        <f t="shared" si="31"/>
        <v>0</v>
      </c>
      <c r="AM179" s="107" t="str">
        <f t="shared" si="32"/>
        <v/>
      </c>
      <c r="AN179" s="107" t="str">
        <f t="shared" si="33"/>
        <v/>
      </c>
      <c r="AP179" s="107">
        <v>170</v>
      </c>
      <c r="AR179" s="107" t="str">
        <f t="array" ref="AR179">IFERROR(INDEX($AP$10:$AP$258,MATCH(0,IF(TRUE=$AM$10:$AM$258,COUNTIF($AR$9:$AR178,$AP$10:$AP$258),""),0)),"")</f>
        <v/>
      </c>
      <c r="AS179" s="107" t="str">
        <f t="array" ref="AS179">IFERROR(INDEX($AP$10:$AP$258,MATCH(0,IF(TRUE=$AN$10:$AN$258,COUNTIF($AS$9:$AS178,$AP$10:$AP$258),""),0)),"")</f>
        <v/>
      </c>
      <c r="AT179" s="885" t="str">
        <f>IF(AND(OR(AD179="Yes",AD179="Pending"),Q179='G-7 WaterC'' Data'!$G$4),U179-AA179-Z179,"0")</f>
        <v>0</v>
      </c>
      <c r="AU179" s="30" t="str">
        <f>IF(D179="","",VLOOKUP(D179,'G-7 WaterC'' Data'!B$4:M$8,12,FALSE))</f>
        <v/>
      </c>
      <c r="AV179" s="30" t="str">
        <f t="shared" si="24"/>
        <v/>
      </c>
      <c r="AW179" s="30" t="str">
        <f t="shared" si="34"/>
        <v>No</v>
      </c>
      <c r="BA179" s="555" t="str">
        <f t="shared" si="35"/>
        <v/>
      </c>
    </row>
    <row r="180" spans="3:53" ht="14.5" thickBot="1">
      <c r="C180" s="97">
        <v>171</v>
      </c>
      <c r="D180" s="263"/>
      <c r="E180" s="104"/>
      <c r="F180" s="275" t="str">
        <f>IF(D180="","",VLOOKUP(D180,'G-7 WaterC'' Data'!$B$2:$G$8,2,FALSE))</f>
        <v/>
      </c>
      <c r="G180" s="314" t="str">
        <f>IFERROR(VLOOKUP(F180,'G-7 WaterC'' Data'!$C$4:$D$8,2,FALSE),"")</f>
        <v/>
      </c>
      <c r="H180" s="105"/>
      <c r="I180" s="299" t="str">
        <f>IFERROR(INDEX('G-7 WaterC'' Data'!$H$4:$L$8,MATCH(D180,'G-7 WaterC'' Data'!$B$4:$B$8,0),MATCH(H180,'G-7 WaterC'' Data'!$H$3:$L$3,0)),"")</f>
        <v/>
      </c>
      <c r="J180" s="702"/>
      <c r="K180" s="295" t="str">
        <f>IF(J180="","",IF(VLOOKUP(J180,'G-7 WaterC'' Data'!$AK$4:$AM$9,2,FALSE)=0,"Spatial Data Missing ⚠",VLOOKUP(J180,'G-7 WaterC'' Data'!$AK$4:$AM$6,2,FALSE)))</f>
        <v/>
      </c>
      <c r="L180" s="299" t="str">
        <f>IF(J180="","",IF(VLOOKUP(J180,'G-7 WaterC'' Data'!$AK$4:$AM$9,3,FALSE)=0,"Spatial Data Missing ⚠",VLOOKUP(J180,'G-7 WaterC'' Data'!$AK$4:$AM$6,3,FALSE)))</f>
        <v/>
      </c>
      <c r="M180" s="102"/>
      <c r="N180" s="276" t="str">
        <f>IF(M180="","",IF(AND(M180="N/A - Culvert",D180&lt;&gt;"Culvert"),"Not possible ▲",IF(AND(D180="Culvert",M180&lt;&gt;"N/A - Culvert"),"Not possible ▲",IF(VLOOKUP(M180,'G-7 WaterC'' Data'!$AA$4:$AB$7,2,FALSE)=0,"Spatial Data Missing ⚠",VLOOKUP(M180,'G-7 WaterC'' Data'!$AA$4:$AB$7,2,FALSE)))))</f>
        <v/>
      </c>
      <c r="O180" s="56"/>
      <c r="P180" s="276" t="str">
        <f>IF(O180="","",IF(AND(O180="N/A - Culvert",D180&lt;&gt;"Culvert"),"Not possible ▲",IF(AND(D180="Culvert",O180&lt;&gt;"N/A - Culvert"),"Not possible ▲",IF(VLOOKUP(O180,'G-7 WaterC'' Data'!$AD$4:$AE$14,2,FALSE)=0,"Spatial Data Missing ⚠",VLOOKUP(O180,'G-7 WaterC'' Data'!$AD$4:$AE$14,2,FALSE)))))</f>
        <v/>
      </c>
      <c r="Q180" s="282" t="str">
        <f>IF(D180="","",VLOOKUP(D180,'G-7 WaterC'' Data'!$B$4:$G$8,6,FALSE))</f>
        <v/>
      </c>
      <c r="R180" s="289" t="str">
        <f t="shared" si="25"/>
        <v xml:space="preserve"> </v>
      </c>
      <c r="S180" s="393"/>
      <c r="T180" s="281" t="str">
        <f>IF(S180="","",IF(VLOOKUP(S180,'G-7 WaterC'' Data'!$AO$4:$BO$7,2,FALSE)=0,"Spatial Data Missing ⚠",VLOOKUP(S180,'G-7 WaterC'' Data'!$AO$4:$BO$7,2,FALSE)))</f>
        <v/>
      </c>
      <c r="U180" s="289" t="str">
        <f t="shared" si="26"/>
        <v xml:space="preserve"> </v>
      </c>
      <c r="V180" s="694" t="str">
        <f t="shared" si="27"/>
        <v/>
      </c>
      <c r="W180" s="32"/>
      <c r="X180" s="101"/>
      <c r="Y180" s="108"/>
      <c r="Z180" s="287" t="str">
        <f t="shared" si="28"/>
        <v/>
      </c>
      <c r="AA180" s="287" t="str">
        <f t="shared" si="29"/>
        <v/>
      </c>
      <c r="AB180" s="287" t="str">
        <f t="shared" si="30"/>
        <v/>
      </c>
      <c r="AC180" s="491" t="str">
        <f>IFERROR(IF(OR(E180="",R180=""),"",IF(AND(AB180&lt;&gt;"",S180=""),"Spatial risk category missing ▲",IF(AND(Q180='G-7 WaterC'' Data'!$G$4,AD180="Yes"),"Alternative Compensation ✓",IF(AND(AD180="Pending",Q180='G-7 WaterC'' Data'!$G$4),"Bespoke compensation must be agreed ▲",IF((Z180+AA180)&gt;=U180,0,U180-Z180-AA180))))),"Check Data ⚠")</f>
        <v/>
      </c>
      <c r="AD180" s="393"/>
      <c r="AE180" s="105"/>
      <c r="AF180" s="104"/>
      <c r="AG180" s="104"/>
      <c r="AH180" s="104"/>
      <c r="AI180" s="54" t="str">
        <f>IF(OR(Q180="",AD180="Yes"),"",IF(Q180='G-1 All Habitats'!$X$9,E180-Y180-X180,"None"))</f>
        <v/>
      </c>
      <c r="AJ180" s="55" t="str">
        <f>IF(Q180="","",IF(Q180='G-1 All Habitats'!$X$9,AI180*G180*I180*L180*N180*P180,"None"))</f>
        <v/>
      </c>
      <c r="AK180" s="30" t="str">
        <f>IFERROR(INDEX('G-7 WaterC'' Data'!$AZ$3:$AZ$7,MATCH(D180,'G-7 WaterC'' Data'!$AY$3:$AY$7,0)),"")</f>
        <v/>
      </c>
      <c r="AL180" s="30">
        <f t="shared" si="31"/>
        <v>0</v>
      </c>
      <c r="AM180" s="107" t="str">
        <f t="shared" si="32"/>
        <v/>
      </c>
      <c r="AN180" s="107" t="str">
        <f t="shared" si="33"/>
        <v/>
      </c>
      <c r="AP180" s="107">
        <v>171</v>
      </c>
      <c r="AR180" s="107" t="str">
        <f t="array" ref="AR180">IFERROR(INDEX($AP$10:$AP$258,MATCH(0,IF(TRUE=$AM$10:$AM$258,COUNTIF($AR$9:$AR179,$AP$10:$AP$258),""),0)),"")</f>
        <v/>
      </c>
      <c r="AS180" s="107" t="str">
        <f t="array" ref="AS180">IFERROR(INDEX($AP$10:$AP$258,MATCH(0,IF(TRUE=$AN$10:$AN$258,COUNTIF($AS$9:$AS179,$AP$10:$AP$258),""),0)),"")</f>
        <v/>
      </c>
      <c r="AT180" s="885" t="str">
        <f>IF(AND(OR(AD180="Yes",AD180="Pending"),Q180='G-7 WaterC'' Data'!$G$4),U180-AA180-Z180,"0")</f>
        <v>0</v>
      </c>
      <c r="AU180" s="30" t="str">
        <f>IF(D180="","",VLOOKUP(D180,'G-7 WaterC'' Data'!B$4:M$8,12,FALSE))</f>
        <v/>
      </c>
      <c r="AV180" s="30" t="str">
        <f t="shared" si="24"/>
        <v/>
      </c>
      <c r="AW180" s="30" t="str">
        <f t="shared" si="34"/>
        <v>No</v>
      </c>
      <c r="BA180" s="555" t="str">
        <f t="shared" si="35"/>
        <v/>
      </c>
    </row>
    <row r="181" spans="3:53" ht="14.5" thickBot="1">
      <c r="C181" s="97">
        <v>172</v>
      </c>
      <c r="D181" s="263"/>
      <c r="E181" s="104"/>
      <c r="F181" s="275" t="str">
        <f>IF(D181="","",VLOOKUP(D181,'G-7 WaterC'' Data'!$B$2:$G$8,2,FALSE))</f>
        <v/>
      </c>
      <c r="G181" s="314" t="str">
        <f>IFERROR(VLOOKUP(F181,'G-7 WaterC'' Data'!$C$4:$D$8,2,FALSE),"")</f>
        <v/>
      </c>
      <c r="H181" s="105"/>
      <c r="I181" s="299" t="str">
        <f>IFERROR(INDEX('G-7 WaterC'' Data'!$H$4:$L$8,MATCH(D181,'G-7 WaterC'' Data'!$B$4:$B$8,0),MATCH(H181,'G-7 WaterC'' Data'!$H$3:$L$3,0)),"")</f>
        <v/>
      </c>
      <c r="J181" s="702"/>
      <c r="K181" s="295" t="str">
        <f>IF(J181="","",IF(VLOOKUP(J181,'G-7 WaterC'' Data'!$AK$4:$AM$9,2,FALSE)=0,"Spatial Data Missing ⚠",VLOOKUP(J181,'G-7 WaterC'' Data'!$AK$4:$AM$6,2,FALSE)))</f>
        <v/>
      </c>
      <c r="L181" s="299" t="str">
        <f>IF(J181="","",IF(VLOOKUP(J181,'G-7 WaterC'' Data'!$AK$4:$AM$9,3,FALSE)=0,"Spatial Data Missing ⚠",VLOOKUP(J181,'G-7 WaterC'' Data'!$AK$4:$AM$6,3,FALSE)))</f>
        <v/>
      </c>
      <c r="M181" s="102"/>
      <c r="N181" s="276" t="str">
        <f>IF(M181="","",IF(AND(M181="N/A - Culvert",D181&lt;&gt;"Culvert"),"Not possible ▲",IF(AND(D181="Culvert",M181&lt;&gt;"N/A - Culvert"),"Not possible ▲",IF(VLOOKUP(M181,'G-7 WaterC'' Data'!$AA$4:$AB$7,2,FALSE)=0,"Spatial Data Missing ⚠",VLOOKUP(M181,'G-7 WaterC'' Data'!$AA$4:$AB$7,2,FALSE)))))</f>
        <v/>
      </c>
      <c r="O181" s="56"/>
      <c r="P181" s="276" t="str">
        <f>IF(O181="","",IF(AND(O181="N/A - Culvert",D181&lt;&gt;"Culvert"),"Not possible ▲",IF(AND(D181="Culvert",O181&lt;&gt;"N/A - Culvert"),"Not possible ▲",IF(VLOOKUP(O181,'G-7 WaterC'' Data'!$AD$4:$AE$14,2,FALSE)=0,"Spatial Data Missing ⚠",VLOOKUP(O181,'G-7 WaterC'' Data'!$AD$4:$AE$14,2,FALSE)))))</f>
        <v/>
      </c>
      <c r="Q181" s="282" t="str">
        <f>IF(D181="","",VLOOKUP(D181,'G-7 WaterC'' Data'!$B$4:$G$8,6,FALSE))</f>
        <v/>
      </c>
      <c r="R181" s="289" t="str">
        <f t="shared" si="25"/>
        <v xml:space="preserve"> </v>
      </c>
      <c r="S181" s="393"/>
      <c r="T181" s="281" t="str">
        <f>IF(S181="","",IF(VLOOKUP(S181,'G-7 WaterC'' Data'!$AO$4:$BO$7,2,FALSE)=0,"Spatial Data Missing ⚠",VLOOKUP(S181,'G-7 WaterC'' Data'!$AO$4:$BO$7,2,FALSE)))</f>
        <v/>
      </c>
      <c r="U181" s="289" t="str">
        <f t="shared" si="26"/>
        <v xml:space="preserve"> </v>
      </c>
      <c r="V181" s="694" t="str">
        <f t="shared" si="27"/>
        <v/>
      </c>
      <c r="W181" s="32"/>
      <c r="X181" s="101"/>
      <c r="Y181" s="108"/>
      <c r="Z181" s="287" t="str">
        <f t="shared" si="28"/>
        <v/>
      </c>
      <c r="AA181" s="287" t="str">
        <f t="shared" si="29"/>
        <v/>
      </c>
      <c r="AB181" s="287" t="str">
        <f t="shared" si="30"/>
        <v/>
      </c>
      <c r="AC181" s="491" t="str">
        <f>IFERROR(IF(OR(E181="",R181=""),"",IF(AND(AB181&lt;&gt;"",S181=""),"Spatial risk category missing ▲",IF(AND(Q181='G-7 WaterC'' Data'!$G$4,AD181="Yes"),"Alternative Compensation ✓",IF(AND(AD181="Pending",Q181='G-7 WaterC'' Data'!$G$4),"Bespoke compensation must be agreed ▲",IF((Z181+AA181)&gt;=U181,0,U181-Z181-AA181))))),"Check Data ⚠")</f>
        <v/>
      </c>
      <c r="AD181" s="393"/>
      <c r="AE181" s="105"/>
      <c r="AF181" s="104"/>
      <c r="AG181" s="104"/>
      <c r="AH181" s="104"/>
      <c r="AI181" s="54" t="str">
        <f>IF(OR(Q181="",AD181="Yes"),"",IF(Q181='G-1 All Habitats'!$X$9,E181-Y181-X181,"None"))</f>
        <v/>
      </c>
      <c r="AJ181" s="55" t="str">
        <f>IF(Q181="","",IF(Q181='G-1 All Habitats'!$X$9,AI181*G181*I181*L181*N181*P181,"None"))</f>
        <v/>
      </c>
      <c r="AK181" s="30" t="str">
        <f>IFERROR(INDEX('G-7 WaterC'' Data'!$AZ$3:$AZ$7,MATCH(D181,'G-7 WaterC'' Data'!$AY$3:$AY$7,0)),"")</f>
        <v/>
      </c>
      <c r="AL181" s="30">
        <f t="shared" si="31"/>
        <v>0</v>
      </c>
      <c r="AM181" s="107" t="str">
        <f t="shared" si="32"/>
        <v/>
      </c>
      <c r="AN181" s="107" t="str">
        <f t="shared" si="33"/>
        <v/>
      </c>
      <c r="AP181" s="107">
        <v>172</v>
      </c>
      <c r="AR181" s="107" t="str">
        <f t="array" ref="AR181">IFERROR(INDEX($AP$10:$AP$258,MATCH(0,IF(TRUE=$AM$10:$AM$258,COUNTIF($AR$9:$AR180,$AP$10:$AP$258),""),0)),"")</f>
        <v/>
      </c>
      <c r="AS181" s="107" t="str">
        <f t="array" ref="AS181">IFERROR(INDEX($AP$10:$AP$258,MATCH(0,IF(TRUE=$AN$10:$AN$258,COUNTIF($AS$9:$AS180,$AP$10:$AP$258),""),0)),"")</f>
        <v/>
      </c>
      <c r="AT181" s="885" t="str">
        <f>IF(AND(OR(AD181="Yes",AD181="Pending"),Q181='G-7 WaterC'' Data'!$G$4),U181-AA181-Z181,"0")</f>
        <v>0</v>
      </c>
      <c r="AU181" s="30" t="str">
        <f>IF(D181="","",VLOOKUP(D181,'G-7 WaterC'' Data'!B$4:M$8,12,FALSE))</f>
        <v/>
      </c>
      <c r="AV181" s="30" t="str">
        <f t="shared" si="24"/>
        <v/>
      </c>
      <c r="AW181" s="30" t="str">
        <f t="shared" si="34"/>
        <v>No</v>
      </c>
      <c r="BA181" s="555" t="str">
        <f t="shared" si="35"/>
        <v/>
      </c>
    </row>
    <row r="182" spans="3:53" ht="14.5" thickBot="1">
      <c r="C182" s="97">
        <v>173</v>
      </c>
      <c r="D182" s="263"/>
      <c r="E182" s="104"/>
      <c r="F182" s="275" t="str">
        <f>IF(D182="","",VLOOKUP(D182,'G-7 WaterC'' Data'!$B$2:$G$8,2,FALSE))</f>
        <v/>
      </c>
      <c r="G182" s="314" t="str">
        <f>IFERROR(VLOOKUP(F182,'G-7 WaterC'' Data'!$C$4:$D$8,2,FALSE),"")</f>
        <v/>
      </c>
      <c r="H182" s="105"/>
      <c r="I182" s="299" t="str">
        <f>IFERROR(INDEX('G-7 WaterC'' Data'!$H$4:$L$8,MATCH(D182,'G-7 WaterC'' Data'!$B$4:$B$8,0),MATCH(H182,'G-7 WaterC'' Data'!$H$3:$L$3,0)),"")</f>
        <v/>
      </c>
      <c r="J182" s="702"/>
      <c r="K182" s="295" t="str">
        <f>IF(J182="","",IF(VLOOKUP(J182,'G-7 WaterC'' Data'!$AK$4:$AM$9,2,FALSE)=0,"Spatial Data Missing ⚠",VLOOKUP(J182,'G-7 WaterC'' Data'!$AK$4:$AM$6,2,FALSE)))</f>
        <v/>
      </c>
      <c r="L182" s="299" t="str">
        <f>IF(J182="","",IF(VLOOKUP(J182,'G-7 WaterC'' Data'!$AK$4:$AM$9,3,FALSE)=0,"Spatial Data Missing ⚠",VLOOKUP(J182,'G-7 WaterC'' Data'!$AK$4:$AM$6,3,FALSE)))</f>
        <v/>
      </c>
      <c r="M182" s="102"/>
      <c r="N182" s="276" t="str">
        <f>IF(M182="","",IF(AND(M182="N/A - Culvert",D182&lt;&gt;"Culvert"),"Not possible ▲",IF(AND(D182="Culvert",M182&lt;&gt;"N/A - Culvert"),"Not possible ▲",IF(VLOOKUP(M182,'G-7 WaterC'' Data'!$AA$4:$AB$7,2,FALSE)=0,"Spatial Data Missing ⚠",VLOOKUP(M182,'G-7 WaterC'' Data'!$AA$4:$AB$7,2,FALSE)))))</f>
        <v/>
      </c>
      <c r="O182" s="56"/>
      <c r="P182" s="276" t="str">
        <f>IF(O182="","",IF(AND(O182="N/A - Culvert",D182&lt;&gt;"Culvert"),"Not possible ▲",IF(AND(D182="Culvert",O182&lt;&gt;"N/A - Culvert"),"Not possible ▲",IF(VLOOKUP(O182,'G-7 WaterC'' Data'!$AD$4:$AE$14,2,FALSE)=0,"Spatial Data Missing ⚠",VLOOKUP(O182,'G-7 WaterC'' Data'!$AD$4:$AE$14,2,FALSE)))))</f>
        <v/>
      </c>
      <c r="Q182" s="282" t="str">
        <f>IF(D182="","",VLOOKUP(D182,'G-7 WaterC'' Data'!$B$4:$G$8,6,FALSE))</f>
        <v/>
      </c>
      <c r="R182" s="289" t="str">
        <f t="shared" si="25"/>
        <v xml:space="preserve"> </v>
      </c>
      <c r="S182" s="393"/>
      <c r="T182" s="281" t="str">
        <f>IF(S182="","",IF(VLOOKUP(S182,'G-7 WaterC'' Data'!$AO$4:$BO$7,2,FALSE)=0,"Spatial Data Missing ⚠",VLOOKUP(S182,'G-7 WaterC'' Data'!$AO$4:$BO$7,2,FALSE)))</f>
        <v/>
      </c>
      <c r="U182" s="289" t="str">
        <f t="shared" si="26"/>
        <v xml:space="preserve"> </v>
      </c>
      <c r="V182" s="694" t="str">
        <f t="shared" si="27"/>
        <v/>
      </c>
      <c r="W182" s="32"/>
      <c r="X182" s="101"/>
      <c r="Y182" s="108"/>
      <c r="Z182" s="287" t="str">
        <f t="shared" si="28"/>
        <v/>
      </c>
      <c r="AA182" s="287" t="str">
        <f t="shared" si="29"/>
        <v/>
      </c>
      <c r="AB182" s="287" t="str">
        <f t="shared" si="30"/>
        <v/>
      </c>
      <c r="AC182" s="491" t="str">
        <f>IFERROR(IF(OR(E182="",R182=""),"",IF(AND(AB182&lt;&gt;"",S182=""),"Spatial risk category missing ▲",IF(AND(Q182='G-7 WaterC'' Data'!$G$4,AD182="Yes"),"Alternative Compensation ✓",IF(AND(AD182="Pending",Q182='G-7 WaterC'' Data'!$G$4),"Bespoke compensation must be agreed ▲",IF((Z182+AA182)&gt;=U182,0,U182-Z182-AA182))))),"Check Data ⚠")</f>
        <v/>
      </c>
      <c r="AD182" s="393"/>
      <c r="AE182" s="105"/>
      <c r="AF182" s="104"/>
      <c r="AG182" s="104"/>
      <c r="AH182" s="104"/>
      <c r="AI182" s="54" t="str">
        <f>IF(OR(Q182="",AD182="Yes"),"",IF(Q182='G-1 All Habitats'!$X$9,E182-Y182-X182,"None"))</f>
        <v/>
      </c>
      <c r="AJ182" s="55" t="str">
        <f>IF(Q182="","",IF(Q182='G-1 All Habitats'!$X$9,AI182*G182*I182*L182*N182*P182,"None"))</f>
        <v/>
      </c>
      <c r="AK182" s="30" t="str">
        <f>IFERROR(INDEX('G-7 WaterC'' Data'!$AZ$3:$AZ$7,MATCH(D182,'G-7 WaterC'' Data'!$AY$3:$AY$7,0)),"")</f>
        <v/>
      </c>
      <c r="AL182" s="30">
        <f t="shared" si="31"/>
        <v>0</v>
      </c>
      <c r="AM182" s="107" t="str">
        <f t="shared" si="32"/>
        <v/>
      </c>
      <c r="AN182" s="107" t="str">
        <f t="shared" si="33"/>
        <v/>
      </c>
      <c r="AP182" s="107">
        <v>173</v>
      </c>
      <c r="AR182" s="107" t="str">
        <f t="array" ref="AR182">IFERROR(INDEX($AP$10:$AP$258,MATCH(0,IF(TRUE=$AM$10:$AM$258,COUNTIF($AR$9:$AR181,$AP$10:$AP$258),""),0)),"")</f>
        <v/>
      </c>
      <c r="AS182" s="107" t="str">
        <f t="array" ref="AS182">IFERROR(INDEX($AP$10:$AP$258,MATCH(0,IF(TRUE=$AN$10:$AN$258,COUNTIF($AS$9:$AS181,$AP$10:$AP$258),""),0)),"")</f>
        <v/>
      </c>
      <c r="AT182" s="885" t="str">
        <f>IF(AND(OR(AD182="Yes",AD182="Pending"),Q182='G-7 WaterC'' Data'!$G$4),U182-AA182-Z182,"0")</f>
        <v>0</v>
      </c>
      <c r="AU182" s="30" t="str">
        <f>IF(D182="","",VLOOKUP(D182,'G-7 WaterC'' Data'!B$4:M$8,12,FALSE))</f>
        <v/>
      </c>
      <c r="AV182" s="30" t="str">
        <f t="shared" si="24"/>
        <v/>
      </c>
      <c r="AW182" s="30" t="str">
        <f t="shared" si="34"/>
        <v>No</v>
      </c>
      <c r="BA182" s="555" t="str">
        <f t="shared" si="35"/>
        <v/>
      </c>
    </row>
    <row r="183" spans="3:53" ht="14.5" thickBot="1">
      <c r="C183" s="97">
        <v>174</v>
      </c>
      <c r="D183" s="263"/>
      <c r="E183" s="104"/>
      <c r="F183" s="275" t="str">
        <f>IF(D183="","",VLOOKUP(D183,'G-7 WaterC'' Data'!$B$2:$G$8,2,FALSE))</f>
        <v/>
      </c>
      <c r="G183" s="314" t="str">
        <f>IFERROR(VLOOKUP(F183,'G-7 WaterC'' Data'!$C$4:$D$8,2,FALSE),"")</f>
        <v/>
      </c>
      <c r="H183" s="105"/>
      <c r="I183" s="299" t="str">
        <f>IFERROR(INDEX('G-7 WaterC'' Data'!$H$4:$L$8,MATCH(D183,'G-7 WaterC'' Data'!$B$4:$B$8,0),MATCH(H183,'G-7 WaterC'' Data'!$H$3:$L$3,0)),"")</f>
        <v/>
      </c>
      <c r="J183" s="702"/>
      <c r="K183" s="295" t="str">
        <f>IF(J183="","",IF(VLOOKUP(J183,'G-7 WaterC'' Data'!$AK$4:$AM$9,2,FALSE)=0,"Spatial Data Missing ⚠",VLOOKUP(J183,'G-7 WaterC'' Data'!$AK$4:$AM$6,2,FALSE)))</f>
        <v/>
      </c>
      <c r="L183" s="299" t="str">
        <f>IF(J183="","",IF(VLOOKUP(J183,'G-7 WaterC'' Data'!$AK$4:$AM$9,3,FALSE)=0,"Spatial Data Missing ⚠",VLOOKUP(J183,'G-7 WaterC'' Data'!$AK$4:$AM$6,3,FALSE)))</f>
        <v/>
      </c>
      <c r="M183" s="102"/>
      <c r="N183" s="276" t="str">
        <f>IF(M183="","",IF(AND(M183="N/A - Culvert",D183&lt;&gt;"Culvert"),"Not possible ▲",IF(AND(D183="Culvert",M183&lt;&gt;"N/A - Culvert"),"Not possible ▲",IF(VLOOKUP(M183,'G-7 WaterC'' Data'!$AA$4:$AB$7,2,FALSE)=0,"Spatial Data Missing ⚠",VLOOKUP(M183,'G-7 WaterC'' Data'!$AA$4:$AB$7,2,FALSE)))))</f>
        <v/>
      </c>
      <c r="O183" s="56"/>
      <c r="P183" s="276" t="str">
        <f>IF(O183="","",IF(AND(O183="N/A - Culvert",D183&lt;&gt;"Culvert"),"Not possible ▲",IF(AND(D183="Culvert",O183&lt;&gt;"N/A - Culvert"),"Not possible ▲",IF(VLOOKUP(O183,'G-7 WaterC'' Data'!$AD$4:$AE$14,2,FALSE)=0,"Spatial Data Missing ⚠",VLOOKUP(O183,'G-7 WaterC'' Data'!$AD$4:$AE$14,2,FALSE)))))</f>
        <v/>
      </c>
      <c r="Q183" s="282" t="str">
        <f>IF(D183="","",VLOOKUP(D183,'G-7 WaterC'' Data'!$B$4:$G$8,6,FALSE))</f>
        <v/>
      </c>
      <c r="R183" s="289" t="str">
        <f t="shared" si="25"/>
        <v xml:space="preserve"> </v>
      </c>
      <c r="S183" s="393"/>
      <c r="T183" s="281" t="str">
        <f>IF(S183="","",IF(VLOOKUP(S183,'G-7 WaterC'' Data'!$AO$4:$BO$7,2,FALSE)=0,"Spatial Data Missing ⚠",VLOOKUP(S183,'G-7 WaterC'' Data'!$AO$4:$BO$7,2,FALSE)))</f>
        <v/>
      </c>
      <c r="U183" s="289" t="str">
        <f t="shared" si="26"/>
        <v xml:space="preserve"> </v>
      </c>
      <c r="V183" s="694" t="str">
        <f t="shared" si="27"/>
        <v/>
      </c>
      <c r="W183" s="32"/>
      <c r="X183" s="101"/>
      <c r="Y183" s="108"/>
      <c r="Z183" s="287" t="str">
        <f t="shared" si="28"/>
        <v/>
      </c>
      <c r="AA183" s="287" t="str">
        <f t="shared" si="29"/>
        <v/>
      </c>
      <c r="AB183" s="287" t="str">
        <f t="shared" si="30"/>
        <v/>
      </c>
      <c r="AC183" s="491" t="str">
        <f>IFERROR(IF(OR(E183="",R183=""),"",IF(AND(AB183&lt;&gt;"",S183=""),"Spatial risk category missing ▲",IF(AND(Q183='G-7 WaterC'' Data'!$G$4,AD183="Yes"),"Alternative Compensation ✓",IF(AND(AD183="Pending",Q183='G-7 WaterC'' Data'!$G$4),"Bespoke compensation must be agreed ▲",IF((Z183+AA183)&gt;=U183,0,U183-Z183-AA183))))),"Check Data ⚠")</f>
        <v/>
      </c>
      <c r="AD183" s="393"/>
      <c r="AE183" s="105"/>
      <c r="AF183" s="104"/>
      <c r="AG183" s="104"/>
      <c r="AH183" s="104"/>
      <c r="AI183" s="54" t="str">
        <f>IF(OR(Q183="",AD183="Yes"),"",IF(Q183='G-1 All Habitats'!$X$9,E183-Y183-X183,"None"))</f>
        <v/>
      </c>
      <c r="AJ183" s="55" t="str">
        <f>IF(Q183="","",IF(Q183='G-1 All Habitats'!$X$9,AI183*G183*I183*L183*N183*P183,"None"))</f>
        <v/>
      </c>
      <c r="AK183" s="30" t="str">
        <f>IFERROR(INDEX('G-7 WaterC'' Data'!$AZ$3:$AZ$7,MATCH(D183,'G-7 WaterC'' Data'!$AY$3:$AY$7,0)),"")</f>
        <v/>
      </c>
      <c r="AL183" s="30">
        <f t="shared" si="31"/>
        <v>0</v>
      </c>
      <c r="AM183" s="107" t="str">
        <f t="shared" si="32"/>
        <v/>
      </c>
      <c r="AN183" s="107" t="str">
        <f t="shared" si="33"/>
        <v/>
      </c>
      <c r="AP183" s="107">
        <v>174</v>
      </c>
      <c r="AR183" s="107" t="str">
        <f t="array" ref="AR183">IFERROR(INDEX($AP$10:$AP$258,MATCH(0,IF(TRUE=$AM$10:$AM$258,COUNTIF($AR$9:$AR182,$AP$10:$AP$258),""),0)),"")</f>
        <v/>
      </c>
      <c r="AS183" s="107" t="str">
        <f t="array" ref="AS183">IFERROR(INDEX($AP$10:$AP$258,MATCH(0,IF(TRUE=$AN$10:$AN$258,COUNTIF($AS$9:$AS182,$AP$10:$AP$258),""),0)),"")</f>
        <v/>
      </c>
      <c r="AT183" s="885" t="str">
        <f>IF(AND(OR(AD183="Yes",AD183="Pending"),Q183='G-7 WaterC'' Data'!$G$4),U183-AA183-Z183,"0")</f>
        <v>0</v>
      </c>
      <c r="AU183" s="30" t="str">
        <f>IF(D183="","",VLOOKUP(D183,'G-7 WaterC'' Data'!B$4:M$8,12,FALSE))</f>
        <v/>
      </c>
      <c r="AV183" s="30" t="str">
        <f t="shared" si="24"/>
        <v/>
      </c>
      <c r="AW183" s="30" t="str">
        <f t="shared" si="34"/>
        <v>No</v>
      </c>
      <c r="BA183" s="555" t="str">
        <f t="shared" si="35"/>
        <v/>
      </c>
    </row>
    <row r="184" spans="3:53" ht="14.5" thickBot="1">
      <c r="C184" s="97">
        <v>175</v>
      </c>
      <c r="D184" s="263"/>
      <c r="E184" s="104"/>
      <c r="F184" s="275" t="str">
        <f>IF(D184="","",VLOOKUP(D184,'G-7 WaterC'' Data'!$B$2:$G$8,2,FALSE))</f>
        <v/>
      </c>
      <c r="G184" s="314" t="str">
        <f>IFERROR(VLOOKUP(F184,'G-7 WaterC'' Data'!$C$4:$D$8,2,FALSE),"")</f>
        <v/>
      </c>
      <c r="H184" s="105"/>
      <c r="I184" s="299" t="str">
        <f>IFERROR(INDEX('G-7 WaterC'' Data'!$H$4:$L$8,MATCH(D184,'G-7 WaterC'' Data'!$B$4:$B$8,0),MATCH(H184,'G-7 WaterC'' Data'!$H$3:$L$3,0)),"")</f>
        <v/>
      </c>
      <c r="J184" s="702"/>
      <c r="K184" s="295" t="str">
        <f>IF(J184="","",IF(VLOOKUP(J184,'G-7 WaterC'' Data'!$AK$4:$AM$9,2,FALSE)=0,"Spatial Data Missing ⚠",VLOOKUP(J184,'G-7 WaterC'' Data'!$AK$4:$AM$6,2,FALSE)))</f>
        <v/>
      </c>
      <c r="L184" s="299" t="str">
        <f>IF(J184="","",IF(VLOOKUP(J184,'G-7 WaterC'' Data'!$AK$4:$AM$9,3,FALSE)=0,"Spatial Data Missing ⚠",VLOOKUP(J184,'G-7 WaterC'' Data'!$AK$4:$AM$6,3,FALSE)))</f>
        <v/>
      </c>
      <c r="M184" s="102"/>
      <c r="N184" s="276" t="str">
        <f>IF(M184="","",IF(AND(M184="N/A - Culvert",D184&lt;&gt;"Culvert"),"Not possible ▲",IF(AND(D184="Culvert",M184&lt;&gt;"N/A - Culvert"),"Not possible ▲",IF(VLOOKUP(M184,'G-7 WaterC'' Data'!$AA$4:$AB$7,2,FALSE)=0,"Spatial Data Missing ⚠",VLOOKUP(M184,'G-7 WaterC'' Data'!$AA$4:$AB$7,2,FALSE)))))</f>
        <v/>
      </c>
      <c r="O184" s="56"/>
      <c r="P184" s="276" t="str">
        <f>IF(O184="","",IF(AND(O184="N/A - Culvert",D184&lt;&gt;"Culvert"),"Not possible ▲",IF(AND(D184="Culvert",O184&lt;&gt;"N/A - Culvert"),"Not possible ▲",IF(VLOOKUP(O184,'G-7 WaterC'' Data'!$AD$4:$AE$14,2,FALSE)=0,"Spatial Data Missing ⚠",VLOOKUP(O184,'G-7 WaterC'' Data'!$AD$4:$AE$14,2,FALSE)))))</f>
        <v/>
      </c>
      <c r="Q184" s="282" t="str">
        <f>IF(D184="","",VLOOKUP(D184,'G-7 WaterC'' Data'!$B$4:$G$8,6,FALSE))</f>
        <v/>
      </c>
      <c r="R184" s="289" t="str">
        <f t="shared" si="25"/>
        <v xml:space="preserve"> </v>
      </c>
      <c r="S184" s="393"/>
      <c r="T184" s="281" t="str">
        <f>IF(S184="","",IF(VLOOKUP(S184,'G-7 WaterC'' Data'!$AO$4:$BO$7,2,FALSE)=0,"Spatial Data Missing ⚠",VLOOKUP(S184,'G-7 WaterC'' Data'!$AO$4:$BO$7,2,FALSE)))</f>
        <v/>
      </c>
      <c r="U184" s="289" t="str">
        <f t="shared" si="26"/>
        <v xml:space="preserve"> </v>
      </c>
      <c r="V184" s="694" t="str">
        <f t="shared" si="27"/>
        <v/>
      </c>
      <c r="W184" s="32"/>
      <c r="X184" s="101"/>
      <c r="Y184" s="108"/>
      <c r="Z184" s="287" t="str">
        <f t="shared" si="28"/>
        <v/>
      </c>
      <c r="AA184" s="287" t="str">
        <f t="shared" si="29"/>
        <v/>
      </c>
      <c r="AB184" s="287" t="str">
        <f t="shared" si="30"/>
        <v/>
      </c>
      <c r="AC184" s="491" t="str">
        <f>IFERROR(IF(OR(E184="",R184=""),"",IF(AND(AB184&lt;&gt;"",S184=""),"Spatial risk category missing ▲",IF(AND(Q184='G-7 WaterC'' Data'!$G$4,AD184="Yes"),"Alternative Compensation ✓",IF(AND(AD184="Pending",Q184='G-7 WaterC'' Data'!$G$4),"Bespoke compensation must be agreed ▲",IF((Z184+AA184)&gt;=U184,0,U184-Z184-AA184))))),"Check Data ⚠")</f>
        <v/>
      </c>
      <c r="AD184" s="393"/>
      <c r="AE184" s="105"/>
      <c r="AF184" s="104"/>
      <c r="AG184" s="104"/>
      <c r="AH184" s="104"/>
      <c r="AI184" s="54" t="str">
        <f>IF(OR(Q184="",AD184="Yes"),"",IF(Q184='G-1 All Habitats'!$X$9,E184-Y184-X184,"None"))</f>
        <v/>
      </c>
      <c r="AJ184" s="55" t="str">
        <f>IF(Q184="","",IF(Q184='G-1 All Habitats'!$X$9,AI184*G184*I184*L184*N184*P184,"None"))</f>
        <v/>
      </c>
      <c r="AK184" s="30" t="str">
        <f>IFERROR(INDEX('G-7 WaterC'' Data'!$AZ$3:$AZ$7,MATCH(D184,'G-7 WaterC'' Data'!$AY$3:$AY$7,0)),"")</f>
        <v/>
      </c>
      <c r="AL184" s="30">
        <f t="shared" si="31"/>
        <v>0</v>
      </c>
      <c r="AM184" s="107" t="str">
        <f t="shared" si="32"/>
        <v/>
      </c>
      <c r="AN184" s="107" t="str">
        <f t="shared" si="33"/>
        <v/>
      </c>
      <c r="AP184" s="107">
        <v>175</v>
      </c>
      <c r="AR184" s="107" t="str">
        <f t="array" ref="AR184">IFERROR(INDEX($AP$10:$AP$258,MATCH(0,IF(TRUE=$AM$10:$AM$258,COUNTIF($AR$9:$AR183,$AP$10:$AP$258),""),0)),"")</f>
        <v/>
      </c>
      <c r="AS184" s="107" t="str">
        <f t="array" ref="AS184">IFERROR(INDEX($AP$10:$AP$258,MATCH(0,IF(TRUE=$AN$10:$AN$258,COUNTIF($AS$9:$AS183,$AP$10:$AP$258),""),0)),"")</f>
        <v/>
      </c>
      <c r="AT184" s="885" t="str">
        <f>IF(AND(OR(AD184="Yes",AD184="Pending"),Q184='G-7 WaterC'' Data'!$G$4),U184-AA184-Z184,"0")</f>
        <v>0</v>
      </c>
      <c r="AU184" s="30" t="str">
        <f>IF(D184="","",VLOOKUP(D184,'G-7 WaterC'' Data'!B$4:M$8,12,FALSE))</f>
        <v/>
      </c>
      <c r="AV184" s="30" t="str">
        <f t="shared" si="24"/>
        <v/>
      </c>
      <c r="AW184" s="30" t="str">
        <f t="shared" si="34"/>
        <v>No</v>
      </c>
      <c r="BA184" s="555" t="str">
        <f t="shared" si="35"/>
        <v/>
      </c>
    </row>
    <row r="185" spans="3:53" ht="14.5" thickBot="1">
      <c r="C185" s="97">
        <v>176</v>
      </c>
      <c r="D185" s="263"/>
      <c r="E185" s="104"/>
      <c r="F185" s="275" t="str">
        <f>IF(D185="","",VLOOKUP(D185,'G-7 WaterC'' Data'!$B$2:$G$8,2,FALSE))</f>
        <v/>
      </c>
      <c r="G185" s="314" t="str">
        <f>IFERROR(VLOOKUP(F185,'G-7 WaterC'' Data'!$C$4:$D$8,2,FALSE),"")</f>
        <v/>
      </c>
      <c r="H185" s="105"/>
      <c r="I185" s="299" t="str">
        <f>IFERROR(INDEX('G-7 WaterC'' Data'!$H$4:$L$8,MATCH(D185,'G-7 WaterC'' Data'!$B$4:$B$8,0),MATCH(H185,'G-7 WaterC'' Data'!$H$3:$L$3,0)),"")</f>
        <v/>
      </c>
      <c r="J185" s="702"/>
      <c r="K185" s="295" t="str">
        <f>IF(J185="","",IF(VLOOKUP(J185,'G-7 WaterC'' Data'!$AK$4:$AM$9,2,FALSE)=0,"Spatial Data Missing ⚠",VLOOKUP(J185,'G-7 WaterC'' Data'!$AK$4:$AM$6,2,FALSE)))</f>
        <v/>
      </c>
      <c r="L185" s="299" t="str">
        <f>IF(J185="","",IF(VLOOKUP(J185,'G-7 WaterC'' Data'!$AK$4:$AM$9,3,FALSE)=0,"Spatial Data Missing ⚠",VLOOKUP(J185,'G-7 WaterC'' Data'!$AK$4:$AM$6,3,FALSE)))</f>
        <v/>
      </c>
      <c r="M185" s="102"/>
      <c r="N185" s="276" t="str">
        <f>IF(M185="","",IF(AND(M185="N/A - Culvert",D185&lt;&gt;"Culvert"),"Not possible ▲",IF(AND(D185="Culvert",M185&lt;&gt;"N/A - Culvert"),"Not possible ▲",IF(VLOOKUP(M185,'G-7 WaterC'' Data'!$AA$4:$AB$7,2,FALSE)=0,"Spatial Data Missing ⚠",VLOOKUP(M185,'G-7 WaterC'' Data'!$AA$4:$AB$7,2,FALSE)))))</f>
        <v/>
      </c>
      <c r="O185" s="56"/>
      <c r="P185" s="276" t="str">
        <f>IF(O185="","",IF(AND(O185="N/A - Culvert",D185&lt;&gt;"Culvert"),"Not possible ▲",IF(AND(D185="Culvert",O185&lt;&gt;"N/A - Culvert"),"Not possible ▲",IF(VLOOKUP(O185,'G-7 WaterC'' Data'!$AD$4:$AE$14,2,FALSE)=0,"Spatial Data Missing ⚠",VLOOKUP(O185,'G-7 WaterC'' Data'!$AD$4:$AE$14,2,FALSE)))))</f>
        <v/>
      </c>
      <c r="Q185" s="282" t="str">
        <f>IF(D185="","",VLOOKUP(D185,'G-7 WaterC'' Data'!$B$4:$G$8,6,FALSE))</f>
        <v/>
      </c>
      <c r="R185" s="289" t="str">
        <f t="shared" si="25"/>
        <v xml:space="preserve"> </v>
      </c>
      <c r="S185" s="393"/>
      <c r="T185" s="281" t="str">
        <f>IF(S185="","",IF(VLOOKUP(S185,'G-7 WaterC'' Data'!$AO$4:$BO$7,2,FALSE)=0,"Spatial Data Missing ⚠",VLOOKUP(S185,'G-7 WaterC'' Data'!$AO$4:$BO$7,2,FALSE)))</f>
        <v/>
      </c>
      <c r="U185" s="289" t="str">
        <f t="shared" si="26"/>
        <v xml:space="preserve"> </v>
      </c>
      <c r="V185" s="694" t="str">
        <f t="shared" si="27"/>
        <v/>
      </c>
      <c r="W185" s="32"/>
      <c r="X185" s="101"/>
      <c r="Y185" s="108"/>
      <c r="Z185" s="287" t="str">
        <f t="shared" si="28"/>
        <v/>
      </c>
      <c r="AA185" s="287" t="str">
        <f t="shared" si="29"/>
        <v/>
      </c>
      <c r="AB185" s="287" t="str">
        <f t="shared" si="30"/>
        <v/>
      </c>
      <c r="AC185" s="491" t="str">
        <f>IFERROR(IF(OR(E185="",R185=""),"",IF(AND(AB185&lt;&gt;"",S185=""),"Spatial risk category missing ▲",IF(AND(Q185='G-7 WaterC'' Data'!$G$4,AD185="Yes"),"Alternative Compensation ✓",IF(AND(AD185="Pending",Q185='G-7 WaterC'' Data'!$G$4),"Bespoke compensation must be agreed ▲",IF((Z185+AA185)&gt;=U185,0,U185-Z185-AA185))))),"Check Data ⚠")</f>
        <v/>
      </c>
      <c r="AD185" s="393"/>
      <c r="AE185" s="105"/>
      <c r="AF185" s="104"/>
      <c r="AG185" s="104"/>
      <c r="AH185" s="104"/>
      <c r="AI185" s="54" t="str">
        <f>IF(OR(Q185="",AD185="Yes"),"",IF(Q185='G-1 All Habitats'!$X$9,E185-Y185-X185,"None"))</f>
        <v/>
      </c>
      <c r="AJ185" s="55" t="str">
        <f>IF(Q185="","",IF(Q185='G-1 All Habitats'!$X$9,AI185*G185*I185*L185*N185*P185,"None"))</f>
        <v/>
      </c>
      <c r="AK185" s="30" t="str">
        <f>IFERROR(INDEX('G-7 WaterC'' Data'!$AZ$3:$AZ$7,MATCH(D185,'G-7 WaterC'' Data'!$AY$3:$AY$7,0)),"")</f>
        <v/>
      </c>
      <c r="AL185" s="30">
        <f t="shared" si="31"/>
        <v>0</v>
      </c>
      <c r="AM185" s="107" t="str">
        <f t="shared" si="32"/>
        <v/>
      </c>
      <c r="AN185" s="107" t="str">
        <f t="shared" si="33"/>
        <v/>
      </c>
      <c r="AP185" s="107">
        <v>176</v>
      </c>
      <c r="AR185" s="107" t="str">
        <f t="array" ref="AR185">IFERROR(INDEX($AP$10:$AP$258,MATCH(0,IF(TRUE=$AM$10:$AM$258,COUNTIF($AR$9:$AR184,$AP$10:$AP$258),""),0)),"")</f>
        <v/>
      </c>
      <c r="AS185" s="107" t="str">
        <f t="array" ref="AS185">IFERROR(INDEX($AP$10:$AP$258,MATCH(0,IF(TRUE=$AN$10:$AN$258,COUNTIF($AS$9:$AS184,$AP$10:$AP$258),""),0)),"")</f>
        <v/>
      </c>
      <c r="AT185" s="885" t="str">
        <f>IF(AND(OR(AD185="Yes",AD185="Pending"),Q185='G-7 WaterC'' Data'!$G$4),U185-AA185-Z185,"0")</f>
        <v>0</v>
      </c>
      <c r="AU185" s="30" t="str">
        <f>IF(D185="","",VLOOKUP(D185,'G-7 WaterC'' Data'!B$4:M$8,12,FALSE))</f>
        <v/>
      </c>
      <c r="AV185" s="30" t="str">
        <f t="shared" si="24"/>
        <v/>
      </c>
      <c r="AW185" s="30" t="str">
        <f t="shared" si="34"/>
        <v>No</v>
      </c>
      <c r="BA185" s="555" t="str">
        <f t="shared" si="35"/>
        <v/>
      </c>
    </row>
    <row r="186" spans="3:53" ht="14.5" thickBot="1">
      <c r="C186" s="97">
        <v>177</v>
      </c>
      <c r="D186" s="263"/>
      <c r="E186" s="104"/>
      <c r="F186" s="275" t="str">
        <f>IF(D186="","",VLOOKUP(D186,'G-7 WaterC'' Data'!$B$2:$G$8,2,FALSE))</f>
        <v/>
      </c>
      <c r="G186" s="314" t="str">
        <f>IFERROR(VLOOKUP(F186,'G-7 WaterC'' Data'!$C$4:$D$8,2,FALSE),"")</f>
        <v/>
      </c>
      <c r="H186" s="105"/>
      <c r="I186" s="299" t="str">
        <f>IFERROR(INDEX('G-7 WaterC'' Data'!$H$4:$L$8,MATCH(D186,'G-7 WaterC'' Data'!$B$4:$B$8,0),MATCH(H186,'G-7 WaterC'' Data'!$H$3:$L$3,0)),"")</f>
        <v/>
      </c>
      <c r="J186" s="702"/>
      <c r="K186" s="295" t="str">
        <f>IF(J186="","",IF(VLOOKUP(J186,'G-7 WaterC'' Data'!$AK$4:$AM$9,2,FALSE)=0,"Spatial Data Missing ⚠",VLOOKUP(J186,'G-7 WaterC'' Data'!$AK$4:$AM$6,2,FALSE)))</f>
        <v/>
      </c>
      <c r="L186" s="299" t="str">
        <f>IF(J186="","",IF(VLOOKUP(J186,'G-7 WaterC'' Data'!$AK$4:$AM$9,3,FALSE)=0,"Spatial Data Missing ⚠",VLOOKUP(J186,'G-7 WaterC'' Data'!$AK$4:$AM$6,3,FALSE)))</f>
        <v/>
      </c>
      <c r="M186" s="102"/>
      <c r="N186" s="276" t="str">
        <f>IF(M186="","",IF(AND(M186="N/A - Culvert",D186&lt;&gt;"Culvert"),"Not possible ▲",IF(AND(D186="Culvert",M186&lt;&gt;"N/A - Culvert"),"Not possible ▲",IF(VLOOKUP(M186,'G-7 WaterC'' Data'!$AA$4:$AB$7,2,FALSE)=0,"Spatial Data Missing ⚠",VLOOKUP(M186,'G-7 WaterC'' Data'!$AA$4:$AB$7,2,FALSE)))))</f>
        <v/>
      </c>
      <c r="O186" s="56"/>
      <c r="P186" s="276" t="str">
        <f>IF(O186="","",IF(AND(O186="N/A - Culvert",D186&lt;&gt;"Culvert"),"Not possible ▲",IF(AND(D186="Culvert",O186&lt;&gt;"N/A - Culvert"),"Not possible ▲",IF(VLOOKUP(O186,'G-7 WaterC'' Data'!$AD$4:$AE$14,2,FALSE)=0,"Spatial Data Missing ⚠",VLOOKUP(O186,'G-7 WaterC'' Data'!$AD$4:$AE$14,2,FALSE)))))</f>
        <v/>
      </c>
      <c r="Q186" s="282" t="str">
        <f>IF(D186="","",VLOOKUP(D186,'G-7 WaterC'' Data'!$B$4:$G$8,6,FALSE))</f>
        <v/>
      </c>
      <c r="R186" s="289" t="str">
        <f t="shared" si="25"/>
        <v xml:space="preserve"> </v>
      </c>
      <c r="S186" s="393"/>
      <c r="T186" s="281" t="str">
        <f>IF(S186="","",IF(VLOOKUP(S186,'G-7 WaterC'' Data'!$AO$4:$BO$7,2,FALSE)=0,"Spatial Data Missing ⚠",VLOOKUP(S186,'G-7 WaterC'' Data'!$AO$4:$BO$7,2,FALSE)))</f>
        <v/>
      </c>
      <c r="U186" s="289" t="str">
        <f t="shared" si="26"/>
        <v xml:space="preserve"> </v>
      </c>
      <c r="V186" s="694" t="str">
        <f t="shared" si="27"/>
        <v/>
      </c>
      <c r="W186" s="32"/>
      <c r="X186" s="101"/>
      <c r="Y186" s="108"/>
      <c r="Z186" s="287" t="str">
        <f t="shared" si="28"/>
        <v/>
      </c>
      <c r="AA186" s="287" t="str">
        <f t="shared" si="29"/>
        <v/>
      </c>
      <c r="AB186" s="287" t="str">
        <f t="shared" si="30"/>
        <v/>
      </c>
      <c r="AC186" s="491" t="str">
        <f>IFERROR(IF(OR(E186="",R186=""),"",IF(AND(AB186&lt;&gt;"",S186=""),"Spatial risk category missing ▲",IF(AND(Q186='G-7 WaterC'' Data'!$G$4,AD186="Yes"),"Alternative Compensation ✓",IF(AND(AD186="Pending",Q186='G-7 WaterC'' Data'!$G$4),"Bespoke compensation must be agreed ▲",IF((Z186+AA186)&gt;=U186,0,U186-Z186-AA186))))),"Check Data ⚠")</f>
        <v/>
      </c>
      <c r="AD186" s="393"/>
      <c r="AE186" s="105"/>
      <c r="AF186" s="104"/>
      <c r="AG186" s="104"/>
      <c r="AH186" s="104"/>
      <c r="AI186" s="54" t="str">
        <f>IF(OR(Q186="",AD186="Yes"),"",IF(Q186='G-1 All Habitats'!$X$9,E186-Y186-X186,"None"))</f>
        <v/>
      </c>
      <c r="AJ186" s="55" t="str">
        <f>IF(Q186="","",IF(Q186='G-1 All Habitats'!$X$9,AI186*G186*I186*L186*N186*P186,"None"))</f>
        <v/>
      </c>
      <c r="AK186" s="30" t="str">
        <f>IFERROR(INDEX('G-7 WaterC'' Data'!$AZ$3:$AZ$7,MATCH(D186,'G-7 WaterC'' Data'!$AY$3:$AY$7,0)),"")</f>
        <v/>
      </c>
      <c r="AL186" s="30">
        <f t="shared" si="31"/>
        <v>0</v>
      </c>
      <c r="AM186" s="107" t="str">
        <f t="shared" si="32"/>
        <v/>
      </c>
      <c r="AN186" s="107" t="str">
        <f t="shared" si="33"/>
        <v/>
      </c>
      <c r="AP186" s="107">
        <v>177</v>
      </c>
      <c r="AR186" s="107" t="str">
        <f t="array" ref="AR186">IFERROR(INDEX($AP$10:$AP$258,MATCH(0,IF(TRUE=$AM$10:$AM$258,COUNTIF($AR$9:$AR185,$AP$10:$AP$258),""),0)),"")</f>
        <v/>
      </c>
      <c r="AS186" s="107" t="str">
        <f t="array" ref="AS186">IFERROR(INDEX($AP$10:$AP$258,MATCH(0,IF(TRUE=$AN$10:$AN$258,COUNTIF($AS$9:$AS185,$AP$10:$AP$258),""),0)),"")</f>
        <v/>
      </c>
      <c r="AT186" s="885" t="str">
        <f>IF(AND(OR(AD186="Yes",AD186="Pending"),Q186='G-7 WaterC'' Data'!$G$4),U186-AA186-Z186,"0")</f>
        <v>0</v>
      </c>
      <c r="AU186" s="30" t="str">
        <f>IF(D186="","",VLOOKUP(D186,'G-7 WaterC'' Data'!B$4:M$8,12,FALSE))</f>
        <v/>
      </c>
      <c r="AV186" s="30" t="str">
        <f t="shared" si="24"/>
        <v/>
      </c>
      <c r="AW186" s="30" t="str">
        <f t="shared" si="34"/>
        <v>No</v>
      </c>
      <c r="BA186" s="555" t="str">
        <f t="shared" si="35"/>
        <v/>
      </c>
    </row>
    <row r="187" spans="3:53" ht="14.5" thickBot="1">
      <c r="C187" s="97">
        <v>178</v>
      </c>
      <c r="D187" s="263"/>
      <c r="E187" s="104"/>
      <c r="F187" s="275" t="str">
        <f>IF(D187="","",VLOOKUP(D187,'G-7 WaterC'' Data'!$B$2:$G$8,2,FALSE))</f>
        <v/>
      </c>
      <c r="G187" s="314" t="str">
        <f>IFERROR(VLOOKUP(F187,'G-7 WaterC'' Data'!$C$4:$D$8,2,FALSE),"")</f>
        <v/>
      </c>
      <c r="H187" s="105"/>
      <c r="I187" s="299" t="str">
        <f>IFERROR(INDEX('G-7 WaterC'' Data'!$H$4:$L$8,MATCH(D187,'G-7 WaterC'' Data'!$B$4:$B$8,0),MATCH(H187,'G-7 WaterC'' Data'!$H$3:$L$3,0)),"")</f>
        <v/>
      </c>
      <c r="J187" s="702"/>
      <c r="K187" s="295" t="str">
        <f>IF(J187="","",IF(VLOOKUP(J187,'G-7 WaterC'' Data'!$AK$4:$AM$9,2,FALSE)=0,"Spatial Data Missing ⚠",VLOOKUP(J187,'G-7 WaterC'' Data'!$AK$4:$AM$6,2,FALSE)))</f>
        <v/>
      </c>
      <c r="L187" s="299" t="str">
        <f>IF(J187="","",IF(VLOOKUP(J187,'G-7 WaterC'' Data'!$AK$4:$AM$9,3,FALSE)=0,"Spatial Data Missing ⚠",VLOOKUP(J187,'G-7 WaterC'' Data'!$AK$4:$AM$6,3,FALSE)))</f>
        <v/>
      </c>
      <c r="M187" s="102"/>
      <c r="N187" s="276" t="str">
        <f>IF(M187="","",IF(AND(M187="N/A - Culvert",D187&lt;&gt;"Culvert"),"Not possible ▲",IF(AND(D187="Culvert",M187&lt;&gt;"N/A - Culvert"),"Not possible ▲",IF(VLOOKUP(M187,'G-7 WaterC'' Data'!$AA$4:$AB$7,2,FALSE)=0,"Spatial Data Missing ⚠",VLOOKUP(M187,'G-7 WaterC'' Data'!$AA$4:$AB$7,2,FALSE)))))</f>
        <v/>
      </c>
      <c r="O187" s="56"/>
      <c r="P187" s="276" t="str">
        <f>IF(O187="","",IF(AND(O187="N/A - Culvert",D187&lt;&gt;"Culvert"),"Not possible ▲",IF(AND(D187="Culvert",O187&lt;&gt;"N/A - Culvert"),"Not possible ▲",IF(VLOOKUP(O187,'G-7 WaterC'' Data'!$AD$4:$AE$14,2,FALSE)=0,"Spatial Data Missing ⚠",VLOOKUP(O187,'G-7 WaterC'' Data'!$AD$4:$AE$14,2,FALSE)))))</f>
        <v/>
      </c>
      <c r="Q187" s="282" t="str">
        <f>IF(D187="","",VLOOKUP(D187,'G-7 WaterC'' Data'!$B$4:$G$8,6,FALSE))</f>
        <v/>
      </c>
      <c r="R187" s="289" t="str">
        <f t="shared" si="25"/>
        <v xml:space="preserve"> </v>
      </c>
      <c r="S187" s="393"/>
      <c r="T187" s="281" t="str">
        <f>IF(S187="","",IF(VLOOKUP(S187,'G-7 WaterC'' Data'!$AO$4:$BO$7,2,FALSE)=0,"Spatial Data Missing ⚠",VLOOKUP(S187,'G-7 WaterC'' Data'!$AO$4:$BO$7,2,FALSE)))</f>
        <v/>
      </c>
      <c r="U187" s="289" t="str">
        <f t="shared" si="26"/>
        <v xml:space="preserve"> </v>
      </c>
      <c r="V187" s="694" t="str">
        <f t="shared" si="27"/>
        <v/>
      </c>
      <c r="W187" s="32"/>
      <c r="X187" s="101"/>
      <c r="Y187" s="108"/>
      <c r="Z187" s="287" t="str">
        <f t="shared" si="28"/>
        <v/>
      </c>
      <c r="AA187" s="287" t="str">
        <f t="shared" si="29"/>
        <v/>
      </c>
      <c r="AB187" s="287" t="str">
        <f t="shared" si="30"/>
        <v/>
      </c>
      <c r="AC187" s="491" t="str">
        <f>IFERROR(IF(OR(E187="",R187=""),"",IF(AND(AB187&lt;&gt;"",S187=""),"Spatial risk category missing ▲",IF(AND(Q187='G-7 WaterC'' Data'!$G$4,AD187="Yes"),"Alternative Compensation ✓",IF(AND(AD187="Pending",Q187='G-7 WaterC'' Data'!$G$4),"Bespoke compensation must be agreed ▲",IF((Z187+AA187)&gt;=U187,0,U187-Z187-AA187))))),"Check Data ⚠")</f>
        <v/>
      </c>
      <c r="AD187" s="393"/>
      <c r="AE187" s="105"/>
      <c r="AF187" s="104"/>
      <c r="AG187" s="104"/>
      <c r="AH187" s="104"/>
      <c r="AI187" s="54" t="str">
        <f>IF(OR(Q187="",AD187="Yes"),"",IF(Q187='G-1 All Habitats'!$X$9,E187-Y187-X187,"None"))</f>
        <v/>
      </c>
      <c r="AJ187" s="55" t="str">
        <f>IF(Q187="","",IF(Q187='G-1 All Habitats'!$X$9,AI187*G187*I187*L187*N187*P187,"None"))</f>
        <v/>
      </c>
      <c r="AK187" s="30" t="str">
        <f>IFERROR(INDEX('G-7 WaterC'' Data'!$AZ$3:$AZ$7,MATCH(D187,'G-7 WaterC'' Data'!$AY$3:$AY$7,0)),"")</f>
        <v/>
      </c>
      <c r="AL187" s="30">
        <f t="shared" si="31"/>
        <v>0</v>
      </c>
      <c r="AM187" s="107" t="str">
        <f t="shared" si="32"/>
        <v/>
      </c>
      <c r="AN187" s="107" t="str">
        <f t="shared" si="33"/>
        <v/>
      </c>
      <c r="AP187" s="107">
        <v>178</v>
      </c>
      <c r="AR187" s="107" t="str">
        <f t="array" ref="AR187">IFERROR(INDEX($AP$10:$AP$258,MATCH(0,IF(TRUE=$AM$10:$AM$258,COUNTIF($AR$9:$AR186,$AP$10:$AP$258),""),0)),"")</f>
        <v/>
      </c>
      <c r="AS187" s="107" t="str">
        <f t="array" ref="AS187">IFERROR(INDEX($AP$10:$AP$258,MATCH(0,IF(TRUE=$AN$10:$AN$258,COUNTIF($AS$9:$AS186,$AP$10:$AP$258),""),0)),"")</f>
        <v/>
      </c>
      <c r="AT187" s="885" t="str">
        <f>IF(AND(OR(AD187="Yes",AD187="Pending"),Q187='G-7 WaterC'' Data'!$G$4),U187-AA187-Z187,"0")</f>
        <v>0</v>
      </c>
      <c r="AU187" s="30" t="str">
        <f>IF(D187="","",VLOOKUP(D187,'G-7 WaterC'' Data'!B$4:M$8,12,FALSE))</f>
        <v/>
      </c>
      <c r="AV187" s="30" t="str">
        <f t="shared" si="24"/>
        <v/>
      </c>
      <c r="AW187" s="30" t="str">
        <f t="shared" si="34"/>
        <v>No</v>
      </c>
      <c r="BA187" s="555" t="str">
        <f t="shared" si="35"/>
        <v/>
      </c>
    </row>
    <row r="188" spans="3:53" ht="14.5" thickBot="1">
      <c r="C188" s="97">
        <v>179</v>
      </c>
      <c r="D188" s="263"/>
      <c r="E188" s="104"/>
      <c r="F188" s="275" t="str">
        <f>IF(D188="","",VLOOKUP(D188,'G-7 WaterC'' Data'!$B$2:$G$8,2,FALSE))</f>
        <v/>
      </c>
      <c r="G188" s="314" t="str">
        <f>IFERROR(VLOOKUP(F188,'G-7 WaterC'' Data'!$C$4:$D$8,2,FALSE),"")</f>
        <v/>
      </c>
      <c r="H188" s="105"/>
      <c r="I188" s="299" t="str">
        <f>IFERROR(INDEX('G-7 WaterC'' Data'!$H$4:$L$8,MATCH(D188,'G-7 WaterC'' Data'!$B$4:$B$8,0),MATCH(H188,'G-7 WaterC'' Data'!$H$3:$L$3,0)),"")</f>
        <v/>
      </c>
      <c r="J188" s="702"/>
      <c r="K188" s="295" t="str">
        <f>IF(J188="","",IF(VLOOKUP(J188,'G-7 WaterC'' Data'!$AK$4:$AM$9,2,FALSE)=0,"Spatial Data Missing ⚠",VLOOKUP(J188,'G-7 WaterC'' Data'!$AK$4:$AM$6,2,FALSE)))</f>
        <v/>
      </c>
      <c r="L188" s="299" t="str">
        <f>IF(J188="","",IF(VLOOKUP(J188,'G-7 WaterC'' Data'!$AK$4:$AM$9,3,FALSE)=0,"Spatial Data Missing ⚠",VLOOKUP(J188,'G-7 WaterC'' Data'!$AK$4:$AM$6,3,FALSE)))</f>
        <v/>
      </c>
      <c r="M188" s="102"/>
      <c r="N188" s="276" t="str">
        <f>IF(M188="","",IF(AND(M188="N/A - Culvert",D188&lt;&gt;"Culvert"),"Not possible ▲",IF(AND(D188="Culvert",M188&lt;&gt;"N/A - Culvert"),"Not possible ▲",IF(VLOOKUP(M188,'G-7 WaterC'' Data'!$AA$4:$AB$7,2,FALSE)=0,"Spatial Data Missing ⚠",VLOOKUP(M188,'G-7 WaterC'' Data'!$AA$4:$AB$7,2,FALSE)))))</f>
        <v/>
      </c>
      <c r="O188" s="56"/>
      <c r="P188" s="276" t="str">
        <f>IF(O188="","",IF(AND(O188="N/A - Culvert",D188&lt;&gt;"Culvert"),"Not possible ▲",IF(AND(D188="Culvert",O188&lt;&gt;"N/A - Culvert"),"Not possible ▲",IF(VLOOKUP(O188,'G-7 WaterC'' Data'!$AD$4:$AE$14,2,FALSE)=0,"Spatial Data Missing ⚠",VLOOKUP(O188,'G-7 WaterC'' Data'!$AD$4:$AE$14,2,FALSE)))))</f>
        <v/>
      </c>
      <c r="Q188" s="282" t="str">
        <f>IF(D188="","",VLOOKUP(D188,'G-7 WaterC'' Data'!$B$4:$G$8,6,FALSE))</f>
        <v/>
      </c>
      <c r="R188" s="289" t="str">
        <f t="shared" si="25"/>
        <v xml:space="preserve"> </v>
      </c>
      <c r="S188" s="393"/>
      <c r="T188" s="281" t="str">
        <f>IF(S188="","",IF(VLOOKUP(S188,'G-7 WaterC'' Data'!$AO$4:$BO$7,2,FALSE)=0,"Spatial Data Missing ⚠",VLOOKUP(S188,'G-7 WaterC'' Data'!$AO$4:$BO$7,2,FALSE)))</f>
        <v/>
      </c>
      <c r="U188" s="289" t="str">
        <f t="shared" si="26"/>
        <v xml:space="preserve"> </v>
      </c>
      <c r="V188" s="694" t="str">
        <f t="shared" si="27"/>
        <v/>
      </c>
      <c r="W188" s="32"/>
      <c r="X188" s="101"/>
      <c r="Y188" s="108"/>
      <c r="Z188" s="287" t="str">
        <f t="shared" si="28"/>
        <v/>
      </c>
      <c r="AA188" s="287" t="str">
        <f t="shared" si="29"/>
        <v/>
      </c>
      <c r="AB188" s="287" t="str">
        <f t="shared" si="30"/>
        <v/>
      </c>
      <c r="AC188" s="491" t="str">
        <f>IFERROR(IF(OR(E188="",R188=""),"",IF(AND(AB188&lt;&gt;"",S188=""),"Spatial risk category missing ▲",IF(AND(Q188='G-7 WaterC'' Data'!$G$4,AD188="Yes"),"Alternative Compensation ✓",IF(AND(AD188="Pending",Q188='G-7 WaterC'' Data'!$G$4),"Bespoke compensation must be agreed ▲",IF((Z188+AA188)&gt;=U188,0,U188-Z188-AA188))))),"Check Data ⚠")</f>
        <v/>
      </c>
      <c r="AD188" s="393"/>
      <c r="AE188" s="105"/>
      <c r="AF188" s="104"/>
      <c r="AG188" s="104"/>
      <c r="AH188" s="104"/>
      <c r="AI188" s="54" t="str">
        <f>IF(OR(Q188="",AD188="Yes"),"",IF(Q188='G-1 All Habitats'!$X$9,E188-Y188-X188,"None"))</f>
        <v/>
      </c>
      <c r="AJ188" s="55" t="str">
        <f>IF(Q188="","",IF(Q188='G-1 All Habitats'!$X$9,AI188*G188*I188*L188*N188*P188,"None"))</f>
        <v/>
      </c>
      <c r="AK188" s="30" t="str">
        <f>IFERROR(INDEX('G-7 WaterC'' Data'!$AZ$3:$AZ$7,MATCH(D188,'G-7 WaterC'' Data'!$AY$3:$AY$7,0)),"")</f>
        <v/>
      </c>
      <c r="AL188" s="30">
        <f t="shared" si="31"/>
        <v>0</v>
      </c>
      <c r="AM188" s="107" t="str">
        <f t="shared" si="32"/>
        <v/>
      </c>
      <c r="AN188" s="107" t="str">
        <f t="shared" si="33"/>
        <v/>
      </c>
      <c r="AP188" s="107">
        <v>179</v>
      </c>
      <c r="AR188" s="107" t="str">
        <f t="array" ref="AR188">IFERROR(INDEX($AP$10:$AP$258,MATCH(0,IF(TRUE=$AM$10:$AM$258,COUNTIF($AR$9:$AR187,$AP$10:$AP$258),""),0)),"")</f>
        <v/>
      </c>
      <c r="AS188" s="107" t="str">
        <f t="array" ref="AS188">IFERROR(INDEX($AP$10:$AP$258,MATCH(0,IF(TRUE=$AN$10:$AN$258,COUNTIF($AS$9:$AS187,$AP$10:$AP$258),""),0)),"")</f>
        <v/>
      </c>
      <c r="AT188" s="885" t="str">
        <f>IF(AND(OR(AD188="Yes",AD188="Pending"),Q188='G-7 WaterC'' Data'!$G$4),U188-AA188-Z188,"0")</f>
        <v>0</v>
      </c>
      <c r="AU188" s="30" t="str">
        <f>IF(D188="","",VLOOKUP(D188,'G-7 WaterC'' Data'!B$4:M$8,12,FALSE))</f>
        <v/>
      </c>
      <c r="AV188" s="30" t="str">
        <f t="shared" si="24"/>
        <v/>
      </c>
      <c r="AW188" s="30" t="str">
        <f t="shared" si="34"/>
        <v>No</v>
      </c>
      <c r="BA188" s="555" t="str">
        <f t="shared" si="35"/>
        <v/>
      </c>
    </row>
    <row r="189" spans="3:53" ht="14.5" thickBot="1">
      <c r="C189" s="97">
        <v>180</v>
      </c>
      <c r="D189" s="263"/>
      <c r="E189" s="104"/>
      <c r="F189" s="275" t="str">
        <f>IF(D189="","",VLOOKUP(D189,'G-7 WaterC'' Data'!$B$2:$G$8,2,FALSE))</f>
        <v/>
      </c>
      <c r="G189" s="314" t="str">
        <f>IFERROR(VLOOKUP(F189,'G-7 WaterC'' Data'!$C$4:$D$8,2,FALSE),"")</f>
        <v/>
      </c>
      <c r="H189" s="105"/>
      <c r="I189" s="299" t="str">
        <f>IFERROR(INDEX('G-7 WaterC'' Data'!$H$4:$L$8,MATCH(D189,'G-7 WaterC'' Data'!$B$4:$B$8,0),MATCH(H189,'G-7 WaterC'' Data'!$H$3:$L$3,0)),"")</f>
        <v/>
      </c>
      <c r="J189" s="702"/>
      <c r="K189" s="295" t="str">
        <f>IF(J189="","",IF(VLOOKUP(J189,'G-7 WaterC'' Data'!$AK$4:$AM$9,2,FALSE)=0,"Spatial Data Missing ⚠",VLOOKUP(J189,'G-7 WaterC'' Data'!$AK$4:$AM$6,2,FALSE)))</f>
        <v/>
      </c>
      <c r="L189" s="299" t="str">
        <f>IF(J189="","",IF(VLOOKUP(J189,'G-7 WaterC'' Data'!$AK$4:$AM$9,3,FALSE)=0,"Spatial Data Missing ⚠",VLOOKUP(J189,'G-7 WaterC'' Data'!$AK$4:$AM$6,3,FALSE)))</f>
        <v/>
      </c>
      <c r="M189" s="102"/>
      <c r="N189" s="276" t="str">
        <f>IF(M189="","",IF(AND(M189="N/A - Culvert",D189&lt;&gt;"Culvert"),"Not possible ▲",IF(AND(D189="Culvert",M189&lt;&gt;"N/A - Culvert"),"Not possible ▲",IF(VLOOKUP(M189,'G-7 WaterC'' Data'!$AA$4:$AB$7,2,FALSE)=0,"Spatial Data Missing ⚠",VLOOKUP(M189,'G-7 WaterC'' Data'!$AA$4:$AB$7,2,FALSE)))))</f>
        <v/>
      </c>
      <c r="O189" s="56"/>
      <c r="P189" s="276" t="str">
        <f>IF(O189="","",IF(AND(O189="N/A - Culvert",D189&lt;&gt;"Culvert"),"Not possible ▲",IF(AND(D189="Culvert",O189&lt;&gt;"N/A - Culvert"),"Not possible ▲",IF(VLOOKUP(O189,'G-7 WaterC'' Data'!$AD$4:$AE$14,2,FALSE)=0,"Spatial Data Missing ⚠",VLOOKUP(O189,'G-7 WaterC'' Data'!$AD$4:$AE$14,2,FALSE)))))</f>
        <v/>
      </c>
      <c r="Q189" s="282" t="str">
        <f>IF(D189="","",VLOOKUP(D189,'G-7 WaterC'' Data'!$B$4:$G$8,6,FALSE))</f>
        <v/>
      </c>
      <c r="R189" s="289" t="str">
        <f t="shared" si="25"/>
        <v xml:space="preserve"> </v>
      </c>
      <c r="S189" s="393"/>
      <c r="T189" s="281" t="str">
        <f>IF(S189="","",IF(VLOOKUP(S189,'G-7 WaterC'' Data'!$AO$4:$BO$7,2,FALSE)=0,"Spatial Data Missing ⚠",VLOOKUP(S189,'G-7 WaterC'' Data'!$AO$4:$BO$7,2,FALSE)))</f>
        <v/>
      </c>
      <c r="U189" s="289" t="str">
        <f t="shared" si="26"/>
        <v xml:space="preserve"> </v>
      </c>
      <c r="V189" s="694" t="str">
        <f t="shared" si="27"/>
        <v/>
      </c>
      <c r="W189" s="32"/>
      <c r="X189" s="101"/>
      <c r="Y189" s="108"/>
      <c r="Z189" s="287" t="str">
        <f t="shared" si="28"/>
        <v/>
      </c>
      <c r="AA189" s="287" t="str">
        <f t="shared" si="29"/>
        <v/>
      </c>
      <c r="AB189" s="287" t="str">
        <f t="shared" si="30"/>
        <v/>
      </c>
      <c r="AC189" s="491" t="str">
        <f>IFERROR(IF(OR(E189="",R189=""),"",IF(AND(AB189&lt;&gt;"",S189=""),"Spatial risk category missing ▲",IF(AND(Q189='G-7 WaterC'' Data'!$G$4,AD189="Yes"),"Alternative Compensation ✓",IF(AND(AD189="Pending",Q189='G-7 WaterC'' Data'!$G$4),"Bespoke compensation must be agreed ▲",IF((Z189+AA189)&gt;=U189,0,U189-Z189-AA189))))),"Check Data ⚠")</f>
        <v/>
      </c>
      <c r="AD189" s="393"/>
      <c r="AE189" s="105"/>
      <c r="AF189" s="104"/>
      <c r="AG189" s="104"/>
      <c r="AH189" s="104"/>
      <c r="AI189" s="54" t="str">
        <f>IF(OR(Q189="",AD189="Yes"),"",IF(Q189='G-1 All Habitats'!$X$9,E189-Y189-X189,"None"))</f>
        <v/>
      </c>
      <c r="AJ189" s="55" t="str">
        <f>IF(Q189="","",IF(Q189='G-1 All Habitats'!$X$9,AI189*G189*I189*L189*N189*P189,"None"))</f>
        <v/>
      </c>
      <c r="AK189" s="30" t="str">
        <f>IFERROR(INDEX('G-7 WaterC'' Data'!$AZ$3:$AZ$7,MATCH(D189,'G-7 WaterC'' Data'!$AY$3:$AY$7,0)),"")</f>
        <v/>
      </c>
      <c r="AL189" s="30">
        <f t="shared" si="31"/>
        <v>0</v>
      </c>
      <c r="AM189" s="107" t="str">
        <f t="shared" si="32"/>
        <v/>
      </c>
      <c r="AN189" s="107" t="str">
        <f t="shared" si="33"/>
        <v/>
      </c>
      <c r="AP189" s="107">
        <v>180</v>
      </c>
      <c r="AR189" s="107" t="str">
        <f t="array" ref="AR189">IFERROR(INDEX($AP$10:$AP$258,MATCH(0,IF(TRUE=$AM$10:$AM$258,COUNTIF($AR$9:$AR188,$AP$10:$AP$258),""),0)),"")</f>
        <v/>
      </c>
      <c r="AS189" s="107" t="str">
        <f t="array" ref="AS189">IFERROR(INDEX($AP$10:$AP$258,MATCH(0,IF(TRUE=$AN$10:$AN$258,COUNTIF($AS$9:$AS188,$AP$10:$AP$258),""),0)),"")</f>
        <v/>
      </c>
      <c r="AT189" s="885" t="str">
        <f>IF(AND(OR(AD189="Yes",AD189="Pending"),Q189='G-7 WaterC'' Data'!$G$4),U189-AA189-Z189,"0")</f>
        <v>0</v>
      </c>
      <c r="AU189" s="30" t="str">
        <f>IF(D189="","",VLOOKUP(D189,'G-7 WaterC'' Data'!B$4:M$8,12,FALSE))</f>
        <v/>
      </c>
      <c r="AV189" s="30" t="str">
        <f t="shared" si="24"/>
        <v/>
      </c>
      <c r="AW189" s="30" t="str">
        <f t="shared" si="34"/>
        <v>No</v>
      </c>
      <c r="BA189" s="555" t="str">
        <f t="shared" si="35"/>
        <v/>
      </c>
    </row>
    <row r="190" spans="3:53" ht="14.5" thickBot="1">
      <c r="C190" s="97">
        <v>181</v>
      </c>
      <c r="D190" s="263"/>
      <c r="E190" s="104"/>
      <c r="F190" s="275" t="str">
        <f>IF(D190="","",VLOOKUP(D190,'G-7 WaterC'' Data'!$B$2:$G$8,2,FALSE))</f>
        <v/>
      </c>
      <c r="G190" s="314" t="str">
        <f>IFERROR(VLOOKUP(F190,'G-7 WaterC'' Data'!$C$4:$D$8,2,FALSE),"")</f>
        <v/>
      </c>
      <c r="H190" s="105"/>
      <c r="I190" s="299" t="str">
        <f>IFERROR(INDEX('G-7 WaterC'' Data'!$H$4:$L$8,MATCH(D190,'G-7 WaterC'' Data'!$B$4:$B$8,0),MATCH(H190,'G-7 WaterC'' Data'!$H$3:$L$3,0)),"")</f>
        <v/>
      </c>
      <c r="J190" s="702"/>
      <c r="K190" s="295" t="str">
        <f>IF(J190="","",IF(VLOOKUP(J190,'G-7 WaterC'' Data'!$AK$4:$AM$9,2,FALSE)=0,"Spatial Data Missing ⚠",VLOOKUP(J190,'G-7 WaterC'' Data'!$AK$4:$AM$6,2,FALSE)))</f>
        <v/>
      </c>
      <c r="L190" s="299" t="str">
        <f>IF(J190="","",IF(VLOOKUP(J190,'G-7 WaterC'' Data'!$AK$4:$AM$9,3,FALSE)=0,"Spatial Data Missing ⚠",VLOOKUP(J190,'G-7 WaterC'' Data'!$AK$4:$AM$6,3,FALSE)))</f>
        <v/>
      </c>
      <c r="M190" s="102"/>
      <c r="N190" s="276" t="str">
        <f>IF(M190="","",IF(AND(M190="N/A - Culvert",D190&lt;&gt;"Culvert"),"Not possible ▲",IF(AND(D190="Culvert",M190&lt;&gt;"N/A - Culvert"),"Not possible ▲",IF(VLOOKUP(M190,'G-7 WaterC'' Data'!$AA$4:$AB$7,2,FALSE)=0,"Spatial Data Missing ⚠",VLOOKUP(M190,'G-7 WaterC'' Data'!$AA$4:$AB$7,2,FALSE)))))</f>
        <v/>
      </c>
      <c r="O190" s="56"/>
      <c r="P190" s="276" t="str">
        <f>IF(O190="","",IF(AND(O190="N/A - Culvert",D190&lt;&gt;"Culvert"),"Not possible ▲",IF(AND(D190="Culvert",O190&lt;&gt;"N/A - Culvert"),"Not possible ▲",IF(VLOOKUP(O190,'G-7 WaterC'' Data'!$AD$4:$AE$14,2,FALSE)=0,"Spatial Data Missing ⚠",VLOOKUP(O190,'G-7 WaterC'' Data'!$AD$4:$AE$14,2,FALSE)))))</f>
        <v/>
      </c>
      <c r="Q190" s="282" t="str">
        <f>IF(D190="","",VLOOKUP(D190,'G-7 WaterC'' Data'!$B$4:$G$8,6,FALSE))</f>
        <v/>
      </c>
      <c r="R190" s="289" t="str">
        <f t="shared" si="25"/>
        <v xml:space="preserve"> </v>
      </c>
      <c r="S190" s="393"/>
      <c r="T190" s="281" t="str">
        <f>IF(S190="","",IF(VLOOKUP(S190,'G-7 WaterC'' Data'!$AO$4:$BO$7,2,FALSE)=0,"Spatial Data Missing ⚠",VLOOKUP(S190,'G-7 WaterC'' Data'!$AO$4:$BO$7,2,FALSE)))</f>
        <v/>
      </c>
      <c r="U190" s="289" t="str">
        <f t="shared" si="26"/>
        <v xml:space="preserve"> </v>
      </c>
      <c r="V190" s="694" t="str">
        <f t="shared" si="27"/>
        <v/>
      </c>
      <c r="W190" s="32"/>
      <c r="X190" s="101"/>
      <c r="Y190" s="108"/>
      <c r="Z190" s="287" t="str">
        <f t="shared" si="28"/>
        <v/>
      </c>
      <c r="AA190" s="287" t="str">
        <f t="shared" si="29"/>
        <v/>
      </c>
      <c r="AB190" s="287" t="str">
        <f t="shared" si="30"/>
        <v/>
      </c>
      <c r="AC190" s="491" t="str">
        <f>IFERROR(IF(OR(E190="",R190=""),"",IF(AND(AB190&lt;&gt;"",S190=""),"Spatial risk category missing ▲",IF(AND(Q190='G-7 WaterC'' Data'!$G$4,AD190="Yes"),"Alternative Compensation ✓",IF(AND(AD190="Pending",Q190='G-7 WaterC'' Data'!$G$4),"Bespoke compensation must be agreed ▲",IF((Z190+AA190)&gt;=U190,0,U190-Z190-AA190))))),"Check Data ⚠")</f>
        <v/>
      </c>
      <c r="AD190" s="393"/>
      <c r="AE190" s="105"/>
      <c r="AF190" s="104"/>
      <c r="AG190" s="104"/>
      <c r="AH190" s="104"/>
      <c r="AI190" s="54" t="str">
        <f>IF(OR(Q190="",AD190="Yes"),"",IF(Q190='G-1 All Habitats'!$X$9,E190-Y190-X190,"None"))</f>
        <v/>
      </c>
      <c r="AJ190" s="55" t="str">
        <f>IF(Q190="","",IF(Q190='G-1 All Habitats'!$X$9,AI190*G190*I190*L190*N190*P190,"None"))</f>
        <v/>
      </c>
      <c r="AK190" s="30" t="str">
        <f>IFERROR(INDEX('G-7 WaterC'' Data'!$AZ$3:$AZ$7,MATCH(D190,'G-7 WaterC'' Data'!$AY$3:$AY$7,0)),"")</f>
        <v/>
      </c>
      <c r="AL190" s="30">
        <f t="shared" si="31"/>
        <v>0</v>
      </c>
      <c r="AM190" s="107" t="str">
        <f t="shared" si="32"/>
        <v/>
      </c>
      <c r="AN190" s="107" t="str">
        <f t="shared" si="33"/>
        <v/>
      </c>
      <c r="AP190" s="107">
        <v>181</v>
      </c>
      <c r="AR190" s="107" t="str">
        <f t="array" ref="AR190">IFERROR(INDEX($AP$10:$AP$258,MATCH(0,IF(TRUE=$AM$10:$AM$258,COUNTIF($AR$9:$AR189,$AP$10:$AP$258),""),0)),"")</f>
        <v/>
      </c>
      <c r="AS190" s="107" t="str">
        <f t="array" ref="AS190">IFERROR(INDEX($AP$10:$AP$258,MATCH(0,IF(TRUE=$AN$10:$AN$258,COUNTIF($AS$9:$AS189,$AP$10:$AP$258),""),0)),"")</f>
        <v/>
      </c>
      <c r="AT190" s="885" t="str">
        <f>IF(AND(OR(AD190="Yes",AD190="Pending"),Q190='G-7 WaterC'' Data'!$G$4),U190-AA190-Z190,"0")</f>
        <v>0</v>
      </c>
      <c r="AU190" s="30" t="str">
        <f>IF(D190="","",VLOOKUP(D190,'G-7 WaterC'' Data'!B$4:M$8,12,FALSE))</f>
        <v/>
      </c>
      <c r="AV190" s="30" t="str">
        <f t="shared" si="24"/>
        <v/>
      </c>
      <c r="AW190" s="30" t="str">
        <f t="shared" si="34"/>
        <v>No</v>
      </c>
      <c r="BA190" s="555" t="str">
        <f t="shared" si="35"/>
        <v/>
      </c>
    </row>
    <row r="191" spans="3:53" ht="14.5" thickBot="1">
      <c r="C191" s="97">
        <v>182</v>
      </c>
      <c r="D191" s="263"/>
      <c r="E191" s="104"/>
      <c r="F191" s="275" t="str">
        <f>IF(D191="","",VLOOKUP(D191,'G-7 WaterC'' Data'!$B$2:$G$8,2,FALSE))</f>
        <v/>
      </c>
      <c r="G191" s="314" t="str">
        <f>IFERROR(VLOOKUP(F191,'G-7 WaterC'' Data'!$C$4:$D$8,2,FALSE),"")</f>
        <v/>
      </c>
      <c r="H191" s="105"/>
      <c r="I191" s="299" t="str">
        <f>IFERROR(INDEX('G-7 WaterC'' Data'!$H$4:$L$8,MATCH(D191,'G-7 WaterC'' Data'!$B$4:$B$8,0),MATCH(H191,'G-7 WaterC'' Data'!$H$3:$L$3,0)),"")</f>
        <v/>
      </c>
      <c r="J191" s="702"/>
      <c r="K191" s="295" t="str">
        <f>IF(J191="","",IF(VLOOKUP(J191,'G-7 WaterC'' Data'!$AK$4:$AM$9,2,FALSE)=0,"Spatial Data Missing ⚠",VLOOKUP(J191,'G-7 WaterC'' Data'!$AK$4:$AM$6,2,FALSE)))</f>
        <v/>
      </c>
      <c r="L191" s="299" t="str">
        <f>IF(J191="","",IF(VLOOKUP(J191,'G-7 WaterC'' Data'!$AK$4:$AM$9,3,FALSE)=0,"Spatial Data Missing ⚠",VLOOKUP(J191,'G-7 WaterC'' Data'!$AK$4:$AM$6,3,FALSE)))</f>
        <v/>
      </c>
      <c r="M191" s="102"/>
      <c r="N191" s="276" t="str">
        <f>IF(M191="","",IF(AND(M191="N/A - Culvert",D191&lt;&gt;"Culvert"),"Not possible ▲",IF(AND(D191="Culvert",M191&lt;&gt;"N/A - Culvert"),"Not possible ▲",IF(VLOOKUP(M191,'G-7 WaterC'' Data'!$AA$4:$AB$7,2,FALSE)=0,"Spatial Data Missing ⚠",VLOOKUP(M191,'G-7 WaterC'' Data'!$AA$4:$AB$7,2,FALSE)))))</f>
        <v/>
      </c>
      <c r="O191" s="56"/>
      <c r="P191" s="276" t="str">
        <f>IF(O191="","",IF(AND(O191="N/A - Culvert",D191&lt;&gt;"Culvert"),"Not possible ▲",IF(AND(D191="Culvert",O191&lt;&gt;"N/A - Culvert"),"Not possible ▲",IF(VLOOKUP(O191,'G-7 WaterC'' Data'!$AD$4:$AE$14,2,FALSE)=0,"Spatial Data Missing ⚠",VLOOKUP(O191,'G-7 WaterC'' Data'!$AD$4:$AE$14,2,FALSE)))))</f>
        <v/>
      </c>
      <c r="Q191" s="282" t="str">
        <f>IF(D191="","",VLOOKUP(D191,'G-7 WaterC'' Data'!$B$4:$G$8,6,FALSE))</f>
        <v/>
      </c>
      <c r="R191" s="289" t="str">
        <f t="shared" si="25"/>
        <v xml:space="preserve"> </v>
      </c>
      <c r="S191" s="393"/>
      <c r="T191" s="281" t="str">
        <f>IF(S191="","",IF(VLOOKUP(S191,'G-7 WaterC'' Data'!$AO$4:$BO$7,2,FALSE)=0,"Spatial Data Missing ⚠",VLOOKUP(S191,'G-7 WaterC'' Data'!$AO$4:$BO$7,2,FALSE)))</f>
        <v/>
      </c>
      <c r="U191" s="289" t="str">
        <f t="shared" si="26"/>
        <v xml:space="preserve"> </v>
      </c>
      <c r="V191" s="694" t="str">
        <f t="shared" si="27"/>
        <v/>
      </c>
      <c r="W191" s="32"/>
      <c r="X191" s="101"/>
      <c r="Y191" s="108"/>
      <c r="Z191" s="287" t="str">
        <f t="shared" si="28"/>
        <v/>
      </c>
      <c r="AA191" s="287" t="str">
        <f t="shared" si="29"/>
        <v/>
      </c>
      <c r="AB191" s="287" t="str">
        <f t="shared" si="30"/>
        <v/>
      </c>
      <c r="AC191" s="491" t="str">
        <f>IFERROR(IF(OR(E191="",R191=""),"",IF(AND(AB191&lt;&gt;"",S191=""),"Spatial risk category missing ▲",IF(AND(Q191='G-7 WaterC'' Data'!$G$4,AD191="Yes"),"Alternative Compensation ✓",IF(AND(AD191="Pending",Q191='G-7 WaterC'' Data'!$G$4),"Bespoke compensation must be agreed ▲",IF((Z191+AA191)&gt;=U191,0,U191-Z191-AA191))))),"Check Data ⚠")</f>
        <v/>
      </c>
      <c r="AD191" s="393"/>
      <c r="AE191" s="105"/>
      <c r="AF191" s="104"/>
      <c r="AG191" s="104"/>
      <c r="AH191" s="104"/>
      <c r="AI191" s="54" t="str">
        <f>IF(OR(Q191="",AD191="Yes"),"",IF(Q191='G-1 All Habitats'!$X$9,E191-Y191-X191,"None"))</f>
        <v/>
      </c>
      <c r="AJ191" s="55" t="str">
        <f>IF(Q191="","",IF(Q191='G-1 All Habitats'!$X$9,AI191*G191*I191*L191*N191*P191,"None"))</f>
        <v/>
      </c>
      <c r="AK191" s="30" t="str">
        <f>IFERROR(INDEX('G-7 WaterC'' Data'!$AZ$3:$AZ$7,MATCH(D191,'G-7 WaterC'' Data'!$AY$3:$AY$7,0)),"")</f>
        <v/>
      </c>
      <c r="AL191" s="30">
        <f t="shared" si="31"/>
        <v>0</v>
      </c>
      <c r="AM191" s="107" t="str">
        <f t="shared" si="32"/>
        <v/>
      </c>
      <c r="AN191" s="107" t="str">
        <f t="shared" si="33"/>
        <v/>
      </c>
      <c r="AP191" s="107">
        <v>182</v>
      </c>
      <c r="AR191" s="107" t="str">
        <f t="array" ref="AR191">IFERROR(INDEX($AP$10:$AP$258,MATCH(0,IF(TRUE=$AM$10:$AM$258,COUNTIF($AR$9:$AR190,$AP$10:$AP$258),""),0)),"")</f>
        <v/>
      </c>
      <c r="AS191" s="107" t="str">
        <f t="array" ref="AS191">IFERROR(INDEX($AP$10:$AP$258,MATCH(0,IF(TRUE=$AN$10:$AN$258,COUNTIF($AS$9:$AS190,$AP$10:$AP$258),""),0)),"")</f>
        <v/>
      </c>
      <c r="AT191" s="885" t="str">
        <f>IF(AND(OR(AD191="Yes",AD191="Pending"),Q191='G-7 WaterC'' Data'!$G$4),U191-AA191-Z191,"0")</f>
        <v>0</v>
      </c>
      <c r="AU191" s="30" t="str">
        <f>IF(D191="","",VLOOKUP(D191,'G-7 WaterC'' Data'!B$4:M$8,12,FALSE))</f>
        <v/>
      </c>
      <c r="AV191" s="30" t="str">
        <f t="shared" si="24"/>
        <v/>
      </c>
      <c r="AW191" s="30" t="str">
        <f t="shared" si="34"/>
        <v>No</v>
      </c>
      <c r="BA191" s="555" t="str">
        <f t="shared" si="35"/>
        <v/>
      </c>
    </row>
    <row r="192" spans="3:53" ht="14.5" thickBot="1">
      <c r="C192" s="97">
        <v>183</v>
      </c>
      <c r="D192" s="263"/>
      <c r="E192" s="104"/>
      <c r="F192" s="275" t="str">
        <f>IF(D192="","",VLOOKUP(D192,'G-7 WaterC'' Data'!$B$2:$G$8,2,FALSE))</f>
        <v/>
      </c>
      <c r="G192" s="314" t="str">
        <f>IFERROR(VLOOKUP(F192,'G-7 WaterC'' Data'!$C$4:$D$8,2,FALSE),"")</f>
        <v/>
      </c>
      <c r="H192" s="105"/>
      <c r="I192" s="299" t="str">
        <f>IFERROR(INDEX('G-7 WaterC'' Data'!$H$4:$L$8,MATCH(D192,'G-7 WaterC'' Data'!$B$4:$B$8,0),MATCH(H192,'G-7 WaterC'' Data'!$H$3:$L$3,0)),"")</f>
        <v/>
      </c>
      <c r="J192" s="702"/>
      <c r="K192" s="295" t="str">
        <f>IF(J192="","",IF(VLOOKUP(J192,'G-7 WaterC'' Data'!$AK$4:$AM$9,2,FALSE)=0,"Spatial Data Missing ⚠",VLOOKUP(J192,'G-7 WaterC'' Data'!$AK$4:$AM$6,2,FALSE)))</f>
        <v/>
      </c>
      <c r="L192" s="299" t="str">
        <f>IF(J192="","",IF(VLOOKUP(J192,'G-7 WaterC'' Data'!$AK$4:$AM$9,3,FALSE)=0,"Spatial Data Missing ⚠",VLOOKUP(J192,'G-7 WaterC'' Data'!$AK$4:$AM$6,3,FALSE)))</f>
        <v/>
      </c>
      <c r="M192" s="102"/>
      <c r="N192" s="276" t="str">
        <f>IF(M192="","",IF(AND(M192="N/A - Culvert",D192&lt;&gt;"Culvert"),"Not possible ▲",IF(AND(D192="Culvert",M192&lt;&gt;"N/A - Culvert"),"Not possible ▲",IF(VLOOKUP(M192,'G-7 WaterC'' Data'!$AA$4:$AB$7,2,FALSE)=0,"Spatial Data Missing ⚠",VLOOKUP(M192,'G-7 WaterC'' Data'!$AA$4:$AB$7,2,FALSE)))))</f>
        <v/>
      </c>
      <c r="O192" s="56"/>
      <c r="P192" s="276" t="str">
        <f>IF(O192="","",IF(AND(O192="N/A - Culvert",D192&lt;&gt;"Culvert"),"Not possible ▲",IF(AND(D192="Culvert",O192&lt;&gt;"N/A - Culvert"),"Not possible ▲",IF(VLOOKUP(O192,'G-7 WaterC'' Data'!$AD$4:$AE$14,2,FALSE)=0,"Spatial Data Missing ⚠",VLOOKUP(O192,'G-7 WaterC'' Data'!$AD$4:$AE$14,2,FALSE)))))</f>
        <v/>
      </c>
      <c r="Q192" s="282" t="str">
        <f>IF(D192="","",VLOOKUP(D192,'G-7 WaterC'' Data'!$B$4:$G$8,6,FALSE))</f>
        <v/>
      </c>
      <c r="R192" s="289" t="str">
        <f t="shared" si="25"/>
        <v xml:space="preserve"> </v>
      </c>
      <c r="S192" s="393"/>
      <c r="T192" s="281" t="str">
        <f>IF(S192="","",IF(VLOOKUP(S192,'G-7 WaterC'' Data'!$AO$4:$BO$7,2,FALSE)=0,"Spatial Data Missing ⚠",VLOOKUP(S192,'G-7 WaterC'' Data'!$AO$4:$BO$7,2,FALSE)))</f>
        <v/>
      </c>
      <c r="U192" s="289" t="str">
        <f t="shared" si="26"/>
        <v xml:space="preserve"> </v>
      </c>
      <c r="V192" s="694" t="str">
        <f t="shared" si="27"/>
        <v/>
      </c>
      <c r="W192" s="32"/>
      <c r="X192" s="101"/>
      <c r="Y192" s="108"/>
      <c r="Z192" s="287" t="str">
        <f t="shared" si="28"/>
        <v/>
      </c>
      <c r="AA192" s="287" t="str">
        <f t="shared" si="29"/>
        <v/>
      </c>
      <c r="AB192" s="287" t="str">
        <f t="shared" si="30"/>
        <v/>
      </c>
      <c r="AC192" s="491" t="str">
        <f>IFERROR(IF(OR(E192="",R192=""),"",IF(AND(AB192&lt;&gt;"",S192=""),"Spatial risk category missing ▲",IF(AND(Q192='G-7 WaterC'' Data'!$G$4,AD192="Yes"),"Alternative Compensation ✓",IF(AND(AD192="Pending",Q192='G-7 WaterC'' Data'!$G$4),"Bespoke compensation must be agreed ▲",IF((Z192+AA192)&gt;=U192,0,U192-Z192-AA192))))),"Check Data ⚠")</f>
        <v/>
      </c>
      <c r="AD192" s="393"/>
      <c r="AE192" s="105"/>
      <c r="AF192" s="104"/>
      <c r="AG192" s="104"/>
      <c r="AH192" s="104"/>
      <c r="AI192" s="54" t="str">
        <f>IF(OR(Q192="",AD192="Yes"),"",IF(Q192='G-1 All Habitats'!$X$9,E192-Y192-X192,"None"))</f>
        <v/>
      </c>
      <c r="AJ192" s="55" t="str">
        <f>IF(Q192="","",IF(Q192='G-1 All Habitats'!$X$9,AI192*G192*I192*L192*N192*P192,"None"))</f>
        <v/>
      </c>
      <c r="AK192" s="30" t="str">
        <f>IFERROR(INDEX('G-7 WaterC'' Data'!$AZ$3:$AZ$7,MATCH(D192,'G-7 WaterC'' Data'!$AY$3:$AY$7,0)),"")</f>
        <v/>
      </c>
      <c r="AL192" s="30">
        <f t="shared" si="31"/>
        <v>0</v>
      </c>
      <c r="AM192" s="107" t="str">
        <f t="shared" si="32"/>
        <v/>
      </c>
      <c r="AN192" s="107" t="str">
        <f t="shared" si="33"/>
        <v/>
      </c>
      <c r="AP192" s="107">
        <v>183</v>
      </c>
      <c r="AR192" s="107" t="str">
        <f t="array" ref="AR192">IFERROR(INDEX($AP$10:$AP$258,MATCH(0,IF(TRUE=$AM$10:$AM$258,COUNTIF($AR$9:$AR191,$AP$10:$AP$258),""),0)),"")</f>
        <v/>
      </c>
      <c r="AS192" s="107" t="str">
        <f t="array" ref="AS192">IFERROR(INDEX($AP$10:$AP$258,MATCH(0,IF(TRUE=$AN$10:$AN$258,COUNTIF($AS$9:$AS191,$AP$10:$AP$258),""),0)),"")</f>
        <v/>
      </c>
      <c r="AT192" s="885" t="str">
        <f>IF(AND(OR(AD192="Yes",AD192="Pending"),Q192='G-7 WaterC'' Data'!$G$4),U192-AA192-Z192,"0")</f>
        <v>0</v>
      </c>
      <c r="AU192" s="30" t="str">
        <f>IF(D192="","",VLOOKUP(D192,'G-7 WaterC'' Data'!B$4:M$8,12,FALSE))</f>
        <v/>
      </c>
      <c r="AV192" s="30" t="str">
        <f t="shared" si="24"/>
        <v/>
      </c>
      <c r="AW192" s="30" t="str">
        <f t="shared" si="34"/>
        <v>No</v>
      </c>
      <c r="BA192" s="555" t="str">
        <f t="shared" si="35"/>
        <v/>
      </c>
    </row>
    <row r="193" spans="3:53" ht="14.5" thickBot="1">
      <c r="C193" s="97">
        <v>184</v>
      </c>
      <c r="D193" s="263"/>
      <c r="E193" s="104"/>
      <c r="F193" s="275" t="str">
        <f>IF(D193="","",VLOOKUP(D193,'G-7 WaterC'' Data'!$B$2:$G$8,2,FALSE))</f>
        <v/>
      </c>
      <c r="G193" s="314" t="str">
        <f>IFERROR(VLOOKUP(F193,'G-7 WaterC'' Data'!$C$4:$D$8,2,FALSE),"")</f>
        <v/>
      </c>
      <c r="H193" s="105"/>
      <c r="I193" s="299" t="str">
        <f>IFERROR(INDEX('G-7 WaterC'' Data'!$H$4:$L$8,MATCH(D193,'G-7 WaterC'' Data'!$B$4:$B$8,0),MATCH(H193,'G-7 WaterC'' Data'!$H$3:$L$3,0)),"")</f>
        <v/>
      </c>
      <c r="J193" s="702"/>
      <c r="K193" s="295" t="str">
        <f>IF(J193="","",IF(VLOOKUP(J193,'G-7 WaterC'' Data'!$AK$4:$AM$9,2,FALSE)=0,"Spatial Data Missing ⚠",VLOOKUP(J193,'G-7 WaterC'' Data'!$AK$4:$AM$6,2,FALSE)))</f>
        <v/>
      </c>
      <c r="L193" s="299" t="str">
        <f>IF(J193="","",IF(VLOOKUP(J193,'G-7 WaterC'' Data'!$AK$4:$AM$9,3,FALSE)=0,"Spatial Data Missing ⚠",VLOOKUP(J193,'G-7 WaterC'' Data'!$AK$4:$AM$6,3,FALSE)))</f>
        <v/>
      </c>
      <c r="M193" s="102"/>
      <c r="N193" s="276" t="str">
        <f>IF(M193="","",IF(AND(M193="N/A - Culvert",D193&lt;&gt;"Culvert"),"Not possible ▲",IF(AND(D193="Culvert",M193&lt;&gt;"N/A - Culvert"),"Not possible ▲",IF(VLOOKUP(M193,'G-7 WaterC'' Data'!$AA$4:$AB$7,2,FALSE)=0,"Spatial Data Missing ⚠",VLOOKUP(M193,'G-7 WaterC'' Data'!$AA$4:$AB$7,2,FALSE)))))</f>
        <v/>
      </c>
      <c r="O193" s="56"/>
      <c r="P193" s="276" t="str">
        <f>IF(O193="","",IF(AND(O193="N/A - Culvert",D193&lt;&gt;"Culvert"),"Not possible ▲",IF(AND(D193="Culvert",O193&lt;&gt;"N/A - Culvert"),"Not possible ▲",IF(VLOOKUP(O193,'G-7 WaterC'' Data'!$AD$4:$AE$14,2,FALSE)=0,"Spatial Data Missing ⚠",VLOOKUP(O193,'G-7 WaterC'' Data'!$AD$4:$AE$14,2,FALSE)))))</f>
        <v/>
      </c>
      <c r="Q193" s="282" t="str">
        <f>IF(D193="","",VLOOKUP(D193,'G-7 WaterC'' Data'!$B$4:$G$8,6,FALSE))</f>
        <v/>
      </c>
      <c r="R193" s="289" t="str">
        <f t="shared" si="25"/>
        <v xml:space="preserve"> </v>
      </c>
      <c r="S193" s="393"/>
      <c r="T193" s="281" t="str">
        <f>IF(S193="","",IF(VLOOKUP(S193,'G-7 WaterC'' Data'!$AO$4:$BO$7,2,FALSE)=0,"Spatial Data Missing ⚠",VLOOKUP(S193,'G-7 WaterC'' Data'!$AO$4:$BO$7,2,FALSE)))</f>
        <v/>
      </c>
      <c r="U193" s="289" t="str">
        <f t="shared" si="26"/>
        <v xml:space="preserve"> </v>
      </c>
      <c r="V193" s="694" t="str">
        <f t="shared" si="27"/>
        <v/>
      </c>
      <c r="W193" s="32"/>
      <c r="X193" s="101"/>
      <c r="Y193" s="108"/>
      <c r="Z193" s="287" t="str">
        <f t="shared" si="28"/>
        <v/>
      </c>
      <c r="AA193" s="287" t="str">
        <f t="shared" si="29"/>
        <v/>
      </c>
      <c r="AB193" s="287" t="str">
        <f t="shared" si="30"/>
        <v/>
      </c>
      <c r="AC193" s="491" t="str">
        <f>IFERROR(IF(OR(E193="",R193=""),"",IF(AND(AB193&lt;&gt;"",S193=""),"Spatial risk category missing ▲",IF(AND(Q193='G-7 WaterC'' Data'!$G$4,AD193="Yes"),"Alternative Compensation ✓",IF(AND(AD193="Pending",Q193='G-7 WaterC'' Data'!$G$4),"Bespoke compensation must be agreed ▲",IF((Z193+AA193)&gt;=U193,0,U193-Z193-AA193))))),"Check Data ⚠")</f>
        <v/>
      </c>
      <c r="AD193" s="393"/>
      <c r="AE193" s="105"/>
      <c r="AF193" s="104"/>
      <c r="AG193" s="104"/>
      <c r="AH193" s="104"/>
      <c r="AI193" s="54" t="str">
        <f>IF(OR(Q193="",AD193="Yes"),"",IF(Q193='G-1 All Habitats'!$X$9,E193-Y193-X193,"None"))</f>
        <v/>
      </c>
      <c r="AJ193" s="55" t="str">
        <f>IF(Q193="","",IF(Q193='G-1 All Habitats'!$X$9,AI193*G193*I193*L193*N193*P193,"None"))</f>
        <v/>
      </c>
      <c r="AK193" s="30" t="str">
        <f>IFERROR(INDEX('G-7 WaterC'' Data'!$AZ$3:$AZ$7,MATCH(D193,'G-7 WaterC'' Data'!$AY$3:$AY$7,0)),"")</f>
        <v/>
      </c>
      <c r="AL193" s="30">
        <f t="shared" si="31"/>
        <v>0</v>
      </c>
      <c r="AM193" s="107" t="str">
        <f t="shared" si="32"/>
        <v/>
      </c>
      <c r="AN193" s="107" t="str">
        <f t="shared" si="33"/>
        <v/>
      </c>
      <c r="AP193" s="107">
        <v>184</v>
      </c>
      <c r="AR193" s="107" t="str">
        <f t="array" ref="AR193">IFERROR(INDEX($AP$10:$AP$258,MATCH(0,IF(TRUE=$AM$10:$AM$258,COUNTIF($AR$9:$AR192,$AP$10:$AP$258),""),0)),"")</f>
        <v/>
      </c>
      <c r="AS193" s="107" t="str">
        <f t="array" ref="AS193">IFERROR(INDEX($AP$10:$AP$258,MATCH(0,IF(TRUE=$AN$10:$AN$258,COUNTIF($AS$9:$AS192,$AP$10:$AP$258),""),0)),"")</f>
        <v/>
      </c>
      <c r="AT193" s="885" t="str">
        <f>IF(AND(OR(AD193="Yes",AD193="Pending"),Q193='G-7 WaterC'' Data'!$G$4),U193-AA193-Z193,"0")</f>
        <v>0</v>
      </c>
      <c r="AU193" s="30" t="str">
        <f>IF(D193="","",VLOOKUP(D193,'G-7 WaterC'' Data'!B$4:M$8,12,FALSE))</f>
        <v/>
      </c>
      <c r="AV193" s="30" t="str">
        <f t="shared" si="24"/>
        <v/>
      </c>
      <c r="AW193" s="30" t="str">
        <f t="shared" si="34"/>
        <v>No</v>
      </c>
      <c r="BA193" s="555" t="str">
        <f t="shared" si="35"/>
        <v/>
      </c>
    </row>
    <row r="194" spans="3:53" ht="14.5" thickBot="1">
      <c r="C194" s="97">
        <v>185</v>
      </c>
      <c r="D194" s="263"/>
      <c r="E194" s="104"/>
      <c r="F194" s="275" t="str">
        <f>IF(D194="","",VLOOKUP(D194,'G-7 WaterC'' Data'!$B$2:$G$8,2,FALSE))</f>
        <v/>
      </c>
      <c r="G194" s="314" t="str">
        <f>IFERROR(VLOOKUP(F194,'G-7 WaterC'' Data'!$C$4:$D$8,2,FALSE),"")</f>
        <v/>
      </c>
      <c r="H194" s="105"/>
      <c r="I194" s="299" t="str">
        <f>IFERROR(INDEX('G-7 WaterC'' Data'!$H$4:$L$8,MATCH(D194,'G-7 WaterC'' Data'!$B$4:$B$8,0),MATCH(H194,'G-7 WaterC'' Data'!$H$3:$L$3,0)),"")</f>
        <v/>
      </c>
      <c r="J194" s="702"/>
      <c r="K194" s="295" t="str">
        <f>IF(J194="","",IF(VLOOKUP(J194,'G-7 WaterC'' Data'!$AK$4:$AM$9,2,FALSE)=0,"Spatial Data Missing ⚠",VLOOKUP(J194,'G-7 WaterC'' Data'!$AK$4:$AM$6,2,FALSE)))</f>
        <v/>
      </c>
      <c r="L194" s="299" t="str">
        <f>IF(J194="","",IF(VLOOKUP(J194,'G-7 WaterC'' Data'!$AK$4:$AM$9,3,FALSE)=0,"Spatial Data Missing ⚠",VLOOKUP(J194,'G-7 WaterC'' Data'!$AK$4:$AM$6,3,FALSE)))</f>
        <v/>
      </c>
      <c r="M194" s="102"/>
      <c r="N194" s="276" t="str">
        <f>IF(M194="","",IF(AND(M194="N/A - Culvert",D194&lt;&gt;"Culvert"),"Not possible ▲",IF(AND(D194="Culvert",M194&lt;&gt;"N/A - Culvert"),"Not possible ▲",IF(VLOOKUP(M194,'G-7 WaterC'' Data'!$AA$4:$AB$7,2,FALSE)=0,"Spatial Data Missing ⚠",VLOOKUP(M194,'G-7 WaterC'' Data'!$AA$4:$AB$7,2,FALSE)))))</f>
        <v/>
      </c>
      <c r="O194" s="56"/>
      <c r="P194" s="276" t="str">
        <f>IF(O194="","",IF(AND(O194="N/A - Culvert",D194&lt;&gt;"Culvert"),"Not possible ▲",IF(AND(D194="Culvert",O194&lt;&gt;"N/A - Culvert"),"Not possible ▲",IF(VLOOKUP(O194,'G-7 WaterC'' Data'!$AD$4:$AE$14,2,FALSE)=0,"Spatial Data Missing ⚠",VLOOKUP(O194,'G-7 WaterC'' Data'!$AD$4:$AE$14,2,FALSE)))))</f>
        <v/>
      </c>
      <c r="Q194" s="282" t="str">
        <f>IF(D194="","",VLOOKUP(D194,'G-7 WaterC'' Data'!$B$4:$G$8,6,FALSE))</f>
        <v/>
      </c>
      <c r="R194" s="289" t="str">
        <f t="shared" si="25"/>
        <v xml:space="preserve"> </v>
      </c>
      <c r="S194" s="393"/>
      <c r="T194" s="281" t="str">
        <f>IF(S194="","",IF(VLOOKUP(S194,'G-7 WaterC'' Data'!$AO$4:$BO$7,2,FALSE)=0,"Spatial Data Missing ⚠",VLOOKUP(S194,'G-7 WaterC'' Data'!$AO$4:$BO$7,2,FALSE)))</f>
        <v/>
      </c>
      <c r="U194" s="289" t="str">
        <f t="shared" si="26"/>
        <v xml:space="preserve"> </v>
      </c>
      <c r="V194" s="694" t="str">
        <f t="shared" si="27"/>
        <v/>
      </c>
      <c r="W194" s="32"/>
      <c r="X194" s="101"/>
      <c r="Y194" s="108"/>
      <c r="Z194" s="287" t="str">
        <f t="shared" si="28"/>
        <v/>
      </c>
      <c r="AA194" s="287" t="str">
        <f t="shared" si="29"/>
        <v/>
      </c>
      <c r="AB194" s="287" t="str">
        <f t="shared" si="30"/>
        <v/>
      </c>
      <c r="AC194" s="491" t="str">
        <f>IFERROR(IF(OR(E194="",R194=""),"",IF(AND(AB194&lt;&gt;"",S194=""),"Spatial risk category missing ▲",IF(AND(Q194='G-7 WaterC'' Data'!$G$4,AD194="Yes"),"Alternative Compensation ✓",IF(AND(AD194="Pending",Q194='G-7 WaterC'' Data'!$G$4),"Bespoke compensation must be agreed ▲",IF((Z194+AA194)&gt;=U194,0,U194-Z194-AA194))))),"Check Data ⚠")</f>
        <v/>
      </c>
      <c r="AD194" s="393"/>
      <c r="AE194" s="105"/>
      <c r="AF194" s="104"/>
      <c r="AG194" s="104"/>
      <c r="AH194" s="104"/>
      <c r="AI194" s="54" t="str">
        <f>IF(OR(Q194="",AD194="Yes"),"",IF(Q194='G-1 All Habitats'!$X$9,E194-Y194-X194,"None"))</f>
        <v/>
      </c>
      <c r="AJ194" s="55" t="str">
        <f>IF(Q194="","",IF(Q194='G-1 All Habitats'!$X$9,AI194*G194*I194*L194*N194*P194,"None"))</f>
        <v/>
      </c>
      <c r="AK194" s="30" t="str">
        <f>IFERROR(INDEX('G-7 WaterC'' Data'!$AZ$3:$AZ$7,MATCH(D194,'G-7 WaterC'' Data'!$AY$3:$AY$7,0)),"")</f>
        <v/>
      </c>
      <c r="AL194" s="30">
        <f t="shared" si="31"/>
        <v>0</v>
      </c>
      <c r="AM194" s="107" t="str">
        <f t="shared" si="32"/>
        <v/>
      </c>
      <c r="AN194" s="107" t="str">
        <f t="shared" si="33"/>
        <v/>
      </c>
      <c r="AP194" s="107">
        <v>185</v>
      </c>
      <c r="AR194" s="107" t="str">
        <f t="array" ref="AR194">IFERROR(INDEX($AP$10:$AP$258,MATCH(0,IF(TRUE=$AM$10:$AM$258,COUNTIF($AR$9:$AR193,$AP$10:$AP$258),""),0)),"")</f>
        <v/>
      </c>
      <c r="AS194" s="107" t="str">
        <f t="array" ref="AS194">IFERROR(INDEX($AP$10:$AP$258,MATCH(0,IF(TRUE=$AN$10:$AN$258,COUNTIF($AS$9:$AS193,$AP$10:$AP$258),""),0)),"")</f>
        <v/>
      </c>
      <c r="AT194" s="885" t="str">
        <f>IF(AND(OR(AD194="Yes",AD194="Pending"),Q194='G-7 WaterC'' Data'!$G$4),U194-AA194-Z194,"0")</f>
        <v>0</v>
      </c>
      <c r="AU194" s="30" t="str">
        <f>IF(D194="","",VLOOKUP(D194,'G-7 WaterC'' Data'!B$4:M$8,12,FALSE))</f>
        <v/>
      </c>
      <c r="AV194" s="30" t="str">
        <f t="shared" si="24"/>
        <v/>
      </c>
      <c r="AW194" s="30" t="str">
        <f t="shared" si="34"/>
        <v>No</v>
      </c>
      <c r="BA194" s="555" t="str">
        <f t="shared" si="35"/>
        <v/>
      </c>
    </row>
    <row r="195" spans="3:53" ht="14.5" thickBot="1">
      <c r="C195" s="97">
        <v>186</v>
      </c>
      <c r="D195" s="263"/>
      <c r="E195" s="104"/>
      <c r="F195" s="275" t="str">
        <f>IF(D195="","",VLOOKUP(D195,'G-7 WaterC'' Data'!$B$2:$G$8,2,FALSE))</f>
        <v/>
      </c>
      <c r="G195" s="314" t="str">
        <f>IFERROR(VLOOKUP(F195,'G-7 WaterC'' Data'!$C$4:$D$8,2,FALSE),"")</f>
        <v/>
      </c>
      <c r="H195" s="105"/>
      <c r="I195" s="299" t="str">
        <f>IFERROR(INDEX('G-7 WaterC'' Data'!$H$4:$L$8,MATCH(D195,'G-7 WaterC'' Data'!$B$4:$B$8,0),MATCH(H195,'G-7 WaterC'' Data'!$H$3:$L$3,0)),"")</f>
        <v/>
      </c>
      <c r="J195" s="702"/>
      <c r="K195" s="295" t="str">
        <f>IF(J195="","",IF(VLOOKUP(J195,'G-7 WaterC'' Data'!$AK$4:$AM$9,2,FALSE)=0,"Spatial Data Missing ⚠",VLOOKUP(J195,'G-7 WaterC'' Data'!$AK$4:$AM$6,2,FALSE)))</f>
        <v/>
      </c>
      <c r="L195" s="299" t="str">
        <f>IF(J195="","",IF(VLOOKUP(J195,'G-7 WaterC'' Data'!$AK$4:$AM$9,3,FALSE)=0,"Spatial Data Missing ⚠",VLOOKUP(J195,'G-7 WaterC'' Data'!$AK$4:$AM$6,3,FALSE)))</f>
        <v/>
      </c>
      <c r="M195" s="102"/>
      <c r="N195" s="276" t="str">
        <f>IF(M195="","",IF(AND(M195="N/A - Culvert",D195&lt;&gt;"Culvert"),"Not possible ▲",IF(AND(D195="Culvert",M195&lt;&gt;"N/A - Culvert"),"Not possible ▲",IF(VLOOKUP(M195,'G-7 WaterC'' Data'!$AA$4:$AB$7,2,FALSE)=0,"Spatial Data Missing ⚠",VLOOKUP(M195,'G-7 WaterC'' Data'!$AA$4:$AB$7,2,FALSE)))))</f>
        <v/>
      </c>
      <c r="O195" s="56"/>
      <c r="P195" s="276" t="str">
        <f>IF(O195="","",IF(AND(O195="N/A - Culvert",D195&lt;&gt;"Culvert"),"Not possible ▲",IF(AND(D195="Culvert",O195&lt;&gt;"N/A - Culvert"),"Not possible ▲",IF(VLOOKUP(O195,'G-7 WaterC'' Data'!$AD$4:$AE$14,2,FALSE)=0,"Spatial Data Missing ⚠",VLOOKUP(O195,'G-7 WaterC'' Data'!$AD$4:$AE$14,2,FALSE)))))</f>
        <v/>
      </c>
      <c r="Q195" s="282" t="str">
        <f>IF(D195="","",VLOOKUP(D195,'G-7 WaterC'' Data'!$B$4:$G$8,6,FALSE))</f>
        <v/>
      </c>
      <c r="R195" s="289" t="str">
        <f t="shared" si="25"/>
        <v xml:space="preserve"> </v>
      </c>
      <c r="S195" s="393"/>
      <c r="T195" s="281" t="str">
        <f>IF(S195="","",IF(VLOOKUP(S195,'G-7 WaterC'' Data'!$AO$4:$BO$7,2,FALSE)=0,"Spatial Data Missing ⚠",VLOOKUP(S195,'G-7 WaterC'' Data'!$AO$4:$BO$7,2,FALSE)))</f>
        <v/>
      </c>
      <c r="U195" s="289" t="str">
        <f t="shared" si="26"/>
        <v xml:space="preserve"> </v>
      </c>
      <c r="V195" s="694" t="str">
        <f t="shared" si="27"/>
        <v/>
      </c>
      <c r="W195" s="32"/>
      <c r="X195" s="101"/>
      <c r="Y195" s="108"/>
      <c r="Z195" s="287" t="str">
        <f t="shared" si="28"/>
        <v/>
      </c>
      <c r="AA195" s="287" t="str">
        <f t="shared" si="29"/>
        <v/>
      </c>
      <c r="AB195" s="287" t="str">
        <f t="shared" si="30"/>
        <v/>
      </c>
      <c r="AC195" s="491" t="str">
        <f>IFERROR(IF(OR(E195="",R195=""),"",IF(AND(AB195&lt;&gt;"",S195=""),"Spatial risk category missing ▲",IF(AND(Q195='G-7 WaterC'' Data'!$G$4,AD195="Yes"),"Alternative Compensation ✓",IF(AND(AD195="Pending",Q195='G-7 WaterC'' Data'!$G$4),"Bespoke compensation must be agreed ▲",IF((Z195+AA195)&gt;=U195,0,U195-Z195-AA195))))),"Check Data ⚠")</f>
        <v/>
      </c>
      <c r="AD195" s="393"/>
      <c r="AE195" s="105"/>
      <c r="AF195" s="104"/>
      <c r="AG195" s="104"/>
      <c r="AH195" s="104"/>
      <c r="AI195" s="54" t="str">
        <f>IF(OR(Q195="",AD195="Yes"),"",IF(Q195='G-1 All Habitats'!$X$9,E195-Y195-X195,"None"))</f>
        <v/>
      </c>
      <c r="AJ195" s="55" t="str">
        <f>IF(Q195="","",IF(Q195='G-1 All Habitats'!$X$9,AI195*G195*I195*L195*N195*P195,"None"))</f>
        <v/>
      </c>
      <c r="AK195" s="30" t="str">
        <f>IFERROR(INDEX('G-7 WaterC'' Data'!$AZ$3:$AZ$7,MATCH(D195,'G-7 WaterC'' Data'!$AY$3:$AY$7,0)),"")</f>
        <v/>
      </c>
      <c r="AL195" s="30">
        <f t="shared" si="31"/>
        <v>0</v>
      </c>
      <c r="AM195" s="107" t="str">
        <f t="shared" si="32"/>
        <v/>
      </c>
      <c r="AN195" s="107" t="str">
        <f t="shared" si="33"/>
        <v/>
      </c>
      <c r="AP195" s="107">
        <v>186</v>
      </c>
      <c r="AR195" s="107" t="str">
        <f t="array" ref="AR195">IFERROR(INDEX($AP$10:$AP$258,MATCH(0,IF(TRUE=$AM$10:$AM$258,COUNTIF($AR$9:$AR194,$AP$10:$AP$258),""),0)),"")</f>
        <v/>
      </c>
      <c r="AS195" s="107" t="str">
        <f t="array" ref="AS195">IFERROR(INDEX($AP$10:$AP$258,MATCH(0,IF(TRUE=$AN$10:$AN$258,COUNTIF($AS$9:$AS194,$AP$10:$AP$258),""),0)),"")</f>
        <v/>
      </c>
      <c r="AT195" s="885" t="str">
        <f>IF(AND(OR(AD195="Yes",AD195="Pending"),Q195='G-7 WaterC'' Data'!$G$4),U195-AA195-Z195,"0")</f>
        <v>0</v>
      </c>
      <c r="AU195" s="30" t="str">
        <f>IF(D195="","",VLOOKUP(D195,'G-7 WaterC'' Data'!B$4:M$8,12,FALSE))</f>
        <v/>
      </c>
      <c r="AV195" s="30" t="str">
        <f t="shared" si="24"/>
        <v/>
      </c>
      <c r="AW195" s="30" t="str">
        <f t="shared" si="34"/>
        <v>No</v>
      </c>
      <c r="BA195" s="555" t="str">
        <f t="shared" si="35"/>
        <v/>
      </c>
    </row>
    <row r="196" spans="3:53" ht="14.5" thickBot="1">
      <c r="C196" s="97">
        <v>187</v>
      </c>
      <c r="D196" s="263"/>
      <c r="E196" s="104"/>
      <c r="F196" s="275" t="str">
        <f>IF(D196="","",VLOOKUP(D196,'G-7 WaterC'' Data'!$B$2:$G$8,2,FALSE))</f>
        <v/>
      </c>
      <c r="G196" s="314" t="str">
        <f>IFERROR(VLOOKUP(F196,'G-7 WaterC'' Data'!$C$4:$D$8,2,FALSE),"")</f>
        <v/>
      </c>
      <c r="H196" s="105"/>
      <c r="I196" s="299" t="str">
        <f>IFERROR(INDEX('G-7 WaterC'' Data'!$H$4:$L$8,MATCH(D196,'G-7 WaterC'' Data'!$B$4:$B$8,0),MATCH(H196,'G-7 WaterC'' Data'!$H$3:$L$3,0)),"")</f>
        <v/>
      </c>
      <c r="J196" s="702"/>
      <c r="K196" s="295" t="str">
        <f>IF(J196="","",IF(VLOOKUP(J196,'G-7 WaterC'' Data'!$AK$4:$AM$9,2,FALSE)=0,"Spatial Data Missing ⚠",VLOOKUP(J196,'G-7 WaterC'' Data'!$AK$4:$AM$6,2,FALSE)))</f>
        <v/>
      </c>
      <c r="L196" s="299" t="str">
        <f>IF(J196="","",IF(VLOOKUP(J196,'G-7 WaterC'' Data'!$AK$4:$AM$9,3,FALSE)=0,"Spatial Data Missing ⚠",VLOOKUP(J196,'G-7 WaterC'' Data'!$AK$4:$AM$6,3,FALSE)))</f>
        <v/>
      </c>
      <c r="M196" s="102"/>
      <c r="N196" s="276" t="str">
        <f>IF(M196="","",IF(AND(M196="N/A - Culvert",D196&lt;&gt;"Culvert"),"Not possible ▲",IF(AND(D196="Culvert",M196&lt;&gt;"N/A - Culvert"),"Not possible ▲",IF(VLOOKUP(M196,'G-7 WaterC'' Data'!$AA$4:$AB$7,2,FALSE)=0,"Spatial Data Missing ⚠",VLOOKUP(M196,'G-7 WaterC'' Data'!$AA$4:$AB$7,2,FALSE)))))</f>
        <v/>
      </c>
      <c r="O196" s="56"/>
      <c r="P196" s="276" t="str">
        <f>IF(O196="","",IF(AND(O196="N/A - Culvert",D196&lt;&gt;"Culvert"),"Not possible ▲",IF(AND(D196="Culvert",O196&lt;&gt;"N/A - Culvert"),"Not possible ▲",IF(VLOOKUP(O196,'G-7 WaterC'' Data'!$AD$4:$AE$14,2,FALSE)=0,"Spatial Data Missing ⚠",VLOOKUP(O196,'G-7 WaterC'' Data'!$AD$4:$AE$14,2,FALSE)))))</f>
        <v/>
      </c>
      <c r="Q196" s="282" t="str">
        <f>IF(D196="","",VLOOKUP(D196,'G-7 WaterC'' Data'!$B$4:$G$8,6,FALSE))</f>
        <v/>
      </c>
      <c r="R196" s="289" t="str">
        <f t="shared" si="25"/>
        <v xml:space="preserve"> </v>
      </c>
      <c r="S196" s="393"/>
      <c r="T196" s="281" t="str">
        <f>IF(S196="","",IF(VLOOKUP(S196,'G-7 WaterC'' Data'!$AO$4:$BO$7,2,FALSE)=0,"Spatial Data Missing ⚠",VLOOKUP(S196,'G-7 WaterC'' Data'!$AO$4:$BO$7,2,FALSE)))</f>
        <v/>
      </c>
      <c r="U196" s="289" t="str">
        <f t="shared" si="26"/>
        <v xml:space="preserve"> </v>
      </c>
      <c r="V196" s="694" t="str">
        <f t="shared" si="27"/>
        <v/>
      </c>
      <c r="W196" s="32"/>
      <c r="X196" s="101"/>
      <c r="Y196" s="108"/>
      <c r="Z196" s="287" t="str">
        <f t="shared" si="28"/>
        <v/>
      </c>
      <c r="AA196" s="287" t="str">
        <f t="shared" si="29"/>
        <v/>
      </c>
      <c r="AB196" s="287" t="str">
        <f t="shared" si="30"/>
        <v/>
      </c>
      <c r="AC196" s="491" t="str">
        <f>IFERROR(IF(OR(E196="",R196=""),"",IF(AND(AB196&lt;&gt;"",S196=""),"Spatial risk category missing ▲",IF(AND(Q196='G-7 WaterC'' Data'!$G$4,AD196="Yes"),"Alternative Compensation ✓",IF(AND(AD196="Pending",Q196='G-7 WaterC'' Data'!$G$4),"Bespoke compensation must be agreed ▲",IF((Z196+AA196)&gt;=U196,0,U196-Z196-AA196))))),"Check Data ⚠")</f>
        <v/>
      </c>
      <c r="AD196" s="393"/>
      <c r="AE196" s="105"/>
      <c r="AF196" s="104"/>
      <c r="AG196" s="104"/>
      <c r="AH196" s="104"/>
      <c r="AI196" s="54" t="str">
        <f>IF(OR(Q196="",AD196="Yes"),"",IF(Q196='G-1 All Habitats'!$X$9,E196-Y196-X196,"None"))</f>
        <v/>
      </c>
      <c r="AJ196" s="55" t="str">
        <f>IF(Q196="","",IF(Q196='G-1 All Habitats'!$X$9,AI196*G196*I196*L196*N196*P196,"None"))</f>
        <v/>
      </c>
      <c r="AK196" s="30" t="str">
        <f>IFERROR(INDEX('G-7 WaterC'' Data'!$AZ$3:$AZ$7,MATCH(D196,'G-7 WaterC'' Data'!$AY$3:$AY$7,0)),"")</f>
        <v/>
      </c>
      <c r="AL196" s="30">
        <f t="shared" si="31"/>
        <v>0</v>
      </c>
      <c r="AM196" s="107" t="str">
        <f t="shared" si="32"/>
        <v/>
      </c>
      <c r="AN196" s="107" t="str">
        <f t="shared" si="33"/>
        <v/>
      </c>
      <c r="AP196" s="107">
        <v>187</v>
      </c>
      <c r="AR196" s="107" t="str">
        <f t="array" ref="AR196">IFERROR(INDEX($AP$10:$AP$258,MATCH(0,IF(TRUE=$AM$10:$AM$258,COUNTIF($AR$9:$AR195,$AP$10:$AP$258),""),0)),"")</f>
        <v/>
      </c>
      <c r="AS196" s="107" t="str">
        <f t="array" ref="AS196">IFERROR(INDEX($AP$10:$AP$258,MATCH(0,IF(TRUE=$AN$10:$AN$258,COUNTIF($AS$9:$AS195,$AP$10:$AP$258),""),0)),"")</f>
        <v/>
      </c>
      <c r="AT196" s="885" t="str">
        <f>IF(AND(OR(AD196="Yes",AD196="Pending"),Q196='G-7 WaterC'' Data'!$G$4),U196-AA196-Z196,"0")</f>
        <v>0</v>
      </c>
      <c r="AU196" s="30" t="str">
        <f>IF(D196="","",VLOOKUP(D196,'G-7 WaterC'' Data'!B$4:M$8,12,FALSE))</f>
        <v/>
      </c>
      <c r="AV196" s="30" t="str">
        <f t="shared" si="24"/>
        <v/>
      </c>
      <c r="AW196" s="30" t="str">
        <f t="shared" si="34"/>
        <v>No</v>
      </c>
      <c r="BA196" s="555" t="str">
        <f t="shared" si="35"/>
        <v/>
      </c>
    </row>
    <row r="197" spans="3:53" ht="14.5" thickBot="1">
      <c r="C197" s="97">
        <v>188</v>
      </c>
      <c r="D197" s="263"/>
      <c r="E197" s="104"/>
      <c r="F197" s="275" t="str">
        <f>IF(D197="","",VLOOKUP(D197,'G-7 WaterC'' Data'!$B$2:$G$8,2,FALSE))</f>
        <v/>
      </c>
      <c r="G197" s="314" t="str">
        <f>IFERROR(VLOOKUP(F197,'G-7 WaterC'' Data'!$C$4:$D$8,2,FALSE),"")</f>
        <v/>
      </c>
      <c r="H197" s="105"/>
      <c r="I197" s="299" t="str">
        <f>IFERROR(INDEX('G-7 WaterC'' Data'!$H$4:$L$8,MATCH(D197,'G-7 WaterC'' Data'!$B$4:$B$8,0),MATCH(H197,'G-7 WaterC'' Data'!$H$3:$L$3,0)),"")</f>
        <v/>
      </c>
      <c r="J197" s="702"/>
      <c r="K197" s="295" t="str">
        <f>IF(J197="","",IF(VLOOKUP(J197,'G-7 WaterC'' Data'!$AK$4:$AM$9,2,FALSE)=0,"Spatial Data Missing ⚠",VLOOKUP(J197,'G-7 WaterC'' Data'!$AK$4:$AM$6,2,FALSE)))</f>
        <v/>
      </c>
      <c r="L197" s="299" t="str">
        <f>IF(J197="","",IF(VLOOKUP(J197,'G-7 WaterC'' Data'!$AK$4:$AM$9,3,FALSE)=0,"Spatial Data Missing ⚠",VLOOKUP(J197,'G-7 WaterC'' Data'!$AK$4:$AM$6,3,FALSE)))</f>
        <v/>
      </c>
      <c r="M197" s="102"/>
      <c r="N197" s="276" t="str">
        <f>IF(M197="","",IF(AND(M197="N/A - Culvert",D197&lt;&gt;"Culvert"),"Not possible ▲",IF(AND(D197="Culvert",M197&lt;&gt;"N/A - Culvert"),"Not possible ▲",IF(VLOOKUP(M197,'G-7 WaterC'' Data'!$AA$4:$AB$7,2,FALSE)=0,"Spatial Data Missing ⚠",VLOOKUP(M197,'G-7 WaterC'' Data'!$AA$4:$AB$7,2,FALSE)))))</f>
        <v/>
      </c>
      <c r="O197" s="56"/>
      <c r="P197" s="276" t="str">
        <f>IF(O197="","",IF(AND(O197="N/A - Culvert",D197&lt;&gt;"Culvert"),"Not possible ▲",IF(AND(D197="Culvert",O197&lt;&gt;"N/A - Culvert"),"Not possible ▲",IF(VLOOKUP(O197,'G-7 WaterC'' Data'!$AD$4:$AE$14,2,FALSE)=0,"Spatial Data Missing ⚠",VLOOKUP(O197,'G-7 WaterC'' Data'!$AD$4:$AE$14,2,FALSE)))))</f>
        <v/>
      </c>
      <c r="Q197" s="282" t="str">
        <f>IF(D197="","",VLOOKUP(D197,'G-7 WaterC'' Data'!$B$4:$G$8,6,FALSE))</f>
        <v/>
      </c>
      <c r="R197" s="289" t="str">
        <f t="shared" si="25"/>
        <v xml:space="preserve"> </v>
      </c>
      <c r="S197" s="393"/>
      <c r="T197" s="281" t="str">
        <f>IF(S197="","",IF(VLOOKUP(S197,'G-7 WaterC'' Data'!$AO$4:$BO$7,2,FALSE)=0,"Spatial Data Missing ⚠",VLOOKUP(S197,'G-7 WaterC'' Data'!$AO$4:$BO$7,2,FALSE)))</f>
        <v/>
      </c>
      <c r="U197" s="289" t="str">
        <f t="shared" si="26"/>
        <v xml:space="preserve"> </v>
      </c>
      <c r="V197" s="694" t="str">
        <f t="shared" si="27"/>
        <v/>
      </c>
      <c r="W197" s="32"/>
      <c r="X197" s="101"/>
      <c r="Y197" s="108"/>
      <c r="Z197" s="287" t="str">
        <f t="shared" si="28"/>
        <v/>
      </c>
      <c r="AA197" s="287" t="str">
        <f t="shared" si="29"/>
        <v/>
      </c>
      <c r="AB197" s="287" t="str">
        <f t="shared" si="30"/>
        <v/>
      </c>
      <c r="AC197" s="491" t="str">
        <f>IFERROR(IF(OR(E197="",R197=""),"",IF(AND(AB197&lt;&gt;"",S197=""),"Spatial risk category missing ▲",IF(AND(Q197='G-7 WaterC'' Data'!$G$4,AD197="Yes"),"Alternative Compensation ✓",IF(AND(AD197="Pending",Q197='G-7 WaterC'' Data'!$G$4),"Bespoke compensation must be agreed ▲",IF((Z197+AA197)&gt;=U197,0,U197-Z197-AA197))))),"Check Data ⚠")</f>
        <v/>
      </c>
      <c r="AD197" s="393"/>
      <c r="AE197" s="105"/>
      <c r="AF197" s="104"/>
      <c r="AG197" s="104"/>
      <c r="AH197" s="104"/>
      <c r="AI197" s="54" t="str">
        <f>IF(OR(Q197="",AD197="Yes"),"",IF(Q197='G-1 All Habitats'!$X$9,E197-Y197-X197,"None"))</f>
        <v/>
      </c>
      <c r="AJ197" s="55" t="str">
        <f>IF(Q197="","",IF(Q197='G-1 All Habitats'!$X$9,AI197*G197*I197*L197*N197*P197,"None"))</f>
        <v/>
      </c>
      <c r="AK197" s="30" t="str">
        <f>IFERROR(INDEX('G-7 WaterC'' Data'!$AZ$3:$AZ$7,MATCH(D197,'G-7 WaterC'' Data'!$AY$3:$AY$7,0)),"")</f>
        <v/>
      </c>
      <c r="AL197" s="30">
        <f t="shared" si="31"/>
        <v>0</v>
      </c>
      <c r="AM197" s="107" t="str">
        <f t="shared" si="32"/>
        <v/>
      </c>
      <c r="AN197" s="107" t="str">
        <f t="shared" si="33"/>
        <v/>
      </c>
      <c r="AP197" s="107">
        <v>188</v>
      </c>
      <c r="AR197" s="107" t="str">
        <f t="array" ref="AR197">IFERROR(INDEX($AP$10:$AP$258,MATCH(0,IF(TRUE=$AM$10:$AM$258,COUNTIF($AR$9:$AR196,$AP$10:$AP$258),""),0)),"")</f>
        <v/>
      </c>
      <c r="AS197" s="107" t="str">
        <f t="array" ref="AS197">IFERROR(INDEX($AP$10:$AP$258,MATCH(0,IF(TRUE=$AN$10:$AN$258,COUNTIF($AS$9:$AS196,$AP$10:$AP$258),""),0)),"")</f>
        <v/>
      </c>
      <c r="AT197" s="885" t="str">
        <f>IF(AND(OR(AD197="Yes",AD197="Pending"),Q197='G-7 WaterC'' Data'!$G$4),U197-AA197-Z197,"0")</f>
        <v>0</v>
      </c>
      <c r="AU197" s="30" t="str">
        <f>IF(D197="","",VLOOKUP(D197,'G-7 WaterC'' Data'!B$4:M$8,12,FALSE))</f>
        <v/>
      </c>
      <c r="AV197" s="30" t="str">
        <f t="shared" si="24"/>
        <v/>
      </c>
      <c r="AW197" s="30" t="str">
        <f t="shared" si="34"/>
        <v>No</v>
      </c>
      <c r="BA197" s="555" t="str">
        <f t="shared" si="35"/>
        <v/>
      </c>
    </row>
    <row r="198" spans="3:53" ht="14.5" thickBot="1">
      <c r="C198" s="97">
        <v>189</v>
      </c>
      <c r="D198" s="263"/>
      <c r="E198" s="104"/>
      <c r="F198" s="275" t="str">
        <f>IF(D198="","",VLOOKUP(D198,'G-7 WaterC'' Data'!$B$2:$G$8,2,FALSE))</f>
        <v/>
      </c>
      <c r="G198" s="314" t="str">
        <f>IFERROR(VLOOKUP(F198,'G-7 WaterC'' Data'!$C$4:$D$8,2,FALSE),"")</f>
        <v/>
      </c>
      <c r="H198" s="105"/>
      <c r="I198" s="299" t="str">
        <f>IFERROR(INDEX('G-7 WaterC'' Data'!$H$4:$L$8,MATCH(D198,'G-7 WaterC'' Data'!$B$4:$B$8,0),MATCH(H198,'G-7 WaterC'' Data'!$H$3:$L$3,0)),"")</f>
        <v/>
      </c>
      <c r="J198" s="702"/>
      <c r="K198" s="295" t="str">
        <f>IF(J198="","",IF(VLOOKUP(J198,'G-7 WaterC'' Data'!$AK$4:$AM$9,2,FALSE)=0,"Spatial Data Missing ⚠",VLOOKUP(J198,'G-7 WaterC'' Data'!$AK$4:$AM$6,2,FALSE)))</f>
        <v/>
      </c>
      <c r="L198" s="299" t="str">
        <f>IF(J198="","",IF(VLOOKUP(J198,'G-7 WaterC'' Data'!$AK$4:$AM$9,3,FALSE)=0,"Spatial Data Missing ⚠",VLOOKUP(J198,'G-7 WaterC'' Data'!$AK$4:$AM$6,3,FALSE)))</f>
        <v/>
      </c>
      <c r="M198" s="102"/>
      <c r="N198" s="276" t="str">
        <f>IF(M198="","",IF(AND(M198="N/A - Culvert",D198&lt;&gt;"Culvert"),"Not possible ▲",IF(AND(D198="Culvert",M198&lt;&gt;"N/A - Culvert"),"Not possible ▲",IF(VLOOKUP(M198,'G-7 WaterC'' Data'!$AA$4:$AB$7,2,FALSE)=0,"Spatial Data Missing ⚠",VLOOKUP(M198,'G-7 WaterC'' Data'!$AA$4:$AB$7,2,FALSE)))))</f>
        <v/>
      </c>
      <c r="O198" s="56"/>
      <c r="P198" s="276" t="str">
        <f>IF(O198="","",IF(AND(O198="N/A - Culvert",D198&lt;&gt;"Culvert"),"Not possible ▲",IF(AND(D198="Culvert",O198&lt;&gt;"N/A - Culvert"),"Not possible ▲",IF(VLOOKUP(O198,'G-7 WaterC'' Data'!$AD$4:$AE$14,2,FALSE)=0,"Spatial Data Missing ⚠",VLOOKUP(O198,'G-7 WaterC'' Data'!$AD$4:$AE$14,2,FALSE)))))</f>
        <v/>
      </c>
      <c r="Q198" s="282" t="str">
        <f>IF(D198="","",VLOOKUP(D198,'G-7 WaterC'' Data'!$B$4:$G$8,6,FALSE))</f>
        <v/>
      </c>
      <c r="R198" s="289" t="str">
        <f t="shared" si="25"/>
        <v xml:space="preserve"> </v>
      </c>
      <c r="S198" s="393"/>
      <c r="T198" s="281" t="str">
        <f>IF(S198="","",IF(VLOOKUP(S198,'G-7 WaterC'' Data'!$AO$4:$BO$7,2,FALSE)=0,"Spatial Data Missing ⚠",VLOOKUP(S198,'G-7 WaterC'' Data'!$AO$4:$BO$7,2,FALSE)))</f>
        <v/>
      </c>
      <c r="U198" s="289" t="str">
        <f t="shared" si="26"/>
        <v xml:space="preserve"> </v>
      </c>
      <c r="V198" s="694" t="str">
        <f t="shared" si="27"/>
        <v/>
      </c>
      <c r="W198" s="32"/>
      <c r="X198" s="101"/>
      <c r="Y198" s="108"/>
      <c r="Z198" s="287" t="str">
        <f t="shared" si="28"/>
        <v/>
      </c>
      <c r="AA198" s="287" t="str">
        <f t="shared" si="29"/>
        <v/>
      </c>
      <c r="AB198" s="287" t="str">
        <f t="shared" si="30"/>
        <v/>
      </c>
      <c r="AC198" s="491" t="str">
        <f>IFERROR(IF(OR(E198="",R198=""),"",IF(AND(AB198&lt;&gt;"",S198=""),"Spatial risk category missing ▲",IF(AND(Q198='G-7 WaterC'' Data'!$G$4,AD198="Yes"),"Alternative Compensation ✓",IF(AND(AD198="Pending",Q198='G-7 WaterC'' Data'!$G$4),"Bespoke compensation must be agreed ▲",IF((Z198+AA198)&gt;=U198,0,U198-Z198-AA198))))),"Check Data ⚠")</f>
        <v/>
      </c>
      <c r="AD198" s="393"/>
      <c r="AE198" s="105"/>
      <c r="AF198" s="104"/>
      <c r="AG198" s="104"/>
      <c r="AH198" s="104"/>
      <c r="AI198" s="54" t="str">
        <f>IF(OR(Q198="",AD198="Yes"),"",IF(Q198='G-1 All Habitats'!$X$9,E198-Y198-X198,"None"))</f>
        <v/>
      </c>
      <c r="AJ198" s="55" t="str">
        <f>IF(Q198="","",IF(Q198='G-1 All Habitats'!$X$9,AI198*G198*I198*L198*N198*P198,"None"))</f>
        <v/>
      </c>
      <c r="AK198" s="30" t="str">
        <f>IFERROR(INDEX('G-7 WaterC'' Data'!$AZ$3:$AZ$7,MATCH(D198,'G-7 WaterC'' Data'!$AY$3:$AY$7,0)),"")</f>
        <v/>
      </c>
      <c r="AL198" s="30">
        <f t="shared" si="31"/>
        <v>0</v>
      </c>
      <c r="AM198" s="107" t="str">
        <f t="shared" si="32"/>
        <v/>
      </c>
      <c r="AN198" s="107" t="str">
        <f t="shared" si="33"/>
        <v/>
      </c>
      <c r="AP198" s="107">
        <v>189</v>
      </c>
      <c r="AR198" s="107" t="str">
        <f t="array" ref="AR198">IFERROR(INDEX($AP$10:$AP$258,MATCH(0,IF(TRUE=$AM$10:$AM$258,COUNTIF($AR$9:$AR197,$AP$10:$AP$258),""),0)),"")</f>
        <v/>
      </c>
      <c r="AS198" s="107" t="str">
        <f t="array" ref="AS198">IFERROR(INDEX($AP$10:$AP$258,MATCH(0,IF(TRUE=$AN$10:$AN$258,COUNTIF($AS$9:$AS197,$AP$10:$AP$258),""),0)),"")</f>
        <v/>
      </c>
      <c r="AT198" s="885" t="str">
        <f>IF(AND(OR(AD198="Yes",AD198="Pending"),Q198='G-7 WaterC'' Data'!$G$4),U198-AA198-Z198,"0")</f>
        <v>0</v>
      </c>
      <c r="AU198" s="30" t="str">
        <f>IF(D198="","",VLOOKUP(D198,'G-7 WaterC'' Data'!B$4:M$8,12,FALSE))</f>
        <v/>
      </c>
      <c r="AV198" s="30" t="str">
        <f t="shared" si="24"/>
        <v/>
      </c>
      <c r="AW198" s="30" t="str">
        <f t="shared" si="34"/>
        <v>No</v>
      </c>
      <c r="BA198" s="555" t="str">
        <f t="shared" si="35"/>
        <v/>
      </c>
    </row>
    <row r="199" spans="3:53" ht="14.5" thickBot="1">
      <c r="C199" s="97">
        <v>190</v>
      </c>
      <c r="D199" s="263"/>
      <c r="E199" s="104"/>
      <c r="F199" s="275" t="str">
        <f>IF(D199="","",VLOOKUP(D199,'G-7 WaterC'' Data'!$B$2:$G$8,2,FALSE))</f>
        <v/>
      </c>
      <c r="G199" s="314" t="str">
        <f>IFERROR(VLOOKUP(F199,'G-7 WaterC'' Data'!$C$4:$D$8,2,FALSE),"")</f>
        <v/>
      </c>
      <c r="H199" s="105"/>
      <c r="I199" s="299" t="str">
        <f>IFERROR(INDEX('G-7 WaterC'' Data'!$H$4:$L$8,MATCH(D199,'G-7 WaterC'' Data'!$B$4:$B$8,0),MATCH(H199,'G-7 WaterC'' Data'!$H$3:$L$3,0)),"")</f>
        <v/>
      </c>
      <c r="J199" s="702"/>
      <c r="K199" s="295" t="str">
        <f>IF(J199="","",IF(VLOOKUP(J199,'G-7 WaterC'' Data'!$AK$4:$AM$9,2,FALSE)=0,"Spatial Data Missing ⚠",VLOOKUP(J199,'G-7 WaterC'' Data'!$AK$4:$AM$6,2,FALSE)))</f>
        <v/>
      </c>
      <c r="L199" s="299" t="str">
        <f>IF(J199="","",IF(VLOOKUP(J199,'G-7 WaterC'' Data'!$AK$4:$AM$9,3,FALSE)=0,"Spatial Data Missing ⚠",VLOOKUP(J199,'G-7 WaterC'' Data'!$AK$4:$AM$6,3,FALSE)))</f>
        <v/>
      </c>
      <c r="M199" s="102"/>
      <c r="N199" s="276" t="str">
        <f>IF(M199="","",IF(AND(M199="N/A - Culvert",D199&lt;&gt;"Culvert"),"Not possible ▲",IF(AND(D199="Culvert",M199&lt;&gt;"N/A - Culvert"),"Not possible ▲",IF(VLOOKUP(M199,'G-7 WaterC'' Data'!$AA$4:$AB$7,2,FALSE)=0,"Spatial Data Missing ⚠",VLOOKUP(M199,'G-7 WaterC'' Data'!$AA$4:$AB$7,2,FALSE)))))</f>
        <v/>
      </c>
      <c r="O199" s="56"/>
      <c r="P199" s="276" t="str">
        <f>IF(O199="","",IF(AND(O199="N/A - Culvert",D199&lt;&gt;"Culvert"),"Not possible ▲",IF(AND(D199="Culvert",O199&lt;&gt;"N/A - Culvert"),"Not possible ▲",IF(VLOOKUP(O199,'G-7 WaterC'' Data'!$AD$4:$AE$14,2,FALSE)=0,"Spatial Data Missing ⚠",VLOOKUP(O199,'G-7 WaterC'' Data'!$AD$4:$AE$14,2,FALSE)))))</f>
        <v/>
      </c>
      <c r="Q199" s="282" t="str">
        <f>IF(D199="","",VLOOKUP(D199,'G-7 WaterC'' Data'!$B$4:$G$8,6,FALSE))</f>
        <v/>
      </c>
      <c r="R199" s="289" t="str">
        <f t="shared" si="25"/>
        <v xml:space="preserve"> </v>
      </c>
      <c r="S199" s="393"/>
      <c r="T199" s="281" t="str">
        <f>IF(S199="","",IF(VLOOKUP(S199,'G-7 WaterC'' Data'!$AO$4:$BO$7,2,FALSE)=0,"Spatial Data Missing ⚠",VLOOKUP(S199,'G-7 WaterC'' Data'!$AO$4:$BO$7,2,FALSE)))</f>
        <v/>
      </c>
      <c r="U199" s="289" t="str">
        <f t="shared" si="26"/>
        <v xml:space="preserve"> </v>
      </c>
      <c r="V199" s="694" t="str">
        <f t="shared" si="27"/>
        <v/>
      </c>
      <c r="W199" s="32"/>
      <c r="X199" s="101"/>
      <c r="Y199" s="108"/>
      <c r="Z199" s="287" t="str">
        <f t="shared" si="28"/>
        <v/>
      </c>
      <c r="AA199" s="287" t="str">
        <f t="shared" si="29"/>
        <v/>
      </c>
      <c r="AB199" s="287" t="str">
        <f t="shared" si="30"/>
        <v/>
      </c>
      <c r="AC199" s="491" t="str">
        <f>IFERROR(IF(OR(E199="",R199=""),"",IF(AND(AB199&lt;&gt;"",S199=""),"Spatial risk category missing ▲",IF(AND(Q199='G-7 WaterC'' Data'!$G$4,AD199="Yes"),"Alternative Compensation ✓",IF(AND(AD199="Pending",Q199='G-7 WaterC'' Data'!$G$4),"Bespoke compensation must be agreed ▲",IF((Z199+AA199)&gt;=U199,0,U199-Z199-AA199))))),"Check Data ⚠")</f>
        <v/>
      </c>
      <c r="AD199" s="393"/>
      <c r="AE199" s="105"/>
      <c r="AF199" s="104"/>
      <c r="AG199" s="104"/>
      <c r="AH199" s="104"/>
      <c r="AI199" s="54" t="str">
        <f>IF(OR(Q199="",AD199="Yes"),"",IF(Q199='G-1 All Habitats'!$X$9,E199-Y199-X199,"None"))</f>
        <v/>
      </c>
      <c r="AJ199" s="55" t="str">
        <f>IF(Q199="","",IF(Q199='G-1 All Habitats'!$X$9,AI199*G199*I199*L199*N199*P199,"None"))</f>
        <v/>
      </c>
      <c r="AK199" s="30" t="str">
        <f>IFERROR(INDEX('G-7 WaterC'' Data'!$AZ$3:$AZ$7,MATCH(D199,'G-7 WaterC'' Data'!$AY$3:$AY$7,0)),"")</f>
        <v/>
      </c>
      <c r="AL199" s="30">
        <f t="shared" si="31"/>
        <v>0</v>
      </c>
      <c r="AM199" s="107" t="str">
        <f t="shared" si="32"/>
        <v/>
      </c>
      <c r="AN199" s="107" t="str">
        <f t="shared" si="33"/>
        <v/>
      </c>
      <c r="AP199" s="107">
        <v>190</v>
      </c>
      <c r="AR199" s="107" t="str">
        <f t="array" ref="AR199">IFERROR(INDEX($AP$10:$AP$258,MATCH(0,IF(TRUE=$AM$10:$AM$258,COUNTIF($AR$9:$AR198,$AP$10:$AP$258),""),0)),"")</f>
        <v/>
      </c>
      <c r="AS199" s="107" t="str">
        <f t="array" ref="AS199">IFERROR(INDEX($AP$10:$AP$258,MATCH(0,IF(TRUE=$AN$10:$AN$258,COUNTIF($AS$9:$AS198,$AP$10:$AP$258),""),0)),"")</f>
        <v/>
      </c>
      <c r="AT199" s="885" t="str">
        <f>IF(AND(OR(AD199="Yes",AD199="Pending"),Q199='G-7 WaterC'' Data'!$G$4),U199-AA199-Z199,"0")</f>
        <v>0</v>
      </c>
      <c r="AU199" s="30" t="str">
        <f>IF(D199="","",VLOOKUP(D199,'G-7 WaterC'' Data'!B$4:M$8,12,FALSE))</f>
        <v/>
      </c>
      <c r="AV199" s="30" t="str">
        <f t="shared" si="24"/>
        <v/>
      </c>
      <c r="AW199" s="30" t="str">
        <f t="shared" si="34"/>
        <v>No</v>
      </c>
      <c r="BA199" s="555" t="str">
        <f t="shared" si="35"/>
        <v/>
      </c>
    </row>
    <row r="200" spans="3:53" ht="14.5" thickBot="1">
      <c r="C200" s="97">
        <v>191</v>
      </c>
      <c r="D200" s="263"/>
      <c r="E200" s="104"/>
      <c r="F200" s="275" t="str">
        <f>IF(D200="","",VLOOKUP(D200,'G-7 WaterC'' Data'!$B$2:$G$8,2,FALSE))</f>
        <v/>
      </c>
      <c r="G200" s="314" t="str">
        <f>IFERROR(VLOOKUP(F200,'G-7 WaterC'' Data'!$C$4:$D$8,2,FALSE),"")</f>
        <v/>
      </c>
      <c r="H200" s="105"/>
      <c r="I200" s="299" t="str">
        <f>IFERROR(INDEX('G-7 WaterC'' Data'!$H$4:$L$8,MATCH(D200,'G-7 WaterC'' Data'!$B$4:$B$8,0),MATCH(H200,'G-7 WaterC'' Data'!$H$3:$L$3,0)),"")</f>
        <v/>
      </c>
      <c r="J200" s="702"/>
      <c r="K200" s="295" t="str">
        <f>IF(J200="","",IF(VLOOKUP(J200,'G-7 WaterC'' Data'!$AK$4:$AM$9,2,FALSE)=0,"Spatial Data Missing ⚠",VLOOKUP(J200,'G-7 WaterC'' Data'!$AK$4:$AM$6,2,FALSE)))</f>
        <v/>
      </c>
      <c r="L200" s="299" t="str">
        <f>IF(J200="","",IF(VLOOKUP(J200,'G-7 WaterC'' Data'!$AK$4:$AM$9,3,FALSE)=0,"Spatial Data Missing ⚠",VLOOKUP(J200,'G-7 WaterC'' Data'!$AK$4:$AM$6,3,FALSE)))</f>
        <v/>
      </c>
      <c r="M200" s="102"/>
      <c r="N200" s="276" t="str">
        <f>IF(M200="","",IF(AND(M200="N/A - Culvert",D200&lt;&gt;"Culvert"),"Not possible ▲",IF(AND(D200="Culvert",M200&lt;&gt;"N/A - Culvert"),"Not possible ▲",IF(VLOOKUP(M200,'G-7 WaterC'' Data'!$AA$4:$AB$7,2,FALSE)=0,"Spatial Data Missing ⚠",VLOOKUP(M200,'G-7 WaterC'' Data'!$AA$4:$AB$7,2,FALSE)))))</f>
        <v/>
      </c>
      <c r="O200" s="56"/>
      <c r="P200" s="276" t="str">
        <f>IF(O200="","",IF(AND(O200="N/A - Culvert",D200&lt;&gt;"Culvert"),"Not possible ▲",IF(AND(D200="Culvert",O200&lt;&gt;"N/A - Culvert"),"Not possible ▲",IF(VLOOKUP(O200,'G-7 WaterC'' Data'!$AD$4:$AE$14,2,FALSE)=0,"Spatial Data Missing ⚠",VLOOKUP(O200,'G-7 WaterC'' Data'!$AD$4:$AE$14,2,FALSE)))))</f>
        <v/>
      </c>
      <c r="Q200" s="282" t="str">
        <f>IF(D200="","",VLOOKUP(D200,'G-7 WaterC'' Data'!$B$4:$G$8,6,FALSE))</f>
        <v/>
      </c>
      <c r="R200" s="289" t="str">
        <f t="shared" si="25"/>
        <v xml:space="preserve"> </v>
      </c>
      <c r="S200" s="393"/>
      <c r="T200" s="281" t="str">
        <f>IF(S200="","",IF(VLOOKUP(S200,'G-7 WaterC'' Data'!$AO$4:$BO$7,2,FALSE)=0,"Spatial Data Missing ⚠",VLOOKUP(S200,'G-7 WaterC'' Data'!$AO$4:$BO$7,2,FALSE)))</f>
        <v/>
      </c>
      <c r="U200" s="289" t="str">
        <f t="shared" si="26"/>
        <v xml:space="preserve"> </v>
      </c>
      <c r="V200" s="694" t="str">
        <f t="shared" si="27"/>
        <v/>
      </c>
      <c r="W200" s="32"/>
      <c r="X200" s="101"/>
      <c r="Y200" s="108"/>
      <c r="Z200" s="287" t="str">
        <f t="shared" si="28"/>
        <v/>
      </c>
      <c r="AA200" s="287" t="str">
        <f t="shared" si="29"/>
        <v/>
      </c>
      <c r="AB200" s="287" t="str">
        <f t="shared" si="30"/>
        <v/>
      </c>
      <c r="AC200" s="491" t="str">
        <f>IFERROR(IF(OR(E200="",R200=""),"",IF(AND(AB200&lt;&gt;"",S200=""),"Spatial risk category missing ▲",IF(AND(Q200='G-7 WaterC'' Data'!$G$4,AD200="Yes"),"Alternative Compensation ✓",IF(AND(AD200="Pending",Q200='G-7 WaterC'' Data'!$G$4),"Bespoke compensation must be agreed ▲",IF((Z200+AA200)&gt;=U200,0,U200-Z200-AA200))))),"Check Data ⚠")</f>
        <v/>
      </c>
      <c r="AD200" s="393"/>
      <c r="AE200" s="105"/>
      <c r="AF200" s="104"/>
      <c r="AG200" s="104"/>
      <c r="AH200" s="104"/>
      <c r="AI200" s="54" t="str">
        <f>IF(OR(Q200="",AD200="Yes"),"",IF(Q200='G-1 All Habitats'!$X$9,E200-Y200-X200,"None"))</f>
        <v/>
      </c>
      <c r="AJ200" s="55" t="str">
        <f>IF(Q200="","",IF(Q200='G-1 All Habitats'!$X$9,AI200*G200*I200*L200*N200*P200,"None"))</f>
        <v/>
      </c>
      <c r="AK200" s="30" t="str">
        <f>IFERROR(INDEX('G-7 WaterC'' Data'!$AZ$3:$AZ$7,MATCH(D200,'G-7 WaterC'' Data'!$AY$3:$AY$7,0)),"")</f>
        <v/>
      </c>
      <c r="AL200" s="30">
        <f t="shared" si="31"/>
        <v>0</v>
      </c>
      <c r="AM200" s="107" t="str">
        <f t="shared" si="32"/>
        <v/>
      </c>
      <c r="AN200" s="107" t="str">
        <f t="shared" si="33"/>
        <v/>
      </c>
      <c r="AP200" s="107">
        <v>191</v>
      </c>
      <c r="AR200" s="107" t="str">
        <f t="array" ref="AR200">IFERROR(INDEX($AP$10:$AP$258,MATCH(0,IF(TRUE=$AM$10:$AM$258,COUNTIF($AR$9:$AR199,$AP$10:$AP$258),""),0)),"")</f>
        <v/>
      </c>
      <c r="AS200" s="107" t="str">
        <f t="array" ref="AS200">IFERROR(INDEX($AP$10:$AP$258,MATCH(0,IF(TRUE=$AN$10:$AN$258,COUNTIF($AS$9:$AS199,$AP$10:$AP$258),""),0)),"")</f>
        <v/>
      </c>
      <c r="AT200" s="885" t="str">
        <f>IF(AND(OR(AD200="Yes",AD200="Pending"),Q200='G-7 WaterC'' Data'!$G$4),U200-AA200-Z200,"0")</f>
        <v>0</v>
      </c>
      <c r="AU200" s="30" t="str">
        <f>IF(D200="","",VLOOKUP(D200,'G-7 WaterC'' Data'!B$4:M$8,12,FALSE))</f>
        <v/>
      </c>
      <c r="AV200" s="30" t="str">
        <f t="shared" si="24"/>
        <v/>
      </c>
      <c r="AW200" s="30" t="str">
        <f t="shared" si="34"/>
        <v>No</v>
      </c>
      <c r="BA200" s="555" t="str">
        <f t="shared" si="35"/>
        <v/>
      </c>
    </row>
    <row r="201" spans="3:53" ht="14.5" thickBot="1">
      <c r="C201" s="97">
        <v>192</v>
      </c>
      <c r="D201" s="263"/>
      <c r="E201" s="104"/>
      <c r="F201" s="275" t="str">
        <f>IF(D201="","",VLOOKUP(D201,'G-7 WaterC'' Data'!$B$2:$G$8,2,FALSE))</f>
        <v/>
      </c>
      <c r="G201" s="314" t="str">
        <f>IFERROR(VLOOKUP(F201,'G-7 WaterC'' Data'!$C$4:$D$8,2,FALSE),"")</f>
        <v/>
      </c>
      <c r="H201" s="105"/>
      <c r="I201" s="299" t="str">
        <f>IFERROR(INDEX('G-7 WaterC'' Data'!$H$4:$L$8,MATCH(D201,'G-7 WaterC'' Data'!$B$4:$B$8,0),MATCH(H201,'G-7 WaterC'' Data'!$H$3:$L$3,0)),"")</f>
        <v/>
      </c>
      <c r="J201" s="702"/>
      <c r="K201" s="295" t="str">
        <f>IF(J201="","",IF(VLOOKUP(J201,'G-7 WaterC'' Data'!$AK$4:$AM$9,2,FALSE)=0,"Spatial Data Missing ⚠",VLOOKUP(J201,'G-7 WaterC'' Data'!$AK$4:$AM$6,2,FALSE)))</f>
        <v/>
      </c>
      <c r="L201" s="299" t="str">
        <f>IF(J201="","",IF(VLOOKUP(J201,'G-7 WaterC'' Data'!$AK$4:$AM$9,3,FALSE)=0,"Spatial Data Missing ⚠",VLOOKUP(J201,'G-7 WaterC'' Data'!$AK$4:$AM$6,3,FALSE)))</f>
        <v/>
      </c>
      <c r="M201" s="102"/>
      <c r="N201" s="276" t="str">
        <f>IF(M201="","",IF(AND(M201="N/A - Culvert",D201&lt;&gt;"Culvert"),"Not possible ▲",IF(AND(D201="Culvert",M201&lt;&gt;"N/A - Culvert"),"Not possible ▲",IF(VLOOKUP(M201,'G-7 WaterC'' Data'!$AA$4:$AB$7,2,FALSE)=0,"Spatial Data Missing ⚠",VLOOKUP(M201,'G-7 WaterC'' Data'!$AA$4:$AB$7,2,FALSE)))))</f>
        <v/>
      </c>
      <c r="O201" s="56"/>
      <c r="P201" s="276" t="str">
        <f>IF(O201="","",IF(AND(O201="N/A - Culvert",D201&lt;&gt;"Culvert"),"Not possible ▲",IF(AND(D201="Culvert",O201&lt;&gt;"N/A - Culvert"),"Not possible ▲",IF(VLOOKUP(O201,'G-7 WaterC'' Data'!$AD$4:$AE$14,2,FALSE)=0,"Spatial Data Missing ⚠",VLOOKUP(O201,'G-7 WaterC'' Data'!$AD$4:$AE$14,2,FALSE)))))</f>
        <v/>
      </c>
      <c r="Q201" s="282" t="str">
        <f>IF(D201="","",VLOOKUP(D201,'G-7 WaterC'' Data'!$B$4:$G$8,6,FALSE))</f>
        <v/>
      </c>
      <c r="R201" s="289" t="str">
        <f t="shared" si="25"/>
        <v xml:space="preserve"> </v>
      </c>
      <c r="S201" s="393"/>
      <c r="T201" s="281" t="str">
        <f>IF(S201="","",IF(VLOOKUP(S201,'G-7 WaterC'' Data'!$AO$4:$BO$7,2,FALSE)=0,"Spatial Data Missing ⚠",VLOOKUP(S201,'G-7 WaterC'' Data'!$AO$4:$BO$7,2,FALSE)))</f>
        <v/>
      </c>
      <c r="U201" s="289" t="str">
        <f t="shared" si="26"/>
        <v xml:space="preserve"> </v>
      </c>
      <c r="V201" s="694" t="str">
        <f t="shared" si="27"/>
        <v/>
      </c>
      <c r="W201" s="32"/>
      <c r="X201" s="101"/>
      <c r="Y201" s="108"/>
      <c r="Z201" s="287" t="str">
        <f t="shared" si="28"/>
        <v/>
      </c>
      <c r="AA201" s="287" t="str">
        <f t="shared" si="29"/>
        <v/>
      </c>
      <c r="AB201" s="287" t="str">
        <f t="shared" si="30"/>
        <v/>
      </c>
      <c r="AC201" s="491" t="str">
        <f>IFERROR(IF(OR(E201="",R201=""),"",IF(AND(AB201&lt;&gt;"",S201=""),"Spatial risk category missing ▲",IF(AND(Q201='G-7 WaterC'' Data'!$G$4,AD201="Yes"),"Alternative Compensation ✓",IF(AND(AD201="Pending",Q201='G-7 WaterC'' Data'!$G$4),"Bespoke compensation must be agreed ▲",IF((Z201+AA201)&gt;=U201,0,U201-Z201-AA201))))),"Check Data ⚠")</f>
        <v/>
      </c>
      <c r="AD201" s="393"/>
      <c r="AE201" s="105"/>
      <c r="AF201" s="104"/>
      <c r="AG201" s="104"/>
      <c r="AH201" s="104"/>
      <c r="AI201" s="54" t="str">
        <f>IF(OR(Q201="",AD201="Yes"),"",IF(Q201='G-1 All Habitats'!$X$9,E201-Y201-X201,"None"))</f>
        <v/>
      </c>
      <c r="AJ201" s="55" t="str">
        <f>IF(Q201="","",IF(Q201='G-1 All Habitats'!$X$9,AI201*G201*I201*L201*N201*P201,"None"))</f>
        <v/>
      </c>
      <c r="AK201" s="30" t="str">
        <f>IFERROR(INDEX('G-7 WaterC'' Data'!$AZ$3:$AZ$7,MATCH(D201,'G-7 WaterC'' Data'!$AY$3:$AY$7,0)),"")</f>
        <v/>
      </c>
      <c r="AL201" s="30">
        <f t="shared" si="31"/>
        <v>0</v>
      </c>
      <c r="AM201" s="107" t="str">
        <f t="shared" si="32"/>
        <v/>
      </c>
      <c r="AN201" s="107" t="str">
        <f t="shared" si="33"/>
        <v/>
      </c>
      <c r="AP201" s="107">
        <v>192</v>
      </c>
      <c r="AR201" s="107" t="str">
        <f t="array" ref="AR201">IFERROR(INDEX($AP$10:$AP$258,MATCH(0,IF(TRUE=$AM$10:$AM$258,COUNTIF($AR$9:$AR200,$AP$10:$AP$258),""),0)),"")</f>
        <v/>
      </c>
      <c r="AS201" s="107" t="str">
        <f t="array" ref="AS201">IFERROR(INDEX($AP$10:$AP$258,MATCH(0,IF(TRUE=$AN$10:$AN$258,COUNTIF($AS$9:$AS200,$AP$10:$AP$258),""),0)),"")</f>
        <v/>
      </c>
      <c r="AT201" s="885" t="str">
        <f>IF(AND(OR(AD201="Yes",AD201="Pending"),Q201='G-7 WaterC'' Data'!$G$4),U201-AA201-Z201,"0")</f>
        <v>0</v>
      </c>
      <c r="AU201" s="30" t="str">
        <f>IF(D201="","",VLOOKUP(D201,'G-7 WaterC'' Data'!B$4:M$8,12,FALSE))</f>
        <v/>
      </c>
      <c r="AV201" s="30" t="str">
        <f t="shared" si="24"/>
        <v/>
      </c>
      <c r="AW201" s="30" t="str">
        <f t="shared" si="34"/>
        <v>No</v>
      </c>
      <c r="BA201" s="555" t="str">
        <f t="shared" si="35"/>
        <v/>
      </c>
    </row>
    <row r="202" spans="3:53" ht="14.5" thickBot="1">
      <c r="C202" s="97">
        <v>193</v>
      </c>
      <c r="D202" s="263"/>
      <c r="E202" s="104"/>
      <c r="F202" s="275" t="str">
        <f>IF(D202="","",VLOOKUP(D202,'G-7 WaterC'' Data'!$B$2:$G$8,2,FALSE))</f>
        <v/>
      </c>
      <c r="G202" s="314" t="str">
        <f>IFERROR(VLOOKUP(F202,'G-7 WaterC'' Data'!$C$4:$D$8,2,FALSE),"")</f>
        <v/>
      </c>
      <c r="H202" s="105"/>
      <c r="I202" s="299" t="str">
        <f>IFERROR(INDEX('G-7 WaterC'' Data'!$H$4:$L$8,MATCH(D202,'G-7 WaterC'' Data'!$B$4:$B$8,0),MATCH(H202,'G-7 WaterC'' Data'!$H$3:$L$3,0)),"")</f>
        <v/>
      </c>
      <c r="J202" s="702"/>
      <c r="K202" s="295" t="str">
        <f>IF(J202="","",IF(VLOOKUP(J202,'G-7 WaterC'' Data'!$AK$4:$AM$9,2,FALSE)=0,"Spatial Data Missing ⚠",VLOOKUP(J202,'G-7 WaterC'' Data'!$AK$4:$AM$6,2,FALSE)))</f>
        <v/>
      </c>
      <c r="L202" s="299" t="str">
        <f>IF(J202="","",IF(VLOOKUP(J202,'G-7 WaterC'' Data'!$AK$4:$AM$9,3,FALSE)=0,"Spatial Data Missing ⚠",VLOOKUP(J202,'G-7 WaterC'' Data'!$AK$4:$AM$6,3,FALSE)))</f>
        <v/>
      </c>
      <c r="M202" s="102"/>
      <c r="N202" s="276" t="str">
        <f>IF(M202="","",IF(AND(M202="N/A - Culvert",D202&lt;&gt;"Culvert"),"Not possible ▲",IF(AND(D202="Culvert",M202&lt;&gt;"N/A - Culvert"),"Not possible ▲",IF(VLOOKUP(M202,'G-7 WaterC'' Data'!$AA$4:$AB$7,2,FALSE)=0,"Spatial Data Missing ⚠",VLOOKUP(M202,'G-7 WaterC'' Data'!$AA$4:$AB$7,2,FALSE)))))</f>
        <v/>
      </c>
      <c r="O202" s="56"/>
      <c r="P202" s="276" t="str">
        <f>IF(O202="","",IF(AND(O202="N/A - Culvert",D202&lt;&gt;"Culvert"),"Not possible ▲",IF(AND(D202="Culvert",O202&lt;&gt;"N/A - Culvert"),"Not possible ▲",IF(VLOOKUP(O202,'G-7 WaterC'' Data'!$AD$4:$AE$14,2,FALSE)=0,"Spatial Data Missing ⚠",VLOOKUP(O202,'G-7 WaterC'' Data'!$AD$4:$AE$14,2,FALSE)))))</f>
        <v/>
      </c>
      <c r="Q202" s="282" t="str">
        <f>IF(D202="","",VLOOKUP(D202,'G-7 WaterC'' Data'!$B$4:$G$8,6,FALSE))</f>
        <v/>
      </c>
      <c r="R202" s="289" t="str">
        <f t="shared" si="25"/>
        <v xml:space="preserve"> </v>
      </c>
      <c r="S202" s="393"/>
      <c r="T202" s="281" t="str">
        <f>IF(S202="","",IF(VLOOKUP(S202,'G-7 WaterC'' Data'!$AO$4:$BO$7,2,FALSE)=0,"Spatial Data Missing ⚠",VLOOKUP(S202,'G-7 WaterC'' Data'!$AO$4:$BO$7,2,FALSE)))</f>
        <v/>
      </c>
      <c r="U202" s="289" t="str">
        <f t="shared" si="26"/>
        <v xml:space="preserve"> </v>
      </c>
      <c r="V202" s="694" t="str">
        <f t="shared" si="27"/>
        <v/>
      </c>
      <c r="W202" s="32"/>
      <c r="X202" s="101"/>
      <c r="Y202" s="108"/>
      <c r="Z202" s="287" t="str">
        <f t="shared" si="28"/>
        <v/>
      </c>
      <c r="AA202" s="287" t="str">
        <f t="shared" si="29"/>
        <v/>
      </c>
      <c r="AB202" s="287" t="str">
        <f t="shared" si="30"/>
        <v/>
      </c>
      <c r="AC202" s="491" t="str">
        <f>IFERROR(IF(OR(E202="",R202=""),"",IF(AND(AB202&lt;&gt;"",S202=""),"Spatial risk category missing ▲",IF(AND(Q202='G-7 WaterC'' Data'!$G$4,AD202="Yes"),"Alternative Compensation ✓",IF(AND(AD202="Pending",Q202='G-7 WaterC'' Data'!$G$4),"Bespoke compensation must be agreed ▲",IF((Z202+AA202)&gt;=U202,0,U202-Z202-AA202))))),"Check Data ⚠")</f>
        <v/>
      </c>
      <c r="AD202" s="393"/>
      <c r="AE202" s="105"/>
      <c r="AF202" s="104"/>
      <c r="AG202" s="104"/>
      <c r="AH202" s="104"/>
      <c r="AI202" s="54" t="str">
        <f>IF(OR(Q202="",AD202="Yes"),"",IF(Q202='G-1 All Habitats'!$X$9,E202-Y202-X202,"None"))</f>
        <v/>
      </c>
      <c r="AJ202" s="55" t="str">
        <f>IF(Q202="","",IF(Q202='G-1 All Habitats'!$X$9,AI202*G202*I202*L202*N202*P202,"None"))</f>
        <v/>
      </c>
      <c r="AK202" s="30" t="str">
        <f>IFERROR(INDEX('G-7 WaterC'' Data'!$AZ$3:$AZ$7,MATCH(D202,'G-7 WaterC'' Data'!$AY$3:$AY$7,0)),"")</f>
        <v/>
      </c>
      <c r="AL202" s="30">
        <f t="shared" si="31"/>
        <v>0</v>
      </c>
      <c r="AM202" s="107" t="str">
        <f t="shared" si="32"/>
        <v/>
      </c>
      <c r="AN202" s="107" t="str">
        <f t="shared" si="33"/>
        <v/>
      </c>
      <c r="AP202" s="107">
        <v>193</v>
      </c>
      <c r="AR202" s="107" t="str">
        <f t="array" ref="AR202">IFERROR(INDEX($AP$10:$AP$258,MATCH(0,IF(TRUE=$AM$10:$AM$258,COUNTIF($AR$9:$AR201,$AP$10:$AP$258),""),0)),"")</f>
        <v/>
      </c>
      <c r="AS202" s="107" t="str">
        <f t="array" ref="AS202">IFERROR(INDEX($AP$10:$AP$258,MATCH(0,IF(TRUE=$AN$10:$AN$258,COUNTIF($AS$9:$AS201,$AP$10:$AP$258),""),0)),"")</f>
        <v/>
      </c>
      <c r="AT202" s="885" t="str">
        <f>IF(AND(OR(AD202="Yes",AD202="Pending"),Q202='G-7 WaterC'' Data'!$G$4),U202-AA202-Z202,"0")</f>
        <v>0</v>
      </c>
      <c r="AU202" s="30" t="str">
        <f>IF(D202="","",VLOOKUP(D202,'G-7 WaterC'' Data'!B$4:M$8,12,FALSE))</f>
        <v/>
      </c>
      <c r="AV202" s="30" t="str">
        <f t="shared" si="36" ref="AV202:AV257">IF(AD202="","",IF(AD202="Yes","Yes ✓","No ▲"))</f>
        <v/>
      </c>
      <c r="AW202" s="30" t="str">
        <f t="shared" si="34"/>
        <v>No</v>
      </c>
      <c r="BA202" s="555" t="str">
        <f t="shared" si="35"/>
        <v/>
      </c>
    </row>
    <row r="203" spans="3:53" ht="14.5" thickBot="1">
      <c r="C203" s="97">
        <v>194</v>
      </c>
      <c r="D203" s="263"/>
      <c r="E203" s="104"/>
      <c r="F203" s="275" t="str">
        <f>IF(D203="","",VLOOKUP(D203,'G-7 WaterC'' Data'!$B$2:$G$8,2,FALSE))</f>
        <v/>
      </c>
      <c r="G203" s="314" t="str">
        <f>IFERROR(VLOOKUP(F203,'G-7 WaterC'' Data'!$C$4:$D$8,2,FALSE),"")</f>
        <v/>
      </c>
      <c r="H203" s="105"/>
      <c r="I203" s="299" t="str">
        <f>IFERROR(INDEX('G-7 WaterC'' Data'!$H$4:$L$8,MATCH(D203,'G-7 WaterC'' Data'!$B$4:$B$8,0),MATCH(H203,'G-7 WaterC'' Data'!$H$3:$L$3,0)),"")</f>
        <v/>
      </c>
      <c r="J203" s="702"/>
      <c r="K203" s="295" t="str">
        <f>IF(J203="","",IF(VLOOKUP(J203,'G-7 WaterC'' Data'!$AK$4:$AM$9,2,FALSE)=0,"Spatial Data Missing ⚠",VLOOKUP(J203,'G-7 WaterC'' Data'!$AK$4:$AM$6,2,FALSE)))</f>
        <v/>
      </c>
      <c r="L203" s="299" t="str">
        <f>IF(J203="","",IF(VLOOKUP(J203,'G-7 WaterC'' Data'!$AK$4:$AM$9,3,FALSE)=0,"Spatial Data Missing ⚠",VLOOKUP(J203,'G-7 WaterC'' Data'!$AK$4:$AM$6,3,FALSE)))</f>
        <v/>
      </c>
      <c r="M203" s="102"/>
      <c r="N203" s="276" t="str">
        <f>IF(M203="","",IF(AND(M203="N/A - Culvert",D203&lt;&gt;"Culvert"),"Not possible ▲",IF(AND(D203="Culvert",M203&lt;&gt;"N/A - Culvert"),"Not possible ▲",IF(VLOOKUP(M203,'G-7 WaterC'' Data'!$AA$4:$AB$7,2,FALSE)=0,"Spatial Data Missing ⚠",VLOOKUP(M203,'G-7 WaterC'' Data'!$AA$4:$AB$7,2,FALSE)))))</f>
        <v/>
      </c>
      <c r="O203" s="56"/>
      <c r="P203" s="276" t="str">
        <f>IF(O203="","",IF(AND(O203="N/A - Culvert",D203&lt;&gt;"Culvert"),"Not possible ▲",IF(AND(D203="Culvert",O203&lt;&gt;"N/A - Culvert"),"Not possible ▲",IF(VLOOKUP(O203,'G-7 WaterC'' Data'!$AD$4:$AE$14,2,FALSE)=0,"Spatial Data Missing ⚠",VLOOKUP(O203,'G-7 WaterC'' Data'!$AD$4:$AE$14,2,FALSE)))))</f>
        <v/>
      </c>
      <c r="Q203" s="282" t="str">
        <f>IF(D203="","",VLOOKUP(D203,'G-7 WaterC'' Data'!$B$4:$G$8,6,FALSE))</f>
        <v/>
      </c>
      <c r="R203" s="289" t="str">
        <f t="shared" si="37" ref="R203:R257">IFERROR(IF(AND(X203&gt;0,Y203&gt;0,X203+Y203&gt;E203),"Split retained and enhanced into separate entries ▲",IF(OR(K203="Check data ⚠",I203="Check data ⚠"),"Check data ▲",E203*G203*I203*L203*N203*P203*T203))," ")</f>
        <v xml:space="preserve"> </v>
      </c>
      <c r="S203" s="393"/>
      <c r="T203" s="281" t="str">
        <f>IF(S203="","",IF(VLOOKUP(S203,'G-7 WaterC'' Data'!$AO$4:$BO$7,2,FALSE)=0,"Spatial Data Missing ⚠",VLOOKUP(S203,'G-7 WaterC'' Data'!$AO$4:$BO$7,2,FALSE)))</f>
        <v/>
      </c>
      <c r="U203" s="289" t="str">
        <f t="shared" si="38" ref="U203:U257">IFERROR(IF(AND(X203&gt;0,Y203&gt;0,X203+Y203&gt;E203),"Split retained and enhanced into separate entries ▲",IF(AND(S203&lt;&gt;"",AH203=""),"Off-site reference required ▲",IF(OR(K203="Check data ⚠",I203="Check data ⚠"),"Check data ▲",E203*G203*I203*L203*N203*P203)))," ")</f>
        <v xml:space="preserve"> </v>
      </c>
      <c r="V203" s="694" t="str">
        <f t="shared" si="39" ref="V203:V257">AU203</f>
        <v/>
      </c>
      <c r="W203" s="32"/>
      <c r="X203" s="101"/>
      <c r="Y203" s="108"/>
      <c r="Z203" s="287" t="str">
        <f t="shared" si="40" ref="Z203:Z257">IFERROR(IF(X203&gt;E203,"Error in Lengths ▲",X203*G203*I203*L203*N203*P203),"")</f>
        <v/>
      </c>
      <c r="AA203" s="287" t="str">
        <f t="shared" si="41" ref="AA203:AA257">IFERROR(IF(D203="","",Y203*G203*I203*L203*N203*P203),"")</f>
        <v/>
      </c>
      <c r="AB203" s="287" t="str">
        <f t="shared" si="42" ref="AB203:AB257">IFERROR(IF(D203="","",IF(E203&gt;(X203+Y203),E203-X203-Y203,0)),"")</f>
        <v/>
      </c>
      <c r="AC203" s="491" t="str">
        <f>IFERROR(IF(OR(E203="",R203=""),"",IF(AND(AB203&lt;&gt;"",S203=""),"Spatial risk category missing ▲",IF(AND(Q203='G-7 WaterC'' Data'!$G$4,AD203="Yes"),"Alternative Compensation ✓",IF(AND(AD203="Pending",Q203='G-7 WaterC'' Data'!$G$4),"Bespoke compensation must be agreed ▲",IF((Z203+AA203)&gt;=U203,0,U203-Z203-AA203))))),"Check Data ⚠")</f>
        <v/>
      </c>
      <c r="AD203" s="393"/>
      <c r="AE203" s="105"/>
      <c r="AF203" s="104"/>
      <c r="AG203" s="104"/>
      <c r="AH203" s="104"/>
      <c r="AI203" s="54" t="str">
        <f>IF(OR(Q203="",AD203="Yes"),"",IF(Q203='G-1 All Habitats'!$X$9,E203-Y203-X203,"None"))</f>
        <v/>
      </c>
      <c r="AJ203" s="55" t="str">
        <f>IF(Q203="","",IF(Q203='G-1 All Habitats'!$X$9,AI203*G203*I203*L203*N203*P203,"None"))</f>
        <v/>
      </c>
      <c r="AK203" s="30" t="str">
        <f>IFERROR(INDEX('G-7 WaterC'' Data'!$AZ$3:$AZ$7,MATCH(D203,'G-7 WaterC'' Data'!$AY$3:$AY$7,0)),"")</f>
        <v/>
      </c>
      <c r="AL203" s="30">
        <f t="shared" si="43" ref="AL203:AL257">IFERROR(IF(X203+Y203&gt;E203,1,0),"")</f>
        <v>0</v>
      </c>
      <c r="AM203" s="107" t="str">
        <f t="shared" si="44" ref="AM203:AM257">IF(D203="","",IF(X203&gt;0,TRUE,FALSE))</f>
        <v/>
      </c>
      <c r="AN203" s="107" t="str">
        <f t="shared" si="45" ref="AN203:AN257">IF(D203="","",IF(Y203&gt;0,TRUE,FALSE))</f>
        <v/>
      </c>
      <c r="AP203" s="107">
        <v>194</v>
      </c>
      <c r="AR203" s="107" t="str">
        <f t="array" ref="AR203">IFERROR(INDEX($AP$10:$AP$258,MATCH(0,IF(TRUE=$AM$10:$AM$258,COUNTIF($AR$9:$AR202,$AP$10:$AP$258),""),0)),"")</f>
        <v/>
      </c>
      <c r="AS203" s="107" t="str">
        <f t="array" ref="AS203">IFERROR(INDEX($AP$10:$AP$258,MATCH(0,IF(TRUE=$AN$10:$AN$258,COUNTIF($AS$9:$AS202,$AP$10:$AP$258),""),0)),"")</f>
        <v/>
      </c>
      <c r="AT203" s="885" t="str">
        <f>IF(AND(OR(AD203="Yes",AD203="Pending"),Q203='G-7 WaterC'' Data'!$G$4),U203-AA203-Z203,"0")</f>
        <v>0</v>
      </c>
      <c r="AU203" s="30" t="str">
        <f>IF(D203="","",VLOOKUP(D203,'G-7 WaterC'' Data'!B$4:M$8,12,FALSE))</f>
        <v/>
      </c>
      <c r="AV203" s="30" t="str">
        <f t="shared" si="36"/>
        <v/>
      </c>
      <c r="AW203" s="30" t="str">
        <f t="shared" si="46" ref="AW203:AW257">IF(AND(D203="Ditches",(OR(H203="Fairly Poor",H203="Fairly Good"))),"Yes","No")</f>
        <v>No</v>
      </c>
      <c r="BA203" s="555" t="str">
        <f t="shared" si="47" ref="BA203:BA257">IFERROR(IF(X203&gt;E203,"Error in Lengths ▲",IF(Z203="Irreplaceable habitat - no units generated ⚠","0",X203*G203*I203*L203*N203*P203*T203)+(AT203*T203)),"")</f>
        <v/>
      </c>
    </row>
    <row r="204" spans="3:53" ht="14.5" thickBot="1">
      <c r="C204" s="97">
        <v>195</v>
      </c>
      <c r="D204" s="263"/>
      <c r="E204" s="104"/>
      <c r="F204" s="275" t="str">
        <f>IF(D204="","",VLOOKUP(D204,'G-7 WaterC'' Data'!$B$2:$G$8,2,FALSE))</f>
        <v/>
      </c>
      <c r="G204" s="314" t="str">
        <f>IFERROR(VLOOKUP(F204,'G-7 WaterC'' Data'!$C$4:$D$8,2,FALSE),"")</f>
        <v/>
      </c>
      <c r="H204" s="105"/>
      <c r="I204" s="299" t="str">
        <f>IFERROR(INDEX('G-7 WaterC'' Data'!$H$4:$L$8,MATCH(D204,'G-7 WaterC'' Data'!$B$4:$B$8,0),MATCH(H204,'G-7 WaterC'' Data'!$H$3:$L$3,0)),"")</f>
        <v/>
      </c>
      <c r="J204" s="702"/>
      <c r="K204" s="295" t="str">
        <f>IF(J204="","",IF(VLOOKUP(J204,'G-7 WaterC'' Data'!$AK$4:$AM$9,2,FALSE)=0,"Spatial Data Missing ⚠",VLOOKUP(J204,'G-7 WaterC'' Data'!$AK$4:$AM$6,2,FALSE)))</f>
        <v/>
      </c>
      <c r="L204" s="299" t="str">
        <f>IF(J204="","",IF(VLOOKUP(J204,'G-7 WaterC'' Data'!$AK$4:$AM$9,3,FALSE)=0,"Spatial Data Missing ⚠",VLOOKUP(J204,'G-7 WaterC'' Data'!$AK$4:$AM$6,3,FALSE)))</f>
        <v/>
      </c>
      <c r="M204" s="102"/>
      <c r="N204" s="276" t="str">
        <f>IF(M204="","",IF(AND(M204="N/A - Culvert",D204&lt;&gt;"Culvert"),"Not possible ▲",IF(AND(D204="Culvert",M204&lt;&gt;"N/A - Culvert"),"Not possible ▲",IF(VLOOKUP(M204,'G-7 WaterC'' Data'!$AA$4:$AB$7,2,FALSE)=0,"Spatial Data Missing ⚠",VLOOKUP(M204,'G-7 WaterC'' Data'!$AA$4:$AB$7,2,FALSE)))))</f>
        <v/>
      </c>
      <c r="O204" s="56"/>
      <c r="P204" s="276" t="str">
        <f>IF(O204="","",IF(AND(O204="N/A - Culvert",D204&lt;&gt;"Culvert"),"Not possible ▲",IF(AND(D204="Culvert",O204&lt;&gt;"N/A - Culvert"),"Not possible ▲",IF(VLOOKUP(O204,'G-7 WaterC'' Data'!$AD$4:$AE$14,2,FALSE)=0,"Spatial Data Missing ⚠",VLOOKUP(O204,'G-7 WaterC'' Data'!$AD$4:$AE$14,2,FALSE)))))</f>
        <v/>
      </c>
      <c r="Q204" s="282" t="str">
        <f>IF(D204="","",VLOOKUP(D204,'G-7 WaterC'' Data'!$B$4:$G$8,6,FALSE))</f>
        <v/>
      </c>
      <c r="R204" s="289" t="str">
        <f t="shared" si="37"/>
        <v xml:space="preserve"> </v>
      </c>
      <c r="S204" s="393"/>
      <c r="T204" s="281" t="str">
        <f>IF(S204="","",IF(VLOOKUP(S204,'G-7 WaterC'' Data'!$AO$4:$BO$7,2,FALSE)=0,"Spatial Data Missing ⚠",VLOOKUP(S204,'G-7 WaterC'' Data'!$AO$4:$BO$7,2,FALSE)))</f>
        <v/>
      </c>
      <c r="U204" s="289" t="str">
        <f t="shared" si="38"/>
        <v xml:space="preserve"> </v>
      </c>
      <c r="V204" s="694" t="str">
        <f t="shared" si="39"/>
        <v/>
      </c>
      <c r="W204" s="32"/>
      <c r="X204" s="101"/>
      <c r="Y204" s="108"/>
      <c r="Z204" s="287" t="str">
        <f t="shared" si="40"/>
        <v/>
      </c>
      <c r="AA204" s="287" t="str">
        <f t="shared" si="41"/>
        <v/>
      </c>
      <c r="AB204" s="287" t="str">
        <f t="shared" si="42"/>
        <v/>
      </c>
      <c r="AC204" s="491" t="str">
        <f>IFERROR(IF(OR(E204="",R204=""),"",IF(AND(AB204&lt;&gt;"",S204=""),"Spatial risk category missing ▲",IF(AND(Q204='G-7 WaterC'' Data'!$G$4,AD204="Yes"),"Alternative Compensation ✓",IF(AND(AD204="Pending",Q204='G-7 WaterC'' Data'!$G$4),"Bespoke compensation must be agreed ▲",IF((Z204+AA204)&gt;=U204,0,U204-Z204-AA204))))),"Check Data ⚠")</f>
        <v/>
      </c>
      <c r="AD204" s="393"/>
      <c r="AE204" s="105"/>
      <c r="AF204" s="104"/>
      <c r="AG204" s="104"/>
      <c r="AH204" s="104"/>
      <c r="AI204" s="54" t="str">
        <f>IF(OR(Q204="",AD204="Yes"),"",IF(Q204='G-1 All Habitats'!$X$9,E204-Y204-X204,"None"))</f>
        <v/>
      </c>
      <c r="AJ204" s="55" t="str">
        <f>IF(Q204="","",IF(Q204='G-1 All Habitats'!$X$9,AI204*G204*I204*L204*N204*P204,"None"))</f>
        <v/>
      </c>
      <c r="AK204" s="30" t="str">
        <f>IFERROR(INDEX('G-7 WaterC'' Data'!$AZ$3:$AZ$7,MATCH(D204,'G-7 WaterC'' Data'!$AY$3:$AY$7,0)),"")</f>
        <v/>
      </c>
      <c r="AL204" s="30">
        <f t="shared" si="43"/>
        <v>0</v>
      </c>
      <c r="AM204" s="107" t="str">
        <f t="shared" si="44"/>
        <v/>
      </c>
      <c r="AN204" s="107" t="str">
        <f t="shared" si="45"/>
        <v/>
      </c>
      <c r="AP204" s="107">
        <v>195</v>
      </c>
      <c r="AR204" s="107" t="str">
        <f t="array" ref="AR204">IFERROR(INDEX($AP$10:$AP$258,MATCH(0,IF(TRUE=$AM$10:$AM$258,COUNTIF($AR$9:$AR203,$AP$10:$AP$258),""),0)),"")</f>
        <v/>
      </c>
      <c r="AS204" s="107" t="str">
        <f t="array" ref="AS204">IFERROR(INDEX($AP$10:$AP$258,MATCH(0,IF(TRUE=$AN$10:$AN$258,COUNTIF($AS$9:$AS203,$AP$10:$AP$258),""),0)),"")</f>
        <v/>
      </c>
      <c r="AT204" s="885" t="str">
        <f>IF(AND(OR(AD204="Yes",AD204="Pending"),Q204='G-7 WaterC'' Data'!$G$4),U204-AA204-Z204,"0")</f>
        <v>0</v>
      </c>
      <c r="AU204" s="30" t="str">
        <f>IF(D204="","",VLOOKUP(D204,'G-7 WaterC'' Data'!B$4:M$8,12,FALSE))</f>
        <v/>
      </c>
      <c r="AV204" s="30" t="str">
        <f t="shared" si="36"/>
        <v/>
      </c>
      <c r="AW204" s="30" t="str">
        <f t="shared" si="46"/>
        <v>No</v>
      </c>
      <c r="BA204" s="555" t="str">
        <f t="shared" si="47"/>
        <v/>
      </c>
    </row>
    <row r="205" spans="3:53" ht="14.5" thickBot="1">
      <c r="C205" s="97">
        <v>196</v>
      </c>
      <c r="D205" s="263"/>
      <c r="E205" s="104"/>
      <c r="F205" s="275" t="str">
        <f>IF(D205="","",VLOOKUP(D205,'G-7 WaterC'' Data'!$B$2:$G$8,2,FALSE))</f>
        <v/>
      </c>
      <c r="G205" s="314" t="str">
        <f>IFERROR(VLOOKUP(F205,'G-7 WaterC'' Data'!$C$4:$D$8,2,FALSE),"")</f>
        <v/>
      </c>
      <c r="H205" s="105"/>
      <c r="I205" s="299" t="str">
        <f>IFERROR(INDEX('G-7 WaterC'' Data'!$H$4:$L$8,MATCH(D205,'G-7 WaterC'' Data'!$B$4:$B$8,0),MATCH(H205,'G-7 WaterC'' Data'!$H$3:$L$3,0)),"")</f>
        <v/>
      </c>
      <c r="J205" s="702"/>
      <c r="K205" s="295" t="str">
        <f>IF(J205="","",IF(VLOOKUP(J205,'G-7 WaterC'' Data'!$AK$4:$AM$9,2,FALSE)=0,"Spatial Data Missing ⚠",VLOOKUP(J205,'G-7 WaterC'' Data'!$AK$4:$AM$6,2,FALSE)))</f>
        <v/>
      </c>
      <c r="L205" s="299" t="str">
        <f>IF(J205="","",IF(VLOOKUP(J205,'G-7 WaterC'' Data'!$AK$4:$AM$9,3,FALSE)=0,"Spatial Data Missing ⚠",VLOOKUP(J205,'G-7 WaterC'' Data'!$AK$4:$AM$6,3,FALSE)))</f>
        <v/>
      </c>
      <c r="M205" s="102"/>
      <c r="N205" s="276" t="str">
        <f>IF(M205="","",IF(AND(M205="N/A - Culvert",D205&lt;&gt;"Culvert"),"Not possible ▲",IF(AND(D205="Culvert",M205&lt;&gt;"N/A - Culvert"),"Not possible ▲",IF(VLOOKUP(M205,'G-7 WaterC'' Data'!$AA$4:$AB$7,2,FALSE)=0,"Spatial Data Missing ⚠",VLOOKUP(M205,'G-7 WaterC'' Data'!$AA$4:$AB$7,2,FALSE)))))</f>
        <v/>
      </c>
      <c r="O205" s="56"/>
      <c r="P205" s="276" t="str">
        <f>IF(O205="","",IF(AND(O205="N/A - Culvert",D205&lt;&gt;"Culvert"),"Not possible ▲",IF(AND(D205="Culvert",O205&lt;&gt;"N/A - Culvert"),"Not possible ▲",IF(VLOOKUP(O205,'G-7 WaterC'' Data'!$AD$4:$AE$14,2,FALSE)=0,"Spatial Data Missing ⚠",VLOOKUP(O205,'G-7 WaterC'' Data'!$AD$4:$AE$14,2,FALSE)))))</f>
        <v/>
      </c>
      <c r="Q205" s="282" t="str">
        <f>IF(D205="","",VLOOKUP(D205,'G-7 WaterC'' Data'!$B$4:$G$8,6,FALSE))</f>
        <v/>
      </c>
      <c r="R205" s="289" t="str">
        <f t="shared" si="37"/>
        <v xml:space="preserve"> </v>
      </c>
      <c r="S205" s="393"/>
      <c r="T205" s="281" t="str">
        <f>IF(S205="","",IF(VLOOKUP(S205,'G-7 WaterC'' Data'!$AO$4:$BO$7,2,FALSE)=0,"Spatial Data Missing ⚠",VLOOKUP(S205,'G-7 WaterC'' Data'!$AO$4:$BO$7,2,FALSE)))</f>
        <v/>
      </c>
      <c r="U205" s="289" t="str">
        <f t="shared" si="38"/>
        <v xml:space="preserve"> </v>
      </c>
      <c r="V205" s="694" t="str">
        <f t="shared" si="39"/>
        <v/>
      </c>
      <c r="W205" s="32"/>
      <c r="X205" s="101"/>
      <c r="Y205" s="108"/>
      <c r="Z205" s="287" t="str">
        <f t="shared" si="40"/>
        <v/>
      </c>
      <c r="AA205" s="287" t="str">
        <f t="shared" si="41"/>
        <v/>
      </c>
      <c r="AB205" s="287" t="str">
        <f t="shared" si="42"/>
        <v/>
      </c>
      <c r="AC205" s="491" t="str">
        <f>IFERROR(IF(OR(E205="",R205=""),"",IF(AND(AB205&lt;&gt;"",S205=""),"Spatial risk category missing ▲",IF(AND(Q205='G-7 WaterC'' Data'!$G$4,AD205="Yes"),"Alternative Compensation ✓",IF(AND(AD205="Pending",Q205='G-7 WaterC'' Data'!$G$4),"Bespoke compensation must be agreed ▲",IF((Z205+AA205)&gt;=U205,0,U205-Z205-AA205))))),"Check Data ⚠")</f>
        <v/>
      </c>
      <c r="AD205" s="393"/>
      <c r="AE205" s="105"/>
      <c r="AF205" s="104"/>
      <c r="AG205" s="104"/>
      <c r="AH205" s="104"/>
      <c r="AI205" s="54" t="str">
        <f>IF(OR(Q205="",AD205="Yes"),"",IF(Q205='G-1 All Habitats'!$X$9,E205-Y205-X205,"None"))</f>
        <v/>
      </c>
      <c r="AJ205" s="55" t="str">
        <f>IF(Q205="","",IF(Q205='G-1 All Habitats'!$X$9,AI205*G205*I205*L205*N205*P205,"None"))</f>
        <v/>
      </c>
      <c r="AK205" s="30" t="str">
        <f>IFERROR(INDEX('G-7 WaterC'' Data'!$AZ$3:$AZ$7,MATCH(D205,'G-7 WaterC'' Data'!$AY$3:$AY$7,0)),"")</f>
        <v/>
      </c>
      <c r="AL205" s="30">
        <f t="shared" si="43"/>
        <v>0</v>
      </c>
      <c r="AM205" s="107" t="str">
        <f t="shared" si="44"/>
        <v/>
      </c>
      <c r="AN205" s="107" t="str">
        <f t="shared" si="45"/>
        <v/>
      </c>
      <c r="AP205" s="107">
        <v>196</v>
      </c>
      <c r="AR205" s="107" t="str">
        <f t="array" ref="AR205">IFERROR(INDEX($AP$10:$AP$258,MATCH(0,IF(TRUE=$AM$10:$AM$258,COUNTIF($AR$9:$AR204,$AP$10:$AP$258),""),0)),"")</f>
        <v/>
      </c>
      <c r="AS205" s="107" t="str">
        <f t="array" ref="AS205">IFERROR(INDEX($AP$10:$AP$258,MATCH(0,IF(TRUE=$AN$10:$AN$258,COUNTIF($AS$9:$AS204,$AP$10:$AP$258),""),0)),"")</f>
        <v/>
      </c>
      <c r="AT205" s="885" t="str">
        <f>IF(AND(OR(AD205="Yes",AD205="Pending"),Q205='G-7 WaterC'' Data'!$G$4),U205-AA205-Z205,"0")</f>
        <v>0</v>
      </c>
      <c r="AU205" s="30" t="str">
        <f>IF(D205="","",VLOOKUP(D205,'G-7 WaterC'' Data'!B$4:M$8,12,FALSE))</f>
        <v/>
      </c>
      <c r="AV205" s="30" t="str">
        <f t="shared" si="36"/>
        <v/>
      </c>
      <c r="AW205" s="30" t="str">
        <f t="shared" si="46"/>
        <v>No</v>
      </c>
      <c r="BA205" s="555" t="str">
        <f t="shared" si="47"/>
        <v/>
      </c>
    </row>
    <row r="206" spans="3:53" ht="14.5" thickBot="1">
      <c r="C206" s="97">
        <v>197</v>
      </c>
      <c r="D206" s="263"/>
      <c r="E206" s="104"/>
      <c r="F206" s="275" t="str">
        <f>IF(D206="","",VLOOKUP(D206,'G-7 WaterC'' Data'!$B$2:$G$8,2,FALSE))</f>
        <v/>
      </c>
      <c r="G206" s="314" t="str">
        <f>IFERROR(VLOOKUP(F206,'G-7 WaterC'' Data'!$C$4:$D$8,2,FALSE),"")</f>
        <v/>
      </c>
      <c r="H206" s="105"/>
      <c r="I206" s="299" t="str">
        <f>IFERROR(INDEX('G-7 WaterC'' Data'!$H$4:$L$8,MATCH(D206,'G-7 WaterC'' Data'!$B$4:$B$8,0),MATCH(H206,'G-7 WaterC'' Data'!$H$3:$L$3,0)),"")</f>
        <v/>
      </c>
      <c r="J206" s="702"/>
      <c r="K206" s="295" t="str">
        <f>IF(J206="","",IF(VLOOKUP(J206,'G-7 WaterC'' Data'!$AK$4:$AM$9,2,FALSE)=0,"Spatial Data Missing ⚠",VLOOKUP(J206,'G-7 WaterC'' Data'!$AK$4:$AM$6,2,FALSE)))</f>
        <v/>
      </c>
      <c r="L206" s="299" t="str">
        <f>IF(J206="","",IF(VLOOKUP(J206,'G-7 WaterC'' Data'!$AK$4:$AM$9,3,FALSE)=0,"Spatial Data Missing ⚠",VLOOKUP(J206,'G-7 WaterC'' Data'!$AK$4:$AM$6,3,FALSE)))</f>
        <v/>
      </c>
      <c r="M206" s="102"/>
      <c r="N206" s="276" t="str">
        <f>IF(M206="","",IF(AND(M206="N/A - Culvert",D206&lt;&gt;"Culvert"),"Not possible ▲",IF(AND(D206="Culvert",M206&lt;&gt;"N/A - Culvert"),"Not possible ▲",IF(VLOOKUP(M206,'G-7 WaterC'' Data'!$AA$4:$AB$7,2,FALSE)=0,"Spatial Data Missing ⚠",VLOOKUP(M206,'G-7 WaterC'' Data'!$AA$4:$AB$7,2,FALSE)))))</f>
        <v/>
      </c>
      <c r="O206" s="56"/>
      <c r="P206" s="276" t="str">
        <f>IF(O206="","",IF(AND(O206="N/A - Culvert",D206&lt;&gt;"Culvert"),"Not possible ▲",IF(AND(D206="Culvert",O206&lt;&gt;"N/A - Culvert"),"Not possible ▲",IF(VLOOKUP(O206,'G-7 WaterC'' Data'!$AD$4:$AE$14,2,FALSE)=0,"Spatial Data Missing ⚠",VLOOKUP(O206,'G-7 WaterC'' Data'!$AD$4:$AE$14,2,FALSE)))))</f>
        <v/>
      </c>
      <c r="Q206" s="282" t="str">
        <f>IF(D206="","",VLOOKUP(D206,'G-7 WaterC'' Data'!$B$4:$G$8,6,FALSE))</f>
        <v/>
      </c>
      <c r="R206" s="289" t="str">
        <f t="shared" si="37"/>
        <v xml:space="preserve"> </v>
      </c>
      <c r="S206" s="393"/>
      <c r="T206" s="281" t="str">
        <f>IF(S206="","",IF(VLOOKUP(S206,'G-7 WaterC'' Data'!$AO$4:$BO$7,2,FALSE)=0,"Spatial Data Missing ⚠",VLOOKUP(S206,'G-7 WaterC'' Data'!$AO$4:$BO$7,2,FALSE)))</f>
        <v/>
      </c>
      <c r="U206" s="289" t="str">
        <f t="shared" si="38"/>
        <v xml:space="preserve"> </v>
      </c>
      <c r="V206" s="694" t="str">
        <f t="shared" si="39"/>
        <v/>
      </c>
      <c r="W206" s="32"/>
      <c r="X206" s="101"/>
      <c r="Y206" s="108"/>
      <c r="Z206" s="287" t="str">
        <f t="shared" si="40"/>
        <v/>
      </c>
      <c r="AA206" s="287" t="str">
        <f t="shared" si="41"/>
        <v/>
      </c>
      <c r="AB206" s="287" t="str">
        <f t="shared" si="42"/>
        <v/>
      </c>
      <c r="AC206" s="491" t="str">
        <f>IFERROR(IF(OR(E206="",R206=""),"",IF(AND(AB206&lt;&gt;"",S206=""),"Spatial risk category missing ▲",IF(AND(Q206='G-7 WaterC'' Data'!$G$4,AD206="Yes"),"Alternative Compensation ✓",IF(AND(AD206="Pending",Q206='G-7 WaterC'' Data'!$G$4),"Bespoke compensation must be agreed ▲",IF((Z206+AA206)&gt;=U206,0,U206-Z206-AA206))))),"Check Data ⚠")</f>
        <v/>
      </c>
      <c r="AD206" s="393"/>
      <c r="AE206" s="105"/>
      <c r="AF206" s="104"/>
      <c r="AG206" s="104"/>
      <c r="AH206" s="104"/>
      <c r="AI206" s="54" t="str">
        <f>IF(OR(Q206="",AD206="Yes"),"",IF(Q206='G-1 All Habitats'!$X$9,E206-Y206-X206,"None"))</f>
        <v/>
      </c>
      <c r="AJ206" s="55" t="str">
        <f>IF(Q206="","",IF(Q206='G-1 All Habitats'!$X$9,AI206*G206*I206*L206*N206*P206,"None"))</f>
        <v/>
      </c>
      <c r="AK206" s="30" t="str">
        <f>IFERROR(INDEX('G-7 WaterC'' Data'!$AZ$3:$AZ$7,MATCH(D206,'G-7 WaterC'' Data'!$AY$3:$AY$7,0)),"")</f>
        <v/>
      </c>
      <c r="AL206" s="30">
        <f t="shared" si="43"/>
        <v>0</v>
      </c>
      <c r="AM206" s="107" t="str">
        <f t="shared" si="44"/>
        <v/>
      </c>
      <c r="AN206" s="107" t="str">
        <f t="shared" si="45"/>
        <v/>
      </c>
      <c r="AP206" s="107">
        <v>197</v>
      </c>
      <c r="AR206" s="107" t="str">
        <f t="array" ref="AR206">IFERROR(INDEX($AP$10:$AP$258,MATCH(0,IF(TRUE=$AM$10:$AM$258,COUNTIF($AR$9:$AR205,$AP$10:$AP$258),""),0)),"")</f>
        <v/>
      </c>
      <c r="AS206" s="107" t="str">
        <f t="array" ref="AS206">IFERROR(INDEX($AP$10:$AP$258,MATCH(0,IF(TRUE=$AN$10:$AN$258,COUNTIF($AS$9:$AS205,$AP$10:$AP$258),""),0)),"")</f>
        <v/>
      </c>
      <c r="AT206" s="885" t="str">
        <f>IF(AND(OR(AD206="Yes",AD206="Pending"),Q206='G-7 WaterC'' Data'!$G$4),U206-AA206-Z206,"0")</f>
        <v>0</v>
      </c>
      <c r="AU206" s="30" t="str">
        <f>IF(D206="","",VLOOKUP(D206,'G-7 WaterC'' Data'!B$4:M$8,12,FALSE))</f>
        <v/>
      </c>
      <c r="AV206" s="30" t="str">
        <f t="shared" si="36"/>
        <v/>
      </c>
      <c r="AW206" s="30" t="str">
        <f t="shared" si="46"/>
        <v>No</v>
      </c>
      <c r="BA206" s="555" t="str">
        <f t="shared" si="47"/>
        <v/>
      </c>
    </row>
    <row r="207" spans="3:53" ht="14.5" thickBot="1">
      <c r="C207" s="97">
        <v>198</v>
      </c>
      <c r="D207" s="263"/>
      <c r="E207" s="104"/>
      <c r="F207" s="275" t="str">
        <f>IF(D207="","",VLOOKUP(D207,'G-7 WaterC'' Data'!$B$2:$G$8,2,FALSE))</f>
        <v/>
      </c>
      <c r="G207" s="314" t="str">
        <f>IFERROR(VLOOKUP(F207,'G-7 WaterC'' Data'!$C$4:$D$8,2,FALSE),"")</f>
        <v/>
      </c>
      <c r="H207" s="105"/>
      <c r="I207" s="299" t="str">
        <f>IFERROR(INDEX('G-7 WaterC'' Data'!$H$4:$L$8,MATCH(D207,'G-7 WaterC'' Data'!$B$4:$B$8,0),MATCH(H207,'G-7 WaterC'' Data'!$H$3:$L$3,0)),"")</f>
        <v/>
      </c>
      <c r="J207" s="702"/>
      <c r="K207" s="295" t="str">
        <f>IF(J207="","",IF(VLOOKUP(J207,'G-7 WaterC'' Data'!$AK$4:$AM$9,2,FALSE)=0,"Spatial Data Missing ⚠",VLOOKUP(J207,'G-7 WaterC'' Data'!$AK$4:$AM$6,2,FALSE)))</f>
        <v/>
      </c>
      <c r="L207" s="299" t="str">
        <f>IF(J207="","",IF(VLOOKUP(J207,'G-7 WaterC'' Data'!$AK$4:$AM$9,3,FALSE)=0,"Spatial Data Missing ⚠",VLOOKUP(J207,'G-7 WaterC'' Data'!$AK$4:$AM$6,3,FALSE)))</f>
        <v/>
      </c>
      <c r="M207" s="102"/>
      <c r="N207" s="276" t="str">
        <f>IF(M207="","",IF(AND(M207="N/A - Culvert",D207&lt;&gt;"Culvert"),"Not possible ▲",IF(AND(D207="Culvert",M207&lt;&gt;"N/A - Culvert"),"Not possible ▲",IF(VLOOKUP(M207,'G-7 WaterC'' Data'!$AA$4:$AB$7,2,FALSE)=0,"Spatial Data Missing ⚠",VLOOKUP(M207,'G-7 WaterC'' Data'!$AA$4:$AB$7,2,FALSE)))))</f>
        <v/>
      </c>
      <c r="O207" s="56"/>
      <c r="P207" s="276" t="str">
        <f>IF(O207="","",IF(AND(O207="N/A - Culvert",D207&lt;&gt;"Culvert"),"Not possible ▲",IF(AND(D207="Culvert",O207&lt;&gt;"N/A - Culvert"),"Not possible ▲",IF(VLOOKUP(O207,'G-7 WaterC'' Data'!$AD$4:$AE$14,2,FALSE)=0,"Spatial Data Missing ⚠",VLOOKUP(O207,'G-7 WaterC'' Data'!$AD$4:$AE$14,2,FALSE)))))</f>
        <v/>
      </c>
      <c r="Q207" s="282" t="str">
        <f>IF(D207="","",VLOOKUP(D207,'G-7 WaterC'' Data'!$B$4:$G$8,6,FALSE))</f>
        <v/>
      </c>
      <c r="R207" s="289" t="str">
        <f t="shared" si="37"/>
        <v xml:space="preserve"> </v>
      </c>
      <c r="S207" s="393"/>
      <c r="T207" s="281" t="str">
        <f>IF(S207="","",IF(VLOOKUP(S207,'G-7 WaterC'' Data'!$AO$4:$BO$7,2,FALSE)=0,"Spatial Data Missing ⚠",VLOOKUP(S207,'G-7 WaterC'' Data'!$AO$4:$BO$7,2,FALSE)))</f>
        <v/>
      </c>
      <c r="U207" s="289" t="str">
        <f t="shared" si="38"/>
        <v xml:space="preserve"> </v>
      </c>
      <c r="V207" s="694" t="str">
        <f t="shared" si="39"/>
        <v/>
      </c>
      <c r="W207" s="32"/>
      <c r="X207" s="101"/>
      <c r="Y207" s="108"/>
      <c r="Z207" s="287" t="str">
        <f t="shared" si="40"/>
        <v/>
      </c>
      <c r="AA207" s="287" t="str">
        <f t="shared" si="41"/>
        <v/>
      </c>
      <c r="AB207" s="287" t="str">
        <f t="shared" si="42"/>
        <v/>
      </c>
      <c r="AC207" s="491" t="str">
        <f>IFERROR(IF(OR(E207="",R207=""),"",IF(AND(AB207&lt;&gt;"",S207=""),"Spatial risk category missing ▲",IF(AND(Q207='G-7 WaterC'' Data'!$G$4,AD207="Yes"),"Alternative Compensation ✓",IF(AND(AD207="Pending",Q207='G-7 WaterC'' Data'!$G$4),"Bespoke compensation must be agreed ▲",IF((Z207+AA207)&gt;=U207,0,U207-Z207-AA207))))),"Check Data ⚠")</f>
        <v/>
      </c>
      <c r="AD207" s="393"/>
      <c r="AE207" s="105"/>
      <c r="AF207" s="104"/>
      <c r="AG207" s="104"/>
      <c r="AH207" s="104"/>
      <c r="AI207" s="54" t="str">
        <f>IF(OR(Q207="",AD207="Yes"),"",IF(Q207='G-1 All Habitats'!$X$9,E207-Y207-X207,"None"))</f>
        <v/>
      </c>
      <c r="AJ207" s="55" t="str">
        <f>IF(Q207="","",IF(Q207='G-1 All Habitats'!$X$9,AI207*G207*I207*L207*N207*P207,"None"))</f>
        <v/>
      </c>
      <c r="AK207" s="30" t="str">
        <f>IFERROR(INDEX('G-7 WaterC'' Data'!$AZ$3:$AZ$7,MATCH(D207,'G-7 WaterC'' Data'!$AY$3:$AY$7,0)),"")</f>
        <v/>
      </c>
      <c r="AL207" s="30">
        <f t="shared" si="43"/>
        <v>0</v>
      </c>
      <c r="AM207" s="107" t="str">
        <f t="shared" si="44"/>
        <v/>
      </c>
      <c r="AN207" s="107" t="str">
        <f t="shared" si="45"/>
        <v/>
      </c>
      <c r="AP207" s="107">
        <v>198</v>
      </c>
      <c r="AR207" s="107" t="str">
        <f t="array" ref="AR207">IFERROR(INDEX($AP$10:$AP$258,MATCH(0,IF(TRUE=$AM$10:$AM$258,COUNTIF($AR$9:$AR206,$AP$10:$AP$258),""),0)),"")</f>
        <v/>
      </c>
      <c r="AS207" s="107" t="str">
        <f t="array" ref="AS207">IFERROR(INDEX($AP$10:$AP$258,MATCH(0,IF(TRUE=$AN$10:$AN$258,COUNTIF($AS$9:$AS206,$AP$10:$AP$258),""),0)),"")</f>
        <v/>
      </c>
      <c r="AT207" s="885" t="str">
        <f>IF(AND(OR(AD207="Yes",AD207="Pending"),Q207='G-7 WaterC'' Data'!$G$4),U207-AA207-Z207,"0")</f>
        <v>0</v>
      </c>
      <c r="AU207" s="30" t="str">
        <f>IF(D207="","",VLOOKUP(D207,'G-7 WaterC'' Data'!B$4:M$8,12,FALSE))</f>
        <v/>
      </c>
      <c r="AV207" s="30" t="str">
        <f t="shared" si="36"/>
        <v/>
      </c>
      <c r="AW207" s="30" t="str">
        <f t="shared" si="46"/>
        <v>No</v>
      </c>
      <c r="BA207" s="555" t="str">
        <f t="shared" si="47"/>
        <v/>
      </c>
    </row>
    <row r="208" spans="3:53" ht="14.5" thickBot="1">
      <c r="C208" s="97">
        <v>199</v>
      </c>
      <c r="D208" s="263"/>
      <c r="E208" s="104"/>
      <c r="F208" s="275" t="str">
        <f>IF(D208="","",VLOOKUP(D208,'G-7 WaterC'' Data'!$B$2:$G$8,2,FALSE))</f>
        <v/>
      </c>
      <c r="G208" s="314" t="str">
        <f>IFERROR(VLOOKUP(F208,'G-7 WaterC'' Data'!$C$4:$D$8,2,FALSE),"")</f>
        <v/>
      </c>
      <c r="H208" s="105"/>
      <c r="I208" s="299" t="str">
        <f>IFERROR(INDEX('G-7 WaterC'' Data'!$H$4:$L$8,MATCH(D208,'G-7 WaterC'' Data'!$B$4:$B$8,0),MATCH(H208,'G-7 WaterC'' Data'!$H$3:$L$3,0)),"")</f>
        <v/>
      </c>
      <c r="J208" s="702"/>
      <c r="K208" s="295" t="str">
        <f>IF(J208="","",IF(VLOOKUP(J208,'G-7 WaterC'' Data'!$AK$4:$AM$9,2,FALSE)=0,"Spatial Data Missing ⚠",VLOOKUP(J208,'G-7 WaterC'' Data'!$AK$4:$AM$6,2,FALSE)))</f>
        <v/>
      </c>
      <c r="L208" s="299" t="str">
        <f>IF(J208="","",IF(VLOOKUP(J208,'G-7 WaterC'' Data'!$AK$4:$AM$9,3,FALSE)=0,"Spatial Data Missing ⚠",VLOOKUP(J208,'G-7 WaterC'' Data'!$AK$4:$AM$6,3,FALSE)))</f>
        <v/>
      </c>
      <c r="M208" s="102"/>
      <c r="N208" s="276" t="str">
        <f>IF(M208="","",IF(AND(M208="N/A - Culvert",D208&lt;&gt;"Culvert"),"Not possible ▲",IF(AND(D208="Culvert",M208&lt;&gt;"N/A - Culvert"),"Not possible ▲",IF(VLOOKUP(M208,'G-7 WaterC'' Data'!$AA$4:$AB$7,2,FALSE)=0,"Spatial Data Missing ⚠",VLOOKUP(M208,'G-7 WaterC'' Data'!$AA$4:$AB$7,2,FALSE)))))</f>
        <v/>
      </c>
      <c r="O208" s="56"/>
      <c r="P208" s="276" t="str">
        <f>IF(O208="","",IF(AND(O208="N/A - Culvert",D208&lt;&gt;"Culvert"),"Not possible ▲",IF(AND(D208="Culvert",O208&lt;&gt;"N/A - Culvert"),"Not possible ▲",IF(VLOOKUP(O208,'G-7 WaterC'' Data'!$AD$4:$AE$14,2,FALSE)=0,"Spatial Data Missing ⚠",VLOOKUP(O208,'G-7 WaterC'' Data'!$AD$4:$AE$14,2,FALSE)))))</f>
        <v/>
      </c>
      <c r="Q208" s="282" t="str">
        <f>IF(D208="","",VLOOKUP(D208,'G-7 WaterC'' Data'!$B$4:$G$8,6,FALSE))</f>
        <v/>
      </c>
      <c r="R208" s="289" t="str">
        <f t="shared" si="37"/>
        <v xml:space="preserve"> </v>
      </c>
      <c r="S208" s="393"/>
      <c r="T208" s="281" t="str">
        <f>IF(S208="","",IF(VLOOKUP(S208,'G-7 WaterC'' Data'!$AO$4:$BO$7,2,FALSE)=0,"Spatial Data Missing ⚠",VLOOKUP(S208,'G-7 WaterC'' Data'!$AO$4:$BO$7,2,FALSE)))</f>
        <v/>
      </c>
      <c r="U208" s="289" t="str">
        <f t="shared" si="38"/>
        <v xml:space="preserve"> </v>
      </c>
      <c r="V208" s="694" t="str">
        <f t="shared" si="39"/>
        <v/>
      </c>
      <c r="W208" s="32"/>
      <c r="X208" s="101"/>
      <c r="Y208" s="108"/>
      <c r="Z208" s="287" t="str">
        <f t="shared" si="40"/>
        <v/>
      </c>
      <c r="AA208" s="287" t="str">
        <f t="shared" si="41"/>
        <v/>
      </c>
      <c r="AB208" s="287" t="str">
        <f t="shared" si="42"/>
        <v/>
      </c>
      <c r="AC208" s="491" t="str">
        <f>IFERROR(IF(OR(E208="",R208=""),"",IF(AND(AB208&lt;&gt;"",S208=""),"Spatial risk category missing ▲",IF(AND(Q208='G-7 WaterC'' Data'!$G$4,AD208="Yes"),"Alternative Compensation ✓",IF(AND(AD208="Pending",Q208='G-7 WaterC'' Data'!$G$4),"Bespoke compensation must be agreed ▲",IF((Z208+AA208)&gt;=U208,0,U208-Z208-AA208))))),"Check Data ⚠")</f>
        <v/>
      </c>
      <c r="AD208" s="393"/>
      <c r="AE208" s="105"/>
      <c r="AF208" s="104"/>
      <c r="AG208" s="104"/>
      <c r="AH208" s="104"/>
      <c r="AI208" s="54" t="str">
        <f>IF(OR(Q208="",AD208="Yes"),"",IF(Q208='G-1 All Habitats'!$X$9,E208-Y208-X208,"None"))</f>
        <v/>
      </c>
      <c r="AJ208" s="55" t="str">
        <f>IF(Q208="","",IF(Q208='G-1 All Habitats'!$X$9,AI208*G208*I208*L208*N208*P208,"None"))</f>
        <v/>
      </c>
      <c r="AK208" s="30" t="str">
        <f>IFERROR(INDEX('G-7 WaterC'' Data'!$AZ$3:$AZ$7,MATCH(D208,'G-7 WaterC'' Data'!$AY$3:$AY$7,0)),"")</f>
        <v/>
      </c>
      <c r="AL208" s="30">
        <f t="shared" si="43"/>
        <v>0</v>
      </c>
      <c r="AM208" s="107" t="str">
        <f t="shared" si="44"/>
        <v/>
      </c>
      <c r="AN208" s="107" t="str">
        <f t="shared" si="45"/>
        <v/>
      </c>
      <c r="AP208" s="107">
        <v>199</v>
      </c>
      <c r="AR208" s="107" t="str">
        <f t="array" ref="AR208">IFERROR(INDEX($AP$10:$AP$258,MATCH(0,IF(TRUE=$AM$10:$AM$258,COUNTIF($AR$9:$AR207,$AP$10:$AP$258),""),0)),"")</f>
        <v/>
      </c>
      <c r="AS208" s="107" t="str">
        <f t="array" ref="AS208">IFERROR(INDEX($AP$10:$AP$258,MATCH(0,IF(TRUE=$AN$10:$AN$258,COUNTIF($AS$9:$AS207,$AP$10:$AP$258),""),0)),"")</f>
        <v/>
      </c>
      <c r="AT208" s="885" t="str">
        <f>IF(AND(OR(AD208="Yes",AD208="Pending"),Q208='G-7 WaterC'' Data'!$G$4),U208-AA208-Z208,"0")</f>
        <v>0</v>
      </c>
      <c r="AU208" s="30" t="str">
        <f>IF(D208="","",VLOOKUP(D208,'G-7 WaterC'' Data'!B$4:M$8,12,FALSE))</f>
        <v/>
      </c>
      <c r="AV208" s="30" t="str">
        <f t="shared" si="36"/>
        <v/>
      </c>
      <c r="AW208" s="30" t="str">
        <f t="shared" si="46"/>
        <v>No</v>
      </c>
      <c r="BA208" s="555" t="str">
        <f t="shared" si="47"/>
        <v/>
      </c>
    </row>
    <row r="209" spans="3:53" ht="14.5" thickBot="1">
      <c r="C209" s="97">
        <v>200</v>
      </c>
      <c r="D209" s="263"/>
      <c r="E209" s="104"/>
      <c r="F209" s="275" t="str">
        <f>IF(D209="","",VLOOKUP(D209,'G-7 WaterC'' Data'!$B$2:$G$8,2,FALSE))</f>
        <v/>
      </c>
      <c r="G209" s="314" t="str">
        <f>IFERROR(VLOOKUP(F209,'G-7 WaterC'' Data'!$C$4:$D$8,2,FALSE),"")</f>
        <v/>
      </c>
      <c r="H209" s="105"/>
      <c r="I209" s="299" t="str">
        <f>IFERROR(INDEX('G-7 WaterC'' Data'!$H$4:$L$8,MATCH(D209,'G-7 WaterC'' Data'!$B$4:$B$8,0),MATCH(H209,'G-7 WaterC'' Data'!$H$3:$L$3,0)),"")</f>
        <v/>
      </c>
      <c r="J209" s="702"/>
      <c r="K209" s="295" t="str">
        <f>IF(J209="","",IF(VLOOKUP(J209,'G-7 WaterC'' Data'!$AK$4:$AM$9,2,FALSE)=0,"Spatial Data Missing ⚠",VLOOKUP(J209,'G-7 WaterC'' Data'!$AK$4:$AM$6,2,FALSE)))</f>
        <v/>
      </c>
      <c r="L209" s="299" t="str">
        <f>IF(J209="","",IF(VLOOKUP(J209,'G-7 WaterC'' Data'!$AK$4:$AM$9,3,FALSE)=0,"Spatial Data Missing ⚠",VLOOKUP(J209,'G-7 WaterC'' Data'!$AK$4:$AM$6,3,FALSE)))</f>
        <v/>
      </c>
      <c r="M209" s="102"/>
      <c r="N209" s="276" t="str">
        <f>IF(M209="","",IF(AND(M209="N/A - Culvert",D209&lt;&gt;"Culvert"),"Not possible ▲",IF(AND(D209="Culvert",M209&lt;&gt;"N/A - Culvert"),"Not possible ▲",IF(VLOOKUP(M209,'G-7 WaterC'' Data'!$AA$4:$AB$7,2,FALSE)=0,"Spatial Data Missing ⚠",VLOOKUP(M209,'G-7 WaterC'' Data'!$AA$4:$AB$7,2,FALSE)))))</f>
        <v/>
      </c>
      <c r="O209" s="56"/>
      <c r="P209" s="276" t="str">
        <f>IF(O209="","",IF(AND(O209="N/A - Culvert",D209&lt;&gt;"Culvert"),"Not possible ▲",IF(AND(D209="Culvert",O209&lt;&gt;"N/A - Culvert"),"Not possible ▲",IF(VLOOKUP(O209,'G-7 WaterC'' Data'!$AD$4:$AE$14,2,FALSE)=0,"Spatial Data Missing ⚠",VLOOKUP(O209,'G-7 WaterC'' Data'!$AD$4:$AE$14,2,FALSE)))))</f>
        <v/>
      </c>
      <c r="Q209" s="282" t="str">
        <f>IF(D209="","",VLOOKUP(D209,'G-7 WaterC'' Data'!$B$4:$G$8,6,FALSE))</f>
        <v/>
      </c>
      <c r="R209" s="289" t="str">
        <f t="shared" si="37"/>
        <v xml:space="preserve"> </v>
      </c>
      <c r="S209" s="393"/>
      <c r="T209" s="281" t="str">
        <f>IF(S209="","",IF(VLOOKUP(S209,'G-7 WaterC'' Data'!$AO$4:$BO$7,2,FALSE)=0,"Spatial Data Missing ⚠",VLOOKUP(S209,'G-7 WaterC'' Data'!$AO$4:$BO$7,2,FALSE)))</f>
        <v/>
      </c>
      <c r="U209" s="289" t="str">
        <f t="shared" si="38"/>
        <v xml:space="preserve"> </v>
      </c>
      <c r="V209" s="694" t="str">
        <f t="shared" si="39"/>
        <v/>
      </c>
      <c r="W209" s="32"/>
      <c r="X209" s="101"/>
      <c r="Y209" s="108"/>
      <c r="Z209" s="287" t="str">
        <f t="shared" si="40"/>
        <v/>
      </c>
      <c r="AA209" s="287" t="str">
        <f t="shared" si="41"/>
        <v/>
      </c>
      <c r="AB209" s="287" t="str">
        <f t="shared" si="42"/>
        <v/>
      </c>
      <c r="AC209" s="491" t="str">
        <f>IFERROR(IF(OR(E209="",R209=""),"",IF(AND(AB209&lt;&gt;"",S209=""),"Spatial risk category missing ▲",IF(AND(Q209='G-7 WaterC'' Data'!$G$4,AD209="Yes"),"Alternative Compensation ✓",IF(AND(AD209="Pending",Q209='G-7 WaterC'' Data'!$G$4),"Bespoke compensation must be agreed ▲",IF((Z209+AA209)&gt;=U209,0,U209-Z209-AA209))))),"Check Data ⚠")</f>
        <v/>
      </c>
      <c r="AD209" s="393"/>
      <c r="AE209" s="105"/>
      <c r="AF209" s="104"/>
      <c r="AG209" s="104"/>
      <c r="AH209" s="104"/>
      <c r="AI209" s="54" t="str">
        <f>IF(OR(Q209="",AD209="Yes"),"",IF(Q209='G-1 All Habitats'!$X$9,E209-Y209-X209,"None"))</f>
        <v/>
      </c>
      <c r="AJ209" s="55" t="str">
        <f>IF(Q209="","",IF(Q209='G-1 All Habitats'!$X$9,AI209*G209*I209*L209*N209*P209,"None"))</f>
        <v/>
      </c>
      <c r="AK209" s="30" t="str">
        <f>IFERROR(INDEX('G-7 WaterC'' Data'!$AZ$3:$AZ$7,MATCH(D209,'G-7 WaterC'' Data'!$AY$3:$AY$7,0)),"")</f>
        <v/>
      </c>
      <c r="AL209" s="30">
        <f t="shared" si="43"/>
        <v>0</v>
      </c>
      <c r="AM209" s="107" t="str">
        <f t="shared" si="44"/>
        <v/>
      </c>
      <c r="AN209" s="107" t="str">
        <f t="shared" si="45"/>
        <v/>
      </c>
      <c r="AP209" s="107">
        <v>200</v>
      </c>
      <c r="AR209" s="107" t="str">
        <f t="array" ref="AR209">IFERROR(INDEX($AP$10:$AP$258,MATCH(0,IF(TRUE=$AM$10:$AM$258,COUNTIF($AR$9:$AR208,$AP$10:$AP$258),""),0)),"")</f>
        <v/>
      </c>
      <c r="AS209" s="107" t="str">
        <f t="array" ref="AS209">IFERROR(INDEX($AP$10:$AP$258,MATCH(0,IF(TRUE=$AN$10:$AN$258,COUNTIF($AS$9:$AS208,$AP$10:$AP$258),""),0)),"")</f>
        <v/>
      </c>
      <c r="AT209" s="885" t="str">
        <f>IF(AND(OR(AD209="Yes",AD209="Pending"),Q209='G-7 WaterC'' Data'!$G$4),U209-AA209-Z209,"0")</f>
        <v>0</v>
      </c>
      <c r="AU209" s="30" t="str">
        <f>IF(D209="","",VLOOKUP(D209,'G-7 WaterC'' Data'!B$4:M$8,12,FALSE))</f>
        <v/>
      </c>
      <c r="AV209" s="30" t="str">
        <f t="shared" si="36"/>
        <v/>
      </c>
      <c r="AW209" s="30" t="str">
        <f t="shared" si="46"/>
        <v>No</v>
      </c>
      <c r="BA209" s="555" t="str">
        <f t="shared" si="47"/>
        <v/>
      </c>
    </row>
    <row r="210" spans="3:53" ht="14.5" thickBot="1">
      <c r="C210" s="97">
        <v>201</v>
      </c>
      <c r="D210" s="263"/>
      <c r="E210" s="104"/>
      <c r="F210" s="275" t="str">
        <f>IF(D210="","",VLOOKUP(D210,'G-7 WaterC'' Data'!$B$2:$G$8,2,FALSE))</f>
        <v/>
      </c>
      <c r="G210" s="314" t="str">
        <f>IFERROR(VLOOKUP(F210,'G-7 WaterC'' Data'!$C$4:$D$8,2,FALSE),"")</f>
        <v/>
      </c>
      <c r="H210" s="105"/>
      <c r="I210" s="299" t="str">
        <f>IFERROR(INDEX('G-7 WaterC'' Data'!$H$4:$L$8,MATCH(D210,'G-7 WaterC'' Data'!$B$4:$B$8,0),MATCH(H210,'G-7 WaterC'' Data'!$H$3:$L$3,0)),"")</f>
        <v/>
      </c>
      <c r="J210" s="702"/>
      <c r="K210" s="295" t="str">
        <f>IF(J210="","",IF(VLOOKUP(J210,'G-7 WaterC'' Data'!$AK$4:$AM$9,2,FALSE)=0,"Spatial Data Missing ⚠",VLOOKUP(J210,'G-7 WaterC'' Data'!$AK$4:$AM$6,2,FALSE)))</f>
        <v/>
      </c>
      <c r="L210" s="299" t="str">
        <f>IF(J210="","",IF(VLOOKUP(J210,'G-7 WaterC'' Data'!$AK$4:$AM$9,3,FALSE)=0,"Spatial Data Missing ⚠",VLOOKUP(J210,'G-7 WaterC'' Data'!$AK$4:$AM$6,3,FALSE)))</f>
        <v/>
      </c>
      <c r="M210" s="102"/>
      <c r="N210" s="276" t="str">
        <f>IF(M210="","",IF(AND(M210="N/A - Culvert",D210&lt;&gt;"Culvert"),"Not possible ▲",IF(AND(D210="Culvert",M210&lt;&gt;"N/A - Culvert"),"Not possible ▲",IF(VLOOKUP(M210,'G-7 WaterC'' Data'!$AA$4:$AB$7,2,FALSE)=0,"Spatial Data Missing ⚠",VLOOKUP(M210,'G-7 WaterC'' Data'!$AA$4:$AB$7,2,FALSE)))))</f>
        <v/>
      </c>
      <c r="O210" s="56"/>
      <c r="P210" s="276" t="str">
        <f>IF(O210="","",IF(AND(O210="N/A - Culvert",D210&lt;&gt;"Culvert"),"Not possible ▲",IF(AND(D210="Culvert",O210&lt;&gt;"N/A - Culvert"),"Not possible ▲",IF(VLOOKUP(O210,'G-7 WaterC'' Data'!$AD$4:$AE$14,2,FALSE)=0,"Spatial Data Missing ⚠",VLOOKUP(O210,'G-7 WaterC'' Data'!$AD$4:$AE$14,2,FALSE)))))</f>
        <v/>
      </c>
      <c r="Q210" s="282" t="str">
        <f>IF(D210="","",VLOOKUP(D210,'G-7 WaterC'' Data'!$B$4:$G$8,6,FALSE))</f>
        <v/>
      </c>
      <c r="R210" s="289" t="str">
        <f t="shared" si="37"/>
        <v xml:space="preserve"> </v>
      </c>
      <c r="S210" s="393"/>
      <c r="T210" s="281" t="str">
        <f>IF(S210="","",IF(VLOOKUP(S210,'G-7 WaterC'' Data'!$AO$4:$BO$7,2,FALSE)=0,"Spatial Data Missing ⚠",VLOOKUP(S210,'G-7 WaterC'' Data'!$AO$4:$BO$7,2,FALSE)))</f>
        <v/>
      </c>
      <c r="U210" s="289" t="str">
        <f t="shared" si="38"/>
        <v xml:space="preserve"> </v>
      </c>
      <c r="V210" s="694" t="str">
        <f t="shared" si="39"/>
        <v/>
      </c>
      <c r="W210" s="32"/>
      <c r="X210" s="101"/>
      <c r="Y210" s="108"/>
      <c r="Z210" s="287" t="str">
        <f t="shared" si="40"/>
        <v/>
      </c>
      <c r="AA210" s="287" t="str">
        <f t="shared" si="41"/>
        <v/>
      </c>
      <c r="AB210" s="287" t="str">
        <f t="shared" si="42"/>
        <v/>
      </c>
      <c r="AC210" s="491" t="str">
        <f>IFERROR(IF(OR(E210="",R210=""),"",IF(AND(AB210&lt;&gt;"",S210=""),"Spatial risk category missing ▲",IF(AND(Q210='G-7 WaterC'' Data'!$G$4,AD210="Yes"),"Alternative Compensation ✓",IF(AND(AD210="Pending",Q210='G-7 WaterC'' Data'!$G$4),"Bespoke compensation must be agreed ▲",IF((Z210+AA210)&gt;=U210,0,U210-Z210-AA210))))),"Check Data ⚠")</f>
        <v/>
      </c>
      <c r="AD210" s="393"/>
      <c r="AE210" s="105"/>
      <c r="AF210" s="104"/>
      <c r="AG210" s="104"/>
      <c r="AH210" s="104"/>
      <c r="AI210" s="54" t="str">
        <f>IF(OR(Q210="",AD210="Yes"),"",IF(Q210='G-1 All Habitats'!$X$9,E210-Y210-X210,"None"))</f>
        <v/>
      </c>
      <c r="AJ210" s="55" t="str">
        <f>IF(Q210="","",IF(Q210='G-1 All Habitats'!$X$9,AI210*G210*I210*L210*N210*P210,"None"))</f>
        <v/>
      </c>
      <c r="AK210" s="30" t="str">
        <f>IFERROR(INDEX('G-7 WaterC'' Data'!$AZ$3:$AZ$7,MATCH(D210,'G-7 WaterC'' Data'!$AY$3:$AY$7,0)),"")</f>
        <v/>
      </c>
      <c r="AL210" s="30">
        <f t="shared" si="43"/>
        <v>0</v>
      </c>
      <c r="AM210" s="107" t="str">
        <f t="shared" si="44"/>
        <v/>
      </c>
      <c r="AN210" s="107" t="str">
        <f t="shared" si="45"/>
        <v/>
      </c>
      <c r="AP210" s="107">
        <v>201</v>
      </c>
      <c r="AR210" s="107" t="str">
        <f t="array" ref="AR210">IFERROR(INDEX($AP$10:$AP$258,MATCH(0,IF(TRUE=$AM$10:$AM$258,COUNTIF($AR$9:$AR209,$AP$10:$AP$258),""),0)),"")</f>
        <v/>
      </c>
      <c r="AS210" s="107" t="str">
        <f t="array" ref="AS210">IFERROR(INDEX($AP$10:$AP$258,MATCH(0,IF(TRUE=$AN$10:$AN$258,COUNTIF($AS$9:$AS209,$AP$10:$AP$258),""),0)),"")</f>
        <v/>
      </c>
      <c r="AT210" s="885" t="str">
        <f>IF(AND(OR(AD210="Yes",AD210="Pending"),Q210='G-7 WaterC'' Data'!$G$4),U210-AA210-Z210,"0")</f>
        <v>0</v>
      </c>
      <c r="AU210" s="30" t="str">
        <f>IF(D210="","",VLOOKUP(D210,'G-7 WaterC'' Data'!B$4:M$8,12,FALSE))</f>
        <v/>
      </c>
      <c r="AV210" s="30" t="str">
        <f t="shared" si="36"/>
        <v/>
      </c>
      <c r="AW210" s="30" t="str">
        <f t="shared" si="46"/>
        <v>No</v>
      </c>
      <c r="BA210" s="555" t="str">
        <f t="shared" si="47"/>
        <v/>
      </c>
    </row>
    <row r="211" spans="3:53" ht="14.5" thickBot="1">
      <c r="C211" s="97">
        <v>202</v>
      </c>
      <c r="D211" s="263"/>
      <c r="E211" s="104"/>
      <c r="F211" s="275" t="str">
        <f>IF(D211="","",VLOOKUP(D211,'G-7 WaterC'' Data'!$B$2:$G$8,2,FALSE))</f>
        <v/>
      </c>
      <c r="G211" s="314" t="str">
        <f>IFERROR(VLOOKUP(F211,'G-7 WaterC'' Data'!$C$4:$D$8,2,FALSE),"")</f>
        <v/>
      </c>
      <c r="H211" s="105"/>
      <c r="I211" s="299" t="str">
        <f>IFERROR(INDEX('G-7 WaterC'' Data'!$H$4:$L$8,MATCH(D211,'G-7 WaterC'' Data'!$B$4:$B$8,0),MATCH(H211,'G-7 WaterC'' Data'!$H$3:$L$3,0)),"")</f>
        <v/>
      </c>
      <c r="J211" s="702"/>
      <c r="K211" s="295" t="str">
        <f>IF(J211="","",IF(VLOOKUP(J211,'G-7 WaterC'' Data'!$AK$4:$AM$9,2,FALSE)=0,"Spatial Data Missing ⚠",VLOOKUP(J211,'G-7 WaterC'' Data'!$AK$4:$AM$6,2,FALSE)))</f>
        <v/>
      </c>
      <c r="L211" s="299" t="str">
        <f>IF(J211="","",IF(VLOOKUP(J211,'G-7 WaterC'' Data'!$AK$4:$AM$9,3,FALSE)=0,"Spatial Data Missing ⚠",VLOOKUP(J211,'G-7 WaterC'' Data'!$AK$4:$AM$6,3,FALSE)))</f>
        <v/>
      </c>
      <c r="M211" s="102"/>
      <c r="N211" s="276" t="str">
        <f>IF(M211="","",IF(AND(M211="N/A - Culvert",D211&lt;&gt;"Culvert"),"Not possible ▲",IF(AND(D211="Culvert",M211&lt;&gt;"N/A - Culvert"),"Not possible ▲",IF(VLOOKUP(M211,'G-7 WaterC'' Data'!$AA$4:$AB$7,2,FALSE)=0,"Spatial Data Missing ⚠",VLOOKUP(M211,'G-7 WaterC'' Data'!$AA$4:$AB$7,2,FALSE)))))</f>
        <v/>
      </c>
      <c r="O211" s="56"/>
      <c r="P211" s="276" t="str">
        <f>IF(O211="","",IF(AND(O211="N/A - Culvert",D211&lt;&gt;"Culvert"),"Not possible ▲",IF(AND(D211="Culvert",O211&lt;&gt;"N/A - Culvert"),"Not possible ▲",IF(VLOOKUP(O211,'G-7 WaterC'' Data'!$AD$4:$AE$14,2,FALSE)=0,"Spatial Data Missing ⚠",VLOOKUP(O211,'G-7 WaterC'' Data'!$AD$4:$AE$14,2,FALSE)))))</f>
        <v/>
      </c>
      <c r="Q211" s="282" t="str">
        <f>IF(D211="","",VLOOKUP(D211,'G-7 WaterC'' Data'!$B$4:$G$8,6,FALSE))</f>
        <v/>
      </c>
      <c r="R211" s="289" t="str">
        <f t="shared" si="37"/>
        <v xml:space="preserve"> </v>
      </c>
      <c r="S211" s="393"/>
      <c r="T211" s="281" t="str">
        <f>IF(S211="","",IF(VLOOKUP(S211,'G-7 WaterC'' Data'!$AO$4:$BO$7,2,FALSE)=0,"Spatial Data Missing ⚠",VLOOKUP(S211,'G-7 WaterC'' Data'!$AO$4:$BO$7,2,FALSE)))</f>
        <v/>
      </c>
      <c r="U211" s="289" t="str">
        <f t="shared" si="38"/>
        <v xml:space="preserve"> </v>
      </c>
      <c r="V211" s="694" t="str">
        <f t="shared" si="39"/>
        <v/>
      </c>
      <c r="W211" s="32"/>
      <c r="X211" s="101"/>
      <c r="Y211" s="108"/>
      <c r="Z211" s="287" t="str">
        <f t="shared" si="40"/>
        <v/>
      </c>
      <c r="AA211" s="287" t="str">
        <f t="shared" si="41"/>
        <v/>
      </c>
      <c r="AB211" s="287" t="str">
        <f t="shared" si="42"/>
        <v/>
      </c>
      <c r="AC211" s="491" t="str">
        <f>IFERROR(IF(OR(E211="",R211=""),"",IF(AND(AB211&lt;&gt;"",S211=""),"Spatial risk category missing ▲",IF(AND(Q211='G-7 WaterC'' Data'!$G$4,AD211="Yes"),"Alternative Compensation ✓",IF(AND(AD211="Pending",Q211='G-7 WaterC'' Data'!$G$4),"Bespoke compensation must be agreed ▲",IF((Z211+AA211)&gt;=U211,0,U211-Z211-AA211))))),"Check Data ⚠")</f>
        <v/>
      </c>
      <c r="AD211" s="393"/>
      <c r="AE211" s="105"/>
      <c r="AF211" s="104"/>
      <c r="AG211" s="104"/>
      <c r="AH211" s="104"/>
      <c r="AI211" s="54" t="str">
        <f>IF(OR(Q211="",AD211="Yes"),"",IF(Q211='G-1 All Habitats'!$X$9,E211-Y211-X211,"None"))</f>
        <v/>
      </c>
      <c r="AJ211" s="55" t="str">
        <f>IF(Q211="","",IF(Q211='G-1 All Habitats'!$X$9,AI211*G211*I211*L211*N211*P211,"None"))</f>
        <v/>
      </c>
      <c r="AK211" s="30" t="str">
        <f>IFERROR(INDEX('G-7 WaterC'' Data'!$AZ$3:$AZ$7,MATCH(D211,'G-7 WaterC'' Data'!$AY$3:$AY$7,0)),"")</f>
        <v/>
      </c>
      <c r="AL211" s="30">
        <f t="shared" si="43"/>
        <v>0</v>
      </c>
      <c r="AM211" s="107" t="str">
        <f t="shared" si="44"/>
        <v/>
      </c>
      <c r="AN211" s="107" t="str">
        <f t="shared" si="45"/>
        <v/>
      </c>
      <c r="AP211" s="107">
        <v>202</v>
      </c>
      <c r="AR211" s="107" t="str">
        <f t="array" ref="AR211">IFERROR(INDEX($AP$10:$AP$258,MATCH(0,IF(TRUE=$AM$10:$AM$258,COUNTIF($AR$9:$AR210,$AP$10:$AP$258),""),0)),"")</f>
        <v/>
      </c>
      <c r="AS211" s="107" t="str">
        <f t="array" ref="AS211">IFERROR(INDEX($AP$10:$AP$258,MATCH(0,IF(TRUE=$AN$10:$AN$258,COUNTIF($AS$9:$AS210,$AP$10:$AP$258),""),0)),"")</f>
        <v/>
      </c>
      <c r="AT211" s="885" t="str">
        <f>IF(AND(OR(AD211="Yes",AD211="Pending"),Q211='G-7 WaterC'' Data'!$G$4),U211-AA211-Z211,"0")</f>
        <v>0</v>
      </c>
      <c r="AU211" s="30" t="str">
        <f>IF(D211="","",VLOOKUP(D211,'G-7 WaterC'' Data'!B$4:M$8,12,FALSE))</f>
        <v/>
      </c>
      <c r="AV211" s="30" t="str">
        <f t="shared" si="36"/>
        <v/>
      </c>
      <c r="AW211" s="30" t="str">
        <f t="shared" si="46"/>
        <v>No</v>
      </c>
      <c r="BA211" s="555" t="str">
        <f t="shared" si="47"/>
        <v/>
      </c>
    </row>
    <row r="212" spans="3:53" ht="14.5" thickBot="1">
      <c r="C212" s="97">
        <v>203</v>
      </c>
      <c r="D212" s="263"/>
      <c r="E212" s="104"/>
      <c r="F212" s="275" t="str">
        <f>IF(D212="","",VLOOKUP(D212,'G-7 WaterC'' Data'!$B$2:$G$8,2,FALSE))</f>
        <v/>
      </c>
      <c r="G212" s="314" t="str">
        <f>IFERROR(VLOOKUP(F212,'G-7 WaterC'' Data'!$C$4:$D$8,2,FALSE),"")</f>
        <v/>
      </c>
      <c r="H212" s="105"/>
      <c r="I212" s="299" t="str">
        <f>IFERROR(INDEX('G-7 WaterC'' Data'!$H$4:$L$8,MATCH(D212,'G-7 WaterC'' Data'!$B$4:$B$8,0),MATCH(H212,'G-7 WaterC'' Data'!$H$3:$L$3,0)),"")</f>
        <v/>
      </c>
      <c r="J212" s="702"/>
      <c r="K212" s="295" t="str">
        <f>IF(J212="","",IF(VLOOKUP(J212,'G-7 WaterC'' Data'!$AK$4:$AM$9,2,FALSE)=0,"Spatial Data Missing ⚠",VLOOKUP(J212,'G-7 WaterC'' Data'!$AK$4:$AM$6,2,FALSE)))</f>
        <v/>
      </c>
      <c r="L212" s="299" t="str">
        <f>IF(J212="","",IF(VLOOKUP(J212,'G-7 WaterC'' Data'!$AK$4:$AM$9,3,FALSE)=0,"Spatial Data Missing ⚠",VLOOKUP(J212,'G-7 WaterC'' Data'!$AK$4:$AM$6,3,FALSE)))</f>
        <v/>
      </c>
      <c r="M212" s="102"/>
      <c r="N212" s="276" t="str">
        <f>IF(M212="","",IF(AND(M212="N/A - Culvert",D212&lt;&gt;"Culvert"),"Not possible ▲",IF(AND(D212="Culvert",M212&lt;&gt;"N/A - Culvert"),"Not possible ▲",IF(VLOOKUP(M212,'G-7 WaterC'' Data'!$AA$4:$AB$7,2,FALSE)=0,"Spatial Data Missing ⚠",VLOOKUP(M212,'G-7 WaterC'' Data'!$AA$4:$AB$7,2,FALSE)))))</f>
        <v/>
      </c>
      <c r="O212" s="56"/>
      <c r="P212" s="276" t="str">
        <f>IF(O212="","",IF(AND(O212="N/A - Culvert",D212&lt;&gt;"Culvert"),"Not possible ▲",IF(AND(D212="Culvert",O212&lt;&gt;"N/A - Culvert"),"Not possible ▲",IF(VLOOKUP(O212,'G-7 WaterC'' Data'!$AD$4:$AE$14,2,FALSE)=0,"Spatial Data Missing ⚠",VLOOKUP(O212,'G-7 WaterC'' Data'!$AD$4:$AE$14,2,FALSE)))))</f>
        <v/>
      </c>
      <c r="Q212" s="282" t="str">
        <f>IF(D212="","",VLOOKUP(D212,'G-7 WaterC'' Data'!$B$4:$G$8,6,FALSE))</f>
        <v/>
      </c>
      <c r="R212" s="289" t="str">
        <f t="shared" si="37"/>
        <v xml:space="preserve"> </v>
      </c>
      <c r="S212" s="393"/>
      <c r="T212" s="281" t="str">
        <f>IF(S212="","",IF(VLOOKUP(S212,'G-7 WaterC'' Data'!$AO$4:$BO$7,2,FALSE)=0,"Spatial Data Missing ⚠",VLOOKUP(S212,'G-7 WaterC'' Data'!$AO$4:$BO$7,2,FALSE)))</f>
        <v/>
      </c>
      <c r="U212" s="289" t="str">
        <f t="shared" si="38"/>
        <v xml:space="preserve"> </v>
      </c>
      <c r="V212" s="694" t="str">
        <f t="shared" si="39"/>
        <v/>
      </c>
      <c r="W212" s="32"/>
      <c r="X212" s="101"/>
      <c r="Y212" s="108"/>
      <c r="Z212" s="287" t="str">
        <f t="shared" si="40"/>
        <v/>
      </c>
      <c r="AA212" s="287" t="str">
        <f t="shared" si="41"/>
        <v/>
      </c>
      <c r="AB212" s="287" t="str">
        <f t="shared" si="42"/>
        <v/>
      </c>
      <c r="AC212" s="491" t="str">
        <f>IFERROR(IF(OR(E212="",R212=""),"",IF(AND(AB212&lt;&gt;"",S212=""),"Spatial risk category missing ▲",IF(AND(Q212='G-7 WaterC'' Data'!$G$4,AD212="Yes"),"Alternative Compensation ✓",IF(AND(AD212="Pending",Q212='G-7 WaterC'' Data'!$G$4),"Bespoke compensation must be agreed ▲",IF((Z212+AA212)&gt;=U212,0,U212-Z212-AA212))))),"Check Data ⚠")</f>
        <v/>
      </c>
      <c r="AD212" s="393"/>
      <c r="AE212" s="105"/>
      <c r="AF212" s="104"/>
      <c r="AG212" s="104"/>
      <c r="AH212" s="104"/>
      <c r="AI212" s="54" t="str">
        <f>IF(OR(Q212="",AD212="Yes"),"",IF(Q212='G-1 All Habitats'!$X$9,E212-Y212-X212,"None"))</f>
        <v/>
      </c>
      <c r="AJ212" s="55" t="str">
        <f>IF(Q212="","",IF(Q212='G-1 All Habitats'!$X$9,AI212*G212*I212*L212*N212*P212,"None"))</f>
        <v/>
      </c>
      <c r="AK212" s="30" t="str">
        <f>IFERROR(INDEX('G-7 WaterC'' Data'!$AZ$3:$AZ$7,MATCH(D212,'G-7 WaterC'' Data'!$AY$3:$AY$7,0)),"")</f>
        <v/>
      </c>
      <c r="AL212" s="30">
        <f t="shared" si="43"/>
        <v>0</v>
      </c>
      <c r="AM212" s="107" t="str">
        <f t="shared" si="44"/>
        <v/>
      </c>
      <c r="AN212" s="107" t="str">
        <f t="shared" si="45"/>
        <v/>
      </c>
      <c r="AP212" s="107">
        <v>203</v>
      </c>
      <c r="AR212" s="107" t="str">
        <f t="array" ref="AR212">IFERROR(INDEX($AP$10:$AP$258,MATCH(0,IF(TRUE=$AM$10:$AM$258,COUNTIF($AR$9:$AR211,$AP$10:$AP$258),""),0)),"")</f>
        <v/>
      </c>
      <c r="AS212" s="107" t="str">
        <f t="array" ref="AS212">IFERROR(INDEX($AP$10:$AP$258,MATCH(0,IF(TRUE=$AN$10:$AN$258,COUNTIF($AS$9:$AS211,$AP$10:$AP$258),""),0)),"")</f>
        <v/>
      </c>
      <c r="AT212" s="885" t="str">
        <f>IF(AND(OR(AD212="Yes",AD212="Pending"),Q212='G-7 WaterC'' Data'!$G$4),U212-AA212-Z212,"0")</f>
        <v>0</v>
      </c>
      <c r="AU212" s="30" t="str">
        <f>IF(D212="","",VLOOKUP(D212,'G-7 WaterC'' Data'!B$4:M$8,12,FALSE))</f>
        <v/>
      </c>
      <c r="AV212" s="30" t="str">
        <f t="shared" si="36"/>
        <v/>
      </c>
      <c r="AW212" s="30" t="str">
        <f t="shared" si="46"/>
        <v>No</v>
      </c>
      <c r="BA212" s="555" t="str">
        <f t="shared" si="47"/>
        <v/>
      </c>
    </row>
    <row r="213" spans="3:53" ht="14.5" thickBot="1">
      <c r="C213" s="97">
        <v>204</v>
      </c>
      <c r="D213" s="263"/>
      <c r="E213" s="104"/>
      <c r="F213" s="275" t="str">
        <f>IF(D213="","",VLOOKUP(D213,'G-7 WaterC'' Data'!$B$2:$G$8,2,FALSE))</f>
        <v/>
      </c>
      <c r="G213" s="314" t="str">
        <f>IFERROR(VLOOKUP(F213,'G-7 WaterC'' Data'!$C$4:$D$8,2,FALSE),"")</f>
        <v/>
      </c>
      <c r="H213" s="105"/>
      <c r="I213" s="299" t="str">
        <f>IFERROR(INDEX('G-7 WaterC'' Data'!$H$4:$L$8,MATCH(D213,'G-7 WaterC'' Data'!$B$4:$B$8,0),MATCH(H213,'G-7 WaterC'' Data'!$H$3:$L$3,0)),"")</f>
        <v/>
      </c>
      <c r="J213" s="702"/>
      <c r="K213" s="295" t="str">
        <f>IF(J213="","",IF(VLOOKUP(J213,'G-7 WaterC'' Data'!$AK$4:$AM$9,2,FALSE)=0,"Spatial Data Missing ⚠",VLOOKUP(J213,'G-7 WaterC'' Data'!$AK$4:$AM$6,2,FALSE)))</f>
        <v/>
      </c>
      <c r="L213" s="299" t="str">
        <f>IF(J213="","",IF(VLOOKUP(J213,'G-7 WaterC'' Data'!$AK$4:$AM$9,3,FALSE)=0,"Spatial Data Missing ⚠",VLOOKUP(J213,'G-7 WaterC'' Data'!$AK$4:$AM$6,3,FALSE)))</f>
        <v/>
      </c>
      <c r="M213" s="102"/>
      <c r="N213" s="276" t="str">
        <f>IF(M213="","",IF(AND(M213="N/A - Culvert",D213&lt;&gt;"Culvert"),"Not possible ▲",IF(AND(D213="Culvert",M213&lt;&gt;"N/A - Culvert"),"Not possible ▲",IF(VLOOKUP(M213,'G-7 WaterC'' Data'!$AA$4:$AB$7,2,FALSE)=0,"Spatial Data Missing ⚠",VLOOKUP(M213,'G-7 WaterC'' Data'!$AA$4:$AB$7,2,FALSE)))))</f>
        <v/>
      </c>
      <c r="O213" s="56"/>
      <c r="P213" s="276" t="str">
        <f>IF(O213="","",IF(AND(O213="N/A - Culvert",D213&lt;&gt;"Culvert"),"Not possible ▲",IF(AND(D213="Culvert",O213&lt;&gt;"N/A - Culvert"),"Not possible ▲",IF(VLOOKUP(O213,'G-7 WaterC'' Data'!$AD$4:$AE$14,2,FALSE)=0,"Spatial Data Missing ⚠",VLOOKUP(O213,'G-7 WaterC'' Data'!$AD$4:$AE$14,2,FALSE)))))</f>
        <v/>
      </c>
      <c r="Q213" s="282" t="str">
        <f>IF(D213="","",VLOOKUP(D213,'G-7 WaterC'' Data'!$B$4:$G$8,6,FALSE))</f>
        <v/>
      </c>
      <c r="R213" s="289" t="str">
        <f t="shared" si="37"/>
        <v xml:space="preserve"> </v>
      </c>
      <c r="S213" s="393"/>
      <c r="T213" s="281" t="str">
        <f>IF(S213="","",IF(VLOOKUP(S213,'G-7 WaterC'' Data'!$AO$4:$BO$7,2,FALSE)=0,"Spatial Data Missing ⚠",VLOOKUP(S213,'G-7 WaterC'' Data'!$AO$4:$BO$7,2,FALSE)))</f>
        <v/>
      </c>
      <c r="U213" s="289" t="str">
        <f t="shared" si="38"/>
        <v xml:space="preserve"> </v>
      </c>
      <c r="V213" s="694" t="str">
        <f t="shared" si="39"/>
        <v/>
      </c>
      <c r="W213" s="32"/>
      <c r="X213" s="101"/>
      <c r="Y213" s="108"/>
      <c r="Z213" s="287" t="str">
        <f t="shared" si="40"/>
        <v/>
      </c>
      <c r="AA213" s="287" t="str">
        <f t="shared" si="41"/>
        <v/>
      </c>
      <c r="AB213" s="287" t="str">
        <f t="shared" si="42"/>
        <v/>
      </c>
      <c r="AC213" s="491" t="str">
        <f>IFERROR(IF(OR(E213="",R213=""),"",IF(AND(AB213&lt;&gt;"",S213=""),"Spatial risk category missing ▲",IF(AND(Q213='G-7 WaterC'' Data'!$G$4,AD213="Yes"),"Alternative Compensation ✓",IF(AND(AD213="Pending",Q213='G-7 WaterC'' Data'!$G$4),"Bespoke compensation must be agreed ▲",IF((Z213+AA213)&gt;=U213,0,U213-Z213-AA213))))),"Check Data ⚠")</f>
        <v/>
      </c>
      <c r="AD213" s="393"/>
      <c r="AE213" s="105"/>
      <c r="AF213" s="104"/>
      <c r="AG213" s="104"/>
      <c r="AH213" s="104"/>
      <c r="AI213" s="54" t="str">
        <f>IF(OR(Q213="",AD213="Yes"),"",IF(Q213='G-1 All Habitats'!$X$9,E213-Y213-X213,"None"))</f>
        <v/>
      </c>
      <c r="AJ213" s="55" t="str">
        <f>IF(Q213="","",IF(Q213='G-1 All Habitats'!$X$9,AI213*G213*I213*L213*N213*P213,"None"))</f>
        <v/>
      </c>
      <c r="AK213" s="30" t="str">
        <f>IFERROR(INDEX('G-7 WaterC'' Data'!$AZ$3:$AZ$7,MATCH(D213,'G-7 WaterC'' Data'!$AY$3:$AY$7,0)),"")</f>
        <v/>
      </c>
      <c r="AL213" s="30">
        <f t="shared" si="43"/>
        <v>0</v>
      </c>
      <c r="AM213" s="107" t="str">
        <f t="shared" si="44"/>
        <v/>
      </c>
      <c r="AN213" s="107" t="str">
        <f t="shared" si="45"/>
        <v/>
      </c>
      <c r="AP213" s="107">
        <v>204</v>
      </c>
      <c r="AR213" s="107" t="str">
        <f t="array" ref="AR213">IFERROR(INDEX($AP$10:$AP$258,MATCH(0,IF(TRUE=$AM$10:$AM$258,COUNTIF($AR$9:$AR212,$AP$10:$AP$258),""),0)),"")</f>
        <v/>
      </c>
      <c r="AS213" s="107" t="str">
        <f t="array" ref="AS213">IFERROR(INDEX($AP$10:$AP$258,MATCH(0,IF(TRUE=$AN$10:$AN$258,COUNTIF($AS$9:$AS212,$AP$10:$AP$258),""),0)),"")</f>
        <v/>
      </c>
      <c r="AT213" s="885" t="str">
        <f>IF(AND(OR(AD213="Yes",AD213="Pending"),Q213='G-7 WaterC'' Data'!$G$4),U213-AA213-Z213,"0")</f>
        <v>0</v>
      </c>
      <c r="AU213" s="30" t="str">
        <f>IF(D213="","",VLOOKUP(D213,'G-7 WaterC'' Data'!B$4:M$8,12,FALSE))</f>
        <v/>
      </c>
      <c r="AV213" s="30" t="str">
        <f t="shared" si="36"/>
        <v/>
      </c>
      <c r="AW213" s="30" t="str">
        <f t="shared" si="46"/>
        <v>No</v>
      </c>
      <c r="BA213" s="555" t="str">
        <f t="shared" si="47"/>
        <v/>
      </c>
    </row>
    <row r="214" spans="3:53" ht="14.5" thickBot="1">
      <c r="C214" s="97">
        <v>205</v>
      </c>
      <c r="D214" s="263"/>
      <c r="E214" s="104"/>
      <c r="F214" s="275" t="str">
        <f>IF(D214="","",VLOOKUP(D214,'G-7 WaterC'' Data'!$B$2:$G$8,2,FALSE))</f>
        <v/>
      </c>
      <c r="G214" s="314" t="str">
        <f>IFERROR(VLOOKUP(F214,'G-7 WaterC'' Data'!$C$4:$D$8,2,FALSE),"")</f>
        <v/>
      </c>
      <c r="H214" s="105"/>
      <c r="I214" s="299" t="str">
        <f>IFERROR(INDEX('G-7 WaterC'' Data'!$H$4:$L$8,MATCH(D214,'G-7 WaterC'' Data'!$B$4:$B$8,0),MATCH(H214,'G-7 WaterC'' Data'!$H$3:$L$3,0)),"")</f>
        <v/>
      </c>
      <c r="J214" s="702"/>
      <c r="K214" s="295" t="str">
        <f>IF(J214="","",IF(VLOOKUP(J214,'G-7 WaterC'' Data'!$AK$4:$AM$9,2,FALSE)=0,"Spatial Data Missing ⚠",VLOOKUP(J214,'G-7 WaterC'' Data'!$AK$4:$AM$6,2,FALSE)))</f>
        <v/>
      </c>
      <c r="L214" s="299" t="str">
        <f>IF(J214="","",IF(VLOOKUP(J214,'G-7 WaterC'' Data'!$AK$4:$AM$9,3,FALSE)=0,"Spatial Data Missing ⚠",VLOOKUP(J214,'G-7 WaterC'' Data'!$AK$4:$AM$6,3,FALSE)))</f>
        <v/>
      </c>
      <c r="M214" s="102"/>
      <c r="N214" s="276" t="str">
        <f>IF(M214="","",IF(AND(M214="N/A - Culvert",D214&lt;&gt;"Culvert"),"Not possible ▲",IF(AND(D214="Culvert",M214&lt;&gt;"N/A - Culvert"),"Not possible ▲",IF(VLOOKUP(M214,'G-7 WaterC'' Data'!$AA$4:$AB$7,2,FALSE)=0,"Spatial Data Missing ⚠",VLOOKUP(M214,'G-7 WaterC'' Data'!$AA$4:$AB$7,2,FALSE)))))</f>
        <v/>
      </c>
      <c r="O214" s="56"/>
      <c r="P214" s="276" t="str">
        <f>IF(O214="","",IF(AND(O214="N/A - Culvert",D214&lt;&gt;"Culvert"),"Not possible ▲",IF(AND(D214="Culvert",O214&lt;&gt;"N/A - Culvert"),"Not possible ▲",IF(VLOOKUP(O214,'G-7 WaterC'' Data'!$AD$4:$AE$14,2,FALSE)=0,"Spatial Data Missing ⚠",VLOOKUP(O214,'G-7 WaterC'' Data'!$AD$4:$AE$14,2,FALSE)))))</f>
        <v/>
      </c>
      <c r="Q214" s="282" t="str">
        <f>IF(D214="","",VLOOKUP(D214,'G-7 WaterC'' Data'!$B$4:$G$8,6,FALSE))</f>
        <v/>
      </c>
      <c r="R214" s="289" t="str">
        <f t="shared" si="37"/>
        <v xml:space="preserve"> </v>
      </c>
      <c r="S214" s="393"/>
      <c r="T214" s="281" t="str">
        <f>IF(S214="","",IF(VLOOKUP(S214,'G-7 WaterC'' Data'!$AO$4:$BO$7,2,FALSE)=0,"Spatial Data Missing ⚠",VLOOKUP(S214,'G-7 WaterC'' Data'!$AO$4:$BO$7,2,FALSE)))</f>
        <v/>
      </c>
      <c r="U214" s="289" t="str">
        <f t="shared" si="38"/>
        <v xml:space="preserve"> </v>
      </c>
      <c r="V214" s="694" t="str">
        <f t="shared" si="39"/>
        <v/>
      </c>
      <c r="W214" s="32"/>
      <c r="X214" s="101"/>
      <c r="Y214" s="108"/>
      <c r="Z214" s="287" t="str">
        <f t="shared" si="40"/>
        <v/>
      </c>
      <c r="AA214" s="287" t="str">
        <f t="shared" si="41"/>
        <v/>
      </c>
      <c r="AB214" s="287" t="str">
        <f t="shared" si="42"/>
        <v/>
      </c>
      <c r="AC214" s="491" t="str">
        <f>IFERROR(IF(OR(E214="",R214=""),"",IF(AND(AB214&lt;&gt;"",S214=""),"Spatial risk category missing ▲",IF(AND(Q214='G-7 WaterC'' Data'!$G$4,AD214="Yes"),"Alternative Compensation ✓",IF(AND(AD214="Pending",Q214='G-7 WaterC'' Data'!$G$4),"Bespoke compensation must be agreed ▲",IF((Z214+AA214)&gt;=U214,0,U214-Z214-AA214))))),"Check Data ⚠")</f>
        <v/>
      </c>
      <c r="AD214" s="393"/>
      <c r="AE214" s="105"/>
      <c r="AF214" s="104"/>
      <c r="AG214" s="104"/>
      <c r="AH214" s="104"/>
      <c r="AI214" s="54" t="str">
        <f>IF(OR(Q214="",AD214="Yes"),"",IF(Q214='G-1 All Habitats'!$X$9,E214-Y214-X214,"None"))</f>
        <v/>
      </c>
      <c r="AJ214" s="55" t="str">
        <f>IF(Q214="","",IF(Q214='G-1 All Habitats'!$X$9,AI214*G214*I214*L214*N214*P214,"None"))</f>
        <v/>
      </c>
      <c r="AK214" s="30" t="str">
        <f>IFERROR(INDEX('G-7 WaterC'' Data'!$AZ$3:$AZ$7,MATCH(D214,'G-7 WaterC'' Data'!$AY$3:$AY$7,0)),"")</f>
        <v/>
      </c>
      <c r="AL214" s="30">
        <f t="shared" si="43"/>
        <v>0</v>
      </c>
      <c r="AM214" s="107" t="str">
        <f t="shared" si="44"/>
        <v/>
      </c>
      <c r="AN214" s="107" t="str">
        <f t="shared" si="45"/>
        <v/>
      </c>
      <c r="AP214" s="107">
        <v>205</v>
      </c>
      <c r="AR214" s="107" t="str">
        <f t="array" ref="AR214">IFERROR(INDEX($AP$10:$AP$258,MATCH(0,IF(TRUE=$AM$10:$AM$258,COUNTIF($AR$9:$AR213,$AP$10:$AP$258),""),0)),"")</f>
        <v/>
      </c>
      <c r="AS214" s="107" t="str">
        <f t="array" ref="AS214">IFERROR(INDEX($AP$10:$AP$258,MATCH(0,IF(TRUE=$AN$10:$AN$258,COUNTIF($AS$9:$AS213,$AP$10:$AP$258),""),0)),"")</f>
        <v/>
      </c>
      <c r="AT214" s="885" t="str">
        <f>IF(AND(OR(AD214="Yes",AD214="Pending"),Q214='G-7 WaterC'' Data'!$G$4),U214-AA214-Z214,"0")</f>
        <v>0</v>
      </c>
      <c r="AU214" s="30" t="str">
        <f>IF(D214="","",VLOOKUP(D214,'G-7 WaterC'' Data'!B$4:M$8,12,FALSE))</f>
        <v/>
      </c>
      <c r="AV214" s="30" t="str">
        <f t="shared" si="36"/>
        <v/>
      </c>
      <c r="AW214" s="30" t="str">
        <f t="shared" si="46"/>
        <v>No</v>
      </c>
      <c r="BA214" s="555" t="str">
        <f t="shared" si="47"/>
        <v/>
      </c>
    </row>
    <row r="215" spans="3:53" ht="14.5" thickBot="1">
      <c r="C215" s="97">
        <v>206</v>
      </c>
      <c r="D215" s="263"/>
      <c r="E215" s="104"/>
      <c r="F215" s="275" t="str">
        <f>IF(D215="","",VLOOKUP(D215,'G-7 WaterC'' Data'!$B$2:$G$8,2,FALSE))</f>
        <v/>
      </c>
      <c r="G215" s="314" t="str">
        <f>IFERROR(VLOOKUP(F215,'G-7 WaterC'' Data'!$C$4:$D$8,2,FALSE),"")</f>
        <v/>
      </c>
      <c r="H215" s="105"/>
      <c r="I215" s="299" t="str">
        <f>IFERROR(INDEX('G-7 WaterC'' Data'!$H$4:$L$8,MATCH(D215,'G-7 WaterC'' Data'!$B$4:$B$8,0),MATCH(H215,'G-7 WaterC'' Data'!$H$3:$L$3,0)),"")</f>
        <v/>
      </c>
      <c r="J215" s="702"/>
      <c r="K215" s="295" t="str">
        <f>IF(J215="","",IF(VLOOKUP(J215,'G-7 WaterC'' Data'!$AK$4:$AM$9,2,FALSE)=0,"Spatial Data Missing ⚠",VLOOKUP(J215,'G-7 WaterC'' Data'!$AK$4:$AM$6,2,FALSE)))</f>
        <v/>
      </c>
      <c r="L215" s="299" t="str">
        <f>IF(J215="","",IF(VLOOKUP(J215,'G-7 WaterC'' Data'!$AK$4:$AM$9,3,FALSE)=0,"Spatial Data Missing ⚠",VLOOKUP(J215,'G-7 WaterC'' Data'!$AK$4:$AM$6,3,FALSE)))</f>
        <v/>
      </c>
      <c r="M215" s="102"/>
      <c r="N215" s="276" t="str">
        <f>IF(M215="","",IF(AND(M215="N/A - Culvert",D215&lt;&gt;"Culvert"),"Not possible ▲",IF(AND(D215="Culvert",M215&lt;&gt;"N/A - Culvert"),"Not possible ▲",IF(VLOOKUP(M215,'G-7 WaterC'' Data'!$AA$4:$AB$7,2,FALSE)=0,"Spatial Data Missing ⚠",VLOOKUP(M215,'G-7 WaterC'' Data'!$AA$4:$AB$7,2,FALSE)))))</f>
        <v/>
      </c>
      <c r="O215" s="56"/>
      <c r="P215" s="276" t="str">
        <f>IF(O215="","",IF(AND(O215="N/A - Culvert",D215&lt;&gt;"Culvert"),"Not possible ▲",IF(AND(D215="Culvert",O215&lt;&gt;"N/A - Culvert"),"Not possible ▲",IF(VLOOKUP(O215,'G-7 WaterC'' Data'!$AD$4:$AE$14,2,FALSE)=0,"Spatial Data Missing ⚠",VLOOKUP(O215,'G-7 WaterC'' Data'!$AD$4:$AE$14,2,FALSE)))))</f>
        <v/>
      </c>
      <c r="Q215" s="282" t="str">
        <f>IF(D215="","",VLOOKUP(D215,'G-7 WaterC'' Data'!$B$4:$G$8,6,FALSE))</f>
        <v/>
      </c>
      <c r="R215" s="289" t="str">
        <f t="shared" si="37"/>
        <v xml:space="preserve"> </v>
      </c>
      <c r="S215" s="393"/>
      <c r="T215" s="281" t="str">
        <f>IF(S215="","",IF(VLOOKUP(S215,'G-7 WaterC'' Data'!$AO$4:$BO$7,2,FALSE)=0,"Spatial Data Missing ⚠",VLOOKUP(S215,'G-7 WaterC'' Data'!$AO$4:$BO$7,2,FALSE)))</f>
        <v/>
      </c>
      <c r="U215" s="289" t="str">
        <f t="shared" si="38"/>
        <v xml:space="preserve"> </v>
      </c>
      <c r="V215" s="694" t="str">
        <f t="shared" si="39"/>
        <v/>
      </c>
      <c r="W215" s="32"/>
      <c r="X215" s="101"/>
      <c r="Y215" s="108"/>
      <c r="Z215" s="287" t="str">
        <f t="shared" si="40"/>
        <v/>
      </c>
      <c r="AA215" s="287" t="str">
        <f t="shared" si="41"/>
        <v/>
      </c>
      <c r="AB215" s="287" t="str">
        <f t="shared" si="42"/>
        <v/>
      </c>
      <c r="AC215" s="491" t="str">
        <f>IFERROR(IF(OR(E215="",R215=""),"",IF(AND(AB215&lt;&gt;"",S215=""),"Spatial risk category missing ▲",IF(AND(Q215='G-7 WaterC'' Data'!$G$4,AD215="Yes"),"Alternative Compensation ✓",IF(AND(AD215="Pending",Q215='G-7 WaterC'' Data'!$G$4),"Bespoke compensation must be agreed ▲",IF((Z215+AA215)&gt;=U215,0,U215-Z215-AA215))))),"Check Data ⚠")</f>
        <v/>
      </c>
      <c r="AD215" s="393"/>
      <c r="AE215" s="105"/>
      <c r="AF215" s="104"/>
      <c r="AG215" s="104"/>
      <c r="AH215" s="104"/>
      <c r="AI215" s="54" t="str">
        <f>IF(OR(Q215="",AD215="Yes"),"",IF(Q215='G-1 All Habitats'!$X$9,E215-Y215-X215,"None"))</f>
        <v/>
      </c>
      <c r="AJ215" s="55" t="str">
        <f>IF(Q215="","",IF(Q215='G-1 All Habitats'!$X$9,AI215*G215*I215*L215*N215*P215,"None"))</f>
        <v/>
      </c>
      <c r="AK215" s="30" t="str">
        <f>IFERROR(INDEX('G-7 WaterC'' Data'!$AZ$3:$AZ$7,MATCH(D215,'G-7 WaterC'' Data'!$AY$3:$AY$7,0)),"")</f>
        <v/>
      </c>
      <c r="AL215" s="30">
        <f t="shared" si="43"/>
        <v>0</v>
      </c>
      <c r="AM215" s="107" t="str">
        <f t="shared" si="44"/>
        <v/>
      </c>
      <c r="AN215" s="107" t="str">
        <f t="shared" si="45"/>
        <v/>
      </c>
      <c r="AP215" s="107">
        <v>206</v>
      </c>
      <c r="AR215" s="107" t="str">
        <f t="array" ref="AR215">IFERROR(INDEX($AP$10:$AP$258,MATCH(0,IF(TRUE=$AM$10:$AM$258,COUNTIF($AR$9:$AR214,$AP$10:$AP$258),""),0)),"")</f>
        <v/>
      </c>
      <c r="AS215" s="107" t="str">
        <f t="array" ref="AS215">IFERROR(INDEX($AP$10:$AP$258,MATCH(0,IF(TRUE=$AN$10:$AN$258,COUNTIF($AS$9:$AS214,$AP$10:$AP$258),""),0)),"")</f>
        <v/>
      </c>
      <c r="AT215" s="885" t="str">
        <f>IF(AND(OR(AD215="Yes",AD215="Pending"),Q215='G-7 WaterC'' Data'!$G$4),U215-AA215-Z215,"0")</f>
        <v>0</v>
      </c>
      <c r="AU215" s="30" t="str">
        <f>IF(D215="","",VLOOKUP(D215,'G-7 WaterC'' Data'!B$4:M$8,12,FALSE))</f>
        <v/>
      </c>
      <c r="AV215" s="30" t="str">
        <f t="shared" si="36"/>
        <v/>
      </c>
      <c r="AW215" s="30" t="str">
        <f t="shared" si="46"/>
        <v>No</v>
      </c>
      <c r="BA215" s="555" t="str">
        <f t="shared" si="47"/>
        <v/>
      </c>
    </row>
    <row r="216" spans="3:53" ht="14.5" thickBot="1">
      <c r="C216" s="97">
        <v>207</v>
      </c>
      <c r="D216" s="263"/>
      <c r="E216" s="104"/>
      <c r="F216" s="275" t="str">
        <f>IF(D216="","",VLOOKUP(D216,'G-7 WaterC'' Data'!$B$2:$G$8,2,FALSE))</f>
        <v/>
      </c>
      <c r="G216" s="314" t="str">
        <f>IFERROR(VLOOKUP(F216,'G-7 WaterC'' Data'!$C$4:$D$8,2,FALSE),"")</f>
        <v/>
      </c>
      <c r="H216" s="105"/>
      <c r="I216" s="299" t="str">
        <f>IFERROR(INDEX('G-7 WaterC'' Data'!$H$4:$L$8,MATCH(D216,'G-7 WaterC'' Data'!$B$4:$B$8,0),MATCH(H216,'G-7 WaterC'' Data'!$H$3:$L$3,0)),"")</f>
        <v/>
      </c>
      <c r="J216" s="702"/>
      <c r="K216" s="295" t="str">
        <f>IF(J216="","",IF(VLOOKUP(J216,'G-7 WaterC'' Data'!$AK$4:$AM$9,2,FALSE)=0,"Spatial Data Missing ⚠",VLOOKUP(J216,'G-7 WaterC'' Data'!$AK$4:$AM$6,2,FALSE)))</f>
        <v/>
      </c>
      <c r="L216" s="299" t="str">
        <f>IF(J216="","",IF(VLOOKUP(J216,'G-7 WaterC'' Data'!$AK$4:$AM$9,3,FALSE)=0,"Spatial Data Missing ⚠",VLOOKUP(J216,'G-7 WaterC'' Data'!$AK$4:$AM$6,3,FALSE)))</f>
        <v/>
      </c>
      <c r="M216" s="102"/>
      <c r="N216" s="276" t="str">
        <f>IF(M216="","",IF(AND(M216="N/A - Culvert",D216&lt;&gt;"Culvert"),"Not possible ▲",IF(AND(D216="Culvert",M216&lt;&gt;"N/A - Culvert"),"Not possible ▲",IF(VLOOKUP(M216,'G-7 WaterC'' Data'!$AA$4:$AB$7,2,FALSE)=0,"Spatial Data Missing ⚠",VLOOKUP(M216,'G-7 WaterC'' Data'!$AA$4:$AB$7,2,FALSE)))))</f>
        <v/>
      </c>
      <c r="O216" s="56"/>
      <c r="P216" s="276" t="str">
        <f>IF(O216="","",IF(AND(O216="N/A - Culvert",D216&lt;&gt;"Culvert"),"Not possible ▲",IF(AND(D216="Culvert",O216&lt;&gt;"N/A - Culvert"),"Not possible ▲",IF(VLOOKUP(O216,'G-7 WaterC'' Data'!$AD$4:$AE$14,2,FALSE)=0,"Spatial Data Missing ⚠",VLOOKUP(O216,'G-7 WaterC'' Data'!$AD$4:$AE$14,2,FALSE)))))</f>
        <v/>
      </c>
      <c r="Q216" s="282" t="str">
        <f>IF(D216="","",VLOOKUP(D216,'G-7 WaterC'' Data'!$B$4:$G$8,6,FALSE))</f>
        <v/>
      </c>
      <c r="R216" s="289" t="str">
        <f t="shared" si="37"/>
        <v xml:space="preserve"> </v>
      </c>
      <c r="S216" s="393"/>
      <c r="T216" s="281" t="str">
        <f>IF(S216="","",IF(VLOOKUP(S216,'G-7 WaterC'' Data'!$AO$4:$BO$7,2,FALSE)=0,"Spatial Data Missing ⚠",VLOOKUP(S216,'G-7 WaterC'' Data'!$AO$4:$BO$7,2,FALSE)))</f>
        <v/>
      </c>
      <c r="U216" s="289" t="str">
        <f t="shared" si="38"/>
        <v xml:space="preserve"> </v>
      </c>
      <c r="V216" s="694" t="str">
        <f t="shared" si="39"/>
        <v/>
      </c>
      <c r="W216" s="32"/>
      <c r="X216" s="101"/>
      <c r="Y216" s="108"/>
      <c r="Z216" s="287" t="str">
        <f t="shared" si="40"/>
        <v/>
      </c>
      <c r="AA216" s="287" t="str">
        <f t="shared" si="41"/>
        <v/>
      </c>
      <c r="AB216" s="287" t="str">
        <f t="shared" si="42"/>
        <v/>
      </c>
      <c r="AC216" s="491" t="str">
        <f>IFERROR(IF(OR(E216="",R216=""),"",IF(AND(AB216&lt;&gt;"",S216=""),"Spatial risk category missing ▲",IF(AND(Q216='G-7 WaterC'' Data'!$G$4,AD216="Yes"),"Alternative Compensation ✓",IF(AND(AD216="Pending",Q216='G-7 WaterC'' Data'!$G$4),"Bespoke compensation must be agreed ▲",IF((Z216+AA216)&gt;=U216,0,U216-Z216-AA216))))),"Check Data ⚠")</f>
        <v/>
      </c>
      <c r="AD216" s="393"/>
      <c r="AE216" s="105"/>
      <c r="AF216" s="104"/>
      <c r="AG216" s="104"/>
      <c r="AH216" s="104"/>
      <c r="AI216" s="54" t="str">
        <f>IF(OR(Q216="",AD216="Yes"),"",IF(Q216='G-1 All Habitats'!$X$9,E216-Y216-X216,"None"))</f>
        <v/>
      </c>
      <c r="AJ216" s="55" t="str">
        <f>IF(Q216="","",IF(Q216='G-1 All Habitats'!$X$9,AI216*G216*I216*L216*N216*P216,"None"))</f>
        <v/>
      </c>
      <c r="AK216" s="30" t="str">
        <f>IFERROR(INDEX('G-7 WaterC'' Data'!$AZ$3:$AZ$7,MATCH(D216,'G-7 WaterC'' Data'!$AY$3:$AY$7,0)),"")</f>
        <v/>
      </c>
      <c r="AL216" s="30">
        <f t="shared" si="43"/>
        <v>0</v>
      </c>
      <c r="AM216" s="107" t="str">
        <f t="shared" si="44"/>
        <v/>
      </c>
      <c r="AN216" s="107" t="str">
        <f t="shared" si="45"/>
        <v/>
      </c>
      <c r="AP216" s="107">
        <v>207</v>
      </c>
      <c r="AR216" s="107" t="str">
        <f t="array" ref="AR216">IFERROR(INDEX($AP$10:$AP$258,MATCH(0,IF(TRUE=$AM$10:$AM$258,COUNTIF($AR$9:$AR215,$AP$10:$AP$258),""),0)),"")</f>
        <v/>
      </c>
      <c r="AS216" s="107" t="str">
        <f t="array" ref="AS216">IFERROR(INDEX($AP$10:$AP$258,MATCH(0,IF(TRUE=$AN$10:$AN$258,COUNTIF($AS$9:$AS215,$AP$10:$AP$258),""),0)),"")</f>
        <v/>
      </c>
      <c r="AT216" s="885" t="str">
        <f>IF(AND(OR(AD216="Yes",AD216="Pending"),Q216='G-7 WaterC'' Data'!$G$4),U216-AA216-Z216,"0")</f>
        <v>0</v>
      </c>
      <c r="AU216" s="30" t="str">
        <f>IF(D216="","",VLOOKUP(D216,'G-7 WaterC'' Data'!B$4:M$8,12,FALSE))</f>
        <v/>
      </c>
      <c r="AV216" s="30" t="str">
        <f t="shared" si="36"/>
        <v/>
      </c>
      <c r="AW216" s="30" t="str">
        <f t="shared" si="46"/>
        <v>No</v>
      </c>
      <c r="BA216" s="555" t="str">
        <f t="shared" si="47"/>
        <v/>
      </c>
    </row>
    <row r="217" spans="3:53" ht="14.5" thickBot="1">
      <c r="C217" s="97">
        <v>208</v>
      </c>
      <c r="D217" s="263"/>
      <c r="E217" s="104"/>
      <c r="F217" s="275" t="str">
        <f>IF(D217="","",VLOOKUP(D217,'G-7 WaterC'' Data'!$B$2:$G$8,2,FALSE))</f>
        <v/>
      </c>
      <c r="G217" s="314" t="str">
        <f>IFERROR(VLOOKUP(F217,'G-7 WaterC'' Data'!$C$4:$D$8,2,FALSE),"")</f>
        <v/>
      </c>
      <c r="H217" s="105"/>
      <c r="I217" s="299" t="str">
        <f>IFERROR(INDEX('G-7 WaterC'' Data'!$H$4:$L$8,MATCH(D217,'G-7 WaterC'' Data'!$B$4:$B$8,0),MATCH(H217,'G-7 WaterC'' Data'!$H$3:$L$3,0)),"")</f>
        <v/>
      </c>
      <c r="J217" s="702"/>
      <c r="K217" s="295" t="str">
        <f>IF(J217="","",IF(VLOOKUP(J217,'G-7 WaterC'' Data'!$AK$4:$AM$9,2,FALSE)=0,"Spatial Data Missing ⚠",VLOOKUP(J217,'G-7 WaterC'' Data'!$AK$4:$AM$6,2,FALSE)))</f>
        <v/>
      </c>
      <c r="L217" s="299" t="str">
        <f>IF(J217="","",IF(VLOOKUP(J217,'G-7 WaterC'' Data'!$AK$4:$AM$9,3,FALSE)=0,"Spatial Data Missing ⚠",VLOOKUP(J217,'G-7 WaterC'' Data'!$AK$4:$AM$6,3,FALSE)))</f>
        <v/>
      </c>
      <c r="M217" s="102"/>
      <c r="N217" s="276" t="str">
        <f>IF(M217="","",IF(AND(M217="N/A - Culvert",D217&lt;&gt;"Culvert"),"Not possible ▲",IF(AND(D217="Culvert",M217&lt;&gt;"N/A - Culvert"),"Not possible ▲",IF(VLOOKUP(M217,'G-7 WaterC'' Data'!$AA$4:$AB$7,2,FALSE)=0,"Spatial Data Missing ⚠",VLOOKUP(M217,'G-7 WaterC'' Data'!$AA$4:$AB$7,2,FALSE)))))</f>
        <v/>
      </c>
      <c r="O217" s="56"/>
      <c r="P217" s="276" t="str">
        <f>IF(O217="","",IF(AND(O217="N/A - Culvert",D217&lt;&gt;"Culvert"),"Not possible ▲",IF(AND(D217="Culvert",O217&lt;&gt;"N/A - Culvert"),"Not possible ▲",IF(VLOOKUP(O217,'G-7 WaterC'' Data'!$AD$4:$AE$14,2,FALSE)=0,"Spatial Data Missing ⚠",VLOOKUP(O217,'G-7 WaterC'' Data'!$AD$4:$AE$14,2,FALSE)))))</f>
        <v/>
      </c>
      <c r="Q217" s="282" t="str">
        <f>IF(D217="","",VLOOKUP(D217,'G-7 WaterC'' Data'!$B$4:$G$8,6,FALSE))</f>
        <v/>
      </c>
      <c r="R217" s="289" t="str">
        <f t="shared" si="37"/>
        <v xml:space="preserve"> </v>
      </c>
      <c r="S217" s="393"/>
      <c r="T217" s="281" t="str">
        <f>IF(S217="","",IF(VLOOKUP(S217,'G-7 WaterC'' Data'!$AO$4:$BO$7,2,FALSE)=0,"Spatial Data Missing ⚠",VLOOKUP(S217,'G-7 WaterC'' Data'!$AO$4:$BO$7,2,FALSE)))</f>
        <v/>
      </c>
      <c r="U217" s="289" t="str">
        <f t="shared" si="38"/>
        <v xml:space="preserve"> </v>
      </c>
      <c r="V217" s="694" t="str">
        <f t="shared" si="39"/>
        <v/>
      </c>
      <c r="W217" s="32"/>
      <c r="X217" s="101"/>
      <c r="Y217" s="108"/>
      <c r="Z217" s="287" t="str">
        <f t="shared" si="40"/>
        <v/>
      </c>
      <c r="AA217" s="287" t="str">
        <f t="shared" si="41"/>
        <v/>
      </c>
      <c r="AB217" s="287" t="str">
        <f t="shared" si="42"/>
        <v/>
      </c>
      <c r="AC217" s="491" t="str">
        <f>IFERROR(IF(OR(E217="",R217=""),"",IF(AND(AB217&lt;&gt;"",S217=""),"Spatial risk category missing ▲",IF(AND(Q217='G-7 WaterC'' Data'!$G$4,AD217="Yes"),"Alternative Compensation ✓",IF(AND(AD217="Pending",Q217='G-7 WaterC'' Data'!$G$4),"Bespoke compensation must be agreed ▲",IF((Z217+AA217)&gt;=U217,0,U217-Z217-AA217))))),"Check Data ⚠")</f>
        <v/>
      </c>
      <c r="AD217" s="393"/>
      <c r="AE217" s="105"/>
      <c r="AF217" s="104"/>
      <c r="AG217" s="104"/>
      <c r="AH217" s="104"/>
      <c r="AI217" s="54" t="str">
        <f>IF(OR(Q217="",AD217="Yes"),"",IF(Q217='G-1 All Habitats'!$X$9,E217-Y217-X217,"None"))</f>
        <v/>
      </c>
      <c r="AJ217" s="55" t="str">
        <f>IF(Q217="","",IF(Q217='G-1 All Habitats'!$X$9,AI217*G217*I217*L217*N217*P217,"None"))</f>
        <v/>
      </c>
      <c r="AK217" s="30" t="str">
        <f>IFERROR(INDEX('G-7 WaterC'' Data'!$AZ$3:$AZ$7,MATCH(D217,'G-7 WaterC'' Data'!$AY$3:$AY$7,0)),"")</f>
        <v/>
      </c>
      <c r="AL217" s="30">
        <f t="shared" si="43"/>
        <v>0</v>
      </c>
      <c r="AM217" s="107" t="str">
        <f t="shared" si="44"/>
        <v/>
      </c>
      <c r="AN217" s="107" t="str">
        <f t="shared" si="45"/>
        <v/>
      </c>
      <c r="AP217" s="107">
        <v>208</v>
      </c>
      <c r="AR217" s="107" t="str">
        <f t="array" ref="AR217">IFERROR(INDEX($AP$10:$AP$258,MATCH(0,IF(TRUE=$AM$10:$AM$258,COUNTIF($AR$9:$AR216,$AP$10:$AP$258),""),0)),"")</f>
        <v/>
      </c>
      <c r="AS217" s="107" t="str">
        <f t="array" ref="AS217">IFERROR(INDEX($AP$10:$AP$258,MATCH(0,IF(TRUE=$AN$10:$AN$258,COUNTIF($AS$9:$AS216,$AP$10:$AP$258),""),0)),"")</f>
        <v/>
      </c>
      <c r="AT217" s="885" t="str">
        <f>IF(AND(OR(AD217="Yes",AD217="Pending"),Q217='G-7 WaterC'' Data'!$G$4),U217-AA217-Z217,"0")</f>
        <v>0</v>
      </c>
      <c r="AU217" s="30" t="str">
        <f>IF(D217="","",VLOOKUP(D217,'G-7 WaterC'' Data'!B$4:M$8,12,FALSE))</f>
        <v/>
      </c>
      <c r="AV217" s="30" t="str">
        <f t="shared" si="36"/>
        <v/>
      </c>
      <c r="AW217" s="30" t="str">
        <f t="shared" si="46"/>
        <v>No</v>
      </c>
      <c r="BA217" s="555" t="str">
        <f t="shared" si="47"/>
        <v/>
      </c>
    </row>
    <row r="218" spans="3:53" ht="14.5" thickBot="1">
      <c r="C218" s="97">
        <v>209</v>
      </c>
      <c r="D218" s="263"/>
      <c r="E218" s="104"/>
      <c r="F218" s="275" t="str">
        <f>IF(D218="","",VLOOKUP(D218,'G-7 WaterC'' Data'!$B$2:$G$8,2,FALSE))</f>
        <v/>
      </c>
      <c r="G218" s="314" t="str">
        <f>IFERROR(VLOOKUP(F218,'G-7 WaterC'' Data'!$C$4:$D$8,2,FALSE),"")</f>
        <v/>
      </c>
      <c r="H218" s="105"/>
      <c r="I218" s="299" t="str">
        <f>IFERROR(INDEX('G-7 WaterC'' Data'!$H$4:$L$8,MATCH(D218,'G-7 WaterC'' Data'!$B$4:$B$8,0),MATCH(H218,'G-7 WaterC'' Data'!$H$3:$L$3,0)),"")</f>
        <v/>
      </c>
      <c r="J218" s="702"/>
      <c r="K218" s="295" t="str">
        <f>IF(J218="","",IF(VLOOKUP(J218,'G-7 WaterC'' Data'!$AK$4:$AM$9,2,FALSE)=0,"Spatial Data Missing ⚠",VLOOKUP(J218,'G-7 WaterC'' Data'!$AK$4:$AM$6,2,FALSE)))</f>
        <v/>
      </c>
      <c r="L218" s="299" t="str">
        <f>IF(J218="","",IF(VLOOKUP(J218,'G-7 WaterC'' Data'!$AK$4:$AM$9,3,FALSE)=0,"Spatial Data Missing ⚠",VLOOKUP(J218,'G-7 WaterC'' Data'!$AK$4:$AM$6,3,FALSE)))</f>
        <v/>
      </c>
      <c r="M218" s="102"/>
      <c r="N218" s="276" t="str">
        <f>IF(M218="","",IF(AND(M218="N/A - Culvert",D218&lt;&gt;"Culvert"),"Not possible ▲",IF(AND(D218="Culvert",M218&lt;&gt;"N/A - Culvert"),"Not possible ▲",IF(VLOOKUP(M218,'G-7 WaterC'' Data'!$AA$4:$AB$7,2,FALSE)=0,"Spatial Data Missing ⚠",VLOOKUP(M218,'G-7 WaterC'' Data'!$AA$4:$AB$7,2,FALSE)))))</f>
        <v/>
      </c>
      <c r="O218" s="56"/>
      <c r="P218" s="276" t="str">
        <f>IF(O218="","",IF(AND(O218="N/A - Culvert",D218&lt;&gt;"Culvert"),"Not possible ▲",IF(AND(D218="Culvert",O218&lt;&gt;"N/A - Culvert"),"Not possible ▲",IF(VLOOKUP(O218,'G-7 WaterC'' Data'!$AD$4:$AE$14,2,FALSE)=0,"Spatial Data Missing ⚠",VLOOKUP(O218,'G-7 WaterC'' Data'!$AD$4:$AE$14,2,FALSE)))))</f>
        <v/>
      </c>
      <c r="Q218" s="282" t="str">
        <f>IF(D218="","",VLOOKUP(D218,'G-7 WaterC'' Data'!$B$4:$G$8,6,FALSE))</f>
        <v/>
      </c>
      <c r="R218" s="289" t="str">
        <f t="shared" si="37"/>
        <v xml:space="preserve"> </v>
      </c>
      <c r="S218" s="393"/>
      <c r="T218" s="281" t="str">
        <f>IF(S218="","",IF(VLOOKUP(S218,'G-7 WaterC'' Data'!$AO$4:$BO$7,2,FALSE)=0,"Spatial Data Missing ⚠",VLOOKUP(S218,'G-7 WaterC'' Data'!$AO$4:$BO$7,2,FALSE)))</f>
        <v/>
      </c>
      <c r="U218" s="289" t="str">
        <f t="shared" si="38"/>
        <v xml:space="preserve"> </v>
      </c>
      <c r="V218" s="694" t="str">
        <f t="shared" si="39"/>
        <v/>
      </c>
      <c r="W218" s="32"/>
      <c r="X218" s="101"/>
      <c r="Y218" s="108"/>
      <c r="Z218" s="287" t="str">
        <f t="shared" si="40"/>
        <v/>
      </c>
      <c r="AA218" s="287" t="str">
        <f t="shared" si="41"/>
        <v/>
      </c>
      <c r="AB218" s="287" t="str">
        <f t="shared" si="42"/>
        <v/>
      </c>
      <c r="AC218" s="491" t="str">
        <f>IFERROR(IF(OR(E218="",R218=""),"",IF(AND(AB218&lt;&gt;"",S218=""),"Spatial risk category missing ▲",IF(AND(Q218='G-7 WaterC'' Data'!$G$4,AD218="Yes"),"Alternative Compensation ✓",IF(AND(AD218="Pending",Q218='G-7 WaterC'' Data'!$G$4),"Bespoke compensation must be agreed ▲",IF((Z218+AA218)&gt;=U218,0,U218-Z218-AA218))))),"Check Data ⚠")</f>
        <v/>
      </c>
      <c r="AD218" s="393"/>
      <c r="AE218" s="105"/>
      <c r="AF218" s="104"/>
      <c r="AG218" s="104"/>
      <c r="AH218" s="104"/>
      <c r="AI218" s="54" t="str">
        <f>IF(OR(Q218="",AD218="Yes"),"",IF(Q218='G-1 All Habitats'!$X$9,E218-Y218-X218,"None"))</f>
        <v/>
      </c>
      <c r="AJ218" s="55" t="str">
        <f>IF(Q218="","",IF(Q218='G-1 All Habitats'!$X$9,AI218*G218*I218*L218*N218*P218,"None"))</f>
        <v/>
      </c>
      <c r="AK218" s="30" t="str">
        <f>IFERROR(INDEX('G-7 WaterC'' Data'!$AZ$3:$AZ$7,MATCH(D218,'G-7 WaterC'' Data'!$AY$3:$AY$7,0)),"")</f>
        <v/>
      </c>
      <c r="AL218" s="30">
        <f t="shared" si="43"/>
        <v>0</v>
      </c>
      <c r="AM218" s="107" t="str">
        <f t="shared" si="44"/>
        <v/>
      </c>
      <c r="AN218" s="107" t="str">
        <f t="shared" si="45"/>
        <v/>
      </c>
      <c r="AP218" s="107">
        <v>209</v>
      </c>
      <c r="AR218" s="107" t="str">
        <f t="array" ref="AR218">IFERROR(INDEX($AP$10:$AP$258,MATCH(0,IF(TRUE=$AM$10:$AM$258,COUNTIF($AR$9:$AR217,$AP$10:$AP$258),""),0)),"")</f>
        <v/>
      </c>
      <c r="AS218" s="107" t="str">
        <f t="array" ref="AS218">IFERROR(INDEX($AP$10:$AP$258,MATCH(0,IF(TRUE=$AN$10:$AN$258,COUNTIF($AS$9:$AS217,$AP$10:$AP$258),""),0)),"")</f>
        <v/>
      </c>
      <c r="AT218" s="885" t="str">
        <f>IF(AND(OR(AD218="Yes",AD218="Pending"),Q218='G-7 WaterC'' Data'!$G$4),U218-AA218-Z218,"0")</f>
        <v>0</v>
      </c>
      <c r="AU218" s="30" t="str">
        <f>IF(D218="","",VLOOKUP(D218,'G-7 WaterC'' Data'!B$4:M$8,12,FALSE))</f>
        <v/>
      </c>
      <c r="AV218" s="30" t="str">
        <f t="shared" si="36"/>
        <v/>
      </c>
      <c r="AW218" s="30" t="str">
        <f t="shared" si="46"/>
        <v>No</v>
      </c>
      <c r="BA218" s="555" t="str">
        <f t="shared" si="47"/>
        <v/>
      </c>
    </row>
    <row r="219" spans="3:53" ht="14.5" thickBot="1">
      <c r="C219" s="97">
        <v>210</v>
      </c>
      <c r="D219" s="263"/>
      <c r="E219" s="104"/>
      <c r="F219" s="275" t="str">
        <f>IF(D219="","",VLOOKUP(D219,'G-7 WaterC'' Data'!$B$2:$G$8,2,FALSE))</f>
        <v/>
      </c>
      <c r="G219" s="314" t="str">
        <f>IFERROR(VLOOKUP(F219,'G-7 WaterC'' Data'!$C$4:$D$8,2,FALSE),"")</f>
        <v/>
      </c>
      <c r="H219" s="105"/>
      <c r="I219" s="299" t="str">
        <f>IFERROR(INDEX('G-7 WaterC'' Data'!$H$4:$L$8,MATCH(D219,'G-7 WaterC'' Data'!$B$4:$B$8,0),MATCH(H219,'G-7 WaterC'' Data'!$H$3:$L$3,0)),"")</f>
        <v/>
      </c>
      <c r="J219" s="702"/>
      <c r="K219" s="295" t="str">
        <f>IF(J219="","",IF(VLOOKUP(J219,'G-7 WaterC'' Data'!$AK$4:$AM$9,2,FALSE)=0,"Spatial Data Missing ⚠",VLOOKUP(J219,'G-7 WaterC'' Data'!$AK$4:$AM$6,2,FALSE)))</f>
        <v/>
      </c>
      <c r="L219" s="299" t="str">
        <f>IF(J219="","",IF(VLOOKUP(J219,'G-7 WaterC'' Data'!$AK$4:$AM$9,3,FALSE)=0,"Spatial Data Missing ⚠",VLOOKUP(J219,'G-7 WaterC'' Data'!$AK$4:$AM$6,3,FALSE)))</f>
        <v/>
      </c>
      <c r="M219" s="102"/>
      <c r="N219" s="276" t="str">
        <f>IF(M219="","",IF(AND(M219="N/A - Culvert",D219&lt;&gt;"Culvert"),"Not possible ▲",IF(AND(D219="Culvert",M219&lt;&gt;"N/A - Culvert"),"Not possible ▲",IF(VLOOKUP(M219,'G-7 WaterC'' Data'!$AA$4:$AB$7,2,FALSE)=0,"Spatial Data Missing ⚠",VLOOKUP(M219,'G-7 WaterC'' Data'!$AA$4:$AB$7,2,FALSE)))))</f>
        <v/>
      </c>
      <c r="O219" s="56"/>
      <c r="P219" s="276" t="str">
        <f>IF(O219="","",IF(AND(O219="N/A - Culvert",D219&lt;&gt;"Culvert"),"Not possible ▲",IF(AND(D219="Culvert",O219&lt;&gt;"N/A - Culvert"),"Not possible ▲",IF(VLOOKUP(O219,'G-7 WaterC'' Data'!$AD$4:$AE$14,2,FALSE)=0,"Spatial Data Missing ⚠",VLOOKUP(O219,'G-7 WaterC'' Data'!$AD$4:$AE$14,2,FALSE)))))</f>
        <v/>
      </c>
      <c r="Q219" s="282" t="str">
        <f>IF(D219="","",VLOOKUP(D219,'G-7 WaterC'' Data'!$B$4:$G$8,6,FALSE))</f>
        <v/>
      </c>
      <c r="R219" s="289" t="str">
        <f t="shared" si="37"/>
        <v xml:space="preserve"> </v>
      </c>
      <c r="S219" s="393"/>
      <c r="T219" s="281" t="str">
        <f>IF(S219="","",IF(VLOOKUP(S219,'G-7 WaterC'' Data'!$AO$4:$BO$7,2,FALSE)=0,"Spatial Data Missing ⚠",VLOOKUP(S219,'G-7 WaterC'' Data'!$AO$4:$BO$7,2,FALSE)))</f>
        <v/>
      </c>
      <c r="U219" s="289" t="str">
        <f t="shared" si="38"/>
        <v xml:space="preserve"> </v>
      </c>
      <c r="V219" s="694" t="str">
        <f t="shared" si="39"/>
        <v/>
      </c>
      <c r="W219" s="32"/>
      <c r="X219" s="101"/>
      <c r="Y219" s="108"/>
      <c r="Z219" s="287" t="str">
        <f t="shared" si="40"/>
        <v/>
      </c>
      <c r="AA219" s="287" t="str">
        <f t="shared" si="41"/>
        <v/>
      </c>
      <c r="AB219" s="287" t="str">
        <f t="shared" si="42"/>
        <v/>
      </c>
      <c r="AC219" s="491" t="str">
        <f>IFERROR(IF(OR(E219="",R219=""),"",IF(AND(AB219&lt;&gt;"",S219=""),"Spatial risk category missing ▲",IF(AND(Q219='G-7 WaterC'' Data'!$G$4,AD219="Yes"),"Alternative Compensation ✓",IF(AND(AD219="Pending",Q219='G-7 WaterC'' Data'!$G$4),"Bespoke compensation must be agreed ▲",IF((Z219+AA219)&gt;=U219,0,U219-Z219-AA219))))),"Check Data ⚠")</f>
        <v/>
      </c>
      <c r="AD219" s="393"/>
      <c r="AE219" s="105"/>
      <c r="AF219" s="104"/>
      <c r="AG219" s="104"/>
      <c r="AH219" s="104"/>
      <c r="AI219" s="54" t="str">
        <f>IF(OR(Q219="",AD219="Yes"),"",IF(Q219='G-1 All Habitats'!$X$9,E219-Y219-X219,"None"))</f>
        <v/>
      </c>
      <c r="AJ219" s="55" t="str">
        <f>IF(Q219="","",IF(Q219='G-1 All Habitats'!$X$9,AI219*G219*I219*L219*N219*P219,"None"))</f>
        <v/>
      </c>
      <c r="AK219" s="30" t="str">
        <f>IFERROR(INDEX('G-7 WaterC'' Data'!$AZ$3:$AZ$7,MATCH(D219,'G-7 WaterC'' Data'!$AY$3:$AY$7,0)),"")</f>
        <v/>
      </c>
      <c r="AL219" s="30">
        <f t="shared" si="43"/>
        <v>0</v>
      </c>
      <c r="AM219" s="107" t="str">
        <f t="shared" si="44"/>
        <v/>
      </c>
      <c r="AN219" s="107" t="str">
        <f t="shared" si="45"/>
        <v/>
      </c>
      <c r="AP219" s="107">
        <v>210</v>
      </c>
      <c r="AR219" s="107" t="str">
        <f t="array" ref="AR219">IFERROR(INDEX($AP$10:$AP$258,MATCH(0,IF(TRUE=$AM$10:$AM$258,COUNTIF($AR$9:$AR218,$AP$10:$AP$258),""),0)),"")</f>
        <v/>
      </c>
      <c r="AS219" s="107" t="str">
        <f t="array" ref="AS219">IFERROR(INDEX($AP$10:$AP$258,MATCH(0,IF(TRUE=$AN$10:$AN$258,COUNTIF($AS$9:$AS218,$AP$10:$AP$258),""),0)),"")</f>
        <v/>
      </c>
      <c r="AT219" s="885" t="str">
        <f>IF(AND(OR(AD219="Yes",AD219="Pending"),Q219='G-7 WaterC'' Data'!$G$4),U219-AA219-Z219,"0")</f>
        <v>0</v>
      </c>
      <c r="AU219" s="30" t="str">
        <f>IF(D219="","",VLOOKUP(D219,'G-7 WaterC'' Data'!B$4:M$8,12,FALSE))</f>
        <v/>
      </c>
      <c r="AV219" s="30" t="str">
        <f t="shared" si="36"/>
        <v/>
      </c>
      <c r="AW219" s="30" t="str">
        <f t="shared" si="46"/>
        <v>No</v>
      </c>
      <c r="BA219" s="555" t="str">
        <f t="shared" si="47"/>
        <v/>
      </c>
    </row>
    <row r="220" spans="3:53" ht="14.5" thickBot="1">
      <c r="C220" s="97">
        <v>211</v>
      </c>
      <c r="D220" s="263"/>
      <c r="E220" s="104"/>
      <c r="F220" s="275" t="str">
        <f>IF(D220="","",VLOOKUP(D220,'G-7 WaterC'' Data'!$B$2:$G$8,2,FALSE))</f>
        <v/>
      </c>
      <c r="G220" s="314" t="str">
        <f>IFERROR(VLOOKUP(F220,'G-7 WaterC'' Data'!$C$4:$D$8,2,FALSE),"")</f>
        <v/>
      </c>
      <c r="H220" s="105"/>
      <c r="I220" s="299" t="str">
        <f>IFERROR(INDEX('G-7 WaterC'' Data'!$H$4:$L$8,MATCH(D220,'G-7 WaterC'' Data'!$B$4:$B$8,0),MATCH(H220,'G-7 WaterC'' Data'!$H$3:$L$3,0)),"")</f>
        <v/>
      </c>
      <c r="J220" s="702"/>
      <c r="K220" s="295" t="str">
        <f>IF(J220="","",IF(VLOOKUP(J220,'G-7 WaterC'' Data'!$AK$4:$AM$9,2,FALSE)=0,"Spatial Data Missing ⚠",VLOOKUP(J220,'G-7 WaterC'' Data'!$AK$4:$AM$6,2,FALSE)))</f>
        <v/>
      </c>
      <c r="L220" s="299" t="str">
        <f>IF(J220="","",IF(VLOOKUP(J220,'G-7 WaterC'' Data'!$AK$4:$AM$9,3,FALSE)=0,"Spatial Data Missing ⚠",VLOOKUP(J220,'G-7 WaterC'' Data'!$AK$4:$AM$6,3,FALSE)))</f>
        <v/>
      </c>
      <c r="M220" s="102"/>
      <c r="N220" s="276" t="str">
        <f>IF(M220="","",IF(AND(M220="N/A - Culvert",D220&lt;&gt;"Culvert"),"Not possible ▲",IF(AND(D220="Culvert",M220&lt;&gt;"N/A - Culvert"),"Not possible ▲",IF(VLOOKUP(M220,'G-7 WaterC'' Data'!$AA$4:$AB$7,2,FALSE)=0,"Spatial Data Missing ⚠",VLOOKUP(M220,'G-7 WaterC'' Data'!$AA$4:$AB$7,2,FALSE)))))</f>
        <v/>
      </c>
      <c r="O220" s="56"/>
      <c r="P220" s="276" t="str">
        <f>IF(O220="","",IF(AND(O220="N/A - Culvert",D220&lt;&gt;"Culvert"),"Not possible ▲",IF(AND(D220="Culvert",O220&lt;&gt;"N/A - Culvert"),"Not possible ▲",IF(VLOOKUP(O220,'G-7 WaterC'' Data'!$AD$4:$AE$14,2,FALSE)=0,"Spatial Data Missing ⚠",VLOOKUP(O220,'G-7 WaterC'' Data'!$AD$4:$AE$14,2,FALSE)))))</f>
        <v/>
      </c>
      <c r="Q220" s="282" t="str">
        <f>IF(D220="","",VLOOKUP(D220,'G-7 WaterC'' Data'!$B$4:$G$8,6,FALSE))</f>
        <v/>
      </c>
      <c r="R220" s="289" t="str">
        <f t="shared" si="37"/>
        <v xml:space="preserve"> </v>
      </c>
      <c r="S220" s="393"/>
      <c r="T220" s="281" t="str">
        <f>IF(S220="","",IF(VLOOKUP(S220,'G-7 WaterC'' Data'!$AO$4:$BO$7,2,FALSE)=0,"Spatial Data Missing ⚠",VLOOKUP(S220,'G-7 WaterC'' Data'!$AO$4:$BO$7,2,FALSE)))</f>
        <v/>
      </c>
      <c r="U220" s="289" t="str">
        <f t="shared" si="38"/>
        <v xml:space="preserve"> </v>
      </c>
      <c r="V220" s="694" t="str">
        <f t="shared" si="39"/>
        <v/>
      </c>
      <c r="W220" s="32"/>
      <c r="X220" s="101"/>
      <c r="Y220" s="108"/>
      <c r="Z220" s="287" t="str">
        <f t="shared" si="40"/>
        <v/>
      </c>
      <c r="AA220" s="287" t="str">
        <f t="shared" si="41"/>
        <v/>
      </c>
      <c r="AB220" s="287" t="str">
        <f t="shared" si="42"/>
        <v/>
      </c>
      <c r="AC220" s="491" t="str">
        <f>IFERROR(IF(OR(E220="",R220=""),"",IF(AND(AB220&lt;&gt;"",S220=""),"Spatial risk category missing ▲",IF(AND(Q220='G-7 WaterC'' Data'!$G$4,AD220="Yes"),"Alternative Compensation ✓",IF(AND(AD220="Pending",Q220='G-7 WaterC'' Data'!$G$4),"Bespoke compensation must be agreed ▲",IF((Z220+AA220)&gt;=U220,0,U220-Z220-AA220))))),"Check Data ⚠")</f>
        <v/>
      </c>
      <c r="AD220" s="393"/>
      <c r="AE220" s="105"/>
      <c r="AF220" s="104"/>
      <c r="AG220" s="104"/>
      <c r="AH220" s="104"/>
      <c r="AI220" s="54" t="str">
        <f>IF(OR(Q220="",AD220="Yes"),"",IF(Q220='G-1 All Habitats'!$X$9,E220-Y220-X220,"None"))</f>
        <v/>
      </c>
      <c r="AJ220" s="55" t="str">
        <f>IF(Q220="","",IF(Q220='G-1 All Habitats'!$X$9,AI220*G220*I220*L220*N220*P220,"None"))</f>
        <v/>
      </c>
      <c r="AK220" s="30" t="str">
        <f>IFERROR(INDEX('G-7 WaterC'' Data'!$AZ$3:$AZ$7,MATCH(D220,'G-7 WaterC'' Data'!$AY$3:$AY$7,0)),"")</f>
        <v/>
      </c>
      <c r="AL220" s="30">
        <f t="shared" si="43"/>
        <v>0</v>
      </c>
      <c r="AM220" s="107" t="str">
        <f t="shared" si="44"/>
        <v/>
      </c>
      <c r="AN220" s="107" t="str">
        <f t="shared" si="45"/>
        <v/>
      </c>
      <c r="AP220" s="107">
        <v>211</v>
      </c>
      <c r="AR220" s="107" t="str">
        <f t="array" ref="AR220">IFERROR(INDEX($AP$10:$AP$258,MATCH(0,IF(TRUE=$AM$10:$AM$258,COUNTIF($AR$9:$AR219,$AP$10:$AP$258),""),0)),"")</f>
        <v/>
      </c>
      <c r="AS220" s="107" t="str">
        <f t="array" ref="AS220">IFERROR(INDEX($AP$10:$AP$258,MATCH(0,IF(TRUE=$AN$10:$AN$258,COUNTIF($AS$9:$AS219,$AP$10:$AP$258),""),0)),"")</f>
        <v/>
      </c>
      <c r="AT220" s="885" t="str">
        <f>IF(AND(OR(AD220="Yes",AD220="Pending"),Q220='G-7 WaterC'' Data'!$G$4),U220-AA220-Z220,"0")</f>
        <v>0</v>
      </c>
      <c r="AU220" s="30" t="str">
        <f>IF(D220="","",VLOOKUP(D220,'G-7 WaterC'' Data'!B$4:M$8,12,FALSE))</f>
        <v/>
      </c>
      <c r="AV220" s="30" t="str">
        <f t="shared" si="36"/>
        <v/>
      </c>
      <c r="AW220" s="30" t="str">
        <f t="shared" si="46"/>
        <v>No</v>
      </c>
      <c r="BA220" s="555" t="str">
        <f t="shared" si="47"/>
        <v/>
      </c>
    </row>
    <row r="221" spans="3:53" ht="14.5" thickBot="1">
      <c r="C221" s="97">
        <v>212</v>
      </c>
      <c r="D221" s="263"/>
      <c r="E221" s="104"/>
      <c r="F221" s="275" t="str">
        <f>IF(D221="","",VLOOKUP(D221,'G-7 WaterC'' Data'!$B$2:$G$8,2,FALSE))</f>
        <v/>
      </c>
      <c r="G221" s="314" t="str">
        <f>IFERROR(VLOOKUP(F221,'G-7 WaterC'' Data'!$C$4:$D$8,2,FALSE),"")</f>
        <v/>
      </c>
      <c r="H221" s="105"/>
      <c r="I221" s="299" t="str">
        <f>IFERROR(INDEX('G-7 WaterC'' Data'!$H$4:$L$8,MATCH(D221,'G-7 WaterC'' Data'!$B$4:$B$8,0),MATCH(H221,'G-7 WaterC'' Data'!$H$3:$L$3,0)),"")</f>
        <v/>
      </c>
      <c r="J221" s="702"/>
      <c r="K221" s="295" t="str">
        <f>IF(J221="","",IF(VLOOKUP(J221,'G-7 WaterC'' Data'!$AK$4:$AM$9,2,FALSE)=0,"Spatial Data Missing ⚠",VLOOKUP(J221,'G-7 WaterC'' Data'!$AK$4:$AM$6,2,FALSE)))</f>
        <v/>
      </c>
      <c r="L221" s="299" t="str">
        <f>IF(J221="","",IF(VLOOKUP(J221,'G-7 WaterC'' Data'!$AK$4:$AM$9,3,FALSE)=0,"Spatial Data Missing ⚠",VLOOKUP(J221,'G-7 WaterC'' Data'!$AK$4:$AM$6,3,FALSE)))</f>
        <v/>
      </c>
      <c r="M221" s="102"/>
      <c r="N221" s="276" t="str">
        <f>IF(M221="","",IF(AND(M221="N/A - Culvert",D221&lt;&gt;"Culvert"),"Not possible ▲",IF(AND(D221="Culvert",M221&lt;&gt;"N/A - Culvert"),"Not possible ▲",IF(VLOOKUP(M221,'G-7 WaterC'' Data'!$AA$4:$AB$7,2,FALSE)=0,"Spatial Data Missing ⚠",VLOOKUP(M221,'G-7 WaterC'' Data'!$AA$4:$AB$7,2,FALSE)))))</f>
        <v/>
      </c>
      <c r="O221" s="56"/>
      <c r="P221" s="276" t="str">
        <f>IF(O221="","",IF(AND(O221="N/A - Culvert",D221&lt;&gt;"Culvert"),"Not possible ▲",IF(AND(D221="Culvert",O221&lt;&gt;"N/A - Culvert"),"Not possible ▲",IF(VLOOKUP(O221,'G-7 WaterC'' Data'!$AD$4:$AE$14,2,FALSE)=0,"Spatial Data Missing ⚠",VLOOKUP(O221,'G-7 WaterC'' Data'!$AD$4:$AE$14,2,FALSE)))))</f>
        <v/>
      </c>
      <c r="Q221" s="282" t="str">
        <f>IF(D221="","",VLOOKUP(D221,'G-7 WaterC'' Data'!$B$4:$G$8,6,FALSE))</f>
        <v/>
      </c>
      <c r="R221" s="289" t="str">
        <f t="shared" si="37"/>
        <v xml:space="preserve"> </v>
      </c>
      <c r="S221" s="393"/>
      <c r="T221" s="281" t="str">
        <f>IF(S221="","",IF(VLOOKUP(S221,'G-7 WaterC'' Data'!$AO$4:$BO$7,2,FALSE)=0,"Spatial Data Missing ⚠",VLOOKUP(S221,'G-7 WaterC'' Data'!$AO$4:$BO$7,2,FALSE)))</f>
        <v/>
      </c>
      <c r="U221" s="289" t="str">
        <f t="shared" si="38"/>
        <v xml:space="preserve"> </v>
      </c>
      <c r="V221" s="694" t="str">
        <f t="shared" si="39"/>
        <v/>
      </c>
      <c r="W221" s="32"/>
      <c r="X221" s="101"/>
      <c r="Y221" s="108"/>
      <c r="Z221" s="287" t="str">
        <f t="shared" si="40"/>
        <v/>
      </c>
      <c r="AA221" s="287" t="str">
        <f t="shared" si="41"/>
        <v/>
      </c>
      <c r="AB221" s="287" t="str">
        <f t="shared" si="42"/>
        <v/>
      </c>
      <c r="AC221" s="491" t="str">
        <f>IFERROR(IF(OR(E221="",R221=""),"",IF(AND(AB221&lt;&gt;"",S221=""),"Spatial risk category missing ▲",IF(AND(Q221='G-7 WaterC'' Data'!$G$4,AD221="Yes"),"Alternative Compensation ✓",IF(AND(AD221="Pending",Q221='G-7 WaterC'' Data'!$G$4),"Bespoke compensation must be agreed ▲",IF((Z221+AA221)&gt;=U221,0,U221-Z221-AA221))))),"Check Data ⚠")</f>
        <v/>
      </c>
      <c r="AD221" s="393"/>
      <c r="AE221" s="105"/>
      <c r="AF221" s="104"/>
      <c r="AG221" s="104"/>
      <c r="AH221" s="104"/>
      <c r="AI221" s="54" t="str">
        <f>IF(OR(Q221="",AD221="Yes"),"",IF(Q221='G-1 All Habitats'!$X$9,E221-Y221-X221,"None"))</f>
        <v/>
      </c>
      <c r="AJ221" s="55" t="str">
        <f>IF(Q221="","",IF(Q221='G-1 All Habitats'!$X$9,AI221*G221*I221*L221*N221*P221,"None"))</f>
        <v/>
      </c>
      <c r="AK221" s="30" t="str">
        <f>IFERROR(INDEX('G-7 WaterC'' Data'!$AZ$3:$AZ$7,MATCH(D221,'G-7 WaterC'' Data'!$AY$3:$AY$7,0)),"")</f>
        <v/>
      </c>
      <c r="AL221" s="30">
        <f t="shared" si="43"/>
        <v>0</v>
      </c>
      <c r="AM221" s="107" t="str">
        <f t="shared" si="44"/>
        <v/>
      </c>
      <c r="AN221" s="107" t="str">
        <f t="shared" si="45"/>
        <v/>
      </c>
      <c r="AP221" s="107">
        <v>212</v>
      </c>
      <c r="AR221" s="107" t="str">
        <f t="array" ref="AR221">IFERROR(INDEX($AP$10:$AP$258,MATCH(0,IF(TRUE=$AM$10:$AM$258,COUNTIF($AR$9:$AR220,$AP$10:$AP$258),""),0)),"")</f>
        <v/>
      </c>
      <c r="AS221" s="107" t="str">
        <f t="array" ref="AS221">IFERROR(INDEX($AP$10:$AP$258,MATCH(0,IF(TRUE=$AN$10:$AN$258,COUNTIF($AS$9:$AS220,$AP$10:$AP$258),""),0)),"")</f>
        <v/>
      </c>
      <c r="AT221" s="885" t="str">
        <f>IF(AND(OR(AD221="Yes",AD221="Pending"),Q221='G-7 WaterC'' Data'!$G$4),U221-AA221-Z221,"0")</f>
        <v>0</v>
      </c>
      <c r="AU221" s="30" t="str">
        <f>IF(D221="","",VLOOKUP(D221,'G-7 WaterC'' Data'!B$4:M$8,12,FALSE))</f>
        <v/>
      </c>
      <c r="AV221" s="30" t="str">
        <f t="shared" si="36"/>
        <v/>
      </c>
      <c r="AW221" s="30" t="str">
        <f t="shared" si="46"/>
        <v>No</v>
      </c>
      <c r="BA221" s="555" t="str">
        <f t="shared" si="47"/>
        <v/>
      </c>
    </row>
    <row r="222" spans="3:53" ht="14.5" thickBot="1">
      <c r="C222" s="97">
        <v>213</v>
      </c>
      <c r="D222" s="263"/>
      <c r="E222" s="104"/>
      <c r="F222" s="275" t="str">
        <f>IF(D222="","",VLOOKUP(D222,'G-7 WaterC'' Data'!$B$2:$G$8,2,FALSE))</f>
        <v/>
      </c>
      <c r="G222" s="314" t="str">
        <f>IFERROR(VLOOKUP(F222,'G-7 WaterC'' Data'!$C$4:$D$8,2,FALSE),"")</f>
        <v/>
      </c>
      <c r="H222" s="105"/>
      <c r="I222" s="299" t="str">
        <f>IFERROR(INDEX('G-7 WaterC'' Data'!$H$4:$L$8,MATCH(D222,'G-7 WaterC'' Data'!$B$4:$B$8,0),MATCH(H222,'G-7 WaterC'' Data'!$H$3:$L$3,0)),"")</f>
        <v/>
      </c>
      <c r="J222" s="702"/>
      <c r="K222" s="295" t="str">
        <f>IF(J222="","",IF(VLOOKUP(J222,'G-7 WaterC'' Data'!$AK$4:$AM$9,2,FALSE)=0,"Spatial Data Missing ⚠",VLOOKUP(J222,'G-7 WaterC'' Data'!$AK$4:$AM$6,2,FALSE)))</f>
        <v/>
      </c>
      <c r="L222" s="299" t="str">
        <f>IF(J222="","",IF(VLOOKUP(J222,'G-7 WaterC'' Data'!$AK$4:$AM$9,3,FALSE)=0,"Spatial Data Missing ⚠",VLOOKUP(J222,'G-7 WaterC'' Data'!$AK$4:$AM$6,3,FALSE)))</f>
        <v/>
      </c>
      <c r="M222" s="102"/>
      <c r="N222" s="276" t="str">
        <f>IF(M222="","",IF(AND(M222="N/A - Culvert",D222&lt;&gt;"Culvert"),"Not possible ▲",IF(AND(D222="Culvert",M222&lt;&gt;"N/A - Culvert"),"Not possible ▲",IF(VLOOKUP(M222,'G-7 WaterC'' Data'!$AA$4:$AB$7,2,FALSE)=0,"Spatial Data Missing ⚠",VLOOKUP(M222,'G-7 WaterC'' Data'!$AA$4:$AB$7,2,FALSE)))))</f>
        <v/>
      </c>
      <c r="O222" s="56"/>
      <c r="P222" s="276" t="str">
        <f>IF(O222="","",IF(AND(O222="N/A - Culvert",D222&lt;&gt;"Culvert"),"Not possible ▲",IF(AND(D222="Culvert",O222&lt;&gt;"N/A - Culvert"),"Not possible ▲",IF(VLOOKUP(O222,'G-7 WaterC'' Data'!$AD$4:$AE$14,2,FALSE)=0,"Spatial Data Missing ⚠",VLOOKUP(O222,'G-7 WaterC'' Data'!$AD$4:$AE$14,2,FALSE)))))</f>
        <v/>
      </c>
      <c r="Q222" s="282" t="str">
        <f>IF(D222="","",VLOOKUP(D222,'G-7 WaterC'' Data'!$B$4:$G$8,6,FALSE))</f>
        <v/>
      </c>
      <c r="R222" s="289" t="str">
        <f t="shared" si="37"/>
        <v xml:space="preserve"> </v>
      </c>
      <c r="S222" s="393"/>
      <c r="T222" s="281" t="str">
        <f>IF(S222="","",IF(VLOOKUP(S222,'G-7 WaterC'' Data'!$AO$4:$BO$7,2,FALSE)=0,"Spatial Data Missing ⚠",VLOOKUP(S222,'G-7 WaterC'' Data'!$AO$4:$BO$7,2,FALSE)))</f>
        <v/>
      </c>
      <c r="U222" s="289" t="str">
        <f t="shared" si="38"/>
        <v xml:space="preserve"> </v>
      </c>
      <c r="V222" s="694" t="str">
        <f t="shared" si="39"/>
        <v/>
      </c>
      <c r="W222" s="32"/>
      <c r="X222" s="101"/>
      <c r="Y222" s="108"/>
      <c r="Z222" s="287" t="str">
        <f t="shared" si="40"/>
        <v/>
      </c>
      <c r="AA222" s="287" t="str">
        <f t="shared" si="41"/>
        <v/>
      </c>
      <c r="AB222" s="287" t="str">
        <f t="shared" si="42"/>
        <v/>
      </c>
      <c r="AC222" s="491" t="str">
        <f>IFERROR(IF(OR(E222="",R222=""),"",IF(AND(AB222&lt;&gt;"",S222=""),"Spatial risk category missing ▲",IF(AND(Q222='G-7 WaterC'' Data'!$G$4,AD222="Yes"),"Alternative Compensation ✓",IF(AND(AD222="Pending",Q222='G-7 WaterC'' Data'!$G$4),"Bespoke compensation must be agreed ▲",IF((Z222+AA222)&gt;=U222,0,U222-Z222-AA222))))),"Check Data ⚠")</f>
        <v/>
      </c>
      <c r="AD222" s="393"/>
      <c r="AE222" s="105"/>
      <c r="AF222" s="104"/>
      <c r="AG222" s="104"/>
      <c r="AH222" s="104"/>
      <c r="AI222" s="54" t="str">
        <f>IF(OR(Q222="",AD222="Yes"),"",IF(Q222='G-1 All Habitats'!$X$9,E222-Y222-X222,"None"))</f>
        <v/>
      </c>
      <c r="AJ222" s="55" t="str">
        <f>IF(Q222="","",IF(Q222='G-1 All Habitats'!$X$9,AI222*G222*I222*L222*N222*P222,"None"))</f>
        <v/>
      </c>
      <c r="AK222" s="30" t="str">
        <f>IFERROR(INDEX('G-7 WaterC'' Data'!$AZ$3:$AZ$7,MATCH(D222,'G-7 WaterC'' Data'!$AY$3:$AY$7,0)),"")</f>
        <v/>
      </c>
      <c r="AL222" s="30">
        <f t="shared" si="43"/>
        <v>0</v>
      </c>
      <c r="AM222" s="107" t="str">
        <f t="shared" si="44"/>
        <v/>
      </c>
      <c r="AN222" s="107" t="str">
        <f t="shared" si="45"/>
        <v/>
      </c>
      <c r="AP222" s="107">
        <v>213</v>
      </c>
      <c r="AR222" s="107" t="str">
        <f t="array" ref="AR222">IFERROR(INDEX($AP$10:$AP$258,MATCH(0,IF(TRUE=$AM$10:$AM$258,COUNTIF($AR$9:$AR221,$AP$10:$AP$258),""),0)),"")</f>
        <v/>
      </c>
      <c r="AS222" s="107" t="str">
        <f t="array" ref="AS222">IFERROR(INDEX($AP$10:$AP$258,MATCH(0,IF(TRUE=$AN$10:$AN$258,COUNTIF($AS$9:$AS221,$AP$10:$AP$258),""),0)),"")</f>
        <v/>
      </c>
      <c r="AT222" s="885" t="str">
        <f>IF(AND(OR(AD222="Yes",AD222="Pending"),Q222='G-7 WaterC'' Data'!$G$4),U222-AA222-Z222,"0")</f>
        <v>0</v>
      </c>
      <c r="AU222" s="30" t="str">
        <f>IF(D222="","",VLOOKUP(D222,'G-7 WaterC'' Data'!B$4:M$8,12,FALSE))</f>
        <v/>
      </c>
      <c r="AV222" s="30" t="str">
        <f t="shared" si="36"/>
        <v/>
      </c>
      <c r="AW222" s="30" t="str">
        <f t="shared" si="46"/>
        <v>No</v>
      </c>
      <c r="BA222" s="555" t="str">
        <f t="shared" si="47"/>
        <v/>
      </c>
    </row>
    <row r="223" spans="3:53" ht="14.5" thickBot="1">
      <c r="C223" s="97">
        <v>214</v>
      </c>
      <c r="D223" s="263"/>
      <c r="E223" s="104"/>
      <c r="F223" s="275" t="str">
        <f>IF(D223="","",VLOOKUP(D223,'G-7 WaterC'' Data'!$B$2:$G$8,2,FALSE))</f>
        <v/>
      </c>
      <c r="G223" s="314" t="str">
        <f>IFERROR(VLOOKUP(F223,'G-7 WaterC'' Data'!$C$4:$D$8,2,FALSE),"")</f>
        <v/>
      </c>
      <c r="H223" s="105"/>
      <c r="I223" s="299" t="str">
        <f>IFERROR(INDEX('G-7 WaterC'' Data'!$H$4:$L$8,MATCH(D223,'G-7 WaterC'' Data'!$B$4:$B$8,0),MATCH(H223,'G-7 WaterC'' Data'!$H$3:$L$3,0)),"")</f>
        <v/>
      </c>
      <c r="J223" s="702"/>
      <c r="K223" s="295" t="str">
        <f>IF(J223="","",IF(VLOOKUP(J223,'G-7 WaterC'' Data'!$AK$4:$AM$9,2,FALSE)=0,"Spatial Data Missing ⚠",VLOOKUP(J223,'G-7 WaterC'' Data'!$AK$4:$AM$6,2,FALSE)))</f>
        <v/>
      </c>
      <c r="L223" s="299" t="str">
        <f>IF(J223="","",IF(VLOOKUP(J223,'G-7 WaterC'' Data'!$AK$4:$AM$9,3,FALSE)=0,"Spatial Data Missing ⚠",VLOOKUP(J223,'G-7 WaterC'' Data'!$AK$4:$AM$6,3,FALSE)))</f>
        <v/>
      </c>
      <c r="M223" s="102"/>
      <c r="N223" s="276" t="str">
        <f>IF(M223="","",IF(AND(M223="N/A - Culvert",D223&lt;&gt;"Culvert"),"Not possible ▲",IF(AND(D223="Culvert",M223&lt;&gt;"N/A - Culvert"),"Not possible ▲",IF(VLOOKUP(M223,'G-7 WaterC'' Data'!$AA$4:$AB$7,2,FALSE)=0,"Spatial Data Missing ⚠",VLOOKUP(M223,'G-7 WaterC'' Data'!$AA$4:$AB$7,2,FALSE)))))</f>
        <v/>
      </c>
      <c r="O223" s="56"/>
      <c r="P223" s="276" t="str">
        <f>IF(O223="","",IF(AND(O223="N/A - Culvert",D223&lt;&gt;"Culvert"),"Not possible ▲",IF(AND(D223="Culvert",O223&lt;&gt;"N/A - Culvert"),"Not possible ▲",IF(VLOOKUP(O223,'G-7 WaterC'' Data'!$AD$4:$AE$14,2,FALSE)=0,"Spatial Data Missing ⚠",VLOOKUP(O223,'G-7 WaterC'' Data'!$AD$4:$AE$14,2,FALSE)))))</f>
        <v/>
      </c>
      <c r="Q223" s="282" t="str">
        <f>IF(D223="","",VLOOKUP(D223,'G-7 WaterC'' Data'!$B$4:$G$8,6,FALSE))</f>
        <v/>
      </c>
      <c r="R223" s="289" t="str">
        <f t="shared" si="37"/>
        <v xml:space="preserve"> </v>
      </c>
      <c r="S223" s="393"/>
      <c r="T223" s="281" t="str">
        <f>IF(S223="","",IF(VLOOKUP(S223,'G-7 WaterC'' Data'!$AO$4:$BO$7,2,FALSE)=0,"Spatial Data Missing ⚠",VLOOKUP(S223,'G-7 WaterC'' Data'!$AO$4:$BO$7,2,FALSE)))</f>
        <v/>
      </c>
      <c r="U223" s="289" t="str">
        <f t="shared" si="38"/>
        <v xml:space="preserve"> </v>
      </c>
      <c r="V223" s="694" t="str">
        <f t="shared" si="39"/>
        <v/>
      </c>
      <c r="W223" s="32"/>
      <c r="X223" s="101"/>
      <c r="Y223" s="108"/>
      <c r="Z223" s="287" t="str">
        <f t="shared" si="40"/>
        <v/>
      </c>
      <c r="AA223" s="287" t="str">
        <f t="shared" si="41"/>
        <v/>
      </c>
      <c r="AB223" s="287" t="str">
        <f t="shared" si="42"/>
        <v/>
      </c>
      <c r="AC223" s="491" t="str">
        <f>IFERROR(IF(OR(E223="",R223=""),"",IF(AND(AB223&lt;&gt;"",S223=""),"Spatial risk category missing ▲",IF(AND(Q223='G-7 WaterC'' Data'!$G$4,AD223="Yes"),"Alternative Compensation ✓",IF(AND(AD223="Pending",Q223='G-7 WaterC'' Data'!$G$4),"Bespoke compensation must be agreed ▲",IF((Z223+AA223)&gt;=U223,0,U223-Z223-AA223))))),"Check Data ⚠")</f>
        <v/>
      </c>
      <c r="AD223" s="393"/>
      <c r="AE223" s="105"/>
      <c r="AF223" s="104"/>
      <c r="AG223" s="104"/>
      <c r="AH223" s="104"/>
      <c r="AI223" s="54" t="str">
        <f>IF(OR(Q223="",AD223="Yes"),"",IF(Q223='G-1 All Habitats'!$X$9,E223-Y223-X223,"None"))</f>
        <v/>
      </c>
      <c r="AJ223" s="55" t="str">
        <f>IF(Q223="","",IF(Q223='G-1 All Habitats'!$X$9,AI223*G223*I223*L223*N223*P223,"None"))</f>
        <v/>
      </c>
      <c r="AK223" s="30" t="str">
        <f>IFERROR(INDEX('G-7 WaterC'' Data'!$AZ$3:$AZ$7,MATCH(D223,'G-7 WaterC'' Data'!$AY$3:$AY$7,0)),"")</f>
        <v/>
      </c>
      <c r="AL223" s="30">
        <f t="shared" si="43"/>
        <v>0</v>
      </c>
      <c r="AM223" s="107" t="str">
        <f t="shared" si="44"/>
        <v/>
      </c>
      <c r="AN223" s="107" t="str">
        <f t="shared" si="45"/>
        <v/>
      </c>
      <c r="AP223" s="107">
        <v>214</v>
      </c>
      <c r="AR223" s="107" t="str">
        <f t="array" ref="AR223">IFERROR(INDEX($AP$10:$AP$258,MATCH(0,IF(TRUE=$AM$10:$AM$258,COUNTIF($AR$9:$AR222,$AP$10:$AP$258),""),0)),"")</f>
        <v/>
      </c>
      <c r="AS223" s="107" t="str">
        <f t="array" ref="AS223">IFERROR(INDEX($AP$10:$AP$258,MATCH(0,IF(TRUE=$AN$10:$AN$258,COUNTIF($AS$9:$AS222,$AP$10:$AP$258),""),0)),"")</f>
        <v/>
      </c>
      <c r="AT223" s="885" t="str">
        <f>IF(AND(OR(AD223="Yes",AD223="Pending"),Q223='G-7 WaterC'' Data'!$G$4),U223-AA223-Z223,"0")</f>
        <v>0</v>
      </c>
      <c r="AU223" s="30" t="str">
        <f>IF(D223="","",VLOOKUP(D223,'G-7 WaterC'' Data'!B$4:M$8,12,FALSE))</f>
        <v/>
      </c>
      <c r="AV223" s="30" t="str">
        <f t="shared" si="36"/>
        <v/>
      </c>
      <c r="AW223" s="30" t="str">
        <f t="shared" si="46"/>
        <v>No</v>
      </c>
      <c r="BA223" s="555" t="str">
        <f t="shared" si="47"/>
        <v/>
      </c>
    </row>
    <row r="224" spans="3:53" ht="14.5" thickBot="1">
      <c r="C224" s="97">
        <v>215</v>
      </c>
      <c r="D224" s="263"/>
      <c r="E224" s="104"/>
      <c r="F224" s="275" t="str">
        <f>IF(D224="","",VLOOKUP(D224,'G-7 WaterC'' Data'!$B$2:$G$8,2,FALSE))</f>
        <v/>
      </c>
      <c r="G224" s="314" t="str">
        <f>IFERROR(VLOOKUP(F224,'G-7 WaterC'' Data'!$C$4:$D$8,2,FALSE),"")</f>
        <v/>
      </c>
      <c r="H224" s="105"/>
      <c r="I224" s="299" t="str">
        <f>IFERROR(INDEX('G-7 WaterC'' Data'!$H$4:$L$8,MATCH(D224,'G-7 WaterC'' Data'!$B$4:$B$8,0),MATCH(H224,'G-7 WaterC'' Data'!$H$3:$L$3,0)),"")</f>
        <v/>
      </c>
      <c r="J224" s="702"/>
      <c r="K224" s="295" t="str">
        <f>IF(J224="","",IF(VLOOKUP(J224,'G-7 WaterC'' Data'!$AK$4:$AM$9,2,FALSE)=0,"Spatial Data Missing ⚠",VLOOKUP(J224,'G-7 WaterC'' Data'!$AK$4:$AM$6,2,FALSE)))</f>
        <v/>
      </c>
      <c r="L224" s="299" t="str">
        <f>IF(J224="","",IF(VLOOKUP(J224,'G-7 WaterC'' Data'!$AK$4:$AM$9,3,FALSE)=0,"Spatial Data Missing ⚠",VLOOKUP(J224,'G-7 WaterC'' Data'!$AK$4:$AM$6,3,FALSE)))</f>
        <v/>
      </c>
      <c r="M224" s="102"/>
      <c r="N224" s="276" t="str">
        <f>IF(M224="","",IF(AND(M224="N/A - Culvert",D224&lt;&gt;"Culvert"),"Not possible ▲",IF(AND(D224="Culvert",M224&lt;&gt;"N/A - Culvert"),"Not possible ▲",IF(VLOOKUP(M224,'G-7 WaterC'' Data'!$AA$4:$AB$7,2,FALSE)=0,"Spatial Data Missing ⚠",VLOOKUP(M224,'G-7 WaterC'' Data'!$AA$4:$AB$7,2,FALSE)))))</f>
        <v/>
      </c>
      <c r="O224" s="56"/>
      <c r="P224" s="276" t="str">
        <f>IF(O224="","",IF(AND(O224="N/A - Culvert",D224&lt;&gt;"Culvert"),"Not possible ▲",IF(AND(D224="Culvert",O224&lt;&gt;"N/A - Culvert"),"Not possible ▲",IF(VLOOKUP(O224,'G-7 WaterC'' Data'!$AD$4:$AE$14,2,FALSE)=0,"Spatial Data Missing ⚠",VLOOKUP(O224,'G-7 WaterC'' Data'!$AD$4:$AE$14,2,FALSE)))))</f>
        <v/>
      </c>
      <c r="Q224" s="282" t="str">
        <f>IF(D224="","",VLOOKUP(D224,'G-7 WaterC'' Data'!$B$4:$G$8,6,FALSE))</f>
        <v/>
      </c>
      <c r="R224" s="289" t="str">
        <f t="shared" si="37"/>
        <v xml:space="preserve"> </v>
      </c>
      <c r="S224" s="393"/>
      <c r="T224" s="281" t="str">
        <f>IF(S224="","",IF(VLOOKUP(S224,'G-7 WaterC'' Data'!$AO$4:$BO$7,2,FALSE)=0,"Spatial Data Missing ⚠",VLOOKUP(S224,'G-7 WaterC'' Data'!$AO$4:$BO$7,2,FALSE)))</f>
        <v/>
      </c>
      <c r="U224" s="289" t="str">
        <f t="shared" si="38"/>
        <v xml:space="preserve"> </v>
      </c>
      <c r="V224" s="694" t="str">
        <f t="shared" si="39"/>
        <v/>
      </c>
      <c r="W224" s="32"/>
      <c r="X224" s="101"/>
      <c r="Y224" s="108"/>
      <c r="Z224" s="287" t="str">
        <f t="shared" si="40"/>
        <v/>
      </c>
      <c r="AA224" s="287" t="str">
        <f t="shared" si="41"/>
        <v/>
      </c>
      <c r="AB224" s="287" t="str">
        <f t="shared" si="42"/>
        <v/>
      </c>
      <c r="AC224" s="491" t="str">
        <f>IFERROR(IF(OR(E224="",R224=""),"",IF(AND(AB224&lt;&gt;"",S224=""),"Spatial risk category missing ▲",IF(AND(Q224='G-7 WaterC'' Data'!$G$4,AD224="Yes"),"Alternative Compensation ✓",IF(AND(AD224="Pending",Q224='G-7 WaterC'' Data'!$G$4),"Bespoke compensation must be agreed ▲",IF((Z224+AA224)&gt;=U224,0,U224-Z224-AA224))))),"Check Data ⚠")</f>
        <v/>
      </c>
      <c r="AD224" s="393"/>
      <c r="AE224" s="105"/>
      <c r="AF224" s="104"/>
      <c r="AG224" s="104"/>
      <c r="AH224" s="104"/>
      <c r="AI224" s="54" t="str">
        <f>IF(OR(Q224="",AD224="Yes"),"",IF(Q224='G-1 All Habitats'!$X$9,E224-Y224-X224,"None"))</f>
        <v/>
      </c>
      <c r="AJ224" s="55" t="str">
        <f>IF(Q224="","",IF(Q224='G-1 All Habitats'!$X$9,AI224*G224*I224*L224*N224*P224,"None"))</f>
        <v/>
      </c>
      <c r="AK224" s="30" t="str">
        <f>IFERROR(INDEX('G-7 WaterC'' Data'!$AZ$3:$AZ$7,MATCH(D224,'G-7 WaterC'' Data'!$AY$3:$AY$7,0)),"")</f>
        <v/>
      </c>
      <c r="AL224" s="30">
        <f t="shared" si="43"/>
        <v>0</v>
      </c>
      <c r="AM224" s="107" t="str">
        <f t="shared" si="44"/>
        <v/>
      </c>
      <c r="AN224" s="107" t="str">
        <f t="shared" si="45"/>
        <v/>
      </c>
      <c r="AP224" s="107">
        <v>215</v>
      </c>
      <c r="AR224" s="107" t="str">
        <f t="array" ref="AR224">IFERROR(INDEX($AP$10:$AP$258,MATCH(0,IF(TRUE=$AM$10:$AM$258,COUNTIF($AR$9:$AR223,$AP$10:$AP$258),""),0)),"")</f>
        <v/>
      </c>
      <c r="AS224" s="107" t="str">
        <f t="array" ref="AS224">IFERROR(INDEX($AP$10:$AP$258,MATCH(0,IF(TRUE=$AN$10:$AN$258,COUNTIF($AS$9:$AS223,$AP$10:$AP$258),""),0)),"")</f>
        <v/>
      </c>
      <c r="AT224" s="885" t="str">
        <f>IF(AND(OR(AD224="Yes",AD224="Pending"),Q224='G-7 WaterC'' Data'!$G$4),U224-AA224-Z224,"0")</f>
        <v>0</v>
      </c>
      <c r="AU224" s="30" t="str">
        <f>IF(D224="","",VLOOKUP(D224,'G-7 WaterC'' Data'!B$4:M$8,12,FALSE))</f>
        <v/>
      </c>
      <c r="AV224" s="30" t="str">
        <f t="shared" si="36"/>
        <v/>
      </c>
      <c r="AW224" s="30" t="str">
        <f t="shared" si="46"/>
        <v>No</v>
      </c>
      <c r="BA224" s="555" t="str">
        <f t="shared" si="47"/>
        <v/>
      </c>
    </row>
    <row r="225" spans="3:53" ht="14.5" thickBot="1">
      <c r="C225" s="97">
        <v>216</v>
      </c>
      <c r="D225" s="263"/>
      <c r="E225" s="104"/>
      <c r="F225" s="275" t="str">
        <f>IF(D225="","",VLOOKUP(D225,'G-7 WaterC'' Data'!$B$2:$G$8,2,FALSE))</f>
        <v/>
      </c>
      <c r="G225" s="314" t="str">
        <f>IFERROR(VLOOKUP(F225,'G-7 WaterC'' Data'!$C$4:$D$8,2,FALSE),"")</f>
        <v/>
      </c>
      <c r="H225" s="105"/>
      <c r="I225" s="299" t="str">
        <f>IFERROR(INDEX('G-7 WaterC'' Data'!$H$4:$L$8,MATCH(D225,'G-7 WaterC'' Data'!$B$4:$B$8,0),MATCH(H225,'G-7 WaterC'' Data'!$H$3:$L$3,0)),"")</f>
        <v/>
      </c>
      <c r="J225" s="702"/>
      <c r="K225" s="295" t="str">
        <f>IF(J225="","",IF(VLOOKUP(J225,'G-7 WaterC'' Data'!$AK$4:$AM$9,2,FALSE)=0,"Spatial Data Missing ⚠",VLOOKUP(J225,'G-7 WaterC'' Data'!$AK$4:$AM$6,2,FALSE)))</f>
        <v/>
      </c>
      <c r="L225" s="299" t="str">
        <f>IF(J225="","",IF(VLOOKUP(J225,'G-7 WaterC'' Data'!$AK$4:$AM$9,3,FALSE)=0,"Spatial Data Missing ⚠",VLOOKUP(J225,'G-7 WaterC'' Data'!$AK$4:$AM$6,3,FALSE)))</f>
        <v/>
      </c>
      <c r="M225" s="102"/>
      <c r="N225" s="276" t="str">
        <f>IF(M225="","",IF(AND(M225="N/A - Culvert",D225&lt;&gt;"Culvert"),"Not possible ▲",IF(AND(D225="Culvert",M225&lt;&gt;"N/A - Culvert"),"Not possible ▲",IF(VLOOKUP(M225,'G-7 WaterC'' Data'!$AA$4:$AB$7,2,FALSE)=0,"Spatial Data Missing ⚠",VLOOKUP(M225,'G-7 WaterC'' Data'!$AA$4:$AB$7,2,FALSE)))))</f>
        <v/>
      </c>
      <c r="O225" s="56"/>
      <c r="P225" s="276" t="str">
        <f>IF(O225="","",IF(AND(O225="N/A - Culvert",D225&lt;&gt;"Culvert"),"Not possible ▲",IF(AND(D225="Culvert",O225&lt;&gt;"N/A - Culvert"),"Not possible ▲",IF(VLOOKUP(O225,'G-7 WaterC'' Data'!$AD$4:$AE$14,2,FALSE)=0,"Spatial Data Missing ⚠",VLOOKUP(O225,'G-7 WaterC'' Data'!$AD$4:$AE$14,2,FALSE)))))</f>
        <v/>
      </c>
      <c r="Q225" s="282" t="str">
        <f>IF(D225="","",VLOOKUP(D225,'G-7 WaterC'' Data'!$B$4:$G$8,6,FALSE))</f>
        <v/>
      </c>
      <c r="R225" s="289" t="str">
        <f t="shared" si="37"/>
        <v xml:space="preserve"> </v>
      </c>
      <c r="S225" s="393"/>
      <c r="T225" s="281" t="str">
        <f>IF(S225="","",IF(VLOOKUP(S225,'G-7 WaterC'' Data'!$AO$4:$BO$7,2,FALSE)=0,"Spatial Data Missing ⚠",VLOOKUP(S225,'G-7 WaterC'' Data'!$AO$4:$BO$7,2,FALSE)))</f>
        <v/>
      </c>
      <c r="U225" s="289" t="str">
        <f t="shared" si="38"/>
        <v xml:space="preserve"> </v>
      </c>
      <c r="V225" s="694" t="str">
        <f t="shared" si="39"/>
        <v/>
      </c>
      <c r="W225" s="32"/>
      <c r="X225" s="101"/>
      <c r="Y225" s="108"/>
      <c r="Z225" s="287" t="str">
        <f t="shared" si="40"/>
        <v/>
      </c>
      <c r="AA225" s="287" t="str">
        <f t="shared" si="41"/>
        <v/>
      </c>
      <c r="AB225" s="287" t="str">
        <f t="shared" si="42"/>
        <v/>
      </c>
      <c r="AC225" s="491" t="str">
        <f>IFERROR(IF(OR(E225="",R225=""),"",IF(AND(AB225&lt;&gt;"",S225=""),"Spatial risk category missing ▲",IF(AND(Q225='G-7 WaterC'' Data'!$G$4,AD225="Yes"),"Alternative Compensation ✓",IF(AND(AD225="Pending",Q225='G-7 WaterC'' Data'!$G$4),"Bespoke compensation must be agreed ▲",IF((Z225+AA225)&gt;=U225,0,U225-Z225-AA225))))),"Check Data ⚠")</f>
        <v/>
      </c>
      <c r="AD225" s="393"/>
      <c r="AE225" s="105"/>
      <c r="AF225" s="104"/>
      <c r="AG225" s="104"/>
      <c r="AH225" s="104"/>
      <c r="AI225" s="54" t="str">
        <f>IF(OR(Q225="",AD225="Yes"),"",IF(Q225='G-1 All Habitats'!$X$9,E225-Y225-X225,"None"))</f>
        <v/>
      </c>
      <c r="AJ225" s="55" t="str">
        <f>IF(Q225="","",IF(Q225='G-1 All Habitats'!$X$9,AI225*G225*I225*L225*N225*P225,"None"))</f>
        <v/>
      </c>
      <c r="AK225" s="30" t="str">
        <f>IFERROR(INDEX('G-7 WaterC'' Data'!$AZ$3:$AZ$7,MATCH(D225,'G-7 WaterC'' Data'!$AY$3:$AY$7,0)),"")</f>
        <v/>
      </c>
      <c r="AL225" s="30">
        <f t="shared" si="43"/>
        <v>0</v>
      </c>
      <c r="AM225" s="107" t="str">
        <f t="shared" si="44"/>
        <v/>
      </c>
      <c r="AN225" s="107" t="str">
        <f t="shared" si="45"/>
        <v/>
      </c>
      <c r="AP225" s="107">
        <v>216</v>
      </c>
      <c r="AR225" s="107" t="str">
        <f t="array" ref="AR225">IFERROR(INDEX($AP$10:$AP$258,MATCH(0,IF(TRUE=$AM$10:$AM$258,COUNTIF($AR$9:$AR224,$AP$10:$AP$258),""),0)),"")</f>
        <v/>
      </c>
      <c r="AS225" s="107" t="str">
        <f t="array" ref="AS225">IFERROR(INDEX($AP$10:$AP$258,MATCH(0,IF(TRUE=$AN$10:$AN$258,COUNTIF($AS$9:$AS224,$AP$10:$AP$258),""),0)),"")</f>
        <v/>
      </c>
      <c r="AT225" s="885" t="str">
        <f>IF(AND(OR(AD225="Yes",AD225="Pending"),Q225='G-7 WaterC'' Data'!$G$4),U225-AA225-Z225,"0")</f>
        <v>0</v>
      </c>
      <c r="AU225" s="30" t="str">
        <f>IF(D225="","",VLOOKUP(D225,'G-7 WaterC'' Data'!B$4:M$8,12,FALSE))</f>
        <v/>
      </c>
      <c r="AV225" s="30" t="str">
        <f t="shared" si="36"/>
        <v/>
      </c>
      <c r="AW225" s="30" t="str">
        <f t="shared" si="46"/>
        <v>No</v>
      </c>
      <c r="BA225" s="555" t="str">
        <f t="shared" si="47"/>
        <v/>
      </c>
    </row>
    <row r="226" spans="3:53" ht="14.5" thickBot="1">
      <c r="C226" s="97">
        <v>217</v>
      </c>
      <c r="D226" s="263"/>
      <c r="E226" s="104"/>
      <c r="F226" s="275" t="str">
        <f>IF(D226="","",VLOOKUP(D226,'G-7 WaterC'' Data'!$B$2:$G$8,2,FALSE))</f>
        <v/>
      </c>
      <c r="G226" s="314" t="str">
        <f>IFERROR(VLOOKUP(F226,'G-7 WaterC'' Data'!$C$4:$D$8,2,FALSE),"")</f>
        <v/>
      </c>
      <c r="H226" s="105"/>
      <c r="I226" s="299" t="str">
        <f>IFERROR(INDEX('G-7 WaterC'' Data'!$H$4:$L$8,MATCH(D226,'G-7 WaterC'' Data'!$B$4:$B$8,0),MATCH(H226,'G-7 WaterC'' Data'!$H$3:$L$3,0)),"")</f>
        <v/>
      </c>
      <c r="J226" s="702"/>
      <c r="K226" s="295" t="str">
        <f>IF(J226="","",IF(VLOOKUP(J226,'G-7 WaterC'' Data'!$AK$4:$AM$9,2,FALSE)=0,"Spatial Data Missing ⚠",VLOOKUP(J226,'G-7 WaterC'' Data'!$AK$4:$AM$6,2,FALSE)))</f>
        <v/>
      </c>
      <c r="L226" s="299" t="str">
        <f>IF(J226="","",IF(VLOOKUP(J226,'G-7 WaterC'' Data'!$AK$4:$AM$9,3,FALSE)=0,"Spatial Data Missing ⚠",VLOOKUP(J226,'G-7 WaterC'' Data'!$AK$4:$AM$6,3,FALSE)))</f>
        <v/>
      </c>
      <c r="M226" s="102"/>
      <c r="N226" s="276" t="str">
        <f>IF(M226="","",IF(AND(M226="N/A - Culvert",D226&lt;&gt;"Culvert"),"Not possible ▲",IF(AND(D226="Culvert",M226&lt;&gt;"N/A - Culvert"),"Not possible ▲",IF(VLOOKUP(M226,'G-7 WaterC'' Data'!$AA$4:$AB$7,2,FALSE)=0,"Spatial Data Missing ⚠",VLOOKUP(M226,'G-7 WaterC'' Data'!$AA$4:$AB$7,2,FALSE)))))</f>
        <v/>
      </c>
      <c r="O226" s="56"/>
      <c r="P226" s="276" t="str">
        <f>IF(O226="","",IF(AND(O226="N/A - Culvert",D226&lt;&gt;"Culvert"),"Not possible ▲",IF(AND(D226="Culvert",O226&lt;&gt;"N/A - Culvert"),"Not possible ▲",IF(VLOOKUP(O226,'G-7 WaterC'' Data'!$AD$4:$AE$14,2,FALSE)=0,"Spatial Data Missing ⚠",VLOOKUP(O226,'G-7 WaterC'' Data'!$AD$4:$AE$14,2,FALSE)))))</f>
        <v/>
      </c>
      <c r="Q226" s="282" t="str">
        <f>IF(D226="","",VLOOKUP(D226,'G-7 WaterC'' Data'!$B$4:$G$8,6,FALSE))</f>
        <v/>
      </c>
      <c r="R226" s="289" t="str">
        <f t="shared" si="37"/>
        <v xml:space="preserve"> </v>
      </c>
      <c r="S226" s="393"/>
      <c r="T226" s="281" t="str">
        <f>IF(S226="","",IF(VLOOKUP(S226,'G-7 WaterC'' Data'!$AO$4:$BO$7,2,FALSE)=0,"Spatial Data Missing ⚠",VLOOKUP(S226,'G-7 WaterC'' Data'!$AO$4:$BO$7,2,FALSE)))</f>
        <v/>
      </c>
      <c r="U226" s="289" t="str">
        <f t="shared" si="38"/>
        <v xml:space="preserve"> </v>
      </c>
      <c r="V226" s="694" t="str">
        <f t="shared" si="39"/>
        <v/>
      </c>
      <c r="W226" s="32"/>
      <c r="X226" s="101"/>
      <c r="Y226" s="108"/>
      <c r="Z226" s="287" t="str">
        <f t="shared" si="40"/>
        <v/>
      </c>
      <c r="AA226" s="287" t="str">
        <f t="shared" si="41"/>
        <v/>
      </c>
      <c r="AB226" s="287" t="str">
        <f t="shared" si="42"/>
        <v/>
      </c>
      <c r="AC226" s="491" t="str">
        <f>IFERROR(IF(OR(E226="",R226=""),"",IF(AND(AB226&lt;&gt;"",S226=""),"Spatial risk category missing ▲",IF(AND(Q226='G-7 WaterC'' Data'!$G$4,AD226="Yes"),"Alternative Compensation ✓",IF(AND(AD226="Pending",Q226='G-7 WaterC'' Data'!$G$4),"Bespoke compensation must be agreed ▲",IF((Z226+AA226)&gt;=U226,0,U226-Z226-AA226))))),"Check Data ⚠")</f>
        <v/>
      </c>
      <c r="AD226" s="393"/>
      <c r="AE226" s="105"/>
      <c r="AF226" s="104"/>
      <c r="AG226" s="104"/>
      <c r="AH226" s="104"/>
      <c r="AI226" s="54" t="str">
        <f>IF(OR(Q226="",AD226="Yes"),"",IF(Q226='G-1 All Habitats'!$X$9,E226-Y226-X226,"None"))</f>
        <v/>
      </c>
      <c r="AJ226" s="55" t="str">
        <f>IF(Q226="","",IF(Q226='G-1 All Habitats'!$X$9,AI226*G226*I226*L226*N226*P226,"None"))</f>
        <v/>
      </c>
      <c r="AK226" s="30" t="str">
        <f>IFERROR(INDEX('G-7 WaterC'' Data'!$AZ$3:$AZ$7,MATCH(D226,'G-7 WaterC'' Data'!$AY$3:$AY$7,0)),"")</f>
        <v/>
      </c>
      <c r="AL226" s="30">
        <f t="shared" si="43"/>
        <v>0</v>
      </c>
      <c r="AM226" s="107" t="str">
        <f t="shared" si="44"/>
        <v/>
      </c>
      <c r="AN226" s="107" t="str">
        <f t="shared" si="45"/>
        <v/>
      </c>
      <c r="AP226" s="107">
        <v>217</v>
      </c>
      <c r="AR226" s="107" t="str">
        <f t="array" ref="AR226">IFERROR(INDEX($AP$10:$AP$258,MATCH(0,IF(TRUE=$AM$10:$AM$258,COUNTIF($AR$9:$AR225,$AP$10:$AP$258),""),0)),"")</f>
        <v/>
      </c>
      <c r="AS226" s="107" t="str">
        <f t="array" ref="AS226">IFERROR(INDEX($AP$10:$AP$258,MATCH(0,IF(TRUE=$AN$10:$AN$258,COUNTIF($AS$9:$AS225,$AP$10:$AP$258),""),0)),"")</f>
        <v/>
      </c>
      <c r="AT226" s="885" t="str">
        <f>IF(AND(OR(AD226="Yes",AD226="Pending"),Q226='G-7 WaterC'' Data'!$G$4),U226-AA226-Z226,"0")</f>
        <v>0</v>
      </c>
      <c r="AU226" s="30" t="str">
        <f>IF(D226="","",VLOOKUP(D226,'G-7 WaterC'' Data'!B$4:M$8,12,FALSE))</f>
        <v/>
      </c>
      <c r="AV226" s="30" t="str">
        <f t="shared" si="36"/>
        <v/>
      </c>
      <c r="AW226" s="30" t="str">
        <f t="shared" si="46"/>
        <v>No</v>
      </c>
      <c r="BA226" s="555" t="str">
        <f t="shared" si="47"/>
        <v/>
      </c>
    </row>
    <row r="227" spans="3:53" ht="14.5" thickBot="1">
      <c r="C227" s="97">
        <v>218</v>
      </c>
      <c r="D227" s="263"/>
      <c r="E227" s="104"/>
      <c r="F227" s="275" t="str">
        <f>IF(D227="","",VLOOKUP(D227,'G-7 WaterC'' Data'!$B$2:$G$8,2,FALSE))</f>
        <v/>
      </c>
      <c r="G227" s="314" t="str">
        <f>IFERROR(VLOOKUP(F227,'G-7 WaterC'' Data'!$C$4:$D$8,2,FALSE),"")</f>
        <v/>
      </c>
      <c r="H227" s="105"/>
      <c r="I227" s="299" t="str">
        <f>IFERROR(INDEX('G-7 WaterC'' Data'!$H$4:$L$8,MATCH(D227,'G-7 WaterC'' Data'!$B$4:$B$8,0),MATCH(H227,'G-7 WaterC'' Data'!$H$3:$L$3,0)),"")</f>
        <v/>
      </c>
      <c r="J227" s="702"/>
      <c r="K227" s="295" t="str">
        <f>IF(J227="","",IF(VLOOKUP(J227,'G-7 WaterC'' Data'!$AK$4:$AM$9,2,FALSE)=0,"Spatial Data Missing ⚠",VLOOKUP(J227,'G-7 WaterC'' Data'!$AK$4:$AM$6,2,FALSE)))</f>
        <v/>
      </c>
      <c r="L227" s="299" t="str">
        <f>IF(J227="","",IF(VLOOKUP(J227,'G-7 WaterC'' Data'!$AK$4:$AM$9,3,FALSE)=0,"Spatial Data Missing ⚠",VLOOKUP(J227,'G-7 WaterC'' Data'!$AK$4:$AM$6,3,FALSE)))</f>
        <v/>
      </c>
      <c r="M227" s="102"/>
      <c r="N227" s="276" t="str">
        <f>IF(M227="","",IF(AND(M227="N/A - Culvert",D227&lt;&gt;"Culvert"),"Not possible ▲",IF(AND(D227="Culvert",M227&lt;&gt;"N/A - Culvert"),"Not possible ▲",IF(VLOOKUP(M227,'G-7 WaterC'' Data'!$AA$4:$AB$7,2,FALSE)=0,"Spatial Data Missing ⚠",VLOOKUP(M227,'G-7 WaterC'' Data'!$AA$4:$AB$7,2,FALSE)))))</f>
        <v/>
      </c>
      <c r="O227" s="56"/>
      <c r="P227" s="276" t="str">
        <f>IF(O227="","",IF(AND(O227="N/A - Culvert",D227&lt;&gt;"Culvert"),"Not possible ▲",IF(AND(D227="Culvert",O227&lt;&gt;"N/A - Culvert"),"Not possible ▲",IF(VLOOKUP(O227,'G-7 WaterC'' Data'!$AD$4:$AE$14,2,FALSE)=0,"Spatial Data Missing ⚠",VLOOKUP(O227,'G-7 WaterC'' Data'!$AD$4:$AE$14,2,FALSE)))))</f>
        <v/>
      </c>
      <c r="Q227" s="282" t="str">
        <f>IF(D227="","",VLOOKUP(D227,'G-7 WaterC'' Data'!$B$4:$G$8,6,FALSE))</f>
        <v/>
      </c>
      <c r="R227" s="289" t="str">
        <f t="shared" si="37"/>
        <v xml:space="preserve"> </v>
      </c>
      <c r="S227" s="393"/>
      <c r="T227" s="281" t="str">
        <f>IF(S227="","",IF(VLOOKUP(S227,'G-7 WaterC'' Data'!$AO$4:$BO$7,2,FALSE)=0,"Spatial Data Missing ⚠",VLOOKUP(S227,'G-7 WaterC'' Data'!$AO$4:$BO$7,2,FALSE)))</f>
        <v/>
      </c>
      <c r="U227" s="289" t="str">
        <f t="shared" si="38"/>
        <v xml:space="preserve"> </v>
      </c>
      <c r="V227" s="694" t="str">
        <f t="shared" si="39"/>
        <v/>
      </c>
      <c r="W227" s="32"/>
      <c r="X227" s="101"/>
      <c r="Y227" s="108"/>
      <c r="Z227" s="287" t="str">
        <f t="shared" si="40"/>
        <v/>
      </c>
      <c r="AA227" s="287" t="str">
        <f t="shared" si="41"/>
        <v/>
      </c>
      <c r="AB227" s="287" t="str">
        <f t="shared" si="42"/>
        <v/>
      </c>
      <c r="AC227" s="491" t="str">
        <f>IFERROR(IF(OR(E227="",R227=""),"",IF(AND(AB227&lt;&gt;"",S227=""),"Spatial risk category missing ▲",IF(AND(Q227='G-7 WaterC'' Data'!$G$4,AD227="Yes"),"Alternative Compensation ✓",IF(AND(AD227="Pending",Q227='G-7 WaterC'' Data'!$G$4),"Bespoke compensation must be agreed ▲",IF((Z227+AA227)&gt;=U227,0,U227-Z227-AA227))))),"Check Data ⚠")</f>
        <v/>
      </c>
      <c r="AD227" s="393"/>
      <c r="AE227" s="105"/>
      <c r="AF227" s="104"/>
      <c r="AG227" s="104"/>
      <c r="AH227" s="104"/>
      <c r="AI227" s="54" t="str">
        <f>IF(OR(Q227="",AD227="Yes"),"",IF(Q227='G-1 All Habitats'!$X$9,E227-Y227-X227,"None"))</f>
        <v/>
      </c>
      <c r="AJ227" s="55" t="str">
        <f>IF(Q227="","",IF(Q227='G-1 All Habitats'!$X$9,AI227*G227*I227*L227*N227*P227,"None"))</f>
        <v/>
      </c>
      <c r="AK227" s="30" t="str">
        <f>IFERROR(INDEX('G-7 WaterC'' Data'!$AZ$3:$AZ$7,MATCH(D227,'G-7 WaterC'' Data'!$AY$3:$AY$7,0)),"")</f>
        <v/>
      </c>
      <c r="AL227" s="30">
        <f t="shared" si="43"/>
        <v>0</v>
      </c>
      <c r="AM227" s="107" t="str">
        <f t="shared" si="44"/>
        <v/>
      </c>
      <c r="AN227" s="107" t="str">
        <f t="shared" si="45"/>
        <v/>
      </c>
      <c r="AP227" s="107">
        <v>218</v>
      </c>
      <c r="AR227" s="107" t="str">
        <f t="array" ref="AR227">IFERROR(INDEX($AP$10:$AP$258,MATCH(0,IF(TRUE=$AM$10:$AM$258,COUNTIF($AR$9:$AR226,$AP$10:$AP$258),""),0)),"")</f>
        <v/>
      </c>
      <c r="AS227" s="107" t="str">
        <f t="array" ref="AS227">IFERROR(INDEX($AP$10:$AP$258,MATCH(0,IF(TRUE=$AN$10:$AN$258,COUNTIF($AS$9:$AS226,$AP$10:$AP$258),""),0)),"")</f>
        <v/>
      </c>
      <c r="AT227" s="885" t="str">
        <f>IF(AND(OR(AD227="Yes",AD227="Pending"),Q227='G-7 WaterC'' Data'!$G$4),U227-AA227-Z227,"0")</f>
        <v>0</v>
      </c>
      <c r="AU227" s="30" t="str">
        <f>IF(D227="","",VLOOKUP(D227,'G-7 WaterC'' Data'!B$4:M$8,12,FALSE))</f>
        <v/>
      </c>
      <c r="AV227" s="30" t="str">
        <f t="shared" si="36"/>
        <v/>
      </c>
      <c r="AW227" s="30" t="str">
        <f t="shared" si="46"/>
        <v>No</v>
      </c>
      <c r="BA227" s="555" t="str">
        <f t="shared" si="47"/>
        <v/>
      </c>
    </row>
    <row r="228" spans="3:53" ht="14.5" thickBot="1">
      <c r="C228" s="97">
        <v>219</v>
      </c>
      <c r="D228" s="263"/>
      <c r="E228" s="104"/>
      <c r="F228" s="275" t="str">
        <f>IF(D228="","",VLOOKUP(D228,'G-7 WaterC'' Data'!$B$2:$G$8,2,FALSE))</f>
        <v/>
      </c>
      <c r="G228" s="314" t="str">
        <f>IFERROR(VLOOKUP(F228,'G-7 WaterC'' Data'!$C$4:$D$8,2,FALSE),"")</f>
        <v/>
      </c>
      <c r="H228" s="105"/>
      <c r="I228" s="299" t="str">
        <f>IFERROR(INDEX('G-7 WaterC'' Data'!$H$4:$L$8,MATCH(D228,'G-7 WaterC'' Data'!$B$4:$B$8,0),MATCH(H228,'G-7 WaterC'' Data'!$H$3:$L$3,0)),"")</f>
        <v/>
      </c>
      <c r="J228" s="702"/>
      <c r="K228" s="295" t="str">
        <f>IF(J228="","",IF(VLOOKUP(J228,'G-7 WaterC'' Data'!$AK$4:$AM$9,2,FALSE)=0,"Spatial Data Missing ⚠",VLOOKUP(J228,'G-7 WaterC'' Data'!$AK$4:$AM$6,2,FALSE)))</f>
        <v/>
      </c>
      <c r="L228" s="299" t="str">
        <f>IF(J228="","",IF(VLOOKUP(J228,'G-7 WaterC'' Data'!$AK$4:$AM$9,3,FALSE)=0,"Spatial Data Missing ⚠",VLOOKUP(J228,'G-7 WaterC'' Data'!$AK$4:$AM$6,3,FALSE)))</f>
        <v/>
      </c>
      <c r="M228" s="102"/>
      <c r="N228" s="276" t="str">
        <f>IF(M228="","",IF(AND(M228="N/A - Culvert",D228&lt;&gt;"Culvert"),"Not possible ▲",IF(AND(D228="Culvert",M228&lt;&gt;"N/A - Culvert"),"Not possible ▲",IF(VLOOKUP(M228,'G-7 WaterC'' Data'!$AA$4:$AB$7,2,FALSE)=0,"Spatial Data Missing ⚠",VLOOKUP(M228,'G-7 WaterC'' Data'!$AA$4:$AB$7,2,FALSE)))))</f>
        <v/>
      </c>
      <c r="O228" s="56"/>
      <c r="P228" s="276" t="str">
        <f>IF(O228="","",IF(AND(O228="N/A - Culvert",D228&lt;&gt;"Culvert"),"Not possible ▲",IF(AND(D228="Culvert",O228&lt;&gt;"N/A - Culvert"),"Not possible ▲",IF(VLOOKUP(O228,'G-7 WaterC'' Data'!$AD$4:$AE$14,2,FALSE)=0,"Spatial Data Missing ⚠",VLOOKUP(O228,'G-7 WaterC'' Data'!$AD$4:$AE$14,2,FALSE)))))</f>
        <v/>
      </c>
      <c r="Q228" s="282" t="str">
        <f>IF(D228="","",VLOOKUP(D228,'G-7 WaterC'' Data'!$B$4:$G$8,6,FALSE))</f>
        <v/>
      </c>
      <c r="R228" s="289" t="str">
        <f t="shared" si="37"/>
        <v xml:space="preserve"> </v>
      </c>
      <c r="S228" s="393"/>
      <c r="T228" s="281" t="str">
        <f>IF(S228="","",IF(VLOOKUP(S228,'G-7 WaterC'' Data'!$AO$4:$BO$7,2,FALSE)=0,"Spatial Data Missing ⚠",VLOOKUP(S228,'G-7 WaterC'' Data'!$AO$4:$BO$7,2,FALSE)))</f>
        <v/>
      </c>
      <c r="U228" s="289" t="str">
        <f t="shared" si="38"/>
        <v xml:space="preserve"> </v>
      </c>
      <c r="V228" s="694" t="str">
        <f t="shared" si="39"/>
        <v/>
      </c>
      <c r="W228" s="32"/>
      <c r="X228" s="101"/>
      <c r="Y228" s="108"/>
      <c r="Z228" s="287" t="str">
        <f t="shared" si="40"/>
        <v/>
      </c>
      <c r="AA228" s="287" t="str">
        <f t="shared" si="41"/>
        <v/>
      </c>
      <c r="AB228" s="287" t="str">
        <f t="shared" si="42"/>
        <v/>
      </c>
      <c r="AC228" s="491" t="str">
        <f>IFERROR(IF(OR(E228="",R228=""),"",IF(AND(AB228&lt;&gt;"",S228=""),"Spatial risk category missing ▲",IF(AND(Q228='G-7 WaterC'' Data'!$G$4,AD228="Yes"),"Alternative Compensation ✓",IF(AND(AD228="Pending",Q228='G-7 WaterC'' Data'!$G$4),"Bespoke compensation must be agreed ▲",IF((Z228+AA228)&gt;=U228,0,U228-Z228-AA228))))),"Check Data ⚠")</f>
        <v/>
      </c>
      <c r="AD228" s="393"/>
      <c r="AE228" s="105"/>
      <c r="AF228" s="104"/>
      <c r="AG228" s="104"/>
      <c r="AH228" s="104"/>
      <c r="AI228" s="54" t="str">
        <f>IF(OR(Q228="",AD228="Yes"),"",IF(Q228='G-1 All Habitats'!$X$9,E228-Y228-X228,"None"))</f>
        <v/>
      </c>
      <c r="AJ228" s="55" t="str">
        <f>IF(Q228="","",IF(Q228='G-1 All Habitats'!$X$9,AI228*G228*I228*L228*N228*P228,"None"))</f>
        <v/>
      </c>
      <c r="AK228" s="30" t="str">
        <f>IFERROR(INDEX('G-7 WaterC'' Data'!$AZ$3:$AZ$7,MATCH(D228,'G-7 WaterC'' Data'!$AY$3:$AY$7,0)),"")</f>
        <v/>
      </c>
      <c r="AL228" s="30">
        <f t="shared" si="43"/>
        <v>0</v>
      </c>
      <c r="AM228" s="107" t="str">
        <f t="shared" si="44"/>
        <v/>
      </c>
      <c r="AN228" s="107" t="str">
        <f t="shared" si="45"/>
        <v/>
      </c>
      <c r="AP228" s="107">
        <v>219</v>
      </c>
      <c r="AR228" s="107" t="str">
        <f t="array" ref="AR228">IFERROR(INDEX($AP$10:$AP$258,MATCH(0,IF(TRUE=$AM$10:$AM$258,COUNTIF($AR$9:$AR227,$AP$10:$AP$258),""),0)),"")</f>
        <v/>
      </c>
      <c r="AS228" s="107" t="str">
        <f t="array" ref="AS228">IFERROR(INDEX($AP$10:$AP$258,MATCH(0,IF(TRUE=$AN$10:$AN$258,COUNTIF($AS$9:$AS227,$AP$10:$AP$258),""),0)),"")</f>
        <v/>
      </c>
      <c r="AT228" s="885" t="str">
        <f>IF(AND(OR(AD228="Yes",AD228="Pending"),Q228='G-7 WaterC'' Data'!$G$4),U228-AA228-Z228,"0")</f>
        <v>0</v>
      </c>
      <c r="AU228" s="30" t="str">
        <f>IF(D228="","",VLOOKUP(D228,'G-7 WaterC'' Data'!B$4:M$8,12,FALSE))</f>
        <v/>
      </c>
      <c r="AV228" s="30" t="str">
        <f t="shared" si="36"/>
        <v/>
      </c>
      <c r="AW228" s="30" t="str">
        <f t="shared" si="46"/>
        <v>No</v>
      </c>
      <c r="BA228" s="555" t="str">
        <f t="shared" si="47"/>
        <v/>
      </c>
    </row>
    <row r="229" spans="3:53" ht="14.5" thickBot="1">
      <c r="C229" s="97">
        <v>220</v>
      </c>
      <c r="D229" s="263"/>
      <c r="E229" s="104"/>
      <c r="F229" s="275" t="str">
        <f>IF(D229="","",VLOOKUP(D229,'G-7 WaterC'' Data'!$B$2:$G$8,2,FALSE))</f>
        <v/>
      </c>
      <c r="G229" s="314" t="str">
        <f>IFERROR(VLOOKUP(F229,'G-7 WaterC'' Data'!$C$4:$D$8,2,FALSE),"")</f>
        <v/>
      </c>
      <c r="H229" s="105"/>
      <c r="I229" s="299" t="str">
        <f>IFERROR(INDEX('G-7 WaterC'' Data'!$H$4:$L$8,MATCH(D229,'G-7 WaterC'' Data'!$B$4:$B$8,0),MATCH(H229,'G-7 WaterC'' Data'!$H$3:$L$3,0)),"")</f>
        <v/>
      </c>
      <c r="J229" s="702"/>
      <c r="K229" s="295" t="str">
        <f>IF(J229="","",IF(VLOOKUP(J229,'G-7 WaterC'' Data'!$AK$4:$AM$9,2,FALSE)=0,"Spatial Data Missing ⚠",VLOOKUP(J229,'G-7 WaterC'' Data'!$AK$4:$AM$6,2,FALSE)))</f>
        <v/>
      </c>
      <c r="L229" s="299" t="str">
        <f>IF(J229="","",IF(VLOOKUP(J229,'G-7 WaterC'' Data'!$AK$4:$AM$9,3,FALSE)=0,"Spatial Data Missing ⚠",VLOOKUP(J229,'G-7 WaterC'' Data'!$AK$4:$AM$6,3,FALSE)))</f>
        <v/>
      </c>
      <c r="M229" s="102"/>
      <c r="N229" s="276" t="str">
        <f>IF(M229="","",IF(AND(M229="N/A - Culvert",D229&lt;&gt;"Culvert"),"Not possible ▲",IF(AND(D229="Culvert",M229&lt;&gt;"N/A - Culvert"),"Not possible ▲",IF(VLOOKUP(M229,'G-7 WaterC'' Data'!$AA$4:$AB$7,2,FALSE)=0,"Spatial Data Missing ⚠",VLOOKUP(M229,'G-7 WaterC'' Data'!$AA$4:$AB$7,2,FALSE)))))</f>
        <v/>
      </c>
      <c r="O229" s="56"/>
      <c r="P229" s="276" t="str">
        <f>IF(O229="","",IF(AND(O229="N/A - Culvert",D229&lt;&gt;"Culvert"),"Not possible ▲",IF(AND(D229="Culvert",O229&lt;&gt;"N/A - Culvert"),"Not possible ▲",IF(VLOOKUP(O229,'G-7 WaterC'' Data'!$AD$4:$AE$14,2,FALSE)=0,"Spatial Data Missing ⚠",VLOOKUP(O229,'G-7 WaterC'' Data'!$AD$4:$AE$14,2,FALSE)))))</f>
        <v/>
      </c>
      <c r="Q229" s="282" t="str">
        <f>IF(D229="","",VLOOKUP(D229,'G-7 WaterC'' Data'!$B$4:$G$8,6,FALSE))</f>
        <v/>
      </c>
      <c r="R229" s="289" t="str">
        <f t="shared" si="37"/>
        <v xml:space="preserve"> </v>
      </c>
      <c r="S229" s="393"/>
      <c r="T229" s="281" t="str">
        <f>IF(S229="","",IF(VLOOKUP(S229,'G-7 WaterC'' Data'!$AO$4:$BO$7,2,FALSE)=0,"Spatial Data Missing ⚠",VLOOKUP(S229,'G-7 WaterC'' Data'!$AO$4:$BO$7,2,FALSE)))</f>
        <v/>
      </c>
      <c r="U229" s="289" t="str">
        <f t="shared" si="38"/>
        <v xml:space="preserve"> </v>
      </c>
      <c r="V229" s="694" t="str">
        <f t="shared" si="39"/>
        <v/>
      </c>
      <c r="W229" s="32"/>
      <c r="X229" s="101"/>
      <c r="Y229" s="108"/>
      <c r="Z229" s="287" t="str">
        <f t="shared" si="40"/>
        <v/>
      </c>
      <c r="AA229" s="287" t="str">
        <f t="shared" si="41"/>
        <v/>
      </c>
      <c r="AB229" s="287" t="str">
        <f t="shared" si="42"/>
        <v/>
      </c>
      <c r="AC229" s="491" t="str">
        <f>IFERROR(IF(OR(E229="",R229=""),"",IF(AND(AB229&lt;&gt;"",S229=""),"Spatial risk category missing ▲",IF(AND(Q229='G-7 WaterC'' Data'!$G$4,AD229="Yes"),"Alternative Compensation ✓",IF(AND(AD229="Pending",Q229='G-7 WaterC'' Data'!$G$4),"Bespoke compensation must be agreed ▲",IF((Z229+AA229)&gt;=U229,0,U229-Z229-AA229))))),"Check Data ⚠")</f>
        <v/>
      </c>
      <c r="AD229" s="393"/>
      <c r="AE229" s="105"/>
      <c r="AF229" s="104"/>
      <c r="AG229" s="104"/>
      <c r="AH229" s="104"/>
      <c r="AI229" s="54" t="str">
        <f>IF(OR(Q229="",AD229="Yes"),"",IF(Q229='G-1 All Habitats'!$X$9,E229-Y229-X229,"None"))</f>
        <v/>
      </c>
      <c r="AJ229" s="55" t="str">
        <f>IF(Q229="","",IF(Q229='G-1 All Habitats'!$X$9,AI229*G229*I229*L229*N229*P229,"None"))</f>
        <v/>
      </c>
      <c r="AK229" s="30" t="str">
        <f>IFERROR(INDEX('G-7 WaterC'' Data'!$AZ$3:$AZ$7,MATCH(D229,'G-7 WaterC'' Data'!$AY$3:$AY$7,0)),"")</f>
        <v/>
      </c>
      <c r="AL229" s="30">
        <f t="shared" si="43"/>
        <v>0</v>
      </c>
      <c r="AM229" s="107" t="str">
        <f t="shared" si="44"/>
        <v/>
      </c>
      <c r="AN229" s="107" t="str">
        <f t="shared" si="45"/>
        <v/>
      </c>
      <c r="AP229" s="107">
        <v>220</v>
      </c>
      <c r="AR229" s="107" t="str">
        <f t="array" ref="AR229">IFERROR(INDEX($AP$10:$AP$258,MATCH(0,IF(TRUE=$AM$10:$AM$258,COUNTIF($AR$9:$AR228,$AP$10:$AP$258),""),0)),"")</f>
        <v/>
      </c>
      <c r="AS229" s="107" t="str">
        <f t="array" ref="AS229">IFERROR(INDEX($AP$10:$AP$258,MATCH(0,IF(TRUE=$AN$10:$AN$258,COUNTIF($AS$9:$AS228,$AP$10:$AP$258),""),0)),"")</f>
        <v/>
      </c>
      <c r="AT229" s="885" t="str">
        <f>IF(AND(OR(AD229="Yes",AD229="Pending"),Q229='G-7 WaterC'' Data'!$G$4),U229-AA229-Z229,"0")</f>
        <v>0</v>
      </c>
      <c r="AU229" s="30" t="str">
        <f>IF(D229="","",VLOOKUP(D229,'G-7 WaterC'' Data'!B$4:M$8,12,FALSE))</f>
        <v/>
      </c>
      <c r="AV229" s="30" t="str">
        <f t="shared" si="36"/>
        <v/>
      </c>
      <c r="AW229" s="30" t="str">
        <f t="shared" si="46"/>
        <v>No</v>
      </c>
      <c r="BA229" s="555" t="str">
        <f t="shared" si="47"/>
        <v/>
      </c>
    </row>
    <row r="230" spans="3:53" ht="14.5" thickBot="1">
      <c r="C230" s="97">
        <v>221</v>
      </c>
      <c r="D230" s="263"/>
      <c r="E230" s="104"/>
      <c r="F230" s="275" t="str">
        <f>IF(D230="","",VLOOKUP(D230,'G-7 WaterC'' Data'!$B$2:$G$8,2,FALSE))</f>
        <v/>
      </c>
      <c r="G230" s="314" t="str">
        <f>IFERROR(VLOOKUP(F230,'G-7 WaterC'' Data'!$C$4:$D$8,2,FALSE),"")</f>
        <v/>
      </c>
      <c r="H230" s="105"/>
      <c r="I230" s="299" t="str">
        <f>IFERROR(INDEX('G-7 WaterC'' Data'!$H$4:$L$8,MATCH(D230,'G-7 WaterC'' Data'!$B$4:$B$8,0),MATCH(H230,'G-7 WaterC'' Data'!$H$3:$L$3,0)),"")</f>
        <v/>
      </c>
      <c r="J230" s="702"/>
      <c r="K230" s="295" t="str">
        <f>IF(J230="","",IF(VLOOKUP(J230,'G-7 WaterC'' Data'!$AK$4:$AM$9,2,FALSE)=0,"Spatial Data Missing ⚠",VLOOKUP(J230,'G-7 WaterC'' Data'!$AK$4:$AM$6,2,FALSE)))</f>
        <v/>
      </c>
      <c r="L230" s="299" t="str">
        <f>IF(J230="","",IF(VLOOKUP(J230,'G-7 WaterC'' Data'!$AK$4:$AM$9,3,FALSE)=0,"Spatial Data Missing ⚠",VLOOKUP(J230,'G-7 WaterC'' Data'!$AK$4:$AM$6,3,FALSE)))</f>
        <v/>
      </c>
      <c r="M230" s="102"/>
      <c r="N230" s="276" t="str">
        <f>IF(M230="","",IF(AND(M230="N/A - Culvert",D230&lt;&gt;"Culvert"),"Not possible ▲",IF(AND(D230="Culvert",M230&lt;&gt;"N/A - Culvert"),"Not possible ▲",IF(VLOOKUP(M230,'G-7 WaterC'' Data'!$AA$4:$AB$7,2,FALSE)=0,"Spatial Data Missing ⚠",VLOOKUP(M230,'G-7 WaterC'' Data'!$AA$4:$AB$7,2,FALSE)))))</f>
        <v/>
      </c>
      <c r="O230" s="56"/>
      <c r="P230" s="276" t="str">
        <f>IF(O230="","",IF(AND(O230="N/A - Culvert",D230&lt;&gt;"Culvert"),"Not possible ▲",IF(AND(D230="Culvert",O230&lt;&gt;"N/A - Culvert"),"Not possible ▲",IF(VLOOKUP(O230,'G-7 WaterC'' Data'!$AD$4:$AE$14,2,FALSE)=0,"Spatial Data Missing ⚠",VLOOKUP(O230,'G-7 WaterC'' Data'!$AD$4:$AE$14,2,FALSE)))))</f>
        <v/>
      </c>
      <c r="Q230" s="282" t="str">
        <f>IF(D230="","",VLOOKUP(D230,'G-7 WaterC'' Data'!$B$4:$G$8,6,FALSE))</f>
        <v/>
      </c>
      <c r="R230" s="289" t="str">
        <f t="shared" si="37"/>
        <v xml:space="preserve"> </v>
      </c>
      <c r="S230" s="393"/>
      <c r="T230" s="281" t="str">
        <f>IF(S230="","",IF(VLOOKUP(S230,'G-7 WaterC'' Data'!$AO$4:$BO$7,2,FALSE)=0,"Spatial Data Missing ⚠",VLOOKUP(S230,'G-7 WaterC'' Data'!$AO$4:$BO$7,2,FALSE)))</f>
        <v/>
      </c>
      <c r="U230" s="289" t="str">
        <f t="shared" si="38"/>
        <v xml:space="preserve"> </v>
      </c>
      <c r="V230" s="694" t="str">
        <f t="shared" si="39"/>
        <v/>
      </c>
      <c r="W230" s="32"/>
      <c r="X230" s="101"/>
      <c r="Y230" s="108"/>
      <c r="Z230" s="287" t="str">
        <f t="shared" si="40"/>
        <v/>
      </c>
      <c r="AA230" s="287" t="str">
        <f t="shared" si="41"/>
        <v/>
      </c>
      <c r="AB230" s="287" t="str">
        <f t="shared" si="42"/>
        <v/>
      </c>
      <c r="AC230" s="491" t="str">
        <f>IFERROR(IF(OR(E230="",R230=""),"",IF(AND(AB230&lt;&gt;"",S230=""),"Spatial risk category missing ▲",IF(AND(Q230='G-7 WaterC'' Data'!$G$4,AD230="Yes"),"Alternative Compensation ✓",IF(AND(AD230="Pending",Q230='G-7 WaterC'' Data'!$G$4),"Bespoke compensation must be agreed ▲",IF((Z230+AA230)&gt;=U230,0,U230-Z230-AA230))))),"Check Data ⚠")</f>
        <v/>
      </c>
      <c r="AD230" s="393"/>
      <c r="AE230" s="105"/>
      <c r="AF230" s="104"/>
      <c r="AG230" s="104"/>
      <c r="AH230" s="104"/>
      <c r="AI230" s="54" t="str">
        <f>IF(OR(Q230="",AD230="Yes"),"",IF(Q230='G-1 All Habitats'!$X$9,E230-Y230-X230,"None"))</f>
        <v/>
      </c>
      <c r="AJ230" s="55" t="str">
        <f>IF(Q230="","",IF(Q230='G-1 All Habitats'!$X$9,AI230*G230*I230*L230*N230*P230,"None"))</f>
        <v/>
      </c>
      <c r="AK230" s="30" t="str">
        <f>IFERROR(INDEX('G-7 WaterC'' Data'!$AZ$3:$AZ$7,MATCH(D230,'G-7 WaterC'' Data'!$AY$3:$AY$7,0)),"")</f>
        <v/>
      </c>
      <c r="AL230" s="30">
        <f t="shared" si="43"/>
        <v>0</v>
      </c>
      <c r="AM230" s="107" t="str">
        <f t="shared" si="44"/>
        <v/>
      </c>
      <c r="AN230" s="107" t="str">
        <f t="shared" si="45"/>
        <v/>
      </c>
      <c r="AP230" s="107">
        <v>221</v>
      </c>
      <c r="AR230" s="107" t="str">
        <f t="array" ref="AR230">IFERROR(INDEX($AP$10:$AP$258,MATCH(0,IF(TRUE=$AM$10:$AM$258,COUNTIF($AR$9:$AR229,$AP$10:$AP$258),""),0)),"")</f>
        <v/>
      </c>
      <c r="AS230" s="107" t="str">
        <f t="array" ref="AS230">IFERROR(INDEX($AP$10:$AP$258,MATCH(0,IF(TRUE=$AN$10:$AN$258,COUNTIF($AS$9:$AS229,$AP$10:$AP$258),""),0)),"")</f>
        <v/>
      </c>
      <c r="AT230" s="885" t="str">
        <f>IF(AND(OR(AD230="Yes",AD230="Pending"),Q230='G-7 WaterC'' Data'!$G$4),U230-AA230-Z230,"0")</f>
        <v>0</v>
      </c>
      <c r="AU230" s="30" t="str">
        <f>IF(D230="","",VLOOKUP(D230,'G-7 WaterC'' Data'!B$4:M$8,12,FALSE))</f>
        <v/>
      </c>
      <c r="AV230" s="30" t="str">
        <f t="shared" si="36"/>
        <v/>
      </c>
      <c r="AW230" s="30" t="str">
        <f t="shared" si="46"/>
        <v>No</v>
      </c>
      <c r="BA230" s="555" t="str">
        <f t="shared" si="47"/>
        <v/>
      </c>
    </row>
    <row r="231" spans="3:53" ht="14.5" thickBot="1">
      <c r="C231" s="97">
        <v>222</v>
      </c>
      <c r="D231" s="263"/>
      <c r="E231" s="104"/>
      <c r="F231" s="275" t="str">
        <f>IF(D231="","",VLOOKUP(D231,'G-7 WaterC'' Data'!$B$2:$G$8,2,FALSE))</f>
        <v/>
      </c>
      <c r="G231" s="314" t="str">
        <f>IFERROR(VLOOKUP(F231,'G-7 WaterC'' Data'!$C$4:$D$8,2,FALSE),"")</f>
        <v/>
      </c>
      <c r="H231" s="105"/>
      <c r="I231" s="299" t="str">
        <f>IFERROR(INDEX('G-7 WaterC'' Data'!$H$4:$L$8,MATCH(D231,'G-7 WaterC'' Data'!$B$4:$B$8,0),MATCH(H231,'G-7 WaterC'' Data'!$H$3:$L$3,0)),"")</f>
        <v/>
      </c>
      <c r="J231" s="702"/>
      <c r="K231" s="295" t="str">
        <f>IF(J231="","",IF(VLOOKUP(J231,'G-7 WaterC'' Data'!$AK$4:$AM$9,2,FALSE)=0,"Spatial Data Missing ⚠",VLOOKUP(J231,'G-7 WaterC'' Data'!$AK$4:$AM$6,2,FALSE)))</f>
        <v/>
      </c>
      <c r="L231" s="299" t="str">
        <f>IF(J231="","",IF(VLOOKUP(J231,'G-7 WaterC'' Data'!$AK$4:$AM$9,3,FALSE)=0,"Spatial Data Missing ⚠",VLOOKUP(J231,'G-7 WaterC'' Data'!$AK$4:$AM$6,3,FALSE)))</f>
        <v/>
      </c>
      <c r="M231" s="102"/>
      <c r="N231" s="276" t="str">
        <f>IF(M231="","",IF(AND(M231="N/A - Culvert",D231&lt;&gt;"Culvert"),"Not possible ▲",IF(AND(D231="Culvert",M231&lt;&gt;"N/A - Culvert"),"Not possible ▲",IF(VLOOKUP(M231,'G-7 WaterC'' Data'!$AA$4:$AB$7,2,FALSE)=0,"Spatial Data Missing ⚠",VLOOKUP(M231,'G-7 WaterC'' Data'!$AA$4:$AB$7,2,FALSE)))))</f>
        <v/>
      </c>
      <c r="O231" s="56"/>
      <c r="P231" s="276" t="str">
        <f>IF(O231="","",IF(AND(O231="N/A - Culvert",D231&lt;&gt;"Culvert"),"Not possible ▲",IF(AND(D231="Culvert",O231&lt;&gt;"N/A - Culvert"),"Not possible ▲",IF(VLOOKUP(O231,'G-7 WaterC'' Data'!$AD$4:$AE$14,2,FALSE)=0,"Spatial Data Missing ⚠",VLOOKUP(O231,'G-7 WaterC'' Data'!$AD$4:$AE$14,2,FALSE)))))</f>
        <v/>
      </c>
      <c r="Q231" s="282" t="str">
        <f>IF(D231="","",VLOOKUP(D231,'G-7 WaterC'' Data'!$B$4:$G$8,6,FALSE))</f>
        <v/>
      </c>
      <c r="R231" s="289" t="str">
        <f t="shared" si="37"/>
        <v xml:space="preserve"> </v>
      </c>
      <c r="S231" s="393"/>
      <c r="T231" s="281" t="str">
        <f>IF(S231="","",IF(VLOOKUP(S231,'G-7 WaterC'' Data'!$AO$4:$BO$7,2,FALSE)=0,"Spatial Data Missing ⚠",VLOOKUP(S231,'G-7 WaterC'' Data'!$AO$4:$BO$7,2,FALSE)))</f>
        <v/>
      </c>
      <c r="U231" s="289" t="str">
        <f t="shared" si="38"/>
        <v xml:space="preserve"> </v>
      </c>
      <c r="V231" s="694" t="str">
        <f t="shared" si="39"/>
        <v/>
      </c>
      <c r="W231" s="32"/>
      <c r="X231" s="101"/>
      <c r="Y231" s="108"/>
      <c r="Z231" s="287" t="str">
        <f t="shared" si="40"/>
        <v/>
      </c>
      <c r="AA231" s="287" t="str">
        <f t="shared" si="41"/>
        <v/>
      </c>
      <c r="AB231" s="287" t="str">
        <f t="shared" si="42"/>
        <v/>
      </c>
      <c r="AC231" s="491" t="str">
        <f>IFERROR(IF(OR(E231="",R231=""),"",IF(AND(AB231&lt;&gt;"",S231=""),"Spatial risk category missing ▲",IF(AND(Q231='G-7 WaterC'' Data'!$G$4,AD231="Yes"),"Alternative Compensation ✓",IF(AND(AD231="Pending",Q231='G-7 WaterC'' Data'!$G$4),"Bespoke compensation must be agreed ▲",IF((Z231+AA231)&gt;=U231,0,U231-Z231-AA231))))),"Check Data ⚠")</f>
        <v/>
      </c>
      <c r="AD231" s="393"/>
      <c r="AE231" s="105"/>
      <c r="AF231" s="104"/>
      <c r="AG231" s="104"/>
      <c r="AH231" s="104"/>
      <c r="AI231" s="54" t="str">
        <f>IF(OR(Q231="",AD231="Yes"),"",IF(Q231='G-1 All Habitats'!$X$9,E231-Y231-X231,"None"))</f>
        <v/>
      </c>
      <c r="AJ231" s="55" t="str">
        <f>IF(Q231="","",IF(Q231='G-1 All Habitats'!$X$9,AI231*G231*I231*L231*N231*P231,"None"))</f>
        <v/>
      </c>
      <c r="AK231" s="30" t="str">
        <f>IFERROR(INDEX('G-7 WaterC'' Data'!$AZ$3:$AZ$7,MATCH(D231,'G-7 WaterC'' Data'!$AY$3:$AY$7,0)),"")</f>
        <v/>
      </c>
      <c r="AL231" s="30">
        <f t="shared" si="43"/>
        <v>0</v>
      </c>
      <c r="AM231" s="107" t="str">
        <f t="shared" si="44"/>
        <v/>
      </c>
      <c r="AN231" s="107" t="str">
        <f t="shared" si="45"/>
        <v/>
      </c>
      <c r="AP231" s="107">
        <v>222</v>
      </c>
      <c r="AR231" s="107" t="str">
        <f t="array" ref="AR231">IFERROR(INDEX($AP$10:$AP$258,MATCH(0,IF(TRUE=$AM$10:$AM$258,COUNTIF($AR$9:$AR230,$AP$10:$AP$258),""),0)),"")</f>
        <v/>
      </c>
      <c r="AS231" s="107" t="str">
        <f t="array" ref="AS231">IFERROR(INDEX($AP$10:$AP$258,MATCH(0,IF(TRUE=$AN$10:$AN$258,COUNTIF($AS$9:$AS230,$AP$10:$AP$258),""),0)),"")</f>
        <v/>
      </c>
      <c r="AT231" s="885" t="str">
        <f>IF(AND(OR(AD231="Yes",AD231="Pending"),Q231='G-7 WaterC'' Data'!$G$4),U231-AA231-Z231,"0")</f>
        <v>0</v>
      </c>
      <c r="AU231" s="30" t="str">
        <f>IF(D231="","",VLOOKUP(D231,'G-7 WaterC'' Data'!B$4:M$8,12,FALSE))</f>
        <v/>
      </c>
      <c r="AV231" s="30" t="str">
        <f t="shared" si="36"/>
        <v/>
      </c>
      <c r="AW231" s="30" t="str">
        <f t="shared" si="46"/>
        <v>No</v>
      </c>
      <c r="BA231" s="555" t="str">
        <f t="shared" si="47"/>
        <v/>
      </c>
    </row>
    <row r="232" spans="3:53" ht="14.5" thickBot="1">
      <c r="C232" s="97">
        <v>223</v>
      </c>
      <c r="D232" s="263"/>
      <c r="E232" s="104"/>
      <c r="F232" s="275" t="str">
        <f>IF(D232="","",VLOOKUP(D232,'G-7 WaterC'' Data'!$B$2:$G$8,2,FALSE))</f>
        <v/>
      </c>
      <c r="G232" s="314" t="str">
        <f>IFERROR(VLOOKUP(F232,'G-7 WaterC'' Data'!$C$4:$D$8,2,FALSE),"")</f>
        <v/>
      </c>
      <c r="H232" s="105"/>
      <c r="I232" s="299" t="str">
        <f>IFERROR(INDEX('G-7 WaterC'' Data'!$H$4:$L$8,MATCH(D232,'G-7 WaterC'' Data'!$B$4:$B$8,0),MATCH(H232,'G-7 WaterC'' Data'!$H$3:$L$3,0)),"")</f>
        <v/>
      </c>
      <c r="J232" s="702"/>
      <c r="K232" s="295" t="str">
        <f>IF(J232="","",IF(VLOOKUP(J232,'G-7 WaterC'' Data'!$AK$4:$AM$9,2,FALSE)=0,"Spatial Data Missing ⚠",VLOOKUP(J232,'G-7 WaterC'' Data'!$AK$4:$AM$6,2,FALSE)))</f>
        <v/>
      </c>
      <c r="L232" s="299" t="str">
        <f>IF(J232="","",IF(VLOOKUP(J232,'G-7 WaterC'' Data'!$AK$4:$AM$9,3,FALSE)=0,"Spatial Data Missing ⚠",VLOOKUP(J232,'G-7 WaterC'' Data'!$AK$4:$AM$6,3,FALSE)))</f>
        <v/>
      </c>
      <c r="M232" s="102"/>
      <c r="N232" s="276" t="str">
        <f>IF(M232="","",IF(AND(M232="N/A - Culvert",D232&lt;&gt;"Culvert"),"Not possible ▲",IF(AND(D232="Culvert",M232&lt;&gt;"N/A - Culvert"),"Not possible ▲",IF(VLOOKUP(M232,'G-7 WaterC'' Data'!$AA$4:$AB$7,2,FALSE)=0,"Spatial Data Missing ⚠",VLOOKUP(M232,'G-7 WaterC'' Data'!$AA$4:$AB$7,2,FALSE)))))</f>
        <v/>
      </c>
      <c r="O232" s="56"/>
      <c r="P232" s="276" t="str">
        <f>IF(O232="","",IF(AND(O232="N/A - Culvert",D232&lt;&gt;"Culvert"),"Not possible ▲",IF(AND(D232="Culvert",O232&lt;&gt;"N/A - Culvert"),"Not possible ▲",IF(VLOOKUP(O232,'G-7 WaterC'' Data'!$AD$4:$AE$14,2,FALSE)=0,"Spatial Data Missing ⚠",VLOOKUP(O232,'G-7 WaterC'' Data'!$AD$4:$AE$14,2,FALSE)))))</f>
        <v/>
      </c>
      <c r="Q232" s="282" t="str">
        <f>IF(D232="","",VLOOKUP(D232,'G-7 WaterC'' Data'!$B$4:$G$8,6,FALSE))</f>
        <v/>
      </c>
      <c r="R232" s="289" t="str">
        <f t="shared" si="37"/>
        <v xml:space="preserve"> </v>
      </c>
      <c r="S232" s="393"/>
      <c r="T232" s="281" t="str">
        <f>IF(S232="","",IF(VLOOKUP(S232,'G-7 WaterC'' Data'!$AO$4:$BO$7,2,FALSE)=0,"Spatial Data Missing ⚠",VLOOKUP(S232,'G-7 WaterC'' Data'!$AO$4:$BO$7,2,FALSE)))</f>
        <v/>
      </c>
      <c r="U232" s="289" t="str">
        <f t="shared" si="38"/>
        <v xml:space="preserve"> </v>
      </c>
      <c r="V232" s="694" t="str">
        <f t="shared" si="39"/>
        <v/>
      </c>
      <c r="W232" s="32"/>
      <c r="X232" s="101"/>
      <c r="Y232" s="108"/>
      <c r="Z232" s="287" t="str">
        <f t="shared" si="40"/>
        <v/>
      </c>
      <c r="AA232" s="287" t="str">
        <f t="shared" si="41"/>
        <v/>
      </c>
      <c r="AB232" s="287" t="str">
        <f t="shared" si="42"/>
        <v/>
      </c>
      <c r="AC232" s="491" t="str">
        <f>IFERROR(IF(OR(E232="",R232=""),"",IF(AND(AB232&lt;&gt;"",S232=""),"Spatial risk category missing ▲",IF(AND(Q232='G-7 WaterC'' Data'!$G$4,AD232="Yes"),"Alternative Compensation ✓",IF(AND(AD232="Pending",Q232='G-7 WaterC'' Data'!$G$4),"Bespoke compensation must be agreed ▲",IF((Z232+AA232)&gt;=U232,0,U232-Z232-AA232))))),"Check Data ⚠")</f>
        <v/>
      </c>
      <c r="AD232" s="393"/>
      <c r="AE232" s="105"/>
      <c r="AF232" s="104"/>
      <c r="AG232" s="104"/>
      <c r="AH232" s="104"/>
      <c r="AI232" s="54" t="str">
        <f>IF(OR(Q232="",AD232="Yes"),"",IF(Q232='G-1 All Habitats'!$X$9,E232-Y232-X232,"None"))</f>
        <v/>
      </c>
      <c r="AJ232" s="55" t="str">
        <f>IF(Q232="","",IF(Q232='G-1 All Habitats'!$X$9,AI232*G232*I232*L232*N232*P232,"None"))</f>
        <v/>
      </c>
      <c r="AK232" s="30" t="str">
        <f>IFERROR(INDEX('G-7 WaterC'' Data'!$AZ$3:$AZ$7,MATCH(D232,'G-7 WaterC'' Data'!$AY$3:$AY$7,0)),"")</f>
        <v/>
      </c>
      <c r="AL232" s="30">
        <f t="shared" si="43"/>
        <v>0</v>
      </c>
      <c r="AM232" s="107" t="str">
        <f t="shared" si="44"/>
        <v/>
      </c>
      <c r="AN232" s="107" t="str">
        <f t="shared" si="45"/>
        <v/>
      </c>
      <c r="AP232" s="107">
        <v>223</v>
      </c>
      <c r="AR232" s="107" t="str">
        <f t="array" ref="AR232">IFERROR(INDEX($AP$10:$AP$258,MATCH(0,IF(TRUE=$AM$10:$AM$258,COUNTIF($AR$9:$AR231,$AP$10:$AP$258),""),0)),"")</f>
        <v/>
      </c>
      <c r="AS232" s="107" t="str">
        <f t="array" ref="AS232">IFERROR(INDEX($AP$10:$AP$258,MATCH(0,IF(TRUE=$AN$10:$AN$258,COUNTIF($AS$9:$AS231,$AP$10:$AP$258),""),0)),"")</f>
        <v/>
      </c>
      <c r="AT232" s="885" t="str">
        <f>IF(AND(OR(AD232="Yes",AD232="Pending"),Q232='G-7 WaterC'' Data'!$G$4),U232-AA232-Z232,"0")</f>
        <v>0</v>
      </c>
      <c r="AU232" s="30" t="str">
        <f>IF(D232="","",VLOOKUP(D232,'G-7 WaterC'' Data'!B$4:M$8,12,FALSE))</f>
        <v/>
      </c>
      <c r="AV232" s="30" t="str">
        <f t="shared" si="36"/>
        <v/>
      </c>
      <c r="AW232" s="30" t="str">
        <f t="shared" si="46"/>
        <v>No</v>
      </c>
      <c r="BA232" s="555" t="str">
        <f t="shared" si="47"/>
        <v/>
      </c>
    </row>
    <row r="233" spans="3:53" ht="14.5" thickBot="1">
      <c r="C233" s="97">
        <v>224</v>
      </c>
      <c r="D233" s="263"/>
      <c r="E233" s="104"/>
      <c r="F233" s="275" t="str">
        <f>IF(D233="","",VLOOKUP(D233,'G-7 WaterC'' Data'!$B$2:$G$8,2,FALSE))</f>
        <v/>
      </c>
      <c r="G233" s="314" t="str">
        <f>IFERROR(VLOOKUP(F233,'G-7 WaterC'' Data'!$C$4:$D$8,2,FALSE),"")</f>
        <v/>
      </c>
      <c r="H233" s="105"/>
      <c r="I233" s="299" t="str">
        <f>IFERROR(INDEX('G-7 WaterC'' Data'!$H$4:$L$8,MATCH(D233,'G-7 WaterC'' Data'!$B$4:$B$8,0),MATCH(H233,'G-7 WaterC'' Data'!$H$3:$L$3,0)),"")</f>
        <v/>
      </c>
      <c r="J233" s="702"/>
      <c r="K233" s="295" t="str">
        <f>IF(J233="","",IF(VLOOKUP(J233,'G-7 WaterC'' Data'!$AK$4:$AM$9,2,FALSE)=0,"Spatial Data Missing ⚠",VLOOKUP(J233,'G-7 WaterC'' Data'!$AK$4:$AM$6,2,FALSE)))</f>
        <v/>
      </c>
      <c r="L233" s="299" t="str">
        <f>IF(J233="","",IF(VLOOKUP(J233,'G-7 WaterC'' Data'!$AK$4:$AM$9,3,FALSE)=0,"Spatial Data Missing ⚠",VLOOKUP(J233,'G-7 WaterC'' Data'!$AK$4:$AM$6,3,FALSE)))</f>
        <v/>
      </c>
      <c r="M233" s="102"/>
      <c r="N233" s="276" t="str">
        <f>IF(M233="","",IF(AND(M233="N/A - Culvert",D233&lt;&gt;"Culvert"),"Not possible ▲",IF(AND(D233="Culvert",M233&lt;&gt;"N/A - Culvert"),"Not possible ▲",IF(VLOOKUP(M233,'G-7 WaterC'' Data'!$AA$4:$AB$7,2,FALSE)=0,"Spatial Data Missing ⚠",VLOOKUP(M233,'G-7 WaterC'' Data'!$AA$4:$AB$7,2,FALSE)))))</f>
        <v/>
      </c>
      <c r="O233" s="56"/>
      <c r="P233" s="276" t="str">
        <f>IF(O233="","",IF(AND(O233="N/A - Culvert",D233&lt;&gt;"Culvert"),"Not possible ▲",IF(AND(D233="Culvert",O233&lt;&gt;"N/A - Culvert"),"Not possible ▲",IF(VLOOKUP(O233,'G-7 WaterC'' Data'!$AD$4:$AE$14,2,FALSE)=0,"Spatial Data Missing ⚠",VLOOKUP(O233,'G-7 WaterC'' Data'!$AD$4:$AE$14,2,FALSE)))))</f>
        <v/>
      </c>
      <c r="Q233" s="282" t="str">
        <f>IF(D233="","",VLOOKUP(D233,'G-7 WaterC'' Data'!$B$4:$G$8,6,FALSE))</f>
        <v/>
      </c>
      <c r="R233" s="289" t="str">
        <f t="shared" si="37"/>
        <v xml:space="preserve"> </v>
      </c>
      <c r="S233" s="393"/>
      <c r="T233" s="281" t="str">
        <f>IF(S233="","",IF(VLOOKUP(S233,'G-7 WaterC'' Data'!$AO$4:$BO$7,2,FALSE)=0,"Spatial Data Missing ⚠",VLOOKUP(S233,'G-7 WaterC'' Data'!$AO$4:$BO$7,2,FALSE)))</f>
        <v/>
      </c>
      <c r="U233" s="289" t="str">
        <f t="shared" si="38"/>
        <v xml:space="preserve"> </v>
      </c>
      <c r="V233" s="694" t="str">
        <f t="shared" si="39"/>
        <v/>
      </c>
      <c r="W233" s="32"/>
      <c r="X233" s="101"/>
      <c r="Y233" s="108"/>
      <c r="Z233" s="287" t="str">
        <f t="shared" si="40"/>
        <v/>
      </c>
      <c r="AA233" s="287" t="str">
        <f t="shared" si="41"/>
        <v/>
      </c>
      <c r="AB233" s="287" t="str">
        <f t="shared" si="42"/>
        <v/>
      </c>
      <c r="AC233" s="491" t="str">
        <f>IFERROR(IF(OR(E233="",R233=""),"",IF(AND(AB233&lt;&gt;"",S233=""),"Spatial risk category missing ▲",IF(AND(Q233='G-7 WaterC'' Data'!$G$4,AD233="Yes"),"Alternative Compensation ✓",IF(AND(AD233="Pending",Q233='G-7 WaterC'' Data'!$G$4),"Bespoke compensation must be agreed ▲",IF((Z233+AA233)&gt;=U233,0,U233-Z233-AA233))))),"Check Data ⚠")</f>
        <v/>
      </c>
      <c r="AD233" s="393"/>
      <c r="AE233" s="105"/>
      <c r="AF233" s="104"/>
      <c r="AG233" s="104"/>
      <c r="AH233" s="104"/>
      <c r="AI233" s="54" t="str">
        <f>IF(OR(Q233="",AD233="Yes"),"",IF(Q233='G-1 All Habitats'!$X$9,E233-Y233-X233,"None"))</f>
        <v/>
      </c>
      <c r="AJ233" s="55" t="str">
        <f>IF(Q233="","",IF(Q233='G-1 All Habitats'!$X$9,AI233*G233*I233*L233*N233*P233,"None"))</f>
        <v/>
      </c>
      <c r="AK233" s="30" t="str">
        <f>IFERROR(INDEX('G-7 WaterC'' Data'!$AZ$3:$AZ$7,MATCH(D233,'G-7 WaterC'' Data'!$AY$3:$AY$7,0)),"")</f>
        <v/>
      </c>
      <c r="AL233" s="30">
        <f t="shared" si="43"/>
        <v>0</v>
      </c>
      <c r="AM233" s="107" t="str">
        <f t="shared" si="44"/>
        <v/>
      </c>
      <c r="AN233" s="107" t="str">
        <f t="shared" si="45"/>
        <v/>
      </c>
      <c r="AP233" s="107">
        <v>224</v>
      </c>
      <c r="AR233" s="107" t="str">
        <f t="array" ref="AR233">IFERROR(INDEX($AP$10:$AP$258,MATCH(0,IF(TRUE=$AM$10:$AM$258,COUNTIF($AR$9:$AR232,$AP$10:$AP$258),""),0)),"")</f>
        <v/>
      </c>
      <c r="AS233" s="107" t="str">
        <f t="array" ref="AS233">IFERROR(INDEX($AP$10:$AP$258,MATCH(0,IF(TRUE=$AN$10:$AN$258,COUNTIF($AS$9:$AS232,$AP$10:$AP$258),""),0)),"")</f>
        <v/>
      </c>
      <c r="AT233" s="885" t="str">
        <f>IF(AND(OR(AD233="Yes",AD233="Pending"),Q233='G-7 WaterC'' Data'!$G$4),U233-AA233-Z233,"0")</f>
        <v>0</v>
      </c>
      <c r="AU233" s="30" t="str">
        <f>IF(D233="","",VLOOKUP(D233,'G-7 WaterC'' Data'!B$4:M$8,12,FALSE))</f>
        <v/>
      </c>
      <c r="AV233" s="30" t="str">
        <f t="shared" si="36"/>
        <v/>
      </c>
      <c r="AW233" s="30" t="str">
        <f t="shared" si="46"/>
        <v>No</v>
      </c>
      <c r="BA233" s="555" t="str">
        <f t="shared" si="47"/>
        <v/>
      </c>
    </row>
    <row r="234" spans="3:53" ht="14.5" thickBot="1">
      <c r="C234" s="97">
        <v>225</v>
      </c>
      <c r="D234" s="263"/>
      <c r="E234" s="104"/>
      <c r="F234" s="275" t="str">
        <f>IF(D234="","",VLOOKUP(D234,'G-7 WaterC'' Data'!$B$2:$G$8,2,FALSE))</f>
        <v/>
      </c>
      <c r="G234" s="314" t="str">
        <f>IFERROR(VLOOKUP(F234,'G-7 WaterC'' Data'!$C$4:$D$8,2,FALSE),"")</f>
        <v/>
      </c>
      <c r="H234" s="105"/>
      <c r="I234" s="299" t="str">
        <f>IFERROR(INDEX('G-7 WaterC'' Data'!$H$4:$L$8,MATCH(D234,'G-7 WaterC'' Data'!$B$4:$B$8,0),MATCH(H234,'G-7 WaterC'' Data'!$H$3:$L$3,0)),"")</f>
        <v/>
      </c>
      <c r="J234" s="702"/>
      <c r="K234" s="295" t="str">
        <f>IF(J234="","",IF(VLOOKUP(J234,'G-7 WaterC'' Data'!$AK$4:$AM$9,2,FALSE)=0,"Spatial Data Missing ⚠",VLOOKUP(J234,'G-7 WaterC'' Data'!$AK$4:$AM$6,2,FALSE)))</f>
        <v/>
      </c>
      <c r="L234" s="299" t="str">
        <f>IF(J234="","",IF(VLOOKUP(J234,'G-7 WaterC'' Data'!$AK$4:$AM$9,3,FALSE)=0,"Spatial Data Missing ⚠",VLOOKUP(J234,'G-7 WaterC'' Data'!$AK$4:$AM$6,3,FALSE)))</f>
        <v/>
      </c>
      <c r="M234" s="102"/>
      <c r="N234" s="276" t="str">
        <f>IF(M234="","",IF(AND(M234="N/A - Culvert",D234&lt;&gt;"Culvert"),"Not possible ▲",IF(AND(D234="Culvert",M234&lt;&gt;"N/A - Culvert"),"Not possible ▲",IF(VLOOKUP(M234,'G-7 WaterC'' Data'!$AA$4:$AB$7,2,FALSE)=0,"Spatial Data Missing ⚠",VLOOKUP(M234,'G-7 WaterC'' Data'!$AA$4:$AB$7,2,FALSE)))))</f>
        <v/>
      </c>
      <c r="O234" s="56"/>
      <c r="P234" s="276" t="str">
        <f>IF(O234="","",IF(AND(O234="N/A - Culvert",D234&lt;&gt;"Culvert"),"Not possible ▲",IF(AND(D234="Culvert",O234&lt;&gt;"N/A - Culvert"),"Not possible ▲",IF(VLOOKUP(O234,'G-7 WaterC'' Data'!$AD$4:$AE$14,2,FALSE)=0,"Spatial Data Missing ⚠",VLOOKUP(O234,'G-7 WaterC'' Data'!$AD$4:$AE$14,2,FALSE)))))</f>
        <v/>
      </c>
      <c r="Q234" s="282" t="str">
        <f>IF(D234="","",VLOOKUP(D234,'G-7 WaterC'' Data'!$B$4:$G$8,6,FALSE))</f>
        <v/>
      </c>
      <c r="R234" s="289" t="str">
        <f t="shared" si="37"/>
        <v xml:space="preserve"> </v>
      </c>
      <c r="S234" s="393"/>
      <c r="T234" s="281" t="str">
        <f>IF(S234="","",IF(VLOOKUP(S234,'G-7 WaterC'' Data'!$AO$4:$BO$7,2,FALSE)=0,"Spatial Data Missing ⚠",VLOOKUP(S234,'G-7 WaterC'' Data'!$AO$4:$BO$7,2,FALSE)))</f>
        <v/>
      </c>
      <c r="U234" s="289" t="str">
        <f t="shared" si="38"/>
        <v xml:space="preserve"> </v>
      </c>
      <c r="V234" s="694" t="str">
        <f t="shared" si="39"/>
        <v/>
      </c>
      <c r="W234" s="32"/>
      <c r="X234" s="101"/>
      <c r="Y234" s="108"/>
      <c r="Z234" s="287" t="str">
        <f t="shared" si="40"/>
        <v/>
      </c>
      <c r="AA234" s="287" t="str">
        <f t="shared" si="41"/>
        <v/>
      </c>
      <c r="AB234" s="287" t="str">
        <f t="shared" si="42"/>
        <v/>
      </c>
      <c r="AC234" s="491" t="str">
        <f>IFERROR(IF(OR(E234="",R234=""),"",IF(AND(AB234&lt;&gt;"",S234=""),"Spatial risk category missing ▲",IF(AND(Q234='G-7 WaterC'' Data'!$G$4,AD234="Yes"),"Alternative Compensation ✓",IF(AND(AD234="Pending",Q234='G-7 WaterC'' Data'!$G$4),"Bespoke compensation must be agreed ▲",IF((Z234+AA234)&gt;=U234,0,U234-Z234-AA234))))),"Check Data ⚠")</f>
        <v/>
      </c>
      <c r="AD234" s="393"/>
      <c r="AE234" s="105"/>
      <c r="AF234" s="104"/>
      <c r="AG234" s="104"/>
      <c r="AH234" s="104"/>
      <c r="AI234" s="54" t="str">
        <f>IF(OR(Q234="",AD234="Yes"),"",IF(Q234='G-1 All Habitats'!$X$9,E234-Y234-X234,"None"))</f>
        <v/>
      </c>
      <c r="AJ234" s="55" t="str">
        <f>IF(Q234="","",IF(Q234='G-1 All Habitats'!$X$9,AI234*G234*I234*L234*N234*P234,"None"))</f>
        <v/>
      </c>
      <c r="AK234" s="30" t="str">
        <f>IFERROR(INDEX('G-7 WaterC'' Data'!$AZ$3:$AZ$7,MATCH(D234,'G-7 WaterC'' Data'!$AY$3:$AY$7,0)),"")</f>
        <v/>
      </c>
      <c r="AL234" s="30">
        <f t="shared" si="43"/>
        <v>0</v>
      </c>
      <c r="AM234" s="107" t="str">
        <f t="shared" si="44"/>
        <v/>
      </c>
      <c r="AN234" s="107" t="str">
        <f t="shared" si="45"/>
        <v/>
      </c>
      <c r="AP234" s="107">
        <v>225</v>
      </c>
      <c r="AR234" s="107" t="str">
        <f t="array" ref="AR234">IFERROR(INDEX($AP$10:$AP$258,MATCH(0,IF(TRUE=$AM$10:$AM$258,COUNTIF($AR$9:$AR233,$AP$10:$AP$258),""),0)),"")</f>
        <v/>
      </c>
      <c r="AS234" s="107" t="str">
        <f t="array" ref="AS234">IFERROR(INDEX($AP$10:$AP$258,MATCH(0,IF(TRUE=$AN$10:$AN$258,COUNTIF($AS$9:$AS233,$AP$10:$AP$258),""),0)),"")</f>
        <v/>
      </c>
      <c r="AT234" s="885" t="str">
        <f>IF(AND(OR(AD234="Yes",AD234="Pending"),Q234='G-7 WaterC'' Data'!$G$4),U234-AA234-Z234,"0")</f>
        <v>0</v>
      </c>
      <c r="AU234" s="30" t="str">
        <f>IF(D234="","",VLOOKUP(D234,'G-7 WaterC'' Data'!B$4:M$8,12,FALSE))</f>
        <v/>
      </c>
      <c r="AV234" s="30" t="str">
        <f t="shared" si="36"/>
        <v/>
      </c>
      <c r="AW234" s="30" t="str">
        <f t="shared" si="46"/>
        <v>No</v>
      </c>
      <c r="BA234" s="555" t="str">
        <f t="shared" si="47"/>
        <v/>
      </c>
    </row>
    <row r="235" spans="3:53" ht="14.5" thickBot="1">
      <c r="C235" s="97">
        <v>226</v>
      </c>
      <c r="D235" s="263"/>
      <c r="E235" s="104"/>
      <c r="F235" s="275" t="str">
        <f>IF(D235="","",VLOOKUP(D235,'G-7 WaterC'' Data'!$B$2:$G$8,2,FALSE))</f>
        <v/>
      </c>
      <c r="G235" s="314" t="str">
        <f>IFERROR(VLOOKUP(F235,'G-7 WaterC'' Data'!$C$4:$D$8,2,FALSE),"")</f>
        <v/>
      </c>
      <c r="H235" s="105"/>
      <c r="I235" s="299" t="str">
        <f>IFERROR(INDEX('G-7 WaterC'' Data'!$H$4:$L$8,MATCH(D235,'G-7 WaterC'' Data'!$B$4:$B$8,0),MATCH(H235,'G-7 WaterC'' Data'!$H$3:$L$3,0)),"")</f>
        <v/>
      </c>
      <c r="J235" s="702"/>
      <c r="K235" s="295" t="str">
        <f>IF(J235="","",IF(VLOOKUP(J235,'G-7 WaterC'' Data'!$AK$4:$AM$9,2,FALSE)=0,"Spatial Data Missing ⚠",VLOOKUP(J235,'G-7 WaterC'' Data'!$AK$4:$AM$6,2,FALSE)))</f>
        <v/>
      </c>
      <c r="L235" s="299" t="str">
        <f>IF(J235="","",IF(VLOOKUP(J235,'G-7 WaterC'' Data'!$AK$4:$AM$9,3,FALSE)=0,"Spatial Data Missing ⚠",VLOOKUP(J235,'G-7 WaterC'' Data'!$AK$4:$AM$6,3,FALSE)))</f>
        <v/>
      </c>
      <c r="M235" s="102"/>
      <c r="N235" s="276" t="str">
        <f>IF(M235="","",IF(AND(M235="N/A - Culvert",D235&lt;&gt;"Culvert"),"Not possible ▲",IF(AND(D235="Culvert",M235&lt;&gt;"N/A - Culvert"),"Not possible ▲",IF(VLOOKUP(M235,'G-7 WaterC'' Data'!$AA$4:$AB$7,2,FALSE)=0,"Spatial Data Missing ⚠",VLOOKUP(M235,'G-7 WaterC'' Data'!$AA$4:$AB$7,2,FALSE)))))</f>
        <v/>
      </c>
      <c r="O235" s="56"/>
      <c r="P235" s="276" t="str">
        <f>IF(O235="","",IF(AND(O235="N/A - Culvert",D235&lt;&gt;"Culvert"),"Not possible ▲",IF(AND(D235="Culvert",O235&lt;&gt;"N/A - Culvert"),"Not possible ▲",IF(VLOOKUP(O235,'G-7 WaterC'' Data'!$AD$4:$AE$14,2,FALSE)=0,"Spatial Data Missing ⚠",VLOOKUP(O235,'G-7 WaterC'' Data'!$AD$4:$AE$14,2,FALSE)))))</f>
        <v/>
      </c>
      <c r="Q235" s="282" t="str">
        <f>IF(D235="","",VLOOKUP(D235,'G-7 WaterC'' Data'!$B$4:$G$8,6,FALSE))</f>
        <v/>
      </c>
      <c r="R235" s="289" t="str">
        <f t="shared" si="37"/>
        <v xml:space="preserve"> </v>
      </c>
      <c r="S235" s="393"/>
      <c r="T235" s="281" t="str">
        <f>IF(S235="","",IF(VLOOKUP(S235,'G-7 WaterC'' Data'!$AO$4:$BO$7,2,FALSE)=0,"Spatial Data Missing ⚠",VLOOKUP(S235,'G-7 WaterC'' Data'!$AO$4:$BO$7,2,FALSE)))</f>
        <v/>
      </c>
      <c r="U235" s="289" t="str">
        <f t="shared" si="38"/>
        <v xml:space="preserve"> </v>
      </c>
      <c r="V235" s="694" t="str">
        <f t="shared" si="39"/>
        <v/>
      </c>
      <c r="W235" s="32"/>
      <c r="X235" s="101"/>
      <c r="Y235" s="108"/>
      <c r="Z235" s="287" t="str">
        <f t="shared" si="40"/>
        <v/>
      </c>
      <c r="AA235" s="287" t="str">
        <f t="shared" si="41"/>
        <v/>
      </c>
      <c r="AB235" s="287" t="str">
        <f t="shared" si="42"/>
        <v/>
      </c>
      <c r="AC235" s="491" t="str">
        <f>IFERROR(IF(OR(E235="",R235=""),"",IF(AND(AB235&lt;&gt;"",S235=""),"Spatial risk category missing ▲",IF(AND(Q235='G-7 WaterC'' Data'!$G$4,AD235="Yes"),"Alternative Compensation ✓",IF(AND(AD235="Pending",Q235='G-7 WaterC'' Data'!$G$4),"Bespoke compensation must be agreed ▲",IF((Z235+AA235)&gt;=U235,0,U235-Z235-AA235))))),"Check Data ⚠")</f>
        <v/>
      </c>
      <c r="AD235" s="393"/>
      <c r="AE235" s="105"/>
      <c r="AF235" s="104"/>
      <c r="AG235" s="104"/>
      <c r="AH235" s="104"/>
      <c r="AI235" s="54" t="str">
        <f>IF(OR(Q235="",AD235="Yes"),"",IF(Q235='G-1 All Habitats'!$X$9,E235-Y235-X235,"None"))</f>
        <v/>
      </c>
      <c r="AJ235" s="55" t="str">
        <f>IF(Q235="","",IF(Q235='G-1 All Habitats'!$X$9,AI235*G235*I235*L235*N235*P235,"None"))</f>
        <v/>
      </c>
      <c r="AK235" s="30" t="str">
        <f>IFERROR(INDEX('G-7 WaterC'' Data'!$AZ$3:$AZ$7,MATCH(D235,'G-7 WaterC'' Data'!$AY$3:$AY$7,0)),"")</f>
        <v/>
      </c>
      <c r="AL235" s="30">
        <f t="shared" si="43"/>
        <v>0</v>
      </c>
      <c r="AM235" s="107" t="str">
        <f t="shared" si="44"/>
        <v/>
      </c>
      <c r="AN235" s="107" t="str">
        <f t="shared" si="45"/>
        <v/>
      </c>
      <c r="AP235" s="107">
        <v>226</v>
      </c>
      <c r="AR235" s="107" t="str">
        <f t="array" ref="AR235">IFERROR(INDEX($AP$10:$AP$258,MATCH(0,IF(TRUE=$AM$10:$AM$258,COUNTIF($AR$9:$AR234,$AP$10:$AP$258),""),0)),"")</f>
        <v/>
      </c>
      <c r="AS235" s="107" t="str">
        <f t="array" ref="AS235">IFERROR(INDEX($AP$10:$AP$258,MATCH(0,IF(TRUE=$AN$10:$AN$258,COUNTIF($AS$9:$AS234,$AP$10:$AP$258),""),0)),"")</f>
        <v/>
      </c>
      <c r="AT235" s="885" t="str">
        <f>IF(AND(OR(AD235="Yes",AD235="Pending"),Q235='G-7 WaterC'' Data'!$G$4),U235-AA235-Z235,"0")</f>
        <v>0</v>
      </c>
      <c r="AU235" s="30" t="str">
        <f>IF(D235="","",VLOOKUP(D235,'G-7 WaterC'' Data'!B$4:M$8,12,FALSE))</f>
        <v/>
      </c>
      <c r="AV235" s="30" t="str">
        <f t="shared" si="36"/>
        <v/>
      </c>
      <c r="AW235" s="30" t="str">
        <f t="shared" si="46"/>
        <v>No</v>
      </c>
      <c r="BA235" s="555" t="str">
        <f t="shared" si="47"/>
        <v/>
      </c>
    </row>
    <row r="236" spans="3:53" ht="14.5" thickBot="1">
      <c r="C236" s="97">
        <v>227</v>
      </c>
      <c r="D236" s="263"/>
      <c r="E236" s="104"/>
      <c r="F236" s="275" t="str">
        <f>IF(D236="","",VLOOKUP(D236,'G-7 WaterC'' Data'!$B$2:$G$8,2,FALSE))</f>
        <v/>
      </c>
      <c r="G236" s="314" t="str">
        <f>IFERROR(VLOOKUP(F236,'G-7 WaterC'' Data'!$C$4:$D$8,2,FALSE),"")</f>
        <v/>
      </c>
      <c r="H236" s="105"/>
      <c r="I236" s="299" t="str">
        <f>IFERROR(INDEX('G-7 WaterC'' Data'!$H$4:$L$8,MATCH(D236,'G-7 WaterC'' Data'!$B$4:$B$8,0),MATCH(H236,'G-7 WaterC'' Data'!$H$3:$L$3,0)),"")</f>
        <v/>
      </c>
      <c r="J236" s="702"/>
      <c r="K236" s="295" t="str">
        <f>IF(J236="","",IF(VLOOKUP(J236,'G-7 WaterC'' Data'!$AK$4:$AM$9,2,FALSE)=0,"Spatial Data Missing ⚠",VLOOKUP(J236,'G-7 WaterC'' Data'!$AK$4:$AM$6,2,FALSE)))</f>
        <v/>
      </c>
      <c r="L236" s="299" t="str">
        <f>IF(J236="","",IF(VLOOKUP(J236,'G-7 WaterC'' Data'!$AK$4:$AM$9,3,FALSE)=0,"Spatial Data Missing ⚠",VLOOKUP(J236,'G-7 WaterC'' Data'!$AK$4:$AM$6,3,FALSE)))</f>
        <v/>
      </c>
      <c r="M236" s="102"/>
      <c r="N236" s="276" t="str">
        <f>IF(M236="","",IF(AND(M236="N/A - Culvert",D236&lt;&gt;"Culvert"),"Not possible ▲",IF(AND(D236="Culvert",M236&lt;&gt;"N/A - Culvert"),"Not possible ▲",IF(VLOOKUP(M236,'G-7 WaterC'' Data'!$AA$4:$AB$7,2,FALSE)=0,"Spatial Data Missing ⚠",VLOOKUP(M236,'G-7 WaterC'' Data'!$AA$4:$AB$7,2,FALSE)))))</f>
        <v/>
      </c>
      <c r="O236" s="56"/>
      <c r="P236" s="276" t="str">
        <f>IF(O236="","",IF(AND(O236="N/A - Culvert",D236&lt;&gt;"Culvert"),"Not possible ▲",IF(AND(D236="Culvert",O236&lt;&gt;"N/A - Culvert"),"Not possible ▲",IF(VLOOKUP(O236,'G-7 WaterC'' Data'!$AD$4:$AE$14,2,FALSE)=0,"Spatial Data Missing ⚠",VLOOKUP(O236,'G-7 WaterC'' Data'!$AD$4:$AE$14,2,FALSE)))))</f>
        <v/>
      </c>
      <c r="Q236" s="282" t="str">
        <f>IF(D236="","",VLOOKUP(D236,'G-7 WaterC'' Data'!$B$4:$G$8,6,FALSE))</f>
        <v/>
      </c>
      <c r="R236" s="289" t="str">
        <f t="shared" si="37"/>
        <v xml:space="preserve"> </v>
      </c>
      <c r="S236" s="393"/>
      <c r="T236" s="281" t="str">
        <f>IF(S236="","",IF(VLOOKUP(S236,'G-7 WaterC'' Data'!$AO$4:$BO$7,2,FALSE)=0,"Spatial Data Missing ⚠",VLOOKUP(S236,'G-7 WaterC'' Data'!$AO$4:$BO$7,2,FALSE)))</f>
        <v/>
      </c>
      <c r="U236" s="289" t="str">
        <f t="shared" si="38"/>
        <v xml:space="preserve"> </v>
      </c>
      <c r="V236" s="694" t="str">
        <f t="shared" si="39"/>
        <v/>
      </c>
      <c r="W236" s="32"/>
      <c r="X236" s="101"/>
      <c r="Y236" s="108"/>
      <c r="Z236" s="287" t="str">
        <f t="shared" si="40"/>
        <v/>
      </c>
      <c r="AA236" s="287" t="str">
        <f t="shared" si="41"/>
        <v/>
      </c>
      <c r="AB236" s="287" t="str">
        <f t="shared" si="42"/>
        <v/>
      </c>
      <c r="AC236" s="491" t="str">
        <f>IFERROR(IF(OR(E236="",R236=""),"",IF(AND(AB236&lt;&gt;"",S236=""),"Spatial risk category missing ▲",IF(AND(Q236='G-7 WaterC'' Data'!$G$4,AD236="Yes"),"Alternative Compensation ✓",IF(AND(AD236="Pending",Q236='G-7 WaterC'' Data'!$G$4),"Bespoke compensation must be agreed ▲",IF((Z236+AA236)&gt;=U236,0,U236-Z236-AA236))))),"Check Data ⚠")</f>
        <v/>
      </c>
      <c r="AD236" s="393"/>
      <c r="AE236" s="105"/>
      <c r="AF236" s="104"/>
      <c r="AG236" s="104"/>
      <c r="AH236" s="104"/>
      <c r="AI236" s="54" t="str">
        <f>IF(OR(Q236="",AD236="Yes"),"",IF(Q236='G-1 All Habitats'!$X$9,E236-Y236-X236,"None"))</f>
        <v/>
      </c>
      <c r="AJ236" s="55" t="str">
        <f>IF(Q236="","",IF(Q236='G-1 All Habitats'!$X$9,AI236*G236*I236*L236*N236*P236,"None"))</f>
        <v/>
      </c>
      <c r="AK236" s="30" t="str">
        <f>IFERROR(INDEX('G-7 WaterC'' Data'!$AZ$3:$AZ$7,MATCH(D236,'G-7 WaterC'' Data'!$AY$3:$AY$7,0)),"")</f>
        <v/>
      </c>
      <c r="AL236" s="30">
        <f t="shared" si="43"/>
        <v>0</v>
      </c>
      <c r="AM236" s="107" t="str">
        <f t="shared" si="44"/>
        <v/>
      </c>
      <c r="AN236" s="107" t="str">
        <f t="shared" si="45"/>
        <v/>
      </c>
      <c r="AP236" s="107">
        <v>227</v>
      </c>
      <c r="AR236" s="107" t="str">
        <f t="array" ref="AR236">IFERROR(INDEX($AP$10:$AP$258,MATCH(0,IF(TRUE=$AM$10:$AM$258,COUNTIF($AR$9:$AR235,$AP$10:$AP$258),""),0)),"")</f>
        <v/>
      </c>
      <c r="AS236" s="107" t="str">
        <f t="array" ref="AS236">IFERROR(INDEX($AP$10:$AP$258,MATCH(0,IF(TRUE=$AN$10:$AN$258,COUNTIF($AS$9:$AS235,$AP$10:$AP$258),""),0)),"")</f>
        <v/>
      </c>
      <c r="AT236" s="885" t="str">
        <f>IF(AND(OR(AD236="Yes",AD236="Pending"),Q236='G-7 WaterC'' Data'!$G$4),U236-AA236-Z236,"0")</f>
        <v>0</v>
      </c>
      <c r="AU236" s="30" t="str">
        <f>IF(D236="","",VLOOKUP(D236,'G-7 WaterC'' Data'!B$4:M$8,12,FALSE))</f>
        <v/>
      </c>
      <c r="AV236" s="30" t="str">
        <f t="shared" si="36"/>
        <v/>
      </c>
      <c r="AW236" s="30" t="str">
        <f t="shared" si="46"/>
        <v>No</v>
      </c>
      <c r="BA236" s="555" t="str">
        <f t="shared" si="47"/>
        <v/>
      </c>
    </row>
    <row r="237" spans="3:53" ht="14.5" thickBot="1">
      <c r="C237" s="97">
        <v>228</v>
      </c>
      <c r="D237" s="263"/>
      <c r="E237" s="104"/>
      <c r="F237" s="275" t="str">
        <f>IF(D237="","",VLOOKUP(D237,'G-7 WaterC'' Data'!$B$2:$G$8,2,FALSE))</f>
        <v/>
      </c>
      <c r="G237" s="314" t="str">
        <f>IFERROR(VLOOKUP(F237,'G-7 WaterC'' Data'!$C$4:$D$8,2,FALSE),"")</f>
        <v/>
      </c>
      <c r="H237" s="105"/>
      <c r="I237" s="299" t="str">
        <f>IFERROR(INDEX('G-7 WaterC'' Data'!$H$4:$L$8,MATCH(D237,'G-7 WaterC'' Data'!$B$4:$B$8,0),MATCH(H237,'G-7 WaterC'' Data'!$H$3:$L$3,0)),"")</f>
        <v/>
      </c>
      <c r="J237" s="702"/>
      <c r="K237" s="295" t="str">
        <f>IF(J237="","",IF(VLOOKUP(J237,'G-7 WaterC'' Data'!$AK$4:$AM$9,2,FALSE)=0,"Spatial Data Missing ⚠",VLOOKUP(J237,'G-7 WaterC'' Data'!$AK$4:$AM$6,2,FALSE)))</f>
        <v/>
      </c>
      <c r="L237" s="299" t="str">
        <f>IF(J237="","",IF(VLOOKUP(J237,'G-7 WaterC'' Data'!$AK$4:$AM$9,3,FALSE)=0,"Spatial Data Missing ⚠",VLOOKUP(J237,'G-7 WaterC'' Data'!$AK$4:$AM$6,3,FALSE)))</f>
        <v/>
      </c>
      <c r="M237" s="102"/>
      <c r="N237" s="276" t="str">
        <f>IF(M237="","",IF(AND(M237="N/A - Culvert",D237&lt;&gt;"Culvert"),"Not possible ▲",IF(AND(D237="Culvert",M237&lt;&gt;"N/A - Culvert"),"Not possible ▲",IF(VLOOKUP(M237,'G-7 WaterC'' Data'!$AA$4:$AB$7,2,FALSE)=0,"Spatial Data Missing ⚠",VLOOKUP(M237,'G-7 WaterC'' Data'!$AA$4:$AB$7,2,FALSE)))))</f>
        <v/>
      </c>
      <c r="O237" s="56"/>
      <c r="P237" s="276" t="str">
        <f>IF(O237="","",IF(AND(O237="N/A - Culvert",D237&lt;&gt;"Culvert"),"Not possible ▲",IF(AND(D237="Culvert",O237&lt;&gt;"N/A - Culvert"),"Not possible ▲",IF(VLOOKUP(O237,'G-7 WaterC'' Data'!$AD$4:$AE$14,2,FALSE)=0,"Spatial Data Missing ⚠",VLOOKUP(O237,'G-7 WaterC'' Data'!$AD$4:$AE$14,2,FALSE)))))</f>
        <v/>
      </c>
      <c r="Q237" s="282" t="str">
        <f>IF(D237="","",VLOOKUP(D237,'G-7 WaterC'' Data'!$B$4:$G$8,6,FALSE))</f>
        <v/>
      </c>
      <c r="R237" s="289" t="str">
        <f t="shared" si="37"/>
        <v xml:space="preserve"> </v>
      </c>
      <c r="S237" s="393"/>
      <c r="T237" s="281" t="str">
        <f>IF(S237="","",IF(VLOOKUP(S237,'G-7 WaterC'' Data'!$AO$4:$BO$7,2,FALSE)=0,"Spatial Data Missing ⚠",VLOOKUP(S237,'G-7 WaterC'' Data'!$AO$4:$BO$7,2,FALSE)))</f>
        <v/>
      </c>
      <c r="U237" s="289" t="str">
        <f t="shared" si="38"/>
        <v xml:space="preserve"> </v>
      </c>
      <c r="V237" s="694" t="str">
        <f t="shared" si="39"/>
        <v/>
      </c>
      <c r="W237" s="32"/>
      <c r="X237" s="101"/>
      <c r="Y237" s="108"/>
      <c r="Z237" s="287" t="str">
        <f t="shared" si="40"/>
        <v/>
      </c>
      <c r="AA237" s="287" t="str">
        <f t="shared" si="41"/>
        <v/>
      </c>
      <c r="AB237" s="287" t="str">
        <f t="shared" si="42"/>
        <v/>
      </c>
      <c r="AC237" s="491" t="str">
        <f>IFERROR(IF(OR(E237="",R237=""),"",IF(AND(AB237&lt;&gt;"",S237=""),"Spatial risk category missing ▲",IF(AND(Q237='G-7 WaterC'' Data'!$G$4,AD237="Yes"),"Alternative Compensation ✓",IF(AND(AD237="Pending",Q237='G-7 WaterC'' Data'!$G$4),"Bespoke compensation must be agreed ▲",IF((Z237+AA237)&gt;=U237,0,U237-Z237-AA237))))),"Check Data ⚠")</f>
        <v/>
      </c>
      <c r="AD237" s="393"/>
      <c r="AE237" s="105"/>
      <c r="AF237" s="104"/>
      <c r="AG237" s="104"/>
      <c r="AH237" s="104"/>
      <c r="AI237" s="54" t="str">
        <f>IF(OR(Q237="",AD237="Yes"),"",IF(Q237='G-1 All Habitats'!$X$9,E237-Y237-X237,"None"))</f>
        <v/>
      </c>
      <c r="AJ237" s="55" t="str">
        <f>IF(Q237="","",IF(Q237='G-1 All Habitats'!$X$9,AI237*G237*I237*L237*N237*P237,"None"))</f>
        <v/>
      </c>
      <c r="AK237" s="30" t="str">
        <f>IFERROR(INDEX('G-7 WaterC'' Data'!$AZ$3:$AZ$7,MATCH(D237,'G-7 WaterC'' Data'!$AY$3:$AY$7,0)),"")</f>
        <v/>
      </c>
      <c r="AL237" s="30">
        <f t="shared" si="43"/>
        <v>0</v>
      </c>
      <c r="AM237" s="107" t="str">
        <f t="shared" si="44"/>
        <v/>
      </c>
      <c r="AN237" s="107" t="str">
        <f t="shared" si="45"/>
        <v/>
      </c>
      <c r="AP237" s="107">
        <v>228</v>
      </c>
      <c r="AR237" s="107" t="str">
        <f t="array" ref="AR237">IFERROR(INDEX($AP$10:$AP$258,MATCH(0,IF(TRUE=$AM$10:$AM$258,COUNTIF($AR$9:$AR236,$AP$10:$AP$258),""),0)),"")</f>
        <v/>
      </c>
      <c r="AS237" s="107" t="str">
        <f t="array" ref="AS237">IFERROR(INDEX($AP$10:$AP$258,MATCH(0,IF(TRUE=$AN$10:$AN$258,COUNTIF($AS$9:$AS236,$AP$10:$AP$258),""),0)),"")</f>
        <v/>
      </c>
      <c r="AT237" s="885" t="str">
        <f>IF(AND(OR(AD237="Yes",AD237="Pending"),Q237='G-7 WaterC'' Data'!$G$4),U237-AA237-Z237,"0")</f>
        <v>0</v>
      </c>
      <c r="AU237" s="30" t="str">
        <f>IF(D237="","",VLOOKUP(D237,'G-7 WaterC'' Data'!B$4:M$8,12,FALSE))</f>
        <v/>
      </c>
      <c r="AV237" s="30" t="str">
        <f t="shared" si="36"/>
        <v/>
      </c>
      <c r="AW237" s="30" t="str">
        <f t="shared" si="46"/>
        <v>No</v>
      </c>
      <c r="BA237" s="555" t="str">
        <f t="shared" si="47"/>
        <v/>
      </c>
    </row>
    <row r="238" spans="3:53" ht="14.5" thickBot="1">
      <c r="C238" s="97">
        <v>229</v>
      </c>
      <c r="D238" s="263"/>
      <c r="E238" s="104"/>
      <c r="F238" s="275" t="str">
        <f>IF(D238="","",VLOOKUP(D238,'G-7 WaterC'' Data'!$B$2:$G$8,2,FALSE))</f>
        <v/>
      </c>
      <c r="G238" s="314" t="str">
        <f>IFERROR(VLOOKUP(F238,'G-7 WaterC'' Data'!$C$4:$D$8,2,FALSE),"")</f>
        <v/>
      </c>
      <c r="H238" s="105"/>
      <c r="I238" s="299" t="str">
        <f>IFERROR(INDEX('G-7 WaterC'' Data'!$H$4:$L$8,MATCH(D238,'G-7 WaterC'' Data'!$B$4:$B$8,0),MATCH(H238,'G-7 WaterC'' Data'!$H$3:$L$3,0)),"")</f>
        <v/>
      </c>
      <c r="J238" s="702"/>
      <c r="K238" s="295" t="str">
        <f>IF(J238="","",IF(VLOOKUP(J238,'G-7 WaterC'' Data'!$AK$4:$AM$9,2,FALSE)=0,"Spatial Data Missing ⚠",VLOOKUP(J238,'G-7 WaterC'' Data'!$AK$4:$AM$6,2,FALSE)))</f>
        <v/>
      </c>
      <c r="L238" s="299" t="str">
        <f>IF(J238="","",IF(VLOOKUP(J238,'G-7 WaterC'' Data'!$AK$4:$AM$9,3,FALSE)=0,"Spatial Data Missing ⚠",VLOOKUP(J238,'G-7 WaterC'' Data'!$AK$4:$AM$6,3,FALSE)))</f>
        <v/>
      </c>
      <c r="M238" s="102"/>
      <c r="N238" s="276" t="str">
        <f>IF(M238="","",IF(AND(M238="N/A - Culvert",D238&lt;&gt;"Culvert"),"Not possible ▲",IF(AND(D238="Culvert",M238&lt;&gt;"N/A - Culvert"),"Not possible ▲",IF(VLOOKUP(M238,'G-7 WaterC'' Data'!$AA$4:$AB$7,2,FALSE)=0,"Spatial Data Missing ⚠",VLOOKUP(M238,'G-7 WaterC'' Data'!$AA$4:$AB$7,2,FALSE)))))</f>
        <v/>
      </c>
      <c r="O238" s="56"/>
      <c r="P238" s="276" t="str">
        <f>IF(O238="","",IF(AND(O238="N/A - Culvert",D238&lt;&gt;"Culvert"),"Not possible ▲",IF(AND(D238="Culvert",O238&lt;&gt;"N/A - Culvert"),"Not possible ▲",IF(VLOOKUP(O238,'G-7 WaterC'' Data'!$AD$4:$AE$14,2,FALSE)=0,"Spatial Data Missing ⚠",VLOOKUP(O238,'G-7 WaterC'' Data'!$AD$4:$AE$14,2,FALSE)))))</f>
        <v/>
      </c>
      <c r="Q238" s="282" t="str">
        <f>IF(D238="","",VLOOKUP(D238,'G-7 WaterC'' Data'!$B$4:$G$8,6,FALSE))</f>
        <v/>
      </c>
      <c r="R238" s="289" t="str">
        <f t="shared" si="37"/>
        <v xml:space="preserve"> </v>
      </c>
      <c r="S238" s="393"/>
      <c r="T238" s="281" t="str">
        <f>IF(S238="","",IF(VLOOKUP(S238,'G-7 WaterC'' Data'!$AO$4:$BO$7,2,FALSE)=0,"Spatial Data Missing ⚠",VLOOKUP(S238,'G-7 WaterC'' Data'!$AO$4:$BO$7,2,FALSE)))</f>
        <v/>
      </c>
      <c r="U238" s="289" t="str">
        <f t="shared" si="38"/>
        <v xml:space="preserve"> </v>
      </c>
      <c r="V238" s="694" t="str">
        <f t="shared" si="39"/>
        <v/>
      </c>
      <c r="W238" s="32"/>
      <c r="X238" s="101"/>
      <c r="Y238" s="108"/>
      <c r="Z238" s="287" t="str">
        <f t="shared" si="40"/>
        <v/>
      </c>
      <c r="AA238" s="287" t="str">
        <f t="shared" si="41"/>
        <v/>
      </c>
      <c r="AB238" s="287" t="str">
        <f t="shared" si="42"/>
        <v/>
      </c>
      <c r="AC238" s="491" t="str">
        <f>IFERROR(IF(OR(E238="",R238=""),"",IF(AND(AB238&lt;&gt;"",S238=""),"Spatial risk category missing ▲",IF(AND(Q238='G-7 WaterC'' Data'!$G$4,AD238="Yes"),"Alternative Compensation ✓",IF(AND(AD238="Pending",Q238='G-7 WaterC'' Data'!$G$4),"Bespoke compensation must be agreed ▲",IF((Z238+AA238)&gt;=U238,0,U238-Z238-AA238))))),"Check Data ⚠")</f>
        <v/>
      </c>
      <c r="AD238" s="393"/>
      <c r="AE238" s="105"/>
      <c r="AF238" s="104"/>
      <c r="AG238" s="104"/>
      <c r="AH238" s="104"/>
      <c r="AI238" s="54" t="str">
        <f>IF(OR(Q238="",AD238="Yes"),"",IF(Q238='G-1 All Habitats'!$X$9,E238-Y238-X238,"None"))</f>
        <v/>
      </c>
      <c r="AJ238" s="55" t="str">
        <f>IF(Q238="","",IF(Q238='G-1 All Habitats'!$X$9,AI238*G238*I238*L238*N238*P238,"None"))</f>
        <v/>
      </c>
      <c r="AK238" s="30" t="str">
        <f>IFERROR(INDEX('G-7 WaterC'' Data'!$AZ$3:$AZ$7,MATCH(D238,'G-7 WaterC'' Data'!$AY$3:$AY$7,0)),"")</f>
        <v/>
      </c>
      <c r="AL238" s="30">
        <f t="shared" si="43"/>
        <v>0</v>
      </c>
      <c r="AM238" s="107" t="str">
        <f t="shared" si="44"/>
        <v/>
      </c>
      <c r="AN238" s="107" t="str">
        <f t="shared" si="45"/>
        <v/>
      </c>
      <c r="AP238" s="107">
        <v>229</v>
      </c>
      <c r="AR238" s="107" t="str">
        <f t="array" ref="AR238">IFERROR(INDEX($AP$10:$AP$258,MATCH(0,IF(TRUE=$AM$10:$AM$258,COUNTIF($AR$9:$AR237,$AP$10:$AP$258),""),0)),"")</f>
        <v/>
      </c>
      <c r="AS238" s="107" t="str">
        <f t="array" ref="AS238">IFERROR(INDEX($AP$10:$AP$258,MATCH(0,IF(TRUE=$AN$10:$AN$258,COUNTIF($AS$9:$AS237,$AP$10:$AP$258),""),0)),"")</f>
        <v/>
      </c>
      <c r="AT238" s="885" t="str">
        <f>IF(AND(OR(AD238="Yes",AD238="Pending"),Q238='G-7 WaterC'' Data'!$G$4),U238-AA238-Z238,"0")</f>
        <v>0</v>
      </c>
      <c r="AU238" s="30" t="str">
        <f>IF(D238="","",VLOOKUP(D238,'G-7 WaterC'' Data'!B$4:M$8,12,FALSE))</f>
        <v/>
      </c>
      <c r="AV238" s="30" t="str">
        <f t="shared" si="36"/>
        <v/>
      </c>
      <c r="AW238" s="30" t="str">
        <f t="shared" si="46"/>
        <v>No</v>
      </c>
      <c r="BA238" s="555" t="str">
        <f t="shared" si="47"/>
        <v/>
      </c>
    </row>
    <row r="239" spans="3:53" ht="14.5" thickBot="1">
      <c r="C239" s="97">
        <v>230</v>
      </c>
      <c r="D239" s="263"/>
      <c r="E239" s="104"/>
      <c r="F239" s="275" t="str">
        <f>IF(D239="","",VLOOKUP(D239,'G-7 WaterC'' Data'!$B$2:$G$8,2,FALSE))</f>
        <v/>
      </c>
      <c r="G239" s="314" t="str">
        <f>IFERROR(VLOOKUP(F239,'G-7 WaterC'' Data'!$C$4:$D$8,2,FALSE),"")</f>
        <v/>
      </c>
      <c r="H239" s="105"/>
      <c r="I239" s="299" t="str">
        <f>IFERROR(INDEX('G-7 WaterC'' Data'!$H$4:$L$8,MATCH(D239,'G-7 WaterC'' Data'!$B$4:$B$8,0),MATCH(H239,'G-7 WaterC'' Data'!$H$3:$L$3,0)),"")</f>
        <v/>
      </c>
      <c r="J239" s="702"/>
      <c r="K239" s="295" t="str">
        <f>IF(J239="","",IF(VLOOKUP(J239,'G-7 WaterC'' Data'!$AK$4:$AM$9,2,FALSE)=0,"Spatial Data Missing ⚠",VLOOKUP(J239,'G-7 WaterC'' Data'!$AK$4:$AM$6,2,FALSE)))</f>
        <v/>
      </c>
      <c r="L239" s="299" t="str">
        <f>IF(J239="","",IF(VLOOKUP(J239,'G-7 WaterC'' Data'!$AK$4:$AM$9,3,FALSE)=0,"Spatial Data Missing ⚠",VLOOKUP(J239,'G-7 WaterC'' Data'!$AK$4:$AM$6,3,FALSE)))</f>
        <v/>
      </c>
      <c r="M239" s="102"/>
      <c r="N239" s="276" t="str">
        <f>IF(M239="","",IF(AND(M239="N/A - Culvert",D239&lt;&gt;"Culvert"),"Not possible ▲",IF(AND(D239="Culvert",M239&lt;&gt;"N/A - Culvert"),"Not possible ▲",IF(VLOOKUP(M239,'G-7 WaterC'' Data'!$AA$4:$AB$7,2,FALSE)=0,"Spatial Data Missing ⚠",VLOOKUP(M239,'G-7 WaterC'' Data'!$AA$4:$AB$7,2,FALSE)))))</f>
        <v/>
      </c>
      <c r="O239" s="56"/>
      <c r="P239" s="276" t="str">
        <f>IF(O239="","",IF(AND(O239="N/A - Culvert",D239&lt;&gt;"Culvert"),"Not possible ▲",IF(AND(D239="Culvert",O239&lt;&gt;"N/A - Culvert"),"Not possible ▲",IF(VLOOKUP(O239,'G-7 WaterC'' Data'!$AD$4:$AE$14,2,FALSE)=0,"Spatial Data Missing ⚠",VLOOKUP(O239,'G-7 WaterC'' Data'!$AD$4:$AE$14,2,FALSE)))))</f>
        <v/>
      </c>
      <c r="Q239" s="282" t="str">
        <f>IF(D239="","",VLOOKUP(D239,'G-7 WaterC'' Data'!$B$4:$G$8,6,FALSE))</f>
        <v/>
      </c>
      <c r="R239" s="289" t="str">
        <f t="shared" si="37"/>
        <v xml:space="preserve"> </v>
      </c>
      <c r="S239" s="393"/>
      <c r="T239" s="281" t="str">
        <f>IF(S239="","",IF(VLOOKUP(S239,'G-7 WaterC'' Data'!$AO$4:$BO$7,2,FALSE)=0,"Spatial Data Missing ⚠",VLOOKUP(S239,'G-7 WaterC'' Data'!$AO$4:$BO$7,2,FALSE)))</f>
        <v/>
      </c>
      <c r="U239" s="289" t="str">
        <f t="shared" si="38"/>
        <v xml:space="preserve"> </v>
      </c>
      <c r="V239" s="694" t="str">
        <f t="shared" si="39"/>
        <v/>
      </c>
      <c r="W239" s="32"/>
      <c r="X239" s="101"/>
      <c r="Y239" s="108"/>
      <c r="Z239" s="287" t="str">
        <f t="shared" si="40"/>
        <v/>
      </c>
      <c r="AA239" s="287" t="str">
        <f t="shared" si="41"/>
        <v/>
      </c>
      <c r="AB239" s="287" t="str">
        <f t="shared" si="42"/>
        <v/>
      </c>
      <c r="AC239" s="491" t="str">
        <f>IFERROR(IF(OR(E239="",R239=""),"",IF(AND(AB239&lt;&gt;"",S239=""),"Spatial risk category missing ▲",IF(AND(Q239='G-7 WaterC'' Data'!$G$4,AD239="Yes"),"Alternative Compensation ✓",IF(AND(AD239="Pending",Q239='G-7 WaterC'' Data'!$G$4),"Bespoke compensation must be agreed ▲",IF((Z239+AA239)&gt;=U239,0,U239-Z239-AA239))))),"Check Data ⚠")</f>
        <v/>
      </c>
      <c r="AD239" s="393"/>
      <c r="AE239" s="105"/>
      <c r="AF239" s="104"/>
      <c r="AG239" s="104"/>
      <c r="AH239" s="104"/>
      <c r="AI239" s="54" t="str">
        <f>IF(OR(Q239="",AD239="Yes"),"",IF(Q239='G-1 All Habitats'!$X$9,E239-Y239-X239,"None"))</f>
        <v/>
      </c>
      <c r="AJ239" s="55" t="str">
        <f>IF(Q239="","",IF(Q239='G-1 All Habitats'!$X$9,AI239*G239*I239*L239*N239*P239,"None"))</f>
        <v/>
      </c>
      <c r="AK239" s="30" t="str">
        <f>IFERROR(INDEX('G-7 WaterC'' Data'!$AZ$3:$AZ$7,MATCH(D239,'G-7 WaterC'' Data'!$AY$3:$AY$7,0)),"")</f>
        <v/>
      </c>
      <c r="AL239" s="30">
        <f t="shared" si="43"/>
        <v>0</v>
      </c>
      <c r="AM239" s="107" t="str">
        <f t="shared" si="44"/>
        <v/>
      </c>
      <c r="AN239" s="107" t="str">
        <f t="shared" si="45"/>
        <v/>
      </c>
      <c r="AP239" s="107">
        <v>230</v>
      </c>
      <c r="AR239" s="107" t="str">
        <f t="array" ref="AR239">IFERROR(INDEX($AP$10:$AP$258,MATCH(0,IF(TRUE=$AM$10:$AM$258,COUNTIF($AR$9:$AR238,$AP$10:$AP$258),""),0)),"")</f>
        <v/>
      </c>
      <c r="AS239" s="107" t="str">
        <f t="array" ref="AS239">IFERROR(INDEX($AP$10:$AP$258,MATCH(0,IF(TRUE=$AN$10:$AN$258,COUNTIF($AS$9:$AS238,$AP$10:$AP$258),""),0)),"")</f>
        <v/>
      </c>
      <c r="AT239" s="885" t="str">
        <f>IF(AND(OR(AD239="Yes",AD239="Pending"),Q239='G-7 WaterC'' Data'!$G$4),U239-AA239-Z239,"0")</f>
        <v>0</v>
      </c>
      <c r="AU239" s="30" t="str">
        <f>IF(D239="","",VLOOKUP(D239,'G-7 WaterC'' Data'!B$4:M$8,12,FALSE))</f>
        <v/>
      </c>
      <c r="AV239" s="30" t="str">
        <f t="shared" si="36"/>
        <v/>
      </c>
      <c r="AW239" s="30" t="str">
        <f t="shared" si="46"/>
        <v>No</v>
      </c>
      <c r="BA239" s="555" t="str">
        <f t="shared" si="47"/>
        <v/>
      </c>
    </row>
    <row r="240" spans="3:53" ht="14.5" thickBot="1">
      <c r="C240" s="97">
        <v>231</v>
      </c>
      <c r="D240" s="263"/>
      <c r="E240" s="104"/>
      <c r="F240" s="275" t="str">
        <f>IF(D240="","",VLOOKUP(D240,'G-7 WaterC'' Data'!$B$2:$G$8,2,FALSE))</f>
        <v/>
      </c>
      <c r="G240" s="314" t="str">
        <f>IFERROR(VLOOKUP(F240,'G-7 WaterC'' Data'!$C$4:$D$8,2,FALSE),"")</f>
        <v/>
      </c>
      <c r="H240" s="105"/>
      <c r="I240" s="299" t="str">
        <f>IFERROR(INDEX('G-7 WaterC'' Data'!$H$4:$L$8,MATCH(D240,'G-7 WaterC'' Data'!$B$4:$B$8,0),MATCH(H240,'G-7 WaterC'' Data'!$H$3:$L$3,0)),"")</f>
        <v/>
      </c>
      <c r="J240" s="702"/>
      <c r="K240" s="295" t="str">
        <f>IF(J240="","",IF(VLOOKUP(J240,'G-7 WaterC'' Data'!$AK$4:$AM$9,2,FALSE)=0,"Spatial Data Missing ⚠",VLOOKUP(J240,'G-7 WaterC'' Data'!$AK$4:$AM$6,2,FALSE)))</f>
        <v/>
      </c>
      <c r="L240" s="299" t="str">
        <f>IF(J240="","",IF(VLOOKUP(J240,'G-7 WaterC'' Data'!$AK$4:$AM$9,3,FALSE)=0,"Spatial Data Missing ⚠",VLOOKUP(J240,'G-7 WaterC'' Data'!$AK$4:$AM$6,3,FALSE)))</f>
        <v/>
      </c>
      <c r="M240" s="102"/>
      <c r="N240" s="276" t="str">
        <f>IF(M240="","",IF(AND(M240="N/A - Culvert",D240&lt;&gt;"Culvert"),"Not possible ▲",IF(AND(D240="Culvert",M240&lt;&gt;"N/A - Culvert"),"Not possible ▲",IF(VLOOKUP(M240,'G-7 WaterC'' Data'!$AA$4:$AB$7,2,FALSE)=0,"Spatial Data Missing ⚠",VLOOKUP(M240,'G-7 WaterC'' Data'!$AA$4:$AB$7,2,FALSE)))))</f>
        <v/>
      </c>
      <c r="O240" s="56"/>
      <c r="P240" s="276" t="str">
        <f>IF(O240="","",IF(AND(O240="N/A - Culvert",D240&lt;&gt;"Culvert"),"Not possible ▲",IF(AND(D240="Culvert",O240&lt;&gt;"N/A - Culvert"),"Not possible ▲",IF(VLOOKUP(O240,'G-7 WaterC'' Data'!$AD$4:$AE$14,2,FALSE)=0,"Spatial Data Missing ⚠",VLOOKUP(O240,'G-7 WaterC'' Data'!$AD$4:$AE$14,2,FALSE)))))</f>
        <v/>
      </c>
      <c r="Q240" s="282" t="str">
        <f>IF(D240="","",VLOOKUP(D240,'G-7 WaterC'' Data'!$B$4:$G$8,6,FALSE))</f>
        <v/>
      </c>
      <c r="R240" s="289" t="str">
        <f t="shared" si="37"/>
        <v xml:space="preserve"> </v>
      </c>
      <c r="S240" s="393"/>
      <c r="T240" s="281" t="str">
        <f>IF(S240="","",IF(VLOOKUP(S240,'G-7 WaterC'' Data'!$AO$4:$BO$7,2,FALSE)=0,"Spatial Data Missing ⚠",VLOOKUP(S240,'G-7 WaterC'' Data'!$AO$4:$BO$7,2,FALSE)))</f>
        <v/>
      </c>
      <c r="U240" s="289" t="str">
        <f t="shared" si="38"/>
        <v xml:space="preserve"> </v>
      </c>
      <c r="V240" s="694" t="str">
        <f t="shared" si="39"/>
        <v/>
      </c>
      <c r="W240" s="32"/>
      <c r="X240" s="101"/>
      <c r="Y240" s="108"/>
      <c r="Z240" s="287" t="str">
        <f t="shared" si="40"/>
        <v/>
      </c>
      <c r="AA240" s="287" t="str">
        <f t="shared" si="41"/>
        <v/>
      </c>
      <c r="AB240" s="287" t="str">
        <f t="shared" si="42"/>
        <v/>
      </c>
      <c r="AC240" s="491" t="str">
        <f>IFERROR(IF(OR(E240="",R240=""),"",IF(AND(AB240&lt;&gt;"",S240=""),"Spatial risk category missing ▲",IF(AND(Q240='G-7 WaterC'' Data'!$G$4,AD240="Yes"),"Alternative Compensation ✓",IF(AND(AD240="Pending",Q240='G-7 WaterC'' Data'!$G$4),"Bespoke compensation must be agreed ▲",IF((Z240+AA240)&gt;=U240,0,U240-Z240-AA240))))),"Check Data ⚠")</f>
        <v/>
      </c>
      <c r="AD240" s="393"/>
      <c r="AE240" s="105"/>
      <c r="AF240" s="104"/>
      <c r="AG240" s="104"/>
      <c r="AH240" s="104"/>
      <c r="AI240" s="54" t="str">
        <f>IF(OR(Q240="",AD240="Yes"),"",IF(Q240='G-1 All Habitats'!$X$9,E240-Y240-X240,"None"))</f>
        <v/>
      </c>
      <c r="AJ240" s="55" t="str">
        <f>IF(Q240="","",IF(Q240='G-1 All Habitats'!$X$9,AI240*G240*I240*L240*N240*P240,"None"))</f>
        <v/>
      </c>
      <c r="AK240" s="30" t="str">
        <f>IFERROR(INDEX('G-7 WaterC'' Data'!$AZ$3:$AZ$7,MATCH(D240,'G-7 WaterC'' Data'!$AY$3:$AY$7,0)),"")</f>
        <v/>
      </c>
      <c r="AL240" s="30">
        <f t="shared" si="43"/>
        <v>0</v>
      </c>
      <c r="AM240" s="107" t="str">
        <f t="shared" si="44"/>
        <v/>
      </c>
      <c r="AN240" s="107" t="str">
        <f t="shared" si="45"/>
        <v/>
      </c>
      <c r="AP240" s="107">
        <v>231</v>
      </c>
      <c r="AR240" s="107" t="str">
        <f t="array" ref="AR240">IFERROR(INDEX($AP$10:$AP$258,MATCH(0,IF(TRUE=$AM$10:$AM$258,COUNTIF($AR$9:$AR239,$AP$10:$AP$258),""),0)),"")</f>
        <v/>
      </c>
      <c r="AS240" s="107" t="str">
        <f t="array" ref="AS240">IFERROR(INDEX($AP$10:$AP$258,MATCH(0,IF(TRUE=$AN$10:$AN$258,COUNTIF($AS$9:$AS239,$AP$10:$AP$258),""),0)),"")</f>
        <v/>
      </c>
      <c r="AT240" s="885" t="str">
        <f>IF(AND(OR(AD240="Yes",AD240="Pending"),Q240='G-7 WaterC'' Data'!$G$4),U240-AA240-Z240,"0")</f>
        <v>0</v>
      </c>
      <c r="AU240" s="30" t="str">
        <f>IF(D240="","",VLOOKUP(D240,'G-7 WaterC'' Data'!B$4:M$8,12,FALSE))</f>
        <v/>
      </c>
      <c r="AV240" s="30" t="str">
        <f t="shared" si="36"/>
        <v/>
      </c>
      <c r="AW240" s="30" t="str">
        <f t="shared" si="46"/>
        <v>No</v>
      </c>
      <c r="BA240" s="555" t="str">
        <f t="shared" si="47"/>
        <v/>
      </c>
    </row>
    <row r="241" spans="3:53" ht="14.5" thickBot="1">
      <c r="C241" s="97">
        <v>232</v>
      </c>
      <c r="D241" s="263"/>
      <c r="E241" s="104"/>
      <c r="F241" s="275" t="str">
        <f>IF(D241="","",VLOOKUP(D241,'G-7 WaterC'' Data'!$B$2:$G$8,2,FALSE))</f>
        <v/>
      </c>
      <c r="G241" s="314" t="str">
        <f>IFERROR(VLOOKUP(F241,'G-7 WaterC'' Data'!$C$4:$D$8,2,FALSE),"")</f>
        <v/>
      </c>
      <c r="H241" s="105"/>
      <c r="I241" s="299" t="str">
        <f>IFERROR(INDEX('G-7 WaterC'' Data'!$H$4:$L$8,MATCH(D241,'G-7 WaterC'' Data'!$B$4:$B$8,0),MATCH(H241,'G-7 WaterC'' Data'!$H$3:$L$3,0)),"")</f>
        <v/>
      </c>
      <c r="J241" s="702"/>
      <c r="K241" s="295" t="str">
        <f>IF(J241="","",IF(VLOOKUP(J241,'G-7 WaterC'' Data'!$AK$4:$AM$9,2,FALSE)=0,"Spatial Data Missing ⚠",VLOOKUP(J241,'G-7 WaterC'' Data'!$AK$4:$AM$6,2,FALSE)))</f>
        <v/>
      </c>
      <c r="L241" s="299" t="str">
        <f>IF(J241="","",IF(VLOOKUP(J241,'G-7 WaterC'' Data'!$AK$4:$AM$9,3,FALSE)=0,"Spatial Data Missing ⚠",VLOOKUP(J241,'G-7 WaterC'' Data'!$AK$4:$AM$6,3,FALSE)))</f>
        <v/>
      </c>
      <c r="M241" s="102"/>
      <c r="N241" s="276" t="str">
        <f>IF(M241="","",IF(AND(M241="N/A - Culvert",D241&lt;&gt;"Culvert"),"Not possible ▲",IF(AND(D241="Culvert",M241&lt;&gt;"N/A - Culvert"),"Not possible ▲",IF(VLOOKUP(M241,'G-7 WaterC'' Data'!$AA$4:$AB$7,2,FALSE)=0,"Spatial Data Missing ⚠",VLOOKUP(M241,'G-7 WaterC'' Data'!$AA$4:$AB$7,2,FALSE)))))</f>
        <v/>
      </c>
      <c r="O241" s="56"/>
      <c r="P241" s="276" t="str">
        <f>IF(O241="","",IF(AND(O241="N/A - Culvert",D241&lt;&gt;"Culvert"),"Not possible ▲",IF(AND(D241="Culvert",O241&lt;&gt;"N/A - Culvert"),"Not possible ▲",IF(VLOOKUP(O241,'G-7 WaterC'' Data'!$AD$4:$AE$14,2,FALSE)=0,"Spatial Data Missing ⚠",VLOOKUP(O241,'G-7 WaterC'' Data'!$AD$4:$AE$14,2,FALSE)))))</f>
        <v/>
      </c>
      <c r="Q241" s="282" t="str">
        <f>IF(D241="","",VLOOKUP(D241,'G-7 WaterC'' Data'!$B$4:$G$8,6,FALSE))</f>
        <v/>
      </c>
      <c r="R241" s="289" t="str">
        <f t="shared" si="37"/>
        <v xml:space="preserve"> </v>
      </c>
      <c r="S241" s="393"/>
      <c r="T241" s="281" t="str">
        <f>IF(S241="","",IF(VLOOKUP(S241,'G-7 WaterC'' Data'!$AO$4:$BO$7,2,FALSE)=0,"Spatial Data Missing ⚠",VLOOKUP(S241,'G-7 WaterC'' Data'!$AO$4:$BO$7,2,FALSE)))</f>
        <v/>
      </c>
      <c r="U241" s="289" t="str">
        <f t="shared" si="38"/>
        <v xml:space="preserve"> </v>
      </c>
      <c r="V241" s="694" t="str">
        <f t="shared" si="39"/>
        <v/>
      </c>
      <c r="W241" s="32"/>
      <c r="X241" s="101"/>
      <c r="Y241" s="108"/>
      <c r="Z241" s="287" t="str">
        <f t="shared" si="40"/>
        <v/>
      </c>
      <c r="AA241" s="287" t="str">
        <f t="shared" si="41"/>
        <v/>
      </c>
      <c r="AB241" s="287" t="str">
        <f t="shared" si="42"/>
        <v/>
      </c>
      <c r="AC241" s="491" t="str">
        <f>IFERROR(IF(OR(E241="",R241=""),"",IF(AND(AB241&lt;&gt;"",S241=""),"Spatial risk category missing ▲",IF(AND(Q241='G-7 WaterC'' Data'!$G$4,AD241="Yes"),"Alternative Compensation ✓",IF(AND(AD241="Pending",Q241='G-7 WaterC'' Data'!$G$4),"Bespoke compensation must be agreed ▲",IF((Z241+AA241)&gt;=U241,0,U241-Z241-AA241))))),"Check Data ⚠")</f>
        <v/>
      </c>
      <c r="AD241" s="393"/>
      <c r="AE241" s="105"/>
      <c r="AF241" s="104"/>
      <c r="AG241" s="104"/>
      <c r="AH241" s="104"/>
      <c r="AI241" s="54" t="str">
        <f>IF(OR(Q241="",AD241="Yes"),"",IF(Q241='G-1 All Habitats'!$X$9,E241-Y241-X241,"None"))</f>
        <v/>
      </c>
      <c r="AJ241" s="55" t="str">
        <f>IF(Q241="","",IF(Q241='G-1 All Habitats'!$X$9,AI241*G241*I241*L241*N241*P241,"None"))</f>
        <v/>
      </c>
      <c r="AK241" s="30" t="str">
        <f>IFERROR(INDEX('G-7 WaterC'' Data'!$AZ$3:$AZ$7,MATCH(D241,'G-7 WaterC'' Data'!$AY$3:$AY$7,0)),"")</f>
        <v/>
      </c>
      <c r="AL241" s="30">
        <f t="shared" si="43"/>
        <v>0</v>
      </c>
      <c r="AM241" s="107" t="str">
        <f t="shared" si="44"/>
        <v/>
      </c>
      <c r="AN241" s="107" t="str">
        <f t="shared" si="45"/>
        <v/>
      </c>
      <c r="AP241" s="107">
        <v>232</v>
      </c>
      <c r="AR241" s="107" t="str">
        <f t="array" ref="AR241">IFERROR(INDEX($AP$10:$AP$258,MATCH(0,IF(TRUE=$AM$10:$AM$258,COUNTIF($AR$9:$AR240,$AP$10:$AP$258),""),0)),"")</f>
        <v/>
      </c>
      <c r="AS241" s="107" t="str">
        <f t="array" ref="AS241">IFERROR(INDEX($AP$10:$AP$258,MATCH(0,IF(TRUE=$AN$10:$AN$258,COUNTIF($AS$9:$AS240,$AP$10:$AP$258),""),0)),"")</f>
        <v/>
      </c>
      <c r="AT241" s="885" t="str">
        <f>IF(AND(OR(AD241="Yes",AD241="Pending"),Q241='G-7 WaterC'' Data'!$G$4),U241-AA241-Z241,"0")</f>
        <v>0</v>
      </c>
      <c r="AU241" s="30" t="str">
        <f>IF(D241="","",VLOOKUP(D241,'G-7 WaterC'' Data'!B$4:M$8,12,FALSE))</f>
        <v/>
      </c>
      <c r="AV241" s="30" t="str">
        <f t="shared" si="36"/>
        <v/>
      </c>
      <c r="AW241" s="30" t="str">
        <f t="shared" si="46"/>
        <v>No</v>
      </c>
      <c r="BA241" s="555" t="str">
        <f t="shared" si="47"/>
        <v/>
      </c>
    </row>
    <row r="242" spans="3:53" ht="14.5" thickBot="1">
      <c r="C242" s="97">
        <v>233</v>
      </c>
      <c r="D242" s="263"/>
      <c r="E242" s="104"/>
      <c r="F242" s="275" t="str">
        <f>IF(D242="","",VLOOKUP(D242,'G-7 WaterC'' Data'!$B$2:$G$8,2,FALSE))</f>
        <v/>
      </c>
      <c r="G242" s="314" t="str">
        <f>IFERROR(VLOOKUP(F242,'G-7 WaterC'' Data'!$C$4:$D$8,2,FALSE),"")</f>
        <v/>
      </c>
      <c r="H242" s="105"/>
      <c r="I242" s="299" t="str">
        <f>IFERROR(INDEX('G-7 WaterC'' Data'!$H$4:$L$8,MATCH(D242,'G-7 WaterC'' Data'!$B$4:$B$8,0),MATCH(H242,'G-7 WaterC'' Data'!$H$3:$L$3,0)),"")</f>
        <v/>
      </c>
      <c r="J242" s="702"/>
      <c r="K242" s="295" t="str">
        <f>IF(J242="","",IF(VLOOKUP(J242,'G-7 WaterC'' Data'!$AK$4:$AM$9,2,FALSE)=0,"Spatial Data Missing ⚠",VLOOKUP(J242,'G-7 WaterC'' Data'!$AK$4:$AM$6,2,FALSE)))</f>
        <v/>
      </c>
      <c r="L242" s="299" t="str">
        <f>IF(J242="","",IF(VLOOKUP(J242,'G-7 WaterC'' Data'!$AK$4:$AM$9,3,FALSE)=0,"Spatial Data Missing ⚠",VLOOKUP(J242,'G-7 WaterC'' Data'!$AK$4:$AM$6,3,FALSE)))</f>
        <v/>
      </c>
      <c r="M242" s="102"/>
      <c r="N242" s="276" t="str">
        <f>IF(M242="","",IF(AND(M242="N/A - Culvert",D242&lt;&gt;"Culvert"),"Not possible ▲",IF(AND(D242="Culvert",M242&lt;&gt;"N/A - Culvert"),"Not possible ▲",IF(VLOOKUP(M242,'G-7 WaterC'' Data'!$AA$4:$AB$7,2,FALSE)=0,"Spatial Data Missing ⚠",VLOOKUP(M242,'G-7 WaterC'' Data'!$AA$4:$AB$7,2,FALSE)))))</f>
        <v/>
      </c>
      <c r="O242" s="56"/>
      <c r="P242" s="276" t="str">
        <f>IF(O242="","",IF(AND(O242="N/A - Culvert",D242&lt;&gt;"Culvert"),"Not possible ▲",IF(AND(D242="Culvert",O242&lt;&gt;"N/A - Culvert"),"Not possible ▲",IF(VLOOKUP(O242,'G-7 WaterC'' Data'!$AD$4:$AE$14,2,FALSE)=0,"Spatial Data Missing ⚠",VLOOKUP(O242,'G-7 WaterC'' Data'!$AD$4:$AE$14,2,FALSE)))))</f>
        <v/>
      </c>
      <c r="Q242" s="282" t="str">
        <f>IF(D242="","",VLOOKUP(D242,'G-7 WaterC'' Data'!$B$4:$G$8,6,FALSE))</f>
        <v/>
      </c>
      <c r="R242" s="289" t="str">
        <f t="shared" si="37"/>
        <v xml:space="preserve"> </v>
      </c>
      <c r="S242" s="393"/>
      <c r="T242" s="281" t="str">
        <f>IF(S242="","",IF(VLOOKUP(S242,'G-7 WaterC'' Data'!$AO$4:$BO$7,2,FALSE)=0,"Spatial Data Missing ⚠",VLOOKUP(S242,'G-7 WaterC'' Data'!$AO$4:$BO$7,2,FALSE)))</f>
        <v/>
      </c>
      <c r="U242" s="289" t="str">
        <f t="shared" si="38"/>
        <v xml:space="preserve"> </v>
      </c>
      <c r="V242" s="694" t="str">
        <f t="shared" si="39"/>
        <v/>
      </c>
      <c r="W242" s="32"/>
      <c r="X242" s="101"/>
      <c r="Y242" s="108"/>
      <c r="Z242" s="287" t="str">
        <f t="shared" si="40"/>
        <v/>
      </c>
      <c r="AA242" s="287" t="str">
        <f t="shared" si="41"/>
        <v/>
      </c>
      <c r="AB242" s="287" t="str">
        <f t="shared" si="42"/>
        <v/>
      </c>
      <c r="AC242" s="491" t="str">
        <f>IFERROR(IF(OR(E242="",R242=""),"",IF(AND(AB242&lt;&gt;"",S242=""),"Spatial risk category missing ▲",IF(AND(Q242='G-7 WaterC'' Data'!$G$4,AD242="Yes"),"Alternative Compensation ✓",IF(AND(AD242="Pending",Q242='G-7 WaterC'' Data'!$G$4),"Bespoke compensation must be agreed ▲",IF((Z242+AA242)&gt;=U242,0,U242-Z242-AA242))))),"Check Data ⚠")</f>
        <v/>
      </c>
      <c r="AD242" s="393"/>
      <c r="AE242" s="105"/>
      <c r="AF242" s="104"/>
      <c r="AG242" s="104"/>
      <c r="AH242" s="104"/>
      <c r="AI242" s="54" t="str">
        <f>IF(OR(Q242="",AD242="Yes"),"",IF(Q242='G-1 All Habitats'!$X$9,E242-Y242-X242,"None"))</f>
        <v/>
      </c>
      <c r="AJ242" s="55" t="str">
        <f>IF(Q242="","",IF(Q242='G-1 All Habitats'!$X$9,AI242*G242*I242*L242*N242*P242,"None"))</f>
        <v/>
      </c>
      <c r="AK242" s="30" t="str">
        <f>IFERROR(INDEX('G-7 WaterC'' Data'!$AZ$3:$AZ$7,MATCH(D242,'G-7 WaterC'' Data'!$AY$3:$AY$7,0)),"")</f>
        <v/>
      </c>
      <c r="AL242" s="30">
        <f t="shared" si="43"/>
        <v>0</v>
      </c>
      <c r="AM242" s="107" t="str">
        <f t="shared" si="44"/>
        <v/>
      </c>
      <c r="AN242" s="107" t="str">
        <f t="shared" si="45"/>
        <v/>
      </c>
      <c r="AP242" s="107">
        <v>233</v>
      </c>
      <c r="AR242" s="107" t="str">
        <f t="array" ref="AR242">IFERROR(INDEX($AP$10:$AP$258,MATCH(0,IF(TRUE=$AM$10:$AM$258,COUNTIF($AR$9:$AR241,$AP$10:$AP$258),""),0)),"")</f>
        <v/>
      </c>
      <c r="AS242" s="107" t="str">
        <f t="array" ref="AS242">IFERROR(INDEX($AP$10:$AP$258,MATCH(0,IF(TRUE=$AN$10:$AN$258,COUNTIF($AS$9:$AS241,$AP$10:$AP$258),""),0)),"")</f>
        <v/>
      </c>
      <c r="AT242" s="885" t="str">
        <f>IF(AND(OR(AD242="Yes",AD242="Pending"),Q242='G-7 WaterC'' Data'!$G$4),U242-AA242-Z242,"0")</f>
        <v>0</v>
      </c>
      <c r="AU242" s="30" t="str">
        <f>IF(D242="","",VLOOKUP(D242,'G-7 WaterC'' Data'!B$4:M$8,12,FALSE))</f>
        <v/>
      </c>
      <c r="AV242" s="30" t="str">
        <f t="shared" si="36"/>
        <v/>
      </c>
      <c r="AW242" s="30" t="str">
        <f t="shared" si="46"/>
        <v>No</v>
      </c>
      <c r="BA242" s="555" t="str">
        <f t="shared" si="47"/>
        <v/>
      </c>
    </row>
    <row r="243" spans="3:53" ht="14.5" thickBot="1">
      <c r="C243" s="97">
        <v>234</v>
      </c>
      <c r="D243" s="263"/>
      <c r="E243" s="104"/>
      <c r="F243" s="275" t="str">
        <f>IF(D243="","",VLOOKUP(D243,'G-7 WaterC'' Data'!$B$2:$G$8,2,FALSE))</f>
        <v/>
      </c>
      <c r="G243" s="314" t="str">
        <f>IFERROR(VLOOKUP(F243,'G-7 WaterC'' Data'!$C$4:$D$8,2,FALSE),"")</f>
        <v/>
      </c>
      <c r="H243" s="105"/>
      <c r="I243" s="299" t="str">
        <f>IFERROR(INDEX('G-7 WaterC'' Data'!$H$4:$L$8,MATCH(D243,'G-7 WaterC'' Data'!$B$4:$B$8,0),MATCH(H243,'G-7 WaterC'' Data'!$H$3:$L$3,0)),"")</f>
        <v/>
      </c>
      <c r="J243" s="702"/>
      <c r="K243" s="295" t="str">
        <f>IF(J243="","",IF(VLOOKUP(J243,'G-7 WaterC'' Data'!$AK$4:$AM$9,2,FALSE)=0,"Spatial Data Missing ⚠",VLOOKUP(J243,'G-7 WaterC'' Data'!$AK$4:$AM$6,2,FALSE)))</f>
        <v/>
      </c>
      <c r="L243" s="299" t="str">
        <f>IF(J243="","",IF(VLOOKUP(J243,'G-7 WaterC'' Data'!$AK$4:$AM$9,3,FALSE)=0,"Spatial Data Missing ⚠",VLOOKUP(J243,'G-7 WaterC'' Data'!$AK$4:$AM$6,3,FALSE)))</f>
        <v/>
      </c>
      <c r="M243" s="102"/>
      <c r="N243" s="276" t="str">
        <f>IF(M243="","",IF(AND(M243="N/A - Culvert",D243&lt;&gt;"Culvert"),"Not possible ▲",IF(AND(D243="Culvert",M243&lt;&gt;"N/A - Culvert"),"Not possible ▲",IF(VLOOKUP(M243,'G-7 WaterC'' Data'!$AA$4:$AB$7,2,FALSE)=0,"Spatial Data Missing ⚠",VLOOKUP(M243,'G-7 WaterC'' Data'!$AA$4:$AB$7,2,FALSE)))))</f>
        <v/>
      </c>
      <c r="O243" s="56"/>
      <c r="P243" s="276" t="str">
        <f>IF(O243="","",IF(AND(O243="N/A - Culvert",D243&lt;&gt;"Culvert"),"Not possible ▲",IF(AND(D243="Culvert",O243&lt;&gt;"N/A - Culvert"),"Not possible ▲",IF(VLOOKUP(O243,'G-7 WaterC'' Data'!$AD$4:$AE$14,2,FALSE)=0,"Spatial Data Missing ⚠",VLOOKUP(O243,'G-7 WaterC'' Data'!$AD$4:$AE$14,2,FALSE)))))</f>
        <v/>
      </c>
      <c r="Q243" s="282" t="str">
        <f>IF(D243="","",VLOOKUP(D243,'G-7 WaterC'' Data'!$B$4:$G$8,6,FALSE))</f>
        <v/>
      </c>
      <c r="R243" s="289" t="str">
        <f t="shared" si="37"/>
        <v xml:space="preserve"> </v>
      </c>
      <c r="S243" s="393"/>
      <c r="T243" s="281" t="str">
        <f>IF(S243="","",IF(VLOOKUP(S243,'G-7 WaterC'' Data'!$AO$4:$BO$7,2,FALSE)=0,"Spatial Data Missing ⚠",VLOOKUP(S243,'G-7 WaterC'' Data'!$AO$4:$BO$7,2,FALSE)))</f>
        <v/>
      </c>
      <c r="U243" s="289" t="str">
        <f t="shared" si="38"/>
        <v xml:space="preserve"> </v>
      </c>
      <c r="V243" s="694" t="str">
        <f t="shared" si="39"/>
        <v/>
      </c>
      <c r="W243" s="32"/>
      <c r="X243" s="101"/>
      <c r="Y243" s="108"/>
      <c r="Z243" s="287" t="str">
        <f t="shared" si="40"/>
        <v/>
      </c>
      <c r="AA243" s="287" t="str">
        <f t="shared" si="41"/>
        <v/>
      </c>
      <c r="AB243" s="287" t="str">
        <f t="shared" si="42"/>
        <v/>
      </c>
      <c r="AC243" s="491" t="str">
        <f>IFERROR(IF(OR(E243="",R243=""),"",IF(AND(AB243&lt;&gt;"",S243=""),"Spatial risk category missing ▲",IF(AND(Q243='G-7 WaterC'' Data'!$G$4,AD243="Yes"),"Alternative Compensation ✓",IF(AND(AD243="Pending",Q243='G-7 WaterC'' Data'!$G$4),"Bespoke compensation must be agreed ▲",IF((Z243+AA243)&gt;=U243,0,U243-Z243-AA243))))),"Check Data ⚠")</f>
        <v/>
      </c>
      <c r="AD243" s="393"/>
      <c r="AE243" s="105"/>
      <c r="AF243" s="104"/>
      <c r="AG243" s="104"/>
      <c r="AH243" s="104"/>
      <c r="AI243" s="54" t="str">
        <f>IF(OR(Q243="",AD243="Yes"),"",IF(Q243='G-1 All Habitats'!$X$9,E243-Y243-X243,"None"))</f>
        <v/>
      </c>
      <c r="AJ243" s="55" t="str">
        <f>IF(Q243="","",IF(Q243='G-1 All Habitats'!$X$9,AI243*G243*I243*L243*N243*P243,"None"))</f>
        <v/>
      </c>
      <c r="AK243" s="30" t="str">
        <f>IFERROR(INDEX('G-7 WaterC'' Data'!$AZ$3:$AZ$7,MATCH(D243,'G-7 WaterC'' Data'!$AY$3:$AY$7,0)),"")</f>
        <v/>
      </c>
      <c r="AL243" s="30">
        <f t="shared" si="43"/>
        <v>0</v>
      </c>
      <c r="AM243" s="107" t="str">
        <f t="shared" si="44"/>
        <v/>
      </c>
      <c r="AN243" s="107" t="str">
        <f t="shared" si="45"/>
        <v/>
      </c>
      <c r="AP243" s="107">
        <v>234</v>
      </c>
      <c r="AR243" s="107" t="str">
        <f t="array" ref="AR243">IFERROR(INDEX($AP$10:$AP$258,MATCH(0,IF(TRUE=$AM$10:$AM$258,COUNTIF($AR$9:$AR242,$AP$10:$AP$258),""),0)),"")</f>
        <v/>
      </c>
      <c r="AS243" s="107" t="str">
        <f t="array" ref="AS243">IFERROR(INDEX($AP$10:$AP$258,MATCH(0,IF(TRUE=$AN$10:$AN$258,COUNTIF($AS$9:$AS242,$AP$10:$AP$258),""),0)),"")</f>
        <v/>
      </c>
      <c r="AT243" s="885" t="str">
        <f>IF(AND(OR(AD243="Yes",AD243="Pending"),Q243='G-7 WaterC'' Data'!$G$4),U243-AA243-Z243,"0")</f>
        <v>0</v>
      </c>
      <c r="AU243" s="30" t="str">
        <f>IF(D243="","",VLOOKUP(D243,'G-7 WaterC'' Data'!B$4:M$8,12,FALSE))</f>
        <v/>
      </c>
      <c r="AV243" s="30" t="str">
        <f t="shared" si="36"/>
        <v/>
      </c>
      <c r="AW243" s="30" t="str">
        <f t="shared" si="46"/>
        <v>No</v>
      </c>
      <c r="BA243" s="555" t="str">
        <f t="shared" si="47"/>
        <v/>
      </c>
    </row>
    <row r="244" spans="3:53" ht="14.5" thickBot="1">
      <c r="C244" s="97">
        <v>235</v>
      </c>
      <c r="D244" s="263"/>
      <c r="E244" s="104"/>
      <c r="F244" s="275" t="str">
        <f>IF(D244="","",VLOOKUP(D244,'G-7 WaterC'' Data'!$B$2:$G$8,2,FALSE))</f>
        <v/>
      </c>
      <c r="G244" s="314" t="str">
        <f>IFERROR(VLOOKUP(F244,'G-7 WaterC'' Data'!$C$4:$D$8,2,FALSE),"")</f>
        <v/>
      </c>
      <c r="H244" s="105"/>
      <c r="I244" s="299" t="str">
        <f>IFERROR(INDEX('G-7 WaterC'' Data'!$H$4:$L$8,MATCH(D244,'G-7 WaterC'' Data'!$B$4:$B$8,0),MATCH(H244,'G-7 WaterC'' Data'!$H$3:$L$3,0)),"")</f>
        <v/>
      </c>
      <c r="J244" s="702"/>
      <c r="K244" s="295" t="str">
        <f>IF(J244="","",IF(VLOOKUP(J244,'G-7 WaterC'' Data'!$AK$4:$AM$9,2,FALSE)=0,"Spatial Data Missing ⚠",VLOOKUP(J244,'G-7 WaterC'' Data'!$AK$4:$AM$6,2,FALSE)))</f>
        <v/>
      </c>
      <c r="L244" s="299" t="str">
        <f>IF(J244="","",IF(VLOOKUP(J244,'G-7 WaterC'' Data'!$AK$4:$AM$9,3,FALSE)=0,"Spatial Data Missing ⚠",VLOOKUP(J244,'G-7 WaterC'' Data'!$AK$4:$AM$6,3,FALSE)))</f>
        <v/>
      </c>
      <c r="M244" s="102"/>
      <c r="N244" s="276" t="str">
        <f>IF(M244="","",IF(AND(M244="N/A - Culvert",D244&lt;&gt;"Culvert"),"Not possible ▲",IF(AND(D244="Culvert",M244&lt;&gt;"N/A - Culvert"),"Not possible ▲",IF(VLOOKUP(M244,'G-7 WaterC'' Data'!$AA$4:$AB$7,2,FALSE)=0,"Spatial Data Missing ⚠",VLOOKUP(M244,'G-7 WaterC'' Data'!$AA$4:$AB$7,2,FALSE)))))</f>
        <v/>
      </c>
      <c r="O244" s="56"/>
      <c r="P244" s="276" t="str">
        <f>IF(O244="","",IF(AND(O244="N/A - Culvert",D244&lt;&gt;"Culvert"),"Not possible ▲",IF(AND(D244="Culvert",O244&lt;&gt;"N/A - Culvert"),"Not possible ▲",IF(VLOOKUP(O244,'G-7 WaterC'' Data'!$AD$4:$AE$14,2,FALSE)=0,"Spatial Data Missing ⚠",VLOOKUP(O244,'G-7 WaterC'' Data'!$AD$4:$AE$14,2,FALSE)))))</f>
        <v/>
      </c>
      <c r="Q244" s="282" t="str">
        <f>IF(D244="","",VLOOKUP(D244,'G-7 WaterC'' Data'!$B$4:$G$8,6,FALSE))</f>
        <v/>
      </c>
      <c r="R244" s="289" t="str">
        <f t="shared" si="37"/>
        <v xml:space="preserve"> </v>
      </c>
      <c r="S244" s="393"/>
      <c r="T244" s="281" t="str">
        <f>IF(S244="","",IF(VLOOKUP(S244,'G-7 WaterC'' Data'!$AO$4:$BO$7,2,FALSE)=0,"Spatial Data Missing ⚠",VLOOKUP(S244,'G-7 WaterC'' Data'!$AO$4:$BO$7,2,FALSE)))</f>
        <v/>
      </c>
      <c r="U244" s="289" t="str">
        <f t="shared" si="38"/>
        <v xml:space="preserve"> </v>
      </c>
      <c r="V244" s="694" t="str">
        <f t="shared" si="39"/>
        <v/>
      </c>
      <c r="W244" s="32"/>
      <c r="X244" s="101"/>
      <c r="Y244" s="108"/>
      <c r="Z244" s="287" t="str">
        <f t="shared" si="40"/>
        <v/>
      </c>
      <c r="AA244" s="287" t="str">
        <f t="shared" si="41"/>
        <v/>
      </c>
      <c r="AB244" s="287" t="str">
        <f t="shared" si="42"/>
        <v/>
      </c>
      <c r="AC244" s="491" t="str">
        <f>IFERROR(IF(OR(E244="",R244=""),"",IF(AND(AB244&lt;&gt;"",S244=""),"Spatial risk category missing ▲",IF(AND(Q244='G-7 WaterC'' Data'!$G$4,AD244="Yes"),"Alternative Compensation ✓",IF(AND(AD244="Pending",Q244='G-7 WaterC'' Data'!$G$4),"Bespoke compensation must be agreed ▲",IF((Z244+AA244)&gt;=U244,0,U244-Z244-AA244))))),"Check Data ⚠")</f>
        <v/>
      </c>
      <c r="AD244" s="393"/>
      <c r="AE244" s="105"/>
      <c r="AF244" s="104"/>
      <c r="AG244" s="104"/>
      <c r="AH244" s="104"/>
      <c r="AI244" s="54" t="str">
        <f>IF(OR(Q244="",AD244="Yes"),"",IF(Q244='G-1 All Habitats'!$X$9,E244-Y244-X244,"None"))</f>
        <v/>
      </c>
      <c r="AJ244" s="55" t="str">
        <f>IF(Q244="","",IF(Q244='G-1 All Habitats'!$X$9,AI244*G244*I244*L244*N244*P244,"None"))</f>
        <v/>
      </c>
      <c r="AK244" s="30" t="str">
        <f>IFERROR(INDEX('G-7 WaterC'' Data'!$AZ$3:$AZ$7,MATCH(D244,'G-7 WaterC'' Data'!$AY$3:$AY$7,0)),"")</f>
        <v/>
      </c>
      <c r="AL244" s="30">
        <f t="shared" si="43"/>
        <v>0</v>
      </c>
      <c r="AM244" s="107" t="str">
        <f t="shared" si="44"/>
        <v/>
      </c>
      <c r="AN244" s="107" t="str">
        <f t="shared" si="45"/>
        <v/>
      </c>
      <c r="AP244" s="107">
        <v>235</v>
      </c>
      <c r="AR244" s="107" t="str">
        <f t="array" ref="AR244">IFERROR(INDEX($AP$10:$AP$258,MATCH(0,IF(TRUE=$AM$10:$AM$258,COUNTIF($AR$9:$AR243,$AP$10:$AP$258),""),0)),"")</f>
        <v/>
      </c>
      <c r="AS244" s="107" t="str">
        <f t="array" ref="AS244">IFERROR(INDEX($AP$10:$AP$258,MATCH(0,IF(TRUE=$AN$10:$AN$258,COUNTIF($AS$9:$AS243,$AP$10:$AP$258),""),0)),"")</f>
        <v/>
      </c>
      <c r="AT244" s="885" t="str">
        <f>IF(AND(OR(AD244="Yes",AD244="Pending"),Q244='G-7 WaterC'' Data'!$G$4),U244-AA244-Z244,"0")</f>
        <v>0</v>
      </c>
      <c r="AU244" s="30" t="str">
        <f>IF(D244="","",VLOOKUP(D244,'G-7 WaterC'' Data'!B$4:M$8,12,FALSE))</f>
        <v/>
      </c>
      <c r="AV244" s="30" t="str">
        <f t="shared" si="36"/>
        <v/>
      </c>
      <c r="AW244" s="30" t="str">
        <f t="shared" si="46"/>
        <v>No</v>
      </c>
      <c r="BA244" s="555" t="str">
        <f t="shared" si="47"/>
        <v/>
      </c>
    </row>
    <row r="245" spans="3:53" ht="14.5" thickBot="1">
      <c r="C245" s="97">
        <v>236</v>
      </c>
      <c r="D245" s="263"/>
      <c r="E245" s="104"/>
      <c r="F245" s="275" t="str">
        <f>IF(D245="","",VLOOKUP(D245,'G-7 WaterC'' Data'!$B$2:$G$8,2,FALSE))</f>
        <v/>
      </c>
      <c r="G245" s="314" t="str">
        <f>IFERROR(VLOOKUP(F245,'G-7 WaterC'' Data'!$C$4:$D$8,2,FALSE),"")</f>
        <v/>
      </c>
      <c r="H245" s="105"/>
      <c r="I245" s="299" t="str">
        <f>IFERROR(INDEX('G-7 WaterC'' Data'!$H$4:$L$8,MATCH(D245,'G-7 WaterC'' Data'!$B$4:$B$8,0),MATCH(H245,'G-7 WaterC'' Data'!$H$3:$L$3,0)),"")</f>
        <v/>
      </c>
      <c r="J245" s="702"/>
      <c r="K245" s="295" t="str">
        <f>IF(J245="","",IF(VLOOKUP(J245,'G-7 WaterC'' Data'!$AK$4:$AM$9,2,FALSE)=0,"Spatial Data Missing ⚠",VLOOKUP(J245,'G-7 WaterC'' Data'!$AK$4:$AM$6,2,FALSE)))</f>
        <v/>
      </c>
      <c r="L245" s="299" t="str">
        <f>IF(J245="","",IF(VLOOKUP(J245,'G-7 WaterC'' Data'!$AK$4:$AM$9,3,FALSE)=0,"Spatial Data Missing ⚠",VLOOKUP(J245,'G-7 WaterC'' Data'!$AK$4:$AM$6,3,FALSE)))</f>
        <v/>
      </c>
      <c r="M245" s="102"/>
      <c r="N245" s="276" t="str">
        <f>IF(M245="","",IF(AND(M245="N/A - Culvert",D245&lt;&gt;"Culvert"),"Not possible ▲",IF(AND(D245="Culvert",M245&lt;&gt;"N/A - Culvert"),"Not possible ▲",IF(VLOOKUP(M245,'G-7 WaterC'' Data'!$AA$4:$AB$7,2,FALSE)=0,"Spatial Data Missing ⚠",VLOOKUP(M245,'G-7 WaterC'' Data'!$AA$4:$AB$7,2,FALSE)))))</f>
        <v/>
      </c>
      <c r="O245" s="56"/>
      <c r="P245" s="276" t="str">
        <f>IF(O245="","",IF(AND(O245="N/A - Culvert",D245&lt;&gt;"Culvert"),"Not possible ▲",IF(AND(D245="Culvert",O245&lt;&gt;"N/A - Culvert"),"Not possible ▲",IF(VLOOKUP(O245,'G-7 WaterC'' Data'!$AD$4:$AE$14,2,FALSE)=0,"Spatial Data Missing ⚠",VLOOKUP(O245,'G-7 WaterC'' Data'!$AD$4:$AE$14,2,FALSE)))))</f>
        <v/>
      </c>
      <c r="Q245" s="282" t="str">
        <f>IF(D245="","",VLOOKUP(D245,'G-7 WaterC'' Data'!$B$4:$G$8,6,FALSE))</f>
        <v/>
      </c>
      <c r="R245" s="289" t="str">
        <f t="shared" si="37"/>
        <v xml:space="preserve"> </v>
      </c>
      <c r="S245" s="393"/>
      <c r="T245" s="281" t="str">
        <f>IF(S245="","",IF(VLOOKUP(S245,'G-7 WaterC'' Data'!$AO$4:$BO$7,2,FALSE)=0,"Spatial Data Missing ⚠",VLOOKUP(S245,'G-7 WaterC'' Data'!$AO$4:$BO$7,2,FALSE)))</f>
        <v/>
      </c>
      <c r="U245" s="289" t="str">
        <f t="shared" si="38"/>
        <v xml:space="preserve"> </v>
      </c>
      <c r="V245" s="694" t="str">
        <f t="shared" si="39"/>
        <v/>
      </c>
      <c r="W245" s="32"/>
      <c r="X245" s="101"/>
      <c r="Y245" s="108"/>
      <c r="Z245" s="287" t="str">
        <f t="shared" si="40"/>
        <v/>
      </c>
      <c r="AA245" s="287" t="str">
        <f t="shared" si="41"/>
        <v/>
      </c>
      <c r="AB245" s="287" t="str">
        <f t="shared" si="42"/>
        <v/>
      </c>
      <c r="AC245" s="491" t="str">
        <f>IFERROR(IF(OR(E245="",R245=""),"",IF(AND(AB245&lt;&gt;"",S245=""),"Spatial risk category missing ▲",IF(AND(Q245='G-7 WaterC'' Data'!$G$4,AD245="Yes"),"Alternative Compensation ✓",IF(AND(AD245="Pending",Q245='G-7 WaterC'' Data'!$G$4),"Bespoke compensation must be agreed ▲",IF((Z245+AA245)&gt;=U245,0,U245-Z245-AA245))))),"Check Data ⚠")</f>
        <v/>
      </c>
      <c r="AD245" s="393"/>
      <c r="AE245" s="105"/>
      <c r="AF245" s="104"/>
      <c r="AG245" s="104"/>
      <c r="AH245" s="104"/>
      <c r="AI245" s="54" t="str">
        <f>IF(OR(Q245="",AD245="Yes"),"",IF(Q245='G-1 All Habitats'!$X$9,E245-Y245-X245,"None"))</f>
        <v/>
      </c>
      <c r="AJ245" s="55" t="str">
        <f>IF(Q245="","",IF(Q245='G-1 All Habitats'!$X$9,AI245*G245*I245*L245*N245*P245,"None"))</f>
        <v/>
      </c>
      <c r="AK245" s="30" t="str">
        <f>IFERROR(INDEX('G-7 WaterC'' Data'!$AZ$3:$AZ$7,MATCH(D245,'G-7 WaterC'' Data'!$AY$3:$AY$7,0)),"")</f>
        <v/>
      </c>
      <c r="AL245" s="30">
        <f t="shared" si="43"/>
        <v>0</v>
      </c>
      <c r="AM245" s="95" t="str">
        <f t="shared" si="44"/>
        <v/>
      </c>
      <c r="AN245" s="95" t="str">
        <f t="shared" si="45"/>
        <v/>
      </c>
      <c r="AO245" s="96"/>
      <c r="AP245" s="95">
        <v>236</v>
      </c>
      <c r="AQ245" s="96"/>
      <c r="AR245" s="95" t="str">
        <f t="array" ref="AR245">IFERROR(INDEX($AP$10:$AP$258,MATCH(0,IF(TRUE=$AM$10:$AM$258,COUNTIF($AR$9:$AR244,$AP$10:$AP$258),""),0)),"")</f>
        <v/>
      </c>
      <c r="AS245" s="95" t="str">
        <f t="array" ref="AS245">IFERROR(INDEX($AP$10:$AP$258,MATCH(0,IF(TRUE=$AN$10:$AN$258,COUNTIF($AS$9:$AS244,$AP$10:$AP$258),""),0)),"")</f>
        <v/>
      </c>
      <c r="AT245" s="885" t="str">
        <f>IF(AND(OR(AD245="Yes",AD245="Pending"),Q245='G-7 WaterC'' Data'!$G$4),U245-AA245-Z245,"0")</f>
        <v>0</v>
      </c>
      <c r="AU245" s="30" t="str">
        <f>IF(D245="","",VLOOKUP(D245,'G-7 WaterC'' Data'!B$4:M$8,12,FALSE))</f>
        <v/>
      </c>
      <c r="AV245" s="30" t="str">
        <f t="shared" si="36"/>
        <v/>
      </c>
      <c r="AW245" s="30" t="str">
        <f t="shared" si="46"/>
        <v>No</v>
      </c>
      <c r="BA245" s="555" t="str">
        <f t="shared" si="47"/>
        <v/>
      </c>
    </row>
    <row r="246" spans="3:53" ht="14.5" thickBot="1">
      <c r="C246" s="97">
        <v>237</v>
      </c>
      <c r="D246" s="263"/>
      <c r="E246" s="104"/>
      <c r="F246" s="275" t="str">
        <f>IF(D246="","",VLOOKUP(D246,'G-7 WaterC'' Data'!$B$2:$G$8,2,FALSE))</f>
        <v/>
      </c>
      <c r="G246" s="314" t="str">
        <f>IFERROR(VLOOKUP(F246,'G-7 WaterC'' Data'!$C$4:$D$8,2,FALSE),"")</f>
        <v/>
      </c>
      <c r="H246" s="105"/>
      <c r="I246" s="299" t="str">
        <f>IFERROR(INDEX('G-7 WaterC'' Data'!$H$4:$L$8,MATCH(D246,'G-7 WaterC'' Data'!$B$4:$B$8,0),MATCH(H246,'G-7 WaterC'' Data'!$H$3:$L$3,0)),"")</f>
        <v/>
      </c>
      <c r="J246" s="702"/>
      <c r="K246" s="295" t="str">
        <f>IF(J246="","",IF(VLOOKUP(J246,'G-7 WaterC'' Data'!$AK$4:$AM$9,2,FALSE)=0,"Spatial Data Missing ⚠",VLOOKUP(J246,'G-7 WaterC'' Data'!$AK$4:$AM$6,2,FALSE)))</f>
        <v/>
      </c>
      <c r="L246" s="299" t="str">
        <f>IF(J246="","",IF(VLOOKUP(J246,'G-7 WaterC'' Data'!$AK$4:$AM$9,3,FALSE)=0,"Spatial Data Missing ⚠",VLOOKUP(J246,'G-7 WaterC'' Data'!$AK$4:$AM$6,3,FALSE)))</f>
        <v/>
      </c>
      <c r="M246" s="102"/>
      <c r="N246" s="276" t="str">
        <f>IF(M246="","",IF(AND(M246="N/A - Culvert",D246&lt;&gt;"Culvert"),"Not possible ▲",IF(AND(D246="Culvert",M246&lt;&gt;"N/A - Culvert"),"Not possible ▲",IF(VLOOKUP(M246,'G-7 WaterC'' Data'!$AA$4:$AB$7,2,FALSE)=0,"Spatial Data Missing ⚠",VLOOKUP(M246,'G-7 WaterC'' Data'!$AA$4:$AB$7,2,FALSE)))))</f>
        <v/>
      </c>
      <c r="O246" s="56"/>
      <c r="P246" s="276" t="str">
        <f>IF(O246="","",IF(AND(O246="N/A - Culvert",D246&lt;&gt;"Culvert"),"Not possible ▲",IF(AND(D246="Culvert",O246&lt;&gt;"N/A - Culvert"),"Not possible ▲",IF(VLOOKUP(O246,'G-7 WaterC'' Data'!$AD$4:$AE$14,2,FALSE)=0,"Spatial Data Missing ⚠",VLOOKUP(O246,'G-7 WaterC'' Data'!$AD$4:$AE$14,2,FALSE)))))</f>
        <v/>
      </c>
      <c r="Q246" s="282" t="str">
        <f>IF(D246="","",VLOOKUP(D246,'G-7 WaterC'' Data'!$B$4:$G$8,6,FALSE))</f>
        <v/>
      </c>
      <c r="R246" s="289" t="str">
        <f t="shared" si="37"/>
        <v xml:space="preserve"> </v>
      </c>
      <c r="S246" s="393"/>
      <c r="T246" s="281" t="str">
        <f>IF(S246="","",IF(VLOOKUP(S246,'G-7 WaterC'' Data'!$AO$4:$BO$7,2,FALSE)=0,"Spatial Data Missing ⚠",VLOOKUP(S246,'G-7 WaterC'' Data'!$AO$4:$BO$7,2,FALSE)))</f>
        <v/>
      </c>
      <c r="U246" s="289" t="str">
        <f t="shared" si="38"/>
        <v xml:space="preserve"> </v>
      </c>
      <c r="V246" s="694" t="str">
        <f t="shared" si="39"/>
        <v/>
      </c>
      <c r="W246" s="32"/>
      <c r="X246" s="101"/>
      <c r="Y246" s="108"/>
      <c r="Z246" s="287" t="str">
        <f t="shared" si="40"/>
        <v/>
      </c>
      <c r="AA246" s="287" t="str">
        <f t="shared" si="41"/>
        <v/>
      </c>
      <c r="AB246" s="287" t="str">
        <f t="shared" si="42"/>
        <v/>
      </c>
      <c r="AC246" s="491" t="str">
        <f>IFERROR(IF(OR(E246="",R246=""),"",IF(AND(AB246&lt;&gt;"",S246=""),"Spatial risk category missing ▲",IF(AND(Q246='G-7 WaterC'' Data'!$G$4,AD246="Yes"),"Alternative Compensation ✓",IF(AND(AD246="Pending",Q246='G-7 WaterC'' Data'!$G$4),"Bespoke compensation must be agreed ▲",IF((Z246+AA246)&gt;=U246,0,U246-Z246-AA246))))),"Check Data ⚠")</f>
        <v/>
      </c>
      <c r="AD246" s="393"/>
      <c r="AE246" s="105"/>
      <c r="AF246" s="104"/>
      <c r="AG246" s="104"/>
      <c r="AH246" s="104"/>
      <c r="AI246" s="54" t="str">
        <f>IF(OR(Q246="",AD246="Yes"),"",IF(Q246='G-1 All Habitats'!$X$9,E246-Y246-X246,"None"))</f>
        <v/>
      </c>
      <c r="AJ246" s="55" t="str">
        <f>IF(Q246="","",IF(Q246='G-1 All Habitats'!$X$9,AI246*G246*I246*L246*N246*P246,"None"))</f>
        <v/>
      </c>
      <c r="AK246" s="30" t="str">
        <f>IFERROR(INDEX('G-7 WaterC'' Data'!$AZ$3:$AZ$7,MATCH(D246,'G-7 WaterC'' Data'!$AY$3:$AY$7,0)),"")</f>
        <v/>
      </c>
      <c r="AL246" s="30">
        <f t="shared" si="43"/>
        <v>0</v>
      </c>
      <c r="AM246" s="95" t="str">
        <f t="shared" si="44"/>
        <v/>
      </c>
      <c r="AN246" s="95" t="str">
        <f t="shared" si="45"/>
        <v/>
      </c>
      <c r="AO246" s="96"/>
      <c r="AP246" s="95">
        <v>237</v>
      </c>
      <c r="AQ246" s="96"/>
      <c r="AR246" s="95" t="str">
        <f t="array" ref="AR246">IFERROR(INDEX($AP$10:$AP$258,MATCH(0,IF(TRUE=$AM$10:$AM$258,COUNTIF($AR$9:$AR245,$AP$10:$AP$258),""),0)),"")</f>
        <v/>
      </c>
      <c r="AS246" s="95" t="str">
        <f t="array" ref="AS246">IFERROR(INDEX($AP$10:$AP$258,MATCH(0,IF(TRUE=$AN$10:$AN$258,COUNTIF($AS$9:$AS245,$AP$10:$AP$258),""),0)),"")</f>
        <v/>
      </c>
      <c r="AT246" s="885" t="str">
        <f>IF(AND(OR(AD246="Yes",AD246="Pending"),Q246='G-7 WaterC'' Data'!$G$4),U246-AA246-Z246,"0")</f>
        <v>0</v>
      </c>
      <c r="AU246" s="30" t="str">
        <f>IF(D246="","",VLOOKUP(D246,'G-7 WaterC'' Data'!B$4:M$8,12,FALSE))</f>
        <v/>
      </c>
      <c r="AV246" s="30" t="str">
        <f t="shared" si="36"/>
        <v/>
      </c>
      <c r="AW246" s="30" t="str">
        <f t="shared" si="46"/>
        <v>No</v>
      </c>
      <c r="BA246" s="555" t="str">
        <f t="shared" si="47"/>
        <v/>
      </c>
    </row>
    <row r="247" spans="3:53" ht="14.5" thickBot="1">
      <c r="C247" s="97">
        <v>238</v>
      </c>
      <c r="D247" s="263"/>
      <c r="E247" s="104"/>
      <c r="F247" s="275" t="str">
        <f>IF(D247="","",VLOOKUP(D247,'G-7 WaterC'' Data'!$B$2:$G$8,2,FALSE))</f>
        <v/>
      </c>
      <c r="G247" s="314" t="str">
        <f>IFERROR(VLOOKUP(F247,'G-7 WaterC'' Data'!$C$4:$D$8,2,FALSE),"")</f>
        <v/>
      </c>
      <c r="H247" s="105"/>
      <c r="I247" s="299" t="str">
        <f>IFERROR(INDEX('G-7 WaterC'' Data'!$H$4:$L$8,MATCH(D247,'G-7 WaterC'' Data'!$B$4:$B$8,0),MATCH(H247,'G-7 WaterC'' Data'!$H$3:$L$3,0)),"")</f>
        <v/>
      </c>
      <c r="J247" s="702"/>
      <c r="K247" s="295" t="str">
        <f>IF(J247="","",IF(VLOOKUP(J247,'G-7 WaterC'' Data'!$AK$4:$AM$9,2,FALSE)=0,"Spatial Data Missing ⚠",VLOOKUP(J247,'G-7 WaterC'' Data'!$AK$4:$AM$6,2,FALSE)))</f>
        <v/>
      </c>
      <c r="L247" s="299" t="str">
        <f>IF(J247="","",IF(VLOOKUP(J247,'G-7 WaterC'' Data'!$AK$4:$AM$9,3,FALSE)=0,"Spatial Data Missing ⚠",VLOOKUP(J247,'G-7 WaterC'' Data'!$AK$4:$AM$6,3,FALSE)))</f>
        <v/>
      </c>
      <c r="M247" s="102"/>
      <c r="N247" s="276" t="str">
        <f>IF(M247="","",IF(AND(M247="N/A - Culvert",D247&lt;&gt;"Culvert"),"Not possible ▲",IF(AND(D247="Culvert",M247&lt;&gt;"N/A - Culvert"),"Not possible ▲",IF(VLOOKUP(M247,'G-7 WaterC'' Data'!$AA$4:$AB$7,2,FALSE)=0,"Spatial Data Missing ⚠",VLOOKUP(M247,'G-7 WaterC'' Data'!$AA$4:$AB$7,2,FALSE)))))</f>
        <v/>
      </c>
      <c r="O247" s="56"/>
      <c r="P247" s="276" t="str">
        <f>IF(O247="","",IF(AND(O247="N/A - Culvert",D247&lt;&gt;"Culvert"),"Not possible ▲",IF(AND(D247="Culvert",O247&lt;&gt;"N/A - Culvert"),"Not possible ▲",IF(VLOOKUP(O247,'G-7 WaterC'' Data'!$AD$4:$AE$14,2,FALSE)=0,"Spatial Data Missing ⚠",VLOOKUP(O247,'G-7 WaterC'' Data'!$AD$4:$AE$14,2,FALSE)))))</f>
        <v/>
      </c>
      <c r="Q247" s="282" t="str">
        <f>IF(D247="","",VLOOKUP(D247,'G-7 WaterC'' Data'!$B$4:$G$8,6,FALSE))</f>
        <v/>
      </c>
      <c r="R247" s="289" t="str">
        <f t="shared" si="37"/>
        <v xml:space="preserve"> </v>
      </c>
      <c r="S247" s="393"/>
      <c r="T247" s="281" t="str">
        <f>IF(S247="","",IF(VLOOKUP(S247,'G-7 WaterC'' Data'!$AO$4:$BO$7,2,FALSE)=0,"Spatial Data Missing ⚠",VLOOKUP(S247,'G-7 WaterC'' Data'!$AO$4:$BO$7,2,FALSE)))</f>
        <v/>
      </c>
      <c r="U247" s="289" t="str">
        <f t="shared" si="38"/>
        <v xml:space="preserve"> </v>
      </c>
      <c r="V247" s="694" t="str">
        <f t="shared" si="39"/>
        <v/>
      </c>
      <c r="W247" s="32"/>
      <c r="X247" s="101"/>
      <c r="Y247" s="108"/>
      <c r="Z247" s="287" t="str">
        <f t="shared" si="40"/>
        <v/>
      </c>
      <c r="AA247" s="287" t="str">
        <f t="shared" si="41"/>
        <v/>
      </c>
      <c r="AB247" s="287" t="str">
        <f t="shared" si="42"/>
        <v/>
      </c>
      <c r="AC247" s="491" t="str">
        <f>IFERROR(IF(OR(E247="",R247=""),"",IF(AND(AB247&lt;&gt;"",S247=""),"Spatial risk category missing ▲",IF(AND(Q247='G-7 WaterC'' Data'!$G$4,AD247="Yes"),"Alternative Compensation ✓",IF(AND(AD247="Pending",Q247='G-7 WaterC'' Data'!$G$4),"Bespoke compensation must be agreed ▲",IF((Z247+AA247)&gt;=U247,0,U247-Z247-AA247))))),"Check Data ⚠")</f>
        <v/>
      </c>
      <c r="AD247" s="393"/>
      <c r="AE247" s="105"/>
      <c r="AF247" s="104"/>
      <c r="AG247" s="104"/>
      <c r="AH247" s="104"/>
      <c r="AI247" s="54" t="str">
        <f>IF(OR(Q247="",AD247="Yes"),"",IF(Q247='G-1 All Habitats'!$X$9,E247-Y247-X247,"None"))</f>
        <v/>
      </c>
      <c r="AJ247" s="55" t="str">
        <f>IF(Q247="","",IF(Q247='G-1 All Habitats'!$X$9,AI247*G247*I247*L247*N247*P247,"None"))</f>
        <v/>
      </c>
      <c r="AK247" s="30" t="str">
        <f>IFERROR(INDEX('G-7 WaterC'' Data'!$AZ$3:$AZ$7,MATCH(D247,'G-7 WaterC'' Data'!$AY$3:$AY$7,0)),"")</f>
        <v/>
      </c>
      <c r="AL247" s="30">
        <f t="shared" si="43"/>
        <v>0</v>
      </c>
      <c r="AM247" s="95" t="str">
        <f t="shared" si="44"/>
        <v/>
      </c>
      <c r="AN247" s="95" t="str">
        <f t="shared" si="45"/>
        <v/>
      </c>
      <c r="AO247" s="96"/>
      <c r="AP247" s="95">
        <v>238</v>
      </c>
      <c r="AQ247" s="96"/>
      <c r="AR247" s="95" t="str">
        <f t="array" ref="AR247">IFERROR(INDEX($AP$10:$AP$258,MATCH(0,IF(TRUE=$AM$10:$AM$258,COUNTIF($AR$9:$AR246,$AP$10:$AP$258),""),0)),"")</f>
        <v/>
      </c>
      <c r="AS247" s="95" t="str">
        <f t="array" ref="AS247">IFERROR(INDEX($AP$10:$AP$258,MATCH(0,IF(TRUE=$AN$10:$AN$258,COUNTIF($AS$9:$AS246,$AP$10:$AP$258),""),0)),"")</f>
        <v/>
      </c>
      <c r="AT247" s="885" t="str">
        <f>IF(AND(OR(AD247="Yes",AD247="Pending"),Q247='G-7 WaterC'' Data'!$G$4),U247-AA247-Z247,"0")</f>
        <v>0</v>
      </c>
      <c r="AU247" s="30" t="str">
        <f>IF(D247="","",VLOOKUP(D247,'G-7 WaterC'' Data'!B$4:M$8,12,FALSE))</f>
        <v/>
      </c>
      <c r="AV247" s="30" t="str">
        <f t="shared" si="36"/>
        <v/>
      </c>
      <c r="AW247" s="30" t="str">
        <f t="shared" si="46"/>
        <v>No</v>
      </c>
      <c r="BA247" s="555" t="str">
        <f t="shared" si="47"/>
        <v/>
      </c>
    </row>
    <row r="248" spans="3:53" ht="14.5" thickBot="1">
      <c r="C248" s="97">
        <v>239</v>
      </c>
      <c r="D248" s="263"/>
      <c r="E248" s="104"/>
      <c r="F248" s="275" t="str">
        <f>IF(D248="","",VLOOKUP(D248,'G-7 WaterC'' Data'!$B$2:$G$8,2,FALSE))</f>
        <v/>
      </c>
      <c r="G248" s="314" t="str">
        <f>IFERROR(VLOOKUP(F248,'G-7 WaterC'' Data'!$C$4:$D$8,2,FALSE),"")</f>
        <v/>
      </c>
      <c r="H248" s="105"/>
      <c r="I248" s="299" t="str">
        <f>IFERROR(INDEX('G-7 WaterC'' Data'!$H$4:$L$8,MATCH(D248,'G-7 WaterC'' Data'!$B$4:$B$8,0),MATCH(H248,'G-7 WaterC'' Data'!$H$3:$L$3,0)),"")</f>
        <v/>
      </c>
      <c r="J248" s="702"/>
      <c r="K248" s="295" t="str">
        <f>IF(J248="","",IF(VLOOKUP(J248,'G-7 WaterC'' Data'!$AK$4:$AM$9,2,FALSE)=0,"Spatial Data Missing ⚠",VLOOKUP(J248,'G-7 WaterC'' Data'!$AK$4:$AM$6,2,FALSE)))</f>
        <v/>
      </c>
      <c r="L248" s="299" t="str">
        <f>IF(J248="","",IF(VLOOKUP(J248,'G-7 WaterC'' Data'!$AK$4:$AM$9,3,FALSE)=0,"Spatial Data Missing ⚠",VLOOKUP(J248,'G-7 WaterC'' Data'!$AK$4:$AM$6,3,FALSE)))</f>
        <v/>
      </c>
      <c r="M248" s="102"/>
      <c r="N248" s="276" t="str">
        <f>IF(M248="","",IF(AND(M248="N/A - Culvert",D248&lt;&gt;"Culvert"),"Not possible ▲",IF(AND(D248="Culvert",M248&lt;&gt;"N/A - Culvert"),"Not possible ▲",IF(VLOOKUP(M248,'G-7 WaterC'' Data'!$AA$4:$AB$7,2,FALSE)=0,"Spatial Data Missing ⚠",VLOOKUP(M248,'G-7 WaterC'' Data'!$AA$4:$AB$7,2,FALSE)))))</f>
        <v/>
      </c>
      <c r="O248" s="56"/>
      <c r="P248" s="276" t="str">
        <f>IF(O248="","",IF(AND(O248="N/A - Culvert",D248&lt;&gt;"Culvert"),"Not possible ▲",IF(AND(D248="Culvert",O248&lt;&gt;"N/A - Culvert"),"Not possible ▲",IF(VLOOKUP(O248,'G-7 WaterC'' Data'!$AD$4:$AE$14,2,FALSE)=0,"Spatial Data Missing ⚠",VLOOKUP(O248,'G-7 WaterC'' Data'!$AD$4:$AE$14,2,FALSE)))))</f>
        <v/>
      </c>
      <c r="Q248" s="282" t="str">
        <f>IF(D248="","",VLOOKUP(D248,'G-7 WaterC'' Data'!$B$4:$G$8,6,FALSE))</f>
        <v/>
      </c>
      <c r="R248" s="289" t="str">
        <f t="shared" si="37"/>
        <v xml:space="preserve"> </v>
      </c>
      <c r="S248" s="393"/>
      <c r="T248" s="281" t="str">
        <f>IF(S248="","",IF(VLOOKUP(S248,'G-7 WaterC'' Data'!$AO$4:$BO$7,2,FALSE)=0,"Spatial Data Missing ⚠",VLOOKUP(S248,'G-7 WaterC'' Data'!$AO$4:$BO$7,2,FALSE)))</f>
        <v/>
      </c>
      <c r="U248" s="289" t="str">
        <f t="shared" si="38"/>
        <v xml:space="preserve"> </v>
      </c>
      <c r="V248" s="694" t="str">
        <f t="shared" si="39"/>
        <v/>
      </c>
      <c r="W248" s="32"/>
      <c r="X248" s="101"/>
      <c r="Y248" s="108"/>
      <c r="Z248" s="287" t="str">
        <f t="shared" si="40"/>
        <v/>
      </c>
      <c r="AA248" s="287" t="str">
        <f t="shared" si="41"/>
        <v/>
      </c>
      <c r="AB248" s="287" t="str">
        <f t="shared" si="42"/>
        <v/>
      </c>
      <c r="AC248" s="491" t="str">
        <f>IFERROR(IF(OR(E248="",R248=""),"",IF(AND(AB248&lt;&gt;"",S248=""),"Spatial risk category missing ▲",IF(AND(Q248='G-7 WaterC'' Data'!$G$4,AD248="Yes"),"Alternative Compensation ✓",IF(AND(AD248="Pending",Q248='G-7 WaterC'' Data'!$G$4),"Bespoke compensation must be agreed ▲",IF((Z248+AA248)&gt;=U248,0,U248-Z248-AA248))))),"Check Data ⚠")</f>
        <v/>
      </c>
      <c r="AD248" s="393"/>
      <c r="AE248" s="105"/>
      <c r="AF248" s="104"/>
      <c r="AG248" s="104"/>
      <c r="AH248" s="104"/>
      <c r="AI248" s="54" t="str">
        <f>IF(OR(Q248="",AD248="Yes"),"",IF(Q248='G-1 All Habitats'!$X$9,E248-Y248-X248,"None"))</f>
        <v/>
      </c>
      <c r="AJ248" s="55" t="str">
        <f>IF(Q248="","",IF(Q248='G-1 All Habitats'!$X$9,AI248*G248*I248*L248*N248*P248,"None"))</f>
        <v/>
      </c>
      <c r="AK248" s="30" t="str">
        <f>IFERROR(INDEX('G-7 WaterC'' Data'!$AZ$3:$AZ$7,MATCH(D248,'G-7 WaterC'' Data'!$AY$3:$AY$7,0)),"")</f>
        <v/>
      </c>
      <c r="AL248" s="30">
        <f t="shared" si="43"/>
        <v>0</v>
      </c>
      <c r="AM248" s="95" t="str">
        <f t="shared" si="44"/>
        <v/>
      </c>
      <c r="AN248" s="95" t="str">
        <f t="shared" si="45"/>
        <v/>
      </c>
      <c r="AO248" s="96"/>
      <c r="AP248" s="95">
        <v>239</v>
      </c>
      <c r="AQ248" s="96"/>
      <c r="AR248" s="95" t="str">
        <f t="array" ref="AR248">IFERROR(INDEX($AP$10:$AP$258,MATCH(0,IF(TRUE=$AM$10:$AM$258,COUNTIF($AR$9:$AR247,$AP$10:$AP$258),""),0)),"")</f>
        <v/>
      </c>
      <c r="AS248" s="95" t="str">
        <f t="array" ref="AS248">IFERROR(INDEX($AP$10:$AP$258,MATCH(0,IF(TRUE=$AN$10:$AN$258,COUNTIF($AS$9:$AS247,$AP$10:$AP$258),""),0)),"")</f>
        <v/>
      </c>
      <c r="AT248" s="885" t="str">
        <f>IF(AND(OR(AD248="Yes",AD248="Pending"),Q248='G-7 WaterC'' Data'!$G$4),U248-AA248-Z248,"0")</f>
        <v>0</v>
      </c>
      <c r="AU248" s="30" t="str">
        <f>IF(D248="","",VLOOKUP(D248,'G-7 WaterC'' Data'!B$4:M$8,12,FALSE))</f>
        <v/>
      </c>
      <c r="AV248" s="30" t="str">
        <f t="shared" si="36"/>
        <v/>
      </c>
      <c r="AW248" s="30" t="str">
        <f t="shared" si="46"/>
        <v>No</v>
      </c>
      <c r="BA248" s="555" t="str">
        <f t="shared" si="47"/>
        <v/>
      </c>
    </row>
    <row r="249" spans="3:53" ht="14.5" thickBot="1">
      <c r="C249" s="97">
        <v>240</v>
      </c>
      <c r="D249" s="263"/>
      <c r="E249" s="104"/>
      <c r="F249" s="275" t="str">
        <f>IF(D249="","",VLOOKUP(D249,'G-7 WaterC'' Data'!$B$2:$G$8,2,FALSE))</f>
        <v/>
      </c>
      <c r="G249" s="314" t="str">
        <f>IFERROR(VLOOKUP(F249,'G-7 WaterC'' Data'!$C$4:$D$8,2,FALSE),"")</f>
        <v/>
      </c>
      <c r="H249" s="105"/>
      <c r="I249" s="299" t="str">
        <f>IFERROR(INDEX('G-7 WaterC'' Data'!$H$4:$L$8,MATCH(D249,'G-7 WaterC'' Data'!$B$4:$B$8,0),MATCH(H249,'G-7 WaterC'' Data'!$H$3:$L$3,0)),"")</f>
        <v/>
      </c>
      <c r="J249" s="702"/>
      <c r="K249" s="295" t="str">
        <f>IF(J249="","",IF(VLOOKUP(J249,'G-7 WaterC'' Data'!$AK$4:$AM$9,2,FALSE)=0,"Spatial Data Missing ⚠",VLOOKUP(J249,'G-7 WaterC'' Data'!$AK$4:$AM$6,2,FALSE)))</f>
        <v/>
      </c>
      <c r="L249" s="299" t="str">
        <f>IF(J249="","",IF(VLOOKUP(J249,'G-7 WaterC'' Data'!$AK$4:$AM$9,3,FALSE)=0,"Spatial Data Missing ⚠",VLOOKUP(J249,'G-7 WaterC'' Data'!$AK$4:$AM$6,3,FALSE)))</f>
        <v/>
      </c>
      <c r="M249" s="102"/>
      <c r="N249" s="276" t="str">
        <f>IF(M249="","",IF(AND(M249="N/A - Culvert",D249&lt;&gt;"Culvert"),"Not possible ▲",IF(AND(D249="Culvert",M249&lt;&gt;"N/A - Culvert"),"Not possible ▲",IF(VLOOKUP(M249,'G-7 WaterC'' Data'!$AA$4:$AB$7,2,FALSE)=0,"Spatial Data Missing ⚠",VLOOKUP(M249,'G-7 WaterC'' Data'!$AA$4:$AB$7,2,FALSE)))))</f>
        <v/>
      </c>
      <c r="O249" s="56"/>
      <c r="P249" s="276" t="str">
        <f>IF(O249="","",IF(AND(O249="N/A - Culvert",D249&lt;&gt;"Culvert"),"Not possible ▲",IF(AND(D249="Culvert",O249&lt;&gt;"N/A - Culvert"),"Not possible ▲",IF(VLOOKUP(O249,'G-7 WaterC'' Data'!$AD$4:$AE$14,2,FALSE)=0,"Spatial Data Missing ⚠",VLOOKUP(O249,'G-7 WaterC'' Data'!$AD$4:$AE$14,2,FALSE)))))</f>
        <v/>
      </c>
      <c r="Q249" s="282" t="str">
        <f>IF(D249="","",VLOOKUP(D249,'G-7 WaterC'' Data'!$B$4:$G$8,6,FALSE))</f>
        <v/>
      </c>
      <c r="R249" s="289" t="str">
        <f t="shared" si="37"/>
        <v xml:space="preserve"> </v>
      </c>
      <c r="S249" s="393"/>
      <c r="T249" s="281" t="str">
        <f>IF(S249="","",IF(VLOOKUP(S249,'G-7 WaterC'' Data'!$AO$4:$BO$7,2,FALSE)=0,"Spatial Data Missing ⚠",VLOOKUP(S249,'G-7 WaterC'' Data'!$AO$4:$BO$7,2,FALSE)))</f>
        <v/>
      </c>
      <c r="U249" s="289" t="str">
        <f t="shared" si="38"/>
        <v xml:space="preserve"> </v>
      </c>
      <c r="V249" s="694" t="str">
        <f t="shared" si="39"/>
        <v/>
      </c>
      <c r="W249" s="32"/>
      <c r="X249" s="101"/>
      <c r="Y249" s="108"/>
      <c r="Z249" s="287" t="str">
        <f t="shared" si="40"/>
        <v/>
      </c>
      <c r="AA249" s="287" t="str">
        <f t="shared" si="41"/>
        <v/>
      </c>
      <c r="AB249" s="287" t="str">
        <f t="shared" si="42"/>
        <v/>
      </c>
      <c r="AC249" s="491" t="str">
        <f>IFERROR(IF(OR(E249="",R249=""),"",IF(AND(AB249&lt;&gt;"",S249=""),"Spatial risk category missing ▲",IF(AND(Q249='G-7 WaterC'' Data'!$G$4,AD249="Yes"),"Alternative Compensation ✓",IF(AND(AD249="Pending",Q249='G-7 WaterC'' Data'!$G$4),"Bespoke compensation must be agreed ▲",IF((Z249+AA249)&gt;=U249,0,U249-Z249-AA249))))),"Check Data ⚠")</f>
        <v/>
      </c>
      <c r="AD249" s="393"/>
      <c r="AE249" s="105"/>
      <c r="AF249" s="104"/>
      <c r="AG249" s="104"/>
      <c r="AH249" s="104"/>
      <c r="AI249" s="54" t="str">
        <f>IF(OR(Q249="",AD249="Yes"),"",IF(Q249='G-1 All Habitats'!$X$9,E249-Y249-X249,"None"))</f>
        <v/>
      </c>
      <c r="AJ249" s="55" t="str">
        <f>IF(Q249="","",IF(Q249='G-1 All Habitats'!$X$9,AI249*G249*I249*L249*N249*P249,"None"))</f>
        <v/>
      </c>
      <c r="AK249" s="30" t="str">
        <f>IFERROR(INDEX('G-7 WaterC'' Data'!$AZ$3:$AZ$7,MATCH(D249,'G-7 WaterC'' Data'!$AY$3:$AY$7,0)),"")</f>
        <v/>
      </c>
      <c r="AL249" s="30">
        <f t="shared" si="43"/>
        <v>0</v>
      </c>
      <c r="AM249" s="95" t="str">
        <f t="shared" si="44"/>
        <v/>
      </c>
      <c r="AN249" s="95" t="str">
        <f t="shared" si="45"/>
        <v/>
      </c>
      <c r="AO249" s="96"/>
      <c r="AP249" s="95">
        <v>240</v>
      </c>
      <c r="AQ249" s="96"/>
      <c r="AR249" s="95" t="str">
        <f t="array" ref="AR249">IFERROR(INDEX($AP$10:$AP$258,MATCH(0,IF(TRUE=$AM$10:$AM$258,COUNTIF($AR$9:$AR248,$AP$10:$AP$258),""),0)),"")</f>
        <v/>
      </c>
      <c r="AS249" s="95" t="str">
        <f t="array" ref="AS249">IFERROR(INDEX($AP$10:$AP$258,MATCH(0,IF(TRUE=$AN$10:$AN$258,COUNTIF($AS$9:$AS248,$AP$10:$AP$258),""),0)),"")</f>
        <v/>
      </c>
      <c r="AT249" s="885" t="str">
        <f>IF(AND(OR(AD249="Yes",AD249="Pending"),Q249='G-7 WaterC'' Data'!$G$4),U249-AA249-Z249,"0")</f>
        <v>0</v>
      </c>
      <c r="AU249" s="30" t="str">
        <f>IF(D249="","",VLOOKUP(D249,'G-7 WaterC'' Data'!B$4:M$8,12,FALSE))</f>
        <v/>
      </c>
      <c r="AV249" s="30" t="str">
        <f t="shared" si="36"/>
        <v/>
      </c>
      <c r="AW249" s="30" t="str">
        <f t="shared" si="46"/>
        <v>No</v>
      </c>
      <c r="BA249" s="555" t="str">
        <f t="shared" si="47"/>
        <v/>
      </c>
    </row>
    <row r="250" spans="3:53" ht="14.5" thickBot="1">
      <c r="C250" s="97">
        <v>241</v>
      </c>
      <c r="D250" s="263"/>
      <c r="E250" s="104"/>
      <c r="F250" s="275" t="str">
        <f>IF(D250="","",VLOOKUP(D250,'G-7 WaterC'' Data'!$B$2:$G$8,2,FALSE))</f>
        <v/>
      </c>
      <c r="G250" s="314" t="str">
        <f>IFERROR(VLOOKUP(F250,'G-7 WaterC'' Data'!$C$4:$D$8,2,FALSE),"")</f>
        <v/>
      </c>
      <c r="H250" s="105"/>
      <c r="I250" s="299" t="str">
        <f>IFERROR(INDEX('G-7 WaterC'' Data'!$H$4:$L$8,MATCH(D250,'G-7 WaterC'' Data'!$B$4:$B$8,0),MATCH(H250,'G-7 WaterC'' Data'!$H$3:$L$3,0)),"")</f>
        <v/>
      </c>
      <c r="J250" s="702"/>
      <c r="K250" s="295" t="str">
        <f>IF(J250="","",IF(VLOOKUP(J250,'G-7 WaterC'' Data'!$AK$4:$AM$9,2,FALSE)=0,"Spatial Data Missing ⚠",VLOOKUP(J250,'G-7 WaterC'' Data'!$AK$4:$AM$6,2,FALSE)))</f>
        <v/>
      </c>
      <c r="L250" s="299" t="str">
        <f>IF(J250="","",IF(VLOOKUP(J250,'G-7 WaterC'' Data'!$AK$4:$AM$9,3,FALSE)=0,"Spatial Data Missing ⚠",VLOOKUP(J250,'G-7 WaterC'' Data'!$AK$4:$AM$6,3,FALSE)))</f>
        <v/>
      </c>
      <c r="M250" s="102"/>
      <c r="N250" s="276" t="str">
        <f>IF(M250="","",IF(AND(M250="N/A - Culvert",D250&lt;&gt;"Culvert"),"Not possible ▲",IF(AND(D250="Culvert",M250&lt;&gt;"N/A - Culvert"),"Not possible ▲",IF(VLOOKUP(M250,'G-7 WaterC'' Data'!$AA$4:$AB$7,2,FALSE)=0,"Spatial Data Missing ⚠",VLOOKUP(M250,'G-7 WaterC'' Data'!$AA$4:$AB$7,2,FALSE)))))</f>
        <v/>
      </c>
      <c r="O250" s="56"/>
      <c r="P250" s="276" t="str">
        <f>IF(O250="","",IF(AND(O250="N/A - Culvert",D250&lt;&gt;"Culvert"),"Not possible ▲",IF(AND(D250="Culvert",O250&lt;&gt;"N/A - Culvert"),"Not possible ▲",IF(VLOOKUP(O250,'G-7 WaterC'' Data'!$AD$4:$AE$14,2,FALSE)=0,"Spatial Data Missing ⚠",VLOOKUP(O250,'G-7 WaterC'' Data'!$AD$4:$AE$14,2,FALSE)))))</f>
        <v/>
      </c>
      <c r="Q250" s="282" t="str">
        <f>IF(D250="","",VLOOKUP(D250,'G-7 WaterC'' Data'!$B$4:$G$8,6,FALSE))</f>
        <v/>
      </c>
      <c r="R250" s="289" t="str">
        <f t="shared" si="37"/>
        <v xml:space="preserve"> </v>
      </c>
      <c r="S250" s="393"/>
      <c r="T250" s="281" t="str">
        <f>IF(S250="","",IF(VLOOKUP(S250,'G-7 WaterC'' Data'!$AO$4:$BO$7,2,FALSE)=0,"Spatial Data Missing ⚠",VLOOKUP(S250,'G-7 WaterC'' Data'!$AO$4:$BO$7,2,FALSE)))</f>
        <v/>
      </c>
      <c r="U250" s="289" t="str">
        <f t="shared" si="38"/>
        <v xml:space="preserve"> </v>
      </c>
      <c r="V250" s="694" t="str">
        <f t="shared" si="39"/>
        <v/>
      </c>
      <c r="W250" s="32"/>
      <c r="X250" s="101"/>
      <c r="Y250" s="108"/>
      <c r="Z250" s="287" t="str">
        <f t="shared" si="40"/>
        <v/>
      </c>
      <c r="AA250" s="287" t="str">
        <f t="shared" si="41"/>
        <v/>
      </c>
      <c r="AB250" s="287" t="str">
        <f t="shared" si="42"/>
        <v/>
      </c>
      <c r="AC250" s="491" t="str">
        <f>IFERROR(IF(OR(E250="",R250=""),"",IF(AND(AB250&lt;&gt;"",S250=""),"Spatial risk category missing ▲",IF(AND(Q250='G-7 WaterC'' Data'!$G$4,AD250="Yes"),"Alternative Compensation ✓",IF(AND(AD250="Pending",Q250='G-7 WaterC'' Data'!$G$4),"Bespoke compensation must be agreed ▲",IF((Z250+AA250)&gt;=U250,0,U250-Z250-AA250))))),"Check Data ⚠")</f>
        <v/>
      </c>
      <c r="AD250" s="393"/>
      <c r="AE250" s="105"/>
      <c r="AF250" s="104"/>
      <c r="AG250" s="104"/>
      <c r="AH250" s="104"/>
      <c r="AI250" s="54" t="str">
        <f>IF(OR(Q250="",AD250="Yes"),"",IF(Q250='G-1 All Habitats'!$X$9,E250-Y250-X250,"None"))</f>
        <v/>
      </c>
      <c r="AJ250" s="55" t="str">
        <f>IF(Q250="","",IF(Q250='G-1 All Habitats'!$X$9,AI250*G250*I250*L250*N250*P250,"None"))</f>
        <v/>
      </c>
      <c r="AK250" s="30" t="str">
        <f>IFERROR(INDEX('G-7 WaterC'' Data'!$AZ$3:$AZ$7,MATCH(D250,'G-7 WaterC'' Data'!$AY$3:$AY$7,0)),"")</f>
        <v/>
      </c>
      <c r="AL250" s="30">
        <f t="shared" si="43"/>
        <v>0</v>
      </c>
      <c r="AM250" s="95" t="str">
        <f t="shared" si="44"/>
        <v/>
      </c>
      <c r="AN250" s="95" t="str">
        <f t="shared" si="45"/>
        <v/>
      </c>
      <c r="AO250" s="96"/>
      <c r="AP250" s="95">
        <v>241</v>
      </c>
      <c r="AQ250" s="96"/>
      <c r="AR250" s="95" t="str">
        <f t="array" ref="AR250">IFERROR(INDEX($AP$10:$AP$258,MATCH(0,IF(TRUE=$AM$10:$AM$258,COUNTIF($AR$9:$AR249,$AP$10:$AP$258),""),0)),"")</f>
        <v/>
      </c>
      <c r="AS250" s="95" t="str">
        <f t="array" ref="AS250">IFERROR(INDEX($AP$10:$AP$258,MATCH(0,IF(TRUE=$AN$10:$AN$258,COUNTIF($AS$9:$AS249,$AP$10:$AP$258),""),0)),"")</f>
        <v/>
      </c>
      <c r="AT250" s="885" t="str">
        <f>IF(AND(OR(AD250="Yes",AD250="Pending"),Q250='G-7 WaterC'' Data'!$G$4),U250-AA250-Z250,"0")</f>
        <v>0</v>
      </c>
      <c r="AU250" s="30" t="str">
        <f>IF(D250="","",VLOOKUP(D250,'G-7 WaterC'' Data'!B$4:M$8,12,FALSE))</f>
        <v/>
      </c>
      <c r="AV250" s="30" t="str">
        <f t="shared" si="36"/>
        <v/>
      </c>
      <c r="AW250" s="30" t="str">
        <f t="shared" si="46"/>
        <v>No</v>
      </c>
      <c r="BA250" s="555" t="str">
        <f t="shared" si="47"/>
        <v/>
      </c>
    </row>
    <row r="251" spans="3:53" ht="14.5" thickBot="1">
      <c r="C251" s="97">
        <v>242</v>
      </c>
      <c r="D251" s="263"/>
      <c r="E251" s="104"/>
      <c r="F251" s="275" t="str">
        <f>IF(D251="","",VLOOKUP(D251,'G-7 WaterC'' Data'!$B$2:$G$8,2,FALSE))</f>
        <v/>
      </c>
      <c r="G251" s="314" t="str">
        <f>IFERROR(VLOOKUP(F251,'G-7 WaterC'' Data'!$C$4:$D$8,2,FALSE),"")</f>
        <v/>
      </c>
      <c r="H251" s="105"/>
      <c r="I251" s="299" t="str">
        <f>IFERROR(INDEX('G-7 WaterC'' Data'!$H$4:$L$8,MATCH(D251,'G-7 WaterC'' Data'!$B$4:$B$8,0),MATCH(H251,'G-7 WaterC'' Data'!$H$3:$L$3,0)),"")</f>
        <v/>
      </c>
      <c r="J251" s="702"/>
      <c r="K251" s="295" t="str">
        <f>IF(J251="","",IF(VLOOKUP(J251,'G-7 WaterC'' Data'!$AK$4:$AM$9,2,FALSE)=0,"Spatial Data Missing ⚠",VLOOKUP(J251,'G-7 WaterC'' Data'!$AK$4:$AM$6,2,FALSE)))</f>
        <v/>
      </c>
      <c r="L251" s="299" t="str">
        <f>IF(J251="","",IF(VLOOKUP(J251,'G-7 WaterC'' Data'!$AK$4:$AM$9,3,FALSE)=0,"Spatial Data Missing ⚠",VLOOKUP(J251,'G-7 WaterC'' Data'!$AK$4:$AM$6,3,FALSE)))</f>
        <v/>
      </c>
      <c r="M251" s="102"/>
      <c r="N251" s="276" t="str">
        <f>IF(M251="","",IF(AND(M251="N/A - Culvert",D251&lt;&gt;"Culvert"),"Not possible ▲",IF(AND(D251="Culvert",M251&lt;&gt;"N/A - Culvert"),"Not possible ▲",IF(VLOOKUP(M251,'G-7 WaterC'' Data'!$AA$4:$AB$7,2,FALSE)=0,"Spatial Data Missing ⚠",VLOOKUP(M251,'G-7 WaterC'' Data'!$AA$4:$AB$7,2,FALSE)))))</f>
        <v/>
      </c>
      <c r="O251" s="56"/>
      <c r="P251" s="276" t="str">
        <f>IF(O251="","",IF(AND(O251="N/A - Culvert",D251&lt;&gt;"Culvert"),"Not possible ▲",IF(AND(D251="Culvert",O251&lt;&gt;"N/A - Culvert"),"Not possible ▲",IF(VLOOKUP(O251,'G-7 WaterC'' Data'!$AD$4:$AE$14,2,FALSE)=0,"Spatial Data Missing ⚠",VLOOKUP(O251,'G-7 WaterC'' Data'!$AD$4:$AE$14,2,FALSE)))))</f>
        <v/>
      </c>
      <c r="Q251" s="282" t="str">
        <f>IF(D251="","",VLOOKUP(D251,'G-7 WaterC'' Data'!$B$4:$G$8,6,FALSE))</f>
        <v/>
      </c>
      <c r="R251" s="289" t="str">
        <f t="shared" si="37"/>
        <v xml:space="preserve"> </v>
      </c>
      <c r="S251" s="393"/>
      <c r="T251" s="281" t="str">
        <f>IF(S251="","",IF(VLOOKUP(S251,'G-7 WaterC'' Data'!$AO$4:$BO$7,2,FALSE)=0,"Spatial Data Missing ⚠",VLOOKUP(S251,'G-7 WaterC'' Data'!$AO$4:$BO$7,2,FALSE)))</f>
        <v/>
      </c>
      <c r="U251" s="289" t="str">
        <f t="shared" si="38"/>
        <v xml:space="preserve"> </v>
      </c>
      <c r="V251" s="694" t="str">
        <f t="shared" si="39"/>
        <v/>
      </c>
      <c r="W251" s="32"/>
      <c r="X251" s="101"/>
      <c r="Y251" s="108"/>
      <c r="Z251" s="287" t="str">
        <f t="shared" si="40"/>
        <v/>
      </c>
      <c r="AA251" s="287" t="str">
        <f t="shared" si="41"/>
        <v/>
      </c>
      <c r="AB251" s="287" t="str">
        <f t="shared" si="42"/>
        <v/>
      </c>
      <c r="AC251" s="491" t="str">
        <f>IFERROR(IF(OR(E251="",R251=""),"",IF(AND(AB251&lt;&gt;"",S251=""),"Spatial risk category missing ▲",IF(AND(Q251='G-7 WaterC'' Data'!$G$4,AD251="Yes"),"Alternative Compensation ✓",IF(AND(AD251="Pending",Q251='G-7 WaterC'' Data'!$G$4),"Bespoke compensation must be agreed ▲",IF((Z251+AA251)&gt;=U251,0,U251-Z251-AA251))))),"Check Data ⚠")</f>
        <v/>
      </c>
      <c r="AD251" s="393"/>
      <c r="AE251" s="105"/>
      <c r="AF251" s="104"/>
      <c r="AG251" s="104"/>
      <c r="AH251" s="104"/>
      <c r="AI251" s="54" t="str">
        <f>IF(OR(Q251="",AD251="Yes"),"",IF(Q251='G-1 All Habitats'!$X$9,E251-Y251-X251,"None"))</f>
        <v/>
      </c>
      <c r="AJ251" s="55" t="str">
        <f>IF(Q251="","",IF(Q251='G-1 All Habitats'!$X$9,AI251*G251*I251*L251*N251*P251,"None"))</f>
        <v/>
      </c>
      <c r="AK251" s="30" t="str">
        <f>IFERROR(INDEX('G-7 WaterC'' Data'!$AZ$3:$AZ$7,MATCH(D251,'G-7 WaterC'' Data'!$AY$3:$AY$7,0)),"")</f>
        <v/>
      </c>
      <c r="AL251" s="30">
        <f t="shared" si="43"/>
        <v>0</v>
      </c>
      <c r="AM251" s="95" t="str">
        <f t="shared" si="44"/>
        <v/>
      </c>
      <c r="AN251" s="95" t="str">
        <f t="shared" si="45"/>
        <v/>
      </c>
      <c r="AO251" s="96"/>
      <c r="AP251" s="95">
        <v>242</v>
      </c>
      <c r="AQ251" s="96"/>
      <c r="AR251" s="95" t="str">
        <f t="array" ref="AR251">IFERROR(INDEX($AP$10:$AP$258,MATCH(0,IF(TRUE=$AM$10:$AM$258,COUNTIF($AR$9:$AR250,$AP$10:$AP$258),""),0)),"")</f>
        <v/>
      </c>
      <c r="AS251" s="95" t="str">
        <f t="array" ref="AS251">IFERROR(INDEX($AP$10:$AP$258,MATCH(0,IF(TRUE=$AN$10:$AN$258,COUNTIF($AS$9:$AS250,$AP$10:$AP$258),""),0)),"")</f>
        <v/>
      </c>
      <c r="AT251" s="885" t="str">
        <f>IF(AND(OR(AD251="Yes",AD251="Pending"),Q251='G-7 WaterC'' Data'!$G$4),U251-AA251-Z251,"0")</f>
        <v>0</v>
      </c>
      <c r="AU251" s="30" t="str">
        <f>IF(D251="","",VLOOKUP(D251,'G-7 WaterC'' Data'!B$4:M$8,12,FALSE))</f>
        <v/>
      </c>
      <c r="AV251" s="30" t="str">
        <f t="shared" si="36"/>
        <v/>
      </c>
      <c r="AW251" s="30" t="str">
        <f t="shared" si="46"/>
        <v>No</v>
      </c>
      <c r="BA251" s="555" t="str">
        <f t="shared" si="47"/>
        <v/>
      </c>
    </row>
    <row r="252" spans="3:53" ht="14.5" thickBot="1">
      <c r="C252" s="97">
        <v>243</v>
      </c>
      <c r="D252" s="263"/>
      <c r="E252" s="104"/>
      <c r="F252" s="275" t="str">
        <f>IF(D252="","",VLOOKUP(D252,'G-7 WaterC'' Data'!$B$2:$G$8,2,FALSE))</f>
        <v/>
      </c>
      <c r="G252" s="314" t="str">
        <f>IFERROR(VLOOKUP(F252,'G-7 WaterC'' Data'!$C$4:$D$8,2,FALSE),"")</f>
        <v/>
      </c>
      <c r="H252" s="105"/>
      <c r="I252" s="299" t="str">
        <f>IFERROR(INDEX('G-7 WaterC'' Data'!$H$4:$L$8,MATCH(D252,'G-7 WaterC'' Data'!$B$4:$B$8,0),MATCH(H252,'G-7 WaterC'' Data'!$H$3:$L$3,0)),"")</f>
        <v/>
      </c>
      <c r="J252" s="702"/>
      <c r="K252" s="295" t="str">
        <f>IF(J252="","",IF(VLOOKUP(J252,'G-7 WaterC'' Data'!$AK$4:$AM$9,2,FALSE)=0,"Spatial Data Missing ⚠",VLOOKUP(J252,'G-7 WaterC'' Data'!$AK$4:$AM$6,2,FALSE)))</f>
        <v/>
      </c>
      <c r="L252" s="299" t="str">
        <f>IF(J252="","",IF(VLOOKUP(J252,'G-7 WaterC'' Data'!$AK$4:$AM$9,3,FALSE)=0,"Spatial Data Missing ⚠",VLOOKUP(J252,'G-7 WaterC'' Data'!$AK$4:$AM$6,3,FALSE)))</f>
        <v/>
      </c>
      <c r="M252" s="102"/>
      <c r="N252" s="276" t="str">
        <f>IF(M252="","",IF(AND(M252="N/A - Culvert",D252&lt;&gt;"Culvert"),"Not possible ▲",IF(AND(D252="Culvert",M252&lt;&gt;"N/A - Culvert"),"Not possible ▲",IF(VLOOKUP(M252,'G-7 WaterC'' Data'!$AA$4:$AB$7,2,FALSE)=0,"Spatial Data Missing ⚠",VLOOKUP(M252,'G-7 WaterC'' Data'!$AA$4:$AB$7,2,FALSE)))))</f>
        <v/>
      </c>
      <c r="O252" s="56"/>
      <c r="P252" s="276" t="str">
        <f>IF(O252="","",IF(AND(O252="N/A - Culvert",D252&lt;&gt;"Culvert"),"Not possible ▲",IF(AND(D252="Culvert",O252&lt;&gt;"N/A - Culvert"),"Not possible ▲",IF(VLOOKUP(O252,'G-7 WaterC'' Data'!$AD$4:$AE$14,2,FALSE)=0,"Spatial Data Missing ⚠",VLOOKUP(O252,'G-7 WaterC'' Data'!$AD$4:$AE$14,2,FALSE)))))</f>
        <v/>
      </c>
      <c r="Q252" s="282" t="str">
        <f>IF(D252="","",VLOOKUP(D252,'G-7 WaterC'' Data'!$B$4:$G$8,6,FALSE))</f>
        <v/>
      </c>
      <c r="R252" s="289" t="str">
        <f t="shared" si="37"/>
        <v xml:space="preserve"> </v>
      </c>
      <c r="S252" s="393"/>
      <c r="T252" s="281" t="str">
        <f>IF(S252="","",IF(VLOOKUP(S252,'G-7 WaterC'' Data'!$AO$4:$BO$7,2,FALSE)=0,"Spatial Data Missing ⚠",VLOOKUP(S252,'G-7 WaterC'' Data'!$AO$4:$BO$7,2,FALSE)))</f>
        <v/>
      </c>
      <c r="U252" s="289" t="str">
        <f t="shared" si="38"/>
        <v xml:space="preserve"> </v>
      </c>
      <c r="V252" s="694" t="str">
        <f t="shared" si="39"/>
        <v/>
      </c>
      <c r="W252" s="32"/>
      <c r="X252" s="101"/>
      <c r="Y252" s="108"/>
      <c r="Z252" s="287" t="str">
        <f t="shared" si="40"/>
        <v/>
      </c>
      <c r="AA252" s="287" t="str">
        <f t="shared" si="41"/>
        <v/>
      </c>
      <c r="AB252" s="287" t="str">
        <f t="shared" si="42"/>
        <v/>
      </c>
      <c r="AC252" s="491" t="str">
        <f>IFERROR(IF(OR(E252="",R252=""),"",IF(AND(AB252&lt;&gt;"",S252=""),"Spatial risk category missing ▲",IF(AND(Q252='G-7 WaterC'' Data'!$G$4,AD252="Yes"),"Alternative Compensation ✓",IF(AND(AD252="Pending",Q252='G-7 WaterC'' Data'!$G$4),"Bespoke compensation must be agreed ▲",IF((Z252+AA252)&gt;=U252,0,U252-Z252-AA252))))),"Check Data ⚠")</f>
        <v/>
      </c>
      <c r="AD252" s="393"/>
      <c r="AE252" s="105"/>
      <c r="AF252" s="104"/>
      <c r="AG252" s="104"/>
      <c r="AH252" s="104"/>
      <c r="AI252" s="54" t="str">
        <f>IF(OR(Q252="",AD252="Yes"),"",IF(Q252='G-1 All Habitats'!$X$9,E252-Y252-X252,"None"))</f>
        <v/>
      </c>
      <c r="AJ252" s="55" t="str">
        <f>IF(Q252="","",IF(Q252='G-1 All Habitats'!$X$9,AI252*G252*I252*L252*N252*P252,"None"))</f>
        <v/>
      </c>
      <c r="AK252" s="30" t="str">
        <f>IFERROR(INDEX('G-7 WaterC'' Data'!$AZ$3:$AZ$7,MATCH(D252,'G-7 WaterC'' Data'!$AY$3:$AY$7,0)),"")</f>
        <v/>
      </c>
      <c r="AL252" s="30">
        <f t="shared" si="43"/>
        <v>0</v>
      </c>
      <c r="AM252" s="95" t="str">
        <f t="shared" si="44"/>
        <v/>
      </c>
      <c r="AN252" s="95" t="str">
        <f t="shared" si="45"/>
        <v/>
      </c>
      <c r="AO252" s="96"/>
      <c r="AP252" s="95">
        <v>243</v>
      </c>
      <c r="AQ252" s="96"/>
      <c r="AR252" s="95" t="str">
        <f t="array" ref="AR252">IFERROR(INDEX($AP$10:$AP$258,MATCH(0,IF(TRUE=$AM$10:$AM$258,COUNTIF($AR$9:$AR251,$AP$10:$AP$258),""),0)),"")</f>
        <v/>
      </c>
      <c r="AS252" s="95" t="str">
        <f t="array" ref="AS252">IFERROR(INDEX($AP$10:$AP$258,MATCH(0,IF(TRUE=$AN$10:$AN$258,COUNTIF($AS$9:$AS251,$AP$10:$AP$258),""),0)),"")</f>
        <v/>
      </c>
      <c r="AT252" s="885" t="str">
        <f>IF(AND(OR(AD252="Yes",AD252="Pending"),Q252='G-7 WaterC'' Data'!$G$4),U252-AA252-Z252,"0")</f>
        <v>0</v>
      </c>
      <c r="AU252" s="30" t="str">
        <f>IF(D252="","",VLOOKUP(D252,'G-7 WaterC'' Data'!B$4:M$8,12,FALSE))</f>
        <v/>
      </c>
      <c r="AV252" s="30" t="str">
        <f t="shared" si="36"/>
        <v/>
      </c>
      <c r="AW252" s="30" t="str">
        <f t="shared" si="46"/>
        <v>No</v>
      </c>
      <c r="BA252" s="555" t="str">
        <f t="shared" si="47"/>
        <v/>
      </c>
    </row>
    <row r="253" spans="3:53" ht="14.5" thickBot="1">
      <c r="C253" s="97">
        <v>244</v>
      </c>
      <c r="D253" s="263"/>
      <c r="E253" s="104"/>
      <c r="F253" s="275" t="str">
        <f>IF(D253="","",VLOOKUP(D253,'G-7 WaterC'' Data'!$B$2:$G$8,2,FALSE))</f>
        <v/>
      </c>
      <c r="G253" s="314" t="str">
        <f>IFERROR(VLOOKUP(F253,'G-7 WaterC'' Data'!$C$4:$D$8,2,FALSE),"")</f>
        <v/>
      </c>
      <c r="H253" s="105"/>
      <c r="I253" s="299" t="str">
        <f>IFERROR(INDEX('G-7 WaterC'' Data'!$H$4:$L$8,MATCH(D253,'G-7 WaterC'' Data'!$B$4:$B$8,0),MATCH(H253,'G-7 WaterC'' Data'!$H$3:$L$3,0)),"")</f>
        <v/>
      </c>
      <c r="J253" s="702"/>
      <c r="K253" s="295" t="str">
        <f>IF(J253="","",IF(VLOOKUP(J253,'G-7 WaterC'' Data'!$AK$4:$AM$9,2,FALSE)=0,"Spatial Data Missing ⚠",VLOOKUP(J253,'G-7 WaterC'' Data'!$AK$4:$AM$6,2,FALSE)))</f>
        <v/>
      </c>
      <c r="L253" s="299" t="str">
        <f>IF(J253="","",IF(VLOOKUP(J253,'G-7 WaterC'' Data'!$AK$4:$AM$9,3,FALSE)=0,"Spatial Data Missing ⚠",VLOOKUP(J253,'G-7 WaterC'' Data'!$AK$4:$AM$6,3,FALSE)))</f>
        <v/>
      </c>
      <c r="M253" s="102"/>
      <c r="N253" s="276" t="str">
        <f>IF(M253="","",IF(AND(M253="N/A - Culvert",D253&lt;&gt;"Culvert"),"Not possible ▲",IF(AND(D253="Culvert",M253&lt;&gt;"N/A - Culvert"),"Not possible ▲",IF(VLOOKUP(M253,'G-7 WaterC'' Data'!$AA$4:$AB$7,2,FALSE)=0,"Spatial Data Missing ⚠",VLOOKUP(M253,'G-7 WaterC'' Data'!$AA$4:$AB$7,2,FALSE)))))</f>
        <v/>
      </c>
      <c r="O253" s="56"/>
      <c r="P253" s="276" t="str">
        <f>IF(O253="","",IF(AND(O253="N/A - Culvert",D253&lt;&gt;"Culvert"),"Not possible ▲",IF(AND(D253="Culvert",O253&lt;&gt;"N/A - Culvert"),"Not possible ▲",IF(VLOOKUP(O253,'G-7 WaterC'' Data'!$AD$4:$AE$14,2,FALSE)=0,"Spatial Data Missing ⚠",VLOOKUP(O253,'G-7 WaterC'' Data'!$AD$4:$AE$14,2,FALSE)))))</f>
        <v/>
      </c>
      <c r="Q253" s="282" t="str">
        <f>IF(D253="","",VLOOKUP(D253,'G-7 WaterC'' Data'!$B$4:$G$8,6,FALSE))</f>
        <v/>
      </c>
      <c r="R253" s="289" t="str">
        <f t="shared" si="37"/>
        <v xml:space="preserve"> </v>
      </c>
      <c r="S253" s="393"/>
      <c r="T253" s="281" t="str">
        <f>IF(S253="","",IF(VLOOKUP(S253,'G-7 WaterC'' Data'!$AO$4:$BO$7,2,FALSE)=0,"Spatial Data Missing ⚠",VLOOKUP(S253,'G-7 WaterC'' Data'!$AO$4:$BO$7,2,FALSE)))</f>
        <v/>
      </c>
      <c r="U253" s="289" t="str">
        <f t="shared" si="38"/>
        <v xml:space="preserve"> </v>
      </c>
      <c r="V253" s="694" t="str">
        <f t="shared" si="39"/>
        <v/>
      </c>
      <c r="W253" s="32"/>
      <c r="X253" s="101"/>
      <c r="Y253" s="108"/>
      <c r="Z253" s="287" t="str">
        <f t="shared" si="40"/>
        <v/>
      </c>
      <c r="AA253" s="287" t="str">
        <f t="shared" si="41"/>
        <v/>
      </c>
      <c r="AB253" s="287" t="str">
        <f t="shared" si="42"/>
        <v/>
      </c>
      <c r="AC253" s="491" t="str">
        <f>IFERROR(IF(OR(E253="",R253=""),"",IF(AND(AB253&lt;&gt;"",S253=""),"Spatial risk category missing ▲",IF(AND(Q253='G-7 WaterC'' Data'!$G$4,AD253="Yes"),"Alternative Compensation ✓",IF(AND(AD253="Pending",Q253='G-7 WaterC'' Data'!$G$4),"Bespoke compensation must be agreed ▲",IF((Z253+AA253)&gt;=U253,0,U253-Z253-AA253))))),"Check Data ⚠")</f>
        <v/>
      </c>
      <c r="AD253" s="393"/>
      <c r="AE253" s="105"/>
      <c r="AF253" s="104"/>
      <c r="AG253" s="104"/>
      <c r="AH253" s="104"/>
      <c r="AI253" s="54" t="str">
        <f>IF(OR(Q253="",AD253="Yes"),"",IF(Q253='G-1 All Habitats'!$X$9,E253-Y253-X253,"None"))</f>
        <v/>
      </c>
      <c r="AJ253" s="55" t="str">
        <f>IF(Q253="","",IF(Q253='G-1 All Habitats'!$X$9,AI253*G253*I253*L253*N253*P253,"None"))</f>
        <v/>
      </c>
      <c r="AK253" s="30" t="str">
        <f>IFERROR(INDEX('G-7 WaterC'' Data'!$AZ$3:$AZ$7,MATCH(D253,'G-7 WaterC'' Data'!$AY$3:$AY$7,0)),"")</f>
        <v/>
      </c>
      <c r="AL253" s="30">
        <f t="shared" si="43"/>
        <v>0</v>
      </c>
      <c r="AM253" s="95" t="str">
        <f t="shared" si="44"/>
        <v/>
      </c>
      <c r="AN253" s="95" t="str">
        <f t="shared" si="45"/>
        <v/>
      </c>
      <c r="AO253" s="96"/>
      <c r="AP253" s="95">
        <v>244</v>
      </c>
      <c r="AQ253" s="96"/>
      <c r="AR253" s="95" t="str">
        <f t="array" ref="AR253">IFERROR(INDEX($AP$10:$AP$258,MATCH(0,IF(TRUE=$AM$10:$AM$258,COUNTIF($AR$9:$AR252,$AP$10:$AP$258),""),0)),"")</f>
        <v/>
      </c>
      <c r="AS253" s="95" t="str">
        <f t="array" ref="AS253">IFERROR(INDEX($AP$10:$AP$258,MATCH(0,IF(TRUE=$AN$10:$AN$258,COUNTIF($AS$9:$AS252,$AP$10:$AP$258),""),0)),"")</f>
        <v/>
      </c>
      <c r="AT253" s="885" t="str">
        <f>IF(AND(OR(AD253="Yes",AD253="Pending"),Q253='G-7 WaterC'' Data'!$G$4),U253-AA253-Z253,"0")</f>
        <v>0</v>
      </c>
      <c r="AU253" s="30" t="str">
        <f>IF(D253="","",VLOOKUP(D253,'G-7 WaterC'' Data'!B$4:M$8,12,FALSE))</f>
        <v/>
      </c>
      <c r="AV253" s="30" t="str">
        <f t="shared" si="36"/>
        <v/>
      </c>
      <c r="AW253" s="30" t="str">
        <f t="shared" si="46"/>
        <v>No</v>
      </c>
      <c r="BA253" s="555" t="str">
        <f t="shared" si="47"/>
        <v/>
      </c>
    </row>
    <row r="254" spans="3:53" ht="14.5" thickBot="1">
      <c r="C254" s="97">
        <v>245</v>
      </c>
      <c r="D254" s="263"/>
      <c r="E254" s="104"/>
      <c r="F254" s="275" t="str">
        <f>IF(D254="","",VLOOKUP(D254,'G-7 WaterC'' Data'!$B$2:$G$8,2,FALSE))</f>
        <v/>
      </c>
      <c r="G254" s="314" t="str">
        <f>IFERROR(VLOOKUP(F254,'G-7 WaterC'' Data'!$C$4:$D$8,2,FALSE),"")</f>
        <v/>
      </c>
      <c r="H254" s="105"/>
      <c r="I254" s="299" t="str">
        <f>IFERROR(INDEX('G-7 WaterC'' Data'!$H$4:$L$8,MATCH(D254,'G-7 WaterC'' Data'!$B$4:$B$8,0),MATCH(H254,'G-7 WaterC'' Data'!$H$3:$L$3,0)),"")</f>
        <v/>
      </c>
      <c r="J254" s="702"/>
      <c r="K254" s="295" t="str">
        <f>IF(J254="","",IF(VLOOKUP(J254,'G-7 WaterC'' Data'!$AK$4:$AM$9,2,FALSE)=0,"Spatial Data Missing ⚠",VLOOKUP(J254,'G-7 WaterC'' Data'!$AK$4:$AM$6,2,FALSE)))</f>
        <v/>
      </c>
      <c r="L254" s="299" t="str">
        <f>IF(J254="","",IF(VLOOKUP(J254,'G-7 WaterC'' Data'!$AK$4:$AM$9,3,FALSE)=0,"Spatial Data Missing ⚠",VLOOKUP(J254,'G-7 WaterC'' Data'!$AK$4:$AM$6,3,FALSE)))</f>
        <v/>
      </c>
      <c r="M254" s="102"/>
      <c r="N254" s="276" t="str">
        <f>IF(M254="","",IF(AND(M254="N/A - Culvert",D254&lt;&gt;"Culvert"),"Not possible ▲",IF(AND(D254="Culvert",M254&lt;&gt;"N/A - Culvert"),"Not possible ▲",IF(VLOOKUP(M254,'G-7 WaterC'' Data'!$AA$4:$AB$7,2,FALSE)=0,"Spatial Data Missing ⚠",VLOOKUP(M254,'G-7 WaterC'' Data'!$AA$4:$AB$7,2,FALSE)))))</f>
        <v/>
      </c>
      <c r="O254" s="56"/>
      <c r="P254" s="276" t="str">
        <f>IF(O254="","",IF(AND(O254="N/A - Culvert",D254&lt;&gt;"Culvert"),"Not possible ▲",IF(AND(D254="Culvert",O254&lt;&gt;"N/A - Culvert"),"Not possible ▲",IF(VLOOKUP(O254,'G-7 WaterC'' Data'!$AD$4:$AE$14,2,FALSE)=0,"Spatial Data Missing ⚠",VLOOKUP(O254,'G-7 WaterC'' Data'!$AD$4:$AE$14,2,FALSE)))))</f>
        <v/>
      </c>
      <c r="Q254" s="282" t="str">
        <f>IF(D254="","",VLOOKUP(D254,'G-7 WaterC'' Data'!$B$4:$G$8,6,FALSE))</f>
        <v/>
      </c>
      <c r="R254" s="289" t="str">
        <f t="shared" si="37"/>
        <v xml:space="preserve"> </v>
      </c>
      <c r="S254" s="393"/>
      <c r="T254" s="281" t="str">
        <f>IF(S254="","",IF(VLOOKUP(S254,'G-7 WaterC'' Data'!$AO$4:$BO$7,2,FALSE)=0,"Spatial Data Missing ⚠",VLOOKUP(S254,'G-7 WaterC'' Data'!$AO$4:$BO$7,2,FALSE)))</f>
        <v/>
      </c>
      <c r="U254" s="289" t="str">
        <f t="shared" si="38"/>
        <v xml:space="preserve"> </v>
      </c>
      <c r="V254" s="694" t="str">
        <f t="shared" si="39"/>
        <v/>
      </c>
      <c r="W254" s="32"/>
      <c r="X254" s="101"/>
      <c r="Y254" s="108"/>
      <c r="Z254" s="287" t="str">
        <f t="shared" si="40"/>
        <v/>
      </c>
      <c r="AA254" s="287" t="str">
        <f t="shared" si="41"/>
        <v/>
      </c>
      <c r="AB254" s="287" t="str">
        <f t="shared" si="42"/>
        <v/>
      </c>
      <c r="AC254" s="491" t="str">
        <f>IFERROR(IF(OR(E254="",R254=""),"",IF(AND(AB254&lt;&gt;"",S254=""),"Spatial risk category missing ▲",IF(AND(Q254='G-7 WaterC'' Data'!$G$4,AD254="Yes"),"Alternative Compensation ✓",IF(AND(AD254="Pending",Q254='G-7 WaterC'' Data'!$G$4),"Bespoke compensation must be agreed ▲",IF((Z254+AA254)&gt;=U254,0,U254-Z254-AA254))))),"Check Data ⚠")</f>
        <v/>
      </c>
      <c r="AD254" s="393"/>
      <c r="AE254" s="105"/>
      <c r="AF254" s="104"/>
      <c r="AG254" s="104"/>
      <c r="AH254" s="104"/>
      <c r="AI254" s="54" t="str">
        <f>IF(OR(Q254="",AD254="Yes"),"",IF(Q254='G-1 All Habitats'!$X$9,E254-Y254-X254,"None"))</f>
        <v/>
      </c>
      <c r="AJ254" s="55" t="str">
        <f>IF(Q254="","",IF(Q254='G-1 All Habitats'!$X$9,AI254*G254*I254*L254*N254*P254,"None"))</f>
        <v/>
      </c>
      <c r="AK254" s="30" t="str">
        <f>IFERROR(INDEX('G-7 WaterC'' Data'!$AZ$3:$AZ$7,MATCH(D254,'G-7 WaterC'' Data'!$AY$3:$AY$7,0)),"")</f>
        <v/>
      </c>
      <c r="AL254" s="30">
        <f t="shared" si="43"/>
        <v>0</v>
      </c>
      <c r="AM254" s="95" t="str">
        <f t="shared" si="44"/>
        <v/>
      </c>
      <c r="AN254" s="95" t="str">
        <f t="shared" si="45"/>
        <v/>
      </c>
      <c r="AO254" s="96"/>
      <c r="AP254" s="95">
        <v>245</v>
      </c>
      <c r="AQ254" s="96"/>
      <c r="AR254" s="95" t="str">
        <f t="array" ref="AR254">IFERROR(INDEX($AP$10:$AP$258,MATCH(0,IF(TRUE=$AM$10:$AM$258,COUNTIF($AR$9:$AR253,$AP$10:$AP$258),""),0)),"")</f>
        <v/>
      </c>
      <c r="AS254" s="95" t="str">
        <f t="array" ref="AS254">IFERROR(INDEX($AP$10:$AP$258,MATCH(0,IF(TRUE=$AN$10:$AN$258,COUNTIF($AS$9:$AS253,$AP$10:$AP$258),""),0)),"")</f>
        <v/>
      </c>
      <c r="AT254" s="885" t="str">
        <f>IF(AND(OR(AD254="Yes",AD254="Pending"),Q254='G-7 WaterC'' Data'!$G$4),U254-AA254-Z254,"0")</f>
        <v>0</v>
      </c>
      <c r="AU254" s="30" t="str">
        <f>IF(D254="","",VLOOKUP(D254,'G-7 WaterC'' Data'!B$4:M$8,12,FALSE))</f>
        <v/>
      </c>
      <c r="AV254" s="30" t="str">
        <f t="shared" si="36"/>
        <v/>
      </c>
      <c r="AW254" s="30" t="str">
        <f t="shared" si="46"/>
        <v>No</v>
      </c>
      <c r="BA254" s="555" t="str">
        <f t="shared" si="47"/>
        <v/>
      </c>
    </row>
    <row r="255" spans="3:53" ht="14.5" thickBot="1">
      <c r="C255" s="97">
        <v>246</v>
      </c>
      <c r="D255" s="263"/>
      <c r="E255" s="104"/>
      <c r="F255" s="275" t="str">
        <f>IF(D255="","",VLOOKUP(D255,'G-7 WaterC'' Data'!$B$2:$G$8,2,FALSE))</f>
        <v/>
      </c>
      <c r="G255" s="314" t="str">
        <f>IFERROR(VLOOKUP(F255,'G-7 WaterC'' Data'!$C$4:$D$8,2,FALSE),"")</f>
        <v/>
      </c>
      <c r="H255" s="105"/>
      <c r="I255" s="299" t="str">
        <f>IFERROR(INDEX('G-7 WaterC'' Data'!$H$4:$L$8,MATCH(D255,'G-7 WaterC'' Data'!$B$4:$B$8,0),MATCH(H255,'G-7 WaterC'' Data'!$H$3:$L$3,0)),"")</f>
        <v/>
      </c>
      <c r="J255" s="702"/>
      <c r="K255" s="295" t="str">
        <f>IF(J255="","",IF(VLOOKUP(J255,'G-7 WaterC'' Data'!$AK$4:$AM$9,2,FALSE)=0,"Spatial Data Missing ⚠",VLOOKUP(J255,'G-7 WaterC'' Data'!$AK$4:$AM$6,2,FALSE)))</f>
        <v/>
      </c>
      <c r="L255" s="299" t="str">
        <f>IF(J255="","",IF(VLOOKUP(J255,'G-7 WaterC'' Data'!$AK$4:$AM$9,3,FALSE)=0,"Spatial Data Missing ⚠",VLOOKUP(J255,'G-7 WaterC'' Data'!$AK$4:$AM$6,3,FALSE)))</f>
        <v/>
      </c>
      <c r="M255" s="102"/>
      <c r="N255" s="276" t="str">
        <f>IF(M255="","",IF(AND(M255="N/A - Culvert",D255&lt;&gt;"Culvert"),"Not possible ▲",IF(AND(D255="Culvert",M255&lt;&gt;"N/A - Culvert"),"Not possible ▲",IF(VLOOKUP(M255,'G-7 WaterC'' Data'!$AA$4:$AB$7,2,FALSE)=0,"Spatial Data Missing ⚠",VLOOKUP(M255,'G-7 WaterC'' Data'!$AA$4:$AB$7,2,FALSE)))))</f>
        <v/>
      </c>
      <c r="O255" s="56"/>
      <c r="P255" s="276" t="str">
        <f>IF(O255="","",IF(AND(O255="N/A - Culvert",D255&lt;&gt;"Culvert"),"Not possible ▲",IF(AND(D255="Culvert",O255&lt;&gt;"N/A - Culvert"),"Not possible ▲",IF(VLOOKUP(O255,'G-7 WaterC'' Data'!$AD$4:$AE$14,2,FALSE)=0,"Spatial Data Missing ⚠",VLOOKUP(O255,'G-7 WaterC'' Data'!$AD$4:$AE$14,2,FALSE)))))</f>
        <v/>
      </c>
      <c r="Q255" s="282" t="str">
        <f>IF(D255="","",VLOOKUP(D255,'G-7 WaterC'' Data'!$B$4:$G$8,6,FALSE))</f>
        <v/>
      </c>
      <c r="R255" s="289" t="str">
        <f t="shared" si="37"/>
        <v xml:space="preserve"> </v>
      </c>
      <c r="S255" s="393"/>
      <c r="T255" s="281" t="str">
        <f>IF(S255="","",IF(VLOOKUP(S255,'G-7 WaterC'' Data'!$AO$4:$BO$7,2,FALSE)=0,"Spatial Data Missing ⚠",VLOOKUP(S255,'G-7 WaterC'' Data'!$AO$4:$BO$7,2,FALSE)))</f>
        <v/>
      </c>
      <c r="U255" s="289" t="str">
        <f t="shared" si="38"/>
        <v xml:space="preserve"> </v>
      </c>
      <c r="V255" s="694" t="str">
        <f t="shared" si="39"/>
        <v/>
      </c>
      <c r="W255" s="32"/>
      <c r="X255" s="101"/>
      <c r="Y255" s="108"/>
      <c r="Z255" s="287" t="str">
        <f t="shared" si="40"/>
        <v/>
      </c>
      <c r="AA255" s="287" t="str">
        <f t="shared" si="41"/>
        <v/>
      </c>
      <c r="AB255" s="287" t="str">
        <f t="shared" si="42"/>
        <v/>
      </c>
      <c r="AC255" s="491" t="str">
        <f>IFERROR(IF(OR(E255="",R255=""),"",IF(AND(AB255&lt;&gt;"",S255=""),"Spatial risk category missing ▲",IF(AND(Q255='G-7 WaterC'' Data'!$G$4,AD255="Yes"),"Alternative Compensation ✓",IF(AND(AD255="Pending",Q255='G-7 WaterC'' Data'!$G$4),"Bespoke compensation must be agreed ▲",IF((Z255+AA255)&gt;=U255,0,U255-Z255-AA255))))),"Check Data ⚠")</f>
        <v/>
      </c>
      <c r="AD255" s="393"/>
      <c r="AE255" s="105"/>
      <c r="AF255" s="104"/>
      <c r="AG255" s="104"/>
      <c r="AH255" s="104"/>
      <c r="AI255" s="54" t="str">
        <f>IF(OR(Q255="",AD255="Yes"),"",IF(Q255='G-1 All Habitats'!$X$9,E255-Y255-X255,"None"))</f>
        <v/>
      </c>
      <c r="AJ255" s="55" t="str">
        <f>IF(Q255="","",IF(Q255='G-1 All Habitats'!$X$9,AI255*G255*I255*L255*N255*P255,"None"))</f>
        <v/>
      </c>
      <c r="AK255" s="30" t="str">
        <f>IFERROR(INDEX('G-7 WaterC'' Data'!$AZ$3:$AZ$7,MATCH(D255,'G-7 WaterC'' Data'!$AY$3:$AY$7,0)),"")</f>
        <v/>
      </c>
      <c r="AL255" s="30">
        <f t="shared" si="43"/>
        <v>0</v>
      </c>
      <c r="AM255" s="95" t="str">
        <f t="shared" si="44"/>
        <v/>
      </c>
      <c r="AN255" s="95" t="str">
        <f t="shared" si="45"/>
        <v/>
      </c>
      <c r="AO255" s="96"/>
      <c r="AP255" s="95">
        <v>246</v>
      </c>
      <c r="AQ255" s="96"/>
      <c r="AR255" s="95" t="str">
        <f t="array" ref="AR255">IFERROR(INDEX($AP$10:$AP$258,MATCH(0,IF(TRUE=$AM$10:$AM$258,COUNTIF($AR$9:$AR254,$AP$10:$AP$258),""),0)),"")</f>
        <v/>
      </c>
      <c r="AS255" s="95" t="str">
        <f t="array" ref="AS255">IFERROR(INDEX($AP$10:$AP$258,MATCH(0,IF(TRUE=$AN$10:$AN$258,COUNTIF($AS$9:$AS254,$AP$10:$AP$258),""),0)),"")</f>
        <v/>
      </c>
      <c r="AT255" s="885" t="str">
        <f>IF(AND(OR(AD255="Yes",AD255="Pending"),Q255='G-7 WaterC'' Data'!$G$4),U255-AA255-Z255,"0")</f>
        <v>0</v>
      </c>
      <c r="AU255" s="30" t="str">
        <f>IF(D255="","",VLOOKUP(D255,'G-7 WaterC'' Data'!B$4:M$8,12,FALSE))</f>
        <v/>
      </c>
      <c r="AV255" s="30" t="str">
        <f t="shared" si="36"/>
        <v/>
      </c>
      <c r="AW255" s="30" t="str">
        <f t="shared" si="46"/>
        <v>No</v>
      </c>
      <c r="BA255" s="555" t="str">
        <f t="shared" si="47"/>
        <v/>
      </c>
    </row>
    <row r="256" spans="3:53" ht="14.5" thickBot="1">
      <c r="C256" s="97">
        <v>247</v>
      </c>
      <c r="D256" s="263"/>
      <c r="E256" s="104"/>
      <c r="F256" s="275" t="str">
        <f>IF(D256="","",VLOOKUP(D256,'G-7 WaterC'' Data'!$B$2:$G$8,2,FALSE))</f>
        <v/>
      </c>
      <c r="G256" s="314" t="str">
        <f>IFERROR(VLOOKUP(F256,'G-7 WaterC'' Data'!$C$4:$D$8,2,FALSE),"")</f>
        <v/>
      </c>
      <c r="H256" s="105"/>
      <c r="I256" s="299" t="str">
        <f>IFERROR(INDEX('G-7 WaterC'' Data'!$H$4:$L$8,MATCH(D256,'G-7 WaterC'' Data'!$B$4:$B$8,0),MATCH(H256,'G-7 WaterC'' Data'!$H$3:$L$3,0)),"")</f>
        <v/>
      </c>
      <c r="J256" s="702"/>
      <c r="K256" s="295" t="str">
        <f>IF(J256="","",IF(VLOOKUP(J256,'G-7 WaterC'' Data'!$AK$4:$AM$9,2,FALSE)=0,"Spatial Data Missing ⚠",VLOOKUP(J256,'G-7 WaterC'' Data'!$AK$4:$AM$6,2,FALSE)))</f>
        <v/>
      </c>
      <c r="L256" s="299" t="str">
        <f>IF(J256="","",IF(VLOOKUP(J256,'G-7 WaterC'' Data'!$AK$4:$AM$9,3,FALSE)=0,"Spatial Data Missing ⚠",VLOOKUP(J256,'G-7 WaterC'' Data'!$AK$4:$AM$6,3,FALSE)))</f>
        <v/>
      </c>
      <c r="M256" s="102"/>
      <c r="N256" s="276" t="str">
        <f>IF(M256="","",IF(AND(M256="N/A - Culvert",D256&lt;&gt;"Culvert"),"Not possible ▲",IF(AND(D256="Culvert",M256&lt;&gt;"N/A - Culvert"),"Not possible ▲",IF(VLOOKUP(M256,'G-7 WaterC'' Data'!$AA$4:$AB$7,2,FALSE)=0,"Spatial Data Missing ⚠",VLOOKUP(M256,'G-7 WaterC'' Data'!$AA$4:$AB$7,2,FALSE)))))</f>
        <v/>
      </c>
      <c r="O256" s="56"/>
      <c r="P256" s="276" t="str">
        <f>IF(O256="","",IF(AND(O256="N/A - Culvert",D256&lt;&gt;"Culvert"),"Not possible ▲",IF(AND(D256="Culvert",O256&lt;&gt;"N/A - Culvert"),"Not possible ▲",IF(VLOOKUP(O256,'G-7 WaterC'' Data'!$AD$4:$AE$14,2,FALSE)=0,"Spatial Data Missing ⚠",VLOOKUP(O256,'G-7 WaterC'' Data'!$AD$4:$AE$14,2,FALSE)))))</f>
        <v/>
      </c>
      <c r="Q256" s="282" t="str">
        <f>IF(D256="","",VLOOKUP(D256,'G-7 WaterC'' Data'!$B$4:$G$8,6,FALSE))</f>
        <v/>
      </c>
      <c r="R256" s="289" t="str">
        <f t="shared" si="37"/>
        <v xml:space="preserve"> </v>
      </c>
      <c r="S256" s="393"/>
      <c r="T256" s="281" t="str">
        <f>IF(S256="","",IF(VLOOKUP(S256,'G-7 WaterC'' Data'!$AO$4:$BO$7,2,FALSE)=0,"Spatial Data Missing ⚠",VLOOKUP(S256,'G-7 WaterC'' Data'!$AO$4:$BO$7,2,FALSE)))</f>
        <v/>
      </c>
      <c r="U256" s="289" t="str">
        <f t="shared" si="38"/>
        <v xml:space="preserve"> </v>
      </c>
      <c r="V256" s="694" t="str">
        <f t="shared" si="39"/>
        <v/>
      </c>
      <c r="W256" s="32"/>
      <c r="X256" s="101"/>
      <c r="Y256" s="108"/>
      <c r="Z256" s="287" t="str">
        <f t="shared" si="40"/>
        <v/>
      </c>
      <c r="AA256" s="287" t="str">
        <f t="shared" si="41"/>
        <v/>
      </c>
      <c r="AB256" s="287" t="str">
        <f t="shared" si="42"/>
        <v/>
      </c>
      <c r="AC256" s="491" t="str">
        <f>IFERROR(IF(OR(E256="",R256=""),"",IF(AND(AB256&lt;&gt;"",S256=""),"Spatial risk category missing ▲",IF(AND(Q256='G-7 WaterC'' Data'!$G$4,AD256="Yes"),"Alternative Compensation ✓",IF(AND(AD256="Pending",Q256='G-7 WaterC'' Data'!$G$4),"Bespoke compensation must be agreed ▲",IF((Z256+AA256)&gt;=U256,0,U256-Z256-AA256))))),"Check Data ⚠")</f>
        <v/>
      </c>
      <c r="AD256" s="393"/>
      <c r="AE256" s="105"/>
      <c r="AF256" s="104"/>
      <c r="AG256" s="942"/>
      <c r="AH256" s="942"/>
      <c r="AI256" s="54" t="str">
        <f>IF(OR(Q256="",AD256="Yes"),"",IF(Q256='G-1 All Habitats'!$X$9,E256-Y256-X256,"None"))</f>
        <v/>
      </c>
      <c r="AJ256" s="55" t="str">
        <f>IF(Q256="","",IF(Q256='G-1 All Habitats'!$X$9,AI256*G256*I256*L256*N256*P256,"None"))</f>
        <v/>
      </c>
      <c r="AK256" s="30" t="str">
        <f>IFERROR(INDEX('G-7 WaterC'' Data'!$AZ$3:$AZ$7,MATCH(D256,'G-7 WaterC'' Data'!$AY$3:$AY$7,0)),"")</f>
        <v/>
      </c>
      <c r="AL256" s="30">
        <f t="shared" si="43"/>
        <v>0</v>
      </c>
      <c r="AM256" s="95" t="str">
        <f t="shared" si="44"/>
        <v/>
      </c>
      <c r="AN256" s="95" t="str">
        <f t="shared" si="45"/>
        <v/>
      </c>
      <c r="AO256" s="96"/>
      <c r="AP256" s="95">
        <v>247</v>
      </c>
      <c r="AQ256" s="96"/>
      <c r="AR256" s="95" t="str">
        <f t="array" ref="AR256">IFERROR(INDEX($AP$10:$AP$258,MATCH(0,IF(TRUE=$AM$10:$AM$258,COUNTIF($AR$9:$AR255,$AP$10:$AP$258),""),0)),"")</f>
        <v/>
      </c>
      <c r="AS256" s="95" t="str">
        <f t="array" ref="AS256">IFERROR(INDEX($AP$10:$AP$258,MATCH(0,IF(TRUE=$AN$10:$AN$258,COUNTIF($AS$9:$AS255,$AP$10:$AP$258),""),0)),"")</f>
        <v/>
      </c>
      <c r="AT256" s="885" t="str">
        <f>IF(AND(OR(AD256="Yes",AD256="Pending"),Q256='G-7 WaterC'' Data'!$G$4),U256-AA256-Z256,"0")</f>
        <v>0</v>
      </c>
      <c r="AU256" s="30" t="str">
        <f>IF(D256="","",VLOOKUP(D256,'G-7 WaterC'' Data'!B$4:M$8,12,FALSE))</f>
        <v/>
      </c>
      <c r="AV256" s="30" t="str">
        <f t="shared" si="36"/>
        <v/>
      </c>
      <c r="AW256" s="30" t="str">
        <f t="shared" si="46"/>
        <v>No</v>
      </c>
      <c r="BA256" s="555" t="str">
        <f t="shared" si="47"/>
        <v/>
      </c>
    </row>
    <row r="257" spans="3:53" ht="14.5" thickBot="1">
      <c r="C257" s="109">
        <v>248</v>
      </c>
      <c r="D257" s="264"/>
      <c r="E257" s="110"/>
      <c r="F257" s="277" t="str">
        <f>IF(D257="","",VLOOKUP(D257,'G-7 WaterC'' Data'!$B$2:$G$8,2,FALSE))</f>
        <v/>
      </c>
      <c r="G257" s="701" t="str">
        <f>IFERROR(VLOOKUP(F257,'G-7 WaterC'' Data'!$C$4:$D$8,2,FALSE),"")</f>
        <v/>
      </c>
      <c r="H257" s="111"/>
      <c r="I257" s="278" t="str">
        <f>IFERROR(INDEX('G-7 WaterC'' Data'!$H$4:$L$8,MATCH(D257,'G-7 WaterC'' Data'!$B$4:$B$8,0),MATCH(H257,'G-7 WaterC'' Data'!$H$3:$L$3,0)),"")</f>
        <v/>
      </c>
      <c r="J257" s="205"/>
      <c r="K257" s="284" t="str">
        <f>IF(J257="","",IF(VLOOKUP(J257,'G-7 WaterC'' Data'!$AK$4:$AM$9,2,FALSE)=0,"Spatial Data Missing ⚠",VLOOKUP(J257,'G-7 WaterC'' Data'!$AK$4:$AM$6,2,FALSE)))</f>
        <v/>
      </c>
      <c r="L257" s="278" t="str">
        <f>IF(J257="","",IF(VLOOKUP(J257,'G-7 WaterC'' Data'!$AK$4:$AM$9,3,FALSE)=0,"Spatial Data Missing ⚠",VLOOKUP(J257,'G-7 WaterC'' Data'!$AK$4:$AM$6,3,FALSE)))</f>
        <v/>
      </c>
      <c r="M257" s="204"/>
      <c r="N257" s="550" t="str">
        <f>IF(M257="","",IF(AND(M257="N/A - Culvert",D257&lt;&gt;"Culvert"),"Not possible ▲",IF(AND(D257="Culvert",M257&lt;&gt;"N/A - Culvert"),"Not possible ▲",IF(VLOOKUP(M257,'G-7 WaterC'' Data'!$AA$4:$AB$7,2,FALSE)=0,"Spatial Data Missing ⚠",VLOOKUP(M257,'G-7 WaterC'' Data'!$AA$4:$AB$7,2,FALSE)))))</f>
        <v/>
      </c>
      <c r="O257" s="627"/>
      <c r="P257" s="550" t="str">
        <f>IF(O257="","",IF(AND(O257="N/A - Culvert",D257&lt;&gt;"Culvert"),"Not possible ▲",IF(AND(D257="Culvert",O257&lt;&gt;"N/A - Culvert"),"Not possible ▲",IF(VLOOKUP(O257,'G-7 WaterC'' Data'!$AD$4:$AE$14,2,FALSE)=0,"Spatial Data Missing ⚠",VLOOKUP(O257,'G-7 WaterC'' Data'!$AD$4:$AE$14,2,FALSE)))))</f>
        <v/>
      </c>
      <c r="Q257" s="552" t="str">
        <f>IF(D257="","",VLOOKUP(D257,'G-7 WaterC'' Data'!$B$4:$G$8,6,FALSE))</f>
        <v/>
      </c>
      <c r="R257" s="267" t="str">
        <f t="shared" si="37"/>
        <v xml:space="preserve"> </v>
      </c>
      <c r="S257" s="429"/>
      <c r="T257" s="571" t="str">
        <f>IF(S257="","",IF(VLOOKUP(S257,'G-7 WaterC'' Data'!$AO$4:$BO$7,2,FALSE)=0,"Spatial Data Missing ⚠",VLOOKUP(S257,'G-7 WaterC'' Data'!$AO$4:$BO$7,2,FALSE)))</f>
        <v/>
      </c>
      <c r="U257" s="267" t="str">
        <f t="shared" si="38"/>
        <v xml:space="preserve"> </v>
      </c>
      <c r="V257" s="695" t="str">
        <f t="shared" si="39"/>
        <v/>
      </c>
      <c r="W257" s="32"/>
      <c r="X257" s="619"/>
      <c r="Y257" s="621"/>
      <c r="Z257" s="557" t="str">
        <f t="shared" si="40"/>
        <v/>
      </c>
      <c r="AA257" s="557" t="str">
        <f t="shared" si="41"/>
        <v/>
      </c>
      <c r="AB257" s="557" t="str">
        <f t="shared" si="42"/>
        <v/>
      </c>
      <c r="AC257" s="491" t="str">
        <f>IFERROR(IF(OR(E257="",R257=""),"",IF(AND(AB257&lt;&gt;"",S257=""),"Spatial risk category missing ▲",IF(AND(Q257='G-7 WaterC'' Data'!$G$4,AD257="Yes"),"Alternative Compensation ✓",IF(AND(AD257="Pending",Q257='G-7 WaterC'' Data'!$G$4),"Bespoke compensation must be agreed ▲",IF((Z257+AA257)&gt;=U257,0,U257-Z257-AA257))))),"Check Data ⚠")</f>
        <v/>
      </c>
      <c r="AD257" s="429"/>
      <c r="AE257" s="111"/>
      <c r="AF257" s="110"/>
      <c r="AG257" s="929"/>
      <c r="AH257" s="110"/>
      <c r="AI257" s="54" t="str">
        <f>IF(OR(Q257="",AD257="Yes"),"",IF(Q257='G-1 All Habitats'!$X$9,E257-Y257-X257,"None"))</f>
        <v/>
      </c>
      <c r="AJ257" s="55" t="str">
        <f>IF(Q257="","",IF(Q257='G-1 All Habitats'!$X$9,AI257*G257*I257*L257*N257*P257,"None"))</f>
        <v/>
      </c>
      <c r="AK257" s="30" t="str">
        <f>IFERROR(INDEX('G-7 WaterC'' Data'!$AZ$3:$AZ$7,MATCH(D257,'G-7 WaterC'' Data'!$AY$3:$AY$7,0)),"")</f>
        <v/>
      </c>
      <c r="AL257" s="30">
        <f t="shared" si="43"/>
        <v>0</v>
      </c>
      <c r="AM257" s="95" t="str">
        <f t="shared" si="44"/>
        <v/>
      </c>
      <c r="AN257" s="95" t="str">
        <f t="shared" si="45"/>
        <v/>
      </c>
      <c r="AO257" s="96"/>
      <c r="AP257" s="95">
        <v>248</v>
      </c>
      <c r="AQ257" s="96"/>
      <c r="AR257" s="95" t="str">
        <f t="array" ref="AR257">IFERROR(INDEX($AP$10:$AP$258,MATCH(0,IF(TRUE=$AM$10:$AM$258,COUNTIF($AR$9:$AR256,$AP$10:$AP$258),""),0)),"")</f>
        <v/>
      </c>
      <c r="AS257" s="95" t="str">
        <f t="array" ref="AS257">IFERROR(INDEX($AP$10:$AP$258,MATCH(0,IF(TRUE=$AN$10:$AN$258,COUNTIF($AS$9:$AS256,$AP$10:$AP$258),""),0)),"")</f>
        <v/>
      </c>
      <c r="AT257" s="885" t="str">
        <f>IF(AND(OR(AD257="Yes",AD257="Pending"),Q257='G-7 WaterC'' Data'!$G$4),U257-AA257-Z257,"0")</f>
        <v>0</v>
      </c>
      <c r="AU257" s="30" t="str">
        <f>IF(D257="","",VLOOKUP(D257,'G-7 WaterC'' Data'!B$4:M$8,12,FALSE))</f>
        <v/>
      </c>
      <c r="AV257" s="30" t="str">
        <f t="shared" si="36"/>
        <v/>
      </c>
      <c r="AW257" s="30" t="str">
        <f t="shared" si="46"/>
        <v>No</v>
      </c>
      <c r="BA257" s="555" t="str">
        <f t="shared" si="47"/>
        <v/>
      </c>
    </row>
    <row r="258" spans="2:53" ht="15.75" customHeight="1" thickBot="1">
      <c r="B258" s="30"/>
      <c r="C258" s="30"/>
      <c r="D258" s="606"/>
      <c r="E258" s="324">
        <f>SUM(E10:E257)</f>
        <v>0</v>
      </c>
      <c r="P258" s="1696"/>
      <c r="Q258" s="1696"/>
      <c r="R258" s="326">
        <f>SUM(R10:R257)</f>
        <v>0</v>
      </c>
      <c r="S258" s="59"/>
      <c r="T258" s="408"/>
      <c r="U258" s="326">
        <f>SUM(U10:U257)</f>
        <v>0</v>
      </c>
      <c r="V258" s="59"/>
      <c r="W258" s="113"/>
      <c r="X258" s="292">
        <f>SUM(X10:X257)</f>
        <v>0</v>
      </c>
      <c r="Y258" s="293">
        <f>SUM(Y10:Y257)</f>
        <v>0</v>
      </c>
      <c r="Z258" s="293" cm="1">
        <f t="array" ref="Z258">IF(OR(Z10:Z257="Error in Lengths ▲",Z10:Z257="Check data"),"Error ▲",SUM(Z10:Z257))</f>
        <v>0</v>
      </c>
      <c r="AA258" s="293" cm="1">
        <f t="array" ref="AA258">IF(OR(Z10:Z257="Error in Lengths ▲",AA10:AA257="Check data"),"Error ▲",SUM(AA10:AA257))</f>
        <v>0</v>
      </c>
      <c r="AB258" s="293">
        <f>SUM(AB10:AB257)</f>
        <v>0</v>
      </c>
      <c r="AC258" s="294">
        <f>IFERROR(IF(E258="","",SUMIF(AC10:AC257,"&gt;0",AC10:AC257)),"Check Data ⚠")</f>
        <v>0</v>
      </c>
      <c r="AD258" s="476"/>
      <c r="AI258" s="706">
        <f>SUM(AI10:AI257)</f>
        <v>0</v>
      </c>
      <c r="AT258" s="885">
        <f>SUM(AT10:AT257)</f>
        <v>0</v>
      </c>
      <c r="BA258" s="293" cm="1">
        <f t="array" ref="BA258">IF(OR(Z10:Z257="Error in Lengths ▲",Z10:Z257="Check data"),"Error ▲",SUM(BA10:BA257))</f>
        <v>0</v>
      </c>
    </row>
    <row r="259" spans="2:3 23:30 53:53" ht="14">
      <c r="B259" s="30"/>
      <c r="C259" s="30"/>
      <c r="W259" s="113"/>
      <c r="X259" s="113"/>
      <c r="Y259" s="113"/>
      <c r="Z259" s="113"/>
      <c r="AA259" s="113"/>
      <c r="AB259" s="113"/>
      <c r="AC259" s="113"/>
      <c r="AD259" s="113"/>
      <c r="BA259" s="113"/>
    </row>
    <row r="260" ht="14"/>
    <row r="261" ht="14"/>
    <row r="262" ht="14"/>
    <row r="263" ht="14"/>
    <row r="264" ht="14"/>
    <row r="265" ht="14" hidden="1"/>
    <row r="266" ht="14" hidden="1"/>
    <row r="267" ht="14" hidden="1"/>
    <row r="268" ht="14" hidden="1"/>
    <row r="269" ht="14" hidden="1"/>
    <row r="270" ht="14" hidden="1"/>
    <row r="271" ht="14" hidden="1"/>
  </sheetData>
  <sheetProtection algorithmName="SHA-512" hashValue="DviZmqOzSEt01ODpkS0Jz+vybcVzjRjFp/vI0WMyosu70aYBV7gjKwpCu6aaoIc9qiSeH5ZdyIEys3h+EU88nA==" saltValue="qIKuqGVUMAX3zWQJtCzCvw==" spinCount="100000" sheet="1" objects="1" scenarios="1"/>
  <customSheetViews>
    <customSheetView guid="{8bda793c-c9c5-4fc6-a0a5-f1109f6d4f22}" state="hidden" topLeftCell="A1">
      <pane ySplit="9" topLeftCell="A10" activePane="bottomLeft" state="frozen"/>
      <selection pane="bottomLeft" activeCell="D14" sqref="D14"/>
      <pageMargins left="0.75" right="0.75" top="1" bottom="1" header="0.5" footer="0.5"/>
    </customSheetView>
  </customSheetViews>
  <mergeCells count="24">
    <mergeCell ref="AE8:AH8"/>
    <mergeCell ref="X4:AC5"/>
    <mergeCell ref="P258:Q258"/>
    <mergeCell ref="O2:W4"/>
    <mergeCell ref="O8:P8"/>
    <mergeCell ref="Q8:Q9"/>
    <mergeCell ref="X8:AC8"/>
    <mergeCell ref="S8:T8"/>
    <mergeCell ref="AD8:AD9"/>
    <mergeCell ref="V8:V9"/>
    <mergeCell ref="B2:E2"/>
    <mergeCell ref="B3:E4"/>
    <mergeCell ref="C8:E8"/>
    <mergeCell ref="F8:G8"/>
    <mergeCell ref="H8:I8"/>
    <mergeCell ref="H2:M2"/>
    <mergeCell ref="K3:M3"/>
    <mergeCell ref="K4:M4"/>
    <mergeCell ref="H3:J3"/>
    <mergeCell ref="H4:J4"/>
    <mergeCell ref="H5:J5"/>
    <mergeCell ref="K5:M5"/>
    <mergeCell ref="J8:L8"/>
    <mergeCell ref="M8:N8"/>
  </mergeCells>
  <conditionalFormatting sqref="Q10:Q257">
    <cfRule type="containsText" priority="11" dxfId="666" operator="containsText" text="Same">
      <formula>NOT(ISERROR(SEARCH("Same",Q10)))</formula>
    </cfRule>
    <cfRule type="containsText" priority="46" dxfId="896" operator="containsText" text="Bespoke">
      <formula>NOT(ISERROR(SEARCH("Bespoke",Q10)))</formula>
    </cfRule>
    <cfRule type="containsText" priority="94" dxfId="666" operator="containsText" text="Restore">
      <formula>NOT(ISERROR(SEARCH("Restore",Q10)))</formula>
    </cfRule>
  </conditionalFormatting>
  <conditionalFormatting sqref="K10:Q257">
    <cfRule type="containsText" priority="95" dxfId="1281" operator="containsText" text="Spatial">
      <formula>NOT(ISERROR(SEARCH("Spatial",K10)))</formula>
    </cfRule>
  </conditionalFormatting>
  <conditionalFormatting sqref="AB10:AB257">
    <cfRule type="containsText" priority="91" dxfId="1273" operator="containsText" text="Error">
      <formula>NOT(ISERROR(SEARCH("Error",AB10)))</formula>
    </cfRule>
  </conditionalFormatting>
  <conditionalFormatting sqref="AC10:AD258">
    <cfRule type="containsText" priority="89" dxfId="1267" operator="containsText" text="Check">
      <formula>NOT(ISERROR(SEARCH("Check",AC10)))</formula>
    </cfRule>
    <cfRule type="containsText" priority="90" dxfId="1273" operator="containsText" text="Error">
      <formula>NOT(ISERROR(SEARCH("Error",AC10)))</formula>
    </cfRule>
  </conditionalFormatting>
  <conditionalFormatting sqref="X4 W5">
    <cfRule type="containsText" priority="88" dxfId="1281" operator="containsText" text="Check">
      <formula>NOT(ISERROR(SEARCH("Check",W4)))</formula>
    </cfRule>
  </conditionalFormatting>
  <conditionalFormatting sqref="K3">
    <cfRule type="containsText" priority="86" dxfId="1273" operator="containsText" text="Error">
      <formula>NOT(ISERROR(SEARCH("Error",K3)))</formula>
    </cfRule>
    <cfRule type="containsText" priority="87" dxfId="1267" operator="containsText" text="Check">
      <formula>NOT(ISERROR(SEARCH("Check",K3)))</formula>
    </cfRule>
  </conditionalFormatting>
  <conditionalFormatting sqref="K4">
    <cfRule type="containsText" priority="5" dxfId="1273" operator="containsText" text="Error">
      <formula>NOT(ISERROR(SEARCH("Error",K4)))</formula>
    </cfRule>
    <cfRule type="containsText" priority="54" dxfId="1267" operator="containsText" text="Check">
      <formula>NOT(ISERROR(SEARCH("Check",K4)))</formula>
    </cfRule>
  </conditionalFormatting>
  <conditionalFormatting sqref="O2:W4">
    <cfRule type="containsText" priority="81" dxfId="1281" operator="containsText" text="Check">
      <formula>NOT(ISERROR(SEARCH("Check",O2)))</formula>
    </cfRule>
  </conditionalFormatting>
  <conditionalFormatting sqref="K5">
    <cfRule type="containsText" priority="79" dxfId="1273" operator="containsText" text="No">
      <formula>NOT(ISERROR(SEARCH("No",K5)))</formula>
    </cfRule>
    <cfRule type="containsText" priority="80" dxfId="1253" operator="containsText" text="Yes">
      <formula>NOT(ISERROR(SEARCH("Yes",K5)))</formula>
    </cfRule>
  </conditionalFormatting>
  <conditionalFormatting sqref="S10:S257">
    <cfRule type="containsText" priority="77" dxfId="1273" operator="containsText" text="Existing Value Not Required">
      <formula>NOT(ISERROR(SEARCH("Existing Value Not Required",S10)))</formula>
    </cfRule>
    <cfRule type="containsText" priority="78" dxfId="1273" operator="containsText" text="Existing Value Required">
      <formula>NOT(ISERROR(SEARCH("Existing Value Required",S10)))</formula>
    </cfRule>
  </conditionalFormatting>
  <conditionalFormatting sqref="S10:T257">
    <cfRule type="containsText" priority="73" dxfId="1267" operator="containsText" text="Check">
      <formula>NOT(ISERROR(SEARCH("Check",S10)))</formula>
    </cfRule>
    <cfRule type="containsText" priority="74" dxfId="1273" operator="containsText" text="Error">
      <formula>NOT(ISERROR(SEARCH("Error",S10)))</formula>
    </cfRule>
  </conditionalFormatting>
  <conditionalFormatting sqref="T10:T257">
    <cfRule type="containsText" priority="72" dxfId="1281" operator="containsText" text="Spatial">
      <formula>NOT(ISERROR(SEARCH("Spatial",T10)))</formula>
    </cfRule>
  </conditionalFormatting>
  <conditionalFormatting sqref="I10:I257">
    <cfRule type="containsText" priority="57" dxfId="1273" operator="containsText" text="Not possible">
      <formula>NOT(ISERROR(SEARCH("Not possible",I10)))</formula>
    </cfRule>
  </conditionalFormatting>
  <conditionalFormatting sqref="Z258:AA258">
    <cfRule type="containsText" priority="56" dxfId="1273" operator="containsText" text="Error">
      <formula>NOT(ISERROR(SEARCH("Error",Z258)))</formula>
    </cfRule>
  </conditionalFormatting>
  <conditionalFormatting sqref="Z10:Z257">
    <cfRule type="containsText" priority="13" dxfId="1281" operator="containsText" text="⚠">
      <formula>NOT(ISERROR(SEARCH("⚠",Z10)))</formula>
    </cfRule>
    <cfRule type="containsText" priority="55" dxfId="1273" operator="containsText" text="Error">
      <formula>NOT(ISERROR(SEARCH("Error",Z10)))</formula>
    </cfRule>
  </conditionalFormatting>
  <conditionalFormatting sqref="K4:M4">
    <cfRule type="cellIs" priority="53" dxfId="881" operator="equal">
      <formula>0</formula>
    </cfRule>
    <cfRule type="cellIs" priority="495" dxfId="1273" operator="lessThan">
      <formula>0</formula>
    </cfRule>
  </conditionalFormatting>
  <conditionalFormatting sqref="AD1:AD1048576">
    <cfRule type="containsText" priority="4" dxfId="1281" operator="containsText" text="Pending">
      <formula>NOT(ISERROR(SEARCH("Pending",AD1)))</formula>
    </cfRule>
    <cfRule type="containsText" priority="49" dxfId="184" operator="containsText" text="Yes">
      <formula>NOT(ISERROR(SEARCH("Yes",AD1)))</formula>
    </cfRule>
    <cfRule type="containsText" priority="50" dxfId="1273" operator="containsText" text="No">
      <formula>NOT(ISERROR(SEARCH("No",AD1)))</formula>
    </cfRule>
  </conditionalFormatting>
  <conditionalFormatting sqref="AC1:AC1048576">
    <cfRule type="containsText" priority="47" dxfId="1282" operator="containsText" text="✓">
      <formula>NOT(ISERROR(SEARCH("✓",AC1)))</formula>
    </cfRule>
    <cfRule type="containsText" priority="48" dxfId="1273" operator="containsText" text="▲">
      <formula>NOT(ISERROR(SEARCH("▲",AC1)))</formula>
    </cfRule>
  </conditionalFormatting>
  <conditionalFormatting sqref="U10:V257">
    <cfRule type="containsText" priority="45" dxfId="1281" operator="containsText" text="⚠">
      <formula>NOT(ISERROR(SEARCH("⚠",U10)))</formula>
    </cfRule>
  </conditionalFormatting>
  <conditionalFormatting sqref="AB10:AB257">
    <cfRule type="containsText" priority="44" dxfId="1281" operator="containsText" text="⚠">
      <formula>NOT(ISERROR(SEARCH("⚠",AB10)))</formula>
    </cfRule>
  </conditionalFormatting>
  <conditionalFormatting sqref="X258:AC258">
    <cfRule type="containsText" priority="41" dxfId="1273" operator="containsText" text="▲">
      <formula>NOT(ISERROR(SEARCH("▲",X258)))</formula>
    </cfRule>
  </conditionalFormatting>
  <conditionalFormatting sqref="AB258">
    <cfRule type="containsText" priority="42" dxfId="1273" operator="containsText" text="▲">
      <formula>NOT(ISERROR(SEARCH("▲",AB258)))</formula>
    </cfRule>
  </conditionalFormatting>
  <conditionalFormatting sqref="U258:V258">
    <cfRule type="containsText" priority="40" dxfId="1273" operator="containsText" text="▲">
      <formula>NOT(ISERROR(SEARCH("▲",U258)))</formula>
    </cfRule>
  </conditionalFormatting>
  <conditionalFormatting sqref="E258">
    <cfRule type="containsText" priority="39" dxfId="1273" operator="containsText" text="▲">
      <formula>NOT(ISERROR(SEARCH("▲",E258)))</formula>
    </cfRule>
  </conditionalFormatting>
  <conditionalFormatting sqref="AI10:AI257">
    <cfRule type="cellIs" priority="35" dxfId="991" operator="equal">
      <formula>""</formula>
    </cfRule>
    <cfRule type="cellIs" priority="36" dxfId="991" operator="equal">
      <formula>"None"</formula>
    </cfRule>
    <cfRule type="cellIs" priority="38" dxfId="1279" operator="greaterThan">
      <formula>0</formula>
    </cfRule>
  </conditionalFormatting>
  <conditionalFormatting sqref="AJ11">
    <cfRule type="cellIs" priority="33" dxfId="991" operator="equal">
      <formula>"None"</formula>
    </cfRule>
    <cfRule type="cellIs" priority="34" dxfId="991" operator="equal">
      <formula>""</formula>
    </cfRule>
    <cfRule type="cellIs" priority="37" dxfId="1279" operator="greaterThan">
      <formula>0</formula>
    </cfRule>
  </conditionalFormatting>
  <conditionalFormatting sqref="AI10:AI257">
    <cfRule type="cellIs" priority="29" dxfId="991" operator="equal">
      <formula>""</formula>
    </cfRule>
    <cfRule type="cellIs" priority="30" dxfId="991" operator="equal">
      <formula>"None"</formula>
    </cfRule>
    <cfRule type="cellIs" priority="32" dxfId="1279" operator="greaterThan">
      <formula>0</formula>
    </cfRule>
  </conditionalFormatting>
  <conditionalFormatting sqref="AJ10:AJ257">
    <cfRule type="cellIs" priority="27" dxfId="991" operator="equal">
      <formula>"None"</formula>
    </cfRule>
    <cfRule type="cellIs" priority="28" dxfId="991" operator="equal">
      <formula>""</formula>
    </cfRule>
    <cfRule type="cellIs" priority="31" dxfId="1279" operator="greaterThan">
      <formula>0</formula>
    </cfRule>
  </conditionalFormatting>
  <conditionalFormatting sqref="AI10:AI257">
    <cfRule type="cellIs" priority="23" dxfId="991" operator="equal">
      <formula>""</formula>
    </cfRule>
    <cfRule type="cellIs" priority="24" dxfId="991" operator="equal">
      <formula>"None"</formula>
    </cfRule>
    <cfRule type="cellIs" priority="26" dxfId="1279" operator="greaterThan">
      <formula>0</formula>
    </cfRule>
  </conditionalFormatting>
  <conditionalFormatting sqref="AJ12:AJ257">
    <cfRule type="cellIs" priority="21" dxfId="991" operator="equal">
      <formula>"None"</formula>
    </cfRule>
    <cfRule type="cellIs" priority="22" dxfId="991" operator="equal">
      <formula>""</formula>
    </cfRule>
    <cfRule type="cellIs" priority="25" dxfId="1279" operator="greaterThan">
      <formula>0</formula>
    </cfRule>
  </conditionalFormatting>
  <conditionalFormatting sqref="AI10:AI257">
    <cfRule type="cellIs" priority="20" dxfId="991" operator="equal">
      <formula>0</formula>
    </cfRule>
  </conditionalFormatting>
  <conditionalFormatting sqref="BA258">
    <cfRule type="containsText" priority="19" dxfId="1273" operator="containsText" text="Error">
      <formula>NOT(ISERROR(SEARCH("Error",BA258)))</formula>
    </cfRule>
  </conditionalFormatting>
  <conditionalFormatting sqref="BA10:BA257">
    <cfRule type="containsText" priority="18" dxfId="1273" operator="containsText" text="Error">
      <formula>NOT(ISERROR(SEARCH("Error",BA10)))</formula>
    </cfRule>
  </conditionalFormatting>
  <conditionalFormatting sqref="BA258">
    <cfRule type="containsText" priority="16" dxfId="1273" operator="containsText" text="▲">
      <formula>NOT(ISERROR(SEARCH("▲",BA258)))</formula>
    </cfRule>
  </conditionalFormatting>
  <conditionalFormatting sqref="K3:M5">
    <cfRule type="containsText" priority="52" dxfId="932" operator="containsText" text="N/A">
      <formula>NOT(ISERROR(SEARCH("N/A",K3)))</formula>
    </cfRule>
  </conditionalFormatting>
  <conditionalFormatting sqref="V1:V1048576">
    <cfRule type="containsText" priority="14" dxfId="1281" operator="containsText" text="Yes">
      <formula>NOT(ISERROR(SEARCH("Yes",V1)))</formula>
    </cfRule>
  </conditionalFormatting>
  <conditionalFormatting sqref="U1:U1048576">
    <cfRule type="containsText" priority="12" dxfId="1273" operator="containsText" text="▲">
      <formula>NOT(ISERROR(SEARCH("▲",U1)))</formula>
    </cfRule>
  </conditionalFormatting>
  <conditionalFormatting sqref="AC10:AC257">
    <cfRule type="containsText" priority="10" dxfId="1281" operator="containsText" text="⚠">
      <formula>NOT(ISERROR(SEARCH("⚠",AC10)))</formula>
    </cfRule>
  </conditionalFormatting>
  <conditionalFormatting sqref="R1:R1048576">
    <cfRule type="containsText" priority="9" dxfId="1281" operator="containsText" text="unacceptable">
      <formula>NOT(ISERROR(SEARCH("unacceptable",R1)))</formula>
    </cfRule>
  </conditionalFormatting>
  <conditionalFormatting sqref="N1:N1048576">
    <cfRule type="containsText" priority="8" dxfId="1273" operator="containsText" text="Not possible">
      <formula>NOT(ISERROR(SEARCH("Not possible",N1)))</formula>
    </cfRule>
  </conditionalFormatting>
  <conditionalFormatting sqref="P1:P1048576">
    <cfRule type="containsText" priority="7" dxfId="1273" operator="containsText" text="Not possible">
      <formula>NOT(ISERROR(SEARCH("Not possible",P1)))</formula>
    </cfRule>
  </conditionalFormatting>
  <conditionalFormatting sqref="K1:K1048576">
    <cfRule type="containsText" priority="6" dxfId="1273" operator="containsText" text="Possible">
      <formula>NOT(ISERROR(SEARCH("Possible",K1)))</formula>
    </cfRule>
  </conditionalFormatting>
  <conditionalFormatting sqref="Q1:Q1048576">
    <cfRule type="containsText" priority="1" dxfId="291" operator="containsText" text="Better">
      <formula>NOT(ISERROR(SEARCH("Better",Q1)))</formula>
    </cfRule>
    <cfRule type="containsText" priority="3" dxfId="1281" operator="containsText" text="⚠">
      <formula>NOT(ISERROR(SEARCH("⚠",Q1)))</formula>
    </cfRule>
  </conditionalFormatting>
  <conditionalFormatting sqref="AH10:AH257">
    <cfRule type="expression" priority="2" dxfId="1275">
      <formula>$U10="Off-site reference required ▲"</formula>
    </cfRule>
  </conditionalFormatting>
  <conditionalFormatting sqref="K4:M4">
    <cfRule type="expression" priority="15" dxfId="1289">
      <formula>'Headline Results'!$H$10:$I$10=0</formula>
    </cfRule>
  </conditionalFormatting>
  <conditionalFormatting sqref="K4:M4">
    <cfRule type="cellIs" priority="51" dxfId="1294" operator="lessThan">
      <formula>Start!$F$22</formula>
    </cfRule>
    <cfRule type="cellIs" priority="496" dxfId="1284" operator="greaterThanOrEqual">
      <formula>Start!$F$22</formula>
    </cfRule>
  </conditionalFormatting>
  <dataValidations count="7">
    <dataValidation type="list" allowBlank="1" showInputMessage="1" showErrorMessage="1" sqref="H10:H257">
      <formula1>INDIRECT(AK10)</formula1>
    </dataValidation>
    <dataValidation type="list" allowBlank="1" showInputMessage="1" showErrorMessage="1" sqref="M10:M257">
      <formula1>IF(D10="Culvert",riparianencroachment2,riparianencroachment1)</formula1>
    </dataValidation>
    <dataValidation type="list" allowBlank="1" showInputMessage="1" showErrorMessage="1" sqref="O10:O257">
      <formula1>IF(D10="Culvert",Encroachment2,Encroachment1)</formula1>
    </dataValidation>
    <dataValidation type="list" allowBlank="1" showInputMessage="1" showErrorMessage="1" sqref="AD10:AD257">
      <formula1>"Yes, No, Pending"</formula1>
    </dataValidation>
    <dataValidation type="list" allowBlank="1" showInputMessage="1" showErrorMessage="1" sqref="D10:D257">
      <formula1>'G-7 WaterC'' Data'!$B$4:$B$8</formula1>
    </dataValidation>
    <dataValidation type="list" allowBlank="1" showInputMessage="1" showErrorMessage="1" sqref="S10:S257">
      <formula1>'G-7 WaterC'' Data'!$AO$4:$AO$7</formula1>
    </dataValidation>
    <dataValidation type="list" allowBlank="1" showInputMessage="1" showErrorMessage="1" sqref="J10:J257">
      <formula1>'G-7 WaterC'' Data'!$AK$4:$AK$6</formula1>
    </dataValidation>
  </dataValidations>
  <pageMargins left="0.7" right="0.7" top="0.75" bottom="0.75" header="0.3" footer="0.3"/>
  <pageSetup horizontalDpi="90" verticalDpi="90" orientation="portrait" paperSize="9" r:id="rId2"/>
  <drawing r:id="rId1"/>
  <extLst>
    <ext xmlns:x14="http://schemas.microsoft.com/office/spreadsheetml/2009/9/main" uri="{78C0D931-6437-407d-A8EE-F0AAD7539E65}">
      <x14:conditionalFormattings>
        <x14:conditionalFormatting xmlns:xm="http://schemas.microsoft.com/office/excel/2006/main">
          <x14:cfRule type="containsText" priority="43" id="{409d54dc-c11a-4595-b1bf-ae4f6bdb249f}" operator="containsText">
            <xm:f>NOT(ISERROR(SEARCH(IF('Detailed Results'!L164&gt;0,"Error ▲"),X258)))</xm:f>
            <xm:f>IF('Detailed Results'!L164&gt;0,"Error ▲")</xm:f>
            <x14:dxf>
              <font>
                <color theme="0"/>
              </font>
              <fill>
                <patternFill>
                  <bgColor rgb="FFC00000"/>
                </patternFill>
              </fill>
            </x14:dxf>
          </x14:cfRule>
          <xm:sqref>X258:AC258 BA258</xm:sqref>
        </x14:conditionalFormatting>
      </x14:conditionalFormatting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B2:AN260"/>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16.5442857142857" defaultRowHeight="15" customHeight="1" zeroHeight="1"/>
  <cols>
    <col min="1" max="1" width="2.57142857142857" style="30" customWidth="1"/>
    <col min="2" max="2" width="10.5714285714286" style="30" customWidth="1"/>
    <col min="3" max="3" width="47.4285714285714" style="30" customWidth="1"/>
    <col min="4" max="4" width="10.4285714285714" style="30" customWidth="1"/>
    <col min="5" max="5" width="17.4285714285714" style="30" customWidth="1"/>
    <col min="6" max="6" width="13.4285714285714" style="30" customWidth="1"/>
    <col min="7" max="7" width="12.5714285714286" style="30" bestFit="1" customWidth="1"/>
    <col min="8" max="8" width="12.5714285714286" style="30" customWidth="1"/>
    <col min="9" max="9" width="33.5714285714286" style="30" customWidth="1"/>
    <col min="10" max="10" width="15.4285714285714" style="30" customWidth="1"/>
    <col min="11" max="11" width="13.5714285714286" style="30" customWidth="1"/>
    <col min="12" max="14" width="17.5714285714286" style="30" customWidth="1"/>
    <col min="15" max="15" width="34.5714285714286" style="30" customWidth="1"/>
    <col min="16" max="16" width="17.5714285714286" style="30" customWidth="1"/>
    <col min="17" max="17" width="15.4285714285714" style="30" customWidth="1"/>
    <col min="18" max="18" width="14.5714285714286" style="30" customWidth="1"/>
    <col min="19" max="19" width="26.4285714285714" style="30" customWidth="1"/>
    <col min="20" max="20" width="13.4285714285714" style="30" customWidth="1"/>
    <col min="21" max="21" width="12.4285714285714" style="30" customWidth="1"/>
    <col min="22" max="22" width="16.4285714285714" style="30" customWidth="1"/>
    <col min="23" max="23" width="12.4285714285714" style="30" customWidth="1"/>
    <col min="24" max="24" width="17" style="30" customWidth="1"/>
    <col min="25" max="25" width="12.5714285714286" style="30" customWidth="1"/>
    <col min="26" max="26" width="42.5714285714286" style="30" customWidth="1"/>
    <col min="27" max="27" width="12.5714285714286" style="30" hidden="1" customWidth="1"/>
    <col min="28" max="28" width="12" style="30" hidden="1" customWidth="1"/>
    <col min="29" max="29" width="17.4285714285714" style="30" customWidth="1"/>
    <col min="30" max="31" width="34.5714285714286" style="30" customWidth="1"/>
    <col min="32" max="32" width="12.5714285714286" style="30" customWidth="1"/>
    <col min="33" max="34" width="12" style="30" customWidth="1"/>
    <col min="35" max="35" width="8.57142857142857" style="30" customWidth="1"/>
    <col min="36" max="36" width="16.5714285714286" style="30" hidden="1" customWidth="1"/>
    <col min="37" max="16382" width="0" style="30" hidden="1" customWidth="1"/>
    <col min="16383" max="16384" width="16.5714285714286" style="30"/>
  </cols>
  <sheetData>
    <row r="1" ht="14.5" thickBot="1"/>
    <row r="2" spans="2:29" ht="21" customHeight="1" thickBot="1">
      <c r="B2" s="1784" t="str">
        <f>CONCATENATE("Project Name:"," ",Start!F12,"     ","Map Reference:"," ",Start!K66)</f>
        <v xml:space="preserve">Project Name: Land east of Calne Road, Lyneham     Map Reference: </v>
      </c>
      <c r="C2" s="1786"/>
      <c r="D2" s="1785"/>
      <c r="F2" s="1597" t="s">
        <v>475</v>
      </c>
      <c r="G2" s="1598"/>
      <c r="H2" s="1598"/>
      <c r="I2" s="1598"/>
      <c r="J2" s="1598"/>
      <c r="K2" s="1598"/>
      <c r="L2" s="1598"/>
      <c r="M2" s="1598"/>
      <c r="N2" s="1598"/>
      <c r="O2" s="1599"/>
      <c r="P2" s="1715" t="str">
        <f>IF(OR(COUNTIF(L$12:$L259,"*30+*")&gt;0,COUNTIF(P$12:$P259,"*30+*")&gt;0),"Note; Habitat selected has a time to target condition greater than 30 years. Non standard agreement may be required.","")</f>
        <v/>
      </c>
      <c r="Q2" s="1715"/>
      <c r="R2" s="1715"/>
      <c r="S2" s="1715"/>
      <c r="T2" s="1715"/>
      <c r="U2" s="1715"/>
      <c r="V2" s="1792" t="str" cm="1">
        <f t="array" ref="V2">IF(OR(AN12:AN260="Yes"),"A 'Fairly' Category has been used for ditches - check evidence to ensure this is appropriate ⚠","")</f>
        <v/>
      </c>
      <c r="W2" s="1792"/>
      <c r="X2" s="1792"/>
      <c r="Y2" s="1792"/>
      <c r="Z2" s="1792"/>
      <c r="AA2" s="1792"/>
      <c r="AB2" s="1792"/>
      <c r="AC2" s="409"/>
    </row>
    <row r="3" spans="2:29" ht="15.65" customHeight="1" thickBot="1">
      <c r="B3" s="1449" t="str">
        <f ca="1">MID(CELL("filename",A1),FIND("]",CELL("filename",A1))+1,256)</f>
        <v>F-2 Off-Site WaterC' Creation</v>
      </c>
      <c r="C3" s="1450"/>
      <c r="D3" s="1451"/>
      <c r="F3" s="1663" t="s">
        <v>306</v>
      </c>
      <c r="G3" s="1664"/>
      <c r="H3" s="1664"/>
      <c r="I3" s="1664"/>
      <c r="J3" s="1664"/>
      <c r="K3" s="1664"/>
      <c r="L3" s="1658">
        <f>'Headline Results'!H49</f>
        <v>0</v>
      </c>
      <c r="M3" s="1658"/>
      <c r="N3" s="1658"/>
      <c r="O3" s="1659"/>
      <c r="P3" s="1715"/>
      <c r="Q3" s="1715"/>
      <c r="R3" s="1715"/>
      <c r="S3" s="1715"/>
      <c r="T3" s="1715"/>
      <c r="U3" s="1715"/>
      <c r="V3" s="1792"/>
      <c r="W3" s="1792"/>
      <c r="X3" s="1792"/>
      <c r="Y3" s="1792"/>
      <c r="Z3" s="1792"/>
      <c r="AA3" s="1792"/>
      <c r="AB3" s="1792"/>
      <c r="AC3" s="409"/>
    </row>
    <row r="4" spans="2:29" ht="16.5" customHeight="1" thickBot="1">
      <c r="B4" s="1449"/>
      <c r="C4" s="1450"/>
      <c r="D4" s="1451"/>
      <c r="F4" s="1772" t="s">
        <v>308</v>
      </c>
      <c r="G4" s="1773"/>
      <c r="H4" s="1773"/>
      <c r="I4" s="1773"/>
      <c r="J4" s="1773"/>
      <c r="K4" s="1773"/>
      <c r="L4" s="1660">
        <f>'Headline Results'!H53</f>
        <v>0</v>
      </c>
      <c r="M4" s="1660"/>
      <c r="N4" s="1660"/>
      <c r="O4" s="1661"/>
      <c r="P4" s="1715"/>
      <c r="Q4" s="1715"/>
      <c r="R4" s="1715"/>
      <c r="S4" s="1715"/>
      <c r="T4" s="1715"/>
      <c r="U4" s="1715"/>
      <c r="V4" s="1792"/>
      <c r="W4" s="1792"/>
      <c r="X4" s="1792"/>
      <c r="Y4" s="1792"/>
      <c r="Z4" s="1792"/>
      <c r="AA4" s="1792"/>
      <c r="AB4" s="1792"/>
      <c r="AC4" s="409"/>
    </row>
    <row r="5" spans="6:29" ht="26.9" customHeight="1" thickBot="1">
      <c r="F5" s="1774" t="s">
        <v>310</v>
      </c>
      <c r="G5" s="1750"/>
      <c r="H5" s="1750"/>
      <c r="I5" s="1750"/>
      <c r="J5" s="1750"/>
      <c r="K5" s="1750"/>
      <c r="L5" s="1750" t="str" cm="1">
        <f t="array" ref="L5">IF(OR('Trading Summary WaterC''s'!G5:H8="No ▲"),"No - check trading summary ▲","Yes ✓")</f>
        <v>Yes ✓</v>
      </c>
      <c r="M5" s="1750"/>
      <c r="N5" s="1750"/>
      <c r="O5" s="1751"/>
      <c r="P5" s="1715"/>
      <c r="Q5" s="1715"/>
      <c r="R5" s="1715"/>
      <c r="S5" s="1715"/>
      <c r="T5" s="1715"/>
      <c r="U5" s="1715"/>
      <c r="V5" s="1792"/>
      <c r="W5" s="1792"/>
      <c r="X5" s="1792"/>
      <c r="Y5" s="1792"/>
      <c r="Z5" s="1792"/>
      <c r="AA5" s="1792"/>
      <c r="AB5" s="1792"/>
      <c r="AC5" s="409"/>
    </row>
    <row r="6" spans="4:21" ht="23.25" customHeight="1">
      <c r="D6" s="88"/>
      <c r="L6" s="241"/>
      <c r="M6" s="241"/>
      <c r="N6" s="241"/>
      <c r="O6" s="241"/>
      <c r="P6" s="1715"/>
      <c r="Q6" s="1715"/>
      <c r="R6" s="1715"/>
      <c r="S6" s="1715"/>
      <c r="T6" s="1715"/>
      <c r="U6" s="1715"/>
    </row>
    <row r="7" ht="14"/>
    <row r="8" ht="14"/>
    <row r="9" ht="15.75" customHeight="1" thickBot="1"/>
    <row r="10" spans="2:34" s="33" customFormat="1" ht="29.25" customHeight="1" thickBot="1">
      <c r="B10" s="964"/>
      <c r="C10" s="1725" t="s">
        <v>459</v>
      </c>
      <c r="D10" s="1429"/>
      <c r="E10" s="1725" t="s">
        <v>312</v>
      </c>
      <c r="F10" s="1429"/>
      <c r="G10" s="1725" t="s">
        <v>313</v>
      </c>
      <c r="H10" s="1429"/>
      <c r="I10" s="1692" t="s">
        <v>314</v>
      </c>
      <c r="J10" s="1692"/>
      <c r="K10" s="1692"/>
      <c r="L10" s="1692" t="s">
        <v>428</v>
      </c>
      <c r="M10" s="1692"/>
      <c r="N10" s="1692"/>
      <c r="O10" s="1692"/>
      <c r="P10" s="1692"/>
      <c r="Q10" s="1692"/>
      <c r="R10" s="1725" t="s">
        <v>429</v>
      </c>
      <c r="S10" s="1436"/>
      <c r="T10" s="1436"/>
      <c r="U10" s="1429"/>
      <c r="V10" s="1692" t="s">
        <v>477</v>
      </c>
      <c r="W10" s="1692"/>
      <c r="X10" s="1692" t="s">
        <v>478</v>
      </c>
      <c r="Y10" s="1692"/>
      <c r="Z10" s="1692" t="s">
        <v>408</v>
      </c>
      <c r="AA10" s="1723"/>
      <c r="AB10" s="1698" t="s">
        <v>508</v>
      </c>
      <c r="AC10" s="1698" t="s">
        <v>492</v>
      </c>
      <c r="AD10" s="1725" t="s">
        <v>318</v>
      </c>
      <c r="AE10" s="1436"/>
      <c r="AF10" s="1436"/>
      <c r="AG10" s="1436"/>
      <c r="AH10" s="1429"/>
    </row>
    <row r="11" spans="2:40" s="33" customFormat="1" ht="62.9" customHeight="1" thickBot="1">
      <c r="B11" s="506" t="s">
        <v>323</v>
      </c>
      <c r="C11" s="116" t="s">
        <v>175</v>
      </c>
      <c r="D11" s="120" t="s">
        <v>451</v>
      </c>
      <c r="E11" s="116" t="s">
        <v>312</v>
      </c>
      <c r="F11" s="120" t="s">
        <v>328</v>
      </c>
      <c r="G11" s="116" t="s">
        <v>313</v>
      </c>
      <c r="H11" s="120" t="s">
        <v>328</v>
      </c>
      <c r="I11" s="116" t="s">
        <v>314</v>
      </c>
      <c r="J11" s="121" t="s">
        <v>314</v>
      </c>
      <c r="K11" s="120" t="s">
        <v>329</v>
      </c>
      <c r="L11" s="116" t="s">
        <v>462</v>
      </c>
      <c r="M11" s="121" t="s">
        <v>436</v>
      </c>
      <c r="N11" s="121" t="s">
        <v>421</v>
      </c>
      <c r="O11" s="121" t="s">
        <v>398</v>
      </c>
      <c r="P11" s="121" t="s">
        <v>509</v>
      </c>
      <c r="Q11" s="120" t="s">
        <v>510</v>
      </c>
      <c r="R11" s="116" t="s">
        <v>422</v>
      </c>
      <c r="S11" s="121" t="s">
        <v>402</v>
      </c>
      <c r="T11" s="121" t="s">
        <v>423</v>
      </c>
      <c r="U11" s="120" t="s">
        <v>404</v>
      </c>
      <c r="V11" s="116" t="s">
        <v>480</v>
      </c>
      <c r="W11" s="120" t="s">
        <v>481</v>
      </c>
      <c r="X11" s="116" t="s">
        <v>482</v>
      </c>
      <c r="Y11" s="120" t="s">
        <v>481</v>
      </c>
      <c r="Z11" s="506" t="s">
        <v>411</v>
      </c>
      <c r="AA11" s="605" t="s">
        <v>481</v>
      </c>
      <c r="AB11" s="1698"/>
      <c r="AC11" s="1698"/>
      <c r="AD11" s="116" t="s">
        <v>302</v>
      </c>
      <c r="AE11" s="722" t="s">
        <v>279</v>
      </c>
      <c r="AF11" s="724" t="s">
        <v>280</v>
      </c>
      <c r="AG11" s="723" t="s">
        <v>413</v>
      </c>
      <c r="AH11" s="716" t="s">
        <v>380</v>
      </c>
      <c r="AL11" s="168" t="s">
        <v>322</v>
      </c>
      <c r="AN11" s="33" t="s">
        <v>511</v>
      </c>
    </row>
    <row r="12" spans="2:40" ht="14">
      <c r="B12" s="226">
        <v>1</v>
      </c>
      <c r="C12" s="918"/>
      <c r="D12" s="51"/>
      <c r="E12" s="275" t="str">
        <f>IF(C12="","",VLOOKUP(C12,'G-7 WaterC'' Data'!$B$2:$Z$9,2,FALSE))</f>
        <v/>
      </c>
      <c r="F12" s="276" t="str">
        <f>IFERROR(VLOOKUP(E12,'G-7 WaterC'' Data'!$C$4:$D$8,2,FALSE),"")</f>
        <v/>
      </c>
      <c r="G12" s="52"/>
      <c r="H12" s="276" t="str">
        <f>IFERROR(INDEX('G-7 WaterC'' Data'!$H$4:$L$8,MATCH(C12,'G-7 WaterC'' Data'!$B$4:$B$8,0),MATCH(G12,'G-7 WaterC'' Data'!$H$3:$L$3,0)),"")</f>
        <v/>
      </c>
      <c r="I12" s="52"/>
      <c r="J12" s="314" t="str">
        <f>IF(I12="","",IF(VLOOKUP(I12,'G-7 WaterC'' Data'!$AK$4:$AM$6,2,FALSE)=0,"Spatial Data Missing ⚠",VLOOKUP(I12,'G-7 WaterC'' Data'!$AK$4:$AM$6,2,FALSE)))</f>
        <v/>
      </c>
      <c r="K12" s="276" t="str">
        <f>IF(I12="","",IF(VLOOKUP(I12,'G-7 WaterC'' Data'!$AK$4:$AM$6,3,FALSE)=0,"Spatial Data Missing ⚠",VLOOKUP(I12,'G-7 WaterC'' Data'!$AK$4:$AM$6,3,FALSE)))</f>
        <v/>
      </c>
      <c r="L12" s="372" t="str">
        <f>IFERROR(INDEX('G-7 WaterC'' Data'!$O$3:$O$7,MATCH(G12,'G-7 WaterC'' Data'!$N$3:$N$7,0)),"")</f>
        <v/>
      </c>
      <c r="M12" s="53"/>
      <c r="N12" s="58"/>
      <c r="O12" s="283"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296" t="str">
        <f>IF(O12="Error -both advance and delayed habitat creation ▲","Check Data ⚠",IF(L12="","",IF(M12="30+",0,IF(N12="30+","30+",IF(L12+N12&gt;30,"30+",IF(L12+N12-M12&gt;0,L12+N12-M12,IF(L12-M12&lt;0,0,L12+N12-M12)))))))</f>
        <v/>
      </c>
      <c r="Q12" s="334" t="str">
        <f>IFERROR(IF(P12="Check Data ⚠","Check Data ⚠",VLOOKUP(P12,'G-4 Temporal multipliers'!$A$4:$C$37,3,FALSE)),"")</f>
        <v/>
      </c>
      <c r="R12" s="275" t="str">
        <f>IF(C12="","",VLOOKUP(C12,'G-7 WaterC'' Data'!$B$4:$G$8,4,FALSE))</f>
        <v/>
      </c>
      <c r="S12" s="283" t="str">
        <f>IF(C12="","",IF(P12="Check Data ⚠","Check Data ⚠",IF(G12="","",IF($O12="Check details - Is there evidence that habitat has reached target condition? ⚠","No - Low Difficulty - only applicable if all habitat created before losses ⚠","Standard difficulty applied"))))</f>
        <v/>
      </c>
      <c r="T12" s="314" t="str">
        <f>(IF(AND(S12="Standard difficulty applied",L12&gt;M12),R12,IF(AND(S12="No - Low Difficulty - only applicable if all habitat created before losses ⚠",M12&gt;=L12),"Low",R12)))</f>
        <v/>
      </c>
      <c r="U12" s="276" t="str">
        <f>IF(C12="","",VLOOKUP(T12,'G-3 Multipliers'!$P$2:$Q$6,2,FALSE))</f>
        <v/>
      </c>
      <c r="V12" s="52"/>
      <c r="W12" s="276" t="str">
        <f>IF(V12="","",IF(AND(V12="N/A - Culvert",C12&lt;&gt;"Culvert"),"Not possible ▲",IF(AND(C12="Culvert",V12&lt;&gt;"N/A - Culvert"),"Not possible ▲",IF(VLOOKUP(V12,'G-7 WaterC'' Data'!$AA$4:$AB$7,2,FALSE)=0,"Spatial Data Missing ⚠",VLOOKUP(V12,'G-7 WaterC'' Data'!$AA$4:$AB$7,2,FALSE)))))</f>
        <v/>
      </c>
      <c r="X12" s="56"/>
      <c r="Y12" s="276" t="str">
        <f>IF(X12="","",IF(AND(X12="N/A - Culvert",C12&lt;&gt;"Culvert"),"Not possible ▲",IF(AND(C12="Culvert",X12&lt;&gt;"N/A - Culvert"),"Not possible ▲",IF(VLOOKUP(X12,'G-7 WaterC'' Data'!$AD$4:$AE$14,2,FALSE)=0,"Enrcoachment Data Missing ⚠",VLOOKUP(X12,'G-7 WaterC'' Data'!$AD$4:$AE$14,2,FALSE)))))</f>
        <v/>
      </c>
      <c r="Z12" s="52"/>
      <c r="AA12" s="276" t="str">
        <f>IF(Z12="","",IF(VLOOKUP(Z12,'G-7 WaterC'' Data'!$AO$4:$BO$7,2,FALSE)=0,"Spatial Data Missing ⚠",VLOOKUP(Z12,'G-7 WaterC'' Data'!$AO$4:$BO$7,2,FALSE)))</f>
        <v/>
      </c>
      <c r="AB12" s="317" t="str">
        <f>IFERROR(D12*F12*H12*K12*Q12*U12*W12*Y12*AA12,"")</f>
        <v/>
      </c>
      <c r="AC12" s="317" t="str">
        <f>IFERROR(IF(AND(Z12&lt;&gt;"",AG12=""),"Off-site reference required ▲",(IF(Z12="","",D12*F12*H12*K12*Q12*U12*W12*Y12))),"")</f>
        <v/>
      </c>
      <c r="AD12" s="52"/>
      <c r="AE12" s="943"/>
      <c r="AF12" s="133"/>
      <c r="AG12" s="133"/>
      <c r="AH12" s="939"/>
      <c r="AL12" s="30" t="str">
        <f>IFERROR(INDEX('G-7 WaterC'' Data'!$AZ$3:$AZ$7,MATCH(C12,'G-7 WaterC'' Data'!$AY$3:$AY$7,0)),"")</f>
        <v/>
      </c>
      <c r="AN12" s="30" t="str">
        <f>IF(AND(C12="Ditches",(OR(G12="Fairly Poor",G12="Fairly Good"))),"Yes","No")</f>
        <v>No</v>
      </c>
    </row>
    <row r="13" spans="2:40" ht="14">
      <c r="B13" s="97">
        <v>2</v>
      </c>
      <c r="C13" s="922"/>
      <c r="D13" s="51"/>
      <c r="E13" s="275" t="str">
        <f>IF(C13="","",VLOOKUP(C13,'G-7 WaterC'' Data'!$B$2:$Z$9,2,FALSE))</f>
        <v/>
      </c>
      <c r="F13" s="276" t="str">
        <f>IFERROR(VLOOKUP(E13,'G-7 WaterC'' Data'!$C$4:$D$8,2,FALSE),"")</f>
        <v/>
      </c>
      <c r="G13" s="52"/>
      <c r="H13" s="276" t="str">
        <f>IFERROR(INDEX('G-7 WaterC'' Data'!$H$4:$L$8,MATCH(C13,'G-7 WaterC'' Data'!$B$4:$B$8,0),MATCH(G13,'G-7 WaterC'' Data'!$H$3:$L$3,0)),"")</f>
        <v/>
      </c>
      <c r="I13" s="52"/>
      <c r="J13" s="314" t="str">
        <f>IF(I13="","",IF(VLOOKUP(I13,'G-7 WaterC'' Data'!$AK$4:$AM$6,2,FALSE)=0,"Spatial Data Missing ⚠",VLOOKUP(I13,'G-7 WaterC'' Data'!$AK$4:$AM$6,2,FALSE)))</f>
        <v/>
      </c>
      <c r="K13" s="276" t="str">
        <f>IF(I13="","",IF(VLOOKUP(I13,'G-7 WaterC'' Data'!$AK$4:$AM$6,3,FALSE)=0,"Spatial Data Missing ⚠",VLOOKUP(I13,'G-7 WaterC'' Data'!$AK$4:$AM$6,3,FALSE)))</f>
        <v/>
      </c>
      <c r="L13" s="372" t="str">
        <f>IFERROR(INDEX('G-7 WaterC'' Data'!$O$3:$O$7,MATCH(G13,'G-7 WaterC'' Data'!$N$3:$N$7,0)),"")</f>
        <v/>
      </c>
      <c r="M13" s="53"/>
      <c r="N13" s="58"/>
      <c r="O13" s="283" t="str">
        <f t="shared" si="0" ref="O13:O76">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296" t="str">
        <f t="shared" si="1" ref="P13:P76">IF(O13="Error -both advance and delayed habitat creation ▲","Check Data ⚠",IF(L13="","",IF(M13="30+",0,IF(N13="30+","30+",IF(L13+N13&gt;30,"30+",IF(L13+N13-M13&gt;0,L13+N13-M13,IF(L13-M13&lt;0,0,L13+N13-M13)))))))</f>
        <v/>
      </c>
      <c r="Q13" s="334" t="str">
        <f>IFERROR(IF(P13="Check Data ⚠","Check Data ⚠",VLOOKUP(P13,'G-4 Temporal multipliers'!$A$4:$C$37,3,FALSE)),"")</f>
        <v/>
      </c>
      <c r="R13" s="275" t="str">
        <f>IF(C13="","",VLOOKUP(C13,'G-7 WaterC'' Data'!$B$4:$G$8,4,FALSE))</f>
        <v/>
      </c>
      <c r="S13" s="283" t="str">
        <f t="shared" si="2" ref="S13:S76">IF(C13="","",IF(P13="Check Data ⚠","Check Data ⚠",IF(G13="","",IF($O13="Check details - Is there evidence that habitat has reached target condition? ⚠","No - Low Difficulty - only applicable if all habitat created before losses ⚠","Standard difficulty applied"))))</f>
        <v/>
      </c>
      <c r="T13" s="314" t="str">
        <f t="shared" si="3" ref="T13:T76">(IF(AND(S13="Standard difficulty applied",L13&gt;M13),R13,IF(AND(S13="No - Low Difficulty - only applicable if all habitat created before losses ⚠",M13&gt;=L13),"Low",R13)))</f>
        <v/>
      </c>
      <c r="U13" s="276" t="str">
        <f>IF(C13="","",VLOOKUP(T13,'G-3 Multipliers'!$P$2:$Q$6,2,FALSE))</f>
        <v/>
      </c>
      <c r="V13" s="102"/>
      <c r="W13" s="276" t="str">
        <f>IF(V13="","",IF(AND(V13="N/A - Culvert",C13&lt;&gt;"Culvert"),"Not possible ▲",IF(AND(C13="Culvert",V13&lt;&gt;"N/A - Culvert"),"Not possible ▲",IF(VLOOKUP(V13,'G-7 WaterC'' Data'!$AA$4:$AB$7,2,FALSE)=0,"Spatial Data Missing ⚠",VLOOKUP(V13,'G-7 WaterC'' Data'!$AA$4:$AB$7,2,FALSE)))))</f>
        <v/>
      </c>
      <c r="X13" s="56"/>
      <c r="Y13" s="276" t="str">
        <f>IF(X13="","",IF(AND(X13="N/A - Culvert",C13&lt;&gt;"Culvert"),"Not possible ▲",IF(AND(C13="Culvert",X13&lt;&gt;"N/A - Culvert"),"Not possible ▲",IF(VLOOKUP(X13,'G-7 WaterC'' Data'!$AD$4:$AE$14,2,FALSE)=0,"Enrcoachment Data Missing ⚠",VLOOKUP(X13,'G-7 WaterC'' Data'!$AD$4:$AE$14,2,FALSE)))))</f>
        <v/>
      </c>
      <c r="Z13" s="102"/>
      <c r="AA13" s="276" t="str">
        <f>IF(Z13="","",IF(VLOOKUP(Z13,'G-7 WaterC'' Data'!$AO$4:$BO$7,2,FALSE)=0,"Spatial Data Missing ⚠",VLOOKUP(Z13,'G-7 WaterC'' Data'!$AO$4:$BO$7,2,FALSE)))</f>
        <v/>
      </c>
      <c r="AB13" s="317" t="str">
        <f t="shared" si="4" ref="AB13:AB76">IFERROR(D13*F13*H13*K13*Q13*U13*W13*Y13*AA13,"")</f>
        <v/>
      </c>
      <c r="AC13" s="317" t="str">
        <f t="shared" si="5" ref="AC13:AC76">IFERROR(IF(AND(Z13&lt;&gt;"",AG13=""),"Off-site reference required ▲",(IF(Z13="","",D13*F13*H13*K13*Q13*U13*W13*Y13))),"")</f>
        <v/>
      </c>
      <c r="AD13" s="52"/>
      <c r="AE13" s="943"/>
      <c r="AF13" s="138"/>
      <c r="AG13" s="138"/>
      <c r="AH13" s="934"/>
      <c r="AL13" s="30" t="str">
        <f>IFERROR(INDEX('G-7 WaterC'' Data'!$AZ$3:$AZ$7,MATCH(C13,'G-7 WaterC'' Data'!$AY$3:$AY$7,0)),"")</f>
        <v/>
      </c>
      <c r="AN13" s="30" t="str">
        <f t="shared" si="6" ref="AN13:AN76">IF(AND(C13="Ditches",(OR(G13="Fairly Poor",G13="Fairly Good"))),"Yes","No")</f>
        <v>No</v>
      </c>
    </row>
    <row r="14" spans="2:40" ht="14">
      <c r="B14" s="97">
        <v>3</v>
      </c>
      <c r="C14" s="922"/>
      <c r="D14" s="51"/>
      <c r="E14" s="275" t="str">
        <f>IF(C14="","",VLOOKUP(C14,'G-7 WaterC'' Data'!$B$2:$Z$9,2,FALSE))</f>
        <v/>
      </c>
      <c r="F14" s="276" t="str">
        <f>IFERROR(VLOOKUP(E14,'G-7 WaterC'' Data'!$C$4:$D$8,2,FALSE),"")</f>
        <v/>
      </c>
      <c r="G14" s="52"/>
      <c r="H14" s="276" t="str">
        <f>IFERROR(INDEX('G-7 WaterC'' Data'!$H$4:$L$8,MATCH(C14,'G-7 WaterC'' Data'!$B$4:$B$8,0),MATCH(G14,'G-7 WaterC'' Data'!$H$3:$L$3,0)),"")</f>
        <v/>
      </c>
      <c r="I14" s="52"/>
      <c r="J14" s="314" t="str">
        <f>IF(I14="","",IF(VLOOKUP(I14,'G-7 WaterC'' Data'!$AK$4:$AM$6,2,FALSE)=0,"Spatial Data Missing ⚠",VLOOKUP(I14,'G-7 WaterC'' Data'!$AK$4:$AM$6,2,FALSE)))</f>
        <v/>
      </c>
      <c r="K14" s="276" t="str">
        <f>IF(I14="","",IF(VLOOKUP(I14,'G-7 WaterC'' Data'!$AK$4:$AM$6,3,FALSE)=0,"Spatial Data Missing ⚠",VLOOKUP(I14,'G-7 WaterC'' Data'!$AK$4:$AM$6,3,FALSE)))</f>
        <v/>
      </c>
      <c r="L14" s="372" t="str">
        <f>IFERROR(INDEX('G-7 WaterC'' Data'!$O$3:$O$7,MATCH(G14,'G-7 WaterC'' Data'!$N$3:$N$7,0)),"")</f>
        <v/>
      </c>
      <c r="M14" s="53"/>
      <c r="N14" s="58"/>
      <c r="O14" s="283" t="str">
        <f t="shared" si="0"/>
        <v/>
      </c>
      <c r="P14" s="296" t="str">
        <f t="shared" si="1"/>
        <v/>
      </c>
      <c r="Q14" s="334" t="str">
        <f>IFERROR(IF(P14="Check Data ⚠","Check Data ⚠",VLOOKUP(P14,'G-4 Temporal multipliers'!$A$4:$C$37,3,FALSE)),"")</f>
        <v/>
      </c>
      <c r="R14" s="275" t="str">
        <f>IF(C14="","",VLOOKUP(C14,'G-7 WaterC'' Data'!$B$4:$G$8,4,FALSE))</f>
        <v/>
      </c>
      <c r="S14" s="283" t="str">
        <f t="shared" si="2"/>
        <v/>
      </c>
      <c r="T14" s="314" t="str">
        <f t="shared" si="3"/>
        <v/>
      </c>
      <c r="U14" s="276" t="str">
        <f>IF(C14="","",VLOOKUP(T14,'G-3 Multipliers'!$P$2:$Q$6,2,FALSE))</f>
        <v/>
      </c>
      <c r="V14" s="102"/>
      <c r="W14" s="276" t="str">
        <f>IF(V14="","",IF(AND(V14="N/A - Culvert",C14&lt;&gt;"Culvert"),"Not possible ▲",IF(AND(C14="Culvert",V14&lt;&gt;"N/A - Culvert"),"Not possible ▲",IF(VLOOKUP(V14,'G-7 WaterC'' Data'!$AA$4:$AB$7,2,FALSE)=0,"Spatial Data Missing ⚠",VLOOKUP(V14,'G-7 WaterC'' Data'!$AA$4:$AB$7,2,FALSE)))))</f>
        <v/>
      </c>
      <c r="X14" s="56"/>
      <c r="Y14" s="276" t="str">
        <f>IF(X14="","",IF(AND(X14="N/A - Culvert",C14&lt;&gt;"Culvert"),"Not possible ▲",IF(AND(C14="Culvert",X14&lt;&gt;"N/A - Culvert"),"Not possible ▲",IF(VLOOKUP(X14,'G-7 WaterC'' Data'!$AD$4:$AE$14,2,FALSE)=0,"Enrcoachment Data Missing ⚠",VLOOKUP(X14,'G-7 WaterC'' Data'!$AD$4:$AE$14,2,FALSE)))))</f>
        <v/>
      </c>
      <c r="Z14" s="102"/>
      <c r="AA14" s="276" t="str">
        <f>IF(Z14="","",IF(VLOOKUP(Z14,'G-7 WaterC'' Data'!$AO$4:$BO$7,2,FALSE)=0,"Spatial Data Missing ⚠",VLOOKUP(Z14,'G-7 WaterC'' Data'!$AO$4:$BO$7,2,FALSE)))</f>
        <v/>
      </c>
      <c r="AB14" s="317" t="str">
        <f t="shared" si="4"/>
        <v/>
      </c>
      <c r="AC14" s="317" t="str">
        <f t="shared" si="5"/>
        <v/>
      </c>
      <c r="AD14" s="52"/>
      <c r="AE14" s="943"/>
      <c r="AF14" s="138"/>
      <c r="AG14" s="138"/>
      <c r="AH14" s="934"/>
      <c r="AL14" s="30" t="str">
        <f>IFERROR(INDEX('G-7 WaterC'' Data'!$AZ$3:$AZ$7,MATCH(C14,'G-7 WaterC'' Data'!$AY$3:$AY$7,0)),"")</f>
        <v/>
      </c>
      <c r="AN14" s="30" t="str">
        <f t="shared" si="6"/>
        <v>No</v>
      </c>
    </row>
    <row r="15" spans="2:40" ht="14">
      <c r="B15" s="97">
        <v>4</v>
      </c>
      <c r="C15" s="922"/>
      <c r="D15" s="51"/>
      <c r="E15" s="275" t="str">
        <f>IF(C15="","",VLOOKUP(C15,'G-7 WaterC'' Data'!$B$2:$Z$9,2,FALSE))</f>
        <v/>
      </c>
      <c r="F15" s="276" t="str">
        <f>IFERROR(VLOOKUP(E15,'G-7 WaterC'' Data'!$C$4:$D$8,2,FALSE),"")</f>
        <v/>
      </c>
      <c r="G15" s="52"/>
      <c r="H15" s="276" t="str">
        <f>IFERROR(INDEX('G-7 WaterC'' Data'!$H$4:$L$8,MATCH(C15,'G-7 WaterC'' Data'!$B$4:$B$8,0),MATCH(G15,'G-7 WaterC'' Data'!$H$3:$L$3,0)),"")</f>
        <v/>
      </c>
      <c r="I15" s="52"/>
      <c r="J15" s="314" t="str">
        <f>IF(I15="","",IF(VLOOKUP(I15,'G-7 WaterC'' Data'!$AK$4:$AM$6,2,FALSE)=0,"Spatial Data Missing ⚠",VLOOKUP(I15,'G-7 WaterC'' Data'!$AK$4:$AM$6,2,FALSE)))</f>
        <v/>
      </c>
      <c r="K15" s="276" t="str">
        <f>IF(I15="","",IF(VLOOKUP(I15,'G-7 WaterC'' Data'!$AK$4:$AM$6,3,FALSE)=0,"Spatial Data Missing ⚠",VLOOKUP(I15,'G-7 WaterC'' Data'!$AK$4:$AM$6,3,FALSE)))</f>
        <v/>
      </c>
      <c r="L15" s="372" t="str">
        <f>IFERROR(INDEX('G-7 WaterC'' Data'!$O$3:$O$7,MATCH(G15,'G-7 WaterC'' Data'!$N$3:$N$7,0)),"")</f>
        <v/>
      </c>
      <c r="M15" s="53"/>
      <c r="N15" s="58"/>
      <c r="O15" s="283" t="str">
        <f t="shared" si="0"/>
        <v/>
      </c>
      <c r="P15" s="296" t="str">
        <f t="shared" si="1"/>
        <v/>
      </c>
      <c r="Q15" s="334" t="str">
        <f>IFERROR(IF(P15="Check Data ⚠","Check Data ⚠",VLOOKUP(P15,'G-4 Temporal multipliers'!$A$4:$C$37,3,FALSE)),"")</f>
        <v/>
      </c>
      <c r="R15" s="275" t="str">
        <f>IF(C15="","",VLOOKUP(C15,'G-7 WaterC'' Data'!$B$4:$G$8,4,FALSE))</f>
        <v/>
      </c>
      <c r="S15" s="283" t="str">
        <f t="shared" si="2"/>
        <v/>
      </c>
      <c r="T15" s="314" t="str">
        <f t="shared" si="3"/>
        <v/>
      </c>
      <c r="U15" s="276" t="str">
        <f>IF(C15="","",VLOOKUP(T15,'G-3 Multipliers'!$P$2:$Q$6,2,FALSE))</f>
        <v/>
      </c>
      <c r="V15" s="102"/>
      <c r="W15" s="276" t="str">
        <f>IF(V15="","",IF(AND(V15="N/A - Culvert",C15&lt;&gt;"Culvert"),"Not possible ▲",IF(AND(C15="Culvert",V15&lt;&gt;"N/A - Culvert"),"Not possible ▲",IF(VLOOKUP(V15,'G-7 WaterC'' Data'!$AA$4:$AB$7,2,FALSE)=0,"Spatial Data Missing ⚠",VLOOKUP(V15,'G-7 WaterC'' Data'!$AA$4:$AB$7,2,FALSE)))))</f>
        <v/>
      </c>
      <c r="X15" s="56"/>
      <c r="Y15" s="276" t="str">
        <f>IF(X15="","",IF(AND(X15="N/A - Culvert",C15&lt;&gt;"Culvert"),"Not possible ▲",IF(AND(C15="Culvert",X15&lt;&gt;"N/A - Culvert"),"Not possible ▲",IF(VLOOKUP(X15,'G-7 WaterC'' Data'!$AD$4:$AE$14,2,FALSE)=0,"Enrcoachment Data Missing ⚠",VLOOKUP(X15,'G-7 WaterC'' Data'!$AD$4:$AE$14,2,FALSE)))))</f>
        <v/>
      </c>
      <c r="Z15" s="102"/>
      <c r="AA15" s="276" t="str">
        <f>IF(Z15="","",IF(VLOOKUP(Z15,'G-7 WaterC'' Data'!$AO$4:$BO$7,2,FALSE)=0,"Spatial Data Missing ⚠",VLOOKUP(Z15,'G-7 WaterC'' Data'!$AO$4:$BO$7,2,FALSE)))</f>
        <v/>
      </c>
      <c r="AB15" s="317" t="str">
        <f t="shared" si="4"/>
        <v/>
      </c>
      <c r="AC15" s="317" t="str">
        <f t="shared" si="5"/>
        <v/>
      </c>
      <c r="AD15" s="52"/>
      <c r="AE15" s="943"/>
      <c r="AF15" s="138"/>
      <c r="AG15" s="138"/>
      <c r="AH15" s="934"/>
      <c r="AL15" s="30" t="str">
        <f>IFERROR(INDEX('G-7 WaterC'' Data'!$AZ$3:$AZ$7,MATCH(C15,'G-7 WaterC'' Data'!$AY$3:$AY$7,0)),"")</f>
        <v/>
      </c>
      <c r="AN15" s="30" t="str">
        <f t="shared" si="6"/>
        <v>No</v>
      </c>
    </row>
    <row r="16" spans="2:40" ht="14">
      <c r="B16" s="97">
        <v>5</v>
      </c>
      <c r="C16" s="923"/>
      <c r="D16" s="115"/>
      <c r="E16" s="275" t="str">
        <f>IF(C16="","",VLOOKUP(C16,'G-7 WaterC'' Data'!$B$2:$Z$9,2,FALSE))</f>
        <v/>
      </c>
      <c r="F16" s="276" t="str">
        <f>IFERROR(VLOOKUP(E16,'G-7 WaterC'' Data'!$C$4:$D$8,2,FALSE),"")</f>
        <v/>
      </c>
      <c r="G16" s="52"/>
      <c r="H16" s="276" t="str">
        <f>IFERROR(INDEX('G-7 WaterC'' Data'!$H$4:$L$8,MATCH(C16,'G-7 WaterC'' Data'!$B$4:$B$8,0),MATCH(G16,'G-7 WaterC'' Data'!$H$3:$L$3,0)),"")</f>
        <v/>
      </c>
      <c r="I16" s="52"/>
      <c r="J16" s="314" t="str">
        <f>IF(I16="","",IF(VLOOKUP(I16,'G-7 WaterC'' Data'!$AK$4:$AM$6,2,FALSE)=0,"Spatial Data Missing ⚠",VLOOKUP(I16,'G-7 WaterC'' Data'!$AK$4:$AM$6,2,FALSE)))</f>
        <v/>
      </c>
      <c r="K16" s="276" t="str">
        <f>IF(I16="","",IF(VLOOKUP(I16,'G-7 WaterC'' Data'!$AK$4:$AM$6,3,FALSE)=0,"Spatial Data Missing ⚠",VLOOKUP(I16,'G-7 WaterC'' Data'!$AK$4:$AM$6,3,FALSE)))</f>
        <v/>
      </c>
      <c r="L16" s="372" t="str">
        <f>IFERROR(INDEX('G-7 WaterC'' Data'!$O$3:$O$7,MATCH(G16,'G-7 WaterC'' Data'!$N$3:$N$7,0)),"")</f>
        <v/>
      </c>
      <c r="M16" s="53"/>
      <c r="N16" s="133"/>
      <c r="O16" s="283" t="str">
        <f t="shared" si="0"/>
        <v/>
      </c>
      <c r="P16" s="296" t="str">
        <f t="shared" si="1"/>
        <v/>
      </c>
      <c r="Q16" s="334" t="str">
        <f>IFERROR(IF(P16="Check Data ⚠","Check Data ⚠",VLOOKUP(P16,'G-4 Temporal multipliers'!$A$4:$C$37,3,FALSE)),"")</f>
        <v/>
      </c>
      <c r="R16" s="275" t="str">
        <f>IF(C16="","",VLOOKUP(C16,'G-7 WaterC'' Data'!$B$4:$G$8,4,FALSE))</f>
        <v/>
      </c>
      <c r="S16" s="283" t="str">
        <f t="shared" si="2"/>
        <v/>
      </c>
      <c r="T16" s="314" t="str">
        <f t="shared" si="3"/>
        <v/>
      </c>
      <c r="U16" s="276" t="str">
        <f>IF(C16="","",VLOOKUP(T16,'G-3 Multipliers'!$P$2:$Q$6,2,FALSE))</f>
        <v/>
      </c>
      <c r="V16" s="102"/>
      <c r="W16" s="276" t="str">
        <f>IF(V16="","",IF(AND(V16="N/A - Culvert",C16&lt;&gt;"Culvert"),"Not possible ▲",IF(AND(C16="Culvert",V16&lt;&gt;"N/A - Culvert"),"Not possible ▲",IF(VLOOKUP(V16,'G-7 WaterC'' Data'!$AA$4:$AB$7,2,FALSE)=0,"Spatial Data Missing ⚠",VLOOKUP(V16,'G-7 WaterC'' Data'!$AA$4:$AB$7,2,FALSE)))))</f>
        <v/>
      </c>
      <c r="X16" s="56"/>
      <c r="Y16" s="276" t="str">
        <f>IF(X16="","",IF(AND(X16="N/A - Culvert",C16&lt;&gt;"Culvert"),"Not possible ▲",IF(AND(C16="Culvert",X16&lt;&gt;"N/A - Culvert"),"Not possible ▲",IF(VLOOKUP(X16,'G-7 WaterC'' Data'!$AD$4:$AE$14,2,FALSE)=0,"Enrcoachment Data Missing ⚠",VLOOKUP(X16,'G-7 WaterC'' Data'!$AD$4:$AE$14,2,FALSE)))))</f>
        <v/>
      </c>
      <c r="Z16" s="102"/>
      <c r="AA16" s="276" t="str">
        <f>IF(Z16="","",IF(VLOOKUP(Z16,'G-7 WaterC'' Data'!$AO$4:$BO$7,2,FALSE)=0,"Spatial Data Missing ⚠",VLOOKUP(Z16,'G-7 WaterC'' Data'!$AO$4:$BO$7,2,FALSE)))</f>
        <v/>
      </c>
      <c r="AB16" s="317" t="str">
        <f t="shared" si="4"/>
        <v/>
      </c>
      <c r="AC16" s="317" t="str">
        <f t="shared" si="5"/>
        <v/>
      </c>
      <c r="AD16" s="101"/>
      <c r="AE16" s="938"/>
      <c r="AF16" s="138"/>
      <c r="AG16" s="138"/>
      <c r="AH16" s="934"/>
      <c r="AL16" s="30" t="str">
        <f>IFERROR(INDEX('G-7 WaterC'' Data'!$AZ$3:$AZ$7,MATCH(C16,'G-7 WaterC'' Data'!$AY$3:$AY$7,0)),"")</f>
        <v/>
      </c>
      <c r="AN16" s="30" t="str">
        <f t="shared" si="6"/>
        <v>No</v>
      </c>
    </row>
    <row r="17" spans="2:40" ht="14">
      <c r="B17" s="97">
        <v>6</v>
      </c>
      <c r="C17" s="923"/>
      <c r="D17" s="115"/>
      <c r="E17" s="275" t="str">
        <f>IF(C17="","",VLOOKUP(C17,'G-7 WaterC'' Data'!$B$2:$Z$9,2,FALSE))</f>
        <v/>
      </c>
      <c r="F17" s="276" t="str">
        <f>IFERROR(VLOOKUP(E17,'G-7 WaterC'' Data'!$C$4:$D$8,2,FALSE),"")</f>
        <v/>
      </c>
      <c r="G17" s="52"/>
      <c r="H17" s="276" t="str">
        <f>IFERROR(INDEX('G-7 WaterC'' Data'!$H$4:$L$8,MATCH(C17,'G-7 WaterC'' Data'!$B$4:$B$8,0),MATCH(G17,'G-7 WaterC'' Data'!$H$3:$L$3,0)),"")</f>
        <v/>
      </c>
      <c r="I17" s="52"/>
      <c r="J17" s="314" t="str">
        <f>IF(I17="","",IF(VLOOKUP(I17,'G-7 WaterC'' Data'!$AK$4:$AM$6,2,FALSE)=0,"Spatial Data Missing ⚠",VLOOKUP(I17,'G-7 WaterC'' Data'!$AK$4:$AM$6,2,FALSE)))</f>
        <v/>
      </c>
      <c r="K17" s="276" t="str">
        <f>IF(I17="","",IF(VLOOKUP(I17,'G-7 WaterC'' Data'!$AK$4:$AM$6,3,FALSE)=0,"Spatial Data Missing ⚠",VLOOKUP(I17,'G-7 WaterC'' Data'!$AK$4:$AM$6,3,FALSE)))</f>
        <v/>
      </c>
      <c r="L17" s="372" t="str">
        <f>IFERROR(INDEX('G-7 WaterC'' Data'!$O$3:$O$7,MATCH(G17,'G-7 WaterC'' Data'!$N$3:$N$7,0)),"")</f>
        <v/>
      </c>
      <c r="M17" s="53"/>
      <c r="N17" s="133"/>
      <c r="O17" s="283" t="str">
        <f t="shared" si="0"/>
        <v/>
      </c>
      <c r="P17" s="296" t="str">
        <f t="shared" si="1"/>
        <v/>
      </c>
      <c r="Q17" s="334" t="str">
        <f>IFERROR(IF(P17="Check Data ⚠","Check Data ⚠",VLOOKUP(P17,'G-4 Temporal multipliers'!$A$4:$C$37,3,FALSE)),"")</f>
        <v/>
      </c>
      <c r="R17" s="275" t="str">
        <f>IF(C17="","",VLOOKUP(C17,'G-7 WaterC'' Data'!$B$4:$G$8,4,FALSE))</f>
        <v/>
      </c>
      <c r="S17" s="283" t="str">
        <f t="shared" si="2"/>
        <v/>
      </c>
      <c r="T17" s="314" t="str">
        <f t="shared" si="3"/>
        <v/>
      </c>
      <c r="U17" s="276" t="str">
        <f>IF(C17="","",VLOOKUP(T17,'G-3 Multipliers'!$P$2:$Q$6,2,FALSE))</f>
        <v/>
      </c>
      <c r="V17" s="102"/>
      <c r="W17" s="276" t="str">
        <f>IF(V17="","",IF(AND(V17="N/A - Culvert",C17&lt;&gt;"Culvert"),"Not possible ▲",IF(AND(C17="Culvert",V17&lt;&gt;"N/A - Culvert"),"Not possible ▲",IF(VLOOKUP(V17,'G-7 WaterC'' Data'!$AA$4:$AB$7,2,FALSE)=0,"Spatial Data Missing ⚠",VLOOKUP(V17,'G-7 WaterC'' Data'!$AA$4:$AB$7,2,FALSE)))))</f>
        <v/>
      </c>
      <c r="X17" s="56"/>
      <c r="Y17" s="276" t="str">
        <f>IF(X17="","",IF(AND(X17="N/A - Culvert",C17&lt;&gt;"Culvert"),"Not possible ▲",IF(AND(C17="Culvert",X17&lt;&gt;"N/A - Culvert"),"Not possible ▲",IF(VLOOKUP(X17,'G-7 WaterC'' Data'!$AD$4:$AE$14,2,FALSE)=0,"Enrcoachment Data Missing ⚠",VLOOKUP(X17,'G-7 WaterC'' Data'!$AD$4:$AE$14,2,FALSE)))))</f>
        <v/>
      </c>
      <c r="Z17" s="102"/>
      <c r="AA17" s="276" t="str">
        <f>IF(Z17="","",IF(VLOOKUP(Z17,'G-7 WaterC'' Data'!$AO$4:$BO$7,2,FALSE)=0,"Spatial Data Missing ⚠",VLOOKUP(Z17,'G-7 WaterC'' Data'!$AO$4:$BO$7,2,FALSE)))</f>
        <v/>
      </c>
      <c r="AB17" s="317" t="str">
        <f t="shared" si="4"/>
        <v/>
      </c>
      <c r="AC17" s="317" t="str">
        <f t="shared" si="5"/>
        <v/>
      </c>
      <c r="AD17" s="101"/>
      <c r="AE17" s="938"/>
      <c r="AF17" s="138"/>
      <c r="AG17" s="138"/>
      <c r="AH17" s="934"/>
      <c r="AL17" s="30" t="str">
        <f>IFERROR(INDEX('G-7 WaterC'' Data'!$AZ$3:$AZ$7,MATCH(C17,'G-7 WaterC'' Data'!$AY$3:$AY$7,0)),"")</f>
        <v/>
      </c>
      <c r="AN17" s="30" t="str">
        <f t="shared" si="6"/>
        <v>No</v>
      </c>
    </row>
    <row r="18" spans="2:40" ht="14">
      <c r="B18" s="97">
        <v>7</v>
      </c>
      <c r="C18" s="923"/>
      <c r="D18" s="115"/>
      <c r="E18" s="275" t="str">
        <f>IF(C18="","",VLOOKUP(C18,'G-7 WaterC'' Data'!$B$2:$Z$9,2,FALSE))</f>
        <v/>
      </c>
      <c r="F18" s="276" t="str">
        <f>IFERROR(VLOOKUP(E18,'G-7 WaterC'' Data'!$C$4:$D$8,2,FALSE),"")</f>
        <v/>
      </c>
      <c r="G18" s="52"/>
      <c r="H18" s="276" t="str">
        <f>IFERROR(INDEX('G-7 WaterC'' Data'!$H$4:$L$8,MATCH(C18,'G-7 WaterC'' Data'!$B$4:$B$8,0),MATCH(G18,'G-7 WaterC'' Data'!$H$3:$L$3,0)),"")</f>
        <v/>
      </c>
      <c r="I18" s="52"/>
      <c r="J18" s="314" t="str">
        <f>IF(I18="","",IF(VLOOKUP(I18,'G-7 WaterC'' Data'!$AK$4:$AM$6,2,FALSE)=0,"Spatial Data Missing ⚠",VLOOKUP(I18,'G-7 WaterC'' Data'!$AK$4:$AM$6,2,FALSE)))</f>
        <v/>
      </c>
      <c r="K18" s="276" t="str">
        <f>IF(I18="","",IF(VLOOKUP(I18,'G-7 WaterC'' Data'!$AK$4:$AM$6,3,FALSE)=0,"Spatial Data Missing ⚠",VLOOKUP(I18,'G-7 WaterC'' Data'!$AK$4:$AM$6,3,FALSE)))</f>
        <v/>
      </c>
      <c r="L18" s="372" t="str">
        <f>IFERROR(INDEX('G-7 WaterC'' Data'!$O$3:$O$7,MATCH(G18,'G-7 WaterC'' Data'!$N$3:$N$7,0)),"")</f>
        <v/>
      </c>
      <c r="M18" s="53"/>
      <c r="N18" s="133"/>
      <c r="O18" s="283" t="str">
        <f t="shared" si="0"/>
        <v/>
      </c>
      <c r="P18" s="296" t="str">
        <f t="shared" si="1"/>
        <v/>
      </c>
      <c r="Q18" s="334" t="str">
        <f>IFERROR(IF(P18="Check Data ⚠","Check Data ⚠",VLOOKUP(P18,'G-4 Temporal multipliers'!$A$4:$C$37,3,FALSE)),"")</f>
        <v/>
      </c>
      <c r="R18" s="275" t="str">
        <f>IF(C18="","",VLOOKUP(C18,'G-7 WaterC'' Data'!$B$4:$G$8,4,FALSE))</f>
        <v/>
      </c>
      <c r="S18" s="283" t="str">
        <f t="shared" si="2"/>
        <v/>
      </c>
      <c r="T18" s="314" t="str">
        <f t="shared" si="3"/>
        <v/>
      </c>
      <c r="U18" s="276" t="str">
        <f>IF(C18="","",VLOOKUP(T18,'G-3 Multipliers'!$P$2:$Q$6,2,FALSE))</f>
        <v/>
      </c>
      <c r="V18" s="102"/>
      <c r="W18" s="276" t="str">
        <f>IF(V18="","",IF(AND(V18="N/A - Culvert",C18&lt;&gt;"Culvert"),"Not possible ▲",IF(AND(C18="Culvert",V18&lt;&gt;"N/A - Culvert"),"Not possible ▲",IF(VLOOKUP(V18,'G-7 WaterC'' Data'!$AA$4:$AB$7,2,FALSE)=0,"Spatial Data Missing ⚠",VLOOKUP(V18,'G-7 WaterC'' Data'!$AA$4:$AB$7,2,FALSE)))))</f>
        <v/>
      </c>
      <c r="X18" s="56"/>
      <c r="Y18" s="276" t="str">
        <f>IF(X18="","",IF(AND(X18="N/A - Culvert",C18&lt;&gt;"Culvert"),"Not possible ▲",IF(AND(C18="Culvert",X18&lt;&gt;"N/A - Culvert"),"Not possible ▲",IF(VLOOKUP(X18,'G-7 WaterC'' Data'!$AD$4:$AE$14,2,FALSE)=0,"Enrcoachment Data Missing ⚠",VLOOKUP(X18,'G-7 WaterC'' Data'!$AD$4:$AE$14,2,FALSE)))))</f>
        <v/>
      </c>
      <c r="Z18" s="102"/>
      <c r="AA18" s="276" t="str">
        <f>IF(Z18="","",IF(VLOOKUP(Z18,'G-7 WaterC'' Data'!$AO$4:$BO$7,2,FALSE)=0,"Spatial Data Missing ⚠",VLOOKUP(Z18,'G-7 WaterC'' Data'!$AO$4:$BO$7,2,FALSE)))</f>
        <v/>
      </c>
      <c r="AB18" s="317" t="str">
        <f t="shared" si="4"/>
        <v/>
      </c>
      <c r="AC18" s="317" t="str">
        <f t="shared" si="5"/>
        <v/>
      </c>
      <c r="AD18" s="101"/>
      <c r="AE18" s="938"/>
      <c r="AF18" s="138"/>
      <c r="AG18" s="138"/>
      <c r="AH18" s="934"/>
      <c r="AL18" s="30" t="str">
        <f>IFERROR(INDEX('G-7 WaterC'' Data'!$AZ$3:$AZ$7,MATCH(C18,'G-7 WaterC'' Data'!$AY$3:$AY$7,0)),"")</f>
        <v/>
      </c>
      <c r="AN18" s="30" t="str">
        <f t="shared" si="6"/>
        <v>No</v>
      </c>
    </row>
    <row r="19" spans="2:40" ht="14">
      <c r="B19" s="97">
        <v>8</v>
      </c>
      <c r="C19" s="923"/>
      <c r="D19" s="115"/>
      <c r="E19" s="275" t="str">
        <f>IF(C19="","",VLOOKUP(C19,'G-7 WaterC'' Data'!$B$2:$Z$9,2,FALSE))</f>
        <v/>
      </c>
      <c r="F19" s="276" t="str">
        <f>IFERROR(VLOOKUP(E19,'G-7 WaterC'' Data'!$C$4:$D$8,2,FALSE),"")</f>
        <v/>
      </c>
      <c r="G19" s="52"/>
      <c r="H19" s="276" t="str">
        <f>IFERROR(INDEX('G-7 WaterC'' Data'!$H$4:$L$8,MATCH(C19,'G-7 WaterC'' Data'!$B$4:$B$8,0),MATCH(G19,'G-7 WaterC'' Data'!$H$3:$L$3,0)),"")</f>
        <v/>
      </c>
      <c r="I19" s="52"/>
      <c r="J19" s="314" t="str">
        <f>IF(I19="","",IF(VLOOKUP(I19,'G-7 WaterC'' Data'!$AK$4:$AM$6,2,FALSE)=0,"Spatial Data Missing ⚠",VLOOKUP(I19,'G-7 WaterC'' Data'!$AK$4:$AM$6,2,FALSE)))</f>
        <v/>
      </c>
      <c r="K19" s="276" t="str">
        <f>IF(I19="","",IF(VLOOKUP(I19,'G-7 WaterC'' Data'!$AK$4:$AM$6,3,FALSE)=0,"Spatial Data Missing ⚠",VLOOKUP(I19,'G-7 WaterC'' Data'!$AK$4:$AM$6,3,FALSE)))</f>
        <v/>
      </c>
      <c r="L19" s="372" t="str">
        <f>IFERROR(INDEX('G-7 WaterC'' Data'!$O$3:$O$7,MATCH(G19,'G-7 WaterC'' Data'!$N$3:$N$7,0)),"")</f>
        <v/>
      </c>
      <c r="M19" s="53"/>
      <c r="N19" s="133"/>
      <c r="O19" s="283" t="str">
        <f t="shared" si="0"/>
        <v/>
      </c>
      <c r="P19" s="296" t="str">
        <f t="shared" si="1"/>
        <v/>
      </c>
      <c r="Q19" s="334" t="str">
        <f>IFERROR(IF(P19="Check Data ⚠","Check Data ⚠",VLOOKUP(P19,'G-4 Temporal multipliers'!$A$4:$C$37,3,FALSE)),"")</f>
        <v/>
      </c>
      <c r="R19" s="275" t="str">
        <f>IF(C19="","",VLOOKUP(C19,'G-7 WaterC'' Data'!$B$4:$G$8,4,FALSE))</f>
        <v/>
      </c>
      <c r="S19" s="283" t="str">
        <f t="shared" si="2"/>
        <v/>
      </c>
      <c r="T19" s="314" t="str">
        <f t="shared" si="3"/>
        <v/>
      </c>
      <c r="U19" s="276" t="str">
        <f>IF(C19="","",VLOOKUP(T19,'G-3 Multipliers'!$P$2:$Q$6,2,FALSE))</f>
        <v/>
      </c>
      <c r="V19" s="102"/>
      <c r="W19" s="276" t="str">
        <f>IF(V19="","",IF(AND(V19="N/A - Culvert",C19&lt;&gt;"Culvert"),"Not possible ▲",IF(AND(C19="Culvert",V19&lt;&gt;"N/A - Culvert"),"Not possible ▲",IF(VLOOKUP(V19,'G-7 WaterC'' Data'!$AA$4:$AB$7,2,FALSE)=0,"Spatial Data Missing ⚠",VLOOKUP(V19,'G-7 WaterC'' Data'!$AA$4:$AB$7,2,FALSE)))))</f>
        <v/>
      </c>
      <c r="X19" s="56"/>
      <c r="Y19" s="276" t="str">
        <f>IF(X19="","",IF(AND(X19="N/A - Culvert",C19&lt;&gt;"Culvert"),"Not possible ▲",IF(AND(C19="Culvert",X19&lt;&gt;"N/A - Culvert"),"Not possible ▲",IF(VLOOKUP(X19,'G-7 WaterC'' Data'!$AD$4:$AE$14,2,FALSE)=0,"Enrcoachment Data Missing ⚠",VLOOKUP(X19,'G-7 WaterC'' Data'!$AD$4:$AE$14,2,FALSE)))))</f>
        <v/>
      </c>
      <c r="Z19" s="102"/>
      <c r="AA19" s="276" t="str">
        <f>IF(Z19="","",IF(VLOOKUP(Z19,'G-7 WaterC'' Data'!$AO$4:$BO$7,2,FALSE)=0,"Spatial Data Missing ⚠",VLOOKUP(Z19,'G-7 WaterC'' Data'!$AO$4:$BO$7,2,FALSE)))</f>
        <v/>
      </c>
      <c r="AB19" s="317" t="str">
        <f t="shared" si="4"/>
        <v/>
      </c>
      <c r="AC19" s="317" t="str">
        <f t="shared" si="5"/>
        <v/>
      </c>
      <c r="AD19" s="101"/>
      <c r="AE19" s="938"/>
      <c r="AF19" s="138"/>
      <c r="AG19" s="138"/>
      <c r="AH19" s="934"/>
      <c r="AL19" s="30" t="str">
        <f>IFERROR(INDEX('G-7 WaterC'' Data'!$AZ$3:$AZ$7,MATCH(C19,'G-7 WaterC'' Data'!$AY$3:$AY$7,0)),"")</f>
        <v/>
      </c>
      <c r="AN19" s="30" t="str">
        <f t="shared" si="6"/>
        <v>No</v>
      </c>
    </row>
    <row r="20" spans="2:40" ht="14">
      <c r="B20" s="97">
        <v>9</v>
      </c>
      <c r="C20" s="923"/>
      <c r="D20" s="115"/>
      <c r="E20" s="275" t="str">
        <f>IF(C20="","",VLOOKUP(C20,'G-7 WaterC'' Data'!$B$2:$Z$9,2,FALSE))</f>
        <v/>
      </c>
      <c r="F20" s="276" t="str">
        <f>IFERROR(VLOOKUP(E20,'G-7 WaterC'' Data'!$C$4:$D$8,2,FALSE),"")</f>
        <v/>
      </c>
      <c r="G20" s="52"/>
      <c r="H20" s="276" t="str">
        <f>IFERROR(INDEX('G-7 WaterC'' Data'!$H$4:$L$8,MATCH(C20,'G-7 WaterC'' Data'!$B$4:$B$8,0),MATCH(G20,'G-7 WaterC'' Data'!$H$3:$L$3,0)),"")</f>
        <v/>
      </c>
      <c r="I20" s="52"/>
      <c r="J20" s="314" t="str">
        <f>IF(I20="","",IF(VLOOKUP(I20,'G-7 WaterC'' Data'!$AK$4:$AM$6,2,FALSE)=0,"Spatial Data Missing ⚠",VLOOKUP(I20,'G-7 WaterC'' Data'!$AK$4:$AM$6,2,FALSE)))</f>
        <v/>
      </c>
      <c r="K20" s="276" t="str">
        <f>IF(I20="","",IF(VLOOKUP(I20,'G-7 WaterC'' Data'!$AK$4:$AM$6,3,FALSE)=0,"Spatial Data Missing ⚠",VLOOKUP(I20,'G-7 WaterC'' Data'!$AK$4:$AM$6,3,FALSE)))</f>
        <v/>
      </c>
      <c r="L20" s="372" t="str">
        <f>IFERROR(INDEX('G-7 WaterC'' Data'!$O$3:$O$7,MATCH(G20,'G-7 WaterC'' Data'!$N$3:$N$7,0)),"")</f>
        <v/>
      </c>
      <c r="M20" s="53"/>
      <c r="N20" s="133"/>
      <c r="O20" s="283" t="str">
        <f t="shared" si="0"/>
        <v/>
      </c>
      <c r="P20" s="296" t="str">
        <f t="shared" si="1"/>
        <v/>
      </c>
      <c r="Q20" s="334" t="str">
        <f>IFERROR(IF(P20="Check Data ⚠","Check Data ⚠",VLOOKUP(P20,'G-4 Temporal multipliers'!$A$4:$C$37,3,FALSE)),"")</f>
        <v/>
      </c>
      <c r="R20" s="275" t="str">
        <f>IF(C20="","",VLOOKUP(C20,'G-7 WaterC'' Data'!$B$4:$G$8,4,FALSE))</f>
        <v/>
      </c>
      <c r="S20" s="283" t="str">
        <f t="shared" si="2"/>
        <v/>
      </c>
      <c r="T20" s="314" t="str">
        <f t="shared" si="3"/>
        <v/>
      </c>
      <c r="U20" s="276" t="str">
        <f>IF(C20="","",VLOOKUP(T20,'G-3 Multipliers'!$P$2:$Q$6,2,FALSE))</f>
        <v/>
      </c>
      <c r="V20" s="102"/>
      <c r="W20" s="276" t="str">
        <f>IF(V20="","",IF(AND(V20="N/A - Culvert",C20&lt;&gt;"Culvert"),"Not possible ▲",IF(AND(C20="Culvert",V20&lt;&gt;"N/A - Culvert"),"Not possible ▲",IF(VLOOKUP(V20,'G-7 WaterC'' Data'!$AA$4:$AB$7,2,FALSE)=0,"Spatial Data Missing ⚠",VLOOKUP(V20,'G-7 WaterC'' Data'!$AA$4:$AB$7,2,FALSE)))))</f>
        <v/>
      </c>
      <c r="X20" s="56"/>
      <c r="Y20" s="276" t="str">
        <f>IF(X20="","",IF(AND(X20="N/A - Culvert",C20&lt;&gt;"Culvert"),"Not possible ▲",IF(AND(C20="Culvert",X20&lt;&gt;"N/A - Culvert"),"Not possible ▲",IF(VLOOKUP(X20,'G-7 WaterC'' Data'!$AD$4:$AE$14,2,FALSE)=0,"Enrcoachment Data Missing ⚠",VLOOKUP(X20,'G-7 WaterC'' Data'!$AD$4:$AE$14,2,FALSE)))))</f>
        <v/>
      </c>
      <c r="Z20" s="102"/>
      <c r="AA20" s="276" t="str">
        <f>IF(Z20="","",IF(VLOOKUP(Z20,'G-7 WaterC'' Data'!$AO$4:$BO$7,2,FALSE)=0,"Spatial Data Missing ⚠",VLOOKUP(Z20,'G-7 WaterC'' Data'!$AO$4:$BO$7,2,FALSE)))</f>
        <v/>
      </c>
      <c r="AB20" s="317" t="str">
        <f t="shared" si="4"/>
        <v/>
      </c>
      <c r="AC20" s="317" t="str">
        <f t="shared" si="5"/>
        <v/>
      </c>
      <c r="AD20" s="101"/>
      <c r="AE20" s="938"/>
      <c r="AF20" s="138"/>
      <c r="AG20" s="138"/>
      <c r="AH20" s="934"/>
      <c r="AL20" s="30" t="str">
        <f>IFERROR(INDEX('G-7 WaterC'' Data'!$AZ$3:$AZ$7,MATCH(C20,'G-7 WaterC'' Data'!$AY$3:$AY$7,0)),"")</f>
        <v/>
      </c>
      <c r="AN20" s="30" t="str">
        <f t="shared" si="6"/>
        <v>No</v>
      </c>
    </row>
    <row r="21" spans="2:40" ht="14">
      <c r="B21" s="97">
        <v>10</v>
      </c>
      <c r="C21" s="923"/>
      <c r="D21" s="115"/>
      <c r="E21" s="275" t="str">
        <f>IF(C21="","",VLOOKUP(C21,'G-7 WaterC'' Data'!$B$2:$Z$9,2,FALSE))</f>
        <v/>
      </c>
      <c r="F21" s="276" t="str">
        <f>IFERROR(VLOOKUP(E21,'G-7 WaterC'' Data'!$C$4:$D$8,2,FALSE),"")</f>
        <v/>
      </c>
      <c r="G21" s="52"/>
      <c r="H21" s="276" t="str">
        <f>IFERROR(INDEX('G-7 WaterC'' Data'!$H$4:$L$8,MATCH(C21,'G-7 WaterC'' Data'!$B$4:$B$8,0),MATCH(G21,'G-7 WaterC'' Data'!$H$3:$L$3,0)),"")</f>
        <v/>
      </c>
      <c r="I21" s="52"/>
      <c r="J21" s="314" t="str">
        <f>IF(I21="","",IF(VLOOKUP(I21,'G-7 WaterC'' Data'!$AK$4:$AM$6,2,FALSE)=0,"Spatial Data Missing ⚠",VLOOKUP(I21,'G-7 WaterC'' Data'!$AK$4:$AM$6,2,FALSE)))</f>
        <v/>
      </c>
      <c r="K21" s="276" t="str">
        <f>IF(I21="","",IF(VLOOKUP(I21,'G-7 WaterC'' Data'!$AK$4:$AM$6,3,FALSE)=0,"Spatial Data Missing ⚠",VLOOKUP(I21,'G-7 WaterC'' Data'!$AK$4:$AM$6,3,FALSE)))</f>
        <v/>
      </c>
      <c r="L21" s="372" t="str">
        <f>IFERROR(INDEX('G-7 WaterC'' Data'!$O$3:$O$7,MATCH(G21,'G-7 WaterC'' Data'!$N$3:$N$7,0)),"")</f>
        <v/>
      </c>
      <c r="M21" s="53"/>
      <c r="N21" s="133"/>
      <c r="O21" s="283" t="str">
        <f t="shared" si="0"/>
        <v/>
      </c>
      <c r="P21" s="296" t="str">
        <f t="shared" si="1"/>
        <v/>
      </c>
      <c r="Q21" s="334" t="str">
        <f>IFERROR(IF(P21="Check Data ⚠","Check Data ⚠",VLOOKUP(P21,'G-4 Temporal multipliers'!$A$4:$C$37,3,FALSE)),"")</f>
        <v/>
      </c>
      <c r="R21" s="275" t="str">
        <f>IF(C21="","",VLOOKUP(C21,'G-7 WaterC'' Data'!$B$4:$G$8,4,FALSE))</f>
        <v/>
      </c>
      <c r="S21" s="283" t="str">
        <f t="shared" si="2"/>
        <v/>
      </c>
      <c r="T21" s="314" t="str">
        <f t="shared" si="3"/>
        <v/>
      </c>
      <c r="U21" s="276" t="str">
        <f>IF(C21="","",VLOOKUP(T21,'G-3 Multipliers'!$P$2:$Q$6,2,FALSE))</f>
        <v/>
      </c>
      <c r="V21" s="102"/>
      <c r="W21" s="276" t="str">
        <f>IF(V21="","",IF(AND(V21="N/A - Culvert",C21&lt;&gt;"Culvert"),"Not possible ▲",IF(AND(C21="Culvert",V21&lt;&gt;"N/A - Culvert"),"Not possible ▲",IF(VLOOKUP(V21,'G-7 WaterC'' Data'!$AA$4:$AB$7,2,FALSE)=0,"Spatial Data Missing ⚠",VLOOKUP(V21,'G-7 WaterC'' Data'!$AA$4:$AB$7,2,FALSE)))))</f>
        <v/>
      </c>
      <c r="X21" s="56"/>
      <c r="Y21" s="276" t="str">
        <f>IF(X21="","",IF(AND(X21="N/A - Culvert",C21&lt;&gt;"Culvert"),"Not possible ▲",IF(AND(C21="Culvert",X21&lt;&gt;"N/A - Culvert"),"Not possible ▲",IF(VLOOKUP(X21,'G-7 WaterC'' Data'!$AD$4:$AE$14,2,FALSE)=0,"Enrcoachment Data Missing ⚠",VLOOKUP(X21,'G-7 WaterC'' Data'!$AD$4:$AE$14,2,FALSE)))))</f>
        <v/>
      </c>
      <c r="Z21" s="102"/>
      <c r="AA21" s="276" t="str">
        <f>IF(Z21="","",IF(VLOOKUP(Z21,'G-7 WaterC'' Data'!$AO$4:$BO$7,2,FALSE)=0,"Spatial Data Missing ⚠",VLOOKUP(Z21,'G-7 WaterC'' Data'!$AO$4:$BO$7,2,FALSE)))</f>
        <v/>
      </c>
      <c r="AB21" s="317" t="str">
        <f t="shared" si="4"/>
        <v/>
      </c>
      <c r="AC21" s="317" t="str">
        <f t="shared" si="5"/>
        <v/>
      </c>
      <c r="AD21" s="101"/>
      <c r="AE21" s="938"/>
      <c r="AF21" s="138"/>
      <c r="AG21" s="138"/>
      <c r="AH21" s="934"/>
      <c r="AL21" s="30" t="str">
        <f>IFERROR(INDEX('G-7 WaterC'' Data'!$AZ$3:$AZ$7,MATCH(C21,'G-7 WaterC'' Data'!$AY$3:$AY$7,0)),"")</f>
        <v/>
      </c>
      <c r="AN21" s="30" t="str">
        <f t="shared" si="6"/>
        <v>No</v>
      </c>
    </row>
    <row r="22" spans="2:40" ht="14">
      <c r="B22" s="97">
        <v>11</v>
      </c>
      <c r="C22" s="923"/>
      <c r="D22" s="115"/>
      <c r="E22" s="275" t="str">
        <f>IF(C22="","",VLOOKUP(C22,'G-7 WaterC'' Data'!$B$2:$Z$9,2,FALSE))</f>
        <v/>
      </c>
      <c r="F22" s="276" t="str">
        <f>IFERROR(VLOOKUP(E22,'G-7 WaterC'' Data'!$C$4:$D$8,2,FALSE),"")</f>
        <v/>
      </c>
      <c r="G22" s="52"/>
      <c r="H22" s="276" t="str">
        <f>IFERROR(INDEX('G-7 WaterC'' Data'!$H$4:$L$8,MATCH(C22,'G-7 WaterC'' Data'!$B$4:$B$8,0),MATCH(G22,'G-7 WaterC'' Data'!$H$3:$L$3,0)),"")</f>
        <v/>
      </c>
      <c r="I22" s="52"/>
      <c r="J22" s="314" t="str">
        <f>IF(I22="","",IF(VLOOKUP(I22,'G-7 WaterC'' Data'!$AK$4:$AM$6,2,FALSE)=0,"Spatial Data Missing ⚠",VLOOKUP(I22,'G-7 WaterC'' Data'!$AK$4:$AM$6,2,FALSE)))</f>
        <v/>
      </c>
      <c r="K22" s="276" t="str">
        <f>IF(I22="","",IF(VLOOKUP(I22,'G-7 WaterC'' Data'!$AK$4:$AM$6,3,FALSE)=0,"Spatial Data Missing ⚠",VLOOKUP(I22,'G-7 WaterC'' Data'!$AK$4:$AM$6,3,FALSE)))</f>
        <v/>
      </c>
      <c r="L22" s="372" t="str">
        <f>IFERROR(INDEX('G-7 WaterC'' Data'!$O$3:$O$7,MATCH(G22,'G-7 WaterC'' Data'!$N$3:$N$7,0)),"")</f>
        <v/>
      </c>
      <c r="M22" s="53"/>
      <c r="N22" s="133"/>
      <c r="O22" s="283" t="str">
        <f t="shared" si="0"/>
        <v/>
      </c>
      <c r="P22" s="296" t="str">
        <f t="shared" si="1"/>
        <v/>
      </c>
      <c r="Q22" s="334" t="str">
        <f>IFERROR(IF(P22="Check Data ⚠","Check Data ⚠",VLOOKUP(P22,'G-4 Temporal multipliers'!$A$4:$C$37,3,FALSE)),"")</f>
        <v/>
      </c>
      <c r="R22" s="275" t="str">
        <f>IF(C22="","",VLOOKUP(C22,'G-7 WaterC'' Data'!$B$4:$G$8,4,FALSE))</f>
        <v/>
      </c>
      <c r="S22" s="283" t="str">
        <f t="shared" si="2"/>
        <v/>
      </c>
      <c r="T22" s="314" t="str">
        <f t="shared" si="3"/>
        <v/>
      </c>
      <c r="U22" s="276" t="str">
        <f>IF(C22="","",VLOOKUP(T22,'G-3 Multipliers'!$P$2:$Q$6,2,FALSE))</f>
        <v/>
      </c>
      <c r="V22" s="102"/>
      <c r="W22" s="276" t="str">
        <f>IF(V22="","",IF(AND(V22="N/A - Culvert",C22&lt;&gt;"Culvert"),"Not possible ▲",IF(AND(C22="Culvert",V22&lt;&gt;"N/A - Culvert"),"Not possible ▲",IF(VLOOKUP(V22,'G-7 WaterC'' Data'!$AA$4:$AB$7,2,FALSE)=0,"Spatial Data Missing ⚠",VLOOKUP(V22,'G-7 WaterC'' Data'!$AA$4:$AB$7,2,FALSE)))))</f>
        <v/>
      </c>
      <c r="X22" s="56"/>
      <c r="Y22" s="276" t="str">
        <f>IF(X22="","",IF(AND(X22="N/A - Culvert",C22&lt;&gt;"Culvert"),"Not possible ▲",IF(AND(C22="Culvert",X22&lt;&gt;"N/A - Culvert"),"Not possible ▲",IF(VLOOKUP(X22,'G-7 WaterC'' Data'!$AD$4:$AE$14,2,FALSE)=0,"Enrcoachment Data Missing ⚠",VLOOKUP(X22,'G-7 WaterC'' Data'!$AD$4:$AE$14,2,FALSE)))))</f>
        <v/>
      </c>
      <c r="Z22" s="102"/>
      <c r="AA22" s="276" t="str">
        <f>IF(Z22="","",IF(VLOOKUP(Z22,'G-7 WaterC'' Data'!$AO$4:$BO$7,2,FALSE)=0,"Spatial Data Missing ⚠",VLOOKUP(Z22,'G-7 WaterC'' Data'!$AO$4:$BO$7,2,FALSE)))</f>
        <v/>
      </c>
      <c r="AB22" s="317" t="str">
        <f t="shared" si="4"/>
        <v/>
      </c>
      <c r="AC22" s="317" t="str">
        <f t="shared" si="5"/>
        <v/>
      </c>
      <c r="AD22" s="101"/>
      <c r="AE22" s="938"/>
      <c r="AF22" s="138"/>
      <c r="AG22" s="138"/>
      <c r="AH22" s="934"/>
      <c r="AL22" s="30" t="str">
        <f>IFERROR(INDEX('G-7 WaterC'' Data'!$AZ$3:$AZ$7,MATCH(C22,'G-7 WaterC'' Data'!$AY$3:$AY$7,0)),"")</f>
        <v/>
      </c>
      <c r="AN22" s="30" t="str">
        <f t="shared" si="6"/>
        <v>No</v>
      </c>
    </row>
    <row r="23" spans="2:40" ht="14">
      <c r="B23" s="97">
        <v>12</v>
      </c>
      <c r="C23" s="923"/>
      <c r="D23" s="115"/>
      <c r="E23" s="275" t="str">
        <f>IF(C23="","",VLOOKUP(C23,'G-7 WaterC'' Data'!$B$2:$Z$9,2,FALSE))</f>
        <v/>
      </c>
      <c r="F23" s="276" t="str">
        <f>IFERROR(VLOOKUP(E23,'G-7 WaterC'' Data'!$C$4:$D$8,2,FALSE),"")</f>
        <v/>
      </c>
      <c r="G23" s="52"/>
      <c r="H23" s="276" t="str">
        <f>IFERROR(INDEX('G-7 WaterC'' Data'!$H$4:$L$8,MATCH(C23,'G-7 WaterC'' Data'!$B$4:$B$8,0),MATCH(G23,'G-7 WaterC'' Data'!$H$3:$L$3,0)),"")</f>
        <v/>
      </c>
      <c r="I23" s="52"/>
      <c r="J23" s="314" t="str">
        <f>IF(I23="","",IF(VLOOKUP(I23,'G-7 WaterC'' Data'!$AK$4:$AM$6,2,FALSE)=0,"Spatial Data Missing ⚠",VLOOKUP(I23,'G-7 WaterC'' Data'!$AK$4:$AM$6,2,FALSE)))</f>
        <v/>
      </c>
      <c r="K23" s="276" t="str">
        <f>IF(I23="","",IF(VLOOKUP(I23,'G-7 WaterC'' Data'!$AK$4:$AM$6,3,FALSE)=0,"Spatial Data Missing ⚠",VLOOKUP(I23,'G-7 WaterC'' Data'!$AK$4:$AM$6,3,FALSE)))</f>
        <v/>
      </c>
      <c r="L23" s="372" t="str">
        <f>IFERROR(INDEX('G-7 WaterC'' Data'!$O$3:$O$7,MATCH(G23,'G-7 WaterC'' Data'!$N$3:$N$7,0)),"")</f>
        <v/>
      </c>
      <c r="M23" s="53"/>
      <c r="N23" s="133"/>
      <c r="O23" s="283" t="str">
        <f t="shared" si="0"/>
        <v/>
      </c>
      <c r="P23" s="296" t="str">
        <f t="shared" si="1"/>
        <v/>
      </c>
      <c r="Q23" s="334" t="str">
        <f>IFERROR(IF(P23="Check Data ⚠","Check Data ⚠",VLOOKUP(P23,'G-4 Temporal multipliers'!$A$4:$C$37,3,FALSE)),"")</f>
        <v/>
      </c>
      <c r="R23" s="275" t="str">
        <f>IF(C23="","",VLOOKUP(C23,'G-7 WaterC'' Data'!$B$4:$G$8,4,FALSE))</f>
        <v/>
      </c>
      <c r="S23" s="283" t="str">
        <f t="shared" si="2"/>
        <v/>
      </c>
      <c r="T23" s="314" t="str">
        <f t="shared" si="3"/>
        <v/>
      </c>
      <c r="U23" s="276" t="str">
        <f>IF(C23="","",VLOOKUP(T23,'G-3 Multipliers'!$P$2:$Q$6,2,FALSE))</f>
        <v/>
      </c>
      <c r="V23" s="102"/>
      <c r="W23" s="276" t="str">
        <f>IF(V23="","",IF(AND(V23="N/A - Culvert",C23&lt;&gt;"Culvert"),"Not possible ▲",IF(AND(C23="Culvert",V23&lt;&gt;"N/A - Culvert"),"Not possible ▲",IF(VLOOKUP(V23,'G-7 WaterC'' Data'!$AA$4:$AB$7,2,FALSE)=0,"Spatial Data Missing ⚠",VLOOKUP(V23,'G-7 WaterC'' Data'!$AA$4:$AB$7,2,FALSE)))))</f>
        <v/>
      </c>
      <c r="X23" s="56"/>
      <c r="Y23" s="276" t="str">
        <f>IF(X23="","",IF(AND(X23="N/A - Culvert",C23&lt;&gt;"Culvert"),"Not possible ▲",IF(AND(C23="Culvert",X23&lt;&gt;"N/A - Culvert"),"Not possible ▲",IF(VLOOKUP(X23,'G-7 WaterC'' Data'!$AD$4:$AE$14,2,FALSE)=0,"Enrcoachment Data Missing ⚠",VLOOKUP(X23,'G-7 WaterC'' Data'!$AD$4:$AE$14,2,FALSE)))))</f>
        <v/>
      </c>
      <c r="Z23" s="102"/>
      <c r="AA23" s="276" t="str">
        <f>IF(Z23="","",IF(VLOOKUP(Z23,'G-7 WaterC'' Data'!$AO$4:$BO$7,2,FALSE)=0,"Spatial Data Missing ⚠",VLOOKUP(Z23,'G-7 WaterC'' Data'!$AO$4:$BO$7,2,FALSE)))</f>
        <v/>
      </c>
      <c r="AB23" s="317" t="str">
        <f t="shared" si="4"/>
        <v/>
      </c>
      <c r="AC23" s="317" t="str">
        <f t="shared" si="5"/>
        <v/>
      </c>
      <c r="AD23" s="101"/>
      <c r="AE23" s="938"/>
      <c r="AF23" s="138"/>
      <c r="AG23" s="138"/>
      <c r="AH23" s="934"/>
      <c r="AL23" s="30" t="str">
        <f>IFERROR(INDEX('G-7 WaterC'' Data'!$AZ$3:$AZ$7,MATCH(C23,'G-7 WaterC'' Data'!$AY$3:$AY$7,0)),"")</f>
        <v/>
      </c>
      <c r="AN23" s="30" t="str">
        <f t="shared" si="6"/>
        <v>No</v>
      </c>
    </row>
    <row r="24" spans="2:40" ht="14">
      <c r="B24" s="97">
        <v>13</v>
      </c>
      <c r="C24" s="923"/>
      <c r="D24" s="115"/>
      <c r="E24" s="275" t="str">
        <f>IF(C24="","",VLOOKUP(C24,'G-7 WaterC'' Data'!$B$2:$Z$9,2,FALSE))</f>
        <v/>
      </c>
      <c r="F24" s="276" t="str">
        <f>IFERROR(VLOOKUP(E24,'G-7 WaterC'' Data'!$C$4:$D$8,2,FALSE),"")</f>
        <v/>
      </c>
      <c r="G24" s="52"/>
      <c r="H24" s="276" t="str">
        <f>IFERROR(INDEX('G-7 WaterC'' Data'!$H$4:$L$8,MATCH(C24,'G-7 WaterC'' Data'!$B$4:$B$8,0),MATCH(G24,'G-7 WaterC'' Data'!$H$3:$L$3,0)),"")</f>
        <v/>
      </c>
      <c r="I24" s="52"/>
      <c r="J24" s="314" t="str">
        <f>IF(I24="","",IF(VLOOKUP(I24,'G-7 WaterC'' Data'!$AK$4:$AM$6,2,FALSE)=0,"Spatial Data Missing ⚠",VLOOKUP(I24,'G-7 WaterC'' Data'!$AK$4:$AM$6,2,FALSE)))</f>
        <v/>
      </c>
      <c r="K24" s="276" t="str">
        <f>IF(I24="","",IF(VLOOKUP(I24,'G-7 WaterC'' Data'!$AK$4:$AM$6,3,FALSE)=0,"Spatial Data Missing ⚠",VLOOKUP(I24,'G-7 WaterC'' Data'!$AK$4:$AM$6,3,FALSE)))</f>
        <v/>
      </c>
      <c r="L24" s="372" t="str">
        <f>IFERROR(INDEX('G-7 WaterC'' Data'!$O$3:$O$7,MATCH(G24,'G-7 WaterC'' Data'!$N$3:$N$7,0)),"")</f>
        <v/>
      </c>
      <c r="M24" s="53"/>
      <c r="N24" s="133"/>
      <c r="O24" s="283" t="str">
        <f t="shared" si="0"/>
        <v/>
      </c>
      <c r="P24" s="296" t="str">
        <f t="shared" si="1"/>
        <v/>
      </c>
      <c r="Q24" s="334" t="str">
        <f>IFERROR(IF(P24="Check Data ⚠","Check Data ⚠",VLOOKUP(P24,'G-4 Temporal multipliers'!$A$4:$C$37,3,FALSE)),"")</f>
        <v/>
      </c>
      <c r="R24" s="275" t="str">
        <f>IF(C24="","",VLOOKUP(C24,'G-7 WaterC'' Data'!$B$4:$G$8,4,FALSE))</f>
        <v/>
      </c>
      <c r="S24" s="283" t="str">
        <f t="shared" si="2"/>
        <v/>
      </c>
      <c r="T24" s="314" t="str">
        <f t="shared" si="3"/>
        <v/>
      </c>
      <c r="U24" s="276" t="str">
        <f>IF(C24="","",VLOOKUP(T24,'G-3 Multipliers'!$P$2:$Q$6,2,FALSE))</f>
        <v/>
      </c>
      <c r="V24" s="102"/>
      <c r="W24" s="276" t="str">
        <f>IF(V24="","",IF(AND(V24="N/A - Culvert",C24&lt;&gt;"Culvert"),"Not possible ▲",IF(AND(C24="Culvert",V24&lt;&gt;"N/A - Culvert"),"Not possible ▲",IF(VLOOKUP(V24,'G-7 WaterC'' Data'!$AA$4:$AB$7,2,FALSE)=0,"Spatial Data Missing ⚠",VLOOKUP(V24,'G-7 WaterC'' Data'!$AA$4:$AB$7,2,FALSE)))))</f>
        <v/>
      </c>
      <c r="X24" s="56"/>
      <c r="Y24" s="276" t="str">
        <f>IF(X24="","",IF(AND(X24="N/A - Culvert",C24&lt;&gt;"Culvert"),"Not possible ▲",IF(AND(C24="Culvert",X24&lt;&gt;"N/A - Culvert"),"Not possible ▲",IF(VLOOKUP(X24,'G-7 WaterC'' Data'!$AD$4:$AE$14,2,FALSE)=0,"Enrcoachment Data Missing ⚠",VLOOKUP(X24,'G-7 WaterC'' Data'!$AD$4:$AE$14,2,FALSE)))))</f>
        <v/>
      </c>
      <c r="Z24" s="102"/>
      <c r="AA24" s="276" t="str">
        <f>IF(Z24="","",IF(VLOOKUP(Z24,'G-7 WaterC'' Data'!$AO$4:$BO$7,2,FALSE)=0,"Spatial Data Missing ⚠",VLOOKUP(Z24,'G-7 WaterC'' Data'!$AO$4:$BO$7,2,FALSE)))</f>
        <v/>
      </c>
      <c r="AB24" s="317" t="str">
        <f t="shared" si="4"/>
        <v/>
      </c>
      <c r="AC24" s="317" t="str">
        <f t="shared" si="5"/>
        <v/>
      </c>
      <c r="AD24" s="101"/>
      <c r="AE24" s="938"/>
      <c r="AF24" s="138"/>
      <c r="AG24" s="138"/>
      <c r="AH24" s="934"/>
      <c r="AL24" s="30" t="str">
        <f>IFERROR(INDEX('G-7 WaterC'' Data'!$AZ$3:$AZ$7,MATCH(C24,'G-7 WaterC'' Data'!$AY$3:$AY$7,0)),"")</f>
        <v/>
      </c>
      <c r="AN24" s="30" t="str">
        <f t="shared" si="6"/>
        <v>No</v>
      </c>
    </row>
    <row r="25" spans="2:40" ht="14">
      <c r="B25" s="97">
        <v>14</v>
      </c>
      <c r="C25" s="923"/>
      <c r="D25" s="115"/>
      <c r="E25" s="275" t="str">
        <f>IF(C25="","",VLOOKUP(C25,'G-7 WaterC'' Data'!$B$2:$Z$9,2,FALSE))</f>
        <v/>
      </c>
      <c r="F25" s="276" t="str">
        <f>IFERROR(VLOOKUP(E25,'G-7 WaterC'' Data'!$C$4:$D$8,2,FALSE),"")</f>
        <v/>
      </c>
      <c r="G25" s="52"/>
      <c r="H25" s="276" t="str">
        <f>IFERROR(INDEX('G-7 WaterC'' Data'!$H$4:$L$8,MATCH(C25,'G-7 WaterC'' Data'!$B$4:$B$8,0),MATCH(G25,'G-7 WaterC'' Data'!$H$3:$L$3,0)),"")</f>
        <v/>
      </c>
      <c r="I25" s="52"/>
      <c r="J25" s="314" t="str">
        <f>IF(I25="","",IF(VLOOKUP(I25,'G-7 WaterC'' Data'!$AK$4:$AM$6,2,FALSE)=0,"Spatial Data Missing ⚠",VLOOKUP(I25,'G-7 WaterC'' Data'!$AK$4:$AM$6,2,FALSE)))</f>
        <v/>
      </c>
      <c r="K25" s="276" t="str">
        <f>IF(I25="","",IF(VLOOKUP(I25,'G-7 WaterC'' Data'!$AK$4:$AM$6,3,FALSE)=0,"Spatial Data Missing ⚠",VLOOKUP(I25,'G-7 WaterC'' Data'!$AK$4:$AM$6,3,FALSE)))</f>
        <v/>
      </c>
      <c r="L25" s="372" t="str">
        <f>IFERROR(INDEX('G-7 WaterC'' Data'!$O$3:$O$7,MATCH(G25,'G-7 WaterC'' Data'!$N$3:$N$7,0)),"")</f>
        <v/>
      </c>
      <c r="M25" s="53"/>
      <c r="N25" s="133"/>
      <c r="O25" s="283" t="str">
        <f t="shared" si="0"/>
        <v/>
      </c>
      <c r="P25" s="296" t="str">
        <f t="shared" si="1"/>
        <v/>
      </c>
      <c r="Q25" s="334" t="str">
        <f>IFERROR(IF(P25="Check Data ⚠","Check Data ⚠",VLOOKUP(P25,'G-4 Temporal multipliers'!$A$4:$C$37,3,FALSE)),"")</f>
        <v/>
      </c>
      <c r="R25" s="275" t="str">
        <f>IF(C25="","",VLOOKUP(C25,'G-7 WaterC'' Data'!$B$4:$G$8,4,FALSE))</f>
        <v/>
      </c>
      <c r="S25" s="283" t="str">
        <f t="shared" si="2"/>
        <v/>
      </c>
      <c r="T25" s="314" t="str">
        <f t="shared" si="3"/>
        <v/>
      </c>
      <c r="U25" s="276" t="str">
        <f>IF(C25="","",VLOOKUP(T25,'G-3 Multipliers'!$P$2:$Q$6,2,FALSE))</f>
        <v/>
      </c>
      <c r="V25" s="102"/>
      <c r="W25" s="276" t="str">
        <f>IF(V25="","",IF(AND(V25="N/A - Culvert",C25&lt;&gt;"Culvert"),"Not possible ▲",IF(AND(C25="Culvert",V25&lt;&gt;"N/A - Culvert"),"Not possible ▲",IF(VLOOKUP(V25,'G-7 WaterC'' Data'!$AA$4:$AB$7,2,FALSE)=0,"Spatial Data Missing ⚠",VLOOKUP(V25,'G-7 WaterC'' Data'!$AA$4:$AB$7,2,FALSE)))))</f>
        <v/>
      </c>
      <c r="X25" s="56"/>
      <c r="Y25" s="276" t="str">
        <f>IF(X25="","",IF(AND(X25="N/A - Culvert",C25&lt;&gt;"Culvert"),"Not possible ▲",IF(AND(C25="Culvert",X25&lt;&gt;"N/A - Culvert"),"Not possible ▲",IF(VLOOKUP(X25,'G-7 WaterC'' Data'!$AD$4:$AE$14,2,FALSE)=0,"Enrcoachment Data Missing ⚠",VLOOKUP(X25,'G-7 WaterC'' Data'!$AD$4:$AE$14,2,FALSE)))))</f>
        <v/>
      </c>
      <c r="Z25" s="102"/>
      <c r="AA25" s="276" t="str">
        <f>IF(Z25="","",IF(VLOOKUP(Z25,'G-7 WaterC'' Data'!$AO$4:$BO$7,2,FALSE)=0,"Spatial Data Missing ⚠",VLOOKUP(Z25,'G-7 WaterC'' Data'!$AO$4:$BO$7,2,FALSE)))</f>
        <v/>
      </c>
      <c r="AB25" s="317" t="str">
        <f t="shared" si="4"/>
        <v/>
      </c>
      <c r="AC25" s="317" t="str">
        <f t="shared" si="5"/>
        <v/>
      </c>
      <c r="AD25" s="101"/>
      <c r="AE25" s="938"/>
      <c r="AF25" s="138"/>
      <c r="AG25" s="138"/>
      <c r="AH25" s="934"/>
      <c r="AL25" s="30" t="str">
        <f>IFERROR(INDEX('G-7 WaterC'' Data'!$AZ$3:$AZ$7,MATCH(C25,'G-7 WaterC'' Data'!$AY$3:$AY$7,0)),"")</f>
        <v/>
      </c>
      <c r="AN25" s="30" t="str">
        <f t="shared" si="6"/>
        <v>No</v>
      </c>
    </row>
    <row r="26" spans="2:40" ht="14">
      <c r="B26" s="97">
        <v>15</v>
      </c>
      <c r="C26" s="923"/>
      <c r="D26" s="115"/>
      <c r="E26" s="275" t="str">
        <f>IF(C26="","",VLOOKUP(C26,'G-7 WaterC'' Data'!$B$2:$Z$9,2,FALSE))</f>
        <v/>
      </c>
      <c r="F26" s="276" t="str">
        <f>IFERROR(VLOOKUP(E26,'G-7 WaterC'' Data'!$C$4:$D$8,2,FALSE),"")</f>
        <v/>
      </c>
      <c r="G26" s="52"/>
      <c r="H26" s="276" t="str">
        <f>IFERROR(INDEX('G-7 WaterC'' Data'!$H$4:$L$8,MATCH(C26,'G-7 WaterC'' Data'!$B$4:$B$8,0),MATCH(G26,'G-7 WaterC'' Data'!$H$3:$L$3,0)),"")</f>
        <v/>
      </c>
      <c r="I26" s="52"/>
      <c r="J26" s="314" t="str">
        <f>IF(I26="","",IF(VLOOKUP(I26,'G-7 WaterC'' Data'!$AK$4:$AM$6,2,FALSE)=0,"Spatial Data Missing ⚠",VLOOKUP(I26,'G-7 WaterC'' Data'!$AK$4:$AM$6,2,FALSE)))</f>
        <v/>
      </c>
      <c r="K26" s="276" t="str">
        <f>IF(I26="","",IF(VLOOKUP(I26,'G-7 WaterC'' Data'!$AK$4:$AM$6,3,FALSE)=0,"Spatial Data Missing ⚠",VLOOKUP(I26,'G-7 WaterC'' Data'!$AK$4:$AM$6,3,FALSE)))</f>
        <v/>
      </c>
      <c r="L26" s="372" t="str">
        <f>IFERROR(INDEX('G-7 WaterC'' Data'!$O$3:$O$7,MATCH(G26,'G-7 WaterC'' Data'!$N$3:$N$7,0)),"")</f>
        <v/>
      </c>
      <c r="M26" s="53"/>
      <c r="N26" s="133"/>
      <c r="O26" s="283" t="str">
        <f t="shared" si="0"/>
        <v/>
      </c>
      <c r="P26" s="296" t="str">
        <f t="shared" si="1"/>
        <v/>
      </c>
      <c r="Q26" s="334" t="str">
        <f>IFERROR(IF(P26="Check Data ⚠","Check Data ⚠",VLOOKUP(P26,'G-4 Temporal multipliers'!$A$4:$C$37,3,FALSE)),"")</f>
        <v/>
      </c>
      <c r="R26" s="275" t="str">
        <f>IF(C26="","",VLOOKUP(C26,'G-7 WaterC'' Data'!$B$4:$G$8,4,FALSE))</f>
        <v/>
      </c>
      <c r="S26" s="283" t="str">
        <f t="shared" si="2"/>
        <v/>
      </c>
      <c r="T26" s="314" t="str">
        <f t="shared" si="3"/>
        <v/>
      </c>
      <c r="U26" s="276" t="str">
        <f>IF(C26="","",VLOOKUP(T26,'G-3 Multipliers'!$P$2:$Q$6,2,FALSE))</f>
        <v/>
      </c>
      <c r="V26" s="102"/>
      <c r="W26" s="276" t="str">
        <f>IF(V26="","",IF(AND(V26="N/A - Culvert",C26&lt;&gt;"Culvert"),"Not possible ▲",IF(AND(C26="Culvert",V26&lt;&gt;"N/A - Culvert"),"Not possible ▲",IF(VLOOKUP(V26,'G-7 WaterC'' Data'!$AA$4:$AB$7,2,FALSE)=0,"Spatial Data Missing ⚠",VLOOKUP(V26,'G-7 WaterC'' Data'!$AA$4:$AB$7,2,FALSE)))))</f>
        <v/>
      </c>
      <c r="X26" s="56"/>
      <c r="Y26" s="276" t="str">
        <f>IF(X26="","",IF(AND(X26="N/A - Culvert",C26&lt;&gt;"Culvert"),"Not possible ▲",IF(AND(C26="Culvert",X26&lt;&gt;"N/A - Culvert"),"Not possible ▲",IF(VLOOKUP(X26,'G-7 WaterC'' Data'!$AD$4:$AE$14,2,FALSE)=0,"Enrcoachment Data Missing ⚠",VLOOKUP(X26,'G-7 WaterC'' Data'!$AD$4:$AE$14,2,FALSE)))))</f>
        <v/>
      </c>
      <c r="Z26" s="102"/>
      <c r="AA26" s="276" t="str">
        <f>IF(Z26="","",IF(VLOOKUP(Z26,'G-7 WaterC'' Data'!$AO$4:$BO$7,2,FALSE)=0,"Spatial Data Missing ⚠",VLOOKUP(Z26,'G-7 WaterC'' Data'!$AO$4:$BO$7,2,FALSE)))</f>
        <v/>
      </c>
      <c r="AB26" s="317" t="str">
        <f t="shared" si="4"/>
        <v/>
      </c>
      <c r="AC26" s="317" t="str">
        <f t="shared" si="5"/>
        <v/>
      </c>
      <c r="AD26" s="101"/>
      <c r="AE26" s="938"/>
      <c r="AF26" s="138"/>
      <c r="AG26" s="138"/>
      <c r="AH26" s="934"/>
      <c r="AL26" s="30" t="str">
        <f>IFERROR(INDEX('G-7 WaterC'' Data'!$AZ$3:$AZ$7,MATCH(C26,'G-7 WaterC'' Data'!$AY$3:$AY$7,0)),"")</f>
        <v/>
      </c>
      <c r="AN26" s="30" t="str">
        <f t="shared" si="6"/>
        <v>No</v>
      </c>
    </row>
    <row r="27" spans="2:40" ht="14">
      <c r="B27" s="97">
        <v>16</v>
      </c>
      <c r="C27" s="923"/>
      <c r="D27" s="115"/>
      <c r="E27" s="275" t="str">
        <f>IF(C27="","",VLOOKUP(C27,'G-7 WaterC'' Data'!$B$2:$Z$9,2,FALSE))</f>
        <v/>
      </c>
      <c r="F27" s="276" t="str">
        <f>IFERROR(VLOOKUP(E27,'G-7 WaterC'' Data'!$C$4:$D$8,2,FALSE),"")</f>
        <v/>
      </c>
      <c r="G27" s="52"/>
      <c r="H27" s="276" t="str">
        <f>IFERROR(INDEX('G-7 WaterC'' Data'!$H$4:$L$8,MATCH(C27,'G-7 WaterC'' Data'!$B$4:$B$8,0),MATCH(G27,'G-7 WaterC'' Data'!$H$3:$L$3,0)),"")</f>
        <v/>
      </c>
      <c r="I27" s="52"/>
      <c r="J27" s="314" t="str">
        <f>IF(I27="","",IF(VLOOKUP(I27,'G-7 WaterC'' Data'!$AK$4:$AM$6,2,FALSE)=0,"Spatial Data Missing ⚠",VLOOKUP(I27,'G-7 WaterC'' Data'!$AK$4:$AM$6,2,FALSE)))</f>
        <v/>
      </c>
      <c r="K27" s="276" t="str">
        <f>IF(I27="","",IF(VLOOKUP(I27,'G-7 WaterC'' Data'!$AK$4:$AM$6,3,FALSE)=0,"Spatial Data Missing ⚠",VLOOKUP(I27,'G-7 WaterC'' Data'!$AK$4:$AM$6,3,FALSE)))</f>
        <v/>
      </c>
      <c r="L27" s="372" t="str">
        <f>IFERROR(INDEX('G-7 WaterC'' Data'!$O$3:$O$7,MATCH(G27,'G-7 WaterC'' Data'!$N$3:$N$7,0)),"")</f>
        <v/>
      </c>
      <c r="M27" s="53"/>
      <c r="N27" s="133"/>
      <c r="O27" s="283" t="str">
        <f t="shared" si="0"/>
        <v/>
      </c>
      <c r="P27" s="296" t="str">
        <f t="shared" si="1"/>
        <v/>
      </c>
      <c r="Q27" s="334" t="str">
        <f>IFERROR(IF(P27="Check Data ⚠","Check Data ⚠",VLOOKUP(P27,'G-4 Temporal multipliers'!$A$4:$C$37,3,FALSE)),"")</f>
        <v/>
      </c>
      <c r="R27" s="275" t="str">
        <f>IF(C27="","",VLOOKUP(C27,'G-7 WaterC'' Data'!$B$4:$G$8,4,FALSE))</f>
        <v/>
      </c>
      <c r="S27" s="283" t="str">
        <f t="shared" si="2"/>
        <v/>
      </c>
      <c r="T27" s="314" t="str">
        <f t="shared" si="3"/>
        <v/>
      </c>
      <c r="U27" s="276" t="str">
        <f>IF(C27="","",VLOOKUP(T27,'G-3 Multipliers'!$P$2:$Q$6,2,FALSE))</f>
        <v/>
      </c>
      <c r="V27" s="102"/>
      <c r="W27" s="276" t="str">
        <f>IF(V27="","",IF(AND(V27="N/A - Culvert",C27&lt;&gt;"Culvert"),"Not possible ▲",IF(AND(C27="Culvert",V27&lt;&gt;"N/A - Culvert"),"Not possible ▲",IF(VLOOKUP(V27,'G-7 WaterC'' Data'!$AA$4:$AB$7,2,FALSE)=0,"Spatial Data Missing ⚠",VLOOKUP(V27,'G-7 WaterC'' Data'!$AA$4:$AB$7,2,FALSE)))))</f>
        <v/>
      </c>
      <c r="X27" s="56"/>
      <c r="Y27" s="276" t="str">
        <f>IF(X27="","",IF(AND(X27="N/A - Culvert",C27&lt;&gt;"Culvert"),"Not possible ▲",IF(AND(C27="Culvert",X27&lt;&gt;"N/A - Culvert"),"Not possible ▲",IF(VLOOKUP(X27,'G-7 WaterC'' Data'!$AD$4:$AE$14,2,FALSE)=0,"Enrcoachment Data Missing ⚠",VLOOKUP(X27,'G-7 WaterC'' Data'!$AD$4:$AE$14,2,FALSE)))))</f>
        <v/>
      </c>
      <c r="Z27" s="102"/>
      <c r="AA27" s="276" t="str">
        <f>IF(Z27="","",IF(VLOOKUP(Z27,'G-7 WaterC'' Data'!$AO$4:$BO$7,2,FALSE)=0,"Spatial Data Missing ⚠",VLOOKUP(Z27,'G-7 WaterC'' Data'!$AO$4:$BO$7,2,FALSE)))</f>
        <v/>
      </c>
      <c r="AB27" s="317" t="str">
        <f t="shared" si="4"/>
        <v/>
      </c>
      <c r="AC27" s="317" t="str">
        <f t="shared" si="5"/>
        <v/>
      </c>
      <c r="AD27" s="101"/>
      <c r="AE27" s="938"/>
      <c r="AF27" s="138"/>
      <c r="AG27" s="138"/>
      <c r="AH27" s="934"/>
      <c r="AL27" s="30" t="str">
        <f>IFERROR(INDEX('G-7 WaterC'' Data'!$AZ$3:$AZ$7,MATCH(C27,'G-7 WaterC'' Data'!$AY$3:$AY$7,0)),"")</f>
        <v/>
      </c>
      <c r="AN27" s="30" t="str">
        <f t="shared" si="6"/>
        <v>No</v>
      </c>
    </row>
    <row r="28" spans="2:40" ht="14">
      <c r="B28" s="97">
        <v>17</v>
      </c>
      <c r="C28" s="923"/>
      <c r="D28" s="115"/>
      <c r="E28" s="275" t="str">
        <f>IF(C28="","",VLOOKUP(C28,'G-7 WaterC'' Data'!$B$2:$Z$9,2,FALSE))</f>
        <v/>
      </c>
      <c r="F28" s="276" t="str">
        <f>IFERROR(VLOOKUP(E28,'G-7 WaterC'' Data'!$C$4:$D$8,2,FALSE),"")</f>
        <v/>
      </c>
      <c r="G28" s="52"/>
      <c r="H28" s="276" t="str">
        <f>IFERROR(INDEX('G-7 WaterC'' Data'!$H$4:$L$8,MATCH(C28,'G-7 WaterC'' Data'!$B$4:$B$8,0),MATCH(G28,'G-7 WaterC'' Data'!$H$3:$L$3,0)),"")</f>
        <v/>
      </c>
      <c r="I28" s="52"/>
      <c r="J28" s="314" t="str">
        <f>IF(I28="","",IF(VLOOKUP(I28,'G-7 WaterC'' Data'!$AK$4:$AM$6,2,FALSE)=0,"Spatial Data Missing ⚠",VLOOKUP(I28,'G-7 WaterC'' Data'!$AK$4:$AM$6,2,FALSE)))</f>
        <v/>
      </c>
      <c r="K28" s="276" t="str">
        <f>IF(I28="","",IF(VLOOKUP(I28,'G-7 WaterC'' Data'!$AK$4:$AM$6,3,FALSE)=0,"Spatial Data Missing ⚠",VLOOKUP(I28,'G-7 WaterC'' Data'!$AK$4:$AM$6,3,FALSE)))</f>
        <v/>
      </c>
      <c r="L28" s="372" t="str">
        <f>IFERROR(INDEX('G-7 WaterC'' Data'!$O$3:$O$7,MATCH(G28,'G-7 WaterC'' Data'!$N$3:$N$7,0)),"")</f>
        <v/>
      </c>
      <c r="M28" s="53"/>
      <c r="N28" s="133"/>
      <c r="O28" s="283" t="str">
        <f t="shared" si="0"/>
        <v/>
      </c>
      <c r="P28" s="296" t="str">
        <f t="shared" si="1"/>
        <v/>
      </c>
      <c r="Q28" s="334" t="str">
        <f>IFERROR(IF(P28="Check Data ⚠","Check Data ⚠",VLOOKUP(P28,'G-4 Temporal multipliers'!$A$4:$C$37,3,FALSE)),"")</f>
        <v/>
      </c>
      <c r="R28" s="275" t="str">
        <f>IF(C28="","",VLOOKUP(C28,'G-7 WaterC'' Data'!$B$4:$G$8,4,FALSE))</f>
        <v/>
      </c>
      <c r="S28" s="283" t="str">
        <f t="shared" si="2"/>
        <v/>
      </c>
      <c r="T28" s="314" t="str">
        <f t="shared" si="3"/>
        <v/>
      </c>
      <c r="U28" s="276" t="str">
        <f>IF(C28="","",VLOOKUP(T28,'G-3 Multipliers'!$P$2:$Q$6,2,FALSE))</f>
        <v/>
      </c>
      <c r="V28" s="102"/>
      <c r="W28" s="276" t="str">
        <f>IF(V28="","",IF(AND(V28="N/A - Culvert",C28&lt;&gt;"Culvert"),"Not possible ▲",IF(AND(C28="Culvert",V28&lt;&gt;"N/A - Culvert"),"Not possible ▲",IF(VLOOKUP(V28,'G-7 WaterC'' Data'!$AA$4:$AB$7,2,FALSE)=0,"Spatial Data Missing ⚠",VLOOKUP(V28,'G-7 WaterC'' Data'!$AA$4:$AB$7,2,FALSE)))))</f>
        <v/>
      </c>
      <c r="X28" s="56"/>
      <c r="Y28" s="276" t="str">
        <f>IF(X28="","",IF(AND(X28="N/A - Culvert",C28&lt;&gt;"Culvert"),"Not possible ▲",IF(AND(C28="Culvert",X28&lt;&gt;"N/A - Culvert"),"Not possible ▲",IF(VLOOKUP(X28,'G-7 WaterC'' Data'!$AD$4:$AE$14,2,FALSE)=0,"Enrcoachment Data Missing ⚠",VLOOKUP(X28,'G-7 WaterC'' Data'!$AD$4:$AE$14,2,FALSE)))))</f>
        <v/>
      </c>
      <c r="Z28" s="102"/>
      <c r="AA28" s="276" t="str">
        <f>IF(Z28="","",IF(VLOOKUP(Z28,'G-7 WaterC'' Data'!$AO$4:$BO$7,2,FALSE)=0,"Spatial Data Missing ⚠",VLOOKUP(Z28,'G-7 WaterC'' Data'!$AO$4:$BO$7,2,FALSE)))</f>
        <v/>
      </c>
      <c r="AB28" s="317" t="str">
        <f t="shared" si="4"/>
        <v/>
      </c>
      <c r="AC28" s="317" t="str">
        <f t="shared" si="5"/>
        <v/>
      </c>
      <c r="AD28" s="101"/>
      <c r="AE28" s="938"/>
      <c r="AF28" s="138"/>
      <c r="AG28" s="138"/>
      <c r="AH28" s="934"/>
      <c r="AL28" s="30" t="str">
        <f>IFERROR(INDEX('G-7 WaterC'' Data'!$AZ$3:$AZ$7,MATCH(C28,'G-7 WaterC'' Data'!$AY$3:$AY$7,0)),"")</f>
        <v/>
      </c>
      <c r="AN28" s="30" t="str">
        <f t="shared" si="6"/>
        <v>No</v>
      </c>
    </row>
    <row r="29" spans="2:40" ht="14">
      <c r="B29" s="97">
        <v>18</v>
      </c>
      <c r="C29" s="923"/>
      <c r="D29" s="115"/>
      <c r="E29" s="275" t="str">
        <f>IF(C29="","",VLOOKUP(C29,'G-7 WaterC'' Data'!$B$2:$Z$9,2,FALSE))</f>
        <v/>
      </c>
      <c r="F29" s="276" t="str">
        <f>IFERROR(VLOOKUP(E29,'G-7 WaterC'' Data'!$C$4:$D$8,2,FALSE),"")</f>
        <v/>
      </c>
      <c r="G29" s="52"/>
      <c r="H29" s="276" t="str">
        <f>IFERROR(INDEX('G-7 WaterC'' Data'!$H$4:$L$8,MATCH(C29,'G-7 WaterC'' Data'!$B$4:$B$8,0),MATCH(G29,'G-7 WaterC'' Data'!$H$3:$L$3,0)),"")</f>
        <v/>
      </c>
      <c r="I29" s="52"/>
      <c r="J29" s="314" t="str">
        <f>IF(I29="","",IF(VLOOKUP(I29,'G-7 WaterC'' Data'!$AK$4:$AM$6,2,FALSE)=0,"Spatial Data Missing ⚠",VLOOKUP(I29,'G-7 WaterC'' Data'!$AK$4:$AM$6,2,FALSE)))</f>
        <v/>
      </c>
      <c r="K29" s="276" t="str">
        <f>IF(I29="","",IF(VLOOKUP(I29,'G-7 WaterC'' Data'!$AK$4:$AM$6,3,FALSE)=0,"Spatial Data Missing ⚠",VLOOKUP(I29,'G-7 WaterC'' Data'!$AK$4:$AM$6,3,FALSE)))</f>
        <v/>
      </c>
      <c r="L29" s="372" t="str">
        <f>IFERROR(INDEX('G-7 WaterC'' Data'!$O$3:$O$7,MATCH(G29,'G-7 WaterC'' Data'!$N$3:$N$7,0)),"")</f>
        <v/>
      </c>
      <c r="M29" s="53"/>
      <c r="N29" s="133"/>
      <c r="O29" s="283" t="str">
        <f t="shared" si="0"/>
        <v/>
      </c>
      <c r="P29" s="296" t="str">
        <f t="shared" si="1"/>
        <v/>
      </c>
      <c r="Q29" s="334" t="str">
        <f>IFERROR(IF(P29="Check Data ⚠","Check Data ⚠",VLOOKUP(P29,'G-4 Temporal multipliers'!$A$4:$C$37,3,FALSE)),"")</f>
        <v/>
      </c>
      <c r="R29" s="275" t="str">
        <f>IF(C29="","",VLOOKUP(C29,'G-7 WaterC'' Data'!$B$4:$G$8,4,FALSE))</f>
        <v/>
      </c>
      <c r="S29" s="283" t="str">
        <f t="shared" si="2"/>
        <v/>
      </c>
      <c r="T29" s="314" t="str">
        <f t="shared" si="3"/>
        <v/>
      </c>
      <c r="U29" s="276" t="str">
        <f>IF(C29="","",VLOOKUP(T29,'G-3 Multipliers'!$P$2:$Q$6,2,FALSE))</f>
        <v/>
      </c>
      <c r="V29" s="102"/>
      <c r="W29" s="276" t="str">
        <f>IF(V29="","",IF(AND(V29="N/A - Culvert",C29&lt;&gt;"Culvert"),"Not possible ▲",IF(AND(C29="Culvert",V29&lt;&gt;"N/A - Culvert"),"Not possible ▲",IF(VLOOKUP(V29,'G-7 WaterC'' Data'!$AA$4:$AB$7,2,FALSE)=0,"Spatial Data Missing ⚠",VLOOKUP(V29,'G-7 WaterC'' Data'!$AA$4:$AB$7,2,FALSE)))))</f>
        <v/>
      </c>
      <c r="X29" s="56"/>
      <c r="Y29" s="276" t="str">
        <f>IF(X29="","",IF(AND(X29="N/A - Culvert",C29&lt;&gt;"Culvert"),"Not possible ▲",IF(AND(C29="Culvert",X29&lt;&gt;"N/A - Culvert"),"Not possible ▲",IF(VLOOKUP(X29,'G-7 WaterC'' Data'!$AD$4:$AE$14,2,FALSE)=0,"Enrcoachment Data Missing ⚠",VLOOKUP(X29,'G-7 WaterC'' Data'!$AD$4:$AE$14,2,FALSE)))))</f>
        <v/>
      </c>
      <c r="Z29" s="102"/>
      <c r="AA29" s="276" t="str">
        <f>IF(Z29="","",IF(VLOOKUP(Z29,'G-7 WaterC'' Data'!$AO$4:$BO$7,2,FALSE)=0,"Spatial Data Missing ⚠",VLOOKUP(Z29,'G-7 WaterC'' Data'!$AO$4:$BO$7,2,FALSE)))</f>
        <v/>
      </c>
      <c r="AB29" s="317" t="str">
        <f t="shared" si="4"/>
        <v/>
      </c>
      <c r="AC29" s="317" t="str">
        <f t="shared" si="5"/>
        <v/>
      </c>
      <c r="AD29" s="101"/>
      <c r="AE29" s="938"/>
      <c r="AF29" s="138"/>
      <c r="AG29" s="138"/>
      <c r="AH29" s="934"/>
      <c r="AL29" s="30" t="str">
        <f>IFERROR(INDEX('G-7 WaterC'' Data'!$AZ$3:$AZ$7,MATCH(C29,'G-7 WaterC'' Data'!$AY$3:$AY$7,0)),"")</f>
        <v/>
      </c>
      <c r="AN29" s="30" t="str">
        <f t="shared" si="6"/>
        <v>No</v>
      </c>
    </row>
    <row r="30" spans="2:40" ht="14">
      <c r="B30" s="97">
        <v>19</v>
      </c>
      <c r="C30" s="923"/>
      <c r="D30" s="115"/>
      <c r="E30" s="275" t="str">
        <f>IF(C30="","",VLOOKUP(C30,'G-7 WaterC'' Data'!$B$2:$Z$9,2,FALSE))</f>
        <v/>
      </c>
      <c r="F30" s="276" t="str">
        <f>IFERROR(VLOOKUP(E30,'G-7 WaterC'' Data'!$C$4:$D$8,2,FALSE),"")</f>
        <v/>
      </c>
      <c r="G30" s="52"/>
      <c r="H30" s="276" t="str">
        <f>IFERROR(INDEX('G-7 WaterC'' Data'!$H$4:$L$8,MATCH(C30,'G-7 WaterC'' Data'!$B$4:$B$8,0),MATCH(G30,'G-7 WaterC'' Data'!$H$3:$L$3,0)),"")</f>
        <v/>
      </c>
      <c r="I30" s="52"/>
      <c r="J30" s="314" t="str">
        <f>IF(I30="","",IF(VLOOKUP(I30,'G-7 WaterC'' Data'!$AK$4:$AM$6,2,FALSE)=0,"Spatial Data Missing ⚠",VLOOKUP(I30,'G-7 WaterC'' Data'!$AK$4:$AM$6,2,FALSE)))</f>
        <v/>
      </c>
      <c r="K30" s="276" t="str">
        <f>IF(I30="","",IF(VLOOKUP(I30,'G-7 WaterC'' Data'!$AK$4:$AM$6,3,FALSE)=0,"Spatial Data Missing ⚠",VLOOKUP(I30,'G-7 WaterC'' Data'!$AK$4:$AM$6,3,FALSE)))</f>
        <v/>
      </c>
      <c r="L30" s="372" t="str">
        <f>IFERROR(INDEX('G-7 WaterC'' Data'!$O$3:$O$7,MATCH(G30,'G-7 WaterC'' Data'!$N$3:$N$7,0)),"")</f>
        <v/>
      </c>
      <c r="M30" s="53"/>
      <c r="N30" s="133"/>
      <c r="O30" s="283" t="str">
        <f t="shared" si="0"/>
        <v/>
      </c>
      <c r="P30" s="296" t="str">
        <f t="shared" si="1"/>
        <v/>
      </c>
      <c r="Q30" s="334" t="str">
        <f>IFERROR(IF(P30="Check Data ⚠","Check Data ⚠",VLOOKUP(P30,'G-4 Temporal multipliers'!$A$4:$C$37,3,FALSE)),"")</f>
        <v/>
      </c>
      <c r="R30" s="275" t="str">
        <f>IF(C30="","",VLOOKUP(C30,'G-7 WaterC'' Data'!$B$4:$G$8,4,FALSE))</f>
        <v/>
      </c>
      <c r="S30" s="283" t="str">
        <f t="shared" si="2"/>
        <v/>
      </c>
      <c r="T30" s="314" t="str">
        <f t="shared" si="3"/>
        <v/>
      </c>
      <c r="U30" s="276" t="str">
        <f>IF(C30="","",VLOOKUP(T30,'G-3 Multipliers'!$P$2:$Q$6,2,FALSE))</f>
        <v/>
      </c>
      <c r="V30" s="102"/>
      <c r="W30" s="276" t="str">
        <f>IF(V30="","",IF(AND(V30="N/A - Culvert",C30&lt;&gt;"Culvert"),"Not possible ▲",IF(AND(C30="Culvert",V30&lt;&gt;"N/A - Culvert"),"Not possible ▲",IF(VLOOKUP(V30,'G-7 WaterC'' Data'!$AA$4:$AB$7,2,FALSE)=0,"Spatial Data Missing ⚠",VLOOKUP(V30,'G-7 WaterC'' Data'!$AA$4:$AB$7,2,FALSE)))))</f>
        <v/>
      </c>
      <c r="X30" s="56"/>
      <c r="Y30" s="276" t="str">
        <f>IF(X30="","",IF(AND(X30="N/A - Culvert",C30&lt;&gt;"Culvert"),"Not possible ▲",IF(AND(C30="Culvert",X30&lt;&gt;"N/A - Culvert"),"Not possible ▲",IF(VLOOKUP(X30,'G-7 WaterC'' Data'!$AD$4:$AE$14,2,FALSE)=0,"Enrcoachment Data Missing ⚠",VLOOKUP(X30,'G-7 WaterC'' Data'!$AD$4:$AE$14,2,FALSE)))))</f>
        <v/>
      </c>
      <c r="Z30" s="102"/>
      <c r="AA30" s="276" t="str">
        <f>IF(Z30="","",IF(VLOOKUP(Z30,'G-7 WaterC'' Data'!$AO$4:$BO$7,2,FALSE)=0,"Spatial Data Missing ⚠",VLOOKUP(Z30,'G-7 WaterC'' Data'!$AO$4:$BO$7,2,FALSE)))</f>
        <v/>
      </c>
      <c r="AB30" s="317" t="str">
        <f t="shared" si="4"/>
        <v/>
      </c>
      <c r="AC30" s="317" t="str">
        <f t="shared" si="5"/>
        <v/>
      </c>
      <c r="AD30" s="101"/>
      <c r="AE30" s="938"/>
      <c r="AF30" s="138"/>
      <c r="AG30" s="138"/>
      <c r="AH30" s="934"/>
      <c r="AL30" s="30" t="str">
        <f>IFERROR(INDEX('G-7 WaterC'' Data'!$AZ$3:$AZ$7,MATCH(C30,'G-7 WaterC'' Data'!$AY$3:$AY$7,0)),"")</f>
        <v/>
      </c>
      <c r="AN30" s="30" t="str">
        <f t="shared" si="6"/>
        <v>No</v>
      </c>
    </row>
    <row r="31" spans="2:40" ht="14">
      <c r="B31" s="97">
        <v>20</v>
      </c>
      <c r="C31" s="923"/>
      <c r="D31" s="115"/>
      <c r="E31" s="275" t="str">
        <f>IF(C31="","",VLOOKUP(C31,'G-7 WaterC'' Data'!$B$2:$Z$9,2,FALSE))</f>
        <v/>
      </c>
      <c r="F31" s="276" t="str">
        <f>IFERROR(VLOOKUP(E31,'G-7 WaterC'' Data'!$C$4:$D$8,2,FALSE),"")</f>
        <v/>
      </c>
      <c r="G31" s="52"/>
      <c r="H31" s="276" t="str">
        <f>IFERROR(INDEX('G-7 WaterC'' Data'!$H$4:$L$8,MATCH(C31,'G-7 WaterC'' Data'!$B$4:$B$8,0),MATCH(G31,'G-7 WaterC'' Data'!$H$3:$L$3,0)),"")</f>
        <v/>
      </c>
      <c r="I31" s="52"/>
      <c r="J31" s="314" t="str">
        <f>IF(I31="","",IF(VLOOKUP(I31,'G-7 WaterC'' Data'!$AK$4:$AM$6,2,FALSE)=0,"Spatial Data Missing ⚠",VLOOKUP(I31,'G-7 WaterC'' Data'!$AK$4:$AM$6,2,FALSE)))</f>
        <v/>
      </c>
      <c r="K31" s="276" t="str">
        <f>IF(I31="","",IF(VLOOKUP(I31,'G-7 WaterC'' Data'!$AK$4:$AM$6,3,FALSE)=0,"Spatial Data Missing ⚠",VLOOKUP(I31,'G-7 WaterC'' Data'!$AK$4:$AM$6,3,FALSE)))</f>
        <v/>
      </c>
      <c r="L31" s="372" t="str">
        <f>IFERROR(INDEX('G-7 WaterC'' Data'!$O$3:$O$7,MATCH(G31,'G-7 WaterC'' Data'!$N$3:$N$7,0)),"")</f>
        <v/>
      </c>
      <c r="M31" s="53"/>
      <c r="N31" s="133"/>
      <c r="O31" s="283" t="str">
        <f t="shared" si="0"/>
        <v/>
      </c>
      <c r="P31" s="296" t="str">
        <f t="shared" si="1"/>
        <v/>
      </c>
      <c r="Q31" s="334" t="str">
        <f>IFERROR(IF(P31="Check Data ⚠","Check Data ⚠",VLOOKUP(P31,'G-4 Temporal multipliers'!$A$4:$C$37,3,FALSE)),"")</f>
        <v/>
      </c>
      <c r="R31" s="275" t="str">
        <f>IF(C31="","",VLOOKUP(C31,'G-7 WaterC'' Data'!$B$4:$G$8,4,FALSE))</f>
        <v/>
      </c>
      <c r="S31" s="283" t="str">
        <f t="shared" si="2"/>
        <v/>
      </c>
      <c r="T31" s="314" t="str">
        <f t="shared" si="3"/>
        <v/>
      </c>
      <c r="U31" s="276" t="str">
        <f>IF(C31="","",VLOOKUP(T31,'G-3 Multipliers'!$P$2:$Q$6,2,FALSE))</f>
        <v/>
      </c>
      <c r="V31" s="102"/>
      <c r="W31" s="276" t="str">
        <f>IF(V31="","",IF(AND(V31="N/A - Culvert",C31&lt;&gt;"Culvert"),"Not possible ▲",IF(AND(C31="Culvert",V31&lt;&gt;"N/A - Culvert"),"Not possible ▲",IF(VLOOKUP(V31,'G-7 WaterC'' Data'!$AA$4:$AB$7,2,FALSE)=0,"Spatial Data Missing ⚠",VLOOKUP(V31,'G-7 WaterC'' Data'!$AA$4:$AB$7,2,FALSE)))))</f>
        <v/>
      </c>
      <c r="X31" s="56"/>
      <c r="Y31" s="276" t="str">
        <f>IF(X31="","",IF(AND(X31="N/A - Culvert",C31&lt;&gt;"Culvert"),"Not possible ▲",IF(AND(C31="Culvert",X31&lt;&gt;"N/A - Culvert"),"Not possible ▲",IF(VLOOKUP(X31,'G-7 WaterC'' Data'!$AD$4:$AE$14,2,FALSE)=0,"Enrcoachment Data Missing ⚠",VLOOKUP(X31,'G-7 WaterC'' Data'!$AD$4:$AE$14,2,FALSE)))))</f>
        <v/>
      </c>
      <c r="Z31" s="102"/>
      <c r="AA31" s="276" t="str">
        <f>IF(Z31="","",IF(VLOOKUP(Z31,'G-7 WaterC'' Data'!$AO$4:$BO$7,2,FALSE)=0,"Spatial Data Missing ⚠",VLOOKUP(Z31,'G-7 WaterC'' Data'!$AO$4:$BO$7,2,FALSE)))</f>
        <v/>
      </c>
      <c r="AB31" s="317" t="str">
        <f t="shared" si="4"/>
        <v/>
      </c>
      <c r="AC31" s="317" t="str">
        <f t="shared" si="5"/>
        <v/>
      </c>
      <c r="AD31" s="101"/>
      <c r="AE31" s="938"/>
      <c r="AF31" s="138"/>
      <c r="AG31" s="138"/>
      <c r="AH31" s="934"/>
      <c r="AL31" s="30" t="str">
        <f>IFERROR(INDEX('G-7 WaterC'' Data'!$AZ$3:$AZ$7,MATCH(C31,'G-7 WaterC'' Data'!$AY$3:$AY$7,0)),"")</f>
        <v/>
      </c>
      <c r="AN31" s="30" t="str">
        <f t="shared" si="6"/>
        <v>No</v>
      </c>
    </row>
    <row r="32" spans="2:40" ht="14">
      <c r="B32" s="97">
        <v>21</v>
      </c>
      <c r="C32" s="923"/>
      <c r="D32" s="115"/>
      <c r="E32" s="275" t="str">
        <f>IF(C32="","",VLOOKUP(C32,'G-7 WaterC'' Data'!$B$2:$Z$9,2,FALSE))</f>
        <v/>
      </c>
      <c r="F32" s="276" t="str">
        <f>IFERROR(VLOOKUP(E32,'G-7 WaterC'' Data'!$C$4:$D$8,2,FALSE),"")</f>
        <v/>
      </c>
      <c r="G32" s="52"/>
      <c r="H32" s="276" t="str">
        <f>IFERROR(INDEX('G-7 WaterC'' Data'!$H$4:$L$8,MATCH(C32,'G-7 WaterC'' Data'!$B$4:$B$8,0),MATCH(G32,'G-7 WaterC'' Data'!$H$3:$L$3,0)),"")</f>
        <v/>
      </c>
      <c r="I32" s="52"/>
      <c r="J32" s="314" t="str">
        <f>IF(I32="","",IF(VLOOKUP(I32,'G-7 WaterC'' Data'!$AK$4:$AM$6,2,FALSE)=0,"Spatial Data Missing ⚠",VLOOKUP(I32,'G-7 WaterC'' Data'!$AK$4:$AM$6,2,FALSE)))</f>
        <v/>
      </c>
      <c r="K32" s="276" t="str">
        <f>IF(I32="","",IF(VLOOKUP(I32,'G-7 WaterC'' Data'!$AK$4:$AM$6,3,FALSE)=0,"Spatial Data Missing ⚠",VLOOKUP(I32,'G-7 WaterC'' Data'!$AK$4:$AM$6,3,FALSE)))</f>
        <v/>
      </c>
      <c r="L32" s="372" t="str">
        <f>IFERROR(INDEX('G-7 WaterC'' Data'!$O$3:$O$7,MATCH(G32,'G-7 WaterC'' Data'!$N$3:$N$7,0)),"")</f>
        <v/>
      </c>
      <c r="M32" s="53"/>
      <c r="N32" s="133"/>
      <c r="O32" s="283" t="str">
        <f t="shared" si="0"/>
        <v/>
      </c>
      <c r="P32" s="296" t="str">
        <f t="shared" si="1"/>
        <v/>
      </c>
      <c r="Q32" s="334" t="str">
        <f>IFERROR(IF(P32="Check Data ⚠","Check Data ⚠",VLOOKUP(P32,'G-4 Temporal multipliers'!$A$4:$C$37,3,FALSE)),"")</f>
        <v/>
      </c>
      <c r="R32" s="275" t="str">
        <f>IF(C32="","",VLOOKUP(C32,'G-7 WaterC'' Data'!$B$4:$G$8,4,FALSE))</f>
        <v/>
      </c>
      <c r="S32" s="283" t="str">
        <f t="shared" si="2"/>
        <v/>
      </c>
      <c r="T32" s="314" t="str">
        <f t="shared" si="3"/>
        <v/>
      </c>
      <c r="U32" s="276" t="str">
        <f>IF(C32="","",VLOOKUP(T32,'G-3 Multipliers'!$P$2:$Q$6,2,FALSE))</f>
        <v/>
      </c>
      <c r="V32" s="102"/>
      <c r="W32" s="276" t="str">
        <f>IF(V32="","",IF(AND(V32="N/A - Culvert",C32&lt;&gt;"Culvert"),"Not possible ▲",IF(AND(C32="Culvert",V32&lt;&gt;"N/A - Culvert"),"Not possible ▲",IF(VLOOKUP(V32,'G-7 WaterC'' Data'!$AA$4:$AB$7,2,FALSE)=0,"Spatial Data Missing ⚠",VLOOKUP(V32,'G-7 WaterC'' Data'!$AA$4:$AB$7,2,FALSE)))))</f>
        <v/>
      </c>
      <c r="X32" s="56"/>
      <c r="Y32" s="276" t="str">
        <f>IF(X32="","",IF(AND(X32="N/A - Culvert",C32&lt;&gt;"Culvert"),"Not possible ▲",IF(AND(C32="Culvert",X32&lt;&gt;"N/A - Culvert"),"Not possible ▲",IF(VLOOKUP(X32,'G-7 WaterC'' Data'!$AD$4:$AE$14,2,FALSE)=0,"Enrcoachment Data Missing ⚠",VLOOKUP(X32,'G-7 WaterC'' Data'!$AD$4:$AE$14,2,FALSE)))))</f>
        <v/>
      </c>
      <c r="Z32" s="102"/>
      <c r="AA32" s="276" t="str">
        <f>IF(Z32="","",IF(VLOOKUP(Z32,'G-7 WaterC'' Data'!$AO$4:$BO$7,2,FALSE)=0,"Spatial Data Missing ⚠",VLOOKUP(Z32,'G-7 WaterC'' Data'!$AO$4:$BO$7,2,FALSE)))</f>
        <v/>
      </c>
      <c r="AB32" s="317" t="str">
        <f t="shared" si="4"/>
        <v/>
      </c>
      <c r="AC32" s="317" t="str">
        <f t="shared" si="5"/>
        <v/>
      </c>
      <c r="AD32" s="101"/>
      <c r="AE32" s="938"/>
      <c r="AF32" s="138"/>
      <c r="AG32" s="138"/>
      <c r="AH32" s="934"/>
      <c r="AL32" s="30" t="str">
        <f>IFERROR(INDEX('G-7 WaterC'' Data'!$AZ$3:$AZ$7,MATCH(C32,'G-7 WaterC'' Data'!$AY$3:$AY$7,0)),"")</f>
        <v/>
      </c>
      <c r="AN32" s="30" t="str">
        <f t="shared" si="6"/>
        <v>No</v>
      </c>
    </row>
    <row r="33" spans="2:40" ht="14">
      <c r="B33" s="97">
        <v>22</v>
      </c>
      <c r="C33" s="923"/>
      <c r="D33" s="115"/>
      <c r="E33" s="275" t="str">
        <f>IF(C33="","",VLOOKUP(C33,'G-7 WaterC'' Data'!$B$2:$Z$9,2,FALSE))</f>
        <v/>
      </c>
      <c r="F33" s="276" t="str">
        <f>IFERROR(VLOOKUP(E33,'G-7 WaterC'' Data'!$C$4:$D$8,2,FALSE),"")</f>
        <v/>
      </c>
      <c r="G33" s="52"/>
      <c r="H33" s="276" t="str">
        <f>IFERROR(INDEX('G-7 WaterC'' Data'!$H$4:$L$8,MATCH(C33,'G-7 WaterC'' Data'!$B$4:$B$8,0),MATCH(G33,'G-7 WaterC'' Data'!$H$3:$L$3,0)),"")</f>
        <v/>
      </c>
      <c r="I33" s="52"/>
      <c r="J33" s="314" t="str">
        <f>IF(I33="","",IF(VLOOKUP(I33,'G-7 WaterC'' Data'!$AK$4:$AM$6,2,FALSE)=0,"Spatial Data Missing ⚠",VLOOKUP(I33,'G-7 WaterC'' Data'!$AK$4:$AM$6,2,FALSE)))</f>
        <v/>
      </c>
      <c r="K33" s="276" t="str">
        <f>IF(I33="","",IF(VLOOKUP(I33,'G-7 WaterC'' Data'!$AK$4:$AM$6,3,FALSE)=0,"Spatial Data Missing ⚠",VLOOKUP(I33,'G-7 WaterC'' Data'!$AK$4:$AM$6,3,FALSE)))</f>
        <v/>
      </c>
      <c r="L33" s="372" t="str">
        <f>IFERROR(INDEX('G-7 WaterC'' Data'!$O$3:$O$7,MATCH(G33,'G-7 WaterC'' Data'!$N$3:$N$7,0)),"")</f>
        <v/>
      </c>
      <c r="M33" s="53"/>
      <c r="N33" s="133"/>
      <c r="O33" s="283" t="str">
        <f t="shared" si="0"/>
        <v/>
      </c>
      <c r="P33" s="296" t="str">
        <f t="shared" si="1"/>
        <v/>
      </c>
      <c r="Q33" s="334" t="str">
        <f>IFERROR(IF(P33="Check Data ⚠","Check Data ⚠",VLOOKUP(P33,'G-4 Temporal multipliers'!$A$4:$C$37,3,FALSE)),"")</f>
        <v/>
      </c>
      <c r="R33" s="275" t="str">
        <f>IF(C33="","",VLOOKUP(C33,'G-7 WaterC'' Data'!$B$4:$G$8,4,FALSE))</f>
        <v/>
      </c>
      <c r="S33" s="283" t="str">
        <f t="shared" si="2"/>
        <v/>
      </c>
      <c r="T33" s="314" t="str">
        <f t="shared" si="3"/>
        <v/>
      </c>
      <c r="U33" s="276" t="str">
        <f>IF(C33="","",VLOOKUP(T33,'G-3 Multipliers'!$P$2:$Q$6,2,FALSE))</f>
        <v/>
      </c>
      <c r="V33" s="102"/>
      <c r="W33" s="276" t="str">
        <f>IF(V33="","",IF(AND(V33="N/A - Culvert",C33&lt;&gt;"Culvert"),"Not possible ▲",IF(AND(C33="Culvert",V33&lt;&gt;"N/A - Culvert"),"Not possible ▲",IF(VLOOKUP(V33,'G-7 WaterC'' Data'!$AA$4:$AB$7,2,FALSE)=0,"Spatial Data Missing ⚠",VLOOKUP(V33,'G-7 WaterC'' Data'!$AA$4:$AB$7,2,FALSE)))))</f>
        <v/>
      </c>
      <c r="X33" s="56"/>
      <c r="Y33" s="276" t="str">
        <f>IF(X33="","",IF(AND(X33="N/A - Culvert",C33&lt;&gt;"Culvert"),"Not possible ▲",IF(AND(C33="Culvert",X33&lt;&gt;"N/A - Culvert"),"Not possible ▲",IF(VLOOKUP(X33,'G-7 WaterC'' Data'!$AD$4:$AE$14,2,FALSE)=0,"Enrcoachment Data Missing ⚠",VLOOKUP(X33,'G-7 WaterC'' Data'!$AD$4:$AE$14,2,FALSE)))))</f>
        <v/>
      </c>
      <c r="Z33" s="102"/>
      <c r="AA33" s="276" t="str">
        <f>IF(Z33="","",IF(VLOOKUP(Z33,'G-7 WaterC'' Data'!$AO$4:$BO$7,2,FALSE)=0,"Spatial Data Missing ⚠",VLOOKUP(Z33,'G-7 WaterC'' Data'!$AO$4:$BO$7,2,FALSE)))</f>
        <v/>
      </c>
      <c r="AB33" s="317" t="str">
        <f t="shared" si="4"/>
        <v/>
      </c>
      <c r="AC33" s="317" t="str">
        <f t="shared" si="5"/>
        <v/>
      </c>
      <c r="AD33" s="101"/>
      <c r="AE33" s="938"/>
      <c r="AF33" s="138"/>
      <c r="AG33" s="138"/>
      <c r="AH33" s="934"/>
      <c r="AL33" s="30" t="str">
        <f>IFERROR(INDEX('G-7 WaterC'' Data'!$AZ$3:$AZ$7,MATCH(C33,'G-7 WaterC'' Data'!$AY$3:$AY$7,0)),"")</f>
        <v/>
      </c>
      <c r="AN33" s="30" t="str">
        <f t="shared" si="6"/>
        <v>No</v>
      </c>
    </row>
    <row r="34" spans="2:40" ht="14">
      <c r="B34" s="97">
        <v>23</v>
      </c>
      <c r="C34" s="923"/>
      <c r="D34" s="115"/>
      <c r="E34" s="275" t="str">
        <f>IF(C34="","",VLOOKUP(C34,'G-7 WaterC'' Data'!$B$2:$Z$9,2,FALSE))</f>
        <v/>
      </c>
      <c r="F34" s="276" t="str">
        <f>IFERROR(VLOOKUP(E34,'G-7 WaterC'' Data'!$C$4:$D$8,2,FALSE),"")</f>
        <v/>
      </c>
      <c r="G34" s="52"/>
      <c r="H34" s="276" t="str">
        <f>IFERROR(INDEX('G-7 WaterC'' Data'!$H$4:$L$8,MATCH(C34,'G-7 WaterC'' Data'!$B$4:$B$8,0),MATCH(G34,'G-7 WaterC'' Data'!$H$3:$L$3,0)),"")</f>
        <v/>
      </c>
      <c r="I34" s="52"/>
      <c r="J34" s="314" t="str">
        <f>IF(I34="","",IF(VLOOKUP(I34,'G-7 WaterC'' Data'!$AK$4:$AM$6,2,FALSE)=0,"Spatial Data Missing ⚠",VLOOKUP(I34,'G-7 WaterC'' Data'!$AK$4:$AM$6,2,FALSE)))</f>
        <v/>
      </c>
      <c r="K34" s="276" t="str">
        <f>IF(I34="","",IF(VLOOKUP(I34,'G-7 WaterC'' Data'!$AK$4:$AM$6,3,FALSE)=0,"Spatial Data Missing ⚠",VLOOKUP(I34,'G-7 WaterC'' Data'!$AK$4:$AM$6,3,FALSE)))</f>
        <v/>
      </c>
      <c r="L34" s="372" t="str">
        <f>IFERROR(INDEX('G-7 WaterC'' Data'!$O$3:$O$7,MATCH(G34,'G-7 WaterC'' Data'!$N$3:$N$7,0)),"")</f>
        <v/>
      </c>
      <c r="M34" s="53"/>
      <c r="N34" s="133"/>
      <c r="O34" s="283" t="str">
        <f t="shared" si="0"/>
        <v/>
      </c>
      <c r="P34" s="296" t="str">
        <f t="shared" si="1"/>
        <v/>
      </c>
      <c r="Q34" s="334" t="str">
        <f>IFERROR(IF(P34="Check Data ⚠","Check Data ⚠",VLOOKUP(P34,'G-4 Temporal multipliers'!$A$4:$C$37,3,FALSE)),"")</f>
        <v/>
      </c>
      <c r="R34" s="275" t="str">
        <f>IF(C34="","",VLOOKUP(C34,'G-7 WaterC'' Data'!$B$4:$G$8,4,FALSE))</f>
        <v/>
      </c>
      <c r="S34" s="283" t="str">
        <f t="shared" si="2"/>
        <v/>
      </c>
      <c r="T34" s="314" t="str">
        <f t="shared" si="3"/>
        <v/>
      </c>
      <c r="U34" s="276" t="str">
        <f>IF(C34="","",VLOOKUP(T34,'G-3 Multipliers'!$P$2:$Q$6,2,FALSE))</f>
        <v/>
      </c>
      <c r="V34" s="102"/>
      <c r="W34" s="276" t="str">
        <f>IF(V34="","",IF(AND(V34="N/A - Culvert",C34&lt;&gt;"Culvert"),"Not possible ▲",IF(AND(C34="Culvert",V34&lt;&gt;"N/A - Culvert"),"Not possible ▲",IF(VLOOKUP(V34,'G-7 WaterC'' Data'!$AA$4:$AB$7,2,FALSE)=0,"Spatial Data Missing ⚠",VLOOKUP(V34,'G-7 WaterC'' Data'!$AA$4:$AB$7,2,FALSE)))))</f>
        <v/>
      </c>
      <c r="X34" s="56"/>
      <c r="Y34" s="276" t="str">
        <f>IF(X34="","",IF(AND(X34="N/A - Culvert",C34&lt;&gt;"Culvert"),"Not possible ▲",IF(AND(C34="Culvert",X34&lt;&gt;"N/A - Culvert"),"Not possible ▲",IF(VLOOKUP(X34,'G-7 WaterC'' Data'!$AD$4:$AE$14,2,FALSE)=0,"Enrcoachment Data Missing ⚠",VLOOKUP(X34,'G-7 WaterC'' Data'!$AD$4:$AE$14,2,FALSE)))))</f>
        <v/>
      </c>
      <c r="Z34" s="102"/>
      <c r="AA34" s="276" t="str">
        <f>IF(Z34="","",IF(VLOOKUP(Z34,'G-7 WaterC'' Data'!$AO$4:$BO$7,2,FALSE)=0,"Spatial Data Missing ⚠",VLOOKUP(Z34,'G-7 WaterC'' Data'!$AO$4:$BO$7,2,FALSE)))</f>
        <v/>
      </c>
      <c r="AB34" s="317" t="str">
        <f t="shared" si="4"/>
        <v/>
      </c>
      <c r="AC34" s="317" t="str">
        <f t="shared" si="5"/>
        <v/>
      </c>
      <c r="AD34" s="101"/>
      <c r="AE34" s="938"/>
      <c r="AF34" s="138"/>
      <c r="AG34" s="138"/>
      <c r="AH34" s="934"/>
      <c r="AL34" s="30" t="str">
        <f>IFERROR(INDEX('G-7 WaterC'' Data'!$AZ$3:$AZ$7,MATCH(C34,'G-7 WaterC'' Data'!$AY$3:$AY$7,0)),"")</f>
        <v/>
      </c>
      <c r="AN34" s="30" t="str">
        <f t="shared" si="6"/>
        <v>No</v>
      </c>
    </row>
    <row r="35" spans="2:40" ht="14">
      <c r="B35" s="97">
        <v>24</v>
      </c>
      <c r="C35" s="923"/>
      <c r="D35" s="115"/>
      <c r="E35" s="275" t="str">
        <f>IF(C35="","",VLOOKUP(C35,'G-7 WaterC'' Data'!$B$2:$Z$9,2,FALSE))</f>
        <v/>
      </c>
      <c r="F35" s="276" t="str">
        <f>IFERROR(VLOOKUP(E35,'G-7 WaterC'' Data'!$C$4:$D$8,2,FALSE),"")</f>
        <v/>
      </c>
      <c r="G35" s="52"/>
      <c r="H35" s="276" t="str">
        <f>IFERROR(INDEX('G-7 WaterC'' Data'!$H$4:$L$8,MATCH(C35,'G-7 WaterC'' Data'!$B$4:$B$8,0),MATCH(G35,'G-7 WaterC'' Data'!$H$3:$L$3,0)),"")</f>
        <v/>
      </c>
      <c r="I35" s="52"/>
      <c r="J35" s="314" t="str">
        <f>IF(I35="","",IF(VLOOKUP(I35,'G-7 WaterC'' Data'!$AK$4:$AM$6,2,FALSE)=0,"Spatial Data Missing ⚠",VLOOKUP(I35,'G-7 WaterC'' Data'!$AK$4:$AM$6,2,FALSE)))</f>
        <v/>
      </c>
      <c r="K35" s="276" t="str">
        <f>IF(I35="","",IF(VLOOKUP(I35,'G-7 WaterC'' Data'!$AK$4:$AM$6,3,FALSE)=0,"Spatial Data Missing ⚠",VLOOKUP(I35,'G-7 WaterC'' Data'!$AK$4:$AM$6,3,FALSE)))</f>
        <v/>
      </c>
      <c r="L35" s="372" t="str">
        <f>IFERROR(INDEX('G-7 WaterC'' Data'!$O$3:$O$7,MATCH(G35,'G-7 WaterC'' Data'!$N$3:$N$7,0)),"")</f>
        <v/>
      </c>
      <c r="M35" s="53"/>
      <c r="N35" s="133"/>
      <c r="O35" s="283" t="str">
        <f t="shared" si="0"/>
        <v/>
      </c>
      <c r="P35" s="296" t="str">
        <f t="shared" si="1"/>
        <v/>
      </c>
      <c r="Q35" s="334" t="str">
        <f>IFERROR(IF(P35="Check Data ⚠","Check Data ⚠",VLOOKUP(P35,'G-4 Temporal multipliers'!$A$4:$C$37,3,FALSE)),"")</f>
        <v/>
      </c>
      <c r="R35" s="275" t="str">
        <f>IF(C35="","",VLOOKUP(C35,'G-7 WaterC'' Data'!$B$4:$G$8,4,FALSE))</f>
        <v/>
      </c>
      <c r="S35" s="283" t="str">
        <f t="shared" si="2"/>
        <v/>
      </c>
      <c r="T35" s="314" t="str">
        <f t="shared" si="3"/>
        <v/>
      </c>
      <c r="U35" s="276" t="str">
        <f>IF(C35="","",VLOOKUP(T35,'G-3 Multipliers'!$P$2:$Q$6,2,FALSE))</f>
        <v/>
      </c>
      <c r="V35" s="102"/>
      <c r="W35" s="276" t="str">
        <f>IF(V35="","",IF(AND(V35="N/A - Culvert",C35&lt;&gt;"Culvert"),"Not possible ▲",IF(AND(C35="Culvert",V35&lt;&gt;"N/A - Culvert"),"Not possible ▲",IF(VLOOKUP(V35,'G-7 WaterC'' Data'!$AA$4:$AB$7,2,FALSE)=0,"Spatial Data Missing ⚠",VLOOKUP(V35,'G-7 WaterC'' Data'!$AA$4:$AB$7,2,FALSE)))))</f>
        <v/>
      </c>
      <c r="X35" s="56"/>
      <c r="Y35" s="276" t="str">
        <f>IF(X35="","",IF(AND(X35="N/A - Culvert",C35&lt;&gt;"Culvert"),"Not possible ▲",IF(AND(C35="Culvert",X35&lt;&gt;"N/A - Culvert"),"Not possible ▲",IF(VLOOKUP(X35,'G-7 WaterC'' Data'!$AD$4:$AE$14,2,FALSE)=0,"Enrcoachment Data Missing ⚠",VLOOKUP(X35,'G-7 WaterC'' Data'!$AD$4:$AE$14,2,FALSE)))))</f>
        <v/>
      </c>
      <c r="Z35" s="102"/>
      <c r="AA35" s="276" t="str">
        <f>IF(Z35="","",IF(VLOOKUP(Z35,'G-7 WaterC'' Data'!$AO$4:$BO$7,2,FALSE)=0,"Spatial Data Missing ⚠",VLOOKUP(Z35,'G-7 WaterC'' Data'!$AO$4:$BO$7,2,FALSE)))</f>
        <v/>
      </c>
      <c r="AB35" s="317" t="str">
        <f t="shared" si="4"/>
        <v/>
      </c>
      <c r="AC35" s="317" t="str">
        <f t="shared" si="5"/>
        <v/>
      </c>
      <c r="AD35" s="101"/>
      <c r="AE35" s="938"/>
      <c r="AF35" s="138"/>
      <c r="AG35" s="138"/>
      <c r="AH35" s="934"/>
      <c r="AL35" s="30" t="str">
        <f>IFERROR(INDEX('G-7 WaterC'' Data'!$AZ$3:$AZ$7,MATCH(C35,'G-7 WaterC'' Data'!$AY$3:$AY$7,0)),"")</f>
        <v/>
      </c>
      <c r="AN35" s="30" t="str">
        <f t="shared" si="6"/>
        <v>No</v>
      </c>
    </row>
    <row r="36" spans="2:40" ht="14">
      <c r="B36" s="97">
        <v>25</v>
      </c>
      <c r="C36" s="923"/>
      <c r="D36" s="115"/>
      <c r="E36" s="275" t="str">
        <f>IF(C36="","",VLOOKUP(C36,'G-7 WaterC'' Data'!$B$2:$Z$9,2,FALSE))</f>
        <v/>
      </c>
      <c r="F36" s="276" t="str">
        <f>IFERROR(VLOOKUP(E36,'G-7 WaterC'' Data'!$C$4:$D$8,2,FALSE),"")</f>
        <v/>
      </c>
      <c r="G36" s="52"/>
      <c r="H36" s="276" t="str">
        <f>IFERROR(INDEX('G-7 WaterC'' Data'!$H$4:$L$8,MATCH(C36,'G-7 WaterC'' Data'!$B$4:$B$8,0),MATCH(G36,'G-7 WaterC'' Data'!$H$3:$L$3,0)),"")</f>
        <v/>
      </c>
      <c r="I36" s="52"/>
      <c r="J36" s="314" t="str">
        <f>IF(I36="","",IF(VLOOKUP(I36,'G-7 WaterC'' Data'!$AK$4:$AM$6,2,FALSE)=0,"Spatial Data Missing ⚠",VLOOKUP(I36,'G-7 WaterC'' Data'!$AK$4:$AM$6,2,FALSE)))</f>
        <v/>
      </c>
      <c r="K36" s="276" t="str">
        <f>IF(I36="","",IF(VLOOKUP(I36,'G-7 WaterC'' Data'!$AK$4:$AM$6,3,FALSE)=0,"Spatial Data Missing ⚠",VLOOKUP(I36,'G-7 WaterC'' Data'!$AK$4:$AM$6,3,FALSE)))</f>
        <v/>
      </c>
      <c r="L36" s="372" t="str">
        <f>IFERROR(INDEX('G-7 WaterC'' Data'!$O$3:$O$7,MATCH(G36,'G-7 WaterC'' Data'!$N$3:$N$7,0)),"")</f>
        <v/>
      </c>
      <c r="M36" s="53"/>
      <c r="N36" s="133"/>
      <c r="O36" s="283" t="str">
        <f t="shared" si="0"/>
        <v/>
      </c>
      <c r="P36" s="296" t="str">
        <f t="shared" si="1"/>
        <v/>
      </c>
      <c r="Q36" s="334" t="str">
        <f>IFERROR(IF(P36="Check Data ⚠","Check Data ⚠",VLOOKUP(P36,'G-4 Temporal multipliers'!$A$4:$C$37,3,FALSE)),"")</f>
        <v/>
      </c>
      <c r="R36" s="275" t="str">
        <f>IF(C36="","",VLOOKUP(C36,'G-7 WaterC'' Data'!$B$4:$G$8,4,FALSE))</f>
        <v/>
      </c>
      <c r="S36" s="283" t="str">
        <f t="shared" si="2"/>
        <v/>
      </c>
      <c r="T36" s="314" t="str">
        <f t="shared" si="3"/>
        <v/>
      </c>
      <c r="U36" s="276" t="str">
        <f>IF(C36="","",VLOOKUP(T36,'G-3 Multipliers'!$P$2:$Q$6,2,FALSE))</f>
        <v/>
      </c>
      <c r="V36" s="102"/>
      <c r="W36" s="276" t="str">
        <f>IF(V36="","",IF(AND(V36="N/A - Culvert",C36&lt;&gt;"Culvert"),"Not possible ▲",IF(AND(C36="Culvert",V36&lt;&gt;"N/A - Culvert"),"Not possible ▲",IF(VLOOKUP(V36,'G-7 WaterC'' Data'!$AA$4:$AB$7,2,FALSE)=0,"Spatial Data Missing ⚠",VLOOKUP(V36,'G-7 WaterC'' Data'!$AA$4:$AB$7,2,FALSE)))))</f>
        <v/>
      </c>
      <c r="X36" s="56"/>
      <c r="Y36" s="276" t="str">
        <f>IF(X36="","",IF(AND(X36="N/A - Culvert",C36&lt;&gt;"Culvert"),"Not possible ▲",IF(AND(C36="Culvert",X36&lt;&gt;"N/A - Culvert"),"Not possible ▲",IF(VLOOKUP(X36,'G-7 WaterC'' Data'!$AD$4:$AE$14,2,FALSE)=0,"Enrcoachment Data Missing ⚠",VLOOKUP(X36,'G-7 WaterC'' Data'!$AD$4:$AE$14,2,FALSE)))))</f>
        <v/>
      </c>
      <c r="Z36" s="102"/>
      <c r="AA36" s="276" t="str">
        <f>IF(Z36="","",IF(VLOOKUP(Z36,'G-7 WaterC'' Data'!$AO$4:$BO$7,2,FALSE)=0,"Spatial Data Missing ⚠",VLOOKUP(Z36,'G-7 WaterC'' Data'!$AO$4:$BO$7,2,FALSE)))</f>
        <v/>
      </c>
      <c r="AB36" s="317" t="str">
        <f t="shared" si="4"/>
        <v/>
      </c>
      <c r="AC36" s="317" t="str">
        <f t="shared" si="5"/>
        <v/>
      </c>
      <c r="AD36" s="101"/>
      <c r="AE36" s="938"/>
      <c r="AF36" s="138"/>
      <c r="AG36" s="138"/>
      <c r="AH36" s="934"/>
      <c r="AL36" s="30" t="str">
        <f>IFERROR(INDEX('G-7 WaterC'' Data'!$AZ$3:$AZ$7,MATCH(C36,'G-7 WaterC'' Data'!$AY$3:$AY$7,0)),"")</f>
        <v/>
      </c>
      <c r="AN36" s="30" t="str">
        <f t="shared" si="6"/>
        <v>No</v>
      </c>
    </row>
    <row r="37" spans="2:40" ht="14">
      <c r="B37" s="97">
        <v>26</v>
      </c>
      <c r="C37" s="923"/>
      <c r="D37" s="115"/>
      <c r="E37" s="275" t="str">
        <f>IF(C37="","",VLOOKUP(C37,'G-7 WaterC'' Data'!$B$2:$Z$9,2,FALSE))</f>
        <v/>
      </c>
      <c r="F37" s="276" t="str">
        <f>IFERROR(VLOOKUP(E37,'G-7 WaterC'' Data'!$C$4:$D$8,2,FALSE),"")</f>
        <v/>
      </c>
      <c r="G37" s="52"/>
      <c r="H37" s="276" t="str">
        <f>IFERROR(INDEX('G-7 WaterC'' Data'!$H$4:$L$8,MATCH(C37,'G-7 WaterC'' Data'!$B$4:$B$8,0),MATCH(G37,'G-7 WaterC'' Data'!$H$3:$L$3,0)),"")</f>
        <v/>
      </c>
      <c r="I37" s="52"/>
      <c r="J37" s="314" t="str">
        <f>IF(I37="","",IF(VLOOKUP(I37,'G-7 WaterC'' Data'!$AK$4:$AM$6,2,FALSE)=0,"Spatial Data Missing ⚠",VLOOKUP(I37,'G-7 WaterC'' Data'!$AK$4:$AM$6,2,FALSE)))</f>
        <v/>
      </c>
      <c r="K37" s="276" t="str">
        <f>IF(I37="","",IF(VLOOKUP(I37,'G-7 WaterC'' Data'!$AK$4:$AM$6,3,FALSE)=0,"Spatial Data Missing ⚠",VLOOKUP(I37,'G-7 WaterC'' Data'!$AK$4:$AM$6,3,FALSE)))</f>
        <v/>
      </c>
      <c r="L37" s="372" t="str">
        <f>IFERROR(INDEX('G-7 WaterC'' Data'!$O$3:$O$7,MATCH(G37,'G-7 WaterC'' Data'!$N$3:$N$7,0)),"")</f>
        <v/>
      </c>
      <c r="M37" s="53"/>
      <c r="N37" s="133"/>
      <c r="O37" s="283" t="str">
        <f t="shared" si="0"/>
        <v/>
      </c>
      <c r="P37" s="296" t="str">
        <f t="shared" si="1"/>
        <v/>
      </c>
      <c r="Q37" s="334" t="str">
        <f>IFERROR(IF(P37="Check Data ⚠","Check Data ⚠",VLOOKUP(P37,'G-4 Temporal multipliers'!$A$4:$C$37,3,FALSE)),"")</f>
        <v/>
      </c>
      <c r="R37" s="275" t="str">
        <f>IF(C37="","",VLOOKUP(C37,'G-7 WaterC'' Data'!$B$4:$G$8,4,FALSE))</f>
        <v/>
      </c>
      <c r="S37" s="283" t="str">
        <f t="shared" si="2"/>
        <v/>
      </c>
      <c r="T37" s="314" t="str">
        <f t="shared" si="3"/>
        <v/>
      </c>
      <c r="U37" s="276" t="str">
        <f>IF(C37="","",VLOOKUP(T37,'G-3 Multipliers'!$P$2:$Q$6,2,FALSE))</f>
        <v/>
      </c>
      <c r="V37" s="102"/>
      <c r="W37" s="276" t="str">
        <f>IF(V37="","",IF(AND(V37="N/A - Culvert",C37&lt;&gt;"Culvert"),"Not possible ▲",IF(AND(C37="Culvert",V37&lt;&gt;"N/A - Culvert"),"Not possible ▲",IF(VLOOKUP(V37,'G-7 WaterC'' Data'!$AA$4:$AB$7,2,FALSE)=0,"Spatial Data Missing ⚠",VLOOKUP(V37,'G-7 WaterC'' Data'!$AA$4:$AB$7,2,FALSE)))))</f>
        <v/>
      </c>
      <c r="X37" s="56"/>
      <c r="Y37" s="276" t="str">
        <f>IF(X37="","",IF(AND(X37="N/A - Culvert",C37&lt;&gt;"Culvert"),"Not possible ▲",IF(AND(C37="Culvert",X37&lt;&gt;"N/A - Culvert"),"Not possible ▲",IF(VLOOKUP(X37,'G-7 WaterC'' Data'!$AD$4:$AE$14,2,FALSE)=0,"Enrcoachment Data Missing ⚠",VLOOKUP(X37,'G-7 WaterC'' Data'!$AD$4:$AE$14,2,FALSE)))))</f>
        <v/>
      </c>
      <c r="Z37" s="102"/>
      <c r="AA37" s="276" t="str">
        <f>IF(Z37="","",IF(VLOOKUP(Z37,'G-7 WaterC'' Data'!$AO$4:$BO$7,2,FALSE)=0,"Spatial Data Missing ⚠",VLOOKUP(Z37,'G-7 WaterC'' Data'!$AO$4:$BO$7,2,FALSE)))</f>
        <v/>
      </c>
      <c r="AB37" s="317" t="str">
        <f t="shared" si="4"/>
        <v/>
      </c>
      <c r="AC37" s="317" t="str">
        <f t="shared" si="5"/>
        <v/>
      </c>
      <c r="AD37" s="101"/>
      <c r="AE37" s="938"/>
      <c r="AF37" s="138"/>
      <c r="AG37" s="138"/>
      <c r="AH37" s="934"/>
      <c r="AL37" s="30" t="str">
        <f>IFERROR(INDEX('G-7 WaterC'' Data'!$AZ$3:$AZ$7,MATCH(C37,'G-7 WaterC'' Data'!$AY$3:$AY$7,0)),"")</f>
        <v/>
      </c>
      <c r="AN37" s="30" t="str">
        <f t="shared" si="6"/>
        <v>No</v>
      </c>
    </row>
    <row r="38" spans="2:40" ht="14">
      <c r="B38" s="97">
        <v>27</v>
      </c>
      <c r="C38" s="923"/>
      <c r="D38" s="115"/>
      <c r="E38" s="275" t="str">
        <f>IF(C38="","",VLOOKUP(C38,'G-7 WaterC'' Data'!$B$2:$Z$9,2,FALSE))</f>
        <v/>
      </c>
      <c r="F38" s="276" t="str">
        <f>IFERROR(VLOOKUP(E38,'G-7 WaterC'' Data'!$C$4:$D$8,2,FALSE),"")</f>
        <v/>
      </c>
      <c r="G38" s="52"/>
      <c r="H38" s="276" t="str">
        <f>IFERROR(INDEX('G-7 WaterC'' Data'!$H$4:$L$8,MATCH(C38,'G-7 WaterC'' Data'!$B$4:$B$8,0),MATCH(G38,'G-7 WaterC'' Data'!$H$3:$L$3,0)),"")</f>
        <v/>
      </c>
      <c r="I38" s="52"/>
      <c r="J38" s="314" t="str">
        <f>IF(I38="","",IF(VLOOKUP(I38,'G-7 WaterC'' Data'!$AK$4:$AM$6,2,FALSE)=0,"Spatial Data Missing ⚠",VLOOKUP(I38,'G-7 WaterC'' Data'!$AK$4:$AM$6,2,FALSE)))</f>
        <v/>
      </c>
      <c r="K38" s="276" t="str">
        <f>IF(I38="","",IF(VLOOKUP(I38,'G-7 WaterC'' Data'!$AK$4:$AM$6,3,FALSE)=0,"Spatial Data Missing ⚠",VLOOKUP(I38,'G-7 WaterC'' Data'!$AK$4:$AM$6,3,FALSE)))</f>
        <v/>
      </c>
      <c r="L38" s="372" t="str">
        <f>IFERROR(INDEX('G-7 WaterC'' Data'!$O$3:$O$7,MATCH(G38,'G-7 WaterC'' Data'!$N$3:$N$7,0)),"")</f>
        <v/>
      </c>
      <c r="M38" s="53"/>
      <c r="N38" s="133"/>
      <c r="O38" s="283" t="str">
        <f t="shared" si="0"/>
        <v/>
      </c>
      <c r="P38" s="296" t="str">
        <f t="shared" si="1"/>
        <v/>
      </c>
      <c r="Q38" s="334" t="str">
        <f>IFERROR(IF(P38="Check Data ⚠","Check Data ⚠",VLOOKUP(P38,'G-4 Temporal multipliers'!$A$4:$C$37,3,FALSE)),"")</f>
        <v/>
      </c>
      <c r="R38" s="275" t="str">
        <f>IF(C38="","",VLOOKUP(C38,'G-7 WaterC'' Data'!$B$4:$G$8,4,FALSE))</f>
        <v/>
      </c>
      <c r="S38" s="283" t="str">
        <f t="shared" si="2"/>
        <v/>
      </c>
      <c r="T38" s="314" t="str">
        <f t="shared" si="3"/>
        <v/>
      </c>
      <c r="U38" s="276" t="str">
        <f>IF(C38="","",VLOOKUP(T38,'G-3 Multipliers'!$P$2:$Q$6,2,FALSE))</f>
        <v/>
      </c>
      <c r="V38" s="102"/>
      <c r="W38" s="276" t="str">
        <f>IF(V38="","",IF(AND(V38="N/A - Culvert",C38&lt;&gt;"Culvert"),"Not possible ▲",IF(AND(C38="Culvert",V38&lt;&gt;"N/A - Culvert"),"Not possible ▲",IF(VLOOKUP(V38,'G-7 WaterC'' Data'!$AA$4:$AB$7,2,FALSE)=0,"Spatial Data Missing ⚠",VLOOKUP(V38,'G-7 WaterC'' Data'!$AA$4:$AB$7,2,FALSE)))))</f>
        <v/>
      </c>
      <c r="X38" s="56"/>
      <c r="Y38" s="276" t="str">
        <f>IF(X38="","",IF(AND(X38="N/A - Culvert",C38&lt;&gt;"Culvert"),"Not possible ▲",IF(AND(C38="Culvert",X38&lt;&gt;"N/A - Culvert"),"Not possible ▲",IF(VLOOKUP(X38,'G-7 WaterC'' Data'!$AD$4:$AE$14,2,FALSE)=0,"Enrcoachment Data Missing ⚠",VLOOKUP(X38,'G-7 WaterC'' Data'!$AD$4:$AE$14,2,FALSE)))))</f>
        <v/>
      </c>
      <c r="Z38" s="102"/>
      <c r="AA38" s="276" t="str">
        <f>IF(Z38="","",IF(VLOOKUP(Z38,'G-7 WaterC'' Data'!$AO$4:$BO$7,2,FALSE)=0,"Spatial Data Missing ⚠",VLOOKUP(Z38,'G-7 WaterC'' Data'!$AO$4:$BO$7,2,FALSE)))</f>
        <v/>
      </c>
      <c r="AB38" s="317" t="str">
        <f t="shared" si="4"/>
        <v/>
      </c>
      <c r="AC38" s="317" t="str">
        <f t="shared" si="5"/>
        <v/>
      </c>
      <c r="AD38" s="101"/>
      <c r="AE38" s="938"/>
      <c r="AF38" s="138"/>
      <c r="AG38" s="138"/>
      <c r="AH38" s="934"/>
      <c r="AL38" s="30" t="str">
        <f>IFERROR(INDEX('G-7 WaterC'' Data'!$AZ$3:$AZ$7,MATCH(C38,'G-7 WaterC'' Data'!$AY$3:$AY$7,0)),"")</f>
        <v/>
      </c>
      <c r="AN38" s="30" t="str">
        <f t="shared" si="6"/>
        <v>No</v>
      </c>
    </row>
    <row r="39" spans="2:40" ht="14">
      <c r="B39" s="97">
        <v>28</v>
      </c>
      <c r="C39" s="923"/>
      <c r="D39" s="115"/>
      <c r="E39" s="275" t="str">
        <f>IF(C39="","",VLOOKUP(C39,'G-7 WaterC'' Data'!$B$2:$Z$9,2,FALSE))</f>
        <v/>
      </c>
      <c r="F39" s="276" t="str">
        <f>IFERROR(VLOOKUP(E39,'G-7 WaterC'' Data'!$C$4:$D$8,2,FALSE),"")</f>
        <v/>
      </c>
      <c r="G39" s="52"/>
      <c r="H39" s="276" t="str">
        <f>IFERROR(INDEX('G-7 WaterC'' Data'!$H$4:$L$8,MATCH(C39,'G-7 WaterC'' Data'!$B$4:$B$8,0),MATCH(G39,'G-7 WaterC'' Data'!$H$3:$L$3,0)),"")</f>
        <v/>
      </c>
      <c r="I39" s="52"/>
      <c r="J39" s="314" t="str">
        <f>IF(I39="","",IF(VLOOKUP(I39,'G-7 WaterC'' Data'!$AK$4:$AM$6,2,FALSE)=0,"Spatial Data Missing ⚠",VLOOKUP(I39,'G-7 WaterC'' Data'!$AK$4:$AM$6,2,FALSE)))</f>
        <v/>
      </c>
      <c r="K39" s="276" t="str">
        <f>IF(I39="","",IF(VLOOKUP(I39,'G-7 WaterC'' Data'!$AK$4:$AM$6,3,FALSE)=0,"Spatial Data Missing ⚠",VLOOKUP(I39,'G-7 WaterC'' Data'!$AK$4:$AM$6,3,FALSE)))</f>
        <v/>
      </c>
      <c r="L39" s="372" t="str">
        <f>IFERROR(INDEX('G-7 WaterC'' Data'!$O$3:$O$7,MATCH(G39,'G-7 WaterC'' Data'!$N$3:$N$7,0)),"")</f>
        <v/>
      </c>
      <c r="M39" s="53"/>
      <c r="N39" s="133"/>
      <c r="O39" s="283" t="str">
        <f t="shared" si="0"/>
        <v/>
      </c>
      <c r="P39" s="296" t="str">
        <f t="shared" si="1"/>
        <v/>
      </c>
      <c r="Q39" s="334" t="str">
        <f>IFERROR(IF(P39="Check Data ⚠","Check Data ⚠",VLOOKUP(P39,'G-4 Temporal multipliers'!$A$4:$C$37,3,FALSE)),"")</f>
        <v/>
      </c>
      <c r="R39" s="275" t="str">
        <f>IF(C39="","",VLOOKUP(C39,'G-7 WaterC'' Data'!$B$4:$G$8,4,FALSE))</f>
        <v/>
      </c>
      <c r="S39" s="283" t="str">
        <f t="shared" si="2"/>
        <v/>
      </c>
      <c r="T39" s="314" t="str">
        <f t="shared" si="3"/>
        <v/>
      </c>
      <c r="U39" s="276" t="str">
        <f>IF(C39="","",VLOOKUP(T39,'G-3 Multipliers'!$P$2:$Q$6,2,FALSE))</f>
        <v/>
      </c>
      <c r="V39" s="102"/>
      <c r="W39" s="276" t="str">
        <f>IF(V39="","",IF(AND(V39="N/A - Culvert",C39&lt;&gt;"Culvert"),"Not possible ▲",IF(AND(C39="Culvert",V39&lt;&gt;"N/A - Culvert"),"Not possible ▲",IF(VLOOKUP(V39,'G-7 WaterC'' Data'!$AA$4:$AB$7,2,FALSE)=0,"Spatial Data Missing ⚠",VLOOKUP(V39,'G-7 WaterC'' Data'!$AA$4:$AB$7,2,FALSE)))))</f>
        <v/>
      </c>
      <c r="X39" s="56"/>
      <c r="Y39" s="276" t="str">
        <f>IF(X39="","",IF(AND(X39="N/A - Culvert",C39&lt;&gt;"Culvert"),"Not possible ▲",IF(AND(C39="Culvert",X39&lt;&gt;"N/A - Culvert"),"Not possible ▲",IF(VLOOKUP(X39,'G-7 WaterC'' Data'!$AD$4:$AE$14,2,FALSE)=0,"Enrcoachment Data Missing ⚠",VLOOKUP(X39,'G-7 WaterC'' Data'!$AD$4:$AE$14,2,FALSE)))))</f>
        <v/>
      </c>
      <c r="Z39" s="102"/>
      <c r="AA39" s="276" t="str">
        <f>IF(Z39="","",IF(VLOOKUP(Z39,'G-7 WaterC'' Data'!$AO$4:$BO$7,2,FALSE)=0,"Spatial Data Missing ⚠",VLOOKUP(Z39,'G-7 WaterC'' Data'!$AO$4:$BO$7,2,FALSE)))</f>
        <v/>
      </c>
      <c r="AB39" s="317" t="str">
        <f t="shared" si="4"/>
        <v/>
      </c>
      <c r="AC39" s="317" t="str">
        <f t="shared" si="5"/>
        <v/>
      </c>
      <c r="AD39" s="101"/>
      <c r="AE39" s="938"/>
      <c r="AF39" s="138"/>
      <c r="AG39" s="138"/>
      <c r="AH39" s="934"/>
      <c r="AL39" s="30" t="str">
        <f>IFERROR(INDEX('G-7 WaterC'' Data'!$AZ$3:$AZ$7,MATCH(C39,'G-7 WaterC'' Data'!$AY$3:$AY$7,0)),"")</f>
        <v/>
      </c>
      <c r="AN39" s="30" t="str">
        <f t="shared" si="6"/>
        <v>No</v>
      </c>
    </row>
    <row r="40" spans="2:40" ht="14">
      <c r="B40" s="97">
        <v>29</v>
      </c>
      <c r="C40" s="923"/>
      <c r="D40" s="115"/>
      <c r="E40" s="275" t="str">
        <f>IF(C40="","",VLOOKUP(C40,'G-7 WaterC'' Data'!$B$2:$Z$9,2,FALSE))</f>
        <v/>
      </c>
      <c r="F40" s="276" t="str">
        <f>IFERROR(VLOOKUP(E40,'G-7 WaterC'' Data'!$C$4:$D$8,2,FALSE),"")</f>
        <v/>
      </c>
      <c r="G40" s="52"/>
      <c r="H40" s="276" t="str">
        <f>IFERROR(INDEX('G-7 WaterC'' Data'!$H$4:$L$8,MATCH(C40,'G-7 WaterC'' Data'!$B$4:$B$8,0),MATCH(G40,'G-7 WaterC'' Data'!$H$3:$L$3,0)),"")</f>
        <v/>
      </c>
      <c r="I40" s="52"/>
      <c r="J40" s="314" t="str">
        <f>IF(I40="","",IF(VLOOKUP(I40,'G-7 WaterC'' Data'!$AK$4:$AM$6,2,FALSE)=0,"Spatial Data Missing ⚠",VLOOKUP(I40,'G-7 WaterC'' Data'!$AK$4:$AM$6,2,FALSE)))</f>
        <v/>
      </c>
      <c r="K40" s="276" t="str">
        <f>IF(I40="","",IF(VLOOKUP(I40,'G-7 WaterC'' Data'!$AK$4:$AM$6,3,FALSE)=0,"Spatial Data Missing ⚠",VLOOKUP(I40,'G-7 WaterC'' Data'!$AK$4:$AM$6,3,FALSE)))</f>
        <v/>
      </c>
      <c r="L40" s="372" t="str">
        <f>IFERROR(INDEX('G-7 WaterC'' Data'!$O$3:$O$7,MATCH(G40,'G-7 WaterC'' Data'!$N$3:$N$7,0)),"")</f>
        <v/>
      </c>
      <c r="M40" s="53"/>
      <c r="N40" s="133"/>
      <c r="O40" s="283" t="str">
        <f t="shared" si="0"/>
        <v/>
      </c>
      <c r="P40" s="296" t="str">
        <f t="shared" si="1"/>
        <v/>
      </c>
      <c r="Q40" s="334" t="str">
        <f>IFERROR(IF(P40="Check Data ⚠","Check Data ⚠",VLOOKUP(P40,'G-4 Temporal multipliers'!$A$4:$C$37,3,FALSE)),"")</f>
        <v/>
      </c>
      <c r="R40" s="275" t="str">
        <f>IF(C40="","",VLOOKUP(C40,'G-7 WaterC'' Data'!$B$4:$G$8,4,FALSE))</f>
        <v/>
      </c>
      <c r="S40" s="283" t="str">
        <f t="shared" si="2"/>
        <v/>
      </c>
      <c r="T40" s="314" t="str">
        <f t="shared" si="3"/>
        <v/>
      </c>
      <c r="U40" s="276" t="str">
        <f>IF(C40="","",VLOOKUP(T40,'G-3 Multipliers'!$P$2:$Q$6,2,FALSE))</f>
        <v/>
      </c>
      <c r="V40" s="102"/>
      <c r="W40" s="276" t="str">
        <f>IF(V40="","",IF(AND(V40="N/A - Culvert",C40&lt;&gt;"Culvert"),"Not possible ▲",IF(AND(C40="Culvert",V40&lt;&gt;"N/A - Culvert"),"Not possible ▲",IF(VLOOKUP(V40,'G-7 WaterC'' Data'!$AA$4:$AB$7,2,FALSE)=0,"Spatial Data Missing ⚠",VLOOKUP(V40,'G-7 WaterC'' Data'!$AA$4:$AB$7,2,FALSE)))))</f>
        <v/>
      </c>
      <c r="X40" s="56"/>
      <c r="Y40" s="276" t="str">
        <f>IF(X40="","",IF(AND(X40="N/A - Culvert",C40&lt;&gt;"Culvert"),"Not possible ▲",IF(AND(C40="Culvert",X40&lt;&gt;"N/A - Culvert"),"Not possible ▲",IF(VLOOKUP(X40,'G-7 WaterC'' Data'!$AD$4:$AE$14,2,FALSE)=0,"Enrcoachment Data Missing ⚠",VLOOKUP(X40,'G-7 WaterC'' Data'!$AD$4:$AE$14,2,FALSE)))))</f>
        <v/>
      </c>
      <c r="Z40" s="102"/>
      <c r="AA40" s="276" t="str">
        <f>IF(Z40="","",IF(VLOOKUP(Z40,'G-7 WaterC'' Data'!$AO$4:$BO$7,2,FALSE)=0,"Spatial Data Missing ⚠",VLOOKUP(Z40,'G-7 WaterC'' Data'!$AO$4:$BO$7,2,FALSE)))</f>
        <v/>
      </c>
      <c r="AB40" s="317" t="str">
        <f t="shared" si="4"/>
        <v/>
      </c>
      <c r="AC40" s="317" t="str">
        <f t="shared" si="5"/>
        <v/>
      </c>
      <c r="AD40" s="101"/>
      <c r="AE40" s="938"/>
      <c r="AF40" s="138"/>
      <c r="AG40" s="138"/>
      <c r="AH40" s="934"/>
      <c r="AL40" s="30" t="str">
        <f>IFERROR(INDEX('G-7 WaterC'' Data'!$AZ$3:$AZ$7,MATCH(C40,'G-7 WaterC'' Data'!$AY$3:$AY$7,0)),"")</f>
        <v/>
      </c>
      <c r="AN40" s="30" t="str">
        <f t="shared" si="6"/>
        <v>No</v>
      </c>
    </row>
    <row r="41" spans="2:40" ht="14">
      <c r="B41" s="97">
        <v>30</v>
      </c>
      <c r="C41" s="923"/>
      <c r="D41" s="115"/>
      <c r="E41" s="275" t="str">
        <f>IF(C41="","",VLOOKUP(C41,'G-7 WaterC'' Data'!$B$2:$Z$9,2,FALSE))</f>
        <v/>
      </c>
      <c r="F41" s="276" t="str">
        <f>IFERROR(VLOOKUP(E41,'G-7 WaterC'' Data'!$C$4:$D$8,2,FALSE),"")</f>
        <v/>
      </c>
      <c r="G41" s="52"/>
      <c r="H41" s="276" t="str">
        <f>IFERROR(INDEX('G-7 WaterC'' Data'!$H$4:$L$8,MATCH(C41,'G-7 WaterC'' Data'!$B$4:$B$8,0),MATCH(G41,'G-7 WaterC'' Data'!$H$3:$L$3,0)),"")</f>
        <v/>
      </c>
      <c r="I41" s="52"/>
      <c r="J41" s="314" t="str">
        <f>IF(I41="","",IF(VLOOKUP(I41,'G-7 WaterC'' Data'!$AK$4:$AM$6,2,FALSE)=0,"Spatial Data Missing ⚠",VLOOKUP(I41,'G-7 WaterC'' Data'!$AK$4:$AM$6,2,FALSE)))</f>
        <v/>
      </c>
      <c r="K41" s="276" t="str">
        <f>IF(I41="","",IF(VLOOKUP(I41,'G-7 WaterC'' Data'!$AK$4:$AM$6,3,FALSE)=0,"Spatial Data Missing ⚠",VLOOKUP(I41,'G-7 WaterC'' Data'!$AK$4:$AM$6,3,FALSE)))</f>
        <v/>
      </c>
      <c r="L41" s="372" t="str">
        <f>IFERROR(INDEX('G-7 WaterC'' Data'!$O$3:$O$7,MATCH(G41,'G-7 WaterC'' Data'!$N$3:$N$7,0)),"")</f>
        <v/>
      </c>
      <c r="M41" s="53"/>
      <c r="N41" s="133"/>
      <c r="O41" s="283" t="str">
        <f t="shared" si="0"/>
        <v/>
      </c>
      <c r="P41" s="296" t="str">
        <f t="shared" si="1"/>
        <v/>
      </c>
      <c r="Q41" s="334" t="str">
        <f>IFERROR(IF(P41="Check Data ⚠","Check Data ⚠",VLOOKUP(P41,'G-4 Temporal multipliers'!$A$4:$C$37,3,FALSE)),"")</f>
        <v/>
      </c>
      <c r="R41" s="275" t="str">
        <f>IF(C41="","",VLOOKUP(C41,'G-7 WaterC'' Data'!$B$4:$G$8,4,FALSE))</f>
        <v/>
      </c>
      <c r="S41" s="283" t="str">
        <f t="shared" si="2"/>
        <v/>
      </c>
      <c r="T41" s="314" t="str">
        <f t="shared" si="3"/>
        <v/>
      </c>
      <c r="U41" s="276" t="str">
        <f>IF(C41="","",VLOOKUP(T41,'G-3 Multipliers'!$P$2:$Q$6,2,FALSE))</f>
        <v/>
      </c>
      <c r="V41" s="102"/>
      <c r="W41" s="276" t="str">
        <f>IF(V41="","",IF(AND(V41="N/A - Culvert",C41&lt;&gt;"Culvert"),"Not possible ▲",IF(AND(C41="Culvert",V41&lt;&gt;"N/A - Culvert"),"Not possible ▲",IF(VLOOKUP(V41,'G-7 WaterC'' Data'!$AA$4:$AB$7,2,FALSE)=0,"Spatial Data Missing ⚠",VLOOKUP(V41,'G-7 WaterC'' Data'!$AA$4:$AB$7,2,FALSE)))))</f>
        <v/>
      </c>
      <c r="X41" s="56"/>
      <c r="Y41" s="276" t="str">
        <f>IF(X41="","",IF(AND(X41="N/A - Culvert",C41&lt;&gt;"Culvert"),"Not possible ▲",IF(AND(C41="Culvert",X41&lt;&gt;"N/A - Culvert"),"Not possible ▲",IF(VLOOKUP(X41,'G-7 WaterC'' Data'!$AD$4:$AE$14,2,FALSE)=0,"Enrcoachment Data Missing ⚠",VLOOKUP(X41,'G-7 WaterC'' Data'!$AD$4:$AE$14,2,FALSE)))))</f>
        <v/>
      </c>
      <c r="Z41" s="102"/>
      <c r="AA41" s="276" t="str">
        <f>IF(Z41="","",IF(VLOOKUP(Z41,'G-7 WaterC'' Data'!$AO$4:$BO$7,2,FALSE)=0,"Spatial Data Missing ⚠",VLOOKUP(Z41,'G-7 WaterC'' Data'!$AO$4:$BO$7,2,FALSE)))</f>
        <v/>
      </c>
      <c r="AB41" s="317" t="str">
        <f t="shared" si="4"/>
        <v/>
      </c>
      <c r="AC41" s="317" t="str">
        <f t="shared" si="5"/>
        <v/>
      </c>
      <c r="AD41" s="101"/>
      <c r="AE41" s="938"/>
      <c r="AF41" s="138"/>
      <c r="AG41" s="138"/>
      <c r="AH41" s="934"/>
      <c r="AL41" s="30" t="str">
        <f>IFERROR(INDEX('G-7 WaterC'' Data'!$AZ$3:$AZ$7,MATCH(C41,'G-7 WaterC'' Data'!$AY$3:$AY$7,0)),"")</f>
        <v/>
      </c>
      <c r="AN41" s="30" t="str">
        <f t="shared" si="6"/>
        <v>No</v>
      </c>
    </row>
    <row r="42" spans="2:40" ht="14">
      <c r="B42" s="97">
        <v>31</v>
      </c>
      <c r="C42" s="923"/>
      <c r="D42" s="115"/>
      <c r="E42" s="275" t="str">
        <f>IF(C42="","",VLOOKUP(C42,'G-7 WaterC'' Data'!$B$2:$Z$9,2,FALSE))</f>
        <v/>
      </c>
      <c r="F42" s="276" t="str">
        <f>IFERROR(VLOOKUP(E42,'G-7 WaterC'' Data'!$C$4:$D$8,2,FALSE),"")</f>
        <v/>
      </c>
      <c r="G42" s="52"/>
      <c r="H42" s="276" t="str">
        <f>IFERROR(INDEX('G-7 WaterC'' Data'!$H$4:$L$8,MATCH(C42,'G-7 WaterC'' Data'!$B$4:$B$8,0),MATCH(G42,'G-7 WaterC'' Data'!$H$3:$L$3,0)),"")</f>
        <v/>
      </c>
      <c r="I42" s="52"/>
      <c r="J42" s="314" t="str">
        <f>IF(I42="","",IF(VLOOKUP(I42,'G-7 WaterC'' Data'!$AK$4:$AM$6,2,FALSE)=0,"Spatial Data Missing ⚠",VLOOKUP(I42,'G-7 WaterC'' Data'!$AK$4:$AM$6,2,FALSE)))</f>
        <v/>
      </c>
      <c r="K42" s="276" t="str">
        <f>IF(I42="","",IF(VLOOKUP(I42,'G-7 WaterC'' Data'!$AK$4:$AM$6,3,FALSE)=0,"Spatial Data Missing ⚠",VLOOKUP(I42,'G-7 WaterC'' Data'!$AK$4:$AM$6,3,FALSE)))</f>
        <v/>
      </c>
      <c r="L42" s="372" t="str">
        <f>IFERROR(INDEX('G-7 WaterC'' Data'!$O$3:$O$7,MATCH(G42,'G-7 WaterC'' Data'!$N$3:$N$7,0)),"")</f>
        <v/>
      </c>
      <c r="M42" s="53"/>
      <c r="N42" s="133"/>
      <c r="O42" s="283" t="str">
        <f t="shared" si="0"/>
        <v/>
      </c>
      <c r="P42" s="296" t="str">
        <f t="shared" si="1"/>
        <v/>
      </c>
      <c r="Q42" s="334" t="str">
        <f>IFERROR(IF(P42="Check Data ⚠","Check Data ⚠",VLOOKUP(P42,'G-4 Temporal multipliers'!$A$4:$C$37,3,FALSE)),"")</f>
        <v/>
      </c>
      <c r="R42" s="275" t="str">
        <f>IF(C42="","",VLOOKUP(C42,'G-7 WaterC'' Data'!$B$4:$G$8,4,FALSE))</f>
        <v/>
      </c>
      <c r="S42" s="283" t="str">
        <f t="shared" si="2"/>
        <v/>
      </c>
      <c r="T42" s="314" t="str">
        <f t="shared" si="3"/>
        <v/>
      </c>
      <c r="U42" s="276" t="str">
        <f>IF(C42="","",VLOOKUP(T42,'G-3 Multipliers'!$P$2:$Q$6,2,FALSE))</f>
        <v/>
      </c>
      <c r="V42" s="102"/>
      <c r="W42" s="276" t="str">
        <f>IF(V42="","",IF(AND(V42="N/A - Culvert",C42&lt;&gt;"Culvert"),"Not possible ▲",IF(AND(C42="Culvert",V42&lt;&gt;"N/A - Culvert"),"Not possible ▲",IF(VLOOKUP(V42,'G-7 WaterC'' Data'!$AA$4:$AB$7,2,FALSE)=0,"Spatial Data Missing ⚠",VLOOKUP(V42,'G-7 WaterC'' Data'!$AA$4:$AB$7,2,FALSE)))))</f>
        <v/>
      </c>
      <c r="X42" s="56"/>
      <c r="Y42" s="276" t="str">
        <f>IF(X42="","",IF(AND(X42="N/A - Culvert",C42&lt;&gt;"Culvert"),"Not possible ▲",IF(AND(C42="Culvert",X42&lt;&gt;"N/A - Culvert"),"Not possible ▲",IF(VLOOKUP(X42,'G-7 WaterC'' Data'!$AD$4:$AE$14,2,FALSE)=0,"Enrcoachment Data Missing ⚠",VLOOKUP(X42,'G-7 WaterC'' Data'!$AD$4:$AE$14,2,FALSE)))))</f>
        <v/>
      </c>
      <c r="Z42" s="102"/>
      <c r="AA42" s="276" t="str">
        <f>IF(Z42="","",IF(VLOOKUP(Z42,'G-7 WaterC'' Data'!$AO$4:$BO$7,2,FALSE)=0,"Spatial Data Missing ⚠",VLOOKUP(Z42,'G-7 WaterC'' Data'!$AO$4:$BO$7,2,FALSE)))</f>
        <v/>
      </c>
      <c r="AB42" s="317" t="str">
        <f t="shared" si="4"/>
        <v/>
      </c>
      <c r="AC42" s="317" t="str">
        <f t="shared" si="5"/>
        <v/>
      </c>
      <c r="AD42" s="101"/>
      <c r="AE42" s="938"/>
      <c r="AF42" s="138"/>
      <c r="AG42" s="138"/>
      <c r="AH42" s="934"/>
      <c r="AL42" s="30" t="str">
        <f>IFERROR(INDEX('G-7 WaterC'' Data'!$AZ$3:$AZ$7,MATCH(C42,'G-7 WaterC'' Data'!$AY$3:$AY$7,0)),"")</f>
        <v/>
      </c>
      <c r="AN42" s="30" t="str">
        <f t="shared" si="6"/>
        <v>No</v>
      </c>
    </row>
    <row r="43" spans="2:40" ht="14">
      <c r="B43" s="97">
        <v>32</v>
      </c>
      <c r="C43" s="923"/>
      <c r="D43" s="115"/>
      <c r="E43" s="275" t="str">
        <f>IF(C43="","",VLOOKUP(C43,'G-7 WaterC'' Data'!$B$2:$Z$9,2,FALSE))</f>
        <v/>
      </c>
      <c r="F43" s="276" t="str">
        <f>IFERROR(VLOOKUP(E43,'G-7 WaterC'' Data'!$C$4:$D$8,2,FALSE),"")</f>
        <v/>
      </c>
      <c r="G43" s="52"/>
      <c r="H43" s="276" t="str">
        <f>IFERROR(INDEX('G-7 WaterC'' Data'!$H$4:$L$8,MATCH(C43,'G-7 WaterC'' Data'!$B$4:$B$8,0),MATCH(G43,'G-7 WaterC'' Data'!$H$3:$L$3,0)),"")</f>
        <v/>
      </c>
      <c r="I43" s="52"/>
      <c r="J43" s="314" t="str">
        <f>IF(I43="","",IF(VLOOKUP(I43,'G-7 WaterC'' Data'!$AK$4:$AM$6,2,FALSE)=0,"Spatial Data Missing ⚠",VLOOKUP(I43,'G-7 WaterC'' Data'!$AK$4:$AM$6,2,FALSE)))</f>
        <v/>
      </c>
      <c r="K43" s="276" t="str">
        <f>IF(I43="","",IF(VLOOKUP(I43,'G-7 WaterC'' Data'!$AK$4:$AM$6,3,FALSE)=0,"Spatial Data Missing ⚠",VLOOKUP(I43,'G-7 WaterC'' Data'!$AK$4:$AM$6,3,FALSE)))</f>
        <v/>
      </c>
      <c r="L43" s="372" t="str">
        <f>IFERROR(INDEX('G-7 WaterC'' Data'!$O$3:$O$7,MATCH(G43,'G-7 WaterC'' Data'!$N$3:$N$7,0)),"")</f>
        <v/>
      </c>
      <c r="M43" s="53"/>
      <c r="N43" s="133"/>
      <c r="O43" s="283" t="str">
        <f t="shared" si="0"/>
        <v/>
      </c>
      <c r="P43" s="296" t="str">
        <f t="shared" si="1"/>
        <v/>
      </c>
      <c r="Q43" s="334" t="str">
        <f>IFERROR(IF(P43="Check Data ⚠","Check Data ⚠",VLOOKUP(P43,'G-4 Temporal multipliers'!$A$4:$C$37,3,FALSE)),"")</f>
        <v/>
      </c>
      <c r="R43" s="275" t="str">
        <f>IF(C43="","",VLOOKUP(C43,'G-7 WaterC'' Data'!$B$4:$G$8,4,FALSE))</f>
        <v/>
      </c>
      <c r="S43" s="283" t="str">
        <f t="shared" si="2"/>
        <v/>
      </c>
      <c r="T43" s="314" t="str">
        <f t="shared" si="3"/>
        <v/>
      </c>
      <c r="U43" s="276" t="str">
        <f>IF(C43="","",VLOOKUP(T43,'G-3 Multipliers'!$P$2:$Q$6,2,FALSE))</f>
        <v/>
      </c>
      <c r="V43" s="102"/>
      <c r="W43" s="276" t="str">
        <f>IF(V43="","",IF(AND(V43="N/A - Culvert",C43&lt;&gt;"Culvert"),"Not possible ▲",IF(AND(C43="Culvert",V43&lt;&gt;"N/A - Culvert"),"Not possible ▲",IF(VLOOKUP(V43,'G-7 WaterC'' Data'!$AA$4:$AB$7,2,FALSE)=0,"Spatial Data Missing ⚠",VLOOKUP(V43,'G-7 WaterC'' Data'!$AA$4:$AB$7,2,FALSE)))))</f>
        <v/>
      </c>
      <c r="X43" s="56"/>
      <c r="Y43" s="276" t="str">
        <f>IF(X43="","",IF(AND(X43="N/A - Culvert",C43&lt;&gt;"Culvert"),"Not possible ▲",IF(AND(C43="Culvert",X43&lt;&gt;"N/A - Culvert"),"Not possible ▲",IF(VLOOKUP(X43,'G-7 WaterC'' Data'!$AD$4:$AE$14,2,FALSE)=0,"Enrcoachment Data Missing ⚠",VLOOKUP(X43,'G-7 WaterC'' Data'!$AD$4:$AE$14,2,FALSE)))))</f>
        <v/>
      </c>
      <c r="Z43" s="102"/>
      <c r="AA43" s="276" t="str">
        <f>IF(Z43="","",IF(VLOOKUP(Z43,'G-7 WaterC'' Data'!$AO$4:$BO$7,2,FALSE)=0,"Spatial Data Missing ⚠",VLOOKUP(Z43,'G-7 WaterC'' Data'!$AO$4:$BO$7,2,FALSE)))</f>
        <v/>
      </c>
      <c r="AB43" s="317" t="str">
        <f t="shared" si="4"/>
        <v/>
      </c>
      <c r="AC43" s="317" t="str">
        <f t="shared" si="5"/>
        <v/>
      </c>
      <c r="AD43" s="101"/>
      <c r="AE43" s="938"/>
      <c r="AF43" s="138"/>
      <c r="AG43" s="138"/>
      <c r="AH43" s="934"/>
      <c r="AL43" s="30" t="str">
        <f>IFERROR(INDEX('G-7 WaterC'' Data'!$AZ$3:$AZ$7,MATCH(C43,'G-7 WaterC'' Data'!$AY$3:$AY$7,0)),"")</f>
        <v/>
      </c>
      <c r="AN43" s="30" t="str">
        <f t="shared" si="6"/>
        <v>No</v>
      </c>
    </row>
    <row r="44" spans="2:40" ht="14">
      <c r="B44" s="97">
        <v>33</v>
      </c>
      <c r="C44" s="923"/>
      <c r="D44" s="115"/>
      <c r="E44" s="275" t="str">
        <f>IF(C44="","",VLOOKUP(C44,'G-7 WaterC'' Data'!$B$2:$Z$9,2,FALSE))</f>
        <v/>
      </c>
      <c r="F44" s="276" t="str">
        <f>IFERROR(VLOOKUP(E44,'G-7 WaterC'' Data'!$C$4:$D$8,2,FALSE),"")</f>
        <v/>
      </c>
      <c r="G44" s="52"/>
      <c r="H44" s="276" t="str">
        <f>IFERROR(INDEX('G-7 WaterC'' Data'!$H$4:$L$8,MATCH(C44,'G-7 WaterC'' Data'!$B$4:$B$8,0),MATCH(G44,'G-7 WaterC'' Data'!$H$3:$L$3,0)),"")</f>
        <v/>
      </c>
      <c r="I44" s="52"/>
      <c r="J44" s="314" t="str">
        <f>IF(I44="","",IF(VLOOKUP(I44,'G-7 WaterC'' Data'!$AK$4:$AM$6,2,FALSE)=0,"Spatial Data Missing ⚠",VLOOKUP(I44,'G-7 WaterC'' Data'!$AK$4:$AM$6,2,FALSE)))</f>
        <v/>
      </c>
      <c r="K44" s="276" t="str">
        <f>IF(I44="","",IF(VLOOKUP(I44,'G-7 WaterC'' Data'!$AK$4:$AM$6,3,FALSE)=0,"Spatial Data Missing ⚠",VLOOKUP(I44,'G-7 WaterC'' Data'!$AK$4:$AM$6,3,FALSE)))</f>
        <v/>
      </c>
      <c r="L44" s="372" t="str">
        <f>IFERROR(INDEX('G-7 WaterC'' Data'!$O$3:$O$7,MATCH(G44,'G-7 WaterC'' Data'!$N$3:$N$7,0)),"")</f>
        <v/>
      </c>
      <c r="M44" s="53"/>
      <c r="N44" s="133"/>
      <c r="O44" s="283" t="str">
        <f t="shared" si="0"/>
        <v/>
      </c>
      <c r="P44" s="296" t="str">
        <f t="shared" si="1"/>
        <v/>
      </c>
      <c r="Q44" s="334" t="str">
        <f>IFERROR(IF(P44="Check Data ⚠","Check Data ⚠",VLOOKUP(P44,'G-4 Temporal multipliers'!$A$4:$C$37,3,FALSE)),"")</f>
        <v/>
      </c>
      <c r="R44" s="275" t="str">
        <f>IF(C44="","",VLOOKUP(C44,'G-7 WaterC'' Data'!$B$4:$G$8,4,FALSE))</f>
        <v/>
      </c>
      <c r="S44" s="283" t="str">
        <f t="shared" si="2"/>
        <v/>
      </c>
      <c r="T44" s="314" t="str">
        <f t="shared" si="3"/>
        <v/>
      </c>
      <c r="U44" s="276" t="str">
        <f>IF(C44="","",VLOOKUP(T44,'G-3 Multipliers'!$P$2:$Q$6,2,FALSE))</f>
        <v/>
      </c>
      <c r="V44" s="102"/>
      <c r="W44" s="276" t="str">
        <f>IF(V44="","",IF(AND(V44="N/A - Culvert",C44&lt;&gt;"Culvert"),"Not possible ▲",IF(AND(C44="Culvert",V44&lt;&gt;"N/A - Culvert"),"Not possible ▲",IF(VLOOKUP(V44,'G-7 WaterC'' Data'!$AA$4:$AB$7,2,FALSE)=0,"Spatial Data Missing ⚠",VLOOKUP(V44,'G-7 WaterC'' Data'!$AA$4:$AB$7,2,FALSE)))))</f>
        <v/>
      </c>
      <c r="X44" s="56"/>
      <c r="Y44" s="276" t="str">
        <f>IF(X44="","",IF(AND(X44="N/A - Culvert",C44&lt;&gt;"Culvert"),"Not possible ▲",IF(AND(C44="Culvert",X44&lt;&gt;"N/A - Culvert"),"Not possible ▲",IF(VLOOKUP(X44,'G-7 WaterC'' Data'!$AD$4:$AE$14,2,FALSE)=0,"Enrcoachment Data Missing ⚠",VLOOKUP(X44,'G-7 WaterC'' Data'!$AD$4:$AE$14,2,FALSE)))))</f>
        <v/>
      </c>
      <c r="Z44" s="102"/>
      <c r="AA44" s="276" t="str">
        <f>IF(Z44="","",IF(VLOOKUP(Z44,'G-7 WaterC'' Data'!$AO$4:$BO$7,2,FALSE)=0,"Spatial Data Missing ⚠",VLOOKUP(Z44,'G-7 WaterC'' Data'!$AO$4:$BO$7,2,FALSE)))</f>
        <v/>
      </c>
      <c r="AB44" s="317" t="str">
        <f t="shared" si="4"/>
        <v/>
      </c>
      <c r="AC44" s="317" t="str">
        <f t="shared" si="5"/>
        <v/>
      </c>
      <c r="AD44" s="101"/>
      <c r="AE44" s="938"/>
      <c r="AF44" s="138"/>
      <c r="AG44" s="138"/>
      <c r="AH44" s="934"/>
      <c r="AL44" s="30" t="str">
        <f>IFERROR(INDEX('G-7 WaterC'' Data'!$AZ$3:$AZ$7,MATCH(C44,'G-7 WaterC'' Data'!$AY$3:$AY$7,0)),"")</f>
        <v/>
      </c>
      <c r="AN44" s="30" t="str">
        <f t="shared" si="6"/>
        <v>No</v>
      </c>
    </row>
    <row r="45" spans="2:40" ht="14">
      <c r="B45" s="97">
        <v>34</v>
      </c>
      <c r="C45" s="923"/>
      <c r="D45" s="115"/>
      <c r="E45" s="275" t="str">
        <f>IF(C45="","",VLOOKUP(C45,'G-7 WaterC'' Data'!$B$2:$Z$9,2,FALSE))</f>
        <v/>
      </c>
      <c r="F45" s="276" t="str">
        <f>IFERROR(VLOOKUP(E45,'G-7 WaterC'' Data'!$C$4:$D$8,2,FALSE),"")</f>
        <v/>
      </c>
      <c r="G45" s="52"/>
      <c r="H45" s="276" t="str">
        <f>IFERROR(INDEX('G-7 WaterC'' Data'!$H$4:$L$8,MATCH(C45,'G-7 WaterC'' Data'!$B$4:$B$8,0),MATCH(G45,'G-7 WaterC'' Data'!$H$3:$L$3,0)),"")</f>
        <v/>
      </c>
      <c r="I45" s="52"/>
      <c r="J45" s="314" t="str">
        <f>IF(I45="","",IF(VLOOKUP(I45,'G-7 WaterC'' Data'!$AK$4:$AM$6,2,FALSE)=0,"Spatial Data Missing ⚠",VLOOKUP(I45,'G-7 WaterC'' Data'!$AK$4:$AM$6,2,FALSE)))</f>
        <v/>
      </c>
      <c r="K45" s="276" t="str">
        <f>IF(I45="","",IF(VLOOKUP(I45,'G-7 WaterC'' Data'!$AK$4:$AM$6,3,FALSE)=0,"Spatial Data Missing ⚠",VLOOKUP(I45,'G-7 WaterC'' Data'!$AK$4:$AM$6,3,FALSE)))</f>
        <v/>
      </c>
      <c r="L45" s="372" t="str">
        <f>IFERROR(INDEX('G-7 WaterC'' Data'!$O$3:$O$7,MATCH(G45,'G-7 WaterC'' Data'!$N$3:$N$7,0)),"")</f>
        <v/>
      </c>
      <c r="M45" s="53"/>
      <c r="N45" s="133"/>
      <c r="O45" s="283" t="str">
        <f t="shared" si="0"/>
        <v/>
      </c>
      <c r="P45" s="296" t="str">
        <f t="shared" si="1"/>
        <v/>
      </c>
      <c r="Q45" s="334" t="str">
        <f>IFERROR(IF(P45="Check Data ⚠","Check Data ⚠",VLOOKUP(P45,'G-4 Temporal multipliers'!$A$4:$C$37,3,FALSE)),"")</f>
        <v/>
      </c>
      <c r="R45" s="275" t="str">
        <f>IF(C45="","",VLOOKUP(C45,'G-7 WaterC'' Data'!$B$4:$G$8,4,FALSE))</f>
        <v/>
      </c>
      <c r="S45" s="283" t="str">
        <f t="shared" si="2"/>
        <v/>
      </c>
      <c r="T45" s="314" t="str">
        <f t="shared" si="3"/>
        <v/>
      </c>
      <c r="U45" s="276" t="str">
        <f>IF(C45="","",VLOOKUP(T45,'G-3 Multipliers'!$P$2:$Q$6,2,FALSE))</f>
        <v/>
      </c>
      <c r="V45" s="102"/>
      <c r="W45" s="276" t="str">
        <f>IF(V45="","",IF(AND(V45="N/A - Culvert",C45&lt;&gt;"Culvert"),"Not possible ▲",IF(AND(C45="Culvert",V45&lt;&gt;"N/A - Culvert"),"Not possible ▲",IF(VLOOKUP(V45,'G-7 WaterC'' Data'!$AA$4:$AB$7,2,FALSE)=0,"Spatial Data Missing ⚠",VLOOKUP(V45,'G-7 WaterC'' Data'!$AA$4:$AB$7,2,FALSE)))))</f>
        <v/>
      </c>
      <c r="X45" s="56"/>
      <c r="Y45" s="276" t="str">
        <f>IF(X45="","",IF(AND(X45="N/A - Culvert",C45&lt;&gt;"Culvert"),"Not possible ▲",IF(AND(C45="Culvert",X45&lt;&gt;"N/A - Culvert"),"Not possible ▲",IF(VLOOKUP(X45,'G-7 WaterC'' Data'!$AD$4:$AE$14,2,FALSE)=0,"Enrcoachment Data Missing ⚠",VLOOKUP(X45,'G-7 WaterC'' Data'!$AD$4:$AE$14,2,FALSE)))))</f>
        <v/>
      </c>
      <c r="Z45" s="102"/>
      <c r="AA45" s="276" t="str">
        <f>IF(Z45="","",IF(VLOOKUP(Z45,'G-7 WaterC'' Data'!$AO$4:$BO$7,2,FALSE)=0,"Spatial Data Missing ⚠",VLOOKUP(Z45,'G-7 WaterC'' Data'!$AO$4:$BO$7,2,FALSE)))</f>
        <v/>
      </c>
      <c r="AB45" s="317" t="str">
        <f t="shared" si="4"/>
        <v/>
      </c>
      <c r="AC45" s="317" t="str">
        <f t="shared" si="5"/>
        <v/>
      </c>
      <c r="AD45" s="101"/>
      <c r="AE45" s="938"/>
      <c r="AF45" s="138"/>
      <c r="AG45" s="138"/>
      <c r="AH45" s="934"/>
      <c r="AL45" s="30" t="str">
        <f>IFERROR(INDEX('G-7 WaterC'' Data'!$AZ$3:$AZ$7,MATCH(C45,'G-7 WaterC'' Data'!$AY$3:$AY$7,0)),"")</f>
        <v/>
      </c>
      <c r="AN45" s="30" t="str">
        <f t="shared" si="6"/>
        <v>No</v>
      </c>
    </row>
    <row r="46" spans="2:40" ht="14">
      <c r="B46" s="97">
        <v>35</v>
      </c>
      <c r="C46" s="923"/>
      <c r="D46" s="115"/>
      <c r="E46" s="275" t="str">
        <f>IF(C46="","",VLOOKUP(C46,'G-7 WaterC'' Data'!$B$2:$Z$9,2,FALSE))</f>
        <v/>
      </c>
      <c r="F46" s="276" t="str">
        <f>IFERROR(VLOOKUP(E46,'G-7 WaterC'' Data'!$C$4:$D$8,2,FALSE),"")</f>
        <v/>
      </c>
      <c r="G46" s="52"/>
      <c r="H46" s="276" t="str">
        <f>IFERROR(INDEX('G-7 WaterC'' Data'!$H$4:$L$8,MATCH(C46,'G-7 WaterC'' Data'!$B$4:$B$8,0),MATCH(G46,'G-7 WaterC'' Data'!$H$3:$L$3,0)),"")</f>
        <v/>
      </c>
      <c r="I46" s="52"/>
      <c r="J46" s="314" t="str">
        <f>IF(I46="","",IF(VLOOKUP(I46,'G-7 WaterC'' Data'!$AK$4:$AM$6,2,FALSE)=0,"Spatial Data Missing ⚠",VLOOKUP(I46,'G-7 WaterC'' Data'!$AK$4:$AM$6,2,FALSE)))</f>
        <v/>
      </c>
      <c r="K46" s="276" t="str">
        <f>IF(I46="","",IF(VLOOKUP(I46,'G-7 WaterC'' Data'!$AK$4:$AM$6,3,FALSE)=0,"Spatial Data Missing ⚠",VLOOKUP(I46,'G-7 WaterC'' Data'!$AK$4:$AM$6,3,FALSE)))</f>
        <v/>
      </c>
      <c r="L46" s="372" t="str">
        <f>IFERROR(INDEX('G-7 WaterC'' Data'!$O$3:$O$7,MATCH(G46,'G-7 WaterC'' Data'!$N$3:$N$7,0)),"")</f>
        <v/>
      </c>
      <c r="M46" s="53"/>
      <c r="N46" s="133"/>
      <c r="O46" s="283" t="str">
        <f t="shared" si="0"/>
        <v/>
      </c>
      <c r="P46" s="296" t="str">
        <f t="shared" si="1"/>
        <v/>
      </c>
      <c r="Q46" s="334" t="str">
        <f>IFERROR(IF(P46="Check Data ⚠","Check Data ⚠",VLOOKUP(P46,'G-4 Temporal multipliers'!$A$4:$C$37,3,FALSE)),"")</f>
        <v/>
      </c>
      <c r="R46" s="275" t="str">
        <f>IF(C46="","",VLOOKUP(C46,'G-7 WaterC'' Data'!$B$4:$G$8,4,FALSE))</f>
        <v/>
      </c>
      <c r="S46" s="283" t="str">
        <f t="shared" si="2"/>
        <v/>
      </c>
      <c r="T46" s="314" t="str">
        <f t="shared" si="3"/>
        <v/>
      </c>
      <c r="U46" s="276" t="str">
        <f>IF(C46="","",VLOOKUP(T46,'G-3 Multipliers'!$P$2:$Q$6,2,FALSE))</f>
        <v/>
      </c>
      <c r="V46" s="102"/>
      <c r="W46" s="276" t="str">
        <f>IF(V46="","",IF(AND(V46="N/A - Culvert",C46&lt;&gt;"Culvert"),"Not possible ▲",IF(AND(C46="Culvert",V46&lt;&gt;"N/A - Culvert"),"Not possible ▲",IF(VLOOKUP(V46,'G-7 WaterC'' Data'!$AA$4:$AB$7,2,FALSE)=0,"Spatial Data Missing ⚠",VLOOKUP(V46,'G-7 WaterC'' Data'!$AA$4:$AB$7,2,FALSE)))))</f>
        <v/>
      </c>
      <c r="X46" s="56"/>
      <c r="Y46" s="276" t="str">
        <f>IF(X46="","",IF(AND(X46="N/A - Culvert",C46&lt;&gt;"Culvert"),"Not possible ▲",IF(AND(C46="Culvert",X46&lt;&gt;"N/A - Culvert"),"Not possible ▲",IF(VLOOKUP(X46,'G-7 WaterC'' Data'!$AD$4:$AE$14,2,FALSE)=0,"Enrcoachment Data Missing ⚠",VLOOKUP(X46,'G-7 WaterC'' Data'!$AD$4:$AE$14,2,FALSE)))))</f>
        <v/>
      </c>
      <c r="Z46" s="102"/>
      <c r="AA46" s="276" t="str">
        <f>IF(Z46="","",IF(VLOOKUP(Z46,'G-7 WaterC'' Data'!$AO$4:$BO$7,2,FALSE)=0,"Spatial Data Missing ⚠",VLOOKUP(Z46,'G-7 WaterC'' Data'!$AO$4:$BO$7,2,FALSE)))</f>
        <v/>
      </c>
      <c r="AB46" s="317" t="str">
        <f t="shared" si="4"/>
        <v/>
      </c>
      <c r="AC46" s="317" t="str">
        <f t="shared" si="5"/>
        <v/>
      </c>
      <c r="AD46" s="101"/>
      <c r="AE46" s="938"/>
      <c r="AF46" s="138"/>
      <c r="AG46" s="138"/>
      <c r="AH46" s="934"/>
      <c r="AL46" s="30" t="str">
        <f>IFERROR(INDEX('G-7 WaterC'' Data'!$AZ$3:$AZ$7,MATCH(C46,'G-7 WaterC'' Data'!$AY$3:$AY$7,0)),"")</f>
        <v/>
      </c>
      <c r="AN46" s="30" t="str">
        <f t="shared" si="6"/>
        <v>No</v>
      </c>
    </row>
    <row r="47" spans="2:40" ht="14">
      <c r="B47" s="97">
        <v>36</v>
      </c>
      <c r="C47" s="923"/>
      <c r="D47" s="115"/>
      <c r="E47" s="275" t="str">
        <f>IF(C47="","",VLOOKUP(C47,'G-7 WaterC'' Data'!$B$2:$Z$9,2,FALSE))</f>
        <v/>
      </c>
      <c r="F47" s="276" t="str">
        <f>IFERROR(VLOOKUP(E47,'G-7 WaterC'' Data'!$C$4:$D$8,2,FALSE),"")</f>
        <v/>
      </c>
      <c r="G47" s="52"/>
      <c r="H47" s="276" t="str">
        <f>IFERROR(INDEX('G-7 WaterC'' Data'!$H$4:$L$8,MATCH(C47,'G-7 WaterC'' Data'!$B$4:$B$8,0),MATCH(G47,'G-7 WaterC'' Data'!$H$3:$L$3,0)),"")</f>
        <v/>
      </c>
      <c r="I47" s="52"/>
      <c r="J47" s="314" t="str">
        <f>IF(I47="","",IF(VLOOKUP(I47,'G-7 WaterC'' Data'!$AK$4:$AM$6,2,FALSE)=0,"Spatial Data Missing ⚠",VLOOKUP(I47,'G-7 WaterC'' Data'!$AK$4:$AM$6,2,FALSE)))</f>
        <v/>
      </c>
      <c r="K47" s="276" t="str">
        <f>IF(I47="","",IF(VLOOKUP(I47,'G-7 WaterC'' Data'!$AK$4:$AM$6,3,FALSE)=0,"Spatial Data Missing ⚠",VLOOKUP(I47,'G-7 WaterC'' Data'!$AK$4:$AM$6,3,FALSE)))</f>
        <v/>
      </c>
      <c r="L47" s="372" t="str">
        <f>IFERROR(INDEX('G-7 WaterC'' Data'!$O$3:$O$7,MATCH(G47,'G-7 WaterC'' Data'!$N$3:$N$7,0)),"")</f>
        <v/>
      </c>
      <c r="M47" s="53"/>
      <c r="N47" s="133"/>
      <c r="O47" s="283" t="str">
        <f t="shared" si="0"/>
        <v/>
      </c>
      <c r="P47" s="296" t="str">
        <f t="shared" si="1"/>
        <v/>
      </c>
      <c r="Q47" s="334" t="str">
        <f>IFERROR(IF(P47="Check Data ⚠","Check Data ⚠",VLOOKUP(P47,'G-4 Temporal multipliers'!$A$4:$C$37,3,FALSE)),"")</f>
        <v/>
      </c>
      <c r="R47" s="275" t="str">
        <f>IF(C47="","",VLOOKUP(C47,'G-7 WaterC'' Data'!$B$4:$G$8,4,FALSE))</f>
        <v/>
      </c>
      <c r="S47" s="283" t="str">
        <f t="shared" si="2"/>
        <v/>
      </c>
      <c r="T47" s="314" t="str">
        <f t="shared" si="3"/>
        <v/>
      </c>
      <c r="U47" s="276" t="str">
        <f>IF(C47="","",VLOOKUP(T47,'G-3 Multipliers'!$P$2:$Q$6,2,FALSE))</f>
        <v/>
      </c>
      <c r="V47" s="102"/>
      <c r="W47" s="276" t="str">
        <f>IF(V47="","",IF(AND(V47="N/A - Culvert",C47&lt;&gt;"Culvert"),"Not possible ▲",IF(AND(C47="Culvert",V47&lt;&gt;"N/A - Culvert"),"Not possible ▲",IF(VLOOKUP(V47,'G-7 WaterC'' Data'!$AA$4:$AB$7,2,FALSE)=0,"Spatial Data Missing ⚠",VLOOKUP(V47,'G-7 WaterC'' Data'!$AA$4:$AB$7,2,FALSE)))))</f>
        <v/>
      </c>
      <c r="X47" s="56"/>
      <c r="Y47" s="276" t="str">
        <f>IF(X47="","",IF(AND(X47="N/A - Culvert",C47&lt;&gt;"Culvert"),"Not possible ▲",IF(AND(C47="Culvert",X47&lt;&gt;"N/A - Culvert"),"Not possible ▲",IF(VLOOKUP(X47,'G-7 WaterC'' Data'!$AD$4:$AE$14,2,FALSE)=0,"Enrcoachment Data Missing ⚠",VLOOKUP(X47,'G-7 WaterC'' Data'!$AD$4:$AE$14,2,FALSE)))))</f>
        <v/>
      </c>
      <c r="Z47" s="102"/>
      <c r="AA47" s="276" t="str">
        <f>IF(Z47="","",IF(VLOOKUP(Z47,'G-7 WaterC'' Data'!$AO$4:$BO$7,2,FALSE)=0,"Spatial Data Missing ⚠",VLOOKUP(Z47,'G-7 WaterC'' Data'!$AO$4:$BO$7,2,FALSE)))</f>
        <v/>
      </c>
      <c r="AB47" s="317" t="str">
        <f t="shared" si="4"/>
        <v/>
      </c>
      <c r="AC47" s="317" t="str">
        <f t="shared" si="5"/>
        <v/>
      </c>
      <c r="AD47" s="101"/>
      <c r="AE47" s="938"/>
      <c r="AF47" s="138"/>
      <c r="AG47" s="138"/>
      <c r="AH47" s="934"/>
      <c r="AL47" s="30" t="str">
        <f>IFERROR(INDEX('G-7 WaterC'' Data'!$AZ$3:$AZ$7,MATCH(C47,'G-7 WaterC'' Data'!$AY$3:$AY$7,0)),"")</f>
        <v/>
      </c>
      <c r="AN47" s="30" t="str">
        <f t="shared" si="6"/>
        <v>No</v>
      </c>
    </row>
    <row r="48" spans="2:40" ht="14">
      <c r="B48" s="97">
        <v>37</v>
      </c>
      <c r="C48" s="923"/>
      <c r="D48" s="115"/>
      <c r="E48" s="275" t="str">
        <f>IF(C48="","",VLOOKUP(C48,'G-7 WaterC'' Data'!$B$2:$Z$9,2,FALSE))</f>
        <v/>
      </c>
      <c r="F48" s="276" t="str">
        <f>IFERROR(VLOOKUP(E48,'G-7 WaterC'' Data'!$C$4:$D$8,2,FALSE),"")</f>
        <v/>
      </c>
      <c r="G48" s="52"/>
      <c r="H48" s="276" t="str">
        <f>IFERROR(INDEX('G-7 WaterC'' Data'!$H$4:$L$8,MATCH(C48,'G-7 WaterC'' Data'!$B$4:$B$8,0),MATCH(G48,'G-7 WaterC'' Data'!$H$3:$L$3,0)),"")</f>
        <v/>
      </c>
      <c r="I48" s="52"/>
      <c r="J48" s="314" t="str">
        <f>IF(I48="","",IF(VLOOKUP(I48,'G-7 WaterC'' Data'!$AK$4:$AM$6,2,FALSE)=0,"Spatial Data Missing ⚠",VLOOKUP(I48,'G-7 WaterC'' Data'!$AK$4:$AM$6,2,FALSE)))</f>
        <v/>
      </c>
      <c r="K48" s="276" t="str">
        <f>IF(I48="","",IF(VLOOKUP(I48,'G-7 WaterC'' Data'!$AK$4:$AM$6,3,FALSE)=0,"Spatial Data Missing ⚠",VLOOKUP(I48,'G-7 WaterC'' Data'!$AK$4:$AM$6,3,FALSE)))</f>
        <v/>
      </c>
      <c r="L48" s="372" t="str">
        <f>IFERROR(INDEX('G-7 WaterC'' Data'!$O$3:$O$7,MATCH(G48,'G-7 WaterC'' Data'!$N$3:$N$7,0)),"")</f>
        <v/>
      </c>
      <c r="M48" s="53"/>
      <c r="N48" s="133"/>
      <c r="O48" s="283" t="str">
        <f t="shared" si="0"/>
        <v/>
      </c>
      <c r="P48" s="296" t="str">
        <f t="shared" si="1"/>
        <v/>
      </c>
      <c r="Q48" s="334" t="str">
        <f>IFERROR(IF(P48="Check Data ⚠","Check Data ⚠",VLOOKUP(P48,'G-4 Temporal multipliers'!$A$4:$C$37,3,FALSE)),"")</f>
        <v/>
      </c>
      <c r="R48" s="275" t="str">
        <f>IF(C48="","",VLOOKUP(C48,'G-7 WaterC'' Data'!$B$4:$G$8,4,FALSE))</f>
        <v/>
      </c>
      <c r="S48" s="283" t="str">
        <f t="shared" si="2"/>
        <v/>
      </c>
      <c r="T48" s="314" t="str">
        <f t="shared" si="3"/>
        <v/>
      </c>
      <c r="U48" s="276" t="str">
        <f>IF(C48="","",VLOOKUP(T48,'G-3 Multipliers'!$P$2:$Q$6,2,FALSE))</f>
        <v/>
      </c>
      <c r="V48" s="102"/>
      <c r="W48" s="276" t="str">
        <f>IF(V48="","",IF(AND(V48="N/A - Culvert",C48&lt;&gt;"Culvert"),"Not possible ▲",IF(AND(C48="Culvert",V48&lt;&gt;"N/A - Culvert"),"Not possible ▲",IF(VLOOKUP(V48,'G-7 WaterC'' Data'!$AA$4:$AB$7,2,FALSE)=0,"Spatial Data Missing ⚠",VLOOKUP(V48,'G-7 WaterC'' Data'!$AA$4:$AB$7,2,FALSE)))))</f>
        <v/>
      </c>
      <c r="X48" s="56"/>
      <c r="Y48" s="276" t="str">
        <f>IF(X48="","",IF(AND(X48="N/A - Culvert",C48&lt;&gt;"Culvert"),"Not possible ▲",IF(AND(C48="Culvert",X48&lt;&gt;"N/A - Culvert"),"Not possible ▲",IF(VLOOKUP(X48,'G-7 WaterC'' Data'!$AD$4:$AE$14,2,FALSE)=0,"Enrcoachment Data Missing ⚠",VLOOKUP(X48,'G-7 WaterC'' Data'!$AD$4:$AE$14,2,FALSE)))))</f>
        <v/>
      </c>
      <c r="Z48" s="102"/>
      <c r="AA48" s="276" t="str">
        <f>IF(Z48="","",IF(VLOOKUP(Z48,'G-7 WaterC'' Data'!$AO$4:$BO$7,2,FALSE)=0,"Spatial Data Missing ⚠",VLOOKUP(Z48,'G-7 WaterC'' Data'!$AO$4:$BO$7,2,FALSE)))</f>
        <v/>
      </c>
      <c r="AB48" s="317" t="str">
        <f t="shared" si="4"/>
        <v/>
      </c>
      <c r="AC48" s="317" t="str">
        <f t="shared" si="5"/>
        <v/>
      </c>
      <c r="AD48" s="101"/>
      <c r="AE48" s="938"/>
      <c r="AF48" s="138"/>
      <c r="AG48" s="138"/>
      <c r="AH48" s="934"/>
      <c r="AL48" s="30" t="str">
        <f>IFERROR(INDEX('G-7 WaterC'' Data'!$AZ$3:$AZ$7,MATCH(C48,'G-7 WaterC'' Data'!$AY$3:$AY$7,0)),"")</f>
        <v/>
      </c>
      <c r="AN48" s="30" t="str">
        <f t="shared" si="6"/>
        <v>No</v>
      </c>
    </row>
    <row r="49" spans="2:40" ht="14">
      <c r="B49" s="97">
        <v>38</v>
      </c>
      <c r="C49" s="923"/>
      <c r="D49" s="115"/>
      <c r="E49" s="275" t="str">
        <f>IF(C49="","",VLOOKUP(C49,'G-7 WaterC'' Data'!$B$2:$Z$9,2,FALSE))</f>
        <v/>
      </c>
      <c r="F49" s="276" t="str">
        <f>IFERROR(VLOOKUP(E49,'G-7 WaterC'' Data'!$C$4:$D$8,2,FALSE),"")</f>
        <v/>
      </c>
      <c r="G49" s="52"/>
      <c r="H49" s="276" t="str">
        <f>IFERROR(INDEX('G-7 WaterC'' Data'!$H$4:$L$8,MATCH(C49,'G-7 WaterC'' Data'!$B$4:$B$8,0),MATCH(G49,'G-7 WaterC'' Data'!$H$3:$L$3,0)),"")</f>
        <v/>
      </c>
      <c r="I49" s="52"/>
      <c r="J49" s="314" t="str">
        <f>IF(I49="","",IF(VLOOKUP(I49,'G-7 WaterC'' Data'!$AK$4:$AM$6,2,FALSE)=0,"Spatial Data Missing ⚠",VLOOKUP(I49,'G-7 WaterC'' Data'!$AK$4:$AM$6,2,FALSE)))</f>
        <v/>
      </c>
      <c r="K49" s="276" t="str">
        <f>IF(I49="","",IF(VLOOKUP(I49,'G-7 WaterC'' Data'!$AK$4:$AM$6,3,FALSE)=0,"Spatial Data Missing ⚠",VLOOKUP(I49,'G-7 WaterC'' Data'!$AK$4:$AM$6,3,FALSE)))</f>
        <v/>
      </c>
      <c r="L49" s="372" t="str">
        <f>IFERROR(INDEX('G-7 WaterC'' Data'!$O$3:$O$7,MATCH(G49,'G-7 WaterC'' Data'!$N$3:$N$7,0)),"")</f>
        <v/>
      </c>
      <c r="M49" s="53"/>
      <c r="N49" s="133"/>
      <c r="O49" s="283" t="str">
        <f t="shared" si="0"/>
        <v/>
      </c>
      <c r="P49" s="296" t="str">
        <f t="shared" si="1"/>
        <v/>
      </c>
      <c r="Q49" s="334" t="str">
        <f>IFERROR(IF(P49="Check Data ⚠","Check Data ⚠",VLOOKUP(P49,'G-4 Temporal multipliers'!$A$4:$C$37,3,FALSE)),"")</f>
        <v/>
      </c>
      <c r="R49" s="275" t="str">
        <f>IF(C49="","",VLOOKUP(C49,'G-7 WaterC'' Data'!$B$4:$G$8,4,FALSE))</f>
        <v/>
      </c>
      <c r="S49" s="283" t="str">
        <f t="shared" si="2"/>
        <v/>
      </c>
      <c r="T49" s="314" t="str">
        <f t="shared" si="3"/>
        <v/>
      </c>
      <c r="U49" s="276" t="str">
        <f>IF(C49="","",VLOOKUP(T49,'G-3 Multipliers'!$P$2:$Q$6,2,FALSE))</f>
        <v/>
      </c>
      <c r="V49" s="102"/>
      <c r="W49" s="276" t="str">
        <f>IF(V49="","",IF(AND(V49="N/A - Culvert",C49&lt;&gt;"Culvert"),"Not possible ▲",IF(AND(C49="Culvert",V49&lt;&gt;"N/A - Culvert"),"Not possible ▲",IF(VLOOKUP(V49,'G-7 WaterC'' Data'!$AA$4:$AB$7,2,FALSE)=0,"Spatial Data Missing ⚠",VLOOKUP(V49,'G-7 WaterC'' Data'!$AA$4:$AB$7,2,FALSE)))))</f>
        <v/>
      </c>
      <c r="X49" s="56"/>
      <c r="Y49" s="276" t="str">
        <f>IF(X49="","",IF(AND(X49="N/A - Culvert",C49&lt;&gt;"Culvert"),"Not possible ▲",IF(AND(C49="Culvert",X49&lt;&gt;"N/A - Culvert"),"Not possible ▲",IF(VLOOKUP(X49,'G-7 WaterC'' Data'!$AD$4:$AE$14,2,FALSE)=0,"Enrcoachment Data Missing ⚠",VLOOKUP(X49,'G-7 WaterC'' Data'!$AD$4:$AE$14,2,FALSE)))))</f>
        <v/>
      </c>
      <c r="Z49" s="102"/>
      <c r="AA49" s="276" t="str">
        <f>IF(Z49="","",IF(VLOOKUP(Z49,'G-7 WaterC'' Data'!$AO$4:$BO$7,2,FALSE)=0,"Spatial Data Missing ⚠",VLOOKUP(Z49,'G-7 WaterC'' Data'!$AO$4:$BO$7,2,FALSE)))</f>
        <v/>
      </c>
      <c r="AB49" s="317" t="str">
        <f t="shared" si="4"/>
        <v/>
      </c>
      <c r="AC49" s="317" t="str">
        <f t="shared" si="5"/>
        <v/>
      </c>
      <c r="AD49" s="101"/>
      <c r="AE49" s="938"/>
      <c r="AF49" s="138"/>
      <c r="AG49" s="138"/>
      <c r="AH49" s="934"/>
      <c r="AL49" s="30" t="str">
        <f>IFERROR(INDEX('G-7 WaterC'' Data'!$AZ$3:$AZ$7,MATCH(C49,'G-7 WaterC'' Data'!$AY$3:$AY$7,0)),"")</f>
        <v/>
      </c>
      <c r="AN49" s="30" t="str">
        <f t="shared" si="6"/>
        <v>No</v>
      </c>
    </row>
    <row r="50" spans="2:40" ht="14">
      <c r="B50" s="97">
        <v>39</v>
      </c>
      <c r="C50" s="923"/>
      <c r="D50" s="115"/>
      <c r="E50" s="275" t="str">
        <f>IF(C50="","",VLOOKUP(C50,'G-7 WaterC'' Data'!$B$2:$Z$9,2,FALSE))</f>
        <v/>
      </c>
      <c r="F50" s="276" t="str">
        <f>IFERROR(VLOOKUP(E50,'G-7 WaterC'' Data'!$C$4:$D$8,2,FALSE),"")</f>
        <v/>
      </c>
      <c r="G50" s="52"/>
      <c r="H50" s="276" t="str">
        <f>IFERROR(INDEX('G-7 WaterC'' Data'!$H$4:$L$8,MATCH(C50,'G-7 WaterC'' Data'!$B$4:$B$8,0),MATCH(G50,'G-7 WaterC'' Data'!$H$3:$L$3,0)),"")</f>
        <v/>
      </c>
      <c r="I50" s="52"/>
      <c r="J50" s="314" t="str">
        <f>IF(I50="","",IF(VLOOKUP(I50,'G-7 WaterC'' Data'!$AK$4:$AM$6,2,FALSE)=0,"Spatial Data Missing ⚠",VLOOKUP(I50,'G-7 WaterC'' Data'!$AK$4:$AM$6,2,FALSE)))</f>
        <v/>
      </c>
      <c r="K50" s="276" t="str">
        <f>IF(I50="","",IF(VLOOKUP(I50,'G-7 WaterC'' Data'!$AK$4:$AM$6,3,FALSE)=0,"Spatial Data Missing ⚠",VLOOKUP(I50,'G-7 WaterC'' Data'!$AK$4:$AM$6,3,FALSE)))</f>
        <v/>
      </c>
      <c r="L50" s="372" t="str">
        <f>IFERROR(INDEX('G-7 WaterC'' Data'!$O$3:$O$7,MATCH(G50,'G-7 WaterC'' Data'!$N$3:$N$7,0)),"")</f>
        <v/>
      </c>
      <c r="M50" s="53"/>
      <c r="N50" s="133"/>
      <c r="O50" s="283" t="str">
        <f t="shared" si="0"/>
        <v/>
      </c>
      <c r="P50" s="296" t="str">
        <f t="shared" si="1"/>
        <v/>
      </c>
      <c r="Q50" s="334" t="str">
        <f>IFERROR(IF(P50="Check Data ⚠","Check Data ⚠",VLOOKUP(P50,'G-4 Temporal multipliers'!$A$4:$C$37,3,FALSE)),"")</f>
        <v/>
      </c>
      <c r="R50" s="275" t="str">
        <f>IF(C50="","",VLOOKUP(C50,'G-7 WaterC'' Data'!$B$4:$G$8,4,FALSE))</f>
        <v/>
      </c>
      <c r="S50" s="283" t="str">
        <f t="shared" si="2"/>
        <v/>
      </c>
      <c r="T50" s="314" t="str">
        <f t="shared" si="3"/>
        <v/>
      </c>
      <c r="U50" s="276" t="str">
        <f>IF(C50="","",VLOOKUP(T50,'G-3 Multipliers'!$P$2:$Q$6,2,FALSE))</f>
        <v/>
      </c>
      <c r="V50" s="102"/>
      <c r="W50" s="276" t="str">
        <f>IF(V50="","",IF(AND(V50="N/A - Culvert",C50&lt;&gt;"Culvert"),"Not possible ▲",IF(AND(C50="Culvert",V50&lt;&gt;"N/A - Culvert"),"Not possible ▲",IF(VLOOKUP(V50,'G-7 WaterC'' Data'!$AA$4:$AB$7,2,FALSE)=0,"Spatial Data Missing ⚠",VLOOKUP(V50,'G-7 WaterC'' Data'!$AA$4:$AB$7,2,FALSE)))))</f>
        <v/>
      </c>
      <c r="X50" s="56"/>
      <c r="Y50" s="276" t="str">
        <f>IF(X50="","",IF(AND(X50="N/A - Culvert",C50&lt;&gt;"Culvert"),"Not possible ▲",IF(AND(C50="Culvert",X50&lt;&gt;"N/A - Culvert"),"Not possible ▲",IF(VLOOKUP(X50,'G-7 WaterC'' Data'!$AD$4:$AE$14,2,FALSE)=0,"Enrcoachment Data Missing ⚠",VLOOKUP(X50,'G-7 WaterC'' Data'!$AD$4:$AE$14,2,FALSE)))))</f>
        <v/>
      </c>
      <c r="Z50" s="102"/>
      <c r="AA50" s="276" t="str">
        <f>IF(Z50="","",IF(VLOOKUP(Z50,'G-7 WaterC'' Data'!$AO$4:$BO$7,2,FALSE)=0,"Spatial Data Missing ⚠",VLOOKUP(Z50,'G-7 WaterC'' Data'!$AO$4:$BO$7,2,FALSE)))</f>
        <v/>
      </c>
      <c r="AB50" s="317" t="str">
        <f t="shared" si="4"/>
        <v/>
      </c>
      <c r="AC50" s="317" t="str">
        <f t="shared" si="5"/>
        <v/>
      </c>
      <c r="AD50" s="101"/>
      <c r="AE50" s="938"/>
      <c r="AF50" s="138"/>
      <c r="AG50" s="138"/>
      <c r="AH50" s="934"/>
      <c r="AL50" s="30" t="str">
        <f>IFERROR(INDEX('G-7 WaterC'' Data'!$AZ$3:$AZ$7,MATCH(C50,'G-7 WaterC'' Data'!$AY$3:$AY$7,0)),"")</f>
        <v/>
      </c>
      <c r="AN50" s="30" t="str">
        <f t="shared" si="6"/>
        <v>No</v>
      </c>
    </row>
    <row r="51" spans="2:40" ht="14">
      <c r="B51" s="97">
        <v>40</v>
      </c>
      <c r="C51" s="923"/>
      <c r="D51" s="115"/>
      <c r="E51" s="275" t="str">
        <f>IF(C51="","",VLOOKUP(C51,'G-7 WaterC'' Data'!$B$2:$Z$9,2,FALSE))</f>
        <v/>
      </c>
      <c r="F51" s="276" t="str">
        <f>IFERROR(VLOOKUP(E51,'G-7 WaterC'' Data'!$C$4:$D$8,2,FALSE),"")</f>
        <v/>
      </c>
      <c r="G51" s="52"/>
      <c r="H51" s="276" t="str">
        <f>IFERROR(INDEX('G-7 WaterC'' Data'!$H$4:$L$8,MATCH(C51,'G-7 WaterC'' Data'!$B$4:$B$8,0),MATCH(G51,'G-7 WaterC'' Data'!$H$3:$L$3,0)),"")</f>
        <v/>
      </c>
      <c r="I51" s="52"/>
      <c r="J51" s="314" t="str">
        <f>IF(I51="","",IF(VLOOKUP(I51,'G-7 WaterC'' Data'!$AK$4:$AM$6,2,FALSE)=0,"Spatial Data Missing ⚠",VLOOKUP(I51,'G-7 WaterC'' Data'!$AK$4:$AM$6,2,FALSE)))</f>
        <v/>
      </c>
      <c r="K51" s="276" t="str">
        <f>IF(I51="","",IF(VLOOKUP(I51,'G-7 WaterC'' Data'!$AK$4:$AM$6,3,FALSE)=0,"Spatial Data Missing ⚠",VLOOKUP(I51,'G-7 WaterC'' Data'!$AK$4:$AM$6,3,FALSE)))</f>
        <v/>
      </c>
      <c r="L51" s="372" t="str">
        <f>IFERROR(INDEX('G-7 WaterC'' Data'!$O$3:$O$7,MATCH(G51,'G-7 WaterC'' Data'!$N$3:$N$7,0)),"")</f>
        <v/>
      </c>
      <c r="M51" s="53"/>
      <c r="N51" s="133"/>
      <c r="O51" s="283" t="str">
        <f t="shared" si="0"/>
        <v/>
      </c>
      <c r="P51" s="296" t="str">
        <f t="shared" si="1"/>
        <v/>
      </c>
      <c r="Q51" s="334" t="str">
        <f>IFERROR(IF(P51="Check Data ⚠","Check Data ⚠",VLOOKUP(P51,'G-4 Temporal multipliers'!$A$4:$C$37,3,FALSE)),"")</f>
        <v/>
      </c>
      <c r="R51" s="275" t="str">
        <f>IF(C51="","",VLOOKUP(C51,'G-7 WaterC'' Data'!$B$4:$G$8,4,FALSE))</f>
        <v/>
      </c>
      <c r="S51" s="283" t="str">
        <f t="shared" si="2"/>
        <v/>
      </c>
      <c r="T51" s="314" t="str">
        <f t="shared" si="3"/>
        <v/>
      </c>
      <c r="U51" s="276" t="str">
        <f>IF(C51="","",VLOOKUP(T51,'G-3 Multipliers'!$P$2:$Q$6,2,FALSE))</f>
        <v/>
      </c>
      <c r="V51" s="102"/>
      <c r="W51" s="276" t="str">
        <f>IF(V51="","",IF(AND(V51="N/A - Culvert",C51&lt;&gt;"Culvert"),"Not possible ▲",IF(AND(C51="Culvert",V51&lt;&gt;"N/A - Culvert"),"Not possible ▲",IF(VLOOKUP(V51,'G-7 WaterC'' Data'!$AA$4:$AB$7,2,FALSE)=0,"Spatial Data Missing ⚠",VLOOKUP(V51,'G-7 WaterC'' Data'!$AA$4:$AB$7,2,FALSE)))))</f>
        <v/>
      </c>
      <c r="X51" s="56"/>
      <c r="Y51" s="276" t="str">
        <f>IF(X51="","",IF(AND(X51="N/A - Culvert",C51&lt;&gt;"Culvert"),"Not possible ▲",IF(AND(C51="Culvert",X51&lt;&gt;"N/A - Culvert"),"Not possible ▲",IF(VLOOKUP(X51,'G-7 WaterC'' Data'!$AD$4:$AE$14,2,FALSE)=0,"Enrcoachment Data Missing ⚠",VLOOKUP(X51,'G-7 WaterC'' Data'!$AD$4:$AE$14,2,FALSE)))))</f>
        <v/>
      </c>
      <c r="Z51" s="102"/>
      <c r="AA51" s="276" t="str">
        <f>IF(Z51="","",IF(VLOOKUP(Z51,'G-7 WaterC'' Data'!$AO$4:$BO$7,2,FALSE)=0,"Spatial Data Missing ⚠",VLOOKUP(Z51,'G-7 WaterC'' Data'!$AO$4:$BO$7,2,FALSE)))</f>
        <v/>
      </c>
      <c r="AB51" s="317" t="str">
        <f t="shared" si="4"/>
        <v/>
      </c>
      <c r="AC51" s="317" t="str">
        <f t="shared" si="5"/>
        <v/>
      </c>
      <c r="AD51" s="101"/>
      <c r="AE51" s="938"/>
      <c r="AF51" s="138"/>
      <c r="AG51" s="138"/>
      <c r="AH51" s="934"/>
      <c r="AL51" s="30" t="str">
        <f>IFERROR(INDEX('G-7 WaterC'' Data'!$AZ$3:$AZ$7,MATCH(C51,'G-7 WaterC'' Data'!$AY$3:$AY$7,0)),"")</f>
        <v/>
      </c>
      <c r="AN51" s="30" t="str">
        <f t="shared" si="6"/>
        <v>No</v>
      </c>
    </row>
    <row r="52" spans="2:40" ht="14">
      <c r="B52" s="97">
        <v>41</v>
      </c>
      <c r="C52" s="923"/>
      <c r="D52" s="115"/>
      <c r="E52" s="275" t="str">
        <f>IF(C52="","",VLOOKUP(C52,'G-7 WaterC'' Data'!$B$2:$Z$9,2,FALSE))</f>
        <v/>
      </c>
      <c r="F52" s="276" t="str">
        <f>IFERROR(VLOOKUP(E52,'G-7 WaterC'' Data'!$C$4:$D$8,2,FALSE),"")</f>
        <v/>
      </c>
      <c r="G52" s="52"/>
      <c r="H52" s="276" t="str">
        <f>IFERROR(INDEX('G-7 WaterC'' Data'!$H$4:$L$8,MATCH(C52,'G-7 WaterC'' Data'!$B$4:$B$8,0),MATCH(G52,'G-7 WaterC'' Data'!$H$3:$L$3,0)),"")</f>
        <v/>
      </c>
      <c r="I52" s="52"/>
      <c r="J52" s="314" t="str">
        <f>IF(I52="","",IF(VLOOKUP(I52,'G-7 WaterC'' Data'!$AK$4:$AM$6,2,FALSE)=0,"Spatial Data Missing ⚠",VLOOKUP(I52,'G-7 WaterC'' Data'!$AK$4:$AM$6,2,FALSE)))</f>
        <v/>
      </c>
      <c r="K52" s="276" t="str">
        <f>IF(I52="","",IF(VLOOKUP(I52,'G-7 WaterC'' Data'!$AK$4:$AM$6,3,FALSE)=0,"Spatial Data Missing ⚠",VLOOKUP(I52,'G-7 WaterC'' Data'!$AK$4:$AM$6,3,FALSE)))</f>
        <v/>
      </c>
      <c r="L52" s="372" t="str">
        <f>IFERROR(INDEX('G-7 WaterC'' Data'!$O$3:$O$7,MATCH(G52,'G-7 WaterC'' Data'!$N$3:$N$7,0)),"")</f>
        <v/>
      </c>
      <c r="M52" s="53"/>
      <c r="N52" s="133"/>
      <c r="O52" s="283" t="str">
        <f t="shared" si="0"/>
        <v/>
      </c>
      <c r="P52" s="296" t="str">
        <f t="shared" si="1"/>
        <v/>
      </c>
      <c r="Q52" s="334" t="str">
        <f>IFERROR(IF(P52="Check Data ⚠","Check Data ⚠",VLOOKUP(P52,'G-4 Temporal multipliers'!$A$4:$C$37,3,FALSE)),"")</f>
        <v/>
      </c>
      <c r="R52" s="275" t="str">
        <f>IF(C52="","",VLOOKUP(C52,'G-7 WaterC'' Data'!$B$4:$G$8,4,FALSE))</f>
        <v/>
      </c>
      <c r="S52" s="283" t="str">
        <f t="shared" si="2"/>
        <v/>
      </c>
      <c r="T52" s="314" t="str">
        <f t="shared" si="3"/>
        <v/>
      </c>
      <c r="U52" s="276" t="str">
        <f>IF(C52="","",VLOOKUP(T52,'G-3 Multipliers'!$P$2:$Q$6,2,FALSE))</f>
        <v/>
      </c>
      <c r="V52" s="102"/>
      <c r="W52" s="276" t="str">
        <f>IF(V52="","",IF(AND(V52="N/A - Culvert",C52&lt;&gt;"Culvert"),"Not possible ▲",IF(AND(C52="Culvert",V52&lt;&gt;"N/A - Culvert"),"Not possible ▲",IF(VLOOKUP(V52,'G-7 WaterC'' Data'!$AA$4:$AB$7,2,FALSE)=0,"Spatial Data Missing ⚠",VLOOKUP(V52,'G-7 WaterC'' Data'!$AA$4:$AB$7,2,FALSE)))))</f>
        <v/>
      </c>
      <c r="X52" s="56"/>
      <c r="Y52" s="276" t="str">
        <f>IF(X52="","",IF(AND(X52="N/A - Culvert",C52&lt;&gt;"Culvert"),"Not possible ▲",IF(AND(C52="Culvert",X52&lt;&gt;"N/A - Culvert"),"Not possible ▲",IF(VLOOKUP(X52,'G-7 WaterC'' Data'!$AD$4:$AE$14,2,FALSE)=0,"Enrcoachment Data Missing ⚠",VLOOKUP(X52,'G-7 WaterC'' Data'!$AD$4:$AE$14,2,FALSE)))))</f>
        <v/>
      </c>
      <c r="Z52" s="102"/>
      <c r="AA52" s="276" t="str">
        <f>IF(Z52="","",IF(VLOOKUP(Z52,'G-7 WaterC'' Data'!$AO$4:$BO$7,2,FALSE)=0,"Spatial Data Missing ⚠",VLOOKUP(Z52,'G-7 WaterC'' Data'!$AO$4:$BO$7,2,FALSE)))</f>
        <v/>
      </c>
      <c r="AB52" s="317" t="str">
        <f t="shared" si="4"/>
        <v/>
      </c>
      <c r="AC52" s="317" t="str">
        <f t="shared" si="5"/>
        <v/>
      </c>
      <c r="AD52" s="101"/>
      <c r="AE52" s="938"/>
      <c r="AF52" s="138"/>
      <c r="AG52" s="138"/>
      <c r="AH52" s="934"/>
      <c r="AL52" s="30" t="str">
        <f>IFERROR(INDEX('G-7 WaterC'' Data'!$AZ$3:$AZ$7,MATCH(C52,'G-7 WaterC'' Data'!$AY$3:$AY$7,0)),"")</f>
        <v/>
      </c>
      <c r="AN52" s="30" t="str">
        <f t="shared" si="6"/>
        <v>No</v>
      </c>
    </row>
    <row r="53" spans="2:40" ht="14">
      <c r="B53" s="97">
        <v>42</v>
      </c>
      <c r="C53" s="923"/>
      <c r="D53" s="115"/>
      <c r="E53" s="275" t="str">
        <f>IF(C53="","",VLOOKUP(C53,'G-7 WaterC'' Data'!$B$2:$Z$9,2,FALSE))</f>
        <v/>
      </c>
      <c r="F53" s="276" t="str">
        <f>IFERROR(VLOOKUP(E53,'G-7 WaterC'' Data'!$C$4:$D$8,2,FALSE),"")</f>
        <v/>
      </c>
      <c r="G53" s="52"/>
      <c r="H53" s="276" t="str">
        <f>IFERROR(INDEX('G-7 WaterC'' Data'!$H$4:$L$8,MATCH(C53,'G-7 WaterC'' Data'!$B$4:$B$8,0),MATCH(G53,'G-7 WaterC'' Data'!$H$3:$L$3,0)),"")</f>
        <v/>
      </c>
      <c r="I53" s="52"/>
      <c r="J53" s="314" t="str">
        <f>IF(I53="","",IF(VLOOKUP(I53,'G-7 WaterC'' Data'!$AK$4:$AM$6,2,FALSE)=0,"Spatial Data Missing ⚠",VLOOKUP(I53,'G-7 WaterC'' Data'!$AK$4:$AM$6,2,FALSE)))</f>
        <v/>
      </c>
      <c r="K53" s="276" t="str">
        <f>IF(I53="","",IF(VLOOKUP(I53,'G-7 WaterC'' Data'!$AK$4:$AM$6,3,FALSE)=0,"Spatial Data Missing ⚠",VLOOKUP(I53,'G-7 WaterC'' Data'!$AK$4:$AM$6,3,FALSE)))</f>
        <v/>
      </c>
      <c r="L53" s="372" t="str">
        <f>IFERROR(INDEX('G-7 WaterC'' Data'!$O$3:$O$7,MATCH(G53,'G-7 WaterC'' Data'!$N$3:$N$7,0)),"")</f>
        <v/>
      </c>
      <c r="M53" s="53"/>
      <c r="N53" s="133"/>
      <c r="O53" s="283" t="str">
        <f t="shared" si="0"/>
        <v/>
      </c>
      <c r="P53" s="296" t="str">
        <f t="shared" si="1"/>
        <v/>
      </c>
      <c r="Q53" s="334" t="str">
        <f>IFERROR(IF(P53="Check Data ⚠","Check Data ⚠",VLOOKUP(P53,'G-4 Temporal multipliers'!$A$4:$C$37,3,FALSE)),"")</f>
        <v/>
      </c>
      <c r="R53" s="275" t="str">
        <f>IF(C53="","",VLOOKUP(C53,'G-7 WaterC'' Data'!$B$4:$G$8,4,FALSE))</f>
        <v/>
      </c>
      <c r="S53" s="283" t="str">
        <f t="shared" si="2"/>
        <v/>
      </c>
      <c r="T53" s="314" t="str">
        <f t="shared" si="3"/>
        <v/>
      </c>
      <c r="U53" s="276" t="str">
        <f>IF(C53="","",VLOOKUP(T53,'G-3 Multipliers'!$P$2:$Q$6,2,FALSE))</f>
        <v/>
      </c>
      <c r="V53" s="102"/>
      <c r="W53" s="276" t="str">
        <f>IF(V53="","",IF(AND(V53="N/A - Culvert",C53&lt;&gt;"Culvert"),"Not possible ▲",IF(AND(C53="Culvert",V53&lt;&gt;"N/A - Culvert"),"Not possible ▲",IF(VLOOKUP(V53,'G-7 WaterC'' Data'!$AA$4:$AB$7,2,FALSE)=0,"Spatial Data Missing ⚠",VLOOKUP(V53,'G-7 WaterC'' Data'!$AA$4:$AB$7,2,FALSE)))))</f>
        <v/>
      </c>
      <c r="X53" s="56"/>
      <c r="Y53" s="276" t="str">
        <f>IF(X53="","",IF(AND(X53="N/A - Culvert",C53&lt;&gt;"Culvert"),"Not possible ▲",IF(AND(C53="Culvert",X53&lt;&gt;"N/A - Culvert"),"Not possible ▲",IF(VLOOKUP(X53,'G-7 WaterC'' Data'!$AD$4:$AE$14,2,FALSE)=0,"Enrcoachment Data Missing ⚠",VLOOKUP(X53,'G-7 WaterC'' Data'!$AD$4:$AE$14,2,FALSE)))))</f>
        <v/>
      </c>
      <c r="Z53" s="102"/>
      <c r="AA53" s="276" t="str">
        <f>IF(Z53="","",IF(VLOOKUP(Z53,'G-7 WaterC'' Data'!$AO$4:$BO$7,2,FALSE)=0,"Spatial Data Missing ⚠",VLOOKUP(Z53,'G-7 WaterC'' Data'!$AO$4:$BO$7,2,FALSE)))</f>
        <v/>
      </c>
      <c r="AB53" s="317" t="str">
        <f t="shared" si="4"/>
        <v/>
      </c>
      <c r="AC53" s="317" t="str">
        <f t="shared" si="5"/>
        <v/>
      </c>
      <c r="AD53" s="101"/>
      <c r="AE53" s="938"/>
      <c r="AF53" s="138"/>
      <c r="AG53" s="138"/>
      <c r="AH53" s="934"/>
      <c r="AL53" s="30" t="str">
        <f>IFERROR(INDEX('G-7 WaterC'' Data'!$AZ$3:$AZ$7,MATCH(C53,'G-7 WaterC'' Data'!$AY$3:$AY$7,0)),"")</f>
        <v/>
      </c>
      <c r="AN53" s="30" t="str">
        <f t="shared" si="6"/>
        <v>No</v>
      </c>
    </row>
    <row r="54" spans="2:40" ht="14">
      <c r="B54" s="97">
        <v>43</v>
      </c>
      <c r="C54" s="923"/>
      <c r="D54" s="115"/>
      <c r="E54" s="275" t="str">
        <f>IF(C54="","",VLOOKUP(C54,'G-7 WaterC'' Data'!$B$2:$Z$9,2,FALSE))</f>
        <v/>
      </c>
      <c r="F54" s="276" t="str">
        <f>IFERROR(VLOOKUP(E54,'G-7 WaterC'' Data'!$C$4:$D$8,2,FALSE),"")</f>
        <v/>
      </c>
      <c r="G54" s="52"/>
      <c r="H54" s="276" t="str">
        <f>IFERROR(INDEX('G-7 WaterC'' Data'!$H$4:$L$8,MATCH(C54,'G-7 WaterC'' Data'!$B$4:$B$8,0),MATCH(G54,'G-7 WaterC'' Data'!$H$3:$L$3,0)),"")</f>
        <v/>
      </c>
      <c r="I54" s="52"/>
      <c r="J54" s="314" t="str">
        <f>IF(I54="","",IF(VLOOKUP(I54,'G-7 WaterC'' Data'!$AK$4:$AM$6,2,FALSE)=0,"Spatial Data Missing ⚠",VLOOKUP(I54,'G-7 WaterC'' Data'!$AK$4:$AM$6,2,FALSE)))</f>
        <v/>
      </c>
      <c r="K54" s="276" t="str">
        <f>IF(I54="","",IF(VLOOKUP(I54,'G-7 WaterC'' Data'!$AK$4:$AM$6,3,FALSE)=0,"Spatial Data Missing ⚠",VLOOKUP(I54,'G-7 WaterC'' Data'!$AK$4:$AM$6,3,FALSE)))</f>
        <v/>
      </c>
      <c r="L54" s="372" t="str">
        <f>IFERROR(INDEX('G-7 WaterC'' Data'!$O$3:$O$7,MATCH(G54,'G-7 WaterC'' Data'!$N$3:$N$7,0)),"")</f>
        <v/>
      </c>
      <c r="M54" s="53"/>
      <c r="N54" s="133"/>
      <c r="O54" s="283" t="str">
        <f t="shared" si="0"/>
        <v/>
      </c>
      <c r="P54" s="296" t="str">
        <f t="shared" si="1"/>
        <v/>
      </c>
      <c r="Q54" s="334" t="str">
        <f>IFERROR(IF(P54="Check Data ⚠","Check Data ⚠",VLOOKUP(P54,'G-4 Temporal multipliers'!$A$4:$C$37,3,FALSE)),"")</f>
        <v/>
      </c>
      <c r="R54" s="275" t="str">
        <f>IF(C54="","",VLOOKUP(C54,'G-7 WaterC'' Data'!$B$4:$G$8,4,FALSE))</f>
        <v/>
      </c>
      <c r="S54" s="283" t="str">
        <f t="shared" si="2"/>
        <v/>
      </c>
      <c r="T54" s="314" t="str">
        <f t="shared" si="3"/>
        <v/>
      </c>
      <c r="U54" s="276" t="str">
        <f>IF(C54="","",VLOOKUP(T54,'G-3 Multipliers'!$P$2:$Q$6,2,FALSE))</f>
        <v/>
      </c>
      <c r="V54" s="102"/>
      <c r="W54" s="276" t="str">
        <f>IF(V54="","",IF(AND(V54="N/A - Culvert",C54&lt;&gt;"Culvert"),"Not possible ▲",IF(AND(C54="Culvert",V54&lt;&gt;"N/A - Culvert"),"Not possible ▲",IF(VLOOKUP(V54,'G-7 WaterC'' Data'!$AA$4:$AB$7,2,FALSE)=0,"Spatial Data Missing ⚠",VLOOKUP(V54,'G-7 WaterC'' Data'!$AA$4:$AB$7,2,FALSE)))))</f>
        <v/>
      </c>
      <c r="X54" s="56"/>
      <c r="Y54" s="276" t="str">
        <f>IF(X54="","",IF(AND(X54="N/A - Culvert",C54&lt;&gt;"Culvert"),"Not possible ▲",IF(AND(C54="Culvert",X54&lt;&gt;"N/A - Culvert"),"Not possible ▲",IF(VLOOKUP(X54,'G-7 WaterC'' Data'!$AD$4:$AE$14,2,FALSE)=0,"Enrcoachment Data Missing ⚠",VLOOKUP(X54,'G-7 WaterC'' Data'!$AD$4:$AE$14,2,FALSE)))))</f>
        <v/>
      </c>
      <c r="Z54" s="102"/>
      <c r="AA54" s="276" t="str">
        <f>IF(Z54="","",IF(VLOOKUP(Z54,'G-7 WaterC'' Data'!$AO$4:$BO$7,2,FALSE)=0,"Spatial Data Missing ⚠",VLOOKUP(Z54,'G-7 WaterC'' Data'!$AO$4:$BO$7,2,FALSE)))</f>
        <v/>
      </c>
      <c r="AB54" s="317" t="str">
        <f t="shared" si="4"/>
        <v/>
      </c>
      <c r="AC54" s="317" t="str">
        <f t="shared" si="5"/>
        <v/>
      </c>
      <c r="AD54" s="101"/>
      <c r="AE54" s="938"/>
      <c r="AF54" s="138"/>
      <c r="AG54" s="138"/>
      <c r="AH54" s="934"/>
      <c r="AL54" s="30" t="str">
        <f>IFERROR(INDEX('G-7 WaterC'' Data'!$AZ$3:$AZ$7,MATCH(C54,'G-7 WaterC'' Data'!$AY$3:$AY$7,0)),"")</f>
        <v/>
      </c>
      <c r="AN54" s="30" t="str">
        <f t="shared" si="6"/>
        <v>No</v>
      </c>
    </row>
    <row r="55" spans="2:40" ht="14">
      <c r="B55" s="97">
        <v>44</v>
      </c>
      <c r="C55" s="923"/>
      <c r="D55" s="115"/>
      <c r="E55" s="275" t="str">
        <f>IF(C55="","",VLOOKUP(C55,'G-7 WaterC'' Data'!$B$2:$Z$9,2,FALSE))</f>
        <v/>
      </c>
      <c r="F55" s="276" t="str">
        <f>IFERROR(VLOOKUP(E55,'G-7 WaterC'' Data'!$C$4:$D$8,2,FALSE),"")</f>
        <v/>
      </c>
      <c r="G55" s="52"/>
      <c r="H55" s="276" t="str">
        <f>IFERROR(INDEX('G-7 WaterC'' Data'!$H$4:$L$8,MATCH(C55,'G-7 WaterC'' Data'!$B$4:$B$8,0),MATCH(G55,'G-7 WaterC'' Data'!$H$3:$L$3,0)),"")</f>
        <v/>
      </c>
      <c r="I55" s="52"/>
      <c r="J55" s="314" t="str">
        <f>IF(I55="","",IF(VLOOKUP(I55,'G-7 WaterC'' Data'!$AK$4:$AM$6,2,FALSE)=0,"Spatial Data Missing ⚠",VLOOKUP(I55,'G-7 WaterC'' Data'!$AK$4:$AM$6,2,FALSE)))</f>
        <v/>
      </c>
      <c r="K55" s="276" t="str">
        <f>IF(I55="","",IF(VLOOKUP(I55,'G-7 WaterC'' Data'!$AK$4:$AM$6,3,FALSE)=0,"Spatial Data Missing ⚠",VLOOKUP(I55,'G-7 WaterC'' Data'!$AK$4:$AM$6,3,FALSE)))</f>
        <v/>
      </c>
      <c r="L55" s="372" t="str">
        <f>IFERROR(INDEX('G-7 WaterC'' Data'!$O$3:$O$7,MATCH(G55,'G-7 WaterC'' Data'!$N$3:$N$7,0)),"")</f>
        <v/>
      </c>
      <c r="M55" s="53"/>
      <c r="N55" s="133"/>
      <c r="O55" s="283" t="str">
        <f t="shared" si="0"/>
        <v/>
      </c>
      <c r="P55" s="296" t="str">
        <f t="shared" si="1"/>
        <v/>
      </c>
      <c r="Q55" s="334" t="str">
        <f>IFERROR(IF(P55="Check Data ⚠","Check Data ⚠",VLOOKUP(P55,'G-4 Temporal multipliers'!$A$4:$C$37,3,FALSE)),"")</f>
        <v/>
      </c>
      <c r="R55" s="275" t="str">
        <f>IF(C55="","",VLOOKUP(C55,'G-7 WaterC'' Data'!$B$4:$G$8,4,FALSE))</f>
        <v/>
      </c>
      <c r="S55" s="283" t="str">
        <f t="shared" si="2"/>
        <v/>
      </c>
      <c r="T55" s="314" t="str">
        <f t="shared" si="3"/>
        <v/>
      </c>
      <c r="U55" s="276" t="str">
        <f>IF(C55="","",VLOOKUP(T55,'G-3 Multipliers'!$P$2:$Q$6,2,FALSE))</f>
        <v/>
      </c>
      <c r="V55" s="102"/>
      <c r="W55" s="276" t="str">
        <f>IF(V55="","",IF(AND(V55="N/A - Culvert",C55&lt;&gt;"Culvert"),"Not possible ▲",IF(AND(C55="Culvert",V55&lt;&gt;"N/A - Culvert"),"Not possible ▲",IF(VLOOKUP(V55,'G-7 WaterC'' Data'!$AA$4:$AB$7,2,FALSE)=0,"Spatial Data Missing ⚠",VLOOKUP(V55,'G-7 WaterC'' Data'!$AA$4:$AB$7,2,FALSE)))))</f>
        <v/>
      </c>
      <c r="X55" s="56"/>
      <c r="Y55" s="276" t="str">
        <f>IF(X55="","",IF(AND(X55="N/A - Culvert",C55&lt;&gt;"Culvert"),"Not possible ▲",IF(AND(C55="Culvert",X55&lt;&gt;"N/A - Culvert"),"Not possible ▲",IF(VLOOKUP(X55,'G-7 WaterC'' Data'!$AD$4:$AE$14,2,FALSE)=0,"Enrcoachment Data Missing ⚠",VLOOKUP(X55,'G-7 WaterC'' Data'!$AD$4:$AE$14,2,FALSE)))))</f>
        <v/>
      </c>
      <c r="Z55" s="102"/>
      <c r="AA55" s="276" t="str">
        <f>IF(Z55="","",IF(VLOOKUP(Z55,'G-7 WaterC'' Data'!$AO$4:$BO$7,2,FALSE)=0,"Spatial Data Missing ⚠",VLOOKUP(Z55,'G-7 WaterC'' Data'!$AO$4:$BO$7,2,FALSE)))</f>
        <v/>
      </c>
      <c r="AB55" s="317" t="str">
        <f t="shared" si="4"/>
        <v/>
      </c>
      <c r="AC55" s="317" t="str">
        <f t="shared" si="5"/>
        <v/>
      </c>
      <c r="AD55" s="101"/>
      <c r="AE55" s="938"/>
      <c r="AF55" s="138"/>
      <c r="AG55" s="138"/>
      <c r="AH55" s="934"/>
      <c r="AL55" s="30" t="str">
        <f>IFERROR(INDEX('G-7 WaterC'' Data'!$AZ$3:$AZ$7,MATCH(C55,'G-7 WaterC'' Data'!$AY$3:$AY$7,0)),"")</f>
        <v/>
      </c>
      <c r="AN55" s="30" t="str">
        <f t="shared" si="6"/>
        <v>No</v>
      </c>
    </row>
    <row r="56" spans="2:40" ht="14">
      <c r="B56" s="97">
        <v>45</v>
      </c>
      <c r="C56" s="923"/>
      <c r="D56" s="115"/>
      <c r="E56" s="275" t="str">
        <f>IF(C56="","",VLOOKUP(C56,'G-7 WaterC'' Data'!$B$2:$Z$9,2,FALSE))</f>
        <v/>
      </c>
      <c r="F56" s="276" t="str">
        <f>IFERROR(VLOOKUP(E56,'G-7 WaterC'' Data'!$C$4:$D$8,2,FALSE),"")</f>
        <v/>
      </c>
      <c r="G56" s="52"/>
      <c r="H56" s="276" t="str">
        <f>IFERROR(INDEX('G-7 WaterC'' Data'!$H$4:$L$8,MATCH(C56,'G-7 WaterC'' Data'!$B$4:$B$8,0),MATCH(G56,'G-7 WaterC'' Data'!$H$3:$L$3,0)),"")</f>
        <v/>
      </c>
      <c r="I56" s="52"/>
      <c r="J56" s="314" t="str">
        <f>IF(I56="","",IF(VLOOKUP(I56,'G-7 WaterC'' Data'!$AK$4:$AM$6,2,FALSE)=0,"Spatial Data Missing ⚠",VLOOKUP(I56,'G-7 WaterC'' Data'!$AK$4:$AM$6,2,FALSE)))</f>
        <v/>
      </c>
      <c r="K56" s="276" t="str">
        <f>IF(I56="","",IF(VLOOKUP(I56,'G-7 WaterC'' Data'!$AK$4:$AM$6,3,FALSE)=0,"Spatial Data Missing ⚠",VLOOKUP(I56,'G-7 WaterC'' Data'!$AK$4:$AM$6,3,FALSE)))</f>
        <v/>
      </c>
      <c r="L56" s="372" t="str">
        <f>IFERROR(INDEX('G-7 WaterC'' Data'!$O$3:$O$7,MATCH(G56,'G-7 WaterC'' Data'!$N$3:$N$7,0)),"")</f>
        <v/>
      </c>
      <c r="M56" s="53"/>
      <c r="N56" s="133"/>
      <c r="O56" s="283" t="str">
        <f t="shared" si="0"/>
        <v/>
      </c>
      <c r="P56" s="296" t="str">
        <f t="shared" si="1"/>
        <v/>
      </c>
      <c r="Q56" s="334" t="str">
        <f>IFERROR(IF(P56="Check Data ⚠","Check Data ⚠",VLOOKUP(P56,'G-4 Temporal multipliers'!$A$4:$C$37,3,FALSE)),"")</f>
        <v/>
      </c>
      <c r="R56" s="275" t="str">
        <f>IF(C56="","",VLOOKUP(C56,'G-7 WaterC'' Data'!$B$4:$G$8,4,FALSE))</f>
        <v/>
      </c>
      <c r="S56" s="283" t="str">
        <f t="shared" si="2"/>
        <v/>
      </c>
      <c r="T56" s="314" t="str">
        <f t="shared" si="3"/>
        <v/>
      </c>
      <c r="U56" s="276" t="str">
        <f>IF(C56="","",VLOOKUP(T56,'G-3 Multipliers'!$P$2:$Q$6,2,FALSE))</f>
        <v/>
      </c>
      <c r="V56" s="102"/>
      <c r="W56" s="276" t="str">
        <f>IF(V56="","",IF(AND(V56="N/A - Culvert",C56&lt;&gt;"Culvert"),"Not possible ▲",IF(AND(C56="Culvert",V56&lt;&gt;"N/A - Culvert"),"Not possible ▲",IF(VLOOKUP(V56,'G-7 WaterC'' Data'!$AA$4:$AB$7,2,FALSE)=0,"Spatial Data Missing ⚠",VLOOKUP(V56,'G-7 WaterC'' Data'!$AA$4:$AB$7,2,FALSE)))))</f>
        <v/>
      </c>
      <c r="X56" s="56"/>
      <c r="Y56" s="276" t="str">
        <f>IF(X56="","",IF(AND(X56="N/A - Culvert",C56&lt;&gt;"Culvert"),"Not possible ▲",IF(AND(C56="Culvert",X56&lt;&gt;"N/A - Culvert"),"Not possible ▲",IF(VLOOKUP(X56,'G-7 WaterC'' Data'!$AD$4:$AE$14,2,FALSE)=0,"Enrcoachment Data Missing ⚠",VLOOKUP(X56,'G-7 WaterC'' Data'!$AD$4:$AE$14,2,FALSE)))))</f>
        <v/>
      </c>
      <c r="Z56" s="102"/>
      <c r="AA56" s="276" t="str">
        <f>IF(Z56="","",IF(VLOOKUP(Z56,'G-7 WaterC'' Data'!$AO$4:$BO$7,2,FALSE)=0,"Spatial Data Missing ⚠",VLOOKUP(Z56,'G-7 WaterC'' Data'!$AO$4:$BO$7,2,FALSE)))</f>
        <v/>
      </c>
      <c r="AB56" s="317" t="str">
        <f t="shared" si="4"/>
        <v/>
      </c>
      <c r="AC56" s="317" t="str">
        <f t="shared" si="5"/>
        <v/>
      </c>
      <c r="AD56" s="101"/>
      <c r="AE56" s="938"/>
      <c r="AF56" s="138"/>
      <c r="AG56" s="138"/>
      <c r="AH56" s="934"/>
      <c r="AL56" s="30" t="str">
        <f>IFERROR(INDEX('G-7 WaterC'' Data'!$AZ$3:$AZ$7,MATCH(C56,'G-7 WaterC'' Data'!$AY$3:$AY$7,0)),"")</f>
        <v/>
      </c>
      <c r="AN56" s="30" t="str">
        <f t="shared" si="6"/>
        <v>No</v>
      </c>
    </row>
    <row r="57" spans="2:40" ht="14">
      <c r="B57" s="97">
        <v>46</v>
      </c>
      <c r="C57" s="923"/>
      <c r="D57" s="115"/>
      <c r="E57" s="275" t="str">
        <f>IF(C57="","",VLOOKUP(C57,'G-7 WaterC'' Data'!$B$2:$Z$9,2,FALSE))</f>
        <v/>
      </c>
      <c r="F57" s="276" t="str">
        <f>IFERROR(VLOOKUP(E57,'G-7 WaterC'' Data'!$C$4:$D$8,2,FALSE),"")</f>
        <v/>
      </c>
      <c r="G57" s="52"/>
      <c r="H57" s="276" t="str">
        <f>IFERROR(INDEX('G-7 WaterC'' Data'!$H$4:$L$8,MATCH(C57,'G-7 WaterC'' Data'!$B$4:$B$8,0),MATCH(G57,'G-7 WaterC'' Data'!$H$3:$L$3,0)),"")</f>
        <v/>
      </c>
      <c r="I57" s="52"/>
      <c r="J57" s="314" t="str">
        <f>IF(I57="","",IF(VLOOKUP(I57,'G-7 WaterC'' Data'!$AK$4:$AM$6,2,FALSE)=0,"Spatial Data Missing ⚠",VLOOKUP(I57,'G-7 WaterC'' Data'!$AK$4:$AM$6,2,FALSE)))</f>
        <v/>
      </c>
      <c r="K57" s="276" t="str">
        <f>IF(I57="","",IF(VLOOKUP(I57,'G-7 WaterC'' Data'!$AK$4:$AM$6,3,FALSE)=0,"Spatial Data Missing ⚠",VLOOKUP(I57,'G-7 WaterC'' Data'!$AK$4:$AM$6,3,FALSE)))</f>
        <v/>
      </c>
      <c r="L57" s="372" t="str">
        <f>IFERROR(INDEX('G-7 WaterC'' Data'!$O$3:$O$7,MATCH(G57,'G-7 WaterC'' Data'!$N$3:$N$7,0)),"")</f>
        <v/>
      </c>
      <c r="M57" s="53"/>
      <c r="N57" s="133"/>
      <c r="O57" s="283" t="str">
        <f t="shared" si="0"/>
        <v/>
      </c>
      <c r="P57" s="296" t="str">
        <f t="shared" si="1"/>
        <v/>
      </c>
      <c r="Q57" s="334" t="str">
        <f>IFERROR(IF(P57="Check Data ⚠","Check Data ⚠",VLOOKUP(P57,'G-4 Temporal multipliers'!$A$4:$C$37,3,FALSE)),"")</f>
        <v/>
      </c>
      <c r="R57" s="275" t="str">
        <f>IF(C57="","",VLOOKUP(C57,'G-7 WaterC'' Data'!$B$4:$G$8,4,FALSE))</f>
        <v/>
      </c>
      <c r="S57" s="283" t="str">
        <f t="shared" si="2"/>
        <v/>
      </c>
      <c r="T57" s="314" t="str">
        <f t="shared" si="3"/>
        <v/>
      </c>
      <c r="U57" s="276" t="str">
        <f>IF(C57="","",VLOOKUP(T57,'G-3 Multipliers'!$P$2:$Q$6,2,FALSE))</f>
        <v/>
      </c>
      <c r="V57" s="102"/>
      <c r="W57" s="276" t="str">
        <f>IF(V57="","",IF(AND(V57="N/A - Culvert",C57&lt;&gt;"Culvert"),"Not possible ▲",IF(AND(C57="Culvert",V57&lt;&gt;"N/A - Culvert"),"Not possible ▲",IF(VLOOKUP(V57,'G-7 WaterC'' Data'!$AA$4:$AB$7,2,FALSE)=0,"Spatial Data Missing ⚠",VLOOKUP(V57,'G-7 WaterC'' Data'!$AA$4:$AB$7,2,FALSE)))))</f>
        <v/>
      </c>
      <c r="X57" s="56"/>
      <c r="Y57" s="276" t="str">
        <f>IF(X57="","",IF(AND(X57="N/A - Culvert",C57&lt;&gt;"Culvert"),"Not possible ▲",IF(AND(C57="Culvert",X57&lt;&gt;"N/A - Culvert"),"Not possible ▲",IF(VLOOKUP(X57,'G-7 WaterC'' Data'!$AD$4:$AE$14,2,FALSE)=0,"Enrcoachment Data Missing ⚠",VLOOKUP(X57,'G-7 WaterC'' Data'!$AD$4:$AE$14,2,FALSE)))))</f>
        <v/>
      </c>
      <c r="Z57" s="102"/>
      <c r="AA57" s="276" t="str">
        <f>IF(Z57="","",IF(VLOOKUP(Z57,'G-7 WaterC'' Data'!$AO$4:$BO$7,2,FALSE)=0,"Spatial Data Missing ⚠",VLOOKUP(Z57,'G-7 WaterC'' Data'!$AO$4:$BO$7,2,FALSE)))</f>
        <v/>
      </c>
      <c r="AB57" s="317" t="str">
        <f t="shared" si="4"/>
        <v/>
      </c>
      <c r="AC57" s="317" t="str">
        <f t="shared" si="5"/>
        <v/>
      </c>
      <c r="AD57" s="101"/>
      <c r="AE57" s="938"/>
      <c r="AF57" s="138"/>
      <c r="AG57" s="138"/>
      <c r="AH57" s="934"/>
      <c r="AL57" s="30" t="str">
        <f>IFERROR(INDEX('G-7 WaterC'' Data'!$AZ$3:$AZ$7,MATCH(C57,'G-7 WaterC'' Data'!$AY$3:$AY$7,0)),"")</f>
        <v/>
      </c>
      <c r="AN57" s="30" t="str">
        <f t="shared" si="6"/>
        <v>No</v>
      </c>
    </row>
    <row r="58" spans="2:40" ht="14">
      <c r="B58" s="97">
        <v>47</v>
      </c>
      <c r="C58" s="923"/>
      <c r="D58" s="115"/>
      <c r="E58" s="275" t="str">
        <f>IF(C58="","",VLOOKUP(C58,'G-7 WaterC'' Data'!$B$2:$Z$9,2,FALSE))</f>
        <v/>
      </c>
      <c r="F58" s="276" t="str">
        <f>IFERROR(VLOOKUP(E58,'G-7 WaterC'' Data'!$C$4:$D$8,2,FALSE),"")</f>
        <v/>
      </c>
      <c r="G58" s="52"/>
      <c r="H58" s="276" t="str">
        <f>IFERROR(INDEX('G-7 WaterC'' Data'!$H$4:$L$8,MATCH(C58,'G-7 WaterC'' Data'!$B$4:$B$8,0),MATCH(G58,'G-7 WaterC'' Data'!$H$3:$L$3,0)),"")</f>
        <v/>
      </c>
      <c r="I58" s="52"/>
      <c r="J58" s="314" t="str">
        <f>IF(I58="","",IF(VLOOKUP(I58,'G-7 WaterC'' Data'!$AK$4:$AM$6,2,FALSE)=0,"Spatial Data Missing ⚠",VLOOKUP(I58,'G-7 WaterC'' Data'!$AK$4:$AM$6,2,FALSE)))</f>
        <v/>
      </c>
      <c r="K58" s="276" t="str">
        <f>IF(I58="","",IF(VLOOKUP(I58,'G-7 WaterC'' Data'!$AK$4:$AM$6,3,FALSE)=0,"Spatial Data Missing ⚠",VLOOKUP(I58,'G-7 WaterC'' Data'!$AK$4:$AM$6,3,FALSE)))</f>
        <v/>
      </c>
      <c r="L58" s="372" t="str">
        <f>IFERROR(INDEX('G-7 WaterC'' Data'!$O$3:$O$7,MATCH(G58,'G-7 WaterC'' Data'!$N$3:$N$7,0)),"")</f>
        <v/>
      </c>
      <c r="M58" s="53"/>
      <c r="N58" s="133"/>
      <c r="O58" s="283" t="str">
        <f t="shared" si="0"/>
        <v/>
      </c>
      <c r="P58" s="296" t="str">
        <f t="shared" si="1"/>
        <v/>
      </c>
      <c r="Q58" s="334" t="str">
        <f>IFERROR(IF(P58="Check Data ⚠","Check Data ⚠",VLOOKUP(P58,'G-4 Temporal multipliers'!$A$4:$C$37,3,FALSE)),"")</f>
        <v/>
      </c>
      <c r="R58" s="275" t="str">
        <f>IF(C58="","",VLOOKUP(C58,'G-7 WaterC'' Data'!$B$4:$G$8,4,FALSE))</f>
        <v/>
      </c>
      <c r="S58" s="283" t="str">
        <f t="shared" si="2"/>
        <v/>
      </c>
      <c r="T58" s="314" t="str">
        <f t="shared" si="3"/>
        <v/>
      </c>
      <c r="U58" s="276" t="str">
        <f>IF(C58="","",VLOOKUP(T58,'G-3 Multipliers'!$P$2:$Q$6,2,FALSE))</f>
        <v/>
      </c>
      <c r="V58" s="102"/>
      <c r="W58" s="276" t="str">
        <f>IF(V58="","",IF(AND(V58="N/A - Culvert",C58&lt;&gt;"Culvert"),"Not possible ▲",IF(AND(C58="Culvert",V58&lt;&gt;"N/A - Culvert"),"Not possible ▲",IF(VLOOKUP(V58,'G-7 WaterC'' Data'!$AA$4:$AB$7,2,FALSE)=0,"Spatial Data Missing ⚠",VLOOKUP(V58,'G-7 WaterC'' Data'!$AA$4:$AB$7,2,FALSE)))))</f>
        <v/>
      </c>
      <c r="X58" s="56"/>
      <c r="Y58" s="276" t="str">
        <f>IF(X58="","",IF(AND(X58="N/A - Culvert",C58&lt;&gt;"Culvert"),"Not possible ▲",IF(AND(C58="Culvert",X58&lt;&gt;"N/A - Culvert"),"Not possible ▲",IF(VLOOKUP(X58,'G-7 WaterC'' Data'!$AD$4:$AE$14,2,FALSE)=0,"Enrcoachment Data Missing ⚠",VLOOKUP(X58,'G-7 WaterC'' Data'!$AD$4:$AE$14,2,FALSE)))))</f>
        <v/>
      </c>
      <c r="Z58" s="102"/>
      <c r="AA58" s="276" t="str">
        <f>IF(Z58="","",IF(VLOOKUP(Z58,'G-7 WaterC'' Data'!$AO$4:$BO$7,2,FALSE)=0,"Spatial Data Missing ⚠",VLOOKUP(Z58,'G-7 WaterC'' Data'!$AO$4:$BO$7,2,FALSE)))</f>
        <v/>
      </c>
      <c r="AB58" s="317" t="str">
        <f t="shared" si="4"/>
        <v/>
      </c>
      <c r="AC58" s="317" t="str">
        <f t="shared" si="5"/>
        <v/>
      </c>
      <c r="AD58" s="101"/>
      <c r="AE58" s="938"/>
      <c r="AF58" s="138"/>
      <c r="AG58" s="138"/>
      <c r="AH58" s="934"/>
      <c r="AL58" s="30" t="str">
        <f>IFERROR(INDEX('G-7 WaterC'' Data'!$AZ$3:$AZ$7,MATCH(C58,'G-7 WaterC'' Data'!$AY$3:$AY$7,0)),"")</f>
        <v/>
      </c>
      <c r="AN58" s="30" t="str">
        <f t="shared" si="6"/>
        <v>No</v>
      </c>
    </row>
    <row r="59" spans="2:40" ht="14">
      <c r="B59" s="97">
        <v>48</v>
      </c>
      <c r="C59" s="923"/>
      <c r="D59" s="115"/>
      <c r="E59" s="275" t="str">
        <f>IF(C59="","",VLOOKUP(C59,'G-7 WaterC'' Data'!$B$2:$Z$9,2,FALSE))</f>
        <v/>
      </c>
      <c r="F59" s="276" t="str">
        <f>IFERROR(VLOOKUP(E59,'G-7 WaterC'' Data'!$C$4:$D$8,2,FALSE),"")</f>
        <v/>
      </c>
      <c r="G59" s="52"/>
      <c r="H59" s="276" t="str">
        <f>IFERROR(INDEX('G-7 WaterC'' Data'!$H$4:$L$8,MATCH(C59,'G-7 WaterC'' Data'!$B$4:$B$8,0),MATCH(G59,'G-7 WaterC'' Data'!$H$3:$L$3,0)),"")</f>
        <v/>
      </c>
      <c r="I59" s="52"/>
      <c r="J59" s="314" t="str">
        <f>IF(I59="","",IF(VLOOKUP(I59,'G-7 WaterC'' Data'!$AK$4:$AM$6,2,FALSE)=0,"Spatial Data Missing ⚠",VLOOKUP(I59,'G-7 WaterC'' Data'!$AK$4:$AM$6,2,FALSE)))</f>
        <v/>
      </c>
      <c r="K59" s="276" t="str">
        <f>IF(I59="","",IF(VLOOKUP(I59,'G-7 WaterC'' Data'!$AK$4:$AM$6,3,FALSE)=0,"Spatial Data Missing ⚠",VLOOKUP(I59,'G-7 WaterC'' Data'!$AK$4:$AM$6,3,FALSE)))</f>
        <v/>
      </c>
      <c r="L59" s="372" t="str">
        <f>IFERROR(INDEX('G-7 WaterC'' Data'!$O$3:$O$7,MATCH(G59,'G-7 WaterC'' Data'!$N$3:$N$7,0)),"")</f>
        <v/>
      </c>
      <c r="M59" s="53"/>
      <c r="N59" s="133"/>
      <c r="O59" s="283" t="str">
        <f t="shared" si="0"/>
        <v/>
      </c>
      <c r="P59" s="296" t="str">
        <f t="shared" si="1"/>
        <v/>
      </c>
      <c r="Q59" s="334" t="str">
        <f>IFERROR(IF(P59="Check Data ⚠","Check Data ⚠",VLOOKUP(P59,'G-4 Temporal multipliers'!$A$4:$C$37,3,FALSE)),"")</f>
        <v/>
      </c>
      <c r="R59" s="275" t="str">
        <f>IF(C59="","",VLOOKUP(C59,'G-7 WaterC'' Data'!$B$4:$G$8,4,FALSE))</f>
        <v/>
      </c>
      <c r="S59" s="283" t="str">
        <f t="shared" si="2"/>
        <v/>
      </c>
      <c r="T59" s="314" t="str">
        <f t="shared" si="3"/>
        <v/>
      </c>
      <c r="U59" s="276" t="str">
        <f>IF(C59="","",VLOOKUP(T59,'G-3 Multipliers'!$P$2:$Q$6,2,FALSE))</f>
        <v/>
      </c>
      <c r="V59" s="102"/>
      <c r="W59" s="276" t="str">
        <f>IF(V59="","",IF(AND(V59="N/A - Culvert",C59&lt;&gt;"Culvert"),"Not possible ▲",IF(AND(C59="Culvert",V59&lt;&gt;"N/A - Culvert"),"Not possible ▲",IF(VLOOKUP(V59,'G-7 WaterC'' Data'!$AA$4:$AB$7,2,FALSE)=0,"Spatial Data Missing ⚠",VLOOKUP(V59,'G-7 WaterC'' Data'!$AA$4:$AB$7,2,FALSE)))))</f>
        <v/>
      </c>
      <c r="X59" s="56"/>
      <c r="Y59" s="276" t="str">
        <f>IF(X59="","",IF(AND(X59="N/A - Culvert",C59&lt;&gt;"Culvert"),"Not possible ▲",IF(AND(C59="Culvert",X59&lt;&gt;"N/A - Culvert"),"Not possible ▲",IF(VLOOKUP(X59,'G-7 WaterC'' Data'!$AD$4:$AE$14,2,FALSE)=0,"Enrcoachment Data Missing ⚠",VLOOKUP(X59,'G-7 WaterC'' Data'!$AD$4:$AE$14,2,FALSE)))))</f>
        <v/>
      </c>
      <c r="Z59" s="102"/>
      <c r="AA59" s="276" t="str">
        <f>IF(Z59="","",IF(VLOOKUP(Z59,'G-7 WaterC'' Data'!$AO$4:$BO$7,2,FALSE)=0,"Spatial Data Missing ⚠",VLOOKUP(Z59,'G-7 WaterC'' Data'!$AO$4:$BO$7,2,FALSE)))</f>
        <v/>
      </c>
      <c r="AB59" s="317" t="str">
        <f t="shared" si="4"/>
        <v/>
      </c>
      <c r="AC59" s="317" t="str">
        <f t="shared" si="5"/>
        <v/>
      </c>
      <c r="AD59" s="101"/>
      <c r="AE59" s="938"/>
      <c r="AF59" s="138"/>
      <c r="AG59" s="138"/>
      <c r="AH59" s="934"/>
      <c r="AL59" s="30" t="str">
        <f>IFERROR(INDEX('G-7 WaterC'' Data'!$AZ$3:$AZ$7,MATCH(C59,'G-7 WaterC'' Data'!$AY$3:$AY$7,0)),"")</f>
        <v/>
      </c>
      <c r="AN59" s="30" t="str">
        <f t="shared" si="6"/>
        <v>No</v>
      </c>
    </row>
    <row r="60" spans="2:40" ht="14">
      <c r="B60" s="97">
        <v>49</v>
      </c>
      <c r="C60" s="923"/>
      <c r="D60" s="115"/>
      <c r="E60" s="275" t="str">
        <f>IF(C60="","",VLOOKUP(C60,'G-7 WaterC'' Data'!$B$2:$Z$9,2,FALSE))</f>
        <v/>
      </c>
      <c r="F60" s="276" t="str">
        <f>IFERROR(VLOOKUP(E60,'G-7 WaterC'' Data'!$C$4:$D$8,2,FALSE),"")</f>
        <v/>
      </c>
      <c r="G60" s="52"/>
      <c r="H60" s="276" t="str">
        <f>IFERROR(INDEX('G-7 WaterC'' Data'!$H$4:$L$8,MATCH(C60,'G-7 WaterC'' Data'!$B$4:$B$8,0),MATCH(G60,'G-7 WaterC'' Data'!$H$3:$L$3,0)),"")</f>
        <v/>
      </c>
      <c r="I60" s="52"/>
      <c r="J60" s="314" t="str">
        <f>IF(I60="","",IF(VLOOKUP(I60,'G-7 WaterC'' Data'!$AK$4:$AM$6,2,FALSE)=0,"Spatial Data Missing ⚠",VLOOKUP(I60,'G-7 WaterC'' Data'!$AK$4:$AM$6,2,FALSE)))</f>
        <v/>
      </c>
      <c r="K60" s="276" t="str">
        <f>IF(I60="","",IF(VLOOKUP(I60,'G-7 WaterC'' Data'!$AK$4:$AM$6,3,FALSE)=0,"Spatial Data Missing ⚠",VLOOKUP(I60,'G-7 WaterC'' Data'!$AK$4:$AM$6,3,FALSE)))</f>
        <v/>
      </c>
      <c r="L60" s="372" t="str">
        <f>IFERROR(INDEX('G-7 WaterC'' Data'!$O$3:$O$7,MATCH(G60,'G-7 WaterC'' Data'!$N$3:$N$7,0)),"")</f>
        <v/>
      </c>
      <c r="M60" s="53"/>
      <c r="N60" s="133"/>
      <c r="O60" s="283" t="str">
        <f t="shared" si="0"/>
        <v/>
      </c>
      <c r="P60" s="296" t="str">
        <f t="shared" si="1"/>
        <v/>
      </c>
      <c r="Q60" s="334" t="str">
        <f>IFERROR(IF(P60="Check Data ⚠","Check Data ⚠",VLOOKUP(P60,'G-4 Temporal multipliers'!$A$4:$C$37,3,FALSE)),"")</f>
        <v/>
      </c>
      <c r="R60" s="275" t="str">
        <f>IF(C60="","",VLOOKUP(C60,'G-7 WaterC'' Data'!$B$4:$G$8,4,FALSE))</f>
        <v/>
      </c>
      <c r="S60" s="283" t="str">
        <f t="shared" si="2"/>
        <v/>
      </c>
      <c r="T60" s="314" t="str">
        <f t="shared" si="3"/>
        <v/>
      </c>
      <c r="U60" s="276" t="str">
        <f>IF(C60="","",VLOOKUP(T60,'G-3 Multipliers'!$P$2:$Q$6,2,FALSE))</f>
        <v/>
      </c>
      <c r="V60" s="102"/>
      <c r="W60" s="276" t="str">
        <f>IF(V60="","",IF(AND(V60="N/A - Culvert",C60&lt;&gt;"Culvert"),"Not possible ▲",IF(AND(C60="Culvert",V60&lt;&gt;"N/A - Culvert"),"Not possible ▲",IF(VLOOKUP(V60,'G-7 WaterC'' Data'!$AA$4:$AB$7,2,FALSE)=0,"Spatial Data Missing ⚠",VLOOKUP(V60,'G-7 WaterC'' Data'!$AA$4:$AB$7,2,FALSE)))))</f>
        <v/>
      </c>
      <c r="X60" s="56"/>
      <c r="Y60" s="276" t="str">
        <f>IF(X60="","",IF(AND(X60="N/A - Culvert",C60&lt;&gt;"Culvert"),"Not possible ▲",IF(AND(C60="Culvert",X60&lt;&gt;"N/A - Culvert"),"Not possible ▲",IF(VLOOKUP(X60,'G-7 WaterC'' Data'!$AD$4:$AE$14,2,FALSE)=0,"Enrcoachment Data Missing ⚠",VLOOKUP(X60,'G-7 WaterC'' Data'!$AD$4:$AE$14,2,FALSE)))))</f>
        <v/>
      </c>
      <c r="Z60" s="102"/>
      <c r="AA60" s="276" t="str">
        <f>IF(Z60="","",IF(VLOOKUP(Z60,'G-7 WaterC'' Data'!$AO$4:$BO$7,2,FALSE)=0,"Spatial Data Missing ⚠",VLOOKUP(Z60,'G-7 WaterC'' Data'!$AO$4:$BO$7,2,FALSE)))</f>
        <v/>
      </c>
      <c r="AB60" s="317" t="str">
        <f t="shared" si="4"/>
        <v/>
      </c>
      <c r="AC60" s="317" t="str">
        <f t="shared" si="5"/>
        <v/>
      </c>
      <c r="AD60" s="101"/>
      <c r="AE60" s="938"/>
      <c r="AF60" s="138"/>
      <c r="AG60" s="138"/>
      <c r="AH60" s="934"/>
      <c r="AL60" s="30" t="str">
        <f>IFERROR(INDEX('G-7 WaterC'' Data'!$AZ$3:$AZ$7,MATCH(C60,'G-7 WaterC'' Data'!$AY$3:$AY$7,0)),"")</f>
        <v/>
      </c>
      <c r="AN60" s="30" t="str">
        <f t="shared" si="6"/>
        <v>No</v>
      </c>
    </row>
    <row r="61" spans="2:40" ht="14">
      <c r="B61" s="97">
        <v>50</v>
      </c>
      <c r="C61" s="923"/>
      <c r="D61" s="115"/>
      <c r="E61" s="275" t="str">
        <f>IF(C61="","",VLOOKUP(C61,'G-7 WaterC'' Data'!$B$2:$Z$9,2,FALSE))</f>
        <v/>
      </c>
      <c r="F61" s="276" t="str">
        <f>IFERROR(VLOOKUP(E61,'G-7 WaterC'' Data'!$C$4:$D$8,2,FALSE),"")</f>
        <v/>
      </c>
      <c r="G61" s="52"/>
      <c r="H61" s="276" t="str">
        <f>IFERROR(INDEX('G-7 WaterC'' Data'!$H$4:$L$8,MATCH(C61,'G-7 WaterC'' Data'!$B$4:$B$8,0),MATCH(G61,'G-7 WaterC'' Data'!$H$3:$L$3,0)),"")</f>
        <v/>
      </c>
      <c r="I61" s="52"/>
      <c r="J61" s="314" t="str">
        <f>IF(I61="","",IF(VLOOKUP(I61,'G-7 WaterC'' Data'!$AK$4:$AM$6,2,FALSE)=0,"Spatial Data Missing ⚠",VLOOKUP(I61,'G-7 WaterC'' Data'!$AK$4:$AM$6,2,FALSE)))</f>
        <v/>
      </c>
      <c r="K61" s="276" t="str">
        <f>IF(I61="","",IF(VLOOKUP(I61,'G-7 WaterC'' Data'!$AK$4:$AM$6,3,FALSE)=0,"Spatial Data Missing ⚠",VLOOKUP(I61,'G-7 WaterC'' Data'!$AK$4:$AM$6,3,FALSE)))</f>
        <v/>
      </c>
      <c r="L61" s="372" t="str">
        <f>IFERROR(INDEX('G-7 WaterC'' Data'!$O$3:$O$7,MATCH(G61,'G-7 WaterC'' Data'!$N$3:$N$7,0)),"")</f>
        <v/>
      </c>
      <c r="M61" s="53"/>
      <c r="N61" s="133"/>
      <c r="O61" s="283" t="str">
        <f t="shared" si="0"/>
        <v/>
      </c>
      <c r="P61" s="296" t="str">
        <f t="shared" si="1"/>
        <v/>
      </c>
      <c r="Q61" s="334" t="str">
        <f>IFERROR(IF(P61="Check Data ⚠","Check Data ⚠",VLOOKUP(P61,'G-4 Temporal multipliers'!$A$4:$C$37,3,FALSE)),"")</f>
        <v/>
      </c>
      <c r="R61" s="275" t="str">
        <f>IF(C61="","",VLOOKUP(C61,'G-7 WaterC'' Data'!$B$4:$G$8,4,FALSE))</f>
        <v/>
      </c>
      <c r="S61" s="283" t="str">
        <f t="shared" si="2"/>
        <v/>
      </c>
      <c r="T61" s="314" t="str">
        <f t="shared" si="3"/>
        <v/>
      </c>
      <c r="U61" s="276" t="str">
        <f>IF(C61="","",VLOOKUP(T61,'G-3 Multipliers'!$P$2:$Q$6,2,FALSE))</f>
        <v/>
      </c>
      <c r="V61" s="102"/>
      <c r="W61" s="276" t="str">
        <f>IF(V61="","",IF(AND(V61="N/A - Culvert",C61&lt;&gt;"Culvert"),"Not possible ▲",IF(AND(C61="Culvert",V61&lt;&gt;"N/A - Culvert"),"Not possible ▲",IF(VLOOKUP(V61,'G-7 WaterC'' Data'!$AA$4:$AB$7,2,FALSE)=0,"Spatial Data Missing ⚠",VLOOKUP(V61,'G-7 WaterC'' Data'!$AA$4:$AB$7,2,FALSE)))))</f>
        <v/>
      </c>
      <c r="X61" s="56"/>
      <c r="Y61" s="276" t="str">
        <f>IF(X61="","",IF(AND(X61="N/A - Culvert",C61&lt;&gt;"Culvert"),"Not possible ▲",IF(AND(C61="Culvert",X61&lt;&gt;"N/A - Culvert"),"Not possible ▲",IF(VLOOKUP(X61,'G-7 WaterC'' Data'!$AD$4:$AE$14,2,FALSE)=0,"Enrcoachment Data Missing ⚠",VLOOKUP(X61,'G-7 WaterC'' Data'!$AD$4:$AE$14,2,FALSE)))))</f>
        <v/>
      </c>
      <c r="Z61" s="102"/>
      <c r="AA61" s="276" t="str">
        <f>IF(Z61="","",IF(VLOOKUP(Z61,'G-7 WaterC'' Data'!$AO$4:$BO$7,2,FALSE)=0,"Spatial Data Missing ⚠",VLOOKUP(Z61,'G-7 WaterC'' Data'!$AO$4:$BO$7,2,FALSE)))</f>
        <v/>
      </c>
      <c r="AB61" s="317" t="str">
        <f t="shared" si="4"/>
        <v/>
      </c>
      <c r="AC61" s="317" t="str">
        <f t="shared" si="5"/>
        <v/>
      </c>
      <c r="AD61" s="101"/>
      <c r="AE61" s="938"/>
      <c r="AF61" s="138"/>
      <c r="AG61" s="138"/>
      <c r="AH61" s="934"/>
      <c r="AL61" s="30" t="str">
        <f>IFERROR(INDEX('G-7 WaterC'' Data'!$AZ$3:$AZ$7,MATCH(C61,'G-7 WaterC'' Data'!$AY$3:$AY$7,0)),"")</f>
        <v/>
      </c>
      <c r="AN61" s="30" t="str">
        <f t="shared" si="6"/>
        <v>No</v>
      </c>
    </row>
    <row r="62" spans="2:40" ht="14">
      <c r="B62" s="97">
        <v>51</v>
      </c>
      <c r="C62" s="923"/>
      <c r="D62" s="115"/>
      <c r="E62" s="275" t="str">
        <f>IF(C62="","",VLOOKUP(C62,'G-7 WaterC'' Data'!$B$2:$Z$9,2,FALSE))</f>
        <v/>
      </c>
      <c r="F62" s="276" t="str">
        <f>IFERROR(VLOOKUP(E62,'G-7 WaterC'' Data'!$C$4:$D$8,2,FALSE),"")</f>
        <v/>
      </c>
      <c r="G62" s="52"/>
      <c r="H62" s="276" t="str">
        <f>IFERROR(INDEX('G-7 WaterC'' Data'!$H$4:$L$8,MATCH(C62,'G-7 WaterC'' Data'!$B$4:$B$8,0),MATCH(G62,'G-7 WaterC'' Data'!$H$3:$L$3,0)),"")</f>
        <v/>
      </c>
      <c r="I62" s="52"/>
      <c r="J62" s="314" t="str">
        <f>IF(I62="","",IF(VLOOKUP(I62,'G-7 WaterC'' Data'!$AK$4:$AM$6,2,FALSE)=0,"Spatial Data Missing ⚠",VLOOKUP(I62,'G-7 WaterC'' Data'!$AK$4:$AM$6,2,FALSE)))</f>
        <v/>
      </c>
      <c r="K62" s="276" t="str">
        <f>IF(I62="","",IF(VLOOKUP(I62,'G-7 WaterC'' Data'!$AK$4:$AM$6,3,FALSE)=0,"Spatial Data Missing ⚠",VLOOKUP(I62,'G-7 WaterC'' Data'!$AK$4:$AM$6,3,FALSE)))</f>
        <v/>
      </c>
      <c r="L62" s="372" t="str">
        <f>IFERROR(INDEX('G-7 WaterC'' Data'!$O$3:$O$7,MATCH(G62,'G-7 WaterC'' Data'!$N$3:$N$7,0)),"")</f>
        <v/>
      </c>
      <c r="M62" s="53"/>
      <c r="N62" s="133"/>
      <c r="O62" s="283" t="str">
        <f t="shared" si="0"/>
        <v/>
      </c>
      <c r="P62" s="296" t="str">
        <f t="shared" si="1"/>
        <v/>
      </c>
      <c r="Q62" s="334" t="str">
        <f>IFERROR(IF(P62="Check Data ⚠","Check Data ⚠",VLOOKUP(P62,'G-4 Temporal multipliers'!$A$4:$C$37,3,FALSE)),"")</f>
        <v/>
      </c>
      <c r="R62" s="275" t="str">
        <f>IF(C62="","",VLOOKUP(C62,'G-7 WaterC'' Data'!$B$4:$G$8,4,FALSE))</f>
        <v/>
      </c>
      <c r="S62" s="283" t="str">
        <f t="shared" si="2"/>
        <v/>
      </c>
      <c r="T62" s="314" t="str">
        <f t="shared" si="3"/>
        <v/>
      </c>
      <c r="U62" s="276" t="str">
        <f>IF(C62="","",VLOOKUP(T62,'G-3 Multipliers'!$P$2:$Q$6,2,FALSE))</f>
        <v/>
      </c>
      <c r="V62" s="102"/>
      <c r="W62" s="276" t="str">
        <f>IF(V62="","",IF(AND(V62="N/A - Culvert",C62&lt;&gt;"Culvert"),"Not possible ▲",IF(AND(C62="Culvert",V62&lt;&gt;"N/A - Culvert"),"Not possible ▲",IF(VLOOKUP(V62,'G-7 WaterC'' Data'!$AA$4:$AB$7,2,FALSE)=0,"Spatial Data Missing ⚠",VLOOKUP(V62,'G-7 WaterC'' Data'!$AA$4:$AB$7,2,FALSE)))))</f>
        <v/>
      </c>
      <c r="X62" s="56"/>
      <c r="Y62" s="276" t="str">
        <f>IF(X62="","",IF(AND(X62="N/A - Culvert",C62&lt;&gt;"Culvert"),"Not possible ▲",IF(AND(C62="Culvert",X62&lt;&gt;"N/A - Culvert"),"Not possible ▲",IF(VLOOKUP(X62,'G-7 WaterC'' Data'!$AD$4:$AE$14,2,FALSE)=0,"Enrcoachment Data Missing ⚠",VLOOKUP(X62,'G-7 WaterC'' Data'!$AD$4:$AE$14,2,FALSE)))))</f>
        <v/>
      </c>
      <c r="Z62" s="102"/>
      <c r="AA62" s="276" t="str">
        <f>IF(Z62="","",IF(VLOOKUP(Z62,'G-7 WaterC'' Data'!$AO$4:$BO$7,2,FALSE)=0,"Spatial Data Missing ⚠",VLOOKUP(Z62,'G-7 WaterC'' Data'!$AO$4:$BO$7,2,FALSE)))</f>
        <v/>
      </c>
      <c r="AB62" s="317" t="str">
        <f t="shared" si="4"/>
        <v/>
      </c>
      <c r="AC62" s="317" t="str">
        <f t="shared" si="5"/>
        <v/>
      </c>
      <c r="AD62" s="101"/>
      <c r="AE62" s="938"/>
      <c r="AF62" s="138"/>
      <c r="AG62" s="138"/>
      <c r="AH62" s="934"/>
      <c r="AL62" s="30" t="str">
        <f>IFERROR(INDEX('G-7 WaterC'' Data'!$AZ$3:$AZ$7,MATCH(C62,'G-7 WaterC'' Data'!$AY$3:$AY$7,0)),"")</f>
        <v/>
      </c>
      <c r="AN62" s="30" t="str">
        <f t="shared" si="6"/>
        <v>No</v>
      </c>
    </row>
    <row r="63" spans="2:40" ht="14">
      <c r="B63" s="97">
        <v>52</v>
      </c>
      <c r="C63" s="923"/>
      <c r="D63" s="115"/>
      <c r="E63" s="275" t="str">
        <f>IF(C63="","",VLOOKUP(C63,'G-7 WaterC'' Data'!$B$2:$Z$9,2,FALSE))</f>
        <v/>
      </c>
      <c r="F63" s="276" t="str">
        <f>IFERROR(VLOOKUP(E63,'G-7 WaterC'' Data'!$C$4:$D$8,2,FALSE),"")</f>
        <v/>
      </c>
      <c r="G63" s="52"/>
      <c r="H63" s="276" t="str">
        <f>IFERROR(INDEX('G-7 WaterC'' Data'!$H$4:$L$8,MATCH(C63,'G-7 WaterC'' Data'!$B$4:$B$8,0),MATCH(G63,'G-7 WaterC'' Data'!$H$3:$L$3,0)),"")</f>
        <v/>
      </c>
      <c r="I63" s="52"/>
      <c r="J63" s="314" t="str">
        <f>IF(I63="","",IF(VLOOKUP(I63,'G-7 WaterC'' Data'!$AK$4:$AM$6,2,FALSE)=0,"Spatial Data Missing ⚠",VLOOKUP(I63,'G-7 WaterC'' Data'!$AK$4:$AM$6,2,FALSE)))</f>
        <v/>
      </c>
      <c r="K63" s="276" t="str">
        <f>IF(I63="","",IF(VLOOKUP(I63,'G-7 WaterC'' Data'!$AK$4:$AM$6,3,FALSE)=0,"Spatial Data Missing ⚠",VLOOKUP(I63,'G-7 WaterC'' Data'!$AK$4:$AM$6,3,FALSE)))</f>
        <v/>
      </c>
      <c r="L63" s="372" t="str">
        <f>IFERROR(INDEX('G-7 WaterC'' Data'!$O$3:$O$7,MATCH(G63,'G-7 WaterC'' Data'!$N$3:$N$7,0)),"")</f>
        <v/>
      </c>
      <c r="M63" s="53"/>
      <c r="N63" s="133"/>
      <c r="O63" s="283" t="str">
        <f t="shared" si="0"/>
        <v/>
      </c>
      <c r="P63" s="296" t="str">
        <f t="shared" si="1"/>
        <v/>
      </c>
      <c r="Q63" s="334" t="str">
        <f>IFERROR(IF(P63="Check Data ⚠","Check Data ⚠",VLOOKUP(P63,'G-4 Temporal multipliers'!$A$4:$C$37,3,FALSE)),"")</f>
        <v/>
      </c>
      <c r="R63" s="275" t="str">
        <f>IF(C63="","",VLOOKUP(C63,'G-7 WaterC'' Data'!$B$4:$G$8,4,FALSE))</f>
        <v/>
      </c>
      <c r="S63" s="283" t="str">
        <f t="shared" si="2"/>
        <v/>
      </c>
      <c r="T63" s="314" t="str">
        <f t="shared" si="3"/>
        <v/>
      </c>
      <c r="U63" s="276" t="str">
        <f>IF(C63="","",VLOOKUP(T63,'G-3 Multipliers'!$P$2:$Q$6,2,FALSE))</f>
        <v/>
      </c>
      <c r="V63" s="102"/>
      <c r="W63" s="276" t="str">
        <f>IF(V63="","",IF(AND(V63="N/A - Culvert",C63&lt;&gt;"Culvert"),"Not possible ▲",IF(AND(C63="Culvert",V63&lt;&gt;"N/A - Culvert"),"Not possible ▲",IF(VLOOKUP(V63,'G-7 WaterC'' Data'!$AA$4:$AB$7,2,FALSE)=0,"Spatial Data Missing ⚠",VLOOKUP(V63,'G-7 WaterC'' Data'!$AA$4:$AB$7,2,FALSE)))))</f>
        <v/>
      </c>
      <c r="X63" s="56"/>
      <c r="Y63" s="276" t="str">
        <f>IF(X63="","",IF(AND(X63="N/A - Culvert",C63&lt;&gt;"Culvert"),"Not possible ▲",IF(AND(C63="Culvert",X63&lt;&gt;"N/A - Culvert"),"Not possible ▲",IF(VLOOKUP(X63,'G-7 WaterC'' Data'!$AD$4:$AE$14,2,FALSE)=0,"Enrcoachment Data Missing ⚠",VLOOKUP(X63,'G-7 WaterC'' Data'!$AD$4:$AE$14,2,FALSE)))))</f>
        <v/>
      </c>
      <c r="Z63" s="102"/>
      <c r="AA63" s="276" t="str">
        <f>IF(Z63="","",IF(VLOOKUP(Z63,'G-7 WaterC'' Data'!$AO$4:$BO$7,2,FALSE)=0,"Spatial Data Missing ⚠",VLOOKUP(Z63,'G-7 WaterC'' Data'!$AO$4:$BO$7,2,FALSE)))</f>
        <v/>
      </c>
      <c r="AB63" s="317" t="str">
        <f t="shared" si="4"/>
        <v/>
      </c>
      <c r="AC63" s="317" t="str">
        <f t="shared" si="5"/>
        <v/>
      </c>
      <c r="AD63" s="101"/>
      <c r="AE63" s="938"/>
      <c r="AF63" s="138"/>
      <c r="AG63" s="138"/>
      <c r="AH63" s="934"/>
      <c r="AL63" s="30" t="str">
        <f>IFERROR(INDEX('G-7 WaterC'' Data'!$AZ$3:$AZ$7,MATCH(C63,'G-7 WaterC'' Data'!$AY$3:$AY$7,0)),"")</f>
        <v/>
      </c>
      <c r="AN63" s="30" t="str">
        <f t="shared" si="6"/>
        <v>No</v>
      </c>
    </row>
    <row r="64" spans="2:40" ht="14">
      <c r="B64" s="97">
        <v>53</v>
      </c>
      <c r="C64" s="923"/>
      <c r="D64" s="115"/>
      <c r="E64" s="275" t="str">
        <f>IF(C64="","",VLOOKUP(C64,'G-7 WaterC'' Data'!$B$2:$Z$9,2,FALSE))</f>
        <v/>
      </c>
      <c r="F64" s="276" t="str">
        <f>IFERROR(VLOOKUP(E64,'G-7 WaterC'' Data'!$C$4:$D$8,2,FALSE),"")</f>
        <v/>
      </c>
      <c r="G64" s="52"/>
      <c r="H64" s="276" t="str">
        <f>IFERROR(INDEX('G-7 WaterC'' Data'!$H$4:$L$8,MATCH(C64,'G-7 WaterC'' Data'!$B$4:$B$8,0),MATCH(G64,'G-7 WaterC'' Data'!$H$3:$L$3,0)),"")</f>
        <v/>
      </c>
      <c r="I64" s="52"/>
      <c r="J64" s="314" t="str">
        <f>IF(I64="","",IF(VLOOKUP(I64,'G-7 WaterC'' Data'!$AK$4:$AM$6,2,FALSE)=0,"Spatial Data Missing ⚠",VLOOKUP(I64,'G-7 WaterC'' Data'!$AK$4:$AM$6,2,FALSE)))</f>
        <v/>
      </c>
      <c r="K64" s="276" t="str">
        <f>IF(I64="","",IF(VLOOKUP(I64,'G-7 WaterC'' Data'!$AK$4:$AM$6,3,FALSE)=0,"Spatial Data Missing ⚠",VLOOKUP(I64,'G-7 WaterC'' Data'!$AK$4:$AM$6,3,FALSE)))</f>
        <v/>
      </c>
      <c r="L64" s="372" t="str">
        <f>IFERROR(INDEX('G-7 WaterC'' Data'!$O$3:$O$7,MATCH(G64,'G-7 WaterC'' Data'!$N$3:$N$7,0)),"")</f>
        <v/>
      </c>
      <c r="M64" s="53"/>
      <c r="N64" s="133"/>
      <c r="O64" s="283" t="str">
        <f t="shared" si="0"/>
        <v/>
      </c>
      <c r="P64" s="296" t="str">
        <f t="shared" si="1"/>
        <v/>
      </c>
      <c r="Q64" s="334" t="str">
        <f>IFERROR(IF(P64="Check Data ⚠","Check Data ⚠",VLOOKUP(P64,'G-4 Temporal multipliers'!$A$4:$C$37,3,FALSE)),"")</f>
        <v/>
      </c>
      <c r="R64" s="275" t="str">
        <f>IF(C64="","",VLOOKUP(C64,'G-7 WaterC'' Data'!$B$4:$G$8,4,FALSE))</f>
        <v/>
      </c>
      <c r="S64" s="283" t="str">
        <f t="shared" si="2"/>
        <v/>
      </c>
      <c r="T64" s="314" t="str">
        <f t="shared" si="3"/>
        <v/>
      </c>
      <c r="U64" s="276" t="str">
        <f>IF(C64="","",VLOOKUP(T64,'G-3 Multipliers'!$P$2:$Q$6,2,FALSE))</f>
        <v/>
      </c>
      <c r="V64" s="102"/>
      <c r="W64" s="276" t="str">
        <f>IF(V64="","",IF(AND(V64="N/A - Culvert",C64&lt;&gt;"Culvert"),"Not possible ▲",IF(AND(C64="Culvert",V64&lt;&gt;"N/A - Culvert"),"Not possible ▲",IF(VLOOKUP(V64,'G-7 WaterC'' Data'!$AA$4:$AB$7,2,FALSE)=0,"Spatial Data Missing ⚠",VLOOKUP(V64,'G-7 WaterC'' Data'!$AA$4:$AB$7,2,FALSE)))))</f>
        <v/>
      </c>
      <c r="X64" s="56"/>
      <c r="Y64" s="276" t="str">
        <f>IF(X64="","",IF(AND(X64="N/A - Culvert",C64&lt;&gt;"Culvert"),"Not possible ▲",IF(AND(C64="Culvert",X64&lt;&gt;"N/A - Culvert"),"Not possible ▲",IF(VLOOKUP(X64,'G-7 WaterC'' Data'!$AD$4:$AE$14,2,FALSE)=0,"Enrcoachment Data Missing ⚠",VLOOKUP(X64,'G-7 WaterC'' Data'!$AD$4:$AE$14,2,FALSE)))))</f>
        <v/>
      </c>
      <c r="Z64" s="102"/>
      <c r="AA64" s="276" t="str">
        <f>IF(Z64="","",IF(VLOOKUP(Z64,'G-7 WaterC'' Data'!$AO$4:$BO$7,2,FALSE)=0,"Spatial Data Missing ⚠",VLOOKUP(Z64,'G-7 WaterC'' Data'!$AO$4:$BO$7,2,FALSE)))</f>
        <v/>
      </c>
      <c r="AB64" s="317" t="str">
        <f t="shared" si="4"/>
        <v/>
      </c>
      <c r="AC64" s="317" t="str">
        <f t="shared" si="5"/>
        <v/>
      </c>
      <c r="AD64" s="101"/>
      <c r="AE64" s="938"/>
      <c r="AF64" s="138"/>
      <c r="AG64" s="138"/>
      <c r="AH64" s="934"/>
      <c r="AL64" s="30" t="str">
        <f>IFERROR(INDEX('G-7 WaterC'' Data'!$AZ$3:$AZ$7,MATCH(C64,'G-7 WaterC'' Data'!$AY$3:$AY$7,0)),"")</f>
        <v/>
      </c>
      <c r="AN64" s="30" t="str">
        <f t="shared" si="6"/>
        <v>No</v>
      </c>
    </row>
    <row r="65" spans="2:40" ht="14">
      <c r="B65" s="97">
        <v>54</v>
      </c>
      <c r="C65" s="923"/>
      <c r="D65" s="115"/>
      <c r="E65" s="275" t="str">
        <f>IF(C65="","",VLOOKUP(C65,'G-7 WaterC'' Data'!$B$2:$Z$9,2,FALSE))</f>
        <v/>
      </c>
      <c r="F65" s="276" t="str">
        <f>IFERROR(VLOOKUP(E65,'G-7 WaterC'' Data'!$C$4:$D$8,2,FALSE),"")</f>
        <v/>
      </c>
      <c r="G65" s="52"/>
      <c r="H65" s="276" t="str">
        <f>IFERROR(INDEX('G-7 WaterC'' Data'!$H$4:$L$8,MATCH(C65,'G-7 WaterC'' Data'!$B$4:$B$8,0),MATCH(G65,'G-7 WaterC'' Data'!$H$3:$L$3,0)),"")</f>
        <v/>
      </c>
      <c r="I65" s="52"/>
      <c r="J65" s="314" t="str">
        <f>IF(I65="","",IF(VLOOKUP(I65,'G-7 WaterC'' Data'!$AK$4:$AM$6,2,FALSE)=0,"Spatial Data Missing ⚠",VLOOKUP(I65,'G-7 WaterC'' Data'!$AK$4:$AM$6,2,FALSE)))</f>
        <v/>
      </c>
      <c r="K65" s="276" t="str">
        <f>IF(I65="","",IF(VLOOKUP(I65,'G-7 WaterC'' Data'!$AK$4:$AM$6,3,FALSE)=0,"Spatial Data Missing ⚠",VLOOKUP(I65,'G-7 WaterC'' Data'!$AK$4:$AM$6,3,FALSE)))</f>
        <v/>
      </c>
      <c r="L65" s="372" t="str">
        <f>IFERROR(INDEX('G-7 WaterC'' Data'!$O$3:$O$7,MATCH(G65,'G-7 WaterC'' Data'!$N$3:$N$7,0)),"")</f>
        <v/>
      </c>
      <c r="M65" s="53"/>
      <c r="N65" s="133"/>
      <c r="O65" s="283" t="str">
        <f t="shared" si="0"/>
        <v/>
      </c>
      <c r="P65" s="296" t="str">
        <f t="shared" si="1"/>
        <v/>
      </c>
      <c r="Q65" s="334" t="str">
        <f>IFERROR(IF(P65="Check Data ⚠","Check Data ⚠",VLOOKUP(P65,'G-4 Temporal multipliers'!$A$4:$C$37,3,FALSE)),"")</f>
        <v/>
      </c>
      <c r="R65" s="275" t="str">
        <f>IF(C65="","",VLOOKUP(C65,'G-7 WaterC'' Data'!$B$4:$G$8,4,FALSE))</f>
        <v/>
      </c>
      <c r="S65" s="283" t="str">
        <f t="shared" si="2"/>
        <v/>
      </c>
      <c r="T65" s="314" t="str">
        <f t="shared" si="3"/>
        <v/>
      </c>
      <c r="U65" s="276" t="str">
        <f>IF(C65="","",VLOOKUP(T65,'G-3 Multipliers'!$P$2:$Q$6,2,FALSE))</f>
        <v/>
      </c>
      <c r="V65" s="102"/>
      <c r="W65" s="276" t="str">
        <f>IF(V65="","",IF(AND(V65="N/A - Culvert",C65&lt;&gt;"Culvert"),"Not possible ▲",IF(AND(C65="Culvert",V65&lt;&gt;"N/A - Culvert"),"Not possible ▲",IF(VLOOKUP(V65,'G-7 WaterC'' Data'!$AA$4:$AB$7,2,FALSE)=0,"Spatial Data Missing ⚠",VLOOKUP(V65,'G-7 WaterC'' Data'!$AA$4:$AB$7,2,FALSE)))))</f>
        <v/>
      </c>
      <c r="X65" s="56"/>
      <c r="Y65" s="276" t="str">
        <f>IF(X65="","",IF(AND(X65="N/A - Culvert",C65&lt;&gt;"Culvert"),"Not possible ▲",IF(AND(C65="Culvert",X65&lt;&gt;"N/A - Culvert"),"Not possible ▲",IF(VLOOKUP(X65,'G-7 WaterC'' Data'!$AD$4:$AE$14,2,FALSE)=0,"Enrcoachment Data Missing ⚠",VLOOKUP(X65,'G-7 WaterC'' Data'!$AD$4:$AE$14,2,FALSE)))))</f>
        <v/>
      </c>
      <c r="Z65" s="102"/>
      <c r="AA65" s="276" t="str">
        <f>IF(Z65="","",IF(VLOOKUP(Z65,'G-7 WaterC'' Data'!$AO$4:$BO$7,2,FALSE)=0,"Spatial Data Missing ⚠",VLOOKUP(Z65,'G-7 WaterC'' Data'!$AO$4:$BO$7,2,FALSE)))</f>
        <v/>
      </c>
      <c r="AB65" s="317" t="str">
        <f t="shared" si="4"/>
        <v/>
      </c>
      <c r="AC65" s="317" t="str">
        <f t="shared" si="5"/>
        <v/>
      </c>
      <c r="AD65" s="101"/>
      <c r="AE65" s="938"/>
      <c r="AF65" s="138"/>
      <c r="AG65" s="138"/>
      <c r="AH65" s="934"/>
      <c r="AL65" s="30" t="str">
        <f>IFERROR(INDEX('G-7 WaterC'' Data'!$AZ$3:$AZ$7,MATCH(C65,'G-7 WaterC'' Data'!$AY$3:$AY$7,0)),"")</f>
        <v/>
      </c>
      <c r="AN65" s="30" t="str">
        <f t="shared" si="6"/>
        <v>No</v>
      </c>
    </row>
    <row r="66" spans="2:40" ht="14">
      <c r="B66" s="97">
        <v>55</v>
      </c>
      <c r="C66" s="923"/>
      <c r="D66" s="115"/>
      <c r="E66" s="275" t="str">
        <f>IF(C66="","",VLOOKUP(C66,'G-7 WaterC'' Data'!$B$2:$Z$9,2,FALSE))</f>
        <v/>
      </c>
      <c r="F66" s="276" t="str">
        <f>IFERROR(VLOOKUP(E66,'G-7 WaterC'' Data'!$C$4:$D$8,2,FALSE),"")</f>
        <v/>
      </c>
      <c r="G66" s="52"/>
      <c r="H66" s="276" t="str">
        <f>IFERROR(INDEX('G-7 WaterC'' Data'!$H$4:$L$8,MATCH(C66,'G-7 WaterC'' Data'!$B$4:$B$8,0),MATCH(G66,'G-7 WaterC'' Data'!$H$3:$L$3,0)),"")</f>
        <v/>
      </c>
      <c r="I66" s="52"/>
      <c r="J66" s="314" t="str">
        <f>IF(I66="","",IF(VLOOKUP(I66,'G-7 WaterC'' Data'!$AK$4:$AM$6,2,FALSE)=0,"Spatial Data Missing ⚠",VLOOKUP(I66,'G-7 WaterC'' Data'!$AK$4:$AM$6,2,FALSE)))</f>
        <v/>
      </c>
      <c r="K66" s="276" t="str">
        <f>IF(I66="","",IF(VLOOKUP(I66,'G-7 WaterC'' Data'!$AK$4:$AM$6,3,FALSE)=0,"Spatial Data Missing ⚠",VLOOKUP(I66,'G-7 WaterC'' Data'!$AK$4:$AM$6,3,FALSE)))</f>
        <v/>
      </c>
      <c r="L66" s="372" t="str">
        <f>IFERROR(INDEX('G-7 WaterC'' Data'!$O$3:$O$7,MATCH(G66,'G-7 WaterC'' Data'!$N$3:$N$7,0)),"")</f>
        <v/>
      </c>
      <c r="M66" s="53"/>
      <c r="N66" s="133"/>
      <c r="O66" s="283" t="str">
        <f t="shared" si="0"/>
        <v/>
      </c>
      <c r="P66" s="296" t="str">
        <f t="shared" si="1"/>
        <v/>
      </c>
      <c r="Q66" s="334" t="str">
        <f>IFERROR(IF(P66="Check Data ⚠","Check Data ⚠",VLOOKUP(P66,'G-4 Temporal multipliers'!$A$4:$C$37,3,FALSE)),"")</f>
        <v/>
      </c>
      <c r="R66" s="275" t="str">
        <f>IF(C66="","",VLOOKUP(C66,'G-7 WaterC'' Data'!$B$4:$G$8,4,FALSE))</f>
        <v/>
      </c>
      <c r="S66" s="283" t="str">
        <f t="shared" si="2"/>
        <v/>
      </c>
      <c r="T66" s="314" t="str">
        <f t="shared" si="3"/>
        <v/>
      </c>
      <c r="U66" s="276" t="str">
        <f>IF(C66="","",VLOOKUP(T66,'G-3 Multipliers'!$P$2:$Q$6,2,FALSE))</f>
        <v/>
      </c>
      <c r="V66" s="102"/>
      <c r="W66" s="276" t="str">
        <f>IF(V66="","",IF(AND(V66="N/A - Culvert",C66&lt;&gt;"Culvert"),"Not possible ▲",IF(AND(C66="Culvert",V66&lt;&gt;"N/A - Culvert"),"Not possible ▲",IF(VLOOKUP(V66,'G-7 WaterC'' Data'!$AA$4:$AB$7,2,FALSE)=0,"Spatial Data Missing ⚠",VLOOKUP(V66,'G-7 WaterC'' Data'!$AA$4:$AB$7,2,FALSE)))))</f>
        <v/>
      </c>
      <c r="X66" s="56"/>
      <c r="Y66" s="276" t="str">
        <f>IF(X66="","",IF(AND(X66="N/A - Culvert",C66&lt;&gt;"Culvert"),"Not possible ▲",IF(AND(C66="Culvert",X66&lt;&gt;"N/A - Culvert"),"Not possible ▲",IF(VLOOKUP(X66,'G-7 WaterC'' Data'!$AD$4:$AE$14,2,FALSE)=0,"Enrcoachment Data Missing ⚠",VLOOKUP(X66,'G-7 WaterC'' Data'!$AD$4:$AE$14,2,FALSE)))))</f>
        <v/>
      </c>
      <c r="Z66" s="102"/>
      <c r="AA66" s="276" t="str">
        <f>IF(Z66="","",IF(VLOOKUP(Z66,'G-7 WaterC'' Data'!$AO$4:$BO$7,2,FALSE)=0,"Spatial Data Missing ⚠",VLOOKUP(Z66,'G-7 WaterC'' Data'!$AO$4:$BO$7,2,FALSE)))</f>
        <v/>
      </c>
      <c r="AB66" s="317" t="str">
        <f t="shared" si="4"/>
        <v/>
      </c>
      <c r="AC66" s="317" t="str">
        <f t="shared" si="5"/>
        <v/>
      </c>
      <c r="AD66" s="101"/>
      <c r="AE66" s="938"/>
      <c r="AF66" s="138"/>
      <c r="AG66" s="138"/>
      <c r="AH66" s="934"/>
      <c r="AL66" s="30" t="str">
        <f>IFERROR(INDEX('G-7 WaterC'' Data'!$AZ$3:$AZ$7,MATCH(C66,'G-7 WaterC'' Data'!$AY$3:$AY$7,0)),"")</f>
        <v/>
      </c>
      <c r="AN66" s="30" t="str">
        <f t="shared" si="6"/>
        <v>No</v>
      </c>
    </row>
    <row r="67" spans="2:40" ht="14">
      <c r="B67" s="97">
        <v>56</v>
      </c>
      <c r="C67" s="923"/>
      <c r="D67" s="115"/>
      <c r="E67" s="275" t="str">
        <f>IF(C67="","",VLOOKUP(C67,'G-7 WaterC'' Data'!$B$2:$Z$9,2,FALSE))</f>
        <v/>
      </c>
      <c r="F67" s="276" t="str">
        <f>IFERROR(VLOOKUP(E67,'G-7 WaterC'' Data'!$C$4:$D$8,2,FALSE),"")</f>
        <v/>
      </c>
      <c r="G67" s="52"/>
      <c r="H67" s="276" t="str">
        <f>IFERROR(INDEX('G-7 WaterC'' Data'!$H$4:$L$8,MATCH(C67,'G-7 WaterC'' Data'!$B$4:$B$8,0),MATCH(G67,'G-7 WaterC'' Data'!$H$3:$L$3,0)),"")</f>
        <v/>
      </c>
      <c r="I67" s="52"/>
      <c r="J67" s="314" t="str">
        <f>IF(I67="","",IF(VLOOKUP(I67,'G-7 WaterC'' Data'!$AK$4:$AM$6,2,FALSE)=0,"Spatial Data Missing ⚠",VLOOKUP(I67,'G-7 WaterC'' Data'!$AK$4:$AM$6,2,FALSE)))</f>
        <v/>
      </c>
      <c r="K67" s="276" t="str">
        <f>IF(I67="","",IF(VLOOKUP(I67,'G-7 WaterC'' Data'!$AK$4:$AM$6,3,FALSE)=0,"Spatial Data Missing ⚠",VLOOKUP(I67,'G-7 WaterC'' Data'!$AK$4:$AM$6,3,FALSE)))</f>
        <v/>
      </c>
      <c r="L67" s="372" t="str">
        <f>IFERROR(INDEX('G-7 WaterC'' Data'!$O$3:$O$7,MATCH(G67,'G-7 WaterC'' Data'!$N$3:$N$7,0)),"")</f>
        <v/>
      </c>
      <c r="M67" s="53"/>
      <c r="N67" s="133"/>
      <c r="O67" s="283" t="str">
        <f t="shared" si="0"/>
        <v/>
      </c>
      <c r="P67" s="296" t="str">
        <f t="shared" si="1"/>
        <v/>
      </c>
      <c r="Q67" s="334" t="str">
        <f>IFERROR(IF(P67="Check Data ⚠","Check Data ⚠",VLOOKUP(P67,'G-4 Temporal multipliers'!$A$4:$C$37,3,FALSE)),"")</f>
        <v/>
      </c>
      <c r="R67" s="275" t="str">
        <f>IF(C67="","",VLOOKUP(C67,'G-7 WaterC'' Data'!$B$4:$G$8,4,FALSE))</f>
        <v/>
      </c>
      <c r="S67" s="283" t="str">
        <f t="shared" si="2"/>
        <v/>
      </c>
      <c r="T67" s="314" t="str">
        <f t="shared" si="3"/>
        <v/>
      </c>
      <c r="U67" s="276" t="str">
        <f>IF(C67="","",VLOOKUP(T67,'G-3 Multipliers'!$P$2:$Q$6,2,FALSE))</f>
        <v/>
      </c>
      <c r="V67" s="102"/>
      <c r="W67" s="276" t="str">
        <f>IF(V67="","",IF(AND(V67="N/A - Culvert",C67&lt;&gt;"Culvert"),"Not possible ▲",IF(AND(C67="Culvert",V67&lt;&gt;"N/A - Culvert"),"Not possible ▲",IF(VLOOKUP(V67,'G-7 WaterC'' Data'!$AA$4:$AB$7,2,FALSE)=0,"Spatial Data Missing ⚠",VLOOKUP(V67,'G-7 WaterC'' Data'!$AA$4:$AB$7,2,FALSE)))))</f>
        <v/>
      </c>
      <c r="X67" s="56"/>
      <c r="Y67" s="276" t="str">
        <f>IF(X67="","",IF(AND(X67="N/A - Culvert",C67&lt;&gt;"Culvert"),"Not possible ▲",IF(AND(C67="Culvert",X67&lt;&gt;"N/A - Culvert"),"Not possible ▲",IF(VLOOKUP(X67,'G-7 WaterC'' Data'!$AD$4:$AE$14,2,FALSE)=0,"Enrcoachment Data Missing ⚠",VLOOKUP(X67,'G-7 WaterC'' Data'!$AD$4:$AE$14,2,FALSE)))))</f>
        <v/>
      </c>
      <c r="Z67" s="102"/>
      <c r="AA67" s="276" t="str">
        <f>IF(Z67="","",IF(VLOOKUP(Z67,'G-7 WaterC'' Data'!$AO$4:$BO$7,2,FALSE)=0,"Spatial Data Missing ⚠",VLOOKUP(Z67,'G-7 WaterC'' Data'!$AO$4:$BO$7,2,FALSE)))</f>
        <v/>
      </c>
      <c r="AB67" s="317" t="str">
        <f t="shared" si="4"/>
        <v/>
      </c>
      <c r="AC67" s="317" t="str">
        <f t="shared" si="5"/>
        <v/>
      </c>
      <c r="AD67" s="101"/>
      <c r="AE67" s="938"/>
      <c r="AF67" s="138"/>
      <c r="AG67" s="138"/>
      <c r="AH67" s="934"/>
      <c r="AL67" s="30" t="str">
        <f>IFERROR(INDEX('G-7 WaterC'' Data'!$AZ$3:$AZ$7,MATCH(C67,'G-7 WaterC'' Data'!$AY$3:$AY$7,0)),"")</f>
        <v/>
      </c>
      <c r="AN67" s="30" t="str">
        <f t="shared" si="6"/>
        <v>No</v>
      </c>
    </row>
    <row r="68" spans="2:40" ht="14">
      <c r="B68" s="97">
        <v>57</v>
      </c>
      <c r="C68" s="923"/>
      <c r="D68" s="115"/>
      <c r="E68" s="275" t="str">
        <f>IF(C68="","",VLOOKUP(C68,'G-7 WaterC'' Data'!$B$2:$Z$9,2,FALSE))</f>
        <v/>
      </c>
      <c r="F68" s="276" t="str">
        <f>IFERROR(VLOOKUP(E68,'G-7 WaterC'' Data'!$C$4:$D$8,2,FALSE),"")</f>
        <v/>
      </c>
      <c r="G68" s="52"/>
      <c r="H68" s="276" t="str">
        <f>IFERROR(INDEX('G-7 WaterC'' Data'!$H$4:$L$8,MATCH(C68,'G-7 WaterC'' Data'!$B$4:$B$8,0),MATCH(G68,'G-7 WaterC'' Data'!$H$3:$L$3,0)),"")</f>
        <v/>
      </c>
      <c r="I68" s="52"/>
      <c r="J68" s="314" t="str">
        <f>IF(I68="","",IF(VLOOKUP(I68,'G-7 WaterC'' Data'!$AK$4:$AM$6,2,FALSE)=0,"Spatial Data Missing ⚠",VLOOKUP(I68,'G-7 WaterC'' Data'!$AK$4:$AM$6,2,FALSE)))</f>
        <v/>
      </c>
      <c r="K68" s="276" t="str">
        <f>IF(I68="","",IF(VLOOKUP(I68,'G-7 WaterC'' Data'!$AK$4:$AM$6,3,FALSE)=0,"Spatial Data Missing ⚠",VLOOKUP(I68,'G-7 WaterC'' Data'!$AK$4:$AM$6,3,FALSE)))</f>
        <v/>
      </c>
      <c r="L68" s="372" t="str">
        <f>IFERROR(INDEX('G-7 WaterC'' Data'!$O$3:$O$7,MATCH(G68,'G-7 WaterC'' Data'!$N$3:$N$7,0)),"")</f>
        <v/>
      </c>
      <c r="M68" s="53"/>
      <c r="N68" s="133"/>
      <c r="O68" s="283" t="str">
        <f t="shared" si="0"/>
        <v/>
      </c>
      <c r="P68" s="296" t="str">
        <f t="shared" si="1"/>
        <v/>
      </c>
      <c r="Q68" s="334" t="str">
        <f>IFERROR(IF(P68="Check Data ⚠","Check Data ⚠",VLOOKUP(P68,'G-4 Temporal multipliers'!$A$4:$C$37,3,FALSE)),"")</f>
        <v/>
      </c>
      <c r="R68" s="275" t="str">
        <f>IF(C68="","",VLOOKUP(C68,'G-7 WaterC'' Data'!$B$4:$G$8,4,FALSE))</f>
        <v/>
      </c>
      <c r="S68" s="283" t="str">
        <f t="shared" si="2"/>
        <v/>
      </c>
      <c r="T68" s="314" t="str">
        <f t="shared" si="3"/>
        <v/>
      </c>
      <c r="U68" s="276" t="str">
        <f>IF(C68="","",VLOOKUP(T68,'G-3 Multipliers'!$P$2:$Q$6,2,FALSE))</f>
        <v/>
      </c>
      <c r="V68" s="102"/>
      <c r="W68" s="276" t="str">
        <f>IF(V68="","",IF(AND(V68="N/A - Culvert",C68&lt;&gt;"Culvert"),"Not possible ▲",IF(AND(C68="Culvert",V68&lt;&gt;"N/A - Culvert"),"Not possible ▲",IF(VLOOKUP(V68,'G-7 WaterC'' Data'!$AA$4:$AB$7,2,FALSE)=0,"Spatial Data Missing ⚠",VLOOKUP(V68,'G-7 WaterC'' Data'!$AA$4:$AB$7,2,FALSE)))))</f>
        <v/>
      </c>
      <c r="X68" s="56"/>
      <c r="Y68" s="276" t="str">
        <f>IF(X68="","",IF(AND(X68="N/A - Culvert",C68&lt;&gt;"Culvert"),"Not possible ▲",IF(AND(C68="Culvert",X68&lt;&gt;"N/A - Culvert"),"Not possible ▲",IF(VLOOKUP(X68,'G-7 WaterC'' Data'!$AD$4:$AE$14,2,FALSE)=0,"Enrcoachment Data Missing ⚠",VLOOKUP(X68,'G-7 WaterC'' Data'!$AD$4:$AE$14,2,FALSE)))))</f>
        <v/>
      </c>
      <c r="Z68" s="102"/>
      <c r="AA68" s="276" t="str">
        <f>IF(Z68="","",IF(VLOOKUP(Z68,'G-7 WaterC'' Data'!$AO$4:$BO$7,2,FALSE)=0,"Spatial Data Missing ⚠",VLOOKUP(Z68,'G-7 WaterC'' Data'!$AO$4:$BO$7,2,FALSE)))</f>
        <v/>
      </c>
      <c r="AB68" s="317" t="str">
        <f t="shared" si="4"/>
        <v/>
      </c>
      <c r="AC68" s="317" t="str">
        <f t="shared" si="5"/>
        <v/>
      </c>
      <c r="AD68" s="101"/>
      <c r="AE68" s="938"/>
      <c r="AF68" s="138"/>
      <c r="AG68" s="138"/>
      <c r="AH68" s="934"/>
      <c r="AL68" s="30" t="str">
        <f>IFERROR(INDEX('G-7 WaterC'' Data'!$AZ$3:$AZ$7,MATCH(C68,'G-7 WaterC'' Data'!$AY$3:$AY$7,0)),"")</f>
        <v/>
      </c>
      <c r="AN68" s="30" t="str">
        <f t="shared" si="6"/>
        <v>No</v>
      </c>
    </row>
    <row r="69" spans="2:40" ht="14">
      <c r="B69" s="97">
        <v>58</v>
      </c>
      <c r="C69" s="923"/>
      <c r="D69" s="115"/>
      <c r="E69" s="275" t="str">
        <f>IF(C69="","",VLOOKUP(C69,'G-7 WaterC'' Data'!$B$2:$Z$9,2,FALSE))</f>
        <v/>
      </c>
      <c r="F69" s="276" t="str">
        <f>IFERROR(VLOOKUP(E69,'G-7 WaterC'' Data'!$C$4:$D$8,2,FALSE),"")</f>
        <v/>
      </c>
      <c r="G69" s="52"/>
      <c r="H69" s="276" t="str">
        <f>IFERROR(INDEX('G-7 WaterC'' Data'!$H$4:$L$8,MATCH(C69,'G-7 WaterC'' Data'!$B$4:$B$8,0),MATCH(G69,'G-7 WaterC'' Data'!$H$3:$L$3,0)),"")</f>
        <v/>
      </c>
      <c r="I69" s="52"/>
      <c r="J69" s="314" t="str">
        <f>IF(I69="","",IF(VLOOKUP(I69,'G-7 WaterC'' Data'!$AK$4:$AM$6,2,FALSE)=0,"Spatial Data Missing ⚠",VLOOKUP(I69,'G-7 WaterC'' Data'!$AK$4:$AM$6,2,FALSE)))</f>
        <v/>
      </c>
      <c r="K69" s="276" t="str">
        <f>IF(I69="","",IF(VLOOKUP(I69,'G-7 WaterC'' Data'!$AK$4:$AM$6,3,FALSE)=0,"Spatial Data Missing ⚠",VLOOKUP(I69,'G-7 WaterC'' Data'!$AK$4:$AM$6,3,FALSE)))</f>
        <v/>
      </c>
      <c r="L69" s="372" t="str">
        <f>IFERROR(INDEX('G-7 WaterC'' Data'!$O$3:$O$7,MATCH(G69,'G-7 WaterC'' Data'!$N$3:$N$7,0)),"")</f>
        <v/>
      </c>
      <c r="M69" s="53"/>
      <c r="N69" s="133"/>
      <c r="O69" s="283" t="str">
        <f t="shared" si="0"/>
        <v/>
      </c>
      <c r="P69" s="296" t="str">
        <f t="shared" si="1"/>
        <v/>
      </c>
      <c r="Q69" s="334" t="str">
        <f>IFERROR(IF(P69="Check Data ⚠","Check Data ⚠",VLOOKUP(P69,'G-4 Temporal multipliers'!$A$4:$C$37,3,FALSE)),"")</f>
        <v/>
      </c>
      <c r="R69" s="275" t="str">
        <f>IF(C69="","",VLOOKUP(C69,'G-7 WaterC'' Data'!$B$4:$G$8,4,FALSE))</f>
        <v/>
      </c>
      <c r="S69" s="283" t="str">
        <f t="shared" si="2"/>
        <v/>
      </c>
      <c r="T69" s="314" t="str">
        <f t="shared" si="3"/>
        <v/>
      </c>
      <c r="U69" s="276" t="str">
        <f>IF(C69="","",VLOOKUP(T69,'G-3 Multipliers'!$P$2:$Q$6,2,FALSE))</f>
        <v/>
      </c>
      <c r="V69" s="102"/>
      <c r="W69" s="276" t="str">
        <f>IF(V69="","",IF(AND(V69="N/A - Culvert",C69&lt;&gt;"Culvert"),"Not possible ▲",IF(AND(C69="Culvert",V69&lt;&gt;"N/A - Culvert"),"Not possible ▲",IF(VLOOKUP(V69,'G-7 WaterC'' Data'!$AA$4:$AB$7,2,FALSE)=0,"Spatial Data Missing ⚠",VLOOKUP(V69,'G-7 WaterC'' Data'!$AA$4:$AB$7,2,FALSE)))))</f>
        <v/>
      </c>
      <c r="X69" s="56"/>
      <c r="Y69" s="276" t="str">
        <f>IF(X69="","",IF(AND(X69="N/A - Culvert",C69&lt;&gt;"Culvert"),"Not possible ▲",IF(AND(C69="Culvert",X69&lt;&gt;"N/A - Culvert"),"Not possible ▲",IF(VLOOKUP(X69,'G-7 WaterC'' Data'!$AD$4:$AE$14,2,FALSE)=0,"Enrcoachment Data Missing ⚠",VLOOKUP(X69,'G-7 WaterC'' Data'!$AD$4:$AE$14,2,FALSE)))))</f>
        <v/>
      </c>
      <c r="Z69" s="102"/>
      <c r="AA69" s="276" t="str">
        <f>IF(Z69="","",IF(VLOOKUP(Z69,'G-7 WaterC'' Data'!$AO$4:$BO$7,2,FALSE)=0,"Spatial Data Missing ⚠",VLOOKUP(Z69,'G-7 WaterC'' Data'!$AO$4:$BO$7,2,FALSE)))</f>
        <v/>
      </c>
      <c r="AB69" s="317" t="str">
        <f t="shared" si="4"/>
        <v/>
      </c>
      <c r="AC69" s="317" t="str">
        <f t="shared" si="5"/>
        <v/>
      </c>
      <c r="AD69" s="101"/>
      <c r="AE69" s="938"/>
      <c r="AF69" s="138"/>
      <c r="AG69" s="138"/>
      <c r="AH69" s="934"/>
      <c r="AL69" s="30" t="str">
        <f>IFERROR(INDEX('G-7 WaterC'' Data'!$AZ$3:$AZ$7,MATCH(C69,'G-7 WaterC'' Data'!$AY$3:$AY$7,0)),"")</f>
        <v/>
      </c>
      <c r="AN69" s="30" t="str">
        <f t="shared" si="6"/>
        <v>No</v>
      </c>
    </row>
    <row r="70" spans="2:40" ht="14">
      <c r="B70" s="97">
        <v>59</v>
      </c>
      <c r="C70" s="923"/>
      <c r="D70" s="115"/>
      <c r="E70" s="275" t="str">
        <f>IF(C70="","",VLOOKUP(C70,'G-7 WaterC'' Data'!$B$2:$Z$9,2,FALSE))</f>
        <v/>
      </c>
      <c r="F70" s="276" t="str">
        <f>IFERROR(VLOOKUP(E70,'G-7 WaterC'' Data'!$C$4:$D$8,2,FALSE),"")</f>
        <v/>
      </c>
      <c r="G70" s="52"/>
      <c r="H70" s="276" t="str">
        <f>IFERROR(INDEX('G-7 WaterC'' Data'!$H$4:$L$8,MATCH(C70,'G-7 WaterC'' Data'!$B$4:$B$8,0),MATCH(G70,'G-7 WaterC'' Data'!$H$3:$L$3,0)),"")</f>
        <v/>
      </c>
      <c r="I70" s="52"/>
      <c r="J70" s="314" t="str">
        <f>IF(I70="","",IF(VLOOKUP(I70,'G-7 WaterC'' Data'!$AK$4:$AM$6,2,FALSE)=0,"Spatial Data Missing ⚠",VLOOKUP(I70,'G-7 WaterC'' Data'!$AK$4:$AM$6,2,FALSE)))</f>
        <v/>
      </c>
      <c r="K70" s="276" t="str">
        <f>IF(I70="","",IF(VLOOKUP(I70,'G-7 WaterC'' Data'!$AK$4:$AM$6,3,FALSE)=0,"Spatial Data Missing ⚠",VLOOKUP(I70,'G-7 WaterC'' Data'!$AK$4:$AM$6,3,FALSE)))</f>
        <v/>
      </c>
      <c r="L70" s="372" t="str">
        <f>IFERROR(INDEX('G-7 WaterC'' Data'!$O$3:$O$7,MATCH(G70,'G-7 WaterC'' Data'!$N$3:$N$7,0)),"")</f>
        <v/>
      </c>
      <c r="M70" s="53"/>
      <c r="N70" s="133"/>
      <c r="O70" s="283" t="str">
        <f t="shared" si="0"/>
        <v/>
      </c>
      <c r="P70" s="296" t="str">
        <f t="shared" si="1"/>
        <v/>
      </c>
      <c r="Q70" s="334" t="str">
        <f>IFERROR(IF(P70="Check Data ⚠","Check Data ⚠",VLOOKUP(P70,'G-4 Temporal multipliers'!$A$4:$C$37,3,FALSE)),"")</f>
        <v/>
      </c>
      <c r="R70" s="275" t="str">
        <f>IF(C70="","",VLOOKUP(C70,'G-7 WaterC'' Data'!$B$4:$G$8,4,FALSE))</f>
        <v/>
      </c>
      <c r="S70" s="283" t="str">
        <f t="shared" si="2"/>
        <v/>
      </c>
      <c r="T70" s="314" t="str">
        <f t="shared" si="3"/>
        <v/>
      </c>
      <c r="U70" s="276" t="str">
        <f>IF(C70="","",VLOOKUP(T70,'G-3 Multipliers'!$P$2:$Q$6,2,FALSE))</f>
        <v/>
      </c>
      <c r="V70" s="102"/>
      <c r="W70" s="276" t="str">
        <f>IF(V70="","",IF(AND(V70="N/A - Culvert",C70&lt;&gt;"Culvert"),"Not possible ▲",IF(AND(C70="Culvert",V70&lt;&gt;"N/A - Culvert"),"Not possible ▲",IF(VLOOKUP(V70,'G-7 WaterC'' Data'!$AA$4:$AB$7,2,FALSE)=0,"Spatial Data Missing ⚠",VLOOKUP(V70,'G-7 WaterC'' Data'!$AA$4:$AB$7,2,FALSE)))))</f>
        <v/>
      </c>
      <c r="X70" s="56"/>
      <c r="Y70" s="276" t="str">
        <f>IF(X70="","",IF(AND(X70="N/A - Culvert",C70&lt;&gt;"Culvert"),"Not possible ▲",IF(AND(C70="Culvert",X70&lt;&gt;"N/A - Culvert"),"Not possible ▲",IF(VLOOKUP(X70,'G-7 WaterC'' Data'!$AD$4:$AE$14,2,FALSE)=0,"Enrcoachment Data Missing ⚠",VLOOKUP(X70,'G-7 WaterC'' Data'!$AD$4:$AE$14,2,FALSE)))))</f>
        <v/>
      </c>
      <c r="Z70" s="102"/>
      <c r="AA70" s="276" t="str">
        <f>IF(Z70="","",IF(VLOOKUP(Z70,'G-7 WaterC'' Data'!$AO$4:$BO$7,2,FALSE)=0,"Spatial Data Missing ⚠",VLOOKUP(Z70,'G-7 WaterC'' Data'!$AO$4:$BO$7,2,FALSE)))</f>
        <v/>
      </c>
      <c r="AB70" s="317" t="str">
        <f t="shared" si="4"/>
        <v/>
      </c>
      <c r="AC70" s="317" t="str">
        <f t="shared" si="5"/>
        <v/>
      </c>
      <c r="AD70" s="101"/>
      <c r="AE70" s="938"/>
      <c r="AF70" s="138"/>
      <c r="AG70" s="138"/>
      <c r="AH70" s="934"/>
      <c r="AL70" s="30" t="str">
        <f>IFERROR(INDEX('G-7 WaterC'' Data'!$AZ$3:$AZ$7,MATCH(C70,'G-7 WaterC'' Data'!$AY$3:$AY$7,0)),"")</f>
        <v/>
      </c>
      <c r="AN70" s="30" t="str">
        <f t="shared" si="6"/>
        <v>No</v>
      </c>
    </row>
    <row r="71" spans="2:40" ht="14">
      <c r="B71" s="97">
        <v>60</v>
      </c>
      <c r="C71" s="923"/>
      <c r="D71" s="115"/>
      <c r="E71" s="275" t="str">
        <f>IF(C71="","",VLOOKUP(C71,'G-7 WaterC'' Data'!$B$2:$Z$9,2,FALSE))</f>
        <v/>
      </c>
      <c r="F71" s="276" t="str">
        <f>IFERROR(VLOOKUP(E71,'G-7 WaterC'' Data'!$C$4:$D$8,2,FALSE),"")</f>
        <v/>
      </c>
      <c r="G71" s="52"/>
      <c r="H71" s="276" t="str">
        <f>IFERROR(INDEX('G-7 WaterC'' Data'!$H$4:$L$8,MATCH(C71,'G-7 WaterC'' Data'!$B$4:$B$8,0),MATCH(G71,'G-7 WaterC'' Data'!$H$3:$L$3,0)),"")</f>
        <v/>
      </c>
      <c r="I71" s="52"/>
      <c r="J71" s="314" t="str">
        <f>IF(I71="","",IF(VLOOKUP(I71,'G-7 WaterC'' Data'!$AK$4:$AM$6,2,FALSE)=0,"Spatial Data Missing ⚠",VLOOKUP(I71,'G-7 WaterC'' Data'!$AK$4:$AM$6,2,FALSE)))</f>
        <v/>
      </c>
      <c r="K71" s="276" t="str">
        <f>IF(I71="","",IF(VLOOKUP(I71,'G-7 WaterC'' Data'!$AK$4:$AM$6,3,FALSE)=0,"Spatial Data Missing ⚠",VLOOKUP(I71,'G-7 WaterC'' Data'!$AK$4:$AM$6,3,FALSE)))</f>
        <v/>
      </c>
      <c r="L71" s="372" t="str">
        <f>IFERROR(INDEX('G-7 WaterC'' Data'!$O$3:$O$7,MATCH(G71,'G-7 WaterC'' Data'!$N$3:$N$7,0)),"")</f>
        <v/>
      </c>
      <c r="M71" s="53"/>
      <c r="N71" s="133"/>
      <c r="O71" s="283" t="str">
        <f t="shared" si="0"/>
        <v/>
      </c>
      <c r="P71" s="296" t="str">
        <f t="shared" si="1"/>
        <v/>
      </c>
      <c r="Q71" s="334" t="str">
        <f>IFERROR(IF(P71="Check Data ⚠","Check Data ⚠",VLOOKUP(P71,'G-4 Temporal multipliers'!$A$4:$C$37,3,FALSE)),"")</f>
        <v/>
      </c>
      <c r="R71" s="275" t="str">
        <f>IF(C71="","",VLOOKUP(C71,'G-7 WaterC'' Data'!$B$4:$G$8,4,FALSE))</f>
        <v/>
      </c>
      <c r="S71" s="283" t="str">
        <f t="shared" si="2"/>
        <v/>
      </c>
      <c r="T71" s="314" t="str">
        <f t="shared" si="3"/>
        <v/>
      </c>
      <c r="U71" s="276" t="str">
        <f>IF(C71="","",VLOOKUP(T71,'G-3 Multipliers'!$P$2:$Q$6,2,FALSE))</f>
        <v/>
      </c>
      <c r="V71" s="102"/>
      <c r="W71" s="276" t="str">
        <f>IF(V71="","",IF(AND(V71="N/A - Culvert",C71&lt;&gt;"Culvert"),"Not possible ▲",IF(AND(C71="Culvert",V71&lt;&gt;"N/A - Culvert"),"Not possible ▲",IF(VLOOKUP(V71,'G-7 WaterC'' Data'!$AA$4:$AB$7,2,FALSE)=0,"Spatial Data Missing ⚠",VLOOKUP(V71,'G-7 WaterC'' Data'!$AA$4:$AB$7,2,FALSE)))))</f>
        <v/>
      </c>
      <c r="X71" s="56"/>
      <c r="Y71" s="276" t="str">
        <f>IF(X71="","",IF(AND(X71="N/A - Culvert",C71&lt;&gt;"Culvert"),"Not possible ▲",IF(AND(C71="Culvert",X71&lt;&gt;"N/A - Culvert"),"Not possible ▲",IF(VLOOKUP(X71,'G-7 WaterC'' Data'!$AD$4:$AE$14,2,FALSE)=0,"Enrcoachment Data Missing ⚠",VLOOKUP(X71,'G-7 WaterC'' Data'!$AD$4:$AE$14,2,FALSE)))))</f>
        <v/>
      </c>
      <c r="Z71" s="102"/>
      <c r="AA71" s="276" t="str">
        <f>IF(Z71="","",IF(VLOOKUP(Z71,'G-7 WaterC'' Data'!$AO$4:$BO$7,2,FALSE)=0,"Spatial Data Missing ⚠",VLOOKUP(Z71,'G-7 WaterC'' Data'!$AO$4:$BO$7,2,FALSE)))</f>
        <v/>
      </c>
      <c r="AB71" s="317" t="str">
        <f t="shared" si="4"/>
        <v/>
      </c>
      <c r="AC71" s="317" t="str">
        <f t="shared" si="5"/>
        <v/>
      </c>
      <c r="AD71" s="101"/>
      <c r="AE71" s="938"/>
      <c r="AF71" s="138"/>
      <c r="AG71" s="138"/>
      <c r="AH71" s="934"/>
      <c r="AL71" s="30" t="str">
        <f>IFERROR(INDEX('G-7 WaterC'' Data'!$AZ$3:$AZ$7,MATCH(C71,'G-7 WaterC'' Data'!$AY$3:$AY$7,0)),"")</f>
        <v/>
      </c>
      <c r="AN71" s="30" t="str">
        <f t="shared" si="6"/>
        <v>No</v>
      </c>
    </row>
    <row r="72" spans="2:40" ht="14">
      <c r="B72" s="97">
        <v>61</v>
      </c>
      <c r="C72" s="923"/>
      <c r="D72" s="115"/>
      <c r="E72" s="275" t="str">
        <f>IF(C72="","",VLOOKUP(C72,'G-7 WaterC'' Data'!$B$2:$Z$9,2,FALSE))</f>
        <v/>
      </c>
      <c r="F72" s="276" t="str">
        <f>IFERROR(VLOOKUP(E72,'G-7 WaterC'' Data'!$C$4:$D$8,2,FALSE),"")</f>
        <v/>
      </c>
      <c r="G72" s="52"/>
      <c r="H72" s="276" t="str">
        <f>IFERROR(INDEX('G-7 WaterC'' Data'!$H$4:$L$8,MATCH(C72,'G-7 WaterC'' Data'!$B$4:$B$8,0),MATCH(G72,'G-7 WaterC'' Data'!$H$3:$L$3,0)),"")</f>
        <v/>
      </c>
      <c r="I72" s="52"/>
      <c r="J72" s="314" t="str">
        <f>IF(I72="","",IF(VLOOKUP(I72,'G-7 WaterC'' Data'!$AK$4:$AM$6,2,FALSE)=0,"Spatial Data Missing ⚠",VLOOKUP(I72,'G-7 WaterC'' Data'!$AK$4:$AM$6,2,FALSE)))</f>
        <v/>
      </c>
      <c r="K72" s="276" t="str">
        <f>IF(I72="","",IF(VLOOKUP(I72,'G-7 WaterC'' Data'!$AK$4:$AM$6,3,FALSE)=0,"Spatial Data Missing ⚠",VLOOKUP(I72,'G-7 WaterC'' Data'!$AK$4:$AM$6,3,FALSE)))</f>
        <v/>
      </c>
      <c r="L72" s="372" t="str">
        <f>IFERROR(INDEX('G-7 WaterC'' Data'!$O$3:$O$7,MATCH(G72,'G-7 WaterC'' Data'!$N$3:$N$7,0)),"")</f>
        <v/>
      </c>
      <c r="M72" s="53"/>
      <c r="N72" s="133"/>
      <c r="O72" s="283" t="str">
        <f t="shared" si="0"/>
        <v/>
      </c>
      <c r="P72" s="296" t="str">
        <f t="shared" si="1"/>
        <v/>
      </c>
      <c r="Q72" s="334" t="str">
        <f>IFERROR(IF(P72="Check Data ⚠","Check Data ⚠",VLOOKUP(P72,'G-4 Temporal multipliers'!$A$4:$C$37,3,FALSE)),"")</f>
        <v/>
      </c>
      <c r="R72" s="275" t="str">
        <f>IF(C72="","",VLOOKUP(C72,'G-7 WaterC'' Data'!$B$4:$G$8,4,FALSE))</f>
        <v/>
      </c>
      <c r="S72" s="283" t="str">
        <f t="shared" si="2"/>
        <v/>
      </c>
      <c r="T72" s="314" t="str">
        <f t="shared" si="3"/>
        <v/>
      </c>
      <c r="U72" s="276" t="str">
        <f>IF(C72="","",VLOOKUP(T72,'G-3 Multipliers'!$P$2:$Q$6,2,FALSE))</f>
        <v/>
      </c>
      <c r="V72" s="102"/>
      <c r="W72" s="276" t="str">
        <f>IF(V72="","",IF(AND(V72="N/A - Culvert",C72&lt;&gt;"Culvert"),"Not possible ▲",IF(AND(C72="Culvert",V72&lt;&gt;"N/A - Culvert"),"Not possible ▲",IF(VLOOKUP(V72,'G-7 WaterC'' Data'!$AA$4:$AB$7,2,FALSE)=0,"Spatial Data Missing ⚠",VLOOKUP(V72,'G-7 WaterC'' Data'!$AA$4:$AB$7,2,FALSE)))))</f>
        <v/>
      </c>
      <c r="X72" s="56"/>
      <c r="Y72" s="276" t="str">
        <f>IF(X72="","",IF(AND(X72="N/A - Culvert",C72&lt;&gt;"Culvert"),"Not possible ▲",IF(AND(C72="Culvert",X72&lt;&gt;"N/A - Culvert"),"Not possible ▲",IF(VLOOKUP(X72,'G-7 WaterC'' Data'!$AD$4:$AE$14,2,FALSE)=0,"Enrcoachment Data Missing ⚠",VLOOKUP(X72,'G-7 WaterC'' Data'!$AD$4:$AE$14,2,FALSE)))))</f>
        <v/>
      </c>
      <c r="Z72" s="102"/>
      <c r="AA72" s="276" t="str">
        <f>IF(Z72="","",IF(VLOOKUP(Z72,'G-7 WaterC'' Data'!$AO$4:$BO$7,2,FALSE)=0,"Spatial Data Missing ⚠",VLOOKUP(Z72,'G-7 WaterC'' Data'!$AO$4:$BO$7,2,FALSE)))</f>
        <v/>
      </c>
      <c r="AB72" s="317" t="str">
        <f t="shared" si="4"/>
        <v/>
      </c>
      <c r="AC72" s="317" t="str">
        <f t="shared" si="5"/>
        <v/>
      </c>
      <c r="AD72" s="101"/>
      <c r="AE72" s="938"/>
      <c r="AF72" s="138"/>
      <c r="AG72" s="138"/>
      <c r="AH72" s="934"/>
      <c r="AL72" s="30" t="str">
        <f>IFERROR(INDEX('G-7 WaterC'' Data'!$AZ$3:$AZ$7,MATCH(C72,'G-7 WaterC'' Data'!$AY$3:$AY$7,0)),"")</f>
        <v/>
      </c>
      <c r="AN72" s="30" t="str">
        <f t="shared" si="6"/>
        <v>No</v>
      </c>
    </row>
    <row r="73" spans="2:40" ht="14">
      <c r="B73" s="97">
        <v>62</v>
      </c>
      <c r="C73" s="923"/>
      <c r="D73" s="115"/>
      <c r="E73" s="275" t="str">
        <f>IF(C73="","",VLOOKUP(C73,'G-7 WaterC'' Data'!$B$2:$Z$9,2,FALSE))</f>
        <v/>
      </c>
      <c r="F73" s="276" t="str">
        <f>IFERROR(VLOOKUP(E73,'G-7 WaterC'' Data'!$C$4:$D$8,2,FALSE),"")</f>
        <v/>
      </c>
      <c r="G73" s="52"/>
      <c r="H73" s="276" t="str">
        <f>IFERROR(INDEX('G-7 WaterC'' Data'!$H$4:$L$8,MATCH(C73,'G-7 WaterC'' Data'!$B$4:$B$8,0),MATCH(G73,'G-7 WaterC'' Data'!$H$3:$L$3,0)),"")</f>
        <v/>
      </c>
      <c r="I73" s="52"/>
      <c r="J73" s="314" t="str">
        <f>IF(I73="","",IF(VLOOKUP(I73,'G-7 WaterC'' Data'!$AK$4:$AM$6,2,FALSE)=0,"Spatial Data Missing ⚠",VLOOKUP(I73,'G-7 WaterC'' Data'!$AK$4:$AM$6,2,FALSE)))</f>
        <v/>
      </c>
      <c r="K73" s="276" t="str">
        <f>IF(I73="","",IF(VLOOKUP(I73,'G-7 WaterC'' Data'!$AK$4:$AM$6,3,FALSE)=0,"Spatial Data Missing ⚠",VLOOKUP(I73,'G-7 WaterC'' Data'!$AK$4:$AM$6,3,FALSE)))</f>
        <v/>
      </c>
      <c r="L73" s="372" t="str">
        <f>IFERROR(INDEX('G-7 WaterC'' Data'!$O$3:$O$7,MATCH(G73,'G-7 WaterC'' Data'!$N$3:$N$7,0)),"")</f>
        <v/>
      </c>
      <c r="M73" s="53"/>
      <c r="N73" s="133"/>
      <c r="O73" s="283" t="str">
        <f t="shared" si="0"/>
        <v/>
      </c>
      <c r="P73" s="296" t="str">
        <f t="shared" si="1"/>
        <v/>
      </c>
      <c r="Q73" s="334" t="str">
        <f>IFERROR(IF(P73="Check Data ⚠","Check Data ⚠",VLOOKUP(P73,'G-4 Temporal multipliers'!$A$4:$C$37,3,FALSE)),"")</f>
        <v/>
      </c>
      <c r="R73" s="275" t="str">
        <f>IF(C73="","",VLOOKUP(C73,'G-7 WaterC'' Data'!$B$4:$G$8,4,FALSE))</f>
        <v/>
      </c>
      <c r="S73" s="283" t="str">
        <f t="shared" si="2"/>
        <v/>
      </c>
      <c r="T73" s="314" t="str">
        <f t="shared" si="3"/>
        <v/>
      </c>
      <c r="U73" s="276" t="str">
        <f>IF(C73="","",VLOOKUP(T73,'G-3 Multipliers'!$P$2:$Q$6,2,FALSE))</f>
        <v/>
      </c>
      <c r="V73" s="102"/>
      <c r="W73" s="276" t="str">
        <f>IF(V73="","",IF(AND(V73="N/A - Culvert",C73&lt;&gt;"Culvert"),"Not possible ▲",IF(AND(C73="Culvert",V73&lt;&gt;"N/A - Culvert"),"Not possible ▲",IF(VLOOKUP(V73,'G-7 WaterC'' Data'!$AA$4:$AB$7,2,FALSE)=0,"Spatial Data Missing ⚠",VLOOKUP(V73,'G-7 WaterC'' Data'!$AA$4:$AB$7,2,FALSE)))))</f>
        <v/>
      </c>
      <c r="X73" s="56"/>
      <c r="Y73" s="276" t="str">
        <f>IF(X73="","",IF(AND(X73="N/A - Culvert",C73&lt;&gt;"Culvert"),"Not possible ▲",IF(AND(C73="Culvert",X73&lt;&gt;"N/A - Culvert"),"Not possible ▲",IF(VLOOKUP(X73,'G-7 WaterC'' Data'!$AD$4:$AE$14,2,FALSE)=0,"Enrcoachment Data Missing ⚠",VLOOKUP(X73,'G-7 WaterC'' Data'!$AD$4:$AE$14,2,FALSE)))))</f>
        <v/>
      </c>
      <c r="Z73" s="102"/>
      <c r="AA73" s="276" t="str">
        <f>IF(Z73="","",IF(VLOOKUP(Z73,'G-7 WaterC'' Data'!$AO$4:$BO$7,2,FALSE)=0,"Spatial Data Missing ⚠",VLOOKUP(Z73,'G-7 WaterC'' Data'!$AO$4:$BO$7,2,FALSE)))</f>
        <v/>
      </c>
      <c r="AB73" s="317" t="str">
        <f t="shared" si="4"/>
        <v/>
      </c>
      <c r="AC73" s="317" t="str">
        <f t="shared" si="5"/>
        <v/>
      </c>
      <c r="AD73" s="101"/>
      <c r="AE73" s="938"/>
      <c r="AF73" s="138"/>
      <c r="AG73" s="138"/>
      <c r="AH73" s="934"/>
      <c r="AL73" s="30" t="str">
        <f>IFERROR(INDEX('G-7 WaterC'' Data'!$AZ$3:$AZ$7,MATCH(C73,'G-7 WaterC'' Data'!$AY$3:$AY$7,0)),"")</f>
        <v/>
      </c>
      <c r="AN73" s="30" t="str">
        <f t="shared" si="6"/>
        <v>No</v>
      </c>
    </row>
    <row r="74" spans="2:40" ht="14">
      <c r="B74" s="97">
        <v>63</v>
      </c>
      <c r="C74" s="923"/>
      <c r="D74" s="115"/>
      <c r="E74" s="275" t="str">
        <f>IF(C74="","",VLOOKUP(C74,'G-7 WaterC'' Data'!$B$2:$Z$9,2,FALSE))</f>
        <v/>
      </c>
      <c r="F74" s="276" t="str">
        <f>IFERROR(VLOOKUP(E74,'G-7 WaterC'' Data'!$C$4:$D$8,2,FALSE),"")</f>
        <v/>
      </c>
      <c r="G74" s="52"/>
      <c r="H74" s="276" t="str">
        <f>IFERROR(INDEX('G-7 WaterC'' Data'!$H$4:$L$8,MATCH(C74,'G-7 WaterC'' Data'!$B$4:$B$8,0),MATCH(G74,'G-7 WaterC'' Data'!$H$3:$L$3,0)),"")</f>
        <v/>
      </c>
      <c r="I74" s="52"/>
      <c r="J74" s="314" t="str">
        <f>IF(I74="","",IF(VLOOKUP(I74,'G-7 WaterC'' Data'!$AK$4:$AM$6,2,FALSE)=0,"Spatial Data Missing ⚠",VLOOKUP(I74,'G-7 WaterC'' Data'!$AK$4:$AM$6,2,FALSE)))</f>
        <v/>
      </c>
      <c r="K74" s="276" t="str">
        <f>IF(I74="","",IF(VLOOKUP(I74,'G-7 WaterC'' Data'!$AK$4:$AM$6,3,FALSE)=0,"Spatial Data Missing ⚠",VLOOKUP(I74,'G-7 WaterC'' Data'!$AK$4:$AM$6,3,FALSE)))</f>
        <v/>
      </c>
      <c r="L74" s="372" t="str">
        <f>IFERROR(INDEX('G-7 WaterC'' Data'!$O$3:$O$7,MATCH(G74,'G-7 WaterC'' Data'!$N$3:$N$7,0)),"")</f>
        <v/>
      </c>
      <c r="M74" s="53"/>
      <c r="N74" s="133"/>
      <c r="O74" s="283" t="str">
        <f t="shared" si="0"/>
        <v/>
      </c>
      <c r="P74" s="296" t="str">
        <f t="shared" si="1"/>
        <v/>
      </c>
      <c r="Q74" s="334" t="str">
        <f>IFERROR(IF(P74="Check Data ⚠","Check Data ⚠",VLOOKUP(P74,'G-4 Temporal multipliers'!$A$4:$C$37,3,FALSE)),"")</f>
        <v/>
      </c>
      <c r="R74" s="275" t="str">
        <f>IF(C74="","",VLOOKUP(C74,'G-7 WaterC'' Data'!$B$4:$G$8,4,FALSE))</f>
        <v/>
      </c>
      <c r="S74" s="283" t="str">
        <f t="shared" si="2"/>
        <v/>
      </c>
      <c r="T74" s="314" t="str">
        <f t="shared" si="3"/>
        <v/>
      </c>
      <c r="U74" s="276" t="str">
        <f>IF(C74="","",VLOOKUP(T74,'G-3 Multipliers'!$P$2:$Q$6,2,FALSE))</f>
        <v/>
      </c>
      <c r="V74" s="102"/>
      <c r="W74" s="276" t="str">
        <f>IF(V74="","",IF(AND(V74="N/A - Culvert",C74&lt;&gt;"Culvert"),"Not possible ▲",IF(AND(C74="Culvert",V74&lt;&gt;"N/A - Culvert"),"Not possible ▲",IF(VLOOKUP(V74,'G-7 WaterC'' Data'!$AA$4:$AB$7,2,FALSE)=0,"Spatial Data Missing ⚠",VLOOKUP(V74,'G-7 WaterC'' Data'!$AA$4:$AB$7,2,FALSE)))))</f>
        <v/>
      </c>
      <c r="X74" s="56"/>
      <c r="Y74" s="276" t="str">
        <f>IF(X74="","",IF(AND(X74="N/A - Culvert",C74&lt;&gt;"Culvert"),"Not possible ▲",IF(AND(C74="Culvert",X74&lt;&gt;"N/A - Culvert"),"Not possible ▲",IF(VLOOKUP(X74,'G-7 WaterC'' Data'!$AD$4:$AE$14,2,FALSE)=0,"Enrcoachment Data Missing ⚠",VLOOKUP(X74,'G-7 WaterC'' Data'!$AD$4:$AE$14,2,FALSE)))))</f>
        <v/>
      </c>
      <c r="Z74" s="102"/>
      <c r="AA74" s="276" t="str">
        <f>IF(Z74="","",IF(VLOOKUP(Z74,'G-7 WaterC'' Data'!$AO$4:$BO$7,2,FALSE)=0,"Spatial Data Missing ⚠",VLOOKUP(Z74,'G-7 WaterC'' Data'!$AO$4:$BO$7,2,FALSE)))</f>
        <v/>
      </c>
      <c r="AB74" s="317" t="str">
        <f t="shared" si="4"/>
        <v/>
      </c>
      <c r="AC74" s="317" t="str">
        <f t="shared" si="5"/>
        <v/>
      </c>
      <c r="AD74" s="101"/>
      <c r="AE74" s="938"/>
      <c r="AF74" s="138"/>
      <c r="AG74" s="138"/>
      <c r="AH74" s="934"/>
      <c r="AL74" s="30" t="str">
        <f>IFERROR(INDEX('G-7 WaterC'' Data'!$AZ$3:$AZ$7,MATCH(C74,'G-7 WaterC'' Data'!$AY$3:$AY$7,0)),"")</f>
        <v/>
      </c>
      <c r="AN74" s="30" t="str">
        <f t="shared" si="6"/>
        <v>No</v>
      </c>
    </row>
    <row r="75" spans="2:40" ht="14">
      <c r="B75" s="97">
        <v>64</v>
      </c>
      <c r="C75" s="923"/>
      <c r="D75" s="115"/>
      <c r="E75" s="275" t="str">
        <f>IF(C75="","",VLOOKUP(C75,'G-7 WaterC'' Data'!$B$2:$Z$9,2,FALSE))</f>
        <v/>
      </c>
      <c r="F75" s="276" t="str">
        <f>IFERROR(VLOOKUP(E75,'G-7 WaterC'' Data'!$C$4:$D$8,2,FALSE),"")</f>
        <v/>
      </c>
      <c r="G75" s="52"/>
      <c r="H75" s="276" t="str">
        <f>IFERROR(INDEX('G-7 WaterC'' Data'!$H$4:$L$8,MATCH(C75,'G-7 WaterC'' Data'!$B$4:$B$8,0),MATCH(G75,'G-7 WaterC'' Data'!$H$3:$L$3,0)),"")</f>
        <v/>
      </c>
      <c r="I75" s="52"/>
      <c r="J75" s="314" t="str">
        <f>IF(I75="","",IF(VLOOKUP(I75,'G-7 WaterC'' Data'!$AK$4:$AM$6,2,FALSE)=0,"Spatial Data Missing ⚠",VLOOKUP(I75,'G-7 WaterC'' Data'!$AK$4:$AM$6,2,FALSE)))</f>
        <v/>
      </c>
      <c r="K75" s="276" t="str">
        <f>IF(I75="","",IF(VLOOKUP(I75,'G-7 WaterC'' Data'!$AK$4:$AM$6,3,FALSE)=0,"Spatial Data Missing ⚠",VLOOKUP(I75,'G-7 WaterC'' Data'!$AK$4:$AM$6,3,FALSE)))</f>
        <v/>
      </c>
      <c r="L75" s="372" t="str">
        <f>IFERROR(INDEX('G-7 WaterC'' Data'!$O$3:$O$7,MATCH(G75,'G-7 WaterC'' Data'!$N$3:$N$7,0)),"")</f>
        <v/>
      </c>
      <c r="M75" s="53"/>
      <c r="N75" s="133"/>
      <c r="O75" s="283" t="str">
        <f t="shared" si="0"/>
        <v/>
      </c>
      <c r="P75" s="296" t="str">
        <f t="shared" si="1"/>
        <v/>
      </c>
      <c r="Q75" s="334" t="str">
        <f>IFERROR(IF(P75="Check Data ⚠","Check Data ⚠",VLOOKUP(P75,'G-4 Temporal multipliers'!$A$4:$C$37,3,FALSE)),"")</f>
        <v/>
      </c>
      <c r="R75" s="275" t="str">
        <f>IF(C75="","",VLOOKUP(C75,'G-7 WaterC'' Data'!$B$4:$G$8,4,FALSE))</f>
        <v/>
      </c>
      <c r="S75" s="283" t="str">
        <f t="shared" si="2"/>
        <v/>
      </c>
      <c r="T75" s="314" t="str">
        <f t="shared" si="3"/>
        <v/>
      </c>
      <c r="U75" s="276" t="str">
        <f>IF(C75="","",VLOOKUP(T75,'G-3 Multipliers'!$P$2:$Q$6,2,FALSE))</f>
        <v/>
      </c>
      <c r="V75" s="102"/>
      <c r="W75" s="276" t="str">
        <f>IF(V75="","",IF(AND(V75="N/A - Culvert",C75&lt;&gt;"Culvert"),"Not possible ▲",IF(AND(C75="Culvert",V75&lt;&gt;"N/A - Culvert"),"Not possible ▲",IF(VLOOKUP(V75,'G-7 WaterC'' Data'!$AA$4:$AB$7,2,FALSE)=0,"Spatial Data Missing ⚠",VLOOKUP(V75,'G-7 WaterC'' Data'!$AA$4:$AB$7,2,FALSE)))))</f>
        <v/>
      </c>
      <c r="X75" s="56"/>
      <c r="Y75" s="276" t="str">
        <f>IF(X75="","",IF(AND(X75="N/A - Culvert",C75&lt;&gt;"Culvert"),"Not possible ▲",IF(AND(C75="Culvert",X75&lt;&gt;"N/A - Culvert"),"Not possible ▲",IF(VLOOKUP(X75,'G-7 WaterC'' Data'!$AD$4:$AE$14,2,FALSE)=0,"Enrcoachment Data Missing ⚠",VLOOKUP(X75,'G-7 WaterC'' Data'!$AD$4:$AE$14,2,FALSE)))))</f>
        <v/>
      </c>
      <c r="Z75" s="102"/>
      <c r="AA75" s="276" t="str">
        <f>IF(Z75="","",IF(VLOOKUP(Z75,'G-7 WaterC'' Data'!$AO$4:$BO$7,2,FALSE)=0,"Spatial Data Missing ⚠",VLOOKUP(Z75,'G-7 WaterC'' Data'!$AO$4:$BO$7,2,FALSE)))</f>
        <v/>
      </c>
      <c r="AB75" s="317" t="str">
        <f t="shared" si="4"/>
        <v/>
      </c>
      <c r="AC75" s="317" t="str">
        <f t="shared" si="5"/>
        <v/>
      </c>
      <c r="AD75" s="101"/>
      <c r="AE75" s="938"/>
      <c r="AF75" s="138"/>
      <c r="AG75" s="138"/>
      <c r="AH75" s="934"/>
      <c r="AL75" s="30" t="str">
        <f>IFERROR(INDEX('G-7 WaterC'' Data'!$AZ$3:$AZ$7,MATCH(C75,'G-7 WaterC'' Data'!$AY$3:$AY$7,0)),"")</f>
        <v/>
      </c>
      <c r="AN75" s="30" t="str">
        <f t="shared" si="6"/>
        <v>No</v>
      </c>
    </row>
    <row r="76" spans="2:40" ht="14">
      <c r="B76" s="97">
        <v>65</v>
      </c>
      <c r="C76" s="923"/>
      <c r="D76" s="115"/>
      <c r="E76" s="275" t="str">
        <f>IF(C76="","",VLOOKUP(C76,'G-7 WaterC'' Data'!$B$2:$Z$9,2,FALSE))</f>
        <v/>
      </c>
      <c r="F76" s="276" t="str">
        <f>IFERROR(VLOOKUP(E76,'G-7 WaterC'' Data'!$C$4:$D$8,2,FALSE),"")</f>
        <v/>
      </c>
      <c r="G76" s="52"/>
      <c r="H76" s="276" t="str">
        <f>IFERROR(INDEX('G-7 WaterC'' Data'!$H$4:$L$8,MATCH(C76,'G-7 WaterC'' Data'!$B$4:$B$8,0),MATCH(G76,'G-7 WaterC'' Data'!$H$3:$L$3,0)),"")</f>
        <v/>
      </c>
      <c r="I76" s="52"/>
      <c r="J76" s="314" t="str">
        <f>IF(I76="","",IF(VLOOKUP(I76,'G-7 WaterC'' Data'!$AK$4:$AM$6,2,FALSE)=0,"Spatial Data Missing ⚠",VLOOKUP(I76,'G-7 WaterC'' Data'!$AK$4:$AM$6,2,FALSE)))</f>
        <v/>
      </c>
      <c r="K76" s="276" t="str">
        <f>IF(I76="","",IF(VLOOKUP(I76,'G-7 WaterC'' Data'!$AK$4:$AM$6,3,FALSE)=0,"Spatial Data Missing ⚠",VLOOKUP(I76,'G-7 WaterC'' Data'!$AK$4:$AM$6,3,FALSE)))</f>
        <v/>
      </c>
      <c r="L76" s="372" t="str">
        <f>IFERROR(INDEX('G-7 WaterC'' Data'!$O$3:$O$7,MATCH(G76,'G-7 WaterC'' Data'!$N$3:$N$7,0)),"")</f>
        <v/>
      </c>
      <c r="M76" s="53"/>
      <c r="N76" s="133"/>
      <c r="O76" s="283" t="str">
        <f t="shared" si="0"/>
        <v/>
      </c>
      <c r="P76" s="296" t="str">
        <f t="shared" si="1"/>
        <v/>
      </c>
      <c r="Q76" s="334" t="str">
        <f>IFERROR(IF(P76="Check Data ⚠","Check Data ⚠",VLOOKUP(P76,'G-4 Temporal multipliers'!$A$4:$C$37,3,FALSE)),"")</f>
        <v/>
      </c>
      <c r="R76" s="275" t="str">
        <f>IF(C76="","",VLOOKUP(C76,'G-7 WaterC'' Data'!$B$4:$G$8,4,FALSE))</f>
        <v/>
      </c>
      <c r="S76" s="283" t="str">
        <f t="shared" si="2"/>
        <v/>
      </c>
      <c r="T76" s="314" t="str">
        <f t="shared" si="3"/>
        <v/>
      </c>
      <c r="U76" s="276" t="str">
        <f>IF(C76="","",VLOOKUP(T76,'G-3 Multipliers'!$P$2:$Q$6,2,FALSE))</f>
        <v/>
      </c>
      <c r="V76" s="102"/>
      <c r="W76" s="276" t="str">
        <f>IF(V76="","",IF(AND(V76="N/A - Culvert",C76&lt;&gt;"Culvert"),"Not possible ▲",IF(AND(C76="Culvert",V76&lt;&gt;"N/A - Culvert"),"Not possible ▲",IF(VLOOKUP(V76,'G-7 WaterC'' Data'!$AA$4:$AB$7,2,FALSE)=0,"Spatial Data Missing ⚠",VLOOKUP(V76,'G-7 WaterC'' Data'!$AA$4:$AB$7,2,FALSE)))))</f>
        <v/>
      </c>
      <c r="X76" s="56"/>
      <c r="Y76" s="276" t="str">
        <f>IF(X76="","",IF(AND(X76="N/A - Culvert",C76&lt;&gt;"Culvert"),"Not possible ▲",IF(AND(C76="Culvert",X76&lt;&gt;"N/A - Culvert"),"Not possible ▲",IF(VLOOKUP(X76,'G-7 WaterC'' Data'!$AD$4:$AE$14,2,FALSE)=0,"Enrcoachment Data Missing ⚠",VLOOKUP(X76,'G-7 WaterC'' Data'!$AD$4:$AE$14,2,FALSE)))))</f>
        <v/>
      </c>
      <c r="Z76" s="102"/>
      <c r="AA76" s="276" t="str">
        <f>IF(Z76="","",IF(VLOOKUP(Z76,'G-7 WaterC'' Data'!$AO$4:$BO$7,2,FALSE)=0,"Spatial Data Missing ⚠",VLOOKUP(Z76,'G-7 WaterC'' Data'!$AO$4:$BO$7,2,FALSE)))</f>
        <v/>
      </c>
      <c r="AB76" s="317" t="str">
        <f t="shared" si="4"/>
        <v/>
      </c>
      <c r="AC76" s="317" t="str">
        <f t="shared" si="5"/>
        <v/>
      </c>
      <c r="AD76" s="101"/>
      <c r="AE76" s="938"/>
      <c r="AF76" s="138"/>
      <c r="AG76" s="138"/>
      <c r="AH76" s="934"/>
      <c r="AL76" s="30" t="str">
        <f>IFERROR(INDEX('G-7 WaterC'' Data'!$AZ$3:$AZ$7,MATCH(C76,'G-7 WaterC'' Data'!$AY$3:$AY$7,0)),"")</f>
        <v/>
      </c>
      <c r="AN76" s="30" t="str">
        <f t="shared" si="6"/>
        <v>No</v>
      </c>
    </row>
    <row r="77" spans="2:40" ht="14">
      <c r="B77" s="97">
        <v>66</v>
      </c>
      <c r="C77" s="923"/>
      <c r="D77" s="115"/>
      <c r="E77" s="275" t="str">
        <f>IF(C77="","",VLOOKUP(C77,'G-7 WaterC'' Data'!$B$2:$Z$9,2,FALSE))</f>
        <v/>
      </c>
      <c r="F77" s="276" t="str">
        <f>IFERROR(VLOOKUP(E77,'G-7 WaterC'' Data'!$C$4:$D$8,2,FALSE),"")</f>
        <v/>
      </c>
      <c r="G77" s="52"/>
      <c r="H77" s="276" t="str">
        <f>IFERROR(INDEX('G-7 WaterC'' Data'!$H$4:$L$8,MATCH(C77,'G-7 WaterC'' Data'!$B$4:$B$8,0),MATCH(G77,'G-7 WaterC'' Data'!$H$3:$L$3,0)),"")</f>
        <v/>
      </c>
      <c r="I77" s="52"/>
      <c r="J77" s="314" t="str">
        <f>IF(I77="","",IF(VLOOKUP(I77,'G-7 WaterC'' Data'!$AK$4:$AM$6,2,FALSE)=0,"Spatial Data Missing ⚠",VLOOKUP(I77,'G-7 WaterC'' Data'!$AK$4:$AM$6,2,FALSE)))</f>
        <v/>
      </c>
      <c r="K77" s="276" t="str">
        <f>IF(I77="","",IF(VLOOKUP(I77,'G-7 WaterC'' Data'!$AK$4:$AM$6,3,FALSE)=0,"Spatial Data Missing ⚠",VLOOKUP(I77,'G-7 WaterC'' Data'!$AK$4:$AM$6,3,FALSE)))</f>
        <v/>
      </c>
      <c r="L77" s="372" t="str">
        <f>IFERROR(INDEX('G-7 WaterC'' Data'!$O$3:$O$7,MATCH(G77,'G-7 WaterC'' Data'!$N$3:$N$7,0)),"")</f>
        <v/>
      </c>
      <c r="M77" s="53"/>
      <c r="N77" s="133"/>
      <c r="O77" s="283" t="str">
        <f t="shared" si="7" ref="O77:O140">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296" t="str">
        <f t="shared" si="8" ref="P77:P140">IF(O77="Error -both advance and delayed habitat creation ▲","Check Data ⚠",IF(L77="","",IF(M77="30+",0,IF(N77="30+","30+",IF(L77+N77&gt;30,"30+",IF(L77+N77-M77&gt;0,L77+N77-M77,IF(L77-M77&lt;0,0,L77+N77-M77)))))))</f>
        <v/>
      </c>
      <c r="Q77" s="334" t="str">
        <f>IFERROR(IF(P77="Check Data ⚠","Check Data ⚠",VLOOKUP(P77,'G-4 Temporal multipliers'!$A$4:$C$37,3,FALSE)),"")</f>
        <v/>
      </c>
      <c r="R77" s="275" t="str">
        <f>IF(C77="","",VLOOKUP(C77,'G-7 WaterC'' Data'!$B$4:$G$8,4,FALSE))</f>
        <v/>
      </c>
      <c r="S77" s="283" t="str">
        <f t="shared" si="9" ref="S77:S140">IF(C77="","",IF(P77="Check Data ⚠","Check Data ⚠",IF(G77="","",IF($O77="Check details - Is there evidence that habitat has reached target condition? ⚠","No - Low Difficulty - only applicable if all habitat created before losses ⚠","Standard difficulty applied"))))</f>
        <v/>
      </c>
      <c r="T77" s="314" t="str">
        <f t="shared" si="10" ref="T77:T140">(IF(AND(S77="Standard difficulty applied",L77&gt;M77),R77,IF(AND(S77="No - Low Difficulty - only applicable if all habitat created before losses ⚠",M77&gt;=L77),"Low",R77)))</f>
        <v/>
      </c>
      <c r="U77" s="276" t="str">
        <f>IF(C77="","",VLOOKUP(T77,'G-3 Multipliers'!$P$2:$Q$6,2,FALSE))</f>
        <v/>
      </c>
      <c r="V77" s="102"/>
      <c r="W77" s="276" t="str">
        <f>IF(V77="","",IF(AND(V77="N/A - Culvert",C77&lt;&gt;"Culvert"),"Not possible ▲",IF(AND(C77="Culvert",V77&lt;&gt;"N/A - Culvert"),"Not possible ▲",IF(VLOOKUP(V77,'G-7 WaterC'' Data'!$AA$4:$AB$7,2,FALSE)=0,"Spatial Data Missing ⚠",VLOOKUP(V77,'G-7 WaterC'' Data'!$AA$4:$AB$7,2,FALSE)))))</f>
        <v/>
      </c>
      <c r="X77" s="56"/>
      <c r="Y77" s="276" t="str">
        <f>IF(X77="","",IF(AND(X77="N/A - Culvert",C77&lt;&gt;"Culvert"),"Not possible ▲",IF(AND(C77="Culvert",X77&lt;&gt;"N/A - Culvert"),"Not possible ▲",IF(VLOOKUP(X77,'G-7 WaterC'' Data'!$AD$4:$AE$14,2,FALSE)=0,"Enrcoachment Data Missing ⚠",VLOOKUP(X77,'G-7 WaterC'' Data'!$AD$4:$AE$14,2,FALSE)))))</f>
        <v/>
      </c>
      <c r="Z77" s="102"/>
      <c r="AA77" s="276" t="str">
        <f>IF(Z77="","",IF(VLOOKUP(Z77,'G-7 WaterC'' Data'!$AO$4:$BO$7,2,FALSE)=0,"Spatial Data Missing ⚠",VLOOKUP(Z77,'G-7 WaterC'' Data'!$AO$4:$BO$7,2,FALSE)))</f>
        <v/>
      </c>
      <c r="AB77" s="317" t="str">
        <f t="shared" si="11" ref="AB77:AB140">IFERROR(D77*F77*H77*K77*Q77*U77*W77*Y77*AA77,"")</f>
        <v/>
      </c>
      <c r="AC77" s="317" t="str">
        <f t="shared" si="12" ref="AC77:AC140">IFERROR(IF(AND(Z77&lt;&gt;"",AG77=""),"Off-site reference required ▲",(IF(Z77="","",D77*F77*H77*K77*Q77*U77*W77*Y77))),"")</f>
        <v/>
      </c>
      <c r="AD77" s="101"/>
      <c r="AE77" s="938"/>
      <c r="AF77" s="138"/>
      <c r="AG77" s="138"/>
      <c r="AH77" s="934"/>
      <c r="AL77" s="30" t="str">
        <f>IFERROR(INDEX('G-7 WaterC'' Data'!$AZ$3:$AZ$7,MATCH(C77,'G-7 WaterC'' Data'!$AY$3:$AY$7,0)),"")</f>
        <v/>
      </c>
      <c r="AN77" s="30" t="str">
        <f t="shared" si="13" ref="AN77:AN140">IF(AND(C77="Ditches",(OR(G77="Fairly Poor",G77="Fairly Good"))),"Yes","No")</f>
        <v>No</v>
      </c>
    </row>
    <row r="78" spans="2:40" ht="14">
      <c r="B78" s="97">
        <v>67</v>
      </c>
      <c r="C78" s="923"/>
      <c r="D78" s="115"/>
      <c r="E78" s="275" t="str">
        <f>IF(C78="","",VLOOKUP(C78,'G-7 WaterC'' Data'!$B$2:$Z$9,2,FALSE))</f>
        <v/>
      </c>
      <c r="F78" s="276" t="str">
        <f>IFERROR(VLOOKUP(E78,'G-7 WaterC'' Data'!$C$4:$D$8,2,FALSE),"")</f>
        <v/>
      </c>
      <c r="G78" s="52"/>
      <c r="H78" s="276" t="str">
        <f>IFERROR(INDEX('G-7 WaterC'' Data'!$H$4:$L$8,MATCH(C78,'G-7 WaterC'' Data'!$B$4:$B$8,0),MATCH(G78,'G-7 WaterC'' Data'!$H$3:$L$3,0)),"")</f>
        <v/>
      </c>
      <c r="I78" s="52"/>
      <c r="J78" s="314" t="str">
        <f>IF(I78="","",IF(VLOOKUP(I78,'G-7 WaterC'' Data'!$AK$4:$AM$6,2,FALSE)=0,"Spatial Data Missing ⚠",VLOOKUP(I78,'G-7 WaterC'' Data'!$AK$4:$AM$6,2,FALSE)))</f>
        <v/>
      </c>
      <c r="K78" s="276" t="str">
        <f>IF(I78="","",IF(VLOOKUP(I78,'G-7 WaterC'' Data'!$AK$4:$AM$6,3,FALSE)=0,"Spatial Data Missing ⚠",VLOOKUP(I78,'G-7 WaterC'' Data'!$AK$4:$AM$6,3,FALSE)))</f>
        <v/>
      </c>
      <c r="L78" s="372" t="str">
        <f>IFERROR(INDEX('G-7 WaterC'' Data'!$O$3:$O$7,MATCH(G78,'G-7 WaterC'' Data'!$N$3:$N$7,0)),"")</f>
        <v/>
      </c>
      <c r="M78" s="53"/>
      <c r="N78" s="133"/>
      <c r="O78" s="283" t="str">
        <f t="shared" si="7"/>
        <v/>
      </c>
      <c r="P78" s="296" t="str">
        <f t="shared" si="8"/>
        <v/>
      </c>
      <c r="Q78" s="334" t="str">
        <f>IFERROR(IF(P78="Check Data ⚠","Check Data ⚠",VLOOKUP(P78,'G-4 Temporal multipliers'!$A$4:$C$37,3,FALSE)),"")</f>
        <v/>
      </c>
      <c r="R78" s="275" t="str">
        <f>IF(C78="","",VLOOKUP(C78,'G-7 WaterC'' Data'!$B$4:$G$8,4,FALSE))</f>
        <v/>
      </c>
      <c r="S78" s="283" t="str">
        <f t="shared" si="9"/>
        <v/>
      </c>
      <c r="T78" s="314" t="str">
        <f t="shared" si="10"/>
        <v/>
      </c>
      <c r="U78" s="276" t="str">
        <f>IF(C78="","",VLOOKUP(T78,'G-3 Multipliers'!$P$2:$Q$6,2,FALSE))</f>
        <v/>
      </c>
      <c r="V78" s="102"/>
      <c r="W78" s="276" t="str">
        <f>IF(V78="","",IF(AND(V78="N/A - Culvert",C78&lt;&gt;"Culvert"),"Not possible ▲",IF(AND(C78="Culvert",V78&lt;&gt;"N/A - Culvert"),"Not possible ▲",IF(VLOOKUP(V78,'G-7 WaterC'' Data'!$AA$4:$AB$7,2,FALSE)=0,"Spatial Data Missing ⚠",VLOOKUP(V78,'G-7 WaterC'' Data'!$AA$4:$AB$7,2,FALSE)))))</f>
        <v/>
      </c>
      <c r="X78" s="56"/>
      <c r="Y78" s="276" t="str">
        <f>IF(X78="","",IF(AND(X78="N/A - Culvert",C78&lt;&gt;"Culvert"),"Not possible ▲",IF(AND(C78="Culvert",X78&lt;&gt;"N/A - Culvert"),"Not possible ▲",IF(VLOOKUP(X78,'G-7 WaterC'' Data'!$AD$4:$AE$14,2,FALSE)=0,"Enrcoachment Data Missing ⚠",VLOOKUP(X78,'G-7 WaterC'' Data'!$AD$4:$AE$14,2,FALSE)))))</f>
        <v/>
      </c>
      <c r="Z78" s="102"/>
      <c r="AA78" s="276" t="str">
        <f>IF(Z78="","",IF(VLOOKUP(Z78,'G-7 WaterC'' Data'!$AO$4:$BO$7,2,FALSE)=0,"Spatial Data Missing ⚠",VLOOKUP(Z78,'G-7 WaterC'' Data'!$AO$4:$BO$7,2,FALSE)))</f>
        <v/>
      </c>
      <c r="AB78" s="317" t="str">
        <f t="shared" si="11"/>
        <v/>
      </c>
      <c r="AC78" s="317" t="str">
        <f t="shared" si="12"/>
        <v/>
      </c>
      <c r="AD78" s="101"/>
      <c r="AE78" s="938"/>
      <c r="AF78" s="138"/>
      <c r="AG78" s="138"/>
      <c r="AH78" s="934"/>
      <c r="AL78" s="30" t="str">
        <f>IFERROR(INDEX('G-7 WaterC'' Data'!$AZ$3:$AZ$7,MATCH(C78,'G-7 WaterC'' Data'!$AY$3:$AY$7,0)),"")</f>
        <v/>
      </c>
      <c r="AN78" s="30" t="str">
        <f t="shared" si="13"/>
        <v>No</v>
      </c>
    </row>
    <row r="79" spans="2:40" ht="14">
      <c r="B79" s="97">
        <v>68</v>
      </c>
      <c r="C79" s="923"/>
      <c r="D79" s="115"/>
      <c r="E79" s="275" t="str">
        <f>IF(C79="","",VLOOKUP(C79,'G-7 WaterC'' Data'!$B$2:$Z$9,2,FALSE))</f>
        <v/>
      </c>
      <c r="F79" s="276" t="str">
        <f>IFERROR(VLOOKUP(E79,'G-7 WaterC'' Data'!$C$4:$D$8,2,FALSE),"")</f>
        <v/>
      </c>
      <c r="G79" s="52"/>
      <c r="H79" s="276" t="str">
        <f>IFERROR(INDEX('G-7 WaterC'' Data'!$H$4:$L$8,MATCH(C79,'G-7 WaterC'' Data'!$B$4:$B$8,0),MATCH(G79,'G-7 WaterC'' Data'!$H$3:$L$3,0)),"")</f>
        <v/>
      </c>
      <c r="I79" s="52"/>
      <c r="J79" s="314" t="str">
        <f>IF(I79="","",IF(VLOOKUP(I79,'G-7 WaterC'' Data'!$AK$4:$AM$6,2,FALSE)=0,"Spatial Data Missing ⚠",VLOOKUP(I79,'G-7 WaterC'' Data'!$AK$4:$AM$6,2,FALSE)))</f>
        <v/>
      </c>
      <c r="K79" s="276" t="str">
        <f>IF(I79="","",IF(VLOOKUP(I79,'G-7 WaterC'' Data'!$AK$4:$AM$6,3,FALSE)=0,"Spatial Data Missing ⚠",VLOOKUP(I79,'G-7 WaterC'' Data'!$AK$4:$AM$6,3,FALSE)))</f>
        <v/>
      </c>
      <c r="L79" s="372" t="str">
        <f>IFERROR(INDEX('G-7 WaterC'' Data'!$O$3:$O$7,MATCH(G79,'G-7 WaterC'' Data'!$N$3:$N$7,0)),"")</f>
        <v/>
      </c>
      <c r="M79" s="53"/>
      <c r="N79" s="133"/>
      <c r="O79" s="283" t="str">
        <f t="shared" si="7"/>
        <v/>
      </c>
      <c r="P79" s="296" t="str">
        <f t="shared" si="8"/>
        <v/>
      </c>
      <c r="Q79" s="334" t="str">
        <f>IFERROR(IF(P79="Check Data ⚠","Check Data ⚠",VLOOKUP(P79,'G-4 Temporal multipliers'!$A$4:$C$37,3,FALSE)),"")</f>
        <v/>
      </c>
      <c r="R79" s="275" t="str">
        <f>IF(C79="","",VLOOKUP(C79,'G-7 WaterC'' Data'!$B$4:$G$8,4,FALSE))</f>
        <v/>
      </c>
      <c r="S79" s="283" t="str">
        <f t="shared" si="9"/>
        <v/>
      </c>
      <c r="T79" s="314" t="str">
        <f t="shared" si="10"/>
        <v/>
      </c>
      <c r="U79" s="276" t="str">
        <f>IF(C79="","",VLOOKUP(T79,'G-3 Multipliers'!$P$2:$Q$6,2,FALSE))</f>
        <v/>
      </c>
      <c r="V79" s="102"/>
      <c r="W79" s="276" t="str">
        <f>IF(V79="","",IF(AND(V79="N/A - Culvert",C79&lt;&gt;"Culvert"),"Not possible ▲",IF(AND(C79="Culvert",V79&lt;&gt;"N/A - Culvert"),"Not possible ▲",IF(VLOOKUP(V79,'G-7 WaterC'' Data'!$AA$4:$AB$7,2,FALSE)=0,"Spatial Data Missing ⚠",VLOOKUP(V79,'G-7 WaterC'' Data'!$AA$4:$AB$7,2,FALSE)))))</f>
        <v/>
      </c>
      <c r="X79" s="56"/>
      <c r="Y79" s="276" t="str">
        <f>IF(X79="","",IF(AND(X79="N/A - Culvert",C79&lt;&gt;"Culvert"),"Not possible ▲",IF(AND(C79="Culvert",X79&lt;&gt;"N/A - Culvert"),"Not possible ▲",IF(VLOOKUP(X79,'G-7 WaterC'' Data'!$AD$4:$AE$14,2,FALSE)=0,"Enrcoachment Data Missing ⚠",VLOOKUP(X79,'G-7 WaterC'' Data'!$AD$4:$AE$14,2,FALSE)))))</f>
        <v/>
      </c>
      <c r="Z79" s="102"/>
      <c r="AA79" s="276" t="str">
        <f>IF(Z79="","",IF(VLOOKUP(Z79,'G-7 WaterC'' Data'!$AO$4:$BO$7,2,FALSE)=0,"Spatial Data Missing ⚠",VLOOKUP(Z79,'G-7 WaterC'' Data'!$AO$4:$BO$7,2,FALSE)))</f>
        <v/>
      </c>
      <c r="AB79" s="317" t="str">
        <f t="shared" si="11"/>
        <v/>
      </c>
      <c r="AC79" s="317" t="str">
        <f t="shared" si="12"/>
        <v/>
      </c>
      <c r="AD79" s="101"/>
      <c r="AE79" s="938"/>
      <c r="AF79" s="138"/>
      <c r="AG79" s="138"/>
      <c r="AH79" s="934"/>
      <c r="AL79" s="30" t="str">
        <f>IFERROR(INDEX('G-7 WaterC'' Data'!$AZ$3:$AZ$7,MATCH(C79,'G-7 WaterC'' Data'!$AY$3:$AY$7,0)),"")</f>
        <v/>
      </c>
      <c r="AN79" s="30" t="str">
        <f t="shared" si="13"/>
        <v>No</v>
      </c>
    </row>
    <row r="80" spans="2:40" ht="14">
      <c r="B80" s="97">
        <v>69</v>
      </c>
      <c r="C80" s="923"/>
      <c r="D80" s="115"/>
      <c r="E80" s="275" t="str">
        <f>IF(C80="","",VLOOKUP(C80,'G-7 WaterC'' Data'!$B$2:$Z$9,2,FALSE))</f>
        <v/>
      </c>
      <c r="F80" s="276" t="str">
        <f>IFERROR(VLOOKUP(E80,'G-7 WaterC'' Data'!$C$4:$D$8,2,FALSE),"")</f>
        <v/>
      </c>
      <c r="G80" s="52"/>
      <c r="H80" s="276" t="str">
        <f>IFERROR(INDEX('G-7 WaterC'' Data'!$H$4:$L$8,MATCH(C80,'G-7 WaterC'' Data'!$B$4:$B$8,0),MATCH(G80,'G-7 WaterC'' Data'!$H$3:$L$3,0)),"")</f>
        <v/>
      </c>
      <c r="I80" s="52"/>
      <c r="J80" s="314" t="str">
        <f>IF(I80="","",IF(VLOOKUP(I80,'G-7 WaterC'' Data'!$AK$4:$AM$6,2,FALSE)=0,"Spatial Data Missing ⚠",VLOOKUP(I80,'G-7 WaterC'' Data'!$AK$4:$AM$6,2,FALSE)))</f>
        <v/>
      </c>
      <c r="K80" s="276" t="str">
        <f>IF(I80="","",IF(VLOOKUP(I80,'G-7 WaterC'' Data'!$AK$4:$AM$6,3,FALSE)=0,"Spatial Data Missing ⚠",VLOOKUP(I80,'G-7 WaterC'' Data'!$AK$4:$AM$6,3,FALSE)))</f>
        <v/>
      </c>
      <c r="L80" s="372" t="str">
        <f>IFERROR(INDEX('G-7 WaterC'' Data'!$O$3:$O$7,MATCH(G80,'G-7 WaterC'' Data'!$N$3:$N$7,0)),"")</f>
        <v/>
      </c>
      <c r="M80" s="53"/>
      <c r="N80" s="133"/>
      <c r="O80" s="283" t="str">
        <f t="shared" si="7"/>
        <v/>
      </c>
      <c r="P80" s="296" t="str">
        <f t="shared" si="8"/>
        <v/>
      </c>
      <c r="Q80" s="334" t="str">
        <f>IFERROR(IF(P80="Check Data ⚠","Check Data ⚠",VLOOKUP(P80,'G-4 Temporal multipliers'!$A$4:$C$37,3,FALSE)),"")</f>
        <v/>
      </c>
      <c r="R80" s="275" t="str">
        <f>IF(C80="","",VLOOKUP(C80,'G-7 WaterC'' Data'!$B$4:$G$8,4,FALSE))</f>
        <v/>
      </c>
      <c r="S80" s="283" t="str">
        <f t="shared" si="9"/>
        <v/>
      </c>
      <c r="T80" s="314" t="str">
        <f t="shared" si="10"/>
        <v/>
      </c>
      <c r="U80" s="276" t="str">
        <f>IF(C80="","",VLOOKUP(T80,'G-3 Multipliers'!$P$2:$Q$6,2,FALSE))</f>
        <v/>
      </c>
      <c r="V80" s="102"/>
      <c r="W80" s="276" t="str">
        <f>IF(V80="","",IF(AND(V80="N/A - Culvert",C80&lt;&gt;"Culvert"),"Not possible ▲",IF(AND(C80="Culvert",V80&lt;&gt;"N/A - Culvert"),"Not possible ▲",IF(VLOOKUP(V80,'G-7 WaterC'' Data'!$AA$4:$AB$7,2,FALSE)=0,"Spatial Data Missing ⚠",VLOOKUP(V80,'G-7 WaterC'' Data'!$AA$4:$AB$7,2,FALSE)))))</f>
        <v/>
      </c>
      <c r="X80" s="56"/>
      <c r="Y80" s="276" t="str">
        <f>IF(X80="","",IF(AND(X80="N/A - Culvert",C80&lt;&gt;"Culvert"),"Not possible ▲",IF(AND(C80="Culvert",X80&lt;&gt;"N/A - Culvert"),"Not possible ▲",IF(VLOOKUP(X80,'G-7 WaterC'' Data'!$AD$4:$AE$14,2,FALSE)=0,"Enrcoachment Data Missing ⚠",VLOOKUP(X80,'G-7 WaterC'' Data'!$AD$4:$AE$14,2,FALSE)))))</f>
        <v/>
      </c>
      <c r="Z80" s="102"/>
      <c r="AA80" s="276" t="str">
        <f>IF(Z80="","",IF(VLOOKUP(Z80,'G-7 WaterC'' Data'!$AO$4:$BO$7,2,FALSE)=0,"Spatial Data Missing ⚠",VLOOKUP(Z80,'G-7 WaterC'' Data'!$AO$4:$BO$7,2,FALSE)))</f>
        <v/>
      </c>
      <c r="AB80" s="317" t="str">
        <f t="shared" si="11"/>
        <v/>
      </c>
      <c r="AC80" s="317" t="str">
        <f t="shared" si="12"/>
        <v/>
      </c>
      <c r="AD80" s="101"/>
      <c r="AE80" s="938"/>
      <c r="AF80" s="138"/>
      <c r="AG80" s="138"/>
      <c r="AH80" s="934"/>
      <c r="AL80" s="30" t="str">
        <f>IFERROR(INDEX('G-7 WaterC'' Data'!$AZ$3:$AZ$7,MATCH(C80,'G-7 WaterC'' Data'!$AY$3:$AY$7,0)),"")</f>
        <v/>
      </c>
      <c r="AN80" s="30" t="str">
        <f t="shared" si="13"/>
        <v>No</v>
      </c>
    </row>
    <row r="81" spans="2:40" ht="14">
      <c r="B81" s="97">
        <v>70</v>
      </c>
      <c r="C81" s="923"/>
      <c r="D81" s="115"/>
      <c r="E81" s="275" t="str">
        <f>IF(C81="","",VLOOKUP(C81,'G-7 WaterC'' Data'!$B$2:$Z$9,2,FALSE))</f>
        <v/>
      </c>
      <c r="F81" s="276" t="str">
        <f>IFERROR(VLOOKUP(E81,'G-7 WaterC'' Data'!$C$4:$D$8,2,FALSE),"")</f>
        <v/>
      </c>
      <c r="G81" s="52"/>
      <c r="H81" s="276" t="str">
        <f>IFERROR(INDEX('G-7 WaterC'' Data'!$H$4:$L$8,MATCH(C81,'G-7 WaterC'' Data'!$B$4:$B$8,0),MATCH(G81,'G-7 WaterC'' Data'!$H$3:$L$3,0)),"")</f>
        <v/>
      </c>
      <c r="I81" s="52"/>
      <c r="J81" s="314" t="str">
        <f>IF(I81="","",IF(VLOOKUP(I81,'G-7 WaterC'' Data'!$AK$4:$AM$6,2,FALSE)=0,"Spatial Data Missing ⚠",VLOOKUP(I81,'G-7 WaterC'' Data'!$AK$4:$AM$6,2,FALSE)))</f>
        <v/>
      </c>
      <c r="K81" s="276" t="str">
        <f>IF(I81="","",IF(VLOOKUP(I81,'G-7 WaterC'' Data'!$AK$4:$AM$6,3,FALSE)=0,"Spatial Data Missing ⚠",VLOOKUP(I81,'G-7 WaterC'' Data'!$AK$4:$AM$6,3,FALSE)))</f>
        <v/>
      </c>
      <c r="L81" s="372" t="str">
        <f>IFERROR(INDEX('G-7 WaterC'' Data'!$O$3:$O$7,MATCH(G81,'G-7 WaterC'' Data'!$N$3:$N$7,0)),"")</f>
        <v/>
      </c>
      <c r="M81" s="53"/>
      <c r="N81" s="133"/>
      <c r="O81" s="283" t="str">
        <f t="shared" si="7"/>
        <v/>
      </c>
      <c r="P81" s="296" t="str">
        <f t="shared" si="8"/>
        <v/>
      </c>
      <c r="Q81" s="334" t="str">
        <f>IFERROR(IF(P81="Check Data ⚠","Check Data ⚠",VLOOKUP(P81,'G-4 Temporal multipliers'!$A$4:$C$37,3,FALSE)),"")</f>
        <v/>
      </c>
      <c r="R81" s="275" t="str">
        <f>IF(C81="","",VLOOKUP(C81,'G-7 WaterC'' Data'!$B$4:$G$8,4,FALSE))</f>
        <v/>
      </c>
      <c r="S81" s="283" t="str">
        <f t="shared" si="9"/>
        <v/>
      </c>
      <c r="T81" s="314" t="str">
        <f t="shared" si="10"/>
        <v/>
      </c>
      <c r="U81" s="276" t="str">
        <f>IF(C81="","",VLOOKUP(T81,'G-3 Multipliers'!$P$2:$Q$6,2,FALSE))</f>
        <v/>
      </c>
      <c r="V81" s="102"/>
      <c r="W81" s="276" t="str">
        <f>IF(V81="","",IF(AND(V81="N/A - Culvert",C81&lt;&gt;"Culvert"),"Not possible ▲",IF(AND(C81="Culvert",V81&lt;&gt;"N/A - Culvert"),"Not possible ▲",IF(VLOOKUP(V81,'G-7 WaterC'' Data'!$AA$4:$AB$7,2,FALSE)=0,"Spatial Data Missing ⚠",VLOOKUP(V81,'G-7 WaterC'' Data'!$AA$4:$AB$7,2,FALSE)))))</f>
        <v/>
      </c>
      <c r="X81" s="56"/>
      <c r="Y81" s="276" t="str">
        <f>IF(X81="","",IF(AND(X81="N/A - Culvert",C81&lt;&gt;"Culvert"),"Not possible ▲",IF(AND(C81="Culvert",X81&lt;&gt;"N/A - Culvert"),"Not possible ▲",IF(VLOOKUP(X81,'G-7 WaterC'' Data'!$AD$4:$AE$14,2,FALSE)=0,"Enrcoachment Data Missing ⚠",VLOOKUP(X81,'G-7 WaterC'' Data'!$AD$4:$AE$14,2,FALSE)))))</f>
        <v/>
      </c>
      <c r="Z81" s="102"/>
      <c r="AA81" s="276" t="str">
        <f>IF(Z81="","",IF(VLOOKUP(Z81,'G-7 WaterC'' Data'!$AO$4:$BO$7,2,FALSE)=0,"Spatial Data Missing ⚠",VLOOKUP(Z81,'G-7 WaterC'' Data'!$AO$4:$BO$7,2,FALSE)))</f>
        <v/>
      </c>
      <c r="AB81" s="317" t="str">
        <f t="shared" si="11"/>
        <v/>
      </c>
      <c r="AC81" s="317" t="str">
        <f t="shared" si="12"/>
        <v/>
      </c>
      <c r="AD81" s="101"/>
      <c r="AE81" s="938"/>
      <c r="AF81" s="138"/>
      <c r="AG81" s="138"/>
      <c r="AH81" s="934"/>
      <c r="AL81" s="30" t="str">
        <f>IFERROR(INDEX('G-7 WaterC'' Data'!$AZ$3:$AZ$7,MATCH(C81,'G-7 WaterC'' Data'!$AY$3:$AY$7,0)),"")</f>
        <v/>
      </c>
      <c r="AN81" s="30" t="str">
        <f t="shared" si="13"/>
        <v>No</v>
      </c>
    </row>
    <row r="82" spans="2:40" ht="14">
      <c r="B82" s="97">
        <v>71</v>
      </c>
      <c r="C82" s="923"/>
      <c r="D82" s="115"/>
      <c r="E82" s="275" t="str">
        <f>IF(C82="","",VLOOKUP(C82,'G-7 WaterC'' Data'!$B$2:$Z$9,2,FALSE))</f>
        <v/>
      </c>
      <c r="F82" s="276" t="str">
        <f>IFERROR(VLOOKUP(E82,'G-7 WaterC'' Data'!$C$4:$D$8,2,FALSE),"")</f>
        <v/>
      </c>
      <c r="G82" s="52"/>
      <c r="H82" s="276" t="str">
        <f>IFERROR(INDEX('G-7 WaterC'' Data'!$H$4:$L$8,MATCH(C82,'G-7 WaterC'' Data'!$B$4:$B$8,0),MATCH(G82,'G-7 WaterC'' Data'!$H$3:$L$3,0)),"")</f>
        <v/>
      </c>
      <c r="I82" s="52"/>
      <c r="J82" s="314" t="str">
        <f>IF(I82="","",IF(VLOOKUP(I82,'G-7 WaterC'' Data'!$AK$4:$AM$6,2,FALSE)=0,"Spatial Data Missing ⚠",VLOOKUP(I82,'G-7 WaterC'' Data'!$AK$4:$AM$6,2,FALSE)))</f>
        <v/>
      </c>
      <c r="K82" s="276" t="str">
        <f>IF(I82="","",IF(VLOOKUP(I82,'G-7 WaterC'' Data'!$AK$4:$AM$6,3,FALSE)=0,"Spatial Data Missing ⚠",VLOOKUP(I82,'G-7 WaterC'' Data'!$AK$4:$AM$6,3,FALSE)))</f>
        <v/>
      </c>
      <c r="L82" s="372" t="str">
        <f>IFERROR(INDEX('G-7 WaterC'' Data'!$O$3:$O$7,MATCH(G82,'G-7 WaterC'' Data'!$N$3:$N$7,0)),"")</f>
        <v/>
      </c>
      <c r="M82" s="53"/>
      <c r="N82" s="133"/>
      <c r="O82" s="283" t="str">
        <f t="shared" si="7"/>
        <v/>
      </c>
      <c r="P82" s="296" t="str">
        <f t="shared" si="8"/>
        <v/>
      </c>
      <c r="Q82" s="334" t="str">
        <f>IFERROR(IF(P82="Check Data ⚠","Check Data ⚠",VLOOKUP(P82,'G-4 Temporal multipliers'!$A$4:$C$37,3,FALSE)),"")</f>
        <v/>
      </c>
      <c r="R82" s="275" t="str">
        <f>IF(C82="","",VLOOKUP(C82,'G-7 WaterC'' Data'!$B$4:$G$8,4,FALSE))</f>
        <v/>
      </c>
      <c r="S82" s="283" t="str">
        <f t="shared" si="9"/>
        <v/>
      </c>
      <c r="T82" s="314" t="str">
        <f t="shared" si="10"/>
        <v/>
      </c>
      <c r="U82" s="276" t="str">
        <f>IF(C82="","",VLOOKUP(T82,'G-3 Multipliers'!$P$2:$Q$6,2,FALSE))</f>
        <v/>
      </c>
      <c r="V82" s="102"/>
      <c r="W82" s="276" t="str">
        <f>IF(V82="","",IF(AND(V82="N/A - Culvert",C82&lt;&gt;"Culvert"),"Not possible ▲",IF(AND(C82="Culvert",V82&lt;&gt;"N/A - Culvert"),"Not possible ▲",IF(VLOOKUP(V82,'G-7 WaterC'' Data'!$AA$4:$AB$7,2,FALSE)=0,"Spatial Data Missing ⚠",VLOOKUP(V82,'G-7 WaterC'' Data'!$AA$4:$AB$7,2,FALSE)))))</f>
        <v/>
      </c>
      <c r="X82" s="56"/>
      <c r="Y82" s="276" t="str">
        <f>IF(X82="","",IF(AND(X82="N/A - Culvert",C82&lt;&gt;"Culvert"),"Not possible ▲",IF(AND(C82="Culvert",X82&lt;&gt;"N/A - Culvert"),"Not possible ▲",IF(VLOOKUP(X82,'G-7 WaterC'' Data'!$AD$4:$AE$14,2,FALSE)=0,"Enrcoachment Data Missing ⚠",VLOOKUP(X82,'G-7 WaterC'' Data'!$AD$4:$AE$14,2,FALSE)))))</f>
        <v/>
      </c>
      <c r="Z82" s="102"/>
      <c r="AA82" s="276" t="str">
        <f>IF(Z82="","",IF(VLOOKUP(Z82,'G-7 WaterC'' Data'!$AO$4:$BO$7,2,FALSE)=0,"Spatial Data Missing ⚠",VLOOKUP(Z82,'G-7 WaterC'' Data'!$AO$4:$BO$7,2,FALSE)))</f>
        <v/>
      </c>
      <c r="AB82" s="317" t="str">
        <f t="shared" si="11"/>
        <v/>
      </c>
      <c r="AC82" s="317" t="str">
        <f t="shared" si="12"/>
        <v/>
      </c>
      <c r="AD82" s="101"/>
      <c r="AE82" s="938"/>
      <c r="AF82" s="138"/>
      <c r="AG82" s="138"/>
      <c r="AH82" s="934"/>
      <c r="AL82" s="30" t="str">
        <f>IFERROR(INDEX('G-7 WaterC'' Data'!$AZ$3:$AZ$7,MATCH(C82,'G-7 WaterC'' Data'!$AY$3:$AY$7,0)),"")</f>
        <v/>
      </c>
      <c r="AN82" s="30" t="str">
        <f t="shared" si="13"/>
        <v>No</v>
      </c>
    </row>
    <row r="83" spans="2:40" ht="14">
      <c r="B83" s="97">
        <v>72</v>
      </c>
      <c r="C83" s="923"/>
      <c r="D83" s="115"/>
      <c r="E83" s="275" t="str">
        <f>IF(C83="","",VLOOKUP(C83,'G-7 WaterC'' Data'!$B$2:$Z$9,2,FALSE))</f>
        <v/>
      </c>
      <c r="F83" s="276" t="str">
        <f>IFERROR(VLOOKUP(E83,'G-7 WaterC'' Data'!$C$4:$D$8,2,FALSE),"")</f>
        <v/>
      </c>
      <c r="G83" s="52"/>
      <c r="H83" s="276" t="str">
        <f>IFERROR(INDEX('G-7 WaterC'' Data'!$H$4:$L$8,MATCH(C83,'G-7 WaterC'' Data'!$B$4:$B$8,0),MATCH(G83,'G-7 WaterC'' Data'!$H$3:$L$3,0)),"")</f>
        <v/>
      </c>
      <c r="I83" s="52"/>
      <c r="J83" s="314" t="str">
        <f>IF(I83="","",IF(VLOOKUP(I83,'G-7 WaterC'' Data'!$AK$4:$AM$6,2,FALSE)=0,"Spatial Data Missing ⚠",VLOOKUP(I83,'G-7 WaterC'' Data'!$AK$4:$AM$6,2,FALSE)))</f>
        <v/>
      </c>
      <c r="K83" s="276" t="str">
        <f>IF(I83="","",IF(VLOOKUP(I83,'G-7 WaterC'' Data'!$AK$4:$AM$6,3,FALSE)=0,"Spatial Data Missing ⚠",VLOOKUP(I83,'G-7 WaterC'' Data'!$AK$4:$AM$6,3,FALSE)))</f>
        <v/>
      </c>
      <c r="L83" s="372" t="str">
        <f>IFERROR(INDEX('G-7 WaterC'' Data'!$O$3:$O$7,MATCH(G83,'G-7 WaterC'' Data'!$N$3:$N$7,0)),"")</f>
        <v/>
      </c>
      <c r="M83" s="53"/>
      <c r="N83" s="133"/>
      <c r="O83" s="283" t="str">
        <f t="shared" si="7"/>
        <v/>
      </c>
      <c r="P83" s="296" t="str">
        <f t="shared" si="8"/>
        <v/>
      </c>
      <c r="Q83" s="334" t="str">
        <f>IFERROR(IF(P83="Check Data ⚠","Check Data ⚠",VLOOKUP(P83,'G-4 Temporal multipliers'!$A$4:$C$37,3,FALSE)),"")</f>
        <v/>
      </c>
      <c r="R83" s="275" t="str">
        <f>IF(C83="","",VLOOKUP(C83,'G-7 WaterC'' Data'!$B$4:$G$8,4,FALSE))</f>
        <v/>
      </c>
      <c r="S83" s="283" t="str">
        <f t="shared" si="9"/>
        <v/>
      </c>
      <c r="T83" s="314" t="str">
        <f t="shared" si="10"/>
        <v/>
      </c>
      <c r="U83" s="276" t="str">
        <f>IF(C83="","",VLOOKUP(T83,'G-3 Multipliers'!$P$2:$Q$6,2,FALSE))</f>
        <v/>
      </c>
      <c r="V83" s="102"/>
      <c r="W83" s="276" t="str">
        <f>IF(V83="","",IF(AND(V83="N/A - Culvert",C83&lt;&gt;"Culvert"),"Not possible ▲",IF(AND(C83="Culvert",V83&lt;&gt;"N/A - Culvert"),"Not possible ▲",IF(VLOOKUP(V83,'G-7 WaterC'' Data'!$AA$4:$AB$7,2,FALSE)=0,"Spatial Data Missing ⚠",VLOOKUP(V83,'G-7 WaterC'' Data'!$AA$4:$AB$7,2,FALSE)))))</f>
        <v/>
      </c>
      <c r="X83" s="56"/>
      <c r="Y83" s="276" t="str">
        <f>IF(X83="","",IF(AND(X83="N/A - Culvert",C83&lt;&gt;"Culvert"),"Not possible ▲",IF(AND(C83="Culvert",X83&lt;&gt;"N/A - Culvert"),"Not possible ▲",IF(VLOOKUP(X83,'G-7 WaterC'' Data'!$AD$4:$AE$14,2,FALSE)=0,"Enrcoachment Data Missing ⚠",VLOOKUP(X83,'G-7 WaterC'' Data'!$AD$4:$AE$14,2,FALSE)))))</f>
        <v/>
      </c>
      <c r="Z83" s="102"/>
      <c r="AA83" s="276" t="str">
        <f>IF(Z83="","",IF(VLOOKUP(Z83,'G-7 WaterC'' Data'!$AO$4:$BO$7,2,FALSE)=0,"Spatial Data Missing ⚠",VLOOKUP(Z83,'G-7 WaterC'' Data'!$AO$4:$BO$7,2,FALSE)))</f>
        <v/>
      </c>
      <c r="AB83" s="317" t="str">
        <f t="shared" si="11"/>
        <v/>
      </c>
      <c r="AC83" s="317" t="str">
        <f t="shared" si="12"/>
        <v/>
      </c>
      <c r="AD83" s="101"/>
      <c r="AE83" s="938"/>
      <c r="AF83" s="138"/>
      <c r="AG83" s="138"/>
      <c r="AH83" s="934"/>
      <c r="AL83" s="30" t="str">
        <f>IFERROR(INDEX('G-7 WaterC'' Data'!$AZ$3:$AZ$7,MATCH(C83,'G-7 WaterC'' Data'!$AY$3:$AY$7,0)),"")</f>
        <v/>
      </c>
      <c r="AN83" s="30" t="str">
        <f t="shared" si="13"/>
        <v>No</v>
      </c>
    </row>
    <row r="84" spans="2:40" ht="14">
      <c r="B84" s="97">
        <v>73</v>
      </c>
      <c r="C84" s="923"/>
      <c r="D84" s="115"/>
      <c r="E84" s="275" t="str">
        <f>IF(C84="","",VLOOKUP(C84,'G-7 WaterC'' Data'!$B$2:$Z$9,2,FALSE))</f>
        <v/>
      </c>
      <c r="F84" s="276" t="str">
        <f>IFERROR(VLOOKUP(E84,'G-7 WaterC'' Data'!$C$4:$D$8,2,FALSE),"")</f>
        <v/>
      </c>
      <c r="G84" s="52"/>
      <c r="H84" s="276" t="str">
        <f>IFERROR(INDEX('G-7 WaterC'' Data'!$H$4:$L$8,MATCH(C84,'G-7 WaterC'' Data'!$B$4:$B$8,0),MATCH(G84,'G-7 WaterC'' Data'!$H$3:$L$3,0)),"")</f>
        <v/>
      </c>
      <c r="I84" s="52"/>
      <c r="J84" s="314" t="str">
        <f>IF(I84="","",IF(VLOOKUP(I84,'G-7 WaterC'' Data'!$AK$4:$AM$6,2,FALSE)=0,"Spatial Data Missing ⚠",VLOOKUP(I84,'G-7 WaterC'' Data'!$AK$4:$AM$6,2,FALSE)))</f>
        <v/>
      </c>
      <c r="K84" s="276" t="str">
        <f>IF(I84="","",IF(VLOOKUP(I84,'G-7 WaterC'' Data'!$AK$4:$AM$6,3,FALSE)=0,"Spatial Data Missing ⚠",VLOOKUP(I84,'G-7 WaterC'' Data'!$AK$4:$AM$6,3,FALSE)))</f>
        <v/>
      </c>
      <c r="L84" s="372" t="str">
        <f>IFERROR(INDEX('G-7 WaterC'' Data'!$O$3:$O$7,MATCH(G84,'G-7 WaterC'' Data'!$N$3:$N$7,0)),"")</f>
        <v/>
      </c>
      <c r="M84" s="53"/>
      <c r="N84" s="133"/>
      <c r="O84" s="283" t="str">
        <f t="shared" si="7"/>
        <v/>
      </c>
      <c r="P84" s="296" t="str">
        <f t="shared" si="8"/>
        <v/>
      </c>
      <c r="Q84" s="334" t="str">
        <f>IFERROR(IF(P84="Check Data ⚠","Check Data ⚠",VLOOKUP(P84,'G-4 Temporal multipliers'!$A$4:$C$37,3,FALSE)),"")</f>
        <v/>
      </c>
      <c r="R84" s="275" t="str">
        <f>IF(C84="","",VLOOKUP(C84,'G-7 WaterC'' Data'!$B$4:$G$8,4,FALSE))</f>
        <v/>
      </c>
      <c r="S84" s="283" t="str">
        <f t="shared" si="9"/>
        <v/>
      </c>
      <c r="T84" s="314" t="str">
        <f t="shared" si="10"/>
        <v/>
      </c>
      <c r="U84" s="276" t="str">
        <f>IF(C84="","",VLOOKUP(T84,'G-3 Multipliers'!$P$2:$Q$6,2,FALSE))</f>
        <v/>
      </c>
      <c r="V84" s="102"/>
      <c r="W84" s="276" t="str">
        <f>IF(V84="","",IF(AND(V84="N/A - Culvert",C84&lt;&gt;"Culvert"),"Not possible ▲",IF(AND(C84="Culvert",V84&lt;&gt;"N/A - Culvert"),"Not possible ▲",IF(VLOOKUP(V84,'G-7 WaterC'' Data'!$AA$4:$AB$7,2,FALSE)=0,"Spatial Data Missing ⚠",VLOOKUP(V84,'G-7 WaterC'' Data'!$AA$4:$AB$7,2,FALSE)))))</f>
        <v/>
      </c>
      <c r="X84" s="56"/>
      <c r="Y84" s="276" t="str">
        <f>IF(X84="","",IF(AND(X84="N/A - Culvert",C84&lt;&gt;"Culvert"),"Not possible ▲",IF(AND(C84="Culvert",X84&lt;&gt;"N/A - Culvert"),"Not possible ▲",IF(VLOOKUP(X84,'G-7 WaterC'' Data'!$AD$4:$AE$14,2,FALSE)=0,"Enrcoachment Data Missing ⚠",VLOOKUP(X84,'G-7 WaterC'' Data'!$AD$4:$AE$14,2,FALSE)))))</f>
        <v/>
      </c>
      <c r="Z84" s="102"/>
      <c r="AA84" s="276" t="str">
        <f>IF(Z84="","",IF(VLOOKUP(Z84,'G-7 WaterC'' Data'!$AO$4:$BO$7,2,FALSE)=0,"Spatial Data Missing ⚠",VLOOKUP(Z84,'G-7 WaterC'' Data'!$AO$4:$BO$7,2,FALSE)))</f>
        <v/>
      </c>
      <c r="AB84" s="317" t="str">
        <f t="shared" si="11"/>
        <v/>
      </c>
      <c r="AC84" s="317" t="str">
        <f t="shared" si="12"/>
        <v/>
      </c>
      <c r="AD84" s="101"/>
      <c r="AE84" s="938"/>
      <c r="AF84" s="138"/>
      <c r="AG84" s="138"/>
      <c r="AH84" s="934"/>
      <c r="AL84" s="30" t="str">
        <f>IFERROR(INDEX('G-7 WaterC'' Data'!$AZ$3:$AZ$7,MATCH(C84,'G-7 WaterC'' Data'!$AY$3:$AY$7,0)),"")</f>
        <v/>
      </c>
      <c r="AN84" s="30" t="str">
        <f t="shared" si="13"/>
        <v>No</v>
      </c>
    </row>
    <row r="85" spans="2:40" ht="14">
      <c r="B85" s="97">
        <v>74</v>
      </c>
      <c r="C85" s="923"/>
      <c r="D85" s="115"/>
      <c r="E85" s="275" t="str">
        <f>IF(C85="","",VLOOKUP(C85,'G-7 WaterC'' Data'!$B$2:$Z$9,2,FALSE))</f>
        <v/>
      </c>
      <c r="F85" s="276" t="str">
        <f>IFERROR(VLOOKUP(E85,'G-7 WaterC'' Data'!$C$4:$D$8,2,FALSE),"")</f>
        <v/>
      </c>
      <c r="G85" s="52"/>
      <c r="H85" s="276" t="str">
        <f>IFERROR(INDEX('G-7 WaterC'' Data'!$H$4:$L$8,MATCH(C85,'G-7 WaterC'' Data'!$B$4:$B$8,0),MATCH(G85,'G-7 WaterC'' Data'!$H$3:$L$3,0)),"")</f>
        <v/>
      </c>
      <c r="I85" s="52"/>
      <c r="J85" s="314" t="str">
        <f>IF(I85="","",IF(VLOOKUP(I85,'G-7 WaterC'' Data'!$AK$4:$AM$6,2,FALSE)=0,"Spatial Data Missing ⚠",VLOOKUP(I85,'G-7 WaterC'' Data'!$AK$4:$AM$6,2,FALSE)))</f>
        <v/>
      </c>
      <c r="K85" s="276" t="str">
        <f>IF(I85="","",IF(VLOOKUP(I85,'G-7 WaterC'' Data'!$AK$4:$AM$6,3,FALSE)=0,"Spatial Data Missing ⚠",VLOOKUP(I85,'G-7 WaterC'' Data'!$AK$4:$AM$6,3,FALSE)))</f>
        <v/>
      </c>
      <c r="L85" s="372" t="str">
        <f>IFERROR(INDEX('G-7 WaterC'' Data'!$O$3:$O$7,MATCH(G85,'G-7 WaterC'' Data'!$N$3:$N$7,0)),"")</f>
        <v/>
      </c>
      <c r="M85" s="53"/>
      <c r="N85" s="133"/>
      <c r="O85" s="283" t="str">
        <f t="shared" si="7"/>
        <v/>
      </c>
      <c r="P85" s="296" t="str">
        <f t="shared" si="8"/>
        <v/>
      </c>
      <c r="Q85" s="334" t="str">
        <f>IFERROR(IF(P85="Check Data ⚠","Check Data ⚠",VLOOKUP(P85,'G-4 Temporal multipliers'!$A$4:$C$37,3,FALSE)),"")</f>
        <v/>
      </c>
      <c r="R85" s="275" t="str">
        <f>IF(C85="","",VLOOKUP(C85,'G-7 WaterC'' Data'!$B$4:$G$8,4,FALSE))</f>
        <v/>
      </c>
      <c r="S85" s="283" t="str">
        <f t="shared" si="9"/>
        <v/>
      </c>
      <c r="T85" s="314" t="str">
        <f t="shared" si="10"/>
        <v/>
      </c>
      <c r="U85" s="276" t="str">
        <f>IF(C85="","",VLOOKUP(T85,'G-3 Multipliers'!$P$2:$Q$6,2,FALSE))</f>
        <v/>
      </c>
      <c r="V85" s="102"/>
      <c r="W85" s="276" t="str">
        <f>IF(V85="","",IF(AND(V85="N/A - Culvert",C85&lt;&gt;"Culvert"),"Not possible ▲",IF(AND(C85="Culvert",V85&lt;&gt;"N/A - Culvert"),"Not possible ▲",IF(VLOOKUP(V85,'G-7 WaterC'' Data'!$AA$4:$AB$7,2,FALSE)=0,"Spatial Data Missing ⚠",VLOOKUP(V85,'G-7 WaterC'' Data'!$AA$4:$AB$7,2,FALSE)))))</f>
        <v/>
      </c>
      <c r="X85" s="56"/>
      <c r="Y85" s="276" t="str">
        <f>IF(X85="","",IF(AND(X85="N/A - Culvert",C85&lt;&gt;"Culvert"),"Not possible ▲",IF(AND(C85="Culvert",X85&lt;&gt;"N/A - Culvert"),"Not possible ▲",IF(VLOOKUP(X85,'G-7 WaterC'' Data'!$AD$4:$AE$14,2,FALSE)=0,"Enrcoachment Data Missing ⚠",VLOOKUP(X85,'G-7 WaterC'' Data'!$AD$4:$AE$14,2,FALSE)))))</f>
        <v/>
      </c>
      <c r="Z85" s="102"/>
      <c r="AA85" s="276" t="str">
        <f>IF(Z85="","",IF(VLOOKUP(Z85,'G-7 WaterC'' Data'!$AO$4:$BO$7,2,FALSE)=0,"Spatial Data Missing ⚠",VLOOKUP(Z85,'G-7 WaterC'' Data'!$AO$4:$BO$7,2,FALSE)))</f>
        <v/>
      </c>
      <c r="AB85" s="317" t="str">
        <f t="shared" si="11"/>
        <v/>
      </c>
      <c r="AC85" s="317" t="str">
        <f t="shared" si="12"/>
        <v/>
      </c>
      <c r="AD85" s="101"/>
      <c r="AE85" s="938"/>
      <c r="AF85" s="138"/>
      <c r="AG85" s="138"/>
      <c r="AH85" s="934"/>
      <c r="AL85" s="30" t="str">
        <f>IFERROR(INDEX('G-7 WaterC'' Data'!$AZ$3:$AZ$7,MATCH(C85,'G-7 WaterC'' Data'!$AY$3:$AY$7,0)),"")</f>
        <v/>
      </c>
      <c r="AN85" s="30" t="str">
        <f t="shared" si="13"/>
        <v>No</v>
      </c>
    </row>
    <row r="86" spans="2:40" ht="14">
      <c r="B86" s="97">
        <v>75</v>
      </c>
      <c r="C86" s="923"/>
      <c r="D86" s="115"/>
      <c r="E86" s="275" t="str">
        <f>IF(C86="","",VLOOKUP(C86,'G-7 WaterC'' Data'!$B$2:$Z$9,2,FALSE))</f>
        <v/>
      </c>
      <c r="F86" s="276" t="str">
        <f>IFERROR(VLOOKUP(E86,'G-7 WaterC'' Data'!$C$4:$D$8,2,FALSE),"")</f>
        <v/>
      </c>
      <c r="G86" s="52"/>
      <c r="H86" s="276" t="str">
        <f>IFERROR(INDEX('G-7 WaterC'' Data'!$H$4:$L$8,MATCH(C86,'G-7 WaterC'' Data'!$B$4:$B$8,0),MATCH(G86,'G-7 WaterC'' Data'!$H$3:$L$3,0)),"")</f>
        <v/>
      </c>
      <c r="I86" s="52"/>
      <c r="J86" s="314" t="str">
        <f>IF(I86="","",IF(VLOOKUP(I86,'G-7 WaterC'' Data'!$AK$4:$AM$6,2,FALSE)=0,"Spatial Data Missing ⚠",VLOOKUP(I86,'G-7 WaterC'' Data'!$AK$4:$AM$6,2,FALSE)))</f>
        <v/>
      </c>
      <c r="K86" s="276" t="str">
        <f>IF(I86="","",IF(VLOOKUP(I86,'G-7 WaterC'' Data'!$AK$4:$AM$6,3,FALSE)=0,"Spatial Data Missing ⚠",VLOOKUP(I86,'G-7 WaterC'' Data'!$AK$4:$AM$6,3,FALSE)))</f>
        <v/>
      </c>
      <c r="L86" s="372" t="str">
        <f>IFERROR(INDEX('G-7 WaterC'' Data'!$O$3:$O$7,MATCH(G86,'G-7 WaterC'' Data'!$N$3:$N$7,0)),"")</f>
        <v/>
      </c>
      <c r="M86" s="53"/>
      <c r="N86" s="133"/>
      <c r="O86" s="283" t="str">
        <f t="shared" si="7"/>
        <v/>
      </c>
      <c r="P86" s="296" t="str">
        <f t="shared" si="8"/>
        <v/>
      </c>
      <c r="Q86" s="334" t="str">
        <f>IFERROR(IF(P86="Check Data ⚠","Check Data ⚠",VLOOKUP(P86,'G-4 Temporal multipliers'!$A$4:$C$37,3,FALSE)),"")</f>
        <v/>
      </c>
      <c r="R86" s="275" t="str">
        <f>IF(C86="","",VLOOKUP(C86,'G-7 WaterC'' Data'!$B$4:$G$8,4,FALSE))</f>
        <v/>
      </c>
      <c r="S86" s="283" t="str">
        <f t="shared" si="9"/>
        <v/>
      </c>
      <c r="T86" s="314" t="str">
        <f t="shared" si="10"/>
        <v/>
      </c>
      <c r="U86" s="276" t="str">
        <f>IF(C86="","",VLOOKUP(T86,'G-3 Multipliers'!$P$2:$Q$6,2,FALSE))</f>
        <v/>
      </c>
      <c r="V86" s="102"/>
      <c r="W86" s="276" t="str">
        <f>IF(V86="","",IF(AND(V86="N/A - Culvert",C86&lt;&gt;"Culvert"),"Not possible ▲",IF(AND(C86="Culvert",V86&lt;&gt;"N/A - Culvert"),"Not possible ▲",IF(VLOOKUP(V86,'G-7 WaterC'' Data'!$AA$4:$AB$7,2,FALSE)=0,"Spatial Data Missing ⚠",VLOOKUP(V86,'G-7 WaterC'' Data'!$AA$4:$AB$7,2,FALSE)))))</f>
        <v/>
      </c>
      <c r="X86" s="56"/>
      <c r="Y86" s="276" t="str">
        <f>IF(X86="","",IF(AND(X86="N/A - Culvert",C86&lt;&gt;"Culvert"),"Not possible ▲",IF(AND(C86="Culvert",X86&lt;&gt;"N/A - Culvert"),"Not possible ▲",IF(VLOOKUP(X86,'G-7 WaterC'' Data'!$AD$4:$AE$14,2,FALSE)=0,"Enrcoachment Data Missing ⚠",VLOOKUP(X86,'G-7 WaterC'' Data'!$AD$4:$AE$14,2,FALSE)))))</f>
        <v/>
      </c>
      <c r="Z86" s="102"/>
      <c r="AA86" s="276" t="str">
        <f>IF(Z86="","",IF(VLOOKUP(Z86,'G-7 WaterC'' Data'!$AO$4:$BO$7,2,FALSE)=0,"Spatial Data Missing ⚠",VLOOKUP(Z86,'G-7 WaterC'' Data'!$AO$4:$BO$7,2,FALSE)))</f>
        <v/>
      </c>
      <c r="AB86" s="317" t="str">
        <f t="shared" si="11"/>
        <v/>
      </c>
      <c r="AC86" s="317" t="str">
        <f t="shared" si="12"/>
        <v/>
      </c>
      <c r="AD86" s="101"/>
      <c r="AE86" s="938"/>
      <c r="AF86" s="138"/>
      <c r="AG86" s="138"/>
      <c r="AH86" s="934"/>
      <c r="AL86" s="30" t="str">
        <f>IFERROR(INDEX('G-7 WaterC'' Data'!$AZ$3:$AZ$7,MATCH(C86,'G-7 WaterC'' Data'!$AY$3:$AY$7,0)),"")</f>
        <v/>
      </c>
      <c r="AN86" s="30" t="str">
        <f t="shared" si="13"/>
        <v>No</v>
      </c>
    </row>
    <row r="87" spans="2:40" ht="14">
      <c r="B87" s="97">
        <v>76</v>
      </c>
      <c r="C87" s="923"/>
      <c r="D87" s="115"/>
      <c r="E87" s="275" t="str">
        <f>IF(C87="","",VLOOKUP(C87,'G-7 WaterC'' Data'!$B$2:$Z$9,2,FALSE))</f>
        <v/>
      </c>
      <c r="F87" s="276" t="str">
        <f>IFERROR(VLOOKUP(E87,'G-7 WaterC'' Data'!$C$4:$D$8,2,FALSE),"")</f>
        <v/>
      </c>
      <c r="G87" s="52"/>
      <c r="H87" s="276" t="str">
        <f>IFERROR(INDEX('G-7 WaterC'' Data'!$H$4:$L$8,MATCH(C87,'G-7 WaterC'' Data'!$B$4:$B$8,0),MATCH(G87,'G-7 WaterC'' Data'!$H$3:$L$3,0)),"")</f>
        <v/>
      </c>
      <c r="I87" s="52"/>
      <c r="J87" s="314" t="str">
        <f>IF(I87="","",IF(VLOOKUP(I87,'G-7 WaterC'' Data'!$AK$4:$AM$6,2,FALSE)=0,"Spatial Data Missing ⚠",VLOOKUP(I87,'G-7 WaterC'' Data'!$AK$4:$AM$6,2,FALSE)))</f>
        <v/>
      </c>
      <c r="K87" s="276" t="str">
        <f>IF(I87="","",IF(VLOOKUP(I87,'G-7 WaterC'' Data'!$AK$4:$AM$6,3,FALSE)=0,"Spatial Data Missing ⚠",VLOOKUP(I87,'G-7 WaterC'' Data'!$AK$4:$AM$6,3,FALSE)))</f>
        <v/>
      </c>
      <c r="L87" s="372" t="str">
        <f>IFERROR(INDEX('G-7 WaterC'' Data'!$O$3:$O$7,MATCH(G87,'G-7 WaterC'' Data'!$N$3:$N$7,0)),"")</f>
        <v/>
      </c>
      <c r="M87" s="53"/>
      <c r="N87" s="133"/>
      <c r="O87" s="283" t="str">
        <f t="shared" si="7"/>
        <v/>
      </c>
      <c r="P87" s="296" t="str">
        <f t="shared" si="8"/>
        <v/>
      </c>
      <c r="Q87" s="334" t="str">
        <f>IFERROR(IF(P87="Check Data ⚠","Check Data ⚠",VLOOKUP(P87,'G-4 Temporal multipliers'!$A$4:$C$37,3,FALSE)),"")</f>
        <v/>
      </c>
      <c r="R87" s="275" t="str">
        <f>IF(C87="","",VLOOKUP(C87,'G-7 WaterC'' Data'!$B$4:$G$8,4,FALSE))</f>
        <v/>
      </c>
      <c r="S87" s="283" t="str">
        <f t="shared" si="9"/>
        <v/>
      </c>
      <c r="T87" s="314" t="str">
        <f t="shared" si="10"/>
        <v/>
      </c>
      <c r="U87" s="276" t="str">
        <f>IF(C87="","",VLOOKUP(T87,'G-3 Multipliers'!$P$2:$Q$6,2,FALSE))</f>
        <v/>
      </c>
      <c r="V87" s="102"/>
      <c r="W87" s="276" t="str">
        <f>IF(V87="","",IF(AND(V87="N/A - Culvert",C87&lt;&gt;"Culvert"),"Not possible ▲",IF(AND(C87="Culvert",V87&lt;&gt;"N/A - Culvert"),"Not possible ▲",IF(VLOOKUP(V87,'G-7 WaterC'' Data'!$AA$4:$AB$7,2,FALSE)=0,"Spatial Data Missing ⚠",VLOOKUP(V87,'G-7 WaterC'' Data'!$AA$4:$AB$7,2,FALSE)))))</f>
        <v/>
      </c>
      <c r="X87" s="56"/>
      <c r="Y87" s="276" t="str">
        <f>IF(X87="","",IF(AND(X87="N/A - Culvert",C87&lt;&gt;"Culvert"),"Not possible ▲",IF(AND(C87="Culvert",X87&lt;&gt;"N/A - Culvert"),"Not possible ▲",IF(VLOOKUP(X87,'G-7 WaterC'' Data'!$AD$4:$AE$14,2,FALSE)=0,"Enrcoachment Data Missing ⚠",VLOOKUP(X87,'G-7 WaterC'' Data'!$AD$4:$AE$14,2,FALSE)))))</f>
        <v/>
      </c>
      <c r="Z87" s="102"/>
      <c r="AA87" s="276" t="str">
        <f>IF(Z87="","",IF(VLOOKUP(Z87,'G-7 WaterC'' Data'!$AO$4:$BO$7,2,FALSE)=0,"Spatial Data Missing ⚠",VLOOKUP(Z87,'G-7 WaterC'' Data'!$AO$4:$BO$7,2,FALSE)))</f>
        <v/>
      </c>
      <c r="AB87" s="317" t="str">
        <f t="shared" si="11"/>
        <v/>
      </c>
      <c r="AC87" s="317" t="str">
        <f t="shared" si="12"/>
        <v/>
      </c>
      <c r="AD87" s="101"/>
      <c r="AE87" s="938"/>
      <c r="AF87" s="138"/>
      <c r="AG87" s="138"/>
      <c r="AH87" s="934"/>
      <c r="AL87" s="30" t="str">
        <f>IFERROR(INDEX('G-7 WaterC'' Data'!$AZ$3:$AZ$7,MATCH(C87,'G-7 WaterC'' Data'!$AY$3:$AY$7,0)),"")</f>
        <v/>
      </c>
      <c r="AN87" s="30" t="str">
        <f t="shared" si="13"/>
        <v>No</v>
      </c>
    </row>
    <row r="88" spans="2:40" ht="14">
      <c r="B88" s="97">
        <v>77</v>
      </c>
      <c r="C88" s="923"/>
      <c r="D88" s="115"/>
      <c r="E88" s="275" t="str">
        <f>IF(C88="","",VLOOKUP(C88,'G-7 WaterC'' Data'!$B$2:$Z$9,2,FALSE))</f>
        <v/>
      </c>
      <c r="F88" s="276" t="str">
        <f>IFERROR(VLOOKUP(E88,'G-7 WaterC'' Data'!$C$4:$D$8,2,FALSE),"")</f>
        <v/>
      </c>
      <c r="G88" s="52"/>
      <c r="H88" s="276" t="str">
        <f>IFERROR(INDEX('G-7 WaterC'' Data'!$H$4:$L$8,MATCH(C88,'G-7 WaterC'' Data'!$B$4:$B$8,0),MATCH(G88,'G-7 WaterC'' Data'!$H$3:$L$3,0)),"")</f>
        <v/>
      </c>
      <c r="I88" s="52"/>
      <c r="J88" s="314" t="str">
        <f>IF(I88="","",IF(VLOOKUP(I88,'G-7 WaterC'' Data'!$AK$4:$AM$6,2,FALSE)=0,"Spatial Data Missing ⚠",VLOOKUP(I88,'G-7 WaterC'' Data'!$AK$4:$AM$6,2,FALSE)))</f>
        <v/>
      </c>
      <c r="K88" s="276" t="str">
        <f>IF(I88="","",IF(VLOOKUP(I88,'G-7 WaterC'' Data'!$AK$4:$AM$6,3,FALSE)=0,"Spatial Data Missing ⚠",VLOOKUP(I88,'G-7 WaterC'' Data'!$AK$4:$AM$6,3,FALSE)))</f>
        <v/>
      </c>
      <c r="L88" s="372" t="str">
        <f>IFERROR(INDEX('G-7 WaterC'' Data'!$O$3:$O$7,MATCH(G88,'G-7 WaterC'' Data'!$N$3:$N$7,0)),"")</f>
        <v/>
      </c>
      <c r="M88" s="53"/>
      <c r="N88" s="133"/>
      <c r="O88" s="283" t="str">
        <f t="shared" si="7"/>
        <v/>
      </c>
      <c r="P88" s="296" t="str">
        <f t="shared" si="8"/>
        <v/>
      </c>
      <c r="Q88" s="334" t="str">
        <f>IFERROR(IF(P88="Check Data ⚠","Check Data ⚠",VLOOKUP(P88,'G-4 Temporal multipliers'!$A$4:$C$37,3,FALSE)),"")</f>
        <v/>
      </c>
      <c r="R88" s="275" t="str">
        <f>IF(C88="","",VLOOKUP(C88,'G-7 WaterC'' Data'!$B$4:$G$8,4,FALSE))</f>
        <v/>
      </c>
      <c r="S88" s="283" t="str">
        <f t="shared" si="9"/>
        <v/>
      </c>
      <c r="T88" s="314" t="str">
        <f t="shared" si="10"/>
        <v/>
      </c>
      <c r="U88" s="276" t="str">
        <f>IF(C88="","",VLOOKUP(T88,'G-3 Multipliers'!$P$2:$Q$6,2,FALSE))</f>
        <v/>
      </c>
      <c r="V88" s="102"/>
      <c r="W88" s="276" t="str">
        <f>IF(V88="","",IF(AND(V88="N/A - Culvert",C88&lt;&gt;"Culvert"),"Not possible ▲",IF(AND(C88="Culvert",V88&lt;&gt;"N/A - Culvert"),"Not possible ▲",IF(VLOOKUP(V88,'G-7 WaterC'' Data'!$AA$4:$AB$7,2,FALSE)=0,"Spatial Data Missing ⚠",VLOOKUP(V88,'G-7 WaterC'' Data'!$AA$4:$AB$7,2,FALSE)))))</f>
        <v/>
      </c>
      <c r="X88" s="56"/>
      <c r="Y88" s="276" t="str">
        <f>IF(X88="","",IF(AND(X88="N/A - Culvert",C88&lt;&gt;"Culvert"),"Not possible ▲",IF(AND(C88="Culvert",X88&lt;&gt;"N/A - Culvert"),"Not possible ▲",IF(VLOOKUP(X88,'G-7 WaterC'' Data'!$AD$4:$AE$14,2,FALSE)=0,"Enrcoachment Data Missing ⚠",VLOOKUP(X88,'G-7 WaterC'' Data'!$AD$4:$AE$14,2,FALSE)))))</f>
        <v/>
      </c>
      <c r="Z88" s="102"/>
      <c r="AA88" s="276" t="str">
        <f>IF(Z88="","",IF(VLOOKUP(Z88,'G-7 WaterC'' Data'!$AO$4:$BO$7,2,FALSE)=0,"Spatial Data Missing ⚠",VLOOKUP(Z88,'G-7 WaterC'' Data'!$AO$4:$BO$7,2,FALSE)))</f>
        <v/>
      </c>
      <c r="AB88" s="317" t="str">
        <f t="shared" si="11"/>
        <v/>
      </c>
      <c r="AC88" s="317" t="str">
        <f t="shared" si="12"/>
        <v/>
      </c>
      <c r="AD88" s="101"/>
      <c r="AE88" s="938"/>
      <c r="AF88" s="138"/>
      <c r="AG88" s="138"/>
      <c r="AH88" s="934"/>
      <c r="AL88" s="30" t="str">
        <f>IFERROR(INDEX('G-7 WaterC'' Data'!$AZ$3:$AZ$7,MATCH(C88,'G-7 WaterC'' Data'!$AY$3:$AY$7,0)),"")</f>
        <v/>
      </c>
      <c r="AN88" s="30" t="str">
        <f t="shared" si="13"/>
        <v>No</v>
      </c>
    </row>
    <row r="89" spans="2:40" ht="14">
      <c r="B89" s="97">
        <v>78</v>
      </c>
      <c r="C89" s="923"/>
      <c r="D89" s="115"/>
      <c r="E89" s="275" t="str">
        <f>IF(C89="","",VLOOKUP(C89,'G-7 WaterC'' Data'!$B$2:$Z$9,2,FALSE))</f>
        <v/>
      </c>
      <c r="F89" s="276" t="str">
        <f>IFERROR(VLOOKUP(E89,'G-7 WaterC'' Data'!$C$4:$D$8,2,FALSE),"")</f>
        <v/>
      </c>
      <c r="G89" s="52"/>
      <c r="H89" s="276" t="str">
        <f>IFERROR(INDEX('G-7 WaterC'' Data'!$H$4:$L$8,MATCH(C89,'G-7 WaterC'' Data'!$B$4:$B$8,0),MATCH(G89,'G-7 WaterC'' Data'!$H$3:$L$3,0)),"")</f>
        <v/>
      </c>
      <c r="I89" s="52"/>
      <c r="J89" s="314" t="str">
        <f>IF(I89="","",IF(VLOOKUP(I89,'G-7 WaterC'' Data'!$AK$4:$AM$6,2,FALSE)=0,"Spatial Data Missing ⚠",VLOOKUP(I89,'G-7 WaterC'' Data'!$AK$4:$AM$6,2,FALSE)))</f>
        <v/>
      </c>
      <c r="K89" s="276" t="str">
        <f>IF(I89="","",IF(VLOOKUP(I89,'G-7 WaterC'' Data'!$AK$4:$AM$6,3,FALSE)=0,"Spatial Data Missing ⚠",VLOOKUP(I89,'G-7 WaterC'' Data'!$AK$4:$AM$6,3,FALSE)))</f>
        <v/>
      </c>
      <c r="L89" s="372" t="str">
        <f>IFERROR(INDEX('G-7 WaterC'' Data'!$O$3:$O$7,MATCH(G89,'G-7 WaterC'' Data'!$N$3:$N$7,0)),"")</f>
        <v/>
      </c>
      <c r="M89" s="53"/>
      <c r="N89" s="133"/>
      <c r="O89" s="283" t="str">
        <f t="shared" si="7"/>
        <v/>
      </c>
      <c r="P89" s="296" t="str">
        <f t="shared" si="8"/>
        <v/>
      </c>
      <c r="Q89" s="334" t="str">
        <f>IFERROR(IF(P89="Check Data ⚠","Check Data ⚠",VLOOKUP(P89,'G-4 Temporal multipliers'!$A$4:$C$37,3,FALSE)),"")</f>
        <v/>
      </c>
      <c r="R89" s="275" t="str">
        <f>IF(C89="","",VLOOKUP(C89,'G-7 WaterC'' Data'!$B$4:$G$8,4,FALSE))</f>
        <v/>
      </c>
      <c r="S89" s="283" t="str">
        <f t="shared" si="9"/>
        <v/>
      </c>
      <c r="T89" s="314" t="str">
        <f t="shared" si="10"/>
        <v/>
      </c>
      <c r="U89" s="276" t="str">
        <f>IF(C89="","",VLOOKUP(T89,'G-3 Multipliers'!$P$2:$Q$6,2,FALSE))</f>
        <v/>
      </c>
      <c r="V89" s="102"/>
      <c r="W89" s="276" t="str">
        <f>IF(V89="","",IF(AND(V89="N/A - Culvert",C89&lt;&gt;"Culvert"),"Not possible ▲",IF(AND(C89="Culvert",V89&lt;&gt;"N/A - Culvert"),"Not possible ▲",IF(VLOOKUP(V89,'G-7 WaterC'' Data'!$AA$4:$AB$7,2,FALSE)=0,"Spatial Data Missing ⚠",VLOOKUP(V89,'G-7 WaterC'' Data'!$AA$4:$AB$7,2,FALSE)))))</f>
        <v/>
      </c>
      <c r="X89" s="56"/>
      <c r="Y89" s="276" t="str">
        <f>IF(X89="","",IF(AND(X89="N/A - Culvert",C89&lt;&gt;"Culvert"),"Not possible ▲",IF(AND(C89="Culvert",X89&lt;&gt;"N/A - Culvert"),"Not possible ▲",IF(VLOOKUP(X89,'G-7 WaterC'' Data'!$AD$4:$AE$14,2,FALSE)=0,"Enrcoachment Data Missing ⚠",VLOOKUP(X89,'G-7 WaterC'' Data'!$AD$4:$AE$14,2,FALSE)))))</f>
        <v/>
      </c>
      <c r="Z89" s="102"/>
      <c r="AA89" s="276" t="str">
        <f>IF(Z89="","",IF(VLOOKUP(Z89,'G-7 WaterC'' Data'!$AO$4:$BO$7,2,FALSE)=0,"Spatial Data Missing ⚠",VLOOKUP(Z89,'G-7 WaterC'' Data'!$AO$4:$BO$7,2,FALSE)))</f>
        <v/>
      </c>
      <c r="AB89" s="317" t="str">
        <f t="shared" si="11"/>
        <v/>
      </c>
      <c r="AC89" s="317" t="str">
        <f t="shared" si="12"/>
        <v/>
      </c>
      <c r="AD89" s="101"/>
      <c r="AE89" s="938"/>
      <c r="AF89" s="138"/>
      <c r="AG89" s="138"/>
      <c r="AH89" s="934"/>
      <c r="AL89" s="30" t="str">
        <f>IFERROR(INDEX('G-7 WaterC'' Data'!$AZ$3:$AZ$7,MATCH(C89,'G-7 WaterC'' Data'!$AY$3:$AY$7,0)),"")</f>
        <v/>
      </c>
      <c r="AN89" s="30" t="str">
        <f t="shared" si="13"/>
        <v>No</v>
      </c>
    </row>
    <row r="90" spans="2:40" ht="14">
      <c r="B90" s="97">
        <v>79</v>
      </c>
      <c r="C90" s="923"/>
      <c r="D90" s="115"/>
      <c r="E90" s="275" t="str">
        <f>IF(C90="","",VLOOKUP(C90,'G-7 WaterC'' Data'!$B$2:$Z$9,2,FALSE))</f>
        <v/>
      </c>
      <c r="F90" s="276" t="str">
        <f>IFERROR(VLOOKUP(E90,'G-7 WaterC'' Data'!$C$4:$D$8,2,FALSE),"")</f>
        <v/>
      </c>
      <c r="G90" s="52"/>
      <c r="H90" s="276" t="str">
        <f>IFERROR(INDEX('G-7 WaterC'' Data'!$H$4:$L$8,MATCH(C90,'G-7 WaterC'' Data'!$B$4:$B$8,0),MATCH(G90,'G-7 WaterC'' Data'!$H$3:$L$3,0)),"")</f>
        <v/>
      </c>
      <c r="I90" s="52"/>
      <c r="J90" s="314" t="str">
        <f>IF(I90="","",IF(VLOOKUP(I90,'G-7 WaterC'' Data'!$AK$4:$AM$6,2,FALSE)=0,"Spatial Data Missing ⚠",VLOOKUP(I90,'G-7 WaterC'' Data'!$AK$4:$AM$6,2,FALSE)))</f>
        <v/>
      </c>
      <c r="K90" s="276" t="str">
        <f>IF(I90="","",IF(VLOOKUP(I90,'G-7 WaterC'' Data'!$AK$4:$AM$6,3,FALSE)=0,"Spatial Data Missing ⚠",VLOOKUP(I90,'G-7 WaterC'' Data'!$AK$4:$AM$6,3,FALSE)))</f>
        <v/>
      </c>
      <c r="L90" s="372" t="str">
        <f>IFERROR(INDEX('G-7 WaterC'' Data'!$O$3:$O$7,MATCH(G90,'G-7 WaterC'' Data'!$N$3:$N$7,0)),"")</f>
        <v/>
      </c>
      <c r="M90" s="53"/>
      <c r="N90" s="133"/>
      <c r="O90" s="283" t="str">
        <f t="shared" si="7"/>
        <v/>
      </c>
      <c r="P90" s="296" t="str">
        <f t="shared" si="8"/>
        <v/>
      </c>
      <c r="Q90" s="334" t="str">
        <f>IFERROR(IF(P90="Check Data ⚠","Check Data ⚠",VLOOKUP(P90,'G-4 Temporal multipliers'!$A$4:$C$37,3,FALSE)),"")</f>
        <v/>
      </c>
      <c r="R90" s="275" t="str">
        <f>IF(C90="","",VLOOKUP(C90,'G-7 WaterC'' Data'!$B$4:$G$8,4,FALSE))</f>
        <v/>
      </c>
      <c r="S90" s="283" t="str">
        <f t="shared" si="9"/>
        <v/>
      </c>
      <c r="T90" s="314" t="str">
        <f t="shared" si="10"/>
        <v/>
      </c>
      <c r="U90" s="276" t="str">
        <f>IF(C90="","",VLOOKUP(T90,'G-3 Multipliers'!$P$2:$Q$6,2,FALSE))</f>
        <v/>
      </c>
      <c r="V90" s="102"/>
      <c r="W90" s="276" t="str">
        <f>IF(V90="","",IF(AND(V90="N/A - Culvert",C90&lt;&gt;"Culvert"),"Not possible ▲",IF(AND(C90="Culvert",V90&lt;&gt;"N/A - Culvert"),"Not possible ▲",IF(VLOOKUP(V90,'G-7 WaterC'' Data'!$AA$4:$AB$7,2,FALSE)=0,"Spatial Data Missing ⚠",VLOOKUP(V90,'G-7 WaterC'' Data'!$AA$4:$AB$7,2,FALSE)))))</f>
        <v/>
      </c>
      <c r="X90" s="56"/>
      <c r="Y90" s="276" t="str">
        <f>IF(X90="","",IF(AND(X90="N/A - Culvert",C90&lt;&gt;"Culvert"),"Not possible ▲",IF(AND(C90="Culvert",X90&lt;&gt;"N/A - Culvert"),"Not possible ▲",IF(VLOOKUP(X90,'G-7 WaterC'' Data'!$AD$4:$AE$14,2,FALSE)=0,"Enrcoachment Data Missing ⚠",VLOOKUP(X90,'G-7 WaterC'' Data'!$AD$4:$AE$14,2,FALSE)))))</f>
        <v/>
      </c>
      <c r="Z90" s="102"/>
      <c r="AA90" s="276" t="str">
        <f>IF(Z90="","",IF(VLOOKUP(Z90,'G-7 WaterC'' Data'!$AO$4:$BO$7,2,FALSE)=0,"Spatial Data Missing ⚠",VLOOKUP(Z90,'G-7 WaterC'' Data'!$AO$4:$BO$7,2,FALSE)))</f>
        <v/>
      </c>
      <c r="AB90" s="317" t="str">
        <f t="shared" si="11"/>
        <v/>
      </c>
      <c r="AC90" s="317" t="str">
        <f t="shared" si="12"/>
        <v/>
      </c>
      <c r="AD90" s="101"/>
      <c r="AE90" s="938"/>
      <c r="AF90" s="138"/>
      <c r="AG90" s="138"/>
      <c r="AH90" s="934"/>
      <c r="AL90" s="30" t="str">
        <f>IFERROR(INDEX('G-7 WaterC'' Data'!$AZ$3:$AZ$7,MATCH(C90,'G-7 WaterC'' Data'!$AY$3:$AY$7,0)),"")</f>
        <v/>
      </c>
      <c r="AN90" s="30" t="str">
        <f t="shared" si="13"/>
        <v>No</v>
      </c>
    </row>
    <row r="91" spans="2:40" ht="14">
      <c r="B91" s="97">
        <v>80</v>
      </c>
      <c r="C91" s="923"/>
      <c r="D91" s="115"/>
      <c r="E91" s="275" t="str">
        <f>IF(C91="","",VLOOKUP(C91,'G-7 WaterC'' Data'!$B$2:$Z$9,2,FALSE))</f>
        <v/>
      </c>
      <c r="F91" s="276" t="str">
        <f>IFERROR(VLOOKUP(E91,'G-7 WaterC'' Data'!$C$4:$D$8,2,FALSE),"")</f>
        <v/>
      </c>
      <c r="G91" s="52"/>
      <c r="H91" s="276" t="str">
        <f>IFERROR(INDEX('G-7 WaterC'' Data'!$H$4:$L$8,MATCH(C91,'G-7 WaterC'' Data'!$B$4:$B$8,0),MATCH(G91,'G-7 WaterC'' Data'!$H$3:$L$3,0)),"")</f>
        <v/>
      </c>
      <c r="I91" s="52"/>
      <c r="J91" s="314" t="str">
        <f>IF(I91="","",IF(VLOOKUP(I91,'G-7 WaterC'' Data'!$AK$4:$AM$6,2,FALSE)=0,"Spatial Data Missing ⚠",VLOOKUP(I91,'G-7 WaterC'' Data'!$AK$4:$AM$6,2,FALSE)))</f>
        <v/>
      </c>
      <c r="K91" s="276" t="str">
        <f>IF(I91="","",IF(VLOOKUP(I91,'G-7 WaterC'' Data'!$AK$4:$AM$6,3,FALSE)=0,"Spatial Data Missing ⚠",VLOOKUP(I91,'G-7 WaterC'' Data'!$AK$4:$AM$6,3,FALSE)))</f>
        <v/>
      </c>
      <c r="L91" s="372" t="str">
        <f>IFERROR(INDEX('G-7 WaterC'' Data'!$O$3:$O$7,MATCH(G91,'G-7 WaterC'' Data'!$N$3:$N$7,0)),"")</f>
        <v/>
      </c>
      <c r="M91" s="53"/>
      <c r="N91" s="133"/>
      <c r="O91" s="283" t="str">
        <f t="shared" si="7"/>
        <v/>
      </c>
      <c r="P91" s="296" t="str">
        <f t="shared" si="8"/>
        <v/>
      </c>
      <c r="Q91" s="334" t="str">
        <f>IFERROR(IF(P91="Check Data ⚠","Check Data ⚠",VLOOKUP(P91,'G-4 Temporal multipliers'!$A$4:$C$37,3,FALSE)),"")</f>
        <v/>
      </c>
      <c r="R91" s="275" t="str">
        <f>IF(C91="","",VLOOKUP(C91,'G-7 WaterC'' Data'!$B$4:$G$8,4,FALSE))</f>
        <v/>
      </c>
      <c r="S91" s="283" t="str">
        <f t="shared" si="9"/>
        <v/>
      </c>
      <c r="T91" s="314" t="str">
        <f t="shared" si="10"/>
        <v/>
      </c>
      <c r="U91" s="276" t="str">
        <f>IF(C91="","",VLOOKUP(T91,'G-3 Multipliers'!$P$2:$Q$6,2,FALSE))</f>
        <v/>
      </c>
      <c r="V91" s="102"/>
      <c r="W91" s="276" t="str">
        <f>IF(V91="","",IF(AND(V91="N/A - Culvert",C91&lt;&gt;"Culvert"),"Not possible ▲",IF(AND(C91="Culvert",V91&lt;&gt;"N/A - Culvert"),"Not possible ▲",IF(VLOOKUP(V91,'G-7 WaterC'' Data'!$AA$4:$AB$7,2,FALSE)=0,"Spatial Data Missing ⚠",VLOOKUP(V91,'G-7 WaterC'' Data'!$AA$4:$AB$7,2,FALSE)))))</f>
        <v/>
      </c>
      <c r="X91" s="56"/>
      <c r="Y91" s="276" t="str">
        <f>IF(X91="","",IF(AND(X91="N/A - Culvert",C91&lt;&gt;"Culvert"),"Not possible ▲",IF(AND(C91="Culvert",X91&lt;&gt;"N/A - Culvert"),"Not possible ▲",IF(VLOOKUP(X91,'G-7 WaterC'' Data'!$AD$4:$AE$14,2,FALSE)=0,"Enrcoachment Data Missing ⚠",VLOOKUP(X91,'G-7 WaterC'' Data'!$AD$4:$AE$14,2,FALSE)))))</f>
        <v/>
      </c>
      <c r="Z91" s="102"/>
      <c r="AA91" s="276" t="str">
        <f>IF(Z91="","",IF(VLOOKUP(Z91,'G-7 WaterC'' Data'!$AO$4:$BO$7,2,FALSE)=0,"Spatial Data Missing ⚠",VLOOKUP(Z91,'G-7 WaterC'' Data'!$AO$4:$BO$7,2,FALSE)))</f>
        <v/>
      </c>
      <c r="AB91" s="317" t="str">
        <f t="shared" si="11"/>
        <v/>
      </c>
      <c r="AC91" s="317" t="str">
        <f t="shared" si="12"/>
        <v/>
      </c>
      <c r="AD91" s="101"/>
      <c r="AE91" s="938"/>
      <c r="AF91" s="138"/>
      <c r="AG91" s="138"/>
      <c r="AH91" s="934"/>
      <c r="AL91" s="30" t="str">
        <f>IFERROR(INDEX('G-7 WaterC'' Data'!$AZ$3:$AZ$7,MATCH(C91,'G-7 WaterC'' Data'!$AY$3:$AY$7,0)),"")</f>
        <v/>
      </c>
      <c r="AN91" s="30" t="str">
        <f t="shared" si="13"/>
        <v>No</v>
      </c>
    </row>
    <row r="92" spans="2:40" ht="14">
      <c r="B92" s="97">
        <v>81</v>
      </c>
      <c r="C92" s="923"/>
      <c r="D92" s="115"/>
      <c r="E92" s="275" t="str">
        <f>IF(C92="","",VLOOKUP(C92,'G-7 WaterC'' Data'!$B$2:$Z$9,2,FALSE))</f>
        <v/>
      </c>
      <c r="F92" s="276" t="str">
        <f>IFERROR(VLOOKUP(E92,'G-7 WaterC'' Data'!$C$4:$D$8,2,FALSE),"")</f>
        <v/>
      </c>
      <c r="G92" s="52"/>
      <c r="H92" s="276" t="str">
        <f>IFERROR(INDEX('G-7 WaterC'' Data'!$H$4:$L$8,MATCH(C92,'G-7 WaterC'' Data'!$B$4:$B$8,0),MATCH(G92,'G-7 WaterC'' Data'!$H$3:$L$3,0)),"")</f>
        <v/>
      </c>
      <c r="I92" s="52"/>
      <c r="J92" s="314" t="str">
        <f>IF(I92="","",IF(VLOOKUP(I92,'G-7 WaterC'' Data'!$AK$4:$AM$6,2,FALSE)=0,"Spatial Data Missing ⚠",VLOOKUP(I92,'G-7 WaterC'' Data'!$AK$4:$AM$6,2,FALSE)))</f>
        <v/>
      </c>
      <c r="K92" s="276" t="str">
        <f>IF(I92="","",IF(VLOOKUP(I92,'G-7 WaterC'' Data'!$AK$4:$AM$6,3,FALSE)=0,"Spatial Data Missing ⚠",VLOOKUP(I92,'G-7 WaterC'' Data'!$AK$4:$AM$6,3,FALSE)))</f>
        <v/>
      </c>
      <c r="L92" s="372" t="str">
        <f>IFERROR(INDEX('G-7 WaterC'' Data'!$O$3:$O$7,MATCH(G92,'G-7 WaterC'' Data'!$N$3:$N$7,0)),"")</f>
        <v/>
      </c>
      <c r="M92" s="53"/>
      <c r="N92" s="133"/>
      <c r="O92" s="283" t="str">
        <f t="shared" si="7"/>
        <v/>
      </c>
      <c r="P92" s="296" t="str">
        <f t="shared" si="8"/>
        <v/>
      </c>
      <c r="Q92" s="334" t="str">
        <f>IFERROR(IF(P92="Check Data ⚠","Check Data ⚠",VLOOKUP(P92,'G-4 Temporal multipliers'!$A$4:$C$37,3,FALSE)),"")</f>
        <v/>
      </c>
      <c r="R92" s="275" t="str">
        <f>IF(C92="","",VLOOKUP(C92,'G-7 WaterC'' Data'!$B$4:$G$8,4,FALSE))</f>
        <v/>
      </c>
      <c r="S92" s="283" t="str">
        <f t="shared" si="9"/>
        <v/>
      </c>
      <c r="T92" s="314" t="str">
        <f t="shared" si="10"/>
        <v/>
      </c>
      <c r="U92" s="276" t="str">
        <f>IF(C92="","",VLOOKUP(T92,'G-3 Multipliers'!$P$2:$Q$6,2,FALSE))</f>
        <v/>
      </c>
      <c r="V92" s="102"/>
      <c r="W92" s="276" t="str">
        <f>IF(V92="","",IF(AND(V92="N/A - Culvert",C92&lt;&gt;"Culvert"),"Not possible ▲",IF(AND(C92="Culvert",V92&lt;&gt;"N/A - Culvert"),"Not possible ▲",IF(VLOOKUP(V92,'G-7 WaterC'' Data'!$AA$4:$AB$7,2,FALSE)=0,"Spatial Data Missing ⚠",VLOOKUP(V92,'G-7 WaterC'' Data'!$AA$4:$AB$7,2,FALSE)))))</f>
        <v/>
      </c>
      <c r="X92" s="56"/>
      <c r="Y92" s="276" t="str">
        <f>IF(X92="","",IF(AND(X92="N/A - Culvert",C92&lt;&gt;"Culvert"),"Not possible ▲",IF(AND(C92="Culvert",X92&lt;&gt;"N/A - Culvert"),"Not possible ▲",IF(VLOOKUP(X92,'G-7 WaterC'' Data'!$AD$4:$AE$14,2,FALSE)=0,"Enrcoachment Data Missing ⚠",VLOOKUP(X92,'G-7 WaterC'' Data'!$AD$4:$AE$14,2,FALSE)))))</f>
        <v/>
      </c>
      <c r="Z92" s="102"/>
      <c r="AA92" s="276" t="str">
        <f>IF(Z92="","",IF(VLOOKUP(Z92,'G-7 WaterC'' Data'!$AO$4:$BO$7,2,FALSE)=0,"Spatial Data Missing ⚠",VLOOKUP(Z92,'G-7 WaterC'' Data'!$AO$4:$BO$7,2,FALSE)))</f>
        <v/>
      </c>
      <c r="AB92" s="317" t="str">
        <f t="shared" si="11"/>
        <v/>
      </c>
      <c r="AC92" s="317" t="str">
        <f t="shared" si="12"/>
        <v/>
      </c>
      <c r="AD92" s="101"/>
      <c r="AE92" s="938"/>
      <c r="AF92" s="138"/>
      <c r="AG92" s="138"/>
      <c r="AH92" s="934"/>
      <c r="AL92" s="30" t="str">
        <f>IFERROR(INDEX('G-7 WaterC'' Data'!$AZ$3:$AZ$7,MATCH(C92,'G-7 WaterC'' Data'!$AY$3:$AY$7,0)),"")</f>
        <v/>
      </c>
      <c r="AN92" s="30" t="str">
        <f t="shared" si="13"/>
        <v>No</v>
      </c>
    </row>
    <row r="93" spans="2:40" ht="14">
      <c r="B93" s="97">
        <v>82</v>
      </c>
      <c r="C93" s="923"/>
      <c r="D93" s="115"/>
      <c r="E93" s="275" t="str">
        <f>IF(C93="","",VLOOKUP(C93,'G-7 WaterC'' Data'!$B$2:$Z$9,2,FALSE))</f>
        <v/>
      </c>
      <c r="F93" s="276" t="str">
        <f>IFERROR(VLOOKUP(E93,'G-7 WaterC'' Data'!$C$4:$D$8,2,FALSE),"")</f>
        <v/>
      </c>
      <c r="G93" s="52"/>
      <c r="H93" s="276" t="str">
        <f>IFERROR(INDEX('G-7 WaterC'' Data'!$H$4:$L$8,MATCH(C93,'G-7 WaterC'' Data'!$B$4:$B$8,0),MATCH(G93,'G-7 WaterC'' Data'!$H$3:$L$3,0)),"")</f>
        <v/>
      </c>
      <c r="I93" s="52"/>
      <c r="J93" s="314" t="str">
        <f>IF(I93="","",IF(VLOOKUP(I93,'G-7 WaterC'' Data'!$AK$4:$AM$6,2,FALSE)=0,"Spatial Data Missing ⚠",VLOOKUP(I93,'G-7 WaterC'' Data'!$AK$4:$AM$6,2,FALSE)))</f>
        <v/>
      </c>
      <c r="K93" s="276" t="str">
        <f>IF(I93="","",IF(VLOOKUP(I93,'G-7 WaterC'' Data'!$AK$4:$AM$6,3,FALSE)=0,"Spatial Data Missing ⚠",VLOOKUP(I93,'G-7 WaterC'' Data'!$AK$4:$AM$6,3,FALSE)))</f>
        <v/>
      </c>
      <c r="L93" s="372" t="str">
        <f>IFERROR(INDEX('G-7 WaterC'' Data'!$O$3:$O$7,MATCH(G93,'G-7 WaterC'' Data'!$N$3:$N$7,0)),"")</f>
        <v/>
      </c>
      <c r="M93" s="53"/>
      <c r="N93" s="133"/>
      <c r="O93" s="283" t="str">
        <f t="shared" si="7"/>
        <v/>
      </c>
      <c r="P93" s="296" t="str">
        <f t="shared" si="8"/>
        <v/>
      </c>
      <c r="Q93" s="334" t="str">
        <f>IFERROR(IF(P93="Check Data ⚠","Check Data ⚠",VLOOKUP(P93,'G-4 Temporal multipliers'!$A$4:$C$37,3,FALSE)),"")</f>
        <v/>
      </c>
      <c r="R93" s="275" t="str">
        <f>IF(C93="","",VLOOKUP(C93,'G-7 WaterC'' Data'!$B$4:$G$8,4,FALSE))</f>
        <v/>
      </c>
      <c r="S93" s="283" t="str">
        <f t="shared" si="9"/>
        <v/>
      </c>
      <c r="T93" s="314" t="str">
        <f t="shared" si="10"/>
        <v/>
      </c>
      <c r="U93" s="276" t="str">
        <f>IF(C93="","",VLOOKUP(T93,'G-3 Multipliers'!$P$2:$Q$6,2,FALSE))</f>
        <v/>
      </c>
      <c r="V93" s="102"/>
      <c r="W93" s="276" t="str">
        <f>IF(V93="","",IF(AND(V93="N/A - Culvert",C93&lt;&gt;"Culvert"),"Not possible ▲",IF(AND(C93="Culvert",V93&lt;&gt;"N/A - Culvert"),"Not possible ▲",IF(VLOOKUP(V93,'G-7 WaterC'' Data'!$AA$4:$AB$7,2,FALSE)=0,"Spatial Data Missing ⚠",VLOOKUP(V93,'G-7 WaterC'' Data'!$AA$4:$AB$7,2,FALSE)))))</f>
        <v/>
      </c>
      <c r="X93" s="56"/>
      <c r="Y93" s="276" t="str">
        <f>IF(X93="","",IF(AND(X93="N/A - Culvert",C93&lt;&gt;"Culvert"),"Not possible ▲",IF(AND(C93="Culvert",X93&lt;&gt;"N/A - Culvert"),"Not possible ▲",IF(VLOOKUP(X93,'G-7 WaterC'' Data'!$AD$4:$AE$14,2,FALSE)=0,"Enrcoachment Data Missing ⚠",VLOOKUP(X93,'G-7 WaterC'' Data'!$AD$4:$AE$14,2,FALSE)))))</f>
        <v/>
      </c>
      <c r="Z93" s="102"/>
      <c r="AA93" s="276" t="str">
        <f>IF(Z93="","",IF(VLOOKUP(Z93,'G-7 WaterC'' Data'!$AO$4:$BO$7,2,FALSE)=0,"Spatial Data Missing ⚠",VLOOKUP(Z93,'G-7 WaterC'' Data'!$AO$4:$BO$7,2,FALSE)))</f>
        <v/>
      </c>
      <c r="AB93" s="317" t="str">
        <f t="shared" si="11"/>
        <v/>
      </c>
      <c r="AC93" s="317" t="str">
        <f t="shared" si="12"/>
        <v/>
      </c>
      <c r="AD93" s="101"/>
      <c r="AE93" s="938"/>
      <c r="AF93" s="138"/>
      <c r="AG93" s="138"/>
      <c r="AH93" s="934"/>
      <c r="AL93" s="30" t="str">
        <f>IFERROR(INDEX('G-7 WaterC'' Data'!$AZ$3:$AZ$7,MATCH(C93,'G-7 WaterC'' Data'!$AY$3:$AY$7,0)),"")</f>
        <v/>
      </c>
      <c r="AN93" s="30" t="str">
        <f t="shared" si="13"/>
        <v>No</v>
      </c>
    </row>
    <row r="94" spans="2:40" ht="14">
      <c r="B94" s="97">
        <v>83</v>
      </c>
      <c r="C94" s="923"/>
      <c r="D94" s="115"/>
      <c r="E94" s="275" t="str">
        <f>IF(C94="","",VLOOKUP(C94,'G-7 WaterC'' Data'!$B$2:$Z$9,2,FALSE))</f>
        <v/>
      </c>
      <c r="F94" s="276" t="str">
        <f>IFERROR(VLOOKUP(E94,'G-7 WaterC'' Data'!$C$4:$D$8,2,FALSE),"")</f>
        <v/>
      </c>
      <c r="G94" s="52"/>
      <c r="H94" s="276" t="str">
        <f>IFERROR(INDEX('G-7 WaterC'' Data'!$H$4:$L$8,MATCH(C94,'G-7 WaterC'' Data'!$B$4:$B$8,0),MATCH(G94,'G-7 WaterC'' Data'!$H$3:$L$3,0)),"")</f>
        <v/>
      </c>
      <c r="I94" s="52"/>
      <c r="J94" s="314" t="str">
        <f>IF(I94="","",IF(VLOOKUP(I94,'G-7 WaterC'' Data'!$AK$4:$AM$6,2,FALSE)=0,"Spatial Data Missing ⚠",VLOOKUP(I94,'G-7 WaterC'' Data'!$AK$4:$AM$6,2,FALSE)))</f>
        <v/>
      </c>
      <c r="K94" s="276" t="str">
        <f>IF(I94="","",IF(VLOOKUP(I94,'G-7 WaterC'' Data'!$AK$4:$AM$6,3,FALSE)=0,"Spatial Data Missing ⚠",VLOOKUP(I94,'G-7 WaterC'' Data'!$AK$4:$AM$6,3,FALSE)))</f>
        <v/>
      </c>
      <c r="L94" s="372" t="str">
        <f>IFERROR(INDEX('G-7 WaterC'' Data'!$O$3:$O$7,MATCH(G94,'G-7 WaterC'' Data'!$N$3:$N$7,0)),"")</f>
        <v/>
      </c>
      <c r="M94" s="53"/>
      <c r="N94" s="133"/>
      <c r="O94" s="283" t="str">
        <f t="shared" si="7"/>
        <v/>
      </c>
      <c r="P94" s="296" t="str">
        <f t="shared" si="8"/>
        <v/>
      </c>
      <c r="Q94" s="334" t="str">
        <f>IFERROR(IF(P94="Check Data ⚠","Check Data ⚠",VLOOKUP(P94,'G-4 Temporal multipliers'!$A$4:$C$37,3,FALSE)),"")</f>
        <v/>
      </c>
      <c r="R94" s="275" t="str">
        <f>IF(C94="","",VLOOKUP(C94,'G-7 WaterC'' Data'!$B$4:$G$8,4,FALSE))</f>
        <v/>
      </c>
      <c r="S94" s="283" t="str">
        <f t="shared" si="9"/>
        <v/>
      </c>
      <c r="T94" s="314" t="str">
        <f t="shared" si="10"/>
        <v/>
      </c>
      <c r="U94" s="276" t="str">
        <f>IF(C94="","",VLOOKUP(T94,'G-3 Multipliers'!$P$2:$Q$6,2,FALSE))</f>
        <v/>
      </c>
      <c r="V94" s="102"/>
      <c r="W94" s="276" t="str">
        <f>IF(V94="","",IF(AND(V94="N/A - Culvert",C94&lt;&gt;"Culvert"),"Not possible ▲",IF(AND(C94="Culvert",V94&lt;&gt;"N/A - Culvert"),"Not possible ▲",IF(VLOOKUP(V94,'G-7 WaterC'' Data'!$AA$4:$AB$7,2,FALSE)=0,"Spatial Data Missing ⚠",VLOOKUP(V94,'G-7 WaterC'' Data'!$AA$4:$AB$7,2,FALSE)))))</f>
        <v/>
      </c>
      <c r="X94" s="56"/>
      <c r="Y94" s="276" t="str">
        <f>IF(X94="","",IF(AND(X94="N/A - Culvert",C94&lt;&gt;"Culvert"),"Not possible ▲",IF(AND(C94="Culvert",X94&lt;&gt;"N/A - Culvert"),"Not possible ▲",IF(VLOOKUP(X94,'G-7 WaterC'' Data'!$AD$4:$AE$14,2,FALSE)=0,"Enrcoachment Data Missing ⚠",VLOOKUP(X94,'G-7 WaterC'' Data'!$AD$4:$AE$14,2,FALSE)))))</f>
        <v/>
      </c>
      <c r="Z94" s="102"/>
      <c r="AA94" s="276" t="str">
        <f>IF(Z94="","",IF(VLOOKUP(Z94,'G-7 WaterC'' Data'!$AO$4:$BO$7,2,FALSE)=0,"Spatial Data Missing ⚠",VLOOKUP(Z94,'G-7 WaterC'' Data'!$AO$4:$BO$7,2,FALSE)))</f>
        <v/>
      </c>
      <c r="AB94" s="317" t="str">
        <f t="shared" si="11"/>
        <v/>
      </c>
      <c r="AC94" s="317" t="str">
        <f t="shared" si="12"/>
        <v/>
      </c>
      <c r="AD94" s="101"/>
      <c r="AE94" s="938"/>
      <c r="AF94" s="138"/>
      <c r="AG94" s="138"/>
      <c r="AH94" s="934"/>
      <c r="AL94" s="30" t="str">
        <f>IFERROR(INDEX('G-7 WaterC'' Data'!$AZ$3:$AZ$7,MATCH(C94,'G-7 WaterC'' Data'!$AY$3:$AY$7,0)),"")</f>
        <v/>
      </c>
      <c r="AN94" s="30" t="str">
        <f t="shared" si="13"/>
        <v>No</v>
      </c>
    </row>
    <row r="95" spans="2:40" ht="14">
      <c r="B95" s="97">
        <v>84</v>
      </c>
      <c r="C95" s="923"/>
      <c r="D95" s="115"/>
      <c r="E95" s="275" t="str">
        <f>IF(C95="","",VLOOKUP(C95,'G-7 WaterC'' Data'!$B$2:$Z$9,2,FALSE))</f>
        <v/>
      </c>
      <c r="F95" s="276" t="str">
        <f>IFERROR(VLOOKUP(E95,'G-7 WaterC'' Data'!$C$4:$D$8,2,FALSE),"")</f>
        <v/>
      </c>
      <c r="G95" s="52"/>
      <c r="H95" s="276" t="str">
        <f>IFERROR(INDEX('G-7 WaterC'' Data'!$H$4:$L$8,MATCH(C95,'G-7 WaterC'' Data'!$B$4:$B$8,0),MATCH(G95,'G-7 WaterC'' Data'!$H$3:$L$3,0)),"")</f>
        <v/>
      </c>
      <c r="I95" s="52"/>
      <c r="J95" s="314" t="str">
        <f>IF(I95="","",IF(VLOOKUP(I95,'G-7 WaterC'' Data'!$AK$4:$AM$6,2,FALSE)=0,"Spatial Data Missing ⚠",VLOOKUP(I95,'G-7 WaterC'' Data'!$AK$4:$AM$6,2,FALSE)))</f>
        <v/>
      </c>
      <c r="K95" s="276" t="str">
        <f>IF(I95="","",IF(VLOOKUP(I95,'G-7 WaterC'' Data'!$AK$4:$AM$6,3,FALSE)=0,"Spatial Data Missing ⚠",VLOOKUP(I95,'G-7 WaterC'' Data'!$AK$4:$AM$6,3,FALSE)))</f>
        <v/>
      </c>
      <c r="L95" s="372" t="str">
        <f>IFERROR(INDEX('G-7 WaterC'' Data'!$O$3:$O$7,MATCH(G95,'G-7 WaterC'' Data'!$N$3:$N$7,0)),"")</f>
        <v/>
      </c>
      <c r="M95" s="53"/>
      <c r="N95" s="133"/>
      <c r="O95" s="283" t="str">
        <f t="shared" si="7"/>
        <v/>
      </c>
      <c r="P95" s="296" t="str">
        <f t="shared" si="8"/>
        <v/>
      </c>
      <c r="Q95" s="334" t="str">
        <f>IFERROR(IF(P95="Check Data ⚠","Check Data ⚠",VLOOKUP(P95,'G-4 Temporal multipliers'!$A$4:$C$37,3,FALSE)),"")</f>
        <v/>
      </c>
      <c r="R95" s="275" t="str">
        <f>IF(C95="","",VLOOKUP(C95,'G-7 WaterC'' Data'!$B$4:$G$8,4,FALSE))</f>
        <v/>
      </c>
      <c r="S95" s="283" t="str">
        <f t="shared" si="9"/>
        <v/>
      </c>
      <c r="T95" s="314" t="str">
        <f t="shared" si="10"/>
        <v/>
      </c>
      <c r="U95" s="276" t="str">
        <f>IF(C95="","",VLOOKUP(T95,'G-3 Multipliers'!$P$2:$Q$6,2,FALSE))</f>
        <v/>
      </c>
      <c r="V95" s="102"/>
      <c r="W95" s="276" t="str">
        <f>IF(V95="","",IF(AND(V95="N/A - Culvert",C95&lt;&gt;"Culvert"),"Not possible ▲",IF(AND(C95="Culvert",V95&lt;&gt;"N/A - Culvert"),"Not possible ▲",IF(VLOOKUP(V95,'G-7 WaterC'' Data'!$AA$4:$AB$7,2,FALSE)=0,"Spatial Data Missing ⚠",VLOOKUP(V95,'G-7 WaterC'' Data'!$AA$4:$AB$7,2,FALSE)))))</f>
        <v/>
      </c>
      <c r="X95" s="56"/>
      <c r="Y95" s="276" t="str">
        <f>IF(X95="","",IF(AND(X95="N/A - Culvert",C95&lt;&gt;"Culvert"),"Not possible ▲",IF(AND(C95="Culvert",X95&lt;&gt;"N/A - Culvert"),"Not possible ▲",IF(VLOOKUP(X95,'G-7 WaterC'' Data'!$AD$4:$AE$14,2,FALSE)=0,"Enrcoachment Data Missing ⚠",VLOOKUP(X95,'G-7 WaterC'' Data'!$AD$4:$AE$14,2,FALSE)))))</f>
        <v/>
      </c>
      <c r="Z95" s="102"/>
      <c r="AA95" s="276" t="str">
        <f>IF(Z95="","",IF(VLOOKUP(Z95,'G-7 WaterC'' Data'!$AO$4:$BO$7,2,FALSE)=0,"Spatial Data Missing ⚠",VLOOKUP(Z95,'G-7 WaterC'' Data'!$AO$4:$BO$7,2,FALSE)))</f>
        <v/>
      </c>
      <c r="AB95" s="317" t="str">
        <f t="shared" si="11"/>
        <v/>
      </c>
      <c r="AC95" s="317" t="str">
        <f t="shared" si="12"/>
        <v/>
      </c>
      <c r="AD95" s="101"/>
      <c r="AE95" s="938"/>
      <c r="AF95" s="138"/>
      <c r="AG95" s="138"/>
      <c r="AH95" s="934"/>
      <c r="AL95" s="30" t="str">
        <f>IFERROR(INDEX('G-7 WaterC'' Data'!$AZ$3:$AZ$7,MATCH(C95,'G-7 WaterC'' Data'!$AY$3:$AY$7,0)),"")</f>
        <v/>
      </c>
      <c r="AN95" s="30" t="str">
        <f t="shared" si="13"/>
        <v>No</v>
      </c>
    </row>
    <row r="96" spans="2:40" ht="14">
      <c r="B96" s="97">
        <v>85</v>
      </c>
      <c r="C96" s="923"/>
      <c r="D96" s="115"/>
      <c r="E96" s="275" t="str">
        <f>IF(C96="","",VLOOKUP(C96,'G-7 WaterC'' Data'!$B$2:$Z$9,2,FALSE))</f>
        <v/>
      </c>
      <c r="F96" s="276" t="str">
        <f>IFERROR(VLOOKUP(E96,'G-7 WaterC'' Data'!$C$4:$D$8,2,FALSE),"")</f>
        <v/>
      </c>
      <c r="G96" s="52"/>
      <c r="H96" s="276" t="str">
        <f>IFERROR(INDEX('G-7 WaterC'' Data'!$H$4:$L$8,MATCH(C96,'G-7 WaterC'' Data'!$B$4:$B$8,0),MATCH(G96,'G-7 WaterC'' Data'!$H$3:$L$3,0)),"")</f>
        <v/>
      </c>
      <c r="I96" s="52"/>
      <c r="J96" s="314" t="str">
        <f>IF(I96="","",IF(VLOOKUP(I96,'G-7 WaterC'' Data'!$AK$4:$AM$6,2,FALSE)=0,"Spatial Data Missing ⚠",VLOOKUP(I96,'G-7 WaterC'' Data'!$AK$4:$AM$6,2,FALSE)))</f>
        <v/>
      </c>
      <c r="K96" s="276" t="str">
        <f>IF(I96="","",IF(VLOOKUP(I96,'G-7 WaterC'' Data'!$AK$4:$AM$6,3,FALSE)=0,"Spatial Data Missing ⚠",VLOOKUP(I96,'G-7 WaterC'' Data'!$AK$4:$AM$6,3,FALSE)))</f>
        <v/>
      </c>
      <c r="L96" s="372" t="str">
        <f>IFERROR(INDEX('G-7 WaterC'' Data'!$O$3:$O$7,MATCH(G96,'G-7 WaterC'' Data'!$N$3:$N$7,0)),"")</f>
        <v/>
      </c>
      <c r="M96" s="53"/>
      <c r="N96" s="133"/>
      <c r="O96" s="283" t="str">
        <f t="shared" si="7"/>
        <v/>
      </c>
      <c r="P96" s="296" t="str">
        <f t="shared" si="8"/>
        <v/>
      </c>
      <c r="Q96" s="334" t="str">
        <f>IFERROR(IF(P96="Check Data ⚠","Check Data ⚠",VLOOKUP(P96,'G-4 Temporal multipliers'!$A$4:$C$37,3,FALSE)),"")</f>
        <v/>
      </c>
      <c r="R96" s="275" t="str">
        <f>IF(C96="","",VLOOKUP(C96,'G-7 WaterC'' Data'!$B$4:$G$8,4,FALSE))</f>
        <v/>
      </c>
      <c r="S96" s="283" t="str">
        <f t="shared" si="9"/>
        <v/>
      </c>
      <c r="T96" s="314" t="str">
        <f t="shared" si="10"/>
        <v/>
      </c>
      <c r="U96" s="276" t="str">
        <f>IF(C96="","",VLOOKUP(T96,'G-3 Multipliers'!$P$2:$Q$6,2,FALSE))</f>
        <v/>
      </c>
      <c r="V96" s="102"/>
      <c r="W96" s="276" t="str">
        <f>IF(V96="","",IF(AND(V96="N/A - Culvert",C96&lt;&gt;"Culvert"),"Not possible ▲",IF(AND(C96="Culvert",V96&lt;&gt;"N/A - Culvert"),"Not possible ▲",IF(VLOOKUP(V96,'G-7 WaterC'' Data'!$AA$4:$AB$7,2,FALSE)=0,"Spatial Data Missing ⚠",VLOOKUP(V96,'G-7 WaterC'' Data'!$AA$4:$AB$7,2,FALSE)))))</f>
        <v/>
      </c>
      <c r="X96" s="56"/>
      <c r="Y96" s="276" t="str">
        <f>IF(X96="","",IF(AND(X96="N/A - Culvert",C96&lt;&gt;"Culvert"),"Not possible ▲",IF(AND(C96="Culvert",X96&lt;&gt;"N/A - Culvert"),"Not possible ▲",IF(VLOOKUP(X96,'G-7 WaterC'' Data'!$AD$4:$AE$14,2,FALSE)=0,"Enrcoachment Data Missing ⚠",VLOOKUP(X96,'G-7 WaterC'' Data'!$AD$4:$AE$14,2,FALSE)))))</f>
        <v/>
      </c>
      <c r="Z96" s="102"/>
      <c r="AA96" s="276" t="str">
        <f>IF(Z96="","",IF(VLOOKUP(Z96,'G-7 WaterC'' Data'!$AO$4:$BO$7,2,FALSE)=0,"Spatial Data Missing ⚠",VLOOKUP(Z96,'G-7 WaterC'' Data'!$AO$4:$BO$7,2,FALSE)))</f>
        <v/>
      </c>
      <c r="AB96" s="317" t="str">
        <f t="shared" si="11"/>
        <v/>
      </c>
      <c r="AC96" s="317" t="str">
        <f t="shared" si="12"/>
        <v/>
      </c>
      <c r="AD96" s="101"/>
      <c r="AE96" s="938"/>
      <c r="AF96" s="138"/>
      <c r="AG96" s="138"/>
      <c r="AH96" s="934"/>
      <c r="AL96" s="30" t="str">
        <f>IFERROR(INDEX('G-7 WaterC'' Data'!$AZ$3:$AZ$7,MATCH(C96,'G-7 WaterC'' Data'!$AY$3:$AY$7,0)),"")</f>
        <v/>
      </c>
      <c r="AN96" s="30" t="str">
        <f t="shared" si="13"/>
        <v>No</v>
      </c>
    </row>
    <row r="97" spans="2:40" ht="14">
      <c r="B97" s="97">
        <v>86</v>
      </c>
      <c r="C97" s="923"/>
      <c r="D97" s="115"/>
      <c r="E97" s="275" t="str">
        <f>IF(C97="","",VLOOKUP(C97,'G-7 WaterC'' Data'!$B$2:$Z$9,2,FALSE))</f>
        <v/>
      </c>
      <c r="F97" s="276" t="str">
        <f>IFERROR(VLOOKUP(E97,'G-7 WaterC'' Data'!$C$4:$D$8,2,FALSE),"")</f>
        <v/>
      </c>
      <c r="G97" s="52"/>
      <c r="H97" s="276" t="str">
        <f>IFERROR(INDEX('G-7 WaterC'' Data'!$H$4:$L$8,MATCH(C97,'G-7 WaterC'' Data'!$B$4:$B$8,0),MATCH(G97,'G-7 WaterC'' Data'!$H$3:$L$3,0)),"")</f>
        <v/>
      </c>
      <c r="I97" s="52"/>
      <c r="J97" s="314" t="str">
        <f>IF(I97="","",IF(VLOOKUP(I97,'G-7 WaterC'' Data'!$AK$4:$AM$6,2,FALSE)=0,"Spatial Data Missing ⚠",VLOOKUP(I97,'G-7 WaterC'' Data'!$AK$4:$AM$6,2,FALSE)))</f>
        <v/>
      </c>
      <c r="K97" s="276" t="str">
        <f>IF(I97="","",IF(VLOOKUP(I97,'G-7 WaterC'' Data'!$AK$4:$AM$6,3,FALSE)=0,"Spatial Data Missing ⚠",VLOOKUP(I97,'G-7 WaterC'' Data'!$AK$4:$AM$6,3,FALSE)))</f>
        <v/>
      </c>
      <c r="L97" s="372" t="str">
        <f>IFERROR(INDEX('G-7 WaterC'' Data'!$O$3:$O$7,MATCH(G97,'G-7 WaterC'' Data'!$N$3:$N$7,0)),"")</f>
        <v/>
      </c>
      <c r="M97" s="53"/>
      <c r="N97" s="133"/>
      <c r="O97" s="283" t="str">
        <f t="shared" si="7"/>
        <v/>
      </c>
      <c r="P97" s="296" t="str">
        <f t="shared" si="8"/>
        <v/>
      </c>
      <c r="Q97" s="334" t="str">
        <f>IFERROR(IF(P97="Check Data ⚠","Check Data ⚠",VLOOKUP(P97,'G-4 Temporal multipliers'!$A$4:$C$37,3,FALSE)),"")</f>
        <v/>
      </c>
      <c r="R97" s="275" t="str">
        <f>IF(C97="","",VLOOKUP(C97,'G-7 WaterC'' Data'!$B$4:$G$8,4,FALSE))</f>
        <v/>
      </c>
      <c r="S97" s="283" t="str">
        <f t="shared" si="9"/>
        <v/>
      </c>
      <c r="T97" s="314" t="str">
        <f t="shared" si="10"/>
        <v/>
      </c>
      <c r="U97" s="276" t="str">
        <f>IF(C97="","",VLOOKUP(T97,'G-3 Multipliers'!$P$2:$Q$6,2,FALSE))</f>
        <v/>
      </c>
      <c r="V97" s="102"/>
      <c r="W97" s="276" t="str">
        <f>IF(V97="","",IF(AND(V97="N/A - Culvert",C97&lt;&gt;"Culvert"),"Not possible ▲",IF(AND(C97="Culvert",V97&lt;&gt;"N/A - Culvert"),"Not possible ▲",IF(VLOOKUP(V97,'G-7 WaterC'' Data'!$AA$4:$AB$7,2,FALSE)=0,"Spatial Data Missing ⚠",VLOOKUP(V97,'G-7 WaterC'' Data'!$AA$4:$AB$7,2,FALSE)))))</f>
        <v/>
      </c>
      <c r="X97" s="56"/>
      <c r="Y97" s="276" t="str">
        <f>IF(X97="","",IF(AND(X97="N/A - Culvert",C97&lt;&gt;"Culvert"),"Not possible ▲",IF(AND(C97="Culvert",X97&lt;&gt;"N/A - Culvert"),"Not possible ▲",IF(VLOOKUP(X97,'G-7 WaterC'' Data'!$AD$4:$AE$14,2,FALSE)=0,"Enrcoachment Data Missing ⚠",VLOOKUP(X97,'G-7 WaterC'' Data'!$AD$4:$AE$14,2,FALSE)))))</f>
        <v/>
      </c>
      <c r="Z97" s="102"/>
      <c r="AA97" s="276" t="str">
        <f>IF(Z97="","",IF(VLOOKUP(Z97,'G-7 WaterC'' Data'!$AO$4:$BO$7,2,FALSE)=0,"Spatial Data Missing ⚠",VLOOKUP(Z97,'G-7 WaterC'' Data'!$AO$4:$BO$7,2,FALSE)))</f>
        <v/>
      </c>
      <c r="AB97" s="317" t="str">
        <f t="shared" si="11"/>
        <v/>
      </c>
      <c r="AC97" s="317" t="str">
        <f t="shared" si="12"/>
        <v/>
      </c>
      <c r="AD97" s="101"/>
      <c r="AE97" s="938"/>
      <c r="AF97" s="138"/>
      <c r="AG97" s="138"/>
      <c r="AH97" s="934"/>
      <c r="AL97" s="30" t="str">
        <f>IFERROR(INDEX('G-7 WaterC'' Data'!$AZ$3:$AZ$7,MATCH(C97,'G-7 WaterC'' Data'!$AY$3:$AY$7,0)),"")</f>
        <v/>
      </c>
      <c r="AN97" s="30" t="str">
        <f t="shared" si="13"/>
        <v>No</v>
      </c>
    </row>
    <row r="98" spans="2:40" ht="14">
      <c r="B98" s="97">
        <v>87</v>
      </c>
      <c r="C98" s="923"/>
      <c r="D98" s="115"/>
      <c r="E98" s="275" t="str">
        <f>IF(C98="","",VLOOKUP(C98,'G-7 WaterC'' Data'!$B$2:$Z$9,2,FALSE))</f>
        <v/>
      </c>
      <c r="F98" s="276" t="str">
        <f>IFERROR(VLOOKUP(E98,'G-7 WaterC'' Data'!$C$4:$D$8,2,FALSE),"")</f>
        <v/>
      </c>
      <c r="G98" s="52"/>
      <c r="H98" s="276" t="str">
        <f>IFERROR(INDEX('G-7 WaterC'' Data'!$H$4:$L$8,MATCH(C98,'G-7 WaterC'' Data'!$B$4:$B$8,0),MATCH(G98,'G-7 WaterC'' Data'!$H$3:$L$3,0)),"")</f>
        <v/>
      </c>
      <c r="I98" s="52"/>
      <c r="J98" s="314" t="str">
        <f>IF(I98="","",IF(VLOOKUP(I98,'G-7 WaterC'' Data'!$AK$4:$AM$6,2,FALSE)=0,"Spatial Data Missing ⚠",VLOOKUP(I98,'G-7 WaterC'' Data'!$AK$4:$AM$6,2,FALSE)))</f>
        <v/>
      </c>
      <c r="K98" s="276" t="str">
        <f>IF(I98="","",IF(VLOOKUP(I98,'G-7 WaterC'' Data'!$AK$4:$AM$6,3,FALSE)=0,"Spatial Data Missing ⚠",VLOOKUP(I98,'G-7 WaterC'' Data'!$AK$4:$AM$6,3,FALSE)))</f>
        <v/>
      </c>
      <c r="L98" s="372" t="str">
        <f>IFERROR(INDEX('G-7 WaterC'' Data'!$O$3:$O$7,MATCH(G98,'G-7 WaterC'' Data'!$N$3:$N$7,0)),"")</f>
        <v/>
      </c>
      <c r="M98" s="53"/>
      <c r="N98" s="133"/>
      <c r="O98" s="283" t="str">
        <f t="shared" si="7"/>
        <v/>
      </c>
      <c r="P98" s="296" t="str">
        <f t="shared" si="8"/>
        <v/>
      </c>
      <c r="Q98" s="334" t="str">
        <f>IFERROR(IF(P98="Check Data ⚠","Check Data ⚠",VLOOKUP(P98,'G-4 Temporal multipliers'!$A$4:$C$37,3,FALSE)),"")</f>
        <v/>
      </c>
      <c r="R98" s="275" t="str">
        <f>IF(C98="","",VLOOKUP(C98,'G-7 WaterC'' Data'!$B$4:$G$8,4,FALSE))</f>
        <v/>
      </c>
      <c r="S98" s="283" t="str">
        <f t="shared" si="9"/>
        <v/>
      </c>
      <c r="T98" s="314" t="str">
        <f t="shared" si="10"/>
        <v/>
      </c>
      <c r="U98" s="276" t="str">
        <f>IF(C98="","",VLOOKUP(T98,'G-3 Multipliers'!$P$2:$Q$6,2,FALSE))</f>
        <v/>
      </c>
      <c r="V98" s="102"/>
      <c r="W98" s="276" t="str">
        <f>IF(V98="","",IF(AND(V98="N/A - Culvert",C98&lt;&gt;"Culvert"),"Not possible ▲",IF(AND(C98="Culvert",V98&lt;&gt;"N/A - Culvert"),"Not possible ▲",IF(VLOOKUP(V98,'G-7 WaterC'' Data'!$AA$4:$AB$7,2,FALSE)=0,"Spatial Data Missing ⚠",VLOOKUP(V98,'G-7 WaterC'' Data'!$AA$4:$AB$7,2,FALSE)))))</f>
        <v/>
      </c>
      <c r="X98" s="56"/>
      <c r="Y98" s="276" t="str">
        <f>IF(X98="","",IF(AND(X98="N/A - Culvert",C98&lt;&gt;"Culvert"),"Not possible ▲",IF(AND(C98="Culvert",X98&lt;&gt;"N/A - Culvert"),"Not possible ▲",IF(VLOOKUP(X98,'G-7 WaterC'' Data'!$AD$4:$AE$14,2,FALSE)=0,"Enrcoachment Data Missing ⚠",VLOOKUP(X98,'G-7 WaterC'' Data'!$AD$4:$AE$14,2,FALSE)))))</f>
        <v/>
      </c>
      <c r="Z98" s="102"/>
      <c r="AA98" s="276" t="str">
        <f>IF(Z98="","",IF(VLOOKUP(Z98,'G-7 WaterC'' Data'!$AO$4:$BO$7,2,FALSE)=0,"Spatial Data Missing ⚠",VLOOKUP(Z98,'G-7 WaterC'' Data'!$AO$4:$BO$7,2,FALSE)))</f>
        <v/>
      </c>
      <c r="AB98" s="317" t="str">
        <f t="shared" si="11"/>
        <v/>
      </c>
      <c r="AC98" s="317" t="str">
        <f t="shared" si="12"/>
        <v/>
      </c>
      <c r="AD98" s="101"/>
      <c r="AE98" s="938"/>
      <c r="AF98" s="138"/>
      <c r="AG98" s="138"/>
      <c r="AH98" s="934"/>
      <c r="AL98" s="30" t="str">
        <f>IFERROR(INDEX('G-7 WaterC'' Data'!$AZ$3:$AZ$7,MATCH(C98,'G-7 WaterC'' Data'!$AY$3:$AY$7,0)),"")</f>
        <v/>
      </c>
      <c r="AN98" s="30" t="str">
        <f t="shared" si="13"/>
        <v>No</v>
      </c>
    </row>
    <row r="99" spans="2:40" ht="14">
      <c r="B99" s="97">
        <v>88</v>
      </c>
      <c r="C99" s="923"/>
      <c r="D99" s="115"/>
      <c r="E99" s="275" t="str">
        <f>IF(C99="","",VLOOKUP(C99,'G-7 WaterC'' Data'!$B$2:$Z$9,2,FALSE))</f>
        <v/>
      </c>
      <c r="F99" s="276" t="str">
        <f>IFERROR(VLOOKUP(E99,'G-7 WaterC'' Data'!$C$4:$D$8,2,FALSE),"")</f>
        <v/>
      </c>
      <c r="G99" s="52"/>
      <c r="H99" s="276" t="str">
        <f>IFERROR(INDEX('G-7 WaterC'' Data'!$H$4:$L$8,MATCH(C99,'G-7 WaterC'' Data'!$B$4:$B$8,0),MATCH(G99,'G-7 WaterC'' Data'!$H$3:$L$3,0)),"")</f>
        <v/>
      </c>
      <c r="I99" s="52"/>
      <c r="J99" s="314" t="str">
        <f>IF(I99="","",IF(VLOOKUP(I99,'G-7 WaterC'' Data'!$AK$4:$AM$6,2,FALSE)=0,"Spatial Data Missing ⚠",VLOOKUP(I99,'G-7 WaterC'' Data'!$AK$4:$AM$6,2,FALSE)))</f>
        <v/>
      </c>
      <c r="K99" s="276" t="str">
        <f>IF(I99="","",IF(VLOOKUP(I99,'G-7 WaterC'' Data'!$AK$4:$AM$6,3,FALSE)=0,"Spatial Data Missing ⚠",VLOOKUP(I99,'G-7 WaterC'' Data'!$AK$4:$AM$6,3,FALSE)))</f>
        <v/>
      </c>
      <c r="L99" s="372" t="str">
        <f>IFERROR(INDEX('G-7 WaterC'' Data'!$O$3:$O$7,MATCH(G99,'G-7 WaterC'' Data'!$N$3:$N$7,0)),"")</f>
        <v/>
      </c>
      <c r="M99" s="53"/>
      <c r="N99" s="133"/>
      <c r="O99" s="283" t="str">
        <f t="shared" si="7"/>
        <v/>
      </c>
      <c r="P99" s="296" t="str">
        <f t="shared" si="8"/>
        <v/>
      </c>
      <c r="Q99" s="334" t="str">
        <f>IFERROR(IF(P99="Check Data ⚠","Check Data ⚠",VLOOKUP(P99,'G-4 Temporal multipliers'!$A$4:$C$37,3,FALSE)),"")</f>
        <v/>
      </c>
      <c r="R99" s="275" t="str">
        <f>IF(C99="","",VLOOKUP(C99,'G-7 WaterC'' Data'!$B$4:$G$8,4,FALSE))</f>
        <v/>
      </c>
      <c r="S99" s="283" t="str">
        <f t="shared" si="9"/>
        <v/>
      </c>
      <c r="T99" s="314" t="str">
        <f t="shared" si="10"/>
        <v/>
      </c>
      <c r="U99" s="276" t="str">
        <f>IF(C99="","",VLOOKUP(T99,'G-3 Multipliers'!$P$2:$Q$6,2,FALSE))</f>
        <v/>
      </c>
      <c r="V99" s="102"/>
      <c r="W99" s="276" t="str">
        <f>IF(V99="","",IF(AND(V99="N/A - Culvert",C99&lt;&gt;"Culvert"),"Not possible ▲",IF(AND(C99="Culvert",V99&lt;&gt;"N/A - Culvert"),"Not possible ▲",IF(VLOOKUP(V99,'G-7 WaterC'' Data'!$AA$4:$AB$7,2,FALSE)=0,"Spatial Data Missing ⚠",VLOOKUP(V99,'G-7 WaterC'' Data'!$AA$4:$AB$7,2,FALSE)))))</f>
        <v/>
      </c>
      <c r="X99" s="56"/>
      <c r="Y99" s="276" t="str">
        <f>IF(X99="","",IF(AND(X99="N/A - Culvert",C99&lt;&gt;"Culvert"),"Not possible ▲",IF(AND(C99="Culvert",X99&lt;&gt;"N/A - Culvert"),"Not possible ▲",IF(VLOOKUP(X99,'G-7 WaterC'' Data'!$AD$4:$AE$14,2,FALSE)=0,"Enrcoachment Data Missing ⚠",VLOOKUP(X99,'G-7 WaterC'' Data'!$AD$4:$AE$14,2,FALSE)))))</f>
        <v/>
      </c>
      <c r="Z99" s="102"/>
      <c r="AA99" s="276" t="str">
        <f>IF(Z99="","",IF(VLOOKUP(Z99,'G-7 WaterC'' Data'!$AO$4:$BO$7,2,FALSE)=0,"Spatial Data Missing ⚠",VLOOKUP(Z99,'G-7 WaterC'' Data'!$AO$4:$BO$7,2,FALSE)))</f>
        <v/>
      </c>
      <c r="AB99" s="317" t="str">
        <f t="shared" si="11"/>
        <v/>
      </c>
      <c r="AC99" s="317" t="str">
        <f t="shared" si="12"/>
        <v/>
      </c>
      <c r="AD99" s="101"/>
      <c r="AE99" s="938"/>
      <c r="AF99" s="138"/>
      <c r="AG99" s="138"/>
      <c r="AH99" s="934"/>
      <c r="AL99" s="30" t="str">
        <f>IFERROR(INDEX('G-7 WaterC'' Data'!$AZ$3:$AZ$7,MATCH(C99,'G-7 WaterC'' Data'!$AY$3:$AY$7,0)),"")</f>
        <v/>
      </c>
      <c r="AN99" s="30" t="str">
        <f t="shared" si="13"/>
        <v>No</v>
      </c>
    </row>
    <row r="100" spans="2:40" ht="14">
      <c r="B100" s="97">
        <v>89</v>
      </c>
      <c r="C100" s="923"/>
      <c r="D100" s="115"/>
      <c r="E100" s="275" t="str">
        <f>IF(C100="","",VLOOKUP(C100,'G-7 WaterC'' Data'!$B$2:$Z$9,2,FALSE))</f>
        <v/>
      </c>
      <c r="F100" s="276" t="str">
        <f>IFERROR(VLOOKUP(E100,'G-7 WaterC'' Data'!$C$4:$D$8,2,FALSE),"")</f>
        <v/>
      </c>
      <c r="G100" s="52"/>
      <c r="H100" s="276" t="str">
        <f>IFERROR(INDEX('G-7 WaterC'' Data'!$H$4:$L$8,MATCH(C100,'G-7 WaterC'' Data'!$B$4:$B$8,0),MATCH(G100,'G-7 WaterC'' Data'!$H$3:$L$3,0)),"")</f>
        <v/>
      </c>
      <c r="I100" s="52"/>
      <c r="J100" s="314" t="str">
        <f>IF(I100="","",IF(VLOOKUP(I100,'G-7 WaterC'' Data'!$AK$4:$AM$6,2,FALSE)=0,"Spatial Data Missing ⚠",VLOOKUP(I100,'G-7 WaterC'' Data'!$AK$4:$AM$6,2,FALSE)))</f>
        <v/>
      </c>
      <c r="K100" s="276" t="str">
        <f>IF(I100="","",IF(VLOOKUP(I100,'G-7 WaterC'' Data'!$AK$4:$AM$6,3,FALSE)=0,"Spatial Data Missing ⚠",VLOOKUP(I100,'G-7 WaterC'' Data'!$AK$4:$AM$6,3,FALSE)))</f>
        <v/>
      </c>
      <c r="L100" s="372" t="str">
        <f>IFERROR(INDEX('G-7 WaterC'' Data'!$O$3:$O$7,MATCH(G100,'G-7 WaterC'' Data'!$N$3:$N$7,0)),"")</f>
        <v/>
      </c>
      <c r="M100" s="53"/>
      <c r="N100" s="133"/>
      <c r="O100" s="283" t="str">
        <f t="shared" si="7"/>
        <v/>
      </c>
      <c r="P100" s="296" t="str">
        <f t="shared" si="8"/>
        <v/>
      </c>
      <c r="Q100" s="334" t="str">
        <f>IFERROR(IF(P100="Check Data ⚠","Check Data ⚠",VLOOKUP(P100,'G-4 Temporal multipliers'!$A$4:$C$37,3,FALSE)),"")</f>
        <v/>
      </c>
      <c r="R100" s="275" t="str">
        <f>IF(C100="","",VLOOKUP(C100,'G-7 WaterC'' Data'!$B$4:$G$8,4,FALSE))</f>
        <v/>
      </c>
      <c r="S100" s="283" t="str">
        <f t="shared" si="9"/>
        <v/>
      </c>
      <c r="T100" s="314" t="str">
        <f t="shared" si="10"/>
        <v/>
      </c>
      <c r="U100" s="276" t="str">
        <f>IF(C100="","",VLOOKUP(T100,'G-3 Multipliers'!$P$2:$Q$6,2,FALSE))</f>
        <v/>
      </c>
      <c r="V100" s="102"/>
      <c r="W100" s="276" t="str">
        <f>IF(V100="","",IF(AND(V100="N/A - Culvert",C100&lt;&gt;"Culvert"),"Not possible ▲",IF(AND(C100="Culvert",V100&lt;&gt;"N/A - Culvert"),"Not possible ▲",IF(VLOOKUP(V100,'G-7 WaterC'' Data'!$AA$4:$AB$7,2,FALSE)=0,"Spatial Data Missing ⚠",VLOOKUP(V100,'G-7 WaterC'' Data'!$AA$4:$AB$7,2,FALSE)))))</f>
        <v/>
      </c>
      <c r="X100" s="56"/>
      <c r="Y100" s="276" t="str">
        <f>IF(X100="","",IF(AND(X100="N/A - Culvert",C100&lt;&gt;"Culvert"),"Not possible ▲",IF(AND(C100="Culvert",X100&lt;&gt;"N/A - Culvert"),"Not possible ▲",IF(VLOOKUP(X100,'G-7 WaterC'' Data'!$AD$4:$AE$14,2,FALSE)=0,"Enrcoachment Data Missing ⚠",VLOOKUP(X100,'G-7 WaterC'' Data'!$AD$4:$AE$14,2,FALSE)))))</f>
        <v/>
      </c>
      <c r="Z100" s="102"/>
      <c r="AA100" s="276" t="str">
        <f>IF(Z100="","",IF(VLOOKUP(Z100,'G-7 WaterC'' Data'!$AO$4:$BO$7,2,FALSE)=0,"Spatial Data Missing ⚠",VLOOKUP(Z100,'G-7 WaterC'' Data'!$AO$4:$BO$7,2,FALSE)))</f>
        <v/>
      </c>
      <c r="AB100" s="317" t="str">
        <f t="shared" si="11"/>
        <v/>
      </c>
      <c r="AC100" s="317" t="str">
        <f t="shared" si="12"/>
        <v/>
      </c>
      <c r="AD100" s="101"/>
      <c r="AE100" s="938"/>
      <c r="AF100" s="138"/>
      <c r="AG100" s="138"/>
      <c r="AH100" s="934"/>
      <c r="AL100" s="30" t="str">
        <f>IFERROR(INDEX('G-7 WaterC'' Data'!$AZ$3:$AZ$7,MATCH(C100,'G-7 WaterC'' Data'!$AY$3:$AY$7,0)),"")</f>
        <v/>
      </c>
      <c r="AN100" s="30" t="str">
        <f t="shared" si="13"/>
        <v>No</v>
      </c>
    </row>
    <row r="101" spans="2:40" ht="14">
      <c r="B101" s="97">
        <v>90</v>
      </c>
      <c r="C101" s="923"/>
      <c r="D101" s="115"/>
      <c r="E101" s="275" t="str">
        <f>IF(C101="","",VLOOKUP(C101,'G-7 WaterC'' Data'!$B$2:$Z$9,2,FALSE))</f>
        <v/>
      </c>
      <c r="F101" s="276" t="str">
        <f>IFERROR(VLOOKUP(E101,'G-7 WaterC'' Data'!$C$4:$D$8,2,FALSE),"")</f>
        <v/>
      </c>
      <c r="G101" s="52"/>
      <c r="H101" s="276" t="str">
        <f>IFERROR(INDEX('G-7 WaterC'' Data'!$H$4:$L$8,MATCH(C101,'G-7 WaterC'' Data'!$B$4:$B$8,0),MATCH(G101,'G-7 WaterC'' Data'!$H$3:$L$3,0)),"")</f>
        <v/>
      </c>
      <c r="I101" s="52"/>
      <c r="J101" s="314" t="str">
        <f>IF(I101="","",IF(VLOOKUP(I101,'G-7 WaterC'' Data'!$AK$4:$AM$6,2,FALSE)=0,"Spatial Data Missing ⚠",VLOOKUP(I101,'G-7 WaterC'' Data'!$AK$4:$AM$6,2,FALSE)))</f>
        <v/>
      </c>
      <c r="K101" s="276" t="str">
        <f>IF(I101="","",IF(VLOOKUP(I101,'G-7 WaterC'' Data'!$AK$4:$AM$6,3,FALSE)=0,"Spatial Data Missing ⚠",VLOOKUP(I101,'G-7 WaterC'' Data'!$AK$4:$AM$6,3,FALSE)))</f>
        <v/>
      </c>
      <c r="L101" s="372" t="str">
        <f>IFERROR(INDEX('G-7 WaterC'' Data'!$O$3:$O$7,MATCH(G101,'G-7 WaterC'' Data'!$N$3:$N$7,0)),"")</f>
        <v/>
      </c>
      <c r="M101" s="53"/>
      <c r="N101" s="133"/>
      <c r="O101" s="283" t="str">
        <f t="shared" si="7"/>
        <v/>
      </c>
      <c r="P101" s="296" t="str">
        <f t="shared" si="8"/>
        <v/>
      </c>
      <c r="Q101" s="334" t="str">
        <f>IFERROR(IF(P101="Check Data ⚠","Check Data ⚠",VLOOKUP(P101,'G-4 Temporal multipliers'!$A$4:$C$37,3,FALSE)),"")</f>
        <v/>
      </c>
      <c r="R101" s="275" t="str">
        <f>IF(C101="","",VLOOKUP(C101,'G-7 WaterC'' Data'!$B$4:$G$8,4,FALSE))</f>
        <v/>
      </c>
      <c r="S101" s="283" t="str">
        <f t="shared" si="9"/>
        <v/>
      </c>
      <c r="T101" s="314" t="str">
        <f t="shared" si="10"/>
        <v/>
      </c>
      <c r="U101" s="276" t="str">
        <f>IF(C101="","",VLOOKUP(T101,'G-3 Multipliers'!$P$2:$Q$6,2,FALSE))</f>
        <v/>
      </c>
      <c r="V101" s="102"/>
      <c r="W101" s="276" t="str">
        <f>IF(V101="","",IF(AND(V101="N/A - Culvert",C101&lt;&gt;"Culvert"),"Not possible ▲",IF(AND(C101="Culvert",V101&lt;&gt;"N/A - Culvert"),"Not possible ▲",IF(VLOOKUP(V101,'G-7 WaterC'' Data'!$AA$4:$AB$7,2,FALSE)=0,"Spatial Data Missing ⚠",VLOOKUP(V101,'G-7 WaterC'' Data'!$AA$4:$AB$7,2,FALSE)))))</f>
        <v/>
      </c>
      <c r="X101" s="56"/>
      <c r="Y101" s="276" t="str">
        <f>IF(X101="","",IF(AND(X101="N/A - Culvert",C101&lt;&gt;"Culvert"),"Not possible ▲",IF(AND(C101="Culvert",X101&lt;&gt;"N/A - Culvert"),"Not possible ▲",IF(VLOOKUP(X101,'G-7 WaterC'' Data'!$AD$4:$AE$14,2,FALSE)=0,"Enrcoachment Data Missing ⚠",VLOOKUP(X101,'G-7 WaterC'' Data'!$AD$4:$AE$14,2,FALSE)))))</f>
        <v/>
      </c>
      <c r="Z101" s="102"/>
      <c r="AA101" s="276" t="str">
        <f>IF(Z101="","",IF(VLOOKUP(Z101,'G-7 WaterC'' Data'!$AO$4:$BO$7,2,FALSE)=0,"Spatial Data Missing ⚠",VLOOKUP(Z101,'G-7 WaterC'' Data'!$AO$4:$BO$7,2,FALSE)))</f>
        <v/>
      </c>
      <c r="AB101" s="317" t="str">
        <f t="shared" si="11"/>
        <v/>
      </c>
      <c r="AC101" s="317" t="str">
        <f t="shared" si="12"/>
        <v/>
      </c>
      <c r="AD101" s="101"/>
      <c r="AE101" s="938"/>
      <c r="AF101" s="138"/>
      <c r="AG101" s="138"/>
      <c r="AH101" s="934"/>
      <c r="AL101" s="30" t="str">
        <f>IFERROR(INDEX('G-7 WaterC'' Data'!$AZ$3:$AZ$7,MATCH(C101,'G-7 WaterC'' Data'!$AY$3:$AY$7,0)),"")</f>
        <v/>
      </c>
      <c r="AN101" s="30" t="str">
        <f t="shared" si="13"/>
        <v>No</v>
      </c>
    </row>
    <row r="102" spans="2:40" ht="14">
      <c r="B102" s="97">
        <v>91</v>
      </c>
      <c r="C102" s="923"/>
      <c r="D102" s="115"/>
      <c r="E102" s="275" t="str">
        <f>IF(C102="","",VLOOKUP(C102,'G-7 WaterC'' Data'!$B$2:$Z$9,2,FALSE))</f>
        <v/>
      </c>
      <c r="F102" s="276" t="str">
        <f>IFERROR(VLOOKUP(E102,'G-7 WaterC'' Data'!$C$4:$D$8,2,FALSE),"")</f>
        <v/>
      </c>
      <c r="G102" s="52"/>
      <c r="H102" s="276" t="str">
        <f>IFERROR(INDEX('G-7 WaterC'' Data'!$H$4:$L$8,MATCH(C102,'G-7 WaterC'' Data'!$B$4:$B$8,0),MATCH(G102,'G-7 WaterC'' Data'!$H$3:$L$3,0)),"")</f>
        <v/>
      </c>
      <c r="I102" s="52"/>
      <c r="J102" s="314" t="str">
        <f>IF(I102="","",IF(VLOOKUP(I102,'G-7 WaterC'' Data'!$AK$4:$AM$6,2,FALSE)=0,"Spatial Data Missing ⚠",VLOOKUP(I102,'G-7 WaterC'' Data'!$AK$4:$AM$6,2,FALSE)))</f>
        <v/>
      </c>
      <c r="K102" s="276" t="str">
        <f>IF(I102="","",IF(VLOOKUP(I102,'G-7 WaterC'' Data'!$AK$4:$AM$6,3,FALSE)=0,"Spatial Data Missing ⚠",VLOOKUP(I102,'G-7 WaterC'' Data'!$AK$4:$AM$6,3,FALSE)))</f>
        <v/>
      </c>
      <c r="L102" s="372" t="str">
        <f>IFERROR(INDEX('G-7 WaterC'' Data'!$O$3:$O$7,MATCH(G102,'G-7 WaterC'' Data'!$N$3:$N$7,0)),"")</f>
        <v/>
      </c>
      <c r="M102" s="53"/>
      <c r="N102" s="133"/>
      <c r="O102" s="283" t="str">
        <f t="shared" si="7"/>
        <v/>
      </c>
      <c r="P102" s="296" t="str">
        <f t="shared" si="8"/>
        <v/>
      </c>
      <c r="Q102" s="334" t="str">
        <f>IFERROR(IF(P102="Check Data ⚠","Check Data ⚠",VLOOKUP(P102,'G-4 Temporal multipliers'!$A$4:$C$37,3,FALSE)),"")</f>
        <v/>
      </c>
      <c r="R102" s="275" t="str">
        <f>IF(C102="","",VLOOKUP(C102,'G-7 WaterC'' Data'!$B$4:$G$8,4,FALSE))</f>
        <v/>
      </c>
      <c r="S102" s="283" t="str">
        <f t="shared" si="9"/>
        <v/>
      </c>
      <c r="T102" s="314" t="str">
        <f t="shared" si="10"/>
        <v/>
      </c>
      <c r="U102" s="276" t="str">
        <f>IF(C102="","",VLOOKUP(T102,'G-3 Multipliers'!$P$2:$Q$6,2,FALSE))</f>
        <v/>
      </c>
      <c r="V102" s="102"/>
      <c r="W102" s="276" t="str">
        <f>IF(V102="","",IF(AND(V102="N/A - Culvert",C102&lt;&gt;"Culvert"),"Not possible ▲",IF(AND(C102="Culvert",V102&lt;&gt;"N/A - Culvert"),"Not possible ▲",IF(VLOOKUP(V102,'G-7 WaterC'' Data'!$AA$4:$AB$7,2,FALSE)=0,"Spatial Data Missing ⚠",VLOOKUP(V102,'G-7 WaterC'' Data'!$AA$4:$AB$7,2,FALSE)))))</f>
        <v/>
      </c>
      <c r="X102" s="56"/>
      <c r="Y102" s="276" t="str">
        <f>IF(X102="","",IF(AND(X102="N/A - Culvert",C102&lt;&gt;"Culvert"),"Not possible ▲",IF(AND(C102="Culvert",X102&lt;&gt;"N/A - Culvert"),"Not possible ▲",IF(VLOOKUP(X102,'G-7 WaterC'' Data'!$AD$4:$AE$14,2,FALSE)=0,"Enrcoachment Data Missing ⚠",VLOOKUP(X102,'G-7 WaterC'' Data'!$AD$4:$AE$14,2,FALSE)))))</f>
        <v/>
      </c>
      <c r="Z102" s="102"/>
      <c r="AA102" s="276" t="str">
        <f>IF(Z102="","",IF(VLOOKUP(Z102,'G-7 WaterC'' Data'!$AO$4:$BO$7,2,FALSE)=0,"Spatial Data Missing ⚠",VLOOKUP(Z102,'G-7 WaterC'' Data'!$AO$4:$BO$7,2,FALSE)))</f>
        <v/>
      </c>
      <c r="AB102" s="317" t="str">
        <f t="shared" si="11"/>
        <v/>
      </c>
      <c r="AC102" s="317" t="str">
        <f t="shared" si="12"/>
        <v/>
      </c>
      <c r="AD102" s="101"/>
      <c r="AE102" s="938"/>
      <c r="AF102" s="138"/>
      <c r="AG102" s="138"/>
      <c r="AH102" s="934"/>
      <c r="AL102" s="30" t="str">
        <f>IFERROR(INDEX('G-7 WaterC'' Data'!$AZ$3:$AZ$7,MATCH(C102,'G-7 WaterC'' Data'!$AY$3:$AY$7,0)),"")</f>
        <v/>
      </c>
      <c r="AN102" s="30" t="str">
        <f t="shared" si="13"/>
        <v>No</v>
      </c>
    </row>
    <row r="103" spans="2:40" ht="14">
      <c r="B103" s="97">
        <v>92</v>
      </c>
      <c r="C103" s="923"/>
      <c r="D103" s="115"/>
      <c r="E103" s="275" t="str">
        <f>IF(C103="","",VLOOKUP(C103,'G-7 WaterC'' Data'!$B$2:$Z$9,2,FALSE))</f>
        <v/>
      </c>
      <c r="F103" s="276" t="str">
        <f>IFERROR(VLOOKUP(E103,'G-7 WaterC'' Data'!$C$4:$D$8,2,FALSE),"")</f>
        <v/>
      </c>
      <c r="G103" s="52"/>
      <c r="H103" s="276" t="str">
        <f>IFERROR(INDEX('G-7 WaterC'' Data'!$H$4:$L$8,MATCH(C103,'G-7 WaterC'' Data'!$B$4:$B$8,0),MATCH(G103,'G-7 WaterC'' Data'!$H$3:$L$3,0)),"")</f>
        <v/>
      </c>
      <c r="I103" s="52"/>
      <c r="J103" s="314" t="str">
        <f>IF(I103="","",IF(VLOOKUP(I103,'G-7 WaterC'' Data'!$AK$4:$AM$6,2,FALSE)=0,"Spatial Data Missing ⚠",VLOOKUP(I103,'G-7 WaterC'' Data'!$AK$4:$AM$6,2,FALSE)))</f>
        <v/>
      </c>
      <c r="K103" s="276" t="str">
        <f>IF(I103="","",IF(VLOOKUP(I103,'G-7 WaterC'' Data'!$AK$4:$AM$6,3,FALSE)=0,"Spatial Data Missing ⚠",VLOOKUP(I103,'G-7 WaterC'' Data'!$AK$4:$AM$6,3,FALSE)))</f>
        <v/>
      </c>
      <c r="L103" s="372" t="str">
        <f>IFERROR(INDEX('G-7 WaterC'' Data'!$O$3:$O$7,MATCH(G103,'G-7 WaterC'' Data'!$N$3:$N$7,0)),"")</f>
        <v/>
      </c>
      <c r="M103" s="53"/>
      <c r="N103" s="133"/>
      <c r="O103" s="283" t="str">
        <f t="shared" si="7"/>
        <v/>
      </c>
      <c r="P103" s="296" t="str">
        <f t="shared" si="8"/>
        <v/>
      </c>
      <c r="Q103" s="334" t="str">
        <f>IFERROR(IF(P103="Check Data ⚠","Check Data ⚠",VLOOKUP(P103,'G-4 Temporal multipliers'!$A$4:$C$37,3,FALSE)),"")</f>
        <v/>
      </c>
      <c r="R103" s="275" t="str">
        <f>IF(C103="","",VLOOKUP(C103,'G-7 WaterC'' Data'!$B$4:$G$8,4,FALSE))</f>
        <v/>
      </c>
      <c r="S103" s="283" t="str">
        <f t="shared" si="9"/>
        <v/>
      </c>
      <c r="T103" s="314" t="str">
        <f t="shared" si="10"/>
        <v/>
      </c>
      <c r="U103" s="276" t="str">
        <f>IF(C103="","",VLOOKUP(T103,'G-3 Multipliers'!$P$2:$Q$6,2,FALSE))</f>
        <v/>
      </c>
      <c r="V103" s="102"/>
      <c r="W103" s="276" t="str">
        <f>IF(V103="","",IF(AND(V103="N/A - Culvert",C103&lt;&gt;"Culvert"),"Not possible ▲",IF(AND(C103="Culvert",V103&lt;&gt;"N/A - Culvert"),"Not possible ▲",IF(VLOOKUP(V103,'G-7 WaterC'' Data'!$AA$4:$AB$7,2,FALSE)=0,"Spatial Data Missing ⚠",VLOOKUP(V103,'G-7 WaterC'' Data'!$AA$4:$AB$7,2,FALSE)))))</f>
        <v/>
      </c>
      <c r="X103" s="56"/>
      <c r="Y103" s="276" t="str">
        <f>IF(X103="","",IF(AND(X103="N/A - Culvert",C103&lt;&gt;"Culvert"),"Not possible ▲",IF(AND(C103="Culvert",X103&lt;&gt;"N/A - Culvert"),"Not possible ▲",IF(VLOOKUP(X103,'G-7 WaterC'' Data'!$AD$4:$AE$14,2,FALSE)=0,"Enrcoachment Data Missing ⚠",VLOOKUP(X103,'G-7 WaterC'' Data'!$AD$4:$AE$14,2,FALSE)))))</f>
        <v/>
      </c>
      <c r="Z103" s="102"/>
      <c r="AA103" s="276" t="str">
        <f>IF(Z103="","",IF(VLOOKUP(Z103,'G-7 WaterC'' Data'!$AO$4:$BO$7,2,FALSE)=0,"Spatial Data Missing ⚠",VLOOKUP(Z103,'G-7 WaterC'' Data'!$AO$4:$BO$7,2,FALSE)))</f>
        <v/>
      </c>
      <c r="AB103" s="317" t="str">
        <f t="shared" si="11"/>
        <v/>
      </c>
      <c r="AC103" s="317" t="str">
        <f t="shared" si="12"/>
        <v/>
      </c>
      <c r="AD103" s="101"/>
      <c r="AE103" s="938"/>
      <c r="AF103" s="138"/>
      <c r="AG103" s="138"/>
      <c r="AH103" s="934"/>
      <c r="AL103" s="30" t="str">
        <f>IFERROR(INDEX('G-7 WaterC'' Data'!$AZ$3:$AZ$7,MATCH(C103,'G-7 WaterC'' Data'!$AY$3:$AY$7,0)),"")</f>
        <v/>
      </c>
      <c r="AN103" s="30" t="str">
        <f t="shared" si="13"/>
        <v>No</v>
      </c>
    </row>
    <row r="104" spans="2:40" ht="14">
      <c r="B104" s="97">
        <v>93</v>
      </c>
      <c r="C104" s="923"/>
      <c r="D104" s="115"/>
      <c r="E104" s="275" t="str">
        <f>IF(C104="","",VLOOKUP(C104,'G-7 WaterC'' Data'!$B$2:$Z$9,2,FALSE))</f>
        <v/>
      </c>
      <c r="F104" s="276" t="str">
        <f>IFERROR(VLOOKUP(E104,'G-7 WaterC'' Data'!$C$4:$D$8,2,FALSE),"")</f>
        <v/>
      </c>
      <c r="G104" s="52"/>
      <c r="H104" s="276" t="str">
        <f>IFERROR(INDEX('G-7 WaterC'' Data'!$H$4:$L$8,MATCH(C104,'G-7 WaterC'' Data'!$B$4:$B$8,0),MATCH(G104,'G-7 WaterC'' Data'!$H$3:$L$3,0)),"")</f>
        <v/>
      </c>
      <c r="I104" s="52"/>
      <c r="J104" s="314" t="str">
        <f>IF(I104="","",IF(VLOOKUP(I104,'G-7 WaterC'' Data'!$AK$4:$AM$6,2,FALSE)=0,"Spatial Data Missing ⚠",VLOOKUP(I104,'G-7 WaterC'' Data'!$AK$4:$AM$6,2,FALSE)))</f>
        <v/>
      </c>
      <c r="K104" s="276" t="str">
        <f>IF(I104="","",IF(VLOOKUP(I104,'G-7 WaterC'' Data'!$AK$4:$AM$6,3,FALSE)=0,"Spatial Data Missing ⚠",VLOOKUP(I104,'G-7 WaterC'' Data'!$AK$4:$AM$6,3,FALSE)))</f>
        <v/>
      </c>
      <c r="L104" s="372" t="str">
        <f>IFERROR(INDEX('G-7 WaterC'' Data'!$O$3:$O$7,MATCH(G104,'G-7 WaterC'' Data'!$N$3:$N$7,0)),"")</f>
        <v/>
      </c>
      <c r="M104" s="53"/>
      <c r="N104" s="133"/>
      <c r="O104" s="283" t="str">
        <f t="shared" si="7"/>
        <v/>
      </c>
      <c r="P104" s="296" t="str">
        <f t="shared" si="8"/>
        <v/>
      </c>
      <c r="Q104" s="334" t="str">
        <f>IFERROR(IF(P104="Check Data ⚠","Check Data ⚠",VLOOKUP(P104,'G-4 Temporal multipliers'!$A$4:$C$37,3,FALSE)),"")</f>
        <v/>
      </c>
      <c r="R104" s="275" t="str">
        <f>IF(C104="","",VLOOKUP(C104,'G-7 WaterC'' Data'!$B$4:$G$8,4,FALSE))</f>
        <v/>
      </c>
      <c r="S104" s="283" t="str">
        <f t="shared" si="9"/>
        <v/>
      </c>
      <c r="T104" s="314" t="str">
        <f t="shared" si="10"/>
        <v/>
      </c>
      <c r="U104" s="276" t="str">
        <f>IF(C104="","",VLOOKUP(T104,'G-3 Multipliers'!$P$2:$Q$6,2,FALSE))</f>
        <v/>
      </c>
      <c r="V104" s="102"/>
      <c r="W104" s="276" t="str">
        <f>IF(V104="","",IF(AND(V104="N/A - Culvert",C104&lt;&gt;"Culvert"),"Not possible ▲",IF(AND(C104="Culvert",V104&lt;&gt;"N/A - Culvert"),"Not possible ▲",IF(VLOOKUP(V104,'G-7 WaterC'' Data'!$AA$4:$AB$7,2,FALSE)=0,"Spatial Data Missing ⚠",VLOOKUP(V104,'G-7 WaterC'' Data'!$AA$4:$AB$7,2,FALSE)))))</f>
        <v/>
      </c>
      <c r="X104" s="56"/>
      <c r="Y104" s="276" t="str">
        <f>IF(X104="","",IF(AND(X104="N/A - Culvert",C104&lt;&gt;"Culvert"),"Not possible ▲",IF(AND(C104="Culvert",X104&lt;&gt;"N/A - Culvert"),"Not possible ▲",IF(VLOOKUP(X104,'G-7 WaterC'' Data'!$AD$4:$AE$14,2,FALSE)=0,"Enrcoachment Data Missing ⚠",VLOOKUP(X104,'G-7 WaterC'' Data'!$AD$4:$AE$14,2,FALSE)))))</f>
        <v/>
      </c>
      <c r="Z104" s="102"/>
      <c r="AA104" s="276" t="str">
        <f>IF(Z104="","",IF(VLOOKUP(Z104,'G-7 WaterC'' Data'!$AO$4:$BO$7,2,FALSE)=0,"Spatial Data Missing ⚠",VLOOKUP(Z104,'G-7 WaterC'' Data'!$AO$4:$BO$7,2,FALSE)))</f>
        <v/>
      </c>
      <c r="AB104" s="317" t="str">
        <f t="shared" si="11"/>
        <v/>
      </c>
      <c r="AC104" s="317" t="str">
        <f t="shared" si="12"/>
        <v/>
      </c>
      <c r="AD104" s="101"/>
      <c r="AE104" s="938"/>
      <c r="AF104" s="138"/>
      <c r="AG104" s="138"/>
      <c r="AH104" s="934"/>
      <c r="AL104" s="30" t="str">
        <f>IFERROR(INDEX('G-7 WaterC'' Data'!$AZ$3:$AZ$7,MATCH(C104,'G-7 WaterC'' Data'!$AY$3:$AY$7,0)),"")</f>
        <v/>
      </c>
      <c r="AN104" s="30" t="str">
        <f t="shared" si="13"/>
        <v>No</v>
      </c>
    </row>
    <row r="105" spans="2:40" ht="14">
      <c r="B105" s="97">
        <v>94</v>
      </c>
      <c r="C105" s="923"/>
      <c r="D105" s="115"/>
      <c r="E105" s="275" t="str">
        <f>IF(C105="","",VLOOKUP(C105,'G-7 WaterC'' Data'!$B$2:$Z$9,2,FALSE))</f>
        <v/>
      </c>
      <c r="F105" s="276" t="str">
        <f>IFERROR(VLOOKUP(E105,'G-7 WaterC'' Data'!$C$4:$D$8,2,FALSE),"")</f>
        <v/>
      </c>
      <c r="G105" s="52"/>
      <c r="H105" s="276" t="str">
        <f>IFERROR(INDEX('G-7 WaterC'' Data'!$H$4:$L$8,MATCH(C105,'G-7 WaterC'' Data'!$B$4:$B$8,0),MATCH(G105,'G-7 WaterC'' Data'!$H$3:$L$3,0)),"")</f>
        <v/>
      </c>
      <c r="I105" s="52"/>
      <c r="J105" s="314" t="str">
        <f>IF(I105="","",IF(VLOOKUP(I105,'G-7 WaterC'' Data'!$AK$4:$AM$6,2,FALSE)=0,"Spatial Data Missing ⚠",VLOOKUP(I105,'G-7 WaterC'' Data'!$AK$4:$AM$6,2,FALSE)))</f>
        <v/>
      </c>
      <c r="K105" s="276" t="str">
        <f>IF(I105="","",IF(VLOOKUP(I105,'G-7 WaterC'' Data'!$AK$4:$AM$6,3,FALSE)=0,"Spatial Data Missing ⚠",VLOOKUP(I105,'G-7 WaterC'' Data'!$AK$4:$AM$6,3,FALSE)))</f>
        <v/>
      </c>
      <c r="L105" s="372" t="str">
        <f>IFERROR(INDEX('G-7 WaterC'' Data'!$O$3:$O$7,MATCH(G105,'G-7 WaterC'' Data'!$N$3:$N$7,0)),"")</f>
        <v/>
      </c>
      <c r="M105" s="53"/>
      <c r="N105" s="133"/>
      <c r="O105" s="283" t="str">
        <f t="shared" si="7"/>
        <v/>
      </c>
      <c r="P105" s="296" t="str">
        <f t="shared" si="8"/>
        <v/>
      </c>
      <c r="Q105" s="334" t="str">
        <f>IFERROR(IF(P105="Check Data ⚠","Check Data ⚠",VLOOKUP(P105,'G-4 Temporal multipliers'!$A$4:$C$37,3,FALSE)),"")</f>
        <v/>
      </c>
      <c r="R105" s="275" t="str">
        <f>IF(C105="","",VLOOKUP(C105,'G-7 WaterC'' Data'!$B$4:$G$8,4,FALSE))</f>
        <v/>
      </c>
      <c r="S105" s="283" t="str">
        <f t="shared" si="9"/>
        <v/>
      </c>
      <c r="T105" s="314" t="str">
        <f t="shared" si="10"/>
        <v/>
      </c>
      <c r="U105" s="276" t="str">
        <f>IF(C105="","",VLOOKUP(T105,'G-3 Multipliers'!$P$2:$Q$6,2,FALSE))</f>
        <v/>
      </c>
      <c r="V105" s="102"/>
      <c r="W105" s="276" t="str">
        <f>IF(V105="","",IF(AND(V105="N/A - Culvert",C105&lt;&gt;"Culvert"),"Not possible ▲",IF(AND(C105="Culvert",V105&lt;&gt;"N/A - Culvert"),"Not possible ▲",IF(VLOOKUP(V105,'G-7 WaterC'' Data'!$AA$4:$AB$7,2,FALSE)=0,"Spatial Data Missing ⚠",VLOOKUP(V105,'G-7 WaterC'' Data'!$AA$4:$AB$7,2,FALSE)))))</f>
        <v/>
      </c>
      <c r="X105" s="56"/>
      <c r="Y105" s="276" t="str">
        <f>IF(X105="","",IF(AND(X105="N/A - Culvert",C105&lt;&gt;"Culvert"),"Not possible ▲",IF(AND(C105="Culvert",X105&lt;&gt;"N/A - Culvert"),"Not possible ▲",IF(VLOOKUP(X105,'G-7 WaterC'' Data'!$AD$4:$AE$14,2,FALSE)=0,"Enrcoachment Data Missing ⚠",VLOOKUP(X105,'G-7 WaterC'' Data'!$AD$4:$AE$14,2,FALSE)))))</f>
        <v/>
      </c>
      <c r="Z105" s="102"/>
      <c r="AA105" s="276" t="str">
        <f>IF(Z105="","",IF(VLOOKUP(Z105,'G-7 WaterC'' Data'!$AO$4:$BO$7,2,FALSE)=0,"Spatial Data Missing ⚠",VLOOKUP(Z105,'G-7 WaterC'' Data'!$AO$4:$BO$7,2,FALSE)))</f>
        <v/>
      </c>
      <c r="AB105" s="317" t="str">
        <f t="shared" si="11"/>
        <v/>
      </c>
      <c r="AC105" s="317" t="str">
        <f t="shared" si="12"/>
        <v/>
      </c>
      <c r="AD105" s="101"/>
      <c r="AE105" s="938"/>
      <c r="AF105" s="138"/>
      <c r="AG105" s="138"/>
      <c r="AH105" s="934"/>
      <c r="AL105" s="30" t="str">
        <f>IFERROR(INDEX('G-7 WaterC'' Data'!$AZ$3:$AZ$7,MATCH(C105,'G-7 WaterC'' Data'!$AY$3:$AY$7,0)),"")</f>
        <v/>
      </c>
      <c r="AN105" s="30" t="str">
        <f t="shared" si="13"/>
        <v>No</v>
      </c>
    </row>
    <row r="106" spans="2:40" ht="14">
      <c r="B106" s="97">
        <v>95</v>
      </c>
      <c r="C106" s="923"/>
      <c r="D106" s="115"/>
      <c r="E106" s="275" t="str">
        <f>IF(C106="","",VLOOKUP(C106,'G-7 WaterC'' Data'!$B$2:$Z$9,2,FALSE))</f>
        <v/>
      </c>
      <c r="F106" s="276" t="str">
        <f>IFERROR(VLOOKUP(E106,'G-7 WaterC'' Data'!$C$4:$D$8,2,FALSE),"")</f>
        <v/>
      </c>
      <c r="G106" s="52"/>
      <c r="H106" s="276" t="str">
        <f>IFERROR(INDEX('G-7 WaterC'' Data'!$H$4:$L$8,MATCH(C106,'G-7 WaterC'' Data'!$B$4:$B$8,0),MATCH(G106,'G-7 WaterC'' Data'!$H$3:$L$3,0)),"")</f>
        <v/>
      </c>
      <c r="I106" s="52"/>
      <c r="J106" s="314" t="str">
        <f>IF(I106="","",IF(VLOOKUP(I106,'G-7 WaterC'' Data'!$AK$4:$AM$6,2,FALSE)=0,"Spatial Data Missing ⚠",VLOOKUP(I106,'G-7 WaterC'' Data'!$AK$4:$AM$6,2,FALSE)))</f>
        <v/>
      </c>
      <c r="K106" s="276" t="str">
        <f>IF(I106="","",IF(VLOOKUP(I106,'G-7 WaterC'' Data'!$AK$4:$AM$6,3,FALSE)=0,"Spatial Data Missing ⚠",VLOOKUP(I106,'G-7 WaterC'' Data'!$AK$4:$AM$6,3,FALSE)))</f>
        <v/>
      </c>
      <c r="L106" s="372" t="str">
        <f>IFERROR(INDEX('G-7 WaterC'' Data'!$O$3:$O$7,MATCH(G106,'G-7 WaterC'' Data'!$N$3:$N$7,0)),"")</f>
        <v/>
      </c>
      <c r="M106" s="53"/>
      <c r="N106" s="133"/>
      <c r="O106" s="283" t="str">
        <f t="shared" si="7"/>
        <v/>
      </c>
      <c r="P106" s="296" t="str">
        <f t="shared" si="8"/>
        <v/>
      </c>
      <c r="Q106" s="334" t="str">
        <f>IFERROR(IF(P106="Check Data ⚠","Check Data ⚠",VLOOKUP(P106,'G-4 Temporal multipliers'!$A$4:$C$37,3,FALSE)),"")</f>
        <v/>
      </c>
      <c r="R106" s="275" t="str">
        <f>IF(C106="","",VLOOKUP(C106,'G-7 WaterC'' Data'!$B$4:$G$8,4,FALSE))</f>
        <v/>
      </c>
      <c r="S106" s="283" t="str">
        <f t="shared" si="9"/>
        <v/>
      </c>
      <c r="T106" s="314" t="str">
        <f t="shared" si="10"/>
        <v/>
      </c>
      <c r="U106" s="276" t="str">
        <f>IF(C106="","",VLOOKUP(T106,'G-3 Multipliers'!$P$2:$Q$6,2,FALSE))</f>
        <v/>
      </c>
      <c r="V106" s="102"/>
      <c r="W106" s="276" t="str">
        <f>IF(V106="","",IF(AND(V106="N/A - Culvert",C106&lt;&gt;"Culvert"),"Not possible ▲",IF(AND(C106="Culvert",V106&lt;&gt;"N/A - Culvert"),"Not possible ▲",IF(VLOOKUP(V106,'G-7 WaterC'' Data'!$AA$4:$AB$7,2,FALSE)=0,"Spatial Data Missing ⚠",VLOOKUP(V106,'G-7 WaterC'' Data'!$AA$4:$AB$7,2,FALSE)))))</f>
        <v/>
      </c>
      <c r="X106" s="56"/>
      <c r="Y106" s="276" t="str">
        <f>IF(X106="","",IF(AND(X106="N/A - Culvert",C106&lt;&gt;"Culvert"),"Not possible ▲",IF(AND(C106="Culvert",X106&lt;&gt;"N/A - Culvert"),"Not possible ▲",IF(VLOOKUP(X106,'G-7 WaterC'' Data'!$AD$4:$AE$14,2,FALSE)=0,"Enrcoachment Data Missing ⚠",VLOOKUP(X106,'G-7 WaterC'' Data'!$AD$4:$AE$14,2,FALSE)))))</f>
        <v/>
      </c>
      <c r="Z106" s="102"/>
      <c r="AA106" s="276" t="str">
        <f>IF(Z106="","",IF(VLOOKUP(Z106,'G-7 WaterC'' Data'!$AO$4:$BO$7,2,FALSE)=0,"Spatial Data Missing ⚠",VLOOKUP(Z106,'G-7 WaterC'' Data'!$AO$4:$BO$7,2,FALSE)))</f>
        <v/>
      </c>
      <c r="AB106" s="317" t="str">
        <f t="shared" si="11"/>
        <v/>
      </c>
      <c r="AC106" s="317" t="str">
        <f t="shared" si="12"/>
        <v/>
      </c>
      <c r="AD106" s="101"/>
      <c r="AE106" s="938"/>
      <c r="AF106" s="138"/>
      <c r="AG106" s="138"/>
      <c r="AH106" s="934"/>
      <c r="AL106" s="30" t="str">
        <f>IFERROR(INDEX('G-7 WaterC'' Data'!$AZ$3:$AZ$7,MATCH(C106,'G-7 WaterC'' Data'!$AY$3:$AY$7,0)),"")</f>
        <v/>
      </c>
      <c r="AN106" s="30" t="str">
        <f t="shared" si="13"/>
        <v>No</v>
      </c>
    </row>
    <row r="107" spans="2:40" ht="14">
      <c r="B107" s="97">
        <v>96</v>
      </c>
      <c r="C107" s="923"/>
      <c r="D107" s="115"/>
      <c r="E107" s="275" t="str">
        <f>IF(C107="","",VLOOKUP(C107,'G-7 WaterC'' Data'!$B$2:$Z$9,2,FALSE))</f>
        <v/>
      </c>
      <c r="F107" s="276" t="str">
        <f>IFERROR(VLOOKUP(E107,'G-7 WaterC'' Data'!$C$4:$D$8,2,FALSE),"")</f>
        <v/>
      </c>
      <c r="G107" s="52"/>
      <c r="H107" s="276" t="str">
        <f>IFERROR(INDEX('G-7 WaterC'' Data'!$H$4:$L$8,MATCH(C107,'G-7 WaterC'' Data'!$B$4:$B$8,0),MATCH(G107,'G-7 WaterC'' Data'!$H$3:$L$3,0)),"")</f>
        <v/>
      </c>
      <c r="I107" s="52"/>
      <c r="J107" s="314" t="str">
        <f>IF(I107="","",IF(VLOOKUP(I107,'G-7 WaterC'' Data'!$AK$4:$AM$6,2,FALSE)=0,"Spatial Data Missing ⚠",VLOOKUP(I107,'G-7 WaterC'' Data'!$AK$4:$AM$6,2,FALSE)))</f>
        <v/>
      </c>
      <c r="K107" s="276" t="str">
        <f>IF(I107="","",IF(VLOOKUP(I107,'G-7 WaterC'' Data'!$AK$4:$AM$6,3,FALSE)=0,"Spatial Data Missing ⚠",VLOOKUP(I107,'G-7 WaterC'' Data'!$AK$4:$AM$6,3,FALSE)))</f>
        <v/>
      </c>
      <c r="L107" s="372" t="str">
        <f>IFERROR(INDEX('G-7 WaterC'' Data'!$O$3:$O$7,MATCH(G107,'G-7 WaterC'' Data'!$N$3:$N$7,0)),"")</f>
        <v/>
      </c>
      <c r="M107" s="53"/>
      <c r="N107" s="133"/>
      <c r="O107" s="283" t="str">
        <f t="shared" si="7"/>
        <v/>
      </c>
      <c r="P107" s="296" t="str">
        <f t="shared" si="8"/>
        <v/>
      </c>
      <c r="Q107" s="334" t="str">
        <f>IFERROR(IF(P107="Check Data ⚠","Check Data ⚠",VLOOKUP(P107,'G-4 Temporal multipliers'!$A$4:$C$37,3,FALSE)),"")</f>
        <v/>
      </c>
      <c r="R107" s="275" t="str">
        <f>IF(C107="","",VLOOKUP(C107,'G-7 WaterC'' Data'!$B$4:$G$8,4,FALSE))</f>
        <v/>
      </c>
      <c r="S107" s="283" t="str">
        <f t="shared" si="9"/>
        <v/>
      </c>
      <c r="T107" s="314" t="str">
        <f t="shared" si="10"/>
        <v/>
      </c>
      <c r="U107" s="276" t="str">
        <f>IF(C107="","",VLOOKUP(T107,'G-3 Multipliers'!$P$2:$Q$6,2,FALSE))</f>
        <v/>
      </c>
      <c r="V107" s="102"/>
      <c r="W107" s="276" t="str">
        <f>IF(V107="","",IF(AND(V107="N/A - Culvert",C107&lt;&gt;"Culvert"),"Not possible ▲",IF(AND(C107="Culvert",V107&lt;&gt;"N/A - Culvert"),"Not possible ▲",IF(VLOOKUP(V107,'G-7 WaterC'' Data'!$AA$4:$AB$7,2,FALSE)=0,"Spatial Data Missing ⚠",VLOOKUP(V107,'G-7 WaterC'' Data'!$AA$4:$AB$7,2,FALSE)))))</f>
        <v/>
      </c>
      <c r="X107" s="56"/>
      <c r="Y107" s="276" t="str">
        <f>IF(X107="","",IF(AND(X107="N/A - Culvert",C107&lt;&gt;"Culvert"),"Not possible ▲",IF(AND(C107="Culvert",X107&lt;&gt;"N/A - Culvert"),"Not possible ▲",IF(VLOOKUP(X107,'G-7 WaterC'' Data'!$AD$4:$AE$14,2,FALSE)=0,"Enrcoachment Data Missing ⚠",VLOOKUP(X107,'G-7 WaterC'' Data'!$AD$4:$AE$14,2,FALSE)))))</f>
        <v/>
      </c>
      <c r="Z107" s="102"/>
      <c r="AA107" s="276" t="str">
        <f>IF(Z107="","",IF(VLOOKUP(Z107,'G-7 WaterC'' Data'!$AO$4:$BO$7,2,FALSE)=0,"Spatial Data Missing ⚠",VLOOKUP(Z107,'G-7 WaterC'' Data'!$AO$4:$BO$7,2,FALSE)))</f>
        <v/>
      </c>
      <c r="AB107" s="317" t="str">
        <f t="shared" si="11"/>
        <v/>
      </c>
      <c r="AC107" s="317" t="str">
        <f t="shared" si="12"/>
        <v/>
      </c>
      <c r="AD107" s="101"/>
      <c r="AE107" s="938"/>
      <c r="AF107" s="138"/>
      <c r="AG107" s="138"/>
      <c r="AH107" s="934"/>
      <c r="AL107" s="30" t="str">
        <f>IFERROR(INDEX('G-7 WaterC'' Data'!$AZ$3:$AZ$7,MATCH(C107,'G-7 WaterC'' Data'!$AY$3:$AY$7,0)),"")</f>
        <v/>
      </c>
      <c r="AN107" s="30" t="str">
        <f t="shared" si="13"/>
        <v>No</v>
      </c>
    </row>
    <row r="108" spans="2:40" ht="14">
      <c r="B108" s="97">
        <v>97</v>
      </c>
      <c r="C108" s="923"/>
      <c r="D108" s="115"/>
      <c r="E108" s="275" t="str">
        <f>IF(C108="","",VLOOKUP(C108,'G-7 WaterC'' Data'!$B$2:$Z$9,2,FALSE))</f>
        <v/>
      </c>
      <c r="F108" s="276" t="str">
        <f>IFERROR(VLOOKUP(E108,'G-7 WaterC'' Data'!$C$4:$D$8,2,FALSE),"")</f>
        <v/>
      </c>
      <c r="G108" s="52"/>
      <c r="H108" s="276" t="str">
        <f>IFERROR(INDEX('G-7 WaterC'' Data'!$H$4:$L$8,MATCH(C108,'G-7 WaterC'' Data'!$B$4:$B$8,0),MATCH(G108,'G-7 WaterC'' Data'!$H$3:$L$3,0)),"")</f>
        <v/>
      </c>
      <c r="I108" s="52"/>
      <c r="J108" s="314" t="str">
        <f>IF(I108="","",IF(VLOOKUP(I108,'G-7 WaterC'' Data'!$AK$4:$AM$6,2,FALSE)=0,"Spatial Data Missing ⚠",VLOOKUP(I108,'G-7 WaterC'' Data'!$AK$4:$AM$6,2,FALSE)))</f>
        <v/>
      </c>
      <c r="K108" s="276" t="str">
        <f>IF(I108="","",IF(VLOOKUP(I108,'G-7 WaterC'' Data'!$AK$4:$AM$6,3,FALSE)=0,"Spatial Data Missing ⚠",VLOOKUP(I108,'G-7 WaterC'' Data'!$AK$4:$AM$6,3,FALSE)))</f>
        <v/>
      </c>
      <c r="L108" s="372" t="str">
        <f>IFERROR(INDEX('G-7 WaterC'' Data'!$O$3:$O$7,MATCH(G108,'G-7 WaterC'' Data'!$N$3:$N$7,0)),"")</f>
        <v/>
      </c>
      <c r="M108" s="53"/>
      <c r="N108" s="133"/>
      <c r="O108" s="283" t="str">
        <f t="shared" si="7"/>
        <v/>
      </c>
      <c r="P108" s="296" t="str">
        <f t="shared" si="8"/>
        <v/>
      </c>
      <c r="Q108" s="334" t="str">
        <f>IFERROR(IF(P108="Check Data ⚠","Check Data ⚠",VLOOKUP(P108,'G-4 Temporal multipliers'!$A$4:$C$37,3,FALSE)),"")</f>
        <v/>
      </c>
      <c r="R108" s="275" t="str">
        <f>IF(C108="","",VLOOKUP(C108,'G-7 WaterC'' Data'!$B$4:$G$8,4,FALSE))</f>
        <v/>
      </c>
      <c r="S108" s="283" t="str">
        <f t="shared" si="9"/>
        <v/>
      </c>
      <c r="T108" s="314" t="str">
        <f t="shared" si="10"/>
        <v/>
      </c>
      <c r="U108" s="276" t="str">
        <f>IF(C108="","",VLOOKUP(T108,'G-3 Multipliers'!$P$2:$Q$6,2,FALSE))</f>
        <v/>
      </c>
      <c r="V108" s="102"/>
      <c r="W108" s="276" t="str">
        <f>IF(V108="","",IF(AND(V108="N/A - Culvert",C108&lt;&gt;"Culvert"),"Not possible ▲",IF(AND(C108="Culvert",V108&lt;&gt;"N/A - Culvert"),"Not possible ▲",IF(VLOOKUP(V108,'G-7 WaterC'' Data'!$AA$4:$AB$7,2,FALSE)=0,"Spatial Data Missing ⚠",VLOOKUP(V108,'G-7 WaterC'' Data'!$AA$4:$AB$7,2,FALSE)))))</f>
        <v/>
      </c>
      <c r="X108" s="56"/>
      <c r="Y108" s="276" t="str">
        <f>IF(X108="","",IF(AND(X108="N/A - Culvert",C108&lt;&gt;"Culvert"),"Not possible ▲",IF(AND(C108="Culvert",X108&lt;&gt;"N/A - Culvert"),"Not possible ▲",IF(VLOOKUP(X108,'G-7 WaterC'' Data'!$AD$4:$AE$14,2,FALSE)=0,"Enrcoachment Data Missing ⚠",VLOOKUP(X108,'G-7 WaterC'' Data'!$AD$4:$AE$14,2,FALSE)))))</f>
        <v/>
      </c>
      <c r="Z108" s="102"/>
      <c r="AA108" s="276" t="str">
        <f>IF(Z108="","",IF(VLOOKUP(Z108,'G-7 WaterC'' Data'!$AO$4:$BO$7,2,FALSE)=0,"Spatial Data Missing ⚠",VLOOKUP(Z108,'G-7 WaterC'' Data'!$AO$4:$BO$7,2,FALSE)))</f>
        <v/>
      </c>
      <c r="AB108" s="317" t="str">
        <f t="shared" si="11"/>
        <v/>
      </c>
      <c r="AC108" s="317" t="str">
        <f t="shared" si="12"/>
        <v/>
      </c>
      <c r="AD108" s="101"/>
      <c r="AE108" s="938"/>
      <c r="AF108" s="138"/>
      <c r="AG108" s="138"/>
      <c r="AH108" s="934"/>
      <c r="AL108" s="30" t="str">
        <f>IFERROR(INDEX('G-7 WaterC'' Data'!$AZ$3:$AZ$7,MATCH(C108,'G-7 WaterC'' Data'!$AY$3:$AY$7,0)),"")</f>
        <v/>
      </c>
      <c r="AN108" s="30" t="str">
        <f t="shared" si="13"/>
        <v>No</v>
      </c>
    </row>
    <row r="109" spans="2:40" ht="14">
      <c r="B109" s="97">
        <v>98</v>
      </c>
      <c r="C109" s="923"/>
      <c r="D109" s="115"/>
      <c r="E109" s="275" t="str">
        <f>IF(C109="","",VLOOKUP(C109,'G-7 WaterC'' Data'!$B$2:$Z$9,2,FALSE))</f>
        <v/>
      </c>
      <c r="F109" s="276" t="str">
        <f>IFERROR(VLOOKUP(E109,'G-7 WaterC'' Data'!$C$4:$D$8,2,FALSE),"")</f>
        <v/>
      </c>
      <c r="G109" s="52"/>
      <c r="H109" s="276" t="str">
        <f>IFERROR(INDEX('G-7 WaterC'' Data'!$H$4:$L$8,MATCH(C109,'G-7 WaterC'' Data'!$B$4:$B$8,0),MATCH(G109,'G-7 WaterC'' Data'!$H$3:$L$3,0)),"")</f>
        <v/>
      </c>
      <c r="I109" s="52"/>
      <c r="J109" s="314" t="str">
        <f>IF(I109="","",IF(VLOOKUP(I109,'G-7 WaterC'' Data'!$AK$4:$AM$6,2,FALSE)=0,"Spatial Data Missing ⚠",VLOOKUP(I109,'G-7 WaterC'' Data'!$AK$4:$AM$6,2,FALSE)))</f>
        <v/>
      </c>
      <c r="K109" s="276" t="str">
        <f>IF(I109="","",IF(VLOOKUP(I109,'G-7 WaterC'' Data'!$AK$4:$AM$6,3,FALSE)=0,"Spatial Data Missing ⚠",VLOOKUP(I109,'G-7 WaterC'' Data'!$AK$4:$AM$6,3,FALSE)))</f>
        <v/>
      </c>
      <c r="L109" s="372" t="str">
        <f>IFERROR(INDEX('G-7 WaterC'' Data'!$O$3:$O$7,MATCH(G109,'G-7 WaterC'' Data'!$N$3:$N$7,0)),"")</f>
        <v/>
      </c>
      <c r="M109" s="53"/>
      <c r="N109" s="133"/>
      <c r="O109" s="283" t="str">
        <f t="shared" si="7"/>
        <v/>
      </c>
      <c r="P109" s="296" t="str">
        <f t="shared" si="8"/>
        <v/>
      </c>
      <c r="Q109" s="334" t="str">
        <f>IFERROR(IF(P109="Check Data ⚠","Check Data ⚠",VLOOKUP(P109,'G-4 Temporal multipliers'!$A$4:$C$37,3,FALSE)),"")</f>
        <v/>
      </c>
      <c r="R109" s="275" t="str">
        <f>IF(C109="","",VLOOKUP(C109,'G-7 WaterC'' Data'!$B$4:$G$8,4,FALSE))</f>
        <v/>
      </c>
      <c r="S109" s="283" t="str">
        <f t="shared" si="9"/>
        <v/>
      </c>
      <c r="T109" s="314" t="str">
        <f t="shared" si="10"/>
        <v/>
      </c>
      <c r="U109" s="276" t="str">
        <f>IF(C109="","",VLOOKUP(T109,'G-3 Multipliers'!$P$2:$Q$6,2,FALSE))</f>
        <v/>
      </c>
      <c r="V109" s="102"/>
      <c r="W109" s="276" t="str">
        <f>IF(V109="","",IF(AND(V109="N/A - Culvert",C109&lt;&gt;"Culvert"),"Not possible ▲",IF(AND(C109="Culvert",V109&lt;&gt;"N/A - Culvert"),"Not possible ▲",IF(VLOOKUP(V109,'G-7 WaterC'' Data'!$AA$4:$AB$7,2,FALSE)=0,"Spatial Data Missing ⚠",VLOOKUP(V109,'G-7 WaterC'' Data'!$AA$4:$AB$7,2,FALSE)))))</f>
        <v/>
      </c>
      <c r="X109" s="56"/>
      <c r="Y109" s="276" t="str">
        <f>IF(X109="","",IF(AND(X109="N/A - Culvert",C109&lt;&gt;"Culvert"),"Not possible ▲",IF(AND(C109="Culvert",X109&lt;&gt;"N/A - Culvert"),"Not possible ▲",IF(VLOOKUP(X109,'G-7 WaterC'' Data'!$AD$4:$AE$14,2,FALSE)=0,"Enrcoachment Data Missing ⚠",VLOOKUP(X109,'G-7 WaterC'' Data'!$AD$4:$AE$14,2,FALSE)))))</f>
        <v/>
      </c>
      <c r="Z109" s="102"/>
      <c r="AA109" s="276" t="str">
        <f>IF(Z109="","",IF(VLOOKUP(Z109,'G-7 WaterC'' Data'!$AO$4:$BO$7,2,FALSE)=0,"Spatial Data Missing ⚠",VLOOKUP(Z109,'G-7 WaterC'' Data'!$AO$4:$BO$7,2,FALSE)))</f>
        <v/>
      </c>
      <c r="AB109" s="317" t="str">
        <f t="shared" si="11"/>
        <v/>
      </c>
      <c r="AC109" s="317" t="str">
        <f t="shared" si="12"/>
        <v/>
      </c>
      <c r="AD109" s="101"/>
      <c r="AE109" s="938"/>
      <c r="AF109" s="138"/>
      <c r="AG109" s="138"/>
      <c r="AH109" s="934"/>
      <c r="AL109" s="30" t="str">
        <f>IFERROR(INDEX('G-7 WaterC'' Data'!$AZ$3:$AZ$7,MATCH(C109,'G-7 WaterC'' Data'!$AY$3:$AY$7,0)),"")</f>
        <v/>
      </c>
      <c r="AN109" s="30" t="str">
        <f t="shared" si="13"/>
        <v>No</v>
      </c>
    </row>
    <row r="110" spans="2:40" ht="14">
      <c r="B110" s="97">
        <v>99</v>
      </c>
      <c r="C110" s="923"/>
      <c r="D110" s="115"/>
      <c r="E110" s="275" t="str">
        <f>IF(C110="","",VLOOKUP(C110,'G-7 WaterC'' Data'!$B$2:$Z$9,2,FALSE))</f>
        <v/>
      </c>
      <c r="F110" s="276" t="str">
        <f>IFERROR(VLOOKUP(E110,'G-7 WaterC'' Data'!$C$4:$D$8,2,FALSE),"")</f>
        <v/>
      </c>
      <c r="G110" s="52"/>
      <c r="H110" s="276" t="str">
        <f>IFERROR(INDEX('G-7 WaterC'' Data'!$H$4:$L$8,MATCH(C110,'G-7 WaterC'' Data'!$B$4:$B$8,0),MATCH(G110,'G-7 WaterC'' Data'!$H$3:$L$3,0)),"")</f>
        <v/>
      </c>
      <c r="I110" s="52"/>
      <c r="J110" s="314" t="str">
        <f>IF(I110="","",IF(VLOOKUP(I110,'G-7 WaterC'' Data'!$AK$4:$AM$6,2,FALSE)=0,"Spatial Data Missing ⚠",VLOOKUP(I110,'G-7 WaterC'' Data'!$AK$4:$AM$6,2,FALSE)))</f>
        <v/>
      </c>
      <c r="K110" s="276" t="str">
        <f>IF(I110="","",IF(VLOOKUP(I110,'G-7 WaterC'' Data'!$AK$4:$AM$6,3,FALSE)=0,"Spatial Data Missing ⚠",VLOOKUP(I110,'G-7 WaterC'' Data'!$AK$4:$AM$6,3,FALSE)))</f>
        <v/>
      </c>
      <c r="L110" s="372" t="str">
        <f>IFERROR(INDEX('G-7 WaterC'' Data'!$O$3:$O$7,MATCH(G110,'G-7 WaterC'' Data'!$N$3:$N$7,0)),"")</f>
        <v/>
      </c>
      <c r="M110" s="53"/>
      <c r="N110" s="133"/>
      <c r="O110" s="283" t="str">
        <f t="shared" si="7"/>
        <v/>
      </c>
      <c r="P110" s="296" t="str">
        <f t="shared" si="8"/>
        <v/>
      </c>
      <c r="Q110" s="334" t="str">
        <f>IFERROR(IF(P110="Check Data ⚠","Check Data ⚠",VLOOKUP(P110,'G-4 Temporal multipliers'!$A$4:$C$37,3,FALSE)),"")</f>
        <v/>
      </c>
      <c r="R110" s="275" t="str">
        <f>IF(C110="","",VLOOKUP(C110,'G-7 WaterC'' Data'!$B$4:$G$8,4,FALSE))</f>
        <v/>
      </c>
      <c r="S110" s="283" t="str">
        <f t="shared" si="9"/>
        <v/>
      </c>
      <c r="T110" s="314" t="str">
        <f t="shared" si="10"/>
        <v/>
      </c>
      <c r="U110" s="276" t="str">
        <f>IF(C110="","",VLOOKUP(T110,'G-3 Multipliers'!$P$2:$Q$6,2,FALSE))</f>
        <v/>
      </c>
      <c r="V110" s="102"/>
      <c r="W110" s="276" t="str">
        <f>IF(V110="","",IF(AND(V110="N/A - Culvert",C110&lt;&gt;"Culvert"),"Not possible ▲",IF(AND(C110="Culvert",V110&lt;&gt;"N/A - Culvert"),"Not possible ▲",IF(VLOOKUP(V110,'G-7 WaterC'' Data'!$AA$4:$AB$7,2,FALSE)=0,"Spatial Data Missing ⚠",VLOOKUP(V110,'G-7 WaterC'' Data'!$AA$4:$AB$7,2,FALSE)))))</f>
        <v/>
      </c>
      <c r="X110" s="56"/>
      <c r="Y110" s="276" t="str">
        <f>IF(X110="","",IF(AND(X110="N/A - Culvert",C110&lt;&gt;"Culvert"),"Not possible ▲",IF(AND(C110="Culvert",X110&lt;&gt;"N/A - Culvert"),"Not possible ▲",IF(VLOOKUP(X110,'G-7 WaterC'' Data'!$AD$4:$AE$14,2,FALSE)=0,"Enrcoachment Data Missing ⚠",VLOOKUP(X110,'G-7 WaterC'' Data'!$AD$4:$AE$14,2,FALSE)))))</f>
        <v/>
      </c>
      <c r="Z110" s="102"/>
      <c r="AA110" s="276" t="str">
        <f>IF(Z110="","",IF(VLOOKUP(Z110,'G-7 WaterC'' Data'!$AO$4:$BO$7,2,FALSE)=0,"Spatial Data Missing ⚠",VLOOKUP(Z110,'G-7 WaterC'' Data'!$AO$4:$BO$7,2,FALSE)))</f>
        <v/>
      </c>
      <c r="AB110" s="317" t="str">
        <f t="shared" si="11"/>
        <v/>
      </c>
      <c r="AC110" s="317" t="str">
        <f t="shared" si="12"/>
        <v/>
      </c>
      <c r="AD110" s="101"/>
      <c r="AE110" s="938"/>
      <c r="AF110" s="138"/>
      <c r="AG110" s="138"/>
      <c r="AH110" s="934"/>
      <c r="AL110" s="30" t="str">
        <f>IFERROR(INDEX('G-7 WaterC'' Data'!$AZ$3:$AZ$7,MATCH(C110,'G-7 WaterC'' Data'!$AY$3:$AY$7,0)),"")</f>
        <v/>
      </c>
      <c r="AN110" s="30" t="str">
        <f t="shared" si="13"/>
        <v>No</v>
      </c>
    </row>
    <row r="111" spans="2:40" ht="14">
      <c r="B111" s="97">
        <v>100</v>
      </c>
      <c r="C111" s="923"/>
      <c r="D111" s="115"/>
      <c r="E111" s="275" t="str">
        <f>IF(C111="","",VLOOKUP(C111,'G-7 WaterC'' Data'!$B$2:$Z$9,2,FALSE))</f>
        <v/>
      </c>
      <c r="F111" s="276" t="str">
        <f>IFERROR(VLOOKUP(E111,'G-7 WaterC'' Data'!$C$4:$D$8,2,FALSE),"")</f>
        <v/>
      </c>
      <c r="G111" s="52"/>
      <c r="H111" s="276" t="str">
        <f>IFERROR(INDEX('G-7 WaterC'' Data'!$H$4:$L$8,MATCH(C111,'G-7 WaterC'' Data'!$B$4:$B$8,0),MATCH(G111,'G-7 WaterC'' Data'!$H$3:$L$3,0)),"")</f>
        <v/>
      </c>
      <c r="I111" s="52"/>
      <c r="J111" s="314" t="str">
        <f>IF(I111="","",IF(VLOOKUP(I111,'G-7 WaterC'' Data'!$AK$4:$AM$6,2,FALSE)=0,"Spatial Data Missing ⚠",VLOOKUP(I111,'G-7 WaterC'' Data'!$AK$4:$AM$6,2,FALSE)))</f>
        <v/>
      </c>
      <c r="K111" s="276" t="str">
        <f>IF(I111="","",IF(VLOOKUP(I111,'G-7 WaterC'' Data'!$AK$4:$AM$6,3,FALSE)=0,"Spatial Data Missing ⚠",VLOOKUP(I111,'G-7 WaterC'' Data'!$AK$4:$AM$6,3,FALSE)))</f>
        <v/>
      </c>
      <c r="L111" s="372" t="str">
        <f>IFERROR(INDEX('G-7 WaterC'' Data'!$O$3:$O$7,MATCH(G111,'G-7 WaterC'' Data'!$N$3:$N$7,0)),"")</f>
        <v/>
      </c>
      <c r="M111" s="53"/>
      <c r="N111" s="133"/>
      <c r="O111" s="283" t="str">
        <f t="shared" si="7"/>
        <v/>
      </c>
      <c r="P111" s="296" t="str">
        <f t="shared" si="8"/>
        <v/>
      </c>
      <c r="Q111" s="334" t="str">
        <f>IFERROR(IF(P111="Check Data ⚠","Check Data ⚠",VLOOKUP(P111,'G-4 Temporal multipliers'!$A$4:$C$37,3,FALSE)),"")</f>
        <v/>
      </c>
      <c r="R111" s="275" t="str">
        <f>IF(C111="","",VLOOKUP(C111,'G-7 WaterC'' Data'!$B$4:$G$8,4,FALSE))</f>
        <v/>
      </c>
      <c r="S111" s="283" t="str">
        <f t="shared" si="9"/>
        <v/>
      </c>
      <c r="T111" s="314" t="str">
        <f t="shared" si="10"/>
        <v/>
      </c>
      <c r="U111" s="276" t="str">
        <f>IF(C111="","",VLOOKUP(T111,'G-3 Multipliers'!$P$2:$Q$6,2,FALSE))</f>
        <v/>
      </c>
      <c r="V111" s="102"/>
      <c r="W111" s="276" t="str">
        <f>IF(V111="","",IF(AND(V111="N/A - Culvert",C111&lt;&gt;"Culvert"),"Not possible ▲",IF(AND(C111="Culvert",V111&lt;&gt;"N/A - Culvert"),"Not possible ▲",IF(VLOOKUP(V111,'G-7 WaterC'' Data'!$AA$4:$AB$7,2,FALSE)=0,"Spatial Data Missing ⚠",VLOOKUP(V111,'G-7 WaterC'' Data'!$AA$4:$AB$7,2,FALSE)))))</f>
        <v/>
      </c>
      <c r="X111" s="56"/>
      <c r="Y111" s="276" t="str">
        <f>IF(X111="","",IF(AND(X111="N/A - Culvert",C111&lt;&gt;"Culvert"),"Not possible ▲",IF(AND(C111="Culvert",X111&lt;&gt;"N/A - Culvert"),"Not possible ▲",IF(VLOOKUP(X111,'G-7 WaterC'' Data'!$AD$4:$AE$14,2,FALSE)=0,"Enrcoachment Data Missing ⚠",VLOOKUP(X111,'G-7 WaterC'' Data'!$AD$4:$AE$14,2,FALSE)))))</f>
        <v/>
      </c>
      <c r="Z111" s="102"/>
      <c r="AA111" s="276" t="str">
        <f>IF(Z111="","",IF(VLOOKUP(Z111,'G-7 WaterC'' Data'!$AO$4:$BO$7,2,FALSE)=0,"Spatial Data Missing ⚠",VLOOKUP(Z111,'G-7 WaterC'' Data'!$AO$4:$BO$7,2,FALSE)))</f>
        <v/>
      </c>
      <c r="AB111" s="317" t="str">
        <f t="shared" si="11"/>
        <v/>
      </c>
      <c r="AC111" s="317" t="str">
        <f t="shared" si="12"/>
        <v/>
      </c>
      <c r="AD111" s="101"/>
      <c r="AE111" s="938"/>
      <c r="AF111" s="138"/>
      <c r="AG111" s="138"/>
      <c r="AH111" s="934"/>
      <c r="AL111" s="30" t="str">
        <f>IFERROR(INDEX('G-7 WaterC'' Data'!$AZ$3:$AZ$7,MATCH(C111,'G-7 WaterC'' Data'!$AY$3:$AY$7,0)),"")</f>
        <v/>
      </c>
      <c r="AN111" s="30" t="str">
        <f t="shared" si="13"/>
        <v>No</v>
      </c>
    </row>
    <row r="112" spans="2:40" ht="14">
      <c r="B112" s="97">
        <v>101</v>
      </c>
      <c r="C112" s="923"/>
      <c r="D112" s="115"/>
      <c r="E112" s="275" t="str">
        <f>IF(C112="","",VLOOKUP(C112,'G-7 WaterC'' Data'!$B$2:$Z$9,2,FALSE))</f>
        <v/>
      </c>
      <c r="F112" s="276" t="str">
        <f>IFERROR(VLOOKUP(E112,'G-7 WaterC'' Data'!$C$4:$D$8,2,FALSE),"")</f>
        <v/>
      </c>
      <c r="G112" s="52"/>
      <c r="H112" s="276" t="str">
        <f>IFERROR(INDEX('G-7 WaterC'' Data'!$H$4:$L$8,MATCH(C112,'G-7 WaterC'' Data'!$B$4:$B$8,0),MATCH(G112,'G-7 WaterC'' Data'!$H$3:$L$3,0)),"")</f>
        <v/>
      </c>
      <c r="I112" s="52"/>
      <c r="J112" s="314" t="str">
        <f>IF(I112="","",IF(VLOOKUP(I112,'G-7 WaterC'' Data'!$AK$4:$AM$6,2,FALSE)=0,"Spatial Data Missing ⚠",VLOOKUP(I112,'G-7 WaterC'' Data'!$AK$4:$AM$6,2,FALSE)))</f>
        <v/>
      </c>
      <c r="K112" s="276" t="str">
        <f>IF(I112="","",IF(VLOOKUP(I112,'G-7 WaterC'' Data'!$AK$4:$AM$6,3,FALSE)=0,"Spatial Data Missing ⚠",VLOOKUP(I112,'G-7 WaterC'' Data'!$AK$4:$AM$6,3,FALSE)))</f>
        <v/>
      </c>
      <c r="L112" s="372" t="str">
        <f>IFERROR(INDEX('G-7 WaterC'' Data'!$O$3:$O$7,MATCH(G112,'G-7 WaterC'' Data'!$N$3:$N$7,0)),"")</f>
        <v/>
      </c>
      <c r="M112" s="53"/>
      <c r="N112" s="133"/>
      <c r="O112" s="283" t="str">
        <f t="shared" si="7"/>
        <v/>
      </c>
      <c r="P112" s="296" t="str">
        <f t="shared" si="8"/>
        <v/>
      </c>
      <c r="Q112" s="334" t="str">
        <f>IFERROR(IF(P112="Check Data ⚠","Check Data ⚠",VLOOKUP(P112,'G-4 Temporal multipliers'!$A$4:$C$37,3,FALSE)),"")</f>
        <v/>
      </c>
      <c r="R112" s="275" t="str">
        <f>IF(C112="","",VLOOKUP(C112,'G-7 WaterC'' Data'!$B$4:$G$8,4,FALSE))</f>
        <v/>
      </c>
      <c r="S112" s="283" t="str">
        <f t="shared" si="9"/>
        <v/>
      </c>
      <c r="T112" s="314" t="str">
        <f t="shared" si="10"/>
        <v/>
      </c>
      <c r="U112" s="276" t="str">
        <f>IF(C112="","",VLOOKUP(T112,'G-3 Multipliers'!$P$2:$Q$6,2,FALSE))</f>
        <v/>
      </c>
      <c r="V112" s="102"/>
      <c r="W112" s="276" t="str">
        <f>IF(V112="","",IF(AND(V112="N/A - Culvert",C112&lt;&gt;"Culvert"),"Not possible ▲",IF(AND(C112="Culvert",V112&lt;&gt;"N/A - Culvert"),"Not possible ▲",IF(VLOOKUP(V112,'G-7 WaterC'' Data'!$AA$4:$AB$7,2,FALSE)=0,"Spatial Data Missing ⚠",VLOOKUP(V112,'G-7 WaterC'' Data'!$AA$4:$AB$7,2,FALSE)))))</f>
        <v/>
      </c>
      <c r="X112" s="56"/>
      <c r="Y112" s="276" t="str">
        <f>IF(X112="","",IF(AND(X112="N/A - Culvert",C112&lt;&gt;"Culvert"),"Not possible ▲",IF(AND(C112="Culvert",X112&lt;&gt;"N/A - Culvert"),"Not possible ▲",IF(VLOOKUP(X112,'G-7 WaterC'' Data'!$AD$4:$AE$14,2,FALSE)=0,"Enrcoachment Data Missing ⚠",VLOOKUP(X112,'G-7 WaterC'' Data'!$AD$4:$AE$14,2,FALSE)))))</f>
        <v/>
      </c>
      <c r="Z112" s="102"/>
      <c r="AA112" s="276" t="str">
        <f>IF(Z112="","",IF(VLOOKUP(Z112,'G-7 WaterC'' Data'!$AO$4:$BO$7,2,FALSE)=0,"Spatial Data Missing ⚠",VLOOKUP(Z112,'G-7 WaterC'' Data'!$AO$4:$BO$7,2,FALSE)))</f>
        <v/>
      </c>
      <c r="AB112" s="317" t="str">
        <f t="shared" si="11"/>
        <v/>
      </c>
      <c r="AC112" s="317" t="str">
        <f t="shared" si="12"/>
        <v/>
      </c>
      <c r="AD112" s="101"/>
      <c r="AE112" s="938"/>
      <c r="AF112" s="138"/>
      <c r="AG112" s="138"/>
      <c r="AH112" s="934"/>
      <c r="AL112" s="30" t="str">
        <f>IFERROR(INDEX('G-7 WaterC'' Data'!$AZ$3:$AZ$7,MATCH(C112,'G-7 WaterC'' Data'!$AY$3:$AY$7,0)),"")</f>
        <v/>
      </c>
      <c r="AN112" s="30" t="str">
        <f t="shared" si="13"/>
        <v>No</v>
      </c>
    </row>
    <row r="113" spans="2:40" ht="14">
      <c r="B113" s="97">
        <v>102</v>
      </c>
      <c r="C113" s="923"/>
      <c r="D113" s="115"/>
      <c r="E113" s="275" t="str">
        <f>IF(C113="","",VLOOKUP(C113,'G-7 WaterC'' Data'!$B$2:$Z$9,2,FALSE))</f>
        <v/>
      </c>
      <c r="F113" s="276" t="str">
        <f>IFERROR(VLOOKUP(E113,'G-7 WaterC'' Data'!$C$4:$D$8,2,FALSE),"")</f>
        <v/>
      </c>
      <c r="G113" s="52"/>
      <c r="H113" s="276" t="str">
        <f>IFERROR(INDEX('G-7 WaterC'' Data'!$H$4:$L$8,MATCH(C113,'G-7 WaterC'' Data'!$B$4:$B$8,0),MATCH(G113,'G-7 WaterC'' Data'!$H$3:$L$3,0)),"")</f>
        <v/>
      </c>
      <c r="I113" s="52"/>
      <c r="J113" s="314" t="str">
        <f>IF(I113="","",IF(VLOOKUP(I113,'G-7 WaterC'' Data'!$AK$4:$AM$6,2,FALSE)=0,"Spatial Data Missing ⚠",VLOOKUP(I113,'G-7 WaterC'' Data'!$AK$4:$AM$6,2,FALSE)))</f>
        <v/>
      </c>
      <c r="K113" s="276" t="str">
        <f>IF(I113="","",IF(VLOOKUP(I113,'G-7 WaterC'' Data'!$AK$4:$AM$6,3,FALSE)=0,"Spatial Data Missing ⚠",VLOOKUP(I113,'G-7 WaterC'' Data'!$AK$4:$AM$6,3,FALSE)))</f>
        <v/>
      </c>
      <c r="L113" s="372" t="str">
        <f>IFERROR(INDEX('G-7 WaterC'' Data'!$O$3:$O$7,MATCH(G113,'G-7 WaterC'' Data'!$N$3:$N$7,0)),"")</f>
        <v/>
      </c>
      <c r="M113" s="53"/>
      <c r="N113" s="133"/>
      <c r="O113" s="283" t="str">
        <f t="shared" si="7"/>
        <v/>
      </c>
      <c r="P113" s="296" t="str">
        <f t="shared" si="8"/>
        <v/>
      </c>
      <c r="Q113" s="334" t="str">
        <f>IFERROR(IF(P113="Check Data ⚠","Check Data ⚠",VLOOKUP(P113,'G-4 Temporal multipliers'!$A$4:$C$37,3,FALSE)),"")</f>
        <v/>
      </c>
      <c r="R113" s="275" t="str">
        <f>IF(C113="","",VLOOKUP(C113,'G-7 WaterC'' Data'!$B$4:$G$8,4,FALSE))</f>
        <v/>
      </c>
      <c r="S113" s="283" t="str">
        <f t="shared" si="9"/>
        <v/>
      </c>
      <c r="T113" s="314" t="str">
        <f t="shared" si="10"/>
        <v/>
      </c>
      <c r="U113" s="276" t="str">
        <f>IF(C113="","",VLOOKUP(T113,'G-3 Multipliers'!$P$2:$Q$6,2,FALSE))</f>
        <v/>
      </c>
      <c r="V113" s="102"/>
      <c r="W113" s="276" t="str">
        <f>IF(V113="","",IF(AND(V113="N/A - Culvert",C113&lt;&gt;"Culvert"),"Not possible ▲",IF(AND(C113="Culvert",V113&lt;&gt;"N/A - Culvert"),"Not possible ▲",IF(VLOOKUP(V113,'G-7 WaterC'' Data'!$AA$4:$AB$7,2,FALSE)=0,"Spatial Data Missing ⚠",VLOOKUP(V113,'G-7 WaterC'' Data'!$AA$4:$AB$7,2,FALSE)))))</f>
        <v/>
      </c>
      <c r="X113" s="56"/>
      <c r="Y113" s="276" t="str">
        <f>IF(X113="","",IF(AND(X113="N/A - Culvert",C113&lt;&gt;"Culvert"),"Not possible ▲",IF(AND(C113="Culvert",X113&lt;&gt;"N/A - Culvert"),"Not possible ▲",IF(VLOOKUP(X113,'G-7 WaterC'' Data'!$AD$4:$AE$14,2,FALSE)=0,"Enrcoachment Data Missing ⚠",VLOOKUP(X113,'G-7 WaterC'' Data'!$AD$4:$AE$14,2,FALSE)))))</f>
        <v/>
      </c>
      <c r="Z113" s="102"/>
      <c r="AA113" s="276" t="str">
        <f>IF(Z113="","",IF(VLOOKUP(Z113,'G-7 WaterC'' Data'!$AO$4:$BO$7,2,FALSE)=0,"Spatial Data Missing ⚠",VLOOKUP(Z113,'G-7 WaterC'' Data'!$AO$4:$BO$7,2,FALSE)))</f>
        <v/>
      </c>
      <c r="AB113" s="317" t="str">
        <f t="shared" si="11"/>
        <v/>
      </c>
      <c r="AC113" s="317" t="str">
        <f t="shared" si="12"/>
        <v/>
      </c>
      <c r="AD113" s="101"/>
      <c r="AE113" s="938"/>
      <c r="AF113" s="138"/>
      <c r="AG113" s="138"/>
      <c r="AH113" s="934"/>
      <c r="AL113" s="30" t="str">
        <f>IFERROR(INDEX('G-7 WaterC'' Data'!$AZ$3:$AZ$7,MATCH(C113,'G-7 WaterC'' Data'!$AY$3:$AY$7,0)),"")</f>
        <v/>
      </c>
      <c r="AN113" s="30" t="str">
        <f t="shared" si="13"/>
        <v>No</v>
      </c>
    </row>
    <row r="114" spans="2:40" ht="14">
      <c r="B114" s="97">
        <v>103</v>
      </c>
      <c r="C114" s="923"/>
      <c r="D114" s="115"/>
      <c r="E114" s="275" t="str">
        <f>IF(C114="","",VLOOKUP(C114,'G-7 WaterC'' Data'!$B$2:$Z$9,2,FALSE))</f>
        <v/>
      </c>
      <c r="F114" s="276" t="str">
        <f>IFERROR(VLOOKUP(E114,'G-7 WaterC'' Data'!$C$4:$D$8,2,FALSE),"")</f>
        <v/>
      </c>
      <c r="G114" s="52"/>
      <c r="H114" s="276" t="str">
        <f>IFERROR(INDEX('G-7 WaterC'' Data'!$H$4:$L$8,MATCH(C114,'G-7 WaterC'' Data'!$B$4:$B$8,0),MATCH(G114,'G-7 WaterC'' Data'!$H$3:$L$3,0)),"")</f>
        <v/>
      </c>
      <c r="I114" s="52"/>
      <c r="J114" s="314" t="str">
        <f>IF(I114="","",IF(VLOOKUP(I114,'G-7 WaterC'' Data'!$AK$4:$AM$6,2,FALSE)=0,"Spatial Data Missing ⚠",VLOOKUP(I114,'G-7 WaterC'' Data'!$AK$4:$AM$6,2,FALSE)))</f>
        <v/>
      </c>
      <c r="K114" s="276" t="str">
        <f>IF(I114="","",IF(VLOOKUP(I114,'G-7 WaterC'' Data'!$AK$4:$AM$6,3,FALSE)=0,"Spatial Data Missing ⚠",VLOOKUP(I114,'G-7 WaterC'' Data'!$AK$4:$AM$6,3,FALSE)))</f>
        <v/>
      </c>
      <c r="L114" s="372" t="str">
        <f>IFERROR(INDEX('G-7 WaterC'' Data'!$O$3:$O$7,MATCH(G114,'G-7 WaterC'' Data'!$N$3:$N$7,0)),"")</f>
        <v/>
      </c>
      <c r="M114" s="53"/>
      <c r="N114" s="133"/>
      <c r="O114" s="283" t="str">
        <f t="shared" si="7"/>
        <v/>
      </c>
      <c r="P114" s="296" t="str">
        <f t="shared" si="8"/>
        <v/>
      </c>
      <c r="Q114" s="334" t="str">
        <f>IFERROR(IF(P114="Check Data ⚠","Check Data ⚠",VLOOKUP(P114,'G-4 Temporal multipliers'!$A$4:$C$37,3,FALSE)),"")</f>
        <v/>
      </c>
      <c r="R114" s="275" t="str">
        <f>IF(C114="","",VLOOKUP(C114,'G-7 WaterC'' Data'!$B$4:$G$8,4,FALSE))</f>
        <v/>
      </c>
      <c r="S114" s="283" t="str">
        <f t="shared" si="9"/>
        <v/>
      </c>
      <c r="T114" s="314" t="str">
        <f t="shared" si="10"/>
        <v/>
      </c>
      <c r="U114" s="276" t="str">
        <f>IF(C114="","",VLOOKUP(T114,'G-3 Multipliers'!$P$2:$Q$6,2,FALSE))</f>
        <v/>
      </c>
      <c r="V114" s="102"/>
      <c r="W114" s="276" t="str">
        <f>IF(V114="","",IF(AND(V114="N/A - Culvert",C114&lt;&gt;"Culvert"),"Not possible ▲",IF(AND(C114="Culvert",V114&lt;&gt;"N/A - Culvert"),"Not possible ▲",IF(VLOOKUP(V114,'G-7 WaterC'' Data'!$AA$4:$AB$7,2,FALSE)=0,"Spatial Data Missing ⚠",VLOOKUP(V114,'G-7 WaterC'' Data'!$AA$4:$AB$7,2,FALSE)))))</f>
        <v/>
      </c>
      <c r="X114" s="56"/>
      <c r="Y114" s="276" t="str">
        <f>IF(X114="","",IF(AND(X114="N/A - Culvert",C114&lt;&gt;"Culvert"),"Not possible ▲",IF(AND(C114="Culvert",X114&lt;&gt;"N/A - Culvert"),"Not possible ▲",IF(VLOOKUP(X114,'G-7 WaterC'' Data'!$AD$4:$AE$14,2,FALSE)=0,"Enrcoachment Data Missing ⚠",VLOOKUP(X114,'G-7 WaterC'' Data'!$AD$4:$AE$14,2,FALSE)))))</f>
        <v/>
      </c>
      <c r="Z114" s="102"/>
      <c r="AA114" s="276" t="str">
        <f>IF(Z114="","",IF(VLOOKUP(Z114,'G-7 WaterC'' Data'!$AO$4:$BO$7,2,FALSE)=0,"Spatial Data Missing ⚠",VLOOKUP(Z114,'G-7 WaterC'' Data'!$AO$4:$BO$7,2,FALSE)))</f>
        <v/>
      </c>
      <c r="AB114" s="317" t="str">
        <f t="shared" si="11"/>
        <v/>
      </c>
      <c r="AC114" s="317" t="str">
        <f t="shared" si="12"/>
        <v/>
      </c>
      <c r="AD114" s="101"/>
      <c r="AE114" s="938"/>
      <c r="AF114" s="138"/>
      <c r="AG114" s="138"/>
      <c r="AH114" s="934"/>
      <c r="AL114" s="30" t="str">
        <f>IFERROR(INDEX('G-7 WaterC'' Data'!$AZ$3:$AZ$7,MATCH(C114,'G-7 WaterC'' Data'!$AY$3:$AY$7,0)),"")</f>
        <v/>
      </c>
      <c r="AN114" s="30" t="str">
        <f t="shared" si="13"/>
        <v>No</v>
      </c>
    </row>
    <row r="115" spans="2:40" ht="14">
      <c r="B115" s="97">
        <v>104</v>
      </c>
      <c r="C115" s="923"/>
      <c r="D115" s="115"/>
      <c r="E115" s="275" t="str">
        <f>IF(C115="","",VLOOKUP(C115,'G-7 WaterC'' Data'!$B$2:$Z$9,2,FALSE))</f>
        <v/>
      </c>
      <c r="F115" s="276" t="str">
        <f>IFERROR(VLOOKUP(E115,'G-7 WaterC'' Data'!$C$4:$D$8,2,FALSE),"")</f>
        <v/>
      </c>
      <c r="G115" s="52"/>
      <c r="H115" s="276" t="str">
        <f>IFERROR(INDEX('G-7 WaterC'' Data'!$H$4:$L$8,MATCH(C115,'G-7 WaterC'' Data'!$B$4:$B$8,0),MATCH(G115,'G-7 WaterC'' Data'!$H$3:$L$3,0)),"")</f>
        <v/>
      </c>
      <c r="I115" s="52"/>
      <c r="J115" s="314" t="str">
        <f>IF(I115="","",IF(VLOOKUP(I115,'G-7 WaterC'' Data'!$AK$4:$AM$6,2,FALSE)=0,"Spatial Data Missing ⚠",VLOOKUP(I115,'G-7 WaterC'' Data'!$AK$4:$AM$6,2,FALSE)))</f>
        <v/>
      </c>
      <c r="K115" s="276" t="str">
        <f>IF(I115="","",IF(VLOOKUP(I115,'G-7 WaterC'' Data'!$AK$4:$AM$6,3,FALSE)=0,"Spatial Data Missing ⚠",VLOOKUP(I115,'G-7 WaterC'' Data'!$AK$4:$AM$6,3,FALSE)))</f>
        <v/>
      </c>
      <c r="L115" s="372" t="str">
        <f>IFERROR(INDEX('G-7 WaterC'' Data'!$O$3:$O$7,MATCH(G115,'G-7 WaterC'' Data'!$N$3:$N$7,0)),"")</f>
        <v/>
      </c>
      <c r="M115" s="53"/>
      <c r="N115" s="133"/>
      <c r="O115" s="283" t="str">
        <f t="shared" si="7"/>
        <v/>
      </c>
      <c r="P115" s="296" t="str">
        <f t="shared" si="8"/>
        <v/>
      </c>
      <c r="Q115" s="334" t="str">
        <f>IFERROR(IF(P115="Check Data ⚠","Check Data ⚠",VLOOKUP(P115,'G-4 Temporal multipliers'!$A$4:$C$37,3,FALSE)),"")</f>
        <v/>
      </c>
      <c r="R115" s="275" t="str">
        <f>IF(C115="","",VLOOKUP(C115,'G-7 WaterC'' Data'!$B$4:$G$8,4,FALSE))</f>
        <v/>
      </c>
      <c r="S115" s="283" t="str">
        <f t="shared" si="9"/>
        <v/>
      </c>
      <c r="T115" s="314" t="str">
        <f t="shared" si="10"/>
        <v/>
      </c>
      <c r="U115" s="276" t="str">
        <f>IF(C115="","",VLOOKUP(T115,'G-3 Multipliers'!$P$2:$Q$6,2,FALSE))</f>
        <v/>
      </c>
      <c r="V115" s="102"/>
      <c r="W115" s="276" t="str">
        <f>IF(V115="","",IF(AND(V115="N/A - Culvert",C115&lt;&gt;"Culvert"),"Not possible ▲",IF(AND(C115="Culvert",V115&lt;&gt;"N/A - Culvert"),"Not possible ▲",IF(VLOOKUP(V115,'G-7 WaterC'' Data'!$AA$4:$AB$7,2,FALSE)=0,"Spatial Data Missing ⚠",VLOOKUP(V115,'G-7 WaterC'' Data'!$AA$4:$AB$7,2,FALSE)))))</f>
        <v/>
      </c>
      <c r="X115" s="56"/>
      <c r="Y115" s="276" t="str">
        <f>IF(X115="","",IF(AND(X115="N/A - Culvert",C115&lt;&gt;"Culvert"),"Not possible ▲",IF(AND(C115="Culvert",X115&lt;&gt;"N/A - Culvert"),"Not possible ▲",IF(VLOOKUP(X115,'G-7 WaterC'' Data'!$AD$4:$AE$14,2,FALSE)=0,"Enrcoachment Data Missing ⚠",VLOOKUP(X115,'G-7 WaterC'' Data'!$AD$4:$AE$14,2,FALSE)))))</f>
        <v/>
      </c>
      <c r="Z115" s="102"/>
      <c r="AA115" s="276" t="str">
        <f>IF(Z115="","",IF(VLOOKUP(Z115,'G-7 WaterC'' Data'!$AO$4:$BO$7,2,FALSE)=0,"Spatial Data Missing ⚠",VLOOKUP(Z115,'G-7 WaterC'' Data'!$AO$4:$BO$7,2,FALSE)))</f>
        <v/>
      </c>
      <c r="AB115" s="317" t="str">
        <f t="shared" si="11"/>
        <v/>
      </c>
      <c r="AC115" s="317" t="str">
        <f t="shared" si="12"/>
        <v/>
      </c>
      <c r="AD115" s="101"/>
      <c r="AE115" s="938"/>
      <c r="AF115" s="138"/>
      <c r="AG115" s="138"/>
      <c r="AH115" s="934"/>
      <c r="AL115" s="30" t="str">
        <f>IFERROR(INDEX('G-7 WaterC'' Data'!$AZ$3:$AZ$7,MATCH(C115,'G-7 WaterC'' Data'!$AY$3:$AY$7,0)),"")</f>
        <v/>
      </c>
      <c r="AN115" s="30" t="str">
        <f t="shared" si="13"/>
        <v>No</v>
      </c>
    </row>
    <row r="116" spans="2:40" ht="14">
      <c r="B116" s="97">
        <v>105</v>
      </c>
      <c r="C116" s="923"/>
      <c r="D116" s="115"/>
      <c r="E116" s="275" t="str">
        <f>IF(C116="","",VLOOKUP(C116,'G-7 WaterC'' Data'!$B$2:$Z$9,2,FALSE))</f>
        <v/>
      </c>
      <c r="F116" s="276" t="str">
        <f>IFERROR(VLOOKUP(E116,'G-7 WaterC'' Data'!$C$4:$D$8,2,FALSE),"")</f>
        <v/>
      </c>
      <c r="G116" s="52"/>
      <c r="H116" s="276" t="str">
        <f>IFERROR(INDEX('G-7 WaterC'' Data'!$H$4:$L$8,MATCH(C116,'G-7 WaterC'' Data'!$B$4:$B$8,0),MATCH(G116,'G-7 WaterC'' Data'!$H$3:$L$3,0)),"")</f>
        <v/>
      </c>
      <c r="I116" s="52"/>
      <c r="J116" s="314" t="str">
        <f>IF(I116="","",IF(VLOOKUP(I116,'G-7 WaterC'' Data'!$AK$4:$AM$6,2,FALSE)=0,"Spatial Data Missing ⚠",VLOOKUP(I116,'G-7 WaterC'' Data'!$AK$4:$AM$6,2,FALSE)))</f>
        <v/>
      </c>
      <c r="K116" s="276" t="str">
        <f>IF(I116="","",IF(VLOOKUP(I116,'G-7 WaterC'' Data'!$AK$4:$AM$6,3,FALSE)=0,"Spatial Data Missing ⚠",VLOOKUP(I116,'G-7 WaterC'' Data'!$AK$4:$AM$6,3,FALSE)))</f>
        <v/>
      </c>
      <c r="L116" s="372" t="str">
        <f>IFERROR(INDEX('G-7 WaterC'' Data'!$O$3:$O$7,MATCH(G116,'G-7 WaterC'' Data'!$N$3:$N$7,0)),"")</f>
        <v/>
      </c>
      <c r="M116" s="53"/>
      <c r="N116" s="133"/>
      <c r="O116" s="283" t="str">
        <f t="shared" si="7"/>
        <v/>
      </c>
      <c r="P116" s="296" t="str">
        <f t="shared" si="8"/>
        <v/>
      </c>
      <c r="Q116" s="334" t="str">
        <f>IFERROR(IF(P116="Check Data ⚠","Check Data ⚠",VLOOKUP(P116,'G-4 Temporal multipliers'!$A$4:$C$37,3,FALSE)),"")</f>
        <v/>
      </c>
      <c r="R116" s="275" t="str">
        <f>IF(C116="","",VLOOKUP(C116,'G-7 WaterC'' Data'!$B$4:$G$8,4,FALSE))</f>
        <v/>
      </c>
      <c r="S116" s="283" t="str">
        <f t="shared" si="9"/>
        <v/>
      </c>
      <c r="T116" s="314" t="str">
        <f t="shared" si="10"/>
        <v/>
      </c>
      <c r="U116" s="276" t="str">
        <f>IF(C116="","",VLOOKUP(T116,'G-3 Multipliers'!$P$2:$Q$6,2,FALSE))</f>
        <v/>
      </c>
      <c r="V116" s="102"/>
      <c r="W116" s="276" t="str">
        <f>IF(V116="","",IF(AND(V116="N/A - Culvert",C116&lt;&gt;"Culvert"),"Not possible ▲",IF(AND(C116="Culvert",V116&lt;&gt;"N/A - Culvert"),"Not possible ▲",IF(VLOOKUP(V116,'G-7 WaterC'' Data'!$AA$4:$AB$7,2,FALSE)=0,"Spatial Data Missing ⚠",VLOOKUP(V116,'G-7 WaterC'' Data'!$AA$4:$AB$7,2,FALSE)))))</f>
        <v/>
      </c>
      <c r="X116" s="56"/>
      <c r="Y116" s="276" t="str">
        <f>IF(X116="","",IF(AND(X116="N/A - Culvert",C116&lt;&gt;"Culvert"),"Not possible ▲",IF(AND(C116="Culvert",X116&lt;&gt;"N/A - Culvert"),"Not possible ▲",IF(VLOOKUP(X116,'G-7 WaterC'' Data'!$AD$4:$AE$14,2,FALSE)=0,"Enrcoachment Data Missing ⚠",VLOOKUP(X116,'G-7 WaterC'' Data'!$AD$4:$AE$14,2,FALSE)))))</f>
        <v/>
      </c>
      <c r="Z116" s="102"/>
      <c r="AA116" s="276" t="str">
        <f>IF(Z116="","",IF(VLOOKUP(Z116,'G-7 WaterC'' Data'!$AO$4:$BO$7,2,FALSE)=0,"Spatial Data Missing ⚠",VLOOKUP(Z116,'G-7 WaterC'' Data'!$AO$4:$BO$7,2,FALSE)))</f>
        <v/>
      </c>
      <c r="AB116" s="317" t="str">
        <f t="shared" si="11"/>
        <v/>
      </c>
      <c r="AC116" s="317" t="str">
        <f t="shared" si="12"/>
        <v/>
      </c>
      <c r="AD116" s="101"/>
      <c r="AE116" s="938"/>
      <c r="AF116" s="138"/>
      <c r="AG116" s="138"/>
      <c r="AH116" s="934"/>
      <c r="AL116" s="30" t="str">
        <f>IFERROR(INDEX('G-7 WaterC'' Data'!$AZ$3:$AZ$7,MATCH(C116,'G-7 WaterC'' Data'!$AY$3:$AY$7,0)),"")</f>
        <v/>
      </c>
      <c r="AN116" s="30" t="str">
        <f t="shared" si="13"/>
        <v>No</v>
      </c>
    </row>
    <row r="117" spans="2:40" ht="14">
      <c r="B117" s="97">
        <v>106</v>
      </c>
      <c r="C117" s="923"/>
      <c r="D117" s="115"/>
      <c r="E117" s="275" t="str">
        <f>IF(C117="","",VLOOKUP(C117,'G-7 WaterC'' Data'!$B$2:$Z$9,2,FALSE))</f>
        <v/>
      </c>
      <c r="F117" s="276" t="str">
        <f>IFERROR(VLOOKUP(E117,'G-7 WaterC'' Data'!$C$4:$D$8,2,FALSE),"")</f>
        <v/>
      </c>
      <c r="G117" s="52"/>
      <c r="H117" s="276" t="str">
        <f>IFERROR(INDEX('G-7 WaterC'' Data'!$H$4:$L$8,MATCH(C117,'G-7 WaterC'' Data'!$B$4:$B$8,0),MATCH(G117,'G-7 WaterC'' Data'!$H$3:$L$3,0)),"")</f>
        <v/>
      </c>
      <c r="I117" s="52"/>
      <c r="J117" s="314" t="str">
        <f>IF(I117="","",IF(VLOOKUP(I117,'G-7 WaterC'' Data'!$AK$4:$AM$6,2,FALSE)=0,"Spatial Data Missing ⚠",VLOOKUP(I117,'G-7 WaterC'' Data'!$AK$4:$AM$6,2,FALSE)))</f>
        <v/>
      </c>
      <c r="K117" s="276" t="str">
        <f>IF(I117="","",IF(VLOOKUP(I117,'G-7 WaterC'' Data'!$AK$4:$AM$6,3,FALSE)=0,"Spatial Data Missing ⚠",VLOOKUP(I117,'G-7 WaterC'' Data'!$AK$4:$AM$6,3,FALSE)))</f>
        <v/>
      </c>
      <c r="L117" s="372" t="str">
        <f>IFERROR(INDEX('G-7 WaterC'' Data'!$O$3:$O$7,MATCH(G117,'G-7 WaterC'' Data'!$N$3:$N$7,0)),"")</f>
        <v/>
      </c>
      <c r="M117" s="53"/>
      <c r="N117" s="133"/>
      <c r="O117" s="283" t="str">
        <f t="shared" si="7"/>
        <v/>
      </c>
      <c r="P117" s="296" t="str">
        <f t="shared" si="8"/>
        <v/>
      </c>
      <c r="Q117" s="334" t="str">
        <f>IFERROR(IF(P117="Check Data ⚠","Check Data ⚠",VLOOKUP(P117,'G-4 Temporal multipliers'!$A$4:$C$37,3,FALSE)),"")</f>
        <v/>
      </c>
      <c r="R117" s="275" t="str">
        <f>IF(C117="","",VLOOKUP(C117,'G-7 WaterC'' Data'!$B$4:$G$8,4,FALSE))</f>
        <v/>
      </c>
      <c r="S117" s="283" t="str">
        <f t="shared" si="9"/>
        <v/>
      </c>
      <c r="T117" s="314" t="str">
        <f t="shared" si="10"/>
        <v/>
      </c>
      <c r="U117" s="276" t="str">
        <f>IF(C117="","",VLOOKUP(T117,'G-3 Multipliers'!$P$2:$Q$6,2,FALSE))</f>
        <v/>
      </c>
      <c r="V117" s="102"/>
      <c r="W117" s="276" t="str">
        <f>IF(V117="","",IF(AND(V117="N/A - Culvert",C117&lt;&gt;"Culvert"),"Not possible ▲",IF(AND(C117="Culvert",V117&lt;&gt;"N/A - Culvert"),"Not possible ▲",IF(VLOOKUP(V117,'G-7 WaterC'' Data'!$AA$4:$AB$7,2,FALSE)=0,"Spatial Data Missing ⚠",VLOOKUP(V117,'G-7 WaterC'' Data'!$AA$4:$AB$7,2,FALSE)))))</f>
        <v/>
      </c>
      <c r="X117" s="56"/>
      <c r="Y117" s="276" t="str">
        <f>IF(X117="","",IF(AND(X117="N/A - Culvert",C117&lt;&gt;"Culvert"),"Not possible ▲",IF(AND(C117="Culvert",X117&lt;&gt;"N/A - Culvert"),"Not possible ▲",IF(VLOOKUP(X117,'G-7 WaterC'' Data'!$AD$4:$AE$14,2,FALSE)=0,"Enrcoachment Data Missing ⚠",VLOOKUP(X117,'G-7 WaterC'' Data'!$AD$4:$AE$14,2,FALSE)))))</f>
        <v/>
      </c>
      <c r="Z117" s="102"/>
      <c r="AA117" s="276" t="str">
        <f>IF(Z117="","",IF(VLOOKUP(Z117,'G-7 WaterC'' Data'!$AO$4:$BO$7,2,FALSE)=0,"Spatial Data Missing ⚠",VLOOKUP(Z117,'G-7 WaterC'' Data'!$AO$4:$BO$7,2,FALSE)))</f>
        <v/>
      </c>
      <c r="AB117" s="317" t="str">
        <f t="shared" si="11"/>
        <v/>
      </c>
      <c r="AC117" s="317" t="str">
        <f t="shared" si="12"/>
        <v/>
      </c>
      <c r="AD117" s="101"/>
      <c r="AE117" s="938"/>
      <c r="AF117" s="138"/>
      <c r="AG117" s="138"/>
      <c r="AH117" s="934"/>
      <c r="AL117" s="30" t="str">
        <f>IFERROR(INDEX('G-7 WaterC'' Data'!$AZ$3:$AZ$7,MATCH(C117,'G-7 WaterC'' Data'!$AY$3:$AY$7,0)),"")</f>
        <v/>
      </c>
      <c r="AN117" s="30" t="str">
        <f t="shared" si="13"/>
        <v>No</v>
      </c>
    </row>
    <row r="118" spans="2:40" ht="14">
      <c r="B118" s="97">
        <v>107</v>
      </c>
      <c r="C118" s="923"/>
      <c r="D118" s="115"/>
      <c r="E118" s="275" t="str">
        <f>IF(C118="","",VLOOKUP(C118,'G-7 WaterC'' Data'!$B$2:$Z$9,2,FALSE))</f>
        <v/>
      </c>
      <c r="F118" s="276" t="str">
        <f>IFERROR(VLOOKUP(E118,'G-7 WaterC'' Data'!$C$4:$D$8,2,FALSE),"")</f>
        <v/>
      </c>
      <c r="G118" s="52"/>
      <c r="H118" s="276" t="str">
        <f>IFERROR(INDEX('G-7 WaterC'' Data'!$H$4:$L$8,MATCH(C118,'G-7 WaterC'' Data'!$B$4:$B$8,0),MATCH(G118,'G-7 WaterC'' Data'!$H$3:$L$3,0)),"")</f>
        <v/>
      </c>
      <c r="I118" s="52"/>
      <c r="J118" s="314" t="str">
        <f>IF(I118="","",IF(VLOOKUP(I118,'G-7 WaterC'' Data'!$AK$4:$AM$6,2,FALSE)=0,"Spatial Data Missing ⚠",VLOOKUP(I118,'G-7 WaterC'' Data'!$AK$4:$AM$6,2,FALSE)))</f>
        <v/>
      </c>
      <c r="K118" s="276" t="str">
        <f>IF(I118="","",IF(VLOOKUP(I118,'G-7 WaterC'' Data'!$AK$4:$AM$6,3,FALSE)=0,"Spatial Data Missing ⚠",VLOOKUP(I118,'G-7 WaterC'' Data'!$AK$4:$AM$6,3,FALSE)))</f>
        <v/>
      </c>
      <c r="L118" s="372" t="str">
        <f>IFERROR(INDEX('G-7 WaterC'' Data'!$O$3:$O$7,MATCH(G118,'G-7 WaterC'' Data'!$N$3:$N$7,0)),"")</f>
        <v/>
      </c>
      <c r="M118" s="53"/>
      <c r="N118" s="133"/>
      <c r="O118" s="283" t="str">
        <f t="shared" si="7"/>
        <v/>
      </c>
      <c r="P118" s="296" t="str">
        <f t="shared" si="8"/>
        <v/>
      </c>
      <c r="Q118" s="334" t="str">
        <f>IFERROR(IF(P118="Check Data ⚠","Check Data ⚠",VLOOKUP(P118,'G-4 Temporal multipliers'!$A$4:$C$37,3,FALSE)),"")</f>
        <v/>
      </c>
      <c r="R118" s="275" t="str">
        <f>IF(C118="","",VLOOKUP(C118,'G-7 WaterC'' Data'!$B$4:$G$8,4,FALSE))</f>
        <v/>
      </c>
      <c r="S118" s="283" t="str">
        <f t="shared" si="9"/>
        <v/>
      </c>
      <c r="T118" s="314" t="str">
        <f t="shared" si="10"/>
        <v/>
      </c>
      <c r="U118" s="276" t="str">
        <f>IF(C118="","",VLOOKUP(T118,'G-3 Multipliers'!$P$2:$Q$6,2,FALSE))</f>
        <v/>
      </c>
      <c r="V118" s="102"/>
      <c r="W118" s="276" t="str">
        <f>IF(V118="","",IF(AND(V118="N/A - Culvert",C118&lt;&gt;"Culvert"),"Not possible ▲",IF(AND(C118="Culvert",V118&lt;&gt;"N/A - Culvert"),"Not possible ▲",IF(VLOOKUP(V118,'G-7 WaterC'' Data'!$AA$4:$AB$7,2,FALSE)=0,"Spatial Data Missing ⚠",VLOOKUP(V118,'G-7 WaterC'' Data'!$AA$4:$AB$7,2,FALSE)))))</f>
        <v/>
      </c>
      <c r="X118" s="56"/>
      <c r="Y118" s="276" t="str">
        <f>IF(X118="","",IF(AND(X118="N/A - Culvert",C118&lt;&gt;"Culvert"),"Not possible ▲",IF(AND(C118="Culvert",X118&lt;&gt;"N/A - Culvert"),"Not possible ▲",IF(VLOOKUP(X118,'G-7 WaterC'' Data'!$AD$4:$AE$14,2,FALSE)=0,"Enrcoachment Data Missing ⚠",VLOOKUP(X118,'G-7 WaterC'' Data'!$AD$4:$AE$14,2,FALSE)))))</f>
        <v/>
      </c>
      <c r="Z118" s="102"/>
      <c r="AA118" s="276" t="str">
        <f>IF(Z118="","",IF(VLOOKUP(Z118,'G-7 WaterC'' Data'!$AO$4:$BO$7,2,FALSE)=0,"Spatial Data Missing ⚠",VLOOKUP(Z118,'G-7 WaterC'' Data'!$AO$4:$BO$7,2,FALSE)))</f>
        <v/>
      </c>
      <c r="AB118" s="317" t="str">
        <f t="shared" si="11"/>
        <v/>
      </c>
      <c r="AC118" s="317" t="str">
        <f t="shared" si="12"/>
        <v/>
      </c>
      <c r="AD118" s="101"/>
      <c r="AE118" s="938"/>
      <c r="AF118" s="138"/>
      <c r="AG118" s="138"/>
      <c r="AH118" s="934"/>
      <c r="AL118" s="30" t="str">
        <f>IFERROR(INDEX('G-7 WaterC'' Data'!$AZ$3:$AZ$7,MATCH(C118,'G-7 WaterC'' Data'!$AY$3:$AY$7,0)),"")</f>
        <v/>
      </c>
      <c r="AN118" s="30" t="str">
        <f t="shared" si="13"/>
        <v>No</v>
      </c>
    </row>
    <row r="119" spans="2:40" ht="14">
      <c r="B119" s="97">
        <v>108</v>
      </c>
      <c r="C119" s="923"/>
      <c r="D119" s="115"/>
      <c r="E119" s="275" t="str">
        <f>IF(C119="","",VLOOKUP(C119,'G-7 WaterC'' Data'!$B$2:$Z$9,2,FALSE))</f>
        <v/>
      </c>
      <c r="F119" s="276" t="str">
        <f>IFERROR(VLOOKUP(E119,'G-7 WaterC'' Data'!$C$4:$D$8,2,FALSE),"")</f>
        <v/>
      </c>
      <c r="G119" s="52"/>
      <c r="H119" s="276" t="str">
        <f>IFERROR(INDEX('G-7 WaterC'' Data'!$H$4:$L$8,MATCH(C119,'G-7 WaterC'' Data'!$B$4:$B$8,0),MATCH(G119,'G-7 WaterC'' Data'!$H$3:$L$3,0)),"")</f>
        <v/>
      </c>
      <c r="I119" s="52"/>
      <c r="J119" s="314" t="str">
        <f>IF(I119="","",IF(VLOOKUP(I119,'G-7 WaterC'' Data'!$AK$4:$AM$6,2,FALSE)=0,"Spatial Data Missing ⚠",VLOOKUP(I119,'G-7 WaterC'' Data'!$AK$4:$AM$6,2,FALSE)))</f>
        <v/>
      </c>
      <c r="K119" s="276" t="str">
        <f>IF(I119="","",IF(VLOOKUP(I119,'G-7 WaterC'' Data'!$AK$4:$AM$6,3,FALSE)=0,"Spatial Data Missing ⚠",VLOOKUP(I119,'G-7 WaterC'' Data'!$AK$4:$AM$6,3,FALSE)))</f>
        <v/>
      </c>
      <c r="L119" s="372" t="str">
        <f>IFERROR(INDEX('G-7 WaterC'' Data'!$O$3:$O$7,MATCH(G119,'G-7 WaterC'' Data'!$N$3:$N$7,0)),"")</f>
        <v/>
      </c>
      <c r="M119" s="53"/>
      <c r="N119" s="133"/>
      <c r="O119" s="283" t="str">
        <f t="shared" si="7"/>
        <v/>
      </c>
      <c r="P119" s="296" t="str">
        <f t="shared" si="8"/>
        <v/>
      </c>
      <c r="Q119" s="334" t="str">
        <f>IFERROR(IF(P119="Check Data ⚠","Check Data ⚠",VLOOKUP(P119,'G-4 Temporal multipliers'!$A$4:$C$37,3,FALSE)),"")</f>
        <v/>
      </c>
      <c r="R119" s="275" t="str">
        <f>IF(C119="","",VLOOKUP(C119,'G-7 WaterC'' Data'!$B$4:$G$8,4,FALSE))</f>
        <v/>
      </c>
      <c r="S119" s="283" t="str">
        <f t="shared" si="9"/>
        <v/>
      </c>
      <c r="T119" s="314" t="str">
        <f t="shared" si="10"/>
        <v/>
      </c>
      <c r="U119" s="276" t="str">
        <f>IF(C119="","",VLOOKUP(T119,'G-3 Multipliers'!$P$2:$Q$6,2,FALSE))</f>
        <v/>
      </c>
      <c r="V119" s="102"/>
      <c r="W119" s="276" t="str">
        <f>IF(V119="","",IF(AND(V119="N/A - Culvert",C119&lt;&gt;"Culvert"),"Not possible ▲",IF(AND(C119="Culvert",V119&lt;&gt;"N/A - Culvert"),"Not possible ▲",IF(VLOOKUP(V119,'G-7 WaterC'' Data'!$AA$4:$AB$7,2,FALSE)=0,"Spatial Data Missing ⚠",VLOOKUP(V119,'G-7 WaterC'' Data'!$AA$4:$AB$7,2,FALSE)))))</f>
        <v/>
      </c>
      <c r="X119" s="56"/>
      <c r="Y119" s="276" t="str">
        <f>IF(X119="","",IF(AND(X119="N/A - Culvert",C119&lt;&gt;"Culvert"),"Not possible ▲",IF(AND(C119="Culvert",X119&lt;&gt;"N/A - Culvert"),"Not possible ▲",IF(VLOOKUP(X119,'G-7 WaterC'' Data'!$AD$4:$AE$14,2,FALSE)=0,"Enrcoachment Data Missing ⚠",VLOOKUP(X119,'G-7 WaterC'' Data'!$AD$4:$AE$14,2,FALSE)))))</f>
        <v/>
      </c>
      <c r="Z119" s="102"/>
      <c r="AA119" s="276" t="str">
        <f>IF(Z119="","",IF(VLOOKUP(Z119,'G-7 WaterC'' Data'!$AO$4:$BO$7,2,FALSE)=0,"Spatial Data Missing ⚠",VLOOKUP(Z119,'G-7 WaterC'' Data'!$AO$4:$BO$7,2,FALSE)))</f>
        <v/>
      </c>
      <c r="AB119" s="317" t="str">
        <f t="shared" si="11"/>
        <v/>
      </c>
      <c r="AC119" s="317" t="str">
        <f t="shared" si="12"/>
        <v/>
      </c>
      <c r="AD119" s="101"/>
      <c r="AE119" s="938"/>
      <c r="AF119" s="138"/>
      <c r="AG119" s="138"/>
      <c r="AH119" s="934"/>
      <c r="AL119" s="30" t="str">
        <f>IFERROR(INDEX('G-7 WaterC'' Data'!$AZ$3:$AZ$7,MATCH(C119,'G-7 WaterC'' Data'!$AY$3:$AY$7,0)),"")</f>
        <v/>
      </c>
      <c r="AN119" s="30" t="str">
        <f t="shared" si="13"/>
        <v>No</v>
      </c>
    </row>
    <row r="120" spans="2:40" ht="14">
      <c r="B120" s="97">
        <v>109</v>
      </c>
      <c r="C120" s="923"/>
      <c r="D120" s="115"/>
      <c r="E120" s="275" t="str">
        <f>IF(C120="","",VLOOKUP(C120,'G-7 WaterC'' Data'!$B$2:$Z$9,2,FALSE))</f>
        <v/>
      </c>
      <c r="F120" s="276" t="str">
        <f>IFERROR(VLOOKUP(E120,'G-7 WaterC'' Data'!$C$4:$D$8,2,FALSE),"")</f>
        <v/>
      </c>
      <c r="G120" s="52"/>
      <c r="H120" s="276" t="str">
        <f>IFERROR(INDEX('G-7 WaterC'' Data'!$H$4:$L$8,MATCH(C120,'G-7 WaterC'' Data'!$B$4:$B$8,0),MATCH(G120,'G-7 WaterC'' Data'!$H$3:$L$3,0)),"")</f>
        <v/>
      </c>
      <c r="I120" s="52"/>
      <c r="J120" s="314" t="str">
        <f>IF(I120="","",IF(VLOOKUP(I120,'G-7 WaterC'' Data'!$AK$4:$AM$6,2,FALSE)=0,"Spatial Data Missing ⚠",VLOOKUP(I120,'G-7 WaterC'' Data'!$AK$4:$AM$6,2,FALSE)))</f>
        <v/>
      </c>
      <c r="K120" s="276" t="str">
        <f>IF(I120="","",IF(VLOOKUP(I120,'G-7 WaterC'' Data'!$AK$4:$AM$6,3,FALSE)=0,"Spatial Data Missing ⚠",VLOOKUP(I120,'G-7 WaterC'' Data'!$AK$4:$AM$6,3,FALSE)))</f>
        <v/>
      </c>
      <c r="L120" s="372" t="str">
        <f>IFERROR(INDEX('G-7 WaterC'' Data'!$O$3:$O$7,MATCH(G120,'G-7 WaterC'' Data'!$N$3:$N$7,0)),"")</f>
        <v/>
      </c>
      <c r="M120" s="53"/>
      <c r="N120" s="133"/>
      <c r="O120" s="283" t="str">
        <f t="shared" si="7"/>
        <v/>
      </c>
      <c r="P120" s="296" t="str">
        <f t="shared" si="8"/>
        <v/>
      </c>
      <c r="Q120" s="334" t="str">
        <f>IFERROR(IF(P120="Check Data ⚠","Check Data ⚠",VLOOKUP(P120,'G-4 Temporal multipliers'!$A$4:$C$37,3,FALSE)),"")</f>
        <v/>
      </c>
      <c r="R120" s="275" t="str">
        <f>IF(C120="","",VLOOKUP(C120,'G-7 WaterC'' Data'!$B$4:$G$8,4,FALSE))</f>
        <v/>
      </c>
      <c r="S120" s="283" t="str">
        <f t="shared" si="9"/>
        <v/>
      </c>
      <c r="T120" s="314" t="str">
        <f t="shared" si="10"/>
        <v/>
      </c>
      <c r="U120" s="276" t="str">
        <f>IF(C120="","",VLOOKUP(T120,'G-3 Multipliers'!$P$2:$Q$6,2,FALSE))</f>
        <v/>
      </c>
      <c r="V120" s="102"/>
      <c r="W120" s="276" t="str">
        <f>IF(V120="","",IF(AND(V120="N/A - Culvert",C120&lt;&gt;"Culvert"),"Not possible ▲",IF(AND(C120="Culvert",V120&lt;&gt;"N/A - Culvert"),"Not possible ▲",IF(VLOOKUP(V120,'G-7 WaterC'' Data'!$AA$4:$AB$7,2,FALSE)=0,"Spatial Data Missing ⚠",VLOOKUP(V120,'G-7 WaterC'' Data'!$AA$4:$AB$7,2,FALSE)))))</f>
        <v/>
      </c>
      <c r="X120" s="56"/>
      <c r="Y120" s="276" t="str">
        <f>IF(X120="","",IF(AND(X120="N/A - Culvert",C120&lt;&gt;"Culvert"),"Not possible ▲",IF(AND(C120="Culvert",X120&lt;&gt;"N/A - Culvert"),"Not possible ▲",IF(VLOOKUP(X120,'G-7 WaterC'' Data'!$AD$4:$AE$14,2,FALSE)=0,"Enrcoachment Data Missing ⚠",VLOOKUP(X120,'G-7 WaterC'' Data'!$AD$4:$AE$14,2,FALSE)))))</f>
        <v/>
      </c>
      <c r="Z120" s="102"/>
      <c r="AA120" s="276" t="str">
        <f>IF(Z120="","",IF(VLOOKUP(Z120,'G-7 WaterC'' Data'!$AO$4:$BO$7,2,FALSE)=0,"Spatial Data Missing ⚠",VLOOKUP(Z120,'G-7 WaterC'' Data'!$AO$4:$BO$7,2,FALSE)))</f>
        <v/>
      </c>
      <c r="AB120" s="317" t="str">
        <f t="shared" si="11"/>
        <v/>
      </c>
      <c r="AC120" s="317" t="str">
        <f t="shared" si="12"/>
        <v/>
      </c>
      <c r="AD120" s="101"/>
      <c r="AE120" s="938"/>
      <c r="AF120" s="138"/>
      <c r="AG120" s="138"/>
      <c r="AH120" s="934"/>
      <c r="AL120" s="30" t="str">
        <f>IFERROR(INDEX('G-7 WaterC'' Data'!$AZ$3:$AZ$7,MATCH(C120,'G-7 WaterC'' Data'!$AY$3:$AY$7,0)),"")</f>
        <v/>
      </c>
      <c r="AN120" s="30" t="str">
        <f t="shared" si="13"/>
        <v>No</v>
      </c>
    </row>
    <row r="121" spans="2:40" ht="14">
      <c r="B121" s="97">
        <v>110</v>
      </c>
      <c r="C121" s="923"/>
      <c r="D121" s="115"/>
      <c r="E121" s="275" t="str">
        <f>IF(C121="","",VLOOKUP(C121,'G-7 WaterC'' Data'!$B$2:$Z$9,2,FALSE))</f>
        <v/>
      </c>
      <c r="F121" s="276" t="str">
        <f>IFERROR(VLOOKUP(E121,'G-7 WaterC'' Data'!$C$4:$D$8,2,FALSE),"")</f>
        <v/>
      </c>
      <c r="G121" s="52"/>
      <c r="H121" s="276" t="str">
        <f>IFERROR(INDEX('G-7 WaterC'' Data'!$H$4:$L$8,MATCH(C121,'G-7 WaterC'' Data'!$B$4:$B$8,0),MATCH(G121,'G-7 WaterC'' Data'!$H$3:$L$3,0)),"")</f>
        <v/>
      </c>
      <c r="I121" s="52"/>
      <c r="J121" s="314" t="str">
        <f>IF(I121="","",IF(VLOOKUP(I121,'G-7 WaterC'' Data'!$AK$4:$AM$6,2,FALSE)=0,"Spatial Data Missing ⚠",VLOOKUP(I121,'G-7 WaterC'' Data'!$AK$4:$AM$6,2,FALSE)))</f>
        <v/>
      </c>
      <c r="K121" s="276" t="str">
        <f>IF(I121="","",IF(VLOOKUP(I121,'G-7 WaterC'' Data'!$AK$4:$AM$6,3,FALSE)=0,"Spatial Data Missing ⚠",VLOOKUP(I121,'G-7 WaterC'' Data'!$AK$4:$AM$6,3,FALSE)))</f>
        <v/>
      </c>
      <c r="L121" s="372" t="str">
        <f>IFERROR(INDEX('G-7 WaterC'' Data'!$O$3:$O$7,MATCH(G121,'G-7 WaterC'' Data'!$N$3:$N$7,0)),"")</f>
        <v/>
      </c>
      <c r="M121" s="53"/>
      <c r="N121" s="133"/>
      <c r="O121" s="283" t="str">
        <f t="shared" si="7"/>
        <v/>
      </c>
      <c r="P121" s="296" t="str">
        <f t="shared" si="8"/>
        <v/>
      </c>
      <c r="Q121" s="334" t="str">
        <f>IFERROR(IF(P121="Check Data ⚠","Check Data ⚠",VLOOKUP(P121,'G-4 Temporal multipliers'!$A$4:$C$37,3,FALSE)),"")</f>
        <v/>
      </c>
      <c r="R121" s="275" t="str">
        <f>IF(C121="","",VLOOKUP(C121,'G-7 WaterC'' Data'!$B$4:$G$8,4,FALSE))</f>
        <v/>
      </c>
      <c r="S121" s="283" t="str">
        <f t="shared" si="9"/>
        <v/>
      </c>
      <c r="T121" s="314" t="str">
        <f t="shared" si="10"/>
        <v/>
      </c>
      <c r="U121" s="276" t="str">
        <f>IF(C121="","",VLOOKUP(T121,'G-3 Multipliers'!$P$2:$Q$6,2,FALSE))</f>
        <v/>
      </c>
      <c r="V121" s="102"/>
      <c r="W121" s="276" t="str">
        <f>IF(V121="","",IF(AND(V121="N/A - Culvert",C121&lt;&gt;"Culvert"),"Not possible ▲",IF(AND(C121="Culvert",V121&lt;&gt;"N/A - Culvert"),"Not possible ▲",IF(VLOOKUP(V121,'G-7 WaterC'' Data'!$AA$4:$AB$7,2,FALSE)=0,"Spatial Data Missing ⚠",VLOOKUP(V121,'G-7 WaterC'' Data'!$AA$4:$AB$7,2,FALSE)))))</f>
        <v/>
      </c>
      <c r="X121" s="56"/>
      <c r="Y121" s="276" t="str">
        <f>IF(X121="","",IF(AND(X121="N/A - Culvert",C121&lt;&gt;"Culvert"),"Not possible ▲",IF(AND(C121="Culvert",X121&lt;&gt;"N/A - Culvert"),"Not possible ▲",IF(VLOOKUP(X121,'G-7 WaterC'' Data'!$AD$4:$AE$14,2,FALSE)=0,"Enrcoachment Data Missing ⚠",VLOOKUP(X121,'G-7 WaterC'' Data'!$AD$4:$AE$14,2,FALSE)))))</f>
        <v/>
      </c>
      <c r="Z121" s="102"/>
      <c r="AA121" s="276" t="str">
        <f>IF(Z121="","",IF(VLOOKUP(Z121,'G-7 WaterC'' Data'!$AO$4:$BO$7,2,FALSE)=0,"Spatial Data Missing ⚠",VLOOKUP(Z121,'G-7 WaterC'' Data'!$AO$4:$BO$7,2,FALSE)))</f>
        <v/>
      </c>
      <c r="AB121" s="317" t="str">
        <f t="shared" si="11"/>
        <v/>
      </c>
      <c r="AC121" s="317" t="str">
        <f t="shared" si="12"/>
        <v/>
      </c>
      <c r="AD121" s="101"/>
      <c r="AE121" s="938"/>
      <c r="AF121" s="138"/>
      <c r="AG121" s="138"/>
      <c r="AH121" s="934"/>
      <c r="AL121" s="30" t="str">
        <f>IFERROR(INDEX('G-7 WaterC'' Data'!$AZ$3:$AZ$7,MATCH(C121,'G-7 WaterC'' Data'!$AY$3:$AY$7,0)),"")</f>
        <v/>
      </c>
      <c r="AN121" s="30" t="str">
        <f t="shared" si="13"/>
        <v>No</v>
      </c>
    </row>
    <row r="122" spans="2:40" ht="14">
      <c r="B122" s="97">
        <v>111</v>
      </c>
      <c r="C122" s="923"/>
      <c r="D122" s="115"/>
      <c r="E122" s="275" t="str">
        <f>IF(C122="","",VLOOKUP(C122,'G-7 WaterC'' Data'!$B$2:$Z$9,2,FALSE))</f>
        <v/>
      </c>
      <c r="F122" s="276" t="str">
        <f>IFERROR(VLOOKUP(E122,'G-7 WaterC'' Data'!$C$4:$D$8,2,FALSE),"")</f>
        <v/>
      </c>
      <c r="G122" s="52"/>
      <c r="H122" s="276" t="str">
        <f>IFERROR(INDEX('G-7 WaterC'' Data'!$H$4:$L$8,MATCH(C122,'G-7 WaterC'' Data'!$B$4:$B$8,0),MATCH(G122,'G-7 WaterC'' Data'!$H$3:$L$3,0)),"")</f>
        <v/>
      </c>
      <c r="I122" s="52"/>
      <c r="J122" s="314" t="str">
        <f>IF(I122="","",IF(VLOOKUP(I122,'G-7 WaterC'' Data'!$AK$4:$AM$6,2,FALSE)=0,"Spatial Data Missing ⚠",VLOOKUP(I122,'G-7 WaterC'' Data'!$AK$4:$AM$6,2,FALSE)))</f>
        <v/>
      </c>
      <c r="K122" s="276" t="str">
        <f>IF(I122="","",IF(VLOOKUP(I122,'G-7 WaterC'' Data'!$AK$4:$AM$6,3,FALSE)=0,"Spatial Data Missing ⚠",VLOOKUP(I122,'G-7 WaterC'' Data'!$AK$4:$AM$6,3,FALSE)))</f>
        <v/>
      </c>
      <c r="L122" s="372" t="str">
        <f>IFERROR(INDEX('G-7 WaterC'' Data'!$O$3:$O$7,MATCH(G122,'G-7 WaterC'' Data'!$N$3:$N$7,0)),"")</f>
        <v/>
      </c>
      <c r="M122" s="53"/>
      <c r="N122" s="133"/>
      <c r="O122" s="283" t="str">
        <f t="shared" si="7"/>
        <v/>
      </c>
      <c r="P122" s="296" t="str">
        <f t="shared" si="8"/>
        <v/>
      </c>
      <c r="Q122" s="334" t="str">
        <f>IFERROR(IF(P122="Check Data ⚠","Check Data ⚠",VLOOKUP(P122,'G-4 Temporal multipliers'!$A$4:$C$37,3,FALSE)),"")</f>
        <v/>
      </c>
      <c r="R122" s="275" t="str">
        <f>IF(C122="","",VLOOKUP(C122,'G-7 WaterC'' Data'!$B$4:$G$8,4,FALSE))</f>
        <v/>
      </c>
      <c r="S122" s="283" t="str">
        <f t="shared" si="9"/>
        <v/>
      </c>
      <c r="T122" s="314" t="str">
        <f t="shared" si="10"/>
        <v/>
      </c>
      <c r="U122" s="276" t="str">
        <f>IF(C122="","",VLOOKUP(T122,'G-3 Multipliers'!$P$2:$Q$6,2,FALSE))</f>
        <v/>
      </c>
      <c r="V122" s="102"/>
      <c r="W122" s="276" t="str">
        <f>IF(V122="","",IF(AND(V122="N/A - Culvert",C122&lt;&gt;"Culvert"),"Not possible ▲",IF(AND(C122="Culvert",V122&lt;&gt;"N/A - Culvert"),"Not possible ▲",IF(VLOOKUP(V122,'G-7 WaterC'' Data'!$AA$4:$AB$7,2,FALSE)=0,"Spatial Data Missing ⚠",VLOOKUP(V122,'G-7 WaterC'' Data'!$AA$4:$AB$7,2,FALSE)))))</f>
        <v/>
      </c>
      <c r="X122" s="56"/>
      <c r="Y122" s="276" t="str">
        <f>IF(X122="","",IF(AND(X122="N/A - Culvert",C122&lt;&gt;"Culvert"),"Not possible ▲",IF(AND(C122="Culvert",X122&lt;&gt;"N/A - Culvert"),"Not possible ▲",IF(VLOOKUP(X122,'G-7 WaterC'' Data'!$AD$4:$AE$14,2,FALSE)=0,"Enrcoachment Data Missing ⚠",VLOOKUP(X122,'G-7 WaterC'' Data'!$AD$4:$AE$14,2,FALSE)))))</f>
        <v/>
      </c>
      <c r="Z122" s="102"/>
      <c r="AA122" s="276" t="str">
        <f>IF(Z122="","",IF(VLOOKUP(Z122,'G-7 WaterC'' Data'!$AO$4:$BO$7,2,FALSE)=0,"Spatial Data Missing ⚠",VLOOKUP(Z122,'G-7 WaterC'' Data'!$AO$4:$BO$7,2,FALSE)))</f>
        <v/>
      </c>
      <c r="AB122" s="317" t="str">
        <f t="shared" si="11"/>
        <v/>
      </c>
      <c r="AC122" s="317" t="str">
        <f t="shared" si="12"/>
        <v/>
      </c>
      <c r="AD122" s="101"/>
      <c r="AE122" s="938"/>
      <c r="AF122" s="138"/>
      <c r="AG122" s="138"/>
      <c r="AH122" s="934"/>
      <c r="AL122" s="30" t="str">
        <f>IFERROR(INDEX('G-7 WaterC'' Data'!$AZ$3:$AZ$7,MATCH(C122,'G-7 WaterC'' Data'!$AY$3:$AY$7,0)),"")</f>
        <v/>
      </c>
      <c r="AN122" s="30" t="str">
        <f t="shared" si="13"/>
        <v>No</v>
      </c>
    </row>
    <row r="123" spans="2:40" ht="14">
      <c r="B123" s="97">
        <v>112</v>
      </c>
      <c r="C123" s="923"/>
      <c r="D123" s="115"/>
      <c r="E123" s="275" t="str">
        <f>IF(C123="","",VLOOKUP(C123,'G-7 WaterC'' Data'!$B$2:$Z$9,2,FALSE))</f>
        <v/>
      </c>
      <c r="F123" s="276" t="str">
        <f>IFERROR(VLOOKUP(E123,'G-7 WaterC'' Data'!$C$4:$D$8,2,FALSE),"")</f>
        <v/>
      </c>
      <c r="G123" s="52"/>
      <c r="H123" s="276" t="str">
        <f>IFERROR(INDEX('G-7 WaterC'' Data'!$H$4:$L$8,MATCH(C123,'G-7 WaterC'' Data'!$B$4:$B$8,0),MATCH(G123,'G-7 WaterC'' Data'!$H$3:$L$3,0)),"")</f>
        <v/>
      </c>
      <c r="I123" s="52"/>
      <c r="J123" s="314" t="str">
        <f>IF(I123="","",IF(VLOOKUP(I123,'G-7 WaterC'' Data'!$AK$4:$AM$6,2,FALSE)=0,"Spatial Data Missing ⚠",VLOOKUP(I123,'G-7 WaterC'' Data'!$AK$4:$AM$6,2,FALSE)))</f>
        <v/>
      </c>
      <c r="K123" s="276" t="str">
        <f>IF(I123="","",IF(VLOOKUP(I123,'G-7 WaterC'' Data'!$AK$4:$AM$6,3,FALSE)=0,"Spatial Data Missing ⚠",VLOOKUP(I123,'G-7 WaterC'' Data'!$AK$4:$AM$6,3,FALSE)))</f>
        <v/>
      </c>
      <c r="L123" s="372" t="str">
        <f>IFERROR(INDEX('G-7 WaterC'' Data'!$O$3:$O$7,MATCH(G123,'G-7 WaterC'' Data'!$N$3:$N$7,0)),"")</f>
        <v/>
      </c>
      <c r="M123" s="53"/>
      <c r="N123" s="133"/>
      <c r="O123" s="283" t="str">
        <f t="shared" si="7"/>
        <v/>
      </c>
      <c r="P123" s="296" t="str">
        <f t="shared" si="8"/>
        <v/>
      </c>
      <c r="Q123" s="334" t="str">
        <f>IFERROR(IF(P123="Check Data ⚠","Check Data ⚠",VLOOKUP(P123,'G-4 Temporal multipliers'!$A$4:$C$37,3,FALSE)),"")</f>
        <v/>
      </c>
      <c r="R123" s="275" t="str">
        <f>IF(C123="","",VLOOKUP(C123,'G-7 WaterC'' Data'!$B$4:$G$8,4,FALSE))</f>
        <v/>
      </c>
      <c r="S123" s="283" t="str">
        <f t="shared" si="9"/>
        <v/>
      </c>
      <c r="T123" s="314" t="str">
        <f t="shared" si="10"/>
        <v/>
      </c>
      <c r="U123" s="276" t="str">
        <f>IF(C123="","",VLOOKUP(T123,'G-3 Multipliers'!$P$2:$Q$6,2,FALSE))</f>
        <v/>
      </c>
      <c r="V123" s="102"/>
      <c r="W123" s="276" t="str">
        <f>IF(V123="","",IF(AND(V123="N/A - Culvert",C123&lt;&gt;"Culvert"),"Not possible ▲",IF(AND(C123="Culvert",V123&lt;&gt;"N/A - Culvert"),"Not possible ▲",IF(VLOOKUP(V123,'G-7 WaterC'' Data'!$AA$4:$AB$7,2,FALSE)=0,"Spatial Data Missing ⚠",VLOOKUP(V123,'G-7 WaterC'' Data'!$AA$4:$AB$7,2,FALSE)))))</f>
        <v/>
      </c>
      <c r="X123" s="56"/>
      <c r="Y123" s="276" t="str">
        <f>IF(X123="","",IF(AND(X123="N/A - Culvert",C123&lt;&gt;"Culvert"),"Not possible ▲",IF(AND(C123="Culvert",X123&lt;&gt;"N/A - Culvert"),"Not possible ▲",IF(VLOOKUP(X123,'G-7 WaterC'' Data'!$AD$4:$AE$14,2,FALSE)=0,"Enrcoachment Data Missing ⚠",VLOOKUP(X123,'G-7 WaterC'' Data'!$AD$4:$AE$14,2,FALSE)))))</f>
        <v/>
      </c>
      <c r="Z123" s="102"/>
      <c r="AA123" s="276" t="str">
        <f>IF(Z123="","",IF(VLOOKUP(Z123,'G-7 WaterC'' Data'!$AO$4:$BO$7,2,FALSE)=0,"Spatial Data Missing ⚠",VLOOKUP(Z123,'G-7 WaterC'' Data'!$AO$4:$BO$7,2,FALSE)))</f>
        <v/>
      </c>
      <c r="AB123" s="317" t="str">
        <f t="shared" si="11"/>
        <v/>
      </c>
      <c r="AC123" s="317" t="str">
        <f t="shared" si="12"/>
        <v/>
      </c>
      <c r="AD123" s="101"/>
      <c r="AE123" s="938"/>
      <c r="AF123" s="138"/>
      <c r="AG123" s="138"/>
      <c r="AH123" s="934"/>
      <c r="AL123" s="30" t="str">
        <f>IFERROR(INDEX('G-7 WaterC'' Data'!$AZ$3:$AZ$7,MATCH(C123,'G-7 WaterC'' Data'!$AY$3:$AY$7,0)),"")</f>
        <v/>
      </c>
      <c r="AN123" s="30" t="str">
        <f t="shared" si="13"/>
        <v>No</v>
      </c>
    </row>
    <row r="124" spans="2:40" ht="14">
      <c r="B124" s="97">
        <v>113</v>
      </c>
      <c r="C124" s="923"/>
      <c r="D124" s="115"/>
      <c r="E124" s="275" t="str">
        <f>IF(C124="","",VLOOKUP(C124,'G-7 WaterC'' Data'!$B$2:$Z$9,2,FALSE))</f>
        <v/>
      </c>
      <c r="F124" s="276" t="str">
        <f>IFERROR(VLOOKUP(E124,'G-7 WaterC'' Data'!$C$4:$D$8,2,FALSE),"")</f>
        <v/>
      </c>
      <c r="G124" s="52"/>
      <c r="H124" s="276" t="str">
        <f>IFERROR(INDEX('G-7 WaterC'' Data'!$H$4:$L$8,MATCH(C124,'G-7 WaterC'' Data'!$B$4:$B$8,0),MATCH(G124,'G-7 WaterC'' Data'!$H$3:$L$3,0)),"")</f>
        <v/>
      </c>
      <c r="I124" s="52"/>
      <c r="J124" s="314" t="str">
        <f>IF(I124="","",IF(VLOOKUP(I124,'G-7 WaterC'' Data'!$AK$4:$AM$6,2,FALSE)=0,"Spatial Data Missing ⚠",VLOOKUP(I124,'G-7 WaterC'' Data'!$AK$4:$AM$6,2,FALSE)))</f>
        <v/>
      </c>
      <c r="K124" s="276" t="str">
        <f>IF(I124="","",IF(VLOOKUP(I124,'G-7 WaterC'' Data'!$AK$4:$AM$6,3,FALSE)=0,"Spatial Data Missing ⚠",VLOOKUP(I124,'G-7 WaterC'' Data'!$AK$4:$AM$6,3,FALSE)))</f>
        <v/>
      </c>
      <c r="L124" s="372" t="str">
        <f>IFERROR(INDEX('G-7 WaterC'' Data'!$O$3:$O$7,MATCH(G124,'G-7 WaterC'' Data'!$N$3:$N$7,0)),"")</f>
        <v/>
      </c>
      <c r="M124" s="53"/>
      <c r="N124" s="133"/>
      <c r="O124" s="283" t="str">
        <f t="shared" si="7"/>
        <v/>
      </c>
      <c r="P124" s="296" t="str">
        <f t="shared" si="8"/>
        <v/>
      </c>
      <c r="Q124" s="334" t="str">
        <f>IFERROR(IF(P124="Check Data ⚠","Check Data ⚠",VLOOKUP(P124,'G-4 Temporal multipliers'!$A$4:$C$37,3,FALSE)),"")</f>
        <v/>
      </c>
      <c r="R124" s="275" t="str">
        <f>IF(C124="","",VLOOKUP(C124,'G-7 WaterC'' Data'!$B$4:$G$8,4,FALSE))</f>
        <v/>
      </c>
      <c r="S124" s="283" t="str">
        <f t="shared" si="9"/>
        <v/>
      </c>
      <c r="T124" s="314" t="str">
        <f t="shared" si="10"/>
        <v/>
      </c>
      <c r="U124" s="276" t="str">
        <f>IF(C124="","",VLOOKUP(T124,'G-3 Multipliers'!$P$2:$Q$6,2,FALSE))</f>
        <v/>
      </c>
      <c r="V124" s="102"/>
      <c r="W124" s="276" t="str">
        <f>IF(V124="","",IF(AND(V124="N/A - Culvert",C124&lt;&gt;"Culvert"),"Not possible ▲",IF(AND(C124="Culvert",V124&lt;&gt;"N/A - Culvert"),"Not possible ▲",IF(VLOOKUP(V124,'G-7 WaterC'' Data'!$AA$4:$AB$7,2,FALSE)=0,"Spatial Data Missing ⚠",VLOOKUP(V124,'G-7 WaterC'' Data'!$AA$4:$AB$7,2,FALSE)))))</f>
        <v/>
      </c>
      <c r="X124" s="56"/>
      <c r="Y124" s="276" t="str">
        <f>IF(X124="","",IF(AND(X124="N/A - Culvert",C124&lt;&gt;"Culvert"),"Not possible ▲",IF(AND(C124="Culvert",X124&lt;&gt;"N/A - Culvert"),"Not possible ▲",IF(VLOOKUP(X124,'G-7 WaterC'' Data'!$AD$4:$AE$14,2,FALSE)=0,"Enrcoachment Data Missing ⚠",VLOOKUP(X124,'G-7 WaterC'' Data'!$AD$4:$AE$14,2,FALSE)))))</f>
        <v/>
      </c>
      <c r="Z124" s="102"/>
      <c r="AA124" s="276" t="str">
        <f>IF(Z124="","",IF(VLOOKUP(Z124,'G-7 WaterC'' Data'!$AO$4:$BO$7,2,FALSE)=0,"Spatial Data Missing ⚠",VLOOKUP(Z124,'G-7 WaterC'' Data'!$AO$4:$BO$7,2,FALSE)))</f>
        <v/>
      </c>
      <c r="AB124" s="317" t="str">
        <f t="shared" si="11"/>
        <v/>
      </c>
      <c r="AC124" s="317" t="str">
        <f t="shared" si="12"/>
        <v/>
      </c>
      <c r="AD124" s="101"/>
      <c r="AE124" s="938"/>
      <c r="AF124" s="138"/>
      <c r="AG124" s="138"/>
      <c r="AH124" s="934"/>
      <c r="AL124" s="30" t="str">
        <f>IFERROR(INDEX('G-7 WaterC'' Data'!$AZ$3:$AZ$7,MATCH(C124,'G-7 WaterC'' Data'!$AY$3:$AY$7,0)),"")</f>
        <v/>
      </c>
      <c r="AN124" s="30" t="str">
        <f t="shared" si="13"/>
        <v>No</v>
      </c>
    </row>
    <row r="125" spans="2:40" ht="14">
      <c r="B125" s="97">
        <v>114</v>
      </c>
      <c r="C125" s="923"/>
      <c r="D125" s="115"/>
      <c r="E125" s="275" t="str">
        <f>IF(C125="","",VLOOKUP(C125,'G-7 WaterC'' Data'!$B$2:$Z$9,2,FALSE))</f>
        <v/>
      </c>
      <c r="F125" s="276" t="str">
        <f>IFERROR(VLOOKUP(E125,'G-7 WaterC'' Data'!$C$4:$D$8,2,FALSE),"")</f>
        <v/>
      </c>
      <c r="G125" s="52"/>
      <c r="H125" s="276" t="str">
        <f>IFERROR(INDEX('G-7 WaterC'' Data'!$H$4:$L$8,MATCH(C125,'G-7 WaterC'' Data'!$B$4:$B$8,0),MATCH(G125,'G-7 WaterC'' Data'!$H$3:$L$3,0)),"")</f>
        <v/>
      </c>
      <c r="I125" s="52"/>
      <c r="J125" s="314" t="str">
        <f>IF(I125="","",IF(VLOOKUP(I125,'G-7 WaterC'' Data'!$AK$4:$AM$6,2,FALSE)=0,"Spatial Data Missing ⚠",VLOOKUP(I125,'G-7 WaterC'' Data'!$AK$4:$AM$6,2,FALSE)))</f>
        <v/>
      </c>
      <c r="K125" s="276" t="str">
        <f>IF(I125="","",IF(VLOOKUP(I125,'G-7 WaterC'' Data'!$AK$4:$AM$6,3,FALSE)=0,"Spatial Data Missing ⚠",VLOOKUP(I125,'G-7 WaterC'' Data'!$AK$4:$AM$6,3,FALSE)))</f>
        <v/>
      </c>
      <c r="L125" s="372" t="str">
        <f>IFERROR(INDEX('G-7 WaterC'' Data'!$O$3:$O$7,MATCH(G125,'G-7 WaterC'' Data'!$N$3:$N$7,0)),"")</f>
        <v/>
      </c>
      <c r="M125" s="53"/>
      <c r="N125" s="133"/>
      <c r="O125" s="283" t="str">
        <f t="shared" si="7"/>
        <v/>
      </c>
      <c r="P125" s="296" t="str">
        <f t="shared" si="8"/>
        <v/>
      </c>
      <c r="Q125" s="334" t="str">
        <f>IFERROR(IF(P125="Check Data ⚠","Check Data ⚠",VLOOKUP(P125,'G-4 Temporal multipliers'!$A$4:$C$37,3,FALSE)),"")</f>
        <v/>
      </c>
      <c r="R125" s="275" t="str">
        <f>IF(C125="","",VLOOKUP(C125,'G-7 WaterC'' Data'!$B$4:$G$8,4,FALSE))</f>
        <v/>
      </c>
      <c r="S125" s="283" t="str">
        <f t="shared" si="9"/>
        <v/>
      </c>
      <c r="T125" s="314" t="str">
        <f t="shared" si="10"/>
        <v/>
      </c>
      <c r="U125" s="276" t="str">
        <f>IF(C125="","",VLOOKUP(T125,'G-3 Multipliers'!$P$2:$Q$6,2,FALSE))</f>
        <v/>
      </c>
      <c r="V125" s="102"/>
      <c r="W125" s="276" t="str">
        <f>IF(V125="","",IF(AND(V125="N/A - Culvert",C125&lt;&gt;"Culvert"),"Not possible ▲",IF(AND(C125="Culvert",V125&lt;&gt;"N/A - Culvert"),"Not possible ▲",IF(VLOOKUP(V125,'G-7 WaterC'' Data'!$AA$4:$AB$7,2,FALSE)=0,"Spatial Data Missing ⚠",VLOOKUP(V125,'G-7 WaterC'' Data'!$AA$4:$AB$7,2,FALSE)))))</f>
        <v/>
      </c>
      <c r="X125" s="56"/>
      <c r="Y125" s="276" t="str">
        <f>IF(X125="","",IF(AND(X125="N/A - Culvert",C125&lt;&gt;"Culvert"),"Not possible ▲",IF(AND(C125="Culvert",X125&lt;&gt;"N/A - Culvert"),"Not possible ▲",IF(VLOOKUP(X125,'G-7 WaterC'' Data'!$AD$4:$AE$14,2,FALSE)=0,"Enrcoachment Data Missing ⚠",VLOOKUP(X125,'G-7 WaterC'' Data'!$AD$4:$AE$14,2,FALSE)))))</f>
        <v/>
      </c>
      <c r="Z125" s="102"/>
      <c r="AA125" s="276" t="str">
        <f>IF(Z125="","",IF(VLOOKUP(Z125,'G-7 WaterC'' Data'!$AO$4:$BO$7,2,FALSE)=0,"Spatial Data Missing ⚠",VLOOKUP(Z125,'G-7 WaterC'' Data'!$AO$4:$BO$7,2,FALSE)))</f>
        <v/>
      </c>
      <c r="AB125" s="317" t="str">
        <f t="shared" si="11"/>
        <v/>
      </c>
      <c r="AC125" s="317" t="str">
        <f t="shared" si="12"/>
        <v/>
      </c>
      <c r="AD125" s="101"/>
      <c r="AE125" s="938"/>
      <c r="AF125" s="138"/>
      <c r="AG125" s="138"/>
      <c r="AH125" s="934"/>
      <c r="AL125" s="30" t="str">
        <f>IFERROR(INDEX('G-7 WaterC'' Data'!$AZ$3:$AZ$7,MATCH(C125,'G-7 WaterC'' Data'!$AY$3:$AY$7,0)),"")</f>
        <v/>
      </c>
      <c r="AN125" s="30" t="str">
        <f t="shared" si="13"/>
        <v>No</v>
      </c>
    </row>
    <row r="126" spans="2:40" ht="14">
      <c r="B126" s="97">
        <v>115</v>
      </c>
      <c r="C126" s="923"/>
      <c r="D126" s="115"/>
      <c r="E126" s="275" t="str">
        <f>IF(C126="","",VLOOKUP(C126,'G-7 WaterC'' Data'!$B$2:$Z$9,2,FALSE))</f>
        <v/>
      </c>
      <c r="F126" s="276" t="str">
        <f>IFERROR(VLOOKUP(E126,'G-7 WaterC'' Data'!$C$4:$D$8,2,FALSE),"")</f>
        <v/>
      </c>
      <c r="G126" s="52"/>
      <c r="H126" s="276" t="str">
        <f>IFERROR(INDEX('G-7 WaterC'' Data'!$H$4:$L$8,MATCH(C126,'G-7 WaterC'' Data'!$B$4:$B$8,0),MATCH(G126,'G-7 WaterC'' Data'!$H$3:$L$3,0)),"")</f>
        <v/>
      </c>
      <c r="I126" s="52"/>
      <c r="J126" s="314" t="str">
        <f>IF(I126="","",IF(VLOOKUP(I126,'G-7 WaterC'' Data'!$AK$4:$AM$6,2,FALSE)=0,"Spatial Data Missing ⚠",VLOOKUP(I126,'G-7 WaterC'' Data'!$AK$4:$AM$6,2,FALSE)))</f>
        <v/>
      </c>
      <c r="K126" s="276" t="str">
        <f>IF(I126="","",IF(VLOOKUP(I126,'G-7 WaterC'' Data'!$AK$4:$AM$6,3,FALSE)=0,"Spatial Data Missing ⚠",VLOOKUP(I126,'G-7 WaterC'' Data'!$AK$4:$AM$6,3,FALSE)))</f>
        <v/>
      </c>
      <c r="L126" s="372" t="str">
        <f>IFERROR(INDEX('G-7 WaterC'' Data'!$O$3:$O$7,MATCH(G126,'G-7 WaterC'' Data'!$N$3:$N$7,0)),"")</f>
        <v/>
      </c>
      <c r="M126" s="53"/>
      <c r="N126" s="133"/>
      <c r="O126" s="283" t="str">
        <f t="shared" si="7"/>
        <v/>
      </c>
      <c r="P126" s="296" t="str">
        <f t="shared" si="8"/>
        <v/>
      </c>
      <c r="Q126" s="334" t="str">
        <f>IFERROR(IF(P126="Check Data ⚠","Check Data ⚠",VLOOKUP(P126,'G-4 Temporal multipliers'!$A$4:$C$37,3,FALSE)),"")</f>
        <v/>
      </c>
      <c r="R126" s="275" t="str">
        <f>IF(C126="","",VLOOKUP(C126,'G-7 WaterC'' Data'!$B$4:$G$8,4,FALSE))</f>
        <v/>
      </c>
      <c r="S126" s="283" t="str">
        <f t="shared" si="9"/>
        <v/>
      </c>
      <c r="T126" s="314" t="str">
        <f t="shared" si="10"/>
        <v/>
      </c>
      <c r="U126" s="276" t="str">
        <f>IF(C126="","",VLOOKUP(T126,'G-3 Multipliers'!$P$2:$Q$6,2,FALSE))</f>
        <v/>
      </c>
      <c r="V126" s="102"/>
      <c r="W126" s="276" t="str">
        <f>IF(V126="","",IF(AND(V126="N/A - Culvert",C126&lt;&gt;"Culvert"),"Not possible ▲",IF(AND(C126="Culvert",V126&lt;&gt;"N/A - Culvert"),"Not possible ▲",IF(VLOOKUP(V126,'G-7 WaterC'' Data'!$AA$4:$AB$7,2,FALSE)=0,"Spatial Data Missing ⚠",VLOOKUP(V126,'G-7 WaterC'' Data'!$AA$4:$AB$7,2,FALSE)))))</f>
        <v/>
      </c>
      <c r="X126" s="56"/>
      <c r="Y126" s="276" t="str">
        <f>IF(X126="","",IF(AND(X126="N/A - Culvert",C126&lt;&gt;"Culvert"),"Not possible ▲",IF(AND(C126="Culvert",X126&lt;&gt;"N/A - Culvert"),"Not possible ▲",IF(VLOOKUP(X126,'G-7 WaterC'' Data'!$AD$4:$AE$14,2,FALSE)=0,"Enrcoachment Data Missing ⚠",VLOOKUP(X126,'G-7 WaterC'' Data'!$AD$4:$AE$14,2,FALSE)))))</f>
        <v/>
      </c>
      <c r="Z126" s="102"/>
      <c r="AA126" s="276" t="str">
        <f>IF(Z126="","",IF(VLOOKUP(Z126,'G-7 WaterC'' Data'!$AO$4:$BO$7,2,FALSE)=0,"Spatial Data Missing ⚠",VLOOKUP(Z126,'G-7 WaterC'' Data'!$AO$4:$BO$7,2,FALSE)))</f>
        <v/>
      </c>
      <c r="AB126" s="317" t="str">
        <f t="shared" si="11"/>
        <v/>
      </c>
      <c r="AC126" s="317" t="str">
        <f t="shared" si="12"/>
        <v/>
      </c>
      <c r="AD126" s="101"/>
      <c r="AE126" s="938"/>
      <c r="AF126" s="138"/>
      <c r="AG126" s="138"/>
      <c r="AH126" s="934"/>
      <c r="AL126" s="30" t="str">
        <f>IFERROR(INDEX('G-7 WaterC'' Data'!$AZ$3:$AZ$7,MATCH(C126,'G-7 WaterC'' Data'!$AY$3:$AY$7,0)),"")</f>
        <v/>
      </c>
      <c r="AN126" s="30" t="str">
        <f t="shared" si="13"/>
        <v>No</v>
      </c>
    </row>
    <row r="127" spans="2:40" ht="14">
      <c r="B127" s="97">
        <v>116</v>
      </c>
      <c r="C127" s="923"/>
      <c r="D127" s="115"/>
      <c r="E127" s="275" t="str">
        <f>IF(C127="","",VLOOKUP(C127,'G-7 WaterC'' Data'!$B$2:$Z$9,2,FALSE))</f>
        <v/>
      </c>
      <c r="F127" s="276" t="str">
        <f>IFERROR(VLOOKUP(E127,'G-7 WaterC'' Data'!$C$4:$D$8,2,FALSE),"")</f>
        <v/>
      </c>
      <c r="G127" s="52"/>
      <c r="H127" s="276" t="str">
        <f>IFERROR(INDEX('G-7 WaterC'' Data'!$H$4:$L$8,MATCH(C127,'G-7 WaterC'' Data'!$B$4:$B$8,0),MATCH(G127,'G-7 WaterC'' Data'!$H$3:$L$3,0)),"")</f>
        <v/>
      </c>
      <c r="I127" s="52"/>
      <c r="J127" s="314" t="str">
        <f>IF(I127="","",IF(VLOOKUP(I127,'G-7 WaterC'' Data'!$AK$4:$AM$6,2,FALSE)=0,"Spatial Data Missing ⚠",VLOOKUP(I127,'G-7 WaterC'' Data'!$AK$4:$AM$6,2,FALSE)))</f>
        <v/>
      </c>
      <c r="K127" s="276" t="str">
        <f>IF(I127="","",IF(VLOOKUP(I127,'G-7 WaterC'' Data'!$AK$4:$AM$6,3,FALSE)=0,"Spatial Data Missing ⚠",VLOOKUP(I127,'G-7 WaterC'' Data'!$AK$4:$AM$6,3,FALSE)))</f>
        <v/>
      </c>
      <c r="L127" s="372" t="str">
        <f>IFERROR(INDEX('G-7 WaterC'' Data'!$O$3:$O$7,MATCH(G127,'G-7 WaterC'' Data'!$N$3:$N$7,0)),"")</f>
        <v/>
      </c>
      <c r="M127" s="53"/>
      <c r="N127" s="133"/>
      <c r="O127" s="283" t="str">
        <f t="shared" si="7"/>
        <v/>
      </c>
      <c r="P127" s="296" t="str">
        <f t="shared" si="8"/>
        <v/>
      </c>
      <c r="Q127" s="334" t="str">
        <f>IFERROR(IF(P127="Check Data ⚠","Check Data ⚠",VLOOKUP(P127,'G-4 Temporal multipliers'!$A$4:$C$37,3,FALSE)),"")</f>
        <v/>
      </c>
      <c r="R127" s="275" t="str">
        <f>IF(C127="","",VLOOKUP(C127,'G-7 WaterC'' Data'!$B$4:$G$8,4,FALSE))</f>
        <v/>
      </c>
      <c r="S127" s="283" t="str">
        <f t="shared" si="9"/>
        <v/>
      </c>
      <c r="T127" s="314" t="str">
        <f t="shared" si="10"/>
        <v/>
      </c>
      <c r="U127" s="276" t="str">
        <f>IF(C127="","",VLOOKUP(T127,'G-3 Multipliers'!$P$2:$Q$6,2,FALSE))</f>
        <v/>
      </c>
      <c r="V127" s="102"/>
      <c r="W127" s="276" t="str">
        <f>IF(V127="","",IF(AND(V127="N/A - Culvert",C127&lt;&gt;"Culvert"),"Not possible ▲",IF(AND(C127="Culvert",V127&lt;&gt;"N/A - Culvert"),"Not possible ▲",IF(VLOOKUP(V127,'G-7 WaterC'' Data'!$AA$4:$AB$7,2,FALSE)=0,"Spatial Data Missing ⚠",VLOOKUP(V127,'G-7 WaterC'' Data'!$AA$4:$AB$7,2,FALSE)))))</f>
        <v/>
      </c>
      <c r="X127" s="56"/>
      <c r="Y127" s="276" t="str">
        <f>IF(X127="","",IF(AND(X127="N/A - Culvert",C127&lt;&gt;"Culvert"),"Not possible ▲",IF(AND(C127="Culvert",X127&lt;&gt;"N/A - Culvert"),"Not possible ▲",IF(VLOOKUP(X127,'G-7 WaterC'' Data'!$AD$4:$AE$14,2,FALSE)=0,"Enrcoachment Data Missing ⚠",VLOOKUP(X127,'G-7 WaterC'' Data'!$AD$4:$AE$14,2,FALSE)))))</f>
        <v/>
      </c>
      <c r="Z127" s="102"/>
      <c r="AA127" s="276" t="str">
        <f>IF(Z127="","",IF(VLOOKUP(Z127,'G-7 WaterC'' Data'!$AO$4:$BO$7,2,FALSE)=0,"Spatial Data Missing ⚠",VLOOKUP(Z127,'G-7 WaterC'' Data'!$AO$4:$BO$7,2,FALSE)))</f>
        <v/>
      </c>
      <c r="AB127" s="317" t="str">
        <f t="shared" si="11"/>
        <v/>
      </c>
      <c r="AC127" s="317" t="str">
        <f t="shared" si="12"/>
        <v/>
      </c>
      <c r="AD127" s="101"/>
      <c r="AE127" s="938"/>
      <c r="AF127" s="138"/>
      <c r="AG127" s="138"/>
      <c r="AH127" s="934"/>
      <c r="AL127" s="30" t="str">
        <f>IFERROR(INDEX('G-7 WaterC'' Data'!$AZ$3:$AZ$7,MATCH(C127,'G-7 WaterC'' Data'!$AY$3:$AY$7,0)),"")</f>
        <v/>
      </c>
      <c r="AN127" s="30" t="str">
        <f t="shared" si="13"/>
        <v>No</v>
      </c>
    </row>
    <row r="128" spans="2:40" ht="14">
      <c r="B128" s="97">
        <v>117</v>
      </c>
      <c r="C128" s="923"/>
      <c r="D128" s="115"/>
      <c r="E128" s="275" t="str">
        <f>IF(C128="","",VLOOKUP(C128,'G-7 WaterC'' Data'!$B$2:$Z$9,2,FALSE))</f>
        <v/>
      </c>
      <c r="F128" s="276" t="str">
        <f>IFERROR(VLOOKUP(E128,'G-7 WaterC'' Data'!$C$4:$D$8,2,FALSE),"")</f>
        <v/>
      </c>
      <c r="G128" s="52"/>
      <c r="H128" s="276" t="str">
        <f>IFERROR(INDEX('G-7 WaterC'' Data'!$H$4:$L$8,MATCH(C128,'G-7 WaterC'' Data'!$B$4:$B$8,0),MATCH(G128,'G-7 WaterC'' Data'!$H$3:$L$3,0)),"")</f>
        <v/>
      </c>
      <c r="I128" s="52"/>
      <c r="J128" s="314" t="str">
        <f>IF(I128="","",IF(VLOOKUP(I128,'G-7 WaterC'' Data'!$AK$4:$AM$6,2,FALSE)=0,"Spatial Data Missing ⚠",VLOOKUP(I128,'G-7 WaterC'' Data'!$AK$4:$AM$6,2,FALSE)))</f>
        <v/>
      </c>
      <c r="K128" s="276" t="str">
        <f>IF(I128="","",IF(VLOOKUP(I128,'G-7 WaterC'' Data'!$AK$4:$AM$6,3,FALSE)=0,"Spatial Data Missing ⚠",VLOOKUP(I128,'G-7 WaterC'' Data'!$AK$4:$AM$6,3,FALSE)))</f>
        <v/>
      </c>
      <c r="L128" s="372" t="str">
        <f>IFERROR(INDEX('G-7 WaterC'' Data'!$O$3:$O$7,MATCH(G128,'G-7 WaterC'' Data'!$N$3:$N$7,0)),"")</f>
        <v/>
      </c>
      <c r="M128" s="53"/>
      <c r="N128" s="133"/>
      <c r="O128" s="283" t="str">
        <f t="shared" si="7"/>
        <v/>
      </c>
      <c r="P128" s="296" t="str">
        <f t="shared" si="8"/>
        <v/>
      </c>
      <c r="Q128" s="334" t="str">
        <f>IFERROR(IF(P128="Check Data ⚠","Check Data ⚠",VLOOKUP(P128,'G-4 Temporal multipliers'!$A$4:$C$37,3,FALSE)),"")</f>
        <v/>
      </c>
      <c r="R128" s="275" t="str">
        <f>IF(C128="","",VLOOKUP(C128,'G-7 WaterC'' Data'!$B$4:$G$8,4,FALSE))</f>
        <v/>
      </c>
      <c r="S128" s="283" t="str">
        <f t="shared" si="9"/>
        <v/>
      </c>
      <c r="T128" s="314" t="str">
        <f t="shared" si="10"/>
        <v/>
      </c>
      <c r="U128" s="276" t="str">
        <f>IF(C128="","",VLOOKUP(T128,'G-3 Multipliers'!$P$2:$Q$6,2,FALSE))</f>
        <v/>
      </c>
      <c r="V128" s="102"/>
      <c r="W128" s="276" t="str">
        <f>IF(V128="","",IF(AND(V128="N/A - Culvert",C128&lt;&gt;"Culvert"),"Not possible ▲",IF(AND(C128="Culvert",V128&lt;&gt;"N/A - Culvert"),"Not possible ▲",IF(VLOOKUP(V128,'G-7 WaterC'' Data'!$AA$4:$AB$7,2,FALSE)=0,"Spatial Data Missing ⚠",VLOOKUP(V128,'G-7 WaterC'' Data'!$AA$4:$AB$7,2,FALSE)))))</f>
        <v/>
      </c>
      <c r="X128" s="56"/>
      <c r="Y128" s="276" t="str">
        <f>IF(X128="","",IF(AND(X128="N/A - Culvert",C128&lt;&gt;"Culvert"),"Not possible ▲",IF(AND(C128="Culvert",X128&lt;&gt;"N/A - Culvert"),"Not possible ▲",IF(VLOOKUP(X128,'G-7 WaterC'' Data'!$AD$4:$AE$14,2,FALSE)=0,"Enrcoachment Data Missing ⚠",VLOOKUP(X128,'G-7 WaterC'' Data'!$AD$4:$AE$14,2,FALSE)))))</f>
        <v/>
      </c>
      <c r="Z128" s="102"/>
      <c r="AA128" s="276" t="str">
        <f>IF(Z128="","",IF(VLOOKUP(Z128,'G-7 WaterC'' Data'!$AO$4:$BO$7,2,FALSE)=0,"Spatial Data Missing ⚠",VLOOKUP(Z128,'G-7 WaterC'' Data'!$AO$4:$BO$7,2,FALSE)))</f>
        <v/>
      </c>
      <c r="AB128" s="317" t="str">
        <f t="shared" si="11"/>
        <v/>
      </c>
      <c r="AC128" s="317" t="str">
        <f t="shared" si="12"/>
        <v/>
      </c>
      <c r="AD128" s="101"/>
      <c r="AE128" s="938"/>
      <c r="AF128" s="138"/>
      <c r="AG128" s="138"/>
      <c r="AH128" s="934"/>
      <c r="AL128" s="30" t="str">
        <f>IFERROR(INDEX('G-7 WaterC'' Data'!$AZ$3:$AZ$7,MATCH(C128,'G-7 WaterC'' Data'!$AY$3:$AY$7,0)),"")</f>
        <v/>
      </c>
      <c r="AN128" s="30" t="str">
        <f t="shared" si="13"/>
        <v>No</v>
      </c>
    </row>
    <row r="129" spans="2:40" ht="14">
      <c r="B129" s="97">
        <v>118</v>
      </c>
      <c r="C129" s="923"/>
      <c r="D129" s="115"/>
      <c r="E129" s="275" t="str">
        <f>IF(C129="","",VLOOKUP(C129,'G-7 WaterC'' Data'!$B$2:$Z$9,2,FALSE))</f>
        <v/>
      </c>
      <c r="F129" s="276" t="str">
        <f>IFERROR(VLOOKUP(E129,'G-7 WaterC'' Data'!$C$4:$D$8,2,FALSE),"")</f>
        <v/>
      </c>
      <c r="G129" s="52"/>
      <c r="H129" s="276" t="str">
        <f>IFERROR(INDEX('G-7 WaterC'' Data'!$H$4:$L$8,MATCH(C129,'G-7 WaterC'' Data'!$B$4:$B$8,0),MATCH(G129,'G-7 WaterC'' Data'!$H$3:$L$3,0)),"")</f>
        <v/>
      </c>
      <c r="I129" s="52"/>
      <c r="J129" s="314" t="str">
        <f>IF(I129="","",IF(VLOOKUP(I129,'G-7 WaterC'' Data'!$AK$4:$AM$6,2,FALSE)=0,"Spatial Data Missing ⚠",VLOOKUP(I129,'G-7 WaterC'' Data'!$AK$4:$AM$6,2,FALSE)))</f>
        <v/>
      </c>
      <c r="K129" s="276" t="str">
        <f>IF(I129="","",IF(VLOOKUP(I129,'G-7 WaterC'' Data'!$AK$4:$AM$6,3,FALSE)=0,"Spatial Data Missing ⚠",VLOOKUP(I129,'G-7 WaterC'' Data'!$AK$4:$AM$6,3,FALSE)))</f>
        <v/>
      </c>
      <c r="L129" s="372" t="str">
        <f>IFERROR(INDEX('G-7 WaterC'' Data'!$O$3:$O$7,MATCH(G129,'G-7 WaterC'' Data'!$N$3:$N$7,0)),"")</f>
        <v/>
      </c>
      <c r="M129" s="53"/>
      <c r="N129" s="133"/>
      <c r="O129" s="283" t="str">
        <f t="shared" si="7"/>
        <v/>
      </c>
      <c r="P129" s="296" t="str">
        <f t="shared" si="8"/>
        <v/>
      </c>
      <c r="Q129" s="334" t="str">
        <f>IFERROR(IF(P129="Check Data ⚠","Check Data ⚠",VLOOKUP(P129,'G-4 Temporal multipliers'!$A$4:$C$37,3,FALSE)),"")</f>
        <v/>
      </c>
      <c r="R129" s="275" t="str">
        <f>IF(C129="","",VLOOKUP(C129,'G-7 WaterC'' Data'!$B$4:$G$8,4,FALSE))</f>
        <v/>
      </c>
      <c r="S129" s="283" t="str">
        <f t="shared" si="9"/>
        <v/>
      </c>
      <c r="T129" s="314" t="str">
        <f t="shared" si="10"/>
        <v/>
      </c>
      <c r="U129" s="276" t="str">
        <f>IF(C129="","",VLOOKUP(T129,'G-3 Multipliers'!$P$2:$Q$6,2,FALSE))</f>
        <v/>
      </c>
      <c r="V129" s="102"/>
      <c r="W129" s="276" t="str">
        <f>IF(V129="","",IF(AND(V129="N/A - Culvert",C129&lt;&gt;"Culvert"),"Not possible ▲",IF(AND(C129="Culvert",V129&lt;&gt;"N/A - Culvert"),"Not possible ▲",IF(VLOOKUP(V129,'G-7 WaterC'' Data'!$AA$4:$AB$7,2,FALSE)=0,"Spatial Data Missing ⚠",VLOOKUP(V129,'G-7 WaterC'' Data'!$AA$4:$AB$7,2,FALSE)))))</f>
        <v/>
      </c>
      <c r="X129" s="56"/>
      <c r="Y129" s="276" t="str">
        <f>IF(X129="","",IF(AND(X129="N/A - Culvert",C129&lt;&gt;"Culvert"),"Not possible ▲",IF(AND(C129="Culvert",X129&lt;&gt;"N/A - Culvert"),"Not possible ▲",IF(VLOOKUP(X129,'G-7 WaterC'' Data'!$AD$4:$AE$14,2,FALSE)=0,"Enrcoachment Data Missing ⚠",VLOOKUP(X129,'G-7 WaterC'' Data'!$AD$4:$AE$14,2,FALSE)))))</f>
        <v/>
      </c>
      <c r="Z129" s="102"/>
      <c r="AA129" s="276" t="str">
        <f>IF(Z129="","",IF(VLOOKUP(Z129,'G-7 WaterC'' Data'!$AO$4:$BO$7,2,FALSE)=0,"Spatial Data Missing ⚠",VLOOKUP(Z129,'G-7 WaterC'' Data'!$AO$4:$BO$7,2,FALSE)))</f>
        <v/>
      </c>
      <c r="AB129" s="317" t="str">
        <f t="shared" si="11"/>
        <v/>
      </c>
      <c r="AC129" s="317" t="str">
        <f t="shared" si="12"/>
        <v/>
      </c>
      <c r="AD129" s="101"/>
      <c r="AE129" s="938"/>
      <c r="AF129" s="138"/>
      <c r="AG129" s="138"/>
      <c r="AH129" s="934"/>
      <c r="AL129" s="30" t="str">
        <f>IFERROR(INDEX('G-7 WaterC'' Data'!$AZ$3:$AZ$7,MATCH(C129,'G-7 WaterC'' Data'!$AY$3:$AY$7,0)),"")</f>
        <v/>
      </c>
      <c r="AN129" s="30" t="str">
        <f t="shared" si="13"/>
        <v>No</v>
      </c>
    </row>
    <row r="130" spans="2:40" ht="14">
      <c r="B130" s="97">
        <v>119</v>
      </c>
      <c r="C130" s="923"/>
      <c r="D130" s="115"/>
      <c r="E130" s="275" t="str">
        <f>IF(C130="","",VLOOKUP(C130,'G-7 WaterC'' Data'!$B$2:$Z$9,2,FALSE))</f>
        <v/>
      </c>
      <c r="F130" s="276" t="str">
        <f>IFERROR(VLOOKUP(E130,'G-7 WaterC'' Data'!$C$4:$D$8,2,FALSE),"")</f>
        <v/>
      </c>
      <c r="G130" s="52"/>
      <c r="H130" s="276" t="str">
        <f>IFERROR(INDEX('G-7 WaterC'' Data'!$H$4:$L$8,MATCH(C130,'G-7 WaterC'' Data'!$B$4:$B$8,0),MATCH(G130,'G-7 WaterC'' Data'!$H$3:$L$3,0)),"")</f>
        <v/>
      </c>
      <c r="I130" s="52"/>
      <c r="J130" s="314" t="str">
        <f>IF(I130="","",IF(VLOOKUP(I130,'G-7 WaterC'' Data'!$AK$4:$AM$6,2,FALSE)=0,"Spatial Data Missing ⚠",VLOOKUP(I130,'G-7 WaterC'' Data'!$AK$4:$AM$6,2,FALSE)))</f>
        <v/>
      </c>
      <c r="K130" s="276" t="str">
        <f>IF(I130="","",IF(VLOOKUP(I130,'G-7 WaterC'' Data'!$AK$4:$AM$6,3,FALSE)=0,"Spatial Data Missing ⚠",VLOOKUP(I130,'G-7 WaterC'' Data'!$AK$4:$AM$6,3,FALSE)))</f>
        <v/>
      </c>
      <c r="L130" s="372" t="str">
        <f>IFERROR(INDEX('G-7 WaterC'' Data'!$O$3:$O$7,MATCH(G130,'G-7 WaterC'' Data'!$N$3:$N$7,0)),"")</f>
        <v/>
      </c>
      <c r="M130" s="53"/>
      <c r="N130" s="133"/>
      <c r="O130" s="283" t="str">
        <f t="shared" si="7"/>
        <v/>
      </c>
      <c r="P130" s="296" t="str">
        <f t="shared" si="8"/>
        <v/>
      </c>
      <c r="Q130" s="334" t="str">
        <f>IFERROR(IF(P130="Check Data ⚠","Check Data ⚠",VLOOKUP(P130,'G-4 Temporal multipliers'!$A$4:$C$37,3,FALSE)),"")</f>
        <v/>
      </c>
      <c r="R130" s="275" t="str">
        <f>IF(C130="","",VLOOKUP(C130,'G-7 WaterC'' Data'!$B$4:$G$8,4,FALSE))</f>
        <v/>
      </c>
      <c r="S130" s="283" t="str">
        <f t="shared" si="9"/>
        <v/>
      </c>
      <c r="T130" s="314" t="str">
        <f t="shared" si="10"/>
        <v/>
      </c>
      <c r="U130" s="276" t="str">
        <f>IF(C130="","",VLOOKUP(T130,'G-3 Multipliers'!$P$2:$Q$6,2,FALSE))</f>
        <v/>
      </c>
      <c r="V130" s="102"/>
      <c r="W130" s="276" t="str">
        <f>IF(V130="","",IF(AND(V130="N/A - Culvert",C130&lt;&gt;"Culvert"),"Not possible ▲",IF(AND(C130="Culvert",V130&lt;&gt;"N/A - Culvert"),"Not possible ▲",IF(VLOOKUP(V130,'G-7 WaterC'' Data'!$AA$4:$AB$7,2,FALSE)=0,"Spatial Data Missing ⚠",VLOOKUP(V130,'G-7 WaterC'' Data'!$AA$4:$AB$7,2,FALSE)))))</f>
        <v/>
      </c>
      <c r="X130" s="56"/>
      <c r="Y130" s="276" t="str">
        <f>IF(X130="","",IF(AND(X130="N/A - Culvert",C130&lt;&gt;"Culvert"),"Not possible ▲",IF(AND(C130="Culvert",X130&lt;&gt;"N/A - Culvert"),"Not possible ▲",IF(VLOOKUP(X130,'G-7 WaterC'' Data'!$AD$4:$AE$14,2,FALSE)=0,"Enrcoachment Data Missing ⚠",VLOOKUP(X130,'G-7 WaterC'' Data'!$AD$4:$AE$14,2,FALSE)))))</f>
        <v/>
      </c>
      <c r="Z130" s="102"/>
      <c r="AA130" s="276" t="str">
        <f>IF(Z130="","",IF(VLOOKUP(Z130,'G-7 WaterC'' Data'!$AO$4:$BO$7,2,FALSE)=0,"Spatial Data Missing ⚠",VLOOKUP(Z130,'G-7 WaterC'' Data'!$AO$4:$BO$7,2,FALSE)))</f>
        <v/>
      </c>
      <c r="AB130" s="317" t="str">
        <f t="shared" si="11"/>
        <v/>
      </c>
      <c r="AC130" s="317" t="str">
        <f t="shared" si="12"/>
        <v/>
      </c>
      <c r="AD130" s="101"/>
      <c r="AE130" s="938"/>
      <c r="AF130" s="138"/>
      <c r="AG130" s="138"/>
      <c r="AH130" s="934"/>
      <c r="AL130" s="30" t="str">
        <f>IFERROR(INDEX('G-7 WaterC'' Data'!$AZ$3:$AZ$7,MATCH(C130,'G-7 WaterC'' Data'!$AY$3:$AY$7,0)),"")</f>
        <v/>
      </c>
      <c r="AN130" s="30" t="str">
        <f t="shared" si="13"/>
        <v>No</v>
      </c>
    </row>
    <row r="131" spans="2:40" ht="14">
      <c r="B131" s="97">
        <v>120</v>
      </c>
      <c r="C131" s="923"/>
      <c r="D131" s="115"/>
      <c r="E131" s="275" t="str">
        <f>IF(C131="","",VLOOKUP(C131,'G-7 WaterC'' Data'!$B$2:$Z$9,2,FALSE))</f>
        <v/>
      </c>
      <c r="F131" s="276" t="str">
        <f>IFERROR(VLOOKUP(E131,'G-7 WaterC'' Data'!$C$4:$D$8,2,FALSE),"")</f>
        <v/>
      </c>
      <c r="G131" s="52"/>
      <c r="H131" s="276" t="str">
        <f>IFERROR(INDEX('G-7 WaterC'' Data'!$H$4:$L$8,MATCH(C131,'G-7 WaterC'' Data'!$B$4:$B$8,0),MATCH(G131,'G-7 WaterC'' Data'!$H$3:$L$3,0)),"")</f>
        <v/>
      </c>
      <c r="I131" s="52"/>
      <c r="J131" s="314" t="str">
        <f>IF(I131="","",IF(VLOOKUP(I131,'G-7 WaterC'' Data'!$AK$4:$AM$6,2,FALSE)=0,"Spatial Data Missing ⚠",VLOOKUP(I131,'G-7 WaterC'' Data'!$AK$4:$AM$6,2,FALSE)))</f>
        <v/>
      </c>
      <c r="K131" s="276" t="str">
        <f>IF(I131="","",IF(VLOOKUP(I131,'G-7 WaterC'' Data'!$AK$4:$AM$6,3,FALSE)=0,"Spatial Data Missing ⚠",VLOOKUP(I131,'G-7 WaterC'' Data'!$AK$4:$AM$6,3,FALSE)))</f>
        <v/>
      </c>
      <c r="L131" s="372" t="str">
        <f>IFERROR(INDEX('G-7 WaterC'' Data'!$O$3:$O$7,MATCH(G131,'G-7 WaterC'' Data'!$N$3:$N$7,0)),"")</f>
        <v/>
      </c>
      <c r="M131" s="53"/>
      <c r="N131" s="133"/>
      <c r="O131" s="283" t="str">
        <f t="shared" si="7"/>
        <v/>
      </c>
      <c r="P131" s="296" t="str">
        <f t="shared" si="8"/>
        <v/>
      </c>
      <c r="Q131" s="334" t="str">
        <f>IFERROR(IF(P131="Check Data ⚠","Check Data ⚠",VLOOKUP(P131,'G-4 Temporal multipliers'!$A$4:$C$37,3,FALSE)),"")</f>
        <v/>
      </c>
      <c r="R131" s="275" t="str">
        <f>IF(C131="","",VLOOKUP(C131,'G-7 WaterC'' Data'!$B$4:$G$8,4,FALSE))</f>
        <v/>
      </c>
      <c r="S131" s="283" t="str">
        <f t="shared" si="9"/>
        <v/>
      </c>
      <c r="T131" s="314" t="str">
        <f t="shared" si="10"/>
        <v/>
      </c>
      <c r="U131" s="276" t="str">
        <f>IF(C131="","",VLOOKUP(T131,'G-3 Multipliers'!$P$2:$Q$6,2,FALSE))</f>
        <v/>
      </c>
      <c r="V131" s="102"/>
      <c r="W131" s="276" t="str">
        <f>IF(V131="","",IF(AND(V131="N/A - Culvert",C131&lt;&gt;"Culvert"),"Not possible ▲",IF(AND(C131="Culvert",V131&lt;&gt;"N/A - Culvert"),"Not possible ▲",IF(VLOOKUP(V131,'G-7 WaterC'' Data'!$AA$4:$AB$7,2,FALSE)=0,"Spatial Data Missing ⚠",VLOOKUP(V131,'G-7 WaterC'' Data'!$AA$4:$AB$7,2,FALSE)))))</f>
        <v/>
      </c>
      <c r="X131" s="56"/>
      <c r="Y131" s="276" t="str">
        <f>IF(X131="","",IF(AND(X131="N/A - Culvert",C131&lt;&gt;"Culvert"),"Not possible ▲",IF(AND(C131="Culvert",X131&lt;&gt;"N/A - Culvert"),"Not possible ▲",IF(VLOOKUP(X131,'G-7 WaterC'' Data'!$AD$4:$AE$14,2,FALSE)=0,"Enrcoachment Data Missing ⚠",VLOOKUP(X131,'G-7 WaterC'' Data'!$AD$4:$AE$14,2,FALSE)))))</f>
        <v/>
      </c>
      <c r="Z131" s="102"/>
      <c r="AA131" s="276" t="str">
        <f>IF(Z131="","",IF(VLOOKUP(Z131,'G-7 WaterC'' Data'!$AO$4:$BO$7,2,FALSE)=0,"Spatial Data Missing ⚠",VLOOKUP(Z131,'G-7 WaterC'' Data'!$AO$4:$BO$7,2,FALSE)))</f>
        <v/>
      </c>
      <c r="AB131" s="317" t="str">
        <f t="shared" si="11"/>
        <v/>
      </c>
      <c r="AC131" s="317" t="str">
        <f t="shared" si="12"/>
        <v/>
      </c>
      <c r="AD131" s="101"/>
      <c r="AE131" s="938"/>
      <c r="AF131" s="138"/>
      <c r="AG131" s="138"/>
      <c r="AH131" s="934"/>
      <c r="AL131" s="30" t="str">
        <f>IFERROR(INDEX('G-7 WaterC'' Data'!$AZ$3:$AZ$7,MATCH(C131,'G-7 WaterC'' Data'!$AY$3:$AY$7,0)),"")</f>
        <v/>
      </c>
      <c r="AN131" s="30" t="str">
        <f t="shared" si="13"/>
        <v>No</v>
      </c>
    </row>
    <row r="132" spans="2:40" ht="14">
      <c r="B132" s="97">
        <v>121</v>
      </c>
      <c r="C132" s="923"/>
      <c r="D132" s="115"/>
      <c r="E132" s="275" t="str">
        <f>IF(C132="","",VLOOKUP(C132,'G-7 WaterC'' Data'!$B$2:$Z$9,2,FALSE))</f>
        <v/>
      </c>
      <c r="F132" s="276" t="str">
        <f>IFERROR(VLOOKUP(E132,'G-7 WaterC'' Data'!$C$4:$D$8,2,FALSE),"")</f>
        <v/>
      </c>
      <c r="G132" s="52"/>
      <c r="H132" s="276" t="str">
        <f>IFERROR(INDEX('G-7 WaterC'' Data'!$H$4:$L$8,MATCH(C132,'G-7 WaterC'' Data'!$B$4:$B$8,0),MATCH(G132,'G-7 WaterC'' Data'!$H$3:$L$3,0)),"")</f>
        <v/>
      </c>
      <c r="I132" s="52"/>
      <c r="J132" s="314" t="str">
        <f>IF(I132="","",IF(VLOOKUP(I132,'G-7 WaterC'' Data'!$AK$4:$AM$6,2,FALSE)=0,"Spatial Data Missing ⚠",VLOOKUP(I132,'G-7 WaterC'' Data'!$AK$4:$AM$6,2,FALSE)))</f>
        <v/>
      </c>
      <c r="K132" s="276" t="str">
        <f>IF(I132="","",IF(VLOOKUP(I132,'G-7 WaterC'' Data'!$AK$4:$AM$6,3,FALSE)=0,"Spatial Data Missing ⚠",VLOOKUP(I132,'G-7 WaterC'' Data'!$AK$4:$AM$6,3,FALSE)))</f>
        <v/>
      </c>
      <c r="L132" s="372" t="str">
        <f>IFERROR(INDEX('G-7 WaterC'' Data'!$O$3:$O$7,MATCH(G132,'G-7 WaterC'' Data'!$N$3:$N$7,0)),"")</f>
        <v/>
      </c>
      <c r="M132" s="53"/>
      <c r="N132" s="133"/>
      <c r="O132" s="283" t="str">
        <f t="shared" si="7"/>
        <v/>
      </c>
      <c r="P132" s="296" t="str">
        <f t="shared" si="8"/>
        <v/>
      </c>
      <c r="Q132" s="334" t="str">
        <f>IFERROR(IF(P132="Check Data ⚠","Check Data ⚠",VLOOKUP(P132,'G-4 Temporal multipliers'!$A$4:$C$37,3,FALSE)),"")</f>
        <v/>
      </c>
      <c r="R132" s="275" t="str">
        <f>IF(C132="","",VLOOKUP(C132,'G-7 WaterC'' Data'!$B$4:$G$8,4,FALSE))</f>
        <v/>
      </c>
      <c r="S132" s="283" t="str">
        <f t="shared" si="9"/>
        <v/>
      </c>
      <c r="T132" s="314" t="str">
        <f t="shared" si="10"/>
        <v/>
      </c>
      <c r="U132" s="276" t="str">
        <f>IF(C132="","",VLOOKUP(T132,'G-3 Multipliers'!$P$2:$Q$6,2,FALSE))</f>
        <v/>
      </c>
      <c r="V132" s="102"/>
      <c r="W132" s="276" t="str">
        <f>IF(V132="","",IF(AND(V132="N/A - Culvert",C132&lt;&gt;"Culvert"),"Not possible ▲",IF(AND(C132="Culvert",V132&lt;&gt;"N/A - Culvert"),"Not possible ▲",IF(VLOOKUP(V132,'G-7 WaterC'' Data'!$AA$4:$AB$7,2,FALSE)=0,"Spatial Data Missing ⚠",VLOOKUP(V132,'G-7 WaterC'' Data'!$AA$4:$AB$7,2,FALSE)))))</f>
        <v/>
      </c>
      <c r="X132" s="56"/>
      <c r="Y132" s="276" t="str">
        <f>IF(X132="","",IF(AND(X132="N/A - Culvert",C132&lt;&gt;"Culvert"),"Not possible ▲",IF(AND(C132="Culvert",X132&lt;&gt;"N/A - Culvert"),"Not possible ▲",IF(VLOOKUP(X132,'G-7 WaterC'' Data'!$AD$4:$AE$14,2,FALSE)=0,"Enrcoachment Data Missing ⚠",VLOOKUP(X132,'G-7 WaterC'' Data'!$AD$4:$AE$14,2,FALSE)))))</f>
        <v/>
      </c>
      <c r="Z132" s="102"/>
      <c r="AA132" s="276" t="str">
        <f>IF(Z132="","",IF(VLOOKUP(Z132,'G-7 WaterC'' Data'!$AO$4:$BO$7,2,FALSE)=0,"Spatial Data Missing ⚠",VLOOKUP(Z132,'G-7 WaterC'' Data'!$AO$4:$BO$7,2,FALSE)))</f>
        <v/>
      </c>
      <c r="AB132" s="317" t="str">
        <f t="shared" si="11"/>
        <v/>
      </c>
      <c r="AC132" s="317" t="str">
        <f t="shared" si="12"/>
        <v/>
      </c>
      <c r="AD132" s="101"/>
      <c r="AE132" s="938"/>
      <c r="AF132" s="138"/>
      <c r="AG132" s="138"/>
      <c r="AH132" s="934"/>
      <c r="AL132" s="30" t="str">
        <f>IFERROR(INDEX('G-7 WaterC'' Data'!$AZ$3:$AZ$7,MATCH(C132,'G-7 WaterC'' Data'!$AY$3:$AY$7,0)),"")</f>
        <v/>
      </c>
      <c r="AN132" s="30" t="str">
        <f t="shared" si="13"/>
        <v>No</v>
      </c>
    </row>
    <row r="133" spans="2:40" ht="14">
      <c r="B133" s="97">
        <v>122</v>
      </c>
      <c r="C133" s="923"/>
      <c r="D133" s="115"/>
      <c r="E133" s="275" t="str">
        <f>IF(C133="","",VLOOKUP(C133,'G-7 WaterC'' Data'!$B$2:$Z$9,2,FALSE))</f>
        <v/>
      </c>
      <c r="F133" s="276" t="str">
        <f>IFERROR(VLOOKUP(E133,'G-7 WaterC'' Data'!$C$4:$D$8,2,FALSE),"")</f>
        <v/>
      </c>
      <c r="G133" s="52"/>
      <c r="H133" s="276" t="str">
        <f>IFERROR(INDEX('G-7 WaterC'' Data'!$H$4:$L$8,MATCH(C133,'G-7 WaterC'' Data'!$B$4:$B$8,0),MATCH(G133,'G-7 WaterC'' Data'!$H$3:$L$3,0)),"")</f>
        <v/>
      </c>
      <c r="I133" s="52"/>
      <c r="J133" s="314" t="str">
        <f>IF(I133="","",IF(VLOOKUP(I133,'G-7 WaterC'' Data'!$AK$4:$AM$6,2,FALSE)=0,"Spatial Data Missing ⚠",VLOOKUP(I133,'G-7 WaterC'' Data'!$AK$4:$AM$6,2,FALSE)))</f>
        <v/>
      </c>
      <c r="K133" s="276" t="str">
        <f>IF(I133="","",IF(VLOOKUP(I133,'G-7 WaterC'' Data'!$AK$4:$AM$6,3,FALSE)=0,"Spatial Data Missing ⚠",VLOOKUP(I133,'G-7 WaterC'' Data'!$AK$4:$AM$6,3,FALSE)))</f>
        <v/>
      </c>
      <c r="L133" s="372" t="str">
        <f>IFERROR(INDEX('G-7 WaterC'' Data'!$O$3:$O$7,MATCH(G133,'G-7 WaterC'' Data'!$N$3:$N$7,0)),"")</f>
        <v/>
      </c>
      <c r="M133" s="53"/>
      <c r="N133" s="133"/>
      <c r="O133" s="283" t="str">
        <f t="shared" si="7"/>
        <v/>
      </c>
      <c r="P133" s="296" t="str">
        <f t="shared" si="8"/>
        <v/>
      </c>
      <c r="Q133" s="334" t="str">
        <f>IFERROR(IF(P133="Check Data ⚠","Check Data ⚠",VLOOKUP(P133,'G-4 Temporal multipliers'!$A$4:$C$37,3,FALSE)),"")</f>
        <v/>
      </c>
      <c r="R133" s="275" t="str">
        <f>IF(C133="","",VLOOKUP(C133,'G-7 WaterC'' Data'!$B$4:$G$8,4,FALSE))</f>
        <v/>
      </c>
      <c r="S133" s="283" t="str">
        <f t="shared" si="9"/>
        <v/>
      </c>
      <c r="T133" s="314" t="str">
        <f t="shared" si="10"/>
        <v/>
      </c>
      <c r="U133" s="276" t="str">
        <f>IF(C133="","",VLOOKUP(T133,'G-3 Multipliers'!$P$2:$Q$6,2,FALSE))</f>
        <v/>
      </c>
      <c r="V133" s="102"/>
      <c r="W133" s="276" t="str">
        <f>IF(V133="","",IF(AND(V133="N/A - Culvert",C133&lt;&gt;"Culvert"),"Not possible ▲",IF(AND(C133="Culvert",V133&lt;&gt;"N/A - Culvert"),"Not possible ▲",IF(VLOOKUP(V133,'G-7 WaterC'' Data'!$AA$4:$AB$7,2,FALSE)=0,"Spatial Data Missing ⚠",VLOOKUP(V133,'G-7 WaterC'' Data'!$AA$4:$AB$7,2,FALSE)))))</f>
        <v/>
      </c>
      <c r="X133" s="56"/>
      <c r="Y133" s="276" t="str">
        <f>IF(X133="","",IF(AND(X133="N/A - Culvert",C133&lt;&gt;"Culvert"),"Not possible ▲",IF(AND(C133="Culvert",X133&lt;&gt;"N/A - Culvert"),"Not possible ▲",IF(VLOOKUP(X133,'G-7 WaterC'' Data'!$AD$4:$AE$14,2,FALSE)=0,"Enrcoachment Data Missing ⚠",VLOOKUP(X133,'G-7 WaterC'' Data'!$AD$4:$AE$14,2,FALSE)))))</f>
        <v/>
      </c>
      <c r="Z133" s="102"/>
      <c r="AA133" s="276" t="str">
        <f>IF(Z133="","",IF(VLOOKUP(Z133,'G-7 WaterC'' Data'!$AO$4:$BO$7,2,FALSE)=0,"Spatial Data Missing ⚠",VLOOKUP(Z133,'G-7 WaterC'' Data'!$AO$4:$BO$7,2,FALSE)))</f>
        <v/>
      </c>
      <c r="AB133" s="317" t="str">
        <f t="shared" si="11"/>
        <v/>
      </c>
      <c r="AC133" s="317" t="str">
        <f t="shared" si="12"/>
        <v/>
      </c>
      <c r="AD133" s="101"/>
      <c r="AE133" s="938"/>
      <c r="AF133" s="138"/>
      <c r="AG133" s="138"/>
      <c r="AH133" s="934"/>
      <c r="AL133" s="30" t="str">
        <f>IFERROR(INDEX('G-7 WaterC'' Data'!$AZ$3:$AZ$7,MATCH(C133,'G-7 WaterC'' Data'!$AY$3:$AY$7,0)),"")</f>
        <v/>
      </c>
      <c r="AN133" s="30" t="str">
        <f t="shared" si="13"/>
        <v>No</v>
      </c>
    </row>
    <row r="134" spans="2:40" ht="14">
      <c r="B134" s="97">
        <v>123</v>
      </c>
      <c r="C134" s="923"/>
      <c r="D134" s="115"/>
      <c r="E134" s="275" t="str">
        <f>IF(C134="","",VLOOKUP(C134,'G-7 WaterC'' Data'!$B$2:$Z$9,2,FALSE))</f>
        <v/>
      </c>
      <c r="F134" s="276" t="str">
        <f>IFERROR(VLOOKUP(E134,'G-7 WaterC'' Data'!$C$4:$D$8,2,FALSE),"")</f>
        <v/>
      </c>
      <c r="G134" s="52"/>
      <c r="H134" s="276" t="str">
        <f>IFERROR(INDEX('G-7 WaterC'' Data'!$H$4:$L$8,MATCH(C134,'G-7 WaterC'' Data'!$B$4:$B$8,0),MATCH(G134,'G-7 WaterC'' Data'!$H$3:$L$3,0)),"")</f>
        <v/>
      </c>
      <c r="I134" s="52"/>
      <c r="J134" s="314" t="str">
        <f>IF(I134="","",IF(VLOOKUP(I134,'G-7 WaterC'' Data'!$AK$4:$AM$6,2,FALSE)=0,"Spatial Data Missing ⚠",VLOOKUP(I134,'G-7 WaterC'' Data'!$AK$4:$AM$6,2,FALSE)))</f>
        <v/>
      </c>
      <c r="K134" s="276" t="str">
        <f>IF(I134="","",IF(VLOOKUP(I134,'G-7 WaterC'' Data'!$AK$4:$AM$6,3,FALSE)=0,"Spatial Data Missing ⚠",VLOOKUP(I134,'G-7 WaterC'' Data'!$AK$4:$AM$6,3,FALSE)))</f>
        <v/>
      </c>
      <c r="L134" s="372" t="str">
        <f>IFERROR(INDEX('G-7 WaterC'' Data'!$O$3:$O$7,MATCH(G134,'G-7 WaterC'' Data'!$N$3:$N$7,0)),"")</f>
        <v/>
      </c>
      <c r="M134" s="53"/>
      <c r="N134" s="133"/>
      <c r="O134" s="283" t="str">
        <f t="shared" si="7"/>
        <v/>
      </c>
      <c r="P134" s="296" t="str">
        <f t="shared" si="8"/>
        <v/>
      </c>
      <c r="Q134" s="334" t="str">
        <f>IFERROR(IF(P134="Check Data ⚠","Check Data ⚠",VLOOKUP(P134,'G-4 Temporal multipliers'!$A$4:$C$37,3,FALSE)),"")</f>
        <v/>
      </c>
      <c r="R134" s="275" t="str">
        <f>IF(C134="","",VLOOKUP(C134,'G-7 WaterC'' Data'!$B$4:$G$8,4,FALSE))</f>
        <v/>
      </c>
      <c r="S134" s="283" t="str">
        <f t="shared" si="9"/>
        <v/>
      </c>
      <c r="T134" s="314" t="str">
        <f t="shared" si="10"/>
        <v/>
      </c>
      <c r="U134" s="276" t="str">
        <f>IF(C134="","",VLOOKUP(T134,'G-3 Multipliers'!$P$2:$Q$6,2,FALSE))</f>
        <v/>
      </c>
      <c r="V134" s="102"/>
      <c r="W134" s="276" t="str">
        <f>IF(V134="","",IF(AND(V134="N/A - Culvert",C134&lt;&gt;"Culvert"),"Not possible ▲",IF(AND(C134="Culvert",V134&lt;&gt;"N/A - Culvert"),"Not possible ▲",IF(VLOOKUP(V134,'G-7 WaterC'' Data'!$AA$4:$AB$7,2,FALSE)=0,"Spatial Data Missing ⚠",VLOOKUP(V134,'G-7 WaterC'' Data'!$AA$4:$AB$7,2,FALSE)))))</f>
        <v/>
      </c>
      <c r="X134" s="56"/>
      <c r="Y134" s="276" t="str">
        <f>IF(X134="","",IF(AND(X134="N/A - Culvert",C134&lt;&gt;"Culvert"),"Not possible ▲",IF(AND(C134="Culvert",X134&lt;&gt;"N/A - Culvert"),"Not possible ▲",IF(VLOOKUP(X134,'G-7 WaterC'' Data'!$AD$4:$AE$14,2,FALSE)=0,"Enrcoachment Data Missing ⚠",VLOOKUP(X134,'G-7 WaterC'' Data'!$AD$4:$AE$14,2,FALSE)))))</f>
        <v/>
      </c>
      <c r="Z134" s="102"/>
      <c r="AA134" s="276" t="str">
        <f>IF(Z134="","",IF(VLOOKUP(Z134,'G-7 WaterC'' Data'!$AO$4:$BO$7,2,FALSE)=0,"Spatial Data Missing ⚠",VLOOKUP(Z134,'G-7 WaterC'' Data'!$AO$4:$BO$7,2,FALSE)))</f>
        <v/>
      </c>
      <c r="AB134" s="317" t="str">
        <f t="shared" si="11"/>
        <v/>
      </c>
      <c r="AC134" s="317" t="str">
        <f t="shared" si="12"/>
        <v/>
      </c>
      <c r="AD134" s="101"/>
      <c r="AE134" s="938"/>
      <c r="AF134" s="138"/>
      <c r="AG134" s="138"/>
      <c r="AH134" s="934"/>
      <c r="AL134" s="30" t="str">
        <f>IFERROR(INDEX('G-7 WaterC'' Data'!$AZ$3:$AZ$7,MATCH(C134,'G-7 WaterC'' Data'!$AY$3:$AY$7,0)),"")</f>
        <v/>
      </c>
      <c r="AN134" s="30" t="str">
        <f t="shared" si="13"/>
        <v>No</v>
      </c>
    </row>
    <row r="135" spans="2:40" ht="14">
      <c r="B135" s="97">
        <v>124</v>
      </c>
      <c r="C135" s="923"/>
      <c r="D135" s="115"/>
      <c r="E135" s="275" t="str">
        <f>IF(C135="","",VLOOKUP(C135,'G-7 WaterC'' Data'!$B$2:$Z$9,2,FALSE))</f>
        <v/>
      </c>
      <c r="F135" s="276" t="str">
        <f>IFERROR(VLOOKUP(E135,'G-7 WaterC'' Data'!$C$4:$D$8,2,FALSE),"")</f>
        <v/>
      </c>
      <c r="G135" s="52"/>
      <c r="H135" s="276" t="str">
        <f>IFERROR(INDEX('G-7 WaterC'' Data'!$H$4:$L$8,MATCH(C135,'G-7 WaterC'' Data'!$B$4:$B$8,0),MATCH(G135,'G-7 WaterC'' Data'!$H$3:$L$3,0)),"")</f>
        <v/>
      </c>
      <c r="I135" s="52"/>
      <c r="J135" s="314" t="str">
        <f>IF(I135="","",IF(VLOOKUP(I135,'G-7 WaterC'' Data'!$AK$4:$AM$6,2,FALSE)=0,"Spatial Data Missing ⚠",VLOOKUP(I135,'G-7 WaterC'' Data'!$AK$4:$AM$6,2,FALSE)))</f>
        <v/>
      </c>
      <c r="K135" s="276" t="str">
        <f>IF(I135="","",IF(VLOOKUP(I135,'G-7 WaterC'' Data'!$AK$4:$AM$6,3,FALSE)=0,"Spatial Data Missing ⚠",VLOOKUP(I135,'G-7 WaterC'' Data'!$AK$4:$AM$6,3,FALSE)))</f>
        <v/>
      </c>
      <c r="L135" s="372" t="str">
        <f>IFERROR(INDEX('G-7 WaterC'' Data'!$O$3:$O$7,MATCH(G135,'G-7 WaterC'' Data'!$N$3:$N$7,0)),"")</f>
        <v/>
      </c>
      <c r="M135" s="53"/>
      <c r="N135" s="133"/>
      <c r="O135" s="283" t="str">
        <f t="shared" si="7"/>
        <v/>
      </c>
      <c r="P135" s="296" t="str">
        <f t="shared" si="8"/>
        <v/>
      </c>
      <c r="Q135" s="334" t="str">
        <f>IFERROR(IF(P135="Check Data ⚠","Check Data ⚠",VLOOKUP(P135,'G-4 Temporal multipliers'!$A$4:$C$37,3,FALSE)),"")</f>
        <v/>
      </c>
      <c r="R135" s="275" t="str">
        <f>IF(C135="","",VLOOKUP(C135,'G-7 WaterC'' Data'!$B$4:$G$8,4,FALSE))</f>
        <v/>
      </c>
      <c r="S135" s="283" t="str">
        <f t="shared" si="9"/>
        <v/>
      </c>
      <c r="T135" s="314" t="str">
        <f t="shared" si="10"/>
        <v/>
      </c>
      <c r="U135" s="276" t="str">
        <f>IF(C135="","",VLOOKUP(T135,'G-3 Multipliers'!$P$2:$Q$6,2,FALSE))</f>
        <v/>
      </c>
      <c r="V135" s="102"/>
      <c r="W135" s="276" t="str">
        <f>IF(V135="","",IF(AND(V135="N/A - Culvert",C135&lt;&gt;"Culvert"),"Not possible ▲",IF(AND(C135="Culvert",V135&lt;&gt;"N/A - Culvert"),"Not possible ▲",IF(VLOOKUP(V135,'G-7 WaterC'' Data'!$AA$4:$AB$7,2,FALSE)=0,"Spatial Data Missing ⚠",VLOOKUP(V135,'G-7 WaterC'' Data'!$AA$4:$AB$7,2,FALSE)))))</f>
        <v/>
      </c>
      <c r="X135" s="56"/>
      <c r="Y135" s="276" t="str">
        <f>IF(X135="","",IF(AND(X135="N/A - Culvert",C135&lt;&gt;"Culvert"),"Not possible ▲",IF(AND(C135="Culvert",X135&lt;&gt;"N/A - Culvert"),"Not possible ▲",IF(VLOOKUP(X135,'G-7 WaterC'' Data'!$AD$4:$AE$14,2,FALSE)=0,"Enrcoachment Data Missing ⚠",VLOOKUP(X135,'G-7 WaterC'' Data'!$AD$4:$AE$14,2,FALSE)))))</f>
        <v/>
      </c>
      <c r="Z135" s="102"/>
      <c r="AA135" s="276" t="str">
        <f>IF(Z135="","",IF(VLOOKUP(Z135,'G-7 WaterC'' Data'!$AO$4:$BO$7,2,FALSE)=0,"Spatial Data Missing ⚠",VLOOKUP(Z135,'G-7 WaterC'' Data'!$AO$4:$BO$7,2,FALSE)))</f>
        <v/>
      </c>
      <c r="AB135" s="317" t="str">
        <f t="shared" si="11"/>
        <v/>
      </c>
      <c r="AC135" s="317" t="str">
        <f t="shared" si="12"/>
        <v/>
      </c>
      <c r="AD135" s="101"/>
      <c r="AE135" s="938"/>
      <c r="AF135" s="138"/>
      <c r="AG135" s="138"/>
      <c r="AH135" s="934"/>
      <c r="AL135" s="30" t="str">
        <f>IFERROR(INDEX('G-7 WaterC'' Data'!$AZ$3:$AZ$7,MATCH(C135,'G-7 WaterC'' Data'!$AY$3:$AY$7,0)),"")</f>
        <v/>
      </c>
      <c r="AN135" s="30" t="str">
        <f t="shared" si="13"/>
        <v>No</v>
      </c>
    </row>
    <row r="136" spans="2:40" ht="14">
      <c r="B136" s="97">
        <v>125</v>
      </c>
      <c r="C136" s="923"/>
      <c r="D136" s="115"/>
      <c r="E136" s="275" t="str">
        <f>IF(C136="","",VLOOKUP(C136,'G-7 WaterC'' Data'!$B$2:$Z$9,2,FALSE))</f>
        <v/>
      </c>
      <c r="F136" s="276" t="str">
        <f>IFERROR(VLOOKUP(E136,'G-7 WaterC'' Data'!$C$4:$D$8,2,FALSE),"")</f>
        <v/>
      </c>
      <c r="G136" s="52"/>
      <c r="H136" s="276" t="str">
        <f>IFERROR(INDEX('G-7 WaterC'' Data'!$H$4:$L$8,MATCH(C136,'G-7 WaterC'' Data'!$B$4:$B$8,0),MATCH(G136,'G-7 WaterC'' Data'!$H$3:$L$3,0)),"")</f>
        <v/>
      </c>
      <c r="I136" s="52"/>
      <c r="J136" s="314" t="str">
        <f>IF(I136="","",IF(VLOOKUP(I136,'G-7 WaterC'' Data'!$AK$4:$AM$6,2,FALSE)=0,"Spatial Data Missing ⚠",VLOOKUP(I136,'G-7 WaterC'' Data'!$AK$4:$AM$6,2,FALSE)))</f>
        <v/>
      </c>
      <c r="K136" s="276" t="str">
        <f>IF(I136="","",IF(VLOOKUP(I136,'G-7 WaterC'' Data'!$AK$4:$AM$6,3,FALSE)=0,"Spatial Data Missing ⚠",VLOOKUP(I136,'G-7 WaterC'' Data'!$AK$4:$AM$6,3,FALSE)))</f>
        <v/>
      </c>
      <c r="L136" s="372" t="str">
        <f>IFERROR(INDEX('G-7 WaterC'' Data'!$O$3:$O$7,MATCH(G136,'G-7 WaterC'' Data'!$N$3:$N$7,0)),"")</f>
        <v/>
      </c>
      <c r="M136" s="53"/>
      <c r="N136" s="133"/>
      <c r="O136" s="283" t="str">
        <f t="shared" si="7"/>
        <v/>
      </c>
      <c r="P136" s="296" t="str">
        <f t="shared" si="8"/>
        <v/>
      </c>
      <c r="Q136" s="334" t="str">
        <f>IFERROR(IF(P136="Check Data ⚠","Check Data ⚠",VLOOKUP(P136,'G-4 Temporal multipliers'!$A$4:$C$37,3,FALSE)),"")</f>
        <v/>
      </c>
      <c r="R136" s="275" t="str">
        <f>IF(C136="","",VLOOKUP(C136,'G-7 WaterC'' Data'!$B$4:$G$8,4,FALSE))</f>
        <v/>
      </c>
      <c r="S136" s="283" t="str">
        <f t="shared" si="9"/>
        <v/>
      </c>
      <c r="T136" s="314" t="str">
        <f t="shared" si="10"/>
        <v/>
      </c>
      <c r="U136" s="276" t="str">
        <f>IF(C136="","",VLOOKUP(T136,'G-3 Multipliers'!$P$2:$Q$6,2,FALSE))</f>
        <v/>
      </c>
      <c r="V136" s="102"/>
      <c r="W136" s="276" t="str">
        <f>IF(V136="","",IF(AND(V136="N/A - Culvert",C136&lt;&gt;"Culvert"),"Not possible ▲",IF(AND(C136="Culvert",V136&lt;&gt;"N/A - Culvert"),"Not possible ▲",IF(VLOOKUP(V136,'G-7 WaterC'' Data'!$AA$4:$AB$7,2,FALSE)=0,"Spatial Data Missing ⚠",VLOOKUP(V136,'G-7 WaterC'' Data'!$AA$4:$AB$7,2,FALSE)))))</f>
        <v/>
      </c>
      <c r="X136" s="56"/>
      <c r="Y136" s="276" t="str">
        <f>IF(X136="","",IF(AND(X136="N/A - Culvert",C136&lt;&gt;"Culvert"),"Not possible ▲",IF(AND(C136="Culvert",X136&lt;&gt;"N/A - Culvert"),"Not possible ▲",IF(VLOOKUP(X136,'G-7 WaterC'' Data'!$AD$4:$AE$14,2,FALSE)=0,"Enrcoachment Data Missing ⚠",VLOOKUP(X136,'G-7 WaterC'' Data'!$AD$4:$AE$14,2,FALSE)))))</f>
        <v/>
      </c>
      <c r="Z136" s="102"/>
      <c r="AA136" s="276" t="str">
        <f>IF(Z136="","",IF(VLOOKUP(Z136,'G-7 WaterC'' Data'!$AO$4:$BO$7,2,FALSE)=0,"Spatial Data Missing ⚠",VLOOKUP(Z136,'G-7 WaterC'' Data'!$AO$4:$BO$7,2,FALSE)))</f>
        <v/>
      </c>
      <c r="AB136" s="317" t="str">
        <f t="shared" si="11"/>
        <v/>
      </c>
      <c r="AC136" s="317" t="str">
        <f t="shared" si="12"/>
        <v/>
      </c>
      <c r="AD136" s="101"/>
      <c r="AE136" s="938"/>
      <c r="AF136" s="138"/>
      <c r="AG136" s="138"/>
      <c r="AH136" s="934"/>
      <c r="AL136" s="30" t="str">
        <f>IFERROR(INDEX('G-7 WaterC'' Data'!$AZ$3:$AZ$7,MATCH(C136,'G-7 WaterC'' Data'!$AY$3:$AY$7,0)),"")</f>
        <v/>
      </c>
      <c r="AN136" s="30" t="str">
        <f t="shared" si="13"/>
        <v>No</v>
      </c>
    </row>
    <row r="137" spans="2:40" ht="14">
      <c r="B137" s="97">
        <v>126</v>
      </c>
      <c r="C137" s="923"/>
      <c r="D137" s="115"/>
      <c r="E137" s="275" t="str">
        <f>IF(C137="","",VLOOKUP(C137,'G-7 WaterC'' Data'!$B$2:$Z$9,2,FALSE))</f>
        <v/>
      </c>
      <c r="F137" s="276" t="str">
        <f>IFERROR(VLOOKUP(E137,'G-7 WaterC'' Data'!$C$4:$D$8,2,FALSE),"")</f>
        <v/>
      </c>
      <c r="G137" s="52"/>
      <c r="H137" s="276" t="str">
        <f>IFERROR(INDEX('G-7 WaterC'' Data'!$H$4:$L$8,MATCH(C137,'G-7 WaterC'' Data'!$B$4:$B$8,0),MATCH(G137,'G-7 WaterC'' Data'!$H$3:$L$3,0)),"")</f>
        <v/>
      </c>
      <c r="I137" s="52"/>
      <c r="J137" s="314" t="str">
        <f>IF(I137="","",IF(VLOOKUP(I137,'G-7 WaterC'' Data'!$AK$4:$AM$6,2,FALSE)=0,"Spatial Data Missing ⚠",VLOOKUP(I137,'G-7 WaterC'' Data'!$AK$4:$AM$6,2,FALSE)))</f>
        <v/>
      </c>
      <c r="K137" s="276" t="str">
        <f>IF(I137="","",IF(VLOOKUP(I137,'G-7 WaterC'' Data'!$AK$4:$AM$6,3,FALSE)=0,"Spatial Data Missing ⚠",VLOOKUP(I137,'G-7 WaterC'' Data'!$AK$4:$AM$6,3,FALSE)))</f>
        <v/>
      </c>
      <c r="L137" s="372" t="str">
        <f>IFERROR(INDEX('G-7 WaterC'' Data'!$O$3:$O$7,MATCH(G137,'G-7 WaterC'' Data'!$N$3:$N$7,0)),"")</f>
        <v/>
      </c>
      <c r="M137" s="53"/>
      <c r="N137" s="133"/>
      <c r="O137" s="283" t="str">
        <f t="shared" si="7"/>
        <v/>
      </c>
      <c r="P137" s="296" t="str">
        <f t="shared" si="8"/>
        <v/>
      </c>
      <c r="Q137" s="334" t="str">
        <f>IFERROR(IF(P137="Check Data ⚠","Check Data ⚠",VLOOKUP(P137,'G-4 Temporal multipliers'!$A$4:$C$37,3,FALSE)),"")</f>
        <v/>
      </c>
      <c r="R137" s="275" t="str">
        <f>IF(C137="","",VLOOKUP(C137,'G-7 WaterC'' Data'!$B$4:$G$8,4,FALSE))</f>
        <v/>
      </c>
      <c r="S137" s="283" t="str">
        <f t="shared" si="9"/>
        <v/>
      </c>
      <c r="T137" s="314" t="str">
        <f t="shared" si="10"/>
        <v/>
      </c>
      <c r="U137" s="276" t="str">
        <f>IF(C137="","",VLOOKUP(T137,'G-3 Multipliers'!$P$2:$Q$6,2,FALSE))</f>
        <v/>
      </c>
      <c r="V137" s="102"/>
      <c r="W137" s="276" t="str">
        <f>IF(V137="","",IF(AND(V137="N/A - Culvert",C137&lt;&gt;"Culvert"),"Not possible ▲",IF(AND(C137="Culvert",V137&lt;&gt;"N/A - Culvert"),"Not possible ▲",IF(VLOOKUP(V137,'G-7 WaterC'' Data'!$AA$4:$AB$7,2,FALSE)=0,"Spatial Data Missing ⚠",VLOOKUP(V137,'G-7 WaterC'' Data'!$AA$4:$AB$7,2,FALSE)))))</f>
        <v/>
      </c>
      <c r="X137" s="56"/>
      <c r="Y137" s="276" t="str">
        <f>IF(X137="","",IF(AND(X137="N/A - Culvert",C137&lt;&gt;"Culvert"),"Not possible ▲",IF(AND(C137="Culvert",X137&lt;&gt;"N/A - Culvert"),"Not possible ▲",IF(VLOOKUP(X137,'G-7 WaterC'' Data'!$AD$4:$AE$14,2,FALSE)=0,"Enrcoachment Data Missing ⚠",VLOOKUP(X137,'G-7 WaterC'' Data'!$AD$4:$AE$14,2,FALSE)))))</f>
        <v/>
      </c>
      <c r="Z137" s="102"/>
      <c r="AA137" s="276" t="str">
        <f>IF(Z137="","",IF(VLOOKUP(Z137,'G-7 WaterC'' Data'!$AO$4:$BO$7,2,FALSE)=0,"Spatial Data Missing ⚠",VLOOKUP(Z137,'G-7 WaterC'' Data'!$AO$4:$BO$7,2,FALSE)))</f>
        <v/>
      </c>
      <c r="AB137" s="317" t="str">
        <f t="shared" si="11"/>
        <v/>
      </c>
      <c r="AC137" s="317" t="str">
        <f t="shared" si="12"/>
        <v/>
      </c>
      <c r="AD137" s="101"/>
      <c r="AE137" s="938"/>
      <c r="AF137" s="138"/>
      <c r="AG137" s="138"/>
      <c r="AH137" s="934"/>
      <c r="AL137" s="30" t="str">
        <f>IFERROR(INDEX('G-7 WaterC'' Data'!$AZ$3:$AZ$7,MATCH(C137,'G-7 WaterC'' Data'!$AY$3:$AY$7,0)),"")</f>
        <v/>
      </c>
      <c r="AN137" s="30" t="str">
        <f t="shared" si="13"/>
        <v>No</v>
      </c>
    </row>
    <row r="138" spans="2:40" ht="14">
      <c r="B138" s="97">
        <v>127</v>
      </c>
      <c r="C138" s="923"/>
      <c r="D138" s="115"/>
      <c r="E138" s="275" t="str">
        <f>IF(C138="","",VLOOKUP(C138,'G-7 WaterC'' Data'!$B$2:$Z$9,2,FALSE))</f>
        <v/>
      </c>
      <c r="F138" s="276" t="str">
        <f>IFERROR(VLOOKUP(E138,'G-7 WaterC'' Data'!$C$4:$D$8,2,FALSE),"")</f>
        <v/>
      </c>
      <c r="G138" s="52"/>
      <c r="H138" s="276" t="str">
        <f>IFERROR(INDEX('G-7 WaterC'' Data'!$H$4:$L$8,MATCH(C138,'G-7 WaterC'' Data'!$B$4:$B$8,0),MATCH(G138,'G-7 WaterC'' Data'!$H$3:$L$3,0)),"")</f>
        <v/>
      </c>
      <c r="I138" s="52"/>
      <c r="J138" s="314" t="str">
        <f>IF(I138="","",IF(VLOOKUP(I138,'G-7 WaterC'' Data'!$AK$4:$AM$6,2,FALSE)=0,"Spatial Data Missing ⚠",VLOOKUP(I138,'G-7 WaterC'' Data'!$AK$4:$AM$6,2,FALSE)))</f>
        <v/>
      </c>
      <c r="K138" s="276" t="str">
        <f>IF(I138="","",IF(VLOOKUP(I138,'G-7 WaterC'' Data'!$AK$4:$AM$6,3,FALSE)=0,"Spatial Data Missing ⚠",VLOOKUP(I138,'G-7 WaterC'' Data'!$AK$4:$AM$6,3,FALSE)))</f>
        <v/>
      </c>
      <c r="L138" s="372" t="str">
        <f>IFERROR(INDEX('G-7 WaterC'' Data'!$O$3:$O$7,MATCH(G138,'G-7 WaterC'' Data'!$N$3:$N$7,0)),"")</f>
        <v/>
      </c>
      <c r="M138" s="53"/>
      <c r="N138" s="133"/>
      <c r="O138" s="283" t="str">
        <f t="shared" si="7"/>
        <v/>
      </c>
      <c r="P138" s="296" t="str">
        <f t="shared" si="8"/>
        <v/>
      </c>
      <c r="Q138" s="334" t="str">
        <f>IFERROR(IF(P138="Check Data ⚠","Check Data ⚠",VLOOKUP(P138,'G-4 Temporal multipliers'!$A$4:$C$37,3,FALSE)),"")</f>
        <v/>
      </c>
      <c r="R138" s="275" t="str">
        <f>IF(C138="","",VLOOKUP(C138,'G-7 WaterC'' Data'!$B$4:$G$8,4,FALSE))</f>
        <v/>
      </c>
      <c r="S138" s="283" t="str">
        <f t="shared" si="9"/>
        <v/>
      </c>
      <c r="T138" s="314" t="str">
        <f t="shared" si="10"/>
        <v/>
      </c>
      <c r="U138" s="276" t="str">
        <f>IF(C138="","",VLOOKUP(T138,'G-3 Multipliers'!$P$2:$Q$6,2,FALSE))</f>
        <v/>
      </c>
      <c r="V138" s="102"/>
      <c r="W138" s="276" t="str">
        <f>IF(V138="","",IF(AND(V138="N/A - Culvert",C138&lt;&gt;"Culvert"),"Not possible ▲",IF(AND(C138="Culvert",V138&lt;&gt;"N/A - Culvert"),"Not possible ▲",IF(VLOOKUP(V138,'G-7 WaterC'' Data'!$AA$4:$AB$7,2,FALSE)=0,"Spatial Data Missing ⚠",VLOOKUP(V138,'G-7 WaterC'' Data'!$AA$4:$AB$7,2,FALSE)))))</f>
        <v/>
      </c>
      <c r="X138" s="56"/>
      <c r="Y138" s="276" t="str">
        <f>IF(X138="","",IF(AND(X138="N/A - Culvert",C138&lt;&gt;"Culvert"),"Not possible ▲",IF(AND(C138="Culvert",X138&lt;&gt;"N/A - Culvert"),"Not possible ▲",IF(VLOOKUP(X138,'G-7 WaterC'' Data'!$AD$4:$AE$14,2,FALSE)=0,"Enrcoachment Data Missing ⚠",VLOOKUP(X138,'G-7 WaterC'' Data'!$AD$4:$AE$14,2,FALSE)))))</f>
        <v/>
      </c>
      <c r="Z138" s="102"/>
      <c r="AA138" s="276" t="str">
        <f>IF(Z138="","",IF(VLOOKUP(Z138,'G-7 WaterC'' Data'!$AO$4:$BO$7,2,FALSE)=0,"Spatial Data Missing ⚠",VLOOKUP(Z138,'G-7 WaterC'' Data'!$AO$4:$BO$7,2,FALSE)))</f>
        <v/>
      </c>
      <c r="AB138" s="317" t="str">
        <f t="shared" si="11"/>
        <v/>
      </c>
      <c r="AC138" s="317" t="str">
        <f t="shared" si="12"/>
        <v/>
      </c>
      <c r="AD138" s="101"/>
      <c r="AE138" s="938"/>
      <c r="AF138" s="138"/>
      <c r="AG138" s="138"/>
      <c r="AH138" s="934"/>
      <c r="AL138" s="30" t="str">
        <f>IFERROR(INDEX('G-7 WaterC'' Data'!$AZ$3:$AZ$7,MATCH(C138,'G-7 WaterC'' Data'!$AY$3:$AY$7,0)),"")</f>
        <v/>
      </c>
      <c r="AN138" s="30" t="str">
        <f t="shared" si="13"/>
        <v>No</v>
      </c>
    </row>
    <row r="139" spans="2:40" ht="14">
      <c r="B139" s="97">
        <v>128</v>
      </c>
      <c r="C139" s="923"/>
      <c r="D139" s="115"/>
      <c r="E139" s="275" t="str">
        <f>IF(C139="","",VLOOKUP(C139,'G-7 WaterC'' Data'!$B$2:$Z$9,2,FALSE))</f>
        <v/>
      </c>
      <c r="F139" s="276" t="str">
        <f>IFERROR(VLOOKUP(E139,'G-7 WaterC'' Data'!$C$4:$D$8,2,FALSE),"")</f>
        <v/>
      </c>
      <c r="G139" s="52"/>
      <c r="H139" s="276" t="str">
        <f>IFERROR(INDEX('G-7 WaterC'' Data'!$H$4:$L$8,MATCH(C139,'G-7 WaterC'' Data'!$B$4:$B$8,0),MATCH(G139,'G-7 WaterC'' Data'!$H$3:$L$3,0)),"")</f>
        <v/>
      </c>
      <c r="I139" s="52"/>
      <c r="J139" s="314" t="str">
        <f>IF(I139="","",IF(VLOOKUP(I139,'G-7 WaterC'' Data'!$AK$4:$AM$6,2,FALSE)=0,"Spatial Data Missing ⚠",VLOOKUP(I139,'G-7 WaterC'' Data'!$AK$4:$AM$6,2,FALSE)))</f>
        <v/>
      </c>
      <c r="K139" s="276" t="str">
        <f>IF(I139="","",IF(VLOOKUP(I139,'G-7 WaterC'' Data'!$AK$4:$AM$6,3,FALSE)=0,"Spatial Data Missing ⚠",VLOOKUP(I139,'G-7 WaterC'' Data'!$AK$4:$AM$6,3,FALSE)))</f>
        <v/>
      </c>
      <c r="L139" s="372" t="str">
        <f>IFERROR(INDEX('G-7 WaterC'' Data'!$O$3:$O$7,MATCH(G139,'G-7 WaterC'' Data'!$N$3:$N$7,0)),"")</f>
        <v/>
      </c>
      <c r="M139" s="53"/>
      <c r="N139" s="133"/>
      <c r="O139" s="283" t="str">
        <f t="shared" si="7"/>
        <v/>
      </c>
      <c r="P139" s="296" t="str">
        <f t="shared" si="8"/>
        <v/>
      </c>
      <c r="Q139" s="334" t="str">
        <f>IFERROR(IF(P139="Check Data ⚠","Check Data ⚠",VLOOKUP(P139,'G-4 Temporal multipliers'!$A$4:$C$37,3,FALSE)),"")</f>
        <v/>
      </c>
      <c r="R139" s="275" t="str">
        <f>IF(C139="","",VLOOKUP(C139,'G-7 WaterC'' Data'!$B$4:$G$8,4,FALSE))</f>
        <v/>
      </c>
      <c r="S139" s="283" t="str">
        <f t="shared" si="9"/>
        <v/>
      </c>
      <c r="T139" s="314" t="str">
        <f t="shared" si="10"/>
        <v/>
      </c>
      <c r="U139" s="276" t="str">
        <f>IF(C139="","",VLOOKUP(T139,'G-3 Multipliers'!$P$2:$Q$6,2,FALSE))</f>
        <v/>
      </c>
      <c r="V139" s="102"/>
      <c r="W139" s="276" t="str">
        <f>IF(V139="","",IF(AND(V139="N/A - Culvert",C139&lt;&gt;"Culvert"),"Not possible ▲",IF(AND(C139="Culvert",V139&lt;&gt;"N/A - Culvert"),"Not possible ▲",IF(VLOOKUP(V139,'G-7 WaterC'' Data'!$AA$4:$AB$7,2,FALSE)=0,"Spatial Data Missing ⚠",VLOOKUP(V139,'G-7 WaterC'' Data'!$AA$4:$AB$7,2,FALSE)))))</f>
        <v/>
      </c>
      <c r="X139" s="56"/>
      <c r="Y139" s="276" t="str">
        <f>IF(X139="","",IF(AND(X139="N/A - Culvert",C139&lt;&gt;"Culvert"),"Not possible ▲",IF(AND(C139="Culvert",X139&lt;&gt;"N/A - Culvert"),"Not possible ▲",IF(VLOOKUP(X139,'G-7 WaterC'' Data'!$AD$4:$AE$14,2,FALSE)=0,"Enrcoachment Data Missing ⚠",VLOOKUP(X139,'G-7 WaterC'' Data'!$AD$4:$AE$14,2,FALSE)))))</f>
        <v/>
      </c>
      <c r="Z139" s="102"/>
      <c r="AA139" s="276" t="str">
        <f>IF(Z139="","",IF(VLOOKUP(Z139,'G-7 WaterC'' Data'!$AO$4:$BO$7,2,FALSE)=0,"Spatial Data Missing ⚠",VLOOKUP(Z139,'G-7 WaterC'' Data'!$AO$4:$BO$7,2,FALSE)))</f>
        <v/>
      </c>
      <c r="AB139" s="317" t="str">
        <f t="shared" si="11"/>
        <v/>
      </c>
      <c r="AC139" s="317" t="str">
        <f t="shared" si="12"/>
        <v/>
      </c>
      <c r="AD139" s="101"/>
      <c r="AE139" s="938"/>
      <c r="AF139" s="138"/>
      <c r="AG139" s="138"/>
      <c r="AH139" s="934"/>
      <c r="AL139" s="30" t="str">
        <f>IFERROR(INDEX('G-7 WaterC'' Data'!$AZ$3:$AZ$7,MATCH(C139,'G-7 WaterC'' Data'!$AY$3:$AY$7,0)),"")</f>
        <v/>
      </c>
      <c r="AN139" s="30" t="str">
        <f t="shared" si="13"/>
        <v>No</v>
      </c>
    </row>
    <row r="140" spans="2:40" ht="14">
      <c r="B140" s="97">
        <v>129</v>
      </c>
      <c r="C140" s="923"/>
      <c r="D140" s="115"/>
      <c r="E140" s="275" t="str">
        <f>IF(C140="","",VLOOKUP(C140,'G-7 WaterC'' Data'!$B$2:$Z$9,2,FALSE))</f>
        <v/>
      </c>
      <c r="F140" s="276" t="str">
        <f>IFERROR(VLOOKUP(E140,'G-7 WaterC'' Data'!$C$4:$D$8,2,FALSE),"")</f>
        <v/>
      </c>
      <c r="G140" s="52"/>
      <c r="H140" s="276" t="str">
        <f>IFERROR(INDEX('G-7 WaterC'' Data'!$H$4:$L$8,MATCH(C140,'G-7 WaterC'' Data'!$B$4:$B$8,0),MATCH(G140,'G-7 WaterC'' Data'!$H$3:$L$3,0)),"")</f>
        <v/>
      </c>
      <c r="I140" s="52"/>
      <c r="J140" s="314" t="str">
        <f>IF(I140="","",IF(VLOOKUP(I140,'G-7 WaterC'' Data'!$AK$4:$AM$6,2,FALSE)=0,"Spatial Data Missing ⚠",VLOOKUP(I140,'G-7 WaterC'' Data'!$AK$4:$AM$6,2,FALSE)))</f>
        <v/>
      </c>
      <c r="K140" s="276" t="str">
        <f>IF(I140="","",IF(VLOOKUP(I140,'G-7 WaterC'' Data'!$AK$4:$AM$6,3,FALSE)=0,"Spatial Data Missing ⚠",VLOOKUP(I140,'G-7 WaterC'' Data'!$AK$4:$AM$6,3,FALSE)))</f>
        <v/>
      </c>
      <c r="L140" s="372" t="str">
        <f>IFERROR(INDEX('G-7 WaterC'' Data'!$O$3:$O$7,MATCH(G140,'G-7 WaterC'' Data'!$N$3:$N$7,0)),"")</f>
        <v/>
      </c>
      <c r="M140" s="53"/>
      <c r="N140" s="133"/>
      <c r="O140" s="283" t="str">
        <f t="shared" si="7"/>
        <v/>
      </c>
      <c r="P140" s="296" t="str">
        <f t="shared" si="8"/>
        <v/>
      </c>
      <c r="Q140" s="334" t="str">
        <f>IFERROR(IF(P140="Check Data ⚠","Check Data ⚠",VLOOKUP(P140,'G-4 Temporal multipliers'!$A$4:$C$37,3,FALSE)),"")</f>
        <v/>
      </c>
      <c r="R140" s="275" t="str">
        <f>IF(C140="","",VLOOKUP(C140,'G-7 WaterC'' Data'!$B$4:$G$8,4,FALSE))</f>
        <v/>
      </c>
      <c r="S140" s="283" t="str">
        <f t="shared" si="9"/>
        <v/>
      </c>
      <c r="T140" s="314" t="str">
        <f t="shared" si="10"/>
        <v/>
      </c>
      <c r="U140" s="276" t="str">
        <f>IF(C140="","",VLOOKUP(T140,'G-3 Multipliers'!$P$2:$Q$6,2,FALSE))</f>
        <v/>
      </c>
      <c r="V140" s="102"/>
      <c r="W140" s="276" t="str">
        <f>IF(V140="","",IF(AND(V140="N/A - Culvert",C140&lt;&gt;"Culvert"),"Not possible ▲",IF(AND(C140="Culvert",V140&lt;&gt;"N/A - Culvert"),"Not possible ▲",IF(VLOOKUP(V140,'G-7 WaterC'' Data'!$AA$4:$AB$7,2,FALSE)=0,"Spatial Data Missing ⚠",VLOOKUP(V140,'G-7 WaterC'' Data'!$AA$4:$AB$7,2,FALSE)))))</f>
        <v/>
      </c>
      <c r="X140" s="56"/>
      <c r="Y140" s="276" t="str">
        <f>IF(X140="","",IF(AND(X140="N/A - Culvert",C140&lt;&gt;"Culvert"),"Not possible ▲",IF(AND(C140="Culvert",X140&lt;&gt;"N/A - Culvert"),"Not possible ▲",IF(VLOOKUP(X140,'G-7 WaterC'' Data'!$AD$4:$AE$14,2,FALSE)=0,"Enrcoachment Data Missing ⚠",VLOOKUP(X140,'G-7 WaterC'' Data'!$AD$4:$AE$14,2,FALSE)))))</f>
        <v/>
      </c>
      <c r="Z140" s="102"/>
      <c r="AA140" s="276" t="str">
        <f>IF(Z140="","",IF(VLOOKUP(Z140,'G-7 WaterC'' Data'!$AO$4:$BO$7,2,FALSE)=0,"Spatial Data Missing ⚠",VLOOKUP(Z140,'G-7 WaterC'' Data'!$AO$4:$BO$7,2,FALSE)))</f>
        <v/>
      </c>
      <c r="AB140" s="317" t="str">
        <f t="shared" si="11"/>
        <v/>
      </c>
      <c r="AC140" s="317" t="str">
        <f t="shared" si="12"/>
        <v/>
      </c>
      <c r="AD140" s="101"/>
      <c r="AE140" s="938"/>
      <c r="AF140" s="138"/>
      <c r="AG140" s="138"/>
      <c r="AH140" s="934"/>
      <c r="AL140" s="30" t="str">
        <f>IFERROR(INDEX('G-7 WaterC'' Data'!$AZ$3:$AZ$7,MATCH(C140,'G-7 WaterC'' Data'!$AY$3:$AY$7,0)),"")</f>
        <v/>
      </c>
      <c r="AN140" s="30" t="str">
        <f t="shared" si="13"/>
        <v>No</v>
      </c>
    </row>
    <row r="141" spans="2:40" ht="14">
      <c r="B141" s="97">
        <v>130</v>
      </c>
      <c r="C141" s="923"/>
      <c r="D141" s="115"/>
      <c r="E141" s="275" t="str">
        <f>IF(C141="","",VLOOKUP(C141,'G-7 WaterC'' Data'!$B$2:$Z$9,2,FALSE))</f>
        <v/>
      </c>
      <c r="F141" s="276" t="str">
        <f>IFERROR(VLOOKUP(E141,'G-7 WaterC'' Data'!$C$4:$D$8,2,FALSE),"")</f>
        <v/>
      </c>
      <c r="G141" s="52"/>
      <c r="H141" s="276" t="str">
        <f>IFERROR(INDEX('G-7 WaterC'' Data'!$H$4:$L$8,MATCH(C141,'G-7 WaterC'' Data'!$B$4:$B$8,0),MATCH(G141,'G-7 WaterC'' Data'!$H$3:$L$3,0)),"")</f>
        <v/>
      </c>
      <c r="I141" s="52"/>
      <c r="J141" s="314" t="str">
        <f>IF(I141="","",IF(VLOOKUP(I141,'G-7 WaterC'' Data'!$AK$4:$AM$6,2,FALSE)=0,"Spatial Data Missing ⚠",VLOOKUP(I141,'G-7 WaterC'' Data'!$AK$4:$AM$6,2,FALSE)))</f>
        <v/>
      </c>
      <c r="K141" s="276" t="str">
        <f>IF(I141="","",IF(VLOOKUP(I141,'G-7 WaterC'' Data'!$AK$4:$AM$6,3,FALSE)=0,"Spatial Data Missing ⚠",VLOOKUP(I141,'G-7 WaterC'' Data'!$AK$4:$AM$6,3,FALSE)))</f>
        <v/>
      </c>
      <c r="L141" s="372" t="str">
        <f>IFERROR(INDEX('G-7 WaterC'' Data'!$O$3:$O$7,MATCH(G141,'G-7 WaterC'' Data'!$N$3:$N$7,0)),"")</f>
        <v/>
      </c>
      <c r="M141" s="53"/>
      <c r="N141" s="133"/>
      <c r="O141" s="283" t="str">
        <f t="shared" si="14" ref="O141:O204">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296" t="str">
        <f t="shared" si="15" ref="P141:P204">IF(O141="Error -both advance and delayed habitat creation ▲","Check Data ⚠",IF(L141="","",IF(M141="30+",0,IF(N141="30+","30+",IF(L141+N141&gt;30,"30+",IF(L141+N141-M141&gt;0,L141+N141-M141,IF(L141-M141&lt;0,0,L141+N141-M141)))))))</f>
        <v/>
      </c>
      <c r="Q141" s="334" t="str">
        <f>IFERROR(IF(P141="Check Data ⚠","Check Data ⚠",VLOOKUP(P141,'G-4 Temporal multipliers'!$A$4:$C$37,3,FALSE)),"")</f>
        <v/>
      </c>
      <c r="R141" s="275" t="str">
        <f>IF(C141="","",VLOOKUP(C141,'G-7 WaterC'' Data'!$B$4:$G$8,4,FALSE))</f>
        <v/>
      </c>
      <c r="S141" s="283" t="str">
        <f t="shared" si="16" ref="S141:S204">IF(C141="","",IF(P141="Check Data ⚠","Check Data ⚠",IF(G141="","",IF($O141="Check details - Is there evidence that habitat has reached target condition? ⚠","No - Low Difficulty - only applicable if all habitat created before losses ⚠","Standard difficulty applied"))))</f>
        <v/>
      </c>
      <c r="T141" s="314" t="str">
        <f t="shared" si="17" ref="T141:T204">(IF(AND(S141="Standard difficulty applied",L141&gt;M141),R141,IF(AND(S141="No - Low Difficulty - only applicable if all habitat created before losses ⚠",M141&gt;=L141),"Low",R141)))</f>
        <v/>
      </c>
      <c r="U141" s="276" t="str">
        <f>IF(C141="","",VLOOKUP(T141,'G-3 Multipliers'!$P$2:$Q$6,2,FALSE))</f>
        <v/>
      </c>
      <c r="V141" s="102"/>
      <c r="W141" s="276" t="str">
        <f>IF(V141="","",IF(AND(V141="N/A - Culvert",C141&lt;&gt;"Culvert"),"Not possible ▲",IF(AND(C141="Culvert",V141&lt;&gt;"N/A - Culvert"),"Not possible ▲",IF(VLOOKUP(V141,'G-7 WaterC'' Data'!$AA$4:$AB$7,2,FALSE)=0,"Spatial Data Missing ⚠",VLOOKUP(V141,'G-7 WaterC'' Data'!$AA$4:$AB$7,2,FALSE)))))</f>
        <v/>
      </c>
      <c r="X141" s="56"/>
      <c r="Y141" s="276" t="str">
        <f>IF(X141="","",IF(AND(X141="N/A - Culvert",C141&lt;&gt;"Culvert"),"Not possible ▲",IF(AND(C141="Culvert",X141&lt;&gt;"N/A - Culvert"),"Not possible ▲",IF(VLOOKUP(X141,'G-7 WaterC'' Data'!$AD$4:$AE$14,2,FALSE)=0,"Enrcoachment Data Missing ⚠",VLOOKUP(X141,'G-7 WaterC'' Data'!$AD$4:$AE$14,2,FALSE)))))</f>
        <v/>
      </c>
      <c r="Z141" s="102"/>
      <c r="AA141" s="276" t="str">
        <f>IF(Z141="","",IF(VLOOKUP(Z141,'G-7 WaterC'' Data'!$AO$4:$BO$7,2,FALSE)=0,"Spatial Data Missing ⚠",VLOOKUP(Z141,'G-7 WaterC'' Data'!$AO$4:$BO$7,2,FALSE)))</f>
        <v/>
      </c>
      <c r="AB141" s="317" t="str">
        <f t="shared" si="18" ref="AB141:AB204">IFERROR(D141*F141*H141*K141*Q141*U141*W141*Y141*AA141,"")</f>
        <v/>
      </c>
      <c r="AC141" s="317" t="str">
        <f t="shared" si="19" ref="AC141:AC204">IFERROR(IF(AND(Z141&lt;&gt;"",AG141=""),"Off-site reference required ▲",(IF(Z141="","",D141*F141*H141*K141*Q141*U141*W141*Y141))),"")</f>
        <v/>
      </c>
      <c r="AD141" s="101"/>
      <c r="AE141" s="938"/>
      <c r="AF141" s="138"/>
      <c r="AG141" s="138"/>
      <c r="AH141" s="934"/>
      <c r="AL141" s="30" t="str">
        <f>IFERROR(INDEX('G-7 WaterC'' Data'!$AZ$3:$AZ$7,MATCH(C141,'G-7 WaterC'' Data'!$AY$3:$AY$7,0)),"")</f>
        <v/>
      </c>
      <c r="AN141" s="30" t="str">
        <f t="shared" si="20" ref="AN141:AN204">IF(AND(C141="Ditches",(OR(G141="Fairly Poor",G141="Fairly Good"))),"Yes","No")</f>
        <v>No</v>
      </c>
    </row>
    <row r="142" spans="2:40" ht="14">
      <c r="B142" s="97">
        <v>131</v>
      </c>
      <c r="C142" s="923"/>
      <c r="D142" s="115"/>
      <c r="E142" s="275" t="str">
        <f>IF(C142="","",VLOOKUP(C142,'G-7 WaterC'' Data'!$B$2:$Z$9,2,FALSE))</f>
        <v/>
      </c>
      <c r="F142" s="276" t="str">
        <f>IFERROR(VLOOKUP(E142,'G-7 WaterC'' Data'!$C$4:$D$8,2,FALSE),"")</f>
        <v/>
      </c>
      <c r="G142" s="52"/>
      <c r="H142" s="276" t="str">
        <f>IFERROR(INDEX('G-7 WaterC'' Data'!$H$4:$L$8,MATCH(C142,'G-7 WaterC'' Data'!$B$4:$B$8,0),MATCH(G142,'G-7 WaterC'' Data'!$H$3:$L$3,0)),"")</f>
        <v/>
      </c>
      <c r="I142" s="52"/>
      <c r="J142" s="314" t="str">
        <f>IF(I142="","",IF(VLOOKUP(I142,'G-7 WaterC'' Data'!$AK$4:$AM$6,2,FALSE)=0,"Spatial Data Missing ⚠",VLOOKUP(I142,'G-7 WaterC'' Data'!$AK$4:$AM$6,2,FALSE)))</f>
        <v/>
      </c>
      <c r="K142" s="276" t="str">
        <f>IF(I142="","",IF(VLOOKUP(I142,'G-7 WaterC'' Data'!$AK$4:$AM$6,3,FALSE)=0,"Spatial Data Missing ⚠",VLOOKUP(I142,'G-7 WaterC'' Data'!$AK$4:$AM$6,3,FALSE)))</f>
        <v/>
      </c>
      <c r="L142" s="372" t="str">
        <f>IFERROR(INDEX('G-7 WaterC'' Data'!$O$3:$O$7,MATCH(G142,'G-7 WaterC'' Data'!$N$3:$N$7,0)),"")</f>
        <v/>
      </c>
      <c r="M142" s="53"/>
      <c r="N142" s="133"/>
      <c r="O142" s="283" t="str">
        <f t="shared" si="14"/>
        <v/>
      </c>
      <c r="P142" s="296" t="str">
        <f t="shared" si="15"/>
        <v/>
      </c>
      <c r="Q142" s="334" t="str">
        <f>IFERROR(IF(P142="Check Data ⚠","Check Data ⚠",VLOOKUP(P142,'G-4 Temporal multipliers'!$A$4:$C$37,3,FALSE)),"")</f>
        <v/>
      </c>
      <c r="R142" s="275" t="str">
        <f>IF(C142="","",VLOOKUP(C142,'G-7 WaterC'' Data'!$B$4:$G$8,4,FALSE))</f>
        <v/>
      </c>
      <c r="S142" s="283" t="str">
        <f t="shared" si="16"/>
        <v/>
      </c>
      <c r="T142" s="314" t="str">
        <f t="shared" si="17"/>
        <v/>
      </c>
      <c r="U142" s="276" t="str">
        <f>IF(C142="","",VLOOKUP(T142,'G-3 Multipliers'!$P$2:$Q$6,2,FALSE))</f>
        <v/>
      </c>
      <c r="V142" s="102"/>
      <c r="W142" s="276" t="str">
        <f>IF(V142="","",IF(AND(V142="N/A - Culvert",C142&lt;&gt;"Culvert"),"Not possible ▲",IF(AND(C142="Culvert",V142&lt;&gt;"N/A - Culvert"),"Not possible ▲",IF(VLOOKUP(V142,'G-7 WaterC'' Data'!$AA$4:$AB$7,2,FALSE)=0,"Spatial Data Missing ⚠",VLOOKUP(V142,'G-7 WaterC'' Data'!$AA$4:$AB$7,2,FALSE)))))</f>
        <v/>
      </c>
      <c r="X142" s="56"/>
      <c r="Y142" s="276" t="str">
        <f>IF(X142="","",IF(AND(X142="N/A - Culvert",C142&lt;&gt;"Culvert"),"Not possible ▲",IF(AND(C142="Culvert",X142&lt;&gt;"N/A - Culvert"),"Not possible ▲",IF(VLOOKUP(X142,'G-7 WaterC'' Data'!$AD$4:$AE$14,2,FALSE)=0,"Enrcoachment Data Missing ⚠",VLOOKUP(X142,'G-7 WaterC'' Data'!$AD$4:$AE$14,2,FALSE)))))</f>
        <v/>
      </c>
      <c r="Z142" s="102"/>
      <c r="AA142" s="276" t="str">
        <f>IF(Z142="","",IF(VLOOKUP(Z142,'G-7 WaterC'' Data'!$AO$4:$BO$7,2,FALSE)=0,"Spatial Data Missing ⚠",VLOOKUP(Z142,'G-7 WaterC'' Data'!$AO$4:$BO$7,2,FALSE)))</f>
        <v/>
      </c>
      <c r="AB142" s="317" t="str">
        <f t="shared" si="18"/>
        <v/>
      </c>
      <c r="AC142" s="317" t="str">
        <f t="shared" si="19"/>
        <v/>
      </c>
      <c r="AD142" s="101"/>
      <c r="AE142" s="938"/>
      <c r="AF142" s="138"/>
      <c r="AG142" s="138"/>
      <c r="AH142" s="934"/>
      <c r="AL142" s="30" t="str">
        <f>IFERROR(INDEX('G-7 WaterC'' Data'!$AZ$3:$AZ$7,MATCH(C142,'G-7 WaterC'' Data'!$AY$3:$AY$7,0)),"")</f>
        <v/>
      </c>
      <c r="AN142" s="30" t="str">
        <f t="shared" si="20"/>
        <v>No</v>
      </c>
    </row>
    <row r="143" spans="2:40" ht="14">
      <c r="B143" s="97">
        <v>132</v>
      </c>
      <c r="C143" s="923"/>
      <c r="D143" s="115"/>
      <c r="E143" s="275" t="str">
        <f>IF(C143="","",VLOOKUP(C143,'G-7 WaterC'' Data'!$B$2:$Z$9,2,FALSE))</f>
        <v/>
      </c>
      <c r="F143" s="276" t="str">
        <f>IFERROR(VLOOKUP(E143,'G-7 WaterC'' Data'!$C$4:$D$8,2,FALSE),"")</f>
        <v/>
      </c>
      <c r="G143" s="52"/>
      <c r="H143" s="276" t="str">
        <f>IFERROR(INDEX('G-7 WaterC'' Data'!$H$4:$L$8,MATCH(C143,'G-7 WaterC'' Data'!$B$4:$B$8,0),MATCH(G143,'G-7 WaterC'' Data'!$H$3:$L$3,0)),"")</f>
        <v/>
      </c>
      <c r="I143" s="52"/>
      <c r="J143" s="314" t="str">
        <f>IF(I143="","",IF(VLOOKUP(I143,'G-7 WaterC'' Data'!$AK$4:$AM$6,2,FALSE)=0,"Spatial Data Missing ⚠",VLOOKUP(I143,'G-7 WaterC'' Data'!$AK$4:$AM$6,2,FALSE)))</f>
        <v/>
      </c>
      <c r="K143" s="276" t="str">
        <f>IF(I143="","",IF(VLOOKUP(I143,'G-7 WaterC'' Data'!$AK$4:$AM$6,3,FALSE)=0,"Spatial Data Missing ⚠",VLOOKUP(I143,'G-7 WaterC'' Data'!$AK$4:$AM$6,3,FALSE)))</f>
        <v/>
      </c>
      <c r="L143" s="372" t="str">
        <f>IFERROR(INDEX('G-7 WaterC'' Data'!$O$3:$O$7,MATCH(G143,'G-7 WaterC'' Data'!$N$3:$N$7,0)),"")</f>
        <v/>
      </c>
      <c r="M143" s="53"/>
      <c r="N143" s="133"/>
      <c r="O143" s="283" t="str">
        <f t="shared" si="14"/>
        <v/>
      </c>
      <c r="P143" s="296" t="str">
        <f t="shared" si="15"/>
        <v/>
      </c>
      <c r="Q143" s="334" t="str">
        <f>IFERROR(IF(P143="Check Data ⚠","Check Data ⚠",VLOOKUP(P143,'G-4 Temporal multipliers'!$A$4:$C$37,3,FALSE)),"")</f>
        <v/>
      </c>
      <c r="R143" s="275" t="str">
        <f>IF(C143="","",VLOOKUP(C143,'G-7 WaterC'' Data'!$B$4:$G$8,4,FALSE))</f>
        <v/>
      </c>
      <c r="S143" s="283" t="str">
        <f t="shared" si="16"/>
        <v/>
      </c>
      <c r="T143" s="314" t="str">
        <f t="shared" si="17"/>
        <v/>
      </c>
      <c r="U143" s="276" t="str">
        <f>IF(C143="","",VLOOKUP(T143,'G-3 Multipliers'!$P$2:$Q$6,2,FALSE))</f>
        <v/>
      </c>
      <c r="V143" s="102"/>
      <c r="W143" s="276" t="str">
        <f>IF(V143="","",IF(AND(V143="N/A - Culvert",C143&lt;&gt;"Culvert"),"Not possible ▲",IF(AND(C143="Culvert",V143&lt;&gt;"N/A - Culvert"),"Not possible ▲",IF(VLOOKUP(V143,'G-7 WaterC'' Data'!$AA$4:$AB$7,2,FALSE)=0,"Spatial Data Missing ⚠",VLOOKUP(V143,'G-7 WaterC'' Data'!$AA$4:$AB$7,2,FALSE)))))</f>
        <v/>
      </c>
      <c r="X143" s="56"/>
      <c r="Y143" s="276" t="str">
        <f>IF(X143="","",IF(AND(X143="N/A - Culvert",C143&lt;&gt;"Culvert"),"Not possible ▲",IF(AND(C143="Culvert",X143&lt;&gt;"N/A - Culvert"),"Not possible ▲",IF(VLOOKUP(X143,'G-7 WaterC'' Data'!$AD$4:$AE$14,2,FALSE)=0,"Enrcoachment Data Missing ⚠",VLOOKUP(X143,'G-7 WaterC'' Data'!$AD$4:$AE$14,2,FALSE)))))</f>
        <v/>
      </c>
      <c r="Z143" s="102"/>
      <c r="AA143" s="276" t="str">
        <f>IF(Z143="","",IF(VLOOKUP(Z143,'G-7 WaterC'' Data'!$AO$4:$BO$7,2,FALSE)=0,"Spatial Data Missing ⚠",VLOOKUP(Z143,'G-7 WaterC'' Data'!$AO$4:$BO$7,2,FALSE)))</f>
        <v/>
      </c>
      <c r="AB143" s="317" t="str">
        <f t="shared" si="18"/>
        <v/>
      </c>
      <c r="AC143" s="317" t="str">
        <f t="shared" si="19"/>
        <v/>
      </c>
      <c r="AD143" s="101"/>
      <c r="AE143" s="938"/>
      <c r="AF143" s="138"/>
      <c r="AG143" s="138"/>
      <c r="AH143" s="934"/>
      <c r="AL143" s="30" t="str">
        <f>IFERROR(INDEX('G-7 WaterC'' Data'!$AZ$3:$AZ$7,MATCH(C143,'G-7 WaterC'' Data'!$AY$3:$AY$7,0)),"")</f>
        <v/>
      </c>
      <c r="AN143" s="30" t="str">
        <f t="shared" si="20"/>
        <v>No</v>
      </c>
    </row>
    <row r="144" spans="2:40" ht="14">
      <c r="B144" s="97">
        <v>133</v>
      </c>
      <c r="C144" s="923"/>
      <c r="D144" s="115"/>
      <c r="E144" s="275" t="str">
        <f>IF(C144="","",VLOOKUP(C144,'G-7 WaterC'' Data'!$B$2:$Z$9,2,FALSE))</f>
        <v/>
      </c>
      <c r="F144" s="276" t="str">
        <f>IFERROR(VLOOKUP(E144,'G-7 WaterC'' Data'!$C$4:$D$8,2,FALSE),"")</f>
        <v/>
      </c>
      <c r="G144" s="52"/>
      <c r="H144" s="276" t="str">
        <f>IFERROR(INDEX('G-7 WaterC'' Data'!$H$4:$L$8,MATCH(C144,'G-7 WaterC'' Data'!$B$4:$B$8,0),MATCH(G144,'G-7 WaterC'' Data'!$H$3:$L$3,0)),"")</f>
        <v/>
      </c>
      <c r="I144" s="52"/>
      <c r="J144" s="314" t="str">
        <f>IF(I144="","",IF(VLOOKUP(I144,'G-7 WaterC'' Data'!$AK$4:$AM$6,2,FALSE)=0,"Spatial Data Missing ⚠",VLOOKUP(I144,'G-7 WaterC'' Data'!$AK$4:$AM$6,2,FALSE)))</f>
        <v/>
      </c>
      <c r="K144" s="276" t="str">
        <f>IF(I144="","",IF(VLOOKUP(I144,'G-7 WaterC'' Data'!$AK$4:$AM$6,3,FALSE)=0,"Spatial Data Missing ⚠",VLOOKUP(I144,'G-7 WaterC'' Data'!$AK$4:$AM$6,3,FALSE)))</f>
        <v/>
      </c>
      <c r="L144" s="372" t="str">
        <f>IFERROR(INDEX('G-7 WaterC'' Data'!$O$3:$O$7,MATCH(G144,'G-7 WaterC'' Data'!$N$3:$N$7,0)),"")</f>
        <v/>
      </c>
      <c r="M144" s="53"/>
      <c r="N144" s="133"/>
      <c r="O144" s="283" t="str">
        <f t="shared" si="14"/>
        <v/>
      </c>
      <c r="P144" s="296" t="str">
        <f t="shared" si="15"/>
        <v/>
      </c>
      <c r="Q144" s="334" t="str">
        <f>IFERROR(IF(P144="Check Data ⚠","Check Data ⚠",VLOOKUP(P144,'G-4 Temporal multipliers'!$A$4:$C$37,3,FALSE)),"")</f>
        <v/>
      </c>
      <c r="R144" s="275" t="str">
        <f>IF(C144="","",VLOOKUP(C144,'G-7 WaterC'' Data'!$B$4:$G$8,4,FALSE))</f>
        <v/>
      </c>
      <c r="S144" s="283" t="str">
        <f t="shared" si="16"/>
        <v/>
      </c>
      <c r="T144" s="314" t="str">
        <f t="shared" si="17"/>
        <v/>
      </c>
      <c r="U144" s="276" t="str">
        <f>IF(C144="","",VLOOKUP(T144,'G-3 Multipliers'!$P$2:$Q$6,2,FALSE))</f>
        <v/>
      </c>
      <c r="V144" s="102"/>
      <c r="W144" s="276" t="str">
        <f>IF(V144="","",IF(AND(V144="N/A - Culvert",C144&lt;&gt;"Culvert"),"Not possible ▲",IF(AND(C144="Culvert",V144&lt;&gt;"N/A - Culvert"),"Not possible ▲",IF(VLOOKUP(V144,'G-7 WaterC'' Data'!$AA$4:$AB$7,2,FALSE)=0,"Spatial Data Missing ⚠",VLOOKUP(V144,'G-7 WaterC'' Data'!$AA$4:$AB$7,2,FALSE)))))</f>
        <v/>
      </c>
      <c r="X144" s="56"/>
      <c r="Y144" s="276" t="str">
        <f>IF(X144="","",IF(AND(X144="N/A - Culvert",C144&lt;&gt;"Culvert"),"Not possible ▲",IF(AND(C144="Culvert",X144&lt;&gt;"N/A - Culvert"),"Not possible ▲",IF(VLOOKUP(X144,'G-7 WaterC'' Data'!$AD$4:$AE$14,2,FALSE)=0,"Enrcoachment Data Missing ⚠",VLOOKUP(X144,'G-7 WaterC'' Data'!$AD$4:$AE$14,2,FALSE)))))</f>
        <v/>
      </c>
      <c r="Z144" s="102"/>
      <c r="AA144" s="276" t="str">
        <f>IF(Z144="","",IF(VLOOKUP(Z144,'G-7 WaterC'' Data'!$AO$4:$BO$7,2,FALSE)=0,"Spatial Data Missing ⚠",VLOOKUP(Z144,'G-7 WaterC'' Data'!$AO$4:$BO$7,2,FALSE)))</f>
        <v/>
      </c>
      <c r="AB144" s="317" t="str">
        <f t="shared" si="18"/>
        <v/>
      </c>
      <c r="AC144" s="317" t="str">
        <f t="shared" si="19"/>
        <v/>
      </c>
      <c r="AD144" s="101"/>
      <c r="AE144" s="938"/>
      <c r="AF144" s="138"/>
      <c r="AG144" s="138"/>
      <c r="AH144" s="934"/>
      <c r="AL144" s="30" t="str">
        <f>IFERROR(INDEX('G-7 WaterC'' Data'!$AZ$3:$AZ$7,MATCH(C144,'G-7 WaterC'' Data'!$AY$3:$AY$7,0)),"")</f>
        <v/>
      </c>
      <c r="AN144" s="30" t="str">
        <f t="shared" si="20"/>
        <v>No</v>
      </c>
    </row>
    <row r="145" spans="2:40" ht="14">
      <c r="B145" s="97">
        <v>134</v>
      </c>
      <c r="C145" s="923"/>
      <c r="D145" s="115"/>
      <c r="E145" s="275" t="str">
        <f>IF(C145="","",VLOOKUP(C145,'G-7 WaterC'' Data'!$B$2:$Z$9,2,FALSE))</f>
        <v/>
      </c>
      <c r="F145" s="276" t="str">
        <f>IFERROR(VLOOKUP(E145,'G-7 WaterC'' Data'!$C$4:$D$8,2,FALSE),"")</f>
        <v/>
      </c>
      <c r="G145" s="52"/>
      <c r="H145" s="276" t="str">
        <f>IFERROR(INDEX('G-7 WaterC'' Data'!$H$4:$L$8,MATCH(C145,'G-7 WaterC'' Data'!$B$4:$B$8,0),MATCH(G145,'G-7 WaterC'' Data'!$H$3:$L$3,0)),"")</f>
        <v/>
      </c>
      <c r="I145" s="52"/>
      <c r="J145" s="314" t="str">
        <f>IF(I145="","",IF(VLOOKUP(I145,'G-7 WaterC'' Data'!$AK$4:$AM$6,2,FALSE)=0,"Spatial Data Missing ⚠",VLOOKUP(I145,'G-7 WaterC'' Data'!$AK$4:$AM$6,2,FALSE)))</f>
        <v/>
      </c>
      <c r="K145" s="276" t="str">
        <f>IF(I145="","",IF(VLOOKUP(I145,'G-7 WaterC'' Data'!$AK$4:$AM$6,3,FALSE)=0,"Spatial Data Missing ⚠",VLOOKUP(I145,'G-7 WaterC'' Data'!$AK$4:$AM$6,3,FALSE)))</f>
        <v/>
      </c>
      <c r="L145" s="372" t="str">
        <f>IFERROR(INDEX('G-7 WaterC'' Data'!$O$3:$O$7,MATCH(G145,'G-7 WaterC'' Data'!$N$3:$N$7,0)),"")</f>
        <v/>
      </c>
      <c r="M145" s="53"/>
      <c r="N145" s="133"/>
      <c r="O145" s="283" t="str">
        <f t="shared" si="14"/>
        <v/>
      </c>
      <c r="P145" s="296" t="str">
        <f t="shared" si="15"/>
        <v/>
      </c>
      <c r="Q145" s="334" t="str">
        <f>IFERROR(IF(P145="Check Data ⚠","Check Data ⚠",VLOOKUP(P145,'G-4 Temporal multipliers'!$A$4:$C$37,3,FALSE)),"")</f>
        <v/>
      </c>
      <c r="R145" s="275" t="str">
        <f>IF(C145="","",VLOOKUP(C145,'G-7 WaterC'' Data'!$B$4:$G$8,4,FALSE))</f>
        <v/>
      </c>
      <c r="S145" s="283" t="str">
        <f t="shared" si="16"/>
        <v/>
      </c>
      <c r="T145" s="314" t="str">
        <f t="shared" si="17"/>
        <v/>
      </c>
      <c r="U145" s="276" t="str">
        <f>IF(C145="","",VLOOKUP(T145,'G-3 Multipliers'!$P$2:$Q$6,2,FALSE))</f>
        <v/>
      </c>
      <c r="V145" s="102"/>
      <c r="W145" s="276" t="str">
        <f>IF(V145="","",IF(AND(V145="N/A - Culvert",C145&lt;&gt;"Culvert"),"Not possible ▲",IF(AND(C145="Culvert",V145&lt;&gt;"N/A - Culvert"),"Not possible ▲",IF(VLOOKUP(V145,'G-7 WaterC'' Data'!$AA$4:$AB$7,2,FALSE)=0,"Spatial Data Missing ⚠",VLOOKUP(V145,'G-7 WaterC'' Data'!$AA$4:$AB$7,2,FALSE)))))</f>
        <v/>
      </c>
      <c r="X145" s="56"/>
      <c r="Y145" s="276" t="str">
        <f>IF(X145="","",IF(AND(X145="N/A - Culvert",C145&lt;&gt;"Culvert"),"Not possible ▲",IF(AND(C145="Culvert",X145&lt;&gt;"N/A - Culvert"),"Not possible ▲",IF(VLOOKUP(X145,'G-7 WaterC'' Data'!$AD$4:$AE$14,2,FALSE)=0,"Enrcoachment Data Missing ⚠",VLOOKUP(X145,'G-7 WaterC'' Data'!$AD$4:$AE$14,2,FALSE)))))</f>
        <v/>
      </c>
      <c r="Z145" s="102"/>
      <c r="AA145" s="276" t="str">
        <f>IF(Z145="","",IF(VLOOKUP(Z145,'G-7 WaterC'' Data'!$AO$4:$BO$7,2,FALSE)=0,"Spatial Data Missing ⚠",VLOOKUP(Z145,'G-7 WaterC'' Data'!$AO$4:$BO$7,2,FALSE)))</f>
        <v/>
      </c>
      <c r="AB145" s="317" t="str">
        <f t="shared" si="18"/>
        <v/>
      </c>
      <c r="AC145" s="317" t="str">
        <f t="shared" si="19"/>
        <v/>
      </c>
      <c r="AD145" s="101"/>
      <c r="AE145" s="938"/>
      <c r="AF145" s="138"/>
      <c r="AG145" s="138"/>
      <c r="AH145" s="934"/>
      <c r="AL145" s="30" t="str">
        <f>IFERROR(INDEX('G-7 WaterC'' Data'!$AZ$3:$AZ$7,MATCH(C145,'G-7 WaterC'' Data'!$AY$3:$AY$7,0)),"")</f>
        <v/>
      </c>
      <c r="AN145" s="30" t="str">
        <f t="shared" si="20"/>
        <v>No</v>
      </c>
    </row>
    <row r="146" spans="2:40" ht="14">
      <c r="B146" s="97">
        <v>135</v>
      </c>
      <c r="C146" s="923"/>
      <c r="D146" s="115"/>
      <c r="E146" s="275" t="str">
        <f>IF(C146="","",VLOOKUP(C146,'G-7 WaterC'' Data'!$B$2:$Z$9,2,FALSE))</f>
        <v/>
      </c>
      <c r="F146" s="276" t="str">
        <f>IFERROR(VLOOKUP(E146,'G-7 WaterC'' Data'!$C$4:$D$8,2,FALSE),"")</f>
        <v/>
      </c>
      <c r="G146" s="52"/>
      <c r="H146" s="276" t="str">
        <f>IFERROR(INDEX('G-7 WaterC'' Data'!$H$4:$L$8,MATCH(C146,'G-7 WaterC'' Data'!$B$4:$B$8,0),MATCH(G146,'G-7 WaterC'' Data'!$H$3:$L$3,0)),"")</f>
        <v/>
      </c>
      <c r="I146" s="52"/>
      <c r="J146" s="314" t="str">
        <f>IF(I146="","",IF(VLOOKUP(I146,'G-7 WaterC'' Data'!$AK$4:$AM$6,2,FALSE)=0,"Spatial Data Missing ⚠",VLOOKUP(I146,'G-7 WaterC'' Data'!$AK$4:$AM$6,2,FALSE)))</f>
        <v/>
      </c>
      <c r="K146" s="276" t="str">
        <f>IF(I146="","",IF(VLOOKUP(I146,'G-7 WaterC'' Data'!$AK$4:$AM$6,3,FALSE)=0,"Spatial Data Missing ⚠",VLOOKUP(I146,'G-7 WaterC'' Data'!$AK$4:$AM$6,3,FALSE)))</f>
        <v/>
      </c>
      <c r="L146" s="372" t="str">
        <f>IFERROR(INDEX('G-7 WaterC'' Data'!$O$3:$O$7,MATCH(G146,'G-7 WaterC'' Data'!$N$3:$N$7,0)),"")</f>
        <v/>
      </c>
      <c r="M146" s="53"/>
      <c r="N146" s="133"/>
      <c r="O146" s="283" t="str">
        <f t="shared" si="14"/>
        <v/>
      </c>
      <c r="P146" s="296" t="str">
        <f t="shared" si="15"/>
        <v/>
      </c>
      <c r="Q146" s="334" t="str">
        <f>IFERROR(IF(P146="Check Data ⚠","Check Data ⚠",VLOOKUP(P146,'G-4 Temporal multipliers'!$A$4:$C$37,3,FALSE)),"")</f>
        <v/>
      </c>
      <c r="R146" s="275" t="str">
        <f>IF(C146="","",VLOOKUP(C146,'G-7 WaterC'' Data'!$B$4:$G$8,4,FALSE))</f>
        <v/>
      </c>
      <c r="S146" s="283" t="str">
        <f t="shared" si="16"/>
        <v/>
      </c>
      <c r="T146" s="314" t="str">
        <f t="shared" si="17"/>
        <v/>
      </c>
      <c r="U146" s="276" t="str">
        <f>IF(C146="","",VLOOKUP(T146,'G-3 Multipliers'!$P$2:$Q$6,2,FALSE))</f>
        <v/>
      </c>
      <c r="V146" s="102"/>
      <c r="W146" s="276" t="str">
        <f>IF(V146="","",IF(AND(V146="N/A - Culvert",C146&lt;&gt;"Culvert"),"Not possible ▲",IF(AND(C146="Culvert",V146&lt;&gt;"N/A - Culvert"),"Not possible ▲",IF(VLOOKUP(V146,'G-7 WaterC'' Data'!$AA$4:$AB$7,2,FALSE)=0,"Spatial Data Missing ⚠",VLOOKUP(V146,'G-7 WaterC'' Data'!$AA$4:$AB$7,2,FALSE)))))</f>
        <v/>
      </c>
      <c r="X146" s="56"/>
      <c r="Y146" s="276" t="str">
        <f>IF(X146="","",IF(AND(X146="N/A - Culvert",C146&lt;&gt;"Culvert"),"Not possible ▲",IF(AND(C146="Culvert",X146&lt;&gt;"N/A - Culvert"),"Not possible ▲",IF(VLOOKUP(X146,'G-7 WaterC'' Data'!$AD$4:$AE$14,2,FALSE)=0,"Enrcoachment Data Missing ⚠",VLOOKUP(X146,'G-7 WaterC'' Data'!$AD$4:$AE$14,2,FALSE)))))</f>
        <v/>
      </c>
      <c r="Z146" s="102"/>
      <c r="AA146" s="276" t="str">
        <f>IF(Z146="","",IF(VLOOKUP(Z146,'G-7 WaterC'' Data'!$AO$4:$BO$7,2,FALSE)=0,"Spatial Data Missing ⚠",VLOOKUP(Z146,'G-7 WaterC'' Data'!$AO$4:$BO$7,2,FALSE)))</f>
        <v/>
      </c>
      <c r="AB146" s="317" t="str">
        <f t="shared" si="18"/>
        <v/>
      </c>
      <c r="AC146" s="317" t="str">
        <f t="shared" si="19"/>
        <v/>
      </c>
      <c r="AD146" s="101"/>
      <c r="AE146" s="938"/>
      <c r="AF146" s="138"/>
      <c r="AG146" s="138"/>
      <c r="AH146" s="934"/>
      <c r="AL146" s="30" t="str">
        <f>IFERROR(INDEX('G-7 WaterC'' Data'!$AZ$3:$AZ$7,MATCH(C146,'G-7 WaterC'' Data'!$AY$3:$AY$7,0)),"")</f>
        <v/>
      </c>
      <c r="AN146" s="30" t="str">
        <f t="shared" si="20"/>
        <v>No</v>
      </c>
    </row>
    <row r="147" spans="2:40" ht="14">
      <c r="B147" s="97">
        <v>136</v>
      </c>
      <c r="C147" s="923"/>
      <c r="D147" s="115"/>
      <c r="E147" s="275" t="str">
        <f>IF(C147="","",VLOOKUP(C147,'G-7 WaterC'' Data'!$B$2:$Z$9,2,FALSE))</f>
        <v/>
      </c>
      <c r="F147" s="276" t="str">
        <f>IFERROR(VLOOKUP(E147,'G-7 WaterC'' Data'!$C$4:$D$8,2,FALSE),"")</f>
        <v/>
      </c>
      <c r="G147" s="52"/>
      <c r="H147" s="276" t="str">
        <f>IFERROR(INDEX('G-7 WaterC'' Data'!$H$4:$L$8,MATCH(C147,'G-7 WaterC'' Data'!$B$4:$B$8,0),MATCH(G147,'G-7 WaterC'' Data'!$H$3:$L$3,0)),"")</f>
        <v/>
      </c>
      <c r="I147" s="52"/>
      <c r="J147" s="314" t="str">
        <f>IF(I147="","",IF(VLOOKUP(I147,'G-7 WaterC'' Data'!$AK$4:$AM$6,2,FALSE)=0,"Spatial Data Missing ⚠",VLOOKUP(I147,'G-7 WaterC'' Data'!$AK$4:$AM$6,2,FALSE)))</f>
        <v/>
      </c>
      <c r="K147" s="276" t="str">
        <f>IF(I147="","",IF(VLOOKUP(I147,'G-7 WaterC'' Data'!$AK$4:$AM$6,3,FALSE)=0,"Spatial Data Missing ⚠",VLOOKUP(I147,'G-7 WaterC'' Data'!$AK$4:$AM$6,3,FALSE)))</f>
        <v/>
      </c>
      <c r="L147" s="372" t="str">
        <f>IFERROR(INDEX('G-7 WaterC'' Data'!$O$3:$O$7,MATCH(G147,'G-7 WaterC'' Data'!$N$3:$N$7,0)),"")</f>
        <v/>
      </c>
      <c r="M147" s="53"/>
      <c r="N147" s="133"/>
      <c r="O147" s="283" t="str">
        <f t="shared" si="14"/>
        <v/>
      </c>
      <c r="P147" s="296" t="str">
        <f t="shared" si="15"/>
        <v/>
      </c>
      <c r="Q147" s="334" t="str">
        <f>IFERROR(IF(P147="Check Data ⚠","Check Data ⚠",VLOOKUP(P147,'G-4 Temporal multipliers'!$A$4:$C$37,3,FALSE)),"")</f>
        <v/>
      </c>
      <c r="R147" s="275" t="str">
        <f>IF(C147="","",VLOOKUP(C147,'G-7 WaterC'' Data'!$B$4:$G$8,4,FALSE))</f>
        <v/>
      </c>
      <c r="S147" s="283" t="str">
        <f t="shared" si="16"/>
        <v/>
      </c>
      <c r="T147" s="314" t="str">
        <f t="shared" si="17"/>
        <v/>
      </c>
      <c r="U147" s="276" t="str">
        <f>IF(C147="","",VLOOKUP(T147,'G-3 Multipliers'!$P$2:$Q$6,2,FALSE))</f>
        <v/>
      </c>
      <c r="V147" s="102"/>
      <c r="W147" s="276" t="str">
        <f>IF(V147="","",IF(AND(V147="N/A - Culvert",C147&lt;&gt;"Culvert"),"Not possible ▲",IF(AND(C147="Culvert",V147&lt;&gt;"N/A - Culvert"),"Not possible ▲",IF(VLOOKUP(V147,'G-7 WaterC'' Data'!$AA$4:$AB$7,2,FALSE)=0,"Spatial Data Missing ⚠",VLOOKUP(V147,'G-7 WaterC'' Data'!$AA$4:$AB$7,2,FALSE)))))</f>
        <v/>
      </c>
      <c r="X147" s="56"/>
      <c r="Y147" s="276" t="str">
        <f>IF(X147="","",IF(AND(X147="N/A - Culvert",C147&lt;&gt;"Culvert"),"Not possible ▲",IF(AND(C147="Culvert",X147&lt;&gt;"N/A - Culvert"),"Not possible ▲",IF(VLOOKUP(X147,'G-7 WaterC'' Data'!$AD$4:$AE$14,2,FALSE)=0,"Enrcoachment Data Missing ⚠",VLOOKUP(X147,'G-7 WaterC'' Data'!$AD$4:$AE$14,2,FALSE)))))</f>
        <v/>
      </c>
      <c r="Z147" s="102"/>
      <c r="AA147" s="276" t="str">
        <f>IF(Z147="","",IF(VLOOKUP(Z147,'G-7 WaterC'' Data'!$AO$4:$BO$7,2,FALSE)=0,"Spatial Data Missing ⚠",VLOOKUP(Z147,'G-7 WaterC'' Data'!$AO$4:$BO$7,2,FALSE)))</f>
        <v/>
      </c>
      <c r="AB147" s="317" t="str">
        <f t="shared" si="18"/>
        <v/>
      </c>
      <c r="AC147" s="317" t="str">
        <f t="shared" si="19"/>
        <v/>
      </c>
      <c r="AD147" s="101"/>
      <c r="AE147" s="938"/>
      <c r="AF147" s="138"/>
      <c r="AG147" s="138"/>
      <c r="AH147" s="934"/>
      <c r="AL147" s="30" t="str">
        <f>IFERROR(INDEX('G-7 WaterC'' Data'!$AZ$3:$AZ$7,MATCH(C147,'G-7 WaterC'' Data'!$AY$3:$AY$7,0)),"")</f>
        <v/>
      </c>
      <c r="AN147" s="30" t="str">
        <f t="shared" si="20"/>
        <v>No</v>
      </c>
    </row>
    <row r="148" spans="2:40" ht="14">
      <c r="B148" s="97">
        <v>137</v>
      </c>
      <c r="C148" s="923"/>
      <c r="D148" s="115"/>
      <c r="E148" s="275" t="str">
        <f>IF(C148="","",VLOOKUP(C148,'G-7 WaterC'' Data'!$B$2:$Z$9,2,FALSE))</f>
        <v/>
      </c>
      <c r="F148" s="276" t="str">
        <f>IFERROR(VLOOKUP(E148,'G-7 WaterC'' Data'!$C$4:$D$8,2,FALSE),"")</f>
        <v/>
      </c>
      <c r="G148" s="52"/>
      <c r="H148" s="276" t="str">
        <f>IFERROR(INDEX('G-7 WaterC'' Data'!$H$4:$L$8,MATCH(C148,'G-7 WaterC'' Data'!$B$4:$B$8,0),MATCH(G148,'G-7 WaterC'' Data'!$H$3:$L$3,0)),"")</f>
        <v/>
      </c>
      <c r="I148" s="52"/>
      <c r="J148" s="314" t="str">
        <f>IF(I148="","",IF(VLOOKUP(I148,'G-7 WaterC'' Data'!$AK$4:$AM$6,2,FALSE)=0,"Spatial Data Missing ⚠",VLOOKUP(I148,'G-7 WaterC'' Data'!$AK$4:$AM$6,2,FALSE)))</f>
        <v/>
      </c>
      <c r="K148" s="276" t="str">
        <f>IF(I148="","",IF(VLOOKUP(I148,'G-7 WaterC'' Data'!$AK$4:$AM$6,3,FALSE)=0,"Spatial Data Missing ⚠",VLOOKUP(I148,'G-7 WaterC'' Data'!$AK$4:$AM$6,3,FALSE)))</f>
        <v/>
      </c>
      <c r="L148" s="372" t="str">
        <f>IFERROR(INDEX('G-7 WaterC'' Data'!$O$3:$O$7,MATCH(G148,'G-7 WaterC'' Data'!$N$3:$N$7,0)),"")</f>
        <v/>
      </c>
      <c r="M148" s="53"/>
      <c r="N148" s="133"/>
      <c r="O148" s="283" t="str">
        <f t="shared" si="14"/>
        <v/>
      </c>
      <c r="P148" s="296" t="str">
        <f t="shared" si="15"/>
        <v/>
      </c>
      <c r="Q148" s="334" t="str">
        <f>IFERROR(IF(P148="Check Data ⚠","Check Data ⚠",VLOOKUP(P148,'G-4 Temporal multipliers'!$A$4:$C$37,3,FALSE)),"")</f>
        <v/>
      </c>
      <c r="R148" s="275" t="str">
        <f>IF(C148="","",VLOOKUP(C148,'G-7 WaterC'' Data'!$B$4:$G$8,4,FALSE))</f>
        <v/>
      </c>
      <c r="S148" s="283" t="str">
        <f t="shared" si="16"/>
        <v/>
      </c>
      <c r="T148" s="314" t="str">
        <f t="shared" si="17"/>
        <v/>
      </c>
      <c r="U148" s="276" t="str">
        <f>IF(C148="","",VLOOKUP(T148,'G-3 Multipliers'!$P$2:$Q$6,2,FALSE))</f>
        <v/>
      </c>
      <c r="V148" s="102"/>
      <c r="W148" s="276" t="str">
        <f>IF(V148="","",IF(AND(V148="N/A - Culvert",C148&lt;&gt;"Culvert"),"Not possible ▲",IF(AND(C148="Culvert",V148&lt;&gt;"N/A - Culvert"),"Not possible ▲",IF(VLOOKUP(V148,'G-7 WaterC'' Data'!$AA$4:$AB$7,2,FALSE)=0,"Spatial Data Missing ⚠",VLOOKUP(V148,'G-7 WaterC'' Data'!$AA$4:$AB$7,2,FALSE)))))</f>
        <v/>
      </c>
      <c r="X148" s="56"/>
      <c r="Y148" s="276" t="str">
        <f>IF(X148="","",IF(AND(X148="N/A - Culvert",C148&lt;&gt;"Culvert"),"Not possible ▲",IF(AND(C148="Culvert",X148&lt;&gt;"N/A - Culvert"),"Not possible ▲",IF(VLOOKUP(X148,'G-7 WaterC'' Data'!$AD$4:$AE$14,2,FALSE)=0,"Enrcoachment Data Missing ⚠",VLOOKUP(X148,'G-7 WaterC'' Data'!$AD$4:$AE$14,2,FALSE)))))</f>
        <v/>
      </c>
      <c r="Z148" s="102"/>
      <c r="AA148" s="276" t="str">
        <f>IF(Z148="","",IF(VLOOKUP(Z148,'G-7 WaterC'' Data'!$AO$4:$BO$7,2,FALSE)=0,"Spatial Data Missing ⚠",VLOOKUP(Z148,'G-7 WaterC'' Data'!$AO$4:$BO$7,2,FALSE)))</f>
        <v/>
      </c>
      <c r="AB148" s="317" t="str">
        <f t="shared" si="18"/>
        <v/>
      </c>
      <c r="AC148" s="317" t="str">
        <f t="shared" si="19"/>
        <v/>
      </c>
      <c r="AD148" s="101"/>
      <c r="AE148" s="938"/>
      <c r="AF148" s="138"/>
      <c r="AG148" s="138"/>
      <c r="AH148" s="934"/>
      <c r="AL148" s="30" t="str">
        <f>IFERROR(INDEX('G-7 WaterC'' Data'!$AZ$3:$AZ$7,MATCH(C148,'G-7 WaterC'' Data'!$AY$3:$AY$7,0)),"")</f>
        <v/>
      </c>
      <c r="AN148" s="30" t="str">
        <f t="shared" si="20"/>
        <v>No</v>
      </c>
    </row>
    <row r="149" spans="2:40" ht="14">
      <c r="B149" s="97">
        <v>138</v>
      </c>
      <c r="C149" s="923"/>
      <c r="D149" s="115"/>
      <c r="E149" s="275" t="str">
        <f>IF(C149="","",VLOOKUP(C149,'G-7 WaterC'' Data'!$B$2:$Z$9,2,FALSE))</f>
        <v/>
      </c>
      <c r="F149" s="276" t="str">
        <f>IFERROR(VLOOKUP(E149,'G-7 WaterC'' Data'!$C$4:$D$8,2,FALSE),"")</f>
        <v/>
      </c>
      <c r="G149" s="52"/>
      <c r="H149" s="276" t="str">
        <f>IFERROR(INDEX('G-7 WaterC'' Data'!$H$4:$L$8,MATCH(C149,'G-7 WaterC'' Data'!$B$4:$B$8,0),MATCH(G149,'G-7 WaterC'' Data'!$H$3:$L$3,0)),"")</f>
        <v/>
      </c>
      <c r="I149" s="52"/>
      <c r="J149" s="314" t="str">
        <f>IF(I149="","",IF(VLOOKUP(I149,'G-7 WaterC'' Data'!$AK$4:$AM$6,2,FALSE)=0,"Spatial Data Missing ⚠",VLOOKUP(I149,'G-7 WaterC'' Data'!$AK$4:$AM$6,2,FALSE)))</f>
        <v/>
      </c>
      <c r="K149" s="276" t="str">
        <f>IF(I149="","",IF(VLOOKUP(I149,'G-7 WaterC'' Data'!$AK$4:$AM$6,3,FALSE)=0,"Spatial Data Missing ⚠",VLOOKUP(I149,'G-7 WaterC'' Data'!$AK$4:$AM$6,3,FALSE)))</f>
        <v/>
      </c>
      <c r="L149" s="372" t="str">
        <f>IFERROR(INDEX('G-7 WaterC'' Data'!$O$3:$O$7,MATCH(G149,'G-7 WaterC'' Data'!$N$3:$N$7,0)),"")</f>
        <v/>
      </c>
      <c r="M149" s="53"/>
      <c r="N149" s="133"/>
      <c r="O149" s="283" t="str">
        <f t="shared" si="14"/>
        <v/>
      </c>
      <c r="P149" s="296" t="str">
        <f t="shared" si="15"/>
        <v/>
      </c>
      <c r="Q149" s="334" t="str">
        <f>IFERROR(IF(P149="Check Data ⚠","Check Data ⚠",VLOOKUP(P149,'G-4 Temporal multipliers'!$A$4:$C$37,3,FALSE)),"")</f>
        <v/>
      </c>
      <c r="R149" s="275" t="str">
        <f>IF(C149="","",VLOOKUP(C149,'G-7 WaterC'' Data'!$B$4:$G$8,4,FALSE))</f>
        <v/>
      </c>
      <c r="S149" s="283" t="str">
        <f t="shared" si="16"/>
        <v/>
      </c>
      <c r="T149" s="314" t="str">
        <f t="shared" si="17"/>
        <v/>
      </c>
      <c r="U149" s="276" t="str">
        <f>IF(C149="","",VLOOKUP(T149,'G-3 Multipliers'!$P$2:$Q$6,2,FALSE))</f>
        <v/>
      </c>
      <c r="V149" s="102"/>
      <c r="W149" s="276" t="str">
        <f>IF(V149="","",IF(AND(V149="N/A - Culvert",C149&lt;&gt;"Culvert"),"Not possible ▲",IF(AND(C149="Culvert",V149&lt;&gt;"N/A - Culvert"),"Not possible ▲",IF(VLOOKUP(V149,'G-7 WaterC'' Data'!$AA$4:$AB$7,2,FALSE)=0,"Spatial Data Missing ⚠",VLOOKUP(V149,'G-7 WaterC'' Data'!$AA$4:$AB$7,2,FALSE)))))</f>
        <v/>
      </c>
      <c r="X149" s="56"/>
      <c r="Y149" s="276" t="str">
        <f>IF(X149="","",IF(AND(X149="N/A - Culvert",C149&lt;&gt;"Culvert"),"Not possible ▲",IF(AND(C149="Culvert",X149&lt;&gt;"N/A - Culvert"),"Not possible ▲",IF(VLOOKUP(X149,'G-7 WaterC'' Data'!$AD$4:$AE$14,2,FALSE)=0,"Enrcoachment Data Missing ⚠",VLOOKUP(X149,'G-7 WaterC'' Data'!$AD$4:$AE$14,2,FALSE)))))</f>
        <v/>
      </c>
      <c r="Z149" s="102"/>
      <c r="AA149" s="276" t="str">
        <f>IF(Z149="","",IF(VLOOKUP(Z149,'G-7 WaterC'' Data'!$AO$4:$BO$7,2,FALSE)=0,"Spatial Data Missing ⚠",VLOOKUP(Z149,'G-7 WaterC'' Data'!$AO$4:$BO$7,2,FALSE)))</f>
        <v/>
      </c>
      <c r="AB149" s="317" t="str">
        <f t="shared" si="18"/>
        <v/>
      </c>
      <c r="AC149" s="317" t="str">
        <f t="shared" si="19"/>
        <v/>
      </c>
      <c r="AD149" s="101"/>
      <c r="AE149" s="938"/>
      <c r="AF149" s="138"/>
      <c r="AG149" s="138"/>
      <c r="AH149" s="934"/>
      <c r="AL149" s="30" t="str">
        <f>IFERROR(INDEX('G-7 WaterC'' Data'!$AZ$3:$AZ$7,MATCH(C149,'G-7 WaterC'' Data'!$AY$3:$AY$7,0)),"")</f>
        <v/>
      </c>
      <c r="AN149" s="30" t="str">
        <f t="shared" si="20"/>
        <v>No</v>
      </c>
    </row>
    <row r="150" spans="2:40" ht="14">
      <c r="B150" s="97">
        <v>139</v>
      </c>
      <c r="C150" s="923"/>
      <c r="D150" s="115"/>
      <c r="E150" s="275" t="str">
        <f>IF(C150="","",VLOOKUP(C150,'G-7 WaterC'' Data'!$B$2:$Z$9,2,FALSE))</f>
        <v/>
      </c>
      <c r="F150" s="276" t="str">
        <f>IFERROR(VLOOKUP(E150,'G-7 WaterC'' Data'!$C$4:$D$8,2,FALSE),"")</f>
        <v/>
      </c>
      <c r="G150" s="52"/>
      <c r="H150" s="276" t="str">
        <f>IFERROR(INDEX('G-7 WaterC'' Data'!$H$4:$L$8,MATCH(C150,'G-7 WaterC'' Data'!$B$4:$B$8,0),MATCH(G150,'G-7 WaterC'' Data'!$H$3:$L$3,0)),"")</f>
        <v/>
      </c>
      <c r="I150" s="52"/>
      <c r="J150" s="314" t="str">
        <f>IF(I150="","",IF(VLOOKUP(I150,'G-7 WaterC'' Data'!$AK$4:$AM$6,2,FALSE)=0,"Spatial Data Missing ⚠",VLOOKUP(I150,'G-7 WaterC'' Data'!$AK$4:$AM$6,2,FALSE)))</f>
        <v/>
      </c>
      <c r="K150" s="276" t="str">
        <f>IF(I150="","",IF(VLOOKUP(I150,'G-7 WaterC'' Data'!$AK$4:$AM$6,3,FALSE)=0,"Spatial Data Missing ⚠",VLOOKUP(I150,'G-7 WaterC'' Data'!$AK$4:$AM$6,3,FALSE)))</f>
        <v/>
      </c>
      <c r="L150" s="372" t="str">
        <f>IFERROR(INDEX('G-7 WaterC'' Data'!$O$3:$O$7,MATCH(G150,'G-7 WaterC'' Data'!$N$3:$N$7,0)),"")</f>
        <v/>
      </c>
      <c r="M150" s="53"/>
      <c r="N150" s="133"/>
      <c r="O150" s="283" t="str">
        <f t="shared" si="14"/>
        <v/>
      </c>
      <c r="P150" s="296" t="str">
        <f t="shared" si="15"/>
        <v/>
      </c>
      <c r="Q150" s="334" t="str">
        <f>IFERROR(IF(P150="Check Data ⚠","Check Data ⚠",VLOOKUP(P150,'G-4 Temporal multipliers'!$A$4:$C$37,3,FALSE)),"")</f>
        <v/>
      </c>
      <c r="R150" s="275" t="str">
        <f>IF(C150="","",VLOOKUP(C150,'G-7 WaterC'' Data'!$B$4:$G$8,4,FALSE))</f>
        <v/>
      </c>
      <c r="S150" s="283" t="str">
        <f t="shared" si="16"/>
        <v/>
      </c>
      <c r="T150" s="314" t="str">
        <f t="shared" si="17"/>
        <v/>
      </c>
      <c r="U150" s="276" t="str">
        <f>IF(C150="","",VLOOKUP(T150,'G-3 Multipliers'!$P$2:$Q$6,2,FALSE))</f>
        <v/>
      </c>
      <c r="V150" s="102"/>
      <c r="W150" s="276" t="str">
        <f>IF(V150="","",IF(AND(V150="N/A - Culvert",C150&lt;&gt;"Culvert"),"Not possible ▲",IF(AND(C150="Culvert",V150&lt;&gt;"N/A - Culvert"),"Not possible ▲",IF(VLOOKUP(V150,'G-7 WaterC'' Data'!$AA$4:$AB$7,2,FALSE)=0,"Spatial Data Missing ⚠",VLOOKUP(V150,'G-7 WaterC'' Data'!$AA$4:$AB$7,2,FALSE)))))</f>
        <v/>
      </c>
      <c r="X150" s="56"/>
      <c r="Y150" s="276" t="str">
        <f>IF(X150="","",IF(AND(X150="N/A - Culvert",C150&lt;&gt;"Culvert"),"Not possible ▲",IF(AND(C150="Culvert",X150&lt;&gt;"N/A - Culvert"),"Not possible ▲",IF(VLOOKUP(X150,'G-7 WaterC'' Data'!$AD$4:$AE$14,2,FALSE)=0,"Enrcoachment Data Missing ⚠",VLOOKUP(X150,'G-7 WaterC'' Data'!$AD$4:$AE$14,2,FALSE)))))</f>
        <v/>
      </c>
      <c r="Z150" s="102"/>
      <c r="AA150" s="276" t="str">
        <f>IF(Z150="","",IF(VLOOKUP(Z150,'G-7 WaterC'' Data'!$AO$4:$BO$7,2,FALSE)=0,"Spatial Data Missing ⚠",VLOOKUP(Z150,'G-7 WaterC'' Data'!$AO$4:$BO$7,2,FALSE)))</f>
        <v/>
      </c>
      <c r="AB150" s="317" t="str">
        <f t="shared" si="18"/>
        <v/>
      </c>
      <c r="AC150" s="317" t="str">
        <f t="shared" si="19"/>
        <v/>
      </c>
      <c r="AD150" s="101"/>
      <c r="AE150" s="938"/>
      <c r="AF150" s="138"/>
      <c r="AG150" s="138"/>
      <c r="AH150" s="934"/>
      <c r="AL150" s="30" t="str">
        <f>IFERROR(INDEX('G-7 WaterC'' Data'!$AZ$3:$AZ$7,MATCH(C150,'G-7 WaterC'' Data'!$AY$3:$AY$7,0)),"")</f>
        <v/>
      </c>
      <c r="AN150" s="30" t="str">
        <f t="shared" si="20"/>
        <v>No</v>
      </c>
    </row>
    <row r="151" spans="2:40" ht="14">
      <c r="B151" s="97">
        <v>140</v>
      </c>
      <c r="C151" s="923"/>
      <c r="D151" s="115"/>
      <c r="E151" s="275" t="str">
        <f>IF(C151="","",VLOOKUP(C151,'G-7 WaterC'' Data'!$B$2:$Z$9,2,FALSE))</f>
        <v/>
      </c>
      <c r="F151" s="276" t="str">
        <f>IFERROR(VLOOKUP(E151,'G-7 WaterC'' Data'!$C$4:$D$8,2,FALSE),"")</f>
        <v/>
      </c>
      <c r="G151" s="52"/>
      <c r="H151" s="276" t="str">
        <f>IFERROR(INDEX('G-7 WaterC'' Data'!$H$4:$L$8,MATCH(C151,'G-7 WaterC'' Data'!$B$4:$B$8,0),MATCH(G151,'G-7 WaterC'' Data'!$H$3:$L$3,0)),"")</f>
        <v/>
      </c>
      <c r="I151" s="52"/>
      <c r="J151" s="314" t="str">
        <f>IF(I151="","",IF(VLOOKUP(I151,'G-7 WaterC'' Data'!$AK$4:$AM$6,2,FALSE)=0,"Spatial Data Missing ⚠",VLOOKUP(I151,'G-7 WaterC'' Data'!$AK$4:$AM$6,2,FALSE)))</f>
        <v/>
      </c>
      <c r="K151" s="276" t="str">
        <f>IF(I151="","",IF(VLOOKUP(I151,'G-7 WaterC'' Data'!$AK$4:$AM$6,3,FALSE)=0,"Spatial Data Missing ⚠",VLOOKUP(I151,'G-7 WaterC'' Data'!$AK$4:$AM$6,3,FALSE)))</f>
        <v/>
      </c>
      <c r="L151" s="372" t="str">
        <f>IFERROR(INDEX('G-7 WaterC'' Data'!$O$3:$O$7,MATCH(G151,'G-7 WaterC'' Data'!$N$3:$N$7,0)),"")</f>
        <v/>
      </c>
      <c r="M151" s="53"/>
      <c r="N151" s="133"/>
      <c r="O151" s="283" t="str">
        <f t="shared" si="14"/>
        <v/>
      </c>
      <c r="P151" s="296" t="str">
        <f t="shared" si="15"/>
        <v/>
      </c>
      <c r="Q151" s="334" t="str">
        <f>IFERROR(IF(P151="Check Data ⚠","Check Data ⚠",VLOOKUP(P151,'G-4 Temporal multipliers'!$A$4:$C$37,3,FALSE)),"")</f>
        <v/>
      </c>
      <c r="R151" s="275" t="str">
        <f>IF(C151="","",VLOOKUP(C151,'G-7 WaterC'' Data'!$B$4:$G$8,4,FALSE))</f>
        <v/>
      </c>
      <c r="S151" s="283" t="str">
        <f t="shared" si="16"/>
        <v/>
      </c>
      <c r="T151" s="314" t="str">
        <f t="shared" si="17"/>
        <v/>
      </c>
      <c r="U151" s="276" t="str">
        <f>IF(C151="","",VLOOKUP(T151,'G-3 Multipliers'!$P$2:$Q$6,2,FALSE))</f>
        <v/>
      </c>
      <c r="V151" s="102"/>
      <c r="W151" s="276" t="str">
        <f>IF(V151="","",IF(AND(V151="N/A - Culvert",C151&lt;&gt;"Culvert"),"Not possible ▲",IF(AND(C151="Culvert",V151&lt;&gt;"N/A - Culvert"),"Not possible ▲",IF(VLOOKUP(V151,'G-7 WaterC'' Data'!$AA$4:$AB$7,2,FALSE)=0,"Spatial Data Missing ⚠",VLOOKUP(V151,'G-7 WaterC'' Data'!$AA$4:$AB$7,2,FALSE)))))</f>
        <v/>
      </c>
      <c r="X151" s="56"/>
      <c r="Y151" s="276" t="str">
        <f>IF(X151="","",IF(AND(X151="N/A - Culvert",C151&lt;&gt;"Culvert"),"Not possible ▲",IF(AND(C151="Culvert",X151&lt;&gt;"N/A - Culvert"),"Not possible ▲",IF(VLOOKUP(X151,'G-7 WaterC'' Data'!$AD$4:$AE$14,2,FALSE)=0,"Enrcoachment Data Missing ⚠",VLOOKUP(X151,'G-7 WaterC'' Data'!$AD$4:$AE$14,2,FALSE)))))</f>
        <v/>
      </c>
      <c r="Z151" s="102"/>
      <c r="AA151" s="276" t="str">
        <f>IF(Z151="","",IF(VLOOKUP(Z151,'G-7 WaterC'' Data'!$AO$4:$BO$7,2,FALSE)=0,"Spatial Data Missing ⚠",VLOOKUP(Z151,'G-7 WaterC'' Data'!$AO$4:$BO$7,2,FALSE)))</f>
        <v/>
      </c>
      <c r="AB151" s="317" t="str">
        <f t="shared" si="18"/>
        <v/>
      </c>
      <c r="AC151" s="317" t="str">
        <f t="shared" si="19"/>
        <v/>
      </c>
      <c r="AD151" s="101"/>
      <c r="AE151" s="938"/>
      <c r="AF151" s="138"/>
      <c r="AG151" s="138"/>
      <c r="AH151" s="934"/>
      <c r="AL151" s="30" t="str">
        <f>IFERROR(INDEX('G-7 WaterC'' Data'!$AZ$3:$AZ$7,MATCH(C151,'G-7 WaterC'' Data'!$AY$3:$AY$7,0)),"")</f>
        <v/>
      </c>
      <c r="AN151" s="30" t="str">
        <f t="shared" si="20"/>
        <v>No</v>
      </c>
    </row>
    <row r="152" spans="2:40" ht="14">
      <c r="B152" s="97">
        <v>141</v>
      </c>
      <c r="C152" s="923"/>
      <c r="D152" s="115"/>
      <c r="E152" s="275" t="str">
        <f>IF(C152="","",VLOOKUP(C152,'G-7 WaterC'' Data'!$B$2:$Z$9,2,FALSE))</f>
        <v/>
      </c>
      <c r="F152" s="276" t="str">
        <f>IFERROR(VLOOKUP(E152,'G-7 WaterC'' Data'!$C$4:$D$8,2,FALSE),"")</f>
        <v/>
      </c>
      <c r="G152" s="52"/>
      <c r="H152" s="276" t="str">
        <f>IFERROR(INDEX('G-7 WaterC'' Data'!$H$4:$L$8,MATCH(C152,'G-7 WaterC'' Data'!$B$4:$B$8,0),MATCH(G152,'G-7 WaterC'' Data'!$H$3:$L$3,0)),"")</f>
        <v/>
      </c>
      <c r="I152" s="52"/>
      <c r="J152" s="314" t="str">
        <f>IF(I152="","",IF(VLOOKUP(I152,'G-7 WaterC'' Data'!$AK$4:$AM$6,2,FALSE)=0,"Spatial Data Missing ⚠",VLOOKUP(I152,'G-7 WaterC'' Data'!$AK$4:$AM$6,2,FALSE)))</f>
        <v/>
      </c>
      <c r="K152" s="276" t="str">
        <f>IF(I152="","",IF(VLOOKUP(I152,'G-7 WaterC'' Data'!$AK$4:$AM$6,3,FALSE)=0,"Spatial Data Missing ⚠",VLOOKUP(I152,'G-7 WaterC'' Data'!$AK$4:$AM$6,3,FALSE)))</f>
        <v/>
      </c>
      <c r="L152" s="372" t="str">
        <f>IFERROR(INDEX('G-7 WaterC'' Data'!$O$3:$O$7,MATCH(G152,'G-7 WaterC'' Data'!$N$3:$N$7,0)),"")</f>
        <v/>
      </c>
      <c r="M152" s="53"/>
      <c r="N152" s="133"/>
      <c r="O152" s="283" t="str">
        <f t="shared" si="14"/>
        <v/>
      </c>
      <c r="P152" s="296" t="str">
        <f t="shared" si="15"/>
        <v/>
      </c>
      <c r="Q152" s="334" t="str">
        <f>IFERROR(IF(P152="Check Data ⚠","Check Data ⚠",VLOOKUP(P152,'G-4 Temporal multipliers'!$A$4:$C$37,3,FALSE)),"")</f>
        <v/>
      </c>
      <c r="R152" s="275" t="str">
        <f>IF(C152="","",VLOOKUP(C152,'G-7 WaterC'' Data'!$B$4:$G$8,4,FALSE))</f>
        <v/>
      </c>
      <c r="S152" s="283" t="str">
        <f t="shared" si="16"/>
        <v/>
      </c>
      <c r="T152" s="314" t="str">
        <f t="shared" si="17"/>
        <v/>
      </c>
      <c r="U152" s="276" t="str">
        <f>IF(C152="","",VLOOKUP(T152,'G-3 Multipliers'!$P$2:$Q$6,2,FALSE))</f>
        <v/>
      </c>
      <c r="V152" s="102"/>
      <c r="W152" s="276" t="str">
        <f>IF(V152="","",IF(AND(V152="N/A - Culvert",C152&lt;&gt;"Culvert"),"Not possible ▲",IF(AND(C152="Culvert",V152&lt;&gt;"N/A - Culvert"),"Not possible ▲",IF(VLOOKUP(V152,'G-7 WaterC'' Data'!$AA$4:$AB$7,2,FALSE)=0,"Spatial Data Missing ⚠",VLOOKUP(V152,'G-7 WaterC'' Data'!$AA$4:$AB$7,2,FALSE)))))</f>
        <v/>
      </c>
      <c r="X152" s="56"/>
      <c r="Y152" s="276" t="str">
        <f>IF(X152="","",IF(AND(X152="N/A - Culvert",C152&lt;&gt;"Culvert"),"Not possible ▲",IF(AND(C152="Culvert",X152&lt;&gt;"N/A - Culvert"),"Not possible ▲",IF(VLOOKUP(X152,'G-7 WaterC'' Data'!$AD$4:$AE$14,2,FALSE)=0,"Enrcoachment Data Missing ⚠",VLOOKUP(X152,'G-7 WaterC'' Data'!$AD$4:$AE$14,2,FALSE)))))</f>
        <v/>
      </c>
      <c r="Z152" s="102"/>
      <c r="AA152" s="276" t="str">
        <f>IF(Z152="","",IF(VLOOKUP(Z152,'G-7 WaterC'' Data'!$AO$4:$BO$7,2,FALSE)=0,"Spatial Data Missing ⚠",VLOOKUP(Z152,'G-7 WaterC'' Data'!$AO$4:$BO$7,2,FALSE)))</f>
        <v/>
      </c>
      <c r="AB152" s="317" t="str">
        <f t="shared" si="18"/>
        <v/>
      </c>
      <c r="AC152" s="317" t="str">
        <f t="shared" si="19"/>
        <v/>
      </c>
      <c r="AD152" s="101"/>
      <c r="AE152" s="938"/>
      <c r="AF152" s="138"/>
      <c r="AG152" s="138"/>
      <c r="AH152" s="934"/>
      <c r="AL152" s="30" t="str">
        <f>IFERROR(INDEX('G-7 WaterC'' Data'!$AZ$3:$AZ$7,MATCH(C152,'G-7 WaterC'' Data'!$AY$3:$AY$7,0)),"")</f>
        <v/>
      </c>
      <c r="AN152" s="30" t="str">
        <f t="shared" si="20"/>
        <v>No</v>
      </c>
    </row>
    <row r="153" spans="2:40" ht="14">
      <c r="B153" s="97">
        <v>142</v>
      </c>
      <c r="C153" s="923"/>
      <c r="D153" s="115"/>
      <c r="E153" s="275" t="str">
        <f>IF(C153="","",VLOOKUP(C153,'G-7 WaterC'' Data'!$B$2:$Z$9,2,FALSE))</f>
        <v/>
      </c>
      <c r="F153" s="276" t="str">
        <f>IFERROR(VLOOKUP(E153,'G-7 WaterC'' Data'!$C$4:$D$8,2,FALSE),"")</f>
        <v/>
      </c>
      <c r="G153" s="52"/>
      <c r="H153" s="276" t="str">
        <f>IFERROR(INDEX('G-7 WaterC'' Data'!$H$4:$L$8,MATCH(C153,'G-7 WaterC'' Data'!$B$4:$B$8,0),MATCH(G153,'G-7 WaterC'' Data'!$H$3:$L$3,0)),"")</f>
        <v/>
      </c>
      <c r="I153" s="52"/>
      <c r="J153" s="314" t="str">
        <f>IF(I153="","",IF(VLOOKUP(I153,'G-7 WaterC'' Data'!$AK$4:$AM$6,2,FALSE)=0,"Spatial Data Missing ⚠",VLOOKUP(I153,'G-7 WaterC'' Data'!$AK$4:$AM$6,2,FALSE)))</f>
        <v/>
      </c>
      <c r="K153" s="276" t="str">
        <f>IF(I153="","",IF(VLOOKUP(I153,'G-7 WaterC'' Data'!$AK$4:$AM$6,3,FALSE)=0,"Spatial Data Missing ⚠",VLOOKUP(I153,'G-7 WaterC'' Data'!$AK$4:$AM$6,3,FALSE)))</f>
        <v/>
      </c>
      <c r="L153" s="372" t="str">
        <f>IFERROR(INDEX('G-7 WaterC'' Data'!$O$3:$O$7,MATCH(G153,'G-7 WaterC'' Data'!$N$3:$N$7,0)),"")</f>
        <v/>
      </c>
      <c r="M153" s="53"/>
      <c r="N153" s="133"/>
      <c r="O153" s="283" t="str">
        <f t="shared" si="14"/>
        <v/>
      </c>
      <c r="P153" s="296" t="str">
        <f t="shared" si="15"/>
        <v/>
      </c>
      <c r="Q153" s="334" t="str">
        <f>IFERROR(IF(P153="Check Data ⚠","Check Data ⚠",VLOOKUP(P153,'G-4 Temporal multipliers'!$A$4:$C$37,3,FALSE)),"")</f>
        <v/>
      </c>
      <c r="R153" s="275" t="str">
        <f>IF(C153="","",VLOOKUP(C153,'G-7 WaterC'' Data'!$B$4:$G$8,4,FALSE))</f>
        <v/>
      </c>
      <c r="S153" s="283" t="str">
        <f t="shared" si="16"/>
        <v/>
      </c>
      <c r="T153" s="314" t="str">
        <f t="shared" si="17"/>
        <v/>
      </c>
      <c r="U153" s="276" t="str">
        <f>IF(C153="","",VLOOKUP(T153,'G-3 Multipliers'!$P$2:$Q$6,2,FALSE))</f>
        <v/>
      </c>
      <c r="V153" s="102"/>
      <c r="W153" s="276" t="str">
        <f>IF(V153="","",IF(AND(V153="N/A - Culvert",C153&lt;&gt;"Culvert"),"Not possible ▲",IF(AND(C153="Culvert",V153&lt;&gt;"N/A - Culvert"),"Not possible ▲",IF(VLOOKUP(V153,'G-7 WaterC'' Data'!$AA$4:$AB$7,2,FALSE)=0,"Spatial Data Missing ⚠",VLOOKUP(V153,'G-7 WaterC'' Data'!$AA$4:$AB$7,2,FALSE)))))</f>
        <v/>
      </c>
      <c r="X153" s="56"/>
      <c r="Y153" s="276" t="str">
        <f>IF(X153="","",IF(AND(X153="N/A - Culvert",C153&lt;&gt;"Culvert"),"Not possible ▲",IF(AND(C153="Culvert",X153&lt;&gt;"N/A - Culvert"),"Not possible ▲",IF(VLOOKUP(X153,'G-7 WaterC'' Data'!$AD$4:$AE$14,2,FALSE)=0,"Enrcoachment Data Missing ⚠",VLOOKUP(X153,'G-7 WaterC'' Data'!$AD$4:$AE$14,2,FALSE)))))</f>
        <v/>
      </c>
      <c r="Z153" s="102"/>
      <c r="AA153" s="276" t="str">
        <f>IF(Z153="","",IF(VLOOKUP(Z153,'G-7 WaterC'' Data'!$AO$4:$BO$7,2,FALSE)=0,"Spatial Data Missing ⚠",VLOOKUP(Z153,'G-7 WaterC'' Data'!$AO$4:$BO$7,2,FALSE)))</f>
        <v/>
      </c>
      <c r="AB153" s="317" t="str">
        <f t="shared" si="18"/>
        <v/>
      </c>
      <c r="AC153" s="317" t="str">
        <f t="shared" si="19"/>
        <v/>
      </c>
      <c r="AD153" s="101"/>
      <c r="AE153" s="938"/>
      <c r="AF153" s="138"/>
      <c r="AG153" s="138"/>
      <c r="AH153" s="934"/>
      <c r="AL153" s="30" t="str">
        <f>IFERROR(INDEX('G-7 WaterC'' Data'!$AZ$3:$AZ$7,MATCH(C153,'G-7 WaterC'' Data'!$AY$3:$AY$7,0)),"")</f>
        <v/>
      </c>
      <c r="AN153" s="30" t="str">
        <f t="shared" si="20"/>
        <v>No</v>
      </c>
    </row>
    <row r="154" spans="2:40" ht="14">
      <c r="B154" s="97">
        <v>143</v>
      </c>
      <c r="C154" s="923"/>
      <c r="D154" s="115"/>
      <c r="E154" s="275" t="str">
        <f>IF(C154="","",VLOOKUP(C154,'G-7 WaterC'' Data'!$B$2:$Z$9,2,FALSE))</f>
        <v/>
      </c>
      <c r="F154" s="276" t="str">
        <f>IFERROR(VLOOKUP(E154,'G-7 WaterC'' Data'!$C$4:$D$8,2,FALSE),"")</f>
        <v/>
      </c>
      <c r="G154" s="52"/>
      <c r="H154" s="276" t="str">
        <f>IFERROR(INDEX('G-7 WaterC'' Data'!$H$4:$L$8,MATCH(C154,'G-7 WaterC'' Data'!$B$4:$B$8,0),MATCH(G154,'G-7 WaterC'' Data'!$H$3:$L$3,0)),"")</f>
        <v/>
      </c>
      <c r="I154" s="52"/>
      <c r="J154" s="314" t="str">
        <f>IF(I154="","",IF(VLOOKUP(I154,'G-7 WaterC'' Data'!$AK$4:$AM$6,2,FALSE)=0,"Spatial Data Missing ⚠",VLOOKUP(I154,'G-7 WaterC'' Data'!$AK$4:$AM$6,2,FALSE)))</f>
        <v/>
      </c>
      <c r="K154" s="276" t="str">
        <f>IF(I154="","",IF(VLOOKUP(I154,'G-7 WaterC'' Data'!$AK$4:$AM$6,3,FALSE)=0,"Spatial Data Missing ⚠",VLOOKUP(I154,'G-7 WaterC'' Data'!$AK$4:$AM$6,3,FALSE)))</f>
        <v/>
      </c>
      <c r="L154" s="372" t="str">
        <f>IFERROR(INDEX('G-7 WaterC'' Data'!$O$3:$O$7,MATCH(G154,'G-7 WaterC'' Data'!$N$3:$N$7,0)),"")</f>
        <v/>
      </c>
      <c r="M154" s="53"/>
      <c r="N154" s="133"/>
      <c r="O154" s="283" t="str">
        <f t="shared" si="14"/>
        <v/>
      </c>
      <c r="P154" s="296" t="str">
        <f t="shared" si="15"/>
        <v/>
      </c>
      <c r="Q154" s="334" t="str">
        <f>IFERROR(IF(P154="Check Data ⚠","Check Data ⚠",VLOOKUP(P154,'G-4 Temporal multipliers'!$A$4:$C$37,3,FALSE)),"")</f>
        <v/>
      </c>
      <c r="R154" s="275" t="str">
        <f>IF(C154="","",VLOOKUP(C154,'G-7 WaterC'' Data'!$B$4:$G$8,4,FALSE))</f>
        <v/>
      </c>
      <c r="S154" s="283" t="str">
        <f t="shared" si="16"/>
        <v/>
      </c>
      <c r="T154" s="314" t="str">
        <f t="shared" si="17"/>
        <v/>
      </c>
      <c r="U154" s="276" t="str">
        <f>IF(C154="","",VLOOKUP(T154,'G-3 Multipliers'!$P$2:$Q$6,2,FALSE))</f>
        <v/>
      </c>
      <c r="V154" s="102"/>
      <c r="W154" s="276" t="str">
        <f>IF(V154="","",IF(AND(V154="N/A - Culvert",C154&lt;&gt;"Culvert"),"Not possible ▲",IF(AND(C154="Culvert",V154&lt;&gt;"N/A - Culvert"),"Not possible ▲",IF(VLOOKUP(V154,'G-7 WaterC'' Data'!$AA$4:$AB$7,2,FALSE)=0,"Spatial Data Missing ⚠",VLOOKUP(V154,'G-7 WaterC'' Data'!$AA$4:$AB$7,2,FALSE)))))</f>
        <v/>
      </c>
      <c r="X154" s="56"/>
      <c r="Y154" s="276" t="str">
        <f>IF(X154="","",IF(AND(X154="N/A - Culvert",C154&lt;&gt;"Culvert"),"Not possible ▲",IF(AND(C154="Culvert",X154&lt;&gt;"N/A - Culvert"),"Not possible ▲",IF(VLOOKUP(X154,'G-7 WaterC'' Data'!$AD$4:$AE$14,2,FALSE)=0,"Enrcoachment Data Missing ⚠",VLOOKUP(X154,'G-7 WaterC'' Data'!$AD$4:$AE$14,2,FALSE)))))</f>
        <v/>
      </c>
      <c r="Z154" s="102"/>
      <c r="AA154" s="276" t="str">
        <f>IF(Z154="","",IF(VLOOKUP(Z154,'G-7 WaterC'' Data'!$AO$4:$BO$7,2,FALSE)=0,"Spatial Data Missing ⚠",VLOOKUP(Z154,'G-7 WaterC'' Data'!$AO$4:$BO$7,2,FALSE)))</f>
        <v/>
      </c>
      <c r="AB154" s="317" t="str">
        <f t="shared" si="18"/>
        <v/>
      </c>
      <c r="AC154" s="317" t="str">
        <f t="shared" si="19"/>
        <v/>
      </c>
      <c r="AD154" s="101"/>
      <c r="AE154" s="938"/>
      <c r="AF154" s="138"/>
      <c r="AG154" s="138"/>
      <c r="AH154" s="934"/>
      <c r="AL154" s="30" t="str">
        <f>IFERROR(INDEX('G-7 WaterC'' Data'!$AZ$3:$AZ$7,MATCH(C154,'G-7 WaterC'' Data'!$AY$3:$AY$7,0)),"")</f>
        <v/>
      </c>
      <c r="AN154" s="30" t="str">
        <f t="shared" si="20"/>
        <v>No</v>
      </c>
    </row>
    <row r="155" spans="2:40" ht="14">
      <c r="B155" s="97">
        <v>144</v>
      </c>
      <c r="C155" s="923"/>
      <c r="D155" s="115"/>
      <c r="E155" s="275" t="str">
        <f>IF(C155="","",VLOOKUP(C155,'G-7 WaterC'' Data'!$B$2:$Z$9,2,FALSE))</f>
        <v/>
      </c>
      <c r="F155" s="276" t="str">
        <f>IFERROR(VLOOKUP(E155,'G-7 WaterC'' Data'!$C$4:$D$8,2,FALSE),"")</f>
        <v/>
      </c>
      <c r="G155" s="52"/>
      <c r="H155" s="276" t="str">
        <f>IFERROR(INDEX('G-7 WaterC'' Data'!$H$4:$L$8,MATCH(C155,'G-7 WaterC'' Data'!$B$4:$B$8,0),MATCH(G155,'G-7 WaterC'' Data'!$H$3:$L$3,0)),"")</f>
        <v/>
      </c>
      <c r="I155" s="52"/>
      <c r="J155" s="314" t="str">
        <f>IF(I155="","",IF(VLOOKUP(I155,'G-7 WaterC'' Data'!$AK$4:$AM$6,2,FALSE)=0,"Spatial Data Missing ⚠",VLOOKUP(I155,'G-7 WaterC'' Data'!$AK$4:$AM$6,2,FALSE)))</f>
        <v/>
      </c>
      <c r="K155" s="276" t="str">
        <f>IF(I155="","",IF(VLOOKUP(I155,'G-7 WaterC'' Data'!$AK$4:$AM$6,3,FALSE)=0,"Spatial Data Missing ⚠",VLOOKUP(I155,'G-7 WaterC'' Data'!$AK$4:$AM$6,3,FALSE)))</f>
        <v/>
      </c>
      <c r="L155" s="372" t="str">
        <f>IFERROR(INDEX('G-7 WaterC'' Data'!$O$3:$O$7,MATCH(G155,'G-7 WaterC'' Data'!$N$3:$N$7,0)),"")</f>
        <v/>
      </c>
      <c r="M155" s="53"/>
      <c r="N155" s="133"/>
      <c r="O155" s="283" t="str">
        <f t="shared" si="14"/>
        <v/>
      </c>
      <c r="P155" s="296" t="str">
        <f t="shared" si="15"/>
        <v/>
      </c>
      <c r="Q155" s="334" t="str">
        <f>IFERROR(IF(P155="Check Data ⚠","Check Data ⚠",VLOOKUP(P155,'G-4 Temporal multipliers'!$A$4:$C$37,3,FALSE)),"")</f>
        <v/>
      </c>
      <c r="R155" s="275" t="str">
        <f>IF(C155="","",VLOOKUP(C155,'G-7 WaterC'' Data'!$B$4:$G$8,4,FALSE))</f>
        <v/>
      </c>
      <c r="S155" s="283" t="str">
        <f t="shared" si="16"/>
        <v/>
      </c>
      <c r="T155" s="314" t="str">
        <f t="shared" si="17"/>
        <v/>
      </c>
      <c r="U155" s="276" t="str">
        <f>IF(C155="","",VLOOKUP(T155,'G-3 Multipliers'!$P$2:$Q$6,2,FALSE))</f>
        <v/>
      </c>
      <c r="V155" s="102"/>
      <c r="W155" s="276" t="str">
        <f>IF(V155="","",IF(AND(V155="N/A - Culvert",C155&lt;&gt;"Culvert"),"Not possible ▲",IF(AND(C155="Culvert",V155&lt;&gt;"N/A - Culvert"),"Not possible ▲",IF(VLOOKUP(V155,'G-7 WaterC'' Data'!$AA$4:$AB$7,2,FALSE)=0,"Spatial Data Missing ⚠",VLOOKUP(V155,'G-7 WaterC'' Data'!$AA$4:$AB$7,2,FALSE)))))</f>
        <v/>
      </c>
      <c r="X155" s="56"/>
      <c r="Y155" s="276" t="str">
        <f>IF(X155="","",IF(AND(X155="N/A - Culvert",C155&lt;&gt;"Culvert"),"Not possible ▲",IF(AND(C155="Culvert",X155&lt;&gt;"N/A - Culvert"),"Not possible ▲",IF(VLOOKUP(X155,'G-7 WaterC'' Data'!$AD$4:$AE$14,2,FALSE)=0,"Enrcoachment Data Missing ⚠",VLOOKUP(X155,'G-7 WaterC'' Data'!$AD$4:$AE$14,2,FALSE)))))</f>
        <v/>
      </c>
      <c r="Z155" s="102"/>
      <c r="AA155" s="276" t="str">
        <f>IF(Z155="","",IF(VLOOKUP(Z155,'G-7 WaterC'' Data'!$AO$4:$BO$7,2,FALSE)=0,"Spatial Data Missing ⚠",VLOOKUP(Z155,'G-7 WaterC'' Data'!$AO$4:$BO$7,2,FALSE)))</f>
        <v/>
      </c>
      <c r="AB155" s="317" t="str">
        <f t="shared" si="18"/>
        <v/>
      </c>
      <c r="AC155" s="317" t="str">
        <f t="shared" si="19"/>
        <v/>
      </c>
      <c r="AD155" s="101"/>
      <c r="AE155" s="938"/>
      <c r="AF155" s="138"/>
      <c r="AG155" s="138"/>
      <c r="AH155" s="934"/>
      <c r="AL155" s="30" t="str">
        <f>IFERROR(INDEX('G-7 WaterC'' Data'!$AZ$3:$AZ$7,MATCH(C155,'G-7 WaterC'' Data'!$AY$3:$AY$7,0)),"")</f>
        <v/>
      </c>
      <c r="AN155" s="30" t="str">
        <f t="shared" si="20"/>
        <v>No</v>
      </c>
    </row>
    <row r="156" spans="2:40" ht="14">
      <c r="B156" s="97">
        <v>145</v>
      </c>
      <c r="C156" s="923"/>
      <c r="D156" s="115"/>
      <c r="E156" s="275" t="str">
        <f>IF(C156="","",VLOOKUP(C156,'G-7 WaterC'' Data'!$B$2:$Z$9,2,FALSE))</f>
        <v/>
      </c>
      <c r="F156" s="276" t="str">
        <f>IFERROR(VLOOKUP(E156,'G-7 WaterC'' Data'!$C$4:$D$8,2,FALSE),"")</f>
        <v/>
      </c>
      <c r="G156" s="52"/>
      <c r="H156" s="276" t="str">
        <f>IFERROR(INDEX('G-7 WaterC'' Data'!$H$4:$L$8,MATCH(C156,'G-7 WaterC'' Data'!$B$4:$B$8,0),MATCH(G156,'G-7 WaterC'' Data'!$H$3:$L$3,0)),"")</f>
        <v/>
      </c>
      <c r="I156" s="52"/>
      <c r="J156" s="314" t="str">
        <f>IF(I156="","",IF(VLOOKUP(I156,'G-7 WaterC'' Data'!$AK$4:$AM$6,2,FALSE)=0,"Spatial Data Missing ⚠",VLOOKUP(I156,'G-7 WaterC'' Data'!$AK$4:$AM$6,2,FALSE)))</f>
        <v/>
      </c>
      <c r="K156" s="276" t="str">
        <f>IF(I156="","",IF(VLOOKUP(I156,'G-7 WaterC'' Data'!$AK$4:$AM$6,3,FALSE)=0,"Spatial Data Missing ⚠",VLOOKUP(I156,'G-7 WaterC'' Data'!$AK$4:$AM$6,3,FALSE)))</f>
        <v/>
      </c>
      <c r="L156" s="372" t="str">
        <f>IFERROR(INDEX('G-7 WaterC'' Data'!$O$3:$O$7,MATCH(G156,'G-7 WaterC'' Data'!$N$3:$N$7,0)),"")</f>
        <v/>
      </c>
      <c r="M156" s="53"/>
      <c r="N156" s="133"/>
      <c r="O156" s="283" t="str">
        <f t="shared" si="14"/>
        <v/>
      </c>
      <c r="P156" s="296" t="str">
        <f t="shared" si="15"/>
        <v/>
      </c>
      <c r="Q156" s="334" t="str">
        <f>IFERROR(IF(P156="Check Data ⚠","Check Data ⚠",VLOOKUP(P156,'G-4 Temporal multipliers'!$A$4:$C$37,3,FALSE)),"")</f>
        <v/>
      </c>
      <c r="R156" s="275" t="str">
        <f>IF(C156="","",VLOOKUP(C156,'G-7 WaterC'' Data'!$B$4:$G$8,4,FALSE))</f>
        <v/>
      </c>
      <c r="S156" s="283" t="str">
        <f t="shared" si="16"/>
        <v/>
      </c>
      <c r="T156" s="314" t="str">
        <f t="shared" si="17"/>
        <v/>
      </c>
      <c r="U156" s="276" t="str">
        <f>IF(C156="","",VLOOKUP(T156,'G-3 Multipliers'!$P$2:$Q$6,2,FALSE))</f>
        <v/>
      </c>
      <c r="V156" s="102"/>
      <c r="W156" s="276" t="str">
        <f>IF(V156="","",IF(AND(V156="N/A - Culvert",C156&lt;&gt;"Culvert"),"Not possible ▲",IF(AND(C156="Culvert",V156&lt;&gt;"N/A - Culvert"),"Not possible ▲",IF(VLOOKUP(V156,'G-7 WaterC'' Data'!$AA$4:$AB$7,2,FALSE)=0,"Spatial Data Missing ⚠",VLOOKUP(V156,'G-7 WaterC'' Data'!$AA$4:$AB$7,2,FALSE)))))</f>
        <v/>
      </c>
      <c r="X156" s="56"/>
      <c r="Y156" s="276" t="str">
        <f>IF(X156="","",IF(AND(X156="N/A - Culvert",C156&lt;&gt;"Culvert"),"Not possible ▲",IF(AND(C156="Culvert",X156&lt;&gt;"N/A - Culvert"),"Not possible ▲",IF(VLOOKUP(X156,'G-7 WaterC'' Data'!$AD$4:$AE$14,2,FALSE)=0,"Enrcoachment Data Missing ⚠",VLOOKUP(X156,'G-7 WaterC'' Data'!$AD$4:$AE$14,2,FALSE)))))</f>
        <v/>
      </c>
      <c r="Z156" s="102"/>
      <c r="AA156" s="276" t="str">
        <f>IF(Z156="","",IF(VLOOKUP(Z156,'G-7 WaterC'' Data'!$AO$4:$BO$7,2,FALSE)=0,"Spatial Data Missing ⚠",VLOOKUP(Z156,'G-7 WaterC'' Data'!$AO$4:$BO$7,2,FALSE)))</f>
        <v/>
      </c>
      <c r="AB156" s="317" t="str">
        <f t="shared" si="18"/>
        <v/>
      </c>
      <c r="AC156" s="317" t="str">
        <f t="shared" si="19"/>
        <v/>
      </c>
      <c r="AD156" s="101"/>
      <c r="AE156" s="938"/>
      <c r="AF156" s="138"/>
      <c r="AG156" s="138"/>
      <c r="AH156" s="934"/>
      <c r="AL156" s="30" t="str">
        <f>IFERROR(INDEX('G-7 WaterC'' Data'!$AZ$3:$AZ$7,MATCH(C156,'G-7 WaterC'' Data'!$AY$3:$AY$7,0)),"")</f>
        <v/>
      </c>
      <c r="AN156" s="30" t="str">
        <f t="shared" si="20"/>
        <v>No</v>
      </c>
    </row>
    <row r="157" spans="2:40" ht="14">
      <c r="B157" s="97">
        <v>146</v>
      </c>
      <c r="C157" s="923"/>
      <c r="D157" s="115"/>
      <c r="E157" s="275" t="str">
        <f>IF(C157="","",VLOOKUP(C157,'G-7 WaterC'' Data'!$B$2:$Z$9,2,FALSE))</f>
        <v/>
      </c>
      <c r="F157" s="276" t="str">
        <f>IFERROR(VLOOKUP(E157,'G-7 WaterC'' Data'!$C$4:$D$8,2,FALSE),"")</f>
        <v/>
      </c>
      <c r="G157" s="52"/>
      <c r="H157" s="276" t="str">
        <f>IFERROR(INDEX('G-7 WaterC'' Data'!$H$4:$L$8,MATCH(C157,'G-7 WaterC'' Data'!$B$4:$B$8,0),MATCH(G157,'G-7 WaterC'' Data'!$H$3:$L$3,0)),"")</f>
        <v/>
      </c>
      <c r="I157" s="52"/>
      <c r="J157" s="314" t="str">
        <f>IF(I157="","",IF(VLOOKUP(I157,'G-7 WaterC'' Data'!$AK$4:$AM$6,2,FALSE)=0,"Spatial Data Missing ⚠",VLOOKUP(I157,'G-7 WaterC'' Data'!$AK$4:$AM$6,2,FALSE)))</f>
        <v/>
      </c>
      <c r="K157" s="276" t="str">
        <f>IF(I157="","",IF(VLOOKUP(I157,'G-7 WaterC'' Data'!$AK$4:$AM$6,3,FALSE)=0,"Spatial Data Missing ⚠",VLOOKUP(I157,'G-7 WaterC'' Data'!$AK$4:$AM$6,3,FALSE)))</f>
        <v/>
      </c>
      <c r="L157" s="372" t="str">
        <f>IFERROR(INDEX('G-7 WaterC'' Data'!$O$3:$O$7,MATCH(G157,'G-7 WaterC'' Data'!$N$3:$N$7,0)),"")</f>
        <v/>
      </c>
      <c r="M157" s="53"/>
      <c r="N157" s="133"/>
      <c r="O157" s="283" t="str">
        <f t="shared" si="14"/>
        <v/>
      </c>
      <c r="P157" s="296" t="str">
        <f t="shared" si="15"/>
        <v/>
      </c>
      <c r="Q157" s="334" t="str">
        <f>IFERROR(IF(P157="Check Data ⚠","Check Data ⚠",VLOOKUP(P157,'G-4 Temporal multipliers'!$A$4:$C$37,3,FALSE)),"")</f>
        <v/>
      </c>
      <c r="R157" s="275" t="str">
        <f>IF(C157="","",VLOOKUP(C157,'G-7 WaterC'' Data'!$B$4:$G$8,4,FALSE))</f>
        <v/>
      </c>
      <c r="S157" s="283" t="str">
        <f t="shared" si="16"/>
        <v/>
      </c>
      <c r="T157" s="314" t="str">
        <f t="shared" si="17"/>
        <v/>
      </c>
      <c r="U157" s="276" t="str">
        <f>IF(C157="","",VLOOKUP(T157,'G-3 Multipliers'!$P$2:$Q$6,2,FALSE))</f>
        <v/>
      </c>
      <c r="V157" s="102"/>
      <c r="W157" s="276" t="str">
        <f>IF(V157="","",IF(AND(V157="N/A - Culvert",C157&lt;&gt;"Culvert"),"Not possible ▲",IF(AND(C157="Culvert",V157&lt;&gt;"N/A - Culvert"),"Not possible ▲",IF(VLOOKUP(V157,'G-7 WaterC'' Data'!$AA$4:$AB$7,2,FALSE)=0,"Spatial Data Missing ⚠",VLOOKUP(V157,'G-7 WaterC'' Data'!$AA$4:$AB$7,2,FALSE)))))</f>
        <v/>
      </c>
      <c r="X157" s="56"/>
      <c r="Y157" s="276" t="str">
        <f>IF(X157="","",IF(AND(X157="N/A - Culvert",C157&lt;&gt;"Culvert"),"Not possible ▲",IF(AND(C157="Culvert",X157&lt;&gt;"N/A - Culvert"),"Not possible ▲",IF(VLOOKUP(X157,'G-7 WaterC'' Data'!$AD$4:$AE$14,2,FALSE)=0,"Enrcoachment Data Missing ⚠",VLOOKUP(X157,'G-7 WaterC'' Data'!$AD$4:$AE$14,2,FALSE)))))</f>
        <v/>
      </c>
      <c r="Z157" s="102"/>
      <c r="AA157" s="276" t="str">
        <f>IF(Z157="","",IF(VLOOKUP(Z157,'G-7 WaterC'' Data'!$AO$4:$BO$7,2,FALSE)=0,"Spatial Data Missing ⚠",VLOOKUP(Z157,'G-7 WaterC'' Data'!$AO$4:$BO$7,2,FALSE)))</f>
        <v/>
      </c>
      <c r="AB157" s="317" t="str">
        <f t="shared" si="18"/>
        <v/>
      </c>
      <c r="AC157" s="317" t="str">
        <f t="shared" si="19"/>
        <v/>
      </c>
      <c r="AD157" s="101"/>
      <c r="AE157" s="938"/>
      <c r="AF157" s="138"/>
      <c r="AG157" s="138"/>
      <c r="AH157" s="934"/>
      <c r="AL157" s="30" t="str">
        <f>IFERROR(INDEX('G-7 WaterC'' Data'!$AZ$3:$AZ$7,MATCH(C157,'G-7 WaterC'' Data'!$AY$3:$AY$7,0)),"")</f>
        <v/>
      </c>
      <c r="AN157" s="30" t="str">
        <f t="shared" si="20"/>
        <v>No</v>
      </c>
    </row>
    <row r="158" spans="2:40" ht="14">
      <c r="B158" s="97">
        <v>147</v>
      </c>
      <c r="C158" s="923"/>
      <c r="D158" s="115"/>
      <c r="E158" s="275" t="str">
        <f>IF(C158="","",VLOOKUP(C158,'G-7 WaterC'' Data'!$B$2:$Z$9,2,FALSE))</f>
        <v/>
      </c>
      <c r="F158" s="276" t="str">
        <f>IFERROR(VLOOKUP(E158,'G-7 WaterC'' Data'!$C$4:$D$8,2,FALSE),"")</f>
        <v/>
      </c>
      <c r="G158" s="52"/>
      <c r="H158" s="276" t="str">
        <f>IFERROR(INDEX('G-7 WaterC'' Data'!$H$4:$L$8,MATCH(C158,'G-7 WaterC'' Data'!$B$4:$B$8,0),MATCH(G158,'G-7 WaterC'' Data'!$H$3:$L$3,0)),"")</f>
        <v/>
      </c>
      <c r="I158" s="52"/>
      <c r="J158" s="314" t="str">
        <f>IF(I158="","",IF(VLOOKUP(I158,'G-7 WaterC'' Data'!$AK$4:$AM$6,2,FALSE)=0,"Spatial Data Missing ⚠",VLOOKUP(I158,'G-7 WaterC'' Data'!$AK$4:$AM$6,2,FALSE)))</f>
        <v/>
      </c>
      <c r="K158" s="276" t="str">
        <f>IF(I158="","",IF(VLOOKUP(I158,'G-7 WaterC'' Data'!$AK$4:$AM$6,3,FALSE)=0,"Spatial Data Missing ⚠",VLOOKUP(I158,'G-7 WaterC'' Data'!$AK$4:$AM$6,3,FALSE)))</f>
        <v/>
      </c>
      <c r="L158" s="372" t="str">
        <f>IFERROR(INDEX('G-7 WaterC'' Data'!$O$3:$O$7,MATCH(G158,'G-7 WaterC'' Data'!$N$3:$N$7,0)),"")</f>
        <v/>
      </c>
      <c r="M158" s="53"/>
      <c r="N158" s="133"/>
      <c r="O158" s="283" t="str">
        <f t="shared" si="14"/>
        <v/>
      </c>
      <c r="P158" s="296" t="str">
        <f t="shared" si="15"/>
        <v/>
      </c>
      <c r="Q158" s="334" t="str">
        <f>IFERROR(IF(P158="Check Data ⚠","Check Data ⚠",VLOOKUP(P158,'G-4 Temporal multipliers'!$A$4:$C$37,3,FALSE)),"")</f>
        <v/>
      </c>
      <c r="R158" s="275" t="str">
        <f>IF(C158="","",VLOOKUP(C158,'G-7 WaterC'' Data'!$B$4:$G$8,4,FALSE))</f>
        <v/>
      </c>
      <c r="S158" s="283" t="str">
        <f t="shared" si="16"/>
        <v/>
      </c>
      <c r="T158" s="314" t="str">
        <f t="shared" si="17"/>
        <v/>
      </c>
      <c r="U158" s="276" t="str">
        <f>IF(C158="","",VLOOKUP(T158,'G-3 Multipliers'!$P$2:$Q$6,2,FALSE))</f>
        <v/>
      </c>
      <c r="V158" s="102"/>
      <c r="W158" s="276" t="str">
        <f>IF(V158="","",IF(AND(V158="N/A - Culvert",C158&lt;&gt;"Culvert"),"Not possible ▲",IF(AND(C158="Culvert",V158&lt;&gt;"N/A - Culvert"),"Not possible ▲",IF(VLOOKUP(V158,'G-7 WaterC'' Data'!$AA$4:$AB$7,2,FALSE)=0,"Spatial Data Missing ⚠",VLOOKUP(V158,'G-7 WaterC'' Data'!$AA$4:$AB$7,2,FALSE)))))</f>
        <v/>
      </c>
      <c r="X158" s="56"/>
      <c r="Y158" s="276" t="str">
        <f>IF(X158="","",IF(AND(X158="N/A - Culvert",C158&lt;&gt;"Culvert"),"Not possible ▲",IF(AND(C158="Culvert",X158&lt;&gt;"N/A - Culvert"),"Not possible ▲",IF(VLOOKUP(X158,'G-7 WaterC'' Data'!$AD$4:$AE$14,2,FALSE)=0,"Enrcoachment Data Missing ⚠",VLOOKUP(X158,'G-7 WaterC'' Data'!$AD$4:$AE$14,2,FALSE)))))</f>
        <v/>
      </c>
      <c r="Z158" s="102"/>
      <c r="AA158" s="276" t="str">
        <f>IF(Z158="","",IF(VLOOKUP(Z158,'G-7 WaterC'' Data'!$AO$4:$BO$7,2,FALSE)=0,"Spatial Data Missing ⚠",VLOOKUP(Z158,'G-7 WaterC'' Data'!$AO$4:$BO$7,2,FALSE)))</f>
        <v/>
      </c>
      <c r="AB158" s="317" t="str">
        <f t="shared" si="18"/>
        <v/>
      </c>
      <c r="AC158" s="317" t="str">
        <f t="shared" si="19"/>
        <v/>
      </c>
      <c r="AD158" s="101"/>
      <c r="AE158" s="938"/>
      <c r="AF158" s="138"/>
      <c r="AG158" s="138"/>
      <c r="AH158" s="934"/>
      <c r="AL158" s="30" t="str">
        <f>IFERROR(INDEX('G-7 WaterC'' Data'!$AZ$3:$AZ$7,MATCH(C158,'G-7 WaterC'' Data'!$AY$3:$AY$7,0)),"")</f>
        <v/>
      </c>
      <c r="AN158" s="30" t="str">
        <f t="shared" si="20"/>
        <v>No</v>
      </c>
    </row>
    <row r="159" spans="2:40" ht="14">
      <c r="B159" s="97">
        <v>148</v>
      </c>
      <c r="C159" s="923"/>
      <c r="D159" s="115"/>
      <c r="E159" s="275" t="str">
        <f>IF(C159="","",VLOOKUP(C159,'G-7 WaterC'' Data'!$B$2:$Z$9,2,FALSE))</f>
        <v/>
      </c>
      <c r="F159" s="276" t="str">
        <f>IFERROR(VLOOKUP(E159,'G-7 WaterC'' Data'!$C$4:$D$8,2,FALSE),"")</f>
        <v/>
      </c>
      <c r="G159" s="52"/>
      <c r="H159" s="276" t="str">
        <f>IFERROR(INDEX('G-7 WaterC'' Data'!$H$4:$L$8,MATCH(C159,'G-7 WaterC'' Data'!$B$4:$B$8,0),MATCH(G159,'G-7 WaterC'' Data'!$H$3:$L$3,0)),"")</f>
        <v/>
      </c>
      <c r="I159" s="52"/>
      <c r="J159" s="314" t="str">
        <f>IF(I159="","",IF(VLOOKUP(I159,'G-7 WaterC'' Data'!$AK$4:$AM$6,2,FALSE)=0,"Spatial Data Missing ⚠",VLOOKUP(I159,'G-7 WaterC'' Data'!$AK$4:$AM$6,2,FALSE)))</f>
        <v/>
      </c>
      <c r="K159" s="276" t="str">
        <f>IF(I159="","",IF(VLOOKUP(I159,'G-7 WaterC'' Data'!$AK$4:$AM$6,3,FALSE)=0,"Spatial Data Missing ⚠",VLOOKUP(I159,'G-7 WaterC'' Data'!$AK$4:$AM$6,3,FALSE)))</f>
        <v/>
      </c>
      <c r="L159" s="372" t="str">
        <f>IFERROR(INDEX('G-7 WaterC'' Data'!$O$3:$O$7,MATCH(G159,'G-7 WaterC'' Data'!$N$3:$N$7,0)),"")</f>
        <v/>
      </c>
      <c r="M159" s="53"/>
      <c r="N159" s="133"/>
      <c r="O159" s="283" t="str">
        <f t="shared" si="14"/>
        <v/>
      </c>
      <c r="P159" s="296" t="str">
        <f t="shared" si="15"/>
        <v/>
      </c>
      <c r="Q159" s="334" t="str">
        <f>IFERROR(IF(P159="Check Data ⚠","Check Data ⚠",VLOOKUP(P159,'G-4 Temporal multipliers'!$A$4:$C$37,3,FALSE)),"")</f>
        <v/>
      </c>
      <c r="R159" s="275" t="str">
        <f>IF(C159="","",VLOOKUP(C159,'G-7 WaterC'' Data'!$B$4:$G$8,4,FALSE))</f>
        <v/>
      </c>
      <c r="S159" s="283" t="str">
        <f t="shared" si="16"/>
        <v/>
      </c>
      <c r="T159" s="314" t="str">
        <f t="shared" si="17"/>
        <v/>
      </c>
      <c r="U159" s="276" t="str">
        <f>IF(C159="","",VLOOKUP(T159,'G-3 Multipliers'!$P$2:$Q$6,2,FALSE))</f>
        <v/>
      </c>
      <c r="V159" s="102"/>
      <c r="W159" s="276" t="str">
        <f>IF(V159="","",IF(AND(V159="N/A - Culvert",C159&lt;&gt;"Culvert"),"Not possible ▲",IF(AND(C159="Culvert",V159&lt;&gt;"N/A - Culvert"),"Not possible ▲",IF(VLOOKUP(V159,'G-7 WaterC'' Data'!$AA$4:$AB$7,2,FALSE)=0,"Spatial Data Missing ⚠",VLOOKUP(V159,'G-7 WaterC'' Data'!$AA$4:$AB$7,2,FALSE)))))</f>
        <v/>
      </c>
      <c r="X159" s="56"/>
      <c r="Y159" s="276" t="str">
        <f>IF(X159="","",IF(AND(X159="N/A - Culvert",C159&lt;&gt;"Culvert"),"Not possible ▲",IF(AND(C159="Culvert",X159&lt;&gt;"N/A - Culvert"),"Not possible ▲",IF(VLOOKUP(X159,'G-7 WaterC'' Data'!$AD$4:$AE$14,2,FALSE)=0,"Enrcoachment Data Missing ⚠",VLOOKUP(X159,'G-7 WaterC'' Data'!$AD$4:$AE$14,2,FALSE)))))</f>
        <v/>
      </c>
      <c r="Z159" s="102"/>
      <c r="AA159" s="276" t="str">
        <f>IF(Z159="","",IF(VLOOKUP(Z159,'G-7 WaterC'' Data'!$AO$4:$BO$7,2,FALSE)=0,"Spatial Data Missing ⚠",VLOOKUP(Z159,'G-7 WaterC'' Data'!$AO$4:$BO$7,2,FALSE)))</f>
        <v/>
      </c>
      <c r="AB159" s="317" t="str">
        <f t="shared" si="18"/>
        <v/>
      </c>
      <c r="AC159" s="317" t="str">
        <f t="shared" si="19"/>
        <v/>
      </c>
      <c r="AD159" s="101"/>
      <c r="AE159" s="938"/>
      <c r="AF159" s="138"/>
      <c r="AG159" s="138"/>
      <c r="AH159" s="934"/>
      <c r="AL159" s="30" t="str">
        <f>IFERROR(INDEX('G-7 WaterC'' Data'!$AZ$3:$AZ$7,MATCH(C159,'G-7 WaterC'' Data'!$AY$3:$AY$7,0)),"")</f>
        <v/>
      </c>
      <c r="AN159" s="30" t="str">
        <f t="shared" si="20"/>
        <v>No</v>
      </c>
    </row>
    <row r="160" spans="2:40" ht="14">
      <c r="B160" s="97">
        <v>149</v>
      </c>
      <c r="C160" s="923"/>
      <c r="D160" s="115"/>
      <c r="E160" s="275" t="str">
        <f>IF(C160="","",VLOOKUP(C160,'G-7 WaterC'' Data'!$B$2:$Z$9,2,FALSE))</f>
        <v/>
      </c>
      <c r="F160" s="276" t="str">
        <f>IFERROR(VLOOKUP(E160,'G-7 WaterC'' Data'!$C$4:$D$8,2,FALSE),"")</f>
        <v/>
      </c>
      <c r="G160" s="52"/>
      <c r="H160" s="276" t="str">
        <f>IFERROR(INDEX('G-7 WaterC'' Data'!$H$4:$L$8,MATCH(C160,'G-7 WaterC'' Data'!$B$4:$B$8,0),MATCH(G160,'G-7 WaterC'' Data'!$H$3:$L$3,0)),"")</f>
        <v/>
      </c>
      <c r="I160" s="52"/>
      <c r="J160" s="314" t="str">
        <f>IF(I160="","",IF(VLOOKUP(I160,'G-7 WaterC'' Data'!$AK$4:$AM$6,2,FALSE)=0,"Spatial Data Missing ⚠",VLOOKUP(I160,'G-7 WaterC'' Data'!$AK$4:$AM$6,2,FALSE)))</f>
        <v/>
      </c>
      <c r="K160" s="276" t="str">
        <f>IF(I160="","",IF(VLOOKUP(I160,'G-7 WaterC'' Data'!$AK$4:$AM$6,3,FALSE)=0,"Spatial Data Missing ⚠",VLOOKUP(I160,'G-7 WaterC'' Data'!$AK$4:$AM$6,3,FALSE)))</f>
        <v/>
      </c>
      <c r="L160" s="372" t="str">
        <f>IFERROR(INDEX('G-7 WaterC'' Data'!$O$3:$O$7,MATCH(G160,'G-7 WaterC'' Data'!$N$3:$N$7,0)),"")</f>
        <v/>
      </c>
      <c r="M160" s="53"/>
      <c r="N160" s="133"/>
      <c r="O160" s="283" t="str">
        <f t="shared" si="14"/>
        <v/>
      </c>
      <c r="P160" s="296" t="str">
        <f t="shared" si="15"/>
        <v/>
      </c>
      <c r="Q160" s="334" t="str">
        <f>IFERROR(IF(P160="Check Data ⚠","Check Data ⚠",VLOOKUP(P160,'G-4 Temporal multipliers'!$A$4:$C$37,3,FALSE)),"")</f>
        <v/>
      </c>
      <c r="R160" s="275" t="str">
        <f>IF(C160="","",VLOOKUP(C160,'G-7 WaterC'' Data'!$B$4:$G$8,4,FALSE))</f>
        <v/>
      </c>
      <c r="S160" s="283" t="str">
        <f t="shared" si="16"/>
        <v/>
      </c>
      <c r="T160" s="314" t="str">
        <f t="shared" si="17"/>
        <v/>
      </c>
      <c r="U160" s="276" t="str">
        <f>IF(C160="","",VLOOKUP(T160,'G-3 Multipliers'!$P$2:$Q$6,2,FALSE))</f>
        <v/>
      </c>
      <c r="V160" s="102"/>
      <c r="W160" s="276" t="str">
        <f>IF(V160="","",IF(AND(V160="N/A - Culvert",C160&lt;&gt;"Culvert"),"Not possible ▲",IF(AND(C160="Culvert",V160&lt;&gt;"N/A - Culvert"),"Not possible ▲",IF(VLOOKUP(V160,'G-7 WaterC'' Data'!$AA$4:$AB$7,2,FALSE)=0,"Spatial Data Missing ⚠",VLOOKUP(V160,'G-7 WaterC'' Data'!$AA$4:$AB$7,2,FALSE)))))</f>
        <v/>
      </c>
      <c r="X160" s="56"/>
      <c r="Y160" s="276" t="str">
        <f>IF(X160="","",IF(AND(X160="N/A - Culvert",C160&lt;&gt;"Culvert"),"Not possible ▲",IF(AND(C160="Culvert",X160&lt;&gt;"N/A - Culvert"),"Not possible ▲",IF(VLOOKUP(X160,'G-7 WaterC'' Data'!$AD$4:$AE$14,2,FALSE)=0,"Enrcoachment Data Missing ⚠",VLOOKUP(X160,'G-7 WaterC'' Data'!$AD$4:$AE$14,2,FALSE)))))</f>
        <v/>
      </c>
      <c r="Z160" s="102"/>
      <c r="AA160" s="276" t="str">
        <f>IF(Z160="","",IF(VLOOKUP(Z160,'G-7 WaterC'' Data'!$AO$4:$BO$7,2,FALSE)=0,"Spatial Data Missing ⚠",VLOOKUP(Z160,'G-7 WaterC'' Data'!$AO$4:$BO$7,2,FALSE)))</f>
        <v/>
      </c>
      <c r="AB160" s="317" t="str">
        <f t="shared" si="18"/>
        <v/>
      </c>
      <c r="AC160" s="317" t="str">
        <f t="shared" si="19"/>
        <v/>
      </c>
      <c r="AD160" s="101"/>
      <c r="AE160" s="938"/>
      <c r="AF160" s="138"/>
      <c r="AG160" s="138"/>
      <c r="AH160" s="934"/>
      <c r="AL160" s="30" t="str">
        <f>IFERROR(INDEX('G-7 WaterC'' Data'!$AZ$3:$AZ$7,MATCH(C160,'G-7 WaterC'' Data'!$AY$3:$AY$7,0)),"")</f>
        <v/>
      </c>
      <c r="AN160" s="30" t="str">
        <f t="shared" si="20"/>
        <v>No</v>
      </c>
    </row>
    <row r="161" spans="2:40" ht="14">
      <c r="B161" s="97">
        <v>150</v>
      </c>
      <c r="C161" s="923"/>
      <c r="D161" s="115"/>
      <c r="E161" s="275" t="str">
        <f>IF(C161="","",VLOOKUP(C161,'G-7 WaterC'' Data'!$B$2:$Z$9,2,FALSE))</f>
        <v/>
      </c>
      <c r="F161" s="276" t="str">
        <f>IFERROR(VLOOKUP(E161,'G-7 WaterC'' Data'!$C$4:$D$8,2,FALSE),"")</f>
        <v/>
      </c>
      <c r="G161" s="52"/>
      <c r="H161" s="276" t="str">
        <f>IFERROR(INDEX('G-7 WaterC'' Data'!$H$4:$L$8,MATCH(C161,'G-7 WaterC'' Data'!$B$4:$B$8,0),MATCH(G161,'G-7 WaterC'' Data'!$H$3:$L$3,0)),"")</f>
        <v/>
      </c>
      <c r="I161" s="52"/>
      <c r="J161" s="314" t="str">
        <f>IF(I161="","",IF(VLOOKUP(I161,'G-7 WaterC'' Data'!$AK$4:$AM$6,2,FALSE)=0,"Spatial Data Missing ⚠",VLOOKUP(I161,'G-7 WaterC'' Data'!$AK$4:$AM$6,2,FALSE)))</f>
        <v/>
      </c>
      <c r="K161" s="276" t="str">
        <f>IF(I161="","",IF(VLOOKUP(I161,'G-7 WaterC'' Data'!$AK$4:$AM$6,3,FALSE)=0,"Spatial Data Missing ⚠",VLOOKUP(I161,'G-7 WaterC'' Data'!$AK$4:$AM$6,3,FALSE)))</f>
        <v/>
      </c>
      <c r="L161" s="372" t="str">
        <f>IFERROR(INDEX('G-7 WaterC'' Data'!$O$3:$O$7,MATCH(G161,'G-7 WaterC'' Data'!$N$3:$N$7,0)),"")</f>
        <v/>
      </c>
      <c r="M161" s="53"/>
      <c r="N161" s="133"/>
      <c r="O161" s="283" t="str">
        <f t="shared" si="14"/>
        <v/>
      </c>
      <c r="P161" s="296" t="str">
        <f t="shared" si="15"/>
        <v/>
      </c>
      <c r="Q161" s="334" t="str">
        <f>IFERROR(IF(P161="Check Data ⚠","Check Data ⚠",VLOOKUP(P161,'G-4 Temporal multipliers'!$A$4:$C$37,3,FALSE)),"")</f>
        <v/>
      </c>
      <c r="R161" s="275" t="str">
        <f>IF(C161="","",VLOOKUP(C161,'G-7 WaterC'' Data'!$B$4:$G$8,4,FALSE))</f>
        <v/>
      </c>
      <c r="S161" s="283" t="str">
        <f t="shared" si="16"/>
        <v/>
      </c>
      <c r="T161" s="314" t="str">
        <f t="shared" si="17"/>
        <v/>
      </c>
      <c r="U161" s="276" t="str">
        <f>IF(C161="","",VLOOKUP(T161,'G-3 Multipliers'!$P$2:$Q$6,2,FALSE))</f>
        <v/>
      </c>
      <c r="V161" s="102"/>
      <c r="W161" s="276" t="str">
        <f>IF(V161="","",IF(AND(V161="N/A - Culvert",C161&lt;&gt;"Culvert"),"Not possible ▲",IF(AND(C161="Culvert",V161&lt;&gt;"N/A - Culvert"),"Not possible ▲",IF(VLOOKUP(V161,'G-7 WaterC'' Data'!$AA$4:$AB$7,2,FALSE)=0,"Spatial Data Missing ⚠",VLOOKUP(V161,'G-7 WaterC'' Data'!$AA$4:$AB$7,2,FALSE)))))</f>
        <v/>
      </c>
      <c r="X161" s="56"/>
      <c r="Y161" s="276" t="str">
        <f>IF(X161="","",IF(AND(X161="N/A - Culvert",C161&lt;&gt;"Culvert"),"Not possible ▲",IF(AND(C161="Culvert",X161&lt;&gt;"N/A - Culvert"),"Not possible ▲",IF(VLOOKUP(X161,'G-7 WaterC'' Data'!$AD$4:$AE$14,2,FALSE)=0,"Enrcoachment Data Missing ⚠",VLOOKUP(X161,'G-7 WaterC'' Data'!$AD$4:$AE$14,2,FALSE)))))</f>
        <v/>
      </c>
      <c r="Z161" s="102"/>
      <c r="AA161" s="276" t="str">
        <f>IF(Z161="","",IF(VLOOKUP(Z161,'G-7 WaterC'' Data'!$AO$4:$BO$7,2,FALSE)=0,"Spatial Data Missing ⚠",VLOOKUP(Z161,'G-7 WaterC'' Data'!$AO$4:$BO$7,2,FALSE)))</f>
        <v/>
      </c>
      <c r="AB161" s="317" t="str">
        <f t="shared" si="18"/>
        <v/>
      </c>
      <c r="AC161" s="317" t="str">
        <f t="shared" si="19"/>
        <v/>
      </c>
      <c r="AD161" s="101"/>
      <c r="AE161" s="938"/>
      <c r="AF161" s="138"/>
      <c r="AG161" s="138"/>
      <c r="AH161" s="934"/>
      <c r="AL161" s="30" t="str">
        <f>IFERROR(INDEX('G-7 WaterC'' Data'!$AZ$3:$AZ$7,MATCH(C161,'G-7 WaterC'' Data'!$AY$3:$AY$7,0)),"")</f>
        <v/>
      </c>
      <c r="AN161" s="30" t="str">
        <f t="shared" si="20"/>
        <v>No</v>
      </c>
    </row>
    <row r="162" spans="2:40" ht="14">
      <c r="B162" s="97">
        <v>151</v>
      </c>
      <c r="C162" s="923"/>
      <c r="D162" s="115"/>
      <c r="E162" s="275" t="str">
        <f>IF(C162="","",VLOOKUP(C162,'G-7 WaterC'' Data'!$B$2:$Z$9,2,FALSE))</f>
        <v/>
      </c>
      <c r="F162" s="276" t="str">
        <f>IFERROR(VLOOKUP(E162,'G-7 WaterC'' Data'!$C$4:$D$8,2,FALSE),"")</f>
        <v/>
      </c>
      <c r="G162" s="52"/>
      <c r="H162" s="276" t="str">
        <f>IFERROR(INDEX('G-7 WaterC'' Data'!$H$4:$L$8,MATCH(C162,'G-7 WaterC'' Data'!$B$4:$B$8,0),MATCH(G162,'G-7 WaterC'' Data'!$H$3:$L$3,0)),"")</f>
        <v/>
      </c>
      <c r="I162" s="52"/>
      <c r="J162" s="314" t="str">
        <f>IF(I162="","",IF(VLOOKUP(I162,'G-7 WaterC'' Data'!$AK$4:$AM$6,2,FALSE)=0,"Spatial Data Missing ⚠",VLOOKUP(I162,'G-7 WaterC'' Data'!$AK$4:$AM$6,2,FALSE)))</f>
        <v/>
      </c>
      <c r="K162" s="276" t="str">
        <f>IF(I162="","",IF(VLOOKUP(I162,'G-7 WaterC'' Data'!$AK$4:$AM$6,3,FALSE)=0,"Spatial Data Missing ⚠",VLOOKUP(I162,'G-7 WaterC'' Data'!$AK$4:$AM$6,3,FALSE)))</f>
        <v/>
      </c>
      <c r="L162" s="372" t="str">
        <f>IFERROR(INDEX('G-7 WaterC'' Data'!$O$3:$O$7,MATCH(G162,'G-7 WaterC'' Data'!$N$3:$N$7,0)),"")</f>
        <v/>
      </c>
      <c r="M162" s="53"/>
      <c r="N162" s="133"/>
      <c r="O162" s="283" t="str">
        <f t="shared" si="14"/>
        <v/>
      </c>
      <c r="P162" s="296" t="str">
        <f t="shared" si="15"/>
        <v/>
      </c>
      <c r="Q162" s="334" t="str">
        <f>IFERROR(IF(P162="Check Data ⚠","Check Data ⚠",VLOOKUP(P162,'G-4 Temporal multipliers'!$A$4:$C$37,3,FALSE)),"")</f>
        <v/>
      </c>
      <c r="R162" s="275" t="str">
        <f>IF(C162="","",VLOOKUP(C162,'G-7 WaterC'' Data'!$B$4:$G$8,4,FALSE))</f>
        <v/>
      </c>
      <c r="S162" s="283" t="str">
        <f t="shared" si="16"/>
        <v/>
      </c>
      <c r="T162" s="314" t="str">
        <f t="shared" si="17"/>
        <v/>
      </c>
      <c r="U162" s="276" t="str">
        <f>IF(C162="","",VLOOKUP(T162,'G-3 Multipliers'!$P$2:$Q$6,2,FALSE))</f>
        <v/>
      </c>
      <c r="V162" s="102"/>
      <c r="W162" s="276" t="str">
        <f>IF(V162="","",IF(AND(V162="N/A - Culvert",C162&lt;&gt;"Culvert"),"Not possible ▲",IF(AND(C162="Culvert",V162&lt;&gt;"N/A - Culvert"),"Not possible ▲",IF(VLOOKUP(V162,'G-7 WaterC'' Data'!$AA$4:$AB$7,2,FALSE)=0,"Spatial Data Missing ⚠",VLOOKUP(V162,'G-7 WaterC'' Data'!$AA$4:$AB$7,2,FALSE)))))</f>
        <v/>
      </c>
      <c r="X162" s="56"/>
      <c r="Y162" s="276" t="str">
        <f>IF(X162="","",IF(AND(X162="N/A - Culvert",C162&lt;&gt;"Culvert"),"Not possible ▲",IF(AND(C162="Culvert",X162&lt;&gt;"N/A - Culvert"),"Not possible ▲",IF(VLOOKUP(X162,'G-7 WaterC'' Data'!$AD$4:$AE$14,2,FALSE)=0,"Enrcoachment Data Missing ⚠",VLOOKUP(X162,'G-7 WaterC'' Data'!$AD$4:$AE$14,2,FALSE)))))</f>
        <v/>
      </c>
      <c r="Z162" s="102"/>
      <c r="AA162" s="276" t="str">
        <f>IF(Z162="","",IF(VLOOKUP(Z162,'G-7 WaterC'' Data'!$AO$4:$BO$7,2,FALSE)=0,"Spatial Data Missing ⚠",VLOOKUP(Z162,'G-7 WaterC'' Data'!$AO$4:$BO$7,2,FALSE)))</f>
        <v/>
      </c>
      <c r="AB162" s="317" t="str">
        <f t="shared" si="18"/>
        <v/>
      </c>
      <c r="AC162" s="317" t="str">
        <f t="shared" si="19"/>
        <v/>
      </c>
      <c r="AD162" s="101"/>
      <c r="AE162" s="938"/>
      <c r="AF162" s="138"/>
      <c r="AG162" s="138"/>
      <c r="AH162" s="934"/>
      <c r="AL162" s="30" t="str">
        <f>IFERROR(INDEX('G-7 WaterC'' Data'!$AZ$3:$AZ$7,MATCH(C162,'G-7 WaterC'' Data'!$AY$3:$AY$7,0)),"")</f>
        <v/>
      </c>
      <c r="AN162" s="30" t="str">
        <f t="shared" si="20"/>
        <v>No</v>
      </c>
    </row>
    <row r="163" spans="2:40" ht="14">
      <c r="B163" s="97">
        <v>152</v>
      </c>
      <c r="C163" s="923"/>
      <c r="D163" s="115"/>
      <c r="E163" s="275" t="str">
        <f>IF(C163="","",VLOOKUP(C163,'G-7 WaterC'' Data'!$B$2:$Z$9,2,FALSE))</f>
        <v/>
      </c>
      <c r="F163" s="276" t="str">
        <f>IFERROR(VLOOKUP(E163,'G-7 WaterC'' Data'!$C$4:$D$8,2,FALSE),"")</f>
        <v/>
      </c>
      <c r="G163" s="52"/>
      <c r="H163" s="276" t="str">
        <f>IFERROR(INDEX('G-7 WaterC'' Data'!$H$4:$L$8,MATCH(C163,'G-7 WaterC'' Data'!$B$4:$B$8,0),MATCH(G163,'G-7 WaterC'' Data'!$H$3:$L$3,0)),"")</f>
        <v/>
      </c>
      <c r="I163" s="52"/>
      <c r="J163" s="314" t="str">
        <f>IF(I163="","",IF(VLOOKUP(I163,'G-7 WaterC'' Data'!$AK$4:$AM$6,2,FALSE)=0,"Spatial Data Missing ⚠",VLOOKUP(I163,'G-7 WaterC'' Data'!$AK$4:$AM$6,2,FALSE)))</f>
        <v/>
      </c>
      <c r="K163" s="276" t="str">
        <f>IF(I163="","",IF(VLOOKUP(I163,'G-7 WaterC'' Data'!$AK$4:$AM$6,3,FALSE)=0,"Spatial Data Missing ⚠",VLOOKUP(I163,'G-7 WaterC'' Data'!$AK$4:$AM$6,3,FALSE)))</f>
        <v/>
      </c>
      <c r="L163" s="372" t="str">
        <f>IFERROR(INDEX('G-7 WaterC'' Data'!$O$3:$O$7,MATCH(G163,'G-7 WaterC'' Data'!$N$3:$N$7,0)),"")</f>
        <v/>
      </c>
      <c r="M163" s="53"/>
      <c r="N163" s="133"/>
      <c r="O163" s="283" t="str">
        <f t="shared" si="14"/>
        <v/>
      </c>
      <c r="P163" s="296" t="str">
        <f t="shared" si="15"/>
        <v/>
      </c>
      <c r="Q163" s="334" t="str">
        <f>IFERROR(IF(P163="Check Data ⚠","Check Data ⚠",VLOOKUP(P163,'G-4 Temporal multipliers'!$A$4:$C$37,3,FALSE)),"")</f>
        <v/>
      </c>
      <c r="R163" s="275" t="str">
        <f>IF(C163="","",VLOOKUP(C163,'G-7 WaterC'' Data'!$B$4:$G$8,4,FALSE))</f>
        <v/>
      </c>
      <c r="S163" s="283" t="str">
        <f t="shared" si="16"/>
        <v/>
      </c>
      <c r="T163" s="314" t="str">
        <f t="shared" si="17"/>
        <v/>
      </c>
      <c r="U163" s="276" t="str">
        <f>IF(C163="","",VLOOKUP(T163,'G-3 Multipliers'!$P$2:$Q$6,2,FALSE))</f>
        <v/>
      </c>
      <c r="V163" s="102"/>
      <c r="W163" s="276" t="str">
        <f>IF(V163="","",IF(AND(V163="N/A - Culvert",C163&lt;&gt;"Culvert"),"Not possible ▲",IF(AND(C163="Culvert",V163&lt;&gt;"N/A - Culvert"),"Not possible ▲",IF(VLOOKUP(V163,'G-7 WaterC'' Data'!$AA$4:$AB$7,2,FALSE)=0,"Spatial Data Missing ⚠",VLOOKUP(V163,'G-7 WaterC'' Data'!$AA$4:$AB$7,2,FALSE)))))</f>
        <v/>
      </c>
      <c r="X163" s="56"/>
      <c r="Y163" s="276" t="str">
        <f>IF(X163="","",IF(AND(X163="N/A - Culvert",C163&lt;&gt;"Culvert"),"Not possible ▲",IF(AND(C163="Culvert",X163&lt;&gt;"N/A - Culvert"),"Not possible ▲",IF(VLOOKUP(X163,'G-7 WaterC'' Data'!$AD$4:$AE$14,2,FALSE)=0,"Enrcoachment Data Missing ⚠",VLOOKUP(X163,'G-7 WaterC'' Data'!$AD$4:$AE$14,2,FALSE)))))</f>
        <v/>
      </c>
      <c r="Z163" s="102"/>
      <c r="AA163" s="276" t="str">
        <f>IF(Z163="","",IF(VLOOKUP(Z163,'G-7 WaterC'' Data'!$AO$4:$BO$7,2,FALSE)=0,"Spatial Data Missing ⚠",VLOOKUP(Z163,'G-7 WaterC'' Data'!$AO$4:$BO$7,2,FALSE)))</f>
        <v/>
      </c>
      <c r="AB163" s="317" t="str">
        <f t="shared" si="18"/>
        <v/>
      </c>
      <c r="AC163" s="317" t="str">
        <f t="shared" si="19"/>
        <v/>
      </c>
      <c r="AD163" s="101"/>
      <c r="AE163" s="938"/>
      <c r="AF163" s="138"/>
      <c r="AG163" s="138"/>
      <c r="AH163" s="934"/>
      <c r="AL163" s="30" t="str">
        <f>IFERROR(INDEX('G-7 WaterC'' Data'!$AZ$3:$AZ$7,MATCH(C163,'G-7 WaterC'' Data'!$AY$3:$AY$7,0)),"")</f>
        <v/>
      </c>
      <c r="AN163" s="30" t="str">
        <f t="shared" si="20"/>
        <v>No</v>
      </c>
    </row>
    <row r="164" spans="2:40" ht="14">
      <c r="B164" s="97">
        <v>153</v>
      </c>
      <c r="C164" s="923"/>
      <c r="D164" s="115"/>
      <c r="E164" s="275" t="str">
        <f>IF(C164="","",VLOOKUP(C164,'G-7 WaterC'' Data'!$B$2:$Z$9,2,FALSE))</f>
        <v/>
      </c>
      <c r="F164" s="276" t="str">
        <f>IFERROR(VLOOKUP(E164,'G-7 WaterC'' Data'!$C$4:$D$8,2,FALSE),"")</f>
        <v/>
      </c>
      <c r="G164" s="52"/>
      <c r="H164" s="276" t="str">
        <f>IFERROR(INDEX('G-7 WaterC'' Data'!$H$4:$L$8,MATCH(C164,'G-7 WaterC'' Data'!$B$4:$B$8,0),MATCH(G164,'G-7 WaterC'' Data'!$H$3:$L$3,0)),"")</f>
        <v/>
      </c>
      <c r="I164" s="52"/>
      <c r="J164" s="314" t="str">
        <f>IF(I164="","",IF(VLOOKUP(I164,'G-7 WaterC'' Data'!$AK$4:$AM$6,2,FALSE)=0,"Spatial Data Missing ⚠",VLOOKUP(I164,'G-7 WaterC'' Data'!$AK$4:$AM$6,2,FALSE)))</f>
        <v/>
      </c>
      <c r="K164" s="276" t="str">
        <f>IF(I164="","",IF(VLOOKUP(I164,'G-7 WaterC'' Data'!$AK$4:$AM$6,3,FALSE)=0,"Spatial Data Missing ⚠",VLOOKUP(I164,'G-7 WaterC'' Data'!$AK$4:$AM$6,3,FALSE)))</f>
        <v/>
      </c>
      <c r="L164" s="372" t="str">
        <f>IFERROR(INDEX('G-7 WaterC'' Data'!$O$3:$O$7,MATCH(G164,'G-7 WaterC'' Data'!$N$3:$N$7,0)),"")</f>
        <v/>
      </c>
      <c r="M164" s="53"/>
      <c r="N164" s="133"/>
      <c r="O164" s="283" t="str">
        <f t="shared" si="14"/>
        <v/>
      </c>
      <c r="P164" s="296" t="str">
        <f t="shared" si="15"/>
        <v/>
      </c>
      <c r="Q164" s="334" t="str">
        <f>IFERROR(IF(P164="Check Data ⚠","Check Data ⚠",VLOOKUP(P164,'G-4 Temporal multipliers'!$A$4:$C$37,3,FALSE)),"")</f>
        <v/>
      </c>
      <c r="R164" s="275" t="str">
        <f>IF(C164="","",VLOOKUP(C164,'G-7 WaterC'' Data'!$B$4:$G$8,4,FALSE))</f>
        <v/>
      </c>
      <c r="S164" s="283" t="str">
        <f t="shared" si="16"/>
        <v/>
      </c>
      <c r="T164" s="314" t="str">
        <f t="shared" si="17"/>
        <v/>
      </c>
      <c r="U164" s="276" t="str">
        <f>IF(C164="","",VLOOKUP(T164,'G-3 Multipliers'!$P$2:$Q$6,2,FALSE))</f>
        <v/>
      </c>
      <c r="V164" s="102"/>
      <c r="W164" s="276" t="str">
        <f>IF(V164="","",IF(AND(V164="N/A - Culvert",C164&lt;&gt;"Culvert"),"Not possible ▲",IF(AND(C164="Culvert",V164&lt;&gt;"N/A - Culvert"),"Not possible ▲",IF(VLOOKUP(V164,'G-7 WaterC'' Data'!$AA$4:$AB$7,2,FALSE)=0,"Spatial Data Missing ⚠",VLOOKUP(V164,'G-7 WaterC'' Data'!$AA$4:$AB$7,2,FALSE)))))</f>
        <v/>
      </c>
      <c r="X164" s="56"/>
      <c r="Y164" s="276" t="str">
        <f>IF(X164="","",IF(AND(X164="N/A - Culvert",C164&lt;&gt;"Culvert"),"Not possible ▲",IF(AND(C164="Culvert",X164&lt;&gt;"N/A - Culvert"),"Not possible ▲",IF(VLOOKUP(X164,'G-7 WaterC'' Data'!$AD$4:$AE$14,2,FALSE)=0,"Enrcoachment Data Missing ⚠",VLOOKUP(X164,'G-7 WaterC'' Data'!$AD$4:$AE$14,2,FALSE)))))</f>
        <v/>
      </c>
      <c r="Z164" s="102"/>
      <c r="AA164" s="276" t="str">
        <f>IF(Z164="","",IF(VLOOKUP(Z164,'G-7 WaterC'' Data'!$AO$4:$BO$7,2,FALSE)=0,"Spatial Data Missing ⚠",VLOOKUP(Z164,'G-7 WaterC'' Data'!$AO$4:$BO$7,2,FALSE)))</f>
        <v/>
      </c>
      <c r="AB164" s="317" t="str">
        <f t="shared" si="18"/>
        <v/>
      </c>
      <c r="AC164" s="317" t="str">
        <f t="shared" si="19"/>
        <v/>
      </c>
      <c r="AD164" s="101"/>
      <c r="AE164" s="938"/>
      <c r="AF164" s="138"/>
      <c r="AG164" s="138"/>
      <c r="AH164" s="934"/>
      <c r="AL164" s="30" t="str">
        <f>IFERROR(INDEX('G-7 WaterC'' Data'!$AZ$3:$AZ$7,MATCH(C164,'G-7 WaterC'' Data'!$AY$3:$AY$7,0)),"")</f>
        <v/>
      </c>
      <c r="AN164" s="30" t="str">
        <f t="shared" si="20"/>
        <v>No</v>
      </c>
    </row>
    <row r="165" spans="2:40" ht="14">
      <c r="B165" s="97">
        <v>154</v>
      </c>
      <c r="C165" s="923"/>
      <c r="D165" s="115"/>
      <c r="E165" s="275" t="str">
        <f>IF(C165="","",VLOOKUP(C165,'G-7 WaterC'' Data'!$B$2:$Z$9,2,FALSE))</f>
        <v/>
      </c>
      <c r="F165" s="276" t="str">
        <f>IFERROR(VLOOKUP(E165,'G-7 WaterC'' Data'!$C$4:$D$8,2,FALSE),"")</f>
        <v/>
      </c>
      <c r="G165" s="52"/>
      <c r="H165" s="276" t="str">
        <f>IFERROR(INDEX('G-7 WaterC'' Data'!$H$4:$L$8,MATCH(C165,'G-7 WaterC'' Data'!$B$4:$B$8,0),MATCH(G165,'G-7 WaterC'' Data'!$H$3:$L$3,0)),"")</f>
        <v/>
      </c>
      <c r="I165" s="52"/>
      <c r="J165" s="314" t="str">
        <f>IF(I165="","",IF(VLOOKUP(I165,'G-7 WaterC'' Data'!$AK$4:$AM$6,2,FALSE)=0,"Spatial Data Missing ⚠",VLOOKUP(I165,'G-7 WaterC'' Data'!$AK$4:$AM$6,2,FALSE)))</f>
        <v/>
      </c>
      <c r="K165" s="276" t="str">
        <f>IF(I165="","",IF(VLOOKUP(I165,'G-7 WaterC'' Data'!$AK$4:$AM$6,3,FALSE)=0,"Spatial Data Missing ⚠",VLOOKUP(I165,'G-7 WaterC'' Data'!$AK$4:$AM$6,3,FALSE)))</f>
        <v/>
      </c>
      <c r="L165" s="372" t="str">
        <f>IFERROR(INDEX('G-7 WaterC'' Data'!$O$3:$O$7,MATCH(G165,'G-7 WaterC'' Data'!$N$3:$N$7,0)),"")</f>
        <v/>
      </c>
      <c r="M165" s="53"/>
      <c r="N165" s="133"/>
      <c r="O165" s="283" t="str">
        <f t="shared" si="14"/>
        <v/>
      </c>
      <c r="P165" s="296" t="str">
        <f t="shared" si="15"/>
        <v/>
      </c>
      <c r="Q165" s="334" t="str">
        <f>IFERROR(IF(P165="Check Data ⚠","Check Data ⚠",VLOOKUP(P165,'G-4 Temporal multipliers'!$A$4:$C$37,3,FALSE)),"")</f>
        <v/>
      </c>
      <c r="R165" s="275" t="str">
        <f>IF(C165="","",VLOOKUP(C165,'G-7 WaterC'' Data'!$B$4:$G$8,4,FALSE))</f>
        <v/>
      </c>
      <c r="S165" s="283" t="str">
        <f t="shared" si="16"/>
        <v/>
      </c>
      <c r="T165" s="314" t="str">
        <f t="shared" si="17"/>
        <v/>
      </c>
      <c r="U165" s="276" t="str">
        <f>IF(C165="","",VLOOKUP(T165,'G-3 Multipliers'!$P$2:$Q$6,2,FALSE))</f>
        <v/>
      </c>
      <c r="V165" s="102"/>
      <c r="W165" s="276" t="str">
        <f>IF(V165="","",IF(AND(V165="N/A - Culvert",C165&lt;&gt;"Culvert"),"Not possible ▲",IF(AND(C165="Culvert",V165&lt;&gt;"N/A - Culvert"),"Not possible ▲",IF(VLOOKUP(V165,'G-7 WaterC'' Data'!$AA$4:$AB$7,2,FALSE)=0,"Spatial Data Missing ⚠",VLOOKUP(V165,'G-7 WaterC'' Data'!$AA$4:$AB$7,2,FALSE)))))</f>
        <v/>
      </c>
      <c r="X165" s="56"/>
      <c r="Y165" s="276" t="str">
        <f>IF(X165="","",IF(AND(X165="N/A - Culvert",C165&lt;&gt;"Culvert"),"Not possible ▲",IF(AND(C165="Culvert",X165&lt;&gt;"N/A - Culvert"),"Not possible ▲",IF(VLOOKUP(X165,'G-7 WaterC'' Data'!$AD$4:$AE$14,2,FALSE)=0,"Enrcoachment Data Missing ⚠",VLOOKUP(X165,'G-7 WaterC'' Data'!$AD$4:$AE$14,2,FALSE)))))</f>
        <v/>
      </c>
      <c r="Z165" s="102"/>
      <c r="AA165" s="276" t="str">
        <f>IF(Z165="","",IF(VLOOKUP(Z165,'G-7 WaterC'' Data'!$AO$4:$BO$7,2,FALSE)=0,"Spatial Data Missing ⚠",VLOOKUP(Z165,'G-7 WaterC'' Data'!$AO$4:$BO$7,2,FALSE)))</f>
        <v/>
      </c>
      <c r="AB165" s="317" t="str">
        <f t="shared" si="18"/>
        <v/>
      </c>
      <c r="AC165" s="317" t="str">
        <f t="shared" si="19"/>
        <v/>
      </c>
      <c r="AD165" s="101"/>
      <c r="AE165" s="938"/>
      <c r="AF165" s="138"/>
      <c r="AG165" s="138"/>
      <c r="AH165" s="934"/>
      <c r="AL165" s="30" t="str">
        <f>IFERROR(INDEX('G-7 WaterC'' Data'!$AZ$3:$AZ$7,MATCH(C165,'G-7 WaterC'' Data'!$AY$3:$AY$7,0)),"")</f>
        <v/>
      </c>
      <c r="AN165" s="30" t="str">
        <f t="shared" si="20"/>
        <v>No</v>
      </c>
    </row>
    <row r="166" spans="2:40" ht="14">
      <c r="B166" s="97">
        <v>155</v>
      </c>
      <c r="C166" s="923"/>
      <c r="D166" s="115"/>
      <c r="E166" s="275" t="str">
        <f>IF(C166="","",VLOOKUP(C166,'G-7 WaterC'' Data'!$B$2:$Z$9,2,FALSE))</f>
        <v/>
      </c>
      <c r="F166" s="276" t="str">
        <f>IFERROR(VLOOKUP(E166,'G-7 WaterC'' Data'!$C$4:$D$8,2,FALSE),"")</f>
        <v/>
      </c>
      <c r="G166" s="52"/>
      <c r="H166" s="276" t="str">
        <f>IFERROR(INDEX('G-7 WaterC'' Data'!$H$4:$L$8,MATCH(C166,'G-7 WaterC'' Data'!$B$4:$B$8,0),MATCH(G166,'G-7 WaterC'' Data'!$H$3:$L$3,0)),"")</f>
        <v/>
      </c>
      <c r="I166" s="52"/>
      <c r="J166" s="314" t="str">
        <f>IF(I166="","",IF(VLOOKUP(I166,'G-7 WaterC'' Data'!$AK$4:$AM$6,2,FALSE)=0,"Spatial Data Missing ⚠",VLOOKUP(I166,'G-7 WaterC'' Data'!$AK$4:$AM$6,2,FALSE)))</f>
        <v/>
      </c>
      <c r="K166" s="276" t="str">
        <f>IF(I166="","",IF(VLOOKUP(I166,'G-7 WaterC'' Data'!$AK$4:$AM$6,3,FALSE)=0,"Spatial Data Missing ⚠",VLOOKUP(I166,'G-7 WaterC'' Data'!$AK$4:$AM$6,3,FALSE)))</f>
        <v/>
      </c>
      <c r="L166" s="372" t="str">
        <f>IFERROR(INDEX('G-7 WaterC'' Data'!$O$3:$O$7,MATCH(G166,'G-7 WaterC'' Data'!$N$3:$N$7,0)),"")</f>
        <v/>
      </c>
      <c r="M166" s="53"/>
      <c r="N166" s="133"/>
      <c r="O166" s="283" t="str">
        <f t="shared" si="14"/>
        <v/>
      </c>
      <c r="P166" s="296" t="str">
        <f t="shared" si="15"/>
        <v/>
      </c>
      <c r="Q166" s="334" t="str">
        <f>IFERROR(IF(P166="Check Data ⚠","Check Data ⚠",VLOOKUP(P166,'G-4 Temporal multipliers'!$A$4:$C$37,3,FALSE)),"")</f>
        <v/>
      </c>
      <c r="R166" s="275" t="str">
        <f>IF(C166="","",VLOOKUP(C166,'G-7 WaterC'' Data'!$B$4:$G$8,4,FALSE))</f>
        <v/>
      </c>
      <c r="S166" s="283" t="str">
        <f t="shared" si="16"/>
        <v/>
      </c>
      <c r="T166" s="314" t="str">
        <f t="shared" si="17"/>
        <v/>
      </c>
      <c r="U166" s="276" t="str">
        <f>IF(C166="","",VLOOKUP(T166,'G-3 Multipliers'!$P$2:$Q$6,2,FALSE))</f>
        <v/>
      </c>
      <c r="V166" s="102"/>
      <c r="W166" s="276" t="str">
        <f>IF(V166="","",IF(AND(V166="N/A - Culvert",C166&lt;&gt;"Culvert"),"Not possible ▲",IF(AND(C166="Culvert",V166&lt;&gt;"N/A - Culvert"),"Not possible ▲",IF(VLOOKUP(V166,'G-7 WaterC'' Data'!$AA$4:$AB$7,2,FALSE)=0,"Spatial Data Missing ⚠",VLOOKUP(V166,'G-7 WaterC'' Data'!$AA$4:$AB$7,2,FALSE)))))</f>
        <v/>
      </c>
      <c r="X166" s="56"/>
      <c r="Y166" s="276" t="str">
        <f>IF(X166="","",IF(AND(X166="N/A - Culvert",C166&lt;&gt;"Culvert"),"Not possible ▲",IF(AND(C166="Culvert",X166&lt;&gt;"N/A - Culvert"),"Not possible ▲",IF(VLOOKUP(X166,'G-7 WaterC'' Data'!$AD$4:$AE$14,2,FALSE)=0,"Enrcoachment Data Missing ⚠",VLOOKUP(X166,'G-7 WaterC'' Data'!$AD$4:$AE$14,2,FALSE)))))</f>
        <v/>
      </c>
      <c r="Z166" s="102"/>
      <c r="AA166" s="276" t="str">
        <f>IF(Z166="","",IF(VLOOKUP(Z166,'G-7 WaterC'' Data'!$AO$4:$BO$7,2,FALSE)=0,"Spatial Data Missing ⚠",VLOOKUP(Z166,'G-7 WaterC'' Data'!$AO$4:$BO$7,2,FALSE)))</f>
        <v/>
      </c>
      <c r="AB166" s="317" t="str">
        <f t="shared" si="18"/>
        <v/>
      </c>
      <c r="AC166" s="317" t="str">
        <f t="shared" si="19"/>
        <v/>
      </c>
      <c r="AD166" s="101"/>
      <c r="AE166" s="938"/>
      <c r="AF166" s="138"/>
      <c r="AG166" s="138"/>
      <c r="AH166" s="934"/>
      <c r="AL166" s="30" t="str">
        <f>IFERROR(INDEX('G-7 WaterC'' Data'!$AZ$3:$AZ$7,MATCH(C166,'G-7 WaterC'' Data'!$AY$3:$AY$7,0)),"")</f>
        <v/>
      </c>
      <c r="AN166" s="30" t="str">
        <f t="shared" si="20"/>
        <v>No</v>
      </c>
    </row>
    <row r="167" spans="2:40" ht="14">
      <c r="B167" s="97">
        <v>156</v>
      </c>
      <c r="C167" s="923"/>
      <c r="D167" s="115"/>
      <c r="E167" s="275" t="str">
        <f>IF(C167="","",VLOOKUP(C167,'G-7 WaterC'' Data'!$B$2:$Z$9,2,FALSE))</f>
        <v/>
      </c>
      <c r="F167" s="276" t="str">
        <f>IFERROR(VLOOKUP(E167,'G-7 WaterC'' Data'!$C$4:$D$8,2,FALSE),"")</f>
        <v/>
      </c>
      <c r="G167" s="52"/>
      <c r="H167" s="276" t="str">
        <f>IFERROR(INDEX('G-7 WaterC'' Data'!$H$4:$L$8,MATCH(C167,'G-7 WaterC'' Data'!$B$4:$B$8,0),MATCH(G167,'G-7 WaterC'' Data'!$H$3:$L$3,0)),"")</f>
        <v/>
      </c>
      <c r="I167" s="52"/>
      <c r="J167" s="314" t="str">
        <f>IF(I167="","",IF(VLOOKUP(I167,'G-7 WaterC'' Data'!$AK$4:$AM$6,2,FALSE)=0,"Spatial Data Missing ⚠",VLOOKUP(I167,'G-7 WaterC'' Data'!$AK$4:$AM$6,2,FALSE)))</f>
        <v/>
      </c>
      <c r="K167" s="276" t="str">
        <f>IF(I167="","",IF(VLOOKUP(I167,'G-7 WaterC'' Data'!$AK$4:$AM$6,3,FALSE)=0,"Spatial Data Missing ⚠",VLOOKUP(I167,'G-7 WaterC'' Data'!$AK$4:$AM$6,3,FALSE)))</f>
        <v/>
      </c>
      <c r="L167" s="372" t="str">
        <f>IFERROR(INDEX('G-7 WaterC'' Data'!$O$3:$O$7,MATCH(G167,'G-7 WaterC'' Data'!$N$3:$N$7,0)),"")</f>
        <v/>
      </c>
      <c r="M167" s="53"/>
      <c r="N167" s="133"/>
      <c r="O167" s="283" t="str">
        <f t="shared" si="14"/>
        <v/>
      </c>
      <c r="P167" s="296" t="str">
        <f t="shared" si="15"/>
        <v/>
      </c>
      <c r="Q167" s="334" t="str">
        <f>IFERROR(IF(P167="Check Data ⚠","Check Data ⚠",VLOOKUP(P167,'G-4 Temporal multipliers'!$A$4:$C$37,3,FALSE)),"")</f>
        <v/>
      </c>
      <c r="R167" s="275" t="str">
        <f>IF(C167="","",VLOOKUP(C167,'G-7 WaterC'' Data'!$B$4:$G$8,4,FALSE))</f>
        <v/>
      </c>
      <c r="S167" s="283" t="str">
        <f t="shared" si="16"/>
        <v/>
      </c>
      <c r="T167" s="314" t="str">
        <f t="shared" si="17"/>
        <v/>
      </c>
      <c r="U167" s="276" t="str">
        <f>IF(C167="","",VLOOKUP(T167,'G-3 Multipliers'!$P$2:$Q$6,2,FALSE))</f>
        <v/>
      </c>
      <c r="V167" s="102"/>
      <c r="W167" s="276" t="str">
        <f>IF(V167="","",IF(AND(V167="N/A - Culvert",C167&lt;&gt;"Culvert"),"Not possible ▲",IF(AND(C167="Culvert",V167&lt;&gt;"N/A - Culvert"),"Not possible ▲",IF(VLOOKUP(V167,'G-7 WaterC'' Data'!$AA$4:$AB$7,2,FALSE)=0,"Spatial Data Missing ⚠",VLOOKUP(V167,'G-7 WaterC'' Data'!$AA$4:$AB$7,2,FALSE)))))</f>
        <v/>
      </c>
      <c r="X167" s="56"/>
      <c r="Y167" s="276" t="str">
        <f>IF(X167="","",IF(AND(X167="N/A - Culvert",C167&lt;&gt;"Culvert"),"Not possible ▲",IF(AND(C167="Culvert",X167&lt;&gt;"N/A - Culvert"),"Not possible ▲",IF(VLOOKUP(X167,'G-7 WaterC'' Data'!$AD$4:$AE$14,2,FALSE)=0,"Enrcoachment Data Missing ⚠",VLOOKUP(X167,'G-7 WaterC'' Data'!$AD$4:$AE$14,2,FALSE)))))</f>
        <v/>
      </c>
      <c r="Z167" s="102"/>
      <c r="AA167" s="276" t="str">
        <f>IF(Z167="","",IF(VLOOKUP(Z167,'G-7 WaterC'' Data'!$AO$4:$BO$7,2,FALSE)=0,"Spatial Data Missing ⚠",VLOOKUP(Z167,'G-7 WaterC'' Data'!$AO$4:$BO$7,2,FALSE)))</f>
        <v/>
      </c>
      <c r="AB167" s="317" t="str">
        <f t="shared" si="18"/>
        <v/>
      </c>
      <c r="AC167" s="317" t="str">
        <f t="shared" si="19"/>
        <v/>
      </c>
      <c r="AD167" s="101"/>
      <c r="AE167" s="938"/>
      <c r="AF167" s="138"/>
      <c r="AG167" s="138"/>
      <c r="AH167" s="934"/>
      <c r="AL167" s="30" t="str">
        <f>IFERROR(INDEX('G-7 WaterC'' Data'!$AZ$3:$AZ$7,MATCH(C167,'G-7 WaterC'' Data'!$AY$3:$AY$7,0)),"")</f>
        <v/>
      </c>
      <c r="AN167" s="30" t="str">
        <f t="shared" si="20"/>
        <v>No</v>
      </c>
    </row>
    <row r="168" spans="2:40" ht="14">
      <c r="B168" s="97">
        <v>157</v>
      </c>
      <c r="C168" s="923"/>
      <c r="D168" s="115"/>
      <c r="E168" s="275" t="str">
        <f>IF(C168="","",VLOOKUP(C168,'G-7 WaterC'' Data'!$B$2:$Z$9,2,FALSE))</f>
        <v/>
      </c>
      <c r="F168" s="276" t="str">
        <f>IFERROR(VLOOKUP(E168,'G-7 WaterC'' Data'!$C$4:$D$8,2,FALSE),"")</f>
        <v/>
      </c>
      <c r="G168" s="52"/>
      <c r="H168" s="276" t="str">
        <f>IFERROR(INDEX('G-7 WaterC'' Data'!$H$4:$L$8,MATCH(C168,'G-7 WaterC'' Data'!$B$4:$B$8,0),MATCH(G168,'G-7 WaterC'' Data'!$H$3:$L$3,0)),"")</f>
        <v/>
      </c>
      <c r="I168" s="52"/>
      <c r="J168" s="314" t="str">
        <f>IF(I168="","",IF(VLOOKUP(I168,'G-7 WaterC'' Data'!$AK$4:$AM$6,2,FALSE)=0,"Spatial Data Missing ⚠",VLOOKUP(I168,'G-7 WaterC'' Data'!$AK$4:$AM$6,2,FALSE)))</f>
        <v/>
      </c>
      <c r="K168" s="276" t="str">
        <f>IF(I168="","",IF(VLOOKUP(I168,'G-7 WaterC'' Data'!$AK$4:$AM$6,3,FALSE)=0,"Spatial Data Missing ⚠",VLOOKUP(I168,'G-7 WaterC'' Data'!$AK$4:$AM$6,3,FALSE)))</f>
        <v/>
      </c>
      <c r="L168" s="372" t="str">
        <f>IFERROR(INDEX('G-7 WaterC'' Data'!$O$3:$O$7,MATCH(G168,'G-7 WaterC'' Data'!$N$3:$N$7,0)),"")</f>
        <v/>
      </c>
      <c r="M168" s="53"/>
      <c r="N168" s="133"/>
      <c r="O168" s="283" t="str">
        <f t="shared" si="14"/>
        <v/>
      </c>
      <c r="P168" s="296" t="str">
        <f t="shared" si="15"/>
        <v/>
      </c>
      <c r="Q168" s="334" t="str">
        <f>IFERROR(IF(P168="Check Data ⚠","Check Data ⚠",VLOOKUP(P168,'G-4 Temporal multipliers'!$A$4:$C$37,3,FALSE)),"")</f>
        <v/>
      </c>
      <c r="R168" s="275" t="str">
        <f>IF(C168="","",VLOOKUP(C168,'G-7 WaterC'' Data'!$B$4:$G$8,4,FALSE))</f>
        <v/>
      </c>
      <c r="S168" s="283" t="str">
        <f t="shared" si="16"/>
        <v/>
      </c>
      <c r="T168" s="314" t="str">
        <f t="shared" si="17"/>
        <v/>
      </c>
      <c r="U168" s="276" t="str">
        <f>IF(C168="","",VLOOKUP(T168,'G-3 Multipliers'!$P$2:$Q$6,2,FALSE))</f>
        <v/>
      </c>
      <c r="V168" s="102"/>
      <c r="W168" s="276" t="str">
        <f>IF(V168="","",IF(AND(V168="N/A - Culvert",C168&lt;&gt;"Culvert"),"Not possible ▲",IF(AND(C168="Culvert",V168&lt;&gt;"N/A - Culvert"),"Not possible ▲",IF(VLOOKUP(V168,'G-7 WaterC'' Data'!$AA$4:$AB$7,2,FALSE)=0,"Spatial Data Missing ⚠",VLOOKUP(V168,'G-7 WaterC'' Data'!$AA$4:$AB$7,2,FALSE)))))</f>
        <v/>
      </c>
      <c r="X168" s="56"/>
      <c r="Y168" s="276" t="str">
        <f>IF(X168="","",IF(AND(X168="N/A - Culvert",C168&lt;&gt;"Culvert"),"Not possible ▲",IF(AND(C168="Culvert",X168&lt;&gt;"N/A - Culvert"),"Not possible ▲",IF(VLOOKUP(X168,'G-7 WaterC'' Data'!$AD$4:$AE$14,2,FALSE)=0,"Enrcoachment Data Missing ⚠",VLOOKUP(X168,'G-7 WaterC'' Data'!$AD$4:$AE$14,2,FALSE)))))</f>
        <v/>
      </c>
      <c r="Z168" s="102"/>
      <c r="AA168" s="276" t="str">
        <f>IF(Z168="","",IF(VLOOKUP(Z168,'G-7 WaterC'' Data'!$AO$4:$BO$7,2,FALSE)=0,"Spatial Data Missing ⚠",VLOOKUP(Z168,'G-7 WaterC'' Data'!$AO$4:$BO$7,2,FALSE)))</f>
        <v/>
      </c>
      <c r="AB168" s="317" t="str">
        <f t="shared" si="18"/>
        <v/>
      </c>
      <c r="AC168" s="317" t="str">
        <f t="shared" si="19"/>
        <v/>
      </c>
      <c r="AD168" s="101"/>
      <c r="AE168" s="938"/>
      <c r="AF168" s="138"/>
      <c r="AG168" s="138"/>
      <c r="AH168" s="934"/>
      <c r="AL168" s="30" t="str">
        <f>IFERROR(INDEX('G-7 WaterC'' Data'!$AZ$3:$AZ$7,MATCH(C168,'G-7 WaterC'' Data'!$AY$3:$AY$7,0)),"")</f>
        <v/>
      </c>
      <c r="AN168" s="30" t="str">
        <f t="shared" si="20"/>
        <v>No</v>
      </c>
    </row>
    <row r="169" spans="2:40" ht="14">
      <c r="B169" s="97">
        <v>158</v>
      </c>
      <c r="C169" s="923"/>
      <c r="D169" s="115"/>
      <c r="E169" s="275" t="str">
        <f>IF(C169="","",VLOOKUP(C169,'G-7 WaterC'' Data'!$B$2:$Z$9,2,FALSE))</f>
        <v/>
      </c>
      <c r="F169" s="276" t="str">
        <f>IFERROR(VLOOKUP(E169,'G-7 WaterC'' Data'!$C$4:$D$8,2,FALSE),"")</f>
        <v/>
      </c>
      <c r="G169" s="52"/>
      <c r="H169" s="276" t="str">
        <f>IFERROR(INDEX('G-7 WaterC'' Data'!$H$4:$L$8,MATCH(C169,'G-7 WaterC'' Data'!$B$4:$B$8,0),MATCH(G169,'G-7 WaterC'' Data'!$H$3:$L$3,0)),"")</f>
        <v/>
      </c>
      <c r="I169" s="52"/>
      <c r="J169" s="314" t="str">
        <f>IF(I169="","",IF(VLOOKUP(I169,'G-7 WaterC'' Data'!$AK$4:$AM$6,2,FALSE)=0,"Spatial Data Missing ⚠",VLOOKUP(I169,'G-7 WaterC'' Data'!$AK$4:$AM$6,2,FALSE)))</f>
        <v/>
      </c>
      <c r="K169" s="276" t="str">
        <f>IF(I169="","",IF(VLOOKUP(I169,'G-7 WaterC'' Data'!$AK$4:$AM$6,3,FALSE)=0,"Spatial Data Missing ⚠",VLOOKUP(I169,'G-7 WaterC'' Data'!$AK$4:$AM$6,3,FALSE)))</f>
        <v/>
      </c>
      <c r="L169" s="372" t="str">
        <f>IFERROR(INDEX('G-7 WaterC'' Data'!$O$3:$O$7,MATCH(G169,'G-7 WaterC'' Data'!$N$3:$N$7,0)),"")</f>
        <v/>
      </c>
      <c r="M169" s="53"/>
      <c r="N169" s="133"/>
      <c r="O169" s="283" t="str">
        <f t="shared" si="14"/>
        <v/>
      </c>
      <c r="P169" s="296" t="str">
        <f t="shared" si="15"/>
        <v/>
      </c>
      <c r="Q169" s="334" t="str">
        <f>IFERROR(IF(P169="Check Data ⚠","Check Data ⚠",VLOOKUP(P169,'G-4 Temporal multipliers'!$A$4:$C$37,3,FALSE)),"")</f>
        <v/>
      </c>
      <c r="R169" s="275" t="str">
        <f>IF(C169="","",VLOOKUP(C169,'G-7 WaterC'' Data'!$B$4:$G$8,4,FALSE))</f>
        <v/>
      </c>
      <c r="S169" s="283" t="str">
        <f t="shared" si="16"/>
        <v/>
      </c>
      <c r="T169" s="314" t="str">
        <f t="shared" si="17"/>
        <v/>
      </c>
      <c r="U169" s="276" t="str">
        <f>IF(C169="","",VLOOKUP(T169,'G-3 Multipliers'!$P$2:$Q$6,2,FALSE))</f>
        <v/>
      </c>
      <c r="V169" s="102"/>
      <c r="W169" s="276" t="str">
        <f>IF(V169="","",IF(AND(V169="N/A - Culvert",C169&lt;&gt;"Culvert"),"Not possible ▲",IF(AND(C169="Culvert",V169&lt;&gt;"N/A - Culvert"),"Not possible ▲",IF(VLOOKUP(V169,'G-7 WaterC'' Data'!$AA$4:$AB$7,2,FALSE)=0,"Spatial Data Missing ⚠",VLOOKUP(V169,'G-7 WaterC'' Data'!$AA$4:$AB$7,2,FALSE)))))</f>
        <v/>
      </c>
      <c r="X169" s="56"/>
      <c r="Y169" s="276" t="str">
        <f>IF(X169="","",IF(AND(X169="N/A - Culvert",C169&lt;&gt;"Culvert"),"Not possible ▲",IF(AND(C169="Culvert",X169&lt;&gt;"N/A - Culvert"),"Not possible ▲",IF(VLOOKUP(X169,'G-7 WaterC'' Data'!$AD$4:$AE$14,2,FALSE)=0,"Enrcoachment Data Missing ⚠",VLOOKUP(X169,'G-7 WaterC'' Data'!$AD$4:$AE$14,2,FALSE)))))</f>
        <v/>
      </c>
      <c r="Z169" s="102"/>
      <c r="AA169" s="276" t="str">
        <f>IF(Z169="","",IF(VLOOKUP(Z169,'G-7 WaterC'' Data'!$AO$4:$BO$7,2,FALSE)=0,"Spatial Data Missing ⚠",VLOOKUP(Z169,'G-7 WaterC'' Data'!$AO$4:$BO$7,2,FALSE)))</f>
        <v/>
      </c>
      <c r="AB169" s="317" t="str">
        <f t="shared" si="18"/>
        <v/>
      </c>
      <c r="AC169" s="317" t="str">
        <f t="shared" si="19"/>
        <v/>
      </c>
      <c r="AD169" s="101"/>
      <c r="AE169" s="938"/>
      <c r="AF169" s="138"/>
      <c r="AG169" s="138"/>
      <c r="AH169" s="934"/>
      <c r="AL169" s="30" t="str">
        <f>IFERROR(INDEX('G-7 WaterC'' Data'!$AZ$3:$AZ$7,MATCH(C169,'G-7 WaterC'' Data'!$AY$3:$AY$7,0)),"")</f>
        <v/>
      </c>
      <c r="AN169" s="30" t="str">
        <f t="shared" si="20"/>
        <v>No</v>
      </c>
    </row>
    <row r="170" spans="2:40" ht="14">
      <c r="B170" s="97">
        <v>159</v>
      </c>
      <c r="C170" s="923"/>
      <c r="D170" s="115"/>
      <c r="E170" s="275" t="str">
        <f>IF(C170="","",VLOOKUP(C170,'G-7 WaterC'' Data'!$B$2:$Z$9,2,FALSE))</f>
        <v/>
      </c>
      <c r="F170" s="276" t="str">
        <f>IFERROR(VLOOKUP(E170,'G-7 WaterC'' Data'!$C$4:$D$8,2,FALSE),"")</f>
        <v/>
      </c>
      <c r="G170" s="52"/>
      <c r="H170" s="276" t="str">
        <f>IFERROR(INDEX('G-7 WaterC'' Data'!$H$4:$L$8,MATCH(C170,'G-7 WaterC'' Data'!$B$4:$B$8,0),MATCH(G170,'G-7 WaterC'' Data'!$H$3:$L$3,0)),"")</f>
        <v/>
      </c>
      <c r="I170" s="52"/>
      <c r="J170" s="314" t="str">
        <f>IF(I170="","",IF(VLOOKUP(I170,'G-7 WaterC'' Data'!$AK$4:$AM$6,2,FALSE)=0,"Spatial Data Missing ⚠",VLOOKUP(I170,'G-7 WaterC'' Data'!$AK$4:$AM$6,2,FALSE)))</f>
        <v/>
      </c>
      <c r="K170" s="276" t="str">
        <f>IF(I170="","",IF(VLOOKUP(I170,'G-7 WaterC'' Data'!$AK$4:$AM$6,3,FALSE)=0,"Spatial Data Missing ⚠",VLOOKUP(I170,'G-7 WaterC'' Data'!$AK$4:$AM$6,3,FALSE)))</f>
        <v/>
      </c>
      <c r="L170" s="372" t="str">
        <f>IFERROR(INDEX('G-7 WaterC'' Data'!$O$3:$O$7,MATCH(G170,'G-7 WaterC'' Data'!$N$3:$N$7,0)),"")</f>
        <v/>
      </c>
      <c r="M170" s="53"/>
      <c r="N170" s="133"/>
      <c r="O170" s="283" t="str">
        <f t="shared" si="14"/>
        <v/>
      </c>
      <c r="P170" s="296" t="str">
        <f t="shared" si="15"/>
        <v/>
      </c>
      <c r="Q170" s="334" t="str">
        <f>IFERROR(IF(P170="Check Data ⚠","Check Data ⚠",VLOOKUP(P170,'G-4 Temporal multipliers'!$A$4:$C$37,3,FALSE)),"")</f>
        <v/>
      </c>
      <c r="R170" s="275" t="str">
        <f>IF(C170="","",VLOOKUP(C170,'G-7 WaterC'' Data'!$B$4:$G$8,4,FALSE))</f>
        <v/>
      </c>
      <c r="S170" s="283" t="str">
        <f t="shared" si="16"/>
        <v/>
      </c>
      <c r="T170" s="314" t="str">
        <f t="shared" si="17"/>
        <v/>
      </c>
      <c r="U170" s="276" t="str">
        <f>IF(C170="","",VLOOKUP(T170,'G-3 Multipliers'!$P$2:$Q$6,2,FALSE))</f>
        <v/>
      </c>
      <c r="V170" s="102"/>
      <c r="W170" s="276" t="str">
        <f>IF(V170="","",IF(AND(V170="N/A - Culvert",C170&lt;&gt;"Culvert"),"Not possible ▲",IF(AND(C170="Culvert",V170&lt;&gt;"N/A - Culvert"),"Not possible ▲",IF(VLOOKUP(V170,'G-7 WaterC'' Data'!$AA$4:$AB$7,2,FALSE)=0,"Spatial Data Missing ⚠",VLOOKUP(V170,'G-7 WaterC'' Data'!$AA$4:$AB$7,2,FALSE)))))</f>
        <v/>
      </c>
      <c r="X170" s="56"/>
      <c r="Y170" s="276" t="str">
        <f>IF(X170="","",IF(AND(X170="N/A - Culvert",C170&lt;&gt;"Culvert"),"Not possible ▲",IF(AND(C170="Culvert",X170&lt;&gt;"N/A - Culvert"),"Not possible ▲",IF(VLOOKUP(X170,'G-7 WaterC'' Data'!$AD$4:$AE$14,2,FALSE)=0,"Enrcoachment Data Missing ⚠",VLOOKUP(X170,'G-7 WaterC'' Data'!$AD$4:$AE$14,2,FALSE)))))</f>
        <v/>
      </c>
      <c r="Z170" s="102"/>
      <c r="AA170" s="276" t="str">
        <f>IF(Z170="","",IF(VLOOKUP(Z170,'G-7 WaterC'' Data'!$AO$4:$BO$7,2,FALSE)=0,"Spatial Data Missing ⚠",VLOOKUP(Z170,'G-7 WaterC'' Data'!$AO$4:$BO$7,2,FALSE)))</f>
        <v/>
      </c>
      <c r="AB170" s="317" t="str">
        <f t="shared" si="18"/>
        <v/>
      </c>
      <c r="AC170" s="317" t="str">
        <f t="shared" si="19"/>
        <v/>
      </c>
      <c r="AD170" s="101"/>
      <c r="AE170" s="938"/>
      <c r="AF170" s="138"/>
      <c r="AG170" s="138"/>
      <c r="AH170" s="934"/>
      <c r="AL170" s="30" t="str">
        <f>IFERROR(INDEX('G-7 WaterC'' Data'!$AZ$3:$AZ$7,MATCH(C170,'G-7 WaterC'' Data'!$AY$3:$AY$7,0)),"")</f>
        <v/>
      </c>
      <c r="AN170" s="30" t="str">
        <f t="shared" si="20"/>
        <v>No</v>
      </c>
    </row>
    <row r="171" spans="2:40" ht="14">
      <c r="B171" s="97">
        <v>160</v>
      </c>
      <c r="C171" s="923"/>
      <c r="D171" s="115"/>
      <c r="E171" s="275" t="str">
        <f>IF(C171="","",VLOOKUP(C171,'G-7 WaterC'' Data'!$B$2:$Z$9,2,FALSE))</f>
        <v/>
      </c>
      <c r="F171" s="276" t="str">
        <f>IFERROR(VLOOKUP(E171,'G-7 WaterC'' Data'!$C$4:$D$8,2,FALSE),"")</f>
        <v/>
      </c>
      <c r="G171" s="52"/>
      <c r="H171" s="276" t="str">
        <f>IFERROR(INDEX('G-7 WaterC'' Data'!$H$4:$L$8,MATCH(C171,'G-7 WaterC'' Data'!$B$4:$B$8,0),MATCH(G171,'G-7 WaterC'' Data'!$H$3:$L$3,0)),"")</f>
        <v/>
      </c>
      <c r="I171" s="52"/>
      <c r="J171" s="314" t="str">
        <f>IF(I171="","",IF(VLOOKUP(I171,'G-7 WaterC'' Data'!$AK$4:$AM$6,2,FALSE)=0,"Spatial Data Missing ⚠",VLOOKUP(I171,'G-7 WaterC'' Data'!$AK$4:$AM$6,2,FALSE)))</f>
        <v/>
      </c>
      <c r="K171" s="276" t="str">
        <f>IF(I171="","",IF(VLOOKUP(I171,'G-7 WaterC'' Data'!$AK$4:$AM$6,3,FALSE)=0,"Spatial Data Missing ⚠",VLOOKUP(I171,'G-7 WaterC'' Data'!$AK$4:$AM$6,3,FALSE)))</f>
        <v/>
      </c>
      <c r="L171" s="372" t="str">
        <f>IFERROR(INDEX('G-7 WaterC'' Data'!$O$3:$O$7,MATCH(G171,'G-7 WaterC'' Data'!$N$3:$N$7,0)),"")</f>
        <v/>
      </c>
      <c r="M171" s="53"/>
      <c r="N171" s="133"/>
      <c r="O171" s="283" t="str">
        <f t="shared" si="14"/>
        <v/>
      </c>
      <c r="P171" s="296" t="str">
        <f t="shared" si="15"/>
        <v/>
      </c>
      <c r="Q171" s="334" t="str">
        <f>IFERROR(IF(P171="Check Data ⚠","Check Data ⚠",VLOOKUP(P171,'G-4 Temporal multipliers'!$A$4:$C$37,3,FALSE)),"")</f>
        <v/>
      </c>
      <c r="R171" s="275" t="str">
        <f>IF(C171="","",VLOOKUP(C171,'G-7 WaterC'' Data'!$B$4:$G$8,4,FALSE))</f>
        <v/>
      </c>
      <c r="S171" s="283" t="str">
        <f t="shared" si="16"/>
        <v/>
      </c>
      <c r="T171" s="314" t="str">
        <f t="shared" si="17"/>
        <v/>
      </c>
      <c r="U171" s="276" t="str">
        <f>IF(C171="","",VLOOKUP(T171,'G-3 Multipliers'!$P$2:$Q$6,2,FALSE))</f>
        <v/>
      </c>
      <c r="V171" s="102"/>
      <c r="W171" s="276" t="str">
        <f>IF(V171="","",IF(AND(V171="N/A - Culvert",C171&lt;&gt;"Culvert"),"Not possible ▲",IF(AND(C171="Culvert",V171&lt;&gt;"N/A - Culvert"),"Not possible ▲",IF(VLOOKUP(V171,'G-7 WaterC'' Data'!$AA$4:$AB$7,2,FALSE)=0,"Spatial Data Missing ⚠",VLOOKUP(V171,'G-7 WaterC'' Data'!$AA$4:$AB$7,2,FALSE)))))</f>
        <v/>
      </c>
      <c r="X171" s="56"/>
      <c r="Y171" s="276" t="str">
        <f>IF(X171="","",IF(AND(X171="N/A - Culvert",C171&lt;&gt;"Culvert"),"Not possible ▲",IF(AND(C171="Culvert",X171&lt;&gt;"N/A - Culvert"),"Not possible ▲",IF(VLOOKUP(X171,'G-7 WaterC'' Data'!$AD$4:$AE$14,2,FALSE)=0,"Enrcoachment Data Missing ⚠",VLOOKUP(X171,'G-7 WaterC'' Data'!$AD$4:$AE$14,2,FALSE)))))</f>
        <v/>
      </c>
      <c r="Z171" s="102"/>
      <c r="AA171" s="276" t="str">
        <f>IF(Z171="","",IF(VLOOKUP(Z171,'G-7 WaterC'' Data'!$AO$4:$BO$7,2,FALSE)=0,"Spatial Data Missing ⚠",VLOOKUP(Z171,'G-7 WaterC'' Data'!$AO$4:$BO$7,2,FALSE)))</f>
        <v/>
      </c>
      <c r="AB171" s="317" t="str">
        <f t="shared" si="18"/>
        <v/>
      </c>
      <c r="AC171" s="317" t="str">
        <f t="shared" si="19"/>
        <v/>
      </c>
      <c r="AD171" s="101"/>
      <c r="AE171" s="938"/>
      <c r="AF171" s="138"/>
      <c r="AG171" s="138"/>
      <c r="AH171" s="934"/>
      <c r="AL171" s="30" t="str">
        <f>IFERROR(INDEX('G-7 WaterC'' Data'!$AZ$3:$AZ$7,MATCH(C171,'G-7 WaterC'' Data'!$AY$3:$AY$7,0)),"")</f>
        <v/>
      </c>
      <c r="AN171" s="30" t="str">
        <f t="shared" si="20"/>
        <v>No</v>
      </c>
    </row>
    <row r="172" spans="2:40" ht="14">
      <c r="B172" s="97">
        <v>161</v>
      </c>
      <c r="C172" s="923"/>
      <c r="D172" s="115"/>
      <c r="E172" s="275" t="str">
        <f>IF(C172="","",VLOOKUP(C172,'G-7 WaterC'' Data'!$B$2:$Z$9,2,FALSE))</f>
        <v/>
      </c>
      <c r="F172" s="276" t="str">
        <f>IFERROR(VLOOKUP(E172,'G-7 WaterC'' Data'!$C$4:$D$8,2,FALSE),"")</f>
        <v/>
      </c>
      <c r="G172" s="52"/>
      <c r="H172" s="276" t="str">
        <f>IFERROR(INDEX('G-7 WaterC'' Data'!$H$4:$L$8,MATCH(C172,'G-7 WaterC'' Data'!$B$4:$B$8,0),MATCH(G172,'G-7 WaterC'' Data'!$H$3:$L$3,0)),"")</f>
        <v/>
      </c>
      <c r="I172" s="52"/>
      <c r="J172" s="314" t="str">
        <f>IF(I172="","",IF(VLOOKUP(I172,'G-7 WaterC'' Data'!$AK$4:$AM$6,2,FALSE)=0,"Spatial Data Missing ⚠",VLOOKUP(I172,'G-7 WaterC'' Data'!$AK$4:$AM$6,2,FALSE)))</f>
        <v/>
      </c>
      <c r="K172" s="276" t="str">
        <f>IF(I172="","",IF(VLOOKUP(I172,'G-7 WaterC'' Data'!$AK$4:$AM$6,3,FALSE)=0,"Spatial Data Missing ⚠",VLOOKUP(I172,'G-7 WaterC'' Data'!$AK$4:$AM$6,3,FALSE)))</f>
        <v/>
      </c>
      <c r="L172" s="372" t="str">
        <f>IFERROR(INDEX('G-7 WaterC'' Data'!$O$3:$O$7,MATCH(G172,'G-7 WaterC'' Data'!$N$3:$N$7,0)),"")</f>
        <v/>
      </c>
      <c r="M172" s="53"/>
      <c r="N172" s="133"/>
      <c r="O172" s="283" t="str">
        <f t="shared" si="14"/>
        <v/>
      </c>
      <c r="P172" s="296" t="str">
        <f t="shared" si="15"/>
        <v/>
      </c>
      <c r="Q172" s="334" t="str">
        <f>IFERROR(IF(P172="Check Data ⚠","Check Data ⚠",VLOOKUP(P172,'G-4 Temporal multipliers'!$A$4:$C$37,3,FALSE)),"")</f>
        <v/>
      </c>
      <c r="R172" s="275" t="str">
        <f>IF(C172="","",VLOOKUP(C172,'G-7 WaterC'' Data'!$B$4:$G$8,4,FALSE))</f>
        <v/>
      </c>
      <c r="S172" s="283" t="str">
        <f t="shared" si="16"/>
        <v/>
      </c>
      <c r="T172" s="314" t="str">
        <f t="shared" si="17"/>
        <v/>
      </c>
      <c r="U172" s="276" t="str">
        <f>IF(C172="","",VLOOKUP(T172,'G-3 Multipliers'!$P$2:$Q$6,2,FALSE))</f>
        <v/>
      </c>
      <c r="V172" s="102"/>
      <c r="W172" s="276" t="str">
        <f>IF(V172="","",IF(AND(V172="N/A - Culvert",C172&lt;&gt;"Culvert"),"Not possible ▲",IF(AND(C172="Culvert",V172&lt;&gt;"N/A - Culvert"),"Not possible ▲",IF(VLOOKUP(V172,'G-7 WaterC'' Data'!$AA$4:$AB$7,2,FALSE)=0,"Spatial Data Missing ⚠",VLOOKUP(V172,'G-7 WaterC'' Data'!$AA$4:$AB$7,2,FALSE)))))</f>
        <v/>
      </c>
      <c r="X172" s="56"/>
      <c r="Y172" s="276" t="str">
        <f>IF(X172="","",IF(AND(X172="N/A - Culvert",C172&lt;&gt;"Culvert"),"Not possible ▲",IF(AND(C172="Culvert",X172&lt;&gt;"N/A - Culvert"),"Not possible ▲",IF(VLOOKUP(X172,'G-7 WaterC'' Data'!$AD$4:$AE$14,2,FALSE)=0,"Enrcoachment Data Missing ⚠",VLOOKUP(X172,'G-7 WaterC'' Data'!$AD$4:$AE$14,2,FALSE)))))</f>
        <v/>
      </c>
      <c r="Z172" s="102"/>
      <c r="AA172" s="276" t="str">
        <f>IF(Z172="","",IF(VLOOKUP(Z172,'G-7 WaterC'' Data'!$AO$4:$BO$7,2,FALSE)=0,"Spatial Data Missing ⚠",VLOOKUP(Z172,'G-7 WaterC'' Data'!$AO$4:$BO$7,2,FALSE)))</f>
        <v/>
      </c>
      <c r="AB172" s="317" t="str">
        <f t="shared" si="18"/>
        <v/>
      </c>
      <c r="AC172" s="317" t="str">
        <f t="shared" si="19"/>
        <v/>
      </c>
      <c r="AD172" s="101"/>
      <c r="AE172" s="938"/>
      <c r="AF172" s="138"/>
      <c r="AG172" s="138"/>
      <c r="AH172" s="934"/>
      <c r="AL172" s="30" t="str">
        <f>IFERROR(INDEX('G-7 WaterC'' Data'!$AZ$3:$AZ$7,MATCH(C172,'G-7 WaterC'' Data'!$AY$3:$AY$7,0)),"")</f>
        <v/>
      </c>
      <c r="AN172" s="30" t="str">
        <f t="shared" si="20"/>
        <v>No</v>
      </c>
    </row>
    <row r="173" spans="2:40" ht="14">
      <c r="B173" s="97">
        <v>162</v>
      </c>
      <c r="C173" s="923"/>
      <c r="D173" s="115"/>
      <c r="E173" s="275" t="str">
        <f>IF(C173="","",VLOOKUP(C173,'G-7 WaterC'' Data'!$B$2:$Z$9,2,FALSE))</f>
        <v/>
      </c>
      <c r="F173" s="276" t="str">
        <f>IFERROR(VLOOKUP(E173,'G-7 WaterC'' Data'!$C$4:$D$8,2,FALSE),"")</f>
        <v/>
      </c>
      <c r="G173" s="52"/>
      <c r="H173" s="276" t="str">
        <f>IFERROR(INDEX('G-7 WaterC'' Data'!$H$4:$L$8,MATCH(C173,'G-7 WaterC'' Data'!$B$4:$B$8,0),MATCH(G173,'G-7 WaterC'' Data'!$H$3:$L$3,0)),"")</f>
        <v/>
      </c>
      <c r="I173" s="52"/>
      <c r="J173" s="314" t="str">
        <f>IF(I173="","",IF(VLOOKUP(I173,'G-7 WaterC'' Data'!$AK$4:$AM$6,2,FALSE)=0,"Spatial Data Missing ⚠",VLOOKUP(I173,'G-7 WaterC'' Data'!$AK$4:$AM$6,2,FALSE)))</f>
        <v/>
      </c>
      <c r="K173" s="276" t="str">
        <f>IF(I173="","",IF(VLOOKUP(I173,'G-7 WaterC'' Data'!$AK$4:$AM$6,3,FALSE)=0,"Spatial Data Missing ⚠",VLOOKUP(I173,'G-7 WaterC'' Data'!$AK$4:$AM$6,3,FALSE)))</f>
        <v/>
      </c>
      <c r="L173" s="372" t="str">
        <f>IFERROR(INDEX('G-7 WaterC'' Data'!$O$3:$O$7,MATCH(G173,'G-7 WaterC'' Data'!$N$3:$N$7,0)),"")</f>
        <v/>
      </c>
      <c r="M173" s="53"/>
      <c r="N173" s="133"/>
      <c r="O173" s="283" t="str">
        <f t="shared" si="14"/>
        <v/>
      </c>
      <c r="P173" s="296" t="str">
        <f t="shared" si="15"/>
        <v/>
      </c>
      <c r="Q173" s="334" t="str">
        <f>IFERROR(IF(P173="Check Data ⚠","Check Data ⚠",VLOOKUP(P173,'G-4 Temporal multipliers'!$A$4:$C$37,3,FALSE)),"")</f>
        <v/>
      </c>
      <c r="R173" s="275" t="str">
        <f>IF(C173="","",VLOOKUP(C173,'G-7 WaterC'' Data'!$B$4:$G$8,4,FALSE))</f>
        <v/>
      </c>
      <c r="S173" s="283" t="str">
        <f t="shared" si="16"/>
        <v/>
      </c>
      <c r="T173" s="314" t="str">
        <f t="shared" si="17"/>
        <v/>
      </c>
      <c r="U173" s="276" t="str">
        <f>IF(C173="","",VLOOKUP(T173,'G-3 Multipliers'!$P$2:$Q$6,2,FALSE))</f>
        <v/>
      </c>
      <c r="V173" s="102"/>
      <c r="W173" s="276" t="str">
        <f>IF(V173="","",IF(AND(V173="N/A - Culvert",C173&lt;&gt;"Culvert"),"Not possible ▲",IF(AND(C173="Culvert",V173&lt;&gt;"N/A - Culvert"),"Not possible ▲",IF(VLOOKUP(V173,'G-7 WaterC'' Data'!$AA$4:$AB$7,2,FALSE)=0,"Spatial Data Missing ⚠",VLOOKUP(V173,'G-7 WaterC'' Data'!$AA$4:$AB$7,2,FALSE)))))</f>
        <v/>
      </c>
      <c r="X173" s="56"/>
      <c r="Y173" s="276" t="str">
        <f>IF(X173="","",IF(AND(X173="N/A - Culvert",C173&lt;&gt;"Culvert"),"Not possible ▲",IF(AND(C173="Culvert",X173&lt;&gt;"N/A - Culvert"),"Not possible ▲",IF(VLOOKUP(X173,'G-7 WaterC'' Data'!$AD$4:$AE$14,2,FALSE)=0,"Enrcoachment Data Missing ⚠",VLOOKUP(X173,'G-7 WaterC'' Data'!$AD$4:$AE$14,2,FALSE)))))</f>
        <v/>
      </c>
      <c r="Z173" s="102"/>
      <c r="AA173" s="276" t="str">
        <f>IF(Z173="","",IF(VLOOKUP(Z173,'G-7 WaterC'' Data'!$AO$4:$BO$7,2,FALSE)=0,"Spatial Data Missing ⚠",VLOOKUP(Z173,'G-7 WaterC'' Data'!$AO$4:$BO$7,2,FALSE)))</f>
        <v/>
      </c>
      <c r="AB173" s="317" t="str">
        <f t="shared" si="18"/>
        <v/>
      </c>
      <c r="AC173" s="317" t="str">
        <f t="shared" si="19"/>
        <v/>
      </c>
      <c r="AD173" s="101"/>
      <c r="AE173" s="938"/>
      <c r="AF173" s="138"/>
      <c r="AG173" s="138"/>
      <c r="AH173" s="934"/>
      <c r="AL173" s="30" t="str">
        <f>IFERROR(INDEX('G-7 WaterC'' Data'!$AZ$3:$AZ$7,MATCH(C173,'G-7 WaterC'' Data'!$AY$3:$AY$7,0)),"")</f>
        <v/>
      </c>
      <c r="AN173" s="30" t="str">
        <f t="shared" si="20"/>
        <v>No</v>
      </c>
    </row>
    <row r="174" spans="2:40" ht="14">
      <c r="B174" s="97">
        <v>163</v>
      </c>
      <c r="C174" s="923"/>
      <c r="D174" s="115"/>
      <c r="E174" s="275" t="str">
        <f>IF(C174="","",VLOOKUP(C174,'G-7 WaterC'' Data'!$B$2:$Z$9,2,FALSE))</f>
        <v/>
      </c>
      <c r="F174" s="276" t="str">
        <f>IFERROR(VLOOKUP(E174,'G-7 WaterC'' Data'!$C$4:$D$8,2,FALSE),"")</f>
        <v/>
      </c>
      <c r="G174" s="52"/>
      <c r="H174" s="276" t="str">
        <f>IFERROR(INDEX('G-7 WaterC'' Data'!$H$4:$L$8,MATCH(C174,'G-7 WaterC'' Data'!$B$4:$B$8,0),MATCH(G174,'G-7 WaterC'' Data'!$H$3:$L$3,0)),"")</f>
        <v/>
      </c>
      <c r="I174" s="52"/>
      <c r="J174" s="314" t="str">
        <f>IF(I174="","",IF(VLOOKUP(I174,'G-7 WaterC'' Data'!$AK$4:$AM$6,2,FALSE)=0,"Spatial Data Missing ⚠",VLOOKUP(I174,'G-7 WaterC'' Data'!$AK$4:$AM$6,2,FALSE)))</f>
        <v/>
      </c>
      <c r="K174" s="276" t="str">
        <f>IF(I174="","",IF(VLOOKUP(I174,'G-7 WaterC'' Data'!$AK$4:$AM$6,3,FALSE)=0,"Spatial Data Missing ⚠",VLOOKUP(I174,'G-7 WaterC'' Data'!$AK$4:$AM$6,3,FALSE)))</f>
        <v/>
      </c>
      <c r="L174" s="372" t="str">
        <f>IFERROR(INDEX('G-7 WaterC'' Data'!$O$3:$O$7,MATCH(G174,'G-7 WaterC'' Data'!$N$3:$N$7,0)),"")</f>
        <v/>
      </c>
      <c r="M174" s="53"/>
      <c r="N174" s="133"/>
      <c r="O174" s="283" t="str">
        <f t="shared" si="14"/>
        <v/>
      </c>
      <c r="P174" s="296" t="str">
        <f t="shared" si="15"/>
        <v/>
      </c>
      <c r="Q174" s="334" t="str">
        <f>IFERROR(IF(P174="Check Data ⚠","Check Data ⚠",VLOOKUP(P174,'G-4 Temporal multipliers'!$A$4:$C$37,3,FALSE)),"")</f>
        <v/>
      </c>
      <c r="R174" s="275" t="str">
        <f>IF(C174="","",VLOOKUP(C174,'G-7 WaterC'' Data'!$B$4:$G$8,4,FALSE))</f>
        <v/>
      </c>
      <c r="S174" s="283" t="str">
        <f t="shared" si="16"/>
        <v/>
      </c>
      <c r="T174" s="314" t="str">
        <f t="shared" si="17"/>
        <v/>
      </c>
      <c r="U174" s="276" t="str">
        <f>IF(C174="","",VLOOKUP(T174,'G-3 Multipliers'!$P$2:$Q$6,2,FALSE))</f>
        <v/>
      </c>
      <c r="V174" s="102"/>
      <c r="W174" s="276" t="str">
        <f>IF(V174="","",IF(AND(V174="N/A - Culvert",C174&lt;&gt;"Culvert"),"Not possible ▲",IF(AND(C174="Culvert",V174&lt;&gt;"N/A - Culvert"),"Not possible ▲",IF(VLOOKUP(V174,'G-7 WaterC'' Data'!$AA$4:$AB$7,2,FALSE)=0,"Spatial Data Missing ⚠",VLOOKUP(V174,'G-7 WaterC'' Data'!$AA$4:$AB$7,2,FALSE)))))</f>
        <v/>
      </c>
      <c r="X174" s="56"/>
      <c r="Y174" s="276" t="str">
        <f>IF(X174="","",IF(AND(X174="N/A - Culvert",C174&lt;&gt;"Culvert"),"Not possible ▲",IF(AND(C174="Culvert",X174&lt;&gt;"N/A - Culvert"),"Not possible ▲",IF(VLOOKUP(X174,'G-7 WaterC'' Data'!$AD$4:$AE$14,2,FALSE)=0,"Enrcoachment Data Missing ⚠",VLOOKUP(X174,'G-7 WaterC'' Data'!$AD$4:$AE$14,2,FALSE)))))</f>
        <v/>
      </c>
      <c r="Z174" s="102"/>
      <c r="AA174" s="276" t="str">
        <f>IF(Z174="","",IF(VLOOKUP(Z174,'G-7 WaterC'' Data'!$AO$4:$BO$7,2,FALSE)=0,"Spatial Data Missing ⚠",VLOOKUP(Z174,'G-7 WaterC'' Data'!$AO$4:$BO$7,2,FALSE)))</f>
        <v/>
      </c>
      <c r="AB174" s="317" t="str">
        <f t="shared" si="18"/>
        <v/>
      </c>
      <c r="AC174" s="317" t="str">
        <f t="shared" si="19"/>
        <v/>
      </c>
      <c r="AD174" s="101"/>
      <c r="AE174" s="938"/>
      <c r="AF174" s="138"/>
      <c r="AG174" s="138"/>
      <c r="AH174" s="934"/>
      <c r="AL174" s="30" t="str">
        <f>IFERROR(INDEX('G-7 WaterC'' Data'!$AZ$3:$AZ$7,MATCH(C174,'G-7 WaterC'' Data'!$AY$3:$AY$7,0)),"")</f>
        <v/>
      </c>
      <c r="AN174" s="30" t="str">
        <f t="shared" si="20"/>
        <v>No</v>
      </c>
    </row>
    <row r="175" spans="2:40" ht="14">
      <c r="B175" s="97">
        <v>164</v>
      </c>
      <c r="C175" s="923"/>
      <c r="D175" s="115"/>
      <c r="E175" s="275" t="str">
        <f>IF(C175="","",VLOOKUP(C175,'G-7 WaterC'' Data'!$B$2:$Z$9,2,FALSE))</f>
        <v/>
      </c>
      <c r="F175" s="276" t="str">
        <f>IFERROR(VLOOKUP(E175,'G-7 WaterC'' Data'!$C$4:$D$8,2,FALSE),"")</f>
        <v/>
      </c>
      <c r="G175" s="52"/>
      <c r="H175" s="276" t="str">
        <f>IFERROR(INDEX('G-7 WaterC'' Data'!$H$4:$L$8,MATCH(C175,'G-7 WaterC'' Data'!$B$4:$B$8,0),MATCH(G175,'G-7 WaterC'' Data'!$H$3:$L$3,0)),"")</f>
        <v/>
      </c>
      <c r="I175" s="52"/>
      <c r="J175" s="314" t="str">
        <f>IF(I175="","",IF(VLOOKUP(I175,'G-7 WaterC'' Data'!$AK$4:$AM$6,2,FALSE)=0,"Spatial Data Missing ⚠",VLOOKUP(I175,'G-7 WaterC'' Data'!$AK$4:$AM$6,2,FALSE)))</f>
        <v/>
      </c>
      <c r="K175" s="276" t="str">
        <f>IF(I175="","",IF(VLOOKUP(I175,'G-7 WaterC'' Data'!$AK$4:$AM$6,3,FALSE)=0,"Spatial Data Missing ⚠",VLOOKUP(I175,'G-7 WaterC'' Data'!$AK$4:$AM$6,3,FALSE)))</f>
        <v/>
      </c>
      <c r="L175" s="372" t="str">
        <f>IFERROR(INDEX('G-7 WaterC'' Data'!$O$3:$O$7,MATCH(G175,'G-7 WaterC'' Data'!$N$3:$N$7,0)),"")</f>
        <v/>
      </c>
      <c r="M175" s="53"/>
      <c r="N175" s="133"/>
      <c r="O175" s="283" t="str">
        <f t="shared" si="14"/>
        <v/>
      </c>
      <c r="P175" s="296" t="str">
        <f t="shared" si="15"/>
        <v/>
      </c>
      <c r="Q175" s="334" t="str">
        <f>IFERROR(IF(P175="Check Data ⚠","Check Data ⚠",VLOOKUP(P175,'G-4 Temporal multipliers'!$A$4:$C$37,3,FALSE)),"")</f>
        <v/>
      </c>
      <c r="R175" s="275" t="str">
        <f>IF(C175="","",VLOOKUP(C175,'G-7 WaterC'' Data'!$B$4:$G$8,4,FALSE))</f>
        <v/>
      </c>
      <c r="S175" s="283" t="str">
        <f t="shared" si="16"/>
        <v/>
      </c>
      <c r="T175" s="314" t="str">
        <f t="shared" si="17"/>
        <v/>
      </c>
      <c r="U175" s="276" t="str">
        <f>IF(C175="","",VLOOKUP(T175,'G-3 Multipliers'!$P$2:$Q$6,2,FALSE))</f>
        <v/>
      </c>
      <c r="V175" s="102"/>
      <c r="W175" s="276" t="str">
        <f>IF(V175="","",IF(AND(V175="N/A - Culvert",C175&lt;&gt;"Culvert"),"Not possible ▲",IF(AND(C175="Culvert",V175&lt;&gt;"N/A - Culvert"),"Not possible ▲",IF(VLOOKUP(V175,'G-7 WaterC'' Data'!$AA$4:$AB$7,2,FALSE)=0,"Spatial Data Missing ⚠",VLOOKUP(V175,'G-7 WaterC'' Data'!$AA$4:$AB$7,2,FALSE)))))</f>
        <v/>
      </c>
      <c r="X175" s="56"/>
      <c r="Y175" s="276" t="str">
        <f>IF(X175="","",IF(AND(X175="N/A - Culvert",C175&lt;&gt;"Culvert"),"Not possible ▲",IF(AND(C175="Culvert",X175&lt;&gt;"N/A - Culvert"),"Not possible ▲",IF(VLOOKUP(X175,'G-7 WaterC'' Data'!$AD$4:$AE$14,2,FALSE)=0,"Enrcoachment Data Missing ⚠",VLOOKUP(X175,'G-7 WaterC'' Data'!$AD$4:$AE$14,2,FALSE)))))</f>
        <v/>
      </c>
      <c r="Z175" s="102"/>
      <c r="AA175" s="276" t="str">
        <f>IF(Z175="","",IF(VLOOKUP(Z175,'G-7 WaterC'' Data'!$AO$4:$BO$7,2,FALSE)=0,"Spatial Data Missing ⚠",VLOOKUP(Z175,'G-7 WaterC'' Data'!$AO$4:$BO$7,2,FALSE)))</f>
        <v/>
      </c>
      <c r="AB175" s="317" t="str">
        <f t="shared" si="18"/>
        <v/>
      </c>
      <c r="AC175" s="317" t="str">
        <f t="shared" si="19"/>
        <v/>
      </c>
      <c r="AD175" s="101"/>
      <c r="AE175" s="938"/>
      <c r="AF175" s="138"/>
      <c r="AG175" s="138"/>
      <c r="AH175" s="934"/>
      <c r="AL175" s="30" t="str">
        <f>IFERROR(INDEX('G-7 WaterC'' Data'!$AZ$3:$AZ$7,MATCH(C175,'G-7 WaterC'' Data'!$AY$3:$AY$7,0)),"")</f>
        <v/>
      </c>
      <c r="AN175" s="30" t="str">
        <f t="shared" si="20"/>
        <v>No</v>
      </c>
    </row>
    <row r="176" spans="2:40" ht="14">
      <c r="B176" s="97">
        <v>165</v>
      </c>
      <c r="C176" s="923"/>
      <c r="D176" s="115"/>
      <c r="E176" s="275" t="str">
        <f>IF(C176="","",VLOOKUP(C176,'G-7 WaterC'' Data'!$B$2:$Z$9,2,FALSE))</f>
        <v/>
      </c>
      <c r="F176" s="276" t="str">
        <f>IFERROR(VLOOKUP(E176,'G-7 WaterC'' Data'!$C$4:$D$8,2,FALSE),"")</f>
        <v/>
      </c>
      <c r="G176" s="52"/>
      <c r="H176" s="276" t="str">
        <f>IFERROR(INDEX('G-7 WaterC'' Data'!$H$4:$L$8,MATCH(C176,'G-7 WaterC'' Data'!$B$4:$B$8,0),MATCH(G176,'G-7 WaterC'' Data'!$H$3:$L$3,0)),"")</f>
        <v/>
      </c>
      <c r="I176" s="52"/>
      <c r="J176" s="314" t="str">
        <f>IF(I176="","",IF(VLOOKUP(I176,'G-7 WaterC'' Data'!$AK$4:$AM$6,2,FALSE)=0,"Spatial Data Missing ⚠",VLOOKUP(I176,'G-7 WaterC'' Data'!$AK$4:$AM$6,2,FALSE)))</f>
        <v/>
      </c>
      <c r="K176" s="276" t="str">
        <f>IF(I176="","",IF(VLOOKUP(I176,'G-7 WaterC'' Data'!$AK$4:$AM$6,3,FALSE)=0,"Spatial Data Missing ⚠",VLOOKUP(I176,'G-7 WaterC'' Data'!$AK$4:$AM$6,3,FALSE)))</f>
        <v/>
      </c>
      <c r="L176" s="372" t="str">
        <f>IFERROR(INDEX('G-7 WaterC'' Data'!$O$3:$O$7,MATCH(G176,'G-7 WaterC'' Data'!$N$3:$N$7,0)),"")</f>
        <v/>
      </c>
      <c r="M176" s="53"/>
      <c r="N176" s="133"/>
      <c r="O176" s="283" t="str">
        <f t="shared" si="14"/>
        <v/>
      </c>
      <c r="P176" s="296" t="str">
        <f t="shared" si="15"/>
        <v/>
      </c>
      <c r="Q176" s="334" t="str">
        <f>IFERROR(IF(P176="Check Data ⚠","Check Data ⚠",VLOOKUP(P176,'G-4 Temporal multipliers'!$A$4:$C$37,3,FALSE)),"")</f>
        <v/>
      </c>
      <c r="R176" s="275" t="str">
        <f>IF(C176="","",VLOOKUP(C176,'G-7 WaterC'' Data'!$B$4:$G$8,4,FALSE))</f>
        <v/>
      </c>
      <c r="S176" s="283" t="str">
        <f t="shared" si="16"/>
        <v/>
      </c>
      <c r="T176" s="314" t="str">
        <f t="shared" si="17"/>
        <v/>
      </c>
      <c r="U176" s="276" t="str">
        <f>IF(C176="","",VLOOKUP(T176,'G-3 Multipliers'!$P$2:$Q$6,2,FALSE))</f>
        <v/>
      </c>
      <c r="V176" s="102"/>
      <c r="W176" s="276" t="str">
        <f>IF(V176="","",IF(AND(V176="N/A - Culvert",C176&lt;&gt;"Culvert"),"Not possible ▲",IF(AND(C176="Culvert",V176&lt;&gt;"N/A - Culvert"),"Not possible ▲",IF(VLOOKUP(V176,'G-7 WaterC'' Data'!$AA$4:$AB$7,2,FALSE)=0,"Spatial Data Missing ⚠",VLOOKUP(V176,'G-7 WaterC'' Data'!$AA$4:$AB$7,2,FALSE)))))</f>
        <v/>
      </c>
      <c r="X176" s="56"/>
      <c r="Y176" s="276" t="str">
        <f>IF(X176="","",IF(AND(X176="N/A - Culvert",C176&lt;&gt;"Culvert"),"Not possible ▲",IF(AND(C176="Culvert",X176&lt;&gt;"N/A - Culvert"),"Not possible ▲",IF(VLOOKUP(X176,'G-7 WaterC'' Data'!$AD$4:$AE$14,2,FALSE)=0,"Enrcoachment Data Missing ⚠",VLOOKUP(X176,'G-7 WaterC'' Data'!$AD$4:$AE$14,2,FALSE)))))</f>
        <v/>
      </c>
      <c r="Z176" s="102"/>
      <c r="AA176" s="276" t="str">
        <f>IF(Z176="","",IF(VLOOKUP(Z176,'G-7 WaterC'' Data'!$AO$4:$BO$7,2,FALSE)=0,"Spatial Data Missing ⚠",VLOOKUP(Z176,'G-7 WaterC'' Data'!$AO$4:$BO$7,2,FALSE)))</f>
        <v/>
      </c>
      <c r="AB176" s="317" t="str">
        <f t="shared" si="18"/>
        <v/>
      </c>
      <c r="AC176" s="317" t="str">
        <f t="shared" si="19"/>
        <v/>
      </c>
      <c r="AD176" s="101"/>
      <c r="AE176" s="938"/>
      <c r="AF176" s="138"/>
      <c r="AG176" s="138"/>
      <c r="AH176" s="934"/>
      <c r="AL176" s="30" t="str">
        <f>IFERROR(INDEX('G-7 WaterC'' Data'!$AZ$3:$AZ$7,MATCH(C176,'G-7 WaterC'' Data'!$AY$3:$AY$7,0)),"")</f>
        <v/>
      </c>
      <c r="AN176" s="30" t="str">
        <f t="shared" si="20"/>
        <v>No</v>
      </c>
    </row>
    <row r="177" spans="2:40" ht="14">
      <c r="B177" s="97">
        <v>166</v>
      </c>
      <c r="C177" s="923"/>
      <c r="D177" s="115"/>
      <c r="E177" s="275" t="str">
        <f>IF(C177="","",VLOOKUP(C177,'G-7 WaterC'' Data'!$B$2:$Z$9,2,FALSE))</f>
        <v/>
      </c>
      <c r="F177" s="276" t="str">
        <f>IFERROR(VLOOKUP(E177,'G-7 WaterC'' Data'!$C$4:$D$8,2,FALSE),"")</f>
        <v/>
      </c>
      <c r="G177" s="52"/>
      <c r="H177" s="276" t="str">
        <f>IFERROR(INDEX('G-7 WaterC'' Data'!$H$4:$L$8,MATCH(C177,'G-7 WaterC'' Data'!$B$4:$B$8,0),MATCH(G177,'G-7 WaterC'' Data'!$H$3:$L$3,0)),"")</f>
        <v/>
      </c>
      <c r="I177" s="52"/>
      <c r="J177" s="314" t="str">
        <f>IF(I177="","",IF(VLOOKUP(I177,'G-7 WaterC'' Data'!$AK$4:$AM$6,2,FALSE)=0,"Spatial Data Missing ⚠",VLOOKUP(I177,'G-7 WaterC'' Data'!$AK$4:$AM$6,2,FALSE)))</f>
        <v/>
      </c>
      <c r="K177" s="276" t="str">
        <f>IF(I177="","",IF(VLOOKUP(I177,'G-7 WaterC'' Data'!$AK$4:$AM$6,3,FALSE)=0,"Spatial Data Missing ⚠",VLOOKUP(I177,'G-7 WaterC'' Data'!$AK$4:$AM$6,3,FALSE)))</f>
        <v/>
      </c>
      <c r="L177" s="372" t="str">
        <f>IFERROR(INDEX('G-7 WaterC'' Data'!$O$3:$O$7,MATCH(G177,'G-7 WaterC'' Data'!$N$3:$N$7,0)),"")</f>
        <v/>
      </c>
      <c r="M177" s="53"/>
      <c r="N177" s="133"/>
      <c r="O177" s="283" t="str">
        <f t="shared" si="14"/>
        <v/>
      </c>
      <c r="P177" s="296" t="str">
        <f t="shared" si="15"/>
        <v/>
      </c>
      <c r="Q177" s="334" t="str">
        <f>IFERROR(IF(P177="Check Data ⚠","Check Data ⚠",VLOOKUP(P177,'G-4 Temporal multipliers'!$A$4:$C$37,3,FALSE)),"")</f>
        <v/>
      </c>
      <c r="R177" s="275" t="str">
        <f>IF(C177="","",VLOOKUP(C177,'G-7 WaterC'' Data'!$B$4:$G$8,4,FALSE))</f>
        <v/>
      </c>
      <c r="S177" s="283" t="str">
        <f t="shared" si="16"/>
        <v/>
      </c>
      <c r="T177" s="314" t="str">
        <f t="shared" si="17"/>
        <v/>
      </c>
      <c r="U177" s="276" t="str">
        <f>IF(C177="","",VLOOKUP(T177,'G-3 Multipliers'!$P$2:$Q$6,2,FALSE))</f>
        <v/>
      </c>
      <c r="V177" s="102"/>
      <c r="W177" s="276" t="str">
        <f>IF(V177="","",IF(AND(V177="N/A - Culvert",C177&lt;&gt;"Culvert"),"Not possible ▲",IF(AND(C177="Culvert",V177&lt;&gt;"N/A - Culvert"),"Not possible ▲",IF(VLOOKUP(V177,'G-7 WaterC'' Data'!$AA$4:$AB$7,2,FALSE)=0,"Spatial Data Missing ⚠",VLOOKUP(V177,'G-7 WaterC'' Data'!$AA$4:$AB$7,2,FALSE)))))</f>
        <v/>
      </c>
      <c r="X177" s="56"/>
      <c r="Y177" s="276" t="str">
        <f>IF(X177="","",IF(AND(X177="N/A - Culvert",C177&lt;&gt;"Culvert"),"Not possible ▲",IF(AND(C177="Culvert",X177&lt;&gt;"N/A - Culvert"),"Not possible ▲",IF(VLOOKUP(X177,'G-7 WaterC'' Data'!$AD$4:$AE$14,2,FALSE)=0,"Enrcoachment Data Missing ⚠",VLOOKUP(X177,'G-7 WaterC'' Data'!$AD$4:$AE$14,2,FALSE)))))</f>
        <v/>
      </c>
      <c r="Z177" s="102"/>
      <c r="AA177" s="276" t="str">
        <f>IF(Z177="","",IF(VLOOKUP(Z177,'G-7 WaterC'' Data'!$AO$4:$BO$7,2,FALSE)=0,"Spatial Data Missing ⚠",VLOOKUP(Z177,'G-7 WaterC'' Data'!$AO$4:$BO$7,2,FALSE)))</f>
        <v/>
      </c>
      <c r="AB177" s="317" t="str">
        <f t="shared" si="18"/>
        <v/>
      </c>
      <c r="AC177" s="317" t="str">
        <f t="shared" si="19"/>
        <v/>
      </c>
      <c r="AD177" s="101"/>
      <c r="AE177" s="938"/>
      <c r="AF177" s="138"/>
      <c r="AG177" s="138"/>
      <c r="AH177" s="934"/>
      <c r="AL177" s="30" t="str">
        <f>IFERROR(INDEX('G-7 WaterC'' Data'!$AZ$3:$AZ$7,MATCH(C177,'G-7 WaterC'' Data'!$AY$3:$AY$7,0)),"")</f>
        <v/>
      </c>
      <c r="AN177" s="30" t="str">
        <f t="shared" si="20"/>
        <v>No</v>
      </c>
    </row>
    <row r="178" spans="2:40" ht="14">
      <c r="B178" s="97">
        <v>167</v>
      </c>
      <c r="C178" s="923"/>
      <c r="D178" s="115"/>
      <c r="E178" s="275" t="str">
        <f>IF(C178="","",VLOOKUP(C178,'G-7 WaterC'' Data'!$B$2:$Z$9,2,FALSE))</f>
        <v/>
      </c>
      <c r="F178" s="276" t="str">
        <f>IFERROR(VLOOKUP(E178,'G-7 WaterC'' Data'!$C$4:$D$8,2,FALSE),"")</f>
        <v/>
      </c>
      <c r="G178" s="52"/>
      <c r="H178" s="276" t="str">
        <f>IFERROR(INDEX('G-7 WaterC'' Data'!$H$4:$L$8,MATCH(C178,'G-7 WaterC'' Data'!$B$4:$B$8,0),MATCH(G178,'G-7 WaterC'' Data'!$H$3:$L$3,0)),"")</f>
        <v/>
      </c>
      <c r="I178" s="52"/>
      <c r="J178" s="314" t="str">
        <f>IF(I178="","",IF(VLOOKUP(I178,'G-7 WaterC'' Data'!$AK$4:$AM$6,2,FALSE)=0,"Spatial Data Missing ⚠",VLOOKUP(I178,'G-7 WaterC'' Data'!$AK$4:$AM$6,2,FALSE)))</f>
        <v/>
      </c>
      <c r="K178" s="276" t="str">
        <f>IF(I178="","",IF(VLOOKUP(I178,'G-7 WaterC'' Data'!$AK$4:$AM$6,3,FALSE)=0,"Spatial Data Missing ⚠",VLOOKUP(I178,'G-7 WaterC'' Data'!$AK$4:$AM$6,3,FALSE)))</f>
        <v/>
      </c>
      <c r="L178" s="372" t="str">
        <f>IFERROR(INDEX('G-7 WaterC'' Data'!$O$3:$O$7,MATCH(G178,'G-7 WaterC'' Data'!$N$3:$N$7,0)),"")</f>
        <v/>
      </c>
      <c r="M178" s="53"/>
      <c r="N178" s="133"/>
      <c r="O178" s="283" t="str">
        <f t="shared" si="14"/>
        <v/>
      </c>
      <c r="P178" s="296" t="str">
        <f t="shared" si="15"/>
        <v/>
      </c>
      <c r="Q178" s="334" t="str">
        <f>IFERROR(IF(P178="Check Data ⚠","Check Data ⚠",VLOOKUP(P178,'G-4 Temporal multipliers'!$A$4:$C$37,3,FALSE)),"")</f>
        <v/>
      </c>
      <c r="R178" s="275" t="str">
        <f>IF(C178="","",VLOOKUP(C178,'G-7 WaterC'' Data'!$B$4:$G$8,4,FALSE))</f>
        <v/>
      </c>
      <c r="S178" s="283" t="str">
        <f t="shared" si="16"/>
        <v/>
      </c>
      <c r="T178" s="314" t="str">
        <f t="shared" si="17"/>
        <v/>
      </c>
      <c r="U178" s="276" t="str">
        <f>IF(C178="","",VLOOKUP(T178,'G-3 Multipliers'!$P$2:$Q$6,2,FALSE))</f>
        <v/>
      </c>
      <c r="V178" s="102"/>
      <c r="W178" s="276" t="str">
        <f>IF(V178="","",IF(AND(V178="N/A - Culvert",C178&lt;&gt;"Culvert"),"Not possible ▲",IF(AND(C178="Culvert",V178&lt;&gt;"N/A - Culvert"),"Not possible ▲",IF(VLOOKUP(V178,'G-7 WaterC'' Data'!$AA$4:$AB$7,2,FALSE)=0,"Spatial Data Missing ⚠",VLOOKUP(V178,'G-7 WaterC'' Data'!$AA$4:$AB$7,2,FALSE)))))</f>
        <v/>
      </c>
      <c r="X178" s="56"/>
      <c r="Y178" s="276" t="str">
        <f>IF(X178="","",IF(AND(X178="N/A - Culvert",C178&lt;&gt;"Culvert"),"Not possible ▲",IF(AND(C178="Culvert",X178&lt;&gt;"N/A - Culvert"),"Not possible ▲",IF(VLOOKUP(X178,'G-7 WaterC'' Data'!$AD$4:$AE$14,2,FALSE)=0,"Enrcoachment Data Missing ⚠",VLOOKUP(X178,'G-7 WaterC'' Data'!$AD$4:$AE$14,2,FALSE)))))</f>
        <v/>
      </c>
      <c r="Z178" s="102"/>
      <c r="AA178" s="276" t="str">
        <f>IF(Z178="","",IF(VLOOKUP(Z178,'G-7 WaterC'' Data'!$AO$4:$BO$7,2,FALSE)=0,"Spatial Data Missing ⚠",VLOOKUP(Z178,'G-7 WaterC'' Data'!$AO$4:$BO$7,2,FALSE)))</f>
        <v/>
      </c>
      <c r="AB178" s="317" t="str">
        <f t="shared" si="18"/>
        <v/>
      </c>
      <c r="AC178" s="317" t="str">
        <f t="shared" si="19"/>
        <v/>
      </c>
      <c r="AD178" s="101"/>
      <c r="AE178" s="938"/>
      <c r="AF178" s="138"/>
      <c r="AG178" s="138"/>
      <c r="AH178" s="934"/>
      <c r="AL178" s="30" t="str">
        <f>IFERROR(INDEX('G-7 WaterC'' Data'!$AZ$3:$AZ$7,MATCH(C178,'G-7 WaterC'' Data'!$AY$3:$AY$7,0)),"")</f>
        <v/>
      </c>
      <c r="AN178" s="30" t="str">
        <f t="shared" si="20"/>
        <v>No</v>
      </c>
    </row>
    <row r="179" spans="2:40" ht="14">
      <c r="B179" s="97">
        <v>168</v>
      </c>
      <c r="C179" s="923"/>
      <c r="D179" s="115"/>
      <c r="E179" s="275" t="str">
        <f>IF(C179="","",VLOOKUP(C179,'G-7 WaterC'' Data'!$B$2:$Z$9,2,FALSE))</f>
        <v/>
      </c>
      <c r="F179" s="276" t="str">
        <f>IFERROR(VLOOKUP(E179,'G-7 WaterC'' Data'!$C$4:$D$8,2,FALSE),"")</f>
        <v/>
      </c>
      <c r="G179" s="52"/>
      <c r="H179" s="276" t="str">
        <f>IFERROR(INDEX('G-7 WaterC'' Data'!$H$4:$L$8,MATCH(C179,'G-7 WaterC'' Data'!$B$4:$B$8,0),MATCH(G179,'G-7 WaterC'' Data'!$H$3:$L$3,0)),"")</f>
        <v/>
      </c>
      <c r="I179" s="52"/>
      <c r="J179" s="314" t="str">
        <f>IF(I179="","",IF(VLOOKUP(I179,'G-7 WaterC'' Data'!$AK$4:$AM$6,2,FALSE)=0,"Spatial Data Missing ⚠",VLOOKUP(I179,'G-7 WaterC'' Data'!$AK$4:$AM$6,2,FALSE)))</f>
        <v/>
      </c>
      <c r="K179" s="276" t="str">
        <f>IF(I179="","",IF(VLOOKUP(I179,'G-7 WaterC'' Data'!$AK$4:$AM$6,3,FALSE)=0,"Spatial Data Missing ⚠",VLOOKUP(I179,'G-7 WaterC'' Data'!$AK$4:$AM$6,3,FALSE)))</f>
        <v/>
      </c>
      <c r="L179" s="372" t="str">
        <f>IFERROR(INDEX('G-7 WaterC'' Data'!$O$3:$O$7,MATCH(G179,'G-7 WaterC'' Data'!$N$3:$N$7,0)),"")</f>
        <v/>
      </c>
      <c r="M179" s="53"/>
      <c r="N179" s="133"/>
      <c r="O179" s="283" t="str">
        <f t="shared" si="14"/>
        <v/>
      </c>
      <c r="P179" s="296" t="str">
        <f t="shared" si="15"/>
        <v/>
      </c>
      <c r="Q179" s="334" t="str">
        <f>IFERROR(IF(P179="Check Data ⚠","Check Data ⚠",VLOOKUP(P179,'G-4 Temporal multipliers'!$A$4:$C$37,3,FALSE)),"")</f>
        <v/>
      </c>
      <c r="R179" s="275" t="str">
        <f>IF(C179="","",VLOOKUP(C179,'G-7 WaterC'' Data'!$B$4:$G$8,4,FALSE))</f>
        <v/>
      </c>
      <c r="S179" s="283" t="str">
        <f t="shared" si="16"/>
        <v/>
      </c>
      <c r="T179" s="314" t="str">
        <f t="shared" si="17"/>
        <v/>
      </c>
      <c r="U179" s="276" t="str">
        <f>IF(C179="","",VLOOKUP(T179,'G-3 Multipliers'!$P$2:$Q$6,2,FALSE))</f>
        <v/>
      </c>
      <c r="V179" s="102"/>
      <c r="W179" s="276" t="str">
        <f>IF(V179="","",IF(AND(V179="N/A - Culvert",C179&lt;&gt;"Culvert"),"Not possible ▲",IF(AND(C179="Culvert",V179&lt;&gt;"N/A - Culvert"),"Not possible ▲",IF(VLOOKUP(V179,'G-7 WaterC'' Data'!$AA$4:$AB$7,2,FALSE)=0,"Spatial Data Missing ⚠",VLOOKUP(V179,'G-7 WaterC'' Data'!$AA$4:$AB$7,2,FALSE)))))</f>
        <v/>
      </c>
      <c r="X179" s="56"/>
      <c r="Y179" s="276" t="str">
        <f>IF(X179="","",IF(AND(X179="N/A - Culvert",C179&lt;&gt;"Culvert"),"Not possible ▲",IF(AND(C179="Culvert",X179&lt;&gt;"N/A - Culvert"),"Not possible ▲",IF(VLOOKUP(X179,'G-7 WaterC'' Data'!$AD$4:$AE$14,2,FALSE)=0,"Enrcoachment Data Missing ⚠",VLOOKUP(X179,'G-7 WaterC'' Data'!$AD$4:$AE$14,2,FALSE)))))</f>
        <v/>
      </c>
      <c r="Z179" s="102"/>
      <c r="AA179" s="276" t="str">
        <f>IF(Z179="","",IF(VLOOKUP(Z179,'G-7 WaterC'' Data'!$AO$4:$BO$7,2,FALSE)=0,"Spatial Data Missing ⚠",VLOOKUP(Z179,'G-7 WaterC'' Data'!$AO$4:$BO$7,2,FALSE)))</f>
        <v/>
      </c>
      <c r="AB179" s="317" t="str">
        <f t="shared" si="18"/>
        <v/>
      </c>
      <c r="AC179" s="317" t="str">
        <f t="shared" si="19"/>
        <v/>
      </c>
      <c r="AD179" s="101"/>
      <c r="AE179" s="938"/>
      <c r="AF179" s="138"/>
      <c r="AG179" s="138"/>
      <c r="AH179" s="934"/>
      <c r="AL179" s="30" t="str">
        <f>IFERROR(INDEX('G-7 WaterC'' Data'!$AZ$3:$AZ$7,MATCH(C179,'G-7 WaterC'' Data'!$AY$3:$AY$7,0)),"")</f>
        <v/>
      </c>
      <c r="AN179" s="30" t="str">
        <f t="shared" si="20"/>
        <v>No</v>
      </c>
    </row>
    <row r="180" spans="2:40" ht="14">
      <c r="B180" s="97">
        <v>169</v>
      </c>
      <c r="C180" s="923"/>
      <c r="D180" s="115"/>
      <c r="E180" s="275" t="str">
        <f>IF(C180="","",VLOOKUP(C180,'G-7 WaterC'' Data'!$B$2:$Z$9,2,FALSE))</f>
        <v/>
      </c>
      <c r="F180" s="276" t="str">
        <f>IFERROR(VLOOKUP(E180,'G-7 WaterC'' Data'!$C$4:$D$8,2,FALSE),"")</f>
        <v/>
      </c>
      <c r="G180" s="52"/>
      <c r="H180" s="276" t="str">
        <f>IFERROR(INDEX('G-7 WaterC'' Data'!$H$4:$L$8,MATCH(C180,'G-7 WaterC'' Data'!$B$4:$B$8,0),MATCH(G180,'G-7 WaterC'' Data'!$H$3:$L$3,0)),"")</f>
        <v/>
      </c>
      <c r="I180" s="52"/>
      <c r="J180" s="314" t="str">
        <f>IF(I180="","",IF(VLOOKUP(I180,'G-7 WaterC'' Data'!$AK$4:$AM$6,2,FALSE)=0,"Spatial Data Missing ⚠",VLOOKUP(I180,'G-7 WaterC'' Data'!$AK$4:$AM$6,2,FALSE)))</f>
        <v/>
      </c>
      <c r="K180" s="276" t="str">
        <f>IF(I180="","",IF(VLOOKUP(I180,'G-7 WaterC'' Data'!$AK$4:$AM$6,3,FALSE)=0,"Spatial Data Missing ⚠",VLOOKUP(I180,'G-7 WaterC'' Data'!$AK$4:$AM$6,3,FALSE)))</f>
        <v/>
      </c>
      <c r="L180" s="372" t="str">
        <f>IFERROR(INDEX('G-7 WaterC'' Data'!$O$3:$O$7,MATCH(G180,'G-7 WaterC'' Data'!$N$3:$N$7,0)),"")</f>
        <v/>
      </c>
      <c r="M180" s="53"/>
      <c r="N180" s="133"/>
      <c r="O180" s="283" t="str">
        <f t="shared" si="14"/>
        <v/>
      </c>
      <c r="P180" s="296" t="str">
        <f t="shared" si="15"/>
        <v/>
      </c>
      <c r="Q180" s="334" t="str">
        <f>IFERROR(IF(P180="Check Data ⚠","Check Data ⚠",VLOOKUP(P180,'G-4 Temporal multipliers'!$A$4:$C$37,3,FALSE)),"")</f>
        <v/>
      </c>
      <c r="R180" s="275" t="str">
        <f>IF(C180="","",VLOOKUP(C180,'G-7 WaterC'' Data'!$B$4:$G$8,4,FALSE))</f>
        <v/>
      </c>
      <c r="S180" s="283" t="str">
        <f t="shared" si="16"/>
        <v/>
      </c>
      <c r="T180" s="314" t="str">
        <f t="shared" si="17"/>
        <v/>
      </c>
      <c r="U180" s="276" t="str">
        <f>IF(C180="","",VLOOKUP(T180,'G-3 Multipliers'!$P$2:$Q$6,2,FALSE))</f>
        <v/>
      </c>
      <c r="V180" s="102"/>
      <c r="W180" s="276" t="str">
        <f>IF(V180="","",IF(AND(V180="N/A - Culvert",C180&lt;&gt;"Culvert"),"Not possible ▲",IF(AND(C180="Culvert",V180&lt;&gt;"N/A - Culvert"),"Not possible ▲",IF(VLOOKUP(V180,'G-7 WaterC'' Data'!$AA$4:$AB$7,2,FALSE)=0,"Spatial Data Missing ⚠",VLOOKUP(V180,'G-7 WaterC'' Data'!$AA$4:$AB$7,2,FALSE)))))</f>
        <v/>
      </c>
      <c r="X180" s="56"/>
      <c r="Y180" s="276" t="str">
        <f>IF(X180="","",IF(AND(X180="N/A - Culvert",C180&lt;&gt;"Culvert"),"Not possible ▲",IF(AND(C180="Culvert",X180&lt;&gt;"N/A - Culvert"),"Not possible ▲",IF(VLOOKUP(X180,'G-7 WaterC'' Data'!$AD$4:$AE$14,2,FALSE)=0,"Enrcoachment Data Missing ⚠",VLOOKUP(X180,'G-7 WaterC'' Data'!$AD$4:$AE$14,2,FALSE)))))</f>
        <v/>
      </c>
      <c r="Z180" s="102"/>
      <c r="AA180" s="276" t="str">
        <f>IF(Z180="","",IF(VLOOKUP(Z180,'G-7 WaterC'' Data'!$AO$4:$BO$7,2,FALSE)=0,"Spatial Data Missing ⚠",VLOOKUP(Z180,'G-7 WaterC'' Data'!$AO$4:$BO$7,2,FALSE)))</f>
        <v/>
      </c>
      <c r="AB180" s="317" t="str">
        <f t="shared" si="18"/>
        <v/>
      </c>
      <c r="AC180" s="317" t="str">
        <f t="shared" si="19"/>
        <v/>
      </c>
      <c r="AD180" s="101"/>
      <c r="AE180" s="938"/>
      <c r="AF180" s="138"/>
      <c r="AG180" s="138"/>
      <c r="AH180" s="934"/>
      <c r="AL180" s="30" t="str">
        <f>IFERROR(INDEX('G-7 WaterC'' Data'!$AZ$3:$AZ$7,MATCH(C180,'G-7 WaterC'' Data'!$AY$3:$AY$7,0)),"")</f>
        <v/>
      </c>
      <c r="AN180" s="30" t="str">
        <f t="shared" si="20"/>
        <v>No</v>
      </c>
    </row>
    <row r="181" spans="2:40" ht="14">
      <c r="B181" s="97">
        <v>170</v>
      </c>
      <c r="C181" s="923"/>
      <c r="D181" s="115"/>
      <c r="E181" s="275" t="str">
        <f>IF(C181="","",VLOOKUP(C181,'G-7 WaterC'' Data'!$B$2:$Z$9,2,FALSE))</f>
        <v/>
      </c>
      <c r="F181" s="276" t="str">
        <f>IFERROR(VLOOKUP(E181,'G-7 WaterC'' Data'!$C$4:$D$8,2,FALSE),"")</f>
        <v/>
      </c>
      <c r="G181" s="52"/>
      <c r="H181" s="276" t="str">
        <f>IFERROR(INDEX('G-7 WaterC'' Data'!$H$4:$L$8,MATCH(C181,'G-7 WaterC'' Data'!$B$4:$B$8,0),MATCH(G181,'G-7 WaterC'' Data'!$H$3:$L$3,0)),"")</f>
        <v/>
      </c>
      <c r="I181" s="52"/>
      <c r="J181" s="314" t="str">
        <f>IF(I181="","",IF(VLOOKUP(I181,'G-7 WaterC'' Data'!$AK$4:$AM$6,2,FALSE)=0,"Spatial Data Missing ⚠",VLOOKUP(I181,'G-7 WaterC'' Data'!$AK$4:$AM$6,2,FALSE)))</f>
        <v/>
      </c>
      <c r="K181" s="276" t="str">
        <f>IF(I181="","",IF(VLOOKUP(I181,'G-7 WaterC'' Data'!$AK$4:$AM$6,3,FALSE)=0,"Spatial Data Missing ⚠",VLOOKUP(I181,'G-7 WaterC'' Data'!$AK$4:$AM$6,3,FALSE)))</f>
        <v/>
      </c>
      <c r="L181" s="372" t="str">
        <f>IFERROR(INDEX('G-7 WaterC'' Data'!$O$3:$O$7,MATCH(G181,'G-7 WaterC'' Data'!$N$3:$N$7,0)),"")</f>
        <v/>
      </c>
      <c r="M181" s="53"/>
      <c r="N181" s="133"/>
      <c r="O181" s="283" t="str">
        <f t="shared" si="14"/>
        <v/>
      </c>
      <c r="P181" s="296" t="str">
        <f t="shared" si="15"/>
        <v/>
      </c>
      <c r="Q181" s="334" t="str">
        <f>IFERROR(IF(P181="Check Data ⚠","Check Data ⚠",VLOOKUP(P181,'G-4 Temporal multipliers'!$A$4:$C$37,3,FALSE)),"")</f>
        <v/>
      </c>
      <c r="R181" s="275" t="str">
        <f>IF(C181="","",VLOOKUP(C181,'G-7 WaterC'' Data'!$B$4:$G$8,4,FALSE))</f>
        <v/>
      </c>
      <c r="S181" s="283" t="str">
        <f t="shared" si="16"/>
        <v/>
      </c>
      <c r="T181" s="314" t="str">
        <f t="shared" si="17"/>
        <v/>
      </c>
      <c r="U181" s="276" t="str">
        <f>IF(C181="","",VLOOKUP(T181,'G-3 Multipliers'!$P$2:$Q$6,2,FALSE))</f>
        <v/>
      </c>
      <c r="V181" s="102"/>
      <c r="W181" s="276" t="str">
        <f>IF(V181="","",IF(AND(V181="N/A - Culvert",C181&lt;&gt;"Culvert"),"Not possible ▲",IF(AND(C181="Culvert",V181&lt;&gt;"N/A - Culvert"),"Not possible ▲",IF(VLOOKUP(V181,'G-7 WaterC'' Data'!$AA$4:$AB$7,2,FALSE)=0,"Spatial Data Missing ⚠",VLOOKUP(V181,'G-7 WaterC'' Data'!$AA$4:$AB$7,2,FALSE)))))</f>
        <v/>
      </c>
      <c r="X181" s="56"/>
      <c r="Y181" s="276" t="str">
        <f>IF(X181="","",IF(AND(X181="N/A - Culvert",C181&lt;&gt;"Culvert"),"Not possible ▲",IF(AND(C181="Culvert",X181&lt;&gt;"N/A - Culvert"),"Not possible ▲",IF(VLOOKUP(X181,'G-7 WaterC'' Data'!$AD$4:$AE$14,2,FALSE)=0,"Enrcoachment Data Missing ⚠",VLOOKUP(X181,'G-7 WaterC'' Data'!$AD$4:$AE$14,2,FALSE)))))</f>
        <v/>
      </c>
      <c r="Z181" s="102"/>
      <c r="AA181" s="276" t="str">
        <f>IF(Z181="","",IF(VLOOKUP(Z181,'G-7 WaterC'' Data'!$AO$4:$BO$7,2,FALSE)=0,"Spatial Data Missing ⚠",VLOOKUP(Z181,'G-7 WaterC'' Data'!$AO$4:$BO$7,2,FALSE)))</f>
        <v/>
      </c>
      <c r="AB181" s="317" t="str">
        <f t="shared" si="18"/>
        <v/>
      </c>
      <c r="AC181" s="317" t="str">
        <f t="shared" si="19"/>
        <v/>
      </c>
      <c r="AD181" s="101"/>
      <c r="AE181" s="938"/>
      <c r="AF181" s="138"/>
      <c r="AG181" s="138"/>
      <c r="AH181" s="934"/>
      <c r="AL181" s="30" t="str">
        <f>IFERROR(INDEX('G-7 WaterC'' Data'!$AZ$3:$AZ$7,MATCH(C181,'G-7 WaterC'' Data'!$AY$3:$AY$7,0)),"")</f>
        <v/>
      </c>
      <c r="AN181" s="30" t="str">
        <f t="shared" si="20"/>
        <v>No</v>
      </c>
    </row>
    <row r="182" spans="2:40" ht="14">
      <c r="B182" s="97">
        <v>171</v>
      </c>
      <c r="C182" s="923"/>
      <c r="D182" s="115"/>
      <c r="E182" s="275" t="str">
        <f>IF(C182="","",VLOOKUP(C182,'G-7 WaterC'' Data'!$B$2:$Z$9,2,FALSE))</f>
        <v/>
      </c>
      <c r="F182" s="276" t="str">
        <f>IFERROR(VLOOKUP(E182,'G-7 WaterC'' Data'!$C$4:$D$8,2,FALSE),"")</f>
        <v/>
      </c>
      <c r="G182" s="52"/>
      <c r="H182" s="276" t="str">
        <f>IFERROR(INDEX('G-7 WaterC'' Data'!$H$4:$L$8,MATCH(C182,'G-7 WaterC'' Data'!$B$4:$B$8,0),MATCH(G182,'G-7 WaterC'' Data'!$H$3:$L$3,0)),"")</f>
        <v/>
      </c>
      <c r="I182" s="52"/>
      <c r="J182" s="314" t="str">
        <f>IF(I182="","",IF(VLOOKUP(I182,'G-7 WaterC'' Data'!$AK$4:$AM$6,2,FALSE)=0,"Spatial Data Missing ⚠",VLOOKUP(I182,'G-7 WaterC'' Data'!$AK$4:$AM$6,2,FALSE)))</f>
        <v/>
      </c>
      <c r="K182" s="276" t="str">
        <f>IF(I182="","",IF(VLOOKUP(I182,'G-7 WaterC'' Data'!$AK$4:$AM$6,3,FALSE)=0,"Spatial Data Missing ⚠",VLOOKUP(I182,'G-7 WaterC'' Data'!$AK$4:$AM$6,3,FALSE)))</f>
        <v/>
      </c>
      <c r="L182" s="372" t="str">
        <f>IFERROR(INDEX('G-7 WaterC'' Data'!$O$3:$O$7,MATCH(G182,'G-7 WaterC'' Data'!$N$3:$N$7,0)),"")</f>
        <v/>
      </c>
      <c r="M182" s="53"/>
      <c r="N182" s="133"/>
      <c r="O182" s="283" t="str">
        <f t="shared" si="14"/>
        <v/>
      </c>
      <c r="P182" s="296" t="str">
        <f t="shared" si="15"/>
        <v/>
      </c>
      <c r="Q182" s="334" t="str">
        <f>IFERROR(IF(P182="Check Data ⚠","Check Data ⚠",VLOOKUP(P182,'G-4 Temporal multipliers'!$A$4:$C$37,3,FALSE)),"")</f>
        <v/>
      </c>
      <c r="R182" s="275" t="str">
        <f>IF(C182="","",VLOOKUP(C182,'G-7 WaterC'' Data'!$B$4:$G$8,4,FALSE))</f>
        <v/>
      </c>
      <c r="S182" s="283" t="str">
        <f t="shared" si="16"/>
        <v/>
      </c>
      <c r="T182" s="314" t="str">
        <f t="shared" si="17"/>
        <v/>
      </c>
      <c r="U182" s="276" t="str">
        <f>IF(C182="","",VLOOKUP(T182,'G-3 Multipliers'!$P$2:$Q$6,2,FALSE))</f>
        <v/>
      </c>
      <c r="V182" s="102"/>
      <c r="W182" s="276" t="str">
        <f>IF(V182="","",IF(AND(V182="N/A - Culvert",C182&lt;&gt;"Culvert"),"Not possible ▲",IF(AND(C182="Culvert",V182&lt;&gt;"N/A - Culvert"),"Not possible ▲",IF(VLOOKUP(V182,'G-7 WaterC'' Data'!$AA$4:$AB$7,2,FALSE)=0,"Spatial Data Missing ⚠",VLOOKUP(V182,'G-7 WaterC'' Data'!$AA$4:$AB$7,2,FALSE)))))</f>
        <v/>
      </c>
      <c r="X182" s="56"/>
      <c r="Y182" s="276" t="str">
        <f>IF(X182="","",IF(AND(X182="N/A - Culvert",C182&lt;&gt;"Culvert"),"Not possible ▲",IF(AND(C182="Culvert",X182&lt;&gt;"N/A - Culvert"),"Not possible ▲",IF(VLOOKUP(X182,'G-7 WaterC'' Data'!$AD$4:$AE$14,2,FALSE)=0,"Enrcoachment Data Missing ⚠",VLOOKUP(X182,'G-7 WaterC'' Data'!$AD$4:$AE$14,2,FALSE)))))</f>
        <v/>
      </c>
      <c r="Z182" s="102"/>
      <c r="AA182" s="276" t="str">
        <f>IF(Z182="","",IF(VLOOKUP(Z182,'G-7 WaterC'' Data'!$AO$4:$BO$7,2,FALSE)=0,"Spatial Data Missing ⚠",VLOOKUP(Z182,'G-7 WaterC'' Data'!$AO$4:$BO$7,2,FALSE)))</f>
        <v/>
      </c>
      <c r="AB182" s="317" t="str">
        <f t="shared" si="18"/>
        <v/>
      </c>
      <c r="AC182" s="317" t="str">
        <f t="shared" si="19"/>
        <v/>
      </c>
      <c r="AD182" s="101"/>
      <c r="AE182" s="938"/>
      <c r="AF182" s="138"/>
      <c r="AG182" s="138"/>
      <c r="AH182" s="934"/>
      <c r="AL182" s="30" t="str">
        <f>IFERROR(INDEX('G-7 WaterC'' Data'!$AZ$3:$AZ$7,MATCH(C182,'G-7 WaterC'' Data'!$AY$3:$AY$7,0)),"")</f>
        <v/>
      </c>
      <c r="AN182" s="30" t="str">
        <f t="shared" si="20"/>
        <v>No</v>
      </c>
    </row>
    <row r="183" spans="2:40" ht="14">
      <c r="B183" s="97">
        <v>172</v>
      </c>
      <c r="C183" s="923"/>
      <c r="D183" s="115"/>
      <c r="E183" s="275" t="str">
        <f>IF(C183="","",VLOOKUP(C183,'G-7 WaterC'' Data'!$B$2:$Z$9,2,FALSE))</f>
        <v/>
      </c>
      <c r="F183" s="276" t="str">
        <f>IFERROR(VLOOKUP(E183,'G-7 WaterC'' Data'!$C$4:$D$8,2,FALSE),"")</f>
        <v/>
      </c>
      <c r="G183" s="52"/>
      <c r="H183" s="276" t="str">
        <f>IFERROR(INDEX('G-7 WaterC'' Data'!$H$4:$L$8,MATCH(C183,'G-7 WaterC'' Data'!$B$4:$B$8,0),MATCH(G183,'G-7 WaterC'' Data'!$H$3:$L$3,0)),"")</f>
        <v/>
      </c>
      <c r="I183" s="52"/>
      <c r="J183" s="314" t="str">
        <f>IF(I183="","",IF(VLOOKUP(I183,'G-7 WaterC'' Data'!$AK$4:$AM$6,2,FALSE)=0,"Spatial Data Missing ⚠",VLOOKUP(I183,'G-7 WaterC'' Data'!$AK$4:$AM$6,2,FALSE)))</f>
        <v/>
      </c>
      <c r="K183" s="276" t="str">
        <f>IF(I183="","",IF(VLOOKUP(I183,'G-7 WaterC'' Data'!$AK$4:$AM$6,3,FALSE)=0,"Spatial Data Missing ⚠",VLOOKUP(I183,'G-7 WaterC'' Data'!$AK$4:$AM$6,3,FALSE)))</f>
        <v/>
      </c>
      <c r="L183" s="372" t="str">
        <f>IFERROR(INDEX('G-7 WaterC'' Data'!$O$3:$O$7,MATCH(G183,'G-7 WaterC'' Data'!$N$3:$N$7,0)),"")</f>
        <v/>
      </c>
      <c r="M183" s="53"/>
      <c r="N183" s="133"/>
      <c r="O183" s="283" t="str">
        <f t="shared" si="14"/>
        <v/>
      </c>
      <c r="P183" s="296" t="str">
        <f t="shared" si="15"/>
        <v/>
      </c>
      <c r="Q183" s="334" t="str">
        <f>IFERROR(IF(P183="Check Data ⚠","Check Data ⚠",VLOOKUP(P183,'G-4 Temporal multipliers'!$A$4:$C$37,3,FALSE)),"")</f>
        <v/>
      </c>
      <c r="R183" s="275" t="str">
        <f>IF(C183="","",VLOOKUP(C183,'G-7 WaterC'' Data'!$B$4:$G$8,4,FALSE))</f>
        <v/>
      </c>
      <c r="S183" s="283" t="str">
        <f t="shared" si="16"/>
        <v/>
      </c>
      <c r="T183" s="314" t="str">
        <f t="shared" si="17"/>
        <v/>
      </c>
      <c r="U183" s="276" t="str">
        <f>IF(C183="","",VLOOKUP(T183,'G-3 Multipliers'!$P$2:$Q$6,2,FALSE))</f>
        <v/>
      </c>
      <c r="V183" s="102"/>
      <c r="W183" s="276" t="str">
        <f>IF(V183="","",IF(AND(V183="N/A - Culvert",C183&lt;&gt;"Culvert"),"Not possible ▲",IF(AND(C183="Culvert",V183&lt;&gt;"N/A - Culvert"),"Not possible ▲",IF(VLOOKUP(V183,'G-7 WaterC'' Data'!$AA$4:$AB$7,2,FALSE)=0,"Spatial Data Missing ⚠",VLOOKUP(V183,'G-7 WaterC'' Data'!$AA$4:$AB$7,2,FALSE)))))</f>
        <v/>
      </c>
      <c r="X183" s="56"/>
      <c r="Y183" s="276" t="str">
        <f>IF(X183="","",IF(AND(X183="N/A - Culvert",C183&lt;&gt;"Culvert"),"Not possible ▲",IF(AND(C183="Culvert",X183&lt;&gt;"N/A - Culvert"),"Not possible ▲",IF(VLOOKUP(X183,'G-7 WaterC'' Data'!$AD$4:$AE$14,2,FALSE)=0,"Enrcoachment Data Missing ⚠",VLOOKUP(X183,'G-7 WaterC'' Data'!$AD$4:$AE$14,2,FALSE)))))</f>
        <v/>
      </c>
      <c r="Z183" s="102"/>
      <c r="AA183" s="276" t="str">
        <f>IF(Z183="","",IF(VLOOKUP(Z183,'G-7 WaterC'' Data'!$AO$4:$BO$7,2,FALSE)=0,"Spatial Data Missing ⚠",VLOOKUP(Z183,'G-7 WaterC'' Data'!$AO$4:$BO$7,2,FALSE)))</f>
        <v/>
      </c>
      <c r="AB183" s="317" t="str">
        <f t="shared" si="18"/>
        <v/>
      </c>
      <c r="AC183" s="317" t="str">
        <f t="shared" si="19"/>
        <v/>
      </c>
      <c r="AD183" s="101"/>
      <c r="AE183" s="938"/>
      <c r="AF183" s="138"/>
      <c r="AG183" s="138"/>
      <c r="AH183" s="934"/>
      <c r="AL183" s="30" t="str">
        <f>IFERROR(INDEX('G-7 WaterC'' Data'!$AZ$3:$AZ$7,MATCH(C183,'G-7 WaterC'' Data'!$AY$3:$AY$7,0)),"")</f>
        <v/>
      </c>
      <c r="AN183" s="30" t="str">
        <f t="shared" si="20"/>
        <v>No</v>
      </c>
    </row>
    <row r="184" spans="2:40" ht="14">
      <c r="B184" s="97">
        <v>173</v>
      </c>
      <c r="C184" s="923"/>
      <c r="D184" s="115"/>
      <c r="E184" s="275" t="str">
        <f>IF(C184="","",VLOOKUP(C184,'G-7 WaterC'' Data'!$B$2:$Z$9,2,FALSE))</f>
        <v/>
      </c>
      <c r="F184" s="276" t="str">
        <f>IFERROR(VLOOKUP(E184,'G-7 WaterC'' Data'!$C$4:$D$8,2,FALSE),"")</f>
        <v/>
      </c>
      <c r="G184" s="52"/>
      <c r="H184" s="276" t="str">
        <f>IFERROR(INDEX('G-7 WaterC'' Data'!$H$4:$L$8,MATCH(C184,'G-7 WaterC'' Data'!$B$4:$B$8,0),MATCH(G184,'G-7 WaterC'' Data'!$H$3:$L$3,0)),"")</f>
        <v/>
      </c>
      <c r="I184" s="52"/>
      <c r="J184" s="314" t="str">
        <f>IF(I184="","",IF(VLOOKUP(I184,'G-7 WaterC'' Data'!$AK$4:$AM$6,2,FALSE)=0,"Spatial Data Missing ⚠",VLOOKUP(I184,'G-7 WaterC'' Data'!$AK$4:$AM$6,2,FALSE)))</f>
        <v/>
      </c>
      <c r="K184" s="276" t="str">
        <f>IF(I184="","",IF(VLOOKUP(I184,'G-7 WaterC'' Data'!$AK$4:$AM$6,3,FALSE)=0,"Spatial Data Missing ⚠",VLOOKUP(I184,'G-7 WaterC'' Data'!$AK$4:$AM$6,3,FALSE)))</f>
        <v/>
      </c>
      <c r="L184" s="372" t="str">
        <f>IFERROR(INDEX('G-7 WaterC'' Data'!$O$3:$O$7,MATCH(G184,'G-7 WaterC'' Data'!$N$3:$N$7,0)),"")</f>
        <v/>
      </c>
      <c r="M184" s="53"/>
      <c r="N184" s="133"/>
      <c r="O184" s="283" t="str">
        <f t="shared" si="14"/>
        <v/>
      </c>
      <c r="P184" s="296" t="str">
        <f t="shared" si="15"/>
        <v/>
      </c>
      <c r="Q184" s="334" t="str">
        <f>IFERROR(IF(P184="Check Data ⚠","Check Data ⚠",VLOOKUP(P184,'G-4 Temporal multipliers'!$A$4:$C$37,3,FALSE)),"")</f>
        <v/>
      </c>
      <c r="R184" s="275" t="str">
        <f>IF(C184="","",VLOOKUP(C184,'G-7 WaterC'' Data'!$B$4:$G$8,4,FALSE))</f>
        <v/>
      </c>
      <c r="S184" s="283" t="str">
        <f t="shared" si="16"/>
        <v/>
      </c>
      <c r="T184" s="314" t="str">
        <f t="shared" si="17"/>
        <v/>
      </c>
      <c r="U184" s="276" t="str">
        <f>IF(C184="","",VLOOKUP(T184,'G-3 Multipliers'!$P$2:$Q$6,2,FALSE))</f>
        <v/>
      </c>
      <c r="V184" s="102"/>
      <c r="W184" s="276" t="str">
        <f>IF(V184="","",IF(AND(V184="N/A - Culvert",C184&lt;&gt;"Culvert"),"Not possible ▲",IF(AND(C184="Culvert",V184&lt;&gt;"N/A - Culvert"),"Not possible ▲",IF(VLOOKUP(V184,'G-7 WaterC'' Data'!$AA$4:$AB$7,2,FALSE)=0,"Spatial Data Missing ⚠",VLOOKUP(V184,'G-7 WaterC'' Data'!$AA$4:$AB$7,2,FALSE)))))</f>
        <v/>
      </c>
      <c r="X184" s="56"/>
      <c r="Y184" s="276" t="str">
        <f>IF(X184="","",IF(AND(X184="N/A - Culvert",C184&lt;&gt;"Culvert"),"Not possible ▲",IF(AND(C184="Culvert",X184&lt;&gt;"N/A - Culvert"),"Not possible ▲",IF(VLOOKUP(X184,'G-7 WaterC'' Data'!$AD$4:$AE$14,2,FALSE)=0,"Enrcoachment Data Missing ⚠",VLOOKUP(X184,'G-7 WaterC'' Data'!$AD$4:$AE$14,2,FALSE)))))</f>
        <v/>
      </c>
      <c r="Z184" s="102"/>
      <c r="AA184" s="276" t="str">
        <f>IF(Z184="","",IF(VLOOKUP(Z184,'G-7 WaterC'' Data'!$AO$4:$BO$7,2,FALSE)=0,"Spatial Data Missing ⚠",VLOOKUP(Z184,'G-7 WaterC'' Data'!$AO$4:$BO$7,2,FALSE)))</f>
        <v/>
      </c>
      <c r="AB184" s="317" t="str">
        <f t="shared" si="18"/>
        <v/>
      </c>
      <c r="AC184" s="317" t="str">
        <f t="shared" si="19"/>
        <v/>
      </c>
      <c r="AD184" s="101"/>
      <c r="AE184" s="938"/>
      <c r="AF184" s="138"/>
      <c r="AG184" s="138"/>
      <c r="AH184" s="934"/>
      <c r="AL184" s="30" t="str">
        <f>IFERROR(INDEX('G-7 WaterC'' Data'!$AZ$3:$AZ$7,MATCH(C184,'G-7 WaterC'' Data'!$AY$3:$AY$7,0)),"")</f>
        <v/>
      </c>
      <c r="AN184" s="30" t="str">
        <f t="shared" si="20"/>
        <v>No</v>
      </c>
    </row>
    <row r="185" spans="2:40" ht="14">
      <c r="B185" s="97">
        <v>174</v>
      </c>
      <c r="C185" s="923"/>
      <c r="D185" s="115"/>
      <c r="E185" s="275" t="str">
        <f>IF(C185="","",VLOOKUP(C185,'G-7 WaterC'' Data'!$B$2:$Z$9,2,FALSE))</f>
        <v/>
      </c>
      <c r="F185" s="276" t="str">
        <f>IFERROR(VLOOKUP(E185,'G-7 WaterC'' Data'!$C$4:$D$8,2,FALSE),"")</f>
        <v/>
      </c>
      <c r="G185" s="52"/>
      <c r="H185" s="276" t="str">
        <f>IFERROR(INDEX('G-7 WaterC'' Data'!$H$4:$L$8,MATCH(C185,'G-7 WaterC'' Data'!$B$4:$B$8,0),MATCH(G185,'G-7 WaterC'' Data'!$H$3:$L$3,0)),"")</f>
        <v/>
      </c>
      <c r="I185" s="52"/>
      <c r="J185" s="314" t="str">
        <f>IF(I185="","",IF(VLOOKUP(I185,'G-7 WaterC'' Data'!$AK$4:$AM$6,2,FALSE)=0,"Spatial Data Missing ⚠",VLOOKUP(I185,'G-7 WaterC'' Data'!$AK$4:$AM$6,2,FALSE)))</f>
        <v/>
      </c>
      <c r="K185" s="276" t="str">
        <f>IF(I185="","",IF(VLOOKUP(I185,'G-7 WaterC'' Data'!$AK$4:$AM$6,3,FALSE)=0,"Spatial Data Missing ⚠",VLOOKUP(I185,'G-7 WaterC'' Data'!$AK$4:$AM$6,3,FALSE)))</f>
        <v/>
      </c>
      <c r="L185" s="372" t="str">
        <f>IFERROR(INDEX('G-7 WaterC'' Data'!$O$3:$O$7,MATCH(G185,'G-7 WaterC'' Data'!$N$3:$N$7,0)),"")</f>
        <v/>
      </c>
      <c r="M185" s="53"/>
      <c r="N185" s="133"/>
      <c r="O185" s="283" t="str">
        <f t="shared" si="14"/>
        <v/>
      </c>
      <c r="P185" s="296" t="str">
        <f t="shared" si="15"/>
        <v/>
      </c>
      <c r="Q185" s="334" t="str">
        <f>IFERROR(IF(P185="Check Data ⚠","Check Data ⚠",VLOOKUP(P185,'G-4 Temporal multipliers'!$A$4:$C$37,3,FALSE)),"")</f>
        <v/>
      </c>
      <c r="R185" s="275" t="str">
        <f>IF(C185="","",VLOOKUP(C185,'G-7 WaterC'' Data'!$B$4:$G$8,4,FALSE))</f>
        <v/>
      </c>
      <c r="S185" s="283" t="str">
        <f t="shared" si="16"/>
        <v/>
      </c>
      <c r="T185" s="314" t="str">
        <f t="shared" si="17"/>
        <v/>
      </c>
      <c r="U185" s="276" t="str">
        <f>IF(C185="","",VLOOKUP(T185,'G-3 Multipliers'!$P$2:$Q$6,2,FALSE))</f>
        <v/>
      </c>
      <c r="V185" s="102"/>
      <c r="W185" s="276" t="str">
        <f>IF(V185="","",IF(AND(V185="N/A - Culvert",C185&lt;&gt;"Culvert"),"Not possible ▲",IF(AND(C185="Culvert",V185&lt;&gt;"N/A - Culvert"),"Not possible ▲",IF(VLOOKUP(V185,'G-7 WaterC'' Data'!$AA$4:$AB$7,2,FALSE)=0,"Spatial Data Missing ⚠",VLOOKUP(V185,'G-7 WaterC'' Data'!$AA$4:$AB$7,2,FALSE)))))</f>
        <v/>
      </c>
      <c r="X185" s="56"/>
      <c r="Y185" s="276" t="str">
        <f>IF(X185="","",IF(AND(X185="N/A - Culvert",C185&lt;&gt;"Culvert"),"Not possible ▲",IF(AND(C185="Culvert",X185&lt;&gt;"N/A - Culvert"),"Not possible ▲",IF(VLOOKUP(X185,'G-7 WaterC'' Data'!$AD$4:$AE$14,2,FALSE)=0,"Enrcoachment Data Missing ⚠",VLOOKUP(X185,'G-7 WaterC'' Data'!$AD$4:$AE$14,2,FALSE)))))</f>
        <v/>
      </c>
      <c r="Z185" s="102"/>
      <c r="AA185" s="276" t="str">
        <f>IF(Z185="","",IF(VLOOKUP(Z185,'G-7 WaterC'' Data'!$AO$4:$BO$7,2,FALSE)=0,"Spatial Data Missing ⚠",VLOOKUP(Z185,'G-7 WaterC'' Data'!$AO$4:$BO$7,2,FALSE)))</f>
        <v/>
      </c>
      <c r="AB185" s="317" t="str">
        <f t="shared" si="18"/>
        <v/>
      </c>
      <c r="AC185" s="317" t="str">
        <f t="shared" si="19"/>
        <v/>
      </c>
      <c r="AD185" s="101"/>
      <c r="AE185" s="938"/>
      <c r="AF185" s="138"/>
      <c r="AG185" s="138"/>
      <c r="AH185" s="934"/>
      <c r="AL185" s="30" t="str">
        <f>IFERROR(INDEX('G-7 WaterC'' Data'!$AZ$3:$AZ$7,MATCH(C185,'G-7 WaterC'' Data'!$AY$3:$AY$7,0)),"")</f>
        <v/>
      </c>
      <c r="AN185" s="30" t="str">
        <f t="shared" si="20"/>
        <v>No</v>
      </c>
    </row>
    <row r="186" spans="2:40" ht="14">
      <c r="B186" s="97">
        <v>175</v>
      </c>
      <c r="C186" s="923"/>
      <c r="D186" s="115"/>
      <c r="E186" s="275" t="str">
        <f>IF(C186="","",VLOOKUP(C186,'G-7 WaterC'' Data'!$B$2:$Z$9,2,FALSE))</f>
        <v/>
      </c>
      <c r="F186" s="276" t="str">
        <f>IFERROR(VLOOKUP(E186,'G-7 WaterC'' Data'!$C$4:$D$8,2,FALSE),"")</f>
        <v/>
      </c>
      <c r="G186" s="52"/>
      <c r="H186" s="276" t="str">
        <f>IFERROR(INDEX('G-7 WaterC'' Data'!$H$4:$L$8,MATCH(C186,'G-7 WaterC'' Data'!$B$4:$B$8,0),MATCH(G186,'G-7 WaterC'' Data'!$H$3:$L$3,0)),"")</f>
        <v/>
      </c>
      <c r="I186" s="52"/>
      <c r="J186" s="314" t="str">
        <f>IF(I186="","",IF(VLOOKUP(I186,'G-7 WaterC'' Data'!$AK$4:$AM$6,2,FALSE)=0,"Spatial Data Missing ⚠",VLOOKUP(I186,'G-7 WaterC'' Data'!$AK$4:$AM$6,2,FALSE)))</f>
        <v/>
      </c>
      <c r="K186" s="276" t="str">
        <f>IF(I186="","",IF(VLOOKUP(I186,'G-7 WaterC'' Data'!$AK$4:$AM$6,3,FALSE)=0,"Spatial Data Missing ⚠",VLOOKUP(I186,'G-7 WaterC'' Data'!$AK$4:$AM$6,3,FALSE)))</f>
        <v/>
      </c>
      <c r="L186" s="372" t="str">
        <f>IFERROR(INDEX('G-7 WaterC'' Data'!$O$3:$O$7,MATCH(G186,'G-7 WaterC'' Data'!$N$3:$N$7,0)),"")</f>
        <v/>
      </c>
      <c r="M186" s="53"/>
      <c r="N186" s="133"/>
      <c r="O186" s="283" t="str">
        <f t="shared" si="14"/>
        <v/>
      </c>
      <c r="P186" s="296" t="str">
        <f t="shared" si="15"/>
        <v/>
      </c>
      <c r="Q186" s="334" t="str">
        <f>IFERROR(IF(P186="Check Data ⚠","Check Data ⚠",VLOOKUP(P186,'G-4 Temporal multipliers'!$A$4:$C$37,3,FALSE)),"")</f>
        <v/>
      </c>
      <c r="R186" s="275" t="str">
        <f>IF(C186="","",VLOOKUP(C186,'G-7 WaterC'' Data'!$B$4:$G$8,4,FALSE))</f>
        <v/>
      </c>
      <c r="S186" s="283" t="str">
        <f t="shared" si="16"/>
        <v/>
      </c>
      <c r="T186" s="314" t="str">
        <f t="shared" si="17"/>
        <v/>
      </c>
      <c r="U186" s="276" t="str">
        <f>IF(C186="","",VLOOKUP(T186,'G-3 Multipliers'!$P$2:$Q$6,2,FALSE))</f>
        <v/>
      </c>
      <c r="V186" s="102"/>
      <c r="W186" s="276" t="str">
        <f>IF(V186="","",IF(AND(V186="N/A - Culvert",C186&lt;&gt;"Culvert"),"Not possible ▲",IF(AND(C186="Culvert",V186&lt;&gt;"N/A - Culvert"),"Not possible ▲",IF(VLOOKUP(V186,'G-7 WaterC'' Data'!$AA$4:$AB$7,2,FALSE)=0,"Spatial Data Missing ⚠",VLOOKUP(V186,'G-7 WaterC'' Data'!$AA$4:$AB$7,2,FALSE)))))</f>
        <v/>
      </c>
      <c r="X186" s="56"/>
      <c r="Y186" s="276" t="str">
        <f>IF(X186="","",IF(AND(X186="N/A - Culvert",C186&lt;&gt;"Culvert"),"Not possible ▲",IF(AND(C186="Culvert",X186&lt;&gt;"N/A - Culvert"),"Not possible ▲",IF(VLOOKUP(X186,'G-7 WaterC'' Data'!$AD$4:$AE$14,2,FALSE)=0,"Enrcoachment Data Missing ⚠",VLOOKUP(X186,'G-7 WaterC'' Data'!$AD$4:$AE$14,2,FALSE)))))</f>
        <v/>
      </c>
      <c r="Z186" s="102"/>
      <c r="AA186" s="276" t="str">
        <f>IF(Z186="","",IF(VLOOKUP(Z186,'G-7 WaterC'' Data'!$AO$4:$BO$7,2,FALSE)=0,"Spatial Data Missing ⚠",VLOOKUP(Z186,'G-7 WaterC'' Data'!$AO$4:$BO$7,2,FALSE)))</f>
        <v/>
      </c>
      <c r="AB186" s="317" t="str">
        <f t="shared" si="18"/>
        <v/>
      </c>
      <c r="AC186" s="317" t="str">
        <f t="shared" si="19"/>
        <v/>
      </c>
      <c r="AD186" s="101"/>
      <c r="AE186" s="938"/>
      <c r="AF186" s="138"/>
      <c r="AG186" s="138"/>
      <c r="AH186" s="934"/>
      <c r="AL186" s="30" t="str">
        <f>IFERROR(INDEX('G-7 WaterC'' Data'!$AZ$3:$AZ$7,MATCH(C186,'G-7 WaterC'' Data'!$AY$3:$AY$7,0)),"")</f>
        <v/>
      </c>
      <c r="AN186" s="30" t="str">
        <f t="shared" si="20"/>
        <v>No</v>
      </c>
    </row>
    <row r="187" spans="2:40" ht="14">
      <c r="B187" s="97">
        <v>176</v>
      </c>
      <c r="C187" s="923"/>
      <c r="D187" s="115"/>
      <c r="E187" s="275" t="str">
        <f>IF(C187="","",VLOOKUP(C187,'G-7 WaterC'' Data'!$B$2:$Z$9,2,FALSE))</f>
        <v/>
      </c>
      <c r="F187" s="276" t="str">
        <f>IFERROR(VLOOKUP(E187,'G-7 WaterC'' Data'!$C$4:$D$8,2,FALSE),"")</f>
        <v/>
      </c>
      <c r="G187" s="52"/>
      <c r="H187" s="276" t="str">
        <f>IFERROR(INDEX('G-7 WaterC'' Data'!$H$4:$L$8,MATCH(C187,'G-7 WaterC'' Data'!$B$4:$B$8,0),MATCH(G187,'G-7 WaterC'' Data'!$H$3:$L$3,0)),"")</f>
        <v/>
      </c>
      <c r="I187" s="52"/>
      <c r="J187" s="314" t="str">
        <f>IF(I187="","",IF(VLOOKUP(I187,'G-7 WaterC'' Data'!$AK$4:$AM$6,2,FALSE)=0,"Spatial Data Missing ⚠",VLOOKUP(I187,'G-7 WaterC'' Data'!$AK$4:$AM$6,2,FALSE)))</f>
        <v/>
      </c>
      <c r="K187" s="276" t="str">
        <f>IF(I187="","",IF(VLOOKUP(I187,'G-7 WaterC'' Data'!$AK$4:$AM$6,3,FALSE)=0,"Spatial Data Missing ⚠",VLOOKUP(I187,'G-7 WaterC'' Data'!$AK$4:$AM$6,3,FALSE)))</f>
        <v/>
      </c>
      <c r="L187" s="372" t="str">
        <f>IFERROR(INDEX('G-7 WaterC'' Data'!$O$3:$O$7,MATCH(G187,'G-7 WaterC'' Data'!$N$3:$N$7,0)),"")</f>
        <v/>
      </c>
      <c r="M187" s="53"/>
      <c r="N187" s="133"/>
      <c r="O187" s="283" t="str">
        <f t="shared" si="14"/>
        <v/>
      </c>
      <c r="P187" s="296" t="str">
        <f t="shared" si="15"/>
        <v/>
      </c>
      <c r="Q187" s="334" t="str">
        <f>IFERROR(IF(P187="Check Data ⚠","Check Data ⚠",VLOOKUP(P187,'G-4 Temporal multipliers'!$A$4:$C$37,3,FALSE)),"")</f>
        <v/>
      </c>
      <c r="R187" s="275" t="str">
        <f>IF(C187="","",VLOOKUP(C187,'G-7 WaterC'' Data'!$B$4:$G$8,4,FALSE))</f>
        <v/>
      </c>
      <c r="S187" s="283" t="str">
        <f t="shared" si="16"/>
        <v/>
      </c>
      <c r="T187" s="314" t="str">
        <f t="shared" si="17"/>
        <v/>
      </c>
      <c r="U187" s="276" t="str">
        <f>IF(C187="","",VLOOKUP(T187,'G-3 Multipliers'!$P$2:$Q$6,2,FALSE))</f>
        <v/>
      </c>
      <c r="V187" s="102"/>
      <c r="W187" s="276" t="str">
        <f>IF(V187="","",IF(AND(V187="N/A - Culvert",C187&lt;&gt;"Culvert"),"Not possible ▲",IF(AND(C187="Culvert",V187&lt;&gt;"N/A - Culvert"),"Not possible ▲",IF(VLOOKUP(V187,'G-7 WaterC'' Data'!$AA$4:$AB$7,2,FALSE)=0,"Spatial Data Missing ⚠",VLOOKUP(V187,'G-7 WaterC'' Data'!$AA$4:$AB$7,2,FALSE)))))</f>
        <v/>
      </c>
      <c r="X187" s="56"/>
      <c r="Y187" s="276" t="str">
        <f>IF(X187="","",IF(AND(X187="N/A - Culvert",C187&lt;&gt;"Culvert"),"Not possible ▲",IF(AND(C187="Culvert",X187&lt;&gt;"N/A - Culvert"),"Not possible ▲",IF(VLOOKUP(X187,'G-7 WaterC'' Data'!$AD$4:$AE$14,2,FALSE)=0,"Enrcoachment Data Missing ⚠",VLOOKUP(X187,'G-7 WaterC'' Data'!$AD$4:$AE$14,2,FALSE)))))</f>
        <v/>
      </c>
      <c r="Z187" s="102"/>
      <c r="AA187" s="276" t="str">
        <f>IF(Z187="","",IF(VLOOKUP(Z187,'G-7 WaterC'' Data'!$AO$4:$BO$7,2,FALSE)=0,"Spatial Data Missing ⚠",VLOOKUP(Z187,'G-7 WaterC'' Data'!$AO$4:$BO$7,2,FALSE)))</f>
        <v/>
      </c>
      <c r="AB187" s="317" t="str">
        <f t="shared" si="18"/>
        <v/>
      </c>
      <c r="AC187" s="317" t="str">
        <f t="shared" si="19"/>
        <v/>
      </c>
      <c r="AD187" s="101"/>
      <c r="AE187" s="938"/>
      <c r="AF187" s="138"/>
      <c r="AG187" s="138"/>
      <c r="AH187" s="934"/>
      <c r="AL187" s="30" t="str">
        <f>IFERROR(INDEX('G-7 WaterC'' Data'!$AZ$3:$AZ$7,MATCH(C187,'G-7 WaterC'' Data'!$AY$3:$AY$7,0)),"")</f>
        <v/>
      </c>
      <c r="AN187" s="30" t="str">
        <f t="shared" si="20"/>
        <v>No</v>
      </c>
    </row>
    <row r="188" spans="2:40" ht="14">
      <c r="B188" s="97">
        <v>177</v>
      </c>
      <c r="C188" s="923"/>
      <c r="D188" s="115"/>
      <c r="E188" s="275" t="str">
        <f>IF(C188="","",VLOOKUP(C188,'G-7 WaterC'' Data'!$B$2:$Z$9,2,FALSE))</f>
        <v/>
      </c>
      <c r="F188" s="276" t="str">
        <f>IFERROR(VLOOKUP(E188,'G-7 WaterC'' Data'!$C$4:$D$8,2,FALSE),"")</f>
        <v/>
      </c>
      <c r="G188" s="52"/>
      <c r="H188" s="276" t="str">
        <f>IFERROR(INDEX('G-7 WaterC'' Data'!$H$4:$L$8,MATCH(C188,'G-7 WaterC'' Data'!$B$4:$B$8,0),MATCH(G188,'G-7 WaterC'' Data'!$H$3:$L$3,0)),"")</f>
        <v/>
      </c>
      <c r="I188" s="52"/>
      <c r="J188" s="314" t="str">
        <f>IF(I188="","",IF(VLOOKUP(I188,'G-7 WaterC'' Data'!$AK$4:$AM$6,2,FALSE)=0,"Spatial Data Missing ⚠",VLOOKUP(I188,'G-7 WaterC'' Data'!$AK$4:$AM$6,2,FALSE)))</f>
        <v/>
      </c>
      <c r="K188" s="276" t="str">
        <f>IF(I188="","",IF(VLOOKUP(I188,'G-7 WaterC'' Data'!$AK$4:$AM$6,3,FALSE)=0,"Spatial Data Missing ⚠",VLOOKUP(I188,'G-7 WaterC'' Data'!$AK$4:$AM$6,3,FALSE)))</f>
        <v/>
      </c>
      <c r="L188" s="372" t="str">
        <f>IFERROR(INDEX('G-7 WaterC'' Data'!$O$3:$O$7,MATCH(G188,'G-7 WaterC'' Data'!$N$3:$N$7,0)),"")</f>
        <v/>
      </c>
      <c r="M188" s="53"/>
      <c r="N188" s="133"/>
      <c r="O188" s="283" t="str">
        <f t="shared" si="14"/>
        <v/>
      </c>
      <c r="P188" s="296" t="str">
        <f t="shared" si="15"/>
        <v/>
      </c>
      <c r="Q188" s="334" t="str">
        <f>IFERROR(IF(P188="Check Data ⚠","Check Data ⚠",VLOOKUP(P188,'G-4 Temporal multipliers'!$A$4:$C$37,3,FALSE)),"")</f>
        <v/>
      </c>
      <c r="R188" s="275" t="str">
        <f>IF(C188="","",VLOOKUP(C188,'G-7 WaterC'' Data'!$B$4:$G$8,4,FALSE))</f>
        <v/>
      </c>
      <c r="S188" s="283" t="str">
        <f t="shared" si="16"/>
        <v/>
      </c>
      <c r="T188" s="314" t="str">
        <f t="shared" si="17"/>
        <v/>
      </c>
      <c r="U188" s="276" t="str">
        <f>IF(C188="","",VLOOKUP(T188,'G-3 Multipliers'!$P$2:$Q$6,2,FALSE))</f>
        <v/>
      </c>
      <c r="V188" s="102"/>
      <c r="W188" s="276" t="str">
        <f>IF(V188="","",IF(AND(V188="N/A - Culvert",C188&lt;&gt;"Culvert"),"Not possible ▲",IF(AND(C188="Culvert",V188&lt;&gt;"N/A - Culvert"),"Not possible ▲",IF(VLOOKUP(V188,'G-7 WaterC'' Data'!$AA$4:$AB$7,2,FALSE)=0,"Spatial Data Missing ⚠",VLOOKUP(V188,'G-7 WaterC'' Data'!$AA$4:$AB$7,2,FALSE)))))</f>
        <v/>
      </c>
      <c r="X188" s="56"/>
      <c r="Y188" s="276" t="str">
        <f>IF(X188="","",IF(AND(X188="N/A - Culvert",C188&lt;&gt;"Culvert"),"Not possible ▲",IF(AND(C188="Culvert",X188&lt;&gt;"N/A - Culvert"),"Not possible ▲",IF(VLOOKUP(X188,'G-7 WaterC'' Data'!$AD$4:$AE$14,2,FALSE)=0,"Enrcoachment Data Missing ⚠",VLOOKUP(X188,'G-7 WaterC'' Data'!$AD$4:$AE$14,2,FALSE)))))</f>
        <v/>
      </c>
      <c r="Z188" s="102"/>
      <c r="AA188" s="276" t="str">
        <f>IF(Z188="","",IF(VLOOKUP(Z188,'G-7 WaterC'' Data'!$AO$4:$BO$7,2,FALSE)=0,"Spatial Data Missing ⚠",VLOOKUP(Z188,'G-7 WaterC'' Data'!$AO$4:$BO$7,2,FALSE)))</f>
        <v/>
      </c>
      <c r="AB188" s="317" t="str">
        <f t="shared" si="18"/>
        <v/>
      </c>
      <c r="AC188" s="317" t="str">
        <f t="shared" si="19"/>
        <v/>
      </c>
      <c r="AD188" s="101"/>
      <c r="AE188" s="938"/>
      <c r="AF188" s="138"/>
      <c r="AG188" s="138"/>
      <c r="AH188" s="934"/>
      <c r="AL188" s="30" t="str">
        <f>IFERROR(INDEX('G-7 WaterC'' Data'!$AZ$3:$AZ$7,MATCH(C188,'G-7 WaterC'' Data'!$AY$3:$AY$7,0)),"")</f>
        <v/>
      </c>
      <c r="AN188" s="30" t="str">
        <f t="shared" si="20"/>
        <v>No</v>
      </c>
    </row>
    <row r="189" spans="2:40" ht="14">
      <c r="B189" s="97">
        <v>178</v>
      </c>
      <c r="C189" s="923"/>
      <c r="D189" s="115"/>
      <c r="E189" s="275" t="str">
        <f>IF(C189="","",VLOOKUP(C189,'G-7 WaterC'' Data'!$B$2:$Z$9,2,FALSE))</f>
        <v/>
      </c>
      <c r="F189" s="276" t="str">
        <f>IFERROR(VLOOKUP(E189,'G-7 WaterC'' Data'!$C$4:$D$8,2,FALSE),"")</f>
        <v/>
      </c>
      <c r="G189" s="52"/>
      <c r="H189" s="276" t="str">
        <f>IFERROR(INDEX('G-7 WaterC'' Data'!$H$4:$L$8,MATCH(C189,'G-7 WaterC'' Data'!$B$4:$B$8,0),MATCH(G189,'G-7 WaterC'' Data'!$H$3:$L$3,0)),"")</f>
        <v/>
      </c>
      <c r="I189" s="52"/>
      <c r="J189" s="314" t="str">
        <f>IF(I189="","",IF(VLOOKUP(I189,'G-7 WaterC'' Data'!$AK$4:$AM$6,2,FALSE)=0,"Spatial Data Missing ⚠",VLOOKUP(I189,'G-7 WaterC'' Data'!$AK$4:$AM$6,2,FALSE)))</f>
        <v/>
      </c>
      <c r="K189" s="276" t="str">
        <f>IF(I189="","",IF(VLOOKUP(I189,'G-7 WaterC'' Data'!$AK$4:$AM$6,3,FALSE)=0,"Spatial Data Missing ⚠",VLOOKUP(I189,'G-7 WaterC'' Data'!$AK$4:$AM$6,3,FALSE)))</f>
        <v/>
      </c>
      <c r="L189" s="372" t="str">
        <f>IFERROR(INDEX('G-7 WaterC'' Data'!$O$3:$O$7,MATCH(G189,'G-7 WaterC'' Data'!$N$3:$N$7,0)),"")</f>
        <v/>
      </c>
      <c r="M189" s="53"/>
      <c r="N189" s="133"/>
      <c r="O189" s="283" t="str">
        <f t="shared" si="14"/>
        <v/>
      </c>
      <c r="P189" s="296" t="str">
        <f t="shared" si="15"/>
        <v/>
      </c>
      <c r="Q189" s="334" t="str">
        <f>IFERROR(IF(P189="Check Data ⚠","Check Data ⚠",VLOOKUP(P189,'G-4 Temporal multipliers'!$A$4:$C$37,3,FALSE)),"")</f>
        <v/>
      </c>
      <c r="R189" s="275" t="str">
        <f>IF(C189="","",VLOOKUP(C189,'G-7 WaterC'' Data'!$B$4:$G$8,4,FALSE))</f>
        <v/>
      </c>
      <c r="S189" s="283" t="str">
        <f t="shared" si="16"/>
        <v/>
      </c>
      <c r="T189" s="314" t="str">
        <f t="shared" si="17"/>
        <v/>
      </c>
      <c r="U189" s="276" t="str">
        <f>IF(C189="","",VLOOKUP(T189,'G-3 Multipliers'!$P$2:$Q$6,2,FALSE))</f>
        <v/>
      </c>
      <c r="V189" s="102"/>
      <c r="W189" s="276" t="str">
        <f>IF(V189="","",IF(AND(V189="N/A - Culvert",C189&lt;&gt;"Culvert"),"Not possible ▲",IF(AND(C189="Culvert",V189&lt;&gt;"N/A - Culvert"),"Not possible ▲",IF(VLOOKUP(V189,'G-7 WaterC'' Data'!$AA$4:$AB$7,2,FALSE)=0,"Spatial Data Missing ⚠",VLOOKUP(V189,'G-7 WaterC'' Data'!$AA$4:$AB$7,2,FALSE)))))</f>
        <v/>
      </c>
      <c r="X189" s="56"/>
      <c r="Y189" s="276" t="str">
        <f>IF(X189="","",IF(AND(X189="N/A - Culvert",C189&lt;&gt;"Culvert"),"Not possible ▲",IF(AND(C189="Culvert",X189&lt;&gt;"N/A - Culvert"),"Not possible ▲",IF(VLOOKUP(X189,'G-7 WaterC'' Data'!$AD$4:$AE$14,2,FALSE)=0,"Enrcoachment Data Missing ⚠",VLOOKUP(X189,'G-7 WaterC'' Data'!$AD$4:$AE$14,2,FALSE)))))</f>
        <v/>
      </c>
      <c r="Z189" s="102"/>
      <c r="AA189" s="276" t="str">
        <f>IF(Z189="","",IF(VLOOKUP(Z189,'G-7 WaterC'' Data'!$AO$4:$BO$7,2,FALSE)=0,"Spatial Data Missing ⚠",VLOOKUP(Z189,'G-7 WaterC'' Data'!$AO$4:$BO$7,2,FALSE)))</f>
        <v/>
      </c>
      <c r="AB189" s="317" t="str">
        <f t="shared" si="18"/>
        <v/>
      </c>
      <c r="AC189" s="317" t="str">
        <f t="shared" si="19"/>
        <v/>
      </c>
      <c r="AD189" s="101"/>
      <c r="AE189" s="938"/>
      <c r="AF189" s="138"/>
      <c r="AG189" s="138"/>
      <c r="AH189" s="934"/>
      <c r="AL189" s="30" t="str">
        <f>IFERROR(INDEX('G-7 WaterC'' Data'!$AZ$3:$AZ$7,MATCH(C189,'G-7 WaterC'' Data'!$AY$3:$AY$7,0)),"")</f>
        <v/>
      </c>
      <c r="AN189" s="30" t="str">
        <f t="shared" si="20"/>
        <v>No</v>
      </c>
    </row>
    <row r="190" spans="2:40" ht="14">
      <c r="B190" s="97">
        <v>179</v>
      </c>
      <c r="C190" s="923"/>
      <c r="D190" s="115"/>
      <c r="E190" s="275" t="str">
        <f>IF(C190="","",VLOOKUP(C190,'G-7 WaterC'' Data'!$B$2:$Z$9,2,FALSE))</f>
        <v/>
      </c>
      <c r="F190" s="276" t="str">
        <f>IFERROR(VLOOKUP(E190,'G-7 WaterC'' Data'!$C$4:$D$8,2,FALSE),"")</f>
        <v/>
      </c>
      <c r="G190" s="52"/>
      <c r="H190" s="276" t="str">
        <f>IFERROR(INDEX('G-7 WaterC'' Data'!$H$4:$L$8,MATCH(C190,'G-7 WaterC'' Data'!$B$4:$B$8,0),MATCH(G190,'G-7 WaterC'' Data'!$H$3:$L$3,0)),"")</f>
        <v/>
      </c>
      <c r="I190" s="52"/>
      <c r="J190" s="314" t="str">
        <f>IF(I190="","",IF(VLOOKUP(I190,'G-7 WaterC'' Data'!$AK$4:$AM$6,2,FALSE)=0,"Spatial Data Missing ⚠",VLOOKUP(I190,'G-7 WaterC'' Data'!$AK$4:$AM$6,2,FALSE)))</f>
        <v/>
      </c>
      <c r="K190" s="276" t="str">
        <f>IF(I190="","",IF(VLOOKUP(I190,'G-7 WaterC'' Data'!$AK$4:$AM$6,3,FALSE)=0,"Spatial Data Missing ⚠",VLOOKUP(I190,'G-7 WaterC'' Data'!$AK$4:$AM$6,3,FALSE)))</f>
        <v/>
      </c>
      <c r="L190" s="372" t="str">
        <f>IFERROR(INDEX('G-7 WaterC'' Data'!$O$3:$O$7,MATCH(G190,'G-7 WaterC'' Data'!$N$3:$N$7,0)),"")</f>
        <v/>
      </c>
      <c r="M190" s="53"/>
      <c r="N190" s="133"/>
      <c r="O190" s="283" t="str">
        <f t="shared" si="14"/>
        <v/>
      </c>
      <c r="P190" s="296" t="str">
        <f t="shared" si="15"/>
        <v/>
      </c>
      <c r="Q190" s="334" t="str">
        <f>IFERROR(IF(P190="Check Data ⚠","Check Data ⚠",VLOOKUP(P190,'G-4 Temporal multipliers'!$A$4:$C$37,3,FALSE)),"")</f>
        <v/>
      </c>
      <c r="R190" s="275" t="str">
        <f>IF(C190="","",VLOOKUP(C190,'G-7 WaterC'' Data'!$B$4:$G$8,4,FALSE))</f>
        <v/>
      </c>
      <c r="S190" s="283" t="str">
        <f t="shared" si="16"/>
        <v/>
      </c>
      <c r="T190" s="314" t="str">
        <f t="shared" si="17"/>
        <v/>
      </c>
      <c r="U190" s="276" t="str">
        <f>IF(C190="","",VLOOKUP(T190,'G-3 Multipliers'!$P$2:$Q$6,2,FALSE))</f>
        <v/>
      </c>
      <c r="V190" s="102"/>
      <c r="W190" s="276" t="str">
        <f>IF(V190="","",IF(AND(V190="N/A - Culvert",C190&lt;&gt;"Culvert"),"Not possible ▲",IF(AND(C190="Culvert",V190&lt;&gt;"N/A - Culvert"),"Not possible ▲",IF(VLOOKUP(V190,'G-7 WaterC'' Data'!$AA$4:$AB$7,2,FALSE)=0,"Spatial Data Missing ⚠",VLOOKUP(V190,'G-7 WaterC'' Data'!$AA$4:$AB$7,2,FALSE)))))</f>
        <v/>
      </c>
      <c r="X190" s="56"/>
      <c r="Y190" s="276" t="str">
        <f>IF(X190="","",IF(AND(X190="N/A - Culvert",C190&lt;&gt;"Culvert"),"Not possible ▲",IF(AND(C190="Culvert",X190&lt;&gt;"N/A - Culvert"),"Not possible ▲",IF(VLOOKUP(X190,'G-7 WaterC'' Data'!$AD$4:$AE$14,2,FALSE)=0,"Enrcoachment Data Missing ⚠",VLOOKUP(X190,'G-7 WaterC'' Data'!$AD$4:$AE$14,2,FALSE)))))</f>
        <v/>
      </c>
      <c r="Z190" s="102"/>
      <c r="AA190" s="276" t="str">
        <f>IF(Z190="","",IF(VLOOKUP(Z190,'G-7 WaterC'' Data'!$AO$4:$BO$7,2,FALSE)=0,"Spatial Data Missing ⚠",VLOOKUP(Z190,'G-7 WaterC'' Data'!$AO$4:$BO$7,2,FALSE)))</f>
        <v/>
      </c>
      <c r="AB190" s="317" t="str">
        <f t="shared" si="18"/>
        <v/>
      </c>
      <c r="AC190" s="317" t="str">
        <f t="shared" si="19"/>
        <v/>
      </c>
      <c r="AD190" s="101"/>
      <c r="AE190" s="938"/>
      <c r="AF190" s="138"/>
      <c r="AG190" s="138"/>
      <c r="AH190" s="934"/>
      <c r="AL190" s="30" t="str">
        <f>IFERROR(INDEX('G-7 WaterC'' Data'!$AZ$3:$AZ$7,MATCH(C190,'G-7 WaterC'' Data'!$AY$3:$AY$7,0)),"")</f>
        <v/>
      </c>
      <c r="AN190" s="30" t="str">
        <f t="shared" si="20"/>
        <v>No</v>
      </c>
    </row>
    <row r="191" spans="2:40" ht="14">
      <c r="B191" s="97">
        <v>180</v>
      </c>
      <c r="C191" s="923"/>
      <c r="D191" s="115"/>
      <c r="E191" s="275" t="str">
        <f>IF(C191="","",VLOOKUP(C191,'G-7 WaterC'' Data'!$B$2:$Z$9,2,FALSE))</f>
        <v/>
      </c>
      <c r="F191" s="276" t="str">
        <f>IFERROR(VLOOKUP(E191,'G-7 WaterC'' Data'!$C$4:$D$8,2,FALSE),"")</f>
        <v/>
      </c>
      <c r="G191" s="52"/>
      <c r="H191" s="276" t="str">
        <f>IFERROR(INDEX('G-7 WaterC'' Data'!$H$4:$L$8,MATCH(C191,'G-7 WaterC'' Data'!$B$4:$B$8,0),MATCH(G191,'G-7 WaterC'' Data'!$H$3:$L$3,0)),"")</f>
        <v/>
      </c>
      <c r="I191" s="52"/>
      <c r="J191" s="314" t="str">
        <f>IF(I191="","",IF(VLOOKUP(I191,'G-7 WaterC'' Data'!$AK$4:$AM$6,2,FALSE)=0,"Spatial Data Missing ⚠",VLOOKUP(I191,'G-7 WaterC'' Data'!$AK$4:$AM$6,2,FALSE)))</f>
        <v/>
      </c>
      <c r="K191" s="276" t="str">
        <f>IF(I191="","",IF(VLOOKUP(I191,'G-7 WaterC'' Data'!$AK$4:$AM$6,3,FALSE)=0,"Spatial Data Missing ⚠",VLOOKUP(I191,'G-7 WaterC'' Data'!$AK$4:$AM$6,3,FALSE)))</f>
        <v/>
      </c>
      <c r="L191" s="372" t="str">
        <f>IFERROR(INDEX('G-7 WaterC'' Data'!$O$3:$O$7,MATCH(G191,'G-7 WaterC'' Data'!$N$3:$N$7,0)),"")</f>
        <v/>
      </c>
      <c r="M191" s="53"/>
      <c r="N191" s="133"/>
      <c r="O191" s="283" t="str">
        <f t="shared" si="14"/>
        <v/>
      </c>
      <c r="P191" s="296" t="str">
        <f t="shared" si="15"/>
        <v/>
      </c>
      <c r="Q191" s="334" t="str">
        <f>IFERROR(IF(P191="Check Data ⚠","Check Data ⚠",VLOOKUP(P191,'G-4 Temporal multipliers'!$A$4:$C$37,3,FALSE)),"")</f>
        <v/>
      </c>
      <c r="R191" s="275" t="str">
        <f>IF(C191="","",VLOOKUP(C191,'G-7 WaterC'' Data'!$B$4:$G$8,4,FALSE))</f>
        <v/>
      </c>
      <c r="S191" s="283" t="str">
        <f t="shared" si="16"/>
        <v/>
      </c>
      <c r="T191" s="314" t="str">
        <f t="shared" si="17"/>
        <v/>
      </c>
      <c r="U191" s="276" t="str">
        <f>IF(C191="","",VLOOKUP(T191,'G-3 Multipliers'!$P$2:$Q$6,2,FALSE))</f>
        <v/>
      </c>
      <c r="V191" s="102"/>
      <c r="W191" s="276" t="str">
        <f>IF(V191="","",IF(AND(V191="N/A - Culvert",C191&lt;&gt;"Culvert"),"Not possible ▲",IF(AND(C191="Culvert",V191&lt;&gt;"N/A - Culvert"),"Not possible ▲",IF(VLOOKUP(V191,'G-7 WaterC'' Data'!$AA$4:$AB$7,2,FALSE)=0,"Spatial Data Missing ⚠",VLOOKUP(V191,'G-7 WaterC'' Data'!$AA$4:$AB$7,2,FALSE)))))</f>
        <v/>
      </c>
      <c r="X191" s="56"/>
      <c r="Y191" s="276" t="str">
        <f>IF(X191="","",IF(AND(X191="N/A - Culvert",C191&lt;&gt;"Culvert"),"Not possible ▲",IF(AND(C191="Culvert",X191&lt;&gt;"N/A - Culvert"),"Not possible ▲",IF(VLOOKUP(X191,'G-7 WaterC'' Data'!$AD$4:$AE$14,2,FALSE)=0,"Enrcoachment Data Missing ⚠",VLOOKUP(X191,'G-7 WaterC'' Data'!$AD$4:$AE$14,2,FALSE)))))</f>
        <v/>
      </c>
      <c r="Z191" s="102"/>
      <c r="AA191" s="276" t="str">
        <f>IF(Z191="","",IF(VLOOKUP(Z191,'G-7 WaterC'' Data'!$AO$4:$BO$7,2,FALSE)=0,"Spatial Data Missing ⚠",VLOOKUP(Z191,'G-7 WaterC'' Data'!$AO$4:$BO$7,2,FALSE)))</f>
        <v/>
      </c>
      <c r="AB191" s="317" t="str">
        <f t="shared" si="18"/>
        <v/>
      </c>
      <c r="AC191" s="317" t="str">
        <f t="shared" si="19"/>
        <v/>
      </c>
      <c r="AD191" s="101"/>
      <c r="AE191" s="938"/>
      <c r="AF191" s="138"/>
      <c r="AG191" s="138"/>
      <c r="AH191" s="934"/>
      <c r="AL191" s="30" t="str">
        <f>IFERROR(INDEX('G-7 WaterC'' Data'!$AZ$3:$AZ$7,MATCH(C191,'G-7 WaterC'' Data'!$AY$3:$AY$7,0)),"")</f>
        <v/>
      </c>
      <c r="AN191" s="30" t="str">
        <f t="shared" si="20"/>
        <v>No</v>
      </c>
    </row>
    <row r="192" spans="2:40" ht="14">
      <c r="B192" s="97">
        <v>181</v>
      </c>
      <c r="C192" s="923"/>
      <c r="D192" s="115"/>
      <c r="E192" s="275" t="str">
        <f>IF(C192="","",VLOOKUP(C192,'G-7 WaterC'' Data'!$B$2:$Z$9,2,FALSE))</f>
        <v/>
      </c>
      <c r="F192" s="276" t="str">
        <f>IFERROR(VLOOKUP(E192,'G-7 WaterC'' Data'!$C$4:$D$8,2,FALSE),"")</f>
        <v/>
      </c>
      <c r="G192" s="52"/>
      <c r="H192" s="276" t="str">
        <f>IFERROR(INDEX('G-7 WaterC'' Data'!$H$4:$L$8,MATCH(C192,'G-7 WaterC'' Data'!$B$4:$B$8,0),MATCH(G192,'G-7 WaterC'' Data'!$H$3:$L$3,0)),"")</f>
        <v/>
      </c>
      <c r="I192" s="52"/>
      <c r="J192" s="314" t="str">
        <f>IF(I192="","",IF(VLOOKUP(I192,'G-7 WaterC'' Data'!$AK$4:$AM$6,2,FALSE)=0,"Spatial Data Missing ⚠",VLOOKUP(I192,'G-7 WaterC'' Data'!$AK$4:$AM$6,2,FALSE)))</f>
        <v/>
      </c>
      <c r="K192" s="276" t="str">
        <f>IF(I192="","",IF(VLOOKUP(I192,'G-7 WaterC'' Data'!$AK$4:$AM$6,3,FALSE)=0,"Spatial Data Missing ⚠",VLOOKUP(I192,'G-7 WaterC'' Data'!$AK$4:$AM$6,3,FALSE)))</f>
        <v/>
      </c>
      <c r="L192" s="372" t="str">
        <f>IFERROR(INDEX('G-7 WaterC'' Data'!$O$3:$O$7,MATCH(G192,'G-7 WaterC'' Data'!$N$3:$N$7,0)),"")</f>
        <v/>
      </c>
      <c r="M192" s="53"/>
      <c r="N192" s="133"/>
      <c r="O192" s="283" t="str">
        <f t="shared" si="14"/>
        <v/>
      </c>
      <c r="P192" s="296" t="str">
        <f t="shared" si="15"/>
        <v/>
      </c>
      <c r="Q192" s="334" t="str">
        <f>IFERROR(IF(P192="Check Data ⚠","Check Data ⚠",VLOOKUP(P192,'G-4 Temporal multipliers'!$A$4:$C$37,3,FALSE)),"")</f>
        <v/>
      </c>
      <c r="R192" s="275" t="str">
        <f>IF(C192="","",VLOOKUP(C192,'G-7 WaterC'' Data'!$B$4:$G$8,4,FALSE))</f>
        <v/>
      </c>
      <c r="S192" s="283" t="str">
        <f t="shared" si="16"/>
        <v/>
      </c>
      <c r="T192" s="314" t="str">
        <f t="shared" si="17"/>
        <v/>
      </c>
      <c r="U192" s="276" t="str">
        <f>IF(C192="","",VLOOKUP(T192,'G-3 Multipliers'!$P$2:$Q$6,2,FALSE))</f>
        <v/>
      </c>
      <c r="V192" s="102"/>
      <c r="W192" s="276" t="str">
        <f>IF(V192="","",IF(AND(V192="N/A - Culvert",C192&lt;&gt;"Culvert"),"Not possible ▲",IF(AND(C192="Culvert",V192&lt;&gt;"N/A - Culvert"),"Not possible ▲",IF(VLOOKUP(V192,'G-7 WaterC'' Data'!$AA$4:$AB$7,2,FALSE)=0,"Spatial Data Missing ⚠",VLOOKUP(V192,'G-7 WaterC'' Data'!$AA$4:$AB$7,2,FALSE)))))</f>
        <v/>
      </c>
      <c r="X192" s="56"/>
      <c r="Y192" s="276" t="str">
        <f>IF(X192="","",IF(AND(X192="N/A - Culvert",C192&lt;&gt;"Culvert"),"Not possible ▲",IF(AND(C192="Culvert",X192&lt;&gt;"N/A - Culvert"),"Not possible ▲",IF(VLOOKUP(X192,'G-7 WaterC'' Data'!$AD$4:$AE$14,2,FALSE)=0,"Enrcoachment Data Missing ⚠",VLOOKUP(X192,'G-7 WaterC'' Data'!$AD$4:$AE$14,2,FALSE)))))</f>
        <v/>
      </c>
      <c r="Z192" s="102"/>
      <c r="AA192" s="276" t="str">
        <f>IF(Z192="","",IF(VLOOKUP(Z192,'G-7 WaterC'' Data'!$AO$4:$BO$7,2,FALSE)=0,"Spatial Data Missing ⚠",VLOOKUP(Z192,'G-7 WaterC'' Data'!$AO$4:$BO$7,2,FALSE)))</f>
        <v/>
      </c>
      <c r="AB192" s="317" t="str">
        <f t="shared" si="18"/>
        <v/>
      </c>
      <c r="AC192" s="317" t="str">
        <f t="shared" si="19"/>
        <v/>
      </c>
      <c r="AD192" s="101"/>
      <c r="AE192" s="938"/>
      <c r="AF192" s="138"/>
      <c r="AG192" s="138"/>
      <c r="AH192" s="934"/>
      <c r="AL192" s="30" t="str">
        <f>IFERROR(INDEX('G-7 WaterC'' Data'!$AZ$3:$AZ$7,MATCH(C192,'G-7 WaterC'' Data'!$AY$3:$AY$7,0)),"")</f>
        <v/>
      </c>
      <c r="AN192" s="30" t="str">
        <f t="shared" si="20"/>
        <v>No</v>
      </c>
    </row>
    <row r="193" spans="2:40" ht="14">
      <c r="B193" s="97">
        <v>182</v>
      </c>
      <c r="C193" s="923"/>
      <c r="D193" s="115"/>
      <c r="E193" s="275" t="str">
        <f>IF(C193="","",VLOOKUP(C193,'G-7 WaterC'' Data'!$B$2:$Z$9,2,FALSE))</f>
        <v/>
      </c>
      <c r="F193" s="276" t="str">
        <f>IFERROR(VLOOKUP(E193,'G-7 WaterC'' Data'!$C$4:$D$8,2,FALSE),"")</f>
        <v/>
      </c>
      <c r="G193" s="52"/>
      <c r="H193" s="276" t="str">
        <f>IFERROR(INDEX('G-7 WaterC'' Data'!$H$4:$L$8,MATCH(C193,'G-7 WaterC'' Data'!$B$4:$B$8,0),MATCH(G193,'G-7 WaterC'' Data'!$H$3:$L$3,0)),"")</f>
        <v/>
      </c>
      <c r="I193" s="52"/>
      <c r="J193" s="314" t="str">
        <f>IF(I193="","",IF(VLOOKUP(I193,'G-7 WaterC'' Data'!$AK$4:$AM$6,2,FALSE)=0,"Spatial Data Missing ⚠",VLOOKUP(I193,'G-7 WaterC'' Data'!$AK$4:$AM$6,2,FALSE)))</f>
        <v/>
      </c>
      <c r="K193" s="276" t="str">
        <f>IF(I193="","",IF(VLOOKUP(I193,'G-7 WaterC'' Data'!$AK$4:$AM$6,3,FALSE)=0,"Spatial Data Missing ⚠",VLOOKUP(I193,'G-7 WaterC'' Data'!$AK$4:$AM$6,3,FALSE)))</f>
        <v/>
      </c>
      <c r="L193" s="372" t="str">
        <f>IFERROR(INDEX('G-7 WaterC'' Data'!$O$3:$O$7,MATCH(G193,'G-7 WaterC'' Data'!$N$3:$N$7,0)),"")</f>
        <v/>
      </c>
      <c r="M193" s="53"/>
      <c r="N193" s="133"/>
      <c r="O193" s="283" t="str">
        <f t="shared" si="14"/>
        <v/>
      </c>
      <c r="P193" s="296" t="str">
        <f t="shared" si="15"/>
        <v/>
      </c>
      <c r="Q193" s="334" t="str">
        <f>IFERROR(IF(P193="Check Data ⚠","Check Data ⚠",VLOOKUP(P193,'G-4 Temporal multipliers'!$A$4:$C$37,3,FALSE)),"")</f>
        <v/>
      </c>
      <c r="R193" s="275" t="str">
        <f>IF(C193="","",VLOOKUP(C193,'G-7 WaterC'' Data'!$B$4:$G$8,4,FALSE))</f>
        <v/>
      </c>
      <c r="S193" s="283" t="str">
        <f t="shared" si="16"/>
        <v/>
      </c>
      <c r="T193" s="314" t="str">
        <f t="shared" si="17"/>
        <v/>
      </c>
      <c r="U193" s="276" t="str">
        <f>IF(C193="","",VLOOKUP(T193,'G-3 Multipliers'!$P$2:$Q$6,2,FALSE))</f>
        <v/>
      </c>
      <c r="V193" s="102"/>
      <c r="W193" s="276" t="str">
        <f>IF(V193="","",IF(AND(V193="N/A - Culvert",C193&lt;&gt;"Culvert"),"Not possible ▲",IF(AND(C193="Culvert",V193&lt;&gt;"N/A - Culvert"),"Not possible ▲",IF(VLOOKUP(V193,'G-7 WaterC'' Data'!$AA$4:$AB$7,2,FALSE)=0,"Spatial Data Missing ⚠",VLOOKUP(V193,'G-7 WaterC'' Data'!$AA$4:$AB$7,2,FALSE)))))</f>
        <v/>
      </c>
      <c r="X193" s="56"/>
      <c r="Y193" s="276" t="str">
        <f>IF(X193="","",IF(AND(X193="N/A - Culvert",C193&lt;&gt;"Culvert"),"Not possible ▲",IF(AND(C193="Culvert",X193&lt;&gt;"N/A - Culvert"),"Not possible ▲",IF(VLOOKUP(X193,'G-7 WaterC'' Data'!$AD$4:$AE$14,2,FALSE)=0,"Enrcoachment Data Missing ⚠",VLOOKUP(X193,'G-7 WaterC'' Data'!$AD$4:$AE$14,2,FALSE)))))</f>
        <v/>
      </c>
      <c r="Z193" s="102"/>
      <c r="AA193" s="276" t="str">
        <f>IF(Z193="","",IF(VLOOKUP(Z193,'G-7 WaterC'' Data'!$AO$4:$BO$7,2,FALSE)=0,"Spatial Data Missing ⚠",VLOOKUP(Z193,'G-7 WaterC'' Data'!$AO$4:$BO$7,2,FALSE)))</f>
        <v/>
      </c>
      <c r="AB193" s="317" t="str">
        <f t="shared" si="18"/>
        <v/>
      </c>
      <c r="AC193" s="317" t="str">
        <f t="shared" si="19"/>
        <v/>
      </c>
      <c r="AD193" s="101"/>
      <c r="AE193" s="938"/>
      <c r="AF193" s="138"/>
      <c r="AG193" s="138"/>
      <c r="AH193" s="934"/>
      <c r="AL193" s="30" t="str">
        <f>IFERROR(INDEX('G-7 WaterC'' Data'!$AZ$3:$AZ$7,MATCH(C193,'G-7 WaterC'' Data'!$AY$3:$AY$7,0)),"")</f>
        <v/>
      </c>
      <c r="AN193" s="30" t="str">
        <f t="shared" si="20"/>
        <v>No</v>
      </c>
    </row>
    <row r="194" spans="2:40" ht="14">
      <c r="B194" s="97">
        <v>183</v>
      </c>
      <c r="C194" s="923"/>
      <c r="D194" s="115"/>
      <c r="E194" s="275" t="str">
        <f>IF(C194="","",VLOOKUP(C194,'G-7 WaterC'' Data'!$B$2:$Z$9,2,FALSE))</f>
        <v/>
      </c>
      <c r="F194" s="276" t="str">
        <f>IFERROR(VLOOKUP(E194,'G-7 WaterC'' Data'!$C$4:$D$8,2,FALSE),"")</f>
        <v/>
      </c>
      <c r="G194" s="52"/>
      <c r="H194" s="276" t="str">
        <f>IFERROR(INDEX('G-7 WaterC'' Data'!$H$4:$L$8,MATCH(C194,'G-7 WaterC'' Data'!$B$4:$B$8,0),MATCH(G194,'G-7 WaterC'' Data'!$H$3:$L$3,0)),"")</f>
        <v/>
      </c>
      <c r="I194" s="52"/>
      <c r="J194" s="314" t="str">
        <f>IF(I194="","",IF(VLOOKUP(I194,'G-7 WaterC'' Data'!$AK$4:$AM$6,2,FALSE)=0,"Spatial Data Missing ⚠",VLOOKUP(I194,'G-7 WaterC'' Data'!$AK$4:$AM$6,2,FALSE)))</f>
        <v/>
      </c>
      <c r="K194" s="276" t="str">
        <f>IF(I194="","",IF(VLOOKUP(I194,'G-7 WaterC'' Data'!$AK$4:$AM$6,3,FALSE)=0,"Spatial Data Missing ⚠",VLOOKUP(I194,'G-7 WaterC'' Data'!$AK$4:$AM$6,3,FALSE)))</f>
        <v/>
      </c>
      <c r="L194" s="372" t="str">
        <f>IFERROR(INDEX('G-7 WaterC'' Data'!$O$3:$O$7,MATCH(G194,'G-7 WaterC'' Data'!$N$3:$N$7,0)),"")</f>
        <v/>
      </c>
      <c r="M194" s="53"/>
      <c r="N194" s="133"/>
      <c r="O194" s="283" t="str">
        <f t="shared" si="14"/>
        <v/>
      </c>
      <c r="P194" s="296" t="str">
        <f t="shared" si="15"/>
        <v/>
      </c>
      <c r="Q194" s="334" t="str">
        <f>IFERROR(IF(P194="Check Data ⚠","Check Data ⚠",VLOOKUP(P194,'G-4 Temporal multipliers'!$A$4:$C$37,3,FALSE)),"")</f>
        <v/>
      </c>
      <c r="R194" s="275" t="str">
        <f>IF(C194="","",VLOOKUP(C194,'G-7 WaterC'' Data'!$B$4:$G$8,4,FALSE))</f>
        <v/>
      </c>
      <c r="S194" s="283" t="str">
        <f t="shared" si="16"/>
        <v/>
      </c>
      <c r="T194" s="314" t="str">
        <f t="shared" si="17"/>
        <v/>
      </c>
      <c r="U194" s="276" t="str">
        <f>IF(C194="","",VLOOKUP(T194,'G-3 Multipliers'!$P$2:$Q$6,2,FALSE))</f>
        <v/>
      </c>
      <c r="V194" s="102"/>
      <c r="W194" s="276" t="str">
        <f>IF(V194="","",IF(AND(V194="N/A - Culvert",C194&lt;&gt;"Culvert"),"Not possible ▲",IF(AND(C194="Culvert",V194&lt;&gt;"N/A - Culvert"),"Not possible ▲",IF(VLOOKUP(V194,'G-7 WaterC'' Data'!$AA$4:$AB$7,2,FALSE)=0,"Spatial Data Missing ⚠",VLOOKUP(V194,'G-7 WaterC'' Data'!$AA$4:$AB$7,2,FALSE)))))</f>
        <v/>
      </c>
      <c r="X194" s="56"/>
      <c r="Y194" s="276" t="str">
        <f>IF(X194="","",IF(AND(X194="N/A - Culvert",C194&lt;&gt;"Culvert"),"Not possible ▲",IF(AND(C194="Culvert",X194&lt;&gt;"N/A - Culvert"),"Not possible ▲",IF(VLOOKUP(X194,'G-7 WaterC'' Data'!$AD$4:$AE$14,2,FALSE)=0,"Enrcoachment Data Missing ⚠",VLOOKUP(X194,'G-7 WaterC'' Data'!$AD$4:$AE$14,2,FALSE)))))</f>
        <v/>
      </c>
      <c r="Z194" s="102"/>
      <c r="AA194" s="276" t="str">
        <f>IF(Z194="","",IF(VLOOKUP(Z194,'G-7 WaterC'' Data'!$AO$4:$BO$7,2,FALSE)=0,"Spatial Data Missing ⚠",VLOOKUP(Z194,'G-7 WaterC'' Data'!$AO$4:$BO$7,2,FALSE)))</f>
        <v/>
      </c>
      <c r="AB194" s="317" t="str">
        <f t="shared" si="18"/>
        <v/>
      </c>
      <c r="AC194" s="317" t="str">
        <f t="shared" si="19"/>
        <v/>
      </c>
      <c r="AD194" s="101"/>
      <c r="AE194" s="938"/>
      <c r="AF194" s="138"/>
      <c r="AG194" s="138"/>
      <c r="AH194" s="934"/>
      <c r="AL194" s="30" t="str">
        <f>IFERROR(INDEX('G-7 WaterC'' Data'!$AZ$3:$AZ$7,MATCH(C194,'G-7 WaterC'' Data'!$AY$3:$AY$7,0)),"")</f>
        <v/>
      </c>
      <c r="AN194" s="30" t="str">
        <f t="shared" si="20"/>
        <v>No</v>
      </c>
    </row>
    <row r="195" spans="2:40" ht="14">
      <c r="B195" s="97">
        <v>184</v>
      </c>
      <c r="C195" s="923"/>
      <c r="D195" s="115"/>
      <c r="E195" s="275" t="str">
        <f>IF(C195="","",VLOOKUP(C195,'G-7 WaterC'' Data'!$B$2:$Z$9,2,FALSE))</f>
        <v/>
      </c>
      <c r="F195" s="276" t="str">
        <f>IFERROR(VLOOKUP(E195,'G-7 WaterC'' Data'!$C$4:$D$8,2,FALSE),"")</f>
        <v/>
      </c>
      <c r="G195" s="52"/>
      <c r="H195" s="276" t="str">
        <f>IFERROR(INDEX('G-7 WaterC'' Data'!$H$4:$L$8,MATCH(C195,'G-7 WaterC'' Data'!$B$4:$B$8,0),MATCH(G195,'G-7 WaterC'' Data'!$H$3:$L$3,0)),"")</f>
        <v/>
      </c>
      <c r="I195" s="52"/>
      <c r="J195" s="314" t="str">
        <f>IF(I195="","",IF(VLOOKUP(I195,'G-7 WaterC'' Data'!$AK$4:$AM$6,2,FALSE)=0,"Spatial Data Missing ⚠",VLOOKUP(I195,'G-7 WaterC'' Data'!$AK$4:$AM$6,2,FALSE)))</f>
        <v/>
      </c>
      <c r="K195" s="276" t="str">
        <f>IF(I195="","",IF(VLOOKUP(I195,'G-7 WaterC'' Data'!$AK$4:$AM$6,3,FALSE)=0,"Spatial Data Missing ⚠",VLOOKUP(I195,'G-7 WaterC'' Data'!$AK$4:$AM$6,3,FALSE)))</f>
        <v/>
      </c>
      <c r="L195" s="372" t="str">
        <f>IFERROR(INDEX('G-7 WaterC'' Data'!$O$3:$O$7,MATCH(G195,'G-7 WaterC'' Data'!$N$3:$N$7,0)),"")</f>
        <v/>
      </c>
      <c r="M195" s="53"/>
      <c r="N195" s="133"/>
      <c r="O195" s="283" t="str">
        <f t="shared" si="14"/>
        <v/>
      </c>
      <c r="P195" s="296" t="str">
        <f t="shared" si="15"/>
        <v/>
      </c>
      <c r="Q195" s="334" t="str">
        <f>IFERROR(IF(P195="Check Data ⚠","Check Data ⚠",VLOOKUP(P195,'G-4 Temporal multipliers'!$A$4:$C$37,3,FALSE)),"")</f>
        <v/>
      </c>
      <c r="R195" s="275" t="str">
        <f>IF(C195="","",VLOOKUP(C195,'G-7 WaterC'' Data'!$B$4:$G$8,4,FALSE))</f>
        <v/>
      </c>
      <c r="S195" s="283" t="str">
        <f t="shared" si="16"/>
        <v/>
      </c>
      <c r="T195" s="314" t="str">
        <f t="shared" si="17"/>
        <v/>
      </c>
      <c r="U195" s="276" t="str">
        <f>IF(C195="","",VLOOKUP(T195,'G-3 Multipliers'!$P$2:$Q$6,2,FALSE))</f>
        <v/>
      </c>
      <c r="V195" s="102"/>
      <c r="W195" s="276" t="str">
        <f>IF(V195="","",IF(AND(V195="N/A - Culvert",C195&lt;&gt;"Culvert"),"Not possible ▲",IF(AND(C195="Culvert",V195&lt;&gt;"N/A - Culvert"),"Not possible ▲",IF(VLOOKUP(V195,'G-7 WaterC'' Data'!$AA$4:$AB$7,2,FALSE)=0,"Spatial Data Missing ⚠",VLOOKUP(V195,'G-7 WaterC'' Data'!$AA$4:$AB$7,2,FALSE)))))</f>
        <v/>
      </c>
      <c r="X195" s="56"/>
      <c r="Y195" s="276" t="str">
        <f>IF(X195="","",IF(AND(X195="N/A - Culvert",C195&lt;&gt;"Culvert"),"Not possible ▲",IF(AND(C195="Culvert",X195&lt;&gt;"N/A - Culvert"),"Not possible ▲",IF(VLOOKUP(X195,'G-7 WaterC'' Data'!$AD$4:$AE$14,2,FALSE)=0,"Enrcoachment Data Missing ⚠",VLOOKUP(X195,'G-7 WaterC'' Data'!$AD$4:$AE$14,2,FALSE)))))</f>
        <v/>
      </c>
      <c r="Z195" s="102"/>
      <c r="AA195" s="276" t="str">
        <f>IF(Z195="","",IF(VLOOKUP(Z195,'G-7 WaterC'' Data'!$AO$4:$BO$7,2,FALSE)=0,"Spatial Data Missing ⚠",VLOOKUP(Z195,'G-7 WaterC'' Data'!$AO$4:$BO$7,2,FALSE)))</f>
        <v/>
      </c>
      <c r="AB195" s="317" t="str">
        <f t="shared" si="18"/>
        <v/>
      </c>
      <c r="AC195" s="317" t="str">
        <f t="shared" si="19"/>
        <v/>
      </c>
      <c r="AD195" s="101"/>
      <c r="AE195" s="938"/>
      <c r="AF195" s="138"/>
      <c r="AG195" s="138"/>
      <c r="AH195" s="934"/>
      <c r="AL195" s="30" t="str">
        <f>IFERROR(INDEX('G-7 WaterC'' Data'!$AZ$3:$AZ$7,MATCH(C195,'G-7 WaterC'' Data'!$AY$3:$AY$7,0)),"")</f>
        <v/>
      </c>
      <c r="AN195" s="30" t="str">
        <f t="shared" si="20"/>
        <v>No</v>
      </c>
    </row>
    <row r="196" spans="2:40" ht="14">
      <c r="B196" s="97">
        <v>185</v>
      </c>
      <c r="C196" s="923"/>
      <c r="D196" s="115"/>
      <c r="E196" s="275" t="str">
        <f>IF(C196="","",VLOOKUP(C196,'G-7 WaterC'' Data'!$B$2:$Z$9,2,FALSE))</f>
        <v/>
      </c>
      <c r="F196" s="276" t="str">
        <f>IFERROR(VLOOKUP(E196,'G-7 WaterC'' Data'!$C$4:$D$8,2,FALSE),"")</f>
        <v/>
      </c>
      <c r="G196" s="52"/>
      <c r="H196" s="276" t="str">
        <f>IFERROR(INDEX('G-7 WaterC'' Data'!$H$4:$L$8,MATCH(C196,'G-7 WaterC'' Data'!$B$4:$B$8,0),MATCH(G196,'G-7 WaterC'' Data'!$H$3:$L$3,0)),"")</f>
        <v/>
      </c>
      <c r="I196" s="52"/>
      <c r="J196" s="314" t="str">
        <f>IF(I196="","",IF(VLOOKUP(I196,'G-7 WaterC'' Data'!$AK$4:$AM$6,2,FALSE)=0,"Spatial Data Missing ⚠",VLOOKUP(I196,'G-7 WaterC'' Data'!$AK$4:$AM$6,2,FALSE)))</f>
        <v/>
      </c>
      <c r="K196" s="276" t="str">
        <f>IF(I196="","",IF(VLOOKUP(I196,'G-7 WaterC'' Data'!$AK$4:$AM$6,3,FALSE)=0,"Spatial Data Missing ⚠",VLOOKUP(I196,'G-7 WaterC'' Data'!$AK$4:$AM$6,3,FALSE)))</f>
        <v/>
      </c>
      <c r="L196" s="372" t="str">
        <f>IFERROR(INDEX('G-7 WaterC'' Data'!$O$3:$O$7,MATCH(G196,'G-7 WaterC'' Data'!$N$3:$N$7,0)),"")</f>
        <v/>
      </c>
      <c r="M196" s="53"/>
      <c r="N196" s="133"/>
      <c r="O196" s="283" t="str">
        <f t="shared" si="14"/>
        <v/>
      </c>
      <c r="P196" s="296" t="str">
        <f t="shared" si="15"/>
        <v/>
      </c>
      <c r="Q196" s="334" t="str">
        <f>IFERROR(IF(P196="Check Data ⚠","Check Data ⚠",VLOOKUP(P196,'G-4 Temporal multipliers'!$A$4:$C$37,3,FALSE)),"")</f>
        <v/>
      </c>
      <c r="R196" s="275" t="str">
        <f>IF(C196="","",VLOOKUP(C196,'G-7 WaterC'' Data'!$B$4:$G$8,4,FALSE))</f>
        <v/>
      </c>
      <c r="S196" s="283" t="str">
        <f t="shared" si="16"/>
        <v/>
      </c>
      <c r="T196" s="314" t="str">
        <f t="shared" si="17"/>
        <v/>
      </c>
      <c r="U196" s="276" t="str">
        <f>IF(C196="","",VLOOKUP(T196,'G-3 Multipliers'!$P$2:$Q$6,2,FALSE))</f>
        <v/>
      </c>
      <c r="V196" s="102"/>
      <c r="W196" s="276" t="str">
        <f>IF(V196="","",IF(AND(V196="N/A - Culvert",C196&lt;&gt;"Culvert"),"Not possible ▲",IF(AND(C196="Culvert",V196&lt;&gt;"N/A - Culvert"),"Not possible ▲",IF(VLOOKUP(V196,'G-7 WaterC'' Data'!$AA$4:$AB$7,2,FALSE)=0,"Spatial Data Missing ⚠",VLOOKUP(V196,'G-7 WaterC'' Data'!$AA$4:$AB$7,2,FALSE)))))</f>
        <v/>
      </c>
      <c r="X196" s="56"/>
      <c r="Y196" s="276" t="str">
        <f>IF(X196="","",IF(AND(X196="N/A - Culvert",C196&lt;&gt;"Culvert"),"Not possible ▲",IF(AND(C196="Culvert",X196&lt;&gt;"N/A - Culvert"),"Not possible ▲",IF(VLOOKUP(X196,'G-7 WaterC'' Data'!$AD$4:$AE$14,2,FALSE)=0,"Enrcoachment Data Missing ⚠",VLOOKUP(X196,'G-7 WaterC'' Data'!$AD$4:$AE$14,2,FALSE)))))</f>
        <v/>
      </c>
      <c r="Z196" s="102"/>
      <c r="AA196" s="276" t="str">
        <f>IF(Z196="","",IF(VLOOKUP(Z196,'G-7 WaterC'' Data'!$AO$4:$BO$7,2,FALSE)=0,"Spatial Data Missing ⚠",VLOOKUP(Z196,'G-7 WaterC'' Data'!$AO$4:$BO$7,2,FALSE)))</f>
        <v/>
      </c>
      <c r="AB196" s="317" t="str">
        <f t="shared" si="18"/>
        <v/>
      </c>
      <c r="AC196" s="317" t="str">
        <f t="shared" si="19"/>
        <v/>
      </c>
      <c r="AD196" s="101"/>
      <c r="AE196" s="938"/>
      <c r="AF196" s="138"/>
      <c r="AG196" s="138"/>
      <c r="AH196" s="934"/>
      <c r="AL196" s="30" t="str">
        <f>IFERROR(INDEX('G-7 WaterC'' Data'!$AZ$3:$AZ$7,MATCH(C196,'G-7 WaterC'' Data'!$AY$3:$AY$7,0)),"")</f>
        <v/>
      </c>
      <c r="AN196" s="30" t="str">
        <f t="shared" si="20"/>
        <v>No</v>
      </c>
    </row>
    <row r="197" spans="2:40" ht="14">
      <c r="B197" s="97">
        <v>186</v>
      </c>
      <c r="C197" s="923"/>
      <c r="D197" s="115"/>
      <c r="E197" s="275" t="str">
        <f>IF(C197="","",VLOOKUP(C197,'G-7 WaterC'' Data'!$B$2:$Z$9,2,FALSE))</f>
        <v/>
      </c>
      <c r="F197" s="276" t="str">
        <f>IFERROR(VLOOKUP(E197,'G-7 WaterC'' Data'!$C$4:$D$8,2,FALSE),"")</f>
        <v/>
      </c>
      <c r="G197" s="52"/>
      <c r="H197" s="276" t="str">
        <f>IFERROR(INDEX('G-7 WaterC'' Data'!$H$4:$L$8,MATCH(C197,'G-7 WaterC'' Data'!$B$4:$B$8,0),MATCH(G197,'G-7 WaterC'' Data'!$H$3:$L$3,0)),"")</f>
        <v/>
      </c>
      <c r="I197" s="52"/>
      <c r="J197" s="314" t="str">
        <f>IF(I197="","",IF(VLOOKUP(I197,'G-7 WaterC'' Data'!$AK$4:$AM$6,2,FALSE)=0,"Spatial Data Missing ⚠",VLOOKUP(I197,'G-7 WaterC'' Data'!$AK$4:$AM$6,2,FALSE)))</f>
        <v/>
      </c>
      <c r="K197" s="276" t="str">
        <f>IF(I197="","",IF(VLOOKUP(I197,'G-7 WaterC'' Data'!$AK$4:$AM$6,3,FALSE)=0,"Spatial Data Missing ⚠",VLOOKUP(I197,'G-7 WaterC'' Data'!$AK$4:$AM$6,3,FALSE)))</f>
        <v/>
      </c>
      <c r="L197" s="372" t="str">
        <f>IFERROR(INDEX('G-7 WaterC'' Data'!$O$3:$O$7,MATCH(G197,'G-7 WaterC'' Data'!$N$3:$N$7,0)),"")</f>
        <v/>
      </c>
      <c r="M197" s="53"/>
      <c r="N197" s="133"/>
      <c r="O197" s="283" t="str">
        <f t="shared" si="14"/>
        <v/>
      </c>
      <c r="P197" s="296" t="str">
        <f t="shared" si="15"/>
        <v/>
      </c>
      <c r="Q197" s="334" t="str">
        <f>IFERROR(IF(P197="Check Data ⚠","Check Data ⚠",VLOOKUP(P197,'G-4 Temporal multipliers'!$A$4:$C$37,3,FALSE)),"")</f>
        <v/>
      </c>
      <c r="R197" s="275" t="str">
        <f>IF(C197="","",VLOOKUP(C197,'G-7 WaterC'' Data'!$B$4:$G$8,4,FALSE))</f>
        <v/>
      </c>
      <c r="S197" s="283" t="str">
        <f t="shared" si="16"/>
        <v/>
      </c>
      <c r="T197" s="314" t="str">
        <f t="shared" si="17"/>
        <v/>
      </c>
      <c r="U197" s="276" t="str">
        <f>IF(C197="","",VLOOKUP(T197,'G-3 Multipliers'!$P$2:$Q$6,2,FALSE))</f>
        <v/>
      </c>
      <c r="V197" s="102"/>
      <c r="W197" s="276" t="str">
        <f>IF(V197="","",IF(AND(V197="N/A - Culvert",C197&lt;&gt;"Culvert"),"Not possible ▲",IF(AND(C197="Culvert",V197&lt;&gt;"N/A - Culvert"),"Not possible ▲",IF(VLOOKUP(V197,'G-7 WaterC'' Data'!$AA$4:$AB$7,2,FALSE)=0,"Spatial Data Missing ⚠",VLOOKUP(V197,'G-7 WaterC'' Data'!$AA$4:$AB$7,2,FALSE)))))</f>
        <v/>
      </c>
      <c r="X197" s="56"/>
      <c r="Y197" s="276" t="str">
        <f>IF(X197="","",IF(AND(X197="N/A - Culvert",C197&lt;&gt;"Culvert"),"Not possible ▲",IF(AND(C197="Culvert",X197&lt;&gt;"N/A - Culvert"),"Not possible ▲",IF(VLOOKUP(X197,'G-7 WaterC'' Data'!$AD$4:$AE$14,2,FALSE)=0,"Enrcoachment Data Missing ⚠",VLOOKUP(X197,'G-7 WaterC'' Data'!$AD$4:$AE$14,2,FALSE)))))</f>
        <v/>
      </c>
      <c r="Z197" s="102"/>
      <c r="AA197" s="276" t="str">
        <f>IF(Z197="","",IF(VLOOKUP(Z197,'G-7 WaterC'' Data'!$AO$4:$BO$7,2,FALSE)=0,"Spatial Data Missing ⚠",VLOOKUP(Z197,'G-7 WaterC'' Data'!$AO$4:$BO$7,2,FALSE)))</f>
        <v/>
      </c>
      <c r="AB197" s="317" t="str">
        <f t="shared" si="18"/>
        <v/>
      </c>
      <c r="AC197" s="317" t="str">
        <f t="shared" si="19"/>
        <v/>
      </c>
      <c r="AD197" s="101"/>
      <c r="AE197" s="938"/>
      <c r="AF197" s="138"/>
      <c r="AG197" s="138"/>
      <c r="AH197" s="934"/>
      <c r="AL197" s="30" t="str">
        <f>IFERROR(INDEX('G-7 WaterC'' Data'!$AZ$3:$AZ$7,MATCH(C197,'G-7 WaterC'' Data'!$AY$3:$AY$7,0)),"")</f>
        <v/>
      </c>
      <c r="AN197" s="30" t="str">
        <f t="shared" si="20"/>
        <v>No</v>
      </c>
    </row>
    <row r="198" spans="2:40" ht="14">
      <c r="B198" s="97">
        <v>187</v>
      </c>
      <c r="C198" s="923"/>
      <c r="D198" s="115"/>
      <c r="E198" s="275" t="str">
        <f>IF(C198="","",VLOOKUP(C198,'G-7 WaterC'' Data'!$B$2:$Z$9,2,FALSE))</f>
        <v/>
      </c>
      <c r="F198" s="276" t="str">
        <f>IFERROR(VLOOKUP(E198,'G-7 WaterC'' Data'!$C$4:$D$8,2,FALSE),"")</f>
        <v/>
      </c>
      <c r="G198" s="52"/>
      <c r="H198" s="276" t="str">
        <f>IFERROR(INDEX('G-7 WaterC'' Data'!$H$4:$L$8,MATCH(C198,'G-7 WaterC'' Data'!$B$4:$B$8,0),MATCH(G198,'G-7 WaterC'' Data'!$H$3:$L$3,0)),"")</f>
        <v/>
      </c>
      <c r="I198" s="52"/>
      <c r="J198" s="314" t="str">
        <f>IF(I198="","",IF(VLOOKUP(I198,'G-7 WaterC'' Data'!$AK$4:$AM$6,2,FALSE)=0,"Spatial Data Missing ⚠",VLOOKUP(I198,'G-7 WaterC'' Data'!$AK$4:$AM$6,2,FALSE)))</f>
        <v/>
      </c>
      <c r="K198" s="276" t="str">
        <f>IF(I198="","",IF(VLOOKUP(I198,'G-7 WaterC'' Data'!$AK$4:$AM$6,3,FALSE)=0,"Spatial Data Missing ⚠",VLOOKUP(I198,'G-7 WaterC'' Data'!$AK$4:$AM$6,3,FALSE)))</f>
        <v/>
      </c>
      <c r="L198" s="372" t="str">
        <f>IFERROR(INDEX('G-7 WaterC'' Data'!$O$3:$O$7,MATCH(G198,'G-7 WaterC'' Data'!$N$3:$N$7,0)),"")</f>
        <v/>
      </c>
      <c r="M198" s="53"/>
      <c r="N198" s="133"/>
      <c r="O198" s="283" t="str">
        <f t="shared" si="14"/>
        <v/>
      </c>
      <c r="P198" s="296" t="str">
        <f t="shared" si="15"/>
        <v/>
      </c>
      <c r="Q198" s="334" t="str">
        <f>IFERROR(IF(P198="Check Data ⚠","Check Data ⚠",VLOOKUP(P198,'G-4 Temporal multipliers'!$A$4:$C$37,3,FALSE)),"")</f>
        <v/>
      </c>
      <c r="R198" s="275" t="str">
        <f>IF(C198="","",VLOOKUP(C198,'G-7 WaterC'' Data'!$B$4:$G$8,4,FALSE))</f>
        <v/>
      </c>
      <c r="S198" s="283" t="str">
        <f t="shared" si="16"/>
        <v/>
      </c>
      <c r="T198" s="314" t="str">
        <f t="shared" si="17"/>
        <v/>
      </c>
      <c r="U198" s="276" t="str">
        <f>IF(C198="","",VLOOKUP(T198,'G-3 Multipliers'!$P$2:$Q$6,2,FALSE))</f>
        <v/>
      </c>
      <c r="V198" s="102"/>
      <c r="W198" s="276" t="str">
        <f>IF(V198="","",IF(AND(V198="N/A - Culvert",C198&lt;&gt;"Culvert"),"Not possible ▲",IF(AND(C198="Culvert",V198&lt;&gt;"N/A - Culvert"),"Not possible ▲",IF(VLOOKUP(V198,'G-7 WaterC'' Data'!$AA$4:$AB$7,2,FALSE)=0,"Spatial Data Missing ⚠",VLOOKUP(V198,'G-7 WaterC'' Data'!$AA$4:$AB$7,2,FALSE)))))</f>
        <v/>
      </c>
      <c r="X198" s="56"/>
      <c r="Y198" s="276" t="str">
        <f>IF(X198="","",IF(AND(X198="N/A - Culvert",C198&lt;&gt;"Culvert"),"Not possible ▲",IF(AND(C198="Culvert",X198&lt;&gt;"N/A - Culvert"),"Not possible ▲",IF(VLOOKUP(X198,'G-7 WaterC'' Data'!$AD$4:$AE$14,2,FALSE)=0,"Enrcoachment Data Missing ⚠",VLOOKUP(X198,'G-7 WaterC'' Data'!$AD$4:$AE$14,2,FALSE)))))</f>
        <v/>
      </c>
      <c r="Z198" s="102"/>
      <c r="AA198" s="276" t="str">
        <f>IF(Z198="","",IF(VLOOKUP(Z198,'G-7 WaterC'' Data'!$AO$4:$BO$7,2,FALSE)=0,"Spatial Data Missing ⚠",VLOOKUP(Z198,'G-7 WaterC'' Data'!$AO$4:$BO$7,2,FALSE)))</f>
        <v/>
      </c>
      <c r="AB198" s="317" t="str">
        <f t="shared" si="18"/>
        <v/>
      </c>
      <c r="AC198" s="317" t="str">
        <f t="shared" si="19"/>
        <v/>
      </c>
      <c r="AD198" s="101"/>
      <c r="AE198" s="938"/>
      <c r="AF198" s="138"/>
      <c r="AG198" s="138"/>
      <c r="AH198" s="934"/>
      <c r="AL198" s="30" t="str">
        <f>IFERROR(INDEX('G-7 WaterC'' Data'!$AZ$3:$AZ$7,MATCH(C198,'G-7 WaterC'' Data'!$AY$3:$AY$7,0)),"")</f>
        <v/>
      </c>
      <c r="AN198" s="30" t="str">
        <f t="shared" si="20"/>
        <v>No</v>
      </c>
    </row>
    <row r="199" spans="2:40" ht="14">
      <c r="B199" s="97">
        <v>188</v>
      </c>
      <c r="C199" s="923"/>
      <c r="D199" s="115"/>
      <c r="E199" s="275" t="str">
        <f>IF(C199="","",VLOOKUP(C199,'G-7 WaterC'' Data'!$B$2:$Z$9,2,FALSE))</f>
        <v/>
      </c>
      <c r="F199" s="276" t="str">
        <f>IFERROR(VLOOKUP(E199,'G-7 WaterC'' Data'!$C$4:$D$8,2,FALSE),"")</f>
        <v/>
      </c>
      <c r="G199" s="52"/>
      <c r="H199" s="276" t="str">
        <f>IFERROR(INDEX('G-7 WaterC'' Data'!$H$4:$L$8,MATCH(C199,'G-7 WaterC'' Data'!$B$4:$B$8,0),MATCH(G199,'G-7 WaterC'' Data'!$H$3:$L$3,0)),"")</f>
        <v/>
      </c>
      <c r="I199" s="52"/>
      <c r="J199" s="314" t="str">
        <f>IF(I199="","",IF(VLOOKUP(I199,'G-7 WaterC'' Data'!$AK$4:$AM$6,2,FALSE)=0,"Spatial Data Missing ⚠",VLOOKUP(I199,'G-7 WaterC'' Data'!$AK$4:$AM$6,2,FALSE)))</f>
        <v/>
      </c>
      <c r="K199" s="276" t="str">
        <f>IF(I199="","",IF(VLOOKUP(I199,'G-7 WaterC'' Data'!$AK$4:$AM$6,3,FALSE)=0,"Spatial Data Missing ⚠",VLOOKUP(I199,'G-7 WaterC'' Data'!$AK$4:$AM$6,3,FALSE)))</f>
        <v/>
      </c>
      <c r="L199" s="372" t="str">
        <f>IFERROR(INDEX('G-7 WaterC'' Data'!$O$3:$O$7,MATCH(G199,'G-7 WaterC'' Data'!$N$3:$N$7,0)),"")</f>
        <v/>
      </c>
      <c r="M199" s="53"/>
      <c r="N199" s="133"/>
      <c r="O199" s="283" t="str">
        <f t="shared" si="14"/>
        <v/>
      </c>
      <c r="P199" s="296" t="str">
        <f t="shared" si="15"/>
        <v/>
      </c>
      <c r="Q199" s="334" t="str">
        <f>IFERROR(IF(P199="Check Data ⚠","Check Data ⚠",VLOOKUP(P199,'G-4 Temporal multipliers'!$A$4:$C$37,3,FALSE)),"")</f>
        <v/>
      </c>
      <c r="R199" s="275" t="str">
        <f>IF(C199="","",VLOOKUP(C199,'G-7 WaterC'' Data'!$B$4:$G$8,4,FALSE))</f>
        <v/>
      </c>
      <c r="S199" s="283" t="str">
        <f t="shared" si="16"/>
        <v/>
      </c>
      <c r="T199" s="314" t="str">
        <f t="shared" si="17"/>
        <v/>
      </c>
      <c r="U199" s="276" t="str">
        <f>IF(C199="","",VLOOKUP(T199,'G-3 Multipliers'!$P$2:$Q$6,2,FALSE))</f>
        <v/>
      </c>
      <c r="V199" s="102"/>
      <c r="W199" s="276" t="str">
        <f>IF(V199="","",IF(AND(V199="N/A - Culvert",C199&lt;&gt;"Culvert"),"Not possible ▲",IF(AND(C199="Culvert",V199&lt;&gt;"N/A - Culvert"),"Not possible ▲",IF(VLOOKUP(V199,'G-7 WaterC'' Data'!$AA$4:$AB$7,2,FALSE)=0,"Spatial Data Missing ⚠",VLOOKUP(V199,'G-7 WaterC'' Data'!$AA$4:$AB$7,2,FALSE)))))</f>
        <v/>
      </c>
      <c r="X199" s="56"/>
      <c r="Y199" s="276" t="str">
        <f>IF(X199="","",IF(AND(X199="N/A - Culvert",C199&lt;&gt;"Culvert"),"Not possible ▲",IF(AND(C199="Culvert",X199&lt;&gt;"N/A - Culvert"),"Not possible ▲",IF(VLOOKUP(X199,'G-7 WaterC'' Data'!$AD$4:$AE$14,2,FALSE)=0,"Enrcoachment Data Missing ⚠",VLOOKUP(X199,'G-7 WaterC'' Data'!$AD$4:$AE$14,2,FALSE)))))</f>
        <v/>
      </c>
      <c r="Z199" s="102"/>
      <c r="AA199" s="276" t="str">
        <f>IF(Z199="","",IF(VLOOKUP(Z199,'G-7 WaterC'' Data'!$AO$4:$BO$7,2,FALSE)=0,"Spatial Data Missing ⚠",VLOOKUP(Z199,'G-7 WaterC'' Data'!$AO$4:$BO$7,2,FALSE)))</f>
        <v/>
      </c>
      <c r="AB199" s="317" t="str">
        <f t="shared" si="18"/>
        <v/>
      </c>
      <c r="AC199" s="317" t="str">
        <f t="shared" si="19"/>
        <v/>
      </c>
      <c r="AD199" s="101"/>
      <c r="AE199" s="938"/>
      <c r="AF199" s="138"/>
      <c r="AG199" s="138"/>
      <c r="AH199" s="934"/>
      <c r="AL199" s="30" t="str">
        <f>IFERROR(INDEX('G-7 WaterC'' Data'!$AZ$3:$AZ$7,MATCH(C199,'G-7 WaterC'' Data'!$AY$3:$AY$7,0)),"")</f>
        <v/>
      </c>
      <c r="AN199" s="30" t="str">
        <f t="shared" si="20"/>
        <v>No</v>
      </c>
    </row>
    <row r="200" spans="2:40" ht="14">
      <c r="B200" s="97">
        <v>189</v>
      </c>
      <c r="C200" s="923"/>
      <c r="D200" s="115"/>
      <c r="E200" s="275" t="str">
        <f>IF(C200="","",VLOOKUP(C200,'G-7 WaterC'' Data'!$B$2:$Z$9,2,FALSE))</f>
        <v/>
      </c>
      <c r="F200" s="276" t="str">
        <f>IFERROR(VLOOKUP(E200,'G-7 WaterC'' Data'!$C$4:$D$8,2,FALSE),"")</f>
        <v/>
      </c>
      <c r="G200" s="52"/>
      <c r="H200" s="276" t="str">
        <f>IFERROR(INDEX('G-7 WaterC'' Data'!$H$4:$L$8,MATCH(C200,'G-7 WaterC'' Data'!$B$4:$B$8,0),MATCH(G200,'G-7 WaterC'' Data'!$H$3:$L$3,0)),"")</f>
        <v/>
      </c>
      <c r="I200" s="52"/>
      <c r="J200" s="314" t="str">
        <f>IF(I200="","",IF(VLOOKUP(I200,'G-7 WaterC'' Data'!$AK$4:$AM$6,2,FALSE)=0,"Spatial Data Missing ⚠",VLOOKUP(I200,'G-7 WaterC'' Data'!$AK$4:$AM$6,2,FALSE)))</f>
        <v/>
      </c>
      <c r="K200" s="276" t="str">
        <f>IF(I200="","",IF(VLOOKUP(I200,'G-7 WaterC'' Data'!$AK$4:$AM$6,3,FALSE)=0,"Spatial Data Missing ⚠",VLOOKUP(I200,'G-7 WaterC'' Data'!$AK$4:$AM$6,3,FALSE)))</f>
        <v/>
      </c>
      <c r="L200" s="372" t="str">
        <f>IFERROR(INDEX('G-7 WaterC'' Data'!$O$3:$O$7,MATCH(G200,'G-7 WaterC'' Data'!$N$3:$N$7,0)),"")</f>
        <v/>
      </c>
      <c r="M200" s="53"/>
      <c r="N200" s="133"/>
      <c r="O200" s="283" t="str">
        <f t="shared" si="14"/>
        <v/>
      </c>
      <c r="P200" s="296" t="str">
        <f t="shared" si="15"/>
        <v/>
      </c>
      <c r="Q200" s="334" t="str">
        <f>IFERROR(IF(P200="Check Data ⚠","Check Data ⚠",VLOOKUP(P200,'G-4 Temporal multipliers'!$A$4:$C$37,3,FALSE)),"")</f>
        <v/>
      </c>
      <c r="R200" s="275" t="str">
        <f>IF(C200="","",VLOOKUP(C200,'G-7 WaterC'' Data'!$B$4:$G$8,4,FALSE))</f>
        <v/>
      </c>
      <c r="S200" s="283" t="str">
        <f t="shared" si="16"/>
        <v/>
      </c>
      <c r="T200" s="314" t="str">
        <f t="shared" si="17"/>
        <v/>
      </c>
      <c r="U200" s="276" t="str">
        <f>IF(C200="","",VLOOKUP(T200,'G-3 Multipliers'!$P$2:$Q$6,2,FALSE))</f>
        <v/>
      </c>
      <c r="V200" s="102"/>
      <c r="W200" s="276" t="str">
        <f>IF(V200="","",IF(AND(V200="N/A - Culvert",C200&lt;&gt;"Culvert"),"Not possible ▲",IF(AND(C200="Culvert",V200&lt;&gt;"N/A - Culvert"),"Not possible ▲",IF(VLOOKUP(V200,'G-7 WaterC'' Data'!$AA$4:$AB$7,2,FALSE)=0,"Spatial Data Missing ⚠",VLOOKUP(V200,'G-7 WaterC'' Data'!$AA$4:$AB$7,2,FALSE)))))</f>
        <v/>
      </c>
      <c r="X200" s="56"/>
      <c r="Y200" s="276" t="str">
        <f>IF(X200="","",IF(AND(X200="N/A - Culvert",C200&lt;&gt;"Culvert"),"Not possible ▲",IF(AND(C200="Culvert",X200&lt;&gt;"N/A - Culvert"),"Not possible ▲",IF(VLOOKUP(X200,'G-7 WaterC'' Data'!$AD$4:$AE$14,2,FALSE)=0,"Enrcoachment Data Missing ⚠",VLOOKUP(X200,'G-7 WaterC'' Data'!$AD$4:$AE$14,2,FALSE)))))</f>
        <v/>
      </c>
      <c r="Z200" s="102"/>
      <c r="AA200" s="276" t="str">
        <f>IF(Z200="","",IF(VLOOKUP(Z200,'G-7 WaterC'' Data'!$AO$4:$BO$7,2,FALSE)=0,"Spatial Data Missing ⚠",VLOOKUP(Z200,'G-7 WaterC'' Data'!$AO$4:$BO$7,2,FALSE)))</f>
        <v/>
      </c>
      <c r="AB200" s="317" t="str">
        <f t="shared" si="18"/>
        <v/>
      </c>
      <c r="AC200" s="317" t="str">
        <f t="shared" si="19"/>
        <v/>
      </c>
      <c r="AD200" s="101"/>
      <c r="AE200" s="938"/>
      <c r="AF200" s="138"/>
      <c r="AG200" s="138"/>
      <c r="AH200" s="934"/>
      <c r="AL200" s="30" t="str">
        <f>IFERROR(INDEX('G-7 WaterC'' Data'!$AZ$3:$AZ$7,MATCH(C200,'G-7 WaterC'' Data'!$AY$3:$AY$7,0)),"")</f>
        <v/>
      </c>
      <c r="AN200" s="30" t="str">
        <f t="shared" si="20"/>
        <v>No</v>
      </c>
    </row>
    <row r="201" spans="2:40" ht="14">
      <c r="B201" s="97">
        <v>190</v>
      </c>
      <c r="C201" s="923"/>
      <c r="D201" s="115"/>
      <c r="E201" s="275" t="str">
        <f>IF(C201="","",VLOOKUP(C201,'G-7 WaterC'' Data'!$B$2:$Z$9,2,FALSE))</f>
        <v/>
      </c>
      <c r="F201" s="276" t="str">
        <f>IFERROR(VLOOKUP(E201,'G-7 WaterC'' Data'!$C$4:$D$8,2,FALSE),"")</f>
        <v/>
      </c>
      <c r="G201" s="52"/>
      <c r="H201" s="276" t="str">
        <f>IFERROR(INDEX('G-7 WaterC'' Data'!$H$4:$L$8,MATCH(C201,'G-7 WaterC'' Data'!$B$4:$B$8,0),MATCH(G201,'G-7 WaterC'' Data'!$H$3:$L$3,0)),"")</f>
        <v/>
      </c>
      <c r="I201" s="52"/>
      <c r="J201" s="314" t="str">
        <f>IF(I201="","",IF(VLOOKUP(I201,'G-7 WaterC'' Data'!$AK$4:$AM$6,2,FALSE)=0,"Spatial Data Missing ⚠",VLOOKUP(I201,'G-7 WaterC'' Data'!$AK$4:$AM$6,2,FALSE)))</f>
        <v/>
      </c>
      <c r="K201" s="276" t="str">
        <f>IF(I201="","",IF(VLOOKUP(I201,'G-7 WaterC'' Data'!$AK$4:$AM$6,3,FALSE)=0,"Spatial Data Missing ⚠",VLOOKUP(I201,'G-7 WaterC'' Data'!$AK$4:$AM$6,3,FALSE)))</f>
        <v/>
      </c>
      <c r="L201" s="372" t="str">
        <f>IFERROR(INDEX('G-7 WaterC'' Data'!$O$3:$O$7,MATCH(G201,'G-7 WaterC'' Data'!$N$3:$N$7,0)),"")</f>
        <v/>
      </c>
      <c r="M201" s="53"/>
      <c r="N201" s="133"/>
      <c r="O201" s="283" t="str">
        <f t="shared" si="14"/>
        <v/>
      </c>
      <c r="P201" s="296" t="str">
        <f t="shared" si="15"/>
        <v/>
      </c>
      <c r="Q201" s="334" t="str">
        <f>IFERROR(IF(P201="Check Data ⚠","Check Data ⚠",VLOOKUP(P201,'G-4 Temporal multipliers'!$A$4:$C$37,3,FALSE)),"")</f>
        <v/>
      </c>
      <c r="R201" s="275" t="str">
        <f>IF(C201="","",VLOOKUP(C201,'G-7 WaterC'' Data'!$B$4:$G$8,4,FALSE))</f>
        <v/>
      </c>
      <c r="S201" s="283" t="str">
        <f t="shared" si="16"/>
        <v/>
      </c>
      <c r="T201" s="314" t="str">
        <f t="shared" si="17"/>
        <v/>
      </c>
      <c r="U201" s="276" t="str">
        <f>IF(C201="","",VLOOKUP(T201,'G-3 Multipliers'!$P$2:$Q$6,2,FALSE))</f>
        <v/>
      </c>
      <c r="V201" s="102"/>
      <c r="W201" s="276" t="str">
        <f>IF(V201="","",IF(AND(V201="N/A - Culvert",C201&lt;&gt;"Culvert"),"Not possible ▲",IF(AND(C201="Culvert",V201&lt;&gt;"N/A - Culvert"),"Not possible ▲",IF(VLOOKUP(V201,'G-7 WaterC'' Data'!$AA$4:$AB$7,2,FALSE)=0,"Spatial Data Missing ⚠",VLOOKUP(V201,'G-7 WaterC'' Data'!$AA$4:$AB$7,2,FALSE)))))</f>
        <v/>
      </c>
      <c r="X201" s="56"/>
      <c r="Y201" s="276" t="str">
        <f>IF(X201="","",IF(AND(X201="N/A - Culvert",C201&lt;&gt;"Culvert"),"Not possible ▲",IF(AND(C201="Culvert",X201&lt;&gt;"N/A - Culvert"),"Not possible ▲",IF(VLOOKUP(X201,'G-7 WaterC'' Data'!$AD$4:$AE$14,2,FALSE)=0,"Enrcoachment Data Missing ⚠",VLOOKUP(X201,'G-7 WaterC'' Data'!$AD$4:$AE$14,2,FALSE)))))</f>
        <v/>
      </c>
      <c r="Z201" s="102"/>
      <c r="AA201" s="276" t="str">
        <f>IF(Z201="","",IF(VLOOKUP(Z201,'G-7 WaterC'' Data'!$AO$4:$BO$7,2,FALSE)=0,"Spatial Data Missing ⚠",VLOOKUP(Z201,'G-7 WaterC'' Data'!$AO$4:$BO$7,2,FALSE)))</f>
        <v/>
      </c>
      <c r="AB201" s="317" t="str">
        <f t="shared" si="18"/>
        <v/>
      </c>
      <c r="AC201" s="317" t="str">
        <f t="shared" si="19"/>
        <v/>
      </c>
      <c r="AD201" s="101"/>
      <c r="AE201" s="938"/>
      <c r="AF201" s="138"/>
      <c r="AG201" s="138"/>
      <c r="AH201" s="934"/>
      <c r="AL201" s="30" t="str">
        <f>IFERROR(INDEX('G-7 WaterC'' Data'!$AZ$3:$AZ$7,MATCH(C201,'G-7 WaterC'' Data'!$AY$3:$AY$7,0)),"")</f>
        <v/>
      </c>
      <c r="AN201" s="30" t="str">
        <f t="shared" si="20"/>
        <v>No</v>
      </c>
    </row>
    <row r="202" spans="2:40" ht="14">
      <c r="B202" s="97">
        <v>191</v>
      </c>
      <c r="C202" s="923"/>
      <c r="D202" s="115"/>
      <c r="E202" s="275" t="str">
        <f>IF(C202="","",VLOOKUP(C202,'G-7 WaterC'' Data'!$B$2:$Z$9,2,FALSE))</f>
        <v/>
      </c>
      <c r="F202" s="276" t="str">
        <f>IFERROR(VLOOKUP(E202,'G-7 WaterC'' Data'!$C$4:$D$8,2,FALSE),"")</f>
        <v/>
      </c>
      <c r="G202" s="52"/>
      <c r="H202" s="276" t="str">
        <f>IFERROR(INDEX('G-7 WaterC'' Data'!$H$4:$L$8,MATCH(C202,'G-7 WaterC'' Data'!$B$4:$B$8,0),MATCH(G202,'G-7 WaterC'' Data'!$H$3:$L$3,0)),"")</f>
        <v/>
      </c>
      <c r="I202" s="52"/>
      <c r="J202" s="314" t="str">
        <f>IF(I202="","",IF(VLOOKUP(I202,'G-7 WaterC'' Data'!$AK$4:$AM$6,2,FALSE)=0,"Spatial Data Missing ⚠",VLOOKUP(I202,'G-7 WaterC'' Data'!$AK$4:$AM$6,2,FALSE)))</f>
        <v/>
      </c>
      <c r="K202" s="276" t="str">
        <f>IF(I202="","",IF(VLOOKUP(I202,'G-7 WaterC'' Data'!$AK$4:$AM$6,3,FALSE)=0,"Spatial Data Missing ⚠",VLOOKUP(I202,'G-7 WaterC'' Data'!$AK$4:$AM$6,3,FALSE)))</f>
        <v/>
      </c>
      <c r="L202" s="372" t="str">
        <f>IFERROR(INDEX('G-7 WaterC'' Data'!$O$3:$O$7,MATCH(G202,'G-7 WaterC'' Data'!$N$3:$N$7,0)),"")</f>
        <v/>
      </c>
      <c r="M202" s="53"/>
      <c r="N202" s="133"/>
      <c r="O202" s="283" t="str">
        <f t="shared" si="14"/>
        <v/>
      </c>
      <c r="P202" s="296" t="str">
        <f t="shared" si="15"/>
        <v/>
      </c>
      <c r="Q202" s="334" t="str">
        <f>IFERROR(IF(P202="Check Data ⚠","Check Data ⚠",VLOOKUP(P202,'G-4 Temporal multipliers'!$A$4:$C$37,3,FALSE)),"")</f>
        <v/>
      </c>
      <c r="R202" s="275" t="str">
        <f>IF(C202="","",VLOOKUP(C202,'G-7 WaterC'' Data'!$B$4:$G$8,4,FALSE))</f>
        <v/>
      </c>
      <c r="S202" s="283" t="str">
        <f t="shared" si="16"/>
        <v/>
      </c>
      <c r="T202" s="314" t="str">
        <f t="shared" si="17"/>
        <v/>
      </c>
      <c r="U202" s="276" t="str">
        <f>IF(C202="","",VLOOKUP(T202,'G-3 Multipliers'!$P$2:$Q$6,2,FALSE))</f>
        <v/>
      </c>
      <c r="V202" s="102"/>
      <c r="W202" s="276" t="str">
        <f>IF(V202="","",IF(AND(V202="N/A - Culvert",C202&lt;&gt;"Culvert"),"Not possible ▲",IF(AND(C202="Culvert",V202&lt;&gt;"N/A - Culvert"),"Not possible ▲",IF(VLOOKUP(V202,'G-7 WaterC'' Data'!$AA$4:$AB$7,2,FALSE)=0,"Spatial Data Missing ⚠",VLOOKUP(V202,'G-7 WaterC'' Data'!$AA$4:$AB$7,2,FALSE)))))</f>
        <v/>
      </c>
      <c r="X202" s="56"/>
      <c r="Y202" s="276" t="str">
        <f>IF(X202="","",IF(AND(X202="N/A - Culvert",C202&lt;&gt;"Culvert"),"Not possible ▲",IF(AND(C202="Culvert",X202&lt;&gt;"N/A - Culvert"),"Not possible ▲",IF(VLOOKUP(X202,'G-7 WaterC'' Data'!$AD$4:$AE$14,2,FALSE)=0,"Enrcoachment Data Missing ⚠",VLOOKUP(X202,'G-7 WaterC'' Data'!$AD$4:$AE$14,2,FALSE)))))</f>
        <v/>
      </c>
      <c r="Z202" s="102"/>
      <c r="AA202" s="276" t="str">
        <f>IF(Z202="","",IF(VLOOKUP(Z202,'G-7 WaterC'' Data'!$AO$4:$BO$7,2,FALSE)=0,"Spatial Data Missing ⚠",VLOOKUP(Z202,'G-7 WaterC'' Data'!$AO$4:$BO$7,2,FALSE)))</f>
        <v/>
      </c>
      <c r="AB202" s="317" t="str">
        <f t="shared" si="18"/>
        <v/>
      </c>
      <c r="AC202" s="317" t="str">
        <f t="shared" si="19"/>
        <v/>
      </c>
      <c r="AD202" s="101"/>
      <c r="AE202" s="938"/>
      <c r="AF202" s="138"/>
      <c r="AG202" s="138"/>
      <c r="AH202" s="934"/>
      <c r="AL202" s="30" t="str">
        <f>IFERROR(INDEX('G-7 WaterC'' Data'!$AZ$3:$AZ$7,MATCH(C202,'G-7 WaterC'' Data'!$AY$3:$AY$7,0)),"")</f>
        <v/>
      </c>
      <c r="AN202" s="30" t="str">
        <f t="shared" si="20"/>
        <v>No</v>
      </c>
    </row>
    <row r="203" spans="2:40" ht="14">
      <c r="B203" s="97">
        <v>192</v>
      </c>
      <c r="C203" s="923"/>
      <c r="D203" s="115"/>
      <c r="E203" s="275" t="str">
        <f>IF(C203="","",VLOOKUP(C203,'G-7 WaterC'' Data'!$B$2:$Z$9,2,FALSE))</f>
        <v/>
      </c>
      <c r="F203" s="276" t="str">
        <f>IFERROR(VLOOKUP(E203,'G-7 WaterC'' Data'!$C$4:$D$8,2,FALSE),"")</f>
        <v/>
      </c>
      <c r="G203" s="52"/>
      <c r="H203" s="276" t="str">
        <f>IFERROR(INDEX('G-7 WaterC'' Data'!$H$4:$L$8,MATCH(C203,'G-7 WaterC'' Data'!$B$4:$B$8,0),MATCH(G203,'G-7 WaterC'' Data'!$H$3:$L$3,0)),"")</f>
        <v/>
      </c>
      <c r="I203" s="52"/>
      <c r="J203" s="314" t="str">
        <f>IF(I203="","",IF(VLOOKUP(I203,'G-7 WaterC'' Data'!$AK$4:$AM$6,2,FALSE)=0,"Spatial Data Missing ⚠",VLOOKUP(I203,'G-7 WaterC'' Data'!$AK$4:$AM$6,2,FALSE)))</f>
        <v/>
      </c>
      <c r="K203" s="276" t="str">
        <f>IF(I203="","",IF(VLOOKUP(I203,'G-7 WaterC'' Data'!$AK$4:$AM$6,3,FALSE)=0,"Spatial Data Missing ⚠",VLOOKUP(I203,'G-7 WaterC'' Data'!$AK$4:$AM$6,3,FALSE)))</f>
        <v/>
      </c>
      <c r="L203" s="372" t="str">
        <f>IFERROR(INDEX('G-7 WaterC'' Data'!$O$3:$O$7,MATCH(G203,'G-7 WaterC'' Data'!$N$3:$N$7,0)),"")</f>
        <v/>
      </c>
      <c r="M203" s="53"/>
      <c r="N203" s="133"/>
      <c r="O203" s="283" t="str">
        <f t="shared" si="14"/>
        <v/>
      </c>
      <c r="P203" s="296" t="str">
        <f t="shared" si="15"/>
        <v/>
      </c>
      <c r="Q203" s="334" t="str">
        <f>IFERROR(IF(P203="Check Data ⚠","Check Data ⚠",VLOOKUP(P203,'G-4 Temporal multipliers'!$A$4:$C$37,3,FALSE)),"")</f>
        <v/>
      </c>
      <c r="R203" s="275" t="str">
        <f>IF(C203="","",VLOOKUP(C203,'G-7 WaterC'' Data'!$B$4:$G$8,4,FALSE))</f>
        <v/>
      </c>
      <c r="S203" s="283" t="str">
        <f t="shared" si="16"/>
        <v/>
      </c>
      <c r="T203" s="314" t="str">
        <f t="shared" si="17"/>
        <v/>
      </c>
      <c r="U203" s="276" t="str">
        <f>IF(C203="","",VLOOKUP(T203,'G-3 Multipliers'!$P$2:$Q$6,2,FALSE))</f>
        <v/>
      </c>
      <c r="V203" s="102"/>
      <c r="W203" s="276" t="str">
        <f>IF(V203="","",IF(AND(V203="N/A - Culvert",C203&lt;&gt;"Culvert"),"Not possible ▲",IF(AND(C203="Culvert",V203&lt;&gt;"N/A - Culvert"),"Not possible ▲",IF(VLOOKUP(V203,'G-7 WaterC'' Data'!$AA$4:$AB$7,2,FALSE)=0,"Spatial Data Missing ⚠",VLOOKUP(V203,'G-7 WaterC'' Data'!$AA$4:$AB$7,2,FALSE)))))</f>
        <v/>
      </c>
      <c r="X203" s="56"/>
      <c r="Y203" s="276" t="str">
        <f>IF(X203="","",IF(AND(X203="N/A - Culvert",C203&lt;&gt;"Culvert"),"Not possible ▲",IF(AND(C203="Culvert",X203&lt;&gt;"N/A - Culvert"),"Not possible ▲",IF(VLOOKUP(X203,'G-7 WaterC'' Data'!$AD$4:$AE$14,2,FALSE)=0,"Enrcoachment Data Missing ⚠",VLOOKUP(X203,'G-7 WaterC'' Data'!$AD$4:$AE$14,2,FALSE)))))</f>
        <v/>
      </c>
      <c r="Z203" s="102"/>
      <c r="AA203" s="276" t="str">
        <f>IF(Z203="","",IF(VLOOKUP(Z203,'G-7 WaterC'' Data'!$AO$4:$BO$7,2,FALSE)=0,"Spatial Data Missing ⚠",VLOOKUP(Z203,'G-7 WaterC'' Data'!$AO$4:$BO$7,2,FALSE)))</f>
        <v/>
      </c>
      <c r="AB203" s="317" t="str">
        <f t="shared" si="18"/>
        <v/>
      </c>
      <c r="AC203" s="317" t="str">
        <f t="shared" si="19"/>
        <v/>
      </c>
      <c r="AD203" s="101"/>
      <c r="AE203" s="938"/>
      <c r="AF203" s="138"/>
      <c r="AG203" s="138"/>
      <c r="AH203" s="934"/>
      <c r="AL203" s="30" t="str">
        <f>IFERROR(INDEX('G-7 WaterC'' Data'!$AZ$3:$AZ$7,MATCH(C203,'G-7 WaterC'' Data'!$AY$3:$AY$7,0)),"")</f>
        <v/>
      </c>
      <c r="AN203" s="30" t="str">
        <f t="shared" si="20"/>
        <v>No</v>
      </c>
    </row>
    <row r="204" spans="2:40" ht="14">
      <c r="B204" s="97">
        <v>193</v>
      </c>
      <c r="C204" s="923"/>
      <c r="D204" s="115"/>
      <c r="E204" s="275" t="str">
        <f>IF(C204="","",VLOOKUP(C204,'G-7 WaterC'' Data'!$B$2:$Z$9,2,FALSE))</f>
        <v/>
      </c>
      <c r="F204" s="276" t="str">
        <f>IFERROR(VLOOKUP(E204,'G-7 WaterC'' Data'!$C$4:$D$8,2,FALSE),"")</f>
        <v/>
      </c>
      <c r="G204" s="52"/>
      <c r="H204" s="276" t="str">
        <f>IFERROR(INDEX('G-7 WaterC'' Data'!$H$4:$L$8,MATCH(C204,'G-7 WaterC'' Data'!$B$4:$B$8,0),MATCH(G204,'G-7 WaterC'' Data'!$H$3:$L$3,0)),"")</f>
        <v/>
      </c>
      <c r="I204" s="52"/>
      <c r="J204" s="314" t="str">
        <f>IF(I204="","",IF(VLOOKUP(I204,'G-7 WaterC'' Data'!$AK$4:$AM$6,2,FALSE)=0,"Spatial Data Missing ⚠",VLOOKUP(I204,'G-7 WaterC'' Data'!$AK$4:$AM$6,2,FALSE)))</f>
        <v/>
      </c>
      <c r="K204" s="276" t="str">
        <f>IF(I204="","",IF(VLOOKUP(I204,'G-7 WaterC'' Data'!$AK$4:$AM$6,3,FALSE)=0,"Spatial Data Missing ⚠",VLOOKUP(I204,'G-7 WaterC'' Data'!$AK$4:$AM$6,3,FALSE)))</f>
        <v/>
      </c>
      <c r="L204" s="372" t="str">
        <f>IFERROR(INDEX('G-7 WaterC'' Data'!$O$3:$O$7,MATCH(G204,'G-7 WaterC'' Data'!$N$3:$N$7,0)),"")</f>
        <v/>
      </c>
      <c r="M204" s="53"/>
      <c r="N204" s="133"/>
      <c r="O204" s="283" t="str">
        <f t="shared" si="14"/>
        <v/>
      </c>
      <c r="P204" s="296" t="str">
        <f t="shared" si="15"/>
        <v/>
      </c>
      <c r="Q204" s="334" t="str">
        <f>IFERROR(IF(P204="Check Data ⚠","Check Data ⚠",VLOOKUP(P204,'G-4 Temporal multipliers'!$A$4:$C$37,3,FALSE)),"")</f>
        <v/>
      </c>
      <c r="R204" s="275" t="str">
        <f>IF(C204="","",VLOOKUP(C204,'G-7 WaterC'' Data'!$B$4:$G$8,4,FALSE))</f>
        <v/>
      </c>
      <c r="S204" s="283" t="str">
        <f t="shared" si="16"/>
        <v/>
      </c>
      <c r="T204" s="314" t="str">
        <f t="shared" si="17"/>
        <v/>
      </c>
      <c r="U204" s="276" t="str">
        <f>IF(C204="","",VLOOKUP(T204,'G-3 Multipliers'!$P$2:$Q$6,2,FALSE))</f>
        <v/>
      </c>
      <c r="V204" s="102"/>
      <c r="W204" s="276" t="str">
        <f>IF(V204="","",IF(AND(V204="N/A - Culvert",C204&lt;&gt;"Culvert"),"Not possible ▲",IF(AND(C204="Culvert",V204&lt;&gt;"N/A - Culvert"),"Not possible ▲",IF(VLOOKUP(V204,'G-7 WaterC'' Data'!$AA$4:$AB$7,2,FALSE)=0,"Spatial Data Missing ⚠",VLOOKUP(V204,'G-7 WaterC'' Data'!$AA$4:$AB$7,2,FALSE)))))</f>
        <v/>
      </c>
      <c r="X204" s="56"/>
      <c r="Y204" s="276" t="str">
        <f>IF(X204="","",IF(AND(X204="N/A - Culvert",C204&lt;&gt;"Culvert"),"Not possible ▲",IF(AND(C204="Culvert",X204&lt;&gt;"N/A - Culvert"),"Not possible ▲",IF(VLOOKUP(X204,'G-7 WaterC'' Data'!$AD$4:$AE$14,2,FALSE)=0,"Enrcoachment Data Missing ⚠",VLOOKUP(X204,'G-7 WaterC'' Data'!$AD$4:$AE$14,2,FALSE)))))</f>
        <v/>
      </c>
      <c r="Z204" s="102"/>
      <c r="AA204" s="276" t="str">
        <f>IF(Z204="","",IF(VLOOKUP(Z204,'G-7 WaterC'' Data'!$AO$4:$BO$7,2,FALSE)=0,"Spatial Data Missing ⚠",VLOOKUP(Z204,'G-7 WaterC'' Data'!$AO$4:$BO$7,2,FALSE)))</f>
        <v/>
      </c>
      <c r="AB204" s="317" t="str">
        <f t="shared" si="18"/>
        <v/>
      </c>
      <c r="AC204" s="317" t="str">
        <f t="shared" si="19"/>
        <v/>
      </c>
      <c r="AD204" s="101"/>
      <c r="AE204" s="938"/>
      <c r="AF204" s="138"/>
      <c r="AG204" s="138"/>
      <c r="AH204" s="934"/>
      <c r="AL204" s="30" t="str">
        <f>IFERROR(INDEX('G-7 WaterC'' Data'!$AZ$3:$AZ$7,MATCH(C204,'G-7 WaterC'' Data'!$AY$3:$AY$7,0)),"")</f>
        <v/>
      </c>
      <c r="AN204" s="30" t="str">
        <f t="shared" si="20"/>
        <v>No</v>
      </c>
    </row>
    <row r="205" spans="2:40" ht="14">
      <c r="B205" s="97">
        <v>194</v>
      </c>
      <c r="C205" s="923"/>
      <c r="D205" s="115"/>
      <c r="E205" s="275" t="str">
        <f>IF(C205="","",VLOOKUP(C205,'G-7 WaterC'' Data'!$B$2:$Z$9,2,FALSE))</f>
        <v/>
      </c>
      <c r="F205" s="276" t="str">
        <f>IFERROR(VLOOKUP(E205,'G-7 WaterC'' Data'!$C$4:$D$8,2,FALSE),"")</f>
        <v/>
      </c>
      <c r="G205" s="52"/>
      <c r="H205" s="276" t="str">
        <f>IFERROR(INDEX('G-7 WaterC'' Data'!$H$4:$L$8,MATCH(C205,'G-7 WaterC'' Data'!$B$4:$B$8,0),MATCH(G205,'G-7 WaterC'' Data'!$H$3:$L$3,0)),"")</f>
        <v/>
      </c>
      <c r="I205" s="52"/>
      <c r="J205" s="314" t="str">
        <f>IF(I205="","",IF(VLOOKUP(I205,'G-7 WaterC'' Data'!$AK$4:$AM$6,2,FALSE)=0,"Spatial Data Missing ⚠",VLOOKUP(I205,'G-7 WaterC'' Data'!$AK$4:$AM$6,2,FALSE)))</f>
        <v/>
      </c>
      <c r="K205" s="276" t="str">
        <f>IF(I205="","",IF(VLOOKUP(I205,'G-7 WaterC'' Data'!$AK$4:$AM$6,3,FALSE)=0,"Spatial Data Missing ⚠",VLOOKUP(I205,'G-7 WaterC'' Data'!$AK$4:$AM$6,3,FALSE)))</f>
        <v/>
      </c>
      <c r="L205" s="372" t="str">
        <f>IFERROR(INDEX('G-7 WaterC'' Data'!$O$3:$O$7,MATCH(G205,'G-7 WaterC'' Data'!$N$3:$N$7,0)),"")</f>
        <v/>
      </c>
      <c r="M205" s="53"/>
      <c r="N205" s="133"/>
      <c r="O205" s="283" t="str">
        <f t="shared" si="21" ref="O205:O25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296" t="str">
        <f t="shared" si="22" ref="P205:P259">IF(O205="Error -both advance and delayed habitat creation ▲","Check Data ⚠",IF(L205="","",IF(M205="30+",0,IF(N205="30+","30+",IF(L205+N205&gt;30,"30+",IF(L205+N205-M205&gt;0,L205+N205-M205,IF(L205-M205&lt;0,0,L205+N205-M205)))))))</f>
        <v/>
      </c>
      <c r="Q205" s="334" t="str">
        <f>IFERROR(IF(P205="Check Data ⚠","Check Data ⚠",VLOOKUP(P205,'G-4 Temporal multipliers'!$A$4:$C$37,3,FALSE)),"")</f>
        <v/>
      </c>
      <c r="R205" s="275" t="str">
        <f>IF(C205="","",VLOOKUP(C205,'G-7 WaterC'' Data'!$B$4:$G$8,4,FALSE))</f>
        <v/>
      </c>
      <c r="S205" s="283" t="str">
        <f t="shared" si="23" ref="S205:S259">IF(C205="","",IF(P205="Check Data ⚠","Check Data ⚠",IF(G205="","",IF($O205="Check details - Is there evidence that habitat has reached target condition? ⚠","No - Low Difficulty - only applicable if all habitat created before losses ⚠","Standard difficulty applied"))))</f>
        <v/>
      </c>
      <c r="T205" s="314" t="str">
        <f t="shared" si="24" ref="T205:T259">(IF(AND(S205="Standard difficulty applied",L205&gt;M205),R205,IF(AND(S205="No - Low Difficulty - only applicable if all habitat created before losses ⚠",M205&gt;=L205),"Low",R205)))</f>
        <v/>
      </c>
      <c r="U205" s="276" t="str">
        <f>IF(C205="","",VLOOKUP(T205,'G-3 Multipliers'!$P$2:$Q$6,2,FALSE))</f>
        <v/>
      </c>
      <c r="V205" s="102"/>
      <c r="W205" s="276" t="str">
        <f>IF(V205="","",IF(AND(V205="N/A - Culvert",C205&lt;&gt;"Culvert"),"Not possible ▲",IF(AND(C205="Culvert",V205&lt;&gt;"N/A - Culvert"),"Not possible ▲",IF(VLOOKUP(V205,'G-7 WaterC'' Data'!$AA$4:$AB$7,2,FALSE)=0,"Spatial Data Missing ⚠",VLOOKUP(V205,'G-7 WaterC'' Data'!$AA$4:$AB$7,2,FALSE)))))</f>
        <v/>
      </c>
      <c r="X205" s="56"/>
      <c r="Y205" s="276" t="str">
        <f>IF(X205="","",IF(AND(X205="N/A - Culvert",C205&lt;&gt;"Culvert"),"Not possible ▲",IF(AND(C205="Culvert",X205&lt;&gt;"N/A - Culvert"),"Not possible ▲",IF(VLOOKUP(X205,'G-7 WaterC'' Data'!$AD$4:$AE$14,2,FALSE)=0,"Enrcoachment Data Missing ⚠",VLOOKUP(X205,'G-7 WaterC'' Data'!$AD$4:$AE$14,2,FALSE)))))</f>
        <v/>
      </c>
      <c r="Z205" s="102"/>
      <c r="AA205" s="276" t="str">
        <f>IF(Z205="","",IF(VLOOKUP(Z205,'G-7 WaterC'' Data'!$AO$4:$BO$7,2,FALSE)=0,"Spatial Data Missing ⚠",VLOOKUP(Z205,'G-7 WaterC'' Data'!$AO$4:$BO$7,2,FALSE)))</f>
        <v/>
      </c>
      <c r="AB205" s="317" t="str">
        <f t="shared" si="25" ref="AB205:AB259">IFERROR(D205*F205*H205*K205*Q205*U205*W205*Y205*AA205,"")</f>
        <v/>
      </c>
      <c r="AC205" s="317" t="str">
        <f t="shared" si="26" ref="AC205:AC259">IFERROR(IF(AND(Z205&lt;&gt;"",AG205=""),"Off-site reference required ▲",(IF(Z205="","",D205*F205*H205*K205*Q205*U205*W205*Y205))),"")</f>
        <v/>
      </c>
      <c r="AD205" s="101"/>
      <c r="AE205" s="938"/>
      <c r="AF205" s="138"/>
      <c r="AG205" s="138"/>
      <c r="AH205" s="934"/>
      <c r="AL205" s="30" t="str">
        <f>IFERROR(INDEX('G-7 WaterC'' Data'!$AZ$3:$AZ$7,MATCH(C205,'G-7 WaterC'' Data'!$AY$3:$AY$7,0)),"")</f>
        <v/>
      </c>
      <c r="AN205" s="30" t="str">
        <f t="shared" si="27" ref="AN205:AN260">IF(AND(C205="Ditches",(OR(G205="Fairly Poor",G205="Fairly Good"))),"Yes","No")</f>
        <v>No</v>
      </c>
    </row>
    <row r="206" spans="2:40" ht="14">
      <c r="B206" s="97">
        <v>195</v>
      </c>
      <c r="C206" s="923"/>
      <c r="D206" s="115"/>
      <c r="E206" s="275" t="str">
        <f>IF(C206="","",VLOOKUP(C206,'G-7 WaterC'' Data'!$B$2:$Z$9,2,FALSE))</f>
        <v/>
      </c>
      <c r="F206" s="276" t="str">
        <f>IFERROR(VLOOKUP(E206,'G-7 WaterC'' Data'!$C$4:$D$8,2,FALSE),"")</f>
        <v/>
      </c>
      <c r="G206" s="52"/>
      <c r="H206" s="276" t="str">
        <f>IFERROR(INDEX('G-7 WaterC'' Data'!$H$4:$L$8,MATCH(C206,'G-7 WaterC'' Data'!$B$4:$B$8,0),MATCH(G206,'G-7 WaterC'' Data'!$H$3:$L$3,0)),"")</f>
        <v/>
      </c>
      <c r="I206" s="52"/>
      <c r="J206" s="314" t="str">
        <f>IF(I206="","",IF(VLOOKUP(I206,'G-7 WaterC'' Data'!$AK$4:$AM$6,2,FALSE)=0,"Spatial Data Missing ⚠",VLOOKUP(I206,'G-7 WaterC'' Data'!$AK$4:$AM$6,2,FALSE)))</f>
        <v/>
      </c>
      <c r="K206" s="276" t="str">
        <f>IF(I206="","",IF(VLOOKUP(I206,'G-7 WaterC'' Data'!$AK$4:$AM$6,3,FALSE)=0,"Spatial Data Missing ⚠",VLOOKUP(I206,'G-7 WaterC'' Data'!$AK$4:$AM$6,3,FALSE)))</f>
        <v/>
      </c>
      <c r="L206" s="372" t="str">
        <f>IFERROR(INDEX('G-7 WaterC'' Data'!$O$3:$O$7,MATCH(G206,'G-7 WaterC'' Data'!$N$3:$N$7,0)),"")</f>
        <v/>
      </c>
      <c r="M206" s="53"/>
      <c r="N206" s="133"/>
      <c r="O206" s="283" t="str">
        <f t="shared" si="21"/>
        <v/>
      </c>
      <c r="P206" s="296" t="str">
        <f t="shared" si="22"/>
        <v/>
      </c>
      <c r="Q206" s="334" t="str">
        <f>IFERROR(IF(P206="Check Data ⚠","Check Data ⚠",VLOOKUP(P206,'G-4 Temporal multipliers'!$A$4:$C$37,3,FALSE)),"")</f>
        <v/>
      </c>
      <c r="R206" s="275" t="str">
        <f>IF(C206="","",VLOOKUP(C206,'G-7 WaterC'' Data'!$B$4:$G$8,4,FALSE))</f>
        <v/>
      </c>
      <c r="S206" s="283" t="str">
        <f t="shared" si="23"/>
        <v/>
      </c>
      <c r="T206" s="314" t="str">
        <f t="shared" si="24"/>
        <v/>
      </c>
      <c r="U206" s="276" t="str">
        <f>IF(C206="","",VLOOKUP(T206,'G-3 Multipliers'!$P$2:$Q$6,2,FALSE))</f>
        <v/>
      </c>
      <c r="V206" s="102"/>
      <c r="W206" s="276" t="str">
        <f>IF(V206="","",IF(AND(V206="N/A - Culvert",C206&lt;&gt;"Culvert"),"Not possible ▲",IF(AND(C206="Culvert",V206&lt;&gt;"N/A - Culvert"),"Not possible ▲",IF(VLOOKUP(V206,'G-7 WaterC'' Data'!$AA$4:$AB$7,2,FALSE)=0,"Spatial Data Missing ⚠",VLOOKUP(V206,'G-7 WaterC'' Data'!$AA$4:$AB$7,2,FALSE)))))</f>
        <v/>
      </c>
      <c r="X206" s="56"/>
      <c r="Y206" s="276" t="str">
        <f>IF(X206="","",IF(AND(X206="N/A - Culvert",C206&lt;&gt;"Culvert"),"Not possible ▲",IF(AND(C206="Culvert",X206&lt;&gt;"N/A - Culvert"),"Not possible ▲",IF(VLOOKUP(X206,'G-7 WaterC'' Data'!$AD$4:$AE$14,2,FALSE)=0,"Enrcoachment Data Missing ⚠",VLOOKUP(X206,'G-7 WaterC'' Data'!$AD$4:$AE$14,2,FALSE)))))</f>
        <v/>
      </c>
      <c r="Z206" s="102"/>
      <c r="AA206" s="276" t="str">
        <f>IF(Z206="","",IF(VLOOKUP(Z206,'G-7 WaterC'' Data'!$AO$4:$BO$7,2,FALSE)=0,"Spatial Data Missing ⚠",VLOOKUP(Z206,'G-7 WaterC'' Data'!$AO$4:$BO$7,2,FALSE)))</f>
        <v/>
      </c>
      <c r="AB206" s="317" t="str">
        <f t="shared" si="25"/>
        <v/>
      </c>
      <c r="AC206" s="317" t="str">
        <f t="shared" si="26"/>
        <v/>
      </c>
      <c r="AD206" s="101"/>
      <c r="AE206" s="938"/>
      <c r="AF206" s="138"/>
      <c r="AG206" s="138"/>
      <c r="AH206" s="934"/>
      <c r="AL206" s="30" t="str">
        <f>IFERROR(INDEX('G-7 WaterC'' Data'!$AZ$3:$AZ$7,MATCH(C206,'G-7 WaterC'' Data'!$AY$3:$AY$7,0)),"")</f>
        <v/>
      </c>
      <c r="AN206" s="30" t="str">
        <f t="shared" si="27"/>
        <v>No</v>
      </c>
    </row>
    <row r="207" spans="2:40" ht="14">
      <c r="B207" s="97">
        <v>196</v>
      </c>
      <c r="C207" s="923"/>
      <c r="D207" s="115"/>
      <c r="E207" s="275" t="str">
        <f>IF(C207="","",VLOOKUP(C207,'G-7 WaterC'' Data'!$B$2:$Z$9,2,FALSE))</f>
        <v/>
      </c>
      <c r="F207" s="276" t="str">
        <f>IFERROR(VLOOKUP(E207,'G-7 WaterC'' Data'!$C$4:$D$8,2,FALSE),"")</f>
        <v/>
      </c>
      <c r="G207" s="52"/>
      <c r="H207" s="276" t="str">
        <f>IFERROR(INDEX('G-7 WaterC'' Data'!$H$4:$L$8,MATCH(C207,'G-7 WaterC'' Data'!$B$4:$B$8,0),MATCH(G207,'G-7 WaterC'' Data'!$H$3:$L$3,0)),"")</f>
        <v/>
      </c>
      <c r="I207" s="52"/>
      <c r="J207" s="314" t="str">
        <f>IF(I207="","",IF(VLOOKUP(I207,'G-7 WaterC'' Data'!$AK$4:$AM$6,2,FALSE)=0,"Spatial Data Missing ⚠",VLOOKUP(I207,'G-7 WaterC'' Data'!$AK$4:$AM$6,2,FALSE)))</f>
        <v/>
      </c>
      <c r="K207" s="276" t="str">
        <f>IF(I207="","",IF(VLOOKUP(I207,'G-7 WaterC'' Data'!$AK$4:$AM$6,3,FALSE)=0,"Spatial Data Missing ⚠",VLOOKUP(I207,'G-7 WaterC'' Data'!$AK$4:$AM$6,3,FALSE)))</f>
        <v/>
      </c>
      <c r="L207" s="372" t="str">
        <f>IFERROR(INDEX('G-7 WaterC'' Data'!$O$3:$O$7,MATCH(G207,'G-7 WaterC'' Data'!$N$3:$N$7,0)),"")</f>
        <v/>
      </c>
      <c r="M207" s="53"/>
      <c r="N207" s="133"/>
      <c r="O207" s="283" t="str">
        <f t="shared" si="21"/>
        <v/>
      </c>
      <c r="P207" s="296" t="str">
        <f t="shared" si="22"/>
        <v/>
      </c>
      <c r="Q207" s="334" t="str">
        <f>IFERROR(IF(P207="Check Data ⚠","Check Data ⚠",VLOOKUP(P207,'G-4 Temporal multipliers'!$A$4:$C$37,3,FALSE)),"")</f>
        <v/>
      </c>
      <c r="R207" s="275" t="str">
        <f>IF(C207="","",VLOOKUP(C207,'G-7 WaterC'' Data'!$B$4:$G$8,4,FALSE))</f>
        <v/>
      </c>
      <c r="S207" s="283" t="str">
        <f t="shared" si="23"/>
        <v/>
      </c>
      <c r="T207" s="314" t="str">
        <f t="shared" si="24"/>
        <v/>
      </c>
      <c r="U207" s="276" t="str">
        <f>IF(C207="","",VLOOKUP(T207,'G-3 Multipliers'!$P$2:$Q$6,2,FALSE))</f>
        <v/>
      </c>
      <c r="V207" s="102"/>
      <c r="W207" s="276" t="str">
        <f>IF(V207="","",IF(AND(V207="N/A - Culvert",C207&lt;&gt;"Culvert"),"Not possible ▲",IF(AND(C207="Culvert",V207&lt;&gt;"N/A - Culvert"),"Not possible ▲",IF(VLOOKUP(V207,'G-7 WaterC'' Data'!$AA$4:$AB$7,2,FALSE)=0,"Spatial Data Missing ⚠",VLOOKUP(V207,'G-7 WaterC'' Data'!$AA$4:$AB$7,2,FALSE)))))</f>
        <v/>
      </c>
      <c r="X207" s="56"/>
      <c r="Y207" s="276" t="str">
        <f>IF(X207="","",IF(AND(X207="N/A - Culvert",C207&lt;&gt;"Culvert"),"Not possible ▲",IF(AND(C207="Culvert",X207&lt;&gt;"N/A - Culvert"),"Not possible ▲",IF(VLOOKUP(X207,'G-7 WaterC'' Data'!$AD$4:$AE$14,2,FALSE)=0,"Enrcoachment Data Missing ⚠",VLOOKUP(X207,'G-7 WaterC'' Data'!$AD$4:$AE$14,2,FALSE)))))</f>
        <v/>
      </c>
      <c r="Z207" s="102"/>
      <c r="AA207" s="276" t="str">
        <f>IF(Z207="","",IF(VLOOKUP(Z207,'G-7 WaterC'' Data'!$AO$4:$BO$7,2,FALSE)=0,"Spatial Data Missing ⚠",VLOOKUP(Z207,'G-7 WaterC'' Data'!$AO$4:$BO$7,2,FALSE)))</f>
        <v/>
      </c>
      <c r="AB207" s="317" t="str">
        <f t="shared" si="25"/>
        <v/>
      </c>
      <c r="AC207" s="317" t="str">
        <f t="shared" si="26"/>
        <v/>
      </c>
      <c r="AD207" s="101"/>
      <c r="AE207" s="938"/>
      <c r="AF207" s="138"/>
      <c r="AG207" s="138"/>
      <c r="AH207" s="934"/>
      <c r="AL207" s="30" t="str">
        <f>IFERROR(INDEX('G-7 WaterC'' Data'!$AZ$3:$AZ$7,MATCH(C207,'G-7 WaterC'' Data'!$AY$3:$AY$7,0)),"")</f>
        <v/>
      </c>
      <c r="AN207" s="30" t="str">
        <f t="shared" si="27"/>
        <v>No</v>
      </c>
    </row>
    <row r="208" spans="2:40" ht="14">
      <c r="B208" s="97">
        <v>197</v>
      </c>
      <c r="C208" s="923"/>
      <c r="D208" s="115"/>
      <c r="E208" s="275" t="str">
        <f>IF(C208="","",VLOOKUP(C208,'G-7 WaterC'' Data'!$B$2:$Z$9,2,FALSE))</f>
        <v/>
      </c>
      <c r="F208" s="276" t="str">
        <f>IFERROR(VLOOKUP(E208,'G-7 WaterC'' Data'!$C$4:$D$8,2,FALSE),"")</f>
        <v/>
      </c>
      <c r="G208" s="52"/>
      <c r="H208" s="276" t="str">
        <f>IFERROR(INDEX('G-7 WaterC'' Data'!$H$4:$L$8,MATCH(C208,'G-7 WaterC'' Data'!$B$4:$B$8,0),MATCH(G208,'G-7 WaterC'' Data'!$H$3:$L$3,0)),"")</f>
        <v/>
      </c>
      <c r="I208" s="52"/>
      <c r="J208" s="314" t="str">
        <f>IF(I208="","",IF(VLOOKUP(I208,'G-7 WaterC'' Data'!$AK$4:$AM$6,2,FALSE)=0,"Spatial Data Missing ⚠",VLOOKUP(I208,'G-7 WaterC'' Data'!$AK$4:$AM$6,2,FALSE)))</f>
        <v/>
      </c>
      <c r="K208" s="276" t="str">
        <f>IF(I208="","",IF(VLOOKUP(I208,'G-7 WaterC'' Data'!$AK$4:$AM$6,3,FALSE)=0,"Spatial Data Missing ⚠",VLOOKUP(I208,'G-7 WaterC'' Data'!$AK$4:$AM$6,3,FALSE)))</f>
        <v/>
      </c>
      <c r="L208" s="372" t="str">
        <f>IFERROR(INDEX('G-7 WaterC'' Data'!$O$3:$O$7,MATCH(G208,'G-7 WaterC'' Data'!$N$3:$N$7,0)),"")</f>
        <v/>
      </c>
      <c r="M208" s="53"/>
      <c r="N208" s="133"/>
      <c r="O208" s="283" t="str">
        <f t="shared" si="21"/>
        <v/>
      </c>
      <c r="P208" s="296" t="str">
        <f t="shared" si="22"/>
        <v/>
      </c>
      <c r="Q208" s="334" t="str">
        <f>IFERROR(IF(P208="Check Data ⚠","Check Data ⚠",VLOOKUP(P208,'G-4 Temporal multipliers'!$A$4:$C$37,3,FALSE)),"")</f>
        <v/>
      </c>
      <c r="R208" s="275" t="str">
        <f>IF(C208="","",VLOOKUP(C208,'G-7 WaterC'' Data'!$B$4:$G$8,4,FALSE))</f>
        <v/>
      </c>
      <c r="S208" s="283" t="str">
        <f t="shared" si="23"/>
        <v/>
      </c>
      <c r="T208" s="314" t="str">
        <f t="shared" si="24"/>
        <v/>
      </c>
      <c r="U208" s="276" t="str">
        <f>IF(C208="","",VLOOKUP(T208,'G-3 Multipliers'!$P$2:$Q$6,2,FALSE))</f>
        <v/>
      </c>
      <c r="V208" s="102"/>
      <c r="W208" s="276" t="str">
        <f>IF(V208="","",IF(AND(V208="N/A - Culvert",C208&lt;&gt;"Culvert"),"Not possible ▲",IF(AND(C208="Culvert",V208&lt;&gt;"N/A - Culvert"),"Not possible ▲",IF(VLOOKUP(V208,'G-7 WaterC'' Data'!$AA$4:$AB$7,2,FALSE)=0,"Spatial Data Missing ⚠",VLOOKUP(V208,'G-7 WaterC'' Data'!$AA$4:$AB$7,2,FALSE)))))</f>
        <v/>
      </c>
      <c r="X208" s="56"/>
      <c r="Y208" s="276" t="str">
        <f>IF(X208="","",IF(AND(X208="N/A - Culvert",C208&lt;&gt;"Culvert"),"Not possible ▲",IF(AND(C208="Culvert",X208&lt;&gt;"N/A - Culvert"),"Not possible ▲",IF(VLOOKUP(X208,'G-7 WaterC'' Data'!$AD$4:$AE$14,2,FALSE)=0,"Enrcoachment Data Missing ⚠",VLOOKUP(X208,'G-7 WaterC'' Data'!$AD$4:$AE$14,2,FALSE)))))</f>
        <v/>
      </c>
      <c r="Z208" s="102"/>
      <c r="AA208" s="276" t="str">
        <f>IF(Z208="","",IF(VLOOKUP(Z208,'G-7 WaterC'' Data'!$AO$4:$BO$7,2,FALSE)=0,"Spatial Data Missing ⚠",VLOOKUP(Z208,'G-7 WaterC'' Data'!$AO$4:$BO$7,2,FALSE)))</f>
        <v/>
      </c>
      <c r="AB208" s="317" t="str">
        <f t="shared" si="25"/>
        <v/>
      </c>
      <c r="AC208" s="317" t="str">
        <f t="shared" si="26"/>
        <v/>
      </c>
      <c r="AD208" s="101"/>
      <c r="AE208" s="938"/>
      <c r="AF208" s="138"/>
      <c r="AG208" s="138"/>
      <c r="AH208" s="934"/>
      <c r="AL208" s="30" t="str">
        <f>IFERROR(INDEX('G-7 WaterC'' Data'!$AZ$3:$AZ$7,MATCH(C208,'G-7 WaterC'' Data'!$AY$3:$AY$7,0)),"")</f>
        <v/>
      </c>
      <c r="AN208" s="30" t="str">
        <f t="shared" si="27"/>
        <v>No</v>
      </c>
    </row>
    <row r="209" spans="2:40" ht="14">
      <c r="B209" s="97">
        <v>198</v>
      </c>
      <c r="C209" s="923"/>
      <c r="D209" s="115"/>
      <c r="E209" s="275" t="str">
        <f>IF(C209="","",VLOOKUP(C209,'G-7 WaterC'' Data'!$B$2:$Z$9,2,FALSE))</f>
        <v/>
      </c>
      <c r="F209" s="276" t="str">
        <f>IFERROR(VLOOKUP(E209,'G-7 WaterC'' Data'!$C$4:$D$8,2,FALSE),"")</f>
        <v/>
      </c>
      <c r="G209" s="52"/>
      <c r="H209" s="276" t="str">
        <f>IFERROR(INDEX('G-7 WaterC'' Data'!$H$4:$L$8,MATCH(C209,'G-7 WaterC'' Data'!$B$4:$B$8,0),MATCH(G209,'G-7 WaterC'' Data'!$H$3:$L$3,0)),"")</f>
        <v/>
      </c>
      <c r="I209" s="52"/>
      <c r="J209" s="314" t="str">
        <f>IF(I209="","",IF(VLOOKUP(I209,'G-7 WaterC'' Data'!$AK$4:$AM$6,2,FALSE)=0,"Spatial Data Missing ⚠",VLOOKUP(I209,'G-7 WaterC'' Data'!$AK$4:$AM$6,2,FALSE)))</f>
        <v/>
      </c>
      <c r="K209" s="276" t="str">
        <f>IF(I209="","",IF(VLOOKUP(I209,'G-7 WaterC'' Data'!$AK$4:$AM$6,3,FALSE)=0,"Spatial Data Missing ⚠",VLOOKUP(I209,'G-7 WaterC'' Data'!$AK$4:$AM$6,3,FALSE)))</f>
        <v/>
      </c>
      <c r="L209" s="372" t="str">
        <f>IFERROR(INDEX('G-7 WaterC'' Data'!$O$3:$O$7,MATCH(G209,'G-7 WaterC'' Data'!$N$3:$N$7,0)),"")</f>
        <v/>
      </c>
      <c r="M209" s="53"/>
      <c r="N209" s="133"/>
      <c r="O209" s="283" t="str">
        <f t="shared" si="21"/>
        <v/>
      </c>
      <c r="P209" s="296" t="str">
        <f t="shared" si="22"/>
        <v/>
      </c>
      <c r="Q209" s="334" t="str">
        <f>IFERROR(IF(P209="Check Data ⚠","Check Data ⚠",VLOOKUP(P209,'G-4 Temporal multipliers'!$A$4:$C$37,3,FALSE)),"")</f>
        <v/>
      </c>
      <c r="R209" s="275" t="str">
        <f>IF(C209="","",VLOOKUP(C209,'G-7 WaterC'' Data'!$B$4:$G$8,4,FALSE))</f>
        <v/>
      </c>
      <c r="S209" s="283" t="str">
        <f t="shared" si="23"/>
        <v/>
      </c>
      <c r="T209" s="314" t="str">
        <f t="shared" si="24"/>
        <v/>
      </c>
      <c r="U209" s="276" t="str">
        <f>IF(C209="","",VLOOKUP(T209,'G-3 Multipliers'!$P$2:$Q$6,2,FALSE))</f>
        <v/>
      </c>
      <c r="V209" s="102"/>
      <c r="W209" s="276" t="str">
        <f>IF(V209="","",IF(AND(V209="N/A - Culvert",C209&lt;&gt;"Culvert"),"Not possible ▲",IF(AND(C209="Culvert",V209&lt;&gt;"N/A - Culvert"),"Not possible ▲",IF(VLOOKUP(V209,'G-7 WaterC'' Data'!$AA$4:$AB$7,2,FALSE)=0,"Spatial Data Missing ⚠",VLOOKUP(V209,'G-7 WaterC'' Data'!$AA$4:$AB$7,2,FALSE)))))</f>
        <v/>
      </c>
      <c r="X209" s="56"/>
      <c r="Y209" s="276" t="str">
        <f>IF(X209="","",IF(AND(X209="N/A - Culvert",C209&lt;&gt;"Culvert"),"Not possible ▲",IF(AND(C209="Culvert",X209&lt;&gt;"N/A - Culvert"),"Not possible ▲",IF(VLOOKUP(X209,'G-7 WaterC'' Data'!$AD$4:$AE$14,2,FALSE)=0,"Enrcoachment Data Missing ⚠",VLOOKUP(X209,'G-7 WaterC'' Data'!$AD$4:$AE$14,2,FALSE)))))</f>
        <v/>
      </c>
      <c r="Z209" s="102"/>
      <c r="AA209" s="276" t="str">
        <f>IF(Z209="","",IF(VLOOKUP(Z209,'G-7 WaterC'' Data'!$AO$4:$BO$7,2,FALSE)=0,"Spatial Data Missing ⚠",VLOOKUP(Z209,'G-7 WaterC'' Data'!$AO$4:$BO$7,2,FALSE)))</f>
        <v/>
      </c>
      <c r="AB209" s="317" t="str">
        <f t="shared" si="25"/>
        <v/>
      </c>
      <c r="AC209" s="317" t="str">
        <f t="shared" si="26"/>
        <v/>
      </c>
      <c r="AD209" s="101"/>
      <c r="AE209" s="938"/>
      <c r="AF209" s="138"/>
      <c r="AG209" s="138"/>
      <c r="AH209" s="934"/>
      <c r="AL209" s="30" t="str">
        <f>IFERROR(INDEX('G-7 WaterC'' Data'!$AZ$3:$AZ$7,MATCH(C209,'G-7 WaterC'' Data'!$AY$3:$AY$7,0)),"")</f>
        <v/>
      </c>
      <c r="AN209" s="30" t="str">
        <f t="shared" si="27"/>
        <v>No</v>
      </c>
    </row>
    <row r="210" spans="2:40" ht="14">
      <c r="B210" s="97">
        <v>199</v>
      </c>
      <c r="C210" s="923"/>
      <c r="D210" s="115"/>
      <c r="E210" s="275" t="str">
        <f>IF(C210="","",VLOOKUP(C210,'G-7 WaterC'' Data'!$B$2:$Z$9,2,FALSE))</f>
        <v/>
      </c>
      <c r="F210" s="276" t="str">
        <f>IFERROR(VLOOKUP(E210,'G-7 WaterC'' Data'!$C$4:$D$8,2,FALSE),"")</f>
        <v/>
      </c>
      <c r="G210" s="52"/>
      <c r="H210" s="276" t="str">
        <f>IFERROR(INDEX('G-7 WaterC'' Data'!$H$4:$L$8,MATCH(C210,'G-7 WaterC'' Data'!$B$4:$B$8,0),MATCH(G210,'G-7 WaterC'' Data'!$H$3:$L$3,0)),"")</f>
        <v/>
      </c>
      <c r="I210" s="52"/>
      <c r="J210" s="314" t="str">
        <f>IF(I210="","",IF(VLOOKUP(I210,'G-7 WaterC'' Data'!$AK$4:$AM$6,2,FALSE)=0,"Spatial Data Missing ⚠",VLOOKUP(I210,'G-7 WaterC'' Data'!$AK$4:$AM$6,2,FALSE)))</f>
        <v/>
      </c>
      <c r="K210" s="276" t="str">
        <f>IF(I210="","",IF(VLOOKUP(I210,'G-7 WaterC'' Data'!$AK$4:$AM$6,3,FALSE)=0,"Spatial Data Missing ⚠",VLOOKUP(I210,'G-7 WaterC'' Data'!$AK$4:$AM$6,3,FALSE)))</f>
        <v/>
      </c>
      <c r="L210" s="372" t="str">
        <f>IFERROR(INDEX('G-7 WaterC'' Data'!$O$3:$O$7,MATCH(G210,'G-7 WaterC'' Data'!$N$3:$N$7,0)),"")</f>
        <v/>
      </c>
      <c r="M210" s="53"/>
      <c r="N210" s="133"/>
      <c r="O210" s="283" t="str">
        <f t="shared" si="21"/>
        <v/>
      </c>
      <c r="P210" s="296" t="str">
        <f t="shared" si="22"/>
        <v/>
      </c>
      <c r="Q210" s="334" t="str">
        <f>IFERROR(IF(P210="Check Data ⚠","Check Data ⚠",VLOOKUP(P210,'G-4 Temporal multipliers'!$A$4:$C$37,3,FALSE)),"")</f>
        <v/>
      </c>
      <c r="R210" s="275" t="str">
        <f>IF(C210="","",VLOOKUP(C210,'G-7 WaterC'' Data'!$B$4:$G$8,4,FALSE))</f>
        <v/>
      </c>
      <c r="S210" s="283" t="str">
        <f t="shared" si="23"/>
        <v/>
      </c>
      <c r="T210" s="314" t="str">
        <f t="shared" si="24"/>
        <v/>
      </c>
      <c r="U210" s="276" t="str">
        <f>IF(C210="","",VLOOKUP(T210,'G-3 Multipliers'!$P$2:$Q$6,2,FALSE))</f>
        <v/>
      </c>
      <c r="V210" s="102"/>
      <c r="W210" s="276" t="str">
        <f>IF(V210="","",IF(AND(V210="N/A - Culvert",C210&lt;&gt;"Culvert"),"Not possible ▲",IF(AND(C210="Culvert",V210&lt;&gt;"N/A - Culvert"),"Not possible ▲",IF(VLOOKUP(V210,'G-7 WaterC'' Data'!$AA$4:$AB$7,2,FALSE)=0,"Spatial Data Missing ⚠",VLOOKUP(V210,'G-7 WaterC'' Data'!$AA$4:$AB$7,2,FALSE)))))</f>
        <v/>
      </c>
      <c r="X210" s="56"/>
      <c r="Y210" s="276" t="str">
        <f>IF(X210="","",IF(AND(X210="N/A - Culvert",C210&lt;&gt;"Culvert"),"Not possible ▲",IF(AND(C210="Culvert",X210&lt;&gt;"N/A - Culvert"),"Not possible ▲",IF(VLOOKUP(X210,'G-7 WaterC'' Data'!$AD$4:$AE$14,2,FALSE)=0,"Enrcoachment Data Missing ⚠",VLOOKUP(X210,'G-7 WaterC'' Data'!$AD$4:$AE$14,2,FALSE)))))</f>
        <v/>
      </c>
      <c r="Z210" s="102"/>
      <c r="AA210" s="276" t="str">
        <f>IF(Z210="","",IF(VLOOKUP(Z210,'G-7 WaterC'' Data'!$AO$4:$BO$7,2,FALSE)=0,"Spatial Data Missing ⚠",VLOOKUP(Z210,'G-7 WaterC'' Data'!$AO$4:$BO$7,2,FALSE)))</f>
        <v/>
      </c>
      <c r="AB210" s="317" t="str">
        <f t="shared" si="25"/>
        <v/>
      </c>
      <c r="AC210" s="317" t="str">
        <f t="shared" si="26"/>
        <v/>
      </c>
      <c r="AD210" s="101"/>
      <c r="AE210" s="938"/>
      <c r="AF210" s="138"/>
      <c r="AG210" s="138"/>
      <c r="AH210" s="934"/>
      <c r="AL210" s="30" t="str">
        <f>IFERROR(INDEX('G-7 WaterC'' Data'!$AZ$3:$AZ$7,MATCH(C210,'G-7 WaterC'' Data'!$AY$3:$AY$7,0)),"")</f>
        <v/>
      </c>
      <c r="AN210" s="30" t="str">
        <f t="shared" si="27"/>
        <v>No</v>
      </c>
    </row>
    <row r="211" spans="2:40" ht="14">
      <c r="B211" s="97">
        <v>200</v>
      </c>
      <c r="C211" s="923"/>
      <c r="D211" s="115"/>
      <c r="E211" s="275" t="str">
        <f>IF(C211="","",VLOOKUP(C211,'G-7 WaterC'' Data'!$B$2:$Z$9,2,FALSE))</f>
        <v/>
      </c>
      <c r="F211" s="276" t="str">
        <f>IFERROR(VLOOKUP(E211,'G-7 WaterC'' Data'!$C$4:$D$8,2,FALSE),"")</f>
        <v/>
      </c>
      <c r="G211" s="52"/>
      <c r="H211" s="276" t="str">
        <f>IFERROR(INDEX('G-7 WaterC'' Data'!$H$4:$L$8,MATCH(C211,'G-7 WaterC'' Data'!$B$4:$B$8,0),MATCH(G211,'G-7 WaterC'' Data'!$H$3:$L$3,0)),"")</f>
        <v/>
      </c>
      <c r="I211" s="52"/>
      <c r="J211" s="314" t="str">
        <f>IF(I211="","",IF(VLOOKUP(I211,'G-7 WaterC'' Data'!$AK$4:$AM$6,2,FALSE)=0,"Spatial Data Missing ⚠",VLOOKUP(I211,'G-7 WaterC'' Data'!$AK$4:$AM$6,2,FALSE)))</f>
        <v/>
      </c>
      <c r="K211" s="276" t="str">
        <f>IF(I211="","",IF(VLOOKUP(I211,'G-7 WaterC'' Data'!$AK$4:$AM$6,3,FALSE)=0,"Spatial Data Missing ⚠",VLOOKUP(I211,'G-7 WaterC'' Data'!$AK$4:$AM$6,3,FALSE)))</f>
        <v/>
      </c>
      <c r="L211" s="372" t="str">
        <f>IFERROR(INDEX('G-7 WaterC'' Data'!$O$3:$O$7,MATCH(G211,'G-7 WaterC'' Data'!$N$3:$N$7,0)),"")</f>
        <v/>
      </c>
      <c r="M211" s="53"/>
      <c r="N211" s="133"/>
      <c r="O211" s="283" t="str">
        <f t="shared" si="21"/>
        <v/>
      </c>
      <c r="P211" s="296" t="str">
        <f t="shared" si="22"/>
        <v/>
      </c>
      <c r="Q211" s="334" t="str">
        <f>IFERROR(IF(P211="Check Data ⚠","Check Data ⚠",VLOOKUP(P211,'G-4 Temporal multipliers'!$A$4:$C$37,3,FALSE)),"")</f>
        <v/>
      </c>
      <c r="R211" s="275" t="str">
        <f>IF(C211="","",VLOOKUP(C211,'G-7 WaterC'' Data'!$B$4:$G$8,4,FALSE))</f>
        <v/>
      </c>
      <c r="S211" s="283" t="str">
        <f t="shared" si="23"/>
        <v/>
      </c>
      <c r="T211" s="314" t="str">
        <f t="shared" si="24"/>
        <v/>
      </c>
      <c r="U211" s="276" t="str">
        <f>IF(C211="","",VLOOKUP(T211,'G-3 Multipliers'!$P$2:$Q$6,2,FALSE))</f>
        <v/>
      </c>
      <c r="V211" s="102"/>
      <c r="W211" s="276" t="str">
        <f>IF(V211="","",IF(AND(V211="N/A - Culvert",C211&lt;&gt;"Culvert"),"Not possible ▲",IF(AND(C211="Culvert",V211&lt;&gt;"N/A - Culvert"),"Not possible ▲",IF(VLOOKUP(V211,'G-7 WaterC'' Data'!$AA$4:$AB$7,2,FALSE)=0,"Spatial Data Missing ⚠",VLOOKUP(V211,'G-7 WaterC'' Data'!$AA$4:$AB$7,2,FALSE)))))</f>
        <v/>
      </c>
      <c r="X211" s="56"/>
      <c r="Y211" s="276" t="str">
        <f>IF(X211="","",IF(AND(X211="N/A - Culvert",C211&lt;&gt;"Culvert"),"Not possible ▲",IF(AND(C211="Culvert",X211&lt;&gt;"N/A - Culvert"),"Not possible ▲",IF(VLOOKUP(X211,'G-7 WaterC'' Data'!$AD$4:$AE$14,2,FALSE)=0,"Enrcoachment Data Missing ⚠",VLOOKUP(X211,'G-7 WaterC'' Data'!$AD$4:$AE$14,2,FALSE)))))</f>
        <v/>
      </c>
      <c r="Z211" s="102"/>
      <c r="AA211" s="276" t="str">
        <f>IF(Z211="","",IF(VLOOKUP(Z211,'G-7 WaterC'' Data'!$AO$4:$BO$7,2,FALSE)=0,"Spatial Data Missing ⚠",VLOOKUP(Z211,'G-7 WaterC'' Data'!$AO$4:$BO$7,2,FALSE)))</f>
        <v/>
      </c>
      <c r="AB211" s="317" t="str">
        <f t="shared" si="25"/>
        <v/>
      </c>
      <c r="AC211" s="317" t="str">
        <f t="shared" si="26"/>
        <v/>
      </c>
      <c r="AD211" s="101"/>
      <c r="AE211" s="938"/>
      <c r="AF211" s="138"/>
      <c r="AG211" s="138"/>
      <c r="AH211" s="934"/>
      <c r="AL211" s="30" t="str">
        <f>IFERROR(INDEX('G-7 WaterC'' Data'!$AZ$3:$AZ$7,MATCH(C211,'G-7 WaterC'' Data'!$AY$3:$AY$7,0)),"")</f>
        <v/>
      </c>
      <c r="AN211" s="30" t="str">
        <f t="shared" si="27"/>
        <v>No</v>
      </c>
    </row>
    <row r="212" spans="2:40" ht="14">
      <c r="B212" s="97">
        <v>201</v>
      </c>
      <c r="C212" s="923"/>
      <c r="D212" s="115"/>
      <c r="E212" s="275" t="str">
        <f>IF(C212="","",VLOOKUP(C212,'G-7 WaterC'' Data'!$B$2:$Z$9,2,FALSE))</f>
        <v/>
      </c>
      <c r="F212" s="276" t="str">
        <f>IFERROR(VLOOKUP(E212,'G-7 WaterC'' Data'!$C$4:$D$8,2,FALSE),"")</f>
        <v/>
      </c>
      <c r="G212" s="52"/>
      <c r="H212" s="276" t="str">
        <f>IFERROR(INDEX('G-7 WaterC'' Data'!$H$4:$L$8,MATCH(C212,'G-7 WaterC'' Data'!$B$4:$B$8,0),MATCH(G212,'G-7 WaterC'' Data'!$H$3:$L$3,0)),"")</f>
        <v/>
      </c>
      <c r="I212" s="52"/>
      <c r="J212" s="314" t="str">
        <f>IF(I212="","",IF(VLOOKUP(I212,'G-7 WaterC'' Data'!$AK$4:$AM$6,2,FALSE)=0,"Spatial Data Missing ⚠",VLOOKUP(I212,'G-7 WaterC'' Data'!$AK$4:$AM$6,2,FALSE)))</f>
        <v/>
      </c>
      <c r="K212" s="276" t="str">
        <f>IF(I212="","",IF(VLOOKUP(I212,'G-7 WaterC'' Data'!$AK$4:$AM$6,3,FALSE)=0,"Spatial Data Missing ⚠",VLOOKUP(I212,'G-7 WaterC'' Data'!$AK$4:$AM$6,3,FALSE)))</f>
        <v/>
      </c>
      <c r="L212" s="372" t="str">
        <f>IFERROR(INDEX('G-7 WaterC'' Data'!$O$3:$O$7,MATCH(G212,'G-7 WaterC'' Data'!$N$3:$N$7,0)),"")</f>
        <v/>
      </c>
      <c r="M212" s="53"/>
      <c r="N212" s="133"/>
      <c r="O212" s="283" t="str">
        <f t="shared" si="21"/>
        <v/>
      </c>
      <c r="P212" s="296" t="str">
        <f t="shared" si="22"/>
        <v/>
      </c>
      <c r="Q212" s="334" t="str">
        <f>IFERROR(IF(P212="Check Data ⚠","Check Data ⚠",VLOOKUP(P212,'G-4 Temporal multipliers'!$A$4:$C$37,3,FALSE)),"")</f>
        <v/>
      </c>
      <c r="R212" s="275" t="str">
        <f>IF(C212="","",VLOOKUP(C212,'G-7 WaterC'' Data'!$B$4:$G$8,4,FALSE))</f>
        <v/>
      </c>
      <c r="S212" s="283" t="str">
        <f t="shared" si="23"/>
        <v/>
      </c>
      <c r="T212" s="314" t="str">
        <f t="shared" si="24"/>
        <v/>
      </c>
      <c r="U212" s="276" t="str">
        <f>IF(C212="","",VLOOKUP(T212,'G-3 Multipliers'!$P$2:$Q$6,2,FALSE))</f>
        <v/>
      </c>
      <c r="V212" s="102"/>
      <c r="W212" s="276" t="str">
        <f>IF(V212="","",IF(AND(V212="N/A - Culvert",C212&lt;&gt;"Culvert"),"Not possible ▲",IF(AND(C212="Culvert",V212&lt;&gt;"N/A - Culvert"),"Not possible ▲",IF(VLOOKUP(V212,'G-7 WaterC'' Data'!$AA$4:$AB$7,2,FALSE)=0,"Spatial Data Missing ⚠",VLOOKUP(V212,'G-7 WaterC'' Data'!$AA$4:$AB$7,2,FALSE)))))</f>
        <v/>
      </c>
      <c r="X212" s="56"/>
      <c r="Y212" s="276" t="str">
        <f>IF(X212="","",IF(AND(X212="N/A - Culvert",C212&lt;&gt;"Culvert"),"Not possible ▲",IF(AND(C212="Culvert",X212&lt;&gt;"N/A - Culvert"),"Not possible ▲",IF(VLOOKUP(X212,'G-7 WaterC'' Data'!$AD$4:$AE$14,2,FALSE)=0,"Enrcoachment Data Missing ⚠",VLOOKUP(X212,'G-7 WaterC'' Data'!$AD$4:$AE$14,2,FALSE)))))</f>
        <v/>
      </c>
      <c r="Z212" s="102"/>
      <c r="AA212" s="276" t="str">
        <f>IF(Z212="","",IF(VLOOKUP(Z212,'G-7 WaterC'' Data'!$AO$4:$BO$7,2,FALSE)=0,"Spatial Data Missing ⚠",VLOOKUP(Z212,'G-7 WaterC'' Data'!$AO$4:$BO$7,2,FALSE)))</f>
        <v/>
      </c>
      <c r="AB212" s="317" t="str">
        <f t="shared" si="25"/>
        <v/>
      </c>
      <c r="AC212" s="317" t="str">
        <f t="shared" si="26"/>
        <v/>
      </c>
      <c r="AD212" s="101"/>
      <c r="AE212" s="938"/>
      <c r="AF212" s="138"/>
      <c r="AG212" s="138"/>
      <c r="AH212" s="934"/>
      <c r="AL212" s="30" t="str">
        <f>IFERROR(INDEX('G-7 WaterC'' Data'!$AZ$3:$AZ$7,MATCH(C212,'G-7 WaterC'' Data'!$AY$3:$AY$7,0)),"")</f>
        <v/>
      </c>
      <c r="AN212" s="30" t="str">
        <f t="shared" si="27"/>
        <v>No</v>
      </c>
    </row>
    <row r="213" spans="2:40" ht="14">
      <c r="B213" s="97">
        <v>202</v>
      </c>
      <c r="C213" s="923"/>
      <c r="D213" s="115"/>
      <c r="E213" s="275" t="str">
        <f>IF(C213="","",VLOOKUP(C213,'G-7 WaterC'' Data'!$B$2:$Z$9,2,FALSE))</f>
        <v/>
      </c>
      <c r="F213" s="276" t="str">
        <f>IFERROR(VLOOKUP(E213,'G-7 WaterC'' Data'!$C$4:$D$8,2,FALSE),"")</f>
        <v/>
      </c>
      <c r="G213" s="52"/>
      <c r="H213" s="276" t="str">
        <f>IFERROR(INDEX('G-7 WaterC'' Data'!$H$4:$L$8,MATCH(C213,'G-7 WaterC'' Data'!$B$4:$B$8,0),MATCH(G213,'G-7 WaterC'' Data'!$H$3:$L$3,0)),"")</f>
        <v/>
      </c>
      <c r="I213" s="52"/>
      <c r="J213" s="314" t="str">
        <f>IF(I213="","",IF(VLOOKUP(I213,'G-7 WaterC'' Data'!$AK$4:$AM$6,2,FALSE)=0,"Spatial Data Missing ⚠",VLOOKUP(I213,'G-7 WaterC'' Data'!$AK$4:$AM$6,2,FALSE)))</f>
        <v/>
      </c>
      <c r="K213" s="276" t="str">
        <f>IF(I213="","",IF(VLOOKUP(I213,'G-7 WaterC'' Data'!$AK$4:$AM$6,3,FALSE)=0,"Spatial Data Missing ⚠",VLOOKUP(I213,'G-7 WaterC'' Data'!$AK$4:$AM$6,3,FALSE)))</f>
        <v/>
      </c>
      <c r="L213" s="372" t="str">
        <f>IFERROR(INDEX('G-7 WaterC'' Data'!$O$3:$O$7,MATCH(G213,'G-7 WaterC'' Data'!$N$3:$N$7,0)),"")</f>
        <v/>
      </c>
      <c r="M213" s="53"/>
      <c r="N213" s="133"/>
      <c r="O213" s="283" t="str">
        <f t="shared" si="21"/>
        <v/>
      </c>
      <c r="P213" s="296" t="str">
        <f t="shared" si="22"/>
        <v/>
      </c>
      <c r="Q213" s="334" t="str">
        <f>IFERROR(IF(P213="Check Data ⚠","Check Data ⚠",VLOOKUP(P213,'G-4 Temporal multipliers'!$A$4:$C$37,3,FALSE)),"")</f>
        <v/>
      </c>
      <c r="R213" s="275" t="str">
        <f>IF(C213="","",VLOOKUP(C213,'G-7 WaterC'' Data'!$B$4:$G$8,4,FALSE))</f>
        <v/>
      </c>
      <c r="S213" s="283" t="str">
        <f t="shared" si="23"/>
        <v/>
      </c>
      <c r="T213" s="314" t="str">
        <f t="shared" si="24"/>
        <v/>
      </c>
      <c r="U213" s="276" t="str">
        <f>IF(C213="","",VLOOKUP(T213,'G-3 Multipliers'!$P$2:$Q$6,2,FALSE))</f>
        <v/>
      </c>
      <c r="V213" s="102"/>
      <c r="W213" s="276" t="str">
        <f>IF(V213="","",IF(AND(V213="N/A - Culvert",C213&lt;&gt;"Culvert"),"Not possible ▲",IF(AND(C213="Culvert",V213&lt;&gt;"N/A - Culvert"),"Not possible ▲",IF(VLOOKUP(V213,'G-7 WaterC'' Data'!$AA$4:$AB$7,2,FALSE)=0,"Spatial Data Missing ⚠",VLOOKUP(V213,'G-7 WaterC'' Data'!$AA$4:$AB$7,2,FALSE)))))</f>
        <v/>
      </c>
      <c r="X213" s="56"/>
      <c r="Y213" s="276" t="str">
        <f>IF(X213="","",IF(AND(X213="N/A - Culvert",C213&lt;&gt;"Culvert"),"Not possible ▲",IF(AND(C213="Culvert",X213&lt;&gt;"N/A - Culvert"),"Not possible ▲",IF(VLOOKUP(X213,'G-7 WaterC'' Data'!$AD$4:$AE$14,2,FALSE)=0,"Enrcoachment Data Missing ⚠",VLOOKUP(X213,'G-7 WaterC'' Data'!$AD$4:$AE$14,2,FALSE)))))</f>
        <v/>
      </c>
      <c r="Z213" s="102"/>
      <c r="AA213" s="276" t="str">
        <f>IF(Z213="","",IF(VLOOKUP(Z213,'G-7 WaterC'' Data'!$AO$4:$BO$7,2,FALSE)=0,"Spatial Data Missing ⚠",VLOOKUP(Z213,'G-7 WaterC'' Data'!$AO$4:$BO$7,2,FALSE)))</f>
        <v/>
      </c>
      <c r="AB213" s="317" t="str">
        <f t="shared" si="25"/>
        <v/>
      </c>
      <c r="AC213" s="317" t="str">
        <f t="shared" si="26"/>
        <v/>
      </c>
      <c r="AD213" s="101"/>
      <c r="AE213" s="938"/>
      <c r="AF213" s="138"/>
      <c r="AG213" s="138"/>
      <c r="AH213" s="934"/>
      <c r="AL213" s="30" t="str">
        <f>IFERROR(INDEX('G-7 WaterC'' Data'!$AZ$3:$AZ$7,MATCH(C213,'G-7 WaterC'' Data'!$AY$3:$AY$7,0)),"")</f>
        <v/>
      </c>
      <c r="AN213" s="30" t="str">
        <f t="shared" si="27"/>
        <v>No</v>
      </c>
    </row>
    <row r="214" spans="2:40" ht="14">
      <c r="B214" s="97">
        <v>203</v>
      </c>
      <c r="C214" s="923"/>
      <c r="D214" s="115"/>
      <c r="E214" s="275" t="str">
        <f>IF(C214="","",VLOOKUP(C214,'G-7 WaterC'' Data'!$B$2:$Z$9,2,FALSE))</f>
        <v/>
      </c>
      <c r="F214" s="276" t="str">
        <f>IFERROR(VLOOKUP(E214,'G-7 WaterC'' Data'!$C$4:$D$8,2,FALSE),"")</f>
        <v/>
      </c>
      <c r="G214" s="52"/>
      <c r="H214" s="276" t="str">
        <f>IFERROR(INDEX('G-7 WaterC'' Data'!$H$4:$L$8,MATCH(C214,'G-7 WaterC'' Data'!$B$4:$B$8,0),MATCH(G214,'G-7 WaterC'' Data'!$H$3:$L$3,0)),"")</f>
        <v/>
      </c>
      <c r="I214" s="52"/>
      <c r="J214" s="314" t="str">
        <f>IF(I214="","",IF(VLOOKUP(I214,'G-7 WaterC'' Data'!$AK$4:$AM$6,2,FALSE)=0,"Spatial Data Missing ⚠",VLOOKUP(I214,'G-7 WaterC'' Data'!$AK$4:$AM$6,2,FALSE)))</f>
        <v/>
      </c>
      <c r="K214" s="276" t="str">
        <f>IF(I214="","",IF(VLOOKUP(I214,'G-7 WaterC'' Data'!$AK$4:$AM$6,3,FALSE)=0,"Spatial Data Missing ⚠",VLOOKUP(I214,'G-7 WaterC'' Data'!$AK$4:$AM$6,3,FALSE)))</f>
        <v/>
      </c>
      <c r="L214" s="372" t="str">
        <f>IFERROR(INDEX('G-7 WaterC'' Data'!$O$3:$O$7,MATCH(G214,'G-7 WaterC'' Data'!$N$3:$N$7,0)),"")</f>
        <v/>
      </c>
      <c r="M214" s="53"/>
      <c r="N214" s="133"/>
      <c r="O214" s="283" t="str">
        <f t="shared" si="21"/>
        <v/>
      </c>
      <c r="P214" s="296" t="str">
        <f t="shared" si="22"/>
        <v/>
      </c>
      <c r="Q214" s="334" t="str">
        <f>IFERROR(IF(P214="Check Data ⚠","Check Data ⚠",VLOOKUP(P214,'G-4 Temporal multipliers'!$A$4:$C$37,3,FALSE)),"")</f>
        <v/>
      </c>
      <c r="R214" s="275" t="str">
        <f>IF(C214="","",VLOOKUP(C214,'G-7 WaterC'' Data'!$B$4:$G$8,4,FALSE))</f>
        <v/>
      </c>
      <c r="S214" s="283" t="str">
        <f t="shared" si="23"/>
        <v/>
      </c>
      <c r="T214" s="314" t="str">
        <f t="shared" si="24"/>
        <v/>
      </c>
      <c r="U214" s="276" t="str">
        <f>IF(C214="","",VLOOKUP(T214,'G-3 Multipliers'!$P$2:$Q$6,2,FALSE))</f>
        <v/>
      </c>
      <c r="V214" s="102"/>
      <c r="W214" s="276" t="str">
        <f>IF(V214="","",IF(AND(V214="N/A - Culvert",C214&lt;&gt;"Culvert"),"Not possible ▲",IF(AND(C214="Culvert",V214&lt;&gt;"N/A - Culvert"),"Not possible ▲",IF(VLOOKUP(V214,'G-7 WaterC'' Data'!$AA$4:$AB$7,2,FALSE)=0,"Spatial Data Missing ⚠",VLOOKUP(V214,'G-7 WaterC'' Data'!$AA$4:$AB$7,2,FALSE)))))</f>
        <v/>
      </c>
      <c r="X214" s="56"/>
      <c r="Y214" s="276" t="str">
        <f>IF(X214="","",IF(AND(X214="N/A - Culvert",C214&lt;&gt;"Culvert"),"Not possible ▲",IF(AND(C214="Culvert",X214&lt;&gt;"N/A - Culvert"),"Not possible ▲",IF(VLOOKUP(X214,'G-7 WaterC'' Data'!$AD$4:$AE$14,2,FALSE)=0,"Enrcoachment Data Missing ⚠",VLOOKUP(X214,'G-7 WaterC'' Data'!$AD$4:$AE$14,2,FALSE)))))</f>
        <v/>
      </c>
      <c r="Z214" s="102"/>
      <c r="AA214" s="276" t="str">
        <f>IF(Z214="","",IF(VLOOKUP(Z214,'G-7 WaterC'' Data'!$AO$4:$BO$7,2,FALSE)=0,"Spatial Data Missing ⚠",VLOOKUP(Z214,'G-7 WaterC'' Data'!$AO$4:$BO$7,2,FALSE)))</f>
        <v/>
      </c>
      <c r="AB214" s="317" t="str">
        <f t="shared" si="25"/>
        <v/>
      </c>
      <c r="AC214" s="317" t="str">
        <f t="shared" si="26"/>
        <v/>
      </c>
      <c r="AD214" s="101"/>
      <c r="AE214" s="938"/>
      <c r="AF214" s="138"/>
      <c r="AG214" s="138"/>
      <c r="AH214" s="934"/>
      <c r="AL214" s="30" t="str">
        <f>IFERROR(INDEX('G-7 WaterC'' Data'!$AZ$3:$AZ$7,MATCH(C214,'G-7 WaterC'' Data'!$AY$3:$AY$7,0)),"")</f>
        <v/>
      </c>
      <c r="AN214" s="30" t="str">
        <f t="shared" si="27"/>
        <v>No</v>
      </c>
    </row>
    <row r="215" spans="2:40" ht="14">
      <c r="B215" s="97">
        <v>204</v>
      </c>
      <c r="C215" s="923"/>
      <c r="D215" s="115"/>
      <c r="E215" s="275" t="str">
        <f>IF(C215="","",VLOOKUP(C215,'G-7 WaterC'' Data'!$B$2:$Z$9,2,FALSE))</f>
        <v/>
      </c>
      <c r="F215" s="276" t="str">
        <f>IFERROR(VLOOKUP(E215,'G-7 WaterC'' Data'!$C$4:$D$8,2,FALSE),"")</f>
        <v/>
      </c>
      <c r="G215" s="52"/>
      <c r="H215" s="276" t="str">
        <f>IFERROR(INDEX('G-7 WaterC'' Data'!$H$4:$L$8,MATCH(C215,'G-7 WaterC'' Data'!$B$4:$B$8,0),MATCH(G215,'G-7 WaterC'' Data'!$H$3:$L$3,0)),"")</f>
        <v/>
      </c>
      <c r="I215" s="52"/>
      <c r="J215" s="314" t="str">
        <f>IF(I215="","",IF(VLOOKUP(I215,'G-7 WaterC'' Data'!$AK$4:$AM$6,2,FALSE)=0,"Spatial Data Missing ⚠",VLOOKUP(I215,'G-7 WaterC'' Data'!$AK$4:$AM$6,2,FALSE)))</f>
        <v/>
      </c>
      <c r="K215" s="276" t="str">
        <f>IF(I215="","",IF(VLOOKUP(I215,'G-7 WaterC'' Data'!$AK$4:$AM$6,3,FALSE)=0,"Spatial Data Missing ⚠",VLOOKUP(I215,'G-7 WaterC'' Data'!$AK$4:$AM$6,3,FALSE)))</f>
        <v/>
      </c>
      <c r="L215" s="372" t="str">
        <f>IFERROR(INDEX('G-7 WaterC'' Data'!$O$3:$O$7,MATCH(G215,'G-7 WaterC'' Data'!$N$3:$N$7,0)),"")</f>
        <v/>
      </c>
      <c r="M215" s="53"/>
      <c r="N215" s="133"/>
      <c r="O215" s="283" t="str">
        <f t="shared" si="21"/>
        <v/>
      </c>
      <c r="P215" s="296" t="str">
        <f t="shared" si="22"/>
        <v/>
      </c>
      <c r="Q215" s="334" t="str">
        <f>IFERROR(IF(P215="Check Data ⚠","Check Data ⚠",VLOOKUP(P215,'G-4 Temporal multipliers'!$A$4:$C$37,3,FALSE)),"")</f>
        <v/>
      </c>
      <c r="R215" s="275" t="str">
        <f>IF(C215="","",VLOOKUP(C215,'G-7 WaterC'' Data'!$B$4:$G$8,4,FALSE))</f>
        <v/>
      </c>
      <c r="S215" s="283" t="str">
        <f t="shared" si="23"/>
        <v/>
      </c>
      <c r="T215" s="314" t="str">
        <f t="shared" si="24"/>
        <v/>
      </c>
      <c r="U215" s="276" t="str">
        <f>IF(C215="","",VLOOKUP(T215,'G-3 Multipliers'!$P$2:$Q$6,2,FALSE))</f>
        <v/>
      </c>
      <c r="V215" s="102"/>
      <c r="W215" s="276" t="str">
        <f>IF(V215="","",IF(AND(V215="N/A - Culvert",C215&lt;&gt;"Culvert"),"Not possible ▲",IF(AND(C215="Culvert",V215&lt;&gt;"N/A - Culvert"),"Not possible ▲",IF(VLOOKUP(V215,'G-7 WaterC'' Data'!$AA$4:$AB$7,2,FALSE)=0,"Spatial Data Missing ⚠",VLOOKUP(V215,'G-7 WaterC'' Data'!$AA$4:$AB$7,2,FALSE)))))</f>
        <v/>
      </c>
      <c r="X215" s="56"/>
      <c r="Y215" s="276" t="str">
        <f>IF(X215="","",IF(AND(X215="N/A - Culvert",C215&lt;&gt;"Culvert"),"Not possible ▲",IF(AND(C215="Culvert",X215&lt;&gt;"N/A - Culvert"),"Not possible ▲",IF(VLOOKUP(X215,'G-7 WaterC'' Data'!$AD$4:$AE$14,2,FALSE)=0,"Enrcoachment Data Missing ⚠",VLOOKUP(X215,'G-7 WaterC'' Data'!$AD$4:$AE$14,2,FALSE)))))</f>
        <v/>
      </c>
      <c r="Z215" s="102"/>
      <c r="AA215" s="276" t="str">
        <f>IF(Z215="","",IF(VLOOKUP(Z215,'G-7 WaterC'' Data'!$AO$4:$BO$7,2,FALSE)=0,"Spatial Data Missing ⚠",VLOOKUP(Z215,'G-7 WaterC'' Data'!$AO$4:$BO$7,2,FALSE)))</f>
        <v/>
      </c>
      <c r="AB215" s="317" t="str">
        <f t="shared" si="25"/>
        <v/>
      </c>
      <c r="AC215" s="317" t="str">
        <f t="shared" si="26"/>
        <v/>
      </c>
      <c r="AD215" s="101"/>
      <c r="AE215" s="938"/>
      <c r="AF215" s="138"/>
      <c r="AG215" s="138"/>
      <c r="AH215" s="934"/>
      <c r="AL215" s="30" t="str">
        <f>IFERROR(INDEX('G-7 WaterC'' Data'!$AZ$3:$AZ$7,MATCH(C215,'G-7 WaterC'' Data'!$AY$3:$AY$7,0)),"")</f>
        <v/>
      </c>
      <c r="AN215" s="30" t="str">
        <f t="shared" si="27"/>
        <v>No</v>
      </c>
    </row>
    <row r="216" spans="2:40" ht="14">
      <c r="B216" s="97">
        <v>205</v>
      </c>
      <c r="C216" s="923"/>
      <c r="D216" s="115"/>
      <c r="E216" s="275" t="str">
        <f>IF(C216="","",VLOOKUP(C216,'G-7 WaterC'' Data'!$B$2:$Z$9,2,FALSE))</f>
        <v/>
      </c>
      <c r="F216" s="276" t="str">
        <f>IFERROR(VLOOKUP(E216,'G-7 WaterC'' Data'!$C$4:$D$8,2,FALSE),"")</f>
        <v/>
      </c>
      <c r="G216" s="52"/>
      <c r="H216" s="276" t="str">
        <f>IFERROR(INDEX('G-7 WaterC'' Data'!$H$4:$L$8,MATCH(C216,'G-7 WaterC'' Data'!$B$4:$B$8,0),MATCH(G216,'G-7 WaterC'' Data'!$H$3:$L$3,0)),"")</f>
        <v/>
      </c>
      <c r="I216" s="52"/>
      <c r="J216" s="314" t="str">
        <f>IF(I216="","",IF(VLOOKUP(I216,'G-7 WaterC'' Data'!$AK$4:$AM$6,2,FALSE)=0,"Spatial Data Missing ⚠",VLOOKUP(I216,'G-7 WaterC'' Data'!$AK$4:$AM$6,2,FALSE)))</f>
        <v/>
      </c>
      <c r="K216" s="276" t="str">
        <f>IF(I216="","",IF(VLOOKUP(I216,'G-7 WaterC'' Data'!$AK$4:$AM$6,3,FALSE)=0,"Spatial Data Missing ⚠",VLOOKUP(I216,'G-7 WaterC'' Data'!$AK$4:$AM$6,3,FALSE)))</f>
        <v/>
      </c>
      <c r="L216" s="372" t="str">
        <f>IFERROR(INDEX('G-7 WaterC'' Data'!$O$3:$O$7,MATCH(G216,'G-7 WaterC'' Data'!$N$3:$N$7,0)),"")</f>
        <v/>
      </c>
      <c r="M216" s="53"/>
      <c r="N216" s="133"/>
      <c r="O216" s="283" t="str">
        <f t="shared" si="21"/>
        <v/>
      </c>
      <c r="P216" s="296" t="str">
        <f t="shared" si="22"/>
        <v/>
      </c>
      <c r="Q216" s="334" t="str">
        <f>IFERROR(IF(P216="Check Data ⚠","Check Data ⚠",VLOOKUP(P216,'G-4 Temporal multipliers'!$A$4:$C$37,3,FALSE)),"")</f>
        <v/>
      </c>
      <c r="R216" s="275" t="str">
        <f>IF(C216="","",VLOOKUP(C216,'G-7 WaterC'' Data'!$B$4:$G$8,4,FALSE))</f>
        <v/>
      </c>
      <c r="S216" s="283" t="str">
        <f t="shared" si="23"/>
        <v/>
      </c>
      <c r="T216" s="314" t="str">
        <f t="shared" si="24"/>
        <v/>
      </c>
      <c r="U216" s="276" t="str">
        <f>IF(C216="","",VLOOKUP(T216,'G-3 Multipliers'!$P$2:$Q$6,2,FALSE))</f>
        <v/>
      </c>
      <c r="V216" s="102"/>
      <c r="W216" s="276" t="str">
        <f>IF(V216="","",IF(AND(V216="N/A - Culvert",C216&lt;&gt;"Culvert"),"Not possible ▲",IF(AND(C216="Culvert",V216&lt;&gt;"N/A - Culvert"),"Not possible ▲",IF(VLOOKUP(V216,'G-7 WaterC'' Data'!$AA$4:$AB$7,2,FALSE)=0,"Spatial Data Missing ⚠",VLOOKUP(V216,'G-7 WaterC'' Data'!$AA$4:$AB$7,2,FALSE)))))</f>
        <v/>
      </c>
      <c r="X216" s="56"/>
      <c r="Y216" s="276" t="str">
        <f>IF(X216="","",IF(AND(X216="N/A - Culvert",C216&lt;&gt;"Culvert"),"Not possible ▲",IF(AND(C216="Culvert",X216&lt;&gt;"N/A - Culvert"),"Not possible ▲",IF(VLOOKUP(X216,'G-7 WaterC'' Data'!$AD$4:$AE$14,2,FALSE)=0,"Enrcoachment Data Missing ⚠",VLOOKUP(X216,'G-7 WaterC'' Data'!$AD$4:$AE$14,2,FALSE)))))</f>
        <v/>
      </c>
      <c r="Z216" s="102"/>
      <c r="AA216" s="276" t="str">
        <f>IF(Z216="","",IF(VLOOKUP(Z216,'G-7 WaterC'' Data'!$AO$4:$BO$7,2,FALSE)=0,"Spatial Data Missing ⚠",VLOOKUP(Z216,'G-7 WaterC'' Data'!$AO$4:$BO$7,2,FALSE)))</f>
        <v/>
      </c>
      <c r="AB216" s="317" t="str">
        <f t="shared" si="25"/>
        <v/>
      </c>
      <c r="AC216" s="317" t="str">
        <f t="shared" si="26"/>
        <v/>
      </c>
      <c r="AD216" s="101"/>
      <c r="AE216" s="938"/>
      <c r="AF216" s="138"/>
      <c r="AG216" s="138"/>
      <c r="AH216" s="934"/>
      <c r="AL216" s="30" t="str">
        <f>IFERROR(INDEX('G-7 WaterC'' Data'!$AZ$3:$AZ$7,MATCH(C216,'G-7 WaterC'' Data'!$AY$3:$AY$7,0)),"")</f>
        <v/>
      </c>
      <c r="AN216" s="30" t="str">
        <f t="shared" si="27"/>
        <v>No</v>
      </c>
    </row>
    <row r="217" spans="2:40" ht="14">
      <c r="B217" s="97">
        <v>206</v>
      </c>
      <c r="C217" s="923"/>
      <c r="D217" s="115"/>
      <c r="E217" s="275" t="str">
        <f>IF(C217="","",VLOOKUP(C217,'G-7 WaterC'' Data'!$B$2:$Z$9,2,FALSE))</f>
        <v/>
      </c>
      <c r="F217" s="276" t="str">
        <f>IFERROR(VLOOKUP(E217,'G-7 WaterC'' Data'!$C$4:$D$8,2,FALSE),"")</f>
        <v/>
      </c>
      <c r="G217" s="52"/>
      <c r="H217" s="276" t="str">
        <f>IFERROR(INDEX('G-7 WaterC'' Data'!$H$4:$L$8,MATCH(C217,'G-7 WaterC'' Data'!$B$4:$B$8,0),MATCH(G217,'G-7 WaterC'' Data'!$H$3:$L$3,0)),"")</f>
        <v/>
      </c>
      <c r="I217" s="52"/>
      <c r="J217" s="314" t="str">
        <f>IF(I217="","",IF(VLOOKUP(I217,'G-7 WaterC'' Data'!$AK$4:$AM$6,2,FALSE)=0,"Spatial Data Missing ⚠",VLOOKUP(I217,'G-7 WaterC'' Data'!$AK$4:$AM$6,2,FALSE)))</f>
        <v/>
      </c>
      <c r="K217" s="276" t="str">
        <f>IF(I217="","",IF(VLOOKUP(I217,'G-7 WaterC'' Data'!$AK$4:$AM$6,3,FALSE)=0,"Spatial Data Missing ⚠",VLOOKUP(I217,'G-7 WaterC'' Data'!$AK$4:$AM$6,3,FALSE)))</f>
        <v/>
      </c>
      <c r="L217" s="372" t="str">
        <f>IFERROR(INDEX('G-7 WaterC'' Data'!$O$3:$O$7,MATCH(G217,'G-7 WaterC'' Data'!$N$3:$N$7,0)),"")</f>
        <v/>
      </c>
      <c r="M217" s="53"/>
      <c r="N217" s="133"/>
      <c r="O217" s="283" t="str">
        <f t="shared" si="21"/>
        <v/>
      </c>
      <c r="P217" s="296" t="str">
        <f t="shared" si="22"/>
        <v/>
      </c>
      <c r="Q217" s="334" t="str">
        <f>IFERROR(IF(P217="Check Data ⚠","Check Data ⚠",VLOOKUP(P217,'G-4 Temporal multipliers'!$A$4:$C$37,3,FALSE)),"")</f>
        <v/>
      </c>
      <c r="R217" s="275" t="str">
        <f>IF(C217="","",VLOOKUP(C217,'G-7 WaterC'' Data'!$B$4:$G$8,4,FALSE))</f>
        <v/>
      </c>
      <c r="S217" s="283" t="str">
        <f t="shared" si="23"/>
        <v/>
      </c>
      <c r="T217" s="314" t="str">
        <f t="shared" si="24"/>
        <v/>
      </c>
      <c r="U217" s="276" t="str">
        <f>IF(C217="","",VLOOKUP(T217,'G-3 Multipliers'!$P$2:$Q$6,2,FALSE))</f>
        <v/>
      </c>
      <c r="V217" s="102"/>
      <c r="W217" s="276" t="str">
        <f>IF(V217="","",IF(AND(V217="N/A - Culvert",C217&lt;&gt;"Culvert"),"Not possible ▲",IF(AND(C217="Culvert",V217&lt;&gt;"N/A - Culvert"),"Not possible ▲",IF(VLOOKUP(V217,'G-7 WaterC'' Data'!$AA$4:$AB$7,2,FALSE)=0,"Spatial Data Missing ⚠",VLOOKUP(V217,'G-7 WaterC'' Data'!$AA$4:$AB$7,2,FALSE)))))</f>
        <v/>
      </c>
      <c r="X217" s="56"/>
      <c r="Y217" s="276" t="str">
        <f>IF(X217="","",IF(AND(X217="N/A - Culvert",C217&lt;&gt;"Culvert"),"Not possible ▲",IF(AND(C217="Culvert",X217&lt;&gt;"N/A - Culvert"),"Not possible ▲",IF(VLOOKUP(X217,'G-7 WaterC'' Data'!$AD$4:$AE$14,2,FALSE)=0,"Enrcoachment Data Missing ⚠",VLOOKUP(X217,'G-7 WaterC'' Data'!$AD$4:$AE$14,2,FALSE)))))</f>
        <v/>
      </c>
      <c r="Z217" s="102"/>
      <c r="AA217" s="276" t="str">
        <f>IF(Z217="","",IF(VLOOKUP(Z217,'G-7 WaterC'' Data'!$AO$4:$BO$7,2,FALSE)=0,"Spatial Data Missing ⚠",VLOOKUP(Z217,'G-7 WaterC'' Data'!$AO$4:$BO$7,2,FALSE)))</f>
        <v/>
      </c>
      <c r="AB217" s="317" t="str">
        <f t="shared" si="25"/>
        <v/>
      </c>
      <c r="AC217" s="317" t="str">
        <f t="shared" si="26"/>
        <v/>
      </c>
      <c r="AD217" s="101"/>
      <c r="AE217" s="938"/>
      <c r="AF217" s="138"/>
      <c r="AG217" s="138"/>
      <c r="AH217" s="934"/>
      <c r="AL217" s="30" t="str">
        <f>IFERROR(INDEX('G-7 WaterC'' Data'!$AZ$3:$AZ$7,MATCH(C217,'G-7 WaterC'' Data'!$AY$3:$AY$7,0)),"")</f>
        <v/>
      </c>
      <c r="AN217" s="30" t="str">
        <f t="shared" si="27"/>
        <v>No</v>
      </c>
    </row>
    <row r="218" spans="2:40" ht="14">
      <c r="B218" s="97">
        <v>207</v>
      </c>
      <c r="C218" s="923"/>
      <c r="D218" s="115"/>
      <c r="E218" s="275" t="str">
        <f>IF(C218="","",VLOOKUP(C218,'G-7 WaterC'' Data'!$B$2:$Z$9,2,FALSE))</f>
        <v/>
      </c>
      <c r="F218" s="276" t="str">
        <f>IFERROR(VLOOKUP(E218,'G-7 WaterC'' Data'!$C$4:$D$8,2,FALSE),"")</f>
        <v/>
      </c>
      <c r="G218" s="52"/>
      <c r="H218" s="276" t="str">
        <f>IFERROR(INDEX('G-7 WaterC'' Data'!$H$4:$L$8,MATCH(C218,'G-7 WaterC'' Data'!$B$4:$B$8,0),MATCH(G218,'G-7 WaterC'' Data'!$H$3:$L$3,0)),"")</f>
        <v/>
      </c>
      <c r="I218" s="52"/>
      <c r="J218" s="314" t="str">
        <f>IF(I218="","",IF(VLOOKUP(I218,'G-7 WaterC'' Data'!$AK$4:$AM$6,2,FALSE)=0,"Spatial Data Missing ⚠",VLOOKUP(I218,'G-7 WaterC'' Data'!$AK$4:$AM$6,2,FALSE)))</f>
        <v/>
      </c>
      <c r="K218" s="276" t="str">
        <f>IF(I218="","",IF(VLOOKUP(I218,'G-7 WaterC'' Data'!$AK$4:$AM$6,3,FALSE)=0,"Spatial Data Missing ⚠",VLOOKUP(I218,'G-7 WaterC'' Data'!$AK$4:$AM$6,3,FALSE)))</f>
        <v/>
      </c>
      <c r="L218" s="372" t="str">
        <f>IFERROR(INDEX('G-7 WaterC'' Data'!$O$3:$O$7,MATCH(G218,'G-7 WaterC'' Data'!$N$3:$N$7,0)),"")</f>
        <v/>
      </c>
      <c r="M218" s="53"/>
      <c r="N218" s="133"/>
      <c r="O218" s="283" t="str">
        <f t="shared" si="21"/>
        <v/>
      </c>
      <c r="P218" s="296" t="str">
        <f t="shared" si="22"/>
        <v/>
      </c>
      <c r="Q218" s="334" t="str">
        <f>IFERROR(IF(P218="Check Data ⚠","Check Data ⚠",VLOOKUP(P218,'G-4 Temporal multipliers'!$A$4:$C$37,3,FALSE)),"")</f>
        <v/>
      </c>
      <c r="R218" s="275" t="str">
        <f>IF(C218="","",VLOOKUP(C218,'G-7 WaterC'' Data'!$B$4:$G$8,4,FALSE))</f>
        <v/>
      </c>
      <c r="S218" s="283" t="str">
        <f t="shared" si="23"/>
        <v/>
      </c>
      <c r="T218" s="314" t="str">
        <f t="shared" si="24"/>
        <v/>
      </c>
      <c r="U218" s="276" t="str">
        <f>IF(C218="","",VLOOKUP(T218,'G-3 Multipliers'!$P$2:$Q$6,2,FALSE))</f>
        <v/>
      </c>
      <c r="V218" s="102"/>
      <c r="W218" s="276" t="str">
        <f>IF(V218="","",IF(AND(V218="N/A - Culvert",C218&lt;&gt;"Culvert"),"Not possible ▲",IF(AND(C218="Culvert",V218&lt;&gt;"N/A - Culvert"),"Not possible ▲",IF(VLOOKUP(V218,'G-7 WaterC'' Data'!$AA$4:$AB$7,2,FALSE)=0,"Spatial Data Missing ⚠",VLOOKUP(V218,'G-7 WaterC'' Data'!$AA$4:$AB$7,2,FALSE)))))</f>
        <v/>
      </c>
      <c r="X218" s="56"/>
      <c r="Y218" s="276" t="str">
        <f>IF(X218="","",IF(AND(X218="N/A - Culvert",C218&lt;&gt;"Culvert"),"Not possible ▲",IF(AND(C218="Culvert",X218&lt;&gt;"N/A - Culvert"),"Not possible ▲",IF(VLOOKUP(X218,'G-7 WaterC'' Data'!$AD$4:$AE$14,2,FALSE)=0,"Enrcoachment Data Missing ⚠",VLOOKUP(X218,'G-7 WaterC'' Data'!$AD$4:$AE$14,2,FALSE)))))</f>
        <v/>
      </c>
      <c r="Z218" s="102"/>
      <c r="AA218" s="276" t="str">
        <f>IF(Z218="","",IF(VLOOKUP(Z218,'G-7 WaterC'' Data'!$AO$4:$BO$7,2,FALSE)=0,"Spatial Data Missing ⚠",VLOOKUP(Z218,'G-7 WaterC'' Data'!$AO$4:$BO$7,2,FALSE)))</f>
        <v/>
      </c>
      <c r="AB218" s="317" t="str">
        <f t="shared" si="25"/>
        <v/>
      </c>
      <c r="AC218" s="317" t="str">
        <f t="shared" si="26"/>
        <v/>
      </c>
      <c r="AD218" s="101"/>
      <c r="AE218" s="938"/>
      <c r="AF218" s="138"/>
      <c r="AG218" s="138"/>
      <c r="AH218" s="934"/>
      <c r="AL218" s="30" t="str">
        <f>IFERROR(INDEX('G-7 WaterC'' Data'!$AZ$3:$AZ$7,MATCH(C218,'G-7 WaterC'' Data'!$AY$3:$AY$7,0)),"")</f>
        <v/>
      </c>
      <c r="AN218" s="30" t="str">
        <f t="shared" si="27"/>
        <v>No</v>
      </c>
    </row>
    <row r="219" spans="2:40" ht="14">
      <c r="B219" s="97">
        <v>208</v>
      </c>
      <c r="C219" s="923"/>
      <c r="D219" s="115"/>
      <c r="E219" s="275" t="str">
        <f>IF(C219="","",VLOOKUP(C219,'G-7 WaterC'' Data'!$B$2:$Z$9,2,FALSE))</f>
        <v/>
      </c>
      <c r="F219" s="276" t="str">
        <f>IFERROR(VLOOKUP(E219,'G-7 WaterC'' Data'!$C$4:$D$8,2,FALSE),"")</f>
        <v/>
      </c>
      <c r="G219" s="52"/>
      <c r="H219" s="276" t="str">
        <f>IFERROR(INDEX('G-7 WaterC'' Data'!$H$4:$L$8,MATCH(C219,'G-7 WaterC'' Data'!$B$4:$B$8,0),MATCH(G219,'G-7 WaterC'' Data'!$H$3:$L$3,0)),"")</f>
        <v/>
      </c>
      <c r="I219" s="52"/>
      <c r="J219" s="314" t="str">
        <f>IF(I219="","",IF(VLOOKUP(I219,'G-7 WaterC'' Data'!$AK$4:$AM$6,2,FALSE)=0,"Spatial Data Missing ⚠",VLOOKUP(I219,'G-7 WaterC'' Data'!$AK$4:$AM$6,2,FALSE)))</f>
        <v/>
      </c>
      <c r="K219" s="276" t="str">
        <f>IF(I219="","",IF(VLOOKUP(I219,'G-7 WaterC'' Data'!$AK$4:$AM$6,3,FALSE)=0,"Spatial Data Missing ⚠",VLOOKUP(I219,'G-7 WaterC'' Data'!$AK$4:$AM$6,3,FALSE)))</f>
        <v/>
      </c>
      <c r="L219" s="372" t="str">
        <f>IFERROR(INDEX('G-7 WaterC'' Data'!$O$3:$O$7,MATCH(G219,'G-7 WaterC'' Data'!$N$3:$N$7,0)),"")</f>
        <v/>
      </c>
      <c r="M219" s="53"/>
      <c r="N219" s="133"/>
      <c r="O219" s="283" t="str">
        <f t="shared" si="21"/>
        <v/>
      </c>
      <c r="P219" s="296" t="str">
        <f t="shared" si="22"/>
        <v/>
      </c>
      <c r="Q219" s="334" t="str">
        <f>IFERROR(IF(P219="Check Data ⚠","Check Data ⚠",VLOOKUP(P219,'G-4 Temporal multipliers'!$A$4:$C$37,3,FALSE)),"")</f>
        <v/>
      </c>
      <c r="R219" s="275" t="str">
        <f>IF(C219="","",VLOOKUP(C219,'G-7 WaterC'' Data'!$B$4:$G$8,4,FALSE))</f>
        <v/>
      </c>
      <c r="S219" s="283" t="str">
        <f t="shared" si="23"/>
        <v/>
      </c>
      <c r="T219" s="314" t="str">
        <f t="shared" si="24"/>
        <v/>
      </c>
      <c r="U219" s="276" t="str">
        <f>IF(C219="","",VLOOKUP(T219,'G-3 Multipliers'!$P$2:$Q$6,2,FALSE))</f>
        <v/>
      </c>
      <c r="V219" s="102"/>
      <c r="W219" s="276" t="str">
        <f>IF(V219="","",IF(AND(V219="N/A - Culvert",C219&lt;&gt;"Culvert"),"Not possible ▲",IF(AND(C219="Culvert",V219&lt;&gt;"N/A - Culvert"),"Not possible ▲",IF(VLOOKUP(V219,'G-7 WaterC'' Data'!$AA$4:$AB$7,2,FALSE)=0,"Spatial Data Missing ⚠",VLOOKUP(V219,'G-7 WaterC'' Data'!$AA$4:$AB$7,2,FALSE)))))</f>
        <v/>
      </c>
      <c r="X219" s="56"/>
      <c r="Y219" s="276" t="str">
        <f>IF(X219="","",IF(AND(X219="N/A - Culvert",C219&lt;&gt;"Culvert"),"Not possible ▲",IF(AND(C219="Culvert",X219&lt;&gt;"N/A - Culvert"),"Not possible ▲",IF(VLOOKUP(X219,'G-7 WaterC'' Data'!$AD$4:$AE$14,2,FALSE)=0,"Enrcoachment Data Missing ⚠",VLOOKUP(X219,'G-7 WaterC'' Data'!$AD$4:$AE$14,2,FALSE)))))</f>
        <v/>
      </c>
      <c r="Z219" s="102"/>
      <c r="AA219" s="276" t="str">
        <f>IF(Z219="","",IF(VLOOKUP(Z219,'G-7 WaterC'' Data'!$AO$4:$BO$7,2,FALSE)=0,"Spatial Data Missing ⚠",VLOOKUP(Z219,'G-7 WaterC'' Data'!$AO$4:$BO$7,2,FALSE)))</f>
        <v/>
      </c>
      <c r="AB219" s="317" t="str">
        <f t="shared" si="25"/>
        <v/>
      </c>
      <c r="AC219" s="317" t="str">
        <f t="shared" si="26"/>
        <v/>
      </c>
      <c r="AD219" s="101"/>
      <c r="AE219" s="938"/>
      <c r="AF219" s="138"/>
      <c r="AG219" s="138"/>
      <c r="AH219" s="934"/>
      <c r="AL219" s="30" t="str">
        <f>IFERROR(INDEX('G-7 WaterC'' Data'!$AZ$3:$AZ$7,MATCH(C219,'G-7 WaterC'' Data'!$AY$3:$AY$7,0)),"")</f>
        <v/>
      </c>
      <c r="AN219" s="30" t="str">
        <f t="shared" si="27"/>
        <v>No</v>
      </c>
    </row>
    <row r="220" spans="2:40" ht="14">
      <c r="B220" s="97">
        <v>209</v>
      </c>
      <c r="C220" s="923"/>
      <c r="D220" s="115"/>
      <c r="E220" s="275" t="str">
        <f>IF(C220="","",VLOOKUP(C220,'G-7 WaterC'' Data'!$B$2:$Z$9,2,FALSE))</f>
        <v/>
      </c>
      <c r="F220" s="276" t="str">
        <f>IFERROR(VLOOKUP(E220,'G-7 WaterC'' Data'!$C$4:$D$8,2,FALSE),"")</f>
        <v/>
      </c>
      <c r="G220" s="52"/>
      <c r="H220" s="276" t="str">
        <f>IFERROR(INDEX('G-7 WaterC'' Data'!$H$4:$L$8,MATCH(C220,'G-7 WaterC'' Data'!$B$4:$B$8,0),MATCH(G220,'G-7 WaterC'' Data'!$H$3:$L$3,0)),"")</f>
        <v/>
      </c>
      <c r="I220" s="52"/>
      <c r="J220" s="314" t="str">
        <f>IF(I220="","",IF(VLOOKUP(I220,'G-7 WaterC'' Data'!$AK$4:$AM$6,2,FALSE)=0,"Spatial Data Missing ⚠",VLOOKUP(I220,'G-7 WaterC'' Data'!$AK$4:$AM$6,2,FALSE)))</f>
        <v/>
      </c>
      <c r="K220" s="276" t="str">
        <f>IF(I220="","",IF(VLOOKUP(I220,'G-7 WaterC'' Data'!$AK$4:$AM$6,3,FALSE)=0,"Spatial Data Missing ⚠",VLOOKUP(I220,'G-7 WaterC'' Data'!$AK$4:$AM$6,3,FALSE)))</f>
        <v/>
      </c>
      <c r="L220" s="372" t="str">
        <f>IFERROR(INDEX('G-7 WaterC'' Data'!$O$3:$O$7,MATCH(G220,'G-7 WaterC'' Data'!$N$3:$N$7,0)),"")</f>
        <v/>
      </c>
      <c r="M220" s="53"/>
      <c r="N220" s="133"/>
      <c r="O220" s="283" t="str">
        <f t="shared" si="21"/>
        <v/>
      </c>
      <c r="P220" s="296" t="str">
        <f t="shared" si="22"/>
        <v/>
      </c>
      <c r="Q220" s="334" t="str">
        <f>IFERROR(IF(P220="Check Data ⚠","Check Data ⚠",VLOOKUP(P220,'G-4 Temporal multipliers'!$A$4:$C$37,3,FALSE)),"")</f>
        <v/>
      </c>
      <c r="R220" s="275" t="str">
        <f>IF(C220="","",VLOOKUP(C220,'G-7 WaterC'' Data'!$B$4:$G$8,4,FALSE))</f>
        <v/>
      </c>
      <c r="S220" s="283" t="str">
        <f t="shared" si="23"/>
        <v/>
      </c>
      <c r="T220" s="314" t="str">
        <f t="shared" si="24"/>
        <v/>
      </c>
      <c r="U220" s="276" t="str">
        <f>IF(C220="","",VLOOKUP(T220,'G-3 Multipliers'!$P$2:$Q$6,2,FALSE))</f>
        <v/>
      </c>
      <c r="V220" s="102"/>
      <c r="W220" s="276" t="str">
        <f>IF(V220="","",IF(AND(V220="N/A - Culvert",C220&lt;&gt;"Culvert"),"Not possible ▲",IF(AND(C220="Culvert",V220&lt;&gt;"N/A - Culvert"),"Not possible ▲",IF(VLOOKUP(V220,'G-7 WaterC'' Data'!$AA$4:$AB$7,2,FALSE)=0,"Spatial Data Missing ⚠",VLOOKUP(V220,'G-7 WaterC'' Data'!$AA$4:$AB$7,2,FALSE)))))</f>
        <v/>
      </c>
      <c r="X220" s="56"/>
      <c r="Y220" s="276" t="str">
        <f>IF(X220="","",IF(AND(X220="N/A - Culvert",C220&lt;&gt;"Culvert"),"Not possible ▲",IF(AND(C220="Culvert",X220&lt;&gt;"N/A - Culvert"),"Not possible ▲",IF(VLOOKUP(X220,'G-7 WaterC'' Data'!$AD$4:$AE$14,2,FALSE)=0,"Enrcoachment Data Missing ⚠",VLOOKUP(X220,'G-7 WaterC'' Data'!$AD$4:$AE$14,2,FALSE)))))</f>
        <v/>
      </c>
      <c r="Z220" s="102"/>
      <c r="AA220" s="276" t="str">
        <f>IF(Z220="","",IF(VLOOKUP(Z220,'G-7 WaterC'' Data'!$AO$4:$BO$7,2,FALSE)=0,"Spatial Data Missing ⚠",VLOOKUP(Z220,'G-7 WaterC'' Data'!$AO$4:$BO$7,2,FALSE)))</f>
        <v/>
      </c>
      <c r="AB220" s="317" t="str">
        <f t="shared" si="25"/>
        <v/>
      </c>
      <c r="AC220" s="317" t="str">
        <f t="shared" si="26"/>
        <v/>
      </c>
      <c r="AD220" s="101"/>
      <c r="AE220" s="938"/>
      <c r="AF220" s="138"/>
      <c r="AG220" s="138"/>
      <c r="AH220" s="934"/>
      <c r="AL220" s="30" t="str">
        <f>IFERROR(INDEX('G-7 WaterC'' Data'!$AZ$3:$AZ$7,MATCH(C220,'G-7 WaterC'' Data'!$AY$3:$AY$7,0)),"")</f>
        <v/>
      </c>
      <c r="AN220" s="30" t="str">
        <f t="shared" si="27"/>
        <v>No</v>
      </c>
    </row>
    <row r="221" spans="2:40" ht="14">
      <c r="B221" s="97">
        <v>210</v>
      </c>
      <c r="C221" s="923"/>
      <c r="D221" s="115"/>
      <c r="E221" s="275" t="str">
        <f>IF(C221="","",VLOOKUP(C221,'G-7 WaterC'' Data'!$B$2:$Z$9,2,FALSE))</f>
        <v/>
      </c>
      <c r="F221" s="276" t="str">
        <f>IFERROR(VLOOKUP(E221,'G-7 WaterC'' Data'!$C$4:$D$8,2,FALSE),"")</f>
        <v/>
      </c>
      <c r="G221" s="52"/>
      <c r="H221" s="276" t="str">
        <f>IFERROR(INDEX('G-7 WaterC'' Data'!$H$4:$L$8,MATCH(C221,'G-7 WaterC'' Data'!$B$4:$B$8,0),MATCH(G221,'G-7 WaterC'' Data'!$H$3:$L$3,0)),"")</f>
        <v/>
      </c>
      <c r="I221" s="52"/>
      <c r="J221" s="314" t="str">
        <f>IF(I221="","",IF(VLOOKUP(I221,'G-7 WaterC'' Data'!$AK$4:$AM$6,2,FALSE)=0,"Spatial Data Missing ⚠",VLOOKUP(I221,'G-7 WaterC'' Data'!$AK$4:$AM$6,2,FALSE)))</f>
        <v/>
      </c>
      <c r="K221" s="276" t="str">
        <f>IF(I221="","",IF(VLOOKUP(I221,'G-7 WaterC'' Data'!$AK$4:$AM$6,3,FALSE)=0,"Spatial Data Missing ⚠",VLOOKUP(I221,'G-7 WaterC'' Data'!$AK$4:$AM$6,3,FALSE)))</f>
        <v/>
      </c>
      <c r="L221" s="372" t="str">
        <f>IFERROR(INDEX('G-7 WaterC'' Data'!$O$3:$O$7,MATCH(G221,'G-7 WaterC'' Data'!$N$3:$N$7,0)),"")</f>
        <v/>
      </c>
      <c r="M221" s="53"/>
      <c r="N221" s="133"/>
      <c r="O221" s="283" t="str">
        <f t="shared" si="21"/>
        <v/>
      </c>
      <c r="P221" s="296" t="str">
        <f t="shared" si="22"/>
        <v/>
      </c>
      <c r="Q221" s="334" t="str">
        <f>IFERROR(IF(P221="Check Data ⚠","Check Data ⚠",VLOOKUP(P221,'G-4 Temporal multipliers'!$A$4:$C$37,3,FALSE)),"")</f>
        <v/>
      </c>
      <c r="R221" s="275" t="str">
        <f>IF(C221="","",VLOOKUP(C221,'G-7 WaterC'' Data'!$B$4:$G$8,4,FALSE))</f>
        <v/>
      </c>
      <c r="S221" s="283" t="str">
        <f t="shared" si="23"/>
        <v/>
      </c>
      <c r="T221" s="314" t="str">
        <f t="shared" si="24"/>
        <v/>
      </c>
      <c r="U221" s="276" t="str">
        <f>IF(C221="","",VLOOKUP(T221,'G-3 Multipliers'!$P$2:$Q$6,2,FALSE))</f>
        <v/>
      </c>
      <c r="V221" s="102"/>
      <c r="W221" s="276" t="str">
        <f>IF(V221="","",IF(AND(V221="N/A - Culvert",C221&lt;&gt;"Culvert"),"Not possible ▲",IF(AND(C221="Culvert",V221&lt;&gt;"N/A - Culvert"),"Not possible ▲",IF(VLOOKUP(V221,'G-7 WaterC'' Data'!$AA$4:$AB$7,2,FALSE)=0,"Spatial Data Missing ⚠",VLOOKUP(V221,'G-7 WaterC'' Data'!$AA$4:$AB$7,2,FALSE)))))</f>
        <v/>
      </c>
      <c r="X221" s="56"/>
      <c r="Y221" s="276" t="str">
        <f>IF(X221="","",IF(AND(X221="N/A - Culvert",C221&lt;&gt;"Culvert"),"Not possible ▲",IF(AND(C221="Culvert",X221&lt;&gt;"N/A - Culvert"),"Not possible ▲",IF(VLOOKUP(X221,'G-7 WaterC'' Data'!$AD$4:$AE$14,2,FALSE)=0,"Enrcoachment Data Missing ⚠",VLOOKUP(X221,'G-7 WaterC'' Data'!$AD$4:$AE$14,2,FALSE)))))</f>
        <v/>
      </c>
      <c r="Z221" s="102"/>
      <c r="AA221" s="276" t="str">
        <f>IF(Z221="","",IF(VLOOKUP(Z221,'G-7 WaterC'' Data'!$AO$4:$BO$7,2,FALSE)=0,"Spatial Data Missing ⚠",VLOOKUP(Z221,'G-7 WaterC'' Data'!$AO$4:$BO$7,2,FALSE)))</f>
        <v/>
      </c>
      <c r="AB221" s="317" t="str">
        <f t="shared" si="25"/>
        <v/>
      </c>
      <c r="AC221" s="317" t="str">
        <f t="shared" si="26"/>
        <v/>
      </c>
      <c r="AD221" s="101"/>
      <c r="AE221" s="938"/>
      <c r="AF221" s="138"/>
      <c r="AG221" s="138"/>
      <c r="AH221" s="934"/>
      <c r="AL221" s="30" t="str">
        <f>IFERROR(INDEX('G-7 WaterC'' Data'!$AZ$3:$AZ$7,MATCH(C221,'G-7 WaterC'' Data'!$AY$3:$AY$7,0)),"")</f>
        <v/>
      </c>
      <c r="AN221" s="30" t="str">
        <f t="shared" si="27"/>
        <v>No</v>
      </c>
    </row>
    <row r="222" spans="2:40" ht="14">
      <c r="B222" s="97">
        <v>211</v>
      </c>
      <c r="C222" s="923"/>
      <c r="D222" s="115"/>
      <c r="E222" s="275" t="str">
        <f>IF(C222="","",VLOOKUP(C222,'G-7 WaterC'' Data'!$B$2:$Z$9,2,FALSE))</f>
        <v/>
      </c>
      <c r="F222" s="276" t="str">
        <f>IFERROR(VLOOKUP(E222,'G-7 WaterC'' Data'!$C$4:$D$8,2,FALSE),"")</f>
        <v/>
      </c>
      <c r="G222" s="52"/>
      <c r="H222" s="276" t="str">
        <f>IFERROR(INDEX('G-7 WaterC'' Data'!$H$4:$L$8,MATCH(C222,'G-7 WaterC'' Data'!$B$4:$B$8,0),MATCH(G222,'G-7 WaterC'' Data'!$H$3:$L$3,0)),"")</f>
        <v/>
      </c>
      <c r="I222" s="52"/>
      <c r="J222" s="314" t="str">
        <f>IF(I222="","",IF(VLOOKUP(I222,'G-7 WaterC'' Data'!$AK$4:$AM$6,2,FALSE)=0,"Spatial Data Missing ⚠",VLOOKUP(I222,'G-7 WaterC'' Data'!$AK$4:$AM$6,2,FALSE)))</f>
        <v/>
      </c>
      <c r="K222" s="276" t="str">
        <f>IF(I222="","",IF(VLOOKUP(I222,'G-7 WaterC'' Data'!$AK$4:$AM$6,3,FALSE)=0,"Spatial Data Missing ⚠",VLOOKUP(I222,'G-7 WaterC'' Data'!$AK$4:$AM$6,3,FALSE)))</f>
        <v/>
      </c>
      <c r="L222" s="372" t="str">
        <f>IFERROR(INDEX('G-7 WaterC'' Data'!$O$3:$O$7,MATCH(G222,'G-7 WaterC'' Data'!$N$3:$N$7,0)),"")</f>
        <v/>
      </c>
      <c r="M222" s="53"/>
      <c r="N222" s="133"/>
      <c r="O222" s="283" t="str">
        <f t="shared" si="21"/>
        <v/>
      </c>
      <c r="P222" s="296" t="str">
        <f t="shared" si="22"/>
        <v/>
      </c>
      <c r="Q222" s="334" t="str">
        <f>IFERROR(IF(P222="Check Data ⚠","Check Data ⚠",VLOOKUP(P222,'G-4 Temporal multipliers'!$A$4:$C$37,3,FALSE)),"")</f>
        <v/>
      </c>
      <c r="R222" s="275" t="str">
        <f>IF(C222="","",VLOOKUP(C222,'G-7 WaterC'' Data'!$B$4:$G$8,4,FALSE))</f>
        <v/>
      </c>
      <c r="S222" s="283" t="str">
        <f t="shared" si="23"/>
        <v/>
      </c>
      <c r="T222" s="314" t="str">
        <f t="shared" si="24"/>
        <v/>
      </c>
      <c r="U222" s="276" t="str">
        <f>IF(C222="","",VLOOKUP(T222,'G-3 Multipliers'!$P$2:$Q$6,2,FALSE))</f>
        <v/>
      </c>
      <c r="V222" s="102"/>
      <c r="W222" s="276" t="str">
        <f>IF(V222="","",IF(AND(V222="N/A - Culvert",C222&lt;&gt;"Culvert"),"Not possible ▲",IF(AND(C222="Culvert",V222&lt;&gt;"N/A - Culvert"),"Not possible ▲",IF(VLOOKUP(V222,'G-7 WaterC'' Data'!$AA$4:$AB$7,2,FALSE)=0,"Spatial Data Missing ⚠",VLOOKUP(V222,'G-7 WaterC'' Data'!$AA$4:$AB$7,2,FALSE)))))</f>
        <v/>
      </c>
      <c r="X222" s="56"/>
      <c r="Y222" s="276" t="str">
        <f>IF(X222="","",IF(AND(X222="N/A - Culvert",C222&lt;&gt;"Culvert"),"Not possible ▲",IF(AND(C222="Culvert",X222&lt;&gt;"N/A - Culvert"),"Not possible ▲",IF(VLOOKUP(X222,'G-7 WaterC'' Data'!$AD$4:$AE$14,2,FALSE)=0,"Enrcoachment Data Missing ⚠",VLOOKUP(X222,'G-7 WaterC'' Data'!$AD$4:$AE$14,2,FALSE)))))</f>
        <v/>
      </c>
      <c r="Z222" s="102"/>
      <c r="AA222" s="276" t="str">
        <f>IF(Z222="","",IF(VLOOKUP(Z222,'G-7 WaterC'' Data'!$AO$4:$BO$7,2,FALSE)=0,"Spatial Data Missing ⚠",VLOOKUP(Z222,'G-7 WaterC'' Data'!$AO$4:$BO$7,2,FALSE)))</f>
        <v/>
      </c>
      <c r="AB222" s="317" t="str">
        <f t="shared" si="25"/>
        <v/>
      </c>
      <c r="AC222" s="317" t="str">
        <f t="shared" si="26"/>
        <v/>
      </c>
      <c r="AD222" s="101"/>
      <c r="AE222" s="938"/>
      <c r="AF222" s="138"/>
      <c r="AG222" s="138"/>
      <c r="AH222" s="934"/>
      <c r="AL222" s="30" t="str">
        <f>IFERROR(INDEX('G-7 WaterC'' Data'!$AZ$3:$AZ$7,MATCH(C222,'G-7 WaterC'' Data'!$AY$3:$AY$7,0)),"")</f>
        <v/>
      </c>
      <c r="AN222" s="30" t="str">
        <f t="shared" si="27"/>
        <v>No</v>
      </c>
    </row>
    <row r="223" spans="2:40" ht="14">
      <c r="B223" s="97">
        <v>212</v>
      </c>
      <c r="C223" s="923"/>
      <c r="D223" s="115"/>
      <c r="E223" s="275" t="str">
        <f>IF(C223="","",VLOOKUP(C223,'G-7 WaterC'' Data'!$B$2:$Z$9,2,FALSE))</f>
        <v/>
      </c>
      <c r="F223" s="276" t="str">
        <f>IFERROR(VLOOKUP(E223,'G-7 WaterC'' Data'!$C$4:$D$8,2,FALSE),"")</f>
        <v/>
      </c>
      <c r="G223" s="52"/>
      <c r="H223" s="276" t="str">
        <f>IFERROR(INDEX('G-7 WaterC'' Data'!$H$4:$L$8,MATCH(C223,'G-7 WaterC'' Data'!$B$4:$B$8,0),MATCH(G223,'G-7 WaterC'' Data'!$H$3:$L$3,0)),"")</f>
        <v/>
      </c>
      <c r="I223" s="52"/>
      <c r="J223" s="314" t="str">
        <f>IF(I223="","",IF(VLOOKUP(I223,'G-7 WaterC'' Data'!$AK$4:$AM$6,2,FALSE)=0,"Spatial Data Missing ⚠",VLOOKUP(I223,'G-7 WaterC'' Data'!$AK$4:$AM$6,2,FALSE)))</f>
        <v/>
      </c>
      <c r="K223" s="276" t="str">
        <f>IF(I223="","",IF(VLOOKUP(I223,'G-7 WaterC'' Data'!$AK$4:$AM$6,3,FALSE)=0,"Spatial Data Missing ⚠",VLOOKUP(I223,'G-7 WaterC'' Data'!$AK$4:$AM$6,3,FALSE)))</f>
        <v/>
      </c>
      <c r="L223" s="372" t="str">
        <f>IFERROR(INDEX('G-7 WaterC'' Data'!$O$3:$O$7,MATCH(G223,'G-7 WaterC'' Data'!$N$3:$N$7,0)),"")</f>
        <v/>
      </c>
      <c r="M223" s="53"/>
      <c r="N223" s="133"/>
      <c r="O223" s="283" t="str">
        <f t="shared" si="21"/>
        <v/>
      </c>
      <c r="P223" s="296" t="str">
        <f t="shared" si="22"/>
        <v/>
      </c>
      <c r="Q223" s="334" t="str">
        <f>IFERROR(IF(P223="Check Data ⚠","Check Data ⚠",VLOOKUP(P223,'G-4 Temporal multipliers'!$A$4:$C$37,3,FALSE)),"")</f>
        <v/>
      </c>
      <c r="R223" s="275" t="str">
        <f>IF(C223="","",VLOOKUP(C223,'G-7 WaterC'' Data'!$B$4:$G$8,4,FALSE))</f>
        <v/>
      </c>
      <c r="S223" s="283" t="str">
        <f t="shared" si="23"/>
        <v/>
      </c>
      <c r="T223" s="314" t="str">
        <f t="shared" si="24"/>
        <v/>
      </c>
      <c r="U223" s="276" t="str">
        <f>IF(C223="","",VLOOKUP(T223,'G-3 Multipliers'!$P$2:$Q$6,2,FALSE))</f>
        <v/>
      </c>
      <c r="V223" s="102"/>
      <c r="W223" s="276" t="str">
        <f>IF(V223="","",IF(AND(V223="N/A - Culvert",C223&lt;&gt;"Culvert"),"Not possible ▲",IF(AND(C223="Culvert",V223&lt;&gt;"N/A - Culvert"),"Not possible ▲",IF(VLOOKUP(V223,'G-7 WaterC'' Data'!$AA$4:$AB$7,2,FALSE)=0,"Spatial Data Missing ⚠",VLOOKUP(V223,'G-7 WaterC'' Data'!$AA$4:$AB$7,2,FALSE)))))</f>
        <v/>
      </c>
      <c r="X223" s="56"/>
      <c r="Y223" s="276" t="str">
        <f>IF(X223="","",IF(AND(X223="N/A - Culvert",C223&lt;&gt;"Culvert"),"Not possible ▲",IF(AND(C223="Culvert",X223&lt;&gt;"N/A - Culvert"),"Not possible ▲",IF(VLOOKUP(X223,'G-7 WaterC'' Data'!$AD$4:$AE$14,2,FALSE)=0,"Enrcoachment Data Missing ⚠",VLOOKUP(X223,'G-7 WaterC'' Data'!$AD$4:$AE$14,2,FALSE)))))</f>
        <v/>
      </c>
      <c r="Z223" s="102"/>
      <c r="AA223" s="276" t="str">
        <f>IF(Z223="","",IF(VLOOKUP(Z223,'G-7 WaterC'' Data'!$AO$4:$BO$7,2,FALSE)=0,"Spatial Data Missing ⚠",VLOOKUP(Z223,'G-7 WaterC'' Data'!$AO$4:$BO$7,2,FALSE)))</f>
        <v/>
      </c>
      <c r="AB223" s="317" t="str">
        <f t="shared" si="25"/>
        <v/>
      </c>
      <c r="AC223" s="317" t="str">
        <f t="shared" si="26"/>
        <v/>
      </c>
      <c r="AD223" s="101"/>
      <c r="AE223" s="938"/>
      <c r="AF223" s="138"/>
      <c r="AG223" s="138"/>
      <c r="AH223" s="934"/>
      <c r="AL223" s="30" t="str">
        <f>IFERROR(INDEX('G-7 WaterC'' Data'!$AZ$3:$AZ$7,MATCH(C223,'G-7 WaterC'' Data'!$AY$3:$AY$7,0)),"")</f>
        <v/>
      </c>
      <c r="AN223" s="30" t="str">
        <f t="shared" si="27"/>
        <v>No</v>
      </c>
    </row>
    <row r="224" spans="2:40" ht="14">
      <c r="B224" s="97">
        <v>213</v>
      </c>
      <c r="C224" s="923"/>
      <c r="D224" s="115"/>
      <c r="E224" s="275" t="str">
        <f>IF(C224="","",VLOOKUP(C224,'G-7 WaterC'' Data'!$B$2:$Z$9,2,FALSE))</f>
        <v/>
      </c>
      <c r="F224" s="276" t="str">
        <f>IFERROR(VLOOKUP(E224,'G-7 WaterC'' Data'!$C$4:$D$8,2,FALSE),"")</f>
        <v/>
      </c>
      <c r="G224" s="52"/>
      <c r="H224" s="276" t="str">
        <f>IFERROR(INDEX('G-7 WaterC'' Data'!$H$4:$L$8,MATCH(C224,'G-7 WaterC'' Data'!$B$4:$B$8,0),MATCH(G224,'G-7 WaterC'' Data'!$H$3:$L$3,0)),"")</f>
        <v/>
      </c>
      <c r="I224" s="52"/>
      <c r="J224" s="314" t="str">
        <f>IF(I224="","",IF(VLOOKUP(I224,'G-7 WaterC'' Data'!$AK$4:$AM$6,2,FALSE)=0,"Spatial Data Missing ⚠",VLOOKUP(I224,'G-7 WaterC'' Data'!$AK$4:$AM$6,2,FALSE)))</f>
        <v/>
      </c>
      <c r="K224" s="276" t="str">
        <f>IF(I224="","",IF(VLOOKUP(I224,'G-7 WaterC'' Data'!$AK$4:$AM$6,3,FALSE)=0,"Spatial Data Missing ⚠",VLOOKUP(I224,'G-7 WaterC'' Data'!$AK$4:$AM$6,3,FALSE)))</f>
        <v/>
      </c>
      <c r="L224" s="372" t="str">
        <f>IFERROR(INDEX('G-7 WaterC'' Data'!$O$3:$O$7,MATCH(G224,'G-7 WaterC'' Data'!$N$3:$N$7,0)),"")</f>
        <v/>
      </c>
      <c r="M224" s="53"/>
      <c r="N224" s="133"/>
      <c r="O224" s="283" t="str">
        <f t="shared" si="21"/>
        <v/>
      </c>
      <c r="P224" s="296" t="str">
        <f t="shared" si="22"/>
        <v/>
      </c>
      <c r="Q224" s="334" t="str">
        <f>IFERROR(IF(P224="Check Data ⚠","Check Data ⚠",VLOOKUP(P224,'G-4 Temporal multipliers'!$A$4:$C$37,3,FALSE)),"")</f>
        <v/>
      </c>
      <c r="R224" s="275" t="str">
        <f>IF(C224="","",VLOOKUP(C224,'G-7 WaterC'' Data'!$B$4:$G$8,4,FALSE))</f>
        <v/>
      </c>
      <c r="S224" s="283" t="str">
        <f t="shared" si="23"/>
        <v/>
      </c>
      <c r="T224" s="314" t="str">
        <f t="shared" si="24"/>
        <v/>
      </c>
      <c r="U224" s="276" t="str">
        <f>IF(C224="","",VLOOKUP(T224,'G-3 Multipliers'!$P$2:$Q$6,2,FALSE))</f>
        <v/>
      </c>
      <c r="V224" s="102"/>
      <c r="W224" s="276" t="str">
        <f>IF(V224="","",IF(AND(V224="N/A - Culvert",C224&lt;&gt;"Culvert"),"Not possible ▲",IF(AND(C224="Culvert",V224&lt;&gt;"N/A - Culvert"),"Not possible ▲",IF(VLOOKUP(V224,'G-7 WaterC'' Data'!$AA$4:$AB$7,2,FALSE)=0,"Spatial Data Missing ⚠",VLOOKUP(V224,'G-7 WaterC'' Data'!$AA$4:$AB$7,2,FALSE)))))</f>
        <v/>
      </c>
      <c r="X224" s="56"/>
      <c r="Y224" s="276" t="str">
        <f>IF(X224="","",IF(AND(X224="N/A - Culvert",C224&lt;&gt;"Culvert"),"Not possible ▲",IF(AND(C224="Culvert",X224&lt;&gt;"N/A - Culvert"),"Not possible ▲",IF(VLOOKUP(X224,'G-7 WaterC'' Data'!$AD$4:$AE$14,2,FALSE)=0,"Enrcoachment Data Missing ⚠",VLOOKUP(X224,'G-7 WaterC'' Data'!$AD$4:$AE$14,2,FALSE)))))</f>
        <v/>
      </c>
      <c r="Z224" s="102"/>
      <c r="AA224" s="276" t="str">
        <f>IF(Z224="","",IF(VLOOKUP(Z224,'G-7 WaterC'' Data'!$AO$4:$BO$7,2,FALSE)=0,"Spatial Data Missing ⚠",VLOOKUP(Z224,'G-7 WaterC'' Data'!$AO$4:$BO$7,2,FALSE)))</f>
        <v/>
      </c>
      <c r="AB224" s="317" t="str">
        <f t="shared" si="25"/>
        <v/>
      </c>
      <c r="AC224" s="317" t="str">
        <f t="shared" si="26"/>
        <v/>
      </c>
      <c r="AD224" s="101"/>
      <c r="AE224" s="938"/>
      <c r="AF224" s="138"/>
      <c r="AG224" s="138"/>
      <c r="AH224" s="934"/>
      <c r="AL224" s="30" t="str">
        <f>IFERROR(INDEX('G-7 WaterC'' Data'!$AZ$3:$AZ$7,MATCH(C224,'G-7 WaterC'' Data'!$AY$3:$AY$7,0)),"")</f>
        <v/>
      </c>
      <c r="AN224" s="30" t="str">
        <f t="shared" si="27"/>
        <v>No</v>
      </c>
    </row>
    <row r="225" spans="2:40" ht="14">
      <c r="B225" s="97">
        <v>214</v>
      </c>
      <c r="C225" s="923"/>
      <c r="D225" s="115"/>
      <c r="E225" s="275" t="str">
        <f>IF(C225="","",VLOOKUP(C225,'G-7 WaterC'' Data'!$B$2:$Z$9,2,FALSE))</f>
        <v/>
      </c>
      <c r="F225" s="276" t="str">
        <f>IFERROR(VLOOKUP(E225,'G-7 WaterC'' Data'!$C$4:$D$8,2,FALSE),"")</f>
        <v/>
      </c>
      <c r="G225" s="52"/>
      <c r="H225" s="276" t="str">
        <f>IFERROR(INDEX('G-7 WaterC'' Data'!$H$4:$L$8,MATCH(C225,'G-7 WaterC'' Data'!$B$4:$B$8,0),MATCH(G225,'G-7 WaterC'' Data'!$H$3:$L$3,0)),"")</f>
        <v/>
      </c>
      <c r="I225" s="52"/>
      <c r="J225" s="314" t="str">
        <f>IF(I225="","",IF(VLOOKUP(I225,'G-7 WaterC'' Data'!$AK$4:$AM$6,2,FALSE)=0,"Spatial Data Missing ⚠",VLOOKUP(I225,'G-7 WaterC'' Data'!$AK$4:$AM$6,2,FALSE)))</f>
        <v/>
      </c>
      <c r="K225" s="276" t="str">
        <f>IF(I225="","",IF(VLOOKUP(I225,'G-7 WaterC'' Data'!$AK$4:$AM$6,3,FALSE)=0,"Spatial Data Missing ⚠",VLOOKUP(I225,'G-7 WaterC'' Data'!$AK$4:$AM$6,3,FALSE)))</f>
        <v/>
      </c>
      <c r="L225" s="372" t="str">
        <f>IFERROR(INDEX('G-7 WaterC'' Data'!$O$3:$O$7,MATCH(G225,'G-7 WaterC'' Data'!$N$3:$N$7,0)),"")</f>
        <v/>
      </c>
      <c r="M225" s="53"/>
      <c r="N225" s="133"/>
      <c r="O225" s="283" t="str">
        <f t="shared" si="21"/>
        <v/>
      </c>
      <c r="P225" s="296" t="str">
        <f t="shared" si="22"/>
        <v/>
      </c>
      <c r="Q225" s="334" t="str">
        <f>IFERROR(IF(P225="Check Data ⚠","Check Data ⚠",VLOOKUP(P225,'G-4 Temporal multipliers'!$A$4:$C$37,3,FALSE)),"")</f>
        <v/>
      </c>
      <c r="R225" s="275" t="str">
        <f>IF(C225="","",VLOOKUP(C225,'G-7 WaterC'' Data'!$B$4:$G$8,4,FALSE))</f>
        <v/>
      </c>
      <c r="S225" s="283" t="str">
        <f t="shared" si="23"/>
        <v/>
      </c>
      <c r="T225" s="314" t="str">
        <f t="shared" si="24"/>
        <v/>
      </c>
      <c r="U225" s="276" t="str">
        <f>IF(C225="","",VLOOKUP(T225,'G-3 Multipliers'!$P$2:$Q$6,2,FALSE))</f>
        <v/>
      </c>
      <c r="V225" s="102"/>
      <c r="W225" s="276" t="str">
        <f>IF(V225="","",IF(AND(V225="N/A - Culvert",C225&lt;&gt;"Culvert"),"Not possible ▲",IF(AND(C225="Culvert",V225&lt;&gt;"N/A - Culvert"),"Not possible ▲",IF(VLOOKUP(V225,'G-7 WaterC'' Data'!$AA$4:$AB$7,2,FALSE)=0,"Spatial Data Missing ⚠",VLOOKUP(V225,'G-7 WaterC'' Data'!$AA$4:$AB$7,2,FALSE)))))</f>
        <v/>
      </c>
      <c r="X225" s="56"/>
      <c r="Y225" s="276" t="str">
        <f>IF(X225="","",IF(AND(X225="N/A - Culvert",C225&lt;&gt;"Culvert"),"Not possible ▲",IF(AND(C225="Culvert",X225&lt;&gt;"N/A - Culvert"),"Not possible ▲",IF(VLOOKUP(X225,'G-7 WaterC'' Data'!$AD$4:$AE$14,2,FALSE)=0,"Enrcoachment Data Missing ⚠",VLOOKUP(X225,'G-7 WaterC'' Data'!$AD$4:$AE$14,2,FALSE)))))</f>
        <v/>
      </c>
      <c r="Z225" s="102"/>
      <c r="AA225" s="276" t="str">
        <f>IF(Z225="","",IF(VLOOKUP(Z225,'G-7 WaterC'' Data'!$AO$4:$BO$7,2,FALSE)=0,"Spatial Data Missing ⚠",VLOOKUP(Z225,'G-7 WaterC'' Data'!$AO$4:$BO$7,2,FALSE)))</f>
        <v/>
      </c>
      <c r="AB225" s="317" t="str">
        <f t="shared" si="25"/>
        <v/>
      </c>
      <c r="AC225" s="317" t="str">
        <f t="shared" si="26"/>
        <v/>
      </c>
      <c r="AD225" s="101"/>
      <c r="AE225" s="938"/>
      <c r="AF225" s="138"/>
      <c r="AG225" s="138"/>
      <c r="AH225" s="934"/>
      <c r="AL225" s="30" t="str">
        <f>IFERROR(INDEX('G-7 WaterC'' Data'!$AZ$3:$AZ$7,MATCH(C225,'G-7 WaterC'' Data'!$AY$3:$AY$7,0)),"")</f>
        <v/>
      </c>
      <c r="AN225" s="30" t="str">
        <f t="shared" si="27"/>
        <v>No</v>
      </c>
    </row>
    <row r="226" spans="2:40" ht="14">
      <c r="B226" s="97">
        <v>215</v>
      </c>
      <c r="C226" s="923"/>
      <c r="D226" s="115"/>
      <c r="E226" s="275" t="str">
        <f>IF(C226="","",VLOOKUP(C226,'G-7 WaterC'' Data'!$B$2:$Z$9,2,FALSE))</f>
        <v/>
      </c>
      <c r="F226" s="276" t="str">
        <f>IFERROR(VLOOKUP(E226,'G-7 WaterC'' Data'!$C$4:$D$8,2,FALSE),"")</f>
        <v/>
      </c>
      <c r="G226" s="52"/>
      <c r="H226" s="276" t="str">
        <f>IFERROR(INDEX('G-7 WaterC'' Data'!$H$4:$L$8,MATCH(C226,'G-7 WaterC'' Data'!$B$4:$B$8,0),MATCH(G226,'G-7 WaterC'' Data'!$H$3:$L$3,0)),"")</f>
        <v/>
      </c>
      <c r="I226" s="52"/>
      <c r="J226" s="314" t="str">
        <f>IF(I226="","",IF(VLOOKUP(I226,'G-7 WaterC'' Data'!$AK$4:$AM$6,2,FALSE)=0,"Spatial Data Missing ⚠",VLOOKUP(I226,'G-7 WaterC'' Data'!$AK$4:$AM$6,2,FALSE)))</f>
        <v/>
      </c>
      <c r="K226" s="276" t="str">
        <f>IF(I226="","",IF(VLOOKUP(I226,'G-7 WaterC'' Data'!$AK$4:$AM$6,3,FALSE)=0,"Spatial Data Missing ⚠",VLOOKUP(I226,'G-7 WaterC'' Data'!$AK$4:$AM$6,3,FALSE)))</f>
        <v/>
      </c>
      <c r="L226" s="372" t="str">
        <f>IFERROR(INDEX('G-7 WaterC'' Data'!$O$3:$O$7,MATCH(G226,'G-7 WaterC'' Data'!$N$3:$N$7,0)),"")</f>
        <v/>
      </c>
      <c r="M226" s="53"/>
      <c r="N226" s="133"/>
      <c r="O226" s="283" t="str">
        <f t="shared" si="21"/>
        <v/>
      </c>
      <c r="P226" s="296" t="str">
        <f t="shared" si="22"/>
        <v/>
      </c>
      <c r="Q226" s="334" t="str">
        <f>IFERROR(IF(P226="Check Data ⚠","Check Data ⚠",VLOOKUP(P226,'G-4 Temporal multipliers'!$A$4:$C$37,3,FALSE)),"")</f>
        <v/>
      </c>
      <c r="R226" s="275" t="str">
        <f>IF(C226="","",VLOOKUP(C226,'G-7 WaterC'' Data'!$B$4:$G$8,4,FALSE))</f>
        <v/>
      </c>
      <c r="S226" s="283" t="str">
        <f t="shared" si="23"/>
        <v/>
      </c>
      <c r="T226" s="314" t="str">
        <f t="shared" si="24"/>
        <v/>
      </c>
      <c r="U226" s="276" t="str">
        <f>IF(C226="","",VLOOKUP(T226,'G-3 Multipliers'!$P$2:$Q$6,2,FALSE))</f>
        <v/>
      </c>
      <c r="V226" s="102"/>
      <c r="W226" s="276" t="str">
        <f>IF(V226="","",IF(AND(V226="N/A - Culvert",C226&lt;&gt;"Culvert"),"Not possible ▲",IF(AND(C226="Culvert",V226&lt;&gt;"N/A - Culvert"),"Not possible ▲",IF(VLOOKUP(V226,'G-7 WaterC'' Data'!$AA$4:$AB$7,2,FALSE)=0,"Spatial Data Missing ⚠",VLOOKUP(V226,'G-7 WaterC'' Data'!$AA$4:$AB$7,2,FALSE)))))</f>
        <v/>
      </c>
      <c r="X226" s="56"/>
      <c r="Y226" s="276" t="str">
        <f>IF(X226="","",IF(AND(X226="N/A - Culvert",C226&lt;&gt;"Culvert"),"Not possible ▲",IF(AND(C226="Culvert",X226&lt;&gt;"N/A - Culvert"),"Not possible ▲",IF(VLOOKUP(X226,'G-7 WaterC'' Data'!$AD$4:$AE$14,2,FALSE)=0,"Enrcoachment Data Missing ⚠",VLOOKUP(X226,'G-7 WaterC'' Data'!$AD$4:$AE$14,2,FALSE)))))</f>
        <v/>
      </c>
      <c r="Z226" s="102"/>
      <c r="AA226" s="276" t="str">
        <f>IF(Z226="","",IF(VLOOKUP(Z226,'G-7 WaterC'' Data'!$AO$4:$BO$7,2,FALSE)=0,"Spatial Data Missing ⚠",VLOOKUP(Z226,'G-7 WaterC'' Data'!$AO$4:$BO$7,2,FALSE)))</f>
        <v/>
      </c>
      <c r="AB226" s="317" t="str">
        <f t="shared" si="25"/>
        <v/>
      </c>
      <c r="AC226" s="317" t="str">
        <f t="shared" si="26"/>
        <v/>
      </c>
      <c r="AD226" s="101"/>
      <c r="AE226" s="938"/>
      <c r="AF226" s="138"/>
      <c r="AG226" s="138"/>
      <c r="AH226" s="934"/>
      <c r="AL226" s="30" t="str">
        <f>IFERROR(INDEX('G-7 WaterC'' Data'!$AZ$3:$AZ$7,MATCH(C226,'G-7 WaterC'' Data'!$AY$3:$AY$7,0)),"")</f>
        <v/>
      </c>
      <c r="AN226" s="30" t="str">
        <f t="shared" si="27"/>
        <v>No</v>
      </c>
    </row>
    <row r="227" spans="2:40" ht="14">
      <c r="B227" s="97">
        <v>216</v>
      </c>
      <c r="C227" s="923"/>
      <c r="D227" s="115"/>
      <c r="E227" s="275" t="str">
        <f>IF(C227="","",VLOOKUP(C227,'G-7 WaterC'' Data'!$B$2:$Z$9,2,FALSE))</f>
        <v/>
      </c>
      <c r="F227" s="276" t="str">
        <f>IFERROR(VLOOKUP(E227,'G-7 WaterC'' Data'!$C$4:$D$8,2,FALSE),"")</f>
        <v/>
      </c>
      <c r="G227" s="52"/>
      <c r="H227" s="276" t="str">
        <f>IFERROR(INDEX('G-7 WaterC'' Data'!$H$4:$L$8,MATCH(C227,'G-7 WaterC'' Data'!$B$4:$B$8,0),MATCH(G227,'G-7 WaterC'' Data'!$H$3:$L$3,0)),"")</f>
        <v/>
      </c>
      <c r="I227" s="52"/>
      <c r="J227" s="314" t="str">
        <f>IF(I227="","",IF(VLOOKUP(I227,'G-7 WaterC'' Data'!$AK$4:$AM$6,2,FALSE)=0,"Spatial Data Missing ⚠",VLOOKUP(I227,'G-7 WaterC'' Data'!$AK$4:$AM$6,2,FALSE)))</f>
        <v/>
      </c>
      <c r="K227" s="276" t="str">
        <f>IF(I227="","",IF(VLOOKUP(I227,'G-7 WaterC'' Data'!$AK$4:$AM$6,3,FALSE)=0,"Spatial Data Missing ⚠",VLOOKUP(I227,'G-7 WaterC'' Data'!$AK$4:$AM$6,3,FALSE)))</f>
        <v/>
      </c>
      <c r="L227" s="372" t="str">
        <f>IFERROR(INDEX('G-7 WaterC'' Data'!$O$3:$O$7,MATCH(G227,'G-7 WaterC'' Data'!$N$3:$N$7,0)),"")</f>
        <v/>
      </c>
      <c r="M227" s="53"/>
      <c r="N227" s="133"/>
      <c r="O227" s="283" t="str">
        <f t="shared" si="21"/>
        <v/>
      </c>
      <c r="P227" s="296" t="str">
        <f t="shared" si="22"/>
        <v/>
      </c>
      <c r="Q227" s="334" t="str">
        <f>IFERROR(IF(P227="Check Data ⚠","Check Data ⚠",VLOOKUP(P227,'G-4 Temporal multipliers'!$A$4:$C$37,3,FALSE)),"")</f>
        <v/>
      </c>
      <c r="R227" s="275" t="str">
        <f>IF(C227="","",VLOOKUP(C227,'G-7 WaterC'' Data'!$B$4:$G$8,4,FALSE))</f>
        <v/>
      </c>
      <c r="S227" s="283" t="str">
        <f t="shared" si="23"/>
        <v/>
      </c>
      <c r="T227" s="314" t="str">
        <f t="shared" si="24"/>
        <v/>
      </c>
      <c r="U227" s="276" t="str">
        <f>IF(C227="","",VLOOKUP(T227,'G-3 Multipliers'!$P$2:$Q$6,2,FALSE))</f>
        <v/>
      </c>
      <c r="V227" s="102"/>
      <c r="W227" s="276" t="str">
        <f>IF(V227="","",IF(AND(V227="N/A - Culvert",C227&lt;&gt;"Culvert"),"Not possible ▲",IF(AND(C227="Culvert",V227&lt;&gt;"N/A - Culvert"),"Not possible ▲",IF(VLOOKUP(V227,'G-7 WaterC'' Data'!$AA$4:$AB$7,2,FALSE)=0,"Spatial Data Missing ⚠",VLOOKUP(V227,'G-7 WaterC'' Data'!$AA$4:$AB$7,2,FALSE)))))</f>
        <v/>
      </c>
      <c r="X227" s="56"/>
      <c r="Y227" s="276" t="str">
        <f>IF(X227="","",IF(AND(X227="N/A - Culvert",C227&lt;&gt;"Culvert"),"Not possible ▲",IF(AND(C227="Culvert",X227&lt;&gt;"N/A - Culvert"),"Not possible ▲",IF(VLOOKUP(X227,'G-7 WaterC'' Data'!$AD$4:$AE$14,2,FALSE)=0,"Enrcoachment Data Missing ⚠",VLOOKUP(X227,'G-7 WaterC'' Data'!$AD$4:$AE$14,2,FALSE)))))</f>
        <v/>
      </c>
      <c r="Z227" s="102"/>
      <c r="AA227" s="276" t="str">
        <f>IF(Z227="","",IF(VLOOKUP(Z227,'G-7 WaterC'' Data'!$AO$4:$BO$7,2,FALSE)=0,"Spatial Data Missing ⚠",VLOOKUP(Z227,'G-7 WaterC'' Data'!$AO$4:$BO$7,2,FALSE)))</f>
        <v/>
      </c>
      <c r="AB227" s="317" t="str">
        <f t="shared" si="25"/>
        <v/>
      </c>
      <c r="AC227" s="317" t="str">
        <f t="shared" si="26"/>
        <v/>
      </c>
      <c r="AD227" s="101"/>
      <c r="AE227" s="938"/>
      <c r="AF227" s="138"/>
      <c r="AG227" s="138"/>
      <c r="AH227" s="934"/>
      <c r="AL227" s="30" t="str">
        <f>IFERROR(INDEX('G-7 WaterC'' Data'!$AZ$3:$AZ$7,MATCH(C227,'G-7 WaterC'' Data'!$AY$3:$AY$7,0)),"")</f>
        <v/>
      </c>
      <c r="AN227" s="30" t="str">
        <f t="shared" si="27"/>
        <v>No</v>
      </c>
    </row>
    <row r="228" spans="2:40" ht="14">
      <c r="B228" s="97">
        <v>217</v>
      </c>
      <c r="C228" s="923"/>
      <c r="D228" s="115"/>
      <c r="E228" s="275" t="str">
        <f>IF(C228="","",VLOOKUP(C228,'G-7 WaterC'' Data'!$B$2:$Z$9,2,FALSE))</f>
        <v/>
      </c>
      <c r="F228" s="276" t="str">
        <f>IFERROR(VLOOKUP(E228,'G-7 WaterC'' Data'!$C$4:$D$8,2,FALSE),"")</f>
        <v/>
      </c>
      <c r="G228" s="52"/>
      <c r="H228" s="276" t="str">
        <f>IFERROR(INDEX('G-7 WaterC'' Data'!$H$4:$L$8,MATCH(C228,'G-7 WaterC'' Data'!$B$4:$B$8,0),MATCH(G228,'G-7 WaterC'' Data'!$H$3:$L$3,0)),"")</f>
        <v/>
      </c>
      <c r="I228" s="52"/>
      <c r="J228" s="314" t="str">
        <f>IF(I228="","",IF(VLOOKUP(I228,'G-7 WaterC'' Data'!$AK$4:$AM$6,2,FALSE)=0,"Spatial Data Missing ⚠",VLOOKUP(I228,'G-7 WaterC'' Data'!$AK$4:$AM$6,2,FALSE)))</f>
        <v/>
      </c>
      <c r="K228" s="276" t="str">
        <f>IF(I228="","",IF(VLOOKUP(I228,'G-7 WaterC'' Data'!$AK$4:$AM$6,3,FALSE)=0,"Spatial Data Missing ⚠",VLOOKUP(I228,'G-7 WaterC'' Data'!$AK$4:$AM$6,3,FALSE)))</f>
        <v/>
      </c>
      <c r="L228" s="372" t="str">
        <f>IFERROR(INDEX('G-7 WaterC'' Data'!$O$3:$O$7,MATCH(G228,'G-7 WaterC'' Data'!$N$3:$N$7,0)),"")</f>
        <v/>
      </c>
      <c r="M228" s="53"/>
      <c r="N228" s="133"/>
      <c r="O228" s="283" t="str">
        <f t="shared" si="21"/>
        <v/>
      </c>
      <c r="P228" s="296" t="str">
        <f t="shared" si="22"/>
        <v/>
      </c>
      <c r="Q228" s="334" t="str">
        <f>IFERROR(IF(P228="Check Data ⚠","Check Data ⚠",VLOOKUP(P228,'G-4 Temporal multipliers'!$A$4:$C$37,3,FALSE)),"")</f>
        <v/>
      </c>
      <c r="R228" s="275" t="str">
        <f>IF(C228="","",VLOOKUP(C228,'G-7 WaterC'' Data'!$B$4:$G$8,4,FALSE))</f>
        <v/>
      </c>
      <c r="S228" s="283" t="str">
        <f t="shared" si="23"/>
        <v/>
      </c>
      <c r="T228" s="314" t="str">
        <f t="shared" si="24"/>
        <v/>
      </c>
      <c r="U228" s="276" t="str">
        <f>IF(C228="","",VLOOKUP(T228,'G-3 Multipliers'!$P$2:$Q$6,2,FALSE))</f>
        <v/>
      </c>
      <c r="V228" s="102"/>
      <c r="W228" s="276" t="str">
        <f>IF(V228="","",IF(AND(V228="N/A - Culvert",C228&lt;&gt;"Culvert"),"Not possible ▲",IF(AND(C228="Culvert",V228&lt;&gt;"N/A - Culvert"),"Not possible ▲",IF(VLOOKUP(V228,'G-7 WaterC'' Data'!$AA$4:$AB$7,2,FALSE)=0,"Spatial Data Missing ⚠",VLOOKUP(V228,'G-7 WaterC'' Data'!$AA$4:$AB$7,2,FALSE)))))</f>
        <v/>
      </c>
      <c r="X228" s="56"/>
      <c r="Y228" s="276" t="str">
        <f>IF(X228="","",IF(AND(X228="N/A - Culvert",C228&lt;&gt;"Culvert"),"Not possible ▲",IF(AND(C228="Culvert",X228&lt;&gt;"N/A - Culvert"),"Not possible ▲",IF(VLOOKUP(X228,'G-7 WaterC'' Data'!$AD$4:$AE$14,2,FALSE)=0,"Enrcoachment Data Missing ⚠",VLOOKUP(X228,'G-7 WaterC'' Data'!$AD$4:$AE$14,2,FALSE)))))</f>
        <v/>
      </c>
      <c r="Z228" s="102"/>
      <c r="AA228" s="276" t="str">
        <f>IF(Z228="","",IF(VLOOKUP(Z228,'G-7 WaterC'' Data'!$AO$4:$BO$7,2,FALSE)=0,"Spatial Data Missing ⚠",VLOOKUP(Z228,'G-7 WaterC'' Data'!$AO$4:$BO$7,2,FALSE)))</f>
        <v/>
      </c>
      <c r="AB228" s="317" t="str">
        <f t="shared" si="25"/>
        <v/>
      </c>
      <c r="AC228" s="317" t="str">
        <f t="shared" si="26"/>
        <v/>
      </c>
      <c r="AD228" s="101"/>
      <c r="AE228" s="938"/>
      <c r="AF228" s="138"/>
      <c r="AG228" s="138"/>
      <c r="AH228" s="934"/>
      <c r="AL228" s="30" t="str">
        <f>IFERROR(INDEX('G-7 WaterC'' Data'!$AZ$3:$AZ$7,MATCH(C228,'G-7 WaterC'' Data'!$AY$3:$AY$7,0)),"")</f>
        <v/>
      </c>
      <c r="AN228" s="30" t="str">
        <f t="shared" si="27"/>
        <v>No</v>
      </c>
    </row>
    <row r="229" spans="2:40" ht="14">
      <c r="B229" s="97">
        <v>218</v>
      </c>
      <c r="C229" s="923"/>
      <c r="D229" s="115"/>
      <c r="E229" s="275" t="str">
        <f>IF(C229="","",VLOOKUP(C229,'G-7 WaterC'' Data'!$B$2:$Z$9,2,FALSE))</f>
        <v/>
      </c>
      <c r="F229" s="276" t="str">
        <f>IFERROR(VLOOKUP(E229,'G-7 WaterC'' Data'!$C$4:$D$8,2,FALSE),"")</f>
        <v/>
      </c>
      <c r="G229" s="52"/>
      <c r="H229" s="276" t="str">
        <f>IFERROR(INDEX('G-7 WaterC'' Data'!$H$4:$L$8,MATCH(C229,'G-7 WaterC'' Data'!$B$4:$B$8,0),MATCH(G229,'G-7 WaterC'' Data'!$H$3:$L$3,0)),"")</f>
        <v/>
      </c>
      <c r="I229" s="52"/>
      <c r="J229" s="314" t="str">
        <f>IF(I229="","",IF(VLOOKUP(I229,'G-7 WaterC'' Data'!$AK$4:$AM$6,2,FALSE)=0,"Spatial Data Missing ⚠",VLOOKUP(I229,'G-7 WaterC'' Data'!$AK$4:$AM$6,2,FALSE)))</f>
        <v/>
      </c>
      <c r="K229" s="276" t="str">
        <f>IF(I229="","",IF(VLOOKUP(I229,'G-7 WaterC'' Data'!$AK$4:$AM$6,3,FALSE)=0,"Spatial Data Missing ⚠",VLOOKUP(I229,'G-7 WaterC'' Data'!$AK$4:$AM$6,3,FALSE)))</f>
        <v/>
      </c>
      <c r="L229" s="372" t="str">
        <f>IFERROR(INDEX('G-7 WaterC'' Data'!$O$3:$O$7,MATCH(G229,'G-7 WaterC'' Data'!$N$3:$N$7,0)),"")</f>
        <v/>
      </c>
      <c r="M229" s="53"/>
      <c r="N229" s="133"/>
      <c r="O229" s="283" t="str">
        <f t="shared" si="21"/>
        <v/>
      </c>
      <c r="P229" s="296" t="str">
        <f t="shared" si="22"/>
        <v/>
      </c>
      <c r="Q229" s="334" t="str">
        <f>IFERROR(IF(P229="Check Data ⚠","Check Data ⚠",VLOOKUP(P229,'G-4 Temporal multipliers'!$A$4:$C$37,3,FALSE)),"")</f>
        <v/>
      </c>
      <c r="R229" s="275" t="str">
        <f>IF(C229="","",VLOOKUP(C229,'G-7 WaterC'' Data'!$B$4:$G$8,4,FALSE))</f>
        <v/>
      </c>
      <c r="S229" s="283" t="str">
        <f t="shared" si="23"/>
        <v/>
      </c>
      <c r="T229" s="314" t="str">
        <f t="shared" si="24"/>
        <v/>
      </c>
      <c r="U229" s="276" t="str">
        <f>IF(C229="","",VLOOKUP(T229,'G-3 Multipliers'!$P$2:$Q$6,2,FALSE))</f>
        <v/>
      </c>
      <c r="V229" s="102"/>
      <c r="W229" s="276" t="str">
        <f>IF(V229="","",IF(AND(V229="N/A - Culvert",C229&lt;&gt;"Culvert"),"Not possible ▲",IF(AND(C229="Culvert",V229&lt;&gt;"N/A - Culvert"),"Not possible ▲",IF(VLOOKUP(V229,'G-7 WaterC'' Data'!$AA$4:$AB$7,2,FALSE)=0,"Spatial Data Missing ⚠",VLOOKUP(V229,'G-7 WaterC'' Data'!$AA$4:$AB$7,2,FALSE)))))</f>
        <v/>
      </c>
      <c r="X229" s="56"/>
      <c r="Y229" s="276" t="str">
        <f>IF(X229="","",IF(AND(X229="N/A - Culvert",C229&lt;&gt;"Culvert"),"Not possible ▲",IF(AND(C229="Culvert",X229&lt;&gt;"N/A - Culvert"),"Not possible ▲",IF(VLOOKUP(X229,'G-7 WaterC'' Data'!$AD$4:$AE$14,2,FALSE)=0,"Enrcoachment Data Missing ⚠",VLOOKUP(X229,'G-7 WaterC'' Data'!$AD$4:$AE$14,2,FALSE)))))</f>
        <v/>
      </c>
      <c r="Z229" s="102"/>
      <c r="AA229" s="276" t="str">
        <f>IF(Z229="","",IF(VLOOKUP(Z229,'G-7 WaterC'' Data'!$AO$4:$BO$7,2,FALSE)=0,"Spatial Data Missing ⚠",VLOOKUP(Z229,'G-7 WaterC'' Data'!$AO$4:$BO$7,2,FALSE)))</f>
        <v/>
      </c>
      <c r="AB229" s="317" t="str">
        <f t="shared" si="25"/>
        <v/>
      </c>
      <c r="AC229" s="317" t="str">
        <f t="shared" si="26"/>
        <v/>
      </c>
      <c r="AD229" s="101"/>
      <c r="AE229" s="938"/>
      <c r="AF229" s="138"/>
      <c r="AG229" s="138"/>
      <c r="AH229" s="934"/>
      <c r="AL229" s="30" t="str">
        <f>IFERROR(INDEX('G-7 WaterC'' Data'!$AZ$3:$AZ$7,MATCH(C229,'G-7 WaterC'' Data'!$AY$3:$AY$7,0)),"")</f>
        <v/>
      </c>
      <c r="AN229" s="30" t="str">
        <f t="shared" si="27"/>
        <v>No</v>
      </c>
    </row>
    <row r="230" spans="2:40" ht="14">
      <c r="B230" s="97">
        <v>219</v>
      </c>
      <c r="C230" s="923"/>
      <c r="D230" s="115"/>
      <c r="E230" s="275" t="str">
        <f>IF(C230="","",VLOOKUP(C230,'G-7 WaterC'' Data'!$B$2:$Z$9,2,FALSE))</f>
        <v/>
      </c>
      <c r="F230" s="276" t="str">
        <f>IFERROR(VLOOKUP(E230,'G-7 WaterC'' Data'!$C$4:$D$8,2,FALSE),"")</f>
        <v/>
      </c>
      <c r="G230" s="52"/>
      <c r="H230" s="276" t="str">
        <f>IFERROR(INDEX('G-7 WaterC'' Data'!$H$4:$L$8,MATCH(C230,'G-7 WaterC'' Data'!$B$4:$B$8,0),MATCH(G230,'G-7 WaterC'' Data'!$H$3:$L$3,0)),"")</f>
        <v/>
      </c>
      <c r="I230" s="52"/>
      <c r="J230" s="314" t="str">
        <f>IF(I230="","",IF(VLOOKUP(I230,'G-7 WaterC'' Data'!$AK$4:$AM$6,2,FALSE)=0,"Spatial Data Missing ⚠",VLOOKUP(I230,'G-7 WaterC'' Data'!$AK$4:$AM$6,2,FALSE)))</f>
        <v/>
      </c>
      <c r="K230" s="276" t="str">
        <f>IF(I230="","",IF(VLOOKUP(I230,'G-7 WaterC'' Data'!$AK$4:$AM$6,3,FALSE)=0,"Spatial Data Missing ⚠",VLOOKUP(I230,'G-7 WaterC'' Data'!$AK$4:$AM$6,3,FALSE)))</f>
        <v/>
      </c>
      <c r="L230" s="372" t="str">
        <f>IFERROR(INDEX('G-7 WaterC'' Data'!$O$3:$O$7,MATCH(G230,'G-7 WaterC'' Data'!$N$3:$N$7,0)),"")</f>
        <v/>
      </c>
      <c r="M230" s="53"/>
      <c r="N230" s="133"/>
      <c r="O230" s="283" t="str">
        <f t="shared" si="21"/>
        <v/>
      </c>
      <c r="P230" s="296" t="str">
        <f t="shared" si="22"/>
        <v/>
      </c>
      <c r="Q230" s="334" t="str">
        <f>IFERROR(IF(P230="Check Data ⚠","Check Data ⚠",VLOOKUP(P230,'G-4 Temporal multipliers'!$A$4:$C$37,3,FALSE)),"")</f>
        <v/>
      </c>
      <c r="R230" s="275" t="str">
        <f>IF(C230="","",VLOOKUP(C230,'G-7 WaterC'' Data'!$B$4:$G$8,4,FALSE))</f>
        <v/>
      </c>
      <c r="S230" s="283" t="str">
        <f t="shared" si="23"/>
        <v/>
      </c>
      <c r="T230" s="314" t="str">
        <f t="shared" si="24"/>
        <v/>
      </c>
      <c r="U230" s="276" t="str">
        <f>IF(C230="","",VLOOKUP(T230,'G-3 Multipliers'!$P$2:$Q$6,2,FALSE))</f>
        <v/>
      </c>
      <c r="V230" s="102"/>
      <c r="W230" s="276" t="str">
        <f>IF(V230="","",IF(AND(V230="N/A - Culvert",C230&lt;&gt;"Culvert"),"Not possible ▲",IF(AND(C230="Culvert",V230&lt;&gt;"N/A - Culvert"),"Not possible ▲",IF(VLOOKUP(V230,'G-7 WaterC'' Data'!$AA$4:$AB$7,2,FALSE)=0,"Spatial Data Missing ⚠",VLOOKUP(V230,'G-7 WaterC'' Data'!$AA$4:$AB$7,2,FALSE)))))</f>
        <v/>
      </c>
      <c r="X230" s="56"/>
      <c r="Y230" s="276" t="str">
        <f>IF(X230="","",IF(AND(X230="N/A - Culvert",C230&lt;&gt;"Culvert"),"Not possible ▲",IF(AND(C230="Culvert",X230&lt;&gt;"N/A - Culvert"),"Not possible ▲",IF(VLOOKUP(X230,'G-7 WaterC'' Data'!$AD$4:$AE$14,2,FALSE)=0,"Enrcoachment Data Missing ⚠",VLOOKUP(X230,'G-7 WaterC'' Data'!$AD$4:$AE$14,2,FALSE)))))</f>
        <v/>
      </c>
      <c r="Z230" s="102"/>
      <c r="AA230" s="276" t="str">
        <f>IF(Z230="","",IF(VLOOKUP(Z230,'G-7 WaterC'' Data'!$AO$4:$BO$7,2,FALSE)=0,"Spatial Data Missing ⚠",VLOOKUP(Z230,'G-7 WaterC'' Data'!$AO$4:$BO$7,2,FALSE)))</f>
        <v/>
      </c>
      <c r="AB230" s="317" t="str">
        <f t="shared" si="25"/>
        <v/>
      </c>
      <c r="AC230" s="317" t="str">
        <f t="shared" si="26"/>
        <v/>
      </c>
      <c r="AD230" s="101"/>
      <c r="AE230" s="938"/>
      <c r="AF230" s="138"/>
      <c r="AG230" s="138"/>
      <c r="AH230" s="934"/>
      <c r="AL230" s="30" t="str">
        <f>IFERROR(INDEX('G-7 WaterC'' Data'!$AZ$3:$AZ$7,MATCH(C230,'G-7 WaterC'' Data'!$AY$3:$AY$7,0)),"")</f>
        <v/>
      </c>
      <c r="AN230" s="30" t="str">
        <f t="shared" si="27"/>
        <v>No</v>
      </c>
    </row>
    <row r="231" spans="2:40" ht="14">
      <c r="B231" s="97">
        <v>220</v>
      </c>
      <c r="C231" s="923"/>
      <c r="D231" s="115"/>
      <c r="E231" s="275" t="str">
        <f>IF(C231="","",VLOOKUP(C231,'G-7 WaterC'' Data'!$B$2:$Z$9,2,FALSE))</f>
        <v/>
      </c>
      <c r="F231" s="276" t="str">
        <f>IFERROR(VLOOKUP(E231,'G-7 WaterC'' Data'!$C$4:$D$8,2,FALSE),"")</f>
        <v/>
      </c>
      <c r="G231" s="52"/>
      <c r="H231" s="276" t="str">
        <f>IFERROR(INDEX('G-7 WaterC'' Data'!$H$4:$L$8,MATCH(C231,'G-7 WaterC'' Data'!$B$4:$B$8,0),MATCH(G231,'G-7 WaterC'' Data'!$H$3:$L$3,0)),"")</f>
        <v/>
      </c>
      <c r="I231" s="52"/>
      <c r="J231" s="314" t="str">
        <f>IF(I231="","",IF(VLOOKUP(I231,'G-7 WaterC'' Data'!$AK$4:$AM$6,2,FALSE)=0,"Spatial Data Missing ⚠",VLOOKUP(I231,'G-7 WaterC'' Data'!$AK$4:$AM$6,2,FALSE)))</f>
        <v/>
      </c>
      <c r="K231" s="276" t="str">
        <f>IF(I231="","",IF(VLOOKUP(I231,'G-7 WaterC'' Data'!$AK$4:$AM$6,3,FALSE)=0,"Spatial Data Missing ⚠",VLOOKUP(I231,'G-7 WaterC'' Data'!$AK$4:$AM$6,3,FALSE)))</f>
        <v/>
      </c>
      <c r="L231" s="372" t="str">
        <f>IFERROR(INDEX('G-7 WaterC'' Data'!$O$3:$O$7,MATCH(G231,'G-7 WaterC'' Data'!$N$3:$N$7,0)),"")</f>
        <v/>
      </c>
      <c r="M231" s="53"/>
      <c r="N231" s="133"/>
      <c r="O231" s="283" t="str">
        <f t="shared" si="21"/>
        <v/>
      </c>
      <c r="P231" s="296" t="str">
        <f t="shared" si="22"/>
        <v/>
      </c>
      <c r="Q231" s="334" t="str">
        <f>IFERROR(IF(P231="Check Data ⚠","Check Data ⚠",VLOOKUP(P231,'G-4 Temporal multipliers'!$A$4:$C$37,3,FALSE)),"")</f>
        <v/>
      </c>
      <c r="R231" s="275" t="str">
        <f>IF(C231="","",VLOOKUP(C231,'G-7 WaterC'' Data'!$B$4:$G$8,4,FALSE))</f>
        <v/>
      </c>
      <c r="S231" s="283" t="str">
        <f t="shared" si="23"/>
        <v/>
      </c>
      <c r="T231" s="314" t="str">
        <f t="shared" si="24"/>
        <v/>
      </c>
      <c r="U231" s="276" t="str">
        <f>IF(C231="","",VLOOKUP(T231,'G-3 Multipliers'!$P$2:$Q$6,2,FALSE))</f>
        <v/>
      </c>
      <c r="V231" s="102"/>
      <c r="W231" s="276" t="str">
        <f>IF(V231="","",IF(AND(V231="N/A - Culvert",C231&lt;&gt;"Culvert"),"Not possible ▲",IF(AND(C231="Culvert",V231&lt;&gt;"N/A - Culvert"),"Not possible ▲",IF(VLOOKUP(V231,'G-7 WaterC'' Data'!$AA$4:$AB$7,2,FALSE)=0,"Spatial Data Missing ⚠",VLOOKUP(V231,'G-7 WaterC'' Data'!$AA$4:$AB$7,2,FALSE)))))</f>
        <v/>
      </c>
      <c r="X231" s="56"/>
      <c r="Y231" s="276" t="str">
        <f>IF(X231="","",IF(AND(X231="N/A - Culvert",C231&lt;&gt;"Culvert"),"Not possible ▲",IF(AND(C231="Culvert",X231&lt;&gt;"N/A - Culvert"),"Not possible ▲",IF(VLOOKUP(X231,'G-7 WaterC'' Data'!$AD$4:$AE$14,2,FALSE)=0,"Enrcoachment Data Missing ⚠",VLOOKUP(X231,'G-7 WaterC'' Data'!$AD$4:$AE$14,2,FALSE)))))</f>
        <v/>
      </c>
      <c r="Z231" s="102"/>
      <c r="AA231" s="276" t="str">
        <f>IF(Z231="","",IF(VLOOKUP(Z231,'G-7 WaterC'' Data'!$AO$4:$BO$7,2,FALSE)=0,"Spatial Data Missing ⚠",VLOOKUP(Z231,'G-7 WaterC'' Data'!$AO$4:$BO$7,2,FALSE)))</f>
        <v/>
      </c>
      <c r="AB231" s="317" t="str">
        <f t="shared" si="25"/>
        <v/>
      </c>
      <c r="AC231" s="317" t="str">
        <f t="shared" si="26"/>
        <v/>
      </c>
      <c r="AD231" s="101"/>
      <c r="AE231" s="938"/>
      <c r="AF231" s="138"/>
      <c r="AG231" s="138"/>
      <c r="AH231" s="934"/>
      <c r="AL231" s="30" t="str">
        <f>IFERROR(INDEX('G-7 WaterC'' Data'!$AZ$3:$AZ$7,MATCH(C231,'G-7 WaterC'' Data'!$AY$3:$AY$7,0)),"")</f>
        <v/>
      </c>
      <c r="AN231" s="30" t="str">
        <f t="shared" si="27"/>
        <v>No</v>
      </c>
    </row>
    <row r="232" spans="2:40" ht="14">
      <c r="B232" s="97">
        <v>221</v>
      </c>
      <c r="C232" s="923"/>
      <c r="D232" s="115"/>
      <c r="E232" s="275" t="str">
        <f>IF(C232="","",VLOOKUP(C232,'G-7 WaterC'' Data'!$B$2:$Z$9,2,FALSE))</f>
        <v/>
      </c>
      <c r="F232" s="276" t="str">
        <f>IFERROR(VLOOKUP(E232,'G-7 WaterC'' Data'!$C$4:$D$8,2,FALSE),"")</f>
        <v/>
      </c>
      <c r="G232" s="52"/>
      <c r="H232" s="276" t="str">
        <f>IFERROR(INDEX('G-7 WaterC'' Data'!$H$4:$L$8,MATCH(C232,'G-7 WaterC'' Data'!$B$4:$B$8,0),MATCH(G232,'G-7 WaterC'' Data'!$H$3:$L$3,0)),"")</f>
        <v/>
      </c>
      <c r="I232" s="52"/>
      <c r="J232" s="314" t="str">
        <f>IF(I232="","",IF(VLOOKUP(I232,'G-7 WaterC'' Data'!$AK$4:$AM$6,2,FALSE)=0,"Spatial Data Missing ⚠",VLOOKUP(I232,'G-7 WaterC'' Data'!$AK$4:$AM$6,2,FALSE)))</f>
        <v/>
      </c>
      <c r="K232" s="276" t="str">
        <f>IF(I232="","",IF(VLOOKUP(I232,'G-7 WaterC'' Data'!$AK$4:$AM$6,3,FALSE)=0,"Spatial Data Missing ⚠",VLOOKUP(I232,'G-7 WaterC'' Data'!$AK$4:$AM$6,3,FALSE)))</f>
        <v/>
      </c>
      <c r="L232" s="372" t="str">
        <f>IFERROR(INDEX('G-7 WaterC'' Data'!$O$3:$O$7,MATCH(G232,'G-7 WaterC'' Data'!$N$3:$N$7,0)),"")</f>
        <v/>
      </c>
      <c r="M232" s="53"/>
      <c r="N232" s="133"/>
      <c r="O232" s="283" t="str">
        <f t="shared" si="21"/>
        <v/>
      </c>
      <c r="P232" s="296" t="str">
        <f t="shared" si="22"/>
        <v/>
      </c>
      <c r="Q232" s="334" t="str">
        <f>IFERROR(IF(P232="Check Data ⚠","Check Data ⚠",VLOOKUP(P232,'G-4 Temporal multipliers'!$A$4:$C$37,3,FALSE)),"")</f>
        <v/>
      </c>
      <c r="R232" s="275" t="str">
        <f>IF(C232="","",VLOOKUP(C232,'G-7 WaterC'' Data'!$B$4:$G$8,4,FALSE))</f>
        <v/>
      </c>
      <c r="S232" s="283" t="str">
        <f t="shared" si="23"/>
        <v/>
      </c>
      <c r="T232" s="314" t="str">
        <f t="shared" si="24"/>
        <v/>
      </c>
      <c r="U232" s="276" t="str">
        <f>IF(C232="","",VLOOKUP(T232,'G-3 Multipliers'!$P$2:$Q$6,2,FALSE))</f>
        <v/>
      </c>
      <c r="V232" s="102"/>
      <c r="W232" s="276" t="str">
        <f>IF(V232="","",IF(AND(V232="N/A - Culvert",C232&lt;&gt;"Culvert"),"Not possible ▲",IF(AND(C232="Culvert",V232&lt;&gt;"N/A - Culvert"),"Not possible ▲",IF(VLOOKUP(V232,'G-7 WaterC'' Data'!$AA$4:$AB$7,2,FALSE)=0,"Spatial Data Missing ⚠",VLOOKUP(V232,'G-7 WaterC'' Data'!$AA$4:$AB$7,2,FALSE)))))</f>
        <v/>
      </c>
      <c r="X232" s="56"/>
      <c r="Y232" s="276" t="str">
        <f>IF(X232="","",IF(AND(X232="N/A - Culvert",C232&lt;&gt;"Culvert"),"Not possible ▲",IF(AND(C232="Culvert",X232&lt;&gt;"N/A - Culvert"),"Not possible ▲",IF(VLOOKUP(X232,'G-7 WaterC'' Data'!$AD$4:$AE$14,2,FALSE)=0,"Enrcoachment Data Missing ⚠",VLOOKUP(X232,'G-7 WaterC'' Data'!$AD$4:$AE$14,2,FALSE)))))</f>
        <v/>
      </c>
      <c r="Z232" s="102"/>
      <c r="AA232" s="276" t="str">
        <f>IF(Z232="","",IF(VLOOKUP(Z232,'G-7 WaterC'' Data'!$AO$4:$BO$7,2,FALSE)=0,"Spatial Data Missing ⚠",VLOOKUP(Z232,'G-7 WaterC'' Data'!$AO$4:$BO$7,2,FALSE)))</f>
        <v/>
      </c>
      <c r="AB232" s="317" t="str">
        <f t="shared" si="25"/>
        <v/>
      </c>
      <c r="AC232" s="317" t="str">
        <f t="shared" si="26"/>
        <v/>
      </c>
      <c r="AD232" s="101"/>
      <c r="AE232" s="938"/>
      <c r="AF232" s="138"/>
      <c r="AG232" s="138"/>
      <c r="AH232" s="934"/>
      <c r="AL232" s="30" t="str">
        <f>IFERROR(INDEX('G-7 WaterC'' Data'!$AZ$3:$AZ$7,MATCH(C232,'G-7 WaterC'' Data'!$AY$3:$AY$7,0)),"")</f>
        <v/>
      </c>
      <c r="AN232" s="30" t="str">
        <f t="shared" si="27"/>
        <v>No</v>
      </c>
    </row>
    <row r="233" spans="2:40" ht="14">
      <c r="B233" s="97">
        <v>222</v>
      </c>
      <c r="C233" s="923"/>
      <c r="D233" s="115"/>
      <c r="E233" s="275" t="str">
        <f>IF(C233="","",VLOOKUP(C233,'G-7 WaterC'' Data'!$B$2:$Z$9,2,FALSE))</f>
        <v/>
      </c>
      <c r="F233" s="276" t="str">
        <f>IFERROR(VLOOKUP(E233,'G-7 WaterC'' Data'!$C$4:$D$8,2,FALSE),"")</f>
        <v/>
      </c>
      <c r="G233" s="52"/>
      <c r="H233" s="276" t="str">
        <f>IFERROR(INDEX('G-7 WaterC'' Data'!$H$4:$L$8,MATCH(C233,'G-7 WaterC'' Data'!$B$4:$B$8,0),MATCH(G233,'G-7 WaterC'' Data'!$H$3:$L$3,0)),"")</f>
        <v/>
      </c>
      <c r="I233" s="52"/>
      <c r="J233" s="314" t="str">
        <f>IF(I233="","",IF(VLOOKUP(I233,'G-7 WaterC'' Data'!$AK$4:$AM$6,2,FALSE)=0,"Spatial Data Missing ⚠",VLOOKUP(I233,'G-7 WaterC'' Data'!$AK$4:$AM$6,2,FALSE)))</f>
        <v/>
      </c>
      <c r="K233" s="276" t="str">
        <f>IF(I233="","",IF(VLOOKUP(I233,'G-7 WaterC'' Data'!$AK$4:$AM$6,3,FALSE)=0,"Spatial Data Missing ⚠",VLOOKUP(I233,'G-7 WaterC'' Data'!$AK$4:$AM$6,3,FALSE)))</f>
        <v/>
      </c>
      <c r="L233" s="372" t="str">
        <f>IFERROR(INDEX('G-7 WaterC'' Data'!$O$3:$O$7,MATCH(G233,'G-7 WaterC'' Data'!$N$3:$N$7,0)),"")</f>
        <v/>
      </c>
      <c r="M233" s="53"/>
      <c r="N233" s="133"/>
      <c r="O233" s="283" t="str">
        <f t="shared" si="21"/>
        <v/>
      </c>
      <c r="P233" s="296" t="str">
        <f t="shared" si="22"/>
        <v/>
      </c>
      <c r="Q233" s="334" t="str">
        <f>IFERROR(IF(P233="Check Data ⚠","Check Data ⚠",VLOOKUP(P233,'G-4 Temporal multipliers'!$A$4:$C$37,3,FALSE)),"")</f>
        <v/>
      </c>
      <c r="R233" s="275" t="str">
        <f>IF(C233="","",VLOOKUP(C233,'G-7 WaterC'' Data'!$B$4:$G$8,4,FALSE))</f>
        <v/>
      </c>
      <c r="S233" s="283" t="str">
        <f t="shared" si="23"/>
        <v/>
      </c>
      <c r="T233" s="314" t="str">
        <f t="shared" si="24"/>
        <v/>
      </c>
      <c r="U233" s="276" t="str">
        <f>IF(C233="","",VLOOKUP(T233,'G-3 Multipliers'!$P$2:$Q$6,2,FALSE))</f>
        <v/>
      </c>
      <c r="V233" s="102"/>
      <c r="W233" s="276" t="str">
        <f>IF(V233="","",IF(AND(V233="N/A - Culvert",C233&lt;&gt;"Culvert"),"Not possible ▲",IF(AND(C233="Culvert",V233&lt;&gt;"N/A - Culvert"),"Not possible ▲",IF(VLOOKUP(V233,'G-7 WaterC'' Data'!$AA$4:$AB$7,2,FALSE)=0,"Spatial Data Missing ⚠",VLOOKUP(V233,'G-7 WaterC'' Data'!$AA$4:$AB$7,2,FALSE)))))</f>
        <v/>
      </c>
      <c r="X233" s="56"/>
      <c r="Y233" s="276" t="str">
        <f>IF(X233="","",IF(AND(X233="N/A - Culvert",C233&lt;&gt;"Culvert"),"Not possible ▲",IF(AND(C233="Culvert",X233&lt;&gt;"N/A - Culvert"),"Not possible ▲",IF(VLOOKUP(X233,'G-7 WaterC'' Data'!$AD$4:$AE$14,2,FALSE)=0,"Enrcoachment Data Missing ⚠",VLOOKUP(X233,'G-7 WaterC'' Data'!$AD$4:$AE$14,2,FALSE)))))</f>
        <v/>
      </c>
      <c r="Z233" s="102"/>
      <c r="AA233" s="276" t="str">
        <f>IF(Z233="","",IF(VLOOKUP(Z233,'G-7 WaterC'' Data'!$AO$4:$BO$7,2,FALSE)=0,"Spatial Data Missing ⚠",VLOOKUP(Z233,'G-7 WaterC'' Data'!$AO$4:$BO$7,2,FALSE)))</f>
        <v/>
      </c>
      <c r="AB233" s="317" t="str">
        <f t="shared" si="25"/>
        <v/>
      </c>
      <c r="AC233" s="317" t="str">
        <f t="shared" si="26"/>
        <v/>
      </c>
      <c r="AD233" s="101"/>
      <c r="AE233" s="938"/>
      <c r="AF233" s="138"/>
      <c r="AG233" s="138"/>
      <c r="AH233" s="934"/>
      <c r="AL233" s="30" t="str">
        <f>IFERROR(INDEX('G-7 WaterC'' Data'!$AZ$3:$AZ$7,MATCH(C233,'G-7 WaterC'' Data'!$AY$3:$AY$7,0)),"")</f>
        <v/>
      </c>
      <c r="AN233" s="30" t="str">
        <f t="shared" si="27"/>
        <v>No</v>
      </c>
    </row>
    <row r="234" spans="2:40" ht="14">
      <c r="B234" s="97">
        <v>223</v>
      </c>
      <c r="C234" s="923"/>
      <c r="D234" s="115"/>
      <c r="E234" s="275" t="str">
        <f>IF(C234="","",VLOOKUP(C234,'G-7 WaterC'' Data'!$B$2:$Z$9,2,FALSE))</f>
        <v/>
      </c>
      <c r="F234" s="276" t="str">
        <f>IFERROR(VLOOKUP(E234,'G-7 WaterC'' Data'!$C$4:$D$8,2,FALSE),"")</f>
        <v/>
      </c>
      <c r="G234" s="52"/>
      <c r="H234" s="276" t="str">
        <f>IFERROR(INDEX('G-7 WaterC'' Data'!$H$4:$L$8,MATCH(C234,'G-7 WaterC'' Data'!$B$4:$B$8,0),MATCH(G234,'G-7 WaterC'' Data'!$H$3:$L$3,0)),"")</f>
        <v/>
      </c>
      <c r="I234" s="52"/>
      <c r="J234" s="314" t="str">
        <f>IF(I234="","",IF(VLOOKUP(I234,'G-7 WaterC'' Data'!$AK$4:$AM$6,2,FALSE)=0,"Spatial Data Missing ⚠",VLOOKUP(I234,'G-7 WaterC'' Data'!$AK$4:$AM$6,2,FALSE)))</f>
        <v/>
      </c>
      <c r="K234" s="276" t="str">
        <f>IF(I234="","",IF(VLOOKUP(I234,'G-7 WaterC'' Data'!$AK$4:$AM$6,3,FALSE)=0,"Spatial Data Missing ⚠",VLOOKUP(I234,'G-7 WaterC'' Data'!$AK$4:$AM$6,3,FALSE)))</f>
        <v/>
      </c>
      <c r="L234" s="372" t="str">
        <f>IFERROR(INDEX('G-7 WaterC'' Data'!$O$3:$O$7,MATCH(G234,'G-7 WaterC'' Data'!$N$3:$N$7,0)),"")</f>
        <v/>
      </c>
      <c r="M234" s="53"/>
      <c r="N234" s="133"/>
      <c r="O234" s="283" t="str">
        <f t="shared" si="21"/>
        <v/>
      </c>
      <c r="P234" s="296" t="str">
        <f t="shared" si="22"/>
        <v/>
      </c>
      <c r="Q234" s="334" t="str">
        <f>IFERROR(IF(P234="Check Data ⚠","Check Data ⚠",VLOOKUP(P234,'G-4 Temporal multipliers'!$A$4:$C$37,3,FALSE)),"")</f>
        <v/>
      </c>
      <c r="R234" s="275" t="str">
        <f>IF(C234="","",VLOOKUP(C234,'G-7 WaterC'' Data'!$B$4:$G$8,4,FALSE))</f>
        <v/>
      </c>
      <c r="S234" s="283" t="str">
        <f t="shared" si="23"/>
        <v/>
      </c>
      <c r="T234" s="314" t="str">
        <f t="shared" si="24"/>
        <v/>
      </c>
      <c r="U234" s="276" t="str">
        <f>IF(C234="","",VLOOKUP(T234,'G-3 Multipliers'!$P$2:$Q$6,2,FALSE))</f>
        <v/>
      </c>
      <c r="V234" s="102"/>
      <c r="W234" s="276" t="str">
        <f>IF(V234="","",IF(AND(V234="N/A - Culvert",C234&lt;&gt;"Culvert"),"Not possible ▲",IF(AND(C234="Culvert",V234&lt;&gt;"N/A - Culvert"),"Not possible ▲",IF(VLOOKUP(V234,'G-7 WaterC'' Data'!$AA$4:$AB$7,2,FALSE)=0,"Spatial Data Missing ⚠",VLOOKUP(V234,'G-7 WaterC'' Data'!$AA$4:$AB$7,2,FALSE)))))</f>
        <v/>
      </c>
      <c r="X234" s="56"/>
      <c r="Y234" s="276" t="str">
        <f>IF(X234="","",IF(AND(X234="N/A - Culvert",C234&lt;&gt;"Culvert"),"Not possible ▲",IF(AND(C234="Culvert",X234&lt;&gt;"N/A - Culvert"),"Not possible ▲",IF(VLOOKUP(X234,'G-7 WaterC'' Data'!$AD$4:$AE$14,2,FALSE)=0,"Enrcoachment Data Missing ⚠",VLOOKUP(X234,'G-7 WaterC'' Data'!$AD$4:$AE$14,2,FALSE)))))</f>
        <v/>
      </c>
      <c r="Z234" s="102"/>
      <c r="AA234" s="276" t="str">
        <f>IF(Z234="","",IF(VLOOKUP(Z234,'G-7 WaterC'' Data'!$AO$4:$BO$7,2,FALSE)=0,"Spatial Data Missing ⚠",VLOOKUP(Z234,'G-7 WaterC'' Data'!$AO$4:$BO$7,2,FALSE)))</f>
        <v/>
      </c>
      <c r="AB234" s="317" t="str">
        <f t="shared" si="25"/>
        <v/>
      </c>
      <c r="AC234" s="317" t="str">
        <f t="shared" si="26"/>
        <v/>
      </c>
      <c r="AD234" s="101"/>
      <c r="AE234" s="938"/>
      <c r="AF234" s="138"/>
      <c r="AG234" s="138"/>
      <c r="AH234" s="934"/>
      <c r="AL234" s="30" t="str">
        <f>IFERROR(INDEX('G-7 WaterC'' Data'!$AZ$3:$AZ$7,MATCH(C234,'G-7 WaterC'' Data'!$AY$3:$AY$7,0)),"")</f>
        <v/>
      </c>
      <c r="AN234" s="30" t="str">
        <f t="shared" si="27"/>
        <v>No</v>
      </c>
    </row>
    <row r="235" spans="2:40" ht="14">
      <c r="B235" s="97">
        <v>224</v>
      </c>
      <c r="C235" s="923"/>
      <c r="D235" s="115"/>
      <c r="E235" s="275" t="str">
        <f>IF(C235="","",VLOOKUP(C235,'G-7 WaterC'' Data'!$B$2:$Z$9,2,FALSE))</f>
        <v/>
      </c>
      <c r="F235" s="276" t="str">
        <f>IFERROR(VLOOKUP(E235,'G-7 WaterC'' Data'!$C$4:$D$8,2,FALSE),"")</f>
        <v/>
      </c>
      <c r="G235" s="52"/>
      <c r="H235" s="276" t="str">
        <f>IFERROR(INDEX('G-7 WaterC'' Data'!$H$4:$L$8,MATCH(C235,'G-7 WaterC'' Data'!$B$4:$B$8,0),MATCH(G235,'G-7 WaterC'' Data'!$H$3:$L$3,0)),"")</f>
        <v/>
      </c>
      <c r="I235" s="52"/>
      <c r="J235" s="314" t="str">
        <f>IF(I235="","",IF(VLOOKUP(I235,'G-7 WaterC'' Data'!$AK$4:$AM$6,2,FALSE)=0,"Spatial Data Missing ⚠",VLOOKUP(I235,'G-7 WaterC'' Data'!$AK$4:$AM$6,2,FALSE)))</f>
        <v/>
      </c>
      <c r="K235" s="276" t="str">
        <f>IF(I235="","",IF(VLOOKUP(I235,'G-7 WaterC'' Data'!$AK$4:$AM$6,3,FALSE)=0,"Spatial Data Missing ⚠",VLOOKUP(I235,'G-7 WaterC'' Data'!$AK$4:$AM$6,3,FALSE)))</f>
        <v/>
      </c>
      <c r="L235" s="372" t="str">
        <f>IFERROR(INDEX('G-7 WaterC'' Data'!$O$3:$O$7,MATCH(G235,'G-7 WaterC'' Data'!$N$3:$N$7,0)),"")</f>
        <v/>
      </c>
      <c r="M235" s="53"/>
      <c r="N235" s="133"/>
      <c r="O235" s="283" t="str">
        <f t="shared" si="21"/>
        <v/>
      </c>
      <c r="P235" s="296" t="str">
        <f t="shared" si="22"/>
        <v/>
      </c>
      <c r="Q235" s="334" t="str">
        <f>IFERROR(IF(P235="Check Data ⚠","Check Data ⚠",VLOOKUP(P235,'G-4 Temporal multipliers'!$A$4:$C$37,3,FALSE)),"")</f>
        <v/>
      </c>
      <c r="R235" s="275" t="str">
        <f>IF(C235="","",VLOOKUP(C235,'G-7 WaterC'' Data'!$B$4:$G$8,4,FALSE))</f>
        <v/>
      </c>
      <c r="S235" s="283" t="str">
        <f t="shared" si="23"/>
        <v/>
      </c>
      <c r="T235" s="314" t="str">
        <f t="shared" si="24"/>
        <v/>
      </c>
      <c r="U235" s="276" t="str">
        <f>IF(C235="","",VLOOKUP(T235,'G-3 Multipliers'!$P$2:$Q$6,2,FALSE))</f>
        <v/>
      </c>
      <c r="V235" s="102"/>
      <c r="W235" s="276" t="str">
        <f>IF(V235="","",IF(AND(V235="N/A - Culvert",C235&lt;&gt;"Culvert"),"Not possible ▲",IF(AND(C235="Culvert",V235&lt;&gt;"N/A - Culvert"),"Not possible ▲",IF(VLOOKUP(V235,'G-7 WaterC'' Data'!$AA$4:$AB$7,2,FALSE)=0,"Spatial Data Missing ⚠",VLOOKUP(V235,'G-7 WaterC'' Data'!$AA$4:$AB$7,2,FALSE)))))</f>
        <v/>
      </c>
      <c r="X235" s="56"/>
      <c r="Y235" s="276" t="str">
        <f>IF(X235="","",IF(AND(X235="N/A - Culvert",C235&lt;&gt;"Culvert"),"Not possible ▲",IF(AND(C235="Culvert",X235&lt;&gt;"N/A - Culvert"),"Not possible ▲",IF(VLOOKUP(X235,'G-7 WaterC'' Data'!$AD$4:$AE$14,2,FALSE)=0,"Enrcoachment Data Missing ⚠",VLOOKUP(X235,'G-7 WaterC'' Data'!$AD$4:$AE$14,2,FALSE)))))</f>
        <v/>
      </c>
      <c r="Z235" s="102"/>
      <c r="AA235" s="276" t="str">
        <f>IF(Z235="","",IF(VLOOKUP(Z235,'G-7 WaterC'' Data'!$AO$4:$BO$7,2,FALSE)=0,"Spatial Data Missing ⚠",VLOOKUP(Z235,'G-7 WaterC'' Data'!$AO$4:$BO$7,2,FALSE)))</f>
        <v/>
      </c>
      <c r="AB235" s="317" t="str">
        <f t="shared" si="25"/>
        <v/>
      </c>
      <c r="AC235" s="317" t="str">
        <f t="shared" si="26"/>
        <v/>
      </c>
      <c r="AD235" s="101"/>
      <c r="AE235" s="938"/>
      <c r="AF235" s="138"/>
      <c r="AG235" s="138"/>
      <c r="AH235" s="934"/>
      <c r="AL235" s="30" t="str">
        <f>IFERROR(INDEX('G-7 WaterC'' Data'!$AZ$3:$AZ$7,MATCH(C235,'G-7 WaterC'' Data'!$AY$3:$AY$7,0)),"")</f>
        <v/>
      </c>
      <c r="AN235" s="30" t="str">
        <f t="shared" si="27"/>
        <v>No</v>
      </c>
    </row>
    <row r="236" spans="2:40" ht="14">
      <c r="B236" s="97">
        <v>225</v>
      </c>
      <c r="C236" s="923"/>
      <c r="D236" s="115"/>
      <c r="E236" s="275" t="str">
        <f>IF(C236="","",VLOOKUP(C236,'G-7 WaterC'' Data'!$B$2:$Z$9,2,FALSE))</f>
        <v/>
      </c>
      <c r="F236" s="276" t="str">
        <f>IFERROR(VLOOKUP(E236,'G-7 WaterC'' Data'!$C$4:$D$8,2,FALSE),"")</f>
        <v/>
      </c>
      <c r="G236" s="52"/>
      <c r="H236" s="276" t="str">
        <f>IFERROR(INDEX('G-7 WaterC'' Data'!$H$4:$L$8,MATCH(C236,'G-7 WaterC'' Data'!$B$4:$B$8,0),MATCH(G236,'G-7 WaterC'' Data'!$H$3:$L$3,0)),"")</f>
        <v/>
      </c>
      <c r="I236" s="52"/>
      <c r="J236" s="314" t="str">
        <f>IF(I236="","",IF(VLOOKUP(I236,'G-7 WaterC'' Data'!$AK$4:$AM$6,2,FALSE)=0,"Spatial Data Missing ⚠",VLOOKUP(I236,'G-7 WaterC'' Data'!$AK$4:$AM$6,2,FALSE)))</f>
        <v/>
      </c>
      <c r="K236" s="276" t="str">
        <f>IF(I236="","",IF(VLOOKUP(I236,'G-7 WaterC'' Data'!$AK$4:$AM$6,3,FALSE)=0,"Spatial Data Missing ⚠",VLOOKUP(I236,'G-7 WaterC'' Data'!$AK$4:$AM$6,3,FALSE)))</f>
        <v/>
      </c>
      <c r="L236" s="372" t="str">
        <f>IFERROR(INDEX('G-7 WaterC'' Data'!$O$3:$O$7,MATCH(G236,'G-7 WaterC'' Data'!$N$3:$N$7,0)),"")</f>
        <v/>
      </c>
      <c r="M236" s="53"/>
      <c r="N236" s="133"/>
      <c r="O236" s="283" t="str">
        <f t="shared" si="21"/>
        <v/>
      </c>
      <c r="P236" s="296" t="str">
        <f t="shared" si="22"/>
        <v/>
      </c>
      <c r="Q236" s="334" t="str">
        <f>IFERROR(IF(P236="Check Data ⚠","Check Data ⚠",VLOOKUP(P236,'G-4 Temporal multipliers'!$A$4:$C$37,3,FALSE)),"")</f>
        <v/>
      </c>
      <c r="R236" s="275" t="str">
        <f>IF(C236="","",VLOOKUP(C236,'G-7 WaterC'' Data'!$B$4:$G$8,4,FALSE))</f>
        <v/>
      </c>
      <c r="S236" s="283" t="str">
        <f t="shared" si="23"/>
        <v/>
      </c>
      <c r="T236" s="314" t="str">
        <f t="shared" si="24"/>
        <v/>
      </c>
      <c r="U236" s="276" t="str">
        <f>IF(C236="","",VLOOKUP(T236,'G-3 Multipliers'!$P$2:$Q$6,2,FALSE))</f>
        <v/>
      </c>
      <c r="V236" s="102"/>
      <c r="W236" s="276" t="str">
        <f>IF(V236="","",IF(AND(V236="N/A - Culvert",C236&lt;&gt;"Culvert"),"Not possible ▲",IF(AND(C236="Culvert",V236&lt;&gt;"N/A - Culvert"),"Not possible ▲",IF(VLOOKUP(V236,'G-7 WaterC'' Data'!$AA$4:$AB$7,2,FALSE)=0,"Spatial Data Missing ⚠",VLOOKUP(V236,'G-7 WaterC'' Data'!$AA$4:$AB$7,2,FALSE)))))</f>
        <v/>
      </c>
      <c r="X236" s="56"/>
      <c r="Y236" s="276" t="str">
        <f>IF(X236="","",IF(AND(X236="N/A - Culvert",C236&lt;&gt;"Culvert"),"Not possible ▲",IF(AND(C236="Culvert",X236&lt;&gt;"N/A - Culvert"),"Not possible ▲",IF(VLOOKUP(X236,'G-7 WaterC'' Data'!$AD$4:$AE$14,2,FALSE)=0,"Enrcoachment Data Missing ⚠",VLOOKUP(X236,'G-7 WaterC'' Data'!$AD$4:$AE$14,2,FALSE)))))</f>
        <v/>
      </c>
      <c r="Z236" s="102"/>
      <c r="AA236" s="276" t="str">
        <f>IF(Z236="","",IF(VLOOKUP(Z236,'G-7 WaterC'' Data'!$AO$4:$BO$7,2,FALSE)=0,"Spatial Data Missing ⚠",VLOOKUP(Z236,'G-7 WaterC'' Data'!$AO$4:$BO$7,2,FALSE)))</f>
        <v/>
      </c>
      <c r="AB236" s="317" t="str">
        <f t="shared" si="25"/>
        <v/>
      </c>
      <c r="AC236" s="317" t="str">
        <f t="shared" si="26"/>
        <v/>
      </c>
      <c r="AD236" s="101"/>
      <c r="AE236" s="938"/>
      <c r="AF236" s="138"/>
      <c r="AG236" s="138"/>
      <c r="AH236" s="934"/>
      <c r="AL236" s="30" t="str">
        <f>IFERROR(INDEX('G-7 WaterC'' Data'!$AZ$3:$AZ$7,MATCH(C236,'G-7 WaterC'' Data'!$AY$3:$AY$7,0)),"")</f>
        <v/>
      </c>
      <c r="AN236" s="30" t="str">
        <f t="shared" si="27"/>
        <v>No</v>
      </c>
    </row>
    <row r="237" spans="2:40" ht="14">
      <c r="B237" s="97">
        <v>226</v>
      </c>
      <c r="C237" s="923"/>
      <c r="D237" s="115"/>
      <c r="E237" s="275" t="str">
        <f>IF(C237="","",VLOOKUP(C237,'G-7 WaterC'' Data'!$B$2:$Z$9,2,FALSE))</f>
        <v/>
      </c>
      <c r="F237" s="276" t="str">
        <f>IFERROR(VLOOKUP(E237,'G-7 WaterC'' Data'!$C$4:$D$8,2,FALSE),"")</f>
        <v/>
      </c>
      <c r="G237" s="52"/>
      <c r="H237" s="276" t="str">
        <f>IFERROR(INDEX('G-7 WaterC'' Data'!$H$4:$L$8,MATCH(C237,'G-7 WaterC'' Data'!$B$4:$B$8,0),MATCH(G237,'G-7 WaterC'' Data'!$H$3:$L$3,0)),"")</f>
        <v/>
      </c>
      <c r="I237" s="52"/>
      <c r="J237" s="314" t="str">
        <f>IF(I237="","",IF(VLOOKUP(I237,'G-7 WaterC'' Data'!$AK$4:$AM$6,2,FALSE)=0,"Spatial Data Missing ⚠",VLOOKUP(I237,'G-7 WaterC'' Data'!$AK$4:$AM$6,2,FALSE)))</f>
        <v/>
      </c>
      <c r="K237" s="276" t="str">
        <f>IF(I237="","",IF(VLOOKUP(I237,'G-7 WaterC'' Data'!$AK$4:$AM$6,3,FALSE)=0,"Spatial Data Missing ⚠",VLOOKUP(I237,'G-7 WaterC'' Data'!$AK$4:$AM$6,3,FALSE)))</f>
        <v/>
      </c>
      <c r="L237" s="372" t="str">
        <f>IFERROR(INDEX('G-7 WaterC'' Data'!$O$3:$O$7,MATCH(G237,'G-7 WaterC'' Data'!$N$3:$N$7,0)),"")</f>
        <v/>
      </c>
      <c r="M237" s="53"/>
      <c r="N237" s="133"/>
      <c r="O237" s="283" t="str">
        <f t="shared" si="21"/>
        <v/>
      </c>
      <c r="P237" s="296" t="str">
        <f t="shared" si="22"/>
        <v/>
      </c>
      <c r="Q237" s="334" t="str">
        <f>IFERROR(IF(P237="Check Data ⚠","Check Data ⚠",VLOOKUP(P237,'G-4 Temporal multipliers'!$A$4:$C$37,3,FALSE)),"")</f>
        <v/>
      </c>
      <c r="R237" s="275" t="str">
        <f>IF(C237="","",VLOOKUP(C237,'G-7 WaterC'' Data'!$B$4:$G$8,4,FALSE))</f>
        <v/>
      </c>
      <c r="S237" s="283" t="str">
        <f t="shared" si="23"/>
        <v/>
      </c>
      <c r="T237" s="314" t="str">
        <f t="shared" si="24"/>
        <v/>
      </c>
      <c r="U237" s="276" t="str">
        <f>IF(C237="","",VLOOKUP(T237,'G-3 Multipliers'!$P$2:$Q$6,2,FALSE))</f>
        <v/>
      </c>
      <c r="V237" s="102"/>
      <c r="W237" s="276" t="str">
        <f>IF(V237="","",IF(AND(V237="N/A - Culvert",C237&lt;&gt;"Culvert"),"Not possible ▲",IF(AND(C237="Culvert",V237&lt;&gt;"N/A - Culvert"),"Not possible ▲",IF(VLOOKUP(V237,'G-7 WaterC'' Data'!$AA$4:$AB$7,2,FALSE)=0,"Spatial Data Missing ⚠",VLOOKUP(V237,'G-7 WaterC'' Data'!$AA$4:$AB$7,2,FALSE)))))</f>
        <v/>
      </c>
      <c r="X237" s="56"/>
      <c r="Y237" s="276" t="str">
        <f>IF(X237="","",IF(AND(X237="N/A - Culvert",C237&lt;&gt;"Culvert"),"Not possible ▲",IF(AND(C237="Culvert",X237&lt;&gt;"N/A - Culvert"),"Not possible ▲",IF(VLOOKUP(X237,'G-7 WaterC'' Data'!$AD$4:$AE$14,2,FALSE)=0,"Enrcoachment Data Missing ⚠",VLOOKUP(X237,'G-7 WaterC'' Data'!$AD$4:$AE$14,2,FALSE)))))</f>
        <v/>
      </c>
      <c r="Z237" s="102"/>
      <c r="AA237" s="276" t="str">
        <f>IF(Z237="","",IF(VLOOKUP(Z237,'G-7 WaterC'' Data'!$AO$4:$BO$7,2,FALSE)=0,"Spatial Data Missing ⚠",VLOOKUP(Z237,'G-7 WaterC'' Data'!$AO$4:$BO$7,2,FALSE)))</f>
        <v/>
      </c>
      <c r="AB237" s="317" t="str">
        <f t="shared" si="25"/>
        <v/>
      </c>
      <c r="AC237" s="317" t="str">
        <f t="shared" si="26"/>
        <v/>
      </c>
      <c r="AD237" s="101"/>
      <c r="AE237" s="938"/>
      <c r="AF237" s="138"/>
      <c r="AG237" s="138"/>
      <c r="AH237" s="934"/>
      <c r="AL237" s="30" t="str">
        <f>IFERROR(INDEX('G-7 WaterC'' Data'!$AZ$3:$AZ$7,MATCH(C237,'G-7 WaterC'' Data'!$AY$3:$AY$7,0)),"")</f>
        <v/>
      </c>
      <c r="AN237" s="30" t="str">
        <f t="shared" si="27"/>
        <v>No</v>
      </c>
    </row>
    <row r="238" spans="2:40" ht="14">
      <c r="B238" s="97">
        <v>227</v>
      </c>
      <c r="C238" s="923"/>
      <c r="D238" s="115"/>
      <c r="E238" s="275" t="str">
        <f>IF(C238="","",VLOOKUP(C238,'G-7 WaterC'' Data'!$B$2:$Z$9,2,FALSE))</f>
        <v/>
      </c>
      <c r="F238" s="276" t="str">
        <f>IFERROR(VLOOKUP(E238,'G-7 WaterC'' Data'!$C$4:$D$8,2,FALSE),"")</f>
        <v/>
      </c>
      <c r="G238" s="52"/>
      <c r="H238" s="276" t="str">
        <f>IFERROR(INDEX('G-7 WaterC'' Data'!$H$4:$L$8,MATCH(C238,'G-7 WaterC'' Data'!$B$4:$B$8,0),MATCH(G238,'G-7 WaterC'' Data'!$H$3:$L$3,0)),"")</f>
        <v/>
      </c>
      <c r="I238" s="52"/>
      <c r="J238" s="314" t="str">
        <f>IF(I238="","",IF(VLOOKUP(I238,'G-7 WaterC'' Data'!$AK$4:$AM$6,2,FALSE)=0,"Spatial Data Missing ⚠",VLOOKUP(I238,'G-7 WaterC'' Data'!$AK$4:$AM$6,2,FALSE)))</f>
        <v/>
      </c>
      <c r="K238" s="276" t="str">
        <f>IF(I238="","",IF(VLOOKUP(I238,'G-7 WaterC'' Data'!$AK$4:$AM$6,3,FALSE)=0,"Spatial Data Missing ⚠",VLOOKUP(I238,'G-7 WaterC'' Data'!$AK$4:$AM$6,3,FALSE)))</f>
        <v/>
      </c>
      <c r="L238" s="372" t="str">
        <f>IFERROR(INDEX('G-7 WaterC'' Data'!$O$3:$O$7,MATCH(G238,'G-7 WaterC'' Data'!$N$3:$N$7,0)),"")</f>
        <v/>
      </c>
      <c r="M238" s="53"/>
      <c r="N238" s="133"/>
      <c r="O238" s="283" t="str">
        <f t="shared" si="21"/>
        <v/>
      </c>
      <c r="P238" s="296" t="str">
        <f t="shared" si="22"/>
        <v/>
      </c>
      <c r="Q238" s="334" t="str">
        <f>IFERROR(IF(P238="Check Data ⚠","Check Data ⚠",VLOOKUP(P238,'G-4 Temporal multipliers'!$A$4:$C$37,3,FALSE)),"")</f>
        <v/>
      </c>
      <c r="R238" s="275" t="str">
        <f>IF(C238="","",VLOOKUP(C238,'G-7 WaterC'' Data'!$B$4:$G$8,4,FALSE))</f>
        <v/>
      </c>
      <c r="S238" s="283" t="str">
        <f t="shared" si="23"/>
        <v/>
      </c>
      <c r="T238" s="314" t="str">
        <f t="shared" si="24"/>
        <v/>
      </c>
      <c r="U238" s="276" t="str">
        <f>IF(C238="","",VLOOKUP(T238,'G-3 Multipliers'!$P$2:$Q$6,2,FALSE))</f>
        <v/>
      </c>
      <c r="V238" s="102"/>
      <c r="W238" s="276" t="str">
        <f>IF(V238="","",IF(AND(V238="N/A - Culvert",C238&lt;&gt;"Culvert"),"Not possible ▲",IF(AND(C238="Culvert",V238&lt;&gt;"N/A - Culvert"),"Not possible ▲",IF(VLOOKUP(V238,'G-7 WaterC'' Data'!$AA$4:$AB$7,2,FALSE)=0,"Spatial Data Missing ⚠",VLOOKUP(V238,'G-7 WaterC'' Data'!$AA$4:$AB$7,2,FALSE)))))</f>
        <v/>
      </c>
      <c r="X238" s="56"/>
      <c r="Y238" s="276" t="str">
        <f>IF(X238="","",IF(AND(X238="N/A - Culvert",C238&lt;&gt;"Culvert"),"Not possible ▲",IF(AND(C238="Culvert",X238&lt;&gt;"N/A - Culvert"),"Not possible ▲",IF(VLOOKUP(X238,'G-7 WaterC'' Data'!$AD$4:$AE$14,2,FALSE)=0,"Enrcoachment Data Missing ⚠",VLOOKUP(X238,'G-7 WaterC'' Data'!$AD$4:$AE$14,2,FALSE)))))</f>
        <v/>
      </c>
      <c r="Z238" s="102"/>
      <c r="AA238" s="276" t="str">
        <f>IF(Z238="","",IF(VLOOKUP(Z238,'G-7 WaterC'' Data'!$AO$4:$BO$7,2,FALSE)=0,"Spatial Data Missing ⚠",VLOOKUP(Z238,'G-7 WaterC'' Data'!$AO$4:$BO$7,2,FALSE)))</f>
        <v/>
      </c>
      <c r="AB238" s="317" t="str">
        <f t="shared" si="25"/>
        <v/>
      </c>
      <c r="AC238" s="317" t="str">
        <f t="shared" si="26"/>
        <v/>
      </c>
      <c r="AD238" s="101"/>
      <c r="AE238" s="938"/>
      <c r="AF238" s="138"/>
      <c r="AG238" s="138"/>
      <c r="AH238" s="934"/>
      <c r="AL238" s="30" t="str">
        <f>IFERROR(INDEX('G-7 WaterC'' Data'!$AZ$3:$AZ$7,MATCH(C238,'G-7 WaterC'' Data'!$AY$3:$AY$7,0)),"")</f>
        <v/>
      </c>
      <c r="AN238" s="30" t="str">
        <f t="shared" si="27"/>
        <v>No</v>
      </c>
    </row>
    <row r="239" spans="2:40" ht="14">
      <c r="B239" s="97">
        <v>228</v>
      </c>
      <c r="C239" s="923"/>
      <c r="D239" s="115"/>
      <c r="E239" s="275" t="str">
        <f>IF(C239="","",VLOOKUP(C239,'G-7 WaterC'' Data'!$B$2:$Z$9,2,FALSE))</f>
        <v/>
      </c>
      <c r="F239" s="276" t="str">
        <f>IFERROR(VLOOKUP(E239,'G-7 WaterC'' Data'!$C$4:$D$8,2,FALSE),"")</f>
        <v/>
      </c>
      <c r="G239" s="52"/>
      <c r="H239" s="276" t="str">
        <f>IFERROR(INDEX('G-7 WaterC'' Data'!$H$4:$L$8,MATCH(C239,'G-7 WaterC'' Data'!$B$4:$B$8,0),MATCH(G239,'G-7 WaterC'' Data'!$H$3:$L$3,0)),"")</f>
        <v/>
      </c>
      <c r="I239" s="52"/>
      <c r="J239" s="314" t="str">
        <f>IF(I239="","",IF(VLOOKUP(I239,'G-7 WaterC'' Data'!$AK$4:$AM$6,2,FALSE)=0,"Spatial Data Missing ⚠",VLOOKUP(I239,'G-7 WaterC'' Data'!$AK$4:$AM$6,2,FALSE)))</f>
        <v/>
      </c>
      <c r="K239" s="276" t="str">
        <f>IF(I239="","",IF(VLOOKUP(I239,'G-7 WaterC'' Data'!$AK$4:$AM$6,3,FALSE)=0,"Spatial Data Missing ⚠",VLOOKUP(I239,'G-7 WaterC'' Data'!$AK$4:$AM$6,3,FALSE)))</f>
        <v/>
      </c>
      <c r="L239" s="372" t="str">
        <f>IFERROR(INDEX('G-7 WaterC'' Data'!$O$3:$O$7,MATCH(G239,'G-7 WaterC'' Data'!$N$3:$N$7,0)),"")</f>
        <v/>
      </c>
      <c r="M239" s="53"/>
      <c r="N239" s="133"/>
      <c r="O239" s="283" t="str">
        <f t="shared" si="21"/>
        <v/>
      </c>
      <c r="P239" s="296" t="str">
        <f t="shared" si="22"/>
        <v/>
      </c>
      <c r="Q239" s="334" t="str">
        <f>IFERROR(IF(P239="Check Data ⚠","Check Data ⚠",VLOOKUP(P239,'G-4 Temporal multipliers'!$A$4:$C$37,3,FALSE)),"")</f>
        <v/>
      </c>
      <c r="R239" s="275" t="str">
        <f>IF(C239="","",VLOOKUP(C239,'G-7 WaterC'' Data'!$B$4:$G$8,4,FALSE))</f>
        <v/>
      </c>
      <c r="S239" s="283" t="str">
        <f t="shared" si="23"/>
        <v/>
      </c>
      <c r="T239" s="314" t="str">
        <f t="shared" si="24"/>
        <v/>
      </c>
      <c r="U239" s="276" t="str">
        <f>IF(C239="","",VLOOKUP(T239,'G-3 Multipliers'!$P$2:$Q$6,2,FALSE))</f>
        <v/>
      </c>
      <c r="V239" s="102"/>
      <c r="W239" s="276" t="str">
        <f>IF(V239="","",IF(AND(V239="N/A - Culvert",C239&lt;&gt;"Culvert"),"Not possible ▲",IF(AND(C239="Culvert",V239&lt;&gt;"N/A - Culvert"),"Not possible ▲",IF(VLOOKUP(V239,'G-7 WaterC'' Data'!$AA$4:$AB$7,2,FALSE)=0,"Spatial Data Missing ⚠",VLOOKUP(V239,'G-7 WaterC'' Data'!$AA$4:$AB$7,2,FALSE)))))</f>
        <v/>
      </c>
      <c r="X239" s="56"/>
      <c r="Y239" s="276" t="str">
        <f>IF(X239="","",IF(AND(X239="N/A - Culvert",C239&lt;&gt;"Culvert"),"Not possible ▲",IF(AND(C239="Culvert",X239&lt;&gt;"N/A - Culvert"),"Not possible ▲",IF(VLOOKUP(X239,'G-7 WaterC'' Data'!$AD$4:$AE$14,2,FALSE)=0,"Enrcoachment Data Missing ⚠",VLOOKUP(X239,'G-7 WaterC'' Data'!$AD$4:$AE$14,2,FALSE)))))</f>
        <v/>
      </c>
      <c r="Z239" s="102"/>
      <c r="AA239" s="276" t="str">
        <f>IF(Z239="","",IF(VLOOKUP(Z239,'G-7 WaterC'' Data'!$AO$4:$BO$7,2,FALSE)=0,"Spatial Data Missing ⚠",VLOOKUP(Z239,'G-7 WaterC'' Data'!$AO$4:$BO$7,2,FALSE)))</f>
        <v/>
      </c>
      <c r="AB239" s="317" t="str">
        <f t="shared" si="25"/>
        <v/>
      </c>
      <c r="AC239" s="317" t="str">
        <f t="shared" si="26"/>
        <v/>
      </c>
      <c r="AD239" s="101"/>
      <c r="AE239" s="938"/>
      <c r="AF239" s="138"/>
      <c r="AG239" s="138"/>
      <c r="AH239" s="934"/>
      <c r="AL239" s="30" t="str">
        <f>IFERROR(INDEX('G-7 WaterC'' Data'!$AZ$3:$AZ$7,MATCH(C239,'G-7 WaterC'' Data'!$AY$3:$AY$7,0)),"")</f>
        <v/>
      </c>
      <c r="AN239" s="30" t="str">
        <f t="shared" si="27"/>
        <v>No</v>
      </c>
    </row>
    <row r="240" spans="2:40" ht="14">
      <c r="B240" s="97">
        <v>229</v>
      </c>
      <c r="C240" s="923"/>
      <c r="D240" s="115"/>
      <c r="E240" s="275" t="str">
        <f>IF(C240="","",VLOOKUP(C240,'G-7 WaterC'' Data'!$B$2:$Z$9,2,FALSE))</f>
        <v/>
      </c>
      <c r="F240" s="276" t="str">
        <f>IFERROR(VLOOKUP(E240,'G-7 WaterC'' Data'!$C$4:$D$8,2,FALSE),"")</f>
        <v/>
      </c>
      <c r="G240" s="52"/>
      <c r="H240" s="276" t="str">
        <f>IFERROR(INDEX('G-7 WaterC'' Data'!$H$4:$L$8,MATCH(C240,'G-7 WaterC'' Data'!$B$4:$B$8,0),MATCH(G240,'G-7 WaterC'' Data'!$H$3:$L$3,0)),"")</f>
        <v/>
      </c>
      <c r="I240" s="52"/>
      <c r="J240" s="314" t="str">
        <f>IF(I240="","",IF(VLOOKUP(I240,'G-7 WaterC'' Data'!$AK$4:$AM$6,2,FALSE)=0,"Spatial Data Missing ⚠",VLOOKUP(I240,'G-7 WaterC'' Data'!$AK$4:$AM$6,2,FALSE)))</f>
        <v/>
      </c>
      <c r="K240" s="276" t="str">
        <f>IF(I240="","",IF(VLOOKUP(I240,'G-7 WaterC'' Data'!$AK$4:$AM$6,3,FALSE)=0,"Spatial Data Missing ⚠",VLOOKUP(I240,'G-7 WaterC'' Data'!$AK$4:$AM$6,3,FALSE)))</f>
        <v/>
      </c>
      <c r="L240" s="372" t="str">
        <f>IFERROR(INDEX('G-7 WaterC'' Data'!$O$3:$O$7,MATCH(G240,'G-7 WaterC'' Data'!$N$3:$N$7,0)),"")</f>
        <v/>
      </c>
      <c r="M240" s="53"/>
      <c r="N240" s="133"/>
      <c r="O240" s="283" t="str">
        <f t="shared" si="21"/>
        <v/>
      </c>
      <c r="P240" s="296" t="str">
        <f t="shared" si="22"/>
        <v/>
      </c>
      <c r="Q240" s="334" t="str">
        <f>IFERROR(IF(P240="Check Data ⚠","Check Data ⚠",VLOOKUP(P240,'G-4 Temporal multipliers'!$A$4:$C$37,3,FALSE)),"")</f>
        <v/>
      </c>
      <c r="R240" s="275" t="str">
        <f>IF(C240="","",VLOOKUP(C240,'G-7 WaterC'' Data'!$B$4:$G$8,4,FALSE))</f>
        <v/>
      </c>
      <c r="S240" s="283" t="str">
        <f t="shared" si="23"/>
        <v/>
      </c>
      <c r="T240" s="314" t="str">
        <f t="shared" si="24"/>
        <v/>
      </c>
      <c r="U240" s="276" t="str">
        <f>IF(C240="","",VLOOKUP(T240,'G-3 Multipliers'!$P$2:$Q$6,2,FALSE))</f>
        <v/>
      </c>
      <c r="V240" s="102"/>
      <c r="W240" s="276" t="str">
        <f>IF(V240="","",IF(AND(V240="N/A - Culvert",C240&lt;&gt;"Culvert"),"Not possible ▲",IF(AND(C240="Culvert",V240&lt;&gt;"N/A - Culvert"),"Not possible ▲",IF(VLOOKUP(V240,'G-7 WaterC'' Data'!$AA$4:$AB$7,2,FALSE)=0,"Spatial Data Missing ⚠",VLOOKUP(V240,'G-7 WaterC'' Data'!$AA$4:$AB$7,2,FALSE)))))</f>
        <v/>
      </c>
      <c r="X240" s="56"/>
      <c r="Y240" s="276" t="str">
        <f>IF(X240="","",IF(AND(X240="N/A - Culvert",C240&lt;&gt;"Culvert"),"Not possible ▲",IF(AND(C240="Culvert",X240&lt;&gt;"N/A - Culvert"),"Not possible ▲",IF(VLOOKUP(X240,'G-7 WaterC'' Data'!$AD$4:$AE$14,2,FALSE)=0,"Enrcoachment Data Missing ⚠",VLOOKUP(X240,'G-7 WaterC'' Data'!$AD$4:$AE$14,2,FALSE)))))</f>
        <v/>
      </c>
      <c r="Z240" s="102"/>
      <c r="AA240" s="276" t="str">
        <f>IF(Z240="","",IF(VLOOKUP(Z240,'G-7 WaterC'' Data'!$AO$4:$BO$7,2,FALSE)=0,"Spatial Data Missing ⚠",VLOOKUP(Z240,'G-7 WaterC'' Data'!$AO$4:$BO$7,2,FALSE)))</f>
        <v/>
      </c>
      <c r="AB240" s="317" t="str">
        <f t="shared" si="25"/>
        <v/>
      </c>
      <c r="AC240" s="317" t="str">
        <f t="shared" si="26"/>
        <v/>
      </c>
      <c r="AD240" s="101"/>
      <c r="AE240" s="938"/>
      <c r="AF240" s="138"/>
      <c r="AG240" s="138"/>
      <c r="AH240" s="934"/>
      <c r="AL240" s="30" t="str">
        <f>IFERROR(INDEX('G-7 WaterC'' Data'!$AZ$3:$AZ$7,MATCH(C240,'G-7 WaterC'' Data'!$AY$3:$AY$7,0)),"")</f>
        <v/>
      </c>
      <c r="AN240" s="30" t="str">
        <f t="shared" si="27"/>
        <v>No</v>
      </c>
    </row>
    <row r="241" spans="2:40" ht="14">
      <c r="B241" s="97">
        <v>230</v>
      </c>
      <c r="C241" s="923"/>
      <c r="D241" s="115"/>
      <c r="E241" s="275" t="str">
        <f>IF(C241="","",VLOOKUP(C241,'G-7 WaterC'' Data'!$B$2:$Z$9,2,FALSE))</f>
        <v/>
      </c>
      <c r="F241" s="276" t="str">
        <f>IFERROR(VLOOKUP(E241,'G-7 WaterC'' Data'!$C$4:$D$8,2,FALSE),"")</f>
        <v/>
      </c>
      <c r="G241" s="52"/>
      <c r="H241" s="276" t="str">
        <f>IFERROR(INDEX('G-7 WaterC'' Data'!$H$4:$L$8,MATCH(C241,'G-7 WaterC'' Data'!$B$4:$B$8,0),MATCH(G241,'G-7 WaterC'' Data'!$H$3:$L$3,0)),"")</f>
        <v/>
      </c>
      <c r="I241" s="52"/>
      <c r="J241" s="314" t="str">
        <f>IF(I241="","",IF(VLOOKUP(I241,'G-7 WaterC'' Data'!$AK$4:$AM$6,2,FALSE)=0,"Spatial Data Missing ⚠",VLOOKUP(I241,'G-7 WaterC'' Data'!$AK$4:$AM$6,2,FALSE)))</f>
        <v/>
      </c>
      <c r="K241" s="276" t="str">
        <f>IF(I241="","",IF(VLOOKUP(I241,'G-7 WaterC'' Data'!$AK$4:$AM$6,3,FALSE)=0,"Spatial Data Missing ⚠",VLOOKUP(I241,'G-7 WaterC'' Data'!$AK$4:$AM$6,3,FALSE)))</f>
        <v/>
      </c>
      <c r="L241" s="372" t="str">
        <f>IFERROR(INDEX('G-7 WaterC'' Data'!$O$3:$O$7,MATCH(G241,'G-7 WaterC'' Data'!$N$3:$N$7,0)),"")</f>
        <v/>
      </c>
      <c r="M241" s="53"/>
      <c r="N241" s="133"/>
      <c r="O241" s="283" t="str">
        <f t="shared" si="21"/>
        <v/>
      </c>
      <c r="P241" s="296" t="str">
        <f t="shared" si="22"/>
        <v/>
      </c>
      <c r="Q241" s="334" t="str">
        <f>IFERROR(IF(P241="Check Data ⚠","Check Data ⚠",VLOOKUP(P241,'G-4 Temporal multipliers'!$A$4:$C$37,3,FALSE)),"")</f>
        <v/>
      </c>
      <c r="R241" s="275" t="str">
        <f>IF(C241="","",VLOOKUP(C241,'G-7 WaterC'' Data'!$B$4:$G$8,4,FALSE))</f>
        <v/>
      </c>
      <c r="S241" s="283" t="str">
        <f t="shared" si="23"/>
        <v/>
      </c>
      <c r="T241" s="314" t="str">
        <f t="shared" si="24"/>
        <v/>
      </c>
      <c r="U241" s="276" t="str">
        <f>IF(C241="","",VLOOKUP(T241,'G-3 Multipliers'!$P$2:$Q$6,2,FALSE))</f>
        <v/>
      </c>
      <c r="V241" s="102"/>
      <c r="W241" s="276" t="str">
        <f>IF(V241="","",IF(AND(V241="N/A - Culvert",C241&lt;&gt;"Culvert"),"Not possible ▲",IF(AND(C241="Culvert",V241&lt;&gt;"N/A - Culvert"),"Not possible ▲",IF(VLOOKUP(V241,'G-7 WaterC'' Data'!$AA$4:$AB$7,2,FALSE)=0,"Spatial Data Missing ⚠",VLOOKUP(V241,'G-7 WaterC'' Data'!$AA$4:$AB$7,2,FALSE)))))</f>
        <v/>
      </c>
      <c r="X241" s="56"/>
      <c r="Y241" s="276" t="str">
        <f>IF(X241="","",IF(AND(X241="N/A - Culvert",C241&lt;&gt;"Culvert"),"Not possible ▲",IF(AND(C241="Culvert",X241&lt;&gt;"N/A - Culvert"),"Not possible ▲",IF(VLOOKUP(X241,'G-7 WaterC'' Data'!$AD$4:$AE$14,2,FALSE)=0,"Enrcoachment Data Missing ⚠",VLOOKUP(X241,'G-7 WaterC'' Data'!$AD$4:$AE$14,2,FALSE)))))</f>
        <v/>
      </c>
      <c r="Z241" s="102"/>
      <c r="AA241" s="276" t="str">
        <f>IF(Z241="","",IF(VLOOKUP(Z241,'G-7 WaterC'' Data'!$AO$4:$BO$7,2,FALSE)=0,"Spatial Data Missing ⚠",VLOOKUP(Z241,'G-7 WaterC'' Data'!$AO$4:$BO$7,2,FALSE)))</f>
        <v/>
      </c>
      <c r="AB241" s="317" t="str">
        <f t="shared" si="25"/>
        <v/>
      </c>
      <c r="AC241" s="317" t="str">
        <f t="shared" si="26"/>
        <v/>
      </c>
      <c r="AD241" s="101"/>
      <c r="AE241" s="938"/>
      <c r="AF241" s="138"/>
      <c r="AG241" s="138"/>
      <c r="AH241" s="934"/>
      <c r="AL241" s="30" t="str">
        <f>IFERROR(INDEX('G-7 WaterC'' Data'!$AZ$3:$AZ$7,MATCH(C241,'G-7 WaterC'' Data'!$AY$3:$AY$7,0)),"")</f>
        <v/>
      </c>
      <c r="AN241" s="30" t="str">
        <f t="shared" si="27"/>
        <v>No</v>
      </c>
    </row>
    <row r="242" spans="2:40" ht="14">
      <c r="B242" s="97">
        <v>231</v>
      </c>
      <c r="C242" s="923"/>
      <c r="D242" s="115"/>
      <c r="E242" s="275" t="str">
        <f>IF(C242="","",VLOOKUP(C242,'G-7 WaterC'' Data'!$B$2:$Z$9,2,FALSE))</f>
        <v/>
      </c>
      <c r="F242" s="276" t="str">
        <f>IFERROR(VLOOKUP(E242,'G-7 WaterC'' Data'!$C$4:$D$8,2,FALSE),"")</f>
        <v/>
      </c>
      <c r="G242" s="52"/>
      <c r="H242" s="276" t="str">
        <f>IFERROR(INDEX('G-7 WaterC'' Data'!$H$4:$L$8,MATCH(C242,'G-7 WaterC'' Data'!$B$4:$B$8,0),MATCH(G242,'G-7 WaterC'' Data'!$H$3:$L$3,0)),"")</f>
        <v/>
      </c>
      <c r="I242" s="52"/>
      <c r="J242" s="314" t="str">
        <f>IF(I242="","",IF(VLOOKUP(I242,'G-7 WaterC'' Data'!$AK$4:$AM$6,2,FALSE)=0,"Spatial Data Missing ⚠",VLOOKUP(I242,'G-7 WaterC'' Data'!$AK$4:$AM$6,2,FALSE)))</f>
        <v/>
      </c>
      <c r="K242" s="276" t="str">
        <f>IF(I242="","",IF(VLOOKUP(I242,'G-7 WaterC'' Data'!$AK$4:$AM$6,3,FALSE)=0,"Spatial Data Missing ⚠",VLOOKUP(I242,'G-7 WaterC'' Data'!$AK$4:$AM$6,3,FALSE)))</f>
        <v/>
      </c>
      <c r="L242" s="372" t="str">
        <f>IFERROR(INDEX('G-7 WaterC'' Data'!$O$3:$O$7,MATCH(G242,'G-7 WaterC'' Data'!$N$3:$N$7,0)),"")</f>
        <v/>
      </c>
      <c r="M242" s="53"/>
      <c r="N242" s="133"/>
      <c r="O242" s="283" t="str">
        <f t="shared" si="21"/>
        <v/>
      </c>
      <c r="P242" s="296" t="str">
        <f t="shared" si="22"/>
        <v/>
      </c>
      <c r="Q242" s="334" t="str">
        <f>IFERROR(IF(P242="Check Data ⚠","Check Data ⚠",VLOOKUP(P242,'G-4 Temporal multipliers'!$A$4:$C$37,3,FALSE)),"")</f>
        <v/>
      </c>
      <c r="R242" s="275" t="str">
        <f>IF(C242="","",VLOOKUP(C242,'G-7 WaterC'' Data'!$B$4:$G$8,4,FALSE))</f>
        <v/>
      </c>
      <c r="S242" s="283" t="str">
        <f t="shared" si="23"/>
        <v/>
      </c>
      <c r="T242" s="314" t="str">
        <f t="shared" si="24"/>
        <v/>
      </c>
      <c r="U242" s="276" t="str">
        <f>IF(C242="","",VLOOKUP(T242,'G-3 Multipliers'!$P$2:$Q$6,2,FALSE))</f>
        <v/>
      </c>
      <c r="V242" s="102"/>
      <c r="W242" s="276" t="str">
        <f>IF(V242="","",IF(AND(V242="N/A - Culvert",C242&lt;&gt;"Culvert"),"Not possible ▲",IF(AND(C242="Culvert",V242&lt;&gt;"N/A - Culvert"),"Not possible ▲",IF(VLOOKUP(V242,'G-7 WaterC'' Data'!$AA$4:$AB$7,2,FALSE)=0,"Spatial Data Missing ⚠",VLOOKUP(V242,'G-7 WaterC'' Data'!$AA$4:$AB$7,2,FALSE)))))</f>
        <v/>
      </c>
      <c r="X242" s="56"/>
      <c r="Y242" s="276" t="str">
        <f>IF(X242="","",IF(AND(X242="N/A - Culvert",C242&lt;&gt;"Culvert"),"Not possible ▲",IF(AND(C242="Culvert",X242&lt;&gt;"N/A - Culvert"),"Not possible ▲",IF(VLOOKUP(X242,'G-7 WaterC'' Data'!$AD$4:$AE$14,2,FALSE)=0,"Enrcoachment Data Missing ⚠",VLOOKUP(X242,'G-7 WaterC'' Data'!$AD$4:$AE$14,2,FALSE)))))</f>
        <v/>
      </c>
      <c r="Z242" s="102"/>
      <c r="AA242" s="276" t="str">
        <f>IF(Z242="","",IF(VLOOKUP(Z242,'G-7 WaterC'' Data'!$AO$4:$BO$7,2,FALSE)=0,"Spatial Data Missing ⚠",VLOOKUP(Z242,'G-7 WaterC'' Data'!$AO$4:$BO$7,2,FALSE)))</f>
        <v/>
      </c>
      <c r="AB242" s="317" t="str">
        <f t="shared" si="25"/>
        <v/>
      </c>
      <c r="AC242" s="317" t="str">
        <f t="shared" si="26"/>
        <v/>
      </c>
      <c r="AD242" s="101"/>
      <c r="AE242" s="938"/>
      <c r="AF242" s="138"/>
      <c r="AG242" s="138"/>
      <c r="AH242" s="934"/>
      <c r="AL242" s="30" t="str">
        <f>IFERROR(INDEX('G-7 WaterC'' Data'!$AZ$3:$AZ$7,MATCH(C242,'G-7 WaterC'' Data'!$AY$3:$AY$7,0)),"")</f>
        <v/>
      </c>
      <c r="AN242" s="30" t="str">
        <f t="shared" si="27"/>
        <v>No</v>
      </c>
    </row>
    <row r="243" spans="2:40" ht="14">
      <c r="B243" s="97">
        <v>232</v>
      </c>
      <c r="C243" s="923"/>
      <c r="D243" s="115"/>
      <c r="E243" s="275" t="str">
        <f>IF(C243="","",VLOOKUP(C243,'G-7 WaterC'' Data'!$B$2:$Z$9,2,FALSE))</f>
        <v/>
      </c>
      <c r="F243" s="276" t="str">
        <f>IFERROR(VLOOKUP(E243,'G-7 WaterC'' Data'!$C$4:$D$8,2,FALSE),"")</f>
        <v/>
      </c>
      <c r="G243" s="52"/>
      <c r="H243" s="276" t="str">
        <f>IFERROR(INDEX('G-7 WaterC'' Data'!$H$4:$L$8,MATCH(C243,'G-7 WaterC'' Data'!$B$4:$B$8,0),MATCH(G243,'G-7 WaterC'' Data'!$H$3:$L$3,0)),"")</f>
        <v/>
      </c>
      <c r="I243" s="52"/>
      <c r="J243" s="314" t="str">
        <f>IF(I243="","",IF(VLOOKUP(I243,'G-7 WaterC'' Data'!$AK$4:$AM$6,2,FALSE)=0,"Spatial Data Missing ⚠",VLOOKUP(I243,'G-7 WaterC'' Data'!$AK$4:$AM$6,2,FALSE)))</f>
        <v/>
      </c>
      <c r="K243" s="276" t="str">
        <f>IF(I243="","",IF(VLOOKUP(I243,'G-7 WaterC'' Data'!$AK$4:$AM$6,3,FALSE)=0,"Spatial Data Missing ⚠",VLOOKUP(I243,'G-7 WaterC'' Data'!$AK$4:$AM$6,3,FALSE)))</f>
        <v/>
      </c>
      <c r="L243" s="372" t="str">
        <f>IFERROR(INDEX('G-7 WaterC'' Data'!$O$3:$O$7,MATCH(G243,'G-7 WaterC'' Data'!$N$3:$N$7,0)),"")</f>
        <v/>
      </c>
      <c r="M243" s="53"/>
      <c r="N243" s="133"/>
      <c r="O243" s="283" t="str">
        <f t="shared" si="21"/>
        <v/>
      </c>
      <c r="P243" s="296" t="str">
        <f t="shared" si="22"/>
        <v/>
      </c>
      <c r="Q243" s="334" t="str">
        <f>IFERROR(IF(P243="Check Data ⚠","Check Data ⚠",VLOOKUP(P243,'G-4 Temporal multipliers'!$A$4:$C$37,3,FALSE)),"")</f>
        <v/>
      </c>
      <c r="R243" s="275" t="str">
        <f>IF(C243="","",VLOOKUP(C243,'G-7 WaterC'' Data'!$B$4:$G$8,4,FALSE))</f>
        <v/>
      </c>
      <c r="S243" s="283" t="str">
        <f t="shared" si="23"/>
        <v/>
      </c>
      <c r="T243" s="314" t="str">
        <f t="shared" si="24"/>
        <v/>
      </c>
      <c r="U243" s="276" t="str">
        <f>IF(C243="","",VLOOKUP(T243,'G-3 Multipliers'!$P$2:$Q$6,2,FALSE))</f>
        <v/>
      </c>
      <c r="V243" s="102"/>
      <c r="W243" s="276" t="str">
        <f>IF(V243="","",IF(AND(V243="N/A - Culvert",C243&lt;&gt;"Culvert"),"Not possible ▲",IF(AND(C243="Culvert",V243&lt;&gt;"N/A - Culvert"),"Not possible ▲",IF(VLOOKUP(V243,'G-7 WaterC'' Data'!$AA$4:$AB$7,2,FALSE)=0,"Spatial Data Missing ⚠",VLOOKUP(V243,'G-7 WaterC'' Data'!$AA$4:$AB$7,2,FALSE)))))</f>
        <v/>
      </c>
      <c r="X243" s="56"/>
      <c r="Y243" s="276" t="str">
        <f>IF(X243="","",IF(AND(X243="N/A - Culvert",C243&lt;&gt;"Culvert"),"Not possible ▲",IF(AND(C243="Culvert",X243&lt;&gt;"N/A - Culvert"),"Not possible ▲",IF(VLOOKUP(X243,'G-7 WaterC'' Data'!$AD$4:$AE$14,2,FALSE)=0,"Enrcoachment Data Missing ⚠",VLOOKUP(X243,'G-7 WaterC'' Data'!$AD$4:$AE$14,2,FALSE)))))</f>
        <v/>
      </c>
      <c r="Z243" s="102"/>
      <c r="AA243" s="276" t="str">
        <f>IF(Z243="","",IF(VLOOKUP(Z243,'G-7 WaterC'' Data'!$AO$4:$BO$7,2,FALSE)=0,"Spatial Data Missing ⚠",VLOOKUP(Z243,'G-7 WaterC'' Data'!$AO$4:$BO$7,2,FALSE)))</f>
        <v/>
      </c>
      <c r="AB243" s="317" t="str">
        <f t="shared" si="25"/>
        <v/>
      </c>
      <c r="AC243" s="317" t="str">
        <f t="shared" si="26"/>
        <v/>
      </c>
      <c r="AD243" s="101"/>
      <c r="AE243" s="938"/>
      <c r="AF243" s="138"/>
      <c r="AG243" s="138"/>
      <c r="AH243" s="934"/>
      <c r="AL243" s="30" t="str">
        <f>IFERROR(INDEX('G-7 WaterC'' Data'!$AZ$3:$AZ$7,MATCH(C243,'G-7 WaterC'' Data'!$AY$3:$AY$7,0)),"")</f>
        <v/>
      </c>
      <c r="AN243" s="30" t="str">
        <f t="shared" si="27"/>
        <v>No</v>
      </c>
    </row>
    <row r="244" spans="2:40" ht="14">
      <c r="B244" s="97">
        <v>233</v>
      </c>
      <c r="C244" s="923"/>
      <c r="D244" s="115"/>
      <c r="E244" s="275" t="str">
        <f>IF(C244="","",VLOOKUP(C244,'G-7 WaterC'' Data'!$B$2:$Z$9,2,FALSE))</f>
        <v/>
      </c>
      <c r="F244" s="276" t="str">
        <f>IFERROR(VLOOKUP(E244,'G-7 WaterC'' Data'!$C$4:$D$8,2,FALSE),"")</f>
        <v/>
      </c>
      <c r="G244" s="52"/>
      <c r="H244" s="276" t="str">
        <f>IFERROR(INDEX('G-7 WaterC'' Data'!$H$4:$L$8,MATCH(C244,'G-7 WaterC'' Data'!$B$4:$B$8,0),MATCH(G244,'G-7 WaterC'' Data'!$H$3:$L$3,0)),"")</f>
        <v/>
      </c>
      <c r="I244" s="52"/>
      <c r="J244" s="314" t="str">
        <f>IF(I244="","",IF(VLOOKUP(I244,'G-7 WaterC'' Data'!$AK$4:$AM$6,2,FALSE)=0,"Spatial Data Missing ⚠",VLOOKUP(I244,'G-7 WaterC'' Data'!$AK$4:$AM$6,2,FALSE)))</f>
        <v/>
      </c>
      <c r="K244" s="276" t="str">
        <f>IF(I244="","",IF(VLOOKUP(I244,'G-7 WaterC'' Data'!$AK$4:$AM$6,3,FALSE)=0,"Spatial Data Missing ⚠",VLOOKUP(I244,'G-7 WaterC'' Data'!$AK$4:$AM$6,3,FALSE)))</f>
        <v/>
      </c>
      <c r="L244" s="372" t="str">
        <f>IFERROR(INDEX('G-7 WaterC'' Data'!$O$3:$O$7,MATCH(G244,'G-7 WaterC'' Data'!$N$3:$N$7,0)),"")</f>
        <v/>
      </c>
      <c r="M244" s="53"/>
      <c r="N244" s="133"/>
      <c r="O244" s="283" t="str">
        <f t="shared" si="21"/>
        <v/>
      </c>
      <c r="P244" s="296" t="str">
        <f t="shared" si="22"/>
        <v/>
      </c>
      <c r="Q244" s="334" t="str">
        <f>IFERROR(IF(P244="Check Data ⚠","Check Data ⚠",VLOOKUP(P244,'G-4 Temporal multipliers'!$A$4:$C$37,3,FALSE)),"")</f>
        <v/>
      </c>
      <c r="R244" s="275" t="str">
        <f>IF(C244="","",VLOOKUP(C244,'G-7 WaterC'' Data'!$B$4:$G$8,4,FALSE))</f>
        <v/>
      </c>
      <c r="S244" s="283" t="str">
        <f t="shared" si="23"/>
        <v/>
      </c>
      <c r="T244" s="314" t="str">
        <f t="shared" si="24"/>
        <v/>
      </c>
      <c r="U244" s="276" t="str">
        <f>IF(C244="","",VLOOKUP(T244,'G-3 Multipliers'!$P$2:$Q$6,2,FALSE))</f>
        <v/>
      </c>
      <c r="V244" s="102"/>
      <c r="W244" s="276" t="str">
        <f>IF(V244="","",IF(AND(V244="N/A - Culvert",C244&lt;&gt;"Culvert"),"Not possible ▲",IF(AND(C244="Culvert",V244&lt;&gt;"N/A - Culvert"),"Not possible ▲",IF(VLOOKUP(V244,'G-7 WaterC'' Data'!$AA$4:$AB$7,2,FALSE)=0,"Spatial Data Missing ⚠",VLOOKUP(V244,'G-7 WaterC'' Data'!$AA$4:$AB$7,2,FALSE)))))</f>
        <v/>
      </c>
      <c r="X244" s="56"/>
      <c r="Y244" s="276" t="str">
        <f>IF(X244="","",IF(AND(X244="N/A - Culvert",C244&lt;&gt;"Culvert"),"Not possible ▲",IF(AND(C244="Culvert",X244&lt;&gt;"N/A - Culvert"),"Not possible ▲",IF(VLOOKUP(X244,'G-7 WaterC'' Data'!$AD$4:$AE$14,2,FALSE)=0,"Enrcoachment Data Missing ⚠",VLOOKUP(X244,'G-7 WaterC'' Data'!$AD$4:$AE$14,2,FALSE)))))</f>
        <v/>
      </c>
      <c r="Z244" s="102"/>
      <c r="AA244" s="276" t="str">
        <f>IF(Z244="","",IF(VLOOKUP(Z244,'G-7 WaterC'' Data'!$AO$4:$BO$7,2,FALSE)=0,"Spatial Data Missing ⚠",VLOOKUP(Z244,'G-7 WaterC'' Data'!$AO$4:$BO$7,2,FALSE)))</f>
        <v/>
      </c>
      <c r="AB244" s="317" t="str">
        <f t="shared" si="25"/>
        <v/>
      </c>
      <c r="AC244" s="317" t="str">
        <f t="shared" si="26"/>
        <v/>
      </c>
      <c r="AD244" s="101"/>
      <c r="AE244" s="938"/>
      <c r="AF244" s="138"/>
      <c r="AG244" s="138"/>
      <c r="AH244" s="934"/>
      <c r="AL244" s="30" t="str">
        <f>IFERROR(INDEX('G-7 WaterC'' Data'!$AZ$3:$AZ$7,MATCH(C244,'G-7 WaterC'' Data'!$AY$3:$AY$7,0)),"")</f>
        <v/>
      </c>
      <c r="AN244" s="30" t="str">
        <f t="shared" si="27"/>
        <v>No</v>
      </c>
    </row>
    <row r="245" spans="2:40" ht="14">
      <c r="B245" s="97">
        <v>234</v>
      </c>
      <c r="C245" s="923"/>
      <c r="D245" s="115"/>
      <c r="E245" s="275" t="str">
        <f>IF(C245="","",VLOOKUP(C245,'G-7 WaterC'' Data'!$B$2:$Z$9,2,FALSE))</f>
        <v/>
      </c>
      <c r="F245" s="276" t="str">
        <f>IFERROR(VLOOKUP(E245,'G-7 WaterC'' Data'!$C$4:$D$8,2,FALSE),"")</f>
        <v/>
      </c>
      <c r="G245" s="52"/>
      <c r="H245" s="276" t="str">
        <f>IFERROR(INDEX('G-7 WaterC'' Data'!$H$4:$L$8,MATCH(C245,'G-7 WaterC'' Data'!$B$4:$B$8,0),MATCH(G245,'G-7 WaterC'' Data'!$H$3:$L$3,0)),"")</f>
        <v/>
      </c>
      <c r="I245" s="52"/>
      <c r="J245" s="314" t="str">
        <f>IF(I245="","",IF(VLOOKUP(I245,'G-7 WaterC'' Data'!$AK$4:$AM$6,2,FALSE)=0,"Spatial Data Missing ⚠",VLOOKUP(I245,'G-7 WaterC'' Data'!$AK$4:$AM$6,2,FALSE)))</f>
        <v/>
      </c>
      <c r="K245" s="276" t="str">
        <f>IF(I245="","",IF(VLOOKUP(I245,'G-7 WaterC'' Data'!$AK$4:$AM$6,3,FALSE)=0,"Spatial Data Missing ⚠",VLOOKUP(I245,'G-7 WaterC'' Data'!$AK$4:$AM$6,3,FALSE)))</f>
        <v/>
      </c>
      <c r="L245" s="372" t="str">
        <f>IFERROR(INDEX('G-7 WaterC'' Data'!$O$3:$O$7,MATCH(G245,'G-7 WaterC'' Data'!$N$3:$N$7,0)),"")</f>
        <v/>
      </c>
      <c r="M245" s="53"/>
      <c r="N245" s="133"/>
      <c r="O245" s="283" t="str">
        <f t="shared" si="21"/>
        <v/>
      </c>
      <c r="P245" s="296" t="str">
        <f t="shared" si="22"/>
        <v/>
      </c>
      <c r="Q245" s="334" t="str">
        <f>IFERROR(IF(P245="Check Data ⚠","Check Data ⚠",VLOOKUP(P245,'G-4 Temporal multipliers'!$A$4:$C$37,3,FALSE)),"")</f>
        <v/>
      </c>
      <c r="R245" s="275" t="str">
        <f>IF(C245="","",VLOOKUP(C245,'G-7 WaterC'' Data'!$B$4:$G$8,4,FALSE))</f>
        <v/>
      </c>
      <c r="S245" s="283" t="str">
        <f t="shared" si="23"/>
        <v/>
      </c>
      <c r="T245" s="314" t="str">
        <f t="shared" si="24"/>
        <v/>
      </c>
      <c r="U245" s="276" t="str">
        <f>IF(C245="","",VLOOKUP(T245,'G-3 Multipliers'!$P$2:$Q$6,2,FALSE))</f>
        <v/>
      </c>
      <c r="V245" s="102"/>
      <c r="W245" s="276" t="str">
        <f>IF(V245="","",IF(AND(V245="N/A - Culvert",C245&lt;&gt;"Culvert"),"Not possible ▲",IF(AND(C245="Culvert",V245&lt;&gt;"N/A - Culvert"),"Not possible ▲",IF(VLOOKUP(V245,'G-7 WaterC'' Data'!$AA$4:$AB$7,2,FALSE)=0,"Spatial Data Missing ⚠",VLOOKUP(V245,'G-7 WaterC'' Data'!$AA$4:$AB$7,2,FALSE)))))</f>
        <v/>
      </c>
      <c r="X245" s="56"/>
      <c r="Y245" s="276" t="str">
        <f>IF(X245="","",IF(AND(X245="N/A - Culvert",C245&lt;&gt;"Culvert"),"Not possible ▲",IF(AND(C245="Culvert",X245&lt;&gt;"N/A - Culvert"),"Not possible ▲",IF(VLOOKUP(X245,'G-7 WaterC'' Data'!$AD$4:$AE$14,2,FALSE)=0,"Enrcoachment Data Missing ⚠",VLOOKUP(X245,'G-7 WaterC'' Data'!$AD$4:$AE$14,2,FALSE)))))</f>
        <v/>
      </c>
      <c r="Z245" s="102"/>
      <c r="AA245" s="276" t="str">
        <f>IF(Z245="","",IF(VLOOKUP(Z245,'G-7 WaterC'' Data'!$AO$4:$BO$7,2,FALSE)=0,"Spatial Data Missing ⚠",VLOOKUP(Z245,'G-7 WaterC'' Data'!$AO$4:$BO$7,2,FALSE)))</f>
        <v/>
      </c>
      <c r="AB245" s="317" t="str">
        <f t="shared" si="25"/>
        <v/>
      </c>
      <c r="AC245" s="317" t="str">
        <f t="shared" si="26"/>
        <v/>
      </c>
      <c r="AD245" s="101"/>
      <c r="AE245" s="938"/>
      <c r="AF245" s="138"/>
      <c r="AG245" s="138"/>
      <c r="AH245" s="934"/>
      <c r="AL245" s="30" t="str">
        <f>IFERROR(INDEX('G-7 WaterC'' Data'!$AZ$3:$AZ$7,MATCH(C245,'G-7 WaterC'' Data'!$AY$3:$AY$7,0)),"")</f>
        <v/>
      </c>
      <c r="AN245" s="30" t="str">
        <f t="shared" si="27"/>
        <v>No</v>
      </c>
    </row>
    <row r="246" spans="2:40" ht="14">
      <c r="B246" s="97">
        <v>235</v>
      </c>
      <c r="C246" s="923"/>
      <c r="D246" s="115"/>
      <c r="E246" s="275" t="str">
        <f>IF(C246="","",VLOOKUP(C246,'G-7 WaterC'' Data'!$B$2:$Z$9,2,FALSE))</f>
        <v/>
      </c>
      <c r="F246" s="276" t="str">
        <f>IFERROR(VLOOKUP(E246,'G-7 WaterC'' Data'!$C$4:$D$8,2,FALSE),"")</f>
        <v/>
      </c>
      <c r="G246" s="52"/>
      <c r="H246" s="276" t="str">
        <f>IFERROR(INDEX('G-7 WaterC'' Data'!$H$4:$L$8,MATCH(C246,'G-7 WaterC'' Data'!$B$4:$B$8,0),MATCH(G246,'G-7 WaterC'' Data'!$H$3:$L$3,0)),"")</f>
        <v/>
      </c>
      <c r="I246" s="52"/>
      <c r="J246" s="314" t="str">
        <f>IF(I246="","",IF(VLOOKUP(I246,'G-7 WaterC'' Data'!$AK$4:$AM$6,2,FALSE)=0,"Spatial Data Missing ⚠",VLOOKUP(I246,'G-7 WaterC'' Data'!$AK$4:$AM$6,2,FALSE)))</f>
        <v/>
      </c>
      <c r="K246" s="276" t="str">
        <f>IF(I246="","",IF(VLOOKUP(I246,'G-7 WaterC'' Data'!$AK$4:$AM$6,3,FALSE)=0,"Spatial Data Missing ⚠",VLOOKUP(I246,'G-7 WaterC'' Data'!$AK$4:$AM$6,3,FALSE)))</f>
        <v/>
      </c>
      <c r="L246" s="372" t="str">
        <f>IFERROR(INDEX('G-7 WaterC'' Data'!$O$3:$O$7,MATCH(G246,'G-7 WaterC'' Data'!$N$3:$N$7,0)),"")</f>
        <v/>
      </c>
      <c r="M246" s="53"/>
      <c r="N246" s="133"/>
      <c r="O246" s="283" t="str">
        <f t="shared" si="21"/>
        <v/>
      </c>
      <c r="P246" s="296" t="str">
        <f t="shared" si="22"/>
        <v/>
      </c>
      <c r="Q246" s="334" t="str">
        <f>IFERROR(IF(P246="Check Data ⚠","Check Data ⚠",VLOOKUP(P246,'G-4 Temporal multipliers'!$A$4:$C$37,3,FALSE)),"")</f>
        <v/>
      </c>
      <c r="R246" s="275" t="str">
        <f>IF(C246="","",VLOOKUP(C246,'G-7 WaterC'' Data'!$B$4:$G$8,4,FALSE))</f>
        <v/>
      </c>
      <c r="S246" s="283" t="str">
        <f t="shared" si="23"/>
        <v/>
      </c>
      <c r="T246" s="314" t="str">
        <f t="shared" si="24"/>
        <v/>
      </c>
      <c r="U246" s="276" t="str">
        <f>IF(C246="","",VLOOKUP(T246,'G-3 Multipliers'!$P$2:$Q$6,2,FALSE))</f>
        <v/>
      </c>
      <c r="V246" s="102"/>
      <c r="W246" s="276" t="str">
        <f>IF(V246="","",IF(AND(V246="N/A - Culvert",C246&lt;&gt;"Culvert"),"Not possible ▲",IF(AND(C246="Culvert",V246&lt;&gt;"N/A - Culvert"),"Not possible ▲",IF(VLOOKUP(V246,'G-7 WaterC'' Data'!$AA$4:$AB$7,2,FALSE)=0,"Spatial Data Missing ⚠",VLOOKUP(V246,'G-7 WaterC'' Data'!$AA$4:$AB$7,2,FALSE)))))</f>
        <v/>
      </c>
      <c r="X246" s="56"/>
      <c r="Y246" s="276" t="str">
        <f>IF(X246="","",IF(AND(X246="N/A - Culvert",C246&lt;&gt;"Culvert"),"Not possible ▲",IF(AND(C246="Culvert",X246&lt;&gt;"N/A - Culvert"),"Not possible ▲",IF(VLOOKUP(X246,'G-7 WaterC'' Data'!$AD$4:$AE$14,2,FALSE)=0,"Enrcoachment Data Missing ⚠",VLOOKUP(X246,'G-7 WaterC'' Data'!$AD$4:$AE$14,2,FALSE)))))</f>
        <v/>
      </c>
      <c r="Z246" s="102"/>
      <c r="AA246" s="276" t="str">
        <f>IF(Z246="","",IF(VLOOKUP(Z246,'G-7 WaterC'' Data'!$AO$4:$BO$7,2,FALSE)=0,"Spatial Data Missing ⚠",VLOOKUP(Z246,'G-7 WaterC'' Data'!$AO$4:$BO$7,2,FALSE)))</f>
        <v/>
      </c>
      <c r="AB246" s="317" t="str">
        <f t="shared" si="25"/>
        <v/>
      </c>
      <c r="AC246" s="317" t="str">
        <f t="shared" si="26"/>
        <v/>
      </c>
      <c r="AD246" s="101"/>
      <c r="AE246" s="938"/>
      <c r="AF246" s="138"/>
      <c r="AG246" s="138"/>
      <c r="AH246" s="934"/>
      <c r="AL246" s="30" t="str">
        <f>IFERROR(INDEX('G-7 WaterC'' Data'!$AZ$3:$AZ$7,MATCH(C246,'G-7 WaterC'' Data'!$AY$3:$AY$7,0)),"")</f>
        <v/>
      </c>
      <c r="AN246" s="30" t="str">
        <f t="shared" si="27"/>
        <v>No</v>
      </c>
    </row>
    <row r="247" spans="2:40" ht="14">
      <c r="B247" s="97">
        <v>236</v>
      </c>
      <c r="C247" s="923"/>
      <c r="D247" s="115"/>
      <c r="E247" s="275" t="str">
        <f>IF(C247="","",VLOOKUP(C247,'G-7 WaterC'' Data'!$B$2:$Z$9,2,FALSE))</f>
        <v/>
      </c>
      <c r="F247" s="276" t="str">
        <f>IFERROR(VLOOKUP(E247,'G-7 WaterC'' Data'!$C$4:$D$8,2,FALSE),"")</f>
        <v/>
      </c>
      <c r="G247" s="52"/>
      <c r="H247" s="276" t="str">
        <f>IFERROR(INDEX('G-7 WaterC'' Data'!$H$4:$L$8,MATCH(C247,'G-7 WaterC'' Data'!$B$4:$B$8,0),MATCH(G247,'G-7 WaterC'' Data'!$H$3:$L$3,0)),"")</f>
        <v/>
      </c>
      <c r="I247" s="52"/>
      <c r="J247" s="314" t="str">
        <f>IF(I247="","",IF(VLOOKUP(I247,'G-7 WaterC'' Data'!$AK$4:$AM$6,2,FALSE)=0,"Spatial Data Missing ⚠",VLOOKUP(I247,'G-7 WaterC'' Data'!$AK$4:$AM$6,2,FALSE)))</f>
        <v/>
      </c>
      <c r="K247" s="276" t="str">
        <f>IF(I247="","",IF(VLOOKUP(I247,'G-7 WaterC'' Data'!$AK$4:$AM$6,3,FALSE)=0,"Spatial Data Missing ⚠",VLOOKUP(I247,'G-7 WaterC'' Data'!$AK$4:$AM$6,3,FALSE)))</f>
        <v/>
      </c>
      <c r="L247" s="372" t="str">
        <f>IFERROR(INDEX('G-7 WaterC'' Data'!$O$3:$O$7,MATCH(G247,'G-7 WaterC'' Data'!$N$3:$N$7,0)),"")</f>
        <v/>
      </c>
      <c r="M247" s="53"/>
      <c r="N247" s="133"/>
      <c r="O247" s="283" t="str">
        <f t="shared" si="21"/>
        <v/>
      </c>
      <c r="P247" s="296" t="str">
        <f t="shared" si="22"/>
        <v/>
      </c>
      <c r="Q247" s="334" t="str">
        <f>IFERROR(IF(P247="Check Data ⚠","Check Data ⚠",VLOOKUP(P247,'G-4 Temporal multipliers'!$A$4:$C$37,3,FALSE)),"")</f>
        <v/>
      </c>
      <c r="R247" s="275" t="str">
        <f>IF(C247="","",VLOOKUP(C247,'G-7 WaterC'' Data'!$B$4:$G$8,4,FALSE))</f>
        <v/>
      </c>
      <c r="S247" s="283" t="str">
        <f t="shared" si="23"/>
        <v/>
      </c>
      <c r="T247" s="314" t="str">
        <f t="shared" si="24"/>
        <v/>
      </c>
      <c r="U247" s="276" t="str">
        <f>IF(C247="","",VLOOKUP(T247,'G-3 Multipliers'!$P$2:$Q$6,2,FALSE))</f>
        <v/>
      </c>
      <c r="V247" s="102"/>
      <c r="W247" s="276" t="str">
        <f>IF(V247="","",IF(AND(V247="N/A - Culvert",C247&lt;&gt;"Culvert"),"Not possible ▲",IF(AND(C247="Culvert",V247&lt;&gt;"N/A - Culvert"),"Not possible ▲",IF(VLOOKUP(V247,'G-7 WaterC'' Data'!$AA$4:$AB$7,2,FALSE)=0,"Spatial Data Missing ⚠",VLOOKUP(V247,'G-7 WaterC'' Data'!$AA$4:$AB$7,2,FALSE)))))</f>
        <v/>
      </c>
      <c r="X247" s="56"/>
      <c r="Y247" s="276" t="str">
        <f>IF(X247="","",IF(AND(X247="N/A - Culvert",C247&lt;&gt;"Culvert"),"Not possible ▲",IF(AND(C247="Culvert",X247&lt;&gt;"N/A - Culvert"),"Not possible ▲",IF(VLOOKUP(X247,'G-7 WaterC'' Data'!$AD$4:$AE$14,2,FALSE)=0,"Enrcoachment Data Missing ⚠",VLOOKUP(X247,'G-7 WaterC'' Data'!$AD$4:$AE$14,2,FALSE)))))</f>
        <v/>
      </c>
      <c r="Z247" s="102"/>
      <c r="AA247" s="276" t="str">
        <f>IF(Z247="","",IF(VLOOKUP(Z247,'G-7 WaterC'' Data'!$AO$4:$BO$7,2,FALSE)=0,"Spatial Data Missing ⚠",VLOOKUP(Z247,'G-7 WaterC'' Data'!$AO$4:$BO$7,2,FALSE)))</f>
        <v/>
      </c>
      <c r="AB247" s="317" t="str">
        <f t="shared" si="25"/>
        <v/>
      </c>
      <c r="AC247" s="317" t="str">
        <f t="shared" si="26"/>
        <v/>
      </c>
      <c r="AD247" s="101"/>
      <c r="AE247" s="938"/>
      <c r="AF247" s="138"/>
      <c r="AG247" s="138"/>
      <c r="AH247" s="934"/>
      <c r="AL247" s="30" t="str">
        <f>IFERROR(INDEX('G-7 WaterC'' Data'!$AZ$3:$AZ$7,MATCH(C247,'G-7 WaterC'' Data'!$AY$3:$AY$7,0)),"")</f>
        <v/>
      </c>
      <c r="AN247" s="30" t="str">
        <f t="shared" si="27"/>
        <v>No</v>
      </c>
    </row>
    <row r="248" spans="2:40" ht="14">
      <c r="B248" s="97">
        <v>237</v>
      </c>
      <c r="C248" s="923"/>
      <c r="D248" s="115"/>
      <c r="E248" s="275" t="str">
        <f>IF(C248="","",VLOOKUP(C248,'G-7 WaterC'' Data'!$B$2:$Z$9,2,FALSE))</f>
        <v/>
      </c>
      <c r="F248" s="276" t="str">
        <f>IFERROR(VLOOKUP(E248,'G-7 WaterC'' Data'!$C$4:$D$8,2,FALSE),"")</f>
        <v/>
      </c>
      <c r="G248" s="52"/>
      <c r="H248" s="276" t="str">
        <f>IFERROR(INDEX('G-7 WaterC'' Data'!$H$4:$L$8,MATCH(C248,'G-7 WaterC'' Data'!$B$4:$B$8,0),MATCH(G248,'G-7 WaterC'' Data'!$H$3:$L$3,0)),"")</f>
        <v/>
      </c>
      <c r="I248" s="52"/>
      <c r="J248" s="314" t="str">
        <f>IF(I248="","",IF(VLOOKUP(I248,'G-7 WaterC'' Data'!$AK$4:$AM$6,2,FALSE)=0,"Spatial Data Missing ⚠",VLOOKUP(I248,'G-7 WaterC'' Data'!$AK$4:$AM$6,2,FALSE)))</f>
        <v/>
      </c>
      <c r="K248" s="276" t="str">
        <f>IF(I248="","",IF(VLOOKUP(I248,'G-7 WaterC'' Data'!$AK$4:$AM$6,3,FALSE)=0,"Spatial Data Missing ⚠",VLOOKUP(I248,'G-7 WaterC'' Data'!$AK$4:$AM$6,3,FALSE)))</f>
        <v/>
      </c>
      <c r="L248" s="372" t="str">
        <f>IFERROR(INDEX('G-7 WaterC'' Data'!$O$3:$O$7,MATCH(G248,'G-7 WaterC'' Data'!$N$3:$N$7,0)),"")</f>
        <v/>
      </c>
      <c r="M248" s="53"/>
      <c r="N248" s="133"/>
      <c r="O248" s="283" t="str">
        <f t="shared" si="21"/>
        <v/>
      </c>
      <c r="P248" s="296" t="str">
        <f t="shared" si="22"/>
        <v/>
      </c>
      <c r="Q248" s="334" t="str">
        <f>IFERROR(IF(P248="Check Data ⚠","Check Data ⚠",VLOOKUP(P248,'G-4 Temporal multipliers'!$A$4:$C$37,3,FALSE)),"")</f>
        <v/>
      </c>
      <c r="R248" s="275" t="str">
        <f>IF(C248="","",VLOOKUP(C248,'G-7 WaterC'' Data'!$B$4:$G$8,4,FALSE))</f>
        <v/>
      </c>
      <c r="S248" s="283" t="str">
        <f t="shared" si="23"/>
        <v/>
      </c>
      <c r="T248" s="314" t="str">
        <f t="shared" si="24"/>
        <v/>
      </c>
      <c r="U248" s="276" t="str">
        <f>IF(C248="","",VLOOKUP(T248,'G-3 Multipliers'!$P$2:$Q$6,2,FALSE))</f>
        <v/>
      </c>
      <c r="V248" s="102"/>
      <c r="W248" s="276" t="str">
        <f>IF(V248="","",IF(AND(V248="N/A - Culvert",C248&lt;&gt;"Culvert"),"Not possible ▲",IF(AND(C248="Culvert",V248&lt;&gt;"N/A - Culvert"),"Not possible ▲",IF(VLOOKUP(V248,'G-7 WaterC'' Data'!$AA$4:$AB$7,2,FALSE)=0,"Spatial Data Missing ⚠",VLOOKUP(V248,'G-7 WaterC'' Data'!$AA$4:$AB$7,2,FALSE)))))</f>
        <v/>
      </c>
      <c r="X248" s="56"/>
      <c r="Y248" s="276" t="str">
        <f>IF(X248="","",IF(AND(X248="N/A - Culvert",C248&lt;&gt;"Culvert"),"Not possible ▲",IF(AND(C248="Culvert",X248&lt;&gt;"N/A - Culvert"),"Not possible ▲",IF(VLOOKUP(X248,'G-7 WaterC'' Data'!$AD$4:$AE$14,2,FALSE)=0,"Enrcoachment Data Missing ⚠",VLOOKUP(X248,'G-7 WaterC'' Data'!$AD$4:$AE$14,2,FALSE)))))</f>
        <v/>
      </c>
      <c r="Z248" s="102"/>
      <c r="AA248" s="276" t="str">
        <f>IF(Z248="","",IF(VLOOKUP(Z248,'G-7 WaterC'' Data'!$AO$4:$BO$7,2,FALSE)=0,"Spatial Data Missing ⚠",VLOOKUP(Z248,'G-7 WaterC'' Data'!$AO$4:$BO$7,2,FALSE)))</f>
        <v/>
      </c>
      <c r="AB248" s="317" t="str">
        <f t="shared" si="25"/>
        <v/>
      </c>
      <c r="AC248" s="317" t="str">
        <f t="shared" si="26"/>
        <v/>
      </c>
      <c r="AD248" s="101"/>
      <c r="AE248" s="938"/>
      <c r="AF248" s="138"/>
      <c r="AG248" s="138"/>
      <c r="AH248" s="934"/>
      <c r="AL248" s="30" t="str">
        <f>IFERROR(INDEX('G-7 WaterC'' Data'!$AZ$3:$AZ$7,MATCH(C248,'G-7 WaterC'' Data'!$AY$3:$AY$7,0)),"")</f>
        <v/>
      </c>
      <c r="AN248" s="30" t="str">
        <f t="shared" si="27"/>
        <v>No</v>
      </c>
    </row>
    <row r="249" spans="2:40" ht="14">
      <c r="B249" s="97">
        <v>238</v>
      </c>
      <c r="C249" s="923"/>
      <c r="D249" s="115"/>
      <c r="E249" s="275" t="str">
        <f>IF(C249="","",VLOOKUP(C249,'G-7 WaterC'' Data'!$B$2:$Z$9,2,FALSE))</f>
        <v/>
      </c>
      <c r="F249" s="276" t="str">
        <f>IFERROR(VLOOKUP(E249,'G-7 WaterC'' Data'!$C$4:$D$8,2,FALSE),"")</f>
        <v/>
      </c>
      <c r="G249" s="52"/>
      <c r="H249" s="276" t="str">
        <f>IFERROR(INDEX('G-7 WaterC'' Data'!$H$4:$L$8,MATCH(C249,'G-7 WaterC'' Data'!$B$4:$B$8,0),MATCH(G249,'G-7 WaterC'' Data'!$H$3:$L$3,0)),"")</f>
        <v/>
      </c>
      <c r="I249" s="52"/>
      <c r="J249" s="314" t="str">
        <f>IF(I249="","",IF(VLOOKUP(I249,'G-7 WaterC'' Data'!$AK$4:$AM$6,2,FALSE)=0,"Spatial Data Missing ⚠",VLOOKUP(I249,'G-7 WaterC'' Data'!$AK$4:$AM$6,2,FALSE)))</f>
        <v/>
      </c>
      <c r="K249" s="276" t="str">
        <f>IF(I249="","",IF(VLOOKUP(I249,'G-7 WaterC'' Data'!$AK$4:$AM$6,3,FALSE)=0,"Spatial Data Missing ⚠",VLOOKUP(I249,'G-7 WaterC'' Data'!$AK$4:$AM$6,3,FALSE)))</f>
        <v/>
      </c>
      <c r="L249" s="372" t="str">
        <f>IFERROR(INDEX('G-7 WaterC'' Data'!$O$3:$O$7,MATCH(G249,'G-7 WaterC'' Data'!$N$3:$N$7,0)),"")</f>
        <v/>
      </c>
      <c r="M249" s="53"/>
      <c r="N249" s="133"/>
      <c r="O249" s="283" t="str">
        <f t="shared" si="21"/>
        <v/>
      </c>
      <c r="P249" s="296" t="str">
        <f t="shared" si="22"/>
        <v/>
      </c>
      <c r="Q249" s="334" t="str">
        <f>IFERROR(IF(P249="Check Data ⚠","Check Data ⚠",VLOOKUP(P249,'G-4 Temporal multipliers'!$A$4:$C$37,3,FALSE)),"")</f>
        <v/>
      </c>
      <c r="R249" s="275" t="str">
        <f>IF(C249="","",VLOOKUP(C249,'G-7 WaterC'' Data'!$B$4:$G$8,4,FALSE))</f>
        <v/>
      </c>
      <c r="S249" s="283" t="str">
        <f t="shared" si="23"/>
        <v/>
      </c>
      <c r="T249" s="314" t="str">
        <f t="shared" si="24"/>
        <v/>
      </c>
      <c r="U249" s="276" t="str">
        <f>IF(C249="","",VLOOKUP(T249,'G-3 Multipliers'!$P$2:$Q$6,2,FALSE))</f>
        <v/>
      </c>
      <c r="V249" s="102"/>
      <c r="W249" s="276" t="str">
        <f>IF(V249="","",IF(AND(V249="N/A - Culvert",C249&lt;&gt;"Culvert"),"Not possible ▲",IF(AND(C249="Culvert",V249&lt;&gt;"N/A - Culvert"),"Not possible ▲",IF(VLOOKUP(V249,'G-7 WaterC'' Data'!$AA$4:$AB$7,2,FALSE)=0,"Spatial Data Missing ⚠",VLOOKUP(V249,'G-7 WaterC'' Data'!$AA$4:$AB$7,2,FALSE)))))</f>
        <v/>
      </c>
      <c r="X249" s="56"/>
      <c r="Y249" s="276" t="str">
        <f>IF(X249="","",IF(AND(X249="N/A - Culvert",C249&lt;&gt;"Culvert"),"Not possible ▲",IF(AND(C249="Culvert",X249&lt;&gt;"N/A - Culvert"),"Not possible ▲",IF(VLOOKUP(X249,'G-7 WaterC'' Data'!$AD$4:$AE$14,2,FALSE)=0,"Enrcoachment Data Missing ⚠",VLOOKUP(X249,'G-7 WaterC'' Data'!$AD$4:$AE$14,2,FALSE)))))</f>
        <v/>
      </c>
      <c r="Z249" s="102"/>
      <c r="AA249" s="276" t="str">
        <f>IF(Z249="","",IF(VLOOKUP(Z249,'G-7 WaterC'' Data'!$AO$4:$BO$7,2,FALSE)=0,"Spatial Data Missing ⚠",VLOOKUP(Z249,'G-7 WaterC'' Data'!$AO$4:$BO$7,2,FALSE)))</f>
        <v/>
      </c>
      <c r="AB249" s="317" t="str">
        <f t="shared" si="25"/>
        <v/>
      </c>
      <c r="AC249" s="317" t="str">
        <f t="shared" si="26"/>
        <v/>
      </c>
      <c r="AD249" s="101"/>
      <c r="AE249" s="938"/>
      <c r="AF249" s="138"/>
      <c r="AG249" s="138"/>
      <c r="AH249" s="934"/>
      <c r="AL249" s="30" t="str">
        <f>IFERROR(INDEX('G-7 WaterC'' Data'!$AZ$3:$AZ$7,MATCH(C249,'G-7 WaterC'' Data'!$AY$3:$AY$7,0)),"")</f>
        <v/>
      </c>
      <c r="AN249" s="30" t="str">
        <f t="shared" si="27"/>
        <v>No</v>
      </c>
    </row>
    <row r="250" spans="2:40" ht="14">
      <c r="B250" s="97">
        <v>239</v>
      </c>
      <c r="C250" s="923"/>
      <c r="D250" s="115"/>
      <c r="E250" s="275" t="str">
        <f>IF(C250="","",VLOOKUP(C250,'G-7 WaterC'' Data'!$B$2:$Z$9,2,FALSE))</f>
        <v/>
      </c>
      <c r="F250" s="276" t="str">
        <f>IFERROR(VLOOKUP(E250,'G-7 WaterC'' Data'!$C$4:$D$8,2,FALSE),"")</f>
        <v/>
      </c>
      <c r="G250" s="52"/>
      <c r="H250" s="276" t="str">
        <f>IFERROR(INDEX('G-7 WaterC'' Data'!$H$4:$L$8,MATCH(C250,'G-7 WaterC'' Data'!$B$4:$B$8,0),MATCH(G250,'G-7 WaterC'' Data'!$H$3:$L$3,0)),"")</f>
        <v/>
      </c>
      <c r="I250" s="52"/>
      <c r="J250" s="314" t="str">
        <f>IF(I250="","",IF(VLOOKUP(I250,'G-7 WaterC'' Data'!$AK$4:$AM$6,2,FALSE)=0,"Spatial Data Missing ⚠",VLOOKUP(I250,'G-7 WaterC'' Data'!$AK$4:$AM$6,2,FALSE)))</f>
        <v/>
      </c>
      <c r="K250" s="276" t="str">
        <f>IF(I250="","",IF(VLOOKUP(I250,'G-7 WaterC'' Data'!$AK$4:$AM$6,3,FALSE)=0,"Spatial Data Missing ⚠",VLOOKUP(I250,'G-7 WaterC'' Data'!$AK$4:$AM$6,3,FALSE)))</f>
        <v/>
      </c>
      <c r="L250" s="372" t="str">
        <f>IFERROR(INDEX('G-7 WaterC'' Data'!$O$3:$O$7,MATCH(G250,'G-7 WaterC'' Data'!$N$3:$N$7,0)),"")</f>
        <v/>
      </c>
      <c r="M250" s="53"/>
      <c r="N250" s="133"/>
      <c r="O250" s="283" t="str">
        <f t="shared" si="21"/>
        <v/>
      </c>
      <c r="P250" s="296" t="str">
        <f t="shared" si="22"/>
        <v/>
      </c>
      <c r="Q250" s="334" t="str">
        <f>IFERROR(IF(P250="Check Data ⚠","Check Data ⚠",VLOOKUP(P250,'G-4 Temporal multipliers'!$A$4:$C$37,3,FALSE)),"")</f>
        <v/>
      </c>
      <c r="R250" s="275" t="str">
        <f>IF(C250="","",VLOOKUP(C250,'G-7 WaterC'' Data'!$B$4:$G$8,4,FALSE))</f>
        <v/>
      </c>
      <c r="S250" s="283" t="str">
        <f t="shared" si="23"/>
        <v/>
      </c>
      <c r="T250" s="314" t="str">
        <f t="shared" si="24"/>
        <v/>
      </c>
      <c r="U250" s="276" t="str">
        <f>IF(C250="","",VLOOKUP(T250,'G-3 Multipliers'!$P$2:$Q$6,2,FALSE))</f>
        <v/>
      </c>
      <c r="V250" s="102"/>
      <c r="W250" s="276" t="str">
        <f>IF(V250="","",IF(AND(V250="N/A - Culvert",C250&lt;&gt;"Culvert"),"Not possible ▲",IF(AND(C250="Culvert",V250&lt;&gt;"N/A - Culvert"),"Not possible ▲",IF(VLOOKUP(V250,'G-7 WaterC'' Data'!$AA$4:$AB$7,2,FALSE)=0,"Spatial Data Missing ⚠",VLOOKUP(V250,'G-7 WaterC'' Data'!$AA$4:$AB$7,2,FALSE)))))</f>
        <v/>
      </c>
      <c r="X250" s="56"/>
      <c r="Y250" s="276" t="str">
        <f>IF(X250="","",IF(AND(X250="N/A - Culvert",C250&lt;&gt;"Culvert"),"Not possible ▲",IF(AND(C250="Culvert",X250&lt;&gt;"N/A - Culvert"),"Not possible ▲",IF(VLOOKUP(X250,'G-7 WaterC'' Data'!$AD$4:$AE$14,2,FALSE)=0,"Enrcoachment Data Missing ⚠",VLOOKUP(X250,'G-7 WaterC'' Data'!$AD$4:$AE$14,2,FALSE)))))</f>
        <v/>
      </c>
      <c r="Z250" s="102"/>
      <c r="AA250" s="276" t="str">
        <f>IF(Z250="","",IF(VLOOKUP(Z250,'G-7 WaterC'' Data'!$AO$4:$BO$7,2,FALSE)=0,"Spatial Data Missing ⚠",VLOOKUP(Z250,'G-7 WaterC'' Data'!$AO$4:$BO$7,2,FALSE)))</f>
        <v/>
      </c>
      <c r="AB250" s="317" t="str">
        <f t="shared" si="25"/>
        <v/>
      </c>
      <c r="AC250" s="317" t="str">
        <f t="shared" si="26"/>
        <v/>
      </c>
      <c r="AD250" s="101"/>
      <c r="AE250" s="938"/>
      <c r="AF250" s="138"/>
      <c r="AG250" s="138"/>
      <c r="AH250" s="934"/>
      <c r="AL250" s="30" t="str">
        <f>IFERROR(INDEX('G-7 WaterC'' Data'!$AZ$3:$AZ$7,MATCH(C250,'G-7 WaterC'' Data'!$AY$3:$AY$7,0)),"")</f>
        <v/>
      </c>
      <c r="AN250" s="30" t="str">
        <f t="shared" si="27"/>
        <v>No</v>
      </c>
    </row>
    <row r="251" spans="2:40" ht="14">
      <c r="B251" s="97">
        <v>240</v>
      </c>
      <c r="C251" s="923"/>
      <c r="D251" s="115"/>
      <c r="E251" s="275" t="str">
        <f>IF(C251="","",VLOOKUP(C251,'G-7 WaterC'' Data'!$B$2:$Z$9,2,FALSE))</f>
        <v/>
      </c>
      <c r="F251" s="276" t="str">
        <f>IFERROR(VLOOKUP(E251,'G-7 WaterC'' Data'!$C$4:$D$8,2,FALSE),"")</f>
        <v/>
      </c>
      <c r="G251" s="52"/>
      <c r="H251" s="276" t="str">
        <f>IFERROR(INDEX('G-7 WaterC'' Data'!$H$4:$L$8,MATCH(C251,'G-7 WaterC'' Data'!$B$4:$B$8,0),MATCH(G251,'G-7 WaterC'' Data'!$H$3:$L$3,0)),"")</f>
        <v/>
      </c>
      <c r="I251" s="52"/>
      <c r="J251" s="314" t="str">
        <f>IF(I251="","",IF(VLOOKUP(I251,'G-7 WaterC'' Data'!$AK$4:$AM$6,2,FALSE)=0,"Spatial Data Missing ⚠",VLOOKUP(I251,'G-7 WaterC'' Data'!$AK$4:$AM$6,2,FALSE)))</f>
        <v/>
      </c>
      <c r="K251" s="276" t="str">
        <f>IF(I251="","",IF(VLOOKUP(I251,'G-7 WaterC'' Data'!$AK$4:$AM$6,3,FALSE)=0,"Spatial Data Missing ⚠",VLOOKUP(I251,'G-7 WaterC'' Data'!$AK$4:$AM$6,3,FALSE)))</f>
        <v/>
      </c>
      <c r="L251" s="372" t="str">
        <f>IFERROR(INDEX('G-7 WaterC'' Data'!$O$3:$O$7,MATCH(G251,'G-7 WaterC'' Data'!$N$3:$N$7,0)),"")</f>
        <v/>
      </c>
      <c r="M251" s="53"/>
      <c r="N251" s="133"/>
      <c r="O251" s="283" t="str">
        <f t="shared" si="21"/>
        <v/>
      </c>
      <c r="P251" s="296" t="str">
        <f t="shared" si="22"/>
        <v/>
      </c>
      <c r="Q251" s="334" t="str">
        <f>IFERROR(IF(P251="Check Data ⚠","Check Data ⚠",VLOOKUP(P251,'G-4 Temporal multipliers'!$A$4:$C$37,3,FALSE)),"")</f>
        <v/>
      </c>
      <c r="R251" s="275" t="str">
        <f>IF(C251="","",VLOOKUP(C251,'G-7 WaterC'' Data'!$B$4:$G$8,4,FALSE))</f>
        <v/>
      </c>
      <c r="S251" s="283" t="str">
        <f t="shared" si="23"/>
        <v/>
      </c>
      <c r="T251" s="314" t="str">
        <f t="shared" si="24"/>
        <v/>
      </c>
      <c r="U251" s="276" t="str">
        <f>IF(C251="","",VLOOKUP(T251,'G-3 Multipliers'!$P$2:$Q$6,2,FALSE))</f>
        <v/>
      </c>
      <c r="V251" s="102"/>
      <c r="W251" s="276" t="str">
        <f>IF(V251="","",IF(AND(V251="N/A - Culvert",C251&lt;&gt;"Culvert"),"Not possible ▲",IF(AND(C251="Culvert",V251&lt;&gt;"N/A - Culvert"),"Not possible ▲",IF(VLOOKUP(V251,'G-7 WaterC'' Data'!$AA$4:$AB$7,2,FALSE)=0,"Spatial Data Missing ⚠",VLOOKUP(V251,'G-7 WaterC'' Data'!$AA$4:$AB$7,2,FALSE)))))</f>
        <v/>
      </c>
      <c r="X251" s="56"/>
      <c r="Y251" s="276" t="str">
        <f>IF(X251="","",IF(AND(X251="N/A - Culvert",C251&lt;&gt;"Culvert"),"Not possible ▲",IF(AND(C251="Culvert",X251&lt;&gt;"N/A - Culvert"),"Not possible ▲",IF(VLOOKUP(X251,'G-7 WaterC'' Data'!$AD$4:$AE$14,2,FALSE)=0,"Enrcoachment Data Missing ⚠",VLOOKUP(X251,'G-7 WaterC'' Data'!$AD$4:$AE$14,2,FALSE)))))</f>
        <v/>
      </c>
      <c r="Z251" s="102"/>
      <c r="AA251" s="276" t="str">
        <f>IF(Z251="","",IF(VLOOKUP(Z251,'G-7 WaterC'' Data'!$AO$4:$BO$7,2,FALSE)=0,"Spatial Data Missing ⚠",VLOOKUP(Z251,'G-7 WaterC'' Data'!$AO$4:$BO$7,2,FALSE)))</f>
        <v/>
      </c>
      <c r="AB251" s="317" t="str">
        <f t="shared" si="25"/>
        <v/>
      </c>
      <c r="AC251" s="317" t="str">
        <f t="shared" si="26"/>
        <v/>
      </c>
      <c r="AD251" s="101"/>
      <c r="AE251" s="938"/>
      <c r="AF251" s="138"/>
      <c r="AG251" s="138"/>
      <c r="AH251" s="934"/>
      <c r="AL251" s="30" t="str">
        <f>IFERROR(INDEX('G-7 WaterC'' Data'!$AZ$3:$AZ$7,MATCH(C251,'G-7 WaterC'' Data'!$AY$3:$AY$7,0)),"")</f>
        <v/>
      </c>
      <c r="AN251" s="30" t="str">
        <f t="shared" si="27"/>
        <v>No</v>
      </c>
    </row>
    <row r="252" spans="2:40" ht="14">
      <c r="B252" s="97">
        <v>241</v>
      </c>
      <c r="C252" s="923"/>
      <c r="D252" s="115"/>
      <c r="E252" s="275" t="str">
        <f>IF(C252="","",VLOOKUP(C252,'G-7 WaterC'' Data'!$B$2:$Z$9,2,FALSE))</f>
        <v/>
      </c>
      <c r="F252" s="276" t="str">
        <f>IFERROR(VLOOKUP(E252,'G-7 WaterC'' Data'!$C$4:$D$8,2,FALSE),"")</f>
        <v/>
      </c>
      <c r="G252" s="52"/>
      <c r="H252" s="276" t="str">
        <f>IFERROR(INDEX('G-7 WaterC'' Data'!$H$4:$L$8,MATCH(C252,'G-7 WaterC'' Data'!$B$4:$B$8,0),MATCH(G252,'G-7 WaterC'' Data'!$H$3:$L$3,0)),"")</f>
        <v/>
      </c>
      <c r="I252" s="52"/>
      <c r="J252" s="314" t="str">
        <f>IF(I252="","",IF(VLOOKUP(I252,'G-7 WaterC'' Data'!$AK$4:$AM$6,2,FALSE)=0,"Spatial Data Missing ⚠",VLOOKUP(I252,'G-7 WaterC'' Data'!$AK$4:$AM$6,2,FALSE)))</f>
        <v/>
      </c>
      <c r="K252" s="276" t="str">
        <f>IF(I252="","",IF(VLOOKUP(I252,'G-7 WaterC'' Data'!$AK$4:$AM$6,3,FALSE)=0,"Spatial Data Missing ⚠",VLOOKUP(I252,'G-7 WaterC'' Data'!$AK$4:$AM$6,3,FALSE)))</f>
        <v/>
      </c>
      <c r="L252" s="372" t="str">
        <f>IFERROR(INDEX('G-7 WaterC'' Data'!$O$3:$O$7,MATCH(G252,'G-7 WaterC'' Data'!$N$3:$N$7,0)),"")</f>
        <v/>
      </c>
      <c r="M252" s="53"/>
      <c r="N252" s="133"/>
      <c r="O252" s="283" t="str">
        <f t="shared" si="21"/>
        <v/>
      </c>
      <c r="P252" s="296" t="str">
        <f t="shared" si="22"/>
        <v/>
      </c>
      <c r="Q252" s="334" t="str">
        <f>IFERROR(IF(P252="Check Data ⚠","Check Data ⚠",VLOOKUP(P252,'G-4 Temporal multipliers'!$A$4:$C$37,3,FALSE)),"")</f>
        <v/>
      </c>
      <c r="R252" s="275" t="str">
        <f>IF(C252="","",VLOOKUP(C252,'G-7 WaterC'' Data'!$B$4:$G$8,4,FALSE))</f>
        <v/>
      </c>
      <c r="S252" s="283" t="str">
        <f t="shared" si="23"/>
        <v/>
      </c>
      <c r="T252" s="314" t="str">
        <f t="shared" si="24"/>
        <v/>
      </c>
      <c r="U252" s="276" t="str">
        <f>IF(C252="","",VLOOKUP(T252,'G-3 Multipliers'!$P$2:$Q$6,2,FALSE))</f>
        <v/>
      </c>
      <c r="V252" s="102"/>
      <c r="W252" s="276" t="str">
        <f>IF(V252="","",IF(AND(V252="N/A - Culvert",C252&lt;&gt;"Culvert"),"Not possible ▲",IF(AND(C252="Culvert",V252&lt;&gt;"N/A - Culvert"),"Not possible ▲",IF(VLOOKUP(V252,'G-7 WaterC'' Data'!$AA$4:$AB$7,2,FALSE)=0,"Spatial Data Missing ⚠",VLOOKUP(V252,'G-7 WaterC'' Data'!$AA$4:$AB$7,2,FALSE)))))</f>
        <v/>
      </c>
      <c r="X252" s="56"/>
      <c r="Y252" s="276" t="str">
        <f>IF(X252="","",IF(AND(X252="N/A - Culvert",C252&lt;&gt;"Culvert"),"Not possible ▲",IF(AND(C252="Culvert",X252&lt;&gt;"N/A - Culvert"),"Not possible ▲",IF(VLOOKUP(X252,'G-7 WaterC'' Data'!$AD$4:$AE$14,2,FALSE)=0,"Enrcoachment Data Missing ⚠",VLOOKUP(X252,'G-7 WaterC'' Data'!$AD$4:$AE$14,2,FALSE)))))</f>
        <v/>
      </c>
      <c r="Z252" s="102"/>
      <c r="AA252" s="276" t="str">
        <f>IF(Z252="","",IF(VLOOKUP(Z252,'G-7 WaterC'' Data'!$AO$4:$BO$7,2,FALSE)=0,"Spatial Data Missing ⚠",VLOOKUP(Z252,'G-7 WaterC'' Data'!$AO$4:$BO$7,2,FALSE)))</f>
        <v/>
      </c>
      <c r="AB252" s="317" t="str">
        <f t="shared" si="25"/>
        <v/>
      </c>
      <c r="AC252" s="317" t="str">
        <f t="shared" si="26"/>
        <v/>
      </c>
      <c r="AD252" s="101"/>
      <c r="AE252" s="938"/>
      <c r="AF252" s="138"/>
      <c r="AG252" s="138"/>
      <c r="AH252" s="934"/>
      <c r="AL252" s="30" t="str">
        <f>IFERROR(INDEX('G-7 WaterC'' Data'!$AZ$3:$AZ$7,MATCH(C252,'G-7 WaterC'' Data'!$AY$3:$AY$7,0)),"")</f>
        <v/>
      </c>
      <c r="AN252" s="30" t="str">
        <f t="shared" si="27"/>
        <v>No</v>
      </c>
    </row>
    <row r="253" spans="2:40" ht="14">
      <c r="B253" s="97">
        <v>242</v>
      </c>
      <c r="C253" s="923"/>
      <c r="D253" s="115"/>
      <c r="E253" s="275" t="str">
        <f>IF(C253="","",VLOOKUP(C253,'G-7 WaterC'' Data'!$B$2:$Z$9,2,FALSE))</f>
        <v/>
      </c>
      <c r="F253" s="276" t="str">
        <f>IFERROR(VLOOKUP(E253,'G-7 WaterC'' Data'!$C$4:$D$8,2,FALSE),"")</f>
        <v/>
      </c>
      <c r="G253" s="52"/>
      <c r="H253" s="276" t="str">
        <f>IFERROR(INDEX('G-7 WaterC'' Data'!$H$4:$L$8,MATCH(C253,'G-7 WaterC'' Data'!$B$4:$B$8,0),MATCH(G253,'G-7 WaterC'' Data'!$H$3:$L$3,0)),"")</f>
        <v/>
      </c>
      <c r="I253" s="52"/>
      <c r="J253" s="314" t="str">
        <f>IF(I253="","",IF(VLOOKUP(I253,'G-7 WaterC'' Data'!$AK$4:$AM$6,2,FALSE)=0,"Spatial Data Missing ⚠",VLOOKUP(I253,'G-7 WaterC'' Data'!$AK$4:$AM$6,2,FALSE)))</f>
        <v/>
      </c>
      <c r="K253" s="276" t="str">
        <f>IF(I253="","",IF(VLOOKUP(I253,'G-7 WaterC'' Data'!$AK$4:$AM$6,3,FALSE)=0,"Spatial Data Missing ⚠",VLOOKUP(I253,'G-7 WaterC'' Data'!$AK$4:$AM$6,3,FALSE)))</f>
        <v/>
      </c>
      <c r="L253" s="372" t="str">
        <f>IFERROR(INDEX('G-7 WaterC'' Data'!$O$3:$O$7,MATCH(G253,'G-7 WaterC'' Data'!$N$3:$N$7,0)),"")</f>
        <v/>
      </c>
      <c r="M253" s="53"/>
      <c r="N253" s="133"/>
      <c r="O253" s="283" t="str">
        <f t="shared" si="21"/>
        <v/>
      </c>
      <c r="P253" s="296" t="str">
        <f t="shared" si="22"/>
        <v/>
      </c>
      <c r="Q253" s="334" t="str">
        <f>IFERROR(IF(P253="Check Data ⚠","Check Data ⚠",VLOOKUP(P253,'G-4 Temporal multipliers'!$A$4:$C$37,3,FALSE)),"")</f>
        <v/>
      </c>
      <c r="R253" s="275" t="str">
        <f>IF(C253="","",VLOOKUP(C253,'G-7 WaterC'' Data'!$B$4:$G$8,4,FALSE))</f>
        <v/>
      </c>
      <c r="S253" s="283" t="str">
        <f t="shared" si="23"/>
        <v/>
      </c>
      <c r="T253" s="314" t="str">
        <f t="shared" si="24"/>
        <v/>
      </c>
      <c r="U253" s="276" t="str">
        <f>IF(C253="","",VLOOKUP(T253,'G-3 Multipliers'!$P$2:$Q$6,2,FALSE))</f>
        <v/>
      </c>
      <c r="V253" s="102"/>
      <c r="W253" s="276" t="str">
        <f>IF(V253="","",IF(AND(V253="N/A - Culvert",C253&lt;&gt;"Culvert"),"Not possible ▲",IF(AND(C253="Culvert",V253&lt;&gt;"N/A - Culvert"),"Not possible ▲",IF(VLOOKUP(V253,'G-7 WaterC'' Data'!$AA$4:$AB$7,2,FALSE)=0,"Spatial Data Missing ⚠",VLOOKUP(V253,'G-7 WaterC'' Data'!$AA$4:$AB$7,2,FALSE)))))</f>
        <v/>
      </c>
      <c r="X253" s="56"/>
      <c r="Y253" s="276" t="str">
        <f>IF(X253="","",IF(AND(X253="N/A - Culvert",C253&lt;&gt;"Culvert"),"Not possible ▲",IF(AND(C253="Culvert",X253&lt;&gt;"N/A - Culvert"),"Not possible ▲",IF(VLOOKUP(X253,'G-7 WaterC'' Data'!$AD$4:$AE$14,2,FALSE)=0,"Enrcoachment Data Missing ⚠",VLOOKUP(X253,'G-7 WaterC'' Data'!$AD$4:$AE$14,2,FALSE)))))</f>
        <v/>
      </c>
      <c r="Z253" s="102"/>
      <c r="AA253" s="276" t="str">
        <f>IF(Z253="","",IF(VLOOKUP(Z253,'G-7 WaterC'' Data'!$AO$4:$BO$7,2,FALSE)=0,"Spatial Data Missing ⚠",VLOOKUP(Z253,'G-7 WaterC'' Data'!$AO$4:$BO$7,2,FALSE)))</f>
        <v/>
      </c>
      <c r="AB253" s="317" t="str">
        <f t="shared" si="25"/>
        <v/>
      </c>
      <c r="AC253" s="317" t="str">
        <f t="shared" si="26"/>
        <v/>
      </c>
      <c r="AD253" s="101"/>
      <c r="AE253" s="938"/>
      <c r="AF253" s="138"/>
      <c r="AG253" s="138"/>
      <c r="AH253" s="934"/>
      <c r="AL253" s="30" t="str">
        <f>IFERROR(INDEX('G-7 WaterC'' Data'!$AZ$3:$AZ$7,MATCH(C253,'G-7 WaterC'' Data'!$AY$3:$AY$7,0)),"")</f>
        <v/>
      </c>
      <c r="AN253" s="30" t="str">
        <f t="shared" si="27"/>
        <v>No</v>
      </c>
    </row>
    <row r="254" spans="2:40" ht="14">
      <c r="B254" s="97">
        <v>243</v>
      </c>
      <c r="C254" s="923"/>
      <c r="D254" s="115"/>
      <c r="E254" s="275" t="str">
        <f>IF(C254="","",VLOOKUP(C254,'G-7 WaterC'' Data'!$B$2:$Z$9,2,FALSE))</f>
        <v/>
      </c>
      <c r="F254" s="276" t="str">
        <f>IFERROR(VLOOKUP(E254,'G-7 WaterC'' Data'!$C$4:$D$8,2,FALSE),"")</f>
        <v/>
      </c>
      <c r="G254" s="52"/>
      <c r="H254" s="276" t="str">
        <f>IFERROR(INDEX('G-7 WaterC'' Data'!$H$4:$L$8,MATCH(C254,'G-7 WaterC'' Data'!$B$4:$B$8,0),MATCH(G254,'G-7 WaterC'' Data'!$H$3:$L$3,0)),"")</f>
        <v/>
      </c>
      <c r="I254" s="52"/>
      <c r="J254" s="314" t="str">
        <f>IF(I254="","",IF(VLOOKUP(I254,'G-7 WaterC'' Data'!$AK$4:$AM$6,2,FALSE)=0,"Spatial Data Missing ⚠",VLOOKUP(I254,'G-7 WaterC'' Data'!$AK$4:$AM$6,2,FALSE)))</f>
        <v/>
      </c>
      <c r="K254" s="276" t="str">
        <f>IF(I254="","",IF(VLOOKUP(I254,'G-7 WaterC'' Data'!$AK$4:$AM$6,3,FALSE)=0,"Spatial Data Missing ⚠",VLOOKUP(I254,'G-7 WaterC'' Data'!$AK$4:$AM$6,3,FALSE)))</f>
        <v/>
      </c>
      <c r="L254" s="372" t="str">
        <f>IFERROR(INDEX('G-7 WaterC'' Data'!$O$3:$O$7,MATCH(G254,'G-7 WaterC'' Data'!$N$3:$N$7,0)),"")</f>
        <v/>
      </c>
      <c r="M254" s="53"/>
      <c r="N254" s="133"/>
      <c r="O254" s="283" t="str">
        <f t="shared" si="21"/>
        <v/>
      </c>
      <c r="P254" s="296" t="str">
        <f t="shared" si="22"/>
        <v/>
      </c>
      <c r="Q254" s="334" t="str">
        <f>IFERROR(IF(P254="Check Data ⚠","Check Data ⚠",VLOOKUP(P254,'G-4 Temporal multipliers'!$A$4:$C$37,3,FALSE)),"")</f>
        <v/>
      </c>
      <c r="R254" s="275" t="str">
        <f>IF(C254="","",VLOOKUP(C254,'G-7 WaterC'' Data'!$B$4:$G$8,4,FALSE))</f>
        <v/>
      </c>
      <c r="S254" s="283" t="str">
        <f t="shared" si="23"/>
        <v/>
      </c>
      <c r="T254" s="314" t="str">
        <f t="shared" si="24"/>
        <v/>
      </c>
      <c r="U254" s="276" t="str">
        <f>IF(C254="","",VLOOKUP(T254,'G-3 Multipliers'!$P$2:$Q$6,2,FALSE))</f>
        <v/>
      </c>
      <c r="V254" s="102"/>
      <c r="W254" s="276" t="str">
        <f>IF(V254="","",IF(AND(V254="N/A - Culvert",C254&lt;&gt;"Culvert"),"Not possible ▲",IF(AND(C254="Culvert",V254&lt;&gt;"N/A - Culvert"),"Not possible ▲",IF(VLOOKUP(V254,'G-7 WaterC'' Data'!$AA$4:$AB$7,2,FALSE)=0,"Spatial Data Missing ⚠",VLOOKUP(V254,'G-7 WaterC'' Data'!$AA$4:$AB$7,2,FALSE)))))</f>
        <v/>
      </c>
      <c r="X254" s="56"/>
      <c r="Y254" s="276" t="str">
        <f>IF(X254="","",IF(AND(X254="N/A - Culvert",C254&lt;&gt;"Culvert"),"Not possible ▲",IF(AND(C254="Culvert",X254&lt;&gt;"N/A - Culvert"),"Not possible ▲",IF(VLOOKUP(X254,'G-7 WaterC'' Data'!$AD$4:$AE$14,2,FALSE)=0,"Enrcoachment Data Missing ⚠",VLOOKUP(X254,'G-7 WaterC'' Data'!$AD$4:$AE$14,2,FALSE)))))</f>
        <v/>
      </c>
      <c r="Z254" s="102"/>
      <c r="AA254" s="276" t="str">
        <f>IF(Z254="","",IF(VLOOKUP(Z254,'G-7 WaterC'' Data'!$AO$4:$BO$7,2,FALSE)=0,"Spatial Data Missing ⚠",VLOOKUP(Z254,'G-7 WaterC'' Data'!$AO$4:$BO$7,2,FALSE)))</f>
        <v/>
      </c>
      <c r="AB254" s="317" t="str">
        <f t="shared" si="25"/>
        <v/>
      </c>
      <c r="AC254" s="317" t="str">
        <f t="shared" si="26"/>
        <v/>
      </c>
      <c r="AD254" s="101"/>
      <c r="AE254" s="938"/>
      <c r="AF254" s="138"/>
      <c r="AG254" s="138"/>
      <c r="AH254" s="934"/>
      <c r="AL254" s="30" t="str">
        <f>IFERROR(INDEX('G-7 WaterC'' Data'!$AZ$3:$AZ$7,MATCH(C254,'G-7 WaterC'' Data'!$AY$3:$AY$7,0)),"")</f>
        <v/>
      </c>
      <c r="AN254" s="30" t="str">
        <f t="shared" si="27"/>
        <v>No</v>
      </c>
    </row>
    <row r="255" spans="2:40" ht="14">
      <c r="B255" s="97">
        <v>244</v>
      </c>
      <c r="C255" s="923"/>
      <c r="D255" s="115"/>
      <c r="E255" s="275" t="str">
        <f>IF(C255="","",VLOOKUP(C255,'G-7 WaterC'' Data'!$B$2:$Z$9,2,FALSE))</f>
        <v/>
      </c>
      <c r="F255" s="276" t="str">
        <f>IFERROR(VLOOKUP(E255,'G-7 WaterC'' Data'!$C$4:$D$8,2,FALSE),"")</f>
        <v/>
      </c>
      <c r="G255" s="52"/>
      <c r="H255" s="276" t="str">
        <f>IFERROR(INDEX('G-7 WaterC'' Data'!$H$4:$L$8,MATCH(C255,'G-7 WaterC'' Data'!$B$4:$B$8,0),MATCH(G255,'G-7 WaterC'' Data'!$H$3:$L$3,0)),"")</f>
        <v/>
      </c>
      <c r="I255" s="52"/>
      <c r="J255" s="314" t="str">
        <f>IF(I255="","",IF(VLOOKUP(I255,'G-7 WaterC'' Data'!$AK$4:$AM$6,2,FALSE)=0,"Spatial Data Missing ⚠",VLOOKUP(I255,'G-7 WaterC'' Data'!$AK$4:$AM$6,2,FALSE)))</f>
        <v/>
      </c>
      <c r="K255" s="276" t="str">
        <f>IF(I255="","",IF(VLOOKUP(I255,'G-7 WaterC'' Data'!$AK$4:$AM$6,3,FALSE)=0,"Spatial Data Missing ⚠",VLOOKUP(I255,'G-7 WaterC'' Data'!$AK$4:$AM$6,3,FALSE)))</f>
        <v/>
      </c>
      <c r="L255" s="372" t="str">
        <f>IFERROR(INDEX('G-7 WaterC'' Data'!$O$3:$O$7,MATCH(G255,'G-7 WaterC'' Data'!$N$3:$N$7,0)),"")</f>
        <v/>
      </c>
      <c r="M255" s="53"/>
      <c r="N255" s="133"/>
      <c r="O255" s="283" t="str">
        <f t="shared" si="21"/>
        <v/>
      </c>
      <c r="P255" s="296" t="str">
        <f t="shared" si="22"/>
        <v/>
      </c>
      <c r="Q255" s="334" t="str">
        <f>IFERROR(IF(P255="Check Data ⚠","Check Data ⚠",VLOOKUP(P255,'G-4 Temporal multipliers'!$A$4:$C$37,3,FALSE)),"")</f>
        <v/>
      </c>
      <c r="R255" s="275" t="str">
        <f>IF(C255="","",VLOOKUP(C255,'G-7 WaterC'' Data'!$B$4:$G$8,4,FALSE))</f>
        <v/>
      </c>
      <c r="S255" s="283" t="str">
        <f t="shared" si="23"/>
        <v/>
      </c>
      <c r="T255" s="314" t="str">
        <f t="shared" si="24"/>
        <v/>
      </c>
      <c r="U255" s="276" t="str">
        <f>IF(C255="","",VLOOKUP(T255,'G-3 Multipliers'!$P$2:$Q$6,2,FALSE))</f>
        <v/>
      </c>
      <c r="V255" s="102"/>
      <c r="W255" s="276" t="str">
        <f>IF(V255="","",IF(AND(V255="N/A - Culvert",C255&lt;&gt;"Culvert"),"Not possible ▲",IF(AND(C255="Culvert",V255&lt;&gt;"N/A - Culvert"),"Not possible ▲",IF(VLOOKUP(V255,'G-7 WaterC'' Data'!$AA$4:$AB$7,2,FALSE)=0,"Spatial Data Missing ⚠",VLOOKUP(V255,'G-7 WaterC'' Data'!$AA$4:$AB$7,2,FALSE)))))</f>
        <v/>
      </c>
      <c r="X255" s="56"/>
      <c r="Y255" s="276" t="str">
        <f>IF(X255="","",IF(AND(X255="N/A - Culvert",C255&lt;&gt;"Culvert"),"Not possible ▲",IF(AND(C255="Culvert",X255&lt;&gt;"N/A - Culvert"),"Not possible ▲",IF(VLOOKUP(X255,'G-7 WaterC'' Data'!$AD$4:$AE$14,2,FALSE)=0,"Enrcoachment Data Missing ⚠",VLOOKUP(X255,'G-7 WaterC'' Data'!$AD$4:$AE$14,2,FALSE)))))</f>
        <v/>
      </c>
      <c r="Z255" s="102"/>
      <c r="AA255" s="276" t="str">
        <f>IF(Z255="","",IF(VLOOKUP(Z255,'G-7 WaterC'' Data'!$AO$4:$BO$7,2,FALSE)=0,"Spatial Data Missing ⚠",VLOOKUP(Z255,'G-7 WaterC'' Data'!$AO$4:$BO$7,2,FALSE)))</f>
        <v/>
      </c>
      <c r="AB255" s="317" t="str">
        <f t="shared" si="25"/>
        <v/>
      </c>
      <c r="AC255" s="317" t="str">
        <f t="shared" si="26"/>
        <v/>
      </c>
      <c r="AD255" s="101"/>
      <c r="AE255" s="938"/>
      <c r="AF255" s="138"/>
      <c r="AG255" s="138"/>
      <c r="AH255" s="934"/>
      <c r="AL255" s="30" t="str">
        <f>IFERROR(INDEX('G-7 WaterC'' Data'!$AZ$3:$AZ$7,MATCH(C255,'G-7 WaterC'' Data'!$AY$3:$AY$7,0)),"")</f>
        <v/>
      </c>
      <c r="AN255" s="30" t="str">
        <f t="shared" si="27"/>
        <v>No</v>
      </c>
    </row>
    <row r="256" spans="2:40" ht="14">
      <c r="B256" s="97">
        <v>245</v>
      </c>
      <c r="C256" s="923"/>
      <c r="D256" s="115"/>
      <c r="E256" s="275" t="str">
        <f>IF(C256="","",VLOOKUP(C256,'G-7 WaterC'' Data'!$B$2:$Z$9,2,FALSE))</f>
        <v/>
      </c>
      <c r="F256" s="276" t="str">
        <f>IFERROR(VLOOKUP(E256,'G-7 WaterC'' Data'!$C$4:$D$8,2,FALSE),"")</f>
        <v/>
      </c>
      <c r="G256" s="52"/>
      <c r="H256" s="276" t="str">
        <f>IFERROR(INDEX('G-7 WaterC'' Data'!$H$4:$L$8,MATCH(C256,'G-7 WaterC'' Data'!$B$4:$B$8,0),MATCH(G256,'G-7 WaterC'' Data'!$H$3:$L$3,0)),"")</f>
        <v/>
      </c>
      <c r="I256" s="52"/>
      <c r="J256" s="314" t="str">
        <f>IF(I256="","",IF(VLOOKUP(I256,'G-7 WaterC'' Data'!$AK$4:$AM$6,2,FALSE)=0,"Spatial Data Missing ⚠",VLOOKUP(I256,'G-7 WaterC'' Data'!$AK$4:$AM$6,2,FALSE)))</f>
        <v/>
      </c>
      <c r="K256" s="276" t="str">
        <f>IF(I256="","",IF(VLOOKUP(I256,'G-7 WaterC'' Data'!$AK$4:$AM$6,3,FALSE)=0,"Spatial Data Missing ⚠",VLOOKUP(I256,'G-7 WaterC'' Data'!$AK$4:$AM$6,3,FALSE)))</f>
        <v/>
      </c>
      <c r="L256" s="372" t="str">
        <f>IFERROR(INDEX('G-7 WaterC'' Data'!$O$3:$O$7,MATCH(G256,'G-7 WaterC'' Data'!$N$3:$N$7,0)),"")</f>
        <v/>
      </c>
      <c r="M256" s="53"/>
      <c r="N256" s="133"/>
      <c r="O256" s="283" t="str">
        <f t="shared" si="21"/>
        <v/>
      </c>
      <c r="P256" s="296" t="str">
        <f t="shared" si="22"/>
        <v/>
      </c>
      <c r="Q256" s="334" t="str">
        <f>IFERROR(IF(P256="Check Data ⚠","Check Data ⚠",VLOOKUP(P256,'G-4 Temporal multipliers'!$A$4:$C$37,3,FALSE)),"")</f>
        <v/>
      </c>
      <c r="R256" s="275" t="str">
        <f>IF(C256="","",VLOOKUP(C256,'G-7 WaterC'' Data'!$B$4:$G$8,4,FALSE))</f>
        <v/>
      </c>
      <c r="S256" s="283" t="str">
        <f t="shared" si="23"/>
        <v/>
      </c>
      <c r="T256" s="314" t="str">
        <f t="shared" si="24"/>
        <v/>
      </c>
      <c r="U256" s="276" t="str">
        <f>IF(C256="","",VLOOKUP(T256,'G-3 Multipliers'!$P$2:$Q$6,2,FALSE))</f>
        <v/>
      </c>
      <c r="V256" s="102"/>
      <c r="W256" s="276" t="str">
        <f>IF(V256="","",IF(AND(V256="N/A - Culvert",C256&lt;&gt;"Culvert"),"Not possible ▲",IF(AND(C256="Culvert",V256&lt;&gt;"N/A - Culvert"),"Not possible ▲",IF(VLOOKUP(V256,'G-7 WaterC'' Data'!$AA$4:$AB$7,2,FALSE)=0,"Spatial Data Missing ⚠",VLOOKUP(V256,'G-7 WaterC'' Data'!$AA$4:$AB$7,2,FALSE)))))</f>
        <v/>
      </c>
      <c r="X256" s="56"/>
      <c r="Y256" s="276" t="str">
        <f>IF(X256="","",IF(AND(X256="N/A - Culvert",C256&lt;&gt;"Culvert"),"Not possible ▲",IF(AND(C256="Culvert",X256&lt;&gt;"N/A - Culvert"),"Not possible ▲",IF(VLOOKUP(X256,'G-7 WaterC'' Data'!$AD$4:$AE$14,2,FALSE)=0,"Enrcoachment Data Missing ⚠",VLOOKUP(X256,'G-7 WaterC'' Data'!$AD$4:$AE$14,2,FALSE)))))</f>
        <v/>
      </c>
      <c r="Z256" s="102"/>
      <c r="AA256" s="276" t="str">
        <f>IF(Z256="","",IF(VLOOKUP(Z256,'G-7 WaterC'' Data'!$AO$4:$BO$7,2,FALSE)=0,"Spatial Data Missing ⚠",VLOOKUP(Z256,'G-7 WaterC'' Data'!$AO$4:$BO$7,2,FALSE)))</f>
        <v/>
      </c>
      <c r="AB256" s="317" t="str">
        <f t="shared" si="25"/>
        <v/>
      </c>
      <c r="AC256" s="317" t="str">
        <f t="shared" si="26"/>
        <v/>
      </c>
      <c r="AD256" s="101"/>
      <c r="AE256" s="938"/>
      <c r="AF256" s="138"/>
      <c r="AG256" s="138"/>
      <c r="AH256" s="934"/>
      <c r="AL256" s="30" t="str">
        <f>IFERROR(INDEX('G-7 WaterC'' Data'!$AZ$3:$AZ$7,MATCH(C256,'G-7 WaterC'' Data'!$AY$3:$AY$7,0)),"")</f>
        <v/>
      </c>
      <c r="AN256" s="30" t="str">
        <f t="shared" si="27"/>
        <v>No</v>
      </c>
    </row>
    <row r="257" spans="2:40" ht="14">
      <c r="B257" s="97">
        <v>246</v>
      </c>
      <c r="C257" s="923"/>
      <c r="D257" s="115"/>
      <c r="E257" s="275" t="str">
        <f>IF(C257="","",VLOOKUP(C257,'G-7 WaterC'' Data'!$B$2:$Z$9,2,FALSE))</f>
        <v/>
      </c>
      <c r="F257" s="276" t="str">
        <f>IFERROR(VLOOKUP(E257,'G-7 WaterC'' Data'!$C$4:$D$8,2,FALSE),"")</f>
        <v/>
      </c>
      <c r="G257" s="52"/>
      <c r="H257" s="276" t="str">
        <f>IFERROR(INDEX('G-7 WaterC'' Data'!$H$4:$L$8,MATCH(C257,'G-7 WaterC'' Data'!$B$4:$B$8,0),MATCH(G257,'G-7 WaterC'' Data'!$H$3:$L$3,0)),"")</f>
        <v/>
      </c>
      <c r="I257" s="52"/>
      <c r="J257" s="314" t="str">
        <f>IF(I257="","",IF(VLOOKUP(I257,'G-7 WaterC'' Data'!$AK$4:$AM$6,2,FALSE)=0,"Spatial Data Missing ⚠",VLOOKUP(I257,'G-7 WaterC'' Data'!$AK$4:$AM$6,2,FALSE)))</f>
        <v/>
      </c>
      <c r="K257" s="276" t="str">
        <f>IF(I257="","",IF(VLOOKUP(I257,'G-7 WaterC'' Data'!$AK$4:$AM$6,3,FALSE)=0,"Spatial Data Missing ⚠",VLOOKUP(I257,'G-7 WaterC'' Data'!$AK$4:$AM$6,3,FALSE)))</f>
        <v/>
      </c>
      <c r="L257" s="372" t="str">
        <f>IFERROR(INDEX('G-7 WaterC'' Data'!$O$3:$O$7,MATCH(G257,'G-7 WaterC'' Data'!$N$3:$N$7,0)),"")</f>
        <v/>
      </c>
      <c r="M257" s="53"/>
      <c r="N257" s="133"/>
      <c r="O257" s="283" t="str">
        <f t="shared" si="21"/>
        <v/>
      </c>
      <c r="P257" s="296" t="str">
        <f t="shared" si="22"/>
        <v/>
      </c>
      <c r="Q257" s="334" t="str">
        <f>IFERROR(IF(P257="Check Data ⚠","Check Data ⚠",VLOOKUP(P257,'G-4 Temporal multipliers'!$A$4:$C$37,3,FALSE)),"")</f>
        <v/>
      </c>
      <c r="R257" s="275" t="str">
        <f>IF(C257="","",VLOOKUP(C257,'G-7 WaterC'' Data'!$B$4:$G$8,4,FALSE))</f>
        <v/>
      </c>
      <c r="S257" s="283" t="str">
        <f t="shared" si="23"/>
        <v/>
      </c>
      <c r="T257" s="314" t="str">
        <f t="shared" si="24"/>
        <v/>
      </c>
      <c r="U257" s="276" t="str">
        <f>IF(C257="","",VLOOKUP(T257,'G-3 Multipliers'!$P$2:$Q$6,2,FALSE))</f>
        <v/>
      </c>
      <c r="V257" s="102"/>
      <c r="W257" s="276" t="str">
        <f>IF(V257="","",IF(AND(V257="N/A - Culvert",C257&lt;&gt;"Culvert"),"Not possible ▲",IF(AND(C257="Culvert",V257&lt;&gt;"N/A - Culvert"),"Not possible ▲",IF(VLOOKUP(V257,'G-7 WaterC'' Data'!$AA$4:$AB$7,2,FALSE)=0,"Spatial Data Missing ⚠",VLOOKUP(V257,'G-7 WaterC'' Data'!$AA$4:$AB$7,2,FALSE)))))</f>
        <v/>
      </c>
      <c r="X257" s="56"/>
      <c r="Y257" s="276" t="str">
        <f>IF(X257="","",IF(AND(X257="N/A - Culvert",C257&lt;&gt;"Culvert"),"Not possible ▲",IF(AND(C257="Culvert",X257&lt;&gt;"N/A - Culvert"),"Not possible ▲",IF(VLOOKUP(X257,'G-7 WaterC'' Data'!$AD$4:$AE$14,2,FALSE)=0,"Enrcoachment Data Missing ⚠",VLOOKUP(X257,'G-7 WaterC'' Data'!$AD$4:$AE$14,2,FALSE)))))</f>
        <v/>
      </c>
      <c r="Z257" s="102"/>
      <c r="AA257" s="276" t="str">
        <f>IF(Z257="","",IF(VLOOKUP(Z257,'G-7 WaterC'' Data'!$AO$4:$BO$7,2,FALSE)=0,"Spatial Data Missing ⚠",VLOOKUP(Z257,'G-7 WaterC'' Data'!$AO$4:$BO$7,2,FALSE)))</f>
        <v/>
      </c>
      <c r="AB257" s="317" t="str">
        <f t="shared" si="25"/>
        <v/>
      </c>
      <c r="AC257" s="317" t="str">
        <f t="shared" si="26"/>
        <v/>
      </c>
      <c r="AD257" s="101"/>
      <c r="AE257" s="938"/>
      <c r="AF257" s="138"/>
      <c r="AG257" s="138"/>
      <c r="AH257" s="934"/>
      <c r="AL257" s="30" t="str">
        <f>IFERROR(INDEX('G-7 WaterC'' Data'!$AZ$3:$AZ$7,MATCH(C257,'G-7 WaterC'' Data'!$AY$3:$AY$7,0)),"")</f>
        <v/>
      </c>
      <c r="AN257" s="30" t="str">
        <f t="shared" si="27"/>
        <v>No</v>
      </c>
    </row>
    <row r="258" spans="2:40" ht="14">
      <c r="B258" s="97">
        <v>247</v>
      </c>
      <c r="C258" s="923"/>
      <c r="D258" s="115"/>
      <c r="E258" s="275" t="str">
        <f>IF(C258="","",VLOOKUP(C258,'G-7 WaterC'' Data'!$B$2:$Z$9,2,FALSE))</f>
        <v/>
      </c>
      <c r="F258" s="276" t="str">
        <f>IFERROR(VLOOKUP(E258,'G-7 WaterC'' Data'!$C$4:$D$8,2,FALSE),"")</f>
        <v/>
      </c>
      <c r="G258" s="52"/>
      <c r="H258" s="276" t="str">
        <f>IFERROR(INDEX('G-7 WaterC'' Data'!$H$4:$L$8,MATCH(C258,'G-7 WaterC'' Data'!$B$4:$B$8,0),MATCH(G258,'G-7 WaterC'' Data'!$H$3:$L$3,0)),"")</f>
        <v/>
      </c>
      <c r="I258" s="52"/>
      <c r="J258" s="314" t="str">
        <f>IF(I258="","",IF(VLOOKUP(I258,'G-7 WaterC'' Data'!$AK$4:$AM$6,2,FALSE)=0,"Spatial Data Missing ⚠",VLOOKUP(I258,'G-7 WaterC'' Data'!$AK$4:$AM$6,2,FALSE)))</f>
        <v/>
      </c>
      <c r="K258" s="276" t="str">
        <f>IF(I258="","",IF(VLOOKUP(I258,'G-7 WaterC'' Data'!$AK$4:$AM$6,3,FALSE)=0,"Spatial Data Missing ⚠",VLOOKUP(I258,'G-7 WaterC'' Data'!$AK$4:$AM$6,3,FALSE)))</f>
        <v/>
      </c>
      <c r="L258" s="372" t="str">
        <f>IFERROR(INDEX('G-7 WaterC'' Data'!$O$3:$O$7,MATCH(G258,'G-7 WaterC'' Data'!$N$3:$N$7,0)),"")</f>
        <v/>
      </c>
      <c r="M258" s="53"/>
      <c r="N258" s="133"/>
      <c r="O258" s="283" t="str">
        <f t="shared" si="21"/>
        <v/>
      </c>
      <c r="P258" s="296" t="str">
        <f t="shared" si="22"/>
        <v/>
      </c>
      <c r="Q258" s="334" t="str">
        <f>IFERROR(IF(P258="Check Data ⚠","Check Data ⚠",VLOOKUP(P258,'G-4 Temporal multipliers'!$A$4:$C$37,3,FALSE)),"")</f>
        <v/>
      </c>
      <c r="R258" s="275" t="str">
        <f>IF(C258="","",VLOOKUP(C258,'G-7 WaterC'' Data'!$B$4:$G$8,4,FALSE))</f>
        <v/>
      </c>
      <c r="S258" s="283" t="str">
        <f t="shared" si="23"/>
        <v/>
      </c>
      <c r="T258" s="314" t="str">
        <f>(IF(AND(S258="Standard difficulty applied",L258&gt;M258),R258,IF(AND(S258="No - Low Difficulty - only applicable if all habitat created before losses ⚠",M258&gt;=L258),"Low",R258)))</f>
        <v/>
      </c>
      <c r="U258" s="276" t="str">
        <f>IF(C258="","",VLOOKUP(T258,'G-3 Multipliers'!$P$2:$Q$6,2,FALSE))</f>
        <v/>
      </c>
      <c r="V258" s="102"/>
      <c r="W258" s="276" t="str">
        <f>IF(V258="","",IF(AND(V258="N/A - Culvert",C258&lt;&gt;"Culvert"),"Not possible ▲",IF(AND(C258="Culvert",V258&lt;&gt;"N/A - Culvert"),"Not possible ▲",IF(VLOOKUP(V258,'G-7 WaterC'' Data'!$AA$4:$AB$7,2,FALSE)=0,"Spatial Data Missing ⚠",VLOOKUP(V258,'G-7 WaterC'' Data'!$AA$4:$AB$7,2,FALSE)))))</f>
        <v/>
      </c>
      <c r="X258" s="56"/>
      <c r="Y258" s="276" t="str">
        <f>IF(X258="","",IF(AND(X258="N/A - Culvert",C258&lt;&gt;"Culvert"),"Not possible ▲",IF(AND(C258="Culvert",X258&lt;&gt;"N/A - Culvert"),"Not possible ▲",IF(VLOOKUP(X258,'G-7 WaterC'' Data'!$AD$4:$AE$14,2,FALSE)=0,"Enrcoachment Data Missing ⚠",VLOOKUP(X258,'G-7 WaterC'' Data'!$AD$4:$AE$14,2,FALSE)))))</f>
        <v/>
      </c>
      <c r="Z258" s="102"/>
      <c r="AA258" s="276" t="str">
        <f>IF(Z258="","",IF(VLOOKUP(Z258,'G-7 WaterC'' Data'!$AO$4:$BO$7,2,FALSE)=0,"Spatial Data Missing ⚠",VLOOKUP(Z258,'G-7 WaterC'' Data'!$AO$4:$BO$7,2,FALSE)))</f>
        <v/>
      </c>
      <c r="AB258" s="317" t="str">
        <f t="shared" si="25"/>
        <v/>
      </c>
      <c r="AC258" s="317" t="str">
        <f t="shared" si="26"/>
        <v/>
      </c>
      <c r="AD258" s="101"/>
      <c r="AE258" s="938"/>
      <c r="AF258" s="138"/>
      <c r="AG258" s="138"/>
      <c r="AH258" s="934"/>
      <c r="AL258" s="30" t="str">
        <f>IFERROR(INDEX('G-7 WaterC'' Data'!$AZ$3:$AZ$7,MATCH(C258,'G-7 WaterC'' Data'!$AY$3:$AY$7,0)),"")</f>
        <v/>
      </c>
      <c r="AN258" s="30" t="str">
        <f t="shared" si="27"/>
        <v>No</v>
      </c>
    </row>
    <row r="259" spans="2:40" ht="14.5" thickBot="1">
      <c r="B259" s="109">
        <v>248</v>
      </c>
      <c r="C259" s="924"/>
      <c r="D259" s="110"/>
      <c r="E259" s="277" t="str">
        <f>IF(C259="","",VLOOKUP(C259,'G-7 WaterC'' Data'!$B$2:$Z$9,2,FALSE))</f>
        <v/>
      </c>
      <c r="F259" s="278" t="str">
        <f>IFERROR(VLOOKUP(E259,'G-7 WaterC'' Data'!$C$4:$D$8,2,FALSE),"")</f>
        <v/>
      </c>
      <c r="G259" s="52"/>
      <c r="H259" s="278" t="str">
        <f>IFERROR(INDEX('G-7 WaterC'' Data'!$H$4:$L$8,MATCH(C259,'G-7 WaterC'' Data'!$B$4:$B$8,0),MATCH(G259,'G-7 WaterC'' Data'!$H$3:$L$3,0)),"")</f>
        <v/>
      </c>
      <c r="I259" s="52"/>
      <c r="J259" s="314" t="str">
        <f>IF(I259="","",IF(VLOOKUP(I259,'G-7 WaterC'' Data'!$AK$4:$AM$6,2,FALSE)=0,"Spatial Data Missing ⚠",VLOOKUP(I259,'G-7 WaterC'' Data'!$AK$4:$AM$6,2,FALSE)))</f>
        <v/>
      </c>
      <c r="K259" s="276" t="str">
        <f>IF(I259="","",IF(VLOOKUP(I259,'G-7 WaterC'' Data'!$AK$4:$AM$6,3,FALSE)=0,"Spatial Data Missing ⚠",VLOOKUP(I259,'G-7 WaterC'' Data'!$AK$4:$AM$6,3,FALSE)))</f>
        <v/>
      </c>
      <c r="L259" s="373" t="str">
        <f>IFERROR(INDEX('G-7 WaterC'' Data'!$O$3:$O$7,MATCH(G259,'G-7 WaterC'' Data'!$N$3:$N$7,0)),"")</f>
        <v/>
      </c>
      <c r="M259" s="53"/>
      <c r="N259" s="141"/>
      <c r="O259" s="283" t="str">
        <f t="shared" si="21"/>
        <v/>
      </c>
      <c r="P259" s="296" t="str">
        <f t="shared" si="22"/>
        <v/>
      </c>
      <c r="Q259" s="334" t="str">
        <f>IFERROR(IF(P259="Check Data ⚠","Check Data ⚠",VLOOKUP(P259,'G-4 Temporal multipliers'!$A$4:$C$37,3,FALSE)),"")</f>
        <v/>
      </c>
      <c r="R259" s="277" t="str">
        <f>IF(C259="","",VLOOKUP(C259,'G-7 WaterC'' Data'!$B$4:$G$8,4,FALSE))</f>
        <v/>
      </c>
      <c r="S259" s="283" t="str">
        <f t="shared" si="23"/>
        <v/>
      </c>
      <c r="T259" s="314" t="str">
        <f t="shared" si="24"/>
        <v/>
      </c>
      <c r="U259" s="276" t="str">
        <f>IF(C259="","",VLOOKUP(T259,'G-3 Multipliers'!$P$2:$Q$6,2,FALSE))</f>
        <v/>
      </c>
      <c r="V259" s="102"/>
      <c r="W259" s="276" t="str">
        <f>IF(V259="","",IF(AND(V259="N/A - Culvert",C259&lt;&gt;"Culvert"),"Not possible ▲",IF(AND(C259="Culvert",V259&lt;&gt;"N/A - Culvert"),"Not possible ▲",IF(VLOOKUP(V259,'G-7 WaterC'' Data'!$AA$4:$AB$7,2,FALSE)=0,"Spatial Data Missing ⚠",VLOOKUP(V259,'G-7 WaterC'' Data'!$AA$4:$AB$7,2,FALSE)))))</f>
        <v/>
      </c>
      <c r="X259" s="56"/>
      <c r="Y259" s="276" t="str">
        <f>IF(X259="","",IF(AND(X259="N/A - Culvert",C259&lt;&gt;"Culvert"),"Not possible ▲",IF(AND(C259="Culvert",X259&lt;&gt;"N/A - Culvert"),"Not possible ▲",IF(VLOOKUP(X259,'G-7 WaterC'' Data'!$AD$4:$AE$14,2,FALSE)=0,"Enrcoachment Data Missing ⚠",VLOOKUP(X259,'G-7 WaterC'' Data'!$AD$4:$AE$14,2,FALSE)))))</f>
        <v/>
      </c>
      <c r="Z259" s="102"/>
      <c r="AA259" s="276" t="str">
        <f>IF(Z259="","",IF(VLOOKUP(Z259,'G-7 WaterC'' Data'!$AO$4:$BO$7,2,FALSE)=0,"Spatial Data Missing ⚠",VLOOKUP(Z259,'G-7 WaterC'' Data'!$AO$4:$BO$7,2,FALSE)))</f>
        <v/>
      </c>
      <c r="AB259" s="318" t="str">
        <f t="shared" si="25"/>
        <v/>
      </c>
      <c r="AC259" s="317" t="str">
        <f t="shared" si="26"/>
        <v/>
      </c>
      <c r="AD259" s="111"/>
      <c r="AE259" s="234"/>
      <c r="AF259" s="141"/>
      <c r="AG259" s="141"/>
      <c r="AH259" s="941"/>
      <c r="AL259" s="30" t="str">
        <f>IFERROR(INDEX('G-7 WaterC'' Data'!$AZ$3:$AZ$7,MATCH(C259,'G-7 WaterC'' Data'!$AY$3:$AY$7,0)),"")</f>
        <v/>
      </c>
      <c r="AN259" s="30" t="str">
        <f t="shared" si="27"/>
        <v>No</v>
      </c>
    </row>
    <row r="260" spans="2:40" ht="14.5" thickBot="1">
      <c r="B260" s="34"/>
      <c r="C260" s="178"/>
      <c r="D260" s="279">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795"/>
      <c r="AA260" s="1796"/>
      <c r="AB260" s="279">
        <f>SUM(AB12:AB259)</f>
        <v>0</v>
      </c>
      <c r="AC260" s="279">
        <f>SUM(AC12:AC259)</f>
        <v>0</v>
      </c>
      <c r="AN260" s="30" t="str">
        <f t="shared" si="27"/>
        <v>No</v>
      </c>
    </row>
    <row r="261" ht="29.15" customHeight="1"/>
    <row r="262" ht="27" customHeight="1"/>
    <row r="263" ht="14"/>
    <row r="264" ht="14"/>
    <row r="265" ht="14" hidden="1"/>
    <row r="266" ht="14" hidden="1"/>
    <row r="267" ht="14" hidden="1"/>
  </sheetData>
  <sheetProtection algorithmName="SHA-512" hashValue="ErdtcetTw9WrmQGkrzq1SCa7aGONTIr8Qvxlo5fmfFA/DoKGYKHJ3hAdEjqJyeUJuc3TaCEyEQIHZtqPr6FXOw==" saltValue="+xQiIUvFQ+Tb4DxYKWrmyA=="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24">
    <mergeCell ref="AD10:AH10"/>
    <mergeCell ref="AC10:AC11"/>
    <mergeCell ref="P2:U6"/>
    <mergeCell ref="F4:K4"/>
    <mergeCell ref="F3:K3"/>
    <mergeCell ref="F2:O2"/>
    <mergeCell ref="V2:AB5"/>
    <mergeCell ref="F5:K5"/>
    <mergeCell ref="L5:O5"/>
    <mergeCell ref="Z260:AA26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priority="30" dxfId="1273" operator="beginsWith" text="Not Possible">
      <formula>LEFT(H12,LEN("Not Possible"))="Not Possible"</formula>
    </cfRule>
  </conditionalFormatting>
  <conditionalFormatting sqref="J12:K259">
    <cfRule type="containsText" priority="29" dxfId="1281" operator="containsText" text="Spatial">
      <formula>NOT(ISERROR(SEARCH("Spatial",J12)))</formula>
    </cfRule>
  </conditionalFormatting>
  <conditionalFormatting sqref="O12:AB259">
    <cfRule type="containsText" priority="27" dxfId="1267" operator="containsText" text="Check">
      <formula>NOT(ISERROR(SEARCH("Check",O12)))</formula>
    </cfRule>
    <cfRule type="containsText" priority="28" dxfId="1273" operator="containsText" text="Error">
      <formula>NOT(ISERROR(SEARCH("Error",O12)))</formula>
    </cfRule>
  </conditionalFormatting>
  <conditionalFormatting sqref="L12:Q259">
    <cfRule type="containsText" priority="26" dxfId="1267" operator="containsText" text="30+">
      <formula>NOT(ISERROR(SEARCH("30+",L12)))</formula>
    </cfRule>
  </conditionalFormatting>
  <conditionalFormatting sqref="P2 L6:O6">
    <cfRule type="containsText" priority="25" dxfId="1281" operator="containsText" text="Note">
      <formula>NOT(ISERROR(SEARCH("Note",L2)))</formula>
    </cfRule>
  </conditionalFormatting>
  <conditionalFormatting sqref="W12:Y259">
    <cfRule type="containsText" priority="24" dxfId="1281" operator="containsText" text="Spatial">
      <formula>NOT(ISERROR(SEARCH("Spatial",W12)))</formula>
    </cfRule>
  </conditionalFormatting>
  <conditionalFormatting sqref="L3">
    <cfRule type="containsText" priority="22" dxfId="1273" operator="containsText" text="Error">
      <formula>NOT(ISERROR(SEARCH("Error",L3)))</formula>
    </cfRule>
    <cfRule type="containsText" priority="23" dxfId="1267" operator="containsText" text="Check">
      <formula>NOT(ISERROR(SEARCH("Check",L3)))</formula>
    </cfRule>
  </conditionalFormatting>
  <conditionalFormatting sqref="L4">
    <cfRule type="containsText" priority="5" dxfId="1273" operator="containsText" text="Error">
      <formula>NOT(ISERROR(SEARCH("Error",L4)))</formula>
    </cfRule>
    <cfRule type="containsText" priority="12" dxfId="1267" operator="containsText" text="Check">
      <formula>NOT(ISERROR(SEARCH("Check",L4)))</formula>
    </cfRule>
  </conditionalFormatting>
  <conditionalFormatting sqref="V2:AC5">
    <cfRule type="containsText" priority="17" dxfId="1281" operator="containsText" text="Check">
      <formula>NOT(ISERROR(SEARCH("Check",V2)))</formula>
    </cfRule>
  </conditionalFormatting>
  <conditionalFormatting sqref="L5">
    <cfRule type="containsText" priority="15" dxfId="1273" operator="containsText" text="No">
      <formula>NOT(ISERROR(SEARCH("No",L5)))</formula>
    </cfRule>
    <cfRule type="containsText" priority="16" dxfId="1253" operator="containsText" text="Yes">
      <formula>NOT(ISERROR(SEARCH("Yes",L5)))</formula>
    </cfRule>
  </conditionalFormatting>
  <conditionalFormatting sqref="AC12:AC259">
    <cfRule type="containsText" priority="2" dxfId="1273" operator="containsText" text="▲">
      <formula>NOT(ISERROR(SEARCH("▲",AC12)))</formula>
    </cfRule>
    <cfRule type="containsText" priority="13" dxfId="1267" operator="containsText" text="Check">
      <formula>NOT(ISERROR(SEARCH("Check",AC12)))</formula>
    </cfRule>
    <cfRule type="containsText" priority="14" dxfId="1273" operator="containsText" text="Error">
      <formula>NOT(ISERROR(SEARCH("Error",AC12)))</formula>
    </cfRule>
  </conditionalFormatting>
  <conditionalFormatting sqref="L4:O4">
    <cfRule type="cellIs" priority="11" dxfId="881" operator="equal">
      <formula>0</formula>
    </cfRule>
    <cfRule type="cellIs" priority="459" dxfId="1273" operator="lessThan">
      <formula>0</formula>
    </cfRule>
  </conditionalFormatting>
  <conditionalFormatting sqref="L3:O5">
    <cfRule type="containsText" priority="10" dxfId="932" operator="containsText" text="N/A">
      <formula>NOT(ISERROR(SEARCH("N/A",L3)))</formula>
    </cfRule>
  </conditionalFormatting>
  <conditionalFormatting sqref="W1:W1048576">
    <cfRule type="containsText" priority="7" dxfId="1273" operator="containsText" text="Not possible">
      <formula>NOT(ISERROR(SEARCH("Not possible",W1)))</formula>
    </cfRule>
  </conditionalFormatting>
  <conditionalFormatting sqref="Y12:Y259">
    <cfRule type="containsText" priority="6" dxfId="1273" operator="containsText" text="Not possible">
      <formula>NOT(ISERROR(SEARCH("Not possible",Y12)))</formula>
    </cfRule>
  </conditionalFormatting>
  <conditionalFormatting sqref="J1:J1048576">
    <cfRule type="containsText" priority="4" dxfId="1273" operator="containsText" text="Possible">
      <formula>NOT(ISERROR(SEARCH("Possible",J1)))</formula>
    </cfRule>
  </conditionalFormatting>
  <conditionalFormatting sqref="S1:S1048576">
    <cfRule type="containsText" priority="3" dxfId="1281" operator="containsText" text="⚠">
      <formula>NOT(ISERROR(SEARCH("⚠",S1)))</formula>
    </cfRule>
  </conditionalFormatting>
  <conditionalFormatting sqref="AG12:AG259">
    <cfRule type="expression" priority="1" dxfId="1275">
      <formula>$AC12="Off-site reference required ▲"</formula>
    </cfRule>
  </conditionalFormatting>
  <conditionalFormatting sqref="L4:O4">
    <cfRule type="expression" priority="8" dxfId="1289">
      <formula>'Headline Results'!$H$10:$I$10=0</formula>
    </cfRule>
  </conditionalFormatting>
  <conditionalFormatting sqref="L4:O4">
    <cfRule type="cellIs" priority="9" dxfId="1294" operator="lessThan">
      <formula>Start!$F$22</formula>
    </cfRule>
    <cfRule type="cellIs" priority="460" dxfId="1284" operator="greaterThan">
      <formula>Start!$F$22</formula>
    </cfRule>
  </conditionalFormatting>
  <dataValidations count="7">
    <dataValidation type="list" allowBlank="1" showInputMessage="1" showErrorMessage="1" sqref="G12:G259">
      <formula1>INDIRECT(AL12)</formula1>
    </dataValidation>
    <dataValidation type="list" allowBlank="1" showInputMessage="1" showErrorMessage="1" sqref="V12:V259">
      <formula1>IF(C12="Culvert",riparianencroachment2,riparianencroachment1)</formula1>
    </dataValidation>
    <dataValidation type="list" allowBlank="1" showInputMessage="1" showErrorMessage="1" sqref="X12:X259">
      <formula1>IF(C12="Culvert",Encroachment2,Encroachment1)</formula1>
    </dataValidation>
    <dataValidation type="list" allowBlank="1" showInputMessage="1" showErrorMessage="1" sqref="C12:C259">
      <formula1>'G-7 WaterC'' Data'!$B$4:$B$8</formula1>
    </dataValidation>
    <dataValidation type="list" allowBlank="1" showInputMessage="1" showErrorMessage="1" sqref="M12:N259">
      <formula1>'G-4 Temporal multipliers'!$A$42:$A$73</formula1>
    </dataValidation>
    <dataValidation type="list" allowBlank="1" showInputMessage="1" showErrorMessage="1" sqref="Z12:Z259">
      <formula1>'G-7 WaterC'' Data'!$AO$4:$AO$7</formula1>
    </dataValidation>
    <dataValidation type="list" allowBlank="1" showInputMessage="1" showErrorMessage="1" sqref="I12:I259">
      <formula1>'G-7 WaterC'' Data'!$AK$4:$AK$6</formula1>
    </dataValidation>
  </dataValidations>
  <pageMargins left="0.7" right="0.7" top="0.75" bottom="0.75" header="0.3" footer="0.3"/>
  <pageSetup horizontalDpi="90" verticalDpi="90" orientation="portrait" paperSize="9"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B2:BJ259"/>
  <sheetViews>
    <sheetView zoomScale="80" zoomScaleNormal="80" workbookViewId="0" topLeftCell="A1">
      <pane ySplit="11" topLeftCell="A12" activePane="bottomLeft" state="frozen"/>
      <selection pane="topLeft" activeCell="A1" sqref="A1"/>
      <selection pane="bottomLeft" activeCell="A1" sqref="A1"/>
    </sheetView>
  </sheetViews>
  <sheetFormatPr defaultColWidth="20.5442857142857" defaultRowHeight="0" customHeight="1" zeroHeight="1"/>
  <cols>
    <col min="1" max="1" width="2.57142857142857" style="30" customWidth="1"/>
    <col min="2" max="2" width="14.4285714285714" style="30" customWidth="1"/>
    <col min="3" max="3" width="51.4285714285714" style="30" customWidth="1"/>
    <col min="4" max="4" width="10.4285714285714" style="30" customWidth="1"/>
    <col min="5" max="5" width="17.4285714285714" style="30" customWidth="1"/>
    <col min="6" max="6" width="17.5714285714286" style="30" customWidth="1"/>
    <col min="7" max="7" width="18.4285714285714" style="30" customWidth="1"/>
    <col min="8" max="8" width="19.4285714285714" style="30" customWidth="1"/>
    <col min="9" max="9" width="34.5714285714286" style="30" customWidth="1"/>
    <col min="10" max="13" width="19.4285714285714" style="30" customWidth="1"/>
    <col min="14" max="14" width="56.5714285714286" style="30" customWidth="1"/>
    <col min="15" max="15" width="34.4285714285714" style="30" customWidth="1"/>
    <col min="16" max="16" width="45.5714285714286" style="30" customWidth="1"/>
    <col min="17" max="17" width="9.57142857142857" style="30" customWidth="1"/>
    <col min="18" max="18" width="18.4285714285714" style="30" customWidth="1"/>
    <col min="19" max="19" width="13.4285714285714" style="30" customWidth="1"/>
    <col min="20" max="20" width="12.5714285714286" style="30" bestFit="1" customWidth="1"/>
    <col min="21" max="21" width="12.5714285714286" style="30" customWidth="1"/>
    <col min="22" max="22" width="33.5714285714286" style="30" customWidth="1"/>
    <col min="23" max="23" width="15.4285714285714" style="30" customWidth="1"/>
    <col min="24" max="24" width="16.4285714285714" style="30" customWidth="1"/>
    <col min="25" max="25" width="18.4285714285714" style="30" customWidth="1"/>
    <col min="26" max="26" width="20.4285714285714" style="30" customWidth="1"/>
    <col min="27" max="27" width="23.4285714285714" style="30" customWidth="1"/>
    <col min="28" max="28" width="26.5714285714286" style="30" customWidth="1"/>
    <col min="29" max="29" width="18.4285714285714" style="30" customWidth="1"/>
    <col min="30" max="30" width="15.4285714285714" style="30" customWidth="1"/>
    <col min="31" max="31" width="17.5714285714286" style="30" customWidth="1"/>
    <col min="32" max="32" width="27.4285714285714" style="30" customWidth="1"/>
    <col min="33" max="33" width="17.4285714285714" style="30" customWidth="1"/>
    <col min="34" max="34" width="12.5714285714286" style="30" customWidth="1"/>
    <col min="35" max="35" width="16.5714285714286" style="30" customWidth="1"/>
    <col min="36" max="36" width="12.5714285714286" style="30" customWidth="1"/>
    <col min="37" max="37" width="19.5714285714286" style="30" customWidth="1"/>
    <col min="38" max="38" width="12.5714285714286" style="30" customWidth="1"/>
    <col min="39" max="39" width="41.4285714285714" style="30" customWidth="1"/>
    <col min="40" max="40" width="5.42857142857143" style="30" hidden="1" customWidth="1"/>
    <col min="41" max="41" width="3.42857142857143" style="30" hidden="1" customWidth="1"/>
    <col min="42" max="42" width="15.4285714285714" style="30" customWidth="1"/>
    <col min="43" max="44" width="42.4285714285714" style="30" customWidth="1"/>
    <col min="45" max="46" width="13.4285714285714" style="30" customWidth="1"/>
    <col min="47" max="48" width="20.5714285714286" style="30" hidden="1" customWidth="1"/>
    <col min="49" max="16382" width="0" style="30" hidden="1" customWidth="1"/>
    <col min="16383" max="16384" width="20.5714285714286" style="30"/>
  </cols>
  <sheetData>
    <row r="1" ht="20.9" customHeight="1" thickBot="1"/>
    <row r="2" spans="2:30" ht="27" customHeight="1" thickBot="1">
      <c r="B2" s="1784" t="str">
        <f>CONCATENATE("Project Name:"," ",Start!F12,"     ","Map Reference:"," ",Start!K66)</f>
        <v xml:space="preserve">Project Name: Land east of Calne Road, Lyneham     Map Reference: </v>
      </c>
      <c r="C2" s="1785"/>
      <c r="R2" s="89"/>
      <c r="Y2" s="1715" t="str">
        <f>IF(OR(COUNTIF($Y$12:Y259,"*30+*")&gt;0,COUNTIF($AC$12:AC259,"*30+*")&gt;0),"Note; Habitat selected has a time to target condition greater than 30 years. Non standard agreement may be required. ⚠","")</f>
        <v/>
      </c>
      <c r="Z2" s="1715"/>
      <c r="AA2" s="1715"/>
      <c r="AB2" s="1715"/>
      <c r="AC2" s="1715"/>
      <c r="AD2" s="1715"/>
    </row>
    <row r="3" spans="2:30" ht="21" customHeight="1" thickBot="1">
      <c r="B3" s="1799" t="str">
        <f ca="1">MID(CELL("filename",A1),FIND("]",CELL("filename",A1))+1,256)</f>
        <v>F-3 Off-Site WaterC Enhancement</v>
      </c>
      <c r="C3" s="1800"/>
      <c r="D3" s="1749" t="str" cm="1">
        <f t="array" ref="D3">IF(OR(AZ12:AZ257="Yes"),"👁 Enhanced irreplaceable habitats highlighted below ","")</f>
        <v/>
      </c>
      <c r="E3" s="1749"/>
      <c r="F3" s="1749"/>
      <c r="G3" s="1749"/>
      <c r="H3" s="1749"/>
      <c r="O3" s="1597" t="s">
        <v>475</v>
      </c>
      <c r="P3" s="1599"/>
      <c r="R3" s="1792" t="str" cm="1">
        <f t="array" ref="R3">IF(OR(BJ12:BJ258="Yes"),"A 'Fairly' Category has been used for ditches - check evidence to ensure this is appropriate ⚠","")</f>
        <v/>
      </c>
      <c r="S3" s="1792"/>
      <c r="T3" s="1792"/>
      <c r="U3" s="1792"/>
      <c r="V3" s="1792"/>
      <c r="W3" s="1792"/>
      <c r="X3" s="1792"/>
      <c r="Y3" s="1715"/>
      <c r="Z3" s="1715"/>
      <c r="AA3" s="1715"/>
      <c r="AB3" s="1715"/>
      <c r="AC3" s="1715"/>
      <c r="AD3" s="1715"/>
    </row>
    <row r="4" spans="2:30" ht="21" customHeight="1" thickBot="1">
      <c r="B4" s="1801"/>
      <c r="C4" s="1802"/>
      <c r="D4" s="1749"/>
      <c r="E4" s="1749"/>
      <c r="F4" s="1749"/>
      <c r="G4" s="1749"/>
      <c r="H4" s="1749"/>
      <c r="O4" s="403" t="s">
        <v>306</v>
      </c>
      <c r="P4" s="390">
        <f>'Headline Results'!H49</f>
        <v>0</v>
      </c>
      <c r="R4" s="1792"/>
      <c r="S4" s="1792"/>
      <c r="T4" s="1792"/>
      <c r="U4" s="1792"/>
      <c r="V4" s="1792"/>
      <c r="W4" s="1792"/>
      <c r="X4" s="1792"/>
      <c r="Y4" s="1715"/>
      <c r="Z4" s="1715"/>
      <c r="AA4" s="1715"/>
      <c r="AB4" s="1715"/>
      <c r="AC4" s="1715"/>
      <c r="AD4" s="1715"/>
    </row>
    <row r="5" spans="4:40" ht="15.65" customHeight="1">
      <c r="D5" s="1749"/>
      <c r="E5" s="1749"/>
      <c r="F5" s="1749"/>
      <c r="G5" s="1749"/>
      <c r="H5" s="1749"/>
      <c r="O5" s="385" t="s">
        <v>308</v>
      </c>
      <c r="P5" s="391">
        <f>'Headline Results'!H53</f>
        <v>0</v>
      </c>
      <c r="Q5" s="30" t="s">
        <v>512</v>
      </c>
      <c r="R5" s="1792"/>
      <c r="S5" s="1792"/>
      <c r="T5" s="1792"/>
      <c r="U5" s="1792"/>
      <c r="V5" s="1792"/>
      <c r="W5" s="1792"/>
      <c r="X5" s="1792"/>
      <c r="AH5" s="132"/>
      <c r="AI5" s="132"/>
      <c r="AJ5" s="132"/>
      <c r="AK5" s="132"/>
      <c r="AL5" s="132"/>
      <c r="AM5" s="132"/>
      <c r="AN5" s="132"/>
    </row>
    <row r="6" spans="15:45" ht="15" customHeight="1" thickBot="1">
      <c r="O6" s="404" t="s">
        <v>310</v>
      </c>
      <c r="P6" s="383" t="str" cm="1">
        <f t="array" ref="P6">IF(OR('Trading Summary WaterC''s'!G5:H8="No ▲"),"No - check trading summary ▲","Yes ✓")</f>
        <v>Yes ✓</v>
      </c>
      <c r="Q6" s="388"/>
      <c r="R6" s="388"/>
      <c r="S6" s="388"/>
      <c r="T6" s="388"/>
      <c r="AQ6" s="1805" t="str">
        <f>IFERROR(IF(AS6&gt;0,"Error - No enhancement - units less than baseline ▲"," "),"")</f>
        <v xml:space="preserve"> </v>
      </c>
      <c r="AR6" s="1805"/>
      <c r="AS6" s="22" cm="1">
        <f t="array" ref="AS6">SUMPRODUCT(--(AP12:AP257&lt;BD12:BD257))</f>
        <v>0</v>
      </c>
    </row>
    <row r="7" spans="3:3" ht="14">
      <c r="C7" s="88"/>
    </row>
    <row r="8" ht="14.5" thickBot="1"/>
    <row r="9" spans="3:41" ht="15" customHeight="1" thickBot="1">
      <c r="C9" s="88"/>
      <c r="D9" s="88"/>
      <c r="E9" s="88"/>
      <c r="F9" s="88"/>
      <c r="G9" s="88"/>
      <c r="H9" s="88"/>
      <c r="I9" s="88"/>
      <c r="J9" s="88"/>
      <c r="K9" s="88"/>
      <c r="L9" s="88"/>
      <c r="M9" s="88"/>
      <c r="N9" s="1709" t="s">
        <v>371</v>
      </c>
      <c r="O9" s="1710"/>
      <c r="P9" s="1710"/>
      <c r="Q9" s="1710"/>
      <c r="R9" s="1710"/>
      <c r="S9" s="1710"/>
      <c r="T9" s="1710"/>
      <c r="U9" s="1710"/>
      <c r="V9" s="1710"/>
      <c r="W9" s="1710"/>
      <c r="X9" s="1710"/>
      <c r="Y9" s="1710"/>
      <c r="Z9" s="1710"/>
      <c r="AA9" s="1710"/>
      <c r="AB9" s="1710"/>
      <c r="AC9" s="1710"/>
      <c r="AD9" s="1710"/>
      <c r="AE9" s="1710"/>
      <c r="AF9" s="1710"/>
      <c r="AG9" s="1710"/>
      <c r="AH9" s="1710"/>
      <c r="AI9" s="1710"/>
      <c r="AJ9" s="1710"/>
      <c r="AK9" s="1710"/>
      <c r="AL9" s="1710"/>
      <c r="AM9" s="1711"/>
      <c r="AN9" s="963"/>
      <c r="AO9" s="255"/>
    </row>
    <row r="10" spans="3:46" s="33" customFormat="1" ht="27" customHeight="1" thickBot="1">
      <c r="C10" s="1701" t="s">
        <v>372</v>
      </c>
      <c r="D10" s="1702"/>
      <c r="E10" s="1702"/>
      <c r="F10" s="1702"/>
      <c r="G10" s="1702"/>
      <c r="H10" s="1702"/>
      <c r="I10" s="1702"/>
      <c r="J10" s="1702"/>
      <c r="K10" s="1702"/>
      <c r="L10" s="1702"/>
      <c r="M10" s="1702"/>
      <c r="N10" s="1725" t="s">
        <v>513</v>
      </c>
      <c r="O10" s="1803" t="s">
        <v>374</v>
      </c>
      <c r="P10" s="1804"/>
      <c r="Q10" s="1723" t="s">
        <v>451</v>
      </c>
      <c r="R10" s="1723" t="s">
        <v>496</v>
      </c>
      <c r="S10" s="1723"/>
      <c r="T10" s="1723" t="s">
        <v>497</v>
      </c>
      <c r="U10" s="1723"/>
      <c r="V10" s="1745" t="s">
        <v>314</v>
      </c>
      <c r="W10" s="1746"/>
      <c r="X10" s="1747"/>
      <c r="Y10" s="1745" t="s">
        <v>428</v>
      </c>
      <c r="Z10" s="1746"/>
      <c r="AA10" s="1746"/>
      <c r="AB10" s="1746"/>
      <c r="AC10" s="1746"/>
      <c r="AD10" s="1747"/>
      <c r="AE10" s="1745" t="s">
        <v>429</v>
      </c>
      <c r="AF10" s="1746"/>
      <c r="AG10" s="1746"/>
      <c r="AH10" s="1747"/>
      <c r="AI10" s="1723" t="s">
        <v>477</v>
      </c>
      <c r="AJ10" s="1723"/>
      <c r="AK10" s="1745" t="s">
        <v>478</v>
      </c>
      <c r="AL10" s="1747"/>
      <c r="AM10" s="1723" t="s">
        <v>408</v>
      </c>
      <c r="AN10" s="1745"/>
      <c r="AO10" s="1738" t="s">
        <v>514</v>
      </c>
      <c r="AP10" s="1692" t="s">
        <v>492</v>
      </c>
      <c r="AQ10" s="1701" t="s">
        <v>318</v>
      </c>
      <c r="AR10" s="1702"/>
      <c r="AS10" s="1702"/>
      <c r="AT10" s="1703"/>
    </row>
    <row r="11" spans="2:62" ht="60" customHeight="1" thickBot="1">
      <c r="B11" s="506" t="s">
        <v>380</v>
      </c>
      <c r="C11" s="116" t="s">
        <v>381</v>
      </c>
      <c r="D11" s="121" t="s">
        <v>451</v>
      </c>
      <c r="E11" s="121" t="s">
        <v>383</v>
      </c>
      <c r="F11" s="121" t="s">
        <v>384</v>
      </c>
      <c r="G11" s="121" t="s">
        <v>385</v>
      </c>
      <c r="H11" s="121" t="s">
        <v>386</v>
      </c>
      <c r="I11" s="121" t="s">
        <v>387</v>
      </c>
      <c r="J11" s="121" t="s">
        <v>314</v>
      </c>
      <c r="K11" s="121" t="s">
        <v>388</v>
      </c>
      <c r="L11" s="121" t="s">
        <v>315</v>
      </c>
      <c r="M11" s="120" t="s">
        <v>389</v>
      </c>
      <c r="N11" s="1797"/>
      <c r="O11" s="112" t="s">
        <v>467</v>
      </c>
      <c r="P11" s="608" t="s">
        <v>468</v>
      </c>
      <c r="Q11" s="1798"/>
      <c r="R11" s="112" t="s">
        <v>312</v>
      </c>
      <c r="S11" s="530" t="s">
        <v>328</v>
      </c>
      <c r="T11" s="112" t="s">
        <v>313</v>
      </c>
      <c r="U11" s="530" t="s">
        <v>328</v>
      </c>
      <c r="V11" s="112" t="s">
        <v>314</v>
      </c>
      <c r="W11" s="564" t="s">
        <v>314</v>
      </c>
      <c r="X11" s="530" t="s">
        <v>329</v>
      </c>
      <c r="Y11" s="112" t="s">
        <v>462</v>
      </c>
      <c r="Z11" s="564" t="s">
        <v>433</v>
      </c>
      <c r="AA11" s="564" t="s">
        <v>397</v>
      </c>
      <c r="AB11" s="564" t="s">
        <v>398</v>
      </c>
      <c r="AC11" s="564" t="s">
        <v>399</v>
      </c>
      <c r="AD11" s="530" t="s">
        <v>469</v>
      </c>
      <c r="AE11" s="112" t="s">
        <v>470</v>
      </c>
      <c r="AF11" s="564" t="s">
        <v>463</v>
      </c>
      <c r="AG11" s="564" t="s">
        <v>403</v>
      </c>
      <c r="AH11" s="530" t="s">
        <v>404</v>
      </c>
      <c r="AI11" s="112" t="s">
        <v>480</v>
      </c>
      <c r="AJ11" s="530" t="s">
        <v>481</v>
      </c>
      <c r="AK11" s="112" t="s">
        <v>482</v>
      </c>
      <c r="AL11" s="530" t="s">
        <v>481</v>
      </c>
      <c r="AM11" s="112" t="s">
        <v>411</v>
      </c>
      <c r="AN11" s="629" t="s">
        <v>481</v>
      </c>
      <c r="AO11" s="1739"/>
      <c r="AP11" s="1742"/>
      <c r="AQ11" s="112" t="s">
        <v>302</v>
      </c>
      <c r="AR11" s="530" t="s">
        <v>279</v>
      </c>
      <c r="AS11" s="617" t="s">
        <v>270</v>
      </c>
      <c r="AT11" s="617" t="s">
        <v>413</v>
      </c>
      <c r="AW11" s="33" t="s">
        <v>499</v>
      </c>
      <c r="AX11" s="33" t="s">
        <v>500</v>
      </c>
      <c r="AY11" s="168" t="s">
        <v>322</v>
      </c>
      <c r="AZ11" s="30" t="s">
        <v>326</v>
      </c>
      <c r="BC11" s="30" t="s">
        <v>501</v>
      </c>
      <c r="BD11" s="33" t="s">
        <v>502</v>
      </c>
      <c r="BE11" s="33" t="s">
        <v>503</v>
      </c>
      <c r="BF11" s="33" t="s">
        <v>504</v>
      </c>
      <c r="BJ11" s="30" t="s">
        <v>505</v>
      </c>
    </row>
    <row r="12" spans="2:62" ht="14">
      <c r="B12" s="610" t="str">
        <f>'F-1 Off-Site WaterC'' Baseline'!AS10</f>
        <v/>
      </c>
      <c r="C12" s="283" t="str">
        <f>IF(B12="","",VLOOKUP($B12,'F-1 Off-Site WaterC'' Baseline'!$C$9:$R$257,2,FALSE))</f>
        <v/>
      </c>
      <c r="D12" s="283" t="str">
        <f>IF(C12="","",VLOOKUP($B12,'F-1 Off-Site WaterC'' Baseline'!$C$9:$R$257,3,FALSE))</f>
        <v/>
      </c>
      <c r="E12" s="283" t="str">
        <f>IF(D12="","",VLOOKUP($B12,'F-1 Off-Site WaterC'' Baseline'!$C$9:$R$257,4,FALSE))</f>
        <v/>
      </c>
      <c r="F12" s="283" t="str">
        <f>IF(E12="","",VLOOKUP($B12,'F-1 Off-Site WaterC'' Baseline'!$C$9:$R$257,5,FALSE))</f>
        <v/>
      </c>
      <c r="G12" s="283" t="str">
        <f>IF(F12="","",VLOOKUP($B12,'F-1 Off-Site WaterC'' Baseline'!$C$9:$R$257,6,FALSE))</f>
        <v/>
      </c>
      <c r="H12" s="283" t="str">
        <f>IF(G12="","",VLOOKUP($B12,'F-1 Off-Site WaterC'' Baseline'!$C$9:$R$257,7,FALSE))</f>
        <v/>
      </c>
      <c r="I12" s="283" t="str">
        <f>IF(H12="","",VLOOKUP($B12,'F-1 Off-Site WaterC'' Baseline'!$C$9:$R$257,8,FALSE))</f>
        <v/>
      </c>
      <c r="J12" s="283" t="str">
        <f>IF(I12="","",VLOOKUP($B12,'F-1 Off-Site WaterC'' Baseline'!$C$9:$R$257,9,FALSE))</f>
        <v/>
      </c>
      <c r="K12" s="283" t="str">
        <f>IF(J12="","",VLOOKUP($B12,'F-1 Off-Site WaterC'' Baseline'!$C$9:$R$257,10,FALSE))</f>
        <v/>
      </c>
      <c r="L12" s="283" t="str">
        <f>IF(B12="","",VLOOKUP($B12,'F-1 Off-Site WaterC'' Baseline'!$C$9:$R$257,15,FALSE))</f>
        <v/>
      </c>
      <c r="M12" s="276" t="str">
        <f>IF(L12="","",VLOOKUP($B12,'F-1 Off-Site WaterC'' Baseline'!$C$9:$V$257,19,FALSE))</f>
        <v/>
      </c>
      <c r="N12" s="244"/>
      <c r="O12" s="275" t="str">
        <f>IF(B12="","",IF(S12&lt;F12,"Error Trading Down ▲",E12&amp;" - "&amp;R12))</f>
        <v/>
      </c>
      <c r="P12" s="276" t="str">
        <f>IF(C12="","",IF(AND(N12&lt;&gt;C12,AZ12="Yes"),"Error you cannot replace an irreplaceable habitat ▲",IF(AND(LEFT(C12,55)&lt;&gt;LEFT(N12,55),O12="High - High"),"Error - Not like for like ▲",IF(H12&gt;U12,"Error - Can not reduce condition ▲",IF(AND(C12&lt;&gt;N12,F12&lt;S12),"Lower Distinctiveness Habitat"&amp;" - "&amp;T12,G12&amp;" - "&amp;T12)))))</f>
        <v/>
      </c>
      <c r="Q12" s="281" t="str">
        <f>IF(N12="","",VLOOKUP(B12,'F-1 Off-Site WaterC'' Baseline'!$C$10:$AF$257,23,FALSE))</f>
        <v/>
      </c>
      <c r="R12" s="275" t="str">
        <f>IF(N12="","",VLOOKUP(N12,'G-7 WaterC'' Data'!$B$2:$G$8,2,FALSE))</f>
        <v/>
      </c>
      <c r="S12" s="276" t="str">
        <f>IFERROR(VLOOKUP(R12,'G-7 WaterC'' Data'!$C$4:$D$8,2,FALSE),"")</f>
        <v/>
      </c>
      <c r="T12" s="101"/>
      <c r="U12" s="276" t="str">
        <f>IFERROR(INDEX('G-7 WaterC'' Data'!$H$4:$L$8,MATCH(N12,'G-7 WaterC'' Data'!$B$4:$B$8,0),MATCH(T12,'G-7 WaterC'' Data'!$H$3:$L$3,0)),"")</f>
        <v/>
      </c>
      <c r="V12" s="101"/>
      <c r="W12" s="283" t="str">
        <f>IF(V12="","",IF(VLOOKUP(V12,'G-7 WaterC'' Data'!$AK$4:$AM$6,2,FALSE)=0,"Spatial Data Missing ⚠",VLOOKUP(V12,'G-7 WaterC'' Data'!$AK$4:$AM$6,2,FALSE)))</f>
        <v/>
      </c>
      <c r="X12" s="276" t="str">
        <f>IF(V12="","",IF(VLOOKUP(V12,'G-7 WaterC'' Data'!$AK$4:$AM$6,3,FALSE)=0,"Spatial Data Missing ⚠",VLOOKUP(V12,'G-7 WaterC'' Data'!$AK$4:$AM$6,3,FALSE)))</f>
        <v/>
      </c>
      <c r="Y12" s="275" t="str">
        <f>IFERROR(IF(OR(LEFT(P12,5)="Error",LEFT(O12,5)="Error"),"Check Data ⚠",IF(F12&lt;S12,'G-7 WaterC'' Data'!$R$3,INDEX('G-7 WaterC'' Data'!$U$5:$Y$9,MATCH(G12,'G-7 WaterC'' Data'!$T$5:$T$9,0),MATCH(T12,'G-7 WaterC'' Data'!$U$4:$Y$4,0)))),"")</f>
        <v/>
      </c>
      <c r="Z12" s="133"/>
      <c r="AA12" s="133"/>
      <c r="AB12" s="364"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296" t="str">
        <f>IF(AB12="Error -both advance and delayed habitat creation ▲","Check Data ⚠",IF(AB12="Check Data ⚠","Check Data ⚠",IF(Y12="","",IF(Z12="30+",0,IF(AA12="30+","30+",IF(Y12+AA12&gt;30,"30+",IF(Y12+AA12-Z12&gt;0,Y12+AA12-Z12,IF(Y12-Z12&lt;0,0,Y12+AA12-Z12))))))))</f>
        <v/>
      </c>
      <c r="AD12" s="334" t="str">
        <f>IFERROR(IF(AC12="Check Data ⚠","Check Data ⚠",VLOOKUP(AC12,'G-4 Temporal multipliers'!$A$4:$C$37,3,FALSE)),"")</f>
        <v/>
      </c>
      <c r="AE12" s="275" t="str">
        <f>IF(N12="","",VLOOKUP(N12,'G-7 WaterC'' Data'!$B$4:$G$8,5,FALSE))</f>
        <v/>
      </c>
      <c r="AF12" s="283" t="str">
        <f t="shared" si="0" ref="AF12:AF75">IF(N12="","",IF(AC12="Check Data ⚠","Check Data ⚠",IF(T12="","",IF($AB12="Check details - Is there evidence that habitat has reached target condition? ⚠","Low Difficulty - only applicable if all habitat created before losses ⚠","Standard difficulty applied"))))</f>
        <v/>
      </c>
      <c r="AG12" s="283" t="str">
        <f>(IF(AND(AF12="Standard difficulty applied",Y12&gt;Z12),AE12,IF(AND(AF12="Low Difficulty - only applicable if all habitat created before losses ⚠",Z12&gt;=Y12),"Low",AE12)))</f>
        <v/>
      </c>
      <c r="AH12" s="276" t="str">
        <f t="shared" si="1" ref="AH12:AH75">IF(N12="","",VLOOKUP(AG12,Difficulty,2,FALSE))</f>
        <v/>
      </c>
      <c r="AI12" s="101"/>
      <c r="AJ12" s="276" t="str">
        <f>IF(AI12="","",(IF(AND(AI12="N/A - Culvert",N12&lt;&gt;"Culvert"),"Not possible ▲",IF(VLOOKUP(AI12,'G-7 WaterC'' Data'!$AA$4:$AB$7,2,FALSE)=0,"Spatial Data Missing ⚠",VLOOKUP(AI12,'G-7 WaterC'' Data'!$AA$4:$AB$7,2,FALSE)))))</f>
        <v/>
      </c>
      <c r="AK12" s="106"/>
      <c r="AL12" s="628" t="str">
        <f>IF(AK12="","",IF(AND(AK12="N/A - Culvert",N12&lt;&gt;"Culvert"),"Not possible ▲",IF(VLOOKUP(AK12,'G-7 WaterC'' Data'!$AD$4:$AE$14,2,FALSE)=0,"Spatial Data Missing ⚠",VLOOKUP(AK12,'G-7 WaterC'' Data'!$AD$4:$AE$14,2,FALSE))))</f>
        <v/>
      </c>
      <c r="AM12" s="275" t="str">
        <f>IF(B12="","",VLOOKUP($B12,'F-1 Off-Site WaterC'' Baseline'!$C$9:$Z$257,17,FALSE))</f>
        <v/>
      </c>
      <c r="AN12" s="276" t="str">
        <f>IF(AM12="","",IF(VLOOKUP(AM12,'G-7 WaterC'' Data'!$AO$4:$BO$7,2,FALSE)=0,"Spatial Data Missing ⚠",VLOOKUP(AM12,'G-7 WaterC'' Data'!$AO$4:$BO$7,2,FALSE)))</f>
        <v/>
      </c>
      <c r="AO12" s="317" t="str">
        <f>IFERROR(IF(C12="","",IF(Q12&gt;D12,((((Q12*S12*U12)-(D12*F12*H12))*(AH12*AD12))+(D12*F12*H12))*(AL12*X12*AJ12*AN12),((((Q12*S12*U12)-(Q12*F12*H12))*(AH12*AD12))+(Q12*F12*H12))*(AL12*X12*AJ12*AN12))),"")</f>
        <v/>
      </c>
      <c r="AP12" s="317" t="str">
        <f>IFERROR(IF(C12="","",IF(AM12="","",IF(AND(N12&lt;&gt;"",M12=""),"Check data ⚠",(IF(AND(AM12&lt;&gt;"",AT12=""),"Off-site reference required ▲",IF(Q12&gt;D12,((((Q12*S12*U12)-(D12*F12*H12))*(AH12*AD12))+(D12*F12*H12))*(AL12*X12*AJ12),((((Q12*S12*U12)-(Q12*F12*H12))*(AH12*AD12))+(Q12*F12*H12))*(AL12*X12*AJ12))))))),"")</f>
        <v/>
      </c>
      <c r="AQ12" s="101"/>
      <c r="AR12" s="115"/>
      <c r="AS12" s="115"/>
      <c r="AT12" s="115"/>
      <c r="AW12" s="30" t="str">
        <f>IF(E12="","",VLOOKUP($B12,'F-1 Off-Site WaterC'' Baseline'!$C$9:$Z$257,12,FALSE))</f>
        <v/>
      </c>
      <c r="AX12" s="30" t="str">
        <f>IF(E12="","",VLOOKUP($B12,'F-1 Off-Site WaterC'' Baseline'!$C$9:$Z$257,14,FALSE))</f>
        <v/>
      </c>
      <c r="AY12" s="30" t="str">
        <f>IFERROR(INDEX('G-7 WaterC'' Data'!$AZ$3:$AZ$7,MATCH(N12,'G-7 WaterC'' Data'!$AY$3:$AY$7,0)),"")</f>
        <v/>
      </c>
      <c r="AZ12" s="30" t="str">
        <f>IF(B12="","",IF(ISNA(VLOOKUP($B12,'F-1 Off-Site WaterC'' Baseline'!$C$8:$AD$257,20,FALSE)),"",(VLOOKUP($B12,'F-1 Off-Site WaterC'' Baseline'!$C$8:$AD$257,20,FALSE))))</f>
        <v/>
      </c>
      <c r="BC12" s="30" t="str">
        <f>IF(B12="","",VLOOKUP($B12,'F-1 Off-Site WaterC'' Baseline'!$C$9:$AB$257,25,FALSE))</f>
        <v/>
      </c>
      <c r="BD12" s="30" t="str">
        <f>IF(B12="","",IF(BC12&gt;M12,M12,IF((BF12+Q12)&gt;D12,M12-BE12,BC12)))</f>
        <v/>
      </c>
      <c r="BE12" s="30" t="str">
        <f>IF(B12="","",VLOOKUP($B12,'F-1 Off-Site WaterC'' Baseline'!$C$9:$AB$257,24,FALSE))</f>
        <v/>
      </c>
      <c r="BF12" s="30" t="str">
        <f>IF(B12="","",VLOOKUP($B12,'F-1 Off-Site WaterC'' Baseline'!$C$9:$AB$257,22,FALSE))</f>
        <v/>
      </c>
      <c r="BJ12" s="30" t="str">
        <f>IF(AND(N12="Ditches",(OR(T12="Fairly Poor",T12="Fairly Good"))),"Yes","No")</f>
        <v>No</v>
      </c>
    </row>
    <row r="13" spans="2:62" ht="14">
      <c r="B13" s="305" t="str">
        <f>'F-1 Off-Site WaterC'' Baseline'!AS11</f>
        <v/>
      </c>
      <c r="C13" s="295" t="str">
        <f>IF(B13="","",VLOOKUP($B13,'F-1 Off-Site WaterC'' Baseline'!$C$9:$R$257,2,FALSE))</f>
        <v/>
      </c>
      <c r="D13" s="295" t="str">
        <f>IF(C13="","",VLOOKUP($B13,'F-1 Off-Site WaterC'' Baseline'!$C$9:$R$257,3,FALSE))</f>
        <v/>
      </c>
      <c r="E13" s="295" t="str">
        <f>IF(D13="","",VLOOKUP($B13,'F-1 Off-Site WaterC'' Baseline'!$C$9:$R$257,4,FALSE))</f>
        <v/>
      </c>
      <c r="F13" s="295" t="str">
        <f>IF(E13="","",VLOOKUP($B13,'F-1 Off-Site WaterC'' Baseline'!$C$9:$R$257,5,FALSE))</f>
        <v/>
      </c>
      <c r="G13" s="295" t="str">
        <f>IF(F13="","",VLOOKUP($B13,'F-1 Off-Site WaterC'' Baseline'!$C$9:$R$257,6,FALSE))</f>
        <v/>
      </c>
      <c r="H13" s="295" t="str">
        <f>IF(G13="","",VLOOKUP($B13,'F-1 Off-Site WaterC'' Baseline'!$C$9:$R$257,7,FALSE))</f>
        <v/>
      </c>
      <c r="I13" s="295" t="str">
        <f>IF(H13="","",VLOOKUP($B13,'F-1 Off-Site WaterC'' Baseline'!$C$9:$R$257,8,FALSE))</f>
        <v/>
      </c>
      <c r="J13" s="295" t="str">
        <f>IF(I13="","",VLOOKUP($B13,'F-1 Off-Site WaterC'' Baseline'!$C$9:$R$257,9,FALSE))</f>
        <v/>
      </c>
      <c r="K13" s="295" t="str">
        <f>IF(J13="","",VLOOKUP($B13,'F-1 Off-Site WaterC'' Baseline'!$C$9:$R$257,10,FALSE))</f>
        <v/>
      </c>
      <c r="L13" s="283" t="str">
        <f>IF(B13="","",VLOOKUP($B13,'F-1 Off-Site WaterC'' Baseline'!$C$9:$R$257,15,FALSE))</f>
        <v/>
      </c>
      <c r="M13" s="299" t="str">
        <f>IF(L13="","",VLOOKUP($B13,'F-1 Off-Site WaterC'' Baseline'!$C$9:$V$257,19,FALSE))</f>
        <v/>
      </c>
      <c r="N13" s="244"/>
      <c r="O13" s="275" t="str">
        <f t="shared" si="2" ref="O13:O76">IF(B13="","",IF(S13&lt;F13,"Error Trading Down ▲",E13&amp;" - "&amp;R13))</f>
        <v/>
      </c>
      <c r="P13" s="276" t="str">
        <f t="shared" si="3" ref="P13:P76">IF(C13="","",IF(AND(N13&lt;&gt;C13,AZ13="Yes"),"Error you cannot replace an irreplaceable habitat ▲",IF(AND(LEFT(C13,55)&lt;&gt;LEFT(N13,55),O13="High - High"),"Error - Not like for like ▲",IF(H13&gt;U13,"Error - Can not reduce condition ▲",IF(AND(C13&lt;&gt;N13,F13&lt;S13),"Lower Distinctiveness Habitat"&amp;" - "&amp;T13,G13&amp;" - "&amp;T13)))))</f>
        <v/>
      </c>
      <c r="Q13" s="281" t="str">
        <f>IF(N13="","",VLOOKUP(B13,'F-1 Off-Site WaterC'' Baseline'!$C$10:$AF$257,23,FALSE))</f>
        <v/>
      </c>
      <c r="R13" s="275" t="str">
        <f>IF(N13="","",VLOOKUP(N13,'G-7 WaterC'' Data'!$B$2:$G$8,2,FALSE))</f>
        <v/>
      </c>
      <c r="S13" s="276" t="str">
        <f>IFERROR(VLOOKUP(R13,'G-7 WaterC'' Data'!$C$4:$D$8,2,FALSE),"")</f>
        <v/>
      </c>
      <c r="T13" s="101"/>
      <c r="U13" s="276" t="str">
        <f>IFERROR(INDEX('G-7 WaterC'' Data'!$H$4:$L$8,MATCH(N13,'G-7 WaterC'' Data'!$B$4:$B$8,0),MATCH(T13,'G-7 WaterC'' Data'!$H$3:$L$3,0)),"")</f>
        <v/>
      </c>
      <c r="V13" s="105"/>
      <c r="W13" s="295" t="str">
        <f>IF(V13="","",IF(VLOOKUP(V13,'G-7 WaterC'' Data'!$AK$4:$AM$6,2,FALSE)=0,"Spatial Data Missing ⚠",VLOOKUP(V13,'G-7 WaterC'' Data'!$AK$4:$AM$6,2,FALSE)))</f>
        <v/>
      </c>
      <c r="X13" s="299" t="str">
        <f>IF(V13="","",IF(VLOOKUP(V13,'G-7 WaterC'' Data'!$AK$4:$AM$6,3,FALSE)=0,"Spatial Data Missing ⚠",VLOOKUP(V13,'G-7 WaterC'' Data'!$AK$4:$AM$6,3,FALSE)))</f>
        <v/>
      </c>
      <c r="Y13" s="311" t="str">
        <f>IFERROR(IF(OR(LEFT(P13,5)="Error",LEFT(O13,5)="Error"),"Check Data ⚠",IF(F13&lt;S13,'G-7 WaterC'' Data'!$R$3,INDEX('G-7 WaterC'' Data'!$U$5:$Y$9,MATCH(G13,'G-7 WaterC'' Data'!$T$5:$T$9,0),MATCH(T13,'G-7 WaterC'' Data'!$U$4:$Y$4,0)))),"")</f>
        <v/>
      </c>
      <c r="Z13" s="138"/>
      <c r="AA13" s="138"/>
      <c r="AB13" s="308" t="str">
        <f t="shared" si="4" ref="AB13:AB75">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296" t="str">
        <f t="shared" si="5" ref="AC13:AC76">IF(AB13="Error -both advance and delayed habitat creation ▲","Check Data ⚠",IF(AB13="Check Data ⚠","Check Data ⚠",IF(Y13="","",IF(Z13="30+",0,IF(AA13="30+","30+",IF(Y13+AA13&gt;30,"30+",IF(Y13+AA13-Z13&gt;0,Y13+AA13-Z13,IF(Y13-Z13&lt;0,0,Y13+AA13-Z13))))))))</f>
        <v/>
      </c>
      <c r="AD13" s="334" t="str">
        <f>IFERROR(IF(AC13="Check Data ⚠","Check Data ⚠",VLOOKUP(AC13,'G-4 Temporal multipliers'!$A$4:$C$37,3,FALSE)),"")</f>
        <v/>
      </c>
      <c r="AE13" s="311" t="str">
        <f>IF(N13="","",VLOOKUP(N13,'G-7 WaterC'' Data'!$B$4:$G$8,5,FALSE))</f>
        <v/>
      </c>
      <c r="AF13" s="295" t="str">
        <f t="shared" si="0"/>
        <v/>
      </c>
      <c r="AG13" s="295" t="str">
        <f t="shared" si="6" ref="AG13:AG76">(IF(AND(AF13="Standard difficulty applied",Y13&gt;Z13),AE13,IF(AND(AF13="Low Difficulty - only applicable if all habitat created before losses ⚠",Z13&gt;=Y13),"Low",AE13)))</f>
        <v/>
      </c>
      <c r="AH13" s="276" t="str">
        <f t="shared" si="1"/>
        <v/>
      </c>
      <c r="AI13" s="105"/>
      <c r="AJ13" s="276" t="str">
        <f>IF(AI13="","",(IF(AND(AI13="N/A - Culvert",N13&lt;&gt;"Culvert"),"Not possible ▲",IF(VLOOKUP(AI13,'G-7 WaterC'' Data'!$AA$4:$AB$7,2,FALSE)=0,"Spatial Data Missing ⚠",VLOOKUP(AI13,'G-7 WaterC'' Data'!$AA$4:$AB$7,2,FALSE)))))</f>
        <v/>
      </c>
      <c r="AK13" s="106"/>
      <c r="AL13" s="310" t="str">
        <f>IF(AK13="","",IF(AND(AK13="N/A - Culvert",N13&lt;&gt;"Culvert"),"Not possible ▲",IF(VLOOKUP(AK13,'G-7 WaterC'' Data'!$AD$4:$AE$14,2,FALSE)=0,"Spatial Data Missing ⚠",VLOOKUP(AK13,'G-7 WaterC'' Data'!$AD$4:$AE$14,2,FALSE))))</f>
        <v/>
      </c>
      <c r="AM13" s="275" t="str">
        <f>IF(B13="","",VLOOKUP($B13,'F-1 Off-Site WaterC'' Baseline'!$C$9:$Z$257,17,FALSE))</f>
        <v/>
      </c>
      <c r="AN13" s="276" t="str">
        <f>IF(AM13="","",IF(VLOOKUP(AM13,'G-7 WaterC'' Data'!$AO$4:$BO$7,2,FALSE)=0,"Spatial Data Missing ⚠",VLOOKUP(AM13,'G-7 WaterC'' Data'!$AO$4:$BO$7,2,FALSE)))</f>
        <v/>
      </c>
      <c r="AO13" s="317" t="str">
        <f t="shared" si="7" ref="AO13:AO76">IFERROR(IF(C13="","",IF(Q13&gt;D13,((((Q13*S13*U13)-(D13*F13*H13))*(AH13*AD13))+(D13*F13*H13))*(AL13*X13*AJ13*AN13),((((Q13*S13*U13)-(Q13*F13*H13))*(AH13*AD13))+(Q13*F13*H13))*(AL13*X13*AJ13*AN13))),"")</f>
        <v/>
      </c>
      <c r="AP13" s="317" t="str">
        <f t="shared" si="8" ref="AP13:AP76">IFERROR(IF(C13="","",IF(AM13="","",IF(AND(N13&lt;&gt;"",M13=""),"Check data ⚠",(IF(AND(AM13&lt;&gt;"",AT13=""),"Off-site reference required ▲",IF(Q13&gt;D13,((((Q13*S13*U13)-(D13*F13*H13))*(AH13*AD13))+(D13*F13*H13))*(AL13*X13*AJ13),((((Q13*S13*U13)-(Q13*F13*H13))*(AH13*AD13))+(Q13*F13*H13))*(AL13*X13*AJ13))))))),"")</f>
        <v/>
      </c>
      <c r="AQ13" s="101"/>
      <c r="AR13" s="115"/>
      <c r="AS13" s="104"/>
      <c r="AT13" s="104"/>
      <c r="AW13" s="30" t="str">
        <f>IF(E13="","",VLOOKUP($B13,'F-1 Off-Site WaterC'' Baseline'!$C$9:$Z$257,12,FALSE))</f>
        <v/>
      </c>
      <c r="AX13" s="30" t="str">
        <f>IF(E13="","",VLOOKUP($B13,'F-1 Off-Site WaterC'' Baseline'!$C$9:$Z$257,14,FALSE))</f>
        <v/>
      </c>
      <c r="AY13" s="30" t="str">
        <f>IFERROR(INDEX('G-7 WaterC'' Data'!$AZ$3:$AZ$7,MATCH(N13,'G-7 WaterC'' Data'!$AY$3:$AY$7,0)),"")</f>
        <v/>
      </c>
      <c r="AZ13" s="30" t="str">
        <f>IF(B13="","",IF(ISNA(VLOOKUP($B13,'F-1 Off-Site WaterC'' Baseline'!$C$8:$AD$257,20,FALSE)),"",(VLOOKUP($B13,'F-1 Off-Site WaterC'' Baseline'!$C$8:$AD$257,20,FALSE))))</f>
        <v/>
      </c>
      <c r="BC13" s="30" t="str">
        <f>IF(B13="","",VLOOKUP($B13,'F-1 Off-Site WaterC'' Baseline'!$C$9:$AB$257,25,FALSE))</f>
        <v/>
      </c>
      <c r="BD13" s="30" t="str">
        <f t="shared" si="9" ref="BD13:BD76">IF(B13="","",IF(BC13&gt;M13,M13,IF((BF13+Q13)&gt;D13,M13-BE13,BC13)))</f>
        <v/>
      </c>
      <c r="BE13" s="30" t="str">
        <f>IF(B13="","",VLOOKUP($B13,'F-1 Off-Site WaterC'' Baseline'!$C$9:$AB$257,24,FALSE))</f>
        <v/>
      </c>
      <c r="BF13" s="30" t="str">
        <f>IF(B13="","",VLOOKUP($B13,'F-1 Off-Site WaterC'' Baseline'!$C$9:$AB$257,22,FALSE))</f>
        <v/>
      </c>
      <c r="BJ13" s="30" t="str">
        <f t="shared" si="10" ref="BJ13:BJ76">IF(AND(N13="Ditches",(OR(T13="Fairly Poor",T13="Fairly Good"))),"Yes","No")</f>
        <v>No</v>
      </c>
    </row>
    <row r="14" spans="2:62" ht="14">
      <c r="B14" s="305" t="str">
        <f>'F-1 Off-Site WaterC'' Baseline'!AS12</f>
        <v/>
      </c>
      <c r="C14" s="295" t="str">
        <f>IF(B14="","",VLOOKUP($B14,'F-1 Off-Site WaterC'' Baseline'!$C$9:$R$257,2,FALSE))</f>
        <v/>
      </c>
      <c r="D14" s="295" t="str">
        <f>IF(C14="","",VLOOKUP($B14,'F-1 Off-Site WaterC'' Baseline'!$C$9:$R$257,3,FALSE))</f>
        <v/>
      </c>
      <c r="E14" s="295" t="str">
        <f>IF(D14="","",VLOOKUP($B14,'F-1 Off-Site WaterC'' Baseline'!$C$9:$R$257,4,FALSE))</f>
        <v/>
      </c>
      <c r="F14" s="295" t="str">
        <f>IF(E14="","",VLOOKUP($B14,'F-1 Off-Site WaterC'' Baseline'!$C$9:$R$257,5,FALSE))</f>
        <v/>
      </c>
      <c r="G14" s="295" t="str">
        <f>IF(F14="","",VLOOKUP($B14,'F-1 Off-Site WaterC'' Baseline'!$C$9:$R$257,6,FALSE))</f>
        <v/>
      </c>
      <c r="H14" s="295" t="str">
        <f>IF(G14="","",VLOOKUP($B14,'F-1 Off-Site WaterC'' Baseline'!$C$9:$R$257,7,FALSE))</f>
        <v/>
      </c>
      <c r="I14" s="295" t="str">
        <f>IF(H14="","",VLOOKUP($B14,'F-1 Off-Site WaterC'' Baseline'!$C$9:$R$257,8,FALSE))</f>
        <v/>
      </c>
      <c r="J14" s="295" t="str">
        <f>IF(I14="","",VLOOKUP($B14,'F-1 Off-Site WaterC'' Baseline'!$C$9:$R$257,9,FALSE))</f>
        <v/>
      </c>
      <c r="K14" s="295" t="str">
        <f>IF(J14="","",VLOOKUP($B14,'F-1 Off-Site WaterC'' Baseline'!$C$9:$R$257,10,FALSE))</f>
        <v/>
      </c>
      <c r="L14" s="283" t="str">
        <f>IF(B14="","",VLOOKUP($B14,'F-1 Off-Site WaterC'' Baseline'!$C$9:$R$257,15,FALSE))</f>
        <v/>
      </c>
      <c r="M14" s="299" t="str">
        <f>IF(L14="","",VLOOKUP($B14,'F-1 Off-Site WaterC'' Baseline'!$C$9:$V$257,19,FALSE))</f>
        <v/>
      </c>
      <c r="N14" s="244"/>
      <c r="O14" s="275" t="str">
        <f t="shared" si="2"/>
        <v/>
      </c>
      <c r="P14" s="276" t="str">
        <f t="shared" si="3"/>
        <v/>
      </c>
      <c r="Q14" s="281" t="str">
        <f>IF(N14="","",VLOOKUP(B14,'F-1 Off-Site WaterC'' Baseline'!$C$10:$AF$257,23,FALSE))</f>
        <v/>
      </c>
      <c r="R14" s="275" t="str">
        <f>IF(N14="","",VLOOKUP(N14,'G-7 WaterC'' Data'!$B$2:$G$8,2,FALSE))</f>
        <v/>
      </c>
      <c r="S14" s="276" t="str">
        <f>IFERROR(VLOOKUP(R14,'G-7 WaterC'' Data'!$C$4:$D$8,2,FALSE),"")</f>
        <v/>
      </c>
      <c r="T14" s="101"/>
      <c r="U14" s="276" t="str">
        <f>IFERROR(INDEX('G-7 WaterC'' Data'!$H$4:$L$8,MATCH(N14,'G-7 WaterC'' Data'!$B$4:$B$8,0),MATCH(T14,'G-7 WaterC'' Data'!$H$3:$L$3,0)),"")</f>
        <v/>
      </c>
      <c r="V14" s="105"/>
      <c r="W14" s="295" t="str">
        <f>IF(V14="","",IF(VLOOKUP(V14,'G-7 WaterC'' Data'!$AK$4:$AM$6,2,FALSE)=0,"Spatial Data Missing ⚠",VLOOKUP(V14,'G-7 WaterC'' Data'!$AK$4:$AM$6,2,FALSE)))</f>
        <v/>
      </c>
      <c r="X14" s="299" t="str">
        <f>IF(V14="","",IF(VLOOKUP(V14,'G-7 WaterC'' Data'!$AK$4:$AM$6,3,FALSE)=0,"Spatial Data Missing ⚠",VLOOKUP(V14,'G-7 WaterC'' Data'!$AK$4:$AM$6,3,FALSE)))</f>
        <v/>
      </c>
      <c r="Y14" s="311" t="str">
        <f>IFERROR(IF(OR(LEFT(P14,5)="Error",LEFT(O14,5)="Error"),"Check Data ⚠",IF(F14&lt;S14,'G-7 WaterC'' Data'!$R$3,INDEX('G-7 WaterC'' Data'!$U$5:$Y$9,MATCH(G14,'G-7 WaterC'' Data'!$T$5:$T$9,0),MATCH(T14,'G-7 WaterC'' Data'!$U$4:$Y$4,0)))),"")</f>
        <v/>
      </c>
      <c r="Z14" s="138"/>
      <c r="AA14" s="138"/>
      <c r="AB14" s="308" t="str">
        <f t="shared" si="4"/>
        <v/>
      </c>
      <c r="AC14" s="296" t="str">
        <f t="shared" si="5"/>
        <v/>
      </c>
      <c r="AD14" s="334" t="str">
        <f>IFERROR(IF(AC14="Check Data ⚠","Check Data ⚠",VLOOKUP(AC14,'G-4 Temporal multipliers'!$A$4:$C$37,3,FALSE)),"")</f>
        <v/>
      </c>
      <c r="AE14" s="311" t="str">
        <f>IF(N14="","",VLOOKUP(N14,'G-7 WaterC'' Data'!$B$4:$G$8,5,FALSE))</f>
        <v/>
      </c>
      <c r="AF14" s="295" t="str">
        <f t="shared" si="0"/>
        <v/>
      </c>
      <c r="AG14" s="295" t="str">
        <f t="shared" si="6"/>
        <v/>
      </c>
      <c r="AH14" s="276" t="str">
        <f t="shared" si="1"/>
        <v/>
      </c>
      <c r="AI14" s="105"/>
      <c r="AJ14" s="276" t="str">
        <f>IF(AI14="","",(IF(AND(AI14="N/A - Culvert",N14&lt;&gt;"Culvert"),"Not possible ▲",IF(VLOOKUP(AI14,'G-7 WaterC'' Data'!$AA$4:$AB$7,2,FALSE)=0,"Spatial Data Missing ⚠",VLOOKUP(AI14,'G-7 WaterC'' Data'!$AA$4:$AB$7,2,FALSE)))))</f>
        <v/>
      </c>
      <c r="AK14" s="106"/>
      <c r="AL14" s="310" t="str">
        <f>IF(AK14="","",IF(AND(AK14="N/A - Culvert",N14&lt;&gt;"Culvert"),"Not possible ▲",IF(VLOOKUP(AK14,'G-7 WaterC'' Data'!$AD$4:$AE$14,2,FALSE)=0,"Spatial Data Missing ⚠",VLOOKUP(AK14,'G-7 WaterC'' Data'!$AD$4:$AE$14,2,FALSE))))</f>
        <v/>
      </c>
      <c r="AM14" s="275" t="str">
        <f>IF(B14="","",VLOOKUP($B14,'F-1 Off-Site WaterC'' Baseline'!$C$9:$Z$257,17,FALSE))</f>
        <v/>
      </c>
      <c r="AN14" s="276" t="str">
        <f>IF(AM14="","",IF(VLOOKUP(AM14,'G-7 WaterC'' Data'!$AO$4:$BO$7,2,FALSE)=0,"Spatial Data Missing ⚠",VLOOKUP(AM14,'G-7 WaterC'' Data'!$AO$4:$BO$7,2,FALSE)))</f>
        <v/>
      </c>
      <c r="AO14" s="317" t="str">
        <f t="shared" si="7"/>
        <v/>
      </c>
      <c r="AP14" s="317" t="str">
        <f t="shared" si="8"/>
        <v/>
      </c>
      <c r="AQ14" s="101"/>
      <c r="AR14" s="115"/>
      <c r="AS14" s="104"/>
      <c r="AT14" s="104"/>
      <c r="AW14" s="30" t="str">
        <f>IF(E14="","",VLOOKUP($B14,'F-1 Off-Site WaterC'' Baseline'!$C$9:$Z$257,12,FALSE))</f>
        <v/>
      </c>
      <c r="AX14" s="30" t="str">
        <f>IF(E14="","",VLOOKUP($B14,'F-1 Off-Site WaterC'' Baseline'!$C$9:$Z$257,14,FALSE))</f>
        <v/>
      </c>
      <c r="AY14" s="30" t="str">
        <f>IFERROR(INDEX('G-7 WaterC'' Data'!$AZ$3:$AZ$7,MATCH(N14,'G-7 WaterC'' Data'!$AY$3:$AY$7,0)),"")</f>
        <v/>
      </c>
      <c r="AZ14" s="30" t="str">
        <f>IF(B14="","",IF(ISNA(VLOOKUP($B14,'F-1 Off-Site WaterC'' Baseline'!$C$8:$AD$257,20,FALSE)),"",(VLOOKUP($B14,'F-1 Off-Site WaterC'' Baseline'!$C$8:$AD$257,20,FALSE))))</f>
        <v/>
      </c>
      <c r="BC14" s="30" t="str">
        <f>IF(B14="","",VLOOKUP($B14,'F-1 Off-Site WaterC'' Baseline'!$C$9:$AB$257,25,FALSE))</f>
        <v/>
      </c>
      <c r="BD14" s="30" t="str">
        <f t="shared" si="9"/>
        <v/>
      </c>
      <c r="BE14" s="30" t="str">
        <f>IF(B14="","",VLOOKUP($B14,'F-1 Off-Site WaterC'' Baseline'!$C$9:$AB$257,24,FALSE))</f>
        <v/>
      </c>
      <c r="BF14" s="30" t="str">
        <f>IF(B14="","",VLOOKUP($B14,'F-1 Off-Site WaterC'' Baseline'!$C$9:$AB$257,22,FALSE))</f>
        <v/>
      </c>
      <c r="BJ14" s="30" t="str">
        <f t="shared" si="10"/>
        <v>No</v>
      </c>
    </row>
    <row r="15" spans="2:62" ht="14">
      <c r="B15" s="305" t="str">
        <f>'F-1 Off-Site WaterC'' Baseline'!AS13</f>
        <v/>
      </c>
      <c r="C15" s="295" t="str">
        <f>IF(B15="","",VLOOKUP($B15,'F-1 Off-Site WaterC'' Baseline'!$C$9:$R$257,2,FALSE))</f>
        <v/>
      </c>
      <c r="D15" s="295" t="str">
        <f>IF(C15="","",VLOOKUP($B15,'F-1 Off-Site WaterC'' Baseline'!$C$9:$R$257,3,FALSE))</f>
        <v/>
      </c>
      <c r="E15" s="295" t="str">
        <f>IF(D15="","",VLOOKUP($B15,'F-1 Off-Site WaterC'' Baseline'!$C$9:$R$257,4,FALSE))</f>
        <v/>
      </c>
      <c r="F15" s="295" t="str">
        <f>IF(E15="","",VLOOKUP($B15,'F-1 Off-Site WaterC'' Baseline'!$C$9:$R$257,5,FALSE))</f>
        <v/>
      </c>
      <c r="G15" s="295" t="str">
        <f>IF(F15="","",VLOOKUP($B15,'F-1 Off-Site WaterC'' Baseline'!$C$9:$R$257,6,FALSE))</f>
        <v/>
      </c>
      <c r="H15" s="295" t="str">
        <f>IF(G15="","",VLOOKUP($B15,'F-1 Off-Site WaterC'' Baseline'!$C$9:$R$257,7,FALSE))</f>
        <v/>
      </c>
      <c r="I15" s="295" t="str">
        <f>IF(H15="","",VLOOKUP($B15,'F-1 Off-Site WaterC'' Baseline'!$C$9:$R$257,8,FALSE))</f>
        <v/>
      </c>
      <c r="J15" s="295" t="str">
        <f>IF(I15="","",VLOOKUP($B15,'F-1 Off-Site WaterC'' Baseline'!$C$9:$R$257,9,FALSE))</f>
        <v/>
      </c>
      <c r="K15" s="295" t="str">
        <f>IF(J15="","",VLOOKUP($B15,'F-1 Off-Site WaterC'' Baseline'!$C$9:$R$257,10,FALSE))</f>
        <v/>
      </c>
      <c r="L15" s="283" t="str">
        <f>IF(B15="","",VLOOKUP($B15,'F-1 Off-Site WaterC'' Baseline'!$C$9:$R$257,15,FALSE))</f>
        <v/>
      </c>
      <c r="M15" s="299" t="str">
        <f>IF(L15="","",VLOOKUP($B15,'F-1 Off-Site WaterC'' Baseline'!$C$9:$V$257,19,FALSE))</f>
        <v/>
      </c>
      <c r="N15" s="244"/>
      <c r="O15" s="275" t="str">
        <f t="shared" si="2"/>
        <v/>
      </c>
      <c r="P15" s="276" t="str">
        <f t="shared" si="3"/>
        <v/>
      </c>
      <c r="Q15" s="281" t="str">
        <f>IF(N15="","",VLOOKUP(B15,'F-1 Off-Site WaterC'' Baseline'!$C$10:$AF$257,23,FALSE))</f>
        <v/>
      </c>
      <c r="R15" s="275" t="str">
        <f>IF(N15="","",VLOOKUP(N15,'G-7 WaterC'' Data'!$B$2:$G$8,2,FALSE))</f>
        <v/>
      </c>
      <c r="S15" s="276" t="str">
        <f>IFERROR(VLOOKUP(R15,'G-7 WaterC'' Data'!$C$4:$D$8,2,FALSE),"")</f>
        <v/>
      </c>
      <c r="T15" s="101"/>
      <c r="U15" s="276" t="str">
        <f>IFERROR(INDEX('G-7 WaterC'' Data'!$H$4:$L$8,MATCH(N15,'G-7 WaterC'' Data'!$B$4:$B$8,0),MATCH(T15,'G-7 WaterC'' Data'!$H$3:$L$3,0)),"")</f>
        <v/>
      </c>
      <c r="V15" s="105"/>
      <c r="W15" s="295" t="str">
        <f>IF(V15="","",IF(VLOOKUP(V15,'G-7 WaterC'' Data'!$AK$4:$AM$6,2,FALSE)=0,"Spatial Data Missing ⚠",VLOOKUP(V15,'G-7 WaterC'' Data'!$AK$4:$AM$6,2,FALSE)))</f>
        <v/>
      </c>
      <c r="X15" s="299" t="str">
        <f>IF(V15="","",IF(VLOOKUP(V15,'G-7 WaterC'' Data'!$AK$4:$AM$6,3,FALSE)=0,"Spatial Data Missing ⚠",VLOOKUP(V15,'G-7 WaterC'' Data'!$AK$4:$AM$6,3,FALSE)))</f>
        <v/>
      </c>
      <c r="Y15" s="311" t="str">
        <f>IFERROR(IF(OR(LEFT(P15,5)="Error",LEFT(O15,5)="Error"),"Check Data ⚠",IF(F15&lt;S15,'G-7 WaterC'' Data'!$R$3,INDEX('G-7 WaterC'' Data'!$U$5:$Y$9,MATCH(G15,'G-7 WaterC'' Data'!$T$5:$T$9,0),MATCH(T15,'G-7 WaterC'' Data'!$U$4:$Y$4,0)))),"")</f>
        <v/>
      </c>
      <c r="Z15" s="138"/>
      <c r="AA15" s="138"/>
      <c r="AB15" s="308" t="str">
        <f t="shared" si="4"/>
        <v/>
      </c>
      <c r="AC15" s="296" t="str">
        <f t="shared" si="5"/>
        <v/>
      </c>
      <c r="AD15" s="334" t="str">
        <f>IFERROR(IF(AC15="Check Data ⚠","Check Data ⚠",VLOOKUP(AC15,'G-4 Temporal multipliers'!$A$4:$C$37,3,FALSE)),"")</f>
        <v/>
      </c>
      <c r="AE15" s="311" t="str">
        <f>IF(N15="","",VLOOKUP(N15,'G-7 WaterC'' Data'!$B$4:$G$8,5,FALSE))</f>
        <v/>
      </c>
      <c r="AF15" s="295" t="str">
        <f t="shared" si="0"/>
        <v/>
      </c>
      <c r="AG15" s="295" t="str">
        <f t="shared" si="6"/>
        <v/>
      </c>
      <c r="AH15" s="276" t="str">
        <f t="shared" si="1"/>
        <v/>
      </c>
      <c r="AI15" s="105"/>
      <c r="AJ15" s="276" t="str">
        <f>IF(AI15="","",(IF(AND(AI15="N/A - Culvert",N15&lt;&gt;"Culvert"),"Not possible ▲",IF(VLOOKUP(AI15,'G-7 WaterC'' Data'!$AA$4:$AB$7,2,FALSE)=0,"Spatial Data Missing ⚠",VLOOKUP(AI15,'G-7 WaterC'' Data'!$AA$4:$AB$7,2,FALSE)))))</f>
        <v/>
      </c>
      <c r="AK15" s="106"/>
      <c r="AL15" s="310" t="str">
        <f>IF(AK15="","",IF(AND(AK15="N/A - Culvert",N15&lt;&gt;"Culvert"),"Not possible ▲",IF(VLOOKUP(AK15,'G-7 WaterC'' Data'!$AD$4:$AE$14,2,FALSE)=0,"Spatial Data Missing ⚠",VLOOKUP(AK15,'G-7 WaterC'' Data'!$AD$4:$AE$14,2,FALSE))))</f>
        <v/>
      </c>
      <c r="AM15" s="275" t="str">
        <f>IF(B15="","",VLOOKUP($B15,'F-1 Off-Site WaterC'' Baseline'!$C$9:$Z$257,17,FALSE))</f>
        <v/>
      </c>
      <c r="AN15" s="276" t="str">
        <f>IF(AM15="","",IF(VLOOKUP(AM15,'G-7 WaterC'' Data'!$AO$4:$BO$7,2,FALSE)=0,"Spatial Data Missing ⚠",VLOOKUP(AM15,'G-7 WaterC'' Data'!$AO$4:$BO$7,2,FALSE)))</f>
        <v/>
      </c>
      <c r="AO15" s="317" t="str">
        <f t="shared" si="7"/>
        <v/>
      </c>
      <c r="AP15" s="317" t="str">
        <f t="shared" si="8"/>
        <v/>
      </c>
      <c r="AQ15" s="101"/>
      <c r="AR15" s="115"/>
      <c r="AS15" s="104"/>
      <c r="AT15" s="104"/>
      <c r="AW15" s="30" t="str">
        <f>IF(E15="","",VLOOKUP($B15,'F-1 Off-Site WaterC'' Baseline'!$C$9:$Z$257,12,FALSE))</f>
        <v/>
      </c>
      <c r="AX15" s="30" t="str">
        <f>IF(E15="","",VLOOKUP($B15,'F-1 Off-Site WaterC'' Baseline'!$C$9:$Z$257,14,FALSE))</f>
        <v/>
      </c>
      <c r="AY15" s="30" t="str">
        <f>IFERROR(INDEX('G-7 WaterC'' Data'!$AZ$3:$AZ$7,MATCH(N15,'G-7 WaterC'' Data'!$AY$3:$AY$7,0)),"")</f>
        <v/>
      </c>
      <c r="AZ15" s="30" t="str">
        <f>IF(B15="","",IF(ISNA(VLOOKUP($B15,'F-1 Off-Site WaterC'' Baseline'!$C$8:$AD$257,20,FALSE)),"",(VLOOKUP($B15,'F-1 Off-Site WaterC'' Baseline'!$C$8:$AD$257,20,FALSE))))</f>
        <v/>
      </c>
      <c r="BC15" s="30" t="str">
        <f>IF(B15="","",VLOOKUP($B15,'F-1 Off-Site WaterC'' Baseline'!$C$9:$AB$257,25,FALSE))</f>
        <v/>
      </c>
      <c r="BD15" s="30" t="str">
        <f t="shared" si="9"/>
        <v/>
      </c>
      <c r="BE15" s="30" t="str">
        <f>IF(B15="","",VLOOKUP($B15,'F-1 Off-Site WaterC'' Baseline'!$C$9:$AB$257,24,FALSE))</f>
        <v/>
      </c>
      <c r="BF15" s="30" t="str">
        <f>IF(B15="","",VLOOKUP($B15,'F-1 Off-Site WaterC'' Baseline'!$C$9:$AB$257,22,FALSE))</f>
        <v/>
      </c>
      <c r="BJ15" s="30" t="str">
        <f t="shared" si="10"/>
        <v>No</v>
      </c>
    </row>
    <row r="16" spans="2:62" ht="14">
      <c r="B16" s="305" t="str">
        <f>'F-1 Off-Site WaterC'' Baseline'!AS14</f>
        <v/>
      </c>
      <c r="C16" s="295" t="str">
        <f>IF(B16="","",VLOOKUP($B16,'F-1 Off-Site WaterC'' Baseline'!$C$9:$R$257,2,FALSE))</f>
        <v/>
      </c>
      <c r="D16" s="295" t="str">
        <f>IF(C16="","",VLOOKUP($B16,'F-1 Off-Site WaterC'' Baseline'!$C$9:$R$257,3,FALSE))</f>
        <v/>
      </c>
      <c r="E16" s="295" t="str">
        <f>IF(D16="","",VLOOKUP($B16,'F-1 Off-Site WaterC'' Baseline'!$C$9:$R$257,4,FALSE))</f>
        <v/>
      </c>
      <c r="F16" s="295" t="str">
        <f>IF(E16="","",VLOOKUP($B16,'F-1 Off-Site WaterC'' Baseline'!$C$9:$R$257,5,FALSE))</f>
        <v/>
      </c>
      <c r="G16" s="295" t="str">
        <f>IF(F16="","",VLOOKUP($B16,'F-1 Off-Site WaterC'' Baseline'!$C$9:$R$257,6,FALSE))</f>
        <v/>
      </c>
      <c r="H16" s="295" t="str">
        <f>IF(G16="","",VLOOKUP($B16,'F-1 Off-Site WaterC'' Baseline'!$C$9:$R$257,7,FALSE))</f>
        <v/>
      </c>
      <c r="I16" s="295" t="str">
        <f>IF(H16="","",VLOOKUP($B16,'F-1 Off-Site WaterC'' Baseline'!$C$9:$R$257,8,FALSE))</f>
        <v/>
      </c>
      <c r="J16" s="295" t="str">
        <f>IF(I16="","",VLOOKUP($B16,'F-1 Off-Site WaterC'' Baseline'!$C$9:$R$257,9,FALSE))</f>
        <v/>
      </c>
      <c r="K16" s="295" t="str">
        <f>IF(J16="","",VLOOKUP($B16,'F-1 Off-Site WaterC'' Baseline'!$C$9:$R$257,10,FALSE))</f>
        <v/>
      </c>
      <c r="L16" s="283" t="str">
        <f>IF(B16="","",VLOOKUP($B16,'F-1 Off-Site WaterC'' Baseline'!$C$9:$R$257,15,FALSE))</f>
        <v/>
      </c>
      <c r="M16" s="299" t="str">
        <f>IF(L16="","",VLOOKUP($B16,'F-1 Off-Site WaterC'' Baseline'!$C$9:$V$257,19,FALSE))</f>
        <v/>
      </c>
      <c r="N16" s="244"/>
      <c r="O16" s="275" t="str">
        <f t="shared" si="2"/>
        <v/>
      </c>
      <c r="P16" s="276" t="str">
        <f t="shared" si="3"/>
        <v/>
      </c>
      <c r="Q16" s="281" t="str">
        <f>IF(N16="","",VLOOKUP(B16,'F-1 Off-Site WaterC'' Baseline'!$C$10:$AF$257,23,FALSE))</f>
        <v/>
      </c>
      <c r="R16" s="275" t="str">
        <f>IF(N16="","",VLOOKUP(N16,'G-7 WaterC'' Data'!$B$2:$G$8,2,FALSE))</f>
        <v/>
      </c>
      <c r="S16" s="276" t="str">
        <f>IFERROR(VLOOKUP(R16,'G-7 WaterC'' Data'!$C$4:$D$8,2,FALSE),"")</f>
        <v/>
      </c>
      <c r="T16" s="101"/>
      <c r="U16" s="276" t="str">
        <f>IFERROR(INDEX('G-7 WaterC'' Data'!$H$4:$L$8,MATCH(N16,'G-7 WaterC'' Data'!$B$4:$B$8,0),MATCH(T16,'G-7 WaterC'' Data'!$H$3:$L$3,0)),"")</f>
        <v/>
      </c>
      <c r="V16" s="105"/>
      <c r="W16" s="295" t="str">
        <f>IF(V16="","",IF(VLOOKUP(V16,'G-7 WaterC'' Data'!$AK$4:$AM$6,2,FALSE)=0,"Spatial Data Missing ⚠",VLOOKUP(V16,'G-7 WaterC'' Data'!$AK$4:$AM$6,2,FALSE)))</f>
        <v/>
      </c>
      <c r="X16" s="299" t="str">
        <f>IF(V16="","",IF(VLOOKUP(V16,'G-7 WaterC'' Data'!$AK$4:$AM$6,3,FALSE)=0,"Spatial Data Missing ⚠",VLOOKUP(V16,'G-7 WaterC'' Data'!$AK$4:$AM$6,3,FALSE)))</f>
        <v/>
      </c>
      <c r="Y16" s="311" t="str">
        <f>IFERROR(IF(OR(LEFT(P16,5)="Error",LEFT(O16,5)="Error"),"Check Data ⚠",IF(F16&lt;S16,'G-7 WaterC'' Data'!$R$3,INDEX('G-7 WaterC'' Data'!$U$5:$Y$9,MATCH(G16,'G-7 WaterC'' Data'!$T$5:$T$9,0),MATCH(T16,'G-7 WaterC'' Data'!$U$4:$Y$4,0)))),"")</f>
        <v/>
      </c>
      <c r="Z16" s="138"/>
      <c r="AA16" s="138"/>
      <c r="AB16" s="308" t="str">
        <f t="shared" si="4"/>
        <v/>
      </c>
      <c r="AC16" s="296" t="str">
        <f t="shared" si="5"/>
        <v/>
      </c>
      <c r="AD16" s="334" t="str">
        <f>IFERROR(IF(AC16="Check Data ⚠","Check Data ⚠",VLOOKUP(AC16,'G-4 Temporal multipliers'!$A$4:$C$37,3,FALSE)),"")</f>
        <v/>
      </c>
      <c r="AE16" s="311" t="str">
        <f>IF(N16="","",VLOOKUP(N16,'G-7 WaterC'' Data'!$B$4:$G$8,5,FALSE))</f>
        <v/>
      </c>
      <c r="AF16" s="295" t="str">
        <f t="shared" si="0"/>
        <v/>
      </c>
      <c r="AG16" s="295" t="str">
        <f t="shared" si="6"/>
        <v/>
      </c>
      <c r="AH16" s="276" t="str">
        <f t="shared" si="1"/>
        <v/>
      </c>
      <c r="AI16" s="105"/>
      <c r="AJ16" s="276" t="str">
        <f>IF(AI16="","",(IF(AND(AI16="N/A - Culvert",N16&lt;&gt;"Culvert"),"Not possible ▲",IF(VLOOKUP(AI16,'G-7 WaterC'' Data'!$AA$4:$AB$7,2,FALSE)=0,"Spatial Data Missing ⚠",VLOOKUP(AI16,'G-7 WaterC'' Data'!$AA$4:$AB$7,2,FALSE)))))</f>
        <v/>
      </c>
      <c r="AK16" s="106"/>
      <c r="AL16" s="310" t="str">
        <f>IF(AK16="","",IF(AND(AK16="N/A - Culvert",N16&lt;&gt;"Culvert"),"Not possible ▲",IF(VLOOKUP(AK16,'G-7 WaterC'' Data'!$AD$4:$AE$14,2,FALSE)=0,"Spatial Data Missing ⚠",VLOOKUP(AK16,'G-7 WaterC'' Data'!$AD$4:$AE$14,2,FALSE))))</f>
        <v/>
      </c>
      <c r="AM16" s="275" t="str">
        <f>IF(B16="","",VLOOKUP($B16,'F-1 Off-Site WaterC'' Baseline'!$C$9:$Z$257,17,FALSE))</f>
        <v/>
      </c>
      <c r="AN16" s="276" t="str">
        <f>IF(AM16="","",IF(VLOOKUP(AM16,'G-7 WaterC'' Data'!$AO$4:$BO$7,2,FALSE)=0,"Spatial Data Missing ⚠",VLOOKUP(AM16,'G-7 WaterC'' Data'!$AO$4:$BO$7,2,FALSE)))</f>
        <v/>
      </c>
      <c r="AO16" s="317" t="str">
        <f t="shared" si="7"/>
        <v/>
      </c>
      <c r="AP16" s="317" t="str">
        <f t="shared" si="8"/>
        <v/>
      </c>
      <c r="AQ16" s="101"/>
      <c r="AR16" s="115"/>
      <c r="AS16" s="104"/>
      <c r="AT16" s="104"/>
      <c r="AW16" s="30" t="str">
        <f>IF(E16="","",VLOOKUP($B16,'F-1 Off-Site WaterC'' Baseline'!$C$9:$Z$257,12,FALSE))</f>
        <v/>
      </c>
      <c r="AX16" s="30" t="str">
        <f>IF(E16="","",VLOOKUP($B16,'F-1 Off-Site WaterC'' Baseline'!$C$9:$Z$257,14,FALSE))</f>
        <v/>
      </c>
      <c r="AY16" s="30" t="str">
        <f>IFERROR(INDEX('G-7 WaterC'' Data'!$AZ$3:$AZ$7,MATCH(N16,'G-7 WaterC'' Data'!$AY$3:$AY$7,0)),"")</f>
        <v/>
      </c>
      <c r="AZ16" s="30" t="str">
        <f>IF(B16="","",IF(ISNA(VLOOKUP($B16,'F-1 Off-Site WaterC'' Baseline'!$C$8:$AD$257,20,FALSE)),"",(VLOOKUP($B16,'F-1 Off-Site WaterC'' Baseline'!$C$8:$AD$257,20,FALSE))))</f>
        <v/>
      </c>
      <c r="BC16" s="30" t="str">
        <f>IF(B16="","",VLOOKUP($B16,'F-1 Off-Site WaterC'' Baseline'!$C$9:$AB$257,25,FALSE))</f>
        <v/>
      </c>
      <c r="BD16" s="30" t="str">
        <f t="shared" si="9"/>
        <v/>
      </c>
      <c r="BE16" s="30" t="str">
        <f>IF(B16="","",VLOOKUP($B16,'F-1 Off-Site WaterC'' Baseline'!$C$9:$AB$257,24,FALSE))</f>
        <v/>
      </c>
      <c r="BF16" s="30" t="str">
        <f>IF(B16="","",VLOOKUP($B16,'F-1 Off-Site WaterC'' Baseline'!$C$9:$AB$257,22,FALSE))</f>
        <v/>
      </c>
      <c r="BJ16" s="30" t="str">
        <f t="shared" si="10"/>
        <v>No</v>
      </c>
    </row>
    <row r="17" spans="2:62" ht="14">
      <c r="B17" s="305" t="str">
        <f>'F-1 Off-Site WaterC'' Baseline'!AS15</f>
        <v/>
      </c>
      <c r="C17" s="295" t="str">
        <f>IF(B17="","",VLOOKUP($B17,'F-1 Off-Site WaterC'' Baseline'!$C$9:$R$257,2,FALSE))</f>
        <v/>
      </c>
      <c r="D17" s="295" t="str">
        <f>IF(C17="","",VLOOKUP($B17,'F-1 Off-Site WaterC'' Baseline'!$C$9:$R$257,3,FALSE))</f>
        <v/>
      </c>
      <c r="E17" s="295" t="str">
        <f>IF(D17="","",VLOOKUP($B17,'F-1 Off-Site WaterC'' Baseline'!$C$9:$R$257,4,FALSE))</f>
        <v/>
      </c>
      <c r="F17" s="295" t="str">
        <f>IF(E17="","",VLOOKUP($B17,'F-1 Off-Site WaterC'' Baseline'!$C$9:$R$257,5,FALSE))</f>
        <v/>
      </c>
      <c r="G17" s="295" t="str">
        <f>IF(F17="","",VLOOKUP($B17,'F-1 Off-Site WaterC'' Baseline'!$C$9:$R$257,6,FALSE))</f>
        <v/>
      </c>
      <c r="H17" s="295" t="str">
        <f>IF(G17="","",VLOOKUP($B17,'F-1 Off-Site WaterC'' Baseline'!$C$9:$R$257,7,FALSE))</f>
        <v/>
      </c>
      <c r="I17" s="295" t="str">
        <f>IF(H17="","",VLOOKUP($B17,'F-1 Off-Site WaterC'' Baseline'!$C$9:$R$257,8,FALSE))</f>
        <v/>
      </c>
      <c r="J17" s="295" t="str">
        <f>IF(I17="","",VLOOKUP($B17,'F-1 Off-Site WaterC'' Baseline'!$C$9:$R$257,9,FALSE))</f>
        <v/>
      </c>
      <c r="K17" s="295" t="str">
        <f>IF(J17="","",VLOOKUP($B17,'F-1 Off-Site WaterC'' Baseline'!$C$9:$R$257,10,FALSE))</f>
        <v/>
      </c>
      <c r="L17" s="283" t="str">
        <f>IF(B17="","",VLOOKUP($B17,'F-1 Off-Site WaterC'' Baseline'!$C$9:$R$257,15,FALSE))</f>
        <v/>
      </c>
      <c r="M17" s="299" t="str">
        <f>IF(L17="","",VLOOKUP($B17,'F-1 Off-Site WaterC'' Baseline'!$C$9:$V$257,19,FALSE))</f>
        <v/>
      </c>
      <c r="N17" s="244"/>
      <c r="O17" s="275" t="str">
        <f t="shared" si="2"/>
        <v/>
      </c>
      <c r="P17" s="276" t="str">
        <f t="shared" si="3"/>
        <v/>
      </c>
      <c r="Q17" s="281" t="str">
        <f>IF(N17="","",VLOOKUP(B17,'F-1 Off-Site WaterC'' Baseline'!$C$10:$AF$257,23,FALSE))</f>
        <v/>
      </c>
      <c r="R17" s="275" t="str">
        <f>IF(N17="","",VLOOKUP(N17,'G-7 WaterC'' Data'!$B$2:$G$8,2,FALSE))</f>
        <v/>
      </c>
      <c r="S17" s="276" t="str">
        <f>IFERROR(VLOOKUP(R17,'G-7 WaterC'' Data'!$C$4:$D$8,2,FALSE),"")</f>
        <v/>
      </c>
      <c r="T17" s="101"/>
      <c r="U17" s="276" t="str">
        <f>IFERROR(INDEX('G-7 WaterC'' Data'!$H$4:$L$8,MATCH(N17,'G-7 WaterC'' Data'!$B$4:$B$8,0),MATCH(T17,'G-7 WaterC'' Data'!$H$3:$L$3,0)),"")</f>
        <v/>
      </c>
      <c r="V17" s="105"/>
      <c r="W17" s="295" t="str">
        <f>IF(V17="","",IF(VLOOKUP(V17,'G-7 WaterC'' Data'!$AK$4:$AM$6,2,FALSE)=0,"Spatial Data Missing ⚠",VLOOKUP(V17,'G-7 WaterC'' Data'!$AK$4:$AM$6,2,FALSE)))</f>
        <v/>
      </c>
      <c r="X17" s="299" t="str">
        <f>IF(V17="","",IF(VLOOKUP(V17,'G-7 WaterC'' Data'!$AK$4:$AM$6,3,FALSE)=0,"Spatial Data Missing ⚠",VLOOKUP(V17,'G-7 WaterC'' Data'!$AK$4:$AM$6,3,FALSE)))</f>
        <v/>
      </c>
      <c r="Y17" s="311" t="str">
        <f>IFERROR(IF(OR(LEFT(P17,5)="Error",LEFT(O17,5)="Error"),"Check Data ⚠",IF(F17&lt;S17,'G-7 WaterC'' Data'!$R$3,INDEX('G-7 WaterC'' Data'!$U$5:$Y$9,MATCH(G17,'G-7 WaterC'' Data'!$T$5:$T$9,0),MATCH(T17,'G-7 WaterC'' Data'!$U$4:$Y$4,0)))),"")</f>
        <v/>
      </c>
      <c r="Z17" s="138"/>
      <c r="AA17" s="138"/>
      <c r="AB17" s="308" t="str">
        <f t="shared" si="4"/>
        <v/>
      </c>
      <c r="AC17" s="296" t="str">
        <f t="shared" si="5"/>
        <v/>
      </c>
      <c r="AD17" s="334" t="str">
        <f>IFERROR(IF(AC17="Check Data ⚠","Check Data ⚠",VLOOKUP(AC17,'G-4 Temporal multipliers'!$A$4:$C$37,3,FALSE)),"")</f>
        <v/>
      </c>
      <c r="AE17" s="311" t="str">
        <f>IF(N17="","",VLOOKUP(N17,'G-7 WaterC'' Data'!$B$4:$G$8,5,FALSE))</f>
        <v/>
      </c>
      <c r="AF17" s="295" t="str">
        <f t="shared" si="0"/>
        <v/>
      </c>
      <c r="AG17" s="295" t="str">
        <f t="shared" si="6"/>
        <v/>
      </c>
      <c r="AH17" s="276" t="str">
        <f t="shared" si="1"/>
        <v/>
      </c>
      <c r="AI17" s="105"/>
      <c r="AJ17" s="276" t="str">
        <f>IF(AI17="","",(IF(AND(AI17="N/A - Culvert",N17&lt;&gt;"Culvert"),"Not possible ▲",IF(VLOOKUP(AI17,'G-7 WaterC'' Data'!$AA$4:$AB$7,2,FALSE)=0,"Spatial Data Missing ⚠",VLOOKUP(AI17,'G-7 WaterC'' Data'!$AA$4:$AB$7,2,FALSE)))))</f>
        <v/>
      </c>
      <c r="AK17" s="106"/>
      <c r="AL17" s="310" t="str">
        <f>IF(AK17="","",IF(AND(AK17="N/A - Culvert",N17&lt;&gt;"Culvert"),"Not possible ▲",IF(VLOOKUP(AK17,'G-7 WaterC'' Data'!$AD$4:$AE$14,2,FALSE)=0,"Spatial Data Missing ⚠",VLOOKUP(AK17,'G-7 WaterC'' Data'!$AD$4:$AE$14,2,FALSE))))</f>
        <v/>
      </c>
      <c r="AM17" s="275" t="str">
        <f>IF(B17="","",VLOOKUP($B17,'F-1 Off-Site WaterC'' Baseline'!$C$9:$Z$257,17,FALSE))</f>
        <v/>
      </c>
      <c r="AN17" s="276" t="str">
        <f>IF(AM17="","",IF(VLOOKUP(AM17,'G-7 WaterC'' Data'!$AO$4:$BO$7,2,FALSE)=0,"Spatial Data Missing ⚠",VLOOKUP(AM17,'G-7 WaterC'' Data'!$AO$4:$BO$7,2,FALSE)))</f>
        <v/>
      </c>
      <c r="AO17" s="317" t="str">
        <f t="shared" si="7"/>
        <v/>
      </c>
      <c r="AP17" s="317" t="str">
        <f t="shared" si="8"/>
        <v/>
      </c>
      <c r="AQ17" s="101"/>
      <c r="AR17" s="115"/>
      <c r="AS17" s="104"/>
      <c r="AT17" s="104"/>
      <c r="AW17" s="30" t="str">
        <f>IF(E17="","",VLOOKUP($B17,'F-1 Off-Site WaterC'' Baseline'!$C$9:$Z$257,12,FALSE))</f>
        <v/>
      </c>
      <c r="AX17" s="30" t="str">
        <f>IF(E17="","",VLOOKUP($B17,'F-1 Off-Site WaterC'' Baseline'!$C$9:$Z$257,14,FALSE))</f>
        <v/>
      </c>
      <c r="AY17" s="30" t="str">
        <f>IFERROR(INDEX('G-7 WaterC'' Data'!$AZ$3:$AZ$7,MATCH(N17,'G-7 WaterC'' Data'!$AY$3:$AY$7,0)),"")</f>
        <v/>
      </c>
      <c r="AZ17" s="30" t="str">
        <f>IF(B17="","",IF(ISNA(VLOOKUP($B17,'F-1 Off-Site WaterC'' Baseline'!$C$8:$AD$257,20,FALSE)),"",(VLOOKUP($B17,'F-1 Off-Site WaterC'' Baseline'!$C$8:$AD$257,20,FALSE))))</f>
        <v/>
      </c>
      <c r="BC17" s="30" t="str">
        <f>IF(B17="","",VLOOKUP($B17,'F-1 Off-Site WaterC'' Baseline'!$C$9:$AB$257,25,FALSE))</f>
        <v/>
      </c>
      <c r="BD17" s="30" t="str">
        <f t="shared" si="9"/>
        <v/>
      </c>
      <c r="BE17" s="30" t="str">
        <f>IF(B17="","",VLOOKUP($B17,'F-1 Off-Site WaterC'' Baseline'!$C$9:$AB$257,24,FALSE))</f>
        <v/>
      </c>
      <c r="BF17" s="30" t="str">
        <f>IF(B17="","",VLOOKUP($B17,'F-1 Off-Site WaterC'' Baseline'!$C$9:$AB$257,22,FALSE))</f>
        <v/>
      </c>
      <c r="BJ17" s="30" t="str">
        <f t="shared" si="10"/>
        <v>No</v>
      </c>
    </row>
    <row r="18" spans="2:62" ht="14">
      <c r="B18" s="305" t="str">
        <f>'F-1 Off-Site WaterC'' Baseline'!AS16</f>
        <v/>
      </c>
      <c r="C18" s="295" t="str">
        <f>IF(B18="","",VLOOKUP($B18,'F-1 Off-Site WaterC'' Baseline'!$C$9:$R$257,2,FALSE))</f>
        <v/>
      </c>
      <c r="D18" s="295" t="str">
        <f>IF(C18="","",VLOOKUP($B18,'F-1 Off-Site WaterC'' Baseline'!$C$9:$R$257,3,FALSE))</f>
        <v/>
      </c>
      <c r="E18" s="295" t="str">
        <f>IF(D18="","",VLOOKUP($B18,'F-1 Off-Site WaterC'' Baseline'!$C$9:$R$257,4,FALSE))</f>
        <v/>
      </c>
      <c r="F18" s="295" t="str">
        <f>IF(E18="","",VLOOKUP($B18,'F-1 Off-Site WaterC'' Baseline'!$C$9:$R$257,5,FALSE))</f>
        <v/>
      </c>
      <c r="G18" s="295" t="str">
        <f>IF(F18="","",VLOOKUP($B18,'F-1 Off-Site WaterC'' Baseline'!$C$9:$R$257,6,FALSE))</f>
        <v/>
      </c>
      <c r="H18" s="295" t="str">
        <f>IF(G18="","",VLOOKUP($B18,'F-1 Off-Site WaterC'' Baseline'!$C$9:$R$257,7,FALSE))</f>
        <v/>
      </c>
      <c r="I18" s="295" t="str">
        <f>IF(H18="","",VLOOKUP($B18,'F-1 Off-Site WaterC'' Baseline'!$C$9:$R$257,8,FALSE))</f>
        <v/>
      </c>
      <c r="J18" s="295" t="str">
        <f>IF(I18="","",VLOOKUP($B18,'F-1 Off-Site WaterC'' Baseline'!$C$9:$R$257,9,FALSE))</f>
        <v/>
      </c>
      <c r="K18" s="295" t="str">
        <f>IF(J18="","",VLOOKUP($B18,'F-1 Off-Site WaterC'' Baseline'!$C$9:$R$257,10,FALSE))</f>
        <v/>
      </c>
      <c r="L18" s="283" t="str">
        <f>IF(B18="","",VLOOKUP($B18,'F-1 Off-Site WaterC'' Baseline'!$C$9:$R$257,15,FALSE))</f>
        <v/>
      </c>
      <c r="M18" s="299" t="str">
        <f>IF(L18="","",VLOOKUP($B18,'F-1 Off-Site WaterC'' Baseline'!$C$9:$V$257,19,FALSE))</f>
        <v/>
      </c>
      <c r="N18" s="244"/>
      <c r="O18" s="275" t="str">
        <f t="shared" si="2"/>
        <v/>
      </c>
      <c r="P18" s="276" t="str">
        <f t="shared" si="3"/>
        <v/>
      </c>
      <c r="Q18" s="281" t="str">
        <f>IF(N18="","",VLOOKUP(B18,'F-1 Off-Site WaterC'' Baseline'!$C$10:$AF$257,23,FALSE))</f>
        <v/>
      </c>
      <c r="R18" s="275" t="str">
        <f>IF(N18="","",VLOOKUP(N18,'G-7 WaterC'' Data'!$B$2:$G$8,2,FALSE))</f>
        <v/>
      </c>
      <c r="S18" s="276" t="str">
        <f>IFERROR(VLOOKUP(R18,'G-7 WaterC'' Data'!$C$4:$D$8,2,FALSE),"")</f>
        <v/>
      </c>
      <c r="T18" s="101"/>
      <c r="U18" s="276" t="str">
        <f>IFERROR(INDEX('G-7 WaterC'' Data'!$H$4:$L$8,MATCH(N18,'G-7 WaterC'' Data'!$B$4:$B$8,0),MATCH(T18,'G-7 WaterC'' Data'!$H$3:$L$3,0)),"")</f>
        <v/>
      </c>
      <c r="V18" s="105"/>
      <c r="W18" s="295" t="str">
        <f>IF(V18="","",IF(VLOOKUP(V18,'G-7 WaterC'' Data'!$AK$4:$AM$6,2,FALSE)=0,"Spatial Data Missing ⚠",VLOOKUP(V18,'G-7 WaterC'' Data'!$AK$4:$AM$6,2,FALSE)))</f>
        <v/>
      </c>
      <c r="X18" s="299" t="str">
        <f>IF(V18="","",IF(VLOOKUP(V18,'G-7 WaterC'' Data'!$AK$4:$AM$6,3,FALSE)=0,"Spatial Data Missing ⚠",VLOOKUP(V18,'G-7 WaterC'' Data'!$AK$4:$AM$6,3,FALSE)))</f>
        <v/>
      </c>
      <c r="Y18" s="311" t="str">
        <f>IFERROR(IF(OR(LEFT(P18,5)="Error",LEFT(O18,5)="Error"),"Check Data ⚠",IF(F18&lt;S18,'G-7 WaterC'' Data'!$R$3,INDEX('G-7 WaterC'' Data'!$U$5:$Y$9,MATCH(G18,'G-7 WaterC'' Data'!$T$5:$T$9,0),MATCH(T18,'G-7 WaterC'' Data'!$U$4:$Y$4,0)))),"")</f>
        <v/>
      </c>
      <c r="Z18" s="138"/>
      <c r="AA18" s="138"/>
      <c r="AB18" s="308" t="str">
        <f t="shared" si="4"/>
        <v/>
      </c>
      <c r="AC18" s="296" t="str">
        <f t="shared" si="5"/>
        <v/>
      </c>
      <c r="AD18" s="334" t="str">
        <f>IFERROR(IF(AC18="Check Data ⚠","Check Data ⚠",VLOOKUP(AC18,'G-4 Temporal multipliers'!$A$4:$C$37,3,FALSE)),"")</f>
        <v/>
      </c>
      <c r="AE18" s="311" t="str">
        <f>IF(N18="","",VLOOKUP(N18,'G-7 WaterC'' Data'!$B$4:$G$8,5,FALSE))</f>
        <v/>
      </c>
      <c r="AF18" s="295" t="str">
        <f t="shared" si="0"/>
        <v/>
      </c>
      <c r="AG18" s="295" t="str">
        <f t="shared" si="6"/>
        <v/>
      </c>
      <c r="AH18" s="276" t="str">
        <f t="shared" si="1"/>
        <v/>
      </c>
      <c r="AI18" s="105"/>
      <c r="AJ18" s="276" t="str">
        <f>IF(AI18="","",(IF(AND(AI18="N/A - Culvert",N18&lt;&gt;"Culvert"),"Not possible ▲",IF(VLOOKUP(AI18,'G-7 WaterC'' Data'!$AA$4:$AB$7,2,FALSE)=0,"Spatial Data Missing ⚠",VLOOKUP(AI18,'G-7 WaterC'' Data'!$AA$4:$AB$7,2,FALSE)))))</f>
        <v/>
      </c>
      <c r="AK18" s="106"/>
      <c r="AL18" s="310" t="str">
        <f>IF(AK18="","",IF(AND(AK18="N/A - Culvert",N18&lt;&gt;"Culvert"),"Not possible ▲",IF(VLOOKUP(AK18,'G-7 WaterC'' Data'!$AD$4:$AE$14,2,FALSE)=0,"Spatial Data Missing ⚠",VLOOKUP(AK18,'G-7 WaterC'' Data'!$AD$4:$AE$14,2,FALSE))))</f>
        <v/>
      </c>
      <c r="AM18" s="275" t="str">
        <f>IF(B18="","",VLOOKUP($B18,'F-1 Off-Site WaterC'' Baseline'!$C$9:$Z$257,17,FALSE))</f>
        <v/>
      </c>
      <c r="AN18" s="276" t="str">
        <f>IF(AM18="","",IF(VLOOKUP(AM18,'G-7 WaterC'' Data'!$AO$4:$BO$7,2,FALSE)=0,"Spatial Data Missing ⚠",VLOOKUP(AM18,'G-7 WaterC'' Data'!$AO$4:$BO$7,2,FALSE)))</f>
        <v/>
      </c>
      <c r="AO18" s="317" t="str">
        <f t="shared" si="7"/>
        <v/>
      </c>
      <c r="AP18" s="317" t="str">
        <f t="shared" si="8"/>
        <v/>
      </c>
      <c r="AQ18" s="101"/>
      <c r="AR18" s="115"/>
      <c r="AS18" s="104"/>
      <c r="AT18" s="104"/>
      <c r="AW18" s="30" t="str">
        <f>IF(E18="","",VLOOKUP($B18,'F-1 Off-Site WaterC'' Baseline'!$C$9:$Z$257,12,FALSE))</f>
        <v/>
      </c>
      <c r="AX18" s="30" t="str">
        <f>IF(E18="","",VLOOKUP($B18,'F-1 Off-Site WaterC'' Baseline'!$C$9:$Z$257,14,FALSE))</f>
        <v/>
      </c>
      <c r="AY18" s="30" t="str">
        <f>IFERROR(INDEX('G-7 WaterC'' Data'!$AZ$3:$AZ$7,MATCH(N18,'G-7 WaterC'' Data'!$AY$3:$AY$7,0)),"")</f>
        <v/>
      </c>
      <c r="AZ18" s="30" t="str">
        <f>IF(B18="","",IF(ISNA(VLOOKUP($B18,'F-1 Off-Site WaterC'' Baseline'!$C$8:$AD$257,20,FALSE)),"",(VLOOKUP($B18,'F-1 Off-Site WaterC'' Baseline'!$C$8:$AD$257,20,FALSE))))</f>
        <v/>
      </c>
      <c r="BC18" s="30" t="str">
        <f>IF(B18="","",VLOOKUP($B18,'F-1 Off-Site WaterC'' Baseline'!$C$9:$AB$257,25,FALSE))</f>
        <v/>
      </c>
      <c r="BD18" s="30" t="str">
        <f t="shared" si="9"/>
        <v/>
      </c>
      <c r="BE18" s="30" t="str">
        <f>IF(B18="","",VLOOKUP($B18,'F-1 Off-Site WaterC'' Baseline'!$C$9:$AB$257,24,FALSE))</f>
        <v/>
      </c>
      <c r="BF18" s="30" t="str">
        <f>IF(B18="","",VLOOKUP($B18,'F-1 Off-Site WaterC'' Baseline'!$C$9:$AB$257,22,FALSE))</f>
        <v/>
      </c>
      <c r="BJ18" s="30" t="str">
        <f t="shared" si="10"/>
        <v>No</v>
      </c>
    </row>
    <row r="19" spans="2:62" ht="14">
      <c r="B19" s="305" t="str">
        <f>'F-1 Off-Site WaterC'' Baseline'!AS17</f>
        <v/>
      </c>
      <c r="C19" s="295" t="str">
        <f>IF(B19="","",VLOOKUP($B19,'F-1 Off-Site WaterC'' Baseline'!$C$9:$R$257,2,FALSE))</f>
        <v/>
      </c>
      <c r="D19" s="295" t="str">
        <f>IF(C19="","",VLOOKUP($B19,'F-1 Off-Site WaterC'' Baseline'!$C$9:$R$257,3,FALSE))</f>
        <v/>
      </c>
      <c r="E19" s="295" t="str">
        <f>IF(D19="","",VLOOKUP($B19,'F-1 Off-Site WaterC'' Baseline'!$C$9:$R$257,4,FALSE))</f>
        <v/>
      </c>
      <c r="F19" s="295" t="str">
        <f>IF(E19="","",VLOOKUP($B19,'F-1 Off-Site WaterC'' Baseline'!$C$9:$R$257,5,FALSE))</f>
        <v/>
      </c>
      <c r="G19" s="295" t="str">
        <f>IF(F19="","",VLOOKUP($B19,'F-1 Off-Site WaterC'' Baseline'!$C$9:$R$257,6,FALSE))</f>
        <v/>
      </c>
      <c r="H19" s="295" t="str">
        <f>IF(G19="","",VLOOKUP($B19,'F-1 Off-Site WaterC'' Baseline'!$C$9:$R$257,7,FALSE))</f>
        <v/>
      </c>
      <c r="I19" s="295" t="str">
        <f>IF(H19="","",VLOOKUP($B19,'F-1 Off-Site WaterC'' Baseline'!$C$9:$R$257,8,FALSE))</f>
        <v/>
      </c>
      <c r="J19" s="295" t="str">
        <f>IF(I19="","",VLOOKUP($B19,'F-1 Off-Site WaterC'' Baseline'!$C$9:$R$257,9,FALSE))</f>
        <v/>
      </c>
      <c r="K19" s="295" t="str">
        <f>IF(J19="","",VLOOKUP($B19,'F-1 Off-Site WaterC'' Baseline'!$C$9:$R$257,10,FALSE))</f>
        <v/>
      </c>
      <c r="L19" s="283" t="str">
        <f>IF(B19="","",VLOOKUP($B19,'F-1 Off-Site WaterC'' Baseline'!$C$9:$R$257,15,FALSE))</f>
        <v/>
      </c>
      <c r="M19" s="299" t="str">
        <f>IF(L19="","",VLOOKUP($B19,'F-1 Off-Site WaterC'' Baseline'!$C$9:$V$257,19,FALSE))</f>
        <v/>
      </c>
      <c r="N19" s="244"/>
      <c r="O19" s="275" t="str">
        <f t="shared" si="2"/>
        <v/>
      </c>
      <c r="P19" s="276" t="str">
        <f t="shared" si="3"/>
        <v/>
      </c>
      <c r="Q19" s="281" t="str">
        <f>IF(N19="","",VLOOKUP(B19,'F-1 Off-Site WaterC'' Baseline'!$C$10:$AF$257,23,FALSE))</f>
        <v/>
      </c>
      <c r="R19" s="275" t="str">
        <f>IF(N19="","",VLOOKUP(N19,'G-7 WaterC'' Data'!$B$2:$G$8,2,FALSE))</f>
        <v/>
      </c>
      <c r="S19" s="276" t="str">
        <f>IFERROR(VLOOKUP(R19,'G-7 WaterC'' Data'!$C$4:$D$8,2,FALSE),"")</f>
        <v/>
      </c>
      <c r="T19" s="101"/>
      <c r="U19" s="276" t="str">
        <f>IFERROR(INDEX('G-7 WaterC'' Data'!$H$4:$L$8,MATCH(N19,'G-7 WaterC'' Data'!$B$4:$B$8,0),MATCH(T19,'G-7 WaterC'' Data'!$H$3:$L$3,0)),"")</f>
        <v/>
      </c>
      <c r="V19" s="105"/>
      <c r="W19" s="295" t="str">
        <f>IF(V19="","",IF(VLOOKUP(V19,'G-7 WaterC'' Data'!$AK$4:$AM$6,2,FALSE)=0,"Spatial Data Missing ⚠",VLOOKUP(V19,'G-7 WaterC'' Data'!$AK$4:$AM$6,2,FALSE)))</f>
        <v/>
      </c>
      <c r="X19" s="299" t="str">
        <f>IF(V19="","",IF(VLOOKUP(V19,'G-7 WaterC'' Data'!$AK$4:$AM$6,3,FALSE)=0,"Spatial Data Missing ⚠",VLOOKUP(V19,'G-7 WaterC'' Data'!$AK$4:$AM$6,3,FALSE)))</f>
        <v/>
      </c>
      <c r="Y19" s="311" t="str">
        <f>IFERROR(IF(OR(LEFT(P19,5)="Error",LEFT(O19,5)="Error"),"Check Data ⚠",IF(F19&lt;S19,'G-7 WaterC'' Data'!$R$3,INDEX('G-7 WaterC'' Data'!$U$5:$Y$9,MATCH(G19,'G-7 WaterC'' Data'!$T$5:$T$9,0),MATCH(T19,'G-7 WaterC'' Data'!$U$4:$Y$4,0)))),"")</f>
        <v/>
      </c>
      <c r="Z19" s="138"/>
      <c r="AA19" s="138"/>
      <c r="AB19" s="308" t="str">
        <f t="shared" si="4"/>
        <v/>
      </c>
      <c r="AC19" s="296" t="str">
        <f t="shared" si="5"/>
        <v/>
      </c>
      <c r="AD19" s="334" t="str">
        <f>IFERROR(IF(AC19="Check Data ⚠","Check Data ⚠",VLOOKUP(AC19,'G-4 Temporal multipliers'!$A$4:$C$37,3,FALSE)),"")</f>
        <v/>
      </c>
      <c r="AE19" s="311" t="str">
        <f>IF(N19="","",VLOOKUP(N19,'G-7 WaterC'' Data'!$B$4:$G$8,5,FALSE))</f>
        <v/>
      </c>
      <c r="AF19" s="295" t="str">
        <f t="shared" si="0"/>
        <v/>
      </c>
      <c r="AG19" s="295" t="str">
        <f t="shared" si="6"/>
        <v/>
      </c>
      <c r="AH19" s="276" t="str">
        <f t="shared" si="1"/>
        <v/>
      </c>
      <c r="AI19" s="105"/>
      <c r="AJ19" s="276" t="str">
        <f>IF(AI19="","",(IF(AND(AI19="N/A - Culvert",N19&lt;&gt;"Culvert"),"Not possible ▲",IF(VLOOKUP(AI19,'G-7 WaterC'' Data'!$AA$4:$AB$7,2,FALSE)=0,"Spatial Data Missing ⚠",VLOOKUP(AI19,'G-7 WaterC'' Data'!$AA$4:$AB$7,2,FALSE)))))</f>
        <v/>
      </c>
      <c r="AK19" s="106"/>
      <c r="AL19" s="310" t="str">
        <f>IF(AK19="","",IF(AND(AK19="N/A - Culvert",N19&lt;&gt;"Culvert"),"Not possible ▲",IF(VLOOKUP(AK19,'G-7 WaterC'' Data'!$AD$4:$AE$14,2,FALSE)=0,"Spatial Data Missing ⚠",VLOOKUP(AK19,'G-7 WaterC'' Data'!$AD$4:$AE$14,2,FALSE))))</f>
        <v/>
      </c>
      <c r="AM19" s="275" t="str">
        <f>IF(B19="","",VLOOKUP($B19,'F-1 Off-Site WaterC'' Baseline'!$C$9:$Z$257,17,FALSE))</f>
        <v/>
      </c>
      <c r="AN19" s="276" t="str">
        <f>IF(AM19="","",IF(VLOOKUP(AM19,'G-7 WaterC'' Data'!$AO$4:$BO$7,2,FALSE)=0,"Spatial Data Missing ⚠",VLOOKUP(AM19,'G-7 WaterC'' Data'!$AO$4:$BO$7,2,FALSE)))</f>
        <v/>
      </c>
      <c r="AO19" s="317" t="str">
        <f t="shared" si="7"/>
        <v/>
      </c>
      <c r="AP19" s="317" t="str">
        <f t="shared" si="8"/>
        <v/>
      </c>
      <c r="AQ19" s="101"/>
      <c r="AR19" s="115"/>
      <c r="AS19" s="104"/>
      <c r="AT19" s="104"/>
      <c r="AW19" s="30" t="str">
        <f>IF(E19="","",VLOOKUP($B19,'F-1 Off-Site WaterC'' Baseline'!$C$9:$Z$257,12,FALSE))</f>
        <v/>
      </c>
      <c r="AX19" s="30" t="str">
        <f>IF(E19="","",VLOOKUP($B19,'F-1 Off-Site WaterC'' Baseline'!$C$9:$Z$257,14,FALSE))</f>
        <v/>
      </c>
      <c r="AY19" s="30" t="str">
        <f>IFERROR(INDEX('G-7 WaterC'' Data'!$AZ$3:$AZ$7,MATCH(N19,'G-7 WaterC'' Data'!$AY$3:$AY$7,0)),"")</f>
        <v/>
      </c>
      <c r="AZ19" s="30" t="str">
        <f>IF(B19="","",IF(ISNA(VLOOKUP($B19,'F-1 Off-Site WaterC'' Baseline'!$C$8:$AD$257,20,FALSE)),"",(VLOOKUP($B19,'F-1 Off-Site WaterC'' Baseline'!$C$8:$AD$257,20,FALSE))))</f>
        <v/>
      </c>
      <c r="BC19" s="30" t="str">
        <f>IF(B19="","",VLOOKUP($B19,'F-1 Off-Site WaterC'' Baseline'!$C$9:$AB$257,25,FALSE))</f>
        <v/>
      </c>
      <c r="BD19" s="30" t="str">
        <f t="shared" si="9"/>
        <v/>
      </c>
      <c r="BE19" s="30" t="str">
        <f>IF(B19="","",VLOOKUP($B19,'F-1 Off-Site WaterC'' Baseline'!$C$9:$AB$257,24,FALSE))</f>
        <v/>
      </c>
      <c r="BF19" s="30" t="str">
        <f>IF(B19="","",VLOOKUP($B19,'F-1 Off-Site WaterC'' Baseline'!$C$9:$AB$257,22,FALSE))</f>
        <v/>
      </c>
      <c r="BJ19" s="30" t="str">
        <f t="shared" si="10"/>
        <v>No</v>
      </c>
    </row>
    <row r="20" spans="2:62" ht="14">
      <c r="B20" s="305" t="str">
        <f>'F-1 Off-Site WaterC'' Baseline'!AS18</f>
        <v/>
      </c>
      <c r="C20" s="295" t="str">
        <f>IF(B20="","",VLOOKUP($B20,'F-1 Off-Site WaterC'' Baseline'!$C$9:$R$257,2,FALSE))</f>
        <v/>
      </c>
      <c r="D20" s="295" t="str">
        <f>IF(C20="","",VLOOKUP($B20,'F-1 Off-Site WaterC'' Baseline'!$C$9:$R$257,3,FALSE))</f>
        <v/>
      </c>
      <c r="E20" s="295" t="str">
        <f>IF(D20="","",VLOOKUP($B20,'F-1 Off-Site WaterC'' Baseline'!$C$9:$R$257,4,FALSE))</f>
        <v/>
      </c>
      <c r="F20" s="295" t="str">
        <f>IF(E20="","",VLOOKUP($B20,'F-1 Off-Site WaterC'' Baseline'!$C$9:$R$257,5,FALSE))</f>
        <v/>
      </c>
      <c r="G20" s="295" t="str">
        <f>IF(F20="","",VLOOKUP($B20,'F-1 Off-Site WaterC'' Baseline'!$C$9:$R$257,6,FALSE))</f>
        <v/>
      </c>
      <c r="H20" s="295" t="str">
        <f>IF(G20="","",VLOOKUP($B20,'F-1 Off-Site WaterC'' Baseline'!$C$9:$R$257,7,FALSE))</f>
        <v/>
      </c>
      <c r="I20" s="295" t="str">
        <f>IF(H20="","",VLOOKUP($B20,'F-1 Off-Site WaterC'' Baseline'!$C$9:$R$257,8,FALSE))</f>
        <v/>
      </c>
      <c r="J20" s="295" t="str">
        <f>IF(I20="","",VLOOKUP($B20,'F-1 Off-Site WaterC'' Baseline'!$C$9:$R$257,9,FALSE))</f>
        <v/>
      </c>
      <c r="K20" s="295" t="str">
        <f>IF(J20="","",VLOOKUP($B20,'F-1 Off-Site WaterC'' Baseline'!$C$9:$R$257,10,FALSE))</f>
        <v/>
      </c>
      <c r="L20" s="283" t="str">
        <f>IF(B20="","",VLOOKUP($B20,'F-1 Off-Site WaterC'' Baseline'!$C$9:$R$257,15,FALSE))</f>
        <v/>
      </c>
      <c r="M20" s="299" t="str">
        <f>IF(L20="","",VLOOKUP($B20,'F-1 Off-Site WaterC'' Baseline'!$C$9:$V$257,19,FALSE))</f>
        <v/>
      </c>
      <c r="N20" s="244"/>
      <c r="O20" s="275" t="str">
        <f t="shared" si="2"/>
        <v/>
      </c>
      <c r="P20" s="276" t="str">
        <f t="shared" si="3"/>
        <v/>
      </c>
      <c r="Q20" s="281" t="str">
        <f>IF(N20="","",VLOOKUP(B20,'F-1 Off-Site WaterC'' Baseline'!$C$10:$AF$257,23,FALSE))</f>
        <v/>
      </c>
      <c r="R20" s="275" t="str">
        <f>IF(N20="","",VLOOKUP(N20,'G-7 WaterC'' Data'!$B$2:$G$8,2,FALSE))</f>
        <v/>
      </c>
      <c r="S20" s="276" t="str">
        <f>IFERROR(VLOOKUP(R20,'G-7 WaterC'' Data'!$C$4:$D$8,2,FALSE),"")</f>
        <v/>
      </c>
      <c r="T20" s="101"/>
      <c r="U20" s="276" t="str">
        <f>IFERROR(INDEX('G-7 WaterC'' Data'!$H$4:$L$8,MATCH(N20,'G-7 WaterC'' Data'!$B$4:$B$8,0),MATCH(T20,'G-7 WaterC'' Data'!$H$3:$L$3,0)),"")</f>
        <v/>
      </c>
      <c r="V20" s="105"/>
      <c r="W20" s="295" t="str">
        <f>IF(V20="","",IF(VLOOKUP(V20,'G-7 WaterC'' Data'!$AK$4:$AM$6,2,FALSE)=0,"Spatial Data Missing ⚠",VLOOKUP(V20,'G-7 WaterC'' Data'!$AK$4:$AM$6,2,FALSE)))</f>
        <v/>
      </c>
      <c r="X20" s="299" t="str">
        <f>IF(V20="","",IF(VLOOKUP(V20,'G-7 WaterC'' Data'!$AK$4:$AM$6,3,FALSE)=0,"Spatial Data Missing ⚠",VLOOKUP(V20,'G-7 WaterC'' Data'!$AK$4:$AM$6,3,FALSE)))</f>
        <v/>
      </c>
      <c r="Y20" s="311" t="str">
        <f>IFERROR(IF(OR(LEFT(P20,5)="Error",LEFT(O20,5)="Error"),"Check Data ⚠",IF(F20&lt;S20,'G-7 WaterC'' Data'!$R$3,INDEX('G-7 WaterC'' Data'!$U$5:$Y$9,MATCH(G20,'G-7 WaterC'' Data'!$T$5:$T$9,0),MATCH(T20,'G-7 WaterC'' Data'!$U$4:$Y$4,0)))),"")</f>
        <v/>
      </c>
      <c r="Z20" s="138"/>
      <c r="AA20" s="138"/>
      <c r="AB20" s="308" t="str">
        <f t="shared" si="4"/>
        <v/>
      </c>
      <c r="AC20" s="296" t="str">
        <f t="shared" si="5"/>
        <v/>
      </c>
      <c r="AD20" s="334" t="str">
        <f>IFERROR(IF(AC20="Check Data ⚠","Check Data ⚠",VLOOKUP(AC20,'G-4 Temporal multipliers'!$A$4:$C$37,3,FALSE)),"")</f>
        <v/>
      </c>
      <c r="AE20" s="311" t="str">
        <f>IF(N20="","",VLOOKUP(N20,'G-7 WaterC'' Data'!$B$4:$G$8,5,FALSE))</f>
        <v/>
      </c>
      <c r="AF20" s="295" t="str">
        <f t="shared" si="0"/>
        <v/>
      </c>
      <c r="AG20" s="295" t="str">
        <f t="shared" si="6"/>
        <v/>
      </c>
      <c r="AH20" s="276" t="str">
        <f t="shared" si="1"/>
        <v/>
      </c>
      <c r="AI20" s="105"/>
      <c r="AJ20" s="276" t="str">
        <f>IF(AI20="","",(IF(AND(AI20="N/A - Culvert",N20&lt;&gt;"Culvert"),"Not possible ▲",IF(VLOOKUP(AI20,'G-7 WaterC'' Data'!$AA$4:$AB$7,2,FALSE)=0,"Spatial Data Missing ⚠",VLOOKUP(AI20,'G-7 WaterC'' Data'!$AA$4:$AB$7,2,FALSE)))))</f>
        <v/>
      </c>
      <c r="AK20" s="106"/>
      <c r="AL20" s="310" t="str">
        <f>IF(AK20="","",IF(AND(AK20="N/A - Culvert",N20&lt;&gt;"Culvert"),"Not possible ▲",IF(VLOOKUP(AK20,'G-7 WaterC'' Data'!$AD$4:$AE$14,2,FALSE)=0,"Spatial Data Missing ⚠",VLOOKUP(AK20,'G-7 WaterC'' Data'!$AD$4:$AE$14,2,FALSE))))</f>
        <v/>
      </c>
      <c r="AM20" s="275" t="str">
        <f>IF(B20="","",VLOOKUP($B20,'F-1 Off-Site WaterC'' Baseline'!$C$9:$Z$257,17,FALSE))</f>
        <v/>
      </c>
      <c r="AN20" s="276" t="str">
        <f>IF(AM20="","",IF(VLOOKUP(AM20,'G-7 WaterC'' Data'!$AO$4:$BO$7,2,FALSE)=0,"Spatial Data Missing ⚠",VLOOKUP(AM20,'G-7 WaterC'' Data'!$AO$4:$BO$7,2,FALSE)))</f>
        <v/>
      </c>
      <c r="AO20" s="317" t="str">
        <f t="shared" si="7"/>
        <v/>
      </c>
      <c r="AP20" s="317" t="str">
        <f t="shared" si="8"/>
        <v/>
      </c>
      <c r="AQ20" s="101"/>
      <c r="AR20" s="115"/>
      <c r="AS20" s="104"/>
      <c r="AT20" s="104"/>
      <c r="AW20" s="30" t="str">
        <f>IF(E20="","",VLOOKUP($B20,'F-1 Off-Site WaterC'' Baseline'!$C$9:$Z$257,12,FALSE))</f>
        <v/>
      </c>
      <c r="AX20" s="30" t="str">
        <f>IF(E20="","",VLOOKUP($B20,'F-1 Off-Site WaterC'' Baseline'!$C$9:$Z$257,14,FALSE))</f>
        <v/>
      </c>
      <c r="AY20" s="30" t="str">
        <f>IFERROR(INDEX('G-7 WaterC'' Data'!$AZ$3:$AZ$7,MATCH(N20,'G-7 WaterC'' Data'!$AY$3:$AY$7,0)),"")</f>
        <v/>
      </c>
      <c r="AZ20" s="30" t="str">
        <f>IF(B20="","",IF(ISNA(VLOOKUP($B20,'F-1 Off-Site WaterC'' Baseline'!$C$8:$AD$257,20,FALSE)),"",(VLOOKUP($B20,'F-1 Off-Site WaterC'' Baseline'!$C$8:$AD$257,20,FALSE))))</f>
        <v/>
      </c>
      <c r="BC20" s="30" t="str">
        <f>IF(B20="","",VLOOKUP($B20,'F-1 Off-Site WaterC'' Baseline'!$C$9:$AB$257,25,FALSE))</f>
        <v/>
      </c>
      <c r="BD20" s="30" t="str">
        <f t="shared" si="9"/>
        <v/>
      </c>
      <c r="BE20" s="30" t="str">
        <f>IF(B20="","",VLOOKUP($B20,'F-1 Off-Site WaterC'' Baseline'!$C$9:$AB$257,24,FALSE))</f>
        <v/>
      </c>
      <c r="BF20" s="30" t="str">
        <f>IF(B20="","",VLOOKUP($B20,'F-1 Off-Site WaterC'' Baseline'!$C$9:$AB$257,22,FALSE))</f>
        <v/>
      </c>
      <c r="BJ20" s="30" t="str">
        <f t="shared" si="10"/>
        <v>No</v>
      </c>
    </row>
    <row r="21" spans="2:62" ht="14">
      <c r="B21" s="305" t="str">
        <f>'F-1 Off-Site WaterC'' Baseline'!AS19</f>
        <v/>
      </c>
      <c r="C21" s="295" t="str">
        <f>IF(B21="","",VLOOKUP($B21,'F-1 Off-Site WaterC'' Baseline'!$C$9:$R$257,2,FALSE))</f>
        <v/>
      </c>
      <c r="D21" s="295" t="str">
        <f>IF(C21="","",VLOOKUP($B21,'F-1 Off-Site WaterC'' Baseline'!$C$9:$R$257,3,FALSE))</f>
        <v/>
      </c>
      <c r="E21" s="295" t="str">
        <f>IF(D21="","",VLOOKUP($B21,'F-1 Off-Site WaterC'' Baseline'!$C$9:$R$257,4,FALSE))</f>
        <v/>
      </c>
      <c r="F21" s="295" t="str">
        <f>IF(E21="","",VLOOKUP($B21,'F-1 Off-Site WaterC'' Baseline'!$C$9:$R$257,5,FALSE))</f>
        <v/>
      </c>
      <c r="G21" s="295" t="str">
        <f>IF(F21="","",VLOOKUP($B21,'F-1 Off-Site WaterC'' Baseline'!$C$9:$R$257,6,FALSE))</f>
        <v/>
      </c>
      <c r="H21" s="295" t="str">
        <f>IF(G21="","",VLOOKUP($B21,'F-1 Off-Site WaterC'' Baseline'!$C$9:$R$257,7,FALSE))</f>
        <v/>
      </c>
      <c r="I21" s="295" t="str">
        <f>IF(H21="","",VLOOKUP($B21,'F-1 Off-Site WaterC'' Baseline'!$C$9:$R$257,8,FALSE))</f>
        <v/>
      </c>
      <c r="J21" s="295" t="str">
        <f>IF(I21="","",VLOOKUP($B21,'F-1 Off-Site WaterC'' Baseline'!$C$9:$R$257,9,FALSE))</f>
        <v/>
      </c>
      <c r="K21" s="295" t="str">
        <f>IF(J21="","",VLOOKUP($B21,'F-1 Off-Site WaterC'' Baseline'!$C$9:$R$257,10,FALSE))</f>
        <v/>
      </c>
      <c r="L21" s="283" t="str">
        <f>IF(B21="","",VLOOKUP($B21,'F-1 Off-Site WaterC'' Baseline'!$C$9:$R$257,15,FALSE))</f>
        <v/>
      </c>
      <c r="M21" s="299" t="str">
        <f>IF(L21="","",VLOOKUP($B21,'F-1 Off-Site WaterC'' Baseline'!$C$9:$V$257,19,FALSE))</f>
        <v/>
      </c>
      <c r="N21" s="244"/>
      <c r="O21" s="275" t="str">
        <f t="shared" si="2"/>
        <v/>
      </c>
      <c r="P21" s="276" t="str">
        <f t="shared" si="3"/>
        <v/>
      </c>
      <c r="Q21" s="281" t="str">
        <f>IF(N21="","",VLOOKUP(B21,'F-1 Off-Site WaterC'' Baseline'!$C$10:$AF$257,23,FALSE))</f>
        <v/>
      </c>
      <c r="R21" s="275" t="str">
        <f>IF(N21="","",VLOOKUP(N21,'G-7 WaterC'' Data'!$B$2:$G$8,2,FALSE))</f>
        <v/>
      </c>
      <c r="S21" s="276" t="str">
        <f>IFERROR(VLOOKUP(R21,'G-7 WaterC'' Data'!$C$4:$D$8,2,FALSE),"")</f>
        <v/>
      </c>
      <c r="T21" s="101"/>
      <c r="U21" s="276" t="str">
        <f>IFERROR(INDEX('G-7 WaterC'' Data'!$H$4:$L$8,MATCH(N21,'G-7 WaterC'' Data'!$B$4:$B$8,0),MATCH(T21,'G-7 WaterC'' Data'!$H$3:$L$3,0)),"")</f>
        <v/>
      </c>
      <c r="V21" s="105"/>
      <c r="W21" s="295" t="str">
        <f>IF(V21="","",IF(VLOOKUP(V21,'G-7 WaterC'' Data'!$AK$4:$AM$6,2,FALSE)=0,"Spatial Data Missing ⚠",VLOOKUP(V21,'G-7 WaterC'' Data'!$AK$4:$AM$6,2,FALSE)))</f>
        <v/>
      </c>
      <c r="X21" s="299" t="str">
        <f>IF(V21="","",IF(VLOOKUP(V21,'G-7 WaterC'' Data'!$AK$4:$AM$6,3,FALSE)=0,"Spatial Data Missing ⚠",VLOOKUP(V21,'G-7 WaterC'' Data'!$AK$4:$AM$6,3,FALSE)))</f>
        <v/>
      </c>
      <c r="Y21" s="311" t="str">
        <f>IFERROR(IF(OR(LEFT(P21,5)="Error",LEFT(O21,5)="Error"),"Check Data ⚠",IF(F21&lt;S21,'G-7 WaterC'' Data'!$R$3,INDEX('G-7 WaterC'' Data'!$U$5:$Y$9,MATCH(G21,'G-7 WaterC'' Data'!$T$5:$T$9,0),MATCH(T21,'G-7 WaterC'' Data'!$U$4:$Y$4,0)))),"")</f>
        <v/>
      </c>
      <c r="Z21" s="138"/>
      <c r="AA21" s="138"/>
      <c r="AB21" s="308" t="str">
        <f t="shared" si="4"/>
        <v/>
      </c>
      <c r="AC21" s="296" t="str">
        <f t="shared" si="5"/>
        <v/>
      </c>
      <c r="AD21" s="334" t="str">
        <f>IFERROR(IF(AC21="Check Data ⚠","Check Data ⚠",VLOOKUP(AC21,'G-4 Temporal multipliers'!$A$4:$C$37,3,FALSE)),"")</f>
        <v/>
      </c>
      <c r="AE21" s="311" t="str">
        <f>IF(N21="","",VLOOKUP(N21,'G-7 WaterC'' Data'!$B$4:$G$8,5,FALSE))</f>
        <v/>
      </c>
      <c r="AF21" s="295" t="str">
        <f t="shared" si="0"/>
        <v/>
      </c>
      <c r="AG21" s="295" t="str">
        <f t="shared" si="6"/>
        <v/>
      </c>
      <c r="AH21" s="276" t="str">
        <f t="shared" si="1"/>
        <v/>
      </c>
      <c r="AI21" s="105"/>
      <c r="AJ21" s="276" t="str">
        <f>IF(AI21="","",(IF(AND(AI21="N/A - Culvert",N21&lt;&gt;"Culvert"),"Not possible ▲",IF(VLOOKUP(AI21,'G-7 WaterC'' Data'!$AA$4:$AB$7,2,FALSE)=0,"Spatial Data Missing ⚠",VLOOKUP(AI21,'G-7 WaterC'' Data'!$AA$4:$AB$7,2,FALSE)))))</f>
        <v/>
      </c>
      <c r="AK21" s="106"/>
      <c r="AL21" s="310" t="str">
        <f>IF(AK21="","",IF(AND(AK21="N/A - Culvert",N21&lt;&gt;"Culvert"),"Not possible ▲",IF(VLOOKUP(AK21,'G-7 WaterC'' Data'!$AD$4:$AE$14,2,FALSE)=0,"Spatial Data Missing ⚠",VLOOKUP(AK21,'G-7 WaterC'' Data'!$AD$4:$AE$14,2,FALSE))))</f>
        <v/>
      </c>
      <c r="AM21" s="275" t="str">
        <f>IF(B21="","",VLOOKUP($B21,'F-1 Off-Site WaterC'' Baseline'!$C$9:$Z$257,17,FALSE))</f>
        <v/>
      </c>
      <c r="AN21" s="276" t="str">
        <f>IF(AM21="","",IF(VLOOKUP(AM21,'G-7 WaterC'' Data'!$AO$4:$BO$7,2,FALSE)=0,"Spatial Data Missing ⚠",VLOOKUP(AM21,'G-7 WaterC'' Data'!$AO$4:$BO$7,2,FALSE)))</f>
        <v/>
      </c>
      <c r="AO21" s="317" t="str">
        <f t="shared" si="7"/>
        <v/>
      </c>
      <c r="AP21" s="317" t="str">
        <f t="shared" si="8"/>
        <v/>
      </c>
      <c r="AQ21" s="101"/>
      <c r="AR21" s="115"/>
      <c r="AS21" s="104"/>
      <c r="AT21" s="104"/>
      <c r="AW21" s="30" t="str">
        <f>IF(E21="","",VLOOKUP($B21,'F-1 Off-Site WaterC'' Baseline'!$C$9:$Z$257,12,FALSE))</f>
        <v/>
      </c>
      <c r="AX21" s="30" t="str">
        <f>IF(E21="","",VLOOKUP($B21,'F-1 Off-Site WaterC'' Baseline'!$C$9:$Z$257,14,FALSE))</f>
        <v/>
      </c>
      <c r="AY21" s="30" t="str">
        <f>IFERROR(INDEX('G-7 WaterC'' Data'!$AZ$3:$AZ$7,MATCH(N21,'G-7 WaterC'' Data'!$AY$3:$AY$7,0)),"")</f>
        <v/>
      </c>
      <c r="AZ21" s="30" t="str">
        <f>IF(B21="","",IF(ISNA(VLOOKUP($B21,'F-1 Off-Site WaterC'' Baseline'!$C$8:$AD$257,20,FALSE)),"",(VLOOKUP($B21,'F-1 Off-Site WaterC'' Baseline'!$C$8:$AD$257,20,FALSE))))</f>
        <v/>
      </c>
      <c r="BC21" s="30" t="str">
        <f>IF(B21="","",VLOOKUP($B21,'F-1 Off-Site WaterC'' Baseline'!$C$9:$AB$257,25,FALSE))</f>
        <v/>
      </c>
      <c r="BD21" s="30" t="str">
        <f t="shared" si="9"/>
        <v/>
      </c>
      <c r="BE21" s="30" t="str">
        <f>IF(B21="","",VLOOKUP($B21,'F-1 Off-Site WaterC'' Baseline'!$C$9:$AB$257,24,FALSE))</f>
        <v/>
      </c>
      <c r="BF21" s="30" t="str">
        <f>IF(B21="","",VLOOKUP($B21,'F-1 Off-Site WaterC'' Baseline'!$C$9:$AB$257,22,FALSE))</f>
        <v/>
      </c>
      <c r="BJ21" s="30" t="str">
        <f t="shared" si="10"/>
        <v>No</v>
      </c>
    </row>
    <row r="22" spans="2:62" ht="14">
      <c r="B22" s="305" t="str">
        <f>'F-1 Off-Site WaterC'' Baseline'!AS20</f>
        <v/>
      </c>
      <c r="C22" s="295" t="str">
        <f>IF(B22="","",VLOOKUP($B22,'F-1 Off-Site WaterC'' Baseline'!$C$9:$R$257,2,FALSE))</f>
        <v/>
      </c>
      <c r="D22" s="295" t="str">
        <f>IF(C22="","",VLOOKUP($B22,'F-1 Off-Site WaterC'' Baseline'!$C$9:$R$257,3,FALSE))</f>
        <v/>
      </c>
      <c r="E22" s="295" t="str">
        <f>IF(D22="","",VLOOKUP($B22,'F-1 Off-Site WaterC'' Baseline'!$C$9:$R$257,4,FALSE))</f>
        <v/>
      </c>
      <c r="F22" s="295" t="str">
        <f>IF(E22="","",VLOOKUP($B22,'F-1 Off-Site WaterC'' Baseline'!$C$9:$R$257,5,FALSE))</f>
        <v/>
      </c>
      <c r="G22" s="295" t="str">
        <f>IF(F22="","",VLOOKUP($B22,'F-1 Off-Site WaterC'' Baseline'!$C$9:$R$257,6,FALSE))</f>
        <v/>
      </c>
      <c r="H22" s="295" t="str">
        <f>IF(G22="","",VLOOKUP($B22,'F-1 Off-Site WaterC'' Baseline'!$C$9:$R$257,7,FALSE))</f>
        <v/>
      </c>
      <c r="I22" s="295" t="str">
        <f>IF(H22="","",VLOOKUP($B22,'F-1 Off-Site WaterC'' Baseline'!$C$9:$R$257,8,FALSE))</f>
        <v/>
      </c>
      <c r="J22" s="295" t="str">
        <f>IF(I22="","",VLOOKUP($B22,'F-1 Off-Site WaterC'' Baseline'!$C$9:$R$257,9,FALSE))</f>
        <v/>
      </c>
      <c r="K22" s="295" t="str">
        <f>IF(J22="","",VLOOKUP($B22,'F-1 Off-Site WaterC'' Baseline'!$C$9:$R$257,10,FALSE))</f>
        <v/>
      </c>
      <c r="L22" s="283" t="str">
        <f>IF(B22="","",VLOOKUP($B22,'F-1 Off-Site WaterC'' Baseline'!$C$9:$R$257,15,FALSE))</f>
        <v/>
      </c>
      <c r="M22" s="299" t="str">
        <f>IF(L22="","",VLOOKUP($B22,'F-1 Off-Site WaterC'' Baseline'!$C$9:$V$257,19,FALSE))</f>
        <v/>
      </c>
      <c r="N22" s="244"/>
      <c r="O22" s="275" t="str">
        <f t="shared" si="2"/>
        <v/>
      </c>
      <c r="P22" s="276" t="str">
        <f t="shared" si="3"/>
        <v/>
      </c>
      <c r="Q22" s="281" t="str">
        <f>IF(N22="","",VLOOKUP(B22,'F-1 Off-Site WaterC'' Baseline'!$C$10:$AF$257,23,FALSE))</f>
        <v/>
      </c>
      <c r="R22" s="275" t="str">
        <f>IF(N22="","",VLOOKUP(N22,'G-7 WaterC'' Data'!$B$2:$G$8,2,FALSE))</f>
        <v/>
      </c>
      <c r="S22" s="276" t="str">
        <f>IFERROR(VLOOKUP(R22,'G-7 WaterC'' Data'!$C$4:$D$8,2,FALSE),"")</f>
        <v/>
      </c>
      <c r="T22" s="101"/>
      <c r="U22" s="276" t="str">
        <f>IFERROR(INDEX('G-7 WaterC'' Data'!$H$4:$L$8,MATCH(N22,'G-7 WaterC'' Data'!$B$4:$B$8,0),MATCH(T22,'G-7 WaterC'' Data'!$H$3:$L$3,0)),"")</f>
        <v/>
      </c>
      <c r="V22" s="105"/>
      <c r="W22" s="295" t="str">
        <f>IF(V22="","",IF(VLOOKUP(V22,'G-7 WaterC'' Data'!$AK$4:$AM$6,2,FALSE)=0,"Spatial Data Missing ⚠",VLOOKUP(V22,'G-7 WaterC'' Data'!$AK$4:$AM$6,2,FALSE)))</f>
        <v/>
      </c>
      <c r="X22" s="299" t="str">
        <f>IF(V22="","",IF(VLOOKUP(V22,'G-7 WaterC'' Data'!$AK$4:$AM$6,3,FALSE)=0,"Spatial Data Missing ⚠",VLOOKUP(V22,'G-7 WaterC'' Data'!$AK$4:$AM$6,3,FALSE)))</f>
        <v/>
      </c>
      <c r="Y22" s="311" t="str">
        <f>IFERROR(IF(OR(LEFT(P22,5)="Error",LEFT(O22,5)="Error"),"Check Data ⚠",IF(F22&lt;S22,'G-7 WaterC'' Data'!$R$3,INDEX('G-7 WaterC'' Data'!$U$5:$Y$9,MATCH(G22,'G-7 WaterC'' Data'!$T$5:$T$9,0),MATCH(T22,'G-7 WaterC'' Data'!$U$4:$Y$4,0)))),"")</f>
        <v/>
      </c>
      <c r="Z22" s="138"/>
      <c r="AA22" s="138"/>
      <c r="AB22" s="308" t="str">
        <f t="shared" si="4"/>
        <v/>
      </c>
      <c r="AC22" s="296" t="str">
        <f t="shared" si="5"/>
        <v/>
      </c>
      <c r="AD22" s="334" t="str">
        <f>IFERROR(IF(AC22="Check Data ⚠","Check Data ⚠",VLOOKUP(AC22,'G-4 Temporal multipliers'!$A$4:$C$37,3,FALSE)),"")</f>
        <v/>
      </c>
      <c r="AE22" s="311" t="str">
        <f>IF(N22="","",VLOOKUP(N22,'G-7 WaterC'' Data'!$B$4:$G$8,5,FALSE))</f>
        <v/>
      </c>
      <c r="AF22" s="295" t="str">
        <f t="shared" si="0"/>
        <v/>
      </c>
      <c r="AG22" s="295" t="str">
        <f t="shared" si="6"/>
        <v/>
      </c>
      <c r="AH22" s="276" t="str">
        <f t="shared" si="1"/>
        <v/>
      </c>
      <c r="AI22" s="105"/>
      <c r="AJ22" s="276" t="str">
        <f>IF(AI22="","",(IF(AND(AI22="N/A - Culvert",N22&lt;&gt;"Culvert"),"Not possible ▲",IF(VLOOKUP(AI22,'G-7 WaterC'' Data'!$AA$4:$AB$7,2,FALSE)=0,"Spatial Data Missing ⚠",VLOOKUP(AI22,'G-7 WaterC'' Data'!$AA$4:$AB$7,2,FALSE)))))</f>
        <v/>
      </c>
      <c r="AK22" s="106"/>
      <c r="AL22" s="310" t="str">
        <f>IF(AK22="","",IF(AND(AK22="N/A - Culvert",N22&lt;&gt;"Culvert"),"Not possible ▲",IF(VLOOKUP(AK22,'G-7 WaterC'' Data'!$AD$4:$AE$14,2,FALSE)=0,"Spatial Data Missing ⚠",VLOOKUP(AK22,'G-7 WaterC'' Data'!$AD$4:$AE$14,2,FALSE))))</f>
        <v/>
      </c>
      <c r="AM22" s="275" t="str">
        <f>IF(B22="","",VLOOKUP($B22,'F-1 Off-Site WaterC'' Baseline'!$C$9:$Z$257,17,FALSE))</f>
        <v/>
      </c>
      <c r="AN22" s="276" t="str">
        <f>IF(AM22="","",IF(VLOOKUP(AM22,'G-7 WaterC'' Data'!$AO$4:$BO$7,2,FALSE)=0,"Spatial Data Missing ⚠",VLOOKUP(AM22,'G-7 WaterC'' Data'!$AO$4:$BO$7,2,FALSE)))</f>
        <v/>
      </c>
      <c r="AO22" s="317" t="str">
        <f t="shared" si="7"/>
        <v/>
      </c>
      <c r="AP22" s="317" t="str">
        <f t="shared" si="8"/>
        <v/>
      </c>
      <c r="AQ22" s="101"/>
      <c r="AR22" s="115"/>
      <c r="AS22" s="104"/>
      <c r="AT22" s="104"/>
      <c r="AW22" s="30" t="str">
        <f>IF(E22="","",VLOOKUP($B22,'F-1 Off-Site WaterC'' Baseline'!$C$9:$Z$257,12,FALSE))</f>
        <v/>
      </c>
      <c r="AX22" s="30" t="str">
        <f>IF(E22="","",VLOOKUP($B22,'F-1 Off-Site WaterC'' Baseline'!$C$9:$Z$257,14,FALSE))</f>
        <v/>
      </c>
      <c r="AY22" s="30" t="str">
        <f>IFERROR(INDEX('G-7 WaterC'' Data'!$AZ$3:$AZ$7,MATCH(N22,'G-7 WaterC'' Data'!$AY$3:$AY$7,0)),"")</f>
        <v/>
      </c>
      <c r="AZ22" s="30" t="str">
        <f>IF(B22="","",IF(ISNA(VLOOKUP($B22,'F-1 Off-Site WaterC'' Baseline'!$C$8:$AD$257,20,FALSE)),"",(VLOOKUP($B22,'F-1 Off-Site WaterC'' Baseline'!$C$8:$AD$257,20,FALSE))))</f>
        <v/>
      </c>
      <c r="BC22" s="30" t="str">
        <f>IF(B22="","",VLOOKUP($B22,'F-1 Off-Site WaterC'' Baseline'!$C$9:$AB$257,25,FALSE))</f>
        <v/>
      </c>
      <c r="BD22" s="30" t="str">
        <f t="shared" si="9"/>
        <v/>
      </c>
      <c r="BE22" s="30" t="str">
        <f>IF(B22="","",VLOOKUP($B22,'F-1 Off-Site WaterC'' Baseline'!$C$9:$AB$257,24,FALSE))</f>
        <v/>
      </c>
      <c r="BF22" s="30" t="str">
        <f>IF(B22="","",VLOOKUP($B22,'F-1 Off-Site WaterC'' Baseline'!$C$9:$AB$257,22,FALSE))</f>
        <v/>
      </c>
      <c r="BJ22" s="30" t="str">
        <f t="shared" si="10"/>
        <v>No</v>
      </c>
    </row>
    <row r="23" spans="2:62" ht="14">
      <c r="B23" s="305" t="str">
        <f>'F-1 Off-Site WaterC'' Baseline'!AS21</f>
        <v/>
      </c>
      <c r="C23" s="295" t="str">
        <f>IF(B23="","",VLOOKUP($B23,'F-1 Off-Site WaterC'' Baseline'!$C$9:$R$257,2,FALSE))</f>
        <v/>
      </c>
      <c r="D23" s="295" t="str">
        <f>IF(C23="","",VLOOKUP($B23,'F-1 Off-Site WaterC'' Baseline'!$C$9:$R$257,3,FALSE))</f>
        <v/>
      </c>
      <c r="E23" s="295" t="str">
        <f>IF(D23="","",VLOOKUP($B23,'F-1 Off-Site WaterC'' Baseline'!$C$9:$R$257,4,FALSE))</f>
        <v/>
      </c>
      <c r="F23" s="295" t="str">
        <f>IF(E23="","",VLOOKUP($B23,'F-1 Off-Site WaterC'' Baseline'!$C$9:$R$257,5,FALSE))</f>
        <v/>
      </c>
      <c r="G23" s="295" t="str">
        <f>IF(F23="","",VLOOKUP($B23,'F-1 Off-Site WaterC'' Baseline'!$C$9:$R$257,6,FALSE))</f>
        <v/>
      </c>
      <c r="H23" s="295" t="str">
        <f>IF(G23="","",VLOOKUP($B23,'F-1 Off-Site WaterC'' Baseline'!$C$9:$R$257,7,FALSE))</f>
        <v/>
      </c>
      <c r="I23" s="295" t="str">
        <f>IF(H23="","",VLOOKUP($B23,'F-1 Off-Site WaterC'' Baseline'!$C$9:$R$257,8,FALSE))</f>
        <v/>
      </c>
      <c r="J23" s="295" t="str">
        <f>IF(I23="","",VLOOKUP($B23,'F-1 Off-Site WaterC'' Baseline'!$C$9:$R$257,9,FALSE))</f>
        <v/>
      </c>
      <c r="K23" s="295" t="str">
        <f>IF(J23="","",VLOOKUP($B23,'F-1 Off-Site WaterC'' Baseline'!$C$9:$R$257,10,FALSE))</f>
        <v/>
      </c>
      <c r="L23" s="283" t="str">
        <f>IF(B23="","",VLOOKUP($B23,'F-1 Off-Site WaterC'' Baseline'!$C$9:$R$257,15,FALSE))</f>
        <v/>
      </c>
      <c r="M23" s="299" t="str">
        <f>IF(L23="","",VLOOKUP($B23,'F-1 Off-Site WaterC'' Baseline'!$C$9:$V$257,19,FALSE))</f>
        <v/>
      </c>
      <c r="N23" s="244"/>
      <c r="O23" s="275" t="str">
        <f t="shared" si="2"/>
        <v/>
      </c>
      <c r="P23" s="276" t="str">
        <f t="shared" si="3"/>
        <v/>
      </c>
      <c r="Q23" s="281" t="str">
        <f>IF(N23="","",VLOOKUP(B23,'F-1 Off-Site WaterC'' Baseline'!$C$10:$AF$257,23,FALSE))</f>
        <v/>
      </c>
      <c r="R23" s="275" t="str">
        <f>IF(N23="","",VLOOKUP(N23,'G-7 WaterC'' Data'!$B$2:$G$8,2,FALSE))</f>
        <v/>
      </c>
      <c r="S23" s="276" t="str">
        <f>IFERROR(VLOOKUP(R23,'G-7 WaterC'' Data'!$C$4:$D$8,2,FALSE),"")</f>
        <v/>
      </c>
      <c r="T23" s="101"/>
      <c r="U23" s="276" t="str">
        <f>IFERROR(INDEX('G-7 WaterC'' Data'!$H$4:$L$8,MATCH(N23,'G-7 WaterC'' Data'!$B$4:$B$8,0),MATCH(T23,'G-7 WaterC'' Data'!$H$3:$L$3,0)),"")</f>
        <v/>
      </c>
      <c r="V23" s="105"/>
      <c r="W23" s="295" t="str">
        <f>IF(V23="","",IF(VLOOKUP(V23,'G-7 WaterC'' Data'!$AK$4:$AM$6,2,FALSE)=0,"Spatial Data Missing ⚠",VLOOKUP(V23,'G-7 WaterC'' Data'!$AK$4:$AM$6,2,FALSE)))</f>
        <v/>
      </c>
      <c r="X23" s="299" t="str">
        <f>IF(V23="","",IF(VLOOKUP(V23,'G-7 WaterC'' Data'!$AK$4:$AM$6,3,FALSE)=0,"Spatial Data Missing ⚠",VLOOKUP(V23,'G-7 WaterC'' Data'!$AK$4:$AM$6,3,FALSE)))</f>
        <v/>
      </c>
      <c r="Y23" s="311" t="str">
        <f>IFERROR(IF(OR(LEFT(P23,5)="Error",LEFT(O23,5)="Error"),"Check Data ⚠",IF(F23&lt;S23,'G-7 WaterC'' Data'!$R$3,INDEX('G-7 WaterC'' Data'!$U$5:$Y$9,MATCH(G23,'G-7 WaterC'' Data'!$T$5:$T$9,0),MATCH(T23,'G-7 WaterC'' Data'!$U$4:$Y$4,0)))),"")</f>
        <v/>
      </c>
      <c r="Z23" s="138"/>
      <c r="AA23" s="138"/>
      <c r="AB23" s="308" t="str">
        <f t="shared" si="4"/>
        <v/>
      </c>
      <c r="AC23" s="296" t="str">
        <f t="shared" si="5"/>
        <v/>
      </c>
      <c r="AD23" s="334" t="str">
        <f>IFERROR(IF(AC23="Check Data ⚠","Check Data ⚠",VLOOKUP(AC23,'G-4 Temporal multipliers'!$A$4:$C$37,3,FALSE)),"")</f>
        <v/>
      </c>
      <c r="AE23" s="311" t="str">
        <f>IF(N23="","",VLOOKUP(N23,'G-7 WaterC'' Data'!$B$4:$G$8,5,FALSE))</f>
        <v/>
      </c>
      <c r="AF23" s="295" t="str">
        <f t="shared" si="0"/>
        <v/>
      </c>
      <c r="AG23" s="295" t="str">
        <f t="shared" si="6"/>
        <v/>
      </c>
      <c r="AH23" s="276" t="str">
        <f t="shared" si="1"/>
        <v/>
      </c>
      <c r="AI23" s="105"/>
      <c r="AJ23" s="276" t="str">
        <f>IF(AI23="","",(IF(AND(AI23="N/A - Culvert",N23&lt;&gt;"Culvert"),"Not possible ▲",IF(VLOOKUP(AI23,'G-7 WaterC'' Data'!$AA$4:$AB$7,2,FALSE)=0,"Spatial Data Missing ⚠",VLOOKUP(AI23,'G-7 WaterC'' Data'!$AA$4:$AB$7,2,FALSE)))))</f>
        <v/>
      </c>
      <c r="AK23" s="106"/>
      <c r="AL23" s="310" t="str">
        <f>IF(AK23="","",IF(AND(AK23="N/A - Culvert",N23&lt;&gt;"Culvert"),"Not possible ▲",IF(VLOOKUP(AK23,'G-7 WaterC'' Data'!$AD$4:$AE$14,2,FALSE)=0,"Spatial Data Missing ⚠",VLOOKUP(AK23,'G-7 WaterC'' Data'!$AD$4:$AE$14,2,FALSE))))</f>
        <v/>
      </c>
      <c r="AM23" s="275" t="str">
        <f>IF(B23="","",VLOOKUP($B23,'F-1 Off-Site WaterC'' Baseline'!$C$9:$Z$257,17,FALSE))</f>
        <v/>
      </c>
      <c r="AN23" s="276" t="str">
        <f>IF(AM23="","",IF(VLOOKUP(AM23,'G-7 WaterC'' Data'!$AO$4:$BO$7,2,FALSE)=0,"Spatial Data Missing ⚠",VLOOKUP(AM23,'G-7 WaterC'' Data'!$AO$4:$BO$7,2,FALSE)))</f>
        <v/>
      </c>
      <c r="AO23" s="317" t="str">
        <f t="shared" si="7"/>
        <v/>
      </c>
      <c r="AP23" s="317" t="str">
        <f t="shared" si="8"/>
        <v/>
      </c>
      <c r="AQ23" s="101"/>
      <c r="AR23" s="115"/>
      <c r="AS23" s="104"/>
      <c r="AT23" s="104"/>
      <c r="AW23" s="30" t="str">
        <f>IF(E23="","",VLOOKUP($B23,'F-1 Off-Site WaterC'' Baseline'!$C$9:$Z$257,12,FALSE))</f>
        <v/>
      </c>
      <c r="AX23" s="30" t="str">
        <f>IF(E23="","",VLOOKUP($B23,'F-1 Off-Site WaterC'' Baseline'!$C$9:$Z$257,14,FALSE))</f>
        <v/>
      </c>
      <c r="AY23" s="30" t="str">
        <f>IFERROR(INDEX('G-7 WaterC'' Data'!$AZ$3:$AZ$7,MATCH(N23,'G-7 WaterC'' Data'!$AY$3:$AY$7,0)),"")</f>
        <v/>
      </c>
      <c r="AZ23" s="30" t="str">
        <f>IF(B23="","",IF(ISNA(VLOOKUP($B23,'F-1 Off-Site WaterC'' Baseline'!$C$8:$AD$257,20,FALSE)),"",(VLOOKUP($B23,'F-1 Off-Site WaterC'' Baseline'!$C$8:$AD$257,20,FALSE))))</f>
        <v/>
      </c>
      <c r="BC23" s="30" t="str">
        <f>IF(B23="","",VLOOKUP($B23,'F-1 Off-Site WaterC'' Baseline'!$C$9:$AB$257,25,FALSE))</f>
        <v/>
      </c>
      <c r="BD23" s="30" t="str">
        <f t="shared" si="9"/>
        <v/>
      </c>
      <c r="BE23" s="30" t="str">
        <f>IF(B23="","",VLOOKUP($B23,'F-1 Off-Site WaterC'' Baseline'!$C$9:$AB$257,24,FALSE))</f>
        <v/>
      </c>
      <c r="BF23" s="30" t="str">
        <f>IF(B23="","",VLOOKUP($B23,'F-1 Off-Site WaterC'' Baseline'!$C$9:$AB$257,22,FALSE))</f>
        <v/>
      </c>
      <c r="BJ23" s="30" t="str">
        <f t="shared" si="10"/>
        <v>No</v>
      </c>
    </row>
    <row r="24" spans="2:62" ht="14">
      <c r="B24" s="305" t="str">
        <f>'F-1 Off-Site WaterC'' Baseline'!AS22</f>
        <v/>
      </c>
      <c r="C24" s="295" t="str">
        <f>IF(B24="","",VLOOKUP($B24,'F-1 Off-Site WaterC'' Baseline'!$C$9:$R$257,2,FALSE))</f>
        <v/>
      </c>
      <c r="D24" s="295" t="str">
        <f>IF(C24="","",VLOOKUP($B24,'F-1 Off-Site WaterC'' Baseline'!$C$9:$R$257,3,FALSE))</f>
        <v/>
      </c>
      <c r="E24" s="295" t="str">
        <f>IF(D24="","",VLOOKUP($B24,'F-1 Off-Site WaterC'' Baseline'!$C$9:$R$257,4,FALSE))</f>
        <v/>
      </c>
      <c r="F24" s="295" t="str">
        <f>IF(E24="","",VLOOKUP($B24,'F-1 Off-Site WaterC'' Baseline'!$C$9:$R$257,5,FALSE))</f>
        <v/>
      </c>
      <c r="G24" s="295" t="str">
        <f>IF(F24="","",VLOOKUP($B24,'F-1 Off-Site WaterC'' Baseline'!$C$9:$R$257,6,FALSE))</f>
        <v/>
      </c>
      <c r="H24" s="295" t="str">
        <f>IF(G24="","",VLOOKUP($B24,'F-1 Off-Site WaterC'' Baseline'!$C$9:$R$257,7,FALSE))</f>
        <v/>
      </c>
      <c r="I24" s="295" t="str">
        <f>IF(H24="","",VLOOKUP($B24,'F-1 Off-Site WaterC'' Baseline'!$C$9:$R$257,8,FALSE))</f>
        <v/>
      </c>
      <c r="J24" s="295" t="str">
        <f>IF(I24="","",VLOOKUP($B24,'F-1 Off-Site WaterC'' Baseline'!$C$9:$R$257,9,FALSE))</f>
        <v/>
      </c>
      <c r="K24" s="295" t="str">
        <f>IF(J24="","",VLOOKUP($B24,'F-1 Off-Site WaterC'' Baseline'!$C$9:$R$257,10,FALSE))</f>
        <v/>
      </c>
      <c r="L24" s="283" t="str">
        <f>IF(B24="","",VLOOKUP($B24,'F-1 Off-Site WaterC'' Baseline'!$C$9:$R$257,15,FALSE))</f>
        <v/>
      </c>
      <c r="M24" s="299" t="str">
        <f>IF(L24="","",VLOOKUP($B24,'F-1 Off-Site WaterC'' Baseline'!$C$9:$V$257,19,FALSE))</f>
        <v/>
      </c>
      <c r="N24" s="244"/>
      <c r="O24" s="275" t="str">
        <f t="shared" si="2"/>
        <v/>
      </c>
      <c r="P24" s="276" t="str">
        <f t="shared" si="3"/>
        <v/>
      </c>
      <c r="Q24" s="281" t="str">
        <f>IF(N24="","",VLOOKUP(B24,'F-1 Off-Site WaterC'' Baseline'!$C$10:$AF$257,23,FALSE))</f>
        <v/>
      </c>
      <c r="R24" s="275" t="str">
        <f>IF(N24="","",VLOOKUP(N24,'G-7 WaterC'' Data'!$B$2:$G$8,2,FALSE))</f>
        <v/>
      </c>
      <c r="S24" s="276" t="str">
        <f>IFERROR(VLOOKUP(R24,'G-7 WaterC'' Data'!$C$4:$D$8,2,FALSE),"")</f>
        <v/>
      </c>
      <c r="T24" s="101"/>
      <c r="U24" s="276" t="str">
        <f>IFERROR(INDEX('G-7 WaterC'' Data'!$H$4:$L$8,MATCH(N24,'G-7 WaterC'' Data'!$B$4:$B$8,0),MATCH(T24,'G-7 WaterC'' Data'!$H$3:$L$3,0)),"")</f>
        <v/>
      </c>
      <c r="V24" s="105"/>
      <c r="W24" s="295" t="str">
        <f>IF(V24="","",IF(VLOOKUP(V24,'G-7 WaterC'' Data'!$AK$4:$AM$6,2,FALSE)=0,"Spatial Data Missing ⚠",VLOOKUP(V24,'G-7 WaterC'' Data'!$AK$4:$AM$6,2,FALSE)))</f>
        <v/>
      </c>
      <c r="X24" s="299" t="str">
        <f>IF(V24="","",IF(VLOOKUP(V24,'G-7 WaterC'' Data'!$AK$4:$AM$6,3,FALSE)=0,"Spatial Data Missing ⚠",VLOOKUP(V24,'G-7 WaterC'' Data'!$AK$4:$AM$6,3,FALSE)))</f>
        <v/>
      </c>
      <c r="Y24" s="311" t="str">
        <f>IFERROR(IF(OR(LEFT(P24,5)="Error",LEFT(O24,5)="Error"),"Check Data ⚠",IF(F24&lt;S24,'G-7 WaterC'' Data'!$R$3,INDEX('G-7 WaterC'' Data'!$U$5:$Y$9,MATCH(G24,'G-7 WaterC'' Data'!$T$5:$T$9,0),MATCH(T24,'G-7 WaterC'' Data'!$U$4:$Y$4,0)))),"")</f>
        <v/>
      </c>
      <c r="Z24" s="138"/>
      <c r="AA24" s="138"/>
      <c r="AB24" s="308" t="str">
        <f t="shared" si="4"/>
        <v/>
      </c>
      <c r="AC24" s="296" t="str">
        <f t="shared" si="5"/>
        <v/>
      </c>
      <c r="AD24" s="334" t="str">
        <f>IFERROR(IF(AC24="Check Data ⚠","Check Data ⚠",VLOOKUP(AC24,'G-4 Temporal multipliers'!$A$4:$C$37,3,FALSE)),"")</f>
        <v/>
      </c>
      <c r="AE24" s="311" t="str">
        <f>IF(N24="","",VLOOKUP(N24,'G-7 WaterC'' Data'!$B$4:$G$8,5,FALSE))</f>
        <v/>
      </c>
      <c r="AF24" s="295" t="str">
        <f t="shared" si="0"/>
        <v/>
      </c>
      <c r="AG24" s="295" t="str">
        <f t="shared" si="6"/>
        <v/>
      </c>
      <c r="AH24" s="276" t="str">
        <f t="shared" si="1"/>
        <v/>
      </c>
      <c r="AI24" s="105"/>
      <c r="AJ24" s="276" t="str">
        <f>IF(AI24="","",(IF(AND(AI24="N/A - Culvert",N24&lt;&gt;"Culvert"),"Not possible ▲",IF(VLOOKUP(AI24,'G-7 WaterC'' Data'!$AA$4:$AB$7,2,FALSE)=0,"Spatial Data Missing ⚠",VLOOKUP(AI24,'G-7 WaterC'' Data'!$AA$4:$AB$7,2,FALSE)))))</f>
        <v/>
      </c>
      <c r="AK24" s="106"/>
      <c r="AL24" s="310" t="str">
        <f>IF(AK24="","",IF(AND(AK24="N/A - Culvert",N24&lt;&gt;"Culvert"),"Not possible ▲",IF(VLOOKUP(AK24,'G-7 WaterC'' Data'!$AD$4:$AE$14,2,FALSE)=0,"Spatial Data Missing ⚠",VLOOKUP(AK24,'G-7 WaterC'' Data'!$AD$4:$AE$14,2,FALSE))))</f>
        <v/>
      </c>
      <c r="AM24" s="275" t="str">
        <f>IF(B24="","",VLOOKUP($B24,'F-1 Off-Site WaterC'' Baseline'!$C$9:$Z$257,17,FALSE))</f>
        <v/>
      </c>
      <c r="AN24" s="276" t="str">
        <f>IF(AM24="","",IF(VLOOKUP(AM24,'G-7 WaterC'' Data'!$AO$4:$BO$7,2,FALSE)=0,"Spatial Data Missing ⚠",VLOOKUP(AM24,'G-7 WaterC'' Data'!$AO$4:$BO$7,2,FALSE)))</f>
        <v/>
      </c>
      <c r="AO24" s="317" t="str">
        <f t="shared" si="7"/>
        <v/>
      </c>
      <c r="AP24" s="317" t="str">
        <f t="shared" si="8"/>
        <v/>
      </c>
      <c r="AQ24" s="101"/>
      <c r="AR24" s="115"/>
      <c r="AS24" s="104"/>
      <c r="AT24" s="104"/>
      <c r="AW24" s="30" t="str">
        <f>IF(E24="","",VLOOKUP($B24,'F-1 Off-Site WaterC'' Baseline'!$C$9:$Z$257,12,FALSE))</f>
        <v/>
      </c>
      <c r="AX24" s="30" t="str">
        <f>IF(E24="","",VLOOKUP($B24,'F-1 Off-Site WaterC'' Baseline'!$C$9:$Z$257,14,FALSE))</f>
        <v/>
      </c>
      <c r="AY24" s="30" t="str">
        <f>IFERROR(INDEX('G-7 WaterC'' Data'!$AZ$3:$AZ$7,MATCH(N24,'G-7 WaterC'' Data'!$AY$3:$AY$7,0)),"")</f>
        <v/>
      </c>
      <c r="AZ24" s="30" t="str">
        <f>IF(B24="","",IF(ISNA(VLOOKUP($B24,'F-1 Off-Site WaterC'' Baseline'!$C$8:$AD$257,20,FALSE)),"",(VLOOKUP($B24,'F-1 Off-Site WaterC'' Baseline'!$C$8:$AD$257,20,FALSE))))</f>
        <v/>
      </c>
      <c r="BC24" s="30" t="str">
        <f>IF(B24="","",VLOOKUP($B24,'F-1 Off-Site WaterC'' Baseline'!$C$9:$AB$257,25,FALSE))</f>
        <v/>
      </c>
      <c r="BD24" s="30" t="str">
        <f t="shared" si="9"/>
        <v/>
      </c>
      <c r="BE24" s="30" t="str">
        <f>IF(B24="","",VLOOKUP($B24,'F-1 Off-Site WaterC'' Baseline'!$C$9:$AB$257,24,FALSE))</f>
        <v/>
      </c>
      <c r="BF24" s="30" t="str">
        <f>IF(B24="","",VLOOKUP($B24,'F-1 Off-Site WaterC'' Baseline'!$C$9:$AB$257,22,FALSE))</f>
        <v/>
      </c>
      <c r="BJ24" s="30" t="str">
        <f t="shared" si="10"/>
        <v>No</v>
      </c>
    </row>
    <row r="25" spans="2:62" ht="14">
      <c r="B25" s="305" t="str">
        <f>'F-1 Off-Site WaterC'' Baseline'!AS23</f>
        <v/>
      </c>
      <c r="C25" s="295" t="str">
        <f>IF(B25="","",VLOOKUP($B25,'F-1 Off-Site WaterC'' Baseline'!$C$9:$R$257,2,FALSE))</f>
        <v/>
      </c>
      <c r="D25" s="295" t="str">
        <f>IF(C25="","",VLOOKUP($B25,'F-1 Off-Site WaterC'' Baseline'!$C$9:$R$257,3,FALSE))</f>
        <v/>
      </c>
      <c r="E25" s="295" t="str">
        <f>IF(D25="","",VLOOKUP($B25,'F-1 Off-Site WaterC'' Baseline'!$C$9:$R$257,4,FALSE))</f>
        <v/>
      </c>
      <c r="F25" s="295" t="str">
        <f>IF(E25="","",VLOOKUP($B25,'F-1 Off-Site WaterC'' Baseline'!$C$9:$R$257,5,FALSE))</f>
        <v/>
      </c>
      <c r="G25" s="295" t="str">
        <f>IF(F25="","",VLOOKUP($B25,'F-1 Off-Site WaterC'' Baseline'!$C$9:$R$257,6,FALSE))</f>
        <v/>
      </c>
      <c r="H25" s="295" t="str">
        <f>IF(G25="","",VLOOKUP($B25,'F-1 Off-Site WaterC'' Baseline'!$C$9:$R$257,7,FALSE))</f>
        <v/>
      </c>
      <c r="I25" s="295" t="str">
        <f>IF(H25="","",VLOOKUP($B25,'F-1 Off-Site WaterC'' Baseline'!$C$9:$R$257,8,FALSE))</f>
        <v/>
      </c>
      <c r="J25" s="295" t="str">
        <f>IF(I25="","",VLOOKUP($B25,'F-1 Off-Site WaterC'' Baseline'!$C$9:$R$257,9,FALSE))</f>
        <v/>
      </c>
      <c r="K25" s="295" t="str">
        <f>IF(J25="","",VLOOKUP($B25,'F-1 Off-Site WaterC'' Baseline'!$C$9:$R$257,10,FALSE))</f>
        <v/>
      </c>
      <c r="L25" s="283" t="str">
        <f>IF(B25="","",VLOOKUP($B25,'F-1 Off-Site WaterC'' Baseline'!$C$9:$R$257,15,FALSE))</f>
        <v/>
      </c>
      <c r="M25" s="299" t="str">
        <f>IF(L25="","",VLOOKUP($B25,'F-1 Off-Site WaterC'' Baseline'!$C$9:$V$257,19,FALSE))</f>
        <v/>
      </c>
      <c r="N25" s="244"/>
      <c r="O25" s="275" t="str">
        <f t="shared" si="2"/>
        <v/>
      </c>
      <c r="P25" s="276" t="str">
        <f t="shared" si="3"/>
        <v/>
      </c>
      <c r="Q25" s="281" t="str">
        <f>IF(N25="","",VLOOKUP(B25,'F-1 Off-Site WaterC'' Baseline'!$C$10:$AF$257,23,FALSE))</f>
        <v/>
      </c>
      <c r="R25" s="275" t="str">
        <f>IF(N25="","",VLOOKUP(N25,'G-7 WaterC'' Data'!$B$2:$G$8,2,FALSE))</f>
        <v/>
      </c>
      <c r="S25" s="276" t="str">
        <f>IFERROR(VLOOKUP(R25,'G-7 WaterC'' Data'!$C$4:$D$8,2,FALSE),"")</f>
        <v/>
      </c>
      <c r="T25" s="101"/>
      <c r="U25" s="276" t="str">
        <f>IFERROR(INDEX('G-7 WaterC'' Data'!$H$4:$L$8,MATCH(N25,'G-7 WaterC'' Data'!$B$4:$B$8,0),MATCH(T25,'G-7 WaterC'' Data'!$H$3:$L$3,0)),"")</f>
        <v/>
      </c>
      <c r="V25" s="105"/>
      <c r="W25" s="295" t="str">
        <f>IF(V25="","",IF(VLOOKUP(V25,'G-7 WaterC'' Data'!$AK$4:$AM$6,2,FALSE)=0,"Spatial Data Missing ⚠",VLOOKUP(V25,'G-7 WaterC'' Data'!$AK$4:$AM$6,2,FALSE)))</f>
        <v/>
      </c>
      <c r="X25" s="299" t="str">
        <f>IF(V25="","",IF(VLOOKUP(V25,'G-7 WaterC'' Data'!$AK$4:$AM$6,3,FALSE)=0,"Spatial Data Missing ⚠",VLOOKUP(V25,'G-7 WaterC'' Data'!$AK$4:$AM$6,3,FALSE)))</f>
        <v/>
      </c>
      <c r="Y25" s="311" t="str">
        <f>IFERROR(IF(OR(LEFT(P25,5)="Error",LEFT(O25,5)="Error"),"Check Data ⚠",IF(F25&lt;S25,'G-7 WaterC'' Data'!$R$3,INDEX('G-7 WaterC'' Data'!$U$5:$Y$9,MATCH(G25,'G-7 WaterC'' Data'!$T$5:$T$9,0),MATCH(T25,'G-7 WaterC'' Data'!$U$4:$Y$4,0)))),"")</f>
        <v/>
      </c>
      <c r="Z25" s="138"/>
      <c r="AA25" s="138"/>
      <c r="AB25" s="308" t="str">
        <f t="shared" si="4"/>
        <v/>
      </c>
      <c r="AC25" s="296" t="str">
        <f t="shared" si="5"/>
        <v/>
      </c>
      <c r="AD25" s="334" t="str">
        <f>IFERROR(IF(AC25="Check Data ⚠","Check Data ⚠",VLOOKUP(AC25,'G-4 Temporal multipliers'!$A$4:$C$37,3,FALSE)),"")</f>
        <v/>
      </c>
      <c r="AE25" s="311" t="str">
        <f>IF(N25="","",VLOOKUP(N25,'G-7 WaterC'' Data'!$B$4:$G$8,5,FALSE))</f>
        <v/>
      </c>
      <c r="AF25" s="295" t="str">
        <f t="shared" si="0"/>
        <v/>
      </c>
      <c r="AG25" s="295" t="str">
        <f t="shared" si="6"/>
        <v/>
      </c>
      <c r="AH25" s="276" t="str">
        <f t="shared" si="1"/>
        <v/>
      </c>
      <c r="AI25" s="105"/>
      <c r="AJ25" s="276" t="str">
        <f>IF(AI25="","",(IF(AND(AI25="N/A - Culvert",N25&lt;&gt;"Culvert"),"Not possible ▲",IF(VLOOKUP(AI25,'G-7 WaterC'' Data'!$AA$4:$AB$7,2,FALSE)=0,"Spatial Data Missing ⚠",VLOOKUP(AI25,'G-7 WaterC'' Data'!$AA$4:$AB$7,2,FALSE)))))</f>
        <v/>
      </c>
      <c r="AK25" s="106"/>
      <c r="AL25" s="310" t="str">
        <f>IF(AK25="","",IF(AND(AK25="N/A - Culvert",N25&lt;&gt;"Culvert"),"Not possible ▲",IF(VLOOKUP(AK25,'G-7 WaterC'' Data'!$AD$4:$AE$14,2,FALSE)=0,"Spatial Data Missing ⚠",VLOOKUP(AK25,'G-7 WaterC'' Data'!$AD$4:$AE$14,2,FALSE))))</f>
        <v/>
      </c>
      <c r="AM25" s="275" t="str">
        <f>IF(B25="","",VLOOKUP($B25,'F-1 Off-Site WaterC'' Baseline'!$C$9:$Z$257,17,FALSE))</f>
        <v/>
      </c>
      <c r="AN25" s="276" t="str">
        <f>IF(AM25="","",IF(VLOOKUP(AM25,'G-7 WaterC'' Data'!$AO$4:$BO$7,2,FALSE)=0,"Spatial Data Missing ⚠",VLOOKUP(AM25,'G-7 WaterC'' Data'!$AO$4:$BO$7,2,FALSE)))</f>
        <v/>
      </c>
      <c r="AO25" s="317" t="str">
        <f t="shared" si="7"/>
        <v/>
      </c>
      <c r="AP25" s="317" t="str">
        <f t="shared" si="8"/>
        <v/>
      </c>
      <c r="AQ25" s="101"/>
      <c r="AR25" s="115"/>
      <c r="AS25" s="104"/>
      <c r="AT25" s="104"/>
      <c r="AW25" s="30" t="str">
        <f>IF(E25="","",VLOOKUP($B25,'F-1 Off-Site WaterC'' Baseline'!$C$9:$Z$257,12,FALSE))</f>
        <v/>
      </c>
      <c r="AX25" s="30" t="str">
        <f>IF(E25="","",VLOOKUP($B25,'F-1 Off-Site WaterC'' Baseline'!$C$9:$Z$257,14,FALSE))</f>
        <v/>
      </c>
      <c r="AY25" s="30" t="str">
        <f>IFERROR(INDEX('G-7 WaterC'' Data'!$AZ$3:$AZ$7,MATCH(N25,'G-7 WaterC'' Data'!$AY$3:$AY$7,0)),"")</f>
        <v/>
      </c>
      <c r="AZ25" s="30" t="str">
        <f>IF(B25="","",IF(ISNA(VLOOKUP($B25,'F-1 Off-Site WaterC'' Baseline'!$C$8:$AD$257,20,FALSE)),"",(VLOOKUP($B25,'F-1 Off-Site WaterC'' Baseline'!$C$8:$AD$257,20,FALSE))))</f>
        <v/>
      </c>
      <c r="BC25" s="30" t="str">
        <f>IF(B25="","",VLOOKUP($B25,'F-1 Off-Site WaterC'' Baseline'!$C$9:$AB$257,25,FALSE))</f>
        <v/>
      </c>
      <c r="BD25" s="30" t="str">
        <f t="shared" si="9"/>
        <v/>
      </c>
      <c r="BE25" s="30" t="str">
        <f>IF(B25="","",VLOOKUP($B25,'F-1 Off-Site WaterC'' Baseline'!$C$9:$AB$257,24,FALSE))</f>
        <v/>
      </c>
      <c r="BF25" s="30" t="str">
        <f>IF(B25="","",VLOOKUP($B25,'F-1 Off-Site WaterC'' Baseline'!$C$9:$AB$257,22,FALSE))</f>
        <v/>
      </c>
      <c r="BJ25" s="30" t="str">
        <f t="shared" si="10"/>
        <v>No</v>
      </c>
    </row>
    <row r="26" spans="2:62" ht="14">
      <c r="B26" s="305" t="str">
        <f>'F-1 Off-Site WaterC'' Baseline'!AS24</f>
        <v/>
      </c>
      <c r="C26" s="295" t="str">
        <f>IF(B26="","",VLOOKUP($B26,'F-1 Off-Site WaterC'' Baseline'!$C$9:$R$257,2,FALSE))</f>
        <v/>
      </c>
      <c r="D26" s="295" t="str">
        <f>IF(C26="","",VLOOKUP($B26,'F-1 Off-Site WaterC'' Baseline'!$C$9:$R$257,3,FALSE))</f>
        <v/>
      </c>
      <c r="E26" s="295" t="str">
        <f>IF(D26="","",VLOOKUP($B26,'F-1 Off-Site WaterC'' Baseline'!$C$9:$R$257,4,FALSE))</f>
        <v/>
      </c>
      <c r="F26" s="295" t="str">
        <f>IF(E26="","",VLOOKUP($B26,'F-1 Off-Site WaterC'' Baseline'!$C$9:$R$257,5,FALSE))</f>
        <v/>
      </c>
      <c r="G26" s="295" t="str">
        <f>IF(F26="","",VLOOKUP($B26,'F-1 Off-Site WaterC'' Baseline'!$C$9:$R$257,6,FALSE))</f>
        <v/>
      </c>
      <c r="H26" s="295" t="str">
        <f>IF(G26="","",VLOOKUP($B26,'F-1 Off-Site WaterC'' Baseline'!$C$9:$R$257,7,FALSE))</f>
        <v/>
      </c>
      <c r="I26" s="295" t="str">
        <f>IF(H26="","",VLOOKUP($B26,'F-1 Off-Site WaterC'' Baseline'!$C$9:$R$257,8,FALSE))</f>
        <v/>
      </c>
      <c r="J26" s="295" t="str">
        <f>IF(I26="","",VLOOKUP($B26,'F-1 Off-Site WaterC'' Baseline'!$C$9:$R$257,9,FALSE))</f>
        <v/>
      </c>
      <c r="K26" s="295" t="str">
        <f>IF(J26="","",VLOOKUP($B26,'F-1 Off-Site WaterC'' Baseline'!$C$9:$R$257,10,FALSE))</f>
        <v/>
      </c>
      <c r="L26" s="283" t="str">
        <f>IF(B26="","",VLOOKUP($B26,'F-1 Off-Site WaterC'' Baseline'!$C$9:$R$257,15,FALSE))</f>
        <v/>
      </c>
      <c r="M26" s="299" t="str">
        <f>IF(L26="","",VLOOKUP($B26,'F-1 Off-Site WaterC'' Baseline'!$C$9:$V$257,19,FALSE))</f>
        <v/>
      </c>
      <c r="N26" s="244"/>
      <c r="O26" s="275" t="str">
        <f t="shared" si="2"/>
        <v/>
      </c>
      <c r="P26" s="276" t="str">
        <f t="shared" si="3"/>
        <v/>
      </c>
      <c r="Q26" s="281" t="str">
        <f>IF(N26="","",VLOOKUP(B26,'F-1 Off-Site WaterC'' Baseline'!$C$10:$AF$257,23,FALSE))</f>
        <v/>
      </c>
      <c r="R26" s="275" t="str">
        <f>IF(N26="","",VLOOKUP(N26,'G-7 WaterC'' Data'!$B$2:$G$8,2,FALSE))</f>
        <v/>
      </c>
      <c r="S26" s="276" t="str">
        <f>IFERROR(VLOOKUP(R26,'G-7 WaterC'' Data'!$C$4:$D$8,2,FALSE),"")</f>
        <v/>
      </c>
      <c r="T26" s="101"/>
      <c r="U26" s="276" t="str">
        <f>IFERROR(INDEX('G-7 WaterC'' Data'!$H$4:$L$8,MATCH(N26,'G-7 WaterC'' Data'!$B$4:$B$8,0),MATCH(T26,'G-7 WaterC'' Data'!$H$3:$L$3,0)),"")</f>
        <v/>
      </c>
      <c r="V26" s="105"/>
      <c r="W26" s="295" t="str">
        <f>IF(V26="","",IF(VLOOKUP(V26,'G-7 WaterC'' Data'!$AK$4:$AM$6,2,FALSE)=0,"Spatial Data Missing ⚠",VLOOKUP(V26,'G-7 WaterC'' Data'!$AK$4:$AM$6,2,FALSE)))</f>
        <v/>
      </c>
      <c r="X26" s="299" t="str">
        <f>IF(V26="","",IF(VLOOKUP(V26,'G-7 WaterC'' Data'!$AK$4:$AM$6,3,FALSE)=0,"Spatial Data Missing ⚠",VLOOKUP(V26,'G-7 WaterC'' Data'!$AK$4:$AM$6,3,FALSE)))</f>
        <v/>
      </c>
      <c r="Y26" s="311" t="str">
        <f>IFERROR(IF(OR(LEFT(P26,5)="Error",LEFT(O26,5)="Error"),"Check Data ⚠",IF(F26&lt;S26,'G-7 WaterC'' Data'!$R$3,INDEX('G-7 WaterC'' Data'!$U$5:$Y$9,MATCH(G26,'G-7 WaterC'' Data'!$T$5:$T$9,0),MATCH(T26,'G-7 WaterC'' Data'!$U$4:$Y$4,0)))),"")</f>
        <v/>
      </c>
      <c r="Z26" s="138"/>
      <c r="AA26" s="138"/>
      <c r="AB26" s="308" t="str">
        <f t="shared" si="4"/>
        <v/>
      </c>
      <c r="AC26" s="296" t="str">
        <f t="shared" si="5"/>
        <v/>
      </c>
      <c r="AD26" s="334" t="str">
        <f>IFERROR(IF(AC26="Check Data ⚠","Check Data ⚠",VLOOKUP(AC26,'G-4 Temporal multipliers'!$A$4:$C$37,3,FALSE)),"")</f>
        <v/>
      </c>
      <c r="AE26" s="311" t="str">
        <f>IF(N26="","",VLOOKUP(N26,'G-7 WaterC'' Data'!$B$4:$G$8,5,FALSE))</f>
        <v/>
      </c>
      <c r="AF26" s="295" t="str">
        <f t="shared" si="0"/>
        <v/>
      </c>
      <c r="AG26" s="295" t="str">
        <f t="shared" si="6"/>
        <v/>
      </c>
      <c r="AH26" s="276" t="str">
        <f t="shared" si="1"/>
        <v/>
      </c>
      <c r="AI26" s="105"/>
      <c r="AJ26" s="276" t="str">
        <f>IF(AI26="","",(IF(AND(AI26="N/A - Culvert",N26&lt;&gt;"Culvert"),"Not possible ▲",IF(VLOOKUP(AI26,'G-7 WaterC'' Data'!$AA$4:$AB$7,2,FALSE)=0,"Spatial Data Missing ⚠",VLOOKUP(AI26,'G-7 WaterC'' Data'!$AA$4:$AB$7,2,FALSE)))))</f>
        <v/>
      </c>
      <c r="AK26" s="106"/>
      <c r="AL26" s="310" t="str">
        <f>IF(AK26="","",IF(AND(AK26="N/A - Culvert",N26&lt;&gt;"Culvert"),"Not possible ▲",IF(VLOOKUP(AK26,'G-7 WaterC'' Data'!$AD$4:$AE$14,2,FALSE)=0,"Spatial Data Missing ⚠",VLOOKUP(AK26,'G-7 WaterC'' Data'!$AD$4:$AE$14,2,FALSE))))</f>
        <v/>
      </c>
      <c r="AM26" s="275" t="str">
        <f>IF(B26="","",VLOOKUP($B26,'F-1 Off-Site WaterC'' Baseline'!$C$9:$Z$257,17,FALSE))</f>
        <v/>
      </c>
      <c r="AN26" s="276" t="str">
        <f>IF(AM26="","",IF(VLOOKUP(AM26,'G-7 WaterC'' Data'!$AO$4:$BO$7,2,FALSE)=0,"Spatial Data Missing ⚠",VLOOKUP(AM26,'G-7 WaterC'' Data'!$AO$4:$BO$7,2,FALSE)))</f>
        <v/>
      </c>
      <c r="AO26" s="317" t="str">
        <f t="shared" si="7"/>
        <v/>
      </c>
      <c r="AP26" s="317" t="str">
        <f t="shared" si="8"/>
        <v/>
      </c>
      <c r="AQ26" s="101"/>
      <c r="AR26" s="115"/>
      <c r="AS26" s="104"/>
      <c r="AT26" s="104"/>
      <c r="AW26" s="30" t="str">
        <f>IF(E26="","",VLOOKUP($B26,'F-1 Off-Site WaterC'' Baseline'!$C$9:$Z$257,12,FALSE))</f>
        <v/>
      </c>
      <c r="AX26" s="30" t="str">
        <f>IF(E26="","",VLOOKUP($B26,'F-1 Off-Site WaterC'' Baseline'!$C$9:$Z$257,14,FALSE))</f>
        <v/>
      </c>
      <c r="AY26" s="30" t="str">
        <f>IFERROR(INDEX('G-7 WaterC'' Data'!$AZ$3:$AZ$7,MATCH(N26,'G-7 WaterC'' Data'!$AY$3:$AY$7,0)),"")</f>
        <v/>
      </c>
      <c r="AZ26" s="30" t="str">
        <f>IF(B26="","",IF(ISNA(VLOOKUP($B26,'F-1 Off-Site WaterC'' Baseline'!$C$8:$AD$257,20,FALSE)),"",(VLOOKUP($B26,'F-1 Off-Site WaterC'' Baseline'!$C$8:$AD$257,20,FALSE))))</f>
        <v/>
      </c>
      <c r="BC26" s="30" t="str">
        <f>IF(B26="","",VLOOKUP($B26,'F-1 Off-Site WaterC'' Baseline'!$C$9:$AB$257,25,FALSE))</f>
        <v/>
      </c>
      <c r="BD26" s="30" t="str">
        <f t="shared" si="9"/>
        <v/>
      </c>
      <c r="BE26" s="30" t="str">
        <f>IF(B26="","",VLOOKUP($B26,'F-1 Off-Site WaterC'' Baseline'!$C$9:$AB$257,24,FALSE))</f>
        <v/>
      </c>
      <c r="BF26" s="30" t="str">
        <f>IF(B26="","",VLOOKUP($B26,'F-1 Off-Site WaterC'' Baseline'!$C$9:$AB$257,22,FALSE))</f>
        <v/>
      </c>
      <c r="BJ26" s="30" t="str">
        <f t="shared" si="10"/>
        <v>No</v>
      </c>
    </row>
    <row r="27" spans="2:62" ht="14">
      <c r="B27" s="305" t="str">
        <f>'F-1 Off-Site WaterC'' Baseline'!AS25</f>
        <v/>
      </c>
      <c r="C27" s="295" t="str">
        <f>IF(B27="","",VLOOKUP($B27,'F-1 Off-Site WaterC'' Baseline'!$C$9:$R$257,2,FALSE))</f>
        <v/>
      </c>
      <c r="D27" s="295" t="str">
        <f>IF(C27="","",VLOOKUP($B27,'F-1 Off-Site WaterC'' Baseline'!$C$9:$R$257,3,FALSE))</f>
        <v/>
      </c>
      <c r="E27" s="295" t="str">
        <f>IF(D27="","",VLOOKUP($B27,'F-1 Off-Site WaterC'' Baseline'!$C$9:$R$257,4,FALSE))</f>
        <v/>
      </c>
      <c r="F27" s="295" t="str">
        <f>IF(E27="","",VLOOKUP($B27,'F-1 Off-Site WaterC'' Baseline'!$C$9:$R$257,5,FALSE))</f>
        <v/>
      </c>
      <c r="G27" s="295" t="str">
        <f>IF(F27="","",VLOOKUP($B27,'F-1 Off-Site WaterC'' Baseline'!$C$9:$R$257,6,FALSE))</f>
        <v/>
      </c>
      <c r="H27" s="295" t="str">
        <f>IF(G27="","",VLOOKUP($B27,'F-1 Off-Site WaterC'' Baseline'!$C$9:$R$257,7,FALSE))</f>
        <v/>
      </c>
      <c r="I27" s="295" t="str">
        <f>IF(H27="","",VLOOKUP($B27,'F-1 Off-Site WaterC'' Baseline'!$C$9:$R$257,8,FALSE))</f>
        <v/>
      </c>
      <c r="J27" s="295" t="str">
        <f>IF(I27="","",VLOOKUP($B27,'F-1 Off-Site WaterC'' Baseline'!$C$9:$R$257,9,FALSE))</f>
        <v/>
      </c>
      <c r="K27" s="295" t="str">
        <f>IF(J27="","",VLOOKUP($B27,'F-1 Off-Site WaterC'' Baseline'!$C$9:$R$257,10,FALSE))</f>
        <v/>
      </c>
      <c r="L27" s="283" t="str">
        <f>IF(B27="","",VLOOKUP($B27,'F-1 Off-Site WaterC'' Baseline'!$C$9:$R$257,15,FALSE))</f>
        <v/>
      </c>
      <c r="M27" s="299" t="str">
        <f>IF(L27="","",VLOOKUP($B27,'F-1 Off-Site WaterC'' Baseline'!$C$9:$V$257,19,FALSE))</f>
        <v/>
      </c>
      <c r="N27" s="244"/>
      <c r="O27" s="275" t="str">
        <f t="shared" si="2"/>
        <v/>
      </c>
      <c r="P27" s="276" t="str">
        <f t="shared" si="3"/>
        <v/>
      </c>
      <c r="Q27" s="281" t="str">
        <f>IF(N27="","",VLOOKUP(B27,'F-1 Off-Site WaterC'' Baseline'!$C$10:$AF$257,23,FALSE))</f>
        <v/>
      </c>
      <c r="R27" s="275" t="str">
        <f>IF(N27="","",VLOOKUP(N27,'G-7 WaterC'' Data'!$B$2:$G$8,2,FALSE))</f>
        <v/>
      </c>
      <c r="S27" s="276" t="str">
        <f>IFERROR(VLOOKUP(R27,'G-7 WaterC'' Data'!$C$4:$D$8,2,FALSE),"")</f>
        <v/>
      </c>
      <c r="T27" s="101"/>
      <c r="U27" s="276" t="str">
        <f>IFERROR(INDEX('G-7 WaterC'' Data'!$H$4:$L$8,MATCH(N27,'G-7 WaterC'' Data'!$B$4:$B$8,0),MATCH(T27,'G-7 WaterC'' Data'!$H$3:$L$3,0)),"")</f>
        <v/>
      </c>
      <c r="V27" s="105"/>
      <c r="W27" s="295" t="str">
        <f>IF(V27="","",IF(VLOOKUP(V27,'G-7 WaterC'' Data'!$AK$4:$AM$6,2,FALSE)=0,"Spatial Data Missing ⚠",VLOOKUP(V27,'G-7 WaterC'' Data'!$AK$4:$AM$6,2,FALSE)))</f>
        <v/>
      </c>
      <c r="X27" s="299" t="str">
        <f>IF(V27="","",IF(VLOOKUP(V27,'G-7 WaterC'' Data'!$AK$4:$AM$6,3,FALSE)=0,"Spatial Data Missing ⚠",VLOOKUP(V27,'G-7 WaterC'' Data'!$AK$4:$AM$6,3,FALSE)))</f>
        <v/>
      </c>
      <c r="Y27" s="311" t="str">
        <f>IFERROR(IF(OR(LEFT(P27,5)="Error",LEFT(O27,5)="Error"),"Check Data ⚠",IF(F27&lt;S27,'G-7 WaterC'' Data'!$R$3,INDEX('G-7 WaterC'' Data'!$U$5:$Y$9,MATCH(G27,'G-7 WaterC'' Data'!$T$5:$T$9,0),MATCH(T27,'G-7 WaterC'' Data'!$U$4:$Y$4,0)))),"")</f>
        <v/>
      </c>
      <c r="Z27" s="138"/>
      <c r="AA27" s="138"/>
      <c r="AB27" s="308" t="str">
        <f t="shared" si="4"/>
        <v/>
      </c>
      <c r="AC27" s="296" t="str">
        <f t="shared" si="5"/>
        <v/>
      </c>
      <c r="AD27" s="334" t="str">
        <f>IFERROR(IF(AC27="Check Data ⚠","Check Data ⚠",VLOOKUP(AC27,'G-4 Temporal multipliers'!$A$4:$C$37,3,FALSE)),"")</f>
        <v/>
      </c>
      <c r="AE27" s="311" t="str">
        <f>IF(N27="","",VLOOKUP(N27,'G-7 WaterC'' Data'!$B$4:$G$8,5,FALSE))</f>
        <v/>
      </c>
      <c r="AF27" s="295" t="str">
        <f t="shared" si="0"/>
        <v/>
      </c>
      <c r="AG27" s="295" t="str">
        <f t="shared" si="6"/>
        <v/>
      </c>
      <c r="AH27" s="276" t="str">
        <f t="shared" si="1"/>
        <v/>
      </c>
      <c r="AI27" s="105"/>
      <c r="AJ27" s="276" t="str">
        <f>IF(AI27="","",(IF(AND(AI27="N/A - Culvert",N27&lt;&gt;"Culvert"),"Not possible ▲",IF(VLOOKUP(AI27,'G-7 WaterC'' Data'!$AA$4:$AB$7,2,FALSE)=0,"Spatial Data Missing ⚠",VLOOKUP(AI27,'G-7 WaterC'' Data'!$AA$4:$AB$7,2,FALSE)))))</f>
        <v/>
      </c>
      <c r="AK27" s="106"/>
      <c r="AL27" s="310" t="str">
        <f>IF(AK27="","",IF(AND(AK27="N/A - Culvert",N27&lt;&gt;"Culvert"),"Not possible ▲",IF(VLOOKUP(AK27,'G-7 WaterC'' Data'!$AD$4:$AE$14,2,FALSE)=0,"Spatial Data Missing ⚠",VLOOKUP(AK27,'G-7 WaterC'' Data'!$AD$4:$AE$14,2,FALSE))))</f>
        <v/>
      </c>
      <c r="AM27" s="275" t="str">
        <f>IF(B27="","",VLOOKUP($B27,'F-1 Off-Site WaterC'' Baseline'!$C$9:$Z$257,17,FALSE))</f>
        <v/>
      </c>
      <c r="AN27" s="276" t="str">
        <f>IF(AM27="","",IF(VLOOKUP(AM27,'G-7 WaterC'' Data'!$AO$4:$BO$7,2,FALSE)=0,"Spatial Data Missing ⚠",VLOOKUP(AM27,'G-7 WaterC'' Data'!$AO$4:$BO$7,2,FALSE)))</f>
        <v/>
      </c>
      <c r="AO27" s="317" t="str">
        <f t="shared" si="7"/>
        <v/>
      </c>
      <c r="AP27" s="317" t="str">
        <f t="shared" si="8"/>
        <v/>
      </c>
      <c r="AQ27" s="101"/>
      <c r="AR27" s="115"/>
      <c r="AS27" s="104"/>
      <c r="AT27" s="104"/>
      <c r="AW27" s="30" t="str">
        <f>IF(E27="","",VLOOKUP($B27,'F-1 Off-Site WaterC'' Baseline'!$C$9:$Z$257,12,FALSE))</f>
        <v/>
      </c>
      <c r="AX27" s="30" t="str">
        <f>IF(E27="","",VLOOKUP($B27,'F-1 Off-Site WaterC'' Baseline'!$C$9:$Z$257,14,FALSE))</f>
        <v/>
      </c>
      <c r="AY27" s="30" t="str">
        <f>IFERROR(INDEX('G-7 WaterC'' Data'!$AZ$3:$AZ$7,MATCH(N27,'G-7 WaterC'' Data'!$AY$3:$AY$7,0)),"")</f>
        <v/>
      </c>
      <c r="AZ27" s="30" t="str">
        <f>IF(B27="","",IF(ISNA(VLOOKUP($B27,'F-1 Off-Site WaterC'' Baseline'!$C$8:$AD$257,20,FALSE)),"",(VLOOKUP($B27,'F-1 Off-Site WaterC'' Baseline'!$C$8:$AD$257,20,FALSE))))</f>
        <v/>
      </c>
      <c r="BC27" s="30" t="str">
        <f>IF(B27="","",VLOOKUP($B27,'F-1 Off-Site WaterC'' Baseline'!$C$9:$AB$257,25,FALSE))</f>
        <v/>
      </c>
      <c r="BD27" s="30" t="str">
        <f t="shared" si="9"/>
        <v/>
      </c>
      <c r="BE27" s="30" t="str">
        <f>IF(B27="","",VLOOKUP($B27,'F-1 Off-Site WaterC'' Baseline'!$C$9:$AB$257,24,FALSE))</f>
        <v/>
      </c>
      <c r="BF27" s="30" t="str">
        <f>IF(B27="","",VLOOKUP($B27,'F-1 Off-Site WaterC'' Baseline'!$C$9:$AB$257,22,FALSE))</f>
        <v/>
      </c>
      <c r="BJ27" s="30" t="str">
        <f t="shared" si="10"/>
        <v>No</v>
      </c>
    </row>
    <row r="28" spans="2:62" ht="14">
      <c r="B28" s="305" t="str">
        <f>'F-1 Off-Site WaterC'' Baseline'!AS26</f>
        <v/>
      </c>
      <c r="C28" s="295" t="str">
        <f>IF(B28="","",VLOOKUP($B28,'F-1 Off-Site WaterC'' Baseline'!$C$9:$R$257,2,FALSE))</f>
        <v/>
      </c>
      <c r="D28" s="295" t="str">
        <f>IF(C28="","",VLOOKUP($B28,'F-1 Off-Site WaterC'' Baseline'!$C$9:$R$257,3,FALSE))</f>
        <v/>
      </c>
      <c r="E28" s="295" t="str">
        <f>IF(D28="","",VLOOKUP($B28,'F-1 Off-Site WaterC'' Baseline'!$C$9:$R$257,4,FALSE))</f>
        <v/>
      </c>
      <c r="F28" s="295" t="str">
        <f>IF(E28="","",VLOOKUP($B28,'F-1 Off-Site WaterC'' Baseline'!$C$9:$R$257,5,FALSE))</f>
        <v/>
      </c>
      <c r="G28" s="295" t="str">
        <f>IF(F28="","",VLOOKUP($B28,'F-1 Off-Site WaterC'' Baseline'!$C$9:$R$257,6,FALSE))</f>
        <v/>
      </c>
      <c r="H28" s="295" t="str">
        <f>IF(G28="","",VLOOKUP($B28,'F-1 Off-Site WaterC'' Baseline'!$C$9:$R$257,7,FALSE))</f>
        <v/>
      </c>
      <c r="I28" s="295" t="str">
        <f>IF(H28="","",VLOOKUP($B28,'F-1 Off-Site WaterC'' Baseline'!$C$9:$R$257,8,FALSE))</f>
        <v/>
      </c>
      <c r="J28" s="295" t="str">
        <f>IF(I28="","",VLOOKUP($B28,'F-1 Off-Site WaterC'' Baseline'!$C$9:$R$257,9,FALSE))</f>
        <v/>
      </c>
      <c r="K28" s="295" t="str">
        <f>IF(J28="","",VLOOKUP($B28,'F-1 Off-Site WaterC'' Baseline'!$C$9:$R$257,10,FALSE))</f>
        <v/>
      </c>
      <c r="L28" s="283" t="str">
        <f>IF(B28="","",VLOOKUP($B28,'F-1 Off-Site WaterC'' Baseline'!$C$9:$R$257,15,FALSE))</f>
        <v/>
      </c>
      <c r="M28" s="299" t="str">
        <f>IF(L28="","",VLOOKUP($B28,'F-1 Off-Site WaterC'' Baseline'!$C$9:$V$257,19,FALSE))</f>
        <v/>
      </c>
      <c r="N28" s="244"/>
      <c r="O28" s="275" t="str">
        <f t="shared" si="2"/>
        <v/>
      </c>
      <c r="P28" s="276" t="str">
        <f t="shared" si="3"/>
        <v/>
      </c>
      <c r="Q28" s="281" t="str">
        <f>IF(N28="","",VLOOKUP(B28,'F-1 Off-Site WaterC'' Baseline'!$C$10:$AF$257,23,FALSE))</f>
        <v/>
      </c>
      <c r="R28" s="275" t="str">
        <f>IF(N28="","",VLOOKUP(N28,'G-7 WaterC'' Data'!$B$2:$G$8,2,FALSE))</f>
        <v/>
      </c>
      <c r="S28" s="276" t="str">
        <f>IFERROR(VLOOKUP(R28,'G-7 WaterC'' Data'!$C$4:$D$8,2,FALSE),"")</f>
        <v/>
      </c>
      <c r="T28" s="101"/>
      <c r="U28" s="276" t="str">
        <f>IFERROR(INDEX('G-7 WaterC'' Data'!$H$4:$L$8,MATCH(N28,'G-7 WaterC'' Data'!$B$4:$B$8,0),MATCH(T28,'G-7 WaterC'' Data'!$H$3:$L$3,0)),"")</f>
        <v/>
      </c>
      <c r="V28" s="105"/>
      <c r="W28" s="295" t="str">
        <f>IF(V28="","",IF(VLOOKUP(V28,'G-7 WaterC'' Data'!$AK$4:$AM$6,2,FALSE)=0,"Spatial Data Missing ⚠",VLOOKUP(V28,'G-7 WaterC'' Data'!$AK$4:$AM$6,2,FALSE)))</f>
        <v/>
      </c>
      <c r="X28" s="299" t="str">
        <f>IF(V28="","",IF(VLOOKUP(V28,'G-7 WaterC'' Data'!$AK$4:$AM$6,3,FALSE)=0,"Spatial Data Missing ⚠",VLOOKUP(V28,'G-7 WaterC'' Data'!$AK$4:$AM$6,3,FALSE)))</f>
        <v/>
      </c>
      <c r="Y28" s="311" t="str">
        <f>IFERROR(IF(OR(LEFT(P28,5)="Error",LEFT(O28,5)="Error"),"Check Data ⚠",IF(F28&lt;S28,'G-7 WaterC'' Data'!$R$3,INDEX('G-7 WaterC'' Data'!$U$5:$Y$9,MATCH(G28,'G-7 WaterC'' Data'!$T$5:$T$9,0),MATCH(T28,'G-7 WaterC'' Data'!$U$4:$Y$4,0)))),"")</f>
        <v/>
      </c>
      <c r="Z28" s="138"/>
      <c r="AA28" s="138"/>
      <c r="AB28" s="308" t="str">
        <f t="shared" si="4"/>
        <v/>
      </c>
      <c r="AC28" s="296" t="str">
        <f t="shared" si="5"/>
        <v/>
      </c>
      <c r="AD28" s="334" t="str">
        <f>IFERROR(IF(AC28="Check Data ⚠","Check Data ⚠",VLOOKUP(AC28,'G-4 Temporal multipliers'!$A$4:$C$37,3,FALSE)),"")</f>
        <v/>
      </c>
      <c r="AE28" s="311" t="str">
        <f>IF(N28="","",VLOOKUP(N28,'G-7 WaterC'' Data'!$B$4:$G$8,5,FALSE))</f>
        <v/>
      </c>
      <c r="AF28" s="295" t="str">
        <f t="shared" si="0"/>
        <v/>
      </c>
      <c r="AG28" s="295" t="str">
        <f t="shared" si="6"/>
        <v/>
      </c>
      <c r="AH28" s="276" t="str">
        <f t="shared" si="1"/>
        <v/>
      </c>
      <c r="AI28" s="105"/>
      <c r="AJ28" s="276" t="str">
        <f>IF(AI28="","",(IF(AND(AI28="N/A - Culvert",N28&lt;&gt;"Culvert"),"Not possible ▲",IF(VLOOKUP(AI28,'G-7 WaterC'' Data'!$AA$4:$AB$7,2,FALSE)=0,"Spatial Data Missing ⚠",VLOOKUP(AI28,'G-7 WaterC'' Data'!$AA$4:$AB$7,2,FALSE)))))</f>
        <v/>
      </c>
      <c r="AK28" s="106"/>
      <c r="AL28" s="310" t="str">
        <f>IF(AK28="","",IF(AND(AK28="N/A - Culvert",N28&lt;&gt;"Culvert"),"Not possible ▲",IF(VLOOKUP(AK28,'G-7 WaterC'' Data'!$AD$4:$AE$14,2,FALSE)=0,"Spatial Data Missing ⚠",VLOOKUP(AK28,'G-7 WaterC'' Data'!$AD$4:$AE$14,2,FALSE))))</f>
        <v/>
      </c>
      <c r="AM28" s="275" t="str">
        <f>IF(B28="","",VLOOKUP($B28,'F-1 Off-Site WaterC'' Baseline'!$C$9:$Z$257,17,FALSE))</f>
        <v/>
      </c>
      <c r="AN28" s="276" t="str">
        <f>IF(AM28="","",IF(VLOOKUP(AM28,'G-7 WaterC'' Data'!$AO$4:$BO$7,2,FALSE)=0,"Spatial Data Missing ⚠",VLOOKUP(AM28,'G-7 WaterC'' Data'!$AO$4:$BO$7,2,FALSE)))</f>
        <v/>
      </c>
      <c r="AO28" s="317" t="str">
        <f t="shared" si="7"/>
        <v/>
      </c>
      <c r="AP28" s="317" t="str">
        <f t="shared" si="8"/>
        <v/>
      </c>
      <c r="AQ28" s="101"/>
      <c r="AR28" s="115"/>
      <c r="AS28" s="104"/>
      <c r="AT28" s="104"/>
      <c r="AW28" s="30" t="str">
        <f>IF(E28="","",VLOOKUP($B28,'F-1 Off-Site WaterC'' Baseline'!$C$9:$Z$257,12,FALSE))</f>
        <v/>
      </c>
      <c r="AX28" s="30" t="str">
        <f>IF(E28="","",VLOOKUP($B28,'F-1 Off-Site WaterC'' Baseline'!$C$9:$Z$257,14,FALSE))</f>
        <v/>
      </c>
      <c r="AY28" s="30" t="str">
        <f>IFERROR(INDEX('G-7 WaterC'' Data'!$AZ$3:$AZ$7,MATCH(N28,'G-7 WaterC'' Data'!$AY$3:$AY$7,0)),"")</f>
        <v/>
      </c>
      <c r="AZ28" s="30" t="str">
        <f>IF(B28="","",IF(ISNA(VLOOKUP($B28,'F-1 Off-Site WaterC'' Baseline'!$C$8:$AD$257,20,FALSE)),"",(VLOOKUP($B28,'F-1 Off-Site WaterC'' Baseline'!$C$8:$AD$257,20,FALSE))))</f>
        <v/>
      </c>
      <c r="BC28" s="30" t="str">
        <f>IF(B28="","",VLOOKUP($B28,'F-1 Off-Site WaterC'' Baseline'!$C$9:$AB$257,25,FALSE))</f>
        <v/>
      </c>
      <c r="BD28" s="30" t="str">
        <f t="shared" si="9"/>
        <v/>
      </c>
      <c r="BE28" s="30" t="str">
        <f>IF(B28="","",VLOOKUP($B28,'F-1 Off-Site WaterC'' Baseline'!$C$9:$AB$257,24,FALSE))</f>
        <v/>
      </c>
      <c r="BF28" s="30" t="str">
        <f>IF(B28="","",VLOOKUP($B28,'F-1 Off-Site WaterC'' Baseline'!$C$9:$AB$257,22,FALSE))</f>
        <v/>
      </c>
      <c r="BJ28" s="30" t="str">
        <f t="shared" si="10"/>
        <v>No</v>
      </c>
    </row>
    <row r="29" spans="2:62" ht="14">
      <c r="B29" s="305" t="str">
        <f>'F-1 Off-Site WaterC'' Baseline'!AS27</f>
        <v/>
      </c>
      <c r="C29" s="295" t="str">
        <f>IF(B29="","",VLOOKUP($B29,'F-1 Off-Site WaterC'' Baseline'!$C$9:$R$257,2,FALSE))</f>
        <v/>
      </c>
      <c r="D29" s="295" t="str">
        <f>IF(C29="","",VLOOKUP($B29,'F-1 Off-Site WaterC'' Baseline'!$C$9:$R$257,3,FALSE))</f>
        <v/>
      </c>
      <c r="E29" s="295" t="str">
        <f>IF(D29="","",VLOOKUP($B29,'F-1 Off-Site WaterC'' Baseline'!$C$9:$R$257,4,FALSE))</f>
        <v/>
      </c>
      <c r="F29" s="295" t="str">
        <f>IF(E29="","",VLOOKUP($B29,'F-1 Off-Site WaterC'' Baseline'!$C$9:$R$257,5,FALSE))</f>
        <v/>
      </c>
      <c r="G29" s="295" t="str">
        <f>IF(F29="","",VLOOKUP($B29,'F-1 Off-Site WaterC'' Baseline'!$C$9:$R$257,6,FALSE))</f>
        <v/>
      </c>
      <c r="H29" s="295" t="str">
        <f>IF(G29="","",VLOOKUP($B29,'F-1 Off-Site WaterC'' Baseline'!$C$9:$R$257,7,FALSE))</f>
        <v/>
      </c>
      <c r="I29" s="295" t="str">
        <f>IF(H29="","",VLOOKUP($B29,'F-1 Off-Site WaterC'' Baseline'!$C$9:$R$257,8,FALSE))</f>
        <v/>
      </c>
      <c r="J29" s="295" t="str">
        <f>IF(I29="","",VLOOKUP($B29,'F-1 Off-Site WaterC'' Baseline'!$C$9:$R$257,9,FALSE))</f>
        <v/>
      </c>
      <c r="K29" s="295" t="str">
        <f>IF(J29="","",VLOOKUP($B29,'F-1 Off-Site WaterC'' Baseline'!$C$9:$R$257,10,FALSE))</f>
        <v/>
      </c>
      <c r="L29" s="283" t="str">
        <f>IF(B29="","",VLOOKUP($B29,'F-1 Off-Site WaterC'' Baseline'!$C$9:$R$257,15,FALSE))</f>
        <v/>
      </c>
      <c r="M29" s="299" t="str">
        <f>IF(L29="","",VLOOKUP($B29,'F-1 Off-Site WaterC'' Baseline'!$C$9:$V$257,19,FALSE))</f>
        <v/>
      </c>
      <c r="N29" s="244"/>
      <c r="O29" s="275" t="str">
        <f t="shared" si="2"/>
        <v/>
      </c>
      <c r="P29" s="276" t="str">
        <f t="shared" si="3"/>
        <v/>
      </c>
      <c r="Q29" s="281" t="str">
        <f>IF(N29="","",VLOOKUP(B29,'F-1 Off-Site WaterC'' Baseline'!$C$10:$AF$257,23,FALSE))</f>
        <v/>
      </c>
      <c r="R29" s="275" t="str">
        <f>IF(N29="","",VLOOKUP(N29,'G-7 WaterC'' Data'!$B$2:$G$8,2,FALSE))</f>
        <v/>
      </c>
      <c r="S29" s="276" t="str">
        <f>IFERROR(VLOOKUP(R29,'G-7 WaterC'' Data'!$C$4:$D$8,2,FALSE),"")</f>
        <v/>
      </c>
      <c r="T29" s="101"/>
      <c r="U29" s="276" t="str">
        <f>IFERROR(INDEX('G-7 WaterC'' Data'!$H$4:$L$8,MATCH(N29,'G-7 WaterC'' Data'!$B$4:$B$8,0),MATCH(T29,'G-7 WaterC'' Data'!$H$3:$L$3,0)),"")</f>
        <v/>
      </c>
      <c r="V29" s="105"/>
      <c r="W29" s="295" t="str">
        <f>IF(V29="","",IF(VLOOKUP(V29,'G-7 WaterC'' Data'!$AK$4:$AM$6,2,FALSE)=0,"Spatial Data Missing ⚠",VLOOKUP(V29,'G-7 WaterC'' Data'!$AK$4:$AM$6,2,FALSE)))</f>
        <v/>
      </c>
      <c r="X29" s="299" t="str">
        <f>IF(V29="","",IF(VLOOKUP(V29,'G-7 WaterC'' Data'!$AK$4:$AM$6,3,FALSE)=0,"Spatial Data Missing ⚠",VLOOKUP(V29,'G-7 WaterC'' Data'!$AK$4:$AM$6,3,FALSE)))</f>
        <v/>
      </c>
      <c r="Y29" s="311" t="str">
        <f>IFERROR(IF(OR(LEFT(P29,5)="Error",LEFT(O29,5)="Error"),"Check Data ⚠",IF(F29&lt;S29,'G-7 WaterC'' Data'!$R$3,INDEX('G-7 WaterC'' Data'!$U$5:$Y$9,MATCH(G29,'G-7 WaterC'' Data'!$T$5:$T$9,0),MATCH(T29,'G-7 WaterC'' Data'!$U$4:$Y$4,0)))),"")</f>
        <v/>
      </c>
      <c r="Z29" s="138"/>
      <c r="AA29" s="138"/>
      <c r="AB29" s="308" t="str">
        <f t="shared" si="4"/>
        <v/>
      </c>
      <c r="AC29" s="296" t="str">
        <f t="shared" si="5"/>
        <v/>
      </c>
      <c r="AD29" s="334" t="str">
        <f>IFERROR(IF(AC29="Check Data ⚠","Check Data ⚠",VLOOKUP(AC29,'G-4 Temporal multipliers'!$A$4:$C$37,3,FALSE)),"")</f>
        <v/>
      </c>
      <c r="AE29" s="311" t="str">
        <f>IF(N29="","",VLOOKUP(N29,'G-7 WaterC'' Data'!$B$4:$G$8,5,FALSE))</f>
        <v/>
      </c>
      <c r="AF29" s="295" t="str">
        <f t="shared" si="0"/>
        <v/>
      </c>
      <c r="AG29" s="295" t="str">
        <f t="shared" si="6"/>
        <v/>
      </c>
      <c r="AH29" s="276" t="str">
        <f t="shared" si="1"/>
        <v/>
      </c>
      <c r="AI29" s="105"/>
      <c r="AJ29" s="276" t="str">
        <f>IF(AI29="","",(IF(AND(AI29="N/A - Culvert",N29&lt;&gt;"Culvert"),"Not possible ▲",IF(VLOOKUP(AI29,'G-7 WaterC'' Data'!$AA$4:$AB$7,2,FALSE)=0,"Spatial Data Missing ⚠",VLOOKUP(AI29,'G-7 WaterC'' Data'!$AA$4:$AB$7,2,FALSE)))))</f>
        <v/>
      </c>
      <c r="AK29" s="106"/>
      <c r="AL29" s="310" t="str">
        <f>IF(AK29="","",IF(AND(AK29="N/A - Culvert",N29&lt;&gt;"Culvert"),"Not possible ▲",IF(VLOOKUP(AK29,'G-7 WaterC'' Data'!$AD$4:$AE$14,2,FALSE)=0,"Spatial Data Missing ⚠",VLOOKUP(AK29,'G-7 WaterC'' Data'!$AD$4:$AE$14,2,FALSE))))</f>
        <v/>
      </c>
      <c r="AM29" s="275" t="str">
        <f>IF(B29="","",VLOOKUP($B29,'F-1 Off-Site WaterC'' Baseline'!$C$9:$Z$257,17,FALSE))</f>
        <v/>
      </c>
      <c r="AN29" s="276" t="str">
        <f>IF(AM29="","",IF(VLOOKUP(AM29,'G-7 WaterC'' Data'!$AO$4:$BO$7,2,FALSE)=0,"Spatial Data Missing ⚠",VLOOKUP(AM29,'G-7 WaterC'' Data'!$AO$4:$BO$7,2,FALSE)))</f>
        <v/>
      </c>
      <c r="AO29" s="317" t="str">
        <f t="shared" si="7"/>
        <v/>
      </c>
      <c r="AP29" s="317" t="str">
        <f t="shared" si="8"/>
        <v/>
      </c>
      <c r="AQ29" s="101"/>
      <c r="AR29" s="115"/>
      <c r="AS29" s="104"/>
      <c r="AT29" s="104"/>
      <c r="AW29" s="30" t="str">
        <f>IF(E29="","",VLOOKUP($B29,'F-1 Off-Site WaterC'' Baseline'!$C$9:$Z$257,12,FALSE))</f>
        <v/>
      </c>
      <c r="AX29" s="30" t="str">
        <f>IF(E29="","",VLOOKUP($B29,'F-1 Off-Site WaterC'' Baseline'!$C$9:$Z$257,14,FALSE))</f>
        <v/>
      </c>
      <c r="AY29" s="30" t="str">
        <f>IFERROR(INDEX('G-7 WaterC'' Data'!$AZ$3:$AZ$7,MATCH(N29,'G-7 WaterC'' Data'!$AY$3:$AY$7,0)),"")</f>
        <v/>
      </c>
      <c r="AZ29" s="30" t="str">
        <f>IF(B29="","",IF(ISNA(VLOOKUP($B29,'F-1 Off-Site WaterC'' Baseline'!$C$8:$AD$257,20,FALSE)),"",(VLOOKUP($B29,'F-1 Off-Site WaterC'' Baseline'!$C$8:$AD$257,20,FALSE))))</f>
        <v/>
      </c>
      <c r="BC29" s="30" t="str">
        <f>IF(B29="","",VLOOKUP($B29,'F-1 Off-Site WaterC'' Baseline'!$C$9:$AB$257,25,FALSE))</f>
        <v/>
      </c>
      <c r="BD29" s="30" t="str">
        <f t="shared" si="9"/>
        <v/>
      </c>
      <c r="BE29" s="30" t="str">
        <f>IF(B29="","",VLOOKUP($B29,'F-1 Off-Site WaterC'' Baseline'!$C$9:$AB$257,24,FALSE))</f>
        <v/>
      </c>
      <c r="BF29" s="30" t="str">
        <f>IF(B29="","",VLOOKUP($B29,'F-1 Off-Site WaterC'' Baseline'!$C$9:$AB$257,22,FALSE))</f>
        <v/>
      </c>
      <c r="BJ29" s="30" t="str">
        <f t="shared" si="10"/>
        <v>No</v>
      </c>
    </row>
    <row r="30" spans="2:62" ht="14">
      <c r="B30" s="305" t="str">
        <f>'F-1 Off-Site WaterC'' Baseline'!AS28</f>
        <v/>
      </c>
      <c r="C30" s="295" t="str">
        <f>IF(B30="","",VLOOKUP($B30,'F-1 Off-Site WaterC'' Baseline'!$C$9:$R$257,2,FALSE))</f>
        <v/>
      </c>
      <c r="D30" s="295" t="str">
        <f>IF(C30="","",VLOOKUP($B30,'F-1 Off-Site WaterC'' Baseline'!$C$9:$R$257,3,FALSE))</f>
        <v/>
      </c>
      <c r="E30" s="295" t="str">
        <f>IF(D30="","",VLOOKUP($B30,'F-1 Off-Site WaterC'' Baseline'!$C$9:$R$257,4,FALSE))</f>
        <v/>
      </c>
      <c r="F30" s="295" t="str">
        <f>IF(E30="","",VLOOKUP($B30,'F-1 Off-Site WaterC'' Baseline'!$C$9:$R$257,5,FALSE))</f>
        <v/>
      </c>
      <c r="G30" s="295" t="str">
        <f>IF(F30="","",VLOOKUP($B30,'F-1 Off-Site WaterC'' Baseline'!$C$9:$R$257,6,FALSE))</f>
        <v/>
      </c>
      <c r="H30" s="295" t="str">
        <f>IF(G30="","",VLOOKUP($B30,'F-1 Off-Site WaterC'' Baseline'!$C$9:$R$257,7,FALSE))</f>
        <v/>
      </c>
      <c r="I30" s="295" t="str">
        <f>IF(H30="","",VLOOKUP($B30,'F-1 Off-Site WaterC'' Baseline'!$C$9:$R$257,8,FALSE))</f>
        <v/>
      </c>
      <c r="J30" s="295" t="str">
        <f>IF(I30="","",VLOOKUP($B30,'F-1 Off-Site WaterC'' Baseline'!$C$9:$R$257,9,FALSE))</f>
        <v/>
      </c>
      <c r="K30" s="295" t="str">
        <f>IF(J30="","",VLOOKUP($B30,'F-1 Off-Site WaterC'' Baseline'!$C$9:$R$257,10,FALSE))</f>
        <v/>
      </c>
      <c r="L30" s="283" t="str">
        <f>IF(B30="","",VLOOKUP($B30,'F-1 Off-Site WaterC'' Baseline'!$C$9:$R$257,15,FALSE))</f>
        <v/>
      </c>
      <c r="M30" s="299" t="str">
        <f>IF(L30="","",VLOOKUP($B30,'F-1 Off-Site WaterC'' Baseline'!$C$9:$V$257,19,FALSE))</f>
        <v/>
      </c>
      <c r="N30" s="244"/>
      <c r="O30" s="275" t="str">
        <f t="shared" si="2"/>
        <v/>
      </c>
      <c r="P30" s="276" t="str">
        <f t="shared" si="3"/>
        <v/>
      </c>
      <c r="Q30" s="281" t="str">
        <f>IF(N30="","",VLOOKUP(B30,'F-1 Off-Site WaterC'' Baseline'!$C$10:$AF$257,23,FALSE))</f>
        <v/>
      </c>
      <c r="R30" s="275" t="str">
        <f>IF(N30="","",VLOOKUP(N30,'G-7 WaterC'' Data'!$B$2:$G$8,2,FALSE))</f>
        <v/>
      </c>
      <c r="S30" s="276" t="str">
        <f>IFERROR(VLOOKUP(R30,'G-7 WaterC'' Data'!$C$4:$D$8,2,FALSE),"")</f>
        <v/>
      </c>
      <c r="T30" s="101"/>
      <c r="U30" s="276" t="str">
        <f>IFERROR(INDEX('G-7 WaterC'' Data'!$H$4:$L$8,MATCH(N30,'G-7 WaterC'' Data'!$B$4:$B$8,0),MATCH(T30,'G-7 WaterC'' Data'!$H$3:$L$3,0)),"")</f>
        <v/>
      </c>
      <c r="V30" s="105"/>
      <c r="W30" s="295" t="str">
        <f>IF(V30="","",IF(VLOOKUP(V30,'G-7 WaterC'' Data'!$AK$4:$AM$6,2,FALSE)=0,"Spatial Data Missing ⚠",VLOOKUP(V30,'G-7 WaterC'' Data'!$AK$4:$AM$6,2,FALSE)))</f>
        <v/>
      </c>
      <c r="X30" s="299" t="str">
        <f>IF(V30="","",IF(VLOOKUP(V30,'G-7 WaterC'' Data'!$AK$4:$AM$6,3,FALSE)=0,"Spatial Data Missing ⚠",VLOOKUP(V30,'G-7 WaterC'' Data'!$AK$4:$AM$6,3,FALSE)))</f>
        <v/>
      </c>
      <c r="Y30" s="311" t="str">
        <f>IFERROR(IF(OR(LEFT(P30,5)="Error",LEFT(O30,5)="Error"),"Check Data ⚠",IF(F30&lt;S30,'G-7 WaterC'' Data'!$R$3,INDEX('G-7 WaterC'' Data'!$U$5:$Y$9,MATCH(G30,'G-7 WaterC'' Data'!$T$5:$T$9,0),MATCH(T30,'G-7 WaterC'' Data'!$U$4:$Y$4,0)))),"")</f>
        <v/>
      </c>
      <c r="Z30" s="138"/>
      <c r="AA30" s="138"/>
      <c r="AB30" s="308" t="str">
        <f t="shared" si="4"/>
        <v/>
      </c>
      <c r="AC30" s="296" t="str">
        <f t="shared" si="5"/>
        <v/>
      </c>
      <c r="AD30" s="334" t="str">
        <f>IFERROR(IF(AC30="Check Data ⚠","Check Data ⚠",VLOOKUP(AC30,'G-4 Temporal multipliers'!$A$4:$C$37,3,FALSE)),"")</f>
        <v/>
      </c>
      <c r="AE30" s="311" t="str">
        <f>IF(N30="","",VLOOKUP(N30,'G-7 WaterC'' Data'!$B$4:$G$8,5,FALSE))</f>
        <v/>
      </c>
      <c r="AF30" s="295" t="str">
        <f t="shared" si="0"/>
        <v/>
      </c>
      <c r="AG30" s="295" t="str">
        <f t="shared" si="6"/>
        <v/>
      </c>
      <c r="AH30" s="276" t="str">
        <f t="shared" si="1"/>
        <v/>
      </c>
      <c r="AI30" s="105"/>
      <c r="AJ30" s="276" t="str">
        <f>IF(AI30="","",(IF(AND(AI30="N/A - Culvert",N30&lt;&gt;"Culvert"),"Not possible ▲",IF(VLOOKUP(AI30,'G-7 WaterC'' Data'!$AA$4:$AB$7,2,FALSE)=0,"Spatial Data Missing ⚠",VLOOKUP(AI30,'G-7 WaterC'' Data'!$AA$4:$AB$7,2,FALSE)))))</f>
        <v/>
      </c>
      <c r="AK30" s="106"/>
      <c r="AL30" s="310" t="str">
        <f>IF(AK30="","",IF(AND(AK30="N/A - Culvert",N30&lt;&gt;"Culvert"),"Not possible ▲",IF(VLOOKUP(AK30,'G-7 WaterC'' Data'!$AD$4:$AE$14,2,FALSE)=0,"Spatial Data Missing ⚠",VLOOKUP(AK30,'G-7 WaterC'' Data'!$AD$4:$AE$14,2,FALSE))))</f>
        <v/>
      </c>
      <c r="AM30" s="275" t="str">
        <f>IF(B30="","",VLOOKUP($B30,'F-1 Off-Site WaterC'' Baseline'!$C$9:$Z$257,17,FALSE))</f>
        <v/>
      </c>
      <c r="AN30" s="276" t="str">
        <f>IF(AM30="","",IF(VLOOKUP(AM30,'G-7 WaterC'' Data'!$AO$4:$BO$7,2,FALSE)=0,"Spatial Data Missing ⚠",VLOOKUP(AM30,'G-7 WaterC'' Data'!$AO$4:$BO$7,2,FALSE)))</f>
        <v/>
      </c>
      <c r="AO30" s="317" t="str">
        <f t="shared" si="7"/>
        <v/>
      </c>
      <c r="AP30" s="317" t="str">
        <f t="shared" si="8"/>
        <v/>
      </c>
      <c r="AQ30" s="101"/>
      <c r="AR30" s="115"/>
      <c r="AS30" s="104"/>
      <c r="AT30" s="104"/>
      <c r="AW30" s="30" t="str">
        <f>IF(E30="","",VLOOKUP($B30,'F-1 Off-Site WaterC'' Baseline'!$C$9:$Z$257,12,FALSE))</f>
        <v/>
      </c>
      <c r="AX30" s="30" t="str">
        <f>IF(E30="","",VLOOKUP($B30,'F-1 Off-Site WaterC'' Baseline'!$C$9:$Z$257,14,FALSE))</f>
        <v/>
      </c>
      <c r="AY30" s="30" t="str">
        <f>IFERROR(INDEX('G-7 WaterC'' Data'!$AZ$3:$AZ$7,MATCH(N30,'G-7 WaterC'' Data'!$AY$3:$AY$7,0)),"")</f>
        <v/>
      </c>
      <c r="AZ30" s="30" t="str">
        <f>IF(B30="","",IF(ISNA(VLOOKUP($B30,'F-1 Off-Site WaterC'' Baseline'!$C$8:$AD$257,20,FALSE)),"",(VLOOKUP($B30,'F-1 Off-Site WaterC'' Baseline'!$C$8:$AD$257,20,FALSE))))</f>
        <v/>
      </c>
      <c r="BC30" s="30" t="str">
        <f>IF(B30="","",VLOOKUP($B30,'F-1 Off-Site WaterC'' Baseline'!$C$9:$AB$257,25,FALSE))</f>
        <v/>
      </c>
      <c r="BD30" s="30" t="str">
        <f t="shared" si="9"/>
        <v/>
      </c>
      <c r="BE30" s="30" t="str">
        <f>IF(B30="","",VLOOKUP($B30,'F-1 Off-Site WaterC'' Baseline'!$C$9:$AB$257,24,FALSE))</f>
        <v/>
      </c>
      <c r="BF30" s="30" t="str">
        <f>IF(B30="","",VLOOKUP($B30,'F-1 Off-Site WaterC'' Baseline'!$C$9:$AB$257,22,FALSE))</f>
        <v/>
      </c>
      <c r="BJ30" s="30" t="str">
        <f t="shared" si="10"/>
        <v>No</v>
      </c>
    </row>
    <row r="31" spans="2:62" ht="14">
      <c r="B31" s="305" t="str">
        <f>'F-1 Off-Site WaterC'' Baseline'!AS29</f>
        <v/>
      </c>
      <c r="C31" s="295" t="str">
        <f>IF(B31="","",VLOOKUP($B31,'F-1 Off-Site WaterC'' Baseline'!$C$9:$R$257,2,FALSE))</f>
        <v/>
      </c>
      <c r="D31" s="295" t="str">
        <f>IF(C31="","",VLOOKUP($B31,'F-1 Off-Site WaterC'' Baseline'!$C$9:$R$257,3,FALSE))</f>
        <v/>
      </c>
      <c r="E31" s="295" t="str">
        <f>IF(D31="","",VLOOKUP($B31,'F-1 Off-Site WaterC'' Baseline'!$C$9:$R$257,4,FALSE))</f>
        <v/>
      </c>
      <c r="F31" s="295" t="str">
        <f>IF(E31="","",VLOOKUP($B31,'F-1 Off-Site WaterC'' Baseline'!$C$9:$R$257,5,FALSE))</f>
        <v/>
      </c>
      <c r="G31" s="295" t="str">
        <f>IF(F31="","",VLOOKUP($B31,'F-1 Off-Site WaterC'' Baseline'!$C$9:$R$257,6,FALSE))</f>
        <v/>
      </c>
      <c r="H31" s="295" t="str">
        <f>IF(G31="","",VLOOKUP($B31,'F-1 Off-Site WaterC'' Baseline'!$C$9:$R$257,7,FALSE))</f>
        <v/>
      </c>
      <c r="I31" s="295" t="str">
        <f>IF(H31="","",VLOOKUP($B31,'F-1 Off-Site WaterC'' Baseline'!$C$9:$R$257,8,FALSE))</f>
        <v/>
      </c>
      <c r="J31" s="295" t="str">
        <f>IF(I31="","",VLOOKUP($B31,'F-1 Off-Site WaterC'' Baseline'!$C$9:$R$257,9,FALSE))</f>
        <v/>
      </c>
      <c r="K31" s="295" t="str">
        <f>IF(J31="","",VLOOKUP($B31,'F-1 Off-Site WaterC'' Baseline'!$C$9:$R$257,10,FALSE))</f>
        <v/>
      </c>
      <c r="L31" s="283" t="str">
        <f>IF(B31="","",VLOOKUP($B31,'F-1 Off-Site WaterC'' Baseline'!$C$9:$R$257,15,FALSE))</f>
        <v/>
      </c>
      <c r="M31" s="299" t="str">
        <f>IF(L31="","",VLOOKUP($B31,'F-1 Off-Site WaterC'' Baseline'!$C$9:$V$257,19,FALSE))</f>
        <v/>
      </c>
      <c r="N31" s="244"/>
      <c r="O31" s="275" t="str">
        <f t="shared" si="2"/>
        <v/>
      </c>
      <c r="P31" s="276" t="str">
        <f t="shared" si="3"/>
        <v/>
      </c>
      <c r="Q31" s="281" t="str">
        <f>IF(N31="","",VLOOKUP(B31,'F-1 Off-Site WaterC'' Baseline'!$C$10:$AF$257,23,FALSE))</f>
        <v/>
      </c>
      <c r="R31" s="275" t="str">
        <f>IF(N31="","",VLOOKUP(N31,'G-7 WaterC'' Data'!$B$2:$G$8,2,FALSE))</f>
        <v/>
      </c>
      <c r="S31" s="276" t="str">
        <f>IFERROR(VLOOKUP(R31,'G-7 WaterC'' Data'!$C$4:$D$8,2,FALSE),"")</f>
        <v/>
      </c>
      <c r="T31" s="101"/>
      <c r="U31" s="276" t="str">
        <f>IFERROR(INDEX('G-7 WaterC'' Data'!$H$4:$L$8,MATCH(N31,'G-7 WaterC'' Data'!$B$4:$B$8,0),MATCH(T31,'G-7 WaterC'' Data'!$H$3:$L$3,0)),"")</f>
        <v/>
      </c>
      <c r="V31" s="105"/>
      <c r="W31" s="295" t="str">
        <f>IF(V31="","",IF(VLOOKUP(V31,'G-7 WaterC'' Data'!$AK$4:$AM$6,2,FALSE)=0,"Spatial Data Missing ⚠",VLOOKUP(V31,'G-7 WaterC'' Data'!$AK$4:$AM$6,2,FALSE)))</f>
        <v/>
      </c>
      <c r="X31" s="299" t="str">
        <f>IF(V31="","",IF(VLOOKUP(V31,'G-7 WaterC'' Data'!$AK$4:$AM$6,3,FALSE)=0,"Spatial Data Missing ⚠",VLOOKUP(V31,'G-7 WaterC'' Data'!$AK$4:$AM$6,3,FALSE)))</f>
        <v/>
      </c>
      <c r="Y31" s="311" t="str">
        <f>IFERROR(IF(OR(LEFT(P31,5)="Error",LEFT(O31,5)="Error"),"Check Data ⚠",IF(F31&lt;S31,'G-7 WaterC'' Data'!$R$3,INDEX('G-7 WaterC'' Data'!$U$5:$Y$9,MATCH(G31,'G-7 WaterC'' Data'!$T$5:$T$9,0),MATCH(T31,'G-7 WaterC'' Data'!$U$4:$Y$4,0)))),"")</f>
        <v/>
      </c>
      <c r="Z31" s="138"/>
      <c r="AA31" s="138"/>
      <c r="AB31" s="308" t="str">
        <f t="shared" si="4"/>
        <v/>
      </c>
      <c r="AC31" s="296" t="str">
        <f t="shared" si="5"/>
        <v/>
      </c>
      <c r="AD31" s="334" t="str">
        <f>IFERROR(IF(AC31="Check Data ⚠","Check Data ⚠",VLOOKUP(AC31,'G-4 Temporal multipliers'!$A$4:$C$37,3,FALSE)),"")</f>
        <v/>
      </c>
      <c r="AE31" s="311" t="str">
        <f>IF(N31="","",VLOOKUP(N31,'G-7 WaterC'' Data'!$B$4:$G$8,5,FALSE))</f>
        <v/>
      </c>
      <c r="AF31" s="295" t="str">
        <f t="shared" si="0"/>
        <v/>
      </c>
      <c r="AG31" s="295" t="str">
        <f t="shared" si="6"/>
        <v/>
      </c>
      <c r="AH31" s="276" t="str">
        <f t="shared" si="1"/>
        <v/>
      </c>
      <c r="AI31" s="105"/>
      <c r="AJ31" s="276" t="str">
        <f>IF(AI31="","",(IF(AND(AI31="N/A - Culvert",N31&lt;&gt;"Culvert"),"Not possible ▲",IF(VLOOKUP(AI31,'G-7 WaterC'' Data'!$AA$4:$AB$7,2,FALSE)=0,"Spatial Data Missing ⚠",VLOOKUP(AI31,'G-7 WaterC'' Data'!$AA$4:$AB$7,2,FALSE)))))</f>
        <v/>
      </c>
      <c r="AK31" s="106"/>
      <c r="AL31" s="310" t="str">
        <f>IF(AK31="","",IF(AND(AK31="N/A - Culvert",N31&lt;&gt;"Culvert"),"Not possible ▲",IF(VLOOKUP(AK31,'G-7 WaterC'' Data'!$AD$4:$AE$14,2,FALSE)=0,"Spatial Data Missing ⚠",VLOOKUP(AK31,'G-7 WaterC'' Data'!$AD$4:$AE$14,2,FALSE))))</f>
        <v/>
      </c>
      <c r="AM31" s="275" t="str">
        <f>IF(B31="","",VLOOKUP($B31,'F-1 Off-Site WaterC'' Baseline'!$C$9:$Z$257,17,FALSE))</f>
        <v/>
      </c>
      <c r="AN31" s="276" t="str">
        <f>IF(AM31="","",IF(VLOOKUP(AM31,'G-7 WaterC'' Data'!$AO$4:$BO$7,2,FALSE)=0,"Spatial Data Missing ⚠",VLOOKUP(AM31,'G-7 WaterC'' Data'!$AO$4:$BO$7,2,FALSE)))</f>
        <v/>
      </c>
      <c r="AO31" s="317" t="str">
        <f t="shared" si="7"/>
        <v/>
      </c>
      <c r="AP31" s="317" t="str">
        <f t="shared" si="8"/>
        <v/>
      </c>
      <c r="AQ31" s="101"/>
      <c r="AR31" s="115"/>
      <c r="AS31" s="104"/>
      <c r="AT31" s="104"/>
      <c r="AW31" s="30" t="str">
        <f>IF(E31="","",VLOOKUP($B31,'F-1 Off-Site WaterC'' Baseline'!$C$9:$Z$257,12,FALSE))</f>
        <v/>
      </c>
      <c r="AX31" s="30" t="str">
        <f>IF(E31="","",VLOOKUP($B31,'F-1 Off-Site WaterC'' Baseline'!$C$9:$Z$257,14,FALSE))</f>
        <v/>
      </c>
      <c r="AY31" s="30" t="str">
        <f>IFERROR(INDEX('G-7 WaterC'' Data'!$AZ$3:$AZ$7,MATCH(N31,'G-7 WaterC'' Data'!$AY$3:$AY$7,0)),"")</f>
        <v/>
      </c>
      <c r="AZ31" s="30" t="str">
        <f>IF(B31="","",IF(ISNA(VLOOKUP($B31,'F-1 Off-Site WaterC'' Baseline'!$C$8:$AD$257,20,FALSE)),"",(VLOOKUP($B31,'F-1 Off-Site WaterC'' Baseline'!$C$8:$AD$257,20,FALSE))))</f>
        <v/>
      </c>
      <c r="BC31" s="30" t="str">
        <f>IF(B31="","",VLOOKUP($B31,'F-1 Off-Site WaterC'' Baseline'!$C$9:$AB$257,25,FALSE))</f>
        <v/>
      </c>
      <c r="BD31" s="30" t="str">
        <f t="shared" si="9"/>
        <v/>
      </c>
      <c r="BE31" s="30" t="str">
        <f>IF(B31="","",VLOOKUP($B31,'F-1 Off-Site WaterC'' Baseline'!$C$9:$AB$257,24,FALSE))</f>
        <v/>
      </c>
      <c r="BF31" s="30" t="str">
        <f>IF(B31="","",VLOOKUP($B31,'F-1 Off-Site WaterC'' Baseline'!$C$9:$AB$257,22,FALSE))</f>
        <v/>
      </c>
      <c r="BJ31" s="30" t="str">
        <f t="shared" si="10"/>
        <v>No</v>
      </c>
    </row>
    <row r="32" spans="2:62" ht="14">
      <c r="B32" s="305" t="str">
        <f>'F-1 Off-Site WaterC'' Baseline'!AS30</f>
        <v/>
      </c>
      <c r="C32" s="295" t="str">
        <f>IF(B32="","",VLOOKUP($B32,'F-1 Off-Site WaterC'' Baseline'!$C$9:$R$257,2,FALSE))</f>
        <v/>
      </c>
      <c r="D32" s="295" t="str">
        <f>IF(C32="","",VLOOKUP($B32,'F-1 Off-Site WaterC'' Baseline'!$C$9:$R$257,3,FALSE))</f>
        <v/>
      </c>
      <c r="E32" s="295" t="str">
        <f>IF(D32="","",VLOOKUP($B32,'F-1 Off-Site WaterC'' Baseline'!$C$9:$R$257,4,FALSE))</f>
        <v/>
      </c>
      <c r="F32" s="295" t="str">
        <f>IF(E32="","",VLOOKUP($B32,'F-1 Off-Site WaterC'' Baseline'!$C$9:$R$257,5,FALSE))</f>
        <v/>
      </c>
      <c r="G32" s="295" t="str">
        <f>IF(F32="","",VLOOKUP($B32,'F-1 Off-Site WaterC'' Baseline'!$C$9:$R$257,6,FALSE))</f>
        <v/>
      </c>
      <c r="H32" s="295" t="str">
        <f>IF(G32="","",VLOOKUP($B32,'F-1 Off-Site WaterC'' Baseline'!$C$9:$R$257,7,FALSE))</f>
        <v/>
      </c>
      <c r="I32" s="295" t="str">
        <f>IF(H32="","",VLOOKUP($B32,'F-1 Off-Site WaterC'' Baseline'!$C$9:$R$257,8,FALSE))</f>
        <v/>
      </c>
      <c r="J32" s="295" t="str">
        <f>IF(I32="","",VLOOKUP($B32,'F-1 Off-Site WaterC'' Baseline'!$C$9:$R$257,9,FALSE))</f>
        <v/>
      </c>
      <c r="K32" s="295" t="str">
        <f>IF(J32="","",VLOOKUP($B32,'F-1 Off-Site WaterC'' Baseline'!$C$9:$R$257,10,FALSE))</f>
        <v/>
      </c>
      <c r="L32" s="283" t="str">
        <f>IF(B32="","",VLOOKUP($B32,'F-1 Off-Site WaterC'' Baseline'!$C$9:$R$257,15,FALSE))</f>
        <v/>
      </c>
      <c r="M32" s="299" t="str">
        <f>IF(L32="","",VLOOKUP($B32,'F-1 Off-Site WaterC'' Baseline'!$C$9:$V$257,19,FALSE))</f>
        <v/>
      </c>
      <c r="N32" s="244"/>
      <c r="O32" s="275" t="str">
        <f t="shared" si="2"/>
        <v/>
      </c>
      <c r="P32" s="276" t="str">
        <f t="shared" si="3"/>
        <v/>
      </c>
      <c r="Q32" s="281" t="str">
        <f>IF(N32="","",VLOOKUP(B32,'F-1 Off-Site WaterC'' Baseline'!$C$10:$AF$257,23,FALSE))</f>
        <v/>
      </c>
      <c r="R32" s="275" t="str">
        <f>IF(N32="","",VLOOKUP(N32,'G-7 WaterC'' Data'!$B$2:$G$8,2,FALSE))</f>
        <v/>
      </c>
      <c r="S32" s="276" t="str">
        <f>IFERROR(VLOOKUP(R32,'G-7 WaterC'' Data'!$C$4:$D$8,2,FALSE),"")</f>
        <v/>
      </c>
      <c r="T32" s="101"/>
      <c r="U32" s="276" t="str">
        <f>IFERROR(INDEX('G-7 WaterC'' Data'!$H$4:$L$8,MATCH(N32,'G-7 WaterC'' Data'!$B$4:$B$8,0),MATCH(T32,'G-7 WaterC'' Data'!$H$3:$L$3,0)),"")</f>
        <v/>
      </c>
      <c r="V32" s="105"/>
      <c r="W32" s="295" t="str">
        <f>IF(V32="","",IF(VLOOKUP(V32,'G-7 WaterC'' Data'!$AK$4:$AM$6,2,FALSE)=0,"Spatial Data Missing ⚠",VLOOKUP(V32,'G-7 WaterC'' Data'!$AK$4:$AM$6,2,FALSE)))</f>
        <v/>
      </c>
      <c r="X32" s="299" t="str">
        <f>IF(V32="","",IF(VLOOKUP(V32,'G-7 WaterC'' Data'!$AK$4:$AM$6,3,FALSE)=0,"Spatial Data Missing ⚠",VLOOKUP(V32,'G-7 WaterC'' Data'!$AK$4:$AM$6,3,FALSE)))</f>
        <v/>
      </c>
      <c r="Y32" s="311" t="str">
        <f>IFERROR(IF(OR(LEFT(P32,5)="Error",LEFT(O32,5)="Error"),"Check Data ⚠",IF(F32&lt;S32,'G-7 WaterC'' Data'!$R$3,INDEX('G-7 WaterC'' Data'!$U$5:$Y$9,MATCH(G32,'G-7 WaterC'' Data'!$T$5:$T$9,0),MATCH(T32,'G-7 WaterC'' Data'!$U$4:$Y$4,0)))),"")</f>
        <v/>
      </c>
      <c r="Z32" s="138"/>
      <c r="AA32" s="138"/>
      <c r="AB32" s="308" t="str">
        <f t="shared" si="4"/>
        <v/>
      </c>
      <c r="AC32" s="296" t="str">
        <f t="shared" si="5"/>
        <v/>
      </c>
      <c r="AD32" s="334" t="str">
        <f>IFERROR(IF(AC32="Check Data ⚠","Check Data ⚠",VLOOKUP(AC32,'G-4 Temporal multipliers'!$A$4:$C$37,3,FALSE)),"")</f>
        <v/>
      </c>
      <c r="AE32" s="311" t="str">
        <f>IF(N32="","",VLOOKUP(N32,'G-7 WaterC'' Data'!$B$4:$G$8,5,FALSE))</f>
        <v/>
      </c>
      <c r="AF32" s="295" t="str">
        <f t="shared" si="0"/>
        <v/>
      </c>
      <c r="AG32" s="295" t="str">
        <f t="shared" si="6"/>
        <v/>
      </c>
      <c r="AH32" s="276" t="str">
        <f t="shared" si="1"/>
        <v/>
      </c>
      <c r="AI32" s="105"/>
      <c r="AJ32" s="276" t="str">
        <f>IF(AI32="","",(IF(AND(AI32="N/A - Culvert",N32&lt;&gt;"Culvert"),"Not possible ▲",IF(VLOOKUP(AI32,'G-7 WaterC'' Data'!$AA$4:$AB$7,2,FALSE)=0,"Spatial Data Missing ⚠",VLOOKUP(AI32,'G-7 WaterC'' Data'!$AA$4:$AB$7,2,FALSE)))))</f>
        <v/>
      </c>
      <c r="AK32" s="106"/>
      <c r="AL32" s="310" t="str">
        <f>IF(AK32="","",IF(AND(AK32="N/A - Culvert",N32&lt;&gt;"Culvert"),"Not possible ▲",IF(VLOOKUP(AK32,'G-7 WaterC'' Data'!$AD$4:$AE$14,2,FALSE)=0,"Spatial Data Missing ⚠",VLOOKUP(AK32,'G-7 WaterC'' Data'!$AD$4:$AE$14,2,FALSE))))</f>
        <v/>
      </c>
      <c r="AM32" s="275" t="str">
        <f>IF(B32="","",VLOOKUP($B32,'F-1 Off-Site WaterC'' Baseline'!$C$9:$Z$257,17,FALSE))</f>
        <v/>
      </c>
      <c r="AN32" s="276" t="str">
        <f>IF(AM32="","",IF(VLOOKUP(AM32,'G-7 WaterC'' Data'!$AO$4:$BO$7,2,FALSE)=0,"Spatial Data Missing ⚠",VLOOKUP(AM32,'G-7 WaterC'' Data'!$AO$4:$BO$7,2,FALSE)))</f>
        <v/>
      </c>
      <c r="AO32" s="317" t="str">
        <f t="shared" si="7"/>
        <v/>
      </c>
      <c r="AP32" s="317" t="str">
        <f t="shared" si="8"/>
        <v/>
      </c>
      <c r="AQ32" s="101"/>
      <c r="AR32" s="115"/>
      <c r="AS32" s="104"/>
      <c r="AT32" s="104"/>
      <c r="AW32" s="30" t="str">
        <f>IF(E32="","",VLOOKUP($B32,'F-1 Off-Site WaterC'' Baseline'!$C$9:$Z$257,12,FALSE))</f>
        <v/>
      </c>
      <c r="AX32" s="30" t="str">
        <f>IF(E32="","",VLOOKUP($B32,'F-1 Off-Site WaterC'' Baseline'!$C$9:$Z$257,14,FALSE))</f>
        <v/>
      </c>
      <c r="AY32" s="30" t="str">
        <f>IFERROR(INDEX('G-7 WaterC'' Data'!$AZ$3:$AZ$7,MATCH(N32,'G-7 WaterC'' Data'!$AY$3:$AY$7,0)),"")</f>
        <v/>
      </c>
      <c r="AZ32" s="30" t="str">
        <f>IF(B32="","",IF(ISNA(VLOOKUP($B32,'F-1 Off-Site WaterC'' Baseline'!$C$8:$AD$257,20,FALSE)),"",(VLOOKUP($B32,'F-1 Off-Site WaterC'' Baseline'!$C$8:$AD$257,20,FALSE))))</f>
        <v/>
      </c>
      <c r="BC32" s="30" t="str">
        <f>IF(B32="","",VLOOKUP($B32,'F-1 Off-Site WaterC'' Baseline'!$C$9:$AB$257,25,FALSE))</f>
        <v/>
      </c>
      <c r="BD32" s="30" t="str">
        <f t="shared" si="9"/>
        <v/>
      </c>
      <c r="BE32" s="30" t="str">
        <f>IF(B32="","",VLOOKUP($B32,'F-1 Off-Site WaterC'' Baseline'!$C$9:$AB$257,24,FALSE))</f>
        <v/>
      </c>
      <c r="BF32" s="30" t="str">
        <f>IF(B32="","",VLOOKUP($B32,'F-1 Off-Site WaterC'' Baseline'!$C$9:$AB$257,22,FALSE))</f>
        <v/>
      </c>
      <c r="BJ32" s="30" t="str">
        <f t="shared" si="10"/>
        <v>No</v>
      </c>
    </row>
    <row r="33" spans="2:62" ht="14">
      <c r="B33" s="305" t="str">
        <f>'F-1 Off-Site WaterC'' Baseline'!AS31</f>
        <v/>
      </c>
      <c r="C33" s="295" t="str">
        <f>IF(B33="","",VLOOKUP($B33,'F-1 Off-Site WaterC'' Baseline'!$C$9:$R$257,2,FALSE))</f>
        <v/>
      </c>
      <c r="D33" s="295" t="str">
        <f>IF(C33="","",VLOOKUP($B33,'F-1 Off-Site WaterC'' Baseline'!$C$9:$R$257,3,FALSE))</f>
        <v/>
      </c>
      <c r="E33" s="295" t="str">
        <f>IF(D33="","",VLOOKUP($B33,'F-1 Off-Site WaterC'' Baseline'!$C$9:$R$257,4,FALSE))</f>
        <v/>
      </c>
      <c r="F33" s="295" t="str">
        <f>IF(E33="","",VLOOKUP($B33,'F-1 Off-Site WaterC'' Baseline'!$C$9:$R$257,5,FALSE))</f>
        <v/>
      </c>
      <c r="G33" s="295" t="str">
        <f>IF(F33="","",VLOOKUP($B33,'F-1 Off-Site WaterC'' Baseline'!$C$9:$R$257,6,FALSE))</f>
        <v/>
      </c>
      <c r="H33" s="295" t="str">
        <f>IF(G33="","",VLOOKUP($B33,'F-1 Off-Site WaterC'' Baseline'!$C$9:$R$257,7,FALSE))</f>
        <v/>
      </c>
      <c r="I33" s="295" t="str">
        <f>IF(H33="","",VLOOKUP($B33,'F-1 Off-Site WaterC'' Baseline'!$C$9:$R$257,8,FALSE))</f>
        <v/>
      </c>
      <c r="J33" s="295" t="str">
        <f>IF(I33="","",VLOOKUP($B33,'F-1 Off-Site WaterC'' Baseline'!$C$9:$R$257,9,FALSE))</f>
        <v/>
      </c>
      <c r="K33" s="295" t="str">
        <f>IF(J33="","",VLOOKUP($B33,'F-1 Off-Site WaterC'' Baseline'!$C$9:$R$257,10,FALSE))</f>
        <v/>
      </c>
      <c r="L33" s="283" t="str">
        <f>IF(B33="","",VLOOKUP($B33,'F-1 Off-Site WaterC'' Baseline'!$C$9:$R$257,15,FALSE))</f>
        <v/>
      </c>
      <c r="M33" s="299" t="str">
        <f>IF(L33="","",VLOOKUP($B33,'F-1 Off-Site WaterC'' Baseline'!$C$9:$V$257,19,FALSE))</f>
        <v/>
      </c>
      <c r="N33" s="244"/>
      <c r="O33" s="275" t="str">
        <f t="shared" si="2"/>
        <v/>
      </c>
      <c r="P33" s="276" t="str">
        <f t="shared" si="3"/>
        <v/>
      </c>
      <c r="Q33" s="281" t="str">
        <f>IF(N33="","",VLOOKUP(B33,'F-1 Off-Site WaterC'' Baseline'!$C$10:$AF$257,23,FALSE))</f>
        <v/>
      </c>
      <c r="R33" s="275" t="str">
        <f>IF(N33="","",VLOOKUP(N33,'G-7 WaterC'' Data'!$B$2:$G$8,2,FALSE))</f>
        <v/>
      </c>
      <c r="S33" s="276" t="str">
        <f>IFERROR(VLOOKUP(R33,'G-7 WaterC'' Data'!$C$4:$D$8,2,FALSE),"")</f>
        <v/>
      </c>
      <c r="T33" s="101"/>
      <c r="U33" s="276" t="str">
        <f>IFERROR(INDEX('G-7 WaterC'' Data'!$H$4:$L$8,MATCH(N33,'G-7 WaterC'' Data'!$B$4:$B$8,0),MATCH(T33,'G-7 WaterC'' Data'!$H$3:$L$3,0)),"")</f>
        <v/>
      </c>
      <c r="V33" s="105"/>
      <c r="W33" s="295" t="str">
        <f>IF(V33="","",IF(VLOOKUP(V33,'G-7 WaterC'' Data'!$AK$4:$AM$6,2,FALSE)=0,"Spatial Data Missing ⚠",VLOOKUP(V33,'G-7 WaterC'' Data'!$AK$4:$AM$6,2,FALSE)))</f>
        <v/>
      </c>
      <c r="X33" s="299" t="str">
        <f>IF(V33="","",IF(VLOOKUP(V33,'G-7 WaterC'' Data'!$AK$4:$AM$6,3,FALSE)=0,"Spatial Data Missing ⚠",VLOOKUP(V33,'G-7 WaterC'' Data'!$AK$4:$AM$6,3,FALSE)))</f>
        <v/>
      </c>
      <c r="Y33" s="311" t="str">
        <f>IFERROR(IF(OR(LEFT(P33,5)="Error",LEFT(O33,5)="Error"),"Check Data ⚠",IF(F33&lt;S33,'G-7 WaterC'' Data'!$R$3,INDEX('G-7 WaterC'' Data'!$U$5:$Y$9,MATCH(G33,'G-7 WaterC'' Data'!$T$5:$T$9,0),MATCH(T33,'G-7 WaterC'' Data'!$U$4:$Y$4,0)))),"")</f>
        <v/>
      </c>
      <c r="Z33" s="138"/>
      <c r="AA33" s="138"/>
      <c r="AB33" s="308" t="str">
        <f t="shared" si="4"/>
        <v/>
      </c>
      <c r="AC33" s="296" t="str">
        <f t="shared" si="5"/>
        <v/>
      </c>
      <c r="AD33" s="334" t="str">
        <f>IFERROR(IF(AC33="Check Data ⚠","Check Data ⚠",VLOOKUP(AC33,'G-4 Temporal multipliers'!$A$4:$C$37,3,FALSE)),"")</f>
        <v/>
      </c>
      <c r="AE33" s="311" t="str">
        <f>IF(N33="","",VLOOKUP(N33,'G-7 WaterC'' Data'!$B$4:$G$8,5,FALSE))</f>
        <v/>
      </c>
      <c r="AF33" s="295" t="str">
        <f t="shared" si="0"/>
        <v/>
      </c>
      <c r="AG33" s="295" t="str">
        <f t="shared" si="6"/>
        <v/>
      </c>
      <c r="AH33" s="276" t="str">
        <f t="shared" si="1"/>
        <v/>
      </c>
      <c r="AI33" s="105"/>
      <c r="AJ33" s="276" t="str">
        <f>IF(AI33="","",(IF(AND(AI33="N/A - Culvert",N33&lt;&gt;"Culvert"),"Not possible ▲",IF(VLOOKUP(AI33,'G-7 WaterC'' Data'!$AA$4:$AB$7,2,FALSE)=0,"Spatial Data Missing ⚠",VLOOKUP(AI33,'G-7 WaterC'' Data'!$AA$4:$AB$7,2,FALSE)))))</f>
        <v/>
      </c>
      <c r="AK33" s="106"/>
      <c r="AL33" s="310" t="str">
        <f>IF(AK33="","",IF(AND(AK33="N/A - Culvert",N33&lt;&gt;"Culvert"),"Not possible ▲",IF(VLOOKUP(AK33,'G-7 WaterC'' Data'!$AD$4:$AE$14,2,FALSE)=0,"Spatial Data Missing ⚠",VLOOKUP(AK33,'G-7 WaterC'' Data'!$AD$4:$AE$14,2,FALSE))))</f>
        <v/>
      </c>
      <c r="AM33" s="275" t="str">
        <f>IF(B33="","",VLOOKUP($B33,'F-1 Off-Site WaterC'' Baseline'!$C$9:$Z$257,17,FALSE))</f>
        <v/>
      </c>
      <c r="AN33" s="276" t="str">
        <f>IF(AM33="","",IF(VLOOKUP(AM33,'G-7 WaterC'' Data'!$AO$4:$BO$7,2,FALSE)=0,"Spatial Data Missing ⚠",VLOOKUP(AM33,'G-7 WaterC'' Data'!$AO$4:$BO$7,2,FALSE)))</f>
        <v/>
      </c>
      <c r="AO33" s="317" t="str">
        <f t="shared" si="7"/>
        <v/>
      </c>
      <c r="AP33" s="317" t="str">
        <f t="shared" si="8"/>
        <v/>
      </c>
      <c r="AQ33" s="101"/>
      <c r="AR33" s="115"/>
      <c r="AS33" s="104"/>
      <c r="AT33" s="104"/>
      <c r="AW33" s="30" t="str">
        <f>IF(E33="","",VLOOKUP($B33,'F-1 Off-Site WaterC'' Baseline'!$C$9:$Z$257,12,FALSE))</f>
        <v/>
      </c>
      <c r="AX33" s="30" t="str">
        <f>IF(E33="","",VLOOKUP($B33,'F-1 Off-Site WaterC'' Baseline'!$C$9:$Z$257,14,FALSE))</f>
        <v/>
      </c>
      <c r="AY33" s="30" t="str">
        <f>IFERROR(INDEX('G-7 WaterC'' Data'!$AZ$3:$AZ$7,MATCH(N33,'G-7 WaterC'' Data'!$AY$3:$AY$7,0)),"")</f>
        <v/>
      </c>
      <c r="AZ33" s="30" t="str">
        <f>IF(B33="","",IF(ISNA(VLOOKUP($B33,'F-1 Off-Site WaterC'' Baseline'!$C$8:$AD$257,20,FALSE)),"",(VLOOKUP($B33,'F-1 Off-Site WaterC'' Baseline'!$C$8:$AD$257,20,FALSE))))</f>
        <v/>
      </c>
      <c r="BC33" s="30" t="str">
        <f>IF(B33="","",VLOOKUP($B33,'F-1 Off-Site WaterC'' Baseline'!$C$9:$AB$257,25,FALSE))</f>
        <v/>
      </c>
      <c r="BD33" s="30" t="str">
        <f t="shared" si="9"/>
        <v/>
      </c>
      <c r="BE33" s="30" t="str">
        <f>IF(B33="","",VLOOKUP($B33,'F-1 Off-Site WaterC'' Baseline'!$C$9:$AB$257,24,FALSE))</f>
        <v/>
      </c>
      <c r="BF33" s="30" t="str">
        <f>IF(B33="","",VLOOKUP($B33,'F-1 Off-Site WaterC'' Baseline'!$C$9:$AB$257,22,FALSE))</f>
        <v/>
      </c>
      <c r="BJ33" s="30" t="str">
        <f t="shared" si="10"/>
        <v>No</v>
      </c>
    </row>
    <row r="34" spans="2:62" ht="14">
      <c r="B34" s="305" t="str">
        <f>'F-1 Off-Site WaterC'' Baseline'!AS32</f>
        <v/>
      </c>
      <c r="C34" s="295" t="str">
        <f>IF(B34="","",VLOOKUP($B34,'F-1 Off-Site WaterC'' Baseline'!$C$9:$R$257,2,FALSE))</f>
        <v/>
      </c>
      <c r="D34" s="295" t="str">
        <f>IF(C34="","",VLOOKUP($B34,'F-1 Off-Site WaterC'' Baseline'!$C$9:$R$257,3,FALSE))</f>
        <v/>
      </c>
      <c r="E34" s="295" t="str">
        <f>IF(D34="","",VLOOKUP($B34,'F-1 Off-Site WaterC'' Baseline'!$C$9:$R$257,4,FALSE))</f>
        <v/>
      </c>
      <c r="F34" s="295" t="str">
        <f>IF(E34="","",VLOOKUP($B34,'F-1 Off-Site WaterC'' Baseline'!$C$9:$R$257,5,FALSE))</f>
        <v/>
      </c>
      <c r="G34" s="295" t="str">
        <f>IF(F34="","",VLOOKUP($B34,'F-1 Off-Site WaterC'' Baseline'!$C$9:$R$257,6,FALSE))</f>
        <v/>
      </c>
      <c r="H34" s="295" t="str">
        <f>IF(G34="","",VLOOKUP($B34,'F-1 Off-Site WaterC'' Baseline'!$C$9:$R$257,7,FALSE))</f>
        <v/>
      </c>
      <c r="I34" s="295" t="str">
        <f>IF(H34="","",VLOOKUP($B34,'F-1 Off-Site WaterC'' Baseline'!$C$9:$R$257,8,FALSE))</f>
        <v/>
      </c>
      <c r="J34" s="295" t="str">
        <f>IF(I34="","",VLOOKUP($B34,'F-1 Off-Site WaterC'' Baseline'!$C$9:$R$257,9,FALSE))</f>
        <v/>
      </c>
      <c r="K34" s="295" t="str">
        <f>IF(J34="","",VLOOKUP($B34,'F-1 Off-Site WaterC'' Baseline'!$C$9:$R$257,10,FALSE))</f>
        <v/>
      </c>
      <c r="L34" s="283" t="str">
        <f>IF(B34="","",VLOOKUP($B34,'F-1 Off-Site WaterC'' Baseline'!$C$9:$R$257,15,FALSE))</f>
        <v/>
      </c>
      <c r="M34" s="299" t="str">
        <f>IF(L34="","",VLOOKUP($B34,'F-1 Off-Site WaterC'' Baseline'!$C$9:$V$257,19,FALSE))</f>
        <v/>
      </c>
      <c r="N34" s="244"/>
      <c r="O34" s="275" t="str">
        <f t="shared" si="2"/>
        <v/>
      </c>
      <c r="P34" s="276" t="str">
        <f t="shared" si="3"/>
        <v/>
      </c>
      <c r="Q34" s="281" t="str">
        <f>IF(N34="","",VLOOKUP(B34,'F-1 Off-Site WaterC'' Baseline'!$C$10:$AF$257,23,FALSE))</f>
        <v/>
      </c>
      <c r="R34" s="275" t="str">
        <f>IF(N34="","",VLOOKUP(N34,'G-7 WaterC'' Data'!$B$2:$G$8,2,FALSE))</f>
        <v/>
      </c>
      <c r="S34" s="276" t="str">
        <f>IFERROR(VLOOKUP(R34,'G-7 WaterC'' Data'!$C$4:$D$8,2,FALSE),"")</f>
        <v/>
      </c>
      <c r="T34" s="101"/>
      <c r="U34" s="276" t="str">
        <f>IFERROR(INDEX('G-7 WaterC'' Data'!$H$4:$L$8,MATCH(N34,'G-7 WaterC'' Data'!$B$4:$B$8,0),MATCH(T34,'G-7 WaterC'' Data'!$H$3:$L$3,0)),"")</f>
        <v/>
      </c>
      <c r="V34" s="105"/>
      <c r="W34" s="295" t="str">
        <f>IF(V34="","",IF(VLOOKUP(V34,'G-7 WaterC'' Data'!$AK$4:$AM$6,2,FALSE)=0,"Spatial Data Missing ⚠",VLOOKUP(V34,'G-7 WaterC'' Data'!$AK$4:$AM$6,2,FALSE)))</f>
        <v/>
      </c>
      <c r="X34" s="299" t="str">
        <f>IF(V34="","",IF(VLOOKUP(V34,'G-7 WaterC'' Data'!$AK$4:$AM$6,3,FALSE)=0,"Spatial Data Missing ⚠",VLOOKUP(V34,'G-7 WaterC'' Data'!$AK$4:$AM$6,3,FALSE)))</f>
        <v/>
      </c>
      <c r="Y34" s="311" t="str">
        <f>IFERROR(IF(OR(LEFT(P34,5)="Error",LEFT(O34,5)="Error"),"Check Data ⚠",IF(F34&lt;S34,'G-7 WaterC'' Data'!$R$3,INDEX('G-7 WaterC'' Data'!$U$5:$Y$9,MATCH(G34,'G-7 WaterC'' Data'!$T$5:$T$9,0),MATCH(T34,'G-7 WaterC'' Data'!$U$4:$Y$4,0)))),"")</f>
        <v/>
      </c>
      <c r="Z34" s="138"/>
      <c r="AA34" s="138"/>
      <c r="AB34" s="308" t="str">
        <f t="shared" si="4"/>
        <v/>
      </c>
      <c r="AC34" s="296" t="str">
        <f t="shared" si="5"/>
        <v/>
      </c>
      <c r="AD34" s="334" t="str">
        <f>IFERROR(IF(AC34="Check Data ⚠","Check Data ⚠",VLOOKUP(AC34,'G-4 Temporal multipliers'!$A$4:$C$37,3,FALSE)),"")</f>
        <v/>
      </c>
      <c r="AE34" s="311" t="str">
        <f>IF(N34="","",VLOOKUP(N34,'G-7 WaterC'' Data'!$B$4:$G$8,5,FALSE))</f>
        <v/>
      </c>
      <c r="AF34" s="295" t="str">
        <f t="shared" si="0"/>
        <v/>
      </c>
      <c r="AG34" s="295" t="str">
        <f t="shared" si="6"/>
        <v/>
      </c>
      <c r="AH34" s="276" t="str">
        <f t="shared" si="1"/>
        <v/>
      </c>
      <c r="AI34" s="105"/>
      <c r="AJ34" s="276" t="str">
        <f>IF(AI34="","",(IF(AND(AI34="N/A - Culvert",N34&lt;&gt;"Culvert"),"Not possible ▲",IF(VLOOKUP(AI34,'G-7 WaterC'' Data'!$AA$4:$AB$7,2,FALSE)=0,"Spatial Data Missing ⚠",VLOOKUP(AI34,'G-7 WaterC'' Data'!$AA$4:$AB$7,2,FALSE)))))</f>
        <v/>
      </c>
      <c r="AK34" s="106"/>
      <c r="AL34" s="310" t="str">
        <f>IF(AK34="","",IF(AND(AK34="N/A - Culvert",N34&lt;&gt;"Culvert"),"Not possible ▲",IF(VLOOKUP(AK34,'G-7 WaterC'' Data'!$AD$4:$AE$14,2,FALSE)=0,"Spatial Data Missing ⚠",VLOOKUP(AK34,'G-7 WaterC'' Data'!$AD$4:$AE$14,2,FALSE))))</f>
        <v/>
      </c>
      <c r="AM34" s="275" t="str">
        <f>IF(B34="","",VLOOKUP($B34,'F-1 Off-Site WaterC'' Baseline'!$C$9:$Z$257,17,FALSE))</f>
        <v/>
      </c>
      <c r="AN34" s="276" t="str">
        <f>IF(AM34="","",IF(VLOOKUP(AM34,'G-7 WaterC'' Data'!$AO$4:$BO$7,2,FALSE)=0,"Spatial Data Missing ⚠",VLOOKUP(AM34,'G-7 WaterC'' Data'!$AO$4:$BO$7,2,FALSE)))</f>
        <v/>
      </c>
      <c r="AO34" s="317" t="str">
        <f t="shared" si="7"/>
        <v/>
      </c>
      <c r="AP34" s="317" t="str">
        <f t="shared" si="8"/>
        <v/>
      </c>
      <c r="AQ34" s="101"/>
      <c r="AR34" s="115"/>
      <c r="AS34" s="104"/>
      <c r="AT34" s="104"/>
      <c r="AW34" s="30" t="str">
        <f>IF(E34="","",VLOOKUP($B34,'F-1 Off-Site WaterC'' Baseline'!$C$9:$Z$257,12,FALSE))</f>
        <v/>
      </c>
      <c r="AX34" s="30" t="str">
        <f>IF(E34="","",VLOOKUP($B34,'F-1 Off-Site WaterC'' Baseline'!$C$9:$Z$257,14,FALSE))</f>
        <v/>
      </c>
      <c r="AY34" s="30" t="str">
        <f>IFERROR(INDEX('G-7 WaterC'' Data'!$AZ$3:$AZ$7,MATCH(N34,'G-7 WaterC'' Data'!$AY$3:$AY$7,0)),"")</f>
        <v/>
      </c>
      <c r="AZ34" s="30" t="str">
        <f>IF(B34="","",IF(ISNA(VLOOKUP($B34,'F-1 Off-Site WaterC'' Baseline'!$C$8:$AD$257,20,FALSE)),"",(VLOOKUP($B34,'F-1 Off-Site WaterC'' Baseline'!$C$8:$AD$257,20,FALSE))))</f>
        <v/>
      </c>
      <c r="BC34" s="30" t="str">
        <f>IF(B34="","",VLOOKUP($B34,'F-1 Off-Site WaterC'' Baseline'!$C$9:$AB$257,25,FALSE))</f>
        <v/>
      </c>
      <c r="BD34" s="30" t="str">
        <f t="shared" si="9"/>
        <v/>
      </c>
      <c r="BE34" s="30" t="str">
        <f>IF(B34="","",VLOOKUP($B34,'F-1 Off-Site WaterC'' Baseline'!$C$9:$AB$257,24,FALSE))</f>
        <v/>
      </c>
      <c r="BF34" s="30" t="str">
        <f>IF(B34="","",VLOOKUP($B34,'F-1 Off-Site WaterC'' Baseline'!$C$9:$AB$257,22,FALSE))</f>
        <v/>
      </c>
      <c r="BJ34" s="30" t="str">
        <f t="shared" si="10"/>
        <v>No</v>
      </c>
    </row>
    <row r="35" spans="2:62" ht="14">
      <c r="B35" s="305" t="str">
        <f>'F-1 Off-Site WaterC'' Baseline'!AS33</f>
        <v/>
      </c>
      <c r="C35" s="295" t="str">
        <f>IF(B35="","",VLOOKUP($B35,'F-1 Off-Site WaterC'' Baseline'!$C$9:$R$257,2,FALSE))</f>
        <v/>
      </c>
      <c r="D35" s="295" t="str">
        <f>IF(C35="","",VLOOKUP($B35,'F-1 Off-Site WaterC'' Baseline'!$C$9:$R$257,3,FALSE))</f>
        <v/>
      </c>
      <c r="E35" s="295" t="str">
        <f>IF(D35="","",VLOOKUP($B35,'F-1 Off-Site WaterC'' Baseline'!$C$9:$R$257,4,FALSE))</f>
        <v/>
      </c>
      <c r="F35" s="295" t="str">
        <f>IF(E35="","",VLOOKUP($B35,'F-1 Off-Site WaterC'' Baseline'!$C$9:$R$257,5,FALSE))</f>
        <v/>
      </c>
      <c r="G35" s="295" t="str">
        <f>IF(F35="","",VLOOKUP($B35,'F-1 Off-Site WaterC'' Baseline'!$C$9:$R$257,6,FALSE))</f>
        <v/>
      </c>
      <c r="H35" s="295" t="str">
        <f>IF(G35="","",VLOOKUP($B35,'F-1 Off-Site WaterC'' Baseline'!$C$9:$R$257,7,FALSE))</f>
        <v/>
      </c>
      <c r="I35" s="295" t="str">
        <f>IF(H35="","",VLOOKUP($B35,'F-1 Off-Site WaterC'' Baseline'!$C$9:$R$257,8,FALSE))</f>
        <v/>
      </c>
      <c r="J35" s="295" t="str">
        <f>IF(I35="","",VLOOKUP($B35,'F-1 Off-Site WaterC'' Baseline'!$C$9:$R$257,9,FALSE))</f>
        <v/>
      </c>
      <c r="K35" s="295" t="str">
        <f>IF(J35="","",VLOOKUP($B35,'F-1 Off-Site WaterC'' Baseline'!$C$9:$R$257,10,FALSE))</f>
        <v/>
      </c>
      <c r="L35" s="283" t="str">
        <f>IF(B35="","",VLOOKUP($B35,'F-1 Off-Site WaterC'' Baseline'!$C$9:$R$257,15,FALSE))</f>
        <v/>
      </c>
      <c r="M35" s="299" t="str">
        <f>IF(L35="","",VLOOKUP($B35,'F-1 Off-Site WaterC'' Baseline'!$C$9:$V$257,19,FALSE))</f>
        <v/>
      </c>
      <c r="N35" s="244"/>
      <c r="O35" s="275" t="str">
        <f t="shared" si="2"/>
        <v/>
      </c>
      <c r="P35" s="276" t="str">
        <f t="shared" si="3"/>
        <v/>
      </c>
      <c r="Q35" s="281" t="str">
        <f>IF(N35="","",VLOOKUP(B35,'F-1 Off-Site WaterC'' Baseline'!$C$10:$AF$257,23,FALSE))</f>
        <v/>
      </c>
      <c r="R35" s="275" t="str">
        <f>IF(N35="","",VLOOKUP(N35,'G-7 WaterC'' Data'!$B$2:$G$8,2,FALSE))</f>
        <v/>
      </c>
      <c r="S35" s="276" t="str">
        <f>IFERROR(VLOOKUP(R35,'G-7 WaterC'' Data'!$C$4:$D$8,2,FALSE),"")</f>
        <v/>
      </c>
      <c r="T35" s="101"/>
      <c r="U35" s="276" t="str">
        <f>IFERROR(INDEX('G-7 WaterC'' Data'!$H$4:$L$8,MATCH(N35,'G-7 WaterC'' Data'!$B$4:$B$8,0),MATCH(T35,'G-7 WaterC'' Data'!$H$3:$L$3,0)),"")</f>
        <v/>
      </c>
      <c r="V35" s="105"/>
      <c r="W35" s="295" t="str">
        <f>IF(V35="","",IF(VLOOKUP(V35,'G-7 WaterC'' Data'!$AK$4:$AM$6,2,FALSE)=0,"Spatial Data Missing ⚠",VLOOKUP(V35,'G-7 WaterC'' Data'!$AK$4:$AM$6,2,FALSE)))</f>
        <v/>
      </c>
      <c r="X35" s="299" t="str">
        <f>IF(V35="","",IF(VLOOKUP(V35,'G-7 WaterC'' Data'!$AK$4:$AM$6,3,FALSE)=0,"Spatial Data Missing ⚠",VLOOKUP(V35,'G-7 WaterC'' Data'!$AK$4:$AM$6,3,FALSE)))</f>
        <v/>
      </c>
      <c r="Y35" s="311" t="str">
        <f>IFERROR(IF(OR(LEFT(P35,5)="Error",LEFT(O35,5)="Error"),"Check Data ⚠",IF(F35&lt;S35,'G-7 WaterC'' Data'!$R$3,INDEX('G-7 WaterC'' Data'!$U$5:$Y$9,MATCH(G35,'G-7 WaterC'' Data'!$T$5:$T$9,0),MATCH(T35,'G-7 WaterC'' Data'!$U$4:$Y$4,0)))),"")</f>
        <v/>
      </c>
      <c r="Z35" s="138"/>
      <c r="AA35" s="138"/>
      <c r="AB35" s="308" t="str">
        <f t="shared" si="4"/>
        <v/>
      </c>
      <c r="AC35" s="296" t="str">
        <f t="shared" si="5"/>
        <v/>
      </c>
      <c r="AD35" s="334" t="str">
        <f>IFERROR(IF(AC35="Check Data ⚠","Check Data ⚠",VLOOKUP(AC35,'G-4 Temporal multipliers'!$A$4:$C$37,3,FALSE)),"")</f>
        <v/>
      </c>
      <c r="AE35" s="311" t="str">
        <f>IF(N35="","",VLOOKUP(N35,'G-7 WaterC'' Data'!$B$4:$G$8,5,FALSE))</f>
        <v/>
      </c>
      <c r="AF35" s="295" t="str">
        <f t="shared" si="0"/>
        <v/>
      </c>
      <c r="AG35" s="295" t="str">
        <f t="shared" si="6"/>
        <v/>
      </c>
      <c r="AH35" s="276" t="str">
        <f t="shared" si="1"/>
        <v/>
      </c>
      <c r="AI35" s="105"/>
      <c r="AJ35" s="276" t="str">
        <f>IF(AI35="","",(IF(AND(AI35="N/A - Culvert",N35&lt;&gt;"Culvert"),"Not possible ▲",IF(VLOOKUP(AI35,'G-7 WaterC'' Data'!$AA$4:$AB$7,2,FALSE)=0,"Spatial Data Missing ⚠",VLOOKUP(AI35,'G-7 WaterC'' Data'!$AA$4:$AB$7,2,FALSE)))))</f>
        <v/>
      </c>
      <c r="AK35" s="106"/>
      <c r="AL35" s="310" t="str">
        <f>IF(AK35="","",IF(AND(AK35="N/A - Culvert",N35&lt;&gt;"Culvert"),"Not possible ▲",IF(VLOOKUP(AK35,'G-7 WaterC'' Data'!$AD$4:$AE$14,2,FALSE)=0,"Spatial Data Missing ⚠",VLOOKUP(AK35,'G-7 WaterC'' Data'!$AD$4:$AE$14,2,FALSE))))</f>
        <v/>
      </c>
      <c r="AM35" s="275" t="str">
        <f>IF(B35="","",VLOOKUP($B35,'F-1 Off-Site WaterC'' Baseline'!$C$9:$Z$257,17,FALSE))</f>
        <v/>
      </c>
      <c r="AN35" s="276" t="str">
        <f>IF(AM35="","",IF(VLOOKUP(AM35,'G-7 WaterC'' Data'!$AO$4:$BO$7,2,FALSE)=0,"Spatial Data Missing ⚠",VLOOKUP(AM35,'G-7 WaterC'' Data'!$AO$4:$BO$7,2,FALSE)))</f>
        <v/>
      </c>
      <c r="AO35" s="317" t="str">
        <f t="shared" si="7"/>
        <v/>
      </c>
      <c r="AP35" s="317" t="str">
        <f t="shared" si="8"/>
        <v/>
      </c>
      <c r="AQ35" s="101"/>
      <c r="AR35" s="115"/>
      <c r="AS35" s="104"/>
      <c r="AT35" s="104"/>
      <c r="AW35" s="30" t="str">
        <f>IF(E35="","",VLOOKUP($B35,'F-1 Off-Site WaterC'' Baseline'!$C$9:$Z$257,12,FALSE))</f>
        <v/>
      </c>
      <c r="AX35" s="30" t="str">
        <f>IF(E35="","",VLOOKUP($B35,'F-1 Off-Site WaterC'' Baseline'!$C$9:$Z$257,14,FALSE))</f>
        <v/>
      </c>
      <c r="AY35" s="30" t="str">
        <f>IFERROR(INDEX('G-7 WaterC'' Data'!$AZ$3:$AZ$7,MATCH(N35,'G-7 WaterC'' Data'!$AY$3:$AY$7,0)),"")</f>
        <v/>
      </c>
      <c r="AZ35" s="30" t="str">
        <f>IF(B35="","",IF(ISNA(VLOOKUP($B35,'F-1 Off-Site WaterC'' Baseline'!$C$8:$AD$257,20,FALSE)),"",(VLOOKUP($B35,'F-1 Off-Site WaterC'' Baseline'!$C$8:$AD$257,20,FALSE))))</f>
        <v/>
      </c>
      <c r="BC35" s="30" t="str">
        <f>IF(B35="","",VLOOKUP($B35,'F-1 Off-Site WaterC'' Baseline'!$C$9:$AB$257,25,FALSE))</f>
        <v/>
      </c>
      <c r="BD35" s="30" t="str">
        <f t="shared" si="9"/>
        <v/>
      </c>
      <c r="BE35" s="30" t="str">
        <f>IF(B35="","",VLOOKUP($B35,'F-1 Off-Site WaterC'' Baseline'!$C$9:$AB$257,24,FALSE))</f>
        <v/>
      </c>
      <c r="BF35" s="30" t="str">
        <f>IF(B35="","",VLOOKUP($B35,'F-1 Off-Site WaterC'' Baseline'!$C$9:$AB$257,22,FALSE))</f>
        <v/>
      </c>
      <c r="BJ35" s="30" t="str">
        <f t="shared" si="10"/>
        <v>No</v>
      </c>
    </row>
    <row r="36" spans="2:62" ht="14">
      <c r="B36" s="305" t="str">
        <f>'F-1 Off-Site WaterC'' Baseline'!AS34</f>
        <v/>
      </c>
      <c r="C36" s="295" t="str">
        <f>IF(B36="","",VLOOKUP($B36,'F-1 Off-Site WaterC'' Baseline'!$C$9:$R$257,2,FALSE))</f>
        <v/>
      </c>
      <c r="D36" s="295" t="str">
        <f>IF(C36="","",VLOOKUP($B36,'F-1 Off-Site WaterC'' Baseline'!$C$9:$R$257,3,FALSE))</f>
        <v/>
      </c>
      <c r="E36" s="295" t="str">
        <f>IF(D36="","",VLOOKUP($B36,'F-1 Off-Site WaterC'' Baseline'!$C$9:$R$257,4,FALSE))</f>
        <v/>
      </c>
      <c r="F36" s="295" t="str">
        <f>IF(E36="","",VLOOKUP($B36,'F-1 Off-Site WaterC'' Baseline'!$C$9:$R$257,5,FALSE))</f>
        <v/>
      </c>
      <c r="G36" s="295" t="str">
        <f>IF(F36="","",VLOOKUP($B36,'F-1 Off-Site WaterC'' Baseline'!$C$9:$R$257,6,FALSE))</f>
        <v/>
      </c>
      <c r="H36" s="295" t="str">
        <f>IF(G36="","",VLOOKUP($B36,'F-1 Off-Site WaterC'' Baseline'!$C$9:$R$257,7,FALSE))</f>
        <v/>
      </c>
      <c r="I36" s="295" t="str">
        <f>IF(H36="","",VLOOKUP($B36,'F-1 Off-Site WaterC'' Baseline'!$C$9:$R$257,8,FALSE))</f>
        <v/>
      </c>
      <c r="J36" s="295" t="str">
        <f>IF(I36="","",VLOOKUP($B36,'F-1 Off-Site WaterC'' Baseline'!$C$9:$R$257,9,FALSE))</f>
        <v/>
      </c>
      <c r="K36" s="295" t="str">
        <f>IF(J36="","",VLOOKUP($B36,'F-1 Off-Site WaterC'' Baseline'!$C$9:$R$257,10,FALSE))</f>
        <v/>
      </c>
      <c r="L36" s="283" t="str">
        <f>IF(B36="","",VLOOKUP($B36,'F-1 Off-Site WaterC'' Baseline'!$C$9:$R$257,15,FALSE))</f>
        <v/>
      </c>
      <c r="M36" s="299" t="str">
        <f>IF(L36="","",VLOOKUP($B36,'F-1 Off-Site WaterC'' Baseline'!$C$9:$V$257,19,FALSE))</f>
        <v/>
      </c>
      <c r="N36" s="244"/>
      <c r="O36" s="275" t="str">
        <f t="shared" si="2"/>
        <v/>
      </c>
      <c r="P36" s="276" t="str">
        <f t="shared" si="3"/>
        <v/>
      </c>
      <c r="Q36" s="281" t="str">
        <f>IF(N36="","",VLOOKUP(B36,'F-1 Off-Site WaterC'' Baseline'!$C$10:$AF$257,23,FALSE))</f>
        <v/>
      </c>
      <c r="R36" s="275" t="str">
        <f>IF(N36="","",VLOOKUP(N36,'G-7 WaterC'' Data'!$B$2:$G$8,2,FALSE))</f>
        <v/>
      </c>
      <c r="S36" s="276" t="str">
        <f>IFERROR(VLOOKUP(R36,'G-7 WaterC'' Data'!$C$4:$D$8,2,FALSE),"")</f>
        <v/>
      </c>
      <c r="T36" s="101"/>
      <c r="U36" s="276" t="str">
        <f>IFERROR(INDEX('G-7 WaterC'' Data'!$H$4:$L$8,MATCH(N36,'G-7 WaterC'' Data'!$B$4:$B$8,0),MATCH(T36,'G-7 WaterC'' Data'!$H$3:$L$3,0)),"")</f>
        <v/>
      </c>
      <c r="V36" s="105"/>
      <c r="W36" s="295" t="str">
        <f>IF(V36="","",IF(VLOOKUP(V36,'G-7 WaterC'' Data'!$AK$4:$AM$6,2,FALSE)=0,"Spatial Data Missing ⚠",VLOOKUP(V36,'G-7 WaterC'' Data'!$AK$4:$AM$6,2,FALSE)))</f>
        <v/>
      </c>
      <c r="X36" s="299" t="str">
        <f>IF(V36="","",IF(VLOOKUP(V36,'G-7 WaterC'' Data'!$AK$4:$AM$6,3,FALSE)=0,"Spatial Data Missing ⚠",VLOOKUP(V36,'G-7 WaterC'' Data'!$AK$4:$AM$6,3,FALSE)))</f>
        <v/>
      </c>
      <c r="Y36" s="311" t="str">
        <f>IFERROR(IF(OR(LEFT(P36,5)="Error",LEFT(O36,5)="Error"),"Check Data ⚠",IF(F36&lt;S36,'G-7 WaterC'' Data'!$R$3,INDEX('G-7 WaterC'' Data'!$U$5:$Y$9,MATCH(G36,'G-7 WaterC'' Data'!$T$5:$T$9,0),MATCH(T36,'G-7 WaterC'' Data'!$U$4:$Y$4,0)))),"")</f>
        <v/>
      </c>
      <c r="Z36" s="138"/>
      <c r="AA36" s="138"/>
      <c r="AB36" s="308" t="str">
        <f t="shared" si="4"/>
        <v/>
      </c>
      <c r="AC36" s="296" t="str">
        <f t="shared" si="5"/>
        <v/>
      </c>
      <c r="AD36" s="334" t="str">
        <f>IFERROR(IF(AC36="Check Data ⚠","Check Data ⚠",VLOOKUP(AC36,'G-4 Temporal multipliers'!$A$4:$C$37,3,FALSE)),"")</f>
        <v/>
      </c>
      <c r="AE36" s="311" t="str">
        <f>IF(N36="","",VLOOKUP(N36,'G-7 WaterC'' Data'!$B$4:$G$8,5,FALSE))</f>
        <v/>
      </c>
      <c r="AF36" s="295" t="str">
        <f t="shared" si="0"/>
        <v/>
      </c>
      <c r="AG36" s="295" t="str">
        <f t="shared" si="6"/>
        <v/>
      </c>
      <c r="AH36" s="276" t="str">
        <f t="shared" si="1"/>
        <v/>
      </c>
      <c r="AI36" s="105"/>
      <c r="AJ36" s="276" t="str">
        <f>IF(AI36="","",(IF(AND(AI36="N/A - Culvert",N36&lt;&gt;"Culvert"),"Not possible ▲",IF(VLOOKUP(AI36,'G-7 WaterC'' Data'!$AA$4:$AB$7,2,FALSE)=0,"Spatial Data Missing ⚠",VLOOKUP(AI36,'G-7 WaterC'' Data'!$AA$4:$AB$7,2,FALSE)))))</f>
        <v/>
      </c>
      <c r="AK36" s="106"/>
      <c r="AL36" s="310" t="str">
        <f>IF(AK36="","",IF(AND(AK36="N/A - Culvert",N36&lt;&gt;"Culvert"),"Not possible ▲",IF(VLOOKUP(AK36,'G-7 WaterC'' Data'!$AD$4:$AE$14,2,FALSE)=0,"Spatial Data Missing ⚠",VLOOKUP(AK36,'G-7 WaterC'' Data'!$AD$4:$AE$14,2,FALSE))))</f>
        <v/>
      </c>
      <c r="AM36" s="275" t="str">
        <f>IF(B36="","",VLOOKUP($B36,'F-1 Off-Site WaterC'' Baseline'!$C$9:$Z$257,17,FALSE))</f>
        <v/>
      </c>
      <c r="AN36" s="276" t="str">
        <f>IF(AM36="","",IF(VLOOKUP(AM36,'G-7 WaterC'' Data'!$AO$4:$BO$7,2,FALSE)=0,"Spatial Data Missing ⚠",VLOOKUP(AM36,'G-7 WaterC'' Data'!$AO$4:$BO$7,2,FALSE)))</f>
        <v/>
      </c>
      <c r="AO36" s="317" t="str">
        <f t="shared" si="7"/>
        <v/>
      </c>
      <c r="AP36" s="317" t="str">
        <f t="shared" si="8"/>
        <v/>
      </c>
      <c r="AQ36" s="101"/>
      <c r="AR36" s="115"/>
      <c r="AS36" s="104"/>
      <c r="AT36" s="104"/>
      <c r="AW36" s="30" t="str">
        <f>IF(E36="","",VLOOKUP($B36,'F-1 Off-Site WaterC'' Baseline'!$C$9:$Z$257,12,FALSE))</f>
        <v/>
      </c>
      <c r="AX36" s="30" t="str">
        <f>IF(E36="","",VLOOKUP($B36,'F-1 Off-Site WaterC'' Baseline'!$C$9:$Z$257,14,FALSE))</f>
        <v/>
      </c>
      <c r="AY36" s="30" t="str">
        <f>IFERROR(INDEX('G-7 WaterC'' Data'!$AZ$3:$AZ$7,MATCH(N36,'G-7 WaterC'' Data'!$AY$3:$AY$7,0)),"")</f>
        <v/>
      </c>
      <c r="AZ36" s="30" t="str">
        <f>IF(B36="","",IF(ISNA(VLOOKUP($B36,'F-1 Off-Site WaterC'' Baseline'!$C$8:$AD$257,20,FALSE)),"",(VLOOKUP($B36,'F-1 Off-Site WaterC'' Baseline'!$C$8:$AD$257,20,FALSE))))</f>
        <v/>
      </c>
      <c r="BC36" s="30" t="str">
        <f>IF(B36="","",VLOOKUP($B36,'F-1 Off-Site WaterC'' Baseline'!$C$9:$AB$257,25,FALSE))</f>
        <v/>
      </c>
      <c r="BD36" s="30" t="str">
        <f t="shared" si="9"/>
        <v/>
      </c>
      <c r="BE36" s="30" t="str">
        <f>IF(B36="","",VLOOKUP($B36,'F-1 Off-Site WaterC'' Baseline'!$C$9:$AB$257,24,FALSE))</f>
        <v/>
      </c>
      <c r="BF36" s="30" t="str">
        <f>IF(B36="","",VLOOKUP($B36,'F-1 Off-Site WaterC'' Baseline'!$C$9:$AB$257,22,FALSE))</f>
        <v/>
      </c>
      <c r="BJ36" s="30" t="str">
        <f t="shared" si="10"/>
        <v>No</v>
      </c>
    </row>
    <row r="37" spans="2:62" ht="14">
      <c r="B37" s="305" t="str">
        <f>'F-1 Off-Site WaterC'' Baseline'!AS35</f>
        <v/>
      </c>
      <c r="C37" s="295" t="str">
        <f>IF(B37="","",VLOOKUP($B37,'F-1 Off-Site WaterC'' Baseline'!$C$9:$R$257,2,FALSE))</f>
        <v/>
      </c>
      <c r="D37" s="295" t="str">
        <f>IF(C37="","",VLOOKUP($B37,'F-1 Off-Site WaterC'' Baseline'!$C$9:$R$257,3,FALSE))</f>
        <v/>
      </c>
      <c r="E37" s="295" t="str">
        <f>IF(D37="","",VLOOKUP($B37,'F-1 Off-Site WaterC'' Baseline'!$C$9:$R$257,4,FALSE))</f>
        <v/>
      </c>
      <c r="F37" s="295" t="str">
        <f>IF(E37="","",VLOOKUP($B37,'F-1 Off-Site WaterC'' Baseline'!$C$9:$R$257,5,FALSE))</f>
        <v/>
      </c>
      <c r="G37" s="295" t="str">
        <f>IF(F37="","",VLOOKUP($B37,'F-1 Off-Site WaterC'' Baseline'!$C$9:$R$257,6,FALSE))</f>
        <v/>
      </c>
      <c r="H37" s="295" t="str">
        <f>IF(G37="","",VLOOKUP($B37,'F-1 Off-Site WaterC'' Baseline'!$C$9:$R$257,7,FALSE))</f>
        <v/>
      </c>
      <c r="I37" s="295" t="str">
        <f>IF(H37="","",VLOOKUP($B37,'F-1 Off-Site WaterC'' Baseline'!$C$9:$R$257,8,FALSE))</f>
        <v/>
      </c>
      <c r="J37" s="295" t="str">
        <f>IF(I37="","",VLOOKUP($B37,'F-1 Off-Site WaterC'' Baseline'!$C$9:$R$257,9,FALSE))</f>
        <v/>
      </c>
      <c r="K37" s="295" t="str">
        <f>IF(J37="","",VLOOKUP($B37,'F-1 Off-Site WaterC'' Baseline'!$C$9:$R$257,10,FALSE))</f>
        <v/>
      </c>
      <c r="L37" s="283" t="str">
        <f>IF(B37="","",VLOOKUP($B37,'F-1 Off-Site WaterC'' Baseline'!$C$9:$R$257,15,FALSE))</f>
        <v/>
      </c>
      <c r="M37" s="299" t="str">
        <f>IF(L37="","",VLOOKUP($B37,'F-1 Off-Site WaterC'' Baseline'!$C$9:$V$257,19,FALSE))</f>
        <v/>
      </c>
      <c r="N37" s="244"/>
      <c r="O37" s="275" t="str">
        <f t="shared" si="2"/>
        <v/>
      </c>
      <c r="P37" s="276" t="str">
        <f t="shared" si="3"/>
        <v/>
      </c>
      <c r="Q37" s="281" t="str">
        <f>IF(N37="","",VLOOKUP(B37,'F-1 Off-Site WaterC'' Baseline'!$C$10:$AF$257,23,FALSE))</f>
        <v/>
      </c>
      <c r="R37" s="275" t="str">
        <f>IF(N37="","",VLOOKUP(N37,'G-7 WaterC'' Data'!$B$2:$G$8,2,FALSE))</f>
        <v/>
      </c>
      <c r="S37" s="276" t="str">
        <f>IFERROR(VLOOKUP(R37,'G-7 WaterC'' Data'!$C$4:$D$8,2,FALSE),"")</f>
        <v/>
      </c>
      <c r="T37" s="101"/>
      <c r="U37" s="276" t="str">
        <f>IFERROR(INDEX('G-7 WaterC'' Data'!$H$4:$L$8,MATCH(N37,'G-7 WaterC'' Data'!$B$4:$B$8,0),MATCH(T37,'G-7 WaterC'' Data'!$H$3:$L$3,0)),"")</f>
        <v/>
      </c>
      <c r="V37" s="105"/>
      <c r="W37" s="295" t="str">
        <f>IF(V37="","",IF(VLOOKUP(V37,'G-7 WaterC'' Data'!$AK$4:$AM$6,2,FALSE)=0,"Spatial Data Missing ⚠",VLOOKUP(V37,'G-7 WaterC'' Data'!$AK$4:$AM$6,2,FALSE)))</f>
        <v/>
      </c>
      <c r="X37" s="299" t="str">
        <f>IF(V37="","",IF(VLOOKUP(V37,'G-7 WaterC'' Data'!$AK$4:$AM$6,3,FALSE)=0,"Spatial Data Missing ⚠",VLOOKUP(V37,'G-7 WaterC'' Data'!$AK$4:$AM$6,3,FALSE)))</f>
        <v/>
      </c>
      <c r="Y37" s="311" t="str">
        <f>IFERROR(IF(OR(LEFT(P37,5)="Error",LEFT(O37,5)="Error"),"Check Data ⚠",IF(F37&lt;S37,'G-7 WaterC'' Data'!$R$3,INDEX('G-7 WaterC'' Data'!$U$5:$Y$9,MATCH(G37,'G-7 WaterC'' Data'!$T$5:$T$9,0),MATCH(T37,'G-7 WaterC'' Data'!$U$4:$Y$4,0)))),"")</f>
        <v/>
      </c>
      <c r="Z37" s="138"/>
      <c r="AA37" s="138"/>
      <c r="AB37" s="308" t="str">
        <f t="shared" si="4"/>
        <v/>
      </c>
      <c r="AC37" s="296" t="str">
        <f t="shared" si="5"/>
        <v/>
      </c>
      <c r="AD37" s="334" t="str">
        <f>IFERROR(IF(AC37="Check Data ⚠","Check Data ⚠",VLOOKUP(AC37,'G-4 Temporal multipliers'!$A$4:$C$37,3,FALSE)),"")</f>
        <v/>
      </c>
      <c r="AE37" s="311" t="str">
        <f>IF(N37="","",VLOOKUP(N37,'G-7 WaterC'' Data'!$B$4:$G$8,5,FALSE))</f>
        <v/>
      </c>
      <c r="AF37" s="295" t="str">
        <f t="shared" si="0"/>
        <v/>
      </c>
      <c r="AG37" s="295" t="str">
        <f t="shared" si="6"/>
        <v/>
      </c>
      <c r="AH37" s="276" t="str">
        <f t="shared" si="1"/>
        <v/>
      </c>
      <c r="AI37" s="105"/>
      <c r="AJ37" s="276" t="str">
        <f>IF(AI37="","",(IF(AND(AI37="N/A - Culvert",N37&lt;&gt;"Culvert"),"Not possible ▲",IF(VLOOKUP(AI37,'G-7 WaterC'' Data'!$AA$4:$AB$7,2,FALSE)=0,"Spatial Data Missing ⚠",VLOOKUP(AI37,'G-7 WaterC'' Data'!$AA$4:$AB$7,2,FALSE)))))</f>
        <v/>
      </c>
      <c r="AK37" s="106"/>
      <c r="AL37" s="310" t="str">
        <f>IF(AK37="","",IF(AND(AK37="N/A - Culvert",N37&lt;&gt;"Culvert"),"Not possible ▲",IF(VLOOKUP(AK37,'G-7 WaterC'' Data'!$AD$4:$AE$14,2,FALSE)=0,"Spatial Data Missing ⚠",VLOOKUP(AK37,'G-7 WaterC'' Data'!$AD$4:$AE$14,2,FALSE))))</f>
        <v/>
      </c>
      <c r="AM37" s="275" t="str">
        <f>IF(B37="","",VLOOKUP($B37,'F-1 Off-Site WaterC'' Baseline'!$C$9:$Z$257,17,FALSE))</f>
        <v/>
      </c>
      <c r="AN37" s="276" t="str">
        <f>IF(AM37="","",IF(VLOOKUP(AM37,'G-7 WaterC'' Data'!$AO$4:$BO$7,2,FALSE)=0,"Spatial Data Missing ⚠",VLOOKUP(AM37,'G-7 WaterC'' Data'!$AO$4:$BO$7,2,FALSE)))</f>
        <v/>
      </c>
      <c r="AO37" s="317" t="str">
        <f t="shared" si="7"/>
        <v/>
      </c>
      <c r="AP37" s="317" t="str">
        <f t="shared" si="8"/>
        <v/>
      </c>
      <c r="AQ37" s="101"/>
      <c r="AR37" s="115"/>
      <c r="AS37" s="104"/>
      <c r="AT37" s="104"/>
      <c r="AW37" s="30" t="str">
        <f>IF(E37="","",VLOOKUP($B37,'F-1 Off-Site WaterC'' Baseline'!$C$9:$Z$257,12,FALSE))</f>
        <v/>
      </c>
      <c r="AX37" s="30" t="str">
        <f>IF(E37="","",VLOOKUP($B37,'F-1 Off-Site WaterC'' Baseline'!$C$9:$Z$257,14,FALSE))</f>
        <v/>
      </c>
      <c r="AY37" s="30" t="str">
        <f>IFERROR(INDEX('G-7 WaterC'' Data'!$AZ$3:$AZ$7,MATCH(N37,'G-7 WaterC'' Data'!$AY$3:$AY$7,0)),"")</f>
        <v/>
      </c>
      <c r="AZ37" s="30" t="str">
        <f>IF(B37="","",IF(ISNA(VLOOKUP($B37,'F-1 Off-Site WaterC'' Baseline'!$C$8:$AD$257,20,FALSE)),"",(VLOOKUP($B37,'F-1 Off-Site WaterC'' Baseline'!$C$8:$AD$257,20,FALSE))))</f>
        <v/>
      </c>
      <c r="BC37" s="30" t="str">
        <f>IF(B37="","",VLOOKUP($B37,'F-1 Off-Site WaterC'' Baseline'!$C$9:$AB$257,25,FALSE))</f>
        <v/>
      </c>
      <c r="BD37" s="30" t="str">
        <f t="shared" si="9"/>
        <v/>
      </c>
      <c r="BE37" s="30" t="str">
        <f>IF(B37="","",VLOOKUP($B37,'F-1 Off-Site WaterC'' Baseline'!$C$9:$AB$257,24,FALSE))</f>
        <v/>
      </c>
      <c r="BF37" s="30" t="str">
        <f>IF(B37="","",VLOOKUP($B37,'F-1 Off-Site WaterC'' Baseline'!$C$9:$AB$257,22,FALSE))</f>
        <v/>
      </c>
      <c r="BJ37" s="30" t="str">
        <f t="shared" si="10"/>
        <v>No</v>
      </c>
    </row>
    <row r="38" spans="2:62" ht="14">
      <c r="B38" s="305" t="str">
        <f>'F-1 Off-Site WaterC'' Baseline'!AS36</f>
        <v/>
      </c>
      <c r="C38" s="295" t="str">
        <f>IF(B38="","",VLOOKUP($B38,'F-1 Off-Site WaterC'' Baseline'!$C$9:$R$257,2,FALSE))</f>
        <v/>
      </c>
      <c r="D38" s="295" t="str">
        <f>IF(C38="","",VLOOKUP($B38,'F-1 Off-Site WaterC'' Baseline'!$C$9:$R$257,3,FALSE))</f>
        <v/>
      </c>
      <c r="E38" s="295" t="str">
        <f>IF(D38="","",VLOOKUP($B38,'F-1 Off-Site WaterC'' Baseline'!$C$9:$R$257,4,FALSE))</f>
        <v/>
      </c>
      <c r="F38" s="295" t="str">
        <f>IF(E38="","",VLOOKUP($B38,'F-1 Off-Site WaterC'' Baseline'!$C$9:$R$257,5,FALSE))</f>
        <v/>
      </c>
      <c r="G38" s="295" t="str">
        <f>IF(F38="","",VLOOKUP($B38,'F-1 Off-Site WaterC'' Baseline'!$C$9:$R$257,6,FALSE))</f>
        <v/>
      </c>
      <c r="H38" s="295" t="str">
        <f>IF(G38="","",VLOOKUP($B38,'F-1 Off-Site WaterC'' Baseline'!$C$9:$R$257,7,FALSE))</f>
        <v/>
      </c>
      <c r="I38" s="295" t="str">
        <f>IF(H38="","",VLOOKUP($B38,'F-1 Off-Site WaterC'' Baseline'!$C$9:$R$257,8,FALSE))</f>
        <v/>
      </c>
      <c r="J38" s="295" t="str">
        <f>IF(I38="","",VLOOKUP($B38,'F-1 Off-Site WaterC'' Baseline'!$C$9:$R$257,9,FALSE))</f>
        <v/>
      </c>
      <c r="K38" s="295" t="str">
        <f>IF(J38="","",VLOOKUP($B38,'F-1 Off-Site WaterC'' Baseline'!$C$9:$R$257,10,FALSE))</f>
        <v/>
      </c>
      <c r="L38" s="283" t="str">
        <f>IF(B38="","",VLOOKUP($B38,'F-1 Off-Site WaterC'' Baseline'!$C$9:$R$257,15,FALSE))</f>
        <v/>
      </c>
      <c r="M38" s="299" t="str">
        <f>IF(L38="","",VLOOKUP($B38,'F-1 Off-Site WaterC'' Baseline'!$C$9:$V$257,19,FALSE))</f>
        <v/>
      </c>
      <c r="N38" s="244"/>
      <c r="O38" s="275" t="str">
        <f t="shared" si="2"/>
        <v/>
      </c>
      <c r="P38" s="276" t="str">
        <f t="shared" si="3"/>
        <v/>
      </c>
      <c r="Q38" s="281" t="str">
        <f>IF(N38="","",VLOOKUP(B38,'F-1 Off-Site WaterC'' Baseline'!$C$10:$AF$257,23,FALSE))</f>
        <v/>
      </c>
      <c r="R38" s="275" t="str">
        <f>IF(N38="","",VLOOKUP(N38,'G-7 WaterC'' Data'!$B$2:$G$8,2,FALSE))</f>
        <v/>
      </c>
      <c r="S38" s="276" t="str">
        <f>IFERROR(VLOOKUP(R38,'G-7 WaterC'' Data'!$C$4:$D$8,2,FALSE),"")</f>
        <v/>
      </c>
      <c r="T38" s="101"/>
      <c r="U38" s="276" t="str">
        <f>IFERROR(INDEX('G-7 WaterC'' Data'!$H$4:$L$8,MATCH(N38,'G-7 WaterC'' Data'!$B$4:$B$8,0),MATCH(T38,'G-7 WaterC'' Data'!$H$3:$L$3,0)),"")</f>
        <v/>
      </c>
      <c r="V38" s="105"/>
      <c r="W38" s="295" t="str">
        <f>IF(V38="","",IF(VLOOKUP(V38,'G-7 WaterC'' Data'!$AK$4:$AM$6,2,FALSE)=0,"Spatial Data Missing ⚠",VLOOKUP(V38,'G-7 WaterC'' Data'!$AK$4:$AM$6,2,FALSE)))</f>
        <v/>
      </c>
      <c r="X38" s="299" t="str">
        <f>IF(V38="","",IF(VLOOKUP(V38,'G-7 WaterC'' Data'!$AK$4:$AM$6,3,FALSE)=0,"Spatial Data Missing ⚠",VLOOKUP(V38,'G-7 WaterC'' Data'!$AK$4:$AM$6,3,FALSE)))</f>
        <v/>
      </c>
      <c r="Y38" s="311" t="str">
        <f>IFERROR(IF(OR(LEFT(P38,5)="Error",LEFT(O38,5)="Error"),"Check Data ⚠",IF(F38&lt;S38,'G-7 WaterC'' Data'!$R$3,INDEX('G-7 WaterC'' Data'!$U$5:$Y$9,MATCH(G38,'G-7 WaterC'' Data'!$T$5:$T$9,0),MATCH(T38,'G-7 WaterC'' Data'!$U$4:$Y$4,0)))),"")</f>
        <v/>
      </c>
      <c r="Z38" s="138"/>
      <c r="AA38" s="138"/>
      <c r="AB38" s="308" t="str">
        <f t="shared" si="4"/>
        <v/>
      </c>
      <c r="AC38" s="296" t="str">
        <f t="shared" si="5"/>
        <v/>
      </c>
      <c r="AD38" s="334" t="str">
        <f>IFERROR(IF(AC38="Check Data ⚠","Check Data ⚠",VLOOKUP(AC38,'G-4 Temporal multipliers'!$A$4:$C$37,3,FALSE)),"")</f>
        <v/>
      </c>
      <c r="AE38" s="311" t="str">
        <f>IF(N38="","",VLOOKUP(N38,'G-7 WaterC'' Data'!$B$4:$G$8,5,FALSE))</f>
        <v/>
      </c>
      <c r="AF38" s="295" t="str">
        <f t="shared" si="0"/>
        <v/>
      </c>
      <c r="AG38" s="295" t="str">
        <f t="shared" si="6"/>
        <v/>
      </c>
      <c r="AH38" s="276" t="str">
        <f t="shared" si="1"/>
        <v/>
      </c>
      <c r="AI38" s="105"/>
      <c r="AJ38" s="276" t="str">
        <f>IF(AI38="","",(IF(AND(AI38="N/A - Culvert",N38&lt;&gt;"Culvert"),"Not possible ▲",IF(VLOOKUP(AI38,'G-7 WaterC'' Data'!$AA$4:$AB$7,2,FALSE)=0,"Spatial Data Missing ⚠",VLOOKUP(AI38,'G-7 WaterC'' Data'!$AA$4:$AB$7,2,FALSE)))))</f>
        <v/>
      </c>
      <c r="AK38" s="106"/>
      <c r="AL38" s="310" t="str">
        <f>IF(AK38="","",IF(AND(AK38="N/A - Culvert",N38&lt;&gt;"Culvert"),"Not possible ▲",IF(VLOOKUP(AK38,'G-7 WaterC'' Data'!$AD$4:$AE$14,2,FALSE)=0,"Spatial Data Missing ⚠",VLOOKUP(AK38,'G-7 WaterC'' Data'!$AD$4:$AE$14,2,FALSE))))</f>
        <v/>
      </c>
      <c r="AM38" s="275" t="str">
        <f>IF(B38="","",VLOOKUP($B38,'F-1 Off-Site WaterC'' Baseline'!$C$9:$Z$257,17,FALSE))</f>
        <v/>
      </c>
      <c r="AN38" s="276" t="str">
        <f>IF(AM38="","",IF(VLOOKUP(AM38,'G-7 WaterC'' Data'!$AO$4:$BO$7,2,FALSE)=0,"Spatial Data Missing ⚠",VLOOKUP(AM38,'G-7 WaterC'' Data'!$AO$4:$BO$7,2,FALSE)))</f>
        <v/>
      </c>
      <c r="AO38" s="317" t="str">
        <f t="shared" si="7"/>
        <v/>
      </c>
      <c r="AP38" s="317" t="str">
        <f t="shared" si="8"/>
        <v/>
      </c>
      <c r="AQ38" s="101"/>
      <c r="AR38" s="115"/>
      <c r="AS38" s="104"/>
      <c r="AT38" s="104"/>
      <c r="AW38" s="30" t="str">
        <f>IF(E38="","",VLOOKUP($B38,'F-1 Off-Site WaterC'' Baseline'!$C$9:$Z$257,12,FALSE))</f>
        <v/>
      </c>
      <c r="AX38" s="30" t="str">
        <f>IF(E38="","",VLOOKUP($B38,'F-1 Off-Site WaterC'' Baseline'!$C$9:$Z$257,14,FALSE))</f>
        <v/>
      </c>
      <c r="AY38" s="30" t="str">
        <f>IFERROR(INDEX('G-7 WaterC'' Data'!$AZ$3:$AZ$7,MATCH(N38,'G-7 WaterC'' Data'!$AY$3:$AY$7,0)),"")</f>
        <v/>
      </c>
      <c r="AZ38" s="30" t="str">
        <f>IF(B38="","",IF(ISNA(VLOOKUP($B38,'F-1 Off-Site WaterC'' Baseline'!$C$8:$AD$257,20,FALSE)),"",(VLOOKUP($B38,'F-1 Off-Site WaterC'' Baseline'!$C$8:$AD$257,20,FALSE))))</f>
        <v/>
      </c>
      <c r="BC38" s="30" t="str">
        <f>IF(B38="","",VLOOKUP($B38,'F-1 Off-Site WaterC'' Baseline'!$C$9:$AB$257,25,FALSE))</f>
        <v/>
      </c>
      <c r="BD38" s="30" t="str">
        <f t="shared" si="9"/>
        <v/>
      </c>
      <c r="BE38" s="30" t="str">
        <f>IF(B38="","",VLOOKUP($B38,'F-1 Off-Site WaterC'' Baseline'!$C$9:$AB$257,24,FALSE))</f>
        <v/>
      </c>
      <c r="BF38" s="30" t="str">
        <f>IF(B38="","",VLOOKUP($B38,'F-1 Off-Site WaterC'' Baseline'!$C$9:$AB$257,22,FALSE))</f>
        <v/>
      </c>
      <c r="BJ38" s="30" t="str">
        <f t="shared" si="10"/>
        <v>No</v>
      </c>
    </row>
    <row r="39" spans="2:62" ht="14">
      <c r="B39" s="305" t="str">
        <f>'F-1 Off-Site WaterC'' Baseline'!AS37</f>
        <v/>
      </c>
      <c r="C39" s="295" t="str">
        <f>IF(B39="","",VLOOKUP($B39,'F-1 Off-Site WaterC'' Baseline'!$C$9:$R$257,2,FALSE))</f>
        <v/>
      </c>
      <c r="D39" s="295" t="str">
        <f>IF(C39="","",VLOOKUP($B39,'F-1 Off-Site WaterC'' Baseline'!$C$9:$R$257,3,FALSE))</f>
        <v/>
      </c>
      <c r="E39" s="295" t="str">
        <f>IF(D39="","",VLOOKUP($B39,'F-1 Off-Site WaterC'' Baseline'!$C$9:$R$257,4,FALSE))</f>
        <v/>
      </c>
      <c r="F39" s="295" t="str">
        <f>IF(E39="","",VLOOKUP($B39,'F-1 Off-Site WaterC'' Baseline'!$C$9:$R$257,5,FALSE))</f>
        <v/>
      </c>
      <c r="G39" s="295" t="str">
        <f>IF(F39="","",VLOOKUP($B39,'F-1 Off-Site WaterC'' Baseline'!$C$9:$R$257,6,FALSE))</f>
        <v/>
      </c>
      <c r="H39" s="295" t="str">
        <f>IF(G39="","",VLOOKUP($B39,'F-1 Off-Site WaterC'' Baseline'!$C$9:$R$257,7,FALSE))</f>
        <v/>
      </c>
      <c r="I39" s="295" t="str">
        <f>IF(H39="","",VLOOKUP($B39,'F-1 Off-Site WaterC'' Baseline'!$C$9:$R$257,8,FALSE))</f>
        <v/>
      </c>
      <c r="J39" s="295" t="str">
        <f>IF(I39="","",VLOOKUP($B39,'F-1 Off-Site WaterC'' Baseline'!$C$9:$R$257,9,FALSE))</f>
        <v/>
      </c>
      <c r="K39" s="295" t="str">
        <f>IF(J39="","",VLOOKUP($B39,'F-1 Off-Site WaterC'' Baseline'!$C$9:$R$257,10,FALSE))</f>
        <v/>
      </c>
      <c r="L39" s="283" t="str">
        <f>IF(B39="","",VLOOKUP($B39,'F-1 Off-Site WaterC'' Baseline'!$C$9:$R$257,15,FALSE))</f>
        <v/>
      </c>
      <c r="M39" s="299" t="str">
        <f>IF(L39="","",VLOOKUP($B39,'F-1 Off-Site WaterC'' Baseline'!$C$9:$V$257,19,FALSE))</f>
        <v/>
      </c>
      <c r="N39" s="244"/>
      <c r="O39" s="275" t="str">
        <f t="shared" si="2"/>
        <v/>
      </c>
      <c r="P39" s="276" t="str">
        <f t="shared" si="3"/>
        <v/>
      </c>
      <c r="Q39" s="281" t="str">
        <f>IF(N39="","",VLOOKUP(B39,'F-1 Off-Site WaterC'' Baseline'!$C$10:$AF$257,23,FALSE))</f>
        <v/>
      </c>
      <c r="R39" s="275" t="str">
        <f>IF(N39="","",VLOOKUP(N39,'G-7 WaterC'' Data'!$B$2:$G$8,2,FALSE))</f>
        <v/>
      </c>
      <c r="S39" s="276" t="str">
        <f>IFERROR(VLOOKUP(R39,'G-7 WaterC'' Data'!$C$4:$D$8,2,FALSE),"")</f>
        <v/>
      </c>
      <c r="T39" s="101"/>
      <c r="U39" s="276" t="str">
        <f>IFERROR(INDEX('G-7 WaterC'' Data'!$H$4:$L$8,MATCH(N39,'G-7 WaterC'' Data'!$B$4:$B$8,0),MATCH(T39,'G-7 WaterC'' Data'!$H$3:$L$3,0)),"")</f>
        <v/>
      </c>
      <c r="V39" s="105"/>
      <c r="W39" s="295" t="str">
        <f>IF(V39="","",IF(VLOOKUP(V39,'G-7 WaterC'' Data'!$AK$4:$AM$6,2,FALSE)=0,"Spatial Data Missing ⚠",VLOOKUP(V39,'G-7 WaterC'' Data'!$AK$4:$AM$6,2,FALSE)))</f>
        <v/>
      </c>
      <c r="X39" s="299" t="str">
        <f>IF(V39="","",IF(VLOOKUP(V39,'G-7 WaterC'' Data'!$AK$4:$AM$6,3,FALSE)=0,"Spatial Data Missing ⚠",VLOOKUP(V39,'G-7 WaterC'' Data'!$AK$4:$AM$6,3,FALSE)))</f>
        <v/>
      </c>
      <c r="Y39" s="311" t="str">
        <f>IFERROR(IF(OR(LEFT(P39,5)="Error",LEFT(O39,5)="Error"),"Check Data ⚠",IF(F39&lt;S39,'G-7 WaterC'' Data'!$R$3,INDEX('G-7 WaterC'' Data'!$U$5:$Y$9,MATCH(G39,'G-7 WaterC'' Data'!$T$5:$T$9,0),MATCH(T39,'G-7 WaterC'' Data'!$U$4:$Y$4,0)))),"")</f>
        <v/>
      </c>
      <c r="Z39" s="138"/>
      <c r="AA39" s="138"/>
      <c r="AB39" s="308" t="str">
        <f t="shared" si="4"/>
        <v/>
      </c>
      <c r="AC39" s="296" t="str">
        <f t="shared" si="5"/>
        <v/>
      </c>
      <c r="AD39" s="334" t="str">
        <f>IFERROR(IF(AC39="Check Data ⚠","Check Data ⚠",VLOOKUP(AC39,'G-4 Temporal multipliers'!$A$4:$C$37,3,FALSE)),"")</f>
        <v/>
      </c>
      <c r="AE39" s="311" t="str">
        <f>IF(N39="","",VLOOKUP(N39,'G-7 WaterC'' Data'!$B$4:$G$8,5,FALSE))</f>
        <v/>
      </c>
      <c r="AF39" s="295" t="str">
        <f t="shared" si="0"/>
        <v/>
      </c>
      <c r="AG39" s="295" t="str">
        <f t="shared" si="6"/>
        <v/>
      </c>
      <c r="AH39" s="276" t="str">
        <f t="shared" si="1"/>
        <v/>
      </c>
      <c r="AI39" s="105"/>
      <c r="AJ39" s="276" t="str">
        <f>IF(AI39="","",(IF(AND(AI39="N/A - Culvert",N39&lt;&gt;"Culvert"),"Not possible ▲",IF(VLOOKUP(AI39,'G-7 WaterC'' Data'!$AA$4:$AB$7,2,FALSE)=0,"Spatial Data Missing ⚠",VLOOKUP(AI39,'G-7 WaterC'' Data'!$AA$4:$AB$7,2,FALSE)))))</f>
        <v/>
      </c>
      <c r="AK39" s="106"/>
      <c r="AL39" s="310" t="str">
        <f>IF(AK39="","",IF(AND(AK39="N/A - Culvert",N39&lt;&gt;"Culvert"),"Not possible ▲",IF(VLOOKUP(AK39,'G-7 WaterC'' Data'!$AD$4:$AE$14,2,FALSE)=0,"Spatial Data Missing ⚠",VLOOKUP(AK39,'G-7 WaterC'' Data'!$AD$4:$AE$14,2,FALSE))))</f>
        <v/>
      </c>
      <c r="AM39" s="275" t="str">
        <f>IF(B39="","",VLOOKUP($B39,'F-1 Off-Site WaterC'' Baseline'!$C$9:$Z$257,17,FALSE))</f>
        <v/>
      </c>
      <c r="AN39" s="276" t="str">
        <f>IF(AM39="","",IF(VLOOKUP(AM39,'G-7 WaterC'' Data'!$AO$4:$BO$7,2,FALSE)=0,"Spatial Data Missing ⚠",VLOOKUP(AM39,'G-7 WaterC'' Data'!$AO$4:$BO$7,2,FALSE)))</f>
        <v/>
      </c>
      <c r="AO39" s="317" t="str">
        <f t="shared" si="7"/>
        <v/>
      </c>
      <c r="AP39" s="317" t="str">
        <f t="shared" si="8"/>
        <v/>
      </c>
      <c r="AQ39" s="101"/>
      <c r="AR39" s="115"/>
      <c r="AS39" s="104"/>
      <c r="AT39" s="104"/>
      <c r="AW39" s="30" t="str">
        <f>IF(E39="","",VLOOKUP($B39,'F-1 Off-Site WaterC'' Baseline'!$C$9:$Z$257,12,FALSE))</f>
        <v/>
      </c>
      <c r="AX39" s="30" t="str">
        <f>IF(E39="","",VLOOKUP($B39,'F-1 Off-Site WaterC'' Baseline'!$C$9:$Z$257,14,FALSE))</f>
        <v/>
      </c>
      <c r="AY39" s="30" t="str">
        <f>IFERROR(INDEX('G-7 WaterC'' Data'!$AZ$3:$AZ$7,MATCH(N39,'G-7 WaterC'' Data'!$AY$3:$AY$7,0)),"")</f>
        <v/>
      </c>
      <c r="AZ39" s="30" t="str">
        <f>IF(B39="","",IF(ISNA(VLOOKUP($B39,'F-1 Off-Site WaterC'' Baseline'!$C$8:$AD$257,20,FALSE)),"",(VLOOKUP($B39,'F-1 Off-Site WaterC'' Baseline'!$C$8:$AD$257,20,FALSE))))</f>
        <v/>
      </c>
      <c r="BC39" s="30" t="str">
        <f>IF(B39="","",VLOOKUP($B39,'F-1 Off-Site WaterC'' Baseline'!$C$9:$AB$257,25,FALSE))</f>
        <v/>
      </c>
      <c r="BD39" s="30" t="str">
        <f t="shared" si="9"/>
        <v/>
      </c>
      <c r="BE39" s="30" t="str">
        <f>IF(B39="","",VLOOKUP($B39,'F-1 Off-Site WaterC'' Baseline'!$C$9:$AB$257,24,FALSE))</f>
        <v/>
      </c>
      <c r="BF39" s="30" t="str">
        <f>IF(B39="","",VLOOKUP($B39,'F-1 Off-Site WaterC'' Baseline'!$C$9:$AB$257,22,FALSE))</f>
        <v/>
      </c>
      <c r="BJ39" s="30" t="str">
        <f t="shared" si="10"/>
        <v>No</v>
      </c>
    </row>
    <row r="40" spans="2:62" ht="14">
      <c r="B40" s="305" t="str">
        <f>'F-1 Off-Site WaterC'' Baseline'!AS38</f>
        <v/>
      </c>
      <c r="C40" s="295" t="str">
        <f>IF(B40="","",VLOOKUP($B40,'F-1 Off-Site WaterC'' Baseline'!$C$9:$R$257,2,FALSE))</f>
        <v/>
      </c>
      <c r="D40" s="295" t="str">
        <f>IF(C40="","",VLOOKUP($B40,'F-1 Off-Site WaterC'' Baseline'!$C$9:$R$257,3,FALSE))</f>
        <v/>
      </c>
      <c r="E40" s="295" t="str">
        <f>IF(D40="","",VLOOKUP($B40,'F-1 Off-Site WaterC'' Baseline'!$C$9:$R$257,4,FALSE))</f>
        <v/>
      </c>
      <c r="F40" s="295" t="str">
        <f>IF(E40="","",VLOOKUP($B40,'F-1 Off-Site WaterC'' Baseline'!$C$9:$R$257,5,FALSE))</f>
        <v/>
      </c>
      <c r="G40" s="295" t="str">
        <f>IF(F40="","",VLOOKUP($B40,'F-1 Off-Site WaterC'' Baseline'!$C$9:$R$257,6,FALSE))</f>
        <v/>
      </c>
      <c r="H40" s="295" t="str">
        <f>IF(G40="","",VLOOKUP($B40,'F-1 Off-Site WaterC'' Baseline'!$C$9:$R$257,7,FALSE))</f>
        <v/>
      </c>
      <c r="I40" s="295" t="str">
        <f>IF(H40="","",VLOOKUP($B40,'F-1 Off-Site WaterC'' Baseline'!$C$9:$R$257,8,FALSE))</f>
        <v/>
      </c>
      <c r="J40" s="295" t="str">
        <f>IF(I40="","",VLOOKUP($B40,'F-1 Off-Site WaterC'' Baseline'!$C$9:$R$257,9,FALSE))</f>
        <v/>
      </c>
      <c r="K40" s="295" t="str">
        <f>IF(J40="","",VLOOKUP($B40,'F-1 Off-Site WaterC'' Baseline'!$C$9:$R$257,10,FALSE))</f>
        <v/>
      </c>
      <c r="L40" s="283" t="str">
        <f>IF(B40="","",VLOOKUP($B40,'F-1 Off-Site WaterC'' Baseline'!$C$9:$R$257,15,FALSE))</f>
        <v/>
      </c>
      <c r="M40" s="299" t="str">
        <f>IF(L40="","",VLOOKUP($B40,'F-1 Off-Site WaterC'' Baseline'!$C$9:$V$257,19,FALSE))</f>
        <v/>
      </c>
      <c r="N40" s="244"/>
      <c r="O40" s="275" t="str">
        <f t="shared" si="2"/>
        <v/>
      </c>
      <c r="P40" s="276" t="str">
        <f t="shared" si="3"/>
        <v/>
      </c>
      <c r="Q40" s="281" t="str">
        <f>IF(N40="","",VLOOKUP(B40,'F-1 Off-Site WaterC'' Baseline'!$C$10:$AF$257,23,FALSE))</f>
        <v/>
      </c>
      <c r="R40" s="275" t="str">
        <f>IF(N40="","",VLOOKUP(N40,'G-7 WaterC'' Data'!$B$2:$G$8,2,FALSE))</f>
        <v/>
      </c>
      <c r="S40" s="276" t="str">
        <f>IFERROR(VLOOKUP(R40,'G-7 WaterC'' Data'!$C$4:$D$8,2,FALSE),"")</f>
        <v/>
      </c>
      <c r="T40" s="101"/>
      <c r="U40" s="276" t="str">
        <f>IFERROR(INDEX('G-7 WaterC'' Data'!$H$4:$L$8,MATCH(N40,'G-7 WaterC'' Data'!$B$4:$B$8,0),MATCH(T40,'G-7 WaterC'' Data'!$H$3:$L$3,0)),"")</f>
        <v/>
      </c>
      <c r="V40" s="105"/>
      <c r="W40" s="295" t="str">
        <f>IF(V40="","",IF(VLOOKUP(V40,'G-7 WaterC'' Data'!$AK$4:$AM$6,2,FALSE)=0,"Spatial Data Missing ⚠",VLOOKUP(V40,'G-7 WaterC'' Data'!$AK$4:$AM$6,2,FALSE)))</f>
        <v/>
      </c>
      <c r="X40" s="299" t="str">
        <f>IF(V40="","",IF(VLOOKUP(V40,'G-7 WaterC'' Data'!$AK$4:$AM$6,3,FALSE)=0,"Spatial Data Missing ⚠",VLOOKUP(V40,'G-7 WaterC'' Data'!$AK$4:$AM$6,3,FALSE)))</f>
        <v/>
      </c>
      <c r="Y40" s="311" t="str">
        <f>IFERROR(IF(OR(LEFT(P40,5)="Error",LEFT(O40,5)="Error"),"Check Data ⚠",IF(F40&lt;S40,'G-7 WaterC'' Data'!$R$3,INDEX('G-7 WaterC'' Data'!$U$5:$Y$9,MATCH(G40,'G-7 WaterC'' Data'!$T$5:$T$9,0),MATCH(T40,'G-7 WaterC'' Data'!$U$4:$Y$4,0)))),"")</f>
        <v/>
      </c>
      <c r="Z40" s="138"/>
      <c r="AA40" s="138"/>
      <c r="AB40" s="308" t="str">
        <f t="shared" si="4"/>
        <v/>
      </c>
      <c r="AC40" s="296" t="str">
        <f t="shared" si="5"/>
        <v/>
      </c>
      <c r="AD40" s="334" t="str">
        <f>IFERROR(IF(AC40="Check Data ⚠","Check Data ⚠",VLOOKUP(AC40,'G-4 Temporal multipliers'!$A$4:$C$37,3,FALSE)),"")</f>
        <v/>
      </c>
      <c r="AE40" s="311" t="str">
        <f>IF(N40="","",VLOOKUP(N40,'G-7 WaterC'' Data'!$B$4:$G$8,5,FALSE))</f>
        <v/>
      </c>
      <c r="AF40" s="295" t="str">
        <f t="shared" si="0"/>
        <v/>
      </c>
      <c r="AG40" s="295" t="str">
        <f t="shared" si="6"/>
        <v/>
      </c>
      <c r="AH40" s="276" t="str">
        <f t="shared" si="1"/>
        <v/>
      </c>
      <c r="AI40" s="105"/>
      <c r="AJ40" s="276" t="str">
        <f>IF(AI40="","",(IF(AND(AI40="N/A - Culvert",N40&lt;&gt;"Culvert"),"Not possible ▲",IF(VLOOKUP(AI40,'G-7 WaterC'' Data'!$AA$4:$AB$7,2,FALSE)=0,"Spatial Data Missing ⚠",VLOOKUP(AI40,'G-7 WaterC'' Data'!$AA$4:$AB$7,2,FALSE)))))</f>
        <v/>
      </c>
      <c r="AK40" s="106"/>
      <c r="AL40" s="310" t="str">
        <f>IF(AK40="","",IF(AND(AK40="N/A - Culvert",N40&lt;&gt;"Culvert"),"Not possible ▲",IF(VLOOKUP(AK40,'G-7 WaterC'' Data'!$AD$4:$AE$14,2,FALSE)=0,"Spatial Data Missing ⚠",VLOOKUP(AK40,'G-7 WaterC'' Data'!$AD$4:$AE$14,2,FALSE))))</f>
        <v/>
      </c>
      <c r="AM40" s="275" t="str">
        <f>IF(B40="","",VLOOKUP($B40,'F-1 Off-Site WaterC'' Baseline'!$C$9:$Z$257,17,FALSE))</f>
        <v/>
      </c>
      <c r="AN40" s="276" t="str">
        <f>IF(AM40="","",IF(VLOOKUP(AM40,'G-7 WaterC'' Data'!$AO$4:$BO$7,2,FALSE)=0,"Spatial Data Missing ⚠",VLOOKUP(AM40,'G-7 WaterC'' Data'!$AO$4:$BO$7,2,FALSE)))</f>
        <v/>
      </c>
      <c r="AO40" s="317" t="str">
        <f t="shared" si="7"/>
        <v/>
      </c>
      <c r="AP40" s="317" t="str">
        <f t="shared" si="8"/>
        <v/>
      </c>
      <c r="AQ40" s="101"/>
      <c r="AR40" s="115"/>
      <c r="AS40" s="104"/>
      <c r="AT40" s="104"/>
      <c r="AW40" s="30" t="str">
        <f>IF(E40="","",VLOOKUP($B40,'F-1 Off-Site WaterC'' Baseline'!$C$9:$Z$257,12,FALSE))</f>
        <v/>
      </c>
      <c r="AX40" s="30" t="str">
        <f>IF(E40="","",VLOOKUP($B40,'F-1 Off-Site WaterC'' Baseline'!$C$9:$Z$257,14,FALSE))</f>
        <v/>
      </c>
      <c r="AY40" s="30" t="str">
        <f>IFERROR(INDEX('G-7 WaterC'' Data'!$AZ$3:$AZ$7,MATCH(N40,'G-7 WaterC'' Data'!$AY$3:$AY$7,0)),"")</f>
        <v/>
      </c>
      <c r="AZ40" s="30" t="str">
        <f>IF(B40="","",IF(ISNA(VLOOKUP($B40,'F-1 Off-Site WaterC'' Baseline'!$C$8:$AD$257,20,FALSE)),"",(VLOOKUP($B40,'F-1 Off-Site WaterC'' Baseline'!$C$8:$AD$257,20,FALSE))))</f>
        <v/>
      </c>
      <c r="BC40" s="30" t="str">
        <f>IF(B40="","",VLOOKUP($B40,'F-1 Off-Site WaterC'' Baseline'!$C$9:$AB$257,25,FALSE))</f>
        <v/>
      </c>
      <c r="BD40" s="30" t="str">
        <f t="shared" si="9"/>
        <v/>
      </c>
      <c r="BE40" s="30" t="str">
        <f>IF(B40="","",VLOOKUP($B40,'F-1 Off-Site WaterC'' Baseline'!$C$9:$AB$257,24,FALSE))</f>
        <v/>
      </c>
      <c r="BF40" s="30" t="str">
        <f>IF(B40="","",VLOOKUP($B40,'F-1 Off-Site WaterC'' Baseline'!$C$9:$AB$257,22,FALSE))</f>
        <v/>
      </c>
      <c r="BJ40" s="30" t="str">
        <f t="shared" si="10"/>
        <v>No</v>
      </c>
    </row>
    <row r="41" spans="2:62" ht="14">
      <c r="B41" s="305" t="str">
        <f>'F-1 Off-Site WaterC'' Baseline'!AS39</f>
        <v/>
      </c>
      <c r="C41" s="295" t="str">
        <f>IF(B41="","",VLOOKUP($B41,'F-1 Off-Site WaterC'' Baseline'!$C$9:$R$257,2,FALSE))</f>
        <v/>
      </c>
      <c r="D41" s="295" t="str">
        <f>IF(C41="","",VLOOKUP($B41,'F-1 Off-Site WaterC'' Baseline'!$C$9:$R$257,3,FALSE))</f>
        <v/>
      </c>
      <c r="E41" s="295" t="str">
        <f>IF(D41="","",VLOOKUP($B41,'F-1 Off-Site WaterC'' Baseline'!$C$9:$R$257,4,FALSE))</f>
        <v/>
      </c>
      <c r="F41" s="295" t="str">
        <f>IF(E41="","",VLOOKUP($B41,'F-1 Off-Site WaterC'' Baseline'!$C$9:$R$257,5,FALSE))</f>
        <v/>
      </c>
      <c r="G41" s="295" t="str">
        <f>IF(F41="","",VLOOKUP($B41,'F-1 Off-Site WaterC'' Baseline'!$C$9:$R$257,6,FALSE))</f>
        <v/>
      </c>
      <c r="H41" s="295" t="str">
        <f>IF(G41="","",VLOOKUP($B41,'F-1 Off-Site WaterC'' Baseline'!$C$9:$R$257,7,FALSE))</f>
        <v/>
      </c>
      <c r="I41" s="295" t="str">
        <f>IF(H41="","",VLOOKUP($B41,'F-1 Off-Site WaterC'' Baseline'!$C$9:$R$257,8,FALSE))</f>
        <v/>
      </c>
      <c r="J41" s="295" t="str">
        <f>IF(I41="","",VLOOKUP($B41,'F-1 Off-Site WaterC'' Baseline'!$C$9:$R$257,9,FALSE))</f>
        <v/>
      </c>
      <c r="K41" s="295" t="str">
        <f>IF(J41="","",VLOOKUP($B41,'F-1 Off-Site WaterC'' Baseline'!$C$9:$R$257,10,FALSE))</f>
        <v/>
      </c>
      <c r="L41" s="283" t="str">
        <f>IF(B41="","",VLOOKUP($B41,'F-1 Off-Site WaterC'' Baseline'!$C$9:$R$257,15,FALSE))</f>
        <v/>
      </c>
      <c r="M41" s="299" t="str">
        <f>IF(L41="","",VLOOKUP($B41,'F-1 Off-Site WaterC'' Baseline'!$C$9:$V$257,19,FALSE))</f>
        <v/>
      </c>
      <c r="N41" s="244"/>
      <c r="O41" s="275" t="str">
        <f t="shared" si="2"/>
        <v/>
      </c>
      <c r="P41" s="276" t="str">
        <f t="shared" si="3"/>
        <v/>
      </c>
      <c r="Q41" s="281" t="str">
        <f>IF(N41="","",VLOOKUP(B41,'F-1 Off-Site WaterC'' Baseline'!$C$10:$AF$257,23,FALSE))</f>
        <v/>
      </c>
      <c r="R41" s="275" t="str">
        <f>IF(N41="","",VLOOKUP(N41,'G-7 WaterC'' Data'!$B$2:$G$8,2,FALSE))</f>
        <v/>
      </c>
      <c r="S41" s="276" t="str">
        <f>IFERROR(VLOOKUP(R41,'G-7 WaterC'' Data'!$C$4:$D$8,2,FALSE),"")</f>
        <v/>
      </c>
      <c r="T41" s="101"/>
      <c r="U41" s="276" t="str">
        <f>IFERROR(INDEX('G-7 WaterC'' Data'!$H$4:$L$8,MATCH(N41,'G-7 WaterC'' Data'!$B$4:$B$8,0),MATCH(T41,'G-7 WaterC'' Data'!$H$3:$L$3,0)),"")</f>
        <v/>
      </c>
      <c r="V41" s="105"/>
      <c r="W41" s="295" t="str">
        <f>IF(V41="","",IF(VLOOKUP(V41,'G-7 WaterC'' Data'!$AK$4:$AM$6,2,FALSE)=0,"Spatial Data Missing ⚠",VLOOKUP(V41,'G-7 WaterC'' Data'!$AK$4:$AM$6,2,FALSE)))</f>
        <v/>
      </c>
      <c r="X41" s="299" t="str">
        <f>IF(V41="","",IF(VLOOKUP(V41,'G-7 WaterC'' Data'!$AK$4:$AM$6,3,FALSE)=0,"Spatial Data Missing ⚠",VLOOKUP(V41,'G-7 WaterC'' Data'!$AK$4:$AM$6,3,FALSE)))</f>
        <v/>
      </c>
      <c r="Y41" s="311" t="str">
        <f>IFERROR(IF(OR(LEFT(P41,5)="Error",LEFT(O41,5)="Error"),"Check Data ⚠",IF(F41&lt;S41,'G-7 WaterC'' Data'!$R$3,INDEX('G-7 WaterC'' Data'!$U$5:$Y$9,MATCH(G41,'G-7 WaterC'' Data'!$T$5:$T$9,0),MATCH(T41,'G-7 WaterC'' Data'!$U$4:$Y$4,0)))),"")</f>
        <v/>
      </c>
      <c r="Z41" s="138"/>
      <c r="AA41" s="138"/>
      <c r="AB41" s="308" t="str">
        <f t="shared" si="4"/>
        <v/>
      </c>
      <c r="AC41" s="296" t="str">
        <f t="shared" si="5"/>
        <v/>
      </c>
      <c r="AD41" s="334" t="str">
        <f>IFERROR(IF(AC41="Check Data ⚠","Check Data ⚠",VLOOKUP(AC41,'G-4 Temporal multipliers'!$A$4:$C$37,3,FALSE)),"")</f>
        <v/>
      </c>
      <c r="AE41" s="311" t="str">
        <f>IF(N41="","",VLOOKUP(N41,'G-7 WaterC'' Data'!$B$4:$G$8,5,FALSE))</f>
        <v/>
      </c>
      <c r="AF41" s="295" t="str">
        <f t="shared" si="0"/>
        <v/>
      </c>
      <c r="AG41" s="295" t="str">
        <f t="shared" si="6"/>
        <v/>
      </c>
      <c r="AH41" s="276" t="str">
        <f t="shared" si="1"/>
        <v/>
      </c>
      <c r="AI41" s="105"/>
      <c r="AJ41" s="276" t="str">
        <f>IF(AI41="","",(IF(AND(AI41="N/A - Culvert",N41&lt;&gt;"Culvert"),"Not possible ▲",IF(VLOOKUP(AI41,'G-7 WaterC'' Data'!$AA$4:$AB$7,2,FALSE)=0,"Spatial Data Missing ⚠",VLOOKUP(AI41,'G-7 WaterC'' Data'!$AA$4:$AB$7,2,FALSE)))))</f>
        <v/>
      </c>
      <c r="AK41" s="106"/>
      <c r="AL41" s="310" t="str">
        <f>IF(AK41="","",IF(AND(AK41="N/A - Culvert",N41&lt;&gt;"Culvert"),"Not possible ▲",IF(VLOOKUP(AK41,'G-7 WaterC'' Data'!$AD$4:$AE$14,2,FALSE)=0,"Spatial Data Missing ⚠",VLOOKUP(AK41,'G-7 WaterC'' Data'!$AD$4:$AE$14,2,FALSE))))</f>
        <v/>
      </c>
      <c r="AM41" s="275" t="str">
        <f>IF(B41="","",VLOOKUP($B41,'F-1 Off-Site WaterC'' Baseline'!$C$9:$Z$257,17,FALSE))</f>
        <v/>
      </c>
      <c r="AN41" s="276" t="str">
        <f>IF(AM41="","",IF(VLOOKUP(AM41,'G-7 WaterC'' Data'!$AO$4:$BO$7,2,FALSE)=0,"Spatial Data Missing ⚠",VLOOKUP(AM41,'G-7 WaterC'' Data'!$AO$4:$BO$7,2,FALSE)))</f>
        <v/>
      </c>
      <c r="AO41" s="317" t="str">
        <f t="shared" si="7"/>
        <v/>
      </c>
      <c r="AP41" s="317" t="str">
        <f t="shared" si="8"/>
        <v/>
      </c>
      <c r="AQ41" s="101"/>
      <c r="AR41" s="115"/>
      <c r="AS41" s="104"/>
      <c r="AT41" s="104"/>
      <c r="AW41" s="30" t="str">
        <f>IF(E41="","",VLOOKUP($B41,'F-1 Off-Site WaterC'' Baseline'!$C$9:$Z$257,12,FALSE))</f>
        <v/>
      </c>
      <c r="AX41" s="30" t="str">
        <f>IF(E41="","",VLOOKUP($B41,'F-1 Off-Site WaterC'' Baseline'!$C$9:$Z$257,14,FALSE))</f>
        <v/>
      </c>
      <c r="AY41" s="30" t="str">
        <f>IFERROR(INDEX('G-7 WaterC'' Data'!$AZ$3:$AZ$7,MATCH(N41,'G-7 WaterC'' Data'!$AY$3:$AY$7,0)),"")</f>
        <v/>
      </c>
      <c r="AZ41" s="30" t="str">
        <f>IF(B41="","",IF(ISNA(VLOOKUP($B41,'F-1 Off-Site WaterC'' Baseline'!$C$8:$AD$257,20,FALSE)),"",(VLOOKUP($B41,'F-1 Off-Site WaterC'' Baseline'!$C$8:$AD$257,20,FALSE))))</f>
        <v/>
      </c>
      <c r="BC41" s="30" t="str">
        <f>IF(B41="","",VLOOKUP($B41,'F-1 Off-Site WaterC'' Baseline'!$C$9:$AB$257,25,FALSE))</f>
        <v/>
      </c>
      <c r="BD41" s="30" t="str">
        <f t="shared" si="9"/>
        <v/>
      </c>
      <c r="BE41" s="30" t="str">
        <f>IF(B41="","",VLOOKUP($B41,'F-1 Off-Site WaterC'' Baseline'!$C$9:$AB$257,24,FALSE))</f>
        <v/>
      </c>
      <c r="BF41" s="30" t="str">
        <f>IF(B41="","",VLOOKUP($B41,'F-1 Off-Site WaterC'' Baseline'!$C$9:$AB$257,22,FALSE))</f>
        <v/>
      </c>
      <c r="BJ41" s="30" t="str">
        <f t="shared" si="10"/>
        <v>No</v>
      </c>
    </row>
    <row r="42" spans="2:62" ht="14">
      <c r="B42" s="305" t="str">
        <f>'F-1 Off-Site WaterC'' Baseline'!AS40</f>
        <v/>
      </c>
      <c r="C42" s="295" t="str">
        <f>IF(B42="","",VLOOKUP($B42,'F-1 Off-Site WaterC'' Baseline'!$C$9:$R$257,2,FALSE))</f>
        <v/>
      </c>
      <c r="D42" s="295" t="str">
        <f>IF(C42="","",VLOOKUP($B42,'F-1 Off-Site WaterC'' Baseline'!$C$9:$R$257,3,FALSE))</f>
        <v/>
      </c>
      <c r="E42" s="295" t="str">
        <f>IF(D42="","",VLOOKUP($B42,'F-1 Off-Site WaterC'' Baseline'!$C$9:$R$257,4,FALSE))</f>
        <v/>
      </c>
      <c r="F42" s="295" t="str">
        <f>IF(E42="","",VLOOKUP($B42,'F-1 Off-Site WaterC'' Baseline'!$C$9:$R$257,5,FALSE))</f>
        <v/>
      </c>
      <c r="G42" s="295" t="str">
        <f>IF(F42="","",VLOOKUP($B42,'F-1 Off-Site WaterC'' Baseline'!$C$9:$R$257,6,FALSE))</f>
        <v/>
      </c>
      <c r="H42" s="295" t="str">
        <f>IF(G42="","",VLOOKUP($B42,'F-1 Off-Site WaterC'' Baseline'!$C$9:$R$257,7,FALSE))</f>
        <v/>
      </c>
      <c r="I42" s="295" t="str">
        <f>IF(H42="","",VLOOKUP($B42,'F-1 Off-Site WaterC'' Baseline'!$C$9:$R$257,8,FALSE))</f>
        <v/>
      </c>
      <c r="J42" s="295" t="str">
        <f>IF(I42="","",VLOOKUP($B42,'F-1 Off-Site WaterC'' Baseline'!$C$9:$R$257,9,FALSE))</f>
        <v/>
      </c>
      <c r="K42" s="295" t="str">
        <f>IF(J42="","",VLOOKUP($B42,'F-1 Off-Site WaterC'' Baseline'!$C$9:$R$257,10,FALSE))</f>
        <v/>
      </c>
      <c r="L42" s="283" t="str">
        <f>IF(B42="","",VLOOKUP($B42,'F-1 Off-Site WaterC'' Baseline'!$C$9:$R$257,15,FALSE))</f>
        <v/>
      </c>
      <c r="M42" s="299" t="str">
        <f>IF(L42="","",VLOOKUP($B42,'F-1 Off-Site WaterC'' Baseline'!$C$9:$V$257,19,FALSE))</f>
        <v/>
      </c>
      <c r="N42" s="244"/>
      <c r="O42" s="275" t="str">
        <f t="shared" si="2"/>
        <v/>
      </c>
      <c r="P42" s="276" t="str">
        <f t="shared" si="3"/>
        <v/>
      </c>
      <c r="Q42" s="281" t="str">
        <f>IF(N42="","",VLOOKUP(B42,'F-1 Off-Site WaterC'' Baseline'!$C$10:$AF$257,23,FALSE))</f>
        <v/>
      </c>
      <c r="R42" s="275" t="str">
        <f>IF(N42="","",VLOOKUP(N42,'G-7 WaterC'' Data'!$B$2:$G$8,2,FALSE))</f>
        <v/>
      </c>
      <c r="S42" s="276" t="str">
        <f>IFERROR(VLOOKUP(R42,'G-7 WaterC'' Data'!$C$4:$D$8,2,FALSE),"")</f>
        <v/>
      </c>
      <c r="T42" s="101"/>
      <c r="U42" s="276" t="str">
        <f>IFERROR(INDEX('G-7 WaterC'' Data'!$H$4:$L$8,MATCH(N42,'G-7 WaterC'' Data'!$B$4:$B$8,0),MATCH(T42,'G-7 WaterC'' Data'!$H$3:$L$3,0)),"")</f>
        <v/>
      </c>
      <c r="V42" s="105"/>
      <c r="W42" s="295" t="str">
        <f>IF(V42="","",IF(VLOOKUP(V42,'G-7 WaterC'' Data'!$AK$4:$AM$6,2,FALSE)=0,"Spatial Data Missing ⚠",VLOOKUP(V42,'G-7 WaterC'' Data'!$AK$4:$AM$6,2,FALSE)))</f>
        <v/>
      </c>
      <c r="X42" s="299" t="str">
        <f>IF(V42="","",IF(VLOOKUP(V42,'G-7 WaterC'' Data'!$AK$4:$AM$6,3,FALSE)=0,"Spatial Data Missing ⚠",VLOOKUP(V42,'G-7 WaterC'' Data'!$AK$4:$AM$6,3,FALSE)))</f>
        <v/>
      </c>
      <c r="Y42" s="311" t="str">
        <f>IFERROR(IF(OR(LEFT(P42,5)="Error",LEFT(O42,5)="Error"),"Check Data ⚠",IF(F42&lt;S42,'G-7 WaterC'' Data'!$R$3,INDEX('G-7 WaterC'' Data'!$U$5:$Y$9,MATCH(G42,'G-7 WaterC'' Data'!$T$5:$T$9,0),MATCH(T42,'G-7 WaterC'' Data'!$U$4:$Y$4,0)))),"")</f>
        <v/>
      </c>
      <c r="Z42" s="138"/>
      <c r="AA42" s="138"/>
      <c r="AB42" s="308" t="str">
        <f t="shared" si="4"/>
        <v/>
      </c>
      <c r="AC42" s="296" t="str">
        <f t="shared" si="5"/>
        <v/>
      </c>
      <c r="AD42" s="334" t="str">
        <f>IFERROR(IF(AC42="Check Data ⚠","Check Data ⚠",VLOOKUP(AC42,'G-4 Temporal multipliers'!$A$4:$C$37,3,FALSE)),"")</f>
        <v/>
      </c>
      <c r="AE42" s="311" t="str">
        <f>IF(N42="","",VLOOKUP(N42,'G-7 WaterC'' Data'!$B$4:$G$8,5,FALSE))</f>
        <v/>
      </c>
      <c r="AF42" s="295" t="str">
        <f t="shared" si="0"/>
        <v/>
      </c>
      <c r="AG42" s="295" t="str">
        <f t="shared" si="6"/>
        <v/>
      </c>
      <c r="AH42" s="276" t="str">
        <f t="shared" si="1"/>
        <v/>
      </c>
      <c r="AI42" s="105"/>
      <c r="AJ42" s="276" t="str">
        <f>IF(AI42="","",(IF(AND(AI42="N/A - Culvert",N42&lt;&gt;"Culvert"),"Not possible ▲",IF(VLOOKUP(AI42,'G-7 WaterC'' Data'!$AA$4:$AB$7,2,FALSE)=0,"Spatial Data Missing ⚠",VLOOKUP(AI42,'G-7 WaterC'' Data'!$AA$4:$AB$7,2,FALSE)))))</f>
        <v/>
      </c>
      <c r="AK42" s="106"/>
      <c r="AL42" s="310" t="str">
        <f>IF(AK42="","",IF(AND(AK42="N/A - Culvert",N42&lt;&gt;"Culvert"),"Not possible ▲",IF(VLOOKUP(AK42,'G-7 WaterC'' Data'!$AD$4:$AE$14,2,FALSE)=0,"Spatial Data Missing ⚠",VLOOKUP(AK42,'G-7 WaterC'' Data'!$AD$4:$AE$14,2,FALSE))))</f>
        <v/>
      </c>
      <c r="AM42" s="275" t="str">
        <f>IF(B42="","",VLOOKUP($B42,'F-1 Off-Site WaterC'' Baseline'!$C$9:$Z$257,17,FALSE))</f>
        <v/>
      </c>
      <c r="AN42" s="276" t="str">
        <f>IF(AM42="","",IF(VLOOKUP(AM42,'G-7 WaterC'' Data'!$AO$4:$BO$7,2,FALSE)=0,"Spatial Data Missing ⚠",VLOOKUP(AM42,'G-7 WaterC'' Data'!$AO$4:$BO$7,2,FALSE)))</f>
        <v/>
      </c>
      <c r="AO42" s="317" t="str">
        <f t="shared" si="7"/>
        <v/>
      </c>
      <c r="AP42" s="317" t="str">
        <f t="shared" si="8"/>
        <v/>
      </c>
      <c r="AQ42" s="101"/>
      <c r="AR42" s="115"/>
      <c r="AS42" s="104"/>
      <c r="AT42" s="104"/>
      <c r="AW42" s="30" t="str">
        <f>IF(E42="","",VLOOKUP($B42,'F-1 Off-Site WaterC'' Baseline'!$C$9:$Z$257,12,FALSE))</f>
        <v/>
      </c>
      <c r="AX42" s="30" t="str">
        <f>IF(E42="","",VLOOKUP($B42,'F-1 Off-Site WaterC'' Baseline'!$C$9:$Z$257,14,FALSE))</f>
        <v/>
      </c>
      <c r="AY42" s="30" t="str">
        <f>IFERROR(INDEX('G-7 WaterC'' Data'!$AZ$3:$AZ$7,MATCH(N42,'G-7 WaterC'' Data'!$AY$3:$AY$7,0)),"")</f>
        <v/>
      </c>
      <c r="AZ42" s="30" t="str">
        <f>IF(B42="","",IF(ISNA(VLOOKUP($B42,'F-1 Off-Site WaterC'' Baseline'!$C$8:$AD$257,20,FALSE)),"",(VLOOKUP($B42,'F-1 Off-Site WaterC'' Baseline'!$C$8:$AD$257,20,FALSE))))</f>
        <v/>
      </c>
      <c r="BC42" s="30" t="str">
        <f>IF(B42="","",VLOOKUP($B42,'F-1 Off-Site WaterC'' Baseline'!$C$9:$AB$257,25,FALSE))</f>
        <v/>
      </c>
      <c r="BD42" s="30" t="str">
        <f t="shared" si="9"/>
        <v/>
      </c>
      <c r="BE42" s="30" t="str">
        <f>IF(B42="","",VLOOKUP($B42,'F-1 Off-Site WaterC'' Baseline'!$C$9:$AB$257,24,FALSE))</f>
        <v/>
      </c>
      <c r="BF42" s="30" t="str">
        <f>IF(B42="","",VLOOKUP($B42,'F-1 Off-Site WaterC'' Baseline'!$C$9:$AB$257,22,FALSE))</f>
        <v/>
      </c>
      <c r="BJ42" s="30" t="str">
        <f t="shared" si="10"/>
        <v>No</v>
      </c>
    </row>
    <row r="43" spans="2:62" ht="14">
      <c r="B43" s="305" t="str">
        <f>'F-1 Off-Site WaterC'' Baseline'!AS41</f>
        <v/>
      </c>
      <c r="C43" s="295" t="str">
        <f>IF(B43="","",VLOOKUP($B43,'F-1 Off-Site WaterC'' Baseline'!$C$9:$R$257,2,FALSE))</f>
        <v/>
      </c>
      <c r="D43" s="295" t="str">
        <f>IF(C43="","",VLOOKUP($B43,'F-1 Off-Site WaterC'' Baseline'!$C$9:$R$257,3,FALSE))</f>
        <v/>
      </c>
      <c r="E43" s="295" t="str">
        <f>IF(D43="","",VLOOKUP($B43,'F-1 Off-Site WaterC'' Baseline'!$C$9:$R$257,4,FALSE))</f>
        <v/>
      </c>
      <c r="F43" s="295" t="str">
        <f>IF(E43="","",VLOOKUP($B43,'F-1 Off-Site WaterC'' Baseline'!$C$9:$R$257,5,FALSE))</f>
        <v/>
      </c>
      <c r="G43" s="295" t="str">
        <f>IF(F43="","",VLOOKUP($B43,'F-1 Off-Site WaterC'' Baseline'!$C$9:$R$257,6,FALSE))</f>
        <v/>
      </c>
      <c r="H43" s="295" t="str">
        <f>IF(G43="","",VLOOKUP($B43,'F-1 Off-Site WaterC'' Baseline'!$C$9:$R$257,7,FALSE))</f>
        <v/>
      </c>
      <c r="I43" s="295" t="str">
        <f>IF(H43="","",VLOOKUP($B43,'F-1 Off-Site WaterC'' Baseline'!$C$9:$R$257,8,FALSE))</f>
        <v/>
      </c>
      <c r="J43" s="295" t="str">
        <f>IF(I43="","",VLOOKUP($B43,'F-1 Off-Site WaterC'' Baseline'!$C$9:$R$257,9,FALSE))</f>
        <v/>
      </c>
      <c r="K43" s="295" t="str">
        <f>IF(J43="","",VLOOKUP($B43,'F-1 Off-Site WaterC'' Baseline'!$C$9:$R$257,10,FALSE))</f>
        <v/>
      </c>
      <c r="L43" s="283" t="str">
        <f>IF(B43="","",VLOOKUP($B43,'F-1 Off-Site WaterC'' Baseline'!$C$9:$R$257,15,FALSE))</f>
        <v/>
      </c>
      <c r="M43" s="299" t="str">
        <f>IF(L43="","",VLOOKUP($B43,'F-1 Off-Site WaterC'' Baseline'!$C$9:$V$257,19,FALSE))</f>
        <v/>
      </c>
      <c r="N43" s="244"/>
      <c r="O43" s="275" t="str">
        <f t="shared" si="2"/>
        <v/>
      </c>
      <c r="P43" s="276" t="str">
        <f t="shared" si="3"/>
        <v/>
      </c>
      <c r="Q43" s="281" t="str">
        <f>IF(N43="","",VLOOKUP(B43,'F-1 Off-Site WaterC'' Baseline'!$C$10:$AF$257,23,FALSE))</f>
        <v/>
      </c>
      <c r="R43" s="275" t="str">
        <f>IF(N43="","",VLOOKUP(N43,'G-7 WaterC'' Data'!$B$2:$G$8,2,FALSE))</f>
        <v/>
      </c>
      <c r="S43" s="276" t="str">
        <f>IFERROR(VLOOKUP(R43,'G-7 WaterC'' Data'!$C$4:$D$8,2,FALSE),"")</f>
        <v/>
      </c>
      <c r="T43" s="101"/>
      <c r="U43" s="276" t="str">
        <f>IFERROR(INDEX('G-7 WaterC'' Data'!$H$4:$L$8,MATCH(N43,'G-7 WaterC'' Data'!$B$4:$B$8,0),MATCH(T43,'G-7 WaterC'' Data'!$H$3:$L$3,0)),"")</f>
        <v/>
      </c>
      <c r="V43" s="105"/>
      <c r="W43" s="295" t="str">
        <f>IF(V43="","",IF(VLOOKUP(V43,'G-7 WaterC'' Data'!$AK$4:$AM$6,2,FALSE)=0,"Spatial Data Missing ⚠",VLOOKUP(V43,'G-7 WaterC'' Data'!$AK$4:$AM$6,2,FALSE)))</f>
        <v/>
      </c>
      <c r="X43" s="299" t="str">
        <f>IF(V43="","",IF(VLOOKUP(V43,'G-7 WaterC'' Data'!$AK$4:$AM$6,3,FALSE)=0,"Spatial Data Missing ⚠",VLOOKUP(V43,'G-7 WaterC'' Data'!$AK$4:$AM$6,3,FALSE)))</f>
        <v/>
      </c>
      <c r="Y43" s="311" t="str">
        <f>IFERROR(IF(OR(LEFT(P43,5)="Error",LEFT(O43,5)="Error"),"Check Data ⚠",IF(F43&lt;S43,'G-7 WaterC'' Data'!$R$3,INDEX('G-7 WaterC'' Data'!$U$5:$Y$9,MATCH(G43,'G-7 WaterC'' Data'!$T$5:$T$9,0),MATCH(T43,'G-7 WaterC'' Data'!$U$4:$Y$4,0)))),"")</f>
        <v/>
      </c>
      <c r="Z43" s="138"/>
      <c r="AA43" s="138"/>
      <c r="AB43" s="308" t="str">
        <f t="shared" si="4"/>
        <v/>
      </c>
      <c r="AC43" s="296" t="str">
        <f t="shared" si="5"/>
        <v/>
      </c>
      <c r="AD43" s="334" t="str">
        <f>IFERROR(IF(AC43="Check Data ⚠","Check Data ⚠",VLOOKUP(AC43,'G-4 Temporal multipliers'!$A$4:$C$37,3,FALSE)),"")</f>
        <v/>
      </c>
      <c r="AE43" s="311" t="str">
        <f>IF(N43="","",VLOOKUP(N43,'G-7 WaterC'' Data'!$B$4:$G$8,5,FALSE))</f>
        <v/>
      </c>
      <c r="AF43" s="295" t="str">
        <f t="shared" si="0"/>
        <v/>
      </c>
      <c r="AG43" s="295" t="str">
        <f t="shared" si="6"/>
        <v/>
      </c>
      <c r="AH43" s="276" t="str">
        <f t="shared" si="1"/>
        <v/>
      </c>
      <c r="AI43" s="105"/>
      <c r="AJ43" s="276" t="str">
        <f>IF(AI43="","",(IF(AND(AI43="N/A - Culvert",N43&lt;&gt;"Culvert"),"Not possible ▲",IF(VLOOKUP(AI43,'G-7 WaterC'' Data'!$AA$4:$AB$7,2,FALSE)=0,"Spatial Data Missing ⚠",VLOOKUP(AI43,'G-7 WaterC'' Data'!$AA$4:$AB$7,2,FALSE)))))</f>
        <v/>
      </c>
      <c r="AK43" s="106"/>
      <c r="AL43" s="310" t="str">
        <f>IF(AK43="","",IF(AND(AK43="N/A - Culvert",N43&lt;&gt;"Culvert"),"Not possible ▲",IF(VLOOKUP(AK43,'G-7 WaterC'' Data'!$AD$4:$AE$14,2,FALSE)=0,"Spatial Data Missing ⚠",VLOOKUP(AK43,'G-7 WaterC'' Data'!$AD$4:$AE$14,2,FALSE))))</f>
        <v/>
      </c>
      <c r="AM43" s="275" t="str">
        <f>IF(B43="","",VLOOKUP($B43,'F-1 Off-Site WaterC'' Baseline'!$C$9:$Z$257,17,FALSE))</f>
        <v/>
      </c>
      <c r="AN43" s="276" t="str">
        <f>IF(AM43="","",IF(VLOOKUP(AM43,'G-7 WaterC'' Data'!$AO$4:$BO$7,2,FALSE)=0,"Spatial Data Missing ⚠",VLOOKUP(AM43,'G-7 WaterC'' Data'!$AO$4:$BO$7,2,FALSE)))</f>
        <v/>
      </c>
      <c r="AO43" s="317" t="str">
        <f t="shared" si="7"/>
        <v/>
      </c>
      <c r="AP43" s="317" t="str">
        <f t="shared" si="8"/>
        <v/>
      </c>
      <c r="AQ43" s="101"/>
      <c r="AR43" s="115"/>
      <c r="AS43" s="104"/>
      <c r="AT43" s="104"/>
      <c r="AW43" s="30" t="str">
        <f>IF(E43="","",VLOOKUP($B43,'F-1 Off-Site WaterC'' Baseline'!$C$9:$Z$257,12,FALSE))</f>
        <v/>
      </c>
      <c r="AX43" s="30" t="str">
        <f>IF(E43="","",VLOOKUP($B43,'F-1 Off-Site WaterC'' Baseline'!$C$9:$Z$257,14,FALSE))</f>
        <v/>
      </c>
      <c r="AY43" s="30" t="str">
        <f>IFERROR(INDEX('G-7 WaterC'' Data'!$AZ$3:$AZ$7,MATCH(N43,'G-7 WaterC'' Data'!$AY$3:$AY$7,0)),"")</f>
        <v/>
      </c>
      <c r="AZ43" s="30" t="str">
        <f>IF(B43="","",IF(ISNA(VLOOKUP($B43,'F-1 Off-Site WaterC'' Baseline'!$C$8:$AD$257,20,FALSE)),"",(VLOOKUP($B43,'F-1 Off-Site WaterC'' Baseline'!$C$8:$AD$257,20,FALSE))))</f>
        <v/>
      </c>
      <c r="BC43" s="30" t="str">
        <f>IF(B43="","",VLOOKUP($B43,'F-1 Off-Site WaterC'' Baseline'!$C$9:$AB$257,25,FALSE))</f>
        <v/>
      </c>
      <c r="BD43" s="30" t="str">
        <f t="shared" si="9"/>
        <v/>
      </c>
      <c r="BE43" s="30" t="str">
        <f>IF(B43="","",VLOOKUP($B43,'F-1 Off-Site WaterC'' Baseline'!$C$9:$AB$257,24,FALSE))</f>
        <v/>
      </c>
      <c r="BF43" s="30" t="str">
        <f>IF(B43="","",VLOOKUP($B43,'F-1 Off-Site WaterC'' Baseline'!$C$9:$AB$257,22,FALSE))</f>
        <v/>
      </c>
      <c r="BJ43" s="30" t="str">
        <f t="shared" si="10"/>
        <v>No</v>
      </c>
    </row>
    <row r="44" spans="2:62" ht="14">
      <c r="B44" s="305" t="str">
        <f>'F-1 Off-Site WaterC'' Baseline'!AS42</f>
        <v/>
      </c>
      <c r="C44" s="295" t="str">
        <f>IF(B44="","",VLOOKUP($B44,'F-1 Off-Site WaterC'' Baseline'!$C$9:$R$257,2,FALSE))</f>
        <v/>
      </c>
      <c r="D44" s="295" t="str">
        <f>IF(C44="","",VLOOKUP($B44,'F-1 Off-Site WaterC'' Baseline'!$C$9:$R$257,3,FALSE))</f>
        <v/>
      </c>
      <c r="E44" s="295" t="str">
        <f>IF(D44="","",VLOOKUP($B44,'F-1 Off-Site WaterC'' Baseline'!$C$9:$R$257,4,FALSE))</f>
        <v/>
      </c>
      <c r="F44" s="295" t="str">
        <f>IF(E44="","",VLOOKUP($B44,'F-1 Off-Site WaterC'' Baseline'!$C$9:$R$257,5,FALSE))</f>
        <v/>
      </c>
      <c r="G44" s="295" t="str">
        <f>IF(F44="","",VLOOKUP($B44,'F-1 Off-Site WaterC'' Baseline'!$C$9:$R$257,6,FALSE))</f>
        <v/>
      </c>
      <c r="H44" s="295" t="str">
        <f>IF(G44="","",VLOOKUP($B44,'F-1 Off-Site WaterC'' Baseline'!$C$9:$R$257,7,FALSE))</f>
        <v/>
      </c>
      <c r="I44" s="295" t="str">
        <f>IF(H44="","",VLOOKUP($B44,'F-1 Off-Site WaterC'' Baseline'!$C$9:$R$257,8,FALSE))</f>
        <v/>
      </c>
      <c r="J44" s="295" t="str">
        <f>IF(I44="","",VLOOKUP($B44,'F-1 Off-Site WaterC'' Baseline'!$C$9:$R$257,9,FALSE))</f>
        <v/>
      </c>
      <c r="K44" s="295" t="str">
        <f>IF(J44="","",VLOOKUP($B44,'F-1 Off-Site WaterC'' Baseline'!$C$9:$R$257,10,FALSE))</f>
        <v/>
      </c>
      <c r="L44" s="283" t="str">
        <f>IF(B44="","",VLOOKUP($B44,'F-1 Off-Site WaterC'' Baseline'!$C$9:$R$257,15,FALSE))</f>
        <v/>
      </c>
      <c r="M44" s="299" t="str">
        <f>IF(L44="","",VLOOKUP($B44,'F-1 Off-Site WaterC'' Baseline'!$C$9:$V$257,19,FALSE))</f>
        <v/>
      </c>
      <c r="N44" s="244"/>
      <c r="O44" s="275" t="str">
        <f t="shared" si="2"/>
        <v/>
      </c>
      <c r="P44" s="276" t="str">
        <f t="shared" si="3"/>
        <v/>
      </c>
      <c r="Q44" s="281" t="str">
        <f>IF(N44="","",VLOOKUP(B44,'F-1 Off-Site WaterC'' Baseline'!$C$10:$AF$257,23,FALSE))</f>
        <v/>
      </c>
      <c r="R44" s="275" t="str">
        <f>IF(N44="","",VLOOKUP(N44,'G-7 WaterC'' Data'!$B$2:$G$8,2,FALSE))</f>
        <v/>
      </c>
      <c r="S44" s="276" t="str">
        <f>IFERROR(VLOOKUP(R44,'G-7 WaterC'' Data'!$C$4:$D$8,2,FALSE),"")</f>
        <v/>
      </c>
      <c r="T44" s="101"/>
      <c r="U44" s="276" t="str">
        <f>IFERROR(INDEX('G-7 WaterC'' Data'!$H$4:$L$8,MATCH(N44,'G-7 WaterC'' Data'!$B$4:$B$8,0),MATCH(T44,'G-7 WaterC'' Data'!$H$3:$L$3,0)),"")</f>
        <v/>
      </c>
      <c r="V44" s="105"/>
      <c r="W44" s="295" t="str">
        <f>IF(V44="","",IF(VLOOKUP(V44,'G-7 WaterC'' Data'!$AK$4:$AM$6,2,FALSE)=0,"Spatial Data Missing ⚠",VLOOKUP(V44,'G-7 WaterC'' Data'!$AK$4:$AM$6,2,FALSE)))</f>
        <v/>
      </c>
      <c r="X44" s="299" t="str">
        <f>IF(V44="","",IF(VLOOKUP(V44,'G-7 WaterC'' Data'!$AK$4:$AM$6,3,FALSE)=0,"Spatial Data Missing ⚠",VLOOKUP(V44,'G-7 WaterC'' Data'!$AK$4:$AM$6,3,FALSE)))</f>
        <v/>
      </c>
      <c r="Y44" s="311" t="str">
        <f>IFERROR(IF(OR(LEFT(P44,5)="Error",LEFT(O44,5)="Error"),"Check Data ⚠",IF(F44&lt;S44,'G-7 WaterC'' Data'!$R$3,INDEX('G-7 WaterC'' Data'!$U$5:$Y$9,MATCH(G44,'G-7 WaterC'' Data'!$T$5:$T$9,0),MATCH(T44,'G-7 WaterC'' Data'!$U$4:$Y$4,0)))),"")</f>
        <v/>
      </c>
      <c r="Z44" s="138"/>
      <c r="AA44" s="138"/>
      <c r="AB44" s="308" t="str">
        <f t="shared" si="4"/>
        <v/>
      </c>
      <c r="AC44" s="296" t="str">
        <f t="shared" si="5"/>
        <v/>
      </c>
      <c r="AD44" s="334" t="str">
        <f>IFERROR(IF(AC44="Check Data ⚠","Check Data ⚠",VLOOKUP(AC44,'G-4 Temporal multipliers'!$A$4:$C$37,3,FALSE)),"")</f>
        <v/>
      </c>
      <c r="AE44" s="311" t="str">
        <f>IF(N44="","",VLOOKUP(N44,'G-7 WaterC'' Data'!$B$4:$G$8,5,FALSE))</f>
        <v/>
      </c>
      <c r="AF44" s="295" t="str">
        <f t="shared" si="0"/>
        <v/>
      </c>
      <c r="AG44" s="295" t="str">
        <f t="shared" si="6"/>
        <v/>
      </c>
      <c r="AH44" s="276" t="str">
        <f t="shared" si="1"/>
        <v/>
      </c>
      <c r="AI44" s="105"/>
      <c r="AJ44" s="276" t="str">
        <f>IF(AI44="","",(IF(AND(AI44="N/A - Culvert",N44&lt;&gt;"Culvert"),"Not possible ▲",IF(VLOOKUP(AI44,'G-7 WaterC'' Data'!$AA$4:$AB$7,2,FALSE)=0,"Spatial Data Missing ⚠",VLOOKUP(AI44,'G-7 WaterC'' Data'!$AA$4:$AB$7,2,FALSE)))))</f>
        <v/>
      </c>
      <c r="AK44" s="106"/>
      <c r="AL44" s="310" t="str">
        <f>IF(AK44="","",IF(AND(AK44="N/A - Culvert",N44&lt;&gt;"Culvert"),"Not possible ▲",IF(VLOOKUP(AK44,'G-7 WaterC'' Data'!$AD$4:$AE$14,2,FALSE)=0,"Spatial Data Missing ⚠",VLOOKUP(AK44,'G-7 WaterC'' Data'!$AD$4:$AE$14,2,FALSE))))</f>
        <v/>
      </c>
      <c r="AM44" s="275" t="str">
        <f>IF(B44="","",VLOOKUP($B44,'F-1 Off-Site WaterC'' Baseline'!$C$9:$Z$257,17,FALSE))</f>
        <v/>
      </c>
      <c r="AN44" s="276" t="str">
        <f>IF(AM44="","",IF(VLOOKUP(AM44,'G-7 WaterC'' Data'!$AO$4:$BO$7,2,FALSE)=0,"Spatial Data Missing ⚠",VLOOKUP(AM44,'G-7 WaterC'' Data'!$AO$4:$BO$7,2,FALSE)))</f>
        <v/>
      </c>
      <c r="AO44" s="317" t="str">
        <f t="shared" si="7"/>
        <v/>
      </c>
      <c r="AP44" s="317" t="str">
        <f t="shared" si="8"/>
        <v/>
      </c>
      <c r="AQ44" s="101"/>
      <c r="AR44" s="115"/>
      <c r="AS44" s="104"/>
      <c r="AT44" s="104"/>
      <c r="AW44" s="30" t="str">
        <f>IF(E44="","",VLOOKUP($B44,'F-1 Off-Site WaterC'' Baseline'!$C$9:$Z$257,12,FALSE))</f>
        <v/>
      </c>
      <c r="AX44" s="30" t="str">
        <f>IF(E44="","",VLOOKUP($B44,'F-1 Off-Site WaterC'' Baseline'!$C$9:$Z$257,14,FALSE))</f>
        <v/>
      </c>
      <c r="AY44" s="30" t="str">
        <f>IFERROR(INDEX('G-7 WaterC'' Data'!$AZ$3:$AZ$7,MATCH(N44,'G-7 WaterC'' Data'!$AY$3:$AY$7,0)),"")</f>
        <v/>
      </c>
      <c r="AZ44" s="30" t="str">
        <f>IF(B44="","",IF(ISNA(VLOOKUP($B44,'F-1 Off-Site WaterC'' Baseline'!$C$8:$AD$257,20,FALSE)),"",(VLOOKUP($B44,'F-1 Off-Site WaterC'' Baseline'!$C$8:$AD$257,20,FALSE))))</f>
        <v/>
      </c>
      <c r="BC44" s="30" t="str">
        <f>IF(B44="","",VLOOKUP($B44,'F-1 Off-Site WaterC'' Baseline'!$C$9:$AB$257,25,FALSE))</f>
        <v/>
      </c>
      <c r="BD44" s="30" t="str">
        <f t="shared" si="9"/>
        <v/>
      </c>
      <c r="BE44" s="30" t="str">
        <f>IF(B44="","",VLOOKUP($B44,'F-1 Off-Site WaterC'' Baseline'!$C$9:$AB$257,24,FALSE))</f>
        <v/>
      </c>
      <c r="BF44" s="30" t="str">
        <f>IF(B44="","",VLOOKUP($B44,'F-1 Off-Site WaterC'' Baseline'!$C$9:$AB$257,22,FALSE))</f>
        <v/>
      </c>
      <c r="BJ44" s="30" t="str">
        <f t="shared" si="10"/>
        <v>No</v>
      </c>
    </row>
    <row r="45" spans="2:62" ht="14">
      <c r="B45" s="305" t="str">
        <f>'F-1 Off-Site WaterC'' Baseline'!AS43</f>
        <v/>
      </c>
      <c r="C45" s="295" t="str">
        <f>IF(B45="","",VLOOKUP($B45,'F-1 Off-Site WaterC'' Baseline'!$C$9:$R$257,2,FALSE))</f>
        <v/>
      </c>
      <c r="D45" s="295" t="str">
        <f>IF(C45="","",VLOOKUP($B45,'F-1 Off-Site WaterC'' Baseline'!$C$9:$R$257,3,FALSE))</f>
        <v/>
      </c>
      <c r="E45" s="295" t="str">
        <f>IF(D45="","",VLOOKUP($B45,'F-1 Off-Site WaterC'' Baseline'!$C$9:$R$257,4,FALSE))</f>
        <v/>
      </c>
      <c r="F45" s="295" t="str">
        <f>IF(E45="","",VLOOKUP($B45,'F-1 Off-Site WaterC'' Baseline'!$C$9:$R$257,5,FALSE))</f>
        <v/>
      </c>
      <c r="G45" s="295" t="str">
        <f>IF(F45="","",VLOOKUP($B45,'F-1 Off-Site WaterC'' Baseline'!$C$9:$R$257,6,FALSE))</f>
        <v/>
      </c>
      <c r="H45" s="295" t="str">
        <f>IF(G45="","",VLOOKUP($B45,'F-1 Off-Site WaterC'' Baseline'!$C$9:$R$257,7,FALSE))</f>
        <v/>
      </c>
      <c r="I45" s="295" t="str">
        <f>IF(H45="","",VLOOKUP($B45,'F-1 Off-Site WaterC'' Baseline'!$C$9:$R$257,8,FALSE))</f>
        <v/>
      </c>
      <c r="J45" s="295" t="str">
        <f>IF(I45="","",VLOOKUP($B45,'F-1 Off-Site WaterC'' Baseline'!$C$9:$R$257,9,FALSE))</f>
        <v/>
      </c>
      <c r="K45" s="295" t="str">
        <f>IF(J45="","",VLOOKUP($B45,'F-1 Off-Site WaterC'' Baseline'!$C$9:$R$257,10,FALSE))</f>
        <v/>
      </c>
      <c r="L45" s="283" t="str">
        <f>IF(B45="","",VLOOKUP($B45,'F-1 Off-Site WaterC'' Baseline'!$C$9:$R$257,15,FALSE))</f>
        <v/>
      </c>
      <c r="M45" s="299" t="str">
        <f>IF(L45="","",VLOOKUP($B45,'F-1 Off-Site WaterC'' Baseline'!$C$9:$V$257,19,FALSE))</f>
        <v/>
      </c>
      <c r="N45" s="244"/>
      <c r="O45" s="275" t="str">
        <f t="shared" si="2"/>
        <v/>
      </c>
      <c r="P45" s="276" t="str">
        <f t="shared" si="3"/>
        <v/>
      </c>
      <c r="Q45" s="281" t="str">
        <f>IF(N45="","",VLOOKUP(B45,'F-1 Off-Site WaterC'' Baseline'!$C$10:$AF$257,23,FALSE))</f>
        <v/>
      </c>
      <c r="R45" s="275" t="str">
        <f>IF(N45="","",VLOOKUP(N45,'G-7 WaterC'' Data'!$B$2:$G$8,2,FALSE))</f>
        <v/>
      </c>
      <c r="S45" s="276" t="str">
        <f>IFERROR(VLOOKUP(R45,'G-7 WaterC'' Data'!$C$4:$D$8,2,FALSE),"")</f>
        <v/>
      </c>
      <c r="T45" s="101"/>
      <c r="U45" s="276" t="str">
        <f>IFERROR(INDEX('G-7 WaterC'' Data'!$H$4:$L$8,MATCH(N45,'G-7 WaterC'' Data'!$B$4:$B$8,0),MATCH(T45,'G-7 WaterC'' Data'!$H$3:$L$3,0)),"")</f>
        <v/>
      </c>
      <c r="V45" s="105"/>
      <c r="W45" s="295" t="str">
        <f>IF(V45="","",IF(VLOOKUP(V45,'G-7 WaterC'' Data'!$AK$4:$AM$6,2,FALSE)=0,"Spatial Data Missing ⚠",VLOOKUP(V45,'G-7 WaterC'' Data'!$AK$4:$AM$6,2,FALSE)))</f>
        <v/>
      </c>
      <c r="X45" s="299" t="str">
        <f>IF(V45="","",IF(VLOOKUP(V45,'G-7 WaterC'' Data'!$AK$4:$AM$6,3,FALSE)=0,"Spatial Data Missing ⚠",VLOOKUP(V45,'G-7 WaterC'' Data'!$AK$4:$AM$6,3,FALSE)))</f>
        <v/>
      </c>
      <c r="Y45" s="311" t="str">
        <f>IFERROR(IF(OR(LEFT(P45,5)="Error",LEFT(O45,5)="Error"),"Check Data ⚠",IF(F45&lt;S45,'G-7 WaterC'' Data'!$R$3,INDEX('G-7 WaterC'' Data'!$U$5:$Y$9,MATCH(G45,'G-7 WaterC'' Data'!$T$5:$T$9,0),MATCH(T45,'G-7 WaterC'' Data'!$U$4:$Y$4,0)))),"")</f>
        <v/>
      </c>
      <c r="Z45" s="138"/>
      <c r="AA45" s="138"/>
      <c r="AB45" s="308" t="str">
        <f t="shared" si="4"/>
        <v/>
      </c>
      <c r="AC45" s="296" t="str">
        <f t="shared" si="5"/>
        <v/>
      </c>
      <c r="AD45" s="334" t="str">
        <f>IFERROR(IF(AC45="Check Data ⚠","Check Data ⚠",VLOOKUP(AC45,'G-4 Temporal multipliers'!$A$4:$C$37,3,FALSE)),"")</f>
        <v/>
      </c>
      <c r="AE45" s="311" t="str">
        <f>IF(N45="","",VLOOKUP(N45,'G-7 WaterC'' Data'!$B$4:$G$8,5,FALSE))</f>
        <v/>
      </c>
      <c r="AF45" s="295" t="str">
        <f t="shared" si="0"/>
        <v/>
      </c>
      <c r="AG45" s="295" t="str">
        <f t="shared" si="6"/>
        <v/>
      </c>
      <c r="AH45" s="276" t="str">
        <f t="shared" si="1"/>
        <v/>
      </c>
      <c r="AI45" s="105"/>
      <c r="AJ45" s="276" t="str">
        <f>IF(AI45="","",(IF(AND(AI45="N/A - Culvert",N45&lt;&gt;"Culvert"),"Not possible ▲",IF(VLOOKUP(AI45,'G-7 WaterC'' Data'!$AA$4:$AB$7,2,FALSE)=0,"Spatial Data Missing ⚠",VLOOKUP(AI45,'G-7 WaterC'' Data'!$AA$4:$AB$7,2,FALSE)))))</f>
        <v/>
      </c>
      <c r="AK45" s="106"/>
      <c r="AL45" s="310" t="str">
        <f>IF(AK45="","",IF(AND(AK45="N/A - Culvert",N45&lt;&gt;"Culvert"),"Not possible ▲",IF(VLOOKUP(AK45,'G-7 WaterC'' Data'!$AD$4:$AE$14,2,FALSE)=0,"Spatial Data Missing ⚠",VLOOKUP(AK45,'G-7 WaterC'' Data'!$AD$4:$AE$14,2,FALSE))))</f>
        <v/>
      </c>
      <c r="AM45" s="275" t="str">
        <f>IF(B45="","",VLOOKUP($B45,'F-1 Off-Site WaterC'' Baseline'!$C$9:$Z$257,17,FALSE))</f>
        <v/>
      </c>
      <c r="AN45" s="276" t="str">
        <f>IF(AM45="","",IF(VLOOKUP(AM45,'G-7 WaterC'' Data'!$AO$4:$BO$7,2,FALSE)=0,"Spatial Data Missing ⚠",VLOOKUP(AM45,'G-7 WaterC'' Data'!$AO$4:$BO$7,2,FALSE)))</f>
        <v/>
      </c>
      <c r="AO45" s="317" t="str">
        <f t="shared" si="7"/>
        <v/>
      </c>
      <c r="AP45" s="317" t="str">
        <f t="shared" si="8"/>
        <v/>
      </c>
      <c r="AQ45" s="101"/>
      <c r="AR45" s="115"/>
      <c r="AS45" s="104"/>
      <c r="AT45" s="104"/>
      <c r="AW45" s="30" t="str">
        <f>IF(E45="","",VLOOKUP($B45,'F-1 Off-Site WaterC'' Baseline'!$C$9:$Z$257,12,FALSE))</f>
        <v/>
      </c>
      <c r="AX45" s="30" t="str">
        <f>IF(E45="","",VLOOKUP($B45,'F-1 Off-Site WaterC'' Baseline'!$C$9:$Z$257,14,FALSE))</f>
        <v/>
      </c>
      <c r="AY45" s="30" t="str">
        <f>IFERROR(INDEX('G-7 WaterC'' Data'!$AZ$3:$AZ$7,MATCH(N45,'G-7 WaterC'' Data'!$AY$3:$AY$7,0)),"")</f>
        <v/>
      </c>
      <c r="AZ45" s="30" t="str">
        <f>IF(B45="","",IF(ISNA(VLOOKUP($B45,'F-1 Off-Site WaterC'' Baseline'!$C$8:$AD$257,20,FALSE)),"",(VLOOKUP($B45,'F-1 Off-Site WaterC'' Baseline'!$C$8:$AD$257,20,FALSE))))</f>
        <v/>
      </c>
      <c r="BC45" s="30" t="str">
        <f>IF(B45="","",VLOOKUP($B45,'F-1 Off-Site WaterC'' Baseline'!$C$9:$AB$257,25,FALSE))</f>
        <v/>
      </c>
      <c r="BD45" s="30" t="str">
        <f t="shared" si="9"/>
        <v/>
      </c>
      <c r="BE45" s="30" t="str">
        <f>IF(B45="","",VLOOKUP($B45,'F-1 Off-Site WaterC'' Baseline'!$C$9:$AB$257,24,FALSE))</f>
        <v/>
      </c>
      <c r="BF45" s="30" t="str">
        <f>IF(B45="","",VLOOKUP($B45,'F-1 Off-Site WaterC'' Baseline'!$C$9:$AB$257,22,FALSE))</f>
        <v/>
      </c>
      <c r="BJ45" s="30" t="str">
        <f t="shared" si="10"/>
        <v>No</v>
      </c>
    </row>
    <row r="46" spans="2:62" ht="14">
      <c r="B46" s="305" t="str">
        <f>'F-1 Off-Site WaterC'' Baseline'!AS44</f>
        <v/>
      </c>
      <c r="C46" s="295" t="str">
        <f>IF(B46="","",VLOOKUP($B46,'F-1 Off-Site WaterC'' Baseline'!$C$9:$R$257,2,FALSE))</f>
        <v/>
      </c>
      <c r="D46" s="295" t="str">
        <f>IF(C46="","",VLOOKUP($B46,'F-1 Off-Site WaterC'' Baseline'!$C$9:$R$257,3,FALSE))</f>
        <v/>
      </c>
      <c r="E46" s="295" t="str">
        <f>IF(D46="","",VLOOKUP($B46,'F-1 Off-Site WaterC'' Baseline'!$C$9:$R$257,4,FALSE))</f>
        <v/>
      </c>
      <c r="F46" s="295" t="str">
        <f>IF(E46="","",VLOOKUP($B46,'F-1 Off-Site WaterC'' Baseline'!$C$9:$R$257,5,FALSE))</f>
        <v/>
      </c>
      <c r="G46" s="295" t="str">
        <f>IF(F46="","",VLOOKUP($B46,'F-1 Off-Site WaterC'' Baseline'!$C$9:$R$257,6,FALSE))</f>
        <v/>
      </c>
      <c r="H46" s="295" t="str">
        <f>IF(G46="","",VLOOKUP($B46,'F-1 Off-Site WaterC'' Baseline'!$C$9:$R$257,7,FALSE))</f>
        <v/>
      </c>
      <c r="I46" s="295" t="str">
        <f>IF(H46="","",VLOOKUP($B46,'F-1 Off-Site WaterC'' Baseline'!$C$9:$R$257,8,FALSE))</f>
        <v/>
      </c>
      <c r="J46" s="295" t="str">
        <f>IF(I46="","",VLOOKUP($B46,'F-1 Off-Site WaterC'' Baseline'!$C$9:$R$257,9,FALSE))</f>
        <v/>
      </c>
      <c r="K46" s="295" t="str">
        <f>IF(J46="","",VLOOKUP($B46,'F-1 Off-Site WaterC'' Baseline'!$C$9:$R$257,10,FALSE))</f>
        <v/>
      </c>
      <c r="L46" s="283" t="str">
        <f>IF(B46="","",VLOOKUP($B46,'F-1 Off-Site WaterC'' Baseline'!$C$9:$R$257,15,FALSE))</f>
        <v/>
      </c>
      <c r="M46" s="299" t="str">
        <f>IF(L46="","",VLOOKUP($B46,'F-1 Off-Site WaterC'' Baseline'!$C$9:$V$257,19,FALSE))</f>
        <v/>
      </c>
      <c r="N46" s="244"/>
      <c r="O46" s="275" t="str">
        <f t="shared" si="2"/>
        <v/>
      </c>
      <c r="P46" s="276" t="str">
        <f t="shared" si="3"/>
        <v/>
      </c>
      <c r="Q46" s="281" t="str">
        <f>IF(N46="","",VLOOKUP(B46,'F-1 Off-Site WaterC'' Baseline'!$C$10:$AF$257,23,FALSE))</f>
        <v/>
      </c>
      <c r="R46" s="275" t="str">
        <f>IF(N46="","",VLOOKUP(N46,'G-7 WaterC'' Data'!$B$2:$G$8,2,FALSE))</f>
        <v/>
      </c>
      <c r="S46" s="276" t="str">
        <f>IFERROR(VLOOKUP(R46,'G-7 WaterC'' Data'!$C$4:$D$8,2,FALSE),"")</f>
        <v/>
      </c>
      <c r="T46" s="101"/>
      <c r="U46" s="276" t="str">
        <f>IFERROR(INDEX('G-7 WaterC'' Data'!$H$4:$L$8,MATCH(N46,'G-7 WaterC'' Data'!$B$4:$B$8,0),MATCH(T46,'G-7 WaterC'' Data'!$H$3:$L$3,0)),"")</f>
        <v/>
      </c>
      <c r="V46" s="105"/>
      <c r="W46" s="295" t="str">
        <f>IF(V46="","",IF(VLOOKUP(V46,'G-7 WaterC'' Data'!$AK$4:$AM$6,2,FALSE)=0,"Spatial Data Missing ⚠",VLOOKUP(V46,'G-7 WaterC'' Data'!$AK$4:$AM$6,2,FALSE)))</f>
        <v/>
      </c>
      <c r="X46" s="299" t="str">
        <f>IF(V46="","",IF(VLOOKUP(V46,'G-7 WaterC'' Data'!$AK$4:$AM$6,3,FALSE)=0,"Spatial Data Missing ⚠",VLOOKUP(V46,'G-7 WaterC'' Data'!$AK$4:$AM$6,3,FALSE)))</f>
        <v/>
      </c>
      <c r="Y46" s="311" t="str">
        <f>IFERROR(IF(OR(LEFT(P46,5)="Error",LEFT(O46,5)="Error"),"Check Data ⚠",IF(F46&lt;S46,'G-7 WaterC'' Data'!$R$3,INDEX('G-7 WaterC'' Data'!$U$5:$Y$9,MATCH(G46,'G-7 WaterC'' Data'!$T$5:$T$9,0),MATCH(T46,'G-7 WaterC'' Data'!$U$4:$Y$4,0)))),"")</f>
        <v/>
      </c>
      <c r="Z46" s="138"/>
      <c r="AA46" s="138"/>
      <c r="AB46" s="308" t="str">
        <f t="shared" si="4"/>
        <v/>
      </c>
      <c r="AC46" s="296" t="str">
        <f t="shared" si="5"/>
        <v/>
      </c>
      <c r="AD46" s="334" t="str">
        <f>IFERROR(IF(AC46="Check Data ⚠","Check Data ⚠",VLOOKUP(AC46,'G-4 Temporal multipliers'!$A$4:$C$37,3,FALSE)),"")</f>
        <v/>
      </c>
      <c r="AE46" s="311" t="str">
        <f>IF(N46="","",VLOOKUP(N46,'G-7 WaterC'' Data'!$B$4:$G$8,5,FALSE))</f>
        <v/>
      </c>
      <c r="AF46" s="295" t="str">
        <f t="shared" si="0"/>
        <v/>
      </c>
      <c r="AG46" s="295" t="str">
        <f t="shared" si="6"/>
        <v/>
      </c>
      <c r="AH46" s="276" t="str">
        <f t="shared" si="1"/>
        <v/>
      </c>
      <c r="AI46" s="105"/>
      <c r="AJ46" s="276" t="str">
        <f>IF(AI46="","",(IF(AND(AI46="N/A - Culvert",N46&lt;&gt;"Culvert"),"Not possible ▲",IF(VLOOKUP(AI46,'G-7 WaterC'' Data'!$AA$4:$AB$7,2,FALSE)=0,"Spatial Data Missing ⚠",VLOOKUP(AI46,'G-7 WaterC'' Data'!$AA$4:$AB$7,2,FALSE)))))</f>
        <v/>
      </c>
      <c r="AK46" s="106"/>
      <c r="AL46" s="310" t="str">
        <f>IF(AK46="","",IF(AND(AK46="N/A - Culvert",N46&lt;&gt;"Culvert"),"Not possible ▲",IF(VLOOKUP(AK46,'G-7 WaterC'' Data'!$AD$4:$AE$14,2,FALSE)=0,"Spatial Data Missing ⚠",VLOOKUP(AK46,'G-7 WaterC'' Data'!$AD$4:$AE$14,2,FALSE))))</f>
        <v/>
      </c>
      <c r="AM46" s="275" t="str">
        <f>IF(B46="","",VLOOKUP($B46,'F-1 Off-Site WaterC'' Baseline'!$C$9:$Z$257,17,FALSE))</f>
        <v/>
      </c>
      <c r="AN46" s="276" t="str">
        <f>IF(AM46="","",IF(VLOOKUP(AM46,'G-7 WaterC'' Data'!$AO$4:$BO$7,2,FALSE)=0,"Spatial Data Missing ⚠",VLOOKUP(AM46,'G-7 WaterC'' Data'!$AO$4:$BO$7,2,FALSE)))</f>
        <v/>
      </c>
      <c r="AO46" s="317" t="str">
        <f t="shared" si="7"/>
        <v/>
      </c>
      <c r="AP46" s="317" t="str">
        <f t="shared" si="8"/>
        <v/>
      </c>
      <c r="AQ46" s="101"/>
      <c r="AR46" s="115"/>
      <c r="AS46" s="104"/>
      <c r="AT46" s="104"/>
      <c r="AW46" s="30" t="str">
        <f>IF(E46="","",VLOOKUP($B46,'F-1 Off-Site WaterC'' Baseline'!$C$9:$Z$257,12,FALSE))</f>
        <v/>
      </c>
      <c r="AX46" s="30" t="str">
        <f>IF(E46="","",VLOOKUP($B46,'F-1 Off-Site WaterC'' Baseline'!$C$9:$Z$257,14,FALSE))</f>
        <v/>
      </c>
      <c r="AY46" s="30" t="str">
        <f>IFERROR(INDEX('G-7 WaterC'' Data'!$AZ$3:$AZ$7,MATCH(N46,'G-7 WaterC'' Data'!$AY$3:$AY$7,0)),"")</f>
        <v/>
      </c>
      <c r="AZ46" s="30" t="str">
        <f>IF(B46="","",IF(ISNA(VLOOKUP($B46,'F-1 Off-Site WaterC'' Baseline'!$C$8:$AD$257,20,FALSE)),"",(VLOOKUP($B46,'F-1 Off-Site WaterC'' Baseline'!$C$8:$AD$257,20,FALSE))))</f>
        <v/>
      </c>
      <c r="BC46" s="30" t="str">
        <f>IF(B46="","",VLOOKUP($B46,'F-1 Off-Site WaterC'' Baseline'!$C$9:$AB$257,25,FALSE))</f>
        <v/>
      </c>
      <c r="BD46" s="30" t="str">
        <f t="shared" si="9"/>
        <v/>
      </c>
      <c r="BE46" s="30" t="str">
        <f>IF(B46="","",VLOOKUP($B46,'F-1 Off-Site WaterC'' Baseline'!$C$9:$AB$257,24,FALSE))</f>
        <v/>
      </c>
      <c r="BF46" s="30" t="str">
        <f>IF(B46="","",VLOOKUP($B46,'F-1 Off-Site WaterC'' Baseline'!$C$9:$AB$257,22,FALSE))</f>
        <v/>
      </c>
      <c r="BJ46" s="30" t="str">
        <f t="shared" si="10"/>
        <v>No</v>
      </c>
    </row>
    <row r="47" spans="2:62" ht="14">
      <c r="B47" s="305" t="str">
        <f>'F-1 Off-Site WaterC'' Baseline'!AS45</f>
        <v/>
      </c>
      <c r="C47" s="295" t="str">
        <f>IF(B47="","",VLOOKUP($B47,'F-1 Off-Site WaterC'' Baseline'!$C$9:$R$257,2,FALSE))</f>
        <v/>
      </c>
      <c r="D47" s="295" t="str">
        <f>IF(C47="","",VLOOKUP($B47,'F-1 Off-Site WaterC'' Baseline'!$C$9:$R$257,3,FALSE))</f>
        <v/>
      </c>
      <c r="E47" s="295" t="str">
        <f>IF(D47="","",VLOOKUP($B47,'F-1 Off-Site WaterC'' Baseline'!$C$9:$R$257,4,FALSE))</f>
        <v/>
      </c>
      <c r="F47" s="295" t="str">
        <f>IF(E47="","",VLOOKUP($B47,'F-1 Off-Site WaterC'' Baseline'!$C$9:$R$257,5,FALSE))</f>
        <v/>
      </c>
      <c r="G47" s="295" t="str">
        <f>IF(F47="","",VLOOKUP($B47,'F-1 Off-Site WaterC'' Baseline'!$C$9:$R$257,6,FALSE))</f>
        <v/>
      </c>
      <c r="H47" s="295" t="str">
        <f>IF(G47="","",VLOOKUP($B47,'F-1 Off-Site WaterC'' Baseline'!$C$9:$R$257,7,FALSE))</f>
        <v/>
      </c>
      <c r="I47" s="295" t="str">
        <f>IF(H47="","",VLOOKUP($B47,'F-1 Off-Site WaterC'' Baseline'!$C$9:$R$257,8,FALSE))</f>
        <v/>
      </c>
      <c r="J47" s="295" t="str">
        <f>IF(I47="","",VLOOKUP($B47,'F-1 Off-Site WaterC'' Baseline'!$C$9:$R$257,9,FALSE))</f>
        <v/>
      </c>
      <c r="K47" s="295" t="str">
        <f>IF(J47="","",VLOOKUP($B47,'F-1 Off-Site WaterC'' Baseline'!$C$9:$R$257,10,FALSE))</f>
        <v/>
      </c>
      <c r="L47" s="283" t="str">
        <f>IF(B47="","",VLOOKUP($B47,'F-1 Off-Site WaterC'' Baseline'!$C$9:$R$257,15,FALSE))</f>
        <v/>
      </c>
      <c r="M47" s="299" t="str">
        <f>IF(L47="","",VLOOKUP($B47,'F-1 Off-Site WaterC'' Baseline'!$C$9:$V$257,19,FALSE))</f>
        <v/>
      </c>
      <c r="N47" s="244"/>
      <c r="O47" s="275" t="str">
        <f t="shared" si="2"/>
        <v/>
      </c>
      <c r="P47" s="276" t="str">
        <f t="shared" si="3"/>
        <v/>
      </c>
      <c r="Q47" s="281" t="str">
        <f>IF(N47="","",VLOOKUP(B47,'F-1 Off-Site WaterC'' Baseline'!$C$10:$AF$257,23,FALSE))</f>
        <v/>
      </c>
      <c r="R47" s="275" t="str">
        <f>IF(N47="","",VLOOKUP(N47,'G-7 WaterC'' Data'!$B$2:$G$8,2,FALSE))</f>
        <v/>
      </c>
      <c r="S47" s="276" t="str">
        <f>IFERROR(VLOOKUP(R47,'G-7 WaterC'' Data'!$C$4:$D$8,2,FALSE),"")</f>
        <v/>
      </c>
      <c r="T47" s="101"/>
      <c r="U47" s="276" t="str">
        <f>IFERROR(INDEX('G-7 WaterC'' Data'!$H$4:$L$8,MATCH(N47,'G-7 WaterC'' Data'!$B$4:$B$8,0),MATCH(T47,'G-7 WaterC'' Data'!$H$3:$L$3,0)),"")</f>
        <v/>
      </c>
      <c r="V47" s="105"/>
      <c r="W47" s="295" t="str">
        <f>IF(V47="","",IF(VLOOKUP(V47,'G-7 WaterC'' Data'!$AK$4:$AM$6,2,FALSE)=0,"Spatial Data Missing ⚠",VLOOKUP(V47,'G-7 WaterC'' Data'!$AK$4:$AM$6,2,FALSE)))</f>
        <v/>
      </c>
      <c r="X47" s="299" t="str">
        <f>IF(V47="","",IF(VLOOKUP(V47,'G-7 WaterC'' Data'!$AK$4:$AM$6,3,FALSE)=0,"Spatial Data Missing ⚠",VLOOKUP(V47,'G-7 WaterC'' Data'!$AK$4:$AM$6,3,FALSE)))</f>
        <v/>
      </c>
      <c r="Y47" s="311" t="str">
        <f>IFERROR(IF(OR(LEFT(P47,5)="Error",LEFT(O47,5)="Error"),"Check Data ⚠",IF(F47&lt;S47,'G-7 WaterC'' Data'!$R$3,INDEX('G-7 WaterC'' Data'!$U$5:$Y$9,MATCH(G47,'G-7 WaterC'' Data'!$T$5:$T$9,0),MATCH(T47,'G-7 WaterC'' Data'!$U$4:$Y$4,0)))),"")</f>
        <v/>
      </c>
      <c r="Z47" s="138"/>
      <c r="AA47" s="138"/>
      <c r="AB47" s="308" t="str">
        <f t="shared" si="4"/>
        <v/>
      </c>
      <c r="AC47" s="296" t="str">
        <f t="shared" si="5"/>
        <v/>
      </c>
      <c r="AD47" s="334" t="str">
        <f>IFERROR(IF(AC47="Check Data ⚠","Check Data ⚠",VLOOKUP(AC47,'G-4 Temporal multipliers'!$A$4:$C$37,3,FALSE)),"")</f>
        <v/>
      </c>
      <c r="AE47" s="311" t="str">
        <f>IF(N47="","",VLOOKUP(N47,'G-7 WaterC'' Data'!$B$4:$G$8,5,FALSE))</f>
        <v/>
      </c>
      <c r="AF47" s="295" t="str">
        <f t="shared" si="0"/>
        <v/>
      </c>
      <c r="AG47" s="295" t="str">
        <f t="shared" si="6"/>
        <v/>
      </c>
      <c r="AH47" s="276" t="str">
        <f t="shared" si="1"/>
        <v/>
      </c>
      <c r="AI47" s="105"/>
      <c r="AJ47" s="276" t="str">
        <f>IF(AI47="","",(IF(AND(AI47="N/A - Culvert",N47&lt;&gt;"Culvert"),"Not possible ▲",IF(VLOOKUP(AI47,'G-7 WaterC'' Data'!$AA$4:$AB$7,2,FALSE)=0,"Spatial Data Missing ⚠",VLOOKUP(AI47,'G-7 WaterC'' Data'!$AA$4:$AB$7,2,FALSE)))))</f>
        <v/>
      </c>
      <c r="AK47" s="106"/>
      <c r="AL47" s="310" t="str">
        <f>IF(AK47="","",IF(AND(AK47="N/A - Culvert",N47&lt;&gt;"Culvert"),"Not possible ▲",IF(VLOOKUP(AK47,'G-7 WaterC'' Data'!$AD$4:$AE$14,2,FALSE)=0,"Spatial Data Missing ⚠",VLOOKUP(AK47,'G-7 WaterC'' Data'!$AD$4:$AE$14,2,FALSE))))</f>
        <v/>
      </c>
      <c r="AM47" s="275" t="str">
        <f>IF(B47="","",VLOOKUP($B47,'F-1 Off-Site WaterC'' Baseline'!$C$9:$Z$257,17,FALSE))</f>
        <v/>
      </c>
      <c r="AN47" s="276" t="str">
        <f>IF(AM47="","",IF(VLOOKUP(AM47,'G-7 WaterC'' Data'!$AO$4:$BO$7,2,FALSE)=0,"Spatial Data Missing ⚠",VLOOKUP(AM47,'G-7 WaterC'' Data'!$AO$4:$BO$7,2,FALSE)))</f>
        <v/>
      </c>
      <c r="AO47" s="317" t="str">
        <f t="shared" si="7"/>
        <v/>
      </c>
      <c r="AP47" s="317" t="str">
        <f t="shared" si="8"/>
        <v/>
      </c>
      <c r="AQ47" s="101"/>
      <c r="AR47" s="115"/>
      <c r="AS47" s="104"/>
      <c r="AT47" s="104"/>
      <c r="AW47" s="30" t="str">
        <f>IF(E47="","",VLOOKUP($B47,'F-1 Off-Site WaterC'' Baseline'!$C$9:$Z$257,12,FALSE))</f>
        <v/>
      </c>
      <c r="AX47" s="30" t="str">
        <f>IF(E47="","",VLOOKUP($B47,'F-1 Off-Site WaterC'' Baseline'!$C$9:$Z$257,14,FALSE))</f>
        <v/>
      </c>
      <c r="AY47" s="30" t="str">
        <f>IFERROR(INDEX('G-7 WaterC'' Data'!$AZ$3:$AZ$7,MATCH(N47,'G-7 WaterC'' Data'!$AY$3:$AY$7,0)),"")</f>
        <v/>
      </c>
      <c r="AZ47" s="30" t="str">
        <f>IF(B47="","",IF(ISNA(VLOOKUP($B47,'F-1 Off-Site WaterC'' Baseline'!$C$8:$AD$257,20,FALSE)),"",(VLOOKUP($B47,'F-1 Off-Site WaterC'' Baseline'!$C$8:$AD$257,20,FALSE))))</f>
        <v/>
      </c>
      <c r="BC47" s="30" t="str">
        <f>IF(B47="","",VLOOKUP($B47,'F-1 Off-Site WaterC'' Baseline'!$C$9:$AB$257,25,FALSE))</f>
        <v/>
      </c>
      <c r="BD47" s="30" t="str">
        <f t="shared" si="9"/>
        <v/>
      </c>
      <c r="BE47" s="30" t="str">
        <f>IF(B47="","",VLOOKUP($B47,'F-1 Off-Site WaterC'' Baseline'!$C$9:$AB$257,24,FALSE))</f>
        <v/>
      </c>
      <c r="BF47" s="30" t="str">
        <f>IF(B47="","",VLOOKUP($B47,'F-1 Off-Site WaterC'' Baseline'!$C$9:$AB$257,22,FALSE))</f>
        <v/>
      </c>
      <c r="BJ47" s="30" t="str">
        <f t="shared" si="10"/>
        <v>No</v>
      </c>
    </row>
    <row r="48" spans="2:62" ht="14">
      <c r="B48" s="305" t="str">
        <f>'F-1 Off-Site WaterC'' Baseline'!AS46</f>
        <v/>
      </c>
      <c r="C48" s="295" t="str">
        <f>IF(B48="","",VLOOKUP($B48,'F-1 Off-Site WaterC'' Baseline'!$C$9:$R$257,2,FALSE))</f>
        <v/>
      </c>
      <c r="D48" s="295" t="str">
        <f>IF(C48="","",VLOOKUP($B48,'F-1 Off-Site WaterC'' Baseline'!$C$9:$R$257,3,FALSE))</f>
        <v/>
      </c>
      <c r="E48" s="295" t="str">
        <f>IF(D48="","",VLOOKUP($B48,'F-1 Off-Site WaterC'' Baseline'!$C$9:$R$257,4,FALSE))</f>
        <v/>
      </c>
      <c r="F48" s="295" t="str">
        <f>IF(E48="","",VLOOKUP($B48,'F-1 Off-Site WaterC'' Baseline'!$C$9:$R$257,5,FALSE))</f>
        <v/>
      </c>
      <c r="G48" s="295" t="str">
        <f>IF(F48="","",VLOOKUP($B48,'F-1 Off-Site WaterC'' Baseline'!$C$9:$R$257,6,FALSE))</f>
        <v/>
      </c>
      <c r="H48" s="295" t="str">
        <f>IF(G48="","",VLOOKUP($B48,'F-1 Off-Site WaterC'' Baseline'!$C$9:$R$257,7,FALSE))</f>
        <v/>
      </c>
      <c r="I48" s="295" t="str">
        <f>IF(H48="","",VLOOKUP($B48,'F-1 Off-Site WaterC'' Baseline'!$C$9:$R$257,8,FALSE))</f>
        <v/>
      </c>
      <c r="J48" s="295" t="str">
        <f>IF(I48="","",VLOOKUP($B48,'F-1 Off-Site WaterC'' Baseline'!$C$9:$R$257,9,FALSE))</f>
        <v/>
      </c>
      <c r="K48" s="295" t="str">
        <f>IF(J48="","",VLOOKUP($B48,'F-1 Off-Site WaterC'' Baseline'!$C$9:$R$257,10,FALSE))</f>
        <v/>
      </c>
      <c r="L48" s="283" t="str">
        <f>IF(B48="","",VLOOKUP($B48,'F-1 Off-Site WaterC'' Baseline'!$C$9:$R$257,15,FALSE))</f>
        <v/>
      </c>
      <c r="M48" s="299" t="str">
        <f>IF(L48="","",VLOOKUP($B48,'F-1 Off-Site WaterC'' Baseline'!$C$9:$V$257,19,FALSE))</f>
        <v/>
      </c>
      <c r="N48" s="244"/>
      <c r="O48" s="275" t="str">
        <f t="shared" si="2"/>
        <v/>
      </c>
      <c r="P48" s="276" t="str">
        <f t="shared" si="3"/>
        <v/>
      </c>
      <c r="Q48" s="281" t="str">
        <f>IF(N48="","",VLOOKUP(B48,'F-1 Off-Site WaterC'' Baseline'!$C$10:$AF$257,23,FALSE))</f>
        <v/>
      </c>
      <c r="R48" s="275" t="str">
        <f>IF(N48="","",VLOOKUP(N48,'G-7 WaterC'' Data'!$B$2:$G$8,2,FALSE))</f>
        <v/>
      </c>
      <c r="S48" s="276" t="str">
        <f>IFERROR(VLOOKUP(R48,'G-7 WaterC'' Data'!$C$4:$D$8,2,FALSE),"")</f>
        <v/>
      </c>
      <c r="T48" s="101"/>
      <c r="U48" s="276" t="str">
        <f>IFERROR(INDEX('G-7 WaterC'' Data'!$H$4:$L$8,MATCH(N48,'G-7 WaterC'' Data'!$B$4:$B$8,0),MATCH(T48,'G-7 WaterC'' Data'!$H$3:$L$3,0)),"")</f>
        <v/>
      </c>
      <c r="V48" s="105"/>
      <c r="W48" s="295" t="str">
        <f>IF(V48="","",IF(VLOOKUP(V48,'G-7 WaterC'' Data'!$AK$4:$AM$6,2,FALSE)=0,"Spatial Data Missing ⚠",VLOOKUP(V48,'G-7 WaterC'' Data'!$AK$4:$AM$6,2,FALSE)))</f>
        <v/>
      </c>
      <c r="X48" s="299" t="str">
        <f>IF(V48="","",IF(VLOOKUP(V48,'G-7 WaterC'' Data'!$AK$4:$AM$6,3,FALSE)=0,"Spatial Data Missing ⚠",VLOOKUP(V48,'G-7 WaterC'' Data'!$AK$4:$AM$6,3,FALSE)))</f>
        <v/>
      </c>
      <c r="Y48" s="311" t="str">
        <f>IFERROR(IF(OR(LEFT(P48,5)="Error",LEFT(O48,5)="Error"),"Check Data ⚠",IF(F48&lt;S48,'G-7 WaterC'' Data'!$R$3,INDEX('G-7 WaterC'' Data'!$U$5:$Y$9,MATCH(G48,'G-7 WaterC'' Data'!$T$5:$T$9,0),MATCH(T48,'G-7 WaterC'' Data'!$U$4:$Y$4,0)))),"")</f>
        <v/>
      </c>
      <c r="Z48" s="138"/>
      <c r="AA48" s="138"/>
      <c r="AB48" s="308" t="str">
        <f t="shared" si="4"/>
        <v/>
      </c>
      <c r="AC48" s="296" t="str">
        <f t="shared" si="5"/>
        <v/>
      </c>
      <c r="AD48" s="334" t="str">
        <f>IFERROR(IF(AC48="Check Data ⚠","Check Data ⚠",VLOOKUP(AC48,'G-4 Temporal multipliers'!$A$4:$C$37,3,FALSE)),"")</f>
        <v/>
      </c>
      <c r="AE48" s="311" t="str">
        <f>IF(N48="","",VLOOKUP(N48,'G-7 WaterC'' Data'!$B$4:$G$8,5,FALSE))</f>
        <v/>
      </c>
      <c r="AF48" s="295" t="str">
        <f t="shared" si="0"/>
        <v/>
      </c>
      <c r="AG48" s="295" t="str">
        <f t="shared" si="6"/>
        <v/>
      </c>
      <c r="AH48" s="276" t="str">
        <f t="shared" si="1"/>
        <v/>
      </c>
      <c r="AI48" s="105"/>
      <c r="AJ48" s="276" t="str">
        <f>IF(AI48="","",(IF(AND(AI48="N/A - Culvert",N48&lt;&gt;"Culvert"),"Not possible ▲",IF(VLOOKUP(AI48,'G-7 WaterC'' Data'!$AA$4:$AB$7,2,FALSE)=0,"Spatial Data Missing ⚠",VLOOKUP(AI48,'G-7 WaterC'' Data'!$AA$4:$AB$7,2,FALSE)))))</f>
        <v/>
      </c>
      <c r="AK48" s="106"/>
      <c r="AL48" s="310" t="str">
        <f>IF(AK48="","",IF(AND(AK48="N/A - Culvert",N48&lt;&gt;"Culvert"),"Not possible ▲",IF(VLOOKUP(AK48,'G-7 WaterC'' Data'!$AD$4:$AE$14,2,FALSE)=0,"Spatial Data Missing ⚠",VLOOKUP(AK48,'G-7 WaterC'' Data'!$AD$4:$AE$14,2,FALSE))))</f>
        <v/>
      </c>
      <c r="AM48" s="275" t="str">
        <f>IF(B48="","",VLOOKUP($B48,'F-1 Off-Site WaterC'' Baseline'!$C$9:$Z$257,17,FALSE))</f>
        <v/>
      </c>
      <c r="AN48" s="276" t="str">
        <f>IF(AM48="","",IF(VLOOKUP(AM48,'G-7 WaterC'' Data'!$AO$4:$BO$7,2,FALSE)=0,"Spatial Data Missing ⚠",VLOOKUP(AM48,'G-7 WaterC'' Data'!$AO$4:$BO$7,2,FALSE)))</f>
        <v/>
      </c>
      <c r="AO48" s="317" t="str">
        <f t="shared" si="7"/>
        <v/>
      </c>
      <c r="AP48" s="317" t="str">
        <f t="shared" si="8"/>
        <v/>
      </c>
      <c r="AQ48" s="101"/>
      <c r="AR48" s="115"/>
      <c r="AS48" s="104"/>
      <c r="AT48" s="104"/>
      <c r="AW48" s="30" t="str">
        <f>IF(E48="","",VLOOKUP($B48,'F-1 Off-Site WaterC'' Baseline'!$C$9:$Z$257,12,FALSE))</f>
        <v/>
      </c>
      <c r="AX48" s="30" t="str">
        <f>IF(E48="","",VLOOKUP($B48,'F-1 Off-Site WaterC'' Baseline'!$C$9:$Z$257,14,FALSE))</f>
        <v/>
      </c>
      <c r="AY48" s="30" t="str">
        <f>IFERROR(INDEX('G-7 WaterC'' Data'!$AZ$3:$AZ$7,MATCH(N48,'G-7 WaterC'' Data'!$AY$3:$AY$7,0)),"")</f>
        <v/>
      </c>
      <c r="AZ48" s="30" t="str">
        <f>IF(B48="","",IF(ISNA(VLOOKUP($B48,'F-1 Off-Site WaterC'' Baseline'!$C$8:$AD$257,20,FALSE)),"",(VLOOKUP($B48,'F-1 Off-Site WaterC'' Baseline'!$C$8:$AD$257,20,FALSE))))</f>
        <v/>
      </c>
      <c r="BC48" s="30" t="str">
        <f>IF(B48="","",VLOOKUP($B48,'F-1 Off-Site WaterC'' Baseline'!$C$9:$AB$257,25,FALSE))</f>
        <v/>
      </c>
      <c r="BD48" s="30" t="str">
        <f t="shared" si="9"/>
        <v/>
      </c>
      <c r="BE48" s="30" t="str">
        <f>IF(B48="","",VLOOKUP($B48,'F-1 Off-Site WaterC'' Baseline'!$C$9:$AB$257,24,FALSE))</f>
        <v/>
      </c>
      <c r="BF48" s="30" t="str">
        <f>IF(B48="","",VLOOKUP($B48,'F-1 Off-Site WaterC'' Baseline'!$C$9:$AB$257,22,FALSE))</f>
        <v/>
      </c>
      <c r="BJ48" s="30" t="str">
        <f t="shared" si="10"/>
        <v>No</v>
      </c>
    </row>
    <row r="49" spans="2:62" ht="14">
      <c r="B49" s="305" t="str">
        <f>'F-1 Off-Site WaterC'' Baseline'!AS47</f>
        <v/>
      </c>
      <c r="C49" s="295" t="str">
        <f>IF(B49="","",VLOOKUP($B49,'F-1 Off-Site WaterC'' Baseline'!$C$9:$R$257,2,FALSE))</f>
        <v/>
      </c>
      <c r="D49" s="295" t="str">
        <f>IF(C49="","",VLOOKUP($B49,'F-1 Off-Site WaterC'' Baseline'!$C$9:$R$257,3,FALSE))</f>
        <v/>
      </c>
      <c r="E49" s="295" t="str">
        <f>IF(D49="","",VLOOKUP($B49,'F-1 Off-Site WaterC'' Baseline'!$C$9:$R$257,4,FALSE))</f>
        <v/>
      </c>
      <c r="F49" s="295" t="str">
        <f>IF(E49="","",VLOOKUP($B49,'F-1 Off-Site WaterC'' Baseline'!$C$9:$R$257,5,FALSE))</f>
        <v/>
      </c>
      <c r="G49" s="295" t="str">
        <f>IF(F49="","",VLOOKUP($B49,'F-1 Off-Site WaterC'' Baseline'!$C$9:$R$257,6,FALSE))</f>
        <v/>
      </c>
      <c r="H49" s="295" t="str">
        <f>IF(G49="","",VLOOKUP($B49,'F-1 Off-Site WaterC'' Baseline'!$C$9:$R$257,7,FALSE))</f>
        <v/>
      </c>
      <c r="I49" s="295" t="str">
        <f>IF(H49="","",VLOOKUP($B49,'F-1 Off-Site WaterC'' Baseline'!$C$9:$R$257,8,FALSE))</f>
        <v/>
      </c>
      <c r="J49" s="295" t="str">
        <f>IF(I49="","",VLOOKUP($B49,'F-1 Off-Site WaterC'' Baseline'!$C$9:$R$257,9,FALSE))</f>
        <v/>
      </c>
      <c r="K49" s="295" t="str">
        <f>IF(J49="","",VLOOKUP($B49,'F-1 Off-Site WaterC'' Baseline'!$C$9:$R$257,10,FALSE))</f>
        <v/>
      </c>
      <c r="L49" s="283" t="str">
        <f>IF(B49="","",VLOOKUP($B49,'F-1 Off-Site WaterC'' Baseline'!$C$9:$R$257,15,FALSE))</f>
        <v/>
      </c>
      <c r="M49" s="299" t="str">
        <f>IF(L49="","",VLOOKUP($B49,'F-1 Off-Site WaterC'' Baseline'!$C$9:$V$257,19,FALSE))</f>
        <v/>
      </c>
      <c r="N49" s="244"/>
      <c r="O49" s="275" t="str">
        <f t="shared" si="2"/>
        <v/>
      </c>
      <c r="P49" s="276" t="str">
        <f t="shared" si="3"/>
        <v/>
      </c>
      <c r="Q49" s="281" t="str">
        <f>IF(N49="","",VLOOKUP(B49,'F-1 Off-Site WaterC'' Baseline'!$C$10:$AF$257,23,FALSE))</f>
        <v/>
      </c>
      <c r="R49" s="275" t="str">
        <f>IF(N49="","",VLOOKUP(N49,'G-7 WaterC'' Data'!$B$2:$G$8,2,FALSE))</f>
        <v/>
      </c>
      <c r="S49" s="276" t="str">
        <f>IFERROR(VLOOKUP(R49,'G-7 WaterC'' Data'!$C$4:$D$8,2,FALSE),"")</f>
        <v/>
      </c>
      <c r="T49" s="101"/>
      <c r="U49" s="276" t="str">
        <f>IFERROR(INDEX('G-7 WaterC'' Data'!$H$4:$L$8,MATCH(N49,'G-7 WaterC'' Data'!$B$4:$B$8,0),MATCH(T49,'G-7 WaterC'' Data'!$H$3:$L$3,0)),"")</f>
        <v/>
      </c>
      <c r="V49" s="105"/>
      <c r="W49" s="295" t="str">
        <f>IF(V49="","",IF(VLOOKUP(V49,'G-7 WaterC'' Data'!$AK$4:$AM$6,2,FALSE)=0,"Spatial Data Missing ⚠",VLOOKUP(V49,'G-7 WaterC'' Data'!$AK$4:$AM$6,2,FALSE)))</f>
        <v/>
      </c>
      <c r="X49" s="299" t="str">
        <f>IF(V49="","",IF(VLOOKUP(V49,'G-7 WaterC'' Data'!$AK$4:$AM$6,3,FALSE)=0,"Spatial Data Missing ⚠",VLOOKUP(V49,'G-7 WaterC'' Data'!$AK$4:$AM$6,3,FALSE)))</f>
        <v/>
      </c>
      <c r="Y49" s="311" t="str">
        <f>IFERROR(IF(OR(LEFT(P49,5)="Error",LEFT(O49,5)="Error"),"Check Data ⚠",IF(F49&lt;S49,'G-7 WaterC'' Data'!$R$3,INDEX('G-7 WaterC'' Data'!$U$5:$Y$9,MATCH(G49,'G-7 WaterC'' Data'!$T$5:$T$9,0),MATCH(T49,'G-7 WaterC'' Data'!$U$4:$Y$4,0)))),"")</f>
        <v/>
      </c>
      <c r="Z49" s="138"/>
      <c r="AA49" s="138"/>
      <c r="AB49" s="308" t="str">
        <f t="shared" si="4"/>
        <v/>
      </c>
      <c r="AC49" s="296" t="str">
        <f t="shared" si="5"/>
        <v/>
      </c>
      <c r="AD49" s="334" t="str">
        <f>IFERROR(IF(AC49="Check Data ⚠","Check Data ⚠",VLOOKUP(AC49,'G-4 Temporal multipliers'!$A$4:$C$37,3,FALSE)),"")</f>
        <v/>
      </c>
      <c r="AE49" s="311" t="str">
        <f>IF(N49="","",VLOOKUP(N49,'G-7 WaterC'' Data'!$B$4:$G$8,5,FALSE))</f>
        <v/>
      </c>
      <c r="AF49" s="295" t="str">
        <f t="shared" si="0"/>
        <v/>
      </c>
      <c r="AG49" s="295" t="str">
        <f t="shared" si="6"/>
        <v/>
      </c>
      <c r="AH49" s="276" t="str">
        <f t="shared" si="1"/>
        <v/>
      </c>
      <c r="AI49" s="105"/>
      <c r="AJ49" s="276" t="str">
        <f>IF(AI49="","",(IF(AND(AI49="N/A - Culvert",N49&lt;&gt;"Culvert"),"Not possible ▲",IF(VLOOKUP(AI49,'G-7 WaterC'' Data'!$AA$4:$AB$7,2,FALSE)=0,"Spatial Data Missing ⚠",VLOOKUP(AI49,'G-7 WaterC'' Data'!$AA$4:$AB$7,2,FALSE)))))</f>
        <v/>
      </c>
      <c r="AK49" s="106"/>
      <c r="AL49" s="310" t="str">
        <f>IF(AK49="","",IF(AND(AK49="N/A - Culvert",N49&lt;&gt;"Culvert"),"Not possible ▲",IF(VLOOKUP(AK49,'G-7 WaterC'' Data'!$AD$4:$AE$14,2,FALSE)=0,"Spatial Data Missing ⚠",VLOOKUP(AK49,'G-7 WaterC'' Data'!$AD$4:$AE$14,2,FALSE))))</f>
        <v/>
      </c>
      <c r="AM49" s="275" t="str">
        <f>IF(B49="","",VLOOKUP($B49,'F-1 Off-Site WaterC'' Baseline'!$C$9:$Z$257,17,FALSE))</f>
        <v/>
      </c>
      <c r="AN49" s="276" t="str">
        <f>IF(AM49="","",IF(VLOOKUP(AM49,'G-7 WaterC'' Data'!$AO$4:$BO$7,2,FALSE)=0,"Spatial Data Missing ⚠",VLOOKUP(AM49,'G-7 WaterC'' Data'!$AO$4:$BO$7,2,FALSE)))</f>
        <v/>
      </c>
      <c r="AO49" s="317" t="str">
        <f t="shared" si="7"/>
        <v/>
      </c>
      <c r="AP49" s="317" t="str">
        <f t="shared" si="8"/>
        <v/>
      </c>
      <c r="AQ49" s="101"/>
      <c r="AR49" s="115"/>
      <c r="AS49" s="104"/>
      <c r="AT49" s="104"/>
      <c r="AW49" s="30" t="str">
        <f>IF(E49="","",VLOOKUP($B49,'F-1 Off-Site WaterC'' Baseline'!$C$9:$Z$257,12,FALSE))</f>
        <v/>
      </c>
      <c r="AX49" s="30" t="str">
        <f>IF(E49="","",VLOOKUP($B49,'F-1 Off-Site WaterC'' Baseline'!$C$9:$Z$257,14,FALSE))</f>
        <v/>
      </c>
      <c r="AY49" s="30" t="str">
        <f>IFERROR(INDEX('G-7 WaterC'' Data'!$AZ$3:$AZ$7,MATCH(N49,'G-7 WaterC'' Data'!$AY$3:$AY$7,0)),"")</f>
        <v/>
      </c>
      <c r="AZ49" s="30" t="str">
        <f>IF(B49="","",IF(ISNA(VLOOKUP($B49,'F-1 Off-Site WaterC'' Baseline'!$C$8:$AD$257,20,FALSE)),"",(VLOOKUP($B49,'F-1 Off-Site WaterC'' Baseline'!$C$8:$AD$257,20,FALSE))))</f>
        <v/>
      </c>
      <c r="BC49" s="30" t="str">
        <f>IF(B49="","",VLOOKUP($B49,'F-1 Off-Site WaterC'' Baseline'!$C$9:$AB$257,25,FALSE))</f>
        <v/>
      </c>
      <c r="BD49" s="30" t="str">
        <f t="shared" si="9"/>
        <v/>
      </c>
      <c r="BE49" s="30" t="str">
        <f>IF(B49="","",VLOOKUP($B49,'F-1 Off-Site WaterC'' Baseline'!$C$9:$AB$257,24,FALSE))</f>
        <v/>
      </c>
      <c r="BF49" s="30" t="str">
        <f>IF(B49="","",VLOOKUP($B49,'F-1 Off-Site WaterC'' Baseline'!$C$9:$AB$257,22,FALSE))</f>
        <v/>
      </c>
      <c r="BJ49" s="30" t="str">
        <f t="shared" si="10"/>
        <v>No</v>
      </c>
    </row>
    <row r="50" spans="2:62" ht="14">
      <c r="B50" s="305" t="str">
        <f>'F-1 Off-Site WaterC'' Baseline'!AS48</f>
        <v/>
      </c>
      <c r="C50" s="295" t="str">
        <f>IF(B50="","",VLOOKUP($B50,'F-1 Off-Site WaterC'' Baseline'!$C$9:$R$257,2,FALSE))</f>
        <v/>
      </c>
      <c r="D50" s="295" t="str">
        <f>IF(C50="","",VLOOKUP($B50,'F-1 Off-Site WaterC'' Baseline'!$C$9:$R$257,3,FALSE))</f>
        <v/>
      </c>
      <c r="E50" s="295" t="str">
        <f>IF(D50="","",VLOOKUP($B50,'F-1 Off-Site WaterC'' Baseline'!$C$9:$R$257,4,FALSE))</f>
        <v/>
      </c>
      <c r="F50" s="295" t="str">
        <f>IF(E50="","",VLOOKUP($B50,'F-1 Off-Site WaterC'' Baseline'!$C$9:$R$257,5,FALSE))</f>
        <v/>
      </c>
      <c r="G50" s="295" t="str">
        <f>IF(F50="","",VLOOKUP($B50,'F-1 Off-Site WaterC'' Baseline'!$C$9:$R$257,6,FALSE))</f>
        <v/>
      </c>
      <c r="H50" s="295" t="str">
        <f>IF(G50="","",VLOOKUP($B50,'F-1 Off-Site WaterC'' Baseline'!$C$9:$R$257,7,FALSE))</f>
        <v/>
      </c>
      <c r="I50" s="295" t="str">
        <f>IF(H50="","",VLOOKUP($B50,'F-1 Off-Site WaterC'' Baseline'!$C$9:$R$257,8,FALSE))</f>
        <v/>
      </c>
      <c r="J50" s="295" t="str">
        <f>IF(I50="","",VLOOKUP($B50,'F-1 Off-Site WaterC'' Baseline'!$C$9:$R$257,9,FALSE))</f>
        <v/>
      </c>
      <c r="K50" s="295" t="str">
        <f>IF(J50="","",VLOOKUP($B50,'F-1 Off-Site WaterC'' Baseline'!$C$9:$R$257,10,FALSE))</f>
        <v/>
      </c>
      <c r="L50" s="283" t="str">
        <f>IF(B50="","",VLOOKUP($B50,'F-1 Off-Site WaterC'' Baseline'!$C$9:$R$257,15,FALSE))</f>
        <v/>
      </c>
      <c r="M50" s="299" t="str">
        <f>IF(L50="","",VLOOKUP($B50,'F-1 Off-Site WaterC'' Baseline'!$C$9:$V$257,19,FALSE))</f>
        <v/>
      </c>
      <c r="N50" s="244"/>
      <c r="O50" s="275" t="str">
        <f t="shared" si="2"/>
        <v/>
      </c>
      <c r="P50" s="276" t="str">
        <f t="shared" si="3"/>
        <v/>
      </c>
      <c r="Q50" s="281" t="str">
        <f>IF(N50="","",VLOOKUP(B50,'F-1 Off-Site WaterC'' Baseline'!$C$10:$AF$257,23,FALSE))</f>
        <v/>
      </c>
      <c r="R50" s="275" t="str">
        <f>IF(N50="","",VLOOKUP(N50,'G-7 WaterC'' Data'!$B$2:$G$8,2,FALSE))</f>
        <v/>
      </c>
      <c r="S50" s="276" t="str">
        <f>IFERROR(VLOOKUP(R50,'G-7 WaterC'' Data'!$C$4:$D$8,2,FALSE),"")</f>
        <v/>
      </c>
      <c r="T50" s="101"/>
      <c r="U50" s="276" t="str">
        <f>IFERROR(INDEX('G-7 WaterC'' Data'!$H$4:$L$8,MATCH(N50,'G-7 WaterC'' Data'!$B$4:$B$8,0),MATCH(T50,'G-7 WaterC'' Data'!$H$3:$L$3,0)),"")</f>
        <v/>
      </c>
      <c r="V50" s="105"/>
      <c r="W50" s="295" t="str">
        <f>IF(V50="","",IF(VLOOKUP(V50,'G-7 WaterC'' Data'!$AK$4:$AM$6,2,FALSE)=0,"Spatial Data Missing ⚠",VLOOKUP(V50,'G-7 WaterC'' Data'!$AK$4:$AM$6,2,FALSE)))</f>
        <v/>
      </c>
      <c r="X50" s="299" t="str">
        <f>IF(V50="","",IF(VLOOKUP(V50,'G-7 WaterC'' Data'!$AK$4:$AM$6,3,FALSE)=0,"Spatial Data Missing ⚠",VLOOKUP(V50,'G-7 WaterC'' Data'!$AK$4:$AM$6,3,FALSE)))</f>
        <v/>
      </c>
      <c r="Y50" s="311" t="str">
        <f>IFERROR(IF(OR(LEFT(P50,5)="Error",LEFT(O50,5)="Error"),"Check Data ⚠",IF(F50&lt;S50,'G-7 WaterC'' Data'!$R$3,INDEX('G-7 WaterC'' Data'!$U$5:$Y$9,MATCH(G50,'G-7 WaterC'' Data'!$T$5:$T$9,0),MATCH(T50,'G-7 WaterC'' Data'!$U$4:$Y$4,0)))),"")</f>
        <v/>
      </c>
      <c r="Z50" s="138"/>
      <c r="AA50" s="138"/>
      <c r="AB50" s="308" t="str">
        <f t="shared" si="4"/>
        <v/>
      </c>
      <c r="AC50" s="296" t="str">
        <f t="shared" si="5"/>
        <v/>
      </c>
      <c r="AD50" s="334" t="str">
        <f>IFERROR(IF(AC50="Check Data ⚠","Check Data ⚠",VLOOKUP(AC50,'G-4 Temporal multipliers'!$A$4:$C$37,3,FALSE)),"")</f>
        <v/>
      </c>
      <c r="AE50" s="311" t="str">
        <f>IF(N50="","",VLOOKUP(N50,'G-7 WaterC'' Data'!$B$4:$G$8,5,FALSE))</f>
        <v/>
      </c>
      <c r="AF50" s="295" t="str">
        <f t="shared" si="0"/>
        <v/>
      </c>
      <c r="AG50" s="295" t="str">
        <f t="shared" si="6"/>
        <v/>
      </c>
      <c r="AH50" s="276" t="str">
        <f t="shared" si="1"/>
        <v/>
      </c>
      <c r="AI50" s="105"/>
      <c r="AJ50" s="276" t="str">
        <f>IF(AI50="","",(IF(AND(AI50="N/A - Culvert",N50&lt;&gt;"Culvert"),"Not possible ▲",IF(VLOOKUP(AI50,'G-7 WaterC'' Data'!$AA$4:$AB$7,2,FALSE)=0,"Spatial Data Missing ⚠",VLOOKUP(AI50,'G-7 WaterC'' Data'!$AA$4:$AB$7,2,FALSE)))))</f>
        <v/>
      </c>
      <c r="AK50" s="106"/>
      <c r="AL50" s="310" t="str">
        <f>IF(AK50="","",IF(AND(AK50="N/A - Culvert",N50&lt;&gt;"Culvert"),"Not possible ▲",IF(VLOOKUP(AK50,'G-7 WaterC'' Data'!$AD$4:$AE$14,2,FALSE)=0,"Spatial Data Missing ⚠",VLOOKUP(AK50,'G-7 WaterC'' Data'!$AD$4:$AE$14,2,FALSE))))</f>
        <v/>
      </c>
      <c r="AM50" s="275" t="str">
        <f>IF(B50="","",VLOOKUP($B50,'F-1 Off-Site WaterC'' Baseline'!$C$9:$Z$257,17,FALSE))</f>
        <v/>
      </c>
      <c r="AN50" s="276" t="str">
        <f>IF(AM50="","",IF(VLOOKUP(AM50,'G-7 WaterC'' Data'!$AO$4:$BO$7,2,FALSE)=0,"Spatial Data Missing ⚠",VLOOKUP(AM50,'G-7 WaterC'' Data'!$AO$4:$BO$7,2,FALSE)))</f>
        <v/>
      </c>
      <c r="AO50" s="317" t="str">
        <f t="shared" si="7"/>
        <v/>
      </c>
      <c r="AP50" s="317" t="str">
        <f t="shared" si="8"/>
        <v/>
      </c>
      <c r="AQ50" s="101"/>
      <c r="AR50" s="115"/>
      <c r="AS50" s="104"/>
      <c r="AT50" s="104"/>
      <c r="AW50" s="30" t="str">
        <f>IF(E50="","",VLOOKUP($B50,'F-1 Off-Site WaterC'' Baseline'!$C$9:$Z$257,12,FALSE))</f>
        <v/>
      </c>
      <c r="AX50" s="30" t="str">
        <f>IF(E50="","",VLOOKUP($B50,'F-1 Off-Site WaterC'' Baseline'!$C$9:$Z$257,14,FALSE))</f>
        <v/>
      </c>
      <c r="AY50" s="30" t="str">
        <f>IFERROR(INDEX('G-7 WaterC'' Data'!$AZ$3:$AZ$7,MATCH(N50,'G-7 WaterC'' Data'!$AY$3:$AY$7,0)),"")</f>
        <v/>
      </c>
      <c r="AZ50" s="30" t="str">
        <f>IF(B50="","",IF(ISNA(VLOOKUP($B50,'F-1 Off-Site WaterC'' Baseline'!$C$8:$AD$257,20,FALSE)),"",(VLOOKUP($B50,'F-1 Off-Site WaterC'' Baseline'!$C$8:$AD$257,20,FALSE))))</f>
        <v/>
      </c>
      <c r="BC50" s="30" t="str">
        <f>IF(B50="","",VLOOKUP($B50,'F-1 Off-Site WaterC'' Baseline'!$C$9:$AB$257,25,FALSE))</f>
        <v/>
      </c>
      <c r="BD50" s="30" t="str">
        <f t="shared" si="9"/>
        <v/>
      </c>
      <c r="BE50" s="30" t="str">
        <f>IF(B50="","",VLOOKUP($B50,'F-1 Off-Site WaterC'' Baseline'!$C$9:$AB$257,24,FALSE))</f>
        <v/>
      </c>
      <c r="BF50" s="30" t="str">
        <f>IF(B50="","",VLOOKUP($B50,'F-1 Off-Site WaterC'' Baseline'!$C$9:$AB$257,22,FALSE))</f>
        <v/>
      </c>
      <c r="BJ50" s="30" t="str">
        <f t="shared" si="10"/>
        <v>No</v>
      </c>
    </row>
    <row r="51" spans="2:62" ht="14">
      <c r="B51" s="305" t="str">
        <f>'F-1 Off-Site WaterC'' Baseline'!AS49</f>
        <v/>
      </c>
      <c r="C51" s="295" t="str">
        <f>IF(B51="","",VLOOKUP($B51,'F-1 Off-Site WaterC'' Baseline'!$C$9:$R$257,2,FALSE))</f>
        <v/>
      </c>
      <c r="D51" s="295" t="str">
        <f>IF(C51="","",VLOOKUP($B51,'F-1 Off-Site WaterC'' Baseline'!$C$9:$R$257,3,FALSE))</f>
        <v/>
      </c>
      <c r="E51" s="295" t="str">
        <f>IF(D51="","",VLOOKUP($B51,'F-1 Off-Site WaterC'' Baseline'!$C$9:$R$257,4,FALSE))</f>
        <v/>
      </c>
      <c r="F51" s="295" t="str">
        <f>IF(E51="","",VLOOKUP($B51,'F-1 Off-Site WaterC'' Baseline'!$C$9:$R$257,5,FALSE))</f>
        <v/>
      </c>
      <c r="G51" s="295" t="str">
        <f>IF(F51="","",VLOOKUP($B51,'F-1 Off-Site WaterC'' Baseline'!$C$9:$R$257,6,FALSE))</f>
        <v/>
      </c>
      <c r="H51" s="295" t="str">
        <f>IF(G51="","",VLOOKUP($B51,'F-1 Off-Site WaterC'' Baseline'!$C$9:$R$257,7,FALSE))</f>
        <v/>
      </c>
      <c r="I51" s="295" t="str">
        <f>IF(H51="","",VLOOKUP($B51,'F-1 Off-Site WaterC'' Baseline'!$C$9:$R$257,8,FALSE))</f>
        <v/>
      </c>
      <c r="J51" s="295" t="str">
        <f>IF(I51="","",VLOOKUP($B51,'F-1 Off-Site WaterC'' Baseline'!$C$9:$R$257,9,FALSE))</f>
        <v/>
      </c>
      <c r="K51" s="295" t="str">
        <f>IF(J51="","",VLOOKUP($B51,'F-1 Off-Site WaterC'' Baseline'!$C$9:$R$257,10,FALSE))</f>
        <v/>
      </c>
      <c r="L51" s="283" t="str">
        <f>IF(B51="","",VLOOKUP($B51,'F-1 Off-Site WaterC'' Baseline'!$C$9:$R$257,15,FALSE))</f>
        <v/>
      </c>
      <c r="M51" s="299" t="str">
        <f>IF(L51="","",VLOOKUP($B51,'F-1 Off-Site WaterC'' Baseline'!$C$9:$V$257,19,FALSE))</f>
        <v/>
      </c>
      <c r="N51" s="244"/>
      <c r="O51" s="275" t="str">
        <f t="shared" si="2"/>
        <v/>
      </c>
      <c r="P51" s="276" t="str">
        <f t="shared" si="3"/>
        <v/>
      </c>
      <c r="Q51" s="281" t="str">
        <f>IF(N51="","",VLOOKUP(B51,'F-1 Off-Site WaterC'' Baseline'!$C$10:$AF$257,23,FALSE))</f>
        <v/>
      </c>
      <c r="R51" s="275" t="str">
        <f>IF(N51="","",VLOOKUP(N51,'G-7 WaterC'' Data'!$B$2:$G$8,2,FALSE))</f>
        <v/>
      </c>
      <c r="S51" s="276" t="str">
        <f>IFERROR(VLOOKUP(R51,'G-7 WaterC'' Data'!$C$4:$D$8,2,FALSE),"")</f>
        <v/>
      </c>
      <c r="T51" s="101"/>
      <c r="U51" s="276" t="str">
        <f>IFERROR(INDEX('G-7 WaterC'' Data'!$H$4:$L$8,MATCH(N51,'G-7 WaterC'' Data'!$B$4:$B$8,0),MATCH(T51,'G-7 WaterC'' Data'!$H$3:$L$3,0)),"")</f>
        <v/>
      </c>
      <c r="V51" s="105"/>
      <c r="W51" s="295" t="str">
        <f>IF(V51="","",IF(VLOOKUP(V51,'G-7 WaterC'' Data'!$AK$4:$AM$6,2,FALSE)=0,"Spatial Data Missing ⚠",VLOOKUP(V51,'G-7 WaterC'' Data'!$AK$4:$AM$6,2,FALSE)))</f>
        <v/>
      </c>
      <c r="X51" s="299" t="str">
        <f>IF(V51="","",IF(VLOOKUP(V51,'G-7 WaterC'' Data'!$AK$4:$AM$6,3,FALSE)=0,"Spatial Data Missing ⚠",VLOOKUP(V51,'G-7 WaterC'' Data'!$AK$4:$AM$6,3,FALSE)))</f>
        <v/>
      </c>
      <c r="Y51" s="311" t="str">
        <f>IFERROR(IF(OR(LEFT(P51,5)="Error",LEFT(O51,5)="Error"),"Check Data ⚠",IF(F51&lt;S51,'G-7 WaterC'' Data'!$R$3,INDEX('G-7 WaterC'' Data'!$U$5:$Y$9,MATCH(G51,'G-7 WaterC'' Data'!$T$5:$T$9,0),MATCH(T51,'G-7 WaterC'' Data'!$U$4:$Y$4,0)))),"")</f>
        <v/>
      </c>
      <c r="Z51" s="138"/>
      <c r="AA51" s="138"/>
      <c r="AB51" s="308" t="str">
        <f t="shared" si="4"/>
        <v/>
      </c>
      <c r="AC51" s="296" t="str">
        <f t="shared" si="5"/>
        <v/>
      </c>
      <c r="AD51" s="334" t="str">
        <f>IFERROR(IF(AC51="Check Data ⚠","Check Data ⚠",VLOOKUP(AC51,'G-4 Temporal multipliers'!$A$4:$C$37,3,FALSE)),"")</f>
        <v/>
      </c>
      <c r="AE51" s="311" t="str">
        <f>IF(N51="","",VLOOKUP(N51,'G-7 WaterC'' Data'!$B$4:$G$8,5,FALSE))</f>
        <v/>
      </c>
      <c r="AF51" s="295" t="str">
        <f t="shared" si="0"/>
        <v/>
      </c>
      <c r="AG51" s="295" t="str">
        <f t="shared" si="6"/>
        <v/>
      </c>
      <c r="AH51" s="276" t="str">
        <f t="shared" si="1"/>
        <v/>
      </c>
      <c r="AI51" s="105"/>
      <c r="AJ51" s="276" t="str">
        <f>IF(AI51="","",(IF(AND(AI51="N/A - Culvert",N51&lt;&gt;"Culvert"),"Not possible ▲",IF(VLOOKUP(AI51,'G-7 WaterC'' Data'!$AA$4:$AB$7,2,FALSE)=0,"Spatial Data Missing ⚠",VLOOKUP(AI51,'G-7 WaterC'' Data'!$AA$4:$AB$7,2,FALSE)))))</f>
        <v/>
      </c>
      <c r="AK51" s="106"/>
      <c r="AL51" s="310" t="str">
        <f>IF(AK51="","",IF(AND(AK51="N/A - Culvert",N51&lt;&gt;"Culvert"),"Not possible ▲",IF(VLOOKUP(AK51,'G-7 WaterC'' Data'!$AD$4:$AE$14,2,FALSE)=0,"Spatial Data Missing ⚠",VLOOKUP(AK51,'G-7 WaterC'' Data'!$AD$4:$AE$14,2,FALSE))))</f>
        <v/>
      </c>
      <c r="AM51" s="275" t="str">
        <f>IF(B51="","",VLOOKUP($B51,'F-1 Off-Site WaterC'' Baseline'!$C$9:$Z$257,17,FALSE))</f>
        <v/>
      </c>
      <c r="AN51" s="276" t="str">
        <f>IF(AM51="","",IF(VLOOKUP(AM51,'G-7 WaterC'' Data'!$AO$4:$BO$7,2,FALSE)=0,"Spatial Data Missing ⚠",VLOOKUP(AM51,'G-7 WaterC'' Data'!$AO$4:$BO$7,2,FALSE)))</f>
        <v/>
      </c>
      <c r="AO51" s="317" t="str">
        <f t="shared" si="7"/>
        <v/>
      </c>
      <c r="AP51" s="317" t="str">
        <f t="shared" si="8"/>
        <v/>
      </c>
      <c r="AQ51" s="101"/>
      <c r="AR51" s="115"/>
      <c r="AS51" s="104"/>
      <c r="AT51" s="104"/>
      <c r="AW51" s="30" t="str">
        <f>IF(E51="","",VLOOKUP($B51,'F-1 Off-Site WaterC'' Baseline'!$C$9:$Z$257,12,FALSE))</f>
        <v/>
      </c>
      <c r="AX51" s="30" t="str">
        <f>IF(E51="","",VLOOKUP($B51,'F-1 Off-Site WaterC'' Baseline'!$C$9:$Z$257,14,FALSE))</f>
        <v/>
      </c>
      <c r="AY51" s="30" t="str">
        <f>IFERROR(INDEX('G-7 WaterC'' Data'!$AZ$3:$AZ$7,MATCH(N51,'G-7 WaterC'' Data'!$AY$3:$AY$7,0)),"")</f>
        <v/>
      </c>
      <c r="AZ51" s="30" t="str">
        <f>IF(B51="","",IF(ISNA(VLOOKUP($B51,'F-1 Off-Site WaterC'' Baseline'!$C$8:$AD$257,20,FALSE)),"",(VLOOKUP($B51,'F-1 Off-Site WaterC'' Baseline'!$C$8:$AD$257,20,FALSE))))</f>
        <v/>
      </c>
      <c r="BC51" s="30" t="str">
        <f>IF(B51="","",VLOOKUP($B51,'F-1 Off-Site WaterC'' Baseline'!$C$9:$AB$257,25,FALSE))</f>
        <v/>
      </c>
      <c r="BD51" s="30" t="str">
        <f t="shared" si="9"/>
        <v/>
      </c>
      <c r="BE51" s="30" t="str">
        <f>IF(B51="","",VLOOKUP($B51,'F-1 Off-Site WaterC'' Baseline'!$C$9:$AB$257,24,FALSE))</f>
        <v/>
      </c>
      <c r="BF51" s="30" t="str">
        <f>IF(B51="","",VLOOKUP($B51,'F-1 Off-Site WaterC'' Baseline'!$C$9:$AB$257,22,FALSE))</f>
        <v/>
      </c>
      <c r="BJ51" s="30" t="str">
        <f t="shared" si="10"/>
        <v>No</v>
      </c>
    </row>
    <row r="52" spans="2:62" ht="14">
      <c r="B52" s="305" t="str">
        <f>'F-1 Off-Site WaterC'' Baseline'!AS50</f>
        <v/>
      </c>
      <c r="C52" s="295" t="str">
        <f>IF(B52="","",VLOOKUP($B52,'F-1 Off-Site WaterC'' Baseline'!$C$9:$R$257,2,FALSE))</f>
        <v/>
      </c>
      <c r="D52" s="295" t="str">
        <f>IF(C52="","",VLOOKUP($B52,'F-1 Off-Site WaterC'' Baseline'!$C$9:$R$257,3,FALSE))</f>
        <v/>
      </c>
      <c r="E52" s="295" t="str">
        <f>IF(D52="","",VLOOKUP($B52,'F-1 Off-Site WaterC'' Baseline'!$C$9:$R$257,4,FALSE))</f>
        <v/>
      </c>
      <c r="F52" s="295" t="str">
        <f>IF(E52="","",VLOOKUP($B52,'F-1 Off-Site WaterC'' Baseline'!$C$9:$R$257,5,FALSE))</f>
        <v/>
      </c>
      <c r="G52" s="295" t="str">
        <f>IF(F52="","",VLOOKUP($B52,'F-1 Off-Site WaterC'' Baseline'!$C$9:$R$257,6,FALSE))</f>
        <v/>
      </c>
      <c r="H52" s="295" t="str">
        <f>IF(G52="","",VLOOKUP($B52,'F-1 Off-Site WaterC'' Baseline'!$C$9:$R$257,7,FALSE))</f>
        <v/>
      </c>
      <c r="I52" s="295" t="str">
        <f>IF(H52="","",VLOOKUP($B52,'F-1 Off-Site WaterC'' Baseline'!$C$9:$R$257,8,FALSE))</f>
        <v/>
      </c>
      <c r="J52" s="295" t="str">
        <f>IF(I52="","",VLOOKUP($B52,'F-1 Off-Site WaterC'' Baseline'!$C$9:$R$257,9,FALSE))</f>
        <v/>
      </c>
      <c r="K52" s="295" t="str">
        <f>IF(J52="","",VLOOKUP($B52,'F-1 Off-Site WaterC'' Baseline'!$C$9:$R$257,10,FALSE))</f>
        <v/>
      </c>
      <c r="L52" s="283" t="str">
        <f>IF(B52="","",VLOOKUP($B52,'F-1 Off-Site WaterC'' Baseline'!$C$9:$R$257,15,FALSE))</f>
        <v/>
      </c>
      <c r="M52" s="299" t="str">
        <f>IF(L52="","",VLOOKUP($B52,'F-1 Off-Site WaterC'' Baseline'!$C$9:$V$257,19,FALSE))</f>
        <v/>
      </c>
      <c r="N52" s="244"/>
      <c r="O52" s="275" t="str">
        <f t="shared" si="2"/>
        <v/>
      </c>
      <c r="P52" s="276" t="str">
        <f t="shared" si="3"/>
        <v/>
      </c>
      <c r="Q52" s="281" t="str">
        <f>IF(N52="","",VLOOKUP(B52,'F-1 Off-Site WaterC'' Baseline'!$C$10:$AF$257,23,FALSE))</f>
        <v/>
      </c>
      <c r="R52" s="275" t="str">
        <f>IF(N52="","",VLOOKUP(N52,'G-7 WaterC'' Data'!$B$2:$G$8,2,FALSE))</f>
        <v/>
      </c>
      <c r="S52" s="276" t="str">
        <f>IFERROR(VLOOKUP(R52,'G-7 WaterC'' Data'!$C$4:$D$8,2,FALSE),"")</f>
        <v/>
      </c>
      <c r="T52" s="101"/>
      <c r="U52" s="276" t="str">
        <f>IFERROR(INDEX('G-7 WaterC'' Data'!$H$4:$L$8,MATCH(N52,'G-7 WaterC'' Data'!$B$4:$B$8,0),MATCH(T52,'G-7 WaterC'' Data'!$H$3:$L$3,0)),"")</f>
        <v/>
      </c>
      <c r="V52" s="105"/>
      <c r="W52" s="295" t="str">
        <f>IF(V52="","",IF(VLOOKUP(V52,'G-7 WaterC'' Data'!$AK$4:$AM$6,2,FALSE)=0,"Spatial Data Missing ⚠",VLOOKUP(V52,'G-7 WaterC'' Data'!$AK$4:$AM$6,2,FALSE)))</f>
        <v/>
      </c>
      <c r="X52" s="299" t="str">
        <f>IF(V52="","",IF(VLOOKUP(V52,'G-7 WaterC'' Data'!$AK$4:$AM$6,3,FALSE)=0,"Spatial Data Missing ⚠",VLOOKUP(V52,'G-7 WaterC'' Data'!$AK$4:$AM$6,3,FALSE)))</f>
        <v/>
      </c>
      <c r="Y52" s="311" t="str">
        <f>IFERROR(IF(OR(LEFT(P52,5)="Error",LEFT(O52,5)="Error"),"Check Data ⚠",IF(F52&lt;S52,'G-7 WaterC'' Data'!$R$3,INDEX('G-7 WaterC'' Data'!$U$5:$Y$9,MATCH(G52,'G-7 WaterC'' Data'!$T$5:$T$9,0),MATCH(T52,'G-7 WaterC'' Data'!$U$4:$Y$4,0)))),"")</f>
        <v/>
      </c>
      <c r="Z52" s="138"/>
      <c r="AA52" s="138"/>
      <c r="AB52" s="308" t="str">
        <f t="shared" si="4"/>
        <v/>
      </c>
      <c r="AC52" s="296" t="str">
        <f t="shared" si="5"/>
        <v/>
      </c>
      <c r="AD52" s="334" t="str">
        <f>IFERROR(IF(AC52="Check Data ⚠","Check Data ⚠",VLOOKUP(AC52,'G-4 Temporal multipliers'!$A$4:$C$37,3,FALSE)),"")</f>
        <v/>
      </c>
      <c r="AE52" s="311" t="str">
        <f>IF(N52="","",VLOOKUP(N52,'G-7 WaterC'' Data'!$B$4:$G$8,5,FALSE))</f>
        <v/>
      </c>
      <c r="AF52" s="295" t="str">
        <f t="shared" si="0"/>
        <v/>
      </c>
      <c r="AG52" s="295" t="str">
        <f t="shared" si="6"/>
        <v/>
      </c>
      <c r="AH52" s="276" t="str">
        <f t="shared" si="1"/>
        <v/>
      </c>
      <c r="AI52" s="105"/>
      <c r="AJ52" s="276" t="str">
        <f>IF(AI52="","",(IF(AND(AI52="N/A - Culvert",N52&lt;&gt;"Culvert"),"Not possible ▲",IF(VLOOKUP(AI52,'G-7 WaterC'' Data'!$AA$4:$AB$7,2,FALSE)=0,"Spatial Data Missing ⚠",VLOOKUP(AI52,'G-7 WaterC'' Data'!$AA$4:$AB$7,2,FALSE)))))</f>
        <v/>
      </c>
      <c r="AK52" s="106"/>
      <c r="AL52" s="310" t="str">
        <f>IF(AK52="","",IF(AND(AK52="N/A - Culvert",N52&lt;&gt;"Culvert"),"Not possible ▲",IF(VLOOKUP(AK52,'G-7 WaterC'' Data'!$AD$4:$AE$14,2,FALSE)=0,"Spatial Data Missing ⚠",VLOOKUP(AK52,'G-7 WaterC'' Data'!$AD$4:$AE$14,2,FALSE))))</f>
        <v/>
      </c>
      <c r="AM52" s="275" t="str">
        <f>IF(B52="","",VLOOKUP($B52,'F-1 Off-Site WaterC'' Baseline'!$C$9:$Z$257,17,FALSE))</f>
        <v/>
      </c>
      <c r="AN52" s="276" t="str">
        <f>IF(AM52="","",IF(VLOOKUP(AM52,'G-7 WaterC'' Data'!$AO$4:$BO$7,2,FALSE)=0,"Spatial Data Missing ⚠",VLOOKUP(AM52,'G-7 WaterC'' Data'!$AO$4:$BO$7,2,FALSE)))</f>
        <v/>
      </c>
      <c r="AO52" s="317" t="str">
        <f t="shared" si="7"/>
        <v/>
      </c>
      <c r="AP52" s="317" t="str">
        <f t="shared" si="8"/>
        <v/>
      </c>
      <c r="AQ52" s="101"/>
      <c r="AR52" s="115"/>
      <c r="AS52" s="104"/>
      <c r="AT52" s="104"/>
      <c r="AW52" s="30" t="str">
        <f>IF(E52="","",VLOOKUP($B52,'F-1 Off-Site WaterC'' Baseline'!$C$9:$Z$257,12,FALSE))</f>
        <v/>
      </c>
      <c r="AX52" s="30" t="str">
        <f>IF(E52="","",VLOOKUP($B52,'F-1 Off-Site WaterC'' Baseline'!$C$9:$Z$257,14,FALSE))</f>
        <v/>
      </c>
      <c r="AY52" s="30" t="str">
        <f>IFERROR(INDEX('G-7 WaterC'' Data'!$AZ$3:$AZ$7,MATCH(N52,'G-7 WaterC'' Data'!$AY$3:$AY$7,0)),"")</f>
        <v/>
      </c>
      <c r="AZ52" s="30" t="str">
        <f>IF(B52="","",IF(ISNA(VLOOKUP($B52,'F-1 Off-Site WaterC'' Baseline'!$C$8:$AD$257,20,FALSE)),"",(VLOOKUP($B52,'F-1 Off-Site WaterC'' Baseline'!$C$8:$AD$257,20,FALSE))))</f>
        <v/>
      </c>
      <c r="BC52" s="30" t="str">
        <f>IF(B52="","",VLOOKUP($B52,'F-1 Off-Site WaterC'' Baseline'!$C$9:$AB$257,25,FALSE))</f>
        <v/>
      </c>
      <c r="BD52" s="30" t="str">
        <f t="shared" si="9"/>
        <v/>
      </c>
      <c r="BE52" s="30" t="str">
        <f>IF(B52="","",VLOOKUP($B52,'F-1 Off-Site WaterC'' Baseline'!$C$9:$AB$257,24,FALSE))</f>
        <v/>
      </c>
      <c r="BF52" s="30" t="str">
        <f>IF(B52="","",VLOOKUP($B52,'F-1 Off-Site WaterC'' Baseline'!$C$9:$AB$257,22,FALSE))</f>
        <v/>
      </c>
      <c r="BJ52" s="30" t="str">
        <f t="shared" si="10"/>
        <v>No</v>
      </c>
    </row>
    <row r="53" spans="2:62" ht="14">
      <c r="B53" s="305" t="str">
        <f>'F-1 Off-Site WaterC'' Baseline'!AS51</f>
        <v/>
      </c>
      <c r="C53" s="295" t="str">
        <f>IF(B53="","",VLOOKUP($B53,'F-1 Off-Site WaterC'' Baseline'!$C$9:$R$257,2,FALSE))</f>
        <v/>
      </c>
      <c r="D53" s="295" t="str">
        <f>IF(C53="","",VLOOKUP($B53,'F-1 Off-Site WaterC'' Baseline'!$C$9:$R$257,3,FALSE))</f>
        <v/>
      </c>
      <c r="E53" s="295" t="str">
        <f>IF(D53="","",VLOOKUP($B53,'F-1 Off-Site WaterC'' Baseline'!$C$9:$R$257,4,FALSE))</f>
        <v/>
      </c>
      <c r="F53" s="295" t="str">
        <f>IF(E53="","",VLOOKUP($B53,'F-1 Off-Site WaterC'' Baseline'!$C$9:$R$257,5,FALSE))</f>
        <v/>
      </c>
      <c r="G53" s="295" t="str">
        <f>IF(F53="","",VLOOKUP($B53,'F-1 Off-Site WaterC'' Baseline'!$C$9:$R$257,6,FALSE))</f>
        <v/>
      </c>
      <c r="H53" s="295" t="str">
        <f>IF(G53="","",VLOOKUP($B53,'F-1 Off-Site WaterC'' Baseline'!$C$9:$R$257,7,FALSE))</f>
        <v/>
      </c>
      <c r="I53" s="295" t="str">
        <f>IF(H53="","",VLOOKUP($B53,'F-1 Off-Site WaterC'' Baseline'!$C$9:$R$257,8,FALSE))</f>
        <v/>
      </c>
      <c r="J53" s="295" t="str">
        <f>IF(I53="","",VLOOKUP($B53,'F-1 Off-Site WaterC'' Baseline'!$C$9:$R$257,9,FALSE))</f>
        <v/>
      </c>
      <c r="K53" s="295" t="str">
        <f>IF(J53="","",VLOOKUP($B53,'F-1 Off-Site WaterC'' Baseline'!$C$9:$R$257,10,FALSE))</f>
        <v/>
      </c>
      <c r="L53" s="283" t="str">
        <f>IF(B53="","",VLOOKUP($B53,'F-1 Off-Site WaterC'' Baseline'!$C$9:$R$257,15,FALSE))</f>
        <v/>
      </c>
      <c r="M53" s="299" t="str">
        <f>IF(L53="","",VLOOKUP($B53,'F-1 Off-Site WaterC'' Baseline'!$C$9:$V$257,19,FALSE))</f>
        <v/>
      </c>
      <c r="N53" s="244"/>
      <c r="O53" s="275" t="str">
        <f t="shared" si="2"/>
        <v/>
      </c>
      <c r="P53" s="276" t="str">
        <f t="shared" si="3"/>
        <v/>
      </c>
      <c r="Q53" s="281" t="str">
        <f>IF(N53="","",VLOOKUP(B53,'F-1 Off-Site WaterC'' Baseline'!$C$10:$AF$257,23,FALSE))</f>
        <v/>
      </c>
      <c r="R53" s="275" t="str">
        <f>IF(N53="","",VLOOKUP(N53,'G-7 WaterC'' Data'!$B$2:$G$8,2,FALSE))</f>
        <v/>
      </c>
      <c r="S53" s="276" t="str">
        <f>IFERROR(VLOOKUP(R53,'G-7 WaterC'' Data'!$C$4:$D$8,2,FALSE),"")</f>
        <v/>
      </c>
      <c r="T53" s="101"/>
      <c r="U53" s="276" t="str">
        <f>IFERROR(INDEX('G-7 WaterC'' Data'!$H$4:$L$8,MATCH(N53,'G-7 WaterC'' Data'!$B$4:$B$8,0),MATCH(T53,'G-7 WaterC'' Data'!$H$3:$L$3,0)),"")</f>
        <v/>
      </c>
      <c r="V53" s="105"/>
      <c r="W53" s="295" t="str">
        <f>IF(V53="","",IF(VLOOKUP(V53,'G-7 WaterC'' Data'!$AK$4:$AM$6,2,FALSE)=0,"Spatial Data Missing ⚠",VLOOKUP(V53,'G-7 WaterC'' Data'!$AK$4:$AM$6,2,FALSE)))</f>
        <v/>
      </c>
      <c r="X53" s="299" t="str">
        <f>IF(V53="","",IF(VLOOKUP(V53,'G-7 WaterC'' Data'!$AK$4:$AM$6,3,FALSE)=0,"Spatial Data Missing ⚠",VLOOKUP(V53,'G-7 WaterC'' Data'!$AK$4:$AM$6,3,FALSE)))</f>
        <v/>
      </c>
      <c r="Y53" s="311" t="str">
        <f>IFERROR(IF(OR(LEFT(P53,5)="Error",LEFT(O53,5)="Error"),"Check Data ⚠",IF(F53&lt;S53,'G-7 WaterC'' Data'!$R$3,INDEX('G-7 WaterC'' Data'!$U$5:$Y$9,MATCH(G53,'G-7 WaterC'' Data'!$T$5:$T$9,0),MATCH(T53,'G-7 WaterC'' Data'!$U$4:$Y$4,0)))),"")</f>
        <v/>
      </c>
      <c r="Z53" s="138"/>
      <c r="AA53" s="138"/>
      <c r="AB53" s="308" t="str">
        <f t="shared" si="4"/>
        <v/>
      </c>
      <c r="AC53" s="296" t="str">
        <f t="shared" si="5"/>
        <v/>
      </c>
      <c r="AD53" s="334" t="str">
        <f>IFERROR(IF(AC53="Check Data ⚠","Check Data ⚠",VLOOKUP(AC53,'G-4 Temporal multipliers'!$A$4:$C$37,3,FALSE)),"")</f>
        <v/>
      </c>
      <c r="AE53" s="311" t="str">
        <f>IF(N53="","",VLOOKUP(N53,'G-7 WaterC'' Data'!$B$4:$G$8,5,FALSE))</f>
        <v/>
      </c>
      <c r="AF53" s="295" t="str">
        <f t="shared" si="0"/>
        <v/>
      </c>
      <c r="AG53" s="295" t="str">
        <f t="shared" si="6"/>
        <v/>
      </c>
      <c r="AH53" s="276" t="str">
        <f t="shared" si="1"/>
        <v/>
      </c>
      <c r="AI53" s="105"/>
      <c r="AJ53" s="276" t="str">
        <f>IF(AI53="","",(IF(AND(AI53="N/A - Culvert",N53&lt;&gt;"Culvert"),"Not possible ▲",IF(VLOOKUP(AI53,'G-7 WaterC'' Data'!$AA$4:$AB$7,2,FALSE)=0,"Spatial Data Missing ⚠",VLOOKUP(AI53,'G-7 WaterC'' Data'!$AA$4:$AB$7,2,FALSE)))))</f>
        <v/>
      </c>
      <c r="AK53" s="106"/>
      <c r="AL53" s="310" t="str">
        <f>IF(AK53="","",IF(AND(AK53="N/A - Culvert",N53&lt;&gt;"Culvert"),"Not possible ▲",IF(VLOOKUP(AK53,'G-7 WaterC'' Data'!$AD$4:$AE$14,2,FALSE)=0,"Spatial Data Missing ⚠",VLOOKUP(AK53,'G-7 WaterC'' Data'!$AD$4:$AE$14,2,FALSE))))</f>
        <v/>
      </c>
      <c r="AM53" s="275" t="str">
        <f>IF(B53="","",VLOOKUP($B53,'F-1 Off-Site WaterC'' Baseline'!$C$9:$Z$257,17,FALSE))</f>
        <v/>
      </c>
      <c r="AN53" s="276" t="str">
        <f>IF(AM53="","",IF(VLOOKUP(AM53,'G-7 WaterC'' Data'!$AO$4:$BO$7,2,FALSE)=0,"Spatial Data Missing ⚠",VLOOKUP(AM53,'G-7 WaterC'' Data'!$AO$4:$BO$7,2,FALSE)))</f>
        <v/>
      </c>
      <c r="AO53" s="317" t="str">
        <f t="shared" si="7"/>
        <v/>
      </c>
      <c r="AP53" s="317" t="str">
        <f t="shared" si="8"/>
        <v/>
      </c>
      <c r="AQ53" s="101"/>
      <c r="AR53" s="115"/>
      <c r="AS53" s="104"/>
      <c r="AT53" s="104"/>
      <c r="AW53" s="30" t="str">
        <f>IF(E53="","",VLOOKUP($B53,'F-1 Off-Site WaterC'' Baseline'!$C$9:$Z$257,12,FALSE))</f>
        <v/>
      </c>
      <c r="AX53" s="30" t="str">
        <f>IF(E53="","",VLOOKUP($B53,'F-1 Off-Site WaterC'' Baseline'!$C$9:$Z$257,14,FALSE))</f>
        <v/>
      </c>
      <c r="AY53" s="30" t="str">
        <f>IFERROR(INDEX('G-7 WaterC'' Data'!$AZ$3:$AZ$7,MATCH(N53,'G-7 WaterC'' Data'!$AY$3:$AY$7,0)),"")</f>
        <v/>
      </c>
      <c r="AZ53" s="30" t="str">
        <f>IF(B53="","",IF(ISNA(VLOOKUP($B53,'F-1 Off-Site WaterC'' Baseline'!$C$8:$AD$257,20,FALSE)),"",(VLOOKUP($B53,'F-1 Off-Site WaterC'' Baseline'!$C$8:$AD$257,20,FALSE))))</f>
        <v/>
      </c>
      <c r="BC53" s="30" t="str">
        <f>IF(B53="","",VLOOKUP($B53,'F-1 Off-Site WaterC'' Baseline'!$C$9:$AB$257,25,FALSE))</f>
        <v/>
      </c>
      <c r="BD53" s="30" t="str">
        <f t="shared" si="9"/>
        <v/>
      </c>
      <c r="BE53" s="30" t="str">
        <f>IF(B53="","",VLOOKUP($B53,'F-1 Off-Site WaterC'' Baseline'!$C$9:$AB$257,24,FALSE))</f>
        <v/>
      </c>
      <c r="BF53" s="30" t="str">
        <f>IF(B53="","",VLOOKUP($B53,'F-1 Off-Site WaterC'' Baseline'!$C$9:$AB$257,22,FALSE))</f>
        <v/>
      </c>
      <c r="BJ53" s="30" t="str">
        <f t="shared" si="10"/>
        <v>No</v>
      </c>
    </row>
    <row r="54" spans="2:62" ht="14">
      <c r="B54" s="305" t="str">
        <f>'F-1 Off-Site WaterC'' Baseline'!AS52</f>
        <v/>
      </c>
      <c r="C54" s="295" t="str">
        <f>IF(B54="","",VLOOKUP($B54,'F-1 Off-Site WaterC'' Baseline'!$C$9:$R$257,2,FALSE))</f>
        <v/>
      </c>
      <c r="D54" s="295" t="str">
        <f>IF(C54="","",VLOOKUP($B54,'F-1 Off-Site WaterC'' Baseline'!$C$9:$R$257,3,FALSE))</f>
        <v/>
      </c>
      <c r="E54" s="295" t="str">
        <f>IF(D54="","",VLOOKUP($B54,'F-1 Off-Site WaterC'' Baseline'!$C$9:$R$257,4,FALSE))</f>
        <v/>
      </c>
      <c r="F54" s="295" t="str">
        <f>IF(E54="","",VLOOKUP($B54,'F-1 Off-Site WaterC'' Baseline'!$C$9:$R$257,5,FALSE))</f>
        <v/>
      </c>
      <c r="G54" s="295" t="str">
        <f>IF(F54="","",VLOOKUP($B54,'F-1 Off-Site WaterC'' Baseline'!$C$9:$R$257,6,FALSE))</f>
        <v/>
      </c>
      <c r="H54" s="295" t="str">
        <f>IF(G54="","",VLOOKUP($B54,'F-1 Off-Site WaterC'' Baseline'!$C$9:$R$257,7,FALSE))</f>
        <v/>
      </c>
      <c r="I54" s="295" t="str">
        <f>IF(H54="","",VLOOKUP($B54,'F-1 Off-Site WaterC'' Baseline'!$C$9:$R$257,8,FALSE))</f>
        <v/>
      </c>
      <c r="J54" s="295" t="str">
        <f>IF(I54="","",VLOOKUP($B54,'F-1 Off-Site WaterC'' Baseline'!$C$9:$R$257,9,FALSE))</f>
        <v/>
      </c>
      <c r="K54" s="295" t="str">
        <f>IF(J54="","",VLOOKUP($B54,'F-1 Off-Site WaterC'' Baseline'!$C$9:$R$257,10,FALSE))</f>
        <v/>
      </c>
      <c r="L54" s="283" t="str">
        <f>IF(B54="","",VLOOKUP($B54,'F-1 Off-Site WaterC'' Baseline'!$C$9:$R$257,15,FALSE))</f>
        <v/>
      </c>
      <c r="M54" s="299" t="str">
        <f>IF(L54="","",VLOOKUP($B54,'F-1 Off-Site WaterC'' Baseline'!$C$9:$V$257,19,FALSE))</f>
        <v/>
      </c>
      <c r="N54" s="244"/>
      <c r="O54" s="275" t="str">
        <f t="shared" si="2"/>
        <v/>
      </c>
      <c r="P54" s="276" t="str">
        <f t="shared" si="3"/>
        <v/>
      </c>
      <c r="Q54" s="281" t="str">
        <f>IF(N54="","",VLOOKUP(B54,'F-1 Off-Site WaterC'' Baseline'!$C$10:$AF$257,23,FALSE))</f>
        <v/>
      </c>
      <c r="R54" s="275" t="str">
        <f>IF(N54="","",VLOOKUP(N54,'G-7 WaterC'' Data'!$B$2:$G$8,2,FALSE))</f>
        <v/>
      </c>
      <c r="S54" s="276" t="str">
        <f>IFERROR(VLOOKUP(R54,'G-7 WaterC'' Data'!$C$4:$D$8,2,FALSE),"")</f>
        <v/>
      </c>
      <c r="T54" s="101"/>
      <c r="U54" s="276" t="str">
        <f>IFERROR(INDEX('G-7 WaterC'' Data'!$H$4:$L$8,MATCH(N54,'G-7 WaterC'' Data'!$B$4:$B$8,0),MATCH(T54,'G-7 WaterC'' Data'!$H$3:$L$3,0)),"")</f>
        <v/>
      </c>
      <c r="V54" s="105"/>
      <c r="W54" s="295" t="str">
        <f>IF(V54="","",IF(VLOOKUP(V54,'G-7 WaterC'' Data'!$AK$4:$AM$6,2,FALSE)=0,"Spatial Data Missing ⚠",VLOOKUP(V54,'G-7 WaterC'' Data'!$AK$4:$AM$6,2,FALSE)))</f>
        <v/>
      </c>
      <c r="X54" s="299" t="str">
        <f>IF(V54="","",IF(VLOOKUP(V54,'G-7 WaterC'' Data'!$AK$4:$AM$6,3,FALSE)=0,"Spatial Data Missing ⚠",VLOOKUP(V54,'G-7 WaterC'' Data'!$AK$4:$AM$6,3,FALSE)))</f>
        <v/>
      </c>
      <c r="Y54" s="311" t="str">
        <f>IFERROR(IF(OR(LEFT(P54,5)="Error",LEFT(O54,5)="Error"),"Check Data ⚠",IF(F54&lt;S54,'G-7 WaterC'' Data'!$R$3,INDEX('G-7 WaterC'' Data'!$U$5:$Y$9,MATCH(G54,'G-7 WaterC'' Data'!$T$5:$T$9,0),MATCH(T54,'G-7 WaterC'' Data'!$U$4:$Y$4,0)))),"")</f>
        <v/>
      </c>
      <c r="Z54" s="138"/>
      <c r="AA54" s="138"/>
      <c r="AB54" s="308" t="str">
        <f t="shared" si="4"/>
        <v/>
      </c>
      <c r="AC54" s="296" t="str">
        <f t="shared" si="5"/>
        <v/>
      </c>
      <c r="AD54" s="334" t="str">
        <f>IFERROR(IF(AC54="Check Data ⚠","Check Data ⚠",VLOOKUP(AC54,'G-4 Temporal multipliers'!$A$4:$C$37,3,FALSE)),"")</f>
        <v/>
      </c>
      <c r="AE54" s="311" t="str">
        <f>IF(N54="","",VLOOKUP(N54,'G-7 WaterC'' Data'!$B$4:$G$8,5,FALSE))</f>
        <v/>
      </c>
      <c r="AF54" s="295" t="str">
        <f t="shared" si="0"/>
        <v/>
      </c>
      <c r="AG54" s="295" t="str">
        <f t="shared" si="6"/>
        <v/>
      </c>
      <c r="AH54" s="276" t="str">
        <f t="shared" si="1"/>
        <v/>
      </c>
      <c r="AI54" s="105"/>
      <c r="AJ54" s="276" t="str">
        <f>IF(AI54="","",(IF(AND(AI54="N/A - Culvert",N54&lt;&gt;"Culvert"),"Not possible ▲",IF(VLOOKUP(AI54,'G-7 WaterC'' Data'!$AA$4:$AB$7,2,FALSE)=0,"Spatial Data Missing ⚠",VLOOKUP(AI54,'G-7 WaterC'' Data'!$AA$4:$AB$7,2,FALSE)))))</f>
        <v/>
      </c>
      <c r="AK54" s="106"/>
      <c r="AL54" s="310" t="str">
        <f>IF(AK54="","",IF(AND(AK54="N/A - Culvert",N54&lt;&gt;"Culvert"),"Not possible ▲",IF(VLOOKUP(AK54,'G-7 WaterC'' Data'!$AD$4:$AE$14,2,FALSE)=0,"Spatial Data Missing ⚠",VLOOKUP(AK54,'G-7 WaterC'' Data'!$AD$4:$AE$14,2,FALSE))))</f>
        <v/>
      </c>
      <c r="AM54" s="275" t="str">
        <f>IF(B54="","",VLOOKUP($B54,'F-1 Off-Site WaterC'' Baseline'!$C$9:$Z$257,17,FALSE))</f>
        <v/>
      </c>
      <c r="AN54" s="276" t="str">
        <f>IF(AM54="","",IF(VLOOKUP(AM54,'G-7 WaterC'' Data'!$AO$4:$BO$7,2,FALSE)=0,"Spatial Data Missing ⚠",VLOOKUP(AM54,'G-7 WaterC'' Data'!$AO$4:$BO$7,2,FALSE)))</f>
        <v/>
      </c>
      <c r="AO54" s="317" t="str">
        <f t="shared" si="7"/>
        <v/>
      </c>
      <c r="AP54" s="317" t="str">
        <f t="shared" si="8"/>
        <v/>
      </c>
      <c r="AQ54" s="101"/>
      <c r="AR54" s="115"/>
      <c r="AS54" s="104"/>
      <c r="AT54" s="104"/>
      <c r="AW54" s="30" t="str">
        <f>IF(E54="","",VLOOKUP($B54,'F-1 Off-Site WaterC'' Baseline'!$C$9:$Z$257,12,FALSE))</f>
        <v/>
      </c>
      <c r="AX54" s="30" t="str">
        <f>IF(E54="","",VLOOKUP($B54,'F-1 Off-Site WaterC'' Baseline'!$C$9:$Z$257,14,FALSE))</f>
        <v/>
      </c>
      <c r="AY54" s="30" t="str">
        <f>IFERROR(INDEX('G-7 WaterC'' Data'!$AZ$3:$AZ$7,MATCH(N54,'G-7 WaterC'' Data'!$AY$3:$AY$7,0)),"")</f>
        <v/>
      </c>
      <c r="AZ54" s="30" t="str">
        <f>IF(B54="","",IF(ISNA(VLOOKUP($B54,'F-1 Off-Site WaterC'' Baseline'!$C$8:$AD$257,20,FALSE)),"",(VLOOKUP($B54,'F-1 Off-Site WaterC'' Baseline'!$C$8:$AD$257,20,FALSE))))</f>
        <v/>
      </c>
      <c r="BC54" s="30" t="str">
        <f>IF(B54="","",VLOOKUP($B54,'F-1 Off-Site WaterC'' Baseline'!$C$9:$AB$257,25,FALSE))</f>
        <v/>
      </c>
      <c r="BD54" s="30" t="str">
        <f t="shared" si="9"/>
        <v/>
      </c>
      <c r="BE54" s="30" t="str">
        <f>IF(B54="","",VLOOKUP($B54,'F-1 Off-Site WaterC'' Baseline'!$C$9:$AB$257,24,FALSE))</f>
        <v/>
      </c>
      <c r="BF54" s="30" t="str">
        <f>IF(B54="","",VLOOKUP($B54,'F-1 Off-Site WaterC'' Baseline'!$C$9:$AB$257,22,FALSE))</f>
        <v/>
      </c>
      <c r="BJ54" s="30" t="str">
        <f t="shared" si="10"/>
        <v>No</v>
      </c>
    </row>
    <row r="55" spans="2:62" ht="14">
      <c r="B55" s="305" t="str">
        <f>'F-1 Off-Site WaterC'' Baseline'!AS53</f>
        <v/>
      </c>
      <c r="C55" s="295" t="str">
        <f>IF(B55="","",VLOOKUP($B55,'F-1 Off-Site WaterC'' Baseline'!$C$9:$R$257,2,FALSE))</f>
        <v/>
      </c>
      <c r="D55" s="295" t="str">
        <f>IF(C55="","",VLOOKUP($B55,'F-1 Off-Site WaterC'' Baseline'!$C$9:$R$257,3,FALSE))</f>
        <v/>
      </c>
      <c r="E55" s="295" t="str">
        <f>IF(D55="","",VLOOKUP($B55,'F-1 Off-Site WaterC'' Baseline'!$C$9:$R$257,4,FALSE))</f>
        <v/>
      </c>
      <c r="F55" s="295" t="str">
        <f>IF(E55="","",VLOOKUP($B55,'F-1 Off-Site WaterC'' Baseline'!$C$9:$R$257,5,FALSE))</f>
        <v/>
      </c>
      <c r="G55" s="295" t="str">
        <f>IF(F55="","",VLOOKUP($B55,'F-1 Off-Site WaterC'' Baseline'!$C$9:$R$257,6,FALSE))</f>
        <v/>
      </c>
      <c r="H55" s="295" t="str">
        <f>IF(G55="","",VLOOKUP($B55,'F-1 Off-Site WaterC'' Baseline'!$C$9:$R$257,7,FALSE))</f>
        <v/>
      </c>
      <c r="I55" s="295" t="str">
        <f>IF(H55="","",VLOOKUP($B55,'F-1 Off-Site WaterC'' Baseline'!$C$9:$R$257,8,FALSE))</f>
        <v/>
      </c>
      <c r="J55" s="295" t="str">
        <f>IF(I55="","",VLOOKUP($B55,'F-1 Off-Site WaterC'' Baseline'!$C$9:$R$257,9,FALSE))</f>
        <v/>
      </c>
      <c r="K55" s="295" t="str">
        <f>IF(J55="","",VLOOKUP($B55,'F-1 Off-Site WaterC'' Baseline'!$C$9:$R$257,10,FALSE))</f>
        <v/>
      </c>
      <c r="L55" s="283" t="str">
        <f>IF(B55="","",VLOOKUP($B55,'F-1 Off-Site WaterC'' Baseline'!$C$9:$R$257,15,FALSE))</f>
        <v/>
      </c>
      <c r="M55" s="299" t="str">
        <f>IF(L55="","",VLOOKUP($B55,'F-1 Off-Site WaterC'' Baseline'!$C$9:$V$257,19,FALSE))</f>
        <v/>
      </c>
      <c r="N55" s="244"/>
      <c r="O55" s="275" t="str">
        <f t="shared" si="2"/>
        <v/>
      </c>
      <c r="P55" s="276" t="str">
        <f t="shared" si="3"/>
        <v/>
      </c>
      <c r="Q55" s="281" t="str">
        <f>IF(N55="","",VLOOKUP(B55,'F-1 Off-Site WaterC'' Baseline'!$C$10:$AF$257,23,FALSE))</f>
        <v/>
      </c>
      <c r="R55" s="275" t="str">
        <f>IF(N55="","",VLOOKUP(N55,'G-7 WaterC'' Data'!$B$2:$G$8,2,FALSE))</f>
        <v/>
      </c>
      <c r="S55" s="276" t="str">
        <f>IFERROR(VLOOKUP(R55,'G-7 WaterC'' Data'!$C$4:$D$8,2,FALSE),"")</f>
        <v/>
      </c>
      <c r="T55" s="101"/>
      <c r="U55" s="276" t="str">
        <f>IFERROR(INDEX('G-7 WaterC'' Data'!$H$4:$L$8,MATCH(N55,'G-7 WaterC'' Data'!$B$4:$B$8,0),MATCH(T55,'G-7 WaterC'' Data'!$H$3:$L$3,0)),"")</f>
        <v/>
      </c>
      <c r="V55" s="105"/>
      <c r="W55" s="295" t="str">
        <f>IF(V55="","",IF(VLOOKUP(V55,'G-7 WaterC'' Data'!$AK$4:$AM$6,2,FALSE)=0,"Spatial Data Missing ⚠",VLOOKUP(V55,'G-7 WaterC'' Data'!$AK$4:$AM$6,2,FALSE)))</f>
        <v/>
      </c>
      <c r="X55" s="299" t="str">
        <f>IF(V55="","",IF(VLOOKUP(V55,'G-7 WaterC'' Data'!$AK$4:$AM$6,3,FALSE)=0,"Spatial Data Missing ⚠",VLOOKUP(V55,'G-7 WaterC'' Data'!$AK$4:$AM$6,3,FALSE)))</f>
        <v/>
      </c>
      <c r="Y55" s="311" t="str">
        <f>IFERROR(IF(OR(LEFT(P55,5)="Error",LEFT(O55,5)="Error"),"Check Data ⚠",IF(F55&lt;S55,'G-7 WaterC'' Data'!$R$3,INDEX('G-7 WaterC'' Data'!$U$5:$Y$9,MATCH(G55,'G-7 WaterC'' Data'!$T$5:$T$9,0),MATCH(T55,'G-7 WaterC'' Data'!$U$4:$Y$4,0)))),"")</f>
        <v/>
      </c>
      <c r="Z55" s="138"/>
      <c r="AA55" s="138"/>
      <c r="AB55" s="308" t="str">
        <f t="shared" si="4"/>
        <v/>
      </c>
      <c r="AC55" s="296" t="str">
        <f t="shared" si="5"/>
        <v/>
      </c>
      <c r="AD55" s="334" t="str">
        <f>IFERROR(IF(AC55="Check Data ⚠","Check Data ⚠",VLOOKUP(AC55,'G-4 Temporal multipliers'!$A$4:$C$37,3,FALSE)),"")</f>
        <v/>
      </c>
      <c r="AE55" s="311" t="str">
        <f>IF(N55="","",VLOOKUP(N55,'G-7 WaterC'' Data'!$B$4:$G$8,5,FALSE))</f>
        <v/>
      </c>
      <c r="AF55" s="295" t="str">
        <f t="shared" si="0"/>
        <v/>
      </c>
      <c r="AG55" s="295" t="str">
        <f t="shared" si="6"/>
        <v/>
      </c>
      <c r="AH55" s="276" t="str">
        <f t="shared" si="1"/>
        <v/>
      </c>
      <c r="AI55" s="105"/>
      <c r="AJ55" s="276" t="str">
        <f>IF(AI55="","",(IF(AND(AI55="N/A - Culvert",N55&lt;&gt;"Culvert"),"Not possible ▲",IF(VLOOKUP(AI55,'G-7 WaterC'' Data'!$AA$4:$AB$7,2,FALSE)=0,"Spatial Data Missing ⚠",VLOOKUP(AI55,'G-7 WaterC'' Data'!$AA$4:$AB$7,2,FALSE)))))</f>
        <v/>
      </c>
      <c r="AK55" s="106"/>
      <c r="AL55" s="310" t="str">
        <f>IF(AK55="","",IF(AND(AK55="N/A - Culvert",N55&lt;&gt;"Culvert"),"Not possible ▲",IF(VLOOKUP(AK55,'G-7 WaterC'' Data'!$AD$4:$AE$14,2,FALSE)=0,"Spatial Data Missing ⚠",VLOOKUP(AK55,'G-7 WaterC'' Data'!$AD$4:$AE$14,2,FALSE))))</f>
        <v/>
      </c>
      <c r="AM55" s="275" t="str">
        <f>IF(B55="","",VLOOKUP($B55,'F-1 Off-Site WaterC'' Baseline'!$C$9:$Z$257,17,FALSE))</f>
        <v/>
      </c>
      <c r="AN55" s="276" t="str">
        <f>IF(AM55="","",IF(VLOOKUP(AM55,'G-7 WaterC'' Data'!$AO$4:$BO$7,2,FALSE)=0,"Spatial Data Missing ⚠",VLOOKUP(AM55,'G-7 WaterC'' Data'!$AO$4:$BO$7,2,FALSE)))</f>
        <v/>
      </c>
      <c r="AO55" s="317" t="str">
        <f t="shared" si="7"/>
        <v/>
      </c>
      <c r="AP55" s="317" t="str">
        <f t="shared" si="8"/>
        <v/>
      </c>
      <c r="AQ55" s="101"/>
      <c r="AR55" s="115"/>
      <c r="AS55" s="104"/>
      <c r="AT55" s="104"/>
      <c r="AW55" s="30" t="str">
        <f>IF(E55="","",VLOOKUP($B55,'F-1 Off-Site WaterC'' Baseline'!$C$9:$Z$257,12,FALSE))</f>
        <v/>
      </c>
      <c r="AX55" s="30" t="str">
        <f>IF(E55="","",VLOOKUP($B55,'F-1 Off-Site WaterC'' Baseline'!$C$9:$Z$257,14,FALSE))</f>
        <v/>
      </c>
      <c r="AY55" s="30" t="str">
        <f>IFERROR(INDEX('G-7 WaterC'' Data'!$AZ$3:$AZ$7,MATCH(N55,'G-7 WaterC'' Data'!$AY$3:$AY$7,0)),"")</f>
        <v/>
      </c>
      <c r="AZ55" s="30" t="str">
        <f>IF(B55="","",IF(ISNA(VLOOKUP($B55,'F-1 Off-Site WaterC'' Baseline'!$C$8:$AD$257,20,FALSE)),"",(VLOOKUP($B55,'F-1 Off-Site WaterC'' Baseline'!$C$8:$AD$257,20,FALSE))))</f>
        <v/>
      </c>
      <c r="BC55" s="30" t="str">
        <f>IF(B55="","",VLOOKUP($B55,'F-1 Off-Site WaterC'' Baseline'!$C$9:$AB$257,25,FALSE))</f>
        <v/>
      </c>
      <c r="BD55" s="30" t="str">
        <f t="shared" si="9"/>
        <v/>
      </c>
      <c r="BE55" s="30" t="str">
        <f>IF(B55="","",VLOOKUP($B55,'F-1 Off-Site WaterC'' Baseline'!$C$9:$AB$257,24,FALSE))</f>
        <v/>
      </c>
      <c r="BF55" s="30" t="str">
        <f>IF(B55="","",VLOOKUP($B55,'F-1 Off-Site WaterC'' Baseline'!$C$9:$AB$257,22,FALSE))</f>
        <v/>
      </c>
      <c r="BJ55" s="30" t="str">
        <f t="shared" si="10"/>
        <v>No</v>
      </c>
    </row>
    <row r="56" spans="2:62" ht="14">
      <c r="B56" s="305" t="str">
        <f>'F-1 Off-Site WaterC'' Baseline'!AS54</f>
        <v/>
      </c>
      <c r="C56" s="295" t="str">
        <f>IF(B56="","",VLOOKUP($B56,'F-1 Off-Site WaterC'' Baseline'!$C$9:$R$257,2,FALSE))</f>
        <v/>
      </c>
      <c r="D56" s="295" t="str">
        <f>IF(C56="","",VLOOKUP($B56,'F-1 Off-Site WaterC'' Baseline'!$C$9:$R$257,3,FALSE))</f>
        <v/>
      </c>
      <c r="E56" s="295" t="str">
        <f>IF(D56="","",VLOOKUP($B56,'F-1 Off-Site WaterC'' Baseline'!$C$9:$R$257,4,FALSE))</f>
        <v/>
      </c>
      <c r="F56" s="295" t="str">
        <f>IF(E56="","",VLOOKUP($B56,'F-1 Off-Site WaterC'' Baseline'!$C$9:$R$257,5,FALSE))</f>
        <v/>
      </c>
      <c r="G56" s="295" t="str">
        <f>IF(F56="","",VLOOKUP($B56,'F-1 Off-Site WaterC'' Baseline'!$C$9:$R$257,6,FALSE))</f>
        <v/>
      </c>
      <c r="H56" s="295" t="str">
        <f>IF(G56="","",VLOOKUP($B56,'F-1 Off-Site WaterC'' Baseline'!$C$9:$R$257,7,FALSE))</f>
        <v/>
      </c>
      <c r="I56" s="295" t="str">
        <f>IF(H56="","",VLOOKUP($B56,'F-1 Off-Site WaterC'' Baseline'!$C$9:$R$257,8,FALSE))</f>
        <v/>
      </c>
      <c r="J56" s="295" t="str">
        <f>IF(I56="","",VLOOKUP($B56,'F-1 Off-Site WaterC'' Baseline'!$C$9:$R$257,9,FALSE))</f>
        <v/>
      </c>
      <c r="K56" s="295" t="str">
        <f>IF(J56="","",VLOOKUP($B56,'F-1 Off-Site WaterC'' Baseline'!$C$9:$R$257,10,FALSE))</f>
        <v/>
      </c>
      <c r="L56" s="283" t="str">
        <f>IF(B56="","",VLOOKUP($B56,'F-1 Off-Site WaterC'' Baseline'!$C$9:$R$257,15,FALSE))</f>
        <v/>
      </c>
      <c r="M56" s="299" t="str">
        <f>IF(L56="","",VLOOKUP($B56,'F-1 Off-Site WaterC'' Baseline'!$C$9:$V$257,19,FALSE))</f>
        <v/>
      </c>
      <c r="N56" s="244"/>
      <c r="O56" s="275" t="str">
        <f t="shared" si="2"/>
        <v/>
      </c>
      <c r="P56" s="276" t="str">
        <f t="shared" si="3"/>
        <v/>
      </c>
      <c r="Q56" s="281" t="str">
        <f>IF(N56="","",VLOOKUP(B56,'F-1 Off-Site WaterC'' Baseline'!$C$10:$AF$257,23,FALSE))</f>
        <v/>
      </c>
      <c r="R56" s="275" t="str">
        <f>IF(N56="","",VLOOKUP(N56,'G-7 WaterC'' Data'!$B$2:$G$8,2,FALSE))</f>
        <v/>
      </c>
      <c r="S56" s="276" t="str">
        <f>IFERROR(VLOOKUP(R56,'G-7 WaterC'' Data'!$C$4:$D$8,2,FALSE),"")</f>
        <v/>
      </c>
      <c r="T56" s="101"/>
      <c r="U56" s="276" t="str">
        <f>IFERROR(INDEX('G-7 WaterC'' Data'!$H$4:$L$8,MATCH(N56,'G-7 WaterC'' Data'!$B$4:$B$8,0),MATCH(T56,'G-7 WaterC'' Data'!$H$3:$L$3,0)),"")</f>
        <v/>
      </c>
      <c r="V56" s="105"/>
      <c r="W56" s="295" t="str">
        <f>IF(V56="","",IF(VLOOKUP(V56,'G-7 WaterC'' Data'!$AK$4:$AM$6,2,FALSE)=0,"Spatial Data Missing ⚠",VLOOKUP(V56,'G-7 WaterC'' Data'!$AK$4:$AM$6,2,FALSE)))</f>
        <v/>
      </c>
      <c r="X56" s="299" t="str">
        <f>IF(V56="","",IF(VLOOKUP(V56,'G-7 WaterC'' Data'!$AK$4:$AM$6,3,FALSE)=0,"Spatial Data Missing ⚠",VLOOKUP(V56,'G-7 WaterC'' Data'!$AK$4:$AM$6,3,FALSE)))</f>
        <v/>
      </c>
      <c r="Y56" s="311" t="str">
        <f>IFERROR(IF(OR(LEFT(P56,5)="Error",LEFT(O56,5)="Error"),"Check Data ⚠",IF(F56&lt;S56,'G-7 WaterC'' Data'!$R$3,INDEX('G-7 WaterC'' Data'!$U$5:$Y$9,MATCH(G56,'G-7 WaterC'' Data'!$T$5:$T$9,0),MATCH(T56,'G-7 WaterC'' Data'!$U$4:$Y$4,0)))),"")</f>
        <v/>
      </c>
      <c r="Z56" s="138"/>
      <c r="AA56" s="138"/>
      <c r="AB56" s="308" t="str">
        <f t="shared" si="4"/>
        <v/>
      </c>
      <c r="AC56" s="296" t="str">
        <f t="shared" si="5"/>
        <v/>
      </c>
      <c r="AD56" s="334" t="str">
        <f>IFERROR(IF(AC56="Check Data ⚠","Check Data ⚠",VLOOKUP(AC56,'G-4 Temporal multipliers'!$A$4:$C$37,3,FALSE)),"")</f>
        <v/>
      </c>
      <c r="AE56" s="311" t="str">
        <f>IF(N56="","",VLOOKUP(N56,'G-7 WaterC'' Data'!$B$4:$G$8,5,FALSE))</f>
        <v/>
      </c>
      <c r="AF56" s="295" t="str">
        <f t="shared" si="0"/>
        <v/>
      </c>
      <c r="AG56" s="295" t="str">
        <f t="shared" si="6"/>
        <v/>
      </c>
      <c r="AH56" s="276" t="str">
        <f t="shared" si="1"/>
        <v/>
      </c>
      <c r="AI56" s="105"/>
      <c r="AJ56" s="276" t="str">
        <f>IF(AI56="","",(IF(AND(AI56="N/A - Culvert",N56&lt;&gt;"Culvert"),"Not possible ▲",IF(VLOOKUP(AI56,'G-7 WaterC'' Data'!$AA$4:$AB$7,2,FALSE)=0,"Spatial Data Missing ⚠",VLOOKUP(AI56,'G-7 WaterC'' Data'!$AA$4:$AB$7,2,FALSE)))))</f>
        <v/>
      </c>
      <c r="AK56" s="106"/>
      <c r="AL56" s="310" t="str">
        <f>IF(AK56="","",IF(AND(AK56="N/A - Culvert",N56&lt;&gt;"Culvert"),"Not possible ▲",IF(VLOOKUP(AK56,'G-7 WaterC'' Data'!$AD$4:$AE$14,2,FALSE)=0,"Spatial Data Missing ⚠",VLOOKUP(AK56,'G-7 WaterC'' Data'!$AD$4:$AE$14,2,FALSE))))</f>
        <v/>
      </c>
      <c r="AM56" s="275" t="str">
        <f>IF(B56="","",VLOOKUP($B56,'F-1 Off-Site WaterC'' Baseline'!$C$9:$Z$257,17,FALSE))</f>
        <v/>
      </c>
      <c r="AN56" s="276" t="str">
        <f>IF(AM56="","",IF(VLOOKUP(AM56,'G-7 WaterC'' Data'!$AO$4:$BO$7,2,FALSE)=0,"Spatial Data Missing ⚠",VLOOKUP(AM56,'G-7 WaterC'' Data'!$AO$4:$BO$7,2,FALSE)))</f>
        <v/>
      </c>
      <c r="AO56" s="317" t="str">
        <f t="shared" si="7"/>
        <v/>
      </c>
      <c r="AP56" s="317" t="str">
        <f t="shared" si="8"/>
        <v/>
      </c>
      <c r="AQ56" s="101"/>
      <c r="AR56" s="115"/>
      <c r="AS56" s="104"/>
      <c r="AT56" s="104"/>
      <c r="AW56" s="30" t="str">
        <f>IF(E56="","",VLOOKUP($B56,'F-1 Off-Site WaterC'' Baseline'!$C$9:$Z$257,12,FALSE))</f>
        <v/>
      </c>
      <c r="AX56" s="30" t="str">
        <f>IF(E56="","",VLOOKUP($B56,'F-1 Off-Site WaterC'' Baseline'!$C$9:$Z$257,14,FALSE))</f>
        <v/>
      </c>
      <c r="AY56" s="30" t="str">
        <f>IFERROR(INDEX('G-7 WaterC'' Data'!$AZ$3:$AZ$7,MATCH(N56,'G-7 WaterC'' Data'!$AY$3:$AY$7,0)),"")</f>
        <v/>
      </c>
      <c r="AZ56" s="30" t="str">
        <f>IF(B56="","",IF(ISNA(VLOOKUP($B56,'F-1 Off-Site WaterC'' Baseline'!$C$8:$AD$257,20,FALSE)),"",(VLOOKUP($B56,'F-1 Off-Site WaterC'' Baseline'!$C$8:$AD$257,20,FALSE))))</f>
        <v/>
      </c>
      <c r="BC56" s="30" t="str">
        <f>IF(B56="","",VLOOKUP($B56,'F-1 Off-Site WaterC'' Baseline'!$C$9:$AB$257,25,FALSE))</f>
        <v/>
      </c>
      <c r="BD56" s="30" t="str">
        <f t="shared" si="9"/>
        <v/>
      </c>
      <c r="BE56" s="30" t="str">
        <f>IF(B56="","",VLOOKUP($B56,'F-1 Off-Site WaterC'' Baseline'!$C$9:$AB$257,24,FALSE))</f>
        <v/>
      </c>
      <c r="BF56" s="30" t="str">
        <f>IF(B56="","",VLOOKUP($B56,'F-1 Off-Site WaterC'' Baseline'!$C$9:$AB$257,22,FALSE))</f>
        <v/>
      </c>
      <c r="BJ56" s="30" t="str">
        <f t="shared" si="10"/>
        <v>No</v>
      </c>
    </row>
    <row r="57" spans="2:62" ht="14">
      <c r="B57" s="305" t="str">
        <f>'F-1 Off-Site WaterC'' Baseline'!AS55</f>
        <v/>
      </c>
      <c r="C57" s="295" t="str">
        <f>IF(B57="","",VLOOKUP($B57,'F-1 Off-Site WaterC'' Baseline'!$C$9:$R$257,2,FALSE))</f>
        <v/>
      </c>
      <c r="D57" s="295" t="str">
        <f>IF(C57="","",VLOOKUP($B57,'F-1 Off-Site WaterC'' Baseline'!$C$9:$R$257,3,FALSE))</f>
        <v/>
      </c>
      <c r="E57" s="295" t="str">
        <f>IF(D57="","",VLOOKUP($B57,'F-1 Off-Site WaterC'' Baseline'!$C$9:$R$257,4,FALSE))</f>
        <v/>
      </c>
      <c r="F57" s="295" t="str">
        <f>IF(E57="","",VLOOKUP($B57,'F-1 Off-Site WaterC'' Baseline'!$C$9:$R$257,5,FALSE))</f>
        <v/>
      </c>
      <c r="G57" s="295" t="str">
        <f>IF(F57="","",VLOOKUP($B57,'F-1 Off-Site WaterC'' Baseline'!$C$9:$R$257,6,FALSE))</f>
        <v/>
      </c>
      <c r="H57" s="295" t="str">
        <f>IF(G57="","",VLOOKUP($B57,'F-1 Off-Site WaterC'' Baseline'!$C$9:$R$257,7,FALSE))</f>
        <v/>
      </c>
      <c r="I57" s="295" t="str">
        <f>IF(H57="","",VLOOKUP($B57,'F-1 Off-Site WaterC'' Baseline'!$C$9:$R$257,8,FALSE))</f>
        <v/>
      </c>
      <c r="J57" s="295" t="str">
        <f>IF(I57="","",VLOOKUP($B57,'F-1 Off-Site WaterC'' Baseline'!$C$9:$R$257,9,FALSE))</f>
        <v/>
      </c>
      <c r="K57" s="295" t="str">
        <f>IF(J57="","",VLOOKUP($B57,'F-1 Off-Site WaterC'' Baseline'!$C$9:$R$257,10,FALSE))</f>
        <v/>
      </c>
      <c r="L57" s="283" t="str">
        <f>IF(B57="","",VLOOKUP($B57,'F-1 Off-Site WaterC'' Baseline'!$C$9:$R$257,15,FALSE))</f>
        <v/>
      </c>
      <c r="M57" s="299" t="str">
        <f>IF(L57="","",VLOOKUP($B57,'F-1 Off-Site WaterC'' Baseline'!$C$9:$V$257,19,FALSE))</f>
        <v/>
      </c>
      <c r="N57" s="244"/>
      <c r="O57" s="275" t="str">
        <f t="shared" si="2"/>
        <v/>
      </c>
      <c r="P57" s="276" t="str">
        <f t="shared" si="3"/>
        <v/>
      </c>
      <c r="Q57" s="281" t="str">
        <f>IF(N57="","",VLOOKUP(B57,'F-1 Off-Site WaterC'' Baseline'!$C$10:$AF$257,23,FALSE))</f>
        <v/>
      </c>
      <c r="R57" s="275" t="str">
        <f>IF(N57="","",VLOOKUP(N57,'G-7 WaterC'' Data'!$B$2:$G$8,2,FALSE))</f>
        <v/>
      </c>
      <c r="S57" s="276" t="str">
        <f>IFERROR(VLOOKUP(R57,'G-7 WaterC'' Data'!$C$4:$D$8,2,FALSE),"")</f>
        <v/>
      </c>
      <c r="T57" s="101"/>
      <c r="U57" s="276" t="str">
        <f>IFERROR(INDEX('G-7 WaterC'' Data'!$H$4:$L$8,MATCH(N57,'G-7 WaterC'' Data'!$B$4:$B$8,0),MATCH(T57,'G-7 WaterC'' Data'!$H$3:$L$3,0)),"")</f>
        <v/>
      </c>
      <c r="V57" s="105"/>
      <c r="W57" s="295" t="str">
        <f>IF(V57="","",IF(VLOOKUP(V57,'G-7 WaterC'' Data'!$AK$4:$AM$6,2,FALSE)=0,"Spatial Data Missing ⚠",VLOOKUP(V57,'G-7 WaterC'' Data'!$AK$4:$AM$6,2,FALSE)))</f>
        <v/>
      </c>
      <c r="X57" s="299" t="str">
        <f>IF(V57="","",IF(VLOOKUP(V57,'G-7 WaterC'' Data'!$AK$4:$AM$6,3,FALSE)=0,"Spatial Data Missing ⚠",VLOOKUP(V57,'G-7 WaterC'' Data'!$AK$4:$AM$6,3,FALSE)))</f>
        <v/>
      </c>
      <c r="Y57" s="311" t="str">
        <f>IFERROR(IF(OR(LEFT(P57,5)="Error",LEFT(O57,5)="Error"),"Check Data ⚠",IF(F57&lt;S57,'G-7 WaterC'' Data'!$R$3,INDEX('G-7 WaterC'' Data'!$U$5:$Y$9,MATCH(G57,'G-7 WaterC'' Data'!$T$5:$T$9,0),MATCH(T57,'G-7 WaterC'' Data'!$U$4:$Y$4,0)))),"")</f>
        <v/>
      </c>
      <c r="Z57" s="138"/>
      <c r="AA57" s="138"/>
      <c r="AB57" s="308" t="str">
        <f t="shared" si="4"/>
        <v/>
      </c>
      <c r="AC57" s="296" t="str">
        <f t="shared" si="5"/>
        <v/>
      </c>
      <c r="AD57" s="334" t="str">
        <f>IFERROR(IF(AC57="Check Data ⚠","Check Data ⚠",VLOOKUP(AC57,'G-4 Temporal multipliers'!$A$4:$C$37,3,FALSE)),"")</f>
        <v/>
      </c>
      <c r="AE57" s="311" t="str">
        <f>IF(N57="","",VLOOKUP(N57,'G-7 WaterC'' Data'!$B$4:$G$8,5,FALSE))</f>
        <v/>
      </c>
      <c r="AF57" s="295" t="str">
        <f t="shared" si="0"/>
        <v/>
      </c>
      <c r="AG57" s="295" t="str">
        <f t="shared" si="6"/>
        <v/>
      </c>
      <c r="AH57" s="276" t="str">
        <f t="shared" si="1"/>
        <v/>
      </c>
      <c r="AI57" s="105"/>
      <c r="AJ57" s="276" t="str">
        <f>IF(AI57="","",(IF(AND(AI57="N/A - Culvert",N57&lt;&gt;"Culvert"),"Not possible ▲",IF(VLOOKUP(AI57,'G-7 WaterC'' Data'!$AA$4:$AB$7,2,FALSE)=0,"Spatial Data Missing ⚠",VLOOKUP(AI57,'G-7 WaterC'' Data'!$AA$4:$AB$7,2,FALSE)))))</f>
        <v/>
      </c>
      <c r="AK57" s="106"/>
      <c r="AL57" s="310" t="str">
        <f>IF(AK57="","",IF(AND(AK57="N/A - Culvert",N57&lt;&gt;"Culvert"),"Not possible ▲",IF(VLOOKUP(AK57,'G-7 WaterC'' Data'!$AD$4:$AE$14,2,FALSE)=0,"Spatial Data Missing ⚠",VLOOKUP(AK57,'G-7 WaterC'' Data'!$AD$4:$AE$14,2,FALSE))))</f>
        <v/>
      </c>
      <c r="AM57" s="275" t="str">
        <f>IF(B57="","",VLOOKUP($B57,'F-1 Off-Site WaterC'' Baseline'!$C$9:$Z$257,17,FALSE))</f>
        <v/>
      </c>
      <c r="AN57" s="276" t="str">
        <f>IF(AM57="","",IF(VLOOKUP(AM57,'G-7 WaterC'' Data'!$AO$4:$BO$7,2,FALSE)=0,"Spatial Data Missing ⚠",VLOOKUP(AM57,'G-7 WaterC'' Data'!$AO$4:$BO$7,2,FALSE)))</f>
        <v/>
      </c>
      <c r="AO57" s="317" t="str">
        <f t="shared" si="7"/>
        <v/>
      </c>
      <c r="AP57" s="317" t="str">
        <f t="shared" si="8"/>
        <v/>
      </c>
      <c r="AQ57" s="101"/>
      <c r="AR57" s="115"/>
      <c r="AS57" s="104"/>
      <c r="AT57" s="104"/>
      <c r="AW57" s="30" t="str">
        <f>IF(E57="","",VLOOKUP($B57,'F-1 Off-Site WaterC'' Baseline'!$C$9:$Z$257,12,FALSE))</f>
        <v/>
      </c>
      <c r="AX57" s="30" t="str">
        <f>IF(E57="","",VLOOKUP($B57,'F-1 Off-Site WaterC'' Baseline'!$C$9:$Z$257,14,FALSE))</f>
        <v/>
      </c>
      <c r="AY57" s="30" t="str">
        <f>IFERROR(INDEX('G-7 WaterC'' Data'!$AZ$3:$AZ$7,MATCH(N57,'G-7 WaterC'' Data'!$AY$3:$AY$7,0)),"")</f>
        <v/>
      </c>
      <c r="AZ57" s="30" t="str">
        <f>IF(B57="","",IF(ISNA(VLOOKUP($B57,'F-1 Off-Site WaterC'' Baseline'!$C$8:$AD$257,20,FALSE)),"",(VLOOKUP($B57,'F-1 Off-Site WaterC'' Baseline'!$C$8:$AD$257,20,FALSE))))</f>
        <v/>
      </c>
      <c r="BC57" s="30" t="str">
        <f>IF(B57="","",VLOOKUP($B57,'F-1 Off-Site WaterC'' Baseline'!$C$9:$AB$257,25,FALSE))</f>
        <v/>
      </c>
      <c r="BD57" s="30" t="str">
        <f t="shared" si="9"/>
        <v/>
      </c>
      <c r="BE57" s="30" t="str">
        <f>IF(B57="","",VLOOKUP($B57,'F-1 Off-Site WaterC'' Baseline'!$C$9:$AB$257,24,FALSE))</f>
        <v/>
      </c>
      <c r="BF57" s="30" t="str">
        <f>IF(B57="","",VLOOKUP($B57,'F-1 Off-Site WaterC'' Baseline'!$C$9:$AB$257,22,FALSE))</f>
        <v/>
      </c>
      <c r="BJ57" s="30" t="str">
        <f t="shared" si="10"/>
        <v>No</v>
      </c>
    </row>
    <row r="58" spans="2:62" ht="14">
      <c r="B58" s="305" t="str">
        <f>'F-1 Off-Site WaterC'' Baseline'!AS56</f>
        <v/>
      </c>
      <c r="C58" s="295" t="str">
        <f>IF(B58="","",VLOOKUP($B58,'F-1 Off-Site WaterC'' Baseline'!$C$9:$R$257,2,FALSE))</f>
        <v/>
      </c>
      <c r="D58" s="295" t="str">
        <f>IF(C58="","",VLOOKUP($B58,'F-1 Off-Site WaterC'' Baseline'!$C$9:$R$257,3,FALSE))</f>
        <v/>
      </c>
      <c r="E58" s="295" t="str">
        <f>IF(D58="","",VLOOKUP($B58,'F-1 Off-Site WaterC'' Baseline'!$C$9:$R$257,4,FALSE))</f>
        <v/>
      </c>
      <c r="F58" s="295" t="str">
        <f>IF(E58="","",VLOOKUP($B58,'F-1 Off-Site WaterC'' Baseline'!$C$9:$R$257,5,FALSE))</f>
        <v/>
      </c>
      <c r="G58" s="295" t="str">
        <f>IF(F58="","",VLOOKUP($B58,'F-1 Off-Site WaterC'' Baseline'!$C$9:$R$257,6,FALSE))</f>
        <v/>
      </c>
      <c r="H58" s="295" t="str">
        <f>IF(G58="","",VLOOKUP($B58,'F-1 Off-Site WaterC'' Baseline'!$C$9:$R$257,7,FALSE))</f>
        <v/>
      </c>
      <c r="I58" s="295" t="str">
        <f>IF(H58="","",VLOOKUP($B58,'F-1 Off-Site WaterC'' Baseline'!$C$9:$R$257,8,FALSE))</f>
        <v/>
      </c>
      <c r="J58" s="295" t="str">
        <f>IF(I58="","",VLOOKUP($B58,'F-1 Off-Site WaterC'' Baseline'!$C$9:$R$257,9,FALSE))</f>
        <v/>
      </c>
      <c r="K58" s="295" t="str">
        <f>IF(J58="","",VLOOKUP($B58,'F-1 Off-Site WaterC'' Baseline'!$C$9:$R$257,10,FALSE))</f>
        <v/>
      </c>
      <c r="L58" s="283" t="str">
        <f>IF(B58="","",VLOOKUP($B58,'F-1 Off-Site WaterC'' Baseline'!$C$9:$R$257,15,FALSE))</f>
        <v/>
      </c>
      <c r="M58" s="299" t="str">
        <f>IF(L58="","",VLOOKUP($B58,'F-1 Off-Site WaterC'' Baseline'!$C$9:$V$257,19,FALSE))</f>
        <v/>
      </c>
      <c r="N58" s="244"/>
      <c r="O58" s="275" t="str">
        <f t="shared" si="2"/>
        <v/>
      </c>
      <c r="P58" s="276" t="str">
        <f t="shared" si="3"/>
        <v/>
      </c>
      <c r="Q58" s="281" t="str">
        <f>IF(N58="","",VLOOKUP(B58,'F-1 Off-Site WaterC'' Baseline'!$C$10:$AF$257,23,FALSE))</f>
        <v/>
      </c>
      <c r="R58" s="275" t="str">
        <f>IF(N58="","",VLOOKUP(N58,'G-7 WaterC'' Data'!$B$2:$G$8,2,FALSE))</f>
        <v/>
      </c>
      <c r="S58" s="276" t="str">
        <f>IFERROR(VLOOKUP(R58,'G-7 WaterC'' Data'!$C$4:$D$8,2,FALSE),"")</f>
        <v/>
      </c>
      <c r="T58" s="101"/>
      <c r="U58" s="276" t="str">
        <f>IFERROR(INDEX('G-7 WaterC'' Data'!$H$4:$L$8,MATCH(N58,'G-7 WaterC'' Data'!$B$4:$B$8,0),MATCH(T58,'G-7 WaterC'' Data'!$H$3:$L$3,0)),"")</f>
        <v/>
      </c>
      <c r="V58" s="105"/>
      <c r="W58" s="295" t="str">
        <f>IF(V58="","",IF(VLOOKUP(V58,'G-7 WaterC'' Data'!$AK$4:$AM$6,2,FALSE)=0,"Spatial Data Missing ⚠",VLOOKUP(V58,'G-7 WaterC'' Data'!$AK$4:$AM$6,2,FALSE)))</f>
        <v/>
      </c>
      <c r="X58" s="299" t="str">
        <f>IF(V58="","",IF(VLOOKUP(V58,'G-7 WaterC'' Data'!$AK$4:$AM$6,3,FALSE)=0,"Spatial Data Missing ⚠",VLOOKUP(V58,'G-7 WaterC'' Data'!$AK$4:$AM$6,3,FALSE)))</f>
        <v/>
      </c>
      <c r="Y58" s="311" t="str">
        <f>IFERROR(IF(OR(LEFT(P58,5)="Error",LEFT(O58,5)="Error"),"Check Data ⚠",IF(F58&lt;S58,'G-7 WaterC'' Data'!$R$3,INDEX('G-7 WaterC'' Data'!$U$5:$Y$9,MATCH(G58,'G-7 WaterC'' Data'!$T$5:$T$9,0),MATCH(T58,'G-7 WaterC'' Data'!$U$4:$Y$4,0)))),"")</f>
        <v/>
      </c>
      <c r="Z58" s="138"/>
      <c r="AA58" s="138"/>
      <c r="AB58" s="308" t="str">
        <f t="shared" si="4"/>
        <v/>
      </c>
      <c r="AC58" s="296" t="str">
        <f t="shared" si="5"/>
        <v/>
      </c>
      <c r="AD58" s="334" t="str">
        <f>IFERROR(IF(AC58="Check Data ⚠","Check Data ⚠",VLOOKUP(AC58,'G-4 Temporal multipliers'!$A$4:$C$37,3,FALSE)),"")</f>
        <v/>
      </c>
      <c r="AE58" s="311" t="str">
        <f>IF(N58="","",VLOOKUP(N58,'G-7 WaterC'' Data'!$B$4:$G$8,5,FALSE))</f>
        <v/>
      </c>
      <c r="AF58" s="295" t="str">
        <f t="shared" si="0"/>
        <v/>
      </c>
      <c r="AG58" s="295" t="str">
        <f t="shared" si="6"/>
        <v/>
      </c>
      <c r="AH58" s="276" t="str">
        <f t="shared" si="1"/>
        <v/>
      </c>
      <c r="AI58" s="105"/>
      <c r="AJ58" s="276" t="str">
        <f>IF(AI58="","",(IF(AND(AI58="N/A - Culvert",N58&lt;&gt;"Culvert"),"Not possible ▲",IF(VLOOKUP(AI58,'G-7 WaterC'' Data'!$AA$4:$AB$7,2,FALSE)=0,"Spatial Data Missing ⚠",VLOOKUP(AI58,'G-7 WaterC'' Data'!$AA$4:$AB$7,2,FALSE)))))</f>
        <v/>
      </c>
      <c r="AK58" s="106"/>
      <c r="AL58" s="310" t="str">
        <f>IF(AK58="","",IF(AND(AK58="N/A - Culvert",N58&lt;&gt;"Culvert"),"Not possible ▲",IF(VLOOKUP(AK58,'G-7 WaterC'' Data'!$AD$4:$AE$14,2,FALSE)=0,"Spatial Data Missing ⚠",VLOOKUP(AK58,'G-7 WaterC'' Data'!$AD$4:$AE$14,2,FALSE))))</f>
        <v/>
      </c>
      <c r="AM58" s="275" t="str">
        <f>IF(B58="","",VLOOKUP($B58,'F-1 Off-Site WaterC'' Baseline'!$C$9:$Z$257,17,FALSE))</f>
        <v/>
      </c>
      <c r="AN58" s="276" t="str">
        <f>IF(AM58="","",IF(VLOOKUP(AM58,'G-7 WaterC'' Data'!$AO$4:$BO$7,2,FALSE)=0,"Spatial Data Missing ⚠",VLOOKUP(AM58,'G-7 WaterC'' Data'!$AO$4:$BO$7,2,FALSE)))</f>
        <v/>
      </c>
      <c r="AO58" s="317" t="str">
        <f t="shared" si="7"/>
        <v/>
      </c>
      <c r="AP58" s="317" t="str">
        <f t="shared" si="8"/>
        <v/>
      </c>
      <c r="AQ58" s="101"/>
      <c r="AR58" s="115"/>
      <c r="AS58" s="104"/>
      <c r="AT58" s="104"/>
      <c r="AW58" s="30" t="str">
        <f>IF(E58="","",VLOOKUP($B58,'F-1 Off-Site WaterC'' Baseline'!$C$9:$Z$257,12,FALSE))</f>
        <v/>
      </c>
      <c r="AX58" s="30" t="str">
        <f>IF(E58="","",VLOOKUP($B58,'F-1 Off-Site WaterC'' Baseline'!$C$9:$Z$257,14,FALSE))</f>
        <v/>
      </c>
      <c r="AY58" s="30" t="str">
        <f>IFERROR(INDEX('G-7 WaterC'' Data'!$AZ$3:$AZ$7,MATCH(N58,'G-7 WaterC'' Data'!$AY$3:$AY$7,0)),"")</f>
        <v/>
      </c>
      <c r="AZ58" s="30" t="str">
        <f>IF(B58="","",IF(ISNA(VLOOKUP($B58,'F-1 Off-Site WaterC'' Baseline'!$C$8:$AD$257,20,FALSE)),"",(VLOOKUP($B58,'F-1 Off-Site WaterC'' Baseline'!$C$8:$AD$257,20,FALSE))))</f>
        <v/>
      </c>
      <c r="BC58" s="30" t="str">
        <f>IF(B58="","",VLOOKUP($B58,'F-1 Off-Site WaterC'' Baseline'!$C$9:$AB$257,25,FALSE))</f>
        <v/>
      </c>
      <c r="BD58" s="30" t="str">
        <f t="shared" si="9"/>
        <v/>
      </c>
      <c r="BE58" s="30" t="str">
        <f>IF(B58="","",VLOOKUP($B58,'F-1 Off-Site WaterC'' Baseline'!$C$9:$AB$257,24,FALSE))</f>
        <v/>
      </c>
      <c r="BF58" s="30" t="str">
        <f>IF(B58="","",VLOOKUP($B58,'F-1 Off-Site WaterC'' Baseline'!$C$9:$AB$257,22,FALSE))</f>
        <v/>
      </c>
      <c r="BJ58" s="30" t="str">
        <f t="shared" si="10"/>
        <v>No</v>
      </c>
    </row>
    <row r="59" spans="2:62" ht="14">
      <c r="B59" s="305" t="str">
        <f>'F-1 Off-Site WaterC'' Baseline'!AS57</f>
        <v/>
      </c>
      <c r="C59" s="295" t="str">
        <f>IF(B59="","",VLOOKUP($B59,'F-1 Off-Site WaterC'' Baseline'!$C$9:$R$257,2,FALSE))</f>
        <v/>
      </c>
      <c r="D59" s="295" t="str">
        <f>IF(C59="","",VLOOKUP($B59,'F-1 Off-Site WaterC'' Baseline'!$C$9:$R$257,3,FALSE))</f>
        <v/>
      </c>
      <c r="E59" s="295" t="str">
        <f>IF(D59="","",VLOOKUP($B59,'F-1 Off-Site WaterC'' Baseline'!$C$9:$R$257,4,FALSE))</f>
        <v/>
      </c>
      <c r="F59" s="295" t="str">
        <f>IF(E59="","",VLOOKUP($B59,'F-1 Off-Site WaterC'' Baseline'!$C$9:$R$257,5,FALSE))</f>
        <v/>
      </c>
      <c r="G59" s="295" t="str">
        <f>IF(F59="","",VLOOKUP($B59,'F-1 Off-Site WaterC'' Baseline'!$C$9:$R$257,6,FALSE))</f>
        <v/>
      </c>
      <c r="H59" s="295" t="str">
        <f>IF(G59="","",VLOOKUP($B59,'F-1 Off-Site WaterC'' Baseline'!$C$9:$R$257,7,FALSE))</f>
        <v/>
      </c>
      <c r="I59" s="295" t="str">
        <f>IF(H59="","",VLOOKUP($B59,'F-1 Off-Site WaterC'' Baseline'!$C$9:$R$257,8,FALSE))</f>
        <v/>
      </c>
      <c r="J59" s="295" t="str">
        <f>IF(I59="","",VLOOKUP($B59,'F-1 Off-Site WaterC'' Baseline'!$C$9:$R$257,9,FALSE))</f>
        <v/>
      </c>
      <c r="K59" s="295" t="str">
        <f>IF(J59="","",VLOOKUP($B59,'F-1 Off-Site WaterC'' Baseline'!$C$9:$R$257,10,FALSE))</f>
        <v/>
      </c>
      <c r="L59" s="283" t="str">
        <f>IF(B59="","",VLOOKUP($B59,'F-1 Off-Site WaterC'' Baseline'!$C$9:$R$257,15,FALSE))</f>
        <v/>
      </c>
      <c r="M59" s="299" t="str">
        <f>IF(L59="","",VLOOKUP($B59,'F-1 Off-Site WaterC'' Baseline'!$C$9:$V$257,19,FALSE))</f>
        <v/>
      </c>
      <c r="N59" s="244"/>
      <c r="O59" s="275" t="str">
        <f t="shared" si="2"/>
        <v/>
      </c>
      <c r="P59" s="276" t="str">
        <f t="shared" si="3"/>
        <v/>
      </c>
      <c r="Q59" s="281" t="str">
        <f>IF(N59="","",VLOOKUP(B59,'F-1 Off-Site WaterC'' Baseline'!$C$10:$AF$257,23,FALSE))</f>
        <v/>
      </c>
      <c r="R59" s="275" t="str">
        <f>IF(N59="","",VLOOKUP(N59,'G-7 WaterC'' Data'!$B$2:$G$8,2,FALSE))</f>
        <v/>
      </c>
      <c r="S59" s="276" t="str">
        <f>IFERROR(VLOOKUP(R59,'G-7 WaterC'' Data'!$C$4:$D$8,2,FALSE),"")</f>
        <v/>
      </c>
      <c r="T59" s="101"/>
      <c r="U59" s="276" t="str">
        <f>IFERROR(INDEX('G-7 WaterC'' Data'!$H$4:$L$8,MATCH(N59,'G-7 WaterC'' Data'!$B$4:$B$8,0),MATCH(T59,'G-7 WaterC'' Data'!$H$3:$L$3,0)),"")</f>
        <v/>
      </c>
      <c r="V59" s="105"/>
      <c r="W59" s="295" t="str">
        <f>IF(V59="","",IF(VLOOKUP(V59,'G-7 WaterC'' Data'!$AK$4:$AM$6,2,FALSE)=0,"Spatial Data Missing ⚠",VLOOKUP(V59,'G-7 WaterC'' Data'!$AK$4:$AM$6,2,FALSE)))</f>
        <v/>
      </c>
      <c r="X59" s="299" t="str">
        <f>IF(V59="","",IF(VLOOKUP(V59,'G-7 WaterC'' Data'!$AK$4:$AM$6,3,FALSE)=0,"Spatial Data Missing ⚠",VLOOKUP(V59,'G-7 WaterC'' Data'!$AK$4:$AM$6,3,FALSE)))</f>
        <v/>
      </c>
      <c r="Y59" s="311" t="str">
        <f>IFERROR(IF(OR(LEFT(P59,5)="Error",LEFT(O59,5)="Error"),"Check Data ⚠",IF(F59&lt;S59,'G-7 WaterC'' Data'!$R$3,INDEX('G-7 WaterC'' Data'!$U$5:$Y$9,MATCH(G59,'G-7 WaterC'' Data'!$T$5:$T$9,0),MATCH(T59,'G-7 WaterC'' Data'!$U$4:$Y$4,0)))),"")</f>
        <v/>
      </c>
      <c r="Z59" s="138"/>
      <c r="AA59" s="138"/>
      <c r="AB59" s="308" t="str">
        <f t="shared" si="4"/>
        <v/>
      </c>
      <c r="AC59" s="296" t="str">
        <f t="shared" si="5"/>
        <v/>
      </c>
      <c r="AD59" s="334" t="str">
        <f>IFERROR(IF(AC59="Check Data ⚠","Check Data ⚠",VLOOKUP(AC59,'G-4 Temporal multipliers'!$A$4:$C$37,3,FALSE)),"")</f>
        <v/>
      </c>
      <c r="AE59" s="311" t="str">
        <f>IF(N59="","",VLOOKUP(N59,'G-7 WaterC'' Data'!$B$4:$G$8,5,FALSE))</f>
        <v/>
      </c>
      <c r="AF59" s="295" t="str">
        <f t="shared" si="0"/>
        <v/>
      </c>
      <c r="AG59" s="295" t="str">
        <f t="shared" si="6"/>
        <v/>
      </c>
      <c r="AH59" s="276" t="str">
        <f t="shared" si="1"/>
        <v/>
      </c>
      <c r="AI59" s="105"/>
      <c r="AJ59" s="276" t="str">
        <f>IF(AI59="","",(IF(AND(AI59="N/A - Culvert",N59&lt;&gt;"Culvert"),"Not possible ▲",IF(VLOOKUP(AI59,'G-7 WaterC'' Data'!$AA$4:$AB$7,2,FALSE)=0,"Spatial Data Missing ⚠",VLOOKUP(AI59,'G-7 WaterC'' Data'!$AA$4:$AB$7,2,FALSE)))))</f>
        <v/>
      </c>
      <c r="AK59" s="106"/>
      <c r="AL59" s="310" t="str">
        <f>IF(AK59="","",IF(AND(AK59="N/A - Culvert",N59&lt;&gt;"Culvert"),"Not possible ▲",IF(VLOOKUP(AK59,'G-7 WaterC'' Data'!$AD$4:$AE$14,2,FALSE)=0,"Spatial Data Missing ⚠",VLOOKUP(AK59,'G-7 WaterC'' Data'!$AD$4:$AE$14,2,FALSE))))</f>
        <v/>
      </c>
      <c r="AM59" s="275" t="str">
        <f>IF(B59="","",VLOOKUP($B59,'F-1 Off-Site WaterC'' Baseline'!$C$9:$Z$257,17,FALSE))</f>
        <v/>
      </c>
      <c r="AN59" s="276" t="str">
        <f>IF(AM59="","",IF(VLOOKUP(AM59,'G-7 WaterC'' Data'!$AO$4:$BO$7,2,FALSE)=0,"Spatial Data Missing ⚠",VLOOKUP(AM59,'G-7 WaterC'' Data'!$AO$4:$BO$7,2,FALSE)))</f>
        <v/>
      </c>
      <c r="AO59" s="317" t="str">
        <f t="shared" si="7"/>
        <v/>
      </c>
      <c r="AP59" s="317" t="str">
        <f t="shared" si="8"/>
        <v/>
      </c>
      <c r="AQ59" s="101"/>
      <c r="AR59" s="115"/>
      <c r="AS59" s="104"/>
      <c r="AT59" s="104"/>
      <c r="AW59" s="30" t="str">
        <f>IF(E59="","",VLOOKUP($B59,'F-1 Off-Site WaterC'' Baseline'!$C$9:$Z$257,12,FALSE))</f>
        <v/>
      </c>
      <c r="AX59" s="30" t="str">
        <f>IF(E59="","",VLOOKUP($B59,'F-1 Off-Site WaterC'' Baseline'!$C$9:$Z$257,14,FALSE))</f>
        <v/>
      </c>
      <c r="AY59" s="30" t="str">
        <f>IFERROR(INDEX('G-7 WaterC'' Data'!$AZ$3:$AZ$7,MATCH(N59,'G-7 WaterC'' Data'!$AY$3:$AY$7,0)),"")</f>
        <v/>
      </c>
      <c r="AZ59" s="30" t="str">
        <f>IF(B59="","",IF(ISNA(VLOOKUP($B59,'F-1 Off-Site WaterC'' Baseline'!$C$8:$AD$257,20,FALSE)),"",(VLOOKUP($B59,'F-1 Off-Site WaterC'' Baseline'!$C$8:$AD$257,20,FALSE))))</f>
        <v/>
      </c>
      <c r="BC59" s="30" t="str">
        <f>IF(B59="","",VLOOKUP($B59,'F-1 Off-Site WaterC'' Baseline'!$C$9:$AB$257,25,FALSE))</f>
        <v/>
      </c>
      <c r="BD59" s="30" t="str">
        <f t="shared" si="9"/>
        <v/>
      </c>
      <c r="BE59" s="30" t="str">
        <f>IF(B59="","",VLOOKUP($B59,'F-1 Off-Site WaterC'' Baseline'!$C$9:$AB$257,24,FALSE))</f>
        <v/>
      </c>
      <c r="BF59" s="30" t="str">
        <f>IF(B59="","",VLOOKUP($B59,'F-1 Off-Site WaterC'' Baseline'!$C$9:$AB$257,22,FALSE))</f>
        <v/>
      </c>
      <c r="BJ59" s="30" t="str">
        <f t="shared" si="10"/>
        <v>No</v>
      </c>
    </row>
    <row r="60" spans="2:62" ht="14">
      <c r="B60" s="305" t="str">
        <f>'F-1 Off-Site WaterC'' Baseline'!AS58</f>
        <v/>
      </c>
      <c r="C60" s="295" t="str">
        <f>IF(B60="","",VLOOKUP($B60,'F-1 Off-Site WaterC'' Baseline'!$C$9:$R$257,2,FALSE))</f>
        <v/>
      </c>
      <c r="D60" s="295" t="str">
        <f>IF(C60="","",VLOOKUP($B60,'F-1 Off-Site WaterC'' Baseline'!$C$9:$R$257,3,FALSE))</f>
        <v/>
      </c>
      <c r="E60" s="295" t="str">
        <f>IF(D60="","",VLOOKUP($B60,'F-1 Off-Site WaterC'' Baseline'!$C$9:$R$257,4,FALSE))</f>
        <v/>
      </c>
      <c r="F60" s="295" t="str">
        <f>IF(E60="","",VLOOKUP($B60,'F-1 Off-Site WaterC'' Baseline'!$C$9:$R$257,5,FALSE))</f>
        <v/>
      </c>
      <c r="G60" s="295" t="str">
        <f>IF(F60="","",VLOOKUP($B60,'F-1 Off-Site WaterC'' Baseline'!$C$9:$R$257,6,FALSE))</f>
        <v/>
      </c>
      <c r="H60" s="295" t="str">
        <f>IF(G60="","",VLOOKUP($B60,'F-1 Off-Site WaterC'' Baseline'!$C$9:$R$257,7,FALSE))</f>
        <v/>
      </c>
      <c r="I60" s="295" t="str">
        <f>IF(H60="","",VLOOKUP($B60,'F-1 Off-Site WaterC'' Baseline'!$C$9:$R$257,8,FALSE))</f>
        <v/>
      </c>
      <c r="J60" s="295" t="str">
        <f>IF(I60="","",VLOOKUP($B60,'F-1 Off-Site WaterC'' Baseline'!$C$9:$R$257,9,FALSE))</f>
        <v/>
      </c>
      <c r="K60" s="295" t="str">
        <f>IF(J60="","",VLOOKUP($B60,'F-1 Off-Site WaterC'' Baseline'!$C$9:$R$257,10,FALSE))</f>
        <v/>
      </c>
      <c r="L60" s="283" t="str">
        <f>IF(B60="","",VLOOKUP($B60,'F-1 Off-Site WaterC'' Baseline'!$C$9:$R$257,15,FALSE))</f>
        <v/>
      </c>
      <c r="M60" s="299" t="str">
        <f>IF(L60="","",VLOOKUP($B60,'F-1 Off-Site WaterC'' Baseline'!$C$9:$V$257,19,FALSE))</f>
        <v/>
      </c>
      <c r="N60" s="244"/>
      <c r="O60" s="275" t="str">
        <f t="shared" si="2"/>
        <v/>
      </c>
      <c r="P60" s="276" t="str">
        <f t="shared" si="3"/>
        <v/>
      </c>
      <c r="Q60" s="281" t="str">
        <f>IF(N60="","",VLOOKUP(B60,'F-1 Off-Site WaterC'' Baseline'!$C$10:$AF$257,23,FALSE))</f>
        <v/>
      </c>
      <c r="R60" s="275" t="str">
        <f>IF(N60="","",VLOOKUP(N60,'G-7 WaterC'' Data'!$B$2:$G$8,2,FALSE))</f>
        <v/>
      </c>
      <c r="S60" s="276" t="str">
        <f>IFERROR(VLOOKUP(R60,'G-7 WaterC'' Data'!$C$4:$D$8,2,FALSE),"")</f>
        <v/>
      </c>
      <c r="T60" s="101"/>
      <c r="U60" s="276" t="str">
        <f>IFERROR(INDEX('G-7 WaterC'' Data'!$H$4:$L$8,MATCH(N60,'G-7 WaterC'' Data'!$B$4:$B$8,0),MATCH(T60,'G-7 WaterC'' Data'!$H$3:$L$3,0)),"")</f>
        <v/>
      </c>
      <c r="V60" s="105"/>
      <c r="W60" s="295" t="str">
        <f>IF(V60="","",IF(VLOOKUP(V60,'G-7 WaterC'' Data'!$AK$4:$AM$6,2,FALSE)=0,"Spatial Data Missing ⚠",VLOOKUP(V60,'G-7 WaterC'' Data'!$AK$4:$AM$6,2,FALSE)))</f>
        <v/>
      </c>
      <c r="X60" s="299" t="str">
        <f>IF(V60="","",IF(VLOOKUP(V60,'G-7 WaterC'' Data'!$AK$4:$AM$6,3,FALSE)=0,"Spatial Data Missing ⚠",VLOOKUP(V60,'G-7 WaterC'' Data'!$AK$4:$AM$6,3,FALSE)))</f>
        <v/>
      </c>
      <c r="Y60" s="311" t="str">
        <f>IFERROR(IF(OR(LEFT(P60,5)="Error",LEFT(O60,5)="Error"),"Check Data ⚠",IF(F60&lt;S60,'G-7 WaterC'' Data'!$R$3,INDEX('G-7 WaterC'' Data'!$U$5:$Y$9,MATCH(G60,'G-7 WaterC'' Data'!$T$5:$T$9,0),MATCH(T60,'G-7 WaterC'' Data'!$U$4:$Y$4,0)))),"")</f>
        <v/>
      </c>
      <c r="Z60" s="138"/>
      <c r="AA60" s="138"/>
      <c r="AB60" s="308" t="str">
        <f t="shared" si="4"/>
        <v/>
      </c>
      <c r="AC60" s="296" t="str">
        <f t="shared" si="5"/>
        <v/>
      </c>
      <c r="AD60" s="334" t="str">
        <f>IFERROR(IF(AC60="Check Data ⚠","Check Data ⚠",VLOOKUP(AC60,'G-4 Temporal multipliers'!$A$4:$C$37,3,FALSE)),"")</f>
        <v/>
      </c>
      <c r="AE60" s="311" t="str">
        <f>IF(N60="","",VLOOKUP(N60,'G-7 WaterC'' Data'!$B$4:$G$8,5,FALSE))</f>
        <v/>
      </c>
      <c r="AF60" s="295" t="str">
        <f t="shared" si="0"/>
        <v/>
      </c>
      <c r="AG60" s="295" t="str">
        <f t="shared" si="6"/>
        <v/>
      </c>
      <c r="AH60" s="276" t="str">
        <f t="shared" si="1"/>
        <v/>
      </c>
      <c r="AI60" s="105"/>
      <c r="AJ60" s="276" t="str">
        <f>IF(AI60="","",(IF(AND(AI60="N/A - Culvert",N60&lt;&gt;"Culvert"),"Not possible ▲",IF(VLOOKUP(AI60,'G-7 WaterC'' Data'!$AA$4:$AB$7,2,FALSE)=0,"Spatial Data Missing ⚠",VLOOKUP(AI60,'G-7 WaterC'' Data'!$AA$4:$AB$7,2,FALSE)))))</f>
        <v/>
      </c>
      <c r="AK60" s="106"/>
      <c r="AL60" s="310" t="str">
        <f>IF(AK60="","",IF(AND(AK60="N/A - Culvert",N60&lt;&gt;"Culvert"),"Not possible ▲",IF(VLOOKUP(AK60,'G-7 WaterC'' Data'!$AD$4:$AE$14,2,FALSE)=0,"Spatial Data Missing ⚠",VLOOKUP(AK60,'G-7 WaterC'' Data'!$AD$4:$AE$14,2,FALSE))))</f>
        <v/>
      </c>
      <c r="AM60" s="275" t="str">
        <f>IF(B60="","",VLOOKUP($B60,'F-1 Off-Site WaterC'' Baseline'!$C$9:$Z$257,17,FALSE))</f>
        <v/>
      </c>
      <c r="AN60" s="276" t="str">
        <f>IF(AM60="","",IF(VLOOKUP(AM60,'G-7 WaterC'' Data'!$AO$4:$BO$7,2,FALSE)=0,"Spatial Data Missing ⚠",VLOOKUP(AM60,'G-7 WaterC'' Data'!$AO$4:$BO$7,2,FALSE)))</f>
        <v/>
      </c>
      <c r="AO60" s="317" t="str">
        <f t="shared" si="7"/>
        <v/>
      </c>
      <c r="AP60" s="317" t="str">
        <f t="shared" si="8"/>
        <v/>
      </c>
      <c r="AQ60" s="101"/>
      <c r="AR60" s="115"/>
      <c r="AS60" s="104"/>
      <c r="AT60" s="104"/>
      <c r="AW60" s="30" t="str">
        <f>IF(E60="","",VLOOKUP($B60,'F-1 Off-Site WaterC'' Baseline'!$C$9:$Z$257,12,FALSE))</f>
        <v/>
      </c>
      <c r="AX60" s="30" t="str">
        <f>IF(E60="","",VLOOKUP($B60,'F-1 Off-Site WaterC'' Baseline'!$C$9:$Z$257,14,FALSE))</f>
        <v/>
      </c>
      <c r="AY60" s="30" t="str">
        <f>IFERROR(INDEX('G-7 WaterC'' Data'!$AZ$3:$AZ$7,MATCH(N60,'G-7 WaterC'' Data'!$AY$3:$AY$7,0)),"")</f>
        <v/>
      </c>
      <c r="AZ60" s="30" t="str">
        <f>IF(B60="","",IF(ISNA(VLOOKUP($B60,'F-1 Off-Site WaterC'' Baseline'!$C$8:$AD$257,20,FALSE)),"",(VLOOKUP($B60,'F-1 Off-Site WaterC'' Baseline'!$C$8:$AD$257,20,FALSE))))</f>
        <v/>
      </c>
      <c r="BC60" s="30" t="str">
        <f>IF(B60="","",VLOOKUP($B60,'F-1 Off-Site WaterC'' Baseline'!$C$9:$AB$257,25,FALSE))</f>
        <v/>
      </c>
      <c r="BD60" s="30" t="str">
        <f t="shared" si="9"/>
        <v/>
      </c>
      <c r="BE60" s="30" t="str">
        <f>IF(B60="","",VLOOKUP($B60,'F-1 Off-Site WaterC'' Baseline'!$C$9:$AB$257,24,FALSE))</f>
        <v/>
      </c>
      <c r="BF60" s="30" t="str">
        <f>IF(B60="","",VLOOKUP($B60,'F-1 Off-Site WaterC'' Baseline'!$C$9:$AB$257,22,FALSE))</f>
        <v/>
      </c>
      <c r="BJ60" s="30" t="str">
        <f t="shared" si="10"/>
        <v>No</v>
      </c>
    </row>
    <row r="61" spans="2:62" ht="14">
      <c r="B61" s="305" t="str">
        <f>'F-1 Off-Site WaterC'' Baseline'!AS59</f>
        <v/>
      </c>
      <c r="C61" s="295" t="str">
        <f>IF(B61="","",VLOOKUP($B61,'F-1 Off-Site WaterC'' Baseline'!$C$9:$R$257,2,FALSE))</f>
        <v/>
      </c>
      <c r="D61" s="295" t="str">
        <f>IF(C61="","",VLOOKUP($B61,'F-1 Off-Site WaterC'' Baseline'!$C$9:$R$257,3,FALSE))</f>
        <v/>
      </c>
      <c r="E61" s="295" t="str">
        <f>IF(D61="","",VLOOKUP($B61,'F-1 Off-Site WaterC'' Baseline'!$C$9:$R$257,4,FALSE))</f>
        <v/>
      </c>
      <c r="F61" s="295" t="str">
        <f>IF(E61="","",VLOOKUP($B61,'F-1 Off-Site WaterC'' Baseline'!$C$9:$R$257,5,FALSE))</f>
        <v/>
      </c>
      <c r="G61" s="295" t="str">
        <f>IF(F61="","",VLOOKUP($B61,'F-1 Off-Site WaterC'' Baseline'!$C$9:$R$257,6,FALSE))</f>
        <v/>
      </c>
      <c r="H61" s="295" t="str">
        <f>IF(G61="","",VLOOKUP($B61,'F-1 Off-Site WaterC'' Baseline'!$C$9:$R$257,7,FALSE))</f>
        <v/>
      </c>
      <c r="I61" s="295" t="str">
        <f>IF(H61="","",VLOOKUP($B61,'F-1 Off-Site WaterC'' Baseline'!$C$9:$R$257,8,FALSE))</f>
        <v/>
      </c>
      <c r="J61" s="295" t="str">
        <f>IF(I61="","",VLOOKUP($B61,'F-1 Off-Site WaterC'' Baseline'!$C$9:$R$257,9,FALSE))</f>
        <v/>
      </c>
      <c r="K61" s="295" t="str">
        <f>IF(J61="","",VLOOKUP($B61,'F-1 Off-Site WaterC'' Baseline'!$C$9:$R$257,10,FALSE))</f>
        <v/>
      </c>
      <c r="L61" s="283" t="str">
        <f>IF(B61="","",VLOOKUP($B61,'F-1 Off-Site WaterC'' Baseline'!$C$9:$R$257,15,FALSE))</f>
        <v/>
      </c>
      <c r="M61" s="299" t="str">
        <f>IF(L61="","",VLOOKUP($B61,'F-1 Off-Site WaterC'' Baseline'!$C$9:$V$257,19,FALSE))</f>
        <v/>
      </c>
      <c r="N61" s="244"/>
      <c r="O61" s="275" t="str">
        <f t="shared" si="2"/>
        <v/>
      </c>
      <c r="P61" s="276" t="str">
        <f t="shared" si="3"/>
        <v/>
      </c>
      <c r="Q61" s="281" t="str">
        <f>IF(N61="","",VLOOKUP(B61,'F-1 Off-Site WaterC'' Baseline'!$C$10:$AF$257,23,FALSE))</f>
        <v/>
      </c>
      <c r="R61" s="275" t="str">
        <f>IF(N61="","",VLOOKUP(N61,'G-7 WaterC'' Data'!$B$2:$G$8,2,FALSE))</f>
        <v/>
      </c>
      <c r="S61" s="276" t="str">
        <f>IFERROR(VLOOKUP(R61,'G-7 WaterC'' Data'!$C$4:$D$8,2,FALSE),"")</f>
        <v/>
      </c>
      <c r="T61" s="101"/>
      <c r="U61" s="276" t="str">
        <f>IFERROR(INDEX('G-7 WaterC'' Data'!$H$4:$L$8,MATCH(N61,'G-7 WaterC'' Data'!$B$4:$B$8,0),MATCH(T61,'G-7 WaterC'' Data'!$H$3:$L$3,0)),"")</f>
        <v/>
      </c>
      <c r="V61" s="105"/>
      <c r="W61" s="295" t="str">
        <f>IF(V61="","",IF(VLOOKUP(V61,'G-7 WaterC'' Data'!$AK$4:$AM$6,2,FALSE)=0,"Spatial Data Missing ⚠",VLOOKUP(V61,'G-7 WaterC'' Data'!$AK$4:$AM$6,2,FALSE)))</f>
        <v/>
      </c>
      <c r="X61" s="299" t="str">
        <f>IF(V61="","",IF(VLOOKUP(V61,'G-7 WaterC'' Data'!$AK$4:$AM$6,3,FALSE)=0,"Spatial Data Missing ⚠",VLOOKUP(V61,'G-7 WaterC'' Data'!$AK$4:$AM$6,3,FALSE)))</f>
        <v/>
      </c>
      <c r="Y61" s="311" t="str">
        <f>IFERROR(IF(OR(LEFT(P61,5)="Error",LEFT(O61,5)="Error"),"Check Data ⚠",IF(F61&lt;S61,'G-7 WaterC'' Data'!$R$3,INDEX('G-7 WaterC'' Data'!$U$5:$Y$9,MATCH(G61,'G-7 WaterC'' Data'!$T$5:$T$9,0),MATCH(T61,'G-7 WaterC'' Data'!$U$4:$Y$4,0)))),"")</f>
        <v/>
      </c>
      <c r="Z61" s="138"/>
      <c r="AA61" s="138"/>
      <c r="AB61" s="308" t="str">
        <f t="shared" si="4"/>
        <v/>
      </c>
      <c r="AC61" s="296" t="str">
        <f t="shared" si="5"/>
        <v/>
      </c>
      <c r="AD61" s="334" t="str">
        <f>IFERROR(IF(AC61="Check Data ⚠","Check Data ⚠",VLOOKUP(AC61,'G-4 Temporal multipliers'!$A$4:$C$37,3,FALSE)),"")</f>
        <v/>
      </c>
      <c r="AE61" s="311" t="str">
        <f>IF(N61="","",VLOOKUP(N61,'G-7 WaterC'' Data'!$B$4:$G$8,5,FALSE))</f>
        <v/>
      </c>
      <c r="AF61" s="295" t="str">
        <f t="shared" si="0"/>
        <v/>
      </c>
      <c r="AG61" s="295" t="str">
        <f t="shared" si="6"/>
        <v/>
      </c>
      <c r="AH61" s="276" t="str">
        <f t="shared" si="1"/>
        <v/>
      </c>
      <c r="AI61" s="105"/>
      <c r="AJ61" s="276" t="str">
        <f>IF(AI61="","",(IF(AND(AI61="N/A - Culvert",N61&lt;&gt;"Culvert"),"Not possible ▲",IF(VLOOKUP(AI61,'G-7 WaterC'' Data'!$AA$4:$AB$7,2,FALSE)=0,"Spatial Data Missing ⚠",VLOOKUP(AI61,'G-7 WaterC'' Data'!$AA$4:$AB$7,2,FALSE)))))</f>
        <v/>
      </c>
      <c r="AK61" s="106"/>
      <c r="AL61" s="310" t="str">
        <f>IF(AK61="","",IF(AND(AK61="N/A - Culvert",N61&lt;&gt;"Culvert"),"Not possible ▲",IF(VLOOKUP(AK61,'G-7 WaterC'' Data'!$AD$4:$AE$14,2,FALSE)=0,"Spatial Data Missing ⚠",VLOOKUP(AK61,'G-7 WaterC'' Data'!$AD$4:$AE$14,2,FALSE))))</f>
        <v/>
      </c>
      <c r="AM61" s="275" t="str">
        <f>IF(B61="","",VLOOKUP($B61,'F-1 Off-Site WaterC'' Baseline'!$C$9:$Z$257,17,FALSE))</f>
        <v/>
      </c>
      <c r="AN61" s="276" t="str">
        <f>IF(AM61="","",IF(VLOOKUP(AM61,'G-7 WaterC'' Data'!$AO$4:$BO$7,2,FALSE)=0,"Spatial Data Missing ⚠",VLOOKUP(AM61,'G-7 WaterC'' Data'!$AO$4:$BO$7,2,FALSE)))</f>
        <v/>
      </c>
      <c r="AO61" s="317" t="str">
        <f t="shared" si="7"/>
        <v/>
      </c>
      <c r="AP61" s="317" t="str">
        <f t="shared" si="8"/>
        <v/>
      </c>
      <c r="AQ61" s="101"/>
      <c r="AR61" s="115"/>
      <c r="AS61" s="104"/>
      <c r="AT61" s="104"/>
      <c r="AW61" s="30" t="str">
        <f>IF(E61="","",VLOOKUP($B61,'F-1 Off-Site WaterC'' Baseline'!$C$9:$Z$257,12,FALSE))</f>
        <v/>
      </c>
      <c r="AX61" s="30" t="str">
        <f>IF(E61="","",VLOOKUP($B61,'F-1 Off-Site WaterC'' Baseline'!$C$9:$Z$257,14,FALSE))</f>
        <v/>
      </c>
      <c r="AY61" s="30" t="str">
        <f>IFERROR(INDEX('G-7 WaterC'' Data'!$AZ$3:$AZ$7,MATCH(N61,'G-7 WaterC'' Data'!$AY$3:$AY$7,0)),"")</f>
        <v/>
      </c>
      <c r="AZ61" s="30" t="str">
        <f>IF(B61="","",IF(ISNA(VLOOKUP($B61,'F-1 Off-Site WaterC'' Baseline'!$C$8:$AD$257,20,FALSE)),"",(VLOOKUP($B61,'F-1 Off-Site WaterC'' Baseline'!$C$8:$AD$257,20,FALSE))))</f>
        <v/>
      </c>
      <c r="BC61" s="30" t="str">
        <f>IF(B61="","",VLOOKUP($B61,'F-1 Off-Site WaterC'' Baseline'!$C$9:$AB$257,25,FALSE))</f>
        <v/>
      </c>
      <c r="BD61" s="30" t="str">
        <f t="shared" si="9"/>
        <v/>
      </c>
      <c r="BE61" s="30" t="str">
        <f>IF(B61="","",VLOOKUP($B61,'F-1 Off-Site WaterC'' Baseline'!$C$9:$AB$257,24,FALSE))</f>
        <v/>
      </c>
      <c r="BF61" s="30" t="str">
        <f>IF(B61="","",VLOOKUP($B61,'F-1 Off-Site WaterC'' Baseline'!$C$9:$AB$257,22,FALSE))</f>
        <v/>
      </c>
      <c r="BJ61" s="30" t="str">
        <f t="shared" si="10"/>
        <v>No</v>
      </c>
    </row>
    <row r="62" spans="2:62" ht="14">
      <c r="B62" s="305" t="str">
        <f>'F-1 Off-Site WaterC'' Baseline'!AS60</f>
        <v/>
      </c>
      <c r="C62" s="295" t="str">
        <f>IF(B62="","",VLOOKUP($B62,'F-1 Off-Site WaterC'' Baseline'!$C$9:$R$257,2,FALSE))</f>
        <v/>
      </c>
      <c r="D62" s="295" t="str">
        <f>IF(C62="","",VLOOKUP($B62,'F-1 Off-Site WaterC'' Baseline'!$C$9:$R$257,3,FALSE))</f>
        <v/>
      </c>
      <c r="E62" s="295" t="str">
        <f>IF(D62="","",VLOOKUP($B62,'F-1 Off-Site WaterC'' Baseline'!$C$9:$R$257,4,FALSE))</f>
        <v/>
      </c>
      <c r="F62" s="295" t="str">
        <f>IF(E62="","",VLOOKUP($B62,'F-1 Off-Site WaterC'' Baseline'!$C$9:$R$257,5,FALSE))</f>
        <v/>
      </c>
      <c r="G62" s="295" t="str">
        <f>IF(F62="","",VLOOKUP($B62,'F-1 Off-Site WaterC'' Baseline'!$C$9:$R$257,6,FALSE))</f>
        <v/>
      </c>
      <c r="H62" s="295" t="str">
        <f>IF(G62="","",VLOOKUP($B62,'F-1 Off-Site WaterC'' Baseline'!$C$9:$R$257,7,FALSE))</f>
        <v/>
      </c>
      <c r="I62" s="295" t="str">
        <f>IF(H62="","",VLOOKUP($B62,'F-1 Off-Site WaterC'' Baseline'!$C$9:$R$257,8,FALSE))</f>
        <v/>
      </c>
      <c r="J62" s="295" t="str">
        <f>IF(I62="","",VLOOKUP($B62,'F-1 Off-Site WaterC'' Baseline'!$C$9:$R$257,9,FALSE))</f>
        <v/>
      </c>
      <c r="K62" s="295" t="str">
        <f>IF(J62="","",VLOOKUP($B62,'F-1 Off-Site WaterC'' Baseline'!$C$9:$R$257,10,FALSE))</f>
        <v/>
      </c>
      <c r="L62" s="283" t="str">
        <f>IF(B62="","",VLOOKUP($B62,'F-1 Off-Site WaterC'' Baseline'!$C$9:$R$257,15,FALSE))</f>
        <v/>
      </c>
      <c r="M62" s="299" t="str">
        <f>IF(L62="","",VLOOKUP($B62,'F-1 Off-Site WaterC'' Baseline'!$C$9:$V$257,19,FALSE))</f>
        <v/>
      </c>
      <c r="N62" s="244"/>
      <c r="O62" s="275" t="str">
        <f t="shared" si="2"/>
        <v/>
      </c>
      <c r="P62" s="276" t="str">
        <f t="shared" si="3"/>
        <v/>
      </c>
      <c r="Q62" s="281" t="str">
        <f>IF(N62="","",VLOOKUP(B62,'F-1 Off-Site WaterC'' Baseline'!$C$10:$AF$257,23,FALSE))</f>
        <v/>
      </c>
      <c r="R62" s="275" t="str">
        <f>IF(N62="","",VLOOKUP(N62,'G-7 WaterC'' Data'!$B$2:$G$8,2,FALSE))</f>
        <v/>
      </c>
      <c r="S62" s="276" t="str">
        <f>IFERROR(VLOOKUP(R62,'G-7 WaterC'' Data'!$C$4:$D$8,2,FALSE),"")</f>
        <v/>
      </c>
      <c r="T62" s="101"/>
      <c r="U62" s="276" t="str">
        <f>IFERROR(INDEX('G-7 WaterC'' Data'!$H$4:$L$8,MATCH(N62,'G-7 WaterC'' Data'!$B$4:$B$8,0),MATCH(T62,'G-7 WaterC'' Data'!$H$3:$L$3,0)),"")</f>
        <v/>
      </c>
      <c r="V62" s="105"/>
      <c r="W62" s="295" t="str">
        <f>IF(V62="","",IF(VLOOKUP(V62,'G-7 WaterC'' Data'!$AK$4:$AM$6,2,FALSE)=0,"Spatial Data Missing ⚠",VLOOKUP(V62,'G-7 WaterC'' Data'!$AK$4:$AM$6,2,FALSE)))</f>
        <v/>
      </c>
      <c r="X62" s="299" t="str">
        <f>IF(V62="","",IF(VLOOKUP(V62,'G-7 WaterC'' Data'!$AK$4:$AM$6,3,FALSE)=0,"Spatial Data Missing ⚠",VLOOKUP(V62,'G-7 WaterC'' Data'!$AK$4:$AM$6,3,FALSE)))</f>
        <v/>
      </c>
      <c r="Y62" s="311" t="str">
        <f>IFERROR(IF(OR(LEFT(P62,5)="Error",LEFT(O62,5)="Error"),"Check Data ⚠",IF(F62&lt;S62,'G-7 WaterC'' Data'!$R$3,INDEX('G-7 WaterC'' Data'!$U$5:$Y$9,MATCH(G62,'G-7 WaterC'' Data'!$T$5:$T$9,0),MATCH(T62,'G-7 WaterC'' Data'!$U$4:$Y$4,0)))),"")</f>
        <v/>
      </c>
      <c r="Z62" s="138"/>
      <c r="AA62" s="138"/>
      <c r="AB62" s="308" t="str">
        <f t="shared" si="4"/>
        <v/>
      </c>
      <c r="AC62" s="296" t="str">
        <f t="shared" si="5"/>
        <v/>
      </c>
      <c r="AD62" s="334" t="str">
        <f>IFERROR(IF(AC62="Check Data ⚠","Check Data ⚠",VLOOKUP(AC62,'G-4 Temporal multipliers'!$A$4:$C$37,3,FALSE)),"")</f>
        <v/>
      </c>
      <c r="AE62" s="311" t="str">
        <f>IF(N62="","",VLOOKUP(N62,'G-7 WaterC'' Data'!$B$4:$G$8,5,FALSE))</f>
        <v/>
      </c>
      <c r="AF62" s="295" t="str">
        <f t="shared" si="0"/>
        <v/>
      </c>
      <c r="AG62" s="295" t="str">
        <f t="shared" si="6"/>
        <v/>
      </c>
      <c r="AH62" s="276" t="str">
        <f t="shared" si="1"/>
        <v/>
      </c>
      <c r="AI62" s="105"/>
      <c r="AJ62" s="276" t="str">
        <f>IF(AI62="","",(IF(AND(AI62="N/A - Culvert",N62&lt;&gt;"Culvert"),"Not possible ▲",IF(VLOOKUP(AI62,'G-7 WaterC'' Data'!$AA$4:$AB$7,2,FALSE)=0,"Spatial Data Missing ⚠",VLOOKUP(AI62,'G-7 WaterC'' Data'!$AA$4:$AB$7,2,FALSE)))))</f>
        <v/>
      </c>
      <c r="AK62" s="106"/>
      <c r="AL62" s="310" t="str">
        <f>IF(AK62="","",IF(AND(AK62="N/A - Culvert",N62&lt;&gt;"Culvert"),"Not possible ▲",IF(VLOOKUP(AK62,'G-7 WaterC'' Data'!$AD$4:$AE$14,2,FALSE)=0,"Spatial Data Missing ⚠",VLOOKUP(AK62,'G-7 WaterC'' Data'!$AD$4:$AE$14,2,FALSE))))</f>
        <v/>
      </c>
      <c r="AM62" s="275" t="str">
        <f>IF(B62="","",VLOOKUP($B62,'F-1 Off-Site WaterC'' Baseline'!$C$9:$Z$257,17,FALSE))</f>
        <v/>
      </c>
      <c r="AN62" s="276" t="str">
        <f>IF(AM62="","",IF(VLOOKUP(AM62,'G-7 WaterC'' Data'!$AO$4:$BO$7,2,FALSE)=0,"Spatial Data Missing ⚠",VLOOKUP(AM62,'G-7 WaterC'' Data'!$AO$4:$BO$7,2,FALSE)))</f>
        <v/>
      </c>
      <c r="AO62" s="317" t="str">
        <f t="shared" si="7"/>
        <v/>
      </c>
      <c r="AP62" s="317" t="str">
        <f t="shared" si="8"/>
        <v/>
      </c>
      <c r="AQ62" s="101"/>
      <c r="AR62" s="115"/>
      <c r="AS62" s="104"/>
      <c r="AT62" s="104"/>
      <c r="AW62" s="30" t="str">
        <f>IF(E62="","",VLOOKUP($B62,'F-1 Off-Site WaterC'' Baseline'!$C$9:$Z$257,12,FALSE))</f>
        <v/>
      </c>
      <c r="AX62" s="30" t="str">
        <f>IF(E62="","",VLOOKUP($B62,'F-1 Off-Site WaterC'' Baseline'!$C$9:$Z$257,14,FALSE))</f>
        <v/>
      </c>
      <c r="AY62" s="30" t="str">
        <f>IFERROR(INDEX('G-7 WaterC'' Data'!$AZ$3:$AZ$7,MATCH(N62,'G-7 WaterC'' Data'!$AY$3:$AY$7,0)),"")</f>
        <v/>
      </c>
      <c r="AZ62" s="30" t="str">
        <f>IF(B62="","",IF(ISNA(VLOOKUP($B62,'F-1 Off-Site WaterC'' Baseline'!$C$8:$AD$257,20,FALSE)),"",(VLOOKUP($B62,'F-1 Off-Site WaterC'' Baseline'!$C$8:$AD$257,20,FALSE))))</f>
        <v/>
      </c>
      <c r="BC62" s="30" t="str">
        <f>IF(B62="","",VLOOKUP($B62,'F-1 Off-Site WaterC'' Baseline'!$C$9:$AB$257,25,FALSE))</f>
        <v/>
      </c>
      <c r="BD62" s="30" t="str">
        <f t="shared" si="9"/>
        <v/>
      </c>
      <c r="BE62" s="30" t="str">
        <f>IF(B62="","",VLOOKUP($B62,'F-1 Off-Site WaterC'' Baseline'!$C$9:$AB$257,24,FALSE))</f>
        <v/>
      </c>
      <c r="BF62" s="30" t="str">
        <f>IF(B62="","",VLOOKUP($B62,'F-1 Off-Site WaterC'' Baseline'!$C$9:$AB$257,22,FALSE))</f>
        <v/>
      </c>
      <c r="BJ62" s="30" t="str">
        <f t="shared" si="10"/>
        <v>No</v>
      </c>
    </row>
    <row r="63" spans="2:62" ht="14">
      <c r="B63" s="305" t="str">
        <f>'F-1 Off-Site WaterC'' Baseline'!AS61</f>
        <v/>
      </c>
      <c r="C63" s="295" t="str">
        <f>IF(B63="","",VLOOKUP($B63,'F-1 Off-Site WaterC'' Baseline'!$C$9:$R$257,2,FALSE))</f>
        <v/>
      </c>
      <c r="D63" s="295" t="str">
        <f>IF(C63="","",VLOOKUP($B63,'F-1 Off-Site WaterC'' Baseline'!$C$9:$R$257,3,FALSE))</f>
        <v/>
      </c>
      <c r="E63" s="295" t="str">
        <f>IF(D63="","",VLOOKUP($B63,'F-1 Off-Site WaterC'' Baseline'!$C$9:$R$257,4,FALSE))</f>
        <v/>
      </c>
      <c r="F63" s="295" t="str">
        <f>IF(E63="","",VLOOKUP($B63,'F-1 Off-Site WaterC'' Baseline'!$C$9:$R$257,5,FALSE))</f>
        <v/>
      </c>
      <c r="G63" s="295" t="str">
        <f>IF(F63="","",VLOOKUP($B63,'F-1 Off-Site WaterC'' Baseline'!$C$9:$R$257,6,FALSE))</f>
        <v/>
      </c>
      <c r="H63" s="295" t="str">
        <f>IF(G63="","",VLOOKUP($B63,'F-1 Off-Site WaterC'' Baseline'!$C$9:$R$257,7,FALSE))</f>
        <v/>
      </c>
      <c r="I63" s="295" t="str">
        <f>IF(H63="","",VLOOKUP($B63,'F-1 Off-Site WaterC'' Baseline'!$C$9:$R$257,8,FALSE))</f>
        <v/>
      </c>
      <c r="J63" s="295" t="str">
        <f>IF(I63="","",VLOOKUP($B63,'F-1 Off-Site WaterC'' Baseline'!$C$9:$R$257,9,FALSE))</f>
        <v/>
      </c>
      <c r="K63" s="295" t="str">
        <f>IF(J63="","",VLOOKUP($B63,'F-1 Off-Site WaterC'' Baseline'!$C$9:$R$257,10,FALSE))</f>
        <v/>
      </c>
      <c r="L63" s="283" t="str">
        <f>IF(B63="","",VLOOKUP($B63,'F-1 Off-Site WaterC'' Baseline'!$C$9:$R$257,15,FALSE))</f>
        <v/>
      </c>
      <c r="M63" s="299" t="str">
        <f>IF(L63="","",VLOOKUP($B63,'F-1 Off-Site WaterC'' Baseline'!$C$9:$V$257,19,FALSE))</f>
        <v/>
      </c>
      <c r="N63" s="244"/>
      <c r="O63" s="275" t="str">
        <f t="shared" si="2"/>
        <v/>
      </c>
      <c r="P63" s="276" t="str">
        <f t="shared" si="3"/>
        <v/>
      </c>
      <c r="Q63" s="281" t="str">
        <f>IF(N63="","",VLOOKUP(B63,'F-1 Off-Site WaterC'' Baseline'!$C$10:$AF$257,23,FALSE))</f>
        <v/>
      </c>
      <c r="R63" s="275" t="str">
        <f>IF(N63="","",VLOOKUP(N63,'G-7 WaterC'' Data'!$B$2:$G$8,2,FALSE))</f>
        <v/>
      </c>
      <c r="S63" s="276" t="str">
        <f>IFERROR(VLOOKUP(R63,'G-7 WaterC'' Data'!$C$4:$D$8,2,FALSE),"")</f>
        <v/>
      </c>
      <c r="T63" s="101"/>
      <c r="U63" s="276" t="str">
        <f>IFERROR(INDEX('G-7 WaterC'' Data'!$H$4:$L$8,MATCH(N63,'G-7 WaterC'' Data'!$B$4:$B$8,0),MATCH(T63,'G-7 WaterC'' Data'!$H$3:$L$3,0)),"")</f>
        <v/>
      </c>
      <c r="V63" s="105"/>
      <c r="W63" s="295" t="str">
        <f>IF(V63="","",IF(VLOOKUP(V63,'G-7 WaterC'' Data'!$AK$4:$AM$6,2,FALSE)=0,"Spatial Data Missing ⚠",VLOOKUP(V63,'G-7 WaterC'' Data'!$AK$4:$AM$6,2,FALSE)))</f>
        <v/>
      </c>
      <c r="X63" s="299" t="str">
        <f>IF(V63="","",IF(VLOOKUP(V63,'G-7 WaterC'' Data'!$AK$4:$AM$6,3,FALSE)=0,"Spatial Data Missing ⚠",VLOOKUP(V63,'G-7 WaterC'' Data'!$AK$4:$AM$6,3,FALSE)))</f>
        <v/>
      </c>
      <c r="Y63" s="311" t="str">
        <f>IFERROR(IF(OR(LEFT(P63,5)="Error",LEFT(O63,5)="Error"),"Check Data ⚠",IF(F63&lt;S63,'G-7 WaterC'' Data'!$R$3,INDEX('G-7 WaterC'' Data'!$U$5:$Y$9,MATCH(G63,'G-7 WaterC'' Data'!$T$5:$T$9,0),MATCH(T63,'G-7 WaterC'' Data'!$U$4:$Y$4,0)))),"")</f>
        <v/>
      </c>
      <c r="Z63" s="138"/>
      <c r="AA63" s="138"/>
      <c r="AB63" s="308" t="str">
        <f t="shared" si="4"/>
        <v/>
      </c>
      <c r="AC63" s="296" t="str">
        <f t="shared" si="5"/>
        <v/>
      </c>
      <c r="AD63" s="334" t="str">
        <f>IFERROR(IF(AC63="Check Data ⚠","Check Data ⚠",VLOOKUP(AC63,'G-4 Temporal multipliers'!$A$4:$C$37,3,FALSE)),"")</f>
        <v/>
      </c>
      <c r="AE63" s="311" t="str">
        <f>IF(N63="","",VLOOKUP(N63,'G-7 WaterC'' Data'!$B$4:$G$8,5,FALSE))</f>
        <v/>
      </c>
      <c r="AF63" s="295" t="str">
        <f t="shared" si="0"/>
        <v/>
      </c>
      <c r="AG63" s="295" t="str">
        <f t="shared" si="6"/>
        <v/>
      </c>
      <c r="AH63" s="276" t="str">
        <f t="shared" si="1"/>
        <v/>
      </c>
      <c r="AI63" s="105"/>
      <c r="AJ63" s="276" t="str">
        <f>IF(AI63="","",(IF(AND(AI63="N/A - Culvert",N63&lt;&gt;"Culvert"),"Not possible ▲",IF(VLOOKUP(AI63,'G-7 WaterC'' Data'!$AA$4:$AB$7,2,FALSE)=0,"Spatial Data Missing ⚠",VLOOKUP(AI63,'G-7 WaterC'' Data'!$AA$4:$AB$7,2,FALSE)))))</f>
        <v/>
      </c>
      <c r="AK63" s="106"/>
      <c r="AL63" s="310" t="str">
        <f>IF(AK63="","",IF(AND(AK63="N/A - Culvert",N63&lt;&gt;"Culvert"),"Not possible ▲",IF(VLOOKUP(AK63,'G-7 WaterC'' Data'!$AD$4:$AE$14,2,FALSE)=0,"Spatial Data Missing ⚠",VLOOKUP(AK63,'G-7 WaterC'' Data'!$AD$4:$AE$14,2,FALSE))))</f>
        <v/>
      </c>
      <c r="AM63" s="275" t="str">
        <f>IF(B63="","",VLOOKUP($B63,'F-1 Off-Site WaterC'' Baseline'!$C$9:$Z$257,17,FALSE))</f>
        <v/>
      </c>
      <c r="AN63" s="276" t="str">
        <f>IF(AM63="","",IF(VLOOKUP(AM63,'G-7 WaterC'' Data'!$AO$4:$BO$7,2,FALSE)=0,"Spatial Data Missing ⚠",VLOOKUP(AM63,'G-7 WaterC'' Data'!$AO$4:$BO$7,2,FALSE)))</f>
        <v/>
      </c>
      <c r="AO63" s="317" t="str">
        <f t="shared" si="7"/>
        <v/>
      </c>
      <c r="AP63" s="317" t="str">
        <f t="shared" si="8"/>
        <v/>
      </c>
      <c r="AQ63" s="101"/>
      <c r="AR63" s="115"/>
      <c r="AS63" s="104"/>
      <c r="AT63" s="104"/>
      <c r="AW63" s="30" t="str">
        <f>IF(E63="","",VLOOKUP($B63,'F-1 Off-Site WaterC'' Baseline'!$C$9:$Z$257,12,FALSE))</f>
        <v/>
      </c>
      <c r="AX63" s="30" t="str">
        <f>IF(E63="","",VLOOKUP($B63,'F-1 Off-Site WaterC'' Baseline'!$C$9:$Z$257,14,FALSE))</f>
        <v/>
      </c>
      <c r="AY63" s="30" t="str">
        <f>IFERROR(INDEX('G-7 WaterC'' Data'!$AZ$3:$AZ$7,MATCH(N63,'G-7 WaterC'' Data'!$AY$3:$AY$7,0)),"")</f>
        <v/>
      </c>
      <c r="AZ63" s="30" t="str">
        <f>IF(B63="","",IF(ISNA(VLOOKUP($B63,'F-1 Off-Site WaterC'' Baseline'!$C$8:$AD$257,20,FALSE)),"",(VLOOKUP($B63,'F-1 Off-Site WaterC'' Baseline'!$C$8:$AD$257,20,FALSE))))</f>
        <v/>
      </c>
      <c r="BC63" s="30" t="str">
        <f>IF(B63="","",VLOOKUP($B63,'F-1 Off-Site WaterC'' Baseline'!$C$9:$AB$257,25,FALSE))</f>
        <v/>
      </c>
      <c r="BD63" s="30" t="str">
        <f t="shared" si="9"/>
        <v/>
      </c>
      <c r="BE63" s="30" t="str">
        <f>IF(B63="","",VLOOKUP($B63,'F-1 Off-Site WaterC'' Baseline'!$C$9:$AB$257,24,FALSE))</f>
        <v/>
      </c>
      <c r="BF63" s="30" t="str">
        <f>IF(B63="","",VLOOKUP($B63,'F-1 Off-Site WaterC'' Baseline'!$C$9:$AB$257,22,FALSE))</f>
        <v/>
      </c>
      <c r="BJ63" s="30" t="str">
        <f t="shared" si="10"/>
        <v>No</v>
      </c>
    </row>
    <row r="64" spans="2:62" ht="14">
      <c r="B64" s="305" t="str">
        <f>'F-1 Off-Site WaterC'' Baseline'!AS62</f>
        <v/>
      </c>
      <c r="C64" s="295" t="str">
        <f>IF(B64="","",VLOOKUP($B64,'F-1 Off-Site WaterC'' Baseline'!$C$9:$R$257,2,FALSE))</f>
        <v/>
      </c>
      <c r="D64" s="295" t="str">
        <f>IF(C64="","",VLOOKUP($B64,'F-1 Off-Site WaterC'' Baseline'!$C$9:$R$257,3,FALSE))</f>
        <v/>
      </c>
      <c r="E64" s="295" t="str">
        <f>IF(D64="","",VLOOKUP($B64,'F-1 Off-Site WaterC'' Baseline'!$C$9:$R$257,4,FALSE))</f>
        <v/>
      </c>
      <c r="F64" s="295" t="str">
        <f>IF(E64="","",VLOOKUP($B64,'F-1 Off-Site WaterC'' Baseline'!$C$9:$R$257,5,FALSE))</f>
        <v/>
      </c>
      <c r="G64" s="295" t="str">
        <f>IF(F64="","",VLOOKUP($B64,'F-1 Off-Site WaterC'' Baseline'!$C$9:$R$257,6,FALSE))</f>
        <v/>
      </c>
      <c r="H64" s="295" t="str">
        <f>IF(G64="","",VLOOKUP($B64,'F-1 Off-Site WaterC'' Baseline'!$C$9:$R$257,7,FALSE))</f>
        <v/>
      </c>
      <c r="I64" s="295" t="str">
        <f>IF(H64="","",VLOOKUP($B64,'F-1 Off-Site WaterC'' Baseline'!$C$9:$R$257,8,FALSE))</f>
        <v/>
      </c>
      <c r="J64" s="295" t="str">
        <f>IF(I64="","",VLOOKUP($B64,'F-1 Off-Site WaterC'' Baseline'!$C$9:$R$257,9,FALSE))</f>
        <v/>
      </c>
      <c r="K64" s="295" t="str">
        <f>IF(J64="","",VLOOKUP($B64,'F-1 Off-Site WaterC'' Baseline'!$C$9:$R$257,10,FALSE))</f>
        <v/>
      </c>
      <c r="L64" s="283" t="str">
        <f>IF(B64="","",VLOOKUP($B64,'F-1 Off-Site WaterC'' Baseline'!$C$9:$R$257,15,FALSE))</f>
        <v/>
      </c>
      <c r="M64" s="299" t="str">
        <f>IF(L64="","",VLOOKUP($B64,'F-1 Off-Site WaterC'' Baseline'!$C$9:$V$257,19,FALSE))</f>
        <v/>
      </c>
      <c r="N64" s="244"/>
      <c r="O64" s="275" t="str">
        <f t="shared" si="2"/>
        <v/>
      </c>
      <c r="P64" s="276" t="str">
        <f t="shared" si="3"/>
        <v/>
      </c>
      <c r="Q64" s="281" t="str">
        <f>IF(N64="","",VLOOKUP(B64,'F-1 Off-Site WaterC'' Baseline'!$C$10:$AF$257,23,FALSE))</f>
        <v/>
      </c>
      <c r="R64" s="275" t="str">
        <f>IF(N64="","",VLOOKUP(N64,'G-7 WaterC'' Data'!$B$2:$G$8,2,FALSE))</f>
        <v/>
      </c>
      <c r="S64" s="276" t="str">
        <f>IFERROR(VLOOKUP(R64,'G-7 WaterC'' Data'!$C$4:$D$8,2,FALSE),"")</f>
        <v/>
      </c>
      <c r="T64" s="101"/>
      <c r="U64" s="276" t="str">
        <f>IFERROR(INDEX('G-7 WaterC'' Data'!$H$4:$L$8,MATCH(N64,'G-7 WaterC'' Data'!$B$4:$B$8,0),MATCH(T64,'G-7 WaterC'' Data'!$H$3:$L$3,0)),"")</f>
        <v/>
      </c>
      <c r="V64" s="105"/>
      <c r="W64" s="295" t="str">
        <f>IF(V64="","",IF(VLOOKUP(V64,'G-7 WaterC'' Data'!$AK$4:$AM$6,2,FALSE)=0,"Spatial Data Missing ⚠",VLOOKUP(V64,'G-7 WaterC'' Data'!$AK$4:$AM$6,2,FALSE)))</f>
        <v/>
      </c>
      <c r="X64" s="299" t="str">
        <f>IF(V64="","",IF(VLOOKUP(V64,'G-7 WaterC'' Data'!$AK$4:$AM$6,3,FALSE)=0,"Spatial Data Missing ⚠",VLOOKUP(V64,'G-7 WaterC'' Data'!$AK$4:$AM$6,3,FALSE)))</f>
        <v/>
      </c>
      <c r="Y64" s="311" t="str">
        <f>IFERROR(IF(OR(LEFT(P64,5)="Error",LEFT(O64,5)="Error"),"Check Data ⚠",IF(F64&lt;S64,'G-7 WaterC'' Data'!$R$3,INDEX('G-7 WaterC'' Data'!$U$5:$Y$9,MATCH(G64,'G-7 WaterC'' Data'!$T$5:$T$9,0),MATCH(T64,'G-7 WaterC'' Data'!$U$4:$Y$4,0)))),"")</f>
        <v/>
      </c>
      <c r="Z64" s="138"/>
      <c r="AA64" s="138"/>
      <c r="AB64" s="308" t="str">
        <f t="shared" si="4"/>
        <v/>
      </c>
      <c r="AC64" s="296" t="str">
        <f t="shared" si="5"/>
        <v/>
      </c>
      <c r="AD64" s="334" t="str">
        <f>IFERROR(IF(AC64="Check Data ⚠","Check Data ⚠",VLOOKUP(AC64,'G-4 Temporal multipliers'!$A$4:$C$37,3,FALSE)),"")</f>
        <v/>
      </c>
      <c r="AE64" s="311" t="str">
        <f>IF(N64="","",VLOOKUP(N64,'G-7 WaterC'' Data'!$B$4:$G$8,5,FALSE))</f>
        <v/>
      </c>
      <c r="AF64" s="295" t="str">
        <f t="shared" si="0"/>
        <v/>
      </c>
      <c r="AG64" s="295" t="str">
        <f t="shared" si="6"/>
        <v/>
      </c>
      <c r="AH64" s="276" t="str">
        <f t="shared" si="1"/>
        <v/>
      </c>
      <c r="AI64" s="105"/>
      <c r="AJ64" s="276" t="str">
        <f>IF(AI64="","",(IF(AND(AI64="N/A - Culvert",N64&lt;&gt;"Culvert"),"Not possible ▲",IF(VLOOKUP(AI64,'G-7 WaterC'' Data'!$AA$4:$AB$7,2,FALSE)=0,"Spatial Data Missing ⚠",VLOOKUP(AI64,'G-7 WaterC'' Data'!$AA$4:$AB$7,2,FALSE)))))</f>
        <v/>
      </c>
      <c r="AK64" s="106"/>
      <c r="AL64" s="310" t="str">
        <f>IF(AK64="","",IF(AND(AK64="N/A - Culvert",N64&lt;&gt;"Culvert"),"Not possible ▲",IF(VLOOKUP(AK64,'G-7 WaterC'' Data'!$AD$4:$AE$14,2,FALSE)=0,"Spatial Data Missing ⚠",VLOOKUP(AK64,'G-7 WaterC'' Data'!$AD$4:$AE$14,2,FALSE))))</f>
        <v/>
      </c>
      <c r="AM64" s="275" t="str">
        <f>IF(B64="","",VLOOKUP($B64,'F-1 Off-Site WaterC'' Baseline'!$C$9:$Z$257,17,FALSE))</f>
        <v/>
      </c>
      <c r="AN64" s="276" t="str">
        <f>IF(AM64="","",IF(VLOOKUP(AM64,'G-7 WaterC'' Data'!$AO$4:$BO$7,2,FALSE)=0,"Spatial Data Missing ⚠",VLOOKUP(AM64,'G-7 WaterC'' Data'!$AO$4:$BO$7,2,FALSE)))</f>
        <v/>
      </c>
      <c r="AO64" s="317" t="str">
        <f t="shared" si="7"/>
        <v/>
      </c>
      <c r="AP64" s="317" t="str">
        <f t="shared" si="8"/>
        <v/>
      </c>
      <c r="AQ64" s="101"/>
      <c r="AR64" s="115"/>
      <c r="AS64" s="104"/>
      <c r="AT64" s="104"/>
      <c r="AW64" s="30" t="str">
        <f>IF(E64="","",VLOOKUP($B64,'F-1 Off-Site WaterC'' Baseline'!$C$9:$Z$257,12,FALSE))</f>
        <v/>
      </c>
      <c r="AX64" s="30" t="str">
        <f>IF(E64="","",VLOOKUP($B64,'F-1 Off-Site WaterC'' Baseline'!$C$9:$Z$257,14,FALSE))</f>
        <v/>
      </c>
      <c r="AY64" s="30" t="str">
        <f>IFERROR(INDEX('G-7 WaterC'' Data'!$AZ$3:$AZ$7,MATCH(N64,'G-7 WaterC'' Data'!$AY$3:$AY$7,0)),"")</f>
        <v/>
      </c>
      <c r="AZ64" s="30" t="str">
        <f>IF(B64="","",IF(ISNA(VLOOKUP($B64,'F-1 Off-Site WaterC'' Baseline'!$C$8:$AD$257,20,FALSE)),"",(VLOOKUP($B64,'F-1 Off-Site WaterC'' Baseline'!$C$8:$AD$257,20,FALSE))))</f>
        <v/>
      </c>
      <c r="BC64" s="30" t="str">
        <f>IF(B64="","",VLOOKUP($B64,'F-1 Off-Site WaterC'' Baseline'!$C$9:$AB$257,25,FALSE))</f>
        <v/>
      </c>
      <c r="BD64" s="30" t="str">
        <f t="shared" si="9"/>
        <v/>
      </c>
      <c r="BE64" s="30" t="str">
        <f>IF(B64="","",VLOOKUP($B64,'F-1 Off-Site WaterC'' Baseline'!$C$9:$AB$257,24,FALSE))</f>
        <v/>
      </c>
      <c r="BF64" s="30" t="str">
        <f>IF(B64="","",VLOOKUP($B64,'F-1 Off-Site WaterC'' Baseline'!$C$9:$AB$257,22,FALSE))</f>
        <v/>
      </c>
      <c r="BJ64" s="30" t="str">
        <f t="shared" si="10"/>
        <v>No</v>
      </c>
    </row>
    <row r="65" spans="2:62" ht="14">
      <c r="B65" s="305" t="str">
        <f>'F-1 Off-Site WaterC'' Baseline'!AS63</f>
        <v/>
      </c>
      <c r="C65" s="295" t="str">
        <f>IF(B65="","",VLOOKUP($B65,'F-1 Off-Site WaterC'' Baseline'!$C$9:$R$257,2,FALSE))</f>
        <v/>
      </c>
      <c r="D65" s="295" t="str">
        <f>IF(C65="","",VLOOKUP($B65,'F-1 Off-Site WaterC'' Baseline'!$C$9:$R$257,3,FALSE))</f>
        <v/>
      </c>
      <c r="E65" s="295" t="str">
        <f>IF(D65="","",VLOOKUP($B65,'F-1 Off-Site WaterC'' Baseline'!$C$9:$R$257,4,FALSE))</f>
        <v/>
      </c>
      <c r="F65" s="295" t="str">
        <f>IF(E65="","",VLOOKUP($B65,'F-1 Off-Site WaterC'' Baseline'!$C$9:$R$257,5,FALSE))</f>
        <v/>
      </c>
      <c r="G65" s="295" t="str">
        <f>IF(F65="","",VLOOKUP($B65,'F-1 Off-Site WaterC'' Baseline'!$C$9:$R$257,6,FALSE))</f>
        <v/>
      </c>
      <c r="H65" s="295" t="str">
        <f>IF(G65="","",VLOOKUP($B65,'F-1 Off-Site WaterC'' Baseline'!$C$9:$R$257,7,FALSE))</f>
        <v/>
      </c>
      <c r="I65" s="295" t="str">
        <f>IF(H65="","",VLOOKUP($B65,'F-1 Off-Site WaterC'' Baseline'!$C$9:$R$257,8,FALSE))</f>
        <v/>
      </c>
      <c r="J65" s="295" t="str">
        <f>IF(I65="","",VLOOKUP($B65,'F-1 Off-Site WaterC'' Baseline'!$C$9:$R$257,9,FALSE))</f>
        <v/>
      </c>
      <c r="K65" s="295" t="str">
        <f>IF(J65="","",VLOOKUP($B65,'F-1 Off-Site WaterC'' Baseline'!$C$9:$R$257,10,FALSE))</f>
        <v/>
      </c>
      <c r="L65" s="283" t="str">
        <f>IF(B65="","",VLOOKUP($B65,'F-1 Off-Site WaterC'' Baseline'!$C$9:$R$257,15,FALSE))</f>
        <v/>
      </c>
      <c r="M65" s="299" t="str">
        <f>IF(L65="","",VLOOKUP($B65,'F-1 Off-Site WaterC'' Baseline'!$C$9:$V$257,19,FALSE))</f>
        <v/>
      </c>
      <c r="N65" s="244"/>
      <c r="O65" s="275" t="str">
        <f t="shared" si="2"/>
        <v/>
      </c>
      <c r="P65" s="276" t="str">
        <f t="shared" si="3"/>
        <v/>
      </c>
      <c r="Q65" s="281" t="str">
        <f>IF(N65="","",VLOOKUP(B65,'F-1 Off-Site WaterC'' Baseline'!$C$10:$AF$257,23,FALSE))</f>
        <v/>
      </c>
      <c r="R65" s="275" t="str">
        <f>IF(N65="","",VLOOKUP(N65,'G-7 WaterC'' Data'!$B$2:$G$8,2,FALSE))</f>
        <v/>
      </c>
      <c r="S65" s="276" t="str">
        <f>IFERROR(VLOOKUP(R65,'G-7 WaterC'' Data'!$C$4:$D$8,2,FALSE),"")</f>
        <v/>
      </c>
      <c r="T65" s="101"/>
      <c r="U65" s="276" t="str">
        <f>IFERROR(INDEX('G-7 WaterC'' Data'!$H$4:$L$8,MATCH(N65,'G-7 WaterC'' Data'!$B$4:$B$8,0),MATCH(T65,'G-7 WaterC'' Data'!$H$3:$L$3,0)),"")</f>
        <v/>
      </c>
      <c r="V65" s="105"/>
      <c r="W65" s="295" t="str">
        <f>IF(V65="","",IF(VLOOKUP(V65,'G-7 WaterC'' Data'!$AK$4:$AM$6,2,FALSE)=0,"Spatial Data Missing ⚠",VLOOKUP(V65,'G-7 WaterC'' Data'!$AK$4:$AM$6,2,FALSE)))</f>
        <v/>
      </c>
      <c r="X65" s="299" t="str">
        <f>IF(V65="","",IF(VLOOKUP(V65,'G-7 WaterC'' Data'!$AK$4:$AM$6,3,FALSE)=0,"Spatial Data Missing ⚠",VLOOKUP(V65,'G-7 WaterC'' Data'!$AK$4:$AM$6,3,FALSE)))</f>
        <v/>
      </c>
      <c r="Y65" s="311" t="str">
        <f>IFERROR(IF(OR(LEFT(P65,5)="Error",LEFT(O65,5)="Error"),"Check Data ⚠",IF(F65&lt;S65,'G-7 WaterC'' Data'!$R$3,INDEX('G-7 WaterC'' Data'!$U$5:$Y$9,MATCH(G65,'G-7 WaterC'' Data'!$T$5:$T$9,0),MATCH(T65,'G-7 WaterC'' Data'!$U$4:$Y$4,0)))),"")</f>
        <v/>
      </c>
      <c r="Z65" s="138"/>
      <c r="AA65" s="138"/>
      <c r="AB65" s="308" t="str">
        <f t="shared" si="4"/>
        <v/>
      </c>
      <c r="AC65" s="296" t="str">
        <f t="shared" si="5"/>
        <v/>
      </c>
      <c r="AD65" s="334" t="str">
        <f>IFERROR(IF(AC65="Check Data ⚠","Check Data ⚠",VLOOKUP(AC65,'G-4 Temporal multipliers'!$A$4:$C$37,3,FALSE)),"")</f>
        <v/>
      </c>
      <c r="AE65" s="311" t="str">
        <f>IF(N65="","",VLOOKUP(N65,'G-7 WaterC'' Data'!$B$4:$G$8,5,FALSE))</f>
        <v/>
      </c>
      <c r="AF65" s="295" t="str">
        <f t="shared" si="0"/>
        <v/>
      </c>
      <c r="AG65" s="295" t="str">
        <f t="shared" si="6"/>
        <v/>
      </c>
      <c r="AH65" s="276" t="str">
        <f t="shared" si="1"/>
        <v/>
      </c>
      <c r="AI65" s="105"/>
      <c r="AJ65" s="276" t="str">
        <f>IF(AI65="","",(IF(AND(AI65="N/A - Culvert",N65&lt;&gt;"Culvert"),"Not possible ▲",IF(VLOOKUP(AI65,'G-7 WaterC'' Data'!$AA$4:$AB$7,2,FALSE)=0,"Spatial Data Missing ⚠",VLOOKUP(AI65,'G-7 WaterC'' Data'!$AA$4:$AB$7,2,FALSE)))))</f>
        <v/>
      </c>
      <c r="AK65" s="106"/>
      <c r="AL65" s="310" t="str">
        <f>IF(AK65="","",IF(AND(AK65="N/A - Culvert",N65&lt;&gt;"Culvert"),"Not possible ▲",IF(VLOOKUP(AK65,'G-7 WaterC'' Data'!$AD$4:$AE$14,2,FALSE)=0,"Spatial Data Missing ⚠",VLOOKUP(AK65,'G-7 WaterC'' Data'!$AD$4:$AE$14,2,FALSE))))</f>
        <v/>
      </c>
      <c r="AM65" s="275" t="str">
        <f>IF(B65="","",VLOOKUP($B65,'F-1 Off-Site WaterC'' Baseline'!$C$9:$Z$257,17,FALSE))</f>
        <v/>
      </c>
      <c r="AN65" s="276" t="str">
        <f>IF(AM65="","",IF(VLOOKUP(AM65,'G-7 WaterC'' Data'!$AO$4:$BO$7,2,FALSE)=0,"Spatial Data Missing ⚠",VLOOKUP(AM65,'G-7 WaterC'' Data'!$AO$4:$BO$7,2,FALSE)))</f>
        <v/>
      </c>
      <c r="AO65" s="317" t="str">
        <f t="shared" si="7"/>
        <v/>
      </c>
      <c r="AP65" s="317" t="str">
        <f t="shared" si="8"/>
        <v/>
      </c>
      <c r="AQ65" s="101"/>
      <c r="AR65" s="115"/>
      <c r="AS65" s="104"/>
      <c r="AT65" s="104"/>
      <c r="AW65" s="30" t="str">
        <f>IF(E65="","",VLOOKUP($B65,'F-1 Off-Site WaterC'' Baseline'!$C$9:$Z$257,12,FALSE))</f>
        <v/>
      </c>
      <c r="AX65" s="30" t="str">
        <f>IF(E65="","",VLOOKUP($B65,'F-1 Off-Site WaterC'' Baseline'!$C$9:$Z$257,14,FALSE))</f>
        <v/>
      </c>
      <c r="AY65" s="30" t="str">
        <f>IFERROR(INDEX('G-7 WaterC'' Data'!$AZ$3:$AZ$7,MATCH(N65,'G-7 WaterC'' Data'!$AY$3:$AY$7,0)),"")</f>
        <v/>
      </c>
      <c r="AZ65" s="30" t="str">
        <f>IF(B65="","",IF(ISNA(VLOOKUP($B65,'F-1 Off-Site WaterC'' Baseline'!$C$8:$AD$257,20,FALSE)),"",(VLOOKUP($B65,'F-1 Off-Site WaterC'' Baseline'!$C$8:$AD$257,20,FALSE))))</f>
        <v/>
      </c>
      <c r="BC65" s="30" t="str">
        <f>IF(B65="","",VLOOKUP($B65,'F-1 Off-Site WaterC'' Baseline'!$C$9:$AB$257,25,FALSE))</f>
        <v/>
      </c>
      <c r="BD65" s="30" t="str">
        <f t="shared" si="9"/>
        <v/>
      </c>
      <c r="BE65" s="30" t="str">
        <f>IF(B65="","",VLOOKUP($B65,'F-1 Off-Site WaterC'' Baseline'!$C$9:$AB$257,24,FALSE))</f>
        <v/>
      </c>
      <c r="BF65" s="30" t="str">
        <f>IF(B65="","",VLOOKUP($B65,'F-1 Off-Site WaterC'' Baseline'!$C$9:$AB$257,22,FALSE))</f>
        <v/>
      </c>
      <c r="BJ65" s="30" t="str">
        <f t="shared" si="10"/>
        <v>No</v>
      </c>
    </row>
    <row r="66" spans="2:62" ht="14">
      <c r="B66" s="305" t="str">
        <f>'F-1 Off-Site WaterC'' Baseline'!AS64</f>
        <v/>
      </c>
      <c r="C66" s="295" t="str">
        <f>IF(B66="","",VLOOKUP($B66,'F-1 Off-Site WaterC'' Baseline'!$C$9:$R$257,2,FALSE))</f>
        <v/>
      </c>
      <c r="D66" s="295" t="str">
        <f>IF(C66="","",VLOOKUP($B66,'F-1 Off-Site WaterC'' Baseline'!$C$9:$R$257,3,FALSE))</f>
        <v/>
      </c>
      <c r="E66" s="295" t="str">
        <f>IF(D66="","",VLOOKUP($B66,'F-1 Off-Site WaterC'' Baseline'!$C$9:$R$257,4,FALSE))</f>
        <v/>
      </c>
      <c r="F66" s="295" t="str">
        <f>IF(E66="","",VLOOKUP($B66,'F-1 Off-Site WaterC'' Baseline'!$C$9:$R$257,5,FALSE))</f>
        <v/>
      </c>
      <c r="G66" s="295" t="str">
        <f>IF(F66="","",VLOOKUP($B66,'F-1 Off-Site WaterC'' Baseline'!$C$9:$R$257,6,FALSE))</f>
        <v/>
      </c>
      <c r="H66" s="295" t="str">
        <f>IF(G66="","",VLOOKUP($B66,'F-1 Off-Site WaterC'' Baseline'!$C$9:$R$257,7,FALSE))</f>
        <v/>
      </c>
      <c r="I66" s="295" t="str">
        <f>IF(H66="","",VLOOKUP($B66,'F-1 Off-Site WaterC'' Baseline'!$C$9:$R$257,8,FALSE))</f>
        <v/>
      </c>
      <c r="J66" s="295" t="str">
        <f>IF(I66="","",VLOOKUP($B66,'F-1 Off-Site WaterC'' Baseline'!$C$9:$R$257,9,FALSE))</f>
        <v/>
      </c>
      <c r="K66" s="295" t="str">
        <f>IF(J66="","",VLOOKUP($B66,'F-1 Off-Site WaterC'' Baseline'!$C$9:$R$257,10,FALSE))</f>
        <v/>
      </c>
      <c r="L66" s="283" t="str">
        <f>IF(B66="","",VLOOKUP($B66,'F-1 Off-Site WaterC'' Baseline'!$C$9:$R$257,15,FALSE))</f>
        <v/>
      </c>
      <c r="M66" s="299" t="str">
        <f>IF(L66="","",VLOOKUP($B66,'F-1 Off-Site WaterC'' Baseline'!$C$9:$V$257,19,FALSE))</f>
        <v/>
      </c>
      <c r="N66" s="244"/>
      <c r="O66" s="275" t="str">
        <f t="shared" si="2"/>
        <v/>
      </c>
      <c r="P66" s="276" t="str">
        <f t="shared" si="3"/>
        <v/>
      </c>
      <c r="Q66" s="281" t="str">
        <f>IF(N66="","",VLOOKUP(B66,'F-1 Off-Site WaterC'' Baseline'!$C$10:$AF$257,23,FALSE))</f>
        <v/>
      </c>
      <c r="R66" s="275" t="str">
        <f>IF(N66="","",VLOOKUP(N66,'G-7 WaterC'' Data'!$B$2:$G$8,2,FALSE))</f>
        <v/>
      </c>
      <c r="S66" s="276" t="str">
        <f>IFERROR(VLOOKUP(R66,'G-7 WaterC'' Data'!$C$4:$D$8,2,FALSE),"")</f>
        <v/>
      </c>
      <c r="T66" s="101"/>
      <c r="U66" s="276" t="str">
        <f>IFERROR(INDEX('G-7 WaterC'' Data'!$H$4:$L$8,MATCH(N66,'G-7 WaterC'' Data'!$B$4:$B$8,0),MATCH(T66,'G-7 WaterC'' Data'!$H$3:$L$3,0)),"")</f>
        <v/>
      </c>
      <c r="V66" s="105"/>
      <c r="W66" s="295" t="str">
        <f>IF(V66="","",IF(VLOOKUP(V66,'G-7 WaterC'' Data'!$AK$4:$AM$6,2,FALSE)=0,"Spatial Data Missing ⚠",VLOOKUP(V66,'G-7 WaterC'' Data'!$AK$4:$AM$6,2,FALSE)))</f>
        <v/>
      </c>
      <c r="X66" s="299" t="str">
        <f>IF(V66="","",IF(VLOOKUP(V66,'G-7 WaterC'' Data'!$AK$4:$AM$6,3,FALSE)=0,"Spatial Data Missing ⚠",VLOOKUP(V66,'G-7 WaterC'' Data'!$AK$4:$AM$6,3,FALSE)))</f>
        <v/>
      </c>
      <c r="Y66" s="311" t="str">
        <f>IFERROR(IF(OR(LEFT(P66,5)="Error",LEFT(O66,5)="Error"),"Check Data ⚠",IF(F66&lt;S66,'G-7 WaterC'' Data'!$R$3,INDEX('G-7 WaterC'' Data'!$U$5:$Y$9,MATCH(G66,'G-7 WaterC'' Data'!$T$5:$T$9,0),MATCH(T66,'G-7 WaterC'' Data'!$U$4:$Y$4,0)))),"")</f>
        <v/>
      </c>
      <c r="Z66" s="138"/>
      <c r="AA66" s="138"/>
      <c r="AB66" s="308" t="str">
        <f t="shared" si="4"/>
        <v/>
      </c>
      <c r="AC66" s="296" t="str">
        <f t="shared" si="5"/>
        <v/>
      </c>
      <c r="AD66" s="334" t="str">
        <f>IFERROR(IF(AC66="Check Data ⚠","Check Data ⚠",VLOOKUP(AC66,'G-4 Temporal multipliers'!$A$4:$C$37,3,FALSE)),"")</f>
        <v/>
      </c>
      <c r="AE66" s="311" t="str">
        <f>IF(N66="","",VLOOKUP(N66,'G-7 WaterC'' Data'!$B$4:$G$8,5,FALSE))</f>
        <v/>
      </c>
      <c r="AF66" s="295" t="str">
        <f t="shared" si="0"/>
        <v/>
      </c>
      <c r="AG66" s="295" t="str">
        <f t="shared" si="6"/>
        <v/>
      </c>
      <c r="AH66" s="276" t="str">
        <f t="shared" si="1"/>
        <v/>
      </c>
      <c r="AI66" s="105"/>
      <c r="AJ66" s="276" t="str">
        <f>IF(AI66="","",(IF(AND(AI66="N/A - Culvert",N66&lt;&gt;"Culvert"),"Not possible ▲",IF(VLOOKUP(AI66,'G-7 WaterC'' Data'!$AA$4:$AB$7,2,FALSE)=0,"Spatial Data Missing ⚠",VLOOKUP(AI66,'G-7 WaterC'' Data'!$AA$4:$AB$7,2,FALSE)))))</f>
        <v/>
      </c>
      <c r="AK66" s="106"/>
      <c r="AL66" s="310" t="str">
        <f>IF(AK66="","",IF(AND(AK66="N/A - Culvert",N66&lt;&gt;"Culvert"),"Not possible ▲",IF(VLOOKUP(AK66,'G-7 WaterC'' Data'!$AD$4:$AE$14,2,FALSE)=0,"Spatial Data Missing ⚠",VLOOKUP(AK66,'G-7 WaterC'' Data'!$AD$4:$AE$14,2,FALSE))))</f>
        <v/>
      </c>
      <c r="AM66" s="275" t="str">
        <f>IF(B66="","",VLOOKUP($B66,'F-1 Off-Site WaterC'' Baseline'!$C$9:$Z$257,17,FALSE))</f>
        <v/>
      </c>
      <c r="AN66" s="276" t="str">
        <f>IF(AM66="","",IF(VLOOKUP(AM66,'G-7 WaterC'' Data'!$AO$4:$BO$7,2,FALSE)=0,"Spatial Data Missing ⚠",VLOOKUP(AM66,'G-7 WaterC'' Data'!$AO$4:$BO$7,2,FALSE)))</f>
        <v/>
      </c>
      <c r="AO66" s="317" t="str">
        <f t="shared" si="7"/>
        <v/>
      </c>
      <c r="AP66" s="317" t="str">
        <f t="shared" si="8"/>
        <v/>
      </c>
      <c r="AQ66" s="101"/>
      <c r="AR66" s="115"/>
      <c r="AS66" s="104"/>
      <c r="AT66" s="104"/>
      <c r="AW66" s="30" t="str">
        <f>IF(E66="","",VLOOKUP($B66,'F-1 Off-Site WaterC'' Baseline'!$C$9:$Z$257,12,FALSE))</f>
        <v/>
      </c>
      <c r="AX66" s="30" t="str">
        <f>IF(E66="","",VLOOKUP($B66,'F-1 Off-Site WaterC'' Baseline'!$C$9:$Z$257,14,FALSE))</f>
        <v/>
      </c>
      <c r="AY66" s="30" t="str">
        <f>IFERROR(INDEX('G-7 WaterC'' Data'!$AZ$3:$AZ$7,MATCH(N66,'G-7 WaterC'' Data'!$AY$3:$AY$7,0)),"")</f>
        <v/>
      </c>
      <c r="AZ66" s="30" t="str">
        <f>IF(B66="","",IF(ISNA(VLOOKUP($B66,'F-1 Off-Site WaterC'' Baseline'!$C$8:$AD$257,20,FALSE)),"",(VLOOKUP($B66,'F-1 Off-Site WaterC'' Baseline'!$C$8:$AD$257,20,FALSE))))</f>
        <v/>
      </c>
      <c r="BC66" s="30" t="str">
        <f>IF(B66="","",VLOOKUP($B66,'F-1 Off-Site WaterC'' Baseline'!$C$9:$AB$257,25,FALSE))</f>
        <v/>
      </c>
      <c r="BD66" s="30" t="str">
        <f t="shared" si="9"/>
        <v/>
      </c>
      <c r="BE66" s="30" t="str">
        <f>IF(B66="","",VLOOKUP($B66,'F-1 Off-Site WaterC'' Baseline'!$C$9:$AB$257,24,FALSE))</f>
        <v/>
      </c>
      <c r="BF66" s="30" t="str">
        <f>IF(B66="","",VLOOKUP($B66,'F-1 Off-Site WaterC'' Baseline'!$C$9:$AB$257,22,FALSE))</f>
        <v/>
      </c>
      <c r="BJ66" s="30" t="str">
        <f t="shared" si="10"/>
        <v>No</v>
      </c>
    </row>
    <row r="67" spans="2:62" ht="14">
      <c r="B67" s="305" t="str">
        <f>'F-1 Off-Site WaterC'' Baseline'!AS65</f>
        <v/>
      </c>
      <c r="C67" s="295" t="str">
        <f>IF(B67="","",VLOOKUP($B67,'F-1 Off-Site WaterC'' Baseline'!$C$9:$R$257,2,FALSE))</f>
        <v/>
      </c>
      <c r="D67" s="295" t="str">
        <f>IF(C67="","",VLOOKUP($B67,'F-1 Off-Site WaterC'' Baseline'!$C$9:$R$257,3,FALSE))</f>
        <v/>
      </c>
      <c r="E67" s="295" t="str">
        <f>IF(D67="","",VLOOKUP($B67,'F-1 Off-Site WaterC'' Baseline'!$C$9:$R$257,4,FALSE))</f>
        <v/>
      </c>
      <c r="F67" s="295" t="str">
        <f>IF(E67="","",VLOOKUP($B67,'F-1 Off-Site WaterC'' Baseline'!$C$9:$R$257,5,FALSE))</f>
        <v/>
      </c>
      <c r="G67" s="295" t="str">
        <f>IF(F67="","",VLOOKUP($B67,'F-1 Off-Site WaterC'' Baseline'!$C$9:$R$257,6,FALSE))</f>
        <v/>
      </c>
      <c r="H67" s="295" t="str">
        <f>IF(G67="","",VLOOKUP($B67,'F-1 Off-Site WaterC'' Baseline'!$C$9:$R$257,7,FALSE))</f>
        <v/>
      </c>
      <c r="I67" s="295" t="str">
        <f>IF(H67="","",VLOOKUP($B67,'F-1 Off-Site WaterC'' Baseline'!$C$9:$R$257,8,FALSE))</f>
        <v/>
      </c>
      <c r="J67" s="295" t="str">
        <f>IF(I67="","",VLOOKUP($B67,'F-1 Off-Site WaterC'' Baseline'!$C$9:$R$257,9,FALSE))</f>
        <v/>
      </c>
      <c r="K67" s="295" t="str">
        <f>IF(J67="","",VLOOKUP($B67,'F-1 Off-Site WaterC'' Baseline'!$C$9:$R$257,10,FALSE))</f>
        <v/>
      </c>
      <c r="L67" s="283" t="str">
        <f>IF(B67="","",VLOOKUP($B67,'F-1 Off-Site WaterC'' Baseline'!$C$9:$R$257,15,FALSE))</f>
        <v/>
      </c>
      <c r="M67" s="299" t="str">
        <f>IF(L67="","",VLOOKUP($B67,'F-1 Off-Site WaterC'' Baseline'!$C$9:$V$257,19,FALSE))</f>
        <v/>
      </c>
      <c r="N67" s="244"/>
      <c r="O67" s="275" t="str">
        <f t="shared" si="2"/>
        <v/>
      </c>
      <c r="P67" s="276" t="str">
        <f t="shared" si="3"/>
        <v/>
      </c>
      <c r="Q67" s="281" t="str">
        <f>IF(N67="","",VLOOKUP(B67,'F-1 Off-Site WaterC'' Baseline'!$C$10:$AF$257,23,FALSE))</f>
        <v/>
      </c>
      <c r="R67" s="275" t="str">
        <f>IF(N67="","",VLOOKUP(N67,'G-7 WaterC'' Data'!$B$2:$G$8,2,FALSE))</f>
        <v/>
      </c>
      <c r="S67" s="276" t="str">
        <f>IFERROR(VLOOKUP(R67,'G-7 WaterC'' Data'!$C$4:$D$8,2,FALSE),"")</f>
        <v/>
      </c>
      <c r="T67" s="101"/>
      <c r="U67" s="276" t="str">
        <f>IFERROR(INDEX('G-7 WaterC'' Data'!$H$4:$L$8,MATCH(N67,'G-7 WaterC'' Data'!$B$4:$B$8,0),MATCH(T67,'G-7 WaterC'' Data'!$H$3:$L$3,0)),"")</f>
        <v/>
      </c>
      <c r="V67" s="105"/>
      <c r="W67" s="295" t="str">
        <f>IF(V67="","",IF(VLOOKUP(V67,'G-7 WaterC'' Data'!$AK$4:$AM$6,2,FALSE)=0,"Spatial Data Missing ⚠",VLOOKUP(V67,'G-7 WaterC'' Data'!$AK$4:$AM$6,2,FALSE)))</f>
        <v/>
      </c>
      <c r="X67" s="299" t="str">
        <f>IF(V67="","",IF(VLOOKUP(V67,'G-7 WaterC'' Data'!$AK$4:$AM$6,3,FALSE)=0,"Spatial Data Missing ⚠",VLOOKUP(V67,'G-7 WaterC'' Data'!$AK$4:$AM$6,3,FALSE)))</f>
        <v/>
      </c>
      <c r="Y67" s="311" t="str">
        <f>IFERROR(IF(OR(LEFT(P67,5)="Error",LEFT(O67,5)="Error"),"Check Data ⚠",IF(F67&lt;S67,'G-7 WaterC'' Data'!$R$3,INDEX('G-7 WaterC'' Data'!$U$5:$Y$9,MATCH(G67,'G-7 WaterC'' Data'!$T$5:$T$9,0),MATCH(T67,'G-7 WaterC'' Data'!$U$4:$Y$4,0)))),"")</f>
        <v/>
      </c>
      <c r="Z67" s="138"/>
      <c r="AA67" s="138"/>
      <c r="AB67" s="308" t="str">
        <f t="shared" si="4"/>
        <v/>
      </c>
      <c r="AC67" s="296" t="str">
        <f t="shared" si="5"/>
        <v/>
      </c>
      <c r="AD67" s="334" t="str">
        <f>IFERROR(IF(AC67="Check Data ⚠","Check Data ⚠",VLOOKUP(AC67,'G-4 Temporal multipliers'!$A$4:$C$37,3,FALSE)),"")</f>
        <v/>
      </c>
      <c r="AE67" s="311" t="str">
        <f>IF(N67="","",VLOOKUP(N67,'G-7 WaterC'' Data'!$B$4:$G$8,5,FALSE))</f>
        <v/>
      </c>
      <c r="AF67" s="295" t="str">
        <f t="shared" si="0"/>
        <v/>
      </c>
      <c r="AG67" s="295" t="str">
        <f t="shared" si="6"/>
        <v/>
      </c>
      <c r="AH67" s="276" t="str">
        <f t="shared" si="1"/>
        <v/>
      </c>
      <c r="AI67" s="105"/>
      <c r="AJ67" s="276" t="str">
        <f>IF(AI67="","",(IF(AND(AI67="N/A - Culvert",N67&lt;&gt;"Culvert"),"Not possible ▲",IF(VLOOKUP(AI67,'G-7 WaterC'' Data'!$AA$4:$AB$7,2,FALSE)=0,"Spatial Data Missing ⚠",VLOOKUP(AI67,'G-7 WaterC'' Data'!$AA$4:$AB$7,2,FALSE)))))</f>
        <v/>
      </c>
      <c r="AK67" s="106"/>
      <c r="AL67" s="310" t="str">
        <f>IF(AK67="","",IF(AND(AK67="N/A - Culvert",N67&lt;&gt;"Culvert"),"Not possible ▲",IF(VLOOKUP(AK67,'G-7 WaterC'' Data'!$AD$4:$AE$14,2,FALSE)=0,"Spatial Data Missing ⚠",VLOOKUP(AK67,'G-7 WaterC'' Data'!$AD$4:$AE$14,2,FALSE))))</f>
        <v/>
      </c>
      <c r="AM67" s="275" t="str">
        <f>IF(B67="","",VLOOKUP($B67,'F-1 Off-Site WaterC'' Baseline'!$C$9:$Z$257,17,FALSE))</f>
        <v/>
      </c>
      <c r="AN67" s="276" t="str">
        <f>IF(AM67="","",IF(VLOOKUP(AM67,'G-7 WaterC'' Data'!$AO$4:$BO$7,2,FALSE)=0,"Spatial Data Missing ⚠",VLOOKUP(AM67,'G-7 WaterC'' Data'!$AO$4:$BO$7,2,FALSE)))</f>
        <v/>
      </c>
      <c r="AO67" s="317" t="str">
        <f t="shared" si="7"/>
        <v/>
      </c>
      <c r="AP67" s="317" t="str">
        <f t="shared" si="8"/>
        <v/>
      </c>
      <c r="AQ67" s="101"/>
      <c r="AR67" s="115"/>
      <c r="AS67" s="104"/>
      <c r="AT67" s="104"/>
      <c r="AW67" s="30" t="str">
        <f>IF(E67="","",VLOOKUP($B67,'F-1 Off-Site WaterC'' Baseline'!$C$9:$Z$257,12,FALSE))</f>
        <v/>
      </c>
      <c r="AX67" s="30" t="str">
        <f>IF(E67="","",VLOOKUP($B67,'F-1 Off-Site WaterC'' Baseline'!$C$9:$Z$257,14,FALSE))</f>
        <v/>
      </c>
      <c r="AY67" s="30" t="str">
        <f>IFERROR(INDEX('G-7 WaterC'' Data'!$AZ$3:$AZ$7,MATCH(N67,'G-7 WaterC'' Data'!$AY$3:$AY$7,0)),"")</f>
        <v/>
      </c>
      <c r="AZ67" s="30" t="str">
        <f>IF(B67="","",IF(ISNA(VLOOKUP($B67,'F-1 Off-Site WaterC'' Baseline'!$C$8:$AD$257,20,FALSE)),"",(VLOOKUP($B67,'F-1 Off-Site WaterC'' Baseline'!$C$8:$AD$257,20,FALSE))))</f>
        <v/>
      </c>
      <c r="BC67" s="30" t="str">
        <f>IF(B67="","",VLOOKUP($B67,'F-1 Off-Site WaterC'' Baseline'!$C$9:$AB$257,25,FALSE))</f>
        <v/>
      </c>
      <c r="BD67" s="30" t="str">
        <f t="shared" si="9"/>
        <v/>
      </c>
      <c r="BE67" s="30" t="str">
        <f>IF(B67="","",VLOOKUP($B67,'F-1 Off-Site WaterC'' Baseline'!$C$9:$AB$257,24,FALSE))</f>
        <v/>
      </c>
      <c r="BF67" s="30" t="str">
        <f>IF(B67="","",VLOOKUP($B67,'F-1 Off-Site WaterC'' Baseline'!$C$9:$AB$257,22,FALSE))</f>
        <v/>
      </c>
      <c r="BJ67" s="30" t="str">
        <f t="shared" si="10"/>
        <v>No</v>
      </c>
    </row>
    <row r="68" spans="2:62" ht="14">
      <c r="B68" s="305" t="str">
        <f>'F-1 Off-Site WaterC'' Baseline'!AS66</f>
        <v/>
      </c>
      <c r="C68" s="295" t="str">
        <f>IF(B68="","",VLOOKUP($B68,'F-1 Off-Site WaterC'' Baseline'!$C$9:$R$257,2,FALSE))</f>
        <v/>
      </c>
      <c r="D68" s="295" t="str">
        <f>IF(C68="","",VLOOKUP($B68,'F-1 Off-Site WaterC'' Baseline'!$C$9:$R$257,3,FALSE))</f>
        <v/>
      </c>
      <c r="E68" s="295" t="str">
        <f>IF(D68="","",VLOOKUP($B68,'F-1 Off-Site WaterC'' Baseline'!$C$9:$R$257,4,FALSE))</f>
        <v/>
      </c>
      <c r="F68" s="295" t="str">
        <f>IF(E68="","",VLOOKUP($B68,'F-1 Off-Site WaterC'' Baseline'!$C$9:$R$257,5,FALSE))</f>
        <v/>
      </c>
      <c r="G68" s="295" t="str">
        <f>IF(F68="","",VLOOKUP($B68,'F-1 Off-Site WaterC'' Baseline'!$C$9:$R$257,6,FALSE))</f>
        <v/>
      </c>
      <c r="H68" s="295" t="str">
        <f>IF(G68="","",VLOOKUP($B68,'F-1 Off-Site WaterC'' Baseline'!$C$9:$R$257,7,FALSE))</f>
        <v/>
      </c>
      <c r="I68" s="295" t="str">
        <f>IF(H68="","",VLOOKUP($B68,'F-1 Off-Site WaterC'' Baseline'!$C$9:$R$257,8,FALSE))</f>
        <v/>
      </c>
      <c r="J68" s="295" t="str">
        <f>IF(I68="","",VLOOKUP($B68,'F-1 Off-Site WaterC'' Baseline'!$C$9:$R$257,9,FALSE))</f>
        <v/>
      </c>
      <c r="K68" s="295" t="str">
        <f>IF(J68="","",VLOOKUP($B68,'F-1 Off-Site WaterC'' Baseline'!$C$9:$R$257,10,FALSE))</f>
        <v/>
      </c>
      <c r="L68" s="283" t="str">
        <f>IF(B68="","",VLOOKUP($B68,'F-1 Off-Site WaterC'' Baseline'!$C$9:$R$257,15,FALSE))</f>
        <v/>
      </c>
      <c r="M68" s="299" t="str">
        <f>IF(L68="","",VLOOKUP($B68,'F-1 Off-Site WaterC'' Baseline'!$C$9:$V$257,19,FALSE))</f>
        <v/>
      </c>
      <c r="N68" s="244"/>
      <c r="O68" s="275" t="str">
        <f t="shared" si="2"/>
        <v/>
      </c>
      <c r="P68" s="276" t="str">
        <f t="shared" si="3"/>
        <v/>
      </c>
      <c r="Q68" s="281" t="str">
        <f>IF(N68="","",VLOOKUP(B68,'F-1 Off-Site WaterC'' Baseline'!$C$10:$AF$257,23,FALSE))</f>
        <v/>
      </c>
      <c r="R68" s="275" t="str">
        <f>IF(N68="","",VLOOKUP(N68,'G-7 WaterC'' Data'!$B$2:$G$8,2,FALSE))</f>
        <v/>
      </c>
      <c r="S68" s="276" t="str">
        <f>IFERROR(VLOOKUP(R68,'G-7 WaterC'' Data'!$C$4:$D$8,2,FALSE),"")</f>
        <v/>
      </c>
      <c r="T68" s="101"/>
      <c r="U68" s="276" t="str">
        <f>IFERROR(INDEX('G-7 WaterC'' Data'!$H$4:$L$8,MATCH(N68,'G-7 WaterC'' Data'!$B$4:$B$8,0),MATCH(T68,'G-7 WaterC'' Data'!$H$3:$L$3,0)),"")</f>
        <v/>
      </c>
      <c r="V68" s="105"/>
      <c r="W68" s="295" t="str">
        <f>IF(V68="","",IF(VLOOKUP(V68,'G-7 WaterC'' Data'!$AK$4:$AM$6,2,FALSE)=0,"Spatial Data Missing ⚠",VLOOKUP(V68,'G-7 WaterC'' Data'!$AK$4:$AM$6,2,FALSE)))</f>
        <v/>
      </c>
      <c r="X68" s="299" t="str">
        <f>IF(V68="","",IF(VLOOKUP(V68,'G-7 WaterC'' Data'!$AK$4:$AM$6,3,FALSE)=0,"Spatial Data Missing ⚠",VLOOKUP(V68,'G-7 WaterC'' Data'!$AK$4:$AM$6,3,FALSE)))</f>
        <v/>
      </c>
      <c r="Y68" s="311" t="str">
        <f>IFERROR(IF(OR(LEFT(P68,5)="Error",LEFT(O68,5)="Error"),"Check Data ⚠",IF(F68&lt;S68,'G-7 WaterC'' Data'!$R$3,INDEX('G-7 WaterC'' Data'!$U$5:$Y$9,MATCH(G68,'G-7 WaterC'' Data'!$T$5:$T$9,0),MATCH(T68,'G-7 WaterC'' Data'!$U$4:$Y$4,0)))),"")</f>
        <v/>
      </c>
      <c r="Z68" s="138"/>
      <c r="AA68" s="138"/>
      <c r="AB68" s="308" t="str">
        <f t="shared" si="4"/>
        <v/>
      </c>
      <c r="AC68" s="296" t="str">
        <f t="shared" si="5"/>
        <v/>
      </c>
      <c r="AD68" s="334" t="str">
        <f>IFERROR(IF(AC68="Check Data ⚠","Check Data ⚠",VLOOKUP(AC68,'G-4 Temporal multipliers'!$A$4:$C$37,3,FALSE)),"")</f>
        <v/>
      </c>
      <c r="AE68" s="311" t="str">
        <f>IF(N68="","",VLOOKUP(N68,'G-7 WaterC'' Data'!$B$4:$G$8,5,FALSE))</f>
        <v/>
      </c>
      <c r="AF68" s="295" t="str">
        <f t="shared" si="0"/>
        <v/>
      </c>
      <c r="AG68" s="295" t="str">
        <f t="shared" si="6"/>
        <v/>
      </c>
      <c r="AH68" s="276" t="str">
        <f t="shared" si="1"/>
        <v/>
      </c>
      <c r="AI68" s="105"/>
      <c r="AJ68" s="276" t="str">
        <f>IF(AI68="","",(IF(AND(AI68="N/A - Culvert",N68&lt;&gt;"Culvert"),"Not possible ▲",IF(VLOOKUP(AI68,'G-7 WaterC'' Data'!$AA$4:$AB$7,2,FALSE)=0,"Spatial Data Missing ⚠",VLOOKUP(AI68,'G-7 WaterC'' Data'!$AA$4:$AB$7,2,FALSE)))))</f>
        <v/>
      </c>
      <c r="AK68" s="106"/>
      <c r="AL68" s="310" t="str">
        <f>IF(AK68="","",IF(AND(AK68="N/A - Culvert",N68&lt;&gt;"Culvert"),"Not possible ▲",IF(VLOOKUP(AK68,'G-7 WaterC'' Data'!$AD$4:$AE$14,2,FALSE)=0,"Spatial Data Missing ⚠",VLOOKUP(AK68,'G-7 WaterC'' Data'!$AD$4:$AE$14,2,FALSE))))</f>
        <v/>
      </c>
      <c r="AM68" s="275" t="str">
        <f>IF(B68="","",VLOOKUP($B68,'F-1 Off-Site WaterC'' Baseline'!$C$9:$Z$257,17,FALSE))</f>
        <v/>
      </c>
      <c r="AN68" s="276" t="str">
        <f>IF(AM68="","",IF(VLOOKUP(AM68,'G-7 WaterC'' Data'!$AO$4:$BO$7,2,FALSE)=0,"Spatial Data Missing ⚠",VLOOKUP(AM68,'G-7 WaterC'' Data'!$AO$4:$BO$7,2,FALSE)))</f>
        <v/>
      </c>
      <c r="AO68" s="317" t="str">
        <f t="shared" si="7"/>
        <v/>
      </c>
      <c r="AP68" s="317" t="str">
        <f t="shared" si="8"/>
        <v/>
      </c>
      <c r="AQ68" s="101"/>
      <c r="AR68" s="115"/>
      <c r="AS68" s="104"/>
      <c r="AT68" s="104"/>
      <c r="AW68" s="30" t="str">
        <f>IF(E68="","",VLOOKUP($B68,'F-1 Off-Site WaterC'' Baseline'!$C$9:$Z$257,12,FALSE))</f>
        <v/>
      </c>
      <c r="AX68" s="30" t="str">
        <f>IF(E68="","",VLOOKUP($B68,'F-1 Off-Site WaterC'' Baseline'!$C$9:$Z$257,14,FALSE))</f>
        <v/>
      </c>
      <c r="AY68" s="30" t="str">
        <f>IFERROR(INDEX('G-7 WaterC'' Data'!$AZ$3:$AZ$7,MATCH(N68,'G-7 WaterC'' Data'!$AY$3:$AY$7,0)),"")</f>
        <v/>
      </c>
      <c r="AZ68" s="30" t="str">
        <f>IF(B68="","",IF(ISNA(VLOOKUP($B68,'F-1 Off-Site WaterC'' Baseline'!$C$8:$AD$257,20,FALSE)),"",(VLOOKUP($B68,'F-1 Off-Site WaterC'' Baseline'!$C$8:$AD$257,20,FALSE))))</f>
        <v/>
      </c>
      <c r="BC68" s="30" t="str">
        <f>IF(B68="","",VLOOKUP($B68,'F-1 Off-Site WaterC'' Baseline'!$C$9:$AB$257,25,FALSE))</f>
        <v/>
      </c>
      <c r="BD68" s="30" t="str">
        <f t="shared" si="9"/>
        <v/>
      </c>
      <c r="BE68" s="30" t="str">
        <f>IF(B68="","",VLOOKUP($B68,'F-1 Off-Site WaterC'' Baseline'!$C$9:$AB$257,24,FALSE))</f>
        <v/>
      </c>
      <c r="BF68" s="30" t="str">
        <f>IF(B68="","",VLOOKUP($B68,'F-1 Off-Site WaterC'' Baseline'!$C$9:$AB$257,22,FALSE))</f>
        <v/>
      </c>
      <c r="BJ68" s="30" t="str">
        <f t="shared" si="10"/>
        <v>No</v>
      </c>
    </row>
    <row r="69" spans="2:62" ht="14">
      <c r="B69" s="305" t="str">
        <f>'F-1 Off-Site WaterC'' Baseline'!AS67</f>
        <v/>
      </c>
      <c r="C69" s="295" t="str">
        <f>IF(B69="","",VLOOKUP($B69,'F-1 Off-Site WaterC'' Baseline'!$C$9:$R$257,2,FALSE))</f>
        <v/>
      </c>
      <c r="D69" s="295" t="str">
        <f>IF(C69="","",VLOOKUP($B69,'F-1 Off-Site WaterC'' Baseline'!$C$9:$R$257,3,FALSE))</f>
        <v/>
      </c>
      <c r="E69" s="295" t="str">
        <f>IF(D69="","",VLOOKUP($B69,'F-1 Off-Site WaterC'' Baseline'!$C$9:$R$257,4,FALSE))</f>
        <v/>
      </c>
      <c r="F69" s="295" t="str">
        <f>IF(E69="","",VLOOKUP($B69,'F-1 Off-Site WaterC'' Baseline'!$C$9:$R$257,5,FALSE))</f>
        <v/>
      </c>
      <c r="G69" s="295" t="str">
        <f>IF(F69="","",VLOOKUP($B69,'F-1 Off-Site WaterC'' Baseline'!$C$9:$R$257,6,FALSE))</f>
        <v/>
      </c>
      <c r="H69" s="295" t="str">
        <f>IF(G69="","",VLOOKUP($B69,'F-1 Off-Site WaterC'' Baseline'!$C$9:$R$257,7,FALSE))</f>
        <v/>
      </c>
      <c r="I69" s="295" t="str">
        <f>IF(H69="","",VLOOKUP($B69,'F-1 Off-Site WaterC'' Baseline'!$C$9:$R$257,8,FALSE))</f>
        <v/>
      </c>
      <c r="J69" s="295" t="str">
        <f>IF(I69="","",VLOOKUP($B69,'F-1 Off-Site WaterC'' Baseline'!$C$9:$R$257,9,FALSE))</f>
        <v/>
      </c>
      <c r="K69" s="295" t="str">
        <f>IF(J69="","",VLOOKUP($B69,'F-1 Off-Site WaterC'' Baseline'!$C$9:$R$257,10,FALSE))</f>
        <v/>
      </c>
      <c r="L69" s="283" t="str">
        <f>IF(B69="","",VLOOKUP($B69,'F-1 Off-Site WaterC'' Baseline'!$C$9:$R$257,15,FALSE))</f>
        <v/>
      </c>
      <c r="M69" s="299" t="str">
        <f>IF(L69="","",VLOOKUP($B69,'F-1 Off-Site WaterC'' Baseline'!$C$9:$V$257,19,FALSE))</f>
        <v/>
      </c>
      <c r="N69" s="244"/>
      <c r="O69" s="275" t="str">
        <f t="shared" si="2"/>
        <v/>
      </c>
      <c r="P69" s="276" t="str">
        <f t="shared" si="3"/>
        <v/>
      </c>
      <c r="Q69" s="281" t="str">
        <f>IF(N69="","",VLOOKUP(B69,'F-1 Off-Site WaterC'' Baseline'!$C$10:$AF$257,23,FALSE))</f>
        <v/>
      </c>
      <c r="R69" s="275" t="str">
        <f>IF(N69="","",VLOOKUP(N69,'G-7 WaterC'' Data'!$B$2:$G$8,2,FALSE))</f>
        <v/>
      </c>
      <c r="S69" s="276" t="str">
        <f>IFERROR(VLOOKUP(R69,'G-7 WaterC'' Data'!$C$4:$D$8,2,FALSE),"")</f>
        <v/>
      </c>
      <c r="T69" s="101"/>
      <c r="U69" s="276" t="str">
        <f>IFERROR(INDEX('G-7 WaterC'' Data'!$H$4:$L$8,MATCH(N69,'G-7 WaterC'' Data'!$B$4:$B$8,0),MATCH(T69,'G-7 WaterC'' Data'!$H$3:$L$3,0)),"")</f>
        <v/>
      </c>
      <c r="V69" s="105"/>
      <c r="W69" s="295" t="str">
        <f>IF(V69="","",IF(VLOOKUP(V69,'G-7 WaterC'' Data'!$AK$4:$AM$6,2,FALSE)=0,"Spatial Data Missing ⚠",VLOOKUP(V69,'G-7 WaterC'' Data'!$AK$4:$AM$6,2,FALSE)))</f>
        <v/>
      </c>
      <c r="X69" s="299" t="str">
        <f>IF(V69="","",IF(VLOOKUP(V69,'G-7 WaterC'' Data'!$AK$4:$AM$6,3,FALSE)=0,"Spatial Data Missing ⚠",VLOOKUP(V69,'G-7 WaterC'' Data'!$AK$4:$AM$6,3,FALSE)))</f>
        <v/>
      </c>
      <c r="Y69" s="311" t="str">
        <f>IFERROR(IF(OR(LEFT(P69,5)="Error",LEFT(O69,5)="Error"),"Check Data ⚠",IF(F69&lt;S69,'G-7 WaterC'' Data'!$R$3,INDEX('G-7 WaterC'' Data'!$U$5:$Y$9,MATCH(G69,'G-7 WaterC'' Data'!$T$5:$T$9,0),MATCH(T69,'G-7 WaterC'' Data'!$U$4:$Y$4,0)))),"")</f>
        <v/>
      </c>
      <c r="Z69" s="138"/>
      <c r="AA69" s="138"/>
      <c r="AB69" s="308" t="str">
        <f t="shared" si="4"/>
        <v/>
      </c>
      <c r="AC69" s="296" t="str">
        <f t="shared" si="5"/>
        <v/>
      </c>
      <c r="AD69" s="334" t="str">
        <f>IFERROR(IF(AC69="Check Data ⚠","Check Data ⚠",VLOOKUP(AC69,'G-4 Temporal multipliers'!$A$4:$C$37,3,FALSE)),"")</f>
        <v/>
      </c>
      <c r="AE69" s="311" t="str">
        <f>IF(N69="","",VLOOKUP(N69,'G-7 WaterC'' Data'!$B$4:$G$8,5,FALSE))</f>
        <v/>
      </c>
      <c r="AF69" s="295" t="str">
        <f t="shared" si="0"/>
        <v/>
      </c>
      <c r="AG69" s="295" t="str">
        <f t="shared" si="6"/>
        <v/>
      </c>
      <c r="AH69" s="276" t="str">
        <f t="shared" si="1"/>
        <v/>
      </c>
      <c r="AI69" s="105"/>
      <c r="AJ69" s="276" t="str">
        <f>IF(AI69="","",(IF(AND(AI69="N/A - Culvert",N69&lt;&gt;"Culvert"),"Not possible ▲",IF(VLOOKUP(AI69,'G-7 WaterC'' Data'!$AA$4:$AB$7,2,FALSE)=0,"Spatial Data Missing ⚠",VLOOKUP(AI69,'G-7 WaterC'' Data'!$AA$4:$AB$7,2,FALSE)))))</f>
        <v/>
      </c>
      <c r="AK69" s="106"/>
      <c r="AL69" s="310" t="str">
        <f>IF(AK69="","",IF(AND(AK69="N/A - Culvert",N69&lt;&gt;"Culvert"),"Not possible ▲",IF(VLOOKUP(AK69,'G-7 WaterC'' Data'!$AD$4:$AE$14,2,FALSE)=0,"Spatial Data Missing ⚠",VLOOKUP(AK69,'G-7 WaterC'' Data'!$AD$4:$AE$14,2,FALSE))))</f>
        <v/>
      </c>
      <c r="AM69" s="275" t="str">
        <f>IF(B69="","",VLOOKUP($B69,'F-1 Off-Site WaterC'' Baseline'!$C$9:$Z$257,17,FALSE))</f>
        <v/>
      </c>
      <c r="AN69" s="276" t="str">
        <f>IF(AM69="","",IF(VLOOKUP(AM69,'G-7 WaterC'' Data'!$AO$4:$BO$7,2,FALSE)=0,"Spatial Data Missing ⚠",VLOOKUP(AM69,'G-7 WaterC'' Data'!$AO$4:$BO$7,2,FALSE)))</f>
        <v/>
      </c>
      <c r="AO69" s="317" t="str">
        <f t="shared" si="7"/>
        <v/>
      </c>
      <c r="AP69" s="317" t="str">
        <f t="shared" si="8"/>
        <v/>
      </c>
      <c r="AQ69" s="101"/>
      <c r="AR69" s="115"/>
      <c r="AS69" s="104"/>
      <c r="AT69" s="104"/>
      <c r="AW69" s="30" t="str">
        <f>IF(E69="","",VLOOKUP($B69,'F-1 Off-Site WaterC'' Baseline'!$C$9:$Z$257,12,FALSE))</f>
        <v/>
      </c>
      <c r="AX69" s="30" t="str">
        <f>IF(E69="","",VLOOKUP($B69,'F-1 Off-Site WaterC'' Baseline'!$C$9:$Z$257,14,FALSE))</f>
        <v/>
      </c>
      <c r="AY69" s="30" t="str">
        <f>IFERROR(INDEX('G-7 WaterC'' Data'!$AZ$3:$AZ$7,MATCH(N69,'G-7 WaterC'' Data'!$AY$3:$AY$7,0)),"")</f>
        <v/>
      </c>
      <c r="AZ69" s="30" t="str">
        <f>IF(B69="","",IF(ISNA(VLOOKUP($B69,'F-1 Off-Site WaterC'' Baseline'!$C$8:$AD$257,20,FALSE)),"",(VLOOKUP($B69,'F-1 Off-Site WaterC'' Baseline'!$C$8:$AD$257,20,FALSE))))</f>
        <v/>
      </c>
      <c r="BC69" s="30" t="str">
        <f>IF(B69="","",VLOOKUP($B69,'F-1 Off-Site WaterC'' Baseline'!$C$9:$AB$257,25,FALSE))</f>
        <v/>
      </c>
      <c r="BD69" s="30" t="str">
        <f t="shared" si="9"/>
        <v/>
      </c>
      <c r="BE69" s="30" t="str">
        <f>IF(B69="","",VLOOKUP($B69,'F-1 Off-Site WaterC'' Baseline'!$C$9:$AB$257,24,FALSE))</f>
        <v/>
      </c>
      <c r="BF69" s="30" t="str">
        <f>IF(B69="","",VLOOKUP($B69,'F-1 Off-Site WaterC'' Baseline'!$C$9:$AB$257,22,FALSE))</f>
        <v/>
      </c>
      <c r="BJ69" s="30" t="str">
        <f t="shared" si="10"/>
        <v>No</v>
      </c>
    </row>
    <row r="70" spans="2:62" ht="14">
      <c r="B70" s="305" t="str">
        <f>'F-1 Off-Site WaterC'' Baseline'!AS68</f>
        <v/>
      </c>
      <c r="C70" s="295" t="str">
        <f>IF(B70="","",VLOOKUP($B70,'F-1 Off-Site WaterC'' Baseline'!$C$9:$R$257,2,FALSE))</f>
        <v/>
      </c>
      <c r="D70" s="295" t="str">
        <f>IF(C70="","",VLOOKUP($B70,'F-1 Off-Site WaterC'' Baseline'!$C$9:$R$257,3,FALSE))</f>
        <v/>
      </c>
      <c r="E70" s="295" t="str">
        <f>IF(D70="","",VLOOKUP($B70,'F-1 Off-Site WaterC'' Baseline'!$C$9:$R$257,4,FALSE))</f>
        <v/>
      </c>
      <c r="F70" s="295" t="str">
        <f>IF(E70="","",VLOOKUP($B70,'F-1 Off-Site WaterC'' Baseline'!$C$9:$R$257,5,FALSE))</f>
        <v/>
      </c>
      <c r="G70" s="295" t="str">
        <f>IF(F70="","",VLOOKUP($B70,'F-1 Off-Site WaterC'' Baseline'!$C$9:$R$257,6,FALSE))</f>
        <v/>
      </c>
      <c r="H70" s="295" t="str">
        <f>IF(G70="","",VLOOKUP($B70,'F-1 Off-Site WaterC'' Baseline'!$C$9:$R$257,7,FALSE))</f>
        <v/>
      </c>
      <c r="I70" s="295" t="str">
        <f>IF(H70="","",VLOOKUP($B70,'F-1 Off-Site WaterC'' Baseline'!$C$9:$R$257,8,FALSE))</f>
        <v/>
      </c>
      <c r="J70" s="295" t="str">
        <f>IF(I70="","",VLOOKUP($B70,'F-1 Off-Site WaterC'' Baseline'!$C$9:$R$257,9,FALSE))</f>
        <v/>
      </c>
      <c r="K70" s="295" t="str">
        <f>IF(J70="","",VLOOKUP($B70,'F-1 Off-Site WaterC'' Baseline'!$C$9:$R$257,10,FALSE))</f>
        <v/>
      </c>
      <c r="L70" s="283" t="str">
        <f>IF(B70="","",VLOOKUP($B70,'F-1 Off-Site WaterC'' Baseline'!$C$9:$R$257,15,FALSE))</f>
        <v/>
      </c>
      <c r="M70" s="299" t="str">
        <f>IF(L70="","",VLOOKUP($B70,'F-1 Off-Site WaterC'' Baseline'!$C$9:$V$257,19,FALSE))</f>
        <v/>
      </c>
      <c r="N70" s="244"/>
      <c r="O70" s="275" t="str">
        <f t="shared" si="2"/>
        <v/>
      </c>
      <c r="P70" s="276" t="str">
        <f t="shared" si="3"/>
        <v/>
      </c>
      <c r="Q70" s="281" t="str">
        <f>IF(N70="","",VLOOKUP(B70,'F-1 Off-Site WaterC'' Baseline'!$C$10:$AF$257,23,FALSE))</f>
        <v/>
      </c>
      <c r="R70" s="275" t="str">
        <f>IF(N70="","",VLOOKUP(N70,'G-7 WaterC'' Data'!$B$2:$G$8,2,FALSE))</f>
        <v/>
      </c>
      <c r="S70" s="276" t="str">
        <f>IFERROR(VLOOKUP(R70,'G-7 WaterC'' Data'!$C$4:$D$8,2,FALSE),"")</f>
        <v/>
      </c>
      <c r="T70" s="101"/>
      <c r="U70" s="276" t="str">
        <f>IFERROR(INDEX('G-7 WaterC'' Data'!$H$4:$L$8,MATCH(N70,'G-7 WaterC'' Data'!$B$4:$B$8,0),MATCH(T70,'G-7 WaterC'' Data'!$H$3:$L$3,0)),"")</f>
        <v/>
      </c>
      <c r="V70" s="105"/>
      <c r="W70" s="295" t="str">
        <f>IF(V70="","",IF(VLOOKUP(V70,'G-7 WaterC'' Data'!$AK$4:$AM$6,2,FALSE)=0,"Spatial Data Missing ⚠",VLOOKUP(V70,'G-7 WaterC'' Data'!$AK$4:$AM$6,2,FALSE)))</f>
        <v/>
      </c>
      <c r="X70" s="299" t="str">
        <f>IF(V70="","",IF(VLOOKUP(V70,'G-7 WaterC'' Data'!$AK$4:$AM$6,3,FALSE)=0,"Spatial Data Missing ⚠",VLOOKUP(V70,'G-7 WaterC'' Data'!$AK$4:$AM$6,3,FALSE)))</f>
        <v/>
      </c>
      <c r="Y70" s="311" t="str">
        <f>IFERROR(IF(OR(LEFT(P70,5)="Error",LEFT(O70,5)="Error"),"Check Data ⚠",IF(F70&lt;S70,'G-7 WaterC'' Data'!$R$3,INDEX('G-7 WaterC'' Data'!$U$5:$Y$9,MATCH(G70,'G-7 WaterC'' Data'!$T$5:$T$9,0),MATCH(T70,'G-7 WaterC'' Data'!$U$4:$Y$4,0)))),"")</f>
        <v/>
      </c>
      <c r="Z70" s="138"/>
      <c r="AA70" s="138"/>
      <c r="AB70" s="308" t="str">
        <f t="shared" si="4"/>
        <v/>
      </c>
      <c r="AC70" s="296" t="str">
        <f t="shared" si="5"/>
        <v/>
      </c>
      <c r="AD70" s="334" t="str">
        <f>IFERROR(IF(AC70="Check Data ⚠","Check Data ⚠",VLOOKUP(AC70,'G-4 Temporal multipliers'!$A$4:$C$37,3,FALSE)),"")</f>
        <v/>
      </c>
      <c r="AE70" s="311" t="str">
        <f>IF(N70="","",VLOOKUP(N70,'G-7 WaterC'' Data'!$B$4:$G$8,5,FALSE))</f>
        <v/>
      </c>
      <c r="AF70" s="295" t="str">
        <f t="shared" si="0"/>
        <v/>
      </c>
      <c r="AG70" s="295" t="str">
        <f t="shared" si="6"/>
        <v/>
      </c>
      <c r="AH70" s="276" t="str">
        <f t="shared" si="1"/>
        <v/>
      </c>
      <c r="AI70" s="105"/>
      <c r="AJ70" s="276" t="str">
        <f>IF(AI70="","",(IF(AND(AI70="N/A - Culvert",N70&lt;&gt;"Culvert"),"Not possible ▲",IF(VLOOKUP(AI70,'G-7 WaterC'' Data'!$AA$4:$AB$7,2,FALSE)=0,"Spatial Data Missing ⚠",VLOOKUP(AI70,'G-7 WaterC'' Data'!$AA$4:$AB$7,2,FALSE)))))</f>
        <v/>
      </c>
      <c r="AK70" s="106"/>
      <c r="AL70" s="310" t="str">
        <f>IF(AK70="","",IF(AND(AK70="N/A - Culvert",N70&lt;&gt;"Culvert"),"Not possible ▲",IF(VLOOKUP(AK70,'G-7 WaterC'' Data'!$AD$4:$AE$14,2,FALSE)=0,"Spatial Data Missing ⚠",VLOOKUP(AK70,'G-7 WaterC'' Data'!$AD$4:$AE$14,2,FALSE))))</f>
        <v/>
      </c>
      <c r="AM70" s="275" t="str">
        <f>IF(B70="","",VLOOKUP($B70,'F-1 Off-Site WaterC'' Baseline'!$C$9:$Z$257,17,FALSE))</f>
        <v/>
      </c>
      <c r="AN70" s="276" t="str">
        <f>IF(AM70="","",IF(VLOOKUP(AM70,'G-7 WaterC'' Data'!$AO$4:$BO$7,2,FALSE)=0,"Spatial Data Missing ⚠",VLOOKUP(AM70,'G-7 WaterC'' Data'!$AO$4:$BO$7,2,FALSE)))</f>
        <v/>
      </c>
      <c r="AO70" s="317" t="str">
        <f t="shared" si="7"/>
        <v/>
      </c>
      <c r="AP70" s="317" t="str">
        <f t="shared" si="8"/>
        <v/>
      </c>
      <c r="AQ70" s="101"/>
      <c r="AR70" s="115"/>
      <c r="AS70" s="104"/>
      <c r="AT70" s="104"/>
      <c r="AW70" s="30" t="str">
        <f>IF(E70="","",VLOOKUP($B70,'F-1 Off-Site WaterC'' Baseline'!$C$9:$Z$257,12,FALSE))</f>
        <v/>
      </c>
      <c r="AX70" s="30" t="str">
        <f>IF(E70="","",VLOOKUP($B70,'F-1 Off-Site WaterC'' Baseline'!$C$9:$Z$257,14,FALSE))</f>
        <v/>
      </c>
      <c r="AY70" s="30" t="str">
        <f>IFERROR(INDEX('G-7 WaterC'' Data'!$AZ$3:$AZ$7,MATCH(N70,'G-7 WaterC'' Data'!$AY$3:$AY$7,0)),"")</f>
        <v/>
      </c>
      <c r="AZ70" s="30" t="str">
        <f>IF(B70="","",IF(ISNA(VLOOKUP($B70,'F-1 Off-Site WaterC'' Baseline'!$C$8:$AD$257,20,FALSE)),"",(VLOOKUP($B70,'F-1 Off-Site WaterC'' Baseline'!$C$8:$AD$257,20,FALSE))))</f>
        <v/>
      </c>
      <c r="BC70" s="30" t="str">
        <f>IF(B70="","",VLOOKUP($B70,'F-1 Off-Site WaterC'' Baseline'!$C$9:$AB$257,25,FALSE))</f>
        <v/>
      </c>
      <c r="BD70" s="30" t="str">
        <f t="shared" si="9"/>
        <v/>
      </c>
      <c r="BE70" s="30" t="str">
        <f>IF(B70="","",VLOOKUP($B70,'F-1 Off-Site WaterC'' Baseline'!$C$9:$AB$257,24,FALSE))</f>
        <v/>
      </c>
      <c r="BF70" s="30" t="str">
        <f>IF(B70="","",VLOOKUP($B70,'F-1 Off-Site WaterC'' Baseline'!$C$9:$AB$257,22,FALSE))</f>
        <v/>
      </c>
      <c r="BJ70" s="30" t="str">
        <f t="shared" si="10"/>
        <v>No</v>
      </c>
    </row>
    <row r="71" spans="2:62" ht="14">
      <c r="B71" s="305" t="str">
        <f>'F-1 Off-Site WaterC'' Baseline'!AS69</f>
        <v/>
      </c>
      <c r="C71" s="295" t="str">
        <f>IF(B71="","",VLOOKUP($B71,'F-1 Off-Site WaterC'' Baseline'!$C$9:$R$257,2,FALSE))</f>
        <v/>
      </c>
      <c r="D71" s="295" t="str">
        <f>IF(C71="","",VLOOKUP($B71,'F-1 Off-Site WaterC'' Baseline'!$C$9:$R$257,3,FALSE))</f>
        <v/>
      </c>
      <c r="E71" s="295" t="str">
        <f>IF(D71="","",VLOOKUP($B71,'F-1 Off-Site WaterC'' Baseline'!$C$9:$R$257,4,FALSE))</f>
        <v/>
      </c>
      <c r="F71" s="295" t="str">
        <f>IF(E71="","",VLOOKUP($B71,'F-1 Off-Site WaterC'' Baseline'!$C$9:$R$257,5,FALSE))</f>
        <v/>
      </c>
      <c r="G71" s="295" t="str">
        <f>IF(F71="","",VLOOKUP($B71,'F-1 Off-Site WaterC'' Baseline'!$C$9:$R$257,6,FALSE))</f>
        <v/>
      </c>
      <c r="H71" s="295" t="str">
        <f>IF(G71="","",VLOOKUP($B71,'F-1 Off-Site WaterC'' Baseline'!$C$9:$R$257,7,FALSE))</f>
        <v/>
      </c>
      <c r="I71" s="295" t="str">
        <f>IF(H71="","",VLOOKUP($B71,'F-1 Off-Site WaterC'' Baseline'!$C$9:$R$257,8,FALSE))</f>
        <v/>
      </c>
      <c r="J71" s="295" t="str">
        <f>IF(I71="","",VLOOKUP($B71,'F-1 Off-Site WaterC'' Baseline'!$C$9:$R$257,9,FALSE))</f>
        <v/>
      </c>
      <c r="K71" s="295" t="str">
        <f>IF(J71="","",VLOOKUP($B71,'F-1 Off-Site WaterC'' Baseline'!$C$9:$R$257,10,FALSE))</f>
        <v/>
      </c>
      <c r="L71" s="283" t="str">
        <f>IF(B71="","",VLOOKUP($B71,'F-1 Off-Site WaterC'' Baseline'!$C$9:$R$257,15,FALSE))</f>
        <v/>
      </c>
      <c r="M71" s="299" t="str">
        <f>IF(L71="","",VLOOKUP($B71,'F-1 Off-Site WaterC'' Baseline'!$C$9:$V$257,19,FALSE))</f>
        <v/>
      </c>
      <c r="N71" s="244"/>
      <c r="O71" s="275" t="str">
        <f t="shared" si="2"/>
        <v/>
      </c>
      <c r="P71" s="276" t="str">
        <f t="shared" si="3"/>
        <v/>
      </c>
      <c r="Q71" s="281" t="str">
        <f>IF(N71="","",VLOOKUP(B71,'F-1 Off-Site WaterC'' Baseline'!$C$10:$AF$257,23,FALSE))</f>
        <v/>
      </c>
      <c r="R71" s="275" t="str">
        <f>IF(N71="","",VLOOKUP(N71,'G-7 WaterC'' Data'!$B$2:$G$8,2,FALSE))</f>
        <v/>
      </c>
      <c r="S71" s="276" t="str">
        <f>IFERROR(VLOOKUP(R71,'G-7 WaterC'' Data'!$C$4:$D$8,2,FALSE),"")</f>
        <v/>
      </c>
      <c r="T71" s="101"/>
      <c r="U71" s="276" t="str">
        <f>IFERROR(INDEX('G-7 WaterC'' Data'!$H$4:$L$8,MATCH(N71,'G-7 WaterC'' Data'!$B$4:$B$8,0),MATCH(T71,'G-7 WaterC'' Data'!$H$3:$L$3,0)),"")</f>
        <v/>
      </c>
      <c r="V71" s="105"/>
      <c r="W71" s="295" t="str">
        <f>IF(V71="","",IF(VLOOKUP(V71,'G-7 WaterC'' Data'!$AK$4:$AM$6,2,FALSE)=0,"Spatial Data Missing ⚠",VLOOKUP(V71,'G-7 WaterC'' Data'!$AK$4:$AM$6,2,FALSE)))</f>
        <v/>
      </c>
      <c r="X71" s="299" t="str">
        <f>IF(V71="","",IF(VLOOKUP(V71,'G-7 WaterC'' Data'!$AK$4:$AM$6,3,FALSE)=0,"Spatial Data Missing ⚠",VLOOKUP(V71,'G-7 WaterC'' Data'!$AK$4:$AM$6,3,FALSE)))</f>
        <v/>
      </c>
      <c r="Y71" s="311" t="str">
        <f>IFERROR(IF(OR(LEFT(P71,5)="Error",LEFT(O71,5)="Error"),"Check Data ⚠",IF(F71&lt;S71,'G-7 WaterC'' Data'!$R$3,INDEX('G-7 WaterC'' Data'!$U$5:$Y$9,MATCH(G71,'G-7 WaterC'' Data'!$T$5:$T$9,0),MATCH(T71,'G-7 WaterC'' Data'!$U$4:$Y$4,0)))),"")</f>
        <v/>
      </c>
      <c r="Z71" s="138"/>
      <c r="AA71" s="138"/>
      <c r="AB71" s="308" t="str">
        <f t="shared" si="4"/>
        <v/>
      </c>
      <c r="AC71" s="296" t="str">
        <f t="shared" si="5"/>
        <v/>
      </c>
      <c r="AD71" s="334" t="str">
        <f>IFERROR(IF(AC71="Check Data ⚠","Check Data ⚠",VLOOKUP(AC71,'G-4 Temporal multipliers'!$A$4:$C$37,3,FALSE)),"")</f>
        <v/>
      </c>
      <c r="AE71" s="311" t="str">
        <f>IF(N71="","",VLOOKUP(N71,'G-7 WaterC'' Data'!$B$4:$G$8,5,FALSE))</f>
        <v/>
      </c>
      <c r="AF71" s="295" t="str">
        <f t="shared" si="0"/>
        <v/>
      </c>
      <c r="AG71" s="295" t="str">
        <f t="shared" si="6"/>
        <v/>
      </c>
      <c r="AH71" s="276" t="str">
        <f t="shared" si="1"/>
        <v/>
      </c>
      <c r="AI71" s="105"/>
      <c r="AJ71" s="276" t="str">
        <f>IF(AI71="","",(IF(AND(AI71="N/A - Culvert",N71&lt;&gt;"Culvert"),"Not possible ▲",IF(VLOOKUP(AI71,'G-7 WaterC'' Data'!$AA$4:$AB$7,2,FALSE)=0,"Spatial Data Missing ⚠",VLOOKUP(AI71,'G-7 WaterC'' Data'!$AA$4:$AB$7,2,FALSE)))))</f>
        <v/>
      </c>
      <c r="AK71" s="106"/>
      <c r="AL71" s="310" t="str">
        <f>IF(AK71="","",IF(AND(AK71="N/A - Culvert",N71&lt;&gt;"Culvert"),"Not possible ▲",IF(VLOOKUP(AK71,'G-7 WaterC'' Data'!$AD$4:$AE$14,2,FALSE)=0,"Spatial Data Missing ⚠",VLOOKUP(AK71,'G-7 WaterC'' Data'!$AD$4:$AE$14,2,FALSE))))</f>
        <v/>
      </c>
      <c r="AM71" s="275" t="str">
        <f>IF(B71="","",VLOOKUP($B71,'F-1 Off-Site WaterC'' Baseline'!$C$9:$Z$257,17,FALSE))</f>
        <v/>
      </c>
      <c r="AN71" s="276" t="str">
        <f>IF(AM71="","",IF(VLOOKUP(AM71,'G-7 WaterC'' Data'!$AO$4:$BO$7,2,FALSE)=0,"Spatial Data Missing ⚠",VLOOKUP(AM71,'G-7 WaterC'' Data'!$AO$4:$BO$7,2,FALSE)))</f>
        <v/>
      </c>
      <c r="AO71" s="317" t="str">
        <f t="shared" si="7"/>
        <v/>
      </c>
      <c r="AP71" s="317" t="str">
        <f t="shared" si="8"/>
        <v/>
      </c>
      <c r="AQ71" s="101"/>
      <c r="AR71" s="115"/>
      <c r="AS71" s="104"/>
      <c r="AT71" s="104"/>
      <c r="AW71" s="30" t="str">
        <f>IF(E71="","",VLOOKUP($B71,'F-1 Off-Site WaterC'' Baseline'!$C$9:$Z$257,12,FALSE))</f>
        <v/>
      </c>
      <c r="AX71" s="30" t="str">
        <f>IF(E71="","",VLOOKUP($B71,'F-1 Off-Site WaterC'' Baseline'!$C$9:$Z$257,14,FALSE))</f>
        <v/>
      </c>
      <c r="AY71" s="30" t="str">
        <f>IFERROR(INDEX('G-7 WaterC'' Data'!$AZ$3:$AZ$7,MATCH(N71,'G-7 WaterC'' Data'!$AY$3:$AY$7,0)),"")</f>
        <v/>
      </c>
      <c r="AZ71" s="30" t="str">
        <f>IF(B71="","",IF(ISNA(VLOOKUP($B71,'F-1 Off-Site WaterC'' Baseline'!$C$8:$AD$257,20,FALSE)),"",(VLOOKUP($B71,'F-1 Off-Site WaterC'' Baseline'!$C$8:$AD$257,20,FALSE))))</f>
        <v/>
      </c>
      <c r="BC71" s="30" t="str">
        <f>IF(B71="","",VLOOKUP($B71,'F-1 Off-Site WaterC'' Baseline'!$C$9:$AB$257,25,FALSE))</f>
        <v/>
      </c>
      <c r="BD71" s="30" t="str">
        <f t="shared" si="9"/>
        <v/>
      </c>
      <c r="BE71" s="30" t="str">
        <f>IF(B71="","",VLOOKUP($B71,'F-1 Off-Site WaterC'' Baseline'!$C$9:$AB$257,24,FALSE))</f>
        <v/>
      </c>
      <c r="BF71" s="30" t="str">
        <f>IF(B71="","",VLOOKUP($B71,'F-1 Off-Site WaterC'' Baseline'!$C$9:$AB$257,22,FALSE))</f>
        <v/>
      </c>
      <c r="BJ71" s="30" t="str">
        <f t="shared" si="10"/>
        <v>No</v>
      </c>
    </row>
    <row r="72" spans="2:62" ht="14">
      <c r="B72" s="305" t="str">
        <f>'F-1 Off-Site WaterC'' Baseline'!AS70</f>
        <v/>
      </c>
      <c r="C72" s="295" t="str">
        <f>IF(B72="","",VLOOKUP($B72,'F-1 Off-Site WaterC'' Baseline'!$C$9:$R$257,2,FALSE))</f>
        <v/>
      </c>
      <c r="D72" s="295" t="str">
        <f>IF(C72="","",VLOOKUP($B72,'F-1 Off-Site WaterC'' Baseline'!$C$9:$R$257,3,FALSE))</f>
        <v/>
      </c>
      <c r="E72" s="295" t="str">
        <f>IF(D72="","",VLOOKUP($B72,'F-1 Off-Site WaterC'' Baseline'!$C$9:$R$257,4,FALSE))</f>
        <v/>
      </c>
      <c r="F72" s="295" t="str">
        <f>IF(E72="","",VLOOKUP($B72,'F-1 Off-Site WaterC'' Baseline'!$C$9:$R$257,5,FALSE))</f>
        <v/>
      </c>
      <c r="G72" s="295" t="str">
        <f>IF(F72="","",VLOOKUP($B72,'F-1 Off-Site WaterC'' Baseline'!$C$9:$R$257,6,FALSE))</f>
        <v/>
      </c>
      <c r="H72" s="295" t="str">
        <f>IF(G72="","",VLOOKUP($B72,'F-1 Off-Site WaterC'' Baseline'!$C$9:$R$257,7,FALSE))</f>
        <v/>
      </c>
      <c r="I72" s="295" t="str">
        <f>IF(H72="","",VLOOKUP($B72,'F-1 Off-Site WaterC'' Baseline'!$C$9:$R$257,8,FALSE))</f>
        <v/>
      </c>
      <c r="J72" s="295" t="str">
        <f>IF(I72="","",VLOOKUP($B72,'F-1 Off-Site WaterC'' Baseline'!$C$9:$R$257,9,FALSE))</f>
        <v/>
      </c>
      <c r="K72" s="295" t="str">
        <f>IF(J72="","",VLOOKUP($B72,'F-1 Off-Site WaterC'' Baseline'!$C$9:$R$257,10,FALSE))</f>
        <v/>
      </c>
      <c r="L72" s="283" t="str">
        <f>IF(B72="","",VLOOKUP($B72,'F-1 Off-Site WaterC'' Baseline'!$C$9:$R$257,15,FALSE))</f>
        <v/>
      </c>
      <c r="M72" s="299" t="str">
        <f>IF(L72="","",VLOOKUP($B72,'F-1 Off-Site WaterC'' Baseline'!$C$9:$V$257,19,FALSE))</f>
        <v/>
      </c>
      <c r="N72" s="244"/>
      <c r="O72" s="275" t="str">
        <f t="shared" si="2"/>
        <v/>
      </c>
      <c r="P72" s="276" t="str">
        <f t="shared" si="3"/>
        <v/>
      </c>
      <c r="Q72" s="281" t="str">
        <f>IF(N72="","",VLOOKUP(B72,'F-1 Off-Site WaterC'' Baseline'!$C$10:$AF$257,23,FALSE))</f>
        <v/>
      </c>
      <c r="R72" s="275" t="str">
        <f>IF(N72="","",VLOOKUP(N72,'G-7 WaterC'' Data'!$B$2:$G$8,2,FALSE))</f>
        <v/>
      </c>
      <c r="S72" s="276" t="str">
        <f>IFERROR(VLOOKUP(R72,'G-7 WaterC'' Data'!$C$4:$D$8,2,FALSE),"")</f>
        <v/>
      </c>
      <c r="T72" s="101"/>
      <c r="U72" s="276" t="str">
        <f>IFERROR(INDEX('G-7 WaterC'' Data'!$H$4:$L$8,MATCH(N72,'G-7 WaterC'' Data'!$B$4:$B$8,0),MATCH(T72,'G-7 WaterC'' Data'!$H$3:$L$3,0)),"")</f>
        <v/>
      </c>
      <c r="V72" s="105"/>
      <c r="W72" s="295" t="str">
        <f>IF(V72="","",IF(VLOOKUP(V72,'G-7 WaterC'' Data'!$AK$4:$AM$6,2,FALSE)=0,"Spatial Data Missing ⚠",VLOOKUP(V72,'G-7 WaterC'' Data'!$AK$4:$AM$6,2,FALSE)))</f>
        <v/>
      </c>
      <c r="X72" s="299" t="str">
        <f>IF(V72="","",IF(VLOOKUP(V72,'G-7 WaterC'' Data'!$AK$4:$AM$6,3,FALSE)=0,"Spatial Data Missing ⚠",VLOOKUP(V72,'G-7 WaterC'' Data'!$AK$4:$AM$6,3,FALSE)))</f>
        <v/>
      </c>
      <c r="Y72" s="311" t="str">
        <f>IFERROR(IF(OR(LEFT(P72,5)="Error",LEFT(O72,5)="Error"),"Check Data ⚠",IF(F72&lt;S72,'G-7 WaterC'' Data'!$R$3,INDEX('G-7 WaterC'' Data'!$U$5:$Y$9,MATCH(G72,'G-7 WaterC'' Data'!$T$5:$T$9,0),MATCH(T72,'G-7 WaterC'' Data'!$U$4:$Y$4,0)))),"")</f>
        <v/>
      </c>
      <c r="Z72" s="138"/>
      <c r="AA72" s="138"/>
      <c r="AB72" s="308" t="str">
        <f t="shared" si="4"/>
        <v/>
      </c>
      <c r="AC72" s="296" t="str">
        <f t="shared" si="5"/>
        <v/>
      </c>
      <c r="AD72" s="334" t="str">
        <f>IFERROR(IF(AC72="Check Data ⚠","Check Data ⚠",VLOOKUP(AC72,'G-4 Temporal multipliers'!$A$4:$C$37,3,FALSE)),"")</f>
        <v/>
      </c>
      <c r="AE72" s="311" t="str">
        <f>IF(N72="","",VLOOKUP(N72,'G-7 WaterC'' Data'!$B$4:$G$8,5,FALSE))</f>
        <v/>
      </c>
      <c r="AF72" s="295" t="str">
        <f t="shared" si="0"/>
        <v/>
      </c>
      <c r="AG72" s="295" t="str">
        <f t="shared" si="6"/>
        <v/>
      </c>
      <c r="AH72" s="276" t="str">
        <f t="shared" si="1"/>
        <v/>
      </c>
      <c r="AI72" s="105"/>
      <c r="AJ72" s="276" t="str">
        <f>IF(AI72="","",(IF(AND(AI72="N/A - Culvert",N72&lt;&gt;"Culvert"),"Not possible ▲",IF(VLOOKUP(AI72,'G-7 WaterC'' Data'!$AA$4:$AB$7,2,FALSE)=0,"Spatial Data Missing ⚠",VLOOKUP(AI72,'G-7 WaterC'' Data'!$AA$4:$AB$7,2,FALSE)))))</f>
        <v/>
      </c>
      <c r="AK72" s="106"/>
      <c r="AL72" s="310" t="str">
        <f>IF(AK72="","",IF(AND(AK72="N/A - Culvert",N72&lt;&gt;"Culvert"),"Not possible ▲",IF(VLOOKUP(AK72,'G-7 WaterC'' Data'!$AD$4:$AE$14,2,FALSE)=0,"Spatial Data Missing ⚠",VLOOKUP(AK72,'G-7 WaterC'' Data'!$AD$4:$AE$14,2,FALSE))))</f>
        <v/>
      </c>
      <c r="AM72" s="275" t="str">
        <f>IF(B72="","",VLOOKUP($B72,'F-1 Off-Site WaterC'' Baseline'!$C$9:$Z$257,17,FALSE))</f>
        <v/>
      </c>
      <c r="AN72" s="276" t="str">
        <f>IF(AM72="","",IF(VLOOKUP(AM72,'G-7 WaterC'' Data'!$AO$4:$BO$7,2,FALSE)=0,"Spatial Data Missing ⚠",VLOOKUP(AM72,'G-7 WaterC'' Data'!$AO$4:$BO$7,2,FALSE)))</f>
        <v/>
      </c>
      <c r="AO72" s="317" t="str">
        <f t="shared" si="7"/>
        <v/>
      </c>
      <c r="AP72" s="317" t="str">
        <f t="shared" si="8"/>
        <v/>
      </c>
      <c r="AQ72" s="101"/>
      <c r="AR72" s="115"/>
      <c r="AS72" s="104"/>
      <c r="AT72" s="104"/>
      <c r="AW72" s="30" t="str">
        <f>IF(E72="","",VLOOKUP($B72,'F-1 Off-Site WaterC'' Baseline'!$C$9:$Z$257,12,FALSE))</f>
        <v/>
      </c>
      <c r="AX72" s="30" t="str">
        <f>IF(E72="","",VLOOKUP($B72,'F-1 Off-Site WaterC'' Baseline'!$C$9:$Z$257,14,FALSE))</f>
        <v/>
      </c>
      <c r="AY72" s="30" t="str">
        <f>IFERROR(INDEX('G-7 WaterC'' Data'!$AZ$3:$AZ$7,MATCH(N72,'G-7 WaterC'' Data'!$AY$3:$AY$7,0)),"")</f>
        <v/>
      </c>
      <c r="AZ72" s="30" t="str">
        <f>IF(B72="","",IF(ISNA(VLOOKUP($B72,'F-1 Off-Site WaterC'' Baseline'!$C$8:$AD$257,20,FALSE)),"",(VLOOKUP($B72,'F-1 Off-Site WaterC'' Baseline'!$C$8:$AD$257,20,FALSE))))</f>
        <v/>
      </c>
      <c r="BC72" s="30" t="str">
        <f>IF(B72="","",VLOOKUP($B72,'F-1 Off-Site WaterC'' Baseline'!$C$9:$AB$257,25,FALSE))</f>
        <v/>
      </c>
      <c r="BD72" s="30" t="str">
        <f t="shared" si="9"/>
        <v/>
      </c>
      <c r="BE72" s="30" t="str">
        <f>IF(B72="","",VLOOKUP($B72,'F-1 Off-Site WaterC'' Baseline'!$C$9:$AB$257,24,FALSE))</f>
        <v/>
      </c>
      <c r="BF72" s="30" t="str">
        <f>IF(B72="","",VLOOKUP($B72,'F-1 Off-Site WaterC'' Baseline'!$C$9:$AB$257,22,FALSE))</f>
        <v/>
      </c>
      <c r="BJ72" s="30" t="str">
        <f t="shared" si="10"/>
        <v>No</v>
      </c>
    </row>
    <row r="73" spans="2:62" ht="14">
      <c r="B73" s="305" t="str">
        <f>'F-1 Off-Site WaterC'' Baseline'!AS71</f>
        <v/>
      </c>
      <c r="C73" s="295" t="str">
        <f>IF(B73="","",VLOOKUP($B73,'F-1 Off-Site WaterC'' Baseline'!$C$9:$R$257,2,FALSE))</f>
        <v/>
      </c>
      <c r="D73" s="295" t="str">
        <f>IF(C73="","",VLOOKUP($B73,'F-1 Off-Site WaterC'' Baseline'!$C$9:$R$257,3,FALSE))</f>
        <v/>
      </c>
      <c r="E73" s="295" t="str">
        <f>IF(D73="","",VLOOKUP($B73,'F-1 Off-Site WaterC'' Baseline'!$C$9:$R$257,4,FALSE))</f>
        <v/>
      </c>
      <c r="F73" s="295" t="str">
        <f>IF(E73="","",VLOOKUP($B73,'F-1 Off-Site WaterC'' Baseline'!$C$9:$R$257,5,FALSE))</f>
        <v/>
      </c>
      <c r="G73" s="295" t="str">
        <f>IF(F73="","",VLOOKUP($B73,'F-1 Off-Site WaterC'' Baseline'!$C$9:$R$257,6,FALSE))</f>
        <v/>
      </c>
      <c r="H73" s="295" t="str">
        <f>IF(G73="","",VLOOKUP($B73,'F-1 Off-Site WaterC'' Baseline'!$C$9:$R$257,7,FALSE))</f>
        <v/>
      </c>
      <c r="I73" s="295" t="str">
        <f>IF(H73="","",VLOOKUP($B73,'F-1 Off-Site WaterC'' Baseline'!$C$9:$R$257,8,FALSE))</f>
        <v/>
      </c>
      <c r="J73" s="295" t="str">
        <f>IF(I73="","",VLOOKUP($B73,'F-1 Off-Site WaterC'' Baseline'!$C$9:$R$257,9,FALSE))</f>
        <v/>
      </c>
      <c r="K73" s="295" t="str">
        <f>IF(J73="","",VLOOKUP($B73,'F-1 Off-Site WaterC'' Baseline'!$C$9:$R$257,10,FALSE))</f>
        <v/>
      </c>
      <c r="L73" s="283" t="str">
        <f>IF(B73="","",VLOOKUP($B73,'F-1 Off-Site WaterC'' Baseline'!$C$9:$R$257,15,FALSE))</f>
        <v/>
      </c>
      <c r="M73" s="299" t="str">
        <f>IF(L73="","",VLOOKUP($B73,'F-1 Off-Site WaterC'' Baseline'!$C$9:$V$257,19,FALSE))</f>
        <v/>
      </c>
      <c r="N73" s="244"/>
      <c r="O73" s="275" t="str">
        <f t="shared" si="2"/>
        <v/>
      </c>
      <c r="P73" s="276" t="str">
        <f t="shared" si="3"/>
        <v/>
      </c>
      <c r="Q73" s="281" t="str">
        <f>IF(N73="","",VLOOKUP(B73,'F-1 Off-Site WaterC'' Baseline'!$C$10:$AF$257,23,FALSE))</f>
        <v/>
      </c>
      <c r="R73" s="275" t="str">
        <f>IF(N73="","",VLOOKUP(N73,'G-7 WaterC'' Data'!$B$2:$G$8,2,FALSE))</f>
        <v/>
      </c>
      <c r="S73" s="276" t="str">
        <f>IFERROR(VLOOKUP(R73,'G-7 WaterC'' Data'!$C$4:$D$8,2,FALSE),"")</f>
        <v/>
      </c>
      <c r="T73" s="101"/>
      <c r="U73" s="276" t="str">
        <f>IFERROR(INDEX('G-7 WaterC'' Data'!$H$4:$L$8,MATCH(N73,'G-7 WaterC'' Data'!$B$4:$B$8,0),MATCH(T73,'G-7 WaterC'' Data'!$H$3:$L$3,0)),"")</f>
        <v/>
      </c>
      <c r="V73" s="105"/>
      <c r="W73" s="295" t="str">
        <f>IF(V73="","",IF(VLOOKUP(V73,'G-7 WaterC'' Data'!$AK$4:$AM$6,2,FALSE)=0,"Spatial Data Missing ⚠",VLOOKUP(V73,'G-7 WaterC'' Data'!$AK$4:$AM$6,2,FALSE)))</f>
        <v/>
      </c>
      <c r="X73" s="299" t="str">
        <f>IF(V73="","",IF(VLOOKUP(V73,'G-7 WaterC'' Data'!$AK$4:$AM$6,3,FALSE)=0,"Spatial Data Missing ⚠",VLOOKUP(V73,'G-7 WaterC'' Data'!$AK$4:$AM$6,3,FALSE)))</f>
        <v/>
      </c>
      <c r="Y73" s="311" t="str">
        <f>IFERROR(IF(OR(LEFT(P73,5)="Error",LEFT(O73,5)="Error"),"Check Data ⚠",IF(F73&lt;S73,'G-7 WaterC'' Data'!$R$3,INDEX('G-7 WaterC'' Data'!$U$5:$Y$9,MATCH(G73,'G-7 WaterC'' Data'!$T$5:$T$9,0),MATCH(T73,'G-7 WaterC'' Data'!$U$4:$Y$4,0)))),"")</f>
        <v/>
      </c>
      <c r="Z73" s="138"/>
      <c r="AA73" s="138"/>
      <c r="AB73" s="308" t="str">
        <f t="shared" si="4"/>
        <v/>
      </c>
      <c r="AC73" s="296" t="str">
        <f t="shared" si="5"/>
        <v/>
      </c>
      <c r="AD73" s="334" t="str">
        <f>IFERROR(IF(AC73="Check Data ⚠","Check Data ⚠",VLOOKUP(AC73,'G-4 Temporal multipliers'!$A$4:$C$37,3,FALSE)),"")</f>
        <v/>
      </c>
      <c r="AE73" s="311" t="str">
        <f>IF(N73="","",VLOOKUP(N73,'G-7 WaterC'' Data'!$B$4:$G$8,5,FALSE))</f>
        <v/>
      </c>
      <c r="AF73" s="295" t="str">
        <f t="shared" si="0"/>
        <v/>
      </c>
      <c r="AG73" s="295" t="str">
        <f t="shared" si="6"/>
        <v/>
      </c>
      <c r="AH73" s="276" t="str">
        <f t="shared" si="1"/>
        <v/>
      </c>
      <c r="AI73" s="105"/>
      <c r="AJ73" s="276" t="str">
        <f>IF(AI73="","",(IF(AND(AI73="N/A - Culvert",N73&lt;&gt;"Culvert"),"Not possible ▲",IF(VLOOKUP(AI73,'G-7 WaterC'' Data'!$AA$4:$AB$7,2,FALSE)=0,"Spatial Data Missing ⚠",VLOOKUP(AI73,'G-7 WaterC'' Data'!$AA$4:$AB$7,2,FALSE)))))</f>
        <v/>
      </c>
      <c r="AK73" s="106"/>
      <c r="AL73" s="310" t="str">
        <f>IF(AK73="","",IF(AND(AK73="N/A - Culvert",N73&lt;&gt;"Culvert"),"Not possible ▲",IF(VLOOKUP(AK73,'G-7 WaterC'' Data'!$AD$4:$AE$14,2,FALSE)=0,"Spatial Data Missing ⚠",VLOOKUP(AK73,'G-7 WaterC'' Data'!$AD$4:$AE$14,2,FALSE))))</f>
        <v/>
      </c>
      <c r="AM73" s="275" t="str">
        <f>IF(B73="","",VLOOKUP($B73,'F-1 Off-Site WaterC'' Baseline'!$C$9:$Z$257,17,FALSE))</f>
        <v/>
      </c>
      <c r="AN73" s="276" t="str">
        <f>IF(AM73="","",IF(VLOOKUP(AM73,'G-7 WaterC'' Data'!$AO$4:$BO$7,2,FALSE)=0,"Spatial Data Missing ⚠",VLOOKUP(AM73,'G-7 WaterC'' Data'!$AO$4:$BO$7,2,FALSE)))</f>
        <v/>
      </c>
      <c r="AO73" s="317" t="str">
        <f t="shared" si="7"/>
        <v/>
      </c>
      <c r="AP73" s="317" t="str">
        <f t="shared" si="8"/>
        <v/>
      </c>
      <c r="AQ73" s="101"/>
      <c r="AR73" s="115"/>
      <c r="AS73" s="104"/>
      <c r="AT73" s="104"/>
      <c r="AW73" s="30" t="str">
        <f>IF(E73="","",VLOOKUP($B73,'F-1 Off-Site WaterC'' Baseline'!$C$9:$Z$257,12,FALSE))</f>
        <v/>
      </c>
      <c r="AX73" s="30" t="str">
        <f>IF(E73="","",VLOOKUP($B73,'F-1 Off-Site WaterC'' Baseline'!$C$9:$Z$257,14,FALSE))</f>
        <v/>
      </c>
      <c r="AY73" s="30" t="str">
        <f>IFERROR(INDEX('G-7 WaterC'' Data'!$AZ$3:$AZ$7,MATCH(N73,'G-7 WaterC'' Data'!$AY$3:$AY$7,0)),"")</f>
        <v/>
      </c>
      <c r="AZ73" s="30" t="str">
        <f>IF(B73="","",IF(ISNA(VLOOKUP($B73,'F-1 Off-Site WaterC'' Baseline'!$C$8:$AD$257,20,FALSE)),"",(VLOOKUP($B73,'F-1 Off-Site WaterC'' Baseline'!$C$8:$AD$257,20,FALSE))))</f>
        <v/>
      </c>
      <c r="BC73" s="30" t="str">
        <f>IF(B73="","",VLOOKUP($B73,'F-1 Off-Site WaterC'' Baseline'!$C$9:$AB$257,25,FALSE))</f>
        <v/>
      </c>
      <c r="BD73" s="30" t="str">
        <f t="shared" si="9"/>
        <v/>
      </c>
      <c r="BE73" s="30" t="str">
        <f>IF(B73="","",VLOOKUP($B73,'F-1 Off-Site WaterC'' Baseline'!$C$9:$AB$257,24,FALSE))</f>
        <v/>
      </c>
      <c r="BF73" s="30" t="str">
        <f>IF(B73="","",VLOOKUP($B73,'F-1 Off-Site WaterC'' Baseline'!$C$9:$AB$257,22,FALSE))</f>
        <v/>
      </c>
      <c r="BJ73" s="30" t="str">
        <f t="shared" si="10"/>
        <v>No</v>
      </c>
    </row>
    <row r="74" spans="2:62" ht="14">
      <c r="B74" s="305" t="str">
        <f>'F-1 Off-Site WaterC'' Baseline'!AS72</f>
        <v/>
      </c>
      <c r="C74" s="295" t="str">
        <f>IF(B74="","",VLOOKUP($B74,'F-1 Off-Site WaterC'' Baseline'!$C$9:$R$257,2,FALSE))</f>
        <v/>
      </c>
      <c r="D74" s="295" t="str">
        <f>IF(C74="","",VLOOKUP($B74,'F-1 Off-Site WaterC'' Baseline'!$C$9:$R$257,3,FALSE))</f>
        <v/>
      </c>
      <c r="E74" s="295" t="str">
        <f>IF(D74="","",VLOOKUP($B74,'F-1 Off-Site WaterC'' Baseline'!$C$9:$R$257,4,FALSE))</f>
        <v/>
      </c>
      <c r="F74" s="295" t="str">
        <f>IF(E74="","",VLOOKUP($B74,'F-1 Off-Site WaterC'' Baseline'!$C$9:$R$257,5,FALSE))</f>
        <v/>
      </c>
      <c r="G74" s="295" t="str">
        <f>IF(F74="","",VLOOKUP($B74,'F-1 Off-Site WaterC'' Baseline'!$C$9:$R$257,6,FALSE))</f>
        <v/>
      </c>
      <c r="H74" s="295" t="str">
        <f>IF(G74="","",VLOOKUP($B74,'F-1 Off-Site WaterC'' Baseline'!$C$9:$R$257,7,FALSE))</f>
        <v/>
      </c>
      <c r="I74" s="295" t="str">
        <f>IF(H74="","",VLOOKUP($B74,'F-1 Off-Site WaterC'' Baseline'!$C$9:$R$257,8,FALSE))</f>
        <v/>
      </c>
      <c r="J74" s="295" t="str">
        <f>IF(I74="","",VLOOKUP($B74,'F-1 Off-Site WaterC'' Baseline'!$C$9:$R$257,9,FALSE))</f>
        <v/>
      </c>
      <c r="K74" s="295" t="str">
        <f>IF(J74="","",VLOOKUP($B74,'F-1 Off-Site WaterC'' Baseline'!$C$9:$R$257,10,FALSE))</f>
        <v/>
      </c>
      <c r="L74" s="283" t="str">
        <f>IF(B74="","",VLOOKUP($B74,'F-1 Off-Site WaterC'' Baseline'!$C$9:$R$257,15,FALSE))</f>
        <v/>
      </c>
      <c r="M74" s="299" t="str">
        <f>IF(L74="","",VLOOKUP($B74,'F-1 Off-Site WaterC'' Baseline'!$C$9:$V$257,19,FALSE))</f>
        <v/>
      </c>
      <c r="N74" s="244"/>
      <c r="O74" s="275" t="str">
        <f t="shared" si="2"/>
        <v/>
      </c>
      <c r="P74" s="276" t="str">
        <f t="shared" si="3"/>
        <v/>
      </c>
      <c r="Q74" s="281" t="str">
        <f>IF(N74="","",VLOOKUP(B74,'F-1 Off-Site WaterC'' Baseline'!$C$10:$AF$257,23,FALSE))</f>
        <v/>
      </c>
      <c r="R74" s="275" t="str">
        <f>IF(N74="","",VLOOKUP(N74,'G-7 WaterC'' Data'!$B$2:$G$8,2,FALSE))</f>
        <v/>
      </c>
      <c r="S74" s="276" t="str">
        <f>IFERROR(VLOOKUP(R74,'G-7 WaterC'' Data'!$C$4:$D$8,2,FALSE),"")</f>
        <v/>
      </c>
      <c r="T74" s="101"/>
      <c r="U74" s="276" t="str">
        <f>IFERROR(INDEX('G-7 WaterC'' Data'!$H$4:$L$8,MATCH(N74,'G-7 WaterC'' Data'!$B$4:$B$8,0),MATCH(T74,'G-7 WaterC'' Data'!$H$3:$L$3,0)),"")</f>
        <v/>
      </c>
      <c r="V74" s="105"/>
      <c r="W74" s="295" t="str">
        <f>IF(V74="","",IF(VLOOKUP(V74,'G-7 WaterC'' Data'!$AK$4:$AM$6,2,FALSE)=0,"Spatial Data Missing ⚠",VLOOKUP(V74,'G-7 WaterC'' Data'!$AK$4:$AM$6,2,FALSE)))</f>
        <v/>
      </c>
      <c r="X74" s="299" t="str">
        <f>IF(V74="","",IF(VLOOKUP(V74,'G-7 WaterC'' Data'!$AK$4:$AM$6,3,FALSE)=0,"Spatial Data Missing ⚠",VLOOKUP(V74,'G-7 WaterC'' Data'!$AK$4:$AM$6,3,FALSE)))</f>
        <v/>
      </c>
      <c r="Y74" s="311" t="str">
        <f>IFERROR(IF(OR(LEFT(P74,5)="Error",LEFT(O74,5)="Error"),"Check Data ⚠",IF(F74&lt;S74,'G-7 WaterC'' Data'!$R$3,INDEX('G-7 WaterC'' Data'!$U$5:$Y$9,MATCH(G74,'G-7 WaterC'' Data'!$T$5:$T$9,0),MATCH(T74,'G-7 WaterC'' Data'!$U$4:$Y$4,0)))),"")</f>
        <v/>
      </c>
      <c r="Z74" s="138"/>
      <c r="AA74" s="138"/>
      <c r="AB74" s="308" t="str">
        <f t="shared" si="4"/>
        <v/>
      </c>
      <c r="AC74" s="296" t="str">
        <f t="shared" si="5"/>
        <v/>
      </c>
      <c r="AD74" s="334" t="str">
        <f>IFERROR(IF(AC74="Check Data ⚠","Check Data ⚠",VLOOKUP(AC74,'G-4 Temporal multipliers'!$A$4:$C$37,3,FALSE)),"")</f>
        <v/>
      </c>
      <c r="AE74" s="311" t="str">
        <f>IF(N74="","",VLOOKUP(N74,'G-7 WaterC'' Data'!$B$4:$G$8,5,FALSE))</f>
        <v/>
      </c>
      <c r="AF74" s="295" t="str">
        <f t="shared" si="0"/>
        <v/>
      </c>
      <c r="AG74" s="295" t="str">
        <f t="shared" si="6"/>
        <v/>
      </c>
      <c r="AH74" s="276" t="str">
        <f t="shared" si="1"/>
        <v/>
      </c>
      <c r="AI74" s="105"/>
      <c r="AJ74" s="276" t="str">
        <f>IF(AI74="","",(IF(AND(AI74="N/A - Culvert",N74&lt;&gt;"Culvert"),"Not possible ▲",IF(VLOOKUP(AI74,'G-7 WaterC'' Data'!$AA$4:$AB$7,2,FALSE)=0,"Spatial Data Missing ⚠",VLOOKUP(AI74,'G-7 WaterC'' Data'!$AA$4:$AB$7,2,FALSE)))))</f>
        <v/>
      </c>
      <c r="AK74" s="106"/>
      <c r="AL74" s="310" t="str">
        <f>IF(AK74="","",IF(AND(AK74="N/A - Culvert",N74&lt;&gt;"Culvert"),"Not possible ▲",IF(VLOOKUP(AK74,'G-7 WaterC'' Data'!$AD$4:$AE$14,2,FALSE)=0,"Spatial Data Missing ⚠",VLOOKUP(AK74,'G-7 WaterC'' Data'!$AD$4:$AE$14,2,FALSE))))</f>
        <v/>
      </c>
      <c r="AM74" s="275" t="str">
        <f>IF(B74="","",VLOOKUP($B74,'F-1 Off-Site WaterC'' Baseline'!$C$9:$Z$257,17,FALSE))</f>
        <v/>
      </c>
      <c r="AN74" s="276" t="str">
        <f>IF(AM74="","",IF(VLOOKUP(AM74,'G-7 WaterC'' Data'!$AO$4:$BO$7,2,FALSE)=0,"Spatial Data Missing ⚠",VLOOKUP(AM74,'G-7 WaterC'' Data'!$AO$4:$BO$7,2,FALSE)))</f>
        <v/>
      </c>
      <c r="AO74" s="317" t="str">
        <f t="shared" si="7"/>
        <v/>
      </c>
      <c r="AP74" s="317" t="str">
        <f t="shared" si="8"/>
        <v/>
      </c>
      <c r="AQ74" s="101"/>
      <c r="AR74" s="115"/>
      <c r="AS74" s="104"/>
      <c r="AT74" s="104"/>
      <c r="AW74" s="30" t="str">
        <f>IF(E74="","",VLOOKUP($B74,'F-1 Off-Site WaterC'' Baseline'!$C$9:$Z$257,12,FALSE))</f>
        <v/>
      </c>
      <c r="AX74" s="30" t="str">
        <f>IF(E74="","",VLOOKUP($B74,'F-1 Off-Site WaterC'' Baseline'!$C$9:$Z$257,14,FALSE))</f>
        <v/>
      </c>
      <c r="AY74" s="30" t="str">
        <f>IFERROR(INDEX('G-7 WaterC'' Data'!$AZ$3:$AZ$7,MATCH(N74,'G-7 WaterC'' Data'!$AY$3:$AY$7,0)),"")</f>
        <v/>
      </c>
      <c r="AZ74" s="30" t="str">
        <f>IF(B74="","",IF(ISNA(VLOOKUP($B74,'F-1 Off-Site WaterC'' Baseline'!$C$8:$AD$257,20,FALSE)),"",(VLOOKUP($B74,'F-1 Off-Site WaterC'' Baseline'!$C$8:$AD$257,20,FALSE))))</f>
        <v/>
      </c>
      <c r="BC74" s="30" t="str">
        <f>IF(B74="","",VLOOKUP($B74,'F-1 Off-Site WaterC'' Baseline'!$C$9:$AB$257,25,FALSE))</f>
        <v/>
      </c>
      <c r="BD74" s="30" t="str">
        <f t="shared" si="9"/>
        <v/>
      </c>
      <c r="BE74" s="30" t="str">
        <f>IF(B74="","",VLOOKUP($B74,'F-1 Off-Site WaterC'' Baseline'!$C$9:$AB$257,24,FALSE))</f>
        <v/>
      </c>
      <c r="BF74" s="30" t="str">
        <f>IF(B74="","",VLOOKUP($B74,'F-1 Off-Site WaterC'' Baseline'!$C$9:$AB$257,22,FALSE))</f>
        <v/>
      </c>
      <c r="BJ74" s="30" t="str">
        <f t="shared" si="10"/>
        <v>No</v>
      </c>
    </row>
    <row r="75" spans="2:62" ht="14">
      <c r="B75" s="305" t="str">
        <f>'F-1 Off-Site WaterC'' Baseline'!AS73</f>
        <v/>
      </c>
      <c r="C75" s="295" t="str">
        <f>IF(B75="","",VLOOKUP($B75,'F-1 Off-Site WaterC'' Baseline'!$C$9:$R$257,2,FALSE))</f>
        <v/>
      </c>
      <c r="D75" s="295" t="str">
        <f>IF(C75="","",VLOOKUP($B75,'F-1 Off-Site WaterC'' Baseline'!$C$9:$R$257,3,FALSE))</f>
        <v/>
      </c>
      <c r="E75" s="295" t="str">
        <f>IF(D75="","",VLOOKUP($B75,'F-1 Off-Site WaterC'' Baseline'!$C$9:$R$257,4,FALSE))</f>
        <v/>
      </c>
      <c r="F75" s="295" t="str">
        <f>IF(E75="","",VLOOKUP($B75,'F-1 Off-Site WaterC'' Baseline'!$C$9:$R$257,5,FALSE))</f>
        <v/>
      </c>
      <c r="G75" s="295" t="str">
        <f>IF(F75="","",VLOOKUP($B75,'F-1 Off-Site WaterC'' Baseline'!$C$9:$R$257,6,FALSE))</f>
        <v/>
      </c>
      <c r="H75" s="295" t="str">
        <f>IF(G75="","",VLOOKUP($B75,'F-1 Off-Site WaterC'' Baseline'!$C$9:$R$257,7,FALSE))</f>
        <v/>
      </c>
      <c r="I75" s="295" t="str">
        <f>IF(H75="","",VLOOKUP($B75,'F-1 Off-Site WaterC'' Baseline'!$C$9:$R$257,8,FALSE))</f>
        <v/>
      </c>
      <c r="J75" s="295" t="str">
        <f>IF(I75="","",VLOOKUP($B75,'F-1 Off-Site WaterC'' Baseline'!$C$9:$R$257,9,FALSE))</f>
        <v/>
      </c>
      <c r="K75" s="295" t="str">
        <f>IF(J75="","",VLOOKUP($B75,'F-1 Off-Site WaterC'' Baseline'!$C$9:$R$257,10,FALSE))</f>
        <v/>
      </c>
      <c r="L75" s="283" t="str">
        <f>IF(B75="","",VLOOKUP($B75,'F-1 Off-Site WaterC'' Baseline'!$C$9:$R$257,15,FALSE))</f>
        <v/>
      </c>
      <c r="M75" s="299" t="str">
        <f>IF(L75="","",VLOOKUP($B75,'F-1 Off-Site WaterC'' Baseline'!$C$9:$V$257,19,FALSE))</f>
        <v/>
      </c>
      <c r="N75" s="244"/>
      <c r="O75" s="275" t="str">
        <f t="shared" si="2"/>
        <v/>
      </c>
      <c r="P75" s="276" t="str">
        <f t="shared" si="3"/>
        <v/>
      </c>
      <c r="Q75" s="281" t="str">
        <f>IF(N75="","",VLOOKUP(B75,'F-1 Off-Site WaterC'' Baseline'!$C$10:$AF$257,23,FALSE))</f>
        <v/>
      </c>
      <c r="R75" s="275" t="str">
        <f>IF(N75="","",VLOOKUP(N75,'G-7 WaterC'' Data'!$B$2:$G$8,2,FALSE))</f>
        <v/>
      </c>
      <c r="S75" s="276" t="str">
        <f>IFERROR(VLOOKUP(R75,'G-7 WaterC'' Data'!$C$4:$D$8,2,FALSE),"")</f>
        <v/>
      </c>
      <c r="T75" s="101"/>
      <c r="U75" s="276" t="str">
        <f>IFERROR(INDEX('G-7 WaterC'' Data'!$H$4:$L$8,MATCH(N75,'G-7 WaterC'' Data'!$B$4:$B$8,0),MATCH(T75,'G-7 WaterC'' Data'!$H$3:$L$3,0)),"")</f>
        <v/>
      </c>
      <c r="V75" s="105"/>
      <c r="W75" s="295" t="str">
        <f>IF(V75="","",IF(VLOOKUP(V75,'G-7 WaterC'' Data'!$AK$4:$AM$6,2,FALSE)=0,"Spatial Data Missing ⚠",VLOOKUP(V75,'G-7 WaterC'' Data'!$AK$4:$AM$6,2,FALSE)))</f>
        <v/>
      </c>
      <c r="X75" s="299" t="str">
        <f>IF(V75="","",IF(VLOOKUP(V75,'G-7 WaterC'' Data'!$AK$4:$AM$6,3,FALSE)=0,"Spatial Data Missing ⚠",VLOOKUP(V75,'G-7 WaterC'' Data'!$AK$4:$AM$6,3,FALSE)))</f>
        <v/>
      </c>
      <c r="Y75" s="311" t="str">
        <f>IFERROR(IF(OR(LEFT(P75,5)="Error",LEFT(O75,5)="Error"),"Check Data ⚠",IF(F75&lt;S75,'G-7 WaterC'' Data'!$R$3,INDEX('G-7 WaterC'' Data'!$U$5:$Y$9,MATCH(G75,'G-7 WaterC'' Data'!$T$5:$T$9,0),MATCH(T75,'G-7 WaterC'' Data'!$U$4:$Y$4,0)))),"")</f>
        <v/>
      </c>
      <c r="Z75" s="138"/>
      <c r="AA75" s="138"/>
      <c r="AB75" s="308" t="str">
        <f t="shared" si="4"/>
        <v/>
      </c>
      <c r="AC75" s="296" t="str">
        <f t="shared" si="5"/>
        <v/>
      </c>
      <c r="AD75" s="334" t="str">
        <f>IFERROR(IF(AC75="Check Data ⚠","Check Data ⚠",VLOOKUP(AC75,'G-4 Temporal multipliers'!$A$4:$C$37,3,FALSE)),"")</f>
        <v/>
      </c>
      <c r="AE75" s="311" t="str">
        <f>IF(N75="","",VLOOKUP(N75,'G-7 WaterC'' Data'!$B$4:$G$8,5,FALSE))</f>
        <v/>
      </c>
      <c r="AF75" s="295" t="str">
        <f t="shared" si="0"/>
        <v/>
      </c>
      <c r="AG75" s="295" t="str">
        <f t="shared" si="6"/>
        <v/>
      </c>
      <c r="AH75" s="276" t="str">
        <f t="shared" si="1"/>
        <v/>
      </c>
      <c r="AI75" s="105"/>
      <c r="AJ75" s="276" t="str">
        <f>IF(AI75="","",(IF(AND(AI75="N/A - Culvert",N75&lt;&gt;"Culvert"),"Not possible ▲",IF(VLOOKUP(AI75,'G-7 WaterC'' Data'!$AA$4:$AB$7,2,FALSE)=0,"Spatial Data Missing ⚠",VLOOKUP(AI75,'G-7 WaterC'' Data'!$AA$4:$AB$7,2,FALSE)))))</f>
        <v/>
      </c>
      <c r="AK75" s="106"/>
      <c r="AL75" s="310" t="str">
        <f>IF(AK75="","",IF(AND(AK75="N/A - Culvert",N75&lt;&gt;"Culvert"),"Not possible ▲",IF(VLOOKUP(AK75,'G-7 WaterC'' Data'!$AD$4:$AE$14,2,FALSE)=0,"Spatial Data Missing ⚠",VLOOKUP(AK75,'G-7 WaterC'' Data'!$AD$4:$AE$14,2,FALSE))))</f>
        <v/>
      </c>
      <c r="AM75" s="275" t="str">
        <f>IF(B75="","",VLOOKUP($B75,'F-1 Off-Site WaterC'' Baseline'!$C$9:$Z$257,17,FALSE))</f>
        <v/>
      </c>
      <c r="AN75" s="276" t="str">
        <f>IF(AM75="","",IF(VLOOKUP(AM75,'G-7 WaterC'' Data'!$AO$4:$BO$7,2,FALSE)=0,"Spatial Data Missing ⚠",VLOOKUP(AM75,'G-7 WaterC'' Data'!$AO$4:$BO$7,2,FALSE)))</f>
        <v/>
      </c>
      <c r="AO75" s="317" t="str">
        <f t="shared" si="7"/>
        <v/>
      </c>
      <c r="AP75" s="317" t="str">
        <f t="shared" si="8"/>
        <v/>
      </c>
      <c r="AQ75" s="101"/>
      <c r="AR75" s="115"/>
      <c r="AS75" s="104"/>
      <c r="AT75" s="104"/>
      <c r="AW75" s="30" t="str">
        <f>IF(E75="","",VLOOKUP($B75,'F-1 Off-Site WaterC'' Baseline'!$C$9:$Z$257,12,FALSE))</f>
        <v/>
      </c>
      <c r="AX75" s="30" t="str">
        <f>IF(E75="","",VLOOKUP($B75,'F-1 Off-Site WaterC'' Baseline'!$C$9:$Z$257,14,FALSE))</f>
        <v/>
      </c>
      <c r="AY75" s="30" t="str">
        <f>IFERROR(INDEX('G-7 WaterC'' Data'!$AZ$3:$AZ$7,MATCH(N75,'G-7 WaterC'' Data'!$AY$3:$AY$7,0)),"")</f>
        <v/>
      </c>
      <c r="AZ75" s="30" t="str">
        <f>IF(B75="","",IF(ISNA(VLOOKUP($B75,'F-1 Off-Site WaterC'' Baseline'!$C$8:$AD$257,20,FALSE)),"",(VLOOKUP($B75,'F-1 Off-Site WaterC'' Baseline'!$C$8:$AD$257,20,FALSE))))</f>
        <v/>
      </c>
      <c r="BC75" s="30" t="str">
        <f>IF(B75="","",VLOOKUP($B75,'F-1 Off-Site WaterC'' Baseline'!$C$9:$AB$257,25,FALSE))</f>
        <v/>
      </c>
      <c r="BD75" s="30" t="str">
        <f t="shared" si="9"/>
        <v/>
      </c>
      <c r="BE75" s="30" t="str">
        <f>IF(B75="","",VLOOKUP($B75,'F-1 Off-Site WaterC'' Baseline'!$C$9:$AB$257,24,FALSE))</f>
        <v/>
      </c>
      <c r="BF75" s="30" t="str">
        <f>IF(B75="","",VLOOKUP($B75,'F-1 Off-Site WaterC'' Baseline'!$C$9:$AB$257,22,FALSE))</f>
        <v/>
      </c>
      <c r="BJ75" s="30" t="str">
        <f t="shared" si="10"/>
        <v>No</v>
      </c>
    </row>
    <row r="76" spans="2:62" ht="14">
      <c r="B76" s="305" t="str">
        <f>'F-1 Off-Site WaterC'' Baseline'!AS74</f>
        <v/>
      </c>
      <c r="C76" s="295" t="str">
        <f>IF(B76="","",VLOOKUP($B76,'F-1 Off-Site WaterC'' Baseline'!$C$9:$R$257,2,FALSE))</f>
        <v/>
      </c>
      <c r="D76" s="295" t="str">
        <f>IF(C76="","",VLOOKUP($B76,'F-1 Off-Site WaterC'' Baseline'!$C$9:$R$257,3,FALSE))</f>
        <v/>
      </c>
      <c r="E76" s="295" t="str">
        <f>IF(D76="","",VLOOKUP($B76,'F-1 Off-Site WaterC'' Baseline'!$C$9:$R$257,4,FALSE))</f>
        <v/>
      </c>
      <c r="F76" s="295" t="str">
        <f>IF(E76="","",VLOOKUP($B76,'F-1 Off-Site WaterC'' Baseline'!$C$9:$R$257,5,FALSE))</f>
        <v/>
      </c>
      <c r="G76" s="295" t="str">
        <f>IF(F76="","",VLOOKUP($B76,'F-1 Off-Site WaterC'' Baseline'!$C$9:$R$257,6,FALSE))</f>
        <v/>
      </c>
      <c r="H76" s="295" t="str">
        <f>IF(G76="","",VLOOKUP($B76,'F-1 Off-Site WaterC'' Baseline'!$C$9:$R$257,7,FALSE))</f>
        <v/>
      </c>
      <c r="I76" s="295" t="str">
        <f>IF(H76="","",VLOOKUP($B76,'F-1 Off-Site WaterC'' Baseline'!$C$9:$R$257,8,FALSE))</f>
        <v/>
      </c>
      <c r="J76" s="295" t="str">
        <f>IF(I76="","",VLOOKUP($B76,'F-1 Off-Site WaterC'' Baseline'!$C$9:$R$257,9,FALSE))</f>
        <v/>
      </c>
      <c r="K76" s="295" t="str">
        <f>IF(J76="","",VLOOKUP($B76,'F-1 Off-Site WaterC'' Baseline'!$C$9:$R$257,10,FALSE))</f>
        <v/>
      </c>
      <c r="L76" s="283" t="str">
        <f>IF(B76="","",VLOOKUP($B76,'F-1 Off-Site WaterC'' Baseline'!$C$9:$R$257,15,FALSE))</f>
        <v/>
      </c>
      <c r="M76" s="299" t="str">
        <f>IF(L76="","",VLOOKUP($B76,'F-1 Off-Site WaterC'' Baseline'!$C$9:$V$257,19,FALSE))</f>
        <v/>
      </c>
      <c r="N76" s="244"/>
      <c r="O76" s="275" t="str">
        <f t="shared" si="2"/>
        <v/>
      </c>
      <c r="P76" s="276" t="str">
        <f t="shared" si="3"/>
        <v/>
      </c>
      <c r="Q76" s="281" t="str">
        <f>IF(N76="","",VLOOKUP(B76,'F-1 Off-Site WaterC'' Baseline'!$C$10:$AF$257,23,FALSE))</f>
        <v/>
      </c>
      <c r="R76" s="275" t="str">
        <f>IF(N76="","",VLOOKUP(N76,'G-7 WaterC'' Data'!$B$2:$G$8,2,FALSE))</f>
        <v/>
      </c>
      <c r="S76" s="276" t="str">
        <f>IFERROR(VLOOKUP(R76,'G-7 WaterC'' Data'!$C$4:$D$8,2,FALSE),"")</f>
        <v/>
      </c>
      <c r="T76" s="101"/>
      <c r="U76" s="276" t="str">
        <f>IFERROR(INDEX('G-7 WaterC'' Data'!$H$4:$L$8,MATCH(N76,'G-7 WaterC'' Data'!$B$4:$B$8,0),MATCH(T76,'G-7 WaterC'' Data'!$H$3:$L$3,0)),"")</f>
        <v/>
      </c>
      <c r="V76" s="105"/>
      <c r="W76" s="295" t="str">
        <f>IF(V76="","",IF(VLOOKUP(V76,'G-7 WaterC'' Data'!$AK$4:$AM$6,2,FALSE)=0,"Spatial Data Missing ⚠",VLOOKUP(V76,'G-7 WaterC'' Data'!$AK$4:$AM$6,2,FALSE)))</f>
        <v/>
      </c>
      <c r="X76" s="299" t="str">
        <f>IF(V76="","",IF(VLOOKUP(V76,'G-7 WaterC'' Data'!$AK$4:$AM$6,3,FALSE)=0,"Spatial Data Missing ⚠",VLOOKUP(V76,'G-7 WaterC'' Data'!$AK$4:$AM$6,3,FALSE)))</f>
        <v/>
      </c>
      <c r="Y76" s="311" t="str">
        <f>IFERROR(IF(OR(LEFT(P76,5)="Error",LEFT(O76,5)="Error"),"Check Data ⚠",IF(F76&lt;S76,'G-7 WaterC'' Data'!$R$3,INDEX('G-7 WaterC'' Data'!$U$5:$Y$9,MATCH(G76,'G-7 WaterC'' Data'!$T$5:$T$9,0),MATCH(T76,'G-7 WaterC'' Data'!$U$4:$Y$4,0)))),"")</f>
        <v/>
      </c>
      <c r="Z76" s="138"/>
      <c r="AA76" s="138"/>
      <c r="AB76" s="308" t="str">
        <f t="shared" si="11" ref="AB76:AB13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296" t="str">
        <f t="shared" si="5"/>
        <v/>
      </c>
      <c r="AD76" s="334" t="str">
        <f>IFERROR(IF(AC76="Check Data ⚠","Check Data ⚠",VLOOKUP(AC76,'G-4 Temporal multipliers'!$A$4:$C$37,3,FALSE)),"")</f>
        <v/>
      </c>
      <c r="AE76" s="311" t="str">
        <f>IF(N76="","",VLOOKUP(N76,'G-7 WaterC'' Data'!$B$4:$G$8,5,FALSE))</f>
        <v/>
      </c>
      <c r="AF76" s="295" t="str">
        <f t="shared" si="12" ref="AF76:AF139">IF(N76="","",IF(AC76="Check Data ⚠","Check Data ⚠",IF(T76="","",IF($AB76="Check details - Is there evidence that habitat has reached target condition? ⚠","Low Difficulty - only applicable if all habitat created before losses ⚠","Standard difficulty applied"))))</f>
        <v/>
      </c>
      <c r="AG76" s="295" t="str">
        <f t="shared" si="6"/>
        <v/>
      </c>
      <c r="AH76" s="276" t="str">
        <f t="shared" si="13" ref="AH76:AH139">IF(N76="","",VLOOKUP(AG76,Difficulty,2,FALSE))</f>
        <v/>
      </c>
      <c r="AI76" s="105"/>
      <c r="AJ76" s="276" t="str">
        <f>IF(AI76="","",(IF(AND(AI76="N/A - Culvert",N76&lt;&gt;"Culvert"),"Not possible ▲",IF(VLOOKUP(AI76,'G-7 WaterC'' Data'!$AA$4:$AB$7,2,FALSE)=0,"Spatial Data Missing ⚠",VLOOKUP(AI76,'G-7 WaterC'' Data'!$AA$4:$AB$7,2,FALSE)))))</f>
        <v/>
      </c>
      <c r="AK76" s="106"/>
      <c r="AL76" s="310" t="str">
        <f>IF(AK76="","",IF(AND(AK76="N/A - Culvert",N76&lt;&gt;"Culvert"),"Not possible ▲",IF(VLOOKUP(AK76,'G-7 WaterC'' Data'!$AD$4:$AE$14,2,FALSE)=0,"Spatial Data Missing ⚠",VLOOKUP(AK76,'G-7 WaterC'' Data'!$AD$4:$AE$14,2,FALSE))))</f>
        <v/>
      </c>
      <c r="AM76" s="275" t="str">
        <f>IF(B76="","",VLOOKUP($B76,'F-1 Off-Site WaterC'' Baseline'!$C$9:$Z$257,17,FALSE))</f>
        <v/>
      </c>
      <c r="AN76" s="276" t="str">
        <f>IF(AM76="","",IF(VLOOKUP(AM76,'G-7 WaterC'' Data'!$AO$4:$BO$7,2,FALSE)=0,"Spatial Data Missing ⚠",VLOOKUP(AM76,'G-7 WaterC'' Data'!$AO$4:$BO$7,2,FALSE)))</f>
        <v/>
      </c>
      <c r="AO76" s="317" t="str">
        <f t="shared" si="7"/>
        <v/>
      </c>
      <c r="AP76" s="317" t="str">
        <f t="shared" si="8"/>
        <v/>
      </c>
      <c r="AQ76" s="101"/>
      <c r="AR76" s="115"/>
      <c r="AS76" s="104"/>
      <c r="AT76" s="104"/>
      <c r="AW76" s="30" t="str">
        <f>IF(E76="","",VLOOKUP($B76,'F-1 Off-Site WaterC'' Baseline'!$C$9:$Z$257,12,FALSE))</f>
        <v/>
      </c>
      <c r="AX76" s="30" t="str">
        <f>IF(E76="","",VLOOKUP($B76,'F-1 Off-Site WaterC'' Baseline'!$C$9:$Z$257,14,FALSE))</f>
        <v/>
      </c>
      <c r="AY76" s="30" t="str">
        <f>IFERROR(INDEX('G-7 WaterC'' Data'!$AZ$3:$AZ$7,MATCH(N76,'G-7 WaterC'' Data'!$AY$3:$AY$7,0)),"")</f>
        <v/>
      </c>
      <c r="AZ76" s="30" t="str">
        <f>IF(B76="","",IF(ISNA(VLOOKUP($B76,'F-1 Off-Site WaterC'' Baseline'!$C$8:$AD$257,20,FALSE)),"",(VLOOKUP($B76,'F-1 Off-Site WaterC'' Baseline'!$C$8:$AD$257,20,FALSE))))</f>
        <v/>
      </c>
      <c r="BC76" s="30" t="str">
        <f>IF(B76="","",VLOOKUP($B76,'F-1 Off-Site WaterC'' Baseline'!$C$9:$AB$257,25,FALSE))</f>
        <v/>
      </c>
      <c r="BD76" s="30" t="str">
        <f t="shared" si="9"/>
        <v/>
      </c>
      <c r="BE76" s="30" t="str">
        <f>IF(B76="","",VLOOKUP($B76,'F-1 Off-Site WaterC'' Baseline'!$C$9:$AB$257,24,FALSE))</f>
        <v/>
      </c>
      <c r="BF76" s="30" t="str">
        <f>IF(B76="","",VLOOKUP($B76,'F-1 Off-Site WaterC'' Baseline'!$C$9:$AB$257,22,FALSE))</f>
        <v/>
      </c>
      <c r="BJ76" s="30" t="str">
        <f t="shared" si="10"/>
        <v>No</v>
      </c>
    </row>
    <row r="77" spans="2:62" ht="14">
      <c r="B77" s="305" t="str">
        <f>'F-1 Off-Site WaterC'' Baseline'!AS75</f>
        <v/>
      </c>
      <c r="C77" s="295" t="str">
        <f>IF(B77="","",VLOOKUP($B77,'F-1 Off-Site WaterC'' Baseline'!$C$9:$R$257,2,FALSE))</f>
        <v/>
      </c>
      <c r="D77" s="295" t="str">
        <f>IF(C77="","",VLOOKUP($B77,'F-1 Off-Site WaterC'' Baseline'!$C$9:$R$257,3,FALSE))</f>
        <v/>
      </c>
      <c r="E77" s="295" t="str">
        <f>IF(D77="","",VLOOKUP($B77,'F-1 Off-Site WaterC'' Baseline'!$C$9:$R$257,4,FALSE))</f>
        <v/>
      </c>
      <c r="F77" s="295" t="str">
        <f>IF(E77="","",VLOOKUP($B77,'F-1 Off-Site WaterC'' Baseline'!$C$9:$R$257,5,FALSE))</f>
        <v/>
      </c>
      <c r="G77" s="295" t="str">
        <f>IF(F77="","",VLOOKUP($B77,'F-1 Off-Site WaterC'' Baseline'!$C$9:$R$257,6,FALSE))</f>
        <v/>
      </c>
      <c r="H77" s="295" t="str">
        <f>IF(G77="","",VLOOKUP($B77,'F-1 Off-Site WaterC'' Baseline'!$C$9:$R$257,7,FALSE))</f>
        <v/>
      </c>
      <c r="I77" s="295" t="str">
        <f>IF(H77="","",VLOOKUP($B77,'F-1 Off-Site WaterC'' Baseline'!$C$9:$R$257,8,FALSE))</f>
        <v/>
      </c>
      <c r="J77" s="295" t="str">
        <f>IF(I77="","",VLOOKUP($B77,'F-1 Off-Site WaterC'' Baseline'!$C$9:$R$257,9,FALSE))</f>
        <v/>
      </c>
      <c r="K77" s="295" t="str">
        <f>IF(J77="","",VLOOKUP($B77,'F-1 Off-Site WaterC'' Baseline'!$C$9:$R$257,10,FALSE))</f>
        <v/>
      </c>
      <c r="L77" s="283" t="str">
        <f>IF(B77="","",VLOOKUP($B77,'F-1 Off-Site WaterC'' Baseline'!$C$9:$R$257,15,FALSE))</f>
        <v/>
      </c>
      <c r="M77" s="299" t="str">
        <f>IF(L77="","",VLOOKUP($B77,'F-1 Off-Site WaterC'' Baseline'!$C$9:$V$257,19,FALSE))</f>
        <v/>
      </c>
      <c r="N77" s="244"/>
      <c r="O77" s="275" t="str">
        <f t="shared" si="14" ref="O77:O140">IF(B77="","",IF(S77&lt;F77,"Error Trading Down ▲",E77&amp;" - "&amp;R77))</f>
        <v/>
      </c>
      <c r="P77" s="276" t="str">
        <f t="shared" si="15" ref="P77:P140">IF(C77="","",IF(AND(N77&lt;&gt;C77,AZ77="Yes"),"Error you cannot replace an irreplaceable habitat ▲",IF(AND(LEFT(C77,55)&lt;&gt;LEFT(N77,55),O77="High - High"),"Error - Not like for like ▲",IF(H77&gt;U77,"Error - Can not reduce condition ▲",IF(AND(C77&lt;&gt;N77,F77&lt;S77),"Lower Distinctiveness Habitat"&amp;" - "&amp;T77,G77&amp;" - "&amp;T77)))))</f>
        <v/>
      </c>
      <c r="Q77" s="281" t="str">
        <f>IF(N77="","",VLOOKUP(B77,'F-1 Off-Site WaterC'' Baseline'!$C$10:$AF$257,23,FALSE))</f>
        <v/>
      </c>
      <c r="R77" s="275" t="str">
        <f>IF(N77="","",VLOOKUP(N77,'G-7 WaterC'' Data'!$B$2:$G$8,2,FALSE))</f>
        <v/>
      </c>
      <c r="S77" s="276" t="str">
        <f>IFERROR(VLOOKUP(R77,'G-7 WaterC'' Data'!$C$4:$D$8,2,FALSE),"")</f>
        <v/>
      </c>
      <c r="T77" s="101"/>
      <c r="U77" s="276" t="str">
        <f>IFERROR(INDEX('G-7 WaterC'' Data'!$H$4:$L$8,MATCH(N77,'G-7 WaterC'' Data'!$B$4:$B$8,0),MATCH(T77,'G-7 WaterC'' Data'!$H$3:$L$3,0)),"")</f>
        <v/>
      </c>
      <c r="V77" s="105"/>
      <c r="W77" s="295" t="str">
        <f>IF(V77="","",IF(VLOOKUP(V77,'G-7 WaterC'' Data'!$AK$4:$AM$6,2,FALSE)=0,"Spatial Data Missing ⚠",VLOOKUP(V77,'G-7 WaterC'' Data'!$AK$4:$AM$6,2,FALSE)))</f>
        <v/>
      </c>
      <c r="X77" s="299" t="str">
        <f>IF(V77="","",IF(VLOOKUP(V77,'G-7 WaterC'' Data'!$AK$4:$AM$6,3,FALSE)=0,"Spatial Data Missing ⚠",VLOOKUP(V77,'G-7 WaterC'' Data'!$AK$4:$AM$6,3,FALSE)))</f>
        <v/>
      </c>
      <c r="Y77" s="311" t="str">
        <f>IFERROR(IF(OR(LEFT(P77,5)="Error",LEFT(O77,5)="Error"),"Check Data ⚠",IF(F77&lt;S77,'G-7 WaterC'' Data'!$R$3,INDEX('G-7 WaterC'' Data'!$U$5:$Y$9,MATCH(G77,'G-7 WaterC'' Data'!$T$5:$T$9,0),MATCH(T77,'G-7 WaterC'' Data'!$U$4:$Y$4,0)))),"")</f>
        <v/>
      </c>
      <c r="Z77" s="138"/>
      <c r="AA77" s="138"/>
      <c r="AB77" s="308" t="str">
        <f t="shared" si="11"/>
        <v/>
      </c>
      <c r="AC77" s="296" t="str">
        <f t="shared" si="16" ref="AC77:AC140">IF(AB77="Error -both advance and delayed habitat creation ▲","Check Data ⚠",IF(AB77="Check Data ⚠","Check Data ⚠",IF(Y77="","",IF(Z77="30+",0,IF(AA77="30+","30+",IF(Y77+AA77&gt;30,"30+",IF(Y77+AA77-Z77&gt;0,Y77+AA77-Z77,IF(Y77-Z77&lt;0,0,Y77+AA77-Z77))))))))</f>
        <v/>
      </c>
      <c r="AD77" s="334" t="str">
        <f>IFERROR(IF(AC77="Check Data ⚠","Check Data ⚠",VLOOKUP(AC77,'G-4 Temporal multipliers'!$A$4:$C$37,3,FALSE)),"")</f>
        <v/>
      </c>
      <c r="AE77" s="311" t="str">
        <f>IF(N77="","",VLOOKUP(N77,'G-7 WaterC'' Data'!$B$4:$G$8,5,FALSE))</f>
        <v/>
      </c>
      <c r="AF77" s="295" t="str">
        <f t="shared" si="12"/>
        <v/>
      </c>
      <c r="AG77" s="295" t="str">
        <f t="shared" si="17" ref="AG77:AG140">(IF(AND(AF77="Standard difficulty applied",Y77&gt;Z77),AE77,IF(AND(AF77="Low Difficulty - only applicable if all habitat created before losses ⚠",Z77&gt;=Y77),"Low",AE77)))</f>
        <v/>
      </c>
      <c r="AH77" s="276" t="str">
        <f t="shared" si="13"/>
        <v/>
      </c>
      <c r="AI77" s="105"/>
      <c r="AJ77" s="276" t="str">
        <f>IF(AI77="","",(IF(AND(AI77="N/A - Culvert",N77&lt;&gt;"Culvert"),"Not possible ▲",IF(VLOOKUP(AI77,'G-7 WaterC'' Data'!$AA$4:$AB$7,2,FALSE)=0,"Spatial Data Missing ⚠",VLOOKUP(AI77,'G-7 WaterC'' Data'!$AA$4:$AB$7,2,FALSE)))))</f>
        <v/>
      </c>
      <c r="AK77" s="106"/>
      <c r="AL77" s="310" t="str">
        <f>IF(AK77="","",IF(AND(AK77="N/A - Culvert",N77&lt;&gt;"Culvert"),"Not possible ▲",IF(VLOOKUP(AK77,'G-7 WaterC'' Data'!$AD$4:$AE$14,2,FALSE)=0,"Spatial Data Missing ⚠",VLOOKUP(AK77,'G-7 WaterC'' Data'!$AD$4:$AE$14,2,FALSE))))</f>
        <v/>
      </c>
      <c r="AM77" s="275" t="str">
        <f>IF(B77="","",VLOOKUP($B77,'F-1 Off-Site WaterC'' Baseline'!$C$9:$Z$257,17,FALSE))</f>
        <v/>
      </c>
      <c r="AN77" s="276" t="str">
        <f>IF(AM77="","",IF(VLOOKUP(AM77,'G-7 WaterC'' Data'!$AO$4:$BO$7,2,FALSE)=0,"Spatial Data Missing ⚠",VLOOKUP(AM77,'G-7 WaterC'' Data'!$AO$4:$BO$7,2,FALSE)))</f>
        <v/>
      </c>
      <c r="AO77" s="317" t="str">
        <f t="shared" si="18" ref="AO77:AO140">IFERROR(IF(C77="","",IF(Q77&gt;D77,((((Q77*S77*U77)-(D77*F77*H77))*(AH77*AD77))+(D77*F77*H77))*(AL77*X77*AJ77*AN77),((((Q77*S77*U77)-(Q77*F77*H77))*(AH77*AD77))+(Q77*F77*H77))*(AL77*X77*AJ77*AN77))),"")</f>
        <v/>
      </c>
      <c r="AP77" s="317" t="str">
        <f t="shared" si="19" ref="AP77:AP140">IFERROR(IF(C77="","",IF(AM77="","",IF(AND(N77&lt;&gt;"",M77=""),"Check data ⚠",(IF(AND(AM77&lt;&gt;"",AT77=""),"Off-site reference required ▲",IF(Q77&gt;D77,((((Q77*S77*U77)-(D77*F77*H77))*(AH77*AD77))+(D77*F77*H77))*(AL77*X77*AJ77),((((Q77*S77*U77)-(Q77*F77*H77))*(AH77*AD77))+(Q77*F77*H77))*(AL77*X77*AJ77))))))),"")</f>
        <v/>
      </c>
      <c r="AQ77" s="101"/>
      <c r="AR77" s="115"/>
      <c r="AS77" s="104"/>
      <c r="AT77" s="104"/>
      <c r="AW77" s="30" t="str">
        <f>IF(E77="","",VLOOKUP($B77,'F-1 Off-Site WaterC'' Baseline'!$C$9:$Z$257,12,FALSE))</f>
        <v/>
      </c>
      <c r="AX77" s="30" t="str">
        <f>IF(E77="","",VLOOKUP($B77,'F-1 Off-Site WaterC'' Baseline'!$C$9:$Z$257,14,FALSE))</f>
        <v/>
      </c>
      <c r="AY77" s="30" t="str">
        <f>IFERROR(INDEX('G-7 WaterC'' Data'!$AZ$3:$AZ$7,MATCH(N77,'G-7 WaterC'' Data'!$AY$3:$AY$7,0)),"")</f>
        <v/>
      </c>
      <c r="AZ77" s="30" t="str">
        <f>IF(B77="","",IF(ISNA(VLOOKUP($B77,'F-1 Off-Site WaterC'' Baseline'!$C$8:$AD$257,20,FALSE)),"",(VLOOKUP($B77,'F-1 Off-Site WaterC'' Baseline'!$C$8:$AD$257,20,FALSE))))</f>
        <v/>
      </c>
      <c r="BC77" s="30" t="str">
        <f>IF(B77="","",VLOOKUP($B77,'F-1 Off-Site WaterC'' Baseline'!$C$9:$AB$257,25,FALSE))</f>
        <v/>
      </c>
      <c r="BD77" s="30" t="str">
        <f t="shared" si="20" ref="BD77:BD140">IF(B77="","",IF(BC77&gt;M77,M77,IF((BF77+Q77)&gt;D77,M77-BE77,BC77)))</f>
        <v/>
      </c>
      <c r="BE77" s="30" t="str">
        <f>IF(B77="","",VLOOKUP($B77,'F-1 Off-Site WaterC'' Baseline'!$C$9:$AB$257,24,FALSE))</f>
        <v/>
      </c>
      <c r="BF77" s="30" t="str">
        <f>IF(B77="","",VLOOKUP($B77,'F-1 Off-Site WaterC'' Baseline'!$C$9:$AB$257,22,FALSE))</f>
        <v/>
      </c>
      <c r="BJ77" s="30" t="str">
        <f t="shared" si="21" ref="BJ77:BJ140">IF(AND(N77="Ditches",(OR(T77="Fairly Poor",T77="Fairly Good"))),"Yes","No")</f>
        <v>No</v>
      </c>
    </row>
    <row r="78" spans="2:62" ht="14">
      <c r="B78" s="305" t="str">
        <f>'F-1 Off-Site WaterC'' Baseline'!AS76</f>
        <v/>
      </c>
      <c r="C78" s="295" t="str">
        <f>IF(B78="","",VLOOKUP($B78,'F-1 Off-Site WaterC'' Baseline'!$C$9:$R$257,2,FALSE))</f>
        <v/>
      </c>
      <c r="D78" s="295" t="str">
        <f>IF(C78="","",VLOOKUP($B78,'F-1 Off-Site WaterC'' Baseline'!$C$9:$R$257,3,FALSE))</f>
        <v/>
      </c>
      <c r="E78" s="295" t="str">
        <f>IF(D78="","",VLOOKUP($B78,'F-1 Off-Site WaterC'' Baseline'!$C$9:$R$257,4,FALSE))</f>
        <v/>
      </c>
      <c r="F78" s="295" t="str">
        <f>IF(E78="","",VLOOKUP($B78,'F-1 Off-Site WaterC'' Baseline'!$C$9:$R$257,5,FALSE))</f>
        <v/>
      </c>
      <c r="G78" s="295" t="str">
        <f>IF(F78="","",VLOOKUP($B78,'F-1 Off-Site WaterC'' Baseline'!$C$9:$R$257,6,FALSE))</f>
        <v/>
      </c>
      <c r="H78" s="295" t="str">
        <f>IF(G78="","",VLOOKUP($B78,'F-1 Off-Site WaterC'' Baseline'!$C$9:$R$257,7,FALSE))</f>
        <v/>
      </c>
      <c r="I78" s="295" t="str">
        <f>IF(H78="","",VLOOKUP($B78,'F-1 Off-Site WaterC'' Baseline'!$C$9:$R$257,8,FALSE))</f>
        <v/>
      </c>
      <c r="J78" s="295" t="str">
        <f>IF(I78="","",VLOOKUP($B78,'F-1 Off-Site WaterC'' Baseline'!$C$9:$R$257,9,FALSE))</f>
        <v/>
      </c>
      <c r="K78" s="295" t="str">
        <f>IF(J78="","",VLOOKUP($B78,'F-1 Off-Site WaterC'' Baseline'!$C$9:$R$257,10,FALSE))</f>
        <v/>
      </c>
      <c r="L78" s="283" t="str">
        <f>IF(B78="","",VLOOKUP($B78,'F-1 Off-Site WaterC'' Baseline'!$C$9:$R$257,15,FALSE))</f>
        <v/>
      </c>
      <c r="M78" s="299" t="str">
        <f>IF(L78="","",VLOOKUP($B78,'F-1 Off-Site WaterC'' Baseline'!$C$9:$V$257,19,FALSE))</f>
        <v/>
      </c>
      <c r="N78" s="244"/>
      <c r="O78" s="275" t="str">
        <f t="shared" si="14"/>
        <v/>
      </c>
      <c r="P78" s="276" t="str">
        <f t="shared" si="15"/>
        <v/>
      </c>
      <c r="Q78" s="281" t="str">
        <f>IF(N78="","",VLOOKUP(B78,'F-1 Off-Site WaterC'' Baseline'!$C$10:$AF$257,23,FALSE))</f>
        <v/>
      </c>
      <c r="R78" s="275" t="str">
        <f>IF(N78="","",VLOOKUP(N78,'G-7 WaterC'' Data'!$B$2:$G$8,2,FALSE))</f>
        <v/>
      </c>
      <c r="S78" s="276" t="str">
        <f>IFERROR(VLOOKUP(R78,'G-7 WaterC'' Data'!$C$4:$D$8,2,FALSE),"")</f>
        <v/>
      </c>
      <c r="T78" s="101"/>
      <c r="U78" s="276" t="str">
        <f>IFERROR(INDEX('G-7 WaterC'' Data'!$H$4:$L$8,MATCH(N78,'G-7 WaterC'' Data'!$B$4:$B$8,0),MATCH(T78,'G-7 WaterC'' Data'!$H$3:$L$3,0)),"")</f>
        <v/>
      </c>
      <c r="V78" s="105"/>
      <c r="W78" s="295" t="str">
        <f>IF(V78="","",IF(VLOOKUP(V78,'G-7 WaterC'' Data'!$AK$4:$AM$6,2,FALSE)=0,"Spatial Data Missing ⚠",VLOOKUP(V78,'G-7 WaterC'' Data'!$AK$4:$AM$6,2,FALSE)))</f>
        <v/>
      </c>
      <c r="X78" s="299" t="str">
        <f>IF(V78="","",IF(VLOOKUP(V78,'G-7 WaterC'' Data'!$AK$4:$AM$6,3,FALSE)=0,"Spatial Data Missing ⚠",VLOOKUP(V78,'G-7 WaterC'' Data'!$AK$4:$AM$6,3,FALSE)))</f>
        <v/>
      </c>
      <c r="Y78" s="311" t="str">
        <f>IFERROR(IF(OR(LEFT(P78,5)="Error",LEFT(O78,5)="Error"),"Check Data ⚠",IF(F78&lt;S78,'G-7 WaterC'' Data'!$R$3,INDEX('G-7 WaterC'' Data'!$U$5:$Y$9,MATCH(G78,'G-7 WaterC'' Data'!$T$5:$T$9,0),MATCH(T78,'G-7 WaterC'' Data'!$U$4:$Y$4,0)))),"")</f>
        <v/>
      </c>
      <c r="Z78" s="138"/>
      <c r="AA78" s="138"/>
      <c r="AB78" s="308" t="str">
        <f t="shared" si="11"/>
        <v/>
      </c>
      <c r="AC78" s="296" t="str">
        <f t="shared" si="16"/>
        <v/>
      </c>
      <c r="AD78" s="334" t="str">
        <f>IFERROR(IF(AC78="Check Data ⚠","Check Data ⚠",VLOOKUP(AC78,'G-4 Temporal multipliers'!$A$4:$C$37,3,FALSE)),"")</f>
        <v/>
      </c>
      <c r="AE78" s="311" t="str">
        <f>IF(N78="","",VLOOKUP(N78,'G-7 WaterC'' Data'!$B$4:$G$8,5,FALSE))</f>
        <v/>
      </c>
      <c r="AF78" s="295" t="str">
        <f t="shared" si="12"/>
        <v/>
      </c>
      <c r="AG78" s="295" t="str">
        <f t="shared" si="17"/>
        <v/>
      </c>
      <c r="AH78" s="276" t="str">
        <f t="shared" si="13"/>
        <v/>
      </c>
      <c r="AI78" s="105"/>
      <c r="AJ78" s="276" t="str">
        <f>IF(AI78="","",(IF(AND(AI78="N/A - Culvert",N78&lt;&gt;"Culvert"),"Not possible ▲",IF(VLOOKUP(AI78,'G-7 WaterC'' Data'!$AA$4:$AB$7,2,FALSE)=0,"Spatial Data Missing ⚠",VLOOKUP(AI78,'G-7 WaterC'' Data'!$AA$4:$AB$7,2,FALSE)))))</f>
        <v/>
      </c>
      <c r="AK78" s="106"/>
      <c r="AL78" s="310" t="str">
        <f>IF(AK78="","",IF(AND(AK78="N/A - Culvert",N78&lt;&gt;"Culvert"),"Not possible ▲",IF(VLOOKUP(AK78,'G-7 WaterC'' Data'!$AD$4:$AE$14,2,FALSE)=0,"Spatial Data Missing ⚠",VLOOKUP(AK78,'G-7 WaterC'' Data'!$AD$4:$AE$14,2,FALSE))))</f>
        <v/>
      </c>
      <c r="AM78" s="275" t="str">
        <f>IF(B78="","",VLOOKUP($B78,'F-1 Off-Site WaterC'' Baseline'!$C$9:$Z$257,17,FALSE))</f>
        <v/>
      </c>
      <c r="AN78" s="276" t="str">
        <f>IF(AM78="","",IF(VLOOKUP(AM78,'G-7 WaterC'' Data'!$AO$4:$BO$7,2,FALSE)=0,"Spatial Data Missing ⚠",VLOOKUP(AM78,'G-7 WaterC'' Data'!$AO$4:$BO$7,2,FALSE)))</f>
        <v/>
      </c>
      <c r="AO78" s="317" t="str">
        <f t="shared" si="18"/>
        <v/>
      </c>
      <c r="AP78" s="317" t="str">
        <f t="shared" si="19"/>
        <v/>
      </c>
      <c r="AQ78" s="101"/>
      <c r="AR78" s="115"/>
      <c r="AS78" s="104"/>
      <c r="AT78" s="104"/>
      <c r="AW78" s="30" t="str">
        <f>IF(E78="","",VLOOKUP($B78,'F-1 Off-Site WaterC'' Baseline'!$C$9:$Z$257,12,FALSE))</f>
        <v/>
      </c>
      <c r="AX78" s="30" t="str">
        <f>IF(E78="","",VLOOKUP($B78,'F-1 Off-Site WaterC'' Baseline'!$C$9:$Z$257,14,FALSE))</f>
        <v/>
      </c>
      <c r="AY78" s="30" t="str">
        <f>IFERROR(INDEX('G-7 WaterC'' Data'!$AZ$3:$AZ$7,MATCH(N78,'G-7 WaterC'' Data'!$AY$3:$AY$7,0)),"")</f>
        <v/>
      </c>
      <c r="AZ78" s="30" t="str">
        <f>IF(B78="","",IF(ISNA(VLOOKUP($B78,'F-1 Off-Site WaterC'' Baseline'!$C$8:$AD$257,20,FALSE)),"",(VLOOKUP($B78,'F-1 Off-Site WaterC'' Baseline'!$C$8:$AD$257,20,FALSE))))</f>
        <v/>
      </c>
      <c r="BC78" s="30" t="str">
        <f>IF(B78="","",VLOOKUP($B78,'F-1 Off-Site WaterC'' Baseline'!$C$9:$AB$257,25,FALSE))</f>
        <v/>
      </c>
      <c r="BD78" s="30" t="str">
        <f t="shared" si="20"/>
        <v/>
      </c>
      <c r="BE78" s="30" t="str">
        <f>IF(B78="","",VLOOKUP($B78,'F-1 Off-Site WaterC'' Baseline'!$C$9:$AB$257,24,FALSE))</f>
        <v/>
      </c>
      <c r="BF78" s="30" t="str">
        <f>IF(B78="","",VLOOKUP($B78,'F-1 Off-Site WaterC'' Baseline'!$C$9:$AB$257,22,FALSE))</f>
        <v/>
      </c>
      <c r="BJ78" s="30" t="str">
        <f t="shared" si="21"/>
        <v>No</v>
      </c>
    </row>
    <row r="79" spans="2:62" ht="14">
      <c r="B79" s="305" t="str">
        <f>'F-1 Off-Site WaterC'' Baseline'!AS77</f>
        <v/>
      </c>
      <c r="C79" s="295" t="str">
        <f>IF(B79="","",VLOOKUP($B79,'F-1 Off-Site WaterC'' Baseline'!$C$9:$R$257,2,FALSE))</f>
        <v/>
      </c>
      <c r="D79" s="295" t="str">
        <f>IF(C79="","",VLOOKUP($B79,'F-1 Off-Site WaterC'' Baseline'!$C$9:$R$257,3,FALSE))</f>
        <v/>
      </c>
      <c r="E79" s="295" t="str">
        <f>IF(D79="","",VLOOKUP($B79,'F-1 Off-Site WaterC'' Baseline'!$C$9:$R$257,4,FALSE))</f>
        <v/>
      </c>
      <c r="F79" s="295" t="str">
        <f>IF(E79="","",VLOOKUP($B79,'F-1 Off-Site WaterC'' Baseline'!$C$9:$R$257,5,FALSE))</f>
        <v/>
      </c>
      <c r="G79" s="295" t="str">
        <f>IF(F79="","",VLOOKUP($B79,'F-1 Off-Site WaterC'' Baseline'!$C$9:$R$257,6,FALSE))</f>
        <v/>
      </c>
      <c r="H79" s="295" t="str">
        <f>IF(G79="","",VLOOKUP($B79,'F-1 Off-Site WaterC'' Baseline'!$C$9:$R$257,7,FALSE))</f>
        <v/>
      </c>
      <c r="I79" s="295" t="str">
        <f>IF(H79="","",VLOOKUP($B79,'F-1 Off-Site WaterC'' Baseline'!$C$9:$R$257,8,FALSE))</f>
        <v/>
      </c>
      <c r="J79" s="295" t="str">
        <f>IF(I79="","",VLOOKUP($B79,'F-1 Off-Site WaterC'' Baseline'!$C$9:$R$257,9,FALSE))</f>
        <v/>
      </c>
      <c r="K79" s="295" t="str">
        <f>IF(J79="","",VLOOKUP($B79,'F-1 Off-Site WaterC'' Baseline'!$C$9:$R$257,10,FALSE))</f>
        <v/>
      </c>
      <c r="L79" s="283" t="str">
        <f>IF(B79="","",VLOOKUP($B79,'F-1 Off-Site WaterC'' Baseline'!$C$9:$R$257,15,FALSE))</f>
        <v/>
      </c>
      <c r="M79" s="299" t="str">
        <f>IF(L79="","",VLOOKUP($B79,'F-1 Off-Site WaterC'' Baseline'!$C$9:$V$257,19,FALSE))</f>
        <v/>
      </c>
      <c r="N79" s="244"/>
      <c r="O79" s="275" t="str">
        <f t="shared" si="14"/>
        <v/>
      </c>
      <c r="P79" s="276" t="str">
        <f t="shared" si="15"/>
        <v/>
      </c>
      <c r="Q79" s="281" t="str">
        <f>IF(N79="","",VLOOKUP(B79,'F-1 Off-Site WaterC'' Baseline'!$C$10:$AF$257,23,FALSE))</f>
        <v/>
      </c>
      <c r="R79" s="275" t="str">
        <f>IF(N79="","",VLOOKUP(N79,'G-7 WaterC'' Data'!$B$2:$G$8,2,FALSE))</f>
        <v/>
      </c>
      <c r="S79" s="276" t="str">
        <f>IFERROR(VLOOKUP(R79,'G-7 WaterC'' Data'!$C$4:$D$8,2,FALSE),"")</f>
        <v/>
      </c>
      <c r="T79" s="101"/>
      <c r="U79" s="276" t="str">
        <f>IFERROR(INDEX('G-7 WaterC'' Data'!$H$4:$L$8,MATCH(N79,'G-7 WaterC'' Data'!$B$4:$B$8,0),MATCH(T79,'G-7 WaterC'' Data'!$H$3:$L$3,0)),"")</f>
        <v/>
      </c>
      <c r="V79" s="105"/>
      <c r="W79" s="295" t="str">
        <f>IF(V79="","",IF(VLOOKUP(V79,'G-7 WaterC'' Data'!$AK$4:$AM$6,2,FALSE)=0,"Spatial Data Missing ⚠",VLOOKUP(V79,'G-7 WaterC'' Data'!$AK$4:$AM$6,2,FALSE)))</f>
        <v/>
      </c>
      <c r="X79" s="299" t="str">
        <f>IF(V79="","",IF(VLOOKUP(V79,'G-7 WaterC'' Data'!$AK$4:$AM$6,3,FALSE)=0,"Spatial Data Missing ⚠",VLOOKUP(V79,'G-7 WaterC'' Data'!$AK$4:$AM$6,3,FALSE)))</f>
        <v/>
      </c>
      <c r="Y79" s="311" t="str">
        <f>IFERROR(IF(OR(LEFT(P79,5)="Error",LEFT(O79,5)="Error"),"Check Data ⚠",IF(F79&lt;S79,'G-7 WaterC'' Data'!$R$3,INDEX('G-7 WaterC'' Data'!$U$5:$Y$9,MATCH(G79,'G-7 WaterC'' Data'!$T$5:$T$9,0),MATCH(T79,'G-7 WaterC'' Data'!$U$4:$Y$4,0)))),"")</f>
        <v/>
      </c>
      <c r="Z79" s="138"/>
      <c r="AA79" s="138"/>
      <c r="AB79" s="308" t="str">
        <f t="shared" si="11"/>
        <v/>
      </c>
      <c r="AC79" s="296" t="str">
        <f t="shared" si="16"/>
        <v/>
      </c>
      <c r="AD79" s="334" t="str">
        <f>IFERROR(IF(AC79="Check Data ⚠","Check Data ⚠",VLOOKUP(AC79,'G-4 Temporal multipliers'!$A$4:$C$37,3,FALSE)),"")</f>
        <v/>
      </c>
      <c r="AE79" s="311" t="str">
        <f>IF(N79="","",VLOOKUP(N79,'G-7 WaterC'' Data'!$B$4:$G$8,5,FALSE))</f>
        <v/>
      </c>
      <c r="AF79" s="295" t="str">
        <f t="shared" si="12"/>
        <v/>
      </c>
      <c r="AG79" s="295" t="str">
        <f t="shared" si="17"/>
        <v/>
      </c>
      <c r="AH79" s="276" t="str">
        <f t="shared" si="13"/>
        <v/>
      </c>
      <c r="AI79" s="105"/>
      <c r="AJ79" s="276" t="str">
        <f>IF(AI79="","",(IF(AND(AI79="N/A - Culvert",N79&lt;&gt;"Culvert"),"Not possible ▲",IF(VLOOKUP(AI79,'G-7 WaterC'' Data'!$AA$4:$AB$7,2,FALSE)=0,"Spatial Data Missing ⚠",VLOOKUP(AI79,'G-7 WaterC'' Data'!$AA$4:$AB$7,2,FALSE)))))</f>
        <v/>
      </c>
      <c r="AK79" s="106"/>
      <c r="AL79" s="310" t="str">
        <f>IF(AK79="","",IF(AND(AK79="N/A - Culvert",N79&lt;&gt;"Culvert"),"Not possible ▲",IF(VLOOKUP(AK79,'G-7 WaterC'' Data'!$AD$4:$AE$14,2,FALSE)=0,"Spatial Data Missing ⚠",VLOOKUP(AK79,'G-7 WaterC'' Data'!$AD$4:$AE$14,2,FALSE))))</f>
        <v/>
      </c>
      <c r="AM79" s="275" t="str">
        <f>IF(B79="","",VLOOKUP($B79,'F-1 Off-Site WaterC'' Baseline'!$C$9:$Z$257,17,FALSE))</f>
        <v/>
      </c>
      <c r="AN79" s="276" t="str">
        <f>IF(AM79="","",IF(VLOOKUP(AM79,'G-7 WaterC'' Data'!$AO$4:$BO$7,2,FALSE)=0,"Spatial Data Missing ⚠",VLOOKUP(AM79,'G-7 WaterC'' Data'!$AO$4:$BO$7,2,FALSE)))</f>
        <v/>
      </c>
      <c r="AO79" s="317" t="str">
        <f t="shared" si="18"/>
        <v/>
      </c>
      <c r="AP79" s="317" t="str">
        <f t="shared" si="19"/>
        <v/>
      </c>
      <c r="AQ79" s="101"/>
      <c r="AR79" s="115"/>
      <c r="AS79" s="104"/>
      <c r="AT79" s="104"/>
      <c r="AW79" s="30" t="str">
        <f>IF(E79="","",VLOOKUP($B79,'F-1 Off-Site WaterC'' Baseline'!$C$9:$Z$257,12,FALSE))</f>
        <v/>
      </c>
      <c r="AX79" s="30" t="str">
        <f>IF(E79="","",VLOOKUP($B79,'F-1 Off-Site WaterC'' Baseline'!$C$9:$Z$257,14,FALSE))</f>
        <v/>
      </c>
      <c r="AY79" s="30" t="str">
        <f>IFERROR(INDEX('G-7 WaterC'' Data'!$AZ$3:$AZ$7,MATCH(N79,'G-7 WaterC'' Data'!$AY$3:$AY$7,0)),"")</f>
        <v/>
      </c>
      <c r="AZ79" s="30" t="str">
        <f>IF(B79="","",IF(ISNA(VLOOKUP($B79,'F-1 Off-Site WaterC'' Baseline'!$C$8:$AD$257,20,FALSE)),"",(VLOOKUP($B79,'F-1 Off-Site WaterC'' Baseline'!$C$8:$AD$257,20,FALSE))))</f>
        <v/>
      </c>
      <c r="BC79" s="30" t="str">
        <f>IF(B79="","",VLOOKUP($B79,'F-1 Off-Site WaterC'' Baseline'!$C$9:$AB$257,25,FALSE))</f>
        <v/>
      </c>
      <c r="BD79" s="30" t="str">
        <f t="shared" si="20"/>
        <v/>
      </c>
      <c r="BE79" s="30" t="str">
        <f>IF(B79="","",VLOOKUP($B79,'F-1 Off-Site WaterC'' Baseline'!$C$9:$AB$257,24,FALSE))</f>
        <v/>
      </c>
      <c r="BF79" s="30" t="str">
        <f>IF(B79="","",VLOOKUP($B79,'F-1 Off-Site WaterC'' Baseline'!$C$9:$AB$257,22,FALSE))</f>
        <v/>
      </c>
      <c r="BJ79" s="30" t="str">
        <f t="shared" si="21"/>
        <v>No</v>
      </c>
    </row>
    <row r="80" spans="2:62" ht="14">
      <c r="B80" s="305" t="str">
        <f>'F-1 Off-Site WaterC'' Baseline'!AS78</f>
        <v/>
      </c>
      <c r="C80" s="295" t="str">
        <f>IF(B80="","",VLOOKUP($B80,'F-1 Off-Site WaterC'' Baseline'!$C$9:$R$257,2,FALSE))</f>
        <v/>
      </c>
      <c r="D80" s="295" t="str">
        <f>IF(C80="","",VLOOKUP($B80,'F-1 Off-Site WaterC'' Baseline'!$C$9:$R$257,3,FALSE))</f>
        <v/>
      </c>
      <c r="E80" s="295" t="str">
        <f>IF(D80="","",VLOOKUP($B80,'F-1 Off-Site WaterC'' Baseline'!$C$9:$R$257,4,FALSE))</f>
        <v/>
      </c>
      <c r="F80" s="295" t="str">
        <f>IF(E80="","",VLOOKUP($B80,'F-1 Off-Site WaterC'' Baseline'!$C$9:$R$257,5,FALSE))</f>
        <v/>
      </c>
      <c r="G80" s="295" t="str">
        <f>IF(F80="","",VLOOKUP($B80,'F-1 Off-Site WaterC'' Baseline'!$C$9:$R$257,6,FALSE))</f>
        <v/>
      </c>
      <c r="H80" s="295" t="str">
        <f>IF(G80="","",VLOOKUP($B80,'F-1 Off-Site WaterC'' Baseline'!$C$9:$R$257,7,FALSE))</f>
        <v/>
      </c>
      <c r="I80" s="295" t="str">
        <f>IF(H80="","",VLOOKUP($B80,'F-1 Off-Site WaterC'' Baseline'!$C$9:$R$257,8,FALSE))</f>
        <v/>
      </c>
      <c r="J80" s="295" t="str">
        <f>IF(I80="","",VLOOKUP($B80,'F-1 Off-Site WaterC'' Baseline'!$C$9:$R$257,9,FALSE))</f>
        <v/>
      </c>
      <c r="K80" s="295" t="str">
        <f>IF(J80="","",VLOOKUP($B80,'F-1 Off-Site WaterC'' Baseline'!$C$9:$R$257,10,FALSE))</f>
        <v/>
      </c>
      <c r="L80" s="283" t="str">
        <f>IF(B80="","",VLOOKUP($B80,'F-1 Off-Site WaterC'' Baseline'!$C$9:$R$257,15,FALSE))</f>
        <v/>
      </c>
      <c r="M80" s="299" t="str">
        <f>IF(L80="","",VLOOKUP($B80,'F-1 Off-Site WaterC'' Baseline'!$C$9:$V$257,19,FALSE))</f>
        <v/>
      </c>
      <c r="N80" s="244"/>
      <c r="O80" s="275" t="str">
        <f t="shared" si="14"/>
        <v/>
      </c>
      <c r="P80" s="276" t="str">
        <f t="shared" si="15"/>
        <v/>
      </c>
      <c r="Q80" s="281" t="str">
        <f>IF(N80="","",VLOOKUP(B80,'F-1 Off-Site WaterC'' Baseline'!$C$10:$AF$257,23,FALSE))</f>
        <v/>
      </c>
      <c r="R80" s="275" t="str">
        <f>IF(N80="","",VLOOKUP(N80,'G-7 WaterC'' Data'!$B$2:$G$8,2,FALSE))</f>
        <v/>
      </c>
      <c r="S80" s="276" t="str">
        <f>IFERROR(VLOOKUP(R80,'G-7 WaterC'' Data'!$C$4:$D$8,2,FALSE),"")</f>
        <v/>
      </c>
      <c r="T80" s="101"/>
      <c r="U80" s="276" t="str">
        <f>IFERROR(INDEX('G-7 WaterC'' Data'!$H$4:$L$8,MATCH(N80,'G-7 WaterC'' Data'!$B$4:$B$8,0),MATCH(T80,'G-7 WaterC'' Data'!$H$3:$L$3,0)),"")</f>
        <v/>
      </c>
      <c r="V80" s="105"/>
      <c r="W80" s="295" t="str">
        <f>IF(V80="","",IF(VLOOKUP(V80,'G-7 WaterC'' Data'!$AK$4:$AM$6,2,FALSE)=0,"Spatial Data Missing ⚠",VLOOKUP(V80,'G-7 WaterC'' Data'!$AK$4:$AM$6,2,FALSE)))</f>
        <v/>
      </c>
      <c r="X80" s="299" t="str">
        <f>IF(V80="","",IF(VLOOKUP(V80,'G-7 WaterC'' Data'!$AK$4:$AM$6,3,FALSE)=0,"Spatial Data Missing ⚠",VLOOKUP(V80,'G-7 WaterC'' Data'!$AK$4:$AM$6,3,FALSE)))</f>
        <v/>
      </c>
      <c r="Y80" s="311" t="str">
        <f>IFERROR(IF(OR(LEFT(P80,5)="Error",LEFT(O80,5)="Error"),"Check Data ⚠",IF(F80&lt;S80,'G-7 WaterC'' Data'!$R$3,INDEX('G-7 WaterC'' Data'!$U$5:$Y$9,MATCH(G80,'G-7 WaterC'' Data'!$T$5:$T$9,0),MATCH(T80,'G-7 WaterC'' Data'!$U$4:$Y$4,0)))),"")</f>
        <v/>
      </c>
      <c r="Z80" s="138"/>
      <c r="AA80" s="138"/>
      <c r="AB80" s="308" t="str">
        <f t="shared" si="11"/>
        <v/>
      </c>
      <c r="AC80" s="296" t="str">
        <f t="shared" si="16"/>
        <v/>
      </c>
      <c r="AD80" s="334" t="str">
        <f>IFERROR(IF(AC80="Check Data ⚠","Check Data ⚠",VLOOKUP(AC80,'G-4 Temporal multipliers'!$A$4:$C$37,3,FALSE)),"")</f>
        <v/>
      </c>
      <c r="AE80" s="311" t="str">
        <f>IF(N80="","",VLOOKUP(N80,'G-7 WaterC'' Data'!$B$4:$G$8,5,FALSE))</f>
        <v/>
      </c>
      <c r="AF80" s="295" t="str">
        <f t="shared" si="12"/>
        <v/>
      </c>
      <c r="AG80" s="295" t="str">
        <f t="shared" si="17"/>
        <v/>
      </c>
      <c r="AH80" s="276" t="str">
        <f t="shared" si="13"/>
        <v/>
      </c>
      <c r="AI80" s="105"/>
      <c r="AJ80" s="276" t="str">
        <f>IF(AI80="","",(IF(AND(AI80="N/A - Culvert",N80&lt;&gt;"Culvert"),"Not possible ▲",IF(VLOOKUP(AI80,'G-7 WaterC'' Data'!$AA$4:$AB$7,2,FALSE)=0,"Spatial Data Missing ⚠",VLOOKUP(AI80,'G-7 WaterC'' Data'!$AA$4:$AB$7,2,FALSE)))))</f>
        <v/>
      </c>
      <c r="AK80" s="106"/>
      <c r="AL80" s="310" t="str">
        <f>IF(AK80="","",IF(AND(AK80="N/A - Culvert",N80&lt;&gt;"Culvert"),"Not possible ▲",IF(VLOOKUP(AK80,'G-7 WaterC'' Data'!$AD$4:$AE$14,2,FALSE)=0,"Spatial Data Missing ⚠",VLOOKUP(AK80,'G-7 WaterC'' Data'!$AD$4:$AE$14,2,FALSE))))</f>
        <v/>
      </c>
      <c r="AM80" s="275" t="str">
        <f>IF(B80="","",VLOOKUP($B80,'F-1 Off-Site WaterC'' Baseline'!$C$9:$Z$257,17,FALSE))</f>
        <v/>
      </c>
      <c r="AN80" s="276" t="str">
        <f>IF(AM80="","",IF(VLOOKUP(AM80,'G-7 WaterC'' Data'!$AO$4:$BO$7,2,FALSE)=0,"Spatial Data Missing ⚠",VLOOKUP(AM80,'G-7 WaterC'' Data'!$AO$4:$BO$7,2,FALSE)))</f>
        <v/>
      </c>
      <c r="AO80" s="317" t="str">
        <f t="shared" si="18"/>
        <v/>
      </c>
      <c r="AP80" s="317" t="str">
        <f t="shared" si="19"/>
        <v/>
      </c>
      <c r="AQ80" s="101"/>
      <c r="AR80" s="115"/>
      <c r="AS80" s="104"/>
      <c r="AT80" s="104"/>
      <c r="AW80" s="30" t="str">
        <f>IF(E80="","",VLOOKUP($B80,'F-1 Off-Site WaterC'' Baseline'!$C$9:$Z$257,12,FALSE))</f>
        <v/>
      </c>
      <c r="AX80" s="30" t="str">
        <f>IF(E80="","",VLOOKUP($B80,'F-1 Off-Site WaterC'' Baseline'!$C$9:$Z$257,14,FALSE))</f>
        <v/>
      </c>
      <c r="AY80" s="30" t="str">
        <f>IFERROR(INDEX('G-7 WaterC'' Data'!$AZ$3:$AZ$7,MATCH(N80,'G-7 WaterC'' Data'!$AY$3:$AY$7,0)),"")</f>
        <v/>
      </c>
      <c r="AZ80" s="30" t="str">
        <f>IF(B80="","",IF(ISNA(VLOOKUP($B80,'F-1 Off-Site WaterC'' Baseline'!$C$8:$AD$257,20,FALSE)),"",(VLOOKUP($B80,'F-1 Off-Site WaterC'' Baseline'!$C$8:$AD$257,20,FALSE))))</f>
        <v/>
      </c>
      <c r="BC80" s="30" t="str">
        <f>IF(B80="","",VLOOKUP($B80,'F-1 Off-Site WaterC'' Baseline'!$C$9:$AB$257,25,FALSE))</f>
        <v/>
      </c>
      <c r="BD80" s="30" t="str">
        <f t="shared" si="20"/>
        <v/>
      </c>
      <c r="BE80" s="30" t="str">
        <f>IF(B80="","",VLOOKUP($B80,'F-1 Off-Site WaterC'' Baseline'!$C$9:$AB$257,24,FALSE))</f>
        <v/>
      </c>
      <c r="BF80" s="30" t="str">
        <f>IF(B80="","",VLOOKUP($B80,'F-1 Off-Site WaterC'' Baseline'!$C$9:$AB$257,22,FALSE))</f>
        <v/>
      </c>
      <c r="BJ80" s="30" t="str">
        <f t="shared" si="21"/>
        <v>No</v>
      </c>
    </row>
    <row r="81" spans="2:62" ht="14">
      <c r="B81" s="305" t="str">
        <f>'F-1 Off-Site WaterC'' Baseline'!AS79</f>
        <v/>
      </c>
      <c r="C81" s="295" t="str">
        <f>IF(B81="","",VLOOKUP($B81,'F-1 Off-Site WaterC'' Baseline'!$C$9:$R$257,2,FALSE))</f>
        <v/>
      </c>
      <c r="D81" s="295" t="str">
        <f>IF(C81="","",VLOOKUP($B81,'F-1 Off-Site WaterC'' Baseline'!$C$9:$R$257,3,FALSE))</f>
        <v/>
      </c>
      <c r="E81" s="295" t="str">
        <f>IF(D81="","",VLOOKUP($B81,'F-1 Off-Site WaterC'' Baseline'!$C$9:$R$257,4,FALSE))</f>
        <v/>
      </c>
      <c r="F81" s="295" t="str">
        <f>IF(E81="","",VLOOKUP($B81,'F-1 Off-Site WaterC'' Baseline'!$C$9:$R$257,5,FALSE))</f>
        <v/>
      </c>
      <c r="G81" s="295" t="str">
        <f>IF(F81="","",VLOOKUP($B81,'F-1 Off-Site WaterC'' Baseline'!$C$9:$R$257,6,FALSE))</f>
        <v/>
      </c>
      <c r="H81" s="295" t="str">
        <f>IF(G81="","",VLOOKUP($B81,'F-1 Off-Site WaterC'' Baseline'!$C$9:$R$257,7,FALSE))</f>
        <v/>
      </c>
      <c r="I81" s="295" t="str">
        <f>IF(H81="","",VLOOKUP($B81,'F-1 Off-Site WaterC'' Baseline'!$C$9:$R$257,8,FALSE))</f>
        <v/>
      </c>
      <c r="J81" s="295" t="str">
        <f>IF(I81="","",VLOOKUP($B81,'F-1 Off-Site WaterC'' Baseline'!$C$9:$R$257,9,FALSE))</f>
        <v/>
      </c>
      <c r="K81" s="295" t="str">
        <f>IF(J81="","",VLOOKUP($B81,'F-1 Off-Site WaterC'' Baseline'!$C$9:$R$257,10,FALSE))</f>
        <v/>
      </c>
      <c r="L81" s="283" t="str">
        <f>IF(B81="","",VLOOKUP($B81,'F-1 Off-Site WaterC'' Baseline'!$C$9:$R$257,15,FALSE))</f>
        <v/>
      </c>
      <c r="M81" s="299" t="str">
        <f>IF(L81="","",VLOOKUP($B81,'F-1 Off-Site WaterC'' Baseline'!$C$9:$V$257,19,FALSE))</f>
        <v/>
      </c>
      <c r="N81" s="244"/>
      <c r="O81" s="275" t="str">
        <f t="shared" si="14"/>
        <v/>
      </c>
      <c r="P81" s="276" t="str">
        <f t="shared" si="15"/>
        <v/>
      </c>
      <c r="Q81" s="281" t="str">
        <f>IF(N81="","",VLOOKUP(B81,'F-1 Off-Site WaterC'' Baseline'!$C$10:$AF$257,23,FALSE))</f>
        <v/>
      </c>
      <c r="R81" s="275" t="str">
        <f>IF(N81="","",VLOOKUP(N81,'G-7 WaterC'' Data'!$B$2:$G$8,2,FALSE))</f>
        <v/>
      </c>
      <c r="S81" s="276" t="str">
        <f>IFERROR(VLOOKUP(R81,'G-7 WaterC'' Data'!$C$4:$D$8,2,FALSE),"")</f>
        <v/>
      </c>
      <c r="T81" s="101"/>
      <c r="U81" s="276" t="str">
        <f>IFERROR(INDEX('G-7 WaterC'' Data'!$H$4:$L$8,MATCH(N81,'G-7 WaterC'' Data'!$B$4:$B$8,0),MATCH(T81,'G-7 WaterC'' Data'!$H$3:$L$3,0)),"")</f>
        <v/>
      </c>
      <c r="V81" s="105"/>
      <c r="W81" s="295" t="str">
        <f>IF(V81="","",IF(VLOOKUP(V81,'G-7 WaterC'' Data'!$AK$4:$AM$6,2,FALSE)=0,"Spatial Data Missing ⚠",VLOOKUP(V81,'G-7 WaterC'' Data'!$AK$4:$AM$6,2,FALSE)))</f>
        <v/>
      </c>
      <c r="X81" s="299" t="str">
        <f>IF(V81="","",IF(VLOOKUP(V81,'G-7 WaterC'' Data'!$AK$4:$AM$6,3,FALSE)=0,"Spatial Data Missing ⚠",VLOOKUP(V81,'G-7 WaterC'' Data'!$AK$4:$AM$6,3,FALSE)))</f>
        <v/>
      </c>
      <c r="Y81" s="311" t="str">
        <f>IFERROR(IF(OR(LEFT(P81,5)="Error",LEFT(O81,5)="Error"),"Check Data ⚠",IF(F81&lt;S81,'G-7 WaterC'' Data'!$R$3,INDEX('G-7 WaterC'' Data'!$U$5:$Y$9,MATCH(G81,'G-7 WaterC'' Data'!$T$5:$T$9,0),MATCH(T81,'G-7 WaterC'' Data'!$U$4:$Y$4,0)))),"")</f>
        <v/>
      </c>
      <c r="Z81" s="138"/>
      <c r="AA81" s="138"/>
      <c r="AB81" s="308" t="str">
        <f t="shared" si="11"/>
        <v/>
      </c>
      <c r="AC81" s="296" t="str">
        <f t="shared" si="16"/>
        <v/>
      </c>
      <c r="AD81" s="334" t="str">
        <f>IFERROR(IF(AC81="Check Data ⚠","Check Data ⚠",VLOOKUP(AC81,'G-4 Temporal multipliers'!$A$4:$C$37,3,FALSE)),"")</f>
        <v/>
      </c>
      <c r="AE81" s="311" t="str">
        <f>IF(N81="","",VLOOKUP(N81,'G-7 WaterC'' Data'!$B$4:$G$8,5,FALSE))</f>
        <v/>
      </c>
      <c r="AF81" s="295" t="str">
        <f t="shared" si="12"/>
        <v/>
      </c>
      <c r="AG81" s="295" t="str">
        <f t="shared" si="17"/>
        <v/>
      </c>
      <c r="AH81" s="276" t="str">
        <f t="shared" si="13"/>
        <v/>
      </c>
      <c r="AI81" s="105"/>
      <c r="AJ81" s="276" t="str">
        <f>IF(AI81="","",(IF(AND(AI81="N/A - Culvert",N81&lt;&gt;"Culvert"),"Not possible ▲",IF(VLOOKUP(AI81,'G-7 WaterC'' Data'!$AA$4:$AB$7,2,FALSE)=0,"Spatial Data Missing ⚠",VLOOKUP(AI81,'G-7 WaterC'' Data'!$AA$4:$AB$7,2,FALSE)))))</f>
        <v/>
      </c>
      <c r="AK81" s="106"/>
      <c r="AL81" s="310" t="str">
        <f>IF(AK81="","",IF(AND(AK81="N/A - Culvert",N81&lt;&gt;"Culvert"),"Not possible ▲",IF(VLOOKUP(AK81,'G-7 WaterC'' Data'!$AD$4:$AE$14,2,FALSE)=0,"Spatial Data Missing ⚠",VLOOKUP(AK81,'G-7 WaterC'' Data'!$AD$4:$AE$14,2,FALSE))))</f>
        <v/>
      </c>
      <c r="AM81" s="275" t="str">
        <f>IF(B81="","",VLOOKUP($B81,'F-1 Off-Site WaterC'' Baseline'!$C$9:$Z$257,17,FALSE))</f>
        <v/>
      </c>
      <c r="AN81" s="276" t="str">
        <f>IF(AM81="","",IF(VLOOKUP(AM81,'G-7 WaterC'' Data'!$AO$4:$BO$7,2,FALSE)=0,"Spatial Data Missing ⚠",VLOOKUP(AM81,'G-7 WaterC'' Data'!$AO$4:$BO$7,2,FALSE)))</f>
        <v/>
      </c>
      <c r="AO81" s="317" t="str">
        <f t="shared" si="18"/>
        <v/>
      </c>
      <c r="AP81" s="317" t="str">
        <f t="shared" si="19"/>
        <v/>
      </c>
      <c r="AQ81" s="101"/>
      <c r="AR81" s="115"/>
      <c r="AS81" s="104"/>
      <c r="AT81" s="104"/>
      <c r="AW81" s="30" t="str">
        <f>IF(E81="","",VLOOKUP($B81,'F-1 Off-Site WaterC'' Baseline'!$C$9:$Z$257,12,FALSE))</f>
        <v/>
      </c>
      <c r="AX81" s="30" t="str">
        <f>IF(E81="","",VLOOKUP($B81,'F-1 Off-Site WaterC'' Baseline'!$C$9:$Z$257,14,FALSE))</f>
        <v/>
      </c>
      <c r="AY81" s="30" t="str">
        <f>IFERROR(INDEX('G-7 WaterC'' Data'!$AZ$3:$AZ$7,MATCH(N81,'G-7 WaterC'' Data'!$AY$3:$AY$7,0)),"")</f>
        <v/>
      </c>
      <c r="AZ81" s="30" t="str">
        <f>IF(B81="","",IF(ISNA(VLOOKUP($B81,'F-1 Off-Site WaterC'' Baseline'!$C$8:$AD$257,20,FALSE)),"",(VLOOKUP($B81,'F-1 Off-Site WaterC'' Baseline'!$C$8:$AD$257,20,FALSE))))</f>
        <v/>
      </c>
      <c r="BC81" s="30" t="str">
        <f>IF(B81="","",VLOOKUP($B81,'F-1 Off-Site WaterC'' Baseline'!$C$9:$AB$257,25,FALSE))</f>
        <v/>
      </c>
      <c r="BD81" s="30" t="str">
        <f t="shared" si="20"/>
        <v/>
      </c>
      <c r="BE81" s="30" t="str">
        <f>IF(B81="","",VLOOKUP($B81,'F-1 Off-Site WaterC'' Baseline'!$C$9:$AB$257,24,FALSE))</f>
        <v/>
      </c>
      <c r="BF81" s="30" t="str">
        <f>IF(B81="","",VLOOKUP($B81,'F-1 Off-Site WaterC'' Baseline'!$C$9:$AB$257,22,FALSE))</f>
        <v/>
      </c>
      <c r="BJ81" s="30" t="str">
        <f t="shared" si="21"/>
        <v>No</v>
      </c>
    </row>
    <row r="82" spans="2:62" ht="14">
      <c r="B82" s="305" t="str">
        <f>'F-1 Off-Site WaterC'' Baseline'!AS80</f>
        <v/>
      </c>
      <c r="C82" s="295" t="str">
        <f>IF(B82="","",VLOOKUP($B82,'F-1 Off-Site WaterC'' Baseline'!$C$9:$R$257,2,FALSE))</f>
        <v/>
      </c>
      <c r="D82" s="295" t="str">
        <f>IF(C82="","",VLOOKUP($B82,'F-1 Off-Site WaterC'' Baseline'!$C$9:$R$257,3,FALSE))</f>
        <v/>
      </c>
      <c r="E82" s="295" t="str">
        <f>IF(D82="","",VLOOKUP($B82,'F-1 Off-Site WaterC'' Baseline'!$C$9:$R$257,4,FALSE))</f>
        <v/>
      </c>
      <c r="F82" s="295" t="str">
        <f>IF(E82="","",VLOOKUP($B82,'F-1 Off-Site WaterC'' Baseline'!$C$9:$R$257,5,FALSE))</f>
        <v/>
      </c>
      <c r="G82" s="295" t="str">
        <f>IF(F82="","",VLOOKUP($B82,'F-1 Off-Site WaterC'' Baseline'!$C$9:$R$257,6,FALSE))</f>
        <v/>
      </c>
      <c r="H82" s="295" t="str">
        <f>IF(G82="","",VLOOKUP($B82,'F-1 Off-Site WaterC'' Baseline'!$C$9:$R$257,7,FALSE))</f>
        <v/>
      </c>
      <c r="I82" s="295" t="str">
        <f>IF(H82="","",VLOOKUP($B82,'F-1 Off-Site WaterC'' Baseline'!$C$9:$R$257,8,FALSE))</f>
        <v/>
      </c>
      <c r="J82" s="295" t="str">
        <f>IF(I82="","",VLOOKUP($B82,'F-1 Off-Site WaterC'' Baseline'!$C$9:$R$257,9,FALSE))</f>
        <v/>
      </c>
      <c r="K82" s="295" t="str">
        <f>IF(J82="","",VLOOKUP($B82,'F-1 Off-Site WaterC'' Baseline'!$C$9:$R$257,10,FALSE))</f>
        <v/>
      </c>
      <c r="L82" s="283" t="str">
        <f>IF(B82="","",VLOOKUP($B82,'F-1 Off-Site WaterC'' Baseline'!$C$9:$R$257,15,FALSE))</f>
        <v/>
      </c>
      <c r="M82" s="299" t="str">
        <f>IF(L82="","",VLOOKUP($B82,'F-1 Off-Site WaterC'' Baseline'!$C$9:$V$257,19,FALSE))</f>
        <v/>
      </c>
      <c r="N82" s="244"/>
      <c r="O82" s="275" t="str">
        <f t="shared" si="14"/>
        <v/>
      </c>
      <c r="P82" s="276" t="str">
        <f t="shared" si="15"/>
        <v/>
      </c>
      <c r="Q82" s="281" t="str">
        <f>IF(N82="","",VLOOKUP(B82,'F-1 Off-Site WaterC'' Baseline'!$C$10:$AF$257,23,FALSE))</f>
        <v/>
      </c>
      <c r="R82" s="275" t="str">
        <f>IF(N82="","",VLOOKUP(N82,'G-7 WaterC'' Data'!$B$2:$G$8,2,FALSE))</f>
        <v/>
      </c>
      <c r="S82" s="276" t="str">
        <f>IFERROR(VLOOKUP(R82,'G-7 WaterC'' Data'!$C$4:$D$8,2,FALSE),"")</f>
        <v/>
      </c>
      <c r="T82" s="101"/>
      <c r="U82" s="276" t="str">
        <f>IFERROR(INDEX('G-7 WaterC'' Data'!$H$4:$L$8,MATCH(N82,'G-7 WaterC'' Data'!$B$4:$B$8,0),MATCH(T82,'G-7 WaterC'' Data'!$H$3:$L$3,0)),"")</f>
        <v/>
      </c>
      <c r="V82" s="105"/>
      <c r="W82" s="295" t="str">
        <f>IF(V82="","",IF(VLOOKUP(V82,'G-7 WaterC'' Data'!$AK$4:$AM$6,2,FALSE)=0,"Spatial Data Missing ⚠",VLOOKUP(V82,'G-7 WaterC'' Data'!$AK$4:$AM$6,2,FALSE)))</f>
        <v/>
      </c>
      <c r="X82" s="299" t="str">
        <f>IF(V82="","",IF(VLOOKUP(V82,'G-7 WaterC'' Data'!$AK$4:$AM$6,3,FALSE)=0,"Spatial Data Missing ⚠",VLOOKUP(V82,'G-7 WaterC'' Data'!$AK$4:$AM$6,3,FALSE)))</f>
        <v/>
      </c>
      <c r="Y82" s="311" t="str">
        <f>IFERROR(IF(OR(LEFT(P82,5)="Error",LEFT(O82,5)="Error"),"Check Data ⚠",IF(F82&lt;S82,'G-7 WaterC'' Data'!$R$3,INDEX('G-7 WaterC'' Data'!$U$5:$Y$9,MATCH(G82,'G-7 WaterC'' Data'!$T$5:$T$9,0),MATCH(T82,'G-7 WaterC'' Data'!$U$4:$Y$4,0)))),"")</f>
        <v/>
      </c>
      <c r="Z82" s="138"/>
      <c r="AA82" s="138"/>
      <c r="AB82" s="308" t="str">
        <f t="shared" si="11"/>
        <v/>
      </c>
      <c r="AC82" s="296" t="str">
        <f t="shared" si="16"/>
        <v/>
      </c>
      <c r="AD82" s="334" t="str">
        <f>IFERROR(IF(AC82="Check Data ⚠","Check Data ⚠",VLOOKUP(AC82,'G-4 Temporal multipliers'!$A$4:$C$37,3,FALSE)),"")</f>
        <v/>
      </c>
      <c r="AE82" s="311" t="str">
        <f>IF(N82="","",VLOOKUP(N82,'G-7 WaterC'' Data'!$B$4:$G$8,5,FALSE))</f>
        <v/>
      </c>
      <c r="AF82" s="295" t="str">
        <f t="shared" si="12"/>
        <v/>
      </c>
      <c r="AG82" s="295" t="str">
        <f t="shared" si="17"/>
        <v/>
      </c>
      <c r="AH82" s="276" t="str">
        <f t="shared" si="13"/>
        <v/>
      </c>
      <c r="AI82" s="105"/>
      <c r="AJ82" s="276" t="str">
        <f>IF(AI82="","",(IF(AND(AI82="N/A - Culvert",N82&lt;&gt;"Culvert"),"Not possible ▲",IF(VLOOKUP(AI82,'G-7 WaterC'' Data'!$AA$4:$AB$7,2,FALSE)=0,"Spatial Data Missing ⚠",VLOOKUP(AI82,'G-7 WaterC'' Data'!$AA$4:$AB$7,2,FALSE)))))</f>
        <v/>
      </c>
      <c r="AK82" s="106"/>
      <c r="AL82" s="310" t="str">
        <f>IF(AK82="","",IF(AND(AK82="N/A - Culvert",N82&lt;&gt;"Culvert"),"Not possible ▲",IF(VLOOKUP(AK82,'G-7 WaterC'' Data'!$AD$4:$AE$14,2,FALSE)=0,"Spatial Data Missing ⚠",VLOOKUP(AK82,'G-7 WaterC'' Data'!$AD$4:$AE$14,2,FALSE))))</f>
        <v/>
      </c>
      <c r="AM82" s="275" t="str">
        <f>IF(B82="","",VLOOKUP($B82,'F-1 Off-Site WaterC'' Baseline'!$C$9:$Z$257,17,FALSE))</f>
        <v/>
      </c>
      <c r="AN82" s="276" t="str">
        <f>IF(AM82="","",IF(VLOOKUP(AM82,'G-7 WaterC'' Data'!$AO$4:$BO$7,2,FALSE)=0,"Spatial Data Missing ⚠",VLOOKUP(AM82,'G-7 WaterC'' Data'!$AO$4:$BO$7,2,FALSE)))</f>
        <v/>
      </c>
      <c r="AO82" s="317" t="str">
        <f t="shared" si="18"/>
        <v/>
      </c>
      <c r="AP82" s="317" t="str">
        <f t="shared" si="19"/>
        <v/>
      </c>
      <c r="AQ82" s="101"/>
      <c r="AR82" s="115"/>
      <c r="AS82" s="104"/>
      <c r="AT82" s="104"/>
      <c r="AW82" s="30" t="str">
        <f>IF(E82="","",VLOOKUP($B82,'F-1 Off-Site WaterC'' Baseline'!$C$9:$Z$257,12,FALSE))</f>
        <v/>
      </c>
      <c r="AX82" s="30" t="str">
        <f>IF(E82="","",VLOOKUP($B82,'F-1 Off-Site WaterC'' Baseline'!$C$9:$Z$257,14,FALSE))</f>
        <v/>
      </c>
      <c r="AY82" s="30" t="str">
        <f>IFERROR(INDEX('G-7 WaterC'' Data'!$AZ$3:$AZ$7,MATCH(N82,'G-7 WaterC'' Data'!$AY$3:$AY$7,0)),"")</f>
        <v/>
      </c>
      <c r="AZ82" s="30" t="str">
        <f>IF(B82="","",IF(ISNA(VLOOKUP($B82,'F-1 Off-Site WaterC'' Baseline'!$C$8:$AD$257,20,FALSE)),"",(VLOOKUP($B82,'F-1 Off-Site WaterC'' Baseline'!$C$8:$AD$257,20,FALSE))))</f>
        <v/>
      </c>
      <c r="BC82" s="30" t="str">
        <f>IF(B82="","",VLOOKUP($B82,'F-1 Off-Site WaterC'' Baseline'!$C$9:$AB$257,25,FALSE))</f>
        <v/>
      </c>
      <c r="BD82" s="30" t="str">
        <f t="shared" si="20"/>
        <v/>
      </c>
      <c r="BE82" s="30" t="str">
        <f>IF(B82="","",VLOOKUP($B82,'F-1 Off-Site WaterC'' Baseline'!$C$9:$AB$257,24,FALSE))</f>
        <v/>
      </c>
      <c r="BF82" s="30" t="str">
        <f>IF(B82="","",VLOOKUP($B82,'F-1 Off-Site WaterC'' Baseline'!$C$9:$AB$257,22,FALSE))</f>
        <v/>
      </c>
      <c r="BJ82" s="30" t="str">
        <f t="shared" si="21"/>
        <v>No</v>
      </c>
    </row>
    <row r="83" spans="2:62" ht="14">
      <c r="B83" s="305" t="str">
        <f>'F-1 Off-Site WaterC'' Baseline'!AS81</f>
        <v/>
      </c>
      <c r="C83" s="295" t="str">
        <f>IF(B83="","",VLOOKUP($B83,'F-1 Off-Site WaterC'' Baseline'!$C$9:$R$257,2,FALSE))</f>
        <v/>
      </c>
      <c r="D83" s="295" t="str">
        <f>IF(C83="","",VLOOKUP($B83,'F-1 Off-Site WaterC'' Baseline'!$C$9:$R$257,3,FALSE))</f>
        <v/>
      </c>
      <c r="E83" s="295" t="str">
        <f>IF(D83="","",VLOOKUP($B83,'F-1 Off-Site WaterC'' Baseline'!$C$9:$R$257,4,FALSE))</f>
        <v/>
      </c>
      <c r="F83" s="295" t="str">
        <f>IF(E83="","",VLOOKUP($B83,'F-1 Off-Site WaterC'' Baseline'!$C$9:$R$257,5,FALSE))</f>
        <v/>
      </c>
      <c r="G83" s="295" t="str">
        <f>IF(F83="","",VLOOKUP($B83,'F-1 Off-Site WaterC'' Baseline'!$C$9:$R$257,6,FALSE))</f>
        <v/>
      </c>
      <c r="H83" s="295" t="str">
        <f>IF(G83="","",VLOOKUP($B83,'F-1 Off-Site WaterC'' Baseline'!$C$9:$R$257,7,FALSE))</f>
        <v/>
      </c>
      <c r="I83" s="295" t="str">
        <f>IF(H83="","",VLOOKUP($B83,'F-1 Off-Site WaterC'' Baseline'!$C$9:$R$257,8,FALSE))</f>
        <v/>
      </c>
      <c r="J83" s="295" t="str">
        <f>IF(I83="","",VLOOKUP($B83,'F-1 Off-Site WaterC'' Baseline'!$C$9:$R$257,9,FALSE))</f>
        <v/>
      </c>
      <c r="K83" s="295" t="str">
        <f>IF(J83="","",VLOOKUP($B83,'F-1 Off-Site WaterC'' Baseline'!$C$9:$R$257,10,FALSE))</f>
        <v/>
      </c>
      <c r="L83" s="283" t="str">
        <f>IF(B83="","",VLOOKUP($B83,'F-1 Off-Site WaterC'' Baseline'!$C$9:$R$257,15,FALSE))</f>
        <v/>
      </c>
      <c r="M83" s="299" t="str">
        <f>IF(L83="","",VLOOKUP($B83,'F-1 Off-Site WaterC'' Baseline'!$C$9:$V$257,19,FALSE))</f>
        <v/>
      </c>
      <c r="N83" s="244"/>
      <c r="O83" s="275" t="str">
        <f t="shared" si="14"/>
        <v/>
      </c>
      <c r="P83" s="276" t="str">
        <f t="shared" si="15"/>
        <v/>
      </c>
      <c r="Q83" s="281" t="str">
        <f>IF(N83="","",VLOOKUP(B83,'F-1 Off-Site WaterC'' Baseline'!$C$10:$AF$257,23,FALSE))</f>
        <v/>
      </c>
      <c r="R83" s="275" t="str">
        <f>IF(N83="","",VLOOKUP(N83,'G-7 WaterC'' Data'!$B$2:$G$8,2,FALSE))</f>
        <v/>
      </c>
      <c r="S83" s="276" t="str">
        <f>IFERROR(VLOOKUP(R83,'G-7 WaterC'' Data'!$C$4:$D$8,2,FALSE),"")</f>
        <v/>
      </c>
      <c r="T83" s="101"/>
      <c r="U83" s="276" t="str">
        <f>IFERROR(INDEX('G-7 WaterC'' Data'!$H$4:$L$8,MATCH(N83,'G-7 WaterC'' Data'!$B$4:$B$8,0),MATCH(T83,'G-7 WaterC'' Data'!$H$3:$L$3,0)),"")</f>
        <v/>
      </c>
      <c r="V83" s="105"/>
      <c r="W83" s="295" t="str">
        <f>IF(V83="","",IF(VLOOKUP(V83,'G-7 WaterC'' Data'!$AK$4:$AM$6,2,FALSE)=0,"Spatial Data Missing ⚠",VLOOKUP(V83,'G-7 WaterC'' Data'!$AK$4:$AM$6,2,FALSE)))</f>
        <v/>
      </c>
      <c r="X83" s="299" t="str">
        <f>IF(V83="","",IF(VLOOKUP(V83,'G-7 WaterC'' Data'!$AK$4:$AM$6,3,FALSE)=0,"Spatial Data Missing ⚠",VLOOKUP(V83,'G-7 WaterC'' Data'!$AK$4:$AM$6,3,FALSE)))</f>
        <v/>
      </c>
      <c r="Y83" s="311" t="str">
        <f>IFERROR(IF(OR(LEFT(P83,5)="Error",LEFT(O83,5)="Error"),"Check Data ⚠",IF(F83&lt;S83,'G-7 WaterC'' Data'!$R$3,INDEX('G-7 WaterC'' Data'!$U$5:$Y$9,MATCH(G83,'G-7 WaterC'' Data'!$T$5:$T$9,0),MATCH(T83,'G-7 WaterC'' Data'!$U$4:$Y$4,0)))),"")</f>
        <v/>
      </c>
      <c r="Z83" s="138"/>
      <c r="AA83" s="138"/>
      <c r="AB83" s="308" t="str">
        <f t="shared" si="11"/>
        <v/>
      </c>
      <c r="AC83" s="296" t="str">
        <f t="shared" si="16"/>
        <v/>
      </c>
      <c r="AD83" s="334" t="str">
        <f>IFERROR(IF(AC83="Check Data ⚠","Check Data ⚠",VLOOKUP(AC83,'G-4 Temporal multipliers'!$A$4:$C$37,3,FALSE)),"")</f>
        <v/>
      </c>
      <c r="AE83" s="311" t="str">
        <f>IF(N83="","",VLOOKUP(N83,'G-7 WaterC'' Data'!$B$4:$G$8,5,FALSE))</f>
        <v/>
      </c>
      <c r="AF83" s="295" t="str">
        <f t="shared" si="12"/>
        <v/>
      </c>
      <c r="AG83" s="295" t="str">
        <f t="shared" si="17"/>
        <v/>
      </c>
      <c r="AH83" s="276" t="str">
        <f t="shared" si="13"/>
        <v/>
      </c>
      <c r="AI83" s="105"/>
      <c r="AJ83" s="276" t="str">
        <f>IF(AI83="","",(IF(AND(AI83="N/A - Culvert",N83&lt;&gt;"Culvert"),"Not possible ▲",IF(VLOOKUP(AI83,'G-7 WaterC'' Data'!$AA$4:$AB$7,2,FALSE)=0,"Spatial Data Missing ⚠",VLOOKUP(AI83,'G-7 WaterC'' Data'!$AA$4:$AB$7,2,FALSE)))))</f>
        <v/>
      </c>
      <c r="AK83" s="106"/>
      <c r="AL83" s="310" t="str">
        <f>IF(AK83="","",IF(AND(AK83="N/A - Culvert",N83&lt;&gt;"Culvert"),"Not possible ▲",IF(VLOOKUP(AK83,'G-7 WaterC'' Data'!$AD$4:$AE$14,2,FALSE)=0,"Spatial Data Missing ⚠",VLOOKUP(AK83,'G-7 WaterC'' Data'!$AD$4:$AE$14,2,FALSE))))</f>
        <v/>
      </c>
      <c r="AM83" s="275" t="str">
        <f>IF(B83="","",VLOOKUP($B83,'F-1 Off-Site WaterC'' Baseline'!$C$9:$Z$257,17,FALSE))</f>
        <v/>
      </c>
      <c r="AN83" s="276" t="str">
        <f>IF(AM83="","",IF(VLOOKUP(AM83,'G-7 WaterC'' Data'!$AO$4:$BO$7,2,FALSE)=0,"Spatial Data Missing ⚠",VLOOKUP(AM83,'G-7 WaterC'' Data'!$AO$4:$BO$7,2,FALSE)))</f>
        <v/>
      </c>
      <c r="AO83" s="317" t="str">
        <f t="shared" si="18"/>
        <v/>
      </c>
      <c r="AP83" s="317" t="str">
        <f t="shared" si="19"/>
        <v/>
      </c>
      <c r="AQ83" s="101"/>
      <c r="AR83" s="115"/>
      <c r="AS83" s="104"/>
      <c r="AT83" s="104"/>
      <c r="AW83" s="30" t="str">
        <f>IF(E83="","",VLOOKUP($B83,'F-1 Off-Site WaterC'' Baseline'!$C$9:$Z$257,12,FALSE))</f>
        <v/>
      </c>
      <c r="AX83" s="30" t="str">
        <f>IF(E83="","",VLOOKUP($B83,'F-1 Off-Site WaterC'' Baseline'!$C$9:$Z$257,14,FALSE))</f>
        <v/>
      </c>
      <c r="AY83" s="30" t="str">
        <f>IFERROR(INDEX('G-7 WaterC'' Data'!$AZ$3:$AZ$7,MATCH(N83,'G-7 WaterC'' Data'!$AY$3:$AY$7,0)),"")</f>
        <v/>
      </c>
      <c r="AZ83" s="30" t="str">
        <f>IF(B83="","",IF(ISNA(VLOOKUP($B83,'F-1 Off-Site WaterC'' Baseline'!$C$8:$AD$257,20,FALSE)),"",(VLOOKUP($B83,'F-1 Off-Site WaterC'' Baseline'!$C$8:$AD$257,20,FALSE))))</f>
        <v/>
      </c>
      <c r="BC83" s="30" t="str">
        <f>IF(B83="","",VLOOKUP($B83,'F-1 Off-Site WaterC'' Baseline'!$C$9:$AB$257,25,FALSE))</f>
        <v/>
      </c>
      <c r="BD83" s="30" t="str">
        <f t="shared" si="20"/>
        <v/>
      </c>
      <c r="BE83" s="30" t="str">
        <f>IF(B83="","",VLOOKUP($B83,'F-1 Off-Site WaterC'' Baseline'!$C$9:$AB$257,24,FALSE))</f>
        <v/>
      </c>
      <c r="BF83" s="30" t="str">
        <f>IF(B83="","",VLOOKUP($B83,'F-1 Off-Site WaterC'' Baseline'!$C$9:$AB$257,22,FALSE))</f>
        <v/>
      </c>
      <c r="BJ83" s="30" t="str">
        <f t="shared" si="21"/>
        <v>No</v>
      </c>
    </row>
    <row r="84" spans="2:62" ht="14">
      <c r="B84" s="305" t="str">
        <f>'F-1 Off-Site WaterC'' Baseline'!AS82</f>
        <v/>
      </c>
      <c r="C84" s="295" t="str">
        <f>IF(B84="","",VLOOKUP($B84,'F-1 Off-Site WaterC'' Baseline'!$C$9:$R$257,2,FALSE))</f>
        <v/>
      </c>
      <c r="D84" s="295" t="str">
        <f>IF(C84="","",VLOOKUP($B84,'F-1 Off-Site WaterC'' Baseline'!$C$9:$R$257,3,FALSE))</f>
        <v/>
      </c>
      <c r="E84" s="295" t="str">
        <f>IF(D84="","",VLOOKUP($B84,'F-1 Off-Site WaterC'' Baseline'!$C$9:$R$257,4,FALSE))</f>
        <v/>
      </c>
      <c r="F84" s="295" t="str">
        <f>IF(E84="","",VLOOKUP($B84,'F-1 Off-Site WaterC'' Baseline'!$C$9:$R$257,5,FALSE))</f>
        <v/>
      </c>
      <c r="G84" s="295" t="str">
        <f>IF(F84="","",VLOOKUP($B84,'F-1 Off-Site WaterC'' Baseline'!$C$9:$R$257,6,FALSE))</f>
        <v/>
      </c>
      <c r="H84" s="295" t="str">
        <f>IF(G84="","",VLOOKUP($B84,'F-1 Off-Site WaterC'' Baseline'!$C$9:$R$257,7,FALSE))</f>
        <v/>
      </c>
      <c r="I84" s="295" t="str">
        <f>IF(H84="","",VLOOKUP($B84,'F-1 Off-Site WaterC'' Baseline'!$C$9:$R$257,8,FALSE))</f>
        <v/>
      </c>
      <c r="J84" s="295" t="str">
        <f>IF(I84="","",VLOOKUP($B84,'F-1 Off-Site WaterC'' Baseline'!$C$9:$R$257,9,FALSE))</f>
        <v/>
      </c>
      <c r="K84" s="295" t="str">
        <f>IF(J84="","",VLOOKUP($B84,'F-1 Off-Site WaterC'' Baseline'!$C$9:$R$257,10,FALSE))</f>
        <v/>
      </c>
      <c r="L84" s="283" t="str">
        <f>IF(B84="","",VLOOKUP($B84,'F-1 Off-Site WaterC'' Baseline'!$C$9:$R$257,15,FALSE))</f>
        <v/>
      </c>
      <c r="M84" s="299" t="str">
        <f>IF(L84="","",VLOOKUP($B84,'F-1 Off-Site WaterC'' Baseline'!$C$9:$V$257,19,FALSE))</f>
        <v/>
      </c>
      <c r="N84" s="244"/>
      <c r="O84" s="275" t="str">
        <f t="shared" si="14"/>
        <v/>
      </c>
      <c r="P84" s="276" t="str">
        <f t="shared" si="15"/>
        <v/>
      </c>
      <c r="Q84" s="281" t="str">
        <f>IF(N84="","",VLOOKUP(B84,'F-1 Off-Site WaterC'' Baseline'!$C$10:$AF$257,23,FALSE))</f>
        <v/>
      </c>
      <c r="R84" s="275" t="str">
        <f>IF(N84="","",VLOOKUP(N84,'G-7 WaterC'' Data'!$B$2:$G$8,2,FALSE))</f>
        <v/>
      </c>
      <c r="S84" s="276" t="str">
        <f>IFERROR(VLOOKUP(R84,'G-7 WaterC'' Data'!$C$4:$D$8,2,FALSE),"")</f>
        <v/>
      </c>
      <c r="T84" s="101"/>
      <c r="U84" s="276" t="str">
        <f>IFERROR(INDEX('G-7 WaterC'' Data'!$H$4:$L$8,MATCH(N84,'G-7 WaterC'' Data'!$B$4:$B$8,0),MATCH(T84,'G-7 WaterC'' Data'!$H$3:$L$3,0)),"")</f>
        <v/>
      </c>
      <c r="V84" s="105"/>
      <c r="W84" s="295" t="str">
        <f>IF(V84="","",IF(VLOOKUP(V84,'G-7 WaterC'' Data'!$AK$4:$AM$6,2,FALSE)=0,"Spatial Data Missing ⚠",VLOOKUP(V84,'G-7 WaterC'' Data'!$AK$4:$AM$6,2,FALSE)))</f>
        <v/>
      </c>
      <c r="X84" s="299" t="str">
        <f>IF(V84="","",IF(VLOOKUP(V84,'G-7 WaterC'' Data'!$AK$4:$AM$6,3,FALSE)=0,"Spatial Data Missing ⚠",VLOOKUP(V84,'G-7 WaterC'' Data'!$AK$4:$AM$6,3,FALSE)))</f>
        <v/>
      </c>
      <c r="Y84" s="311" t="str">
        <f>IFERROR(IF(OR(LEFT(P84,5)="Error",LEFT(O84,5)="Error"),"Check Data ⚠",IF(F84&lt;S84,'G-7 WaterC'' Data'!$R$3,INDEX('G-7 WaterC'' Data'!$U$5:$Y$9,MATCH(G84,'G-7 WaterC'' Data'!$T$5:$T$9,0),MATCH(T84,'G-7 WaterC'' Data'!$U$4:$Y$4,0)))),"")</f>
        <v/>
      </c>
      <c r="Z84" s="138"/>
      <c r="AA84" s="138"/>
      <c r="AB84" s="308" t="str">
        <f t="shared" si="11"/>
        <v/>
      </c>
      <c r="AC84" s="296" t="str">
        <f t="shared" si="16"/>
        <v/>
      </c>
      <c r="AD84" s="334" t="str">
        <f>IFERROR(IF(AC84="Check Data ⚠","Check Data ⚠",VLOOKUP(AC84,'G-4 Temporal multipliers'!$A$4:$C$37,3,FALSE)),"")</f>
        <v/>
      </c>
      <c r="AE84" s="311" t="str">
        <f>IF(N84="","",VLOOKUP(N84,'G-7 WaterC'' Data'!$B$4:$G$8,5,FALSE))</f>
        <v/>
      </c>
      <c r="AF84" s="295" t="str">
        <f t="shared" si="12"/>
        <v/>
      </c>
      <c r="AG84" s="295" t="str">
        <f t="shared" si="17"/>
        <v/>
      </c>
      <c r="AH84" s="276" t="str">
        <f t="shared" si="13"/>
        <v/>
      </c>
      <c r="AI84" s="105"/>
      <c r="AJ84" s="276" t="str">
        <f>IF(AI84="","",(IF(AND(AI84="N/A - Culvert",N84&lt;&gt;"Culvert"),"Not possible ▲",IF(VLOOKUP(AI84,'G-7 WaterC'' Data'!$AA$4:$AB$7,2,FALSE)=0,"Spatial Data Missing ⚠",VLOOKUP(AI84,'G-7 WaterC'' Data'!$AA$4:$AB$7,2,FALSE)))))</f>
        <v/>
      </c>
      <c r="AK84" s="106"/>
      <c r="AL84" s="310" t="str">
        <f>IF(AK84="","",IF(AND(AK84="N/A - Culvert",N84&lt;&gt;"Culvert"),"Not possible ▲",IF(VLOOKUP(AK84,'G-7 WaterC'' Data'!$AD$4:$AE$14,2,FALSE)=0,"Spatial Data Missing ⚠",VLOOKUP(AK84,'G-7 WaterC'' Data'!$AD$4:$AE$14,2,FALSE))))</f>
        <v/>
      </c>
      <c r="AM84" s="275" t="str">
        <f>IF(B84="","",VLOOKUP($B84,'F-1 Off-Site WaterC'' Baseline'!$C$9:$Z$257,17,FALSE))</f>
        <v/>
      </c>
      <c r="AN84" s="276" t="str">
        <f>IF(AM84="","",IF(VLOOKUP(AM84,'G-7 WaterC'' Data'!$AO$4:$BO$7,2,FALSE)=0,"Spatial Data Missing ⚠",VLOOKUP(AM84,'G-7 WaterC'' Data'!$AO$4:$BO$7,2,FALSE)))</f>
        <v/>
      </c>
      <c r="AO84" s="317" t="str">
        <f t="shared" si="18"/>
        <v/>
      </c>
      <c r="AP84" s="317" t="str">
        <f t="shared" si="19"/>
        <v/>
      </c>
      <c r="AQ84" s="101"/>
      <c r="AR84" s="115"/>
      <c r="AS84" s="104"/>
      <c r="AT84" s="104"/>
      <c r="AW84" s="30" t="str">
        <f>IF(E84="","",VLOOKUP($B84,'F-1 Off-Site WaterC'' Baseline'!$C$9:$Z$257,12,FALSE))</f>
        <v/>
      </c>
      <c r="AX84" s="30" t="str">
        <f>IF(E84="","",VLOOKUP($B84,'F-1 Off-Site WaterC'' Baseline'!$C$9:$Z$257,14,FALSE))</f>
        <v/>
      </c>
      <c r="AY84" s="30" t="str">
        <f>IFERROR(INDEX('G-7 WaterC'' Data'!$AZ$3:$AZ$7,MATCH(N84,'G-7 WaterC'' Data'!$AY$3:$AY$7,0)),"")</f>
        <v/>
      </c>
      <c r="AZ84" s="30" t="str">
        <f>IF(B84="","",IF(ISNA(VLOOKUP($B84,'F-1 Off-Site WaterC'' Baseline'!$C$8:$AD$257,20,FALSE)),"",(VLOOKUP($B84,'F-1 Off-Site WaterC'' Baseline'!$C$8:$AD$257,20,FALSE))))</f>
        <v/>
      </c>
      <c r="BC84" s="30" t="str">
        <f>IF(B84="","",VLOOKUP($B84,'F-1 Off-Site WaterC'' Baseline'!$C$9:$AB$257,25,FALSE))</f>
        <v/>
      </c>
      <c r="BD84" s="30" t="str">
        <f t="shared" si="20"/>
        <v/>
      </c>
      <c r="BE84" s="30" t="str">
        <f>IF(B84="","",VLOOKUP($B84,'F-1 Off-Site WaterC'' Baseline'!$C$9:$AB$257,24,FALSE))</f>
        <v/>
      </c>
      <c r="BF84" s="30" t="str">
        <f>IF(B84="","",VLOOKUP($B84,'F-1 Off-Site WaterC'' Baseline'!$C$9:$AB$257,22,FALSE))</f>
        <v/>
      </c>
      <c r="BJ84" s="30" t="str">
        <f t="shared" si="21"/>
        <v>No</v>
      </c>
    </row>
    <row r="85" spans="2:62" ht="14">
      <c r="B85" s="305" t="str">
        <f>'F-1 Off-Site WaterC'' Baseline'!AS83</f>
        <v/>
      </c>
      <c r="C85" s="295" t="str">
        <f>IF(B85="","",VLOOKUP($B85,'F-1 Off-Site WaterC'' Baseline'!$C$9:$R$257,2,FALSE))</f>
        <v/>
      </c>
      <c r="D85" s="295" t="str">
        <f>IF(C85="","",VLOOKUP($B85,'F-1 Off-Site WaterC'' Baseline'!$C$9:$R$257,3,FALSE))</f>
        <v/>
      </c>
      <c r="E85" s="295" t="str">
        <f>IF(D85="","",VLOOKUP($B85,'F-1 Off-Site WaterC'' Baseline'!$C$9:$R$257,4,FALSE))</f>
        <v/>
      </c>
      <c r="F85" s="295" t="str">
        <f>IF(E85="","",VLOOKUP($B85,'F-1 Off-Site WaterC'' Baseline'!$C$9:$R$257,5,FALSE))</f>
        <v/>
      </c>
      <c r="G85" s="295" t="str">
        <f>IF(F85="","",VLOOKUP($B85,'F-1 Off-Site WaterC'' Baseline'!$C$9:$R$257,6,FALSE))</f>
        <v/>
      </c>
      <c r="H85" s="295" t="str">
        <f>IF(G85="","",VLOOKUP($B85,'F-1 Off-Site WaterC'' Baseline'!$C$9:$R$257,7,FALSE))</f>
        <v/>
      </c>
      <c r="I85" s="295" t="str">
        <f>IF(H85="","",VLOOKUP($B85,'F-1 Off-Site WaterC'' Baseline'!$C$9:$R$257,8,FALSE))</f>
        <v/>
      </c>
      <c r="J85" s="295" t="str">
        <f>IF(I85="","",VLOOKUP($B85,'F-1 Off-Site WaterC'' Baseline'!$C$9:$R$257,9,FALSE))</f>
        <v/>
      </c>
      <c r="K85" s="295" t="str">
        <f>IF(J85="","",VLOOKUP($B85,'F-1 Off-Site WaterC'' Baseline'!$C$9:$R$257,10,FALSE))</f>
        <v/>
      </c>
      <c r="L85" s="283" t="str">
        <f>IF(B85="","",VLOOKUP($B85,'F-1 Off-Site WaterC'' Baseline'!$C$9:$R$257,15,FALSE))</f>
        <v/>
      </c>
      <c r="M85" s="299" t="str">
        <f>IF(L85="","",VLOOKUP($B85,'F-1 Off-Site WaterC'' Baseline'!$C$9:$V$257,19,FALSE))</f>
        <v/>
      </c>
      <c r="N85" s="244"/>
      <c r="O85" s="275" t="str">
        <f t="shared" si="14"/>
        <v/>
      </c>
      <c r="P85" s="276" t="str">
        <f t="shared" si="15"/>
        <v/>
      </c>
      <c r="Q85" s="281" t="str">
        <f>IF(N85="","",VLOOKUP(B85,'F-1 Off-Site WaterC'' Baseline'!$C$10:$AF$257,23,FALSE))</f>
        <v/>
      </c>
      <c r="R85" s="275" t="str">
        <f>IF(N85="","",VLOOKUP(N85,'G-7 WaterC'' Data'!$B$2:$G$8,2,FALSE))</f>
        <v/>
      </c>
      <c r="S85" s="276" t="str">
        <f>IFERROR(VLOOKUP(R85,'G-7 WaterC'' Data'!$C$4:$D$8,2,FALSE),"")</f>
        <v/>
      </c>
      <c r="T85" s="101"/>
      <c r="U85" s="276" t="str">
        <f>IFERROR(INDEX('G-7 WaterC'' Data'!$H$4:$L$8,MATCH(N85,'G-7 WaterC'' Data'!$B$4:$B$8,0),MATCH(T85,'G-7 WaterC'' Data'!$H$3:$L$3,0)),"")</f>
        <v/>
      </c>
      <c r="V85" s="105"/>
      <c r="W85" s="295" t="str">
        <f>IF(V85="","",IF(VLOOKUP(V85,'G-7 WaterC'' Data'!$AK$4:$AM$6,2,FALSE)=0,"Spatial Data Missing ⚠",VLOOKUP(V85,'G-7 WaterC'' Data'!$AK$4:$AM$6,2,FALSE)))</f>
        <v/>
      </c>
      <c r="X85" s="299" t="str">
        <f>IF(V85="","",IF(VLOOKUP(V85,'G-7 WaterC'' Data'!$AK$4:$AM$6,3,FALSE)=0,"Spatial Data Missing ⚠",VLOOKUP(V85,'G-7 WaterC'' Data'!$AK$4:$AM$6,3,FALSE)))</f>
        <v/>
      </c>
      <c r="Y85" s="311" t="str">
        <f>IFERROR(IF(OR(LEFT(P85,5)="Error",LEFT(O85,5)="Error"),"Check Data ⚠",IF(F85&lt;S85,'G-7 WaterC'' Data'!$R$3,INDEX('G-7 WaterC'' Data'!$U$5:$Y$9,MATCH(G85,'G-7 WaterC'' Data'!$T$5:$T$9,0),MATCH(T85,'G-7 WaterC'' Data'!$U$4:$Y$4,0)))),"")</f>
        <v/>
      </c>
      <c r="Z85" s="138"/>
      <c r="AA85" s="138"/>
      <c r="AB85" s="308" t="str">
        <f t="shared" si="11"/>
        <v/>
      </c>
      <c r="AC85" s="296" t="str">
        <f t="shared" si="16"/>
        <v/>
      </c>
      <c r="AD85" s="334" t="str">
        <f>IFERROR(IF(AC85="Check Data ⚠","Check Data ⚠",VLOOKUP(AC85,'G-4 Temporal multipliers'!$A$4:$C$37,3,FALSE)),"")</f>
        <v/>
      </c>
      <c r="AE85" s="311" t="str">
        <f>IF(N85="","",VLOOKUP(N85,'G-7 WaterC'' Data'!$B$4:$G$8,5,FALSE))</f>
        <v/>
      </c>
      <c r="AF85" s="295" t="str">
        <f t="shared" si="12"/>
        <v/>
      </c>
      <c r="AG85" s="295" t="str">
        <f t="shared" si="17"/>
        <v/>
      </c>
      <c r="AH85" s="276" t="str">
        <f t="shared" si="13"/>
        <v/>
      </c>
      <c r="AI85" s="105"/>
      <c r="AJ85" s="276" t="str">
        <f>IF(AI85="","",(IF(AND(AI85="N/A - Culvert",N85&lt;&gt;"Culvert"),"Not possible ▲",IF(VLOOKUP(AI85,'G-7 WaterC'' Data'!$AA$4:$AB$7,2,FALSE)=0,"Spatial Data Missing ⚠",VLOOKUP(AI85,'G-7 WaterC'' Data'!$AA$4:$AB$7,2,FALSE)))))</f>
        <v/>
      </c>
      <c r="AK85" s="106"/>
      <c r="AL85" s="310" t="str">
        <f>IF(AK85="","",IF(AND(AK85="N/A - Culvert",N85&lt;&gt;"Culvert"),"Not possible ▲",IF(VLOOKUP(AK85,'G-7 WaterC'' Data'!$AD$4:$AE$14,2,FALSE)=0,"Spatial Data Missing ⚠",VLOOKUP(AK85,'G-7 WaterC'' Data'!$AD$4:$AE$14,2,FALSE))))</f>
        <v/>
      </c>
      <c r="AM85" s="275" t="str">
        <f>IF(B85="","",VLOOKUP($B85,'F-1 Off-Site WaterC'' Baseline'!$C$9:$Z$257,17,FALSE))</f>
        <v/>
      </c>
      <c r="AN85" s="276" t="str">
        <f>IF(AM85="","",IF(VLOOKUP(AM85,'G-7 WaterC'' Data'!$AO$4:$BO$7,2,FALSE)=0,"Spatial Data Missing ⚠",VLOOKUP(AM85,'G-7 WaterC'' Data'!$AO$4:$BO$7,2,FALSE)))</f>
        <v/>
      </c>
      <c r="AO85" s="317" t="str">
        <f t="shared" si="18"/>
        <v/>
      </c>
      <c r="AP85" s="317" t="str">
        <f t="shared" si="19"/>
        <v/>
      </c>
      <c r="AQ85" s="101"/>
      <c r="AR85" s="115"/>
      <c r="AS85" s="104"/>
      <c r="AT85" s="104"/>
      <c r="AW85" s="30" t="str">
        <f>IF(E85="","",VLOOKUP($B85,'F-1 Off-Site WaterC'' Baseline'!$C$9:$Z$257,12,FALSE))</f>
        <v/>
      </c>
      <c r="AX85" s="30" t="str">
        <f>IF(E85="","",VLOOKUP($B85,'F-1 Off-Site WaterC'' Baseline'!$C$9:$Z$257,14,FALSE))</f>
        <v/>
      </c>
      <c r="AY85" s="30" t="str">
        <f>IFERROR(INDEX('G-7 WaterC'' Data'!$AZ$3:$AZ$7,MATCH(N85,'G-7 WaterC'' Data'!$AY$3:$AY$7,0)),"")</f>
        <v/>
      </c>
      <c r="AZ85" s="30" t="str">
        <f>IF(B85="","",IF(ISNA(VLOOKUP($B85,'F-1 Off-Site WaterC'' Baseline'!$C$8:$AD$257,20,FALSE)),"",(VLOOKUP($B85,'F-1 Off-Site WaterC'' Baseline'!$C$8:$AD$257,20,FALSE))))</f>
        <v/>
      </c>
      <c r="BC85" s="30" t="str">
        <f>IF(B85="","",VLOOKUP($B85,'F-1 Off-Site WaterC'' Baseline'!$C$9:$AB$257,25,FALSE))</f>
        <v/>
      </c>
      <c r="BD85" s="30" t="str">
        <f t="shared" si="20"/>
        <v/>
      </c>
      <c r="BE85" s="30" t="str">
        <f>IF(B85="","",VLOOKUP($B85,'F-1 Off-Site WaterC'' Baseline'!$C$9:$AB$257,24,FALSE))</f>
        <v/>
      </c>
      <c r="BF85" s="30" t="str">
        <f>IF(B85="","",VLOOKUP($B85,'F-1 Off-Site WaterC'' Baseline'!$C$9:$AB$257,22,FALSE))</f>
        <v/>
      </c>
      <c r="BJ85" s="30" t="str">
        <f t="shared" si="21"/>
        <v>No</v>
      </c>
    </row>
    <row r="86" spans="2:62" ht="14">
      <c r="B86" s="305" t="str">
        <f>'F-1 Off-Site WaterC'' Baseline'!AS84</f>
        <v/>
      </c>
      <c r="C86" s="295" t="str">
        <f>IF(B86="","",VLOOKUP($B86,'F-1 Off-Site WaterC'' Baseline'!$C$9:$R$257,2,FALSE))</f>
        <v/>
      </c>
      <c r="D86" s="295" t="str">
        <f>IF(C86="","",VLOOKUP($B86,'F-1 Off-Site WaterC'' Baseline'!$C$9:$R$257,3,FALSE))</f>
        <v/>
      </c>
      <c r="E86" s="295" t="str">
        <f>IF(D86="","",VLOOKUP($B86,'F-1 Off-Site WaterC'' Baseline'!$C$9:$R$257,4,FALSE))</f>
        <v/>
      </c>
      <c r="F86" s="295" t="str">
        <f>IF(E86="","",VLOOKUP($B86,'F-1 Off-Site WaterC'' Baseline'!$C$9:$R$257,5,FALSE))</f>
        <v/>
      </c>
      <c r="G86" s="295" t="str">
        <f>IF(F86="","",VLOOKUP($B86,'F-1 Off-Site WaterC'' Baseline'!$C$9:$R$257,6,FALSE))</f>
        <v/>
      </c>
      <c r="H86" s="295" t="str">
        <f>IF(G86="","",VLOOKUP($B86,'F-1 Off-Site WaterC'' Baseline'!$C$9:$R$257,7,FALSE))</f>
        <v/>
      </c>
      <c r="I86" s="295" t="str">
        <f>IF(H86="","",VLOOKUP($B86,'F-1 Off-Site WaterC'' Baseline'!$C$9:$R$257,8,FALSE))</f>
        <v/>
      </c>
      <c r="J86" s="295" t="str">
        <f>IF(I86="","",VLOOKUP($B86,'F-1 Off-Site WaterC'' Baseline'!$C$9:$R$257,9,FALSE))</f>
        <v/>
      </c>
      <c r="K86" s="295" t="str">
        <f>IF(J86="","",VLOOKUP($B86,'F-1 Off-Site WaterC'' Baseline'!$C$9:$R$257,10,FALSE))</f>
        <v/>
      </c>
      <c r="L86" s="283" t="str">
        <f>IF(B86="","",VLOOKUP($B86,'F-1 Off-Site WaterC'' Baseline'!$C$9:$R$257,15,FALSE))</f>
        <v/>
      </c>
      <c r="M86" s="299" t="str">
        <f>IF(L86="","",VLOOKUP($B86,'F-1 Off-Site WaterC'' Baseline'!$C$9:$V$257,19,FALSE))</f>
        <v/>
      </c>
      <c r="N86" s="244"/>
      <c r="O86" s="275" t="str">
        <f t="shared" si="14"/>
        <v/>
      </c>
      <c r="P86" s="276" t="str">
        <f t="shared" si="15"/>
        <v/>
      </c>
      <c r="Q86" s="281" t="str">
        <f>IF(N86="","",VLOOKUP(B86,'F-1 Off-Site WaterC'' Baseline'!$C$10:$AF$257,23,FALSE))</f>
        <v/>
      </c>
      <c r="R86" s="275" t="str">
        <f>IF(N86="","",VLOOKUP(N86,'G-7 WaterC'' Data'!$B$2:$G$8,2,FALSE))</f>
        <v/>
      </c>
      <c r="S86" s="276" t="str">
        <f>IFERROR(VLOOKUP(R86,'G-7 WaterC'' Data'!$C$4:$D$8,2,FALSE),"")</f>
        <v/>
      </c>
      <c r="T86" s="101"/>
      <c r="U86" s="276" t="str">
        <f>IFERROR(INDEX('G-7 WaterC'' Data'!$H$4:$L$8,MATCH(N86,'G-7 WaterC'' Data'!$B$4:$B$8,0),MATCH(T86,'G-7 WaterC'' Data'!$H$3:$L$3,0)),"")</f>
        <v/>
      </c>
      <c r="V86" s="105"/>
      <c r="W86" s="295" t="str">
        <f>IF(V86="","",IF(VLOOKUP(V86,'G-7 WaterC'' Data'!$AK$4:$AM$6,2,FALSE)=0,"Spatial Data Missing ⚠",VLOOKUP(V86,'G-7 WaterC'' Data'!$AK$4:$AM$6,2,FALSE)))</f>
        <v/>
      </c>
      <c r="X86" s="299" t="str">
        <f>IF(V86="","",IF(VLOOKUP(V86,'G-7 WaterC'' Data'!$AK$4:$AM$6,3,FALSE)=0,"Spatial Data Missing ⚠",VLOOKUP(V86,'G-7 WaterC'' Data'!$AK$4:$AM$6,3,FALSE)))</f>
        <v/>
      </c>
      <c r="Y86" s="311" t="str">
        <f>IFERROR(IF(OR(LEFT(P86,5)="Error",LEFT(O86,5)="Error"),"Check Data ⚠",IF(F86&lt;S86,'G-7 WaterC'' Data'!$R$3,INDEX('G-7 WaterC'' Data'!$U$5:$Y$9,MATCH(G86,'G-7 WaterC'' Data'!$T$5:$T$9,0),MATCH(T86,'G-7 WaterC'' Data'!$U$4:$Y$4,0)))),"")</f>
        <v/>
      </c>
      <c r="Z86" s="138"/>
      <c r="AA86" s="138"/>
      <c r="AB86" s="308" t="str">
        <f t="shared" si="11"/>
        <v/>
      </c>
      <c r="AC86" s="296" t="str">
        <f t="shared" si="16"/>
        <v/>
      </c>
      <c r="AD86" s="334" t="str">
        <f>IFERROR(IF(AC86="Check Data ⚠","Check Data ⚠",VLOOKUP(AC86,'G-4 Temporal multipliers'!$A$4:$C$37,3,FALSE)),"")</f>
        <v/>
      </c>
      <c r="AE86" s="311" t="str">
        <f>IF(N86="","",VLOOKUP(N86,'G-7 WaterC'' Data'!$B$4:$G$8,5,FALSE))</f>
        <v/>
      </c>
      <c r="AF86" s="295" t="str">
        <f t="shared" si="12"/>
        <v/>
      </c>
      <c r="AG86" s="295" t="str">
        <f t="shared" si="17"/>
        <v/>
      </c>
      <c r="AH86" s="276" t="str">
        <f t="shared" si="13"/>
        <v/>
      </c>
      <c r="AI86" s="105"/>
      <c r="AJ86" s="276" t="str">
        <f>IF(AI86="","",(IF(AND(AI86="N/A - Culvert",N86&lt;&gt;"Culvert"),"Not possible ▲",IF(VLOOKUP(AI86,'G-7 WaterC'' Data'!$AA$4:$AB$7,2,FALSE)=0,"Spatial Data Missing ⚠",VLOOKUP(AI86,'G-7 WaterC'' Data'!$AA$4:$AB$7,2,FALSE)))))</f>
        <v/>
      </c>
      <c r="AK86" s="106"/>
      <c r="AL86" s="310" t="str">
        <f>IF(AK86="","",IF(AND(AK86="N/A - Culvert",N86&lt;&gt;"Culvert"),"Not possible ▲",IF(VLOOKUP(AK86,'G-7 WaterC'' Data'!$AD$4:$AE$14,2,FALSE)=0,"Spatial Data Missing ⚠",VLOOKUP(AK86,'G-7 WaterC'' Data'!$AD$4:$AE$14,2,FALSE))))</f>
        <v/>
      </c>
      <c r="AM86" s="275" t="str">
        <f>IF(B86="","",VLOOKUP($B86,'F-1 Off-Site WaterC'' Baseline'!$C$9:$Z$257,17,FALSE))</f>
        <v/>
      </c>
      <c r="AN86" s="276" t="str">
        <f>IF(AM86="","",IF(VLOOKUP(AM86,'G-7 WaterC'' Data'!$AO$4:$BO$7,2,FALSE)=0,"Spatial Data Missing ⚠",VLOOKUP(AM86,'G-7 WaterC'' Data'!$AO$4:$BO$7,2,FALSE)))</f>
        <v/>
      </c>
      <c r="AO86" s="317" t="str">
        <f t="shared" si="18"/>
        <v/>
      </c>
      <c r="AP86" s="317" t="str">
        <f t="shared" si="19"/>
        <v/>
      </c>
      <c r="AQ86" s="101"/>
      <c r="AR86" s="115"/>
      <c r="AS86" s="104"/>
      <c r="AT86" s="104"/>
      <c r="AW86" s="30" t="str">
        <f>IF(E86="","",VLOOKUP($B86,'F-1 Off-Site WaterC'' Baseline'!$C$9:$Z$257,12,FALSE))</f>
        <v/>
      </c>
      <c r="AX86" s="30" t="str">
        <f>IF(E86="","",VLOOKUP($B86,'F-1 Off-Site WaterC'' Baseline'!$C$9:$Z$257,14,FALSE))</f>
        <v/>
      </c>
      <c r="AY86" s="30" t="str">
        <f>IFERROR(INDEX('G-7 WaterC'' Data'!$AZ$3:$AZ$7,MATCH(N86,'G-7 WaterC'' Data'!$AY$3:$AY$7,0)),"")</f>
        <v/>
      </c>
      <c r="AZ86" s="30" t="str">
        <f>IF(B86="","",IF(ISNA(VLOOKUP($B86,'F-1 Off-Site WaterC'' Baseline'!$C$8:$AD$257,20,FALSE)),"",(VLOOKUP($B86,'F-1 Off-Site WaterC'' Baseline'!$C$8:$AD$257,20,FALSE))))</f>
        <v/>
      </c>
      <c r="BC86" s="30" t="str">
        <f>IF(B86="","",VLOOKUP($B86,'F-1 Off-Site WaterC'' Baseline'!$C$9:$AB$257,25,FALSE))</f>
        <v/>
      </c>
      <c r="BD86" s="30" t="str">
        <f t="shared" si="20"/>
        <v/>
      </c>
      <c r="BE86" s="30" t="str">
        <f>IF(B86="","",VLOOKUP($B86,'F-1 Off-Site WaterC'' Baseline'!$C$9:$AB$257,24,FALSE))</f>
        <v/>
      </c>
      <c r="BF86" s="30" t="str">
        <f>IF(B86="","",VLOOKUP($B86,'F-1 Off-Site WaterC'' Baseline'!$C$9:$AB$257,22,FALSE))</f>
        <v/>
      </c>
      <c r="BJ86" s="30" t="str">
        <f t="shared" si="21"/>
        <v>No</v>
      </c>
    </row>
    <row r="87" spans="2:62" ht="14">
      <c r="B87" s="305" t="str">
        <f>'F-1 Off-Site WaterC'' Baseline'!AS85</f>
        <v/>
      </c>
      <c r="C87" s="295" t="str">
        <f>IF(B87="","",VLOOKUP($B87,'F-1 Off-Site WaterC'' Baseline'!$C$9:$R$257,2,FALSE))</f>
        <v/>
      </c>
      <c r="D87" s="295" t="str">
        <f>IF(C87="","",VLOOKUP($B87,'F-1 Off-Site WaterC'' Baseline'!$C$9:$R$257,3,FALSE))</f>
        <v/>
      </c>
      <c r="E87" s="295" t="str">
        <f>IF(D87="","",VLOOKUP($B87,'F-1 Off-Site WaterC'' Baseline'!$C$9:$R$257,4,FALSE))</f>
        <v/>
      </c>
      <c r="F87" s="295" t="str">
        <f>IF(E87="","",VLOOKUP($B87,'F-1 Off-Site WaterC'' Baseline'!$C$9:$R$257,5,FALSE))</f>
        <v/>
      </c>
      <c r="G87" s="295" t="str">
        <f>IF(F87="","",VLOOKUP($B87,'F-1 Off-Site WaterC'' Baseline'!$C$9:$R$257,6,FALSE))</f>
        <v/>
      </c>
      <c r="H87" s="295" t="str">
        <f>IF(G87="","",VLOOKUP($B87,'F-1 Off-Site WaterC'' Baseline'!$C$9:$R$257,7,FALSE))</f>
        <v/>
      </c>
      <c r="I87" s="295" t="str">
        <f>IF(H87="","",VLOOKUP($B87,'F-1 Off-Site WaterC'' Baseline'!$C$9:$R$257,8,FALSE))</f>
        <v/>
      </c>
      <c r="J87" s="295" t="str">
        <f>IF(I87="","",VLOOKUP($B87,'F-1 Off-Site WaterC'' Baseline'!$C$9:$R$257,9,FALSE))</f>
        <v/>
      </c>
      <c r="K87" s="295" t="str">
        <f>IF(J87="","",VLOOKUP($B87,'F-1 Off-Site WaterC'' Baseline'!$C$9:$R$257,10,FALSE))</f>
        <v/>
      </c>
      <c r="L87" s="283" t="str">
        <f>IF(B87="","",VLOOKUP($B87,'F-1 Off-Site WaterC'' Baseline'!$C$9:$R$257,15,FALSE))</f>
        <v/>
      </c>
      <c r="M87" s="299" t="str">
        <f>IF(L87="","",VLOOKUP($B87,'F-1 Off-Site WaterC'' Baseline'!$C$9:$V$257,19,FALSE))</f>
        <v/>
      </c>
      <c r="N87" s="244"/>
      <c r="O87" s="275" t="str">
        <f t="shared" si="14"/>
        <v/>
      </c>
      <c r="P87" s="276" t="str">
        <f t="shared" si="15"/>
        <v/>
      </c>
      <c r="Q87" s="281" t="str">
        <f>IF(N87="","",VLOOKUP(B87,'F-1 Off-Site WaterC'' Baseline'!$C$10:$AF$257,23,FALSE))</f>
        <v/>
      </c>
      <c r="R87" s="275" t="str">
        <f>IF(N87="","",VLOOKUP(N87,'G-7 WaterC'' Data'!$B$2:$G$8,2,FALSE))</f>
        <v/>
      </c>
      <c r="S87" s="276" t="str">
        <f>IFERROR(VLOOKUP(R87,'G-7 WaterC'' Data'!$C$4:$D$8,2,FALSE),"")</f>
        <v/>
      </c>
      <c r="T87" s="101"/>
      <c r="U87" s="276" t="str">
        <f>IFERROR(INDEX('G-7 WaterC'' Data'!$H$4:$L$8,MATCH(N87,'G-7 WaterC'' Data'!$B$4:$B$8,0),MATCH(T87,'G-7 WaterC'' Data'!$H$3:$L$3,0)),"")</f>
        <v/>
      </c>
      <c r="V87" s="105"/>
      <c r="W87" s="295" t="str">
        <f>IF(V87="","",IF(VLOOKUP(V87,'G-7 WaterC'' Data'!$AK$4:$AM$6,2,FALSE)=0,"Spatial Data Missing ⚠",VLOOKUP(V87,'G-7 WaterC'' Data'!$AK$4:$AM$6,2,FALSE)))</f>
        <v/>
      </c>
      <c r="X87" s="299" t="str">
        <f>IF(V87="","",IF(VLOOKUP(V87,'G-7 WaterC'' Data'!$AK$4:$AM$6,3,FALSE)=0,"Spatial Data Missing ⚠",VLOOKUP(V87,'G-7 WaterC'' Data'!$AK$4:$AM$6,3,FALSE)))</f>
        <v/>
      </c>
      <c r="Y87" s="311" t="str">
        <f>IFERROR(IF(OR(LEFT(P87,5)="Error",LEFT(O87,5)="Error"),"Check Data ⚠",IF(F87&lt;S87,'G-7 WaterC'' Data'!$R$3,INDEX('G-7 WaterC'' Data'!$U$5:$Y$9,MATCH(G87,'G-7 WaterC'' Data'!$T$5:$T$9,0),MATCH(T87,'G-7 WaterC'' Data'!$U$4:$Y$4,0)))),"")</f>
        <v/>
      </c>
      <c r="Z87" s="138"/>
      <c r="AA87" s="138"/>
      <c r="AB87" s="308" t="str">
        <f t="shared" si="11"/>
        <v/>
      </c>
      <c r="AC87" s="296" t="str">
        <f t="shared" si="16"/>
        <v/>
      </c>
      <c r="AD87" s="334" t="str">
        <f>IFERROR(IF(AC87="Check Data ⚠","Check Data ⚠",VLOOKUP(AC87,'G-4 Temporal multipliers'!$A$4:$C$37,3,FALSE)),"")</f>
        <v/>
      </c>
      <c r="AE87" s="311" t="str">
        <f>IF(N87="","",VLOOKUP(N87,'G-7 WaterC'' Data'!$B$4:$G$8,5,FALSE))</f>
        <v/>
      </c>
      <c r="AF87" s="295" t="str">
        <f t="shared" si="12"/>
        <v/>
      </c>
      <c r="AG87" s="295" t="str">
        <f t="shared" si="17"/>
        <v/>
      </c>
      <c r="AH87" s="276" t="str">
        <f t="shared" si="13"/>
        <v/>
      </c>
      <c r="AI87" s="105"/>
      <c r="AJ87" s="276" t="str">
        <f>IF(AI87="","",(IF(AND(AI87="N/A - Culvert",N87&lt;&gt;"Culvert"),"Not possible ▲",IF(VLOOKUP(AI87,'G-7 WaterC'' Data'!$AA$4:$AB$7,2,FALSE)=0,"Spatial Data Missing ⚠",VLOOKUP(AI87,'G-7 WaterC'' Data'!$AA$4:$AB$7,2,FALSE)))))</f>
        <v/>
      </c>
      <c r="AK87" s="106"/>
      <c r="AL87" s="310" t="str">
        <f>IF(AK87="","",IF(AND(AK87="N/A - Culvert",N87&lt;&gt;"Culvert"),"Not possible ▲",IF(VLOOKUP(AK87,'G-7 WaterC'' Data'!$AD$4:$AE$14,2,FALSE)=0,"Spatial Data Missing ⚠",VLOOKUP(AK87,'G-7 WaterC'' Data'!$AD$4:$AE$14,2,FALSE))))</f>
        <v/>
      </c>
      <c r="AM87" s="275" t="str">
        <f>IF(B87="","",VLOOKUP($B87,'F-1 Off-Site WaterC'' Baseline'!$C$9:$Z$257,17,FALSE))</f>
        <v/>
      </c>
      <c r="AN87" s="276" t="str">
        <f>IF(AM87="","",IF(VLOOKUP(AM87,'G-7 WaterC'' Data'!$AO$4:$BO$7,2,FALSE)=0,"Spatial Data Missing ⚠",VLOOKUP(AM87,'G-7 WaterC'' Data'!$AO$4:$BO$7,2,FALSE)))</f>
        <v/>
      </c>
      <c r="AO87" s="317" t="str">
        <f t="shared" si="18"/>
        <v/>
      </c>
      <c r="AP87" s="317" t="str">
        <f t="shared" si="19"/>
        <v/>
      </c>
      <c r="AQ87" s="101"/>
      <c r="AR87" s="115"/>
      <c r="AS87" s="104"/>
      <c r="AT87" s="104"/>
      <c r="AW87" s="30" t="str">
        <f>IF(E87="","",VLOOKUP($B87,'F-1 Off-Site WaterC'' Baseline'!$C$9:$Z$257,12,FALSE))</f>
        <v/>
      </c>
      <c r="AX87" s="30" t="str">
        <f>IF(E87="","",VLOOKUP($B87,'F-1 Off-Site WaterC'' Baseline'!$C$9:$Z$257,14,FALSE))</f>
        <v/>
      </c>
      <c r="AY87" s="30" t="str">
        <f>IFERROR(INDEX('G-7 WaterC'' Data'!$AZ$3:$AZ$7,MATCH(N87,'G-7 WaterC'' Data'!$AY$3:$AY$7,0)),"")</f>
        <v/>
      </c>
      <c r="AZ87" s="30" t="str">
        <f>IF(B87="","",IF(ISNA(VLOOKUP($B87,'F-1 Off-Site WaterC'' Baseline'!$C$8:$AD$257,20,FALSE)),"",(VLOOKUP($B87,'F-1 Off-Site WaterC'' Baseline'!$C$8:$AD$257,20,FALSE))))</f>
        <v/>
      </c>
      <c r="BC87" s="30" t="str">
        <f>IF(B87="","",VLOOKUP($B87,'F-1 Off-Site WaterC'' Baseline'!$C$9:$AB$257,25,FALSE))</f>
        <v/>
      </c>
      <c r="BD87" s="30" t="str">
        <f t="shared" si="20"/>
        <v/>
      </c>
      <c r="BE87" s="30" t="str">
        <f>IF(B87="","",VLOOKUP($B87,'F-1 Off-Site WaterC'' Baseline'!$C$9:$AB$257,24,FALSE))</f>
        <v/>
      </c>
      <c r="BF87" s="30" t="str">
        <f>IF(B87="","",VLOOKUP($B87,'F-1 Off-Site WaterC'' Baseline'!$C$9:$AB$257,22,FALSE))</f>
        <v/>
      </c>
      <c r="BJ87" s="30" t="str">
        <f t="shared" si="21"/>
        <v>No</v>
      </c>
    </row>
    <row r="88" spans="2:62" ht="14">
      <c r="B88" s="305" t="str">
        <f>'F-1 Off-Site WaterC'' Baseline'!AS86</f>
        <v/>
      </c>
      <c r="C88" s="295" t="str">
        <f>IF(B88="","",VLOOKUP($B88,'F-1 Off-Site WaterC'' Baseline'!$C$9:$R$257,2,FALSE))</f>
        <v/>
      </c>
      <c r="D88" s="295" t="str">
        <f>IF(C88="","",VLOOKUP($B88,'F-1 Off-Site WaterC'' Baseline'!$C$9:$R$257,3,FALSE))</f>
        <v/>
      </c>
      <c r="E88" s="295" t="str">
        <f>IF(D88="","",VLOOKUP($B88,'F-1 Off-Site WaterC'' Baseline'!$C$9:$R$257,4,FALSE))</f>
        <v/>
      </c>
      <c r="F88" s="295" t="str">
        <f>IF(E88="","",VLOOKUP($B88,'F-1 Off-Site WaterC'' Baseline'!$C$9:$R$257,5,FALSE))</f>
        <v/>
      </c>
      <c r="G88" s="295" t="str">
        <f>IF(F88="","",VLOOKUP($B88,'F-1 Off-Site WaterC'' Baseline'!$C$9:$R$257,6,FALSE))</f>
        <v/>
      </c>
      <c r="H88" s="295" t="str">
        <f>IF(G88="","",VLOOKUP($B88,'F-1 Off-Site WaterC'' Baseline'!$C$9:$R$257,7,FALSE))</f>
        <v/>
      </c>
      <c r="I88" s="295" t="str">
        <f>IF(H88="","",VLOOKUP($B88,'F-1 Off-Site WaterC'' Baseline'!$C$9:$R$257,8,FALSE))</f>
        <v/>
      </c>
      <c r="J88" s="295" t="str">
        <f>IF(I88="","",VLOOKUP($B88,'F-1 Off-Site WaterC'' Baseline'!$C$9:$R$257,9,FALSE))</f>
        <v/>
      </c>
      <c r="K88" s="295" t="str">
        <f>IF(J88="","",VLOOKUP($B88,'F-1 Off-Site WaterC'' Baseline'!$C$9:$R$257,10,FALSE))</f>
        <v/>
      </c>
      <c r="L88" s="283" t="str">
        <f>IF(B88="","",VLOOKUP($B88,'F-1 Off-Site WaterC'' Baseline'!$C$9:$R$257,15,FALSE))</f>
        <v/>
      </c>
      <c r="M88" s="299" t="str">
        <f>IF(L88="","",VLOOKUP($B88,'F-1 Off-Site WaterC'' Baseline'!$C$9:$V$257,19,FALSE))</f>
        <v/>
      </c>
      <c r="N88" s="244"/>
      <c r="O88" s="275" t="str">
        <f t="shared" si="14"/>
        <v/>
      </c>
      <c r="P88" s="276" t="str">
        <f t="shared" si="15"/>
        <v/>
      </c>
      <c r="Q88" s="281" t="str">
        <f>IF(N88="","",VLOOKUP(B88,'F-1 Off-Site WaterC'' Baseline'!$C$10:$AF$257,23,FALSE))</f>
        <v/>
      </c>
      <c r="R88" s="275" t="str">
        <f>IF(N88="","",VLOOKUP(N88,'G-7 WaterC'' Data'!$B$2:$G$8,2,FALSE))</f>
        <v/>
      </c>
      <c r="S88" s="276" t="str">
        <f>IFERROR(VLOOKUP(R88,'G-7 WaterC'' Data'!$C$4:$D$8,2,FALSE),"")</f>
        <v/>
      </c>
      <c r="T88" s="101"/>
      <c r="U88" s="276" t="str">
        <f>IFERROR(INDEX('G-7 WaterC'' Data'!$H$4:$L$8,MATCH(N88,'G-7 WaterC'' Data'!$B$4:$B$8,0),MATCH(T88,'G-7 WaterC'' Data'!$H$3:$L$3,0)),"")</f>
        <v/>
      </c>
      <c r="V88" s="105"/>
      <c r="W88" s="295" t="str">
        <f>IF(V88="","",IF(VLOOKUP(V88,'G-7 WaterC'' Data'!$AK$4:$AM$6,2,FALSE)=0,"Spatial Data Missing ⚠",VLOOKUP(V88,'G-7 WaterC'' Data'!$AK$4:$AM$6,2,FALSE)))</f>
        <v/>
      </c>
      <c r="X88" s="299" t="str">
        <f>IF(V88="","",IF(VLOOKUP(V88,'G-7 WaterC'' Data'!$AK$4:$AM$6,3,FALSE)=0,"Spatial Data Missing ⚠",VLOOKUP(V88,'G-7 WaterC'' Data'!$AK$4:$AM$6,3,FALSE)))</f>
        <v/>
      </c>
      <c r="Y88" s="311" t="str">
        <f>IFERROR(IF(OR(LEFT(P88,5)="Error",LEFT(O88,5)="Error"),"Check Data ⚠",IF(F88&lt;S88,'G-7 WaterC'' Data'!$R$3,INDEX('G-7 WaterC'' Data'!$U$5:$Y$9,MATCH(G88,'G-7 WaterC'' Data'!$T$5:$T$9,0),MATCH(T88,'G-7 WaterC'' Data'!$U$4:$Y$4,0)))),"")</f>
        <v/>
      </c>
      <c r="Z88" s="138"/>
      <c r="AA88" s="138"/>
      <c r="AB88" s="308" t="str">
        <f t="shared" si="11"/>
        <v/>
      </c>
      <c r="AC88" s="296" t="str">
        <f t="shared" si="16"/>
        <v/>
      </c>
      <c r="AD88" s="334" t="str">
        <f>IFERROR(IF(AC88="Check Data ⚠","Check Data ⚠",VLOOKUP(AC88,'G-4 Temporal multipliers'!$A$4:$C$37,3,FALSE)),"")</f>
        <v/>
      </c>
      <c r="AE88" s="311" t="str">
        <f>IF(N88="","",VLOOKUP(N88,'G-7 WaterC'' Data'!$B$4:$G$8,5,FALSE))</f>
        <v/>
      </c>
      <c r="AF88" s="295" t="str">
        <f t="shared" si="12"/>
        <v/>
      </c>
      <c r="AG88" s="295" t="str">
        <f t="shared" si="17"/>
        <v/>
      </c>
      <c r="AH88" s="276" t="str">
        <f t="shared" si="13"/>
        <v/>
      </c>
      <c r="AI88" s="105"/>
      <c r="AJ88" s="276" t="str">
        <f>IF(AI88="","",(IF(AND(AI88="N/A - Culvert",N88&lt;&gt;"Culvert"),"Not possible ▲",IF(VLOOKUP(AI88,'G-7 WaterC'' Data'!$AA$4:$AB$7,2,FALSE)=0,"Spatial Data Missing ⚠",VLOOKUP(AI88,'G-7 WaterC'' Data'!$AA$4:$AB$7,2,FALSE)))))</f>
        <v/>
      </c>
      <c r="AK88" s="106"/>
      <c r="AL88" s="310" t="str">
        <f>IF(AK88="","",IF(AND(AK88="N/A - Culvert",N88&lt;&gt;"Culvert"),"Not possible ▲",IF(VLOOKUP(AK88,'G-7 WaterC'' Data'!$AD$4:$AE$14,2,FALSE)=0,"Spatial Data Missing ⚠",VLOOKUP(AK88,'G-7 WaterC'' Data'!$AD$4:$AE$14,2,FALSE))))</f>
        <v/>
      </c>
      <c r="AM88" s="275" t="str">
        <f>IF(B88="","",VLOOKUP($B88,'F-1 Off-Site WaterC'' Baseline'!$C$9:$Z$257,17,FALSE))</f>
        <v/>
      </c>
      <c r="AN88" s="276" t="str">
        <f>IF(AM88="","",IF(VLOOKUP(AM88,'G-7 WaterC'' Data'!$AO$4:$BO$7,2,FALSE)=0,"Spatial Data Missing ⚠",VLOOKUP(AM88,'G-7 WaterC'' Data'!$AO$4:$BO$7,2,FALSE)))</f>
        <v/>
      </c>
      <c r="AO88" s="317" t="str">
        <f t="shared" si="18"/>
        <v/>
      </c>
      <c r="AP88" s="317" t="str">
        <f t="shared" si="19"/>
        <v/>
      </c>
      <c r="AQ88" s="101"/>
      <c r="AR88" s="115"/>
      <c r="AS88" s="104"/>
      <c r="AT88" s="104"/>
      <c r="AW88" s="30" t="str">
        <f>IF(E88="","",VLOOKUP($B88,'F-1 Off-Site WaterC'' Baseline'!$C$9:$Z$257,12,FALSE))</f>
        <v/>
      </c>
      <c r="AX88" s="30" t="str">
        <f>IF(E88="","",VLOOKUP($B88,'F-1 Off-Site WaterC'' Baseline'!$C$9:$Z$257,14,FALSE))</f>
        <v/>
      </c>
      <c r="AY88" s="30" t="str">
        <f>IFERROR(INDEX('G-7 WaterC'' Data'!$AZ$3:$AZ$7,MATCH(N88,'G-7 WaterC'' Data'!$AY$3:$AY$7,0)),"")</f>
        <v/>
      </c>
      <c r="AZ88" s="30" t="str">
        <f>IF(B88="","",IF(ISNA(VLOOKUP($B88,'F-1 Off-Site WaterC'' Baseline'!$C$8:$AD$257,20,FALSE)),"",(VLOOKUP($B88,'F-1 Off-Site WaterC'' Baseline'!$C$8:$AD$257,20,FALSE))))</f>
        <v/>
      </c>
      <c r="BC88" s="30" t="str">
        <f>IF(B88="","",VLOOKUP($B88,'F-1 Off-Site WaterC'' Baseline'!$C$9:$AB$257,25,FALSE))</f>
        <v/>
      </c>
      <c r="BD88" s="30" t="str">
        <f t="shared" si="20"/>
        <v/>
      </c>
      <c r="BE88" s="30" t="str">
        <f>IF(B88="","",VLOOKUP($B88,'F-1 Off-Site WaterC'' Baseline'!$C$9:$AB$257,24,FALSE))</f>
        <v/>
      </c>
      <c r="BF88" s="30" t="str">
        <f>IF(B88="","",VLOOKUP($B88,'F-1 Off-Site WaterC'' Baseline'!$C$9:$AB$257,22,FALSE))</f>
        <v/>
      </c>
      <c r="BJ88" s="30" t="str">
        <f t="shared" si="21"/>
        <v>No</v>
      </c>
    </row>
    <row r="89" spans="2:62" ht="14">
      <c r="B89" s="305" t="str">
        <f>'F-1 Off-Site WaterC'' Baseline'!AS87</f>
        <v/>
      </c>
      <c r="C89" s="295" t="str">
        <f>IF(B89="","",VLOOKUP($B89,'F-1 Off-Site WaterC'' Baseline'!$C$9:$R$257,2,FALSE))</f>
        <v/>
      </c>
      <c r="D89" s="295" t="str">
        <f>IF(C89="","",VLOOKUP($B89,'F-1 Off-Site WaterC'' Baseline'!$C$9:$R$257,3,FALSE))</f>
        <v/>
      </c>
      <c r="E89" s="295" t="str">
        <f>IF(D89="","",VLOOKUP($B89,'F-1 Off-Site WaterC'' Baseline'!$C$9:$R$257,4,FALSE))</f>
        <v/>
      </c>
      <c r="F89" s="295" t="str">
        <f>IF(E89="","",VLOOKUP($B89,'F-1 Off-Site WaterC'' Baseline'!$C$9:$R$257,5,FALSE))</f>
        <v/>
      </c>
      <c r="G89" s="295" t="str">
        <f>IF(F89="","",VLOOKUP($B89,'F-1 Off-Site WaterC'' Baseline'!$C$9:$R$257,6,FALSE))</f>
        <v/>
      </c>
      <c r="H89" s="295" t="str">
        <f>IF(G89="","",VLOOKUP($B89,'F-1 Off-Site WaterC'' Baseline'!$C$9:$R$257,7,FALSE))</f>
        <v/>
      </c>
      <c r="I89" s="295" t="str">
        <f>IF(H89="","",VLOOKUP($B89,'F-1 Off-Site WaterC'' Baseline'!$C$9:$R$257,8,FALSE))</f>
        <v/>
      </c>
      <c r="J89" s="295" t="str">
        <f>IF(I89="","",VLOOKUP($B89,'F-1 Off-Site WaterC'' Baseline'!$C$9:$R$257,9,FALSE))</f>
        <v/>
      </c>
      <c r="K89" s="295" t="str">
        <f>IF(J89="","",VLOOKUP($B89,'F-1 Off-Site WaterC'' Baseline'!$C$9:$R$257,10,FALSE))</f>
        <v/>
      </c>
      <c r="L89" s="283" t="str">
        <f>IF(B89="","",VLOOKUP($B89,'F-1 Off-Site WaterC'' Baseline'!$C$9:$R$257,15,FALSE))</f>
        <v/>
      </c>
      <c r="M89" s="299" t="str">
        <f>IF(L89="","",VLOOKUP($B89,'F-1 Off-Site WaterC'' Baseline'!$C$9:$V$257,19,FALSE))</f>
        <v/>
      </c>
      <c r="N89" s="244"/>
      <c r="O89" s="275" t="str">
        <f t="shared" si="14"/>
        <v/>
      </c>
      <c r="P89" s="276" t="str">
        <f t="shared" si="15"/>
        <v/>
      </c>
      <c r="Q89" s="281" t="str">
        <f>IF(N89="","",VLOOKUP(B89,'F-1 Off-Site WaterC'' Baseline'!$C$10:$AF$257,23,FALSE))</f>
        <v/>
      </c>
      <c r="R89" s="275" t="str">
        <f>IF(N89="","",VLOOKUP(N89,'G-7 WaterC'' Data'!$B$2:$G$8,2,FALSE))</f>
        <v/>
      </c>
      <c r="S89" s="276" t="str">
        <f>IFERROR(VLOOKUP(R89,'G-7 WaterC'' Data'!$C$4:$D$8,2,FALSE),"")</f>
        <v/>
      </c>
      <c r="T89" s="101"/>
      <c r="U89" s="276" t="str">
        <f>IFERROR(INDEX('G-7 WaterC'' Data'!$H$4:$L$8,MATCH(N89,'G-7 WaterC'' Data'!$B$4:$B$8,0),MATCH(T89,'G-7 WaterC'' Data'!$H$3:$L$3,0)),"")</f>
        <v/>
      </c>
      <c r="V89" s="105"/>
      <c r="W89" s="295" t="str">
        <f>IF(V89="","",IF(VLOOKUP(V89,'G-7 WaterC'' Data'!$AK$4:$AM$6,2,FALSE)=0,"Spatial Data Missing ⚠",VLOOKUP(V89,'G-7 WaterC'' Data'!$AK$4:$AM$6,2,FALSE)))</f>
        <v/>
      </c>
      <c r="X89" s="299" t="str">
        <f>IF(V89="","",IF(VLOOKUP(V89,'G-7 WaterC'' Data'!$AK$4:$AM$6,3,FALSE)=0,"Spatial Data Missing ⚠",VLOOKUP(V89,'G-7 WaterC'' Data'!$AK$4:$AM$6,3,FALSE)))</f>
        <v/>
      </c>
      <c r="Y89" s="311" t="str">
        <f>IFERROR(IF(OR(LEFT(P89,5)="Error",LEFT(O89,5)="Error"),"Check Data ⚠",IF(F89&lt;S89,'G-7 WaterC'' Data'!$R$3,INDEX('G-7 WaterC'' Data'!$U$5:$Y$9,MATCH(G89,'G-7 WaterC'' Data'!$T$5:$T$9,0),MATCH(T89,'G-7 WaterC'' Data'!$U$4:$Y$4,0)))),"")</f>
        <v/>
      </c>
      <c r="Z89" s="138"/>
      <c r="AA89" s="138"/>
      <c r="AB89" s="308" t="str">
        <f t="shared" si="11"/>
        <v/>
      </c>
      <c r="AC89" s="296" t="str">
        <f t="shared" si="16"/>
        <v/>
      </c>
      <c r="AD89" s="334" t="str">
        <f>IFERROR(IF(AC89="Check Data ⚠","Check Data ⚠",VLOOKUP(AC89,'G-4 Temporal multipliers'!$A$4:$C$37,3,FALSE)),"")</f>
        <v/>
      </c>
      <c r="AE89" s="311" t="str">
        <f>IF(N89="","",VLOOKUP(N89,'G-7 WaterC'' Data'!$B$4:$G$8,5,FALSE))</f>
        <v/>
      </c>
      <c r="AF89" s="295" t="str">
        <f t="shared" si="12"/>
        <v/>
      </c>
      <c r="AG89" s="295" t="str">
        <f t="shared" si="17"/>
        <v/>
      </c>
      <c r="AH89" s="276" t="str">
        <f t="shared" si="13"/>
        <v/>
      </c>
      <c r="AI89" s="105"/>
      <c r="AJ89" s="276" t="str">
        <f>IF(AI89="","",(IF(AND(AI89="N/A - Culvert",N89&lt;&gt;"Culvert"),"Not possible ▲",IF(VLOOKUP(AI89,'G-7 WaterC'' Data'!$AA$4:$AB$7,2,FALSE)=0,"Spatial Data Missing ⚠",VLOOKUP(AI89,'G-7 WaterC'' Data'!$AA$4:$AB$7,2,FALSE)))))</f>
        <v/>
      </c>
      <c r="AK89" s="106"/>
      <c r="AL89" s="310" t="str">
        <f>IF(AK89="","",IF(AND(AK89="N/A - Culvert",N89&lt;&gt;"Culvert"),"Not possible ▲",IF(VLOOKUP(AK89,'G-7 WaterC'' Data'!$AD$4:$AE$14,2,FALSE)=0,"Spatial Data Missing ⚠",VLOOKUP(AK89,'G-7 WaterC'' Data'!$AD$4:$AE$14,2,FALSE))))</f>
        <v/>
      </c>
      <c r="AM89" s="275" t="str">
        <f>IF(B89="","",VLOOKUP($B89,'F-1 Off-Site WaterC'' Baseline'!$C$9:$Z$257,17,FALSE))</f>
        <v/>
      </c>
      <c r="AN89" s="276" t="str">
        <f>IF(AM89="","",IF(VLOOKUP(AM89,'G-7 WaterC'' Data'!$AO$4:$BO$7,2,FALSE)=0,"Spatial Data Missing ⚠",VLOOKUP(AM89,'G-7 WaterC'' Data'!$AO$4:$BO$7,2,FALSE)))</f>
        <v/>
      </c>
      <c r="AO89" s="317" t="str">
        <f t="shared" si="18"/>
        <v/>
      </c>
      <c r="AP89" s="317" t="str">
        <f t="shared" si="19"/>
        <v/>
      </c>
      <c r="AQ89" s="101"/>
      <c r="AR89" s="115"/>
      <c r="AS89" s="104"/>
      <c r="AT89" s="104"/>
      <c r="AW89" s="30" t="str">
        <f>IF(E89="","",VLOOKUP($B89,'F-1 Off-Site WaterC'' Baseline'!$C$9:$Z$257,12,FALSE))</f>
        <v/>
      </c>
      <c r="AX89" s="30" t="str">
        <f>IF(E89="","",VLOOKUP($B89,'F-1 Off-Site WaterC'' Baseline'!$C$9:$Z$257,14,FALSE))</f>
        <v/>
      </c>
      <c r="AY89" s="30" t="str">
        <f>IFERROR(INDEX('G-7 WaterC'' Data'!$AZ$3:$AZ$7,MATCH(N89,'G-7 WaterC'' Data'!$AY$3:$AY$7,0)),"")</f>
        <v/>
      </c>
      <c r="AZ89" s="30" t="str">
        <f>IF(B89="","",IF(ISNA(VLOOKUP($B89,'F-1 Off-Site WaterC'' Baseline'!$C$8:$AD$257,20,FALSE)),"",(VLOOKUP($B89,'F-1 Off-Site WaterC'' Baseline'!$C$8:$AD$257,20,FALSE))))</f>
        <v/>
      </c>
      <c r="BC89" s="30" t="str">
        <f>IF(B89="","",VLOOKUP($B89,'F-1 Off-Site WaterC'' Baseline'!$C$9:$AB$257,25,FALSE))</f>
        <v/>
      </c>
      <c r="BD89" s="30" t="str">
        <f t="shared" si="20"/>
        <v/>
      </c>
      <c r="BE89" s="30" t="str">
        <f>IF(B89="","",VLOOKUP($B89,'F-1 Off-Site WaterC'' Baseline'!$C$9:$AB$257,24,FALSE))</f>
        <v/>
      </c>
      <c r="BF89" s="30" t="str">
        <f>IF(B89="","",VLOOKUP($B89,'F-1 Off-Site WaterC'' Baseline'!$C$9:$AB$257,22,FALSE))</f>
        <v/>
      </c>
      <c r="BJ89" s="30" t="str">
        <f t="shared" si="21"/>
        <v>No</v>
      </c>
    </row>
    <row r="90" spans="2:62" ht="14">
      <c r="B90" s="305" t="str">
        <f>'F-1 Off-Site WaterC'' Baseline'!AS88</f>
        <v/>
      </c>
      <c r="C90" s="295" t="str">
        <f>IF(B90="","",VLOOKUP($B90,'F-1 Off-Site WaterC'' Baseline'!$C$9:$R$257,2,FALSE))</f>
        <v/>
      </c>
      <c r="D90" s="295" t="str">
        <f>IF(C90="","",VLOOKUP($B90,'F-1 Off-Site WaterC'' Baseline'!$C$9:$R$257,3,FALSE))</f>
        <v/>
      </c>
      <c r="E90" s="295" t="str">
        <f>IF(D90="","",VLOOKUP($B90,'F-1 Off-Site WaterC'' Baseline'!$C$9:$R$257,4,FALSE))</f>
        <v/>
      </c>
      <c r="F90" s="295" t="str">
        <f>IF(E90="","",VLOOKUP($B90,'F-1 Off-Site WaterC'' Baseline'!$C$9:$R$257,5,FALSE))</f>
        <v/>
      </c>
      <c r="G90" s="295" t="str">
        <f>IF(F90="","",VLOOKUP($B90,'F-1 Off-Site WaterC'' Baseline'!$C$9:$R$257,6,FALSE))</f>
        <v/>
      </c>
      <c r="H90" s="295" t="str">
        <f>IF(G90="","",VLOOKUP($B90,'F-1 Off-Site WaterC'' Baseline'!$C$9:$R$257,7,FALSE))</f>
        <v/>
      </c>
      <c r="I90" s="295" t="str">
        <f>IF(H90="","",VLOOKUP($B90,'F-1 Off-Site WaterC'' Baseline'!$C$9:$R$257,8,FALSE))</f>
        <v/>
      </c>
      <c r="J90" s="295" t="str">
        <f>IF(I90="","",VLOOKUP($B90,'F-1 Off-Site WaterC'' Baseline'!$C$9:$R$257,9,FALSE))</f>
        <v/>
      </c>
      <c r="K90" s="295" t="str">
        <f>IF(J90="","",VLOOKUP($B90,'F-1 Off-Site WaterC'' Baseline'!$C$9:$R$257,10,FALSE))</f>
        <v/>
      </c>
      <c r="L90" s="283" t="str">
        <f>IF(B90="","",VLOOKUP($B90,'F-1 Off-Site WaterC'' Baseline'!$C$9:$R$257,15,FALSE))</f>
        <v/>
      </c>
      <c r="M90" s="299" t="str">
        <f>IF(L90="","",VLOOKUP($B90,'F-1 Off-Site WaterC'' Baseline'!$C$9:$V$257,19,FALSE))</f>
        <v/>
      </c>
      <c r="N90" s="244"/>
      <c r="O90" s="275" t="str">
        <f t="shared" si="14"/>
        <v/>
      </c>
      <c r="P90" s="276" t="str">
        <f t="shared" si="15"/>
        <v/>
      </c>
      <c r="Q90" s="281" t="str">
        <f>IF(N90="","",VLOOKUP(B90,'F-1 Off-Site WaterC'' Baseline'!$C$10:$AF$257,23,FALSE))</f>
        <v/>
      </c>
      <c r="R90" s="275" t="str">
        <f>IF(N90="","",VLOOKUP(N90,'G-7 WaterC'' Data'!$B$2:$G$8,2,FALSE))</f>
        <v/>
      </c>
      <c r="S90" s="276" t="str">
        <f>IFERROR(VLOOKUP(R90,'G-7 WaterC'' Data'!$C$4:$D$8,2,FALSE),"")</f>
        <v/>
      </c>
      <c r="T90" s="101"/>
      <c r="U90" s="276" t="str">
        <f>IFERROR(INDEX('G-7 WaterC'' Data'!$H$4:$L$8,MATCH(N90,'G-7 WaterC'' Data'!$B$4:$B$8,0),MATCH(T90,'G-7 WaterC'' Data'!$H$3:$L$3,0)),"")</f>
        <v/>
      </c>
      <c r="V90" s="105"/>
      <c r="W90" s="295" t="str">
        <f>IF(V90="","",IF(VLOOKUP(V90,'G-7 WaterC'' Data'!$AK$4:$AM$6,2,FALSE)=0,"Spatial Data Missing ⚠",VLOOKUP(V90,'G-7 WaterC'' Data'!$AK$4:$AM$6,2,FALSE)))</f>
        <v/>
      </c>
      <c r="X90" s="299" t="str">
        <f>IF(V90="","",IF(VLOOKUP(V90,'G-7 WaterC'' Data'!$AK$4:$AM$6,3,FALSE)=0,"Spatial Data Missing ⚠",VLOOKUP(V90,'G-7 WaterC'' Data'!$AK$4:$AM$6,3,FALSE)))</f>
        <v/>
      </c>
      <c r="Y90" s="311" t="str">
        <f>IFERROR(IF(OR(LEFT(P90,5)="Error",LEFT(O90,5)="Error"),"Check Data ⚠",IF(F90&lt;S90,'G-7 WaterC'' Data'!$R$3,INDEX('G-7 WaterC'' Data'!$U$5:$Y$9,MATCH(G90,'G-7 WaterC'' Data'!$T$5:$T$9,0),MATCH(T90,'G-7 WaterC'' Data'!$U$4:$Y$4,0)))),"")</f>
        <v/>
      </c>
      <c r="Z90" s="138"/>
      <c r="AA90" s="138"/>
      <c r="AB90" s="308" t="str">
        <f t="shared" si="11"/>
        <v/>
      </c>
      <c r="AC90" s="296" t="str">
        <f t="shared" si="16"/>
        <v/>
      </c>
      <c r="AD90" s="334" t="str">
        <f>IFERROR(IF(AC90="Check Data ⚠","Check Data ⚠",VLOOKUP(AC90,'G-4 Temporal multipliers'!$A$4:$C$37,3,FALSE)),"")</f>
        <v/>
      </c>
      <c r="AE90" s="311" t="str">
        <f>IF(N90="","",VLOOKUP(N90,'G-7 WaterC'' Data'!$B$4:$G$8,5,FALSE))</f>
        <v/>
      </c>
      <c r="AF90" s="295" t="str">
        <f t="shared" si="12"/>
        <v/>
      </c>
      <c r="AG90" s="295" t="str">
        <f t="shared" si="17"/>
        <v/>
      </c>
      <c r="AH90" s="276" t="str">
        <f t="shared" si="13"/>
        <v/>
      </c>
      <c r="AI90" s="105"/>
      <c r="AJ90" s="276" t="str">
        <f>IF(AI90="","",(IF(AND(AI90="N/A - Culvert",N90&lt;&gt;"Culvert"),"Not possible ▲",IF(VLOOKUP(AI90,'G-7 WaterC'' Data'!$AA$4:$AB$7,2,FALSE)=0,"Spatial Data Missing ⚠",VLOOKUP(AI90,'G-7 WaterC'' Data'!$AA$4:$AB$7,2,FALSE)))))</f>
        <v/>
      </c>
      <c r="AK90" s="106"/>
      <c r="AL90" s="310" t="str">
        <f>IF(AK90="","",IF(AND(AK90="N/A - Culvert",N90&lt;&gt;"Culvert"),"Not possible ▲",IF(VLOOKUP(AK90,'G-7 WaterC'' Data'!$AD$4:$AE$14,2,FALSE)=0,"Spatial Data Missing ⚠",VLOOKUP(AK90,'G-7 WaterC'' Data'!$AD$4:$AE$14,2,FALSE))))</f>
        <v/>
      </c>
      <c r="AM90" s="275" t="str">
        <f>IF(B90="","",VLOOKUP($B90,'F-1 Off-Site WaterC'' Baseline'!$C$9:$Z$257,17,FALSE))</f>
        <v/>
      </c>
      <c r="AN90" s="276" t="str">
        <f>IF(AM90="","",IF(VLOOKUP(AM90,'G-7 WaterC'' Data'!$AO$4:$BO$7,2,FALSE)=0,"Spatial Data Missing ⚠",VLOOKUP(AM90,'G-7 WaterC'' Data'!$AO$4:$BO$7,2,FALSE)))</f>
        <v/>
      </c>
      <c r="AO90" s="317" t="str">
        <f t="shared" si="18"/>
        <v/>
      </c>
      <c r="AP90" s="317" t="str">
        <f t="shared" si="19"/>
        <v/>
      </c>
      <c r="AQ90" s="101"/>
      <c r="AR90" s="115"/>
      <c r="AS90" s="104"/>
      <c r="AT90" s="104"/>
      <c r="AW90" s="30" t="str">
        <f>IF(E90="","",VLOOKUP($B90,'F-1 Off-Site WaterC'' Baseline'!$C$9:$Z$257,12,FALSE))</f>
        <v/>
      </c>
      <c r="AX90" s="30" t="str">
        <f>IF(E90="","",VLOOKUP($B90,'F-1 Off-Site WaterC'' Baseline'!$C$9:$Z$257,14,FALSE))</f>
        <v/>
      </c>
      <c r="AY90" s="30" t="str">
        <f>IFERROR(INDEX('G-7 WaterC'' Data'!$AZ$3:$AZ$7,MATCH(N90,'G-7 WaterC'' Data'!$AY$3:$AY$7,0)),"")</f>
        <v/>
      </c>
      <c r="AZ90" s="30" t="str">
        <f>IF(B90="","",IF(ISNA(VLOOKUP($B90,'F-1 Off-Site WaterC'' Baseline'!$C$8:$AD$257,20,FALSE)),"",(VLOOKUP($B90,'F-1 Off-Site WaterC'' Baseline'!$C$8:$AD$257,20,FALSE))))</f>
        <v/>
      </c>
      <c r="BC90" s="30" t="str">
        <f>IF(B90="","",VLOOKUP($B90,'F-1 Off-Site WaterC'' Baseline'!$C$9:$AB$257,25,FALSE))</f>
        <v/>
      </c>
      <c r="BD90" s="30" t="str">
        <f t="shared" si="20"/>
        <v/>
      </c>
      <c r="BE90" s="30" t="str">
        <f>IF(B90="","",VLOOKUP($B90,'F-1 Off-Site WaterC'' Baseline'!$C$9:$AB$257,24,FALSE))</f>
        <v/>
      </c>
      <c r="BF90" s="30" t="str">
        <f>IF(B90="","",VLOOKUP($B90,'F-1 Off-Site WaterC'' Baseline'!$C$9:$AB$257,22,FALSE))</f>
        <v/>
      </c>
      <c r="BJ90" s="30" t="str">
        <f t="shared" si="21"/>
        <v>No</v>
      </c>
    </row>
    <row r="91" spans="2:62" ht="14">
      <c r="B91" s="305" t="str">
        <f>'F-1 Off-Site WaterC'' Baseline'!AS89</f>
        <v/>
      </c>
      <c r="C91" s="295" t="str">
        <f>IF(B91="","",VLOOKUP($B91,'F-1 Off-Site WaterC'' Baseline'!$C$9:$R$257,2,FALSE))</f>
        <v/>
      </c>
      <c r="D91" s="295" t="str">
        <f>IF(C91="","",VLOOKUP($B91,'F-1 Off-Site WaterC'' Baseline'!$C$9:$R$257,3,FALSE))</f>
        <v/>
      </c>
      <c r="E91" s="295" t="str">
        <f>IF(D91="","",VLOOKUP($B91,'F-1 Off-Site WaterC'' Baseline'!$C$9:$R$257,4,FALSE))</f>
        <v/>
      </c>
      <c r="F91" s="295" t="str">
        <f>IF(E91="","",VLOOKUP($B91,'F-1 Off-Site WaterC'' Baseline'!$C$9:$R$257,5,FALSE))</f>
        <v/>
      </c>
      <c r="G91" s="295" t="str">
        <f>IF(F91="","",VLOOKUP($B91,'F-1 Off-Site WaterC'' Baseline'!$C$9:$R$257,6,FALSE))</f>
        <v/>
      </c>
      <c r="H91" s="295" t="str">
        <f>IF(G91="","",VLOOKUP($B91,'F-1 Off-Site WaterC'' Baseline'!$C$9:$R$257,7,FALSE))</f>
        <v/>
      </c>
      <c r="I91" s="295" t="str">
        <f>IF(H91="","",VLOOKUP($B91,'F-1 Off-Site WaterC'' Baseline'!$C$9:$R$257,8,FALSE))</f>
        <v/>
      </c>
      <c r="J91" s="295" t="str">
        <f>IF(I91="","",VLOOKUP($B91,'F-1 Off-Site WaterC'' Baseline'!$C$9:$R$257,9,FALSE))</f>
        <v/>
      </c>
      <c r="K91" s="295" t="str">
        <f>IF(J91="","",VLOOKUP($B91,'F-1 Off-Site WaterC'' Baseline'!$C$9:$R$257,10,FALSE))</f>
        <v/>
      </c>
      <c r="L91" s="283" t="str">
        <f>IF(B91="","",VLOOKUP($B91,'F-1 Off-Site WaterC'' Baseline'!$C$9:$R$257,15,FALSE))</f>
        <v/>
      </c>
      <c r="M91" s="299" t="str">
        <f>IF(L91="","",VLOOKUP($B91,'F-1 Off-Site WaterC'' Baseline'!$C$9:$V$257,19,FALSE))</f>
        <v/>
      </c>
      <c r="N91" s="244"/>
      <c r="O91" s="275" t="str">
        <f t="shared" si="14"/>
        <v/>
      </c>
      <c r="P91" s="276" t="str">
        <f t="shared" si="15"/>
        <v/>
      </c>
      <c r="Q91" s="281" t="str">
        <f>IF(N91="","",VLOOKUP(B91,'F-1 Off-Site WaterC'' Baseline'!$C$10:$AF$257,23,FALSE))</f>
        <v/>
      </c>
      <c r="R91" s="275" t="str">
        <f>IF(N91="","",VLOOKUP(N91,'G-7 WaterC'' Data'!$B$2:$G$8,2,FALSE))</f>
        <v/>
      </c>
      <c r="S91" s="276" t="str">
        <f>IFERROR(VLOOKUP(R91,'G-7 WaterC'' Data'!$C$4:$D$8,2,FALSE),"")</f>
        <v/>
      </c>
      <c r="T91" s="101"/>
      <c r="U91" s="276" t="str">
        <f>IFERROR(INDEX('G-7 WaterC'' Data'!$H$4:$L$8,MATCH(N91,'G-7 WaterC'' Data'!$B$4:$B$8,0),MATCH(T91,'G-7 WaterC'' Data'!$H$3:$L$3,0)),"")</f>
        <v/>
      </c>
      <c r="V91" s="105"/>
      <c r="W91" s="295" t="str">
        <f>IF(V91="","",IF(VLOOKUP(V91,'G-7 WaterC'' Data'!$AK$4:$AM$6,2,FALSE)=0,"Spatial Data Missing ⚠",VLOOKUP(V91,'G-7 WaterC'' Data'!$AK$4:$AM$6,2,FALSE)))</f>
        <v/>
      </c>
      <c r="X91" s="299" t="str">
        <f>IF(V91="","",IF(VLOOKUP(V91,'G-7 WaterC'' Data'!$AK$4:$AM$6,3,FALSE)=0,"Spatial Data Missing ⚠",VLOOKUP(V91,'G-7 WaterC'' Data'!$AK$4:$AM$6,3,FALSE)))</f>
        <v/>
      </c>
      <c r="Y91" s="311" t="str">
        <f>IFERROR(IF(OR(LEFT(P91,5)="Error",LEFT(O91,5)="Error"),"Check Data ⚠",IF(F91&lt;S91,'G-7 WaterC'' Data'!$R$3,INDEX('G-7 WaterC'' Data'!$U$5:$Y$9,MATCH(G91,'G-7 WaterC'' Data'!$T$5:$T$9,0),MATCH(T91,'G-7 WaterC'' Data'!$U$4:$Y$4,0)))),"")</f>
        <v/>
      </c>
      <c r="Z91" s="138"/>
      <c r="AA91" s="138"/>
      <c r="AB91" s="308" t="str">
        <f t="shared" si="11"/>
        <v/>
      </c>
      <c r="AC91" s="296" t="str">
        <f t="shared" si="16"/>
        <v/>
      </c>
      <c r="AD91" s="334" t="str">
        <f>IFERROR(IF(AC91="Check Data ⚠","Check Data ⚠",VLOOKUP(AC91,'G-4 Temporal multipliers'!$A$4:$C$37,3,FALSE)),"")</f>
        <v/>
      </c>
      <c r="AE91" s="311" t="str">
        <f>IF(N91="","",VLOOKUP(N91,'G-7 WaterC'' Data'!$B$4:$G$8,5,FALSE))</f>
        <v/>
      </c>
      <c r="AF91" s="295" t="str">
        <f t="shared" si="12"/>
        <v/>
      </c>
      <c r="AG91" s="295" t="str">
        <f t="shared" si="17"/>
        <v/>
      </c>
      <c r="AH91" s="276" t="str">
        <f t="shared" si="13"/>
        <v/>
      </c>
      <c r="AI91" s="105"/>
      <c r="AJ91" s="276" t="str">
        <f>IF(AI91="","",(IF(AND(AI91="N/A - Culvert",N91&lt;&gt;"Culvert"),"Not possible ▲",IF(VLOOKUP(AI91,'G-7 WaterC'' Data'!$AA$4:$AB$7,2,FALSE)=0,"Spatial Data Missing ⚠",VLOOKUP(AI91,'G-7 WaterC'' Data'!$AA$4:$AB$7,2,FALSE)))))</f>
        <v/>
      </c>
      <c r="AK91" s="106"/>
      <c r="AL91" s="310" t="str">
        <f>IF(AK91="","",IF(AND(AK91="N/A - Culvert",N91&lt;&gt;"Culvert"),"Not possible ▲",IF(VLOOKUP(AK91,'G-7 WaterC'' Data'!$AD$4:$AE$14,2,FALSE)=0,"Spatial Data Missing ⚠",VLOOKUP(AK91,'G-7 WaterC'' Data'!$AD$4:$AE$14,2,FALSE))))</f>
        <v/>
      </c>
      <c r="AM91" s="275" t="str">
        <f>IF(B91="","",VLOOKUP($B91,'F-1 Off-Site WaterC'' Baseline'!$C$9:$Z$257,17,FALSE))</f>
        <v/>
      </c>
      <c r="AN91" s="276" t="str">
        <f>IF(AM91="","",IF(VLOOKUP(AM91,'G-7 WaterC'' Data'!$AO$4:$BO$7,2,FALSE)=0,"Spatial Data Missing ⚠",VLOOKUP(AM91,'G-7 WaterC'' Data'!$AO$4:$BO$7,2,FALSE)))</f>
        <v/>
      </c>
      <c r="AO91" s="317" t="str">
        <f t="shared" si="18"/>
        <v/>
      </c>
      <c r="AP91" s="317" t="str">
        <f t="shared" si="19"/>
        <v/>
      </c>
      <c r="AQ91" s="101"/>
      <c r="AR91" s="115"/>
      <c r="AS91" s="104"/>
      <c r="AT91" s="104"/>
      <c r="AW91" s="30" t="str">
        <f>IF(E91="","",VLOOKUP($B91,'F-1 Off-Site WaterC'' Baseline'!$C$9:$Z$257,12,FALSE))</f>
        <v/>
      </c>
      <c r="AX91" s="30" t="str">
        <f>IF(E91="","",VLOOKUP($B91,'F-1 Off-Site WaterC'' Baseline'!$C$9:$Z$257,14,FALSE))</f>
        <v/>
      </c>
      <c r="AY91" s="30" t="str">
        <f>IFERROR(INDEX('G-7 WaterC'' Data'!$AZ$3:$AZ$7,MATCH(N91,'G-7 WaterC'' Data'!$AY$3:$AY$7,0)),"")</f>
        <v/>
      </c>
      <c r="AZ91" s="30" t="str">
        <f>IF(B91="","",IF(ISNA(VLOOKUP($B91,'F-1 Off-Site WaterC'' Baseline'!$C$8:$AD$257,20,FALSE)),"",(VLOOKUP($B91,'F-1 Off-Site WaterC'' Baseline'!$C$8:$AD$257,20,FALSE))))</f>
        <v/>
      </c>
      <c r="BC91" s="30" t="str">
        <f>IF(B91="","",VLOOKUP($B91,'F-1 Off-Site WaterC'' Baseline'!$C$9:$AB$257,25,FALSE))</f>
        <v/>
      </c>
      <c r="BD91" s="30" t="str">
        <f t="shared" si="20"/>
        <v/>
      </c>
      <c r="BE91" s="30" t="str">
        <f>IF(B91="","",VLOOKUP($B91,'F-1 Off-Site WaterC'' Baseline'!$C$9:$AB$257,24,FALSE))</f>
        <v/>
      </c>
      <c r="BF91" s="30" t="str">
        <f>IF(B91="","",VLOOKUP($B91,'F-1 Off-Site WaterC'' Baseline'!$C$9:$AB$257,22,FALSE))</f>
        <v/>
      </c>
      <c r="BJ91" s="30" t="str">
        <f t="shared" si="21"/>
        <v>No</v>
      </c>
    </row>
    <row r="92" spans="2:62" ht="14">
      <c r="B92" s="305" t="str">
        <f>'F-1 Off-Site WaterC'' Baseline'!AS90</f>
        <v/>
      </c>
      <c r="C92" s="295" t="str">
        <f>IF(B92="","",VLOOKUP($B92,'F-1 Off-Site WaterC'' Baseline'!$C$9:$R$257,2,FALSE))</f>
        <v/>
      </c>
      <c r="D92" s="295" t="str">
        <f>IF(C92="","",VLOOKUP($B92,'F-1 Off-Site WaterC'' Baseline'!$C$9:$R$257,3,FALSE))</f>
        <v/>
      </c>
      <c r="E92" s="295" t="str">
        <f>IF(D92="","",VLOOKUP($B92,'F-1 Off-Site WaterC'' Baseline'!$C$9:$R$257,4,FALSE))</f>
        <v/>
      </c>
      <c r="F92" s="295" t="str">
        <f>IF(E92="","",VLOOKUP($B92,'F-1 Off-Site WaterC'' Baseline'!$C$9:$R$257,5,FALSE))</f>
        <v/>
      </c>
      <c r="G92" s="295" t="str">
        <f>IF(F92="","",VLOOKUP($B92,'F-1 Off-Site WaterC'' Baseline'!$C$9:$R$257,6,FALSE))</f>
        <v/>
      </c>
      <c r="H92" s="295" t="str">
        <f>IF(G92="","",VLOOKUP($B92,'F-1 Off-Site WaterC'' Baseline'!$C$9:$R$257,7,FALSE))</f>
        <v/>
      </c>
      <c r="I92" s="295" t="str">
        <f>IF(H92="","",VLOOKUP($B92,'F-1 Off-Site WaterC'' Baseline'!$C$9:$R$257,8,FALSE))</f>
        <v/>
      </c>
      <c r="J92" s="295" t="str">
        <f>IF(I92="","",VLOOKUP($B92,'F-1 Off-Site WaterC'' Baseline'!$C$9:$R$257,9,FALSE))</f>
        <v/>
      </c>
      <c r="K92" s="295" t="str">
        <f>IF(J92="","",VLOOKUP($B92,'F-1 Off-Site WaterC'' Baseline'!$C$9:$R$257,10,FALSE))</f>
        <v/>
      </c>
      <c r="L92" s="283" t="str">
        <f>IF(B92="","",VLOOKUP($B92,'F-1 Off-Site WaterC'' Baseline'!$C$9:$R$257,15,FALSE))</f>
        <v/>
      </c>
      <c r="M92" s="299" t="str">
        <f>IF(L92="","",VLOOKUP($B92,'F-1 Off-Site WaterC'' Baseline'!$C$9:$V$257,19,FALSE))</f>
        <v/>
      </c>
      <c r="N92" s="244"/>
      <c r="O92" s="275" t="str">
        <f t="shared" si="14"/>
        <v/>
      </c>
      <c r="P92" s="276" t="str">
        <f t="shared" si="15"/>
        <v/>
      </c>
      <c r="Q92" s="281" t="str">
        <f>IF(N92="","",VLOOKUP(B92,'F-1 Off-Site WaterC'' Baseline'!$C$10:$AF$257,23,FALSE))</f>
        <v/>
      </c>
      <c r="R92" s="275" t="str">
        <f>IF(N92="","",VLOOKUP(N92,'G-7 WaterC'' Data'!$B$2:$G$8,2,FALSE))</f>
        <v/>
      </c>
      <c r="S92" s="276" t="str">
        <f>IFERROR(VLOOKUP(R92,'G-7 WaterC'' Data'!$C$4:$D$8,2,FALSE),"")</f>
        <v/>
      </c>
      <c r="T92" s="101"/>
      <c r="U92" s="276" t="str">
        <f>IFERROR(INDEX('G-7 WaterC'' Data'!$H$4:$L$8,MATCH(N92,'G-7 WaterC'' Data'!$B$4:$B$8,0),MATCH(T92,'G-7 WaterC'' Data'!$H$3:$L$3,0)),"")</f>
        <v/>
      </c>
      <c r="V92" s="105"/>
      <c r="W92" s="295" t="str">
        <f>IF(V92="","",IF(VLOOKUP(V92,'G-7 WaterC'' Data'!$AK$4:$AM$6,2,FALSE)=0,"Spatial Data Missing ⚠",VLOOKUP(V92,'G-7 WaterC'' Data'!$AK$4:$AM$6,2,FALSE)))</f>
        <v/>
      </c>
      <c r="X92" s="299" t="str">
        <f>IF(V92="","",IF(VLOOKUP(V92,'G-7 WaterC'' Data'!$AK$4:$AM$6,3,FALSE)=0,"Spatial Data Missing ⚠",VLOOKUP(V92,'G-7 WaterC'' Data'!$AK$4:$AM$6,3,FALSE)))</f>
        <v/>
      </c>
      <c r="Y92" s="311" t="str">
        <f>IFERROR(IF(OR(LEFT(P92,5)="Error",LEFT(O92,5)="Error"),"Check Data ⚠",IF(F92&lt;S92,'G-7 WaterC'' Data'!$R$3,INDEX('G-7 WaterC'' Data'!$U$5:$Y$9,MATCH(G92,'G-7 WaterC'' Data'!$T$5:$T$9,0),MATCH(T92,'G-7 WaterC'' Data'!$U$4:$Y$4,0)))),"")</f>
        <v/>
      </c>
      <c r="Z92" s="138"/>
      <c r="AA92" s="138"/>
      <c r="AB92" s="308" t="str">
        <f t="shared" si="11"/>
        <v/>
      </c>
      <c r="AC92" s="296" t="str">
        <f t="shared" si="16"/>
        <v/>
      </c>
      <c r="AD92" s="334" t="str">
        <f>IFERROR(IF(AC92="Check Data ⚠","Check Data ⚠",VLOOKUP(AC92,'G-4 Temporal multipliers'!$A$4:$C$37,3,FALSE)),"")</f>
        <v/>
      </c>
      <c r="AE92" s="311" t="str">
        <f>IF(N92="","",VLOOKUP(N92,'G-7 WaterC'' Data'!$B$4:$G$8,5,FALSE))</f>
        <v/>
      </c>
      <c r="AF92" s="295" t="str">
        <f t="shared" si="12"/>
        <v/>
      </c>
      <c r="AG92" s="295" t="str">
        <f t="shared" si="17"/>
        <v/>
      </c>
      <c r="AH92" s="276" t="str">
        <f t="shared" si="13"/>
        <v/>
      </c>
      <c r="AI92" s="105"/>
      <c r="AJ92" s="276" t="str">
        <f>IF(AI92="","",(IF(AND(AI92="N/A - Culvert",N92&lt;&gt;"Culvert"),"Not possible ▲",IF(VLOOKUP(AI92,'G-7 WaterC'' Data'!$AA$4:$AB$7,2,FALSE)=0,"Spatial Data Missing ⚠",VLOOKUP(AI92,'G-7 WaterC'' Data'!$AA$4:$AB$7,2,FALSE)))))</f>
        <v/>
      </c>
      <c r="AK92" s="106"/>
      <c r="AL92" s="310" t="str">
        <f>IF(AK92="","",IF(AND(AK92="N/A - Culvert",N92&lt;&gt;"Culvert"),"Not possible ▲",IF(VLOOKUP(AK92,'G-7 WaterC'' Data'!$AD$4:$AE$14,2,FALSE)=0,"Spatial Data Missing ⚠",VLOOKUP(AK92,'G-7 WaterC'' Data'!$AD$4:$AE$14,2,FALSE))))</f>
        <v/>
      </c>
      <c r="AM92" s="275" t="str">
        <f>IF(B92="","",VLOOKUP($B92,'F-1 Off-Site WaterC'' Baseline'!$C$9:$Z$257,17,FALSE))</f>
        <v/>
      </c>
      <c r="AN92" s="276" t="str">
        <f>IF(AM92="","",IF(VLOOKUP(AM92,'G-7 WaterC'' Data'!$AO$4:$BO$7,2,FALSE)=0,"Spatial Data Missing ⚠",VLOOKUP(AM92,'G-7 WaterC'' Data'!$AO$4:$BO$7,2,FALSE)))</f>
        <v/>
      </c>
      <c r="AO92" s="317" t="str">
        <f t="shared" si="18"/>
        <v/>
      </c>
      <c r="AP92" s="317" t="str">
        <f t="shared" si="19"/>
        <v/>
      </c>
      <c r="AQ92" s="101"/>
      <c r="AR92" s="115"/>
      <c r="AS92" s="104"/>
      <c r="AT92" s="104"/>
      <c r="AW92" s="30" t="str">
        <f>IF(E92="","",VLOOKUP($B92,'F-1 Off-Site WaterC'' Baseline'!$C$9:$Z$257,12,FALSE))</f>
        <v/>
      </c>
      <c r="AX92" s="30" t="str">
        <f>IF(E92="","",VLOOKUP($B92,'F-1 Off-Site WaterC'' Baseline'!$C$9:$Z$257,14,FALSE))</f>
        <v/>
      </c>
      <c r="AY92" s="30" t="str">
        <f>IFERROR(INDEX('G-7 WaterC'' Data'!$AZ$3:$AZ$7,MATCH(N92,'G-7 WaterC'' Data'!$AY$3:$AY$7,0)),"")</f>
        <v/>
      </c>
      <c r="AZ92" s="30" t="str">
        <f>IF(B92="","",IF(ISNA(VLOOKUP($B92,'F-1 Off-Site WaterC'' Baseline'!$C$8:$AD$257,20,FALSE)),"",(VLOOKUP($B92,'F-1 Off-Site WaterC'' Baseline'!$C$8:$AD$257,20,FALSE))))</f>
        <v/>
      </c>
      <c r="BC92" s="30" t="str">
        <f>IF(B92="","",VLOOKUP($B92,'F-1 Off-Site WaterC'' Baseline'!$C$9:$AB$257,25,FALSE))</f>
        <v/>
      </c>
      <c r="BD92" s="30" t="str">
        <f t="shared" si="20"/>
        <v/>
      </c>
      <c r="BE92" s="30" t="str">
        <f>IF(B92="","",VLOOKUP($B92,'F-1 Off-Site WaterC'' Baseline'!$C$9:$AB$257,24,FALSE))</f>
        <v/>
      </c>
      <c r="BF92" s="30" t="str">
        <f>IF(B92="","",VLOOKUP($B92,'F-1 Off-Site WaterC'' Baseline'!$C$9:$AB$257,22,FALSE))</f>
        <v/>
      </c>
      <c r="BJ92" s="30" t="str">
        <f t="shared" si="21"/>
        <v>No</v>
      </c>
    </row>
    <row r="93" spans="2:62" ht="14">
      <c r="B93" s="305" t="str">
        <f>'F-1 Off-Site WaterC'' Baseline'!AS91</f>
        <v/>
      </c>
      <c r="C93" s="295" t="str">
        <f>IF(B93="","",VLOOKUP($B93,'F-1 Off-Site WaterC'' Baseline'!$C$9:$R$257,2,FALSE))</f>
        <v/>
      </c>
      <c r="D93" s="295" t="str">
        <f>IF(C93="","",VLOOKUP($B93,'F-1 Off-Site WaterC'' Baseline'!$C$9:$R$257,3,FALSE))</f>
        <v/>
      </c>
      <c r="E93" s="295" t="str">
        <f>IF(D93="","",VLOOKUP($B93,'F-1 Off-Site WaterC'' Baseline'!$C$9:$R$257,4,FALSE))</f>
        <v/>
      </c>
      <c r="F93" s="295" t="str">
        <f>IF(E93="","",VLOOKUP($B93,'F-1 Off-Site WaterC'' Baseline'!$C$9:$R$257,5,FALSE))</f>
        <v/>
      </c>
      <c r="G93" s="295" t="str">
        <f>IF(F93="","",VLOOKUP($B93,'F-1 Off-Site WaterC'' Baseline'!$C$9:$R$257,6,FALSE))</f>
        <v/>
      </c>
      <c r="H93" s="295" t="str">
        <f>IF(G93="","",VLOOKUP($B93,'F-1 Off-Site WaterC'' Baseline'!$C$9:$R$257,7,FALSE))</f>
        <v/>
      </c>
      <c r="I93" s="295" t="str">
        <f>IF(H93="","",VLOOKUP($B93,'F-1 Off-Site WaterC'' Baseline'!$C$9:$R$257,8,FALSE))</f>
        <v/>
      </c>
      <c r="J93" s="295" t="str">
        <f>IF(I93="","",VLOOKUP($B93,'F-1 Off-Site WaterC'' Baseline'!$C$9:$R$257,9,FALSE))</f>
        <v/>
      </c>
      <c r="K93" s="295" t="str">
        <f>IF(J93="","",VLOOKUP($B93,'F-1 Off-Site WaterC'' Baseline'!$C$9:$R$257,10,FALSE))</f>
        <v/>
      </c>
      <c r="L93" s="283" t="str">
        <f>IF(B93="","",VLOOKUP($B93,'F-1 Off-Site WaterC'' Baseline'!$C$9:$R$257,15,FALSE))</f>
        <v/>
      </c>
      <c r="M93" s="299" t="str">
        <f>IF(L93="","",VLOOKUP($B93,'F-1 Off-Site WaterC'' Baseline'!$C$9:$V$257,19,FALSE))</f>
        <v/>
      </c>
      <c r="N93" s="244"/>
      <c r="O93" s="275" t="str">
        <f t="shared" si="14"/>
        <v/>
      </c>
      <c r="P93" s="276" t="str">
        <f t="shared" si="15"/>
        <v/>
      </c>
      <c r="Q93" s="281" t="str">
        <f>IF(N93="","",VLOOKUP(B93,'F-1 Off-Site WaterC'' Baseline'!$C$10:$AF$257,23,FALSE))</f>
        <v/>
      </c>
      <c r="R93" s="275" t="str">
        <f>IF(N93="","",VLOOKUP(N93,'G-7 WaterC'' Data'!$B$2:$G$8,2,FALSE))</f>
        <v/>
      </c>
      <c r="S93" s="276" t="str">
        <f>IFERROR(VLOOKUP(R93,'G-7 WaterC'' Data'!$C$4:$D$8,2,FALSE),"")</f>
        <v/>
      </c>
      <c r="T93" s="101"/>
      <c r="U93" s="276" t="str">
        <f>IFERROR(INDEX('G-7 WaterC'' Data'!$H$4:$L$8,MATCH(N93,'G-7 WaterC'' Data'!$B$4:$B$8,0),MATCH(T93,'G-7 WaterC'' Data'!$H$3:$L$3,0)),"")</f>
        <v/>
      </c>
      <c r="V93" s="105"/>
      <c r="W93" s="295" t="str">
        <f>IF(V93="","",IF(VLOOKUP(V93,'G-7 WaterC'' Data'!$AK$4:$AM$6,2,FALSE)=0,"Spatial Data Missing ⚠",VLOOKUP(V93,'G-7 WaterC'' Data'!$AK$4:$AM$6,2,FALSE)))</f>
        <v/>
      </c>
      <c r="X93" s="299" t="str">
        <f>IF(V93="","",IF(VLOOKUP(V93,'G-7 WaterC'' Data'!$AK$4:$AM$6,3,FALSE)=0,"Spatial Data Missing ⚠",VLOOKUP(V93,'G-7 WaterC'' Data'!$AK$4:$AM$6,3,FALSE)))</f>
        <v/>
      </c>
      <c r="Y93" s="311" t="str">
        <f>IFERROR(IF(OR(LEFT(P93,5)="Error",LEFT(O93,5)="Error"),"Check Data ⚠",IF(F93&lt;S93,'G-7 WaterC'' Data'!$R$3,INDEX('G-7 WaterC'' Data'!$U$5:$Y$9,MATCH(G93,'G-7 WaterC'' Data'!$T$5:$T$9,0),MATCH(T93,'G-7 WaterC'' Data'!$U$4:$Y$4,0)))),"")</f>
        <v/>
      </c>
      <c r="Z93" s="138"/>
      <c r="AA93" s="138"/>
      <c r="AB93" s="308" t="str">
        <f t="shared" si="11"/>
        <v/>
      </c>
      <c r="AC93" s="296" t="str">
        <f t="shared" si="16"/>
        <v/>
      </c>
      <c r="AD93" s="334" t="str">
        <f>IFERROR(IF(AC93="Check Data ⚠","Check Data ⚠",VLOOKUP(AC93,'G-4 Temporal multipliers'!$A$4:$C$37,3,FALSE)),"")</f>
        <v/>
      </c>
      <c r="AE93" s="311" t="str">
        <f>IF(N93="","",VLOOKUP(N93,'G-7 WaterC'' Data'!$B$4:$G$8,5,FALSE))</f>
        <v/>
      </c>
      <c r="AF93" s="295" t="str">
        <f t="shared" si="12"/>
        <v/>
      </c>
      <c r="AG93" s="295" t="str">
        <f t="shared" si="17"/>
        <v/>
      </c>
      <c r="AH93" s="276" t="str">
        <f t="shared" si="13"/>
        <v/>
      </c>
      <c r="AI93" s="105"/>
      <c r="AJ93" s="276" t="str">
        <f>IF(AI93="","",(IF(AND(AI93="N/A - Culvert",N93&lt;&gt;"Culvert"),"Not possible ▲",IF(VLOOKUP(AI93,'G-7 WaterC'' Data'!$AA$4:$AB$7,2,FALSE)=0,"Spatial Data Missing ⚠",VLOOKUP(AI93,'G-7 WaterC'' Data'!$AA$4:$AB$7,2,FALSE)))))</f>
        <v/>
      </c>
      <c r="AK93" s="106"/>
      <c r="AL93" s="310" t="str">
        <f>IF(AK93="","",IF(AND(AK93="N/A - Culvert",N93&lt;&gt;"Culvert"),"Not possible ▲",IF(VLOOKUP(AK93,'G-7 WaterC'' Data'!$AD$4:$AE$14,2,FALSE)=0,"Spatial Data Missing ⚠",VLOOKUP(AK93,'G-7 WaterC'' Data'!$AD$4:$AE$14,2,FALSE))))</f>
        <v/>
      </c>
      <c r="AM93" s="275" t="str">
        <f>IF(B93="","",VLOOKUP($B93,'F-1 Off-Site WaterC'' Baseline'!$C$9:$Z$257,17,FALSE))</f>
        <v/>
      </c>
      <c r="AN93" s="276" t="str">
        <f>IF(AM93="","",IF(VLOOKUP(AM93,'G-7 WaterC'' Data'!$AO$4:$BO$7,2,FALSE)=0,"Spatial Data Missing ⚠",VLOOKUP(AM93,'G-7 WaterC'' Data'!$AO$4:$BO$7,2,FALSE)))</f>
        <v/>
      </c>
      <c r="AO93" s="317" t="str">
        <f t="shared" si="18"/>
        <v/>
      </c>
      <c r="AP93" s="317" t="str">
        <f t="shared" si="19"/>
        <v/>
      </c>
      <c r="AQ93" s="101"/>
      <c r="AR93" s="115"/>
      <c r="AS93" s="104"/>
      <c r="AT93" s="104"/>
      <c r="AW93" s="30" t="str">
        <f>IF(E93="","",VLOOKUP($B93,'F-1 Off-Site WaterC'' Baseline'!$C$9:$Z$257,12,FALSE))</f>
        <v/>
      </c>
      <c r="AX93" s="30" t="str">
        <f>IF(E93="","",VLOOKUP($B93,'F-1 Off-Site WaterC'' Baseline'!$C$9:$Z$257,14,FALSE))</f>
        <v/>
      </c>
      <c r="AY93" s="30" t="str">
        <f>IFERROR(INDEX('G-7 WaterC'' Data'!$AZ$3:$AZ$7,MATCH(N93,'G-7 WaterC'' Data'!$AY$3:$AY$7,0)),"")</f>
        <v/>
      </c>
      <c r="AZ93" s="30" t="str">
        <f>IF(B93="","",IF(ISNA(VLOOKUP($B93,'F-1 Off-Site WaterC'' Baseline'!$C$8:$AD$257,20,FALSE)),"",(VLOOKUP($B93,'F-1 Off-Site WaterC'' Baseline'!$C$8:$AD$257,20,FALSE))))</f>
        <v/>
      </c>
      <c r="BC93" s="30" t="str">
        <f>IF(B93="","",VLOOKUP($B93,'F-1 Off-Site WaterC'' Baseline'!$C$9:$AB$257,25,FALSE))</f>
        <v/>
      </c>
      <c r="BD93" s="30" t="str">
        <f t="shared" si="20"/>
        <v/>
      </c>
      <c r="BE93" s="30" t="str">
        <f>IF(B93="","",VLOOKUP($B93,'F-1 Off-Site WaterC'' Baseline'!$C$9:$AB$257,24,FALSE))</f>
        <v/>
      </c>
      <c r="BF93" s="30" t="str">
        <f>IF(B93="","",VLOOKUP($B93,'F-1 Off-Site WaterC'' Baseline'!$C$9:$AB$257,22,FALSE))</f>
        <v/>
      </c>
      <c r="BJ93" s="30" t="str">
        <f t="shared" si="21"/>
        <v>No</v>
      </c>
    </row>
    <row r="94" spans="2:62" ht="14">
      <c r="B94" s="305" t="str">
        <f>'F-1 Off-Site WaterC'' Baseline'!AS92</f>
        <v/>
      </c>
      <c r="C94" s="295" t="str">
        <f>IF(B94="","",VLOOKUP($B94,'F-1 Off-Site WaterC'' Baseline'!$C$9:$R$257,2,FALSE))</f>
        <v/>
      </c>
      <c r="D94" s="295" t="str">
        <f>IF(C94="","",VLOOKUP($B94,'F-1 Off-Site WaterC'' Baseline'!$C$9:$R$257,3,FALSE))</f>
        <v/>
      </c>
      <c r="E94" s="295" t="str">
        <f>IF(D94="","",VLOOKUP($B94,'F-1 Off-Site WaterC'' Baseline'!$C$9:$R$257,4,FALSE))</f>
        <v/>
      </c>
      <c r="F94" s="295" t="str">
        <f>IF(E94="","",VLOOKUP($B94,'F-1 Off-Site WaterC'' Baseline'!$C$9:$R$257,5,FALSE))</f>
        <v/>
      </c>
      <c r="G94" s="295" t="str">
        <f>IF(F94="","",VLOOKUP($B94,'F-1 Off-Site WaterC'' Baseline'!$C$9:$R$257,6,FALSE))</f>
        <v/>
      </c>
      <c r="H94" s="295" t="str">
        <f>IF(G94="","",VLOOKUP($B94,'F-1 Off-Site WaterC'' Baseline'!$C$9:$R$257,7,FALSE))</f>
        <v/>
      </c>
      <c r="I94" s="295" t="str">
        <f>IF(H94="","",VLOOKUP($B94,'F-1 Off-Site WaterC'' Baseline'!$C$9:$R$257,8,FALSE))</f>
        <v/>
      </c>
      <c r="J94" s="295" t="str">
        <f>IF(I94="","",VLOOKUP($B94,'F-1 Off-Site WaterC'' Baseline'!$C$9:$R$257,9,FALSE))</f>
        <v/>
      </c>
      <c r="K94" s="295" t="str">
        <f>IF(J94="","",VLOOKUP($B94,'F-1 Off-Site WaterC'' Baseline'!$C$9:$R$257,10,FALSE))</f>
        <v/>
      </c>
      <c r="L94" s="283" t="str">
        <f>IF(B94="","",VLOOKUP($B94,'F-1 Off-Site WaterC'' Baseline'!$C$9:$R$257,15,FALSE))</f>
        <v/>
      </c>
      <c r="M94" s="299" t="str">
        <f>IF(L94="","",VLOOKUP($B94,'F-1 Off-Site WaterC'' Baseline'!$C$9:$V$257,19,FALSE))</f>
        <v/>
      </c>
      <c r="N94" s="244"/>
      <c r="O94" s="275" t="str">
        <f t="shared" si="14"/>
        <v/>
      </c>
      <c r="P94" s="276" t="str">
        <f t="shared" si="15"/>
        <v/>
      </c>
      <c r="Q94" s="281" t="str">
        <f>IF(N94="","",VLOOKUP(B94,'F-1 Off-Site WaterC'' Baseline'!$C$10:$AF$257,23,FALSE))</f>
        <v/>
      </c>
      <c r="R94" s="275" t="str">
        <f>IF(N94="","",VLOOKUP(N94,'G-7 WaterC'' Data'!$B$2:$G$8,2,FALSE))</f>
        <v/>
      </c>
      <c r="S94" s="276" t="str">
        <f>IFERROR(VLOOKUP(R94,'G-7 WaterC'' Data'!$C$4:$D$8,2,FALSE),"")</f>
        <v/>
      </c>
      <c r="T94" s="101"/>
      <c r="U94" s="276" t="str">
        <f>IFERROR(INDEX('G-7 WaterC'' Data'!$H$4:$L$8,MATCH(N94,'G-7 WaterC'' Data'!$B$4:$B$8,0),MATCH(T94,'G-7 WaterC'' Data'!$H$3:$L$3,0)),"")</f>
        <v/>
      </c>
      <c r="V94" s="105"/>
      <c r="W94" s="295" t="str">
        <f>IF(V94="","",IF(VLOOKUP(V94,'G-7 WaterC'' Data'!$AK$4:$AM$6,2,FALSE)=0,"Spatial Data Missing ⚠",VLOOKUP(V94,'G-7 WaterC'' Data'!$AK$4:$AM$6,2,FALSE)))</f>
        <v/>
      </c>
      <c r="X94" s="299" t="str">
        <f>IF(V94="","",IF(VLOOKUP(V94,'G-7 WaterC'' Data'!$AK$4:$AM$6,3,FALSE)=0,"Spatial Data Missing ⚠",VLOOKUP(V94,'G-7 WaterC'' Data'!$AK$4:$AM$6,3,FALSE)))</f>
        <v/>
      </c>
      <c r="Y94" s="311" t="str">
        <f>IFERROR(IF(OR(LEFT(P94,5)="Error",LEFT(O94,5)="Error"),"Check Data ⚠",IF(F94&lt;S94,'G-7 WaterC'' Data'!$R$3,INDEX('G-7 WaterC'' Data'!$U$5:$Y$9,MATCH(G94,'G-7 WaterC'' Data'!$T$5:$T$9,0),MATCH(T94,'G-7 WaterC'' Data'!$U$4:$Y$4,0)))),"")</f>
        <v/>
      </c>
      <c r="Z94" s="138"/>
      <c r="AA94" s="138"/>
      <c r="AB94" s="308" t="str">
        <f t="shared" si="11"/>
        <v/>
      </c>
      <c r="AC94" s="296" t="str">
        <f t="shared" si="16"/>
        <v/>
      </c>
      <c r="AD94" s="334" t="str">
        <f>IFERROR(IF(AC94="Check Data ⚠","Check Data ⚠",VLOOKUP(AC94,'G-4 Temporal multipliers'!$A$4:$C$37,3,FALSE)),"")</f>
        <v/>
      </c>
      <c r="AE94" s="311" t="str">
        <f>IF(N94="","",VLOOKUP(N94,'G-7 WaterC'' Data'!$B$4:$G$8,5,FALSE))</f>
        <v/>
      </c>
      <c r="AF94" s="295" t="str">
        <f t="shared" si="12"/>
        <v/>
      </c>
      <c r="AG94" s="295" t="str">
        <f t="shared" si="17"/>
        <v/>
      </c>
      <c r="AH94" s="276" t="str">
        <f t="shared" si="13"/>
        <v/>
      </c>
      <c r="AI94" s="105"/>
      <c r="AJ94" s="276" t="str">
        <f>IF(AI94="","",(IF(AND(AI94="N/A - Culvert",N94&lt;&gt;"Culvert"),"Not possible ▲",IF(VLOOKUP(AI94,'G-7 WaterC'' Data'!$AA$4:$AB$7,2,FALSE)=0,"Spatial Data Missing ⚠",VLOOKUP(AI94,'G-7 WaterC'' Data'!$AA$4:$AB$7,2,FALSE)))))</f>
        <v/>
      </c>
      <c r="AK94" s="106"/>
      <c r="AL94" s="310" t="str">
        <f>IF(AK94="","",IF(AND(AK94="N/A - Culvert",N94&lt;&gt;"Culvert"),"Not possible ▲",IF(VLOOKUP(AK94,'G-7 WaterC'' Data'!$AD$4:$AE$14,2,FALSE)=0,"Spatial Data Missing ⚠",VLOOKUP(AK94,'G-7 WaterC'' Data'!$AD$4:$AE$14,2,FALSE))))</f>
        <v/>
      </c>
      <c r="AM94" s="275" t="str">
        <f>IF(B94="","",VLOOKUP($B94,'F-1 Off-Site WaterC'' Baseline'!$C$9:$Z$257,17,FALSE))</f>
        <v/>
      </c>
      <c r="AN94" s="276" t="str">
        <f>IF(AM94="","",IF(VLOOKUP(AM94,'G-7 WaterC'' Data'!$AO$4:$BO$7,2,FALSE)=0,"Spatial Data Missing ⚠",VLOOKUP(AM94,'G-7 WaterC'' Data'!$AO$4:$BO$7,2,FALSE)))</f>
        <v/>
      </c>
      <c r="AO94" s="317" t="str">
        <f t="shared" si="18"/>
        <v/>
      </c>
      <c r="AP94" s="317" t="str">
        <f t="shared" si="19"/>
        <v/>
      </c>
      <c r="AQ94" s="101"/>
      <c r="AR94" s="115"/>
      <c r="AS94" s="104"/>
      <c r="AT94" s="104"/>
      <c r="AW94" s="30" t="str">
        <f>IF(E94="","",VLOOKUP($B94,'F-1 Off-Site WaterC'' Baseline'!$C$9:$Z$257,12,FALSE))</f>
        <v/>
      </c>
      <c r="AX94" s="30" t="str">
        <f>IF(E94="","",VLOOKUP($B94,'F-1 Off-Site WaterC'' Baseline'!$C$9:$Z$257,14,FALSE))</f>
        <v/>
      </c>
      <c r="AY94" s="30" t="str">
        <f>IFERROR(INDEX('G-7 WaterC'' Data'!$AZ$3:$AZ$7,MATCH(N94,'G-7 WaterC'' Data'!$AY$3:$AY$7,0)),"")</f>
        <v/>
      </c>
      <c r="AZ94" s="30" t="str">
        <f>IF(B94="","",IF(ISNA(VLOOKUP($B94,'F-1 Off-Site WaterC'' Baseline'!$C$8:$AD$257,20,FALSE)),"",(VLOOKUP($B94,'F-1 Off-Site WaterC'' Baseline'!$C$8:$AD$257,20,FALSE))))</f>
        <v/>
      </c>
      <c r="BC94" s="30" t="str">
        <f>IF(B94="","",VLOOKUP($B94,'F-1 Off-Site WaterC'' Baseline'!$C$9:$AB$257,25,FALSE))</f>
        <v/>
      </c>
      <c r="BD94" s="30" t="str">
        <f t="shared" si="20"/>
        <v/>
      </c>
      <c r="BE94" s="30" t="str">
        <f>IF(B94="","",VLOOKUP($B94,'F-1 Off-Site WaterC'' Baseline'!$C$9:$AB$257,24,FALSE))</f>
        <v/>
      </c>
      <c r="BF94" s="30" t="str">
        <f>IF(B94="","",VLOOKUP($B94,'F-1 Off-Site WaterC'' Baseline'!$C$9:$AB$257,22,FALSE))</f>
        <v/>
      </c>
      <c r="BJ94" s="30" t="str">
        <f t="shared" si="21"/>
        <v>No</v>
      </c>
    </row>
    <row r="95" spans="2:62" ht="14">
      <c r="B95" s="305" t="str">
        <f>'F-1 Off-Site WaterC'' Baseline'!AS93</f>
        <v/>
      </c>
      <c r="C95" s="295" t="str">
        <f>IF(B95="","",VLOOKUP($B95,'F-1 Off-Site WaterC'' Baseline'!$C$9:$R$257,2,FALSE))</f>
        <v/>
      </c>
      <c r="D95" s="295" t="str">
        <f>IF(C95="","",VLOOKUP($B95,'F-1 Off-Site WaterC'' Baseline'!$C$9:$R$257,3,FALSE))</f>
        <v/>
      </c>
      <c r="E95" s="295" t="str">
        <f>IF(D95="","",VLOOKUP($B95,'F-1 Off-Site WaterC'' Baseline'!$C$9:$R$257,4,FALSE))</f>
        <v/>
      </c>
      <c r="F95" s="295" t="str">
        <f>IF(E95="","",VLOOKUP($B95,'F-1 Off-Site WaterC'' Baseline'!$C$9:$R$257,5,FALSE))</f>
        <v/>
      </c>
      <c r="G95" s="295" t="str">
        <f>IF(F95="","",VLOOKUP($B95,'F-1 Off-Site WaterC'' Baseline'!$C$9:$R$257,6,FALSE))</f>
        <v/>
      </c>
      <c r="H95" s="295" t="str">
        <f>IF(G95="","",VLOOKUP($B95,'F-1 Off-Site WaterC'' Baseline'!$C$9:$R$257,7,FALSE))</f>
        <v/>
      </c>
      <c r="I95" s="295" t="str">
        <f>IF(H95="","",VLOOKUP($B95,'F-1 Off-Site WaterC'' Baseline'!$C$9:$R$257,8,FALSE))</f>
        <v/>
      </c>
      <c r="J95" s="295" t="str">
        <f>IF(I95="","",VLOOKUP($B95,'F-1 Off-Site WaterC'' Baseline'!$C$9:$R$257,9,FALSE))</f>
        <v/>
      </c>
      <c r="K95" s="295" t="str">
        <f>IF(J95="","",VLOOKUP($B95,'F-1 Off-Site WaterC'' Baseline'!$C$9:$R$257,10,FALSE))</f>
        <v/>
      </c>
      <c r="L95" s="283" t="str">
        <f>IF(B95="","",VLOOKUP($B95,'F-1 Off-Site WaterC'' Baseline'!$C$9:$R$257,15,FALSE))</f>
        <v/>
      </c>
      <c r="M95" s="299" t="str">
        <f>IF(L95="","",VLOOKUP($B95,'F-1 Off-Site WaterC'' Baseline'!$C$9:$V$257,19,FALSE))</f>
        <v/>
      </c>
      <c r="N95" s="244"/>
      <c r="O95" s="275" t="str">
        <f t="shared" si="14"/>
        <v/>
      </c>
      <c r="P95" s="276" t="str">
        <f t="shared" si="15"/>
        <v/>
      </c>
      <c r="Q95" s="281" t="str">
        <f>IF(N95="","",VLOOKUP(B95,'F-1 Off-Site WaterC'' Baseline'!$C$10:$AF$257,23,FALSE))</f>
        <v/>
      </c>
      <c r="R95" s="275" t="str">
        <f>IF(N95="","",VLOOKUP(N95,'G-7 WaterC'' Data'!$B$2:$G$8,2,FALSE))</f>
        <v/>
      </c>
      <c r="S95" s="276" t="str">
        <f>IFERROR(VLOOKUP(R95,'G-7 WaterC'' Data'!$C$4:$D$8,2,FALSE),"")</f>
        <v/>
      </c>
      <c r="T95" s="101"/>
      <c r="U95" s="276" t="str">
        <f>IFERROR(INDEX('G-7 WaterC'' Data'!$H$4:$L$8,MATCH(N95,'G-7 WaterC'' Data'!$B$4:$B$8,0),MATCH(T95,'G-7 WaterC'' Data'!$H$3:$L$3,0)),"")</f>
        <v/>
      </c>
      <c r="V95" s="105"/>
      <c r="W95" s="295" t="str">
        <f>IF(V95="","",IF(VLOOKUP(V95,'G-7 WaterC'' Data'!$AK$4:$AM$6,2,FALSE)=0,"Spatial Data Missing ⚠",VLOOKUP(V95,'G-7 WaterC'' Data'!$AK$4:$AM$6,2,FALSE)))</f>
        <v/>
      </c>
      <c r="X95" s="299" t="str">
        <f>IF(V95="","",IF(VLOOKUP(V95,'G-7 WaterC'' Data'!$AK$4:$AM$6,3,FALSE)=0,"Spatial Data Missing ⚠",VLOOKUP(V95,'G-7 WaterC'' Data'!$AK$4:$AM$6,3,FALSE)))</f>
        <v/>
      </c>
      <c r="Y95" s="311" t="str">
        <f>IFERROR(IF(OR(LEFT(P95,5)="Error",LEFT(O95,5)="Error"),"Check Data ⚠",IF(F95&lt;S95,'G-7 WaterC'' Data'!$R$3,INDEX('G-7 WaterC'' Data'!$U$5:$Y$9,MATCH(G95,'G-7 WaterC'' Data'!$T$5:$T$9,0),MATCH(T95,'G-7 WaterC'' Data'!$U$4:$Y$4,0)))),"")</f>
        <v/>
      </c>
      <c r="Z95" s="138"/>
      <c r="AA95" s="138"/>
      <c r="AB95" s="308" t="str">
        <f t="shared" si="11"/>
        <v/>
      </c>
      <c r="AC95" s="296" t="str">
        <f t="shared" si="16"/>
        <v/>
      </c>
      <c r="AD95" s="334" t="str">
        <f>IFERROR(IF(AC95="Check Data ⚠","Check Data ⚠",VLOOKUP(AC95,'G-4 Temporal multipliers'!$A$4:$C$37,3,FALSE)),"")</f>
        <v/>
      </c>
      <c r="AE95" s="311" t="str">
        <f>IF(N95="","",VLOOKUP(N95,'G-7 WaterC'' Data'!$B$4:$G$8,5,FALSE))</f>
        <v/>
      </c>
      <c r="AF95" s="295" t="str">
        <f t="shared" si="12"/>
        <v/>
      </c>
      <c r="AG95" s="295" t="str">
        <f t="shared" si="17"/>
        <v/>
      </c>
      <c r="AH95" s="276" t="str">
        <f t="shared" si="13"/>
        <v/>
      </c>
      <c r="AI95" s="105"/>
      <c r="AJ95" s="276" t="str">
        <f>IF(AI95="","",(IF(AND(AI95="N/A - Culvert",N95&lt;&gt;"Culvert"),"Not possible ▲",IF(VLOOKUP(AI95,'G-7 WaterC'' Data'!$AA$4:$AB$7,2,FALSE)=0,"Spatial Data Missing ⚠",VLOOKUP(AI95,'G-7 WaterC'' Data'!$AA$4:$AB$7,2,FALSE)))))</f>
        <v/>
      </c>
      <c r="AK95" s="106"/>
      <c r="AL95" s="310" t="str">
        <f>IF(AK95="","",IF(AND(AK95="N/A - Culvert",N95&lt;&gt;"Culvert"),"Not possible ▲",IF(VLOOKUP(AK95,'G-7 WaterC'' Data'!$AD$4:$AE$14,2,FALSE)=0,"Spatial Data Missing ⚠",VLOOKUP(AK95,'G-7 WaterC'' Data'!$AD$4:$AE$14,2,FALSE))))</f>
        <v/>
      </c>
      <c r="AM95" s="275" t="str">
        <f>IF(B95="","",VLOOKUP($B95,'F-1 Off-Site WaterC'' Baseline'!$C$9:$Z$257,17,FALSE))</f>
        <v/>
      </c>
      <c r="AN95" s="276" t="str">
        <f>IF(AM95="","",IF(VLOOKUP(AM95,'G-7 WaterC'' Data'!$AO$4:$BO$7,2,FALSE)=0,"Spatial Data Missing ⚠",VLOOKUP(AM95,'G-7 WaterC'' Data'!$AO$4:$BO$7,2,FALSE)))</f>
        <v/>
      </c>
      <c r="AO95" s="317" t="str">
        <f t="shared" si="18"/>
        <v/>
      </c>
      <c r="AP95" s="317" t="str">
        <f t="shared" si="19"/>
        <v/>
      </c>
      <c r="AQ95" s="101"/>
      <c r="AR95" s="115"/>
      <c r="AS95" s="104"/>
      <c r="AT95" s="104"/>
      <c r="AW95" s="30" t="str">
        <f>IF(E95="","",VLOOKUP($B95,'F-1 Off-Site WaterC'' Baseline'!$C$9:$Z$257,12,FALSE))</f>
        <v/>
      </c>
      <c r="AX95" s="30" t="str">
        <f>IF(E95="","",VLOOKUP($B95,'F-1 Off-Site WaterC'' Baseline'!$C$9:$Z$257,14,FALSE))</f>
        <v/>
      </c>
      <c r="AY95" s="30" t="str">
        <f>IFERROR(INDEX('G-7 WaterC'' Data'!$AZ$3:$AZ$7,MATCH(N95,'G-7 WaterC'' Data'!$AY$3:$AY$7,0)),"")</f>
        <v/>
      </c>
      <c r="AZ95" s="30" t="str">
        <f>IF(B95="","",IF(ISNA(VLOOKUP($B95,'F-1 Off-Site WaterC'' Baseline'!$C$8:$AD$257,20,FALSE)),"",(VLOOKUP($B95,'F-1 Off-Site WaterC'' Baseline'!$C$8:$AD$257,20,FALSE))))</f>
        <v/>
      </c>
      <c r="BC95" s="30" t="str">
        <f>IF(B95="","",VLOOKUP($B95,'F-1 Off-Site WaterC'' Baseline'!$C$9:$AB$257,25,FALSE))</f>
        <v/>
      </c>
      <c r="BD95" s="30" t="str">
        <f t="shared" si="20"/>
        <v/>
      </c>
      <c r="BE95" s="30" t="str">
        <f>IF(B95="","",VLOOKUP($B95,'F-1 Off-Site WaterC'' Baseline'!$C$9:$AB$257,24,FALSE))</f>
        <v/>
      </c>
      <c r="BF95" s="30" t="str">
        <f>IF(B95="","",VLOOKUP($B95,'F-1 Off-Site WaterC'' Baseline'!$C$9:$AB$257,22,FALSE))</f>
        <v/>
      </c>
      <c r="BJ95" s="30" t="str">
        <f t="shared" si="21"/>
        <v>No</v>
      </c>
    </row>
    <row r="96" spans="2:62" ht="14">
      <c r="B96" s="305" t="str">
        <f>'F-1 Off-Site WaterC'' Baseline'!AS94</f>
        <v/>
      </c>
      <c r="C96" s="295" t="str">
        <f>IF(B96="","",VLOOKUP($B96,'F-1 Off-Site WaterC'' Baseline'!$C$9:$R$257,2,FALSE))</f>
        <v/>
      </c>
      <c r="D96" s="295" t="str">
        <f>IF(C96="","",VLOOKUP($B96,'F-1 Off-Site WaterC'' Baseline'!$C$9:$R$257,3,FALSE))</f>
        <v/>
      </c>
      <c r="E96" s="295" t="str">
        <f>IF(D96="","",VLOOKUP($B96,'F-1 Off-Site WaterC'' Baseline'!$C$9:$R$257,4,FALSE))</f>
        <v/>
      </c>
      <c r="F96" s="295" t="str">
        <f>IF(E96="","",VLOOKUP($B96,'F-1 Off-Site WaterC'' Baseline'!$C$9:$R$257,5,FALSE))</f>
        <v/>
      </c>
      <c r="G96" s="295" t="str">
        <f>IF(F96="","",VLOOKUP($B96,'F-1 Off-Site WaterC'' Baseline'!$C$9:$R$257,6,FALSE))</f>
        <v/>
      </c>
      <c r="H96" s="295" t="str">
        <f>IF(G96="","",VLOOKUP($B96,'F-1 Off-Site WaterC'' Baseline'!$C$9:$R$257,7,FALSE))</f>
        <v/>
      </c>
      <c r="I96" s="295" t="str">
        <f>IF(H96="","",VLOOKUP($B96,'F-1 Off-Site WaterC'' Baseline'!$C$9:$R$257,8,FALSE))</f>
        <v/>
      </c>
      <c r="J96" s="295" t="str">
        <f>IF(I96="","",VLOOKUP($B96,'F-1 Off-Site WaterC'' Baseline'!$C$9:$R$257,9,FALSE))</f>
        <v/>
      </c>
      <c r="K96" s="295" t="str">
        <f>IF(J96="","",VLOOKUP($B96,'F-1 Off-Site WaterC'' Baseline'!$C$9:$R$257,10,FALSE))</f>
        <v/>
      </c>
      <c r="L96" s="283" t="str">
        <f>IF(B96="","",VLOOKUP($B96,'F-1 Off-Site WaterC'' Baseline'!$C$9:$R$257,15,FALSE))</f>
        <v/>
      </c>
      <c r="M96" s="299" t="str">
        <f>IF(L96="","",VLOOKUP($B96,'F-1 Off-Site WaterC'' Baseline'!$C$9:$V$257,19,FALSE))</f>
        <v/>
      </c>
      <c r="N96" s="244"/>
      <c r="O96" s="275" t="str">
        <f t="shared" si="14"/>
        <v/>
      </c>
      <c r="P96" s="276" t="str">
        <f t="shared" si="15"/>
        <v/>
      </c>
      <c r="Q96" s="281" t="str">
        <f>IF(N96="","",VLOOKUP(B96,'F-1 Off-Site WaterC'' Baseline'!$C$10:$AF$257,23,FALSE))</f>
        <v/>
      </c>
      <c r="R96" s="275" t="str">
        <f>IF(N96="","",VLOOKUP(N96,'G-7 WaterC'' Data'!$B$2:$G$8,2,FALSE))</f>
        <v/>
      </c>
      <c r="S96" s="276" t="str">
        <f>IFERROR(VLOOKUP(R96,'G-7 WaterC'' Data'!$C$4:$D$8,2,FALSE),"")</f>
        <v/>
      </c>
      <c r="T96" s="101"/>
      <c r="U96" s="276" t="str">
        <f>IFERROR(INDEX('G-7 WaterC'' Data'!$H$4:$L$8,MATCH(N96,'G-7 WaterC'' Data'!$B$4:$B$8,0),MATCH(T96,'G-7 WaterC'' Data'!$H$3:$L$3,0)),"")</f>
        <v/>
      </c>
      <c r="V96" s="105"/>
      <c r="W96" s="295" t="str">
        <f>IF(V96="","",IF(VLOOKUP(V96,'G-7 WaterC'' Data'!$AK$4:$AM$6,2,FALSE)=0,"Spatial Data Missing ⚠",VLOOKUP(V96,'G-7 WaterC'' Data'!$AK$4:$AM$6,2,FALSE)))</f>
        <v/>
      </c>
      <c r="X96" s="299" t="str">
        <f>IF(V96="","",IF(VLOOKUP(V96,'G-7 WaterC'' Data'!$AK$4:$AM$6,3,FALSE)=0,"Spatial Data Missing ⚠",VLOOKUP(V96,'G-7 WaterC'' Data'!$AK$4:$AM$6,3,FALSE)))</f>
        <v/>
      </c>
      <c r="Y96" s="311" t="str">
        <f>IFERROR(IF(OR(LEFT(P96,5)="Error",LEFT(O96,5)="Error"),"Check Data ⚠",IF(F96&lt;S96,'G-7 WaterC'' Data'!$R$3,INDEX('G-7 WaterC'' Data'!$U$5:$Y$9,MATCH(G96,'G-7 WaterC'' Data'!$T$5:$T$9,0),MATCH(T96,'G-7 WaterC'' Data'!$U$4:$Y$4,0)))),"")</f>
        <v/>
      </c>
      <c r="Z96" s="138"/>
      <c r="AA96" s="138"/>
      <c r="AB96" s="308" t="str">
        <f t="shared" si="11"/>
        <v/>
      </c>
      <c r="AC96" s="296" t="str">
        <f t="shared" si="16"/>
        <v/>
      </c>
      <c r="AD96" s="334" t="str">
        <f>IFERROR(IF(AC96="Check Data ⚠","Check Data ⚠",VLOOKUP(AC96,'G-4 Temporal multipliers'!$A$4:$C$37,3,FALSE)),"")</f>
        <v/>
      </c>
      <c r="AE96" s="311" t="str">
        <f>IF(N96="","",VLOOKUP(N96,'G-7 WaterC'' Data'!$B$4:$G$8,5,FALSE))</f>
        <v/>
      </c>
      <c r="AF96" s="295" t="str">
        <f t="shared" si="12"/>
        <v/>
      </c>
      <c r="AG96" s="295" t="str">
        <f t="shared" si="17"/>
        <v/>
      </c>
      <c r="AH96" s="276" t="str">
        <f t="shared" si="13"/>
        <v/>
      </c>
      <c r="AI96" s="105"/>
      <c r="AJ96" s="276" t="str">
        <f>IF(AI96="","",(IF(AND(AI96="N/A - Culvert",N96&lt;&gt;"Culvert"),"Not possible ▲",IF(VLOOKUP(AI96,'G-7 WaterC'' Data'!$AA$4:$AB$7,2,FALSE)=0,"Spatial Data Missing ⚠",VLOOKUP(AI96,'G-7 WaterC'' Data'!$AA$4:$AB$7,2,FALSE)))))</f>
        <v/>
      </c>
      <c r="AK96" s="106"/>
      <c r="AL96" s="310" t="str">
        <f>IF(AK96="","",IF(AND(AK96="N/A - Culvert",N96&lt;&gt;"Culvert"),"Not possible ▲",IF(VLOOKUP(AK96,'G-7 WaterC'' Data'!$AD$4:$AE$14,2,FALSE)=0,"Spatial Data Missing ⚠",VLOOKUP(AK96,'G-7 WaterC'' Data'!$AD$4:$AE$14,2,FALSE))))</f>
        <v/>
      </c>
      <c r="AM96" s="275" t="str">
        <f>IF(B96="","",VLOOKUP($B96,'F-1 Off-Site WaterC'' Baseline'!$C$9:$Z$257,17,FALSE))</f>
        <v/>
      </c>
      <c r="AN96" s="276" t="str">
        <f>IF(AM96="","",IF(VLOOKUP(AM96,'G-7 WaterC'' Data'!$AO$4:$BO$7,2,FALSE)=0,"Spatial Data Missing ⚠",VLOOKUP(AM96,'G-7 WaterC'' Data'!$AO$4:$BO$7,2,FALSE)))</f>
        <v/>
      </c>
      <c r="AO96" s="317" t="str">
        <f t="shared" si="18"/>
        <v/>
      </c>
      <c r="AP96" s="317" t="str">
        <f t="shared" si="19"/>
        <v/>
      </c>
      <c r="AQ96" s="101"/>
      <c r="AR96" s="115"/>
      <c r="AS96" s="104"/>
      <c r="AT96" s="104"/>
      <c r="AW96" s="30" t="str">
        <f>IF(E96="","",VLOOKUP($B96,'F-1 Off-Site WaterC'' Baseline'!$C$9:$Z$257,12,FALSE))</f>
        <v/>
      </c>
      <c r="AX96" s="30" t="str">
        <f>IF(E96="","",VLOOKUP($B96,'F-1 Off-Site WaterC'' Baseline'!$C$9:$Z$257,14,FALSE))</f>
        <v/>
      </c>
      <c r="AY96" s="30" t="str">
        <f>IFERROR(INDEX('G-7 WaterC'' Data'!$AZ$3:$AZ$7,MATCH(N96,'G-7 WaterC'' Data'!$AY$3:$AY$7,0)),"")</f>
        <v/>
      </c>
      <c r="AZ96" s="30" t="str">
        <f>IF(B96="","",IF(ISNA(VLOOKUP($B96,'F-1 Off-Site WaterC'' Baseline'!$C$8:$AD$257,20,FALSE)),"",(VLOOKUP($B96,'F-1 Off-Site WaterC'' Baseline'!$C$8:$AD$257,20,FALSE))))</f>
        <v/>
      </c>
      <c r="BC96" s="30" t="str">
        <f>IF(B96="","",VLOOKUP($B96,'F-1 Off-Site WaterC'' Baseline'!$C$9:$AB$257,25,FALSE))</f>
        <v/>
      </c>
      <c r="BD96" s="30" t="str">
        <f t="shared" si="20"/>
        <v/>
      </c>
      <c r="BE96" s="30" t="str">
        <f>IF(B96="","",VLOOKUP($B96,'F-1 Off-Site WaterC'' Baseline'!$C$9:$AB$257,24,FALSE))</f>
        <v/>
      </c>
      <c r="BF96" s="30" t="str">
        <f>IF(B96="","",VLOOKUP($B96,'F-1 Off-Site WaterC'' Baseline'!$C$9:$AB$257,22,FALSE))</f>
        <v/>
      </c>
      <c r="BJ96" s="30" t="str">
        <f t="shared" si="21"/>
        <v>No</v>
      </c>
    </row>
    <row r="97" spans="2:62" ht="14">
      <c r="B97" s="305" t="str">
        <f>'F-1 Off-Site WaterC'' Baseline'!AS95</f>
        <v/>
      </c>
      <c r="C97" s="295" t="str">
        <f>IF(B97="","",VLOOKUP($B97,'F-1 Off-Site WaterC'' Baseline'!$C$9:$R$257,2,FALSE))</f>
        <v/>
      </c>
      <c r="D97" s="295" t="str">
        <f>IF(C97="","",VLOOKUP($B97,'F-1 Off-Site WaterC'' Baseline'!$C$9:$R$257,3,FALSE))</f>
        <v/>
      </c>
      <c r="E97" s="295" t="str">
        <f>IF(D97="","",VLOOKUP($B97,'F-1 Off-Site WaterC'' Baseline'!$C$9:$R$257,4,FALSE))</f>
        <v/>
      </c>
      <c r="F97" s="295" t="str">
        <f>IF(E97="","",VLOOKUP($B97,'F-1 Off-Site WaterC'' Baseline'!$C$9:$R$257,5,FALSE))</f>
        <v/>
      </c>
      <c r="G97" s="295" t="str">
        <f>IF(F97="","",VLOOKUP($B97,'F-1 Off-Site WaterC'' Baseline'!$C$9:$R$257,6,FALSE))</f>
        <v/>
      </c>
      <c r="H97" s="295" t="str">
        <f>IF(G97="","",VLOOKUP($B97,'F-1 Off-Site WaterC'' Baseline'!$C$9:$R$257,7,FALSE))</f>
        <v/>
      </c>
      <c r="I97" s="295" t="str">
        <f>IF(H97="","",VLOOKUP($B97,'F-1 Off-Site WaterC'' Baseline'!$C$9:$R$257,8,FALSE))</f>
        <v/>
      </c>
      <c r="J97" s="295" t="str">
        <f>IF(I97="","",VLOOKUP($B97,'F-1 Off-Site WaterC'' Baseline'!$C$9:$R$257,9,FALSE))</f>
        <v/>
      </c>
      <c r="K97" s="295" t="str">
        <f>IF(J97="","",VLOOKUP($B97,'F-1 Off-Site WaterC'' Baseline'!$C$9:$R$257,10,FALSE))</f>
        <v/>
      </c>
      <c r="L97" s="283" t="str">
        <f>IF(B97="","",VLOOKUP($B97,'F-1 Off-Site WaterC'' Baseline'!$C$9:$R$257,15,FALSE))</f>
        <v/>
      </c>
      <c r="M97" s="299" t="str">
        <f>IF(L97="","",VLOOKUP($B97,'F-1 Off-Site WaterC'' Baseline'!$C$9:$V$257,19,FALSE))</f>
        <v/>
      </c>
      <c r="N97" s="244"/>
      <c r="O97" s="275" t="str">
        <f t="shared" si="14"/>
        <v/>
      </c>
      <c r="P97" s="276" t="str">
        <f t="shared" si="15"/>
        <v/>
      </c>
      <c r="Q97" s="281" t="str">
        <f>IF(N97="","",VLOOKUP(B97,'F-1 Off-Site WaterC'' Baseline'!$C$10:$AF$257,23,FALSE))</f>
        <v/>
      </c>
      <c r="R97" s="275" t="str">
        <f>IF(N97="","",VLOOKUP(N97,'G-7 WaterC'' Data'!$B$2:$G$8,2,FALSE))</f>
        <v/>
      </c>
      <c r="S97" s="276" t="str">
        <f>IFERROR(VLOOKUP(R97,'G-7 WaterC'' Data'!$C$4:$D$8,2,FALSE),"")</f>
        <v/>
      </c>
      <c r="T97" s="101"/>
      <c r="U97" s="276" t="str">
        <f>IFERROR(INDEX('G-7 WaterC'' Data'!$H$4:$L$8,MATCH(N97,'G-7 WaterC'' Data'!$B$4:$B$8,0),MATCH(T97,'G-7 WaterC'' Data'!$H$3:$L$3,0)),"")</f>
        <v/>
      </c>
      <c r="V97" s="105"/>
      <c r="W97" s="295" t="str">
        <f>IF(V97="","",IF(VLOOKUP(V97,'G-7 WaterC'' Data'!$AK$4:$AM$6,2,FALSE)=0,"Spatial Data Missing ⚠",VLOOKUP(V97,'G-7 WaterC'' Data'!$AK$4:$AM$6,2,FALSE)))</f>
        <v/>
      </c>
      <c r="X97" s="299" t="str">
        <f>IF(V97="","",IF(VLOOKUP(V97,'G-7 WaterC'' Data'!$AK$4:$AM$6,3,FALSE)=0,"Spatial Data Missing ⚠",VLOOKUP(V97,'G-7 WaterC'' Data'!$AK$4:$AM$6,3,FALSE)))</f>
        <v/>
      </c>
      <c r="Y97" s="311" t="str">
        <f>IFERROR(IF(OR(LEFT(P97,5)="Error",LEFT(O97,5)="Error"),"Check Data ⚠",IF(F97&lt;S97,'G-7 WaterC'' Data'!$R$3,INDEX('G-7 WaterC'' Data'!$U$5:$Y$9,MATCH(G97,'G-7 WaterC'' Data'!$T$5:$T$9,0),MATCH(T97,'G-7 WaterC'' Data'!$U$4:$Y$4,0)))),"")</f>
        <v/>
      </c>
      <c r="Z97" s="138"/>
      <c r="AA97" s="138"/>
      <c r="AB97" s="308" t="str">
        <f t="shared" si="11"/>
        <v/>
      </c>
      <c r="AC97" s="296" t="str">
        <f t="shared" si="16"/>
        <v/>
      </c>
      <c r="AD97" s="334" t="str">
        <f>IFERROR(IF(AC97="Check Data ⚠","Check Data ⚠",VLOOKUP(AC97,'G-4 Temporal multipliers'!$A$4:$C$37,3,FALSE)),"")</f>
        <v/>
      </c>
      <c r="AE97" s="311" t="str">
        <f>IF(N97="","",VLOOKUP(N97,'G-7 WaterC'' Data'!$B$4:$G$8,5,FALSE))</f>
        <v/>
      </c>
      <c r="AF97" s="295" t="str">
        <f t="shared" si="12"/>
        <v/>
      </c>
      <c r="AG97" s="295" t="str">
        <f t="shared" si="17"/>
        <v/>
      </c>
      <c r="AH97" s="276" t="str">
        <f t="shared" si="13"/>
        <v/>
      </c>
      <c r="AI97" s="105"/>
      <c r="AJ97" s="276" t="str">
        <f>IF(AI97="","",(IF(AND(AI97="N/A - Culvert",N97&lt;&gt;"Culvert"),"Not possible ▲",IF(VLOOKUP(AI97,'G-7 WaterC'' Data'!$AA$4:$AB$7,2,FALSE)=0,"Spatial Data Missing ⚠",VLOOKUP(AI97,'G-7 WaterC'' Data'!$AA$4:$AB$7,2,FALSE)))))</f>
        <v/>
      </c>
      <c r="AK97" s="106"/>
      <c r="AL97" s="310" t="str">
        <f>IF(AK97="","",IF(AND(AK97="N/A - Culvert",N97&lt;&gt;"Culvert"),"Not possible ▲",IF(VLOOKUP(AK97,'G-7 WaterC'' Data'!$AD$4:$AE$14,2,FALSE)=0,"Spatial Data Missing ⚠",VLOOKUP(AK97,'G-7 WaterC'' Data'!$AD$4:$AE$14,2,FALSE))))</f>
        <v/>
      </c>
      <c r="AM97" s="275" t="str">
        <f>IF(B97="","",VLOOKUP($B97,'F-1 Off-Site WaterC'' Baseline'!$C$9:$Z$257,17,FALSE))</f>
        <v/>
      </c>
      <c r="AN97" s="276" t="str">
        <f>IF(AM97="","",IF(VLOOKUP(AM97,'G-7 WaterC'' Data'!$AO$4:$BO$7,2,FALSE)=0,"Spatial Data Missing ⚠",VLOOKUP(AM97,'G-7 WaterC'' Data'!$AO$4:$BO$7,2,FALSE)))</f>
        <v/>
      </c>
      <c r="AO97" s="317" t="str">
        <f t="shared" si="18"/>
        <v/>
      </c>
      <c r="AP97" s="317" t="str">
        <f t="shared" si="19"/>
        <v/>
      </c>
      <c r="AQ97" s="101"/>
      <c r="AR97" s="115"/>
      <c r="AS97" s="104"/>
      <c r="AT97" s="104"/>
      <c r="AW97" s="30" t="str">
        <f>IF(E97="","",VLOOKUP($B97,'F-1 Off-Site WaterC'' Baseline'!$C$9:$Z$257,12,FALSE))</f>
        <v/>
      </c>
      <c r="AX97" s="30" t="str">
        <f>IF(E97="","",VLOOKUP($B97,'F-1 Off-Site WaterC'' Baseline'!$C$9:$Z$257,14,FALSE))</f>
        <v/>
      </c>
      <c r="AY97" s="30" t="str">
        <f>IFERROR(INDEX('G-7 WaterC'' Data'!$AZ$3:$AZ$7,MATCH(N97,'G-7 WaterC'' Data'!$AY$3:$AY$7,0)),"")</f>
        <v/>
      </c>
      <c r="AZ97" s="30" t="str">
        <f>IF(B97="","",IF(ISNA(VLOOKUP($B97,'F-1 Off-Site WaterC'' Baseline'!$C$8:$AD$257,20,FALSE)),"",(VLOOKUP($B97,'F-1 Off-Site WaterC'' Baseline'!$C$8:$AD$257,20,FALSE))))</f>
        <v/>
      </c>
      <c r="BC97" s="30" t="str">
        <f>IF(B97="","",VLOOKUP($B97,'F-1 Off-Site WaterC'' Baseline'!$C$9:$AB$257,25,FALSE))</f>
        <v/>
      </c>
      <c r="BD97" s="30" t="str">
        <f t="shared" si="20"/>
        <v/>
      </c>
      <c r="BE97" s="30" t="str">
        <f>IF(B97="","",VLOOKUP($B97,'F-1 Off-Site WaterC'' Baseline'!$C$9:$AB$257,24,FALSE))</f>
        <v/>
      </c>
      <c r="BF97" s="30" t="str">
        <f>IF(B97="","",VLOOKUP($B97,'F-1 Off-Site WaterC'' Baseline'!$C$9:$AB$257,22,FALSE))</f>
        <v/>
      </c>
      <c r="BJ97" s="30" t="str">
        <f t="shared" si="21"/>
        <v>No</v>
      </c>
    </row>
    <row r="98" spans="2:62" ht="14">
      <c r="B98" s="305" t="str">
        <f>'F-1 Off-Site WaterC'' Baseline'!AS96</f>
        <v/>
      </c>
      <c r="C98" s="295" t="str">
        <f>IF(B98="","",VLOOKUP($B98,'F-1 Off-Site WaterC'' Baseline'!$C$9:$R$257,2,FALSE))</f>
        <v/>
      </c>
      <c r="D98" s="295" t="str">
        <f>IF(C98="","",VLOOKUP($B98,'F-1 Off-Site WaterC'' Baseline'!$C$9:$R$257,3,FALSE))</f>
        <v/>
      </c>
      <c r="E98" s="295" t="str">
        <f>IF(D98="","",VLOOKUP($B98,'F-1 Off-Site WaterC'' Baseline'!$C$9:$R$257,4,FALSE))</f>
        <v/>
      </c>
      <c r="F98" s="295" t="str">
        <f>IF(E98="","",VLOOKUP($B98,'F-1 Off-Site WaterC'' Baseline'!$C$9:$R$257,5,FALSE))</f>
        <v/>
      </c>
      <c r="G98" s="295" t="str">
        <f>IF(F98="","",VLOOKUP($B98,'F-1 Off-Site WaterC'' Baseline'!$C$9:$R$257,6,FALSE))</f>
        <v/>
      </c>
      <c r="H98" s="295" t="str">
        <f>IF(G98="","",VLOOKUP($B98,'F-1 Off-Site WaterC'' Baseline'!$C$9:$R$257,7,FALSE))</f>
        <v/>
      </c>
      <c r="I98" s="295" t="str">
        <f>IF(H98="","",VLOOKUP($B98,'F-1 Off-Site WaterC'' Baseline'!$C$9:$R$257,8,FALSE))</f>
        <v/>
      </c>
      <c r="J98" s="295" t="str">
        <f>IF(I98="","",VLOOKUP($B98,'F-1 Off-Site WaterC'' Baseline'!$C$9:$R$257,9,FALSE))</f>
        <v/>
      </c>
      <c r="K98" s="295" t="str">
        <f>IF(J98="","",VLOOKUP($B98,'F-1 Off-Site WaterC'' Baseline'!$C$9:$R$257,10,FALSE))</f>
        <v/>
      </c>
      <c r="L98" s="283" t="str">
        <f>IF(B98="","",VLOOKUP($B98,'F-1 Off-Site WaterC'' Baseline'!$C$9:$R$257,15,FALSE))</f>
        <v/>
      </c>
      <c r="M98" s="299" t="str">
        <f>IF(L98="","",VLOOKUP($B98,'F-1 Off-Site WaterC'' Baseline'!$C$9:$V$257,19,FALSE))</f>
        <v/>
      </c>
      <c r="N98" s="244"/>
      <c r="O98" s="275" t="str">
        <f t="shared" si="14"/>
        <v/>
      </c>
      <c r="P98" s="276" t="str">
        <f t="shared" si="15"/>
        <v/>
      </c>
      <c r="Q98" s="281" t="str">
        <f>IF(N98="","",VLOOKUP(B98,'F-1 Off-Site WaterC'' Baseline'!$C$10:$AF$257,23,FALSE))</f>
        <v/>
      </c>
      <c r="R98" s="275" t="str">
        <f>IF(N98="","",VLOOKUP(N98,'G-7 WaterC'' Data'!$B$2:$G$8,2,FALSE))</f>
        <v/>
      </c>
      <c r="S98" s="276" t="str">
        <f>IFERROR(VLOOKUP(R98,'G-7 WaterC'' Data'!$C$4:$D$8,2,FALSE),"")</f>
        <v/>
      </c>
      <c r="T98" s="101"/>
      <c r="U98" s="276" t="str">
        <f>IFERROR(INDEX('G-7 WaterC'' Data'!$H$4:$L$8,MATCH(N98,'G-7 WaterC'' Data'!$B$4:$B$8,0),MATCH(T98,'G-7 WaterC'' Data'!$H$3:$L$3,0)),"")</f>
        <v/>
      </c>
      <c r="V98" s="105"/>
      <c r="W98" s="295" t="str">
        <f>IF(V98="","",IF(VLOOKUP(V98,'G-7 WaterC'' Data'!$AK$4:$AM$6,2,FALSE)=0,"Spatial Data Missing ⚠",VLOOKUP(V98,'G-7 WaterC'' Data'!$AK$4:$AM$6,2,FALSE)))</f>
        <v/>
      </c>
      <c r="X98" s="299" t="str">
        <f>IF(V98="","",IF(VLOOKUP(V98,'G-7 WaterC'' Data'!$AK$4:$AM$6,3,FALSE)=0,"Spatial Data Missing ⚠",VLOOKUP(V98,'G-7 WaterC'' Data'!$AK$4:$AM$6,3,FALSE)))</f>
        <v/>
      </c>
      <c r="Y98" s="311" t="str">
        <f>IFERROR(IF(OR(LEFT(P98,5)="Error",LEFT(O98,5)="Error"),"Check Data ⚠",IF(F98&lt;S98,'G-7 WaterC'' Data'!$R$3,INDEX('G-7 WaterC'' Data'!$U$5:$Y$9,MATCH(G98,'G-7 WaterC'' Data'!$T$5:$T$9,0),MATCH(T98,'G-7 WaterC'' Data'!$U$4:$Y$4,0)))),"")</f>
        <v/>
      </c>
      <c r="Z98" s="138"/>
      <c r="AA98" s="138"/>
      <c r="AB98" s="308" t="str">
        <f t="shared" si="11"/>
        <v/>
      </c>
      <c r="AC98" s="296" t="str">
        <f t="shared" si="16"/>
        <v/>
      </c>
      <c r="AD98" s="334" t="str">
        <f>IFERROR(IF(AC98="Check Data ⚠","Check Data ⚠",VLOOKUP(AC98,'G-4 Temporal multipliers'!$A$4:$C$37,3,FALSE)),"")</f>
        <v/>
      </c>
      <c r="AE98" s="311" t="str">
        <f>IF(N98="","",VLOOKUP(N98,'G-7 WaterC'' Data'!$B$4:$G$8,5,FALSE))</f>
        <v/>
      </c>
      <c r="AF98" s="295" t="str">
        <f t="shared" si="12"/>
        <v/>
      </c>
      <c r="AG98" s="295" t="str">
        <f t="shared" si="17"/>
        <v/>
      </c>
      <c r="AH98" s="276" t="str">
        <f t="shared" si="13"/>
        <v/>
      </c>
      <c r="AI98" s="105"/>
      <c r="AJ98" s="276" t="str">
        <f>IF(AI98="","",(IF(AND(AI98="N/A - Culvert",N98&lt;&gt;"Culvert"),"Not possible ▲",IF(VLOOKUP(AI98,'G-7 WaterC'' Data'!$AA$4:$AB$7,2,FALSE)=0,"Spatial Data Missing ⚠",VLOOKUP(AI98,'G-7 WaterC'' Data'!$AA$4:$AB$7,2,FALSE)))))</f>
        <v/>
      </c>
      <c r="AK98" s="106"/>
      <c r="AL98" s="310" t="str">
        <f>IF(AK98="","",IF(AND(AK98="N/A - Culvert",N98&lt;&gt;"Culvert"),"Not possible ▲",IF(VLOOKUP(AK98,'G-7 WaterC'' Data'!$AD$4:$AE$14,2,FALSE)=0,"Spatial Data Missing ⚠",VLOOKUP(AK98,'G-7 WaterC'' Data'!$AD$4:$AE$14,2,FALSE))))</f>
        <v/>
      </c>
      <c r="AM98" s="275" t="str">
        <f>IF(B98="","",VLOOKUP($B98,'F-1 Off-Site WaterC'' Baseline'!$C$9:$Z$257,17,FALSE))</f>
        <v/>
      </c>
      <c r="AN98" s="276" t="str">
        <f>IF(AM98="","",IF(VLOOKUP(AM98,'G-7 WaterC'' Data'!$AO$4:$BO$7,2,FALSE)=0,"Spatial Data Missing ⚠",VLOOKUP(AM98,'G-7 WaterC'' Data'!$AO$4:$BO$7,2,FALSE)))</f>
        <v/>
      </c>
      <c r="AO98" s="317" t="str">
        <f t="shared" si="18"/>
        <v/>
      </c>
      <c r="AP98" s="317" t="str">
        <f t="shared" si="19"/>
        <v/>
      </c>
      <c r="AQ98" s="101"/>
      <c r="AR98" s="115"/>
      <c r="AS98" s="104"/>
      <c r="AT98" s="104"/>
      <c r="AW98" s="30" t="str">
        <f>IF(E98="","",VLOOKUP($B98,'F-1 Off-Site WaterC'' Baseline'!$C$9:$Z$257,12,FALSE))</f>
        <v/>
      </c>
      <c r="AX98" s="30" t="str">
        <f>IF(E98="","",VLOOKUP($B98,'F-1 Off-Site WaterC'' Baseline'!$C$9:$Z$257,14,FALSE))</f>
        <v/>
      </c>
      <c r="AY98" s="30" t="str">
        <f>IFERROR(INDEX('G-7 WaterC'' Data'!$AZ$3:$AZ$7,MATCH(N98,'G-7 WaterC'' Data'!$AY$3:$AY$7,0)),"")</f>
        <v/>
      </c>
      <c r="AZ98" s="30" t="str">
        <f>IF(B98="","",IF(ISNA(VLOOKUP($B98,'F-1 Off-Site WaterC'' Baseline'!$C$8:$AD$257,20,FALSE)),"",(VLOOKUP($B98,'F-1 Off-Site WaterC'' Baseline'!$C$8:$AD$257,20,FALSE))))</f>
        <v/>
      </c>
      <c r="BC98" s="30" t="str">
        <f>IF(B98="","",VLOOKUP($B98,'F-1 Off-Site WaterC'' Baseline'!$C$9:$AB$257,25,FALSE))</f>
        <v/>
      </c>
      <c r="BD98" s="30" t="str">
        <f t="shared" si="20"/>
        <v/>
      </c>
      <c r="BE98" s="30" t="str">
        <f>IF(B98="","",VLOOKUP($B98,'F-1 Off-Site WaterC'' Baseline'!$C$9:$AB$257,24,FALSE))</f>
        <v/>
      </c>
      <c r="BF98" s="30" t="str">
        <f>IF(B98="","",VLOOKUP($B98,'F-1 Off-Site WaterC'' Baseline'!$C$9:$AB$257,22,FALSE))</f>
        <v/>
      </c>
      <c r="BJ98" s="30" t="str">
        <f t="shared" si="21"/>
        <v>No</v>
      </c>
    </row>
    <row r="99" spans="2:62" ht="14">
      <c r="B99" s="305" t="str">
        <f>'F-1 Off-Site WaterC'' Baseline'!AS97</f>
        <v/>
      </c>
      <c r="C99" s="295" t="str">
        <f>IF(B99="","",VLOOKUP($B99,'F-1 Off-Site WaterC'' Baseline'!$C$9:$R$257,2,FALSE))</f>
        <v/>
      </c>
      <c r="D99" s="295" t="str">
        <f>IF(C99="","",VLOOKUP($B99,'F-1 Off-Site WaterC'' Baseline'!$C$9:$R$257,3,FALSE))</f>
        <v/>
      </c>
      <c r="E99" s="295" t="str">
        <f>IF(D99="","",VLOOKUP($B99,'F-1 Off-Site WaterC'' Baseline'!$C$9:$R$257,4,FALSE))</f>
        <v/>
      </c>
      <c r="F99" s="295" t="str">
        <f>IF(E99="","",VLOOKUP($B99,'F-1 Off-Site WaterC'' Baseline'!$C$9:$R$257,5,FALSE))</f>
        <v/>
      </c>
      <c r="G99" s="295" t="str">
        <f>IF(F99="","",VLOOKUP($B99,'F-1 Off-Site WaterC'' Baseline'!$C$9:$R$257,6,FALSE))</f>
        <v/>
      </c>
      <c r="H99" s="295" t="str">
        <f>IF(G99="","",VLOOKUP($B99,'F-1 Off-Site WaterC'' Baseline'!$C$9:$R$257,7,FALSE))</f>
        <v/>
      </c>
      <c r="I99" s="295" t="str">
        <f>IF(H99="","",VLOOKUP($B99,'F-1 Off-Site WaterC'' Baseline'!$C$9:$R$257,8,FALSE))</f>
        <v/>
      </c>
      <c r="J99" s="295" t="str">
        <f>IF(I99="","",VLOOKUP($B99,'F-1 Off-Site WaterC'' Baseline'!$C$9:$R$257,9,FALSE))</f>
        <v/>
      </c>
      <c r="K99" s="295" t="str">
        <f>IF(J99="","",VLOOKUP($B99,'F-1 Off-Site WaterC'' Baseline'!$C$9:$R$257,10,FALSE))</f>
        <v/>
      </c>
      <c r="L99" s="283" t="str">
        <f>IF(B99="","",VLOOKUP($B99,'F-1 Off-Site WaterC'' Baseline'!$C$9:$R$257,15,FALSE))</f>
        <v/>
      </c>
      <c r="M99" s="299" t="str">
        <f>IF(L99="","",VLOOKUP($B99,'F-1 Off-Site WaterC'' Baseline'!$C$9:$V$257,19,FALSE))</f>
        <v/>
      </c>
      <c r="N99" s="244"/>
      <c r="O99" s="275" t="str">
        <f t="shared" si="14"/>
        <v/>
      </c>
      <c r="P99" s="276" t="str">
        <f t="shared" si="15"/>
        <v/>
      </c>
      <c r="Q99" s="281" t="str">
        <f>IF(N99="","",VLOOKUP(B99,'F-1 Off-Site WaterC'' Baseline'!$C$10:$AF$257,23,FALSE))</f>
        <v/>
      </c>
      <c r="R99" s="275" t="str">
        <f>IF(N99="","",VLOOKUP(N99,'G-7 WaterC'' Data'!$B$2:$G$8,2,FALSE))</f>
        <v/>
      </c>
      <c r="S99" s="276" t="str">
        <f>IFERROR(VLOOKUP(R99,'G-7 WaterC'' Data'!$C$4:$D$8,2,FALSE),"")</f>
        <v/>
      </c>
      <c r="T99" s="101"/>
      <c r="U99" s="276" t="str">
        <f>IFERROR(INDEX('G-7 WaterC'' Data'!$H$4:$L$8,MATCH(N99,'G-7 WaterC'' Data'!$B$4:$B$8,0),MATCH(T99,'G-7 WaterC'' Data'!$H$3:$L$3,0)),"")</f>
        <v/>
      </c>
      <c r="V99" s="105"/>
      <c r="W99" s="295" t="str">
        <f>IF(V99="","",IF(VLOOKUP(V99,'G-7 WaterC'' Data'!$AK$4:$AM$6,2,FALSE)=0,"Spatial Data Missing ⚠",VLOOKUP(V99,'G-7 WaterC'' Data'!$AK$4:$AM$6,2,FALSE)))</f>
        <v/>
      </c>
      <c r="X99" s="299" t="str">
        <f>IF(V99="","",IF(VLOOKUP(V99,'G-7 WaterC'' Data'!$AK$4:$AM$6,3,FALSE)=0,"Spatial Data Missing ⚠",VLOOKUP(V99,'G-7 WaterC'' Data'!$AK$4:$AM$6,3,FALSE)))</f>
        <v/>
      </c>
      <c r="Y99" s="311" t="str">
        <f>IFERROR(IF(OR(LEFT(P99,5)="Error",LEFT(O99,5)="Error"),"Check Data ⚠",IF(F99&lt;S99,'G-7 WaterC'' Data'!$R$3,INDEX('G-7 WaterC'' Data'!$U$5:$Y$9,MATCH(G99,'G-7 WaterC'' Data'!$T$5:$T$9,0),MATCH(T99,'G-7 WaterC'' Data'!$U$4:$Y$4,0)))),"")</f>
        <v/>
      </c>
      <c r="Z99" s="138"/>
      <c r="AA99" s="138"/>
      <c r="AB99" s="308" t="str">
        <f t="shared" si="11"/>
        <v/>
      </c>
      <c r="AC99" s="296" t="str">
        <f t="shared" si="16"/>
        <v/>
      </c>
      <c r="AD99" s="334" t="str">
        <f>IFERROR(IF(AC99="Check Data ⚠","Check Data ⚠",VLOOKUP(AC99,'G-4 Temporal multipliers'!$A$4:$C$37,3,FALSE)),"")</f>
        <v/>
      </c>
      <c r="AE99" s="311" t="str">
        <f>IF(N99="","",VLOOKUP(N99,'G-7 WaterC'' Data'!$B$4:$G$8,5,FALSE))</f>
        <v/>
      </c>
      <c r="AF99" s="295" t="str">
        <f t="shared" si="12"/>
        <v/>
      </c>
      <c r="AG99" s="295" t="str">
        <f t="shared" si="17"/>
        <v/>
      </c>
      <c r="AH99" s="276" t="str">
        <f t="shared" si="13"/>
        <v/>
      </c>
      <c r="AI99" s="105"/>
      <c r="AJ99" s="276" t="str">
        <f>IF(AI99="","",(IF(AND(AI99="N/A - Culvert",N99&lt;&gt;"Culvert"),"Not possible ▲",IF(VLOOKUP(AI99,'G-7 WaterC'' Data'!$AA$4:$AB$7,2,FALSE)=0,"Spatial Data Missing ⚠",VLOOKUP(AI99,'G-7 WaterC'' Data'!$AA$4:$AB$7,2,FALSE)))))</f>
        <v/>
      </c>
      <c r="AK99" s="106"/>
      <c r="AL99" s="310" t="str">
        <f>IF(AK99="","",IF(AND(AK99="N/A - Culvert",N99&lt;&gt;"Culvert"),"Not possible ▲",IF(VLOOKUP(AK99,'G-7 WaterC'' Data'!$AD$4:$AE$14,2,FALSE)=0,"Spatial Data Missing ⚠",VLOOKUP(AK99,'G-7 WaterC'' Data'!$AD$4:$AE$14,2,FALSE))))</f>
        <v/>
      </c>
      <c r="AM99" s="275" t="str">
        <f>IF(B99="","",VLOOKUP($B99,'F-1 Off-Site WaterC'' Baseline'!$C$9:$Z$257,17,FALSE))</f>
        <v/>
      </c>
      <c r="AN99" s="276" t="str">
        <f>IF(AM99="","",IF(VLOOKUP(AM99,'G-7 WaterC'' Data'!$AO$4:$BO$7,2,FALSE)=0,"Spatial Data Missing ⚠",VLOOKUP(AM99,'G-7 WaterC'' Data'!$AO$4:$BO$7,2,FALSE)))</f>
        <v/>
      </c>
      <c r="AO99" s="317" t="str">
        <f t="shared" si="18"/>
        <v/>
      </c>
      <c r="AP99" s="317" t="str">
        <f t="shared" si="19"/>
        <v/>
      </c>
      <c r="AQ99" s="101"/>
      <c r="AR99" s="115"/>
      <c r="AS99" s="104"/>
      <c r="AT99" s="104"/>
      <c r="AW99" s="30" t="str">
        <f>IF(E99="","",VLOOKUP($B99,'F-1 Off-Site WaterC'' Baseline'!$C$9:$Z$257,12,FALSE))</f>
        <v/>
      </c>
      <c r="AX99" s="30" t="str">
        <f>IF(E99="","",VLOOKUP($B99,'F-1 Off-Site WaterC'' Baseline'!$C$9:$Z$257,14,FALSE))</f>
        <v/>
      </c>
      <c r="AY99" s="30" t="str">
        <f>IFERROR(INDEX('G-7 WaterC'' Data'!$AZ$3:$AZ$7,MATCH(N99,'G-7 WaterC'' Data'!$AY$3:$AY$7,0)),"")</f>
        <v/>
      </c>
      <c r="AZ99" s="30" t="str">
        <f>IF(B99="","",IF(ISNA(VLOOKUP($B99,'F-1 Off-Site WaterC'' Baseline'!$C$8:$AD$257,20,FALSE)),"",(VLOOKUP($B99,'F-1 Off-Site WaterC'' Baseline'!$C$8:$AD$257,20,FALSE))))</f>
        <v/>
      </c>
      <c r="BC99" s="30" t="str">
        <f>IF(B99="","",VLOOKUP($B99,'F-1 Off-Site WaterC'' Baseline'!$C$9:$AB$257,25,FALSE))</f>
        <v/>
      </c>
      <c r="BD99" s="30" t="str">
        <f t="shared" si="20"/>
        <v/>
      </c>
      <c r="BE99" s="30" t="str">
        <f>IF(B99="","",VLOOKUP($B99,'F-1 Off-Site WaterC'' Baseline'!$C$9:$AB$257,24,FALSE))</f>
        <v/>
      </c>
      <c r="BF99" s="30" t="str">
        <f>IF(B99="","",VLOOKUP($B99,'F-1 Off-Site WaterC'' Baseline'!$C$9:$AB$257,22,FALSE))</f>
        <v/>
      </c>
      <c r="BJ99" s="30" t="str">
        <f t="shared" si="21"/>
        <v>No</v>
      </c>
    </row>
    <row r="100" spans="2:62" ht="14">
      <c r="B100" s="305" t="str">
        <f>'F-1 Off-Site WaterC'' Baseline'!AS98</f>
        <v/>
      </c>
      <c r="C100" s="295" t="str">
        <f>IF(B100="","",VLOOKUP($B100,'F-1 Off-Site WaterC'' Baseline'!$C$9:$R$257,2,FALSE))</f>
        <v/>
      </c>
      <c r="D100" s="295" t="str">
        <f>IF(C100="","",VLOOKUP($B100,'F-1 Off-Site WaterC'' Baseline'!$C$9:$R$257,3,FALSE))</f>
        <v/>
      </c>
      <c r="E100" s="295" t="str">
        <f>IF(D100="","",VLOOKUP($B100,'F-1 Off-Site WaterC'' Baseline'!$C$9:$R$257,4,FALSE))</f>
        <v/>
      </c>
      <c r="F100" s="295" t="str">
        <f>IF(E100="","",VLOOKUP($B100,'F-1 Off-Site WaterC'' Baseline'!$C$9:$R$257,5,FALSE))</f>
        <v/>
      </c>
      <c r="G100" s="295" t="str">
        <f>IF(F100="","",VLOOKUP($B100,'F-1 Off-Site WaterC'' Baseline'!$C$9:$R$257,6,FALSE))</f>
        <v/>
      </c>
      <c r="H100" s="295" t="str">
        <f>IF(G100="","",VLOOKUP($B100,'F-1 Off-Site WaterC'' Baseline'!$C$9:$R$257,7,FALSE))</f>
        <v/>
      </c>
      <c r="I100" s="295" t="str">
        <f>IF(H100="","",VLOOKUP($B100,'F-1 Off-Site WaterC'' Baseline'!$C$9:$R$257,8,FALSE))</f>
        <v/>
      </c>
      <c r="J100" s="295" t="str">
        <f>IF(I100="","",VLOOKUP($B100,'F-1 Off-Site WaterC'' Baseline'!$C$9:$R$257,9,FALSE))</f>
        <v/>
      </c>
      <c r="K100" s="295" t="str">
        <f>IF(J100="","",VLOOKUP($B100,'F-1 Off-Site WaterC'' Baseline'!$C$9:$R$257,10,FALSE))</f>
        <v/>
      </c>
      <c r="L100" s="283" t="str">
        <f>IF(B100="","",VLOOKUP($B100,'F-1 Off-Site WaterC'' Baseline'!$C$9:$R$257,15,FALSE))</f>
        <v/>
      </c>
      <c r="M100" s="299" t="str">
        <f>IF(L100="","",VLOOKUP($B100,'F-1 Off-Site WaterC'' Baseline'!$C$9:$V$257,19,FALSE))</f>
        <v/>
      </c>
      <c r="N100" s="244"/>
      <c r="O100" s="275" t="str">
        <f t="shared" si="14"/>
        <v/>
      </c>
      <c r="P100" s="276" t="str">
        <f t="shared" si="15"/>
        <v/>
      </c>
      <c r="Q100" s="281" t="str">
        <f>IF(N100="","",VLOOKUP(B100,'F-1 Off-Site WaterC'' Baseline'!$C$10:$AF$257,23,FALSE))</f>
        <v/>
      </c>
      <c r="R100" s="275" t="str">
        <f>IF(N100="","",VLOOKUP(N100,'G-7 WaterC'' Data'!$B$2:$G$8,2,FALSE))</f>
        <v/>
      </c>
      <c r="S100" s="276" t="str">
        <f>IFERROR(VLOOKUP(R100,'G-7 WaterC'' Data'!$C$4:$D$8,2,FALSE),"")</f>
        <v/>
      </c>
      <c r="T100" s="101"/>
      <c r="U100" s="276" t="str">
        <f>IFERROR(INDEX('G-7 WaterC'' Data'!$H$4:$L$8,MATCH(N100,'G-7 WaterC'' Data'!$B$4:$B$8,0),MATCH(T100,'G-7 WaterC'' Data'!$H$3:$L$3,0)),"")</f>
        <v/>
      </c>
      <c r="V100" s="105"/>
      <c r="W100" s="295" t="str">
        <f>IF(V100="","",IF(VLOOKUP(V100,'G-7 WaterC'' Data'!$AK$4:$AM$6,2,FALSE)=0,"Spatial Data Missing ⚠",VLOOKUP(V100,'G-7 WaterC'' Data'!$AK$4:$AM$6,2,FALSE)))</f>
        <v/>
      </c>
      <c r="X100" s="299" t="str">
        <f>IF(V100="","",IF(VLOOKUP(V100,'G-7 WaterC'' Data'!$AK$4:$AM$6,3,FALSE)=0,"Spatial Data Missing ⚠",VLOOKUP(V100,'G-7 WaterC'' Data'!$AK$4:$AM$6,3,FALSE)))</f>
        <v/>
      </c>
      <c r="Y100" s="311" t="str">
        <f>IFERROR(IF(OR(LEFT(P100,5)="Error",LEFT(O100,5)="Error"),"Check Data ⚠",IF(F100&lt;S100,'G-7 WaterC'' Data'!$R$3,INDEX('G-7 WaterC'' Data'!$U$5:$Y$9,MATCH(G100,'G-7 WaterC'' Data'!$T$5:$T$9,0),MATCH(T100,'G-7 WaterC'' Data'!$U$4:$Y$4,0)))),"")</f>
        <v/>
      </c>
      <c r="Z100" s="138"/>
      <c r="AA100" s="138"/>
      <c r="AB100" s="308" t="str">
        <f t="shared" si="11"/>
        <v/>
      </c>
      <c r="AC100" s="296" t="str">
        <f t="shared" si="16"/>
        <v/>
      </c>
      <c r="AD100" s="334" t="str">
        <f>IFERROR(IF(AC100="Check Data ⚠","Check Data ⚠",VLOOKUP(AC100,'G-4 Temporal multipliers'!$A$4:$C$37,3,FALSE)),"")</f>
        <v/>
      </c>
      <c r="AE100" s="311" t="str">
        <f>IF(N100="","",VLOOKUP(N100,'G-7 WaterC'' Data'!$B$4:$G$8,5,FALSE))</f>
        <v/>
      </c>
      <c r="AF100" s="295" t="str">
        <f t="shared" si="12"/>
        <v/>
      </c>
      <c r="AG100" s="295" t="str">
        <f t="shared" si="17"/>
        <v/>
      </c>
      <c r="AH100" s="276" t="str">
        <f t="shared" si="13"/>
        <v/>
      </c>
      <c r="AI100" s="105"/>
      <c r="AJ100" s="276" t="str">
        <f>IF(AI100="","",(IF(AND(AI100="N/A - Culvert",N100&lt;&gt;"Culvert"),"Not possible ▲",IF(VLOOKUP(AI100,'G-7 WaterC'' Data'!$AA$4:$AB$7,2,FALSE)=0,"Spatial Data Missing ⚠",VLOOKUP(AI100,'G-7 WaterC'' Data'!$AA$4:$AB$7,2,FALSE)))))</f>
        <v/>
      </c>
      <c r="AK100" s="106"/>
      <c r="AL100" s="310" t="str">
        <f>IF(AK100="","",IF(AND(AK100="N/A - Culvert",N100&lt;&gt;"Culvert"),"Not possible ▲",IF(VLOOKUP(AK100,'G-7 WaterC'' Data'!$AD$4:$AE$14,2,FALSE)=0,"Spatial Data Missing ⚠",VLOOKUP(AK100,'G-7 WaterC'' Data'!$AD$4:$AE$14,2,FALSE))))</f>
        <v/>
      </c>
      <c r="AM100" s="275" t="str">
        <f>IF(B100="","",VLOOKUP($B100,'F-1 Off-Site WaterC'' Baseline'!$C$9:$Z$257,17,FALSE))</f>
        <v/>
      </c>
      <c r="AN100" s="276" t="str">
        <f>IF(AM100="","",IF(VLOOKUP(AM100,'G-7 WaterC'' Data'!$AO$4:$BO$7,2,FALSE)=0,"Spatial Data Missing ⚠",VLOOKUP(AM100,'G-7 WaterC'' Data'!$AO$4:$BO$7,2,FALSE)))</f>
        <v/>
      </c>
      <c r="AO100" s="317" t="str">
        <f t="shared" si="18"/>
        <v/>
      </c>
      <c r="AP100" s="317" t="str">
        <f t="shared" si="19"/>
        <v/>
      </c>
      <c r="AQ100" s="101"/>
      <c r="AR100" s="115"/>
      <c r="AS100" s="104"/>
      <c r="AT100" s="104"/>
      <c r="AW100" s="30" t="str">
        <f>IF(E100="","",VLOOKUP($B100,'F-1 Off-Site WaterC'' Baseline'!$C$9:$Z$257,12,FALSE))</f>
        <v/>
      </c>
      <c r="AX100" s="30" t="str">
        <f>IF(E100="","",VLOOKUP($B100,'F-1 Off-Site WaterC'' Baseline'!$C$9:$Z$257,14,FALSE))</f>
        <v/>
      </c>
      <c r="AY100" s="30" t="str">
        <f>IFERROR(INDEX('G-7 WaterC'' Data'!$AZ$3:$AZ$7,MATCH(N100,'G-7 WaterC'' Data'!$AY$3:$AY$7,0)),"")</f>
        <v/>
      </c>
      <c r="AZ100" s="30" t="str">
        <f>IF(B100="","",IF(ISNA(VLOOKUP($B100,'F-1 Off-Site WaterC'' Baseline'!$C$8:$AD$257,20,FALSE)),"",(VLOOKUP($B100,'F-1 Off-Site WaterC'' Baseline'!$C$8:$AD$257,20,FALSE))))</f>
        <v/>
      </c>
      <c r="BC100" s="30" t="str">
        <f>IF(B100="","",VLOOKUP($B100,'F-1 Off-Site WaterC'' Baseline'!$C$9:$AB$257,25,FALSE))</f>
        <v/>
      </c>
      <c r="BD100" s="30" t="str">
        <f t="shared" si="20"/>
        <v/>
      </c>
      <c r="BE100" s="30" t="str">
        <f>IF(B100="","",VLOOKUP($B100,'F-1 Off-Site WaterC'' Baseline'!$C$9:$AB$257,24,FALSE))</f>
        <v/>
      </c>
      <c r="BF100" s="30" t="str">
        <f>IF(B100="","",VLOOKUP($B100,'F-1 Off-Site WaterC'' Baseline'!$C$9:$AB$257,22,FALSE))</f>
        <v/>
      </c>
      <c r="BJ100" s="30" t="str">
        <f t="shared" si="21"/>
        <v>No</v>
      </c>
    </row>
    <row r="101" spans="2:62" ht="14">
      <c r="B101" s="305" t="str">
        <f>'F-1 Off-Site WaterC'' Baseline'!AS99</f>
        <v/>
      </c>
      <c r="C101" s="295" t="str">
        <f>IF(B101="","",VLOOKUP($B101,'F-1 Off-Site WaterC'' Baseline'!$C$9:$R$257,2,FALSE))</f>
        <v/>
      </c>
      <c r="D101" s="295" t="str">
        <f>IF(C101="","",VLOOKUP($B101,'F-1 Off-Site WaterC'' Baseline'!$C$9:$R$257,3,FALSE))</f>
        <v/>
      </c>
      <c r="E101" s="295" t="str">
        <f>IF(D101="","",VLOOKUP($B101,'F-1 Off-Site WaterC'' Baseline'!$C$9:$R$257,4,FALSE))</f>
        <v/>
      </c>
      <c r="F101" s="295" t="str">
        <f>IF(E101="","",VLOOKUP($B101,'F-1 Off-Site WaterC'' Baseline'!$C$9:$R$257,5,FALSE))</f>
        <v/>
      </c>
      <c r="G101" s="295" t="str">
        <f>IF(F101="","",VLOOKUP($B101,'F-1 Off-Site WaterC'' Baseline'!$C$9:$R$257,6,FALSE))</f>
        <v/>
      </c>
      <c r="H101" s="295" t="str">
        <f>IF(G101="","",VLOOKUP($B101,'F-1 Off-Site WaterC'' Baseline'!$C$9:$R$257,7,FALSE))</f>
        <v/>
      </c>
      <c r="I101" s="295" t="str">
        <f>IF(H101="","",VLOOKUP($B101,'F-1 Off-Site WaterC'' Baseline'!$C$9:$R$257,8,FALSE))</f>
        <v/>
      </c>
      <c r="J101" s="295" t="str">
        <f>IF(I101="","",VLOOKUP($B101,'F-1 Off-Site WaterC'' Baseline'!$C$9:$R$257,9,FALSE))</f>
        <v/>
      </c>
      <c r="K101" s="295" t="str">
        <f>IF(J101="","",VLOOKUP($B101,'F-1 Off-Site WaterC'' Baseline'!$C$9:$R$257,10,FALSE))</f>
        <v/>
      </c>
      <c r="L101" s="283" t="str">
        <f>IF(B101="","",VLOOKUP($B101,'F-1 Off-Site WaterC'' Baseline'!$C$9:$R$257,15,FALSE))</f>
        <v/>
      </c>
      <c r="M101" s="299" t="str">
        <f>IF(L101="","",VLOOKUP($B101,'F-1 Off-Site WaterC'' Baseline'!$C$9:$V$257,19,FALSE))</f>
        <v/>
      </c>
      <c r="N101" s="244"/>
      <c r="O101" s="275" t="str">
        <f t="shared" si="14"/>
        <v/>
      </c>
      <c r="P101" s="276" t="str">
        <f t="shared" si="15"/>
        <v/>
      </c>
      <c r="Q101" s="281" t="str">
        <f>IF(N101="","",VLOOKUP(B101,'F-1 Off-Site WaterC'' Baseline'!$C$10:$AF$257,23,FALSE))</f>
        <v/>
      </c>
      <c r="R101" s="275" t="str">
        <f>IF(N101="","",VLOOKUP(N101,'G-7 WaterC'' Data'!$B$2:$G$8,2,FALSE))</f>
        <v/>
      </c>
      <c r="S101" s="276" t="str">
        <f>IFERROR(VLOOKUP(R101,'G-7 WaterC'' Data'!$C$4:$D$8,2,FALSE),"")</f>
        <v/>
      </c>
      <c r="T101" s="101"/>
      <c r="U101" s="276" t="str">
        <f>IFERROR(INDEX('G-7 WaterC'' Data'!$H$4:$L$8,MATCH(N101,'G-7 WaterC'' Data'!$B$4:$B$8,0),MATCH(T101,'G-7 WaterC'' Data'!$H$3:$L$3,0)),"")</f>
        <v/>
      </c>
      <c r="V101" s="105"/>
      <c r="W101" s="295" t="str">
        <f>IF(V101="","",IF(VLOOKUP(V101,'G-7 WaterC'' Data'!$AK$4:$AM$6,2,FALSE)=0,"Spatial Data Missing ⚠",VLOOKUP(V101,'G-7 WaterC'' Data'!$AK$4:$AM$6,2,FALSE)))</f>
        <v/>
      </c>
      <c r="X101" s="299" t="str">
        <f>IF(V101="","",IF(VLOOKUP(V101,'G-7 WaterC'' Data'!$AK$4:$AM$6,3,FALSE)=0,"Spatial Data Missing ⚠",VLOOKUP(V101,'G-7 WaterC'' Data'!$AK$4:$AM$6,3,FALSE)))</f>
        <v/>
      </c>
      <c r="Y101" s="311" t="str">
        <f>IFERROR(IF(OR(LEFT(P101,5)="Error",LEFT(O101,5)="Error"),"Check Data ⚠",IF(F101&lt;S101,'G-7 WaterC'' Data'!$R$3,INDEX('G-7 WaterC'' Data'!$U$5:$Y$9,MATCH(G101,'G-7 WaterC'' Data'!$T$5:$T$9,0),MATCH(T101,'G-7 WaterC'' Data'!$U$4:$Y$4,0)))),"")</f>
        <v/>
      </c>
      <c r="Z101" s="138"/>
      <c r="AA101" s="138"/>
      <c r="AB101" s="308" t="str">
        <f t="shared" si="11"/>
        <v/>
      </c>
      <c r="AC101" s="296" t="str">
        <f t="shared" si="16"/>
        <v/>
      </c>
      <c r="AD101" s="334" t="str">
        <f>IFERROR(IF(AC101="Check Data ⚠","Check Data ⚠",VLOOKUP(AC101,'G-4 Temporal multipliers'!$A$4:$C$37,3,FALSE)),"")</f>
        <v/>
      </c>
      <c r="AE101" s="311" t="str">
        <f>IF(N101="","",VLOOKUP(N101,'G-7 WaterC'' Data'!$B$4:$G$8,5,FALSE))</f>
        <v/>
      </c>
      <c r="AF101" s="295" t="str">
        <f t="shared" si="12"/>
        <v/>
      </c>
      <c r="AG101" s="295" t="str">
        <f t="shared" si="17"/>
        <v/>
      </c>
      <c r="AH101" s="276" t="str">
        <f t="shared" si="13"/>
        <v/>
      </c>
      <c r="AI101" s="105"/>
      <c r="AJ101" s="276" t="str">
        <f>IF(AI101="","",(IF(AND(AI101="N/A - Culvert",N101&lt;&gt;"Culvert"),"Not possible ▲",IF(VLOOKUP(AI101,'G-7 WaterC'' Data'!$AA$4:$AB$7,2,FALSE)=0,"Spatial Data Missing ⚠",VLOOKUP(AI101,'G-7 WaterC'' Data'!$AA$4:$AB$7,2,FALSE)))))</f>
        <v/>
      </c>
      <c r="AK101" s="106"/>
      <c r="AL101" s="310" t="str">
        <f>IF(AK101="","",IF(AND(AK101="N/A - Culvert",N101&lt;&gt;"Culvert"),"Not possible ▲",IF(VLOOKUP(AK101,'G-7 WaterC'' Data'!$AD$4:$AE$14,2,FALSE)=0,"Spatial Data Missing ⚠",VLOOKUP(AK101,'G-7 WaterC'' Data'!$AD$4:$AE$14,2,FALSE))))</f>
        <v/>
      </c>
      <c r="AM101" s="275" t="str">
        <f>IF(B101="","",VLOOKUP($B101,'F-1 Off-Site WaterC'' Baseline'!$C$9:$Z$257,17,FALSE))</f>
        <v/>
      </c>
      <c r="AN101" s="276" t="str">
        <f>IF(AM101="","",IF(VLOOKUP(AM101,'G-7 WaterC'' Data'!$AO$4:$BO$7,2,FALSE)=0,"Spatial Data Missing ⚠",VLOOKUP(AM101,'G-7 WaterC'' Data'!$AO$4:$BO$7,2,FALSE)))</f>
        <v/>
      </c>
      <c r="AO101" s="317" t="str">
        <f t="shared" si="18"/>
        <v/>
      </c>
      <c r="AP101" s="317" t="str">
        <f t="shared" si="19"/>
        <v/>
      </c>
      <c r="AQ101" s="101"/>
      <c r="AR101" s="115"/>
      <c r="AS101" s="104"/>
      <c r="AT101" s="104"/>
      <c r="AW101" s="30" t="str">
        <f>IF(E101="","",VLOOKUP($B101,'F-1 Off-Site WaterC'' Baseline'!$C$9:$Z$257,12,FALSE))</f>
        <v/>
      </c>
      <c r="AX101" s="30" t="str">
        <f>IF(E101="","",VLOOKUP($B101,'F-1 Off-Site WaterC'' Baseline'!$C$9:$Z$257,14,FALSE))</f>
        <v/>
      </c>
      <c r="AY101" s="30" t="str">
        <f>IFERROR(INDEX('G-7 WaterC'' Data'!$AZ$3:$AZ$7,MATCH(N101,'G-7 WaterC'' Data'!$AY$3:$AY$7,0)),"")</f>
        <v/>
      </c>
      <c r="AZ101" s="30" t="str">
        <f>IF(B101="","",IF(ISNA(VLOOKUP($B101,'F-1 Off-Site WaterC'' Baseline'!$C$8:$AD$257,20,FALSE)),"",(VLOOKUP($B101,'F-1 Off-Site WaterC'' Baseline'!$C$8:$AD$257,20,FALSE))))</f>
        <v/>
      </c>
      <c r="BC101" s="30" t="str">
        <f>IF(B101="","",VLOOKUP($B101,'F-1 Off-Site WaterC'' Baseline'!$C$9:$AB$257,25,FALSE))</f>
        <v/>
      </c>
      <c r="BD101" s="30" t="str">
        <f t="shared" si="20"/>
        <v/>
      </c>
      <c r="BE101" s="30" t="str">
        <f>IF(B101="","",VLOOKUP($B101,'F-1 Off-Site WaterC'' Baseline'!$C$9:$AB$257,24,FALSE))</f>
        <v/>
      </c>
      <c r="BF101" s="30" t="str">
        <f>IF(B101="","",VLOOKUP($B101,'F-1 Off-Site WaterC'' Baseline'!$C$9:$AB$257,22,FALSE))</f>
        <v/>
      </c>
      <c r="BJ101" s="30" t="str">
        <f t="shared" si="21"/>
        <v>No</v>
      </c>
    </row>
    <row r="102" spans="2:62" ht="14">
      <c r="B102" s="305" t="str">
        <f>'F-1 Off-Site WaterC'' Baseline'!AS100</f>
        <v/>
      </c>
      <c r="C102" s="295" t="str">
        <f>IF(B102="","",VLOOKUP($B102,'F-1 Off-Site WaterC'' Baseline'!$C$9:$R$257,2,FALSE))</f>
        <v/>
      </c>
      <c r="D102" s="295" t="str">
        <f>IF(C102="","",VLOOKUP($B102,'F-1 Off-Site WaterC'' Baseline'!$C$9:$R$257,3,FALSE))</f>
        <v/>
      </c>
      <c r="E102" s="295" t="str">
        <f>IF(D102="","",VLOOKUP($B102,'F-1 Off-Site WaterC'' Baseline'!$C$9:$R$257,4,FALSE))</f>
        <v/>
      </c>
      <c r="F102" s="295" t="str">
        <f>IF(E102="","",VLOOKUP($B102,'F-1 Off-Site WaterC'' Baseline'!$C$9:$R$257,5,FALSE))</f>
        <v/>
      </c>
      <c r="G102" s="295" t="str">
        <f>IF(F102="","",VLOOKUP($B102,'F-1 Off-Site WaterC'' Baseline'!$C$9:$R$257,6,FALSE))</f>
        <v/>
      </c>
      <c r="H102" s="295" t="str">
        <f>IF(G102="","",VLOOKUP($B102,'F-1 Off-Site WaterC'' Baseline'!$C$9:$R$257,7,FALSE))</f>
        <v/>
      </c>
      <c r="I102" s="295" t="str">
        <f>IF(H102="","",VLOOKUP($B102,'F-1 Off-Site WaterC'' Baseline'!$C$9:$R$257,8,FALSE))</f>
        <v/>
      </c>
      <c r="J102" s="295" t="str">
        <f>IF(I102="","",VLOOKUP($B102,'F-1 Off-Site WaterC'' Baseline'!$C$9:$R$257,9,FALSE))</f>
        <v/>
      </c>
      <c r="K102" s="295" t="str">
        <f>IF(J102="","",VLOOKUP($B102,'F-1 Off-Site WaterC'' Baseline'!$C$9:$R$257,10,FALSE))</f>
        <v/>
      </c>
      <c r="L102" s="283" t="str">
        <f>IF(B102="","",VLOOKUP($B102,'F-1 Off-Site WaterC'' Baseline'!$C$9:$R$257,15,FALSE))</f>
        <v/>
      </c>
      <c r="M102" s="299" t="str">
        <f>IF(L102="","",VLOOKUP($B102,'F-1 Off-Site WaterC'' Baseline'!$C$9:$V$257,19,FALSE))</f>
        <v/>
      </c>
      <c r="N102" s="244"/>
      <c r="O102" s="275" t="str">
        <f t="shared" si="14"/>
        <v/>
      </c>
      <c r="P102" s="276" t="str">
        <f t="shared" si="15"/>
        <v/>
      </c>
      <c r="Q102" s="281" t="str">
        <f>IF(N102="","",VLOOKUP(B102,'F-1 Off-Site WaterC'' Baseline'!$C$10:$AF$257,23,FALSE))</f>
        <v/>
      </c>
      <c r="R102" s="275" t="str">
        <f>IF(N102="","",VLOOKUP(N102,'G-7 WaterC'' Data'!$B$2:$G$8,2,FALSE))</f>
        <v/>
      </c>
      <c r="S102" s="276" t="str">
        <f>IFERROR(VLOOKUP(R102,'G-7 WaterC'' Data'!$C$4:$D$8,2,FALSE),"")</f>
        <v/>
      </c>
      <c r="T102" s="101"/>
      <c r="U102" s="276" t="str">
        <f>IFERROR(INDEX('G-7 WaterC'' Data'!$H$4:$L$8,MATCH(N102,'G-7 WaterC'' Data'!$B$4:$B$8,0),MATCH(T102,'G-7 WaterC'' Data'!$H$3:$L$3,0)),"")</f>
        <v/>
      </c>
      <c r="V102" s="105"/>
      <c r="W102" s="295" t="str">
        <f>IF(V102="","",IF(VLOOKUP(V102,'G-7 WaterC'' Data'!$AK$4:$AM$6,2,FALSE)=0,"Spatial Data Missing ⚠",VLOOKUP(V102,'G-7 WaterC'' Data'!$AK$4:$AM$6,2,FALSE)))</f>
        <v/>
      </c>
      <c r="X102" s="299" t="str">
        <f>IF(V102="","",IF(VLOOKUP(V102,'G-7 WaterC'' Data'!$AK$4:$AM$6,3,FALSE)=0,"Spatial Data Missing ⚠",VLOOKUP(V102,'G-7 WaterC'' Data'!$AK$4:$AM$6,3,FALSE)))</f>
        <v/>
      </c>
      <c r="Y102" s="311" t="str">
        <f>IFERROR(IF(OR(LEFT(P102,5)="Error",LEFT(O102,5)="Error"),"Check Data ⚠",IF(F102&lt;S102,'G-7 WaterC'' Data'!$R$3,INDEX('G-7 WaterC'' Data'!$U$5:$Y$9,MATCH(G102,'G-7 WaterC'' Data'!$T$5:$T$9,0),MATCH(T102,'G-7 WaterC'' Data'!$U$4:$Y$4,0)))),"")</f>
        <v/>
      </c>
      <c r="Z102" s="138"/>
      <c r="AA102" s="138"/>
      <c r="AB102" s="308" t="str">
        <f t="shared" si="11"/>
        <v/>
      </c>
      <c r="AC102" s="296" t="str">
        <f t="shared" si="16"/>
        <v/>
      </c>
      <c r="AD102" s="334" t="str">
        <f>IFERROR(IF(AC102="Check Data ⚠","Check Data ⚠",VLOOKUP(AC102,'G-4 Temporal multipliers'!$A$4:$C$37,3,FALSE)),"")</f>
        <v/>
      </c>
      <c r="AE102" s="311" t="str">
        <f>IF(N102="","",VLOOKUP(N102,'G-7 WaterC'' Data'!$B$4:$G$8,5,FALSE))</f>
        <v/>
      </c>
      <c r="AF102" s="295" t="str">
        <f t="shared" si="12"/>
        <v/>
      </c>
      <c r="AG102" s="295" t="str">
        <f t="shared" si="17"/>
        <v/>
      </c>
      <c r="AH102" s="276" t="str">
        <f t="shared" si="13"/>
        <v/>
      </c>
      <c r="AI102" s="105"/>
      <c r="AJ102" s="276" t="str">
        <f>IF(AI102="","",(IF(AND(AI102="N/A - Culvert",N102&lt;&gt;"Culvert"),"Not possible ▲",IF(VLOOKUP(AI102,'G-7 WaterC'' Data'!$AA$4:$AB$7,2,FALSE)=0,"Spatial Data Missing ⚠",VLOOKUP(AI102,'G-7 WaterC'' Data'!$AA$4:$AB$7,2,FALSE)))))</f>
        <v/>
      </c>
      <c r="AK102" s="106"/>
      <c r="AL102" s="310" t="str">
        <f>IF(AK102="","",IF(AND(AK102="N/A - Culvert",N102&lt;&gt;"Culvert"),"Not possible ▲",IF(VLOOKUP(AK102,'G-7 WaterC'' Data'!$AD$4:$AE$14,2,FALSE)=0,"Spatial Data Missing ⚠",VLOOKUP(AK102,'G-7 WaterC'' Data'!$AD$4:$AE$14,2,FALSE))))</f>
        <v/>
      </c>
      <c r="AM102" s="275" t="str">
        <f>IF(B102="","",VLOOKUP($B102,'F-1 Off-Site WaterC'' Baseline'!$C$9:$Z$257,17,FALSE))</f>
        <v/>
      </c>
      <c r="AN102" s="276" t="str">
        <f>IF(AM102="","",IF(VLOOKUP(AM102,'G-7 WaterC'' Data'!$AO$4:$BO$7,2,FALSE)=0,"Spatial Data Missing ⚠",VLOOKUP(AM102,'G-7 WaterC'' Data'!$AO$4:$BO$7,2,FALSE)))</f>
        <v/>
      </c>
      <c r="AO102" s="317" t="str">
        <f t="shared" si="18"/>
        <v/>
      </c>
      <c r="AP102" s="317" t="str">
        <f t="shared" si="19"/>
        <v/>
      </c>
      <c r="AQ102" s="101"/>
      <c r="AR102" s="115"/>
      <c r="AS102" s="104"/>
      <c r="AT102" s="104"/>
      <c r="AW102" s="30" t="str">
        <f>IF(E102="","",VLOOKUP($B102,'F-1 Off-Site WaterC'' Baseline'!$C$9:$Z$257,12,FALSE))</f>
        <v/>
      </c>
      <c r="AX102" s="30" t="str">
        <f>IF(E102="","",VLOOKUP($B102,'F-1 Off-Site WaterC'' Baseline'!$C$9:$Z$257,14,FALSE))</f>
        <v/>
      </c>
      <c r="AY102" s="30" t="str">
        <f>IFERROR(INDEX('G-7 WaterC'' Data'!$AZ$3:$AZ$7,MATCH(N102,'G-7 WaterC'' Data'!$AY$3:$AY$7,0)),"")</f>
        <v/>
      </c>
      <c r="AZ102" s="30" t="str">
        <f>IF(B102="","",IF(ISNA(VLOOKUP($B102,'F-1 Off-Site WaterC'' Baseline'!$C$8:$AD$257,20,FALSE)),"",(VLOOKUP($B102,'F-1 Off-Site WaterC'' Baseline'!$C$8:$AD$257,20,FALSE))))</f>
        <v/>
      </c>
      <c r="BC102" s="30" t="str">
        <f>IF(B102="","",VLOOKUP($B102,'F-1 Off-Site WaterC'' Baseline'!$C$9:$AB$257,25,FALSE))</f>
        <v/>
      </c>
      <c r="BD102" s="30" t="str">
        <f t="shared" si="20"/>
        <v/>
      </c>
      <c r="BE102" s="30" t="str">
        <f>IF(B102="","",VLOOKUP($B102,'F-1 Off-Site WaterC'' Baseline'!$C$9:$AB$257,24,FALSE))</f>
        <v/>
      </c>
      <c r="BF102" s="30" t="str">
        <f>IF(B102="","",VLOOKUP($B102,'F-1 Off-Site WaterC'' Baseline'!$C$9:$AB$257,22,FALSE))</f>
        <v/>
      </c>
      <c r="BJ102" s="30" t="str">
        <f t="shared" si="21"/>
        <v>No</v>
      </c>
    </row>
    <row r="103" spans="2:62" ht="14">
      <c r="B103" s="305" t="str">
        <f>'F-1 Off-Site WaterC'' Baseline'!AS101</f>
        <v/>
      </c>
      <c r="C103" s="295" t="str">
        <f>IF(B103="","",VLOOKUP($B103,'F-1 Off-Site WaterC'' Baseline'!$C$9:$R$257,2,FALSE))</f>
        <v/>
      </c>
      <c r="D103" s="295" t="str">
        <f>IF(C103="","",VLOOKUP($B103,'F-1 Off-Site WaterC'' Baseline'!$C$9:$R$257,3,FALSE))</f>
        <v/>
      </c>
      <c r="E103" s="295" t="str">
        <f>IF(D103="","",VLOOKUP($B103,'F-1 Off-Site WaterC'' Baseline'!$C$9:$R$257,4,FALSE))</f>
        <v/>
      </c>
      <c r="F103" s="295" t="str">
        <f>IF(E103="","",VLOOKUP($B103,'F-1 Off-Site WaterC'' Baseline'!$C$9:$R$257,5,FALSE))</f>
        <v/>
      </c>
      <c r="G103" s="295" t="str">
        <f>IF(F103="","",VLOOKUP($B103,'F-1 Off-Site WaterC'' Baseline'!$C$9:$R$257,6,FALSE))</f>
        <v/>
      </c>
      <c r="H103" s="295" t="str">
        <f>IF(G103="","",VLOOKUP($B103,'F-1 Off-Site WaterC'' Baseline'!$C$9:$R$257,7,FALSE))</f>
        <v/>
      </c>
      <c r="I103" s="295" t="str">
        <f>IF(H103="","",VLOOKUP($B103,'F-1 Off-Site WaterC'' Baseline'!$C$9:$R$257,8,FALSE))</f>
        <v/>
      </c>
      <c r="J103" s="295" t="str">
        <f>IF(I103="","",VLOOKUP($B103,'F-1 Off-Site WaterC'' Baseline'!$C$9:$R$257,9,FALSE))</f>
        <v/>
      </c>
      <c r="K103" s="295" t="str">
        <f>IF(J103="","",VLOOKUP($B103,'F-1 Off-Site WaterC'' Baseline'!$C$9:$R$257,10,FALSE))</f>
        <v/>
      </c>
      <c r="L103" s="283" t="str">
        <f>IF(B103="","",VLOOKUP($B103,'F-1 Off-Site WaterC'' Baseline'!$C$9:$R$257,15,FALSE))</f>
        <v/>
      </c>
      <c r="M103" s="299" t="str">
        <f>IF(L103="","",VLOOKUP($B103,'F-1 Off-Site WaterC'' Baseline'!$C$9:$V$257,19,FALSE))</f>
        <v/>
      </c>
      <c r="N103" s="244"/>
      <c r="O103" s="275" t="str">
        <f t="shared" si="14"/>
        <v/>
      </c>
      <c r="P103" s="276" t="str">
        <f t="shared" si="15"/>
        <v/>
      </c>
      <c r="Q103" s="281" t="str">
        <f>IF(N103="","",VLOOKUP(B103,'F-1 Off-Site WaterC'' Baseline'!$C$10:$AF$257,23,FALSE))</f>
        <v/>
      </c>
      <c r="R103" s="275" t="str">
        <f>IF(N103="","",VLOOKUP(N103,'G-7 WaterC'' Data'!$B$2:$G$8,2,FALSE))</f>
        <v/>
      </c>
      <c r="S103" s="276" t="str">
        <f>IFERROR(VLOOKUP(R103,'G-7 WaterC'' Data'!$C$4:$D$8,2,FALSE),"")</f>
        <v/>
      </c>
      <c r="T103" s="101"/>
      <c r="U103" s="276" t="str">
        <f>IFERROR(INDEX('G-7 WaterC'' Data'!$H$4:$L$8,MATCH(N103,'G-7 WaterC'' Data'!$B$4:$B$8,0),MATCH(T103,'G-7 WaterC'' Data'!$H$3:$L$3,0)),"")</f>
        <v/>
      </c>
      <c r="V103" s="105"/>
      <c r="W103" s="295" t="str">
        <f>IF(V103="","",IF(VLOOKUP(V103,'G-7 WaterC'' Data'!$AK$4:$AM$6,2,FALSE)=0,"Spatial Data Missing ⚠",VLOOKUP(V103,'G-7 WaterC'' Data'!$AK$4:$AM$6,2,FALSE)))</f>
        <v/>
      </c>
      <c r="X103" s="299" t="str">
        <f>IF(V103="","",IF(VLOOKUP(V103,'G-7 WaterC'' Data'!$AK$4:$AM$6,3,FALSE)=0,"Spatial Data Missing ⚠",VLOOKUP(V103,'G-7 WaterC'' Data'!$AK$4:$AM$6,3,FALSE)))</f>
        <v/>
      </c>
      <c r="Y103" s="311" t="str">
        <f>IFERROR(IF(OR(LEFT(P103,5)="Error",LEFT(O103,5)="Error"),"Check Data ⚠",IF(F103&lt;S103,'G-7 WaterC'' Data'!$R$3,INDEX('G-7 WaterC'' Data'!$U$5:$Y$9,MATCH(G103,'G-7 WaterC'' Data'!$T$5:$T$9,0),MATCH(T103,'G-7 WaterC'' Data'!$U$4:$Y$4,0)))),"")</f>
        <v/>
      </c>
      <c r="Z103" s="138"/>
      <c r="AA103" s="138"/>
      <c r="AB103" s="308" t="str">
        <f t="shared" si="11"/>
        <v/>
      </c>
      <c r="AC103" s="296" t="str">
        <f t="shared" si="16"/>
        <v/>
      </c>
      <c r="AD103" s="334" t="str">
        <f>IFERROR(IF(AC103="Check Data ⚠","Check Data ⚠",VLOOKUP(AC103,'G-4 Temporal multipliers'!$A$4:$C$37,3,FALSE)),"")</f>
        <v/>
      </c>
      <c r="AE103" s="311" t="str">
        <f>IF(N103="","",VLOOKUP(N103,'G-7 WaterC'' Data'!$B$4:$G$8,5,FALSE))</f>
        <v/>
      </c>
      <c r="AF103" s="295" t="str">
        <f t="shared" si="12"/>
        <v/>
      </c>
      <c r="AG103" s="295" t="str">
        <f t="shared" si="17"/>
        <v/>
      </c>
      <c r="AH103" s="276" t="str">
        <f t="shared" si="13"/>
        <v/>
      </c>
      <c r="AI103" s="105"/>
      <c r="AJ103" s="276" t="str">
        <f>IF(AI103="","",(IF(AND(AI103="N/A - Culvert",N103&lt;&gt;"Culvert"),"Not possible ▲",IF(VLOOKUP(AI103,'G-7 WaterC'' Data'!$AA$4:$AB$7,2,FALSE)=0,"Spatial Data Missing ⚠",VLOOKUP(AI103,'G-7 WaterC'' Data'!$AA$4:$AB$7,2,FALSE)))))</f>
        <v/>
      </c>
      <c r="AK103" s="106"/>
      <c r="AL103" s="310" t="str">
        <f>IF(AK103="","",IF(AND(AK103="N/A - Culvert",N103&lt;&gt;"Culvert"),"Not possible ▲",IF(VLOOKUP(AK103,'G-7 WaterC'' Data'!$AD$4:$AE$14,2,FALSE)=0,"Spatial Data Missing ⚠",VLOOKUP(AK103,'G-7 WaterC'' Data'!$AD$4:$AE$14,2,FALSE))))</f>
        <v/>
      </c>
      <c r="AM103" s="275" t="str">
        <f>IF(B103="","",VLOOKUP($B103,'F-1 Off-Site WaterC'' Baseline'!$C$9:$Z$257,17,FALSE))</f>
        <v/>
      </c>
      <c r="AN103" s="276" t="str">
        <f>IF(AM103="","",IF(VLOOKUP(AM103,'G-7 WaterC'' Data'!$AO$4:$BO$7,2,FALSE)=0,"Spatial Data Missing ⚠",VLOOKUP(AM103,'G-7 WaterC'' Data'!$AO$4:$BO$7,2,FALSE)))</f>
        <v/>
      </c>
      <c r="AO103" s="317" t="str">
        <f t="shared" si="18"/>
        <v/>
      </c>
      <c r="AP103" s="317" t="str">
        <f t="shared" si="19"/>
        <v/>
      </c>
      <c r="AQ103" s="101"/>
      <c r="AR103" s="115"/>
      <c r="AS103" s="104"/>
      <c r="AT103" s="104"/>
      <c r="AW103" s="30" t="str">
        <f>IF(E103="","",VLOOKUP($B103,'F-1 Off-Site WaterC'' Baseline'!$C$9:$Z$257,12,FALSE))</f>
        <v/>
      </c>
      <c r="AX103" s="30" t="str">
        <f>IF(E103="","",VLOOKUP($B103,'F-1 Off-Site WaterC'' Baseline'!$C$9:$Z$257,14,FALSE))</f>
        <v/>
      </c>
      <c r="AY103" s="30" t="str">
        <f>IFERROR(INDEX('G-7 WaterC'' Data'!$AZ$3:$AZ$7,MATCH(N103,'G-7 WaterC'' Data'!$AY$3:$AY$7,0)),"")</f>
        <v/>
      </c>
      <c r="AZ103" s="30" t="str">
        <f>IF(B103="","",IF(ISNA(VLOOKUP($B103,'F-1 Off-Site WaterC'' Baseline'!$C$8:$AD$257,20,FALSE)),"",(VLOOKUP($B103,'F-1 Off-Site WaterC'' Baseline'!$C$8:$AD$257,20,FALSE))))</f>
        <v/>
      </c>
      <c r="BC103" s="30" t="str">
        <f>IF(B103="","",VLOOKUP($B103,'F-1 Off-Site WaterC'' Baseline'!$C$9:$AB$257,25,FALSE))</f>
        <v/>
      </c>
      <c r="BD103" s="30" t="str">
        <f t="shared" si="20"/>
        <v/>
      </c>
      <c r="BE103" s="30" t="str">
        <f>IF(B103="","",VLOOKUP($B103,'F-1 Off-Site WaterC'' Baseline'!$C$9:$AB$257,24,FALSE))</f>
        <v/>
      </c>
      <c r="BF103" s="30" t="str">
        <f>IF(B103="","",VLOOKUP($B103,'F-1 Off-Site WaterC'' Baseline'!$C$9:$AB$257,22,FALSE))</f>
        <v/>
      </c>
      <c r="BJ103" s="30" t="str">
        <f t="shared" si="21"/>
        <v>No</v>
      </c>
    </row>
    <row r="104" spans="2:62" ht="14">
      <c r="B104" s="305" t="str">
        <f>'F-1 Off-Site WaterC'' Baseline'!AS102</f>
        <v/>
      </c>
      <c r="C104" s="295" t="str">
        <f>IF(B104="","",VLOOKUP($B104,'F-1 Off-Site WaterC'' Baseline'!$C$9:$R$257,2,FALSE))</f>
        <v/>
      </c>
      <c r="D104" s="295" t="str">
        <f>IF(C104="","",VLOOKUP($B104,'F-1 Off-Site WaterC'' Baseline'!$C$9:$R$257,3,FALSE))</f>
        <v/>
      </c>
      <c r="E104" s="295" t="str">
        <f>IF(D104="","",VLOOKUP($B104,'F-1 Off-Site WaterC'' Baseline'!$C$9:$R$257,4,FALSE))</f>
        <v/>
      </c>
      <c r="F104" s="295" t="str">
        <f>IF(E104="","",VLOOKUP($B104,'F-1 Off-Site WaterC'' Baseline'!$C$9:$R$257,5,FALSE))</f>
        <v/>
      </c>
      <c r="G104" s="295" t="str">
        <f>IF(F104="","",VLOOKUP($B104,'F-1 Off-Site WaterC'' Baseline'!$C$9:$R$257,6,FALSE))</f>
        <v/>
      </c>
      <c r="H104" s="295" t="str">
        <f>IF(G104="","",VLOOKUP($B104,'F-1 Off-Site WaterC'' Baseline'!$C$9:$R$257,7,FALSE))</f>
        <v/>
      </c>
      <c r="I104" s="295" t="str">
        <f>IF(H104="","",VLOOKUP($B104,'F-1 Off-Site WaterC'' Baseline'!$C$9:$R$257,8,FALSE))</f>
        <v/>
      </c>
      <c r="J104" s="295" t="str">
        <f>IF(I104="","",VLOOKUP($B104,'F-1 Off-Site WaterC'' Baseline'!$C$9:$R$257,9,FALSE))</f>
        <v/>
      </c>
      <c r="K104" s="295" t="str">
        <f>IF(J104="","",VLOOKUP($B104,'F-1 Off-Site WaterC'' Baseline'!$C$9:$R$257,10,FALSE))</f>
        <v/>
      </c>
      <c r="L104" s="283" t="str">
        <f>IF(B104="","",VLOOKUP($B104,'F-1 Off-Site WaterC'' Baseline'!$C$9:$R$257,15,FALSE))</f>
        <v/>
      </c>
      <c r="M104" s="299" t="str">
        <f>IF(L104="","",VLOOKUP($B104,'F-1 Off-Site WaterC'' Baseline'!$C$9:$V$257,19,FALSE))</f>
        <v/>
      </c>
      <c r="N104" s="244"/>
      <c r="O104" s="275" t="str">
        <f t="shared" si="14"/>
        <v/>
      </c>
      <c r="P104" s="276" t="str">
        <f t="shared" si="15"/>
        <v/>
      </c>
      <c r="Q104" s="281" t="str">
        <f>IF(N104="","",VLOOKUP(B104,'F-1 Off-Site WaterC'' Baseline'!$C$10:$AF$257,23,FALSE))</f>
        <v/>
      </c>
      <c r="R104" s="275" t="str">
        <f>IF(N104="","",VLOOKUP(N104,'G-7 WaterC'' Data'!$B$2:$G$8,2,FALSE))</f>
        <v/>
      </c>
      <c r="S104" s="276" t="str">
        <f>IFERROR(VLOOKUP(R104,'G-7 WaterC'' Data'!$C$4:$D$8,2,FALSE),"")</f>
        <v/>
      </c>
      <c r="T104" s="101"/>
      <c r="U104" s="276" t="str">
        <f>IFERROR(INDEX('G-7 WaterC'' Data'!$H$4:$L$8,MATCH(N104,'G-7 WaterC'' Data'!$B$4:$B$8,0),MATCH(T104,'G-7 WaterC'' Data'!$H$3:$L$3,0)),"")</f>
        <v/>
      </c>
      <c r="V104" s="105"/>
      <c r="W104" s="295" t="str">
        <f>IF(V104="","",IF(VLOOKUP(V104,'G-7 WaterC'' Data'!$AK$4:$AM$6,2,FALSE)=0,"Spatial Data Missing ⚠",VLOOKUP(V104,'G-7 WaterC'' Data'!$AK$4:$AM$6,2,FALSE)))</f>
        <v/>
      </c>
      <c r="X104" s="299" t="str">
        <f>IF(V104="","",IF(VLOOKUP(V104,'G-7 WaterC'' Data'!$AK$4:$AM$6,3,FALSE)=0,"Spatial Data Missing ⚠",VLOOKUP(V104,'G-7 WaterC'' Data'!$AK$4:$AM$6,3,FALSE)))</f>
        <v/>
      </c>
      <c r="Y104" s="311" t="str">
        <f>IFERROR(IF(OR(LEFT(P104,5)="Error",LEFT(O104,5)="Error"),"Check Data ⚠",IF(F104&lt;S104,'G-7 WaterC'' Data'!$R$3,INDEX('G-7 WaterC'' Data'!$U$5:$Y$9,MATCH(G104,'G-7 WaterC'' Data'!$T$5:$T$9,0),MATCH(T104,'G-7 WaterC'' Data'!$U$4:$Y$4,0)))),"")</f>
        <v/>
      </c>
      <c r="Z104" s="138"/>
      <c r="AA104" s="138"/>
      <c r="AB104" s="308" t="str">
        <f t="shared" si="11"/>
        <v/>
      </c>
      <c r="AC104" s="296" t="str">
        <f t="shared" si="16"/>
        <v/>
      </c>
      <c r="AD104" s="334" t="str">
        <f>IFERROR(IF(AC104="Check Data ⚠","Check Data ⚠",VLOOKUP(AC104,'G-4 Temporal multipliers'!$A$4:$C$37,3,FALSE)),"")</f>
        <v/>
      </c>
      <c r="AE104" s="311" t="str">
        <f>IF(N104="","",VLOOKUP(N104,'G-7 WaterC'' Data'!$B$4:$G$8,5,FALSE))</f>
        <v/>
      </c>
      <c r="AF104" s="295" t="str">
        <f t="shared" si="12"/>
        <v/>
      </c>
      <c r="AG104" s="295" t="str">
        <f t="shared" si="17"/>
        <v/>
      </c>
      <c r="AH104" s="276" t="str">
        <f t="shared" si="13"/>
        <v/>
      </c>
      <c r="AI104" s="105"/>
      <c r="AJ104" s="276" t="str">
        <f>IF(AI104="","",(IF(AND(AI104="N/A - Culvert",N104&lt;&gt;"Culvert"),"Not possible ▲",IF(VLOOKUP(AI104,'G-7 WaterC'' Data'!$AA$4:$AB$7,2,FALSE)=0,"Spatial Data Missing ⚠",VLOOKUP(AI104,'G-7 WaterC'' Data'!$AA$4:$AB$7,2,FALSE)))))</f>
        <v/>
      </c>
      <c r="AK104" s="106"/>
      <c r="AL104" s="310" t="str">
        <f>IF(AK104="","",IF(AND(AK104="N/A - Culvert",N104&lt;&gt;"Culvert"),"Not possible ▲",IF(VLOOKUP(AK104,'G-7 WaterC'' Data'!$AD$4:$AE$14,2,FALSE)=0,"Spatial Data Missing ⚠",VLOOKUP(AK104,'G-7 WaterC'' Data'!$AD$4:$AE$14,2,FALSE))))</f>
        <v/>
      </c>
      <c r="AM104" s="275" t="str">
        <f>IF(B104="","",VLOOKUP($B104,'F-1 Off-Site WaterC'' Baseline'!$C$9:$Z$257,17,FALSE))</f>
        <v/>
      </c>
      <c r="AN104" s="276" t="str">
        <f>IF(AM104="","",IF(VLOOKUP(AM104,'G-7 WaterC'' Data'!$AO$4:$BO$7,2,FALSE)=0,"Spatial Data Missing ⚠",VLOOKUP(AM104,'G-7 WaterC'' Data'!$AO$4:$BO$7,2,FALSE)))</f>
        <v/>
      </c>
      <c r="AO104" s="317" t="str">
        <f t="shared" si="18"/>
        <v/>
      </c>
      <c r="AP104" s="317" t="str">
        <f t="shared" si="19"/>
        <v/>
      </c>
      <c r="AQ104" s="101"/>
      <c r="AR104" s="115"/>
      <c r="AS104" s="104"/>
      <c r="AT104" s="104"/>
      <c r="AW104" s="30" t="str">
        <f>IF(E104="","",VLOOKUP($B104,'F-1 Off-Site WaterC'' Baseline'!$C$9:$Z$257,12,FALSE))</f>
        <v/>
      </c>
      <c r="AX104" s="30" t="str">
        <f>IF(E104="","",VLOOKUP($B104,'F-1 Off-Site WaterC'' Baseline'!$C$9:$Z$257,14,FALSE))</f>
        <v/>
      </c>
      <c r="AY104" s="30" t="str">
        <f>IFERROR(INDEX('G-7 WaterC'' Data'!$AZ$3:$AZ$7,MATCH(N104,'G-7 WaterC'' Data'!$AY$3:$AY$7,0)),"")</f>
        <v/>
      </c>
      <c r="AZ104" s="30" t="str">
        <f>IF(B104="","",IF(ISNA(VLOOKUP($B104,'F-1 Off-Site WaterC'' Baseline'!$C$8:$AD$257,20,FALSE)),"",(VLOOKUP($B104,'F-1 Off-Site WaterC'' Baseline'!$C$8:$AD$257,20,FALSE))))</f>
        <v/>
      </c>
      <c r="BC104" s="30" t="str">
        <f>IF(B104="","",VLOOKUP($B104,'F-1 Off-Site WaterC'' Baseline'!$C$9:$AB$257,25,FALSE))</f>
        <v/>
      </c>
      <c r="BD104" s="30" t="str">
        <f t="shared" si="20"/>
        <v/>
      </c>
      <c r="BE104" s="30" t="str">
        <f>IF(B104="","",VLOOKUP($B104,'F-1 Off-Site WaterC'' Baseline'!$C$9:$AB$257,24,FALSE))</f>
        <v/>
      </c>
      <c r="BF104" s="30" t="str">
        <f>IF(B104="","",VLOOKUP($B104,'F-1 Off-Site WaterC'' Baseline'!$C$9:$AB$257,22,FALSE))</f>
        <v/>
      </c>
      <c r="BJ104" s="30" t="str">
        <f t="shared" si="21"/>
        <v>No</v>
      </c>
    </row>
    <row r="105" spans="2:62" ht="14">
      <c r="B105" s="305" t="str">
        <f>'F-1 Off-Site WaterC'' Baseline'!AS103</f>
        <v/>
      </c>
      <c r="C105" s="295" t="str">
        <f>IF(B105="","",VLOOKUP($B105,'F-1 Off-Site WaterC'' Baseline'!$C$9:$R$257,2,FALSE))</f>
        <v/>
      </c>
      <c r="D105" s="295" t="str">
        <f>IF(C105="","",VLOOKUP($B105,'F-1 Off-Site WaterC'' Baseline'!$C$9:$R$257,3,FALSE))</f>
        <v/>
      </c>
      <c r="E105" s="295" t="str">
        <f>IF(D105="","",VLOOKUP($B105,'F-1 Off-Site WaterC'' Baseline'!$C$9:$R$257,4,FALSE))</f>
        <v/>
      </c>
      <c r="F105" s="295" t="str">
        <f>IF(E105="","",VLOOKUP($B105,'F-1 Off-Site WaterC'' Baseline'!$C$9:$R$257,5,FALSE))</f>
        <v/>
      </c>
      <c r="G105" s="295" t="str">
        <f>IF(F105="","",VLOOKUP($B105,'F-1 Off-Site WaterC'' Baseline'!$C$9:$R$257,6,FALSE))</f>
        <v/>
      </c>
      <c r="H105" s="295" t="str">
        <f>IF(G105="","",VLOOKUP($B105,'F-1 Off-Site WaterC'' Baseline'!$C$9:$R$257,7,FALSE))</f>
        <v/>
      </c>
      <c r="I105" s="295" t="str">
        <f>IF(H105="","",VLOOKUP($B105,'F-1 Off-Site WaterC'' Baseline'!$C$9:$R$257,8,FALSE))</f>
        <v/>
      </c>
      <c r="J105" s="295" t="str">
        <f>IF(I105="","",VLOOKUP($B105,'F-1 Off-Site WaterC'' Baseline'!$C$9:$R$257,9,FALSE))</f>
        <v/>
      </c>
      <c r="K105" s="295" t="str">
        <f>IF(J105="","",VLOOKUP($B105,'F-1 Off-Site WaterC'' Baseline'!$C$9:$R$257,10,FALSE))</f>
        <v/>
      </c>
      <c r="L105" s="283" t="str">
        <f>IF(B105="","",VLOOKUP($B105,'F-1 Off-Site WaterC'' Baseline'!$C$9:$R$257,15,FALSE))</f>
        <v/>
      </c>
      <c r="M105" s="299" t="str">
        <f>IF(L105="","",VLOOKUP($B105,'F-1 Off-Site WaterC'' Baseline'!$C$9:$V$257,19,FALSE))</f>
        <v/>
      </c>
      <c r="N105" s="244"/>
      <c r="O105" s="275" t="str">
        <f t="shared" si="14"/>
        <v/>
      </c>
      <c r="P105" s="276" t="str">
        <f t="shared" si="15"/>
        <v/>
      </c>
      <c r="Q105" s="281" t="str">
        <f>IF(N105="","",VLOOKUP(B105,'F-1 Off-Site WaterC'' Baseline'!$C$10:$AF$257,23,FALSE))</f>
        <v/>
      </c>
      <c r="R105" s="275" t="str">
        <f>IF(N105="","",VLOOKUP(N105,'G-7 WaterC'' Data'!$B$2:$G$8,2,FALSE))</f>
        <v/>
      </c>
      <c r="S105" s="276" t="str">
        <f>IFERROR(VLOOKUP(R105,'G-7 WaterC'' Data'!$C$4:$D$8,2,FALSE),"")</f>
        <v/>
      </c>
      <c r="T105" s="101"/>
      <c r="U105" s="276" t="str">
        <f>IFERROR(INDEX('G-7 WaterC'' Data'!$H$4:$L$8,MATCH(N105,'G-7 WaterC'' Data'!$B$4:$B$8,0),MATCH(T105,'G-7 WaterC'' Data'!$H$3:$L$3,0)),"")</f>
        <v/>
      </c>
      <c r="V105" s="105"/>
      <c r="W105" s="295" t="str">
        <f>IF(V105="","",IF(VLOOKUP(V105,'G-7 WaterC'' Data'!$AK$4:$AM$6,2,FALSE)=0,"Spatial Data Missing ⚠",VLOOKUP(V105,'G-7 WaterC'' Data'!$AK$4:$AM$6,2,FALSE)))</f>
        <v/>
      </c>
      <c r="X105" s="299" t="str">
        <f>IF(V105="","",IF(VLOOKUP(V105,'G-7 WaterC'' Data'!$AK$4:$AM$6,3,FALSE)=0,"Spatial Data Missing ⚠",VLOOKUP(V105,'G-7 WaterC'' Data'!$AK$4:$AM$6,3,FALSE)))</f>
        <v/>
      </c>
      <c r="Y105" s="311" t="str">
        <f>IFERROR(IF(OR(LEFT(P105,5)="Error",LEFT(O105,5)="Error"),"Check Data ⚠",IF(F105&lt;S105,'G-7 WaterC'' Data'!$R$3,INDEX('G-7 WaterC'' Data'!$U$5:$Y$9,MATCH(G105,'G-7 WaterC'' Data'!$T$5:$T$9,0),MATCH(T105,'G-7 WaterC'' Data'!$U$4:$Y$4,0)))),"")</f>
        <v/>
      </c>
      <c r="Z105" s="138"/>
      <c r="AA105" s="138"/>
      <c r="AB105" s="308" t="str">
        <f t="shared" si="11"/>
        <v/>
      </c>
      <c r="AC105" s="296" t="str">
        <f t="shared" si="16"/>
        <v/>
      </c>
      <c r="AD105" s="334" t="str">
        <f>IFERROR(IF(AC105="Check Data ⚠","Check Data ⚠",VLOOKUP(AC105,'G-4 Temporal multipliers'!$A$4:$C$37,3,FALSE)),"")</f>
        <v/>
      </c>
      <c r="AE105" s="311" t="str">
        <f>IF(N105="","",VLOOKUP(N105,'G-7 WaterC'' Data'!$B$4:$G$8,5,FALSE))</f>
        <v/>
      </c>
      <c r="AF105" s="295" t="str">
        <f t="shared" si="12"/>
        <v/>
      </c>
      <c r="AG105" s="295" t="str">
        <f t="shared" si="17"/>
        <v/>
      </c>
      <c r="AH105" s="276" t="str">
        <f t="shared" si="13"/>
        <v/>
      </c>
      <c r="AI105" s="105"/>
      <c r="AJ105" s="276" t="str">
        <f>IF(AI105="","",(IF(AND(AI105="N/A - Culvert",N105&lt;&gt;"Culvert"),"Not possible ▲",IF(VLOOKUP(AI105,'G-7 WaterC'' Data'!$AA$4:$AB$7,2,FALSE)=0,"Spatial Data Missing ⚠",VLOOKUP(AI105,'G-7 WaterC'' Data'!$AA$4:$AB$7,2,FALSE)))))</f>
        <v/>
      </c>
      <c r="AK105" s="106"/>
      <c r="AL105" s="310" t="str">
        <f>IF(AK105="","",IF(AND(AK105="N/A - Culvert",N105&lt;&gt;"Culvert"),"Not possible ▲",IF(VLOOKUP(AK105,'G-7 WaterC'' Data'!$AD$4:$AE$14,2,FALSE)=0,"Spatial Data Missing ⚠",VLOOKUP(AK105,'G-7 WaterC'' Data'!$AD$4:$AE$14,2,FALSE))))</f>
        <v/>
      </c>
      <c r="AM105" s="275" t="str">
        <f>IF(B105="","",VLOOKUP($B105,'F-1 Off-Site WaterC'' Baseline'!$C$9:$Z$257,17,FALSE))</f>
        <v/>
      </c>
      <c r="AN105" s="276" t="str">
        <f>IF(AM105="","",IF(VLOOKUP(AM105,'G-7 WaterC'' Data'!$AO$4:$BO$7,2,FALSE)=0,"Spatial Data Missing ⚠",VLOOKUP(AM105,'G-7 WaterC'' Data'!$AO$4:$BO$7,2,FALSE)))</f>
        <v/>
      </c>
      <c r="AO105" s="317" t="str">
        <f t="shared" si="18"/>
        <v/>
      </c>
      <c r="AP105" s="317" t="str">
        <f t="shared" si="19"/>
        <v/>
      </c>
      <c r="AQ105" s="101"/>
      <c r="AR105" s="115"/>
      <c r="AS105" s="104"/>
      <c r="AT105" s="104"/>
      <c r="AW105" s="30" t="str">
        <f>IF(E105="","",VLOOKUP($B105,'F-1 Off-Site WaterC'' Baseline'!$C$9:$Z$257,12,FALSE))</f>
        <v/>
      </c>
      <c r="AX105" s="30" t="str">
        <f>IF(E105="","",VLOOKUP($B105,'F-1 Off-Site WaterC'' Baseline'!$C$9:$Z$257,14,FALSE))</f>
        <v/>
      </c>
      <c r="AY105" s="30" t="str">
        <f>IFERROR(INDEX('G-7 WaterC'' Data'!$AZ$3:$AZ$7,MATCH(N105,'G-7 WaterC'' Data'!$AY$3:$AY$7,0)),"")</f>
        <v/>
      </c>
      <c r="AZ105" s="30" t="str">
        <f>IF(B105="","",IF(ISNA(VLOOKUP($B105,'F-1 Off-Site WaterC'' Baseline'!$C$8:$AD$257,20,FALSE)),"",(VLOOKUP($B105,'F-1 Off-Site WaterC'' Baseline'!$C$8:$AD$257,20,FALSE))))</f>
        <v/>
      </c>
      <c r="BC105" s="30" t="str">
        <f>IF(B105="","",VLOOKUP($B105,'F-1 Off-Site WaterC'' Baseline'!$C$9:$AB$257,25,FALSE))</f>
        <v/>
      </c>
      <c r="BD105" s="30" t="str">
        <f t="shared" si="20"/>
        <v/>
      </c>
      <c r="BE105" s="30" t="str">
        <f>IF(B105="","",VLOOKUP($B105,'F-1 Off-Site WaterC'' Baseline'!$C$9:$AB$257,24,FALSE))</f>
        <v/>
      </c>
      <c r="BF105" s="30" t="str">
        <f>IF(B105="","",VLOOKUP($B105,'F-1 Off-Site WaterC'' Baseline'!$C$9:$AB$257,22,FALSE))</f>
        <v/>
      </c>
      <c r="BJ105" s="30" t="str">
        <f t="shared" si="21"/>
        <v>No</v>
      </c>
    </row>
    <row r="106" spans="2:62" ht="14">
      <c r="B106" s="305" t="str">
        <f>'F-1 Off-Site WaterC'' Baseline'!AS104</f>
        <v/>
      </c>
      <c r="C106" s="295" t="str">
        <f>IF(B106="","",VLOOKUP($B106,'F-1 Off-Site WaterC'' Baseline'!$C$9:$R$257,2,FALSE))</f>
        <v/>
      </c>
      <c r="D106" s="295" t="str">
        <f>IF(C106="","",VLOOKUP($B106,'F-1 Off-Site WaterC'' Baseline'!$C$9:$R$257,3,FALSE))</f>
        <v/>
      </c>
      <c r="E106" s="295" t="str">
        <f>IF(D106="","",VLOOKUP($B106,'F-1 Off-Site WaterC'' Baseline'!$C$9:$R$257,4,FALSE))</f>
        <v/>
      </c>
      <c r="F106" s="295" t="str">
        <f>IF(E106="","",VLOOKUP($B106,'F-1 Off-Site WaterC'' Baseline'!$C$9:$R$257,5,FALSE))</f>
        <v/>
      </c>
      <c r="G106" s="295" t="str">
        <f>IF(F106="","",VLOOKUP($B106,'F-1 Off-Site WaterC'' Baseline'!$C$9:$R$257,6,FALSE))</f>
        <v/>
      </c>
      <c r="H106" s="295" t="str">
        <f>IF(G106="","",VLOOKUP($B106,'F-1 Off-Site WaterC'' Baseline'!$C$9:$R$257,7,FALSE))</f>
        <v/>
      </c>
      <c r="I106" s="295" t="str">
        <f>IF(H106="","",VLOOKUP($B106,'F-1 Off-Site WaterC'' Baseline'!$C$9:$R$257,8,FALSE))</f>
        <v/>
      </c>
      <c r="J106" s="295" t="str">
        <f>IF(I106="","",VLOOKUP($B106,'F-1 Off-Site WaterC'' Baseline'!$C$9:$R$257,9,FALSE))</f>
        <v/>
      </c>
      <c r="K106" s="295" t="str">
        <f>IF(J106="","",VLOOKUP($B106,'F-1 Off-Site WaterC'' Baseline'!$C$9:$R$257,10,FALSE))</f>
        <v/>
      </c>
      <c r="L106" s="283" t="str">
        <f>IF(B106="","",VLOOKUP($B106,'F-1 Off-Site WaterC'' Baseline'!$C$9:$R$257,15,FALSE))</f>
        <v/>
      </c>
      <c r="M106" s="299" t="str">
        <f>IF(L106="","",VLOOKUP($B106,'F-1 Off-Site WaterC'' Baseline'!$C$9:$V$257,19,FALSE))</f>
        <v/>
      </c>
      <c r="N106" s="244"/>
      <c r="O106" s="275" t="str">
        <f t="shared" si="14"/>
        <v/>
      </c>
      <c r="P106" s="276" t="str">
        <f t="shared" si="15"/>
        <v/>
      </c>
      <c r="Q106" s="281" t="str">
        <f>IF(N106="","",VLOOKUP(B106,'F-1 Off-Site WaterC'' Baseline'!$C$10:$AF$257,23,FALSE))</f>
        <v/>
      </c>
      <c r="R106" s="275" t="str">
        <f>IF(N106="","",VLOOKUP(N106,'G-7 WaterC'' Data'!$B$2:$G$8,2,FALSE))</f>
        <v/>
      </c>
      <c r="S106" s="276" t="str">
        <f>IFERROR(VLOOKUP(R106,'G-7 WaterC'' Data'!$C$4:$D$8,2,FALSE),"")</f>
        <v/>
      </c>
      <c r="T106" s="101"/>
      <c r="U106" s="276" t="str">
        <f>IFERROR(INDEX('G-7 WaterC'' Data'!$H$4:$L$8,MATCH(N106,'G-7 WaterC'' Data'!$B$4:$B$8,0),MATCH(T106,'G-7 WaterC'' Data'!$H$3:$L$3,0)),"")</f>
        <v/>
      </c>
      <c r="V106" s="105"/>
      <c r="W106" s="295" t="str">
        <f>IF(V106="","",IF(VLOOKUP(V106,'G-7 WaterC'' Data'!$AK$4:$AM$6,2,FALSE)=0,"Spatial Data Missing ⚠",VLOOKUP(V106,'G-7 WaterC'' Data'!$AK$4:$AM$6,2,FALSE)))</f>
        <v/>
      </c>
      <c r="X106" s="299" t="str">
        <f>IF(V106="","",IF(VLOOKUP(V106,'G-7 WaterC'' Data'!$AK$4:$AM$6,3,FALSE)=0,"Spatial Data Missing ⚠",VLOOKUP(V106,'G-7 WaterC'' Data'!$AK$4:$AM$6,3,FALSE)))</f>
        <v/>
      </c>
      <c r="Y106" s="311" t="str">
        <f>IFERROR(IF(OR(LEFT(P106,5)="Error",LEFT(O106,5)="Error"),"Check Data ⚠",IF(F106&lt;S106,'G-7 WaterC'' Data'!$R$3,INDEX('G-7 WaterC'' Data'!$U$5:$Y$9,MATCH(G106,'G-7 WaterC'' Data'!$T$5:$T$9,0),MATCH(T106,'G-7 WaterC'' Data'!$U$4:$Y$4,0)))),"")</f>
        <v/>
      </c>
      <c r="Z106" s="138"/>
      <c r="AA106" s="138"/>
      <c r="AB106" s="308" t="str">
        <f t="shared" si="11"/>
        <v/>
      </c>
      <c r="AC106" s="296" t="str">
        <f t="shared" si="16"/>
        <v/>
      </c>
      <c r="AD106" s="334" t="str">
        <f>IFERROR(IF(AC106="Check Data ⚠","Check Data ⚠",VLOOKUP(AC106,'G-4 Temporal multipliers'!$A$4:$C$37,3,FALSE)),"")</f>
        <v/>
      </c>
      <c r="AE106" s="311" t="str">
        <f>IF(N106="","",VLOOKUP(N106,'G-7 WaterC'' Data'!$B$4:$G$8,5,FALSE))</f>
        <v/>
      </c>
      <c r="AF106" s="295" t="str">
        <f t="shared" si="12"/>
        <v/>
      </c>
      <c r="AG106" s="295" t="str">
        <f t="shared" si="17"/>
        <v/>
      </c>
      <c r="AH106" s="276" t="str">
        <f t="shared" si="13"/>
        <v/>
      </c>
      <c r="AI106" s="105"/>
      <c r="AJ106" s="276" t="str">
        <f>IF(AI106="","",(IF(AND(AI106="N/A - Culvert",N106&lt;&gt;"Culvert"),"Not possible ▲",IF(VLOOKUP(AI106,'G-7 WaterC'' Data'!$AA$4:$AB$7,2,FALSE)=0,"Spatial Data Missing ⚠",VLOOKUP(AI106,'G-7 WaterC'' Data'!$AA$4:$AB$7,2,FALSE)))))</f>
        <v/>
      </c>
      <c r="AK106" s="106"/>
      <c r="AL106" s="310" t="str">
        <f>IF(AK106="","",IF(AND(AK106="N/A - Culvert",N106&lt;&gt;"Culvert"),"Not possible ▲",IF(VLOOKUP(AK106,'G-7 WaterC'' Data'!$AD$4:$AE$14,2,FALSE)=0,"Spatial Data Missing ⚠",VLOOKUP(AK106,'G-7 WaterC'' Data'!$AD$4:$AE$14,2,FALSE))))</f>
        <v/>
      </c>
      <c r="AM106" s="275" t="str">
        <f>IF(B106="","",VLOOKUP($B106,'F-1 Off-Site WaterC'' Baseline'!$C$9:$Z$257,17,FALSE))</f>
        <v/>
      </c>
      <c r="AN106" s="276" t="str">
        <f>IF(AM106="","",IF(VLOOKUP(AM106,'G-7 WaterC'' Data'!$AO$4:$BO$7,2,FALSE)=0,"Spatial Data Missing ⚠",VLOOKUP(AM106,'G-7 WaterC'' Data'!$AO$4:$BO$7,2,FALSE)))</f>
        <v/>
      </c>
      <c r="AO106" s="317" t="str">
        <f t="shared" si="18"/>
        <v/>
      </c>
      <c r="AP106" s="317" t="str">
        <f t="shared" si="19"/>
        <v/>
      </c>
      <c r="AQ106" s="101"/>
      <c r="AR106" s="115"/>
      <c r="AS106" s="104"/>
      <c r="AT106" s="104"/>
      <c r="AW106" s="30" t="str">
        <f>IF(E106="","",VLOOKUP($B106,'F-1 Off-Site WaterC'' Baseline'!$C$9:$Z$257,12,FALSE))</f>
        <v/>
      </c>
      <c r="AX106" s="30" t="str">
        <f>IF(E106="","",VLOOKUP($B106,'F-1 Off-Site WaterC'' Baseline'!$C$9:$Z$257,14,FALSE))</f>
        <v/>
      </c>
      <c r="AY106" s="30" t="str">
        <f>IFERROR(INDEX('G-7 WaterC'' Data'!$AZ$3:$AZ$7,MATCH(N106,'G-7 WaterC'' Data'!$AY$3:$AY$7,0)),"")</f>
        <v/>
      </c>
      <c r="AZ106" s="30" t="str">
        <f>IF(B106="","",IF(ISNA(VLOOKUP($B106,'F-1 Off-Site WaterC'' Baseline'!$C$8:$AD$257,20,FALSE)),"",(VLOOKUP($B106,'F-1 Off-Site WaterC'' Baseline'!$C$8:$AD$257,20,FALSE))))</f>
        <v/>
      </c>
      <c r="BC106" s="30" t="str">
        <f>IF(B106="","",VLOOKUP($B106,'F-1 Off-Site WaterC'' Baseline'!$C$9:$AB$257,25,FALSE))</f>
        <v/>
      </c>
      <c r="BD106" s="30" t="str">
        <f t="shared" si="20"/>
        <v/>
      </c>
      <c r="BE106" s="30" t="str">
        <f>IF(B106="","",VLOOKUP($B106,'F-1 Off-Site WaterC'' Baseline'!$C$9:$AB$257,24,FALSE))</f>
        <v/>
      </c>
      <c r="BF106" s="30" t="str">
        <f>IF(B106="","",VLOOKUP($B106,'F-1 Off-Site WaterC'' Baseline'!$C$9:$AB$257,22,FALSE))</f>
        <v/>
      </c>
      <c r="BJ106" s="30" t="str">
        <f t="shared" si="21"/>
        <v>No</v>
      </c>
    </row>
    <row r="107" spans="2:62" ht="14">
      <c r="B107" s="305" t="str">
        <f>'F-1 Off-Site WaterC'' Baseline'!AS105</f>
        <v/>
      </c>
      <c r="C107" s="295" t="str">
        <f>IF(B107="","",VLOOKUP($B107,'F-1 Off-Site WaterC'' Baseline'!$C$9:$R$257,2,FALSE))</f>
        <v/>
      </c>
      <c r="D107" s="295" t="str">
        <f>IF(C107="","",VLOOKUP($B107,'F-1 Off-Site WaterC'' Baseline'!$C$9:$R$257,3,FALSE))</f>
        <v/>
      </c>
      <c r="E107" s="295" t="str">
        <f>IF(D107="","",VLOOKUP($B107,'F-1 Off-Site WaterC'' Baseline'!$C$9:$R$257,4,FALSE))</f>
        <v/>
      </c>
      <c r="F107" s="295" t="str">
        <f>IF(E107="","",VLOOKUP($B107,'F-1 Off-Site WaterC'' Baseline'!$C$9:$R$257,5,FALSE))</f>
        <v/>
      </c>
      <c r="G107" s="295" t="str">
        <f>IF(F107="","",VLOOKUP($B107,'F-1 Off-Site WaterC'' Baseline'!$C$9:$R$257,6,FALSE))</f>
        <v/>
      </c>
      <c r="H107" s="295" t="str">
        <f>IF(G107="","",VLOOKUP($B107,'F-1 Off-Site WaterC'' Baseline'!$C$9:$R$257,7,FALSE))</f>
        <v/>
      </c>
      <c r="I107" s="295" t="str">
        <f>IF(H107="","",VLOOKUP($B107,'F-1 Off-Site WaterC'' Baseline'!$C$9:$R$257,8,FALSE))</f>
        <v/>
      </c>
      <c r="J107" s="295" t="str">
        <f>IF(I107="","",VLOOKUP($B107,'F-1 Off-Site WaterC'' Baseline'!$C$9:$R$257,9,FALSE))</f>
        <v/>
      </c>
      <c r="K107" s="295" t="str">
        <f>IF(J107="","",VLOOKUP($B107,'F-1 Off-Site WaterC'' Baseline'!$C$9:$R$257,10,FALSE))</f>
        <v/>
      </c>
      <c r="L107" s="283" t="str">
        <f>IF(B107="","",VLOOKUP($B107,'F-1 Off-Site WaterC'' Baseline'!$C$9:$R$257,15,FALSE))</f>
        <v/>
      </c>
      <c r="M107" s="299" t="str">
        <f>IF(L107="","",VLOOKUP($B107,'F-1 Off-Site WaterC'' Baseline'!$C$9:$V$257,19,FALSE))</f>
        <v/>
      </c>
      <c r="N107" s="244"/>
      <c r="O107" s="275" t="str">
        <f t="shared" si="14"/>
        <v/>
      </c>
      <c r="P107" s="276" t="str">
        <f t="shared" si="15"/>
        <v/>
      </c>
      <c r="Q107" s="281" t="str">
        <f>IF(N107="","",VLOOKUP(B107,'F-1 Off-Site WaterC'' Baseline'!$C$10:$AF$257,23,FALSE))</f>
        <v/>
      </c>
      <c r="R107" s="275" t="str">
        <f>IF(N107="","",VLOOKUP(N107,'G-7 WaterC'' Data'!$B$2:$G$8,2,FALSE))</f>
        <v/>
      </c>
      <c r="S107" s="276" t="str">
        <f>IFERROR(VLOOKUP(R107,'G-7 WaterC'' Data'!$C$4:$D$8,2,FALSE),"")</f>
        <v/>
      </c>
      <c r="T107" s="101"/>
      <c r="U107" s="276" t="str">
        <f>IFERROR(INDEX('G-7 WaterC'' Data'!$H$4:$L$8,MATCH(N107,'G-7 WaterC'' Data'!$B$4:$B$8,0),MATCH(T107,'G-7 WaterC'' Data'!$H$3:$L$3,0)),"")</f>
        <v/>
      </c>
      <c r="V107" s="105"/>
      <c r="W107" s="295" t="str">
        <f>IF(V107="","",IF(VLOOKUP(V107,'G-7 WaterC'' Data'!$AK$4:$AM$6,2,FALSE)=0,"Spatial Data Missing ⚠",VLOOKUP(V107,'G-7 WaterC'' Data'!$AK$4:$AM$6,2,FALSE)))</f>
        <v/>
      </c>
      <c r="X107" s="299" t="str">
        <f>IF(V107="","",IF(VLOOKUP(V107,'G-7 WaterC'' Data'!$AK$4:$AM$6,3,FALSE)=0,"Spatial Data Missing ⚠",VLOOKUP(V107,'G-7 WaterC'' Data'!$AK$4:$AM$6,3,FALSE)))</f>
        <v/>
      </c>
      <c r="Y107" s="311" t="str">
        <f>IFERROR(IF(OR(LEFT(P107,5)="Error",LEFT(O107,5)="Error"),"Check Data ⚠",IF(F107&lt;S107,'G-7 WaterC'' Data'!$R$3,INDEX('G-7 WaterC'' Data'!$U$5:$Y$9,MATCH(G107,'G-7 WaterC'' Data'!$T$5:$T$9,0),MATCH(T107,'G-7 WaterC'' Data'!$U$4:$Y$4,0)))),"")</f>
        <v/>
      </c>
      <c r="Z107" s="138"/>
      <c r="AA107" s="138"/>
      <c r="AB107" s="308" t="str">
        <f t="shared" si="11"/>
        <v/>
      </c>
      <c r="AC107" s="296" t="str">
        <f t="shared" si="16"/>
        <v/>
      </c>
      <c r="AD107" s="334" t="str">
        <f>IFERROR(IF(AC107="Check Data ⚠","Check Data ⚠",VLOOKUP(AC107,'G-4 Temporal multipliers'!$A$4:$C$37,3,FALSE)),"")</f>
        <v/>
      </c>
      <c r="AE107" s="311" t="str">
        <f>IF(N107="","",VLOOKUP(N107,'G-7 WaterC'' Data'!$B$4:$G$8,5,FALSE))</f>
        <v/>
      </c>
      <c r="AF107" s="295" t="str">
        <f t="shared" si="12"/>
        <v/>
      </c>
      <c r="AG107" s="295" t="str">
        <f t="shared" si="17"/>
        <v/>
      </c>
      <c r="AH107" s="276" t="str">
        <f t="shared" si="13"/>
        <v/>
      </c>
      <c r="AI107" s="105"/>
      <c r="AJ107" s="276" t="str">
        <f>IF(AI107="","",(IF(AND(AI107="N/A - Culvert",N107&lt;&gt;"Culvert"),"Not possible ▲",IF(VLOOKUP(AI107,'G-7 WaterC'' Data'!$AA$4:$AB$7,2,FALSE)=0,"Spatial Data Missing ⚠",VLOOKUP(AI107,'G-7 WaterC'' Data'!$AA$4:$AB$7,2,FALSE)))))</f>
        <v/>
      </c>
      <c r="AK107" s="106"/>
      <c r="AL107" s="310" t="str">
        <f>IF(AK107="","",IF(AND(AK107="N/A - Culvert",N107&lt;&gt;"Culvert"),"Not possible ▲",IF(VLOOKUP(AK107,'G-7 WaterC'' Data'!$AD$4:$AE$14,2,FALSE)=0,"Spatial Data Missing ⚠",VLOOKUP(AK107,'G-7 WaterC'' Data'!$AD$4:$AE$14,2,FALSE))))</f>
        <v/>
      </c>
      <c r="AM107" s="275" t="str">
        <f>IF(B107="","",VLOOKUP($B107,'F-1 Off-Site WaterC'' Baseline'!$C$9:$Z$257,17,FALSE))</f>
        <v/>
      </c>
      <c r="AN107" s="276" t="str">
        <f>IF(AM107="","",IF(VLOOKUP(AM107,'G-7 WaterC'' Data'!$AO$4:$BO$7,2,FALSE)=0,"Spatial Data Missing ⚠",VLOOKUP(AM107,'G-7 WaterC'' Data'!$AO$4:$BO$7,2,FALSE)))</f>
        <v/>
      </c>
      <c r="AO107" s="317" t="str">
        <f t="shared" si="18"/>
        <v/>
      </c>
      <c r="AP107" s="317" t="str">
        <f t="shared" si="19"/>
        <v/>
      </c>
      <c r="AQ107" s="101"/>
      <c r="AR107" s="115"/>
      <c r="AS107" s="104"/>
      <c r="AT107" s="104"/>
      <c r="AW107" s="30" t="str">
        <f>IF(E107="","",VLOOKUP($B107,'F-1 Off-Site WaterC'' Baseline'!$C$9:$Z$257,12,FALSE))</f>
        <v/>
      </c>
      <c r="AX107" s="30" t="str">
        <f>IF(E107="","",VLOOKUP($B107,'F-1 Off-Site WaterC'' Baseline'!$C$9:$Z$257,14,FALSE))</f>
        <v/>
      </c>
      <c r="AY107" s="30" t="str">
        <f>IFERROR(INDEX('G-7 WaterC'' Data'!$AZ$3:$AZ$7,MATCH(N107,'G-7 WaterC'' Data'!$AY$3:$AY$7,0)),"")</f>
        <v/>
      </c>
      <c r="AZ107" s="30" t="str">
        <f>IF(B107="","",IF(ISNA(VLOOKUP($B107,'F-1 Off-Site WaterC'' Baseline'!$C$8:$AD$257,20,FALSE)),"",(VLOOKUP($B107,'F-1 Off-Site WaterC'' Baseline'!$C$8:$AD$257,20,FALSE))))</f>
        <v/>
      </c>
      <c r="BC107" s="30" t="str">
        <f>IF(B107="","",VLOOKUP($B107,'F-1 Off-Site WaterC'' Baseline'!$C$9:$AB$257,25,FALSE))</f>
        <v/>
      </c>
      <c r="BD107" s="30" t="str">
        <f t="shared" si="20"/>
        <v/>
      </c>
      <c r="BE107" s="30" t="str">
        <f>IF(B107="","",VLOOKUP($B107,'F-1 Off-Site WaterC'' Baseline'!$C$9:$AB$257,24,FALSE))</f>
        <v/>
      </c>
      <c r="BF107" s="30" t="str">
        <f>IF(B107="","",VLOOKUP($B107,'F-1 Off-Site WaterC'' Baseline'!$C$9:$AB$257,22,FALSE))</f>
        <v/>
      </c>
      <c r="BJ107" s="30" t="str">
        <f t="shared" si="21"/>
        <v>No</v>
      </c>
    </row>
    <row r="108" spans="2:62" ht="14">
      <c r="B108" s="305" t="str">
        <f>'F-1 Off-Site WaterC'' Baseline'!AS106</f>
        <v/>
      </c>
      <c r="C108" s="295" t="str">
        <f>IF(B108="","",VLOOKUP($B108,'F-1 Off-Site WaterC'' Baseline'!$C$9:$R$257,2,FALSE))</f>
        <v/>
      </c>
      <c r="D108" s="295" t="str">
        <f>IF(C108="","",VLOOKUP($B108,'F-1 Off-Site WaterC'' Baseline'!$C$9:$R$257,3,FALSE))</f>
        <v/>
      </c>
      <c r="E108" s="295" t="str">
        <f>IF(D108="","",VLOOKUP($B108,'F-1 Off-Site WaterC'' Baseline'!$C$9:$R$257,4,FALSE))</f>
        <v/>
      </c>
      <c r="F108" s="295" t="str">
        <f>IF(E108="","",VLOOKUP($B108,'F-1 Off-Site WaterC'' Baseline'!$C$9:$R$257,5,FALSE))</f>
        <v/>
      </c>
      <c r="G108" s="295" t="str">
        <f>IF(F108="","",VLOOKUP($B108,'F-1 Off-Site WaterC'' Baseline'!$C$9:$R$257,6,FALSE))</f>
        <v/>
      </c>
      <c r="H108" s="295" t="str">
        <f>IF(G108="","",VLOOKUP($B108,'F-1 Off-Site WaterC'' Baseline'!$C$9:$R$257,7,FALSE))</f>
        <v/>
      </c>
      <c r="I108" s="295" t="str">
        <f>IF(H108="","",VLOOKUP($B108,'F-1 Off-Site WaterC'' Baseline'!$C$9:$R$257,8,FALSE))</f>
        <v/>
      </c>
      <c r="J108" s="295" t="str">
        <f>IF(I108="","",VLOOKUP($B108,'F-1 Off-Site WaterC'' Baseline'!$C$9:$R$257,9,FALSE))</f>
        <v/>
      </c>
      <c r="K108" s="295" t="str">
        <f>IF(J108="","",VLOOKUP($B108,'F-1 Off-Site WaterC'' Baseline'!$C$9:$R$257,10,FALSE))</f>
        <v/>
      </c>
      <c r="L108" s="283" t="str">
        <f>IF(B108="","",VLOOKUP($B108,'F-1 Off-Site WaterC'' Baseline'!$C$9:$R$257,15,FALSE))</f>
        <v/>
      </c>
      <c r="M108" s="299" t="str">
        <f>IF(L108="","",VLOOKUP($B108,'F-1 Off-Site WaterC'' Baseline'!$C$9:$V$257,19,FALSE))</f>
        <v/>
      </c>
      <c r="N108" s="244"/>
      <c r="O108" s="275" t="str">
        <f t="shared" si="14"/>
        <v/>
      </c>
      <c r="P108" s="276" t="str">
        <f t="shared" si="15"/>
        <v/>
      </c>
      <c r="Q108" s="281" t="str">
        <f>IF(N108="","",VLOOKUP(B108,'F-1 Off-Site WaterC'' Baseline'!$C$10:$AF$257,23,FALSE))</f>
        <v/>
      </c>
      <c r="R108" s="275" t="str">
        <f>IF(N108="","",VLOOKUP(N108,'G-7 WaterC'' Data'!$B$2:$G$8,2,FALSE))</f>
        <v/>
      </c>
      <c r="S108" s="276" t="str">
        <f>IFERROR(VLOOKUP(R108,'G-7 WaterC'' Data'!$C$4:$D$8,2,FALSE),"")</f>
        <v/>
      </c>
      <c r="T108" s="101"/>
      <c r="U108" s="276" t="str">
        <f>IFERROR(INDEX('G-7 WaterC'' Data'!$H$4:$L$8,MATCH(N108,'G-7 WaterC'' Data'!$B$4:$B$8,0),MATCH(T108,'G-7 WaterC'' Data'!$H$3:$L$3,0)),"")</f>
        <v/>
      </c>
      <c r="V108" s="105"/>
      <c r="W108" s="295" t="str">
        <f>IF(V108="","",IF(VLOOKUP(V108,'G-7 WaterC'' Data'!$AK$4:$AM$6,2,FALSE)=0,"Spatial Data Missing ⚠",VLOOKUP(V108,'G-7 WaterC'' Data'!$AK$4:$AM$6,2,FALSE)))</f>
        <v/>
      </c>
      <c r="X108" s="299" t="str">
        <f>IF(V108="","",IF(VLOOKUP(V108,'G-7 WaterC'' Data'!$AK$4:$AM$6,3,FALSE)=0,"Spatial Data Missing ⚠",VLOOKUP(V108,'G-7 WaterC'' Data'!$AK$4:$AM$6,3,FALSE)))</f>
        <v/>
      </c>
      <c r="Y108" s="311" t="str">
        <f>IFERROR(IF(OR(LEFT(P108,5)="Error",LEFT(O108,5)="Error"),"Check Data ⚠",IF(F108&lt;S108,'G-7 WaterC'' Data'!$R$3,INDEX('G-7 WaterC'' Data'!$U$5:$Y$9,MATCH(G108,'G-7 WaterC'' Data'!$T$5:$T$9,0),MATCH(T108,'G-7 WaterC'' Data'!$U$4:$Y$4,0)))),"")</f>
        <v/>
      </c>
      <c r="Z108" s="138"/>
      <c r="AA108" s="138"/>
      <c r="AB108" s="308" t="str">
        <f t="shared" si="11"/>
        <v/>
      </c>
      <c r="AC108" s="296" t="str">
        <f t="shared" si="16"/>
        <v/>
      </c>
      <c r="AD108" s="334" t="str">
        <f>IFERROR(IF(AC108="Check Data ⚠","Check Data ⚠",VLOOKUP(AC108,'G-4 Temporal multipliers'!$A$4:$C$37,3,FALSE)),"")</f>
        <v/>
      </c>
      <c r="AE108" s="311" t="str">
        <f>IF(N108="","",VLOOKUP(N108,'G-7 WaterC'' Data'!$B$4:$G$8,5,FALSE))</f>
        <v/>
      </c>
      <c r="AF108" s="295" t="str">
        <f t="shared" si="12"/>
        <v/>
      </c>
      <c r="AG108" s="295" t="str">
        <f t="shared" si="17"/>
        <v/>
      </c>
      <c r="AH108" s="276" t="str">
        <f t="shared" si="13"/>
        <v/>
      </c>
      <c r="AI108" s="105"/>
      <c r="AJ108" s="276" t="str">
        <f>IF(AI108="","",(IF(AND(AI108="N/A - Culvert",N108&lt;&gt;"Culvert"),"Not possible ▲",IF(VLOOKUP(AI108,'G-7 WaterC'' Data'!$AA$4:$AB$7,2,FALSE)=0,"Spatial Data Missing ⚠",VLOOKUP(AI108,'G-7 WaterC'' Data'!$AA$4:$AB$7,2,FALSE)))))</f>
        <v/>
      </c>
      <c r="AK108" s="106"/>
      <c r="AL108" s="310" t="str">
        <f>IF(AK108="","",IF(AND(AK108="N/A - Culvert",N108&lt;&gt;"Culvert"),"Not possible ▲",IF(VLOOKUP(AK108,'G-7 WaterC'' Data'!$AD$4:$AE$14,2,FALSE)=0,"Spatial Data Missing ⚠",VLOOKUP(AK108,'G-7 WaterC'' Data'!$AD$4:$AE$14,2,FALSE))))</f>
        <v/>
      </c>
      <c r="AM108" s="275" t="str">
        <f>IF(B108="","",VLOOKUP($B108,'F-1 Off-Site WaterC'' Baseline'!$C$9:$Z$257,17,FALSE))</f>
        <v/>
      </c>
      <c r="AN108" s="276" t="str">
        <f>IF(AM108="","",IF(VLOOKUP(AM108,'G-7 WaterC'' Data'!$AO$4:$BO$7,2,FALSE)=0,"Spatial Data Missing ⚠",VLOOKUP(AM108,'G-7 WaterC'' Data'!$AO$4:$BO$7,2,FALSE)))</f>
        <v/>
      </c>
      <c r="AO108" s="317" t="str">
        <f t="shared" si="18"/>
        <v/>
      </c>
      <c r="AP108" s="317" t="str">
        <f t="shared" si="19"/>
        <v/>
      </c>
      <c r="AQ108" s="101"/>
      <c r="AR108" s="115"/>
      <c r="AS108" s="104"/>
      <c r="AT108" s="104"/>
      <c r="AW108" s="30" t="str">
        <f>IF(E108="","",VLOOKUP($B108,'F-1 Off-Site WaterC'' Baseline'!$C$9:$Z$257,12,FALSE))</f>
        <v/>
      </c>
      <c r="AX108" s="30" t="str">
        <f>IF(E108="","",VLOOKUP($B108,'F-1 Off-Site WaterC'' Baseline'!$C$9:$Z$257,14,FALSE))</f>
        <v/>
      </c>
      <c r="AY108" s="30" t="str">
        <f>IFERROR(INDEX('G-7 WaterC'' Data'!$AZ$3:$AZ$7,MATCH(N108,'G-7 WaterC'' Data'!$AY$3:$AY$7,0)),"")</f>
        <v/>
      </c>
      <c r="AZ108" s="30" t="str">
        <f>IF(B108="","",IF(ISNA(VLOOKUP($B108,'F-1 Off-Site WaterC'' Baseline'!$C$8:$AD$257,20,FALSE)),"",(VLOOKUP($B108,'F-1 Off-Site WaterC'' Baseline'!$C$8:$AD$257,20,FALSE))))</f>
        <v/>
      </c>
      <c r="BC108" s="30" t="str">
        <f>IF(B108="","",VLOOKUP($B108,'F-1 Off-Site WaterC'' Baseline'!$C$9:$AB$257,25,FALSE))</f>
        <v/>
      </c>
      <c r="BD108" s="30" t="str">
        <f t="shared" si="20"/>
        <v/>
      </c>
      <c r="BE108" s="30" t="str">
        <f>IF(B108="","",VLOOKUP($B108,'F-1 Off-Site WaterC'' Baseline'!$C$9:$AB$257,24,FALSE))</f>
        <v/>
      </c>
      <c r="BF108" s="30" t="str">
        <f>IF(B108="","",VLOOKUP($B108,'F-1 Off-Site WaterC'' Baseline'!$C$9:$AB$257,22,FALSE))</f>
        <v/>
      </c>
      <c r="BJ108" s="30" t="str">
        <f t="shared" si="21"/>
        <v>No</v>
      </c>
    </row>
    <row r="109" spans="2:62" ht="14">
      <c r="B109" s="305" t="str">
        <f>'F-1 Off-Site WaterC'' Baseline'!AS107</f>
        <v/>
      </c>
      <c r="C109" s="295" t="str">
        <f>IF(B109="","",VLOOKUP($B109,'F-1 Off-Site WaterC'' Baseline'!$C$9:$R$257,2,FALSE))</f>
        <v/>
      </c>
      <c r="D109" s="295" t="str">
        <f>IF(C109="","",VLOOKUP($B109,'F-1 Off-Site WaterC'' Baseline'!$C$9:$R$257,3,FALSE))</f>
        <v/>
      </c>
      <c r="E109" s="295" t="str">
        <f>IF(D109="","",VLOOKUP($B109,'F-1 Off-Site WaterC'' Baseline'!$C$9:$R$257,4,FALSE))</f>
        <v/>
      </c>
      <c r="F109" s="295" t="str">
        <f>IF(E109="","",VLOOKUP($B109,'F-1 Off-Site WaterC'' Baseline'!$C$9:$R$257,5,FALSE))</f>
        <v/>
      </c>
      <c r="G109" s="295" t="str">
        <f>IF(F109="","",VLOOKUP($B109,'F-1 Off-Site WaterC'' Baseline'!$C$9:$R$257,6,FALSE))</f>
        <v/>
      </c>
      <c r="H109" s="295" t="str">
        <f>IF(G109="","",VLOOKUP($B109,'F-1 Off-Site WaterC'' Baseline'!$C$9:$R$257,7,FALSE))</f>
        <v/>
      </c>
      <c r="I109" s="295" t="str">
        <f>IF(H109="","",VLOOKUP($B109,'F-1 Off-Site WaterC'' Baseline'!$C$9:$R$257,8,FALSE))</f>
        <v/>
      </c>
      <c r="J109" s="295" t="str">
        <f>IF(I109="","",VLOOKUP($B109,'F-1 Off-Site WaterC'' Baseline'!$C$9:$R$257,9,FALSE))</f>
        <v/>
      </c>
      <c r="K109" s="295" t="str">
        <f>IF(J109="","",VLOOKUP($B109,'F-1 Off-Site WaterC'' Baseline'!$C$9:$R$257,10,FALSE))</f>
        <v/>
      </c>
      <c r="L109" s="283" t="str">
        <f>IF(B109="","",VLOOKUP($B109,'F-1 Off-Site WaterC'' Baseline'!$C$9:$R$257,15,FALSE))</f>
        <v/>
      </c>
      <c r="M109" s="299" t="str">
        <f>IF(L109="","",VLOOKUP($B109,'F-1 Off-Site WaterC'' Baseline'!$C$9:$V$257,19,FALSE))</f>
        <v/>
      </c>
      <c r="N109" s="244"/>
      <c r="O109" s="275" t="str">
        <f t="shared" si="14"/>
        <v/>
      </c>
      <c r="P109" s="276" t="str">
        <f t="shared" si="15"/>
        <v/>
      </c>
      <c r="Q109" s="281" t="str">
        <f>IF(N109="","",VLOOKUP(B109,'F-1 Off-Site WaterC'' Baseline'!$C$10:$AF$257,23,FALSE))</f>
        <v/>
      </c>
      <c r="R109" s="275" t="str">
        <f>IF(N109="","",VLOOKUP(N109,'G-7 WaterC'' Data'!$B$2:$G$8,2,FALSE))</f>
        <v/>
      </c>
      <c r="S109" s="276" t="str">
        <f>IFERROR(VLOOKUP(R109,'G-7 WaterC'' Data'!$C$4:$D$8,2,FALSE),"")</f>
        <v/>
      </c>
      <c r="T109" s="101"/>
      <c r="U109" s="276" t="str">
        <f>IFERROR(INDEX('G-7 WaterC'' Data'!$H$4:$L$8,MATCH(N109,'G-7 WaterC'' Data'!$B$4:$B$8,0),MATCH(T109,'G-7 WaterC'' Data'!$H$3:$L$3,0)),"")</f>
        <v/>
      </c>
      <c r="V109" s="105"/>
      <c r="W109" s="295" t="str">
        <f>IF(V109="","",IF(VLOOKUP(V109,'G-7 WaterC'' Data'!$AK$4:$AM$6,2,FALSE)=0,"Spatial Data Missing ⚠",VLOOKUP(V109,'G-7 WaterC'' Data'!$AK$4:$AM$6,2,FALSE)))</f>
        <v/>
      </c>
      <c r="X109" s="299" t="str">
        <f>IF(V109="","",IF(VLOOKUP(V109,'G-7 WaterC'' Data'!$AK$4:$AM$6,3,FALSE)=0,"Spatial Data Missing ⚠",VLOOKUP(V109,'G-7 WaterC'' Data'!$AK$4:$AM$6,3,FALSE)))</f>
        <v/>
      </c>
      <c r="Y109" s="311" t="str">
        <f>IFERROR(IF(OR(LEFT(P109,5)="Error",LEFT(O109,5)="Error"),"Check Data ⚠",IF(F109&lt;S109,'G-7 WaterC'' Data'!$R$3,INDEX('G-7 WaterC'' Data'!$U$5:$Y$9,MATCH(G109,'G-7 WaterC'' Data'!$T$5:$T$9,0),MATCH(T109,'G-7 WaterC'' Data'!$U$4:$Y$4,0)))),"")</f>
        <v/>
      </c>
      <c r="Z109" s="138"/>
      <c r="AA109" s="138"/>
      <c r="AB109" s="308" t="str">
        <f t="shared" si="11"/>
        <v/>
      </c>
      <c r="AC109" s="296" t="str">
        <f t="shared" si="16"/>
        <v/>
      </c>
      <c r="AD109" s="334" t="str">
        <f>IFERROR(IF(AC109="Check Data ⚠","Check Data ⚠",VLOOKUP(AC109,'G-4 Temporal multipliers'!$A$4:$C$37,3,FALSE)),"")</f>
        <v/>
      </c>
      <c r="AE109" s="311" t="str">
        <f>IF(N109="","",VLOOKUP(N109,'G-7 WaterC'' Data'!$B$4:$G$8,5,FALSE))</f>
        <v/>
      </c>
      <c r="AF109" s="295" t="str">
        <f t="shared" si="12"/>
        <v/>
      </c>
      <c r="AG109" s="295" t="str">
        <f t="shared" si="17"/>
        <v/>
      </c>
      <c r="AH109" s="276" t="str">
        <f t="shared" si="13"/>
        <v/>
      </c>
      <c r="AI109" s="105"/>
      <c r="AJ109" s="276" t="str">
        <f>IF(AI109="","",(IF(AND(AI109="N/A - Culvert",N109&lt;&gt;"Culvert"),"Not possible ▲",IF(VLOOKUP(AI109,'G-7 WaterC'' Data'!$AA$4:$AB$7,2,FALSE)=0,"Spatial Data Missing ⚠",VLOOKUP(AI109,'G-7 WaterC'' Data'!$AA$4:$AB$7,2,FALSE)))))</f>
        <v/>
      </c>
      <c r="AK109" s="106"/>
      <c r="AL109" s="310" t="str">
        <f>IF(AK109="","",IF(AND(AK109="N/A - Culvert",N109&lt;&gt;"Culvert"),"Not possible ▲",IF(VLOOKUP(AK109,'G-7 WaterC'' Data'!$AD$4:$AE$14,2,FALSE)=0,"Spatial Data Missing ⚠",VLOOKUP(AK109,'G-7 WaterC'' Data'!$AD$4:$AE$14,2,FALSE))))</f>
        <v/>
      </c>
      <c r="AM109" s="275" t="str">
        <f>IF(B109="","",VLOOKUP($B109,'F-1 Off-Site WaterC'' Baseline'!$C$9:$Z$257,17,FALSE))</f>
        <v/>
      </c>
      <c r="AN109" s="276" t="str">
        <f>IF(AM109="","",IF(VLOOKUP(AM109,'G-7 WaterC'' Data'!$AO$4:$BO$7,2,FALSE)=0,"Spatial Data Missing ⚠",VLOOKUP(AM109,'G-7 WaterC'' Data'!$AO$4:$BO$7,2,FALSE)))</f>
        <v/>
      </c>
      <c r="AO109" s="317" t="str">
        <f t="shared" si="18"/>
        <v/>
      </c>
      <c r="AP109" s="317" t="str">
        <f t="shared" si="19"/>
        <v/>
      </c>
      <c r="AQ109" s="101"/>
      <c r="AR109" s="115"/>
      <c r="AS109" s="104"/>
      <c r="AT109" s="104"/>
      <c r="AW109" s="30" t="str">
        <f>IF(E109="","",VLOOKUP($B109,'F-1 Off-Site WaterC'' Baseline'!$C$9:$Z$257,12,FALSE))</f>
        <v/>
      </c>
      <c r="AX109" s="30" t="str">
        <f>IF(E109="","",VLOOKUP($B109,'F-1 Off-Site WaterC'' Baseline'!$C$9:$Z$257,14,FALSE))</f>
        <v/>
      </c>
      <c r="AY109" s="30" t="str">
        <f>IFERROR(INDEX('G-7 WaterC'' Data'!$AZ$3:$AZ$7,MATCH(N109,'G-7 WaterC'' Data'!$AY$3:$AY$7,0)),"")</f>
        <v/>
      </c>
      <c r="AZ109" s="30" t="str">
        <f>IF(B109="","",IF(ISNA(VLOOKUP($B109,'F-1 Off-Site WaterC'' Baseline'!$C$8:$AD$257,20,FALSE)),"",(VLOOKUP($B109,'F-1 Off-Site WaterC'' Baseline'!$C$8:$AD$257,20,FALSE))))</f>
        <v/>
      </c>
      <c r="BC109" s="30" t="str">
        <f>IF(B109="","",VLOOKUP($B109,'F-1 Off-Site WaterC'' Baseline'!$C$9:$AB$257,25,FALSE))</f>
        <v/>
      </c>
      <c r="BD109" s="30" t="str">
        <f t="shared" si="20"/>
        <v/>
      </c>
      <c r="BE109" s="30" t="str">
        <f>IF(B109="","",VLOOKUP($B109,'F-1 Off-Site WaterC'' Baseline'!$C$9:$AB$257,24,FALSE))</f>
        <v/>
      </c>
      <c r="BF109" s="30" t="str">
        <f>IF(B109="","",VLOOKUP($B109,'F-1 Off-Site WaterC'' Baseline'!$C$9:$AB$257,22,FALSE))</f>
        <v/>
      </c>
      <c r="BJ109" s="30" t="str">
        <f t="shared" si="21"/>
        <v>No</v>
      </c>
    </row>
    <row r="110" spans="2:62" ht="14">
      <c r="B110" s="305" t="str">
        <f>'F-1 Off-Site WaterC'' Baseline'!AS108</f>
        <v/>
      </c>
      <c r="C110" s="295" t="str">
        <f>IF(B110="","",VLOOKUP($B110,'F-1 Off-Site WaterC'' Baseline'!$C$9:$R$257,2,FALSE))</f>
        <v/>
      </c>
      <c r="D110" s="295" t="str">
        <f>IF(C110="","",VLOOKUP($B110,'F-1 Off-Site WaterC'' Baseline'!$C$9:$R$257,3,FALSE))</f>
        <v/>
      </c>
      <c r="E110" s="295" t="str">
        <f>IF(D110="","",VLOOKUP($B110,'F-1 Off-Site WaterC'' Baseline'!$C$9:$R$257,4,FALSE))</f>
        <v/>
      </c>
      <c r="F110" s="295" t="str">
        <f>IF(E110="","",VLOOKUP($B110,'F-1 Off-Site WaterC'' Baseline'!$C$9:$R$257,5,FALSE))</f>
        <v/>
      </c>
      <c r="G110" s="295" t="str">
        <f>IF(F110="","",VLOOKUP($B110,'F-1 Off-Site WaterC'' Baseline'!$C$9:$R$257,6,FALSE))</f>
        <v/>
      </c>
      <c r="H110" s="295" t="str">
        <f>IF(G110="","",VLOOKUP($B110,'F-1 Off-Site WaterC'' Baseline'!$C$9:$R$257,7,FALSE))</f>
        <v/>
      </c>
      <c r="I110" s="295" t="str">
        <f>IF(H110="","",VLOOKUP($B110,'F-1 Off-Site WaterC'' Baseline'!$C$9:$R$257,8,FALSE))</f>
        <v/>
      </c>
      <c r="J110" s="295" t="str">
        <f>IF(I110="","",VLOOKUP($B110,'F-1 Off-Site WaterC'' Baseline'!$C$9:$R$257,9,FALSE))</f>
        <v/>
      </c>
      <c r="K110" s="295" t="str">
        <f>IF(J110="","",VLOOKUP($B110,'F-1 Off-Site WaterC'' Baseline'!$C$9:$R$257,10,FALSE))</f>
        <v/>
      </c>
      <c r="L110" s="283" t="str">
        <f>IF(B110="","",VLOOKUP($B110,'F-1 Off-Site WaterC'' Baseline'!$C$9:$R$257,15,FALSE))</f>
        <v/>
      </c>
      <c r="M110" s="299" t="str">
        <f>IF(L110="","",VLOOKUP($B110,'F-1 Off-Site WaterC'' Baseline'!$C$9:$V$257,19,FALSE))</f>
        <v/>
      </c>
      <c r="N110" s="244"/>
      <c r="O110" s="275" t="str">
        <f t="shared" si="14"/>
        <v/>
      </c>
      <c r="P110" s="276" t="str">
        <f t="shared" si="15"/>
        <v/>
      </c>
      <c r="Q110" s="281" t="str">
        <f>IF(N110="","",VLOOKUP(B110,'F-1 Off-Site WaterC'' Baseline'!$C$10:$AF$257,23,FALSE))</f>
        <v/>
      </c>
      <c r="R110" s="275" t="str">
        <f>IF(N110="","",VLOOKUP(N110,'G-7 WaterC'' Data'!$B$2:$G$8,2,FALSE))</f>
        <v/>
      </c>
      <c r="S110" s="276" t="str">
        <f>IFERROR(VLOOKUP(R110,'G-7 WaterC'' Data'!$C$4:$D$8,2,FALSE),"")</f>
        <v/>
      </c>
      <c r="T110" s="101"/>
      <c r="U110" s="276" t="str">
        <f>IFERROR(INDEX('G-7 WaterC'' Data'!$H$4:$L$8,MATCH(N110,'G-7 WaterC'' Data'!$B$4:$B$8,0),MATCH(T110,'G-7 WaterC'' Data'!$H$3:$L$3,0)),"")</f>
        <v/>
      </c>
      <c r="V110" s="105"/>
      <c r="W110" s="295" t="str">
        <f>IF(V110="","",IF(VLOOKUP(V110,'G-7 WaterC'' Data'!$AK$4:$AM$6,2,FALSE)=0,"Spatial Data Missing ⚠",VLOOKUP(V110,'G-7 WaterC'' Data'!$AK$4:$AM$6,2,FALSE)))</f>
        <v/>
      </c>
      <c r="X110" s="299" t="str">
        <f>IF(V110="","",IF(VLOOKUP(V110,'G-7 WaterC'' Data'!$AK$4:$AM$6,3,FALSE)=0,"Spatial Data Missing ⚠",VLOOKUP(V110,'G-7 WaterC'' Data'!$AK$4:$AM$6,3,FALSE)))</f>
        <v/>
      </c>
      <c r="Y110" s="311" t="str">
        <f>IFERROR(IF(OR(LEFT(P110,5)="Error",LEFT(O110,5)="Error"),"Check Data ⚠",IF(F110&lt;S110,'G-7 WaterC'' Data'!$R$3,INDEX('G-7 WaterC'' Data'!$U$5:$Y$9,MATCH(G110,'G-7 WaterC'' Data'!$T$5:$T$9,0),MATCH(T110,'G-7 WaterC'' Data'!$U$4:$Y$4,0)))),"")</f>
        <v/>
      </c>
      <c r="Z110" s="138"/>
      <c r="AA110" s="138"/>
      <c r="AB110" s="308" t="str">
        <f t="shared" si="11"/>
        <v/>
      </c>
      <c r="AC110" s="296" t="str">
        <f t="shared" si="16"/>
        <v/>
      </c>
      <c r="AD110" s="334" t="str">
        <f>IFERROR(IF(AC110="Check Data ⚠","Check Data ⚠",VLOOKUP(AC110,'G-4 Temporal multipliers'!$A$4:$C$37,3,FALSE)),"")</f>
        <v/>
      </c>
      <c r="AE110" s="311" t="str">
        <f>IF(N110="","",VLOOKUP(N110,'G-7 WaterC'' Data'!$B$4:$G$8,5,FALSE))</f>
        <v/>
      </c>
      <c r="AF110" s="295" t="str">
        <f t="shared" si="12"/>
        <v/>
      </c>
      <c r="AG110" s="295" t="str">
        <f t="shared" si="17"/>
        <v/>
      </c>
      <c r="AH110" s="276" t="str">
        <f t="shared" si="13"/>
        <v/>
      </c>
      <c r="AI110" s="105"/>
      <c r="AJ110" s="276" t="str">
        <f>IF(AI110="","",(IF(AND(AI110="N/A - Culvert",N110&lt;&gt;"Culvert"),"Not possible ▲",IF(VLOOKUP(AI110,'G-7 WaterC'' Data'!$AA$4:$AB$7,2,FALSE)=0,"Spatial Data Missing ⚠",VLOOKUP(AI110,'G-7 WaterC'' Data'!$AA$4:$AB$7,2,FALSE)))))</f>
        <v/>
      </c>
      <c r="AK110" s="106"/>
      <c r="AL110" s="310" t="str">
        <f>IF(AK110="","",IF(AND(AK110="N/A - Culvert",N110&lt;&gt;"Culvert"),"Not possible ▲",IF(VLOOKUP(AK110,'G-7 WaterC'' Data'!$AD$4:$AE$14,2,FALSE)=0,"Spatial Data Missing ⚠",VLOOKUP(AK110,'G-7 WaterC'' Data'!$AD$4:$AE$14,2,FALSE))))</f>
        <v/>
      </c>
      <c r="AM110" s="275" t="str">
        <f>IF(B110="","",VLOOKUP($B110,'F-1 Off-Site WaterC'' Baseline'!$C$9:$Z$257,17,FALSE))</f>
        <v/>
      </c>
      <c r="AN110" s="276" t="str">
        <f>IF(AM110="","",IF(VLOOKUP(AM110,'G-7 WaterC'' Data'!$AO$4:$BO$7,2,FALSE)=0,"Spatial Data Missing ⚠",VLOOKUP(AM110,'G-7 WaterC'' Data'!$AO$4:$BO$7,2,FALSE)))</f>
        <v/>
      </c>
      <c r="AO110" s="317" t="str">
        <f t="shared" si="18"/>
        <v/>
      </c>
      <c r="AP110" s="317" t="str">
        <f t="shared" si="19"/>
        <v/>
      </c>
      <c r="AQ110" s="101"/>
      <c r="AR110" s="115"/>
      <c r="AS110" s="104"/>
      <c r="AT110" s="104"/>
      <c r="AW110" s="30" t="str">
        <f>IF(E110="","",VLOOKUP($B110,'F-1 Off-Site WaterC'' Baseline'!$C$9:$Z$257,12,FALSE))</f>
        <v/>
      </c>
      <c r="AX110" s="30" t="str">
        <f>IF(E110="","",VLOOKUP($B110,'F-1 Off-Site WaterC'' Baseline'!$C$9:$Z$257,14,FALSE))</f>
        <v/>
      </c>
      <c r="AY110" s="30" t="str">
        <f>IFERROR(INDEX('G-7 WaterC'' Data'!$AZ$3:$AZ$7,MATCH(N110,'G-7 WaterC'' Data'!$AY$3:$AY$7,0)),"")</f>
        <v/>
      </c>
      <c r="AZ110" s="30" t="str">
        <f>IF(B110="","",IF(ISNA(VLOOKUP($B110,'F-1 Off-Site WaterC'' Baseline'!$C$8:$AD$257,20,FALSE)),"",(VLOOKUP($B110,'F-1 Off-Site WaterC'' Baseline'!$C$8:$AD$257,20,FALSE))))</f>
        <v/>
      </c>
      <c r="BC110" s="30" t="str">
        <f>IF(B110="","",VLOOKUP($B110,'F-1 Off-Site WaterC'' Baseline'!$C$9:$AB$257,25,FALSE))</f>
        <v/>
      </c>
      <c r="BD110" s="30" t="str">
        <f t="shared" si="20"/>
        <v/>
      </c>
      <c r="BE110" s="30" t="str">
        <f>IF(B110="","",VLOOKUP($B110,'F-1 Off-Site WaterC'' Baseline'!$C$9:$AB$257,24,FALSE))</f>
        <v/>
      </c>
      <c r="BF110" s="30" t="str">
        <f>IF(B110="","",VLOOKUP($B110,'F-1 Off-Site WaterC'' Baseline'!$C$9:$AB$257,22,FALSE))</f>
        <v/>
      </c>
      <c r="BJ110" s="30" t="str">
        <f t="shared" si="21"/>
        <v>No</v>
      </c>
    </row>
    <row r="111" spans="2:62" ht="14">
      <c r="B111" s="305" t="str">
        <f>'F-1 Off-Site WaterC'' Baseline'!AS109</f>
        <v/>
      </c>
      <c r="C111" s="295" t="str">
        <f>IF(B111="","",VLOOKUP($B111,'F-1 Off-Site WaterC'' Baseline'!$C$9:$R$257,2,FALSE))</f>
        <v/>
      </c>
      <c r="D111" s="295" t="str">
        <f>IF(C111="","",VLOOKUP($B111,'F-1 Off-Site WaterC'' Baseline'!$C$9:$R$257,3,FALSE))</f>
        <v/>
      </c>
      <c r="E111" s="295" t="str">
        <f>IF(D111="","",VLOOKUP($B111,'F-1 Off-Site WaterC'' Baseline'!$C$9:$R$257,4,FALSE))</f>
        <v/>
      </c>
      <c r="F111" s="295" t="str">
        <f>IF(E111="","",VLOOKUP($B111,'F-1 Off-Site WaterC'' Baseline'!$C$9:$R$257,5,FALSE))</f>
        <v/>
      </c>
      <c r="G111" s="295" t="str">
        <f>IF(F111="","",VLOOKUP($B111,'F-1 Off-Site WaterC'' Baseline'!$C$9:$R$257,6,FALSE))</f>
        <v/>
      </c>
      <c r="H111" s="295" t="str">
        <f>IF(G111="","",VLOOKUP($B111,'F-1 Off-Site WaterC'' Baseline'!$C$9:$R$257,7,FALSE))</f>
        <v/>
      </c>
      <c r="I111" s="295" t="str">
        <f>IF(H111="","",VLOOKUP($B111,'F-1 Off-Site WaterC'' Baseline'!$C$9:$R$257,8,FALSE))</f>
        <v/>
      </c>
      <c r="J111" s="295" t="str">
        <f>IF(I111="","",VLOOKUP($B111,'F-1 Off-Site WaterC'' Baseline'!$C$9:$R$257,9,FALSE))</f>
        <v/>
      </c>
      <c r="K111" s="295" t="str">
        <f>IF(J111="","",VLOOKUP($B111,'F-1 Off-Site WaterC'' Baseline'!$C$9:$R$257,10,FALSE))</f>
        <v/>
      </c>
      <c r="L111" s="283" t="str">
        <f>IF(B111="","",VLOOKUP($B111,'F-1 Off-Site WaterC'' Baseline'!$C$9:$R$257,15,FALSE))</f>
        <v/>
      </c>
      <c r="M111" s="299" t="str">
        <f>IF(L111="","",VLOOKUP($B111,'F-1 Off-Site WaterC'' Baseline'!$C$9:$V$257,19,FALSE))</f>
        <v/>
      </c>
      <c r="N111" s="244"/>
      <c r="O111" s="275" t="str">
        <f t="shared" si="14"/>
        <v/>
      </c>
      <c r="P111" s="276" t="str">
        <f t="shared" si="15"/>
        <v/>
      </c>
      <c r="Q111" s="281" t="str">
        <f>IF(N111="","",VLOOKUP(B111,'F-1 Off-Site WaterC'' Baseline'!$C$10:$AF$257,23,FALSE))</f>
        <v/>
      </c>
      <c r="R111" s="275" t="str">
        <f>IF(N111="","",VLOOKUP(N111,'G-7 WaterC'' Data'!$B$2:$G$8,2,FALSE))</f>
        <v/>
      </c>
      <c r="S111" s="276" t="str">
        <f>IFERROR(VLOOKUP(R111,'G-7 WaterC'' Data'!$C$4:$D$8,2,FALSE),"")</f>
        <v/>
      </c>
      <c r="T111" s="101"/>
      <c r="U111" s="276" t="str">
        <f>IFERROR(INDEX('G-7 WaterC'' Data'!$H$4:$L$8,MATCH(N111,'G-7 WaterC'' Data'!$B$4:$B$8,0),MATCH(T111,'G-7 WaterC'' Data'!$H$3:$L$3,0)),"")</f>
        <v/>
      </c>
      <c r="V111" s="105"/>
      <c r="W111" s="295" t="str">
        <f>IF(V111="","",IF(VLOOKUP(V111,'G-7 WaterC'' Data'!$AK$4:$AM$6,2,FALSE)=0,"Spatial Data Missing ⚠",VLOOKUP(V111,'G-7 WaterC'' Data'!$AK$4:$AM$6,2,FALSE)))</f>
        <v/>
      </c>
      <c r="X111" s="299" t="str">
        <f>IF(V111="","",IF(VLOOKUP(V111,'G-7 WaterC'' Data'!$AK$4:$AM$6,3,FALSE)=0,"Spatial Data Missing ⚠",VLOOKUP(V111,'G-7 WaterC'' Data'!$AK$4:$AM$6,3,FALSE)))</f>
        <v/>
      </c>
      <c r="Y111" s="311" t="str">
        <f>IFERROR(IF(OR(LEFT(P111,5)="Error",LEFT(O111,5)="Error"),"Check Data ⚠",IF(F111&lt;S111,'G-7 WaterC'' Data'!$R$3,INDEX('G-7 WaterC'' Data'!$U$5:$Y$9,MATCH(G111,'G-7 WaterC'' Data'!$T$5:$T$9,0),MATCH(T111,'G-7 WaterC'' Data'!$U$4:$Y$4,0)))),"")</f>
        <v/>
      </c>
      <c r="Z111" s="138"/>
      <c r="AA111" s="138"/>
      <c r="AB111" s="308" t="str">
        <f t="shared" si="11"/>
        <v/>
      </c>
      <c r="AC111" s="296" t="str">
        <f t="shared" si="16"/>
        <v/>
      </c>
      <c r="AD111" s="334" t="str">
        <f>IFERROR(IF(AC111="Check Data ⚠","Check Data ⚠",VLOOKUP(AC111,'G-4 Temporal multipliers'!$A$4:$C$37,3,FALSE)),"")</f>
        <v/>
      </c>
      <c r="AE111" s="311" t="str">
        <f>IF(N111="","",VLOOKUP(N111,'G-7 WaterC'' Data'!$B$4:$G$8,5,FALSE))</f>
        <v/>
      </c>
      <c r="AF111" s="295" t="str">
        <f t="shared" si="12"/>
        <v/>
      </c>
      <c r="AG111" s="295" t="str">
        <f t="shared" si="17"/>
        <v/>
      </c>
      <c r="AH111" s="276" t="str">
        <f t="shared" si="13"/>
        <v/>
      </c>
      <c r="AI111" s="105"/>
      <c r="AJ111" s="276" t="str">
        <f>IF(AI111="","",(IF(AND(AI111="N/A - Culvert",N111&lt;&gt;"Culvert"),"Not possible ▲",IF(VLOOKUP(AI111,'G-7 WaterC'' Data'!$AA$4:$AB$7,2,FALSE)=0,"Spatial Data Missing ⚠",VLOOKUP(AI111,'G-7 WaterC'' Data'!$AA$4:$AB$7,2,FALSE)))))</f>
        <v/>
      </c>
      <c r="AK111" s="106"/>
      <c r="AL111" s="310" t="str">
        <f>IF(AK111="","",IF(AND(AK111="N/A - Culvert",N111&lt;&gt;"Culvert"),"Not possible ▲",IF(VLOOKUP(AK111,'G-7 WaterC'' Data'!$AD$4:$AE$14,2,FALSE)=0,"Spatial Data Missing ⚠",VLOOKUP(AK111,'G-7 WaterC'' Data'!$AD$4:$AE$14,2,FALSE))))</f>
        <v/>
      </c>
      <c r="AM111" s="275" t="str">
        <f>IF(B111="","",VLOOKUP($B111,'F-1 Off-Site WaterC'' Baseline'!$C$9:$Z$257,17,FALSE))</f>
        <v/>
      </c>
      <c r="AN111" s="276" t="str">
        <f>IF(AM111="","",IF(VLOOKUP(AM111,'G-7 WaterC'' Data'!$AO$4:$BO$7,2,FALSE)=0,"Spatial Data Missing ⚠",VLOOKUP(AM111,'G-7 WaterC'' Data'!$AO$4:$BO$7,2,FALSE)))</f>
        <v/>
      </c>
      <c r="AO111" s="317" t="str">
        <f t="shared" si="18"/>
        <v/>
      </c>
      <c r="AP111" s="317" t="str">
        <f t="shared" si="19"/>
        <v/>
      </c>
      <c r="AQ111" s="101"/>
      <c r="AR111" s="115"/>
      <c r="AS111" s="104"/>
      <c r="AT111" s="104"/>
      <c r="AW111" s="30" t="str">
        <f>IF(E111="","",VLOOKUP($B111,'F-1 Off-Site WaterC'' Baseline'!$C$9:$Z$257,12,FALSE))</f>
        <v/>
      </c>
      <c r="AX111" s="30" t="str">
        <f>IF(E111="","",VLOOKUP($B111,'F-1 Off-Site WaterC'' Baseline'!$C$9:$Z$257,14,FALSE))</f>
        <v/>
      </c>
      <c r="AY111" s="30" t="str">
        <f>IFERROR(INDEX('G-7 WaterC'' Data'!$AZ$3:$AZ$7,MATCH(N111,'G-7 WaterC'' Data'!$AY$3:$AY$7,0)),"")</f>
        <v/>
      </c>
      <c r="AZ111" s="30" t="str">
        <f>IF(B111="","",IF(ISNA(VLOOKUP($B111,'F-1 Off-Site WaterC'' Baseline'!$C$8:$AD$257,20,FALSE)),"",(VLOOKUP($B111,'F-1 Off-Site WaterC'' Baseline'!$C$8:$AD$257,20,FALSE))))</f>
        <v/>
      </c>
      <c r="BC111" s="30" t="str">
        <f>IF(B111="","",VLOOKUP($B111,'F-1 Off-Site WaterC'' Baseline'!$C$9:$AB$257,25,FALSE))</f>
        <v/>
      </c>
      <c r="BD111" s="30" t="str">
        <f t="shared" si="20"/>
        <v/>
      </c>
      <c r="BE111" s="30" t="str">
        <f>IF(B111="","",VLOOKUP($B111,'F-1 Off-Site WaterC'' Baseline'!$C$9:$AB$257,24,FALSE))</f>
        <v/>
      </c>
      <c r="BF111" s="30" t="str">
        <f>IF(B111="","",VLOOKUP($B111,'F-1 Off-Site WaterC'' Baseline'!$C$9:$AB$257,22,FALSE))</f>
        <v/>
      </c>
      <c r="BJ111" s="30" t="str">
        <f t="shared" si="21"/>
        <v>No</v>
      </c>
    </row>
    <row r="112" spans="2:62" ht="14">
      <c r="B112" s="305" t="str">
        <f>'F-1 Off-Site WaterC'' Baseline'!AS110</f>
        <v/>
      </c>
      <c r="C112" s="295" t="str">
        <f>IF(B112="","",VLOOKUP($B112,'F-1 Off-Site WaterC'' Baseline'!$C$9:$R$257,2,FALSE))</f>
        <v/>
      </c>
      <c r="D112" s="295" t="str">
        <f>IF(C112="","",VLOOKUP($B112,'F-1 Off-Site WaterC'' Baseline'!$C$9:$R$257,3,FALSE))</f>
        <v/>
      </c>
      <c r="E112" s="295" t="str">
        <f>IF(D112="","",VLOOKUP($B112,'F-1 Off-Site WaterC'' Baseline'!$C$9:$R$257,4,FALSE))</f>
        <v/>
      </c>
      <c r="F112" s="295" t="str">
        <f>IF(E112="","",VLOOKUP($B112,'F-1 Off-Site WaterC'' Baseline'!$C$9:$R$257,5,FALSE))</f>
        <v/>
      </c>
      <c r="G112" s="295" t="str">
        <f>IF(F112="","",VLOOKUP($B112,'F-1 Off-Site WaterC'' Baseline'!$C$9:$R$257,6,FALSE))</f>
        <v/>
      </c>
      <c r="H112" s="295" t="str">
        <f>IF(G112="","",VLOOKUP($B112,'F-1 Off-Site WaterC'' Baseline'!$C$9:$R$257,7,FALSE))</f>
        <v/>
      </c>
      <c r="I112" s="295" t="str">
        <f>IF(H112="","",VLOOKUP($B112,'F-1 Off-Site WaterC'' Baseline'!$C$9:$R$257,8,FALSE))</f>
        <v/>
      </c>
      <c r="J112" s="295" t="str">
        <f>IF(I112="","",VLOOKUP($B112,'F-1 Off-Site WaterC'' Baseline'!$C$9:$R$257,9,FALSE))</f>
        <v/>
      </c>
      <c r="K112" s="295" t="str">
        <f>IF(J112="","",VLOOKUP($B112,'F-1 Off-Site WaterC'' Baseline'!$C$9:$R$257,10,FALSE))</f>
        <v/>
      </c>
      <c r="L112" s="283" t="str">
        <f>IF(B112="","",VLOOKUP($B112,'F-1 Off-Site WaterC'' Baseline'!$C$9:$R$257,15,FALSE))</f>
        <v/>
      </c>
      <c r="M112" s="299" t="str">
        <f>IF(L112="","",VLOOKUP($B112,'F-1 Off-Site WaterC'' Baseline'!$C$9:$V$257,19,FALSE))</f>
        <v/>
      </c>
      <c r="N112" s="244"/>
      <c r="O112" s="275" t="str">
        <f t="shared" si="14"/>
        <v/>
      </c>
      <c r="P112" s="276" t="str">
        <f t="shared" si="15"/>
        <v/>
      </c>
      <c r="Q112" s="281" t="str">
        <f>IF(N112="","",VLOOKUP(B112,'F-1 Off-Site WaterC'' Baseline'!$C$10:$AF$257,23,FALSE))</f>
        <v/>
      </c>
      <c r="R112" s="275" t="str">
        <f>IF(N112="","",VLOOKUP(N112,'G-7 WaterC'' Data'!$B$2:$G$8,2,FALSE))</f>
        <v/>
      </c>
      <c r="S112" s="276" t="str">
        <f>IFERROR(VLOOKUP(R112,'G-7 WaterC'' Data'!$C$4:$D$8,2,FALSE),"")</f>
        <v/>
      </c>
      <c r="T112" s="101"/>
      <c r="U112" s="276" t="str">
        <f>IFERROR(INDEX('G-7 WaterC'' Data'!$H$4:$L$8,MATCH(N112,'G-7 WaterC'' Data'!$B$4:$B$8,0),MATCH(T112,'G-7 WaterC'' Data'!$H$3:$L$3,0)),"")</f>
        <v/>
      </c>
      <c r="V112" s="105"/>
      <c r="W112" s="295" t="str">
        <f>IF(V112="","",IF(VLOOKUP(V112,'G-7 WaterC'' Data'!$AK$4:$AM$6,2,FALSE)=0,"Spatial Data Missing ⚠",VLOOKUP(V112,'G-7 WaterC'' Data'!$AK$4:$AM$6,2,FALSE)))</f>
        <v/>
      </c>
      <c r="X112" s="299" t="str">
        <f>IF(V112="","",IF(VLOOKUP(V112,'G-7 WaterC'' Data'!$AK$4:$AM$6,3,FALSE)=0,"Spatial Data Missing ⚠",VLOOKUP(V112,'G-7 WaterC'' Data'!$AK$4:$AM$6,3,FALSE)))</f>
        <v/>
      </c>
      <c r="Y112" s="311" t="str">
        <f>IFERROR(IF(OR(LEFT(P112,5)="Error",LEFT(O112,5)="Error"),"Check Data ⚠",IF(F112&lt;S112,'G-7 WaterC'' Data'!$R$3,INDEX('G-7 WaterC'' Data'!$U$5:$Y$9,MATCH(G112,'G-7 WaterC'' Data'!$T$5:$T$9,0),MATCH(T112,'G-7 WaterC'' Data'!$U$4:$Y$4,0)))),"")</f>
        <v/>
      </c>
      <c r="Z112" s="138"/>
      <c r="AA112" s="138"/>
      <c r="AB112" s="308" t="str">
        <f t="shared" si="11"/>
        <v/>
      </c>
      <c r="AC112" s="296" t="str">
        <f t="shared" si="16"/>
        <v/>
      </c>
      <c r="AD112" s="334" t="str">
        <f>IFERROR(IF(AC112="Check Data ⚠","Check Data ⚠",VLOOKUP(AC112,'G-4 Temporal multipliers'!$A$4:$C$37,3,FALSE)),"")</f>
        <v/>
      </c>
      <c r="AE112" s="311" t="str">
        <f>IF(N112="","",VLOOKUP(N112,'G-7 WaterC'' Data'!$B$4:$G$8,5,FALSE))</f>
        <v/>
      </c>
      <c r="AF112" s="295" t="str">
        <f t="shared" si="12"/>
        <v/>
      </c>
      <c r="AG112" s="295" t="str">
        <f t="shared" si="17"/>
        <v/>
      </c>
      <c r="AH112" s="276" t="str">
        <f t="shared" si="13"/>
        <v/>
      </c>
      <c r="AI112" s="105"/>
      <c r="AJ112" s="276" t="str">
        <f>IF(AI112="","",(IF(AND(AI112="N/A - Culvert",N112&lt;&gt;"Culvert"),"Not possible ▲",IF(VLOOKUP(AI112,'G-7 WaterC'' Data'!$AA$4:$AB$7,2,FALSE)=0,"Spatial Data Missing ⚠",VLOOKUP(AI112,'G-7 WaterC'' Data'!$AA$4:$AB$7,2,FALSE)))))</f>
        <v/>
      </c>
      <c r="AK112" s="106"/>
      <c r="AL112" s="310" t="str">
        <f>IF(AK112="","",IF(AND(AK112="N/A - Culvert",N112&lt;&gt;"Culvert"),"Not possible ▲",IF(VLOOKUP(AK112,'G-7 WaterC'' Data'!$AD$4:$AE$14,2,FALSE)=0,"Spatial Data Missing ⚠",VLOOKUP(AK112,'G-7 WaterC'' Data'!$AD$4:$AE$14,2,FALSE))))</f>
        <v/>
      </c>
      <c r="AM112" s="275" t="str">
        <f>IF(B112="","",VLOOKUP($B112,'F-1 Off-Site WaterC'' Baseline'!$C$9:$Z$257,17,FALSE))</f>
        <v/>
      </c>
      <c r="AN112" s="276" t="str">
        <f>IF(AM112="","",IF(VLOOKUP(AM112,'G-7 WaterC'' Data'!$AO$4:$BO$7,2,FALSE)=0,"Spatial Data Missing ⚠",VLOOKUP(AM112,'G-7 WaterC'' Data'!$AO$4:$BO$7,2,FALSE)))</f>
        <v/>
      </c>
      <c r="AO112" s="317" t="str">
        <f t="shared" si="18"/>
        <v/>
      </c>
      <c r="AP112" s="317" t="str">
        <f t="shared" si="19"/>
        <v/>
      </c>
      <c r="AQ112" s="101"/>
      <c r="AR112" s="115"/>
      <c r="AS112" s="104"/>
      <c r="AT112" s="104"/>
      <c r="AW112" s="30" t="str">
        <f>IF(E112="","",VLOOKUP($B112,'F-1 Off-Site WaterC'' Baseline'!$C$9:$Z$257,12,FALSE))</f>
        <v/>
      </c>
      <c r="AX112" s="30" t="str">
        <f>IF(E112="","",VLOOKUP($B112,'F-1 Off-Site WaterC'' Baseline'!$C$9:$Z$257,14,FALSE))</f>
        <v/>
      </c>
      <c r="AY112" s="30" t="str">
        <f>IFERROR(INDEX('G-7 WaterC'' Data'!$AZ$3:$AZ$7,MATCH(N112,'G-7 WaterC'' Data'!$AY$3:$AY$7,0)),"")</f>
        <v/>
      </c>
      <c r="AZ112" s="30" t="str">
        <f>IF(B112="","",IF(ISNA(VLOOKUP($B112,'F-1 Off-Site WaterC'' Baseline'!$C$8:$AD$257,20,FALSE)),"",(VLOOKUP($B112,'F-1 Off-Site WaterC'' Baseline'!$C$8:$AD$257,20,FALSE))))</f>
        <v/>
      </c>
      <c r="BC112" s="30" t="str">
        <f>IF(B112="","",VLOOKUP($B112,'F-1 Off-Site WaterC'' Baseline'!$C$9:$AB$257,25,FALSE))</f>
        <v/>
      </c>
      <c r="BD112" s="30" t="str">
        <f t="shared" si="20"/>
        <v/>
      </c>
      <c r="BE112" s="30" t="str">
        <f>IF(B112="","",VLOOKUP($B112,'F-1 Off-Site WaterC'' Baseline'!$C$9:$AB$257,24,FALSE))</f>
        <v/>
      </c>
      <c r="BF112" s="30" t="str">
        <f>IF(B112="","",VLOOKUP($B112,'F-1 Off-Site WaterC'' Baseline'!$C$9:$AB$257,22,FALSE))</f>
        <v/>
      </c>
      <c r="BJ112" s="30" t="str">
        <f t="shared" si="21"/>
        <v>No</v>
      </c>
    </row>
    <row r="113" spans="2:62" ht="14">
      <c r="B113" s="305" t="str">
        <f>'F-1 Off-Site WaterC'' Baseline'!AS111</f>
        <v/>
      </c>
      <c r="C113" s="295" t="str">
        <f>IF(B113="","",VLOOKUP($B113,'F-1 Off-Site WaterC'' Baseline'!$C$9:$R$257,2,FALSE))</f>
        <v/>
      </c>
      <c r="D113" s="295" t="str">
        <f>IF(C113="","",VLOOKUP($B113,'F-1 Off-Site WaterC'' Baseline'!$C$9:$R$257,3,FALSE))</f>
        <v/>
      </c>
      <c r="E113" s="295" t="str">
        <f>IF(D113="","",VLOOKUP($B113,'F-1 Off-Site WaterC'' Baseline'!$C$9:$R$257,4,FALSE))</f>
        <v/>
      </c>
      <c r="F113" s="295" t="str">
        <f>IF(E113="","",VLOOKUP($B113,'F-1 Off-Site WaterC'' Baseline'!$C$9:$R$257,5,FALSE))</f>
        <v/>
      </c>
      <c r="G113" s="295" t="str">
        <f>IF(F113="","",VLOOKUP($B113,'F-1 Off-Site WaterC'' Baseline'!$C$9:$R$257,6,FALSE))</f>
        <v/>
      </c>
      <c r="H113" s="295" t="str">
        <f>IF(G113="","",VLOOKUP($B113,'F-1 Off-Site WaterC'' Baseline'!$C$9:$R$257,7,FALSE))</f>
        <v/>
      </c>
      <c r="I113" s="295" t="str">
        <f>IF(H113="","",VLOOKUP($B113,'F-1 Off-Site WaterC'' Baseline'!$C$9:$R$257,8,FALSE))</f>
        <v/>
      </c>
      <c r="J113" s="295" t="str">
        <f>IF(I113="","",VLOOKUP($B113,'F-1 Off-Site WaterC'' Baseline'!$C$9:$R$257,9,FALSE))</f>
        <v/>
      </c>
      <c r="K113" s="295" t="str">
        <f>IF(J113="","",VLOOKUP($B113,'F-1 Off-Site WaterC'' Baseline'!$C$9:$R$257,10,FALSE))</f>
        <v/>
      </c>
      <c r="L113" s="283" t="str">
        <f>IF(B113="","",VLOOKUP($B113,'F-1 Off-Site WaterC'' Baseline'!$C$9:$R$257,15,FALSE))</f>
        <v/>
      </c>
      <c r="M113" s="299" t="str">
        <f>IF(L113="","",VLOOKUP($B113,'F-1 Off-Site WaterC'' Baseline'!$C$9:$V$257,19,FALSE))</f>
        <v/>
      </c>
      <c r="N113" s="244"/>
      <c r="O113" s="275" t="str">
        <f t="shared" si="14"/>
        <v/>
      </c>
      <c r="P113" s="276" t="str">
        <f t="shared" si="15"/>
        <v/>
      </c>
      <c r="Q113" s="281" t="str">
        <f>IF(N113="","",VLOOKUP(B113,'F-1 Off-Site WaterC'' Baseline'!$C$10:$AF$257,23,FALSE))</f>
        <v/>
      </c>
      <c r="R113" s="275" t="str">
        <f>IF(N113="","",VLOOKUP(N113,'G-7 WaterC'' Data'!$B$2:$G$8,2,FALSE))</f>
        <v/>
      </c>
      <c r="S113" s="276" t="str">
        <f>IFERROR(VLOOKUP(R113,'G-7 WaterC'' Data'!$C$4:$D$8,2,FALSE),"")</f>
        <v/>
      </c>
      <c r="T113" s="101"/>
      <c r="U113" s="276" t="str">
        <f>IFERROR(INDEX('G-7 WaterC'' Data'!$H$4:$L$8,MATCH(N113,'G-7 WaterC'' Data'!$B$4:$B$8,0),MATCH(T113,'G-7 WaterC'' Data'!$H$3:$L$3,0)),"")</f>
        <v/>
      </c>
      <c r="V113" s="105"/>
      <c r="W113" s="295" t="str">
        <f>IF(V113="","",IF(VLOOKUP(V113,'G-7 WaterC'' Data'!$AK$4:$AM$6,2,FALSE)=0,"Spatial Data Missing ⚠",VLOOKUP(V113,'G-7 WaterC'' Data'!$AK$4:$AM$6,2,FALSE)))</f>
        <v/>
      </c>
      <c r="X113" s="299" t="str">
        <f>IF(V113="","",IF(VLOOKUP(V113,'G-7 WaterC'' Data'!$AK$4:$AM$6,3,FALSE)=0,"Spatial Data Missing ⚠",VLOOKUP(V113,'G-7 WaterC'' Data'!$AK$4:$AM$6,3,FALSE)))</f>
        <v/>
      </c>
      <c r="Y113" s="311" t="str">
        <f>IFERROR(IF(OR(LEFT(P113,5)="Error",LEFT(O113,5)="Error"),"Check Data ⚠",IF(F113&lt;S113,'G-7 WaterC'' Data'!$R$3,INDEX('G-7 WaterC'' Data'!$U$5:$Y$9,MATCH(G113,'G-7 WaterC'' Data'!$T$5:$T$9,0),MATCH(T113,'G-7 WaterC'' Data'!$U$4:$Y$4,0)))),"")</f>
        <v/>
      </c>
      <c r="Z113" s="138"/>
      <c r="AA113" s="138"/>
      <c r="AB113" s="308" t="str">
        <f t="shared" si="11"/>
        <v/>
      </c>
      <c r="AC113" s="296" t="str">
        <f t="shared" si="16"/>
        <v/>
      </c>
      <c r="AD113" s="334" t="str">
        <f>IFERROR(IF(AC113="Check Data ⚠","Check Data ⚠",VLOOKUP(AC113,'G-4 Temporal multipliers'!$A$4:$C$37,3,FALSE)),"")</f>
        <v/>
      </c>
      <c r="AE113" s="311" t="str">
        <f>IF(N113="","",VLOOKUP(N113,'G-7 WaterC'' Data'!$B$4:$G$8,5,FALSE))</f>
        <v/>
      </c>
      <c r="AF113" s="295" t="str">
        <f t="shared" si="12"/>
        <v/>
      </c>
      <c r="AG113" s="295" t="str">
        <f t="shared" si="17"/>
        <v/>
      </c>
      <c r="AH113" s="276" t="str">
        <f t="shared" si="13"/>
        <v/>
      </c>
      <c r="AI113" s="105"/>
      <c r="AJ113" s="276" t="str">
        <f>IF(AI113="","",(IF(AND(AI113="N/A - Culvert",N113&lt;&gt;"Culvert"),"Not possible ▲",IF(VLOOKUP(AI113,'G-7 WaterC'' Data'!$AA$4:$AB$7,2,FALSE)=0,"Spatial Data Missing ⚠",VLOOKUP(AI113,'G-7 WaterC'' Data'!$AA$4:$AB$7,2,FALSE)))))</f>
        <v/>
      </c>
      <c r="AK113" s="106"/>
      <c r="AL113" s="310" t="str">
        <f>IF(AK113="","",IF(AND(AK113="N/A - Culvert",N113&lt;&gt;"Culvert"),"Not possible ▲",IF(VLOOKUP(AK113,'G-7 WaterC'' Data'!$AD$4:$AE$14,2,FALSE)=0,"Spatial Data Missing ⚠",VLOOKUP(AK113,'G-7 WaterC'' Data'!$AD$4:$AE$14,2,FALSE))))</f>
        <v/>
      </c>
      <c r="AM113" s="275" t="str">
        <f>IF(B113="","",VLOOKUP($B113,'F-1 Off-Site WaterC'' Baseline'!$C$9:$Z$257,17,FALSE))</f>
        <v/>
      </c>
      <c r="AN113" s="276" t="str">
        <f>IF(AM113="","",IF(VLOOKUP(AM113,'G-7 WaterC'' Data'!$AO$4:$BO$7,2,FALSE)=0,"Spatial Data Missing ⚠",VLOOKUP(AM113,'G-7 WaterC'' Data'!$AO$4:$BO$7,2,FALSE)))</f>
        <v/>
      </c>
      <c r="AO113" s="317" t="str">
        <f t="shared" si="18"/>
        <v/>
      </c>
      <c r="AP113" s="317" t="str">
        <f t="shared" si="19"/>
        <v/>
      </c>
      <c r="AQ113" s="101"/>
      <c r="AR113" s="115"/>
      <c r="AS113" s="104"/>
      <c r="AT113" s="104"/>
      <c r="AW113" s="30" t="str">
        <f>IF(E113="","",VLOOKUP($B113,'F-1 Off-Site WaterC'' Baseline'!$C$9:$Z$257,12,FALSE))</f>
        <v/>
      </c>
      <c r="AX113" s="30" t="str">
        <f>IF(E113="","",VLOOKUP($B113,'F-1 Off-Site WaterC'' Baseline'!$C$9:$Z$257,14,FALSE))</f>
        <v/>
      </c>
      <c r="AY113" s="30" t="str">
        <f>IFERROR(INDEX('G-7 WaterC'' Data'!$AZ$3:$AZ$7,MATCH(N113,'G-7 WaterC'' Data'!$AY$3:$AY$7,0)),"")</f>
        <v/>
      </c>
      <c r="AZ113" s="30" t="str">
        <f>IF(B113="","",IF(ISNA(VLOOKUP($B113,'F-1 Off-Site WaterC'' Baseline'!$C$8:$AD$257,20,FALSE)),"",(VLOOKUP($B113,'F-1 Off-Site WaterC'' Baseline'!$C$8:$AD$257,20,FALSE))))</f>
        <v/>
      </c>
      <c r="BC113" s="30" t="str">
        <f>IF(B113="","",VLOOKUP($B113,'F-1 Off-Site WaterC'' Baseline'!$C$9:$AB$257,25,FALSE))</f>
        <v/>
      </c>
      <c r="BD113" s="30" t="str">
        <f t="shared" si="20"/>
        <v/>
      </c>
      <c r="BE113" s="30" t="str">
        <f>IF(B113="","",VLOOKUP($B113,'F-1 Off-Site WaterC'' Baseline'!$C$9:$AB$257,24,FALSE))</f>
        <v/>
      </c>
      <c r="BF113" s="30" t="str">
        <f>IF(B113="","",VLOOKUP($B113,'F-1 Off-Site WaterC'' Baseline'!$C$9:$AB$257,22,FALSE))</f>
        <v/>
      </c>
      <c r="BJ113" s="30" t="str">
        <f t="shared" si="21"/>
        <v>No</v>
      </c>
    </row>
    <row r="114" spans="2:62" ht="14">
      <c r="B114" s="305" t="str">
        <f>'F-1 Off-Site WaterC'' Baseline'!AS112</f>
        <v/>
      </c>
      <c r="C114" s="295" t="str">
        <f>IF(B114="","",VLOOKUP($B114,'F-1 Off-Site WaterC'' Baseline'!$C$9:$R$257,2,FALSE))</f>
        <v/>
      </c>
      <c r="D114" s="295" t="str">
        <f>IF(C114="","",VLOOKUP($B114,'F-1 Off-Site WaterC'' Baseline'!$C$9:$R$257,3,FALSE))</f>
        <v/>
      </c>
      <c r="E114" s="295" t="str">
        <f>IF(D114="","",VLOOKUP($B114,'F-1 Off-Site WaterC'' Baseline'!$C$9:$R$257,4,FALSE))</f>
        <v/>
      </c>
      <c r="F114" s="295" t="str">
        <f>IF(E114="","",VLOOKUP($B114,'F-1 Off-Site WaterC'' Baseline'!$C$9:$R$257,5,FALSE))</f>
        <v/>
      </c>
      <c r="G114" s="295" t="str">
        <f>IF(F114="","",VLOOKUP($B114,'F-1 Off-Site WaterC'' Baseline'!$C$9:$R$257,6,FALSE))</f>
        <v/>
      </c>
      <c r="H114" s="295" t="str">
        <f>IF(G114="","",VLOOKUP($B114,'F-1 Off-Site WaterC'' Baseline'!$C$9:$R$257,7,FALSE))</f>
        <v/>
      </c>
      <c r="I114" s="295" t="str">
        <f>IF(H114="","",VLOOKUP($B114,'F-1 Off-Site WaterC'' Baseline'!$C$9:$R$257,8,FALSE))</f>
        <v/>
      </c>
      <c r="J114" s="295" t="str">
        <f>IF(I114="","",VLOOKUP($B114,'F-1 Off-Site WaterC'' Baseline'!$C$9:$R$257,9,FALSE))</f>
        <v/>
      </c>
      <c r="K114" s="295" t="str">
        <f>IF(J114="","",VLOOKUP($B114,'F-1 Off-Site WaterC'' Baseline'!$C$9:$R$257,10,FALSE))</f>
        <v/>
      </c>
      <c r="L114" s="283" t="str">
        <f>IF(B114="","",VLOOKUP($B114,'F-1 Off-Site WaterC'' Baseline'!$C$9:$R$257,15,FALSE))</f>
        <v/>
      </c>
      <c r="M114" s="299" t="str">
        <f>IF(L114="","",VLOOKUP($B114,'F-1 Off-Site WaterC'' Baseline'!$C$9:$V$257,19,FALSE))</f>
        <v/>
      </c>
      <c r="N114" s="244"/>
      <c r="O114" s="275" t="str">
        <f t="shared" si="14"/>
        <v/>
      </c>
      <c r="P114" s="276" t="str">
        <f t="shared" si="15"/>
        <v/>
      </c>
      <c r="Q114" s="281" t="str">
        <f>IF(N114="","",VLOOKUP(B114,'F-1 Off-Site WaterC'' Baseline'!$C$10:$AF$257,23,FALSE))</f>
        <v/>
      </c>
      <c r="R114" s="275" t="str">
        <f>IF(N114="","",VLOOKUP(N114,'G-7 WaterC'' Data'!$B$2:$G$8,2,FALSE))</f>
        <v/>
      </c>
      <c r="S114" s="276" t="str">
        <f>IFERROR(VLOOKUP(R114,'G-7 WaterC'' Data'!$C$4:$D$8,2,FALSE),"")</f>
        <v/>
      </c>
      <c r="T114" s="101"/>
      <c r="U114" s="276" t="str">
        <f>IFERROR(INDEX('G-7 WaterC'' Data'!$H$4:$L$8,MATCH(N114,'G-7 WaterC'' Data'!$B$4:$B$8,0),MATCH(T114,'G-7 WaterC'' Data'!$H$3:$L$3,0)),"")</f>
        <v/>
      </c>
      <c r="V114" s="105"/>
      <c r="W114" s="295" t="str">
        <f>IF(V114="","",IF(VLOOKUP(V114,'G-7 WaterC'' Data'!$AK$4:$AM$6,2,FALSE)=0,"Spatial Data Missing ⚠",VLOOKUP(V114,'G-7 WaterC'' Data'!$AK$4:$AM$6,2,FALSE)))</f>
        <v/>
      </c>
      <c r="X114" s="299" t="str">
        <f>IF(V114="","",IF(VLOOKUP(V114,'G-7 WaterC'' Data'!$AK$4:$AM$6,3,FALSE)=0,"Spatial Data Missing ⚠",VLOOKUP(V114,'G-7 WaterC'' Data'!$AK$4:$AM$6,3,FALSE)))</f>
        <v/>
      </c>
      <c r="Y114" s="311" t="str">
        <f>IFERROR(IF(OR(LEFT(P114,5)="Error",LEFT(O114,5)="Error"),"Check Data ⚠",IF(F114&lt;S114,'G-7 WaterC'' Data'!$R$3,INDEX('G-7 WaterC'' Data'!$U$5:$Y$9,MATCH(G114,'G-7 WaterC'' Data'!$T$5:$T$9,0),MATCH(T114,'G-7 WaterC'' Data'!$U$4:$Y$4,0)))),"")</f>
        <v/>
      </c>
      <c r="Z114" s="138"/>
      <c r="AA114" s="138"/>
      <c r="AB114" s="308" t="str">
        <f t="shared" si="11"/>
        <v/>
      </c>
      <c r="AC114" s="296" t="str">
        <f t="shared" si="16"/>
        <v/>
      </c>
      <c r="AD114" s="334" t="str">
        <f>IFERROR(IF(AC114="Check Data ⚠","Check Data ⚠",VLOOKUP(AC114,'G-4 Temporal multipliers'!$A$4:$C$37,3,FALSE)),"")</f>
        <v/>
      </c>
      <c r="AE114" s="311" t="str">
        <f>IF(N114="","",VLOOKUP(N114,'G-7 WaterC'' Data'!$B$4:$G$8,5,FALSE))</f>
        <v/>
      </c>
      <c r="AF114" s="295" t="str">
        <f t="shared" si="12"/>
        <v/>
      </c>
      <c r="AG114" s="295" t="str">
        <f t="shared" si="17"/>
        <v/>
      </c>
      <c r="AH114" s="276" t="str">
        <f t="shared" si="13"/>
        <v/>
      </c>
      <c r="AI114" s="105"/>
      <c r="AJ114" s="276" t="str">
        <f>IF(AI114="","",(IF(AND(AI114="N/A - Culvert",N114&lt;&gt;"Culvert"),"Not possible ▲",IF(VLOOKUP(AI114,'G-7 WaterC'' Data'!$AA$4:$AB$7,2,FALSE)=0,"Spatial Data Missing ⚠",VLOOKUP(AI114,'G-7 WaterC'' Data'!$AA$4:$AB$7,2,FALSE)))))</f>
        <v/>
      </c>
      <c r="AK114" s="106"/>
      <c r="AL114" s="310" t="str">
        <f>IF(AK114="","",IF(AND(AK114="N/A - Culvert",N114&lt;&gt;"Culvert"),"Not possible ▲",IF(VLOOKUP(AK114,'G-7 WaterC'' Data'!$AD$4:$AE$14,2,FALSE)=0,"Spatial Data Missing ⚠",VLOOKUP(AK114,'G-7 WaterC'' Data'!$AD$4:$AE$14,2,FALSE))))</f>
        <v/>
      </c>
      <c r="AM114" s="275" t="str">
        <f>IF(B114="","",VLOOKUP($B114,'F-1 Off-Site WaterC'' Baseline'!$C$9:$Z$257,17,FALSE))</f>
        <v/>
      </c>
      <c r="AN114" s="276" t="str">
        <f>IF(AM114="","",IF(VLOOKUP(AM114,'G-7 WaterC'' Data'!$AO$4:$BO$7,2,FALSE)=0,"Spatial Data Missing ⚠",VLOOKUP(AM114,'G-7 WaterC'' Data'!$AO$4:$BO$7,2,FALSE)))</f>
        <v/>
      </c>
      <c r="AO114" s="317" t="str">
        <f t="shared" si="18"/>
        <v/>
      </c>
      <c r="AP114" s="317" t="str">
        <f t="shared" si="19"/>
        <v/>
      </c>
      <c r="AQ114" s="101"/>
      <c r="AR114" s="115"/>
      <c r="AS114" s="104"/>
      <c r="AT114" s="104"/>
      <c r="AW114" s="30" t="str">
        <f>IF(E114="","",VLOOKUP($B114,'F-1 Off-Site WaterC'' Baseline'!$C$9:$Z$257,12,FALSE))</f>
        <v/>
      </c>
      <c r="AX114" s="30" t="str">
        <f>IF(E114="","",VLOOKUP($B114,'F-1 Off-Site WaterC'' Baseline'!$C$9:$Z$257,14,FALSE))</f>
        <v/>
      </c>
      <c r="AY114" s="30" t="str">
        <f>IFERROR(INDEX('G-7 WaterC'' Data'!$AZ$3:$AZ$7,MATCH(N114,'G-7 WaterC'' Data'!$AY$3:$AY$7,0)),"")</f>
        <v/>
      </c>
      <c r="AZ114" s="30" t="str">
        <f>IF(B114="","",IF(ISNA(VLOOKUP($B114,'F-1 Off-Site WaterC'' Baseline'!$C$8:$AD$257,20,FALSE)),"",(VLOOKUP($B114,'F-1 Off-Site WaterC'' Baseline'!$C$8:$AD$257,20,FALSE))))</f>
        <v/>
      </c>
      <c r="BC114" s="30" t="str">
        <f>IF(B114="","",VLOOKUP($B114,'F-1 Off-Site WaterC'' Baseline'!$C$9:$AB$257,25,FALSE))</f>
        <v/>
      </c>
      <c r="BD114" s="30" t="str">
        <f t="shared" si="20"/>
        <v/>
      </c>
      <c r="BE114" s="30" t="str">
        <f>IF(B114="","",VLOOKUP($B114,'F-1 Off-Site WaterC'' Baseline'!$C$9:$AB$257,24,FALSE))</f>
        <v/>
      </c>
      <c r="BF114" s="30" t="str">
        <f>IF(B114="","",VLOOKUP($B114,'F-1 Off-Site WaterC'' Baseline'!$C$9:$AB$257,22,FALSE))</f>
        <v/>
      </c>
      <c r="BJ114" s="30" t="str">
        <f t="shared" si="21"/>
        <v>No</v>
      </c>
    </row>
    <row r="115" spans="2:62" ht="14">
      <c r="B115" s="305" t="str">
        <f>'F-1 Off-Site WaterC'' Baseline'!AS113</f>
        <v/>
      </c>
      <c r="C115" s="295" t="str">
        <f>IF(B115="","",VLOOKUP($B115,'F-1 Off-Site WaterC'' Baseline'!$C$9:$R$257,2,FALSE))</f>
        <v/>
      </c>
      <c r="D115" s="295" t="str">
        <f>IF(C115="","",VLOOKUP($B115,'F-1 Off-Site WaterC'' Baseline'!$C$9:$R$257,3,FALSE))</f>
        <v/>
      </c>
      <c r="E115" s="295" t="str">
        <f>IF(D115="","",VLOOKUP($B115,'F-1 Off-Site WaterC'' Baseline'!$C$9:$R$257,4,FALSE))</f>
        <v/>
      </c>
      <c r="F115" s="295" t="str">
        <f>IF(E115="","",VLOOKUP($B115,'F-1 Off-Site WaterC'' Baseline'!$C$9:$R$257,5,FALSE))</f>
        <v/>
      </c>
      <c r="G115" s="295" t="str">
        <f>IF(F115="","",VLOOKUP($B115,'F-1 Off-Site WaterC'' Baseline'!$C$9:$R$257,6,FALSE))</f>
        <v/>
      </c>
      <c r="H115" s="295" t="str">
        <f>IF(G115="","",VLOOKUP($B115,'F-1 Off-Site WaterC'' Baseline'!$C$9:$R$257,7,FALSE))</f>
        <v/>
      </c>
      <c r="I115" s="295" t="str">
        <f>IF(H115="","",VLOOKUP($B115,'F-1 Off-Site WaterC'' Baseline'!$C$9:$R$257,8,FALSE))</f>
        <v/>
      </c>
      <c r="J115" s="295" t="str">
        <f>IF(I115="","",VLOOKUP($B115,'F-1 Off-Site WaterC'' Baseline'!$C$9:$R$257,9,FALSE))</f>
        <v/>
      </c>
      <c r="K115" s="295" t="str">
        <f>IF(J115="","",VLOOKUP($B115,'F-1 Off-Site WaterC'' Baseline'!$C$9:$R$257,10,FALSE))</f>
        <v/>
      </c>
      <c r="L115" s="283" t="str">
        <f>IF(B115="","",VLOOKUP($B115,'F-1 Off-Site WaterC'' Baseline'!$C$9:$R$257,15,FALSE))</f>
        <v/>
      </c>
      <c r="M115" s="299" t="str">
        <f>IF(L115="","",VLOOKUP($B115,'F-1 Off-Site WaterC'' Baseline'!$C$9:$V$257,19,FALSE))</f>
        <v/>
      </c>
      <c r="N115" s="244"/>
      <c r="O115" s="275" t="str">
        <f t="shared" si="14"/>
        <v/>
      </c>
      <c r="P115" s="276" t="str">
        <f t="shared" si="15"/>
        <v/>
      </c>
      <c r="Q115" s="281" t="str">
        <f>IF(N115="","",VLOOKUP(B115,'F-1 Off-Site WaterC'' Baseline'!$C$10:$AF$257,23,FALSE))</f>
        <v/>
      </c>
      <c r="R115" s="275" t="str">
        <f>IF(N115="","",VLOOKUP(N115,'G-7 WaterC'' Data'!$B$2:$G$8,2,FALSE))</f>
        <v/>
      </c>
      <c r="S115" s="276" t="str">
        <f>IFERROR(VLOOKUP(R115,'G-7 WaterC'' Data'!$C$4:$D$8,2,FALSE),"")</f>
        <v/>
      </c>
      <c r="T115" s="101"/>
      <c r="U115" s="276" t="str">
        <f>IFERROR(INDEX('G-7 WaterC'' Data'!$H$4:$L$8,MATCH(N115,'G-7 WaterC'' Data'!$B$4:$B$8,0),MATCH(T115,'G-7 WaterC'' Data'!$H$3:$L$3,0)),"")</f>
        <v/>
      </c>
      <c r="V115" s="105"/>
      <c r="W115" s="295" t="str">
        <f>IF(V115="","",IF(VLOOKUP(V115,'G-7 WaterC'' Data'!$AK$4:$AM$6,2,FALSE)=0,"Spatial Data Missing ⚠",VLOOKUP(V115,'G-7 WaterC'' Data'!$AK$4:$AM$6,2,FALSE)))</f>
        <v/>
      </c>
      <c r="X115" s="299" t="str">
        <f>IF(V115="","",IF(VLOOKUP(V115,'G-7 WaterC'' Data'!$AK$4:$AM$6,3,FALSE)=0,"Spatial Data Missing ⚠",VLOOKUP(V115,'G-7 WaterC'' Data'!$AK$4:$AM$6,3,FALSE)))</f>
        <v/>
      </c>
      <c r="Y115" s="311" t="str">
        <f>IFERROR(IF(OR(LEFT(P115,5)="Error",LEFT(O115,5)="Error"),"Check Data ⚠",IF(F115&lt;S115,'G-7 WaterC'' Data'!$R$3,INDEX('G-7 WaterC'' Data'!$U$5:$Y$9,MATCH(G115,'G-7 WaterC'' Data'!$T$5:$T$9,0),MATCH(T115,'G-7 WaterC'' Data'!$U$4:$Y$4,0)))),"")</f>
        <v/>
      </c>
      <c r="Z115" s="138"/>
      <c r="AA115" s="138"/>
      <c r="AB115" s="308" t="str">
        <f t="shared" si="11"/>
        <v/>
      </c>
      <c r="AC115" s="296" t="str">
        <f t="shared" si="16"/>
        <v/>
      </c>
      <c r="AD115" s="334" t="str">
        <f>IFERROR(IF(AC115="Check Data ⚠","Check Data ⚠",VLOOKUP(AC115,'G-4 Temporal multipliers'!$A$4:$C$37,3,FALSE)),"")</f>
        <v/>
      </c>
      <c r="AE115" s="311" t="str">
        <f>IF(N115="","",VLOOKUP(N115,'G-7 WaterC'' Data'!$B$4:$G$8,5,FALSE))</f>
        <v/>
      </c>
      <c r="AF115" s="295" t="str">
        <f t="shared" si="12"/>
        <v/>
      </c>
      <c r="AG115" s="295" t="str">
        <f t="shared" si="17"/>
        <v/>
      </c>
      <c r="AH115" s="276" t="str">
        <f t="shared" si="13"/>
        <v/>
      </c>
      <c r="AI115" s="105"/>
      <c r="AJ115" s="276" t="str">
        <f>IF(AI115="","",(IF(AND(AI115="N/A - Culvert",N115&lt;&gt;"Culvert"),"Not possible ▲",IF(VLOOKUP(AI115,'G-7 WaterC'' Data'!$AA$4:$AB$7,2,FALSE)=0,"Spatial Data Missing ⚠",VLOOKUP(AI115,'G-7 WaterC'' Data'!$AA$4:$AB$7,2,FALSE)))))</f>
        <v/>
      </c>
      <c r="AK115" s="106"/>
      <c r="AL115" s="310" t="str">
        <f>IF(AK115="","",IF(AND(AK115="N/A - Culvert",N115&lt;&gt;"Culvert"),"Not possible ▲",IF(VLOOKUP(AK115,'G-7 WaterC'' Data'!$AD$4:$AE$14,2,FALSE)=0,"Spatial Data Missing ⚠",VLOOKUP(AK115,'G-7 WaterC'' Data'!$AD$4:$AE$14,2,FALSE))))</f>
        <v/>
      </c>
      <c r="AM115" s="275" t="str">
        <f>IF(B115="","",VLOOKUP($B115,'F-1 Off-Site WaterC'' Baseline'!$C$9:$Z$257,17,FALSE))</f>
        <v/>
      </c>
      <c r="AN115" s="276" t="str">
        <f>IF(AM115="","",IF(VLOOKUP(AM115,'G-7 WaterC'' Data'!$AO$4:$BO$7,2,FALSE)=0,"Spatial Data Missing ⚠",VLOOKUP(AM115,'G-7 WaterC'' Data'!$AO$4:$BO$7,2,FALSE)))</f>
        <v/>
      </c>
      <c r="AO115" s="317" t="str">
        <f t="shared" si="18"/>
        <v/>
      </c>
      <c r="AP115" s="317" t="str">
        <f t="shared" si="19"/>
        <v/>
      </c>
      <c r="AQ115" s="101"/>
      <c r="AR115" s="115"/>
      <c r="AS115" s="104"/>
      <c r="AT115" s="104"/>
      <c r="AW115" s="30" t="str">
        <f>IF(E115="","",VLOOKUP($B115,'F-1 Off-Site WaterC'' Baseline'!$C$9:$Z$257,12,FALSE))</f>
        <v/>
      </c>
      <c r="AX115" s="30" t="str">
        <f>IF(E115="","",VLOOKUP($B115,'F-1 Off-Site WaterC'' Baseline'!$C$9:$Z$257,14,FALSE))</f>
        <v/>
      </c>
      <c r="AY115" s="30" t="str">
        <f>IFERROR(INDEX('G-7 WaterC'' Data'!$AZ$3:$AZ$7,MATCH(N115,'G-7 WaterC'' Data'!$AY$3:$AY$7,0)),"")</f>
        <v/>
      </c>
      <c r="AZ115" s="30" t="str">
        <f>IF(B115="","",IF(ISNA(VLOOKUP($B115,'F-1 Off-Site WaterC'' Baseline'!$C$8:$AD$257,20,FALSE)),"",(VLOOKUP($B115,'F-1 Off-Site WaterC'' Baseline'!$C$8:$AD$257,20,FALSE))))</f>
        <v/>
      </c>
      <c r="BC115" s="30" t="str">
        <f>IF(B115="","",VLOOKUP($B115,'F-1 Off-Site WaterC'' Baseline'!$C$9:$AB$257,25,FALSE))</f>
        <v/>
      </c>
      <c r="BD115" s="30" t="str">
        <f t="shared" si="20"/>
        <v/>
      </c>
      <c r="BE115" s="30" t="str">
        <f>IF(B115="","",VLOOKUP($B115,'F-1 Off-Site WaterC'' Baseline'!$C$9:$AB$257,24,FALSE))</f>
        <v/>
      </c>
      <c r="BF115" s="30" t="str">
        <f>IF(B115="","",VLOOKUP($B115,'F-1 Off-Site WaterC'' Baseline'!$C$9:$AB$257,22,FALSE))</f>
        <v/>
      </c>
      <c r="BJ115" s="30" t="str">
        <f t="shared" si="21"/>
        <v>No</v>
      </c>
    </row>
    <row r="116" spans="2:62" ht="14">
      <c r="B116" s="305" t="str">
        <f>'F-1 Off-Site WaterC'' Baseline'!AS114</f>
        <v/>
      </c>
      <c r="C116" s="295" t="str">
        <f>IF(B116="","",VLOOKUP($B116,'F-1 Off-Site WaterC'' Baseline'!$C$9:$R$257,2,FALSE))</f>
        <v/>
      </c>
      <c r="D116" s="295" t="str">
        <f>IF(C116="","",VLOOKUP($B116,'F-1 Off-Site WaterC'' Baseline'!$C$9:$R$257,3,FALSE))</f>
        <v/>
      </c>
      <c r="E116" s="295" t="str">
        <f>IF(D116="","",VLOOKUP($B116,'F-1 Off-Site WaterC'' Baseline'!$C$9:$R$257,4,FALSE))</f>
        <v/>
      </c>
      <c r="F116" s="295" t="str">
        <f>IF(E116="","",VLOOKUP($B116,'F-1 Off-Site WaterC'' Baseline'!$C$9:$R$257,5,FALSE))</f>
        <v/>
      </c>
      <c r="G116" s="295" t="str">
        <f>IF(F116="","",VLOOKUP($B116,'F-1 Off-Site WaterC'' Baseline'!$C$9:$R$257,6,FALSE))</f>
        <v/>
      </c>
      <c r="H116" s="295" t="str">
        <f>IF(G116="","",VLOOKUP($B116,'F-1 Off-Site WaterC'' Baseline'!$C$9:$R$257,7,FALSE))</f>
        <v/>
      </c>
      <c r="I116" s="295" t="str">
        <f>IF(H116="","",VLOOKUP($B116,'F-1 Off-Site WaterC'' Baseline'!$C$9:$R$257,8,FALSE))</f>
        <v/>
      </c>
      <c r="J116" s="295" t="str">
        <f>IF(I116="","",VLOOKUP($B116,'F-1 Off-Site WaterC'' Baseline'!$C$9:$R$257,9,FALSE))</f>
        <v/>
      </c>
      <c r="K116" s="295" t="str">
        <f>IF(J116="","",VLOOKUP($B116,'F-1 Off-Site WaterC'' Baseline'!$C$9:$R$257,10,FALSE))</f>
        <v/>
      </c>
      <c r="L116" s="283" t="str">
        <f>IF(B116="","",VLOOKUP($B116,'F-1 Off-Site WaterC'' Baseline'!$C$9:$R$257,15,FALSE))</f>
        <v/>
      </c>
      <c r="M116" s="299" t="str">
        <f>IF(L116="","",VLOOKUP($B116,'F-1 Off-Site WaterC'' Baseline'!$C$9:$V$257,19,FALSE))</f>
        <v/>
      </c>
      <c r="N116" s="244"/>
      <c r="O116" s="275" t="str">
        <f t="shared" si="14"/>
        <v/>
      </c>
      <c r="P116" s="276" t="str">
        <f t="shared" si="15"/>
        <v/>
      </c>
      <c r="Q116" s="281" t="str">
        <f>IF(N116="","",VLOOKUP(B116,'F-1 Off-Site WaterC'' Baseline'!$C$10:$AF$257,23,FALSE))</f>
        <v/>
      </c>
      <c r="R116" s="275" t="str">
        <f>IF(N116="","",VLOOKUP(N116,'G-7 WaterC'' Data'!$B$2:$G$8,2,FALSE))</f>
        <v/>
      </c>
      <c r="S116" s="276" t="str">
        <f>IFERROR(VLOOKUP(R116,'G-7 WaterC'' Data'!$C$4:$D$8,2,FALSE),"")</f>
        <v/>
      </c>
      <c r="T116" s="101"/>
      <c r="U116" s="276" t="str">
        <f>IFERROR(INDEX('G-7 WaterC'' Data'!$H$4:$L$8,MATCH(N116,'G-7 WaterC'' Data'!$B$4:$B$8,0),MATCH(T116,'G-7 WaterC'' Data'!$H$3:$L$3,0)),"")</f>
        <v/>
      </c>
      <c r="V116" s="105"/>
      <c r="W116" s="295" t="str">
        <f>IF(V116="","",IF(VLOOKUP(V116,'G-7 WaterC'' Data'!$AK$4:$AM$6,2,FALSE)=0,"Spatial Data Missing ⚠",VLOOKUP(V116,'G-7 WaterC'' Data'!$AK$4:$AM$6,2,FALSE)))</f>
        <v/>
      </c>
      <c r="X116" s="299" t="str">
        <f>IF(V116="","",IF(VLOOKUP(V116,'G-7 WaterC'' Data'!$AK$4:$AM$6,3,FALSE)=0,"Spatial Data Missing ⚠",VLOOKUP(V116,'G-7 WaterC'' Data'!$AK$4:$AM$6,3,FALSE)))</f>
        <v/>
      </c>
      <c r="Y116" s="311" t="str">
        <f>IFERROR(IF(OR(LEFT(P116,5)="Error",LEFT(O116,5)="Error"),"Check Data ⚠",IF(F116&lt;S116,'G-7 WaterC'' Data'!$R$3,INDEX('G-7 WaterC'' Data'!$U$5:$Y$9,MATCH(G116,'G-7 WaterC'' Data'!$T$5:$T$9,0),MATCH(T116,'G-7 WaterC'' Data'!$U$4:$Y$4,0)))),"")</f>
        <v/>
      </c>
      <c r="Z116" s="138"/>
      <c r="AA116" s="138"/>
      <c r="AB116" s="308" t="str">
        <f t="shared" si="11"/>
        <v/>
      </c>
      <c r="AC116" s="296" t="str">
        <f t="shared" si="16"/>
        <v/>
      </c>
      <c r="AD116" s="334" t="str">
        <f>IFERROR(IF(AC116="Check Data ⚠","Check Data ⚠",VLOOKUP(AC116,'G-4 Temporal multipliers'!$A$4:$C$37,3,FALSE)),"")</f>
        <v/>
      </c>
      <c r="AE116" s="311" t="str">
        <f>IF(N116="","",VLOOKUP(N116,'G-7 WaterC'' Data'!$B$4:$G$8,5,FALSE))</f>
        <v/>
      </c>
      <c r="AF116" s="295" t="str">
        <f t="shared" si="12"/>
        <v/>
      </c>
      <c r="AG116" s="295" t="str">
        <f t="shared" si="17"/>
        <v/>
      </c>
      <c r="AH116" s="276" t="str">
        <f t="shared" si="13"/>
        <v/>
      </c>
      <c r="AI116" s="105"/>
      <c r="AJ116" s="276" t="str">
        <f>IF(AI116="","",(IF(AND(AI116="N/A - Culvert",N116&lt;&gt;"Culvert"),"Not possible ▲",IF(VLOOKUP(AI116,'G-7 WaterC'' Data'!$AA$4:$AB$7,2,FALSE)=0,"Spatial Data Missing ⚠",VLOOKUP(AI116,'G-7 WaterC'' Data'!$AA$4:$AB$7,2,FALSE)))))</f>
        <v/>
      </c>
      <c r="AK116" s="106"/>
      <c r="AL116" s="310" t="str">
        <f>IF(AK116="","",IF(AND(AK116="N/A - Culvert",N116&lt;&gt;"Culvert"),"Not possible ▲",IF(VLOOKUP(AK116,'G-7 WaterC'' Data'!$AD$4:$AE$14,2,FALSE)=0,"Spatial Data Missing ⚠",VLOOKUP(AK116,'G-7 WaterC'' Data'!$AD$4:$AE$14,2,FALSE))))</f>
        <v/>
      </c>
      <c r="AM116" s="275" t="str">
        <f>IF(B116="","",VLOOKUP($B116,'F-1 Off-Site WaterC'' Baseline'!$C$9:$Z$257,17,FALSE))</f>
        <v/>
      </c>
      <c r="AN116" s="276" t="str">
        <f>IF(AM116="","",IF(VLOOKUP(AM116,'G-7 WaterC'' Data'!$AO$4:$BO$7,2,FALSE)=0,"Spatial Data Missing ⚠",VLOOKUP(AM116,'G-7 WaterC'' Data'!$AO$4:$BO$7,2,FALSE)))</f>
        <v/>
      </c>
      <c r="AO116" s="317" t="str">
        <f t="shared" si="18"/>
        <v/>
      </c>
      <c r="AP116" s="317" t="str">
        <f t="shared" si="19"/>
        <v/>
      </c>
      <c r="AQ116" s="101"/>
      <c r="AR116" s="115"/>
      <c r="AS116" s="104"/>
      <c r="AT116" s="104"/>
      <c r="AW116" s="30" t="str">
        <f>IF(E116="","",VLOOKUP($B116,'F-1 Off-Site WaterC'' Baseline'!$C$9:$Z$257,12,FALSE))</f>
        <v/>
      </c>
      <c r="AX116" s="30" t="str">
        <f>IF(E116="","",VLOOKUP($B116,'F-1 Off-Site WaterC'' Baseline'!$C$9:$Z$257,14,FALSE))</f>
        <v/>
      </c>
      <c r="AY116" s="30" t="str">
        <f>IFERROR(INDEX('G-7 WaterC'' Data'!$AZ$3:$AZ$7,MATCH(N116,'G-7 WaterC'' Data'!$AY$3:$AY$7,0)),"")</f>
        <v/>
      </c>
      <c r="AZ116" s="30" t="str">
        <f>IF(B116="","",IF(ISNA(VLOOKUP($B116,'F-1 Off-Site WaterC'' Baseline'!$C$8:$AD$257,20,FALSE)),"",(VLOOKUP($B116,'F-1 Off-Site WaterC'' Baseline'!$C$8:$AD$257,20,FALSE))))</f>
        <v/>
      </c>
      <c r="BC116" s="30" t="str">
        <f>IF(B116="","",VLOOKUP($B116,'F-1 Off-Site WaterC'' Baseline'!$C$9:$AB$257,25,FALSE))</f>
        <v/>
      </c>
      <c r="BD116" s="30" t="str">
        <f t="shared" si="20"/>
        <v/>
      </c>
      <c r="BE116" s="30" t="str">
        <f>IF(B116="","",VLOOKUP($B116,'F-1 Off-Site WaterC'' Baseline'!$C$9:$AB$257,24,FALSE))</f>
        <v/>
      </c>
      <c r="BF116" s="30" t="str">
        <f>IF(B116="","",VLOOKUP($B116,'F-1 Off-Site WaterC'' Baseline'!$C$9:$AB$257,22,FALSE))</f>
        <v/>
      </c>
      <c r="BJ116" s="30" t="str">
        <f t="shared" si="21"/>
        <v>No</v>
      </c>
    </row>
    <row r="117" spans="2:62" ht="14">
      <c r="B117" s="305" t="str">
        <f>'F-1 Off-Site WaterC'' Baseline'!AS115</f>
        <v/>
      </c>
      <c r="C117" s="295" t="str">
        <f>IF(B117="","",VLOOKUP($B117,'F-1 Off-Site WaterC'' Baseline'!$C$9:$R$257,2,FALSE))</f>
        <v/>
      </c>
      <c r="D117" s="295" t="str">
        <f>IF(C117="","",VLOOKUP($B117,'F-1 Off-Site WaterC'' Baseline'!$C$9:$R$257,3,FALSE))</f>
        <v/>
      </c>
      <c r="E117" s="295" t="str">
        <f>IF(D117="","",VLOOKUP($B117,'F-1 Off-Site WaterC'' Baseline'!$C$9:$R$257,4,FALSE))</f>
        <v/>
      </c>
      <c r="F117" s="295" t="str">
        <f>IF(E117="","",VLOOKUP($B117,'F-1 Off-Site WaterC'' Baseline'!$C$9:$R$257,5,FALSE))</f>
        <v/>
      </c>
      <c r="G117" s="295" t="str">
        <f>IF(F117="","",VLOOKUP($B117,'F-1 Off-Site WaterC'' Baseline'!$C$9:$R$257,6,FALSE))</f>
        <v/>
      </c>
      <c r="H117" s="295" t="str">
        <f>IF(G117="","",VLOOKUP($B117,'F-1 Off-Site WaterC'' Baseline'!$C$9:$R$257,7,FALSE))</f>
        <v/>
      </c>
      <c r="I117" s="295" t="str">
        <f>IF(H117="","",VLOOKUP($B117,'F-1 Off-Site WaterC'' Baseline'!$C$9:$R$257,8,FALSE))</f>
        <v/>
      </c>
      <c r="J117" s="295" t="str">
        <f>IF(I117="","",VLOOKUP($B117,'F-1 Off-Site WaterC'' Baseline'!$C$9:$R$257,9,FALSE))</f>
        <v/>
      </c>
      <c r="K117" s="295" t="str">
        <f>IF(J117="","",VLOOKUP($B117,'F-1 Off-Site WaterC'' Baseline'!$C$9:$R$257,10,FALSE))</f>
        <v/>
      </c>
      <c r="L117" s="283" t="str">
        <f>IF(B117="","",VLOOKUP($B117,'F-1 Off-Site WaterC'' Baseline'!$C$9:$R$257,15,FALSE))</f>
        <v/>
      </c>
      <c r="M117" s="299" t="str">
        <f>IF(L117="","",VLOOKUP($B117,'F-1 Off-Site WaterC'' Baseline'!$C$9:$V$257,19,FALSE))</f>
        <v/>
      </c>
      <c r="N117" s="244"/>
      <c r="O117" s="275" t="str">
        <f t="shared" si="14"/>
        <v/>
      </c>
      <c r="P117" s="276" t="str">
        <f t="shared" si="15"/>
        <v/>
      </c>
      <c r="Q117" s="281" t="str">
        <f>IF(N117="","",VLOOKUP(B117,'F-1 Off-Site WaterC'' Baseline'!$C$10:$AF$257,23,FALSE))</f>
        <v/>
      </c>
      <c r="R117" s="275" t="str">
        <f>IF(N117="","",VLOOKUP(N117,'G-7 WaterC'' Data'!$B$2:$G$8,2,FALSE))</f>
        <v/>
      </c>
      <c r="S117" s="276" t="str">
        <f>IFERROR(VLOOKUP(R117,'G-7 WaterC'' Data'!$C$4:$D$8,2,FALSE),"")</f>
        <v/>
      </c>
      <c r="T117" s="101"/>
      <c r="U117" s="276" t="str">
        <f>IFERROR(INDEX('G-7 WaterC'' Data'!$H$4:$L$8,MATCH(N117,'G-7 WaterC'' Data'!$B$4:$B$8,0),MATCH(T117,'G-7 WaterC'' Data'!$H$3:$L$3,0)),"")</f>
        <v/>
      </c>
      <c r="V117" s="105"/>
      <c r="W117" s="295" t="str">
        <f>IF(V117="","",IF(VLOOKUP(V117,'G-7 WaterC'' Data'!$AK$4:$AM$6,2,FALSE)=0,"Spatial Data Missing ⚠",VLOOKUP(V117,'G-7 WaterC'' Data'!$AK$4:$AM$6,2,FALSE)))</f>
        <v/>
      </c>
      <c r="X117" s="299" t="str">
        <f>IF(V117="","",IF(VLOOKUP(V117,'G-7 WaterC'' Data'!$AK$4:$AM$6,3,FALSE)=0,"Spatial Data Missing ⚠",VLOOKUP(V117,'G-7 WaterC'' Data'!$AK$4:$AM$6,3,FALSE)))</f>
        <v/>
      </c>
      <c r="Y117" s="311" t="str">
        <f>IFERROR(IF(OR(LEFT(P117,5)="Error",LEFT(O117,5)="Error"),"Check Data ⚠",IF(F117&lt;S117,'G-7 WaterC'' Data'!$R$3,INDEX('G-7 WaterC'' Data'!$U$5:$Y$9,MATCH(G117,'G-7 WaterC'' Data'!$T$5:$T$9,0),MATCH(T117,'G-7 WaterC'' Data'!$U$4:$Y$4,0)))),"")</f>
        <v/>
      </c>
      <c r="Z117" s="138"/>
      <c r="AA117" s="138"/>
      <c r="AB117" s="308" t="str">
        <f t="shared" si="11"/>
        <v/>
      </c>
      <c r="AC117" s="296" t="str">
        <f t="shared" si="16"/>
        <v/>
      </c>
      <c r="AD117" s="334" t="str">
        <f>IFERROR(IF(AC117="Check Data ⚠","Check Data ⚠",VLOOKUP(AC117,'G-4 Temporal multipliers'!$A$4:$C$37,3,FALSE)),"")</f>
        <v/>
      </c>
      <c r="AE117" s="311" t="str">
        <f>IF(N117="","",VLOOKUP(N117,'G-7 WaterC'' Data'!$B$4:$G$8,5,FALSE))</f>
        <v/>
      </c>
      <c r="AF117" s="295" t="str">
        <f t="shared" si="12"/>
        <v/>
      </c>
      <c r="AG117" s="295" t="str">
        <f t="shared" si="17"/>
        <v/>
      </c>
      <c r="AH117" s="276" t="str">
        <f t="shared" si="13"/>
        <v/>
      </c>
      <c r="AI117" s="105"/>
      <c r="AJ117" s="276" t="str">
        <f>IF(AI117="","",(IF(AND(AI117="N/A - Culvert",N117&lt;&gt;"Culvert"),"Not possible ▲",IF(VLOOKUP(AI117,'G-7 WaterC'' Data'!$AA$4:$AB$7,2,FALSE)=0,"Spatial Data Missing ⚠",VLOOKUP(AI117,'G-7 WaterC'' Data'!$AA$4:$AB$7,2,FALSE)))))</f>
        <v/>
      </c>
      <c r="AK117" s="106"/>
      <c r="AL117" s="310" t="str">
        <f>IF(AK117="","",IF(AND(AK117="N/A - Culvert",N117&lt;&gt;"Culvert"),"Not possible ▲",IF(VLOOKUP(AK117,'G-7 WaterC'' Data'!$AD$4:$AE$14,2,FALSE)=0,"Spatial Data Missing ⚠",VLOOKUP(AK117,'G-7 WaterC'' Data'!$AD$4:$AE$14,2,FALSE))))</f>
        <v/>
      </c>
      <c r="AM117" s="275" t="str">
        <f>IF(B117="","",VLOOKUP($B117,'F-1 Off-Site WaterC'' Baseline'!$C$9:$Z$257,17,FALSE))</f>
        <v/>
      </c>
      <c r="AN117" s="276" t="str">
        <f>IF(AM117="","",IF(VLOOKUP(AM117,'G-7 WaterC'' Data'!$AO$4:$BO$7,2,FALSE)=0,"Spatial Data Missing ⚠",VLOOKUP(AM117,'G-7 WaterC'' Data'!$AO$4:$BO$7,2,FALSE)))</f>
        <v/>
      </c>
      <c r="AO117" s="317" t="str">
        <f t="shared" si="18"/>
        <v/>
      </c>
      <c r="AP117" s="317" t="str">
        <f t="shared" si="19"/>
        <v/>
      </c>
      <c r="AQ117" s="101"/>
      <c r="AR117" s="115"/>
      <c r="AS117" s="104"/>
      <c r="AT117" s="104"/>
      <c r="AW117" s="30" t="str">
        <f>IF(E117="","",VLOOKUP($B117,'F-1 Off-Site WaterC'' Baseline'!$C$9:$Z$257,12,FALSE))</f>
        <v/>
      </c>
      <c r="AX117" s="30" t="str">
        <f>IF(E117="","",VLOOKUP($B117,'F-1 Off-Site WaterC'' Baseline'!$C$9:$Z$257,14,FALSE))</f>
        <v/>
      </c>
      <c r="AY117" s="30" t="str">
        <f>IFERROR(INDEX('G-7 WaterC'' Data'!$AZ$3:$AZ$7,MATCH(N117,'G-7 WaterC'' Data'!$AY$3:$AY$7,0)),"")</f>
        <v/>
      </c>
      <c r="AZ117" s="30" t="str">
        <f>IF(B117="","",IF(ISNA(VLOOKUP($B117,'F-1 Off-Site WaterC'' Baseline'!$C$8:$AD$257,20,FALSE)),"",(VLOOKUP($B117,'F-1 Off-Site WaterC'' Baseline'!$C$8:$AD$257,20,FALSE))))</f>
        <v/>
      </c>
      <c r="BC117" s="30" t="str">
        <f>IF(B117="","",VLOOKUP($B117,'F-1 Off-Site WaterC'' Baseline'!$C$9:$AB$257,25,FALSE))</f>
        <v/>
      </c>
      <c r="BD117" s="30" t="str">
        <f t="shared" si="20"/>
        <v/>
      </c>
      <c r="BE117" s="30" t="str">
        <f>IF(B117="","",VLOOKUP($B117,'F-1 Off-Site WaterC'' Baseline'!$C$9:$AB$257,24,FALSE))</f>
        <v/>
      </c>
      <c r="BF117" s="30" t="str">
        <f>IF(B117="","",VLOOKUP($B117,'F-1 Off-Site WaterC'' Baseline'!$C$9:$AB$257,22,FALSE))</f>
        <v/>
      </c>
      <c r="BJ117" s="30" t="str">
        <f t="shared" si="21"/>
        <v>No</v>
      </c>
    </row>
    <row r="118" spans="2:62" ht="14">
      <c r="B118" s="305" t="str">
        <f>'F-1 Off-Site WaterC'' Baseline'!AS116</f>
        <v/>
      </c>
      <c r="C118" s="295" t="str">
        <f>IF(B118="","",VLOOKUP($B118,'F-1 Off-Site WaterC'' Baseline'!$C$9:$R$257,2,FALSE))</f>
        <v/>
      </c>
      <c r="D118" s="295" t="str">
        <f>IF(C118="","",VLOOKUP($B118,'F-1 Off-Site WaterC'' Baseline'!$C$9:$R$257,3,FALSE))</f>
        <v/>
      </c>
      <c r="E118" s="295" t="str">
        <f>IF(D118="","",VLOOKUP($B118,'F-1 Off-Site WaterC'' Baseline'!$C$9:$R$257,4,FALSE))</f>
        <v/>
      </c>
      <c r="F118" s="295" t="str">
        <f>IF(E118="","",VLOOKUP($B118,'F-1 Off-Site WaterC'' Baseline'!$C$9:$R$257,5,FALSE))</f>
        <v/>
      </c>
      <c r="G118" s="295" t="str">
        <f>IF(F118="","",VLOOKUP($B118,'F-1 Off-Site WaterC'' Baseline'!$C$9:$R$257,6,FALSE))</f>
        <v/>
      </c>
      <c r="H118" s="295" t="str">
        <f>IF(G118="","",VLOOKUP($B118,'F-1 Off-Site WaterC'' Baseline'!$C$9:$R$257,7,FALSE))</f>
        <v/>
      </c>
      <c r="I118" s="295" t="str">
        <f>IF(H118="","",VLOOKUP($B118,'F-1 Off-Site WaterC'' Baseline'!$C$9:$R$257,8,FALSE))</f>
        <v/>
      </c>
      <c r="J118" s="295" t="str">
        <f>IF(I118="","",VLOOKUP($B118,'F-1 Off-Site WaterC'' Baseline'!$C$9:$R$257,9,FALSE))</f>
        <v/>
      </c>
      <c r="K118" s="295" t="str">
        <f>IF(J118="","",VLOOKUP($B118,'F-1 Off-Site WaterC'' Baseline'!$C$9:$R$257,10,FALSE))</f>
        <v/>
      </c>
      <c r="L118" s="283" t="str">
        <f>IF(B118="","",VLOOKUP($B118,'F-1 Off-Site WaterC'' Baseline'!$C$9:$R$257,15,FALSE))</f>
        <v/>
      </c>
      <c r="M118" s="299" t="str">
        <f>IF(L118="","",VLOOKUP($B118,'F-1 Off-Site WaterC'' Baseline'!$C$9:$V$257,19,FALSE))</f>
        <v/>
      </c>
      <c r="N118" s="244"/>
      <c r="O118" s="275" t="str">
        <f t="shared" si="14"/>
        <v/>
      </c>
      <c r="P118" s="276" t="str">
        <f t="shared" si="15"/>
        <v/>
      </c>
      <c r="Q118" s="281" t="str">
        <f>IF(N118="","",VLOOKUP(B118,'F-1 Off-Site WaterC'' Baseline'!$C$10:$AF$257,23,FALSE))</f>
        <v/>
      </c>
      <c r="R118" s="275" t="str">
        <f>IF(N118="","",VLOOKUP(N118,'G-7 WaterC'' Data'!$B$2:$G$8,2,FALSE))</f>
        <v/>
      </c>
      <c r="S118" s="276" t="str">
        <f>IFERROR(VLOOKUP(R118,'G-7 WaterC'' Data'!$C$4:$D$8,2,FALSE),"")</f>
        <v/>
      </c>
      <c r="T118" s="101"/>
      <c r="U118" s="276" t="str">
        <f>IFERROR(INDEX('G-7 WaterC'' Data'!$H$4:$L$8,MATCH(N118,'G-7 WaterC'' Data'!$B$4:$B$8,0),MATCH(T118,'G-7 WaterC'' Data'!$H$3:$L$3,0)),"")</f>
        <v/>
      </c>
      <c r="V118" s="105"/>
      <c r="W118" s="295" t="str">
        <f>IF(V118="","",IF(VLOOKUP(V118,'G-7 WaterC'' Data'!$AK$4:$AM$6,2,FALSE)=0,"Spatial Data Missing ⚠",VLOOKUP(V118,'G-7 WaterC'' Data'!$AK$4:$AM$6,2,FALSE)))</f>
        <v/>
      </c>
      <c r="X118" s="299" t="str">
        <f>IF(V118="","",IF(VLOOKUP(V118,'G-7 WaterC'' Data'!$AK$4:$AM$6,3,FALSE)=0,"Spatial Data Missing ⚠",VLOOKUP(V118,'G-7 WaterC'' Data'!$AK$4:$AM$6,3,FALSE)))</f>
        <v/>
      </c>
      <c r="Y118" s="311" t="str">
        <f>IFERROR(IF(OR(LEFT(P118,5)="Error",LEFT(O118,5)="Error"),"Check Data ⚠",IF(F118&lt;S118,'G-7 WaterC'' Data'!$R$3,INDEX('G-7 WaterC'' Data'!$U$5:$Y$9,MATCH(G118,'G-7 WaterC'' Data'!$T$5:$T$9,0),MATCH(T118,'G-7 WaterC'' Data'!$U$4:$Y$4,0)))),"")</f>
        <v/>
      </c>
      <c r="Z118" s="138"/>
      <c r="AA118" s="138"/>
      <c r="AB118" s="308" t="str">
        <f t="shared" si="11"/>
        <v/>
      </c>
      <c r="AC118" s="296" t="str">
        <f t="shared" si="16"/>
        <v/>
      </c>
      <c r="AD118" s="334" t="str">
        <f>IFERROR(IF(AC118="Check Data ⚠","Check Data ⚠",VLOOKUP(AC118,'G-4 Temporal multipliers'!$A$4:$C$37,3,FALSE)),"")</f>
        <v/>
      </c>
      <c r="AE118" s="311" t="str">
        <f>IF(N118="","",VLOOKUP(N118,'G-7 WaterC'' Data'!$B$4:$G$8,5,FALSE))</f>
        <v/>
      </c>
      <c r="AF118" s="295" t="str">
        <f t="shared" si="12"/>
        <v/>
      </c>
      <c r="AG118" s="295" t="str">
        <f t="shared" si="17"/>
        <v/>
      </c>
      <c r="AH118" s="276" t="str">
        <f t="shared" si="13"/>
        <v/>
      </c>
      <c r="AI118" s="105"/>
      <c r="AJ118" s="276" t="str">
        <f>IF(AI118="","",(IF(AND(AI118="N/A - Culvert",N118&lt;&gt;"Culvert"),"Not possible ▲",IF(VLOOKUP(AI118,'G-7 WaterC'' Data'!$AA$4:$AB$7,2,FALSE)=0,"Spatial Data Missing ⚠",VLOOKUP(AI118,'G-7 WaterC'' Data'!$AA$4:$AB$7,2,FALSE)))))</f>
        <v/>
      </c>
      <c r="AK118" s="106"/>
      <c r="AL118" s="310" t="str">
        <f>IF(AK118="","",IF(AND(AK118="N/A - Culvert",N118&lt;&gt;"Culvert"),"Not possible ▲",IF(VLOOKUP(AK118,'G-7 WaterC'' Data'!$AD$4:$AE$14,2,FALSE)=0,"Spatial Data Missing ⚠",VLOOKUP(AK118,'G-7 WaterC'' Data'!$AD$4:$AE$14,2,FALSE))))</f>
        <v/>
      </c>
      <c r="AM118" s="275" t="str">
        <f>IF(B118="","",VLOOKUP($B118,'F-1 Off-Site WaterC'' Baseline'!$C$9:$Z$257,17,FALSE))</f>
        <v/>
      </c>
      <c r="AN118" s="276" t="str">
        <f>IF(AM118="","",IF(VLOOKUP(AM118,'G-7 WaterC'' Data'!$AO$4:$BO$7,2,FALSE)=0,"Spatial Data Missing ⚠",VLOOKUP(AM118,'G-7 WaterC'' Data'!$AO$4:$BO$7,2,FALSE)))</f>
        <v/>
      </c>
      <c r="AO118" s="317" t="str">
        <f t="shared" si="18"/>
        <v/>
      </c>
      <c r="AP118" s="317" t="str">
        <f t="shared" si="19"/>
        <v/>
      </c>
      <c r="AQ118" s="101"/>
      <c r="AR118" s="115"/>
      <c r="AS118" s="104"/>
      <c r="AT118" s="104"/>
      <c r="AW118" s="30" t="str">
        <f>IF(E118="","",VLOOKUP($B118,'F-1 Off-Site WaterC'' Baseline'!$C$9:$Z$257,12,FALSE))</f>
        <v/>
      </c>
      <c r="AX118" s="30" t="str">
        <f>IF(E118="","",VLOOKUP($B118,'F-1 Off-Site WaterC'' Baseline'!$C$9:$Z$257,14,FALSE))</f>
        <v/>
      </c>
      <c r="AY118" s="30" t="str">
        <f>IFERROR(INDEX('G-7 WaterC'' Data'!$AZ$3:$AZ$7,MATCH(N118,'G-7 WaterC'' Data'!$AY$3:$AY$7,0)),"")</f>
        <v/>
      </c>
      <c r="AZ118" s="30" t="str">
        <f>IF(B118="","",IF(ISNA(VLOOKUP($B118,'F-1 Off-Site WaterC'' Baseline'!$C$8:$AD$257,20,FALSE)),"",(VLOOKUP($B118,'F-1 Off-Site WaterC'' Baseline'!$C$8:$AD$257,20,FALSE))))</f>
        <v/>
      </c>
      <c r="BC118" s="30" t="str">
        <f>IF(B118="","",VLOOKUP($B118,'F-1 Off-Site WaterC'' Baseline'!$C$9:$AB$257,25,FALSE))</f>
        <v/>
      </c>
      <c r="BD118" s="30" t="str">
        <f t="shared" si="20"/>
        <v/>
      </c>
      <c r="BE118" s="30" t="str">
        <f>IF(B118="","",VLOOKUP($B118,'F-1 Off-Site WaterC'' Baseline'!$C$9:$AB$257,24,FALSE))</f>
        <v/>
      </c>
      <c r="BF118" s="30" t="str">
        <f>IF(B118="","",VLOOKUP($B118,'F-1 Off-Site WaterC'' Baseline'!$C$9:$AB$257,22,FALSE))</f>
        <v/>
      </c>
      <c r="BJ118" s="30" t="str">
        <f t="shared" si="21"/>
        <v>No</v>
      </c>
    </row>
    <row r="119" spans="2:62" ht="14">
      <c r="B119" s="305" t="str">
        <f>'F-1 Off-Site WaterC'' Baseline'!AS117</f>
        <v/>
      </c>
      <c r="C119" s="295" t="str">
        <f>IF(B119="","",VLOOKUP($B119,'F-1 Off-Site WaterC'' Baseline'!$C$9:$R$257,2,FALSE))</f>
        <v/>
      </c>
      <c r="D119" s="295" t="str">
        <f>IF(C119="","",VLOOKUP($B119,'F-1 Off-Site WaterC'' Baseline'!$C$9:$R$257,3,FALSE))</f>
        <v/>
      </c>
      <c r="E119" s="295" t="str">
        <f>IF(D119="","",VLOOKUP($B119,'F-1 Off-Site WaterC'' Baseline'!$C$9:$R$257,4,FALSE))</f>
        <v/>
      </c>
      <c r="F119" s="295" t="str">
        <f>IF(E119="","",VLOOKUP($B119,'F-1 Off-Site WaterC'' Baseline'!$C$9:$R$257,5,FALSE))</f>
        <v/>
      </c>
      <c r="G119" s="295" t="str">
        <f>IF(F119="","",VLOOKUP($B119,'F-1 Off-Site WaterC'' Baseline'!$C$9:$R$257,6,FALSE))</f>
        <v/>
      </c>
      <c r="H119" s="295" t="str">
        <f>IF(G119="","",VLOOKUP($B119,'F-1 Off-Site WaterC'' Baseline'!$C$9:$R$257,7,FALSE))</f>
        <v/>
      </c>
      <c r="I119" s="295" t="str">
        <f>IF(H119="","",VLOOKUP($B119,'F-1 Off-Site WaterC'' Baseline'!$C$9:$R$257,8,FALSE))</f>
        <v/>
      </c>
      <c r="J119" s="295" t="str">
        <f>IF(I119="","",VLOOKUP($B119,'F-1 Off-Site WaterC'' Baseline'!$C$9:$R$257,9,FALSE))</f>
        <v/>
      </c>
      <c r="K119" s="295" t="str">
        <f>IF(J119="","",VLOOKUP($B119,'F-1 Off-Site WaterC'' Baseline'!$C$9:$R$257,10,FALSE))</f>
        <v/>
      </c>
      <c r="L119" s="283" t="str">
        <f>IF(B119="","",VLOOKUP($B119,'F-1 Off-Site WaterC'' Baseline'!$C$9:$R$257,15,FALSE))</f>
        <v/>
      </c>
      <c r="M119" s="299" t="str">
        <f>IF(L119="","",VLOOKUP($B119,'F-1 Off-Site WaterC'' Baseline'!$C$9:$V$257,19,FALSE))</f>
        <v/>
      </c>
      <c r="N119" s="244"/>
      <c r="O119" s="275" t="str">
        <f t="shared" si="14"/>
        <v/>
      </c>
      <c r="P119" s="276" t="str">
        <f t="shared" si="15"/>
        <v/>
      </c>
      <c r="Q119" s="281" t="str">
        <f>IF(N119="","",VLOOKUP(B119,'F-1 Off-Site WaterC'' Baseline'!$C$10:$AF$257,23,FALSE))</f>
        <v/>
      </c>
      <c r="R119" s="275" t="str">
        <f>IF(N119="","",VLOOKUP(N119,'G-7 WaterC'' Data'!$B$2:$G$8,2,FALSE))</f>
        <v/>
      </c>
      <c r="S119" s="276" t="str">
        <f>IFERROR(VLOOKUP(R119,'G-7 WaterC'' Data'!$C$4:$D$8,2,FALSE),"")</f>
        <v/>
      </c>
      <c r="T119" s="101"/>
      <c r="U119" s="276" t="str">
        <f>IFERROR(INDEX('G-7 WaterC'' Data'!$H$4:$L$8,MATCH(N119,'G-7 WaterC'' Data'!$B$4:$B$8,0),MATCH(T119,'G-7 WaterC'' Data'!$H$3:$L$3,0)),"")</f>
        <v/>
      </c>
      <c r="V119" s="105"/>
      <c r="W119" s="295" t="str">
        <f>IF(V119="","",IF(VLOOKUP(V119,'G-7 WaterC'' Data'!$AK$4:$AM$6,2,FALSE)=0,"Spatial Data Missing ⚠",VLOOKUP(V119,'G-7 WaterC'' Data'!$AK$4:$AM$6,2,FALSE)))</f>
        <v/>
      </c>
      <c r="X119" s="299" t="str">
        <f>IF(V119="","",IF(VLOOKUP(V119,'G-7 WaterC'' Data'!$AK$4:$AM$6,3,FALSE)=0,"Spatial Data Missing ⚠",VLOOKUP(V119,'G-7 WaterC'' Data'!$AK$4:$AM$6,3,FALSE)))</f>
        <v/>
      </c>
      <c r="Y119" s="311" t="str">
        <f>IFERROR(IF(OR(LEFT(P119,5)="Error",LEFT(O119,5)="Error"),"Check Data ⚠",IF(F119&lt;S119,'G-7 WaterC'' Data'!$R$3,INDEX('G-7 WaterC'' Data'!$U$5:$Y$9,MATCH(G119,'G-7 WaterC'' Data'!$T$5:$T$9,0),MATCH(T119,'G-7 WaterC'' Data'!$U$4:$Y$4,0)))),"")</f>
        <v/>
      </c>
      <c r="Z119" s="138"/>
      <c r="AA119" s="138"/>
      <c r="AB119" s="308" t="str">
        <f t="shared" si="11"/>
        <v/>
      </c>
      <c r="AC119" s="296" t="str">
        <f t="shared" si="16"/>
        <v/>
      </c>
      <c r="AD119" s="334" t="str">
        <f>IFERROR(IF(AC119="Check Data ⚠","Check Data ⚠",VLOOKUP(AC119,'G-4 Temporal multipliers'!$A$4:$C$37,3,FALSE)),"")</f>
        <v/>
      </c>
      <c r="AE119" s="311" t="str">
        <f>IF(N119="","",VLOOKUP(N119,'G-7 WaterC'' Data'!$B$4:$G$8,5,FALSE))</f>
        <v/>
      </c>
      <c r="AF119" s="295" t="str">
        <f t="shared" si="12"/>
        <v/>
      </c>
      <c r="AG119" s="295" t="str">
        <f t="shared" si="17"/>
        <v/>
      </c>
      <c r="AH119" s="276" t="str">
        <f t="shared" si="13"/>
        <v/>
      </c>
      <c r="AI119" s="105"/>
      <c r="AJ119" s="276" t="str">
        <f>IF(AI119="","",(IF(AND(AI119="N/A - Culvert",N119&lt;&gt;"Culvert"),"Not possible ▲",IF(VLOOKUP(AI119,'G-7 WaterC'' Data'!$AA$4:$AB$7,2,FALSE)=0,"Spatial Data Missing ⚠",VLOOKUP(AI119,'G-7 WaterC'' Data'!$AA$4:$AB$7,2,FALSE)))))</f>
        <v/>
      </c>
      <c r="AK119" s="106"/>
      <c r="AL119" s="310" t="str">
        <f>IF(AK119="","",IF(AND(AK119="N/A - Culvert",N119&lt;&gt;"Culvert"),"Not possible ▲",IF(VLOOKUP(AK119,'G-7 WaterC'' Data'!$AD$4:$AE$14,2,FALSE)=0,"Spatial Data Missing ⚠",VLOOKUP(AK119,'G-7 WaterC'' Data'!$AD$4:$AE$14,2,FALSE))))</f>
        <v/>
      </c>
      <c r="AM119" s="275" t="str">
        <f>IF(B119="","",VLOOKUP($B119,'F-1 Off-Site WaterC'' Baseline'!$C$9:$Z$257,17,FALSE))</f>
        <v/>
      </c>
      <c r="AN119" s="276" t="str">
        <f>IF(AM119="","",IF(VLOOKUP(AM119,'G-7 WaterC'' Data'!$AO$4:$BO$7,2,FALSE)=0,"Spatial Data Missing ⚠",VLOOKUP(AM119,'G-7 WaterC'' Data'!$AO$4:$BO$7,2,FALSE)))</f>
        <v/>
      </c>
      <c r="AO119" s="317" t="str">
        <f t="shared" si="18"/>
        <v/>
      </c>
      <c r="AP119" s="317" t="str">
        <f t="shared" si="19"/>
        <v/>
      </c>
      <c r="AQ119" s="101"/>
      <c r="AR119" s="115"/>
      <c r="AS119" s="104"/>
      <c r="AT119" s="104"/>
      <c r="AW119" s="30" t="str">
        <f>IF(E119="","",VLOOKUP($B119,'F-1 Off-Site WaterC'' Baseline'!$C$9:$Z$257,12,FALSE))</f>
        <v/>
      </c>
      <c r="AX119" s="30" t="str">
        <f>IF(E119="","",VLOOKUP($B119,'F-1 Off-Site WaterC'' Baseline'!$C$9:$Z$257,14,FALSE))</f>
        <v/>
      </c>
      <c r="AY119" s="30" t="str">
        <f>IFERROR(INDEX('G-7 WaterC'' Data'!$AZ$3:$AZ$7,MATCH(N119,'G-7 WaterC'' Data'!$AY$3:$AY$7,0)),"")</f>
        <v/>
      </c>
      <c r="AZ119" s="30" t="str">
        <f>IF(B119="","",IF(ISNA(VLOOKUP($B119,'F-1 Off-Site WaterC'' Baseline'!$C$8:$AD$257,20,FALSE)),"",(VLOOKUP($B119,'F-1 Off-Site WaterC'' Baseline'!$C$8:$AD$257,20,FALSE))))</f>
        <v/>
      </c>
      <c r="BC119" s="30" t="str">
        <f>IF(B119="","",VLOOKUP($B119,'F-1 Off-Site WaterC'' Baseline'!$C$9:$AB$257,25,FALSE))</f>
        <v/>
      </c>
      <c r="BD119" s="30" t="str">
        <f t="shared" si="20"/>
        <v/>
      </c>
      <c r="BE119" s="30" t="str">
        <f>IF(B119="","",VLOOKUP($B119,'F-1 Off-Site WaterC'' Baseline'!$C$9:$AB$257,24,FALSE))</f>
        <v/>
      </c>
      <c r="BF119" s="30" t="str">
        <f>IF(B119="","",VLOOKUP($B119,'F-1 Off-Site WaterC'' Baseline'!$C$9:$AB$257,22,FALSE))</f>
        <v/>
      </c>
      <c r="BJ119" s="30" t="str">
        <f t="shared" si="21"/>
        <v>No</v>
      </c>
    </row>
    <row r="120" spans="2:62" ht="14">
      <c r="B120" s="305" t="str">
        <f>'F-1 Off-Site WaterC'' Baseline'!AS118</f>
        <v/>
      </c>
      <c r="C120" s="295" t="str">
        <f>IF(B120="","",VLOOKUP($B120,'F-1 Off-Site WaterC'' Baseline'!$C$9:$R$257,2,FALSE))</f>
        <v/>
      </c>
      <c r="D120" s="295" t="str">
        <f>IF(C120="","",VLOOKUP($B120,'F-1 Off-Site WaterC'' Baseline'!$C$9:$R$257,3,FALSE))</f>
        <v/>
      </c>
      <c r="E120" s="295" t="str">
        <f>IF(D120="","",VLOOKUP($B120,'F-1 Off-Site WaterC'' Baseline'!$C$9:$R$257,4,FALSE))</f>
        <v/>
      </c>
      <c r="F120" s="295" t="str">
        <f>IF(E120="","",VLOOKUP($B120,'F-1 Off-Site WaterC'' Baseline'!$C$9:$R$257,5,FALSE))</f>
        <v/>
      </c>
      <c r="G120" s="295" t="str">
        <f>IF(F120="","",VLOOKUP($B120,'F-1 Off-Site WaterC'' Baseline'!$C$9:$R$257,6,FALSE))</f>
        <v/>
      </c>
      <c r="H120" s="295" t="str">
        <f>IF(G120="","",VLOOKUP($B120,'F-1 Off-Site WaterC'' Baseline'!$C$9:$R$257,7,FALSE))</f>
        <v/>
      </c>
      <c r="I120" s="295" t="str">
        <f>IF(H120="","",VLOOKUP($B120,'F-1 Off-Site WaterC'' Baseline'!$C$9:$R$257,8,FALSE))</f>
        <v/>
      </c>
      <c r="J120" s="295" t="str">
        <f>IF(I120="","",VLOOKUP($B120,'F-1 Off-Site WaterC'' Baseline'!$C$9:$R$257,9,FALSE))</f>
        <v/>
      </c>
      <c r="K120" s="295" t="str">
        <f>IF(J120="","",VLOOKUP($B120,'F-1 Off-Site WaterC'' Baseline'!$C$9:$R$257,10,FALSE))</f>
        <v/>
      </c>
      <c r="L120" s="283" t="str">
        <f>IF(B120="","",VLOOKUP($B120,'F-1 Off-Site WaterC'' Baseline'!$C$9:$R$257,15,FALSE))</f>
        <v/>
      </c>
      <c r="M120" s="299" t="str">
        <f>IF(L120="","",VLOOKUP($B120,'F-1 Off-Site WaterC'' Baseline'!$C$9:$V$257,19,FALSE))</f>
        <v/>
      </c>
      <c r="N120" s="244"/>
      <c r="O120" s="275" t="str">
        <f t="shared" si="14"/>
        <v/>
      </c>
      <c r="P120" s="276" t="str">
        <f t="shared" si="15"/>
        <v/>
      </c>
      <c r="Q120" s="281" t="str">
        <f>IF(N120="","",VLOOKUP(B120,'F-1 Off-Site WaterC'' Baseline'!$C$10:$AF$257,23,FALSE))</f>
        <v/>
      </c>
      <c r="R120" s="275" t="str">
        <f>IF(N120="","",VLOOKUP(N120,'G-7 WaterC'' Data'!$B$2:$G$8,2,FALSE))</f>
        <v/>
      </c>
      <c r="S120" s="276" t="str">
        <f>IFERROR(VLOOKUP(R120,'G-7 WaterC'' Data'!$C$4:$D$8,2,FALSE),"")</f>
        <v/>
      </c>
      <c r="T120" s="101"/>
      <c r="U120" s="276" t="str">
        <f>IFERROR(INDEX('G-7 WaterC'' Data'!$H$4:$L$8,MATCH(N120,'G-7 WaterC'' Data'!$B$4:$B$8,0),MATCH(T120,'G-7 WaterC'' Data'!$H$3:$L$3,0)),"")</f>
        <v/>
      </c>
      <c r="V120" s="105"/>
      <c r="W120" s="295" t="str">
        <f>IF(V120="","",IF(VLOOKUP(V120,'G-7 WaterC'' Data'!$AK$4:$AM$6,2,FALSE)=0,"Spatial Data Missing ⚠",VLOOKUP(V120,'G-7 WaterC'' Data'!$AK$4:$AM$6,2,FALSE)))</f>
        <v/>
      </c>
      <c r="X120" s="299" t="str">
        <f>IF(V120="","",IF(VLOOKUP(V120,'G-7 WaterC'' Data'!$AK$4:$AM$6,3,FALSE)=0,"Spatial Data Missing ⚠",VLOOKUP(V120,'G-7 WaterC'' Data'!$AK$4:$AM$6,3,FALSE)))</f>
        <v/>
      </c>
      <c r="Y120" s="311" t="str">
        <f>IFERROR(IF(OR(LEFT(P120,5)="Error",LEFT(O120,5)="Error"),"Check Data ⚠",IF(F120&lt;S120,'G-7 WaterC'' Data'!$R$3,INDEX('G-7 WaterC'' Data'!$U$5:$Y$9,MATCH(G120,'G-7 WaterC'' Data'!$T$5:$T$9,0),MATCH(T120,'G-7 WaterC'' Data'!$U$4:$Y$4,0)))),"")</f>
        <v/>
      </c>
      <c r="Z120" s="138"/>
      <c r="AA120" s="138"/>
      <c r="AB120" s="308" t="str">
        <f t="shared" si="11"/>
        <v/>
      </c>
      <c r="AC120" s="296" t="str">
        <f t="shared" si="16"/>
        <v/>
      </c>
      <c r="AD120" s="334" t="str">
        <f>IFERROR(IF(AC120="Check Data ⚠","Check Data ⚠",VLOOKUP(AC120,'G-4 Temporal multipliers'!$A$4:$C$37,3,FALSE)),"")</f>
        <v/>
      </c>
      <c r="AE120" s="311" t="str">
        <f>IF(N120="","",VLOOKUP(N120,'G-7 WaterC'' Data'!$B$4:$G$8,5,FALSE))</f>
        <v/>
      </c>
      <c r="AF120" s="295" t="str">
        <f t="shared" si="12"/>
        <v/>
      </c>
      <c r="AG120" s="295" t="str">
        <f t="shared" si="17"/>
        <v/>
      </c>
      <c r="AH120" s="276" t="str">
        <f t="shared" si="13"/>
        <v/>
      </c>
      <c r="AI120" s="105"/>
      <c r="AJ120" s="276" t="str">
        <f>IF(AI120="","",(IF(AND(AI120="N/A - Culvert",N120&lt;&gt;"Culvert"),"Not possible ▲",IF(VLOOKUP(AI120,'G-7 WaterC'' Data'!$AA$4:$AB$7,2,FALSE)=0,"Spatial Data Missing ⚠",VLOOKUP(AI120,'G-7 WaterC'' Data'!$AA$4:$AB$7,2,FALSE)))))</f>
        <v/>
      </c>
      <c r="AK120" s="106"/>
      <c r="AL120" s="310" t="str">
        <f>IF(AK120="","",IF(AND(AK120="N/A - Culvert",N120&lt;&gt;"Culvert"),"Not possible ▲",IF(VLOOKUP(AK120,'G-7 WaterC'' Data'!$AD$4:$AE$14,2,FALSE)=0,"Spatial Data Missing ⚠",VLOOKUP(AK120,'G-7 WaterC'' Data'!$AD$4:$AE$14,2,FALSE))))</f>
        <v/>
      </c>
      <c r="AM120" s="275" t="str">
        <f>IF(B120="","",VLOOKUP($B120,'F-1 Off-Site WaterC'' Baseline'!$C$9:$Z$257,17,FALSE))</f>
        <v/>
      </c>
      <c r="AN120" s="276" t="str">
        <f>IF(AM120="","",IF(VLOOKUP(AM120,'G-7 WaterC'' Data'!$AO$4:$BO$7,2,FALSE)=0,"Spatial Data Missing ⚠",VLOOKUP(AM120,'G-7 WaterC'' Data'!$AO$4:$BO$7,2,FALSE)))</f>
        <v/>
      </c>
      <c r="AO120" s="317" t="str">
        <f t="shared" si="18"/>
        <v/>
      </c>
      <c r="AP120" s="317" t="str">
        <f t="shared" si="19"/>
        <v/>
      </c>
      <c r="AQ120" s="101"/>
      <c r="AR120" s="115"/>
      <c r="AS120" s="104"/>
      <c r="AT120" s="104"/>
      <c r="AW120" s="30" t="str">
        <f>IF(E120="","",VLOOKUP($B120,'F-1 Off-Site WaterC'' Baseline'!$C$9:$Z$257,12,FALSE))</f>
        <v/>
      </c>
      <c r="AX120" s="30" t="str">
        <f>IF(E120="","",VLOOKUP($B120,'F-1 Off-Site WaterC'' Baseline'!$C$9:$Z$257,14,FALSE))</f>
        <v/>
      </c>
      <c r="AY120" s="30" t="str">
        <f>IFERROR(INDEX('G-7 WaterC'' Data'!$AZ$3:$AZ$7,MATCH(N120,'G-7 WaterC'' Data'!$AY$3:$AY$7,0)),"")</f>
        <v/>
      </c>
      <c r="AZ120" s="30" t="str">
        <f>IF(B120="","",IF(ISNA(VLOOKUP($B120,'F-1 Off-Site WaterC'' Baseline'!$C$8:$AD$257,20,FALSE)),"",(VLOOKUP($B120,'F-1 Off-Site WaterC'' Baseline'!$C$8:$AD$257,20,FALSE))))</f>
        <v/>
      </c>
      <c r="BC120" s="30" t="str">
        <f>IF(B120="","",VLOOKUP($B120,'F-1 Off-Site WaterC'' Baseline'!$C$9:$AB$257,25,FALSE))</f>
        <v/>
      </c>
      <c r="BD120" s="30" t="str">
        <f t="shared" si="20"/>
        <v/>
      </c>
      <c r="BE120" s="30" t="str">
        <f>IF(B120="","",VLOOKUP($B120,'F-1 Off-Site WaterC'' Baseline'!$C$9:$AB$257,24,FALSE))</f>
        <v/>
      </c>
      <c r="BF120" s="30" t="str">
        <f>IF(B120="","",VLOOKUP($B120,'F-1 Off-Site WaterC'' Baseline'!$C$9:$AB$257,22,FALSE))</f>
        <v/>
      </c>
      <c r="BJ120" s="30" t="str">
        <f t="shared" si="21"/>
        <v>No</v>
      </c>
    </row>
    <row r="121" spans="2:62" ht="14">
      <c r="B121" s="305" t="str">
        <f>'F-1 Off-Site WaterC'' Baseline'!AS119</f>
        <v/>
      </c>
      <c r="C121" s="295" t="str">
        <f>IF(B121="","",VLOOKUP($B121,'F-1 Off-Site WaterC'' Baseline'!$C$9:$R$257,2,FALSE))</f>
        <v/>
      </c>
      <c r="D121" s="295" t="str">
        <f>IF(C121="","",VLOOKUP($B121,'F-1 Off-Site WaterC'' Baseline'!$C$9:$R$257,3,FALSE))</f>
        <v/>
      </c>
      <c r="E121" s="295" t="str">
        <f>IF(D121="","",VLOOKUP($B121,'F-1 Off-Site WaterC'' Baseline'!$C$9:$R$257,4,FALSE))</f>
        <v/>
      </c>
      <c r="F121" s="295" t="str">
        <f>IF(E121="","",VLOOKUP($B121,'F-1 Off-Site WaterC'' Baseline'!$C$9:$R$257,5,FALSE))</f>
        <v/>
      </c>
      <c r="G121" s="295" t="str">
        <f>IF(F121="","",VLOOKUP($B121,'F-1 Off-Site WaterC'' Baseline'!$C$9:$R$257,6,FALSE))</f>
        <v/>
      </c>
      <c r="H121" s="295" t="str">
        <f>IF(G121="","",VLOOKUP($B121,'F-1 Off-Site WaterC'' Baseline'!$C$9:$R$257,7,FALSE))</f>
        <v/>
      </c>
      <c r="I121" s="295" t="str">
        <f>IF(H121="","",VLOOKUP($B121,'F-1 Off-Site WaterC'' Baseline'!$C$9:$R$257,8,FALSE))</f>
        <v/>
      </c>
      <c r="J121" s="295" t="str">
        <f>IF(I121="","",VLOOKUP($B121,'F-1 Off-Site WaterC'' Baseline'!$C$9:$R$257,9,FALSE))</f>
        <v/>
      </c>
      <c r="K121" s="295" t="str">
        <f>IF(J121="","",VLOOKUP($B121,'F-1 Off-Site WaterC'' Baseline'!$C$9:$R$257,10,FALSE))</f>
        <v/>
      </c>
      <c r="L121" s="283" t="str">
        <f>IF(B121="","",VLOOKUP($B121,'F-1 Off-Site WaterC'' Baseline'!$C$9:$R$257,15,FALSE))</f>
        <v/>
      </c>
      <c r="M121" s="299" t="str">
        <f>IF(L121="","",VLOOKUP($B121,'F-1 Off-Site WaterC'' Baseline'!$C$9:$V$257,19,FALSE))</f>
        <v/>
      </c>
      <c r="N121" s="244"/>
      <c r="O121" s="275" t="str">
        <f t="shared" si="14"/>
        <v/>
      </c>
      <c r="P121" s="276" t="str">
        <f t="shared" si="15"/>
        <v/>
      </c>
      <c r="Q121" s="281" t="str">
        <f>IF(N121="","",VLOOKUP(B121,'F-1 Off-Site WaterC'' Baseline'!$C$10:$AF$257,23,FALSE))</f>
        <v/>
      </c>
      <c r="R121" s="275" t="str">
        <f>IF(N121="","",VLOOKUP(N121,'G-7 WaterC'' Data'!$B$2:$G$8,2,FALSE))</f>
        <v/>
      </c>
      <c r="S121" s="276" t="str">
        <f>IFERROR(VLOOKUP(R121,'G-7 WaterC'' Data'!$C$4:$D$8,2,FALSE),"")</f>
        <v/>
      </c>
      <c r="T121" s="101"/>
      <c r="U121" s="276" t="str">
        <f>IFERROR(INDEX('G-7 WaterC'' Data'!$H$4:$L$8,MATCH(N121,'G-7 WaterC'' Data'!$B$4:$B$8,0),MATCH(T121,'G-7 WaterC'' Data'!$H$3:$L$3,0)),"")</f>
        <v/>
      </c>
      <c r="V121" s="105"/>
      <c r="W121" s="295" t="str">
        <f>IF(V121="","",IF(VLOOKUP(V121,'G-7 WaterC'' Data'!$AK$4:$AM$6,2,FALSE)=0,"Spatial Data Missing ⚠",VLOOKUP(V121,'G-7 WaterC'' Data'!$AK$4:$AM$6,2,FALSE)))</f>
        <v/>
      </c>
      <c r="X121" s="299" t="str">
        <f>IF(V121="","",IF(VLOOKUP(V121,'G-7 WaterC'' Data'!$AK$4:$AM$6,3,FALSE)=0,"Spatial Data Missing ⚠",VLOOKUP(V121,'G-7 WaterC'' Data'!$AK$4:$AM$6,3,FALSE)))</f>
        <v/>
      </c>
      <c r="Y121" s="311" t="str">
        <f>IFERROR(IF(OR(LEFT(P121,5)="Error",LEFT(O121,5)="Error"),"Check Data ⚠",IF(F121&lt;S121,'G-7 WaterC'' Data'!$R$3,INDEX('G-7 WaterC'' Data'!$U$5:$Y$9,MATCH(G121,'G-7 WaterC'' Data'!$T$5:$T$9,0),MATCH(T121,'G-7 WaterC'' Data'!$U$4:$Y$4,0)))),"")</f>
        <v/>
      </c>
      <c r="Z121" s="138"/>
      <c r="AA121" s="138"/>
      <c r="AB121" s="308" t="str">
        <f t="shared" si="11"/>
        <v/>
      </c>
      <c r="AC121" s="296" t="str">
        <f t="shared" si="16"/>
        <v/>
      </c>
      <c r="AD121" s="334" t="str">
        <f>IFERROR(IF(AC121="Check Data ⚠","Check Data ⚠",VLOOKUP(AC121,'G-4 Temporal multipliers'!$A$4:$C$37,3,FALSE)),"")</f>
        <v/>
      </c>
      <c r="AE121" s="311" t="str">
        <f>IF(N121="","",VLOOKUP(N121,'G-7 WaterC'' Data'!$B$4:$G$8,5,FALSE))</f>
        <v/>
      </c>
      <c r="AF121" s="295" t="str">
        <f t="shared" si="12"/>
        <v/>
      </c>
      <c r="AG121" s="295" t="str">
        <f t="shared" si="17"/>
        <v/>
      </c>
      <c r="AH121" s="276" t="str">
        <f t="shared" si="13"/>
        <v/>
      </c>
      <c r="AI121" s="105"/>
      <c r="AJ121" s="276" t="str">
        <f>IF(AI121="","",(IF(AND(AI121="N/A - Culvert",N121&lt;&gt;"Culvert"),"Not possible ▲",IF(VLOOKUP(AI121,'G-7 WaterC'' Data'!$AA$4:$AB$7,2,FALSE)=0,"Spatial Data Missing ⚠",VLOOKUP(AI121,'G-7 WaterC'' Data'!$AA$4:$AB$7,2,FALSE)))))</f>
        <v/>
      </c>
      <c r="AK121" s="106"/>
      <c r="AL121" s="310" t="str">
        <f>IF(AK121="","",IF(AND(AK121="N/A - Culvert",N121&lt;&gt;"Culvert"),"Not possible ▲",IF(VLOOKUP(AK121,'G-7 WaterC'' Data'!$AD$4:$AE$14,2,FALSE)=0,"Spatial Data Missing ⚠",VLOOKUP(AK121,'G-7 WaterC'' Data'!$AD$4:$AE$14,2,FALSE))))</f>
        <v/>
      </c>
      <c r="AM121" s="275" t="str">
        <f>IF(B121="","",VLOOKUP($B121,'F-1 Off-Site WaterC'' Baseline'!$C$9:$Z$257,17,FALSE))</f>
        <v/>
      </c>
      <c r="AN121" s="276" t="str">
        <f>IF(AM121="","",IF(VLOOKUP(AM121,'G-7 WaterC'' Data'!$AO$4:$BO$7,2,FALSE)=0,"Spatial Data Missing ⚠",VLOOKUP(AM121,'G-7 WaterC'' Data'!$AO$4:$BO$7,2,FALSE)))</f>
        <v/>
      </c>
      <c r="AO121" s="317" t="str">
        <f t="shared" si="18"/>
        <v/>
      </c>
      <c r="AP121" s="317" t="str">
        <f t="shared" si="19"/>
        <v/>
      </c>
      <c r="AQ121" s="101"/>
      <c r="AR121" s="115"/>
      <c r="AS121" s="104"/>
      <c r="AT121" s="104"/>
      <c r="AW121" s="30" t="str">
        <f>IF(E121="","",VLOOKUP($B121,'F-1 Off-Site WaterC'' Baseline'!$C$9:$Z$257,12,FALSE))</f>
        <v/>
      </c>
      <c r="AX121" s="30" t="str">
        <f>IF(E121="","",VLOOKUP($B121,'F-1 Off-Site WaterC'' Baseline'!$C$9:$Z$257,14,FALSE))</f>
        <v/>
      </c>
      <c r="AY121" s="30" t="str">
        <f>IFERROR(INDEX('G-7 WaterC'' Data'!$AZ$3:$AZ$7,MATCH(N121,'G-7 WaterC'' Data'!$AY$3:$AY$7,0)),"")</f>
        <v/>
      </c>
      <c r="AZ121" s="30" t="str">
        <f>IF(B121="","",IF(ISNA(VLOOKUP($B121,'F-1 Off-Site WaterC'' Baseline'!$C$8:$AD$257,20,FALSE)),"",(VLOOKUP($B121,'F-1 Off-Site WaterC'' Baseline'!$C$8:$AD$257,20,FALSE))))</f>
        <v/>
      </c>
      <c r="BC121" s="30" t="str">
        <f>IF(B121="","",VLOOKUP($B121,'F-1 Off-Site WaterC'' Baseline'!$C$9:$AB$257,25,FALSE))</f>
        <v/>
      </c>
      <c r="BD121" s="30" t="str">
        <f t="shared" si="20"/>
        <v/>
      </c>
      <c r="BE121" s="30" t="str">
        <f>IF(B121="","",VLOOKUP($B121,'F-1 Off-Site WaterC'' Baseline'!$C$9:$AB$257,24,FALSE))</f>
        <v/>
      </c>
      <c r="BF121" s="30" t="str">
        <f>IF(B121="","",VLOOKUP($B121,'F-1 Off-Site WaterC'' Baseline'!$C$9:$AB$257,22,FALSE))</f>
        <v/>
      </c>
      <c r="BJ121" s="30" t="str">
        <f t="shared" si="21"/>
        <v>No</v>
      </c>
    </row>
    <row r="122" spans="2:62" ht="14">
      <c r="B122" s="305" t="str">
        <f>'F-1 Off-Site WaterC'' Baseline'!AS120</f>
        <v/>
      </c>
      <c r="C122" s="295" t="str">
        <f>IF(B122="","",VLOOKUP($B122,'F-1 Off-Site WaterC'' Baseline'!$C$9:$R$257,2,FALSE))</f>
        <v/>
      </c>
      <c r="D122" s="295" t="str">
        <f>IF(C122="","",VLOOKUP($B122,'F-1 Off-Site WaterC'' Baseline'!$C$9:$R$257,3,FALSE))</f>
        <v/>
      </c>
      <c r="E122" s="295" t="str">
        <f>IF(D122="","",VLOOKUP($B122,'F-1 Off-Site WaterC'' Baseline'!$C$9:$R$257,4,FALSE))</f>
        <v/>
      </c>
      <c r="F122" s="295" t="str">
        <f>IF(E122="","",VLOOKUP($B122,'F-1 Off-Site WaterC'' Baseline'!$C$9:$R$257,5,FALSE))</f>
        <v/>
      </c>
      <c r="G122" s="295" t="str">
        <f>IF(F122="","",VLOOKUP($B122,'F-1 Off-Site WaterC'' Baseline'!$C$9:$R$257,6,FALSE))</f>
        <v/>
      </c>
      <c r="H122" s="295" t="str">
        <f>IF(G122="","",VLOOKUP($B122,'F-1 Off-Site WaterC'' Baseline'!$C$9:$R$257,7,FALSE))</f>
        <v/>
      </c>
      <c r="I122" s="295" t="str">
        <f>IF(H122="","",VLOOKUP($B122,'F-1 Off-Site WaterC'' Baseline'!$C$9:$R$257,8,FALSE))</f>
        <v/>
      </c>
      <c r="J122" s="295" t="str">
        <f>IF(I122="","",VLOOKUP($B122,'F-1 Off-Site WaterC'' Baseline'!$C$9:$R$257,9,FALSE))</f>
        <v/>
      </c>
      <c r="K122" s="295" t="str">
        <f>IF(J122="","",VLOOKUP($B122,'F-1 Off-Site WaterC'' Baseline'!$C$9:$R$257,10,FALSE))</f>
        <v/>
      </c>
      <c r="L122" s="283" t="str">
        <f>IF(B122="","",VLOOKUP($B122,'F-1 Off-Site WaterC'' Baseline'!$C$9:$R$257,15,FALSE))</f>
        <v/>
      </c>
      <c r="M122" s="299" t="str">
        <f>IF(L122="","",VLOOKUP($B122,'F-1 Off-Site WaterC'' Baseline'!$C$9:$V$257,19,FALSE))</f>
        <v/>
      </c>
      <c r="N122" s="244"/>
      <c r="O122" s="275" t="str">
        <f t="shared" si="14"/>
        <v/>
      </c>
      <c r="P122" s="276" t="str">
        <f t="shared" si="15"/>
        <v/>
      </c>
      <c r="Q122" s="281" t="str">
        <f>IF(N122="","",VLOOKUP(B122,'F-1 Off-Site WaterC'' Baseline'!$C$10:$AF$257,23,FALSE))</f>
        <v/>
      </c>
      <c r="R122" s="275" t="str">
        <f>IF(N122="","",VLOOKUP(N122,'G-7 WaterC'' Data'!$B$2:$G$8,2,FALSE))</f>
        <v/>
      </c>
      <c r="S122" s="276" t="str">
        <f>IFERROR(VLOOKUP(R122,'G-7 WaterC'' Data'!$C$4:$D$8,2,FALSE),"")</f>
        <v/>
      </c>
      <c r="T122" s="101"/>
      <c r="U122" s="276" t="str">
        <f>IFERROR(INDEX('G-7 WaterC'' Data'!$H$4:$L$8,MATCH(N122,'G-7 WaterC'' Data'!$B$4:$B$8,0),MATCH(T122,'G-7 WaterC'' Data'!$H$3:$L$3,0)),"")</f>
        <v/>
      </c>
      <c r="V122" s="105"/>
      <c r="W122" s="295" t="str">
        <f>IF(V122="","",IF(VLOOKUP(V122,'G-7 WaterC'' Data'!$AK$4:$AM$6,2,FALSE)=0,"Spatial Data Missing ⚠",VLOOKUP(V122,'G-7 WaterC'' Data'!$AK$4:$AM$6,2,FALSE)))</f>
        <v/>
      </c>
      <c r="X122" s="299" t="str">
        <f>IF(V122="","",IF(VLOOKUP(V122,'G-7 WaterC'' Data'!$AK$4:$AM$6,3,FALSE)=0,"Spatial Data Missing ⚠",VLOOKUP(V122,'G-7 WaterC'' Data'!$AK$4:$AM$6,3,FALSE)))</f>
        <v/>
      </c>
      <c r="Y122" s="311" t="str">
        <f>IFERROR(IF(OR(LEFT(P122,5)="Error",LEFT(O122,5)="Error"),"Check Data ⚠",IF(F122&lt;S122,'G-7 WaterC'' Data'!$R$3,INDEX('G-7 WaterC'' Data'!$U$5:$Y$9,MATCH(G122,'G-7 WaterC'' Data'!$T$5:$T$9,0),MATCH(T122,'G-7 WaterC'' Data'!$U$4:$Y$4,0)))),"")</f>
        <v/>
      </c>
      <c r="Z122" s="138"/>
      <c r="AA122" s="138"/>
      <c r="AB122" s="308" t="str">
        <f t="shared" si="11"/>
        <v/>
      </c>
      <c r="AC122" s="296" t="str">
        <f t="shared" si="16"/>
        <v/>
      </c>
      <c r="AD122" s="334" t="str">
        <f>IFERROR(IF(AC122="Check Data ⚠","Check Data ⚠",VLOOKUP(AC122,'G-4 Temporal multipliers'!$A$4:$C$37,3,FALSE)),"")</f>
        <v/>
      </c>
      <c r="AE122" s="311" t="str">
        <f>IF(N122="","",VLOOKUP(N122,'G-7 WaterC'' Data'!$B$4:$G$8,5,FALSE))</f>
        <v/>
      </c>
      <c r="AF122" s="295" t="str">
        <f t="shared" si="12"/>
        <v/>
      </c>
      <c r="AG122" s="295" t="str">
        <f t="shared" si="17"/>
        <v/>
      </c>
      <c r="AH122" s="276" t="str">
        <f t="shared" si="13"/>
        <v/>
      </c>
      <c r="AI122" s="105"/>
      <c r="AJ122" s="276" t="str">
        <f>IF(AI122="","",(IF(AND(AI122="N/A - Culvert",N122&lt;&gt;"Culvert"),"Not possible ▲",IF(VLOOKUP(AI122,'G-7 WaterC'' Data'!$AA$4:$AB$7,2,FALSE)=0,"Spatial Data Missing ⚠",VLOOKUP(AI122,'G-7 WaterC'' Data'!$AA$4:$AB$7,2,FALSE)))))</f>
        <v/>
      </c>
      <c r="AK122" s="106"/>
      <c r="AL122" s="310" t="str">
        <f>IF(AK122="","",IF(AND(AK122="N/A - Culvert",N122&lt;&gt;"Culvert"),"Not possible ▲",IF(VLOOKUP(AK122,'G-7 WaterC'' Data'!$AD$4:$AE$14,2,FALSE)=0,"Spatial Data Missing ⚠",VLOOKUP(AK122,'G-7 WaterC'' Data'!$AD$4:$AE$14,2,FALSE))))</f>
        <v/>
      </c>
      <c r="AM122" s="275" t="str">
        <f>IF(B122="","",VLOOKUP($B122,'F-1 Off-Site WaterC'' Baseline'!$C$9:$Z$257,17,FALSE))</f>
        <v/>
      </c>
      <c r="AN122" s="276" t="str">
        <f>IF(AM122="","",IF(VLOOKUP(AM122,'G-7 WaterC'' Data'!$AO$4:$BO$7,2,FALSE)=0,"Spatial Data Missing ⚠",VLOOKUP(AM122,'G-7 WaterC'' Data'!$AO$4:$BO$7,2,FALSE)))</f>
        <v/>
      </c>
      <c r="AO122" s="317" t="str">
        <f t="shared" si="18"/>
        <v/>
      </c>
      <c r="AP122" s="317" t="str">
        <f t="shared" si="19"/>
        <v/>
      </c>
      <c r="AQ122" s="101"/>
      <c r="AR122" s="115"/>
      <c r="AS122" s="104"/>
      <c r="AT122" s="104"/>
      <c r="AW122" s="30" t="str">
        <f>IF(E122="","",VLOOKUP($B122,'F-1 Off-Site WaterC'' Baseline'!$C$9:$Z$257,12,FALSE))</f>
        <v/>
      </c>
      <c r="AX122" s="30" t="str">
        <f>IF(E122="","",VLOOKUP($B122,'F-1 Off-Site WaterC'' Baseline'!$C$9:$Z$257,14,FALSE))</f>
        <v/>
      </c>
      <c r="AY122" s="30" t="str">
        <f>IFERROR(INDEX('G-7 WaterC'' Data'!$AZ$3:$AZ$7,MATCH(N122,'G-7 WaterC'' Data'!$AY$3:$AY$7,0)),"")</f>
        <v/>
      </c>
      <c r="AZ122" s="30" t="str">
        <f>IF(B122="","",IF(ISNA(VLOOKUP($B122,'F-1 Off-Site WaterC'' Baseline'!$C$8:$AD$257,20,FALSE)),"",(VLOOKUP($B122,'F-1 Off-Site WaterC'' Baseline'!$C$8:$AD$257,20,FALSE))))</f>
        <v/>
      </c>
      <c r="BC122" s="30" t="str">
        <f>IF(B122="","",VLOOKUP($B122,'F-1 Off-Site WaterC'' Baseline'!$C$9:$AB$257,25,FALSE))</f>
        <v/>
      </c>
      <c r="BD122" s="30" t="str">
        <f t="shared" si="20"/>
        <v/>
      </c>
      <c r="BE122" s="30" t="str">
        <f>IF(B122="","",VLOOKUP($B122,'F-1 Off-Site WaterC'' Baseline'!$C$9:$AB$257,24,FALSE))</f>
        <v/>
      </c>
      <c r="BF122" s="30" t="str">
        <f>IF(B122="","",VLOOKUP($B122,'F-1 Off-Site WaterC'' Baseline'!$C$9:$AB$257,22,FALSE))</f>
        <v/>
      </c>
      <c r="BJ122" s="30" t="str">
        <f t="shared" si="21"/>
        <v>No</v>
      </c>
    </row>
    <row r="123" spans="2:62" ht="14">
      <c r="B123" s="305" t="str">
        <f>'F-1 Off-Site WaterC'' Baseline'!AS121</f>
        <v/>
      </c>
      <c r="C123" s="295" t="str">
        <f>IF(B123="","",VLOOKUP($B123,'F-1 Off-Site WaterC'' Baseline'!$C$9:$R$257,2,FALSE))</f>
        <v/>
      </c>
      <c r="D123" s="295" t="str">
        <f>IF(C123="","",VLOOKUP($B123,'F-1 Off-Site WaterC'' Baseline'!$C$9:$R$257,3,FALSE))</f>
        <v/>
      </c>
      <c r="E123" s="295" t="str">
        <f>IF(D123="","",VLOOKUP($B123,'F-1 Off-Site WaterC'' Baseline'!$C$9:$R$257,4,FALSE))</f>
        <v/>
      </c>
      <c r="F123" s="295" t="str">
        <f>IF(E123="","",VLOOKUP($B123,'F-1 Off-Site WaterC'' Baseline'!$C$9:$R$257,5,FALSE))</f>
        <v/>
      </c>
      <c r="G123" s="295" t="str">
        <f>IF(F123="","",VLOOKUP($B123,'F-1 Off-Site WaterC'' Baseline'!$C$9:$R$257,6,FALSE))</f>
        <v/>
      </c>
      <c r="H123" s="295" t="str">
        <f>IF(G123="","",VLOOKUP($B123,'F-1 Off-Site WaterC'' Baseline'!$C$9:$R$257,7,FALSE))</f>
        <v/>
      </c>
      <c r="I123" s="295" t="str">
        <f>IF(H123="","",VLOOKUP($B123,'F-1 Off-Site WaterC'' Baseline'!$C$9:$R$257,8,FALSE))</f>
        <v/>
      </c>
      <c r="J123" s="295" t="str">
        <f>IF(I123="","",VLOOKUP($B123,'F-1 Off-Site WaterC'' Baseline'!$C$9:$R$257,9,FALSE))</f>
        <v/>
      </c>
      <c r="K123" s="295" t="str">
        <f>IF(J123="","",VLOOKUP($B123,'F-1 Off-Site WaterC'' Baseline'!$C$9:$R$257,10,FALSE))</f>
        <v/>
      </c>
      <c r="L123" s="283" t="str">
        <f>IF(B123="","",VLOOKUP($B123,'F-1 Off-Site WaterC'' Baseline'!$C$9:$R$257,15,FALSE))</f>
        <v/>
      </c>
      <c r="M123" s="299" t="str">
        <f>IF(L123="","",VLOOKUP($B123,'F-1 Off-Site WaterC'' Baseline'!$C$9:$V$257,19,FALSE))</f>
        <v/>
      </c>
      <c r="N123" s="244"/>
      <c r="O123" s="275" t="str">
        <f t="shared" si="14"/>
        <v/>
      </c>
      <c r="P123" s="276" t="str">
        <f t="shared" si="15"/>
        <v/>
      </c>
      <c r="Q123" s="281" t="str">
        <f>IF(N123="","",VLOOKUP(B123,'F-1 Off-Site WaterC'' Baseline'!$C$10:$AF$257,23,FALSE))</f>
        <v/>
      </c>
      <c r="R123" s="275" t="str">
        <f>IF(N123="","",VLOOKUP(N123,'G-7 WaterC'' Data'!$B$2:$G$8,2,FALSE))</f>
        <v/>
      </c>
      <c r="S123" s="276" t="str">
        <f>IFERROR(VLOOKUP(R123,'G-7 WaterC'' Data'!$C$4:$D$8,2,FALSE),"")</f>
        <v/>
      </c>
      <c r="T123" s="101"/>
      <c r="U123" s="276" t="str">
        <f>IFERROR(INDEX('G-7 WaterC'' Data'!$H$4:$L$8,MATCH(N123,'G-7 WaterC'' Data'!$B$4:$B$8,0),MATCH(T123,'G-7 WaterC'' Data'!$H$3:$L$3,0)),"")</f>
        <v/>
      </c>
      <c r="V123" s="105"/>
      <c r="W123" s="295" t="str">
        <f>IF(V123="","",IF(VLOOKUP(V123,'G-7 WaterC'' Data'!$AK$4:$AM$6,2,FALSE)=0,"Spatial Data Missing ⚠",VLOOKUP(V123,'G-7 WaterC'' Data'!$AK$4:$AM$6,2,FALSE)))</f>
        <v/>
      </c>
      <c r="X123" s="299" t="str">
        <f>IF(V123="","",IF(VLOOKUP(V123,'G-7 WaterC'' Data'!$AK$4:$AM$6,3,FALSE)=0,"Spatial Data Missing ⚠",VLOOKUP(V123,'G-7 WaterC'' Data'!$AK$4:$AM$6,3,FALSE)))</f>
        <v/>
      </c>
      <c r="Y123" s="311" t="str">
        <f>IFERROR(IF(OR(LEFT(P123,5)="Error",LEFT(O123,5)="Error"),"Check Data ⚠",IF(F123&lt;S123,'G-7 WaterC'' Data'!$R$3,INDEX('G-7 WaterC'' Data'!$U$5:$Y$9,MATCH(G123,'G-7 WaterC'' Data'!$T$5:$T$9,0),MATCH(T123,'G-7 WaterC'' Data'!$U$4:$Y$4,0)))),"")</f>
        <v/>
      </c>
      <c r="Z123" s="138"/>
      <c r="AA123" s="138"/>
      <c r="AB123" s="308" t="str">
        <f t="shared" si="11"/>
        <v/>
      </c>
      <c r="AC123" s="296" t="str">
        <f t="shared" si="16"/>
        <v/>
      </c>
      <c r="AD123" s="334" t="str">
        <f>IFERROR(IF(AC123="Check Data ⚠","Check Data ⚠",VLOOKUP(AC123,'G-4 Temporal multipliers'!$A$4:$C$37,3,FALSE)),"")</f>
        <v/>
      </c>
      <c r="AE123" s="311" t="str">
        <f>IF(N123="","",VLOOKUP(N123,'G-7 WaterC'' Data'!$B$4:$G$8,5,FALSE))</f>
        <v/>
      </c>
      <c r="AF123" s="295" t="str">
        <f t="shared" si="12"/>
        <v/>
      </c>
      <c r="AG123" s="295" t="str">
        <f t="shared" si="17"/>
        <v/>
      </c>
      <c r="AH123" s="276" t="str">
        <f t="shared" si="13"/>
        <v/>
      </c>
      <c r="AI123" s="105"/>
      <c r="AJ123" s="276" t="str">
        <f>IF(AI123="","",(IF(AND(AI123="N/A - Culvert",N123&lt;&gt;"Culvert"),"Not possible ▲",IF(VLOOKUP(AI123,'G-7 WaterC'' Data'!$AA$4:$AB$7,2,FALSE)=0,"Spatial Data Missing ⚠",VLOOKUP(AI123,'G-7 WaterC'' Data'!$AA$4:$AB$7,2,FALSE)))))</f>
        <v/>
      </c>
      <c r="AK123" s="106"/>
      <c r="AL123" s="310" t="str">
        <f>IF(AK123="","",IF(AND(AK123="N/A - Culvert",N123&lt;&gt;"Culvert"),"Not possible ▲",IF(VLOOKUP(AK123,'G-7 WaterC'' Data'!$AD$4:$AE$14,2,FALSE)=0,"Spatial Data Missing ⚠",VLOOKUP(AK123,'G-7 WaterC'' Data'!$AD$4:$AE$14,2,FALSE))))</f>
        <v/>
      </c>
      <c r="AM123" s="275" t="str">
        <f>IF(B123="","",VLOOKUP($B123,'F-1 Off-Site WaterC'' Baseline'!$C$9:$Z$257,17,FALSE))</f>
        <v/>
      </c>
      <c r="AN123" s="276" t="str">
        <f>IF(AM123="","",IF(VLOOKUP(AM123,'G-7 WaterC'' Data'!$AO$4:$BO$7,2,FALSE)=0,"Spatial Data Missing ⚠",VLOOKUP(AM123,'G-7 WaterC'' Data'!$AO$4:$BO$7,2,FALSE)))</f>
        <v/>
      </c>
      <c r="AO123" s="317" t="str">
        <f t="shared" si="18"/>
        <v/>
      </c>
      <c r="AP123" s="317" t="str">
        <f t="shared" si="19"/>
        <v/>
      </c>
      <c r="AQ123" s="101"/>
      <c r="AR123" s="115"/>
      <c r="AS123" s="104"/>
      <c r="AT123" s="104"/>
      <c r="AW123" s="30" t="str">
        <f>IF(E123="","",VLOOKUP($B123,'F-1 Off-Site WaterC'' Baseline'!$C$9:$Z$257,12,FALSE))</f>
        <v/>
      </c>
      <c r="AX123" s="30" t="str">
        <f>IF(E123="","",VLOOKUP($B123,'F-1 Off-Site WaterC'' Baseline'!$C$9:$Z$257,14,FALSE))</f>
        <v/>
      </c>
      <c r="AY123" s="30" t="str">
        <f>IFERROR(INDEX('G-7 WaterC'' Data'!$AZ$3:$AZ$7,MATCH(N123,'G-7 WaterC'' Data'!$AY$3:$AY$7,0)),"")</f>
        <v/>
      </c>
      <c r="AZ123" s="30" t="str">
        <f>IF(B123="","",IF(ISNA(VLOOKUP($B123,'F-1 Off-Site WaterC'' Baseline'!$C$8:$AD$257,20,FALSE)),"",(VLOOKUP($B123,'F-1 Off-Site WaterC'' Baseline'!$C$8:$AD$257,20,FALSE))))</f>
        <v/>
      </c>
      <c r="BC123" s="30" t="str">
        <f>IF(B123="","",VLOOKUP($B123,'F-1 Off-Site WaterC'' Baseline'!$C$9:$AB$257,25,FALSE))</f>
        <v/>
      </c>
      <c r="BD123" s="30" t="str">
        <f t="shared" si="20"/>
        <v/>
      </c>
      <c r="BE123" s="30" t="str">
        <f>IF(B123="","",VLOOKUP($B123,'F-1 Off-Site WaterC'' Baseline'!$C$9:$AB$257,24,FALSE))</f>
        <v/>
      </c>
      <c r="BF123" s="30" t="str">
        <f>IF(B123="","",VLOOKUP($B123,'F-1 Off-Site WaterC'' Baseline'!$C$9:$AB$257,22,FALSE))</f>
        <v/>
      </c>
      <c r="BJ123" s="30" t="str">
        <f t="shared" si="21"/>
        <v>No</v>
      </c>
    </row>
    <row r="124" spans="2:62" ht="14">
      <c r="B124" s="305" t="str">
        <f>'F-1 Off-Site WaterC'' Baseline'!AS122</f>
        <v/>
      </c>
      <c r="C124" s="295" t="str">
        <f>IF(B124="","",VLOOKUP($B124,'F-1 Off-Site WaterC'' Baseline'!$C$9:$R$257,2,FALSE))</f>
        <v/>
      </c>
      <c r="D124" s="295" t="str">
        <f>IF(C124="","",VLOOKUP($B124,'F-1 Off-Site WaterC'' Baseline'!$C$9:$R$257,3,FALSE))</f>
        <v/>
      </c>
      <c r="E124" s="295" t="str">
        <f>IF(D124="","",VLOOKUP($B124,'F-1 Off-Site WaterC'' Baseline'!$C$9:$R$257,4,FALSE))</f>
        <v/>
      </c>
      <c r="F124" s="295" t="str">
        <f>IF(E124="","",VLOOKUP($B124,'F-1 Off-Site WaterC'' Baseline'!$C$9:$R$257,5,FALSE))</f>
        <v/>
      </c>
      <c r="G124" s="295" t="str">
        <f>IF(F124="","",VLOOKUP($B124,'F-1 Off-Site WaterC'' Baseline'!$C$9:$R$257,6,FALSE))</f>
        <v/>
      </c>
      <c r="H124" s="295" t="str">
        <f>IF(G124="","",VLOOKUP($B124,'F-1 Off-Site WaterC'' Baseline'!$C$9:$R$257,7,FALSE))</f>
        <v/>
      </c>
      <c r="I124" s="295" t="str">
        <f>IF(H124="","",VLOOKUP($B124,'F-1 Off-Site WaterC'' Baseline'!$C$9:$R$257,8,FALSE))</f>
        <v/>
      </c>
      <c r="J124" s="295" t="str">
        <f>IF(I124="","",VLOOKUP($B124,'F-1 Off-Site WaterC'' Baseline'!$C$9:$R$257,9,FALSE))</f>
        <v/>
      </c>
      <c r="K124" s="295" t="str">
        <f>IF(J124="","",VLOOKUP($B124,'F-1 Off-Site WaterC'' Baseline'!$C$9:$R$257,10,FALSE))</f>
        <v/>
      </c>
      <c r="L124" s="283" t="str">
        <f>IF(B124="","",VLOOKUP($B124,'F-1 Off-Site WaterC'' Baseline'!$C$9:$R$257,15,FALSE))</f>
        <v/>
      </c>
      <c r="M124" s="299" t="str">
        <f>IF(L124="","",VLOOKUP($B124,'F-1 Off-Site WaterC'' Baseline'!$C$9:$V$257,19,FALSE))</f>
        <v/>
      </c>
      <c r="N124" s="244"/>
      <c r="O124" s="275" t="str">
        <f t="shared" si="14"/>
        <v/>
      </c>
      <c r="P124" s="276" t="str">
        <f t="shared" si="15"/>
        <v/>
      </c>
      <c r="Q124" s="281" t="str">
        <f>IF(N124="","",VLOOKUP(B124,'F-1 Off-Site WaterC'' Baseline'!$C$10:$AF$257,23,FALSE))</f>
        <v/>
      </c>
      <c r="R124" s="275" t="str">
        <f>IF(N124="","",VLOOKUP(N124,'G-7 WaterC'' Data'!$B$2:$G$8,2,FALSE))</f>
        <v/>
      </c>
      <c r="S124" s="276" t="str">
        <f>IFERROR(VLOOKUP(R124,'G-7 WaterC'' Data'!$C$4:$D$8,2,FALSE),"")</f>
        <v/>
      </c>
      <c r="T124" s="101"/>
      <c r="U124" s="276" t="str">
        <f>IFERROR(INDEX('G-7 WaterC'' Data'!$H$4:$L$8,MATCH(N124,'G-7 WaterC'' Data'!$B$4:$B$8,0),MATCH(T124,'G-7 WaterC'' Data'!$H$3:$L$3,0)),"")</f>
        <v/>
      </c>
      <c r="V124" s="105"/>
      <c r="W124" s="295" t="str">
        <f>IF(V124="","",IF(VLOOKUP(V124,'G-7 WaterC'' Data'!$AK$4:$AM$6,2,FALSE)=0,"Spatial Data Missing ⚠",VLOOKUP(V124,'G-7 WaterC'' Data'!$AK$4:$AM$6,2,FALSE)))</f>
        <v/>
      </c>
      <c r="X124" s="299" t="str">
        <f>IF(V124="","",IF(VLOOKUP(V124,'G-7 WaterC'' Data'!$AK$4:$AM$6,3,FALSE)=0,"Spatial Data Missing ⚠",VLOOKUP(V124,'G-7 WaterC'' Data'!$AK$4:$AM$6,3,FALSE)))</f>
        <v/>
      </c>
      <c r="Y124" s="311" t="str">
        <f>IFERROR(IF(OR(LEFT(P124,5)="Error",LEFT(O124,5)="Error"),"Check Data ⚠",IF(F124&lt;S124,'G-7 WaterC'' Data'!$R$3,INDEX('G-7 WaterC'' Data'!$U$5:$Y$9,MATCH(G124,'G-7 WaterC'' Data'!$T$5:$T$9,0),MATCH(T124,'G-7 WaterC'' Data'!$U$4:$Y$4,0)))),"")</f>
        <v/>
      </c>
      <c r="Z124" s="138"/>
      <c r="AA124" s="138"/>
      <c r="AB124" s="308" t="str">
        <f t="shared" si="11"/>
        <v/>
      </c>
      <c r="AC124" s="296" t="str">
        <f t="shared" si="16"/>
        <v/>
      </c>
      <c r="AD124" s="334" t="str">
        <f>IFERROR(IF(AC124="Check Data ⚠","Check Data ⚠",VLOOKUP(AC124,'G-4 Temporal multipliers'!$A$4:$C$37,3,FALSE)),"")</f>
        <v/>
      </c>
      <c r="AE124" s="311" t="str">
        <f>IF(N124="","",VLOOKUP(N124,'G-7 WaterC'' Data'!$B$4:$G$8,5,FALSE))</f>
        <v/>
      </c>
      <c r="AF124" s="295" t="str">
        <f t="shared" si="12"/>
        <v/>
      </c>
      <c r="AG124" s="295" t="str">
        <f t="shared" si="17"/>
        <v/>
      </c>
      <c r="AH124" s="276" t="str">
        <f t="shared" si="13"/>
        <v/>
      </c>
      <c r="AI124" s="105"/>
      <c r="AJ124" s="276" t="str">
        <f>IF(AI124="","",(IF(AND(AI124="N/A - Culvert",N124&lt;&gt;"Culvert"),"Not possible ▲",IF(VLOOKUP(AI124,'G-7 WaterC'' Data'!$AA$4:$AB$7,2,FALSE)=0,"Spatial Data Missing ⚠",VLOOKUP(AI124,'G-7 WaterC'' Data'!$AA$4:$AB$7,2,FALSE)))))</f>
        <v/>
      </c>
      <c r="AK124" s="106"/>
      <c r="AL124" s="310" t="str">
        <f>IF(AK124="","",IF(AND(AK124="N/A - Culvert",N124&lt;&gt;"Culvert"),"Not possible ▲",IF(VLOOKUP(AK124,'G-7 WaterC'' Data'!$AD$4:$AE$14,2,FALSE)=0,"Spatial Data Missing ⚠",VLOOKUP(AK124,'G-7 WaterC'' Data'!$AD$4:$AE$14,2,FALSE))))</f>
        <v/>
      </c>
      <c r="AM124" s="275" t="str">
        <f>IF(B124="","",VLOOKUP($B124,'F-1 Off-Site WaterC'' Baseline'!$C$9:$Z$257,17,FALSE))</f>
        <v/>
      </c>
      <c r="AN124" s="276" t="str">
        <f>IF(AM124="","",IF(VLOOKUP(AM124,'G-7 WaterC'' Data'!$AO$4:$BO$7,2,FALSE)=0,"Spatial Data Missing ⚠",VLOOKUP(AM124,'G-7 WaterC'' Data'!$AO$4:$BO$7,2,FALSE)))</f>
        <v/>
      </c>
      <c r="AO124" s="317" t="str">
        <f t="shared" si="18"/>
        <v/>
      </c>
      <c r="AP124" s="317" t="str">
        <f t="shared" si="19"/>
        <v/>
      </c>
      <c r="AQ124" s="101"/>
      <c r="AR124" s="115"/>
      <c r="AS124" s="104"/>
      <c r="AT124" s="104"/>
      <c r="AW124" s="30" t="str">
        <f>IF(E124="","",VLOOKUP($B124,'F-1 Off-Site WaterC'' Baseline'!$C$9:$Z$257,12,FALSE))</f>
        <v/>
      </c>
      <c r="AX124" s="30" t="str">
        <f>IF(E124="","",VLOOKUP($B124,'F-1 Off-Site WaterC'' Baseline'!$C$9:$Z$257,14,FALSE))</f>
        <v/>
      </c>
      <c r="AY124" s="30" t="str">
        <f>IFERROR(INDEX('G-7 WaterC'' Data'!$AZ$3:$AZ$7,MATCH(N124,'G-7 WaterC'' Data'!$AY$3:$AY$7,0)),"")</f>
        <v/>
      </c>
      <c r="AZ124" s="30" t="str">
        <f>IF(B124="","",IF(ISNA(VLOOKUP($B124,'F-1 Off-Site WaterC'' Baseline'!$C$8:$AD$257,20,FALSE)),"",(VLOOKUP($B124,'F-1 Off-Site WaterC'' Baseline'!$C$8:$AD$257,20,FALSE))))</f>
        <v/>
      </c>
      <c r="BC124" s="30" t="str">
        <f>IF(B124="","",VLOOKUP($B124,'F-1 Off-Site WaterC'' Baseline'!$C$9:$AB$257,25,FALSE))</f>
        <v/>
      </c>
      <c r="BD124" s="30" t="str">
        <f t="shared" si="20"/>
        <v/>
      </c>
      <c r="BE124" s="30" t="str">
        <f>IF(B124="","",VLOOKUP($B124,'F-1 Off-Site WaterC'' Baseline'!$C$9:$AB$257,24,FALSE))</f>
        <v/>
      </c>
      <c r="BF124" s="30" t="str">
        <f>IF(B124="","",VLOOKUP($B124,'F-1 Off-Site WaterC'' Baseline'!$C$9:$AB$257,22,FALSE))</f>
        <v/>
      </c>
      <c r="BJ124" s="30" t="str">
        <f t="shared" si="21"/>
        <v>No</v>
      </c>
    </row>
    <row r="125" spans="2:62" ht="14">
      <c r="B125" s="305" t="str">
        <f>'F-1 Off-Site WaterC'' Baseline'!AS123</f>
        <v/>
      </c>
      <c r="C125" s="295" t="str">
        <f>IF(B125="","",VLOOKUP($B125,'F-1 Off-Site WaterC'' Baseline'!$C$9:$R$257,2,FALSE))</f>
        <v/>
      </c>
      <c r="D125" s="295" t="str">
        <f>IF(C125="","",VLOOKUP($B125,'F-1 Off-Site WaterC'' Baseline'!$C$9:$R$257,3,FALSE))</f>
        <v/>
      </c>
      <c r="E125" s="295" t="str">
        <f>IF(D125="","",VLOOKUP($B125,'F-1 Off-Site WaterC'' Baseline'!$C$9:$R$257,4,FALSE))</f>
        <v/>
      </c>
      <c r="F125" s="295" t="str">
        <f>IF(E125="","",VLOOKUP($B125,'F-1 Off-Site WaterC'' Baseline'!$C$9:$R$257,5,FALSE))</f>
        <v/>
      </c>
      <c r="G125" s="295" t="str">
        <f>IF(F125="","",VLOOKUP($B125,'F-1 Off-Site WaterC'' Baseline'!$C$9:$R$257,6,FALSE))</f>
        <v/>
      </c>
      <c r="H125" s="295" t="str">
        <f>IF(G125="","",VLOOKUP($B125,'F-1 Off-Site WaterC'' Baseline'!$C$9:$R$257,7,FALSE))</f>
        <v/>
      </c>
      <c r="I125" s="295" t="str">
        <f>IF(H125="","",VLOOKUP($B125,'F-1 Off-Site WaterC'' Baseline'!$C$9:$R$257,8,FALSE))</f>
        <v/>
      </c>
      <c r="J125" s="295" t="str">
        <f>IF(I125="","",VLOOKUP($B125,'F-1 Off-Site WaterC'' Baseline'!$C$9:$R$257,9,FALSE))</f>
        <v/>
      </c>
      <c r="K125" s="295" t="str">
        <f>IF(J125="","",VLOOKUP($B125,'F-1 Off-Site WaterC'' Baseline'!$C$9:$R$257,10,FALSE))</f>
        <v/>
      </c>
      <c r="L125" s="283" t="str">
        <f>IF(B125="","",VLOOKUP($B125,'F-1 Off-Site WaterC'' Baseline'!$C$9:$R$257,15,FALSE))</f>
        <v/>
      </c>
      <c r="M125" s="299" t="str">
        <f>IF(L125="","",VLOOKUP($B125,'F-1 Off-Site WaterC'' Baseline'!$C$9:$V$257,19,FALSE))</f>
        <v/>
      </c>
      <c r="N125" s="244"/>
      <c r="O125" s="275" t="str">
        <f t="shared" si="14"/>
        <v/>
      </c>
      <c r="P125" s="276" t="str">
        <f t="shared" si="15"/>
        <v/>
      </c>
      <c r="Q125" s="281" t="str">
        <f>IF(N125="","",VLOOKUP(B125,'F-1 Off-Site WaterC'' Baseline'!$C$10:$AF$257,23,FALSE))</f>
        <v/>
      </c>
      <c r="R125" s="275" t="str">
        <f>IF(N125="","",VLOOKUP(N125,'G-7 WaterC'' Data'!$B$2:$G$8,2,FALSE))</f>
        <v/>
      </c>
      <c r="S125" s="276" t="str">
        <f>IFERROR(VLOOKUP(R125,'G-7 WaterC'' Data'!$C$4:$D$8,2,FALSE),"")</f>
        <v/>
      </c>
      <c r="T125" s="101"/>
      <c r="U125" s="276" t="str">
        <f>IFERROR(INDEX('G-7 WaterC'' Data'!$H$4:$L$8,MATCH(N125,'G-7 WaterC'' Data'!$B$4:$B$8,0),MATCH(T125,'G-7 WaterC'' Data'!$H$3:$L$3,0)),"")</f>
        <v/>
      </c>
      <c r="V125" s="105"/>
      <c r="W125" s="295" t="str">
        <f>IF(V125="","",IF(VLOOKUP(V125,'G-7 WaterC'' Data'!$AK$4:$AM$6,2,FALSE)=0,"Spatial Data Missing ⚠",VLOOKUP(V125,'G-7 WaterC'' Data'!$AK$4:$AM$6,2,FALSE)))</f>
        <v/>
      </c>
      <c r="X125" s="299" t="str">
        <f>IF(V125="","",IF(VLOOKUP(V125,'G-7 WaterC'' Data'!$AK$4:$AM$6,3,FALSE)=0,"Spatial Data Missing ⚠",VLOOKUP(V125,'G-7 WaterC'' Data'!$AK$4:$AM$6,3,FALSE)))</f>
        <v/>
      </c>
      <c r="Y125" s="311" t="str">
        <f>IFERROR(IF(OR(LEFT(P125,5)="Error",LEFT(O125,5)="Error"),"Check Data ⚠",IF(F125&lt;S125,'G-7 WaterC'' Data'!$R$3,INDEX('G-7 WaterC'' Data'!$U$5:$Y$9,MATCH(G125,'G-7 WaterC'' Data'!$T$5:$T$9,0),MATCH(T125,'G-7 WaterC'' Data'!$U$4:$Y$4,0)))),"")</f>
        <v/>
      </c>
      <c r="Z125" s="138"/>
      <c r="AA125" s="138"/>
      <c r="AB125" s="308" t="str">
        <f t="shared" si="11"/>
        <v/>
      </c>
      <c r="AC125" s="296" t="str">
        <f t="shared" si="16"/>
        <v/>
      </c>
      <c r="AD125" s="334" t="str">
        <f>IFERROR(IF(AC125="Check Data ⚠","Check Data ⚠",VLOOKUP(AC125,'G-4 Temporal multipliers'!$A$4:$C$37,3,FALSE)),"")</f>
        <v/>
      </c>
      <c r="AE125" s="311" t="str">
        <f>IF(N125="","",VLOOKUP(N125,'G-7 WaterC'' Data'!$B$4:$G$8,5,FALSE))</f>
        <v/>
      </c>
      <c r="AF125" s="295" t="str">
        <f t="shared" si="12"/>
        <v/>
      </c>
      <c r="AG125" s="295" t="str">
        <f t="shared" si="17"/>
        <v/>
      </c>
      <c r="AH125" s="276" t="str">
        <f t="shared" si="13"/>
        <v/>
      </c>
      <c r="AI125" s="105"/>
      <c r="AJ125" s="276" t="str">
        <f>IF(AI125="","",(IF(AND(AI125="N/A - Culvert",N125&lt;&gt;"Culvert"),"Not possible ▲",IF(VLOOKUP(AI125,'G-7 WaterC'' Data'!$AA$4:$AB$7,2,FALSE)=0,"Spatial Data Missing ⚠",VLOOKUP(AI125,'G-7 WaterC'' Data'!$AA$4:$AB$7,2,FALSE)))))</f>
        <v/>
      </c>
      <c r="AK125" s="106"/>
      <c r="AL125" s="310" t="str">
        <f>IF(AK125="","",IF(AND(AK125="N/A - Culvert",N125&lt;&gt;"Culvert"),"Not possible ▲",IF(VLOOKUP(AK125,'G-7 WaterC'' Data'!$AD$4:$AE$14,2,FALSE)=0,"Spatial Data Missing ⚠",VLOOKUP(AK125,'G-7 WaterC'' Data'!$AD$4:$AE$14,2,FALSE))))</f>
        <v/>
      </c>
      <c r="AM125" s="275" t="str">
        <f>IF(B125="","",VLOOKUP($B125,'F-1 Off-Site WaterC'' Baseline'!$C$9:$Z$257,17,FALSE))</f>
        <v/>
      </c>
      <c r="AN125" s="276" t="str">
        <f>IF(AM125="","",IF(VLOOKUP(AM125,'G-7 WaterC'' Data'!$AO$4:$BO$7,2,FALSE)=0,"Spatial Data Missing ⚠",VLOOKUP(AM125,'G-7 WaterC'' Data'!$AO$4:$BO$7,2,FALSE)))</f>
        <v/>
      </c>
      <c r="AO125" s="317" t="str">
        <f t="shared" si="18"/>
        <v/>
      </c>
      <c r="AP125" s="317" t="str">
        <f t="shared" si="19"/>
        <v/>
      </c>
      <c r="AQ125" s="101"/>
      <c r="AR125" s="115"/>
      <c r="AS125" s="104"/>
      <c r="AT125" s="104"/>
      <c r="AW125" s="30" t="str">
        <f>IF(E125="","",VLOOKUP($B125,'F-1 Off-Site WaterC'' Baseline'!$C$9:$Z$257,12,FALSE))</f>
        <v/>
      </c>
      <c r="AX125" s="30" t="str">
        <f>IF(E125="","",VLOOKUP($B125,'F-1 Off-Site WaterC'' Baseline'!$C$9:$Z$257,14,FALSE))</f>
        <v/>
      </c>
      <c r="AY125" s="30" t="str">
        <f>IFERROR(INDEX('G-7 WaterC'' Data'!$AZ$3:$AZ$7,MATCH(N125,'G-7 WaterC'' Data'!$AY$3:$AY$7,0)),"")</f>
        <v/>
      </c>
      <c r="AZ125" s="30" t="str">
        <f>IF(B125="","",IF(ISNA(VLOOKUP($B125,'F-1 Off-Site WaterC'' Baseline'!$C$8:$AD$257,20,FALSE)),"",(VLOOKUP($B125,'F-1 Off-Site WaterC'' Baseline'!$C$8:$AD$257,20,FALSE))))</f>
        <v/>
      </c>
      <c r="BC125" s="30" t="str">
        <f>IF(B125="","",VLOOKUP($B125,'F-1 Off-Site WaterC'' Baseline'!$C$9:$AB$257,25,FALSE))</f>
        <v/>
      </c>
      <c r="BD125" s="30" t="str">
        <f t="shared" si="20"/>
        <v/>
      </c>
      <c r="BE125" s="30" t="str">
        <f>IF(B125="","",VLOOKUP($B125,'F-1 Off-Site WaterC'' Baseline'!$C$9:$AB$257,24,FALSE))</f>
        <v/>
      </c>
      <c r="BF125" s="30" t="str">
        <f>IF(B125="","",VLOOKUP($B125,'F-1 Off-Site WaterC'' Baseline'!$C$9:$AB$257,22,FALSE))</f>
        <v/>
      </c>
      <c r="BJ125" s="30" t="str">
        <f t="shared" si="21"/>
        <v>No</v>
      </c>
    </row>
    <row r="126" spans="2:62" ht="14">
      <c r="B126" s="305" t="str">
        <f>'F-1 Off-Site WaterC'' Baseline'!AS124</f>
        <v/>
      </c>
      <c r="C126" s="295" t="str">
        <f>IF(B126="","",VLOOKUP($B126,'F-1 Off-Site WaterC'' Baseline'!$C$9:$R$257,2,FALSE))</f>
        <v/>
      </c>
      <c r="D126" s="295" t="str">
        <f>IF(C126="","",VLOOKUP($B126,'F-1 Off-Site WaterC'' Baseline'!$C$9:$R$257,3,FALSE))</f>
        <v/>
      </c>
      <c r="E126" s="295" t="str">
        <f>IF(D126="","",VLOOKUP($B126,'F-1 Off-Site WaterC'' Baseline'!$C$9:$R$257,4,FALSE))</f>
        <v/>
      </c>
      <c r="F126" s="295" t="str">
        <f>IF(E126="","",VLOOKUP($B126,'F-1 Off-Site WaterC'' Baseline'!$C$9:$R$257,5,FALSE))</f>
        <v/>
      </c>
      <c r="G126" s="295" t="str">
        <f>IF(F126="","",VLOOKUP($B126,'F-1 Off-Site WaterC'' Baseline'!$C$9:$R$257,6,FALSE))</f>
        <v/>
      </c>
      <c r="H126" s="295" t="str">
        <f>IF(G126="","",VLOOKUP($B126,'F-1 Off-Site WaterC'' Baseline'!$C$9:$R$257,7,FALSE))</f>
        <v/>
      </c>
      <c r="I126" s="295" t="str">
        <f>IF(H126="","",VLOOKUP($B126,'F-1 Off-Site WaterC'' Baseline'!$C$9:$R$257,8,FALSE))</f>
        <v/>
      </c>
      <c r="J126" s="295" t="str">
        <f>IF(I126="","",VLOOKUP($B126,'F-1 Off-Site WaterC'' Baseline'!$C$9:$R$257,9,FALSE))</f>
        <v/>
      </c>
      <c r="K126" s="295" t="str">
        <f>IF(J126="","",VLOOKUP($B126,'F-1 Off-Site WaterC'' Baseline'!$C$9:$R$257,10,FALSE))</f>
        <v/>
      </c>
      <c r="L126" s="283" t="str">
        <f>IF(B126="","",VLOOKUP($B126,'F-1 Off-Site WaterC'' Baseline'!$C$9:$R$257,15,FALSE))</f>
        <v/>
      </c>
      <c r="M126" s="299" t="str">
        <f>IF(L126="","",VLOOKUP($B126,'F-1 Off-Site WaterC'' Baseline'!$C$9:$V$257,19,FALSE))</f>
        <v/>
      </c>
      <c r="N126" s="244"/>
      <c r="O126" s="275" t="str">
        <f t="shared" si="14"/>
        <v/>
      </c>
      <c r="P126" s="276" t="str">
        <f t="shared" si="15"/>
        <v/>
      </c>
      <c r="Q126" s="281" t="str">
        <f>IF(N126="","",VLOOKUP(B126,'F-1 Off-Site WaterC'' Baseline'!$C$10:$AF$257,23,FALSE))</f>
        <v/>
      </c>
      <c r="R126" s="275" t="str">
        <f>IF(N126="","",VLOOKUP(N126,'G-7 WaterC'' Data'!$B$2:$G$8,2,FALSE))</f>
        <v/>
      </c>
      <c r="S126" s="276" t="str">
        <f>IFERROR(VLOOKUP(R126,'G-7 WaterC'' Data'!$C$4:$D$8,2,FALSE),"")</f>
        <v/>
      </c>
      <c r="T126" s="101"/>
      <c r="U126" s="276" t="str">
        <f>IFERROR(INDEX('G-7 WaterC'' Data'!$H$4:$L$8,MATCH(N126,'G-7 WaterC'' Data'!$B$4:$B$8,0),MATCH(T126,'G-7 WaterC'' Data'!$H$3:$L$3,0)),"")</f>
        <v/>
      </c>
      <c r="V126" s="105"/>
      <c r="W126" s="295" t="str">
        <f>IF(V126="","",IF(VLOOKUP(V126,'G-7 WaterC'' Data'!$AK$4:$AM$6,2,FALSE)=0,"Spatial Data Missing ⚠",VLOOKUP(V126,'G-7 WaterC'' Data'!$AK$4:$AM$6,2,FALSE)))</f>
        <v/>
      </c>
      <c r="X126" s="299" t="str">
        <f>IF(V126="","",IF(VLOOKUP(V126,'G-7 WaterC'' Data'!$AK$4:$AM$6,3,FALSE)=0,"Spatial Data Missing ⚠",VLOOKUP(V126,'G-7 WaterC'' Data'!$AK$4:$AM$6,3,FALSE)))</f>
        <v/>
      </c>
      <c r="Y126" s="311" t="str">
        <f>IFERROR(IF(OR(LEFT(P126,5)="Error",LEFT(O126,5)="Error"),"Check Data ⚠",IF(F126&lt;S126,'G-7 WaterC'' Data'!$R$3,INDEX('G-7 WaterC'' Data'!$U$5:$Y$9,MATCH(G126,'G-7 WaterC'' Data'!$T$5:$T$9,0),MATCH(T126,'G-7 WaterC'' Data'!$U$4:$Y$4,0)))),"")</f>
        <v/>
      </c>
      <c r="Z126" s="138"/>
      <c r="AA126" s="138"/>
      <c r="AB126" s="308" t="str">
        <f t="shared" si="11"/>
        <v/>
      </c>
      <c r="AC126" s="296" t="str">
        <f t="shared" si="16"/>
        <v/>
      </c>
      <c r="AD126" s="334" t="str">
        <f>IFERROR(IF(AC126="Check Data ⚠","Check Data ⚠",VLOOKUP(AC126,'G-4 Temporal multipliers'!$A$4:$C$37,3,FALSE)),"")</f>
        <v/>
      </c>
      <c r="AE126" s="311" t="str">
        <f>IF(N126="","",VLOOKUP(N126,'G-7 WaterC'' Data'!$B$4:$G$8,5,FALSE))</f>
        <v/>
      </c>
      <c r="AF126" s="295" t="str">
        <f t="shared" si="12"/>
        <v/>
      </c>
      <c r="AG126" s="295" t="str">
        <f t="shared" si="17"/>
        <v/>
      </c>
      <c r="AH126" s="276" t="str">
        <f t="shared" si="13"/>
        <v/>
      </c>
      <c r="AI126" s="105"/>
      <c r="AJ126" s="276" t="str">
        <f>IF(AI126="","",(IF(AND(AI126="N/A - Culvert",N126&lt;&gt;"Culvert"),"Not possible ▲",IF(VLOOKUP(AI126,'G-7 WaterC'' Data'!$AA$4:$AB$7,2,FALSE)=0,"Spatial Data Missing ⚠",VLOOKUP(AI126,'G-7 WaterC'' Data'!$AA$4:$AB$7,2,FALSE)))))</f>
        <v/>
      </c>
      <c r="AK126" s="106"/>
      <c r="AL126" s="310" t="str">
        <f>IF(AK126="","",IF(AND(AK126="N/A - Culvert",N126&lt;&gt;"Culvert"),"Not possible ▲",IF(VLOOKUP(AK126,'G-7 WaterC'' Data'!$AD$4:$AE$14,2,FALSE)=0,"Spatial Data Missing ⚠",VLOOKUP(AK126,'G-7 WaterC'' Data'!$AD$4:$AE$14,2,FALSE))))</f>
        <v/>
      </c>
      <c r="AM126" s="275" t="str">
        <f>IF(B126="","",VLOOKUP($B126,'F-1 Off-Site WaterC'' Baseline'!$C$9:$Z$257,17,FALSE))</f>
        <v/>
      </c>
      <c r="AN126" s="276" t="str">
        <f>IF(AM126="","",IF(VLOOKUP(AM126,'G-7 WaterC'' Data'!$AO$4:$BO$7,2,FALSE)=0,"Spatial Data Missing ⚠",VLOOKUP(AM126,'G-7 WaterC'' Data'!$AO$4:$BO$7,2,FALSE)))</f>
        <v/>
      </c>
      <c r="AO126" s="317" t="str">
        <f t="shared" si="18"/>
        <v/>
      </c>
      <c r="AP126" s="317" t="str">
        <f t="shared" si="19"/>
        <v/>
      </c>
      <c r="AQ126" s="101"/>
      <c r="AR126" s="115"/>
      <c r="AS126" s="104"/>
      <c r="AT126" s="104"/>
      <c r="AW126" s="30" t="str">
        <f>IF(E126="","",VLOOKUP($B126,'F-1 Off-Site WaterC'' Baseline'!$C$9:$Z$257,12,FALSE))</f>
        <v/>
      </c>
      <c r="AX126" s="30" t="str">
        <f>IF(E126="","",VLOOKUP($B126,'F-1 Off-Site WaterC'' Baseline'!$C$9:$Z$257,14,FALSE))</f>
        <v/>
      </c>
      <c r="AY126" s="30" t="str">
        <f>IFERROR(INDEX('G-7 WaterC'' Data'!$AZ$3:$AZ$7,MATCH(N126,'G-7 WaterC'' Data'!$AY$3:$AY$7,0)),"")</f>
        <v/>
      </c>
      <c r="AZ126" s="30" t="str">
        <f>IF(B126="","",IF(ISNA(VLOOKUP($B126,'F-1 Off-Site WaterC'' Baseline'!$C$8:$AD$257,20,FALSE)),"",(VLOOKUP($B126,'F-1 Off-Site WaterC'' Baseline'!$C$8:$AD$257,20,FALSE))))</f>
        <v/>
      </c>
      <c r="BC126" s="30" t="str">
        <f>IF(B126="","",VLOOKUP($B126,'F-1 Off-Site WaterC'' Baseline'!$C$9:$AB$257,25,FALSE))</f>
        <v/>
      </c>
      <c r="BD126" s="30" t="str">
        <f t="shared" si="20"/>
        <v/>
      </c>
      <c r="BE126" s="30" t="str">
        <f>IF(B126="","",VLOOKUP($B126,'F-1 Off-Site WaterC'' Baseline'!$C$9:$AB$257,24,FALSE))</f>
        <v/>
      </c>
      <c r="BF126" s="30" t="str">
        <f>IF(B126="","",VLOOKUP($B126,'F-1 Off-Site WaterC'' Baseline'!$C$9:$AB$257,22,FALSE))</f>
        <v/>
      </c>
      <c r="BJ126" s="30" t="str">
        <f t="shared" si="21"/>
        <v>No</v>
      </c>
    </row>
    <row r="127" spans="2:62" ht="14">
      <c r="B127" s="305" t="str">
        <f>'F-1 Off-Site WaterC'' Baseline'!AS125</f>
        <v/>
      </c>
      <c r="C127" s="295" t="str">
        <f>IF(B127="","",VLOOKUP($B127,'F-1 Off-Site WaterC'' Baseline'!$C$9:$R$257,2,FALSE))</f>
        <v/>
      </c>
      <c r="D127" s="295" t="str">
        <f>IF(C127="","",VLOOKUP($B127,'F-1 Off-Site WaterC'' Baseline'!$C$9:$R$257,3,FALSE))</f>
        <v/>
      </c>
      <c r="E127" s="295" t="str">
        <f>IF(D127="","",VLOOKUP($B127,'F-1 Off-Site WaterC'' Baseline'!$C$9:$R$257,4,FALSE))</f>
        <v/>
      </c>
      <c r="F127" s="295" t="str">
        <f>IF(E127="","",VLOOKUP($B127,'F-1 Off-Site WaterC'' Baseline'!$C$9:$R$257,5,FALSE))</f>
        <v/>
      </c>
      <c r="G127" s="295" t="str">
        <f>IF(F127="","",VLOOKUP($B127,'F-1 Off-Site WaterC'' Baseline'!$C$9:$R$257,6,FALSE))</f>
        <v/>
      </c>
      <c r="H127" s="295" t="str">
        <f>IF(G127="","",VLOOKUP($B127,'F-1 Off-Site WaterC'' Baseline'!$C$9:$R$257,7,FALSE))</f>
        <v/>
      </c>
      <c r="I127" s="295" t="str">
        <f>IF(H127="","",VLOOKUP($B127,'F-1 Off-Site WaterC'' Baseline'!$C$9:$R$257,8,FALSE))</f>
        <v/>
      </c>
      <c r="J127" s="295" t="str">
        <f>IF(I127="","",VLOOKUP($B127,'F-1 Off-Site WaterC'' Baseline'!$C$9:$R$257,9,FALSE))</f>
        <v/>
      </c>
      <c r="K127" s="295" t="str">
        <f>IF(J127="","",VLOOKUP($B127,'F-1 Off-Site WaterC'' Baseline'!$C$9:$R$257,10,FALSE))</f>
        <v/>
      </c>
      <c r="L127" s="283" t="str">
        <f>IF(B127="","",VLOOKUP($B127,'F-1 Off-Site WaterC'' Baseline'!$C$9:$R$257,15,FALSE))</f>
        <v/>
      </c>
      <c r="M127" s="299" t="str">
        <f>IF(L127="","",VLOOKUP($B127,'F-1 Off-Site WaterC'' Baseline'!$C$9:$V$257,19,FALSE))</f>
        <v/>
      </c>
      <c r="N127" s="244"/>
      <c r="O127" s="275" t="str">
        <f t="shared" si="14"/>
        <v/>
      </c>
      <c r="P127" s="276" t="str">
        <f t="shared" si="15"/>
        <v/>
      </c>
      <c r="Q127" s="281" t="str">
        <f>IF(N127="","",VLOOKUP(B127,'F-1 Off-Site WaterC'' Baseline'!$C$10:$AF$257,23,FALSE))</f>
        <v/>
      </c>
      <c r="R127" s="275" t="str">
        <f>IF(N127="","",VLOOKUP(N127,'G-7 WaterC'' Data'!$B$2:$G$8,2,FALSE))</f>
        <v/>
      </c>
      <c r="S127" s="276" t="str">
        <f>IFERROR(VLOOKUP(R127,'G-7 WaterC'' Data'!$C$4:$D$8,2,FALSE),"")</f>
        <v/>
      </c>
      <c r="T127" s="101"/>
      <c r="U127" s="276" t="str">
        <f>IFERROR(INDEX('G-7 WaterC'' Data'!$H$4:$L$8,MATCH(N127,'G-7 WaterC'' Data'!$B$4:$B$8,0),MATCH(T127,'G-7 WaterC'' Data'!$H$3:$L$3,0)),"")</f>
        <v/>
      </c>
      <c r="V127" s="105"/>
      <c r="W127" s="295" t="str">
        <f>IF(V127="","",IF(VLOOKUP(V127,'G-7 WaterC'' Data'!$AK$4:$AM$6,2,FALSE)=0,"Spatial Data Missing ⚠",VLOOKUP(V127,'G-7 WaterC'' Data'!$AK$4:$AM$6,2,FALSE)))</f>
        <v/>
      </c>
      <c r="X127" s="299" t="str">
        <f>IF(V127="","",IF(VLOOKUP(V127,'G-7 WaterC'' Data'!$AK$4:$AM$6,3,FALSE)=0,"Spatial Data Missing ⚠",VLOOKUP(V127,'G-7 WaterC'' Data'!$AK$4:$AM$6,3,FALSE)))</f>
        <v/>
      </c>
      <c r="Y127" s="311" t="str">
        <f>IFERROR(IF(OR(LEFT(P127,5)="Error",LEFT(O127,5)="Error"),"Check Data ⚠",IF(F127&lt;S127,'G-7 WaterC'' Data'!$R$3,INDEX('G-7 WaterC'' Data'!$U$5:$Y$9,MATCH(G127,'G-7 WaterC'' Data'!$T$5:$T$9,0),MATCH(T127,'G-7 WaterC'' Data'!$U$4:$Y$4,0)))),"")</f>
        <v/>
      </c>
      <c r="Z127" s="138"/>
      <c r="AA127" s="138"/>
      <c r="AB127" s="308" t="str">
        <f t="shared" si="11"/>
        <v/>
      </c>
      <c r="AC127" s="296" t="str">
        <f t="shared" si="16"/>
        <v/>
      </c>
      <c r="AD127" s="334" t="str">
        <f>IFERROR(IF(AC127="Check Data ⚠","Check Data ⚠",VLOOKUP(AC127,'G-4 Temporal multipliers'!$A$4:$C$37,3,FALSE)),"")</f>
        <v/>
      </c>
      <c r="AE127" s="311" t="str">
        <f>IF(N127="","",VLOOKUP(N127,'G-7 WaterC'' Data'!$B$4:$G$8,5,FALSE))</f>
        <v/>
      </c>
      <c r="AF127" s="295" t="str">
        <f t="shared" si="12"/>
        <v/>
      </c>
      <c r="AG127" s="295" t="str">
        <f t="shared" si="17"/>
        <v/>
      </c>
      <c r="AH127" s="276" t="str">
        <f t="shared" si="13"/>
        <v/>
      </c>
      <c r="AI127" s="105"/>
      <c r="AJ127" s="276" t="str">
        <f>IF(AI127="","",(IF(AND(AI127="N/A - Culvert",N127&lt;&gt;"Culvert"),"Not possible ▲",IF(VLOOKUP(AI127,'G-7 WaterC'' Data'!$AA$4:$AB$7,2,FALSE)=0,"Spatial Data Missing ⚠",VLOOKUP(AI127,'G-7 WaterC'' Data'!$AA$4:$AB$7,2,FALSE)))))</f>
        <v/>
      </c>
      <c r="AK127" s="106"/>
      <c r="AL127" s="310" t="str">
        <f>IF(AK127="","",IF(AND(AK127="N/A - Culvert",N127&lt;&gt;"Culvert"),"Not possible ▲",IF(VLOOKUP(AK127,'G-7 WaterC'' Data'!$AD$4:$AE$14,2,FALSE)=0,"Spatial Data Missing ⚠",VLOOKUP(AK127,'G-7 WaterC'' Data'!$AD$4:$AE$14,2,FALSE))))</f>
        <v/>
      </c>
      <c r="AM127" s="275" t="str">
        <f>IF(B127="","",VLOOKUP($B127,'F-1 Off-Site WaterC'' Baseline'!$C$9:$Z$257,17,FALSE))</f>
        <v/>
      </c>
      <c r="AN127" s="276" t="str">
        <f>IF(AM127="","",IF(VLOOKUP(AM127,'G-7 WaterC'' Data'!$AO$4:$BO$7,2,FALSE)=0,"Spatial Data Missing ⚠",VLOOKUP(AM127,'G-7 WaterC'' Data'!$AO$4:$BO$7,2,FALSE)))</f>
        <v/>
      </c>
      <c r="AO127" s="317" t="str">
        <f t="shared" si="18"/>
        <v/>
      </c>
      <c r="AP127" s="317" t="str">
        <f t="shared" si="19"/>
        <v/>
      </c>
      <c r="AQ127" s="101"/>
      <c r="AR127" s="115"/>
      <c r="AS127" s="104"/>
      <c r="AT127" s="104"/>
      <c r="AW127" s="30" t="str">
        <f>IF(E127="","",VLOOKUP($B127,'F-1 Off-Site WaterC'' Baseline'!$C$9:$Z$257,12,FALSE))</f>
        <v/>
      </c>
      <c r="AX127" s="30" t="str">
        <f>IF(E127="","",VLOOKUP($B127,'F-1 Off-Site WaterC'' Baseline'!$C$9:$Z$257,14,FALSE))</f>
        <v/>
      </c>
      <c r="AY127" s="30" t="str">
        <f>IFERROR(INDEX('G-7 WaterC'' Data'!$AZ$3:$AZ$7,MATCH(N127,'G-7 WaterC'' Data'!$AY$3:$AY$7,0)),"")</f>
        <v/>
      </c>
      <c r="AZ127" s="30" t="str">
        <f>IF(B127="","",IF(ISNA(VLOOKUP($B127,'F-1 Off-Site WaterC'' Baseline'!$C$8:$AD$257,20,FALSE)),"",(VLOOKUP($B127,'F-1 Off-Site WaterC'' Baseline'!$C$8:$AD$257,20,FALSE))))</f>
        <v/>
      </c>
      <c r="BC127" s="30" t="str">
        <f>IF(B127="","",VLOOKUP($B127,'F-1 Off-Site WaterC'' Baseline'!$C$9:$AB$257,25,FALSE))</f>
        <v/>
      </c>
      <c r="BD127" s="30" t="str">
        <f t="shared" si="20"/>
        <v/>
      </c>
      <c r="BE127" s="30" t="str">
        <f>IF(B127="","",VLOOKUP($B127,'F-1 Off-Site WaterC'' Baseline'!$C$9:$AB$257,24,FALSE))</f>
        <v/>
      </c>
      <c r="BF127" s="30" t="str">
        <f>IF(B127="","",VLOOKUP($B127,'F-1 Off-Site WaterC'' Baseline'!$C$9:$AB$257,22,FALSE))</f>
        <v/>
      </c>
      <c r="BJ127" s="30" t="str">
        <f t="shared" si="21"/>
        <v>No</v>
      </c>
    </row>
    <row r="128" spans="2:62" ht="14">
      <c r="B128" s="305" t="str">
        <f>'F-1 Off-Site WaterC'' Baseline'!AS126</f>
        <v/>
      </c>
      <c r="C128" s="295" t="str">
        <f>IF(B128="","",VLOOKUP($B128,'F-1 Off-Site WaterC'' Baseline'!$C$9:$R$257,2,FALSE))</f>
        <v/>
      </c>
      <c r="D128" s="295" t="str">
        <f>IF(C128="","",VLOOKUP($B128,'F-1 Off-Site WaterC'' Baseline'!$C$9:$R$257,3,FALSE))</f>
        <v/>
      </c>
      <c r="E128" s="295" t="str">
        <f>IF(D128="","",VLOOKUP($B128,'F-1 Off-Site WaterC'' Baseline'!$C$9:$R$257,4,FALSE))</f>
        <v/>
      </c>
      <c r="F128" s="295" t="str">
        <f>IF(E128="","",VLOOKUP($B128,'F-1 Off-Site WaterC'' Baseline'!$C$9:$R$257,5,FALSE))</f>
        <v/>
      </c>
      <c r="G128" s="295" t="str">
        <f>IF(F128="","",VLOOKUP($B128,'F-1 Off-Site WaterC'' Baseline'!$C$9:$R$257,6,FALSE))</f>
        <v/>
      </c>
      <c r="H128" s="295" t="str">
        <f>IF(G128="","",VLOOKUP($B128,'F-1 Off-Site WaterC'' Baseline'!$C$9:$R$257,7,FALSE))</f>
        <v/>
      </c>
      <c r="I128" s="295" t="str">
        <f>IF(H128="","",VLOOKUP($B128,'F-1 Off-Site WaterC'' Baseline'!$C$9:$R$257,8,FALSE))</f>
        <v/>
      </c>
      <c r="J128" s="295" t="str">
        <f>IF(I128="","",VLOOKUP($B128,'F-1 Off-Site WaterC'' Baseline'!$C$9:$R$257,9,FALSE))</f>
        <v/>
      </c>
      <c r="K128" s="295" t="str">
        <f>IF(J128="","",VLOOKUP($B128,'F-1 Off-Site WaterC'' Baseline'!$C$9:$R$257,10,FALSE))</f>
        <v/>
      </c>
      <c r="L128" s="283" t="str">
        <f>IF(B128="","",VLOOKUP($B128,'F-1 Off-Site WaterC'' Baseline'!$C$9:$R$257,15,FALSE))</f>
        <v/>
      </c>
      <c r="M128" s="299" t="str">
        <f>IF(L128="","",VLOOKUP($B128,'F-1 Off-Site WaterC'' Baseline'!$C$9:$V$257,19,FALSE))</f>
        <v/>
      </c>
      <c r="N128" s="244"/>
      <c r="O128" s="275" t="str">
        <f t="shared" si="14"/>
        <v/>
      </c>
      <c r="P128" s="276" t="str">
        <f t="shared" si="15"/>
        <v/>
      </c>
      <c r="Q128" s="281" t="str">
        <f>IF(N128="","",VLOOKUP(B128,'F-1 Off-Site WaterC'' Baseline'!$C$10:$AF$257,23,FALSE))</f>
        <v/>
      </c>
      <c r="R128" s="275" t="str">
        <f>IF(N128="","",VLOOKUP(N128,'G-7 WaterC'' Data'!$B$2:$G$8,2,FALSE))</f>
        <v/>
      </c>
      <c r="S128" s="276" t="str">
        <f>IFERROR(VLOOKUP(R128,'G-7 WaterC'' Data'!$C$4:$D$8,2,FALSE),"")</f>
        <v/>
      </c>
      <c r="T128" s="101"/>
      <c r="U128" s="276" t="str">
        <f>IFERROR(INDEX('G-7 WaterC'' Data'!$H$4:$L$8,MATCH(N128,'G-7 WaterC'' Data'!$B$4:$B$8,0),MATCH(T128,'G-7 WaterC'' Data'!$H$3:$L$3,0)),"")</f>
        <v/>
      </c>
      <c r="V128" s="105"/>
      <c r="W128" s="295" t="str">
        <f>IF(V128="","",IF(VLOOKUP(V128,'G-7 WaterC'' Data'!$AK$4:$AM$6,2,FALSE)=0,"Spatial Data Missing ⚠",VLOOKUP(V128,'G-7 WaterC'' Data'!$AK$4:$AM$6,2,FALSE)))</f>
        <v/>
      </c>
      <c r="X128" s="299" t="str">
        <f>IF(V128="","",IF(VLOOKUP(V128,'G-7 WaterC'' Data'!$AK$4:$AM$6,3,FALSE)=0,"Spatial Data Missing ⚠",VLOOKUP(V128,'G-7 WaterC'' Data'!$AK$4:$AM$6,3,FALSE)))</f>
        <v/>
      </c>
      <c r="Y128" s="311" t="str">
        <f>IFERROR(IF(OR(LEFT(P128,5)="Error",LEFT(O128,5)="Error"),"Check Data ⚠",IF(F128&lt;S128,'G-7 WaterC'' Data'!$R$3,INDEX('G-7 WaterC'' Data'!$U$5:$Y$9,MATCH(G128,'G-7 WaterC'' Data'!$T$5:$T$9,0),MATCH(T128,'G-7 WaterC'' Data'!$U$4:$Y$4,0)))),"")</f>
        <v/>
      </c>
      <c r="Z128" s="138"/>
      <c r="AA128" s="138"/>
      <c r="AB128" s="308" t="str">
        <f t="shared" si="11"/>
        <v/>
      </c>
      <c r="AC128" s="296" t="str">
        <f t="shared" si="16"/>
        <v/>
      </c>
      <c r="AD128" s="334" t="str">
        <f>IFERROR(IF(AC128="Check Data ⚠","Check Data ⚠",VLOOKUP(AC128,'G-4 Temporal multipliers'!$A$4:$C$37,3,FALSE)),"")</f>
        <v/>
      </c>
      <c r="AE128" s="311" t="str">
        <f>IF(N128="","",VLOOKUP(N128,'G-7 WaterC'' Data'!$B$4:$G$8,5,FALSE))</f>
        <v/>
      </c>
      <c r="AF128" s="295" t="str">
        <f t="shared" si="12"/>
        <v/>
      </c>
      <c r="AG128" s="295" t="str">
        <f t="shared" si="17"/>
        <v/>
      </c>
      <c r="AH128" s="276" t="str">
        <f t="shared" si="13"/>
        <v/>
      </c>
      <c r="AI128" s="105"/>
      <c r="AJ128" s="276" t="str">
        <f>IF(AI128="","",(IF(AND(AI128="N/A - Culvert",N128&lt;&gt;"Culvert"),"Not possible ▲",IF(VLOOKUP(AI128,'G-7 WaterC'' Data'!$AA$4:$AB$7,2,FALSE)=0,"Spatial Data Missing ⚠",VLOOKUP(AI128,'G-7 WaterC'' Data'!$AA$4:$AB$7,2,FALSE)))))</f>
        <v/>
      </c>
      <c r="AK128" s="106"/>
      <c r="AL128" s="310" t="str">
        <f>IF(AK128="","",IF(AND(AK128="N/A - Culvert",N128&lt;&gt;"Culvert"),"Not possible ▲",IF(VLOOKUP(AK128,'G-7 WaterC'' Data'!$AD$4:$AE$14,2,FALSE)=0,"Spatial Data Missing ⚠",VLOOKUP(AK128,'G-7 WaterC'' Data'!$AD$4:$AE$14,2,FALSE))))</f>
        <v/>
      </c>
      <c r="AM128" s="275" t="str">
        <f>IF(B128="","",VLOOKUP($B128,'F-1 Off-Site WaterC'' Baseline'!$C$9:$Z$257,17,FALSE))</f>
        <v/>
      </c>
      <c r="AN128" s="276" t="str">
        <f>IF(AM128="","",IF(VLOOKUP(AM128,'G-7 WaterC'' Data'!$AO$4:$BO$7,2,FALSE)=0,"Spatial Data Missing ⚠",VLOOKUP(AM128,'G-7 WaterC'' Data'!$AO$4:$BO$7,2,FALSE)))</f>
        <v/>
      </c>
      <c r="AO128" s="317" t="str">
        <f t="shared" si="18"/>
        <v/>
      </c>
      <c r="AP128" s="317" t="str">
        <f t="shared" si="19"/>
        <v/>
      </c>
      <c r="AQ128" s="101"/>
      <c r="AR128" s="115"/>
      <c r="AS128" s="104"/>
      <c r="AT128" s="104"/>
      <c r="AW128" s="30" t="str">
        <f>IF(E128="","",VLOOKUP($B128,'F-1 Off-Site WaterC'' Baseline'!$C$9:$Z$257,12,FALSE))</f>
        <v/>
      </c>
      <c r="AX128" s="30" t="str">
        <f>IF(E128="","",VLOOKUP($B128,'F-1 Off-Site WaterC'' Baseline'!$C$9:$Z$257,14,FALSE))</f>
        <v/>
      </c>
      <c r="AY128" s="30" t="str">
        <f>IFERROR(INDEX('G-7 WaterC'' Data'!$AZ$3:$AZ$7,MATCH(N128,'G-7 WaterC'' Data'!$AY$3:$AY$7,0)),"")</f>
        <v/>
      </c>
      <c r="AZ128" s="30" t="str">
        <f>IF(B128="","",IF(ISNA(VLOOKUP($B128,'F-1 Off-Site WaterC'' Baseline'!$C$8:$AD$257,20,FALSE)),"",(VLOOKUP($B128,'F-1 Off-Site WaterC'' Baseline'!$C$8:$AD$257,20,FALSE))))</f>
        <v/>
      </c>
      <c r="BC128" s="30" t="str">
        <f>IF(B128="","",VLOOKUP($B128,'F-1 Off-Site WaterC'' Baseline'!$C$9:$AB$257,25,FALSE))</f>
        <v/>
      </c>
      <c r="BD128" s="30" t="str">
        <f t="shared" si="20"/>
        <v/>
      </c>
      <c r="BE128" s="30" t="str">
        <f>IF(B128="","",VLOOKUP($B128,'F-1 Off-Site WaterC'' Baseline'!$C$9:$AB$257,24,FALSE))</f>
        <v/>
      </c>
      <c r="BF128" s="30" t="str">
        <f>IF(B128="","",VLOOKUP($B128,'F-1 Off-Site WaterC'' Baseline'!$C$9:$AB$257,22,FALSE))</f>
        <v/>
      </c>
      <c r="BJ128" s="30" t="str">
        <f t="shared" si="21"/>
        <v>No</v>
      </c>
    </row>
    <row r="129" spans="2:62" ht="14">
      <c r="B129" s="305" t="str">
        <f>'F-1 Off-Site WaterC'' Baseline'!AS127</f>
        <v/>
      </c>
      <c r="C129" s="295" t="str">
        <f>IF(B129="","",VLOOKUP($B129,'F-1 Off-Site WaterC'' Baseline'!$C$9:$R$257,2,FALSE))</f>
        <v/>
      </c>
      <c r="D129" s="295" t="str">
        <f>IF(C129="","",VLOOKUP($B129,'F-1 Off-Site WaterC'' Baseline'!$C$9:$R$257,3,FALSE))</f>
        <v/>
      </c>
      <c r="E129" s="295" t="str">
        <f>IF(D129="","",VLOOKUP($B129,'F-1 Off-Site WaterC'' Baseline'!$C$9:$R$257,4,FALSE))</f>
        <v/>
      </c>
      <c r="F129" s="295" t="str">
        <f>IF(E129="","",VLOOKUP($B129,'F-1 Off-Site WaterC'' Baseline'!$C$9:$R$257,5,FALSE))</f>
        <v/>
      </c>
      <c r="G129" s="295" t="str">
        <f>IF(F129="","",VLOOKUP($B129,'F-1 Off-Site WaterC'' Baseline'!$C$9:$R$257,6,FALSE))</f>
        <v/>
      </c>
      <c r="H129" s="295" t="str">
        <f>IF(G129="","",VLOOKUP($B129,'F-1 Off-Site WaterC'' Baseline'!$C$9:$R$257,7,FALSE))</f>
        <v/>
      </c>
      <c r="I129" s="295" t="str">
        <f>IF(H129="","",VLOOKUP($B129,'F-1 Off-Site WaterC'' Baseline'!$C$9:$R$257,8,FALSE))</f>
        <v/>
      </c>
      <c r="J129" s="295" t="str">
        <f>IF(I129="","",VLOOKUP($B129,'F-1 Off-Site WaterC'' Baseline'!$C$9:$R$257,9,FALSE))</f>
        <v/>
      </c>
      <c r="K129" s="295" t="str">
        <f>IF(J129="","",VLOOKUP($B129,'F-1 Off-Site WaterC'' Baseline'!$C$9:$R$257,10,FALSE))</f>
        <v/>
      </c>
      <c r="L129" s="283" t="str">
        <f>IF(B129="","",VLOOKUP($B129,'F-1 Off-Site WaterC'' Baseline'!$C$9:$R$257,15,FALSE))</f>
        <v/>
      </c>
      <c r="M129" s="299" t="str">
        <f>IF(L129="","",VLOOKUP($B129,'F-1 Off-Site WaterC'' Baseline'!$C$9:$V$257,19,FALSE))</f>
        <v/>
      </c>
      <c r="N129" s="244"/>
      <c r="O129" s="275" t="str">
        <f t="shared" si="14"/>
        <v/>
      </c>
      <c r="P129" s="276" t="str">
        <f t="shared" si="15"/>
        <v/>
      </c>
      <c r="Q129" s="281" t="str">
        <f>IF(N129="","",VLOOKUP(B129,'F-1 Off-Site WaterC'' Baseline'!$C$10:$AF$257,23,FALSE))</f>
        <v/>
      </c>
      <c r="R129" s="275" t="str">
        <f>IF(N129="","",VLOOKUP(N129,'G-7 WaterC'' Data'!$B$2:$G$8,2,FALSE))</f>
        <v/>
      </c>
      <c r="S129" s="276" t="str">
        <f>IFERROR(VLOOKUP(R129,'G-7 WaterC'' Data'!$C$4:$D$8,2,FALSE),"")</f>
        <v/>
      </c>
      <c r="T129" s="101"/>
      <c r="U129" s="276" t="str">
        <f>IFERROR(INDEX('G-7 WaterC'' Data'!$H$4:$L$8,MATCH(N129,'G-7 WaterC'' Data'!$B$4:$B$8,0),MATCH(T129,'G-7 WaterC'' Data'!$H$3:$L$3,0)),"")</f>
        <v/>
      </c>
      <c r="V129" s="105"/>
      <c r="W129" s="295" t="str">
        <f>IF(V129="","",IF(VLOOKUP(V129,'G-7 WaterC'' Data'!$AK$4:$AM$6,2,FALSE)=0,"Spatial Data Missing ⚠",VLOOKUP(V129,'G-7 WaterC'' Data'!$AK$4:$AM$6,2,FALSE)))</f>
        <v/>
      </c>
      <c r="X129" s="299" t="str">
        <f>IF(V129="","",IF(VLOOKUP(V129,'G-7 WaterC'' Data'!$AK$4:$AM$6,3,FALSE)=0,"Spatial Data Missing ⚠",VLOOKUP(V129,'G-7 WaterC'' Data'!$AK$4:$AM$6,3,FALSE)))</f>
        <v/>
      </c>
      <c r="Y129" s="311" t="str">
        <f>IFERROR(IF(OR(LEFT(P129,5)="Error",LEFT(O129,5)="Error"),"Check Data ⚠",IF(F129&lt;S129,'G-7 WaterC'' Data'!$R$3,INDEX('G-7 WaterC'' Data'!$U$5:$Y$9,MATCH(G129,'G-7 WaterC'' Data'!$T$5:$T$9,0),MATCH(T129,'G-7 WaterC'' Data'!$U$4:$Y$4,0)))),"")</f>
        <v/>
      </c>
      <c r="Z129" s="138"/>
      <c r="AA129" s="138"/>
      <c r="AB129" s="308" t="str">
        <f t="shared" si="11"/>
        <v/>
      </c>
      <c r="AC129" s="296" t="str">
        <f t="shared" si="16"/>
        <v/>
      </c>
      <c r="AD129" s="334" t="str">
        <f>IFERROR(IF(AC129="Check Data ⚠","Check Data ⚠",VLOOKUP(AC129,'G-4 Temporal multipliers'!$A$4:$C$37,3,FALSE)),"")</f>
        <v/>
      </c>
      <c r="AE129" s="311" t="str">
        <f>IF(N129="","",VLOOKUP(N129,'G-7 WaterC'' Data'!$B$4:$G$8,5,FALSE))</f>
        <v/>
      </c>
      <c r="AF129" s="295" t="str">
        <f t="shared" si="12"/>
        <v/>
      </c>
      <c r="AG129" s="295" t="str">
        <f t="shared" si="17"/>
        <v/>
      </c>
      <c r="AH129" s="276" t="str">
        <f t="shared" si="13"/>
        <v/>
      </c>
      <c r="AI129" s="105"/>
      <c r="AJ129" s="276" t="str">
        <f>IF(AI129="","",(IF(AND(AI129="N/A - Culvert",N129&lt;&gt;"Culvert"),"Not possible ▲",IF(VLOOKUP(AI129,'G-7 WaterC'' Data'!$AA$4:$AB$7,2,FALSE)=0,"Spatial Data Missing ⚠",VLOOKUP(AI129,'G-7 WaterC'' Data'!$AA$4:$AB$7,2,FALSE)))))</f>
        <v/>
      </c>
      <c r="AK129" s="106"/>
      <c r="AL129" s="310" t="str">
        <f>IF(AK129="","",IF(AND(AK129="N/A - Culvert",N129&lt;&gt;"Culvert"),"Not possible ▲",IF(VLOOKUP(AK129,'G-7 WaterC'' Data'!$AD$4:$AE$14,2,FALSE)=0,"Spatial Data Missing ⚠",VLOOKUP(AK129,'G-7 WaterC'' Data'!$AD$4:$AE$14,2,FALSE))))</f>
        <v/>
      </c>
      <c r="AM129" s="275" t="str">
        <f>IF(B129="","",VLOOKUP($B129,'F-1 Off-Site WaterC'' Baseline'!$C$9:$Z$257,17,FALSE))</f>
        <v/>
      </c>
      <c r="AN129" s="276" t="str">
        <f>IF(AM129="","",IF(VLOOKUP(AM129,'G-7 WaterC'' Data'!$AO$4:$BO$7,2,FALSE)=0,"Spatial Data Missing ⚠",VLOOKUP(AM129,'G-7 WaterC'' Data'!$AO$4:$BO$7,2,FALSE)))</f>
        <v/>
      </c>
      <c r="AO129" s="317" t="str">
        <f t="shared" si="18"/>
        <v/>
      </c>
      <c r="AP129" s="317" t="str">
        <f t="shared" si="19"/>
        <v/>
      </c>
      <c r="AQ129" s="101"/>
      <c r="AR129" s="115"/>
      <c r="AS129" s="104"/>
      <c r="AT129" s="104"/>
      <c r="AW129" s="30" t="str">
        <f>IF(E129="","",VLOOKUP($B129,'F-1 Off-Site WaterC'' Baseline'!$C$9:$Z$257,12,FALSE))</f>
        <v/>
      </c>
      <c r="AX129" s="30" t="str">
        <f>IF(E129="","",VLOOKUP($B129,'F-1 Off-Site WaterC'' Baseline'!$C$9:$Z$257,14,FALSE))</f>
        <v/>
      </c>
      <c r="AY129" s="30" t="str">
        <f>IFERROR(INDEX('G-7 WaterC'' Data'!$AZ$3:$AZ$7,MATCH(N129,'G-7 WaterC'' Data'!$AY$3:$AY$7,0)),"")</f>
        <v/>
      </c>
      <c r="AZ129" s="30" t="str">
        <f>IF(B129="","",IF(ISNA(VLOOKUP($B129,'F-1 Off-Site WaterC'' Baseline'!$C$8:$AD$257,20,FALSE)),"",(VLOOKUP($B129,'F-1 Off-Site WaterC'' Baseline'!$C$8:$AD$257,20,FALSE))))</f>
        <v/>
      </c>
      <c r="BC129" s="30" t="str">
        <f>IF(B129="","",VLOOKUP($B129,'F-1 Off-Site WaterC'' Baseline'!$C$9:$AB$257,25,FALSE))</f>
        <v/>
      </c>
      <c r="BD129" s="30" t="str">
        <f t="shared" si="20"/>
        <v/>
      </c>
      <c r="BE129" s="30" t="str">
        <f>IF(B129="","",VLOOKUP($B129,'F-1 Off-Site WaterC'' Baseline'!$C$9:$AB$257,24,FALSE))</f>
        <v/>
      </c>
      <c r="BF129" s="30" t="str">
        <f>IF(B129="","",VLOOKUP($B129,'F-1 Off-Site WaterC'' Baseline'!$C$9:$AB$257,22,FALSE))</f>
        <v/>
      </c>
      <c r="BJ129" s="30" t="str">
        <f t="shared" si="21"/>
        <v>No</v>
      </c>
    </row>
    <row r="130" spans="2:62" ht="14">
      <c r="B130" s="305" t="str">
        <f>'F-1 Off-Site WaterC'' Baseline'!AS128</f>
        <v/>
      </c>
      <c r="C130" s="295" t="str">
        <f>IF(B130="","",VLOOKUP($B130,'F-1 Off-Site WaterC'' Baseline'!$C$9:$R$257,2,FALSE))</f>
        <v/>
      </c>
      <c r="D130" s="295" t="str">
        <f>IF(C130="","",VLOOKUP($B130,'F-1 Off-Site WaterC'' Baseline'!$C$9:$R$257,3,FALSE))</f>
        <v/>
      </c>
      <c r="E130" s="295" t="str">
        <f>IF(D130="","",VLOOKUP($B130,'F-1 Off-Site WaterC'' Baseline'!$C$9:$R$257,4,FALSE))</f>
        <v/>
      </c>
      <c r="F130" s="295" t="str">
        <f>IF(E130="","",VLOOKUP($B130,'F-1 Off-Site WaterC'' Baseline'!$C$9:$R$257,5,FALSE))</f>
        <v/>
      </c>
      <c r="G130" s="295" t="str">
        <f>IF(F130="","",VLOOKUP($B130,'F-1 Off-Site WaterC'' Baseline'!$C$9:$R$257,6,FALSE))</f>
        <v/>
      </c>
      <c r="H130" s="295" t="str">
        <f>IF(G130="","",VLOOKUP($B130,'F-1 Off-Site WaterC'' Baseline'!$C$9:$R$257,7,FALSE))</f>
        <v/>
      </c>
      <c r="I130" s="295" t="str">
        <f>IF(H130="","",VLOOKUP($B130,'F-1 Off-Site WaterC'' Baseline'!$C$9:$R$257,8,FALSE))</f>
        <v/>
      </c>
      <c r="J130" s="295" t="str">
        <f>IF(I130="","",VLOOKUP($B130,'F-1 Off-Site WaterC'' Baseline'!$C$9:$R$257,9,FALSE))</f>
        <v/>
      </c>
      <c r="K130" s="295" t="str">
        <f>IF(J130="","",VLOOKUP($B130,'F-1 Off-Site WaterC'' Baseline'!$C$9:$R$257,10,FALSE))</f>
        <v/>
      </c>
      <c r="L130" s="283" t="str">
        <f>IF(B130="","",VLOOKUP($B130,'F-1 Off-Site WaterC'' Baseline'!$C$9:$R$257,15,FALSE))</f>
        <v/>
      </c>
      <c r="M130" s="299" t="str">
        <f>IF(L130="","",VLOOKUP($B130,'F-1 Off-Site WaterC'' Baseline'!$C$9:$V$257,19,FALSE))</f>
        <v/>
      </c>
      <c r="N130" s="244"/>
      <c r="O130" s="275" t="str">
        <f t="shared" si="14"/>
        <v/>
      </c>
      <c r="P130" s="276" t="str">
        <f t="shared" si="15"/>
        <v/>
      </c>
      <c r="Q130" s="281" t="str">
        <f>IF(N130="","",VLOOKUP(B130,'F-1 Off-Site WaterC'' Baseline'!$C$10:$AF$257,23,FALSE))</f>
        <v/>
      </c>
      <c r="R130" s="275" t="str">
        <f>IF(N130="","",VLOOKUP(N130,'G-7 WaterC'' Data'!$B$2:$G$8,2,FALSE))</f>
        <v/>
      </c>
      <c r="S130" s="276" t="str">
        <f>IFERROR(VLOOKUP(R130,'G-7 WaterC'' Data'!$C$4:$D$8,2,FALSE),"")</f>
        <v/>
      </c>
      <c r="T130" s="101"/>
      <c r="U130" s="276" t="str">
        <f>IFERROR(INDEX('G-7 WaterC'' Data'!$H$4:$L$8,MATCH(N130,'G-7 WaterC'' Data'!$B$4:$B$8,0),MATCH(T130,'G-7 WaterC'' Data'!$H$3:$L$3,0)),"")</f>
        <v/>
      </c>
      <c r="V130" s="105"/>
      <c r="W130" s="295" t="str">
        <f>IF(V130="","",IF(VLOOKUP(V130,'G-7 WaterC'' Data'!$AK$4:$AM$6,2,FALSE)=0,"Spatial Data Missing ⚠",VLOOKUP(V130,'G-7 WaterC'' Data'!$AK$4:$AM$6,2,FALSE)))</f>
        <v/>
      </c>
      <c r="X130" s="299" t="str">
        <f>IF(V130="","",IF(VLOOKUP(V130,'G-7 WaterC'' Data'!$AK$4:$AM$6,3,FALSE)=0,"Spatial Data Missing ⚠",VLOOKUP(V130,'G-7 WaterC'' Data'!$AK$4:$AM$6,3,FALSE)))</f>
        <v/>
      </c>
      <c r="Y130" s="311" t="str">
        <f>IFERROR(IF(OR(LEFT(P130,5)="Error",LEFT(O130,5)="Error"),"Check Data ⚠",IF(F130&lt;S130,'G-7 WaterC'' Data'!$R$3,INDEX('G-7 WaterC'' Data'!$U$5:$Y$9,MATCH(G130,'G-7 WaterC'' Data'!$T$5:$T$9,0),MATCH(T130,'G-7 WaterC'' Data'!$U$4:$Y$4,0)))),"")</f>
        <v/>
      </c>
      <c r="Z130" s="138"/>
      <c r="AA130" s="138"/>
      <c r="AB130" s="308" t="str">
        <f t="shared" si="11"/>
        <v/>
      </c>
      <c r="AC130" s="296" t="str">
        <f t="shared" si="16"/>
        <v/>
      </c>
      <c r="AD130" s="334" t="str">
        <f>IFERROR(IF(AC130="Check Data ⚠","Check Data ⚠",VLOOKUP(AC130,'G-4 Temporal multipliers'!$A$4:$C$37,3,FALSE)),"")</f>
        <v/>
      </c>
      <c r="AE130" s="311" t="str">
        <f>IF(N130="","",VLOOKUP(N130,'G-7 WaterC'' Data'!$B$4:$G$8,5,FALSE))</f>
        <v/>
      </c>
      <c r="AF130" s="295" t="str">
        <f t="shared" si="12"/>
        <v/>
      </c>
      <c r="AG130" s="295" t="str">
        <f t="shared" si="17"/>
        <v/>
      </c>
      <c r="AH130" s="276" t="str">
        <f t="shared" si="13"/>
        <v/>
      </c>
      <c r="AI130" s="105"/>
      <c r="AJ130" s="276" t="str">
        <f>IF(AI130="","",(IF(AND(AI130="N/A - Culvert",N130&lt;&gt;"Culvert"),"Not possible ▲",IF(VLOOKUP(AI130,'G-7 WaterC'' Data'!$AA$4:$AB$7,2,FALSE)=0,"Spatial Data Missing ⚠",VLOOKUP(AI130,'G-7 WaterC'' Data'!$AA$4:$AB$7,2,FALSE)))))</f>
        <v/>
      </c>
      <c r="AK130" s="106"/>
      <c r="AL130" s="310" t="str">
        <f>IF(AK130="","",IF(AND(AK130="N/A - Culvert",N130&lt;&gt;"Culvert"),"Not possible ▲",IF(VLOOKUP(AK130,'G-7 WaterC'' Data'!$AD$4:$AE$14,2,FALSE)=0,"Spatial Data Missing ⚠",VLOOKUP(AK130,'G-7 WaterC'' Data'!$AD$4:$AE$14,2,FALSE))))</f>
        <v/>
      </c>
      <c r="AM130" s="275" t="str">
        <f>IF(B130="","",VLOOKUP($B130,'F-1 Off-Site WaterC'' Baseline'!$C$9:$Z$257,17,FALSE))</f>
        <v/>
      </c>
      <c r="AN130" s="276" t="str">
        <f>IF(AM130="","",IF(VLOOKUP(AM130,'G-7 WaterC'' Data'!$AO$4:$BO$7,2,FALSE)=0,"Spatial Data Missing ⚠",VLOOKUP(AM130,'G-7 WaterC'' Data'!$AO$4:$BO$7,2,FALSE)))</f>
        <v/>
      </c>
      <c r="AO130" s="317" t="str">
        <f t="shared" si="18"/>
        <v/>
      </c>
      <c r="AP130" s="317" t="str">
        <f t="shared" si="19"/>
        <v/>
      </c>
      <c r="AQ130" s="101"/>
      <c r="AR130" s="115"/>
      <c r="AS130" s="104"/>
      <c r="AT130" s="104"/>
      <c r="AW130" s="30" t="str">
        <f>IF(E130="","",VLOOKUP($B130,'F-1 Off-Site WaterC'' Baseline'!$C$9:$Z$257,12,FALSE))</f>
        <v/>
      </c>
      <c r="AX130" s="30" t="str">
        <f>IF(E130="","",VLOOKUP($B130,'F-1 Off-Site WaterC'' Baseline'!$C$9:$Z$257,14,FALSE))</f>
        <v/>
      </c>
      <c r="AY130" s="30" t="str">
        <f>IFERROR(INDEX('G-7 WaterC'' Data'!$AZ$3:$AZ$7,MATCH(N130,'G-7 WaterC'' Data'!$AY$3:$AY$7,0)),"")</f>
        <v/>
      </c>
      <c r="AZ130" s="30" t="str">
        <f>IF(B130="","",IF(ISNA(VLOOKUP($B130,'F-1 Off-Site WaterC'' Baseline'!$C$8:$AD$257,20,FALSE)),"",(VLOOKUP($B130,'F-1 Off-Site WaterC'' Baseline'!$C$8:$AD$257,20,FALSE))))</f>
        <v/>
      </c>
      <c r="BC130" s="30" t="str">
        <f>IF(B130="","",VLOOKUP($B130,'F-1 Off-Site WaterC'' Baseline'!$C$9:$AB$257,25,FALSE))</f>
        <v/>
      </c>
      <c r="BD130" s="30" t="str">
        <f t="shared" si="20"/>
        <v/>
      </c>
      <c r="BE130" s="30" t="str">
        <f>IF(B130="","",VLOOKUP($B130,'F-1 Off-Site WaterC'' Baseline'!$C$9:$AB$257,24,FALSE))</f>
        <v/>
      </c>
      <c r="BF130" s="30" t="str">
        <f>IF(B130="","",VLOOKUP($B130,'F-1 Off-Site WaterC'' Baseline'!$C$9:$AB$257,22,FALSE))</f>
        <v/>
      </c>
      <c r="BJ130" s="30" t="str">
        <f t="shared" si="21"/>
        <v>No</v>
      </c>
    </row>
    <row r="131" spans="2:62" ht="14">
      <c r="B131" s="305" t="str">
        <f>'F-1 Off-Site WaterC'' Baseline'!AS129</f>
        <v/>
      </c>
      <c r="C131" s="295" t="str">
        <f>IF(B131="","",VLOOKUP($B131,'F-1 Off-Site WaterC'' Baseline'!$C$9:$R$257,2,FALSE))</f>
        <v/>
      </c>
      <c r="D131" s="295" t="str">
        <f>IF(C131="","",VLOOKUP($B131,'F-1 Off-Site WaterC'' Baseline'!$C$9:$R$257,3,FALSE))</f>
        <v/>
      </c>
      <c r="E131" s="295" t="str">
        <f>IF(D131="","",VLOOKUP($B131,'F-1 Off-Site WaterC'' Baseline'!$C$9:$R$257,4,FALSE))</f>
        <v/>
      </c>
      <c r="F131" s="295" t="str">
        <f>IF(E131="","",VLOOKUP($B131,'F-1 Off-Site WaterC'' Baseline'!$C$9:$R$257,5,FALSE))</f>
        <v/>
      </c>
      <c r="G131" s="295" t="str">
        <f>IF(F131="","",VLOOKUP($B131,'F-1 Off-Site WaterC'' Baseline'!$C$9:$R$257,6,FALSE))</f>
        <v/>
      </c>
      <c r="H131" s="295" t="str">
        <f>IF(G131="","",VLOOKUP($B131,'F-1 Off-Site WaterC'' Baseline'!$C$9:$R$257,7,FALSE))</f>
        <v/>
      </c>
      <c r="I131" s="295" t="str">
        <f>IF(H131="","",VLOOKUP($B131,'F-1 Off-Site WaterC'' Baseline'!$C$9:$R$257,8,FALSE))</f>
        <v/>
      </c>
      <c r="J131" s="295" t="str">
        <f>IF(I131="","",VLOOKUP($B131,'F-1 Off-Site WaterC'' Baseline'!$C$9:$R$257,9,FALSE))</f>
        <v/>
      </c>
      <c r="K131" s="295" t="str">
        <f>IF(J131="","",VLOOKUP($B131,'F-1 Off-Site WaterC'' Baseline'!$C$9:$R$257,10,FALSE))</f>
        <v/>
      </c>
      <c r="L131" s="283" t="str">
        <f>IF(B131="","",VLOOKUP($B131,'F-1 Off-Site WaterC'' Baseline'!$C$9:$R$257,15,FALSE))</f>
        <v/>
      </c>
      <c r="M131" s="299" t="str">
        <f>IF(L131="","",VLOOKUP($B131,'F-1 Off-Site WaterC'' Baseline'!$C$9:$V$257,19,FALSE))</f>
        <v/>
      </c>
      <c r="N131" s="244"/>
      <c r="O131" s="275" t="str">
        <f t="shared" si="14"/>
        <v/>
      </c>
      <c r="P131" s="276" t="str">
        <f t="shared" si="15"/>
        <v/>
      </c>
      <c r="Q131" s="281" t="str">
        <f>IF(N131="","",VLOOKUP(B131,'F-1 Off-Site WaterC'' Baseline'!$C$10:$AF$257,23,FALSE))</f>
        <v/>
      </c>
      <c r="R131" s="275" t="str">
        <f>IF(N131="","",VLOOKUP(N131,'G-7 WaterC'' Data'!$B$2:$G$8,2,FALSE))</f>
        <v/>
      </c>
      <c r="S131" s="276" t="str">
        <f>IFERROR(VLOOKUP(R131,'G-7 WaterC'' Data'!$C$4:$D$8,2,FALSE),"")</f>
        <v/>
      </c>
      <c r="T131" s="101"/>
      <c r="U131" s="276" t="str">
        <f>IFERROR(INDEX('G-7 WaterC'' Data'!$H$4:$L$8,MATCH(N131,'G-7 WaterC'' Data'!$B$4:$B$8,0),MATCH(T131,'G-7 WaterC'' Data'!$H$3:$L$3,0)),"")</f>
        <v/>
      </c>
      <c r="V131" s="105"/>
      <c r="W131" s="295" t="str">
        <f>IF(V131="","",IF(VLOOKUP(V131,'G-7 WaterC'' Data'!$AK$4:$AM$6,2,FALSE)=0,"Spatial Data Missing ⚠",VLOOKUP(V131,'G-7 WaterC'' Data'!$AK$4:$AM$6,2,FALSE)))</f>
        <v/>
      </c>
      <c r="X131" s="299" t="str">
        <f>IF(V131="","",IF(VLOOKUP(V131,'G-7 WaterC'' Data'!$AK$4:$AM$6,3,FALSE)=0,"Spatial Data Missing ⚠",VLOOKUP(V131,'G-7 WaterC'' Data'!$AK$4:$AM$6,3,FALSE)))</f>
        <v/>
      </c>
      <c r="Y131" s="311" t="str">
        <f>IFERROR(IF(OR(LEFT(P131,5)="Error",LEFT(O131,5)="Error"),"Check Data ⚠",IF(F131&lt;S131,'G-7 WaterC'' Data'!$R$3,INDEX('G-7 WaterC'' Data'!$U$5:$Y$9,MATCH(G131,'G-7 WaterC'' Data'!$T$5:$T$9,0),MATCH(T131,'G-7 WaterC'' Data'!$U$4:$Y$4,0)))),"")</f>
        <v/>
      </c>
      <c r="Z131" s="138"/>
      <c r="AA131" s="138"/>
      <c r="AB131" s="308" t="str">
        <f t="shared" si="11"/>
        <v/>
      </c>
      <c r="AC131" s="296" t="str">
        <f t="shared" si="16"/>
        <v/>
      </c>
      <c r="AD131" s="334" t="str">
        <f>IFERROR(IF(AC131="Check Data ⚠","Check Data ⚠",VLOOKUP(AC131,'G-4 Temporal multipliers'!$A$4:$C$37,3,FALSE)),"")</f>
        <v/>
      </c>
      <c r="AE131" s="311" t="str">
        <f>IF(N131="","",VLOOKUP(N131,'G-7 WaterC'' Data'!$B$4:$G$8,5,FALSE))</f>
        <v/>
      </c>
      <c r="AF131" s="295" t="str">
        <f t="shared" si="12"/>
        <v/>
      </c>
      <c r="AG131" s="295" t="str">
        <f t="shared" si="17"/>
        <v/>
      </c>
      <c r="AH131" s="276" t="str">
        <f t="shared" si="13"/>
        <v/>
      </c>
      <c r="AI131" s="105"/>
      <c r="AJ131" s="276" t="str">
        <f>IF(AI131="","",(IF(AND(AI131="N/A - Culvert",N131&lt;&gt;"Culvert"),"Not possible ▲",IF(VLOOKUP(AI131,'G-7 WaterC'' Data'!$AA$4:$AB$7,2,FALSE)=0,"Spatial Data Missing ⚠",VLOOKUP(AI131,'G-7 WaterC'' Data'!$AA$4:$AB$7,2,FALSE)))))</f>
        <v/>
      </c>
      <c r="AK131" s="106"/>
      <c r="AL131" s="310" t="str">
        <f>IF(AK131="","",IF(AND(AK131="N/A - Culvert",N131&lt;&gt;"Culvert"),"Not possible ▲",IF(VLOOKUP(AK131,'G-7 WaterC'' Data'!$AD$4:$AE$14,2,FALSE)=0,"Spatial Data Missing ⚠",VLOOKUP(AK131,'G-7 WaterC'' Data'!$AD$4:$AE$14,2,FALSE))))</f>
        <v/>
      </c>
      <c r="AM131" s="275" t="str">
        <f>IF(B131="","",VLOOKUP($B131,'F-1 Off-Site WaterC'' Baseline'!$C$9:$Z$257,17,FALSE))</f>
        <v/>
      </c>
      <c r="AN131" s="276" t="str">
        <f>IF(AM131="","",IF(VLOOKUP(AM131,'G-7 WaterC'' Data'!$AO$4:$BO$7,2,FALSE)=0,"Spatial Data Missing ⚠",VLOOKUP(AM131,'G-7 WaterC'' Data'!$AO$4:$BO$7,2,FALSE)))</f>
        <v/>
      </c>
      <c r="AO131" s="317" t="str">
        <f t="shared" si="18"/>
        <v/>
      </c>
      <c r="AP131" s="317" t="str">
        <f t="shared" si="19"/>
        <v/>
      </c>
      <c r="AQ131" s="101"/>
      <c r="AR131" s="115"/>
      <c r="AS131" s="104"/>
      <c r="AT131" s="104"/>
      <c r="AW131" s="30" t="str">
        <f>IF(E131="","",VLOOKUP($B131,'F-1 Off-Site WaterC'' Baseline'!$C$9:$Z$257,12,FALSE))</f>
        <v/>
      </c>
      <c r="AX131" s="30" t="str">
        <f>IF(E131="","",VLOOKUP($B131,'F-1 Off-Site WaterC'' Baseline'!$C$9:$Z$257,14,FALSE))</f>
        <v/>
      </c>
      <c r="AY131" s="30" t="str">
        <f>IFERROR(INDEX('G-7 WaterC'' Data'!$AZ$3:$AZ$7,MATCH(N131,'G-7 WaterC'' Data'!$AY$3:$AY$7,0)),"")</f>
        <v/>
      </c>
      <c r="AZ131" s="30" t="str">
        <f>IF(B131="","",IF(ISNA(VLOOKUP($B131,'F-1 Off-Site WaterC'' Baseline'!$C$8:$AD$257,20,FALSE)),"",(VLOOKUP($B131,'F-1 Off-Site WaterC'' Baseline'!$C$8:$AD$257,20,FALSE))))</f>
        <v/>
      </c>
      <c r="BC131" s="30" t="str">
        <f>IF(B131="","",VLOOKUP($B131,'F-1 Off-Site WaterC'' Baseline'!$C$9:$AB$257,25,FALSE))</f>
        <v/>
      </c>
      <c r="BD131" s="30" t="str">
        <f t="shared" si="20"/>
        <v/>
      </c>
      <c r="BE131" s="30" t="str">
        <f>IF(B131="","",VLOOKUP($B131,'F-1 Off-Site WaterC'' Baseline'!$C$9:$AB$257,24,FALSE))</f>
        <v/>
      </c>
      <c r="BF131" s="30" t="str">
        <f>IF(B131="","",VLOOKUP($B131,'F-1 Off-Site WaterC'' Baseline'!$C$9:$AB$257,22,FALSE))</f>
        <v/>
      </c>
      <c r="BJ131" s="30" t="str">
        <f t="shared" si="21"/>
        <v>No</v>
      </c>
    </row>
    <row r="132" spans="2:62" ht="14">
      <c r="B132" s="305" t="str">
        <f>'F-1 Off-Site WaterC'' Baseline'!AS130</f>
        <v/>
      </c>
      <c r="C132" s="295" t="str">
        <f>IF(B132="","",VLOOKUP($B132,'F-1 Off-Site WaterC'' Baseline'!$C$9:$R$257,2,FALSE))</f>
        <v/>
      </c>
      <c r="D132" s="295" t="str">
        <f>IF(C132="","",VLOOKUP($B132,'F-1 Off-Site WaterC'' Baseline'!$C$9:$R$257,3,FALSE))</f>
        <v/>
      </c>
      <c r="E132" s="295" t="str">
        <f>IF(D132="","",VLOOKUP($B132,'F-1 Off-Site WaterC'' Baseline'!$C$9:$R$257,4,FALSE))</f>
        <v/>
      </c>
      <c r="F132" s="295" t="str">
        <f>IF(E132="","",VLOOKUP($B132,'F-1 Off-Site WaterC'' Baseline'!$C$9:$R$257,5,FALSE))</f>
        <v/>
      </c>
      <c r="G132" s="295" t="str">
        <f>IF(F132="","",VLOOKUP($B132,'F-1 Off-Site WaterC'' Baseline'!$C$9:$R$257,6,FALSE))</f>
        <v/>
      </c>
      <c r="H132" s="295" t="str">
        <f>IF(G132="","",VLOOKUP($B132,'F-1 Off-Site WaterC'' Baseline'!$C$9:$R$257,7,FALSE))</f>
        <v/>
      </c>
      <c r="I132" s="295" t="str">
        <f>IF(H132="","",VLOOKUP($B132,'F-1 Off-Site WaterC'' Baseline'!$C$9:$R$257,8,FALSE))</f>
        <v/>
      </c>
      <c r="J132" s="295" t="str">
        <f>IF(I132="","",VLOOKUP($B132,'F-1 Off-Site WaterC'' Baseline'!$C$9:$R$257,9,FALSE))</f>
        <v/>
      </c>
      <c r="K132" s="295" t="str">
        <f>IF(J132="","",VLOOKUP($B132,'F-1 Off-Site WaterC'' Baseline'!$C$9:$R$257,10,FALSE))</f>
        <v/>
      </c>
      <c r="L132" s="283" t="str">
        <f>IF(B132="","",VLOOKUP($B132,'F-1 Off-Site WaterC'' Baseline'!$C$9:$R$257,15,FALSE))</f>
        <v/>
      </c>
      <c r="M132" s="299" t="str">
        <f>IF(L132="","",VLOOKUP($B132,'F-1 Off-Site WaterC'' Baseline'!$C$9:$V$257,19,FALSE))</f>
        <v/>
      </c>
      <c r="N132" s="244"/>
      <c r="O132" s="275" t="str">
        <f t="shared" si="14"/>
        <v/>
      </c>
      <c r="P132" s="276" t="str">
        <f t="shared" si="15"/>
        <v/>
      </c>
      <c r="Q132" s="281" t="str">
        <f>IF(N132="","",VLOOKUP(B132,'F-1 Off-Site WaterC'' Baseline'!$C$10:$AF$257,23,FALSE))</f>
        <v/>
      </c>
      <c r="R132" s="275" t="str">
        <f>IF(N132="","",VLOOKUP(N132,'G-7 WaterC'' Data'!$B$2:$G$8,2,FALSE))</f>
        <v/>
      </c>
      <c r="S132" s="276" t="str">
        <f>IFERROR(VLOOKUP(R132,'G-7 WaterC'' Data'!$C$4:$D$8,2,FALSE),"")</f>
        <v/>
      </c>
      <c r="T132" s="101"/>
      <c r="U132" s="276" t="str">
        <f>IFERROR(INDEX('G-7 WaterC'' Data'!$H$4:$L$8,MATCH(N132,'G-7 WaterC'' Data'!$B$4:$B$8,0),MATCH(T132,'G-7 WaterC'' Data'!$H$3:$L$3,0)),"")</f>
        <v/>
      </c>
      <c r="V132" s="105"/>
      <c r="W132" s="295" t="str">
        <f>IF(V132="","",IF(VLOOKUP(V132,'G-7 WaterC'' Data'!$AK$4:$AM$6,2,FALSE)=0,"Spatial Data Missing ⚠",VLOOKUP(V132,'G-7 WaterC'' Data'!$AK$4:$AM$6,2,FALSE)))</f>
        <v/>
      </c>
      <c r="X132" s="299" t="str">
        <f>IF(V132="","",IF(VLOOKUP(V132,'G-7 WaterC'' Data'!$AK$4:$AM$6,3,FALSE)=0,"Spatial Data Missing ⚠",VLOOKUP(V132,'G-7 WaterC'' Data'!$AK$4:$AM$6,3,FALSE)))</f>
        <v/>
      </c>
      <c r="Y132" s="311" t="str">
        <f>IFERROR(IF(OR(LEFT(P132,5)="Error",LEFT(O132,5)="Error"),"Check Data ⚠",IF(F132&lt;S132,'G-7 WaterC'' Data'!$R$3,INDEX('G-7 WaterC'' Data'!$U$5:$Y$9,MATCH(G132,'G-7 WaterC'' Data'!$T$5:$T$9,0),MATCH(T132,'G-7 WaterC'' Data'!$U$4:$Y$4,0)))),"")</f>
        <v/>
      </c>
      <c r="Z132" s="138"/>
      <c r="AA132" s="138"/>
      <c r="AB132" s="308" t="str">
        <f t="shared" si="11"/>
        <v/>
      </c>
      <c r="AC132" s="296" t="str">
        <f t="shared" si="16"/>
        <v/>
      </c>
      <c r="AD132" s="334" t="str">
        <f>IFERROR(IF(AC132="Check Data ⚠","Check Data ⚠",VLOOKUP(AC132,'G-4 Temporal multipliers'!$A$4:$C$37,3,FALSE)),"")</f>
        <v/>
      </c>
      <c r="AE132" s="311" t="str">
        <f>IF(N132="","",VLOOKUP(N132,'G-7 WaterC'' Data'!$B$4:$G$8,5,FALSE))</f>
        <v/>
      </c>
      <c r="AF132" s="295" t="str">
        <f t="shared" si="12"/>
        <v/>
      </c>
      <c r="AG132" s="295" t="str">
        <f t="shared" si="17"/>
        <v/>
      </c>
      <c r="AH132" s="276" t="str">
        <f t="shared" si="13"/>
        <v/>
      </c>
      <c r="AI132" s="105"/>
      <c r="AJ132" s="276" t="str">
        <f>IF(AI132="","",(IF(AND(AI132="N/A - Culvert",N132&lt;&gt;"Culvert"),"Not possible ▲",IF(VLOOKUP(AI132,'G-7 WaterC'' Data'!$AA$4:$AB$7,2,FALSE)=0,"Spatial Data Missing ⚠",VLOOKUP(AI132,'G-7 WaterC'' Data'!$AA$4:$AB$7,2,FALSE)))))</f>
        <v/>
      </c>
      <c r="AK132" s="106"/>
      <c r="AL132" s="310" t="str">
        <f>IF(AK132="","",IF(AND(AK132="N/A - Culvert",N132&lt;&gt;"Culvert"),"Not possible ▲",IF(VLOOKUP(AK132,'G-7 WaterC'' Data'!$AD$4:$AE$14,2,FALSE)=0,"Spatial Data Missing ⚠",VLOOKUP(AK132,'G-7 WaterC'' Data'!$AD$4:$AE$14,2,FALSE))))</f>
        <v/>
      </c>
      <c r="AM132" s="275" t="str">
        <f>IF(B132="","",VLOOKUP($B132,'F-1 Off-Site WaterC'' Baseline'!$C$9:$Z$257,17,FALSE))</f>
        <v/>
      </c>
      <c r="AN132" s="276" t="str">
        <f>IF(AM132="","",IF(VLOOKUP(AM132,'G-7 WaterC'' Data'!$AO$4:$BO$7,2,FALSE)=0,"Spatial Data Missing ⚠",VLOOKUP(AM132,'G-7 WaterC'' Data'!$AO$4:$BO$7,2,FALSE)))</f>
        <v/>
      </c>
      <c r="AO132" s="317" t="str">
        <f t="shared" si="18"/>
        <v/>
      </c>
      <c r="AP132" s="317" t="str">
        <f t="shared" si="19"/>
        <v/>
      </c>
      <c r="AQ132" s="101"/>
      <c r="AR132" s="115"/>
      <c r="AS132" s="104"/>
      <c r="AT132" s="104"/>
      <c r="AW132" s="30" t="str">
        <f>IF(E132="","",VLOOKUP($B132,'F-1 Off-Site WaterC'' Baseline'!$C$9:$Z$257,12,FALSE))</f>
        <v/>
      </c>
      <c r="AX132" s="30" t="str">
        <f>IF(E132="","",VLOOKUP($B132,'F-1 Off-Site WaterC'' Baseline'!$C$9:$Z$257,14,FALSE))</f>
        <v/>
      </c>
      <c r="AY132" s="30" t="str">
        <f>IFERROR(INDEX('G-7 WaterC'' Data'!$AZ$3:$AZ$7,MATCH(N132,'G-7 WaterC'' Data'!$AY$3:$AY$7,0)),"")</f>
        <v/>
      </c>
      <c r="AZ132" s="30" t="str">
        <f>IF(B132="","",IF(ISNA(VLOOKUP($B132,'F-1 Off-Site WaterC'' Baseline'!$C$8:$AD$257,20,FALSE)),"",(VLOOKUP($B132,'F-1 Off-Site WaterC'' Baseline'!$C$8:$AD$257,20,FALSE))))</f>
        <v/>
      </c>
      <c r="BC132" s="30" t="str">
        <f>IF(B132="","",VLOOKUP($B132,'F-1 Off-Site WaterC'' Baseline'!$C$9:$AB$257,25,FALSE))</f>
        <v/>
      </c>
      <c r="BD132" s="30" t="str">
        <f t="shared" si="20"/>
        <v/>
      </c>
      <c r="BE132" s="30" t="str">
        <f>IF(B132="","",VLOOKUP($B132,'F-1 Off-Site WaterC'' Baseline'!$C$9:$AB$257,24,FALSE))</f>
        <v/>
      </c>
      <c r="BF132" s="30" t="str">
        <f>IF(B132="","",VLOOKUP($B132,'F-1 Off-Site WaterC'' Baseline'!$C$9:$AB$257,22,FALSE))</f>
        <v/>
      </c>
      <c r="BJ132" s="30" t="str">
        <f t="shared" si="21"/>
        <v>No</v>
      </c>
    </row>
    <row r="133" spans="2:62" ht="14">
      <c r="B133" s="305" t="str">
        <f>'F-1 Off-Site WaterC'' Baseline'!AS131</f>
        <v/>
      </c>
      <c r="C133" s="295" t="str">
        <f>IF(B133="","",VLOOKUP($B133,'F-1 Off-Site WaterC'' Baseline'!$C$9:$R$257,2,FALSE))</f>
        <v/>
      </c>
      <c r="D133" s="295" t="str">
        <f>IF(C133="","",VLOOKUP($B133,'F-1 Off-Site WaterC'' Baseline'!$C$9:$R$257,3,FALSE))</f>
        <v/>
      </c>
      <c r="E133" s="295" t="str">
        <f>IF(D133="","",VLOOKUP($B133,'F-1 Off-Site WaterC'' Baseline'!$C$9:$R$257,4,FALSE))</f>
        <v/>
      </c>
      <c r="F133" s="295" t="str">
        <f>IF(E133="","",VLOOKUP($B133,'F-1 Off-Site WaterC'' Baseline'!$C$9:$R$257,5,FALSE))</f>
        <v/>
      </c>
      <c r="G133" s="295" t="str">
        <f>IF(F133="","",VLOOKUP($B133,'F-1 Off-Site WaterC'' Baseline'!$C$9:$R$257,6,FALSE))</f>
        <v/>
      </c>
      <c r="H133" s="295" t="str">
        <f>IF(G133="","",VLOOKUP($B133,'F-1 Off-Site WaterC'' Baseline'!$C$9:$R$257,7,FALSE))</f>
        <v/>
      </c>
      <c r="I133" s="295" t="str">
        <f>IF(H133="","",VLOOKUP($B133,'F-1 Off-Site WaterC'' Baseline'!$C$9:$R$257,8,FALSE))</f>
        <v/>
      </c>
      <c r="J133" s="295" t="str">
        <f>IF(I133="","",VLOOKUP($B133,'F-1 Off-Site WaterC'' Baseline'!$C$9:$R$257,9,FALSE))</f>
        <v/>
      </c>
      <c r="K133" s="295" t="str">
        <f>IF(J133="","",VLOOKUP($B133,'F-1 Off-Site WaterC'' Baseline'!$C$9:$R$257,10,FALSE))</f>
        <v/>
      </c>
      <c r="L133" s="283" t="str">
        <f>IF(B133="","",VLOOKUP($B133,'F-1 Off-Site WaterC'' Baseline'!$C$9:$R$257,15,FALSE))</f>
        <v/>
      </c>
      <c r="M133" s="299" t="str">
        <f>IF(L133="","",VLOOKUP($B133,'F-1 Off-Site WaterC'' Baseline'!$C$9:$V$257,19,FALSE))</f>
        <v/>
      </c>
      <c r="N133" s="244"/>
      <c r="O133" s="275" t="str">
        <f t="shared" si="14"/>
        <v/>
      </c>
      <c r="P133" s="276" t="str">
        <f t="shared" si="15"/>
        <v/>
      </c>
      <c r="Q133" s="281" t="str">
        <f>IF(N133="","",VLOOKUP(B133,'F-1 Off-Site WaterC'' Baseline'!$C$10:$AF$257,23,FALSE))</f>
        <v/>
      </c>
      <c r="R133" s="275" t="str">
        <f>IF(N133="","",VLOOKUP(N133,'G-7 WaterC'' Data'!$B$2:$G$8,2,FALSE))</f>
        <v/>
      </c>
      <c r="S133" s="276" t="str">
        <f>IFERROR(VLOOKUP(R133,'G-7 WaterC'' Data'!$C$4:$D$8,2,FALSE),"")</f>
        <v/>
      </c>
      <c r="T133" s="101"/>
      <c r="U133" s="276" t="str">
        <f>IFERROR(INDEX('G-7 WaterC'' Data'!$H$4:$L$8,MATCH(N133,'G-7 WaterC'' Data'!$B$4:$B$8,0),MATCH(T133,'G-7 WaterC'' Data'!$H$3:$L$3,0)),"")</f>
        <v/>
      </c>
      <c r="V133" s="105"/>
      <c r="W133" s="295" t="str">
        <f>IF(V133="","",IF(VLOOKUP(V133,'G-7 WaterC'' Data'!$AK$4:$AM$6,2,FALSE)=0,"Spatial Data Missing ⚠",VLOOKUP(V133,'G-7 WaterC'' Data'!$AK$4:$AM$6,2,FALSE)))</f>
        <v/>
      </c>
      <c r="X133" s="299" t="str">
        <f>IF(V133="","",IF(VLOOKUP(V133,'G-7 WaterC'' Data'!$AK$4:$AM$6,3,FALSE)=0,"Spatial Data Missing ⚠",VLOOKUP(V133,'G-7 WaterC'' Data'!$AK$4:$AM$6,3,FALSE)))</f>
        <v/>
      </c>
      <c r="Y133" s="311" t="str">
        <f>IFERROR(IF(OR(LEFT(P133,5)="Error",LEFT(O133,5)="Error"),"Check Data ⚠",IF(F133&lt;S133,'G-7 WaterC'' Data'!$R$3,INDEX('G-7 WaterC'' Data'!$U$5:$Y$9,MATCH(G133,'G-7 WaterC'' Data'!$T$5:$T$9,0),MATCH(T133,'G-7 WaterC'' Data'!$U$4:$Y$4,0)))),"")</f>
        <v/>
      </c>
      <c r="Z133" s="138"/>
      <c r="AA133" s="138"/>
      <c r="AB133" s="308" t="str">
        <f t="shared" si="11"/>
        <v/>
      </c>
      <c r="AC133" s="296" t="str">
        <f t="shared" si="16"/>
        <v/>
      </c>
      <c r="AD133" s="334" t="str">
        <f>IFERROR(IF(AC133="Check Data ⚠","Check Data ⚠",VLOOKUP(AC133,'G-4 Temporal multipliers'!$A$4:$C$37,3,FALSE)),"")</f>
        <v/>
      </c>
      <c r="AE133" s="311" t="str">
        <f>IF(N133="","",VLOOKUP(N133,'G-7 WaterC'' Data'!$B$4:$G$8,5,FALSE))</f>
        <v/>
      </c>
      <c r="AF133" s="295" t="str">
        <f t="shared" si="12"/>
        <v/>
      </c>
      <c r="AG133" s="295" t="str">
        <f t="shared" si="17"/>
        <v/>
      </c>
      <c r="AH133" s="276" t="str">
        <f t="shared" si="13"/>
        <v/>
      </c>
      <c r="AI133" s="105"/>
      <c r="AJ133" s="276" t="str">
        <f>IF(AI133="","",(IF(AND(AI133="N/A - Culvert",N133&lt;&gt;"Culvert"),"Not possible ▲",IF(VLOOKUP(AI133,'G-7 WaterC'' Data'!$AA$4:$AB$7,2,FALSE)=0,"Spatial Data Missing ⚠",VLOOKUP(AI133,'G-7 WaterC'' Data'!$AA$4:$AB$7,2,FALSE)))))</f>
        <v/>
      </c>
      <c r="AK133" s="106"/>
      <c r="AL133" s="310" t="str">
        <f>IF(AK133="","",IF(AND(AK133="N/A - Culvert",N133&lt;&gt;"Culvert"),"Not possible ▲",IF(VLOOKUP(AK133,'G-7 WaterC'' Data'!$AD$4:$AE$14,2,FALSE)=0,"Spatial Data Missing ⚠",VLOOKUP(AK133,'G-7 WaterC'' Data'!$AD$4:$AE$14,2,FALSE))))</f>
        <v/>
      </c>
      <c r="AM133" s="275" t="str">
        <f>IF(B133="","",VLOOKUP($B133,'F-1 Off-Site WaterC'' Baseline'!$C$9:$Z$257,17,FALSE))</f>
        <v/>
      </c>
      <c r="AN133" s="276" t="str">
        <f>IF(AM133="","",IF(VLOOKUP(AM133,'G-7 WaterC'' Data'!$AO$4:$BO$7,2,FALSE)=0,"Spatial Data Missing ⚠",VLOOKUP(AM133,'G-7 WaterC'' Data'!$AO$4:$BO$7,2,FALSE)))</f>
        <v/>
      </c>
      <c r="AO133" s="317" t="str">
        <f t="shared" si="18"/>
        <v/>
      </c>
      <c r="AP133" s="317" t="str">
        <f t="shared" si="19"/>
        <v/>
      </c>
      <c r="AQ133" s="101"/>
      <c r="AR133" s="115"/>
      <c r="AS133" s="104"/>
      <c r="AT133" s="104"/>
      <c r="AW133" s="30" t="str">
        <f>IF(E133="","",VLOOKUP($B133,'F-1 Off-Site WaterC'' Baseline'!$C$9:$Z$257,12,FALSE))</f>
        <v/>
      </c>
      <c r="AX133" s="30" t="str">
        <f>IF(E133="","",VLOOKUP($B133,'F-1 Off-Site WaterC'' Baseline'!$C$9:$Z$257,14,FALSE))</f>
        <v/>
      </c>
      <c r="AY133" s="30" t="str">
        <f>IFERROR(INDEX('G-7 WaterC'' Data'!$AZ$3:$AZ$7,MATCH(N133,'G-7 WaterC'' Data'!$AY$3:$AY$7,0)),"")</f>
        <v/>
      </c>
      <c r="AZ133" s="30" t="str">
        <f>IF(B133="","",IF(ISNA(VLOOKUP($B133,'F-1 Off-Site WaterC'' Baseline'!$C$8:$AD$257,20,FALSE)),"",(VLOOKUP($B133,'F-1 Off-Site WaterC'' Baseline'!$C$8:$AD$257,20,FALSE))))</f>
        <v/>
      </c>
      <c r="BC133" s="30" t="str">
        <f>IF(B133="","",VLOOKUP($B133,'F-1 Off-Site WaterC'' Baseline'!$C$9:$AB$257,25,FALSE))</f>
        <v/>
      </c>
      <c r="BD133" s="30" t="str">
        <f t="shared" si="20"/>
        <v/>
      </c>
      <c r="BE133" s="30" t="str">
        <f>IF(B133="","",VLOOKUP($B133,'F-1 Off-Site WaterC'' Baseline'!$C$9:$AB$257,24,FALSE))</f>
        <v/>
      </c>
      <c r="BF133" s="30" t="str">
        <f>IF(B133="","",VLOOKUP($B133,'F-1 Off-Site WaterC'' Baseline'!$C$9:$AB$257,22,FALSE))</f>
        <v/>
      </c>
      <c r="BJ133" s="30" t="str">
        <f t="shared" si="21"/>
        <v>No</v>
      </c>
    </row>
    <row r="134" spans="2:62" ht="14">
      <c r="B134" s="305" t="str">
        <f>'F-1 Off-Site WaterC'' Baseline'!AS132</f>
        <v/>
      </c>
      <c r="C134" s="295" t="str">
        <f>IF(B134="","",VLOOKUP($B134,'F-1 Off-Site WaterC'' Baseline'!$C$9:$R$257,2,FALSE))</f>
        <v/>
      </c>
      <c r="D134" s="295" t="str">
        <f>IF(C134="","",VLOOKUP($B134,'F-1 Off-Site WaterC'' Baseline'!$C$9:$R$257,3,FALSE))</f>
        <v/>
      </c>
      <c r="E134" s="295" t="str">
        <f>IF(D134="","",VLOOKUP($B134,'F-1 Off-Site WaterC'' Baseline'!$C$9:$R$257,4,FALSE))</f>
        <v/>
      </c>
      <c r="F134" s="295" t="str">
        <f>IF(E134="","",VLOOKUP($B134,'F-1 Off-Site WaterC'' Baseline'!$C$9:$R$257,5,FALSE))</f>
        <v/>
      </c>
      <c r="G134" s="295" t="str">
        <f>IF(F134="","",VLOOKUP($B134,'F-1 Off-Site WaterC'' Baseline'!$C$9:$R$257,6,FALSE))</f>
        <v/>
      </c>
      <c r="H134" s="295" t="str">
        <f>IF(G134="","",VLOOKUP($B134,'F-1 Off-Site WaterC'' Baseline'!$C$9:$R$257,7,FALSE))</f>
        <v/>
      </c>
      <c r="I134" s="295" t="str">
        <f>IF(H134="","",VLOOKUP($B134,'F-1 Off-Site WaterC'' Baseline'!$C$9:$R$257,8,FALSE))</f>
        <v/>
      </c>
      <c r="J134" s="295" t="str">
        <f>IF(I134="","",VLOOKUP($B134,'F-1 Off-Site WaterC'' Baseline'!$C$9:$R$257,9,FALSE))</f>
        <v/>
      </c>
      <c r="K134" s="295" t="str">
        <f>IF(J134="","",VLOOKUP($B134,'F-1 Off-Site WaterC'' Baseline'!$C$9:$R$257,10,FALSE))</f>
        <v/>
      </c>
      <c r="L134" s="283" t="str">
        <f>IF(B134="","",VLOOKUP($B134,'F-1 Off-Site WaterC'' Baseline'!$C$9:$R$257,15,FALSE))</f>
        <v/>
      </c>
      <c r="M134" s="299" t="str">
        <f>IF(L134="","",VLOOKUP($B134,'F-1 Off-Site WaterC'' Baseline'!$C$9:$V$257,19,FALSE))</f>
        <v/>
      </c>
      <c r="N134" s="244"/>
      <c r="O134" s="275" t="str">
        <f t="shared" si="14"/>
        <v/>
      </c>
      <c r="P134" s="276" t="str">
        <f t="shared" si="15"/>
        <v/>
      </c>
      <c r="Q134" s="281" t="str">
        <f>IF(N134="","",VLOOKUP(B134,'F-1 Off-Site WaterC'' Baseline'!$C$10:$AF$257,23,FALSE))</f>
        <v/>
      </c>
      <c r="R134" s="275" t="str">
        <f>IF(N134="","",VLOOKUP(N134,'G-7 WaterC'' Data'!$B$2:$G$8,2,FALSE))</f>
        <v/>
      </c>
      <c r="S134" s="276" t="str">
        <f>IFERROR(VLOOKUP(R134,'G-7 WaterC'' Data'!$C$4:$D$8,2,FALSE),"")</f>
        <v/>
      </c>
      <c r="T134" s="101"/>
      <c r="U134" s="276" t="str">
        <f>IFERROR(INDEX('G-7 WaterC'' Data'!$H$4:$L$8,MATCH(N134,'G-7 WaterC'' Data'!$B$4:$B$8,0),MATCH(T134,'G-7 WaterC'' Data'!$H$3:$L$3,0)),"")</f>
        <v/>
      </c>
      <c r="V134" s="105"/>
      <c r="W134" s="295" t="str">
        <f>IF(V134="","",IF(VLOOKUP(V134,'G-7 WaterC'' Data'!$AK$4:$AM$6,2,FALSE)=0,"Spatial Data Missing ⚠",VLOOKUP(V134,'G-7 WaterC'' Data'!$AK$4:$AM$6,2,FALSE)))</f>
        <v/>
      </c>
      <c r="X134" s="299" t="str">
        <f>IF(V134="","",IF(VLOOKUP(V134,'G-7 WaterC'' Data'!$AK$4:$AM$6,3,FALSE)=0,"Spatial Data Missing ⚠",VLOOKUP(V134,'G-7 WaterC'' Data'!$AK$4:$AM$6,3,FALSE)))</f>
        <v/>
      </c>
      <c r="Y134" s="311" t="str">
        <f>IFERROR(IF(OR(LEFT(P134,5)="Error",LEFT(O134,5)="Error"),"Check Data ⚠",IF(F134&lt;S134,'G-7 WaterC'' Data'!$R$3,INDEX('G-7 WaterC'' Data'!$U$5:$Y$9,MATCH(G134,'G-7 WaterC'' Data'!$T$5:$T$9,0),MATCH(T134,'G-7 WaterC'' Data'!$U$4:$Y$4,0)))),"")</f>
        <v/>
      </c>
      <c r="Z134" s="138"/>
      <c r="AA134" s="138"/>
      <c r="AB134" s="308" t="str">
        <f t="shared" si="11"/>
        <v/>
      </c>
      <c r="AC134" s="296" t="str">
        <f t="shared" si="16"/>
        <v/>
      </c>
      <c r="AD134" s="334" t="str">
        <f>IFERROR(IF(AC134="Check Data ⚠","Check Data ⚠",VLOOKUP(AC134,'G-4 Temporal multipliers'!$A$4:$C$37,3,FALSE)),"")</f>
        <v/>
      </c>
      <c r="AE134" s="311" t="str">
        <f>IF(N134="","",VLOOKUP(N134,'G-7 WaterC'' Data'!$B$4:$G$8,5,FALSE))</f>
        <v/>
      </c>
      <c r="AF134" s="295" t="str">
        <f t="shared" si="12"/>
        <v/>
      </c>
      <c r="AG134" s="295" t="str">
        <f t="shared" si="17"/>
        <v/>
      </c>
      <c r="AH134" s="276" t="str">
        <f t="shared" si="13"/>
        <v/>
      </c>
      <c r="AI134" s="105"/>
      <c r="AJ134" s="276" t="str">
        <f>IF(AI134="","",(IF(AND(AI134="N/A - Culvert",N134&lt;&gt;"Culvert"),"Not possible ▲",IF(VLOOKUP(AI134,'G-7 WaterC'' Data'!$AA$4:$AB$7,2,FALSE)=0,"Spatial Data Missing ⚠",VLOOKUP(AI134,'G-7 WaterC'' Data'!$AA$4:$AB$7,2,FALSE)))))</f>
        <v/>
      </c>
      <c r="AK134" s="106"/>
      <c r="AL134" s="310" t="str">
        <f>IF(AK134="","",IF(AND(AK134="N/A - Culvert",N134&lt;&gt;"Culvert"),"Not possible ▲",IF(VLOOKUP(AK134,'G-7 WaterC'' Data'!$AD$4:$AE$14,2,FALSE)=0,"Spatial Data Missing ⚠",VLOOKUP(AK134,'G-7 WaterC'' Data'!$AD$4:$AE$14,2,FALSE))))</f>
        <v/>
      </c>
      <c r="AM134" s="275" t="str">
        <f>IF(B134="","",VLOOKUP($B134,'F-1 Off-Site WaterC'' Baseline'!$C$9:$Z$257,17,FALSE))</f>
        <v/>
      </c>
      <c r="AN134" s="276" t="str">
        <f>IF(AM134="","",IF(VLOOKUP(AM134,'G-7 WaterC'' Data'!$AO$4:$BO$7,2,FALSE)=0,"Spatial Data Missing ⚠",VLOOKUP(AM134,'G-7 WaterC'' Data'!$AO$4:$BO$7,2,FALSE)))</f>
        <v/>
      </c>
      <c r="AO134" s="317" t="str">
        <f t="shared" si="18"/>
        <v/>
      </c>
      <c r="AP134" s="317" t="str">
        <f t="shared" si="19"/>
        <v/>
      </c>
      <c r="AQ134" s="101"/>
      <c r="AR134" s="115"/>
      <c r="AS134" s="104"/>
      <c r="AT134" s="104"/>
      <c r="AW134" s="30" t="str">
        <f>IF(E134="","",VLOOKUP($B134,'F-1 Off-Site WaterC'' Baseline'!$C$9:$Z$257,12,FALSE))</f>
        <v/>
      </c>
      <c r="AX134" s="30" t="str">
        <f>IF(E134="","",VLOOKUP($B134,'F-1 Off-Site WaterC'' Baseline'!$C$9:$Z$257,14,FALSE))</f>
        <v/>
      </c>
      <c r="AY134" s="30" t="str">
        <f>IFERROR(INDEX('G-7 WaterC'' Data'!$AZ$3:$AZ$7,MATCH(N134,'G-7 WaterC'' Data'!$AY$3:$AY$7,0)),"")</f>
        <v/>
      </c>
      <c r="AZ134" s="30" t="str">
        <f>IF(B134="","",IF(ISNA(VLOOKUP($B134,'F-1 Off-Site WaterC'' Baseline'!$C$8:$AD$257,20,FALSE)),"",(VLOOKUP($B134,'F-1 Off-Site WaterC'' Baseline'!$C$8:$AD$257,20,FALSE))))</f>
        <v/>
      </c>
      <c r="BC134" s="30" t="str">
        <f>IF(B134="","",VLOOKUP($B134,'F-1 Off-Site WaterC'' Baseline'!$C$9:$AB$257,25,FALSE))</f>
        <v/>
      </c>
      <c r="BD134" s="30" t="str">
        <f t="shared" si="20"/>
        <v/>
      </c>
      <c r="BE134" s="30" t="str">
        <f>IF(B134="","",VLOOKUP($B134,'F-1 Off-Site WaterC'' Baseline'!$C$9:$AB$257,24,FALSE))</f>
        <v/>
      </c>
      <c r="BF134" s="30" t="str">
        <f>IF(B134="","",VLOOKUP($B134,'F-1 Off-Site WaterC'' Baseline'!$C$9:$AB$257,22,FALSE))</f>
        <v/>
      </c>
      <c r="BJ134" s="30" t="str">
        <f t="shared" si="21"/>
        <v>No</v>
      </c>
    </row>
    <row r="135" spans="2:62" ht="14">
      <c r="B135" s="305" t="str">
        <f>'F-1 Off-Site WaterC'' Baseline'!AS133</f>
        <v/>
      </c>
      <c r="C135" s="295" t="str">
        <f>IF(B135="","",VLOOKUP($B135,'F-1 Off-Site WaterC'' Baseline'!$C$9:$R$257,2,FALSE))</f>
        <v/>
      </c>
      <c r="D135" s="295" t="str">
        <f>IF(C135="","",VLOOKUP($B135,'F-1 Off-Site WaterC'' Baseline'!$C$9:$R$257,3,FALSE))</f>
        <v/>
      </c>
      <c r="E135" s="295" t="str">
        <f>IF(D135="","",VLOOKUP($B135,'F-1 Off-Site WaterC'' Baseline'!$C$9:$R$257,4,FALSE))</f>
        <v/>
      </c>
      <c r="F135" s="295" t="str">
        <f>IF(E135="","",VLOOKUP($B135,'F-1 Off-Site WaterC'' Baseline'!$C$9:$R$257,5,FALSE))</f>
        <v/>
      </c>
      <c r="G135" s="295" t="str">
        <f>IF(F135="","",VLOOKUP($B135,'F-1 Off-Site WaterC'' Baseline'!$C$9:$R$257,6,FALSE))</f>
        <v/>
      </c>
      <c r="H135" s="295" t="str">
        <f>IF(G135="","",VLOOKUP($B135,'F-1 Off-Site WaterC'' Baseline'!$C$9:$R$257,7,FALSE))</f>
        <v/>
      </c>
      <c r="I135" s="295" t="str">
        <f>IF(H135="","",VLOOKUP($B135,'F-1 Off-Site WaterC'' Baseline'!$C$9:$R$257,8,FALSE))</f>
        <v/>
      </c>
      <c r="J135" s="295" t="str">
        <f>IF(I135="","",VLOOKUP($B135,'F-1 Off-Site WaterC'' Baseline'!$C$9:$R$257,9,FALSE))</f>
        <v/>
      </c>
      <c r="K135" s="295" t="str">
        <f>IF(J135="","",VLOOKUP($B135,'F-1 Off-Site WaterC'' Baseline'!$C$9:$R$257,10,FALSE))</f>
        <v/>
      </c>
      <c r="L135" s="283" t="str">
        <f>IF(B135="","",VLOOKUP($B135,'F-1 Off-Site WaterC'' Baseline'!$C$9:$R$257,15,FALSE))</f>
        <v/>
      </c>
      <c r="M135" s="299" t="str">
        <f>IF(L135="","",VLOOKUP($B135,'F-1 Off-Site WaterC'' Baseline'!$C$9:$V$257,19,FALSE))</f>
        <v/>
      </c>
      <c r="N135" s="244"/>
      <c r="O135" s="275" t="str">
        <f t="shared" si="14"/>
        <v/>
      </c>
      <c r="P135" s="276" t="str">
        <f t="shared" si="15"/>
        <v/>
      </c>
      <c r="Q135" s="281" t="str">
        <f>IF(N135="","",VLOOKUP(B135,'F-1 Off-Site WaterC'' Baseline'!$C$10:$AF$257,23,FALSE))</f>
        <v/>
      </c>
      <c r="R135" s="275" t="str">
        <f>IF(N135="","",VLOOKUP(N135,'G-7 WaterC'' Data'!$B$2:$G$8,2,FALSE))</f>
        <v/>
      </c>
      <c r="S135" s="276" t="str">
        <f>IFERROR(VLOOKUP(R135,'G-7 WaterC'' Data'!$C$4:$D$8,2,FALSE),"")</f>
        <v/>
      </c>
      <c r="T135" s="101"/>
      <c r="U135" s="276" t="str">
        <f>IFERROR(INDEX('G-7 WaterC'' Data'!$H$4:$L$8,MATCH(N135,'G-7 WaterC'' Data'!$B$4:$B$8,0),MATCH(T135,'G-7 WaterC'' Data'!$H$3:$L$3,0)),"")</f>
        <v/>
      </c>
      <c r="V135" s="105"/>
      <c r="W135" s="295" t="str">
        <f>IF(V135="","",IF(VLOOKUP(V135,'G-7 WaterC'' Data'!$AK$4:$AM$6,2,FALSE)=0,"Spatial Data Missing ⚠",VLOOKUP(V135,'G-7 WaterC'' Data'!$AK$4:$AM$6,2,FALSE)))</f>
        <v/>
      </c>
      <c r="X135" s="299" t="str">
        <f>IF(V135="","",IF(VLOOKUP(V135,'G-7 WaterC'' Data'!$AK$4:$AM$6,3,FALSE)=0,"Spatial Data Missing ⚠",VLOOKUP(V135,'G-7 WaterC'' Data'!$AK$4:$AM$6,3,FALSE)))</f>
        <v/>
      </c>
      <c r="Y135" s="311" t="str">
        <f>IFERROR(IF(OR(LEFT(P135,5)="Error",LEFT(O135,5)="Error"),"Check Data ⚠",IF(F135&lt;S135,'G-7 WaterC'' Data'!$R$3,INDEX('G-7 WaterC'' Data'!$U$5:$Y$9,MATCH(G135,'G-7 WaterC'' Data'!$T$5:$T$9,0),MATCH(T135,'G-7 WaterC'' Data'!$U$4:$Y$4,0)))),"")</f>
        <v/>
      </c>
      <c r="Z135" s="138"/>
      <c r="AA135" s="138"/>
      <c r="AB135" s="308" t="str">
        <f t="shared" si="11"/>
        <v/>
      </c>
      <c r="AC135" s="296" t="str">
        <f t="shared" si="16"/>
        <v/>
      </c>
      <c r="AD135" s="334" t="str">
        <f>IFERROR(IF(AC135="Check Data ⚠","Check Data ⚠",VLOOKUP(AC135,'G-4 Temporal multipliers'!$A$4:$C$37,3,FALSE)),"")</f>
        <v/>
      </c>
      <c r="AE135" s="311" t="str">
        <f>IF(N135="","",VLOOKUP(N135,'G-7 WaterC'' Data'!$B$4:$G$8,5,FALSE))</f>
        <v/>
      </c>
      <c r="AF135" s="295" t="str">
        <f t="shared" si="12"/>
        <v/>
      </c>
      <c r="AG135" s="295" t="str">
        <f t="shared" si="17"/>
        <v/>
      </c>
      <c r="AH135" s="276" t="str">
        <f t="shared" si="13"/>
        <v/>
      </c>
      <c r="AI135" s="105"/>
      <c r="AJ135" s="276" t="str">
        <f>IF(AI135="","",(IF(AND(AI135="N/A - Culvert",N135&lt;&gt;"Culvert"),"Not possible ▲",IF(VLOOKUP(AI135,'G-7 WaterC'' Data'!$AA$4:$AB$7,2,FALSE)=0,"Spatial Data Missing ⚠",VLOOKUP(AI135,'G-7 WaterC'' Data'!$AA$4:$AB$7,2,FALSE)))))</f>
        <v/>
      </c>
      <c r="AK135" s="106"/>
      <c r="AL135" s="310" t="str">
        <f>IF(AK135="","",IF(AND(AK135="N/A - Culvert",N135&lt;&gt;"Culvert"),"Not possible ▲",IF(VLOOKUP(AK135,'G-7 WaterC'' Data'!$AD$4:$AE$14,2,FALSE)=0,"Spatial Data Missing ⚠",VLOOKUP(AK135,'G-7 WaterC'' Data'!$AD$4:$AE$14,2,FALSE))))</f>
        <v/>
      </c>
      <c r="AM135" s="275" t="str">
        <f>IF(B135="","",VLOOKUP($B135,'F-1 Off-Site WaterC'' Baseline'!$C$9:$Z$257,17,FALSE))</f>
        <v/>
      </c>
      <c r="AN135" s="276" t="str">
        <f>IF(AM135="","",IF(VLOOKUP(AM135,'G-7 WaterC'' Data'!$AO$4:$BO$7,2,FALSE)=0,"Spatial Data Missing ⚠",VLOOKUP(AM135,'G-7 WaterC'' Data'!$AO$4:$BO$7,2,FALSE)))</f>
        <v/>
      </c>
      <c r="AO135" s="317" t="str">
        <f t="shared" si="18"/>
        <v/>
      </c>
      <c r="AP135" s="317" t="str">
        <f t="shared" si="19"/>
        <v/>
      </c>
      <c r="AQ135" s="101"/>
      <c r="AR135" s="115"/>
      <c r="AS135" s="104"/>
      <c r="AT135" s="104"/>
      <c r="AW135" s="30" t="str">
        <f>IF(E135="","",VLOOKUP($B135,'F-1 Off-Site WaterC'' Baseline'!$C$9:$Z$257,12,FALSE))</f>
        <v/>
      </c>
      <c r="AX135" s="30" t="str">
        <f>IF(E135="","",VLOOKUP($B135,'F-1 Off-Site WaterC'' Baseline'!$C$9:$Z$257,14,FALSE))</f>
        <v/>
      </c>
      <c r="AY135" s="30" t="str">
        <f>IFERROR(INDEX('G-7 WaterC'' Data'!$AZ$3:$AZ$7,MATCH(N135,'G-7 WaterC'' Data'!$AY$3:$AY$7,0)),"")</f>
        <v/>
      </c>
      <c r="AZ135" s="30" t="str">
        <f>IF(B135="","",IF(ISNA(VLOOKUP($B135,'F-1 Off-Site WaterC'' Baseline'!$C$8:$AD$257,20,FALSE)),"",(VLOOKUP($B135,'F-1 Off-Site WaterC'' Baseline'!$C$8:$AD$257,20,FALSE))))</f>
        <v/>
      </c>
      <c r="BC135" s="30" t="str">
        <f>IF(B135="","",VLOOKUP($B135,'F-1 Off-Site WaterC'' Baseline'!$C$9:$AB$257,25,FALSE))</f>
        <v/>
      </c>
      <c r="BD135" s="30" t="str">
        <f t="shared" si="20"/>
        <v/>
      </c>
      <c r="BE135" s="30" t="str">
        <f>IF(B135="","",VLOOKUP($B135,'F-1 Off-Site WaterC'' Baseline'!$C$9:$AB$257,24,FALSE))</f>
        <v/>
      </c>
      <c r="BF135" s="30" t="str">
        <f>IF(B135="","",VLOOKUP($B135,'F-1 Off-Site WaterC'' Baseline'!$C$9:$AB$257,22,FALSE))</f>
        <v/>
      </c>
      <c r="BJ135" s="30" t="str">
        <f t="shared" si="21"/>
        <v>No</v>
      </c>
    </row>
    <row r="136" spans="2:62" ht="14">
      <c r="B136" s="305" t="str">
        <f>'F-1 Off-Site WaterC'' Baseline'!AS134</f>
        <v/>
      </c>
      <c r="C136" s="295" t="str">
        <f>IF(B136="","",VLOOKUP($B136,'F-1 Off-Site WaterC'' Baseline'!$C$9:$R$257,2,FALSE))</f>
        <v/>
      </c>
      <c r="D136" s="295" t="str">
        <f>IF(C136="","",VLOOKUP($B136,'F-1 Off-Site WaterC'' Baseline'!$C$9:$R$257,3,FALSE))</f>
        <v/>
      </c>
      <c r="E136" s="295" t="str">
        <f>IF(D136="","",VLOOKUP($B136,'F-1 Off-Site WaterC'' Baseline'!$C$9:$R$257,4,FALSE))</f>
        <v/>
      </c>
      <c r="F136" s="295" t="str">
        <f>IF(E136="","",VLOOKUP($B136,'F-1 Off-Site WaterC'' Baseline'!$C$9:$R$257,5,FALSE))</f>
        <v/>
      </c>
      <c r="G136" s="295" t="str">
        <f>IF(F136="","",VLOOKUP($B136,'F-1 Off-Site WaterC'' Baseline'!$C$9:$R$257,6,FALSE))</f>
        <v/>
      </c>
      <c r="H136" s="295" t="str">
        <f>IF(G136="","",VLOOKUP($B136,'F-1 Off-Site WaterC'' Baseline'!$C$9:$R$257,7,FALSE))</f>
        <v/>
      </c>
      <c r="I136" s="295" t="str">
        <f>IF(H136="","",VLOOKUP($B136,'F-1 Off-Site WaterC'' Baseline'!$C$9:$R$257,8,FALSE))</f>
        <v/>
      </c>
      <c r="J136" s="295" t="str">
        <f>IF(I136="","",VLOOKUP($B136,'F-1 Off-Site WaterC'' Baseline'!$C$9:$R$257,9,FALSE))</f>
        <v/>
      </c>
      <c r="K136" s="295" t="str">
        <f>IF(J136="","",VLOOKUP($B136,'F-1 Off-Site WaterC'' Baseline'!$C$9:$R$257,10,FALSE))</f>
        <v/>
      </c>
      <c r="L136" s="283" t="str">
        <f>IF(B136="","",VLOOKUP($B136,'F-1 Off-Site WaterC'' Baseline'!$C$9:$R$257,15,FALSE))</f>
        <v/>
      </c>
      <c r="M136" s="299" t="str">
        <f>IF(L136="","",VLOOKUP($B136,'F-1 Off-Site WaterC'' Baseline'!$C$9:$V$257,19,FALSE))</f>
        <v/>
      </c>
      <c r="N136" s="244"/>
      <c r="O136" s="275" t="str">
        <f t="shared" si="14"/>
        <v/>
      </c>
      <c r="P136" s="276" t="str">
        <f t="shared" si="15"/>
        <v/>
      </c>
      <c r="Q136" s="281" t="str">
        <f>IF(N136="","",VLOOKUP(B136,'F-1 Off-Site WaterC'' Baseline'!$C$10:$AF$257,23,FALSE))</f>
        <v/>
      </c>
      <c r="R136" s="275" t="str">
        <f>IF(N136="","",VLOOKUP(N136,'G-7 WaterC'' Data'!$B$2:$G$8,2,FALSE))</f>
        <v/>
      </c>
      <c r="S136" s="276" t="str">
        <f>IFERROR(VLOOKUP(R136,'G-7 WaterC'' Data'!$C$4:$D$8,2,FALSE),"")</f>
        <v/>
      </c>
      <c r="T136" s="101"/>
      <c r="U136" s="276" t="str">
        <f>IFERROR(INDEX('G-7 WaterC'' Data'!$H$4:$L$8,MATCH(N136,'G-7 WaterC'' Data'!$B$4:$B$8,0),MATCH(T136,'G-7 WaterC'' Data'!$H$3:$L$3,0)),"")</f>
        <v/>
      </c>
      <c r="V136" s="105"/>
      <c r="W136" s="295" t="str">
        <f>IF(V136="","",IF(VLOOKUP(V136,'G-7 WaterC'' Data'!$AK$4:$AM$6,2,FALSE)=0,"Spatial Data Missing ⚠",VLOOKUP(V136,'G-7 WaterC'' Data'!$AK$4:$AM$6,2,FALSE)))</f>
        <v/>
      </c>
      <c r="X136" s="299" t="str">
        <f>IF(V136="","",IF(VLOOKUP(V136,'G-7 WaterC'' Data'!$AK$4:$AM$6,3,FALSE)=0,"Spatial Data Missing ⚠",VLOOKUP(V136,'G-7 WaterC'' Data'!$AK$4:$AM$6,3,FALSE)))</f>
        <v/>
      </c>
      <c r="Y136" s="311" t="str">
        <f>IFERROR(IF(OR(LEFT(P136,5)="Error",LEFT(O136,5)="Error"),"Check Data ⚠",IF(F136&lt;S136,'G-7 WaterC'' Data'!$R$3,INDEX('G-7 WaterC'' Data'!$U$5:$Y$9,MATCH(G136,'G-7 WaterC'' Data'!$T$5:$T$9,0),MATCH(T136,'G-7 WaterC'' Data'!$U$4:$Y$4,0)))),"")</f>
        <v/>
      </c>
      <c r="Z136" s="138"/>
      <c r="AA136" s="138"/>
      <c r="AB136" s="308" t="str">
        <f t="shared" si="11"/>
        <v/>
      </c>
      <c r="AC136" s="296" t="str">
        <f t="shared" si="16"/>
        <v/>
      </c>
      <c r="AD136" s="334" t="str">
        <f>IFERROR(IF(AC136="Check Data ⚠","Check Data ⚠",VLOOKUP(AC136,'G-4 Temporal multipliers'!$A$4:$C$37,3,FALSE)),"")</f>
        <v/>
      </c>
      <c r="AE136" s="311" t="str">
        <f>IF(N136="","",VLOOKUP(N136,'G-7 WaterC'' Data'!$B$4:$G$8,5,FALSE))</f>
        <v/>
      </c>
      <c r="AF136" s="295" t="str">
        <f t="shared" si="12"/>
        <v/>
      </c>
      <c r="AG136" s="295" t="str">
        <f t="shared" si="17"/>
        <v/>
      </c>
      <c r="AH136" s="276" t="str">
        <f t="shared" si="13"/>
        <v/>
      </c>
      <c r="AI136" s="105"/>
      <c r="AJ136" s="276" t="str">
        <f>IF(AI136="","",(IF(AND(AI136="N/A - Culvert",N136&lt;&gt;"Culvert"),"Not possible ▲",IF(VLOOKUP(AI136,'G-7 WaterC'' Data'!$AA$4:$AB$7,2,FALSE)=0,"Spatial Data Missing ⚠",VLOOKUP(AI136,'G-7 WaterC'' Data'!$AA$4:$AB$7,2,FALSE)))))</f>
        <v/>
      </c>
      <c r="AK136" s="106"/>
      <c r="AL136" s="310" t="str">
        <f>IF(AK136="","",IF(AND(AK136="N/A - Culvert",N136&lt;&gt;"Culvert"),"Not possible ▲",IF(VLOOKUP(AK136,'G-7 WaterC'' Data'!$AD$4:$AE$14,2,FALSE)=0,"Spatial Data Missing ⚠",VLOOKUP(AK136,'G-7 WaterC'' Data'!$AD$4:$AE$14,2,FALSE))))</f>
        <v/>
      </c>
      <c r="AM136" s="275" t="str">
        <f>IF(B136="","",VLOOKUP($B136,'F-1 Off-Site WaterC'' Baseline'!$C$9:$Z$257,17,FALSE))</f>
        <v/>
      </c>
      <c r="AN136" s="276" t="str">
        <f>IF(AM136="","",IF(VLOOKUP(AM136,'G-7 WaterC'' Data'!$AO$4:$BO$7,2,FALSE)=0,"Spatial Data Missing ⚠",VLOOKUP(AM136,'G-7 WaterC'' Data'!$AO$4:$BO$7,2,FALSE)))</f>
        <v/>
      </c>
      <c r="AO136" s="317" t="str">
        <f t="shared" si="18"/>
        <v/>
      </c>
      <c r="AP136" s="317" t="str">
        <f t="shared" si="19"/>
        <v/>
      </c>
      <c r="AQ136" s="101"/>
      <c r="AR136" s="115"/>
      <c r="AS136" s="104"/>
      <c r="AT136" s="104"/>
      <c r="AW136" s="30" t="str">
        <f>IF(E136="","",VLOOKUP($B136,'F-1 Off-Site WaterC'' Baseline'!$C$9:$Z$257,12,FALSE))</f>
        <v/>
      </c>
      <c r="AX136" s="30" t="str">
        <f>IF(E136="","",VLOOKUP($B136,'F-1 Off-Site WaterC'' Baseline'!$C$9:$Z$257,14,FALSE))</f>
        <v/>
      </c>
      <c r="AY136" s="30" t="str">
        <f>IFERROR(INDEX('G-7 WaterC'' Data'!$AZ$3:$AZ$7,MATCH(N136,'G-7 WaterC'' Data'!$AY$3:$AY$7,0)),"")</f>
        <v/>
      </c>
      <c r="AZ136" s="30" t="str">
        <f>IF(B136="","",IF(ISNA(VLOOKUP($B136,'F-1 Off-Site WaterC'' Baseline'!$C$8:$AD$257,20,FALSE)),"",(VLOOKUP($B136,'F-1 Off-Site WaterC'' Baseline'!$C$8:$AD$257,20,FALSE))))</f>
        <v/>
      </c>
      <c r="BC136" s="30" t="str">
        <f>IF(B136="","",VLOOKUP($B136,'F-1 Off-Site WaterC'' Baseline'!$C$9:$AB$257,25,FALSE))</f>
        <v/>
      </c>
      <c r="BD136" s="30" t="str">
        <f t="shared" si="20"/>
        <v/>
      </c>
      <c r="BE136" s="30" t="str">
        <f>IF(B136="","",VLOOKUP($B136,'F-1 Off-Site WaterC'' Baseline'!$C$9:$AB$257,24,FALSE))</f>
        <v/>
      </c>
      <c r="BF136" s="30" t="str">
        <f>IF(B136="","",VLOOKUP($B136,'F-1 Off-Site WaterC'' Baseline'!$C$9:$AB$257,22,FALSE))</f>
        <v/>
      </c>
      <c r="BJ136" s="30" t="str">
        <f t="shared" si="21"/>
        <v>No</v>
      </c>
    </row>
    <row r="137" spans="2:62" ht="14">
      <c r="B137" s="305" t="str">
        <f>'F-1 Off-Site WaterC'' Baseline'!AS135</f>
        <v/>
      </c>
      <c r="C137" s="295" t="str">
        <f>IF(B137="","",VLOOKUP($B137,'F-1 Off-Site WaterC'' Baseline'!$C$9:$R$257,2,FALSE))</f>
        <v/>
      </c>
      <c r="D137" s="295" t="str">
        <f>IF(C137="","",VLOOKUP($B137,'F-1 Off-Site WaterC'' Baseline'!$C$9:$R$257,3,FALSE))</f>
        <v/>
      </c>
      <c r="E137" s="295" t="str">
        <f>IF(D137="","",VLOOKUP($B137,'F-1 Off-Site WaterC'' Baseline'!$C$9:$R$257,4,FALSE))</f>
        <v/>
      </c>
      <c r="F137" s="295" t="str">
        <f>IF(E137="","",VLOOKUP($B137,'F-1 Off-Site WaterC'' Baseline'!$C$9:$R$257,5,FALSE))</f>
        <v/>
      </c>
      <c r="G137" s="295" t="str">
        <f>IF(F137="","",VLOOKUP($B137,'F-1 Off-Site WaterC'' Baseline'!$C$9:$R$257,6,FALSE))</f>
        <v/>
      </c>
      <c r="H137" s="295" t="str">
        <f>IF(G137="","",VLOOKUP($B137,'F-1 Off-Site WaterC'' Baseline'!$C$9:$R$257,7,FALSE))</f>
        <v/>
      </c>
      <c r="I137" s="295" t="str">
        <f>IF(H137="","",VLOOKUP($B137,'F-1 Off-Site WaterC'' Baseline'!$C$9:$R$257,8,FALSE))</f>
        <v/>
      </c>
      <c r="J137" s="295" t="str">
        <f>IF(I137="","",VLOOKUP($B137,'F-1 Off-Site WaterC'' Baseline'!$C$9:$R$257,9,FALSE))</f>
        <v/>
      </c>
      <c r="K137" s="295" t="str">
        <f>IF(J137="","",VLOOKUP($B137,'F-1 Off-Site WaterC'' Baseline'!$C$9:$R$257,10,FALSE))</f>
        <v/>
      </c>
      <c r="L137" s="283" t="str">
        <f>IF(B137="","",VLOOKUP($B137,'F-1 Off-Site WaterC'' Baseline'!$C$9:$R$257,15,FALSE))</f>
        <v/>
      </c>
      <c r="M137" s="299" t="str">
        <f>IF(L137="","",VLOOKUP($B137,'F-1 Off-Site WaterC'' Baseline'!$C$9:$V$257,19,FALSE))</f>
        <v/>
      </c>
      <c r="N137" s="244"/>
      <c r="O137" s="275" t="str">
        <f t="shared" si="14"/>
        <v/>
      </c>
      <c r="P137" s="276" t="str">
        <f t="shared" si="15"/>
        <v/>
      </c>
      <c r="Q137" s="281" t="str">
        <f>IF(N137="","",VLOOKUP(B137,'F-1 Off-Site WaterC'' Baseline'!$C$10:$AF$257,23,FALSE))</f>
        <v/>
      </c>
      <c r="R137" s="275" t="str">
        <f>IF(N137="","",VLOOKUP(N137,'G-7 WaterC'' Data'!$B$2:$G$8,2,FALSE))</f>
        <v/>
      </c>
      <c r="S137" s="276" t="str">
        <f>IFERROR(VLOOKUP(R137,'G-7 WaterC'' Data'!$C$4:$D$8,2,FALSE),"")</f>
        <v/>
      </c>
      <c r="T137" s="101"/>
      <c r="U137" s="276" t="str">
        <f>IFERROR(INDEX('G-7 WaterC'' Data'!$H$4:$L$8,MATCH(N137,'G-7 WaterC'' Data'!$B$4:$B$8,0),MATCH(T137,'G-7 WaterC'' Data'!$H$3:$L$3,0)),"")</f>
        <v/>
      </c>
      <c r="V137" s="105"/>
      <c r="W137" s="295" t="str">
        <f>IF(V137="","",IF(VLOOKUP(V137,'G-7 WaterC'' Data'!$AK$4:$AM$6,2,FALSE)=0,"Spatial Data Missing ⚠",VLOOKUP(V137,'G-7 WaterC'' Data'!$AK$4:$AM$6,2,FALSE)))</f>
        <v/>
      </c>
      <c r="X137" s="299" t="str">
        <f>IF(V137="","",IF(VLOOKUP(V137,'G-7 WaterC'' Data'!$AK$4:$AM$6,3,FALSE)=0,"Spatial Data Missing ⚠",VLOOKUP(V137,'G-7 WaterC'' Data'!$AK$4:$AM$6,3,FALSE)))</f>
        <v/>
      </c>
      <c r="Y137" s="311" t="str">
        <f>IFERROR(IF(OR(LEFT(P137,5)="Error",LEFT(O137,5)="Error"),"Check Data ⚠",IF(F137&lt;S137,'G-7 WaterC'' Data'!$R$3,INDEX('G-7 WaterC'' Data'!$U$5:$Y$9,MATCH(G137,'G-7 WaterC'' Data'!$T$5:$T$9,0),MATCH(T137,'G-7 WaterC'' Data'!$U$4:$Y$4,0)))),"")</f>
        <v/>
      </c>
      <c r="Z137" s="138"/>
      <c r="AA137" s="138"/>
      <c r="AB137" s="308" t="str">
        <f t="shared" si="11"/>
        <v/>
      </c>
      <c r="AC137" s="296" t="str">
        <f t="shared" si="16"/>
        <v/>
      </c>
      <c r="AD137" s="334" t="str">
        <f>IFERROR(IF(AC137="Check Data ⚠","Check Data ⚠",VLOOKUP(AC137,'G-4 Temporal multipliers'!$A$4:$C$37,3,FALSE)),"")</f>
        <v/>
      </c>
      <c r="AE137" s="311" t="str">
        <f>IF(N137="","",VLOOKUP(N137,'G-7 WaterC'' Data'!$B$4:$G$8,5,FALSE))</f>
        <v/>
      </c>
      <c r="AF137" s="295" t="str">
        <f t="shared" si="12"/>
        <v/>
      </c>
      <c r="AG137" s="295" t="str">
        <f t="shared" si="17"/>
        <v/>
      </c>
      <c r="AH137" s="276" t="str">
        <f t="shared" si="13"/>
        <v/>
      </c>
      <c r="AI137" s="105"/>
      <c r="AJ137" s="276" t="str">
        <f>IF(AI137="","",(IF(AND(AI137="N/A - Culvert",N137&lt;&gt;"Culvert"),"Not possible ▲",IF(VLOOKUP(AI137,'G-7 WaterC'' Data'!$AA$4:$AB$7,2,FALSE)=0,"Spatial Data Missing ⚠",VLOOKUP(AI137,'G-7 WaterC'' Data'!$AA$4:$AB$7,2,FALSE)))))</f>
        <v/>
      </c>
      <c r="AK137" s="106"/>
      <c r="AL137" s="310" t="str">
        <f>IF(AK137="","",IF(AND(AK137="N/A - Culvert",N137&lt;&gt;"Culvert"),"Not possible ▲",IF(VLOOKUP(AK137,'G-7 WaterC'' Data'!$AD$4:$AE$14,2,FALSE)=0,"Spatial Data Missing ⚠",VLOOKUP(AK137,'G-7 WaterC'' Data'!$AD$4:$AE$14,2,FALSE))))</f>
        <v/>
      </c>
      <c r="AM137" s="275" t="str">
        <f>IF(B137="","",VLOOKUP($B137,'F-1 Off-Site WaterC'' Baseline'!$C$9:$Z$257,17,FALSE))</f>
        <v/>
      </c>
      <c r="AN137" s="276" t="str">
        <f>IF(AM137="","",IF(VLOOKUP(AM137,'G-7 WaterC'' Data'!$AO$4:$BO$7,2,FALSE)=0,"Spatial Data Missing ⚠",VLOOKUP(AM137,'G-7 WaterC'' Data'!$AO$4:$BO$7,2,FALSE)))</f>
        <v/>
      </c>
      <c r="AO137" s="317" t="str">
        <f t="shared" si="18"/>
        <v/>
      </c>
      <c r="AP137" s="317" t="str">
        <f t="shared" si="19"/>
        <v/>
      </c>
      <c r="AQ137" s="101"/>
      <c r="AR137" s="115"/>
      <c r="AS137" s="104"/>
      <c r="AT137" s="104"/>
      <c r="AW137" s="30" t="str">
        <f>IF(E137="","",VLOOKUP($B137,'F-1 Off-Site WaterC'' Baseline'!$C$9:$Z$257,12,FALSE))</f>
        <v/>
      </c>
      <c r="AX137" s="30" t="str">
        <f>IF(E137="","",VLOOKUP($B137,'F-1 Off-Site WaterC'' Baseline'!$C$9:$Z$257,14,FALSE))</f>
        <v/>
      </c>
      <c r="AY137" s="30" t="str">
        <f>IFERROR(INDEX('G-7 WaterC'' Data'!$AZ$3:$AZ$7,MATCH(N137,'G-7 WaterC'' Data'!$AY$3:$AY$7,0)),"")</f>
        <v/>
      </c>
      <c r="AZ137" s="30" t="str">
        <f>IF(B137="","",IF(ISNA(VLOOKUP($B137,'F-1 Off-Site WaterC'' Baseline'!$C$8:$AD$257,20,FALSE)),"",(VLOOKUP($B137,'F-1 Off-Site WaterC'' Baseline'!$C$8:$AD$257,20,FALSE))))</f>
        <v/>
      </c>
      <c r="BC137" s="30" t="str">
        <f>IF(B137="","",VLOOKUP($B137,'F-1 Off-Site WaterC'' Baseline'!$C$9:$AB$257,25,FALSE))</f>
        <v/>
      </c>
      <c r="BD137" s="30" t="str">
        <f t="shared" si="20"/>
        <v/>
      </c>
      <c r="BE137" s="30" t="str">
        <f>IF(B137="","",VLOOKUP($B137,'F-1 Off-Site WaterC'' Baseline'!$C$9:$AB$257,24,FALSE))</f>
        <v/>
      </c>
      <c r="BF137" s="30" t="str">
        <f>IF(B137="","",VLOOKUP($B137,'F-1 Off-Site WaterC'' Baseline'!$C$9:$AB$257,22,FALSE))</f>
        <v/>
      </c>
      <c r="BJ137" s="30" t="str">
        <f t="shared" si="21"/>
        <v>No</v>
      </c>
    </row>
    <row r="138" spans="2:62" ht="14">
      <c r="B138" s="305" t="str">
        <f>'F-1 Off-Site WaterC'' Baseline'!AS136</f>
        <v/>
      </c>
      <c r="C138" s="295" t="str">
        <f>IF(B138="","",VLOOKUP($B138,'F-1 Off-Site WaterC'' Baseline'!$C$9:$R$257,2,FALSE))</f>
        <v/>
      </c>
      <c r="D138" s="295" t="str">
        <f>IF(C138="","",VLOOKUP($B138,'F-1 Off-Site WaterC'' Baseline'!$C$9:$R$257,3,FALSE))</f>
        <v/>
      </c>
      <c r="E138" s="295" t="str">
        <f>IF(D138="","",VLOOKUP($B138,'F-1 Off-Site WaterC'' Baseline'!$C$9:$R$257,4,FALSE))</f>
        <v/>
      </c>
      <c r="F138" s="295" t="str">
        <f>IF(E138="","",VLOOKUP($B138,'F-1 Off-Site WaterC'' Baseline'!$C$9:$R$257,5,FALSE))</f>
        <v/>
      </c>
      <c r="G138" s="295" t="str">
        <f>IF(F138="","",VLOOKUP($B138,'F-1 Off-Site WaterC'' Baseline'!$C$9:$R$257,6,FALSE))</f>
        <v/>
      </c>
      <c r="H138" s="295" t="str">
        <f>IF(G138="","",VLOOKUP($B138,'F-1 Off-Site WaterC'' Baseline'!$C$9:$R$257,7,FALSE))</f>
        <v/>
      </c>
      <c r="I138" s="295" t="str">
        <f>IF(H138="","",VLOOKUP($B138,'F-1 Off-Site WaterC'' Baseline'!$C$9:$R$257,8,FALSE))</f>
        <v/>
      </c>
      <c r="J138" s="295" t="str">
        <f>IF(I138="","",VLOOKUP($B138,'F-1 Off-Site WaterC'' Baseline'!$C$9:$R$257,9,FALSE))</f>
        <v/>
      </c>
      <c r="K138" s="295" t="str">
        <f>IF(J138="","",VLOOKUP($B138,'F-1 Off-Site WaterC'' Baseline'!$C$9:$R$257,10,FALSE))</f>
        <v/>
      </c>
      <c r="L138" s="283" t="str">
        <f>IF(B138="","",VLOOKUP($B138,'F-1 Off-Site WaterC'' Baseline'!$C$9:$R$257,15,FALSE))</f>
        <v/>
      </c>
      <c r="M138" s="299" t="str">
        <f>IF(L138="","",VLOOKUP($B138,'F-1 Off-Site WaterC'' Baseline'!$C$9:$V$257,19,FALSE))</f>
        <v/>
      </c>
      <c r="N138" s="244"/>
      <c r="O138" s="275" t="str">
        <f t="shared" si="14"/>
        <v/>
      </c>
      <c r="P138" s="276" t="str">
        <f t="shared" si="15"/>
        <v/>
      </c>
      <c r="Q138" s="281" t="str">
        <f>IF(N138="","",VLOOKUP(B138,'F-1 Off-Site WaterC'' Baseline'!$C$10:$AF$257,23,FALSE))</f>
        <v/>
      </c>
      <c r="R138" s="275" t="str">
        <f>IF(N138="","",VLOOKUP(N138,'G-7 WaterC'' Data'!$B$2:$G$8,2,FALSE))</f>
        <v/>
      </c>
      <c r="S138" s="276" t="str">
        <f>IFERROR(VLOOKUP(R138,'G-7 WaterC'' Data'!$C$4:$D$8,2,FALSE),"")</f>
        <v/>
      </c>
      <c r="T138" s="101"/>
      <c r="U138" s="276" t="str">
        <f>IFERROR(INDEX('G-7 WaterC'' Data'!$H$4:$L$8,MATCH(N138,'G-7 WaterC'' Data'!$B$4:$B$8,0),MATCH(T138,'G-7 WaterC'' Data'!$H$3:$L$3,0)),"")</f>
        <v/>
      </c>
      <c r="V138" s="105"/>
      <c r="W138" s="295" t="str">
        <f>IF(V138="","",IF(VLOOKUP(V138,'G-7 WaterC'' Data'!$AK$4:$AM$6,2,FALSE)=0,"Spatial Data Missing ⚠",VLOOKUP(V138,'G-7 WaterC'' Data'!$AK$4:$AM$6,2,FALSE)))</f>
        <v/>
      </c>
      <c r="X138" s="299" t="str">
        <f>IF(V138="","",IF(VLOOKUP(V138,'G-7 WaterC'' Data'!$AK$4:$AM$6,3,FALSE)=0,"Spatial Data Missing ⚠",VLOOKUP(V138,'G-7 WaterC'' Data'!$AK$4:$AM$6,3,FALSE)))</f>
        <v/>
      </c>
      <c r="Y138" s="311" t="str">
        <f>IFERROR(IF(OR(LEFT(P138,5)="Error",LEFT(O138,5)="Error"),"Check Data ⚠",IF(F138&lt;S138,'G-7 WaterC'' Data'!$R$3,INDEX('G-7 WaterC'' Data'!$U$5:$Y$9,MATCH(G138,'G-7 WaterC'' Data'!$T$5:$T$9,0),MATCH(T138,'G-7 WaterC'' Data'!$U$4:$Y$4,0)))),"")</f>
        <v/>
      </c>
      <c r="Z138" s="138"/>
      <c r="AA138" s="138"/>
      <c r="AB138" s="308" t="str">
        <f t="shared" si="11"/>
        <v/>
      </c>
      <c r="AC138" s="296" t="str">
        <f t="shared" si="16"/>
        <v/>
      </c>
      <c r="AD138" s="334" t="str">
        <f>IFERROR(IF(AC138="Check Data ⚠","Check Data ⚠",VLOOKUP(AC138,'G-4 Temporal multipliers'!$A$4:$C$37,3,FALSE)),"")</f>
        <v/>
      </c>
      <c r="AE138" s="311" t="str">
        <f>IF(N138="","",VLOOKUP(N138,'G-7 WaterC'' Data'!$B$4:$G$8,5,FALSE))</f>
        <v/>
      </c>
      <c r="AF138" s="295" t="str">
        <f t="shared" si="12"/>
        <v/>
      </c>
      <c r="AG138" s="295" t="str">
        <f t="shared" si="17"/>
        <v/>
      </c>
      <c r="AH138" s="276" t="str">
        <f t="shared" si="13"/>
        <v/>
      </c>
      <c r="AI138" s="105"/>
      <c r="AJ138" s="276" t="str">
        <f>IF(AI138="","",(IF(AND(AI138="N/A - Culvert",N138&lt;&gt;"Culvert"),"Not possible ▲",IF(VLOOKUP(AI138,'G-7 WaterC'' Data'!$AA$4:$AB$7,2,FALSE)=0,"Spatial Data Missing ⚠",VLOOKUP(AI138,'G-7 WaterC'' Data'!$AA$4:$AB$7,2,FALSE)))))</f>
        <v/>
      </c>
      <c r="AK138" s="106"/>
      <c r="AL138" s="310" t="str">
        <f>IF(AK138="","",IF(AND(AK138="N/A - Culvert",N138&lt;&gt;"Culvert"),"Not possible ▲",IF(VLOOKUP(AK138,'G-7 WaterC'' Data'!$AD$4:$AE$14,2,FALSE)=0,"Spatial Data Missing ⚠",VLOOKUP(AK138,'G-7 WaterC'' Data'!$AD$4:$AE$14,2,FALSE))))</f>
        <v/>
      </c>
      <c r="AM138" s="275" t="str">
        <f>IF(B138="","",VLOOKUP($B138,'F-1 Off-Site WaterC'' Baseline'!$C$9:$Z$257,17,FALSE))</f>
        <v/>
      </c>
      <c r="AN138" s="276" t="str">
        <f>IF(AM138="","",IF(VLOOKUP(AM138,'G-7 WaterC'' Data'!$AO$4:$BO$7,2,FALSE)=0,"Spatial Data Missing ⚠",VLOOKUP(AM138,'G-7 WaterC'' Data'!$AO$4:$BO$7,2,FALSE)))</f>
        <v/>
      </c>
      <c r="AO138" s="317" t="str">
        <f t="shared" si="18"/>
        <v/>
      </c>
      <c r="AP138" s="317" t="str">
        <f t="shared" si="19"/>
        <v/>
      </c>
      <c r="AQ138" s="101"/>
      <c r="AR138" s="115"/>
      <c r="AS138" s="104"/>
      <c r="AT138" s="104"/>
      <c r="AW138" s="30" t="str">
        <f>IF(E138="","",VLOOKUP($B138,'F-1 Off-Site WaterC'' Baseline'!$C$9:$Z$257,12,FALSE))</f>
        <v/>
      </c>
      <c r="AX138" s="30" t="str">
        <f>IF(E138="","",VLOOKUP($B138,'F-1 Off-Site WaterC'' Baseline'!$C$9:$Z$257,14,FALSE))</f>
        <v/>
      </c>
      <c r="AY138" s="30" t="str">
        <f>IFERROR(INDEX('G-7 WaterC'' Data'!$AZ$3:$AZ$7,MATCH(N138,'G-7 WaterC'' Data'!$AY$3:$AY$7,0)),"")</f>
        <v/>
      </c>
      <c r="AZ138" s="30" t="str">
        <f>IF(B138="","",IF(ISNA(VLOOKUP($B138,'F-1 Off-Site WaterC'' Baseline'!$C$8:$AD$257,20,FALSE)),"",(VLOOKUP($B138,'F-1 Off-Site WaterC'' Baseline'!$C$8:$AD$257,20,FALSE))))</f>
        <v/>
      </c>
      <c r="BC138" s="30" t="str">
        <f>IF(B138="","",VLOOKUP($B138,'F-1 Off-Site WaterC'' Baseline'!$C$9:$AB$257,25,FALSE))</f>
        <v/>
      </c>
      <c r="BD138" s="30" t="str">
        <f t="shared" si="20"/>
        <v/>
      </c>
      <c r="BE138" s="30" t="str">
        <f>IF(B138="","",VLOOKUP($B138,'F-1 Off-Site WaterC'' Baseline'!$C$9:$AB$257,24,FALSE))</f>
        <v/>
      </c>
      <c r="BF138" s="30" t="str">
        <f>IF(B138="","",VLOOKUP($B138,'F-1 Off-Site WaterC'' Baseline'!$C$9:$AB$257,22,FALSE))</f>
        <v/>
      </c>
      <c r="BJ138" s="30" t="str">
        <f t="shared" si="21"/>
        <v>No</v>
      </c>
    </row>
    <row r="139" spans="2:62" ht="14">
      <c r="B139" s="305" t="str">
        <f>'F-1 Off-Site WaterC'' Baseline'!AS137</f>
        <v/>
      </c>
      <c r="C139" s="295" t="str">
        <f>IF(B139="","",VLOOKUP($B139,'F-1 Off-Site WaterC'' Baseline'!$C$9:$R$257,2,FALSE))</f>
        <v/>
      </c>
      <c r="D139" s="295" t="str">
        <f>IF(C139="","",VLOOKUP($B139,'F-1 Off-Site WaterC'' Baseline'!$C$9:$R$257,3,FALSE))</f>
        <v/>
      </c>
      <c r="E139" s="295" t="str">
        <f>IF(D139="","",VLOOKUP($B139,'F-1 Off-Site WaterC'' Baseline'!$C$9:$R$257,4,FALSE))</f>
        <v/>
      </c>
      <c r="F139" s="295" t="str">
        <f>IF(E139="","",VLOOKUP($B139,'F-1 Off-Site WaterC'' Baseline'!$C$9:$R$257,5,FALSE))</f>
        <v/>
      </c>
      <c r="G139" s="295" t="str">
        <f>IF(F139="","",VLOOKUP($B139,'F-1 Off-Site WaterC'' Baseline'!$C$9:$R$257,6,FALSE))</f>
        <v/>
      </c>
      <c r="H139" s="295" t="str">
        <f>IF(G139="","",VLOOKUP($B139,'F-1 Off-Site WaterC'' Baseline'!$C$9:$R$257,7,FALSE))</f>
        <v/>
      </c>
      <c r="I139" s="295" t="str">
        <f>IF(H139="","",VLOOKUP($B139,'F-1 Off-Site WaterC'' Baseline'!$C$9:$R$257,8,FALSE))</f>
        <v/>
      </c>
      <c r="J139" s="295" t="str">
        <f>IF(I139="","",VLOOKUP($B139,'F-1 Off-Site WaterC'' Baseline'!$C$9:$R$257,9,FALSE))</f>
        <v/>
      </c>
      <c r="K139" s="295" t="str">
        <f>IF(J139="","",VLOOKUP($B139,'F-1 Off-Site WaterC'' Baseline'!$C$9:$R$257,10,FALSE))</f>
        <v/>
      </c>
      <c r="L139" s="283" t="str">
        <f>IF(B139="","",VLOOKUP($B139,'F-1 Off-Site WaterC'' Baseline'!$C$9:$R$257,15,FALSE))</f>
        <v/>
      </c>
      <c r="M139" s="299" t="str">
        <f>IF(L139="","",VLOOKUP($B139,'F-1 Off-Site WaterC'' Baseline'!$C$9:$V$257,19,FALSE))</f>
        <v/>
      </c>
      <c r="N139" s="244"/>
      <c r="O139" s="275" t="str">
        <f t="shared" si="14"/>
        <v/>
      </c>
      <c r="P139" s="276" t="str">
        <f t="shared" si="15"/>
        <v/>
      </c>
      <c r="Q139" s="281" t="str">
        <f>IF(N139="","",VLOOKUP(B139,'F-1 Off-Site WaterC'' Baseline'!$C$10:$AF$257,23,FALSE))</f>
        <v/>
      </c>
      <c r="R139" s="275" t="str">
        <f>IF(N139="","",VLOOKUP(N139,'G-7 WaterC'' Data'!$B$2:$G$8,2,FALSE))</f>
        <v/>
      </c>
      <c r="S139" s="276" t="str">
        <f>IFERROR(VLOOKUP(R139,'G-7 WaterC'' Data'!$C$4:$D$8,2,FALSE),"")</f>
        <v/>
      </c>
      <c r="T139" s="101"/>
      <c r="U139" s="276" t="str">
        <f>IFERROR(INDEX('G-7 WaterC'' Data'!$H$4:$L$8,MATCH(N139,'G-7 WaterC'' Data'!$B$4:$B$8,0),MATCH(T139,'G-7 WaterC'' Data'!$H$3:$L$3,0)),"")</f>
        <v/>
      </c>
      <c r="V139" s="105"/>
      <c r="W139" s="295" t="str">
        <f>IF(V139="","",IF(VLOOKUP(V139,'G-7 WaterC'' Data'!$AK$4:$AM$6,2,FALSE)=0,"Spatial Data Missing ⚠",VLOOKUP(V139,'G-7 WaterC'' Data'!$AK$4:$AM$6,2,FALSE)))</f>
        <v/>
      </c>
      <c r="X139" s="299" t="str">
        <f>IF(V139="","",IF(VLOOKUP(V139,'G-7 WaterC'' Data'!$AK$4:$AM$6,3,FALSE)=0,"Spatial Data Missing ⚠",VLOOKUP(V139,'G-7 WaterC'' Data'!$AK$4:$AM$6,3,FALSE)))</f>
        <v/>
      </c>
      <c r="Y139" s="311" t="str">
        <f>IFERROR(IF(OR(LEFT(P139,5)="Error",LEFT(O139,5)="Error"),"Check Data ⚠",IF(F139&lt;S139,'G-7 WaterC'' Data'!$R$3,INDEX('G-7 WaterC'' Data'!$U$5:$Y$9,MATCH(G139,'G-7 WaterC'' Data'!$T$5:$T$9,0),MATCH(T139,'G-7 WaterC'' Data'!$U$4:$Y$4,0)))),"")</f>
        <v/>
      </c>
      <c r="Z139" s="138"/>
      <c r="AA139" s="138"/>
      <c r="AB139" s="308" t="str">
        <f t="shared" si="11"/>
        <v/>
      </c>
      <c r="AC139" s="296" t="str">
        <f t="shared" si="16"/>
        <v/>
      </c>
      <c r="AD139" s="334" t="str">
        <f>IFERROR(IF(AC139="Check Data ⚠","Check Data ⚠",VLOOKUP(AC139,'G-4 Temporal multipliers'!$A$4:$C$37,3,FALSE)),"")</f>
        <v/>
      </c>
      <c r="AE139" s="311" t="str">
        <f>IF(N139="","",VLOOKUP(N139,'G-7 WaterC'' Data'!$B$4:$G$8,5,FALSE))</f>
        <v/>
      </c>
      <c r="AF139" s="295" t="str">
        <f t="shared" si="12"/>
        <v/>
      </c>
      <c r="AG139" s="295" t="str">
        <f t="shared" si="17"/>
        <v/>
      </c>
      <c r="AH139" s="276" t="str">
        <f t="shared" si="13"/>
        <v/>
      </c>
      <c r="AI139" s="105"/>
      <c r="AJ139" s="276" t="str">
        <f>IF(AI139="","",(IF(AND(AI139="N/A - Culvert",N139&lt;&gt;"Culvert"),"Not possible ▲",IF(VLOOKUP(AI139,'G-7 WaterC'' Data'!$AA$4:$AB$7,2,FALSE)=0,"Spatial Data Missing ⚠",VLOOKUP(AI139,'G-7 WaterC'' Data'!$AA$4:$AB$7,2,FALSE)))))</f>
        <v/>
      </c>
      <c r="AK139" s="106"/>
      <c r="AL139" s="310" t="str">
        <f>IF(AK139="","",IF(AND(AK139="N/A - Culvert",N139&lt;&gt;"Culvert"),"Not possible ▲",IF(VLOOKUP(AK139,'G-7 WaterC'' Data'!$AD$4:$AE$14,2,FALSE)=0,"Spatial Data Missing ⚠",VLOOKUP(AK139,'G-7 WaterC'' Data'!$AD$4:$AE$14,2,FALSE))))</f>
        <v/>
      </c>
      <c r="AM139" s="275" t="str">
        <f>IF(B139="","",VLOOKUP($B139,'F-1 Off-Site WaterC'' Baseline'!$C$9:$Z$257,17,FALSE))</f>
        <v/>
      </c>
      <c r="AN139" s="276" t="str">
        <f>IF(AM139="","",IF(VLOOKUP(AM139,'G-7 WaterC'' Data'!$AO$4:$BO$7,2,FALSE)=0,"Spatial Data Missing ⚠",VLOOKUP(AM139,'G-7 WaterC'' Data'!$AO$4:$BO$7,2,FALSE)))</f>
        <v/>
      </c>
      <c r="AO139" s="317" t="str">
        <f t="shared" si="18"/>
        <v/>
      </c>
      <c r="AP139" s="317" t="str">
        <f t="shared" si="19"/>
        <v/>
      </c>
      <c r="AQ139" s="101"/>
      <c r="AR139" s="115"/>
      <c r="AS139" s="104"/>
      <c r="AT139" s="104"/>
      <c r="AW139" s="30" t="str">
        <f>IF(E139="","",VLOOKUP($B139,'F-1 Off-Site WaterC'' Baseline'!$C$9:$Z$257,12,FALSE))</f>
        <v/>
      </c>
      <c r="AX139" s="30" t="str">
        <f>IF(E139="","",VLOOKUP($B139,'F-1 Off-Site WaterC'' Baseline'!$C$9:$Z$257,14,FALSE))</f>
        <v/>
      </c>
      <c r="AY139" s="30" t="str">
        <f>IFERROR(INDEX('G-7 WaterC'' Data'!$AZ$3:$AZ$7,MATCH(N139,'G-7 WaterC'' Data'!$AY$3:$AY$7,0)),"")</f>
        <v/>
      </c>
      <c r="AZ139" s="30" t="str">
        <f>IF(B139="","",IF(ISNA(VLOOKUP($B139,'F-1 Off-Site WaterC'' Baseline'!$C$8:$AD$257,20,FALSE)),"",(VLOOKUP($B139,'F-1 Off-Site WaterC'' Baseline'!$C$8:$AD$257,20,FALSE))))</f>
        <v/>
      </c>
      <c r="BC139" s="30" t="str">
        <f>IF(B139="","",VLOOKUP($B139,'F-1 Off-Site WaterC'' Baseline'!$C$9:$AB$257,25,FALSE))</f>
        <v/>
      </c>
      <c r="BD139" s="30" t="str">
        <f t="shared" si="20"/>
        <v/>
      </c>
      <c r="BE139" s="30" t="str">
        <f>IF(B139="","",VLOOKUP($B139,'F-1 Off-Site WaterC'' Baseline'!$C$9:$AB$257,24,FALSE))</f>
        <v/>
      </c>
      <c r="BF139" s="30" t="str">
        <f>IF(B139="","",VLOOKUP($B139,'F-1 Off-Site WaterC'' Baseline'!$C$9:$AB$257,22,FALSE))</f>
        <v/>
      </c>
      <c r="BJ139" s="30" t="str">
        <f t="shared" si="21"/>
        <v>No</v>
      </c>
    </row>
    <row r="140" spans="2:62" ht="14">
      <c r="B140" s="305" t="str">
        <f>'F-1 Off-Site WaterC'' Baseline'!AS138</f>
        <v/>
      </c>
      <c r="C140" s="295" t="str">
        <f>IF(B140="","",VLOOKUP($B140,'F-1 Off-Site WaterC'' Baseline'!$C$9:$R$257,2,FALSE))</f>
        <v/>
      </c>
      <c r="D140" s="295" t="str">
        <f>IF(C140="","",VLOOKUP($B140,'F-1 Off-Site WaterC'' Baseline'!$C$9:$R$257,3,FALSE))</f>
        <v/>
      </c>
      <c r="E140" s="295" t="str">
        <f>IF(D140="","",VLOOKUP($B140,'F-1 Off-Site WaterC'' Baseline'!$C$9:$R$257,4,FALSE))</f>
        <v/>
      </c>
      <c r="F140" s="295" t="str">
        <f>IF(E140="","",VLOOKUP($B140,'F-1 Off-Site WaterC'' Baseline'!$C$9:$R$257,5,FALSE))</f>
        <v/>
      </c>
      <c r="G140" s="295" t="str">
        <f>IF(F140="","",VLOOKUP($B140,'F-1 Off-Site WaterC'' Baseline'!$C$9:$R$257,6,FALSE))</f>
        <v/>
      </c>
      <c r="H140" s="295" t="str">
        <f>IF(G140="","",VLOOKUP($B140,'F-1 Off-Site WaterC'' Baseline'!$C$9:$R$257,7,FALSE))</f>
        <v/>
      </c>
      <c r="I140" s="295" t="str">
        <f>IF(H140="","",VLOOKUP($B140,'F-1 Off-Site WaterC'' Baseline'!$C$9:$R$257,8,FALSE))</f>
        <v/>
      </c>
      <c r="J140" s="295" t="str">
        <f>IF(I140="","",VLOOKUP($B140,'F-1 Off-Site WaterC'' Baseline'!$C$9:$R$257,9,FALSE))</f>
        <v/>
      </c>
      <c r="K140" s="295" t="str">
        <f>IF(J140="","",VLOOKUP($B140,'F-1 Off-Site WaterC'' Baseline'!$C$9:$R$257,10,FALSE))</f>
        <v/>
      </c>
      <c r="L140" s="283" t="str">
        <f>IF(B140="","",VLOOKUP($B140,'F-1 Off-Site WaterC'' Baseline'!$C$9:$R$257,15,FALSE))</f>
        <v/>
      </c>
      <c r="M140" s="299" t="str">
        <f>IF(L140="","",VLOOKUP($B140,'F-1 Off-Site WaterC'' Baseline'!$C$9:$V$257,19,FALSE))</f>
        <v/>
      </c>
      <c r="N140" s="244"/>
      <c r="O140" s="275" t="str">
        <f t="shared" si="14"/>
        <v/>
      </c>
      <c r="P140" s="276" t="str">
        <f t="shared" si="15"/>
        <v/>
      </c>
      <c r="Q140" s="281" t="str">
        <f>IF(N140="","",VLOOKUP(B140,'F-1 Off-Site WaterC'' Baseline'!$C$10:$AF$257,23,FALSE))</f>
        <v/>
      </c>
      <c r="R140" s="275" t="str">
        <f>IF(N140="","",VLOOKUP(N140,'G-7 WaterC'' Data'!$B$2:$G$8,2,FALSE))</f>
        <v/>
      </c>
      <c r="S140" s="276" t="str">
        <f>IFERROR(VLOOKUP(R140,'G-7 WaterC'' Data'!$C$4:$D$8,2,FALSE),"")</f>
        <v/>
      </c>
      <c r="T140" s="101"/>
      <c r="U140" s="276" t="str">
        <f>IFERROR(INDEX('G-7 WaterC'' Data'!$H$4:$L$8,MATCH(N140,'G-7 WaterC'' Data'!$B$4:$B$8,0),MATCH(T140,'G-7 WaterC'' Data'!$H$3:$L$3,0)),"")</f>
        <v/>
      </c>
      <c r="V140" s="105"/>
      <c r="W140" s="295" t="str">
        <f>IF(V140="","",IF(VLOOKUP(V140,'G-7 WaterC'' Data'!$AK$4:$AM$6,2,FALSE)=0,"Spatial Data Missing ⚠",VLOOKUP(V140,'G-7 WaterC'' Data'!$AK$4:$AM$6,2,FALSE)))</f>
        <v/>
      </c>
      <c r="X140" s="299" t="str">
        <f>IF(V140="","",IF(VLOOKUP(V140,'G-7 WaterC'' Data'!$AK$4:$AM$6,3,FALSE)=0,"Spatial Data Missing ⚠",VLOOKUP(V140,'G-7 WaterC'' Data'!$AK$4:$AM$6,3,FALSE)))</f>
        <v/>
      </c>
      <c r="Y140" s="311" t="str">
        <f>IFERROR(IF(OR(LEFT(P140,5)="Error",LEFT(O140,5)="Error"),"Check Data ⚠",IF(F140&lt;S140,'G-7 WaterC'' Data'!$R$3,INDEX('G-7 WaterC'' Data'!$U$5:$Y$9,MATCH(G140,'G-7 WaterC'' Data'!$T$5:$T$9,0),MATCH(T140,'G-7 WaterC'' Data'!$U$4:$Y$4,0)))),"")</f>
        <v/>
      </c>
      <c r="Z140" s="138"/>
      <c r="AA140" s="138"/>
      <c r="AB140" s="308" t="str">
        <f t="shared" si="22" ref="AB140:AB203">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296" t="str">
        <f t="shared" si="16"/>
        <v/>
      </c>
      <c r="AD140" s="334" t="str">
        <f>IFERROR(IF(AC140="Check Data ⚠","Check Data ⚠",VLOOKUP(AC140,'G-4 Temporal multipliers'!$A$4:$C$37,3,FALSE)),"")</f>
        <v/>
      </c>
      <c r="AE140" s="311" t="str">
        <f>IF(N140="","",VLOOKUP(N140,'G-7 WaterC'' Data'!$B$4:$G$8,5,FALSE))</f>
        <v/>
      </c>
      <c r="AF140" s="295" t="str">
        <f t="shared" si="23" ref="AF140:AF203">IF(N140="","",IF(AC140="Check Data ⚠","Check Data ⚠",IF(T140="","",IF($AB140="Check details - Is there evidence that habitat has reached target condition? ⚠","Low Difficulty - only applicable if all habitat created before losses ⚠","Standard difficulty applied"))))</f>
        <v/>
      </c>
      <c r="AG140" s="295" t="str">
        <f t="shared" si="17"/>
        <v/>
      </c>
      <c r="AH140" s="276" t="str">
        <f t="shared" si="24" ref="AH140:AH203">IF(N140="","",VLOOKUP(AG140,Difficulty,2,FALSE))</f>
        <v/>
      </c>
      <c r="AI140" s="105"/>
      <c r="AJ140" s="276" t="str">
        <f>IF(AI140="","",(IF(AND(AI140="N/A - Culvert",N140&lt;&gt;"Culvert"),"Not possible ▲",IF(VLOOKUP(AI140,'G-7 WaterC'' Data'!$AA$4:$AB$7,2,FALSE)=0,"Spatial Data Missing ⚠",VLOOKUP(AI140,'G-7 WaterC'' Data'!$AA$4:$AB$7,2,FALSE)))))</f>
        <v/>
      </c>
      <c r="AK140" s="106"/>
      <c r="AL140" s="310" t="str">
        <f>IF(AK140="","",IF(AND(AK140="N/A - Culvert",N140&lt;&gt;"Culvert"),"Not possible ▲",IF(VLOOKUP(AK140,'G-7 WaterC'' Data'!$AD$4:$AE$14,2,FALSE)=0,"Spatial Data Missing ⚠",VLOOKUP(AK140,'G-7 WaterC'' Data'!$AD$4:$AE$14,2,FALSE))))</f>
        <v/>
      </c>
      <c r="AM140" s="275" t="str">
        <f>IF(B140="","",VLOOKUP($B140,'F-1 Off-Site WaterC'' Baseline'!$C$9:$Z$257,17,FALSE))</f>
        <v/>
      </c>
      <c r="AN140" s="276" t="str">
        <f>IF(AM140="","",IF(VLOOKUP(AM140,'G-7 WaterC'' Data'!$AO$4:$BO$7,2,FALSE)=0,"Spatial Data Missing ⚠",VLOOKUP(AM140,'G-7 WaterC'' Data'!$AO$4:$BO$7,2,FALSE)))</f>
        <v/>
      </c>
      <c r="AO140" s="317" t="str">
        <f t="shared" si="18"/>
        <v/>
      </c>
      <c r="AP140" s="317" t="str">
        <f t="shared" si="19"/>
        <v/>
      </c>
      <c r="AQ140" s="101"/>
      <c r="AR140" s="115"/>
      <c r="AS140" s="104"/>
      <c r="AT140" s="104"/>
      <c r="AW140" s="30" t="str">
        <f>IF(E140="","",VLOOKUP($B140,'F-1 Off-Site WaterC'' Baseline'!$C$9:$Z$257,12,FALSE))</f>
        <v/>
      </c>
      <c r="AX140" s="30" t="str">
        <f>IF(E140="","",VLOOKUP($B140,'F-1 Off-Site WaterC'' Baseline'!$C$9:$Z$257,14,FALSE))</f>
        <v/>
      </c>
      <c r="AY140" s="30" t="str">
        <f>IFERROR(INDEX('G-7 WaterC'' Data'!$AZ$3:$AZ$7,MATCH(N140,'G-7 WaterC'' Data'!$AY$3:$AY$7,0)),"")</f>
        <v/>
      </c>
      <c r="AZ140" s="30" t="str">
        <f>IF(B140="","",IF(ISNA(VLOOKUP($B140,'F-1 Off-Site WaterC'' Baseline'!$C$8:$AD$257,20,FALSE)),"",(VLOOKUP($B140,'F-1 Off-Site WaterC'' Baseline'!$C$8:$AD$257,20,FALSE))))</f>
        <v/>
      </c>
      <c r="BC140" s="30" t="str">
        <f>IF(B140="","",VLOOKUP($B140,'F-1 Off-Site WaterC'' Baseline'!$C$9:$AB$257,25,FALSE))</f>
        <v/>
      </c>
      <c r="BD140" s="30" t="str">
        <f t="shared" si="20"/>
        <v/>
      </c>
      <c r="BE140" s="30" t="str">
        <f>IF(B140="","",VLOOKUP($B140,'F-1 Off-Site WaterC'' Baseline'!$C$9:$AB$257,24,FALSE))</f>
        <v/>
      </c>
      <c r="BF140" s="30" t="str">
        <f>IF(B140="","",VLOOKUP($B140,'F-1 Off-Site WaterC'' Baseline'!$C$9:$AB$257,22,FALSE))</f>
        <v/>
      </c>
      <c r="BJ140" s="30" t="str">
        <f t="shared" si="21"/>
        <v>No</v>
      </c>
    </row>
    <row r="141" spans="2:62" ht="14">
      <c r="B141" s="305" t="str">
        <f>'F-1 Off-Site WaterC'' Baseline'!AS139</f>
        <v/>
      </c>
      <c r="C141" s="295" t="str">
        <f>IF(B141="","",VLOOKUP($B141,'F-1 Off-Site WaterC'' Baseline'!$C$9:$R$257,2,FALSE))</f>
        <v/>
      </c>
      <c r="D141" s="295" t="str">
        <f>IF(C141="","",VLOOKUP($B141,'F-1 Off-Site WaterC'' Baseline'!$C$9:$R$257,3,FALSE))</f>
        <v/>
      </c>
      <c r="E141" s="295" t="str">
        <f>IF(D141="","",VLOOKUP($B141,'F-1 Off-Site WaterC'' Baseline'!$C$9:$R$257,4,FALSE))</f>
        <v/>
      </c>
      <c r="F141" s="295" t="str">
        <f>IF(E141="","",VLOOKUP($B141,'F-1 Off-Site WaterC'' Baseline'!$C$9:$R$257,5,FALSE))</f>
        <v/>
      </c>
      <c r="G141" s="295" t="str">
        <f>IF(F141="","",VLOOKUP($B141,'F-1 Off-Site WaterC'' Baseline'!$C$9:$R$257,6,FALSE))</f>
        <v/>
      </c>
      <c r="H141" s="295" t="str">
        <f>IF(G141="","",VLOOKUP($B141,'F-1 Off-Site WaterC'' Baseline'!$C$9:$R$257,7,FALSE))</f>
        <v/>
      </c>
      <c r="I141" s="295" t="str">
        <f>IF(H141="","",VLOOKUP($B141,'F-1 Off-Site WaterC'' Baseline'!$C$9:$R$257,8,FALSE))</f>
        <v/>
      </c>
      <c r="J141" s="295" t="str">
        <f>IF(I141="","",VLOOKUP($B141,'F-1 Off-Site WaterC'' Baseline'!$C$9:$R$257,9,FALSE))</f>
        <v/>
      </c>
      <c r="K141" s="295" t="str">
        <f>IF(J141="","",VLOOKUP($B141,'F-1 Off-Site WaterC'' Baseline'!$C$9:$R$257,10,FALSE))</f>
        <v/>
      </c>
      <c r="L141" s="283" t="str">
        <f>IF(B141="","",VLOOKUP($B141,'F-1 Off-Site WaterC'' Baseline'!$C$9:$R$257,15,FALSE))</f>
        <v/>
      </c>
      <c r="M141" s="299" t="str">
        <f>IF(L141="","",VLOOKUP($B141,'F-1 Off-Site WaterC'' Baseline'!$C$9:$V$257,19,FALSE))</f>
        <v/>
      </c>
      <c r="N141" s="244"/>
      <c r="O141" s="275" t="str">
        <f t="shared" si="25" ref="O141:O204">IF(B141="","",IF(S141&lt;F141,"Error Trading Down ▲",E141&amp;" - "&amp;R141))</f>
        <v/>
      </c>
      <c r="P141" s="276" t="str">
        <f t="shared" si="26" ref="P141:P204">IF(C141="","",IF(AND(N141&lt;&gt;C141,AZ141="Yes"),"Error you cannot replace an irreplaceable habitat ▲",IF(AND(LEFT(C141,55)&lt;&gt;LEFT(N141,55),O141="High - High"),"Error - Not like for like ▲",IF(H141&gt;U141,"Error - Can not reduce condition ▲",IF(AND(C141&lt;&gt;N141,F141&lt;S141),"Lower Distinctiveness Habitat"&amp;" - "&amp;T141,G141&amp;" - "&amp;T141)))))</f>
        <v/>
      </c>
      <c r="Q141" s="281" t="str">
        <f>IF(N141="","",VLOOKUP(B141,'F-1 Off-Site WaterC'' Baseline'!$C$10:$AF$257,23,FALSE))</f>
        <v/>
      </c>
      <c r="R141" s="275" t="str">
        <f>IF(N141="","",VLOOKUP(N141,'G-7 WaterC'' Data'!$B$2:$G$8,2,FALSE))</f>
        <v/>
      </c>
      <c r="S141" s="276" t="str">
        <f>IFERROR(VLOOKUP(R141,'G-7 WaterC'' Data'!$C$4:$D$8,2,FALSE),"")</f>
        <v/>
      </c>
      <c r="T141" s="101"/>
      <c r="U141" s="276" t="str">
        <f>IFERROR(INDEX('G-7 WaterC'' Data'!$H$4:$L$8,MATCH(N141,'G-7 WaterC'' Data'!$B$4:$B$8,0),MATCH(T141,'G-7 WaterC'' Data'!$H$3:$L$3,0)),"")</f>
        <v/>
      </c>
      <c r="V141" s="105"/>
      <c r="W141" s="295" t="str">
        <f>IF(V141="","",IF(VLOOKUP(V141,'G-7 WaterC'' Data'!$AK$4:$AM$6,2,FALSE)=0,"Spatial Data Missing ⚠",VLOOKUP(V141,'G-7 WaterC'' Data'!$AK$4:$AM$6,2,FALSE)))</f>
        <v/>
      </c>
      <c r="X141" s="299" t="str">
        <f>IF(V141="","",IF(VLOOKUP(V141,'G-7 WaterC'' Data'!$AK$4:$AM$6,3,FALSE)=0,"Spatial Data Missing ⚠",VLOOKUP(V141,'G-7 WaterC'' Data'!$AK$4:$AM$6,3,FALSE)))</f>
        <v/>
      </c>
      <c r="Y141" s="311" t="str">
        <f>IFERROR(IF(OR(LEFT(P141,5)="Error",LEFT(O141,5)="Error"),"Check Data ⚠",IF(F141&lt;S141,'G-7 WaterC'' Data'!$R$3,INDEX('G-7 WaterC'' Data'!$U$5:$Y$9,MATCH(G141,'G-7 WaterC'' Data'!$T$5:$T$9,0),MATCH(T141,'G-7 WaterC'' Data'!$U$4:$Y$4,0)))),"")</f>
        <v/>
      </c>
      <c r="Z141" s="138"/>
      <c r="AA141" s="138"/>
      <c r="AB141" s="308" t="str">
        <f t="shared" si="22"/>
        <v/>
      </c>
      <c r="AC141" s="296" t="str">
        <f t="shared" si="27" ref="AC141:AC204">IF(AB141="Error -both advance and delayed habitat creation ▲","Check Data ⚠",IF(AB141="Check Data ⚠","Check Data ⚠",IF(Y141="","",IF(Z141="30+",0,IF(AA141="30+","30+",IF(Y141+AA141&gt;30,"30+",IF(Y141+AA141-Z141&gt;0,Y141+AA141-Z141,IF(Y141-Z141&lt;0,0,Y141+AA141-Z141))))))))</f>
        <v/>
      </c>
      <c r="AD141" s="334" t="str">
        <f>IFERROR(IF(AC141="Check Data ⚠","Check Data ⚠",VLOOKUP(AC141,'G-4 Temporal multipliers'!$A$4:$C$37,3,FALSE)),"")</f>
        <v/>
      </c>
      <c r="AE141" s="311" t="str">
        <f>IF(N141="","",VLOOKUP(N141,'G-7 WaterC'' Data'!$B$4:$G$8,5,FALSE))</f>
        <v/>
      </c>
      <c r="AF141" s="295" t="str">
        <f t="shared" si="23"/>
        <v/>
      </c>
      <c r="AG141" s="295" t="str">
        <f t="shared" si="28" ref="AG141:AG204">(IF(AND(AF141="Standard difficulty applied",Y141&gt;Z141),AE141,IF(AND(AF141="Low Difficulty - only applicable if all habitat created before losses ⚠",Z141&gt;=Y141),"Low",AE141)))</f>
        <v/>
      </c>
      <c r="AH141" s="276" t="str">
        <f t="shared" si="24"/>
        <v/>
      </c>
      <c r="AI141" s="105"/>
      <c r="AJ141" s="276" t="str">
        <f>IF(AI141="","",(IF(AND(AI141="N/A - Culvert",N141&lt;&gt;"Culvert"),"Not possible ▲",IF(VLOOKUP(AI141,'G-7 WaterC'' Data'!$AA$4:$AB$7,2,FALSE)=0,"Spatial Data Missing ⚠",VLOOKUP(AI141,'G-7 WaterC'' Data'!$AA$4:$AB$7,2,FALSE)))))</f>
        <v/>
      </c>
      <c r="AK141" s="106"/>
      <c r="AL141" s="310" t="str">
        <f>IF(AK141="","",IF(AND(AK141="N/A - Culvert",N141&lt;&gt;"Culvert"),"Not possible ▲",IF(VLOOKUP(AK141,'G-7 WaterC'' Data'!$AD$4:$AE$14,2,FALSE)=0,"Spatial Data Missing ⚠",VLOOKUP(AK141,'G-7 WaterC'' Data'!$AD$4:$AE$14,2,FALSE))))</f>
        <v/>
      </c>
      <c r="AM141" s="275" t="str">
        <f>IF(B141="","",VLOOKUP($B141,'F-1 Off-Site WaterC'' Baseline'!$C$9:$Z$257,17,FALSE))</f>
        <v/>
      </c>
      <c r="AN141" s="276" t="str">
        <f>IF(AM141="","",IF(VLOOKUP(AM141,'G-7 WaterC'' Data'!$AO$4:$BO$7,2,FALSE)=0,"Spatial Data Missing ⚠",VLOOKUP(AM141,'G-7 WaterC'' Data'!$AO$4:$BO$7,2,FALSE)))</f>
        <v/>
      </c>
      <c r="AO141" s="317" t="str">
        <f t="shared" si="29" ref="AO141:AO204">IFERROR(IF(C141="","",IF(Q141&gt;D141,((((Q141*S141*U141)-(D141*F141*H141))*(AH141*AD141))+(D141*F141*H141))*(AL141*X141*AJ141*AN141),((((Q141*S141*U141)-(Q141*F141*H141))*(AH141*AD141))+(Q141*F141*H141))*(AL141*X141*AJ141*AN141))),"")</f>
        <v/>
      </c>
      <c r="AP141" s="317" t="str">
        <f t="shared" si="30" ref="AP141:AP204">IFERROR(IF(C141="","",IF(AM141="","",IF(AND(N141&lt;&gt;"",M141=""),"Check data ⚠",(IF(AND(AM141&lt;&gt;"",AT141=""),"Off-site reference required ▲",IF(Q141&gt;D141,((((Q141*S141*U141)-(D141*F141*H141))*(AH141*AD141))+(D141*F141*H141))*(AL141*X141*AJ141),((((Q141*S141*U141)-(Q141*F141*H141))*(AH141*AD141))+(Q141*F141*H141))*(AL141*X141*AJ141))))))),"")</f>
        <v/>
      </c>
      <c r="AQ141" s="101"/>
      <c r="AR141" s="115"/>
      <c r="AS141" s="104"/>
      <c r="AT141" s="104"/>
      <c r="AW141" s="30" t="str">
        <f>IF(E141="","",VLOOKUP($B141,'F-1 Off-Site WaterC'' Baseline'!$C$9:$Z$257,12,FALSE))</f>
        <v/>
      </c>
      <c r="AX141" s="30" t="str">
        <f>IF(E141="","",VLOOKUP($B141,'F-1 Off-Site WaterC'' Baseline'!$C$9:$Z$257,14,FALSE))</f>
        <v/>
      </c>
      <c r="AY141" s="30" t="str">
        <f>IFERROR(INDEX('G-7 WaterC'' Data'!$AZ$3:$AZ$7,MATCH(N141,'G-7 WaterC'' Data'!$AY$3:$AY$7,0)),"")</f>
        <v/>
      </c>
      <c r="AZ141" s="30" t="str">
        <f>IF(B141="","",IF(ISNA(VLOOKUP($B141,'F-1 Off-Site WaterC'' Baseline'!$C$8:$AD$257,20,FALSE)),"",(VLOOKUP($B141,'F-1 Off-Site WaterC'' Baseline'!$C$8:$AD$257,20,FALSE))))</f>
        <v/>
      </c>
      <c r="BC141" s="30" t="str">
        <f>IF(B141="","",VLOOKUP($B141,'F-1 Off-Site WaterC'' Baseline'!$C$9:$AB$257,25,FALSE))</f>
        <v/>
      </c>
      <c r="BD141" s="30" t="str">
        <f t="shared" si="31" ref="BD141:BD204">IF(B141="","",IF(BC141&gt;M141,M141,IF((BF141+Q141)&gt;D141,M141-BE141,BC141)))</f>
        <v/>
      </c>
      <c r="BE141" s="30" t="str">
        <f>IF(B141="","",VLOOKUP($B141,'F-1 Off-Site WaterC'' Baseline'!$C$9:$AB$257,24,FALSE))</f>
        <v/>
      </c>
      <c r="BF141" s="30" t="str">
        <f>IF(B141="","",VLOOKUP($B141,'F-1 Off-Site WaterC'' Baseline'!$C$9:$AB$257,22,FALSE))</f>
        <v/>
      </c>
      <c r="BJ141" s="30" t="str">
        <f t="shared" si="32" ref="BJ141:BJ204">IF(AND(N141="Ditches",(OR(T141="Fairly Poor",T141="Fairly Good"))),"Yes","No")</f>
        <v>No</v>
      </c>
    </row>
    <row r="142" spans="2:62" ht="14">
      <c r="B142" s="305" t="str">
        <f>'F-1 Off-Site WaterC'' Baseline'!AS140</f>
        <v/>
      </c>
      <c r="C142" s="295" t="str">
        <f>IF(B142="","",VLOOKUP($B142,'F-1 Off-Site WaterC'' Baseline'!$C$9:$R$257,2,FALSE))</f>
        <v/>
      </c>
      <c r="D142" s="295" t="str">
        <f>IF(C142="","",VLOOKUP($B142,'F-1 Off-Site WaterC'' Baseline'!$C$9:$R$257,3,FALSE))</f>
        <v/>
      </c>
      <c r="E142" s="295" t="str">
        <f>IF(D142="","",VLOOKUP($B142,'F-1 Off-Site WaterC'' Baseline'!$C$9:$R$257,4,FALSE))</f>
        <v/>
      </c>
      <c r="F142" s="295" t="str">
        <f>IF(E142="","",VLOOKUP($B142,'F-1 Off-Site WaterC'' Baseline'!$C$9:$R$257,5,FALSE))</f>
        <v/>
      </c>
      <c r="G142" s="295" t="str">
        <f>IF(F142="","",VLOOKUP($B142,'F-1 Off-Site WaterC'' Baseline'!$C$9:$R$257,6,FALSE))</f>
        <v/>
      </c>
      <c r="H142" s="295" t="str">
        <f>IF(G142="","",VLOOKUP($B142,'F-1 Off-Site WaterC'' Baseline'!$C$9:$R$257,7,FALSE))</f>
        <v/>
      </c>
      <c r="I142" s="295" t="str">
        <f>IF(H142="","",VLOOKUP($B142,'F-1 Off-Site WaterC'' Baseline'!$C$9:$R$257,8,FALSE))</f>
        <v/>
      </c>
      <c r="J142" s="295" t="str">
        <f>IF(I142="","",VLOOKUP($B142,'F-1 Off-Site WaterC'' Baseline'!$C$9:$R$257,9,FALSE))</f>
        <v/>
      </c>
      <c r="K142" s="295" t="str">
        <f>IF(J142="","",VLOOKUP($B142,'F-1 Off-Site WaterC'' Baseline'!$C$9:$R$257,10,FALSE))</f>
        <v/>
      </c>
      <c r="L142" s="283" t="str">
        <f>IF(B142="","",VLOOKUP($B142,'F-1 Off-Site WaterC'' Baseline'!$C$9:$R$257,15,FALSE))</f>
        <v/>
      </c>
      <c r="M142" s="299" t="str">
        <f>IF(L142="","",VLOOKUP($B142,'F-1 Off-Site WaterC'' Baseline'!$C$9:$V$257,19,FALSE))</f>
        <v/>
      </c>
      <c r="N142" s="244"/>
      <c r="O142" s="275" t="str">
        <f t="shared" si="25"/>
        <v/>
      </c>
      <c r="P142" s="276" t="str">
        <f t="shared" si="26"/>
        <v/>
      </c>
      <c r="Q142" s="281" t="str">
        <f>IF(N142="","",VLOOKUP(B142,'F-1 Off-Site WaterC'' Baseline'!$C$10:$AF$257,23,FALSE))</f>
        <v/>
      </c>
      <c r="R142" s="275" t="str">
        <f>IF(N142="","",VLOOKUP(N142,'G-7 WaterC'' Data'!$B$2:$G$8,2,FALSE))</f>
        <v/>
      </c>
      <c r="S142" s="276" t="str">
        <f>IFERROR(VLOOKUP(R142,'G-7 WaterC'' Data'!$C$4:$D$8,2,FALSE),"")</f>
        <v/>
      </c>
      <c r="T142" s="101"/>
      <c r="U142" s="276" t="str">
        <f>IFERROR(INDEX('G-7 WaterC'' Data'!$H$4:$L$8,MATCH(N142,'G-7 WaterC'' Data'!$B$4:$B$8,0),MATCH(T142,'G-7 WaterC'' Data'!$H$3:$L$3,0)),"")</f>
        <v/>
      </c>
      <c r="V142" s="105"/>
      <c r="W142" s="295" t="str">
        <f>IF(V142="","",IF(VLOOKUP(V142,'G-7 WaterC'' Data'!$AK$4:$AM$6,2,FALSE)=0,"Spatial Data Missing ⚠",VLOOKUP(V142,'G-7 WaterC'' Data'!$AK$4:$AM$6,2,FALSE)))</f>
        <v/>
      </c>
      <c r="X142" s="299" t="str">
        <f>IF(V142="","",IF(VLOOKUP(V142,'G-7 WaterC'' Data'!$AK$4:$AM$6,3,FALSE)=0,"Spatial Data Missing ⚠",VLOOKUP(V142,'G-7 WaterC'' Data'!$AK$4:$AM$6,3,FALSE)))</f>
        <v/>
      </c>
      <c r="Y142" s="311" t="str">
        <f>IFERROR(IF(OR(LEFT(P142,5)="Error",LEFT(O142,5)="Error"),"Check Data ⚠",IF(F142&lt;S142,'G-7 WaterC'' Data'!$R$3,INDEX('G-7 WaterC'' Data'!$U$5:$Y$9,MATCH(G142,'G-7 WaterC'' Data'!$T$5:$T$9,0),MATCH(T142,'G-7 WaterC'' Data'!$U$4:$Y$4,0)))),"")</f>
        <v/>
      </c>
      <c r="Z142" s="138"/>
      <c r="AA142" s="138"/>
      <c r="AB142" s="308" t="str">
        <f t="shared" si="22"/>
        <v/>
      </c>
      <c r="AC142" s="296" t="str">
        <f t="shared" si="27"/>
        <v/>
      </c>
      <c r="AD142" s="334" t="str">
        <f>IFERROR(IF(AC142="Check Data ⚠","Check Data ⚠",VLOOKUP(AC142,'G-4 Temporal multipliers'!$A$4:$C$37,3,FALSE)),"")</f>
        <v/>
      </c>
      <c r="AE142" s="311" t="str">
        <f>IF(N142="","",VLOOKUP(N142,'G-7 WaterC'' Data'!$B$4:$G$8,5,FALSE))</f>
        <v/>
      </c>
      <c r="AF142" s="295" t="str">
        <f t="shared" si="23"/>
        <v/>
      </c>
      <c r="AG142" s="295" t="str">
        <f t="shared" si="28"/>
        <v/>
      </c>
      <c r="AH142" s="276" t="str">
        <f t="shared" si="24"/>
        <v/>
      </c>
      <c r="AI142" s="105"/>
      <c r="AJ142" s="276" t="str">
        <f>IF(AI142="","",(IF(AND(AI142="N/A - Culvert",N142&lt;&gt;"Culvert"),"Not possible ▲",IF(VLOOKUP(AI142,'G-7 WaterC'' Data'!$AA$4:$AB$7,2,FALSE)=0,"Spatial Data Missing ⚠",VLOOKUP(AI142,'G-7 WaterC'' Data'!$AA$4:$AB$7,2,FALSE)))))</f>
        <v/>
      </c>
      <c r="AK142" s="106"/>
      <c r="AL142" s="310" t="str">
        <f>IF(AK142="","",IF(AND(AK142="N/A - Culvert",N142&lt;&gt;"Culvert"),"Not possible ▲",IF(VLOOKUP(AK142,'G-7 WaterC'' Data'!$AD$4:$AE$14,2,FALSE)=0,"Spatial Data Missing ⚠",VLOOKUP(AK142,'G-7 WaterC'' Data'!$AD$4:$AE$14,2,FALSE))))</f>
        <v/>
      </c>
      <c r="AM142" s="275" t="str">
        <f>IF(B142="","",VLOOKUP($B142,'F-1 Off-Site WaterC'' Baseline'!$C$9:$Z$257,17,FALSE))</f>
        <v/>
      </c>
      <c r="AN142" s="276" t="str">
        <f>IF(AM142="","",IF(VLOOKUP(AM142,'G-7 WaterC'' Data'!$AO$4:$BO$7,2,FALSE)=0,"Spatial Data Missing ⚠",VLOOKUP(AM142,'G-7 WaterC'' Data'!$AO$4:$BO$7,2,FALSE)))</f>
        <v/>
      </c>
      <c r="AO142" s="317" t="str">
        <f t="shared" si="29"/>
        <v/>
      </c>
      <c r="AP142" s="317" t="str">
        <f t="shared" si="30"/>
        <v/>
      </c>
      <c r="AQ142" s="101"/>
      <c r="AR142" s="115"/>
      <c r="AS142" s="104"/>
      <c r="AT142" s="104"/>
      <c r="AW142" s="30" t="str">
        <f>IF(E142="","",VLOOKUP($B142,'F-1 Off-Site WaterC'' Baseline'!$C$9:$Z$257,12,FALSE))</f>
        <v/>
      </c>
      <c r="AX142" s="30" t="str">
        <f>IF(E142="","",VLOOKUP($B142,'F-1 Off-Site WaterC'' Baseline'!$C$9:$Z$257,14,FALSE))</f>
        <v/>
      </c>
      <c r="AY142" s="30" t="str">
        <f>IFERROR(INDEX('G-7 WaterC'' Data'!$AZ$3:$AZ$7,MATCH(N142,'G-7 WaterC'' Data'!$AY$3:$AY$7,0)),"")</f>
        <v/>
      </c>
      <c r="AZ142" s="30" t="str">
        <f>IF(B142="","",IF(ISNA(VLOOKUP($B142,'F-1 Off-Site WaterC'' Baseline'!$C$8:$AD$257,20,FALSE)),"",(VLOOKUP($B142,'F-1 Off-Site WaterC'' Baseline'!$C$8:$AD$257,20,FALSE))))</f>
        <v/>
      </c>
      <c r="BC142" s="30" t="str">
        <f>IF(B142="","",VLOOKUP($B142,'F-1 Off-Site WaterC'' Baseline'!$C$9:$AB$257,25,FALSE))</f>
        <v/>
      </c>
      <c r="BD142" s="30" t="str">
        <f t="shared" si="31"/>
        <v/>
      </c>
      <c r="BE142" s="30" t="str">
        <f>IF(B142="","",VLOOKUP($B142,'F-1 Off-Site WaterC'' Baseline'!$C$9:$AB$257,24,FALSE))</f>
        <v/>
      </c>
      <c r="BF142" s="30" t="str">
        <f>IF(B142="","",VLOOKUP($B142,'F-1 Off-Site WaterC'' Baseline'!$C$9:$AB$257,22,FALSE))</f>
        <v/>
      </c>
      <c r="BJ142" s="30" t="str">
        <f t="shared" si="32"/>
        <v>No</v>
      </c>
    </row>
    <row r="143" spans="2:62" ht="14">
      <c r="B143" s="305" t="str">
        <f>'F-1 Off-Site WaterC'' Baseline'!AS141</f>
        <v/>
      </c>
      <c r="C143" s="295" t="str">
        <f>IF(B143="","",VLOOKUP($B143,'F-1 Off-Site WaterC'' Baseline'!$C$9:$R$257,2,FALSE))</f>
        <v/>
      </c>
      <c r="D143" s="295" t="str">
        <f>IF(C143="","",VLOOKUP($B143,'F-1 Off-Site WaterC'' Baseline'!$C$9:$R$257,3,FALSE))</f>
        <v/>
      </c>
      <c r="E143" s="295" t="str">
        <f>IF(D143="","",VLOOKUP($B143,'F-1 Off-Site WaterC'' Baseline'!$C$9:$R$257,4,FALSE))</f>
        <v/>
      </c>
      <c r="F143" s="295" t="str">
        <f>IF(E143="","",VLOOKUP($B143,'F-1 Off-Site WaterC'' Baseline'!$C$9:$R$257,5,FALSE))</f>
        <v/>
      </c>
      <c r="G143" s="295" t="str">
        <f>IF(F143="","",VLOOKUP($B143,'F-1 Off-Site WaterC'' Baseline'!$C$9:$R$257,6,FALSE))</f>
        <v/>
      </c>
      <c r="H143" s="295" t="str">
        <f>IF(G143="","",VLOOKUP($B143,'F-1 Off-Site WaterC'' Baseline'!$C$9:$R$257,7,FALSE))</f>
        <v/>
      </c>
      <c r="I143" s="295" t="str">
        <f>IF(H143="","",VLOOKUP($B143,'F-1 Off-Site WaterC'' Baseline'!$C$9:$R$257,8,FALSE))</f>
        <v/>
      </c>
      <c r="J143" s="295" t="str">
        <f>IF(I143="","",VLOOKUP($B143,'F-1 Off-Site WaterC'' Baseline'!$C$9:$R$257,9,FALSE))</f>
        <v/>
      </c>
      <c r="K143" s="295" t="str">
        <f>IF(J143="","",VLOOKUP($B143,'F-1 Off-Site WaterC'' Baseline'!$C$9:$R$257,10,FALSE))</f>
        <v/>
      </c>
      <c r="L143" s="283" t="str">
        <f>IF(B143="","",VLOOKUP($B143,'F-1 Off-Site WaterC'' Baseline'!$C$9:$R$257,15,FALSE))</f>
        <v/>
      </c>
      <c r="M143" s="299" t="str">
        <f>IF(L143="","",VLOOKUP($B143,'F-1 Off-Site WaterC'' Baseline'!$C$9:$V$257,19,FALSE))</f>
        <v/>
      </c>
      <c r="N143" s="244"/>
      <c r="O143" s="275" t="str">
        <f t="shared" si="25"/>
        <v/>
      </c>
      <c r="P143" s="276" t="str">
        <f t="shared" si="26"/>
        <v/>
      </c>
      <c r="Q143" s="281" t="str">
        <f>IF(N143="","",VLOOKUP(B143,'F-1 Off-Site WaterC'' Baseline'!$C$10:$AF$257,23,FALSE))</f>
        <v/>
      </c>
      <c r="R143" s="275" t="str">
        <f>IF(N143="","",VLOOKUP(N143,'G-7 WaterC'' Data'!$B$2:$G$8,2,FALSE))</f>
        <v/>
      </c>
      <c r="S143" s="276" t="str">
        <f>IFERROR(VLOOKUP(R143,'G-7 WaterC'' Data'!$C$4:$D$8,2,FALSE),"")</f>
        <v/>
      </c>
      <c r="T143" s="101"/>
      <c r="U143" s="276" t="str">
        <f>IFERROR(INDEX('G-7 WaterC'' Data'!$H$4:$L$8,MATCH(N143,'G-7 WaterC'' Data'!$B$4:$B$8,0),MATCH(T143,'G-7 WaterC'' Data'!$H$3:$L$3,0)),"")</f>
        <v/>
      </c>
      <c r="V143" s="105"/>
      <c r="W143" s="295" t="str">
        <f>IF(V143="","",IF(VLOOKUP(V143,'G-7 WaterC'' Data'!$AK$4:$AM$6,2,FALSE)=0,"Spatial Data Missing ⚠",VLOOKUP(V143,'G-7 WaterC'' Data'!$AK$4:$AM$6,2,FALSE)))</f>
        <v/>
      </c>
      <c r="X143" s="299" t="str">
        <f>IF(V143="","",IF(VLOOKUP(V143,'G-7 WaterC'' Data'!$AK$4:$AM$6,3,FALSE)=0,"Spatial Data Missing ⚠",VLOOKUP(V143,'G-7 WaterC'' Data'!$AK$4:$AM$6,3,FALSE)))</f>
        <v/>
      </c>
      <c r="Y143" s="311" t="str">
        <f>IFERROR(IF(OR(LEFT(P143,5)="Error",LEFT(O143,5)="Error"),"Check Data ⚠",IF(F143&lt;S143,'G-7 WaterC'' Data'!$R$3,INDEX('G-7 WaterC'' Data'!$U$5:$Y$9,MATCH(G143,'G-7 WaterC'' Data'!$T$5:$T$9,0),MATCH(T143,'G-7 WaterC'' Data'!$U$4:$Y$4,0)))),"")</f>
        <v/>
      </c>
      <c r="Z143" s="138"/>
      <c r="AA143" s="138"/>
      <c r="AB143" s="308" t="str">
        <f t="shared" si="22"/>
        <v/>
      </c>
      <c r="AC143" s="296" t="str">
        <f t="shared" si="27"/>
        <v/>
      </c>
      <c r="AD143" s="334" t="str">
        <f>IFERROR(IF(AC143="Check Data ⚠","Check Data ⚠",VLOOKUP(AC143,'G-4 Temporal multipliers'!$A$4:$C$37,3,FALSE)),"")</f>
        <v/>
      </c>
      <c r="AE143" s="311" t="str">
        <f>IF(N143="","",VLOOKUP(N143,'G-7 WaterC'' Data'!$B$4:$G$8,5,FALSE))</f>
        <v/>
      </c>
      <c r="AF143" s="295" t="str">
        <f t="shared" si="23"/>
        <v/>
      </c>
      <c r="AG143" s="295" t="str">
        <f t="shared" si="28"/>
        <v/>
      </c>
      <c r="AH143" s="276" t="str">
        <f t="shared" si="24"/>
        <v/>
      </c>
      <c r="AI143" s="105"/>
      <c r="AJ143" s="276" t="str">
        <f>IF(AI143="","",(IF(AND(AI143="N/A - Culvert",N143&lt;&gt;"Culvert"),"Not possible ▲",IF(VLOOKUP(AI143,'G-7 WaterC'' Data'!$AA$4:$AB$7,2,FALSE)=0,"Spatial Data Missing ⚠",VLOOKUP(AI143,'G-7 WaterC'' Data'!$AA$4:$AB$7,2,FALSE)))))</f>
        <v/>
      </c>
      <c r="AK143" s="106"/>
      <c r="AL143" s="310" t="str">
        <f>IF(AK143="","",IF(AND(AK143="N/A - Culvert",N143&lt;&gt;"Culvert"),"Not possible ▲",IF(VLOOKUP(AK143,'G-7 WaterC'' Data'!$AD$4:$AE$14,2,FALSE)=0,"Spatial Data Missing ⚠",VLOOKUP(AK143,'G-7 WaterC'' Data'!$AD$4:$AE$14,2,FALSE))))</f>
        <v/>
      </c>
      <c r="AM143" s="275" t="str">
        <f>IF(B143="","",VLOOKUP($B143,'F-1 Off-Site WaterC'' Baseline'!$C$9:$Z$257,17,FALSE))</f>
        <v/>
      </c>
      <c r="AN143" s="276" t="str">
        <f>IF(AM143="","",IF(VLOOKUP(AM143,'G-7 WaterC'' Data'!$AO$4:$BO$7,2,FALSE)=0,"Spatial Data Missing ⚠",VLOOKUP(AM143,'G-7 WaterC'' Data'!$AO$4:$BO$7,2,FALSE)))</f>
        <v/>
      </c>
      <c r="AO143" s="317" t="str">
        <f t="shared" si="29"/>
        <v/>
      </c>
      <c r="AP143" s="317" t="str">
        <f t="shared" si="30"/>
        <v/>
      </c>
      <c r="AQ143" s="101"/>
      <c r="AR143" s="115"/>
      <c r="AS143" s="104"/>
      <c r="AT143" s="104"/>
      <c r="AW143" s="30" t="str">
        <f>IF(E143="","",VLOOKUP($B143,'F-1 Off-Site WaterC'' Baseline'!$C$9:$Z$257,12,FALSE))</f>
        <v/>
      </c>
      <c r="AX143" s="30" t="str">
        <f>IF(E143="","",VLOOKUP($B143,'F-1 Off-Site WaterC'' Baseline'!$C$9:$Z$257,14,FALSE))</f>
        <v/>
      </c>
      <c r="AY143" s="30" t="str">
        <f>IFERROR(INDEX('G-7 WaterC'' Data'!$AZ$3:$AZ$7,MATCH(N143,'G-7 WaterC'' Data'!$AY$3:$AY$7,0)),"")</f>
        <v/>
      </c>
      <c r="AZ143" s="30" t="str">
        <f>IF(B143="","",IF(ISNA(VLOOKUP($B143,'F-1 Off-Site WaterC'' Baseline'!$C$8:$AD$257,20,FALSE)),"",(VLOOKUP($B143,'F-1 Off-Site WaterC'' Baseline'!$C$8:$AD$257,20,FALSE))))</f>
        <v/>
      </c>
      <c r="BC143" s="30" t="str">
        <f>IF(B143="","",VLOOKUP($B143,'F-1 Off-Site WaterC'' Baseline'!$C$9:$AB$257,25,FALSE))</f>
        <v/>
      </c>
      <c r="BD143" s="30" t="str">
        <f t="shared" si="31"/>
        <v/>
      </c>
      <c r="BE143" s="30" t="str">
        <f>IF(B143="","",VLOOKUP($B143,'F-1 Off-Site WaterC'' Baseline'!$C$9:$AB$257,24,FALSE))</f>
        <v/>
      </c>
      <c r="BF143" s="30" t="str">
        <f>IF(B143="","",VLOOKUP($B143,'F-1 Off-Site WaterC'' Baseline'!$C$9:$AB$257,22,FALSE))</f>
        <v/>
      </c>
      <c r="BJ143" s="30" t="str">
        <f t="shared" si="32"/>
        <v>No</v>
      </c>
    </row>
    <row r="144" spans="2:62" ht="14">
      <c r="B144" s="305" t="str">
        <f>'F-1 Off-Site WaterC'' Baseline'!AS142</f>
        <v/>
      </c>
      <c r="C144" s="295" t="str">
        <f>IF(B144="","",VLOOKUP($B144,'F-1 Off-Site WaterC'' Baseline'!$C$9:$R$257,2,FALSE))</f>
        <v/>
      </c>
      <c r="D144" s="295" t="str">
        <f>IF(C144="","",VLOOKUP($B144,'F-1 Off-Site WaterC'' Baseline'!$C$9:$R$257,3,FALSE))</f>
        <v/>
      </c>
      <c r="E144" s="295" t="str">
        <f>IF(D144="","",VLOOKUP($B144,'F-1 Off-Site WaterC'' Baseline'!$C$9:$R$257,4,FALSE))</f>
        <v/>
      </c>
      <c r="F144" s="295" t="str">
        <f>IF(E144="","",VLOOKUP($B144,'F-1 Off-Site WaterC'' Baseline'!$C$9:$R$257,5,FALSE))</f>
        <v/>
      </c>
      <c r="G144" s="295" t="str">
        <f>IF(F144="","",VLOOKUP($B144,'F-1 Off-Site WaterC'' Baseline'!$C$9:$R$257,6,FALSE))</f>
        <v/>
      </c>
      <c r="H144" s="295" t="str">
        <f>IF(G144="","",VLOOKUP($B144,'F-1 Off-Site WaterC'' Baseline'!$C$9:$R$257,7,FALSE))</f>
        <v/>
      </c>
      <c r="I144" s="295" t="str">
        <f>IF(H144="","",VLOOKUP($B144,'F-1 Off-Site WaterC'' Baseline'!$C$9:$R$257,8,FALSE))</f>
        <v/>
      </c>
      <c r="J144" s="295" t="str">
        <f>IF(I144="","",VLOOKUP($B144,'F-1 Off-Site WaterC'' Baseline'!$C$9:$R$257,9,FALSE))</f>
        <v/>
      </c>
      <c r="K144" s="295" t="str">
        <f>IF(J144="","",VLOOKUP($B144,'F-1 Off-Site WaterC'' Baseline'!$C$9:$R$257,10,FALSE))</f>
        <v/>
      </c>
      <c r="L144" s="283" t="str">
        <f>IF(B144="","",VLOOKUP($B144,'F-1 Off-Site WaterC'' Baseline'!$C$9:$R$257,15,FALSE))</f>
        <v/>
      </c>
      <c r="M144" s="299" t="str">
        <f>IF(L144="","",VLOOKUP($B144,'F-1 Off-Site WaterC'' Baseline'!$C$9:$V$257,19,FALSE))</f>
        <v/>
      </c>
      <c r="N144" s="244"/>
      <c r="O144" s="275" t="str">
        <f t="shared" si="25"/>
        <v/>
      </c>
      <c r="P144" s="276" t="str">
        <f t="shared" si="26"/>
        <v/>
      </c>
      <c r="Q144" s="281" t="str">
        <f>IF(N144="","",VLOOKUP(B144,'F-1 Off-Site WaterC'' Baseline'!$C$10:$AF$257,23,FALSE))</f>
        <v/>
      </c>
      <c r="R144" s="275" t="str">
        <f>IF(N144="","",VLOOKUP(N144,'G-7 WaterC'' Data'!$B$2:$G$8,2,FALSE))</f>
        <v/>
      </c>
      <c r="S144" s="276" t="str">
        <f>IFERROR(VLOOKUP(R144,'G-7 WaterC'' Data'!$C$4:$D$8,2,FALSE),"")</f>
        <v/>
      </c>
      <c r="T144" s="101"/>
      <c r="U144" s="276" t="str">
        <f>IFERROR(INDEX('G-7 WaterC'' Data'!$H$4:$L$8,MATCH(N144,'G-7 WaterC'' Data'!$B$4:$B$8,0),MATCH(T144,'G-7 WaterC'' Data'!$H$3:$L$3,0)),"")</f>
        <v/>
      </c>
      <c r="V144" s="105"/>
      <c r="W144" s="295" t="str">
        <f>IF(V144="","",IF(VLOOKUP(V144,'G-7 WaterC'' Data'!$AK$4:$AM$6,2,FALSE)=0,"Spatial Data Missing ⚠",VLOOKUP(V144,'G-7 WaterC'' Data'!$AK$4:$AM$6,2,FALSE)))</f>
        <v/>
      </c>
      <c r="X144" s="299" t="str">
        <f>IF(V144="","",IF(VLOOKUP(V144,'G-7 WaterC'' Data'!$AK$4:$AM$6,3,FALSE)=0,"Spatial Data Missing ⚠",VLOOKUP(V144,'G-7 WaterC'' Data'!$AK$4:$AM$6,3,FALSE)))</f>
        <v/>
      </c>
      <c r="Y144" s="311" t="str">
        <f>IFERROR(IF(OR(LEFT(P144,5)="Error",LEFT(O144,5)="Error"),"Check Data ⚠",IF(F144&lt;S144,'G-7 WaterC'' Data'!$R$3,INDEX('G-7 WaterC'' Data'!$U$5:$Y$9,MATCH(G144,'G-7 WaterC'' Data'!$T$5:$T$9,0),MATCH(T144,'G-7 WaterC'' Data'!$U$4:$Y$4,0)))),"")</f>
        <v/>
      </c>
      <c r="Z144" s="138"/>
      <c r="AA144" s="138"/>
      <c r="AB144" s="308" t="str">
        <f t="shared" si="22"/>
        <v/>
      </c>
      <c r="AC144" s="296" t="str">
        <f t="shared" si="27"/>
        <v/>
      </c>
      <c r="AD144" s="334" t="str">
        <f>IFERROR(IF(AC144="Check Data ⚠","Check Data ⚠",VLOOKUP(AC144,'G-4 Temporal multipliers'!$A$4:$C$37,3,FALSE)),"")</f>
        <v/>
      </c>
      <c r="AE144" s="311" t="str">
        <f>IF(N144="","",VLOOKUP(N144,'G-7 WaterC'' Data'!$B$4:$G$8,5,FALSE))</f>
        <v/>
      </c>
      <c r="AF144" s="295" t="str">
        <f t="shared" si="23"/>
        <v/>
      </c>
      <c r="AG144" s="295" t="str">
        <f t="shared" si="28"/>
        <v/>
      </c>
      <c r="AH144" s="276" t="str">
        <f t="shared" si="24"/>
        <v/>
      </c>
      <c r="AI144" s="105"/>
      <c r="AJ144" s="276" t="str">
        <f>IF(AI144="","",(IF(AND(AI144="N/A - Culvert",N144&lt;&gt;"Culvert"),"Not possible ▲",IF(VLOOKUP(AI144,'G-7 WaterC'' Data'!$AA$4:$AB$7,2,FALSE)=0,"Spatial Data Missing ⚠",VLOOKUP(AI144,'G-7 WaterC'' Data'!$AA$4:$AB$7,2,FALSE)))))</f>
        <v/>
      </c>
      <c r="AK144" s="106"/>
      <c r="AL144" s="310" t="str">
        <f>IF(AK144="","",IF(AND(AK144="N/A - Culvert",N144&lt;&gt;"Culvert"),"Not possible ▲",IF(VLOOKUP(AK144,'G-7 WaterC'' Data'!$AD$4:$AE$14,2,FALSE)=0,"Spatial Data Missing ⚠",VLOOKUP(AK144,'G-7 WaterC'' Data'!$AD$4:$AE$14,2,FALSE))))</f>
        <v/>
      </c>
      <c r="AM144" s="275" t="str">
        <f>IF(B144="","",VLOOKUP($B144,'F-1 Off-Site WaterC'' Baseline'!$C$9:$Z$257,17,FALSE))</f>
        <v/>
      </c>
      <c r="AN144" s="276" t="str">
        <f>IF(AM144="","",IF(VLOOKUP(AM144,'G-7 WaterC'' Data'!$AO$4:$BO$7,2,FALSE)=0,"Spatial Data Missing ⚠",VLOOKUP(AM144,'G-7 WaterC'' Data'!$AO$4:$BO$7,2,FALSE)))</f>
        <v/>
      </c>
      <c r="AO144" s="317" t="str">
        <f t="shared" si="29"/>
        <v/>
      </c>
      <c r="AP144" s="317" t="str">
        <f t="shared" si="30"/>
        <v/>
      </c>
      <c r="AQ144" s="101"/>
      <c r="AR144" s="115"/>
      <c r="AS144" s="104"/>
      <c r="AT144" s="104"/>
      <c r="AW144" s="30" t="str">
        <f>IF(E144="","",VLOOKUP($B144,'F-1 Off-Site WaterC'' Baseline'!$C$9:$Z$257,12,FALSE))</f>
        <v/>
      </c>
      <c r="AX144" s="30" t="str">
        <f>IF(E144="","",VLOOKUP($B144,'F-1 Off-Site WaterC'' Baseline'!$C$9:$Z$257,14,FALSE))</f>
        <v/>
      </c>
      <c r="AY144" s="30" t="str">
        <f>IFERROR(INDEX('G-7 WaterC'' Data'!$AZ$3:$AZ$7,MATCH(N144,'G-7 WaterC'' Data'!$AY$3:$AY$7,0)),"")</f>
        <v/>
      </c>
      <c r="AZ144" s="30" t="str">
        <f>IF(B144="","",IF(ISNA(VLOOKUP($B144,'F-1 Off-Site WaterC'' Baseline'!$C$8:$AD$257,20,FALSE)),"",(VLOOKUP($B144,'F-1 Off-Site WaterC'' Baseline'!$C$8:$AD$257,20,FALSE))))</f>
        <v/>
      </c>
      <c r="BC144" s="30" t="str">
        <f>IF(B144="","",VLOOKUP($B144,'F-1 Off-Site WaterC'' Baseline'!$C$9:$AB$257,25,FALSE))</f>
        <v/>
      </c>
      <c r="BD144" s="30" t="str">
        <f t="shared" si="31"/>
        <v/>
      </c>
      <c r="BE144" s="30" t="str">
        <f>IF(B144="","",VLOOKUP($B144,'F-1 Off-Site WaterC'' Baseline'!$C$9:$AB$257,24,FALSE))</f>
        <v/>
      </c>
      <c r="BF144" s="30" t="str">
        <f>IF(B144="","",VLOOKUP($B144,'F-1 Off-Site WaterC'' Baseline'!$C$9:$AB$257,22,FALSE))</f>
        <v/>
      </c>
      <c r="BJ144" s="30" t="str">
        <f t="shared" si="32"/>
        <v>No</v>
      </c>
    </row>
    <row r="145" spans="2:62" ht="14">
      <c r="B145" s="305" t="str">
        <f>'F-1 Off-Site WaterC'' Baseline'!AS143</f>
        <v/>
      </c>
      <c r="C145" s="295" t="str">
        <f>IF(B145="","",VLOOKUP($B145,'F-1 Off-Site WaterC'' Baseline'!$C$9:$R$257,2,FALSE))</f>
        <v/>
      </c>
      <c r="D145" s="295" t="str">
        <f>IF(C145="","",VLOOKUP($B145,'F-1 Off-Site WaterC'' Baseline'!$C$9:$R$257,3,FALSE))</f>
        <v/>
      </c>
      <c r="E145" s="295" t="str">
        <f>IF(D145="","",VLOOKUP($B145,'F-1 Off-Site WaterC'' Baseline'!$C$9:$R$257,4,FALSE))</f>
        <v/>
      </c>
      <c r="F145" s="295" t="str">
        <f>IF(E145="","",VLOOKUP($B145,'F-1 Off-Site WaterC'' Baseline'!$C$9:$R$257,5,FALSE))</f>
        <v/>
      </c>
      <c r="G145" s="295" t="str">
        <f>IF(F145="","",VLOOKUP($B145,'F-1 Off-Site WaterC'' Baseline'!$C$9:$R$257,6,FALSE))</f>
        <v/>
      </c>
      <c r="H145" s="295" t="str">
        <f>IF(G145="","",VLOOKUP($B145,'F-1 Off-Site WaterC'' Baseline'!$C$9:$R$257,7,FALSE))</f>
        <v/>
      </c>
      <c r="I145" s="295" t="str">
        <f>IF(H145="","",VLOOKUP($B145,'F-1 Off-Site WaterC'' Baseline'!$C$9:$R$257,8,FALSE))</f>
        <v/>
      </c>
      <c r="J145" s="295" t="str">
        <f>IF(I145="","",VLOOKUP($B145,'F-1 Off-Site WaterC'' Baseline'!$C$9:$R$257,9,FALSE))</f>
        <v/>
      </c>
      <c r="K145" s="295" t="str">
        <f>IF(J145="","",VLOOKUP($B145,'F-1 Off-Site WaterC'' Baseline'!$C$9:$R$257,10,FALSE))</f>
        <v/>
      </c>
      <c r="L145" s="283" t="str">
        <f>IF(B145="","",VLOOKUP($B145,'F-1 Off-Site WaterC'' Baseline'!$C$9:$R$257,15,FALSE))</f>
        <v/>
      </c>
      <c r="M145" s="299" t="str">
        <f>IF(L145="","",VLOOKUP($B145,'F-1 Off-Site WaterC'' Baseline'!$C$9:$V$257,19,FALSE))</f>
        <v/>
      </c>
      <c r="N145" s="244"/>
      <c r="O145" s="275" t="str">
        <f t="shared" si="25"/>
        <v/>
      </c>
      <c r="P145" s="276" t="str">
        <f t="shared" si="26"/>
        <v/>
      </c>
      <c r="Q145" s="281" t="str">
        <f>IF(N145="","",VLOOKUP(B145,'F-1 Off-Site WaterC'' Baseline'!$C$10:$AF$257,23,FALSE))</f>
        <v/>
      </c>
      <c r="R145" s="275" t="str">
        <f>IF(N145="","",VLOOKUP(N145,'G-7 WaterC'' Data'!$B$2:$G$8,2,FALSE))</f>
        <v/>
      </c>
      <c r="S145" s="276" t="str">
        <f>IFERROR(VLOOKUP(R145,'G-7 WaterC'' Data'!$C$4:$D$8,2,FALSE),"")</f>
        <v/>
      </c>
      <c r="T145" s="101"/>
      <c r="U145" s="276" t="str">
        <f>IFERROR(INDEX('G-7 WaterC'' Data'!$H$4:$L$8,MATCH(N145,'G-7 WaterC'' Data'!$B$4:$B$8,0),MATCH(T145,'G-7 WaterC'' Data'!$H$3:$L$3,0)),"")</f>
        <v/>
      </c>
      <c r="V145" s="105"/>
      <c r="W145" s="295" t="str">
        <f>IF(V145="","",IF(VLOOKUP(V145,'G-7 WaterC'' Data'!$AK$4:$AM$6,2,FALSE)=0,"Spatial Data Missing ⚠",VLOOKUP(V145,'G-7 WaterC'' Data'!$AK$4:$AM$6,2,FALSE)))</f>
        <v/>
      </c>
      <c r="X145" s="299" t="str">
        <f>IF(V145="","",IF(VLOOKUP(V145,'G-7 WaterC'' Data'!$AK$4:$AM$6,3,FALSE)=0,"Spatial Data Missing ⚠",VLOOKUP(V145,'G-7 WaterC'' Data'!$AK$4:$AM$6,3,FALSE)))</f>
        <v/>
      </c>
      <c r="Y145" s="311" t="str">
        <f>IFERROR(IF(OR(LEFT(P145,5)="Error",LEFT(O145,5)="Error"),"Check Data ⚠",IF(F145&lt;S145,'G-7 WaterC'' Data'!$R$3,INDEX('G-7 WaterC'' Data'!$U$5:$Y$9,MATCH(G145,'G-7 WaterC'' Data'!$T$5:$T$9,0),MATCH(T145,'G-7 WaterC'' Data'!$U$4:$Y$4,0)))),"")</f>
        <v/>
      </c>
      <c r="Z145" s="138"/>
      <c r="AA145" s="138"/>
      <c r="AB145" s="308" t="str">
        <f t="shared" si="22"/>
        <v/>
      </c>
      <c r="AC145" s="296" t="str">
        <f t="shared" si="27"/>
        <v/>
      </c>
      <c r="AD145" s="334" t="str">
        <f>IFERROR(IF(AC145="Check Data ⚠","Check Data ⚠",VLOOKUP(AC145,'G-4 Temporal multipliers'!$A$4:$C$37,3,FALSE)),"")</f>
        <v/>
      </c>
      <c r="AE145" s="311" t="str">
        <f>IF(N145="","",VLOOKUP(N145,'G-7 WaterC'' Data'!$B$4:$G$8,5,FALSE))</f>
        <v/>
      </c>
      <c r="AF145" s="295" t="str">
        <f t="shared" si="23"/>
        <v/>
      </c>
      <c r="AG145" s="295" t="str">
        <f t="shared" si="28"/>
        <v/>
      </c>
      <c r="AH145" s="276" t="str">
        <f t="shared" si="24"/>
        <v/>
      </c>
      <c r="AI145" s="105"/>
      <c r="AJ145" s="276" t="str">
        <f>IF(AI145="","",(IF(AND(AI145="N/A - Culvert",N145&lt;&gt;"Culvert"),"Not possible ▲",IF(VLOOKUP(AI145,'G-7 WaterC'' Data'!$AA$4:$AB$7,2,FALSE)=0,"Spatial Data Missing ⚠",VLOOKUP(AI145,'G-7 WaterC'' Data'!$AA$4:$AB$7,2,FALSE)))))</f>
        <v/>
      </c>
      <c r="AK145" s="106"/>
      <c r="AL145" s="310" t="str">
        <f>IF(AK145="","",IF(AND(AK145="N/A - Culvert",N145&lt;&gt;"Culvert"),"Not possible ▲",IF(VLOOKUP(AK145,'G-7 WaterC'' Data'!$AD$4:$AE$14,2,FALSE)=0,"Spatial Data Missing ⚠",VLOOKUP(AK145,'G-7 WaterC'' Data'!$AD$4:$AE$14,2,FALSE))))</f>
        <v/>
      </c>
      <c r="AM145" s="275" t="str">
        <f>IF(B145="","",VLOOKUP($B145,'F-1 Off-Site WaterC'' Baseline'!$C$9:$Z$257,17,FALSE))</f>
        <v/>
      </c>
      <c r="AN145" s="276" t="str">
        <f>IF(AM145="","",IF(VLOOKUP(AM145,'G-7 WaterC'' Data'!$AO$4:$BO$7,2,FALSE)=0,"Spatial Data Missing ⚠",VLOOKUP(AM145,'G-7 WaterC'' Data'!$AO$4:$BO$7,2,FALSE)))</f>
        <v/>
      </c>
      <c r="AO145" s="317" t="str">
        <f t="shared" si="29"/>
        <v/>
      </c>
      <c r="AP145" s="317" t="str">
        <f t="shared" si="30"/>
        <v/>
      </c>
      <c r="AQ145" s="101"/>
      <c r="AR145" s="115"/>
      <c r="AS145" s="104"/>
      <c r="AT145" s="104"/>
      <c r="AW145" s="30" t="str">
        <f>IF(E145="","",VLOOKUP($B145,'F-1 Off-Site WaterC'' Baseline'!$C$9:$Z$257,12,FALSE))</f>
        <v/>
      </c>
      <c r="AX145" s="30" t="str">
        <f>IF(E145="","",VLOOKUP($B145,'F-1 Off-Site WaterC'' Baseline'!$C$9:$Z$257,14,FALSE))</f>
        <v/>
      </c>
      <c r="AY145" s="30" t="str">
        <f>IFERROR(INDEX('G-7 WaterC'' Data'!$AZ$3:$AZ$7,MATCH(N145,'G-7 WaterC'' Data'!$AY$3:$AY$7,0)),"")</f>
        <v/>
      </c>
      <c r="AZ145" s="30" t="str">
        <f>IF(B145="","",IF(ISNA(VLOOKUP($B145,'F-1 Off-Site WaterC'' Baseline'!$C$8:$AD$257,20,FALSE)),"",(VLOOKUP($B145,'F-1 Off-Site WaterC'' Baseline'!$C$8:$AD$257,20,FALSE))))</f>
        <v/>
      </c>
      <c r="BC145" s="30" t="str">
        <f>IF(B145="","",VLOOKUP($B145,'F-1 Off-Site WaterC'' Baseline'!$C$9:$AB$257,25,FALSE))</f>
        <v/>
      </c>
      <c r="BD145" s="30" t="str">
        <f t="shared" si="31"/>
        <v/>
      </c>
      <c r="BE145" s="30" t="str">
        <f>IF(B145="","",VLOOKUP($B145,'F-1 Off-Site WaterC'' Baseline'!$C$9:$AB$257,24,FALSE))</f>
        <v/>
      </c>
      <c r="BF145" s="30" t="str">
        <f>IF(B145="","",VLOOKUP($B145,'F-1 Off-Site WaterC'' Baseline'!$C$9:$AB$257,22,FALSE))</f>
        <v/>
      </c>
      <c r="BJ145" s="30" t="str">
        <f t="shared" si="32"/>
        <v>No</v>
      </c>
    </row>
    <row r="146" spans="2:62" ht="14">
      <c r="B146" s="305" t="str">
        <f>'F-1 Off-Site WaterC'' Baseline'!AS144</f>
        <v/>
      </c>
      <c r="C146" s="295" t="str">
        <f>IF(B146="","",VLOOKUP($B146,'F-1 Off-Site WaterC'' Baseline'!$C$9:$R$257,2,FALSE))</f>
        <v/>
      </c>
      <c r="D146" s="295" t="str">
        <f>IF(C146="","",VLOOKUP($B146,'F-1 Off-Site WaterC'' Baseline'!$C$9:$R$257,3,FALSE))</f>
        <v/>
      </c>
      <c r="E146" s="295" t="str">
        <f>IF(D146="","",VLOOKUP($B146,'F-1 Off-Site WaterC'' Baseline'!$C$9:$R$257,4,FALSE))</f>
        <v/>
      </c>
      <c r="F146" s="295" t="str">
        <f>IF(E146="","",VLOOKUP($B146,'F-1 Off-Site WaterC'' Baseline'!$C$9:$R$257,5,FALSE))</f>
        <v/>
      </c>
      <c r="G146" s="295" t="str">
        <f>IF(F146="","",VLOOKUP($B146,'F-1 Off-Site WaterC'' Baseline'!$C$9:$R$257,6,FALSE))</f>
        <v/>
      </c>
      <c r="H146" s="295" t="str">
        <f>IF(G146="","",VLOOKUP($B146,'F-1 Off-Site WaterC'' Baseline'!$C$9:$R$257,7,FALSE))</f>
        <v/>
      </c>
      <c r="I146" s="295" t="str">
        <f>IF(H146="","",VLOOKUP($B146,'F-1 Off-Site WaterC'' Baseline'!$C$9:$R$257,8,FALSE))</f>
        <v/>
      </c>
      <c r="J146" s="295" t="str">
        <f>IF(I146="","",VLOOKUP($B146,'F-1 Off-Site WaterC'' Baseline'!$C$9:$R$257,9,FALSE))</f>
        <v/>
      </c>
      <c r="K146" s="295" t="str">
        <f>IF(J146="","",VLOOKUP($B146,'F-1 Off-Site WaterC'' Baseline'!$C$9:$R$257,10,FALSE))</f>
        <v/>
      </c>
      <c r="L146" s="283" t="str">
        <f>IF(B146="","",VLOOKUP($B146,'F-1 Off-Site WaterC'' Baseline'!$C$9:$R$257,15,FALSE))</f>
        <v/>
      </c>
      <c r="M146" s="299" t="str">
        <f>IF(L146="","",VLOOKUP($B146,'F-1 Off-Site WaterC'' Baseline'!$C$9:$V$257,19,FALSE))</f>
        <v/>
      </c>
      <c r="N146" s="244"/>
      <c r="O146" s="275" t="str">
        <f t="shared" si="25"/>
        <v/>
      </c>
      <c r="P146" s="276" t="str">
        <f t="shared" si="26"/>
        <v/>
      </c>
      <c r="Q146" s="281" t="str">
        <f>IF(N146="","",VLOOKUP(B146,'F-1 Off-Site WaterC'' Baseline'!$C$10:$AF$257,23,FALSE))</f>
        <v/>
      </c>
      <c r="R146" s="275" t="str">
        <f>IF(N146="","",VLOOKUP(N146,'G-7 WaterC'' Data'!$B$2:$G$8,2,FALSE))</f>
        <v/>
      </c>
      <c r="S146" s="276" t="str">
        <f>IFERROR(VLOOKUP(R146,'G-7 WaterC'' Data'!$C$4:$D$8,2,FALSE),"")</f>
        <v/>
      </c>
      <c r="T146" s="101"/>
      <c r="U146" s="276" t="str">
        <f>IFERROR(INDEX('G-7 WaterC'' Data'!$H$4:$L$8,MATCH(N146,'G-7 WaterC'' Data'!$B$4:$B$8,0),MATCH(T146,'G-7 WaterC'' Data'!$H$3:$L$3,0)),"")</f>
        <v/>
      </c>
      <c r="V146" s="105"/>
      <c r="W146" s="295" t="str">
        <f>IF(V146="","",IF(VLOOKUP(V146,'G-7 WaterC'' Data'!$AK$4:$AM$6,2,FALSE)=0,"Spatial Data Missing ⚠",VLOOKUP(V146,'G-7 WaterC'' Data'!$AK$4:$AM$6,2,FALSE)))</f>
        <v/>
      </c>
      <c r="X146" s="299" t="str">
        <f>IF(V146="","",IF(VLOOKUP(V146,'G-7 WaterC'' Data'!$AK$4:$AM$6,3,FALSE)=0,"Spatial Data Missing ⚠",VLOOKUP(V146,'G-7 WaterC'' Data'!$AK$4:$AM$6,3,FALSE)))</f>
        <v/>
      </c>
      <c r="Y146" s="311" t="str">
        <f>IFERROR(IF(OR(LEFT(P146,5)="Error",LEFT(O146,5)="Error"),"Check Data ⚠",IF(F146&lt;S146,'G-7 WaterC'' Data'!$R$3,INDEX('G-7 WaterC'' Data'!$U$5:$Y$9,MATCH(G146,'G-7 WaterC'' Data'!$T$5:$T$9,0),MATCH(T146,'G-7 WaterC'' Data'!$U$4:$Y$4,0)))),"")</f>
        <v/>
      </c>
      <c r="Z146" s="138"/>
      <c r="AA146" s="138"/>
      <c r="AB146" s="308" t="str">
        <f t="shared" si="22"/>
        <v/>
      </c>
      <c r="AC146" s="296" t="str">
        <f t="shared" si="27"/>
        <v/>
      </c>
      <c r="AD146" s="334" t="str">
        <f>IFERROR(IF(AC146="Check Data ⚠","Check Data ⚠",VLOOKUP(AC146,'G-4 Temporal multipliers'!$A$4:$C$37,3,FALSE)),"")</f>
        <v/>
      </c>
      <c r="AE146" s="311" t="str">
        <f>IF(N146="","",VLOOKUP(N146,'G-7 WaterC'' Data'!$B$4:$G$8,5,FALSE))</f>
        <v/>
      </c>
      <c r="AF146" s="295" t="str">
        <f t="shared" si="23"/>
        <v/>
      </c>
      <c r="AG146" s="295" t="str">
        <f t="shared" si="28"/>
        <v/>
      </c>
      <c r="AH146" s="276" t="str">
        <f t="shared" si="24"/>
        <v/>
      </c>
      <c r="AI146" s="105"/>
      <c r="AJ146" s="276" t="str">
        <f>IF(AI146="","",(IF(AND(AI146="N/A - Culvert",N146&lt;&gt;"Culvert"),"Not possible ▲",IF(VLOOKUP(AI146,'G-7 WaterC'' Data'!$AA$4:$AB$7,2,FALSE)=0,"Spatial Data Missing ⚠",VLOOKUP(AI146,'G-7 WaterC'' Data'!$AA$4:$AB$7,2,FALSE)))))</f>
        <v/>
      </c>
      <c r="AK146" s="106"/>
      <c r="AL146" s="310" t="str">
        <f>IF(AK146="","",IF(AND(AK146="N/A - Culvert",N146&lt;&gt;"Culvert"),"Not possible ▲",IF(VLOOKUP(AK146,'G-7 WaterC'' Data'!$AD$4:$AE$14,2,FALSE)=0,"Spatial Data Missing ⚠",VLOOKUP(AK146,'G-7 WaterC'' Data'!$AD$4:$AE$14,2,FALSE))))</f>
        <v/>
      </c>
      <c r="AM146" s="275" t="str">
        <f>IF(B146="","",VLOOKUP($B146,'F-1 Off-Site WaterC'' Baseline'!$C$9:$Z$257,17,FALSE))</f>
        <v/>
      </c>
      <c r="AN146" s="276" t="str">
        <f>IF(AM146="","",IF(VLOOKUP(AM146,'G-7 WaterC'' Data'!$AO$4:$BO$7,2,FALSE)=0,"Spatial Data Missing ⚠",VLOOKUP(AM146,'G-7 WaterC'' Data'!$AO$4:$BO$7,2,FALSE)))</f>
        <v/>
      </c>
      <c r="AO146" s="317" t="str">
        <f t="shared" si="29"/>
        <v/>
      </c>
      <c r="AP146" s="317" t="str">
        <f t="shared" si="30"/>
        <v/>
      </c>
      <c r="AQ146" s="101"/>
      <c r="AR146" s="115"/>
      <c r="AS146" s="104"/>
      <c r="AT146" s="104"/>
      <c r="AW146" s="30" t="str">
        <f>IF(E146="","",VLOOKUP($B146,'F-1 Off-Site WaterC'' Baseline'!$C$9:$Z$257,12,FALSE))</f>
        <v/>
      </c>
      <c r="AX146" s="30" t="str">
        <f>IF(E146="","",VLOOKUP($B146,'F-1 Off-Site WaterC'' Baseline'!$C$9:$Z$257,14,FALSE))</f>
        <v/>
      </c>
      <c r="AY146" s="30" t="str">
        <f>IFERROR(INDEX('G-7 WaterC'' Data'!$AZ$3:$AZ$7,MATCH(N146,'G-7 WaterC'' Data'!$AY$3:$AY$7,0)),"")</f>
        <v/>
      </c>
      <c r="AZ146" s="30" t="str">
        <f>IF(B146="","",IF(ISNA(VLOOKUP($B146,'F-1 Off-Site WaterC'' Baseline'!$C$8:$AD$257,20,FALSE)),"",(VLOOKUP($B146,'F-1 Off-Site WaterC'' Baseline'!$C$8:$AD$257,20,FALSE))))</f>
        <v/>
      </c>
      <c r="BC146" s="30" t="str">
        <f>IF(B146="","",VLOOKUP($B146,'F-1 Off-Site WaterC'' Baseline'!$C$9:$AB$257,25,FALSE))</f>
        <v/>
      </c>
      <c r="BD146" s="30" t="str">
        <f t="shared" si="31"/>
        <v/>
      </c>
      <c r="BE146" s="30" t="str">
        <f>IF(B146="","",VLOOKUP($B146,'F-1 Off-Site WaterC'' Baseline'!$C$9:$AB$257,24,FALSE))</f>
        <v/>
      </c>
      <c r="BF146" s="30" t="str">
        <f>IF(B146="","",VLOOKUP($B146,'F-1 Off-Site WaterC'' Baseline'!$C$9:$AB$257,22,FALSE))</f>
        <v/>
      </c>
      <c r="BJ146" s="30" t="str">
        <f t="shared" si="32"/>
        <v>No</v>
      </c>
    </row>
    <row r="147" spans="2:62" ht="14">
      <c r="B147" s="305" t="str">
        <f>'F-1 Off-Site WaterC'' Baseline'!AS145</f>
        <v/>
      </c>
      <c r="C147" s="295" t="str">
        <f>IF(B147="","",VLOOKUP($B147,'F-1 Off-Site WaterC'' Baseline'!$C$9:$R$257,2,FALSE))</f>
        <v/>
      </c>
      <c r="D147" s="295" t="str">
        <f>IF(C147="","",VLOOKUP($B147,'F-1 Off-Site WaterC'' Baseline'!$C$9:$R$257,3,FALSE))</f>
        <v/>
      </c>
      <c r="E147" s="295" t="str">
        <f>IF(D147="","",VLOOKUP($B147,'F-1 Off-Site WaterC'' Baseline'!$C$9:$R$257,4,FALSE))</f>
        <v/>
      </c>
      <c r="F147" s="295" t="str">
        <f>IF(E147="","",VLOOKUP($B147,'F-1 Off-Site WaterC'' Baseline'!$C$9:$R$257,5,FALSE))</f>
        <v/>
      </c>
      <c r="G147" s="295" t="str">
        <f>IF(F147="","",VLOOKUP($B147,'F-1 Off-Site WaterC'' Baseline'!$C$9:$R$257,6,FALSE))</f>
        <v/>
      </c>
      <c r="H147" s="295" t="str">
        <f>IF(G147="","",VLOOKUP($B147,'F-1 Off-Site WaterC'' Baseline'!$C$9:$R$257,7,FALSE))</f>
        <v/>
      </c>
      <c r="I147" s="295" t="str">
        <f>IF(H147="","",VLOOKUP($B147,'F-1 Off-Site WaterC'' Baseline'!$C$9:$R$257,8,FALSE))</f>
        <v/>
      </c>
      <c r="J147" s="295" t="str">
        <f>IF(I147="","",VLOOKUP($B147,'F-1 Off-Site WaterC'' Baseline'!$C$9:$R$257,9,FALSE))</f>
        <v/>
      </c>
      <c r="K147" s="295" t="str">
        <f>IF(J147="","",VLOOKUP($B147,'F-1 Off-Site WaterC'' Baseline'!$C$9:$R$257,10,FALSE))</f>
        <v/>
      </c>
      <c r="L147" s="283" t="str">
        <f>IF(B147="","",VLOOKUP($B147,'F-1 Off-Site WaterC'' Baseline'!$C$9:$R$257,15,FALSE))</f>
        <v/>
      </c>
      <c r="M147" s="299" t="str">
        <f>IF(L147="","",VLOOKUP($B147,'F-1 Off-Site WaterC'' Baseline'!$C$9:$V$257,19,FALSE))</f>
        <v/>
      </c>
      <c r="N147" s="244"/>
      <c r="O147" s="275" t="str">
        <f t="shared" si="25"/>
        <v/>
      </c>
      <c r="P147" s="276" t="str">
        <f t="shared" si="26"/>
        <v/>
      </c>
      <c r="Q147" s="281" t="str">
        <f>IF(N147="","",VLOOKUP(B147,'F-1 Off-Site WaterC'' Baseline'!$C$10:$AF$257,23,FALSE))</f>
        <v/>
      </c>
      <c r="R147" s="275" t="str">
        <f>IF(N147="","",VLOOKUP(N147,'G-7 WaterC'' Data'!$B$2:$G$8,2,FALSE))</f>
        <v/>
      </c>
      <c r="S147" s="276" t="str">
        <f>IFERROR(VLOOKUP(R147,'G-7 WaterC'' Data'!$C$4:$D$8,2,FALSE),"")</f>
        <v/>
      </c>
      <c r="T147" s="101"/>
      <c r="U147" s="276" t="str">
        <f>IFERROR(INDEX('G-7 WaterC'' Data'!$H$4:$L$8,MATCH(N147,'G-7 WaterC'' Data'!$B$4:$B$8,0),MATCH(T147,'G-7 WaterC'' Data'!$H$3:$L$3,0)),"")</f>
        <v/>
      </c>
      <c r="V147" s="105"/>
      <c r="W147" s="295" t="str">
        <f>IF(V147="","",IF(VLOOKUP(V147,'G-7 WaterC'' Data'!$AK$4:$AM$6,2,FALSE)=0,"Spatial Data Missing ⚠",VLOOKUP(V147,'G-7 WaterC'' Data'!$AK$4:$AM$6,2,FALSE)))</f>
        <v/>
      </c>
      <c r="X147" s="299" t="str">
        <f>IF(V147="","",IF(VLOOKUP(V147,'G-7 WaterC'' Data'!$AK$4:$AM$6,3,FALSE)=0,"Spatial Data Missing ⚠",VLOOKUP(V147,'G-7 WaterC'' Data'!$AK$4:$AM$6,3,FALSE)))</f>
        <v/>
      </c>
      <c r="Y147" s="311" t="str">
        <f>IFERROR(IF(OR(LEFT(P147,5)="Error",LEFT(O147,5)="Error"),"Check Data ⚠",IF(F147&lt;S147,'G-7 WaterC'' Data'!$R$3,INDEX('G-7 WaterC'' Data'!$U$5:$Y$9,MATCH(G147,'G-7 WaterC'' Data'!$T$5:$T$9,0),MATCH(T147,'G-7 WaterC'' Data'!$U$4:$Y$4,0)))),"")</f>
        <v/>
      </c>
      <c r="Z147" s="138"/>
      <c r="AA147" s="138"/>
      <c r="AB147" s="308" t="str">
        <f t="shared" si="22"/>
        <v/>
      </c>
      <c r="AC147" s="296" t="str">
        <f t="shared" si="27"/>
        <v/>
      </c>
      <c r="AD147" s="334" t="str">
        <f>IFERROR(IF(AC147="Check Data ⚠","Check Data ⚠",VLOOKUP(AC147,'G-4 Temporal multipliers'!$A$4:$C$37,3,FALSE)),"")</f>
        <v/>
      </c>
      <c r="AE147" s="311" t="str">
        <f>IF(N147="","",VLOOKUP(N147,'G-7 WaterC'' Data'!$B$4:$G$8,5,FALSE))</f>
        <v/>
      </c>
      <c r="AF147" s="295" t="str">
        <f t="shared" si="23"/>
        <v/>
      </c>
      <c r="AG147" s="295" t="str">
        <f t="shared" si="28"/>
        <v/>
      </c>
      <c r="AH147" s="276" t="str">
        <f t="shared" si="24"/>
        <v/>
      </c>
      <c r="AI147" s="105"/>
      <c r="AJ147" s="276" t="str">
        <f>IF(AI147="","",(IF(AND(AI147="N/A - Culvert",N147&lt;&gt;"Culvert"),"Not possible ▲",IF(VLOOKUP(AI147,'G-7 WaterC'' Data'!$AA$4:$AB$7,2,FALSE)=0,"Spatial Data Missing ⚠",VLOOKUP(AI147,'G-7 WaterC'' Data'!$AA$4:$AB$7,2,FALSE)))))</f>
        <v/>
      </c>
      <c r="AK147" s="106"/>
      <c r="AL147" s="310" t="str">
        <f>IF(AK147="","",IF(AND(AK147="N/A - Culvert",N147&lt;&gt;"Culvert"),"Not possible ▲",IF(VLOOKUP(AK147,'G-7 WaterC'' Data'!$AD$4:$AE$14,2,FALSE)=0,"Spatial Data Missing ⚠",VLOOKUP(AK147,'G-7 WaterC'' Data'!$AD$4:$AE$14,2,FALSE))))</f>
        <v/>
      </c>
      <c r="AM147" s="275" t="str">
        <f>IF(B147="","",VLOOKUP($B147,'F-1 Off-Site WaterC'' Baseline'!$C$9:$Z$257,17,FALSE))</f>
        <v/>
      </c>
      <c r="AN147" s="276" t="str">
        <f>IF(AM147="","",IF(VLOOKUP(AM147,'G-7 WaterC'' Data'!$AO$4:$BO$7,2,FALSE)=0,"Spatial Data Missing ⚠",VLOOKUP(AM147,'G-7 WaterC'' Data'!$AO$4:$BO$7,2,FALSE)))</f>
        <v/>
      </c>
      <c r="AO147" s="317" t="str">
        <f t="shared" si="29"/>
        <v/>
      </c>
      <c r="AP147" s="317" t="str">
        <f t="shared" si="30"/>
        <v/>
      </c>
      <c r="AQ147" s="101"/>
      <c r="AR147" s="115"/>
      <c r="AS147" s="104"/>
      <c r="AT147" s="104"/>
      <c r="AW147" s="30" t="str">
        <f>IF(E147="","",VLOOKUP($B147,'F-1 Off-Site WaterC'' Baseline'!$C$9:$Z$257,12,FALSE))</f>
        <v/>
      </c>
      <c r="AX147" s="30" t="str">
        <f>IF(E147="","",VLOOKUP($B147,'F-1 Off-Site WaterC'' Baseline'!$C$9:$Z$257,14,FALSE))</f>
        <v/>
      </c>
      <c r="AY147" s="30" t="str">
        <f>IFERROR(INDEX('G-7 WaterC'' Data'!$AZ$3:$AZ$7,MATCH(N147,'G-7 WaterC'' Data'!$AY$3:$AY$7,0)),"")</f>
        <v/>
      </c>
      <c r="AZ147" s="30" t="str">
        <f>IF(B147="","",IF(ISNA(VLOOKUP($B147,'F-1 Off-Site WaterC'' Baseline'!$C$8:$AD$257,20,FALSE)),"",(VLOOKUP($B147,'F-1 Off-Site WaterC'' Baseline'!$C$8:$AD$257,20,FALSE))))</f>
        <v/>
      </c>
      <c r="BC147" s="30" t="str">
        <f>IF(B147="","",VLOOKUP($B147,'F-1 Off-Site WaterC'' Baseline'!$C$9:$AB$257,25,FALSE))</f>
        <v/>
      </c>
      <c r="BD147" s="30" t="str">
        <f t="shared" si="31"/>
        <v/>
      </c>
      <c r="BE147" s="30" t="str">
        <f>IF(B147="","",VLOOKUP($B147,'F-1 Off-Site WaterC'' Baseline'!$C$9:$AB$257,24,FALSE))</f>
        <v/>
      </c>
      <c r="BF147" s="30" t="str">
        <f>IF(B147="","",VLOOKUP($B147,'F-1 Off-Site WaterC'' Baseline'!$C$9:$AB$257,22,FALSE))</f>
        <v/>
      </c>
      <c r="BJ147" s="30" t="str">
        <f t="shared" si="32"/>
        <v>No</v>
      </c>
    </row>
    <row r="148" spans="2:62" ht="14">
      <c r="B148" s="305" t="str">
        <f>'F-1 Off-Site WaterC'' Baseline'!AS146</f>
        <v/>
      </c>
      <c r="C148" s="295" t="str">
        <f>IF(B148="","",VLOOKUP($B148,'F-1 Off-Site WaterC'' Baseline'!$C$9:$R$257,2,FALSE))</f>
        <v/>
      </c>
      <c r="D148" s="295" t="str">
        <f>IF(C148="","",VLOOKUP($B148,'F-1 Off-Site WaterC'' Baseline'!$C$9:$R$257,3,FALSE))</f>
        <v/>
      </c>
      <c r="E148" s="295" t="str">
        <f>IF(D148="","",VLOOKUP($B148,'F-1 Off-Site WaterC'' Baseline'!$C$9:$R$257,4,FALSE))</f>
        <v/>
      </c>
      <c r="F148" s="295" t="str">
        <f>IF(E148="","",VLOOKUP($B148,'F-1 Off-Site WaterC'' Baseline'!$C$9:$R$257,5,FALSE))</f>
        <v/>
      </c>
      <c r="G148" s="295" t="str">
        <f>IF(F148="","",VLOOKUP($B148,'F-1 Off-Site WaterC'' Baseline'!$C$9:$R$257,6,FALSE))</f>
        <v/>
      </c>
      <c r="H148" s="295" t="str">
        <f>IF(G148="","",VLOOKUP($B148,'F-1 Off-Site WaterC'' Baseline'!$C$9:$R$257,7,FALSE))</f>
        <v/>
      </c>
      <c r="I148" s="295" t="str">
        <f>IF(H148="","",VLOOKUP($B148,'F-1 Off-Site WaterC'' Baseline'!$C$9:$R$257,8,FALSE))</f>
        <v/>
      </c>
      <c r="J148" s="295" t="str">
        <f>IF(I148="","",VLOOKUP($B148,'F-1 Off-Site WaterC'' Baseline'!$C$9:$R$257,9,FALSE))</f>
        <v/>
      </c>
      <c r="K148" s="295" t="str">
        <f>IF(J148="","",VLOOKUP($B148,'F-1 Off-Site WaterC'' Baseline'!$C$9:$R$257,10,FALSE))</f>
        <v/>
      </c>
      <c r="L148" s="283" t="str">
        <f>IF(B148="","",VLOOKUP($B148,'F-1 Off-Site WaterC'' Baseline'!$C$9:$R$257,15,FALSE))</f>
        <v/>
      </c>
      <c r="M148" s="299" t="str">
        <f>IF(L148="","",VLOOKUP($B148,'F-1 Off-Site WaterC'' Baseline'!$C$9:$V$257,19,FALSE))</f>
        <v/>
      </c>
      <c r="N148" s="244"/>
      <c r="O148" s="275" t="str">
        <f t="shared" si="25"/>
        <v/>
      </c>
      <c r="P148" s="276" t="str">
        <f t="shared" si="26"/>
        <v/>
      </c>
      <c r="Q148" s="281" t="str">
        <f>IF(N148="","",VLOOKUP(B148,'F-1 Off-Site WaterC'' Baseline'!$C$10:$AF$257,23,FALSE))</f>
        <v/>
      </c>
      <c r="R148" s="275" t="str">
        <f>IF(N148="","",VLOOKUP(N148,'G-7 WaterC'' Data'!$B$2:$G$8,2,FALSE))</f>
        <v/>
      </c>
      <c r="S148" s="276" t="str">
        <f>IFERROR(VLOOKUP(R148,'G-7 WaterC'' Data'!$C$4:$D$8,2,FALSE),"")</f>
        <v/>
      </c>
      <c r="T148" s="101"/>
      <c r="U148" s="276" t="str">
        <f>IFERROR(INDEX('G-7 WaterC'' Data'!$H$4:$L$8,MATCH(N148,'G-7 WaterC'' Data'!$B$4:$B$8,0),MATCH(T148,'G-7 WaterC'' Data'!$H$3:$L$3,0)),"")</f>
        <v/>
      </c>
      <c r="V148" s="105"/>
      <c r="W148" s="295" t="str">
        <f>IF(V148="","",IF(VLOOKUP(V148,'G-7 WaterC'' Data'!$AK$4:$AM$6,2,FALSE)=0,"Spatial Data Missing ⚠",VLOOKUP(V148,'G-7 WaterC'' Data'!$AK$4:$AM$6,2,FALSE)))</f>
        <v/>
      </c>
      <c r="X148" s="299" t="str">
        <f>IF(V148="","",IF(VLOOKUP(V148,'G-7 WaterC'' Data'!$AK$4:$AM$6,3,FALSE)=0,"Spatial Data Missing ⚠",VLOOKUP(V148,'G-7 WaterC'' Data'!$AK$4:$AM$6,3,FALSE)))</f>
        <v/>
      </c>
      <c r="Y148" s="311" t="str">
        <f>IFERROR(IF(OR(LEFT(P148,5)="Error",LEFT(O148,5)="Error"),"Check Data ⚠",IF(F148&lt;S148,'G-7 WaterC'' Data'!$R$3,INDEX('G-7 WaterC'' Data'!$U$5:$Y$9,MATCH(G148,'G-7 WaterC'' Data'!$T$5:$T$9,0),MATCH(T148,'G-7 WaterC'' Data'!$U$4:$Y$4,0)))),"")</f>
        <v/>
      </c>
      <c r="Z148" s="138"/>
      <c r="AA148" s="138"/>
      <c r="AB148" s="308" t="str">
        <f t="shared" si="22"/>
        <v/>
      </c>
      <c r="AC148" s="296" t="str">
        <f t="shared" si="27"/>
        <v/>
      </c>
      <c r="AD148" s="334" t="str">
        <f>IFERROR(IF(AC148="Check Data ⚠","Check Data ⚠",VLOOKUP(AC148,'G-4 Temporal multipliers'!$A$4:$C$37,3,FALSE)),"")</f>
        <v/>
      </c>
      <c r="AE148" s="311" t="str">
        <f>IF(N148="","",VLOOKUP(N148,'G-7 WaterC'' Data'!$B$4:$G$8,5,FALSE))</f>
        <v/>
      </c>
      <c r="AF148" s="295" t="str">
        <f t="shared" si="23"/>
        <v/>
      </c>
      <c r="AG148" s="295" t="str">
        <f t="shared" si="28"/>
        <v/>
      </c>
      <c r="AH148" s="276" t="str">
        <f t="shared" si="24"/>
        <v/>
      </c>
      <c r="AI148" s="105"/>
      <c r="AJ148" s="276" t="str">
        <f>IF(AI148="","",(IF(AND(AI148="N/A - Culvert",N148&lt;&gt;"Culvert"),"Not possible ▲",IF(VLOOKUP(AI148,'G-7 WaterC'' Data'!$AA$4:$AB$7,2,FALSE)=0,"Spatial Data Missing ⚠",VLOOKUP(AI148,'G-7 WaterC'' Data'!$AA$4:$AB$7,2,FALSE)))))</f>
        <v/>
      </c>
      <c r="AK148" s="106"/>
      <c r="AL148" s="310" t="str">
        <f>IF(AK148="","",IF(AND(AK148="N/A - Culvert",N148&lt;&gt;"Culvert"),"Not possible ▲",IF(VLOOKUP(AK148,'G-7 WaterC'' Data'!$AD$4:$AE$14,2,FALSE)=0,"Spatial Data Missing ⚠",VLOOKUP(AK148,'G-7 WaterC'' Data'!$AD$4:$AE$14,2,FALSE))))</f>
        <v/>
      </c>
      <c r="AM148" s="275" t="str">
        <f>IF(B148="","",VLOOKUP($B148,'F-1 Off-Site WaterC'' Baseline'!$C$9:$Z$257,17,FALSE))</f>
        <v/>
      </c>
      <c r="AN148" s="276" t="str">
        <f>IF(AM148="","",IF(VLOOKUP(AM148,'G-7 WaterC'' Data'!$AO$4:$BO$7,2,FALSE)=0,"Spatial Data Missing ⚠",VLOOKUP(AM148,'G-7 WaterC'' Data'!$AO$4:$BO$7,2,FALSE)))</f>
        <v/>
      </c>
      <c r="AO148" s="317" t="str">
        <f t="shared" si="29"/>
        <v/>
      </c>
      <c r="AP148" s="317" t="str">
        <f t="shared" si="30"/>
        <v/>
      </c>
      <c r="AQ148" s="101"/>
      <c r="AR148" s="115"/>
      <c r="AS148" s="104"/>
      <c r="AT148" s="104"/>
      <c r="AW148" s="30" t="str">
        <f>IF(E148="","",VLOOKUP($B148,'F-1 Off-Site WaterC'' Baseline'!$C$9:$Z$257,12,FALSE))</f>
        <v/>
      </c>
      <c r="AX148" s="30" t="str">
        <f>IF(E148="","",VLOOKUP($B148,'F-1 Off-Site WaterC'' Baseline'!$C$9:$Z$257,14,FALSE))</f>
        <v/>
      </c>
      <c r="AY148" s="30" t="str">
        <f>IFERROR(INDEX('G-7 WaterC'' Data'!$AZ$3:$AZ$7,MATCH(N148,'G-7 WaterC'' Data'!$AY$3:$AY$7,0)),"")</f>
        <v/>
      </c>
      <c r="AZ148" s="30" t="str">
        <f>IF(B148="","",IF(ISNA(VLOOKUP($B148,'F-1 Off-Site WaterC'' Baseline'!$C$8:$AD$257,20,FALSE)),"",(VLOOKUP($B148,'F-1 Off-Site WaterC'' Baseline'!$C$8:$AD$257,20,FALSE))))</f>
        <v/>
      </c>
      <c r="BC148" s="30" t="str">
        <f>IF(B148="","",VLOOKUP($B148,'F-1 Off-Site WaterC'' Baseline'!$C$9:$AB$257,25,FALSE))</f>
        <v/>
      </c>
      <c r="BD148" s="30" t="str">
        <f t="shared" si="31"/>
        <v/>
      </c>
      <c r="BE148" s="30" t="str">
        <f>IF(B148="","",VLOOKUP($B148,'F-1 Off-Site WaterC'' Baseline'!$C$9:$AB$257,24,FALSE))</f>
        <v/>
      </c>
      <c r="BF148" s="30" t="str">
        <f>IF(B148="","",VLOOKUP($B148,'F-1 Off-Site WaterC'' Baseline'!$C$9:$AB$257,22,FALSE))</f>
        <v/>
      </c>
      <c r="BJ148" s="30" t="str">
        <f t="shared" si="32"/>
        <v>No</v>
      </c>
    </row>
    <row r="149" spans="2:62" ht="14">
      <c r="B149" s="305" t="str">
        <f>'F-1 Off-Site WaterC'' Baseline'!AS147</f>
        <v/>
      </c>
      <c r="C149" s="295" t="str">
        <f>IF(B149="","",VLOOKUP($B149,'F-1 Off-Site WaterC'' Baseline'!$C$9:$R$257,2,FALSE))</f>
        <v/>
      </c>
      <c r="D149" s="295" t="str">
        <f>IF(C149="","",VLOOKUP($B149,'F-1 Off-Site WaterC'' Baseline'!$C$9:$R$257,3,FALSE))</f>
        <v/>
      </c>
      <c r="E149" s="295" t="str">
        <f>IF(D149="","",VLOOKUP($B149,'F-1 Off-Site WaterC'' Baseline'!$C$9:$R$257,4,FALSE))</f>
        <v/>
      </c>
      <c r="F149" s="295" t="str">
        <f>IF(E149="","",VLOOKUP($B149,'F-1 Off-Site WaterC'' Baseline'!$C$9:$R$257,5,FALSE))</f>
        <v/>
      </c>
      <c r="G149" s="295" t="str">
        <f>IF(F149="","",VLOOKUP($B149,'F-1 Off-Site WaterC'' Baseline'!$C$9:$R$257,6,FALSE))</f>
        <v/>
      </c>
      <c r="H149" s="295" t="str">
        <f>IF(G149="","",VLOOKUP($B149,'F-1 Off-Site WaterC'' Baseline'!$C$9:$R$257,7,FALSE))</f>
        <v/>
      </c>
      <c r="I149" s="295" t="str">
        <f>IF(H149="","",VLOOKUP($B149,'F-1 Off-Site WaterC'' Baseline'!$C$9:$R$257,8,FALSE))</f>
        <v/>
      </c>
      <c r="J149" s="295" t="str">
        <f>IF(I149="","",VLOOKUP($B149,'F-1 Off-Site WaterC'' Baseline'!$C$9:$R$257,9,FALSE))</f>
        <v/>
      </c>
      <c r="K149" s="295" t="str">
        <f>IF(J149="","",VLOOKUP($B149,'F-1 Off-Site WaterC'' Baseline'!$C$9:$R$257,10,FALSE))</f>
        <v/>
      </c>
      <c r="L149" s="283" t="str">
        <f>IF(B149="","",VLOOKUP($B149,'F-1 Off-Site WaterC'' Baseline'!$C$9:$R$257,15,FALSE))</f>
        <v/>
      </c>
      <c r="M149" s="299" t="str">
        <f>IF(L149="","",VLOOKUP($B149,'F-1 Off-Site WaterC'' Baseline'!$C$9:$V$257,19,FALSE))</f>
        <v/>
      </c>
      <c r="N149" s="244"/>
      <c r="O149" s="275" t="str">
        <f t="shared" si="25"/>
        <v/>
      </c>
      <c r="P149" s="276" t="str">
        <f t="shared" si="26"/>
        <v/>
      </c>
      <c r="Q149" s="281" t="str">
        <f>IF(N149="","",VLOOKUP(B149,'F-1 Off-Site WaterC'' Baseline'!$C$10:$AF$257,23,FALSE))</f>
        <v/>
      </c>
      <c r="R149" s="275" t="str">
        <f>IF(N149="","",VLOOKUP(N149,'G-7 WaterC'' Data'!$B$2:$G$8,2,FALSE))</f>
        <v/>
      </c>
      <c r="S149" s="276" t="str">
        <f>IFERROR(VLOOKUP(R149,'G-7 WaterC'' Data'!$C$4:$D$8,2,FALSE),"")</f>
        <v/>
      </c>
      <c r="T149" s="101"/>
      <c r="U149" s="276" t="str">
        <f>IFERROR(INDEX('G-7 WaterC'' Data'!$H$4:$L$8,MATCH(N149,'G-7 WaterC'' Data'!$B$4:$B$8,0),MATCH(T149,'G-7 WaterC'' Data'!$H$3:$L$3,0)),"")</f>
        <v/>
      </c>
      <c r="V149" s="105"/>
      <c r="W149" s="295" t="str">
        <f>IF(V149="","",IF(VLOOKUP(V149,'G-7 WaterC'' Data'!$AK$4:$AM$6,2,FALSE)=0,"Spatial Data Missing ⚠",VLOOKUP(V149,'G-7 WaterC'' Data'!$AK$4:$AM$6,2,FALSE)))</f>
        <v/>
      </c>
      <c r="X149" s="299" t="str">
        <f>IF(V149="","",IF(VLOOKUP(V149,'G-7 WaterC'' Data'!$AK$4:$AM$6,3,FALSE)=0,"Spatial Data Missing ⚠",VLOOKUP(V149,'G-7 WaterC'' Data'!$AK$4:$AM$6,3,FALSE)))</f>
        <v/>
      </c>
      <c r="Y149" s="311" t="str">
        <f>IFERROR(IF(OR(LEFT(P149,5)="Error",LEFT(O149,5)="Error"),"Check Data ⚠",IF(F149&lt;S149,'G-7 WaterC'' Data'!$R$3,INDEX('G-7 WaterC'' Data'!$U$5:$Y$9,MATCH(G149,'G-7 WaterC'' Data'!$T$5:$T$9,0),MATCH(T149,'G-7 WaterC'' Data'!$U$4:$Y$4,0)))),"")</f>
        <v/>
      </c>
      <c r="Z149" s="138"/>
      <c r="AA149" s="138"/>
      <c r="AB149" s="308" t="str">
        <f t="shared" si="22"/>
        <v/>
      </c>
      <c r="AC149" s="296" t="str">
        <f t="shared" si="27"/>
        <v/>
      </c>
      <c r="AD149" s="334" t="str">
        <f>IFERROR(IF(AC149="Check Data ⚠","Check Data ⚠",VLOOKUP(AC149,'G-4 Temporal multipliers'!$A$4:$C$37,3,FALSE)),"")</f>
        <v/>
      </c>
      <c r="AE149" s="311" t="str">
        <f>IF(N149="","",VLOOKUP(N149,'G-7 WaterC'' Data'!$B$4:$G$8,5,FALSE))</f>
        <v/>
      </c>
      <c r="AF149" s="295" t="str">
        <f t="shared" si="23"/>
        <v/>
      </c>
      <c r="AG149" s="295" t="str">
        <f t="shared" si="28"/>
        <v/>
      </c>
      <c r="AH149" s="276" t="str">
        <f t="shared" si="24"/>
        <v/>
      </c>
      <c r="AI149" s="105"/>
      <c r="AJ149" s="276" t="str">
        <f>IF(AI149="","",(IF(AND(AI149="N/A - Culvert",N149&lt;&gt;"Culvert"),"Not possible ▲",IF(VLOOKUP(AI149,'G-7 WaterC'' Data'!$AA$4:$AB$7,2,FALSE)=0,"Spatial Data Missing ⚠",VLOOKUP(AI149,'G-7 WaterC'' Data'!$AA$4:$AB$7,2,FALSE)))))</f>
        <v/>
      </c>
      <c r="AK149" s="106"/>
      <c r="AL149" s="310" t="str">
        <f>IF(AK149="","",IF(AND(AK149="N/A - Culvert",N149&lt;&gt;"Culvert"),"Not possible ▲",IF(VLOOKUP(AK149,'G-7 WaterC'' Data'!$AD$4:$AE$14,2,FALSE)=0,"Spatial Data Missing ⚠",VLOOKUP(AK149,'G-7 WaterC'' Data'!$AD$4:$AE$14,2,FALSE))))</f>
        <v/>
      </c>
      <c r="AM149" s="275" t="str">
        <f>IF(B149="","",VLOOKUP($B149,'F-1 Off-Site WaterC'' Baseline'!$C$9:$Z$257,17,FALSE))</f>
        <v/>
      </c>
      <c r="AN149" s="276" t="str">
        <f>IF(AM149="","",IF(VLOOKUP(AM149,'G-7 WaterC'' Data'!$AO$4:$BO$7,2,FALSE)=0,"Spatial Data Missing ⚠",VLOOKUP(AM149,'G-7 WaterC'' Data'!$AO$4:$BO$7,2,FALSE)))</f>
        <v/>
      </c>
      <c r="AO149" s="317" t="str">
        <f t="shared" si="29"/>
        <v/>
      </c>
      <c r="AP149" s="317" t="str">
        <f t="shared" si="30"/>
        <v/>
      </c>
      <c r="AQ149" s="101"/>
      <c r="AR149" s="115"/>
      <c r="AS149" s="104"/>
      <c r="AT149" s="104"/>
      <c r="AW149" s="30" t="str">
        <f>IF(E149="","",VLOOKUP($B149,'F-1 Off-Site WaterC'' Baseline'!$C$9:$Z$257,12,FALSE))</f>
        <v/>
      </c>
      <c r="AX149" s="30" t="str">
        <f>IF(E149="","",VLOOKUP($B149,'F-1 Off-Site WaterC'' Baseline'!$C$9:$Z$257,14,FALSE))</f>
        <v/>
      </c>
      <c r="AY149" s="30" t="str">
        <f>IFERROR(INDEX('G-7 WaterC'' Data'!$AZ$3:$AZ$7,MATCH(N149,'G-7 WaterC'' Data'!$AY$3:$AY$7,0)),"")</f>
        <v/>
      </c>
      <c r="AZ149" s="30" t="str">
        <f>IF(B149="","",IF(ISNA(VLOOKUP($B149,'F-1 Off-Site WaterC'' Baseline'!$C$8:$AD$257,20,FALSE)),"",(VLOOKUP($B149,'F-1 Off-Site WaterC'' Baseline'!$C$8:$AD$257,20,FALSE))))</f>
        <v/>
      </c>
      <c r="BC149" s="30" t="str">
        <f>IF(B149="","",VLOOKUP($B149,'F-1 Off-Site WaterC'' Baseline'!$C$9:$AB$257,25,FALSE))</f>
        <v/>
      </c>
      <c r="BD149" s="30" t="str">
        <f t="shared" si="31"/>
        <v/>
      </c>
      <c r="BE149" s="30" t="str">
        <f>IF(B149="","",VLOOKUP($B149,'F-1 Off-Site WaterC'' Baseline'!$C$9:$AB$257,24,FALSE))</f>
        <v/>
      </c>
      <c r="BF149" s="30" t="str">
        <f>IF(B149="","",VLOOKUP($B149,'F-1 Off-Site WaterC'' Baseline'!$C$9:$AB$257,22,FALSE))</f>
        <v/>
      </c>
      <c r="BJ149" s="30" t="str">
        <f t="shared" si="32"/>
        <v>No</v>
      </c>
    </row>
    <row r="150" spans="2:62" ht="14">
      <c r="B150" s="305" t="str">
        <f>'F-1 Off-Site WaterC'' Baseline'!AS148</f>
        <v/>
      </c>
      <c r="C150" s="295" t="str">
        <f>IF(B150="","",VLOOKUP($B150,'F-1 Off-Site WaterC'' Baseline'!$C$9:$R$257,2,FALSE))</f>
        <v/>
      </c>
      <c r="D150" s="295" t="str">
        <f>IF(C150="","",VLOOKUP($B150,'F-1 Off-Site WaterC'' Baseline'!$C$9:$R$257,3,FALSE))</f>
        <v/>
      </c>
      <c r="E150" s="295" t="str">
        <f>IF(D150="","",VLOOKUP($B150,'F-1 Off-Site WaterC'' Baseline'!$C$9:$R$257,4,FALSE))</f>
        <v/>
      </c>
      <c r="F150" s="295" t="str">
        <f>IF(E150="","",VLOOKUP($B150,'F-1 Off-Site WaterC'' Baseline'!$C$9:$R$257,5,FALSE))</f>
        <v/>
      </c>
      <c r="G150" s="295" t="str">
        <f>IF(F150="","",VLOOKUP($B150,'F-1 Off-Site WaterC'' Baseline'!$C$9:$R$257,6,FALSE))</f>
        <v/>
      </c>
      <c r="H150" s="295" t="str">
        <f>IF(G150="","",VLOOKUP($B150,'F-1 Off-Site WaterC'' Baseline'!$C$9:$R$257,7,FALSE))</f>
        <v/>
      </c>
      <c r="I150" s="295" t="str">
        <f>IF(H150="","",VLOOKUP($B150,'F-1 Off-Site WaterC'' Baseline'!$C$9:$R$257,8,FALSE))</f>
        <v/>
      </c>
      <c r="J150" s="295" t="str">
        <f>IF(I150="","",VLOOKUP($B150,'F-1 Off-Site WaterC'' Baseline'!$C$9:$R$257,9,FALSE))</f>
        <v/>
      </c>
      <c r="K150" s="295" t="str">
        <f>IF(J150="","",VLOOKUP($B150,'F-1 Off-Site WaterC'' Baseline'!$C$9:$R$257,10,FALSE))</f>
        <v/>
      </c>
      <c r="L150" s="283" t="str">
        <f>IF(B150="","",VLOOKUP($B150,'F-1 Off-Site WaterC'' Baseline'!$C$9:$R$257,15,FALSE))</f>
        <v/>
      </c>
      <c r="M150" s="299" t="str">
        <f>IF(L150="","",VLOOKUP($B150,'F-1 Off-Site WaterC'' Baseline'!$C$9:$V$257,19,FALSE))</f>
        <v/>
      </c>
      <c r="N150" s="244"/>
      <c r="O150" s="275" t="str">
        <f t="shared" si="25"/>
        <v/>
      </c>
      <c r="P150" s="276" t="str">
        <f t="shared" si="26"/>
        <v/>
      </c>
      <c r="Q150" s="281" t="str">
        <f>IF(N150="","",VLOOKUP(B150,'F-1 Off-Site WaterC'' Baseline'!$C$10:$AF$257,23,FALSE))</f>
        <v/>
      </c>
      <c r="R150" s="275" t="str">
        <f>IF(N150="","",VLOOKUP(N150,'G-7 WaterC'' Data'!$B$2:$G$8,2,FALSE))</f>
        <v/>
      </c>
      <c r="S150" s="276" t="str">
        <f>IFERROR(VLOOKUP(R150,'G-7 WaterC'' Data'!$C$4:$D$8,2,FALSE),"")</f>
        <v/>
      </c>
      <c r="T150" s="101"/>
      <c r="U150" s="276" t="str">
        <f>IFERROR(INDEX('G-7 WaterC'' Data'!$H$4:$L$8,MATCH(N150,'G-7 WaterC'' Data'!$B$4:$B$8,0),MATCH(T150,'G-7 WaterC'' Data'!$H$3:$L$3,0)),"")</f>
        <v/>
      </c>
      <c r="V150" s="105"/>
      <c r="W150" s="295" t="str">
        <f>IF(V150="","",IF(VLOOKUP(V150,'G-7 WaterC'' Data'!$AK$4:$AM$6,2,FALSE)=0,"Spatial Data Missing ⚠",VLOOKUP(V150,'G-7 WaterC'' Data'!$AK$4:$AM$6,2,FALSE)))</f>
        <v/>
      </c>
      <c r="X150" s="299" t="str">
        <f>IF(V150="","",IF(VLOOKUP(V150,'G-7 WaterC'' Data'!$AK$4:$AM$6,3,FALSE)=0,"Spatial Data Missing ⚠",VLOOKUP(V150,'G-7 WaterC'' Data'!$AK$4:$AM$6,3,FALSE)))</f>
        <v/>
      </c>
      <c r="Y150" s="311" t="str">
        <f>IFERROR(IF(OR(LEFT(P150,5)="Error",LEFT(O150,5)="Error"),"Check Data ⚠",IF(F150&lt;S150,'G-7 WaterC'' Data'!$R$3,INDEX('G-7 WaterC'' Data'!$U$5:$Y$9,MATCH(G150,'G-7 WaterC'' Data'!$T$5:$T$9,0),MATCH(T150,'G-7 WaterC'' Data'!$U$4:$Y$4,0)))),"")</f>
        <v/>
      </c>
      <c r="Z150" s="138"/>
      <c r="AA150" s="138"/>
      <c r="AB150" s="308" t="str">
        <f t="shared" si="22"/>
        <v/>
      </c>
      <c r="AC150" s="296" t="str">
        <f t="shared" si="27"/>
        <v/>
      </c>
      <c r="AD150" s="334" t="str">
        <f>IFERROR(IF(AC150="Check Data ⚠","Check Data ⚠",VLOOKUP(AC150,'G-4 Temporal multipliers'!$A$4:$C$37,3,FALSE)),"")</f>
        <v/>
      </c>
      <c r="AE150" s="311" t="str">
        <f>IF(N150="","",VLOOKUP(N150,'G-7 WaterC'' Data'!$B$4:$G$8,5,FALSE))</f>
        <v/>
      </c>
      <c r="AF150" s="295" t="str">
        <f t="shared" si="23"/>
        <v/>
      </c>
      <c r="AG150" s="295" t="str">
        <f t="shared" si="28"/>
        <v/>
      </c>
      <c r="AH150" s="276" t="str">
        <f t="shared" si="24"/>
        <v/>
      </c>
      <c r="AI150" s="105"/>
      <c r="AJ150" s="276" t="str">
        <f>IF(AI150="","",(IF(AND(AI150="N/A - Culvert",N150&lt;&gt;"Culvert"),"Not possible ▲",IF(VLOOKUP(AI150,'G-7 WaterC'' Data'!$AA$4:$AB$7,2,FALSE)=0,"Spatial Data Missing ⚠",VLOOKUP(AI150,'G-7 WaterC'' Data'!$AA$4:$AB$7,2,FALSE)))))</f>
        <v/>
      </c>
      <c r="AK150" s="106"/>
      <c r="AL150" s="310" t="str">
        <f>IF(AK150="","",IF(AND(AK150="N/A - Culvert",N150&lt;&gt;"Culvert"),"Not possible ▲",IF(VLOOKUP(AK150,'G-7 WaterC'' Data'!$AD$4:$AE$14,2,FALSE)=0,"Spatial Data Missing ⚠",VLOOKUP(AK150,'G-7 WaterC'' Data'!$AD$4:$AE$14,2,FALSE))))</f>
        <v/>
      </c>
      <c r="AM150" s="275" t="str">
        <f>IF(B150="","",VLOOKUP($B150,'F-1 Off-Site WaterC'' Baseline'!$C$9:$Z$257,17,FALSE))</f>
        <v/>
      </c>
      <c r="AN150" s="276" t="str">
        <f>IF(AM150="","",IF(VLOOKUP(AM150,'G-7 WaterC'' Data'!$AO$4:$BO$7,2,FALSE)=0,"Spatial Data Missing ⚠",VLOOKUP(AM150,'G-7 WaterC'' Data'!$AO$4:$BO$7,2,FALSE)))</f>
        <v/>
      </c>
      <c r="AO150" s="317" t="str">
        <f t="shared" si="29"/>
        <v/>
      </c>
      <c r="AP150" s="317" t="str">
        <f t="shared" si="30"/>
        <v/>
      </c>
      <c r="AQ150" s="101"/>
      <c r="AR150" s="115"/>
      <c r="AS150" s="104"/>
      <c r="AT150" s="104"/>
      <c r="AW150" s="30" t="str">
        <f>IF(E150="","",VLOOKUP($B150,'F-1 Off-Site WaterC'' Baseline'!$C$9:$Z$257,12,FALSE))</f>
        <v/>
      </c>
      <c r="AX150" s="30" t="str">
        <f>IF(E150="","",VLOOKUP($B150,'F-1 Off-Site WaterC'' Baseline'!$C$9:$Z$257,14,FALSE))</f>
        <v/>
      </c>
      <c r="AY150" s="30" t="str">
        <f>IFERROR(INDEX('G-7 WaterC'' Data'!$AZ$3:$AZ$7,MATCH(N150,'G-7 WaterC'' Data'!$AY$3:$AY$7,0)),"")</f>
        <v/>
      </c>
      <c r="AZ150" s="30" t="str">
        <f>IF(B150="","",IF(ISNA(VLOOKUP($B150,'F-1 Off-Site WaterC'' Baseline'!$C$8:$AD$257,20,FALSE)),"",(VLOOKUP($B150,'F-1 Off-Site WaterC'' Baseline'!$C$8:$AD$257,20,FALSE))))</f>
        <v/>
      </c>
      <c r="BC150" s="30" t="str">
        <f>IF(B150="","",VLOOKUP($B150,'F-1 Off-Site WaterC'' Baseline'!$C$9:$AB$257,25,FALSE))</f>
        <v/>
      </c>
      <c r="BD150" s="30" t="str">
        <f t="shared" si="31"/>
        <v/>
      </c>
      <c r="BE150" s="30" t="str">
        <f>IF(B150="","",VLOOKUP($B150,'F-1 Off-Site WaterC'' Baseline'!$C$9:$AB$257,24,FALSE))</f>
        <v/>
      </c>
      <c r="BF150" s="30" t="str">
        <f>IF(B150="","",VLOOKUP($B150,'F-1 Off-Site WaterC'' Baseline'!$C$9:$AB$257,22,FALSE))</f>
        <v/>
      </c>
      <c r="BJ150" s="30" t="str">
        <f t="shared" si="32"/>
        <v>No</v>
      </c>
    </row>
    <row r="151" spans="2:62" ht="14">
      <c r="B151" s="305" t="str">
        <f>'F-1 Off-Site WaterC'' Baseline'!AS149</f>
        <v/>
      </c>
      <c r="C151" s="295" t="str">
        <f>IF(B151="","",VLOOKUP($B151,'F-1 Off-Site WaterC'' Baseline'!$C$9:$R$257,2,FALSE))</f>
        <v/>
      </c>
      <c r="D151" s="295" t="str">
        <f>IF(C151="","",VLOOKUP($B151,'F-1 Off-Site WaterC'' Baseline'!$C$9:$R$257,3,FALSE))</f>
        <v/>
      </c>
      <c r="E151" s="295" t="str">
        <f>IF(D151="","",VLOOKUP($B151,'F-1 Off-Site WaterC'' Baseline'!$C$9:$R$257,4,FALSE))</f>
        <v/>
      </c>
      <c r="F151" s="295" t="str">
        <f>IF(E151="","",VLOOKUP($B151,'F-1 Off-Site WaterC'' Baseline'!$C$9:$R$257,5,FALSE))</f>
        <v/>
      </c>
      <c r="G151" s="295" t="str">
        <f>IF(F151="","",VLOOKUP($B151,'F-1 Off-Site WaterC'' Baseline'!$C$9:$R$257,6,FALSE))</f>
        <v/>
      </c>
      <c r="H151" s="295" t="str">
        <f>IF(G151="","",VLOOKUP($B151,'F-1 Off-Site WaterC'' Baseline'!$C$9:$R$257,7,FALSE))</f>
        <v/>
      </c>
      <c r="I151" s="295" t="str">
        <f>IF(H151="","",VLOOKUP($B151,'F-1 Off-Site WaterC'' Baseline'!$C$9:$R$257,8,FALSE))</f>
        <v/>
      </c>
      <c r="J151" s="295" t="str">
        <f>IF(I151="","",VLOOKUP($B151,'F-1 Off-Site WaterC'' Baseline'!$C$9:$R$257,9,FALSE))</f>
        <v/>
      </c>
      <c r="K151" s="295" t="str">
        <f>IF(J151="","",VLOOKUP($B151,'F-1 Off-Site WaterC'' Baseline'!$C$9:$R$257,10,FALSE))</f>
        <v/>
      </c>
      <c r="L151" s="283" t="str">
        <f>IF(B151="","",VLOOKUP($B151,'F-1 Off-Site WaterC'' Baseline'!$C$9:$R$257,15,FALSE))</f>
        <v/>
      </c>
      <c r="M151" s="299" t="str">
        <f>IF(L151="","",VLOOKUP($B151,'F-1 Off-Site WaterC'' Baseline'!$C$9:$V$257,19,FALSE))</f>
        <v/>
      </c>
      <c r="N151" s="244"/>
      <c r="O151" s="275" t="str">
        <f t="shared" si="25"/>
        <v/>
      </c>
      <c r="P151" s="276" t="str">
        <f t="shared" si="26"/>
        <v/>
      </c>
      <c r="Q151" s="281" t="str">
        <f>IF(N151="","",VLOOKUP(B151,'F-1 Off-Site WaterC'' Baseline'!$C$10:$AF$257,23,FALSE))</f>
        <v/>
      </c>
      <c r="R151" s="275" t="str">
        <f>IF(N151="","",VLOOKUP(N151,'G-7 WaterC'' Data'!$B$2:$G$8,2,FALSE))</f>
        <v/>
      </c>
      <c r="S151" s="276" t="str">
        <f>IFERROR(VLOOKUP(R151,'G-7 WaterC'' Data'!$C$4:$D$8,2,FALSE),"")</f>
        <v/>
      </c>
      <c r="T151" s="101"/>
      <c r="U151" s="276" t="str">
        <f>IFERROR(INDEX('G-7 WaterC'' Data'!$H$4:$L$8,MATCH(N151,'G-7 WaterC'' Data'!$B$4:$B$8,0),MATCH(T151,'G-7 WaterC'' Data'!$H$3:$L$3,0)),"")</f>
        <v/>
      </c>
      <c r="V151" s="105"/>
      <c r="W151" s="295" t="str">
        <f>IF(V151="","",IF(VLOOKUP(V151,'G-7 WaterC'' Data'!$AK$4:$AM$6,2,FALSE)=0,"Spatial Data Missing ⚠",VLOOKUP(V151,'G-7 WaterC'' Data'!$AK$4:$AM$6,2,FALSE)))</f>
        <v/>
      </c>
      <c r="X151" s="299" t="str">
        <f>IF(V151="","",IF(VLOOKUP(V151,'G-7 WaterC'' Data'!$AK$4:$AM$6,3,FALSE)=0,"Spatial Data Missing ⚠",VLOOKUP(V151,'G-7 WaterC'' Data'!$AK$4:$AM$6,3,FALSE)))</f>
        <v/>
      </c>
      <c r="Y151" s="311" t="str">
        <f>IFERROR(IF(OR(LEFT(P151,5)="Error",LEFT(O151,5)="Error"),"Check Data ⚠",IF(F151&lt;S151,'G-7 WaterC'' Data'!$R$3,INDEX('G-7 WaterC'' Data'!$U$5:$Y$9,MATCH(G151,'G-7 WaterC'' Data'!$T$5:$T$9,0),MATCH(T151,'G-7 WaterC'' Data'!$U$4:$Y$4,0)))),"")</f>
        <v/>
      </c>
      <c r="Z151" s="138"/>
      <c r="AA151" s="138"/>
      <c r="AB151" s="308" t="str">
        <f t="shared" si="22"/>
        <v/>
      </c>
      <c r="AC151" s="296" t="str">
        <f t="shared" si="27"/>
        <v/>
      </c>
      <c r="AD151" s="334" t="str">
        <f>IFERROR(IF(AC151="Check Data ⚠","Check Data ⚠",VLOOKUP(AC151,'G-4 Temporal multipliers'!$A$4:$C$37,3,FALSE)),"")</f>
        <v/>
      </c>
      <c r="AE151" s="311" t="str">
        <f>IF(N151="","",VLOOKUP(N151,'G-7 WaterC'' Data'!$B$4:$G$8,5,FALSE))</f>
        <v/>
      </c>
      <c r="AF151" s="295" t="str">
        <f t="shared" si="23"/>
        <v/>
      </c>
      <c r="AG151" s="295" t="str">
        <f t="shared" si="28"/>
        <v/>
      </c>
      <c r="AH151" s="276" t="str">
        <f t="shared" si="24"/>
        <v/>
      </c>
      <c r="AI151" s="105"/>
      <c r="AJ151" s="276" t="str">
        <f>IF(AI151="","",(IF(AND(AI151="N/A - Culvert",N151&lt;&gt;"Culvert"),"Not possible ▲",IF(VLOOKUP(AI151,'G-7 WaterC'' Data'!$AA$4:$AB$7,2,FALSE)=0,"Spatial Data Missing ⚠",VLOOKUP(AI151,'G-7 WaterC'' Data'!$AA$4:$AB$7,2,FALSE)))))</f>
        <v/>
      </c>
      <c r="AK151" s="106"/>
      <c r="AL151" s="310" t="str">
        <f>IF(AK151="","",IF(AND(AK151="N/A - Culvert",N151&lt;&gt;"Culvert"),"Not possible ▲",IF(VLOOKUP(AK151,'G-7 WaterC'' Data'!$AD$4:$AE$14,2,FALSE)=0,"Spatial Data Missing ⚠",VLOOKUP(AK151,'G-7 WaterC'' Data'!$AD$4:$AE$14,2,FALSE))))</f>
        <v/>
      </c>
      <c r="AM151" s="275" t="str">
        <f>IF(B151="","",VLOOKUP($B151,'F-1 Off-Site WaterC'' Baseline'!$C$9:$Z$257,17,FALSE))</f>
        <v/>
      </c>
      <c r="AN151" s="276" t="str">
        <f>IF(AM151="","",IF(VLOOKUP(AM151,'G-7 WaterC'' Data'!$AO$4:$BO$7,2,FALSE)=0,"Spatial Data Missing ⚠",VLOOKUP(AM151,'G-7 WaterC'' Data'!$AO$4:$BO$7,2,FALSE)))</f>
        <v/>
      </c>
      <c r="AO151" s="317" t="str">
        <f t="shared" si="29"/>
        <v/>
      </c>
      <c r="AP151" s="317" t="str">
        <f t="shared" si="30"/>
        <v/>
      </c>
      <c r="AQ151" s="101"/>
      <c r="AR151" s="115"/>
      <c r="AS151" s="104"/>
      <c r="AT151" s="104"/>
      <c r="AW151" s="30" t="str">
        <f>IF(E151="","",VLOOKUP($B151,'F-1 Off-Site WaterC'' Baseline'!$C$9:$Z$257,12,FALSE))</f>
        <v/>
      </c>
      <c r="AX151" s="30" t="str">
        <f>IF(E151="","",VLOOKUP($B151,'F-1 Off-Site WaterC'' Baseline'!$C$9:$Z$257,14,FALSE))</f>
        <v/>
      </c>
      <c r="AY151" s="30" t="str">
        <f>IFERROR(INDEX('G-7 WaterC'' Data'!$AZ$3:$AZ$7,MATCH(N151,'G-7 WaterC'' Data'!$AY$3:$AY$7,0)),"")</f>
        <v/>
      </c>
      <c r="AZ151" s="30" t="str">
        <f>IF(B151="","",IF(ISNA(VLOOKUP($B151,'F-1 Off-Site WaterC'' Baseline'!$C$8:$AD$257,20,FALSE)),"",(VLOOKUP($B151,'F-1 Off-Site WaterC'' Baseline'!$C$8:$AD$257,20,FALSE))))</f>
        <v/>
      </c>
      <c r="BC151" s="30" t="str">
        <f>IF(B151="","",VLOOKUP($B151,'F-1 Off-Site WaterC'' Baseline'!$C$9:$AB$257,25,FALSE))</f>
        <v/>
      </c>
      <c r="BD151" s="30" t="str">
        <f t="shared" si="31"/>
        <v/>
      </c>
      <c r="BE151" s="30" t="str">
        <f>IF(B151="","",VLOOKUP($B151,'F-1 Off-Site WaterC'' Baseline'!$C$9:$AB$257,24,FALSE))</f>
        <v/>
      </c>
      <c r="BF151" s="30" t="str">
        <f>IF(B151="","",VLOOKUP($B151,'F-1 Off-Site WaterC'' Baseline'!$C$9:$AB$257,22,FALSE))</f>
        <v/>
      </c>
      <c r="BJ151" s="30" t="str">
        <f t="shared" si="32"/>
        <v>No</v>
      </c>
    </row>
    <row r="152" spans="2:62" ht="14">
      <c r="B152" s="305" t="str">
        <f>'F-1 Off-Site WaterC'' Baseline'!AS150</f>
        <v/>
      </c>
      <c r="C152" s="295" t="str">
        <f>IF(B152="","",VLOOKUP($B152,'F-1 Off-Site WaterC'' Baseline'!$C$9:$R$257,2,FALSE))</f>
        <v/>
      </c>
      <c r="D152" s="295" t="str">
        <f>IF(C152="","",VLOOKUP($B152,'F-1 Off-Site WaterC'' Baseline'!$C$9:$R$257,3,FALSE))</f>
        <v/>
      </c>
      <c r="E152" s="295" t="str">
        <f>IF(D152="","",VLOOKUP($B152,'F-1 Off-Site WaterC'' Baseline'!$C$9:$R$257,4,FALSE))</f>
        <v/>
      </c>
      <c r="F152" s="295" t="str">
        <f>IF(E152="","",VLOOKUP($B152,'F-1 Off-Site WaterC'' Baseline'!$C$9:$R$257,5,FALSE))</f>
        <v/>
      </c>
      <c r="G152" s="295" t="str">
        <f>IF(F152="","",VLOOKUP($B152,'F-1 Off-Site WaterC'' Baseline'!$C$9:$R$257,6,FALSE))</f>
        <v/>
      </c>
      <c r="H152" s="295" t="str">
        <f>IF(G152="","",VLOOKUP($B152,'F-1 Off-Site WaterC'' Baseline'!$C$9:$R$257,7,FALSE))</f>
        <v/>
      </c>
      <c r="I152" s="295" t="str">
        <f>IF(H152="","",VLOOKUP($B152,'F-1 Off-Site WaterC'' Baseline'!$C$9:$R$257,8,FALSE))</f>
        <v/>
      </c>
      <c r="J152" s="295" t="str">
        <f>IF(I152="","",VLOOKUP($B152,'F-1 Off-Site WaterC'' Baseline'!$C$9:$R$257,9,FALSE))</f>
        <v/>
      </c>
      <c r="K152" s="295" t="str">
        <f>IF(J152="","",VLOOKUP($B152,'F-1 Off-Site WaterC'' Baseline'!$C$9:$R$257,10,FALSE))</f>
        <v/>
      </c>
      <c r="L152" s="283" t="str">
        <f>IF(B152="","",VLOOKUP($B152,'F-1 Off-Site WaterC'' Baseline'!$C$9:$R$257,15,FALSE))</f>
        <v/>
      </c>
      <c r="M152" s="299" t="str">
        <f>IF(L152="","",VLOOKUP($B152,'F-1 Off-Site WaterC'' Baseline'!$C$9:$V$257,19,FALSE))</f>
        <v/>
      </c>
      <c r="N152" s="244"/>
      <c r="O152" s="275" t="str">
        <f t="shared" si="25"/>
        <v/>
      </c>
      <c r="P152" s="276" t="str">
        <f t="shared" si="26"/>
        <v/>
      </c>
      <c r="Q152" s="281" t="str">
        <f>IF(N152="","",VLOOKUP(B152,'F-1 Off-Site WaterC'' Baseline'!$C$10:$AF$257,23,FALSE))</f>
        <v/>
      </c>
      <c r="R152" s="275" t="str">
        <f>IF(N152="","",VLOOKUP(N152,'G-7 WaterC'' Data'!$B$2:$G$8,2,FALSE))</f>
        <v/>
      </c>
      <c r="S152" s="276" t="str">
        <f>IFERROR(VLOOKUP(R152,'G-7 WaterC'' Data'!$C$4:$D$8,2,FALSE),"")</f>
        <v/>
      </c>
      <c r="T152" s="101"/>
      <c r="U152" s="276" t="str">
        <f>IFERROR(INDEX('G-7 WaterC'' Data'!$H$4:$L$8,MATCH(N152,'G-7 WaterC'' Data'!$B$4:$B$8,0),MATCH(T152,'G-7 WaterC'' Data'!$H$3:$L$3,0)),"")</f>
        <v/>
      </c>
      <c r="V152" s="105"/>
      <c r="W152" s="295" t="str">
        <f>IF(V152="","",IF(VLOOKUP(V152,'G-7 WaterC'' Data'!$AK$4:$AM$6,2,FALSE)=0,"Spatial Data Missing ⚠",VLOOKUP(V152,'G-7 WaterC'' Data'!$AK$4:$AM$6,2,FALSE)))</f>
        <v/>
      </c>
      <c r="X152" s="299" t="str">
        <f>IF(V152="","",IF(VLOOKUP(V152,'G-7 WaterC'' Data'!$AK$4:$AM$6,3,FALSE)=0,"Spatial Data Missing ⚠",VLOOKUP(V152,'G-7 WaterC'' Data'!$AK$4:$AM$6,3,FALSE)))</f>
        <v/>
      </c>
      <c r="Y152" s="311" t="str">
        <f>IFERROR(IF(OR(LEFT(P152,5)="Error",LEFT(O152,5)="Error"),"Check Data ⚠",IF(F152&lt;S152,'G-7 WaterC'' Data'!$R$3,INDEX('G-7 WaterC'' Data'!$U$5:$Y$9,MATCH(G152,'G-7 WaterC'' Data'!$T$5:$T$9,0),MATCH(T152,'G-7 WaterC'' Data'!$U$4:$Y$4,0)))),"")</f>
        <v/>
      </c>
      <c r="Z152" s="138"/>
      <c r="AA152" s="138"/>
      <c r="AB152" s="308" t="str">
        <f t="shared" si="22"/>
        <v/>
      </c>
      <c r="AC152" s="296" t="str">
        <f t="shared" si="27"/>
        <v/>
      </c>
      <c r="AD152" s="334" t="str">
        <f>IFERROR(IF(AC152="Check Data ⚠","Check Data ⚠",VLOOKUP(AC152,'G-4 Temporal multipliers'!$A$4:$C$37,3,FALSE)),"")</f>
        <v/>
      </c>
      <c r="AE152" s="311" t="str">
        <f>IF(N152="","",VLOOKUP(N152,'G-7 WaterC'' Data'!$B$4:$G$8,5,FALSE))</f>
        <v/>
      </c>
      <c r="AF152" s="295" t="str">
        <f t="shared" si="23"/>
        <v/>
      </c>
      <c r="AG152" s="295" t="str">
        <f t="shared" si="28"/>
        <v/>
      </c>
      <c r="AH152" s="276" t="str">
        <f t="shared" si="24"/>
        <v/>
      </c>
      <c r="AI152" s="105"/>
      <c r="AJ152" s="276" t="str">
        <f>IF(AI152="","",(IF(AND(AI152="N/A - Culvert",N152&lt;&gt;"Culvert"),"Not possible ▲",IF(VLOOKUP(AI152,'G-7 WaterC'' Data'!$AA$4:$AB$7,2,FALSE)=0,"Spatial Data Missing ⚠",VLOOKUP(AI152,'G-7 WaterC'' Data'!$AA$4:$AB$7,2,FALSE)))))</f>
        <v/>
      </c>
      <c r="AK152" s="106"/>
      <c r="AL152" s="310" t="str">
        <f>IF(AK152="","",IF(AND(AK152="N/A - Culvert",N152&lt;&gt;"Culvert"),"Not possible ▲",IF(VLOOKUP(AK152,'G-7 WaterC'' Data'!$AD$4:$AE$14,2,FALSE)=0,"Spatial Data Missing ⚠",VLOOKUP(AK152,'G-7 WaterC'' Data'!$AD$4:$AE$14,2,FALSE))))</f>
        <v/>
      </c>
      <c r="AM152" s="275" t="str">
        <f>IF(B152="","",VLOOKUP($B152,'F-1 Off-Site WaterC'' Baseline'!$C$9:$Z$257,17,FALSE))</f>
        <v/>
      </c>
      <c r="AN152" s="276" t="str">
        <f>IF(AM152="","",IF(VLOOKUP(AM152,'G-7 WaterC'' Data'!$AO$4:$BO$7,2,FALSE)=0,"Spatial Data Missing ⚠",VLOOKUP(AM152,'G-7 WaterC'' Data'!$AO$4:$BO$7,2,FALSE)))</f>
        <v/>
      </c>
      <c r="AO152" s="317" t="str">
        <f t="shared" si="29"/>
        <v/>
      </c>
      <c r="AP152" s="317" t="str">
        <f t="shared" si="30"/>
        <v/>
      </c>
      <c r="AQ152" s="101"/>
      <c r="AR152" s="115"/>
      <c r="AS152" s="104"/>
      <c r="AT152" s="104"/>
      <c r="AW152" s="30" t="str">
        <f>IF(E152="","",VLOOKUP($B152,'F-1 Off-Site WaterC'' Baseline'!$C$9:$Z$257,12,FALSE))</f>
        <v/>
      </c>
      <c r="AX152" s="30" t="str">
        <f>IF(E152="","",VLOOKUP($B152,'F-1 Off-Site WaterC'' Baseline'!$C$9:$Z$257,14,FALSE))</f>
        <v/>
      </c>
      <c r="AY152" s="30" t="str">
        <f>IFERROR(INDEX('G-7 WaterC'' Data'!$AZ$3:$AZ$7,MATCH(N152,'G-7 WaterC'' Data'!$AY$3:$AY$7,0)),"")</f>
        <v/>
      </c>
      <c r="AZ152" s="30" t="str">
        <f>IF(B152="","",IF(ISNA(VLOOKUP($B152,'F-1 Off-Site WaterC'' Baseline'!$C$8:$AD$257,20,FALSE)),"",(VLOOKUP($B152,'F-1 Off-Site WaterC'' Baseline'!$C$8:$AD$257,20,FALSE))))</f>
        <v/>
      </c>
      <c r="BC152" s="30" t="str">
        <f>IF(B152="","",VLOOKUP($B152,'F-1 Off-Site WaterC'' Baseline'!$C$9:$AB$257,25,FALSE))</f>
        <v/>
      </c>
      <c r="BD152" s="30" t="str">
        <f t="shared" si="31"/>
        <v/>
      </c>
      <c r="BE152" s="30" t="str">
        <f>IF(B152="","",VLOOKUP($B152,'F-1 Off-Site WaterC'' Baseline'!$C$9:$AB$257,24,FALSE))</f>
        <v/>
      </c>
      <c r="BF152" s="30" t="str">
        <f>IF(B152="","",VLOOKUP($B152,'F-1 Off-Site WaterC'' Baseline'!$C$9:$AB$257,22,FALSE))</f>
        <v/>
      </c>
      <c r="BJ152" s="30" t="str">
        <f t="shared" si="32"/>
        <v>No</v>
      </c>
    </row>
    <row r="153" spans="2:62" ht="14">
      <c r="B153" s="305" t="str">
        <f>'F-1 Off-Site WaterC'' Baseline'!AS151</f>
        <v/>
      </c>
      <c r="C153" s="295" t="str">
        <f>IF(B153="","",VLOOKUP($B153,'F-1 Off-Site WaterC'' Baseline'!$C$9:$R$257,2,FALSE))</f>
        <v/>
      </c>
      <c r="D153" s="295" t="str">
        <f>IF(C153="","",VLOOKUP($B153,'F-1 Off-Site WaterC'' Baseline'!$C$9:$R$257,3,FALSE))</f>
        <v/>
      </c>
      <c r="E153" s="295" t="str">
        <f>IF(D153="","",VLOOKUP($B153,'F-1 Off-Site WaterC'' Baseline'!$C$9:$R$257,4,FALSE))</f>
        <v/>
      </c>
      <c r="F153" s="295" t="str">
        <f>IF(E153="","",VLOOKUP($B153,'F-1 Off-Site WaterC'' Baseline'!$C$9:$R$257,5,FALSE))</f>
        <v/>
      </c>
      <c r="G153" s="295" t="str">
        <f>IF(F153="","",VLOOKUP($B153,'F-1 Off-Site WaterC'' Baseline'!$C$9:$R$257,6,FALSE))</f>
        <v/>
      </c>
      <c r="H153" s="295" t="str">
        <f>IF(G153="","",VLOOKUP($B153,'F-1 Off-Site WaterC'' Baseline'!$C$9:$R$257,7,FALSE))</f>
        <v/>
      </c>
      <c r="I153" s="295" t="str">
        <f>IF(H153="","",VLOOKUP($B153,'F-1 Off-Site WaterC'' Baseline'!$C$9:$R$257,8,FALSE))</f>
        <v/>
      </c>
      <c r="J153" s="295" t="str">
        <f>IF(I153="","",VLOOKUP($B153,'F-1 Off-Site WaterC'' Baseline'!$C$9:$R$257,9,FALSE))</f>
        <v/>
      </c>
      <c r="K153" s="295" t="str">
        <f>IF(J153="","",VLOOKUP($B153,'F-1 Off-Site WaterC'' Baseline'!$C$9:$R$257,10,FALSE))</f>
        <v/>
      </c>
      <c r="L153" s="283" t="str">
        <f>IF(B153="","",VLOOKUP($B153,'F-1 Off-Site WaterC'' Baseline'!$C$9:$R$257,15,FALSE))</f>
        <v/>
      </c>
      <c r="M153" s="299" t="str">
        <f>IF(L153="","",VLOOKUP($B153,'F-1 Off-Site WaterC'' Baseline'!$C$9:$V$257,19,FALSE))</f>
        <v/>
      </c>
      <c r="N153" s="244"/>
      <c r="O153" s="275" t="str">
        <f t="shared" si="25"/>
        <v/>
      </c>
      <c r="P153" s="276" t="str">
        <f t="shared" si="26"/>
        <v/>
      </c>
      <c r="Q153" s="281" t="str">
        <f>IF(N153="","",VLOOKUP(B153,'F-1 Off-Site WaterC'' Baseline'!$C$10:$AF$257,23,FALSE))</f>
        <v/>
      </c>
      <c r="R153" s="275" t="str">
        <f>IF(N153="","",VLOOKUP(N153,'G-7 WaterC'' Data'!$B$2:$G$8,2,FALSE))</f>
        <v/>
      </c>
      <c r="S153" s="276" t="str">
        <f>IFERROR(VLOOKUP(R153,'G-7 WaterC'' Data'!$C$4:$D$8,2,FALSE),"")</f>
        <v/>
      </c>
      <c r="T153" s="101"/>
      <c r="U153" s="276" t="str">
        <f>IFERROR(INDEX('G-7 WaterC'' Data'!$H$4:$L$8,MATCH(N153,'G-7 WaterC'' Data'!$B$4:$B$8,0),MATCH(T153,'G-7 WaterC'' Data'!$H$3:$L$3,0)),"")</f>
        <v/>
      </c>
      <c r="V153" s="105"/>
      <c r="W153" s="295" t="str">
        <f>IF(V153="","",IF(VLOOKUP(V153,'G-7 WaterC'' Data'!$AK$4:$AM$6,2,FALSE)=0,"Spatial Data Missing ⚠",VLOOKUP(V153,'G-7 WaterC'' Data'!$AK$4:$AM$6,2,FALSE)))</f>
        <v/>
      </c>
      <c r="X153" s="299" t="str">
        <f>IF(V153="","",IF(VLOOKUP(V153,'G-7 WaterC'' Data'!$AK$4:$AM$6,3,FALSE)=0,"Spatial Data Missing ⚠",VLOOKUP(V153,'G-7 WaterC'' Data'!$AK$4:$AM$6,3,FALSE)))</f>
        <v/>
      </c>
      <c r="Y153" s="311" t="str">
        <f>IFERROR(IF(OR(LEFT(P153,5)="Error",LEFT(O153,5)="Error"),"Check Data ⚠",IF(F153&lt;S153,'G-7 WaterC'' Data'!$R$3,INDEX('G-7 WaterC'' Data'!$U$5:$Y$9,MATCH(G153,'G-7 WaterC'' Data'!$T$5:$T$9,0),MATCH(T153,'G-7 WaterC'' Data'!$U$4:$Y$4,0)))),"")</f>
        <v/>
      </c>
      <c r="Z153" s="138"/>
      <c r="AA153" s="138"/>
      <c r="AB153" s="308" t="str">
        <f t="shared" si="22"/>
        <v/>
      </c>
      <c r="AC153" s="296" t="str">
        <f t="shared" si="27"/>
        <v/>
      </c>
      <c r="AD153" s="334" t="str">
        <f>IFERROR(IF(AC153="Check Data ⚠","Check Data ⚠",VLOOKUP(AC153,'G-4 Temporal multipliers'!$A$4:$C$37,3,FALSE)),"")</f>
        <v/>
      </c>
      <c r="AE153" s="311" t="str">
        <f>IF(N153="","",VLOOKUP(N153,'G-7 WaterC'' Data'!$B$4:$G$8,5,FALSE))</f>
        <v/>
      </c>
      <c r="AF153" s="295" t="str">
        <f t="shared" si="23"/>
        <v/>
      </c>
      <c r="AG153" s="295" t="str">
        <f t="shared" si="28"/>
        <v/>
      </c>
      <c r="AH153" s="276" t="str">
        <f t="shared" si="24"/>
        <v/>
      </c>
      <c r="AI153" s="105"/>
      <c r="AJ153" s="276" t="str">
        <f>IF(AI153="","",(IF(AND(AI153="N/A - Culvert",N153&lt;&gt;"Culvert"),"Not possible ▲",IF(VLOOKUP(AI153,'G-7 WaterC'' Data'!$AA$4:$AB$7,2,FALSE)=0,"Spatial Data Missing ⚠",VLOOKUP(AI153,'G-7 WaterC'' Data'!$AA$4:$AB$7,2,FALSE)))))</f>
        <v/>
      </c>
      <c r="AK153" s="106"/>
      <c r="AL153" s="310" t="str">
        <f>IF(AK153="","",IF(AND(AK153="N/A - Culvert",N153&lt;&gt;"Culvert"),"Not possible ▲",IF(VLOOKUP(AK153,'G-7 WaterC'' Data'!$AD$4:$AE$14,2,FALSE)=0,"Spatial Data Missing ⚠",VLOOKUP(AK153,'G-7 WaterC'' Data'!$AD$4:$AE$14,2,FALSE))))</f>
        <v/>
      </c>
      <c r="AM153" s="275" t="str">
        <f>IF(B153="","",VLOOKUP($B153,'F-1 Off-Site WaterC'' Baseline'!$C$9:$Z$257,17,FALSE))</f>
        <v/>
      </c>
      <c r="AN153" s="276" t="str">
        <f>IF(AM153="","",IF(VLOOKUP(AM153,'G-7 WaterC'' Data'!$AO$4:$BO$7,2,FALSE)=0,"Spatial Data Missing ⚠",VLOOKUP(AM153,'G-7 WaterC'' Data'!$AO$4:$BO$7,2,FALSE)))</f>
        <v/>
      </c>
      <c r="AO153" s="317" t="str">
        <f t="shared" si="29"/>
        <v/>
      </c>
      <c r="AP153" s="317" t="str">
        <f t="shared" si="30"/>
        <v/>
      </c>
      <c r="AQ153" s="101"/>
      <c r="AR153" s="115"/>
      <c r="AS153" s="104"/>
      <c r="AT153" s="104"/>
      <c r="AW153" s="30" t="str">
        <f>IF(E153="","",VLOOKUP($B153,'F-1 Off-Site WaterC'' Baseline'!$C$9:$Z$257,12,FALSE))</f>
        <v/>
      </c>
      <c r="AX153" s="30" t="str">
        <f>IF(E153="","",VLOOKUP($B153,'F-1 Off-Site WaterC'' Baseline'!$C$9:$Z$257,14,FALSE))</f>
        <v/>
      </c>
      <c r="AY153" s="30" t="str">
        <f>IFERROR(INDEX('G-7 WaterC'' Data'!$AZ$3:$AZ$7,MATCH(N153,'G-7 WaterC'' Data'!$AY$3:$AY$7,0)),"")</f>
        <v/>
      </c>
      <c r="AZ153" s="30" t="str">
        <f>IF(B153="","",IF(ISNA(VLOOKUP($B153,'F-1 Off-Site WaterC'' Baseline'!$C$8:$AD$257,20,FALSE)),"",(VLOOKUP($B153,'F-1 Off-Site WaterC'' Baseline'!$C$8:$AD$257,20,FALSE))))</f>
        <v/>
      </c>
      <c r="BC153" s="30" t="str">
        <f>IF(B153="","",VLOOKUP($B153,'F-1 Off-Site WaterC'' Baseline'!$C$9:$AB$257,25,FALSE))</f>
        <v/>
      </c>
      <c r="BD153" s="30" t="str">
        <f t="shared" si="31"/>
        <v/>
      </c>
      <c r="BE153" s="30" t="str">
        <f>IF(B153="","",VLOOKUP($B153,'F-1 Off-Site WaterC'' Baseline'!$C$9:$AB$257,24,FALSE))</f>
        <v/>
      </c>
      <c r="BF153" s="30" t="str">
        <f>IF(B153="","",VLOOKUP($B153,'F-1 Off-Site WaterC'' Baseline'!$C$9:$AB$257,22,FALSE))</f>
        <v/>
      </c>
      <c r="BJ153" s="30" t="str">
        <f t="shared" si="32"/>
        <v>No</v>
      </c>
    </row>
    <row r="154" spans="2:62" ht="14">
      <c r="B154" s="305" t="str">
        <f>'F-1 Off-Site WaterC'' Baseline'!AS152</f>
        <v/>
      </c>
      <c r="C154" s="295" t="str">
        <f>IF(B154="","",VLOOKUP($B154,'F-1 Off-Site WaterC'' Baseline'!$C$9:$R$257,2,FALSE))</f>
        <v/>
      </c>
      <c r="D154" s="295" t="str">
        <f>IF(C154="","",VLOOKUP($B154,'F-1 Off-Site WaterC'' Baseline'!$C$9:$R$257,3,FALSE))</f>
        <v/>
      </c>
      <c r="E154" s="295" t="str">
        <f>IF(D154="","",VLOOKUP($B154,'F-1 Off-Site WaterC'' Baseline'!$C$9:$R$257,4,FALSE))</f>
        <v/>
      </c>
      <c r="F154" s="295" t="str">
        <f>IF(E154="","",VLOOKUP($B154,'F-1 Off-Site WaterC'' Baseline'!$C$9:$R$257,5,FALSE))</f>
        <v/>
      </c>
      <c r="G154" s="295" t="str">
        <f>IF(F154="","",VLOOKUP($B154,'F-1 Off-Site WaterC'' Baseline'!$C$9:$R$257,6,FALSE))</f>
        <v/>
      </c>
      <c r="H154" s="295" t="str">
        <f>IF(G154="","",VLOOKUP($B154,'F-1 Off-Site WaterC'' Baseline'!$C$9:$R$257,7,FALSE))</f>
        <v/>
      </c>
      <c r="I154" s="295" t="str">
        <f>IF(H154="","",VLOOKUP($B154,'F-1 Off-Site WaterC'' Baseline'!$C$9:$R$257,8,FALSE))</f>
        <v/>
      </c>
      <c r="J154" s="295" t="str">
        <f>IF(I154="","",VLOOKUP($B154,'F-1 Off-Site WaterC'' Baseline'!$C$9:$R$257,9,FALSE))</f>
        <v/>
      </c>
      <c r="K154" s="295" t="str">
        <f>IF(J154="","",VLOOKUP($B154,'F-1 Off-Site WaterC'' Baseline'!$C$9:$R$257,10,FALSE))</f>
        <v/>
      </c>
      <c r="L154" s="283" t="str">
        <f>IF(B154="","",VLOOKUP($B154,'F-1 Off-Site WaterC'' Baseline'!$C$9:$R$257,15,FALSE))</f>
        <v/>
      </c>
      <c r="M154" s="299" t="str">
        <f>IF(L154="","",VLOOKUP($B154,'F-1 Off-Site WaterC'' Baseline'!$C$9:$V$257,19,FALSE))</f>
        <v/>
      </c>
      <c r="N154" s="244"/>
      <c r="O154" s="275" t="str">
        <f t="shared" si="25"/>
        <v/>
      </c>
      <c r="P154" s="276" t="str">
        <f t="shared" si="26"/>
        <v/>
      </c>
      <c r="Q154" s="281" t="str">
        <f>IF(N154="","",VLOOKUP(B154,'F-1 Off-Site WaterC'' Baseline'!$C$10:$AF$257,23,FALSE))</f>
        <v/>
      </c>
      <c r="R154" s="275" t="str">
        <f>IF(N154="","",VLOOKUP(N154,'G-7 WaterC'' Data'!$B$2:$G$8,2,FALSE))</f>
        <v/>
      </c>
      <c r="S154" s="276" t="str">
        <f>IFERROR(VLOOKUP(R154,'G-7 WaterC'' Data'!$C$4:$D$8,2,FALSE),"")</f>
        <v/>
      </c>
      <c r="T154" s="101"/>
      <c r="U154" s="276" t="str">
        <f>IFERROR(INDEX('G-7 WaterC'' Data'!$H$4:$L$8,MATCH(N154,'G-7 WaterC'' Data'!$B$4:$B$8,0),MATCH(T154,'G-7 WaterC'' Data'!$H$3:$L$3,0)),"")</f>
        <v/>
      </c>
      <c r="V154" s="105"/>
      <c r="W154" s="295" t="str">
        <f>IF(V154="","",IF(VLOOKUP(V154,'G-7 WaterC'' Data'!$AK$4:$AM$6,2,FALSE)=0,"Spatial Data Missing ⚠",VLOOKUP(V154,'G-7 WaterC'' Data'!$AK$4:$AM$6,2,FALSE)))</f>
        <v/>
      </c>
      <c r="X154" s="299" t="str">
        <f>IF(V154="","",IF(VLOOKUP(V154,'G-7 WaterC'' Data'!$AK$4:$AM$6,3,FALSE)=0,"Spatial Data Missing ⚠",VLOOKUP(V154,'G-7 WaterC'' Data'!$AK$4:$AM$6,3,FALSE)))</f>
        <v/>
      </c>
      <c r="Y154" s="311" t="str">
        <f>IFERROR(IF(OR(LEFT(P154,5)="Error",LEFT(O154,5)="Error"),"Check Data ⚠",IF(F154&lt;S154,'G-7 WaterC'' Data'!$R$3,INDEX('G-7 WaterC'' Data'!$U$5:$Y$9,MATCH(G154,'G-7 WaterC'' Data'!$T$5:$T$9,0),MATCH(T154,'G-7 WaterC'' Data'!$U$4:$Y$4,0)))),"")</f>
        <v/>
      </c>
      <c r="Z154" s="138"/>
      <c r="AA154" s="138"/>
      <c r="AB154" s="308" t="str">
        <f t="shared" si="22"/>
        <v/>
      </c>
      <c r="AC154" s="296" t="str">
        <f t="shared" si="27"/>
        <v/>
      </c>
      <c r="AD154" s="334" t="str">
        <f>IFERROR(IF(AC154="Check Data ⚠","Check Data ⚠",VLOOKUP(AC154,'G-4 Temporal multipliers'!$A$4:$C$37,3,FALSE)),"")</f>
        <v/>
      </c>
      <c r="AE154" s="311" t="str">
        <f>IF(N154="","",VLOOKUP(N154,'G-7 WaterC'' Data'!$B$4:$G$8,5,FALSE))</f>
        <v/>
      </c>
      <c r="AF154" s="295" t="str">
        <f t="shared" si="23"/>
        <v/>
      </c>
      <c r="AG154" s="295" t="str">
        <f t="shared" si="28"/>
        <v/>
      </c>
      <c r="AH154" s="276" t="str">
        <f t="shared" si="24"/>
        <v/>
      </c>
      <c r="AI154" s="105"/>
      <c r="AJ154" s="276" t="str">
        <f>IF(AI154="","",(IF(AND(AI154="N/A - Culvert",N154&lt;&gt;"Culvert"),"Not possible ▲",IF(VLOOKUP(AI154,'G-7 WaterC'' Data'!$AA$4:$AB$7,2,FALSE)=0,"Spatial Data Missing ⚠",VLOOKUP(AI154,'G-7 WaterC'' Data'!$AA$4:$AB$7,2,FALSE)))))</f>
        <v/>
      </c>
      <c r="AK154" s="106"/>
      <c r="AL154" s="310" t="str">
        <f>IF(AK154="","",IF(AND(AK154="N/A - Culvert",N154&lt;&gt;"Culvert"),"Not possible ▲",IF(VLOOKUP(AK154,'G-7 WaterC'' Data'!$AD$4:$AE$14,2,FALSE)=0,"Spatial Data Missing ⚠",VLOOKUP(AK154,'G-7 WaterC'' Data'!$AD$4:$AE$14,2,FALSE))))</f>
        <v/>
      </c>
      <c r="AM154" s="275" t="str">
        <f>IF(B154="","",VLOOKUP($B154,'F-1 Off-Site WaterC'' Baseline'!$C$9:$Z$257,17,FALSE))</f>
        <v/>
      </c>
      <c r="AN154" s="276" t="str">
        <f>IF(AM154="","",IF(VLOOKUP(AM154,'G-7 WaterC'' Data'!$AO$4:$BO$7,2,FALSE)=0,"Spatial Data Missing ⚠",VLOOKUP(AM154,'G-7 WaterC'' Data'!$AO$4:$BO$7,2,FALSE)))</f>
        <v/>
      </c>
      <c r="AO154" s="317" t="str">
        <f t="shared" si="29"/>
        <v/>
      </c>
      <c r="AP154" s="317" t="str">
        <f t="shared" si="30"/>
        <v/>
      </c>
      <c r="AQ154" s="101"/>
      <c r="AR154" s="115"/>
      <c r="AS154" s="104"/>
      <c r="AT154" s="104"/>
      <c r="AW154" s="30" t="str">
        <f>IF(E154="","",VLOOKUP($B154,'F-1 Off-Site WaterC'' Baseline'!$C$9:$Z$257,12,FALSE))</f>
        <v/>
      </c>
      <c r="AX154" s="30" t="str">
        <f>IF(E154="","",VLOOKUP($B154,'F-1 Off-Site WaterC'' Baseline'!$C$9:$Z$257,14,FALSE))</f>
        <v/>
      </c>
      <c r="AY154" s="30" t="str">
        <f>IFERROR(INDEX('G-7 WaterC'' Data'!$AZ$3:$AZ$7,MATCH(N154,'G-7 WaterC'' Data'!$AY$3:$AY$7,0)),"")</f>
        <v/>
      </c>
      <c r="AZ154" s="30" t="str">
        <f>IF(B154="","",IF(ISNA(VLOOKUP($B154,'F-1 Off-Site WaterC'' Baseline'!$C$8:$AD$257,20,FALSE)),"",(VLOOKUP($B154,'F-1 Off-Site WaterC'' Baseline'!$C$8:$AD$257,20,FALSE))))</f>
        <v/>
      </c>
      <c r="BC154" s="30" t="str">
        <f>IF(B154="","",VLOOKUP($B154,'F-1 Off-Site WaterC'' Baseline'!$C$9:$AB$257,25,FALSE))</f>
        <v/>
      </c>
      <c r="BD154" s="30" t="str">
        <f t="shared" si="31"/>
        <v/>
      </c>
      <c r="BE154" s="30" t="str">
        <f>IF(B154="","",VLOOKUP($B154,'F-1 Off-Site WaterC'' Baseline'!$C$9:$AB$257,24,FALSE))</f>
        <v/>
      </c>
      <c r="BF154" s="30" t="str">
        <f>IF(B154="","",VLOOKUP($B154,'F-1 Off-Site WaterC'' Baseline'!$C$9:$AB$257,22,FALSE))</f>
        <v/>
      </c>
      <c r="BJ154" s="30" t="str">
        <f t="shared" si="32"/>
        <v>No</v>
      </c>
    </row>
    <row r="155" spans="2:62" ht="14">
      <c r="B155" s="305" t="str">
        <f>'F-1 Off-Site WaterC'' Baseline'!AS153</f>
        <v/>
      </c>
      <c r="C155" s="295" t="str">
        <f>IF(B155="","",VLOOKUP($B155,'F-1 Off-Site WaterC'' Baseline'!$C$9:$R$257,2,FALSE))</f>
        <v/>
      </c>
      <c r="D155" s="295" t="str">
        <f>IF(C155="","",VLOOKUP($B155,'F-1 Off-Site WaterC'' Baseline'!$C$9:$R$257,3,FALSE))</f>
        <v/>
      </c>
      <c r="E155" s="295" t="str">
        <f>IF(D155="","",VLOOKUP($B155,'F-1 Off-Site WaterC'' Baseline'!$C$9:$R$257,4,FALSE))</f>
        <v/>
      </c>
      <c r="F155" s="295" t="str">
        <f>IF(E155="","",VLOOKUP($B155,'F-1 Off-Site WaterC'' Baseline'!$C$9:$R$257,5,FALSE))</f>
        <v/>
      </c>
      <c r="G155" s="295" t="str">
        <f>IF(F155="","",VLOOKUP($B155,'F-1 Off-Site WaterC'' Baseline'!$C$9:$R$257,6,FALSE))</f>
        <v/>
      </c>
      <c r="H155" s="295" t="str">
        <f>IF(G155="","",VLOOKUP($B155,'F-1 Off-Site WaterC'' Baseline'!$C$9:$R$257,7,FALSE))</f>
        <v/>
      </c>
      <c r="I155" s="295" t="str">
        <f>IF(H155="","",VLOOKUP($B155,'F-1 Off-Site WaterC'' Baseline'!$C$9:$R$257,8,FALSE))</f>
        <v/>
      </c>
      <c r="J155" s="295" t="str">
        <f>IF(I155="","",VLOOKUP($B155,'F-1 Off-Site WaterC'' Baseline'!$C$9:$R$257,9,FALSE))</f>
        <v/>
      </c>
      <c r="K155" s="295" t="str">
        <f>IF(J155="","",VLOOKUP($B155,'F-1 Off-Site WaterC'' Baseline'!$C$9:$R$257,10,FALSE))</f>
        <v/>
      </c>
      <c r="L155" s="283" t="str">
        <f>IF(B155="","",VLOOKUP($B155,'F-1 Off-Site WaterC'' Baseline'!$C$9:$R$257,15,FALSE))</f>
        <v/>
      </c>
      <c r="M155" s="299" t="str">
        <f>IF(L155="","",VLOOKUP($B155,'F-1 Off-Site WaterC'' Baseline'!$C$9:$V$257,19,FALSE))</f>
        <v/>
      </c>
      <c r="N155" s="244"/>
      <c r="O155" s="275" t="str">
        <f t="shared" si="25"/>
        <v/>
      </c>
      <c r="P155" s="276" t="str">
        <f t="shared" si="26"/>
        <v/>
      </c>
      <c r="Q155" s="281" t="str">
        <f>IF(N155="","",VLOOKUP(B155,'F-1 Off-Site WaterC'' Baseline'!$C$10:$AF$257,23,FALSE))</f>
        <v/>
      </c>
      <c r="R155" s="275" t="str">
        <f>IF(N155="","",VLOOKUP(N155,'G-7 WaterC'' Data'!$B$2:$G$8,2,FALSE))</f>
        <v/>
      </c>
      <c r="S155" s="276" t="str">
        <f>IFERROR(VLOOKUP(R155,'G-7 WaterC'' Data'!$C$4:$D$8,2,FALSE),"")</f>
        <v/>
      </c>
      <c r="T155" s="101"/>
      <c r="U155" s="276" t="str">
        <f>IFERROR(INDEX('G-7 WaterC'' Data'!$H$4:$L$8,MATCH(N155,'G-7 WaterC'' Data'!$B$4:$B$8,0),MATCH(T155,'G-7 WaterC'' Data'!$H$3:$L$3,0)),"")</f>
        <v/>
      </c>
      <c r="V155" s="105"/>
      <c r="W155" s="295" t="str">
        <f>IF(V155="","",IF(VLOOKUP(V155,'G-7 WaterC'' Data'!$AK$4:$AM$6,2,FALSE)=0,"Spatial Data Missing ⚠",VLOOKUP(V155,'G-7 WaterC'' Data'!$AK$4:$AM$6,2,FALSE)))</f>
        <v/>
      </c>
      <c r="X155" s="299" t="str">
        <f>IF(V155="","",IF(VLOOKUP(V155,'G-7 WaterC'' Data'!$AK$4:$AM$6,3,FALSE)=0,"Spatial Data Missing ⚠",VLOOKUP(V155,'G-7 WaterC'' Data'!$AK$4:$AM$6,3,FALSE)))</f>
        <v/>
      </c>
      <c r="Y155" s="311" t="str">
        <f>IFERROR(IF(OR(LEFT(P155,5)="Error",LEFT(O155,5)="Error"),"Check Data ⚠",IF(F155&lt;S155,'G-7 WaterC'' Data'!$R$3,INDEX('G-7 WaterC'' Data'!$U$5:$Y$9,MATCH(G155,'G-7 WaterC'' Data'!$T$5:$T$9,0),MATCH(T155,'G-7 WaterC'' Data'!$U$4:$Y$4,0)))),"")</f>
        <v/>
      </c>
      <c r="Z155" s="138"/>
      <c r="AA155" s="138"/>
      <c r="AB155" s="308" t="str">
        <f t="shared" si="22"/>
        <v/>
      </c>
      <c r="AC155" s="296" t="str">
        <f t="shared" si="27"/>
        <v/>
      </c>
      <c r="AD155" s="334" t="str">
        <f>IFERROR(IF(AC155="Check Data ⚠","Check Data ⚠",VLOOKUP(AC155,'G-4 Temporal multipliers'!$A$4:$C$37,3,FALSE)),"")</f>
        <v/>
      </c>
      <c r="AE155" s="311" t="str">
        <f>IF(N155="","",VLOOKUP(N155,'G-7 WaterC'' Data'!$B$4:$G$8,5,FALSE))</f>
        <v/>
      </c>
      <c r="AF155" s="295" t="str">
        <f t="shared" si="23"/>
        <v/>
      </c>
      <c r="AG155" s="295" t="str">
        <f t="shared" si="28"/>
        <v/>
      </c>
      <c r="AH155" s="276" t="str">
        <f t="shared" si="24"/>
        <v/>
      </c>
      <c r="AI155" s="105"/>
      <c r="AJ155" s="276" t="str">
        <f>IF(AI155="","",(IF(AND(AI155="N/A - Culvert",N155&lt;&gt;"Culvert"),"Not possible ▲",IF(VLOOKUP(AI155,'G-7 WaterC'' Data'!$AA$4:$AB$7,2,FALSE)=0,"Spatial Data Missing ⚠",VLOOKUP(AI155,'G-7 WaterC'' Data'!$AA$4:$AB$7,2,FALSE)))))</f>
        <v/>
      </c>
      <c r="AK155" s="106"/>
      <c r="AL155" s="310" t="str">
        <f>IF(AK155="","",IF(AND(AK155="N/A - Culvert",N155&lt;&gt;"Culvert"),"Not possible ▲",IF(VLOOKUP(AK155,'G-7 WaterC'' Data'!$AD$4:$AE$14,2,FALSE)=0,"Spatial Data Missing ⚠",VLOOKUP(AK155,'G-7 WaterC'' Data'!$AD$4:$AE$14,2,FALSE))))</f>
        <v/>
      </c>
      <c r="AM155" s="275" t="str">
        <f>IF(B155="","",VLOOKUP($B155,'F-1 Off-Site WaterC'' Baseline'!$C$9:$Z$257,17,FALSE))</f>
        <v/>
      </c>
      <c r="AN155" s="276" t="str">
        <f>IF(AM155="","",IF(VLOOKUP(AM155,'G-7 WaterC'' Data'!$AO$4:$BO$7,2,FALSE)=0,"Spatial Data Missing ⚠",VLOOKUP(AM155,'G-7 WaterC'' Data'!$AO$4:$BO$7,2,FALSE)))</f>
        <v/>
      </c>
      <c r="AO155" s="317" t="str">
        <f t="shared" si="29"/>
        <v/>
      </c>
      <c r="AP155" s="317" t="str">
        <f t="shared" si="30"/>
        <v/>
      </c>
      <c r="AQ155" s="101"/>
      <c r="AR155" s="115"/>
      <c r="AS155" s="104"/>
      <c r="AT155" s="104"/>
      <c r="AW155" s="30" t="str">
        <f>IF(E155="","",VLOOKUP($B155,'F-1 Off-Site WaterC'' Baseline'!$C$9:$Z$257,12,FALSE))</f>
        <v/>
      </c>
      <c r="AX155" s="30" t="str">
        <f>IF(E155="","",VLOOKUP($B155,'F-1 Off-Site WaterC'' Baseline'!$C$9:$Z$257,14,FALSE))</f>
        <v/>
      </c>
      <c r="AY155" s="30" t="str">
        <f>IFERROR(INDEX('G-7 WaterC'' Data'!$AZ$3:$AZ$7,MATCH(N155,'G-7 WaterC'' Data'!$AY$3:$AY$7,0)),"")</f>
        <v/>
      </c>
      <c r="AZ155" s="30" t="str">
        <f>IF(B155="","",IF(ISNA(VLOOKUP($B155,'F-1 Off-Site WaterC'' Baseline'!$C$8:$AD$257,20,FALSE)),"",(VLOOKUP($B155,'F-1 Off-Site WaterC'' Baseline'!$C$8:$AD$257,20,FALSE))))</f>
        <v/>
      </c>
      <c r="BC155" s="30" t="str">
        <f>IF(B155="","",VLOOKUP($B155,'F-1 Off-Site WaterC'' Baseline'!$C$9:$AB$257,25,FALSE))</f>
        <v/>
      </c>
      <c r="BD155" s="30" t="str">
        <f t="shared" si="31"/>
        <v/>
      </c>
      <c r="BE155" s="30" t="str">
        <f>IF(B155="","",VLOOKUP($B155,'F-1 Off-Site WaterC'' Baseline'!$C$9:$AB$257,24,FALSE))</f>
        <v/>
      </c>
      <c r="BF155" s="30" t="str">
        <f>IF(B155="","",VLOOKUP($B155,'F-1 Off-Site WaterC'' Baseline'!$C$9:$AB$257,22,FALSE))</f>
        <v/>
      </c>
      <c r="BJ155" s="30" t="str">
        <f t="shared" si="32"/>
        <v>No</v>
      </c>
    </row>
    <row r="156" spans="2:62" ht="14">
      <c r="B156" s="305" t="str">
        <f>'F-1 Off-Site WaterC'' Baseline'!AS154</f>
        <v/>
      </c>
      <c r="C156" s="295" t="str">
        <f>IF(B156="","",VLOOKUP($B156,'F-1 Off-Site WaterC'' Baseline'!$C$9:$R$257,2,FALSE))</f>
        <v/>
      </c>
      <c r="D156" s="295" t="str">
        <f>IF(C156="","",VLOOKUP($B156,'F-1 Off-Site WaterC'' Baseline'!$C$9:$R$257,3,FALSE))</f>
        <v/>
      </c>
      <c r="E156" s="295" t="str">
        <f>IF(D156="","",VLOOKUP($B156,'F-1 Off-Site WaterC'' Baseline'!$C$9:$R$257,4,FALSE))</f>
        <v/>
      </c>
      <c r="F156" s="295" t="str">
        <f>IF(E156="","",VLOOKUP($B156,'F-1 Off-Site WaterC'' Baseline'!$C$9:$R$257,5,FALSE))</f>
        <v/>
      </c>
      <c r="G156" s="295" t="str">
        <f>IF(F156="","",VLOOKUP($B156,'F-1 Off-Site WaterC'' Baseline'!$C$9:$R$257,6,FALSE))</f>
        <v/>
      </c>
      <c r="H156" s="295" t="str">
        <f>IF(G156="","",VLOOKUP($B156,'F-1 Off-Site WaterC'' Baseline'!$C$9:$R$257,7,FALSE))</f>
        <v/>
      </c>
      <c r="I156" s="295" t="str">
        <f>IF(H156="","",VLOOKUP($B156,'F-1 Off-Site WaterC'' Baseline'!$C$9:$R$257,8,FALSE))</f>
        <v/>
      </c>
      <c r="J156" s="295" t="str">
        <f>IF(I156="","",VLOOKUP($B156,'F-1 Off-Site WaterC'' Baseline'!$C$9:$R$257,9,FALSE))</f>
        <v/>
      </c>
      <c r="K156" s="295" t="str">
        <f>IF(J156="","",VLOOKUP($B156,'F-1 Off-Site WaterC'' Baseline'!$C$9:$R$257,10,FALSE))</f>
        <v/>
      </c>
      <c r="L156" s="283" t="str">
        <f>IF(B156="","",VLOOKUP($B156,'F-1 Off-Site WaterC'' Baseline'!$C$9:$R$257,15,FALSE))</f>
        <v/>
      </c>
      <c r="M156" s="299" t="str">
        <f>IF(L156="","",VLOOKUP($B156,'F-1 Off-Site WaterC'' Baseline'!$C$9:$V$257,19,FALSE))</f>
        <v/>
      </c>
      <c r="N156" s="244"/>
      <c r="O156" s="275" t="str">
        <f t="shared" si="25"/>
        <v/>
      </c>
      <c r="P156" s="276" t="str">
        <f t="shared" si="26"/>
        <v/>
      </c>
      <c r="Q156" s="281" t="str">
        <f>IF(N156="","",VLOOKUP(B156,'F-1 Off-Site WaterC'' Baseline'!$C$10:$AF$257,23,FALSE))</f>
        <v/>
      </c>
      <c r="R156" s="275" t="str">
        <f>IF(N156="","",VLOOKUP(N156,'G-7 WaterC'' Data'!$B$2:$G$8,2,FALSE))</f>
        <v/>
      </c>
      <c r="S156" s="276" t="str">
        <f>IFERROR(VLOOKUP(R156,'G-7 WaterC'' Data'!$C$4:$D$8,2,FALSE),"")</f>
        <v/>
      </c>
      <c r="T156" s="101"/>
      <c r="U156" s="276" t="str">
        <f>IFERROR(INDEX('G-7 WaterC'' Data'!$H$4:$L$8,MATCH(N156,'G-7 WaterC'' Data'!$B$4:$B$8,0),MATCH(T156,'G-7 WaterC'' Data'!$H$3:$L$3,0)),"")</f>
        <v/>
      </c>
      <c r="V156" s="105"/>
      <c r="W156" s="295" t="str">
        <f>IF(V156="","",IF(VLOOKUP(V156,'G-7 WaterC'' Data'!$AK$4:$AM$6,2,FALSE)=0,"Spatial Data Missing ⚠",VLOOKUP(V156,'G-7 WaterC'' Data'!$AK$4:$AM$6,2,FALSE)))</f>
        <v/>
      </c>
      <c r="X156" s="299" t="str">
        <f>IF(V156="","",IF(VLOOKUP(V156,'G-7 WaterC'' Data'!$AK$4:$AM$6,3,FALSE)=0,"Spatial Data Missing ⚠",VLOOKUP(V156,'G-7 WaterC'' Data'!$AK$4:$AM$6,3,FALSE)))</f>
        <v/>
      </c>
      <c r="Y156" s="311" t="str">
        <f>IFERROR(IF(OR(LEFT(P156,5)="Error",LEFT(O156,5)="Error"),"Check Data ⚠",IF(F156&lt;S156,'G-7 WaterC'' Data'!$R$3,INDEX('G-7 WaterC'' Data'!$U$5:$Y$9,MATCH(G156,'G-7 WaterC'' Data'!$T$5:$T$9,0),MATCH(T156,'G-7 WaterC'' Data'!$U$4:$Y$4,0)))),"")</f>
        <v/>
      </c>
      <c r="Z156" s="138"/>
      <c r="AA156" s="138"/>
      <c r="AB156" s="308" t="str">
        <f t="shared" si="22"/>
        <v/>
      </c>
      <c r="AC156" s="296" t="str">
        <f t="shared" si="27"/>
        <v/>
      </c>
      <c r="AD156" s="334" t="str">
        <f>IFERROR(IF(AC156="Check Data ⚠","Check Data ⚠",VLOOKUP(AC156,'G-4 Temporal multipliers'!$A$4:$C$37,3,FALSE)),"")</f>
        <v/>
      </c>
      <c r="AE156" s="311" t="str">
        <f>IF(N156="","",VLOOKUP(N156,'G-7 WaterC'' Data'!$B$4:$G$8,5,FALSE))</f>
        <v/>
      </c>
      <c r="AF156" s="295" t="str">
        <f t="shared" si="23"/>
        <v/>
      </c>
      <c r="AG156" s="295" t="str">
        <f t="shared" si="28"/>
        <v/>
      </c>
      <c r="AH156" s="276" t="str">
        <f t="shared" si="24"/>
        <v/>
      </c>
      <c r="AI156" s="105"/>
      <c r="AJ156" s="276" t="str">
        <f>IF(AI156="","",(IF(AND(AI156="N/A - Culvert",N156&lt;&gt;"Culvert"),"Not possible ▲",IF(VLOOKUP(AI156,'G-7 WaterC'' Data'!$AA$4:$AB$7,2,FALSE)=0,"Spatial Data Missing ⚠",VLOOKUP(AI156,'G-7 WaterC'' Data'!$AA$4:$AB$7,2,FALSE)))))</f>
        <v/>
      </c>
      <c r="AK156" s="106"/>
      <c r="AL156" s="310" t="str">
        <f>IF(AK156="","",IF(AND(AK156="N/A - Culvert",N156&lt;&gt;"Culvert"),"Not possible ▲",IF(VLOOKUP(AK156,'G-7 WaterC'' Data'!$AD$4:$AE$14,2,FALSE)=0,"Spatial Data Missing ⚠",VLOOKUP(AK156,'G-7 WaterC'' Data'!$AD$4:$AE$14,2,FALSE))))</f>
        <v/>
      </c>
      <c r="AM156" s="275" t="str">
        <f>IF(B156="","",VLOOKUP($B156,'F-1 Off-Site WaterC'' Baseline'!$C$9:$Z$257,17,FALSE))</f>
        <v/>
      </c>
      <c r="AN156" s="276" t="str">
        <f>IF(AM156="","",IF(VLOOKUP(AM156,'G-7 WaterC'' Data'!$AO$4:$BO$7,2,FALSE)=0,"Spatial Data Missing ⚠",VLOOKUP(AM156,'G-7 WaterC'' Data'!$AO$4:$BO$7,2,FALSE)))</f>
        <v/>
      </c>
      <c r="AO156" s="317" t="str">
        <f t="shared" si="29"/>
        <v/>
      </c>
      <c r="AP156" s="317" t="str">
        <f t="shared" si="30"/>
        <v/>
      </c>
      <c r="AQ156" s="101"/>
      <c r="AR156" s="115"/>
      <c r="AS156" s="104"/>
      <c r="AT156" s="104"/>
      <c r="AW156" s="30" t="str">
        <f>IF(E156="","",VLOOKUP($B156,'F-1 Off-Site WaterC'' Baseline'!$C$9:$Z$257,12,FALSE))</f>
        <v/>
      </c>
      <c r="AX156" s="30" t="str">
        <f>IF(E156="","",VLOOKUP($B156,'F-1 Off-Site WaterC'' Baseline'!$C$9:$Z$257,14,FALSE))</f>
        <v/>
      </c>
      <c r="AY156" s="30" t="str">
        <f>IFERROR(INDEX('G-7 WaterC'' Data'!$AZ$3:$AZ$7,MATCH(N156,'G-7 WaterC'' Data'!$AY$3:$AY$7,0)),"")</f>
        <v/>
      </c>
      <c r="AZ156" s="30" t="str">
        <f>IF(B156="","",IF(ISNA(VLOOKUP($B156,'F-1 Off-Site WaterC'' Baseline'!$C$8:$AD$257,20,FALSE)),"",(VLOOKUP($B156,'F-1 Off-Site WaterC'' Baseline'!$C$8:$AD$257,20,FALSE))))</f>
        <v/>
      </c>
      <c r="BC156" s="30" t="str">
        <f>IF(B156="","",VLOOKUP($B156,'F-1 Off-Site WaterC'' Baseline'!$C$9:$AB$257,25,FALSE))</f>
        <v/>
      </c>
      <c r="BD156" s="30" t="str">
        <f t="shared" si="31"/>
        <v/>
      </c>
      <c r="BE156" s="30" t="str">
        <f>IF(B156="","",VLOOKUP($B156,'F-1 Off-Site WaterC'' Baseline'!$C$9:$AB$257,24,FALSE))</f>
        <v/>
      </c>
      <c r="BF156" s="30" t="str">
        <f>IF(B156="","",VLOOKUP($B156,'F-1 Off-Site WaterC'' Baseline'!$C$9:$AB$257,22,FALSE))</f>
        <v/>
      </c>
      <c r="BJ156" s="30" t="str">
        <f t="shared" si="32"/>
        <v>No</v>
      </c>
    </row>
    <row r="157" spans="2:62" ht="14">
      <c r="B157" s="305" t="str">
        <f>'F-1 Off-Site WaterC'' Baseline'!AS155</f>
        <v/>
      </c>
      <c r="C157" s="295" t="str">
        <f>IF(B157="","",VLOOKUP($B157,'F-1 Off-Site WaterC'' Baseline'!$C$9:$R$257,2,FALSE))</f>
        <v/>
      </c>
      <c r="D157" s="295" t="str">
        <f>IF(C157="","",VLOOKUP($B157,'F-1 Off-Site WaterC'' Baseline'!$C$9:$R$257,3,FALSE))</f>
        <v/>
      </c>
      <c r="E157" s="295" t="str">
        <f>IF(D157="","",VLOOKUP($B157,'F-1 Off-Site WaterC'' Baseline'!$C$9:$R$257,4,FALSE))</f>
        <v/>
      </c>
      <c r="F157" s="295" t="str">
        <f>IF(E157="","",VLOOKUP($B157,'F-1 Off-Site WaterC'' Baseline'!$C$9:$R$257,5,FALSE))</f>
        <v/>
      </c>
      <c r="G157" s="295" t="str">
        <f>IF(F157="","",VLOOKUP($B157,'F-1 Off-Site WaterC'' Baseline'!$C$9:$R$257,6,FALSE))</f>
        <v/>
      </c>
      <c r="H157" s="295" t="str">
        <f>IF(G157="","",VLOOKUP($B157,'F-1 Off-Site WaterC'' Baseline'!$C$9:$R$257,7,FALSE))</f>
        <v/>
      </c>
      <c r="I157" s="295" t="str">
        <f>IF(H157="","",VLOOKUP($B157,'F-1 Off-Site WaterC'' Baseline'!$C$9:$R$257,8,FALSE))</f>
        <v/>
      </c>
      <c r="J157" s="295" t="str">
        <f>IF(I157="","",VLOOKUP($B157,'F-1 Off-Site WaterC'' Baseline'!$C$9:$R$257,9,FALSE))</f>
        <v/>
      </c>
      <c r="K157" s="295" t="str">
        <f>IF(J157="","",VLOOKUP($B157,'F-1 Off-Site WaterC'' Baseline'!$C$9:$R$257,10,FALSE))</f>
        <v/>
      </c>
      <c r="L157" s="283" t="str">
        <f>IF(B157="","",VLOOKUP($B157,'F-1 Off-Site WaterC'' Baseline'!$C$9:$R$257,15,FALSE))</f>
        <v/>
      </c>
      <c r="M157" s="299" t="str">
        <f>IF(L157="","",VLOOKUP($B157,'F-1 Off-Site WaterC'' Baseline'!$C$9:$V$257,19,FALSE))</f>
        <v/>
      </c>
      <c r="N157" s="244"/>
      <c r="O157" s="275" t="str">
        <f t="shared" si="25"/>
        <v/>
      </c>
      <c r="P157" s="276" t="str">
        <f t="shared" si="26"/>
        <v/>
      </c>
      <c r="Q157" s="281" t="str">
        <f>IF(N157="","",VLOOKUP(B157,'F-1 Off-Site WaterC'' Baseline'!$C$10:$AF$257,23,FALSE))</f>
        <v/>
      </c>
      <c r="R157" s="275" t="str">
        <f>IF(N157="","",VLOOKUP(N157,'G-7 WaterC'' Data'!$B$2:$G$8,2,FALSE))</f>
        <v/>
      </c>
      <c r="S157" s="276" t="str">
        <f>IFERROR(VLOOKUP(R157,'G-7 WaterC'' Data'!$C$4:$D$8,2,FALSE),"")</f>
        <v/>
      </c>
      <c r="T157" s="101"/>
      <c r="U157" s="276" t="str">
        <f>IFERROR(INDEX('G-7 WaterC'' Data'!$H$4:$L$8,MATCH(N157,'G-7 WaterC'' Data'!$B$4:$B$8,0),MATCH(T157,'G-7 WaterC'' Data'!$H$3:$L$3,0)),"")</f>
        <v/>
      </c>
      <c r="V157" s="105"/>
      <c r="W157" s="295" t="str">
        <f>IF(V157="","",IF(VLOOKUP(V157,'G-7 WaterC'' Data'!$AK$4:$AM$6,2,FALSE)=0,"Spatial Data Missing ⚠",VLOOKUP(V157,'G-7 WaterC'' Data'!$AK$4:$AM$6,2,FALSE)))</f>
        <v/>
      </c>
      <c r="X157" s="299" t="str">
        <f>IF(V157="","",IF(VLOOKUP(V157,'G-7 WaterC'' Data'!$AK$4:$AM$6,3,FALSE)=0,"Spatial Data Missing ⚠",VLOOKUP(V157,'G-7 WaterC'' Data'!$AK$4:$AM$6,3,FALSE)))</f>
        <v/>
      </c>
      <c r="Y157" s="311" t="str">
        <f>IFERROR(IF(OR(LEFT(P157,5)="Error",LEFT(O157,5)="Error"),"Check Data ⚠",IF(F157&lt;S157,'G-7 WaterC'' Data'!$R$3,INDEX('G-7 WaterC'' Data'!$U$5:$Y$9,MATCH(G157,'G-7 WaterC'' Data'!$T$5:$T$9,0),MATCH(T157,'G-7 WaterC'' Data'!$U$4:$Y$4,0)))),"")</f>
        <v/>
      </c>
      <c r="Z157" s="138"/>
      <c r="AA157" s="138"/>
      <c r="AB157" s="308" t="str">
        <f t="shared" si="22"/>
        <v/>
      </c>
      <c r="AC157" s="296" t="str">
        <f t="shared" si="27"/>
        <v/>
      </c>
      <c r="AD157" s="334" t="str">
        <f>IFERROR(IF(AC157="Check Data ⚠","Check Data ⚠",VLOOKUP(AC157,'G-4 Temporal multipliers'!$A$4:$C$37,3,FALSE)),"")</f>
        <v/>
      </c>
      <c r="AE157" s="311" t="str">
        <f>IF(N157="","",VLOOKUP(N157,'G-7 WaterC'' Data'!$B$4:$G$8,5,FALSE))</f>
        <v/>
      </c>
      <c r="AF157" s="295" t="str">
        <f t="shared" si="23"/>
        <v/>
      </c>
      <c r="AG157" s="295" t="str">
        <f t="shared" si="28"/>
        <v/>
      </c>
      <c r="AH157" s="276" t="str">
        <f t="shared" si="24"/>
        <v/>
      </c>
      <c r="AI157" s="105"/>
      <c r="AJ157" s="276" t="str">
        <f>IF(AI157="","",(IF(AND(AI157="N/A - Culvert",N157&lt;&gt;"Culvert"),"Not possible ▲",IF(VLOOKUP(AI157,'G-7 WaterC'' Data'!$AA$4:$AB$7,2,FALSE)=0,"Spatial Data Missing ⚠",VLOOKUP(AI157,'G-7 WaterC'' Data'!$AA$4:$AB$7,2,FALSE)))))</f>
        <v/>
      </c>
      <c r="AK157" s="106"/>
      <c r="AL157" s="310" t="str">
        <f>IF(AK157="","",IF(AND(AK157="N/A - Culvert",N157&lt;&gt;"Culvert"),"Not possible ▲",IF(VLOOKUP(AK157,'G-7 WaterC'' Data'!$AD$4:$AE$14,2,FALSE)=0,"Spatial Data Missing ⚠",VLOOKUP(AK157,'G-7 WaterC'' Data'!$AD$4:$AE$14,2,FALSE))))</f>
        <v/>
      </c>
      <c r="AM157" s="275" t="str">
        <f>IF(B157="","",VLOOKUP($B157,'F-1 Off-Site WaterC'' Baseline'!$C$9:$Z$257,17,FALSE))</f>
        <v/>
      </c>
      <c r="AN157" s="276" t="str">
        <f>IF(AM157="","",IF(VLOOKUP(AM157,'G-7 WaterC'' Data'!$AO$4:$BO$7,2,FALSE)=0,"Spatial Data Missing ⚠",VLOOKUP(AM157,'G-7 WaterC'' Data'!$AO$4:$BO$7,2,FALSE)))</f>
        <v/>
      </c>
      <c r="AO157" s="317" t="str">
        <f t="shared" si="29"/>
        <v/>
      </c>
      <c r="AP157" s="317" t="str">
        <f t="shared" si="30"/>
        <v/>
      </c>
      <c r="AQ157" s="101"/>
      <c r="AR157" s="115"/>
      <c r="AS157" s="104"/>
      <c r="AT157" s="104"/>
      <c r="AW157" s="30" t="str">
        <f>IF(E157="","",VLOOKUP($B157,'F-1 Off-Site WaterC'' Baseline'!$C$9:$Z$257,12,FALSE))</f>
        <v/>
      </c>
      <c r="AX157" s="30" t="str">
        <f>IF(E157="","",VLOOKUP($B157,'F-1 Off-Site WaterC'' Baseline'!$C$9:$Z$257,14,FALSE))</f>
        <v/>
      </c>
      <c r="AY157" s="30" t="str">
        <f>IFERROR(INDEX('G-7 WaterC'' Data'!$AZ$3:$AZ$7,MATCH(N157,'G-7 WaterC'' Data'!$AY$3:$AY$7,0)),"")</f>
        <v/>
      </c>
      <c r="AZ157" s="30" t="str">
        <f>IF(B157="","",IF(ISNA(VLOOKUP($B157,'F-1 Off-Site WaterC'' Baseline'!$C$8:$AD$257,20,FALSE)),"",(VLOOKUP($B157,'F-1 Off-Site WaterC'' Baseline'!$C$8:$AD$257,20,FALSE))))</f>
        <v/>
      </c>
      <c r="BC157" s="30" t="str">
        <f>IF(B157="","",VLOOKUP($B157,'F-1 Off-Site WaterC'' Baseline'!$C$9:$AB$257,25,FALSE))</f>
        <v/>
      </c>
      <c r="BD157" s="30" t="str">
        <f t="shared" si="31"/>
        <v/>
      </c>
      <c r="BE157" s="30" t="str">
        <f>IF(B157="","",VLOOKUP($B157,'F-1 Off-Site WaterC'' Baseline'!$C$9:$AB$257,24,FALSE))</f>
        <v/>
      </c>
      <c r="BF157" s="30" t="str">
        <f>IF(B157="","",VLOOKUP($B157,'F-1 Off-Site WaterC'' Baseline'!$C$9:$AB$257,22,FALSE))</f>
        <v/>
      </c>
      <c r="BJ157" s="30" t="str">
        <f t="shared" si="32"/>
        <v>No</v>
      </c>
    </row>
    <row r="158" spans="2:62" ht="14">
      <c r="B158" s="305" t="str">
        <f>'F-1 Off-Site WaterC'' Baseline'!AS156</f>
        <v/>
      </c>
      <c r="C158" s="295" t="str">
        <f>IF(B158="","",VLOOKUP($B158,'F-1 Off-Site WaterC'' Baseline'!$C$9:$R$257,2,FALSE))</f>
        <v/>
      </c>
      <c r="D158" s="295" t="str">
        <f>IF(C158="","",VLOOKUP($B158,'F-1 Off-Site WaterC'' Baseline'!$C$9:$R$257,3,FALSE))</f>
        <v/>
      </c>
      <c r="E158" s="295" t="str">
        <f>IF(D158="","",VLOOKUP($B158,'F-1 Off-Site WaterC'' Baseline'!$C$9:$R$257,4,FALSE))</f>
        <v/>
      </c>
      <c r="F158" s="295" t="str">
        <f>IF(E158="","",VLOOKUP($B158,'F-1 Off-Site WaterC'' Baseline'!$C$9:$R$257,5,FALSE))</f>
        <v/>
      </c>
      <c r="G158" s="295" t="str">
        <f>IF(F158="","",VLOOKUP($B158,'F-1 Off-Site WaterC'' Baseline'!$C$9:$R$257,6,FALSE))</f>
        <v/>
      </c>
      <c r="H158" s="295" t="str">
        <f>IF(G158="","",VLOOKUP($B158,'F-1 Off-Site WaterC'' Baseline'!$C$9:$R$257,7,FALSE))</f>
        <v/>
      </c>
      <c r="I158" s="295" t="str">
        <f>IF(H158="","",VLOOKUP($B158,'F-1 Off-Site WaterC'' Baseline'!$C$9:$R$257,8,FALSE))</f>
        <v/>
      </c>
      <c r="J158" s="295" t="str">
        <f>IF(I158="","",VLOOKUP($B158,'F-1 Off-Site WaterC'' Baseline'!$C$9:$R$257,9,FALSE))</f>
        <v/>
      </c>
      <c r="K158" s="295" t="str">
        <f>IF(J158="","",VLOOKUP($B158,'F-1 Off-Site WaterC'' Baseline'!$C$9:$R$257,10,FALSE))</f>
        <v/>
      </c>
      <c r="L158" s="283" t="str">
        <f>IF(B158="","",VLOOKUP($B158,'F-1 Off-Site WaterC'' Baseline'!$C$9:$R$257,15,FALSE))</f>
        <v/>
      </c>
      <c r="M158" s="299" t="str">
        <f>IF(L158="","",VLOOKUP($B158,'F-1 Off-Site WaterC'' Baseline'!$C$9:$V$257,19,FALSE))</f>
        <v/>
      </c>
      <c r="N158" s="244"/>
      <c r="O158" s="275" t="str">
        <f t="shared" si="25"/>
        <v/>
      </c>
      <c r="P158" s="276" t="str">
        <f t="shared" si="26"/>
        <v/>
      </c>
      <c r="Q158" s="281" t="str">
        <f>IF(N158="","",VLOOKUP(B158,'F-1 Off-Site WaterC'' Baseline'!$C$10:$AF$257,23,FALSE))</f>
        <v/>
      </c>
      <c r="R158" s="275" t="str">
        <f>IF(N158="","",VLOOKUP(N158,'G-7 WaterC'' Data'!$B$2:$G$8,2,FALSE))</f>
        <v/>
      </c>
      <c r="S158" s="276" t="str">
        <f>IFERROR(VLOOKUP(R158,'G-7 WaterC'' Data'!$C$4:$D$8,2,FALSE),"")</f>
        <v/>
      </c>
      <c r="T158" s="101"/>
      <c r="U158" s="276" t="str">
        <f>IFERROR(INDEX('G-7 WaterC'' Data'!$H$4:$L$8,MATCH(N158,'G-7 WaterC'' Data'!$B$4:$B$8,0),MATCH(T158,'G-7 WaterC'' Data'!$H$3:$L$3,0)),"")</f>
        <v/>
      </c>
      <c r="V158" s="105"/>
      <c r="W158" s="295" t="str">
        <f>IF(V158="","",IF(VLOOKUP(V158,'G-7 WaterC'' Data'!$AK$4:$AM$6,2,FALSE)=0,"Spatial Data Missing ⚠",VLOOKUP(V158,'G-7 WaterC'' Data'!$AK$4:$AM$6,2,FALSE)))</f>
        <v/>
      </c>
      <c r="X158" s="299" t="str">
        <f>IF(V158="","",IF(VLOOKUP(V158,'G-7 WaterC'' Data'!$AK$4:$AM$6,3,FALSE)=0,"Spatial Data Missing ⚠",VLOOKUP(V158,'G-7 WaterC'' Data'!$AK$4:$AM$6,3,FALSE)))</f>
        <v/>
      </c>
      <c r="Y158" s="311" t="str">
        <f>IFERROR(IF(OR(LEFT(P158,5)="Error",LEFT(O158,5)="Error"),"Check Data ⚠",IF(F158&lt;S158,'G-7 WaterC'' Data'!$R$3,INDEX('G-7 WaterC'' Data'!$U$5:$Y$9,MATCH(G158,'G-7 WaterC'' Data'!$T$5:$T$9,0),MATCH(T158,'G-7 WaterC'' Data'!$U$4:$Y$4,0)))),"")</f>
        <v/>
      </c>
      <c r="Z158" s="138"/>
      <c r="AA158" s="138"/>
      <c r="AB158" s="308" t="str">
        <f t="shared" si="22"/>
        <v/>
      </c>
      <c r="AC158" s="296" t="str">
        <f t="shared" si="27"/>
        <v/>
      </c>
      <c r="AD158" s="334" t="str">
        <f>IFERROR(IF(AC158="Check Data ⚠","Check Data ⚠",VLOOKUP(AC158,'G-4 Temporal multipliers'!$A$4:$C$37,3,FALSE)),"")</f>
        <v/>
      </c>
      <c r="AE158" s="311" t="str">
        <f>IF(N158="","",VLOOKUP(N158,'G-7 WaterC'' Data'!$B$4:$G$8,5,FALSE))</f>
        <v/>
      </c>
      <c r="AF158" s="295" t="str">
        <f t="shared" si="23"/>
        <v/>
      </c>
      <c r="AG158" s="295" t="str">
        <f t="shared" si="28"/>
        <v/>
      </c>
      <c r="AH158" s="276" t="str">
        <f t="shared" si="24"/>
        <v/>
      </c>
      <c r="AI158" s="105"/>
      <c r="AJ158" s="276" t="str">
        <f>IF(AI158="","",(IF(AND(AI158="N/A - Culvert",N158&lt;&gt;"Culvert"),"Not possible ▲",IF(VLOOKUP(AI158,'G-7 WaterC'' Data'!$AA$4:$AB$7,2,FALSE)=0,"Spatial Data Missing ⚠",VLOOKUP(AI158,'G-7 WaterC'' Data'!$AA$4:$AB$7,2,FALSE)))))</f>
        <v/>
      </c>
      <c r="AK158" s="106"/>
      <c r="AL158" s="310" t="str">
        <f>IF(AK158="","",IF(AND(AK158="N/A - Culvert",N158&lt;&gt;"Culvert"),"Not possible ▲",IF(VLOOKUP(AK158,'G-7 WaterC'' Data'!$AD$4:$AE$14,2,FALSE)=0,"Spatial Data Missing ⚠",VLOOKUP(AK158,'G-7 WaterC'' Data'!$AD$4:$AE$14,2,FALSE))))</f>
        <v/>
      </c>
      <c r="AM158" s="275" t="str">
        <f>IF(B158="","",VLOOKUP($B158,'F-1 Off-Site WaterC'' Baseline'!$C$9:$Z$257,17,FALSE))</f>
        <v/>
      </c>
      <c r="AN158" s="276" t="str">
        <f>IF(AM158="","",IF(VLOOKUP(AM158,'G-7 WaterC'' Data'!$AO$4:$BO$7,2,FALSE)=0,"Spatial Data Missing ⚠",VLOOKUP(AM158,'G-7 WaterC'' Data'!$AO$4:$BO$7,2,FALSE)))</f>
        <v/>
      </c>
      <c r="AO158" s="317" t="str">
        <f t="shared" si="29"/>
        <v/>
      </c>
      <c r="AP158" s="317" t="str">
        <f t="shared" si="30"/>
        <v/>
      </c>
      <c r="AQ158" s="101"/>
      <c r="AR158" s="115"/>
      <c r="AS158" s="104"/>
      <c r="AT158" s="104"/>
      <c r="AW158" s="30" t="str">
        <f>IF(E158="","",VLOOKUP($B158,'F-1 Off-Site WaterC'' Baseline'!$C$9:$Z$257,12,FALSE))</f>
        <v/>
      </c>
      <c r="AX158" s="30" t="str">
        <f>IF(E158="","",VLOOKUP($B158,'F-1 Off-Site WaterC'' Baseline'!$C$9:$Z$257,14,FALSE))</f>
        <v/>
      </c>
      <c r="AY158" s="30" t="str">
        <f>IFERROR(INDEX('G-7 WaterC'' Data'!$AZ$3:$AZ$7,MATCH(N158,'G-7 WaterC'' Data'!$AY$3:$AY$7,0)),"")</f>
        <v/>
      </c>
      <c r="AZ158" s="30" t="str">
        <f>IF(B158="","",IF(ISNA(VLOOKUP($B158,'F-1 Off-Site WaterC'' Baseline'!$C$8:$AD$257,20,FALSE)),"",(VLOOKUP($B158,'F-1 Off-Site WaterC'' Baseline'!$C$8:$AD$257,20,FALSE))))</f>
        <v/>
      </c>
      <c r="BC158" s="30" t="str">
        <f>IF(B158="","",VLOOKUP($B158,'F-1 Off-Site WaterC'' Baseline'!$C$9:$AB$257,25,FALSE))</f>
        <v/>
      </c>
      <c r="BD158" s="30" t="str">
        <f t="shared" si="31"/>
        <v/>
      </c>
      <c r="BE158" s="30" t="str">
        <f>IF(B158="","",VLOOKUP($B158,'F-1 Off-Site WaterC'' Baseline'!$C$9:$AB$257,24,FALSE))</f>
        <v/>
      </c>
      <c r="BF158" s="30" t="str">
        <f>IF(B158="","",VLOOKUP($B158,'F-1 Off-Site WaterC'' Baseline'!$C$9:$AB$257,22,FALSE))</f>
        <v/>
      </c>
      <c r="BJ158" s="30" t="str">
        <f t="shared" si="32"/>
        <v>No</v>
      </c>
    </row>
    <row r="159" spans="2:62" ht="14">
      <c r="B159" s="305" t="str">
        <f>'F-1 Off-Site WaterC'' Baseline'!AS157</f>
        <v/>
      </c>
      <c r="C159" s="295" t="str">
        <f>IF(B159="","",VLOOKUP($B159,'F-1 Off-Site WaterC'' Baseline'!$C$9:$R$257,2,FALSE))</f>
        <v/>
      </c>
      <c r="D159" s="295" t="str">
        <f>IF(C159="","",VLOOKUP($B159,'F-1 Off-Site WaterC'' Baseline'!$C$9:$R$257,3,FALSE))</f>
        <v/>
      </c>
      <c r="E159" s="295" t="str">
        <f>IF(D159="","",VLOOKUP($B159,'F-1 Off-Site WaterC'' Baseline'!$C$9:$R$257,4,FALSE))</f>
        <v/>
      </c>
      <c r="F159" s="295" t="str">
        <f>IF(E159="","",VLOOKUP($B159,'F-1 Off-Site WaterC'' Baseline'!$C$9:$R$257,5,FALSE))</f>
        <v/>
      </c>
      <c r="G159" s="295" t="str">
        <f>IF(F159="","",VLOOKUP($B159,'F-1 Off-Site WaterC'' Baseline'!$C$9:$R$257,6,FALSE))</f>
        <v/>
      </c>
      <c r="H159" s="295" t="str">
        <f>IF(G159="","",VLOOKUP($B159,'F-1 Off-Site WaterC'' Baseline'!$C$9:$R$257,7,FALSE))</f>
        <v/>
      </c>
      <c r="I159" s="295" t="str">
        <f>IF(H159="","",VLOOKUP($B159,'F-1 Off-Site WaterC'' Baseline'!$C$9:$R$257,8,FALSE))</f>
        <v/>
      </c>
      <c r="J159" s="295" t="str">
        <f>IF(I159="","",VLOOKUP($B159,'F-1 Off-Site WaterC'' Baseline'!$C$9:$R$257,9,FALSE))</f>
        <v/>
      </c>
      <c r="K159" s="295" t="str">
        <f>IF(J159="","",VLOOKUP($B159,'F-1 Off-Site WaterC'' Baseline'!$C$9:$R$257,10,FALSE))</f>
        <v/>
      </c>
      <c r="L159" s="283" t="str">
        <f>IF(B159="","",VLOOKUP($B159,'F-1 Off-Site WaterC'' Baseline'!$C$9:$R$257,15,FALSE))</f>
        <v/>
      </c>
      <c r="M159" s="299" t="str">
        <f>IF(L159="","",VLOOKUP($B159,'F-1 Off-Site WaterC'' Baseline'!$C$9:$V$257,19,FALSE))</f>
        <v/>
      </c>
      <c r="N159" s="244"/>
      <c r="O159" s="275" t="str">
        <f t="shared" si="25"/>
        <v/>
      </c>
      <c r="P159" s="276" t="str">
        <f t="shared" si="26"/>
        <v/>
      </c>
      <c r="Q159" s="281" t="str">
        <f>IF(N159="","",VLOOKUP(B159,'F-1 Off-Site WaterC'' Baseline'!$C$10:$AF$257,23,FALSE))</f>
        <v/>
      </c>
      <c r="R159" s="275" t="str">
        <f>IF(N159="","",VLOOKUP(N159,'G-7 WaterC'' Data'!$B$2:$G$8,2,FALSE))</f>
        <v/>
      </c>
      <c r="S159" s="276" t="str">
        <f>IFERROR(VLOOKUP(R159,'G-7 WaterC'' Data'!$C$4:$D$8,2,FALSE),"")</f>
        <v/>
      </c>
      <c r="T159" s="101"/>
      <c r="U159" s="276" t="str">
        <f>IFERROR(INDEX('G-7 WaterC'' Data'!$H$4:$L$8,MATCH(N159,'G-7 WaterC'' Data'!$B$4:$B$8,0),MATCH(T159,'G-7 WaterC'' Data'!$H$3:$L$3,0)),"")</f>
        <v/>
      </c>
      <c r="V159" s="105"/>
      <c r="W159" s="295" t="str">
        <f>IF(V159="","",IF(VLOOKUP(V159,'G-7 WaterC'' Data'!$AK$4:$AM$6,2,FALSE)=0,"Spatial Data Missing ⚠",VLOOKUP(V159,'G-7 WaterC'' Data'!$AK$4:$AM$6,2,FALSE)))</f>
        <v/>
      </c>
      <c r="X159" s="299" t="str">
        <f>IF(V159="","",IF(VLOOKUP(V159,'G-7 WaterC'' Data'!$AK$4:$AM$6,3,FALSE)=0,"Spatial Data Missing ⚠",VLOOKUP(V159,'G-7 WaterC'' Data'!$AK$4:$AM$6,3,FALSE)))</f>
        <v/>
      </c>
      <c r="Y159" s="311" t="str">
        <f>IFERROR(IF(OR(LEFT(P159,5)="Error",LEFT(O159,5)="Error"),"Check Data ⚠",IF(F159&lt;S159,'G-7 WaterC'' Data'!$R$3,INDEX('G-7 WaterC'' Data'!$U$5:$Y$9,MATCH(G159,'G-7 WaterC'' Data'!$T$5:$T$9,0),MATCH(T159,'G-7 WaterC'' Data'!$U$4:$Y$4,0)))),"")</f>
        <v/>
      </c>
      <c r="Z159" s="138"/>
      <c r="AA159" s="138"/>
      <c r="AB159" s="308" t="str">
        <f t="shared" si="22"/>
        <v/>
      </c>
      <c r="AC159" s="296" t="str">
        <f t="shared" si="27"/>
        <v/>
      </c>
      <c r="AD159" s="334" t="str">
        <f>IFERROR(IF(AC159="Check Data ⚠","Check Data ⚠",VLOOKUP(AC159,'G-4 Temporal multipliers'!$A$4:$C$37,3,FALSE)),"")</f>
        <v/>
      </c>
      <c r="AE159" s="311" t="str">
        <f>IF(N159="","",VLOOKUP(N159,'G-7 WaterC'' Data'!$B$4:$G$8,5,FALSE))</f>
        <v/>
      </c>
      <c r="AF159" s="295" t="str">
        <f t="shared" si="23"/>
        <v/>
      </c>
      <c r="AG159" s="295" t="str">
        <f t="shared" si="28"/>
        <v/>
      </c>
      <c r="AH159" s="276" t="str">
        <f t="shared" si="24"/>
        <v/>
      </c>
      <c r="AI159" s="105"/>
      <c r="AJ159" s="276" t="str">
        <f>IF(AI159="","",(IF(AND(AI159="N/A - Culvert",N159&lt;&gt;"Culvert"),"Not possible ▲",IF(VLOOKUP(AI159,'G-7 WaterC'' Data'!$AA$4:$AB$7,2,FALSE)=0,"Spatial Data Missing ⚠",VLOOKUP(AI159,'G-7 WaterC'' Data'!$AA$4:$AB$7,2,FALSE)))))</f>
        <v/>
      </c>
      <c r="AK159" s="106"/>
      <c r="AL159" s="310" t="str">
        <f>IF(AK159="","",IF(AND(AK159="N/A - Culvert",N159&lt;&gt;"Culvert"),"Not possible ▲",IF(VLOOKUP(AK159,'G-7 WaterC'' Data'!$AD$4:$AE$14,2,FALSE)=0,"Spatial Data Missing ⚠",VLOOKUP(AK159,'G-7 WaterC'' Data'!$AD$4:$AE$14,2,FALSE))))</f>
        <v/>
      </c>
      <c r="AM159" s="275" t="str">
        <f>IF(B159="","",VLOOKUP($B159,'F-1 Off-Site WaterC'' Baseline'!$C$9:$Z$257,17,FALSE))</f>
        <v/>
      </c>
      <c r="AN159" s="276" t="str">
        <f>IF(AM159="","",IF(VLOOKUP(AM159,'G-7 WaterC'' Data'!$AO$4:$BO$7,2,FALSE)=0,"Spatial Data Missing ⚠",VLOOKUP(AM159,'G-7 WaterC'' Data'!$AO$4:$BO$7,2,FALSE)))</f>
        <v/>
      </c>
      <c r="AO159" s="317" t="str">
        <f t="shared" si="29"/>
        <v/>
      </c>
      <c r="AP159" s="317" t="str">
        <f t="shared" si="30"/>
        <v/>
      </c>
      <c r="AQ159" s="101"/>
      <c r="AR159" s="115"/>
      <c r="AS159" s="104"/>
      <c r="AT159" s="104"/>
      <c r="AW159" s="30" t="str">
        <f>IF(E159="","",VLOOKUP($B159,'F-1 Off-Site WaterC'' Baseline'!$C$9:$Z$257,12,FALSE))</f>
        <v/>
      </c>
      <c r="AX159" s="30" t="str">
        <f>IF(E159="","",VLOOKUP($B159,'F-1 Off-Site WaterC'' Baseline'!$C$9:$Z$257,14,FALSE))</f>
        <v/>
      </c>
      <c r="AY159" s="30" t="str">
        <f>IFERROR(INDEX('G-7 WaterC'' Data'!$AZ$3:$AZ$7,MATCH(N159,'G-7 WaterC'' Data'!$AY$3:$AY$7,0)),"")</f>
        <v/>
      </c>
      <c r="AZ159" s="30" t="str">
        <f>IF(B159="","",IF(ISNA(VLOOKUP($B159,'F-1 Off-Site WaterC'' Baseline'!$C$8:$AD$257,20,FALSE)),"",(VLOOKUP($B159,'F-1 Off-Site WaterC'' Baseline'!$C$8:$AD$257,20,FALSE))))</f>
        <v/>
      </c>
      <c r="BC159" s="30" t="str">
        <f>IF(B159="","",VLOOKUP($B159,'F-1 Off-Site WaterC'' Baseline'!$C$9:$AB$257,25,FALSE))</f>
        <v/>
      </c>
      <c r="BD159" s="30" t="str">
        <f t="shared" si="31"/>
        <v/>
      </c>
      <c r="BE159" s="30" t="str">
        <f>IF(B159="","",VLOOKUP($B159,'F-1 Off-Site WaterC'' Baseline'!$C$9:$AB$257,24,FALSE))</f>
        <v/>
      </c>
      <c r="BF159" s="30" t="str">
        <f>IF(B159="","",VLOOKUP($B159,'F-1 Off-Site WaterC'' Baseline'!$C$9:$AB$257,22,FALSE))</f>
        <v/>
      </c>
      <c r="BJ159" s="30" t="str">
        <f t="shared" si="32"/>
        <v>No</v>
      </c>
    </row>
    <row r="160" spans="2:62" ht="14">
      <c r="B160" s="305" t="str">
        <f>'F-1 Off-Site WaterC'' Baseline'!AS158</f>
        <v/>
      </c>
      <c r="C160" s="295" t="str">
        <f>IF(B160="","",VLOOKUP($B160,'F-1 Off-Site WaterC'' Baseline'!$C$9:$R$257,2,FALSE))</f>
        <v/>
      </c>
      <c r="D160" s="295" t="str">
        <f>IF(C160="","",VLOOKUP($B160,'F-1 Off-Site WaterC'' Baseline'!$C$9:$R$257,3,FALSE))</f>
        <v/>
      </c>
      <c r="E160" s="295" t="str">
        <f>IF(D160="","",VLOOKUP($B160,'F-1 Off-Site WaterC'' Baseline'!$C$9:$R$257,4,FALSE))</f>
        <v/>
      </c>
      <c r="F160" s="295" t="str">
        <f>IF(E160="","",VLOOKUP($B160,'F-1 Off-Site WaterC'' Baseline'!$C$9:$R$257,5,FALSE))</f>
        <v/>
      </c>
      <c r="G160" s="295" t="str">
        <f>IF(F160="","",VLOOKUP($B160,'F-1 Off-Site WaterC'' Baseline'!$C$9:$R$257,6,FALSE))</f>
        <v/>
      </c>
      <c r="H160" s="295" t="str">
        <f>IF(G160="","",VLOOKUP($B160,'F-1 Off-Site WaterC'' Baseline'!$C$9:$R$257,7,FALSE))</f>
        <v/>
      </c>
      <c r="I160" s="295" t="str">
        <f>IF(H160="","",VLOOKUP($B160,'F-1 Off-Site WaterC'' Baseline'!$C$9:$R$257,8,FALSE))</f>
        <v/>
      </c>
      <c r="J160" s="295" t="str">
        <f>IF(I160="","",VLOOKUP($B160,'F-1 Off-Site WaterC'' Baseline'!$C$9:$R$257,9,FALSE))</f>
        <v/>
      </c>
      <c r="K160" s="295" t="str">
        <f>IF(J160="","",VLOOKUP($B160,'F-1 Off-Site WaterC'' Baseline'!$C$9:$R$257,10,FALSE))</f>
        <v/>
      </c>
      <c r="L160" s="283" t="str">
        <f>IF(B160="","",VLOOKUP($B160,'F-1 Off-Site WaterC'' Baseline'!$C$9:$R$257,15,FALSE))</f>
        <v/>
      </c>
      <c r="M160" s="299" t="str">
        <f>IF(L160="","",VLOOKUP($B160,'F-1 Off-Site WaterC'' Baseline'!$C$9:$V$257,19,FALSE))</f>
        <v/>
      </c>
      <c r="N160" s="244"/>
      <c r="O160" s="275" t="str">
        <f t="shared" si="25"/>
        <v/>
      </c>
      <c r="P160" s="276" t="str">
        <f t="shared" si="26"/>
        <v/>
      </c>
      <c r="Q160" s="281" t="str">
        <f>IF(N160="","",VLOOKUP(B160,'F-1 Off-Site WaterC'' Baseline'!$C$10:$AF$257,23,FALSE))</f>
        <v/>
      </c>
      <c r="R160" s="275" t="str">
        <f>IF(N160="","",VLOOKUP(N160,'G-7 WaterC'' Data'!$B$2:$G$8,2,FALSE))</f>
        <v/>
      </c>
      <c r="S160" s="276" t="str">
        <f>IFERROR(VLOOKUP(R160,'G-7 WaterC'' Data'!$C$4:$D$8,2,FALSE),"")</f>
        <v/>
      </c>
      <c r="T160" s="101"/>
      <c r="U160" s="276" t="str">
        <f>IFERROR(INDEX('G-7 WaterC'' Data'!$H$4:$L$8,MATCH(N160,'G-7 WaterC'' Data'!$B$4:$B$8,0),MATCH(T160,'G-7 WaterC'' Data'!$H$3:$L$3,0)),"")</f>
        <v/>
      </c>
      <c r="V160" s="105"/>
      <c r="W160" s="295" t="str">
        <f>IF(V160="","",IF(VLOOKUP(V160,'G-7 WaterC'' Data'!$AK$4:$AM$6,2,FALSE)=0,"Spatial Data Missing ⚠",VLOOKUP(V160,'G-7 WaterC'' Data'!$AK$4:$AM$6,2,FALSE)))</f>
        <v/>
      </c>
      <c r="X160" s="299" t="str">
        <f>IF(V160="","",IF(VLOOKUP(V160,'G-7 WaterC'' Data'!$AK$4:$AM$6,3,FALSE)=0,"Spatial Data Missing ⚠",VLOOKUP(V160,'G-7 WaterC'' Data'!$AK$4:$AM$6,3,FALSE)))</f>
        <v/>
      </c>
      <c r="Y160" s="311" t="str">
        <f>IFERROR(IF(OR(LEFT(P160,5)="Error",LEFT(O160,5)="Error"),"Check Data ⚠",IF(F160&lt;S160,'G-7 WaterC'' Data'!$R$3,INDEX('G-7 WaterC'' Data'!$U$5:$Y$9,MATCH(G160,'G-7 WaterC'' Data'!$T$5:$T$9,0),MATCH(T160,'G-7 WaterC'' Data'!$U$4:$Y$4,0)))),"")</f>
        <v/>
      </c>
      <c r="Z160" s="138"/>
      <c r="AA160" s="138"/>
      <c r="AB160" s="308" t="str">
        <f t="shared" si="22"/>
        <v/>
      </c>
      <c r="AC160" s="296" t="str">
        <f t="shared" si="27"/>
        <v/>
      </c>
      <c r="AD160" s="334" t="str">
        <f>IFERROR(IF(AC160="Check Data ⚠","Check Data ⚠",VLOOKUP(AC160,'G-4 Temporal multipliers'!$A$4:$C$37,3,FALSE)),"")</f>
        <v/>
      </c>
      <c r="AE160" s="311" t="str">
        <f>IF(N160="","",VLOOKUP(N160,'G-7 WaterC'' Data'!$B$4:$G$8,5,FALSE))</f>
        <v/>
      </c>
      <c r="AF160" s="295" t="str">
        <f t="shared" si="23"/>
        <v/>
      </c>
      <c r="AG160" s="295" t="str">
        <f t="shared" si="28"/>
        <v/>
      </c>
      <c r="AH160" s="276" t="str">
        <f t="shared" si="24"/>
        <v/>
      </c>
      <c r="AI160" s="105"/>
      <c r="AJ160" s="276" t="str">
        <f>IF(AI160="","",(IF(AND(AI160="N/A - Culvert",N160&lt;&gt;"Culvert"),"Not possible ▲",IF(VLOOKUP(AI160,'G-7 WaterC'' Data'!$AA$4:$AB$7,2,FALSE)=0,"Spatial Data Missing ⚠",VLOOKUP(AI160,'G-7 WaterC'' Data'!$AA$4:$AB$7,2,FALSE)))))</f>
        <v/>
      </c>
      <c r="AK160" s="106"/>
      <c r="AL160" s="310" t="str">
        <f>IF(AK160="","",IF(AND(AK160="N/A - Culvert",N160&lt;&gt;"Culvert"),"Not possible ▲",IF(VLOOKUP(AK160,'G-7 WaterC'' Data'!$AD$4:$AE$14,2,FALSE)=0,"Spatial Data Missing ⚠",VLOOKUP(AK160,'G-7 WaterC'' Data'!$AD$4:$AE$14,2,FALSE))))</f>
        <v/>
      </c>
      <c r="AM160" s="275" t="str">
        <f>IF(B160="","",VLOOKUP($B160,'F-1 Off-Site WaterC'' Baseline'!$C$9:$Z$257,17,FALSE))</f>
        <v/>
      </c>
      <c r="AN160" s="276" t="str">
        <f>IF(AM160="","",IF(VLOOKUP(AM160,'G-7 WaterC'' Data'!$AO$4:$BO$7,2,FALSE)=0,"Spatial Data Missing ⚠",VLOOKUP(AM160,'G-7 WaterC'' Data'!$AO$4:$BO$7,2,FALSE)))</f>
        <v/>
      </c>
      <c r="AO160" s="317" t="str">
        <f t="shared" si="29"/>
        <v/>
      </c>
      <c r="AP160" s="317" t="str">
        <f t="shared" si="30"/>
        <v/>
      </c>
      <c r="AQ160" s="101"/>
      <c r="AR160" s="115"/>
      <c r="AS160" s="104"/>
      <c r="AT160" s="104"/>
      <c r="AW160" s="30" t="str">
        <f>IF(E160="","",VLOOKUP($B160,'F-1 Off-Site WaterC'' Baseline'!$C$9:$Z$257,12,FALSE))</f>
        <v/>
      </c>
      <c r="AX160" s="30" t="str">
        <f>IF(E160="","",VLOOKUP($B160,'F-1 Off-Site WaterC'' Baseline'!$C$9:$Z$257,14,FALSE))</f>
        <v/>
      </c>
      <c r="AY160" s="30" t="str">
        <f>IFERROR(INDEX('G-7 WaterC'' Data'!$AZ$3:$AZ$7,MATCH(N160,'G-7 WaterC'' Data'!$AY$3:$AY$7,0)),"")</f>
        <v/>
      </c>
      <c r="AZ160" s="30" t="str">
        <f>IF(B160="","",IF(ISNA(VLOOKUP($B160,'F-1 Off-Site WaterC'' Baseline'!$C$8:$AD$257,20,FALSE)),"",(VLOOKUP($B160,'F-1 Off-Site WaterC'' Baseline'!$C$8:$AD$257,20,FALSE))))</f>
        <v/>
      </c>
      <c r="BC160" s="30" t="str">
        <f>IF(B160="","",VLOOKUP($B160,'F-1 Off-Site WaterC'' Baseline'!$C$9:$AB$257,25,FALSE))</f>
        <v/>
      </c>
      <c r="BD160" s="30" t="str">
        <f t="shared" si="31"/>
        <v/>
      </c>
      <c r="BE160" s="30" t="str">
        <f>IF(B160="","",VLOOKUP($B160,'F-1 Off-Site WaterC'' Baseline'!$C$9:$AB$257,24,FALSE))</f>
        <v/>
      </c>
      <c r="BF160" s="30" t="str">
        <f>IF(B160="","",VLOOKUP($B160,'F-1 Off-Site WaterC'' Baseline'!$C$9:$AB$257,22,FALSE))</f>
        <v/>
      </c>
      <c r="BJ160" s="30" t="str">
        <f t="shared" si="32"/>
        <v>No</v>
      </c>
    </row>
    <row r="161" spans="2:62" ht="14">
      <c r="B161" s="305" t="str">
        <f>'F-1 Off-Site WaterC'' Baseline'!AS159</f>
        <v/>
      </c>
      <c r="C161" s="295" t="str">
        <f>IF(B161="","",VLOOKUP($B161,'F-1 Off-Site WaterC'' Baseline'!$C$9:$R$257,2,FALSE))</f>
        <v/>
      </c>
      <c r="D161" s="295" t="str">
        <f>IF(C161="","",VLOOKUP($B161,'F-1 Off-Site WaterC'' Baseline'!$C$9:$R$257,3,FALSE))</f>
        <v/>
      </c>
      <c r="E161" s="295" t="str">
        <f>IF(D161="","",VLOOKUP($B161,'F-1 Off-Site WaterC'' Baseline'!$C$9:$R$257,4,FALSE))</f>
        <v/>
      </c>
      <c r="F161" s="295" t="str">
        <f>IF(E161="","",VLOOKUP($B161,'F-1 Off-Site WaterC'' Baseline'!$C$9:$R$257,5,FALSE))</f>
        <v/>
      </c>
      <c r="G161" s="295" t="str">
        <f>IF(F161="","",VLOOKUP($B161,'F-1 Off-Site WaterC'' Baseline'!$C$9:$R$257,6,FALSE))</f>
        <v/>
      </c>
      <c r="H161" s="295" t="str">
        <f>IF(G161="","",VLOOKUP($B161,'F-1 Off-Site WaterC'' Baseline'!$C$9:$R$257,7,FALSE))</f>
        <v/>
      </c>
      <c r="I161" s="295" t="str">
        <f>IF(H161="","",VLOOKUP($B161,'F-1 Off-Site WaterC'' Baseline'!$C$9:$R$257,8,FALSE))</f>
        <v/>
      </c>
      <c r="J161" s="295" t="str">
        <f>IF(I161="","",VLOOKUP($B161,'F-1 Off-Site WaterC'' Baseline'!$C$9:$R$257,9,FALSE))</f>
        <v/>
      </c>
      <c r="K161" s="295" t="str">
        <f>IF(J161="","",VLOOKUP($B161,'F-1 Off-Site WaterC'' Baseline'!$C$9:$R$257,10,FALSE))</f>
        <v/>
      </c>
      <c r="L161" s="283" t="str">
        <f>IF(B161="","",VLOOKUP($B161,'F-1 Off-Site WaterC'' Baseline'!$C$9:$R$257,15,FALSE))</f>
        <v/>
      </c>
      <c r="M161" s="299" t="str">
        <f>IF(L161="","",VLOOKUP($B161,'F-1 Off-Site WaterC'' Baseline'!$C$9:$V$257,19,FALSE))</f>
        <v/>
      </c>
      <c r="N161" s="244"/>
      <c r="O161" s="275" t="str">
        <f t="shared" si="25"/>
        <v/>
      </c>
      <c r="P161" s="276" t="str">
        <f t="shared" si="26"/>
        <v/>
      </c>
      <c r="Q161" s="281" t="str">
        <f>IF(N161="","",VLOOKUP(B161,'F-1 Off-Site WaterC'' Baseline'!$C$10:$AF$257,23,FALSE))</f>
        <v/>
      </c>
      <c r="R161" s="275" t="str">
        <f>IF(N161="","",VLOOKUP(N161,'G-7 WaterC'' Data'!$B$2:$G$8,2,FALSE))</f>
        <v/>
      </c>
      <c r="S161" s="276" t="str">
        <f>IFERROR(VLOOKUP(R161,'G-7 WaterC'' Data'!$C$4:$D$8,2,FALSE),"")</f>
        <v/>
      </c>
      <c r="T161" s="101"/>
      <c r="U161" s="276" t="str">
        <f>IFERROR(INDEX('G-7 WaterC'' Data'!$H$4:$L$8,MATCH(N161,'G-7 WaterC'' Data'!$B$4:$B$8,0),MATCH(T161,'G-7 WaterC'' Data'!$H$3:$L$3,0)),"")</f>
        <v/>
      </c>
      <c r="V161" s="105"/>
      <c r="W161" s="295" t="str">
        <f>IF(V161="","",IF(VLOOKUP(V161,'G-7 WaterC'' Data'!$AK$4:$AM$6,2,FALSE)=0,"Spatial Data Missing ⚠",VLOOKUP(V161,'G-7 WaterC'' Data'!$AK$4:$AM$6,2,FALSE)))</f>
        <v/>
      </c>
      <c r="X161" s="299" t="str">
        <f>IF(V161="","",IF(VLOOKUP(V161,'G-7 WaterC'' Data'!$AK$4:$AM$6,3,FALSE)=0,"Spatial Data Missing ⚠",VLOOKUP(V161,'G-7 WaterC'' Data'!$AK$4:$AM$6,3,FALSE)))</f>
        <v/>
      </c>
      <c r="Y161" s="311" t="str">
        <f>IFERROR(IF(OR(LEFT(P161,5)="Error",LEFT(O161,5)="Error"),"Check Data ⚠",IF(F161&lt;S161,'G-7 WaterC'' Data'!$R$3,INDEX('G-7 WaterC'' Data'!$U$5:$Y$9,MATCH(G161,'G-7 WaterC'' Data'!$T$5:$T$9,0),MATCH(T161,'G-7 WaterC'' Data'!$U$4:$Y$4,0)))),"")</f>
        <v/>
      </c>
      <c r="Z161" s="138"/>
      <c r="AA161" s="138"/>
      <c r="AB161" s="308" t="str">
        <f t="shared" si="22"/>
        <v/>
      </c>
      <c r="AC161" s="296" t="str">
        <f t="shared" si="27"/>
        <v/>
      </c>
      <c r="AD161" s="334" t="str">
        <f>IFERROR(IF(AC161="Check Data ⚠","Check Data ⚠",VLOOKUP(AC161,'G-4 Temporal multipliers'!$A$4:$C$37,3,FALSE)),"")</f>
        <v/>
      </c>
      <c r="AE161" s="311" t="str">
        <f>IF(N161="","",VLOOKUP(N161,'G-7 WaterC'' Data'!$B$4:$G$8,5,FALSE))</f>
        <v/>
      </c>
      <c r="AF161" s="295" t="str">
        <f t="shared" si="23"/>
        <v/>
      </c>
      <c r="AG161" s="295" t="str">
        <f t="shared" si="28"/>
        <v/>
      </c>
      <c r="AH161" s="276" t="str">
        <f t="shared" si="24"/>
        <v/>
      </c>
      <c r="AI161" s="105"/>
      <c r="AJ161" s="276" t="str">
        <f>IF(AI161="","",(IF(AND(AI161="N/A - Culvert",N161&lt;&gt;"Culvert"),"Not possible ▲",IF(VLOOKUP(AI161,'G-7 WaterC'' Data'!$AA$4:$AB$7,2,FALSE)=0,"Spatial Data Missing ⚠",VLOOKUP(AI161,'G-7 WaterC'' Data'!$AA$4:$AB$7,2,FALSE)))))</f>
        <v/>
      </c>
      <c r="AK161" s="106"/>
      <c r="AL161" s="310" t="str">
        <f>IF(AK161="","",IF(AND(AK161="N/A - Culvert",N161&lt;&gt;"Culvert"),"Not possible ▲",IF(VLOOKUP(AK161,'G-7 WaterC'' Data'!$AD$4:$AE$14,2,FALSE)=0,"Spatial Data Missing ⚠",VLOOKUP(AK161,'G-7 WaterC'' Data'!$AD$4:$AE$14,2,FALSE))))</f>
        <v/>
      </c>
      <c r="AM161" s="275" t="str">
        <f>IF(B161="","",VLOOKUP($B161,'F-1 Off-Site WaterC'' Baseline'!$C$9:$Z$257,17,FALSE))</f>
        <v/>
      </c>
      <c r="AN161" s="276" t="str">
        <f>IF(AM161="","",IF(VLOOKUP(AM161,'G-7 WaterC'' Data'!$AO$4:$BO$7,2,FALSE)=0,"Spatial Data Missing ⚠",VLOOKUP(AM161,'G-7 WaterC'' Data'!$AO$4:$BO$7,2,FALSE)))</f>
        <v/>
      </c>
      <c r="AO161" s="317" t="str">
        <f t="shared" si="29"/>
        <v/>
      </c>
      <c r="AP161" s="317" t="str">
        <f t="shared" si="30"/>
        <v/>
      </c>
      <c r="AQ161" s="101"/>
      <c r="AR161" s="115"/>
      <c r="AS161" s="104"/>
      <c r="AT161" s="104"/>
      <c r="AW161" s="30" t="str">
        <f>IF(E161="","",VLOOKUP($B161,'F-1 Off-Site WaterC'' Baseline'!$C$9:$Z$257,12,FALSE))</f>
        <v/>
      </c>
      <c r="AX161" s="30" t="str">
        <f>IF(E161="","",VLOOKUP($B161,'F-1 Off-Site WaterC'' Baseline'!$C$9:$Z$257,14,FALSE))</f>
        <v/>
      </c>
      <c r="AY161" s="30" t="str">
        <f>IFERROR(INDEX('G-7 WaterC'' Data'!$AZ$3:$AZ$7,MATCH(N161,'G-7 WaterC'' Data'!$AY$3:$AY$7,0)),"")</f>
        <v/>
      </c>
      <c r="AZ161" s="30" t="str">
        <f>IF(B161="","",IF(ISNA(VLOOKUP($B161,'F-1 Off-Site WaterC'' Baseline'!$C$8:$AD$257,20,FALSE)),"",(VLOOKUP($B161,'F-1 Off-Site WaterC'' Baseline'!$C$8:$AD$257,20,FALSE))))</f>
        <v/>
      </c>
      <c r="BC161" s="30" t="str">
        <f>IF(B161="","",VLOOKUP($B161,'F-1 Off-Site WaterC'' Baseline'!$C$9:$AB$257,25,FALSE))</f>
        <v/>
      </c>
      <c r="BD161" s="30" t="str">
        <f t="shared" si="31"/>
        <v/>
      </c>
      <c r="BE161" s="30" t="str">
        <f>IF(B161="","",VLOOKUP($B161,'F-1 Off-Site WaterC'' Baseline'!$C$9:$AB$257,24,FALSE))</f>
        <v/>
      </c>
      <c r="BF161" s="30" t="str">
        <f>IF(B161="","",VLOOKUP($B161,'F-1 Off-Site WaterC'' Baseline'!$C$9:$AB$257,22,FALSE))</f>
        <v/>
      </c>
      <c r="BJ161" s="30" t="str">
        <f t="shared" si="32"/>
        <v>No</v>
      </c>
    </row>
    <row r="162" spans="2:62" ht="14">
      <c r="B162" s="305" t="str">
        <f>'F-1 Off-Site WaterC'' Baseline'!AS160</f>
        <v/>
      </c>
      <c r="C162" s="295" t="str">
        <f>IF(B162="","",VLOOKUP($B162,'F-1 Off-Site WaterC'' Baseline'!$C$9:$R$257,2,FALSE))</f>
        <v/>
      </c>
      <c r="D162" s="295" t="str">
        <f>IF(C162="","",VLOOKUP($B162,'F-1 Off-Site WaterC'' Baseline'!$C$9:$R$257,3,FALSE))</f>
        <v/>
      </c>
      <c r="E162" s="295" t="str">
        <f>IF(D162="","",VLOOKUP($B162,'F-1 Off-Site WaterC'' Baseline'!$C$9:$R$257,4,FALSE))</f>
        <v/>
      </c>
      <c r="F162" s="295" t="str">
        <f>IF(E162="","",VLOOKUP($B162,'F-1 Off-Site WaterC'' Baseline'!$C$9:$R$257,5,FALSE))</f>
        <v/>
      </c>
      <c r="G162" s="295" t="str">
        <f>IF(F162="","",VLOOKUP($B162,'F-1 Off-Site WaterC'' Baseline'!$C$9:$R$257,6,FALSE))</f>
        <v/>
      </c>
      <c r="H162" s="295" t="str">
        <f>IF(G162="","",VLOOKUP($B162,'F-1 Off-Site WaterC'' Baseline'!$C$9:$R$257,7,FALSE))</f>
        <v/>
      </c>
      <c r="I162" s="295" t="str">
        <f>IF(H162="","",VLOOKUP($B162,'F-1 Off-Site WaterC'' Baseline'!$C$9:$R$257,8,FALSE))</f>
        <v/>
      </c>
      <c r="J162" s="295" t="str">
        <f>IF(I162="","",VLOOKUP($B162,'F-1 Off-Site WaterC'' Baseline'!$C$9:$R$257,9,FALSE))</f>
        <v/>
      </c>
      <c r="K162" s="295" t="str">
        <f>IF(J162="","",VLOOKUP($B162,'F-1 Off-Site WaterC'' Baseline'!$C$9:$R$257,10,FALSE))</f>
        <v/>
      </c>
      <c r="L162" s="283" t="str">
        <f>IF(B162="","",VLOOKUP($B162,'F-1 Off-Site WaterC'' Baseline'!$C$9:$R$257,15,FALSE))</f>
        <v/>
      </c>
      <c r="M162" s="299" t="str">
        <f>IF(L162="","",VLOOKUP($B162,'F-1 Off-Site WaterC'' Baseline'!$C$9:$V$257,19,FALSE))</f>
        <v/>
      </c>
      <c r="N162" s="244"/>
      <c r="O162" s="275" t="str">
        <f t="shared" si="25"/>
        <v/>
      </c>
      <c r="P162" s="276" t="str">
        <f t="shared" si="26"/>
        <v/>
      </c>
      <c r="Q162" s="281" t="str">
        <f>IF(N162="","",VLOOKUP(B162,'F-1 Off-Site WaterC'' Baseline'!$C$10:$AF$257,23,FALSE))</f>
        <v/>
      </c>
      <c r="R162" s="275" t="str">
        <f>IF(N162="","",VLOOKUP(N162,'G-7 WaterC'' Data'!$B$2:$G$8,2,FALSE))</f>
        <v/>
      </c>
      <c r="S162" s="276" t="str">
        <f>IFERROR(VLOOKUP(R162,'G-7 WaterC'' Data'!$C$4:$D$8,2,FALSE),"")</f>
        <v/>
      </c>
      <c r="T162" s="101"/>
      <c r="U162" s="276" t="str">
        <f>IFERROR(INDEX('G-7 WaterC'' Data'!$H$4:$L$8,MATCH(N162,'G-7 WaterC'' Data'!$B$4:$B$8,0),MATCH(T162,'G-7 WaterC'' Data'!$H$3:$L$3,0)),"")</f>
        <v/>
      </c>
      <c r="V162" s="105"/>
      <c r="W162" s="295" t="str">
        <f>IF(V162="","",IF(VLOOKUP(V162,'G-7 WaterC'' Data'!$AK$4:$AM$6,2,FALSE)=0,"Spatial Data Missing ⚠",VLOOKUP(V162,'G-7 WaterC'' Data'!$AK$4:$AM$6,2,FALSE)))</f>
        <v/>
      </c>
      <c r="X162" s="299" t="str">
        <f>IF(V162="","",IF(VLOOKUP(V162,'G-7 WaterC'' Data'!$AK$4:$AM$6,3,FALSE)=0,"Spatial Data Missing ⚠",VLOOKUP(V162,'G-7 WaterC'' Data'!$AK$4:$AM$6,3,FALSE)))</f>
        <v/>
      </c>
      <c r="Y162" s="311" t="str">
        <f>IFERROR(IF(OR(LEFT(P162,5)="Error",LEFT(O162,5)="Error"),"Check Data ⚠",IF(F162&lt;S162,'G-7 WaterC'' Data'!$R$3,INDEX('G-7 WaterC'' Data'!$U$5:$Y$9,MATCH(G162,'G-7 WaterC'' Data'!$T$5:$T$9,0),MATCH(T162,'G-7 WaterC'' Data'!$U$4:$Y$4,0)))),"")</f>
        <v/>
      </c>
      <c r="Z162" s="138"/>
      <c r="AA162" s="138"/>
      <c r="AB162" s="308" t="str">
        <f t="shared" si="22"/>
        <v/>
      </c>
      <c r="AC162" s="296" t="str">
        <f t="shared" si="27"/>
        <v/>
      </c>
      <c r="AD162" s="334" t="str">
        <f>IFERROR(IF(AC162="Check Data ⚠","Check Data ⚠",VLOOKUP(AC162,'G-4 Temporal multipliers'!$A$4:$C$37,3,FALSE)),"")</f>
        <v/>
      </c>
      <c r="AE162" s="311" t="str">
        <f>IF(N162="","",VLOOKUP(N162,'G-7 WaterC'' Data'!$B$4:$G$8,5,FALSE))</f>
        <v/>
      </c>
      <c r="AF162" s="295" t="str">
        <f t="shared" si="23"/>
        <v/>
      </c>
      <c r="AG162" s="295" t="str">
        <f t="shared" si="28"/>
        <v/>
      </c>
      <c r="AH162" s="276" t="str">
        <f t="shared" si="24"/>
        <v/>
      </c>
      <c r="AI162" s="105"/>
      <c r="AJ162" s="276" t="str">
        <f>IF(AI162="","",(IF(AND(AI162="N/A - Culvert",N162&lt;&gt;"Culvert"),"Not possible ▲",IF(VLOOKUP(AI162,'G-7 WaterC'' Data'!$AA$4:$AB$7,2,FALSE)=0,"Spatial Data Missing ⚠",VLOOKUP(AI162,'G-7 WaterC'' Data'!$AA$4:$AB$7,2,FALSE)))))</f>
        <v/>
      </c>
      <c r="AK162" s="106"/>
      <c r="AL162" s="310" t="str">
        <f>IF(AK162="","",IF(AND(AK162="N/A - Culvert",N162&lt;&gt;"Culvert"),"Not possible ▲",IF(VLOOKUP(AK162,'G-7 WaterC'' Data'!$AD$4:$AE$14,2,FALSE)=0,"Spatial Data Missing ⚠",VLOOKUP(AK162,'G-7 WaterC'' Data'!$AD$4:$AE$14,2,FALSE))))</f>
        <v/>
      </c>
      <c r="AM162" s="275" t="str">
        <f>IF(B162="","",VLOOKUP($B162,'F-1 Off-Site WaterC'' Baseline'!$C$9:$Z$257,17,FALSE))</f>
        <v/>
      </c>
      <c r="AN162" s="276" t="str">
        <f>IF(AM162="","",IF(VLOOKUP(AM162,'G-7 WaterC'' Data'!$AO$4:$BO$7,2,FALSE)=0,"Spatial Data Missing ⚠",VLOOKUP(AM162,'G-7 WaterC'' Data'!$AO$4:$BO$7,2,FALSE)))</f>
        <v/>
      </c>
      <c r="AO162" s="317" t="str">
        <f t="shared" si="29"/>
        <v/>
      </c>
      <c r="AP162" s="317" t="str">
        <f t="shared" si="30"/>
        <v/>
      </c>
      <c r="AQ162" s="101"/>
      <c r="AR162" s="115"/>
      <c r="AS162" s="104"/>
      <c r="AT162" s="104"/>
      <c r="AW162" s="30" t="str">
        <f>IF(E162="","",VLOOKUP($B162,'F-1 Off-Site WaterC'' Baseline'!$C$9:$Z$257,12,FALSE))</f>
        <v/>
      </c>
      <c r="AX162" s="30" t="str">
        <f>IF(E162="","",VLOOKUP($B162,'F-1 Off-Site WaterC'' Baseline'!$C$9:$Z$257,14,FALSE))</f>
        <v/>
      </c>
      <c r="AY162" s="30" t="str">
        <f>IFERROR(INDEX('G-7 WaterC'' Data'!$AZ$3:$AZ$7,MATCH(N162,'G-7 WaterC'' Data'!$AY$3:$AY$7,0)),"")</f>
        <v/>
      </c>
      <c r="AZ162" s="30" t="str">
        <f>IF(B162="","",IF(ISNA(VLOOKUP($B162,'F-1 Off-Site WaterC'' Baseline'!$C$8:$AD$257,20,FALSE)),"",(VLOOKUP($B162,'F-1 Off-Site WaterC'' Baseline'!$C$8:$AD$257,20,FALSE))))</f>
        <v/>
      </c>
      <c r="BC162" s="30" t="str">
        <f>IF(B162="","",VLOOKUP($B162,'F-1 Off-Site WaterC'' Baseline'!$C$9:$AB$257,25,FALSE))</f>
        <v/>
      </c>
      <c r="BD162" s="30" t="str">
        <f t="shared" si="31"/>
        <v/>
      </c>
      <c r="BE162" s="30" t="str">
        <f>IF(B162="","",VLOOKUP($B162,'F-1 Off-Site WaterC'' Baseline'!$C$9:$AB$257,24,FALSE))</f>
        <v/>
      </c>
      <c r="BF162" s="30" t="str">
        <f>IF(B162="","",VLOOKUP($B162,'F-1 Off-Site WaterC'' Baseline'!$C$9:$AB$257,22,FALSE))</f>
        <v/>
      </c>
      <c r="BJ162" s="30" t="str">
        <f t="shared" si="32"/>
        <v>No</v>
      </c>
    </row>
    <row r="163" spans="2:62" ht="14">
      <c r="B163" s="305" t="str">
        <f>'F-1 Off-Site WaterC'' Baseline'!AS161</f>
        <v/>
      </c>
      <c r="C163" s="295" t="str">
        <f>IF(B163="","",VLOOKUP($B163,'F-1 Off-Site WaterC'' Baseline'!$C$9:$R$257,2,FALSE))</f>
        <v/>
      </c>
      <c r="D163" s="295" t="str">
        <f>IF(C163="","",VLOOKUP($B163,'F-1 Off-Site WaterC'' Baseline'!$C$9:$R$257,3,FALSE))</f>
        <v/>
      </c>
      <c r="E163" s="295" t="str">
        <f>IF(D163="","",VLOOKUP($B163,'F-1 Off-Site WaterC'' Baseline'!$C$9:$R$257,4,FALSE))</f>
        <v/>
      </c>
      <c r="F163" s="295" t="str">
        <f>IF(E163="","",VLOOKUP($B163,'F-1 Off-Site WaterC'' Baseline'!$C$9:$R$257,5,FALSE))</f>
        <v/>
      </c>
      <c r="G163" s="295" t="str">
        <f>IF(F163="","",VLOOKUP($B163,'F-1 Off-Site WaterC'' Baseline'!$C$9:$R$257,6,FALSE))</f>
        <v/>
      </c>
      <c r="H163" s="295" t="str">
        <f>IF(G163="","",VLOOKUP($B163,'F-1 Off-Site WaterC'' Baseline'!$C$9:$R$257,7,FALSE))</f>
        <v/>
      </c>
      <c r="I163" s="295" t="str">
        <f>IF(H163="","",VLOOKUP($B163,'F-1 Off-Site WaterC'' Baseline'!$C$9:$R$257,8,FALSE))</f>
        <v/>
      </c>
      <c r="J163" s="295" t="str">
        <f>IF(I163="","",VLOOKUP($B163,'F-1 Off-Site WaterC'' Baseline'!$C$9:$R$257,9,FALSE))</f>
        <v/>
      </c>
      <c r="K163" s="295" t="str">
        <f>IF(J163="","",VLOOKUP($B163,'F-1 Off-Site WaterC'' Baseline'!$C$9:$R$257,10,FALSE))</f>
        <v/>
      </c>
      <c r="L163" s="283" t="str">
        <f>IF(B163="","",VLOOKUP($B163,'F-1 Off-Site WaterC'' Baseline'!$C$9:$R$257,15,FALSE))</f>
        <v/>
      </c>
      <c r="M163" s="299" t="str">
        <f>IF(L163="","",VLOOKUP($B163,'F-1 Off-Site WaterC'' Baseline'!$C$9:$V$257,19,FALSE))</f>
        <v/>
      </c>
      <c r="N163" s="244"/>
      <c r="O163" s="275" t="str">
        <f t="shared" si="25"/>
        <v/>
      </c>
      <c r="P163" s="276" t="str">
        <f t="shared" si="26"/>
        <v/>
      </c>
      <c r="Q163" s="281" t="str">
        <f>IF(N163="","",VLOOKUP(B163,'F-1 Off-Site WaterC'' Baseline'!$C$10:$AF$257,23,FALSE))</f>
        <v/>
      </c>
      <c r="R163" s="275" t="str">
        <f>IF(N163="","",VLOOKUP(N163,'G-7 WaterC'' Data'!$B$2:$G$8,2,FALSE))</f>
        <v/>
      </c>
      <c r="S163" s="276" t="str">
        <f>IFERROR(VLOOKUP(R163,'G-7 WaterC'' Data'!$C$4:$D$8,2,FALSE),"")</f>
        <v/>
      </c>
      <c r="T163" s="101"/>
      <c r="U163" s="276" t="str">
        <f>IFERROR(INDEX('G-7 WaterC'' Data'!$H$4:$L$8,MATCH(N163,'G-7 WaterC'' Data'!$B$4:$B$8,0),MATCH(T163,'G-7 WaterC'' Data'!$H$3:$L$3,0)),"")</f>
        <v/>
      </c>
      <c r="V163" s="105"/>
      <c r="W163" s="295" t="str">
        <f>IF(V163="","",IF(VLOOKUP(V163,'G-7 WaterC'' Data'!$AK$4:$AM$6,2,FALSE)=0,"Spatial Data Missing ⚠",VLOOKUP(V163,'G-7 WaterC'' Data'!$AK$4:$AM$6,2,FALSE)))</f>
        <v/>
      </c>
      <c r="X163" s="299" t="str">
        <f>IF(V163="","",IF(VLOOKUP(V163,'G-7 WaterC'' Data'!$AK$4:$AM$6,3,FALSE)=0,"Spatial Data Missing ⚠",VLOOKUP(V163,'G-7 WaterC'' Data'!$AK$4:$AM$6,3,FALSE)))</f>
        <v/>
      </c>
      <c r="Y163" s="311" t="str">
        <f>IFERROR(IF(OR(LEFT(P163,5)="Error",LEFT(O163,5)="Error"),"Check Data ⚠",IF(F163&lt;S163,'G-7 WaterC'' Data'!$R$3,INDEX('G-7 WaterC'' Data'!$U$5:$Y$9,MATCH(G163,'G-7 WaterC'' Data'!$T$5:$T$9,0),MATCH(T163,'G-7 WaterC'' Data'!$U$4:$Y$4,0)))),"")</f>
        <v/>
      </c>
      <c r="Z163" s="138"/>
      <c r="AA163" s="138"/>
      <c r="AB163" s="308" t="str">
        <f t="shared" si="22"/>
        <v/>
      </c>
      <c r="AC163" s="296" t="str">
        <f t="shared" si="27"/>
        <v/>
      </c>
      <c r="AD163" s="334" t="str">
        <f>IFERROR(IF(AC163="Check Data ⚠","Check Data ⚠",VLOOKUP(AC163,'G-4 Temporal multipliers'!$A$4:$C$37,3,FALSE)),"")</f>
        <v/>
      </c>
      <c r="AE163" s="311" t="str">
        <f>IF(N163="","",VLOOKUP(N163,'G-7 WaterC'' Data'!$B$4:$G$8,5,FALSE))</f>
        <v/>
      </c>
      <c r="AF163" s="295" t="str">
        <f t="shared" si="23"/>
        <v/>
      </c>
      <c r="AG163" s="295" t="str">
        <f t="shared" si="28"/>
        <v/>
      </c>
      <c r="AH163" s="276" t="str">
        <f t="shared" si="24"/>
        <v/>
      </c>
      <c r="AI163" s="105"/>
      <c r="AJ163" s="276" t="str">
        <f>IF(AI163="","",(IF(AND(AI163="N/A - Culvert",N163&lt;&gt;"Culvert"),"Not possible ▲",IF(VLOOKUP(AI163,'G-7 WaterC'' Data'!$AA$4:$AB$7,2,FALSE)=0,"Spatial Data Missing ⚠",VLOOKUP(AI163,'G-7 WaterC'' Data'!$AA$4:$AB$7,2,FALSE)))))</f>
        <v/>
      </c>
      <c r="AK163" s="106"/>
      <c r="AL163" s="310" t="str">
        <f>IF(AK163="","",IF(AND(AK163="N/A - Culvert",N163&lt;&gt;"Culvert"),"Not possible ▲",IF(VLOOKUP(AK163,'G-7 WaterC'' Data'!$AD$4:$AE$14,2,FALSE)=0,"Spatial Data Missing ⚠",VLOOKUP(AK163,'G-7 WaterC'' Data'!$AD$4:$AE$14,2,FALSE))))</f>
        <v/>
      </c>
      <c r="AM163" s="275" t="str">
        <f>IF(B163="","",VLOOKUP($B163,'F-1 Off-Site WaterC'' Baseline'!$C$9:$Z$257,17,FALSE))</f>
        <v/>
      </c>
      <c r="AN163" s="276" t="str">
        <f>IF(AM163="","",IF(VLOOKUP(AM163,'G-7 WaterC'' Data'!$AO$4:$BO$7,2,FALSE)=0,"Spatial Data Missing ⚠",VLOOKUP(AM163,'G-7 WaterC'' Data'!$AO$4:$BO$7,2,FALSE)))</f>
        <v/>
      </c>
      <c r="AO163" s="317" t="str">
        <f t="shared" si="29"/>
        <v/>
      </c>
      <c r="AP163" s="317" t="str">
        <f t="shared" si="30"/>
        <v/>
      </c>
      <c r="AQ163" s="101"/>
      <c r="AR163" s="115"/>
      <c r="AS163" s="104"/>
      <c r="AT163" s="104"/>
      <c r="AW163" s="30" t="str">
        <f>IF(E163="","",VLOOKUP($B163,'F-1 Off-Site WaterC'' Baseline'!$C$9:$Z$257,12,FALSE))</f>
        <v/>
      </c>
      <c r="AX163" s="30" t="str">
        <f>IF(E163="","",VLOOKUP($B163,'F-1 Off-Site WaterC'' Baseline'!$C$9:$Z$257,14,FALSE))</f>
        <v/>
      </c>
      <c r="AY163" s="30" t="str">
        <f>IFERROR(INDEX('G-7 WaterC'' Data'!$AZ$3:$AZ$7,MATCH(N163,'G-7 WaterC'' Data'!$AY$3:$AY$7,0)),"")</f>
        <v/>
      </c>
      <c r="AZ163" s="30" t="str">
        <f>IF(B163="","",IF(ISNA(VLOOKUP($B163,'F-1 Off-Site WaterC'' Baseline'!$C$8:$AD$257,20,FALSE)),"",(VLOOKUP($B163,'F-1 Off-Site WaterC'' Baseline'!$C$8:$AD$257,20,FALSE))))</f>
        <v/>
      </c>
      <c r="BC163" s="30" t="str">
        <f>IF(B163="","",VLOOKUP($B163,'F-1 Off-Site WaterC'' Baseline'!$C$9:$AB$257,25,FALSE))</f>
        <v/>
      </c>
      <c r="BD163" s="30" t="str">
        <f t="shared" si="31"/>
        <v/>
      </c>
      <c r="BE163" s="30" t="str">
        <f>IF(B163="","",VLOOKUP($B163,'F-1 Off-Site WaterC'' Baseline'!$C$9:$AB$257,24,FALSE))</f>
        <v/>
      </c>
      <c r="BF163" s="30" t="str">
        <f>IF(B163="","",VLOOKUP($B163,'F-1 Off-Site WaterC'' Baseline'!$C$9:$AB$257,22,FALSE))</f>
        <v/>
      </c>
      <c r="BJ163" s="30" t="str">
        <f t="shared" si="32"/>
        <v>No</v>
      </c>
    </row>
    <row r="164" spans="2:62" ht="14">
      <c r="B164" s="305" t="str">
        <f>'F-1 Off-Site WaterC'' Baseline'!AS162</f>
        <v/>
      </c>
      <c r="C164" s="295" t="str">
        <f>IF(B164="","",VLOOKUP($B164,'F-1 Off-Site WaterC'' Baseline'!$C$9:$R$257,2,FALSE))</f>
        <v/>
      </c>
      <c r="D164" s="295" t="str">
        <f>IF(C164="","",VLOOKUP($B164,'F-1 Off-Site WaterC'' Baseline'!$C$9:$R$257,3,FALSE))</f>
        <v/>
      </c>
      <c r="E164" s="295" t="str">
        <f>IF(D164="","",VLOOKUP($B164,'F-1 Off-Site WaterC'' Baseline'!$C$9:$R$257,4,FALSE))</f>
        <v/>
      </c>
      <c r="F164" s="295" t="str">
        <f>IF(E164="","",VLOOKUP($B164,'F-1 Off-Site WaterC'' Baseline'!$C$9:$R$257,5,FALSE))</f>
        <v/>
      </c>
      <c r="G164" s="295" t="str">
        <f>IF(F164="","",VLOOKUP($B164,'F-1 Off-Site WaterC'' Baseline'!$C$9:$R$257,6,FALSE))</f>
        <v/>
      </c>
      <c r="H164" s="295" t="str">
        <f>IF(G164="","",VLOOKUP($B164,'F-1 Off-Site WaterC'' Baseline'!$C$9:$R$257,7,FALSE))</f>
        <v/>
      </c>
      <c r="I164" s="295" t="str">
        <f>IF(H164="","",VLOOKUP($B164,'F-1 Off-Site WaterC'' Baseline'!$C$9:$R$257,8,FALSE))</f>
        <v/>
      </c>
      <c r="J164" s="295" t="str">
        <f>IF(I164="","",VLOOKUP($B164,'F-1 Off-Site WaterC'' Baseline'!$C$9:$R$257,9,FALSE))</f>
        <v/>
      </c>
      <c r="K164" s="295" t="str">
        <f>IF(J164="","",VLOOKUP($B164,'F-1 Off-Site WaterC'' Baseline'!$C$9:$R$257,10,FALSE))</f>
        <v/>
      </c>
      <c r="L164" s="283" t="str">
        <f>IF(B164="","",VLOOKUP($B164,'F-1 Off-Site WaterC'' Baseline'!$C$9:$R$257,15,FALSE))</f>
        <v/>
      </c>
      <c r="M164" s="299" t="str">
        <f>IF(L164="","",VLOOKUP($B164,'F-1 Off-Site WaterC'' Baseline'!$C$9:$V$257,19,FALSE))</f>
        <v/>
      </c>
      <c r="N164" s="244"/>
      <c r="O164" s="275" t="str">
        <f t="shared" si="25"/>
        <v/>
      </c>
      <c r="P164" s="276" t="str">
        <f t="shared" si="26"/>
        <v/>
      </c>
      <c r="Q164" s="281" t="str">
        <f>IF(N164="","",VLOOKUP(B164,'F-1 Off-Site WaterC'' Baseline'!$C$10:$AF$257,23,FALSE))</f>
        <v/>
      </c>
      <c r="R164" s="275" t="str">
        <f>IF(N164="","",VLOOKUP(N164,'G-7 WaterC'' Data'!$B$2:$G$8,2,FALSE))</f>
        <v/>
      </c>
      <c r="S164" s="276" t="str">
        <f>IFERROR(VLOOKUP(R164,'G-7 WaterC'' Data'!$C$4:$D$8,2,FALSE),"")</f>
        <v/>
      </c>
      <c r="T164" s="101"/>
      <c r="U164" s="276" t="str">
        <f>IFERROR(INDEX('G-7 WaterC'' Data'!$H$4:$L$8,MATCH(N164,'G-7 WaterC'' Data'!$B$4:$B$8,0),MATCH(T164,'G-7 WaterC'' Data'!$H$3:$L$3,0)),"")</f>
        <v/>
      </c>
      <c r="V164" s="105"/>
      <c r="W164" s="295" t="str">
        <f>IF(V164="","",IF(VLOOKUP(V164,'G-7 WaterC'' Data'!$AK$4:$AM$6,2,FALSE)=0,"Spatial Data Missing ⚠",VLOOKUP(V164,'G-7 WaterC'' Data'!$AK$4:$AM$6,2,FALSE)))</f>
        <v/>
      </c>
      <c r="X164" s="299" t="str">
        <f>IF(V164="","",IF(VLOOKUP(V164,'G-7 WaterC'' Data'!$AK$4:$AM$6,3,FALSE)=0,"Spatial Data Missing ⚠",VLOOKUP(V164,'G-7 WaterC'' Data'!$AK$4:$AM$6,3,FALSE)))</f>
        <v/>
      </c>
      <c r="Y164" s="311" t="str">
        <f>IFERROR(IF(OR(LEFT(P164,5)="Error",LEFT(O164,5)="Error"),"Check Data ⚠",IF(F164&lt;S164,'G-7 WaterC'' Data'!$R$3,INDEX('G-7 WaterC'' Data'!$U$5:$Y$9,MATCH(G164,'G-7 WaterC'' Data'!$T$5:$T$9,0),MATCH(T164,'G-7 WaterC'' Data'!$U$4:$Y$4,0)))),"")</f>
        <v/>
      </c>
      <c r="Z164" s="138"/>
      <c r="AA164" s="138"/>
      <c r="AB164" s="308" t="str">
        <f t="shared" si="22"/>
        <v/>
      </c>
      <c r="AC164" s="296" t="str">
        <f t="shared" si="27"/>
        <v/>
      </c>
      <c r="AD164" s="334" t="str">
        <f>IFERROR(IF(AC164="Check Data ⚠","Check Data ⚠",VLOOKUP(AC164,'G-4 Temporal multipliers'!$A$4:$C$37,3,FALSE)),"")</f>
        <v/>
      </c>
      <c r="AE164" s="311" t="str">
        <f>IF(N164="","",VLOOKUP(N164,'G-7 WaterC'' Data'!$B$4:$G$8,5,FALSE))</f>
        <v/>
      </c>
      <c r="AF164" s="295" t="str">
        <f t="shared" si="23"/>
        <v/>
      </c>
      <c r="AG164" s="295" t="str">
        <f t="shared" si="28"/>
        <v/>
      </c>
      <c r="AH164" s="276" t="str">
        <f t="shared" si="24"/>
        <v/>
      </c>
      <c r="AI164" s="105"/>
      <c r="AJ164" s="276" t="str">
        <f>IF(AI164="","",(IF(AND(AI164="N/A - Culvert",N164&lt;&gt;"Culvert"),"Not possible ▲",IF(VLOOKUP(AI164,'G-7 WaterC'' Data'!$AA$4:$AB$7,2,FALSE)=0,"Spatial Data Missing ⚠",VLOOKUP(AI164,'G-7 WaterC'' Data'!$AA$4:$AB$7,2,FALSE)))))</f>
        <v/>
      </c>
      <c r="AK164" s="106"/>
      <c r="AL164" s="310" t="str">
        <f>IF(AK164="","",IF(AND(AK164="N/A - Culvert",N164&lt;&gt;"Culvert"),"Not possible ▲",IF(VLOOKUP(AK164,'G-7 WaterC'' Data'!$AD$4:$AE$14,2,FALSE)=0,"Spatial Data Missing ⚠",VLOOKUP(AK164,'G-7 WaterC'' Data'!$AD$4:$AE$14,2,FALSE))))</f>
        <v/>
      </c>
      <c r="AM164" s="275" t="str">
        <f>IF(B164="","",VLOOKUP($B164,'F-1 Off-Site WaterC'' Baseline'!$C$9:$Z$257,17,FALSE))</f>
        <v/>
      </c>
      <c r="AN164" s="276" t="str">
        <f>IF(AM164="","",IF(VLOOKUP(AM164,'G-7 WaterC'' Data'!$AO$4:$BO$7,2,FALSE)=0,"Spatial Data Missing ⚠",VLOOKUP(AM164,'G-7 WaterC'' Data'!$AO$4:$BO$7,2,FALSE)))</f>
        <v/>
      </c>
      <c r="AO164" s="317" t="str">
        <f t="shared" si="29"/>
        <v/>
      </c>
      <c r="AP164" s="317" t="str">
        <f t="shared" si="30"/>
        <v/>
      </c>
      <c r="AQ164" s="101"/>
      <c r="AR164" s="115"/>
      <c r="AS164" s="104"/>
      <c r="AT164" s="104"/>
      <c r="AW164" s="30" t="str">
        <f>IF(E164="","",VLOOKUP($B164,'F-1 Off-Site WaterC'' Baseline'!$C$9:$Z$257,12,FALSE))</f>
        <v/>
      </c>
      <c r="AX164" s="30" t="str">
        <f>IF(E164="","",VLOOKUP($B164,'F-1 Off-Site WaterC'' Baseline'!$C$9:$Z$257,14,FALSE))</f>
        <v/>
      </c>
      <c r="AY164" s="30" t="str">
        <f>IFERROR(INDEX('G-7 WaterC'' Data'!$AZ$3:$AZ$7,MATCH(N164,'G-7 WaterC'' Data'!$AY$3:$AY$7,0)),"")</f>
        <v/>
      </c>
      <c r="AZ164" s="30" t="str">
        <f>IF(B164="","",IF(ISNA(VLOOKUP($B164,'F-1 Off-Site WaterC'' Baseline'!$C$8:$AD$257,20,FALSE)),"",(VLOOKUP($B164,'F-1 Off-Site WaterC'' Baseline'!$C$8:$AD$257,20,FALSE))))</f>
        <v/>
      </c>
      <c r="BC164" s="30" t="str">
        <f>IF(B164="","",VLOOKUP($B164,'F-1 Off-Site WaterC'' Baseline'!$C$9:$AB$257,25,FALSE))</f>
        <v/>
      </c>
      <c r="BD164" s="30" t="str">
        <f t="shared" si="31"/>
        <v/>
      </c>
      <c r="BE164" s="30" t="str">
        <f>IF(B164="","",VLOOKUP($B164,'F-1 Off-Site WaterC'' Baseline'!$C$9:$AB$257,24,FALSE))</f>
        <v/>
      </c>
      <c r="BF164" s="30" t="str">
        <f>IF(B164="","",VLOOKUP($B164,'F-1 Off-Site WaterC'' Baseline'!$C$9:$AB$257,22,FALSE))</f>
        <v/>
      </c>
      <c r="BJ164" s="30" t="str">
        <f t="shared" si="32"/>
        <v>No</v>
      </c>
    </row>
    <row r="165" spans="2:62" ht="14">
      <c r="B165" s="305" t="str">
        <f>'F-1 Off-Site WaterC'' Baseline'!AS163</f>
        <v/>
      </c>
      <c r="C165" s="295" t="str">
        <f>IF(B165="","",VLOOKUP($B165,'F-1 Off-Site WaterC'' Baseline'!$C$9:$R$257,2,FALSE))</f>
        <v/>
      </c>
      <c r="D165" s="295" t="str">
        <f>IF(C165="","",VLOOKUP($B165,'F-1 Off-Site WaterC'' Baseline'!$C$9:$R$257,3,FALSE))</f>
        <v/>
      </c>
      <c r="E165" s="295" t="str">
        <f>IF(D165="","",VLOOKUP($B165,'F-1 Off-Site WaterC'' Baseline'!$C$9:$R$257,4,FALSE))</f>
        <v/>
      </c>
      <c r="F165" s="295" t="str">
        <f>IF(E165="","",VLOOKUP($B165,'F-1 Off-Site WaterC'' Baseline'!$C$9:$R$257,5,FALSE))</f>
        <v/>
      </c>
      <c r="G165" s="295" t="str">
        <f>IF(F165="","",VLOOKUP($B165,'F-1 Off-Site WaterC'' Baseline'!$C$9:$R$257,6,FALSE))</f>
        <v/>
      </c>
      <c r="H165" s="295" t="str">
        <f>IF(G165="","",VLOOKUP($B165,'F-1 Off-Site WaterC'' Baseline'!$C$9:$R$257,7,FALSE))</f>
        <v/>
      </c>
      <c r="I165" s="295" t="str">
        <f>IF(H165="","",VLOOKUP($B165,'F-1 Off-Site WaterC'' Baseline'!$C$9:$R$257,8,FALSE))</f>
        <v/>
      </c>
      <c r="J165" s="295" t="str">
        <f>IF(I165="","",VLOOKUP($B165,'F-1 Off-Site WaterC'' Baseline'!$C$9:$R$257,9,FALSE))</f>
        <v/>
      </c>
      <c r="K165" s="295" t="str">
        <f>IF(J165="","",VLOOKUP($B165,'F-1 Off-Site WaterC'' Baseline'!$C$9:$R$257,10,FALSE))</f>
        <v/>
      </c>
      <c r="L165" s="283" t="str">
        <f>IF(B165="","",VLOOKUP($B165,'F-1 Off-Site WaterC'' Baseline'!$C$9:$R$257,15,FALSE))</f>
        <v/>
      </c>
      <c r="M165" s="299" t="str">
        <f>IF(L165="","",VLOOKUP($B165,'F-1 Off-Site WaterC'' Baseline'!$C$9:$V$257,19,FALSE))</f>
        <v/>
      </c>
      <c r="N165" s="244"/>
      <c r="O165" s="275" t="str">
        <f t="shared" si="25"/>
        <v/>
      </c>
      <c r="P165" s="276" t="str">
        <f t="shared" si="26"/>
        <v/>
      </c>
      <c r="Q165" s="281" t="str">
        <f>IF(N165="","",VLOOKUP(B165,'F-1 Off-Site WaterC'' Baseline'!$C$10:$AF$257,23,FALSE))</f>
        <v/>
      </c>
      <c r="R165" s="275" t="str">
        <f>IF(N165="","",VLOOKUP(N165,'G-7 WaterC'' Data'!$B$2:$G$8,2,FALSE))</f>
        <v/>
      </c>
      <c r="S165" s="276" t="str">
        <f>IFERROR(VLOOKUP(R165,'G-7 WaterC'' Data'!$C$4:$D$8,2,FALSE),"")</f>
        <v/>
      </c>
      <c r="T165" s="101"/>
      <c r="U165" s="276" t="str">
        <f>IFERROR(INDEX('G-7 WaterC'' Data'!$H$4:$L$8,MATCH(N165,'G-7 WaterC'' Data'!$B$4:$B$8,0),MATCH(T165,'G-7 WaterC'' Data'!$H$3:$L$3,0)),"")</f>
        <v/>
      </c>
      <c r="V165" s="105"/>
      <c r="W165" s="295" t="str">
        <f>IF(V165="","",IF(VLOOKUP(V165,'G-7 WaterC'' Data'!$AK$4:$AM$6,2,FALSE)=0,"Spatial Data Missing ⚠",VLOOKUP(V165,'G-7 WaterC'' Data'!$AK$4:$AM$6,2,FALSE)))</f>
        <v/>
      </c>
      <c r="X165" s="299" t="str">
        <f>IF(V165="","",IF(VLOOKUP(V165,'G-7 WaterC'' Data'!$AK$4:$AM$6,3,FALSE)=0,"Spatial Data Missing ⚠",VLOOKUP(V165,'G-7 WaterC'' Data'!$AK$4:$AM$6,3,FALSE)))</f>
        <v/>
      </c>
      <c r="Y165" s="311" t="str">
        <f>IFERROR(IF(OR(LEFT(P165,5)="Error",LEFT(O165,5)="Error"),"Check Data ⚠",IF(F165&lt;S165,'G-7 WaterC'' Data'!$R$3,INDEX('G-7 WaterC'' Data'!$U$5:$Y$9,MATCH(G165,'G-7 WaterC'' Data'!$T$5:$T$9,0),MATCH(T165,'G-7 WaterC'' Data'!$U$4:$Y$4,0)))),"")</f>
        <v/>
      </c>
      <c r="Z165" s="138"/>
      <c r="AA165" s="138"/>
      <c r="AB165" s="308" t="str">
        <f t="shared" si="22"/>
        <v/>
      </c>
      <c r="AC165" s="296" t="str">
        <f t="shared" si="27"/>
        <v/>
      </c>
      <c r="AD165" s="334" t="str">
        <f>IFERROR(IF(AC165="Check Data ⚠","Check Data ⚠",VLOOKUP(AC165,'G-4 Temporal multipliers'!$A$4:$C$37,3,FALSE)),"")</f>
        <v/>
      </c>
      <c r="AE165" s="311" t="str">
        <f>IF(N165="","",VLOOKUP(N165,'G-7 WaterC'' Data'!$B$4:$G$8,5,FALSE))</f>
        <v/>
      </c>
      <c r="AF165" s="295" t="str">
        <f t="shared" si="23"/>
        <v/>
      </c>
      <c r="AG165" s="295" t="str">
        <f t="shared" si="28"/>
        <v/>
      </c>
      <c r="AH165" s="276" t="str">
        <f t="shared" si="24"/>
        <v/>
      </c>
      <c r="AI165" s="105"/>
      <c r="AJ165" s="276" t="str">
        <f>IF(AI165="","",(IF(AND(AI165="N/A - Culvert",N165&lt;&gt;"Culvert"),"Not possible ▲",IF(VLOOKUP(AI165,'G-7 WaterC'' Data'!$AA$4:$AB$7,2,FALSE)=0,"Spatial Data Missing ⚠",VLOOKUP(AI165,'G-7 WaterC'' Data'!$AA$4:$AB$7,2,FALSE)))))</f>
        <v/>
      </c>
      <c r="AK165" s="106"/>
      <c r="AL165" s="310" t="str">
        <f>IF(AK165="","",IF(AND(AK165="N/A - Culvert",N165&lt;&gt;"Culvert"),"Not possible ▲",IF(VLOOKUP(AK165,'G-7 WaterC'' Data'!$AD$4:$AE$14,2,FALSE)=0,"Spatial Data Missing ⚠",VLOOKUP(AK165,'G-7 WaterC'' Data'!$AD$4:$AE$14,2,FALSE))))</f>
        <v/>
      </c>
      <c r="AM165" s="275" t="str">
        <f>IF(B165="","",VLOOKUP($B165,'F-1 Off-Site WaterC'' Baseline'!$C$9:$Z$257,17,FALSE))</f>
        <v/>
      </c>
      <c r="AN165" s="276" t="str">
        <f>IF(AM165="","",IF(VLOOKUP(AM165,'G-7 WaterC'' Data'!$AO$4:$BO$7,2,FALSE)=0,"Spatial Data Missing ⚠",VLOOKUP(AM165,'G-7 WaterC'' Data'!$AO$4:$BO$7,2,FALSE)))</f>
        <v/>
      </c>
      <c r="AO165" s="317" t="str">
        <f t="shared" si="29"/>
        <v/>
      </c>
      <c r="AP165" s="317" t="str">
        <f t="shared" si="30"/>
        <v/>
      </c>
      <c r="AQ165" s="101"/>
      <c r="AR165" s="115"/>
      <c r="AS165" s="104"/>
      <c r="AT165" s="104"/>
      <c r="AW165" s="30" t="str">
        <f>IF(E165="","",VLOOKUP($B165,'F-1 Off-Site WaterC'' Baseline'!$C$9:$Z$257,12,FALSE))</f>
        <v/>
      </c>
      <c r="AX165" s="30" t="str">
        <f>IF(E165="","",VLOOKUP($B165,'F-1 Off-Site WaterC'' Baseline'!$C$9:$Z$257,14,FALSE))</f>
        <v/>
      </c>
      <c r="AY165" s="30" t="str">
        <f>IFERROR(INDEX('G-7 WaterC'' Data'!$AZ$3:$AZ$7,MATCH(N165,'G-7 WaterC'' Data'!$AY$3:$AY$7,0)),"")</f>
        <v/>
      </c>
      <c r="AZ165" s="30" t="str">
        <f>IF(B165="","",IF(ISNA(VLOOKUP($B165,'F-1 Off-Site WaterC'' Baseline'!$C$8:$AD$257,20,FALSE)),"",(VLOOKUP($B165,'F-1 Off-Site WaterC'' Baseline'!$C$8:$AD$257,20,FALSE))))</f>
        <v/>
      </c>
      <c r="BC165" s="30" t="str">
        <f>IF(B165="","",VLOOKUP($B165,'F-1 Off-Site WaterC'' Baseline'!$C$9:$AB$257,25,FALSE))</f>
        <v/>
      </c>
      <c r="BD165" s="30" t="str">
        <f t="shared" si="31"/>
        <v/>
      </c>
      <c r="BE165" s="30" t="str">
        <f>IF(B165="","",VLOOKUP($B165,'F-1 Off-Site WaterC'' Baseline'!$C$9:$AB$257,24,FALSE))</f>
        <v/>
      </c>
      <c r="BF165" s="30" t="str">
        <f>IF(B165="","",VLOOKUP($B165,'F-1 Off-Site WaterC'' Baseline'!$C$9:$AB$257,22,FALSE))</f>
        <v/>
      </c>
      <c r="BJ165" s="30" t="str">
        <f t="shared" si="32"/>
        <v>No</v>
      </c>
    </row>
    <row r="166" spans="2:62" ht="14">
      <c r="B166" s="305" t="str">
        <f>'F-1 Off-Site WaterC'' Baseline'!AS164</f>
        <v/>
      </c>
      <c r="C166" s="295" t="str">
        <f>IF(B166="","",VLOOKUP($B166,'F-1 Off-Site WaterC'' Baseline'!$C$9:$R$257,2,FALSE))</f>
        <v/>
      </c>
      <c r="D166" s="295" t="str">
        <f>IF(C166="","",VLOOKUP($B166,'F-1 Off-Site WaterC'' Baseline'!$C$9:$R$257,3,FALSE))</f>
        <v/>
      </c>
      <c r="E166" s="295" t="str">
        <f>IF(D166="","",VLOOKUP($B166,'F-1 Off-Site WaterC'' Baseline'!$C$9:$R$257,4,FALSE))</f>
        <v/>
      </c>
      <c r="F166" s="295" t="str">
        <f>IF(E166="","",VLOOKUP($B166,'F-1 Off-Site WaterC'' Baseline'!$C$9:$R$257,5,FALSE))</f>
        <v/>
      </c>
      <c r="G166" s="295" t="str">
        <f>IF(F166="","",VLOOKUP($B166,'F-1 Off-Site WaterC'' Baseline'!$C$9:$R$257,6,FALSE))</f>
        <v/>
      </c>
      <c r="H166" s="295" t="str">
        <f>IF(G166="","",VLOOKUP($B166,'F-1 Off-Site WaterC'' Baseline'!$C$9:$R$257,7,FALSE))</f>
        <v/>
      </c>
      <c r="I166" s="295" t="str">
        <f>IF(H166="","",VLOOKUP($B166,'F-1 Off-Site WaterC'' Baseline'!$C$9:$R$257,8,FALSE))</f>
        <v/>
      </c>
      <c r="J166" s="295" t="str">
        <f>IF(I166="","",VLOOKUP($B166,'F-1 Off-Site WaterC'' Baseline'!$C$9:$R$257,9,FALSE))</f>
        <v/>
      </c>
      <c r="K166" s="295" t="str">
        <f>IF(J166="","",VLOOKUP($B166,'F-1 Off-Site WaterC'' Baseline'!$C$9:$R$257,10,FALSE))</f>
        <v/>
      </c>
      <c r="L166" s="283" t="str">
        <f>IF(B166="","",VLOOKUP($B166,'F-1 Off-Site WaterC'' Baseline'!$C$9:$R$257,15,FALSE))</f>
        <v/>
      </c>
      <c r="M166" s="299" t="str">
        <f>IF(L166="","",VLOOKUP($B166,'F-1 Off-Site WaterC'' Baseline'!$C$9:$V$257,19,FALSE))</f>
        <v/>
      </c>
      <c r="N166" s="244"/>
      <c r="O166" s="275" t="str">
        <f t="shared" si="25"/>
        <v/>
      </c>
      <c r="P166" s="276" t="str">
        <f t="shared" si="26"/>
        <v/>
      </c>
      <c r="Q166" s="281" t="str">
        <f>IF(N166="","",VLOOKUP(B166,'F-1 Off-Site WaterC'' Baseline'!$C$10:$AF$257,23,FALSE))</f>
        <v/>
      </c>
      <c r="R166" s="275" t="str">
        <f>IF(N166="","",VLOOKUP(N166,'G-7 WaterC'' Data'!$B$2:$G$8,2,FALSE))</f>
        <v/>
      </c>
      <c r="S166" s="276" t="str">
        <f>IFERROR(VLOOKUP(R166,'G-7 WaterC'' Data'!$C$4:$D$8,2,FALSE),"")</f>
        <v/>
      </c>
      <c r="T166" s="101"/>
      <c r="U166" s="276" t="str">
        <f>IFERROR(INDEX('G-7 WaterC'' Data'!$H$4:$L$8,MATCH(N166,'G-7 WaterC'' Data'!$B$4:$B$8,0),MATCH(T166,'G-7 WaterC'' Data'!$H$3:$L$3,0)),"")</f>
        <v/>
      </c>
      <c r="V166" s="105"/>
      <c r="W166" s="295" t="str">
        <f>IF(V166="","",IF(VLOOKUP(V166,'G-7 WaterC'' Data'!$AK$4:$AM$6,2,FALSE)=0,"Spatial Data Missing ⚠",VLOOKUP(V166,'G-7 WaterC'' Data'!$AK$4:$AM$6,2,FALSE)))</f>
        <v/>
      </c>
      <c r="X166" s="299" t="str">
        <f>IF(V166="","",IF(VLOOKUP(V166,'G-7 WaterC'' Data'!$AK$4:$AM$6,3,FALSE)=0,"Spatial Data Missing ⚠",VLOOKUP(V166,'G-7 WaterC'' Data'!$AK$4:$AM$6,3,FALSE)))</f>
        <v/>
      </c>
      <c r="Y166" s="311" t="str">
        <f>IFERROR(IF(OR(LEFT(P166,5)="Error",LEFT(O166,5)="Error"),"Check Data ⚠",IF(F166&lt;S166,'G-7 WaterC'' Data'!$R$3,INDEX('G-7 WaterC'' Data'!$U$5:$Y$9,MATCH(G166,'G-7 WaterC'' Data'!$T$5:$T$9,0),MATCH(T166,'G-7 WaterC'' Data'!$U$4:$Y$4,0)))),"")</f>
        <v/>
      </c>
      <c r="Z166" s="138"/>
      <c r="AA166" s="138"/>
      <c r="AB166" s="308" t="str">
        <f t="shared" si="22"/>
        <v/>
      </c>
      <c r="AC166" s="296" t="str">
        <f t="shared" si="27"/>
        <v/>
      </c>
      <c r="AD166" s="334" t="str">
        <f>IFERROR(IF(AC166="Check Data ⚠","Check Data ⚠",VLOOKUP(AC166,'G-4 Temporal multipliers'!$A$4:$C$37,3,FALSE)),"")</f>
        <v/>
      </c>
      <c r="AE166" s="311" t="str">
        <f>IF(N166="","",VLOOKUP(N166,'G-7 WaterC'' Data'!$B$4:$G$8,5,FALSE))</f>
        <v/>
      </c>
      <c r="AF166" s="295" t="str">
        <f t="shared" si="23"/>
        <v/>
      </c>
      <c r="AG166" s="295" t="str">
        <f t="shared" si="28"/>
        <v/>
      </c>
      <c r="AH166" s="276" t="str">
        <f t="shared" si="24"/>
        <v/>
      </c>
      <c r="AI166" s="105"/>
      <c r="AJ166" s="276" t="str">
        <f>IF(AI166="","",(IF(AND(AI166="N/A - Culvert",N166&lt;&gt;"Culvert"),"Not possible ▲",IF(VLOOKUP(AI166,'G-7 WaterC'' Data'!$AA$4:$AB$7,2,FALSE)=0,"Spatial Data Missing ⚠",VLOOKUP(AI166,'G-7 WaterC'' Data'!$AA$4:$AB$7,2,FALSE)))))</f>
        <v/>
      </c>
      <c r="AK166" s="106"/>
      <c r="AL166" s="310" t="str">
        <f>IF(AK166="","",IF(AND(AK166="N/A - Culvert",N166&lt;&gt;"Culvert"),"Not possible ▲",IF(VLOOKUP(AK166,'G-7 WaterC'' Data'!$AD$4:$AE$14,2,FALSE)=0,"Spatial Data Missing ⚠",VLOOKUP(AK166,'G-7 WaterC'' Data'!$AD$4:$AE$14,2,FALSE))))</f>
        <v/>
      </c>
      <c r="AM166" s="275" t="str">
        <f>IF(B166="","",VLOOKUP($B166,'F-1 Off-Site WaterC'' Baseline'!$C$9:$Z$257,17,FALSE))</f>
        <v/>
      </c>
      <c r="AN166" s="276" t="str">
        <f>IF(AM166="","",IF(VLOOKUP(AM166,'G-7 WaterC'' Data'!$AO$4:$BO$7,2,FALSE)=0,"Spatial Data Missing ⚠",VLOOKUP(AM166,'G-7 WaterC'' Data'!$AO$4:$BO$7,2,FALSE)))</f>
        <v/>
      </c>
      <c r="AO166" s="317" t="str">
        <f t="shared" si="29"/>
        <v/>
      </c>
      <c r="AP166" s="317" t="str">
        <f t="shared" si="30"/>
        <v/>
      </c>
      <c r="AQ166" s="101"/>
      <c r="AR166" s="115"/>
      <c r="AS166" s="104"/>
      <c r="AT166" s="104"/>
      <c r="AW166" s="30" t="str">
        <f>IF(E166="","",VLOOKUP($B166,'F-1 Off-Site WaterC'' Baseline'!$C$9:$Z$257,12,FALSE))</f>
        <v/>
      </c>
      <c r="AX166" s="30" t="str">
        <f>IF(E166="","",VLOOKUP($B166,'F-1 Off-Site WaterC'' Baseline'!$C$9:$Z$257,14,FALSE))</f>
        <v/>
      </c>
      <c r="AY166" s="30" t="str">
        <f>IFERROR(INDEX('G-7 WaterC'' Data'!$AZ$3:$AZ$7,MATCH(N166,'G-7 WaterC'' Data'!$AY$3:$AY$7,0)),"")</f>
        <v/>
      </c>
      <c r="AZ166" s="30" t="str">
        <f>IF(B166="","",IF(ISNA(VLOOKUP($B166,'F-1 Off-Site WaterC'' Baseline'!$C$8:$AD$257,20,FALSE)),"",(VLOOKUP($B166,'F-1 Off-Site WaterC'' Baseline'!$C$8:$AD$257,20,FALSE))))</f>
        <v/>
      </c>
      <c r="BC166" s="30" t="str">
        <f>IF(B166="","",VLOOKUP($B166,'F-1 Off-Site WaterC'' Baseline'!$C$9:$AB$257,25,FALSE))</f>
        <v/>
      </c>
      <c r="BD166" s="30" t="str">
        <f t="shared" si="31"/>
        <v/>
      </c>
      <c r="BE166" s="30" t="str">
        <f>IF(B166="","",VLOOKUP($B166,'F-1 Off-Site WaterC'' Baseline'!$C$9:$AB$257,24,FALSE))</f>
        <v/>
      </c>
      <c r="BF166" s="30" t="str">
        <f>IF(B166="","",VLOOKUP($B166,'F-1 Off-Site WaterC'' Baseline'!$C$9:$AB$257,22,FALSE))</f>
        <v/>
      </c>
      <c r="BJ166" s="30" t="str">
        <f t="shared" si="32"/>
        <v>No</v>
      </c>
    </row>
    <row r="167" spans="2:62" ht="14">
      <c r="B167" s="305" t="str">
        <f>'F-1 Off-Site WaterC'' Baseline'!AS165</f>
        <v/>
      </c>
      <c r="C167" s="295" t="str">
        <f>IF(B167="","",VLOOKUP($B167,'F-1 Off-Site WaterC'' Baseline'!$C$9:$R$257,2,FALSE))</f>
        <v/>
      </c>
      <c r="D167" s="295" t="str">
        <f>IF(C167="","",VLOOKUP($B167,'F-1 Off-Site WaterC'' Baseline'!$C$9:$R$257,3,FALSE))</f>
        <v/>
      </c>
      <c r="E167" s="295" t="str">
        <f>IF(D167="","",VLOOKUP($B167,'F-1 Off-Site WaterC'' Baseline'!$C$9:$R$257,4,FALSE))</f>
        <v/>
      </c>
      <c r="F167" s="295" t="str">
        <f>IF(E167="","",VLOOKUP($B167,'F-1 Off-Site WaterC'' Baseline'!$C$9:$R$257,5,FALSE))</f>
        <v/>
      </c>
      <c r="G167" s="295" t="str">
        <f>IF(F167="","",VLOOKUP($B167,'F-1 Off-Site WaterC'' Baseline'!$C$9:$R$257,6,FALSE))</f>
        <v/>
      </c>
      <c r="H167" s="295" t="str">
        <f>IF(G167="","",VLOOKUP($B167,'F-1 Off-Site WaterC'' Baseline'!$C$9:$R$257,7,FALSE))</f>
        <v/>
      </c>
      <c r="I167" s="295" t="str">
        <f>IF(H167="","",VLOOKUP($B167,'F-1 Off-Site WaterC'' Baseline'!$C$9:$R$257,8,FALSE))</f>
        <v/>
      </c>
      <c r="J167" s="295" t="str">
        <f>IF(I167="","",VLOOKUP($B167,'F-1 Off-Site WaterC'' Baseline'!$C$9:$R$257,9,FALSE))</f>
        <v/>
      </c>
      <c r="K167" s="295" t="str">
        <f>IF(J167="","",VLOOKUP($B167,'F-1 Off-Site WaterC'' Baseline'!$C$9:$R$257,10,FALSE))</f>
        <v/>
      </c>
      <c r="L167" s="283" t="str">
        <f>IF(B167="","",VLOOKUP($B167,'F-1 Off-Site WaterC'' Baseline'!$C$9:$R$257,15,FALSE))</f>
        <v/>
      </c>
      <c r="M167" s="299" t="str">
        <f>IF(L167="","",VLOOKUP($B167,'F-1 Off-Site WaterC'' Baseline'!$C$9:$V$257,19,FALSE))</f>
        <v/>
      </c>
      <c r="N167" s="244"/>
      <c r="O167" s="275" t="str">
        <f t="shared" si="25"/>
        <v/>
      </c>
      <c r="P167" s="276" t="str">
        <f t="shared" si="26"/>
        <v/>
      </c>
      <c r="Q167" s="281" t="str">
        <f>IF(N167="","",VLOOKUP(B167,'F-1 Off-Site WaterC'' Baseline'!$C$10:$AF$257,23,FALSE))</f>
        <v/>
      </c>
      <c r="R167" s="275" t="str">
        <f>IF(N167="","",VLOOKUP(N167,'G-7 WaterC'' Data'!$B$2:$G$8,2,FALSE))</f>
        <v/>
      </c>
      <c r="S167" s="276" t="str">
        <f>IFERROR(VLOOKUP(R167,'G-7 WaterC'' Data'!$C$4:$D$8,2,FALSE),"")</f>
        <v/>
      </c>
      <c r="T167" s="101"/>
      <c r="U167" s="276" t="str">
        <f>IFERROR(INDEX('G-7 WaterC'' Data'!$H$4:$L$8,MATCH(N167,'G-7 WaterC'' Data'!$B$4:$B$8,0),MATCH(T167,'G-7 WaterC'' Data'!$H$3:$L$3,0)),"")</f>
        <v/>
      </c>
      <c r="V167" s="105"/>
      <c r="W167" s="295" t="str">
        <f>IF(V167="","",IF(VLOOKUP(V167,'G-7 WaterC'' Data'!$AK$4:$AM$6,2,FALSE)=0,"Spatial Data Missing ⚠",VLOOKUP(V167,'G-7 WaterC'' Data'!$AK$4:$AM$6,2,FALSE)))</f>
        <v/>
      </c>
      <c r="X167" s="299" t="str">
        <f>IF(V167="","",IF(VLOOKUP(V167,'G-7 WaterC'' Data'!$AK$4:$AM$6,3,FALSE)=0,"Spatial Data Missing ⚠",VLOOKUP(V167,'G-7 WaterC'' Data'!$AK$4:$AM$6,3,FALSE)))</f>
        <v/>
      </c>
      <c r="Y167" s="311" t="str">
        <f>IFERROR(IF(OR(LEFT(P167,5)="Error",LEFT(O167,5)="Error"),"Check Data ⚠",IF(F167&lt;S167,'G-7 WaterC'' Data'!$R$3,INDEX('G-7 WaterC'' Data'!$U$5:$Y$9,MATCH(G167,'G-7 WaterC'' Data'!$T$5:$T$9,0),MATCH(T167,'G-7 WaterC'' Data'!$U$4:$Y$4,0)))),"")</f>
        <v/>
      </c>
      <c r="Z167" s="138"/>
      <c r="AA167" s="138"/>
      <c r="AB167" s="308" t="str">
        <f t="shared" si="22"/>
        <v/>
      </c>
      <c r="AC167" s="296" t="str">
        <f t="shared" si="27"/>
        <v/>
      </c>
      <c r="AD167" s="334" t="str">
        <f>IFERROR(IF(AC167="Check Data ⚠","Check Data ⚠",VLOOKUP(AC167,'G-4 Temporal multipliers'!$A$4:$C$37,3,FALSE)),"")</f>
        <v/>
      </c>
      <c r="AE167" s="311" t="str">
        <f>IF(N167="","",VLOOKUP(N167,'G-7 WaterC'' Data'!$B$4:$G$8,5,FALSE))</f>
        <v/>
      </c>
      <c r="AF167" s="295" t="str">
        <f t="shared" si="23"/>
        <v/>
      </c>
      <c r="AG167" s="295" t="str">
        <f t="shared" si="28"/>
        <v/>
      </c>
      <c r="AH167" s="276" t="str">
        <f t="shared" si="24"/>
        <v/>
      </c>
      <c r="AI167" s="105"/>
      <c r="AJ167" s="276" t="str">
        <f>IF(AI167="","",(IF(AND(AI167="N/A - Culvert",N167&lt;&gt;"Culvert"),"Not possible ▲",IF(VLOOKUP(AI167,'G-7 WaterC'' Data'!$AA$4:$AB$7,2,FALSE)=0,"Spatial Data Missing ⚠",VLOOKUP(AI167,'G-7 WaterC'' Data'!$AA$4:$AB$7,2,FALSE)))))</f>
        <v/>
      </c>
      <c r="AK167" s="106"/>
      <c r="AL167" s="310" t="str">
        <f>IF(AK167="","",IF(AND(AK167="N/A - Culvert",N167&lt;&gt;"Culvert"),"Not possible ▲",IF(VLOOKUP(AK167,'G-7 WaterC'' Data'!$AD$4:$AE$14,2,FALSE)=0,"Spatial Data Missing ⚠",VLOOKUP(AK167,'G-7 WaterC'' Data'!$AD$4:$AE$14,2,FALSE))))</f>
        <v/>
      </c>
      <c r="AM167" s="275" t="str">
        <f>IF(B167="","",VLOOKUP($B167,'F-1 Off-Site WaterC'' Baseline'!$C$9:$Z$257,17,FALSE))</f>
        <v/>
      </c>
      <c r="AN167" s="276" t="str">
        <f>IF(AM167="","",IF(VLOOKUP(AM167,'G-7 WaterC'' Data'!$AO$4:$BO$7,2,FALSE)=0,"Spatial Data Missing ⚠",VLOOKUP(AM167,'G-7 WaterC'' Data'!$AO$4:$BO$7,2,FALSE)))</f>
        <v/>
      </c>
      <c r="AO167" s="317" t="str">
        <f t="shared" si="29"/>
        <v/>
      </c>
      <c r="AP167" s="317" t="str">
        <f t="shared" si="30"/>
        <v/>
      </c>
      <c r="AQ167" s="101"/>
      <c r="AR167" s="115"/>
      <c r="AS167" s="104"/>
      <c r="AT167" s="104"/>
      <c r="AW167" s="30" t="str">
        <f>IF(E167="","",VLOOKUP($B167,'F-1 Off-Site WaterC'' Baseline'!$C$9:$Z$257,12,FALSE))</f>
        <v/>
      </c>
      <c r="AX167" s="30" t="str">
        <f>IF(E167="","",VLOOKUP($B167,'F-1 Off-Site WaterC'' Baseline'!$C$9:$Z$257,14,FALSE))</f>
        <v/>
      </c>
      <c r="AY167" s="30" t="str">
        <f>IFERROR(INDEX('G-7 WaterC'' Data'!$AZ$3:$AZ$7,MATCH(N167,'G-7 WaterC'' Data'!$AY$3:$AY$7,0)),"")</f>
        <v/>
      </c>
      <c r="AZ167" s="30" t="str">
        <f>IF(B167="","",IF(ISNA(VLOOKUP($B167,'F-1 Off-Site WaterC'' Baseline'!$C$8:$AD$257,20,FALSE)),"",(VLOOKUP($B167,'F-1 Off-Site WaterC'' Baseline'!$C$8:$AD$257,20,FALSE))))</f>
        <v/>
      </c>
      <c r="BC167" s="30" t="str">
        <f>IF(B167="","",VLOOKUP($B167,'F-1 Off-Site WaterC'' Baseline'!$C$9:$AB$257,25,FALSE))</f>
        <v/>
      </c>
      <c r="BD167" s="30" t="str">
        <f t="shared" si="31"/>
        <v/>
      </c>
      <c r="BE167" s="30" t="str">
        <f>IF(B167="","",VLOOKUP($B167,'F-1 Off-Site WaterC'' Baseline'!$C$9:$AB$257,24,FALSE))</f>
        <v/>
      </c>
      <c r="BF167" s="30" t="str">
        <f>IF(B167="","",VLOOKUP($B167,'F-1 Off-Site WaterC'' Baseline'!$C$9:$AB$257,22,FALSE))</f>
        <v/>
      </c>
      <c r="BJ167" s="30" t="str">
        <f t="shared" si="32"/>
        <v>No</v>
      </c>
    </row>
    <row r="168" spans="2:62" ht="14">
      <c r="B168" s="305" t="str">
        <f>'F-1 Off-Site WaterC'' Baseline'!AS166</f>
        <v/>
      </c>
      <c r="C168" s="295" t="str">
        <f>IF(B168="","",VLOOKUP($B168,'F-1 Off-Site WaterC'' Baseline'!$C$9:$R$257,2,FALSE))</f>
        <v/>
      </c>
      <c r="D168" s="295" t="str">
        <f>IF(C168="","",VLOOKUP($B168,'F-1 Off-Site WaterC'' Baseline'!$C$9:$R$257,3,FALSE))</f>
        <v/>
      </c>
      <c r="E168" s="295" t="str">
        <f>IF(D168="","",VLOOKUP($B168,'F-1 Off-Site WaterC'' Baseline'!$C$9:$R$257,4,FALSE))</f>
        <v/>
      </c>
      <c r="F168" s="295" t="str">
        <f>IF(E168="","",VLOOKUP($B168,'F-1 Off-Site WaterC'' Baseline'!$C$9:$R$257,5,FALSE))</f>
        <v/>
      </c>
      <c r="G168" s="295" t="str">
        <f>IF(F168="","",VLOOKUP($B168,'F-1 Off-Site WaterC'' Baseline'!$C$9:$R$257,6,FALSE))</f>
        <v/>
      </c>
      <c r="H168" s="295" t="str">
        <f>IF(G168="","",VLOOKUP($B168,'F-1 Off-Site WaterC'' Baseline'!$C$9:$R$257,7,FALSE))</f>
        <v/>
      </c>
      <c r="I168" s="295" t="str">
        <f>IF(H168="","",VLOOKUP($B168,'F-1 Off-Site WaterC'' Baseline'!$C$9:$R$257,8,FALSE))</f>
        <v/>
      </c>
      <c r="J168" s="295" t="str">
        <f>IF(I168="","",VLOOKUP($B168,'F-1 Off-Site WaterC'' Baseline'!$C$9:$R$257,9,FALSE))</f>
        <v/>
      </c>
      <c r="K168" s="295" t="str">
        <f>IF(J168="","",VLOOKUP($B168,'F-1 Off-Site WaterC'' Baseline'!$C$9:$R$257,10,FALSE))</f>
        <v/>
      </c>
      <c r="L168" s="283" t="str">
        <f>IF(B168="","",VLOOKUP($B168,'F-1 Off-Site WaterC'' Baseline'!$C$9:$R$257,15,FALSE))</f>
        <v/>
      </c>
      <c r="M168" s="299" t="str">
        <f>IF(L168="","",VLOOKUP($B168,'F-1 Off-Site WaterC'' Baseline'!$C$9:$V$257,19,FALSE))</f>
        <v/>
      </c>
      <c r="N168" s="244"/>
      <c r="O168" s="275" t="str">
        <f t="shared" si="25"/>
        <v/>
      </c>
      <c r="P168" s="276" t="str">
        <f t="shared" si="26"/>
        <v/>
      </c>
      <c r="Q168" s="281" t="str">
        <f>IF(N168="","",VLOOKUP(B168,'F-1 Off-Site WaterC'' Baseline'!$C$10:$AF$257,23,FALSE))</f>
        <v/>
      </c>
      <c r="R168" s="275" t="str">
        <f>IF(N168="","",VLOOKUP(N168,'G-7 WaterC'' Data'!$B$2:$G$8,2,FALSE))</f>
        <v/>
      </c>
      <c r="S168" s="276" t="str">
        <f>IFERROR(VLOOKUP(R168,'G-7 WaterC'' Data'!$C$4:$D$8,2,FALSE),"")</f>
        <v/>
      </c>
      <c r="T168" s="101"/>
      <c r="U168" s="276" t="str">
        <f>IFERROR(INDEX('G-7 WaterC'' Data'!$H$4:$L$8,MATCH(N168,'G-7 WaterC'' Data'!$B$4:$B$8,0),MATCH(T168,'G-7 WaterC'' Data'!$H$3:$L$3,0)),"")</f>
        <v/>
      </c>
      <c r="V168" s="105"/>
      <c r="W168" s="295" t="str">
        <f>IF(V168="","",IF(VLOOKUP(V168,'G-7 WaterC'' Data'!$AK$4:$AM$6,2,FALSE)=0,"Spatial Data Missing ⚠",VLOOKUP(V168,'G-7 WaterC'' Data'!$AK$4:$AM$6,2,FALSE)))</f>
        <v/>
      </c>
      <c r="X168" s="299" t="str">
        <f>IF(V168="","",IF(VLOOKUP(V168,'G-7 WaterC'' Data'!$AK$4:$AM$6,3,FALSE)=0,"Spatial Data Missing ⚠",VLOOKUP(V168,'G-7 WaterC'' Data'!$AK$4:$AM$6,3,FALSE)))</f>
        <v/>
      </c>
      <c r="Y168" s="311" t="str">
        <f>IFERROR(IF(OR(LEFT(P168,5)="Error",LEFT(O168,5)="Error"),"Check Data ⚠",IF(F168&lt;S168,'G-7 WaterC'' Data'!$R$3,INDEX('G-7 WaterC'' Data'!$U$5:$Y$9,MATCH(G168,'G-7 WaterC'' Data'!$T$5:$T$9,0),MATCH(T168,'G-7 WaterC'' Data'!$U$4:$Y$4,0)))),"")</f>
        <v/>
      </c>
      <c r="Z168" s="138"/>
      <c r="AA168" s="138"/>
      <c r="AB168" s="308" t="str">
        <f t="shared" si="22"/>
        <v/>
      </c>
      <c r="AC168" s="296" t="str">
        <f t="shared" si="27"/>
        <v/>
      </c>
      <c r="AD168" s="334" t="str">
        <f>IFERROR(IF(AC168="Check Data ⚠","Check Data ⚠",VLOOKUP(AC168,'G-4 Temporal multipliers'!$A$4:$C$37,3,FALSE)),"")</f>
        <v/>
      </c>
      <c r="AE168" s="311" t="str">
        <f>IF(N168="","",VLOOKUP(N168,'G-7 WaterC'' Data'!$B$4:$G$8,5,FALSE))</f>
        <v/>
      </c>
      <c r="AF168" s="295" t="str">
        <f t="shared" si="23"/>
        <v/>
      </c>
      <c r="AG168" s="295" t="str">
        <f t="shared" si="28"/>
        <v/>
      </c>
      <c r="AH168" s="276" t="str">
        <f t="shared" si="24"/>
        <v/>
      </c>
      <c r="AI168" s="105"/>
      <c r="AJ168" s="276" t="str">
        <f>IF(AI168="","",(IF(AND(AI168="N/A - Culvert",N168&lt;&gt;"Culvert"),"Not possible ▲",IF(VLOOKUP(AI168,'G-7 WaterC'' Data'!$AA$4:$AB$7,2,FALSE)=0,"Spatial Data Missing ⚠",VLOOKUP(AI168,'G-7 WaterC'' Data'!$AA$4:$AB$7,2,FALSE)))))</f>
        <v/>
      </c>
      <c r="AK168" s="106"/>
      <c r="AL168" s="310" t="str">
        <f>IF(AK168="","",IF(AND(AK168="N/A - Culvert",N168&lt;&gt;"Culvert"),"Not possible ▲",IF(VLOOKUP(AK168,'G-7 WaterC'' Data'!$AD$4:$AE$14,2,FALSE)=0,"Spatial Data Missing ⚠",VLOOKUP(AK168,'G-7 WaterC'' Data'!$AD$4:$AE$14,2,FALSE))))</f>
        <v/>
      </c>
      <c r="AM168" s="275" t="str">
        <f>IF(B168="","",VLOOKUP($B168,'F-1 Off-Site WaterC'' Baseline'!$C$9:$Z$257,17,FALSE))</f>
        <v/>
      </c>
      <c r="AN168" s="276" t="str">
        <f>IF(AM168="","",IF(VLOOKUP(AM168,'G-7 WaterC'' Data'!$AO$4:$BO$7,2,FALSE)=0,"Spatial Data Missing ⚠",VLOOKUP(AM168,'G-7 WaterC'' Data'!$AO$4:$BO$7,2,FALSE)))</f>
        <v/>
      </c>
      <c r="AO168" s="317" t="str">
        <f t="shared" si="29"/>
        <v/>
      </c>
      <c r="AP168" s="317" t="str">
        <f t="shared" si="30"/>
        <v/>
      </c>
      <c r="AQ168" s="101"/>
      <c r="AR168" s="115"/>
      <c r="AS168" s="104"/>
      <c r="AT168" s="104"/>
      <c r="AW168" s="30" t="str">
        <f>IF(E168="","",VLOOKUP($B168,'F-1 Off-Site WaterC'' Baseline'!$C$9:$Z$257,12,FALSE))</f>
        <v/>
      </c>
      <c r="AX168" s="30" t="str">
        <f>IF(E168="","",VLOOKUP($B168,'F-1 Off-Site WaterC'' Baseline'!$C$9:$Z$257,14,FALSE))</f>
        <v/>
      </c>
      <c r="AY168" s="30" t="str">
        <f>IFERROR(INDEX('G-7 WaterC'' Data'!$AZ$3:$AZ$7,MATCH(N168,'G-7 WaterC'' Data'!$AY$3:$AY$7,0)),"")</f>
        <v/>
      </c>
      <c r="AZ168" s="30" t="str">
        <f>IF(B168="","",IF(ISNA(VLOOKUP($B168,'F-1 Off-Site WaterC'' Baseline'!$C$8:$AD$257,20,FALSE)),"",(VLOOKUP($B168,'F-1 Off-Site WaterC'' Baseline'!$C$8:$AD$257,20,FALSE))))</f>
        <v/>
      </c>
      <c r="BC168" s="30" t="str">
        <f>IF(B168="","",VLOOKUP($B168,'F-1 Off-Site WaterC'' Baseline'!$C$9:$AB$257,25,FALSE))</f>
        <v/>
      </c>
      <c r="BD168" s="30" t="str">
        <f t="shared" si="31"/>
        <v/>
      </c>
      <c r="BE168" s="30" t="str">
        <f>IF(B168="","",VLOOKUP($B168,'F-1 Off-Site WaterC'' Baseline'!$C$9:$AB$257,24,FALSE))</f>
        <v/>
      </c>
      <c r="BF168" s="30" t="str">
        <f>IF(B168="","",VLOOKUP($B168,'F-1 Off-Site WaterC'' Baseline'!$C$9:$AB$257,22,FALSE))</f>
        <v/>
      </c>
      <c r="BJ168" s="30" t="str">
        <f t="shared" si="32"/>
        <v>No</v>
      </c>
    </row>
    <row r="169" spans="2:62" ht="14">
      <c r="B169" s="305" t="str">
        <f>'F-1 Off-Site WaterC'' Baseline'!AS167</f>
        <v/>
      </c>
      <c r="C169" s="295" t="str">
        <f>IF(B169="","",VLOOKUP($B169,'F-1 Off-Site WaterC'' Baseline'!$C$9:$R$257,2,FALSE))</f>
        <v/>
      </c>
      <c r="D169" s="295" t="str">
        <f>IF(C169="","",VLOOKUP($B169,'F-1 Off-Site WaterC'' Baseline'!$C$9:$R$257,3,FALSE))</f>
        <v/>
      </c>
      <c r="E169" s="295" t="str">
        <f>IF(D169="","",VLOOKUP($B169,'F-1 Off-Site WaterC'' Baseline'!$C$9:$R$257,4,FALSE))</f>
        <v/>
      </c>
      <c r="F169" s="295" t="str">
        <f>IF(E169="","",VLOOKUP($B169,'F-1 Off-Site WaterC'' Baseline'!$C$9:$R$257,5,FALSE))</f>
        <v/>
      </c>
      <c r="G169" s="295" t="str">
        <f>IF(F169="","",VLOOKUP($B169,'F-1 Off-Site WaterC'' Baseline'!$C$9:$R$257,6,FALSE))</f>
        <v/>
      </c>
      <c r="H169" s="295" t="str">
        <f>IF(G169="","",VLOOKUP($B169,'F-1 Off-Site WaterC'' Baseline'!$C$9:$R$257,7,FALSE))</f>
        <v/>
      </c>
      <c r="I169" s="295" t="str">
        <f>IF(H169="","",VLOOKUP($B169,'F-1 Off-Site WaterC'' Baseline'!$C$9:$R$257,8,FALSE))</f>
        <v/>
      </c>
      <c r="J169" s="295" t="str">
        <f>IF(I169="","",VLOOKUP($B169,'F-1 Off-Site WaterC'' Baseline'!$C$9:$R$257,9,FALSE))</f>
        <v/>
      </c>
      <c r="K169" s="295" t="str">
        <f>IF(J169="","",VLOOKUP($B169,'F-1 Off-Site WaterC'' Baseline'!$C$9:$R$257,10,FALSE))</f>
        <v/>
      </c>
      <c r="L169" s="283" t="str">
        <f>IF(B169="","",VLOOKUP($B169,'F-1 Off-Site WaterC'' Baseline'!$C$9:$R$257,15,FALSE))</f>
        <v/>
      </c>
      <c r="M169" s="299" t="str">
        <f>IF(L169="","",VLOOKUP($B169,'F-1 Off-Site WaterC'' Baseline'!$C$9:$V$257,19,FALSE))</f>
        <v/>
      </c>
      <c r="N169" s="244"/>
      <c r="O169" s="275" t="str">
        <f t="shared" si="25"/>
        <v/>
      </c>
      <c r="P169" s="276" t="str">
        <f t="shared" si="26"/>
        <v/>
      </c>
      <c r="Q169" s="281" t="str">
        <f>IF(N169="","",VLOOKUP(B169,'F-1 Off-Site WaterC'' Baseline'!$C$10:$AF$257,23,FALSE))</f>
        <v/>
      </c>
      <c r="R169" s="275" t="str">
        <f>IF(N169="","",VLOOKUP(N169,'G-7 WaterC'' Data'!$B$2:$G$8,2,FALSE))</f>
        <v/>
      </c>
      <c r="S169" s="276" t="str">
        <f>IFERROR(VLOOKUP(R169,'G-7 WaterC'' Data'!$C$4:$D$8,2,FALSE),"")</f>
        <v/>
      </c>
      <c r="T169" s="101"/>
      <c r="U169" s="276" t="str">
        <f>IFERROR(INDEX('G-7 WaterC'' Data'!$H$4:$L$8,MATCH(N169,'G-7 WaterC'' Data'!$B$4:$B$8,0),MATCH(T169,'G-7 WaterC'' Data'!$H$3:$L$3,0)),"")</f>
        <v/>
      </c>
      <c r="V169" s="105"/>
      <c r="W169" s="295" t="str">
        <f>IF(V169="","",IF(VLOOKUP(V169,'G-7 WaterC'' Data'!$AK$4:$AM$6,2,FALSE)=0,"Spatial Data Missing ⚠",VLOOKUP(V169,'G-7 WaterC'' Data'!$AK$4:$AM$6,2,FALSE)))</f>
        <v/>
      </c>
      <c r="X169" s="299" t="str">
        <f>IF(V169="","",IF(VLOOKUP(V169,'G-7 WaterC'' Data'!$AK$4:$AM$6,3,FALSE)=0,"Spatial Data Missing ⚠",VLOOKUP(V169,'G-7 WaterC'' Data'!$AK$4:$AM$6,3,FALSE)))</f>
        <v/>
      </c>
      <c r="Y169" s="311" t="str">
        <f>IFERROR(IF(OR(LEFT(P169,5)="Error",LEFT(O169,5)="Error"),"Check Data ⚠",IF(F169&lt;S169,'G-7 WaterC'' Data'!$R$3,INDEX('G-7 WaterC'' Data'!$U$5:$Y$9,MATCH(G169,'G-7 WaterC'' Data'!$T$5:$T$9,0),MATCH(T169,'G-7 WaterC'' Data'!$U$4:$Y$4,0)))),"")</f>
        <v/>
      </c>
      <c r="Z169" s="138"/>
      <c r="AA169" s="138"/>
      <c r="AB169" s="308" t="str">
        <f t="shared" si="22"/>
        <v/>
      </c>
      <c r="AC169" s="296" t="str">
        <f t="shared" si="27"/>
        <v/>
      </c>
      <c r="AD169" s="334" t="str">
        <f>IFERROR(IF(AC169="Check Data ⚠","Check Data ⚠",VLOOKUP(AC169,'G-4 Temporal multipliers'!$A$4:$C$37,3,FALSE)),"")</f>
        <v/>
      </c>
      <c r="AE169" s="311" t="str">
        <f>IF(N169="","",VLOOKUP(N169,'G-7 WaterC'' Data'!$B$4:$G$8,5,FALSE))</f>
        <v/>
      </c>
      <c r="AF169" s="295" t="str">
        <f t="shared" si="23"/>
        <v/>
      </c>
      <c r="AG169" s="295" t="str">
        <f t="shared" si="28"/>
        <v/>
      </c>
      <c r="AH169" s="276" t="str">
        <f t="shared" si="24"/>
        <v/>
      </c>
      <c r="AI169" s="105"/>
      <c r="AJ169" s="276" t="str">
        <f>IF(AI169="","",(IF(AND(AI169="N/A - Culvert",N169&lt;&gt;"Culvert"),"Not possible ▲",IF(VLOOKUP(AI169,'G-7 WaterC'' Data'!$AA$4:$AB$7,2,FALSE)=0,"Spatial Data Missing ⚠",VLOOKUP(AI169,'G-7 WaterC'' Data'!$AA$4:$AB$7,2,FALSE)))))</f>
        <v/>
      </c>
      <c r="AK169" s="106"/>
      <c r="AL169" s="310" t="str">
        <f>IF(AK169="","",IF(AND(AK169="N/A - Culvert",N169&lt;&gt;"Culvert"),"Not possible ▲",IF(VLOOKUP(AK169,'G-7 WaterC'' Data'!$AD$4:$AE$14,2,FALSE)=0,"Spatial Data Missing ⚠",VLOOKUP(AK169,'G-7 WaterC'' Data'!$AD$4:$AE$14,2,FALSE))))</f>
        <v/>
      </c>
      <c r="AM169" s="275" t="str">
        <f>IF(B169="","",VLOOKUP($B169,'F-1 Off-Site WaterC'' Baseline'!$C$9:$Z$257,17,FALSE))</f>
        <v/>
      </c>
      <c r="AN169" s="276" t="str">
        <f>IF(AM169="","",IF(VLOOKUP(AM169,'G-7 WaterC'' Data'!$AO$4:$BO$7,2,FALSE)=0,"Spatial Data Missing ⚠",VLOOKUP(AM169,'G-7 WaterC'' Data'!$AO$4:$BO$7,2,FALSE)))</f>
        <v/>
      </c>
      <c r="AO169" s="317" t="str">
        <f t="shared" si="29"/>
        <v/>
      </c>
      <c r="AP169" s="317" t="str">
        <f t="shared" si="30"/>
        <v/>
      </c>
      <c r="AQ169" s="101"/>
      <c r="AR169" s="115"/>
      <c r="AS169" s="104"/>
      <c r="AT169" s="104"/>
      <c r="AW169" s="30" t="str">
        <f>IF(E169="","",VLOOKUP($B169,'F-1 Off-Site WaterC'' Baseline'!$C$9:$Z$257,12,FALSE))</f>
        <v/>
      </c>
      <c r="AX169" s="30" t="str">
        <f>IF(E169="","",VLOOKUP($B169,'F-1 Off-Site WaterC'' Baseline'!$C$9:$Z$257,14,FALSE))</f>
        <v/>
      </c>
      <c r="AY169" s="30" t="str">
        <f>IFERROR(INDEX('G-7 WaterC'' Data'!$AZ$3:$AZ$7,MATCH(N169,'G-7 WaterC'' Data'!$AY$3:$AY$7,0)),"")</f>
        <v/>
      </c>
      <c r="AZ169" s="30" t="str">
        <f>IF(B169="","",IF(ISNA(VLOOKUP($B169,'F-1 Off-Site WaterC'' Baseline'!$C$8:$AD$257,20,FALSE)),"",(VLOOKUP($B169,'F-1 Off-Site WaterC'' Baseline'!$C$8:$AD$257,20,FALSE))))</f>
        <v/>
      </c>
      <c r="BC169" s="30" t="str">
        <f>IF(B169="","",VLOOKUP($B169,'F-1 Off-Site WaterC'' Baseline'!$C$9:$AB$257,25,FALSE))</f>
        <v/>
      </c>
      <c r="BD169" s="30" t="str">
        <f t="shared" si="31"/>
        <v/>
      </c>
      <c r="BE169" s="30" t="str">
        <f>IF(B169="","",VLOOKUP($B169,'F-1 Off-Site WaterC'' Baseline'!$C$9:$AB$257,24,FALSE))</f>
        <v/>
      </c>
      <c r="BF169" s="30" t="str">
        <f>IF(B169="","",VLOOKUP($B169,'F-1 Off-Site WaterC'' Baseline'!$C$9:$AB$257,22,FALSE))</f>
        <v/>
      </c>
      <c r="BJ169" s="30" t="str">
        <f t="shared" si="32"/>
        <v>No</v>
      </c>
    </row>
    <row r="170" spans="2:62" ht="14">
      <c r="B170" s="305" t="str">
        <f>'F-1 Off-Site WaterC'' Baseline'!AS168</f>
        <v/>
      </c>
      <c r="C170" s="295" t="str">
        <f>IF(B170="","",VLOOKUP($B170,'F-1 Off-Site WaterC'' Baseline'!$C$9:$R$257,2,FALSE))</f>
        <v/>
      </c>
      <c r="D170" s="295" t="str">
        <f>IF(C170="","",VLOOKUP($B170,'F-1 Off-Site WaterC'' Baseline'!$C$9:$R$257,3,FALSE))</f>
        <v/>
      </c>
      <c r="E170" s="295" t="str">
        <f>IF(D170="","",VLOOKUP($B170,'F-1 Off-Site WaterC'' Baseline'!$C$9:$R$257,4,FALSE))</f>
        <v/>
      </c>
      <c r="F170" s="295" t="str">
        <f>IF(E170="","",VLOOKUP($B170,'F-1 Off-Site WaterC'' Baseline'!$C$9:$R$257,5,FALSE))</f>
        <v/>
      </c>
      <c r="G170" s="295" t="str">
        <f>IF(F170="","",VLOOKUP($B170,'F-1 Off-Site WaterC'' Baseline'!$C$9:$R$257,6,FALSE))</f>
        <v/>
      </c>
      <c r="H170" s="295" t="str">
        <f>IF(G170="","",VLOOKUP($B170,'F-1 Off-Site WaterC'' Baseline'!$C$9:$R$257,7,FALSE))</f>
        <v/>
      </c>
      <c r="I170" s="295" t="str">
        <f>IF(H170="","",VLOOKUP($B170,'F-1 Off-Site WaterC'' Baseline'!$C$9:$R$257,8,FALSE))</f>
        <v/>
      </c>
      <c r="J170" s="295" t="str">
        <f>IF(I170="","",VLOOKUP($B170,'F-1 Off-Site WaterC'' Baseline'!$C$9:$R$257,9,FALSE))</f>
        <v/>
      </c>
      <c r="K170" s="295" t="str">
        <f>IF(J170="","",VLOOKUP($B170,'F-1 Off-Site WaterC'' Baseline'!$C$9:$R$257,10,FALSE))</f>
        <v/>
      </c>
      <c r="L170" s="283" t="str">
        <f>IF(B170="","",VLOOKUP($B170,'F-1 Off-Site WaterC'' Baseline'!$C$9:$R$257,15,FALSE))</f>
        <v/>
      </c>
      <c r="M170" s="299" t="str">
        <f>IF(L170="","",VLOOKUP($B170,'F-1 Off-Site WaterC'' Baseline'!$C$9:$V$257,19,FALSE))</f>
        <v/>
      </c>
      <c r="N170" s="244"/>
      <c r="O170" s="275" t="str">
        <f t="shared" si="25"/>
        <v/>
      </c>
      <c r="P170" s="276" t="str">
        <f t="shared" si="26"/>
        <v/>
      </c>
      <c r="Q170" s="281" t="str">
        <f>IF(N170="","",VLOOKUP(B170,'F-1 Off-Site WaterC'' Baseline'!$C$10:$AF$257,23,FALSE))</f>
        <v/>
      </c>
      <c r="R170" s="275" t="str">
        <f>IF(N170="","",VLOOKUP(N170,'G-7 WaterC'' Data'!$B$2:$G$8,2,FALSE))</f>
        <v/>
      </c>
      <c r="S170" s="276" t="str">
        <f>IFERROR(VLOOKUP(R170,'G-7 WaterC'' Data'!$C$4:$D$8,2,FALSE),"")</f>
        <v/>
      </c>
      <c r="T170" s="101"/>
      <c r="U170" s="276" t="str">
        <f>IFERROR(INDEX('G-7 WaterC'' Data'!$H$4:$L$8,MATCH(N170,'G-7 WaterC'' Data'!$B$4:$B$8,0),MATCH(T170,'G-7 WaterC'' Data'!$H$3:$L$3,0)),"")</f>
        <v/>
      </c>
      <c r="V170" s="105"/>
      <c r="W170" s="295" t="str">
        <f>IF(V170="","",IF(VLOOKUP(V170,'G-7 WaterC'' Data'!$AK$4:$AM$6,2,FALSE)=0,"Spatial Data Missing ⚠",VLOOKUP(V170,'G-7 WaterC'' Data'!$AK$4:$AM$6,2,FALSE)))</f>
        <v/>
      </c>
      <c r="X170" s="299" t="str">
        <f>IF(V170="","",IF(VLOOKUP(V170,'G-7 WaterC'' Data'!$AK$4:$AM$6,3,FALSE)=0,"Spatial Data Missing ⚠",VLOOKUP(V170,'G-7 WaterC'' Data'!$AK$4:$AM$6,3,FALSE)))</f>
        <v/>
      </c>
      <c r="Y170" s="311" t="str">
        <f>IFERROR(IF(OR(LEFT(P170,5)="Error",LEFT(O170,5)="Error"),"Check Data ⚠",IF(F170&lt;S170,'G-7 WaterC'' Data'!$R$3,INDEX('G-7 WaterC'' Data'!$U$5:$Y$9,MATCH(G170,'G-7 WaterC'' Data'!$T$5:$T$9,0),MATCH(T170,'G-7 WaterC'' Data'!$U$4:$Y$4,0)))),"")</f>
        <v/>
      </c>
      <c r="Z170" s="138"/>
      <c r="AA170" s="138"/>
      <c r="AB170" s="308" t="str">
        <f t="shared" si="22"/>
        <v/>
      </c>
      <c r="AC170" s="296" t="str">
        <f t="shared" si="27"/>
        <v/>
      </c>
      <c r="AD170" s="334" t="str">
        <f>IFERROR(IF(AC170="Check Data ⚠","Check Data ⚠",VLOOKUP(AC170,'G-4 Temporal multipliers'!$A$4:$C$37,3,FALSE)),"")</f>
        <v/>
      </c>
      <c r="AE170" s="311" t="str">
        <f>IF(N170="","",VLOOKUP(N170,'G-7 WaterC'' Data'!$B$4:$G$8,5,FALSE))</f>
        <v/>
      </c>
      <c r="AF170" s="295" t="str">
        <f t="shared" si="23"/>
        <v/>
      </c>
      <c r="AG170" s="295" t="str">
        <f t="shared" si="28"/>
        <v/>
      </c>
      <c r="AH170" s="276" t="str">
        <f t="shared" si="24"/>
        <v/>
      </c>
      <c r="AI170" s="105"/>
      <c r="AJ170" s="276" t="str">
        <f>IF(AI170="","",(IF(AND(AI170="N/A - Culvert",N170&lt;&gt;"Culvert"),"Not possible ▲",IF(VLOOKUP(AI170,'G-7 WaterC'' Data'!$AA$4:$AB$7,2,FALSE)=0,"Spatial Data Missing ⚠",VLOOKUP(AI170,'G-7 WaterC'' Data'!$AA$4:$AB$7,2,FALSE)))))</f>
        <v/>
      </c>
      <c r="AK170" s="106"/>
      <c r="AL170" s="310" t="str">
        <f>IF(AK170="","",IF(AND(AK170="N/A - Culvert",N170&lt;&gt;"Culvert"),"Not possible ▲",IF(VLOOKUP(AK170,'G-7 WaterC'' Data'!$AD$4:$AE$14,2,FALSE)=0,"Spatial Data Missing ⚠",VLOOKUP(AK170,'G-7 WaterC'' Data'!$AD$4:$AE$14,2,FALSE))))</f>
        <v/>
      </c>
      <c r="AM170" s="275" t="str">
        <f>IF(B170="","",VLOOKUP($B170,'F-1 Off-Site WaterC'' Baseline'!$C$9:$Z$257,17,FALSE))</f>
        <v/>
      </c>
      <c r="AN170" s="276" t="str">
        <f>IF(AM170="","",IF(VLOOKUP(AM170,'G-7 WaterC'' Data'!$AO$4:$BO$7,2,FALSE)=0,"Spatial Data Missing ⚠",VLOOKUP(AM170,'G-7 WaterC'' Data'!$AO$4:$BO$7,2,FALSE)))</f>
        <v/>
      </c>
      <c r="AO170" s="317" t="str">
        <f t="shared" si="29"/>
        <v/>
      </c>
      <c r="AP170" s="317" t="str">
        <f t="shared" si="30"/>
        <v/>
      </c>
      <c r="AQ170" s="101"/>
      <c r="AR170" s="115"/>
      <c r="AS170" s="104"/>
      <c r="AT170" s="104"/>
      <c r="AW170" s="30" t="str">
        <f>IF(E170="","",VLOOKUP($B170,'F-1 Off-Site WaterC'' Baseline'!$C$9:$Z$257,12,FALSE))</f>
        <v/>
      </c>
      <c r="AX170" s="30" t="str">
        <f>IF(E170="","",VLOOKUP($B170,'F-1 Off-Site WaterC'' Baseline'!$C$9:$Z$257,14,FALSE))</f>
        <v/>
      </c>
      <c r="AY170" s="30" t="str">
        <f>IFERROR(INDEX('G-7 WaterC'' Data'!$AZ$3:$AZ$7,MATCH(N170,'G-7 WaterC'' Data'!$AY$3:$AY$7,0)),"")</f>
        <v/>
      </c>
      <c r="AZ170" s="30" t="str">
        <f>IF(B170="","",IF(ISNA(VLOOKUP($B170,'F-1 Off-Site WaterC'' Baseline'!$C$8:$AD$257,20,FALSE)),"",(VLOOKUP($B170,'F-1 Off-Site WaterC'' Baseline'!$C$8:$AD$257,20,FALSE))))</f>
        <v/>
      </c>
      <c r="BC170" s="30" t="str">
        <f>IF(B170="","",VLOOKUP($B170,'F-1 Off-Site WaterC'' Baseline'!$C$9:$AB$257,25,FALSE))</f>
        <v/>
      </c>
      <c r="BD170" s="30" t="str">
        <f t="shared" si="31"/>
        <v/>
      </c>
      <c r="BE170" s="30" t="str">
        <f>IF(B170="","",VLOOKUP($B170,'F-1 Off-Site WaterC'' Baseline'!$C$9:$AB$257,24,FALSE))</f>
        <v/>
      </c>
      <c r="BF170" s="30" t="str">
        <f>IF(B170="","",VLOOKUP($B170,'F-1 Off-Site WaterC'' Baseline'!$C$9:$AB$257,22,FALSE))</f>
        <v/>
      </c>
      <c r="BJ170" s="30" t="str">
        <f t="shared" si="32"/>
        <v>No</v>
      </c>
    </row>
    <row r="171" spans="2:62" ht="14">
      <c r="B171" s="305" t="str">
        <f>'F-1 Off-Site WaterC'' Baseline'!AS169</f>
        <v/>
      </c>
      <c r="C171" s="295" t="str">
        <f>IF(B171="","",VLOOKUP($B171,'F-1 Off-Site WaterC'' Baseline'!$C$9:$R$257,2,FALSE))</f>
        <v/>
      </c>
      <c r="D171" s="295" t="str">
        <f>IF(C171="","",VLOOKUP($B171,'F-1 Off-Site WaterC'' Baseline'!$C$9:$R$257,3,FALSE))</f>
        <v/>
      </c>
      <c r="E171" s="295" t="str">
        <f>IF(D171="","",VLOOKUP($B171,'F-1 Off-Site WaterC'' Baseline'!$C$9:$R$257,4,FALSE))</f>
        <v/>
      </c>
      <c r="F171" s="295" t="str">
        <f>IF(E171="","",VLOOKUP($B171,'F-1 Off-Site WaterC'' Baseline'!$C$9:$R$257,5,FALSE))</f>
        <v/>
      </c>
      <c r="G171" s="295" t="str">
        <f>IF(F171="","",VLOOKUP($B171,'F-1 Off-Site WaterC'' Baseline'!$C$9:$R$257,6,FALSE))</f>
        <v/>
      </c>
      <c r="H171" s="295" t="str">
        <f>IF(G171="","",VLOOKUP($B171,'F-1 Off-Site WaterC'' Baseline'!$C$9:$R$257,7,FALSE))</f>
        <v/>
      </c>
      <c r="I171" s="295" t="str">
        <f>IF(H171="","",VLOOKUP($B171,'F-1 Off-Site WaterC'' Baseline'!$C$9:$R$257,8,FALSE))</f>
        <v/>
      </c>
      <c r="J171" s="295" t="str">
        <f>IF(I171="","",VLOOKUP($B171,'F-1 Off-Site WaterC'' Baseline'!$C$9:$R$257,9,FALSE))</f>
        <v/>
      </c>
      <c r="K171" s="295" t="str">
        <f>IF(J171="","",VLOOKUP($B171,'F-1 Off-Site WaterC'' Baseline'!$C$9:$R$257,10,FALSE))</f>
        <v/>
      </c>
      <c r="L171" s="283" t="str">
        <f>IF(B171="","",VLOOKUP($B171,'F-1 Off-Site WaterC'' Baseline'!$C$9:$R$257,15,FALSE))</f>
        <v/>
      </c>
      <c r="M171" s="299" t="str">
        <f>IF(L171="","",VLOOKUP($B171,'F-1 Off-Site WaterC'' Baseline'!$C$9:$V$257,19,FALSE))</f>
        <v/>
      </c>
      <c r="N171" s="244"/>
      <c r="O171" s="275" t="str">
        <f t="shared" si="25"/>
        <v/>
      </c>
      <c r="P171" s="276" t="str">
        <f t="shared" si="26"/>
        <v/>
      </c>
      <c r="Q171" s="281" t="str">
        <f>IF(N171="","",VLOOKUP(B171,'F-1 Off-Site WaterC'' Baseline'!$C$10:$AF$257,23,FALSE))</f>
        <v/>
      </c>
      <c r="R171" s="275" t="str">
        <f>IF(N171="","",VLOOKUP(N171,'G-7 WaterC'' Data'!$B$2:$G$8,2,FALSE))</f>
        <v/>
      </c>
      <c r="S171" s="276" t="str">
        <f>IFERROR(VLOOKUP(R171,'G-7 WaterC'' Data'!$C$4:$D$8,2,FALSE),"")</f>
        <v/>
      </c>
      <c r="T171" s="101"/>
      <c r="U171" s="276" t="str">
        <f>IFERROR(INDEX('G-7 WaterC'' Data'!$H$4:$L$8,MATCH(N171,'G-7 WaterC'' Data'!$B$4:$B$8,0),MATCH(T171,'G-7 WaterC'' Data'!$H$3:$L$3,0)),"")</f>
        <v/>
      </c>
      <c r="V171" s="105"/>
      <c r="W171" s="295" t="str">
        <f>IF(V171="","",IF(VLOOKUP(V171,'G-7 WaterC'' Data'!$AK$4:$AM$6,2,FALSE)=0,"Spatial Data Missing ⚠",VLOOKUP(V171,'G-7 WaterC'' Data'!$AK$4:$AM$6,2,FALSE)))</f>
        <v/>
      </c>
      <c r="X171" s="299" t="str">
        <f>IF(V171="","",IF(VLOOKUP(V171,'G-7 WaterC'' Data'!$AK$4:$AM$6,3,FALSE)=0,"Spatial Data Missing ⚠",VLOOKUP(V171,'G-7 WaterC'' Data'!$AK$4:$AM$6,3,FALSE)))</f>
        <v/>
      </c>
      <c r="Y171" s="311" t="str">
        <f>IFERROR(IF(OR(LEFT(P171,5)="Error",LEFT(O171,5)="Error"),"Check Data ⚠",IF(F171&lt;S171,'G-7 WaterC'' Data'!$R$3,INDEX('G-7 WaterC'' Data'!$U$5:$Y$9,MATCH(G171,'G-7 WaterC'' Data'!$T$5:$T$9,0),MATCH(T171,'G-7 WaterC'' Data'!$U$4:$Y$4,0)))),"")</f>
        <v/>
      </c>
      <c r="Z171" s="138"/>
      <c r="AA171" s="138"/>
      <c r="AB171" s="308" t="str">
        <f t="shared" si="22"/>
        <v/>
      </c>
      <c r="AC171" s="296" t="str">
        <f t="shared" si="27"/>
        <v/>
      </c>
      <c r="AD171" s="334" t="str">
        <f>IFERROR(IF(AC171="Check Data ⚠","Check Data ⚠",VLOOKUP(AC171,'G-4 Temporal multipliers'!$A$4:$C$37,3,FALSE)),"")</f>
        <v/>
      </c>
      <c r="AE171" s="311" t="str">
        <f>IF(N171="","",VLOOKUP(N171,'G-7 WaterC'' Data'!$B$4:$G$8,5,FALSE))</f>
        <v/>
      </c>
      <c r="AF171" s="295" t="str">
        <f t="shared" si="23"/>
        <v/>
      </c>
      <c r="AG171" s="295" t="str">
        <f t="shared" si="28"/>
        <v/>
      </c>
      <c r="AH171" s="276" t="str">
        <f t="shared" si="24"/>
        <v/>
      </c>
      <c r="AI171" s="105"/>
      <c r="AJ171" s="276" t="str">
        <f>IF(AI171="","",(IF(AND(AI171="N/A - Culvert",N171&lt;&gt;"Culvert"),"Not possible ▲",IF(VLOOKUP(AI171,'G-7 WaterC'' Data'!$AA$4:$AB$7,2,FALSE)=0,"Spatial Data Missing ⚠",VLOOKUP(AI171,'G-7 WaterC'' Data'!$AA$4:$AB$7,2,FALSE)))))</f>
        <v/>
      </c>
      <c r="AK171" s="106"/>
      <c r="AL171" s="310" t="str">
        <f>IF(AK171="","",IF(AND(AK171="N/A - Culvert",N171&lt;&gt;"Culvert"),"Not possible ▲",IF(VLOOKUP(AK171,'G-7 WaterC'' Data'!$AD$4:$AE$14,2,FALSE)=0,"Spatial Data Missing ⚠",VLOOKUP(AK171,'G-7 WaterC'' Data'!$AD$4:$AE$14,2,FALSE))))</f>
        <v/>
      </c>
      <c r="AM171" s="275" t="str">
        <f>IF(B171="","",VLOOKUP($B171,'F-1 Off-Site WaterC'' Baseline'!$C$9:$Z$257,17,FALSE))</f>
        <v/>
      </c>
      <c r="AN171" s="276" t="str">
        <f>IF(AM171="","",IF(VLOOKUP(AM171,'G-7 WaterC'' Data'!$AO$4:$BO$7,2,FALSE)=0,"Spatial Data Missing ⚠",VLOOKUP(AM171,'G-7 WaterC'' Data'!$AO$4:$BO$7,2,FALSE)))</f>
        <v/>
      </c>
      <c r="AO171" s="317" t="str">
        <f t="shared" si="29"/>
        <v/>
      </c>
      <c r="AP171" s="317" t="str">
        <f t="shared" si="30"/>
        <v/>
      </c>
      <c r="AQ171" s="101"/>
      <c r="AR171" s="115"/>
      <c r="AS171" s="104"/>
      <c r="AT171" s="104"/>
      <c r="AW171" s="30" t="str">
        <f>IF(E171="","",VLOOKUP($B171,'F-1 Off-Site WaterC'' Baseline'!$C$9:$Z$257,12,FALSE))</f>
        <v/>
      </c>
      <c r="AX171" s="30" t="str">
        <f>IF(E171="","",VLOOKUP($B171,'F-1 Off-Site WaterC'' Baseline'!$C$9:$Z$257,14,FALSE))</f>
        <v/>
      </c>
      <c r="AY171" s="30" t="str">
        <f>IFERROR(INDEX('G-7 WaterC'' Data'!$AZ$3:$AZ$7,MATCH(N171,'G-7 WaterC'' Data'!$AY$3:$AY$7,0)),"")</f>
        <v/>
      </c>
      <c r="AZ171" s="30" t="str">
        <f>IF(B171="","",IF(ISNA(VLOOKUP($B171,'F-1 Off-Site WaterC'' Baseline'!$C$8:$AD$257,20,FALSE)),"",(VLOOKUP($B171,'F-1 Off-Site WaterC'' Baseline'!$C$8:$AD$257,20,FALSE))))</f>
        <v/>
      </c>
      <c r="BC171" s="30" t="str">
        <f>IF(B171="","",VLOOKUP($B171,'F-1 Off-Site WaterC'' Baseline'!$C$9:$AB$257,25,FALSE))</f>
        <v/>
      </c>
      <c r="BD171" s="30" t="str">
        <f t="shared" si="31"/>
        <v/>
      </c>
      <c r="BE171" s="30" t="str">
        <f>IF(B171="","",VLOOKUP($B171,'F-1 Off-Site WaterC'' Baseline'!$C$9:$AB$257,24,FALSE))</f>
        <v/>
      </c>
      <c r="BF171" s="30" t="str">
        <f>IF(B171="","",VLOOKUP($B171,'F-1 Off-Site WaterC'' Baseline'!$C$9:$AB$257,22,FALSE))</f>
        <v/>
      </c>
      <c r="BJ171" s="30" t="str">
        <f t="shared" si="32"/>
        <v>No</v>
      </c>
    </row>
    <row r="172" spans="2:62" ht="14">
      <c r="B172" s="305" t="str">
        <f>'F-1 Off-Site WaterC'' Baseline'!AS170</f>
        <v/>
      </c>
      <c r="C172" s="295" t="str">
        <f>IF(B172="","",VLOOKUP($B172,'F-1 Off-Site WaterC'' Baseline'!$C$9:$R$257,2,FALSE))</f>
        <v/>
      </c>
      <c r="D172" s="295" t="str">
        <f>IF(C172="","",VLOOKUP($B172,'F-1 Off-Site WaterC'' Baseline'!$C$9:$R$257,3,FALSE))</f>
        <v/>
      </c>
      <c r="E172" s="295" t="str">
        <f>IF(D172="","",VLOOKUP($B172,'F-1 Off-Site WaterC'' Baseline'!$C$9:$R$257,4,FALSE))</f>
        <v/>
      </c>
      <c r="F172" s="295" t="str">
        <f>IF(E172="","",VLOOKUP($B172,'F-1 Off-Site WaterC'' Baseline'!$C$9:$R$257,5,FALSE))</f>
        <v/>
      </c>
      <c r="G172" s="295" t="str">
        <f>IF(F172="","",VLOOKUP($B172,'F-1 Off-Site WaterC'' Baseline'!$C$9:$R$257,6,FALSE))</f>
        <v/>
      </c>
      <c r="H172" s="295" t="str">
        <f>IF(G172="","",VLOOKUP($B172,'F-1 Off-Site WaterC'' Baseline'!$C$9:$R$257,7,FALSE))</f>
        <v/>
      </c>
      <c r="I172" s="295" t="str">
        <f>IF(H172="","",VLOOKUP($B172,'F-1 Off-Site WaterC'' Baseline'!$C$9:$R$257,8,FALSE))</f>
        <v/>
      </c>
      <c r="J172" s="295" t="str">
        <f>IF(I172="","",VLOOKUP($B172,'F-1 Off-Site WaterC'' Baseline'!$C$9:$R$257,9,FALSE))</f>
        <v/>
      </c>
      <c r="K172" s="295" t="str">
        <f>IF(J172="","",VLOOKUP($B172,'F-1 Off-Site WaterC'' Baseline'!$C$9:$R$257,10,FALSE))</f>
        <v/>
      </c>
      <c r="L172" s="283" t="str">
        <f>IF(B172="","",VLOOKUP($B172,'F-1 Off-Site WaterC'' Baseline'!$C$9:$R$257,15,FALSE))</f>
        <v/>
      </c>
      <c r="M172" s="299" t="str">
        <f>IF(L172="","",VLOOKUP($B172,'F-1 Off-Site WaterC'' Baseline'!$C$9:$V$257,19,FALSE))</f>
        <v/>
      </c>
      <c r="N172" s="244"/>
      <c r="O172" s="275" t="str">
        <f t="shared" si="25"/>
        <v/>
      </c>
      <c r="P172" s="276" t="str">
        <f t="shared" si="26"/>
        <v/>
      </c>
      <c r="Q172" s="281" t="str">
        <f>IF(N172="","",VLOOKUP(B172,'F-1 Off-Site WaterC'' Baseline'!$C$10:$AF$257,23,FALSE))</f>
        <v/>
      </c>
      <c r="R172" s="275" t="str">
        <f>IF(N172="","",VLOOKUP(N172,'G-7 WaterC'' Data'!$B$2:$G$8,2,FALSE))</f>
        <v/>
      </c>
      <c r="S172" s="276" t="str">
        <f>IFERROR(VLOOKUP(R172,'G-7 WaterC'' Data'!$C$4:$D$8,2,FALSE),"")</f>
        <v/>
      </c>
      <c r="T172" s="101"/>
      <c r="U172" s="276" t="str">
        <f>IFERROR(INDEX('G-7 WaterC'' Data'!$H$4:$L$8,MATCH(N172,'G-7 WaterC'' Data'!$B$4:$B$8,0),MATCH(T172,'G-7 WaterC'' Data'!$H$3:$L$3,0)),"")</f>
        <v/>
      </c>
      <c r="V172" s="105"/>
      <c r="W172" s="295" t="str">
        <f>IF(V172="","",IF(VLOOKUP(V172,'G-7 WaterC'' Data'!$AK$4:$AM$6,2,FALSE)=0,"Spatial Data Missing ⚠",VLOOKUP(V172,'G-7 WaterC'' Data'!$AK$4:$AM$6,2,FALSE)))</f>
        <v/>
      </c>
      <c r="X172" s="299" t="str">
        <f>IF(V172="","",IF(VLOOKUP(V172,'G-7 WaterC'' Data'!$AK$4:$AM$6,3,FALSE)=0,"Spatial Data Missing ⚠",VLOOKUP(V172,'G-7 WaterC'' Data'!$AK$4:$AM$6,3,FALSE)))</f>
        <v/>
      </c>
      <c r="Y172" s="311" t="str">
        <f>IFERROR(IF(OR(LEFT(P172,5)="Error",LEFT(O172,5)="Error"),"Check Data ⚠",IF(F172&lt;S172,'G-7 WaterC'' Data'!$R$3,INDEX('G-7 WaterC'' Data'!$U$5:$Y$9,MATCH(G172,'G-7 WaterC'' Data'!$T$5:$T$9,0),MATCH(T172,'G-7 WaterC'' Data'!$U$4:$Y$4,0)))),"")</f>
        <v/>
      </c>
      <c r="Z172" s="138"/>
      <c r="AA172" s="138"/>
      <c r="AB172" s="308" t="str">
        <f t="shared" si="22"/>
        <v/>
      </c>
      <c r="AC172" s="296" t="str">
        <f t="shared" si="27"/>
        <v/>
      </c>
      <c r="AD172" s="334" t="str">
        <f>IFERROR(IF(AC172="Check Data ⚠","Check Data ⚠",VLOOKUP(AC172,'G-4 Temporal multipliers'!$A$4:$C$37,3,FALSE)),"")</f>
        <v/>
      </c>
      <c r="AE172" s="311" t="str">
        <f>IF(N172="","",VLOOKUP(N172,'G-7 WaterC'' Data'!$B$4:$G$8,5,FALSE))</f>
        <v/>
      </c>
      <c r="AF172" s="295" t="str">
        <f t="shared" si="23"/>
        <v/>
      </c>
      <c r="AG172" s="295" t="str">
        <f t="shared" si="28"/>
        <v/>
      </c>
      <c r="AH172" s="276" t="str">
        <f t="shared" si="24"/>
        <v/>
      </c>
      <c r="AI172" s="105"/>
      <c r="AJ172" s="276" t="str">
        <f>IF(AI172="","",(IF(AND(AI172="N/A - Culvert",N172&lt;&gt;"Culvert"),"Not possible ▲",IF(VLOOKUP(AI172,'G-7 WaterC'' Data'!$AA$4:$AB$7,2,FALSE)=0,"Spatial Data Missing ⚠",VLOOKUP(AI172,'G-7 WaterC'' Data'!$AA$4:$AB$7,2,FALSE)))))</f>
        <v/>
      </c>
      <c r="AK172" s="106"/>
      <c r="AL172" s="310" t="str">
        <f>IF(AK172="","",IF(AND(AK172="N/A - Culvert",N172&lt;&gt;"Culvert"),"Not possible ▲",IF(VLOOKUP(AK172,'G-7 WaterC'' Data'!$AD$4:$AE$14,2,FALSE)=0,"Spatial Data Missing ⚠",VLOOKUP(AK172,'G-7 WaterC'' Data'!$AD$4:$AE$14,2,FALSE))))</f>
        <v/>
      </c>
      <c r="AM172" s="275" t="str">
        <f>IF(B172="","",VLOOKUP($B172,'F-1 Off-Site WaterC'' Baseline'!$C$9:$Z$257,17,FALSE))</f>
        <v/>
      </c>
      <c r="AN172" s="276" t="str">
        <f>IF(AM172="","",IF(VLOOKUP(AM172,'G-7 WaterC'' Data'!$AO$4:$BO$7,2,FALSE)=0,"Spatial Data Missing ⚠",VLOOKUP(AM172,'G-7 WaterC'' Data'!$AO$4:$BO$7,2,FALSE)))</f>
        <v/>
      </c>
      <c r="AO172" s="317" t="str">
        <f t="shared" si="29"/>
        <v/>
      </c>
      <c r="AP172" s="317" t="str">
        <f t="shared" si="30"/>
        <v/>
      </c>
      <c r="AQ172" s="101"/>
      <c r="AR172" s="115"/>
      <c r="AS172" s="104"/>
      <c r="AT172" s="104"/>
      <c r="AW172" s="30" t="str">
        <f>IF(E172="","",VLOOKUP($B172,'F-1 Off-Site WaterC'' Baseline'!$C$9:$Z$257,12,FALSE))</f>
        <v/>
      </c>
      <c r="AX172" s="30" t="str">
        <f>IF(E172="","",VLOOKUP($B172,'F-1 Off-Site WaterC'' Baseline'!$C$9:$Z$257,14,FALSE))</f>
        <v/>
      </c>
      <c r="AY172" s="30" t="str">
        <f>IFERROR(INDEX('G-7 WaterC'' Data'!$AZ$3:$AZ$7,MATCH(N172,'G-7 WaterC'' Data'!$AY$3:$AY$7,0)),"")</f>
        <v/>
      </c>
      <c r="AZ172" s="30" t="str">
        <f>IF(B172="","",IF(ISNA(VLOOKUP($B172,'F-1 Off-Site WaterC'' Baseline'!$C$8:$AD$257,20,FALSE)),"",(VLOOKUP($B172,'F-1 Off-Site WaterC'' Baseline'!$C$8:$AD$257,20,FALSE))))</f>
        <v/>
      </c>
      <c r="BC172" s="30" t="str">
        <f>IF(B172="","",VLOOKUP($B172,'F-1 Off-Site WaterC'' Baseline'!$C$9:$AB$257,25,FALSE))</f>
        <v/>
      </c>
      <c r="BD172" s="30" t="str">
        <f t="shared" si="31"/>
        <v/>
      </c>
      <c r="BE172" s="30" t="str">
        <f>IF(B172="","",VLOOKUP($B172,'F-1 Off-Site WaterC'' Baseline'!$C$9:$AB$257,24,FALSE))</f>
        <v/>
      </c>
      <c r="BF172" s="30" t="str">
        <f>IF(B172="","",VLOOKUP($B172,'F-1 Off-Site WaterC'' Baseline'!$C$9:$AB$257,22,FALSE))</f>
        <v/>
      </c>
      <c r="BJ172" s="30" t="str">
        <f t="shared" si="32"/>
        <v>No</v>
      </c>
    </row>
    <row r="173" spans="2:62" ht="14">
      <c r="B173" s="305" t="str">
        <f>'F-1 Off-Site WaterC'' Baseline'!AS171</f>
        <v/>
      </c>
      <c r="C173" s="295" t="str">
        <f>IF(B173="","",VLOOKUP($B173,'F-1 Off-Site WaterC'' Baseline'!$C$9:$R$257,2,FALSE))</f>
        <v/>
      </c>
      <c r="D173" s="295" t="str">
        <f>IF(C173="","",VLOOKUP($B173,'F-1 Off-Site WaterC'' Baseline'!$C$9:$R$257,3,FALSE))</f>
        <v/>
      </c>
      <c r="E173" s="295" t="str">
        <f>IF(D173="","",VLOOKUP($B173,'F-1 Off-Site WaterC'' Baseline'!$C$9:$R$257,4,FALSE))</f>
        <v/>
      </c>
      <c r="F173" s="295" t="str">
        <f>IF(E173="","",VLOOKUP($B173,'F-1 Off-Site WaterC'' Baseline'!$C$9:$R$257,5,FALSE))</f>
        <v/>
      </c>
      <c r="G173" s="295" t="str">
        <f>IF(F173="","",VLOOKUP($B173,'F-1 Off-Site WaterC'' Baseline'!$C$9:$R$257,6,FALSE))</f>
        <v/>
      </c>
      <c r="H173" s="295" t="str">
        <f>IF(G173="","",VLOOKUP($B173,'F-1 Off-Site WaterC'' Baseline'!$C$9:$R$257,7,FALSE))</f>
        <v/>
      </c>
      <c r="I173" s="295" t="str">
        <f>IF(H173="","",VLOOKUP($B173,'F-1 Off-Site WaterC'' Baseline'!$C$9:$R$257,8,FALSE))</f>
        <v/>
      </c>
      <c r="J173" s="295" t="str">
        <f>IF(I173="","",VLOOKUP($B173,'F-1 Off-Site WaterC'' Baseline'!$C$9:$R$257,9,FALSE))</f>
        <v/>
      </c>
      <c r="K173" s="295" t="str">
        <f>IF(J173="","",VLOOKUP($B173,'F-1 Off-Site WaterC'' Baseline'!$C$9:$R$257,10,FALSE))</f>
        <v/>
      </c>
      <c r="L173" s="283" t="str">
        <f>IF(B173="","",VLOOKUP($B173,'F-1 Off-Site WaterC'' Baseline'!$C$9:$R$257,15,FALSE))</f>
        <v/>
      </c>
      <c r="M173" s="299" t="str">
        <f>IF(L173="","",VLOOKUP($B173,'F-1 Off-Site WaterC'' Baseline'!$C$9:$V$257,19,FALSE))</f>
        <v/>
      </c>
      <c r="N173" s="244"/>
      <c r="O173" s="275" t="str">
        <f t="shared" si="25"/>
        <v/>
      </c>
      <c r="P173" s="276" t="str">
        <f t="shared" si="26"/>
        <v/>
      </c>
      <c r="Q173" s="281" t="str">
        <f>IF(N173="","",VLOOKUP(B173,'F-1 Off-Site WaterC'' Baseline'!$C$10:$AF$257,23,FALSE))</f>
        <v/>
      </c>
      <c r="R173" s="275" t="str">
        <f>IF(N173="","",VLOOKUP(N173,'G-7 WaterC'' Data'!$B$2:$G$8,2,FALSE))</f>
        <v/>
      </c>
      <c r="S173" s="276" t="str">
        <f>IFERROR(VLOOKUP(R173,'G-7 WaterC'' Data'!$C$4:$D$8,2,FALSE),"")</f>
        <v/>
      </c>
      <c r="T173" s="101"/>
      <c r="U173" s="276" t="str">
        <f>IFERROR(INDEX('G-7 WaterC'' Data'!$H$4:$L$8,MATCH(N173,'G-7 WaterC'' Data'!$B$4:$B$8,0),MATCH(T173,'G-7 WaterC'' Data'!$H$3:$L$3,0)),"")</f>
        <v/>
      </c>
      <c r="V173" s="105"/>
      <c r="W173" s="295" t="str">
        <f>IF(V173="","",IF(VLOOKUP(V173,'G-7 WaterC'' Data'!$AK$4:$AM$6,2,FALSE)=0,"Spatial Data Missing ⚠",VLOOKUP(V173,'G-7 WaterC'' Data'!$AK$4:$AM$6,2,FALSE)))</f>
        <v/>
      </c>
      <c r="X173" s="299" t="str">
        <f>IF(V173="","",IF(VLOOKUP(V173,'G-7 WaterC'' Data'!$AK$4:$AM$6,3,FALSE)=0,"Spatial Data Missing ⚠",VLOOKUP(V173,'G-7 WaterC'' Data'!$AK$4:$AM$6,3,FALSE)))</f>
        <v/>
      </c>
      <c r="Y173" s="311" t="str">
        <f>IFERROR(IF(OR(LEFT(P173,5)="Error",LEFT(O173,5)="Error"),"Check Data ⚠",IF(F173&lt;S173,'G-7 WaterC'' Data'!$R$3,INDEX('G-7 WaterC'' Data'!$U$5:$Y$9,MATCH(G173,'G-7 WaterC'' Data'!$T$5:$T$9,0),MATCH(T173,'G-7 WaterC'' Data'!$U$4:$Y$4,0)))),"")</f>
        <v/>
      </c>
      <c r="Z173" s="138"/>
      <c r="AA173" s="138"/>
      <c r="AB173" s="308" t="str">
        <f t="shared" si="22"/>
        <v/>
      </c>
      <c r="AC173" s="296" t="str">
        <f t="shared" si="27"/>
        <v/>
      </c>
      <c r="AD173" s="334" t="str">
        <f>IFERROR(IF(AC173="Check Data ⚠","Check Data ⚠",VLOOKUP(AC173,'G-4 Temporal multipliers'!$A$4:$C$37,3,FALSE)),"")</f>
        <v/>
      </c>
      <c r="AE173" s="311" t="str">
        <f>IF(N173="","",VLOOKUP(N173,'G-7 WaterC'' Data'!$B$4:$G$8,5,FALSE))</f>
        <v/>
      </c>
      <c r="AF173" s="295" t="str">
        <f t="shared" si="23"/>
        <v/>
      </c>
      <c r="AG173" s="295" t="str">
        <f t="shared" si="28"/>
        <v/>
      </c>
      <c r="AH173" s="276" t="str">
        <f t="shared" si="24"/>
        <v/>
      </c>
      <c r="AI173" s="105"/>
      <c r="AJ173" s="276" t="str">
        <f>IF(AI173="","",(IF(AND(AI173="N/A - Culvert",N173&lt;&gt;"Culvert"),"Not possible ▲",IF(VLOOKUP(AI173,'G-7 WaterC'' Data'!$AA$4:$AB$7,2,FALSE)=0,"Spatial Data Missing ⚠",VLOOKUP(AI173,'G-7 WaterC'' Data'!$AA$4:$AB$7,2,FALSE)))))</f>
        <v/>
      </c>
      <c r="AK173" s="106"/>
      <c r="AL173" s="310" t="str">
        <f>IF(AK173="","",IF(AND(AK173="N/A - Culvert",N173&lt;&gt;"Culvert"),"Not possible ▲",IF(VLOOKUP(AK173,'G-7 WaterC'' Data'!$AD$4:$AE$14,2,FALSE)=0,"Spatial Data Missing ⚠",VLOOKUP(AK173,'G-7 WaterC'' Data'!$AD$4:$AE$14,2,FALSE))))</f>
        <v/>
      </c>
      <c r="AM173" s="275" t="str">
        <f>IF(B173="","",VLOOKUP($B173,'F-1 Off-Site WaterC'' Baseline'!$C$9:$Z$257,17,FALSE))</f>
        <v/>
      </c>
      <c r="AN173" s="276" t="str">
        <f>IF(AM173="","",IF(VLOOKUP(AM173,'G-7 WaterC'' Data'!$AO$4:$BO$7,2,FALSE)=0,"Spatial Data Missing ⚠",VLOOKUP(AM173,'G-7 WaterC'' Data'!$AO$4:$BO$7,2,FALSE)))</f>
        <v/>
      </c>
      <c r="AO173" s="317" t="str">
        <f t="shared" si="29"/>
        <v/>
      </c>
      <c r="AP173" s="317" t="str">
        <f t="shared" si="30"/>
        <v/>
      </c>
      <c r="AQ173" s="101"/>
      <c r="AR173" s="115"/>
      <c r="AS173" s="104"/>
      <c r="AT173" s="104"/>
      <c r="AW173" s="30" t="str">
        <f>IF(E173="","",VLOOKUP($B173,'F-1 Off-Site WaterC'' Baseline'!$C$9:$Z$257,12,FALSE))</f>
        <v/>
      </c>
      <c r="AX173" s="30" t="str">
        <f>IF(E173="","",VLOOKUP($B173,'F-1 Off-Site WaterC'' Baseline'!$C$9:$Z$257,14,FALSE))</f>
        <v/>
      </c>
      <c r="AY173" s="30" t="str">
        <f>IFERROR(INDEX('G-7 WaterC'' Data'!$AZ$3:$AZ$7,MATCH(N173,'G-7 WaterC'' Data'!$AY$3:$AY$7,0)),"")</f>
        <v/>
      </c>
      <c r="AZ173" s="30" t="str">
        <f>IF(B173="","",IF(ISNA(VLOOKUP($B173,'F-1 Off-Site WaterC'' Baseline'!$C$8:$AD$257,20,FALSE)),"",(VLOOKUP($B173,'F-1 Off-Site WaterC'' Baseline'!$C$8:$AD$257,20,FALSE))))</f>
        <v/>
      </c>
      <c r="BC173" s="30" t="str">
        <f>IF(B173="","",VLOOKUP($B173,'F-1 Off-Site WaterC'' Baseline'!$C$9:$AB$257,25,FALSE))</f>
        <v/>
      </c>
      <c r="BD173" s="30" t="str">
        <f t="shared" si="31"/>
        <v/>
      </c>
      <c r="BE173" s="30" t="str">
        <f>IF(B173="","",VLOOKUP($B173,'F-1 Off-Site WaterC'' Baseline'!$C$9:$AB$257,24,FALSE))</f>
        <v/>
      </c>
      <c r="BF173" s="30" t="str">
        <f>IF(B173="","",VLOOKUP($B173,'F-1 Off-Site WaterC'' Baseline'!$C$9:$AB$257,22,FALSE))</f>
        <v/>
      </c>
      <c r="BJ173" s="30" t="str">
        <f t="shared" si="32"/>
        <v>No</v>
      </c>
    </row>
    <row r="174" spans="2:62" ht="14">
      <c r="B174" s="305" t="str">
        <f>'F-1 Off-Site WaterC'' Baseline'!AS172</f>
        <v/>
      </c>
      <c r="C174" s="295" t="str">
        <f>IF(B174="","",VLOOKUP($B174,'F-1 Off-Site WaterC'' Baseline'!$C$9:$R$257,2,FALSE))</f>
        <v/>
      </c>
      <c r="D174" s="295" t="str">
        <f>IF(C174="","",VLOOKUP($B174,'F-1 Off-Site WaterC'' Baseline'!$C$9:$R$257,3,FALSE))</f>
        <v/>
      </c>
      <c r="E174" s="295" t="str">
        <f>IF(D174="","",VLOOKUP($B174,'F-1 Off-Site WaterC'' Baseline'!$C$9:$R$257,4,FALSE))</f>
        <v/>
      </c>
      <c r="F174" s="295" t="str">
        <f>IF(E174="","",VLOOKUP($B174,'F-1 Off-Site WaterC'' Baseline'!$C$9:$R$257,5,FALSE))</f>
        <v/>
      </c>
      <c r="G174" s="295" t="str">
        <f>IF(F174="","",VLOOKUP($B174,'F-1 Off-Site WaterC'' Baseline'!$C$9:$R$257,6,FALSE))</f>
        <v/>
      </c>
      <c r="H174" s="295" t="str">
        <f>IF(G174="","",VLOOKUP($B174,'F-1 Off-Site WaterC'' Baseline'!$C$9:$R$257,7,FALSE))</f>
        <v/>
      </c>
      <c r="I174" s="295" t="str">
        <f>IF(H174="","",VLOOKUP($B174,'F-1 Off-Site WaterC'' Baseline'!$C$9:$R$257,8,FALSE))</f>
        <v/>
      </c>
      <c r="J174" s="295" t="str">
        <f>IF(I174="","",VLOOKUP($B174,'F-1 Off-Site WaterC'' Baseline'!$C$9:$R$257,9,FALSE))</f>
        <v/>
      </c>
      <c r="K174" s="295" t="str">
        <f>IF(J174="","",VLOOKUP($B174,'F-1 Off-Site WaterC'' Baseline'!$C$9:$R$257,10,FALSE))</f>
        <v/>
      </c>
      <c r="L174" s="283" t="str">
        <f>IF(B174="","",VLOOKUP($B174,'F-1 Off-Site WaterC'' Baseline'!$C$9:$R$257,15,FALSE))</f>
        <v/>
      </c>
      <c r="M174" s="299" t="str">
        <f>IF(L174="","",VLOOKUP($B174,'F-1 Off-Site WaterC'' Baseline'!$C$9:$V$257,19,FALSE))</f>
        <v/>
      </c>
      <c r="N174" s="244"/>
      <c r="O174" s="275" t="str">
        <f t="shared" si="25"/>
        <v/>
      </c>
      <c r="P174" s="276" t="str">
        <f t="shared" si="26"/>
        <v/>
      </c>
      <c r="Q174" s="281" t="str">
        <f>IF(N174="","",VLOOKUP(B174,'F-1 Off-Site WaterC'' Baseline'!$C$10:$AF$257,23,FALSE))</f>
        <v/>
      </c>
      <c r="R174" s="275" t="str">
        <f>IF(N174="","",VLOOKUP(N174,'G-7 WaterC'' Data'!$B$2:$G$8,2,FALSE))</f>
        <v/>
      </c>
      <c r="S174" s="276" t="str">
        <f>IFERROR(VLOOKUP(R174,'G-7 WaterC'' Data'!$C$4:$D$8,2,FALSE),"")</f>
        <v/>
      </c>
      <c r="T174" s="101"/>
      <c r="U174" s="276" t="str">
        <f>IFERROR(INDEX('G-7 WaterC'' Data'!$H$4:$L$8,MATCH(N174,'G-7 WaterC'' Data'!$B$4:$B$8,0),MATCH(T174,'G-7 WaterC'' Data'!$H$3:$L$3,0)),"")</f>
        <v/>
      </c>
      <c r="V174" s="105"/>
      <c r="W174" s="295" t="str">
        <f>IF(V174="","",IF(VLOOKUP(V174,'G-7 WaterC'' Data'!$AK$4:$AM$6,2,FALSE)=0,"Spatial Data Missing ⚠",VLOOKUP(V174,'G-7 WaterC'' Data'!$AK$4:$AM$6,2,FALSE)))</f>
        <v/>
      </c>
      <c r="X174" s="299" t="str">
        <f>IF(V174="","",IF(VLOOKUP(V174,'G-7 WaterC'' Data'!$AK$4:$AM$6,3,FALSE)=0,"Spatial Data Missing ⚠",VLOOKUP(V174,'G-7 WaterC'' Data'!$AK$4:$AM$6,3,FALSE)))</f>
        <v/>
      </c>
      <c r="Y174" s="311" t="str">
        <f>IFERROR(IF(OR(LEFT(P174,5)="Error",LEFT(O174,5)="Error"),"Check Data ⚠",IF(F174&lt;S174,'G-7 WaterC'' Data'!$R$3,INDEX('G-7 WaterC'' Data'!$U$5:$Y$9,MATCH(G174,'G-7 WaterC'' Data'!$T$5:$T$9,0),MATCH(T174,'G-7 WaterC'' Data'!$U$4:$Y$4,0)))),"")</f>
        <v/>
      </c>
      <c r="Z174" s="138"/>
      <c r="AA174" s="138"/>
      <c r="AB174" s="308" t="str">
        <f t="shared" si="22"/>
        <v/>
      </c>
      <c r="AC174" s="296" t="str">
        <f t="shared" si="27"/>
        <v/>
      </c>
      <c r="AD174" s="334" t="str">
        <f>IFERROR(IF(AC174="Check Data ⚠","Check Data ⚠",VLOOKUP(AC174,'G-4 Temporal multipliers'!$A$4:$C$37,3,FALSE)),"")</f>
        <v/>
      </c>
      <c r="AE174" s="311" t="str">
        <f>IF(N174="","",VLOOKUP(N174,'G-7 WaterC'' Data'!$B$4:$G$8,5,FALSE))</f>
        <v/>
      </c>
      <c r="AF174" s="295" t="str">
        <f t="shared" si="23"/>
        <v/>
      </c>
      <c r="AG174" s="295" t="str">
        <f t="shared" si="28"/>
        <v/>
      </c>
      <c r="AH174" s="276" t="str">
        <f t="shared" si="24"/>
        <v/>
      </c>
      <c r="AI174" s="105"/>
      <c r="AJ174" s="276" t="str">
        <f>IF(AI174="","",(IF(AND(AI174="N/A - Culvert",N174&lt;&gt;"Culvert"),"Not possible ▲",IF(VLOOKUP(AI174,'G-7 WaterC'' Data'!$AA$4:$AB$7,2,FALSE)=0,"Spatial Data Missing ⚠",VLOOKUP(AI174,'G-7 WaterC'' Data'!$AA$4:$AB$7,2,FALSE)))))</f>
        <v/>
      </c>
      <c r="AK174" s="106"/>
      <c r="AL174" s="310" t="str">
        <f>IF(AK174="","",IF(AND(AK174="N/A - Culvert",N174&lt;&gt;"Culvert"),"Not possible ▲",IF(VLOOKUP(AK174,'G-7 WaterC'' Data'!$AD$4:$AE$14,2,FALSE)=0,"Spatial Data Missing ⚠",VLOOKUP(AK174,'G-7 WaterC'' Data'!$AD$4:$AE$14,2,FALSE))))</f>
        <v/>
      </c>
      <c r="AM174" s="275" t="str">
        <f>IF(B174="","",VLOOKUP($B174,'F-1 Off-Site WaterC'' Baseline'!$C$9:$Z$257,17,FALSE))</f>
        <v/>
      </c>
      <c r="AN174" s="276" t="str">
        <f>IF(AM174="","",IF(VLOOKUP(AM174,'G-7 WaterC'' Data'!$AO$4:$BO$7,2,FALSE)=0,"Spatial Data Missing ⚠",VLOOKUP(AM174,'G-7 WaterC'' Data'!$AO$4:$BO$7,2,FALSE)))</f>
        <v/>
      </c>
      <c r="AO174" s="317" t="str">
        <f t="shared" si="29"/>
        <v/>
      </c>
      <c r="AP174" s="317" t="str">
        <f t="shared" si="30"/>
        <v/>
      </c>
      <c r="AQ174" s="101"/>
      <c r="AR174" s="115"/>
      <c r="AS174" s="104"/>
      <c r="AT174" s="104"/>
      <c r="AW174" s="30" t="str">
        <f>IF(E174="","",VLOOKUP($B174,'F-1 Off-Site WaterC'' Baseline'!$C$9:$Z$257,12,FALSE))</f>
        <v/>
      </c>
      <c r="AX174" s="30" t="str">
        <f>IF(E174="","",VLOOKUP($B174,'F-1 Off-Site WaterC'' Baseline'!$C$9:$Z$257,14,FALSE))</f>
        <v/>
      </c>
      <c r="AY174" s="30" t="str">
        <f>IFERROR(INDEX('G-7 WaterC'' Data'!$AZ$3:$AZ$7,MATCH(N174,'G-7 WaterC'' Data'!$AY$3:$AY$7,0)),"")</f>
        <v/>
      </c>
      <c r="AZ174" s="30" t="str">
        <f>IF(B174="","",IF(ISNA(VLOOKUP($B174,'F-1 Off-Site WaterC'' Baseline'!$C$8:$AD$257,20,FALSE)),"",(VLOOKUP($B174,'F-1 Off-Site WaterC'' Baseline'!$C$8:$AD$257,20,FALSE))))</f>
        <v/>
      </c>
      <c r="BC174" s="30" t="str">
        <f>IF(B174="","",VLOOKUP($B174,'F-1 Off-Site WaterC'' Baseline'!$C$9:$AB$257,25,FALSE))</f>
        <v/>
      </c>
      <c r="BD174" s="30" t="str">
        <f t="shared" si="31"/>
        <v/>
      </c>
      <c r="BE174" s="30" t="str">
        <f>IF(B174="","",VLOOKUP($B174,'F-1 Off-Site WaterC'' Baseline'!$C$9:$AB$257,24,FALSE))</f>
        <v/>
      </c>
      <c r="BF174" s="30" t="str">
        <f>IF(B174="","",VLOOKUP($B174,'F-1 Off-Site WaterC'' Baseline'!$C$9:$AB$257,22,FALSE))</f>
        <v/>
      </c>
      <c r="BJ174" s="30" t="str">
        <f t="shared" si="32"/>
        <v>No</v>
      </c>
    </row>
    <row r="175" spans="2:62" ht="14">
      <c r="B175" s="305" t="str">
        <f>'F-1 Off-Site WaterC'' Baseline'!AS173</f>
        <v/>
      </c>
      <c r="C175" s="295" t="str">
        <f>IF(B175="","",VLOOKUP($B175,'F-1 Off-Site WaterC'' Baseline'!$C$9:$R$257,2,FALSE))</f>
        <v/>
      </c>
      <c r="D175" s="295" t="str">
        <f>IF(C175="","",VLOOKUP($B175,'F-1 Off-Site WaterC'' Baseline'!$C$9:$R$257,3,FALSE))</f>
        <v/>
      </c>
      <c r="E175" s="295" t="str">
        <f>IF(D175="","",VLOOKUP($B175,'F-1 Off-Site WaterC'' Baseline'!$C$9:$R$257,4,FALSE))</f>
        <v/>
      </c>
      <c r="F175" s="295" t="str">
        <f>IF(E175="","",VLOOKUP($B175,'F-1 Off-Site WaterC'' Baseline'!$C$9:$R$257,5,FALSE))</f>
        <v/>
      </c>
      <c r="G175" s="295" t="str">
        <f>IF(F175="","",VLOOKUP($B175,'F-1 Off-Site WaterC'' Baseline'!$C$9:$R$257,6,FALSE))</f>
        <v/>
      </c>
      <c r="H175" s="295" t="str">
        <f>IF(G175="","",VLOOKUP($B175,'F-1 Off-Site WaterC'' Baseline'!$C$9:$R$257,7,FALSE))</f>
        <v/>
      </c>
      <c r="I175" s="295" t="str">
        <f>IF(H175="","",VLOOKUP($B175,'F-1 Off-Site WaterC'' Baseline'!$C$9:$R$257,8,FALSE))</f>
        <v/>
      </c>
      <c r="J175" s="295" t="str">
        <f>IF(I175="","",VLOOKUP($B175,'F-1 Off-Site WaterC'' Baseline'!$C$9:$R$257,9,FALSE))</f>
        <v/>
      </c>
      <c r="K175" s="295" t="str">
        <f>IF(J175="","",VLOOKUP($B175,'F-1 Off-Site WaterC'' Baseline'!$C$9:$R$257,10,FALSE))</f>
        <v/>
      </c>
      <c r="L175" s="283" t="str">
        <f>IF(B175="","",VLOOKUP($B175,'F-1 Off-Site WaterC'' Baseline'!$C$9:$R$257,15,FALSE))</f>
        <v/>
      </c>
      <c r="M175" s="299" t="str">
        <f>IF(L175="","",VLOOKUP($B175,'F-1 Off-Site WaterC'' Baseline'!$C$9:$V$257,19,FALSE))</f>
        <v/>
      </c>
      <c r="N175" s="244"/>
      <c r="O175" s="275" t="str">
        <f t="shared" si="25"/>
        <v/>
      </c>
      <c r="P175" s="276" t="str">
        <f t="shared" si="26"/>
        <v/>
      </c>
      <c r="Q175" s="281" t="str">
        <f>IF(N175="","",VLOOKUP(B175,'F-1 Off-Site WaterC'' Baseline'!$C$10:$AF$257,23,FALSE))</f>
        <v/>
      </c>
      <c r="R175" s="275" t="str">
        <f>IF(N175="","",VLOOKUP(N175,'G-7 WaterC'' Data'!$B$2:$G$8,2,FALSE))</f>
        <v/>
      </c>
      <c r="S175" s="276" t="str">
        <f>IFERROR(VLOOKUP(R175,'G-7 WaterC'' Data'!$C$4:$D$8,2,FALSE),"")</f>
        <v/>
      </c>
      <c r="T175" s="101"/>
      <c r="U175" s="276" t="str">
        <f>IFERROR(INDEX('G-7 WaterC'' Data'!$H$4:$L$8,MATCH(N175,'G-7 WaterC'' Data'!$B$4:$B$8,0),MATCH(T175,'G-7 WaterC'' Data'!$H$3:$L$3,0)),"")</f>
        <v/>
      </c>
      <c r="V175" s="105"/>
      <c r="W175" s="295" t="str">
        <f>IF(V175="","",IF(VLOOKUP(V175,'G-7 WaterC'' Data'!$AK$4:$AM$6,2,FALSE)=0,"Spatial Data Missing ⚠",VLOOKUP(V175,'G-7 WaterC'' Data'!$AK$4:$AM$6,2,FALSE)))</f>
        <v/>
      </c>
      <c r="X175" s="299" t="str">
        <f>IF(V175="","",IF(VLOOKUP(V175,'G-7 WaterC'' Data'!$AK$4:$AM$6,3,FALSE)=0,"Spatial Data Missing ⚠",VLOOKUP(V175,'G-7 WaterC'' Data'!$AK$4:$AM$6,3,FALSE)))</f>
        <v/>
      </c>
      <c r="Y175" s="311" t="str">
        <f>IFERROR(IF(OR(LEFT(P175,5)="Error",LEFT(O175,5)="Error"),"Check Data ⚠",IF(F175&lt;S175,'G-7 WaterC'' Data'!$R$3,INDEX('G-7 WaterC'' Data'!$U$5:$Y$9,MATCH(G175,'G-7 WaterC'' Data'!$T$5:$T$9,0),MATCH(T175,'G-7 WaterC'' Data'!$U$4:$Y$4,0)))),"")</f>
        <v/>
      </c>
      <c r="Z175" s="138"/>
      <c r="AA175" s="138"/>
      <c r="AB175" s="308" t="str">
        <f t="shared" si="22"/>
        <v/>
      </c>
      <c r="AC175" s="296" t="str">
        <f t="shared" si="27"/>
        <v/>
      </c>
      <c r="AD175" s="334" t="str">
        <f>IFERROR(IF(AC175="Check Data ⚠","Check Data ⚠",VLOOKUP(AC175,'G-4 Temporal multipliers'!$A$4:$C$37,3,FALSE)),"")</f>
        <v/>
      </c>
      <c r="AE175" s="311" t="str">
        <f>IF(N175="","",VLOOKUP(N175,'G-7 WaterC'' Data'!$B$4:$G$8,5,FALSE))</f>
        <v/>
      </c>
      <c r="AF175" s="295" t="str">
        <f t="shared" si="23"/>
        <v/>
      </c>
      <c r="AG175" s="295" t="str">
        <f t="shared" si="28"/>
        <v/>
      </c>
      <c r="AH175" s="276" t="str">
        <f t="shared" si="24"/>
        <v/>
      </c>
      <c r="AI175" s="105"/>
      <c r="AJ175" s="276" t="str">
        <f>IF(AI175="","",(IF(AND(AI175="N/A - Culvert",N175&lt;&gt;"Culvert"),"Not possible ▲",IF(VLOOKUP(AI175,'G-7 WaterC'' Data'!$AA$4:$AB$7,2,FALSE)=0,"Spatial Data Missing ⚠",VLOOKUP(AI175,'G-7 WaterC'' Data'!$AA$4:$AB$7,2,FALSE)))))</f>
        <v/>
      </c>
      <c r="AK175" s="106"/>
      <c r="AL175" s="310" t="str">
        <f>IF(AK175="","",IF(AND(AK175="N/A - Culvert",N175&lt;&gt;"Culvert"),"Not possible ▲",IF(VLOOKUP(AK175,'G-7 WaterC'' Data'!$AD$4:$AE$14,2,FALSE)=0,"Spatial Data Missing ⚠",VLOOKUP(AK175,'G-7 WaterC'' Data'!$AD$4:$AE$14,2,FALSE))))</f>
        <v/>
      </c>
      <c r="AM175" s="275" t="str">
        <f>IF(B175="","",VLOOKUP($B175,'F-1 Off-Site WaterC'' Baseline'!$C$9:$Z$257,17,FALSE))</f>
        <v/>
      </c>
      <c r="AN175" s="276" t="str">
        <f>IF(AM175="","",IF(VLOOKUP(AM175,'G-7 WaterC'' Data'!$AO$4:$BO$7,2,FALSE)=0,"Spatial Data Missing ⚠",VLOOKUP(AM175,'G-7 WaterC'' Data'!$AO$4:$BO$7,2,FALSE)))</f>
        <v/>
      </c>
      <c r="AO175" s="317" t="str">
        <f t="shared" si="29"/>
        <v/>
      </c>
      <c r="AP175" s="317" t="str">
        <f t="shared" si="30"/>
        <v/>
      </c>
      <c r="AQ175" s="101"/>
      <c r="AR175" s="115"/>
      <c r="AS175" s="104"/>
      <c r="AT175" s="104"/>
      <c r="AW175" s="30" t="str">
        <f>IF(E175="","",VLOOKUP($B175,'F-1 Off-Site WaterC'' Baseline'!$C$9:$Z$257,12,FALSE))</f>
        <v/>
      </c>
      <c r="AX175" s="30" t="str">
        <f>IF(E175="","",VLOOKUP($B175,'F-1 Off-Site WaterC'' Baseline'!$C$9:$Z$257,14,FALSE))</f>
        <v/>
      </c>
      <c r="AY175" s="30" t="str">
        <f>IFERROR(INDEX('G-7 WaterC'' Data'!$AZ$3:$AZ$7,MATCH(N175,'G-7 WaterC'' Data'!$AY$3:$AY$7,0)),"")</f>
        <v/>
      </c>
      <c r="AZ175" s="30" t="str">
        <f>IF(B175="","",IF(ISNA(VLOOKUP($B175,'F-1 Off-Site WaterC'' Baseline'!$C$8:$AD$257,20,FALSE)),"",(VLOOKUP($B175,'F-1 Off-Site WaterC'' Baseline'!$C$8:$AD$257,20,FALSE))))</f>
        <v/>
      </c>
      <c r="BC175" s="30" t="str">
        <f>IF(B175="","",VLOOKUP($B175,'F-1 Off-Site WaterC'' Baseline'!$C$9:$AB$257,25,FALSE))</f>
        <v/>
      </c>
      <c r="BD175" s="30" t="str">
        <f t="shared" si="31"/>
        <v/>
      </c>
      <c r="BE175" s="30" t="str">
        <f>IF(B175="","",VLOOKUP($B175,'F-1 Off-Site WaterC'' Baseline'!$C$9:$AB$257,24,FALSE))</f>
        <v/>
      </c>
      <c r="BF175" s="30" t="str">
        <f>IF(B175="","",VLOOKUP($B175,'F-1 Off-Site WaterC'' Baseline'!$C$9:$AB$257,22,FALSE))</f>
        <v/>
      </c>
      <c r="BJ175" s="30" t="str">
        <f t="shared" si="32"/>
        <v>No</v>
      </c>
    </row>
    <row r="176" spans="2:62" ht="14">
      <c r="B176" s="305" t="str">
        <f>'F-1 Off-Site WaterC'' Baseline'!AS174</f>
        <v/>
      </c>
      <c r="C176" s="295" t="str">
        <f>IF(B176="","",VLOOKUP($B176,'F-1 Off-Site WaterC'' Baseline'!$C$9:$R$257,2,FALSE))</f>
        <v/>
      </c>
      <c r="D176" s="295" t="str">
        <f>IF(C176="","",VLOOKUP($B176,'F-1 Off-Site WaterC'' Baseline'!$C$9:$R$257,3,FALSE))</f>
        <v/>
      </c>
      <c r="E176" s="295" t="str">
        <f>IF(D176="","",VLOOKUP($B176,'F-1 Off-Site WaterC'' Baseline'!$C$9:$R$257,4,FALSE))</f>
        <v/>
      </c>
      <c r="F176" s="295" t="str">
        <f>IF(E176="","",VLOOKUP($B176,'F-1 Off-Site WaterC'' Baseline'!$C$9:$R$257,5,FALSE))</f>
        <v/>
      </c>
      <c r="G176" s="295" t="str">
        <f>IF(F176="","",VLOOKUP($B176,'F-1 Off-Site WaterC'' Baseline'!$C$9:$R$257,6,FALSE))</f>
        <v/>
      </c>
      <c r="H176" s="295" t="str">
        <f>IF(G176="","",VLOOKUP($B176,'F-1 Off-Site WaterC'' Baseline'!$C$9:$R$257,7,FALSE))</f>
        <v/>
      </c>
      <c r="I176" s="295" t="str">
        <f>IF(H176="","",VLOOKUP($B176,'F-1 Off-Site WaterC'' Baseline'!$C$9:$R$257,8,FALSE))</f>
        <v/>
      </c>
      <c r="J176" s="295" t="str">
        <f>IF(I176="","",VLOOKUP($B176,'F-1 Off-Site WaterC'' Baseline'!$C$9:$R$257,9,FALSE))</f>
        <v/>
      </c>
      <c r="K176" s="295" t="str">
        <f>IF(J176="","",VLOOKUP($B176,'F-1 Off-Site WaterC'' Baseline'!$C$9:$R$257,10,FALSE))</f>
        <v/>
      </c>
      <c r="L176" s="283" t="str">
        <f>IF(B176="","",VLOOKUP($B176,'F-1 Off-Site WaterC'' Baseline'!$C$9:$R$257,15,FALSE))</f>
        <v/>
      </c>
      <c r="M176" s="299" t="str">
        <f>IF(L176="","",VLOOKUP($B176,'F-1 Off-Site WaterC'' Baseline'!$C$9:$V$257,19,FALSE))</f>
        <v/>
      </c>
      <c r="N176" s="244"/>
      <c r="O176" s="275" t="str">
        <f t="shared" si="25"/>
        <v/>
      </c>
      <c r="P176" s="276" t="str">
        <f t="shared" si="26"/>
        <v/>
      </c>
      <c r="Q176" s="281" t="str">
        <f>IF(N176="","",VLOOKUP(B176,'F-1 Off-Site WaterC'' Baseline'!$C$10:$AF$257,23,FALSE))</f>
        <v/>
      </c>
      <c r="R176" s="275" t="str">
        <f>IF(N176="","",VLOOKUP(N176,'G-7 WaterC'' Data'!$B$2:$G$8,2,FALSE))</f>
        <v/>
      </c>
      <c r="S176" s="276" t="str">
        <f>IFERROR(VLOOKUP(R176,'G-7 WaterC'' Data'!$C$4:$D$8,2,FALSE),"")</f>
        <v/>
      </c>
      <c r="T176" s="101"/>
      <c r="U176" s="276" t="str">
        <f>IFERROR(INDEX('G-7 WaterC'' Data'!$H$4:$L$8,MATCH(N176,'G-7 WaterC'' Data'!$B$4:$B$8,0),MATCH(T176,'G-7 WaterC'' Data'!$H$3:$L$3,0)),"")</f>
        <v/>
      </c>
      <c r="V176" s="105"/>
      <c r="W176" s="295" t="str">
        <f>IF(V176="","",IF(VLOOKUP(V176,'G-7 WaterC'' Data'!$AK$4:$AM$6,2,FALSE)=0,"Spatial Data Missing ⚠",VLOOKUP(V176,'G-7 WaterC'' Data'!$AK$4:$AM$6,2,FALSE)))</f>
        <v/>
      </c>
      <c r="X176" s="299" t="str">
        <f>IF(V176="","",IF(VLOOKUP(V176,'G-7 WaterC'' Data'!$AK$4:$AM$6,3,FALSE)=0,"Spatial Data Missing ⚠",VLOOKUP(V176,'G-7 WaterC'' Data'!$AK$4:$AM$6,3,FALSE)))</f>
        <v/>
      </c>
      <c r="Y176" s="311" t="str">
        <f>IFERROR(IF(OR(LEFT(P176,5)="Error",LEFT(O176,5)="Error"),"Check Data ⚠",IF(F176&lt;S176,'G-7 WaterC'' Data'!$R$3,INDEX('G-7 WaterC'' Data'!$U$5:$Y$9,MATCH(G176,'G-7 WaterC'' Data'!$T$5:$T$9,0),MATCH(T176,'G-7 WaterC'' Data'!$U$4:$Y$4,0)))),"")</f>
        <v/>
      </c>
      <c r="Z176" s="138"/>
      <c r="AA176" s="138"/>
      <c r="AB176" s="308" t="str">
        <f t="shared" si="22"/>
        <v/>
      </c>
      <c r="AC176" s="296" t="str">
        <f t="shared" si="27"/>
        <v/>
      </c>
      <c r="AD176" s="334" t="str">
        <f>IFERROR(IF(AC176="Check Data ⚠","Check Data ⚠",VLOOKUP(AC176,'G-4 Temporal multipliers'!$A$4:$C$37,3,FALSE)),"")</f>
        <v/>
      </c>
      <c r="AE176" s="311" t="str">
        <f>IF(N176="","",VLOOKUP(N176,'G-7 WaterC'' Data'!$B$4:$G$8,5,FALSE))</f>
        <v/>
      </c>
      <c r="AF176" s="295" t="str">
        <f t="shared" si="23"/>
        <v/>
      </c>
      <c r="AG176" s="295" t="str">
        <f t="shared" si="28"/>
        <v/>
      </c>
      <c r="AH176" s="276" t="str">
        <f t="shared" si="24"/>
        <v/>
      </c>
      <c r="AI176" s="105"/>
      <c r="AJ176" s="276" t="str">
        <f>IF(AI176="","",(IF(AND(AI176="N/A - Culvert",N176&lt;&gt;"Culvert"),"Not possible ▲",IF(VLOOKUP(AI176,'G-7 WaterC'' Data'!$AA$4:$AB$7,2,FALSE)=0,"Spatial Data Missing ⚠",VLOOKUP(AI176,'G-7 WaterC'' Data'!$AA$4:$AB$7,2,FALSE)))))</f>
        <v/>
      </c>
      <c r="AK176" s="106"/>
      <c r="AL176" s="310" t="str">
        <f>IF(AK176="","",IF(AND(AK176="N/A - Culvert",N176&lt;&gt;"Culvert"),"Not possible ▲",IF(VLOOKUP(AK176,'G-7 WaterC'' Data'!$AD$4:$AE$14,2,FALSE)=0,"Spatial Data Missing ⚠",VLOOKUP(AK176,'G-7 WaterC'' Data'!$AD$4:$AE$14,2,FALSE))))</f>
        <v/>
      </c>
      <c r="AM176" s="275" t="str">
        <f>IF(B176="","",VLOOKUP($B176,'F-1 Off-Site WaterC'' Baseline'!$C$9:$Z$257,17,FALSE))</f>
        <v/>
      </c>
      <c r="AN176" s="276" t="str">
        <f>IF(AM176="","",IF(VLOOKUP(AM176,'G-7 WaterC'' Data'!$AO$4:$BO$7,2,FALSE)=0,"Spatial Data Missing ⚠",VLOOKUP(AM176,'G-7 WaterC'' Data'!$AO$4:$BO$7,2,FALSE)))</f>
        <v/>
      </c>
      <c r="AO176" s="317" t="str">
        <f t="shared" si="29"/>
        <v/>
      </c>
      <c r="AP176" s="317" t="str">
        <f t="shared" si="30"/>
        <v/>
      </c>
      <c r="AQ176" s="101"/>
      <c r="AR176" s="115"/>
      <c r="AS176" s="104"/>
      <c r="AT176" s="104"/>
      <c r="AW176" s="30" t="str">
        <f>IF(E176="","",VLOOKUP($B176,'F-1 Off-Site WaterC'' Baseline'!$C$9:$Z$257,12,FALSE))</f>
        <v/>
      </c>
      <c r="AX176" s="30" t="str">
        <f>IF(E176="","",VLOOKUP($B176,'F-1 Off-Site WaterC'' Baseline'!$C$9:$Z$257,14,FALSE))</f>
        <v/>
      </c>
      <c r="AY176" s="30" t="str">
        <f>IFERROR(INDEX('G-7 WaterC'' Data'!$AZ$3:$AZ$7,MATCH(N176,'G-7 WaterC'' Data'!$AY$3:$AY$7,0)),"")</f>
        <v/>
      </c>
      <c r="AZ176" s="30" t="str">
        <f>IF(B176="","",IF(ISNA(VLOOKUP($B176,'F-1 Off-Site WaterC'' Baseline'!$C$8:$AD$257,20,FALSE)),"",(VLOOKUP($B176,'F-1 Off-Site WaterC'' Baseline'!$C$8:$AD$257,20,FALSE))))</f>
        <v/>
      </c>
      <c r="BC176" s="30" t="str">
        <f>IF(B176="","",VLOOKUP($B176,'F-1 Off-Site WaterC'' Baseline'!$C$9:$AB$257,25,FALSE))</f>
        <v/>
      </c>
      <c r="BD176" s="30" t="str">
        <f t="shared" si="31"/>
        <v/>
      </c>
      <c r="BE176" s="30" t="str">
        <f>IF(B176="","",VLOOKUP($B176,'F-1 Off-Site WaterC'' Baseline'!$C$9:$AB$257,24,FALSE))</f>
        <v/>
      </c>
      <c r="BF176" s="30" t="str">
        <f>IF(B176="","",VLOOKUP($B176,'F-1 Off-Site WaterC'' Baseline'!$C$9:$AB$257,22,FALSE))</f>
        <v/>
      </c>
      <c r="BJ176" s="30" t="str">
        <f t="shared" si="32"/>
        <v>No</v>
      </c>
    </row>
    <row r="177" spans="2:62" ht="14">
      <c r="B177" s="305" t="str">
        <f>'F-1 Off-Site WaterC'' Baseline'!AS175</f>
        <v/>
      </c>
      <c r="C177" s="295" t="str">
        <f>IF(B177="","",VLOOKUP($B177,'F-1 Off-Site WaterC'' Baseline'!$C$9:$R$257,2,FALSE))</f>
        <v/>
      </c>
      <c r="D177" s="295" t="str">
        <f>IF(C177="","",VLOOKUP($B177,'F-1 Off-Site WaterC'' Baseline'!$C$9:$R$257,3,FALSE))</f>
        <v/>
      </c>
      <c r="E177" s="295" t="str">
        <f>IF(D177="","",VLOOKUP($B177,'F-1 Off-Site WaterC'' Baseline'!$C$9:$R$257,4,FALSE))</f>
        <v/>
      </c>
      <c r="F177" s="295" t="str">
        <f>IF(E177="","",VLOOKUP($B177,'F-1 Off-Site WaterC'' Baseline'!$C$9:$R$257,5,FALSE))</f>
        <v/>
      </c>
      <c r="G177" s="295" t="str">
        <f>IF(F177="","",VLOOKUP($B177,'F-1 Off-Site WaterC'' Baseline'!$C$9:$R$257,6,FALSE))</f>
        <v/>
      </c>
      <c r="H177" s="295" t="str">
        <f>IF(G177="","",VLOOKUP($B177,'F-1 Off-Site WaterC'' Baseline'!$C$9:$R$257,7,FALSE))</f>
        <v/>
      </c>
      <c r="I177" s="295" t="str">
        <f>IF(H177="","",VLOOKUP($B177,'F-1 Off-Site WaterC'' Baseline'!$C$9:$R$257,8,FALSE))</f>
        <v/>
      </c>
      <c r="J177" s="295" t="str">
        <f>IF(I177="","",VLOOKUP($B177,'F-1 Off-Site WaterC'' Baseline'!$C$9:$R$257,9,FALSE))</f>
        <v/>
      </c>
      <c r="K177" s="295" t="str">
        <f>IF(J177="","",VLOOKUP($B177,'F-1 Off-Site WaterC'' Baseline'!$C$9:$R$257,10,FALSE))</f>
        <v/>
      </c>
      <c r="L177" s="283" t="str">
        <f>IF(B177="","",VLOOKUP($B177,'F-1 Off-Site WaterC'' Baseline'!$C$9:$R$257,15,FALSE))</f>
        <v/>
      </c>
      <c r="M177" s="299" t="str">
        <f>IF(L177="","",VLOOKUP($B177,'F-1 Off-Site WaterC'' Baseline'!$C$9:$V$257,19,FALSE))</f>
        <v/>
      </c>
      <c r="N177" s="244"/>
      <c r="O177" s="275" t="str">
        <f t="shared" si="25"/>
        <v/>
      </c>
      <c r="P177" s="276" t="str">
        <f t="shared" si="26"/>
        <v/>
      </c>
      <c r="Q177" s="281" t="str">
        <f>IF(N177="","",VLOOKUP(B177,'F-1 Off-Site WaterC'' Baseline'!$C$10:$AF$257,23,FALSE))</f>
        <v/>
      </c>
      <c r="R177" s="275" t="str">
        <f>IF(N177="","",VLOOKUP(N177,'G-7 WaterC'' Data'!$B$2:$G$8,2,FALSE))</f>
        <v/>
      </c>
      <c r="S177" s="276" t="str">
        <f>IFERROR(VLOOKUP(R177,'G-7 WaterC'' Data'!$C$4:$D$8,2,FALSE),"")</f>
        <v/>
      </c>
      <c r="T177" s="101"/>
      <c r="U177" s="276" t="str">
        <f>IFERROR(INDEX('G-7 WaterC'' Data'!$H$4:$L$8,MATCH(N177,'G-7 WaterC'' Data'!$B$4:$B$8,0),MATCH(T177,'G-7 WaterC'' Data'!$H$3:$L$3,0)),"")</f>
        <v/>
      </c>
      <c r="V177" s="105"/>
      <c r="W177" s="295" t="str">
        <f>IF(V177="","",IF(VLOOKUP(V177,'G-7 WaterC'' Data'!$AK$4:$AM$6,2,FALSE)=0,"Spatial Data Missing ⚠",VLOOKUP(V177,'G-7 WaterC'' Data'!$AK$4:$AM$6,2,FALSE)))</f>
        <v/>
      </c>
      <c r="X177" s="299" t="str">
        <f>IF(V177="","",IF(VLOOKUP(V177,'G-7 WaterC'' Data'!$AK$4:$AM$6,3,FALSE)=0,"Spatial Data Missing ⚠",VLOOKUP(V177,'G-7 WaterC'' Data'!$AK$4:$AM$6,3,FALSE)))</f>
        <v/>
      </c>
      <c r="Y177" s="311" t="str">
        <f>IFERROR(IF(OR(LEFT(P177,5)="Error",LEFT(O177,5)="Error"),"Check Data ⚠",IF(F177&lt;S177,'G-7 WaterC'' Data'!$R$3,INDEX('G-7 WaterC'' Data'!$U$5:$Y$9,MATCH(G177,'G-7 WaterC'' Data'!$T$5:$T$9,0),MATCH(T177,'G-7 WaterC'' Data'!$U$4:$Y$4,0)))),"")</f>
        <v/>
      </c>
      <c r="Z177" s="138"/>
      <c r="AA177" s="138"/>
      <c r="AB177" s="308" t="str">
        <f t="shared" si="22"/>
        <v/>
      </c>
      <c r="AC177" s="296" t="str">
        <f t="shared" si="27"/>
        <v/>
      </c>
      <c r="AD177" s="334" t="str">
        <f>IFERROR(IF(AC177="Check Data ⚠","Check Data ⚠",VLOOKUP(AC177,'G-4 Temporal multipliers'!$A$4:$C$37,3,FALSE)),"")</f>
        <v/>
      </c>
      <c r="AE177" s="311" t="str">
        <f>IF(N177="","",VLOOKUP(N177,'G-7 WaterC'' Data'!$B$4:$G$8,5,FALSE))</f>
        <v/>
      </c>
      <c r="AF177" s="295" t="str">
        <f t="shared" si="23"/>
        <v/>
      </c>
      <c r="AG177" s="295" t="str">
        <f t="shared" si="28"/>
        <v/>
      </c>
      <c r="AH177" s="276" t="str">
        <f t="shared" si="24"/>
        <v/>
      </c>
      <c r="AI177" s="105"/>
      <c r="AJ177" s="276" t="str">
        <f>IF(AI177="","",(IF(AND(AI177="N/A - Culvert",N177&lt;&gt;"Culvert"),"Not possible ▲",IF(VLOOKUP(AI177,'G-7 WaterC'' Data'!$AA$4:$AB$7,2,FALSE)=0,"Spatial Data Missing ⚠",VLOOKUP(AI177,'G-7 WaterC'' Data'!$AA$4:$AB$7,2,FALSE)))))</f>
        <v/>
      </c>
      <c r="AK177" s="106"/>
      <c r="AL177" s="310" t="str">
        <f>IF(AK177="","",IF(AND(AK177="N/A - Culvert",N177&lt;&gt;"Culvert"),"Not possible ▲",IF(VLOOKUP(AK177,'G-7 WaterC'' Data'!$AD$4:$AE$14,2,FALSE)=0,"Spatial Data Missing ⚠",VLOOKUP(AK177,'G-7 WaterC'' Data'!$AD$4:$AE$14,2,FALSE))))</f>
        <v/>
      </c>
      <c r="AM177" s="275" t="str">
        <f>IF(B177="","",VLOOKUP($B177,'F-1 Off-Site WaterC'' Baseline'!$C$9:$Z$257,17,FALSE))</f>
        <v/>
      </c>
      <c r="AN177" s="276" t="str">
        <f>IF(AM177="","",IF(VLOOKUP(AM177,'G-7 WaterC'' Data'!$AO$4:$BO$7,2,FALSE)=0,"Spatial Data Missing ⚠",VLOOKUP(AM177,'G-7 WaterC'' Data'!$AO$4:$BO$7,2,FALSE)))</f>
        <v/>
      </c>
      <c r="AO177" s="317" t="str">
        <f t="shared" si="29"/>
        <v/>
      </c>
      <c r="AP177" s="317" t="str">
        <f t="shared" si="30"/>
        <v/>
      </c>
      <c r="AQ177" s="101"/>
      <c r="AR177" s="115"/>
      <c r="AS177" s="104"/>
      <c r="AT177" s="104"/>
      <c r="AW177" s="30" t="str">
        <f>IF(E177="","",VLOOKUP($B177,'F-1 Off-Site WaterC'' Baseline'!$C$9:$Z$257,12,FALSE))</f>
        <v/>
      </c>
      <c r="AX177" s="30" t="str">
        <f>IF(E177="","",VLOOKUP($B177,'F-1 Off-Site WaterC'' Baseline'!$C$9:$Z$257,14,FALSE))</f>
        <v/>
      </c>
      <c r="AY177" s="30" t="str">
        <f>IFERROR(INDEX('G-7 WaterC'' Data'!$AZ$3:$AZ$7,MATCH(N177,'G-7 WaterC'' Data'!$AY$3:$AY$7,0)),"")</f>
        <v/>
      </c>
      <c r="AZ177" s="30" t="str">
        <f>IF(B177="","",IF(ISNA(VLOOKUP($B177,'F-1 Off-Site WaterC'' Baseline'!$C$8:$AD$257,20,FALSE)),"",(VLOOKUP($B177,'F-1 Off-Site WaterC'' Baseline'!$C$8:$AD$257,20,FALSE))))</f>
        <v/>
      </c>
      <c r="BC177" s="30" t="str">
        <f>IF(B177="","",VLOOKUP($B177,'F-1 Off-Site WaterC'' Baseline'!$C$9:$AB$257,25,FALSE))</f>
        <v/>
      </c>
      <c r="BD177" s="30" t="str">
        <f t="shared" si="31"/>
        <v/>
      </c>
      <c r="BE177" s="30" t="str">
        <f>IF(B177="","",VLOOKUP($B177,'F-1 Off-Site WaterC'' Baseline'!$C$9:$AB$257,24,FALSE))</f>
        <v/>
      </c>
      <c r="BF177" s="30" t="str">
        <f>IF(B177="","",VLOOKUP($B177,'F-1 Off-Site WaterC'' Baseline'!$C$9:$AB$257,22,FALSE))</f>
        <v/>
      </c>
      <c r="BJ177" s="30" t="str">
        <f t="shared" si="32"/>
        <v>No</v>
      </c>
    </row>
    <row r="178" spans="2:62" ht="14">
      <c r="B178" s="305" t="str">
        <f>'F-1 Off-Site WaterC'' Baseline'!AS176</f>
        <v/>
      </c>
      <c r="C178" s="295" t="str">
        <f>IF(B178="","",VLOOKUP($B178,'F-1 Off-Site WaterC'' Baseline'!$C$9:$R$257,2,FALSE))</f>
        <v/>
      </c>
      <c r="D178" s="295" t="str">
        <f>IF(C178="","",VLOOKUP($B178,'F-1 Off-Site WaterC'' Baseline'!$C$9:$R$257,3,FALSE))</f>
        <v/>
      </c>
      <c r="E178" s="295" t="str">
        <f>IF(D178="","",VLOOKUP($B178,'F-1 Off-Site WaterC'' Baseline'!$C$9:$R$257,4,FALSE))</f>
        <v/>
      </c>
      <c r="F178" s="295" t="str">
        <f>IF(E178="","",VLOOKUP($B178,'F-1 Off-Site WaterC'' Baseline'!$C$9:$R$257,5,FALSE))</f>
        <v/>
      </c>
      <c r="G178" s="295" t="str">
        <f>IF(F178="","",VLOOKUP($B178,'F-1 Off-Site WaterC'' Baseline'!$C$9:$R$257,6,FALSE))</f>
        <v/>
      </c>
      <c r="H178" s="295" t="str">
        <f>IF(G178="","",VLOOKUP($B178,'F-1 Off-Site WaterC'' Baseline'!$C$9:$R$257,7,FALSE))</f>
        <v/>
      </c>
      <c r="I178" s="295" t="str">
        <f>IF(H178="","",VLOOKUP($B178,'F-1 Off-Site WaterC'' Baseline'!$C$9:$R$257,8,FALSE))</f>
        <v/>
      </c>
      <c r="J178" s="295" t="str">
        <f>IF(I178="","",VLOOKUP($B178,'F-1 Off-Site WaterC'' Baseline'!$C$9:$R$257,9,FALSE))</f>
        <v/>
      </c>
      <c r="K178" s="295" t="str">
        <f>IF(J178="","",VLOOKUP($B178,'F-1 Off-Site WaterC'' Baseline'!$C$9:$R$257,10,FALSE))</f>
        <v/>
      </c>
      <c r="L178" s="283" t="str">
        <f>IF(B178="","",VLOOKUP($B178,'F-1 Off-Site WaterC'' Baseline'!$C$9:$R$257,15,FALSE))</f>
        <v/>
      </c>
      <c r="M178" s="299" t="str">
        <f>IF(L178="","",VLOOKUP($B178,'F-1 Off-Site WaterC'' Baseline'!$C$9:$V$257,19,FALSE))</f>
        <v/>
      </c>
      <c r="N178" s="244"/>
      <c r="O178" s="275" t="str">
        <f t="shared" si="25"/>
        <v/>
      </c>
      <c r="P178" s="276" t="str">
        <f t="shared" si="26"/>
        <v/>
      </c>
      <c r="Q178" s="281" t="str">
        <f>IF(N178="","",VLOOKUP(B178,'F-1 Off-Site WaterC'' Baseline'!$C$10:$AF$257,23,FALSE))</f>
        <v/>
      </c>
      <c r="R178" s="275" t="str">
        <f>IF(N178="","",VLOOKUP(N178,'G-7 WaterC'' Data'!$B$2:$G$8,2,FALSE))</f>
        <v/>
      </c>
      <c r="S178" s="276" t="str">
        <f>IFERROR(VLOOKUP(R178,'G-7 WaterC'' Data'!$C$4:$D$8,2,FALSE),"")</f>
        <v/>
      </c>
      <c r="T178" s="101"/>
      <c r="U178" s="276" t="str">
        <f>IFERROR(INDEX('G-7 WaterC'' Data'!$H$4:$L$8,MATCH(N178,'G-7 WaterC'' Data'!$B$4:$B$8,0),MATCH(T178,'G-7 WaterC'' Data'!$H$3:$L$3,0)),"")</f>
        <v/>
      </c>
      <c r="V178" s="105"/>
      <c r="W178" s="295" t="str">
        <f>IF(V178="","",IF(VLOOKUP(V178,'G-7 WaterC'' Data'!$AK$4:$AM$6,2,FALSE)=0,"Spatial Data Missing ⚠",VLOOKUP(V178,'G-7 WaterC'' Data'!$AK$4:$AM$6,2,FALSE)))</f>
        <v/>
      </c>
      <c r="X178" s="299" t="str">
        <f>IF(V178="","",IF(VLOOKUP(V178,'G-7 WaterC'' Data'!$AK$4:$AM$6,3,FALSE)=0,"Spatial Data Missing ⚠",VLOOKUP(V178,'G-7 WaterC'' Data'!$AK$4:$AM$6,3,FALSE)))</f>
        <v/>
      </c>
      <c r="Y178" s="311" t="str">
        <f>IFERROR(IF(OR(LEFT(P178,5)="Error",LEFT(O178,5)="Error"),"Check Data ⚠",IF(F178&lt;S178,'G-7 WaterC'' Data'!$R$3,INDEX('G-7 WaterC'' Data'!$U$5:$Y$9,MATCH(G178,'G-7 WaterC'' Data'!$T$5:$T$9,0),MATCH(T178,'G-7 WaterC'' Data'!$U$4:$Y$4,0)))),"")</f>
        <v/>
      </c>
      <c r="Z178" s="138"/>
      <c r="AA178" s="138"/>
      <c r="AB178" s="308" t="str">
        <f t="shared" si="22"/>
        <v/>
      </c>
      <c r="AC178" s="296" t="str">
        <f t="shared" si="27"/>
        <v/>
      </c>
      <c r="AD178" s="334" t="str">
        <f>IFERROR(IF(AC178="Check Data ⚠","Check Data ⚠",VLOOKUP(AC178,'G-4 Temporal multipliers'!$A$4:$C$37,3,FALSE)),"")</f>
        <v/>
      </c>
      <c r="AE178" s="311" t="str">
        <f>IF(N178="","",VLOOKUP(N178,'G-7 WaterC'' Data'!$B$4:$G$8,5,FALSE))</f>
        <v/>
      </c>
      <c r="AF178" s="295" t="str">
        <f t="shared" si="23"/>
        <v/>
      </c>
      <c r="AG178" s="295" t="str">
        <f t="shared" si="28"/>
        <v/>
      </c>
      <c r="AH178" s="276" t="str">
        <f t="shared" si="24"/>
        <v/>
      </c>
      <c r="AI178" s="105"/>
      <c r="AJ178" s="276" t="str">
        <f>IF(AI178="","",(IF(AND(AI178="N/A - Culvert",N178&lt;&gt;"Culvert"),"Not possible ▲",IF(VLOOKUP(AI178,'G-7 WaterC'' Data'!$AA$4:$AB$7,2,FALSE)=0,"Spatial Data Missing ⚠",VLOOKUP(AI178,'G-7 WaterC'' Data'!$AA$4:$AB$7,2,FALSE)))))</f>
        <v/>
      </c>
      <c r="AK178" s="106"/>
      <c r="AL178" s="310" t="str">
        <f>IF(AK178="","",IF(AND(AK178="N/A - Culvert",N178&lt;&gt;"Culvert"),"Not possible ▲",IF(VLOOKUP(AK178,'G-7 WaterC'' Data'!$AD$4:$AE$14,2,FALSE)=0,"Spatial Data Missing ⚠",VLOOKUP(AK178,'G-7 WaterC'' Data'!$AD$4:$AE$14,2,FALSE))))</f>
        <v/>
      </c>
      <c r="AM178" s="275" t="str">
        <f>IF(B178="","",VLOOKUP($B178,'F-1 Off-Site WaterC'' Baseline'!$C$9:$Z$257,17,FALSE))</f>
        <v/>
      </c>
      <c r="AN178" s="276" t="str">
        <f>IF(AM178="","",IF(VLOOKUP(AM178,'G-7 WaterC'' Data'!$AO$4:$BO$7,2,FALSE)=0,"Spatial Data Missing ⚠",VLOOKUP(AM178,'G-7 WaterC'' Data'!$AO$4:$BO$7,2,FALSE)))</f>
        <v/>
      </c>
      <c r="AO178" s="317" t="str">
        <f t="shared" si="29"/>
        <v/>
      </c>
      <c r="AP178" s="317" t="str">
        <f t="shared" si="30"/>
        <v/>
      </c>
      <c r="AQ178" s="101"/>
      <c r="AR178" s="115"/>
      <c r="AS178" s="104"/>
      <c r="AT178" s="104"/>
      <c r="AW178" s="30" t="str">
        <f>IF(E178="","",VLOOKUP($B178,'F-1 Off-Site WaterC'' Baseline'!$C$9:$Z$257,12,FALSE))</f>
        <v/>
      </c>
      <c r="AX178" s="30" t="str">
        <f>IF(E178="","",VLOOKUP($B178,'F-1 Off-Site WaterC'' Baseline'!$C$9:$Z$257,14,FALSE))</f>
        <v/>
      </c>
      <c r="AY178" s="30" t="str">
        <f>IFERROR(INDEX('G-7 WaterC'' Data'!$AZ$3:$AZ$7,MATCH(N178,'G-7 WaterC'' Data'!$AY$3:$AY$7,0)),"")</f>
        <v/>
      </c>
      <c r="AZ178" s="30" t="str">
        <f>IF(B178="","",IF(ISNA(VLOOKUP($B178,'F-1 Off-Site WaterC'' Baseline'!$C$8:$AD$257,20,FALSE)),"",(VLOOKUP($B178,'F-1 Off-Site WaterC'' Baseline'!$C$8:$AD$257,20,FALSE))))</f>
        <v/>
      </c>
      <c r="BC178" s="30" t="str">
        <f>IF(B178="","",VLOOKUP($B178,'F-1 Off-Site WaterC'' Baseline'!$C$9:$AB$257,25,FALSE))</f>
        <v/>
      </c>
      <c r="BD178" s="30" t="str">
        <f t="shared" si="31"/>
        <v/>
      </c>
      <c r="BE178" s="30" t="str">
        <f>IF(B178="","",VLOOKUP($B178,'F-1 Off-Site WaterC'' Baseline'!$C$9:$AB$257,24,FALSE))</f>
        <v/>
      </c>
      <c r="BF178" s="30" t="str">
        <f>IF(B178="","",VLOOKUP($B178,'F-1 Off-Site WaterC'' Baseline'!$C$9:$AB$257,22,FALSE))</f>
        <v/>
      </c>
      <c r="BJ178" s="30" t="str">
        <f t="shared" si="32"/>
        <v>No</v>
      </c>
    </row>
    <row r="179" spans="2:62" ht="14">
      <c r="B179" s="305" t="str">
        <f>'F-1 Off-Site WaterC'' Baseline'!AS177</f>
        <v/>
      </c>
      <c r="C179" s="295" t="str">
        <f>IF(B179="","",VLOOKUP($B179,'F-1 Off-Site WaterC'' Baseline'!$C$9:$R$257,2,FALSE))</f>
        <v/>
      </c>
      <c r="D179" s="295" t="str">
        <f>IF(C179="","",VLOOKUP($B179,'F-1 Off-Site WaterC'' Baseline'!$C$9:$R$257,3,FALSE))</f>
        <v/>
      </c>
      <c r="E179" s="295" t="str">
        <f>IF(D179="","",VLOOKUP($B179,'F-1 Off-Site WaterC'' Baseline'!$C$9:$R$257,4,FALSE))</f>
        <v/>
      </c>
      <c r="F179" s="295" t="str">
        <f>IF(E179="","",VLOOKUP($B179,'F-1 Off-Site WaterC'' Baseline'!$C$9:$R$257,5,FALSE))</f>
        <v/>
      </c>
      <c r="G179" s="295" t="str">
        <f>IF(F179="","",VLOOKUP($B179,'F-1 Off-Site WaterC'' Baseline'!$C$9:$R$257,6,FALSE))</f>
        <v/>
      </c>
      <c r="H179" s="295" t="str">
        <f>IF(G179="","",VLOOKUP($B179,'F-1 Off-Site WaterC'' Baseline'!$C$9:$R$257,7,FALSE))</f>
        <v/>
      </c>
      <c r="I179" s="295" t="str">
        <f>IF(H179="","",VLOOKUP($B179,'F-1 Off-Site WaterC'' Baseline'!$C$9:$R$257,8,FALSE))</f>
        <v/>
      </c>
      <c r="J179" s="295" t="str">
        <f>IF(I179="","",VLOOKUP($B179,'F-1 Off-Site WaterC'' Baseline'!$C$9:$R$257,9,FALSE))</f>
        <v/>
      </c>
      <c r="K179" s="295" t="str">
        <f>IF(J179="","",VLOOKUP($B179,'F-1 Off-Site WaterC'' Baseline'!$C$9:$R$257,10,FALSE))</f>
        <v/>
      </c>
      <c r="L179" s="283" t="str">
        <f>IF(B179="","",VLOOKUP($B179,'F-1 Off-Site WaterC'' Baseline'!$C$9:$R$257,15,FALSE))</f>
        <v/>
      </c>
      <c r="M179" s="299" t="str">
        <f>IF(L179="","",VLOOKUP($B179,'F-1 Off-Site WaterC'' Baseline'!$C$9:$V$257,19,FALSE))</f>
        <v/>
      </c>
      <c r="N179" s="244"/>
      <c r="O179" s="275" t="str">
        <f t="shared" si="25"/>
        <v/>
      </c>
      <c r="P179" s="276" t="str">
        <f t="shared" si="26"/>
        <v/>
      </c>
      <c r="Q179" s="281" t="str">
        <f>IF(N179="","",VLOOKUP(B179,'F-1 Off-Site WaterC'' Baseline'!$C$10:$AF$257,23,FALSE))</f>
        <v/>
      </c>
      <c r="R179" s="275" t="str">
        <f>IF(N179="","",VLOOKUP(N179,'G-7 WaterC'' Data'!$B$2:$G$8,2,FALSE))</f>
        <v/>
      </c>
      <c r="S179" s="276" t="str">
        <f>IFERROR(VLOOKUP(R179,'G-7 WaterC'' Data'!$C$4:$D$8,2,FALSE),"")</f>
        <v/>
      </c>
      <c r="T179" s="101"/>
      <c r="U179" s="276" t="str">
        <f>IFERROR(INDEX('G-7 WaterC'' Data'!$H$4:$L$8,MATCH(N179,'G-7 WaterC'' Data'!$B$4:$B$8,0),MATCH(T179,'G-7 WaterC'' Data'!$H$3:$L$3,0)),"")</f>
        <v/>
      </c>
      <c r="V179" s="105"/>
      <c r="W179" s="295" t="str">
        <f>IF(V179="","",IF(VLOOKUP(V179,'G-7 WaterC'' Data'!$AK$4:$AM$6,2,FALSE)=0,"Spatial Data Missing ⚠",VLOOKUP(V179,'G-7 WaterC'' Data'!$AK$4:$AM$6,2,FALSE)))</f>
        <v/>
      </c>
      <c r="X179" s="299" t="str">
        <f>IF(V179="","",IF(VLOOKUP(V179,'G-7 WaterC'' Data'!$AK$4:$AM$6,3,FALSE)=0,"Spatial Data Missing ⚠",VLOOKUP(V179,'G-7 WaterC'' Data'!$AK$4:$AM$6,3,FALSE)))</f>
        <v/>
      </c>
      <c r="Y179" s="311" t="str">
        <f>IFERROR(IF(OR(LEFT(P179,5)="Error",LEFT(O179,5)="Error"),"Check Data ⚠",IF(F179&lt;S179,'G-7 WaterC'' Data'!$R$3,INDEX('G-7 WaterC'' Data'!$U$5:$Y$9,MATCH(G179,'G-7 WaterC'' Data'!$T$5:$T$9,0),MATCH(T179,'G-7 WaterC'' Data'!$U$4:$Y$4,0)))),"")</f>
        <v/>
      </c>
      <c r="Z179" s="138"/>
      <c r="AA179" s="138"/>
      <c r="AB179" s="308" t="str">
        <f t="shared" si="22"/>
        <v/>
      </c>
      <c r="AC179" s="296" t="str">
        <f t="shared" si="27"/>
        <v/>
      </c>
      <c r="AD179" s="334" t="str">
        <f>IFERROR(IF(AC179="Check Data ⚠","Check Data ⚠",VLOOKUP(AC179,'G-4 Temporal multipliers'!$A$4:$C$37,3,FALSE)),"")</f>
        <v/>
      </c>
      <c r="AE179" s="311" t="str">
        <f>IF(N179="","",VLOOKUP(N179,'G-7 WaterC'' Data'!$B$4:$G$8,5,FALSE))</f>
        <v/>
      </c>
      <c r="AF179" s="295" t="str">
        <f t="shared" si="23"/>
        <v/>
      </c>
      <c r="AG179" s="295" t="str">
        <f t="shared" si="28"/>
        <v/>
      </c>
      <c r="AH179" s="276" t="str">
        <f t="shared" si="24"/>
        <v/>
      </c>
      <c r="AI179" s="105"/>
      <c r="AJ179" s="276" t="str">
        <f>IF(AI179="","",(IF(AND(AI179="N/A - Culvert",N179&lt;&gt;"Culvert"),"Not possible ▲",IF(VLOOKUP(AI179,'G-7 WaterC'' Data'!$AA$4:$AB$7,2,FALSE)=0,"Spatial Data Missing ⚠",VLOOKUP(AI179,'G-7 WaterC'' Data'!$AA$4:$AB$7,2,FALSE)))))</f>
        <v/>
      </c>
      <c r="AK179" s="106"/>
      <c r="AL179" s="310" t="str">
        <f>IF(AK179="","",IF(AND(AK179="N/A - Culvert",N179&lt;&gt;"Culvert"),"Not possible ▲",IF(VLOOKUP(AK179,'G-7 WaterC'' Data'!$AD$4:$AE$14,2,FALSE)=0,"Spatial Data Missing ⚠",VLOOKUP(AK179,'G-7 WaterC'' Data'!$AD$4:$AE$14,2,FALSE))))</f>
        <v/>
      </c>
      <c r="AM179" s="275" t="str">
        <f>IF(B179="","",VLOOKUP($B179,'F-1 Off-Site WaterC'' Baseline'!$C$9:$Z$257,17,FALSE))</f>
        <v/>
      </c>
      <c r="AN179" s="276" t="str">
        <f>IF(AM179="","",IF(VLOOKUP(AM179,'G-7 WaterC'' Data'!$AO$4:$BO$7,2,FALSE)=0,"Spatial Data Missing ⚠",VLOOKUP(AM179,'G-7 WaterC'' Data'!$AO$4:$BO$7,2,FALSE)))</f>
        <v/>
      </c>
      <c r="AO179" s="317" t="str">
        <f t="shared" si="29"/>
        <v/>
      </c>
      <c r="AP179" s="317" t="str">
        <f t="shared" si="30"/>
        <v/>
      </c>
      <c r="AQ179" s="101"/>
      <c r="AR179" s="115"/>
      <c r="AS179" s="104"/>
      <c r="AT179" s="104"/>
      <c r="AW179" s="30" t="str">
        <f>IF(E179="","",VLOOKUP($B179,'F-1 Off-Site WaterC'' Baseline'!$C$9:$Z$257,12,FALSE))</f>
        <v/>
      </c>
      <c r="AX179" s="30" t="str">
        <f>IF(E179="","",VLOOKUP($B179,'F-1 Off-Site WaterC'' Baseline'!$C$9:$Z$257,14,FALSE))</f>
        <v/>
      </c>
      <c r="AY179" s="30" t="str">
        <f>IFERROR(INDEX('G-7 WaterC'' Data'!$AZ$3:$AZ$7,MATCH(N179,'G-7 WaterC'' Data'!$AY$3:$AY$7,0)),"")</f>
        <v/>
      </c>
      <c r="AZ179" s="30" t="str">
        <f>IF(B179="","",IF(ISNA(VLOOKUP($B179,'F-1 Off-Site WaterC'' Baseline'!$C$8:$AD$257,20,FALSE)),"",(VLOOKUP($B179,'F-1 Off-Site WaterC'' Baseline'!$C$8:$AD$257,20,FALSE))))</f>
        <v/>
      </c>
      <c r="BC179" s="30" t="str">
        <f>IF(B179="","",VLOOKUP($B179,'F-1 Off-Site WaterC'' Baseline'!$C$9:$AB$257,25,FALSE))</f>
        <v/>
      </c>
      <c r="BD179" s="30" t="str">
        <f t="shared" si="31"/>
        <v/>
      </c>
      <c r="BE179" s="30" t="str">
        <f>IF(B179="","",VLOOKUP($B179,'F-1 Off-Site WaterC'' Baseline'!$C$9:$AB$257,24,FALSE))</f>
        <v/>
      </c>
      <c r="BF179" s="30" t="str">
        <f>IF(B179="","",VLOOKUP($B179,'F-1 Off-Site WaterC'' Baseline'!$C$9:$AB$257,22,FALSE))</f>
        <v/>
      </c>
      <c r="BJ179" s="30" t="str">
        <f t="shared" si="32"/>
        <v>No</v>
      </c>
    </row>
    <row r="180" spans="2:62" ht="14">
      <c r="B180" s="305" t="str">
        <f>'F-1 Off-Site WaterC'' Baseline'!AS178</f>
        <v/>
      </c>
      <c r="C180" s="295" t="str">
        <f>IF(B180="","",VLOOKUP($B180,'F-1 Off-Site WaterC'' Baseline'!$C$9:$R$257,2,FALSE))</f>
        <v/>
      </c>
      <c r="D180" s="295" t="str">
        <f>IF(C180="","",VLOOKUP($B180,'F-1 Off-Site WaterC'' Baseline'!$C$9:$R$257,3,FALSE))</f>
        <v/>
      </c>
      <c r="E180" s="295" t="str">
        <f>IF(D180="","",VLOOKUP($B180,'F-1 Off-Site WaterC'' Baseline'!$C$9:$R$257,4,FALSE))</f>
        <v/>
      </c>
      <c r="F180" s="295" t="str">
        <f>IF(E180="","",VLOOKUP($B180,'F-1 Off-Site WaterC'' Baseline'!$C$9:$R$257,5,FALSE))</f>
        <v/>
      </c>
      <c r="G180" s="295" t="str">
        <f>IF(F180="","",VLOOKUP($B180,'F-1 Off-Site WaterC'' Baseline'!$C$9:$R$257,6,FALSE))</f>
        <v/>
      </c>
      <c r="H180" s="295" t="str">
        <f>IF(G180="","",VLOOKUP($B180,'F-1 Off-Site WaterC'' Baseline'!$C$9:$R$257,7,FALSE))</f>
        <v/>
      </c>
      <c r="I180" s="295" t="str">
        <f>IF(H180="","",VLOOKUP($B180,'F-1 Off-Site WaterC'' Baseline'!$C$9:$R$257,8,FALSE))</f>
        <v/>
      </c>
      <c r="J180" s="295" t="str">
        <f>IF(I180="","",VLOOKUP($B180,'F-1 Off-Site WaterC'' Baseline'!$C$9:$R$257,9,FALSE))</f>
        <v/>
      </c>
      <c r="K180" s="295" t="str">
        <f>IF(J180="","",VLOOKUP($B180,'F-1 Off-Site WaterC'' Baseline'!$C$9:$R$257,10,FALSE))</f>
        <v/>
      </c>
      <c r="L180" s="283" t="str">
        <f>IF(B180="","",VLOOKUP($B180,'F-1 Off-Site WaterC'' Baseline'!$C$9:$R$257,15,FALSE))</f>
        <v/>
      </c>
      <c r="M180" s="299" t="str">
        <f>IF(L180="","",VLOOKUP($B180,'F-1 Off-Site WaterC'' Baseline'!$C$9:$V$257,19,FALSE))</f>
        <v/>
      </c>
      <c r="N180" s="244"/>
      <c r="O180" s="275" t="str">
        <f t="shared" si="25"/>
        <v/>
      </c>
      <c r="P180" s="276" t="str">
        <f t="shared" si="26"/>
        <v/>
      </c>
      <c r="Q180" s="281" t="str">
        <f>IF(N180="","",VLOOKUP(B180,'F-1 Off-Site WaterC'' Baseline'!$C$10:$AF$257,23,FALSE))</f>
        <v/>
      </c>
      <c r="R180" s="275" t="str">
        <f>IF(N180="","",VLOOKUP(N180,'G-7 WaterC'' Data'!$B$2:$G$8,2,FALSE))</f>
        <v/>
      </c>
      <c r="S180" s="276" t="str">
        <f>IFERROR(VLOOKUP(R180,'G-7 WaterC'' Data'!$C$4:$D$8,2,FALSE),"")</f>
        <v/>
      </c>
      <c r="T180" s="101"/>
      <c r="U180" s="276" t="str">
        <f>IFERROR(INDEX('G-7 WaterC'' Data'!$H$4:$L$8,MATCH(N180,'G-7 WaterC'' Data'!$B$4:$B$8,0),MATCH(T180,'G-7 WaterC'' Data'!$H$3:$L$3,0)),"")</f>
        <v/>
      </c>
      <c r="V180" s="105"/>
      <c r="W180" s="295" t="str">
        <f>IF(V180="","",IF(VLOOKUP(V180,'G-7 WaterC'' Data'!$AK$4:$AM$6,2,FALSE)=0,"Spatial Data Missing ⚠",VLOOKUP(V180,'G-7 WaterC'' Data'!$AK$4:$AM$6,2,FALSE)))</f>
        <v/>
      </c>
      <c r="X180" s="299" t="str">
        <f>IF(V180="","",IF(VLOOKUP(V180,'G-7 WaterC'' Data'!$AK$4:$AM$6,3,FALSE)=0,"Spatial Data Missing ⚠",VLOOKUP(V180,'G-7 WaterC'' Data'!$AK$4:$AM$6,3,FALSE)))</f>
        <v/>
      </c>
      <c r="Y180" s="311" t="str">
        <f>IFERROR(IF(OR(LEFT(P180,5)="Error",LEFT(O180,5)="Error"),"Check Data ⚠",IF(F180&lt;S180,'G-7 WaterC'' Data'!$R$3,INDEX('G-7 WaterC'' Data'!$U$5:$Y$9,MATCH(G180,'G-7 WaterC'' Data'!$T$5:$T$9,0),MATCH(T180,'G-7 WaterC'' Data'!$U$4:$Y$4,0)))),"")</f>
        <v/>
      </c>
      <c r="Z180" s="138"/>
      <c r="AA180" s="138"/>
      <c r="AB180" s="308" t="str">
        <f t="shared" si="22"/>
        <v/>
      </c>
      <c r="AC180" s="296" t="str">
        <f t="shared" si="27"/>
        <v/>
      </c>
      <c r="AD180" s="334" t="str">
        <f>IFERROR(IF(AC180="Check Data ⚠","Check Data ⚠",VLOOKUP(AC180,'G-4 Temporal multipliers'!$A$4:$C$37,3,FALSE)),"")</f>
        <v/>
      </c>
      <c r="AE180" s="311" t="str">
        <f>IF(N180="","",VLOOKUP(N180,'G-7 WaterC'' Data'!$B$4:$G$8,5,FALSE))</f>
        <v/>
      </c>
      <c r="AF180" s="295" t="str">
        <f t="shared" si="23"/>
        <v/>
      </c>
      <c r="AG180" s="295" t="str">
        <f t="shared" si="28"/>
        <v/>
      </c>
      <c r="AH180" s="276" t="str">
        <f t="shared" si="24"/>
        <v/>
      </c>
      <c r="AI180" s="105"/>
      <c r="AJ180" s="276" t="str">
        <f>IF(AI180="","",(IF(AND(AI180="N/A - Culvert",N180&lt;&gt;"Culvert"),"Not possible ▲",IF(VLOOKUP(AI180,'G-7 WaterC'' Data'!$AA$4:$AB$7,2,FALSE)=0,"Spatial Data Missing ⚠",VLOOKUP(AI180,'G-7 WaterC'' Data'!$AA$4:$AB$7,2,FALSE)))))</f>
        <v/>
      </c>
      <c r="AK180" s="106"/>
      <c r="AL180" s="310" t="str">
        <f>IF(AK180="","",IF(AND(AK180="N/A - Culvert",N180&lt;&gt;"Culvert"),"Not possible ▲",IF(VLOOKUP(AK180,'G-7 WaterC'' Data'!$AD$4:$AE$14,2,FALSE)=0,"Spatial Data Missing ⚠",VLOOKUP(AK180,'G-7 WaterC'' Data'!$AD$4:$AE$14,2,FALSE))))</f>
        <v/>
      </c>
      <c r="AM180" s="275" t="str">
        <f>IF(B180="","",VLOOKUP($B180,'F-1 Off-Site WaterC'' Baseline'!$C$9:$Z$257,17,FALSE))</f>
        <v/>
      </c>
      <c r="AN180" s="276" t="str">
        <f>IF(AM180="","",IF(VLOOKUP(AM180,'G-7 WaterC'' Data'!$AO$4:$BO$7,2,FALSE)=0,"Spatial Data Missing ⚠",VLOOKUP(AM180,'G-7 WaterC'' Data'!$AO$4:$BO$7,2,FALSE)))</f>
        <v/>
      </c>
      <c r="AO180" s="317" t="str">
        <f t="shared" si="29"/>
        <v/>
      </c>
      <c r="AP180" s="317" t="str">
        <f t="shared" si="30"/>
        <v/>
      </c>
      <c r="AQ180" s="101"/>
      <c r="AR180" s="115"/>
      <c r="AS180" s="104"/>
      <c r="AT180" s="104"/>
      <c r="AW180" s="30" t="str">
        <f>IF(E180="","",VLOOKUP($B180,'F-1 Off-Site WaterC'' Baseline'!$C$9:$Z$257,12,FALSE))</f>
        <v/>
      </c>
      <c r="AX180" s="30" t="str">
        <f>IF(E180="","",VLOOKUP($B180,'F-1 Off-Site WaterC'' Baseline'!$C$9:$Z$257,14,FALSE))</f>
        <v/>
      </c>
      <c r="AY180" s="30" t="str">
        <f>IFERROR(INDEX('G-7 WaterC'' Data'!$AZ$3:$AZ$7,MATCH(N180,'G-7 WaterC'' Data'!$AY$3:$AY$7,0)),"")</f>
        <v/>
      </c>
      <c r="AZ180" s="30" t="str">
        <f>IF(B180="","",IF(ISNA(VLOOKUP($B180,'F-1 Off-Site WaterC'' Baseline'!$C$8:$AD$257,20,FALSE)),"",(VLOOKUP($B180,'F-1 Off-Site WaterC'' Baseline'!$C$8:$AD$257,20,FALSE))))</f>
        <v/>
      </c>
      <c r="BC180" s="30" t="str">
        <f>IF(B180="","",VLOOKUP($B180,'F-1 Off-Site WaterC'' Baseline'!$C$9:$AB$257,25,FALSE))</f>
        <v/>
      </c>
      <c r="BD180" s="30" t="str">
        <f t="shared" si="31"/>
        <v/>
      </c>
      <c r="BE180" s="30" t="str">
        <f>IF(B180="","",VLOOKUP($B180,'F-1 Off-Site WaterC'' Baseline'!$C$9:$AB$257,24,FALSE))</f>
        <v/>
      </c>
      <c r="BF180" s="30" t="str">
        <f>IF(B180="","",VLOOKUP($B180,'F-1 Off-Site WaterC'' Baseline'!$C$9:$AB$257,22,FALSE))</f>
        <v/>
      </c>
      <c r="BJ180" s="30" t="str">
        <f t="shared" si="32"/>
        <v>No</v>
      </c>
    </row>
    <row r="181" spans="2:62" ht="14">
      <c r="B181" s="305" t="str">
        <f>'F-1 Off-Site WaterC'' Baseline'!AS179</f>
        <v/>
      </c>
      <c r="C181" s="295" t="str">
        <f>IF(B181="","",VLOOKUP($B181,'F-1 Off-Site WaterC'' Baseline'!$C$9:$R$257,2,FALSE))</f>
        <v/>
      </c>
      <c r="D181" s="295" t="str">
        <f>IF(C181="","",VLOOKUP($B181,'F-1 Off-Site WaterC'' Baseline'!$C$9:$R$257,3,FALSE))</f>
        <v/>
      </c>
      <c r="E181" s="295" t="str">
        <f>IF(D181="","",VLOOKUP($B181,'F-1 Off-Site WaterC'' Baseline'!$C$9:$R$257,4,FALSE))</f>
        <v/>
      </c>
      <c r="F181" s="295" t="str">
        <f>IF(E181="","",VLOOKUP($B181,'F-1 Off-Site WaterC'' Baseline'!$C$9:$R$257,5,FALSE))</f>
        <v/>
      </c>
      <c r="G181" s="295" t="str">
        <f>IF(F181="","",VLOOKUP($B181,'F-1 Off-Site WaterC'' Baseline'!$C$9:$R$257,6,FALSE))</f>
        <v/>
      </c>
      <c r="H181" s="295" t="str">
        <f>IF(G181="","",VLOOKUP($B181,'F-1 Off-Site WaterC'' Baseline'!$C$9:$R$257,7,FALSE))</f>
        <v/>
      </c>
      <c r="I181" s="295" t="str">
        <f>IF(H181="","",VLOOKUP($B181,'F-1 Off-Site WaterC'' Baseline'!$C$9:$R$257,8,FALSE))</f>
        <v/>
      </c>
      <c r="J181" s="295" t="str">
        <f>IF(I181="","",VLOOKUP($B181,'F-1 Off-Site WaterC'' Baseline'!$C$9:$R$257,9,FALSE))</f>
        <v/>
      </c>
      <c r="K181" s="295" t="str">
        <f>IF(J181="","",VLOOKUP($B181,'F-1 Off-Site WaterC'' Baseline'!$C$9:$R$257,10,FALSE))</f>
        <v/>
      </c>
      <c r="L181" s="283" t="str">
        <f>IF(B181="","",VLOOKUP($B181,'F-1 Off-Site WaterC'' Baseline'!$C$9:$R$257,15,FALSE))</f>
        <v/>
      </c>
      <c r="M181" s="299" t="str">
        <f>IF(L181="","",VLOOKUP($B181,'F-1 Off-Site WaterC'' Baseline'!$C$9:$V$257,19,FALSE))</f>
        <v/>
      </c>
      <c r="N181" s="244"/>
      <c r="O181" s="275" t="str">
        <f t="shared" si="25"/>
        <v/>
      </c>
      <c r="P181" s="276" t="str">
        <f t="shared" si="26"/>
        <v/>
      </c>
      <c r="Q181" s="281" t="str">
        <f>IF(N181="","",VLOOKUP(B181,'F-1 Off-Site WaterC'' Baseline'!$C$10:$AF$257,23,FALSE))</f>
        <v/>
      </c>
      <c r="R181" s="275" t="str">
        <f>IF(N181="","",VLOOKUP(N181,'G-7 WaterC'' Data'!$B$2:$G$8,2,FALSE))</f>
        <v/>
      </c>
      <c r="S181" s="276" t="str">
        <f>IFERROR(VLOOKUP(R181,'G-7 WaterC'' Data'!$C$4:$D$8,2,FALSE),"")</f>
        <v/>
      </c>
      <c r="T181" s="101"/>
      <c r="U181" s="276" t="str">
        <f>IFERROR(INDEX('G-7 WaterC'' Data'!$H$4:$L$8,MATCH(N181,'G-7 WaterC'' Data'!$B$4:$B$8,0),MATCH(T181,'G-7 WaterC'' Data'!$H$3:$L$3,0)),"")</f>
        <v/>
      </c>
      <c r="V181" s="105"/>
      <c r="W181" s="295" t="str">
        <f>IF(V181="","",IF(VLOOKUP(V181,'G-7 WaterC'' Data'!$AK$4:$AM$6,2,FALSE)=0,"Spatial Data Missing ⚠",VLOOKUP(V181,'G-7 WaterC'' Data'!$AK$4:$AM$6,2,FALSE)))</f>
        <v/>
      </c>
      <c r="X181" s="299" t="str">
        <f>IF(V181="","",IF(VLOOKUP(V181,'G-7 WaterC'' Data'!$AK$4:$AM$6,3,FALSE)=0,"Spatial Data Missing ⚠",VLOOKUP(V181,'G-7 WaterC'' Data'!$AK$4:$AM$6,3,FALSE)))</f>
        <v/>
      </c>
      <c r="Y181" s="311" t="str">
        <f>IFERROR(IF(OR(LEFT(P181,5)="Error",LEFT(O181,5)="Error"),"Check Data ⚠",IF(F181&lt;S181,'G-7 WaterC'' Data'!$R$3,INDEX('G-7 WaterC'' Data'!$U$5:$Y$9,MATCH(G181,'G-7 WaterC'' Data'!$T$5:$T$9,0),MATCH(T181,'G-7 WaterC'' Data'!$U$4:$Y$4,0)))),"")</f>
        <v/>
      </c>
      <c r="Z181" s="138"/>
      <c r="AA181" s="138"/>
      <c r="AB181" s="308" t="str">
        <f t="shared" si="22"/>
        <v/>
      </c>
      <c r="AC181" s="296" t="str">
        <f t="shared" si="27"/>
        <v/>
      </c>
      <c r="AD181" s="334" t="str">
        <f>IFERROR(IF(AC181="Check Data ⚠","Check Data ⚠",VLOOKUP(AC181,'G-4 Temporal multipliers'!$A$4:$C$37,3,FALSE)),"")</f>
        <v/>
      </c>
      <c r="AE181" s="311" t="str">
        <f>IF(N181="","",VLOOKUP(N181,'G-7 WaterC'' Data'!$B$4:$G$8,5,FALSE))</f>
        <v/>
      </c>
      <c r="AF181" s="295" t="str">
        <f t="shared" si="23"/>
        <v/>
      </c>
      <c r="AG181" s="295" t="str">
        <f t="shared" si="28"/>
        <v/>
      </c>
      <c r="AH181" s="276" t="str">
        <f t="shared" si="24"/>
        <v/>
      </c>
      <c r="AI181" s="105"/>
      <c r="AJ181" s="276" t="str">
        <f>IF(AI181="","",(IF(AND(AI181="N/A - Culvert",N181&lt;&gt;"Culvert"),"Not possible ▲",IF(VLOOKUP(AI181,'G-7 WaterC'' Data'!$AA$4:$AB$7,2,FALSE)=0,"Spatial Data Missing ⚠",VLOOKUP(AI181,'G-7 WaterC'' Data'!$AA$4:$AB$7,2,FALSE)))))</f>
        <v/>
      </c>
      <c r="AK181" s="106"/>
      <c r="AL181" s="310" t="str">
        <f>IF(AK181="","",IF(AND(AK181="N/A - Culvert",N181&lt;&gt;"Culvert"),"Not possible ▲",IF(VLOOKUP(AK181,'G-7 WaterC'' Data'!$AD$4:$AE$14,2,FALSE)=0,"Spatial Data Missing ⚠",VLOOKUP(AK181,'G-7 WaterC'' Data'!$AD$4:$AE$14,2,FALSE))))</f>
        <v/>
      </c>
      <c r="AM181" s="275" t="str">
        <f>IF(B181="","",VLOOKUP($B181,'F-1 Off-Site WaterC'' Baseline'!$C$9:$Z$257,17,FALSE))</f>
        <v/>
      </c>
      <c r="AN181" s="276" t="str">
        <f>IF(AM181="","",IF(VLOOKUP(AM181,'G-7 WaterC'' Data'!$AO$4:$BO$7,2,FALSE)=0,"Spatial Data Missing ⚠",VLOOKUP(AM181,'G-7 WaterC'' Data'!$AO$4:$BO$7,2,FALSE)))</f>
        <v/>
      </c>
      <c r="AO181" s="317" t="str">
        <f t="shared" si="29"/>
        <v/>
      </c>
      <c r="AP181" s="317" t="str">
        <f t="shared" si="30"/>
        <v/>
      </c>
      <c r="AQ181" s="101"/>
      <c r="AR181" s="115"/>
      <c r="AS181" s="104"/>
      <c r="AT181" s="104"/>
      <c r="AW181" s="30" t="str">
        <f>IF(E181="","",VLOOKUP($B181,'F-1 Off-Site WaterC'' Baseline'!$C$9:$Z$257,12,FALSE))</f>
        <v/>
      </c>
      <c r="AX181" s="30" t="str">
        <f>IF(E181="","",VLOOKUP($B181,'F-1 Off-Site WaterC'' Baseline'!$C$9:$Z$257,14,FALSE))</f>
        <v/>
      </c>
      <c r="AY181" s="30" t="str">
        <f>IFERROR(INDEX('G-7 WaterC'' Data'!$AZ$3:$AZ$7,MATCH(N181,'G-7 WaterC'' Data'!$AY$3:$AY$7,0)),"")</f>
        <v/>
      </c>
      <c r="AZ181" s="30" t="str">
        <f>IF(B181="","",IF(ISNA(VLOOKUP($B181,'F-1 Off-Site WaterC'' Baseline'!$C$8:$AD$257,20,FALSE)),"",(VLOOKUP($B181,'F-1 Off-Site WaterC'' Baseline'!$C$8:$AD$257,20,FALSE))))</f>
        <v/>
      </c>
      <c r="BC181" s="30" t="str">
        <f>IF(B181="","",VLOOKUP($B181,'F-1 Off-Site WaterC'' Baseline'!$C$9:$AB$257,25,FALSE))</f>
        <v/>
      </c>
      <c r="BD181" s="30" t="str">
        <f t="shared" si="31"/>
        <v/>
      </c>
      <c r="BE181" s="30" t="str">
        <f>IF(B181="","",VLOOKUP($B181,'F-1 Off-Site WaterC'' Baseline'!$C$9:$AB$257,24,FALSE))</f>
        <v/>
      </c>
      <c r="BF181" s="30" t="str">
        <f>IF(B181="","",VLOOKUP($B181,'F-1 Off-Site WaterC'' Baseline'!$C$9:$AB$257,22,FALSE))</f>
        <v/>
      </c>
      <c r="BJ181" s="30" t="str">
        <f t="shared" si="32"/>
        <v>No</v>
      </c>
    </row>
    <row r="182" spans="2:62" ht="14">
      <c r="B182" s="305" t="str">
        <f>'F-1 Off-Site WaterC'' Baseline'!AS180</f>
        <v/>
      </c>
      <c r="C182" s="295" t="str">
        <f>IF(B182="","",VLOOKUP($B182,'F-1 Off-Site WaterC'' Baseline'!$C$9:$R$257,2,FALSE))</f>
        <v/>
      </c>
      <c r="D182" s="295" t="str">
        <f>IF(C182="","",VLOOKUP($B182,'F-1 Off-Site WaterC'' Baseline'!$C$9:$R$257,3,FALSE))</f>
        <v/>
      </c>
      <c r="E182" s="295" t="str">
        <f>IF(D182="","",VLOOKUP($B182,'F-1 Off-Site WaterC'' Baseline'!$C$9:$R$257,4,FALSE))</f>
        <v/>
      </c>
      <c r="F182" s="295" t="str">
        <f>IF(E182="","",VLOOKUP($B182,'F-1 Off-Site WaterC'' Baseline'!$C$9:$R$257,5,FALSE))</f>
        <v/>
      </c>
      <c r="G182" s="295" t="str">
        <f>IF(F182="","",VLOOKUP($B182,'F-1 Off-Site WaterC'' Baseline'!$C$9:$R$257,6,FALSE))</f>
        <v/>
      </c>
      <c r="H182" s="295" t="str">
        <f>IF(G182="","",VLOOKUP($B182,'F-1 Off-Site WaterC'' Baseline'!$C$9:$R$257,7,FALSE))</f>
        <v/>
      </c>
      <c r="I182" s="295" t="str">
        <f>IF(H182="","",VLOOKUP($B182,'F-1 Off-Site WaterC'' Baseline'!$C$9:$R$257,8,FALSE))</f>
        <v/>
      </c>
      <c r="J182" s="295" t="str">
        <f>IF(I182="","",VLOOKUP($B182,'F-1 Off-Site WaterC'' Baseline'!$C$9:$R$257,9,FALSE))</f>
        <v/>
      </c>
      <c r="K182" s="295" t="str">
        <f>IF(J182="","",VLOOKUP($B182,'F-1 Off-Site WaterC'' Baseline'!$C$9:$R$257,10,FALSE))</f>
        <v/>
      </c>
      <c r="L182" s="283" t="str">
        <f>IF(B182="","",VLOOKUP($B182,'F-1 Off-Site WaterC'' Baseline'!$C$9:$R$257,15,FALSE))</f>
        <v/>
      </c>
      <c r="M182" s="299" t="str">
        <f>IF(L182="","",VLOOKUP($B182,'F-1 Off-Site WaterC'' Baseline'!$C$9:$V$257,19,FALSE))</f>
        <v/>
      </c>
      <c r="N182" s="244"/>
      <c r="O182" s="275" t="str">
        <f t="shared" si="25"/>
        <v/>
      </c>
      <c r="P182" s="276" t="str">
        <f t="shared" si="26"/>
        <v/>
      </c>
      <c r="Q182" s="281" t="str">
        <f>IF(N182="","",VLOOKUP(B182,'F-1 Off-Site WaterC'' Baseline'!$C$10:$AF$257,23,FALSE))</f>
        <v/>
      </c>
      <c r="R182" s="275" t="str">
        <f>IF(N182="","",VLOOKUP(N182,'G-7 WaterC'' Data'!$B$2:$G$8,2,FALSE))</f>
        <v/>
      </c>
      <c r="S182" s="276" t="str">
        <f>IFERROR(VLOOKUP(R182,'G-7 WaterC'' Data'!$C$4:$D$8,2,FALSE),"")</f>
        <v/>
      </c>
      <c r="T182" s="101"/>
      <c r="U182" s="276" t="str">
        <f>IFERROR(INDEX('G-7 WaterC'' Data'!$H$4:$L$8,MATCH(N182,'G-7 WaterC'' Data'!$B$4:$B$8,0),MATCH(T182,'G-7 WaterC'' Data'!$H$3:$L$3,0)),"")</f>
        <v/>
      </c>
      <c r="V182" s="105"/>
      <c r="W182" s="295" t="str">
        <f>IF(V182="","",IF(VLOOKUP(V182,'G-7 WaterC'' Data'!$AK$4:$AM$6,2,FALSE)=0,"Spatial Data Missing ⚠",VLOOKUP(V182,'G-7 WaterC'' Data'!$AK$4:$AM$6,2,FALSE)))</f>
        <v/>
      </c>
      <c r="X182" s="299" t="str">
        <f>IF(V182="","",IF(VLOOKUP(V182,'G-7 WaterC'' Data'!$AK$4:$AM$6,3,FALSE)=0,"Spatial Data Missing ⚠",VLOOKUP(V182,'G-7 WaterC'' Data'!$AK$4:$AM$6,3,FALSE)))</f>
        <v/>
      </c>
      <c r="Y182" s="311" t="str">
        <f>IFERROR(IF(OR(LEFT(P182,5)="Error",LEFT(O182,5)="Error"),"Check Data ⚠",IF(F182&lt;S182,'G-7 WaterC'' Data'!$R$3,INDEX('G-7 WaterC'' Data'!$U$5:$Y$9,MATCH(G182,'G-7 WaterC'' Data'!$T$5:$T$9,0),MATCH(T182,'G-7 WaterC'' Data'!$U$4:$Y$4,0)))),"")</f>
        <v/>
      </c>
      <c r="Z182" s="138"/>
      <c r="AA182" s="138"/>
      <c r="AB182" s="308" t="str">
        <f t="shared" si="22"/>
        <v/>
      </c>
      <c r="AC182" s="296" t="str">
        <f t="shared" si="27"/>
        <v/>
      </c>
      <c r="AD182" s="334" t="str">
        <f>IFERROR(IF(AC182="Check Data ⚠","Check Data ⚠",VLOOKUP(AC182,'G-4 Temporal multipliers'!$A$4:$C$37,3,FALSE)),"")</f>
        <v/>
      </c>
      <c r="AE182" s="311" t="str">
        <f>IF(N182="","",VLOOKUP(N182,'G-7 WaterC'' Data'!$B$4:$G$8,5,FALSE))</f>
        <v/>
      </c>
      <c r="AF182" s="295" t="str">
        <f t="shared" si="23"/>
        <v/>
      </c>
      <c r="AG182" s="295" t="str">
        <f t="shared" si="28"/>
        <v/>
      </c>
      <c r="AH182" s="276" t="str">
        <f t="shared" si="24"/>
        <v/>
      </c>
      <c r="AI182" s="105"/>
      <c r="AJ182" s="276" t="str">
        <f>IF(AI182="","",(IF(AND(AI182="N/A - Culvert",N182&lt;&gt;"Culvert"),"Not possible ▲",IF(VLOOKUP(AI182,'G-7 WaterC'' Data'!$AA$4:$AB$7,2,FALSE)=0,"Spatial Data Missing ⚠",VLOOKUP(AI182,'G-7 WaterC'' Data'!$AA$4:$AB$7,2,FALSE)))))</f>
        <v/>
      </c>
      <c r="AK182" s="106"/>
      <c r="AL182" s="310" t="str">
        <f>IF(AK182="","",IF(AND(AK182="N/A - Culvert",N182&lt;&gt;"Culvert"),"Not possible ▲",IF(VLOOKUP(AK182,'G-7 WaterC'' Data'!$AD$4:$AE$14,2,FALSE)=0,"Spatial Data Missing ⚠",VLOOKUP(AK182,'G-7 WaterC'' Data'!$AD$4:$AE$14,2,FALSE))))</f>
        <v/>
      </c>
      <c r="AM182" s="275" t="str">
        <f>IF(B182="","",VLOOKUP($B182,'F-1 Off-Site WaterC'' Baseline'!$C$9:$Z$257,17,FALSE))</f>
        <v/>
      </c>
      <c r="AN182" s="276" t="str">
        <f>IF(AM182="","",IF(VLOOKUP(AM182,'G-7 WaterC'' Data'!$AO$4:$BO$7,2,FALSE)=0,"Spatial Data Missing ⚠",VLOOKUP(AM182,'G-7 WaterC'' Data'!$AO$4:$BO$7,2,FALSE)))</f>
        <v/>
      </c>
      <c r="AO182" s="317" t="str">
        <f t="shared" si="29"/>
        <v/>
      </c>
      <c r="AP182" s="317" t="str">
        <f t="shared" si="30"/>
        <v/>
      </c>
      <c r="AQ182" s="101"/>
      <c r="AR182" s="115"/>
      <c r="AS182" s="104"/>
      <c r="AT182" s="104"/>
      <c r="AW182" s="30" t="str">
        <f>IF(E182="","",VLOOKUP($B182,'F-1 Off-Site WaterC'' Baseline'!$C$9:$Z$257,12,FALSE))</f>
        <v/>
      </c>
      <c r="AX182" s="30" t="str">
        <f>IF(E182="","",VLOOKUP($B182,'F-1 Off-Site WaterC'' Baseline'!$C$9:$Z$257,14,FALSE))</f>
        <v/>
      </c>
      <c r="AY182" s="30" t="str">
        <f>IFERROR(INDEX('G-7 WaterC'' Data'!$AZ$3:$AZ$7,MATCH(N182,'G-7 WaterC'' Data'!$AY$3:$AY$7,0)),"")</f>
        <v/>
      </c>
      <c r="AZ182" s="30" t="str">
        <f>IF(B182="","",IF(ISNA(VLOOKUP($B182,'F-1 Off-Site WaterC'' Baseline'!$C$8:$AD$257,20,FALSE)),"",(VLOOKUP($B182,'F-1 Off-Site WaterC'' Baseline'!$C$8:$AD$257,20,FALSE))))</f>
        <v/>
      </c>
      <c r="BC182" s="30" t="str">
        <f>IF(B182="","",VLOOKUP($B182,'F-1 Off-Site WaterC'' Baseline'!$C$9:$AB$257,25,FALSE))</f>
        <v/>
      </c>
      <c r="BD182" s="30" t="str">
        <f t="shared" si="31"/>
        <v/>
      </c>
      <c r="BE182" s="30" t="str">
        <f>IF(B182="","",VLOOKUP($B182,'F-1 Off-Site WaterC'' Baseline'!$C$9:$AB$257,24,FALSE))</f>
        <v/>
      </c>
      <c r="BF182" s="30" t="str">
        <f>IF(B182="","",VLOOKUP($B182,'F-1 Off-Site WaterC'' Baseline'!$C$9:$AB$257,22,FALSE))</f>
        <v/>
      </c>
      <c r="BJ182" s="30" t="str">
        <f t="shared" si="32"/>
        <v>No</v>
      </c>
    </row>
    <row r="183" spans="2:62" ht="14">
      <c r="B183" s="305" t="str">
        <f>'F-1 Off-Site WaterC'' Baseline'!AS181</f>
        <v/>
      </c>
      <c r="C183" s="295" t="str">
        <f>IF(B183="","",VLOOKUP($B183,'F-1 Off-Site WaterC'' Baseline'!$C$9:$R$257,2,FALSE))</f>
        <v/>
      </c>
      <c r="D183" s="295" t="str">
        <f>IF(C183="","",VLOOKUP($B183,'F-1 Off-Site WaterC'' Baseline'!$C$9:$R$257,3,FALSE))</f>
        <v/>
      </c>
      <c r="E183" s="295" t="str">
        <f>IF(D183="","",VLOOKUP($B183,'F-1 Off-Site WaterC'' Baseline'!$C$9:$R$257,4,FALSE))</f>
        <v/>
      </c>
      <c r="F183" s="295" t="str">
        <f>IF(E183="","",VLOOKUP($B183,'F-1 Off-Site WaterC'' Baseline'!$C$9:$R$257,5,FALSE))</f>
        <v/>
      </c>
      <c r="G183" s="295" t="str">
        <f>IF(F183="","",VLOOKUP($B183,'F-1 Off-Site WaterC'' Baseline'!$C$9:$R$257,6,FALSE))</f>
        <v/>
      </c>
      <c r="H183" s="295" t="str">
        <f>IF(G183="","",VLOOKUP($B183,'F-1 Off-Site WaterC'' Baseline'!$C$9:$R$257,7,FALSE))</f>
        <v/>
      </c>
      <c r="I183" s="295" t="str">
        <f>IF(H183="","",VLOOKUP($B183,'F-1 Off-Site WaterC'' Baseline'!$C$9:$R$257,8,FALSE))</f>
        <v/>
      </c>
      <c r="J183" s="295" t="str">
        <f>IF(I183="","",VLOOKUP($B183,'F-1 Off-Site WaterC'' Baseline'!$C$9:$R$257,9,FALSE))</f>
        <v/>
      </c>
      <c r="K183" s="295" t="str">
        <f>IF(J183="","",VLOOKUP($B183,'F-1 Off-Site WaterC'' Baseline'!$C$9:$R$257,10,FALSE))</f>
        <v/>
      </c>
      <c r="L183" s="283" t="str">
        <f>IF(B183="","",VLOOKUP($B183,'F-1 Off-Site WaterC'' Baseline'!$C$9:$R$257,15,FALSE))</f>
        <v/>
      </c>
      <c r="M183" s="299" t="str">
        <f>IF(L183="","",VLOOKUP($B183,'F-1 Off-Site WaterC'' Baseline'!$C$9:$V$257,19,FALSE))</f>
        <v/>
      </c>
      <c r="N183" s="244"/>
      <c r="O183" s="275" t="str">
        <f t="shared" si="25"/>
        <v/>
      </c>
      <c r="P183" s="276" t="str">
        <f t="shared" si="26"/>
        <v/>
      </c>
      <c r="Q183" s="281" t="str">
        <f>IF(N183="","",VLOOKUP(B183,'F-1 Off-Site WaterC'' Baseline'!$C$10:$AF$257,23,FALSE))</f>
        <v/>
      </c>
      <c r="R183" s="275" t="str">
        <f>IF(N183="","",VLOOKUP(N183,'G-7 WaterC'' Data'!$B$2:$G$8,2,FALSE))</f>
        <v/>
      </c>
      <c r="S183" s="276" t="str">
        <f>IFERROR(VLOOKUP(R183,'G-7 WaterC'' Data'!$C$4:$D$8,2,FALSE),"")</f>
        <v/>
      </c>
      <c r="T183" s="101"/>
      <c r="U183" s="276" t="str">
        <f>IFERROR(INDEX('G-7 WaterC'' Data'!$H$4:$L$8,MATCH(N183,'G-7 WaterC'' Data'!$B$4:$B$8,0),MATCH(T183,'G-7 WaterC'' Data'!$H$3:$L$3,0)),"")</f>
        <v/>
      </c>
      <c r="V183" s="105"/>
      <c r="W183" s="295" t="str">
        <f>IF(V183="","",IF(VLOOKUP(V183,'G-7 WaterC'' Data'!$AK$4:$AM$6,2,FALSE)=0,"Spatial Data Missing ⚠",VLOOKUP(V183,'G-7 WaterC'' Data'!$AK$4:$AM$6,2,FALSE)))</f>
        <v/>
      </c>
      <c r="X183" s="299" t="str">
        <f>IF(V183="","",IF(VLOOKUP(V183,'G-7 WaterC'' Data'!$AK$4:$AM$6,3,FALSE)=0,"Spatial Data Missing ⚠",VLOOKUP(V183,'G-7 WaterC'' Data'!$AK$4:$AM$6,3,FALSE)))</f>
        <v/>
      </c>
      <c r="Y183" s="311" t="str">
        <f>IFERROR(IF(OR(LEFT(P183,5)="Error",LEFT(O183,5)="Error"),"Check Data ⚠",IF(F183&lt;S183,'G-7 WaterC'' Data'!$R$3,INDEX('G-7 WaterC'' Data'!$U$5:$Y$9,MATCH(G183,'G-7 WaterC'' Data'!$T$5:$T$9,0),MATCH(T183,'G-7 WaterC'' Data'!$U$4:$Y$4,0)))),"")</f>
        <v/>
      </c>
      <c r="Z183" s="138"/>
      <c r="AA183" s="138"/>
      <c r="AB183" s="308" t="str">
        <f t="shared" si="22"/>
        <v/>
      </c>
      <c r="AC183" s="296" t="str">
        <f t="shared" si="27"/>
        <v/>
      </c>
      <c r="AD183" s="334" t="str">
        <f>IFERROR(IF(AC183="Check Data ⚠","Check Data ⚠",VLOOKUP(AC183,'G-4 Temporal multipliers'!$A$4:$C$37,3,FALSE)),"")</f>
        <v/>
      </c>
      <c r="AE183" s="311" t="str">
        <f>IF(N183="","",VLOOKUP(N183,'G-7 WaterC'' Data'!$B$4:$G$8,5,FALSE))</f>
        <v/>
      </c>
      <c r="AF183" s="295" t="str">
        <f t="shared" si="23"/>
        <v/>
      </c>
      <c r="AG183" s="295" t="str">
        <f t="shared" si="28"/>
        <v/>
      </c>
      <c r="AH183" s="276" t="str">
        <f t="shared" si="24"/>
        <v/>
      </c>
      <c r="AI183" s="105"/>
      <c r="AJ183" s="276" t="str">
        <f>IF(AI183="","",(IF(AND(AI183="N/A - Culvert",N183&lt;&gt;"Culvert"),"Not possible ▲",IF(VLOOKUP(AI183,'G-7 WaterC'' Data'!$AA$4:$AB$7,2,FALSE)=0,"Spatial Data Missing ⚠",VLOOKUP(AI183,'G-7 WaterC'' Data'!$AA$4:$AB$7,2,FALSE)))))</f>
        <v/>
      </c>
      <c r="AK183" s="106"/>
      <c r="AL183" s="310" t="str">
        <f>IF(AK183="","",IF(AND(AK183="N/A - Culvert",N183&lt;&gt;"Culvert"),"Not possible ▲",IF(VLOOKUP(AK183,'G-7 WaterC'' Data'!$AD$4:$AE$14,2,FALSE)=0,"Spatial Data Missing ⚠",VLOOKUP(AK183,'G-7 WaterC'' Data'!$AD$4:$AE$14,2,FALSE))))</f>
        <v/>
      </c>
      <c r="AM183" s="275" t="str">
        <f>IF(B183="","",VLOOKUP($B183,'F-1 Off-Site WaterC'' Baseline'!$C$9:$Z$257,17,FALSE))</f>
        <v/>
      </c>
      <c r="AN183" s="276" t="str">
        <f>IF(AM183="","",IF(VLOOKUP(AM183,'G-7 WaterC'' Data'!$AO$4:$BO$7,2,FALSE)=0,"Spatial Data Missing ⚠",VLOOKUP(AM183,'G-7 WaterC'' Data'!$AO$4:$BO$7,2,FALSE)))</f>
        <v/>
      </c>
      <c r="AO183" s="317" t="str">
        <f t="shared" si="29"/>
        <v/>
      </c>
      <c r="AP183" s="317" t="str">
        <f t="shared" si="30"/>
        <v/>
      </c>
      <c r="AQ183" s="101"/>
      <c r="AR183" s="115"/>
      <c r="AS183" s="104"/>
      <c r="AT183" s="104"/>
      <c r="AW183" s="30" t="str">
        <f>IF(E183="","",VLOOKUP($B183,'F-1 Off-Site WaterC'' Baseline'!$C$9:$Z$257,12,FALSE))</f>
        <v/>
      </c>
      <c r="AX183" s="30" t="str">
        <f>IF(E183="","",VLOOKUP($B183,'F-1 Off-Site WaterC'' Baseline'!$C$9:$Z$257,14,FALSE))</f>
        <v/>
      </c>
      <c r="AY183" s="30" t="str">
        <f>IFERROR(INDEX('G-7 WaterC'' Data'!$AZ$3:$AZ$7,MATCH(N183,'G-7 WaterC'' Data'!$AY$3:$AY$7,0)),"")</f>
        <v/>
      </c>
      <c r="AZ183" s="30" t="str">
        <f>IF(B183="","",IF(ISNA(VLOOKUP($B183,'F-1 Off-Site WaterC'' Baseline'!$C$8:$AD$257,20,FALSE)),"",(VLOOKUP($B183,'F-1 Off-Site WaterC'' Baseline'!$C$8:$AD$257,20,FALSE))))</f>
        <v/>
      </c>
      <c r="BC183" s="30" t="str">
        <f>IF(B183="","",VLOOKUP($B183,'F-1 Off-Site WaterC'' Baseline'!$C$9:$AB$257,25,FALSE))</f>
        <v/>
      </c>
      <c r="BD183" s="30" t="str">
        <f t="shared" si="31"/>
        <v/>
      </c>
      <c r="BE183" s="30" t="str">
        <f>IF(B183="","",VLOOKUP($B183,'F-1 Off-Site WaterC'' Baseline'!$C$9:$AB$257,24,FALSE))</f>
        <v/>
      </c>
      <c r="BF183" s="30" t="str">
        <f>IF(B183="","",VLOOKUP($B183,'F-1 Off-Site WaterC'' Baseline'!$C$9:$AB$257,22,FALSE))</f>
        <v/>
      </c>
      <c r="BJ183" s="30" t="str">
        <f t="shared" si="32"/>
        <v>No</v>
      </c>
    </row>
    <row r="184" spans="2:62" ht="14">
      <c r="B184" s="305" t="str">
        <f>'F-1 Off-Site WaterC'' Baseline'!AS182</f>
        <v/>
      </c>
      <c r="C184" s="295" t="str">
        <f>IF(B184="","",VLOOKUP($B184,'F-1 Off-Site WaterC'' Baseline'!$C$9:$R$257,2,FALSE))</f>
        <v/>
      </c>
      <c r="D184" s="295" t="str">
        <f>IF(C184="","",VLOOKUP($B184,'F-1 Off-Site WaterC'' Baseline'!$C$9:$R$257,3,FALSE))</f>
        <v/>
      </c>
      <c r="E184" s="295" t="str">
        <f>IF(D184="","",VLOOKUP($B184,'F-1 Off-Site WaterC'' Baseline'!$C$9:$R$257,4,FALSE))</f>
        <v/>
      </c>
      <c r="F184" s="295" t="str">
        <f>IF(E184="","",VLOOKUP($B184,'F-1 Off-Site WaterC'' Baseline'!$C$9:$R$257,5,FALSE))</f>
        <v/>
      </c>
      <c r="G184" s="295" t="str">
        <f>IF(F184="","",VLOOKUP($B184,'F-1 Off-Site WaterC'' Baseline'!$C$9:$R$257,6,FALSE))</f>
        <v/>
      </c>
      <c r="H184" s="295" t="str">
        <f>IF(G184="","",VLOOKUP($B184,'F-1 Off-Site WaterC'' Baseline'!$C$9:$R$257,7,FALSE))</f>
        <v/>
      </c>
      <c r="I184" s="295" t="str">
        <f>IF(H184="","",VLOOKUP($B184,'F-1 Off-Site WaterC'' Baseline'!$C$9:$R$257,8,FALSE))</f>
        <v/>
      </c>
      <c r="J184" s="295" t="str">
        <f>IF(I184="","",VLOOKUP($B184,'F-1 Off-Site WaterC'' Baseline'!$C$9:$R$257,9,FALSE))</f>
        <v/>
      </c>
      <c r="K184" s="295" t="str">
        <f>IF(J184="","",VLOOKUP($B184,'F-1 Off-Site WaterC'' Baseline'!$C$9:$R$257,10,FALSE))</f>
        <v/>
      </c>
      <c r="L184" s="283" t="str">
        <f>IF(B184="","",VLOOKUP($B184,'F-1 Off-Site WaterC'' Baseline'!$C$9:$R$257,15,FALSE))</f>
        <v/>
      </c>
      <c r="M184" s="299" t="str">
        <f>IF(L184="","",VLOOKUP($B184,'F-1 Off-Site WaterC'' Baseline'!$C$9:$V$257,19,FALSE))</f>
        <v/>
      </c>
      <c r="N184" s="244"/>
      <c r="O184" s="275" t="str">
        <f t="shared" si="25"/>
        <v/>
      </c>
      <c r="P184" s="276" t="str">
        <f t="shared" si="26"/>
        <v/>
      </c>
      <c r="Q184" s="281" t="str">
        <f>IF(N184="","",VLOOKUP(B184,'F-1 Off-Site WaterC'' Baseline'!$C$10:$AF$257,23,FALSE))</f>
        <v/>
      </c>
      <c r="R184" s="275" t="str">
        <f>IF(N184="","",VLOOKUP(N184,'G-7 WaterC'' Data'!$B$2:$G$8,2,FALSE))</f>
        <v/>
      </c>
      <c r="S184" s="276" t="str">
        <f>IFERROR(VLOOKUP(R184,'G-7 WaterC'' Data'!$C$4:$D$8,2,FALSE),"")</f>
        <v/>
      </c>
      <c r="T184" s="101"/>
      <c r="U184" s="276" t="str">
        <f>IFERROR(INDEX('G-7 WaterC'' Data'!$H$4:$L$8,MATCH(N184,'G-7 WaterC'' Data'!$B$4:$B$8,0),MATCH(T184,'G-7 WaterC'' Data'!$H$3:$L$3,0)),"")</f>
        <v/>
      </c>
      <c r="V184" s="105"/>
      <c r="W184" s="295" t="str">
        <f>IF(V184="","",IF(VLOOKUP(V184,'G-7 WaterC'' Data'!$AK$4:$AM$6,2,FALSE)=0,"Spatial Data Missing ⚠",VLOOKUP(V184,'G-7 WaterC'' Data'!$AK$4:$AM$6,2,FALSE)))</f>
        <v/>
      </c>
      <c r="X184" s="299" t="str">
        <f>IF(V184="","",IF(VLOOKUP(V184,'G-7 WaterC'' Data'!$AK$4:$AM$6,3,FALSE)=0,"Spatial Data Missing ⚠",VLOOKUP(V184,'G-7 WaterC'' Data'!$AK$4:$AM$6,3,FALSE)))</f>
        <v/>
      </c>
      <c r="Y184" s="311" t="str">
        <f>IFERROR(IF(OR(LEFT(P184,5)="Error",LEFT(O184,5)="Error"),"Check Data ⚠",IF(F184&lt;S184,'G-7 WaterC'' Data'!$R$3,INDEX('G-7 WaterC'' Data'!$U$5:$Y$9,MATCH(G184,'G-7 WaterC'' Data'!$T$5:$T$9,0),MATCH(T184,'G-7 WaterC'' Data'!$U$4:$Y$4,0)))),"")</f>
        <v/>
      </c>
      <c r="Z184" s="138"/>
      <c r="AA184" s="138"/>
      <c r="AB184" s="308" t="str">
        <f t="shared" si="22"/>
        <v/>
      </c>
      <c r="AC184" s="296" t="str">
        <f t="shared" si="27"/>
        <v/>
      </c>
      <c r="AD184" s="334" t="str">
        <f>IFERROR(IF(AC184="Check Data ⚠","Check Data ⚠",VLOOKUP(AC184,'G-4 Temporal multipliers'!$A$4:$C$37,3,FALSE)),"")</f>
        <v/>
      </c>
      <c r="AE184" s="311" t="str">
        <f>IF(N184="","",VLOOKUP(N184,'G-7 WaterC'' Data'!$B$4:$G$8,5,FALSE))</f>
        <v/>
      </c>
      <c r="AF184" s="295" t="str">
        <f t="shared" si="23"/>
        <v/>
      </c>
      <c r="AG184" s="295" t="str">
        <f t="shared" si="28"/>
        <v/>
      </c>
      <c r="AH184" s="276" t="str">
        <f t="shared" si="24"/>
        <v/>
      </c>
      <c r="AI184" s="105"/>
      <c r="AJ184" s="276" t="str">
        <f>IF(AI184="","",(IF(AND(AI184="N/A - Culvert",N184&lt;&gt;"Culvert"),"Not possible ▲",IF(VLOOKUP(AI184,'G-7 WaterC'' Data'!$AA$4:$AB$7,2,FALSE)=0,"Spatial Data Missing ⚠",VLOOKUP(AI184,'G-7 WaterC'' Data'!$AA$4:$AB$7,2,FALSE)))))</f>
        <v/>
      </c>
      <c r="AK184" s="106"/>
      <c r="AL184" s="310" t="str">
        <f>IF(AK184="","",IF(AND(AK184="N/A - Culvert",N184&lt;&gt;"Culvert"),"Not possible ▲",IF(VLOOKUP(AK184,'G-7 WaterC'' Data'!$AD$4:$AE$14,2,FALSE)=0,"Spatial Data Missing ⚠",VLOOKUP(AK184,'G-7 WaterC'' Data'!$AD$4:$AE$14,2,FALSE))))</f>
        <v/>
      </c>
      <c r="AM184" s="275" t="str">
        <f>IF(B184="","",VLOOKUP($B184,'F-1 Off-Site WaterC'' Baseline'!$C$9:$Z$257,17,FALSE))</f>
        <v/>
      </c>
      <c r="AN184" s="276" t="str">
        <f>IF(AM184="","",IF(VLOOKUP(AM184,'G-7 WaterC'' Data'!$AO$4:$BO$7,2,FALSE)=0,"Spatial Data Missing ⚠",VLOOKUP(AM184,'G-7 WaterC'' Data'!$AO$4:$BO$7,2,FALSE)))</f>
        <v/>
      </c>
      <c r="AO184" s="317" t="str">
        <f t="shared" si="29"/>
        <v/>
      </c>
      <c r="AP184" s="317" t="str">
        <f t="shared" si="30"/>
        <v/>
      </c>
      <c r="AQ184" s="101"/>
      <c r="AR184" s="115"/>
      <c r="AS184" s="104"/>
      <c r="AT184" s="104"/>
      <c r="AW184" s="30" t="str">
        <f>IF(E184="","",VLOOKUP($B184,'F-1 Off-Site WaterC'' Baseline'!$C$9:$Z$257,12,FALSE))</f>
        <v/>
      </c>
      <c r="AX184" s="30" t="str">
        <f>IF(E184="","",VLOOKUP($B184,'F-1 Off-Site WaterC'' Baseline'!$C$9:$Z$257,14,FALSE))</f>
        <v/>
      </c>
      <c r="AY184" s="30" t="str">
        <f>IFERROR(INDEX('G-7 WaterC'' Data'!$AZ$3:$AZ$7,MATCH(N184,'G-7 WaterC'' Data'!$AY$3:$AY$7,0)),"")</f>
        <v/>
      </c>
      <c r="AZ184" s="30" t="str">
        <f>IF(B184="","",IF(ISNA(VLOOKUP($B184,'F-1 Off-Site WaterC'' Baseline'!$C$8:$AD$257,20,FALSE)),"",(VLOOKUP($B184,'F-1 Off-Site WaterC'' Baseline'!$C$8:$AD$257,20,FALSE))))</f>
        <v/>
      </c>
      <c r="BC184" s="30" t="str">
        <f>IF(B184="","",VLOOKUP($B184,'F-1 Off-Site WaterC'' Baseline'!$C$9:$AB$257,25,FALSE))</f>
        <v/>
      </c>
      <c r="BD184" s="30" t="str">
        <f t="shared" si="31"/>
        <v/>
      </c>
      <c r="BE184" s="30" t="str">
        <f>IF(B184="","",VLOOKUP($B184,'F-1 Off-Site WaterC'' Baseline'!$C$9:$AB$257,24,FALSE))</f>
        <v/>
      </c>
      <c r="BF184" s="30" t="str">
        <f>IF(B184="","",VLOOKUP($B184,'F-1 Off-Site WaterC'' Baseline'!$C$9:$AB$257,22,FALSE))</f>
        <v/>
      </c>
      <c r="BJ184" s="30" t="str">
        <f t="shared" si="32"/>
        <v>No</v>
      </c>
    </row>
    <row r="185" spans="2:62" ht="14">
      <c r="B185" s="305" t="str">
        <f>'F-1 Off-Site WaterC'' Baseline'!AS183</f>
        <v/>
      </c>
      <c r="C185" s="295" t="str">
        <f>IF(B185="","",VLOOKUP($B185,'F-1 Off-Site WaterC'' Baseline'!$C$9:$R$257,2,FALSE))</f>
        <v/>
      </c>
      <c r="D185" s="295" t="str">
        <f>IF(C185="","",VLOOKUP($B185,'F-1 Off-Site WaterC'' Baseline'!$C$9:$R$257,3,FALSE))</f>
        <v/>
      </c>
      <c r="E185" s="295" t="str">
        <f>IF(D185="","",VLOOKUP($B185,'F-1 Off-Site WaterC'' Baseline'!$C$9:$R$257,4,FALSE))</f>
        <v/>
      </c>
      <c r="F185" s="295" t="str">
        <f>IF(E185="","",VLOOKUP($B185,'F-1 Off-Site WaterC'' Baseline'!$C$9:$R$257,5,FALSE))</f>
        <v/>
      </c>
      <c r="G185" s="295" t="str">
        <f>IF(F185="","",VLOOKUP($B185,'F-1 Off-Site WaterC'' Baseline'!$C$9:$R$257,6,FALSE))</f>
        <v/>
      </c>
      <c r="H185" s="295" t="str">
        <f>IF(G185="","",VLOOKUP($B185,'F-1 Off-Site WaterC'' Baseline'!$C$9:$R$257,7,FALSE))</f>
        <v/>
      </c>
      <c r="I185" s="295" t="str">
        <f>IF(H185="","",VLOOKUP($B185,'F-1 Off-Site WaterC'' Baseline'!$C$9:$R$257,8,FALSE))</f>
        <v/>
      </c>
      <c r="J185" s="295" t="str">
        <f>IF(I185="","",VLOOKUP($B185,'F-1 Off-Site WaterC'' Baseline'!$C$9:$R$257,9,FALSE))</f>
        <v/>
      </c>
      <c r="K185" s="295" t="str">
        <f>IF(J185="","",VLOOKUP($B185,'F-1 Off-Site WaterC'' Baseline'!$C$9:$R$257,10,FALSE))</f>
        <v/>
      </c>
      <c r="L185" s="283" t="str">
        <f>IF(B185="","",VLOOKUP($B185,'F-1 Off-Site WaterC'' Baseline'!$C$9:$R$257,15,FALSE))</f>
        <v/>
      </c>
      <c r="M185" s="299" t="str">
        <f>IF(L185="","",VLOOKUP($B185,'F-1 Off-Site WaterC'' Baseline'!$C$9:$V$257,19,FALSE))</f>
        <v/>
      </c>
      <c r="N185" s="244"/>
      <c r="O185" s="275" t="str">
        <f t="shared" si="25"/>
        <v/>
      </c>
      <c r="P185" s="276" t="str">
        <f t="shared" si="26"/>
        <v/>
      </c>
      <c r="Q185" s="281" t="str">
        <f>IF(N185="","",VLOOKUP(B185,'F-1 Off-Site WaterC'' Baseline'!$C$10:$AF$257,23,FALSE))</f>
        <v/>
      </c>
      <c r="R185" s="275" t="str">
        <f>IF(N185="","",VLOOKUP(N185,'G-7 WaterC'' Data'!$B$2:$G$8,2,FALSE))</f>
        <v/>
      </c>
      <c r="S185" s="276" t="str">
        <f>IFERROR(VLOOKUP(R185,'G-7 WaterC'' Data'!$C$4:$D$8,2,FALSE),"")</f>
        <v/>
      </c>
      <c r="T185" s="101"/>
      <c r="U185" s="276" t="str">
        <f>IFERROR(INDEX('G-7 WaterC'' Data'!$H$4:$L$8,MATCH(N185,'G-7 WaterC'' Data'!$B$4:$B$8,0),MATCH(T185,'G-7 WaterC'' Data'!$H$3:$L$3,0)),"")</f>
        <v/>
      </c>
      <c r="V185" s="105"/>
      <c r="W185" s="295" t="str">
        <f>IF(V185="","",IF(VLOOKUP(V185,'G-7 WaterC'' Data'!$AK$4:$AM$6,2,FALSE)=0,"Spatial Data Missing ⚠",VLOOKUP(V185,'G-7 WaterC'' Data'!$AK$4:$AM$6,2,FALSE)))</f>
        <v/>
      </c>
      <c r="X185" s="299" t="str">
        <f>IF(V185="","",IF(VLOOKUP(V185,'G-7 WaterC'' Data'!$AK$4:$AM$6,3,FALSE)=0,"Spatial Data Missing ⚠",VLOOKUP(V185,'G-7 WaterC'' Data'!$AK$4:$AM$6,3,FALSE)))</f>
        <v/>
      </c>
      <c r="Y185" s="311" t="str">
        <f>IFERROR(IF(OR(LEFT(P185,5)="Error",LEFT(O185,5)="Error"),"Check Data ⚠",IF(F185&lt;S185,'G-7 WaterC'' Data'!$R$3,INDEX('G-7 WaterC'' Data'!$U$5:$Y$9,MATCH(G185,'G-7 WaterC'' Data'!$T$5:$T$9,0),MATCH(T185,'G-7 WaterC'' Data'!$U$4:$Y$4,0)))),"")</f>
        <v/>
      </c>
      <c r="Z185" s="138"/>
      <c r="AA185" s="138"/>
      <c r="AB185" s="308" t="str">
        <f t="shared" si="22"/>
        <v/>
      </c>
      <c r="AC185" s="296" t="str">
        <f t="shared" si="27"/>
        <v/>
      </c>
      <c r="AD185" s="334" t="str">
        <f>IFERROR(IF(AC185="Check Data ⚠","Check Data ⚠",VLOOKUP(AC185,'G-4 Temporal multipliers'!$A$4:$C$37,3,FALSE)),"")</f>
        <v/>
      </c>
      <c r="AE185" s="311" t="str">
        <f>IF(N185="","",VLOOKUP(N185,'G-7 WaterC'' Data'!$B$4:$G$8,5,FALSE))</f>
        <v/>
      </c>
      <c r="AF185" s="295" t="str">
        <f t="shared" si="23"/>
        <v/>
      </c>
      <c r="AG185" s="295" t="str">
        <f t="shared" si="28"/>
        <v/>
      </c>
      <c r="AH185" s="276" t="str">
        <f t="shared" si="24"/>
        <v/>
      </c>
      <c r="AI185" s="105"/>
      <c r="AJ185" s="276" t="str">
        <f>IF(AI185="","",(IF(AND(AI185="N/A - Culvert",N185&lt;&gt;"Culvert"),"Not possible ▲",IF(VLOOKUP(AI185,'G-7 WaterC'' Data'!$AA$4:$AB$7,2,FALSE)=0,"Spatial Data Missing ⚠",VLOOKUP(AI185,'G-7 WaterC'' Data'!$AA$4:$AB$7,2,FALSE)))))</f>
        <v/>
      </c>
      <c r="AK185" s="106"/>
      <c r="AL185" s="310" t="str">
        <f>IF(AK185="","",IF(AND(AK185="N/A - Culvert",N185&lt;&gt;"Culvert"),"Not possible ▲",IF(VLOOKUP(AK185,'G-7 WaterC'' Data'!$AD$4:$AE$14,2,FALSE)=0,"Spatial Data Missing ⚠",VLOOKUP(AK185,'G-7 WaterC'' Data'!$AD$4:$AE$14,2,FALSE))))</f>
        <v/>
      </c>
      <c r="AM185" s="275" t="str">
        <f>IF(B185="","",VLOOKUP($B185,'F-1 Off-Site WaterC'' Baseline'!$C$9:$Z$257,17,FALSE))</f>
        <v/>
      </c>
      <c r="AN185" s="276" t="str">
        <f>IF(AM185="","",IF(VLOOKUP(AM185,'G-7 WaterC'' Data'!$AO$4:$BO$7,2,FALSE)=0,"Spatial Data Missing ⚠",VLOOKUP(AM185,'G-7 WaterC'' Data'!$AO$4:$BO$7,2,FALSE)))</f>
        <v/>
      </c>
      <c r="AO185" s="317" t="str">
        <f t="shared" si="29"/>
        <v/>
      </c>
      <c r="AP185" s="317" t="str">
        <f t="shared" si="30"/>
        <v/>
      </c>
      <c r="AQ185" s="101"/>
      <c r="AR185" s="115"/>
      <c r="AS185" s="104"/>
      <c r="AT185" s="104"/>
      <c r="AW185" s="30" t="str">
        <f>IF(E185="","",VLOOKUP($B185,'F-1 Off-Site WaterC'' Baseline'!$C$9:$Z$257,12,FALSE))</f>
        <v/>
      </c>
      <c r="AX185" s="30" t="str">
        <f>IF(E185="","",VLOOKUP($B185,'F-1 Off-Site WaterC'' Baseline'!$C$9:$Z$257,14,FALSE))</f>
        <v/>
      </c>
      <c r="AY185" s="30" t="str">
        <f>IFERROR(INDEX('G-7 WaterC'' Data'!$AZ$3:$AZ$7,MATCH(N185,'G-7 WaterC'' Data'!$AY$3:$AY$7,0)),"")</f>
        <v/>
      </c>
      <c r="AZ185" s="30" t="str">
        <f>IF(B185="","",IF(ISNA(VLOOKUP($B185,'F-1 Off-Site WaterC'' Baseline'!$C$8:$AD$257,20,FALSE)),"",(VLOOKUP($B185,'F-1 Off-Site WaterC'' Baseline'!$C$8:$AD$257,20,FALSE))))</f>
        <v/>
      </c>
      <c r="BC185" s="30" t="str">
        <f>IF(B185="","",VLOOKUP($B185,'F-1 Off-Site WaterC'' Baseline'!$C$9:$AB$257,25,FALSE))</f>
        <v/>
      </c>
      <c r="BD185" s="30" t="str">
        <f t="shared" si="31"/>
        <v/>
      </c>
      <c r="BE185" s="30" t="str">
        <f>IF(B185="","",VLOOKUP($B185,'F-1 Off-Site WaterC'' Baseline'!$C$9:$AB$257,24,FALSE))</f>
        <v/>
      </c>
      <c r="BF185" s="30" t="str">
        <f>IF(B185="","",VLOOKUP($B185,'F-1 Off-Site WaterC'' Baseline'!$C$9:$AB$257,22,FALSE))</f>
        <v/>
      </c>
      <c r="BJ185" s="30" t="str">
        <f t="shared" si="32"/>
        <v>No</v>
      </c>
    </row>
    <row r="186" spans="2:62" ht="14">
      <c r="B186" s="305" t="str">
        <f>'F-1 Off-Site WaterC'' Baseline'!AS184</f>
        <v/>
      </c>
      <c r="C186" s="295" t="str">
        <f>IF(B186="","",VLOOKUP($B186,'F-1 Off-Site WaterC'' Baseline'!$C$9:$R$257,2,FALSE))</f>
        <v/>
      </c>
      <c r="D186" s="295" t="str">
        <f>IF(C186="","",VLOOKUP($B186,'F-1 Off-Site WaterC'' Baseline'!$C$9:$R$257,3,FALSE))</f>
        <v/>
      </c>
      <c r="E186" s="295" t="str">
        <f>IF(D186="","",VLOOKUP($B186,'F-1 Off-Site WaterC'' Baseline'!$C$9:$R$257,4,FALSE))</f>
        <v/>
      </c>
      <c r="F186" s="295" t="str">
        <f>IF(E186="","",VLOOKUP($B186,'F-1 Off-Site WaterC'' Baseline'!$C$9:$R$257,5,FALSE))</f>
        <v/>
      </c>
      <c r="G186" s="295" t="str">
        <f>IF(F186="","",VLOOKUP($B186,'F-1 Off-Site WaterC'' Baseline'!$C$9:$R$257,6,FALSE))</f>
        <v/>
      </c>
      <c r="H186" s="295" t="str">
        <f>IF(G186="","",VLOOKUP($B186,'F-1 Off-Site WaterC'' Baseline'!$C$9:$R$257,7,FALSE))</f>
        <v/>
      </c>
      <c r="I186" s="295" t="str">
        <f>IF(H186="","",VLOOKUP($B186,'F-1 Off-Site WaterC'' Baseline'!$C$9:$R$257,8,FALSE))</f>
        <v/>
      </c>
      <c r="J186" s="295" t="str">
        <f>IF(I186="","",VLOOKUP($B186,'F-1 Off-Site WaterC'' Baseline'!$C$9:$R$257,9,FALSE))</f>
        <v/>
      </c>
      <c r="K186" s="295" t="str">
        <f>IF(J186="","",VLOOKUP($B186,'F-1 Off-Site WaterC'' Baseline'!$C$9:$R$257,10,FALSE))</f>
        <v/>
      </c>
      <c r="L186" s="283" t="str">
        <f>IF(B186="","",VLOOKUP($B186,'F-1 Off-Site WaterC'' Baseline'!$C$9:$R$257,15,FALSE))</f>
        <v/>
      </c>
      <c r="M186" s="299" t="str">
        <f>IF(L186="","",VLOOKUP($B186,'F-1 Off-Site WaterC'' Baseline'!$C$9:$V$257,19,FALSE))</f>
        <v/>
      </c>
      <c r="N186" s="244"/>
      <c r="O186" s="275" t="str">
        <f t="shared" si="25"/>
        <v/>
      </c>
      <c r="P186" s="276" t="str">
        <f t="shared" si="26"/>
        <v/>
      </c>
      <c r="Q186" s="281" t="str">
        <f>IF(N186="","",VLOOKUP(B186,'F-1 Off-Site WaterC'' Baseline'!$C$10:$AF$257,23,FALSE))</f>
        <v/>
      </c>
      <c r="R186" s="275" t="str">
        <f>IF(N186="","",VLOOKUP(N186,'G-7 WaterC'' Data'!$B$2:$G$8,2,FALSE))</f>
        <v/>
      </c>
      <c r="S186" s="276" t="str">
        <f>IFERROR(VLOOKUP(R186,'G-7 WaterC'' Data'!$C$4:$D$8,2,FALSE),"")</f>
        <v/>
      </c>
      <c r="T186" s="101"/>
      <c r="U186" s="276" t="str">
        <f>IFERROR(INDEX('G-7 WaterC'' Data'!$H$4:$L$8,MATCH(N186,'G-7 WaterC'' Data'!$B$4:$B$8,0),MATCH(T186,'G-7 WaterC'' Data'!$H$3:$L$3,0)),"")</f>
        <v/>
      </c>
      <c r="V186" s="105"/>
      <c r="W186" s="295" t="str">
        <f>IF(V186="","",IF(VLOOKUP(V186,'G-7 WaterC'' Data'!$AK$4:$AM$6,2,FALSE)=0,"Spatial Data Missing ⚠",VLOOKUP(V186,'G-7 WaterC'' Data'!$AK$4:$AM$6,2,FALSE)))</f>
        <v/>
      </c>
      <c r="X186" s="299" t="str">
        <f>IF(V186="","",IF(VLOOKUP(V186,'G-7 WaterC'' Data'!$AK$4:$AM$6,3,FALSE)=0,"Spatial Data Missing ⚠",VLOOKUP(V186,'G-7 WaterC'' Data'!$AK$4:$AM$6,3,FALSE)))</f>
        <v/>
      </c>
      <c r="Y186" s="311" t="str">
        <f>IFERROR(IF(OR(LEFT(P186,5)="Error",LEFT(O186,5)="Error"),"Check Data ⚠",IF(F186&lt;S186,'G-7 WaterC'' Data'!$R$3,INDEX('G-7 WaterC'' Data'!$U$5:$Y$9,MATCH(G186,'G-7 WaterC'' Data'!$T$5:$T$9,0),MATCH(T186,'G-7 WaterC'' Data'!$U$4:$Y$4,0)))),"")</f>
        <v/>
      </c>
      <c r="Z186" s="138"/>
      <c r="AA186" s="138"/>
      <c r="AB186" s="308" t="str">
        <f t="shared" si="22"/>
        <v/>
      </c>
      <c r="AC186" s="296" t="str">
        <f t="shared" si="27"/>
        <v/>
      </c>
      <c r="AD186" s="334" t="str">
        <f>IFERROR(IF(AC186="Check Data ⚠","Check Data ⚠",VLOOKUP(AC186,'G-4 Temporal multipliers'!$A$4:$C$37,3,FALSE)),"")</f>
        <v/>
      </c>
      <c r="AE186" s="311" t="str">
        <f>IF(N186="","",VLOOKUP(N186,'G-7 WaterC'' Data'!$B$4:$G$8,5,FALSE))</f>
        <v/>
      </c>
      <c r="AF186" s="295" t="str">
        <f t="shared" si="23"/>
        <v/>
      </c>
      <c r="AG186" s="295" t="str">
        <f t="shared" si="28"/>
        <v/>
      </c>
      <c r="AH186" s="276" t="str">
        <f t="shared" si="24"/>
        <v/>
      </c>
      <c r="AI186" s="105"/>
      <c r="AJ186" s="276" t="str">
        <f>IF(AI186="","",(IF(AND(AI186="N/A - Culvert",N186&lt;&gt;"Culvert"),"Not possible ▲",IF(VLOOKUP(AI186,'G-7 WaterC'' Data'!$AA$4:$AB$7,2,FALSE)=0,"Spatial Data Missing ⚠",VLOOKUP(AI186,'G-7 WaterC'' Data'!$AA$4:$AB$7,2,FALSE)))))</f>
        <v/>
      </c>
      <c r="AK186" s="106"/>
      <c r="AL186" s="310" t="str">
        <f>IF(AK186="","",IF(AND(AK186="N/A - Culvert",N186&lt;&gt;"Culvert"),"Not possible ▲",IF(VLOOKUP(AK186,'G-7 WaterC'' Data'!$AD$4:$AE$14,2,FALSE)=0,"Spatial Data Missing ⚠",VLOOKUP(AK186,'G-7 WaterC'' Data'!$AD$4:$AE$14,2,FALSE))))</f>
        <v/>
      </c>
      <c r="AM186" s="275" t="str">
        <f>IF(B186="","",VLOOKUP($B186,'F-1 Off-Site WaterC'' Baseline'!$C$9:$Z$257,17,FALSE))</f>
        <v/>
      </c>
      <c r="AN186" s="276" t="str">
        <f>IF(AM186="","",IF(VLOOKUP(AM186,'G-7 WaterC'' Data'!$AO$4:$BO$7,2,FALSE)=0,"Spatial Data Missing ⚠",VLOOKUP(AM186,'G-7 WaterC'' Data'!$AO$4:$BO$7,2,FALSE)))</f>
        <v/>
      </c>
      <c r="AO186" s="317" t="str">
        <f t="shared" si="29"/>
        <v/>
      </c>
      <c r="AP186" s="317" t="str">
        <f t="shared" si="30"/>
        <v/>
      </c>
      <c r="AQ186" s="101"/>
      <c r="AR186" s="115"/>
      <c r="AS186" s="104"/>
      <c r="AT186" s="104"/>
      <c r="AW186" s="30" t="str">
        <f>IF(E186="","",VLOOKUP($B186,'F-1 Off-Site WaterC'' Baseline'!$C$9:$Z$257,12,FALSE))</f>
        <v/>
      </c>
      <c r="AX186" s="30" t="str">
        <f>IF(E186="","",VLOOKUP($B186,'F-1 Off-Site WaterC'' Baseline'!$C$9:$Z$257,14,FALSE))</f>
        <v/>
      </c>
      <c r="AY186" s="30" t="str">
        <f>IFERROR(INDEX('G-7 WaterC'' Data'!$AZ$3:$AZ$7,MATCH(N186,'G-7 WaterC'' Data'!$AY$3:$AY$7,0)),"")</f>
        <v/>
      </c>
      <c r="AZ186" s="30" t="str">
        <f>IF(B186="","",IF(ISNA(VLOOKUP($B186,'F-1 Off-Site WaterC'' Baseline'!$C$8:$AD$257,20,FALSE)),"",(VLOOKUP($B186,'F-1 Off-Site WaterC'' Baseline'!$C$8:$AD$257,20,FALSE))))</f>
        <v/>
      </c>
      <c r="BC186" s="30" t="str">
        <f>IF(B186="","",VLOOKUP($B186,'F-1 Off-Site WaterC'' Baseline'!$C$9:$AB$257,25,FALSE))</f>
        <v/>
      </c>
      <c r="BD186" s="30" t="str">
        <f t="shared" si="31"/>
        <v/>
      </c>
      <c r="BE186" s="30" t="str">
        <f>IF(B186="","",VLOOKUP($B186,'F-1 Off-Site WaterC'' Baseline'!$C$9:$AB$257,24,FALSE))</f>
        <v/>
      </c>
      <c r="BF186" s="30" t="str">
        <f>IF(B186="","",VLOOKUP($B186,'F-1 Off-Site WaterC'' Baseline'!$C$9:$AB$257,22,FALSE))</f>
        <v/>
      </c>
      <c r="BJ186" s="30" t="str">
        <f t="shared" si="32"/>
        <v>No</v>
      </c>
    </row>
    <row r="187" spans="2:62" ht="14">
      <c r="B187" s="305" t="str">
        <f>'F-1 Off-Site WaterC'' Baseline'!AS185</f>
        <v/>
      </c>
      <c r="C187" s="295" t="str">
        <f>IF(B187="","",VLOOKUP($B187,'F-1 Off-Site WaterC'' Baseline'!$C$9:$R$257,2,FALSE))</f>
        <v/>
      </c>
      <c r="D187" s="295" t="str">
        <f>IF(C187="","",VLOOKUP($B187,'F-1 Off-Site WaterC'' Baseline'!$C$9:$R$257,3,FALSE))</f>
        <v/>
      </c>
      <c r="E187" s="295" t="str">
        <f>IF(D187="","",VLOOKUP($B187,'F-1 Off-Site WaterC'' Baseline'!$C$9:$R$257,4,FALSE))</f>
        <v/>
      </c>
      <c r="F187" s="295" t="str">
        <f>IF(E187="","",VLOOKUP($B187,'F-1 Off-Site WaterC'' Baseline'!$C$9:$R$257,5,FALSE))</f>
        <v/>
      </c>
      <c r="G187" s="295" t="str">
        <f>IF(F187="","",VLOOKUP($B187,'F-1 Off-Site WaterC'' Baseline'!$C$9:$R$257,6,FALSE))</f>
        <v/>
      </c>
      <c r="H187" s="295" t="str">
        <f>IF(G187="","",VLOOKUP($B187,'F-1 Off-Site WaterC'' Baseline'!$C$9:$R$257,7,FALSE))</f>
        <v/>
      </c>
      <c r="I187" s="295" t="str">
        <f>IF(H187="","",VLOOKUP($B187,'F-1 Off-Site WaterC'' Baseline'!$C$9:$R$257,8,FALSE))</f>
        <v/>
      </c>
      <c r="J187" s="295" t="str">
        <f>IF(I187="","",VLOOKUP($B187,'F-1 Off-Site WaterC'' Baseline'!$C$9:$R$257,9,FALSE))</f>
        <v/>
      </c>
      <c r="K187" s="295" t="str">
        <f>IF(J187="","",VLOOKUP($B187,'F-1 Off-Site WaterC'' Baseline'!$C$9:$R$257,10,FALSE))</f>
        <v/>
      </c>
      <c r="L187" s="283" t="str">
        <f>IF(B187="","",VLOOKUP($B187,'F-1 Off-Site WaterC'' Baseline'!$C$9:$R$257,15,FALSE))</f>
        <v/>
      </c>
      <c r="M187" s="299" t="str">
        <f>IF(L187="","",VLOOKUP($B187,'F-1 Off-Site WaterC'' Baseline'!$C$9:$V$257,19,FALSE))</f>
        <v/>
      </c>
      <c r="N187" s="244"/>
      <c r="O187" s="275" t="str">
        <f t="shared" si="25"/>
        <v/>
      </c>
      <c r="P187" s="276" t="str">
        <f t="shared" si="26"/>
        <v/>
      </c>
      <c r="Q187" s="281" t="str">
        <f>IF(N187="","",VLOOKUP(B187,'F-1 Off-Site WaterC'' Baseline'!$C$10:$AF$257,23,FALSE))</f>
        <v/>
      </c>
      <c r="R187" s="275" t="str">
        <f>IF(N187="","",VLOOKUP(N187,'G-7 WaterC'' Data'!$B$2:$G$8,2,FALSE))</f>
        <v/>
      </c>
      <c r="S187" s="276" t="str">
        <f>IFERROR(VLOOKUP(R187,'G-7 WaterC'' Data'!$C$4:$D$8,2,FALSE),"")</f>
        <v/>
      </c>
      <c r="T187" s="101"/>
      <c r="U187" s="276" t="str">
        <f>IFERROR(INDEX('G-7 WaterC'' Data'!$H$4:$L$8,MATCH(N187,'G-7 WaterC'' Data'!$B$4:$B$8,0),MATCH(T187,'G-7 WaterC'' Data'!$H$3:$L$3,0)),"")</f>
        <v/>
      </c>
      <c r="V187" s="105"/>
      <c r="W187" s="295" t="str">
        <f>IF(V187="","",IF(VLOOKUP(V187,'G-7 WaterC'' Data'!$AK$4:$AM$6,2,FALSE)=0,"Spatial Data Missing ⚠",VLOOKUP(V187,'G-7 WaterC'' Data'!$AK$4:$AM$6,2,FALSE)))</f>
        <v/>
      </c>
      <c r="X187" s="299" t="str">
        <f>IF(V187="","",IF(VLOOKUP(V187,'G-7 WaterC'' Data'!$AK$4:$AM$6,3,FALSE)=0,"Spatial Data Missing ⚠",VLOOKUP(V187,'G-7 WaterC'' Data'!$AK$4:$AM$6,3,FALSE)))</f>
        <v/>
      </c>
      <c r="Y187" s="311" t="str">
        <f>IFERROR(IF(OR(LEFT(P187,5)="Error",LEFT(O187,5)="Error"),"Check Data ⚠",IF(F187&lt;S187,'G-7 WaterC'' Data'!$R$3,INDEX('G-7 WaterC'' Data'!$U$5:$Y$9,MATCH(G187,'G-7 WaterC'' Data'!$T$5:$T$9,0),MATCH(T187,'G-7 WaterC'' Data'!$U$4:$Y$4,0)))),"")</f>
        <v/>
      </c>
      <c r="Z187" s="138"/>
      <c r="AA187" s="138"/>
      <c r="AB187" s="308" t="str">
        <f t="shared" si="22"/>
        <v/>
      </c>
      <c r="AC187" s="296" t="str">
        <f t="shared" si="27"/>
        <v/>
      </c>
      <c r="AD187" s="334" t="str">
        <f>IFERROR(IF(AC187="Check Data ⚠","Check Data ⚠",VLOOKUP(AC187,'G-4 Temporal multipliers'!$A$4:$C$37,3,FALSE)),"")</f>
        <v/>
      </c>
      <c r="AE187" s="311" t="str">
        <f>IF(N187="","",VLOOKUP(N187,'G-7 WaterC'' Data'!$B$4:$G$8,5,FALSE))</f>
        <v/>
      </c>
      <c r="AF187" s="295" t="str">
        <f t="shared" si="23"/>
        <v/>
      </c>
      <c r="AG187" s="295" t="str">
        <f t="shared" si="28"/>
        <v/>
      </c>
      <c r="AH187" s="276" t="str">
        <f t="shared" si="24"/>
        <v/>
      </c>
      <c r="AI187" s="105"/>
      <c r="AJ187" s="276" t="str">
        <f>IF(AI187="","",(IF(AND(AI187="N/A - Culvert",N187&lt;&gt;"Culvert"),"Not possible ▲",IF(VLOOKUP(AI187,'G-7 WaterC'' Data'!$AA$4:$AB$7,2,FALSE)=0,"Spatial Data Missing ⚠",VLOOKUP(AI187,'G-7 WaterC'' Data'!$AA$4:$AB$7,2,FALSE)))))</f>
        <v/>
      </c>
      <c r="AK187" s="106"/>
      <c r="AL187" s="310" t="str">
        <f>IF(AK187="","",IF(AND(AK187="N/A - Culvert",N187&lt;&gt;"Culvert"),"Not possible ▲",IF(VLOOKUP(AK187,'G-7 WaterC'' Data'!$AD$4:$AE$14,2,FALSE)=0,"Spatial Data Missing ⚠",VLOOKUP(AK187,'G-7 WaterC'' Data'!$AD$4:$AE$14,2,FALSE))))</f>
        <v/>
      </c>
      <c r="AM187" s="275" t="str">
        <f>IF(B187="","",VLOOKUP($B187,'F-1 Off-Site WaterC'' Baseline'!$C$9:$Z$257,17,FALSE))</f>
        <v/>
      </c>
      <c r="AN187" s="276" t="str">
        <f>IF(AM187="","",IF(VLOOKUP(AM187,'G-7 WaterC'' Data'!$AO$4:$BO$7,2,FALSE)=0,"Spatial Data Missing ⚠",VLOOKUP(AM187,'G-7 WaterC'' Data'!$AO$4:$BO$7,2,FALSE)))</f>
        <v/>
      </c>
      <c r="AO187" s="317" t="str">
        <f t="shared" si="29"/>
        <v/>
      </c>
      <c r="AP187" s="317" t="str">
        <f t="shared" si="30"/>
        <v/>
      </c>
      <c r="AQ187" s="101"/>
      <c r="AR187" s="115"/>
      <c r="AS187" s="104"/>
      <c r="AT187" s="104"/>
      <c r="AW187" s="30" t="str">
        <f>IF(E187="","",VLOOKUP($B187,'F-1 Off-Site WaterC'' Baseline'!$C$9:$Z$257,12,FALSE))</f>
        <v/>
      </c>
      <c r="AX187" s="30" t="str">
        <f>IF(E187="","",VLOOKUP($B187,'F-1 Off-Site WaterC'' Baseline'!$C$9:$Z$257,14,FALSE))</f>
        <v/>
      </c>
      <c r="AY187" s="30" t="str">
        <f>IFERROR(INDEX('G-7 WaterC'' Data'!$AZ$3:$AZ$7,MATCH(N187,'G-7 WaterC'' Data'!$AY$3:$AY$7,0)),"")</f>
        <v/>
      </c>
      <c r="AZ187" s="30" t="str">
        <f>IF(B187="","",IF(ISNA(VLOOKUP($B187,'F-1 Off-Site WaterC'' Baseline'!$C$8:$AD$257,20,FALSE)),"",(VLOOKUP($B187,'F-1 Off-Site WaterC'' Baseline'!$C$8:$AD$257,20,FALSE))))</f>
        <v/>
      </c>
      <c r="BC187" s="30" t="str">
        <f>IF(B187="","",VLOOKUP($B187,'F-1 Off-Site WaterC'' Baseline'!$C$9:$AB$257,25,FALSE))</f>
        <v/>
      </c>
      <c r="BD187" s="30" t="str">
        <f t="shared" si="31"/>
        <v/>
      </c>
      <c r="BE187" s="30" t="str">
        <f>IF(B187="","",VLOOKUP($B187,'F-1 Off-Site WaterC'' Baseline'!$C$9:$AB$257,24,FALSE))</f>
        <v/>
      </c>
      <c r="BF187" s="30" t="str">
        <f>IF(B187="","",VLOOKUP($B187,'F-1 Off-Site WaterC'' Baseline'!$C$9:$AB$257,22,FALSE))</f>
        <v/>
      </c>
      <c r="BJ187" s="30" t="str">
        <f t="shared" si="32"/>
        <v>No</v>
      </c>
    </row>
    <row r="188" spans="2:62" ht="14">
      <c r="B188" s="305" t="str">
        <f>'F-1 Off-Site WaterC'' Baseline'!AS186</f>
        <v/>
      </c>
      <c r="C188" s="295" t="str">
        <f>IF(B188="","",VLOOKUP($B188,'F-1 Off-Site WaterC'' Baseline'!$C$9:$R$257,2,FALSE))</f>
        <v/>
      </c>
      <c r="D188" s="295" t="str">
        <f>IF(C188="","",VLOOKUP($B188,'F-1 Off-Site WaterC'' Baseline'!$C$9:$R$257,3,FALSE))</f>
        <v/>
      </c>
      <c r="E188" s="295" t="str">
        <f>IF(D188="","",VLOOKUP($B188,'F-1 Off-Site WaterC'' Baseline'!$C$9:$R$257,4,FALSE))</f>
        <v/>
      </c>
      <c r="F188" s="295" t="str">
        <f>IF(E188="","",VLOOKUP($B188,'F-1 Off-Site WaterC'' Baseline'!$C$9:$R$257,5,FALSE))</f>
        <v/>
      </c>
      <c r="G188" s="295" t="str">
        <f>IF(F188="","",VLOOKUP($B188,'F-1 Off-Site WaterC'' Baseline'!$C$9:$R$257,6,FALSE))</f>
        <v/>
      </c>
      <c r="H188" s="295" t="str">
        <f>IF(G188="","",VLOOKUP($B188,'F-1 Off-Site WaterC'' Baseline'!$C$9:$R$257,7,FALSE))</f>
        <v/>
      </c>
      <c r="I188" s="295" t="str">
        <f>IF(H188="","",VLOOKUP($B188,'F-1 Off-Site WaterC'' Baseline'!$C$9:$R$257,8,FALSE))</f>
        <v/>
      </c>
      <c r="J188" s="295" t="str">
        <f>IF(I188="","",VLOOKUP($B188,'F-1 Off-Site WaterC'' Baseline'!$C$9:$R$257,9,FALSE))</f>
        <v/>
      </c>
      <c r="K188" s="295" t="str">
        <f>IF(J188="","",VLOOKUP($B188,'F-1 Off-Site WaterC'' Baseline'!$C$9:$R$257,10,FALSE))</f>
        <v/>
      </c>
      <c r="L188" s="283" t="str">
        <f>IF(B188="","",VLOOKUP($B188,'F-1 Off-Site WaterC'' Baseline'!$C$9:$R$257,15,FALSE))</f>
        <v/>
      </c>
      <c r="M188" s="299" t="str">
        <f>IF(L188="","",VLOOKUP($B188,'F-1 Off-Site WaterC'' Baseline'!$C$9:$V$257,19,FALSE))</f>
        <v/>
      </c>
      <c r="N188" s="244"/>
      <c r="O188" s="275" t="str">
        <f t="shared" si="25"/>
        <v/>
      </c>
      <c r="P188" s="276" t="str">
        <f t="shared" si="26"/>
        <v/>
      </c>
      <c r="Q188" s="281" t="str">
        <f>IF(N188="","",VLOOKUP(B188,'F-1 Off-Site WaterC'' Baseline'!$C$10:$AF$257,23,FALSE))</f>
        <v/>
      </c>
      <c r="R188" s="275" t="str">
        <f>IF(N188="","",VLOOKUP(N188,'G-7 WaterC'' Data'!$B$2:$G$8,2,FALSE))</f>
        <v/>
      </c>
      <c r="S188" s="276" t="str">
        <f>IFERROR(VLOOKUP(R188,'G-7 WaterC'' Data'!$C$4:$D$8,2,FALSE),"")</f>
        <v/>
      </c>
      <c r="T188" s="101"/>
      <c r="U188" s="276" t="str">
        <f>IFERROR(INDEX('G-7 WaterC'' Data'!$H$4:$L$8,MATCH(N188,'G-7 WaterC'' Data'!$B$4:$B$8,0),MATCH(T188,'G-7 WaterC'' Data'!$H$3:$L$3,0)),"")</f>
        <v/>
      </c>
      <c r="V188" s="105"/>
      <c r="W188" s="295" t="str">
        <f>IF(V188="","",IF(VLOOKUP(V188,'G-7 WaterC'' Data'!$AK$4:$AM$6,2,FALSE)=0,"Spatial Data Missing ⚠",VLOOKUP(V188,'G-7 WaterC'' Data'!$AK$4:$AM$6,2,FALSE)))</f>
        <v/>
      </c>
      <c r="X188" s="299" t="str">
        <f>IF(V188="","",IF(VLOOKUP(V188,'G-7 WaterC'' Data'!$AK$4:$AM$6,3,FALSE)=0,"Spatial Data Missing ⚠",VLOOKUP(V188,'G-7 WaterC'' Data'!$AK$4:$AM$6,3,FALSE)))</f>
        <v/>
      </c>
      <c r="Y188" s="311" t="str">
        <f>IFERROR(IF(OR(LEFT(P188,5)="Error",LEFT(O188,5)="Error"),"Check Data ⚠",IF(F188&lt;S188,'G-7 WaterC'' Data'!$R$3,INDEX('G-7 WaterC'' Data'!$U$5:$Y$9,MATCH(G188,'G-7 WaterC'' Data'!$T$5:$T$9,0),MATCH(T188,'G-7 WaterC'' Data'!$U$4:$Y$4,0)))),"")</f>
        <v/>
      </c>
      <c r="Z188" s="138"/>
      <c r="AA188" s="138"/>
      <c r="AB188" s="308" t="str">
        <f t="shared" si="22"/>
        <v/>
      </c>
      <c r="AC188" s="296" t="str">
        <f t="shared" si="27"/>
        <v/>
      </c>
      <c r="AD188" s="334" t="str">
        <f>IFERROR(IF(AC188="Check Data ⚠","Check Data ⚠",VLOOKUP(AC188,'G-4 Temporal multipliers'!$A$4:$C$37,3,FALSE)),"")</f>
        <v/>
      </c>
      <c r="AE188" s="311" t="str">
        <f>IF(N188="","",VLOOKUP(N188,'G-7 WaterC'' Data'!$B$4:$G$8,5,FALSE))</f>
        <v/>
      </c>
      <c r="AF188" s="295" t="str">
        <f t="shared" si="23"/>
        <v/>
      </c>
      <c r="AG188" s="295" t="str">
        <f t="shared" si="28"/>
        <v/>
      </c>
      <c r="AH188" s="276" t="str">
        <f t="shared" si="24"/>
        <v/>
      </c>
      <c r="AI188" s="105"/>
      <c r="AJ188" s="276" t="str">
        <f>IF(AI188="","",(IF(AND(AI188="N/A - Culvert",N188&lt;&gt;"Culvert"),"Not possible ▲",IF(VLOOKUP(AI188,'G-7 WaterC'' Data'!$AA$4:$AB$7,2,FALSE)=0,"Spatial Data Missing ⚠",VLOOKUP(AI188,'G-7 WaterC'' Data'!$AA$4:$AB$7,2,FALSE)))))</f>
        <v/>
      </c>
      <c r="AK188" s="106"/>
      <c r="AL188" s="310" t="str">
        <f>IF(AK188="","",IF(AND(AK188="N/A - Culvert",N188&lt;&gt;"Culvert"),"Not possible ▲",IF(VLOOKUP(AK188,'G-7 WaterC'' Data'!$AD$4:$AE$14,2,FALSE)=0,"Spatial Data Missing ⚠",VLOOKUP(AK188,'G-7 WaterC'' Data'!$AD$4:$AE$14,2,FALSE))))</f>
        <v/>
      </c>
      <c r="AM188" s="275" t="str">
        <f>IF(B188="","",VLOOKUP($B188,'F-1 Off-Site WaterC'' Baseline'!$C$9:$Z$257,17,FALSE))</f>
        <v/>
      </c>
      <c r="AN188" s="276" t="str">
        <f>IF(AM188="","",IF(VLOOKUP(AM188,'G-7 WaterC'' Data'!$AO$4:$BO$7,2,FALSE)=0,"Spatial Data Missing ⚠",VLOOKUP(AM188,'G-7 WaterC'' Data'!$AO$4:$BO$7,2,FALSE)))</f>
        <v/>
      </c>
      <c r="AO188" s="317" t="str">
        <f t="shared" si="29"/>
        <v/>
      </c>
      <c r="AP188" s="317" t="str">
        <f t="shared" si="30"/>
        <v/>
      </c>
      <c r="AQ188" s="101"/>
      <c r="AR188" s="115"/>
      <c r="AS188" s="104"/>
      <c r="AT188" s="104"/>
      <c r="AW188" s="30" t="str">
        <f>IF(E188="","",VLOOKUP($B188,'F-1 Off-Site WaterC'' Baseline'!$C$9:$Z$257,12,FALSE))</f>
        <v/>
      </c>
      <c r="AX188" s="30" t="str">
        <f>IF(E188="","",VLOOKUP($B188,'F-1 Off-Site WaterC'' Baseline'!$C$9:$Z$257,14,FALSE))</f>
        <v/>
      </c>
      <c r="AY188" s="30" t="str">
        <f>IFERROR(INDEX('G-7 WaterC'' Data'!$AZ$3:$AZ$7,MATCH(N188,'G-7 WaterC'' Data'!$AY$3:$AY$7,0)),"")</f>
        <v/>
      </c>
      <c r="AZ188" s="30" t="str">
        <f>IF(B188="","",IF(ISNA(VLOOKUP($B188,'F-1 Off-Site WaterC'' Baseline'!$C$8:$AD$257,20,FALSE)),"",(VLOOKUP($B188,'F-1 Off-Site WaterC'' Baseline'!$C$8:$AD$257,20,FALSE))))</f>
        <v/>
      </c>
      <c r="BC188" s="30" t="str">
        <f>IF(B188="","",VLOOKUP($B188,'F-1 Off-Site WaterC'' Baseline'!$C$9:$AB$257,25,FALSE))</f>
        <v/>
      </c>
      <c r="BD188" s="30" t="str">
        <f t="shared" si="31"/>
        <v/>
      </c>
      <c r="BE188" s="30" t="str">
        <f>IF(B188="","",VLOOKUP($B188,'F-1 Off-Site WaterC'' Baseline'!$C$9:$AB$257,24,FALSE))</f>
        <v/>
      </c>
      <c r="BF188" s="30" t="str">
        <f>IF(B188="","",VLOOKUP($B188,'F-1 Off-Site WaterC'' Baseline'!$C$9:$AB$257,22,FALSE))</f>
        <v/>
      </c>
      <c r="BJ188" s="30" t="str">
        <f t="shared" si="32"/>
        <v>No</v>
      </c>
    </row>
    <row r="189" spans="2:62" ht="14">
      <c r="B189" s="305" t="str">
        <f>'F-1 Off-Site WaterC'' Baseline'!AS187</f>
        <v/>
      </c>
      <c r="C189" s="295" t="str">
        <f>IF(B189="","",VLOOKUP($B189,'F-1 Off-Site WaterC'' Baseline'!$C$9:$R$257,2,FALSE))</f>
        <v/>
      </c>
      <c r="D189" s="295" t="str">
        <f>IF(C189="","",VLOOKUP($B189,'F-1 Off-Site WaterC'' Baseline'!$C$9:$R$257,3,FALSE))</f>
        <v/>
      </c>
      <c r="E189" s="295" t="str">
        <f>IF(D189="","",VLOOKUP($B189,'F-1 Off-Site WaterC'' Baseline'!$C$9:$R$257,4,FALSE))</f>
        <v/>
      </c>
      <c r="F189" s="295" t="str">
        <f>IF(E189="","",VLOOKUP($B189,'F-1 Off-Site WaterC'' Baseline'!$C$9:$R$257,5,FALSE))</f>
        <v/>
      </c>
      <c r="G189" s="295" t="str">
        <f>IF(F189="","",VLOOKUP($B189,'F-1 Off-Site WaterC'' Baseline'!$C$9:$R$257,6,FALSE))</f>
        <v/>
      </c>
      <c r="H189" s="295" t="str">
        <f>IF(G189="","",VLOOKUP($B189,'F-1 Off-Site WaterC'' Baseline'!$C$9:$R$257,7,FALSE))</f>
        <v/>
      </c>
      <c r="I189" s="295" t="str">
        <f>IF(H189="","",VLOOKUP($B189,'F-1 Off-Site WaterC'' Baseline'!$C$9:$R$257,8,FALSE))</f>
        <v/>
      </c>
      <c r="J189" s="295" t="str">
        <f>IF(I189="","",VLOOKUP($B189,'F-1 Off-Site WaterC'' Baseline'!$C$9:$R$257,9,FALSE))</f>
        <v/>
      </c>
      <c r="K189" s="295" t="str">
        <f>IF(J189="","",VLOOKUP($B189,'F-1 Off-Site WaterC'' Baseline'!$C$9:$R$257,10,FALSE))</f>
        <v/>
      </c>
      <c r="L189" s="283" t="str">
        <f>IF(B189="","",VLOOKUP($B189,'F-1 Off-Site WaterC'' Baseline'!$C$9:$R$257,15,FALSE))</f>
        <v/>
      </c>
      <c r="M189" s="299" t="str">
        <f>IF(L189="","",VLOOKUP($B189,'F-1 Off-Site WaterC'' Baseline'!$C$9:$V$257,19,FALSE))</f>
        <v/>
      </c>
      <c r="N189" s="244"/>
      <c r="O189" s="275" t="str">
        <f t="shared" si="25"/>
        <v/>
      </c>
      <c r="P189" s="276" t="str">
        <f t="shared" si="26"/>
        <v/>
      </c>
      <c r="Q189" s="281" t="str">
        <f>IF(N189="","",VLOOKUP(B189,'F-1 Off-Site WaterC'' Baseline'!$C$10:$AF$257,23,FALSE))</f>
        <v/>
      </c>
      <c r="R189" s="275" t="str">
        <f>IF(N189="","",VLOOKUP(N189,'G-7 WaterC'' Data'!$B$2:$G$8,2,FALSE))</f>
        <v/>
      </c>
      <c r="S189" s="276" t="str">
        <f>IFERROR(VLOOKUP(R189,'G-7 WaterC'' Data'!$C$4:$D$8,2,FALSE),"")</f>
        <v/>
      </c>
      <c r="T189" s="101"/>
      <c r="U189" s="276" t="str">
        <f>IFERROR(INDEX('G-7 WaterC'' Data'!$H$4:$L$8,MATCH(N189,'G-7 WaterC'' Data'!$B$4:$B$8,0),MATCH(T189,'G-7 WaterC'' Data'!$H$3:$L$3,0)),"")</f>
        <v/>
      </c>
      <c r="V189" s="105"/>
      <c r="W189" s="295" t="str">
        <f>IF(V189="","",IF(VLOOKUP(V189,'G-7 WaterC'' Data'!$AK$4:$AM$6,2,FALSE)=0,"Spatial Data Missing ⚠",VLOOKUP(V189,'G-7 WaterC'' Data'!$AK$4:$AM$6,2,FALSE)))</f>
        <v/>
      </c>
      <c r="X189" s="299" t="str">
        <f>IF(V189="","",IF(VLOOKUP(V189,'G-7 WaterC'' Data'!$AK$4:$AM$6,3,FALSE)=0,"Spatial Data Missing ⚠",VLOOKUP(V189,'G-7 WaterC'' Data'!$AK$4:$AM$6,3,FALSE)))</f>
        <v/>
      </c>
      <c r="Y189" s="311" t="str">
        <f>IFERROR(IF(OR(LEFT(P189,5)="Error",LEFT(O189,5)="Error"),"Check Data ⚠",IF(F189&lt;S189,'G-7 WaterC'' Data'!$R$3,INDEX('G-7 WaterC'' Data'!$U$5:$Y$9,MATCH(G189,'G-7 WaterC'' Data'!$T$5:$T$9,0),MATCH(T189,'G-7 WaterC'' Data'!$U$4:$Y$4,0)))),"")</f>
        <v/>
      </c>
      <c r="Z189" s="138"/>
      <c r="AA189" s="138"/>
      <c r="AB189" s="308" t="str">
        <f t="shared" si="22"/>
        <v/>
      </c>
      <c r="AC189" s="296" t="str">
        <f t="shared" si="27"/>
        <v/>
      </c>
      <c r="AD189" s="334" t="str">
        <f>IFERROR(IF(AC189="Check Data ⚠","Check Data ⚠",VLOOKUP(AC189,'G-4 Temporal multipliers'!$A$4:$C$37,3,FALSE)),"")</f>
        <v/>
      </c>
      <c r="AE189" s="311" t="str">
        <f>IF(N189="","",VLOOKUP(N189,'G-7 WaterC'' Data'!$B$4:$G$8,5,FALSE))</f>
        <v/>
      </c>
      <c r="AF189" s="295" t="str">
        <f t="shared" si="23"/>
        <v/>
      </c>
      <c r="AG189" s="295" t="str">
        <f t="shared" si="28"/>
        <v/>
      </c>
      <c r="AH189" s="276" t="str">
        <f t="shared" si="24"/>
        <v/>
      </c>
      <c r="AI189" s="105"/>
      <c r="AJ189" s="276" t="str">
        <f>IF(AI189="","",(IF(AND(AI189="N/A - Culvert",N189&lt;&gt;"Culvert"),"Not possible ▲",IF(VLOOKUP(AI189,'G-7 WaterC'' Data'!$AA$4:$AB$7,2,FALSE)=0,"Spatial Data Missing ⚠",VLOOKUP(AI189,'G-7 WaterC'' Data'!$AA$4:$AB$7,2,FALSE)))))</f>
        <v/>
      </c>
      <c r="AK189" s="106"/>
      <c r="AL189" s="310" t="str">
        <f>IF(AK189="","",IF(AND(AK189="N/A - Culvert",N189&lt;&gt;"Culvert"),"Not possible ▲",IF(VLOOKUP(AK189,'G-7 WaterC'' Data'!$AD$4:$AE$14,2,FALSE)=0,"Spatial Data Missing ⚠",VLOOKUP(AK189,'G-7 WaterC'' Data'!$AD$4:$AE$14,2,FALSE))))</f>
        <v/>
      </c>
      <c r="AM189" s="275" t="str">
        <f>IF(B189="","",VLOOKUP($B189,'F-1 Off-Site WaterC'' Baseline'!$C$9:$Z$257,17,FALSE))</f>
        <v/>
      </c>
      <c r="AN189" s="276" t="str">
        <f>IF(AM189="","",IF(VLOOKUP(AM189,'G-7 WaterC'' Data'!$AO$4:$BO$7,2,FALSE)=0,"Spatial Data Missing ⚠",VLOOKUP(AM189,'G-7 WaterC'' Data'!$AO$4:$BO$7,2,FALSE)))</f>
        <v/>
      </c>
      <c r="AO189" s="317" t="str">
        <f t="shared" si="29"/>
        <v/>
      </c>
      <c r="AP189" s="317" t="str">
        <f t="shared" si="30"/>
        <v/>
      </c>
      <c r="AQ189" s="101"/>
      <c r="AR189" s="115"/>
      <c r="AS189" s="104"/>
      <c r="AT189" s="104"/>
      <c r="AW189" s="30" t="str">
        <f>IF(E189="","",VLOOKUP($B189,'F-1 Off-Site WaterC'' Baseline'!$C$9:$Z$257,12,FALSE))</f>
        <v/>
      </c>
      <c r="AX189" s="30" t="str">
        <f>IF(E189="","",VLOOKUP($B189,'F-1 Off-Site WaterC'' Baseline'!$C$9:$Z$257,14,FALSE))</f>
        <v/>
      </c>
      <c r="AY189" s="30" t="str">
        <f>IFERROR(INDEX('G-7 WaterC'' Data'!$AZ$3:$AZ$7,MATCH(N189,'G-7 WaterC'' Data'!$AY$3:$AY$7,0)),"")</f>
        <v/>
      </c>
      <c r="AZ189" s="30" t="str">
        <f>IF(B189="","",IF(ISNA(VLOOKUP($B189,'F-1 Off-Site WaterC'' Baseline'!$C$8:$AD$257,20,FALSE)),"",(VLOOKUP($B189,'F-1 Off-Site WaterC'' Baseline'!$C$8:$AD$257,20,FALSE))))</f>
        <v/>
      </c>
      <c r="BC189" s="30" t="str">
        <f>IF(B189="","",VLOOKUP($B189,'F-1 Off-Site WaterC'' Baseline'!$C$9:$AB$257,25,FALSE))</f>
        <v/>
      </c>
      <c r="BD189" s="30" t="str">
        <f t="shared" si="31"/>
        <v/>
      </c>
      <c r="BE189" s="30" t="str">
        <f>IF(B189="","",VLOOKUP($B189,'F-1 Off-Site WaterC'' Baseline'!$C$9:$AB$257,24,FALSE))</f>
        <v/>
      </c>
      <c r="BF189" s="30" t="str">
        <f>IF(B189="","",VLOOKUP($B189,'F-1 Off-Site WaterC'' Baseline'!$C$9:$AB$257,22,FALSE))</f>
        <v/>
      </c>
      <c r="BJ189" s="30" t="str">
        <f t="shared" si="32"/>
        <v>No</v>
      </c>
    </row>
    <row r="190" spans="2:62" ht="14">
      <c r="B190" s="305" t="str">
        <f>'F-1 Off-Site WaterC'' Baseline'!AS188</f>
        <v/>
      </c>
      <c r="C190" s="295" t="str">
        <f>IF(B190="","",VLOOKUP($B190,'F-1 Off-Site WaterC'' Baseline'!$C$9:$R$257,2,FALSE))</f>
        <v/>
      </c>
      <c r="D190" s="295" t="str">
        <f>IF(C190="","",VLOOKUP($B190,'F-1 Off-Site WaterC'' Baseline'!$C$9:$R$257,3,FALSE))</f>
        <v/>
      </c>
      <c r="E190" s="295" t="str">
        <f>IF(D190="","",VLOOKUP($B190,'F-1 Off-Site WaterC'' Baseline'!$C$9:$R$257,4,FALSE))</f>
        <v/>
      </c>
      <c r="F190" s="295" t="str">
        <f>IF(E190="","",VLOOKUP($B190,'F-1 Off-Site WaterC'' Baseline'!$C$9:$R$257,5,FALSE))</f>
        <v/>
      </c>
      <c r="G190" s="295" t="str">
        <f>IF(F190="","",VLOOKUP($B190,'F-1 Off-Site WaterC'' Baseline'!$C$9:$R$257,6,FALSE))</f>
        <v/>
      </c>
      <c r="H190" s="295" t="str">
        <f>IF(G190="","",VLOOKUP($B190,'F-1 Off-Site WaterC'' Baseline'!$C$9:$R$257,7,FALSE))</f>
        <v/>
      </c>
      <c r="I190" s="295" t="str">
        <f>IF(H190="","",VLOOKUP($B190,'F-1 Off-Site WaterC'' Baseline'!$C$9:$R$257,8,FALSE))</f>
        <v/>
      </c>
      <c r="J190" s="295" t="str">
        <f>IF(I190="","",VLOOKUP($B190,'F-1 Off-Site WaterC'' Baseline'!$C$9:$R$257,9,FALSE))</f>
        <v/>
      </c>
      <c r="K190" s="295" t="str">
        <f>IF(J190="","",VLOOKUP($B190,'F-1 Off-Site WaterC'' Baseline'!$C$9:$R$257,10,FALSE))</f>
        <v/>
      </c>
      <c r="L190" s="283" t="str">
        <f>IF(B190="","",VLOOKUP($B190,'F-1 Off-Site WaterC'' Baseline'!$C$9:$R$257,15,FALSE))</f>
        <v/>
      </c>
      <c r="M190" s="299" t="str">
        <f>IF(L190="","",VLOOKUP($B190,'F-1 Off-Site WaterC'' Baseline'!$C$9:$V$257,19,FALSE))</f>
        <v/>
      </c>
      <c r="N190" s="244"/>
      <c r="O190" s="275" t="str">
        <f t="shared" si="25"/>
        <v/>
      </c>
      <c r="P190" s="276" t="str">
        <f t="shared" si="26"/>
        <v/>
      </c>
      <c r="Q190" s="281" t="str">
        <f>IF(N190="","",VLOOKUP(B190,'F-1 Off-Site WaterC'' Baseline'!$C$10:$AF$257,23,FALSE))</f>
        <v/>
      </c>
      <c r="R190" s="275" t="str">
        <f>IF(N190="","",VLOOKUP(N190,'G-7 WaterC'' Data'!$B$2:$G$8,2,FALSE))</f>
        <v/>
      </c>
      <c r="S190" s="276" t="str">
        <f>IFERROR(VLOOKUP(R190,'G-7 WaterC'' Data'!$C$4:$D$8,2,FALSE),"")</f>
        <v/>
      </c>
      <c r="T190" s="101"/>
      <c r="U190" s="276" t="str">
        <f>IFERROR(INDEX('G-7 WaterC'' Data'!$H$4:$L$8,MATCH(N190,'G-7 WaterC'' Data'!$B$4:$B$8,0),MATCH(T190,'G-7 WaterC'' Data'!$H$3:$L$3,0)),"")</f>
        <v/>
      </c>
      <c r="V190" s="105"/>
      <c r="W190" s="295" t="str">
        <f>IF(V190="","",IF(VLOOKUP(V190,'G-7 WaterC'' Data'!$AK$4:$AM$6,2,FALSE)=0,"Spatial Data Missing ⚠",VLOOKUP(V190,'G-7 WaterC'' Data'!$AK$4:$AM$6,2,FALSE)))</f>
        <v/>
      </c>
      <c r="X190" s="299" t="str">
        <f>IF(V190="","",IF(VLOOKUP(V190,'G-7 WaterC'' Data'!$AK$4:$AM$6,3,FALSE)=0,"Spatial Data Missing ⚠",VLOOKUP(V190,'G-7 WaterC'' Data'!$AK$4:$AM$6,3,FALSE)))</f>
        <v/>
      </c>
      <c r="Y190" s="311" t="str">
        <f>IFERROR(IF(OR(LEFT(P190,5)="Error",LEFT(O190,5)="Error"),"Check Data ⚠",IF(F190&lt;S190,'G-7 WaterC'' Data'!$R$3,INDEX('G-7 WaterC'' Data'!$U$5:$Y$9,MATCH(G190,'G-7 WaterC'' Data'!$T$5:$T$9,0),MATCH(T190,'G-7 WaterC'' Data'!$U$4:$Y$4,0)))),"")</f>
        <v/>
      </c>
      <c r="Z190" s="138"/>
      <c r="AA190" s="138"/>
      <c r="AB190" s="308" t="str">
        <f t="shared" si="22"/>
        <v/>
      </c>
      <c r="AC190" s="296" t="str">
        <f t="shared" si="27"/>
        <v/>
      </c>
      <c r="AD190" s="334" t="str">
        <f>IFERROR(IF(AC190="Check Data ⚠","Check Data ⚠",VLOOKUP(AC190,'G-4 Temporal multipliers'!$A$4:$C$37,3,FALSE)),"")</f>
        <v/>
      </c>
      <c r="AE190" s="311" t="str">
        <f>IF(N190="","",VLOOKUP(N190,'G-7 WaterC'' Data'!$B$4:$G$8,5,FALSE))</f>
        <v/>
      </c>
      <c r="AF190" s="295" t="str">
        <f t="shared" si="23"/>
        <v/>
      </c>
      <c r="AG190" s="295" t="str">
        <f t="shared" si="28"/>
        <v/>
      </c>
      <c r="AH190" s="276" t="str">
        <f t="shared" si="24"/>
        <v/>
      </c>
      <c r="AI190" s="105"/>
      <c r="AJ190" s="276" t="str">
        <f>IF(AI190="","",(IF(AND(AI190="N/A - Culvert",N190&lt;&gt;"Culvert"),"Not possible ▲",IF(VLOOKUP(AI190,'G-7 WaterC'' Data'!$AA$4:$AB$7,2,FALSE)=0,"Spatial Data Missing ⚠",VLOOKUP(AI190,'G-7 WaterC'' Data'!$AA$4:$AB$7,2,FALSE)))))</f>
        <v/>
      </c>
      <c r="AK190" s="106"/>
      <c r="AL190" s="310" t="str">
        <f>IF(AK190="","",IF(AND(AK190="N/A - Culvert",N190&lt;&gt;"Culvert"),"Not possible ▲",IF(VLOOKUP(AK190,'G-7 WaterC'' Data'!$AD$4:$AE$14,2,FALSE)=0,"Spatial Data Missing ⚠",VLOOKUP(AK190,'G-7 WaterC'' Data'!$AD$4:$AE$14,2,FALSE))))</f>
        <v/>
      </c>
      <c r="AM190" s="275" t="str">
        <f>IF(B190="","",VLOOKUP($B190,'F-1 Off-Site WaterC'' Baseline'!$C$9:$Z$257,17,FALSE))</f>
        <v/>
      </c>
      <c r="AN190" s="276" t="str">
        <f>IF(AM190="","",IF(VLOOKUP(AM190,'G-7 WaterC'' Data'!$AO$4:$BO$7,2,FALSE)=0,"Spatial Data Missing ⚠",VLOOKUP(AM190,'G-7 WaterC'' Data'!$AO$4:$BO$7,2,FALSE)))</f>
        <v/>
      </c>
      <c r="AO190" s="317" t="str">
        <f t="shared" si="29"/>
        <v/>
      </c>
      <c r="AP190" s="317" t="str">
        <f t="shared" si="30"/>
        <v/>
      </c>
      <c r="AQ190" s="101"/>
      <c r="AR190" s="115"/>
      <c r="AS190" s="104"/>
      <c r="AT190" s="104"/>
      <c r="AW190" s="30" t="str">
        <f>IF(E190="","",VLOOKUP($B190,'F-1 Off-Site WaterC'' Baseline'!$C$9:$Z$257,12,FALSE))</f>
        <v/>
      </c>
      <c r="AX190" s="30" t="str">
        <f>IF(E190="","",VLOOKUP($B190,'F-1 Off-Site WaterC'' Baseline'!$C$9:$Z$257,14,FALSE))</f>
        <v/>
      </c>
      <c r="AY190" s="30" t="str">
        <f>IFERROR(INDEX('G-7 WaterC'' Data'!$AZ$3:$AZ$7,MATCH(N190,'G-7 WaterC'' Data'!$AY$3:$AY$7,0)),"")</f>
        <v/>
      </c>
      <c r="AZ190" s="30" t="str">
        <f>IF(B190="","",IF(ISNA(VLOOKUP($B190,'F-1 Off-Site WaterC'' Baseline'!$C$8:$AD$257,20,FALSE)),"",(VLOOKUP($B190,'F-1 Off-Site WaterC'' Baseline'!$C$8:$AD$257,20,FALSE))))</f>
        <v/>
      </c>
      <c r="BC190" s="30" t="str">
        <f>IF(B190="","",VLOOKUP($B190,'F-1 Off-Site WaterC'' Baseline'!$C$9:$AB$257,25,FALSE))</f>
        <v/>
      </c>
      <c r="BD190" s="30" t="str">
        <f t="shared" si="31"/>
        <v/>
      </c>
      <c r="BE190" s="30" t="str">
        <f>IF(B190="","",VLOOKUP($B190,'F-1 Off-Site WaterC'' Baseline'!$C$9:$AB$257,24,FALSE))</f>
        <v/>
      </c>
      <c r="BF190" s="30" t="str">
        <f>IF(B190="","",VLOOKUP($B190,'F-1 Off-Site WaterC'' Baseline'!$C$9:$AB$257,22,FALSE))</f>
        <v/>
      </c>
      <c r="BJ190" s="30" t="str">
        <f t="shared" si="32"/>
        <v>No</v>
      </c>
    </row>
    <row r="191" spans="2:62" ht="14">
      <c r="B191" s="305" t="str">
        <f>'F-1 Off-Site WaterC'' Baseline'!AS189</f>
        <v/>
      </c>
      <c r="C191" s="295" t="str">
        <f>IF(B191="","",VLOOKUP($B191,'F-1 Off-Site WaterC'' Baseline'!$C$9:$R$257,2,FALSE))</f>
        <v/>
      </c>
      <c r="D191" s="295" t="str">
        <f>IF(C191="","",VLOOKUP($B191,'F-1 Off-Site WaterC'' Baseline'!$C$9:$R$257,3,FALSE))</f>
        <v/>
      </c>
      <c r="E191" s="295" t="str">
        <f>IF(D191="","",VLOOKUP($B191,'F-1 Off-Site WaterC'' Baseline'!$C$9:$R$257,4,FALSE))</f>
        <v/>
      </c>
      <c r="F191" s="295" t="str">
        <f>IF(E191="","",VLOOKUP($B191,'F-1 Off-Site WaterC'' Baseline'!$C$9:$R$257,5,FALSE))</f>
        <v/>
      </c>
      <c r="G191" s="295" t="str">
        <f>IF(F191="","",VLOOKUP($B191,'F-1 Off-Site WaterC'' Baseline'!$C$9:$R$257,6,FALSE))</f>
        <v/>
      </c>
      <c r="H191" s="295" t="str">
        <f>IF(G191="","",VLOOKUP($B191,'F-1 Off-Site WaterC'' Baseline'!$C$9:$R$257,7,FALSE))</f>
        <v/>
      </c>
      <c r="I191" s="295" t="str">
        <f>IF(H191="","",VLOOKUP($B191,'F-1 Off-Site WaterC'' Baseline'!$C$9:$R$257,8,FALSE))</f>
        <v/>
      </c>
      <c r="J191" s="295" t="str">
        <f>IF(I191="","",VLOOKUP($B191,'F-1 Off-Site WaterC'' Baseline'!$C$9:$R$257,9,FALSE))</f>
        <v/>
      </c>
      <c r="K191" s="295" t="str">
        <f>IF(J191="","",VLOOKUP($B191,'F-1 Off-Site WaterC'' Baseline'!$C$9:$R$257,10,FALSE))</f>
        <v/>
      </c>
      <c r="L191" s="283" t="str">
        <f>IF(B191="","",VLOOKUP($B191,'F-1 Off-Site WaterC'' Baseline'!$C$9:$R$257,15,FALSE))</f>
        <v/>
      </c>
      <c r="M191" s="299" t="str">
        <f>IF(L191="","",VLOOKUP($B191,'F-1 Off-Site WaterC'' Baseline'!$C$9:$V$257,19,FALSE))</f>
        <v/>
      </c>
      <c r="N191" s="244"/>
      <c r="O191" s="275" t="str">
        <f t="shared" si="25"/>
        <v/>
      </c>
      <c r="P191" s="276" t="str">
        <f t="shared" si="26"/>
        <v/>
      </c>
      <c r="Q191" s="281" t="str">
        <f>IF(N191="","",VLOOKUP(B191,'F-1 Off-Site WaterC'' Baseline'!$C$10:$AF$257,23,FALSE))</f>
        <v/>
      </c>
      <c r="R191" s="275" t="str">
        <f>IF(N191="","",VLOOKUP(N191,'G-7 WaterC'' Data'!$B$2:$G$8,2,FALSE))</f>
        <v/>
      </c>
      <c r="S191" s="276" t="str">
        <f>IFERROR(VLOOKUP(R191,'G-7 WaterC'' Data'!$C$4:$D$8,2,FALSE),"")</f>
        <v/>
      </c>
      <c r="T191" s="101"/>
      <c r="U191" s="276" t="str">
        <f>IFERROR(INDEX('G-7 WaterC'' Data'!$H$4:$L$8,MATCH(N191,'G-7 WaterC'' Data'!$B$4:$B$8,0),MATCH(T191,'G-7 WaterC'' Data'!$H$3:$L$3,0)),"")</f>
        <v/>
      </c>
      <c r="V191" s="105"/>
      <c r="W191" s="295" t="str">
        <f>IF(V191="","",IF(VLOOKUP(V191,'G-7 WaterC'' Data'!$AK$4:$AM$6,2,FALSE)=0,"Spatial Data Missing ⚠",VLOOKUP(V191,'G-7 WaterC'' Data'!$AK$4:$AM$6,2,FALSE)))</f>
        <v/>
      </c>
      <c r="X191" s="299" t="str">
        <f>IF(V191="","",IF(VLOOKUP(V191,'G-7 WaterC'' Data'!$AK$4:$AM$6,3,FALSE)=0,"Spatial Data Missing ⚠",VLOOKUP(V191,'G-7 WaterC'' Data'!$AK$4:$AM$6,3,FALSE)))</f>
        <v/>
      </c>
      <c r="Y191" s="311" t="str">
        <f>IFERROR(IF(OR(LEFT(P191,5)="Error",LEFT(O191,5)="Error"),"Check Data ⚠",IF(F191&lt;S191,'G-7 WaterC'' Data'!$R$3,INDEX('G-7 WaterC'' Data'!$U$5:$Y$9,MATCH(G191,'G-7 WaterC'' Data'!$T$5:$T$9,0),MATCH(T191,'G-7 WaterC'' Data'!$U$4:$Y$4,0)))),"")</f>
        <v/>
      </c>
      <c r="Z191" s="138"/>
      <c r="AA191" s="138"/>
      <c r="AB191" s="308" t="str">
        <f t="shared" si="22"/>
        <v/>
      </c>
      <c r="AC191" s="296" t="str">
        <f t="shared" si="27"/>
        <v/>
      </c>
      <c r="AD191" s="334" t="str">
        <f>IFERROR(IF(AC191="Check Data ⚠","Check Data ⚠",VLOOKUP(AC191,'G-4 Temporal multipliers'!$A$4:$C$37,3,FALSE)),"")</f>
        <v/>
      </c>
      <c r="AE191" s="311" t="str">
        <f>IF(N191="","",VLOOKUP(N191,'G-7 WaterC'' Data'!$B$4:$G$8,5,FALSE))</f>
        <v/>
      </c>
      <c r="AF191" s="295" t="str">
        <f t="shared" si="23"/>
        <v/>
      </c>
      <c r="AG191" s="295" t="str">
        <f t="shared" si="28"/>
        <v/>
      </c>
      <c r="AH191" s="276" t="str">
        <f t="shared" si="24"/>
        <v/>
      </c>
      <c r="AI191" s="105"/>
      <c r="AJ191" s="276" t="str">
        <f>IF(AI191="","",(IF(AND(AI191="N/A - Culvert",N191&lt;&gt;"Culvert"),"Not possible ▲",IF(VLOOKUP(AI191,'G-7 WaterC'' Data'!$AA$4:$AB$7,2,FALSE)=0,"Spatial Data Missing ⚠",VLOOKUP(AI191,'G-7 WaterC'' Data'!$AA$4:$AB$7,2,FALSE)))))</f>
        <v/>
      </c>
      <c r="AK191" s="106"/>
      <c r="AL191" s="310" t="str">
        <f>IF(AK191="","",IF(AND(AK191="N/A - Culvert",N191&lt;&gt;"Culvert"),"Not possible ▲",IF(VLOOKUP(AK191,'G-7 WaterC'' Data'!$AD$4:$AE$14,2,FALSE)=0,"Spatial Data Missing ⚠",VLOOKUP(AK191,'G-7 WaterC'' Data'!$AD$4:$AE$14,2,FALSE))))</f>
        <v/>
      </c>
      <c r="AM191" s="275" t="str">
        <f>IF(B191="","",VLOOKUP($B191,'F-1 Off-Site WaterC'' Baseline'!$C$9:$Z$257,17,FALSE))</f>
        <v/>
      </c>
      <c r="AN191" s="276" t="str">
        <f>IF(AM191="","",IF(VLOOKUP(AM191,'G-7 WaterC'' Data'!$AO$4:$BO$7,2,FALSE)=0,"Spatial Data Missing ⚠",VLOOKUP(AM191,'G-7 WaterC'' Data'!$AO$4:$BO$7,2,FALSE)))</f>
        <v/>
      </c>
      <c r="AO191" s="317" t="str">
        <f t="shared" si="29"/>
        <v/>
      </c>
      <c r="AP191" s="317" t="str">
        <f t="shared" si="30"/>
        <v/>
      </c>
      <c r="AQ191" s="101"/>
      <c r="AR191" s="115"/>
      <c r="AS191" s="104"/>
      <c r="AT191" s="104"/>
      <c r="AW191" s="30" t="str">
        <f>IF(E191="","",VLOOKUP($B191,'F-1 Off-Site WaterC'' Baseline'!$C$9:$Z$257,12,FALSE))</f>
        <v/>
      </c>
      <c r="AX191" s="30" t="str">
        <f>IF(E191="","",VLOOKUP($B191,'F-1 Off-Site WaterC'' Baseline'!$C$9:$Z$257,14,FALSE))</f>
        <v/>
      </c>
      <c r="AY191" s="30" t="str">
        <f>IFERROR(INDEX('G-7 WaterC'' Data'!$AZ$3:$AZ$7,MATCH(N191,'G-7 WaterC'' Data'!$AY$3:$AY$7,0)),"")</f>
        <v/>
      </c>
      <c r="AZ191" s="30" t="str">
        <f>IF(B191="","",IF(ISNA(VLOOKUP($B191,'F-1 Off-Site WaterC'' Baseline'!$C$8:$AD$257,20,FALSE)),"",(VLOOKUP($B191,'F-1 Off-Site WaterC'' Baseline'!$C$8:$AD$257,20,FALSE))))</f>
        <v/>
      </c>
      <c r="BC191" s="30" t="str">
        <f>IF(B191="","",VLOOKUP($B191,'F-1 Off-Site WaterC'' Baseline'!$C$9:$AB$257,25,FALSE))</f>
        <v/>
      </c>
      <c r="BD191" s="30" t="str">
        <f t="shared" si="31"/>
        <v/>
      </c>
      <c r="BE191" s="30" t="str">
        <f>IF(B191="","",VLOOKUP($B191,'F-1 Off-Site WaterC'' Baseline'!$C$9:$AB$257,24,FALSE))</f>
        <v/>
      </c>
      <c r="BF191" s="30" t="str">
        <f>IF(B191="","",VLOOKUP($B191,'F-1 Off-Site WaterC'' Baseline'!$C$9:$AB$257,22,FALSE))</f>
        <v/>
      </c>
      <c r="BJ191" s="30" t="str">
        <f t="shared" si="32"/>
        <v>No</v>
      </c>
    </row>
    <row r="192" spans="2:62" ht="14">
      <c r="B192" s="305" t="str">
        <f>'F-1 Off-Site WaterC'' Baseline'!AS190</f>
        <v/>
      </c>
      <c r="C192" s="295" t="str">
        <f>IF(B192="","",VLOOKUP($B192,'F-1 Off-Site WaterC'' Baseline'!$C$9:$R$257,2,FALSE))</f>
        <v/>
      </c>
      <c r="D192" s="295" t="str">
        <f>IF(C192="","",VLOOKUP($B192,'F-1 Off-Site WaterC'' Baseline'!$C$9:$R$257,3,FALSE))</f>
        <v/>
      </c>
      <c r="E192" s="295" t="str">
        <f>IF(D192="","",VLOOKUP($B192,'F-1 Off-Site WaterC'' Baseline'!$C$9:$R$257,4,FALSE))</f>
        <v/>
      </c>
      <c r="F192" s="295" t="str">
        <f>IF(E192="","",VLOOKUP($B192,'F-1 Off-Site WaterC'' Baseline'!$C$9:$R$257,5,FALSE))</f>
        <v/>
      </c>
      <c r="G192" s="295" t="str">
        <f>IF(F192="","",VLOOKUP($B192,'F-1 Off-Site WaterC'' Baseline'!$C$9:$R$257,6,FALSE))</f>
        <v/>
      </c>
      <c r="H192" s="295" t="str">
        <f>IF(G192="","",VLOOKUP($B192,'F-1 Off-Site WaterC'' Baseline'!$C$9:$R$257,7,FALSE))</f>
        <v/>
      </c>
      <c r="I192" s="295" t="str">
        <f>IF(H192="","",VLOOKUP($B192,'F-1 Off-Site WaterC'' Baseline'!$C$9:$R$257,8,FALSE))</f>
        <v/>
      </c>
      <c r="J192" s="295" t="str">
        <f>IF(I192="","",VLOOKUP($B192,'F-1 Off-Site WaterC'' Baseline'!$C$9:$R$257,9,FALSE))</f>
        <v/>
      </c>
      <c r="K192" s="295" t="str">
        <f>IF(J192="","",VLOOKUP($B192,'F-1 Off-Site WaterC'' Baseline'!$C$9:$R$257,10,FALSE))</f>
        <v/>
      </c>
      <c r="L192" s="283" t="str">
        <f>IF(B192="","",VLOOKUP($B192,'F-1 Off-Site WaterC'' Baseline'!$C$9:$R$257,15,FALSE))</f>
        <v/>
      </c>
      <c r="M192" s="299" t="str">
        <f>IF(L192="","",VLOOKUP($B192,'F-1 Off-Site WaterC'' Baseline'!$C$9:$V$257,19,FALSE))</f>
        <v/>
      </c>
      <c r="N192" s="244"/>
      <c r="O192" s="275" t="str">
        <f t="shared" si="25"/>
        <v/>
      </c>
      <c r="P192" s="276" t="str">
        <f t="shared" si="26"/>
        <v/>
      </c>
      <c r="Q192" s="281" t="str">
        <f>IF(N192="","",VLOOKUP(B192,'F-1 Off-Site WaterC'' Baseline'!$C$10:$AF$257,23,FALSE))</f>
        <v/>
      </c>
      <c r="R192" s="275" t="str">
        <f>IF(N192="","",VLOOKUP(N192,'G-7 WaterC'' Data'!$B$2:$G$8,2,FALSE))</f>
        <v/>
      </c>
      <c r="S192" s="276" t="str">
        <f>IFERROR(VLOOKUP(R192,'G-7 WaterC'' Data'!$C$4:$D$8,2,FALSE),"")</f>
        <v/>
      </c>
      <c r="T192" s="101"/>
      <c r="U192" s="276" t="str">
        <f>IFERROR(INDEX('G-7 WaterC'' Data'!$H$4:$L$8,MATCH(N192,'G-7 WaterC'' Data'!$B$4:$B$8,0),MATCH(T192,'G-7 WaterC'' Data'!$H$3:$L$3,0)),"")</f>
        <v/>
      </c>
      <c r="V192" s="105"/>
      <c r="W192" s="295" t="str">
        <f>IF(V192="","",IF(VLOOKUP(V192,'G-7 WaterC'' Data'!$AK$4:$AM$6,2,FALSE)=0,"Spatial Data Missing ⚠",VLOOKUP(V192,'G-7 WaterC'' Data'!$AK$4:$AM$6,2,FALSE)))</f>
        <v/>
      </c>
      <c r="X192" s="299" t="str">
        <f>IF(V192="","",IF(VLOOKUP(V192,'G-7 WaterC'' Data'!$AK$4:$AM$6,3,FALSE)=0,"Spatial Data Missing ⚠",VLOOKUP(V192,'G-7 WaterC'' Data'!$AK$4:$AM$6,3,FALSE)))</f>
        <v/>
      </c>
      <c r="Y192" s="311" t="str">
        <f>IFERROR(IF(OR(LEFT(P192,5)="Error",LEFT(O192,5)="Error"),"Check Data ⚠",IF(F192&lt;S192,'G-7 WaterC'' Data'!$R$3,INDEX('G-7 WaterC'' Data'!$U$5:$Y$9,MATCH(G192,'G-7 WaterC'' Data'!$T$5:$T$9,0),MATCH(T192,'G-7 WaterC'' Data'!$U$4:$Y$4,0)))),"")</f>
        <v/>
      </c>
      <c r="Z192" s="138"/>
      <c r="AA192" s="138"/>
      <c r="AB192" s="308" t="str">
        <f t="shared" si="22"/>
        <v/>
      </c>
      <c r="AC192" s="296" t="str">
        <f t="shared" si="27"/>
        <v/>
      </c>
      <c r="AD192" s="334" t="str">
        <f>IFERROR(IF(AC192="Check Data ⚠","Check Data ⚠",VLOOKUP(AC192,'G-4 Temporal multipliers'!$A$4:$C$37,3,FALSE)),"")</f>
        <v/>
      </c>
      <c r="AE192" s="311" t="str">
        <f>IF(N192="","",VLOOKUP(N192,'G-7 WaterC'' Data'!$B$4:$G$8,5,FALSE))</f>
        <v/>
      </c>
      <c r="AF192" s="295" t="str">
        <f t="shared" si="23"/>
        <v/>
      </c>
      <c r="AG192" s="295" t="str">
        <f t="shared" si="28"/>
        <v/>
      </c>
      <c r="AH192" s="276" t="str">
        <f t="shared" si="24"/>
        <v/>
      </c>
      <c r="AI192" s="105"/>
      <c r="AJ192" s="276" t="str">
        <f>IF(AI192="","",(IF(AND(AI192="N/A - Culvert",N192&lt;&gt;"Culvert"),"Not possible ▲",IF(VLOOKUP(AI192,'G-7 WaterC'' Data'!$AA$4:$AB$7,2,FALSE)=0,"Spatial Data Missing ⚠",VLOOKUP(AI192,'G-7 WaterC'' Data'!$AA$4:$AB$7,2,FALSE)))))</f>
        <v/>
      </c>
      <c r="AK192" s="106"/>
      <c r="AL192" s="310" t="str">
        <f>IF(AK192="","",IF(AND(AK192="N/A - Culvert",N192&lt;&gt;"Culvert"),"Not possible ▲",IF(VLOOKUP(AK192,'G-7 WaterC'' Data'!$AD$4:$AE$14,2,FALSE)=0,"Spatial Data Missing ⚠",VLOOKUP(AK192,'G-7 WaterC'' Data'!$AD$4:$AE$14,2,FALSE))))</f>
        <v/>
      </c>
      <c r="AM192" s="275" t="str">
        <f>IF(B192="","",VLOOKUP($B192,'F-1 Off-Site WaterC'' Baseline'!$C$9:$Z$257,17,FALSE))</f>
        <v/>
      </c>
      <c r="AN192" s="276" t="str">
        <f>IF(AM192="","",IF(VLOOKUP(AM192,'G-7 WaterC'' Data'!$AO$4:$BO$7,2,FALSE)=0,"Spatial Data Missing ⚠",VLOOKUP(AM192,'G-7 WaterC'' Data'!$AO$4:$BO$7,2,FALSE)))</f>
        <v/>
      </c>
      <c r="AO192" s="317" t="str">
        <f t="shared" si="29"/>
        <v/>
      </c>
      <c r="AP192" s="317" t="str">
        <f t="shared" si="30"/>
        <v/>
      </c>
      <c r="AQ192" s="101"/>
      <c r="AR192" s="115"/>
      <c r="AS192" s="104"/>
      <c r="AT192" s="104"/>
      <c r="AW192" s="30" t="str">
        <f>IF(E192="","",VLOOKUP($B192,'F-1 Off-Site WaterC'' Baseline'!$C$9:$Z$257,12,FALSE))</f>
        <v/>
      </c>
      <c r="AX192" s="30" t="str">
        <f>IF(E192="","",VLOOKUP($B192,'F-1 Off-Site WaterC'' Baseline'!$C$9:$Z$257,14,FALSE))</f>
        <v/>
      </c>
      <c r="AY192" s="30" t="str">
        <f>IFERROR(INDEX('G-7 WaterC'' Data'!$AZ$3:$AZ$7,MATCH(N192,'G-7 WaterC'' Data'!$AY$3:$AY$7,0)),"")</f>
        <v/>
      </c>
      <c r="AZ192" s="30" t="str">
        <f>IF(B192="","",IF(ISNA(VLOOKUP($B192,'F-1 Off-Site WaterC'' Baseline'!$C$8:$AD$257,20,FALSE)),"",(VLOOKUP($B192,'F-1 Off-Site WaterC'' Baseline'!$C$8:$AD$257,20,FALSE))))</f>
        <v/>
      </c>
      <c r="BC192" s="30" t="str">
        <f>IF(B192="","",VLOOKUP($B192,'F-1 Off-Site WaterC'' Baseline'!$C$9:$AB$257,25,FALSE))</f>
        <v/>
      </c>
      <c r="BD192" s="30" t="str">
        <f t="shared" si="31"/>
        <v/>
      </c>
      <c r="BE192" s="30" t="str">
        <f>IF(B192="","",VLOOKUP($B192,'F-1 Off-Site WaterC'' Baseline'!$C$9:$AB$257,24,FALSE))</f>
        <v/>
      </c>
      <c r="BF192" s="30" t="str">
        <f>IF(B192="","",VLOOKUP($B192,'F-1 Off-Site WaterC'' Baseline'!$C$9:$AB$257,22,FALSE))</f>
        <v/>
      </c>
      <c r="BJ192" s="30" t="str">
        <f t="shared" si="32"/>
        <v>No</v>
      </c>
    </row>
    <row r="193" spans="2:62" ht="14">
      <c r="B193" s="305" t="str">
        <f>'F-1 Off-Site WaterC'' Baseline'!AS191</f>
        <v/>
      </c>
      <c r="C193" s="295" t="str">
        <f>IF(B193="","",VLOOKUP($B193,'F-1 Off-Site WaterC'' Baseline'!$C$9:$R$257,2,FALSE))</f>
        <v/>
      </c>
      <c r="D193" s="295" t="str">
        <f>IF(C193="","",VLOOKUP($B193,'F-1 Off-Site WaterC'' Baseline'!$C$9:$R$257,3,FALSE))</f>
        <v/>
      </c>
      <c r="E193" s="295" t="str">
        <f>IF(D193="","",VLOOKUP($B193,'F-1 Off-Site WaterC'' Baseline'!$C$9:$R$257,4,FALSE))</f>
        <v/>
      </c>
      <c r="F193" s="295" t="str">
        <f>IF(E193="","",VLOOKUP($B193,'F-1 Off-Site WaterC'' Baseline'!$C$9:$R$257,5,FALSE))</f>
        <v/>
      </c>
      <c r="G193" s="295" t="str">
        <f>IF(F193="","",VLOOKUP($B193,'F-1 Off-Site WaterC'' Baseline'!$C$9:$R$257,6,FALSE))</f>
        <v/>
      </c>
      <c r="H193" s="295" t="str">
        <f>IF(G193="","",VLOOKUP($B193,'F-1 Off-Site WaterC'' Baseline'!$C$9:$R$257,7,FALSE))</f>
        <v/>
      </c>
      <c r="I193" s="295" t="str">
        <f>IF(H193="","",VLOOKUP($B193,'F-1 Off-Site WaterC'' Baseline'!$C$9:$R$257,8,FALSE))</f>
        <v/>
      </c>
      <c r="J193" s="295" t="str">
        <f>IF(I193="","",VLOOKUP($B193,'F-1 Off-Site WaterC'' Baseline'!$C$9:$R$257,9,FALSE))</f>
        <v/>
      </c>
      <c r="K193" s="295" t="str">
        <f>IF(J193="","",VLOOKUP($B193,'F-1 Off-Site WaterC'' Baseline'!$C$9:$R$257,10,FALSE))</f>
        <v/>
      </c>
      <c r="L193" s="283" t="str">
        <f>IF(B193="","",VLOOKUP($B193,'F-1 Off-Site WaterC'' Baseline'!$C$9:$R$257,15,FALSE))</f>
        <v/>
      </c>
      <c r="M193" s="299" t="str">
        <f>IF(L193="","",VLOOKUP($B193,'F-1 Off-Site WaterC'' Baseline'!$C$9:$V$257,19,FALSE))</f>
        <v/>
      </c>
      <c r="N193" s="244"/>
      <c r="O193" s="275" t="str">
        <f t="shared" si="25"/>
        <v/>
      </c>
      <c r="P193" s="276" t="str">
        <f t="shared" si="26"/>
        <v/>
      </c>
      <c r="Q193" s="281" t="str">
        <f>IF(N193="","",VLOOKUP(B193,'F-1 Off-Site WaterC'' Baseline'!$C$10:$AF$257,23,FALSE))</f>
        <v/>
      </c>
      <c r="R193" s="275" t="str">
        <f>IF(N193="","",VLOOKUP(N193,'G-7 WaterC'' Data'!$B$2:$G$8,2,FALSE))</f>
        <v/>
      </c>
      <c r="S193" s="276" t="str">
        <f>IFERROR(VLOOKUP(R193,'G-7 WaterC'' Data'!$C$4:$D$8,2,FALSE),"")</f>
        <v/>
      </c>
      <c r="T193" s="101"/>
      <c r="U193" s="276" t="str">
        <f>IFERROR(INDEX('G-7 WaterC'' Data'!$H$4:$L$8,MATCH(N193,'G-7 WaterC'' Data'!$B$4:$B$8,0),MATCH(T193,'G-7 WaterC'' Data'!$H$3:$L$3,0)),"")</f>
        <v/>
      </c>
      <c r="V193" s="105"/>
      <c r="W193" s="295" t="str">
        <f>IF(V193="","",IF(VLOOKUP(V193,'G-7 WaterC'' Data'!$AK$4:$AM$6,2,FALSE)=0,"Spatial Data Missing ⚠",VLOOKUP(V193,'G-7 WaterC'' Data'!$AK$4:$AM$6,2,FALSE)))</f>
        <v/>
      </c>
      <c r="X193" s="299" t="str">
        <f>IF(V193="","",IF(VLOOKUP(V193,'G-7 WaterC'' Data'!$AK$4:$AM$6,3,FALSE)=0,"Spatial Data Missing ⚠",VLOOKUP(V193,'G-7 WaterC'' Data'!$AK$4:$AM$6,3,FALSE)))</f>
        <v/>
      </c>
      <c r="Y193" s="311" t="str">
        <f>IFERROR(IF(OR(LEFT(P193,5)="Error",LEFT(O193,5)="Error"),"Check Data ⚠",IF(F193&lt;S193,'G-7 WaterC'' Data'!$R$3,INDEX('G-7 WaterC'' Data'!$U$5:$Y$9,MATCH(G193,'G-7 WaterC'' Data'!$T$5:$T$9,0),MATCH(T193,'G-7 WaterC'' Data'!$U$4:$Y$4,0)))),"")</f>
        <v/>
      </c>
      <c r="Z193" s="138"/>
      <c r="AA193" s="138"/>
      <c r="AB193" s="308" t="str">
        <f t="shared" si="22"/>
        <v/>
      </c>
      <c r="AC193" s="296" t="str">
        <f t="shared" si="27"/>
        <v/>
      </c>
      <c r="AD193" s="334" t="str">
        <f>IFERROR(IF(AC193="Check Data ⚠","Check Data ⚠",VLOOKUP(AC193,'G-4 Temporal multipliers'!$A$4:$C$37,3,FALSE)),"")</f>
        <v/>
      </c>
      <c r="AE193" s="311" t="str">
        <f>IF(N193="","",VLOOKUP(N193,'G-7 WaterC'' Data'!$B$4:$G$8,5,FALSE))</f>
        <v/>
      </c>
      <c r="AF193" s="295" t="str">
        <f t="shared" si="23"/>
        <v/>
      </c>
      <c r="AG193" s="295" t="str">
        <f t="shared" si="28"/>
        <v/>
      </c>
      <c r="AH193" s="276" t="str">
        <f t="shared" si="24"/>
        <v/>
      </c>
      <c r="AI193" s="105"/>
      <c r="AJ193" s="276" t="str">
        <f>IF(AI193="","",(IF(AND(AI193="N/A - Culvert",N193&lt;&gt;"Culvert"),"Not possible ▲",IF(VLOOKUP(AI193,'G-7 WaterC'' Data'!$AA$4:$AB$7,2,FALSE)=0,"Spatial Data Missing ⚠",VLOOKUP(AI193,'G-7 WaterC'' Data'!$AA$4:$AB$7,2,FALSE)))))</f>
        <v/>
      </c>
      <c r="AK193" s="106"/>
      <c r="AL193" s="310" t="str">
        <f>IF(AK193="","",IF(AND(AK193="N/A - Culvert",N193&lt;&gt;"Culvert"),"Not possible ▲",IF(VLOOKUP(AK193,'G-7 WaterC'' Data'!$AD$4:$AE$14,2,FALSE)=0,"Spatial Data Missing ⚠",VLOOKUP(AK193,'G-7 WaterC'' Data'!$AD$4:$AE$14,2,FALSE))))</f>
        <v/>
      </c>
      <c r="AM193" s="275" t="str">
        <f>IF(B193="","",VLOOKUP($B193,'F-1 Off-Site WaterC'' Baseline'!$C$9:$Z$257,17,FALSE))</f>
        <v/>
      </c>
      <c r="AN193" s="276" t="str">
        <f>IF(AM193="","",IF(VLOOKUP(AM193,'G-7 WaterC'' Data'!$AO$4:$BO$7,2,FALSE)=0,"Spatial Data Missing ⚠",VLOOKUP(AM193,'G-7 WaterC'' Data'!$AO$4:$BO$7,2,FALSE)))</f>
        <v/>
      </c>
      <c r="AO193" s="317" t="str">
        <f t="shared" si="29"/>
        <v/>
      </c>
      <c r="AP193" s="317" t="str">
        <f t="shared" si="30"/>
        <v/>
      </c>
      <c r="AQ193" s="101"/>
      <c r="AR193" s="115"/>
      <c r="AS193" s="104"/>
      <c r="AT193" s="104"/>
      <c r="AW193" s="30" t="str">
        <f>IF(E193="","",VLOOKUP($B193,'F-1 Off-Site WaterC'' Baseline'!$C$9:$Z$257,12,FALSE))</f>
        <v/>
      </c>
      <c r="AX193" s="30" t="str">
        <f>IF(E193="","",VLOOKUP($B193,'F-1 Off-Site WaterC'' Baseline'!$C$9:$Z$257,14,FALSE))</f>
        <v/>
      </c>
      <c r="AY193" s="30" t="str">
        <f>IFERROR(INDEX('G-7 WaterC'' Data'!$AZ$3:$AZ$7,MATCH(N193,'G-7 WaterC'' Data'!$AY$3:$AY$7,0)),"")</f>
        <v/>
      </c>
      <c r="AZ193" s="30" t="str">
        <f>IF(B193="","",IF(ISNA(VLOOKUP($B193,'F-1 Off-Site WaterC'' Baseline'!$C$8:$AD$257,20,FALSE)),"",(VLOOKUP($B193,'F-1 Off-Site WaterC'' Baseline'!$C$8:$AD$257,20,FALSE))))</f>
        <v/>
      </c>
      <c r="BC193" s="30" t="str">
        <f>IF(B193="","",VLOOKUP($B193,'F-1 Off-Site WaterC'' Baseline'!$C$9:$AB$257,25,FALSE))</f>
        <v/>
      </c>
      <c r="BD193" s="30" t="str">
        <f t="shared" si="31"/>
        <v/>
      </c>
      <c r="BE193" s="30" t="str">
        <f>IF(B193="","",VLOOKUP($B193,'F-1 Off-Site WaterC'' Baseline'!$C$9:$AB$257,24,FALSE))</f>
        <v/>
      </c>
      <c r="BF193" s="30" t="str">
        <f>IF(B193="","",VLOOKUP($B193,'F-1 Off-Site WaterC'' Baseline'!$C$9:$AB$257,22,FALSE))</f>
        <v/>
      </c>
      <c r="BJ193" s="30" t="str">
        <f t="shared" si="32"/>
        <v>No</v>
      </c>
    </row>
    <row r="194" spans="2:62" ht="14">
      <c r="B194" s="305" t="str">
        <f>'F-1 Off-Site WaterC'' Baseline'!AS192</f>
        <v/>
      </c>
      <c r="C194" s="295" t="str">
        <f>IF(B194="","",VLOOKUP($B194,'F-1 Off-Site WaterC'' Baseline'!$C$9:$R$257,2,FALSE))</f>
        <v/>
      </c>
      <c r="D194" s="295" t="str">
        <f>IF(C194="","",VLOOKUP($B194,'F-1 Off-Site WaterC'' Baseline'!$C$9:$R$257,3,FALSE))</f>
        <v/>
      </c>
      <c r="E194" s="295" t="str">
        <f>IF(D194="","",VLOOKUP($B194,'F-1 Off-Site WaterC'' Baseline'!$C$9:$R$257,4,FALSE))</f>
        <v/>
      </c>
      <c r="F194" s="295" t="str">
        <f>IF(E194="","",VLOOKUP($B194,'F-1 Off-Site WaterC'' Baseline'!$C$9:$R$257,5,FALSE))</f>
        <v/>
      </c>
      <c r="G194" s="295" t="str">
        <f>IF(F194="","",VLOOKUP($B194,'F-1 Off-Site WaterC'' Baseline'!$C$9:$R$257,6,FALSE))</f>
        <v/>
      </c>
      <c r="H194" s="295" t="str">
        <f>IF(G194="","",VLOOKUP($B194,'F-1 Off-Site WaterC'' Baseline'!$C$9:$R$257,7,FALSE))</f>
        <v/>
      </c>
      <c r="I194" s="295" t="str">
        <f>IF(H194="","",VLOOKUP($B194,'F-1 Off-Site WaterC'' Baseline'!$C$9:$R$257,8,FALSE))</f>
        <v/>
      </c>
      <c r="J194" s="295" t="str">
        <f>IF(I194="","",VLOOKUP($B194,'F-1 Off-Site WaterC'' Baseline'!$C$9:$R$257,9,FALSE))</f>
        <v/>
      </c>
      <c r="K194" s="295" t="str">
        <f>IF(J194="","",VLOOKUP($B194,'F-1 Off-Site WaterC'' Baseline'!$C$9:$R$257,10,FALSE))</f>
        <v/>
      </c>
      <c r="L194" s="283" t="str">
        <f>IF(B194="","",VLOOKUP($B194,'F-1 Off-Site WaterC'' Baseline'!$C$9:$R$257,15,FALSE))</f>
        <v/>
      </c>
      <c r="M194" s="299" t="str">
        <f>IF(L194="","",VLOOKUP($B194,'F-1 Off-Site WaterC'' Baseline'!$C$9:$V$257,19,FALSE))</f>
        <v/>
      </c>
      <c r="N194" s="244"/>
      <c r="O194" s="275" t="str">
        <f t="shared" si="25"/>
        <v/>
      </c>
      <c r="P194" s="276" t="str">
        <f t="shared" si="26"/>
        <v/>
      </c>
      <c r="Q194" s="281" t="str">
        <f>IF(N194="","",VLOOKUP(B194,'F-1 Off-Site WaterC'' Baseline'!$C$10:$AF$257,23,FALSE))</f>
        <v/>
      </c>
      <c r="R194" s="275" t="str">
        <f>IF(N194="","",VLOOKUP(N194,'G-7 WaterC'' Data'!$B$2:$G$8,2,FALSE))</f>
        <v/>
      </c>
      <c r="S194" s="276" t="str">
        <f>IFERROR(VLOOKUP(R194,'G-7 WaterC'' Data'!$C$4:$D$8,2,FALSE),"")</f>
        <v/>
      </c>
      <c r="T194" s="101"/>
      <c r="U194" s="276" t="str">
        <f>IFERROR(INDEX('G-7 WaterC'' Data'!$H$4:$L$8,MATCH(N194,'G-7 WaterC'' Data'!$B$4:$B$8,0),MATCH(T194,'G-7 WaterC'' Data'!$H$3:$L$3,0)),"")</f>
        <v/>
      </c>
      <c r="V194" s="105"/>
      <c r="W194" s="295" t="str">
        <f>IF(V194="","",IF(VLOOKUP(V194,'G-7 WaterC'' Data'!$AK$4:$AM$6,2,FALSE)=0,"Spatial Data Missing ⚠",VLOOKUP(V194,'G-7 WaterC'' Data'!$AK$4:$AM$6,2,FALSE)))</f>
        <v/>
      </c>
      <c r="X194" s="299" t="str">
        <f>IF(V194="","",IF(VLOOKUP(V194,'G-7 WaterC'' Data'!$AK$4:$AM$6,3,FALSE)=0,"Spatial Data Missing ⚠",VLOOKUP(V194,'G-7 WaterC'' Data'!$AK$4:$AM$6,3,FALSE)))</f>
        <v/>
      </c>
      <c r="Y194" s="311" t="str">
        <f>IFERROR(IF(OR(LEFT(P194,5)="Error",LEFT(O194,5)="Error"),"Check Data ⚠",IF(F194&lt;S194,'G-7 WaterC'' Data'!$R$3,INDEX('G-7 WaterC'' Data'!$U$5:$Y$9,MATCH(G194,'G-7 WaterC'' Data'!$T$5:$T$9,0),MATCH(T194,'G-7 WaterC'' Data'!$U$4:$Y$4,0)))),"")</f>
        <v/>
      </c>
      <c r="Z194" s="138"/>
      <c r="AA194" s="138"/>
      <c r="AB194" s="308" t="str">
        <f t="shared" si="22"/>
        <v/>
      </c>
      <c r="AC194" s="296" t="str">
        <f t="shared" si="27"/>
        <v/>
      </c>
      <c r="AD194" s="334" t="str">
        <f>IFERROR(IF(AC194="Check Data ⚠","Check Data ⚠",VLOOKUP(AC194,'G-4 Temporal multipliers'!$A$4:$C$37,3,FALSE)),"")</f>
        <v/>
      </c>
      <c r="AE194" s="311" t="str">
        <f>IF(N194="","",VLOOKUP(N194,'G-7 WaterC'' Data'!$B$4:$G$8,5,FALSE))</f>
        <v/>
      </c>
      <c r="AF194" s="295" t="str">
        <f t="shared" si="23"/>
        <v/>
      </c>
      <c r="AG194" s="295" t="str">
        <f t="shared" si="28"/>
        <v/>
      </c>
      <c r="AH194" s="276" t="str">
        <f t="shared" si="24"/>
        <v/>
      </c>
      <c r="AI194" s="105"/>
      <c r="AJ194" s="276" t="str">
        <f>IF(AI194="","",(IF(AND(AI194="N/A - Culvert",N194&lt;&gt;"Culvert"),"Not possible ▲",IF(VLOOKUP(AI194,'G-7 WaterC'' Data'!$AA$4:$AB$7,2,FALSE)=0,"Spatial Data Missing ⚠",VLOOKUP(AI194,'G-7 WaterC'' Data'!$AA$4:$AB$7,2,FALSE)))))</f>
        <v/>
      </c>
      <c r="AK194" s="106"/>
      <c r="AL194" s="310" t="str">
        <f>IF(AK194="","",IF(AND(AK194="N/A - Culvert",N194&lt;&gt;"Culvert"),"Not possible ▲",IF(VLOOKUP(AK194,'G-7 WaterC'' Data'!$AD$4:$AE$14,2,FALSE)=0,"Spatial Data Missing ⚠",VLOOKUP(AK194,'G-7 WaterC'' Data'!$AD$4:$AE$14,2,FALSE))))</f>
        <v/>
      </c>
      <c r="AM194" s="275" t="str">
        <f>IF(B194="","",VLOOKUP($B194,'F-1 Off-Site WaterC'' Baseline'!$C$9:$Z$257,17,FALSE))</f>
        <v/>
      </c>
      <c r="AN194" s="276" t="str">
        <f>IF(AM194="","",IF(VLOOKUP(AM194,'G-7 WaterC'' Data'!$AO$4:$BO$7,2,FALSE)=0,"Spatial Data Missing ⚠",VLOOKUP(AM194,'G-7 WaterC'' Data'!$AO$4:$BO$7,2,FALSE)))</f>
        <v/>
      </c>
      <c r="AO194" s="317" t="str">
        <f t="shared" si="29"/>
        <v/>
      </c>
      <c r="AP194" s="317" t="str">
        <f t="shared" si="30"/>
        <v/>
      </c>
      <c r="AQ194" s="101"/>
      <c r="AR194" s="115"/>
      <c r="AS194" s="104"/>
      <c r="AT194" s="104"/>
      <c r="AW194" s="30" t="str">
        <f>IF(E194="","",VLOOKUP($B194,'F-1 Off-Site WaterC'' Baseline'!$C$9:$Z$257,12,FALSE))</f>
        <v/>
      </c>
      <c r="AX194" s="30" t="str">
        <f>IF(E194="","",VLOOKUP($B194,'F-1 Off-Site WaterC'' Baseline'!$C$9:$Z$257,14,FALSE))</f>
        <v/>
      </c>
      <c r="AY194" s="30" t="str">
        <f>IFERROR(INDEX('G-7 WaterC'' Data'!$AZ$3:$AZ$7,MATCH(N194,'G-7 WaterC'' Data'!$AY$3:$AY$7,0)),"")</f>
        <v/>
      </c>
      <c r="AZ194" s="30" t="str">
        <f>IF(B194="","",IF(ISNA(VLOOKUP($B194,'F-1 Off-Site WaterC'' Baseline'!$C$8:$AD$257,20,FALSE)),"",(VLOOKUP($B194,'F-1 Off-Site WaterC'' Baseline'!$C$8:$AD$257,20,FALSE))))</f>
        <v/>
      </c>
      <c r="BC194" s="30" t="str">
        <f>IF(B194="","",VLOOKUP($B194,'F-1 Off-Site WaterC'' Baseline'!$C$9:$AB$257,25,FALSE))</f>
        <v/>
      </c>
      <c r="BD194" s="30" t="str">
        <f t="shared" si="31"/>
        <v/>
      </c>
      <c r="BE194" s="30" t="str">
        <f>IF(B194="","",VLOOKUP($B194,'F-1 Off-Site WaterC'' Baseline'!$C$9:$AB$257,24,FALSE))</f>
        <v/>
      </c>
      <c r="BF194" s="30" t="str">
        <f>IF(B194="","",VLOOKUP($B194,'F-1 Off-Site WaterC'' Baseline'!$C$9:$AB$257,22,FALSE))</f>
        <v/>
      </c>
      <c r="BJ194" s="30" t="str">
        <f t="shared" si="32"/>
        <v>No</v>
      </c>
    </row>
    <row r="195" spans="2:62" ht="14">
      <c r="B195" s="305" t="str">
        <f>'F-1 Off-Site WaterC'' Baseline'!AS193</f>
        <v/>
      </c>
      <c r="C195" s="295" t="str">
        <f>IF(B195="","",VLOOKUP($B195,'F-1 Off-Site WaterC'' Baseline'!$C$9:$R$257,2,FALSE))</f>
        <v/>
      </c>
      <c r="D195" s="295" t="str">
        <f>IF(C195="","",VLOOKUP($B195,'F-1 Off-Site WaterC'' Baseline'!$C$9:$R$257,3,FALSE))</f>
        <v/>
      </c>
      <c r="E195" s="295" t="str">
        <f>IF(D195="","",VLOOKUP($B195,'F-1 Off-Site WaterC'' Baseline'!$C$9:$R$257,4,FALSE))</f>
        <v/>
      </c>
      <c r="F195" s="295" t="str">
        <f>IF(E195="","",VLOOKUP($B195,'F-1 Off-Site WaterC'' Baseline'!$C$9:$R$257,5,FALSE))</f>
        <v/>
      </c>
      <c r="G195" s="295" t="str">
        <f>IF(F195="","",VLOOKUP($B195,'F-1 Off-Site WaterC'' Baseline'!$C$9:$R$257,6,FALSE))</f>
        <v/>
      </c>
      <c r="H195" s="295" t="str">
        <f>IF(G195="","",VLOOKUP($B195,'F-1 Off-Site WaterC'' Baseline'!$C$9:$R$257,7,FALSE))</f>
        <v/>
      </c>
      <c r="I195" s="295" t="str">
        <f>IF(H195="","",VLOOKUP($B195,'F-1 Off-Site WaterC'' Baseline'!$C$9:$R$257,8,FALSE))</f>
        <v/>
      </c>
      <c r="J195" s="295" t="str">
        <f>IF(I195="","",VLOOKUP($B195,'F-1 Off-Site WaterC'' Baseline'!$C$9:$R$257,9,FALSE))</f>
        <v/>
      </c>
      <c r="K195" s="295" t="str">
        <f>IF(J195="","",VLOOKUP($B195,'F-1 Off-Site WaterC'' Baseline'!$C$9:$R$257,10,FALSE))</f>
        <v/>
      </c>
      <c r="L195" s="283" t="str">
        <f>IF(B195="","",VLOOKUP($B195,'F-1 Off-Site WaterC'' Baseline'!$C$9:$R$257,15,FALSE))</f>
        <v/>
      </c>
      <c r="M195" s="299" t="str">
        <f>IF(L195="","",VLOOKUP($B195,'F-1 Off-Site WaterC'' Baseline'!$C$9:$V$257,19,FALSE))</f>
        <v/>
      </c>
      <c r="N195" s="244"/>
      <c r="O195" s="275" t="str">
        <f t="shared" si="25"/>
        <v/>
      </c>
      <c r="P195" s="276" t="str">
        <f t="shared" si="26"/>
        <v/>
      </c>
      <c r="Q195" s="281" t="str">
        <f>IF(N195="","",VLOOKUP(B195,'F-1 Off-Site WaterC'' Baseline'!$C$10:$AF$257,23,FALSE))</f>
        <v/>
      </c>
      <c r="R195" s="275" t="str">
        <f>IF(N195="","",VLOOKUP(N195,'G-7 WaterC'' Data'!$B$2:$G$8,2,FALSE))</f>
        <v/>
      </c>
      <c r="S195" s="276" t="str">
        <f>IFERROR(VLOOKUP(R195,'G-7 WaterC'' Data'!$C$4:$D$8,2,FALSE),"")</f>
        <v/>
      </c>
      <c r="T195" s="101"/>
      <c r="U195" s="276" t="str">
        <f>IFERROR(INDEX('G-7 WaterC'' Data'!$H$4:$L$8,MATCH(N195,'G-7 WaterC'' Data'!$B$4:$B$8,0),MATCH(T195,'G-7 WaterC'' Data'!$H$3:$L$3,0)),"")</f>
        <v/>
      </c>
      <c r="V195" s="105"/>
      <c r="W195" s="295" t="str">
        <f>IF(V195="","",IF(VLOOKUP(V195,'G-7 WaterC'' Data'!$AK$4:$AM$6,2,FALSE)=0,"Spatial Data Missing ⚠",VLOOKUP(V195,'G-7 WaterC'' Data'!$AK$4:$AM$6,2,FALSE)))</f>
        <v/>
      </c>
      <c r="X195" s="299" t="str">
        <f>IF(V195="","",IF(VLOOKUP(V195,'G-7 WaterC'' Data'!$AK$4:$AM$6,3,FALSE)=0,"Spatial Data Missing ⚠",VLOOKUP(V195,'G-7 WaterC'' Data'!$AK$4:$AM$6,3,FALSE)))</f>
        <v/>
      </c>
      <c r="Y195" s="311" t="str">
        <f>IFERROR(IF(OR(LEFT(P195,5)="Error",LEFT(O195,5)="Error"),"Check Data ⚠",IF(F195&lt;S195,'G-7 WaterC'' Data'!$R$3,INDEX('G-7 WaterC'' Data'!$U$5:$Y$9,MATCH(G195,'G-7 WaterC'' Data'!$T$5:$T$9,0),MATCH(T195,'G-7 WaterC'' Data'!$U$4:$Y$4,0)))),"")</f>
        <v/>
      </c>
      <c r="Z195" s="138"/>
      <c r="AA195" s="138"/>
      <c r="AB195" s="308" t="str">
        <f t="shared" si="22"/>
        <v/>
      </c>
      <c r="AC195" s="296" t="str">
        <f t="shared" si="27"/>
        <v/>
      </c>
      <c r="AD195" s="334" t="str">
        <f>IFERROR(IF(AC195="Check Data ⚠","Check Data ⚠",VLOOKUP(AC195,'G-4 Temporal multipliers'!$A$4:$C$37,3,FALSE)),"")</f>
        <v/>
      </c>
      <c r="AE195" s="311" t="str">
        <f>IF(N195="","",VLOOKUP(N195,'G-7 WaterC'' Data'!$B$4:$G$8,5,FALSE))</f>
        <v/>
      </c>
      <c r="AF195" s="295" t="str">
        <f t="shared" si="23"/>
        <v/>
      </c>
      <c r="AG195" s="295" t="str">
        <f t="shared" si="28"/>
        <v/>
      </c>
      <c r="AH195" s="276" t="str">
        <f t="shared" si="24"/>
        <v/>
      </c>
      <c r="AI195" s="105"/>
      <c r="AJ195" s="276" t="str">
        <f>IF(AI195="","",(IF(AND(AI195="N/A - Culvert",N195&lt;&gt;"Culvert"),"Not possible ▲",IF(VLOOKUP(AI195,'G-7 WaterC'' Data'!$AA$4:$AB$7,2,FALSE)=0,"Spatial Data Missing ⚠",VLOOKUP(AI195,'G-7 WaterC'' Data'!$AA$4:$AB$7,2,FALSE)))))</f>
        <v/>
      </c>
      <c r="AK195" s="106"/>
      <c r="AL195" s="310" t="str">
        <f>IF(AK195="","",IF(AND(AK195="N/A - Culvert",N195&lt;&gt;"Culvert"),"Not possible ▲",IF(VLOOKUP(AK195,'G-7 WaterC'' Data'!$AD$4:$AE$14,2,FALSE)=0,"Spatial Data Missing ⚠",VLOOKUP(AK195,'G-7 WaterC'' Data'!$AD$4:$AE$14,2,FALSE))))</f>
        <v/>
      </c>
      <c r="AM195" s="275" t="str">
        <f>IF(B195="","",VLOOKUP($B195,'F-1 Off-Site WaterC'' Baseline'!$C$9:$Z$257,17,FALSE))</f>
        <v/>
      </c>
      <c r="AN195" s="276" t="str">
        <f>IF(AM195="","",IF(VLOOKUP(AM195,'G-7 WaterC'' Data'!$AO$4:$BO$7,2,FALSE)=0,"Spatial Data Missing ⚠",VLOOKUP(AM195,'G-7 WaterC'' Data'!$AO$4:$BO$7,2,FALSE)))</f>
        <v/>
      </c>
      <c r="AO195" s="317" t="str">
        <f t="shared" si="29"/>
        <v/>
      </c>
      <c r="AP195" s="317" t="str">
        <f t="shared" si="30"/>
        <v/>
      </c>
      <c r="AQ195" s="101"/>
      <c r="AR195" s="115"/>
      <c r="AS195" s="104"/>
      <c r="AT195" s="104"/>
      <c r="AW195" s="30" t="str">
        <f>IF(E195="","",VLOOKUP($B195,'F-1 Off-Site WaterC'' Baseline'!$C$9:$Z$257,12,FALSE))</f>
        <v/>
      </c>
      <c r="AX195" s="30" t="str">
        <f>IF(E195="","",VLOOKUP($B195,'F-1 Off-Site WaterC'' Baseline'!$C$9:$Z$257,14,FALSE))</f>
        <v/>
      </c>
      <c r="AY195" s="30" t="str">
        <f>IFERROR(INDEX('G-7 WaterC'' Data'!$AZ$3:$AZ$7,MATCH(N195,'G-7 WaterC'' Data'!$AY$3:$AY$7,0)),"")</f>
        <v/>
      </c>
      <c r="AZ195" s="30" t="str">
        <f>IF(B195="","",IF(ISNA(VLOOKUP($B195,'F-1 Off-Site WaterC'' Baseline'!$C$8:$AD$257,20,FALSE)),"",(VLOOKUP($B195,'F-1 Off-Site WaterC'' Baseline'!$C$8:$AD$257,20,FALSE))))</f>
        <v/>
      </c>
      <c r="BC195" s="30" t="str">
        <f>IF(B195="","",VLOOKUP($B195,'F-1 Off-Site WaterC'' Baseline'!$C$9:$AB$257,25,FALSE))</f>
        <v/>
      </c>
      <c r="BD195" s="30" t="str">
        <f t="shared" si="31"/>
        <v/>
      </c>
      <c r="BE195" s="30" t="str">
        <f>IF(B195="","",VLOOKUP($B195,'F-1 Off-Site WaterC'' Baseline'!$C$9:$AB$257,24,FALSE))</f>
        <v/>
      </c>
      <c r="BF195" s="30" t="str">
        <f>IF(B195="","",VLOOKUP($B195,'F-1 Off-Site WaterC'' Baseline'!$C$9:$AB$257,22,FALSE))</f>
        <v/>
      </c>
      <c r="BJ195" s="30" t="str">
        <f t="shared" si="32"/>
        <v>No</v>
      </c>
    </row>
    <row r="196" spans="2:62" ht="14">
      <c r="B196" s="305" t="str">
        <f>'F-1 Off-Site WaterC'' Baseline'!AS194</f>
        <v/>
      </c>
      <c r="C196" s="295" t="str">
        <f>IF(B196="","",VLOOKUP($B196,'F-1 Off-Site WaterC'' Baseline'!$C$9:$R$257,2,FALSE))</f>
        <v/>
      </c>
      <c r="D196" s="295" t="str">
        <f>IF(C196="","",VLOOKUP($B196,'F-1 Off-Site WaterC'' Baseline'!$C$9:$R$257,3,FALSE))</f>
        <v/>
      </c>
      <c r="E196" s="295" t="str">
        <f>IF(D196="","",VLOOKUP($B196,'F-1 Off-Site WaterC'' Baseline'!$C$9:$R$257,4,FALSE))</f>
        <v/>
      </c>
      <c r="F196" s="295" t="str">
        <f>IF(E196="","",VLOOKUP($B196,'F-1 Off-Site WaterC'' Baseline'!$C$9:$R$257,5,FALSE))</f>
        <v/>
      </c>
      <c r="G196" s="295" t="str">
        <f>IF(F196="","",VLOOKUP($B196,'F-1 Off-Site WaterC'' Baseline'!$C$9:$R$257,6,FALSE))</f>
        <v/>
      </c>
      <c r="H196" s="295" t="str">
        <f>IF(G196="","",VLOOKUP($B196,'F-1 Off-Site WaterC'' Baseline'!$C$9:$R$257,7,FALSE))</f>
        <v/>
      </c>
      <c r="I196" s="295" t="str">
        <f>IF(H196="","",VLOOKUP($B196,'F-1 Off-Site WaterC'' Baseline'!$C$9:$R$257,8,FALSE))</f>
        <v/>
      </c>
      <c r="J196" s="295" t="str">
        <f>IF(I196="","",VLOOKUP($B196,'F-1 Off-Site WaterC'' Baseline'!$C$9:$R$257,9,FALSE))</f>
        <v/>
      </c>
      <c r="K196" s="295" t="str">
        <f>IF(J196="","",VLOOKUP($B196,'F-1 Off-Site WaterC'' Baseline'!$C$9:$R$257,10,FALSE))</f>
        <v/>
      </c>
      <c r="L196" s="283" t="str">
        <f>IF(B196="","",VLOOKUP($B196,'F-1 Off-Site WaterC'' Baseline'!$C$9:$R$257,15,FALSE))</f>
        <v/>
      </c>
      <c r="M196" s="299" t="str">
        <f>IF(L196="","",VLOOKUP($B196,'F-1 Off-Site WaterC'' Baseline'!$C$9:$V$257,19,FALSE))</f>
        <v/>
      </c>
      <c r="N196" s="244"/>
      <c r="O196" s="275" t="str">
        <f t="shared" si="25"/>
        <v/>
      </c>
      <c r="P196" s="276" t="str">
        <f t="shared" si="26"/>
        <v/>
      </c>
      <c r="Q196" s="281" t="str">
        <f>IF(N196="","",VLOOKUP(B196,'F-1 Off-Site WaterC'' Baseline'!$C$10:$AF$257,23,FALSE))</f>
        <v/>
      </c>
      <c r="R196" s="275" t="str">
        <f>IF(N196="","",VLOOKUP(N196,'G-7 WaterC'' Data'!$B$2:$G$8,2,FALSE))</f>
        <v/>
      </c>
      <c r="S196" s="276" t="str">
        <f>IFERROR(VLOOKUP(R196,'G-7 WaterC'' Data'!$C$4:$D$8,2,FALSE),"")</f>
        <v/>
      </c>
      <c r="T196" s="101"/>
      <c r="U196" s="276" t="str">
        <f>IFERROR(INDEX('G-7 WaterC'' Data'!$H$4:$L$8,MATCH(N196,'G-7 WaterC'' Data'!$B$4:$B$8,0),MATCH(T196,'G-7 WaterC'' Data'!$H$3:$L$3,0)),"")</f>
        <v/>
      </c>
      <c r="V196" s="105"/>
      <c r="W196" s="295" t="str">
        <f>IF(V196="","",IF(VLOOKUP(V196,'G-7 WaterC'' Data'!$AK$4:$AM$6,2,FALSE)=0,"Spatial Data Missing ⚠",VLOOKUP(V196,'G-7 WaterC'' Data'!$AK$4:$AM$6,2,FALSE)))</f>
        <v/>
      </c>
      <c r="X196" s="299" t="str">
        <f>IF(V196="","",IF(VLOOKUP(V196,'G-7 WaterC'' Data'!$AK$4:$AM$6,3,FALSE)=0,"Spatial Data Missing ⚠",VLOOKUP(V196,'G-7 WaterC'' Data'!$AK$4:$AM$6,3,FALSE)))</f>
        <v/>
      </c>
      <c r="Y196" s="311" t="str">
        <f>IFERROR(IF(OR(LEFT(P196,5)="Error",LEFT(O196,5)="Error"),"Check Data ⚠",IF(F196&lt;S196,'G-7 WaterC'' Data'!$R$3,INDEX('G-7 WaterC'' Data'!$U$5:$Y$9,MATCH(G196,'G-7 WaterC'' Data'!$T$5:$T$9,0),MATCH(T196,'G-7 WaterC'' Data'!$U$4:$Y$4,0)))),"")</f>
        <v/>
      </c>
      <c r="Z196" s="138"/>
      <c r="AA196" s="138"/>
      <c r="AB196" s="308" t="str">
        <f t="shared" si="22"/>
        <v/>
      </c>
      <c r="AC196" s="296" t="str">
        <f t="shared" si="27"/>
        <v/>
      </c>
      <c r="AD196" s="334" t="str">
        <f>IFERROR(IF(AC196="Check Data ⚠","Check Data ⚠",VLOOKUP(AC196,'G-4 Temporal multipliers'!$A$4:$C$37,3,FALSE)),"")</f>
        <v/>
      </c>
      <c r="AE196" s="311" t="str">
        <f>IF(N196="","",VLOOKUP(N196,'G-7 WaterC'' Data'!$B$4:$G$8,5,FALSE))</f>
        <v/>
      </c>
      <c r="AF196" s="295" t="str">
        <f t="shared" si="23"/>
        <v/>
      </c>
      <c r="AG196" s="295" t="str">
        <f t="shared" si="28"/>
        <v/>
      </c>
      <c r="AH196" s="276" t="str">
        <f t="shared" si="24"/>
        <v/>
      </c>
      <c r="AI196" s="105"/>
      <c r="AJ196" s="276" t="str">
        <f>IF(AI196="","",(IF(AND(AI196="N/A - Culvert",N196&lt;&gt;"Culvert"),"Not possible ▲",IF(VLOOKUP(AI196,'G-7 WaterC'' Data'!$AA$4:$AB$7,2,FALSE)=0,"Spatial Data Missing ⚠",VLOOKUP(AI196,'G-7 WaterC'' Data'!$AA$4:$AB$7,2,FALSE)))))</f>
        <v/>
      </c>
      <c r="AK196" s="106"/>
      <c r="AL196" s="310" t="str">
        <f>IF(AK196="","",IF(AND(AK196="N/A - Culvert",N196&lt;&gt;"Culvert"),"Not possible ▲",IF(VLOOKUP(AK196,'G-7 WaterC'' Data'!$AD$4:$AE$14,2,FALSE)=0,"Spatial Data Missing ⚠",VLOOKUP(AK196,'G-7 WaterC'' Data'!$AD$4:$AE$14,2,FALSE))))</f>
        <v/>
      </c>
      <c r="AM196" s="275" t="str">
        <f>IF(B196="","",VLOOKUP($B196,'F-1 Off-Site WaterC'' Baseline'!$C$9:$Z$257,17,FALSE))</f>
        <v/>
      </c>
      <c r="AN196" s="276" t="str">
        <f>IF(AM196="","",IF(VLOOKUP(AM196,'G-7 WaterC'' Data'!$AO$4:$BO$7,2,FALSE)=0,"Spatial Data Missing ⚠",VLOOKUP(AM196,'G-7 WaterC'' Data'!$AO$4:$BO$7,2,FALSE)))</f>
        <v/>
      </c>
      <c r="AO196" s="317" t="str">
        <f t="shared" si="29"/>
        <v/>
      </c>
      <c r="AP196" s="317" t="str">
        <f t="shared" si="30"/>
        <v/>
      </c>
      <c r="AQ196" s="101"/>
      <c r="AR196" s="115"/>
      <c r="AS196" s="104"/>
      <c r="AT196" s="104"/>
      <c r="AW196" s="30" t="str">
        <f>IF(E196="","",VLOOKUP($B196,'F-1 Off-Site WaterC'' Baseline'!$C$9:$Z$257,12,FALSE))</f>
        <v/>
      </c>
      <c r="AX196" s="30" t="str">
        <f>IF(E196="","",VLOOKUP($B196,'F-1 Off-Site WaterC'' Baseline'!$C$9:$Z$257,14,FALSE))</f>
        <v/>
      </c>
      <c r="AY196" s="30" t="str">
        <f>IFERROR(INDEX('G-7 WaterC'' Data'!$AZ$3:$AZ$7,MATCH(N196,'G-7 WaterC'' Data'!$AY$3:$AY$7,0)),"")</f>
        <v/>
      </c>
      <c r="AZ196" s="30" t="str">
        <f>IF(B196="","",IF(ISNA(VLOOKUP($B196,'F-1 Off-Site WaterC'' Baseline'!$C$8:$AD$257,20,FALSE)),"",(VLOOKUP($B196,'F-1 Off-Site WaterC'' Baseline'!$C$8:$AD$257,20,FALSE))))</f>
        <v/>
      </c>
      <c r="BC196" s="30" t="str">
        <f>IF(B196="","",VLOOKUP($B196,'F-1 Off-Site WaterC'' Baseline'!$C$9:$AB$257,25,FALSE))</f>
        <v/>
      </c>
      <c r="BD196" s="30" t="str">
        <f t="shared" si="31"/>
        <v/>
      </c>
      <c r="BE196" s="30" t="str">
        <f>IF(B196="","",VLOOKUP($B196,'F-1 Off-Site WaterC'' Baseline'!$C$9:$AB$257,24,FALSE))</f>
        <v/>
      </c>
      <c r="BF196" s="30" t="str">
        <f>IF(B196="","",VLOOKUP($B196,'F-1 Off-Site WaterC'' Baseline'!$C$9:$AB$257,22,FALSE))</f>
        <v/>
      </c>
      <c r="BJ196" s="30" t="str">
        <f t="shared" si="32"/>
        <v>No</v>
      </c>
    </row>
    <row r="197" spans="2:62" ht="14">
      <c r="B197" s="305" t="str">
        <f>'F-1 Off-Site WaterC'' Baseline'!AS195</f>
        <v/>
      </c>
      <c r="C197" s="295" t="str">
        <f>IF(B197="","",VLOOKUP($B197,'F-1 Off-Site WaterC'' Baseline'!$C$9:$R$257,2,FALSE))</f>
        <v/>
      </c>
      <c r="D197" s="295" t="str">
        <f>IF(C197="","",VLOOKUP($B197,'F-1 Off-Site WaterC'' Baseline'!$C$9:$R$257,3,FALSE))</f>
        <v/>
      </c>
      <c r="E197" s="295" t="str">
        <f>IF(D197="","",VLOOKUP($B197,'F-1 Off-Site WaterC'' Baseline'!$C$9:$R$257,4,FALSE))</f>
        <v/>
      </c>
      <c r="F197" s="295" t="str">
        <f>IF(E197="","",VLOOKUP($B197,'F-1 Off-Site WaterC'' Baseline'!$C$9:$R$257,5,FALSE))</f>
        <v/>
      </c>
      <c r="G197" s="295" t="str">
        <f>IF(F197="","",VLOOKUP($B197,'F-1 Off-Site WaterC'' Baseline'!$C$9:$R$257,6,FALSE))</f>
        <v/>
      </c>
      <c r="H197" s="295" t="str">
        <f>IF(G197="","",VLOOKUP($B197,'F-1 Off-Site WaterC'' Baseline'!$C$9:$R$257,7,FALSE))</f>
        <v/>
      </c>
      <c r="I197" s="295" t="str">
        <f>IF(H197="","",VLOOKUP($B197,'F-1 Off-Site WaterC'' Baseline'!$C$9:$R$257,8,FALSE))</f>
        <v/>
      </c>
      <c r="J197" s="295" t="str">
        <f>IF(I197="","",VLOOKUP($B197,'F-1 Off-Site WaterC'' Baseline'!$C$9:$R$257,9,FALSE))</f>
        <v/>
      </c>
      <c r="K197" s="295" t="str">
        <f>IF(J197="","",VLOOKUP($B197,'F-1 Off-Site WaterC'' Baseline'!$C$9:$R$257,10,FALSE))</f>
        <v/>
      </c>
      <c r="L197" s="283" t="str">
        <f>IF(B197="","",VLOOKUP($B197,'F-1 Off-Site WaterC'' Baseline'!$C$9:$R$257,15,FALSE))</f>
        <v/>
      </c>
      <c r="M197" s="299" t="str">
        <f>IF(L197="","",VLOOKUP($B197,'F-1 Off-Site WaterC'' Baseline'!$C$9:$V$257,19,FALSE))</f>
        <v/>
      </c>
      <c r="N197" s="244"/>
      <c r="O197" s="275" t="str">
        <f t="shared" si="25"/>
        <v/>
      </c>
      <c r="P197" s="276" t="str">
        <f t="shared" si="26"/>
        <v/>
      </c>
      <c r="Q197" s="281" t="str">
        <f>IF(N197="","",VLOOKUP(B197,'F-1 Off-Site WaterC'' Baseline'!$C$10:$AF$257,23,FALSE))</f>
        <v/>
      </c>
      <c r="R197" s="275" t="str">
        <f>IF(N197="","",VLOOKUP(N197,'G-7 WaterC'' Data'!$B$2:$G$8,2,FALSE))</f>
        <v/>
      </c>
      <c r="S197" s="276" t="str">
        <f>IFERROR(VLOOKUP(R197,'G-7 WaterC'' Data'!$C$4:$D$8,2,FALSE),"")</f>
        <v/>
      </c>
      <c r="T197" s="101"/>
      <c r="U197" s="276" t="str">
        <f>IFERROR(INDEX('G-7 WaterC'' Data'!$H$4:$L$8,MATCH(N197,'G-7 WaterC'' Data'!$B$4:$B$8,0),MATCH(T197,'G-7 WaterC'' Data'!$H$3:$L$3,0)),"")</f>
        <v/>
      </c>
      <c r="V197" s="105"/>
      <c r="W197" s="295" t="str">
        <f>IF(V197="","",IF(VLOOKUP(V197,'G-7 WaterC'' Data'!$AK$4:$AM$6,2,FALSE)=0,"Spatial Data Missing ⚠",VLOOKUP(V197,'G-7 WaterC'' Data'!$AK$4:$AM$6,2,FALSE)))</f>
        <v/>
      </c>
      <c r="X197" s="299" t="str">
        <f>IF(V197="","",IF(VLOOKUP(V197,'G-7 WaterC'' Data'!$AK$4:$AM$6,3,FALSE)=0,"Spatial Data Missing ⚠",VLOOKUP(V197,'G-7 WaterC'' Data'!$AK$4:$AM$6,3,FALSE)))</f>
        <v/>
      </c>
      <c r="Y197" s="311" t="str">
        <f>IFERROR(IF(OR(LEFT(P197,5)="Error",LEFT(O197,5)="Error"),"Check Data ⚠",IF(F197&lt;S197,'G-7 WaterC'' Data'!$R$3,INDEX('G-7 WaterC'' Data'!$U$5:$Y$9,MATCH(G197,'G-7 WaterC'' Data'!$T$5:$T$9,0),MATCH(T197,'G-7 WaterC'' Data'!$U$4:$Y$4,0)))),"")</f>
        <v/>
      </c>
      <c r="Z197" s="138"/>
      <c r="AA197" s="138"/>
      <c r="AB197" s="308" t="str">
        <f t="shared" si="22"/>
        <v/>
      </c>
      <c r="AC197" s="296" t="str">
        <f t="shared" si="27"/>
        <v/>
      </c>
      <c r="AD197" s="334" t="str">
        <f>IFERROR(IF(AC197="Check Data ⚠","Check Data ⚠",VLOOKUP(AC197,'G-4 Temporal multipliers'!$A$4:$C$37,3,FALSE)),"")</f>
        <v/>
      </c>
      <c r="AE197" s="311" t="str">
        <f>IF(N197="","",VLOOKUP(N197,'G-7 WaterC'' Data'!$B$4:$G$8,5,FALSE))</f>
        <v/>
      </c>
      <c r="AF197" s="295" t="str">
        <f t="shared" si="23"/>
        <v/>
      </c>
      <c r="AG197" s="295" t="str">
        <f t="shared" si="28"/>
        <v/>
      </c>
      <c r="AH197" s="276" t="str">
        <f t="shared" si="24"/>
        <v/>
      </c>
      <c r="AI197" s="105"/>
      <c r="AJ197" s="276" t="str">
        <f>IF(AI197="","",(IF(AND(AI197="N/A - Culvert",N197&lt;&gt;"Culvert"),"Not possible ▲",IF(VLOOKUP(AI197,'G-7 WaterC'' Data'!$AA$4:$AB$7,2,FALSE)=0,"Spatial Data Missing ⚠",VLOOKUP(AI197,'G-7 WaterC'' Data'!$AA$4:$AB$7,2,FALSE)))))</f>
        <v/>
      </c>
      <c r="AK197" s="106"/>
      <c r="AL197" s="310" t="str">
        <f>IF(AK197="","",IF(AND(AK197="N/A - Culvert",N197&lt;&gt;"Culvert"),"Not possible ▲",IF(VLOOKUP(AK197,'G-7 WaterC'' Data'!$AD$4:$AE$14,2,FALSE)=0,"Spatial Data Missing ⚠",VLOOKUP(AK197,'G-7 WaterC'' Data'!$AD$4:$AE$14,2,FALSE))))</f>
        <v/>
      </c>
      <c r="AM197" s="275" t="str">
        <f>IF(B197="","",VLOOKUP($B197,'F-1 Off-Site WaterC'' Baseline'!$C$9:$Z$257,17,FALSE))</f>
        <v/>
      </c>
      <c r="AN197" s="276" t="str">
        <f>IF(AM197="","",IF(VLOOKUP(AM197,'G-7 WaterC'' Data'!$AO$4:$BO$7,2,FALSE)=0,"Spatial Data Missing ⚠",VLOOKUP(AM197,'G-7 WaterC'' Data'!$AO$4:$BO$7,2,FALSE)))</f>
        <v/>
      </c>
      <c r="AO197" s="317" t="str">
        <f t="shared" si="29"/>
        <v/>
      </c>
      <c r="AP197" s="317" t="str">
        <f t="shared" si="30"/>
        <v/>
      </c>
      <c r="AQ197" s="101"/>
      <c r="AR197" s="115"/>
      <c r="AS197" s="104"/>
      <c r="AT197" s="104"/>
      <c r="AW197" s="30" t="str">
        <f>IF(E197="","",VLOOKUP($B197,'F-1 Off-Site WaterC'' Baseline'!$C$9:$Z$257,12,FALSE))</f>
        <v/>
      </c>
      <c r="AX197" s="30" t="str">
        <f>IF(E197="","",VLOOKUP($B197,'F-1 Off-Site WaterC'' Baseline'!$C$9:$Z$257,14,FALSE))</f>
        <v/>
      </c>
      <c r="AY197" s="30" t="str">
        <f>IFERROR(INDEX('G-7 WaterC'' Data'!$AZ$3:$AZ$7,MATCH(N197,'G-7 WaterC'' Data'!$AY$3:$AY$7,0)),"")</f>
        <v/>
      </c>
      <c r="AZ197" s="30" t="str">
        <f>IF(B197="","",IF(ISNA(VLOOKUP($B197,'F-1 Off-Site WaterC'' Baseline'!$C$8:$AD$257,20,FALSE)),"",(VLOOKUP($B197,'F-1 Off-Site WaterC'' Baseline'!$C$8:$AD$257,20,FALSE))))</f>
        <v/>
      </c>
      <c r="BC197" s="30" t="str">
        <f>IF(B197="","",VLOOKUP($B197,'F-1 Off-Site WaterC'' Baseline'!$C$9:$AB$257,25,FALSE))</f>
        <v/>
      </c>
      <c r="BD197" s="30" t="str">
        <f t="shared" si="31"/>
        <v/>
      </c>
      <c r="BE197" s="30" t="str">
        <f>IF(B197="","",VLOOKUP($B197,'F-1 Off-Site WaterC'' Baseline'!$C$9:$AB$257,24,FALSE))</f>
        <v/>
      </c>
      <c r="BF197" s="30" t="str">
        <f>IF(B197="","",VLOOKUP($B197,'F-1 Off-Site WaterC'' Baseline'!$C$9:$AB$257,22,FALSE))</f>
        <v/>
      </c>
      <c r="BJ197" s="30" t="str">
        <f t="shared" si="32"/>
        <v>No</v>
      </c>
    </row>
    <row r="198" spans="2:62" ht="14">
      <c r="B198" s="305" t="str">
        <f>'F-1 Off-Site WaterC'' Baseline'!AS196</f>
        <v/>
      </c>
      <c r="C198" s="295" t="str">
        <f>IF(B198="","",VLOOKUP($B198,'F-1 Off-Site WaterC'' Baseline'!$C$9:$R$257,2,FALSE))</f>
        <v/>
      </c>
      <c r="D198" s="295" t="str">
        <f>IF(C198="","",VLOOKUP($B198,'F-1 Off-Site WaterC'' Baseline'!$C$9:$R$257,3,FALSE))</f>
        <v/>
      </c>
      <c r="E198" s="295" t="str">
        <f>IF(D198="","",VLOOKUP($B198,'F-1 Off-Site WaterC'' Baseline'!$C$9:$R$257,4,FALSE))</f>
        <v/>
      </c>
      <c r="F198" s="295" t="str">
        <f>IF(E198="","",VLOOKUP($B198,'F-1 Off-Site WaterC'' Baseline'!$C$9:$R$257,5,FALSE))</f>
        <v/>
      </c>
      <c r="G198" s="295" t="str">
        <f>IF(F198="","",VLOOKUP($B198,'F-1 Off-Site WaterC'' Baseline'!$C$9:$R$257,6,FALSE))</f>
        <v/>
      </c>
      <c r="H198" s="295" t="str">
        <f>IF(G198="","",VLOOKUP($B198,'F-1 Off-Site WaterC'' Baseline'!$C$9:$R$257,7,FALSE))</f>
        <v/>
      </c>
      <c r="I198" s="295" t="str">
        <f>IF(H198="","",VLOOKUP($B198,'F-1 Off-Site WaterC'' Baseline'!$C$9:$R$257,8,FALSE))</f>
        <v/>
      </c>
      <c r="J198" s="295" t="str">
        <f>IF(I198="","",VLOOKUP($B198,'F-1 Off-Site WaterC'' Baseline'!$C$9:$R$257,9,FALSE))</f>
        <v/>
      </c>
      <c r="K198" s="295" t="str">
        <f>IF(J198="","",VLOOKUP($B198,'F-1 Off-Site WaterC'' Baseline'!$C$9:$R$257,10,FALSE))</f>
        <v/>
      </c>
      <c r="L198" s="283" t="str">
        <f>IF(B198="","",VLOOKUP($B198,'F-1 Off-Site WaterC'' Baseline'!$C$9:$R$257,15,FALSE))</f>
        <v/>
      </c>
      <c r="M198" s="299" t="str">
        <f>IF(L198="","",VLOOKUP($B198,'F-1 Off-Site WaterC'' Baseline'!$C$9:$V$257,19,FALSE))</f>
        <v/>
      </c>
      <c r="N198" s="244"/>
      <c r="O198" s="275" t="str">
        <f t="shared" si="25"/>
        <v/>
      </c>
      <c r="P198" s="276" t="str">
        <f t="shared" si="26"/>
        <v/>
      </c>
      <c r="Q198" s="281" t="str">
        <f>IF(N198="","",VLOOKUP(B198,'F-1 Off-Site WaterC'' Baseline'!$C$10:$AF$257,23,FALSE))</f>
        <v/>
      </c>
      <c r="R198" s="275" t="str">
        <f>IF(N198="","",VLOOKUP(N198,'G-7 WaterC'' Data'!$B$2:$G$8,2,FALSE))</f>
        <v/>
      </c>
      <c r="S198" s="276" t="str">
        <f>IFERROR(VLOOKUP(R198,'G-7 WaterC'' Data'!$C$4:$D$8,2,FALSE),"")</f>
        <v/>
      </c>
      <c r="T198" s="101"/>
      <c r="U198" s="276" t="str">
        <f>IFERROR(INDEX('G-7 WaterC'' Data'!$H$4:$L$8,MATCH(N198,'G-7 WaterC'' Data'!$B$4:$B$8,0),MATCH(T198,'G-7 WaterC'' Data'!$H$3:$L$3,0)),"")</f>
        <v/>
      </c>
      <c r="V198" s="105"/>
      <c r="W198" s="295" t="str">
        <f>IF(V198="","",IF(VLOOKUP(V198,'G-7 WaterC'' Data'!$AK$4:$AM$6,2,FALSE)=0,"Spatial Data Missing ⚠",VLOOKUP(V198,'G-7 WaterC'' Data'!$AK$4:$AM$6,2,FALSE)))</f>
        <v/>
      </c>
      <c r="X198" s="299" t="str">
        <f>IF(V198="","",IF(VLOOKUP(V198,'G-7 WaterC'' Data'!$AK$4:$AM$6,3,FALSE)=0,"Spatial Data Missing ⚠",VLOOKUP(V198,'G-7 WaterC'' Data'!$AK$4:$AM$6,3,FALSE)))</f>
        <v/>
      </c>
      <c r="Y198" s="311" t="str">
        <f>IFERROR(IF(OR(LEFT(P198,5)="Error",LEFT(O198,5)="Error"),"Check Data ⚠",IF(F198&lt;S198,'G-7 WaterC'' Data'!$R$3,INDEX('G-7 WaterC'' Data'!$U$5:$Y$9,MATCH(G198,'G-7 WaterC'' Data'!$T$5:$T$9,0),MATCH(T198,'G-7 WaterC'' Data'!$U$4:$Y$4,0)))),"")</f>
        <v/>
      </c>
      <c r="Z198" s="138"/>
      <c r="AA198" s="138"/>
      <c r="AB198" s="308" t="str">
        <f t="shared" si="22"/>
        <v/>
      </c>
      <c r="AC198" s="296" t="str">
        <f t="shared" si="27"/>
        <v/>
      </c>
      <c r="AD198" s="334" t="str">
        <f>IFERROR(IF(AC198="Check Data ⚠","Check Data ⚠",VLOOKUP(AC198,'G-4 Temporal multipliers'!$A$4:$C$37,3,FALSE)),"")</f>
        <v/>
      </c>
      <c r="AE198" s="311" t="str">
        <f>IF(N198="","",VLOOKUP(N198,'G-7 WaterC'' Data'!$B$4:$G$8,5,FALSE))</f>
        <v/>
      </c>
      <c r="AF198" s="295" t="str">
        <f t="shared" si="23"/>
        <v/>
      </c>
      <c r="AG198" s="295" t="str">
        <f t="shared" si="28"/>
        <v/>
      </c>
      <c r="AH198" s="276" t="str">
        <f t="shared" si="24"/>
        <v/>
      </c>
      <c r="AI198" s="105"/>
      <c r="AJ198" s="276" t="str">
        <f>IF(AI198="","",(IF(AND(AI198="N/A - Culvert",N198&lt;&gt;"Culvert"),"Not possible ▲",IF(VLOOKUP(AI198,'G-7 WaterC'' Data'!$AA$4:$AB$7,2,FALSE)=0,"Spatial Data Missing ⚠",VLOOKUP(AI198,'G-7 WaterC'' Data'!$AA$4:$AB$7,2,FALSE)))))</f>
        <v/>
      </c>
      <c r="AK198" s="106"/>
      <c r="AL198" s="310" t="str">
        <f>IF(AK198="","",IF(AND(AK198="N/A - Culvert",N198&lt;&gt;"Culvert"),"Not possible ▲",IF(VLOOKUP(AK198,'G-7 WaterC'' Data'!$AD$4:$AE$14,2,FALSE)=0,"Spatial Data Missing ⚠",VLOOKUP(AK198,'G-7 WaterC'' Data'!$AD$4:$AE$14,2,FALSE))))</f>
        <v/>
      </c>
      <c r="AM198" s="275" t="str">
        <f>IF(B198="","",VLOOKUP($B198,'F-1 Off-Site WaterC'' Baseline'!$C$9:$Z$257,17,FALSE))</f>
        <v/>
      </c>
      <c r="AN198" s="276" t="str">
        <f>IF(AM198="","",IF(VLOOKUP(AM198,'G-7 WaterC'' Data'!$AO$4:$BO$7,2,FALSE)=0,"Spatial Data Missing ⚠",VLOOKUP(AM198,'G-7 WaterC'' Data'!$AO$4:$BO$7,2,FALSE)))</f>
        <v/>
      </c>
      <c r="AO198" s="317" t="str">
        <f t="shared" si="29"/>
        <v/>
      </c>
      <c r="AP198" s="317" t="str">
        <f t="shared" si="30"/>
        <v/>
      </c>
      <c r="AQ198" s="101"/>
      <c r="AR198" s="115"/>
      <c r="AS198" s="104"/>
      <c r="AT198" s="104"/>
      <c r="AW198" s="30" t="str">
        <f>IF(E198="","",VLOOKUP($B198,'F-1 Off-Site WaterC'' Baseline'!$C$9:$Z$257,12,FALSE))</f>
        <v/>
      </c>
      <c r="AX198" s="30" t="str">
        <f>IF(E198="","",VLOOKUP($B198,'F-1 Off-Site WaterC'' Baseline'!$C$9:$Z$257,14,FALSE))</f>
        <v/>
      </c>
      <c r="AY198" s="30" t="str">
        <f>IFERROR(INDEX('G-7 WaterC'' Data'!$AZ$3:$AZ$7,MATCH(N198,'G-7 WaterC'' Data'!$AY$3:$AY$7,0)),"")</f>
        <v/>
      </c>
      <c r="AZ198" s="30" t="str">
        <f>IF(B198="","",IF(ISNA(VLOOKUP($B198,'F-1 Off-Site WaterC'' Baseline'!$C$8:$AD$257,20,FALSE)),"",(VLOOKUP($B198,'F-1 Off-Site WaterC'' Baseline'!$C$8:$AD$257,20,FALSE))))</f>
        <v/>
      </c>
      <c r="BC198" s="30" t="str">
        <f>IF(B198="","",VLOOKUP($B198,'F-1 Off-Site WaterC'' Baseline'!$C$9:$AB$257,25,FALSE))</f>
        <v/>
      </c>
      <c r="BD198" s="30" t="str">
        <f t="shared" si="31"/>
        <v/>
      </c>
      <c r="BE198" s="30" t="str">
        <f>IF(B198="","",VLOOKUP($B198,'F-1 Off-Site WaterC'' Baseline'!$C$9:$AB$257,24,FALSE))</f>
        <v/>
      </c>
      <c r="BF198" s="30" t="str">
        <f>IF(B198="","",VLOOKUP($B198,'F-1 Off-Site WaterC'' Baseline'!$C$9:$AB$257,22,FALSE))</f>
        <v/>
      </c>
      <c r="BJ198" s="30" t="str">
        <f t="shared" si="32"/>
        <v>No</v>
      </c>
    </row>
    <row r="199" spans="2:62" ht="14">
      <c r="B199" s="305" t="str">
        <f>'F-1 Off-Site WaterC'' Baseline'!AS197</f>
        <v/>
      </c>
      <c r="C199" s="295" t="str">
        <f>IF(B199="","",VLOOKUP($B199,'F-1 Off-Site WaterC'' Baseline'!$C$9:$R$257,2,FALSE))</f>
        <v/>
      </c>
      <c r="D199" s="295" t="str">
        <f>IF(C199="","",VLOOKUP($B199,'F-1 Off-Site WaterC'' Baseline'!$C$9:$R$257,3,FALSE))</f>
        <v/>
      </c>
      <c r="E199" s="295" t="str">
        <f>IF(D199="","",VLOOKUP($B199,'F-1 Off-Site WaterC'' Baseline'!$C$9:$R$257,4,FALSE))</f>
        <v/>
      </c>
      <c r="F199" s="295" t="str">
        <f>IF(E199="","",VLOOKUP($B199,'F-1 Off-Site WaterC'' Baseline'!$C$9:$R$257,5,FALSE))</f>
        <v/>
      </c>
      <c r="G199" s="295" t="str">
        <f>IF(F199="","",VLOOKUP($B199,'F-1 Off-Site WaterC'' Baseline'!$C$9:$R$257,6,FALSE))</f>
        <v/>
      </c>
      <c r="H199" s="295" t="str">
        <f>IF(G199="","",VLOOKUP($B199,'F-1 Off-Site WaterC'' Baseline'!$C$9:$R$257,7,FALSE))</f>
        <v/>
      </c>
      <c r="I199" s="295" t="str">
        <f>IF(H199="","",VLOOKUP($B199,'F-1 Off-Site WaterC'' Baseline'!$C$9:$R$257,8,FALSE))</f>
        <v/>
      </c>
      <c r="J199" s="295" t="str">
        <f>IF(I199="","",VLOOKUP($B199,'F-1 Off-Site WaterC'' Baseline'!$C$9:$R$257,9,FALSE))</f>
        <v/>
      </c>
      <c r="K199" s="295" t="str">
        <f>IF(J199="","",VLOOKUP($B199,'F-1 Off-Site WaterC'' Baseline'!$C$9:$R$257,10,FALSE))</f>
        <v/>
      </c>
      <c r="L199" s="283" t="str">
        <f>IF(B199="","",VLOOKUP($B199,'F-1 Off-Site WaterC'' Baseline'!$C$9:$R$257,15,FALSE))</f>
        <v/>
      </c>
      <c r="M199" s="299" t="str">
        <f>IF(L199="","",VLOOKUP($B199,'F-1 Off-Site WaterC'' Baseline'!$C$9:$V$257,19,FALSE))</f>
        <v/>
      </c>
      <c r="N199" s="244"/>
      <c r="O199" s="275" t="str">
        <f t="shared" si="25"/>
        <v/>
      </c>
      <c r="P199" s="276" t="str">
        <f t="shared" si="26"/>
        <v/>
      </c>
      <c r="Q199" s="281" t="str">
        <f>IF(N199="","",VLOOKUP(B199,'F-1 Off-Site WaterC'' Baseline'!$C$10:$AF$257,23,FALSE))</f>
        <v/>
      </c>
      <c r="R199" s="275" t="str">
        <f>IF(N199="","",VLOOKUP(N199,'G-7 WaterC'' Data'!$B$2:$G$8,2,FALSE))</f>
        <v/>
      </c>
      <c r="S199" s="276" t="str">
        <f>IFERROR(VLOOKUP(R199,'G-7 WaterC'' Data'!$C$4:$D$8,2,FALSE),"")</f>
        <v/>
      </c>
      <c r="T199" s="101"/>
      <c r="U199" s="276" t="str">
        <f>IFERROR(INDEX('G-7 WaterC'' Data'!$H$4:$L$8,MATCH(N199,'G-7 WaterC'' Data'!$B$4:$B$8,0),MATCH(T199,'G-7 WaterC'' Data'!$H$3:$L$3,0)),"")</f>
        <v/>
      </c>
      <c r="V199" s="105"/>
      <c r="W199" s="295" t="str">
        <f>IF(V199="","",IF(VLOOKUP(V199,'G-7 WaterC'' Data'!$AK$4:$AM$6,2,FALSE)=0,"Spatial Data Missing ⚠",VLOOKUP(V199,'G-7 WaterC'' Data'!$AK$4:$AM$6,2,FALSE)))</f>
        <v/>
      </c>
      <c r="X199" s="299" t="str">
        <f>IF(V199="","",IF(VLOOKUP(V199,'G-7 WaterC'' Data'!$AK$4:$AM$6,3,FALSE)=0,"Spatial Data Missing ⚠",VLOOKUP(V199,'G-7 WaterC'' Data'!$AK$4:$AM$6,3,FALSE)))</f>
        <v/>
      </c>
      <c r="Y199" s="311" t="str">
        <f>IFERROR(IF(OR(LEFT(P199,5)="Error",LEFT(O199,5)="Error"),"Check Data ⚠",IF(F199&lt;S199,'G-7 WaterC'' Data'!$R$3,INDEX('G-7 WaterC'' Data'!$U$5:$Y$9,MATCH(G199,'G-7 WaterC'' Data'!$T$5:$T$9,0),MATCH(T199,'G-7 WaterC'' Data'!$U$4:$Y$4,0)))),"")</f>
        <v/>
      </c>
      <c r="Z199" s="138"/>
      <c r="AA199" s="138"/>
      <c r="AB199" s="308" t="str">
        <f t="shared" si="22"/>
        <v/>
      </c>
      <c r="AC199" s="296" t="str">
        <f t="shared" si="27"/>
        <v/>
      </c>
      <c r="AD199" s="334" t="str">
        <f>IFERROR(IF(AC199="Check Data ⚠","Check Data ⚠",VLOOKUP(AC199,'G-4 Temporal multipliers'!$A$4:$C$37,3,FALSE)),"")</f>
        <v/>
      </c>
      <c r="AE199" s="311" t="str">
        <f>IF(N199="","",VLOOKUP(N199,'G-7 WaterC'' Data'!$B$4:$G$8,5,FALSE))</f>
        <v/>
      </c>
      <c r="AF199" s="295" t="str">
        <f t="shared" si="23"/>
        <v/>
      </c>
      <c r="AG199" s="295" t="str">
        <f t="shared" si="28"/>
        <v/>
      </c>
      <c r="AH199" s="276" t="str">
        <f t="shared" si="24"/>
        <v/>
      </c>
      <c r="AI199" s="105"/>
      <c r="AJ199" s="276" t="str">
        <f>IF(AI199="","",(IF(AND(AI199="N/A - Culvert",N199&lt;&gt;"Culvert"),"Not possible ▲",IF(VLOOKUP(AI199,'G-7 WaterC'' Data'!$AA$4:$AB$7,2,FALSE)=0,"Spatial Data Missing ⚠",VLOOKUP(AI199,'G-7 WaterC'' Data'!$AA$4:$AB$7,2,FALSE)))))</f>
        <v/>
      </c>
      <c r="AK199" s="106"/>
      <c r="AL199" s="310" t="str">
        <f>IF(AK199="","",IF(AND(AK199="N/A - Culvert",N199&lt;&gt;"Culvert"),"Not possible ▲",IF(VLOOKUP(AK199,'G-7 WaterC'' Data'!$AD$4:$AE$14,2,FALSE)=0,"Spatial Data Missing ⚠",VLOOKUP(AK199,'G-7 WaterC'' Data'!$AD$4:$AE$14,2,FALSE))))</f>
        <v/>
      </c>
      <c r="AM199" s="275" t="str">
        <f>IF(B199="","",VLOOKUP($B199,'F-1 Off-Site WaterC'' Baseline'!$C$9:$Z$257,17,FALSE))</f>
        <v/>
      </c>
      <c r="AN199" s="276" t="str">
        <f>IF(AM199="","",IF(VLOOKUP(AM199,'G-7 WaterC'' Data'!$AO$4:$BO$7,2,FALSE)=0,"Spatial Data Missing ⚠",VLOOKUP(AM199,'G-7 WaterC'' Data'!$AO$4:$BO$7,2,FALSE)))</f>
        <v/>
      </c>
      <c r="AO199" s="317" t="str">
        <f t="shared" si="29"/>
        <v/>
      </c>
      <c r="AP199" s="317" t="str">
        <f t="shared" si="30"/>
        <v/>
      </c>
      <c r="AQ199" s="101"/>
      <c r="AR199" s="115"/>
      <c r="AS199" s="104"/>
      <c r="AT199" s="104"/>
      <c r="AW199" s="30" t="str">
        <f>IF(E199="","",VLOOKUP($B199,'F-1 Off-Site WaterC'' Baseline'!$C$9:$Z$257,12,FALSE))</f>
        <v/>
      </c>
      <c r="AX199" s="30" t="str">
        <f>IF(E199="","",VLOOKUP($B199,'F-1 Off-Site WaterC'' Baseline'!$C$9:$Z$257,14,FALSE))</f>
        <v/>
      </c>
      <c r="AY199" s="30" t="str">
        <f>IFERROR(INDEX('G-7 WaterC'' Data'!$AZ$3:$AZ$7,MATCH(N199,'G-7 WaterC'' Data'!$AY$3:$AY$7,0)),"")</f>
        <v/>
      </c>
      <c r="AZ199" s="30" t="str">
        <f>IF(B199="","",IF(ISNA(VLOOKUP($B199,'F-1 Off-Site WaterC'' Baseline'!$C$8:$AD$257,20,FALSE)),"",(VLOOKUP($B199,'F-1 Off-Site WaterC'' Baseline'!$C$8:$AD$257,20,FALSE))))</f>
        <v/>
      </c>
      <c r="BC199" s="30" t="str">
        <f>IF(B199="","",VLOOKUP($B199,'F-1 Off-Site WaterC'' Baseline'!$C$9:$AB$257,25,FALSE))</f>
        <v/>
      </c>
      <c r="BD199" s="30" t="str">
        <f t="shared" si="31"/>
        <v/>
      </c>
      <c r="BE199" s="30" t="str">
        <f>IF(B199="","",VLOOKUP($B199,'F-1 Off-Site WaterC'' Baseline'!$C$9:$AB$257,24,FALSE))</f>
        <v/>
      </c>
      <c r="BF199" s="30" t="str">
        <f>IF(B199="","",VLOOKUP($B199,'F-1 Off-Site WaterC'' Baseline'!$C$9:$AB$257,22,FALSE))</f>
        <v/>
      </c>
      <c r="BJ199" s="30" t="str">
        <f t="shared" si="32"/>
        <v>No</v>
      </c>
    </row>
    <row r="200" spans="2:62" ht="14">
      <c r="B200" s="305" t="str">
        <f>'F-1 Off-Site WaterC'' Baseline'!AS198</f>
        <v/>
      </c>
      <c r="C200" s="295" t="str">
        <f>IF(B200="","",VLOOKUP($B200,'F-1 Off-Site WaterC'' Baseline'!$C$9:$R$257,2,FALSE))</f>
        <v/>
      </c>
      <c r="D200" s="295" t="str">
        <f>IF(C200="","",VLOOKUP($B200,'F-1 Off-Site WaterC'' Baseline'!$C$9:$R$257,3,FALSE))</f>
        <v/>
      </c>
      <c r="E200" s="295" t="str">
        <f>IF(D200="","",VLOOKUP($B200,'F-1 Off-Site WaterC'' Baseline'!$C$9:$R$257,4,FALSE))</f>
        <v/>
      </c>
      <c r="F200" s="295" t="str">
        <f>IF(E200="","",VLOOKUP($B200,'F-1 Off-Site WaterC'' Baseline'!$C$9:$R$257,5,FALSE))</f>
        <v/>
      </c>
      <c r="G200" s="295" t="str">
        <f>IF(F200="","",VLOOKUP($B200,'F-1 Off-Site WaterC'' Baseline'!$C$9:$R$257,6,FALSE))</f>
        <v/>
      </c>
      <c r="H200" s="295" t="str">
        <f>IF(G200="","",VLOOKUP($B200,'F-1 Off-Site WaterC'' Baseline'!$C$9:$R$257,7,FALSE))</f>
        <v/>
      </c>
      <c r="I200" s="295" t="str">
        <f>IF(H200="","",VLOOKUP($B200,'F-1 Off-Site WaterC'' Baseline'!$C$9:$R$257,8,FALSE))</f>
        <v/>
      </c>
      <c r="J200" s="295" t="str">
        <f>IF(I200="","",VLOOKUP($B200,'F-1 Off-Site WaterC'' Baseline'!$C$9:$R$257,9,FALSE))</f>
        <v/>
      </c>
      <c r="K200" s="295" t="str">
        <f>IF(J200="","",VLOOKUP($B200,'F-1 Off-Site WaterC'' Baseline'!$C$9:$R$257,10,FALSE))</f>
        <v/>
      </c>
      <c r="L200" s="283" t="str">
        <f>IF(B200="","",VLOOKUP($B200,'F-1 Off-Site WaterC'' Baseline'!$C$9:$R$257,15,FALSE))</f>
        <v/>
      </c>
      <c r="M200" s="299" t="str">
        <f>IF(L200="","",VLOOKUP($B200,'F-1 Off-Site WaterC'' Baseline'!$C$9:$V$257,19,FALSE))</f>
        <v/>
      </c>
      <c r="N200" s="244"/>
      <c r="O200" s="275" t="str">
        <f t="shared" si="25"/>
        <v/>
      </c>
      <c r="P200" s="276" t="str">
        <f t="shared" si="26"/>
        <v/>
      </c>
      <c r="Q200" s="281" t="str">
        <f>IF(N200="","",VLOOKUP(B200,'F-1 Off-Site WaterC'' Baseline'!$C$10:$AF$257,23,FALSE))</f>
        <v/>
      </c>
      <c r="R200" s="275" t="str">
        <f>IF(N200="","",VLOOKUP(N200,'G-7 WaterC'' Data'!$B$2:$G$8,2,FALSE))</f>
        <v/>
      </c>
      <c r="S200" s="276" t="str">
        <f>IFERROR(VLOOKUP(R200,'G-7 WaterC'' Data'!$C$4:$D$8,2,FALSE),"")</f>
        <v/>
      </c>
      <c r="T200" s="101"/>
      <c r="U200" s="276" t="str">
        <f>IFERROR(INDEX('G-7 WaterC'' Data'!$H$4:$L$8,MATCH(N200,'G-7 WaterC'' Data'!$B$4:$B$8,0),MATCH(T200,'G-7 WaterC'' Data'!$H$3:$L$3,0)),"")</f>
        <v/>
      </c>
      <c r="V200" s="105"/>
      <c r="W200" s="295" t="str">
        <f>IF(V200="","",IF(VLOOKUP(V200,'G-7 WaterC'' Data'!$AK$4:$AM$6,2,FALSE)=0,"Spatial Data Missing ⚠",VLOOKUP(V200,'G-7 WaterC'' Data'!$AK$4:$AM$6,2,FALSE)))</f>
        <v/>
      </c>
      <c r="X200" s="299" t="str">
        <f>IF(V200="","",IF(VLOOKUP(V200,'G-7 WaterC'' Data'!$AK$4:$AM$6,3,FALSE)=0,"Spatial Data Missing ⚠",VLOOKUP(V200,'G-7 WaterC'' Data'!$AK$4:$AM$6,3,FALSE)))</f>
        <v/>
      </c>
      <c r="Y200" s="311" t="str">
        <f>IFERROR(IF(OR(LEFT(P200,5)="Error",LEFT(O200,5)="Error"),"Check Data ⚠",IF(F200&lt;S200,'G-7 WaterC'' Data'!$R$3,INDEX('G-7 WaterC'' Data'!$U$5:$Y$9,MATCH(G200,'G-7 WaterC'' Data'!$T$5:$T$9,0),MATCH(T200,'G-7 WaterC'' Data'!$U$4:$Y$4,0)))),"")</f>
        <v/>
      </c>
      <c r="Z200" s="138"/>
      <c r="AA200" s="138"/>
      <c r="AB200" s="308" t="str">
        <f t="shared" si="22"/>
        <v/>
      </c>
      <c r="AC200" s="296" t="str">
        <f t="shared" si="27"/>
        <v/>
      </c>
      <c r="AD200" s="334" t="str">
        <f>IFERROR(IF(AC200="Check Data ⚠","Check Data ⚠",VLOOKUP(AC200,'G-4 Temporal multipliers'!$A$4:$C$37,3,FALSE)),"")</f>
        <v/>
      </c>
      <c r="AE200" s="311" t="str">
        <f>IF(N200="","",VLOOKUP(N200,'G-7 WaterC'' Data'!$B$4:$G$8,5,FALSE))</f>
        <v/>
      </c>
      <c r="AF200" s="295" t="str">
        <f t="shared" si="23"/>
        <v/>
      </c>
      <c r="AG200" s="295" t="str">
        <f t="shared" si="28"/>
        <v/>
      </c>
      <c r="AH200" s="276" t="str">
        <f t="shared" si="24"/>
        <v/>
      </c>
      <c r="AI200" s="105"/>
      <c r="AJ200" s="276" t="str">
        <f>IF(AI200="","",(IF(AND(AI200="N/A - Culvert",N200&lt;&gt;"Culvert"),"Not possible ▲",IF(VLOOKUP(AI200,'G-7 WaterC'' Data'!$AA$4:$AB$7,2,FALSE)=0,"Spatial Data Missing ⚠",VLOOKUP(AI200,'G-7 WaterC'' Data'!$AA$4:$AB$7,2,FALSE)))))</f>
        <v/>
      </c>
      <c r="AK200" s="106"/>
      <c r="AL200" s="310" t="str">
        <f>IF(AK200="","",IF(AND(AK200="N/A - Culvert",N200&lt;&gt;"Culvert"),"Not possible ▲",IF(VLOOKUP(AK200,'G-7 WaterC'' Data'!$AD$4:$AE$14,2,FALSE)=0,"Spatial Data Missing ⚠",VLOOKUP(AK200,'G-7 WaterC'' Data'!$AD$4:$AE$14,2,FALSE))))</f>
        <v/>
      </c>
      <c r="AM200" s="275" t="str">
        <f>IF(B200="","",VLOOKUP($B200,'F-1 Off-Site WaterC'' Baseline'!$C$9:$Z$257,17,FALSE))</f>
        <v/>
      </c>
      <c r="AN200" s="276" t="str">
        <f>IF(AM200="","",IF(VLOOKUP(AM200,'G-7 WaterC'' Data'!$AO$4:$BO$7,2,FALSE)=0,"Spatial Data Missing ⚠",VLOOKUP(AM200,'G-7 WaterC'' Data'!$AO$4:$BO$7,2,FALSE)))</f>
        <v/>
      </c>
      <c r="AO200" s="317" t="str">
        <f t="shared" si="29"/>
        <v/>
      </c>
      <c r="AP200" s="317" t="str">
        <f t="shared" si="30"/>
        <v/>
      </c>
      <c r="AQ200" s="101"/>
      <c r="AR200" s="115"/>
      <c r="AS200" s="104"/>
      <c r="AT200" s="104"/>
      <c r="AW200" s="30" t="str">
        <f>IF(E200="","",VLOOKUP($B200,'F-1 Off-Site WaterC'' Baseline'!$C$9:$Z$257,12,FALSE))</f>
        <v/>
      </c>
      <c r="AX200" s="30" t="str">
        <f>IF(E200="","",VLOOKUP($B200,'F-1 Off-Site WaterC'' Baseline'!$C$9:$Z$257,14,FALSE))</f>
        <v/>
      </c>
      <c r="AY200" s="30" t="str">
        <f>IFERROR(INDEX('G-7 WaterC'' Data'!$AZ$3:$AZ$7,MATCH(N200,'G-7 WaterC'' Data'!$AY$3:$AY$7,0)),"")</f>
        <v/>
      </c>
      <c r="AZ200" s="30" t="str">
        <f>IF(B200="","",IF(ISNA(VLOOKUP($B200,'F-1 Off-Site WaterC'' Baseline'!$C$8:$AD$257,20,FALSE)),"",(VLOOKUP($B200,'F-1 Off-Site WaterC'' Baseline'!$C$8:$AD$257,20,FALSE))))</f>
        <v/>
      </c>
      <c r="BC200" s="30" t="str">
        <f>IF(B200="","",VLOOKUP($B200,'F-1 Off-Site WaterC'' Baseline'!$C$9:$AB$257,25,FALSE))</f>
        <v/>
      </c>
      <c r="BD200" s="30" t="str">
        <f t="shared" si="31"/>
        <v/>
      </c>
      <c r="BE200" s="30" t="str">
        <f>IF(B200="","",VLOOKUP($B200,'F-1 Off-Site WaterC'' Baseline'!$C$9:$AB$257,24,FALSE))</f>
        <v/>
      </c>
      <c r="BF200" s="30" t="str">
        <f>IF(B200="","",VLOOKUP($B200,'F-1 Off-Site WaterC'' Baseline'!$C$9:$AB$257,22,FALSE))</f>
        <v/>
      </c>
      <c r="BJ200" s="30" t="str">
        <f t="shared" si="32"/>
        <v>No</v>
      </c>
    </row>
    <row r="201" spans="2:62" ht="14">
      <c r="B201" s="305" t="str">
        <f>'F-1 Off-Site WaterC'' Baseline'!AS199</f>
        <v/>
      </c>
      <c r="C201" s="295" t="str">
        <f>IF(B201="","",VLOOKUP($B201,'F-1 Off-Site WaterC'' Baseline'!$C$9:$R$257,2,FALSE))</f>
        <v/>
      </c>
      <c r="D201" s="295" t="str">
        <f>IF(C201="","",VLOOKUP($B201,'F-1 Off-Site WaterC'' Baseline'!$C$9:$R$257,3,FALSE))</f>
        <v/>
      </c>
      <c r="E201" s="295" t="str">
        <f>IF(D201="","",VLOOKUP($B201,'F-1 Off-Site WaterC'' Baseline'!$C$9:$R$257,4,FALSE))</f>
        <v/>
      </c>
      <c r="F201" s="295" t="str">
        <f>IF(E201="","",VLOOKUP($B201,'F-1 Off-Site WaterC'' Baseline'!$C$9:$R$257,5,FALSE))</f>
        <v/>
      </c>
      <c r="G201" s="295" t="str">
        <f>IF(F201="","",VLOOKUP($B201,'F-1 Off-Site WaterC'' Baseline'!$C$9:$R$257,6,FALSE))</f>
        <v/>
      </c>
      <c r="H201" s="295" t="str">
        <f>IF(G201="","",VLOOKUP($B201,'F-1 Off-Site WaterC'' Baseline'!$C$9:$R$257,7,FALSE))</f>
        <v/>
      </c>
      <c r="I201" s="295" t="str">
        <f>IF(H201="","",VLOOKUP($B201,'F-1 Off-Site WaterC'' Baseline'!$C$9:$R$257,8,FALSE))</f>
        <v/>
      </c>
      <c r="J201" s="295" t="str">
        <f>IF(I201="","",VLOOKUP($B201,'F-1 Off-Site WaterC'' Baseline'!$C$9:$R$257,9,FALSE))</f>
        <v/>
      </c>
      <c r="K201" s="295" t="str">
        <f>IF(J201="","",VLOOKUP($B201,'F-1 Off-Site WaterC'' Baseline'!$C$9:$R$257,10,FALSE))</f>
        <v/>
      </c>
      <c r="L201" s="283" t="str">
        <f>IF(B201="","",VLOOKUP($B201,'F-1 Off-Site WaterC'' Baseline'!$C$9:$R$257,15,FALSE))</f>
        <v/>
      </c>
      <c r="M201" s="299" t="str">
        <f>IF(L201="","",VLOOKUP($B201,'F-1 Off-Site WaterC'' Baseline'!$C$9:$V$257,19,FALSE))</f>
        <v/>
      </c>
      <c r="N201" s="244"/>
      <c r="O201" s="275" t="str">
        <f t="shared" si="25"/>
        <v/>
      </c>
      <c r="P201" s="276" t="str">
        <f t="shared" si="26"/>
        <v/>
      </c>
      <c r="Q201" s="281" t="str">
        <f>IF(N201="","",VLOOKUP(B201,'F-1 Off-Site WaterC'' Baseline'!$C$10:$AF$257,23,FALSE))</f>
        <v/>
      </c>
      <c r="R201" s="275" t="str">
        <f>IF(N201="","",VLOOKUP(N201,'G-7 WaterC'' Data'!$B$2:$G$8,2,FALSE))</f>
        <v/>
      </c>
      <c r="S201" s="276" t="str">
        <f>IFERROR(VLOOKUP(R201,'G-7 WaterC'' Data'!$C$4:$D$8,2,FALSE),"")</f>
        <v/>
      </c>
      <c r="T201" s="101"/>
      <c r="U201" s="276" t="str">
        <f>IFERROR(INDEX('G-7 WaterC'' Data'!$H$4:$L$8,MATCH(N201,'G-7 WaterC'' Data'!$B$4:$B$8,0),MATCH(T201,'G-7 WaterC'' Data'!$H$3:$L$3,0)),"")</f>
        <v/>
      </c>
      <c r="V201" s="105"/>
      <c r="W201" s="295" t="str">
        <f>IF(V201="","",IF(VLOOKUP(V201,'G-7 WaterC'' Data'!$AK$4:$AM$6,2,FALSE)=0,"Spatial Data Missing ⚠",VLOOKUP(V201,'G-7 WaterC'' Data'!$AK$4:$AM$6,2,FALSE)))</f>
        <v/>
      </c>
      <c r="X201" s="299" t="str">
        <f>IF(V201="","",IF(VLOOKUP(V201,'G-7 WaterC'' Data'!$AK$4:$AM$6,3,FALSE)=0,"Spatial Data Missing ⚠",VLOOKUP(V201,'G-7 WaterC'' Data'!$AK$4:$AM$6,3,FALSE)))</f>
        <v/>
      </c>
      <c r="Y201" s="311" t="str">
        <f>IFERROR(IF(OR(LEFT(P201,5)="Error",LEFT(O201,5)="Error"),"Check Data ⚠",IF(F201&lt;S201,'G-7 WaterC'' Data'!$R$3,INDEX('G-7 WaterC'' Data'!$U$5:$Y$9,MATCH(G201,'G-7 WaterC'' Data'!$T$5:$T$9,0),MATCH(T201,'G-7 WaterC'' Data'!$U$4:$Y$4,0)))),"")</f>
        <v/>
      </c>
      <c r="Z201" s="138"/>
      <c r="AA201" s="138"/>
      <c r="AB201" s="308" t="str">
        <f t="shared" si="22"/>
        <v/>
      </c>
      <c r="AC201" s="296" t="str">
        <f t="shared" si="27"/>
        <v/>
      </c>
      <c r="AD201" s="334" t="str">
        <f>IFERROR(IF(AC201="Check Data ⚠","Check Data ⚠",VLOOKUP(AC201,'G-4 Temporal multipliers'!$A$4:$C$37,3,FALSE)),"")</f>
        <v/>
      </c>
      <c r="AE201" s="311" t="str">
        <f>IF(N201="","",VLOOKUP(N201,'G-7 WaterC'' Data'!$B$4:$G$8,5,FALSE))</f>
        <v/>
      </c>
      <c r="AF201" s="295" t="str">
        <f t="shared" si="23"/>
        <v/>
      </c>
      <c r="AG201" s="295" t="str">
        <f t="shared" si="28"/>
        <v/>
      </c>
      <c r="AH201" s="276" t="str">
        <f t="shared" si="24"/>
        <v/>
      </c>
      <c r="AI201" s="105"/>
      <c r="AJ201" s="276" t="str">
        <f>IF(AI201="","",(IF(AND(AI201="N/A - Culvert",N201&lt;&gt;"Culvert"),"Not possible ▲",IF(VLOOKUP(AI201,'G-7 WaterC'' Data'!$AA$4:$AB$7,2,FALSE)=0,"Spatial Data Missing ⚠",VLOOKUP(AI201,'G-7 WaterC'' Data'!$AA$4:$AB$7,2,FALSE)))))</f>
        <v/>
      </c>
      <c r="AK201" s="106"/>
      <c r="AL201" s="310" t="str">
        <f>IF(AK201="","",IF(AND(AK201="N/A - Culvert",N201&lt;&gt;"Culvert"),"Not possible ▲",IF(VLOOKUP(AK201,'G-7 WaterC'' Data'!$AD$4:$AE$14,2,FALSE)=0,"Spatial Data Missing ⚠",VLOOKUP(AK201,'G-7 WaterC'' Data'!$AD$4:$AE$14,2,FALSE))))</f>
        <v/>
      </c>
      <c r="AM201" s="275" t="str">
        <f>IF(B201="","",VLOOKUP($B201,'F-1 Off-Site WaterC'' Baseline'!$C$9:$Z$257,17,FALSE))</f>
        <v/>
      </c>
      <c r="AN201" s="276" t="str">
        <f>IF(AM201="","",IF(VLOOKUP(AM201,'G-7 WaterC'' Data'!$AO$4:$BO$7,2,FALSE)=0,"Spatial Data Missing ⚠",VLOOKUP(AM201,'G-7 WaterC'' Data'!$AO$4:$BO$7,2,FALSE)))</f>
        <v/>
      </c>
      <c r="AO201" s="317" t="str">
        <f t="shared" si="29"/>
        <v/>
      </c>
      <c r="AP201" s="317" t="str">
        <f t="shared" si="30"/>
        <v/>
      </c>
      <c r="AQ201" s="101"/>
      <c r="AR201" s="115"/>
      <c r="AS201" s="104"/>
      <c r="AT201" s="104"/>
      <c r="AW201" s="30" t="str">
        <f>IF(E201="","",VLOOKUP($B201,'F-1 Off-Site WaterC'' Baseline'!$C$9:$Z$257,12,FALSE))</f>
        <v/>
      </c>
      <c r="AX201" s="30" t="str">
        <f>IF(E201="","",VLOOKUP($B201,'F-1 Off-Site WaterC'' Baseline'!$C$9:$Z$257,14,FALSE))</f>
        <v/>
      </c>
      <c r="AY201" s="30" t="str">
        <f>IFERROR(INDEX('G-7 WaterC'' Data'!$AZ$3:$AZ$7,MATCH(N201,'G-7 WaterC'' Data'!$AY$3:$AY$7,0)),"")</f>
        <v/>
      </c>
      <c r="AZ201" s="30" t="str">
        <f>IF(B201="","",IF(ISNA(VLOOKUP($B201,'F-1 Off-Site WaterC'' Baseline'!$C$8:$AD$257,20,FALSE)),"",(VLOOKUP($B201,'F-1 Off-Site WaterC'' Baseline'!$C$8:$AD$257,20,FALSE))))</f>
        <v/>
      </c>
      <c r="BC201" s="30" t="str">
        <f>IF(B201="","",VLOOKUP($B201,'F-1 Off-Site WaterC'' Baseline'!$C$9:$AB$257,25,FALSE))</f>
        <v/>
      </c>
      <c r="BD201" s="30" t="str">
        <f t="shared" si="31"/>
        <v/>
      </c>
      <c r="BE201" s="30" t="str">
        <f>IF(B201="","",VLOOKUP($B201,'F-1 Off-Site WaterC'' Baseline'!$C$9:$AB$257,24,FALSE))</f>
        <v/>
      </c>
      <c r="BF201" s="30" t="str">
        <f>IF(B201="","",VLOOKUP($B201,'F-1 Off-Site WaterC'' Baseline'!$C$9:$AB$257,22,FALSE))</f>
        <v/>
      </c>
      <c r="BJ201" s="30" t="str">
        <f t="shared" si="32"/>
        <v>No</v>
      </c>
    </row>
    <row r="202" spans="2:62" ht="14">
      <c r="B202" s="305" t="str">
        <f>'F-1 Off-Site WaterC'' Baseline'!AS200</f>
        <v/>
      </c>
      <c r="C202" s="295" t="str">
        <f>IF(B202="","",VLOOKUP($B202,'F-1 Off-Site WaterC'' Baseline'!$C$9:$R$257,2,FALSE))</f>
        <v/>
      </c>
      <c r="D202" s="295" t="str">
        <f>IF(C202="","",VLOOKUP($B202,'F-1 Off-Site WaterC'' Baseline'!$C$9:$R$257,3,FALSE))</f>
        <v/>
      </c>
      <c r="E202" s="295" t="str">
        <f>IF(D202="","",VLOOKUP($B202,'F-1 Off-Site WaterC'' Baseline'!$C$9:$R$257,4,FALSE))</f>
        <v/>
      </c>
      <c r="F202" s="295" t="str">
        <f>IF(E202="","",VLOOKUP($B202,'F-1 Off-Site WaterC'' Baseline'!$C$9:$R$257,5,FALSE))</f>
        <v/>
      </c>
      <c r="G202" s="295" t="str">
        <f>IF(F202="","",VLOOKUP($B202,'F-1 Off-Site WaterC'' Baseline'!$C$9:$R$257,6,FALSE))</f>
        <v/>
      </c>
      <c r="H202" s="295" t="str">
        <f>IF(G202="","",VLOOKUP($B202,'F-1 Off-Site WaterC'' Baseline'!$C$9:$R$257,7,FALSE))</f>
        <v/>
      </c>
      <c r="I202" s="295" t="str">
        <f>IF(H202="","",VLOOKUP($B202,'F-1 Off-Site WaterC'' Baseline'!$C$9:$R$257,8,FALSE))</f>
        <v/>
      </c>
      <c r="J202" s="295" t="str">
        <f>IF(I202="","",VLOOKUP($B202,'F-1 Off-Site WaterC'' Baseline'!$C$9:$R$257,9,FALSE))</f>
        <v/>
      </c>
      <c r="K202" s="295" t="str">
        <f>IF(J202="","",VLOOKUP($B202,'F-1 Off-Site WaterC'' Baseline'!$C$9:$R$257,10,FALSE))</f>
        <v/>
      </c>
      <c r="L202" s="283" t="str">
        <f>IF(B202="","",VLOOKUP($B202,'F-1 Off-Site WaterC'' Baseline'!$C$9:$R$257,15,FALSE))</f>
        <v/>
      </c>
      <c r="M202" s="299" t="str">
        <f>IF(L202="","",VLOOKUP($B202,'F-1 Off-Site WaterC'' Baseline'!$C$9:$V$257,19,FALSE))</f>
        <v/>
      </c>
      <c r="N202" s="244"/>
      <c r="O202" s="275" t="str">
        <f t="shared" si="25"/>
        <v/>
      </c>
      <c r="P202" s="276" t="str">
        <f t="shared" si="26"/>
        <v/>
      </c>
      <c r="Q202" s="281" t="str">
        <f>IF(N202="","",VLOOKUP(B202,'F-1 Off-Site WaterC'' Baseline'!$C$10:$AF$257,23,FALSE))</f>
        <v/>
      </c>
      <c r="R202" s="275" t="str">
        <f>IF(N202="","",VLOOKUP(N202,'G-7 WaterC'' Data'!$B$2:$G$8,2,FALSE))</f>
        <v/>
      </c>
      <c r="S202" s="276" t="str">
        <f>IFERROR(VLOOKUP(R202,'G-7 WaterC'' Data'!$C$4:$D$8,2,FALSE),"")</f>
        <v/>
      </c>
      <c r="T202" s="101"/>
      <c r="U202" s="276" t="str">
        <f>IFERROR(INDEX('G-7 WaterC'' Data'!$H$4:$L$8,MATCH(N202,'G-7 WaterC'' Data'!$B$4:$B$8,0),MATCH(T202,'G-7 WaterC'' Data'!$H$3:$L$3,0)),"")</f>
        <v/>
      </c>
      <c r="V202" s="105"/>
      <c r="W202" s="295" t="str">
        <f>IF(V202="","",IF(VLOOKUP(V202,'G-7 WaterC'' Data'!$AK$4:$AM$6,2,FALSE)=0,"Spatial Data Missing ⚠",VLOOKUP(V202,'G-7 WaterC'' Data'!$AK$4:$AM$6,2,FALSE)))</f>
        <v/>
      </c>
      <c r="X202" s="299" t="str">
        <f>IF(V202="","",IF(VLOOKUP(V202,'G-7 WaterC'' Data'!$AK$4:$AM$6,3,FALSE)=0,"Spatial Data Missing ⚠",VLOOKUP(V202,'G-7 WaterC'' Data'!$AK$4:$AM$6,3,FALSE)))</f>
        <v/>
      </c>
      <c r="Y202" s="311" t="str">
        <f>IFERROR(IF(OR(LEFT(P202,5)="Error",LEFT(O202,5)="Error"),"Check Data ⚠",IF(F202&lt;S202,'G-7 WaterC'' Data'!$R$3,INDEX('G-7 WaterC'' Data'!$U$5:$Y$9,MATCH(G202,'G-7 WaterC'' Data'!$T$5:$T$9,0),MATCH(T202,'G-7 WaterC'' Data'!$U$4:$Y$4,0)))),"")</f>
        <v/>
      </c>
      <c r="Z202" s="138"/>
      <c r="AA202" s="138"/>
      <c r="AB202" s="308" t="str">
        <f t="shared" si="22"/>
        <v/>
      </c>
      <c r="AC202" s="296" t="str">
        <f t="shared" si="27"/>
        <v/>
      </c>
      <c r="AD202" s="334" t="str">
        <f>IFERROR(IF(AC202="Check Data ⚠","Check Data ⚠",VLOOKUP(AC202,'G-4 Temporal multipliers'!$A$4:$C$37,3,FALSE)),"")</f>
        <v/>
      </c>
      <c r="AE202" s="311" t="str">
        <f>IF(N202="","",VLOOKUP(N202,'G-7 WaterC'' Data'!$B$4:$G$8,5,FALSE))</f>
        <v/>
      </c>
      <c r="AF202" s="295" t="str">
        <f t="shared" si="23"/>
        <v/>
      </c>
      <c r="AG202" s="295" t="str">
        <f t="shared" si="28"/>
        <v/>
      </c>
      <c r="AH202" s="276" t="str">
        <f t="shared" si="24"/>
        <v/>
      </c>
      <c r="AI202" s="105"/>
      <c r="AJ202" s="276" t="str">
        <f>IF(AI202="","",(IF(AND(AI202="N/A - Culvert",N202&lt;&gt;"Culvert"),"Not possible ▲",IF(VLOOKUP(AI202,'G-7 WaterC'' Data'!$AA$4:$AB$7,2,FALSE)=0,"Spatial Data Missing ⚠",VLOOKUP(AI202,'G-7 WaterC'' Data'!$AA$4:$AB$7,2,FALSE)))))</f>
        <v/>
      </c>
      <c r="AK202" s="106"/>
      <c r="AL202" s="310" t="str">
        <f>IF(AK202="","",IF(AND(AK202="N/A - Culvert",N202&lt;&gt;"Culvert"),"Not possible ▲",IF(VLOOKUP(AK202,'G-7 WaterC'' Data'!$AD$4:$AE$14,2,FALSE)=0,"Spatial Data Missing ⚠",VLOOKUP(AK202,'G-7 WaterC'' Data'!$AD$4:$AE$14,2,FALSE))))</f>
        <v/>
      </c>
      <c r="AM202" s="275" t="str">
        <f>IF(B202="","",VLOOKUP($B202,'F-1 Off-Site WaterC'' Baseline'!$C$9:$Z$257,17,FALSE))</f>
        <v/>
      </c>
      <c r="AN202" s="276" t="str">
        <f>IF(AM202="","",IF(VLOOKUP(AM202,'G-7 WaterC'' Data'!$AO$4:$BO$7,2,FALSE)=0,"Spatial Data Missing ⚠",VLOOKUP(AM202,'G-7 WaterC'' Data'!$AO$4:$BO$7,2,FALSE)))</f>
        <v/>
      </c>
      <c r="AO202" s="317" t="str">
        <f t="shared" si="29"/>
        <v/>
      </c>
      <c r="AP202" s="317" t="str">
        <f t="shared" si="30"/>
        <v/>
      </c>
      <c r="AQ202" s="101"/>
      <c r="AR202" s="115"/>
      <c r="AS202" s="104"/>
      <c r="AT202" s="104"/>
      <c r="AW202" s="30" t="str">
        <f>IF(E202="","",VLOOKUP($B202,'F-1 Off-Site WaterC'' Baseline'!$C$9:$Z$257,12,FALSE))</f>
        <v/>
      </c>
      <c r="AX202" s="30" t="str">
        <f>IF(E202="","",VLOOKUP($B202,'F-1 Off-Site WaterC'' Baseline'!$C$9:$Z$257,14,FALSE))</f>
        <v/>
      </c>
      <c r="AY202" s="30" t="str">
        <f>IFERROR(INDEX('G-7 WaterC'' Data'!$AZ$3:$AZ$7,MATCH(N202,'G-7 WaterC'' Data'!$AY$3:$AY$7,0)),"")</f>
        <v/>
      </c>
      <c r="AZ202" s="30" t="str">
        <f>IF(B202="","",IF(ISNA(VLOOKUP($B202,'F-1 Off-Site WaterC'' Baseline'!$C$8:$AD$257,20,FALSE)),"",(VLOOKUP($B202,'F-1 Off-Site WaterC'' Baseline'!$C$8:$AD$257,20,FALSE))))</f>
        <v/>
      </c>
      <c r="BC202" s="30" t="str">
        <f>IF(B202="","",VLOOKUP($B202,'F-1 Off-Site WaterC'' Baseline'!$C$9:$AB$257,25,FALSE))</f>
        <v/>
      </c>
      <c r="BD202" s="30" t="str">
        <f t="shared" si="31"/>
        <v/>
      </c>
      <c r="BE202" s="30" t="str">
        <f>IF(B202="","",VLOOKUP($B202,'F-1 Off-Site WaterC'' Baseline'!$C$9:$AB$257,24,FALSE))</f>
        <v/>
      </c>
      <c r="BF202" s="30" t="str">
        <f>IF(B202="","",VLOOKUP($B202,'F-1 Off-Site WaterC'' Baseline'!$C$9:$AB$257,22,FALSE))</f>
        <v/>
      </c>
      <c r="BJ202" s="30" t="str">
        <f t="shared" si="32"/>
        <v>No</v>
      </c>
    </row>
    <row r="203" spans="2:62" ht="14">
      <c r="B203" s="305" t="str">
        <f>'F-1 Off-Site WaterC'' Baseline'!AS201</f>
        <v/>
      </c>
      <c r="C203" s="295" t="str">
        <f>IF(B203="","",VLOOKUP($B203,'F-1 Off-Site WaterC'' Baseline'!$C$9:$R$257,2,FALSE))</f>
        <v/>
      </c>
      <c r="D203" s="295" t="str">
        <f>IF(C203="","",VLOOKUP($B203,'F-1 Off-Site WaterC'' Baseline'!$C$9:$R$257,3,FALSE))</f>
        <v/>
      </c>
      <c r="E203" s="295" t="str">
        <f>IF(D203="","",VLOOKUP($B203,'F-1 Off-Site WaterC'' Baseline'!$C$9:$R$257,4,FALSE))</f>
        <v/>
      </c>
      <c r="F203" s="295" t="str">
        <f>IF(E203="","",VLOOKUP($B203,'F-1 Off-Site WaterC'' Baseline'!$C$9:$R$257,5,FALSE))</f>
        <v/>
      </c>
      <c r="G203" s="295" t="str">
        <f>IF(F203="","",VLOOKUP($B203,'F-1 Off-Site WaterC'' Baseline'!$C$9:$R$257,6,FALSE))</f>
        <v/>
      </c>
      <c r="H203" s="295" t="str">
        <f>IF(G203="","",VLOOKUP($B203,'F-1 Off-Site WaterC'' Baseline'!$C$9:$R$257,7,FALSE))</f>
        <v/>
      </c>
      <c r="I203" s="295" t="str">
        <f>IF(H203="","",VLOOKUP($B203,'F-1 Off-Site WaterC'' Baseline'!$C$9:$R$257,8,FALSE))</f>
        <v/>
      </c>
      <c r="J203" s="295" t="str">
        <f>IF(I203="","",VLOOKUP($B203,'F-1 Off-Site WaterC'' Baseline'!$C$9:$R$257,9,FALSE))</f>
        <v/>
      </c>
      <c r="K203" s="295" t="str">
        <f>IF(J203="","",VLOOKUP($B203,'F-1 Off-Site WaterC'' Baseline'!$C$9:$R$257,10,FALSE))</f>
        <v/>
      </c>
      <c r="L203" s="283" t="str">
        <f>IF(B203="","",VLOOKUP($B203,'F-1 Off-Site WaterC'' Baseline'!$C$9:$R$257,15,FALSE))</f>
        <v/>
      </c>
      <c r="M203" s="299" t="str">
        <f>IF(L203="","",VLOOKUP($B203,'F-1 Off-Site WaterC'' Baseline'!$C$9:$V$257,19,FALSE))</f>
        <v/>
      </c>
      <c r="N203" s="244"/>
      <c r="O203" s="275" t="str">
        <f t="shared" si="25"/>
        <v/>
      </c>
      <c r="P203" s="276" t="str">
        <f t="shared" si="26"/>
        <v/>
      </c>
      <c r="Q203" s="281" t="str">
        <f>IF(N203="","",VLOOKUP(B203,'F-1 Off-Site WaterC'' Baseline'!$C$10:$AF$257,23,FALSE))</f>
        <v/>
      </c>
      <c r="R203" s="275" t="str">
        <f>IF(N203="","",VLOOKUP(N203,'G-7 WaterC'' Data'!$B$2:$G$8,2,FALSE))</f>
        <v/>
      </c>
      <c r="S203" s="276" t="str">
        <f>IFERROR(VLOOKUP(R203,'G-7 WaterC'' Data'!$C$4:$D$8,2,FALSE),"")</f>
        <v/>
      </c>
      <c r="T203" s="101"/>
      <c r="U203" s="276" t="str">
        <f>IFERROR(INDEX('G-7 WaterC'' Data'!$H$4:$L$8,MATCH(N203,'G-7 WaterC'' Data'!$B$4:$B$8,0),MATCH(T203,'G-7 WaterC'' Data'!$H$3:$L$3,0)),"")</f>
        <v/>
      </c>
      <c r="V203" s="105"/>
      <c r="W203" s="295" t="str">
        <f>IF(V203="","",IF(VLOOKUP(V203,'G-7 WaterC'' Data'!$AK$4:$AM$6,2,FALSE)=0,"Spatial Data Missing ⚠",VLOOKUP(V203,'G-7 WaterC'' Data'!$AK$4:$AM$6,2,FALSE)))</f>
        <v/>
      </c>
      <c r="X203" s="299" t="str">
        <f>IF(V203="","",IF(VLOOKUP(V203,'G-7 WaterC'' Data'!$AK$4:$AM$6,3,FALSE)=0,"Spatial Data Missing ⚠",VLOOKUP(V203,'G-7 WaterC'' Data'!$AK$4:$AM$6,3,FALSE)))</f>
        <v/>
      </c>
      <c r="Y203" s="311" t="str">
        <f>IFERROR(IF(OR(LEFT(P203,5)="Error",LEFT(O203,5)="Error"),"Check Data ⚠",IF(F203&lt;S203,'G-7 WaterC'' Data'!$R$3,INDEX('G-7 WaterC'' Data'!$U$5:$Y$9,MATCH(G203,'G-7 WaterC'' Data'!$T$5:$T$9,0),MATCH(T203,'G-7 WaterC'' Data'!$U$4:$Y$4,0)))),"")</f>
        <v/>
      </c>
      <c r="Z203" s="138"/>
      <c r="AA203" s="138"/>
      <c r="AB203" s="308" t="str">
        <f t="shared" si="22"/>
        <v/>
      </c>
      <c r="AC203" s="296" t="str">
        <f t="shared" si="27"/>
        <v/>
      </c>
      <c r="AD203" s="334" t="str">
        <f>IFERROR(IF(AC203="Check Data ⚠","Check Data ⚠",VLOOKUP(AC203,'G-4 Temporal multipliers'!$A$4:$C$37,3,FALSE)),"")</f>
        <v/>
      </c>
      <c r="AE203" s="311" t="str">
        <f>IF(N203="","",VLOOKUP(N203,'G-7 WaterC'' Data'!$B$4:$G$8,5,FALSE))</f>
        <v/>
      </c>
      <c r="AF203" s="295" t="str">
        <f t="shared" si="23"/>
        <v/>
      </c>
      <c r="AG203" s="295" t="str">
        <f t="shared" si="28"/>
        <v/>
      </c>
      <c r="AH203" s="276" t="str">
        <f t="shared" si="24"/>
        <v/>
      </c>
      <c r="AI203" s="105"/>
      <c r="AJ203" s="276" t="str">
        <f>IF(AI203="","",(IF(AND(AI203="N/A - Culvert",N203&lt;&gt;"Culvert"),"Not possible ▲",IF(VLOOKUP(AI203,'G-7 WaterC'' Data'!$AA$4:$AB$7,2,FALSE)=0,"Spatial Data Missing ⚠",VLOOKUP(AI203,'G-7 WaterC'' Data'!$AA$4:$AB$7,2,FALSE)))))</f>
        <v/>
      </c>
      <c r="AK203" s="106"/>
      <c r="AL203" s="310" t="str">
        <f>IF(AK203="","",IF(AND(AK203="N/A - Culvert",N203&lt;&gt;"Culvert"),"Not possible ▲",IF(VLOOKUP(AK203,'G-7 WaterC'' Data'!$AD$4:$AE$14,2,FALSE)=0,"Spatial Data Missing ⚠",VLOOKUP(AK203,'G-7 WaterC'' Data'!$AD$4:$AE$14,2,FALSE))))</f>
        <v/>
      </c>
      <c r="AM203" s="275" t="str">
        <f>IF(B203="","",VLOOKUP($B203,'F-1 Off-Site WaterC'' Baseline'!$C$9:$Z$257,17,FALSE))</f>
        <v/>
      </c>
      <c r="AN203" s="276" t="str">
        <f>IF(AM203="","",IF(VLOOKUP(AM203,'G-7 WaterC'' Data'!$AO$4:$BO$7,2,FALSE)=0,"Spatial Data Missing ⚠",VLOOKUP(AM203,'G-7 WaterC'' Data'!$AO$4:$BO$7,2,FALSE)))</f>
        <v/>
      </c>
      <c r="AO203" s="317" t="str">
        <f t="shared" si="29"/>
        <v/>
      </c>
      <c r="AP203" s="317" t="str">
        <f t="shared" si="30"/>
        <v/>
      </c>
      <c r="AQ203" s="101"/>
      <c r="AR203" s="115"/>
      <c r="AS203" s="104"/>
      <c r="AT203" s="104"/>
      <c r="AW203" s="30" t="str">
        <f>IF(E203="","",VLOOKUP($B203,'F-1 Off-Site WaterC'' Baseline'!$C$9:$Z$257,12,FALSE))</f>
        <v/>
      </c>
      <c r="AX203" s="30" t="str">
        <f>IF(E203="","",VLOOKUP($B203,'F-1 Off-Site WaterC'' Baseline'!$C$9:$Z$257,14,FALSE))</f>
        <v/>
      </c>
      <c r="AY203" s="30" t="str">
        <f>IFERROR(INDEX('G-7 WaterC'' Data'!$AZ$3:$AZ$7,MATCH(N203,'G-7 WaterC'' Data'!$AY$3:$AY$7,0)),"")</f>
        <v/>
      </c>
      <c r="AZ203" s="30" t="str">
        <f>IF(B203="","",IF(ISNA(VLOOKUP($B203,'F-1 Off-Site WaterC'' Baseline'!$C$8:$AD$257,20,FALSE)),"",(VLOOKUP($B203,'F-1 Off-Site WaterC'' Baseline'!$C$8:$AD$257,20,FALSE))))</f>
        <v/>
      </c>
      <c r="BC203" s="30" t="str">
        <f>IF(B203="","",VLOOKUP($B203,'F-1 Off-Site WaterC'' Baseline'!$C$9:$AB$257,25,FALSE))</f>
        <v/>
      </c>
      <c r="BD203" s="30" t="str">
        <f t="shared" si="31"/>
        <v/>
      </c>
      <c r="BE203" s="30" t="str">
        <f>IF(B203="","",VLOOKUP($B203,'F-1 Off-Site WaterC'' Baseline'!$C$9:$AB$257,24,FALSE))</f>
        <v/>
      </c>
      <c r="BF203" s="30" t="str">
        <f>IF(B203="","",VLOOKUP($B203,'F-1 Off-Site WaterC'' Baseline'!$C$9:$AB$257,22,FALSE))</f>
        <v/>
      </c>
      <c r="BJ203" s="30" t="str">
        <f t="shared" si="32"/>
        <v>No</v>
      </c>
    </row>
    <row r="204" spans="2:62" ht="14">
      <c r="B204" s="305" t="str">
        <f>'F-1 Off-Site WaterC'' Baseline'!AS202</f>
        <v/>
      </c>
      <c r="C204" s="295" t="str">
        <f>IF(B204="","",VLOOKUP($B204,'F-1 Off-Site WaterC'' Baseline'!$C$9:$R$257,2,FALSE))</f>
        <v/>
      </c>
      <c r="D204" s="295" t="str">
        <f>IF(C204="","",VLOOKUP($B204,'F-1 Off-Site WaterC'' Baseline'!$C$9:$R$257,3,FALSE))</f>
        <v/>
      </c>
      <c r="E204" s="295" t="str">
        <f>IF(D204="","",VLOOKUP($B204,'F-1 Off-Site WaterC'' Baseline'!$C$9:$R$257,4,FALSE))</f>
        <v/>
      </c>
      <c r="F204" s="295" t="str">
        <f>IF(E204="","",VLOOKUP($B204,'F-1 Off-Site WaterC'' Baseline'!$C$9:$R$257,5,FALSE))</f>
        <v/>
      </c>
      <c r="G204" s="295" t="str">
        <f>IF(F204="","",VLOOKUP($B204,'F-1 Off-Site WaterC'' Baseline'!$C$9:$R$257,6,FALSE))</f>
        <v/>
      </c>
      <c r="H204" s="295" t="str">
        <f>IF(G204="","",VLOOKUP($B204,'F-1 Off-Site WaterC'' Baseline'!$C$9:$R$257,7,FALSE))</f>
        <v/>
      </c>
      <c r="I204" s="295" t="str">
        <f>IF(H204="","",VLOOKUP($B204,'F-1 Off-Site WaterC'' Baseline'!$C$9:$R$257,8,FALSE))</f>
        <v/>
      </c>
      <c r="J204" s="295" t="str">
        <f>IF(I204="","",VLOOKUP($B204,'F-1 Off-Site WaterC'' Baseline'!$C$9:$R$257,9,FALSE))</f>
        <v/>
      </c>
      <c r="K204" s="295" t="str">
        <f>IF(J204="","",VLOOKUP($B204,'F-1 Off-Site WaterC'' Baseline'!$C$9:$R$257,10,FALSE))</f>
        <v/>
      </c>
      <c r="L204" s="283" t="str">
        <f>IF(B204="","",VLOOKUP($B204,'F-1 Off-Site WaterC'' Baseline'!$C$9:$R$257,15,FALSE))</f>
        <v/>
      </c>
      <c r="M204" s="299" t="str">
        <f>IF(L204="","",VLOOKUP($B204,'F-1 Off-Site WaterC'' Baseline'!$C$9:$V$257,19,FALSE))</f>
        <v/>
      </c>
      <c r="N204" s="244"/>
      <c r="O204" s="275" t="str">
        <f t="shared" si="25"/>
        <v/>
      </c>
      <c r="P204" s="276" t="str">
        <f t="shared" si="26"/>
        <v/>
      </c>
      <c r="Q204" s="281" t="str">
        <f>IF(N204="","",VLOOKUP(B204,'F-1 Off-Site WaterC'' Baseline'!$C$10:$AF$257,23,FALSE))</f>
        <v/>
      </c>
      <c r="R204" s="275" t="str">
        <f>IF(N204="","",VLOOKUP(N204,'G-7 WaterC'' Data'!$B$2:$G$8,2,FALSE))</f>
        <v/>
      </c>
      <c r="S204" s="276" t="str">
        <f>IFERROR(VLOOKUP(R204,'G-7 WaterC'' Data'!$C$4:$D$8,2,FALSE),"")</f>
        <v/>
      </c>
      <c r="T204" s="101"/>
      <c r="U204" s="276" t="str">
        <f>IFERROR(INDEX('G-7 WaterC'' Data'!$H$4:$L$8,MATCH(N204,'G-7 WaterC'' Data'!$B$4:$B$8,0),MATCH(T204,'G-7 WaterC'' Data'!$H$3:$L$3,0)),"")</f>
        <v/>
      </c>
      <c r="V204" s="105"/>
      <c r="W204" s="295" t="str">
        <f>IF(V204="","",IF(VLOOKUP(V204,'G-7 WaterC'' Data'!$AK$4:$AM$6,2,FALSE)=0,"Spatial Data Missing ⚠",VLOOKUP(V204,'G-7 WaterC'' Data'!$AK$4:$AM$6,2,FALSE)))</f>
        <v/>
      </c>
      <c r="X204" s="299" t="str">
        <f>IF(V204="","",IF(VLOOKUP(V204,'G-7 WaterC'' Data'!$AK$4:$AM$6,3,FALSE)=0,"Spatial Data Missing ⚠",VLOOKUP(V204,'G-7 WaterC'' Data'!$AK$4:$AM$6,3,FALSE)))</f>
        <v/>
      </c>
      <c r="Y204" s="311" t="str">
        <f>IFERROR(IF(OR(LEFT(P204,5)="Error",LEFT(O204,5)="Error"),"Check Data ⚠",IF(F204&lt;S204,'G-7 WaterC'' Data'!$R$3,INDEX('G-7 WaterC'' Data'!$U$5:$Y$9,MATCH(G204,'G-7 WaterC'' Data'!$T$5:$T$9,0),MATCH(T204,'G-7 WaterC'' Data'!$U$4:$Y$4,0)))),"")</f>
        <v/>
      </c>
      <c r="Z204" s="138"/>
      <c r="AA204" s="138"/>
      <c r="AB204" s="308" t="str">
        <f t="shared" si="33" ref="AB204:AB256">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296" t="str">
        <f t="shared" si="27"/>
        <v/>
      </c>
      <c r="AD204" s="334" t="str">
        <f>IFERROR(IF(AC204="Check Data ⚠","Check Data ⚠",VLOOKUP(AC204,'G-4 Temporal multipliers'!$A$4:$C$37,3,FALSE)),"")</f>
        <v/>
      </c>
      <c r="AE204" s="311" t="str">
        <f>IF(N204="","",VLOOKUP(N204,'G-7 WaterC'' Data'!$B$4:$G$8,5,FALSE))</f>
        <v/>
      </c>
      <c r="AF204" s="295" t="str">
        <f t="shared" si="34" ref="AF204:AF256">IF(N204="","",IF(AC204="Check Data ⚠","Check Data ⚠",IF(T204="","",IF($AB204="Check details - Is there evidence that habitat has reached target condition? ⚠","Low Difficulty - only applicable if all habitat created before losses ⚠","Standard difficulty applied"))))</f>
        <v/>
      </c>
      <c r="AG204" s="295" t="str">
        <f t="shared" si="28"/>
        <v/>
      </c>
      <c r="AH204" s="276" t="str">
        <f t="shared" si="35" ref="AH204:AH257">IF(N204="","",VLOOKUP(AG204,Difficulty,2,FALSE))</f>
        <v/>
      </c>
      <c r="AI204" s="105"/>
      <c r="AJ204" s="276" t="str">
        <f>IF(AI204="","",(IF(AND(AI204="N/A - Culvert",N204&lt;&gt;"Culvert"),"Not possible ▲",IF(VLOOKUP(AI204,'G-7 WaterC'' Data'!$AA$4:$AB$7,2,FALSE)=0,"Spatial Data Missing ⚠",VLOOKUP(AI204,'G-7 WaterC'' Data'!$AA$4:$AB$7,2,FALSE)))))</f>
        <v/>
      </c>
      <c r="AK204" s="106"/>
      <c r="AL204" s="310" t="str">
        <f>IF(AK204="","",IF(AND(AK204="N/A - Culvert",N204&lt;&gt;"Culvert"),"Not possible ▲",IF(VLOOKUP(AK204,'G-7 WaterC'' Data'!$AD$4:$AE$14,2,FALSE)=0,"Spatial Data Missing ⚠",VLOOKUP(AK204,'G-7 WaterC'' Data'!$AD$4:$AE$14,2,FALSE))))</f>
        <v/>
      </c>
      <c r="AM204" s="275" t="str">
        <f>IF(B204="","",VLOOKUP($B204,'F-1 Off-Site WaterC'' Baseline'!$C$9:$Z$257,17,FALSE))</f>
        <v/>
      </c>
      <c r="AN204" s="276" t="str">
        <f>IF(AM204="","",IF(VLOOKUP(AM204,'G-7 WaterC'' Data'!$AO$4:$BO$7,2,FALSE)=0,"Spatial Data Missing ⚠",VLOOKUP(AM204,'G-7 WaterC'' Data'!$AO$4:$BO$7,2,FALSE)))</f>
        <v/>
      </c>
      <c r="AO204" s="317" t="str">
        <f t="shared" si="29"/>
        <v/>
      </c>
      <c r="AP204" s="317" t="str">
        <f t="shared" si="30"/>
        <v/>
      </c>
      <c r="AQ204" s="101"/>
      <c r="AR204" s="115"/>
      <c r="AS204" s="104"/>
      <c r="AT204" s="104"/>
      <c r="AW204" s="30" t="str">
        <f>IF(E204="","",VLOOKUP($B204,'F-1 Off-Site WaterC'' Baseline'!$C$9:$Z$257,12,FALSE))</f>
        <v/>
      </c>
      <c r="AX204" s="30" t="str">
        <f>IF(E204="","",VLOOKUP($B204,'F-1 Off-Site WaterC'' Baseline'!$C$9:$Z$257,14,FALSE))</f>
        <v/>
      </c>
      <c r="AY204" s="30" t="str">
        <f>IFERROR(INDEX('G-7 WaterC'' Data'!$AZ$3:$AZ$7,MATCH(N204,'G-7 WaterC'' Data'!$AY$3:$AY$7,0)),"")</f>
        <v/>
      </c>
      <c r="AZ204" s="30" t="str">
        <f>IF(B204="","",IF(ISNA(VLOOKUP($B204,'F-1 Off-Site WaterC'' Baseline'!$C$8:$AD$257,20,FALSE)),"",(VLOOKUP($B204,'F-1 Off-Site WaterC'' Baseline'!$C$8:$AD$257,20,FALSE))))</f>
        <v/>
      </c>
      <c r="BC204" s="30" t="str">
        <f>IF(B204="","",VLOOKUP($B204,'F-1 Off-Site WaterC'' Baseline'!$C$9:$AB$257,25,FALSE))</f>
        <v/>
      </c>
      <c r="BD204" s="30" t="str">
        <f t="shared" si="31"/>
        <v/>
      </c>
      <c r="BE204" s="30" t="str">
        <f>IF(B204="","",VLOOKUP($B204,'F-1 Off-Site WaterC'' Baseline'!$C$9:$AB$257,24,FALSE))</f>
        <v/>
      </c>
      <c r="BF204" s="30" t="str">
        <f>IF(B204="","",VLOOKUP($B204,'F-1 Off-Site WaterC'' Baseline'!$C$9:$AB$257,22,FALSE))</f>
        <v/>
      </c>
      <c r="BJ204" s="30" t="str">
        <f t="shared" si="32"/>
        <v>No</v>
      </c>
    </row>
    <row r="205" spans="2:62" ht="14">
      <c r="B205" s="305" t="str">
        <f>'F-1 Off-Site WaterC'' Baseline'!AS203</f>
        <v/>
      </c>
      <c r="C205" s="295" t="str">
        <f>IF(B205="","",VLOOKUP($B205,'F-1 Off-Site WaterC'' Baseline'!$C$9:$R$257,2,FALSE))</f>
        <v/>
      </c>
      <c r="D205" s="295" t="str">
        <f>IF(C205="","",VLOOKUP($B205,'F-1 Off-Site WaterC'' Baseline'!$C$9:$R$257,3,FALSE))</f>
        <v/>
      </c>
      <c r="E205" s="295" t="str">
        <f>IF(D205="","",VLOOKUP($B205,'F-1 Off-Site WaterC'' Baseline'!$C$9:$R$257,4,FALSE))</f>
        <v/>
      </c>
      <c r="F205" s="295" t="str">
        <f>IF(E205="","",VLOOKUP($B205,'F-1 Off-Site WaterC'' Baseline'!$C$9:$R$257,5,FALSE))</f>
        <v/>
      </c>
      <c r="G205" s="295" t="str">
        <f>IF(F205="","",VLOOKUP($B205,'F-1 Off-Site WaterC'' Baseline'!$C$9:$R$257,6,FALSE))</f>
        <v/>
      </c>
      <c r="H205" s="295" t="str">
        <f>IF(G205="","",VLOOKUP($B205,'F-1 Off-Site WaterC'' Baseline'!$C$9:$R$257,7,FALSE))</f>
        <v/>
      </c>
      <c r="I205" s="295" t="str">
        <f>IF(H205="","",VLOOKUP($B205,'F-1 Off-Site WaterC'' Baseline'!$C$9:$R$257,8,FALSE))</f>
        <v/>
      </c>
      <c r="J205" s="295" t="str">
        <f>IF(I205="","",VLOOKUP($B205,'F-1 Off-Site WaterC'' Baseline'!$C$9:$R$257,9,FALSE))</f>
        <v/>
      </c>
      <c r="K205" s="295" t="str">
        <f>IF(J205="","",VLOOKUP($B205,'F-1 Off-Site WaterC'' Baseline'!$C$9:$R$257,10,FALSE))</f>
        <v/>
      </c>
      <c r="L205" s="283" t="str">
        <f>IF(B205="","",VLOOKUP($B205,'F-1 Off-Site WaterC'' Baseline'!$C$9:$R$257,15,FALSE))</f>
        <v/>
      </c>
      <c r="M205" s="299" t="str">
        <f>IF(L205="","",VLOOKUP($B205,'F-1 Off-Site WaterC'' Baseline'!$C$9:$V$257,19,FALSE))</f>
        <v/>
      </c>
      <c r="N205" s="244"/>
      <c r="O205" s="275" t="str">
        <f t="shared" si="36" ref="O205:O257">IF(B205="","",IF(S205&lt;F205,"Error Trading Down ▲",E205&amp;" - "&amp;R205))</f>
        <v/>
      </c>
      <c r="P205" s="276" t="str">
        <f t="shared" si="37" ref="P205:P257">IF(C205="","",IF(AND(N205&lt;&gt;C205,AZ205="Yes"),"Error you cannot replace an irreplaceable habitat ▲",IF(AND(LEFT(C205,55)&lt;&gt;LEFT(N205,55),O205="High - High"),"Error - Not like for like ▲",IF(H205&gt;U205,"Error - Can not reduce condition ▲",IF(AND(C205&lt;&gt;N205,F205&lt;S205),"Lower Distinctiveness Habitat"&amp;" - "&amp;T205,G205&amp;" - "&amp;T205)))))</f>
        <v/>
      </c>
      <c r="Q205" s="281" t="str">
        <f>IF(N205="","",VLOOKUP(B205,'F-1 Off-Site WaterC'' Baseline'!$C$10:$AF$257,23,FALSE))</f>
        <v/>
      </c>
      <c r="R205" s="275" t="str">
        <f>IF(N205="","",VLOOKUP(N205,'G-7 WaterC'' Data'!$B$2:$G$8,2,FALSE))</f>
        <v/>
      </c>
      <c r="S205" s="276" t="str">
        <f>IFERROR(VLOOKUP(R205,'G-7 WaterC'' Data'!$C$4:$D$8,2,FALSE),"")</f>
        <v/>
      </c>
      <c r="T205" s="101"/>
      <c r="U205" s="276" t="str">
        <f>IFERROR(INDEX('G-7 WaterC'' Data'!$H$4:$L$8,MATCH(N205,'G-7 WaterC'' Data'!$B$4:$B$8,0),MATCH(T205,'G-7 WaterC'' Data'!$H$3:$L$3,0)),"")</f>
        <v/>
      </c>
      <c r="V205" s="105"/>
      <c r="W205" s="295" t="str">
        <f>IF(V205="","",IF(VLOOKUP(V205,'G-7 WaterC'' Data'!$AK$4:$AM$6,2,FALSE)=0,"Spatial Data Missing ⚠",VLOOKUP(V205,'G-7 WaterC'' Data'!$AK$4:$AM$6,2,FALSE)))</f>
        <v/>
      </c>
      <c r="X205" s="299" t="str">
        <f>IF(V205="","",IF(VLOOKUP(V205,'G-7 WaterC'' Data'!$AK$4:$AM$6,3,FALSE)=0,"Spatial Data Missing ⚠",VLOOKUP(V205,'G-7 WaterC'' Data'!$AK$4:$AM$6,3,FALSE)))</f>
        <v/>
      </c>
      <c r="Y205" s="311" t="str">
        <f>IFERROR(IF(OR(LEFT(P205,5)="Error",LEFT(O205,5)="Error"),"Check Data ⚠",IF(F205&lt;S205,'G-7 WaterC'' Data'!$R$3,INDEX('G-7 WaterC'' Data'!$U$5:$Y$9,MATCH(G205,'G-7 WaterC'' Data'!$T$5:$T$9,0),MATCH(T205,'G-7 WaterC'' Data'!$U$4:$Y$4,0)))),"")</f>
        <v/>
      </c>
      <c r="Z205" s="138"/>
      <c r="AA205" s="138"/>
      <c r="AB205" s="308" t="str">
        <f t="shared" si="33"/>
        <v/>
      </c>
      <c r="AC205" s="296" t="str">
        <f t="shared" si="38" ref="AC205:AC257">IF(AB205="Error -both advance and delayed habitat creation ▲","Check Data ⚠",IF(AB205="Check Data ⚠","Check Data ⚠",IF(Y205="","",IF(Z205="30+",0,IF(AA205="30+","30+",IF(Y205+AA205&gt;30,"30+",IF(Y205+AA205-Z205&gt;0,Y205+AA205-Z205,IF(Y205-Z205&lt;0,0,Y205+AA205-Z205))))))))</f>
        <v/>
      </c>
      <c r="AD205" s="334" t="str">
        <f>IFERROR(IF(AC205="Check Data ⚠","Check Data ⚠",VLOOKUP(AC205,'G-4 Temporal multipliers'!$A$4:$C$37,3,FALSE)),"")</f>
        <v/>
      </c>
      <c r="AE205" s="311" t="str">
        <f>IF(N205="","",VLOOKUP(N205,'G-7 WaterC'' Data'!$B$4:$G$8,5,FALSE))</f>
        <v/>
      </c>
      <c r="AF205" s="295" t="str">
        <f t="shared" si="34"/>
        <v/>
      </c>
      <c r="AG205" s="295" t="str">
        <f t="shared" si="39" ref="AG205:AG257">(IF(AND(AF205="Standard difficulty applied",Y205&gt;Z205),AE205,IF(AND(AF205="Low Difficulty - only applicable if all habitat created before losses ⚠",Z205&gt;=Y205),"Low",AE205)))</f>
        <v/>
      </c>
      <c r="AH205" s="276" t="str">
        <f t="shared" si="35"/>
        <v/>
      </c>
      <c r="AI205" s="105"/>
      <c r="AJ205" s="276" t="str">
        <f>IF(AI205="","",(IF(AND(AI205="N/A - Culvert",N205&lt;&gt;"Culvert"),"Not possible ▲",IF(VLOOKUP(AI205,'G-7 WaterC'' Data'!$AA$4:$AB$7,2,FALSE)=0,"Spatial Data Missing ⚠",VLOOKUP(AI205,'G-7 WaterC'' Data'!$AA$4:$AB$7,2,FALSE)))))</f>
        <v/>
      </c>
      <c r="AK205" s="106"/>
      <c r="AL205" s="310" t="str">
        <f>IF(AK205="","",IF(AND(AK205="N/A - Culvert",N205&lt;&gt;"Culvert"),"Not possible ▲",IF(VLOOKUP(AK205,'G-7 WaterC'' Data'!$AD$4:$AE$14,2,FALSE)=0,"Spatial Data Missing ⚠",VLOOKUP(AK205,'G-7 WaterC'' Data'!$AD$4:$AE$14,2,FALSE))))</f>
        <v/>
      </c>
      <c r="AM205" s="275" t="str">
        <f>IF(B205="","",VLOOKUP($B205,'F-1 Off-Site WaterC'' Baseline'!$C$9:$Z$257,17,FALSE))</f>
        <v/>
      </c>
      <c r="AN205" s="276" t="str">
        <f>IF(AM205="","",IF(VLOOKUP(AM205,'G-7 WaterC'' Data'!$AO$4:$BO$7,2,FALSE)=0,"Spatial Data Missing ⚠",VLOOKUP(AM205,'G-7 WaterC'' Data'!$AO$4:$BO$7,2,FALSE)))</f>
        <v/>
      </c>
      <c r="AO205" s="317" t="str">
        <f t="shared" si="40" ref="AO205:AO257">IFERROR(IF(C205="","",IF(Q205&gt;D205,((((Q205*S205*U205)-(D205*F205*H205))*(AH205*AD205))+(D205*F205*H205))*(AL205*X205*AJ205*AN205),((((Q205*S205*U205)-(Q205*F205*H205))*(AH205*AD205))+(Q205*F205*H205))*(AL205*X205*AJ205*AN205))),"")</f>
        <v/>
      </c>
      <c r="AP205" s="317" t="str">
        <f t="shared" si="41" ref="AP205:AP257">IFERROR(IF(C205="","",IF(AM205="","",IF(AND(N205&lt;&gt;"",M205=""),"Check data ⚠",(IF(AND(AM205&lt;&gt;"",AT205=""),"Off-site reference required ▲",IF(Q205&gt;D205,((((Q205*S205*U205)-(D205*F205*H205))*(AH205*AD205))+(D205*F205*H205))*(AL205*X205*AJ205),((((Q205*S205*U205)-(Q205*F205*H205))*(AH205*AD205))+(Q205*F205*H205))*(AL205*X205*AJ205))))))),"")</f>
        <v/>
      </c>
      <c r="AQ205" s="101"/>
      <c r="AR205" s="115"/>
      <c r="AS205" s="104"/>
      <c r="AT205" s="104"/>
      <c r="AW205" s="30" t="str">
        <f>IF(E205="","",VLOOKUP($B205,'F-1 Off-Site WaterC'' Baseline'!$C$9:$Z$257,12,FALSE))</f>
        <v/>
      </c>
      <c r="AX205" s="30" t="str">
        <f>IF(E205="","",VLOOKUP($B205,'F-1 Off-Site WaterC'' Baseline'!$C$9:$Z$257,14,FALSE))</f>
        <v/>
      </c>
      <c r="AY205" s="30" t="str">
        <f>IFERROR(INDEX('G-7 WaterC'' Data'!$AZ$3:$AZ$7,MATCH(N205,'G-7 WaterC'' Data'!$AY$3:$AY$7,0)),"")</f>
        <v/>
      </c>
      <c r="AZ205" s="30" t="str">
        <f>IF(B205="","",IF(ISNA(VLOOKUP($B205,'F-1 Off-Site WaterC'' Baseline'!$C$8:$AD$257,20,FALSE)),"",(VLOOKUP($B205,'F-1 Off-Site WaterC'' Baseline'!$C$8:$AD$257,20,FALSE))))</f>
        <v/>
      </c>
      <c r="BC205" s="30" t="str">
        <f>IF(B205="","",VLOOKUP($B205,'F-1 Off-Site WaterC'' Baseline'!$C$9:$AB$257,25,FALSE))</f>
        <v/>
      </c>
      <c r="BD205" s="30" t="str">
        <f t="shared" si="42" ref="BD205:BD256">IF(B205="","",IF(BC205&gt;M205,M205,IF((BF205+Q205)&gt;D205,M205-BE205,BC205)))</f>
        <v/>
      </c>
      <c r="BE205" s="30" t="str">
        <f>IF(B205="","",VLOOKUP($B205,'F-1 Off-Site WaterC'' Baseline'!$C$9:$AB$257,24,FALSE))</f>
        <v/>
      </c>
      <c r="BF205" s="30" t="str">
        <f>IF(B205="","",VLOOKUP($B205,'F-1 Off-Site WaterC'' Baseline'!$C$9:$AB$257,22,FALSE))</f>
        <v/>
      </c>
      <c r="BJ205" s="30" t="str">
        <f t="shared" si="43" ref="BJ205:BJ258">IF(AND(N205="Ditches",(OR(T205="Fairly Poor",T205="Fairly Good"))),"Yes","No")</f>
        <v>No</v>
      </c>
    </row>
    <row r="206" spans="2:62" ht="14">
      <c r="B206" s="305" t="str">
        <f>'F-1 Off-Site WaterC'' Baseline'!AS204</f>
        <v/>
      </c>
      <c r="C206" s="295" t="str">
        <f>IF(B206="","",VLOOKUP($B206,'F-1 Off-Site WaterC'' Baseline'!$C$9:$R$257,2,FALSE))</f>
        <v/>
      </c>
      <c r="D206" s="295" t="str">
        <f>IF(C206="","",VLOOKUP($B206,'F-1 Off-Site WaterC'' Baseline'!$C$9:$R$257,3,FALSE))</f>
        <v/>
      </c>
      <c r="E206" s="295" t="str">
        <f>IF(D206="","",VLOOKUP($B206,'F-1 Off-Site WaterC'' Baseline'!$C$9:$R$257,4,FALSE))</f>
        <v/>
      </c>
      <c r="F206" s="295" t="str">
        <f>IF(E206="","",VLOOKUP($B206,'F-1 Off-Site WaterC'' Baseline'!$C$9:$R$257,5,FALSE))</f>
        <v/>
      </c>
      <c r="G206" s="295" t="str">
        <f>IF(F206="","",VLOOKUP($B206,'F-1 Off-Site WaterC'' Baseline'!$C$9:$R$257,6,FALSE))</f>
        <v/>
      </c>
      <c r="H206" s="295" t="str">
        <f>IF(G206="","",VLOOKUP($B206,'F-1 Off-Site WaterC'' Baseline'!$C$9:$R$257,7,FALSE))</f>
        <v/>
      </c>
      <c r="I206" s="295" t="str">
        <f>IF(H206="","",VLOOKUP($B206,'F-1 Off-Site WaterC'' Baseline'!$C$9:$R$257,8,FALSE))</f>
        <v/>
      </c>
      <c r="J206" s="295" t="str">
        <f>IF(I206="","",VLOOKUP($B206,'F-1 Off-Site WaterC'' Baseline'!$C$9:$R$257,9,FALSE))</f>
        <v/>
      </c>
      <c r="K206" s="295" t="str">
        <f>IF(J206="","",VLOOKUP($B206,'F-1 Off-Site WaterC'' Baseline'!$C$9:$R$257,10,FALSE))</f>
        <v/>
      </c>
      <c r="L206" s="283" t="str">
        <f>IF(B206="","",VLOOKUP($B206,'F-1 Off-Site WaterC'' Baseline'!$C$9:$R$257,15,FALSE))</f>
        <v/>
      </c>
      <c r="M206" s="299" t="str">
        <f>IF(L206="","",VLOOKUP($B206,'F-1 Off-Site WaterC'' Baseline'!$C$9:$V$257,19,FALSE))</f>
        <v/>
      </c>
      <c r="N206" s="244"/>
      <c r="O206" s="275" t="str">
        <f t="shared" si="36"/>
        <v/>
      </c>
      <c r="P206" s="276" t="str">
        <f t="shared" si="37"/>
        <v/>
      </c>
      <c r="Q206" s="281" t="str">
        <f>IF(N206="","",VLOOKUP(B206,'F-1 Off-Site WaterC'' Baseline'!$C$10:$AF$257,23,FALSE))</f>
        <v/>
      </c>
      <c r="R206" s="275" t="str">
        <f>IF(N206="","",VLOOKUP(N206,'G-7 WaterC'' Data'!$B$2:$G$8,2,FALSE))</f>
        <v/>
      </c>
      <c r="S206" s="276" t="str">
        <f>IFERROR(VLOOKUP(R206,'G-7 WaterC'' Data'!$C$4:$D$8,2,FALSE),"")</f>
        <v/>
      </c>
      <c r="T206" s="101"/>
      <c r="U206" s="276" t="str">
        <f>IFERROR(INDEX('G-7 WaterC'' Data'!$H$4:$L$8,MATCH(N206,'G-7 WaterC'' Data'!$B$4:$B$8,0),MATCH(T206,'G-7 WaterC'' Data'!$H$3:$L$3,0)),"")</f>
        <v/>
      </c>
      <c r="V206" s="105"/>
      <c r="W206" s="295" t="str">
        <f>IF(V206="","",IF(VLOOKUP(V206,'G-7 WaterC'' Data'!$AK$4:$AM$6,2,FALSE)=0,"Spatial Data Missing ⚠",VLOOKUP(V206,'G-7 WaterC'' Data'!$AK$4:$AM$6,2,FALSE)))</f>
        <v/>
      </c>
      <c r="X206" s="299" t="str">
        <f>IF(V206="","",IF(VLOOKUP(V206,'G-7 WaterC'' Data'!$AK$4:$AM$6,3,FALSE)=0,"Spatial Data Missing ⚠",VLOOKUP(V206,'G-7 WaterC'' Data'!$AK$4:$AM$6,3,FALSE)))</f>
        <v/>
      </c>
      <c r="Y206" s="311" t="str">
        <f>IFERROR(IF(OR(LEFT(P206,5)="Error",LEFT(O206,5)="Error"),"Check Data ⚠",IF(F206&lt;S206,'G-7 WaterC'' Data'!$R$3,INDEX('G-7 WaterC'' Data'!$U$5:$Y$9,MATCH(G206,'G-7 WaterC'' Data'!$T$5:$T$9,0),MATCH(T206,'G-7 WaterC'' Data'!$U$4:$Y$4,0)))),"")</f>
        <v/>
      </c>
      <c r="Z206" s="138"/>
      <c r="AA206" s="138"/>
      <c r="AB206" s="308" t="str">
        <f t="shared" si="33"/>
        <v/>
      </c>
      <c r="AC206" s="296" t="str">
        <f t="shared" si="38"/>
        <v/>
      </c>
      <c r="AD206" s="334" t="str">
        <f>IFERROR(IF(AC206="Check Data ⚠","Check Data ⚠",VLOOKUP(AC206,'G-4 Temporal multipliers'!$A$4:$C$37,3,FALSE)),"")</f>
        <v/>
      </c>
      <c r="AE206" s="311" t="str">
        <f>IF(N206="","",VLOOKUP(N206,'G-7 WaterC'' Data'!$B$4:$G$8,5,FALSE))</f>
        <v/>
      </c>
      <c r="AF206" s="295" t="str">
        <f t="shared" si="34"/>
        <v/>
      </c>
      <c r="AG206" s="295" t="str">
        <f t="shared" si="39"/>
        <v/>
      </c>
      <c r="AH206" s="276" t="str">
        <f t="shared" si="35"/>
        <v/>
      </c>
      <c r="AI206" s="105"/>
      <c r="AJ206" s="276" t="str">
        <f>IF(AI206="","",(IF(AND(AI206="N/A - Culvert",N206&lt;&gt;"Culvert"),"Not possible ▲",IF(VLOOKUP(AI206,'G-7 WaterC'' Data'!$AA$4:$AB$7,2,FALSE)=0,"Spatial Data Missing ⚠",VLOOKUP(AI206,'G-7 WaterC'' Data'!$AA$4:$AB$7,2,FALSE)))))</f>
        <v/>
      </c>
      <c r="AK206" s="106"/>
      <c r="AL206" s="310" t="str">
        <f>IF(AK206="","",IF(AND(AK206="N/A - Culvert",N206&lt;&gt;"Culvert"),"Not possible ▲",IF(VLOOKUP(AK206,'G-7 WaterC'' Data'!$AD$4:$AE$14,2,FALSE)=0,"Spatial Data Missing ⚠",VLOOKUP(AK206,'G-7 WaterC'' Data'!$AD$4:$AE$14,2,FALSE))))</f>
        <v/>
      </c>
      <c r="AM206" s="275" t="str">
        <f>IF(B206="","",VLOOKUP($B206,'F-1 Off-Site WaterC'' Baseline'!$C$9:$Z$257,17,FALSE))</f>
        <v/>
      </c>
      <c r="AN206" s="276" t="str">
        <f>IF(AM206="","",IF(VLOOKUP(AM206,'G-7 WaterC'' Data'!$AO$4:$BO$7,2,FALSE)=0,"Spatial Data Missing ⚠",VLOOKUP(AM206,'G-7 WaterC'' Data'!$AO$4:$BO$7,2,FALSE)))</f>
        <v/>
      </c>
      <c r="AO206" s="317" t="str">
        <f t="shared" si="40"/>
        <v/>
      </c>
      <c r="AP206" s="317" t="str">
        <f t="shared" si="41"/>
        <v/>
      </c>
      <c r="AQ206" s="101"/>
      <c r="AR206" s="115"/>
      <c r="AS206" s="104"/>
      <c r="AT206" s="104"/>
      <c r="AW206" s="30" t="str">
        <f>IF(E206="","",VLOOKUP($B206,'F-1 Off-Site WaterC'' Baseline'!$C$9:$Z$257,12,FALSE))</f>
        <v/>
      </c>
      <c r="AX206" s="30" t="str">
        <f>IF(E206="","",VLOOKUP($B206,'F-1 Off-Site WaterC'' Baseline'!$C$9:$Z$257,14,FALSE))</f>
        <v/>
      </c>
      <c r="AY206" s="30" t="str">
        <f>IFERROR(INDEX('G-7 WaterC'' Data'!$AZ$3:$AZ$7,MATCH(N206,'G-7 WaterC'' Data'!$AY$3:$AY$7,0)),"")</f>
        <v/>
      </c>
      <c r="AZ206" s="30" t="str">
        <f>IF(B206="","",IF(ISNA(VLOOKUP($B206,'F-1 Off-Site WaterC'' Baseline'!$C$8:$AD$257,20,FALSE)),"",(VLOOKUP($B206,'F-1 Off-Site WaterC'' Baseline'!$C$8:$AD$257,20,FALSE))))</f>
        <v/>
      </c>
      <c r="BC206" s="30" t="str">
        <f>IF(B206="","",VLOOKUP($B206,'F-1 Off-Site WaterC'' Baseline'!$C$9:$AB$257,25,FALSE))</f>
        <v/>
      </c>
      <c r="BD206" s="30" t="str">
        <f t="shared" si="42"/>
        <v/>
      </c>
      <c r="BE206" s="30" t="str">
        <f>IF(B206="","",VLOOKUP($B206,'F-1 Off-Site WaterC'' Baseline'!$C$9:$AB$257,24,FALSE))</f>
        <v/>
      </c>
      <c r="BF206" s="30" t="str">
        <f>IF(B206="","",VLOOKUP($B206,'F-1 Off-Site WaterC'' Baseline'!$C$9:$AB$257,22,FALSE))</f>
        <v/>
      </c>
      <c r="BJ206" s="30" t="str">
        <f t="shared" si="43"/>
        <v>No</v>
      </c>
    </row>
    <row r="207" spans="2:62" ht="14">
      <c r="B207" s="305" t="str">
        <f>'F-1 Off-Site WaterC'' Baseline'!AS205</f>
        <v/>
      </c>
      <c r="C207" s="295" t="str">
        <f>IF(B207="","",VLOOKUP($B207,'F-1 Off-Site WaterC'' Baseline'!$C$9:$R$257,2,FALSE))</f>
        <v/>
      </c>
      <c r="D207" s="295" t="str">
        <f>IF(C207="","",VLOOKUP($B207,'F-1 Off-Site WaterC'' Baseline'!$C$9:$R$257,3,FALSE))</f>
        <v/>
      </c>
      <c r="E207" s="295" t="str">
        <f>IF(D207="","",VLOOKUP($B207,'F-1 Off-Site WaterC'' Baseline'!$C$9:$R$257,4,FALSE))</f>
        <v/>
      </c>
      <c r="F207" s="295" t="str">
        <f>IF(E207="","",VLOOKUP($B207,'F-1 Off-Site WaterC'' Baseline'!$C$9:$R$257,5,FALSE))</f>
        <v/>
      </c>
      <c r="G207" s="295" t="str">
        <f>IF(F207="","",VLOOKUP($B207,'F-1 Off-Site WaterC'' Baseline'!$C$9:$R$257,6,FALSE))</f>
        <v/>
      </c>
      <c r="H207" s="295" t="str">
        <f>IF(G207="","",VLOOKUP($B207,'F-1 Off-Site WaterC'' Baseline'!$C$9:$R$257,7,FALSE))</f>
        <v/>
      </c>
      <c r="I207" s="295" t="str">
        <f>IF(H207="","",VLOOKUP($B207,'F-1 Off-Site WaterC'' Baseline'!$C$9:$R$257,8,FALSE))</f>
        <v/>
      </c>
      <c r="J207" s="295" t="str">
        <f>IF(I207="","",VLOOKUP($B207,'F-1 Off-Site WaterC'' Baseline'!$C$9:$R$257,9,FALSE))</f>
        <v/>
      </c>
      <c r="K207" s="295" t="str">
        <f>IF(J207="","",VLOOKUP($B207,'F-1 Off-Site WaterC'' Baseline'!$C$9:$R$257,10,FALSE))</f>
        <v/>
      </c>
      <c r="L207" s="283" t="str">
        <f>IF(B207="","",VLOOKUP($B207,'F-1 Off-Site WaterC'' Baseline'!$C$9:$R$257,15,FALSE))</f>
        <v/>
      </c>
      <c r="M207" s="299" t="str">
        <f>IF(L207="","",VLOOKUP($B207,'F-1 Off-Site WaterC'' Baseline'!$C$9:$V$257,19,FALSE))</f>
        <v/>
      </c>
      <c r="N207" s="244"/>
      <c r="O207" s="275" t="str">
        <f t="shared" si="36"/>
        <v/>
      </c>
      <c r="P207" s="276" t="str">
        <f t="shared" si="37"/>
        <v/>
      </c>
      <c r="Q207" s="281" t="str">
        <f>IF(N207="","",VLOOKUP(B207,'F-1 Off-Site WaterC'' Baseline'!$C$10:$AF$257,23,FALSE))</f>
        <v/>
      </c>
      <c r="R207" s="275" t="str">
        <f>IF(N207="","",VLOOKUP(N207,'G-7 WaterC'' Data'!$B$2:$G$8,2,FALSE))</f>
        <v/>
      </c>
      <c r="S207" s="276" t="str">
        <f>IFERROR(VLOOKUP(R207,'G-7 WaterC'' Data'!$C$4:$D$8,2,FALSE),"")</f>
        <v/>
      </c>
      <c r="T207" s="101"/>
      <c r="U207" s="276" t="str">
        <f>IFERROR(INDEX('G-7 WaterC'' Data'!$H$4:$L$8,MATCH(N207,'G-7 WaterC'' Data'!$B$4:$B$8,0),MATCH(T207,'G-7 WaterC'' Data'!$H$3:$L$3,0)),"")</f>
        <v/>
      </c>
      <c r="V207" s="105"/>
      <c r="W207" s="295" t="str">
        <f>IF(V207="","",IF(VLOOKUP(V207,'G-7 WaterC'' Data'!$AK$4:$AM$6,2,FALSE)=0,"Spatial Data Missing ⚠",VLOOKUP(V207,'G-7 WaterC'' Data'!$AK$4:$AM$6,2,FALSE)))</f>
        <v/>
      </c>
      <c r="X207" s="299" t="str">
        <f>IF(V207="","",IF(VLOOKUP(V207,'G-7 WaterC'' Data'!$AK$4:$AM$6,3,FALSE)=0,"Spatial Data Missing ⚠",VLOOKUP(V207,'G-7 WaterC'' Data'!$AK$4:$AM$6,3,FALSE)))</f>
        <v/>
      </c>
      <c r="Y207" s="311" t="str">
        <f>IFERROR(IF(OR(LEFT(P207,5)="Error",LEFT(O207,5)="Error"),"Check Data ⚠",IF(F207&lt;S207,'G-7 WaterC'' Data'!$R$3,INDEX('G-7 WaterC'' Data'!$U$5:$Y$9,MATCH(G207,'G-7 WaterC'' Data'!$T$5:$T$9,0),MATCH(T207,'G-7 WaterC'' Data'!$U$4:$Y$4,0)))),"")</f>
        <v/>
      </c>
      <c r="Z207" s="138"/>
      <c r="AA207" s="138"/>
      <c r="AB207" s="308" t="str">
        <f t="shared" si="33"/>
        <v/>
      </c>
      <c r="AC207" s="296" t="str">
        <f t="shared" si="38"/>
        <v/>
      </c>
      <c r="AD207" s="334" t="str">
        <f>IFERROR(IF(AC207="Check Data ⚠","Check Data ⚠",VLOOKUP(AC207,'G-4 Temporal multipliers'!$A$4:$C$37,3,FALSE)),"")</f>
        <v/>
      </c>
      <c r="AE207" s="311" t="str">
        <f>IF(N207="","",VLOOKUP(N207,'G-7 WaterC'' Data'!$B$4:$G$8,5,FALSE))</f>
        <v/>
      </c>
      <c r="AF207" s="295" t="str">
        <f t="shared" si="34"/>
        <v/>
      </c>
      <c r="AG207" s="295" t="str">
        <f t="shared" si="39"/>
        <v/>
      </c>
      <c r="AH207" s="276" t="str">
        <f t="shared" si="35"/>
        <v/>
      </c>
      <c r="AI207" s="105"/>
      <c r="AJ207" s="276" t="str">
        <f>IF(AI207="","",(IF(AND(AI207="N/A - Culvert",N207&lt;&gt;"Culvert"),"Not possible ▲",IF(VLOOKUP(AI207,'G-7 WaterC'' Data'!$AA$4:$AB$7,2,FALSE)=0,"Spatial Data Missing ⚠",VLOOKUP(AI207,'G-7 WaterC'' Data'!$AA$4:$AB$7,2,FALSE)))))</f>
        <v/>
      </c>
      <c r="AK207" s="106"/>
      <c r="AL207" s="310" t="str">
        <f>IF(AK207="","",IF(AND(AK207="N/A - Culvert",N207&lt;&gt;"Culvert"),"Not possible ▲",IF(VLOOKUP(AK207,'G-7 WaterC'' Data'!$AD$4:$AE$14,2,FALSE)=0,"Spatial Data Missing ⚠",VLOOKUP(AK207,'G-7 WaterC'' Data'!$AD$4:$AE$14,2,FALSE))))</f>
        <v/>
      </c>
      <c r="AM207" s="275" t="str">
        <f>IF(B207="","",VLOOKUP($B207,'F-1 Off-Site WaterC'' Baseline'!$C$9:$Z$257,17,FALSE))</f>
        <v/>
      </c>
      <c r="AN207" s="276" t="str">
        <f>IF(AM207="","",IF(VLOOKUP(AM207,'G-7 WaterC'' Data'!$AO$4:$BO$7,2,FALSE)=0,"Spatial Data Missing ⚠",VLOOKUP(AM207,'G-7 WaterC'' Data'!$AO$4:$BO$7,2,FALSE)))</f>
        <v/>
      </c>
      <c r="AO207" s="317" t="str">
        <f t="shared" si="40"/>
        <v/>
      </c>
      <c r="AP207" s="317" t="str">
        <f t="shared" si="41"/>
        <v/>
      </c>
      <c r="AQ207" s="101"/>
      <c r="AR207" s="115"/>
      <c r="AS207" s="104"/>
      <c r="AT207" s="104"/>
      <c r="AW207" s="30" t="str">
        <f>IF(E207="","",VLOOKUP($B207,'F-1 Off-Site WaterC'' Baseline'!$C$9:$Z$257,12,FALSE))</f>
        <v/>
      </c>
      <c r="AX207" s="30" t="str">
        <f>IF(E207="","",VLOOKUP($B207,'F-1 Off-Site WaterC'' Baseline'!$C$9:$Z$257,14,FALSE))</f>
        <v/>
      </c>
      <c r="AY207" s="30" t="str">
        <f>IFERROR(INDEX('G-7 WaterC'' Data'!$AZ$3:$AZ$7,MATCH(N207,'G-7 WaterC'' Data'!$AY$3:$AY$7,0)),"")</f>
        <v/>
      </c>
      <c r="AZ207" s="30" t="str">
        <f>IF(B207="","",IF(ISNA(VLOOKUP($B207,'F-1 Off-Site WaterC'' Baseline'!$C$8:$AD$257,20,FALSE)),"",(VLOOKUP($B207,'F-1 Off-Site WaterC'' Baseline'!$C$8:$AD$257,20,FALSE))))</f>
        <v/>
      </c>
      <c r="BC207" s="30" t="str">
        <f>IF(B207="","",VLOOKUP($B207,'F-1 Off-Site WaterC'' Baseline'!$C$9:$AB$257,25,FALSE))</f>
        <v/>
      </c>
      <c r="BD207" s="30" t="str">
        <f t="shared" si="42"/>
        <v/>
      </c>
      <c r="BE207" s="30" t="str">
        <f>IF(B207="","",VLOOKUP($B207,'F-1 Off-Site WaterC'' Baseline'!$C$9:$AB$257,24,FALSE))</f>
        <v/>
      </c>
      <c r="BF207" s="30" t="str">
        <f>IF(B207="","",VLOOKUP($B207,'F-1 Off-Site WaterC'' Baseline'!$C$9:$AB$257,22,FALSE))</f>
        <v/>
      </c>
      <c r="BJ207" s="30" t="str">
        <f t="shared" si="43"/>
        <v>No</v>
      </c>
    </row>
    <row r="208" spans="2:62" ht="14">
      <c r="B208" s="305" t="str">
        <f>'F-1 Off-Site WaterC'' Baseline'!AS206</f>
        <v/>
      </c>
      <c r="C208" s="295" t="str">
        <f>IF(B208="","",VLOOKUP($B208,'F-1 Off-Site WaterC'' Baseline'!$C$9:$R$257,2,FALSE))</f>
        <v/>
      </c>
      <c r="D208" s="295" t="str">
        <f>IF(C208="","",VLOOKUP($B208,'F-1 Off-Site WaterC'' Baseline'!$C$9:$R$257,3,FALSE))</f>
        <v/>
      </c>
      <c r="E208" s="295" t="str">
        <f>IF(D208="","",VLOOKUP($B208,'F-1 Off-Site WaterC'' Baseline'!$C$9:$R$257,4,FALSE))</f>
        <v/>
      </c>
      <c r="F208" s="295" t="str">
        <f>IF(E208="","",VLOOKUP($B208,'F-1 Off-Site WaterC'' Baseline'!$C$9:$R$257,5,FALSE))</f>
        <v/>
      </c>
      <c r="G208" s="295" t="str">
        <f>IF(F208="","",VLOOKUP($B208,'F-1 Off-Site WaterC'' Baseline'!$C$9:$R$257,6,FALSE))</f>
        <v/>
      </c>
      <c r="H208" s="295" t="str">
        <f>IF(G208="","",VLOOKUP($B208,'F-1 Off-Site WaterC'' Baseline'!$C$9:$R$257,7,FALSE))</f>
        <v/>
      </c>
      <c r="I208" s="295" t="str">
        <f>IF(H208="","",VLOOKUP($B208,'F-1 Off-Site WaterC'' Baseline'!$C$9:$R$257,8,FALSE))</f>
        <v/>
      </c>
      <c r="J208" s="295" t="str">
        <f>IF(I208="","",VLOOKUP($B208,'F-1 Off-Site WaterC'' Baseline'!$C$9:$R$257,9,FALSE))</f>
        <v/>
      </c>
      <c r="K208" s="295" t="str">
        <f>IF(J208="","",VLOOKUP($B208,'F-1 Off-Site WaterC'' Baseline'!$C$9:$R$257,10,FALSE))</f>
        <v/>
      </c>
      <c r="L208" s="283" t="str">
        <f>IF(B208="","",VLOOKUP($B208,'F-1 Off-Site WaterC'' Baseline'!$C$9:$R$257,15,FALSE))</f>
        <v/>
      </c>
      <c r="M208" s="299" t="str">
        <f>IF(L208="","",VLOOKUP($B208,'F-1 Off-Site WaterC'' Baseline'!$C$9:$V$257,19,FALSE))</f>
        <v/>
      </c>
      <c r="N208" s="244"/>
      <c r="O208" s="275" t="str">
        <f t="shared" si="36"/>
        <v/>
      </c>
      <c r="P208" s="276" t="str">
        <f t="shared" si="37"/>
        <v/>
      </c>
      <c r="Q208" s="281" t="str">
        <f>IF(N208="","",VLOOKUP(B208,'F-1 Off-Site WaterC'' Baseline'!$C$10:$AF$257,23,FALSE))</f>
        <v/>
      </c>
      <c r="R208" s="275" t="str">
        <f>IF(N208="","",VLOOKUP(N208,'G-7 WaterC'' Data'!$B$2:$G$8,2,FALSE))</f>
        <v/>
      </c>
      <c r="S208" s="276" t="str">
        <f>IFERROR(VLOOKUP(R208,'G-7 WaterC'' Data'!$C$4:$D$8,2,FALSE),"")</f>
        <v/>
      </c>
      <c r="T208" s="101"/>
      <c r="U208" s="276" t="str">
        <f>IFERROR(INDEX('G-7 WaterC'' Data'!$H$4:$L$8,MATCH(N208,'G-7 WaterC'' Data'!$B$4:$B$8,0),MATCH(T208,'G-7 WaterC'' Data'!$H$3:$L$3,0)),"")</f>
        <v/>
      </c>
      <c r="V208" s="105"/>
      <c r="W208" s="295" t="str">
        <f>IF(V208="","",IF(VLOOKUP(V208,'G-7 WaterC'' Data'!$AK$4:$AM$6,2,FALSE)=0,"Spatial Data Missing ⚠",VLOOKUP(V208,'G-7 WaterC'' Data'!$AK$4:$AM$6,2,FALSE)))</f>
        <v/>
      </c>
      <c r="X208" s="299" t="str">
        <f>IF(V208="","",IF(VLOOKUP(V208,'G-7 WaterC'' Data'!$AK$4:$AM$6,3,FALSE)=0,"Spatial Data Missing ⚠",VLOOKUP(V208,'G-7 WaterC'' Data'!$AK$4:$AM$6,3,FALSE)))</f>
        <v/>
      </c>
      <c r="Y208" s="311" t="str">
        <f>IFERROR(IF(OR(LEFT(P208,5)="Error",LEFT(O208,5)="Error"),"Check Data ⚠",IF(F208&lt;S208,'G-7 WaterC'' Data'!$R$3,INDEX('G-7 WaterC'' Data'!$U$5:$Y$9,MATCH(G208,'G-7 WaterC'' Data'!$T$5:$T$9,0),MATCH(T208,'G-7 WaterC'' Data'!$U$4:$Y$4,0)))),"")</f>
        <v/>
      </c>
      <c r="Z208" s="138"/>
      <c r="AA208" s="138"/>
      <c r="AB208" s="308" t="str">
        <f t="shared" si="33"/>
        <v/>
      </c>
      <c r="AC208" s="296" t="str">
        <f t="shared" si="38"/>
        <v/>
      </c>
      <c r="AD208" s="334" t="str">
        <f>IFERROR(IF(AC208="Check Data ⚠","Check Data ⚠",VLOOKUP(AC208,'G-4 Temporal multipliers'!$A$4:$C$37,3,FALSE)),"")</f>
        <v/>
      </c>
      <c r="AE208" s="311" t="str">
        <f>IF(N208="","",VLOOKUP(N208,'G-7 WaterC'' Data'!$B$4:$G$8,5,FALSE))</f>
        <v/>
      </c>
      <c r="AF208" s="295" t="str">
        <f t="shared" si="34"/>
        <v/>
      </c>
      <c r="AG208" s="295" t="str">
        <f t="shared" si="39"/>
        <v/>
      </c>
      <c r="AH208" s="276" t="str">
        <f t="shared" si="35"/>
        <v/>
      </c>
      <c r="AI208" s="105"/>
      <c r="AJ208" s="276" t="str">
        <f>IF(AI208="","",(IF(AND(AI208="N/A - Culvert",N208&lt;&gt;"Culvert"),"Not possible ▲",IF(VLOOKUP(AI208,'G-7 WaterC'' Data'!$AA$4:$AB$7,2,FALSE)=0,"Spatial Data Missing ⚠",VLOOKUP(AI208,'G-7 WaterC'' Data'!$AA$4:$AB$7,2,FALSE)))))</f>
        <v/>
      </c>
      <c r="AK208" s="106"/>
      <c r="AL208" s="310" t="str">
        <f>IF(AK208="","",IF(AND(AK208="N/A - Culvert",N208&lt;&gt;"Culvert"),"Not possible ▲",IF(VLOOKUP(AK208,'G-7 WaterC'' Data'!$AD$4:$AE$14,2,FALSE)=0,"Spatial Data Missing ⚠",VLOOKUP(AK208,'G-7 WaterC'' Data'!$AD$4:$AE$14,2,FALSE))))</f>
        <v/>
      </c>
      <c r="AM208" s="275" t="str">
        <f>IF(B208="","",VLOOKUP($B208,'F-1 Off-Site WaterC'' Baseline'!$C$9:$Z$257,17,FALSE))</f>
        <v/>
      </c>
      <c r="AN208" s="276" t="str">
        <f>IF(AM208="","",IF(VLOOKUP(AM208,'G-7 WaterC'' Data'!$AO$4:$BO$7,2,FALSE)=0,"Spatial Data Missing ⚠",VLOOKUP(AM208,'G-7 WaterC'' Data'!$AO$4:$BO$7,2,FALSE)))</f>
        <v/>
      </c>
      <c r="AO208" s="317" t="str">
        <f t="shared" si="40"/>
        <v/>
      </c>
      <c r="AP208" s="317" t="str">
        <f t="shared" si="41"/>
        <v/>
      </c>
      <c r="AQ208" s="101"/>
      <c r="AR208" s="115"/>
      <c r="AS208" s="104"/>
      <c r="AT208" s="104"/>
      <c r="AW208" s="30" t="str">
        <f>IF(E208="","",VLOOKUP($B208,'F-1 Off-Site WaterC'' Baseline'!$C$9:$Z$257,12,FALSE))</f>
        <v/>
      </c>
      <c r="AX208" s="30" t="str">
        <f>IF(E208="","",VLOOKUP($B208,'F-1 Off-Site WaterC'' Baseline'!$C$9:$Z$257,14,FALSE))</f>
        <v/>
      </c>
      <c r="AY208" s="30" t="str">
        <f>IFERROR(INDEX('G-7 WaterC'' Data'!$AZ$3:$AZ$7,MATCH(N208,'G-7 WaterC'' Data'!$AY$3:$AY$7,0)),"")</f>
        <v/>
      </c>
      <c r="AZ208" s="30" t="str">
        <f>IF(B208="","",IF(ISNA(VLOOKUP($B208,'F-1 Off-Site WaterC'' Baseline'!$C$8:$AD$257,20,FALSE)),"",(VLOOKUP($B208,'F-1 Off-Site WaterC'' Baseline'!$C$8:$AD$257,20,FALSE))))</f>
        <v/>
      </c>
      <c r="BC208" s="30" t="str">
        <f>IF(B208="","",VLOOKUP($B208,'F-1 Off-Site WaterC'' Baseline'!$C$9:$AB$257,25,FALSE))</f>
        <v/>
      </c>
      <c r="BD208" s="30" t="str">
        <f t="shared" si="42"/>
        <v/>
      </c>
      <c r="BE208" s="30" t="str">
        <f>IF(B208="","",VLOOKUP($B208,'F-1 Off-Site WaterC'' Baseline'!$C$9:$AB$257,24,FALSE))</f>
        <v/>
      </c>
      <c r="BF208" s="30" t="str">
        <f>IF(B208="","",VLOOKUP($B208,'F-1 Off-Site WaterC'' Baseline'!$C$9:$AB$257,22,FALSE))</f>
        <v/>
      </c>
      <c r="BJ208" s="30" t="str">
        <f t="shared" si="43"/>
        <v>No</v>
      </c>
    </row>
    <row r="209" spans="2:62" ht="14">
      <c r="B209" s="305" t="str">
        <f>'F-1 Off-Site WaterC'' Baseline'!AS207</f>
        <v/>
      </c>
      <c r="C209" s="295" t="str">
        <f>IF(B209="","",VLOOKUP($B209,'F-1 Off-Site WaterC'' Baseline'!$C$9:$R$257,2,FALSE))</f>
        <v/>
      </c>
      <c r="D209" s="295" t="str">
        <f>IF(C209="","",VLOOKUP($B209,'F-1 Off-Site WaterC'' Baseline'!$C$9:$R$257,3,FALSE))</f>
        <v/>
      </c>
      <c r="E209" s="295" t="str">
        <f>IF(D209="","",VLOOKUP($B209,'F-1 Off-Site WaterC'' Baseline'!$C$9:$R$257,4,FALSE))</f>
        <v/>
      </c>
      <c r="F209" s="295" t="str">
        <f>IF(E209="","",VLOOKUP($B209,'F-1 Off-Site WaterC'' Baseline'!$C$9:$R$257,5,FALSE))</f>
        <v/>
      </c>
      <c r="G209" s="295" t="str">
        <f>IF(F209="","",VLOOKUP($B209,'F-1 Off-Site WaterC'' Baseline'!$C$9:$R$257,6,FALSE))</f>
        <v/>
      </c>
      <c r="H209" s="295" t="str">
        <f>IF(G209="","",VLOOKUP($B209,'F-1 Off-Site WaterC'' Baseline'!$C$9:$R$257,7,FALSE))</f>
        <v/>
      </c>
      <c r="I209" s="295" t="str">
        <f>IF(H209="","",VLOOKUP($B209,'F-1 Off-Site WaterC'' Baseline'!$C$9:$R$257,8,FALSE))</f>
        <v/>
      </c>
      <c r="J209" s="295" t="str">
        <f>IF(I209="","",VLOOKUP($B209,'F-1 Off-Site WaterC'' Baseline'!$C$9:$R$257,9,FALSE))</f>
        <v/>
      </c>
      <c r="K209" s="295" t="str">
        <f>IF(J209="","",VLOOKUP($B209,'F-1 Off-Site WaterC'' Baseline'!$C$9:$R$257,10,FALSE))</f>
        <v/>
      </c>
      <c r="L209" s="283" t="str">
        <f>IF(B209="","",VLOOKUP($B209,'F-1 Off-Site WaterC'' Baseline'!$C$9:$R$257,15,FALSE))</f>
        <v/>
      </c>
      <c r="M209" s="299" t="str">
        <f>IF(L209="","",VLOOKUP($B209,'F-1 Off-Site WaterC'' Baseline'!$C$9:$V$257,19,FALSE))</f>
        <v/>
      </c>
      <c r="N209" s="244"/>
      <c r="O209" s="275" t="str">
        <f t="shared" si="36"/>
        <v/>
      </c>
      <c r="P209" s="276" t="str">
        <f t="shared" si="37"/>
        <v/>
      </c>
      <c r="Q209" s="281" t="str">
        <f>IF(N209="","",VLOOKUP(B209,'F-1 Off-Site WaterC'' Baseline'!$C$10:$AF$257,23,FALSE))</f>
        <v/>
      </c>
      <c r="R209" s="275" t="str">
        <f>IF(N209="","",VLOOKUP(N209,'G-7 WaterC'' Data'!$B$2:$G$8,2,FALSE))</f>
        <v/>
      </c>
      <c r="S209" s="276" t="str">
        <f>IFERROR(VLOOKUP(R209,'G-7 WaterC'' Data'!$C$4:$D$8,2,FALSE),"")</f>
        <v/>
      </c>
      <c r="T209" s="101"/>
      <c r="U209" s="276" t="str">
        <f>IFERROR(INDEX('G-7 WaterC'' Data'!$H$4:$L$8,MATCH(N209,'G-7 WaterC'' Data'!$B$4:$B$8,0),MATCH(T209,'G-7 WaterC'' Data'!$H$3:$L$3,0)),"")</f>
        <v/>
      </c>
      <c r="V209" s="105"/>
      <c r="W209" s="295" t="str">
        <f>IF(V209="","",IF(VLOOKUP(V209,'G-7 WaterC'' Data'!$AK$4:$AM$6,2,FALSE)=0,"Spatial Data Missing ⚠",VLOOKUP(V209,'G-7 WaterC'' Data'!$AK$4:$AM$6,2,FALSE)))</f>
        <v/>
      </c>
      <c r="X209" s="299" t="str">
        <f>IF(V209="","",IF(VLOOKUP(V209,'G-7 WaterC'' Data'!$AK$4:$AM$6,3,FALSE)=0,"Spatial Data Missing ⚠",VLOOKUP(V209,'G-7 WaterC'' Data'!$AK$4:$AM$6,3,FALSE)))</f>
        <v/>
      </c>
      <c r="Y209" s="311" t="str">
        <f>IFERROR(IF(OR(LEFT(P209,5)="Error",LEFT(O209,5)="Error"),"Check Data ⚠",IF(F209&lt;S209,'G-7 WaterC'' Data'!$R$3,INDEX('G-7 WaterC'' Data'!$U$5:$Y$9,MATCH(G209,'G-7 WaterC'' Data'!$T$5:$T$9,0),MATCH(T209,'G-7 WaterC'' Data'!$U$4:$Y$4,0)))),"")</f>
        <v/>
      </c>
      <c r="Z209" s="138"/>
      <c r="AA209" s="138"/>
      <c r="AB209" s="308" t="str">
        <f t="shared" si="33"/>
        <v/>
      </c>
      <c r="AC209" s="296" t="str">
        <f t="shared" si="38"/>
        <v/>
      </c>
      <c r="AD209" s="334" t="str">
        <f>IFERROR(IF(AC209="Check Data ⚠","Check Data ⚠",VLOOKUP(AC209,'G-4 Temporal multipliers'!$A$4:$C$37,3,FALSE)),"")</f>
        <v/>
      </c>
      <c r="AE209" s="311" t="str">
        <f>IF(N209="","",VLOOKUP(N209,'G-7 WaterC'' Data'!$B$4:$G$8,5,FALSE))</f>
        <v/>
      </c>
      <c r="AF209" s="295" t="str">
        <f t="shared" si="34"/>
        <v/>
      </c>
      <c r="AG209" s="295" t="str">
        <f t="shared" si="39"/>
        <v/>
      </c>
      <c r="AH209" s="276" t="str">
        <f t="shared" si="35"/>
        <v/>
      </c>
      <c r="AI209" s="105"/>
      <c r="AJ209" s="276" t="str">
        <f>IF(AI209="","",(IF(AND(AI209="N/A - Culvert",N209&lt;&gt;"Culvert"),"Not possible ▲",IF(VLOOKUP(AI209,'G-7 WaterC'' Data'!$AA$4:$AB$7,2,FALSE)=0,"Spatial Data Missing ⚠",VLOOKUP(AI209,'G-7 WaterC'' Data'!$AA$4:$AB$7,2,FALSE)))))</f>
        <v/>
      </c>
      <c r="AK209" s="106"/>
      <c r="AL209" s="310" t="str">
        <f>IF(AK209="","",IF(AND(AK209="N/A - Culvert",N209&lt;&gt;"Culvert"),"Not possible ▲",IF(VLOOKUP(AK209,'G-7 WaterC'' Data'!$AD$4:$AE$14,2,FALSE)=0,"Spatial Data Missing ⚠",VLOOKUP(AK209,'G-7 WaterC'' Data'!$AD$4:$AE$14,2,FALSE))))</f>
        <v/>
      </c>
      <c r="AM209" s="275" t="str">
        <f>IF(B209="","",VLOOKUP($B209,'F-1 Off-Site WaterC'' Baseline'!$C$9:$Z$257,17,FALSE))</f>
        <v/>
      </c>
      <c r="AN209" s="276" t="str">
        <f>IF(AM209="","",IF(VLOOKUP(AM209,'G-7 WaterC'' Data'!$AO$4:$BO$7,2,FALSE)=0,"Spatial Data Missing ⚠",VLOOKUP(AM209,'G-7 WaterC'' Data'!$AO$4:$BO$7,2,FALSE)))</f>
        <v/>
      </c>
      <c r="AO209" s="317" t="str">
        <f t="shared" si="40"/>
        <v/>
      </c>
      <c r="AP209" s="317" t="str">
        <f t="shared" si="41"/>
        <v/>
      </c>
      <c r="AQ209" s="101"/>
      <c r="AR209" s="115"/>
      <c r="AS209" s="104"/>
      <c r="AT209" s="104"/>
      <c r="AW209" s="30" t="str">
        <f>IF(E209="","",VLOOKUP($B209,'F-1 Off-Site WaterC'' Baseline'!$C$9:$Z$257,12,FALSE))</f>
        <v/>
      </c>
      <c r="AX209" s="30" t="str">
        <f>IF(E209="","",VLOOKUP($B209,'F-1 Off-Site WaterC'' Baseline'!$C$9:$Z$257,14,FALSE))</f>
        <v/>
      </c>
      <c r="AY209" s="30" t="str">
        <f>IFERROR(INDEX('G-7 WaterC'' Data'!$AZ$3:$AZ$7,MATCH(N209,'G-7 WaterC'' Data'!$AY$3:$AY$7,0)),"")</f>
        <v/>
      </c>
      <c r="AZ209" s="30" t="str">
        <f>IF(B209="","",IF(ISNA(VLOOKUP($B209,'F-1 Off-Site WaterC'' Baseline'!$C$8:$AD$257,20,FALSE)),"",(VLOOKUP($B209,'F-1 Off-Site WaterC'' Baseline'!$C$8:$AD$257,20,FALSE))))</f>
        <v/>
      </c>
      <c r="BC209" s="30" t="str">
        <f>IF(B209="","",VLOOKUP($B209,'F-1 Off-Site WaterC'' Baseline'!$C$9:$AB$257,25,FALSE))</f>
        <v/>
      </c>
      <c r="BD209" s="30" t="str">
        <f t="shared" si="42"/>
        <v/>
      </c>
      <c r="BE209" s="30" t="str">
        <f>IF(B209="","",VLOOKUP($B209,'F-1 Off-Site WaterC'' Baseline'!$C$9:$AB$257,24,FALSE))</f>
        <v/>
      </c>
      <c r="BF209" s="30" t="str">
        <f>IF(B209="","",VLOOKUP($B209,'F-1 Off-Site WaterC'' Baseline'!$C$9:$AB$257,22,FALSE))</f>
        <v/>
      </c>
      <c r="BJ209" s="30" t="str">
        <f t="shared" si="43"/>
        <v>No</v>
      </c>
    </row>
    <row r="210" spans="2:62" ht="14">
      <c r="B210" s="305" t="str">
        <f>'F-1 Off-Site WaterC'' Baseline'!AS208</f>
        <v/>
      </c>
      <c r="C210" s="295" t="str">
        <f>IF(B210="","",VLOOKUP($B210,'F-1 Off-Site WaterC'' Baseline'!$C$9:$R$257,2,FALSE))</f>
        <v/>
      </c>
      <c r="D210" s="295" t="str">
        <f>IF(C210="","",VLOOKUP($B210,'F-1 Off-Site WaterC'' Baseline'!$C$9:$R$257,3,FALSE))</f>
        <v/>
      </c>
      <c r="E210" s="295" t="str">
        <f>IF(D210="","",VLOOKUP($B210,'F-1 Off-Site WaterC'' Baseline'!$C$9:$R$257,4,FALSE))</f>
        <v/>
      </c>
      <c r="F210" s="295" t="str">
        <f>IF(E210="","",VLOOKUP($B210,'F-1 Off-Site WaterC'' Baseline'!$C$9:$R$257,5,FALSE))</f>
        <v/>
      </c>
      <c r="G210" s="295" t="str">
        <f>IF(F210="","",VLOOKUP($B210,'F-1 Off-Site WaterC'' Baseline'!$C$9:$R$257,6,FALSE))</f>
        <v/>
      </c>
      <c r="H210" s="295" t="str">
        <f>IF(G210="","",VLOOKUP($B210,'F-1 Off-Site WaterC'' Baseline'!$C$9:$R$257,7,FALSE))</f>
        <v/>
      </c>
      <c r="I210" s="295" t="str">
        <f>IF(H210="","",VLOOKUP($B210,'F-1 Off-Site WaterC'' Baseline'!$C$9:$R$257,8,FALSE))</f>
        <v/>
      </c>
      <c r="J210" s="295" t="str">
        <f>IF(I210="","",VLOOKUP($B210,'F-1 Off-Site WaterC'' Baseline'!$C$9:$R$257,9,FALSE))</f>
        <v/>
      </c>
      <c r="K210" s="295" t="str">
        <f>IF(J210="","",VLOOKUP($B210,'F-1 Off-Site WaterC'' Baseline'!$C$9:$R$257,10,FALSE))</f>
        <v/>
      </c>
      <c r="L210" s="283" t="str">
        <f>IF(B210="","",VLOOKUP($B210,'F-1 Off-Site WaterC'' Baseline'!$C$9:$R$257,15,FALSE))</f>
        <v/>
      </c>
      <c r="M210" s="299" t="str">
        <f>IF(L210="","",VLOOKUP($B210,'F-1 Off-Site WaterC'' Baseline'!$C$9:$V$257,19,FALSE))</f>
        <v/>
      </c>
      <c r="N210" s="244"/>
      <c r="O210" s="275" t="str">
        <f t="shared" si="36"/>
        <v/>
      </c>
      <c r="P210" s="276" t="str">
        <f t="shared" si="37"/>
        <v/>
      </c>
      <c r="Q210" s="281" t="str">
        <f>IF(N210="","",VLOOKUP(B210,'F-1 Off-Site WaterC'' Baseline'!$C$10:$AF$257,23,FALSE))</f>
        <v/>
      </c>
      <c r="R210" s="275" t="str">
        <f>IF(N210="","",VLOOKUP(N210,'G-7 WaterC'' Data'!$B$2:$G$8,2,FALSE))</f>
        <v/>
      </c>
      <c r="S210" s="276" t="str">
        <f>IFERROR(VLOOKUP(R210,'G-7 WaterC'' Data'!$C$4:$D$8,2,FALSE),"")</f>
        <v/>
      </c>
      <c r="T210" s="101"/>
      <c r="U210" s="276" t="str">
        <f>IFERROR(INDEX('G-7 WaterC'' Data'!$H$4:$L$8,MATCH(N210,'G-7 WaterC'' Data'!$B$4:$B$8,0),MATCH(T210,'G-7 WaterC'' Data'!$H$3:$L$3,0)),"")</f>
        <v/>
      </c>
      <c r="V210" s="105"/>
      <c r="W210" s="295" t="str">
        <f>IF(V210="","",IF(VLOOKUP(V210,'G-7 WaterC'' Data'!$AK$4:$AM$6,2,FALSE)=0,"Spatial Data Missing ⚠",VLOOKUP(V210,'G-7 WaterC'' Data'!$AK$4:$AM$6,2,FALSE)))</f>
        <v/>
      </c>
      <c r="X210" s="299" t="str">
        <f>IF(V210="","",IF(VLOOKUP(V210,'G-7 WaterC'' Data'!$AK$4:$AM$6,3,FALSE)=0,"Spatial Data Missing ⚠",VLOOKUP(V210,'G-7 WaterC'' Data'!$AK$4:$AM$6,3,FALSE)))</f>
        <v/>
      </c>
      <c r="Y210" s="311" t="str">
        <f>IFERROR(IF(OR(LEFT(P210,5)="Error",LEFT(O210,5)="Error"),"Check Data ⚠",IF(F210&lt;S210,'G-7 WaterC'' Data'!$R$3,INDEX('G-7 WaterC'' Data'!$U$5:$Y$9,MATCH(G210,'G-7 WaterC'' Data'!$T$5:$T$9,0),MATCH(T210,'G-7 WaterC'' Data'!$U$4:$Y$4,0)))),"")</f>
        <v/>
      </c>
      <c r="Z210" s="138"/>
      <c r="AA210" s="138"/>
      <c r="AB210" s="308" t="str">
        <f t="shared" si="33"/>
        <v/>
      </c>
      <c r="AC210" s="296" t="str">
        <f t="shared" si="38"/>
        <v/>
      </c>
      <c r="AD210" s="334" t="str">
        <f>IFERROR(IF(AC210="Check Data ⚠","Check Data ⚠",VLOOKUP(AC210,'G-4 Temporal multipliers'!$A$4:$C$37,3,FALSE)),"")</f>
        <v/>
      </c>
      <c r="AE210" s="311" t="str">
        <f>IF(N210="","",VLOOKUP(N210,'G-7 WaterC'' Data'!$B$4:$G$8,5,FALSE))</f>
        <v/>
      </c>
      <c r="AF210" s="295" t="str">
        <f t="shared" si="34"/>
        <v/>
      </c>
      <c r="AG210" s="295" t="str">
        <f t="shared" si="39"/>
        <v/>
      </c>
      <c r="AH210" s="276" t="str">
        <f t="shared" si="35"/>
        <v/>
      </c>
      <c r="AI210" s="105"/>
      <c r="AJ210" s="276" t="str">
        <f>IF(AI210="","",(IF(AND(AI210="N/A - Culvert",N210&lt;&gt;"Culvert"),"Not possible ▲",IF(VLOOKUP(AI210,'G-7 WaterC'' Data'!$AA$4:$AB$7,2,FALSE)=0,"Spatial Data Missing ⚠",VLOOKUP(AI210,'G-7 WaterC'' Data'!$AA$4:$AB$7,2,FALSE)))))</f>
        <v/>
      </c>
      <c r="AK210" s="106"/>
      <c r="AL210" s="310" t="str">
        <f>IF(AK210="","",IF(AND(AK210="N/A - Culvert",N210&lt;&gt;"Culvert"),"Not possible ▲",IF(VLOOKUP(AK210,'G-7 WaterC'' Data'!$AD$4:$AE$14,2,FALSE)=0,"Spatial Data Missing ⚠",VLOOKUP(AK210,'G-7 WaterC'' Data'!$AD$4:$AE$14,2,FALSE))))</f>
        <v/>
      </c>
      <c r="AM210" s="275" t="str">
        <f>IF(B210="","",VLOOKUP($B210,'F-1 Off-Site WaterC'' Baseline'!$C$9:$Z$257,17,FALSE))</f>
        <v/>
      </c>
      <c r="AN210" s="276" t="str">
        <f>IF(AM210="","",IF(VLOOKUP(AM210,'G-7 WaterC'' Data'!$AO$4:$BO$7,2,FALSE)=0,"Spatial Data Missing ⚠",VLOOKUP(AM210,'G-7 WaterC'' Data'!$AO$4:$BO$7,2,FALSE)))</f>
        <v/>
      </c>
      <c r="AO210" s="317" t="str">
        <f t="shared" si="40"/>
        <v/>
      </c>
      <c r="AP210" s="317" t="str">
        <f t="shared" si="41"/>
        <v/>
      </c>
      <c r="AQ210" s="101"/>
      <c r="AR210" s="115"/>
      <c r="AS210" s="104"/>
      <c r="AT210" s="104"/>
      <c r="AW210" s="30" t="str">
        <f>IF(E210="","",VLOOKUP($B210,'F-1 Off-Site WaterC'' Baseline'!$C$9:$Z$257,12,FALSE))</f>
        <v/>
      </c>
      <c r="AX210" s="30" t="str">
        <f>IF(E210="","",VLOOKUP($B210,'F-1 Off-Site WaterC'' Baseline'!$C$9:$Z$257,14,FALSE))</f>
        <v/>
      </c>
      <c r="AY210" s="30" t="str">
        <f>IFERROR(INDEX('G-7 WaterC'' Data'!$AZ$3:$AZ$7,MATCH(N210,'G-7 WaterC'' Data'!$AY$3:$AY$7,0)),"")</f>
        <v/>
      </c>
      <c r="AZ210" s="30" t="str">
        <f>IF(B210="","",IF(ISNA(VLOOKUP($B210,'F-1 Off-Site WaterC'' Baseline'!$C$8:$AD$257,20,FALSE)),"",(VLOOKUP($B210,'F-1 Off-Site WaterC'' Baseline'!$C$8:$AD$257,20,FALSE))))</f>
        <v/>
      </c>
      <c r="BC210" s="30" t="str">
        <f>IF(B210="","",VLOOKUP($B210,'F-1 Off-Site WaterC'' Baseline'!$C$9:$AB$257,25,FALSE))</f>
        <v/>
      </c>
      <c r="BD210" s="30" t="str">
        <f t="shared" si="42"/>
        <v/>
      </c>
      <c r="BE210" s="30" t="str">
        <f>IF(B210="","",VLOOKUP($B210,'F-1 Off-Site WaterC'' Baseline'!$C$9:$AB$257,24,FALSE))</f>
        <v/>
      </c>
      <c r="BF210" s="30" t="str">
        <f>IF(B210="","",VLOOKUP($B210,'F-1 Off-Site WaterC'' Baseline'!$C$9:$AB$257,22,FALSE))</f>
        <v/>
      </c>
      <c r="BJ210" s="30" t="str">
        <f t="shared" si="43"/>
        <v>No</v>
      </c>
    </row>
    <row r="211" spans="2:62" ht="14">
      <c r="B211" s="305" t="str">
        <f>'F-1 Off-Site WaterC'' Baseline'!AS209</f>
        <v/>
      </c>
      <c r="C211" s="295" t="str">
        <f>IF(B211="","",VLOOKUP($B211,'F-1 Off-Site WaterC'' Baseline'!$C$9:$R$257,2,FALSE))</f>
        <v/>
      </c>
      <c r="D211" s="295" t="str">
        <f>IF(C211="","",VLOOKUP($B211,'F-1 Off-Site WaterC'' Baseline'!$C$9:$R$257,3,FALSE))</f>
        <v/>
      </c>
      <c r="E211" s="295" t="str">
        <f>IF(D211="","",VLOOKUP($B211,'F-1 Off-Site WaterC'' Baseline'!$C$9:$R$257,4,FALSE))</f>
        <v/>
      </c>
      <c r="F211" s="295" t="str">
        <f>IF(E211="","",VLOOKUP($B211,'F-1 Off-Site WaterC'' Baseline'!$C$9:$R$257,5,FALSE))</f>
        <v/>
      </c>
      <c r="G211" s="295" t="str">
        <f>IF(F211="","",VLOOKUP($B211,'F-1 Off-Site WaterC'' Baseline'!$C$9:$R$257,6,FALSE))</f>
        <v/>
      </c>
      <c r="H211" s="295" t="str">
        <f>IF(G211="","",VLOOKUP($B211,'F-1 Off-Site WaterC'' Baseline'!$C$9:$R$257,7,FALSE))</f>
        <v/>
      </c>
      <c r="I211" s="295" t="str">
        <f>IF(H211="","",VLOOKUP($B211,'F-1 Off-Site WaterC'' Baseline'!$C$9:$R$257,8,FALSE))</f>
        <v/>
      </c>
      <c r="J211" s="295" t="str">
        <f>IF(I211="","",VLOOKUP($B211,'F-1 Off-Site WaterC'' Baseline'!$C$9:$R$257,9,FALSE))</f>
        <v/>
      </c>
      <c r="K211" s="295" t="str">
        <f>IF(J211="","",VLOOKUP($B211,'F-1 Off-Site WaterC'' Baseline'!$C$9:$R$257,10,FALSE))</f>
        <v/>
      </c>
      <c r="L211" s="283" t="str">
        <f>IF(B211="","",VLOOKUP($B211,'F-1 Off-Site WaterC'' Baseline'!$C$9:$R$257,15,FALSE))</f>
        <v/>
      </c>
      <c r="M211" s="299" t="str">
        <f>IF(L211="","",VLOOKUP($B211,'F-1 Off-Site WaterC'' Baseline'!$C$9:$V$257,19,FALSE))</f>
        <v/>
      </c>
      <c r="N211" s="244"/>
      <c r="O211" s="275" t="str">
        <f t="shared" si="36"/>
        <v/>
      </c>
      <c r="P211" s="276" t="str">
        <f t="shared" si="37"/>
        <v/>
      </c>
      <c r="Q211" s="281" t="str">
        <f>IF(N211="","",VLOOKUP(B211,'F-1 Off-Site WaterC'' Baseline'!$C$10:$AF$257,23,FALSE))</f>
        <v/>
      </c>
      <c r="R211" s="275" t="str">
        <f>IF(N211="","",VLOOKUP(N211,'G-7 WaterC'' Data'!$B$2:$G$8,2,FALSE))</f>
        <v/>
      </c>
      <c r="S211" s="276" t="str">
        <f>IFERROR(VLOOKUP(R211,'G-7 WaterC'' Data'!$C$4:$D$8,2,FALSE),"")</f>
        <v/>
      </c>
      <c r="T211" s="101"/>
      <c r="U211" s="276" t="str">
        <f>IFERROR(INDEX('G-7 WaterC'' Data'!$H$4:$L$8,MATCH(N211,'G-7 WaterC'' Data'!$B$4:$B$8,0),MATCH(T211,'G-7 WaterC'' Data'!$H$3:$L$3,0)),"")</f>
        <v/>
      </c>
      <c r="V211" s="105"/>
      <c r="W211" s="295" t="str">
        <f>IF(V211="","",IF(VLOOKUP(V211,'G-7 WaterC'' Data'!$AK$4:$AM$6,2,FALSE)=0,"Spatial Data Missing ⚠",VLOOKUP(V211,'G-7 WaterC'' Data'!$AK$4:$AM$6,2,FALSE)))</f>
        <v/>
      </c>
      <c r="X211" s="299" t="str">
        <f>IF(V211="","",IF(VLOOKUP(V211,'G-7 WaterC'' Data'!$AK$4:$AM$6,3,FALSE)=0,"Spatial Data Missing ⚠",VLOOKUP(V211,'G-7 WaterC'' Data'!$AK$4:$AM$6,3,FALSE)))</f>
        <v/>
      </c>
      <c r="Y211" s="311" t="str">
        <f>IFERROR(IF(OR(LEFT(P211,5)="Error",LEFT(O211,5)="Error"),"Check Data ⚠",IF(F211&lt;S211,'G-7 WaterC'' Data'!$R$3,INDEX('G-7 WaterC'' Data'!$U$5:$Y$9,MATCH(G211,'G-7 WaterC'' Data'!$T$5:$T$9,0),MATCH(T211,'G-7 WaterC'' Data'!$U$4:$Y$4,0)))),"")</f>
        <v/>
      </c>
      <c r="Z211" s="138"/>
      <c r="AA211" s="138"/>
      <c r="AB211" s="308" t="str">
        <f t="shared" si="33"/>
        <v/>
      </c>
      <c r="AC211" s="296" t="str">
        <f t="shared" si="38"/>
        <v/>
      </c>
      <c r="AD211" s="334" t="str">
        <f>IFERROR(IF(AC211="Check Data ⚠","Check Data ⚠",VLOOKUP(AC211,'G-4 Temporal multipliers'!$A$4:$C$37,3,FALSE)),"")</f>
        <v/>
      </c>
      <c r="AE211" s="311" t="str">
        <f>IF(N211="","",VLOOKUP(N211,'G-7 WaterC'' Data'!$B$4:$G$8,5,FALSE))</f>
        <v/>
      </c>
      <c r="AF211" s="295" t="str">
        <f t="shared" si="34"/>
        <v/>
      </c>
      <c r="AG211" s="295" t="str">
        <f t="shared" si="39"/>
        <v/>
      </c>
      <c r="AH211" s="276" t="str">
        <f t="shared" si="35"/>
        <v/>
      </c>
      <c r="AI211" s="105"/>
      <c r="AJ211" s="276" t="str">
        <f>IF(AI211="","",(IF(AND(AI211="N/A - Culvert",N211&lt;&gt;"Culvert"),"Not possible ▲",IF(VLOOKUP(AI211,'G-7 WaterC'' Data'!$AA$4:$AB$7,2,FALSE)=0,"Spatial Data Missing ⚠",VLOOKUP(AI211,'G-7 WaterC'' Data'!$AA$4:$AB$7,2,FALSE)))))</f>
        <v/>
      </c>
      <c r="AK211" s="106"/>
      <c r="AL211" s="310" t="str">
        <f>IF(AK211="","",IF(AND(AK211="N/A - Culvert",N211&lt;&gt;"Culvert"),"Not possible ▲",IF(VLOOKUP(AK211,'G-7 WaterC'' Data'!$AD$4:$AE$14,2,FALSE)=0,"Spatial Data Missing ⚠",VLOOKUP(AK211,'G-7 WaterC'' Data'!$AD$4:$AE$14,2,FALSE))))</f>
        <v/>
      </c>
      <c r="AM211" s="275" t="str">
        <f>IF(B211="","",VLOOKUP($B211,'F-1 Off-Site WaterC'' Baseline'!$C$9:$Z$257,17,FALSE))</f>
        <v/>
      </c>
      <c r="AN211" s="276" t="str">
        <f>IF(AM211="","",IF(VLOOKUP(AM211,'G-7 WaterC'' Data'!$AO$4:$BO$7,2,FALSE)=0,"Spatial Data Missing ⚠",VLOOKUP(AM211,'G-7 WaterC'' Data'!$AO$4:$BO$7,2,FALSE)))</f>
        <v/>
      </c>
      <c r="AO211" s="317" t="str">
        <f t="shared" si="40"/>
        <v/>
      </c>
      <c r="AP211" s="317" t="str">
        <f t="shared" si="41"/>
        <v/>
      </c>
      <c r="AQ211" s="101"/>
      <c r="AR211" s="115"/>
      <c r="AS211" s="104"/>
      <c r="AT211" s="104"/>
      <c r="AW211" s="30" t="str">
        <f>IF(E211="","",VLOOKUP($B211,'F-1 Off-Site WaterC'' Baseline'!$C$9:$Z$257,12,FALSE))</f>
        <v/>
      </c>
      <c r="AX211" s="30" t="str">
        <f>IF(E211="","",VLOOKUP($B211,'F-1 Off-Site WaterC'' Baseline'!$C$9:$Z$257,14,FALSE))</f>
        <v/>
      </c>
      <c r="AY211" s="30" t="str">
        <f>IFERROR(INDEX('G-7 WaterC'' Data'!$AZ$3:$AZ$7,MATCH(N211,'G-7 WaterC'' Data'!$AY$3:$AY$7,0)),"")</f>
        <v/>
      </c>
      <c r="AZ211" s="30" t="str">
        <f>IF(B211="","",IF(ISNA(VLOOKUP($B211,'F-1 Off-Site WaterC'' Baseline'!$C$8:$AD$257,20,FALSE)),"",(VLOOKUP($B211,'F-1 Off-Site WaterC'' Baseline'!$C$8:$AD$257,20,FALSE))))</f>
        <v/>
      </c>
      <c r="BC211" s="30" t="str">
        <f>IF(B211="","",VLOOKUP($B211,'F-1 Off-Site WaterC'' Baseline'!$C$9:$AB$257,25,FALSE))</f>
        <v/>
      </c>
      <c r="BD211" s="30" t="str">
        <f t="shared" si="42"/>
        <v/>
      </c>
      <c r="BE211" s="30" t="str">
        <f>IF(B211="","",VLOOKUP($B211,'F-1 Off-Site WaterC'' Baseline'!$C$9:$AB$257,24,FALSE))</f>
        <v/>
      </c>
      <c r="BF211" s="30" t="str">
        <f>IF(B211="","",VLOOKUP($B211,'F-1 Off-Site WaterC'' Baseline'!$C$9:$AB$257,22,FALSE))</f>
        <v/>
      </c>
      <c r="BJ211" s="30" t="str">
        <f t="shared" si="43"/>
        <v>No</v>
      </c>
    </row>
    <row r="212" spans="2:62" ht="14">
      <c r="B212" s="305" t="str">
        <f>'F-1 Off-Site WaterC'' Baseline'!AS210</f>
        <v/>
      </c>
      <c r="C212" s="295" t="str">
        <f>IF(B212="","",VLOOKUP($B212,'F-1 Off-Site WaterC'' Baseline'!$C$9:$R$257,2,FALSE))</f>
        <v/>
      </c>
      <c r="D212" s="295" t="str">
        <f>IF(C212="","",VLOOKUP($B212,'F-1 Off-Site WaterC'' Baseline'!$C$9:$R$257,3,FALSE))</f>
        <v/>
      </c>
      <c r="E212" s="295" t="str">
        <f>IF(D212="","",VLOOKUP($B212,'F-1 Off-Site WaterC'' Baseline'!$C$9:$R$257,4,FALSE))</f>
        <v/>
      </c>
      <c r="F212" s="295" t="str">
        <f>IF(E212="","",VLOOKUP($B212,'F-1 Off-Site WaterC'' Baseline'!$C$9:$R$257,5,FALSE))</f>
        <v/>
      </c>
      <c r="G212" s="295" t="str">
        <f>IF(F212="","",VLOOKUP($B212,'F-1 Off-Site WaterC'' Baseline'!$C$9:$R$257,6,FALSE))</f>
        <v/>
      </c>
      <c r="H212" s="295" t="str">
        <f>IF(G212="","",VLOOKUP($B212,'F-1 Off-Site WaterC'' Baseline'!$C$9:$R$257,7,FALSE))</f>
        <v/>
      </c>
      <c r="I212" s="295" t="str">
        <f>IF(H212="","",VLOOKUP($B212,'F-1 Off-Site WaterC'' Baseline'!$C$9:$R$257,8,FALSE))</f>
        <v/>
      </c>
      <c r="J212" s="295" t="str">
        <f>IF(I212="","",VLOOKUP($B212,'F-1 Off-Site WaterC'' Baseline'!$C$9:$R$257,9,FALSE))</f>
        <v/>
      </c>
      <c r="K212" s="295" t="str">
        <f>IF(J212="","",VLOOKUP($B212,'F-1 Off-Site WaterC'' Baseline'!$C$9:$R$257,10,FALSE))</f>
        <v/>
      </c>
      <c r="L212" s="283" t="str">
        <f>IF(B212="","",VLOOKUP($B212,'F-1 Off-Site WaterC'' Baseline'!$C$9:$R$257,15,FALSE))</f>
        <v/>
      </c>
      <c r="M212" s="299" t="str">
        <f>IF(L212="","",VLOOKUP($B212,'F-1 Off-Site WaterC'' Baseline'!$C$9:$V$257,19,FALSE))</f>
        <v/>
      </c>
      <c r="N212" s="244"/>
      <c r="O212" s="275" t="str">
        <f t="shared" si="36"/>
        <v/>
      </c>
      <c r="P212" s="276" t="str">
        <f t="shared" si="37"/>
        <v/>
      </c>
      <c r="Q212" s="281" t="str">
        <f>IF(N212="","",VLOOKUP(B212,'F-1 Off-Site WaterC'' Baseline'!$C$10:$AF$257,23,FALSE))</f>
        <v/>
      </c>
      <c r="R212" s="275" t="str">
        <f>IF(N212="","",VLOOKUP(N212,'G-7 WaterC'' Data'!$B$2:$G$8,2,FALSE))</f>
        <v/>
      </c>
      <c r="S212" s="276" t="str">
        <f>IFERROR(VLOOKUP(R212,'G-7 WaterC'' Data'!$C$4:$D$8,2,FALSE),"")</f>
        <v/>
      </c>
      <c r="T212" s="101"/>
      <c r="U212" s="276" t="str">
        <f>IFERROR(INDEX('G-7 WaterC'' Data'!$H$4:$L$8,MATCH(N212,'G-7 WaterC'' Data'!$B$4:$B$8,0),MATCH(T212,'G-7 WaterC'' Data'!$H$3:$L$3,0)),"")</f>
        <v/>
      </c>
      <c r="V212" s="105"/>
      <c r="W212" s="295" t="str">
        <f>IF(V212="","",IF(VLOOKUP(V212,'G-7 WaterC'' Data'!$AK$4:$AM$6,2,FALSE)=0,"Spatial Data Missing ⚠",VLOOKUP(V212,'G-7 WaterC'' Data'!$AK$4:$AM$6,2,FALSE)))</f>
        <v/>
      </c>
      <c r="X212" s="299" t="str">
        <f>IF(V212="","",IF(VLOOKUP(V212,'G-7 WaterC'' Data'!$AK$4:$AM$6,3,FALSE)=0,"Spatial Data Missing ⚠",VLOOKUP(V212,'G-7 WaterC'' Data'!$AK$4:$AM$6,3,FALSE)))</f>
        <v/>
      </c>
      <c r="Y212" s="311" t="str">
        <f>IFERROR(IF(OR(LEFT(P212,5)="Error",LEFT(O212,5)="Error"),"Check Data ⚠",IF(F212&lt;S212,'G-7 WaterC'' Data'!$R$3,INDEX('G-7 WaterC'' Data'!$U$5:$Y$9,MATCH(G212,'G-7 WaterC'' Data'!$T$5:$T$9,0),MATCH(T212,'G-7 WaterC'' Data'!$U$4:$Y$4,0)))),"")</f>
        <v/>
      </c>
      <c r="Z212" s="138"/>
      <c r="AA212" s="138"/>
      <c r="AB212" s="308" t="str">
        <f t="shared" si="33"/>
        <v/>
      </c>
      <c r="AC212" s="296" t="str">
        <f t="shared" si="38"/>
        <v/>
      </c>
      <c r="AD212" s="334" t="str">
        <f>IFERROR(IF(AC212="Check Data ⚠","Check Data ⚠",VLOOKUP(AC212,'G-4 Temporal multipliers'!$A$4:$C$37,3,FALSE)),"")</f>
        <v/>
      </c>
      <c r="AE212" s="311" t="str">
        <f>IF(N212="","",VLOOKUP(N212,'G-7 WaterC'' Data'!$B$4:$G$8,5,FALSE))</f>
        <v/>
      </c>
      <c r="AF212" s="295" t="str">
        <f t="shared" si="34"/>
        <v/>
      </c>
      <c r="AG212" s="295" t="str">
        <f t="shared" si="39"/>
        <v/>
      </c>
      <c r="AH212" s="276" t="str">
        <f t="shared" si="35"/>
        <v/>
      </c>
      <c r="AI212" s="105"/>
      <c r="AJ212" s="276" t="str">
        <f>IF(AI212="","",(IF(AND(AI212="N/A - Culvert",N212&lt;&gt;"Culvert"),"Not possible ▲",IF(VLOOKUP(AI212,'G-7 WaterC'' Data'!$AA$4:$AB$7,2,FALSE)=0,"Spatial Data Missing ⚠",VLOOKUP(AI212,'G-7 WaterC'' Data'!$AA$4:$AB$7,2,FALSE)))))</f>
        <v/>
      </c>
      <c r="AK212" s="106"/>
      <c r="AL212" s="310" t="str">
        <f>IF(AK212="","",IF(AND(AK212="N/A - Culvert",N212&lt;&gt;"Culvert"),"Not possible ▲",IF(VLOOKUP(AK212,'G-7 WaterC'' Data'!$AD$4:$AE$14,2,FALSE)=0,"Spatial Data Missing ⚠",VLOOKUP(AK212,'G-7 WaterC'' Data'!$AD$4:$AE$14,2,FALSE))))</f>
        <v/>
      </c>
      <c r="AM212" s="275" t="str">
        <f>IF(B212="","",VLOOKUP($B212,'F-1 Off-Site WaterC'' Baseline'!$C$9:$Z$257,17,FALSE))</f>
        <v/>
      </c>
      <c r="AN212" s="276" t="str">
        <f>IF(AM212="","",IF(VLOOKUP(AM212,'G-7 WaterC'' Data'!$AO$4:$BO$7,2,FALSE)=0,"Spatial Data Missing ⚠",VLOOKUP(AM212,'G-7 WaterC'' Data'!$AO$4:$BO$7,2,FALSE)))</f>
        <v/>
      </c>
      <c r="AO212" s="317" t="str">
        <f t="shared" si="40"/>
        <v/>
      </c>
      <c r="AP212" s="317" t="str">
        <f t="shared" si="41"/>
        <v/>
      </c>
      <c r="AQ212" s="101"/>
      <c r="AR212" s="115"/>
      <c r="AS212" s="104"/>
      <c r="AT212" s="104"/>
      <c r="AW212" s="30" t="str">
        <f>IF(E212="","",VLOOKUP($B212,'F-1 Off-Site WaterC'' Baseline'!$C$9:$Z$257,12,FALSE))</f>
        <v/>
      </c>
      <c r="AX212" s="30" t="str">
        <f>IF(E212="","",VLOOKUP($B212,'F-1 Off-Site WaterC'' Baseline'!$C$9:$Z$257,14,FALSE))</f>
        <v/>
      </c>
      <c r="AY212" s="30" t="str">
        <f>IFERROR(INDEX('G-7 WaterC'' Data'!$AZ$3:$AZ$7,MATCH(N212,'G-7 WaterC'' Data'!$AY$3:$AY$7,0)),"")</f>
        <v/>
      </c>
      <c r="AZ212" s="30" t="str">
        <f>IF(B212="","",IF(ISNA(VLOOKUP($B212,'F-1 Off-Site WaterC'' Baseline'!$C$8:$AD$257,20,FALSE)),"",(VLOOKUP($B212,'F-1 Off-Site WaterC'' Baseline'!$C$8:$AD$257,20,FALSE))))</f>
        <v/>
      </c>
      <c r="BC212" s="30" t="str">
        <f>IF(B212="","",VLOOKUP($B212,'F-1 Off-Site WaterC'' Baseline'!$C$9:$AB$257,25,FALSE))</f>
        <v/>
      </c>
      <c r="BD212" s="30" t="str">
        <f t="shared" si="42"/>
        <v/>
      </c>
      <c r="BE212" s="30" t="str">
        <f>IF(B212="","",VLOOKUP($B212,'F-1 Off-Site WaterC'' Baseline'!$C$9:$AB$257,24,FALSE))</f>
        <v/>
      </c>
      <c r="BF212" s="30" t="str">
        <f>IF(B212="","",VLOOKUP($B212,'F-1 Off-Site WaterC'' Baseline'!$C$9:$AB$257,22,FALSE))</f>
        <v/>
      </c>
      <c r="BJ212" s="30" t="str">
        <f t="shared" si="43"/>
        <v>No</v>
      </c>
    </row>
    <row r="213" spans="2:62" ht="14">
      <c r="B213" s="305" t="str">
        <f>'F-1 Off-Site WaterC'' Baseline'!AS211</f>
        <v/>
      </c>
      <c r="C213" s="295" t="str">
        <f>IF(B213="","",VLOOKUP($B213,'F-1 Off-Site WaterC'' Baseline'!$C$9:$R$257,2,FALSE))</f>
        <v/>
      </c>
      <c r="D213" s="295" t="str">
        <f>IF(C213="","",VLOOKUP($B213,'F-1 Off-Site WaterC'' Baseline'!$C$9:$R$257,3,FALSE))</f>
        <v/>
      </c>
      <c r="E213" s="295" t="str">
        <f>IF(D213="","",VLOOKUP($B213,'F-1 Off-Site WaterC'' Baseline'!$C$9:$R$257,4,FALSE))</f>
        <v/>
      </c>
      <c r="F213" s="295" t="str">
        <f>IF(E213="","",VLOOKUP($B213,'F-1 Off-Site WaterC'' Baseline'!$C$9:$R$257,5,FALSE))</f>
        <v/>
      </c>
      <c r="G213" s="295" t="str">
        <f>IF(F213="","",VLOOKUP($B213,'F-1 Off-Site WaterC'' Baseline'!$C$9:$R$257,6,FALSE))</f>
        <v/>
      </c>
      <c r="H213" s="295" t="str">
        <f>IF(G213="","",VLOOKUP($B213,'F-1 Off-Site WaterC'' Baseline'!$C$9:$R$257,7,FALSE))</f>
        <v/>
      </c>
      <c r="I213" s="295" t="str">
        <f>IF(H213="","",VLOOKUP($B213,'F-1 Off-Site WaterC'' Baseline'!$C$9:$R$257,8,FALSE))</f>
        <v/>
      </c>
      <c r="J213" s="295" t="str">
        <f>IF(I213="","",VLOOKUP($B213,'F-1 Off-Site WaterC'' Baseline'!$C$9:$R$257,9,FALSE))</f>
        <v/>
      </c>
      <c r="K213" s="295" t="str">
        <f>IF(J213="","",VLOOKUP($B213,'F-1 Off-Site WaterC'' Baseline'!$C$9:$R$257,10,FALSE))</f>
        <v/>
      </c>
      <c r="L213" s="283" t="str">
        <f>IF(B213="","",VLOOKUP($B213,'F-1 Off-Site WaterC'' Baseline'!$C$9:$R$257,15,FALSE))</f>
        <v/>
      </c>
      <c r="M213" s="299" t="str">
        <f>IF(L213="","",VLOOKUP($B213,'F-1 Off-Site WaterC'' Baseline'!$C$9:$V$257,19,FALSE))</f>
        <v/>
      </c>
      <c r="N213" s="244"/>
      <c r="O213" s="275" t="str">
        <f t="shared" si="36"/>
        <v/>
      </c>
      <c r="P213" s="276" t="str">
        <f t="shared" si="37"/>
        <v/>
      </c>
      <c r="Q213" s="281" t="str">
        <f>IF(N213="","",VLOOKUP(B213,'F-1 Off-Site WaterC'' Baseline'!$C$10:$AF$257,23,FALSE))</f>
        <v/>
      </c>
      <c r="R213" s="275" t="str">
        <f>IF(N213="","",VLOOKUP(N213,'G-7 WaterC'' Data'!$B$2:$G$8,2,FALSE))</f>
        <v/>
      </c>
      <c r="S213" s="276" t="str">
        <f>IFERROR(VLOOKUP(R213,'G-7 WaterC'' Data'!$C$4:$D$8,2,FALSE),"")</f>
        <v/>
      </c>
      <c r="T213" s="101"/>
      <c r="U213" s="276" t="str">
        <f>IFERROR(INDEX('G-7 WaterC'' Data'!$H$4:$L$8,MATCH(N213,'G-7 WaterC'' Data'!$B$4:$B$8,0),MATCH(T213,'G-7 WaterC'' Data'!$H$3:$L$3,0)),"")</f>
        <v/>
      </c>
      <c r="V213" s="105"/>
      <c r="W213" s="295" t="str">
        <f>IF(V213="","",IF(VLOOKUP(V213,'G-7 WaterC'' Data'!$AK$4:$AM$6,2,FALSE)=0,"Spatial Data Missing ⚠",VLOOKUP(V213,'G-7 WaterC'' Data'!$AK$4:$AM$6,2,FALSE)))</f>
        <v/>
      </c>
      <c r="X213" s="299" t="str">
        <f>IF(V213="","",IF(VLOOKUP(V213,'G-7 WaterC'' Data'!$AK$4:$AM$6,3,FALSE)=0,"Spatial Data Missing ⚠",VLOOKUP(V213,'G-7 WaterC'' Data'!$AK$4:$AM$6,3,FALSE)))</f>
        <v/>
      </c>
      <c r="Y213" s="311" t="str">
        <f>IFERROR(IF(OR(LEFT(P213,5)="Error",LEFT(O213,5)="Error"),"Check Data ⚠",IF(F213&lt;S213,'G-7 WaterC'' Data'!$R$3,INDEX('G-7 WaterC'' Data'!$U$5:$Y$9,MATCH(G213,'G-7 WaterC'' Data'!$T$5:$T$9,0),MATCH(T213,'G-7 WaterC'' Data'!$U$4:$Y$4,0)))),"")</f>
        <v/>
      </c>
      <c r="Z213" s="138"/>
      <c r="AA213" s="138"/>
      <c r="AB213" s="308" t="str">
        <f t="shared" si="33"/>
        <v/>
      </c>
      <c r="AC213" s="296" t="str">
        <f t="shared" si="38"/>
        <v/>
      </c>
      <c r="AD213" s="334" t="str">
        <f>IFERROR(IF(AC213="Check Data ⚠","Check Data ⚠",VLOOKUP(AC213,'G-4 Temporal multipliers'!$A$4:$C$37,3,FALSE)),"")</f>
        <v/>
      </c>
      <c r="AE213" s="311" t="str">
        <f>IF(N213="","",VLOOKUP(N213,'G-7 WaterC'' Data'!$B$4:$G$8,5,FALSE))</f>
        <v/>
      </c>
      <c r="AF213" s="295" t="str">
        <f t="shared" si="34"/>
        <v/>
      </c>
      <c r="AG213" s="295" t="str">
        <f t="shared" si="39"/>
        <v/>
      </c>
      <c r="AH213" s="276" t="str">
        <f t="shared" si="35"/>
        <v/>
      </c>
      <c r="AI213" s="105"/>
      <c r="AJ213" s="276" t="str">
        <f>IF(AI213="","",(IF(AND(AI213="N/A - Culvert",N213&lt;&gt;"Culvert"),"Not possible ▲",IF(VLOOKUP(AI213,'G-7 WaterC'' Data'!$AA$4:$AB$7,2,FALSE)=0,"Spatial Data Missing ⚠",VLOOKUP(AI213,'G-7 WaterC'' Data'!$AA$4:$AB$7,2,FALSE)))))</f>
        <v/>
      </c>
      <c r="AK213" s="106"/>
      <c r="AL213" s="310" t="str">
        <f>IF(AK213="","",IF(AND(AK213="N/A - Culvert",N213&lt;&gt;"Culvert"),"Not possible ▲",IF(VLOOKUP(AK213,'G-7 WaterC'' Data'!$AD$4:$AE$14,2,FALSE)=0,"Spatial Data Missing ⚠",VLOOKUP(AK213,'G-7 WaterC'' Data'!$AD$4:$AE$14,2,FALSE))))</f>
        <v/>
      </c>
      <c r="AM213" s="275" t="str">
        <f>IF(B213="","",VLOOKUP($B213,'F-1 Off-Site WaterC'' Baseline'!$C$9:$Z$257,17,FALSE))</f>
        <v/>
      </c>
      <c r="AN213" s="276" t="str">
        <f>IF(AM213="","",IF(VLOOKUP(AM213,'G-7 WaterC'' Data'!$AO$4:$BO$7,2,FALSE)=0,"Spatial Data Missing ⚠",VLOOKUP(AM213,'G-7 WaterC'' Data'!$AO$4:$BO$7,2,FALSE)))</f>
        <v/>
      </c>
      <c r="AO213" s="317" t="str">
        <f t="shared" si="40"/>
        <v/>
      </c>
      <c r="AP213" s="317" t="str">
        <f t="shared" si="41"/>
        <v/>
      </c>
      <c r="AQ213" s="101"/>
      <c r="AR213" s="115"/>
      <c r="AS213" s="104"/>
      <c r="AT213" s="104"/>
      <c r="AW213" s="30" t="str">
        <f>IF(E213="","",VLOOKUP($B213,'F-1 Off-Site WaterC'' Baseline'!$C$9:$Z$257,12,FALSE))</f>
        <v/>
      </c>
      <c r="AX213" s="30" t="str">
        <f>IF(E213="","",VLOOKUP($B213,'F-1 Off-Site WaterC'' Baseline'!$C$9:$Z$257,14,FALSE))</f>
        <v/>
      </c>
      <c r="AY213" s="30" t="str">
        <f>IFERROR(INDEX('G-7 WaterC'' Data'!$AZ$3:$AZ$7,MATCH(N213,'G-7 WaterC'' Data'!$AY$3:$AY$7,0)),"")</f>
        <v/>
      </c>
      <c r="AZ213" s="30" t="str">
        <f>IF(B213="","",IF(ISNA(VLOOKUP($B213,'F-1 Off-Site WaterC'' Baseline'!$C$8:$AD$257,20,FALSE)),"",(VLOOKUP($B213,'F-1 Off-Site WaterC'' Baseline'!$C$8:$AD$257,20,FALSE))))</f>
        <v/>
      </c>
      <c r="BC213" s="30" t="str">
        <f>IF(B213="","",VLOOKUP($B213,'F-1 Off-Site WaterC'' Baseline'!$C$9:$AB$257,25,FALSE))</f>
        <v/>
      </c>
      <c r="BD213" s="30" t="str">
        <f t="shared" si="42"/>
        <v/>
      </c>
      <c r="BE213" s="30" t="str">
        <f>IF(B213="","",VLOOKUP($B213,'F-1 Off-Site WaterC'' Baseline'!$C$9:$AB$257,24,FALSE))</f>
        <v/>
      </c>
      <c r="BF213" s="30" t="str">
        <f>IF(B213="","",VLOOKUP($B213,'F-1 Off-Site WaterC'' Baseline'!$C$9:$AB$257,22,FALSE))</f>
        <v/>
      </c>
      <c r="BJ213" s="30" t="str">
        <f t="shared" si="43"/>
        <v>No</v>
      </c>
    </row>
    <row r="214" spans="2:62" ht="14">
      <c r="B214" s="305" t="str">
        <f>'F-1 Off-Site WaterC'' Baseline'!AS212</f>
        <v/>
      </c>
      <c r="C214" s="295" t="str">
        <f>IF(B214="","",VLOOKUP($B214,'F-1 Off-Site WaterC'' Baseline'!$C$9:$R$257,2,FALSE))</f>
        <v/>
      </c>
      <c r="D214" s="295" t="str">
        <f>IF(C214="","",VLOOKUP($B214,'F-1 Off-Site WaterC'' Baseline'!$C$9:$R$257,3,FALSE))</f>
        <v/>
      </c>
      <c r="E214" s="295" t="str">
        <f>IF(D214="","",VLOOKUP($B214,'F-1 Off-Site WaterC'' Baseline'!$C$9:$R$257,4,FALSE))</f>
        <v/>
      </c>
      <c r="F214" s="295" t="str">
        <f>IF(E214="","",VLOOKUP($B214,'F-1 Off-Site WaterC'' Baseline'!$C$9:$R$257,5,FALSE))</f>
        <v/>
      </c>
      <c r="G214" s="295" t="str">
        <f>IF(F214="","",VLOOKUP($B214,'F-1 Off-Site WaterC'' Baseline'!$C$9:$R$257,6,FALSE))</f>
        <v/>
      </c>
      <c r="H214" s="295" t="str">
        <f>IF(G214="","",VLOOKUP($B214,'F-1 Off-Site WaterC'' Baseline'!$C$9:$R$257,7,FALSE))</f>
        <v/>
      </c>
      <c r="I214" s="295" t="str">
        <f>IF(H214="","",VLOOKUP($B214,'F-1 Off-Site WaterC'' Baseline'!$C$9:$R$257,8,FALSE))</f>
        <v/>
      </c>
      <c r="J214" s="295" t="str">
        <f>IF(I214="","",VLOOKUP($B214,'F-1 Off-Site WaterC'' Baseline'!$C$9:$R$257,9,FALSE))</f>
        <v/>
      </c>
      <c r="K214" s="295" t="str">
        <f>IF(J214="","",VLOOKUP($B214,'F-1 Off-Site WaterC'' Baseline'!$C$9:$R$257,10,FALSE))</f>
        <v/>
      </c>
      <c r="L214" s="283" t="str">
        <f>IF(B214="","",VLOOKUP($B214,'F-1 Off-Site WaterC'' Baseline'!$C$9:$R$257,15,FALSE))</f>
        <v/>
      </c>
      <c r="M214" s="299" t="str">
        <f>IF(L214="","",VLOOKUP($B214,'F-1 Off-Site WaterC'' Baseline'!$C$9:$V$257,19,FALSE))</f>
        <v/>
      </c>
      <c r="N214" s="244"/>
      <c r="O214" s="275" t="str">
        <f t="shared" si="36"/>
        <v/>
      </c>
      <c r="P214" s="276" t="str">
        <f t="shared" si="37"/>
        <v/>
      </c>
      <c r="Q214" s="281" t="str">
        <f>IF(N214="","",VLOOKUP(B214,'F-1 Off-Site WaterC'' Baseline'!$C$10:$AF$257,23,FALSE))</f>
        <v/>
      </c>
      <c r="R214" s="275" t="str">
        <f>IF(N214="","",VLOOKUP(N214,'G-7 WaterC'' Data'!$B$2:$G$8,2,FALSE))</f>
        <v/>
      </c>
      <c r="S214" s="276" t="str">
        <f>IFERROR(VLOOKUP(R214,'G-7 WaterC'' Data'!$C$4:$D$8,2,FALSE),"")</f>
        <v/>
      </c>
      <c r="T214" s="101"/>
      <c r="U214" s="276" t="str">
        <f>IFERROR(INDEX('G-7 WaterC'' Data'!$H$4:$L$8,MATCH(N214,'G-7 WaterC'' Data'!$B$4:$B$8,0),MATCH(T214,'G-7 WaterC'' Data'!$H$3:$L$3,0)),"")</f>
        <v/>
      </c>
      <c r="V214" s="105"/>
      <c r="W214" s="295" t="str">
        <f>IF(V214="","",IF(VLOOKUP(V214,'G-7 WaterC'' Data'!$AK$4:$AM$6,2,FALSE)=0,"Spatial Data Missing ⚠",VLOOKUP(V214,'G-7 WaterC'' Data'!$AK$4:$AM$6,2,FALSE)))</f>
        <v/>
      </c>
      <c r="X214" s="299" t="str">
        <f>IF(V214="","",IF(VLOOKUP(V214,'G-7 WaterC'' Data'!$AK$4:$AM$6,3,FALSE)=0,"Spatial Data Missing ⚠",VLOOKUP(V214,'G-7 WaterC'' Data'!$AK$4:$AM$6,3,FALSE)))</f>
        <v/>
      </c>
      <c r="Y214" s="311" t="str">
        <f>IFERROR(IF(OR(LEFT(P214,5)="Error",LEFT(O214,5)="Error"),"Check Data ⚠",IF(F214&lt;S214,'G-7 WaterC'' Data'!$R$3,INDEX('G-7 WaterC'' Data'!$U$5:$Y$9,MATCH(G214,'G-7 WaterC'' Data'!$T$5:$T$9,0),MATCH(T214,'G-7 WaterC'' Data'!$U$4:$Y$4,0)))),"")</f>
        <v/>
      </c>
      <c r="Z214" s="138"/>
      <c r="AA214" s="138"/>
      <c r="AB214" s="308" t="str">
        <f t="shared" si="33"/>
        <v/>
      </c>
      <c r="AC214" s="296" t="str">
        <f t="shared" si="38"/>
        <v/>
      </c>
      <c r="AD214" s="334" t="str">
        <f>IFERROR(IF(AC214="Check Data ⚠","Check Data ⚠",VLOOKUP(AC214,'G-4 Temporal multipliers'!$A$4:$C$37,3,FALSE)),"")</f>
        <v/>
      </c>
      <c r="AE214" s="311" t="str">
        <f>IF(N214="","",VLOOKUP(N214,'G-7 WaterC'' Data'!$B$4:$G$8,5,FALSE))</f>
        <v/>
      </c>
      <c r="AF214" s="295" t="str">
        <f t="shared" si="34"/>
        <v/>
      </c>
      <c r="AG214" s="295" t="str">
        <f t="shared" si="39"/>
        <v/>
      </c>
      <c r="AH214" s="276" t="str">
        <f t="shared" si="35"/>
        <v/>
      </c>
      <c r="AI214" s="105"/>
      <c r="AJ214" s="276" t="str">
        <f>IF(AI214="","",(IF(AND(AI214="N/A - Culvert",N214&lt;&gt;"Culvert"),"Not possible ▲",IF(VLOOKUP(AI214,'G-7 WaterC'' Data'!$AA$4:$AB$7,2,FALSE)=0,"Spatial Data Missing ⚠",VLOOKUP(AI214,'G-7 WaterC'' Data'!$AA$4:$AB$7,2,FALSE)))))</f>
        <v/>
      </c>
      <c r="AK214" s="106"/>
      <c r="AL214" s="310" t="str">
        <f>IF(AK214="","",IF(AND(AK214="N/A - Culvert",N214&lt;&gt;"Culvert"),"Not possible ▲",IF(VLOOKUP(AK214,'G-7 WaterC'' Data'!$AD$4:$AE$14,2,FALSE)=0,"Spatial Data Missing ⚠",VLOOKUP(AK214,'G-7 WaterC'' Data'!$AD$4:$AE$14,2,FALSE))))</f>
        <v/>
      </c>
      <c r="AM214" s="275" t="str">
        <f>IF(B214="","",VLOOKUP($B214,'F-1 Off-Site WaterC'' Baseline'!$C$9:$Z$257,17,FALSE))</f>
        <v/>
      </c>
      <c r="AN214" s="276" t="str">
        <f>IF(AM214="","",IF(VLOOKUP(AM214,'G-7 WaterC'' Data'!$AO$4:$BO$7,2,FALSE)=0,"Spatial Data Missing ⚠",VLOOKUP(AM214,'G-7 WaterC'' Data'!$AO$4:$BO$7,2,FALSE)))</f>
        <v/>
      </c>
      <c r="AO214" s="317" t="str">
        <f t="shared" si="40"/>
        <v/>
      </c>
      <c r="AP214" s="317" t="str">
        <f t="shared" si="41"/>
        <v/>
      </c>
      <c r="AQ214" s="101"/>
      <c r="AR214" s="115"/>
      <c r="AS214" s="104"/>
      <c r="AT214" s="104"/>
      <c r="AW214" s="30" t="str">
        <f>IF(E214="","",VLOOKUP($B214,'F-1 Off-Site WaterC'' Baseline'!$C$9:$Z$257,12,FALSE))</f>
        <v/>
      </c>
      <c r="AX214" s="30" t="str">
        <f>IF(E214="","",VLOOKUP($B214,'F-1 Off-Site WaterC'' Baseline'!$C$9:$Z$257,14,FALSE))</f>
        <v/>
      </c>
      <c r="AY214" s="30" t="str">
        <f>IFERROR(INDEX('G-7 WaterC'' Data'!$AZ$3:$AZ$7,MATCH(N214,'G-7 WaterC'' Data'!$AY$3:$AY$7,0)),"")</f>
        <v/>
      </c>
      <c r="AZ214" s="30" t="str">
        <f>IF(B214="","",IF(ISNA(VLOOKUP($B214,'F-1 Off-Site WaterC'' Baseline'!$C$8:$AD$257,20,FALSE)),"",(VLOOKUP($B214,'F-1 Off-Site WaterC'' Baseline'!$C$8:$AD$257,20,FALSE))))</f>
        <v/>
      </c>
      <c r="BC214" s="30" t="str">
        <f>IF(B214="","",VLOOKUP($B214,'F-1 Off-Site WaterC'' Baseline'!$C$9:$AB$257,25,FALSE))</f>
        <v/>
      </c>
      <c r="BD214" s="30" t="str">
        <f t="shared" si="42"/>
        <v/>
      </c>
      <c r="BE214" s="30" t="str">
        <f>IF(B214="","",VLOOKUP($B214,'F-1 Off-Site WaterC'' Baseline'!$C$9:$AB$257,24,FALSE))</f>
        <v/>
      </c>
      <c r="BF214" s="30" t="str">
        <f>IF(B214="","",VLOOKUP($B214,'F-1 Off-Site WaterC'' Baseline'!$C$9:$AB$257,22,FALSE))</f>
        <v/>
      </c>
      <c r="BJ214" s="30" t="str">
        <f t="shared" si="43"/>
        <v>No</v>
      </c>
    </row>
    <row r="215" spans="2:62" ht="14">
      <c r="B215" s="305" t="str">
        <f>'F-1 Off-Site WaterC'' Baseline'!AS213</f>
        <v/>
      </c>
      <c r="C215" s="295" t="str">
        <f>IF(B215="","",VLOOKUP($B215,'F-1 Off-Site WaterC'' Baseline'!$C$9:$R$257,2,FALSE))</f>
        <v/>
      </c>
      <c r="D215" s="295" t="str">
        <f>IF(C215="","",VLOOKUP($B215,'F-1 Off-Site WaterC'' Baseline'!$C$9:$R$257,3,FALSE))</f>
        <v/>
      </c>
      <c r="E215" s="295" t="str">
        <f>IF(D215="","",VLOOKUP($B215,'F-1 Off-Site WaterC'' Baseline'!$C$9:$R$257,4,FALSE))</f>
        <v/>
      </c>
      <c r="F215" s="295" t="str">
        <f>IF(E215="","",VLOOKUP($B215,'F-1 Off-Site WaterC'' Baseline'!$C$9:$R$257,5,FALSE))</f>
        <v/>
      </c>
      <c r="G215" s="295" t="str">
        <f>IF(F215="","",VLOOKUP($B215,'F-1 Off-Site WaterC'' Baseline'!$C$9:$R$257,6,FALSE))</f>
        <v/>
      </c>
      <c r="H215" s="295" t="str">
        <f>IF(G215="","",VLOOKUP($B215,'F-1 Off-Site WaterC'' Baseline'!$C$9:$R$257,7,FALSE))</f>
        <v/>
      </c>
      <c r="I215" s="295" t="str">
        <f>IF(H215="","",VLOOKUP($B215,'F-1 Off-Site WaterC'' Baseline'!$C$9:$R$257,8,FALSE))</f>
        <v/>
      </c>
      <c r="J215" s="295" t="str">
        <f>IF(I215="","",VLOOKUP($B215,'F-1 Off-Site WaterC'' Baseline'!$C$9:$R$257,9,FALSE))</f>
        <v/>
      </c>
      <c r="K215" s="295" t="str">
        <f>IF(J215="","",VLOOKUP($B215,'F-1 Off-Site WaterC'' Baseline'!$C$9:$R$257,10,FALSE))</f>
        <v/>
      </c>
      <c r="L215" s="283" t="str">
        <f>IF(B215="","",VLOOKUP($B215,'F-1 Off-Site WaterC'' Baseline'!$C$9:$R$257,15,FALSE))</f>
        <v/>
      </c>
      <c r="M215" s="299" t="str">
        <f>IF(L215="","",VLOOKUP($B215,'F-1 Off-Site WaterC'' Baseline'!$C$9:$V$257,19,FALSE))</f>
        <v/>
      </c>
      <c r="N215" s="244"/>
      <c r="O215" s="275" t="str">
        <f t="shared" si="36"/>
        <v/>
      </c>
      <c r="P215" s="276" t="str">
        <f t="shared" si="37"/>
        <v/>
      </c>
      <c r="Q215" s="281" t="str">
        <f>IF(N215="","",VLOOKUP(B215,'F-1 Off-Site WaterC'' Baseline'!$C$10:$AF$257,23,FALSE))</f>
        <v/>
      </c>
      <c r="R215" s="275" t="str">
        <f>IF(N215="","",VLOOKUP(N215,'G-7 WaterC'' Data'!$B$2:$G$8,2,FALSE))</f>
        <v/>
      </c>
      <c r="S215" s="276" t="str">
        <f>IFERROR(VLOOKUP(R215,'G-7 WaterC'' Data'!$C$4:$D$8,2,FALSE),"")</f>
        <v/>
      </c>
      <c r="T215" s="101"/>
      <c r="U215" s="276" t="str">
        <f>IFERROR(INDEX('G-7 WaterC'' Data'!$H$4:$L$8,MATCH(N215,'G-7 WaterC'' Data'!$B$4:$B$8,0),MATCH(T215,'G-7 WaterC'' Data'!$H$3:$L$3,0)),"")</f>
        <v/>
      </c>
      <c r="V215" s="105"/>
      <c r="W215" s="295" t="str">
        <f>IF(V215="","",IF(VLOOKUP(V215,'G-7 WaterC'' Data'!$AK$4:$AM$6,2,FALSE)=0,"Spatial Data Missing ⚠",VLOOKUP(V215,'G-7 WaterC'' Data'!$AK$4:$AM$6,2,FALSE)))</f>
        <v/>
      </c>
      <c r="X215" s="299" t="str">
        <f>IF(V215="","",IF(VLOOKUP(V215,'G-7 WaterC'' Data'!$AK$4:$AM$6,3,FALSE)=0,"Spatial Data Missing ⚠",VLOOKUP(V215,'G-7 WaterC'' Data'!$AK$4:$AM$6,3,FALSE)))</f>
        <v/>
      </c>
      <c r="Y215" s="311" t="str">
        <f>IFERROR(IF(OR(LEFT(P215,5)="Error",LEFT(O215,5)="Error"),"Check Data ⚠",IF(F215&lt;S215,'G-7 WaterC'' Data'!$R$3,INDEX('G-7 WaterC'' Data'!$U$5:$Y$9,MATCH(G215,'G-7 WaterC'' Data'!$T$5:$T$9,0),MATCH(T215,'G-7 WaterC'' Data'!$U$4:$Y$4,0)))),"")</f>
        <v/>
      </c>
      <c r="Z215" s="138"/>
      <c r="AA215" s="138"/>
      <c r="AB215" s="308" t="str">
        <f t="shared" si="33"/>
        <v/>
      </c>
      <c r="AC215" s="296" t="str">
        <f t="shared" si="38"/>
        <v/>
      </c>
      <c r="AD215" s="334" t="str">
        <f>IFERROR(IF(AC215="Check Data ⚠","Check Data ⚠",VLOOKUP(AC215,'G-4 Temporal multipliers'!$A$4:$C$37,3,FALSE)),"")</f>
        <v/>
      </c>
      <c r="AE215" s="311" t="str">
        <f>IF(N215="","",VLOOKUP(N215,'G-7 WaterC'' Data'!$B$4:$G$8,5,FALSE))</f>
        <v/>
      </c>
      <c r="AF215" s="295" t="str">
        <f t="shared" si="34"/>
        <v/>
      </c>
      <c r="AG215" s="295" t="str">
        <f t="shared" si="39"/>
        <v/>
      </c>
      <c r="AH215" s="276" t="str">
        <f t="shared" si="35"/>
        <v/>
      </c>
      <c r="AI215" s="105"/>
      <c r="AJ215" s="276" t="str">
        <f>IF(AI215="","",(IF(AND(AI215="N/A - Culvert",N215&lt;&gt;"Culvert"),"Not possible ▲",IF(VLOOKUP(AI215,'G-7 WaterC'' Data'!$AA$4:$AB$7,2,FALSE)=0,"Spatial Data Missing ⚠",VLOOKUP(AI215,'G-7 WaterC'' Data'!$AA$4:$AB$7,2,FALSE)))))</f>
        <v/>
      </c>
      <c r="AK215" s="106"/>
      <c r="AL215" s="310" t="str">
        <f>IF(AK215="","",IF(AND(AK215="N/A - Culvert",N215&lt;&gt;"Culvert"),"Not possible ▲",IF(VLOOKUP(AK215,'G-7 WaterC'' Data'!$AD$4:$AE$14,2,FALSE)=0,"Spatial Data Missing ⚠",VLOOKUP(AK215,'G-7 WaterC'' Data'!$AD$4:$AE$14,2,FALSE))))</f>
        <v/>
      </c>
      <c r="AM215" s="275" t="str">
        <f>IF(B215="","",VLOOKUP($B215,'F-1 Off-Site WaterC'' Baseline'!$C$9:$Z$257,17,FALSE))</f>
        <v/>
      </c>
      <c r="AN215" s="276" t="str">
        <f>IF(AM215="","",IF(VLOOKUP(AM215,'G-7 WaterC'' Data'!$AO$4:$BO$7,2,FALSE)=0,"Spatial Data Missing ⚠",VLOOKUP(AM215,'G-7 WaterC'' Data'!$AO$4:$BO$7,2,FALSE)))</f>
        <v/>
      </c>
      <c r="AO215" s="317" t="str">
        <f t="shared" si="40"/>
        <v/>
      </c>
      <c r="AP215" s="317" t="str">
        <f t="shared" si="41"/>
        <v/>
      </c>
      <c r="AQ215" s="101"/>
      <c r="AR215" s="115"/>
      <c r="AS215" s="104"/>
      <c r="AT215" s="104"/>
      <c r="AW215" s="30" t="str">
        <f>IF(E215="","",VLOOKUP($B215,'F-1 Off-Site WaterC'' Baseline'!$C$9:$Z$257,12,FALSE))</f>
        <v/>
      </c>
      <c r="AX215" s="30" t="str">
        <f>IF(E215="","",VLOOKUP($B215,'F-1 Off-Site WaterC'' Baseline'!$C$9:$Z$257,14,FALSE))</f>
        <v/>
      </c>
      <c r="AY215" s="30" t="str">
        <f>IFERROR(INDEX('G-7 WaterC'' Data'!$AZ$3:$AZ$7,MATCH(N215,'G-7 WaterC'' Data'!$AY$3:$AY$7,0)),"")</f>
        <v/>
      </c>
      <c r="AZ215" s="30" t="str">
        <f>IF(B215="","",IF(ISNA(VLOOKUP($B215,'F-1 Off-Site WaterC'' Baseline'!$C$8:$AD$257,20,FALSE)),"",(VLOOKUP($B215,'F-1 Off-Site WaterC'' Baseline'!$C$8:$AD$257,20,FALSE))))</f>
        <v/>
      </c>
      <c r="BC215" s="30" t="str">
        <f>IF(B215="","",VLOOKUP($B215,'F-1 Off-Site WaterC'' Baseline'!$C$9:$AB$257,25,FALSE))</f>
        <v/>
      </c>
      <c r="BD215" s="30" t="str">
        <f t="shared" si="42"/>
        <v/>
      </c>
      <c r="BE215" s="30" t="str">
        <f>IF(B215="","",VLOOKUP($B215,'F-1 Off-Site WaterC'' Baseline'!$C$9:$AB$257,24,FALSE))</f>
        <v/>
      </c>
      <c r="BF215" s="30" t="str">
        <f>IF(B215="","",VLOOKUP($B215,'F-1 Off-Site WaterC'' Baseline'!$C$9:$AB$257,22,FALSE))</f>
        <v/>
      </c>
      <c r="BJ215" s="30" t="str">
        <f t="shared" si="43"/>
        <v>No</v>
      </c>
    </row>
    <row r="216" spans="2:62" ht="14">
      <c r="B216" s="305" t="str">
        <f>'F-1 Off-Site WaterC'' Baseline'!AS214</f>
        <v/>
      </c>
      <c r="C216" s="295" t="str">
        <f>IF(B216="","",VLOOKUP($B216,'F-1 Off-Site WaterC'' Baseline'!$C$9:$R$257,2,FALSE))</f>
        <v/>
      </c>
      <c r="D216" s="295" t="str">
        <f>IF(C216="","",VLOOKUP($B216,'F-1 Off-Site WaterC'' Baseline'!$C$9:$R$257,3,FALSE))</f>
        <v/>
      </c>
      <c r="E216" s="295" t="str">
        <f>IF(D216="","",VLOOKUP($B216,'F-1 Off-Site WaterC'' Baseline'!$C$9:$R$257,4,FALSE))</f>
        <v/>
      </c>
      <c r="F216" s="295" t="str">
        <f>IF(E216="","",VLOOKUP($B216,'F-1 Off-Site WaterC'' Baseline'!$C$9:$R$257,5,FALSE))</f>
        <v/>
      </c>
      <c r="G216" s="295" t="str">
        <f>IF(F216="","",VLOOKUP($B216,'F-1 Off-Site WaterC'' Baseline'!$C$9:$R$257,6,FALSE))</f>
        <v/>
      </c>
      <c r="H216" s="295" t="str">
        <f>IF(G216="","",VLOOKUP($B216,'F-1 Off-Site WaterC'' Baseline'!$C$9:$R$257,7,FALSE))</f>
        <v/>
      </c>
      <c r="I216" s="295" t="str">
        <f>IF(H216="","",VLOOKUP($B216,'F-1 Off-Site WaterC'' Baseline'!$C$9:$R$257,8,FALSE))</f>
        <v/>
      </c>
      <c r="J216" s="295" t="str">
        <f>IF(I216="","",VLOOKUP($B216,'F-1 Off-Site WaterC'' Baseline'!$C$9:$R$257,9,FALSE))</f>
        <v/>
      </c>
      <c r="K216" s="295" t="str">
        <f>IF(J216="","",VLOOKUP($B216,'F-1 Off-Site WaterC'' Baseline'!$C$9:$R$257,10,FALSE))</f>
        <v/>
      </c>
      <c r="L216" s="283" t="str">
        <f>IF(B216="","",VLOOKUP($B216,'F-1 Off-Site WaterC'' Baseline'!$C$9:$R$257,15,FALSE))</f>
        <v/>
      </c>
      <c r="M216" s="299" t="str">
        <f>IF(L216="","",VLOOKUP($B216,'F-1 Off-Site WaterC'' Baseline'!$C$9:$V$257,19,FALSE))</f>
        <v/>
      </c>
      <c r="N216" s="244"/>
      <c r="O216" s="275" t="str">
        <f t="shared" si="36"/>
        <v/>
      </c>
      <c r="P216" s="276" t="str">
        <f t="shared" si="37"/>
        <v/>
      </c>
      <c r="Q216" s="281" t="str">
        <f>IF(N216="","",VLOOKUP(B216,'F-1 Off-Site WaterC'' Baseline'!$C$10:$AF$257,23,FALSE))</f>
        <v/>
      </c>
      <c r="R216" s="275" t="str">
        <f>IF(N216="","",VLOOKUP(N216,'G-7 WaterC'' Data'!$B$2:$G$8,2,FALSE))</f>
        <v/>
      </c>
      <c r="S216" s="276" t="str">
        <f>IFERROR(VLOOKUP(R216,'G-7 WaterC'' Data'!$C$4:$D$8,2,FALSE),"")</f>
        <v/>
      </c>
      <c r="T216" s="101"/>
      <c r="U216" s="276" t="str">
        <f>IFERROR(INDEX('G-7 WaterC'' Data'!$H$4:$L$8,MATCH(N216,'G-7 WaterC'' Data'!$B$4:$B$8,0),MATCH(T216,'G-7 WaterC'' Data'!$H$3:$L$3,0)),"")</f>
        <v/>
      </c>
      <c r="V216" s="105"/>
      <c r="W216" s="295" t="str">
        <f>IF(V216="","",IF(VLOOKUP(V216,'G-7 WaterC'' Data'!$AK$4:$AM$6,2,FALSE)=0,"Spatial Data Missing ⚠",VLOOKUP(V216,'G-7 WaterC'' Data'!$AK$4:$AM$6,2,FALSE)))</f>
        <v/>
      </c>
      <c r="X216" s="299" t="str">
        <f>IF(V216="","",IF(VLOOKUP(V216,'G-7 WaterC'' Data'!$AK$4:$AM$6,3,FALSE)=0,"Spatial Data Missing ⚠",VLOOKUP(V216,'G-7 WaterC'' Data'!$AK$4:$AM$6,3,FALSE)))</f>
        <v/>
      </c>
      <c r="Y216" s="311" t="str">
        <f>IFERROR(IF(OR(LEFT(P216,5)="Error",LEFT(O216,5)="Error"),"Check Data ⚠",IF(F216&lt;S216,'G-7 WaterC'' Data'!$R$3,INDEX('G-7 WaterC'' Data'!$U$5:$Y$9,MATCH(G216,'G-7 WaterC'' Data'!$T$5:$T$9,0),MATCH(T216,'G-7 WaterC'' Data'!$U$4:$Y$4,0)))),"")</f>
        <v/>
      </c>
      <c r="Z216" s="138"/>
      <c r="AA216" s="138"/>
      <c r="AB216" s="308" t="str">
        <f t="shared" si="33"/>
        <v/>
      </c>
      <c r="AC216" s="296" t="str">
        <f t="shared" si="38"/>
        <v/>
      </c>
      <c r="AD216" s="334" t="str">
        <f>IFERROR(IF(AC216="Check Data ⚠","Check Data ⚠",VLOOKUP(AC216,'G-4 Temporal multipliers'!$A$4:$C$37,3,FALSE)),"")</f>
        <v/>
      </c>
      <c r="AE216" s="311" t="str">
        <f>IF(N216="","",VLOOKUP(N216,'G-7 WaterC'' Data'!$B$4:$G$8,5,FALSE))</f>
        <v/>
      </c>
      <c r="AF216" s="295" t="str">
        <f t="shared" si="34"/>
        <v/>
      </c>
      <c r="AG216" s="295" t="str">
        <f t="shared" si="39"/>
        <v/>
      </c>
      <c r="AH216" s="276" t="str">
        <f t="shared" si="35"/>
        <v/>
      </c>
      <c r="AI216" s="105"/>
      <c r="AJ216" s="276" t="str">
        <f>IF(AI216="","",(IF(AND(AI216="N/A - Culvert",N216&lt;&gt;"Culvert"),"Not possible ▲",IF(VLOOKUP(AI216,'G-7 WaterC'' Data'!$AA$4:$AB$7,2,FALSE)=0,"Spatial Data Missing ⚠",VLOOKUP(AI216,'G-7 WaterC'' Data'!$AA$4:$AB$7,2,FALSE)))))</f>
        <v/>
      </c>
      <c r="AK216" s="106"/>
      <c r="AL216" s="310" t="str">
        <f>IF(AK216="","",IF(AND(AK216="N/A - Culvert",N216&lt;&gt;"Culvert"),"Not possible ▲",IF(VLOOKUP(AK216,'G-7 WaterC'' Data'!$AD$4:$AE$14,2,FALSE)=0,"Spatial Data Missing ⚠",VLOOKUP(AK216,'G-7 WaterC'' Data'!$AD$4:$AE$14,2,FALSE))))</f>
        <v/>
      </c>
      <c r="AM216" s="275" t="str">
        <f>IF(B216="","",VLOOKUP($B216,'F-1 Off-Site WaterC'' Baseline'!$C$9:$Z$257,17,FALSE))</f>
        <v/>
      </c>
      <c r="AN216" s="276" t="str">
        <f>IF(AM216="","",IF(VLOOKUP(AM216,'G-7 WaterC'' Data'!$AO$4:$BO$7,2,FALSE)=0,"Spatial Data Missing ⚠",VLOOKUP(AM216,'G-7 WaterC'' Data'!$AO$4:$BO$7,2,FALSE)))</f>
        <v/>
      </c>
      <c r="AO216" s="317" t="str">
        <f t="shared" si="40"/>
        <v/>
      </c>
      <c r="AP216" s="317" t="str">
        <f t="shared" si="41"/>
        <v/>
      </c>
      <c r="AQ216" s="101"/>
      <c r="AR216" s="115"/>
      <c r="AS216" s="104"/>
      <c r="AT216" s="104"/>
      <c r="AW216" s="30" t="str">
        <f>IF(E216="","",VLOOKUP($B216,'F-1 Off-Site WaterC'' Baseline'!$C$9:$Z$257,12,FALSE))</f>
        <v/>
      </c>
      <c r="AX216" s="30" t="str">
        <f>IF(E216="","",VLOOKUP($B216,'F-1 Off-Site WaterC'' Baseline'!$C$9:$Z$257,14,FALSE))</f>
        <v/>
      </c>
      <c r="AY216" s="30" t="str">
        <f>IFERROR(INDEX('G-7 WaterC'' Data'!$AZ$3:$AZ$7,MATCH(N216,'G-7 WaterC'' Data'!$AY$3:$AY$7,0)),"")</f>
        <v/>
      </c>
      <c r="AZ216" s="30" t="str">
        <f>IF(B216="","",IF(ISNA(VLOOKUP($B216,'F-1 Off-Site WaterC'' Baseline'!$C$8:$AD$257,20,FALSE)),"",(VLOOKUP($B216,'F-1 Off-Site WaterC'' Baseline'!$C$8:$AD$257,20,FALSE))))</f>
        <v/>
      </c>
      <c r="BC216" s="30" t="str">
        <f>IF(B216="","",VLOOKUP($B216,'F-1 Off-Site WaterC'' Baseline'!$C$9:$AB$257,25,FALSE))</f>
        <v/>
      </c>
      <c r="BD216" s="30" t="str">
        <f t="shared" si="42"/>
        <v/>
      </c>
      <c r="BE216" s="30" t="str">
        <f>IF(B216="","",VLOOKUP($B216,'F-1 Off-Site WaterC'' Baseline'!$C$9:$AB$257,24,FALSE))</f>
        <v/>
      </c>
      <c r="BF216" s="30" t="str">
        <f>IF(B216="","",VLOOKUP($B216,'F-1 Off-Site WaterC'' Baseline'!$C$9:$AB$257,22,FALSE))</f>
        <v/>
      </c>
      <c r="BJ216" s="30" t="str">
        <f t="shared" si="43"/>
        <v>No</v>
      </c>
    </row>
    <row r="217" spans="2:62" ht="14">
      <c r="B217" s="305" t="str">
        <f>'F-1 Off-Site WaterC'' Baseline'!AS215</f>
        <v/>
      </c>
      <c r="C217" s="295" t="str">
        <f>IF(B217="","",VLOOKUP($B217,'F-1 Off-Site WaterC'' Baseline'!$C$9:$R$257,2,FALSE))</f>
        <v/>
      </c>
      <c r="D217" s="295" t="str">
        <f>IF(C217="","",VLOOKUP($B217,'F-1 Off-Site WaterC'' Baseline'!$C$9:$R$257,3,FALSE))</f>
        <v/>
      </c>
      <c r="E217" s="295" t="str">
        <f>IF(D217="","",VLOOKUP($B217,'F-1 Off-Site WaterC'' Baseline'!$C$9:$R$257,4,FALSE))</f>
        <v/>
      </c>
      <c r="F217" s="295" t="str">
        <f>IF(E217="","",VLOOKUP($B217,'F-1 Off-Site WaterC'' Baseline'!$C$9:$R$257,5,FALSE))</f>
        <v/>
      </c>
      <c r="G217" s="295" t="str">
        <f>IF(F217="","",VLOOKUP($B217,'F-1 Off-Site WaterC'' Baseline'!$C$9:$R$257,6,FALSE))</f>
        <v/>
      </c>
      <c r="H217" s="295" t="str">
        <f>IF(G217="","",VLOOKUP($B217,'F-1 Off-Site WaterC'' Baseline'!$C$9:$R$257,7,FALSE))</f>
        <v/>
      </c>
      <c r="I217" s="295" t="str">
        <f>IF(H217="","",VLOOKUP($B217,'F-1 Off-Site WaterC'' Baseline'!$C$9:$R$257,8,FALSE))</f>
        <v/>
      </c>
      <c r="J217" s="295" t="str">
        <f>IF(I217="","",VLOOKUP($B217,'F-1 Off-Site WaterC'' Baseline'!$C$9:$R$257,9,FALSE))</f>
        <v/>
      </c>
      <c r="K217" s="295" t="str">
        <f>IF(J217="","",VLOOKUP($B217,'F-1 Off-Site WaterC'' Baseline'!$C$9:$R$257,10,FALSE))</f>
        <v/>
      </c>
      <c r="L217" s="283" t="str">
        <f>IF(B217="","",VLOOKUP($B217,'F-1 Off-Site WaterC'' Baseline'!$C$9:$R$257,15,FALSE))</f>
        <v/>
      </c>
      <c r="M217" s="299" t="str">
        <f>IF(L217="","",VLOOKUP($B217,'F-1 Off-Site WaterC'' Baseline'!$C$9:$V$257,19,FALSE))</f>
        <v/>
      </c>
      <c r="N217" s="244"/>
      <c r="O217" s="275" t="str">
        <f t="shared" si="36"/>
        <v/>
      </c>
      <c r="P217" s="276" t="str">
        <f t="shared" si="37"/>
        <v/>
      </c>
      <c r="Q217" s="281" t="str">
        <f>IF(N217="","",VLOOKUP(B217,'F-1 Off-Site WaterC'' Baseline'!$C$10:$AF$257,23,FALSE))</f>
        <v/>
      </c>
      <c r="R217" s="275" t="str">
        <f>IF(N217="","",VLOOKUP(N217,'G-7 WaterC'' Data'!$B$2:$G$8,2,FALSE))</f>
        <v/>
      </c>
      <c r="S217" s="276" t="str">
        <f>IFERROR(VLOOKUP(R217,'G-7 WaterC'' Data'!$C$4:$D$8,2,FALSE),"")</f>
        <v/>
      </c>
      <c r="T217" s="101"/>
      <c r="U217" s="276" t="str">
        <f>IFERROR(INDEX('G-7 WaterC'' Data'!$H$4:$L$8,MATCH(N217,'G-7 WaterC'' Data'!$B$4:$B$8,0),MATCH(T217,'G-7 WaterC'' Data'!$H$3:$L$3,0)),"")</f>
        <v/>
      </c>
      <c r="V217" s="105"/>
      <c r="W217" s="295" t="str">
        <f>IF(V217="","",IF(VLOOKUP(V217,'G-7 WaterC'' Data'!$AK$4:$AM$6,2,FALSE)=0,"Spatial Data Missing ⚠",VLOOKUP(V217,'G-7 WaterC'' Data'!$AK$4:$AM$6,2,FALSE)))</f>
        <v/>
      </c>
      <c r="X217" s="299" t="str">
        <f>IF(V217="","",IF(VLOOKUP(V217,'G-7 WaterC'' Data'!$AK$4:$AM$6,3,FALSE)=0,"Spatial Data Missing ⚠",VLOOKUP(V217,'G-7 WaterC'' Data'!$AK$4:$AM$6,3,FALSE)))</f>
        <v/>
      </c>
      <c r="Y217" s="311" t="str">
        <f>IFERROR(IF(OR(LEFT(P217,5)="Error",LEFT(O217,5)="Error"),"Check Data ⚠",IF(F217&lt;S217,'G-7 WaterC'' Data'!$R$3,INDEX('G-7 WaterC'' Data'!$U$5:$Y$9,MATCH(G217,'G-7 WaterC'' Data'!$T$5:$T$9,0),MATCH(T217,'G-7 WaterC'' Data'!$U$4:$Y$4,0)))),"")</f>
        <v/>
      </c>
      <c r="Z217" s="138"/>
      <c r="AA217" s="138"/>
      <c r="AB217" s="308" t="str">
        <f t="shared" si="33"/>
        <v/>
      </c>
      <c r="AC217" s="296" t="str">
        <f t="shared" si="38"/>
        <v/>
      </c>
      <c r="AD217" s="334" t="str">
        <f>IFERROR(IF(AC217="Check Data ⚠","Check Data ⚠",VLOOKUP(AC217,'G-4 Temporal multipliers'!$A$4:$C$37,3,FALSE)),"")</f>
        <v/>
      </c>
      <c r="AE217" s="311" t="str">
        <f>IF(N217="","",VLOOKUP(N217,'G-7 WaterC'' Data'!$B$4:$G$8,5,FALSE))</f>
        <v/>
      </c>
      <c r="AF217" s="295" t="str">
        <f t="shared" si="34"/>
        <v/>
      </c>
      <c r="AG217" s="295" t="str">
        <f t="shared" si="39"/>
        <v/>
      </c>
      <c r="AH217" s="276" t="str">
        <f t="shared" si="35"/>
        <v/>
      </c>
      <c r="AI217" s="105"/>
      <c r="AJ217" s="276" t="str">
        <f>IF(AI217="","",(IF(AND(AI217="N/A - Culvert",N217&lt;&gt;"Culvert"),"Not possible ▲",IF(VLOOKUP(AI217,'G-7 WaterC'' Data'!$AA$4:$AB$7,2,FALSE)=0,"Spatial Data Missing ⚠",VLOOKUP(AI217,'G-7 WaterC'' Data'!$AA$4:$AB$7,2,FALSE)))))</f>
        <v/>
      </c>
      <c r="AK217" s="106"/>
      <c r="AL217" s="310" t="str">
        <f>IF(AK217="","",IF(AND(AK217="N/A - Culvert",N217&lt;&gt;"Culvert"),"Not possible ▲",IF(VLOOKUP(AK217,'G-7 WaterC'' Data'!$AD$4:$AE$14,2,FALSE)=0,"Spatial Data Missing ⚠",VLOOKUP(AK217,'G-7 WaterC'' Data'!$AD$4:$AE$14,2,FALSE))))</f>
        <v/>
      </c>
      <c r="AM217" s="275" t="str">
        <f>IF(B217="","",VLOOKUP($B217,'F-1 Off-Site WaterC'' Baseline'!$C$9:$Z$257,17,FALSE))</f>
        <v/>
      </c>
      <c r="AN217" s="276" t="str">
        <f>IF(AM217="","",IF(VLOOKUP(AM217,'G-7 WaterC'' Data'!$AO$4:$BO$7,2,FALSE)=0,"Spatial Data Missing ⚠",VLOOKUP(AM217,'G-7 WaterC'' Data'!$AO$4:$BO$7,2,FALSE)))</f>
        <v/>
      </c>
      <c r="AO217" s="317" t="str">
        <f t="shared" si="40"/>
        <v/>
      </c>
      <c r="AP217" s="317" t="str">
        <f t="shared" si="41"/>
        <v/>
      </c>
      <c r="AQ217" s="101"/>
      <c r="AR217" s="115"/>
      <c r="AS217" s="104"/>
      <c r="AT217" s="104"/>
      <c r="AW217" s="30" t="str">
        <f>IF(E217="","",VLOOKUP($B217,'F-1 Off-Site WaterC'' Baseline'!$C$9:$Z$257,12,FALSE))</f>
        <v/>
      </c>
      <c r="AX217" s="30" t="str">
        <f>IF(E217="","",VLOOKUP($B217,'F-1 Off-Site WaterC'' Baseline'!$C$9:$Z$257,14,FALSE))</f>
        <v/>
      </c>
      <c r="AY217" s="30" t="str">
        <f>IFERROR(INDEX('G-7 WaterC'' Data'!$AZ$3:$AZ$7,MATCH(N217,'G-7 WaterC'' Data'!$AY$3:$AY$7,0)),"")</f>
        <v/>
      </c>
      <c r="AZ217" s="30" t="str">
        <f>IF(B217="","",IF(ISNA(VLOOKUP($B217,'F-1 Off-Site WaterC'' Baseline'!$C$8:$AD$257,20,FALSE)),"",(VLOOKUP($B217,'F-1 Off-Site WaterC'' Baseline'!$C$8:$AD$257,20,FALSE))))</f>
        <v/>
      </c>
      <c r="BC217" s="30" t="str">
        <f>IF(B217="","",VLOOKUP($B217,'F-1 Off-Site WaterC'' Baseline'!$C$9:$AB$257,25,FALSE))</f>
        <v/>
      </c>
      <c r="BD217" s="30" t="str">
        <f t="shared" si="42"/>
        <v/>
      </c>
      <c r="BE217" s="30" t="str">
        <f>IF(B217="","",VLOOKUP($B217,'F-1 Off-Site WaterC'' Baseline'!$C$9:$AB$257,24,FALSE))</f>
        <v/>
      </c>
      <c r="BF217" s="30" t="str">
        <f>IF(B217="","",VLOOKUP($B217,'F-1 Off-Site WaterC'' Baseline'!$C$9:$AB$257,22,FALSE))</f>
        <v/>
      </c>
      <c r="BJ217" s="30" t="str">
        <f t="shared" si="43"/>
        <v>No</v>
      </c>
    </row>
    <row r="218" spans="2:62" ht="14">
      <c r="B218" s="305" t="str">
        <f>'F-1 Off-Site WaterC'' Baseline'!AS216</f>
        <v/>
      </c>
      <c r="C218" s="295" t="str">
        <f>IF(B218="","",VLOOKUP($B218,'F-1 Off-Site WaterC'' Baseline'!$C$9:$R$257,2,FALSE))</f>
        <v/>
      </c>
      <c r="D218" s="295" t="str">
        <f>IF(C218="","",VLOOKUP($B218,'F-1 Off-Site WaterC'' Baseline'!$C$9:$R$257,3,FALSE))</f>
        <v/>
      </c>
      <c r="E218" s="295" t="str">
        <f>IF(D218="","",VLOOKUP($B218,'F-1 Off-Site WaterC'' Baseline'!$C$9:$R$257,4,FALSE))</f>
        <v/>
      </c>
      <c r="F218" s="295" t="str">
        <f>IF(E218="","",VLOOKUP($B218,'F-1 Off-Site WaterC'' Baseline'!$C$9:$R$257,5,FALSE))</f>
        <v/>
      </c>
      <c r="G218" s="295" t="str">
        <f>IF(F218="","",VLOOKUP($B218,'F-1 Off-Site WaterC'' Baseline'!$C$9:$R$257,6,FALSE))</f>
        <v/>
      </c>
      <c r="H218" s="295" t="str">
        <f>IF(G218="","",VLOOKUP($B218,'F-1 Off-Site WaterC'' Baseline'!$C$9:$R$257,7,FALSE))</f>
        <v/>
      </c>
      <c r="I218" s="295" t="str">
        <f>IF(H218="","",VLOOKUP($B218,'F-1 Off-Site WaterC'' Baseline'!$C$9:$R$257,8,FALSE))</f>
        <v/>
      </c>
      <c r="J218" s="295" t="str">
        <f>IF(I218="","",VLOOKUP($B218,'F-1 Off-Site WaterC'' Baseline'!$C$9:$R$257,9,FALSE))</f>
        <v/>
      </c>
      <c r="K218" s="295" t="str">
        <f>IF(J218="","",VLOOKUP($B218,'F-1 Off-Site WaterC'' Baseline'!$C$9:$R$257,10,FALSE))</f>
        <v/>
      </c>
      <c r="L218" s="283" t="str">
        <f>IF(B218="","",VLOOKUP($B218,'F-1 Off-Site WaterC'' Baseline'!$C$9:$R$257,15,FALSE))</f>
        <v/>
      </c>
      <c r="M218" s="299" t="str">
        <f>IF(L218="","",VLOOKUP($B218,'F-1 Off-Site WaterC'' Baseline'!$C$9:$V$257,19,FALSE))</f>
        <v/>
      </c>
      <c r="N218" s="244"/>
      <c r="O218" s="275" t="str">
        <f t="shared" si="36"/>
        <v/>
      </c>
      <c r="P218" s="276" t="str">
        <f t="shared" si="37"/>
        <v/>
      </c>
      <c r="Q218" s="281" t="str">
        <f>IF(N218="","",VLOOKUP(B218,'F-1 Off-Site WaterC'' Baseline'!$C$10:$AF$257,23,FALSE))</f>
        <v/>
      </c>
      <c r="R218" s="275" t="str">
        <f>IF(N218="","",VLOOKUP(N218,'G-7 WaterC'' Data'!$B$2:$G$8,2,FALSE))</f>
        <v/>
      </c>
      <c r="S218" s="276" t="str">
        <f>IFERROR(VLOOKUP(R218,'G-7 WaterC'' Data'!$C$4:$D$8,2,FALSE),"")</f>
        <v/>
      </c>
      <c r="T218" s="101"/>
      <c r="U218" s="276" t="str">
        <f>IFERROR(INDEX('G-7 WaterC'' Data'!$H$4:$L$8,MATCH(N218,'G-7 WaterC'' Data'!$B$4:$B$8,0),MATCH(T218,'G-7 WaterC'' Data'!$H$3:$L$3,0)),"")</f>
        <v/>
      </c>
      <c r="V218" s="105"/>
      <c r="W218" s="295" t="str">
        <f>IF(V218="","",IF(VLOOKUP(V218,'G-7 WaterC'' Data'!$AK$4:$AM$6,2,FALSE)=0,"Spatial Data Missing ⚠",VLOOKUP(V218,'G-7 WaterC'' Data'!$AK$4:$AM$6,2,FALSE)))</f>
        <v/>
      </c>
      <c r="X218" s="299" t="str">
        <f>IF(V218="","",IF(VLOOKUP(V218,'G-7 WaterC'' Data'!$AK$4:$AM$6,3,FALSE)=0,"Spatial Data Missing ⚠",VLOOKUP(V218,'G-7 WaterC'' Data'!$AK$4:$AM$6,3,FALSE)))</f>
        <v/>
      </c>
      <c r="Y218" s="311" t="str">
        <f>IFERROR(IF(OR(LEFT(P218,5)="Error",LEFT(O218,5)="Error"),"Check Data ⚠",IF(F218&lt;S218,'G-7 WaterC'' Data'!$R$3,INDEX('G-7 WaterC'' Data'!$U$5:$Y$9,MATCH(G218,'G-7 WaterC'' Data'!$T$5:$T$9,0),MATCH(T218,'G-7 WaterC'' Data'!$U$4:$Y$4,0)))),"")</f>
        <v/>
      </c>
      <c r="Z218" s="138"/>
      <c r="AA218" s="138"/>
      <c r="AB218" s="308" t="str">
        <f t="shared" si="33"/>
        <v/>
      </c>
      <c r="AC218" s="296" t="str">
        <f t="shared" si="38"/>
        <v/>
      </c>
      <c r="AD218" s="334" t="str">
        <f>IFERROR(IF(AC218="Check Data ⚠","Check Data ⚠",VLOOKUP(AC218,'G-4 Temporal multipliers'!$A$4:$C$37,3,FALSE)),"")</f>
        <v/>
      </c>
      <c r="AE218" s="311" t="str">
        <f>IF(N218="","",VLOOKUP(N218,'G-7 WaterC'' Data'!$B$4:$G$8,5,FALSE))</f>
        <v/>
      </c>
      <c r="AF218" s="295" t="str">
        <f t="shared" si="34"/>
        <v/>
      </c>
      <c r="AG218" s="295" t="str">
        <f t="shared" si="39"/>
        <v/>
      </c>
      <c r="AH218" s="276" t="str">
        <f t="shared" si="35"/>
        <v/>
      </c>
      <c r="AI218" s="105"/>
      <c r="AJ218" s="276" t="str">
        <f>IF(AI218="","",(IF(AND(AI218="N/A - Culvert",N218&lt;&gt;"Culvert"),"Not possible ▲",IF(VLOOKUP(AI218,'G-7 WaterC'' Data'!$AA$4:$AB$7,2,FALSE)=0,"Spatial Data Missing ⚠",VLOOKUP(AI218,'G-7 WaterC'' Data'!$AA$4:$AB$7,2,FALSE)))))</f>
        <v/>
      </c>
      <c r="AK218" s="106"/>
      <c r="AL218" s="310" t="str">
        <f>IF(AK218="","",IF(AND(AK218="N/A - Culvert",N218&lt;&gt;"Culvert"),"Not possible ▲",IF(VLOOKUP(AK218,'G-7 WaterC'' Data'!$AD$4:$AE$14,2,FALSE)=0,"Spatial Data Missing ⚠",VLOOKUP(AK218,'G-7 WaterC'' Data'!$AD$4:$AE$14,2,FALSE))))</f>
        <v/>
      </c>
      <c r="AM218" s="275" t="str">
        <f>IF(B218="","",VLOOKUP($B218,'F-1 Off-Site WaterC'' Baseline'!$C$9:$Z$257,17,FALSE))</f>
        <v/>
      </c>
      <c r="AN218" s="276" t="str">
        <f>IF(AM218="","",IF(VLOOKUP(AM218,'G-7 WaterC'' Data'!$AO$4:$BO$7,2,FALSE)=0,"Spatial Data Missing ⚠",VLOOKUP(AM218,'G-7 WaterC'' Data'!$AO$4:$BO$7,2,FALSE)))</f>
        <v/>
      </c>
      <c r="AO218" s="317" t="str">
        <f t="shared" si="40"/>
        <v/>
      </c>
      <c r="AP218" s="317" t="str">
        <f t="shared" si="41"/>
        <v/>
      </c>
      <c r="AQ218" s="101"/>
      <c r="AR218" s="115"/>
      <c r="AS218" s="104"/>
      <c r="AT218" s="104"/>
      <c r="AW218" s="30" t="str">
        <f>IF(E218="","",VLOOKUP($B218,'F-1 Off-Site WaterC'' Baseline'!$C$9:$Z$257,12,FALSE))</f>
        <v/>
      </c>
      <c r="AX218" s="30" t="str">
        <f>IF(E218="","",VLOOKUP($B218,'F-1 Off-Site WaterC'' Baseline'!$C$9:$Z$257,14,FALSE))</f>
        <v/>
      </c>
      <c r="AY218" s="30" t="str">
        <f>IFERROR(INDEX('G-7 WaterC'' Data'!$AZ$3:$AZ$7,MATCH(N218,'G-7 WaterC'' Data'!$AY$3:$AY$7,0)),"")</f>
        <v/>
      </c>
      <c r="AZ218" s="30" t="str">
        <f>IF(B218="","",IF(ISNA(VLOOKUP($B218,'F-1 Off-Site WaterC'' Baseline'!$C$8:$AD$257,20,FALSE)),"",(VLOOKUP($B218,'F-1 Off-Site WaterC'' Baseline'!$C$8:$AD$257,20,FALSE))))</f>
        <v/>
      </c>
      <c r="BC218" s="30" t="str">
        <f>IF(B218="","",VLOOKUP($B218,'F-1 Off-Site WaterC'' Baseline'!$C$9:$AB$257,25,FALSE))</f>
        <v/>
      </c>
      <c r="BD218" s="30" t="str">
        <f t="shared" si="42"/>
        <v/>
      </c>
      <c r="BE218" s="30" t="str">
        <f>IF(B218="","",VLOOKUP($B218,'F-1 Off-Site WaterC'' Baseline'!$C$9:$AB$257,24,FALSE))</f>
        <v/>
      </c>
      <c r="BF218" s="30" t="str">
        <f>IF(B218="","",VLOOKUP($B218,'F-1 Off-Site WaterC'' Baseline'!$C$9:$AB$257,22,FALSE))</f>
        <v/>
      </c>
      <c r="BJ218" s="30" t="str">
        <f t="shared" si="43"/>
        <v>No</v>
      </c>
    </row>
    <row r="219" spans="2:62" ht="14">
      <c r="B219" s="305" t="str">
        <f>'F-1 Off-Site WaterC'' Baseline'!AS217</f>
        <v/>
      </c>
      <c r="C219" s="295" t="str">
        <f>IF(B219="","",VLOOKUP($B219,'F-1 Off-Site WaterC'' Baseline'!$C$9:$R$257,2,FALSE))</f>
        <v/>
      </c>
      <c r="D219" s="295" t="str">
        <f>IF(C219="","",VLOOKUP($B219,'F-1 Off-Site WaterC'' Baseline'!$C$9:$R$257,3,FALSE))</f>
        <v/>
      </c>
      <c r="E219" s="295" t="str">
        <f>IF(D219="","",VLOOKUP($B219,'F-1 Off-Site WaterC'' Baseline'!$C$9:$R$257,4,FALSE))</f>
        <v/>
      </c>
      <c r="F219" s="295" t="str">
        <f>IF(E219="","",VLOOKUP($B219,'F-1 Off-Site WaterC'' Baseline'!$C$9:$R$257,5,FALSE))</f>
        <v/>
      </c>
      <c r="G219" s="295" t="str">
        <f>IF(F219="","",VLOOKUP($B219,'F-1 Off-Site WaterC'' Baseline'!$C$9:$R$257,6,FALSE))</f>
        <v/>
      </c>
      <c r="H219" s="295" t="str">
        <f>IF(G219="","",VLOOKUP($B219,'F-1 Off-Site WaterC'' Baseline'!$C$9:$R$257,7,FALSE))</f>
        <v/>
      </c>
      <c r="I219" s="295" t="str">
        <f>IF(H219="","",VLOOKUP($B219,'F-1 Off-Site WaterC'' Baseline'!$C$9:$R$257,8,FALSE))</f>
        <v/>
      </c>
      <c r="J219" s="295" t="str">
        <f>IF(I219="","",VLOOKUP($B219,'F-1 Off-Site WaterC'' Baseline'!$C$9:$R$257,9,FALSE))</f>
        <v/>
      </c>
      <c r="K219" s="295" t="str">
        <f>IF(J219="","",VLOOKUP($B219,'F-1 Off-Site WaterC'' Baseline'!$C$9:$R$257,10,FALSE))</f>
        <v/>
      </c>
      <c r="L219" s="283" t="str">
        <f>IF(B219="","",VLOOKUP($B219,'F-1 Off-Site WaterC'' Baseline'!$C$9:$R$257,15,FALSE))</f>
        <v/>
      </c>
      <c r="M219" s="299" t="str">
        <f>IF(L219="","",VLOOKUP($B219,'F-1 Off-Site WaterC'' Baseline'!$C$9:$V$257,19,FALSE))</f>
        <v/>
      </c>
      <c r="N219" s="244"/>
      <c r="O219" s="275" t="str">
        <f t="shared" si="36"/>
        <v/>
      </c>
      <c r="P219" s="276" t="str">
        <f t="shared" si="37"/>
        <v/>
      </c>
      <c r="Q219" s="281" t="str">
        <f>IF(N219="","",VLOOKUP(B219,'F-1 Off-Site WaterC'' Baseline'!$C$10:$AF$257,23,FALSE))</f>
        <v/>
      </c>
      <c r="R219" s="275" t="str">
        <f>IF(N219="","",VLOOKUP(N219,'G-7 WaterC'' Data'!$B$2:$G$8,2,FALSE))</f>
        <v/>
      </c>
      <c r="S219" s="276" t="str">
        <f>IFERROR(VLOOKUP(R219,'G-7 WaterC'' Data'!$C$4:$D$8,2,FALSE),"")</f>
        <v/>
      </c>
      <c r="T219" s="101"/>
      <c r="U219" s="276" t="str">
        <f>IFERROR(INDEX('G-7 WaterC'' Data'!$H$4:$L$8,MATCH(N219,'G-7 WaterC'' Data'!$B$4:$B$8,0),MATCH(T219,'G-7 WaterC'' Data'!$H$3:$L$3,0)),"")</f>
        <v/>
      </c>
      <c r="V219" s="105"/>
      <c r="W219" s="295" t="str">
        <f>IF(V219="","",IF(VLOOKUP(V219,'G-7 WaterC'' Data'!$AK$4:$AM$6,2,FALSE)=0,"Spatial Data Missing ⚠",VLOOKUP(V219,'G-7 WaterC'' Data'!$AK$4:$AM$6,2,FALSE)))</f>
        <v/>
      </c>
      <c r="X219" s="299" t="str">
        <f>IF(V219="","",IF(VLOOKUP(V219,'G-7 WaterC'' Data'!$AK$4:$AM$6,3,FALSE)=0,"Spatial Data Missing ⚠",VLOOKUP(V219,'G-7 WaterC'' Data'!$AK$4:$AM$6,3,FALSE)))</f>
        <v/>
      </c>
      <c r="Y219" s="311" t="str">
        <f>IFERROR(IF(OR(LEFT(P219,5)="Error",LEFT(O219,5)="Error"),"Check Data ⚠",IF(F219&lt;S219,'G-7 WaterC'' Data'!$R$3,INDEX('G-7 WaterC'' Data'!$U$5:$Y$9,MATCH(G219,'G-7 WaterC'' Data'!$T$5:$T$9,0),MATCH(T219,'G-7 WaterC'' Data'!$U$4:$Y$4,0)))),"")</f>
        <v/>
      </c>
      <c r="Z219" s="138"/>
      <c r="AA219" s="138"/>
      <c r="AB219" s="308" t="str">
        <f t="shared" si="33"/>
        <v/>
      </c>
      <c r="AC219" s="296" t="str">
        <f t="shared" si="38"/>
        <v/>
      </c>
      <c r="AD219" s="334" t="str">
        <f>IFERROR(IF(AC219="Check Data ⚠","Check Data ⚠",VLOOKUP(AC219,'G-4 Temporal multipliers'!$A$4:$C$37,3,FALSE)),"")</f>
        <v/>
      </c>
      <c r="AE219" s="311" t="str">
        <f>IF(N219="","",VLOOKUP(N219,'G-7 WaterC'' Data'!$B$4:$G$8,5,FALSE))</f>
        <v/>
      </c>
      <c r="AF219" s="295" t="str">
        <f t="shared" si="34"/>
        <v/>
      </c>
      <c r="AG219" s="295" t="str">
        <f t="shared" si="39"/>
        <v/>
      </c>
      <c r="AH219" s="276" t="str">
        <f t="shared" si="35"/>
        <v/>
      </c>
      <c r="AI219" s="105"/>
      <c r="AJ219" s="276" t="str">
        <f>IF(AI219="","",(IF(AND(AI219="N/A - Culvert",N219&lt;&gt;"Culvert"),"Not possible ▲",IF(VLOOKUP(AI219,'G-7 WaterC'' Data'!$AA$4:$AB$7,2,FALSE)=0,"Spatial Data Missing ⚠",VLOOKUP(AI219,'G-7 WaterC'' Data'!$AA$4:$AB$7,2,FALSE)))))</f>
        <v/>
      </c>
      <c r="AK219" s="106"/>
      <c r="AL219" s="310" t="str">
        <f>IF(AK219="","",IF(AND(AK219="N/A - Culvert",N219&lt;&gt;"Culvert"),"Not possible ▲",IF(VLOOKUP(AK219,'G-7 WaterC'' Data'!$AD$4:$AE$14,2,FALSE)=0,"Spatial Data Missing ⚠",VLOOKUP(AK219,'G-7 WaterC'' Data'!$AD$4:$AE$14,2,FALSE))))</f>
        <v/>
      </c>
      <c r="AM219" s="275" t="str">
        <f>IF(B219="","",VLOOKUP($B219,'F-1 Off-Site WaterC'' Baseline'!$C$9:$Z$257,17,FALSE))</f>
        <v/>
      </c>
      <c r="AN219" s="276" t="str">
        <f>IF(AM219="","",IF(VLOOKUP(AM219,'G-7 WaterC'' Data'!$AO$4:$BO$7,2,FALSE)=0,"Spatial Data Missing ⚠",VLOOKUP(AM219,'G-7 WaterC'' Data'!$AO$4:$BO$7,2,FALSE)))</f>
        <v/>
      </c>
      <c r="AO219" s="317" t="str">
        <f t="shared" si="40"/>
        <v/>
      </c>
      <c r="AP219" s="317" t="str">
        <f t="shared" si="41"/>
        <v/>
      </c>
      <c r="AQ219" s="101"/>
      <c r="AR219" s="115"/>
      <c r="AS219" s="104"/>
      <c r="AT219" s="104"/>
      <c r="AW219" s="30" t="str">
        <f>IF(E219="","",VLOOKUP($B219,'F-1 Off-Site WaterC'' Baseline'!$C$9:$Z$257,12,FALSE))</f>
        <v/>
      </c>
      <c r="AX219" s="30" t="str">
        <f>IF(E219="","",VLOOKUP($B219,'F-1 Off-Site WaterC'' Baseline'!$C$9:$Z$257,14,FALSE))</f>
        <v/>
      </c>
      <c r="AY219" s="30" t="str">
        <f>IFERROR(INDEX('G-7 WaterC'' Data'!$AZ$3:$AZ$7,MATCH(N219,'G-7 WaterC'' Data'!$AY$3:$AY$7,0)),"")</f>
        <v/>
      </c>
      <c r="AZ219" s="30" t="str">
        <f>IF(B219="","",IF(ISNA(VLOOKUP($B219,'F-1 Off-Site WaterC'' Baseline'!$C$8:$AD$257,20,FALSE)),"",(VLOOKUP($B219,'F-1 Off-Site WaterC'' Baseline'!$C$8:$AD$257,20,FALSE))))</f>
        <v/>
      </c>
      <c r="BC219" s="30" t="str">
        <f>IF(B219="","",VLOOKUP($B219,'F-1 Off-Site WaterC'' Baseline'!$C$9:$AB$257,25,FALSE))</f>
        <v/>
      </c>
      <c r="BD219" s="30" t="str">
        <f t="shared" si="42"/>
        <v/>
      </c>
      <c r="BE219" s="30" t="str">
        <f>IF(B219="","",VLOOKUP($B219,'F-1 Off-Site WaterC'' Baseline'!$C$9:$AB$257,24,FALSE))</f>
        <v/>
      </c>
      <c r="BF219" s="30" t="str">
        <f>IF(B219="","",VLOOKUP($B219,'F-1 Off-Site WaterC'' Baseline'!$C$9:$AB$257,22,FALSE))</f>
        <v/>
      </c>
      <c r="BJ219" s="30" t="str">
        <f t="shared" si="43"/>
        <v>No</v>
      </c>
    </row>
    <row r="220" spans="2:62" ht="14">
      <c r="B220" s="305" t="str">
        <f>'F-1 Off-Site WaterC'' Baseline'!AS218</f>
        <v/>
      </c>
      <c r="C220" s="295" t="str">
        <f>IF(B220="","",VLOOKUP($B220,'F-1 Off-Site WaterC'' Baseline'!$C$9:$R$257,2,FALSE))</f>
        <v/>
      </c>
      <c r="D220" s="295" t="str">
        <f>IF(C220="","",VLOOKUP($B220,'F-1 Off-Site WaterC'' Baseline'!$C$9:$R$257,3,FALSE))</f>
        <v/>
      </c>
      <c r="E220" s="295" t="str">
        <f>IF(D220="","",VLOOKUP($B220,'F-1 Off-Site WaterC'' Baseline'!$C$9:$R$257,4,FALSE))</f>
        <v/>
      </c>
      <c r="F220" s="295" t="str">
        <f>IF(E220="","",VLOOKUP($B220,'F-1 Off-Site WaterC'' Baseline'!$C$9:$R$257,5,FALSE))</f>
        <v/>
      </c>
      <c r="G220" s="295" t="str">
        <f>IF(F220="","",VLOOKUP($B220,'F-1 Off-Site WaterC'' Baseline'!$C$9:$R$257,6,FALSE))</f>
        <v/>
      </c>
      <c r="H220" s="295" t="str">
        <f>IF(G220="","",VLOOKUP($B220,'F-1 Off-Site WaterC'' Baseline'!$C$9:$R$257,7,FALSE))</f>
        <v/>
      </c>
      <c r="I220" s="295" t="str">
        <f>IF(H220="","",VLOOKUP($B220,'F-1 Off-Site WaterC'' Baseline'!$C$9:$R$257,8,FALSE))</f>
        <v/>
      </c>
      <c r="J220" s="295" t="str">
        <f>IF(I220="","",VLOOKUP($B220,'F-1 Off-Site WaterC'' Baseline'!$C$9:$R$257,9,FALSE))</f>
        <v/>
      </c>
      <c r="K220" s="295" t="str">
        <f>IF(J220="","",VLOOKUP($B220,'F-1 Off-Site WaterC'' Baseline'!$C$9:$R$257,10,FALSE))</f>
        <v/>
      </c>
      <c r="L220" s="283" t="str">
        <f>IF(B220="","",VLOOKUP($B220,'F-1 Off-Site WaterC'' Baseline'!$C$9:$R$257,15,FALSE))</f>
        <v/>
      </c>
      <c r="M220" s="299" t="str">
        <f>IF(L220="","",VLOOKUP($B220,'F-1 Off-Site WaterC'' Baseline'!$C$9:$V$257,19,FALSE))</f>
        <v/>
      </c>
      <c r="N220" s="244"/>
      <c r="O220" s="275" t="str">
        <f t="shared" si="36"/>
        <v/>
      </c>
      <c r="P220" s="276" t="str">
        <f t="shared" si="37"/>
        <v/>
      </c>
      <c r="Q220" s="281" t="str">
        <f>IF(N220="","",VLOOKUP(B220,'F-1 Off-Site WaterC'' Baseline'!$C$10:$AF$257,23,FALSE))</f>
        <v/>
      </c>
      <c r="R220" s="275" t="str">
        <f>IF(N220="","",VLOOKUP(N220,'G-7 WaterC'' Data'!$B$2:$G$8,2,FALSE))</f>
        <v/>
      </c>
      <c r="S220" s="276" t="str">
        <f>IFERROR(VLOOKUP(R220,'G-7 WaterC'' Data'!$C$4:$D$8,2,FALSE),"")</f>
        <v/>
      </c>
      <c r="T220" s="101"/>
      <c r="U220" s="276" t="str">
        <f>IFERROR(INDEX('G-7 WaterC'' Data'!$H$4:$L$8,MATCH(N220,'G-7 WaterC'' Data'!$B$4:$B$8,0),MATCH(T220,'G-7 WaterC'' Data'!$H$3:$L$3,0)),"")</f>
        <v/>
      </c>
      <c r="V220" s="105"/>
      <c r="W220" s="295" t="str">
        <f>IF(V220="","",IF(VLOOKUP(V220,'G-7 WaterC'' Data'!$AK$4:$AM$6,2,FALSE)=0,"Spatial Data Missing ⚠",VLOOKUP(V220,'G-7 WaterC'' Data'!$AK$4:$AM$6,2,FALSE)))</f>
        <v/>
      </c>
      <c r="X220" s="299" t="str">
        <f>IF(V220="","",IF(VLOOKUP(V220,'G-7 WaterC'' Data'!$AK$4:$AM$6,3,FALSE)=0,"Spatial Data Missing ⚠",VLOOKUP(V220,'G-7 WaterC'' Data'!$AK$4:$AM$6,3,FALSE)))</f>
        <v/>
      </c>
      <c r="Y220" s="311" t="str">
        <f>IFERROR(IF(OR(LEFT(P220,5)="Error",LEFT(O220,5)="Error"),"Check Data ⚠",IF(F220&lt;S220,'G-7 WaterC'' Data'!$R$3,INDEX('G-7 WaterC'' Data'!$U$5:$Y$9,MATCH(G220,'G-7 WaterC'' Data'!$T$5:$T$9,0),MATCH(T220,'G-7 WaterC'' Data'!$U$4:$Y$4,0)))),"")</f>
        <v/>
      </c>
      <c r="Z220" s="138"/>
      <c r="AA220" s="138"/>
      <c r="AB220" s="308" t="str">
        <f t="shared" si="33"/>
        <v/>
      </c>
      <c r="AC220" s="296" t="str">
        <f t="shared" si="38"/>
        <v/>
      </c>
      <c r="AD220" s="334" t="str">
        <f>IFERROR(IF(AC220="Check Data ⚠","Check Data ⚠",VLOOKUP(AC220,'G-4 Temporal multipliers'!$A$4:$C$37,3,FALSE)),"")</f>
        <v/>
      </c>
      <c r="AE220" s="311" t="str">
        <f>IF(N220="","",VLOOKUP(N220,'G-7 WaterC'' Data'!$B$4:$G$8,5,FALSE))</f>
        <v/>
      </c>
      <c r="AF220" s="295" t="str">
        <f t="shared" si="34"/>
        <v/>
      </c>
      <c r="AG220" s="295" t="str">
        <f t="shared" si="39"/>
        <v/>
      </c>
      <c r="AH220" s="276" t="str">
        <f t="shared" si="35"/>
        <v/>
      </c>
      <c r="AI220" s="105"/>
      <c r="AJ220" s="276" t="str">
        <f>IF(AI220="","",(IF(AND(AI220="N/A - Culvert",N220&lt;&gt;"Culvert"),"Not possible ▲",IF(VLOOKUP(AI220,'G-7 WaterC'' Data'!$AA$4:$AB$7,2,FALSE)=0,"Spatial Data Missing ⚠",VLOOKUP(AI220,'G-7 WaterC'' Data'!$AA$4:$AB$7,2,FALSE)))))</f>
        <v/>
      </c>
      <c r="AK220" s="106"/>
      <c r="AL220" s="310" t="str">
        <f>IF(AK220="","",IF(AND(AK220="N/A - Culvert",N220&lt;&gt;"Culvert"),"Not possible ▲",IF(VLOOKUP(AK220,'G-7 WaterC'' Data'!$AD$4:$AE$14,2,FALSE)=0,"Spatial Data Missing ⚠",VLOOKUP(AK220,'G-7 WaterC'' Data'!$AD$4:$AE$14,2,FALSE))))</f>
        <v/>
      </c>
      <c r="AM220" s="275" t="str">
        <f>IF(B220="","",VLOOKUP($B220,'F-1 Off-Site WaterC'' Baseline'!$C$9:$Z$257,17,FALSE))</f>
        <v/>
      </c>
      <c r="AN220" s="276" t="str">
        <f>IF(AM220="","",IF(VLOOKUP(AM220,'G-7 WaterC'' Data'!$AO$4:$BO$7,2,FALSE)=0,"Spatial Data Missing ⚠",VLOOKUP(AM220,'G-7 WaterC'' Data'!$AO$4:$BO$7,2,FALSE)))</f>
        <v/>
      </c>
      <c r="AO220" s="317" t="str">
        <f t="shared" si="40"/>
        <v/>
      </c>
      <c r="AP220" s="317" t="str">
        <f t="shared" si="41"/>
        <v/>
      </c>
      <c r="AQ220" s="101"/>
      <c r="AR220" s="115"/>
      <c r="AS220" s="104"/>
      <c r="AT220" s="104"/>
      <c r="AW220" s="30" t="str">
        <f>IF(E220="","",VLOOKUP($B220,'F-1 Off-Site WaterC'' Baseline'!$C$9:$Z$257,12,FALSE))</f>
        <v/>
      </c>
      <c r="AX220" s="30" t="str">
        <f>IF(E220="","",VLOOKUP($B220,'F-1 Off-Site WaterC'' Baseline'!$C$9:$Z$257,14,FALSE))</f>
        <v/>
      </c>
      <c r="AY220" s="30" t="str">
        <f>IFERROR(INDEX('G-7 WaterC'' Data'!$AZ$3:$AZ$7,MATCH(N220,'G-7 WaterC'' Data'!$AY$3:$AY$7,0)),"")</f>
        <v/>
      </c>
      <c r="AZ220" s="30" t="str">
        <f>IF(B220="","",IF(ISNA(VLOOKUP($B220,'F-1 Off-Site WaterC'' Baseline'!$C$8:$AD$257,20,FALSE)),"",(VLOOKUP($B220,'F-1 Off-Site WaterC'' Baseline'!$C$8:$AD$257,20,FALSE))))</f>
        <v/>
      </c>
      <c r="BC220" s="30" t="str">
        <f>IF(B220="","",VLOOKUP($B220,'F-1 Off-Site WaterC'' Baseline'!$C$9:$AB$257,25,FALSE))</f>
        <v/>
      </c>
      <c r="BD220" s="30" t="str">
        <f t="shared" si="42"/>
        <v/>
      </c>
      <c r="BE220" s="30" t="str">
        <f>IF(B220="","",VLOOKUP($B220,'F-1 Off-Site WaterC'' Baseline'!$C$9:$AB$257,24,FALSE))</f>
        <v/>
      </c>
      <c r="BF220" s="30" t="str">
        <f>IF(B220="","",VLOOKUP($B220,'F-1 Off-Site WaterC'' Baseline'!$C$9:$AB$257,22,FALSE))</f>
        <v/>
      </c>
      <c r="BJ220" s="30" t="str">
        <f t="shared" si="43"/>
        <v>No</v>
      </c>
    </row>
    <row r="221" spans="2:62" ht="14">
      <c r="B221" s="305" t="str">
        <f>'F-1 Off-Site WaterC'' Baseline'!AS219</f>
        <v/>
      </c>
      <c r="C221" s="295" t="str">
        <f>IF(B221="","",VLOOKUP($B221,'F-1 Off-Site WaterC'' Baseline'!$C$9:$R$257,2,FALSE))</f>
        <v/>
      </c>
      <c r="D221" s="295" t="str">
        <f>IF(C221="","",VLOOKUP($B221,'F-1 Off-Site WaterC'' Baseline'!$C$9:$R$257,3,FALSE))</f>
        <v/>
      </c>
      <c r="E221" s="295" t="str">
        <f>IF(D221="","",VLOOKUP($B221,'F-1 Off-Site WaterC'' Baseline'!$C$9:$R$257,4,FALSE))</f>
        <v/>
      </c>
      <c r="F221" s="295" t="str">
        <f>IF(E221="","",VLOOKUP($B221,'F-1 Off-Site WaterC'' Baseline'!$C$9:$R$257,5,FALSE))</f>
        <v/>
      </c>
      <c r="G221" s="295" t="str">
        <f>IF(F221="","",VLOOKUP($B221,'F-1 Off-Site WaterC'' Baseline'!$C$9:$R$257,6,FALSE))</f>
        <v/>
      </c>
      <c r="H221" s="295" t="str">
        <f>IF(G221="","",VLOOKUP($B221,'F-1 Off-Site WaterC'' Baseline'!$C$9:$R$257,7,FALSE))</f>
        <v/>
      </c>
      <c r="I221" s="295" t="str">
        <f>IF(H221="","",VLOOKUP($B221,'F-1 Off-Site WaterC'' Baseline'!$C$9:$R$257,8,FALSE))</f>
        <v/>
      </c>
      <c r="J221" s="295" t="str">
        <f>IF(I221="","",VLOOKUP($B221,'F-1 Off-Site WaterC'' Baseline'!$C$9:$R$257,9,FALSE))</f>
        <v/>
      </c>
      <c r="K221" s="295" t="str">
        <f>IF(J221="","",VLOOKUP($B221,'F-1 Off-Site WaterC'' Baseline'!$C$9:$R$257,10,FALSE))</f>
        <v/>
      </c>
      <c r="L221" s="283" t="str">
        <f>IF(B221="","",VLOOKUP($B221,'F-1 Off-Site WaterC'' Baseline'!$C$9:$R$257,15,FALSE))</f>
        <v/>
      </c>
      <c r="M221" s="299" t="str">
        <f>IF(L221="","",VLOOKUP($B221,'F-1 Off-Site WaterC'' Baseline'!$C$9:$V$257,19,FALSE))</f>
        <v/>
      </c>
      <c r="N221" s="244"/>
      <c r="O221" s="275" t="str">
        <f t="shared" si="36"/>
        <v/>
      </c>
      <c r="P221" s="276" t="str">
        <f t="shared" si="37"/>
        <v/>
      </c>
      <c r="Q221" s="281" t="str">
        <f>IF(N221="","",VLOOKUP(B221,'F-1 Off-Site WaterC'' Baseline'!$C$10:$AF$257,23,FALSE))</f>
        <v/>
      </c>
      <c r="R221" s="275" t="str">
        <f>IF(N221="","",VLOOKUP(N221,'G-7 WaterC'' Data'!$B$2:$G$8,2,FALSE))</f>
        <v/>
      </c>
      <c r="S221" s="276" t="str">
        <f>IFERROR(VLOOKUP(R221,'G-7 WaterC'' Data'!$C$4:$D$8,2,FALSE),"")</f>
        <v/>
      </c>
      <c r="T221" s="101"/>
      <c r="U221" s="276" t="str">
        <f>IFERROR(INDEX('G-7 WaterC'' Data'!$H$4:$L$8,MATCH(N221,'G-7 WaterC'' Data'!$B$4:$B$8,0),MATCH(T221,'G-7 WaterC'' Data'!$H$3:$L$3,0)),"")</f>
        <v/>
      </c>
      <c r="V221" s="105"/>
      <c r="W221" s="295" t="str">
        <f>IF(V221="","",IF(VLOOKUP(V221,'G-7 WaterC'' Data'!$AK$4:$AM$6,2,FALSE)=0,"Spatial Data Missing ⚠",VLOOKUP(V221,'G-7 WaterC'' Data'!$AK$4:$AM$6,2,FALSE)))</f>
        <v/>
      </c>
      <c r="X221" s="299" t="str">
        <f>IF(V221="","",IF(VLOOKUP(V221,'G-7 WaterC'' Data'!$AK$4:$AM$6,3,FALSE)=0,"Spatial Data Missing ⚠",VLOOKUP(V221,'G-7 WaterC'' Data'!$AK$4:$AM$6,3,FALSE)))</f>
        <v/>
      </c>
      <c r="Y221" s="311" t="str">
        <f>IFERROR(IF(OR(LEFT(P221,5)="Error",LEFT(O221,5)="Error"),"Check Data ⚠",IF(F221&lt;S221,'G-7 WaterC'' Data'!$R$3,INDEX('G-7 WaterC'' Data'!$U$5:$Y$9,MATCH(G221,'G-7 WaterC'' Data'!$T$5:$T$9,0),MATCH(T221,'G-7 WaterC'' Data'!$U$4:$Y$4,0)))),"")</f>
        <v/>
      </c>
      <c r="Z221" s="138"/>
      <c r="AA221" s="138"/>
      <c r="AB221" s="308" t="str">
        <f t="shared" si="33"/>
        <v/>
      </c>
      <c r="AC221" s="296" t="str">
        <f t="shared" si="38"/>
        <v/>
      </c>
      <c r="AD221" s="334" t="str">
        <f>IFERROR(IF(AC221="Check Data ⚠","Check Data ⚠",VLOOKUP(AC221,'G-4 Temporal multipliers'!$A$4:$C$37,3,FALSE)),"")</f>
        <v/>
      </c>
      <c r="AE221" s="311" t="str">
        <f>IF(N221="","",VLOOKUP(N221,'G-7 WaterC'' Data'!$B$4:$G$8,5,FALSE))</f>
        <v/>
      </c>
      <c r="AF221" s="295" t="str">
        <f t="shared" si="34"/>
        <v/>
      </c>
      <c r="AG221" s="295" t="str">
        <f t="shared" si="39"/>
        <v/>
      </c>
      <c r="AH221" s="276" t="str">
        <f t="shared" si="35"/>
        <v/>
      </c>
      <c r="AI221" s="105"/>
      <c r="AJ221" s="276" t="str">
        <f>IF(AI221="","",(IF(AND(AI221="N/A - Culvert",N221&lt;&gt;"Culvert"),"Not possible ▲",IF(VLOOKUP(AI221,'G-7 WaterC'' Data'!$AA$4:$AB$7,2,FALSE)=0,"Spatial Data Missing ⚠",VLOOKUP(AI221,'G-7 WaterC'' Data'!$AA$4:$AB$7,2,FALSE)))))</f>
        <v/>
      </c>
      <c r="AK221" s="106"/>
      <c r="AL221" s="310" t="str">
        <f>IF(AK221="","",IF(AND(AK221="N/A - Culvert",N221&lt;&gt;"Culvert"),"Not possible ▲",IF(VLOOKUP(AK221,'G-7 WaterC'' Data'!$AD$4:$AE$14,2,FALSE)=0,"Spatial Data Missing ⚠",VLOOKUP(AK221,'G-7 WaterC'' Data'!$AD$4:$AE$14,2,FALSE))))</f>
        <v/>
      </c>
      <c r="AM221" s="275" t="str">
        <f>IF(B221="","",VLOOKUP($B221,'F-1 Off-Site WaterC'' Baseline'!$C$9:$Z$257,17,FALSE))</f>
        <v/>
      </c>
      <c r="AN221" s="276" t="str">
        <f>IF(AM221="","",IF(VLOOKUP(AM221,'G-7 WaterC'' Data'!$AO$4:$BO$7,2,FALSE)=0,"Spatial Data Missing ⚠",VLOOKUP(AM221,'G-7 WaterC'' Data'!$AO$4:$BO$7,2,FALSE)))</f>
        <v/>
      </c>
      <c r="AO221" s="317" t="str">
        <f t="shared" si="40"/>
        <v/>
      </c>
      <c r="AP221" s="317" t="str">
        <f t="shared" si="41"/>
        <v/>
      </c>
      <c r="AQ221" s="101"/>
      <c r="AR221" s="115"/>
      <c r="AS221" s="104"/>
      <c r="AT221" s="104"/>
      <c r="AW221" s="30" t="str">
        <f>IF(E221="","",VLOOKUP($B221,'F-1 Off-Site WaterC'' Baseline'!$C$9:$Z$257,12,FALSE))</f>
        <v/>
      </c>
      <c r="AX221" s="30" t="str">
        <f>IF(E221="","",VLOOKUP($B221,'F-1 Off-Site WaterC'' Baseline'!$C$9:$Z$257,14,FALSE))</f>
        <v/>
      </c>
      <c r="AY221" s="30" t="str">
        <f>IFERROR(INDEX('G-7 WaterC'' Data'!$AZ$3:$AZ$7,MATCH(N221,'G-7 WaterC'' Data'!$AY$3:$AY$7,0)),"")</f>
        <v/>
      </c>
      <c r="AZ221" s="30" t="str">
        <f>IF(B221="","",IF(ISNA(VLOOKUP($B221,'F-1 Off-Site WaterC'' Baseline'!$C$8:$AD$257,20,FALSE)),"",(VLOOKUP($B221,'F-1 Off-Site WaterC'' Baseline'!$C$8:$AD$257,20,FALSE))))</f>
        <v/>
      </c>
      <c r="BC221" s="30" t="str">
        <f>IF(B221="","",VLOOKUP($B221,'F-1 Off-Site WaterC'' Baseline'!$C$9:$AB$257,25,FALSE))</f>
        <v/>
      </c>
      <c r="BD221" s="30" t="str">
        <f t="shared" si="42"/>
        <v/>
      </c>
      <c r="BE221" s="30" t="str">
        <f>IF(B221="","",VLOOKUP($B221,'F-1 Off-Site WaterC'' Baseline'!$C$9:$AB$257,24,FALSE))</f>
        <v/>
      </c>
      <c r="BF221" s="30" t="str">
        <f>IF(B221="","",VLOOKUP($B221,'F-1 Off-Site WaterC'' Baseline'!$C$9:$AB$257,22,FALSE))</f>
        <v/>
      </c>
      <c r="BJ221" s="30" t="str">
        <f t="shared" si="43"/>
        <v>No</v>
      </c>
    </row>
    <row r="222" spans="2:62" ht="14">
      <c r="B222" s="305" t="str">
        <f>'F-1 Off-Site WaterC'' Baseline'!AS220</f>
        <v/>
      </c>
      <c r="C222" s="295" t="str">
        <f>IF(B222="","",VLOOKUP($B222,'F-1 Off-Site WaterC'' Baseline'!$C$9:$R$257,2,FALSE))</f>
        <v/>
      </c>
      <c r="D222" s="295" t="str">
        <f>IF(C222="","",VLOOKUP($B222,'F-1 Off-Site WaterC'' Baseline'!$C$9:$R$257,3,FALSE))</f>
        <v/>
      </c>
      <c r="E222" s="295" t="str">
        <f>IF(D222="","",VLOOKUP($B222,'F-1 Off-Site WaterC'' Baseline'!$C$9:$R$257,4,FALSE))</f>
        <v/>
      </c>
      <c r="F222" s="295" t="str">
        <f>IF(E222="","",VLOOKUP($B222,'F-1 Off-Site WaterC'' Baseline'!$C$9:$R$257,5,FALSE))</f>
        <v/>
      </c>
      <c r="G222" s="295" t="str">
        <f>IF(F222="","",VLOOKUP($B222,'F-1 Off-Site WaterC'' Baseline'!$C$9:$R$257,6,FALSE))</f>
        <v/>
      </c>
      <c r="H222" s="295" t="str">
        <f>IF(G222="","",VLOOKUP($B222,'F-1 Off-Site WaterC'' Baseline'!$C$9:$R$257,7,FALSE))</f>
        <v/>
      </c>
      <c r="I222" s="295" t="str">
        <f>IF(H222="","",VLOOKUP($B222,'F-1 Off-Site WaterC'' Baseline'!$C$9:$R$257,8,FALSE))</f>
        <v/>
      </c>
      <c r="J222" s="295" t="str">
        <f>IF(I222="","",VLOOKUP($B222,'F-1 Off-Site WaterC'' Baseline'!$C$9:$R$257,9,FALSE))</f>
        <v/>
      </c>
      <c r="K222" s="295" t="str">
        <f>IF(J222="","",VLOOKUP($B222,'F-1 Off-Site WaterC'' Baseline'!$C$9:$R$257,10,FALSE))</f>
        <v/>
      </c>
      <c r="L222" s="283" t="str">
        <f>IF(B222="","",VLOOKUP($B222,'F-1 Off-Site WaterC'' Baseline'!$C$9:$R$257,15,FALSE))</f>
        <v/>
      </c>
      <c r="M222" s="299" t="str">
        <f>IF(L222="","",VLOOKUP($B222,'F-1 Off-Site WaterC'' Baseline'!$C$9:$V$257,19,FALSE))</f>
        <v/>
      </c>
      <c r="N222" s="244"/>
      <c r="O222" s="275" t="str">
        <f t="shared" si="36"/>
        <v/>
      </c>
      <c r="P222" s="276" t="str">
        <f t="shared" si="37"/>
        <v/>
      </c>
      <c r="Q222" s="281" t="str">
        <f>IF(N222="","",VLOOKUP(B222,'F-1 Off-Site WaterC'' Baseline'!$C$10:$AF$257,23,FALSE))</f>
        <v/>
      </c>
      <c r="R222" s="275" t="str">
        <f>IF(N222="","",VLOOKUP(N222,'G-7 WaterC'' Data'!$B$2:$G$8,2,FALSE))</f>
        <v/>
      </c>
      <c r="S222" s="276" t="str">
        <f>IFERROR(VLOOKUP(R222,'G-7 WaterC'' Data'!$C$4:$D$8,2,FALSE),"")</f>
        <v/>
      </c>
      <c r="T222" s="101"/>
      <c r="U222" s="276" t="str">
        <f>IFERROR(INDEX('G-7 WaterC'' Data'!$H$4:$L$8,MATCH(N222,'G-7 WaterC'' Data'!$B$4:$B$8,0),MATCH(T222,'G-7 WaterC'' Data'!$H$3:$L$3,0)),"")</f>
        <v/>
      </c>
      <c r="V222" s="105"/>
      <c r="W222" s="295" t="str">
        <f>IF(V222="","",IF(VLOOKUP(V222,'G-7 WaterC'' Data'!$AK$4:$AM$6,2,FALSE)=0,"Spatial Data Missing ⚠",VLOOKUP(V222,'G-7 WaterC'' Data'!$AK$4:$AM$6,2,FALSE)))</f>
        <v/>
      </c>
      <c r="X222" s="299" t="str">
        <f>IF(V222="","",IF(VLOOKUP(V222,'G-7 WaterC'' Data'!$AK$4:$AM$6,3,FALSE)=0,"Spatial Data Missing ⚠",VLOOKUP(V222,'G-7 WaterC'' Data'!$AK$4:$AM$6,3,FALSE)))</f>
        <v/>
      </c>
      <c r="Y222" s="311" t="str">
        <f>IFERROR(IF(OR(LEFT(P222,5)="Error",LEFT(O222,5)="Error"),"Check Data ⚠",IF(F222&lt;S222,'G-7 WaterC'' Data'!$R$3,INDEX('G-7 WaterC'' Data'!$U$5:$Y$9,MATCH(G222,'G-7 WaterC'' Data'!$T$5:$T$9,0),MATCH(T222,'G-7 WaterC'' Data'!$U$4:$Y$4,0)))),"")</f>
        <v/>
      </c>
      <c r="Z222" s="138"/>
      <c r="AA222" s="138"/>
      <c r="AB222" s="308" t="str">
        <f t="shared" si="33"/>
        <v/>
      </c>
      <c r="AC222" s="296" t="str">
        <f t="shared" si="38"/>
        <v/>
      </c>
      <c r="AD222" s="334" t="str">
        <f>IFERROR(IF(AC222="Check Data ⚠","Check Data ⚠",VLOOKUP(AC222,'G-4 Temporal multipliers'!$A$4:$C$37,3,FALSE)),"")</f>
        <v/>
      </c>
      <c r="AE222" s="311" t="str">
        <f>IF(N222="","",VLOOKUP(N222,'G-7 WaterC'' Data'!$B$4:$G$8,5,FALSE))</f>
        <v/>
      </c>
      <c r="AF222" s="295" t="str">
        <f t="shared" si="34"/>
        <v/>
      </c>
      <c r="AG222" s="295" t="str">
        <f t="shared" si="39"/>
        <v/>
      </c>
      <c r="AH222" s="276" t="str">
        <f t="shared" si="35"/>
        <v/>
      </c>
      <c r="AI222" s="105"/>
      <c r="AJ222" s="276" t="str">
        <f>IF(AI222="","",(IF(AND(AI222="N/A - Culvert",N222&lt;&gt;"Culvert"),"Not possible ▲",IF(VLOOKUP(AI222,'G-7 WaterC'' Data'!$AA$4:$AB$7,2,FALSE)=0,"Spatial Data Missing ⚠",VLOOKUP(AI222,'G-7 WaterC'' Data'!$AA$4:$AB$7,2,FALSE)))))</f>
        <v/>
      </c>
      <c r="AK222" s="106"/>
      <c r="AL222" s="310" t="str">
        <f>IF(AK222="","",IF(AND(AK222="N/A - Culvert",N222&lt;&gt;"Culvert"),"Not possible ▲",IF(VLOOKUP(AK222,'G-7 WaterC'' Data'!$AD$4:$AE$14,2,FALSE)=0,"Spatial Data Missing ⚠",VLOOKUP(AK222,'G-7 WaterC'' Data'!$AD$4:$AE$14,2,FALSE))))</f>
        <v/>
      </c>
      <c r="AM222" s="275" t="str">
        <f>IF(B222="","",VLOOKUP($B222,'F-1 Off-Site WaterC'' Baseline'!$C$9:$Z$257,17,FALSE))</f>
        <v/>
      </c>
      <c r="AN222" s="276" t="str">
        <f>IF(AM222="","",IF(VLOOKUP(AM222,'G-7 WaterC'' Data'!$AO$4:$BO$7,2,FALSE)=0,"Spatial Data Missing ⚠",VLOOKUP(AM222,'G-7 WaterC'' Data'!$AO$4:$BO$7,2,FALSE)))</f>
        <v/>
      </c>
      <c r="AO222" s="317" t="str">
        <f t="shared" si="40"/>
        <v/>
      </c>
      <c r="AP222" s="317" t="str">
        <f t="shared" si="41"/>
        <v/>
      </c>
      <c r="AQ222" s="101"/>
      <c r="AR222" s="115"/>
      <c r="AS222" s="104"/>
      <c r="AT222" s="104"/>
      <c r="AW222" s="30" t="str">
        <f>IF(E222="","",VLOOKUP($B222,'F-1 Off-Site WaterC'' Baseline'!$C$9:$Z$257,12,FALSE))</f>
        <v/>
      </c>
      <c r="AX222" s="30" t="str">
        <f>IF(E222="","",VLOOKUP($B222,'F-1 Off-Site WaterC'' Baseline'!$C$9:$Z$257,14,FALSE))</f>
        <v/>
      </c>
      <c r="AY222" s="30" t="str">
        <f>IFERROR(INDEX('G-7 WaterC'' Data'!$AZ$3:$AZ$7,MATCH(N222,'G-7 WaterC'' Data'!$AY$3:$AY$7,0)),"")</f>
        <v/>
      </c>
      <c r="AZ222" s="30" t="str">
        <f>IF(B222="","",IF(ISNA(VLOOKUP($B222,'F-1 Off-Site WaterC'' Baseline'!$C$8:$AD$257,20,FALSE)),"",(VLOOKUP($B222,'F-1 Off-Site WaterC'' Baseline'!$C$8:$AD$257,20,FALSE))))</f>
        <v/>
      </c>
      <c r="BC222" s="30" t="str">
        <f>IF(B222="","",VLOOKUP($B222,'F-1 Off-Site WaterC'' Baseline'!$C$9:$AB$257,25,FALSE))</f>
        <v/>
      </c>
      <c r="BD222" s="30" t="str">
        <f t="shared" si="42"/>
        <v/>
      </c>
      <c r="BE222" s="30" t="str">
        <f>IF(B222="","",VLOOKUP($B222,'F-1 Off-Site WaterC'' Baseline'!$C$9:$AB$257,24,FALSE))</f>
        <v/>
      </c>
      <c r="BF222" s="30" t="str">
        <f>IF(B222="","",VLOOKUP($B222,'F-1 Off-Site WaterC'' Baseline'!$C$9:$AB$257,22,FALSE))</f>
        <v/>
      </c>
      <c r="BJ222" s="30" t="str">
        <f t="shared" si="43"/>
        <v>No</v>
      </c>
    </row>
    <row r="223" spans="2:62" ht="14">
      <c r="B223" s="305" t="str">
        <f>'F-1 Off-Site WaterC'' Baseline'!AS221</f>
        <v/>
      </c>
      <c r="C223" s="295" t="str">
        <f>IF(B223="","",VLOOKUP($B223,'F-1 Off-Site WaterC'' Baseline'!$C$9:$R$257,2,FALSE))</f>
        <v/>
      </c>
      <c r="D223" s="295" t="str">
        <f>IF(C223="","",VLOOKUP($B223,'F-1 Off-Site WaterC'' Baseline'!$C$9:$R$257,3,FALSE))</f>
        <v/>
      </c>
      <c r="E223" s="295" t="str">
        <f>IF(D223="","",VLOOKUP($B223,'F-1 Off-Site WaterC'' Baseline'!$C$9:$R$257,4,FALSE))</f>
        <v/>
      </c>
      <c r="F223" s="295" t="str">
        <f>IF(E223="","",VLOOKUP($B223,'F-1 Off-Site WaterC'' Baseline'!$C$9:$R$257,5,FALSE))</f>
        <v/>
      </c>
      <c r="G223" s="295" t="str">
        <f>IF(F223="","",VLOOKUP($B223,'F-1 Off-Site WaterC'' Baseline'!$C$9:$R$257,6,FALSE))</f>
        <v/>
      </c>
      <c r="H223" s="295" t="str">
        <f>IF(G223="","",VLOOKUP($B223,'F-1 Off-Site WaterC'' Baseline'!$C$9:$R$257,7,FALSE))</f>
        <v/>
      </c>
      <c r="I223" s="295" t="str">
        <f>IF(H223="","",VLOOKUP($B223,'F-1 Off-Site WaterC'' Baseline'!$C$9:$R$257,8,FALSE))</f>
        <v/>
      </c>
      <c r="J223" s="295" t="str">
        <f>IF(I223="","",VLOOKUP($B223,'F-1 Off-Site WaterC'' Baseline'!$C$9:$R$257,9,FALSE))</f>
        <v/>
      </c>
      <c r="K223" s="295" t="str">
        <f>IF(J223="","",VLOOKUP($B223,'F-1 Off-Site WaterC'' Baseline'!$C$9:$R$257,10,FALSE))</f>
        <v/>
      </c>
      <c r="L223" s="283" t="str">
        <f>IF(B223="","",VLOOKUP($B223,'F-1 Off-Site WaterC'' Baseline'!$C$9:$R$257,15,FALSE))</f>
        <v/>
      </c>
      <c r="M223" s="299" t="str">
        <f>IF(L223="","",VLOOKUP($B223,'F-1 Off-Site WaterC'' Baseline'!$C$9:$V$257,19,FALSE))</f>
        <v/>
      </c>
      <c r="N223" s="244"/>
      <c r="O223" s="275" t="str">
        <f t="shared" si="36"/>
        <v/>
      </c>
      <c r="P223" s="276" t="str">
        <f t="shared" si="37"/>
        <v/>
      </c>
      <c r="Q223" s="281" t="str">
        <f>IF(N223="","",VLOOKUP(B223,'F-1 Off-Site WaterC'' Baseline'!$C$10:$AF$257,23,FALSE))</f>
        <v/>
      </c>
      <c r="R223" s="275" t="str">
        <f>IF(N223="","",VLOOKUP(N223,'G-7 WaterC'' Data'!$B$2:$G$8,2,FALSE))</f>
        <v/>
      </c>
      <c r="S223" s="276" t="str">
        <f>IFERROR(VLOOKUP(R223,'G-7 WaterC'' Data'!$C$4:$D$8,2,FALSE),"")</f>
        <v/>
      </c>
      <c r="T223" s="101"/>
      <c r="U223" s="276" t="str">
        <f>IFERROR(INDEX('G-7 WaterC'' Data'!$H$4:$L$8,MATCH(N223,'G-7 WaterC'' Data'!$B$4:$B$8,0),MATCH(T223,'G-7 WaterC'' Data'!$H$3:$L$3,0)),"")</f>
        <v/>
      </c>
      <c r="V223" s="105"/>
      <c r="W223" s="295" t="str">
        <f>IF(V223="","",IF(VLOOKUP(V223,'G-7 WaterC'' Data'!$AK$4:$AM$6,2,FALSE)=0,"Spatial Data Missing ⚠",VLOOKUP(V223,'G-7 WaterC'' Data'!$AK$4:$AM$6,2,FALSE)))</f>
        <v/>
      </c>
      <c r="X223" s="299" t="str">
        <f>IF(V223="","",IF(VLOOKUP(V223,'G-7 WaterC'' Data'!$AK$4:$AM$6,3,FALSE)=0,"Spatial Data Missing ⚠",VLOOKUP(V223,'G-7 WaterC'' Data'!$AK$4:$AM$6,3,FALSE)))</f>
        <v/>
      </c>
      <c r="Y223" s="311" t="str">
        <f>IFERROR(IF(OR(LEFT(P223,5)="Error",LEFT(O223,5)="Error"),"Check Data ⚠",IF(F223&lt;S223,'G-7 WaterC'' Data'!$R$3,INDEX('G-7 WaterC'' Data'!$U$5:$Y$9,MATCH(G223,'G-7 WaterC'' Data'!$T$5:$T$9,0),MATCH(T223,'G-7 WaterC'' Data'!$U$4:$Y$4,0)))),"")</f>
        <v/>
      </c>
      <c r="Z223" s="138"/>
      <c r="AA223" s="138"/>
      <c r="AB223" s="308" t="str">
        <f t="shared" si="33"/>
        <v/>
      </c>
      <c r="AC223" s="296" t="str">
        <f t="shared" si="38"/>
        <v/>
      </c>
      <c r="AD223" s="334" t="str">
        <f>IFERROR(IF(AC223="Check Data ⚠","Check Data ⚠",VLOOKUP(AC223,'G-4 Temporal multipliers'!$A$4:$C$37,3,FALSE)),"")</f>
        <v/>
      </c>
      <c r="AE223" s="311" t="str">
        <f>IF(N223="","",VLOOKUP(N223,'G-7 WaterC'' Data'!$B$4:$G$8,5,FALSE))</f>
        <v/>
      </c>
      <c r="AF223" s="295" t="str">
        <f t="shared" si="34"/>
        <v/>
      </c>
      <c r="AG223" s="295" t="str">
        <f t="shared" si="39"/>
        <v/>
      </c>
      <c r="AH223" s="276" t="str">
        <f t="shared" si="35"/>
        <v/>
      </c>
      <c r="AI223" s="105"/>
      <c r="AJ223" s="276" t="str">
        <f>IF(AI223="","",(IF(AND(AI223="N/A - Culvert",N223&lt;&gt;"Culvert"),"Not possible ▲",IF(VLOOKUP(AI223,'G-7 WaterC'' Data'!$AA$4:$AB$7,2,FALSE)=0,"Spatial Data Missing ⚠",VLOOKUP(AI223,'G-7 WaterC'' Data'!$AA$4:$AB$7,2,FALSE)))))</f>
        <v/>
      </c>
      <c r="AK223" s="106"/>
      <c r="AL223" s="310" t="str">
        <f>IF(AK223="","",IF(AND(AK223="N/A - Culvert",N223&lt;&gt;"Culvert"),"Not possible ▲",IF(VLOOKUP(AK223,'G-7 WaterC'' Data'!$AD$4:$AE$14,2,FALSE)=0,"Spatial Data Missing ⚠",VLOOKUP(AK223,'G-7 WaterC'' Data'!$AD$4:$AE$14,2,FALSE))))</f>
        <v/>
      </c>
      <c r="AM223" s="275" t="str">
        <f>IF(B223="","",VLOOKUP($B223,'F-1 Off-Site WaterC'' Baseline'!$C$9:$Z$257,17,FALSE))</f>
        <v/>
      </c>
      <c r="AN223" s="276" t="str">
        <f>IF(AM223="","",IF(VLOOKUP(AM223,'G-7 WaterC'' Data'!$AO$4:$BO$7,2,FALSE)=0,"Spatial Data Missing ⚠",VLOOKUP(AM223,'G-7 WaterC'' Data'!$AO$4:$BO$7,2,FALSE)))</f>
        <v/>
      </c>
      <c r="AO223" s="317" t="str">
        <f t="shared" si="40"/>
        <v/>
      </c>
      <c r="AP223" s="317" t="str">
        <f t="shared" si="41"/>
        <v/>
      </c>
      <c r="AQ223" s="101"/>
      <c r="AR223" s="115"/>
      <c r="AS223" s="104"/>
      <c r="AT223" s="104"/>
      <c r="AW223" s="30" t="str">
        <f>IF(E223="","",VLOOKUP($B223,'F-1 Off-Site WaterC'' Baseline'!$C$9:$Z$257,12,FALSE))</f>
        <v/>
      </c>
      <c r="AX223" s="30" t="str">
        <f>IF(E223="","",VLOOKUP($B223,'F-1 Off-Site WaterC'' Baseline'!$C$9:$Z$257,14,FALSE))</f>
        <v/>
      </c>
      <c r="AY223" s="30" t="str">
        <f>IFERROR(INDEX('G-7 WaterC'' Data'!$AZ$3:$AZ$7,MATCH(N223,'G-7 WaterC'' Data'!$AY$3:$AY$7,0)),"")</f>
        <v/>
      </c>
      <c r="AZ223" s="30" t="str">
        <f>IF(B223="","",IF(ISNA(VLOOKUP($B223,'F-1 Off-Site WaterC'' Baseline'!$C$8:$AD$257,20,FALSE)),"",(VLOOKUP($B223,'F-1 Off-Site WaterC'' Baseline'!$C$8:$AD$257,20,FALSE))))</f>
        <v/>
      </c>
      <c r="BC223" s="30" t="str">
        <f>IF(B223="","",VLOOKUP($B223,'F-1 Off-Site WaterC'' Baseline'!$C$9:$AB$257,25,FALSE))</f>
        <v/>
      </c>
      <c r="BD223" s="30" t="str">
        <f t="shared" si="42"/>
        <v/>
      </c>
      <c r="BE223" s="30" t="str">
        <f>IF(B223="","",VLOOKUP($B223,'F-1 Off-Site WaterC'' Baseline'!$C$9:$AB$257,24,FALSE))</f>
        <v/>
      </c>
      <c r="BF223" s="30" t="str">
        <f>IF(B223="","",VLOOKUP($B223,'F-1 Off-Site WaterC'' Baseline'!$C$9:$AB$257,22,FALSE))</f>
        <v/>
      </c>
      <c r="BJ223" s="30" t="str">
        <f t="shared" si="43"/>
        <v>No</v>
      </c>
    </row>
    <row r="224" spans="2:62" ht="14">
      <c r="B224" s="305" t="str">
        <f>'F-1 Off-Site WaterC'' Baseline'!AS222</f>
        <v/>
      </c>
      <c r="C224" s="295" t="str">
        <f>IF(B224="","",VLOOKUP($B224,'F-1 Off-Site WaterC'' Baseline'!$C$9:$R$257,2,FALSE))</f>
        <v/>
      </c>
      <c r="D224" s="295" t="str">
        <f>IF(C224="","",VLOOKUP($B224,'F-1 Off-Site WaterC'' Baseline'!$C$9:$R$257,3,FALSE))</f>
        <v/>
      </c>
      <c r="E224" s="295" t="str">
        <f>IF(D224="","",VLOOKUP($B224,'F-1 Off-Site WaterC'' Baseline'!$C$9:$R$257,4,FALSE))</f>
        <v/>
      </c>
      <c r="F224" s="295" t="str">
        <f>IF(E224="","",VLOOKUP($B224,'F-1 Off-Site WaterC'' Baseline'!$C$9:$R$257,5,FALSE))</f>
        <v/>
      </c>
      <c r="G224" s="295" t="str">
        <f>IF(F224="","",VLOOKUP($B224,'F-1 Off-Site WaterC'' Baseline'!$C$9:$R$257,6,FALSE))</f>
        <v/>
      </c>
      <c r="H224" s="295" t="str">
        <f>IF(G224="","",VLOOKUP($B224,'F-1 Off-Site WaterC'' Baseline'!$C$9:$R$257,7,FALSE))</f>
        <v/>
      </c>
      <c r="I224" s="295" t="str">
        <f>IF(H224="","",VLOOKUP($B224,'F-1 Off-Site WaterC'' Baseline'!$C$9:$R$257,8,FALSE))</f>
        <v/>
      </c>
      <c r="J224" s="295" t="str">
        <f>IF(I224="","",VLOOKUP($B224,'F-1 Off-Site WaterC'' Baseline'!$C$9:$R$257,9,FALSE))</f>
        <v/>
      </c>
      <c r="K224" s="295" t="str">
        <f>IF(J224="","",VLOOKUP($B224,'F-1 Off-Site WaterC'' Baseline'!$C$9:$R$257,10,FALSE))</f>
        <v/>
      </c>
      <c r="L224" s="283" t="str">
        <f>IF(B224="","",VLOOKUP($B224,'F-1 Off-Site WaterC'' Baseline'!$C$9:$R$257,15,FALSE))</f>
        <v/>
      </c>
      <c r="M224" s="299" t="str">
        <f>IF(L224="","",VLOOKUP($B224,'F-1 Off-Site WaterC'' Baseline'!$C$9:$V$257,19,FALSE))</f>
        <v/>
      </c>
      <c r="N224" s="244"/>
      <c r="O224" s="275" t="str">
        <f t="shared" si="36"/>
        <v/>
      </c>
      <c r="P224" s="276" t="str">
        <f t="shared" si="37"/>
        <v/>
      </c>
      <c r="Q224" s="281" t="str">
        <f>IF(N224="","",VLOOKUP(B224,'F-1 Off-Site WaterC'' Baseline'!$C$10:$AF$257,23,FALSE))</f>
        <v/>
      </c>
      <c r="R224" s="275" t="str">
        <f>IF(N224="","",VLOOKUP(N224,'G-7 WaterC'' Data'!$B$2:$G$8,2,FALSE))</f>
        <v/>
      </c>
      <c r="S224" s="276" t="str">
        <f>IFERROR(VLOOKUP(R224,'G-7 WaterC'' Data'!$C$4:$D$8,2,FALSE),"")</f>
        <v/>
      </c>
      <c r="T224" s="101"/>
      <c r="U224" s="276" t="str">
        <f>IFERROR(INDEX('G-7 WaterC'' Data'!$H$4:$L$8,MATCH(N224,'G-7 WaterC'' Data'!$B$4:$B$8,0),MATCH(T224,'G-7 WaterC'' Data'!$H$3:$L$3,0)),"")</f>
        <v/>
      </c>
      <c r="V224" s="105"/>
      <c r="W224" s="295" t="str">
        <f>IF(V224="","",IF(VLOOKUP(V224,'G-7 WaterC'' Data'!$AK$4:$AM$6,2,FALSE)=0,"Spatial Data Missing ⚠",VLOOKUP(V224,'G-7 WaterC'' Data'!$AK$4:$AM$6,2,FALSE)))</f>
        <v/>
      </c>
      <c r="X224" s="299" t="str">
        <f>IF(V224="","",IF(VLOOKUP(V224,'G-7 WaterC'' Data'!$AK$4:$AM$6,3,FALSE)=0,"Spatial Data Missing ⚠",VLOOKUP(V224,'G-7 WaterC'' Data'!$AK$4:$AM$6,3,FALSE)))</f>
        <v/>
      </c>
      <c r="Y224" s="311" t="str">
        <f>IFERROR(IF(OR(LEFT(P224,5)="Error",LEFT(O224,5)="Error"),"Check Data ⚠",IF(F224&lt;S224,'G-7 WaterC'' Data'!$R$3,INDEX('G-7 WaterC'' Data'!$U$5:$Y$9,MATCH(G224,'G-7 WaterC'' Data'!$T$5:$T$9,0),MATCH(T224,'G-7 WaterC'' Data'!$U$4:$Y$4,0)))),"")</f>
        <v/>
      </c>
      <c r="Z224" s="138"/>
      <c r="AA224" s="138"/>
      <c r="AB224" s="308" t="str">
        <f t="shared" si="33"/>
        <v/>
      </c>
      <c r="AC224" s="296" t="str">
        <f t="shared" si="38"/>
        <v/>
      </c>
      <c r="AD224" s="334" t="str">
        <f>IFERROR(IF(AC224="Check Data ⚠","Check Data ⚠",VLOOKUP(AC224,'G-4 Temporal multipliers'!$A$4:$C$37,3,FALSE)),"")</f>
        <v/>
      </c>
      <c r="AE224" s="311" t="str">
        <f>IF(N224="","",VLOOKUP(N224,'G-7 WaterC'' Data'!$B$4:$G$8,5,FALSE))</f>
        <v/>
      </c>
      <c r="AF224" s="295" t="str">
        <f t="shared" si="34"/>
        <v/>
      </c>
      <c r="AG224" s="295" t="str">
        <f t="shared" si="39"/>
        <v/>
      </c>
      <c r="AH224" s="276" t="str">
        <f t="shared" si="35"/>
        <v/>
      </c>
      <c r="AI224" s="105"/>
      <c r="AJ224" s="276" t="str">
        <f>IF(AI224="","",(IF(AND(AI224="N/A - Culvert",N224&lt;&gt;"Culvert"),"Not possible ▲",IF(VLOOKUP(AI224,'G-7 WaterC'' Data'!$AA$4:$AB$7,2,FALSE)=0,"Spatial Data Missing ⚠",VLOOKUP(AI224,'G-7 WaterC'' Data'!$AA$4:$AB$7,2,FALSE)))))</f>
        <v/>
      </c>
      <c r="AK224" s="106"/>
      <c r="AL224" s="310" t="str">
        <f>IF(AK224="","",IF(AND(AK224="N/A - Culvert",N224&lt;&gt;"Culvert"),"Not possible ▲",IF(VLOOKUP(AK224,'G-7 WaterC'' Data'!$AD$4:$AE$14,2,FALSE)=0,"Spatial Data Missing ⚠",VLOOKUP(AK224,'G-7 WaterC'' Data'!$AD$4:$AE$14,2,FALSE))))</f>
        <v/>
      </c>
      <c r="AM224" s="275" t="str">
        <f>IF(B224="","",VLOOKUP($B224,'F-1 Off-Site WaterC'' Baseline'!$C$9:$Z$257,17,FALSE))</f>
        <v/>
      </c>
      <c r="AN224" s="276" t="str">
        <f>IF(AM224="","",IF(VLOOKUP(AM224,'G-7 WaterC'' Data'!$AO$4:$BO$7,2,FALSE)=0,"Spatial Data Missing ⚠",VLOOKUP(AM224,'G-7 WaterC'' Data'!$AO$4:$BO$7,2,FALSE)))</f>
        <v/>
      </c>
      <c r="AO224" s="317" t="str">
        <f t="shared" si="40"/>
        <v/>
      </c>
      <c r="AP224" s="317" t="str">
        <f t="shared" si="41"/>
        <v/>
      </c>
      <c r="AQ224" s="101"/>
      <c r="AR224" s="115"/>
      <c r="AS224" s="104"/>
      <c r="AT224" s="104"/>
      <c r="AW224" s="30" t="str">
        <f>IF(E224="","",VLOOKUP($B224,'F-1 Off-Site WaterC'' Baseline'!$C$9:$Z$257,12,FALSE))</f>
        <v/>
      </c>
      <c r="AX224" s="30" t="str">
        <f>IF(E224="","",VLOOKUP($B224,'F-1 Off-Site WaterC'' Baseline'!$C$9:$Z$257,14,FALSE))</f>
        <v/>
      </c>
      <c r="AY224" s="30" t="str">
        <f>IFERROR(INDEX('G-7 WaterC'' Data'!$AZ$3:$AZ$7,MATCH(N224,'G-7 WaterC'' Data'!$AY$3:$AY$7,0)),"")</f>
        <v/>
      </c>
      <c r="AZ224" s="30" t="str">
        <f>IF(B224="","",IF(ISNA(VLOOKUP($B224,'F-1 Off-Site WaterC'' Baseline'!$C$8:$AD$257,20,FALSE)),"",(VLOOKUP($B224,'F-1 Off-Site WaterC'' Baseline'!$C$8:$AD$257,20,FALSE))))</f>
        <v/>
      </c>
      <c r="BC224" s="30" t="str">
        <f>IF(B224="","",VLOOKUP($B224,'F-1 Off-Site WaterC'' Baseline'!$C$9:$AB$257,25,FALSE))</f>
        <v/>
      </c>
      <c r="BD224" s="30" t="str">
        <f t="shared" si="42"/>
        <v/>
      </c>
      <c r="BE224" s="30" t="str">
        <f>IF(B224="","",VLOOKUP($B224,'F-1 Off-Site WaterC'' Baseline'!$C$9:$AB$257,24,FALSE))</f>
        <v/>
      </c>
      <c r="BF224" s="30" t="str">
        <f>IF(B224="","",VLOOKUP($B224,'F-1 Off-Site WaterC'' Baseline'!$C$9:$AB$257,22,FALSE))</f>
        <v/>
      </c>
      <c r="BJ224" s="30" t="str">
        <f t="shared" si="43"/>
        <v>No</v>
      </c>
    </row>
    <row r="225" spans="2:62" ht="14">
      <c r="B225" s="305" t="str">
        <f>'F-1 Off-Site WaterC'' Baseline'!AS223</f>
        <v/>
      </c>
      <c r="C225" s="295" t="str">
        <f>IF(B225="","",VLOOKUP($B225,'F-1 Off-Site WaterC'' Baseline'!$C$9:$R$257,2,FALSE))</f>
        <v/>
      </c>
      <c r="D225" s="295" t="str">
        <f>IF(C225="","",VLOOKUP($B225,'F-1 Off-Site WaterC'' Baseline'!$C$9:$R$257,3,FALSE))</f>
        <v/>
      </c>
      <c r="E225" s="295" t="str">
        <f>IF(D225="","",VLOOKUP($B225,'F-1 Off-Site WaterC'' Baseline'!$C$9:$R$257,4,FALSE))</f>
        <v/>
      </c>
      <c r="F225" s="295" t="str">
        <f>IF(E225="","",VLOOKUP($B225,'F-1 Off-Site WaterC'' Baseline'!$C$9:$R$257,5,FALSE))</f>
        <v/>
      </c>
      <c r="G225" s="295" t="str">
        <f>IF(F225="","",VLOOKUP($B225,'F-1 Off-Site WaterC'' Baseline'!$C$9:$R$257,6,FALSE))</f>
        <v/>
      </c>
      <c r="H225" s="295" t="str">
        <f>IF(G225="","",VLOOKUP($B225,'F-1 Off-Site WaterC'' Baseline'!$C$9:$R$257,7,FALSE))</f>
        <v/>
      </c>
      <c r="I225" s="295" t="str">
        <f>IF(H225="","",VLOOKUP($B225,'F-1 Off-Site WaterC'' Baseline'!$C$9:$R$257,8,FALSE))</f>
        <v/>
      </c>
      <c r="J225" s="295" t="str">
        <f>IF(I225="","",VLOOKUP($B225,'F-1 Off-Site WaterC'' Baseline'!$C$9:$R$257,9,FALSE))</f>
        <v/>
      </c>
      <c r="K225" s="295" t="str">
        <f>IF(J225="","",VLOOKUP($B225,'F-1 Off-Site WaterC'' Baseline'!$C$9:$R$257,10,FALSE))</f>
        <v/>
      </c>
      <c r="L225" s="283" t="str">
        <f>IF(B225="","",VLOOKUP($B225,'F-1 Off-Site WaterC'' Baseline'!$C$9:$R$257,15,FALSE))</f>
        <v/>
      </c>
      <c r="M225" s="299" t="str">
        <f>IF(L225="","",VLOOKUP($B225,'F-1 Off-Site WaterC'' Baseline'!$C$9:$V$257,19,FALSE))</f>
        <v/>
      </c>
      <c r="N225" s="244"/>
      <c r="O225" s="275" t="str">
        <f t="shared" si="36"/>
        <v/>
      </c>
      <c r="P225" s="276" t="str">
        <f t="shared" si="37"/>
        <v/>
      </c>
      <c r="Q225" s="281" t="str">
        <f>IF(N225="","",VLOOKUP(B225,'F-1 Off-Site WaterC'' Baseline'!$C$10:$AF$257,23,FALSE))</f>
        <v/>
      </c>
      <c r="R225" s="275" t="str">
        <f>IF(N225="","",VLOOKUP(N225,'G-7 WaterC'' Data'!$B$2:$G$8,2,FALSE))</f>
        <v/>
      </c>
      <c r="S225" s="276" t="str">
        <f>IFERROR(VLOOKUP(R225,'G-7 WaterC'' Data'!$C$4:$D$8,2,FALSE),"")</f>
        <v/>
      </c>
      <c r="T225" s="101"/>
      <c r="U225" s="276" t="str">
        <f>IFERROR(INDEX('G-7 WaterC'' Data'!$H$4:$L$8,MATCH(N225,'G-7 WaterC'' Data'!$B$4:$B$8,0),MATCH(T225,'G-7 WaterC'' Data'!$H$3:$L$3,0)),"")</f>
        <v/>
      </c>
      <c r="V225" s="105"/>
      <c r="W225" s="295" t="str">
        <f>IF(V225="","",IF(VLOOKUP(V225,'G-7 WaterC'' Data'!$AK$4:$AM$6,2,FALSE)=0,"Spatial Data Missing ⚠",VLOOKUP(V225,'G-7 WaterC'' Data'!$AK$4:$AM$6,2,FALSE)))</f>
        <v/>
      </c>
      <c r="X225" s="299" t="str">
        <f>IF(V225="","",IF(VLOOKUP(V225,'G-7 WaterC'' Data'!$AK$4:$AM$6,3,FALSE)=0,"Spatial Data Missing ⚠",VLOOKUP(V225,'G-7 WaterC'' Data'!$AK$4:$AM$6,3,FALSE)))</f>
        <v/>
      </c>
      <c r="Y225" s="311" t="str">
        <f>IFERROR(IF(OR(LEFT(P225,5)="Error",LEFT(O225,5)="Error"),"Check Data ⚠",IF(F225&lt;S225,'G-7 WaterC'' Data'!$R$3,INDEX('G-7 WaterC'' Data'!$U$5:$Y$9,MATCH(G225,'G-7 WaterC'' Data'!$T$5:$T$9,0),MATCH(T225,'G-7 WaterC'' Data'!$U$4:$Y$4,0)))),"")</f>
        <v/>
      </c>
      <c r="Z225" s="138"/>
      <c r="AA225" s="138"/>
      <c r="AB225" s="308" t="str">
        <f t="shared" si="33"/>
        <v/>
      </c>
      <c r="AC225" s="296" t="str">
        <f t="shared" si="38"/>
        <v/>
      </c>
      <c r="AD225" s="334" t="str">
        <f>IFERROR(IF(AC225="Check Data ⚠","Check Data ⚠",VLOOKUP(AC225,'G-4 Temporal multipliers'!$A$4:$C$37,3,FALSE)),"")</f>
        <v/>
      </c>
      <c r="AE225" s="311" t="str">
        <f>IF(N225="","",VLOOKUP(N225,'G-7 WaterC'' Data'!$B$4:$G$8,5,FALSE))</f>
        <v/>
      </c>
      <c r="AF225" s="295" t="str">
        <f t="shared" si="34"/>
        <v/>
      </c>
      <c r="AG225" s="295" t="str">
        <f t="shared" si="39"/>
        <v/>
      </c>
      <c r="AH225" s="276" t="str">
        <f t="shared" si="35"/>
        <v/>
      </c>
      <c r="AI225" s="105"/>
      <c r="AJ225" s="276" t="str">
        <f>IF(AI225="","",(IF(AND(AI225="N/A - Culvert",N225&lt;&gt;"Culvert"),"Not possible ▲",IF(VLOOKUP(AI225,'G-7 WaterC'' Data'!$AA$4:$AB$7,2,FALSE)=0,"Spatial Data Missing ⚠",VLOOKUP(AI225,'G-7 WaterC'' Data'!$AA$4:$AB$7,2,FALSE)))))</f>
        <v/>
      </c>
      <c r="AK225" s="106"/>
      <c r="AL225" s="310" t="str">
        <f>IF(AK225="","",IF(AND(AK225="N/A - Culvert",N225&lt;&gt;"Culvert"),"Not possible ▲",IF(VLOOKUP(AK225,'G-7 WaterC'' Data'!$AD$4:$AE$14,2,FALSE)=0,"Spatial Data Missing ⚠",VLOOKUP(AK225,'G-7 WaterC'' Data'!$AD$4:$AE$14,2,FALSE))))</f>
        <v/>
      </c>
      <c r="AM225" s="275" t="str">
        <f>IF(B225="","",VLOOKUP($B225,'F-1 Off-Site WaterC'' Baseline'!$C$9:$Z$257,17,FALSE))</f>
        <v/>
      </c>
      <c r="AN225" s="276" t="str">
        <f>IF(AM225="","",IF(VLOOKUP(AM225,'G-7 WaterC'' Data'!$AO$4:$BO$7,2,FALSE)=0,"Spatial Data Missing ⚠",VLOOKUP(AM225,'G-7 WaterC'' Data'!$AO$4:$BO$7,2,FALSE)))</f>
        <v/>
      </c>
      <c r="AO225" s="317" t="str">
        <f t="shared" si="40"/>
        <v/>
      </c>
      <c r="AP225" s="317" t="str">
        <f t="shared" si="41"/>
        <v/>
      </c>
      <c r="AQ225" s="101"/>
      <c r="AR225" s="115"/>
      <c r="AS225" s="104"/>
      <c r="AT225" s="104"/>
      <c r="AW225" s="30" t="str">
        <f>IF(E225="","",VLOOKUP($B225,'F-1 Off-Site WaterC'' Baseline'!$C$9:$Z$257,12,FALSE))</f>
        <v/>
      </c>
      <c r="AX225" s="30" t="str">
        <f>IF(E225="","",VLOOKUP($B225,'F-1 Off-Site WaterC'' Baseline'!$C$9:$Z$257,14,FALSE))</f>
        <v/>
      </c>
      <c r="AY225" s="30" t="str">
        <f>IFERROR(INDEX('G-7 WaterC'' Data'!$AZ$3:$AZ$7,MATCH(N225,'G-7 WaterC'' Data'!$AY$3:$AY$7,0)),"")</f>
        <v/>
      </c>
      <c r="AZ225" s="30" t="str">
        <f>IF(B225="","",IF(ISNA(VLOOKUP($B225,'F-1 Off-Site WaterC'' Baseline'!$C$8:$AD$257,20,FALSE)),"",(VLOOKUP($B225,'F-1 Off-Site WaterC'' Baseline'!$C$8:$AD$257,20,FALSE))))</f>
        <v/>
      </c>
      <c r="BC225" s="30" t="str">
        <f>IF(B225="","",VLOOKUP($B225,'F-1 Off-Site WaterC'' Baseline'!$C$9:$AB$257,25,FALSE))</f>
        <v/>
      </c>
      <c r="BD225" s="30" t="str">
        <f t="shared" si="42"/>
        <v/>
      </c>
      <c r="BE225" s="30" t="str">
        <f>IF(B225="","",VLOOKUP($B225,'F-1 Off-Site WaterC'' Baseline'!$C$9:$AB$257,24,FALSE))</f>
        <v/>
      </c>
      <c r="BF225" s="30" t="str">
        <f>IF(B225="","",VLOOKUP($B225,'F-1 Off-Site WaterC'' Baseline'!$C$9:$AB$257,22,FALSE))</f>
        <v/>
      </c>
      <c r="BJ225" s="30" t="str">
        <f t="shared" si="43"/>
        <v>No</v>
      </c>
    </row>
    <row r="226" spans="2:62" ht="14">
      <c r="B226" s="305" t="str">
        <f>'F-1 Off-Site WaterC'' Baseline'!AS224</f>
        <v/>
      </c>
      <c r="C226" s="295" t="str">
        <f>IF(B226="","",VLOOKUP($B226,'F-1 Off-Site WaterC'' Baseline'!$C$9:$R$257,2,FALSE))</f>
        <v/>
      </c>
      <c r="D226" s="295" t="str">
        <f>IF(C226="","",VLOOKUP($B226,'F-1 Off-Site WaterC'' Baseline'!$C$9:$R$257,3,FALSE))</f>
        <v/>
      </c>
      <c r="E226" s="295" t="str">
        <f>IF(D226="","",VLOOKUP($B226,'F-1 Off-Site WaterC'' Baseline'!$C$9:$R$257,4,FALSE))</f>
        <v/>
      </c>
      <c r="F226" s="295" t="str">
        <f>IF(E226="","",VLOOKUP($B226,'F-1 Off-Site WaterC'' Baseline'!$C$9:$R$257,5,FALSE))</f>
        <v/>
      </c>
      <c r="G226" s="295" t="str">
        <f>IF(F226="","",VLOOKUP($B226,'F-1 Off-Site WaterC'' Baseline'!$C$9:$R$257,6,FALSE))</f>
        <v/>
      </c>
      <c r="H226" s="295" t="str">
        <f>IF(G226="","",VLOOKUP($B226,'F-1 Off-Site WaterC'' Baseline'!$C$9:$R$257,7,FALSE))</f>
        <v/>
      </c>
      <c r="I226" s="295" t="str">
        <f>IF(H226="","",VLOOKUP($B226,'F-1 Off-Site WaterC'' Baseline'!$C$9:$R$257,8,FALSE))</f>
        <v/>
      </c>
      <c r="J226" s="295" t="str">
        <f>IF(I226="","",VLOOKUP($B226,'F-1 Off-Site WaterC'' Baseline'!$C$9:$R$257,9,FALSE))</f>
        <v/>
      </c>
      <c r="K226" s="295" t="str">
        <f>IF(J226="","",VLOOKUP($B226,'F-1 Off-Site WaterC'' Baseline'!$C$9:$R$257,10,FALSE))</f>
        <v/>
      </c>
      <c r="L226" s="283" t="str">
        <f>IF(B226="","",VLOOKUP($B226,'F-1 Off-Site WaterC'' Baseline'!$C$9:$R$257,15,FALSE))</f>
        <v/>
      </c>
      <c r="M226" s="299" t="str">
        <f>IF(L226="","",VLOOKUP($B226,'F-1 Off-Site WaterC'' Baseline'!$C$9:$V$257,19,FALSE))</f>
        <v/>
      </c>
      <c r="N226" s="244"/>
      <c r="O226" s="275" t="str">
        <f t="shared" si="36"/>
        <v/>
      </c>
      <c r="P226" s="276" t="str">
        <f t="shared" si="37"/>
        <v/>
      </c>
      <c r="Q226" s="281" t="str">
        <f>IF(N226="","",VLOOKUP(B226,'F-1 Off-Site WaterC'' Baseline'!$C$10:$AF$257,23,FALSE))</f>
        <v/>
      </c>
      <c r="R226" s="275" t="str">
        <f>IF(N226="","",VLOOKUP(N226,'G-7 WaterC'' Data'!$B$2:$G$8,2,FALSE))</f>
        <v/>
      </c>
      <c r="S226" s="276" t="str">
        <f>IFERROR(VLOOKUP(R226,'G-7 WaterC'' Data'!$C$4:$D$8,2,FALSE),"")</f>
        <v/>
      </c>
      <c r="T226" s="101"/>
      <c r="U226" s="276" t="str">
        <f>IFERROR(INDEX('G-7 WaterC'' Data'!$H$4:$L$8,MATCH(N226,'G-7 WaterC'' Data'!$B$4:$B$8,0),MATCH(T226,'G-7 WaterC'' Data'!$H$3:$L$3,0)),"")</f>
        <v/>
      </c>
      <c r="V226" s="105"/>
      <c r="W226" s="295" t="str">
        <f>IF(V226="","",IF(VLOOKUP(V226,'G-7 WaterC'' Data'!$AK$4:$AM$6,2,FALSE)=0,"Spatial Data Missing ⚠",VLOOKUP(V226,'G-7 WaterC'' Data'!$AK$4:$AM$6,2,FALSE)))</f>
        <v/>
      </c>
      <c r="X226" s="299" t="str">
        <f>IF(V226="","",IF(VLOOKUP(V226,'G-7 WaterC'' Data'!$AK$4:$AM$6,3,FALSE)=0,"Spatial Data Missing ⚠",VLOOKUP(V226,'G-7 WaterC'' Data'!$AK$4:$AM$6,3,FALSE)))</f>
        <v/>
      </c>
      <c r="Y226" s="311" t="str">
        <f>IFERROR(IF(OR(LEFT(P226,5)="Error",LEFT(O226,5)="Error"),"Check Data ⚠",IF(F226&lt;S226,'G-7 WaterC'' Data'!$R$3,INDEX('G-7 WaterC'' Data'!$U$5:$Y$9,MATCH(G226,'G-7 WaterC'' Data'!$T$5:$T$9,0),MATCH(T226,'G-7 WaterC'' Data'!$U$4:$Y$4,0)))),"")</f>
        <v/>
      </c>
      <c r="Z226" s="138"/>
      <c r="AA226" s="138"/>
      <c r="AB226" s="308" t="str">
        <f t="shared" si="33"/>
        <v/>
      </c>
      <c r="AC226" s="296" t="str">
        <f t="shared" si="38"/>
        <v/>
      </c>
      <c r="AD226" s="334" t="str">
        <f>IFERROR(IF(AC226="Check Data ⚠","Check Data ⚠",VLOOKUP(AC226,'G-4 Temporal multipliers'!$A$4:$C$37,3,FALSE)),"")</f>
        <v/>
      </c>
      <c r="AE226" s="311" t="str">
        <f>IF(N226="","",VLOOKUP(N226,'G-7 WaterC'' Data'!$B$4:$G$8,5,FALSE))</f>
        <v/>
      </c>
      <c r="AF226" s="295" t="str">
        <f t="shared" si="34"/>
        <v/>
      </c>
      <c r="AG226" s="295" t="str">
        <f t="shared" si="39"/>
        <v/>
      </c>
      <c r="AH226" s="276" t="str">
        <f t="shared" si="35"/>
        <v/>
      </c>
      <c r="AI226" s="105"/>
      <c r="AJ226" s="276" t="str">
        <f>IF(AI226="","",(IF(AND(AI226="N/A - Culvert",N226&lt;&gt;"Culvert"),"Not possible ▲",IF(VLOOKUP(AI226,'G-7 WaterC'' Data'!$AA$4:$AB$7,2,FALSE)=0,"Spatial Data Missing ⚠",VLOOKUP(AI226,'G-7 WaterC'' Data'!$AA$4:$AB$7,2,FALSE)))))</f>
        <v/>
      </c>
      <c r="AK226" s="106"/>
      <c r="AL226" s="310" t="str">
        <f>IF(AK226="","",IF(AND(AK226="N/A - Culvert",N226&lt;&gt;"Culvert"),"Not possible ▲",IF(VLOOKUP(AK226,'G-7 WaterC'' Data'!$AD$4:$AE$14,2,FALSE)=0,"Spatial Data Missing ⚠",VLOOKUP(AK226,'G-7 WaterC'' Data'!$AD$4:$AE$14,2,FALSE))))</f>
        <v/>
      </c>
      <c r="AM226" s="275" t="str">
        <f>IF(B226="","",VLOOKUP($B226,'F-1 Off-Site WaterC'' Baseline'!$C$9:$Z$257,17,FALSE))</f>
        <v/>
      </c>
      <c r="AN226" s="276" t="str">
        <f>IF(AM226="","",IF(VLOOKUP(AM226,'G-7 WaterC'' Data'!$AO$4:$BO$7,2,FALSE)=0,"Spatial Data Missing ⚠",VLOOKUP(AM226,'G-7 WaterC'' Data'!$AO$4:$BO$7,2,FALSE)))</f>
        <v/>
      </c>
      <c r="AO226" s="317" t="str">
        <f t="shared" si="40"/>
        <v/>
      </c>
      <c r="AP226" s="317" t="str">
        <f t="shared" si="41"/>
        <v/>
      </c>
      <c r="AQ226" s="101"/>
      <c r="AR226" s="115"/>
      <c r="AS226" s="104"/>
      <c r="AT226" s="104"/>
      <c r="AW226" s="30" t="str">
        <f>IF(E226="","",VLOOKUP($B226,'F-1 Off-Site WaterC'' Baseline'!$C$9:$Z$257,12,FALSE))</f>
        <v/>
      </c>
      <c r="AX226" s="30" t="str">
        <f>IF(E226="","",VLOOKUP($B226,'F-1 Off-Site WaterC'' Baseline'!$C$9:$Z$257,14,FALSE))</f>
        <v/>
      </c>
      <c r="AY226" s="30" t="str">
        <f>IFERROR(INDEX('G-7 WaterC'' Data'!$AZ$3:$AZ$7,MATCH(N226,'G-7 WaterC'' Data'!$AY$3:$AY$7,0)),"")</f>
        <v/>
      </c>
      <c r="AZ226" s="30" t="str">
        <f>IF(B226="","",IF(ISNA(VLOOKUP($B226,'F-1 Off-Site WaterC'' Baseline'!$C$8:$AD$257,20,FALSE)),"",(VLOOKUP($B226,'F-1 Off-Site WaterC'' Baseline'!$C$8:$AD$257,20,FALSE))))</f>
        <v/>
      </c>
      <c r="BC226" s="30" t="str">
        <f>IF(B226="","",VLOOKUP($B226,'F-1 Off-Site WaterC'' Baseline'!$C$9:$AB$257,25,FALSE))</f>
        <v/>
      </c>
      <c r="BD226" s="30" t="str">
        <f t="shared" si="42"/>
        <v/>
      </c>
      <c r="BE226" s="30" t="str">
        <f>IF(B226="","",VLOOKUP($B226,'F-1 Off-Site WaterC'' Baseline'!$C$9:$AB$257,24,FALSE))</f>
        <v/>
      </c>
      <c r="BF226" s="30" t="str">
        <f>IF(B226="","",VLOOKUP($B226,'F-1 Off-Site WaterC'' Baseline'!$C$9:$AB$257,22,FALSE))</f>
        <v/>
      </c>
      <c r="BJ226" s="30" t="str">
        <f t="shared" si="43"/>
        <v>No</v>
      </c>
    </row>
    <row r="227" spans="2:62" ht="14">
      <c r="B227" s="305" t="str">
        <f>'F-1 Off-Site WaterC'' Baseline'!AS225</f>
        <v/>
      </c>
      <c r="C227" s="295" t="str">
        <f>IF(B227="","",VLOOKUP($B227,'F-1 Off-Site WaterC'' Baseline'!$C$9:$R$257,2,FALSE))</f>
        <v/>
      </c>
      <c r="D227" s="295" t="str">
        <f>IF(C227="","",VLOOKUP($B227,'F-1 Off-Site WaterC'' Baseline'!$C$9:$R$257,3,FALSE))</f>
        <v/>
      </c>
      <c r="E227" s="295" t="str">
        <f>IF(D227="","",VLOOKUP($B227,'F-1 Off-Site WaterC'' Baseline'!$C$9:$R$257,4,FALSE))</f>
        <v/>
      </c>
      <c r="F227" s="295" t="str">
        <f>IF(E227="","",VLOOKUP($B227,'F-1 Off-Site WaterC'' Baseline'!$C$9:$R$257,5,FALSE))</f>
        <v/>
      </c>
      <c r="G227" s="295" t="str">
        <f>IF(F227="","",VLOOKUP($B227,'F-1 Off-Site WaterC'' Baseline'!$C$9:$R$257,6,FALSE))</f>
        <v/>
      </c>
      <c r="H227" s="295" t="str">
        <f>IF(G227="","",VLOOKUP($B227,'F-1 Off-Site WaterC'' Baseline'!$C$9:$R$257,7,FALSE))</f>
        <v/>
      </c>
      <c r="I227" s="295" t="str">
        <f>IF(H227="","",VLOOKUP($B227,'F-1 Off-Site WaterC'' Baseline'!$C$9:$R$257,8,FALSE))</f>
        <v/>
      </c>
      <c r="J227" s="295" t="str">
        <f>IF(I227="","",VLOOKUP($B227,'F-1 Off-Site WaterC'' Baseline'!$C$9:$R$257,9,FALSE))</f>
        <v/>
      </c>
      <c r="K227" s="295" t="str">
        <f>IF(J227="","",VLOOKUP($B227,'F-1 Off-Site WaterC'' Baseline'!$C$9:$R$257,10,FALSE))</f>
        <v/>
      </c>
      <c r="L227" s="283" t="str">
        <f>IF(B227="","",VLOOKUP($B227,'F-1 Off-Site WaterC'' Baseline'!$C$9:$R$257,15,FALSE))</f>
        <v/>
      </c>
      <c r="M227" s="299" t="str">
        <f>IF(L227="","",VLOOKUP($B227,'F-1 Off-Site WaterC'' Baseline'!$C$9:$V$257,19,FALSE))</f>
        <v/>
      </c>
      <c r="N227" s="244"/>
      <c r="O227" s="275" t="str">
        <f t="shared" si="36"/>
        <v/>
      </c>
      <c r="P227" s="276" t="str">
        <f t="shared" si="37"/>
        <v/>
      </c>
      <c r="Q227" s="281" t="str">
        <f>IF(N227="","",VLOOKUP(B227,'F-1 Off-Site WaterC'' Baseline'!$C$10:$AF$257,23,FALSE))</f>
        <v/>
      </c>
      <c r="R227" s="275" t="str">
        <f>IF(N227="","",VLOOKUP(N227,'G-7 WaterC'' Data'!$B$2:$G$8,2,FALSE))</f>
        <v/>
      </c>
      <c r="S227" s="276" t="str">
        <f>IFERROR(VLOOKUP(R227,'G-7 WaterC'' Data'!$C$4:$D$8,2,FALSE),"")</f>
        <v/>
      </c>
      <c r="T227" s="101"/>
      <c r="U227" s="276" t="str">
        <f>IFERROR(INDEX('G-7 WaterC'' Data'!$H$4:$L$8,MATCH(N227,'G-7 WaterC'' Data'!$B$4:$B$8,0),MATCH(T227,'G-7 WaterC'' Data'!$H$3:$L$3,0)),"")</f>
        <v/>
      </c>
      <c r="V227" s="105"/>
      <c r="W227" s="295" t="str">
        <f>IF(V227="","",IF(VLOOKUP(V227,'G-7 WaterC'' Data'!$AK$4:$AM$6,2,FALSE)=0,"Spatial Data Missing ⚠",VLOOKUP(V227,'G-7 WaterC'' Data'!$AK$4:$AM$6,2,FALSE)))</f>
        <v/>
      </c>
      <c r="X227" s="299" t="str">
        <f>IF(V227="","",IF(VLOOKUP(V227,'G-7 WaterC'' Data'!$AK$4:$AM$6,3,FALSE)=0,"Spatial Data Missing ⚠",VLOOKUP(V227,'G-7 WaterC'' Data'!$AK$4:$AM$6,3,FALSE)))</f>
        <v/>
      </c>
      <c r="Y227" s="311" t="str">
        <f>IFERROR(IF(OR(LEFT(P227,5)="Error",LEFT(O227,5)="Error"),"Check Data ⚠",IF(F227&lt;S227,'G-7 WaterC'' Data'!$R$3,INDEX('G-7 WaterC'' Data'!$U$5:$Y$9,MATCH(G227,'G-7 WaterC'' Data'!$T$5:$T$9,0),MATCH(T227,'G-7 WaterC'' Data'!$U$4:$Y$4,0)))),"")</f>
        <v/>
      </c>
      <c r="Z227" s="138"/>
      <c r="AA227" s="138"/>
      <c r="AB227" s="308" t="str">
        <f t="shared" si="33"/>
        <v/>
      </c>
      <c r="AC227" s="296" t="str">
        <f t="shared" si="38"/>
        <v/>
      </c>
      <c r="AD227" s="334" t="str">
        <f>IFERROR(IF(AC227="Check Data ⚠","Check Data ⚠",VLOOKUP(AC227,'G-4 Temporal multipliers'!$A$4:$C$37,3,FALSE)),"")</f>
        <v/>
      </c>
      <c r="AE227" s="311" t="str">
        <f>IF(N227="","",VLOOKUP(N227,'G-7 WaterC'' Data'!$B$4:$G$8,5,FALSE))</f>
        <v/>
      </c>
      <c r="AF227" s="295" t="str">
        <f t="shared" si="34"/>
        <v/>
      </c>
      <c r="AG227" s="295" t="str">
        <f t="shared" si="39"/>
        <v/>
      </c>
      <c r="AH227" s="276" t="str">
        <f t="shared" si="35"/>
        <v/>
      </c>
      <c r="AI227" s="105"/>
      <c r="AJ227" s="276" t="str">
        <f>IF(AI227="","",(IF(AND(AI227="N/A - Culvert",N227&lt;&gt;"Culvert"),"Not possible ▲",IF(VLOOKUP(AI227,'G-7 WaterC'' Data'!$AA$4:$AB$7,2,FALSE)=0,"Spatial Data Missing ⚠",VLOOKUP(AI227,'G-7 WaterC'' Data'!$AA$4:$AB$7,2,FALSE)))))</f>
        <v/>
      </c>
      <c r="AK227" s="106"/>
      <c r="AL227" s="310" t="str">
        <f>IF(AK227="","",IF(AND(AK227="N/A - Culvert",N227&lt;&gt;"Culvert"),"Not possible ▲",IF(VLOOKUP(AK227,'G-7 WaterC'' Data'!$AD$4:$AE$14,2,FALSE)=0,"Spatial Data Missing ⚠",VLOOKUP(AK227,'G-7 WaterC'' Data'!$AD$4:$AE$14,2,FALSE))))</f>
        <v/>
      </c>
      <c r="AM227" s="275" t="str">
        <f>IF(B227="","",VLOOKUP($B227,'F-1 Off-Site WaterC'' Baseline'!$C$9:$Z$257,17,FALSE))</f>
        <v/>
      </c>
      <c r="AN227" s="276" t="str">
        <f>IF(AM227="","",IF(VLOOKUP(AM227,'G-7 WaterC'' Data'!$AO$4:$BO$7,2,FALSE)=0,"Spatial Data Missing ⚠",VLOOKUP(AM227,'G-7 WaterC'' Data'!$AO$4:$BO$7,2,FALSE)))</f>
        <v/>
      </c>
      <c r="AO227" s="317" t="str">
        <f t="shared" si="40"/>
        <v/>
      </c>
      <c r="AP227" s="317" t="str">
        <f t="shared" si="41"/>
        <v/>
      </c>
      <c r="AQ227" s="101"/>
      <c r="AR227" s="115"/>
      <c r="AS227" s="104"/>
      <c r="AT227" s="104"/>
      <c r="AW227" s="30" t="str">
        <f>IF(E227="","",VLOOKUP($B227,'F-1 Off-Site WaterC'' Baseline'!$C$9:$Z$257,12,FALSE))</f>
        <v/>
      </c>
      <c r="AX227" s="30" t="str">
        <f>IF(E227="","",VLOOKUP($B227,'F-1 Off-Site WaterC'' Baseline'!$C$9:$Z$257,14,FALSE))</f>
        <v/>
      </c>
      <c r="AY227" s="30" t="str">
        <f>IFERROR(INDEX('G-7 WaterC'' Data'!$AZ$3:$AZ$7,MATCH(N227,'G-7 WaterC'' Data'!$AY$3:$AY$7,0)),"")</f>
        <v/>
      </c>
      <c r="AZ227" s="30" t="str">
        <f>IF(B227="","",IF(ISNA(VLOOKUP($B227,'F-1 Off-Site WaterC'' Baseline'!$C$8:$AD$257,20,FALSE)),"",(VLOOKUP($B227,'F-1 Off-Site WaterC'' Baseline'!$C$8:$AD$257,20,FALSE))))</f>
        <v/>
      </c>
      <c r="BC227" s="30" t="str">
        <f>IF(B227="","",VLOOKUP($B227,'F-1 Off-Site WaterC'' Baseline'!$C$9:$AB$257,25,FALSE))</f>
        <v/>
      </c>
      <c r="BD227" s="30" t="str">
        <f t="shared" si="42"/>
        <v/>
      </c>
      <c r="BE227" s="30" t="str">
        <f>IF(B227="","",VLOOKUP($B227,'F-1 Off-Site WaterC'' Baseline'!$C$9:$AB$257,24,FALSE))</f>
        <v/>
      </c>
      <c r="BF227" s="30" t="str">
        <f>IF(B227="","",VLOOKUP($B227,'F-1 Off-Site WaterC'' Baseline'!$C$9:$AB$257,22,FALSE))</f>
        <v/>
      </c>
      <c r="BJ227" s="30" t="str">
        <f t="shared" si="43"/>
        <v>No</v>
      </c>
    </row>
    <row r="228" spans="2:62" ht="14">
      <c r="B228" s="305" t="str">
        <f>'F-1 Off-Site WaterC'' Baseline'!AS226</f>
        <v/>
      </c>
      <c r="C228" s="295" t="str">
        <f>IF(B228="","",VLOOKUP($B228,'F-1 Off-Site WaterC'' Baseline'!$C$9:$R$257,2,FALSE))</f>
        <v/>
      </c>
      <c r="D228" s="295" t="str">
        <f>IF(C228="","",VLOOKUP($B228,'F-1 Off-Site WaterC'' Baseline'!$C$9:$R$257,3,FALSE))</f>
        <v/>
      </c>
      <c r="E228" s="295" t="str">
        <f>IF(D228="","",VLOOKUP($B228,'F-1 Off-Site WaterC'' Baseline'!$C$9:$R$257,4,FALSE))</f>
        <v/>
      </c>
      <c r="F228" s="295" t="str">
        <f>IF(E228="","",VLOOKUP($B228,'F-1 Off-Site WaterC'' Baseline'!$C$9:$R$257,5,FALSE))</f>
        <v/>
      </c>
      <c r="G228" s="295" t="str">
        <f>IF(F228="","",VLOOKUP($B228,'F-1 Off-Site WaterC'' Baseline'!$C$9:$R$257,6,FALSE))</f>
        <v/>
      </c>
      <c r="H228" s="295" t="str">
        <f>IF(G228="","",VLOOKUP($B228,'F-1 Off-Site WaterC'' Baseline'!$C$9:$R$257,7,FALSE))</f>
        <v/>
      </c>
      <c r="I228" s="295" t="str">
        <f>IF(H228="","",VLOOKUP($B228,'F-1 Off-Site WaterC'' Baseline'!$C$9:$R$257,8,FALSE))</f>
        <v/>
      </c>
      <c r="J228" s="295" t="str">
        <f>IF(I228="","",VLOOKUP($B228,'F-1 Off-Site WaterC'' Baseline'!$C$9:$R$257,9,FALSE))</f>
        <v/>
      </c>
      <c r="K228" s="295" t="str">
        <f>IF(J228="","",VLOOKUP($B228,'F-1 Off-Site WaterC'' Baseline'!$C$9:$R$257,10,FALSE))</f>
        <v/>
      </c>
      <c r="L228" s="283" t="str">
        <f>IF(B228="","",VLOOKUP($B228,'F-1 Off-Site WaterC'' Baseline'!$C$9:$R$257,15,FALSE))</f>
        <v/>
      </c>
      <c r="M228" s="299" t="str">
        <f>IF(L228="","",VLOOKUP($B228,'F-1 Off-Site WaterC'' Baseline'!$C$9:$V$257,19,FALSE))</f>
        <v/>
      </c>
      <c r="N228" s="244"/>
      <c r="O228" s="275" t="str">
        <f t="shared" si="36"/>
        <v/>
      </c>
      <c r="P228" s="276" t="str">
        <f t="shared" si="37"/>
        <v/>
      </c>
      <c r="Q228" s="281" t="str">
        <f>IF(N228="","",VLOOKUP(B228,'F-1 Off-Site WaterC'' Baseline'!$C$10:$AF$257,23,FALSE))</f>
        <v/>
      </c>
      <c r="R228" s="275" t="str">
        <f>IF(N228="","",VLOOKUP(N228,'G-7 WaterC'' Data'!$B$2:$G$8,2,FALSE))</f>
        <v/>
      </c>
      <c r="S228" s="276" t="str">
        <f>IFERROR(VLOOKUP(R228,'G-7 WaterC'' Data'!$C$4:$D$8,2,FALSE),"")</f>
        <v/>
      </c>
      <c r="T228" s="101"/>
      <c r="U228" s="276" t="str">
        <f>IFERROR(INDEX('G-7 WaterC'' Data'!$H$4:$L$8,MATCH(N228,'G-7 WaterC'' Data'!$B$4:$B$8,0),MATCH(T228,'G-7 WaterC'' Data'!$H$3:$L$3,0)),"")</f>
        <v/>
      </c>
      <c r="V228" s="105"/>
      <c r="W228" s="295" t="str">
        <f>IF(V228="","",IF(VLOOKUP(V228,'G-7 WaterC'' Data'!$AK$4:$AM$6,2,FALSE)=0,"Spatial Data Missing ⚠",VLOOKUP(V228,'G-7 WaterC'' Data'!$AK$4:$AM$6,2,FALSE)))</f>
        <v/>
      </c>
      <c r="X228" s="299" t="str">
        <f>IF(V228="","",IF(VLOOKUP(V228,'G-7 WaterC'' Data'!$AK$4:$AM$6,3,FALSE)=0,"Spatial Data Missing ⚠",VLOOKUP(V228,'G-7 WaterC'' Data'!$AK$4:$AM$6,3,FALSE)))</f>
        <v/>
      </c>
      <c r="Y228" s="311" t="str">
        <f>IFERROR(IF(OR(LEFT(P228,5)="Error",LEFT(O228,5)="Error"),"Check Data ⚠",IF(F228&lt;S228,'G-7 WaterC'' Data'!$R$3,INDEX('G-7 WaterC'' Data'!$U$5:$Y$9,MATCH(G228,'G-7 WaterC'' Data'!$T$5:$T$9,0),MATCH(T228,'G-7 WaterC'' Data'!$U$4:$Y$4,0)))),"")</f>
        <v/>
      </c>
      <c r="Z228" s="138"/>
      <c r="AA228" s="138"/>
      <c r="AB228" s="308" t="str">
        <f t="shared" si="33"/>
        <v/>
      </c>
      <c r="AC228" s="296" t="str">
        <f t="shared" si="38"/>
        <v/>
      </c>
      <c r="AD228" s="334" t="str">
        <f>IFERROR(IF(AC228="Check Data ⚠","Check Data ⚠",VLOOKUP(AC228,'G-4 Temporal multipliers'!$A$4:$C$37,3,FALSE)),"")</f>
        <v/>
      </c>
      <c r="AE228" s="311" t="str">
        <f>IF(N228="","",VLOOKUP(N228,'G-7 WaterC'' Data'!$B$4:$G$8,5,FALSE))</f>
        <v/>
      </c>
      <c r="AF228" s="295" t="str">
        <f t="shared" si="34"/>
        <v/>
      </c>
      <c r="AG228" s="295" t="str">
        <f t="shared" si="39"/>
        <v/>
      </c>
      <c r="AH228" s="276" t="str">
        <f t="shared" si="35"/>
        <v/>
      </c>
      <c r="AI228" s="105"/>
      <c r="AJ228" s="276" t="str">
        <f>IF(AI228="","",(IF(AND(AI228="N/A - Culvert",N228&lt;&gt;"Culvert"),"Not possible ▲",IF(VLOOKUP(AI228,'G-7 WaterC'' Data'!$AA$4:$AB$7,2,FALSE)=0,"Spatial Data Missing ⚠",VLOOKUP(AI228,'G-7 WaterC'' Data'!$AA$4:$AB$7,2,FALSE)))))</f>
        <v/>
      </c>
      <c r="AK228" s="106"/>
      <c r="AL228" s="310" t="str">
        <f>IF(AK228="","",IF(AND(AK228="N/A - Culvert",N228&lt;&gt;"Culvert"),"Not possible ▲",IF(VLOOKUP(AK228,'G-7 WaterC'' Data'!$AD$4:$AE$14,2,FALSE)=0,"Spatial Data Missing ⚠",VLOOKUP(AK228,'G-7 WaterC'' Data'!$AD$4:$AE$14,2,FALSE))))</f>
        <v/>
      </c>
      <c r="AM228" s="275" t="str">
        <f>IF(B228="","",VLOOKUP($B228,'F-1 Off-Site WaterC'' Baseline'!$C$9:$Z$257,17,FALSE))</f>
        <v/>
      </c>
      <c r="AN228" s="276" t="str">
        <f>IF(AM228="","",IF(VLOOKUP(AM228,'G-7 WaterC'' Data'!$AO$4:$BO$7,2,FALSE)=0,"Spatial Data Missing ⚠",VLOOKUP(AM228,'G-7 WaterC'' Data'!$AO$4:$BO$7,2,FALSE)))</f>
        <v/>
      </c>
      <c r="AO228" s="317" t="str">
        <f t="shared" si="40"/>
        <v/>
      </c>
      <c r="AP228" s="317" t="str">
        <f t="shared" si="41"/>
        <v/>
      </c>
      <c r="AQ228" s="101"/>
      <c r="AR228" s="115"/>
      <c r="AS228" s="104"/>
      <c r="AT228" s="104"/>
      <c r="AW228" s="30" t="str">
        <f>IF(E228="","",VLOOKUP($B228,'F-1 Off-Site WaterC'' Baseline'!$C$9:$Z$257,12,FALSE))</f>
        <v/>
      </c>
      <c r="AX228" s="30" t="str">
        <f>IF(E228="","",VLOOKUP($B228,'F-1 Off-Site WaterC'' Baseline'!$C$9:$Z$257,14,FALSE))</f>
        <v/>
      </c>
      <c r="AY228" s="30" t="str">
        <f>IFERROR(INDEX('G-7 WaterC'' Data'!$AZ$3:$AZ$7,MATCH(N228,'G-7 WaterC'' Data'!$AY$3:$AY$7,0)),"")</f>
        <v/>
      </c>
      <c r="AZ228" s="30" t="str">
        <f>IF(B228="","",IF(ISNA(VLOOKUP($B228,'F-1 Off-Site WaterC'' Baseline'!$C$8:$AD$257,20,FALSE)),"",(VLOOKUP($B228,'F-1 Off-Site WaterC'' Baseline'!$C$8:$AD$257,20,FALSE))))</f>
        <v/>
      </c>
      <c r="BC228" s="30" t="str">
        <f>IF(B228="","",VLOOKUP($B228,'F-1 Off-Site WaterC'' Baseline'!$C$9:$AB$257,25,FALSE))</f>
        <v/>
      </c>
      <c r="BD228" s="30" t="str">
        <f t="shared" si="42"/>
        <v/>
      </c>
      <c r="BE228" s="30" t="str">
        <f>IF(B228="","",VLOOKUP($B228,'F-1 Off-Site WaterC'' Baseline'!$C$9:$AB$257,24,FALSE))</f>
        <v/>
      </c>
      <c r="BF228" s="30" t="str">
        <f>IF(B228="","",VLOOKUP($B228,'F-1 Off-Site WaterC'' Baseline'!$C$9:$AB$257,22,FALSE))</f>
        <v/>
      </c>
      <c r="BJ228" s="30" t="str">
        <f t="shared" si="43"/>
        <v>No</v>
      </c>
    </row>
    <row r="229" spans="2:62" ht="14">
      <c r="B229" s="305" t="str">
        <f>'F-1 Off-Site WaterC'' Baseline'!AS227</f>
        <v/>
      </c>
      <c r="C229" s="295" t="str">
        <f>IF(B229="","",VLOOKUP($B229,'F-1 Off-Site WaterC'' Baseline'!$C$9:$R$257,2,FALSE))</f>
        <v/>
      </c>
      <c r="D229" s="295" t="str">
        <f>IF(C229="","",VLOOKUP($B229,'F-1 Off-Site WaterC'' Baseline'!$C$9:$R$257,3,FALSE))</f>
        <v/>
      </c>
      <c r="E229" s="295" t="str">
        <f>IF(D229="","",VLOOKUP($B229,'F-1 Off-Site WaterC'' Baseline'!$C$9:$R$257,4,FALSE))</f>
        <v/>
      </c>
      <c r="F229" s="295" t="str">
        <f>IF(E229="","",VLOOKUP($B229,'F-1 Off-Site WaterC'' Baseline'!$C$9:$R$257,5,FALSE))</f>
        <v/>
      </c>
      <c r="G229" s="295" t="str">
        <f>IF(F229="","",VLOOKUP($B229,'F-1 Off-Site WaterC'' Baseline'!$C$9:$R$257,6,FALSE))</f>
        <v/>
      </c>
      <c r="H229" s="295" t="str">
        <f>IF(G229="","",VLOOKUP($B229,'F-1 Off-Site WaterC'' Baseline'!$C$9:$R$257,7,FALSE))</f>
        <v/>
      </c>
      <c r="I229" s="295" t="str">
        <f>IF(H229="","",VLOOKUP($B229,'F-1 Off-Site WaterC'' Baseline'!$C$9:$R$257,8,FALSE))</f>
        <v/>
      </c>
      <c r="J229" s="295" t="str">
        <f>IF(I229="","",VLOOKUP($B229,'F-1 Off-Site WaterC'' Baseline'!$C$9:$R$257,9,FALSE))</f>
        <v/>
      </c>
      <c r="K229" s="295" t="str">
        <f>IF(J229="","",VLOOKUP($B229,'F-1 Off-Site WaterC'' Baseline'!$C$9:$R$257,10,FALSE))</f>
        <v/>
      </c>
      <c r="L229" s="283" t="str">
        <f>IF(B229="","",VLOOKUP($B229,'F-1 Off-Site WaterC'' Baseline'!$C$9:$R$257,15,FALSE))</f>
        <v/>
      </c>
      <c r="M229" s="299" t="str">
        <f>IF(L229="","",VLOOKUP($B229,'F-1 Off-Site WaterC'' Baseline'!$C$9:$V$257,19,FALSE))</f>
        <v/>
      </c>
      <c r="N229" s="244"/>
      <c r="O229" s="275" t="str">
        <f t="shared" si="36"/>
        <v/>
      </c>
      <c r="P229" s="276" t="str">
        <f t="shared" si="37"/>
        <v/>
      </c>
      <c r="Q229" s="281" t="str">
        <f>IF(N229="","",VLOOKUP(B229,'F-1 Off-Site WaterC'' Baseline'!$C$10:$AF$257,23,FALSE))</f>
        <v/>
      </c>
      <c r="R229" s="275" t="str">
        <f>IF(N229="","",VLOOKUP(N229,'G-7 WaterC'' Data'!$B$2:$G$8,2,FALSE))</f>
        <v/>
      </c>
      <c r="S229" s="276" t="str">
        <f>IFERROR(VLOOKUP(R229,'G-7 WaterC'' Data'!$C$4:$D$8,2,FALSE),"")</f>
        <v/>
      </c>
      <c r="T229" s="101"/>
      <c r="U229" s="276" t="str">
        <f>IFERROR(INDEX('G-7 WaterC'' Data'!$H$4:$L$8,MATCH(N229,'G-7 WaterC'' Data'!$B$4:$B$8,0),MATCH(T229,'G-7 WaterC'' Data'!$H$3:$L$3,0)),"")</f>
        <v/>
      </c>
      <c r="V229" s="105"/>
      <c r="W229" s="295" t="str">
        <f>IF(V229="","",IF(VLOOKUP(V229,'G-7 WaterC'' Data'!$AK$4:$AM$6,2,FALSE)=0,"Spatial Data Missing ⚠",VLOOKUP(V229,'G-7 WaterC'' Data'!$AK$4:$AM$6,2,FALSE)))</f>
        <v/>
      </c>
      <c r="X229" s="299" t="str">
        <f>IF(V229="","",IF(VLOOKUP(V229,'G-7 WaterC'' Data'!$AK$4:$AM$6,3,FALSE)=0,"Spatial Data Missing ⚠",VLOOKUP(V229,'G-7 WaterC'' Data'!$AK$4:$AM$6,3,FALSE)))</f>
        <v/>
      </c>
      <c r="Y229" s="311" t="str">
        <f>IFERROR(IF(OR(LEFT(P229,5)="Error",LEFT(O229,5)="Error"),"Check Data ⚠",IF(F229&lt;S229,'G-7 WaterC'' Data'!$R$3,INDEX('G-7 WaterC'' Data'!$U$5:$Y$9,MATCH(G229,'G-7 WaterC'' Data'!$T$5:$T$9,0),MATCH(T229,'G-7 WaterC'' Data'!$U$4:$Y$4,0)))),"")</f>
        <v/>
      </c>
      <c r="Z229" s="138"/>
      <c r="AA229" s="138"/>
      <c r="AB229" s="308" t="str">
        <f t="shared" si="33"/>
        <v/>
      </c>
      <c r="AC229" s="296" t="str">
        <f t="shared" si="38"/>
        <v/>
      </c>
      <c r="AD229" s="334" t="str">
        <f>IFERROR(IF(AC229="Check Data ⚠","Check Data ⚠",VLOOKUP(AC229,'G-4 Temporal multipliers'!$A$4:$C$37,3,FALSE)),"")</f>
        <v/>
      </c>
      <c r="AE229" s="311" t="str">
        <f>IF(N229="","",VLOOKUP(N229,'G-7 WaterC'' Data'!$B$4:$G$8,5,FALSE))</f>
        <v/>
      </c>
      <c r="AF229" s="295" t="str">
        <f t="shared" si="34"/>
        <v/>
      </c>
      <c r="AG229" s="295" t="str">
        <f t="shared" si="39"/>
        <v/>
      </c>
      <c r="AH229" s="276" t="str">
        <f t="shared" si="35"/>
        <v/>
      </c>
      <c r="AI229" s="105"/>
      <c r="AJ229" s="276" t="str">
        <f>IF(AI229="","",(IF(AND(AI229="N/A - Culvert",N229&lt;&gt;"Culvert"),"Not possible ▲",IF(VLOOKUP(AI229,'G-7 WaterC'' Data'!$AA$4:$AB$7,2,FALSE)=0,"Spatial Data Missing ⚠",VLOOKUP(AI229,'G-7 WaterC'' Data'!$AA$4:$AB$7,2,FALSE)))))</f>
        <v/>
      </c>
      <c r="AK229" s="106"/>
      <c r="AL229" s="310" t="str">
        <f>IF(AK229="","",IF(AND(AK229="N/A - Culvert",N229&lt;&gt;"Culvert"),"Not possible ▲",IF(VLOOKUP(AK229,'G-7 WaterC'' Data'!$AD$4:$AE$14,2,FALSE)=0,"Spatial Data Missing ⚠",VLOOKUP(AK229,'G-7 WaterC'' Data'!$AD$4:$AE$14,2,FALSE))))</f>
        <v/>
      </c>
      <c r="AM229" s="275" t="str">
        <f>IF(B229="","",VLOOKUP($B229,'F-1 Off-Site WaterC'' Baseline'!$C$9:$Z$257,17,FALSE))</f>
        <v/>
      </c>
      <c r="AN229" s="276" t="str">
        <f>IF(AM229="","",IF(VLOOKUP(AM229,'G-7 WaterC'' Data'!$AO$4:$BO$7,2,FALSE)=0,"Spatial Data Missing ⚠",VLOOKUP(AM229,'G-7 WaterC'' Data'!$AO$4:$BO$7,2,FALSE)))</f>
        <v/>
      </c>
      <c r="AO229" s="317" t="str">
        <f t="shared" si="40"/>
        <v/>
      </c>
      <c r="AP229" s="317" t="str">
        <f t="shared" si="41"/>
        <v/>
      </c>
      <c r="AQ229" s="101"/>
      <c r="AR229" s="115"/>
      <c r="AS229" s="104"/>
      <c r="AT229" s="104"/>
      <c r="AW229" s="30" t="str">
        <f>IF(E229="","",VLOOKUP($B229,'F-1 Off-Site WaterC'' Baseline'!$C$9:$Z$257,12,FALSE))</f>
        <v/>
      </c>
      <c r="AX229" s="30" t="str">
        <f>IF(E229="","",VLOOKUP($B229,'F-1 Off-Site WaterC'' Baseline'!$C$9:$Z$257,14,FALSE))</f>
        <v/>
      </c>
      <c r="AY229" s="30" t="str">
        <f>IFERROR(INDEX('G-7 WaterC'' Data'!$AZ$3:$AZ$7,MATCH(N229,'G-7 WaterC'' Data'!$AY$3:$AY$7,0)),"")</f>
        <v/>
      </c>
      <c r="AZ229" s="30" t="str">
        <f>IF(B229="","",IF(ISNA(VLOOKUP($B229,'F-1 Off-Site WaterC'' Baseline'!$C$8:$AD$257,20,FALSE)),"",(VLOOKUP($B229,'F-1 Off-Site WaterC'' Baseline'!$C$8:$AD$257,20,FALSE))))</f>
        <v/>
      </c>
      <c r="BC229" s="30" t="str">
        <f>IF(B229="","",VLOOKUP($B229,'F-1 Off-Site WaterC'' Baseline'!$C$9:$AB$257,25,FALSE))</f>
        <v/>
      </c>
      <c r="BD229" s="30" t="str">
        <f t="shared" si="42"/>
        <v/>
      </c>
      <c r="BE229" s="30" t="str">
        <f>IF(B229="","",VLOOKUP($B229,'F-1 Off-Site WaterC'' Baseline'!$C$9:$AB$257,24,FALSE))</f>
        <v/>
      </c>
      <c r="BF229" s="30" t="str">
        <f>IF(B229="","",VLOOKUP($B229,'F-1 Off-Site WaterC'' Baseline'!$C$9:$AB$257,22,FALSE))</f>
        <v/>
      </c>
      <c r="BJ229" s="30" t="str">
        <f t="shared" si="43"/>
        <v>No</v>
      </c>
    </row>
    <row r="230" spans="2:62" ht="14">
      <c r="B230" s="305" t="str">
        <f>'F-1 Off-Site WaterC'' Baseline'!AS228</f>
        <v/>
      </c>
      <c r="C230" s="295" t="str">
        <f>IF(B230="","",VLOOKUP($B230,'F-1 Off-Site WaterC'' Baseline'!$C$9:$R$257,2,FALSE))</f>
        <v/>
      </c>
      <c r="D230" s="295" t="str">
        <f>IF(C230="","",VLOOKUP($B230,'F-1 Off-Site WaterC'' Baseline'!$C$9:$R$257,3,FALSE))</f>
        <v/>
      </c>
      <c r="E230" s="295" t="str">
        <f>IF(D230="","",VLOOKUP($B230,'F-1 Off-Site WaterC'' Baseline'!$C$9:$R$257,4,FALSE))</f>
        <v/>
      </c>
      <c r="F230" s="295" t="str">
        <f>IF(E230="","",VLOOKUP($B230,'F-1 Off-Site WaterC'' Baseline'!$C$9:$R$257,5,FALSE))</f>
        <v/>
      </c>
      <c r="G230" s="295" t="str">
        <f>IF(F230="","",VLOOKUP($B230,'F-1 Off-Site WaterC'' Baseline'!$C$9:$R$257,6,FALSE))</f>
        <v/>
      </c>
      <c r="H230" s="295" t="str">
        <f>IF(G230="","",VLOOKUP($B230,'F-1 Off-Site WaterC'' Baseline'!$C$9:$R$257,7,FALSE))</f>
        <v/>
      </c>
      <c r="I230" s="295" t="str">
        <f>IF(H230="","",VLOOKUP($B230,'F-1 Off-Site WaterC'' Baseline'!$C$9:$R$257,8,FALSE))</f>
        <v/>
      </c>
      <c r="J230" s="295" t="str">
        <f>IF(I230="","",VLOOKUP($B230,'F-1 Off-Site WaterC'' Baseline'!$C$9:$R$257,9,FALSE))</f>
        <v/>
      </c>
      <c r="K230" s="295" t="str">
        <f>IF(J230="","",VLOOKUP($B230,'F-1 Off-Site WaterC'' Baseline'!$C$9:$R$257,10,FALSE))</f>
        <v/>
      </c>
      <c r="L230" s="283" t="str">
        <f>IF(B230="","",VLOOKUP($B230,'F-1 Off-Site WaterC'' Baseline'!$C$9:$R$257,15,FALSE))</f>
        <v/>
      </c>
      <c r="M230" s="299" t="str">
        <f>IF(L230="","",VLOOKUP($B230,'F-1 Off-Site WaterC'' Baseline'!$C$9:$V$257,19,FALSE))</f>
        <v/>
      </c>
      <c r="N230" s="244"/>
      <c r="O230" s="275" t="str">
        <f t="shared" si="36"/>
        <v/>
      </c>
      <c r="P230" s="276" t="str">
        <f t="shared" si="37"/>
        <v/>
      </c>
      <c r="Q230" s="281" t="str">
        <f>IF(N230="","",VLOOKUP(B230,'F-1 Off-Site WaterC'' Baseline'!$C$10:$AF$257,23,FALSE))</f>
        <v/>
      </c>
      <c r="R230" s="275" t="str">
        <f>IF(N230="","",VLOOKUP(N230,'G-7 WaterC'' Data'!$B$2:$G$8,2,FALSE))</f>
        <v/>
      </c>
      <c r="S230" s="276" t="str">
        <f>IFERROR(VLOOKUP(R230,'G-7 WaterC'' Data'!$C$4:$D$8,2,FALSE),"")</f>
        <v/>
      </c>
      <c r="T230" s="101"/>
      <c r="U230" s="276" t="str">
        <f>IFERROR(INDEX('G-7 WaterC'' Data'!$H$4:$L$8,MATCH(N230,'G-7 WaterC'' Data'!$B$4:$B$8,0),MATCH(T230,'G-7 WaterC'' Data'!$H$3:$L$3,0)),"")</f>
        <v/>
      </c>
      <c r="V230" s="105"/>
      <c r="W230" s="295" t="str">
        <f>IF(V230="","",IF(VLOOKUP(V230,'G-7 WaterC'' Data'!$AK$4:$AM$6,2,FALSE)=0,"Spatial Data Missing ⚠",VLOOKUP(V230,'G-7 WaterC'' Data'!$AK$4:$AM$6,2,FALSE)))</f>
        <v/>
      </c>
      <c r="X230" s="299" t="str">
        <f>IF(V230="","",IF(VLOOKUP(V230,'G-7 WaterC'' Data'!$AK$4:$AM$6,3,FALSE)=0,"Spatial Data Missing ⚠",VLOOKUP(V230,'G-7 WaterC'' Data'!$AK$4:$AM$6,3,FALSE)))</f>
        <v/>
      </c>
      <c r="Y230" s="311" t="str">
        <f>IFERROR(IF(OR(LEFT(P230,5)="Error",LEFT(O230,5)="Error"),"Check Data ⚠",IF(F230&lt;S230,'G-7 WaterC'' Data'!$R$3,INDEX('G-7 WaterC'' Data'!$U$5:$Y$9,MATCH(G230,'G-7 WaterC'' Data'!$T$5:$T$9,0),MATCH(T230,'G-7 WaterC'' Data'!$U$4:$Y$4,0)))),"")</f>
        <v/>
      </c>
      <c r="Z230" s="138"/>
      <c r="AA230" s="138"/>
      <c r="AB230" s="308" t="str">
        <f t="shared" si="33"/>
        <v/>
      </c>
      <c r="AC230" s="296" t="str">
        <f t="shared" si="38"/>
        <v/>
      </c>
      <c r="AD230" s="334" t="str">
        <f>IFERROR(IF(AC230="Check Data ⚠","Check Data ⚠",VLOOKUP(AC230,'G-4 Temporal multipliers'!$A$4:$C$37,3,FALSE)),"")</f>
        <v/>
      </c>
      <c r="AE230" s="311" t="str">
        <f>IF(N230="","",VLOOKUP(N230,'G-7 WaterC'' Data'!$B$4:$G$8,5,FALSE))</f>
        <v/>
      </c>
      <c r="AF230" s="295" t="str">
        <f t="shared" si="34"/>
        <v/>
      </c>
      <c r="AG230" s="295" t="str">
        <f t="shared" si="39"/>
        <v/>
      </c>
      <c r="AH230" s="276" t="str">
        <f t="shared" si="35"/>
        <v/>
      </c>
      <c r="AI230" s="105"/>
      <c r="AJ230" s="276" t="str">
        <f>IF(AI230="","",(IF(AND(AI230="N/A - Culvert",N230&lt;&gt;"Culvert"),"Not possible ▲",IF(VLOOKUP(AI230,'G-7 WaterC'' Data'!$AA$4:$AB$7,2,FALSE)=0,"Spatial Data Missing ⚠",VLOOKUP(AI230,'G-7 WaterC'' Data'!$AA$4:$AB$7,2,FALSE)))))</f>
        <v/>
      </c>
      <c r="AK230" s="106"/>
      <c r="AL230" s="310" t="str">
        <f>IF(AK230="","",IF(AND(AK230="N/A - Culvert",N230&lt;&gt;"Culvert"),"Not possible ▲",IF(VLOOKUP(AK230,'G-7 WaterC'' Data'!$AD$4:$AE$14,2,FALSE)=0,"Spatial Data Missing ⚠",VLOOKUP(AK230,'G-7 WaterC'' Data'!$AD$4:$AE$14,2,FALSE))))</f>
        <v/>
      </c>
      <c r="AM230" s="275" t="str">
        <f>IF(B230="","",VLOOKUP($B230,'F-1 Off-Site WaterC'' Baseline'!$C$9:$Z$257,17,FALSE))</f>
        <v/>
      </c>
      <c r="AN230" s="276" t="str">
        <f>IF(AM230="","",IF(VLOOKUP(AM230,'G-7 WaterC'' Data'!$AO$4:$BO$7,2,FALSE)=0,"Spatial Data Missing ⚠",VLOOKUP(AM230,'G-7 WaterC'' Data'!$AO$4:$BO$7,2,FALSE)))</f>
        <v/>
      </c>
      <c r="AO230" s="317" t="str">
        <f t="shared" si="40"/>
        <v/>
      </c>
      <c r="AP230" s="317" t="str">
        <f t="shared" si="41"/>
        <v/>
      </c>
      <c r="AQ230" s="101"/>
      <c r="AR230" s="115"/>
      <c r="AS230" s="104"/>
      <c r="AT230" s="104"/>
      <c r="AW230" s="30" t="str">
        <f>IF(E230="","",VLOOKUP($B230,'F-1 Off-Site WaterC'' Baseline'!$C$9:$Z$257,12,FALSE))</f>
        <v/>
      </c>
      <c r="AX230" s="30" t="str">
        <f>IF(E230="","",VLOOKUP($B230,'F-1 Off-Site WaterC'' Baseline'!$C$9:$Z$257,14,FALSE))</f>
        <v/>
      </c>
      <c r="AY230" s="30" t="str">
        <f>IFERROR(INDEX('G-7 WaterC'' Data'!$AZ$3:$AZ$7,MATCH(N230,'G-7 WaterC'' Data'!$AY$3:$AY$7,0)),"")</f>
        <v/>
      </c>
      <c r="AZ230" s="30" t="str">
        <f>IF(B230="","",IF(ISNA(VLOOKUP($B230,'F-1 Off-Site WaterC'' Baseline'!$C$8:$AD$257,20,FALSE)),"",(VLOOKUP($B230,'F-1 Off-Site WaterC'' Baseline'!$C$8:$AD$257,20,FALSE))))</f>
        <v/>
      </c>
      <c r="BC230" s="30" t="str">
        <f>IF(B230="","",VLOOKUP($B230,'F-1 Off-Site WaterC'' Baseline'!$C$9:$AB$257,25,FALSE))</f>
        <v/>
      </c>
      <c r="BD230" s="30" t="str">
        <f t="shared" si="42"/>
        <v/>
      </c>
      <c r="BE230" s="30" t="str">
        <f>IF(B230="","",VLOOKUP($B230,'F-1 Off-Site WaterC'' Baseline'!$C$9:$AB$257,24,FALSE))</f>
        <v/>
      </c>
      <c r="BF230" s="30" t="str">
        <f>IF(B230="","",VLOOKUP($B230,'F-1 Off-Site WaterC'' Baseline'!$C$9:$AB$257,22,FALSE))</f>
        <v/>
      </c>
      <c r="BJ230" s="30" t="str">
        <f t="shared" si="43"/>
        <v>No</v>
      </c>
    </row>
    <row r="231" spans="2:62" ht="14">
      <c r="B231" s="305" t="str">
        <f>'F-1 Off-Site WaterC'' Baseline'!AS229</f>
        <v/>
      </c>
      <c r="C231" s="295" t="str">
        <f>IF(B231="","",VLOOKUP($B231,'F-1 Off-Site WaterC'' Baseline'!$C$9:$R$257,2,FALSE))</f>
        <v/>
      </c>
      <c r="D231" s="295" t="str">
        <f>IF(C231="","",VLOOKUP($B231,'F-1 Off-Site WaterC'' Baseline'!$C$9:$R$257,3,FALSE))</f>
        <v/>
      </c>
      <c r="E231" s="295" t="str">
        <f>IF(D231="","",VLOOKUP($B231,'F-1 Off-Site WaterC'' Baseline'!$C$9:$R$257,4,FALSE))</f>
        <v/>
      </c>
      <c r="F231" s="295" t="str">
        <f>IF(E231="","",VLOOKUP($B231,'F-1 Off-Site WaterC'' Baseline'!$C$9:$R$257,5,FALSE))</f>
        <v/>
      </c>
      <c r="G231" s="295" t="str">
        <f>IF(F231="","",VLOOKUP($B231,'F-1 Off-Site WaterC'' Baseline'!$C$9:$R$257,6,FALSE))</f>
        <v/>
      </c>
      <c r="H231" s="295" t="str">
        <f>IF(G231="","",VLOOKUP($B231,'F-1 Off-Site WaterC'' Baseline'!$C$9:$R$257,7,FALSE))</f>
        <v/>
      </c>
      <c r="I231" s="295" t="str">
        <f>IF(H231="","",VLOOKUP($B231,'F-1 Off-Site WaterC'' Baseline'!$C$9:$R$257,8,FALSE))</f>
        <v/>
      </c>
      <c r="J231" s="295" t="str">
        <f>IF(I231="","",VLOOKUP($B231,'F-1 Off-Site WaterC'' Baseline'!$C$9:$R$257,9,FALSE))</f>
        <v/>
      </c>
      <c r="K231" s="295" t="str">
        <f>IF(J231="","",VLOOKUP($B231,'F-1 Off-Site WaterC'' Baseline'!$C$9:$R$257,10,FALSE))</f>
        <v/>
      </c>
      <c r="L231" s="283" t="str">
        <f>IF(B231="","",VLOOKUP($B231,'F-1 Off-Site WaterC'' Baseline'!$C$9:$R$257,15,FALSE))</f>
        <v/>
      </c>
      <c r="M231" s="299" t="str">
        <f>IF(L231="","",VLOOKUP($B231,'F-1 Off-Site WaterC'' Baseline'!$C$9:$V$257,19,FALSE))</f>
        <v/>
      </c>
      <c r="N231" s="244"/>
      <c r="O231" s="275" t="str">
        <f t="shared" si="36"/>
        <v/>
      </c>
      <c r="P231" s="276" t="str">
        <f t="shared" si="37"/>
        <v/>
      </c>
      <c r="Q231" s="281" t="str">
        <f>IF(N231="","",VLOOKUP(B231,'F-1 Off-Site WaterC'' Baseline'!$C$10:$AF$257,23,FALSE))</f>
        <v/>
      </c>
      <c r="R231" s="275" t="str">
        <f>IF(N231="","",VLOOKUP(N231,'G-7 WaterC'' Data'!$B$2:$G$8,2,FALSE))</f>
        <v/>
      </c>
      <c r="S231" s="276" t="str">
        <f>IFERROR(VLOOKUP(R231,'G-7 WaterC'' Data'!$C$4:$D$8,2,FALSE),"")</f>
        <v/>
      </c>
      <c r="T231" s="101"/>
      <c r="U231" s="276" t="str">
        <f>IFERROR(INDEX('G-7 WaterC'' Data'!$H$4:$L$8,MATCH(N231,'G-7 WaterC'' Data'!$B$4:$B$8,0),MATCH(T231,'G-7 WaterC'' Data'!$H$3:$L$3,0)),"")</f>
        <v/>
      </c>
      <c r="V231" s="105"/>
      <c r="W231" s="295" t="str">
        <f>IF(V231="","",IF(VLOOKUP(V231,'G-7 WaterC'' Data'!$AK$4:$AM$6,2,FALSE)=0,"Spatial Data Missing ⚠",VLOOKUP(V231,'G-7 WaterC'' Data'!$AK$4:$AM$6,2,FALSE)))</f>
        <v/>
      </c>
      <c r="X231" s="299" t="str">
        <f>IF(V231="","",IF(VLOOKUP(V231,'G-7 WaterC'' Data'!$AK$4:$AM$6,3,FALSE)=0,"Spatial Data Missing ⚠",VLOOKUP(V231,'G-7 WaterC'' Data'!$AK$4:$AM$6,3,FALSE)))</f>
        <v/>
      </c>
      <c r="Y231" s="311" t="str">
        <f>IFERROR(IF(OR(LEFT(P231,5)="Error",LEFT(O231,5)="Error"),"Check Data ⚠",IF(F231&lt;S231,'G-7 WaterC'' Data'!$R$3,INDEX('G-7 WaterC'' Data'!$U$5:$Y$9,MATCH(G231,'G-7 WaterC'' Data'!$T$5:$T$9,0),MATCH(T231,'G-7 WaterC'' Data'!$U$4:$Y$4,0)))),"")</f>
        <v/>
      </c>
      <c r="Z231" s="138"/>
      <c r="AA231" s="138"/>
      <c r="AB231" s="308" t="str">
        <f t="shared" si="33"/>
        <v/>
      </c>
      <c r="AC231" s="296" t="str">
        <f t="shared" si="38"/>
        <v/>
      </c>
      <c r="AD231" s="334" t="str">
        <f>IFERROR(IF(AC231="Check Data ⚠","Check Data ⚠",VLOOKUP(AC231,'G-4 Temporal multipliers'!$A$4:$C$37,3,FALSE)),"")</f>
        <v/>
      </c>
      <c r="AE231" s="311" t="str">
        <f>IF(N231="","",VLOOKUP(N231,'G-7 WaterC'' Data'!$B$4:$G$8,5,FALSE))</f>
        <v/>
      </c>
      <c r="AF231" s="295" t="str">
        <f t="shared" si="34"/>
        <v/>
      </c>
      <c r="AG231" s="295" t="str">
        <f t="shared" si="39"/>
        <v/>
      </c>
      <c r="AH231" s="276" t="str">
        <f t="shared" si="35"/>
        <v/>
      </c>
      <c r="AI231" s="105"/>
      <c r="AJ231" s="276" t="str">
        <f>IF(AI231="","",(IF(AND(AI231="N/A - Culvert",N231&lt;&gt;"Culvert"),"Not possible ▲",IF(VLOOKUP(AI231,'G-7 WaterC'' Data'!$AA$4:$AB$7,2,FALSE)=0,"Spatial Data Missing ⚠",VLOOKUP(AI231,'G-7 WaterC'' Data'!$AA$4:$AB$7,2,FALSE)))))</f>
        <v/>
      </c>
      <c r="AK231" s="106"/>
      <c r="AL231" s="310" t="str">
        <f>IF(AK231="","",IF(AND(AK231="N/A - Culvert",N231&lt;&gt;"Culvert"),"Not possible ▲",IF(VLOOKUP(AK231,'G-7 WaterC'' Data'!$AD$4:$AE$14,2,FALSE)=0,"Spatial Data Missing ⚠",VLOOKUP(AK231,'G-7 WaterC'' Data'!$AD$4:$AE$14,2,FALSE))))</f>
        <v/>
      </c>
      <c r="AM231" s="275" t="str">
        <f>IF(B231="","",VLOOKUP($B231,'F-1 Off-Site WaterC'' Baseline'!$C$9:$Z$257,17,FALSE))</f>
        <v/>
      </c>
      <c r="AN231" s="276" t="str">
        <f>IF(AM231="","",IF(VLOOKUP(AM231,'G-7 WaterC'' Data'!$AO$4:$BO$7,2,FALSE)=0,"Spatial Data Missing ⚠",VLOOKUP(AM231,'G-7 WaterC'' Data'!$AO$4:$BO$7,2,FALSE)))</f>
        <v/>
      </c>
      <c r="AO231" s="317" t="str">
        <f t="shared" si="40"/>
        <v/>
      </c>
      <c r="AP231" s="317" t="str">
        <f t="shared" si="41"/>
        <v/>
      </c>
      <c r="AQ231" s="101"/>
      <c r="AR231" s="115"/>
      <c r="AS231" s="104"/>
      <c r="AT231" s="104"/>
      <c r="AW231" s="30" t="str">
        <f>IF(E231="","",VLOOKUP($B231,'F-1 Off-Site WaterC'' Baseline'!$C$9:$Z$257,12,FALSE))</f>
        <v/>
      </c>
      <c r="AX231" s="30" t="str">
        <f>IF(E231="","",VLOOKUP($B231,'F-1 Off-Site WaterC'' Baseline'!$C$9:$Z$257,14,FALSE))</f>
        <v/>
      </c>
      <c r="AY231" s="30" t="str">
        <f>IFERROR(INDEX('G-7 WaterC'' Data'!$AZ$3:$AZ$7,MATCH(N231,'G-7 WaterC'' Data'!$AY$3:$AY$7,0)),"")</f>
        <v/>
      </c>
      <c r="AZ231" s="30" t="str">
        <f>IF(B231="","",IF(ISNA(VLOOKUP($B231,'F-1 Off-Site WaterC'' Baseline'!$C$8:$AD$257,20,FALSE)),"",(VLOOKUP($B231,'F-1 Off-Site WaterC'' Baseline'!$C$8:$AD$257,20,FALSE))))</f>
        <v/>
      </c>
      <c r="BC231" s="30" t="str">
        <f>IF(B231="","",VLOOKUP($B231,'F-1 Off-Site WaterC'' Baseline'!$C$9:$AB$257,25,FALSE))</f>
        <v/>
      </c>
      <c r="BD231" s="30" t="str">
        <f t="shared" si="42"/>
        <v/>
      </c>
      <c r="BE231" s="30" t="str">
        <f>IF(B231="","",VLOOKUP($B231,'F-1 Off-Site WaterC'' Baseline'!$C$9:$AB$257,24,FALSE))</f>
        <v/>
      </c>
      <c r="BF231" s="30" t="str">
        <f>IF(B231="","",VLOOKUP($B231,'F-1 Off-Site WaterC'' Baseline'!$C$9:$AB$257,22,FALSE))</f>
        <v/>
      </c>
      <c r="BJ231" s="30" t="str">
        <f t="shared" si="43"/>
        <v>No</v>
      </c>
    </row>
    <row r="232" spans="2:62" ht="14">
      <c r="B232" s="305" t="str">
        <f>'F-1 Off-Site WaterC'' Baseline'!AS230</f>
        <v/>
      </c>
      <c r="C232" s="295" t="str">
        <f>IF(B232="","",VLOOKUP($B232,'F-1 Off-Site WaterC'' Baseline'!$C$9:$R$257,2,FALSE))</f>
        <v/>
      </c>
      <c r="D232" s="295" t="str">
        <f>IF(C232="","",VLOOKUP($B232,'F-1 Off-Site WaterC'' Baseline'!$C$9:$R$257,3,FALSE))</f>
        <v/>
      </c>
      <c r="E232" s="295" t="str">
        <f>IF(D232="","",VLOOKUP($B232,'F-1 Off-Site WaterC'' Baseline'!$C$9:$R$257,4,FALSE))</f>
        <v/>
      </c>
      <c r="F232" s="295" t="str">
        <f>IF(E232="","",VLOOKUP($B232,'F-1 Off-Site WaterC'' Baseline'!$C$9:$R$257,5,FALSE))</f>
        <v/>
      </c>
      <c r="G232" s="295" t="str">
        <f>IF(F232="","",VLOOKUP($B232,'F-1 Off-Site WaterC'' Baseline'!$C$9:$R$257,6,FALSE))</f>
        <v/>
      </c>
      <c r="H232" s="295" t="str">
        <f>IF(G232="","",VLOOKUP($B232,'F-1 Off-Site WaterC'' Baseline'!$C$9:$R$257,7,FALSE))</f>
        <v/>
      </c>
      <c r="I232" s="295" t="str">
        <f>IF(H232="","",VLOOKUP($B232,'F-1 Off-Site WaterC'' Baseline'!$C$9:$R$257,8,FALSE))</f>
        <v/>
      </c>
      <c r="J232" s="295" t="str">
        <f>IF(I232="","",VLOOKUP($B232,'F-1 Off-Site WaterC'' Baseline'!$C$9:$R$257,9,FALSE))</f>
        <v/>
      </c>
      <c r="K232" s="295" t="str">
        <f>IF(J232="","",VLOOKUP($B232,'F-1 Off-Site WaterC'' Baseline'!$C$9:$R$257,10,FALSE))</f>
        <v/>
      </c>
      <c r="L232" s="283" t="str">
        <f>IF(B232="","",VLOOKUP($B232,'F-1 Off-Site WaterC'' Baseline'!$C$9:$R$257,15,FALSE))</f>
        <v/>
      </c>
      <c r="M232" s="299" t="str">
        <f>IF(L232="","",VLOOKUP($B232,'F-1 Off-Site WaterC'' Baseline'!$C$9:$V$257,19,FALSE))</f>
        <v/>
      </c>
      <c r="N232" s="244"/>
      <c r="O232" s="275" t="str">
        <f t="shared" si="36"/>
        <v/>
      </c>
      <c r="P232" s="276" t="str">
        <f t="shared" si="37"/>
        <v/>
      </c>
      <c r="Q232" s="281" t="str">
        <f>IF(N232="","",VLOOKUP(B232,'F-1 Off-Site WaterC'' Baseline'!$C$10:$AF$257,23,FALSE))</f>
        <v/>
      </c>
      <c r="R232" s="275" t="str">
        <f>IF(N232="","",VLOOKUP(N232,'G-7 WaterC'' Data'!$B$2:$G$8,2,FALSE))</f>
        <v/>
      </c>
      <c r="S232" s="276" t="str">
        <f>IFERROR(VLOOKUP(R232,'G-7 WaterC'' Data'!$C$4:$D$8,2,FALSE),"")</f>
        <v/>
      </c>
      <c r="T232" s="101"/>
      <c r="U232" s="276" t="str">
        <f>IFERROR(INDEX('G-7 WaterC'' Data'!$H$4:$L$8,MATCH(N232,'G-7 WaterC'' Data'!$B$4:$B$8,0),MATCH(T232,'G-7 WaterC'' Data'!$H$3:$L$3,0)),"")</f>
        <v/>
      </c>
      <c r="V232" s="105"/>
      <c r="W232" s="295" t="str">
        <f>IF(V232="","",IF(VLOOKUP(V232,'G-7 WaterC'' Data'!$AK$4:$AM$6,2,FALSE)=0,"Spatial Data Missing ⚠",VLOOKUP(V232,'G-7 WaterC'' Data'!$AK$4:$AM$6,2,FALSE)))</f>
        <v/>
      </c>
      <c r="X232" s="299" t="str">
        <f>IF(V232="","",IF(VLOOKUP(V232,'G-7 WaterC'' Data'!$AK$4:$AM$6,3,FALSE)=0,"Spatial Data Missing ⚠",VLOOKUP(V232,'G-7 WaterC'' Data'!$AK$4:$AM$6,3,FALSE)))</f>
        <v/>
      </c>
      <c r="Y232" s="311" t="str">
        <f>IFERROR(IF(OR(LEFT(P232,5)="Error",LEFT(O232,5)="Error"),"Check Data ⚠",IF(F232&lt;S232,'G-7 WaterC'' Data'!$R$3,INDEX('G-7 WaterC'' Data'!$U$5:$Y$9,MATCH(G232,'G-7 WaterC'' Data'!$T$5:$T$9,0),MATCH(T232,'G-7 WaterC'' Data'!$U$4:$Y$4,0)))),"")</f>
        <v/>
      </c>
      <c r="Z232" s="138"/>
      <c r="AA232" s="138"/>
      <c r="AB232" s="308" t="str">
        <f t="shared" si="33"/>
        <v/>
      </c>
      <c r="AC232" s="296" t="str">
        <f t="shared" si="38"/>
        <v/>
      </c>
      <c r="AD232" s="334" t="str">
        <f>IFERROR(IF(AC232="Check Data ⚠","Check Data ⚠",VLOOKUP(AC232,'G-4 Temporal multipliers'!$A$4:$C$37,3,FALSE)),"")</f>
        <v/>
      </c>
      <c r="AE232" s="311" t="str">
        <f>IF(N232="","",VLOOKUP(N232,'G-7 WaterC'' Data'!$B$4:$G$8,5,FALSE))</f>
        <v/>
      </c>
      <c r="AF232" s="295" t="str">
        <f t="shared" si="34"/>
        <v/>
      </c>
      <c r="AG232" s="295" t="str">
        <f t="shared" si="39"/>
        <v/>
      </c>
      <c r="AH232" s="276" t="str">
        <f t="shared" si="35"/>
        <v/>
      </c>
      <c r="AI232" s="105"/>
      <c r="AJ232" s="276" t="str">
        <f>IF(AI232="","",(IF(AND(AI232="N/A - Culvert",N232&lt;&gt;"Culvert"),"Not possible ▲",IF(VLOOKUP(AI232,'G-7 WaterC'' Data'!$AA$4:$AB$7,2,FALSE)=0,"Spatial Data Missing ⚠",VLOOKUP(AI232,'G-7 WaterC'' Data'!$AA$4:$AB$7,2,FALSE)))))</f>
        <v/>
      </c>
      <c r="AK232" s="106"/>
      <c r="AL232" s="310" t="str">
        <f>IF(AK232="","",IF(AND(AK232="N/A - Culvert",N232&lt;&gt;"Culvert"),"Not possible ▲",IF(VLOOKUP(AK232,'G-7 WaterC'' Data'!$AD$4:$AE$14,2,FALSE)=0,"Spatial Data Missing ⚠",VLOOKUP(AK232,'G-7 WaterC'' Data'!$AD$4:$AE$14,2,FALSE))))</f>
        <v/>
      </c>
      <c r="AM232" s="275" t="str">
        <f>IF(B232="","",VLOOKUP($B232,'F-1 Off-Site WaterC'' Baseline'!$C$9:$Z$257,17,FALSE))</f>
        <v/>
      </c>
      <c r="AN232" s="276" t="str">
        <f>IF(AM232="","",IF(VLOOKUP(AM232,'G-7 WaterC'' Data'!$AO$4:$BO$7,2,FALSE)=0,"Spatial Data Missing ⚠",VLOOKUP(AM232,'G-7 WaterC'' Data'!$AO$4:$BO$7,2,FALSE)))</f>
        <v/>
      </c>
      <c r="AO232" s="317" t="str">
        <f t="shared" si="40"/>
        <v/>
      </c>
      <c r="AP232" s="317" t="str">
        <f t="shared" si="41"/>
        <v/>
      </c>
      <c r="AQ232" s="101"/>
      <c r="AR232" s="115"/>
      <c r="AS232" s="104"/>
      <c r="AT232" s="104"/>
      <c r="AW232" s="30" t="str">
        <f>IF(E232="","",VLOOKUP($B232,'F-1 Off-Site WaterC'' Baseline'!$C$9:$Z$257,12,FALSE))</f>
        <v/>
      </c>
      <c r="AX232" s="30" t="str">
        <f>IF(E232="","",VLOOKUP($B232,'F-1 Off-Site WaterC'' Baseline'!$C$9:$Z$257,14,FALSE))</f>
        <v/>
      </c>
      <c r="AY232" s="30" t="str">
        <f>IFERROR(INDEX('G-7 WaterC'' Data'!$AZ$3:$AZ$7,MATCH(N232,'G-7 WaterC'' Data'!$AY$3:$AY$7,0)),"")</f>
        <v/>
      </c>
      <c r="AZ232" s="30" t="str">
        <f>IF(B232="","",IF(ISNA(VLOOKUP($B232,'F-1 Off-Site WaterC'' Baseline'!$C$8:$AD$257,20,FALSE)),"",(VLOOKUP($B232,'F-1 Off-Site WaterC'' Baseline'!$C$8:$AD$257,20,FALSE))))</f>
        <v/>
      </c>
      <c r="BC232" s="30" t="str">
        <f>IF(B232="","",VLOOKUP($B232,'F-1 Off-Site WaterC'' Baseline'!$C$9:$AB$257,25,FALSE))</f>
        <v/>
      </c>
      <c r="BD232" s="30" t="str">
        <f t="shared" si="42"/>
        <v/>
      </c>
      <c r="BE232" s="30" t="str">
        <f>IF(B232="","",VLOOKUP($B232,'F-1 Off-Site WaterC'' Baseline'!$C$9:$AB$257,24,FALSE))</f>
        <v/>
      </c>
      <c r="BF232" s="30" t="str">
        <f>IF(B232="","",VLOOKUP($B232,'F-1 Off-Site WaterC'' Baseline'!$C$9:$AB$257,22,FALSE))</f>
        <v/>
      </c>
      <c r="BJ232" s="30" t="str">
        <f t="shared" si="43"/>
        <v>No</v>
      </c>
    </row>
    <row r="233" spans="2:62" ht="14">
      <c r="B233" s="305" t="str">
        <f>'F-1 Off-Site WaterC'' Baseline'!AS231</f>
        <v/>
      </c>
      <c r="C233" s="295" t="str">
        <f>IF(B233="","",VLOOKUP($B233,'F-1 Off-Site WaterC'' Baseline'!$C$9:$R$257,2,FALSE))</f>
        <v/>
      </c>
      <c r="D233" s="295" t="str">
        <f>IF(C233="","",VLOOKUP($B233,'F-1 Off-Site WaterC'' Baseline'!$C$9:$R$257,3,FALSE))</f>
        <v/>
      </c>
      <c r="E233" s="295" t="str">
        <f>IF(D233="","",VLOOKUP($B233,'F-1 Off-Site WaterC'' Baseline'!$C$9:$R$257,4,FALSE))</f>
        <v/>
      </c>
      <c r="F233" s="295" t="str">
        <f>IF(E233="","",VLOOKUP($B233,'F-1 Off-Site WaterC'' Baseline'!$C$9:$R$257,5,FALSE))</f>
        <v/>
      </c>
      <c r="G233" s="295" t="str">
        <f>IF(F233="","",VLOOKUP($B233,'F-1 Off-Site WaterC'' Baseline'!$C$9:$R$257,6,FALSE))</f>
        <v/>
      </c>
      <c r="H233" s="295" t="str">
        <f>IF(G233="","",VLOOKUP($B233,'F-1 Off-Site WaterC'' Baseline'!$C$9:$R$257,7,FALSE))</f>
        <v/>
      </c>
      <c r="I233" s="295" t="str">
        <f>IF(H233="","",VLOOKUP($B233,'F-1 Off-Site WaterC'' Baseline'!$C$9:$R$257,8,FALSE))</f>
        <v/>
      </c>
      <c r="J233" s="295" t="str">
        <f>IF(I233="","",VLOOKUP($B233,'F-1 Off-Site WaterC'' Baseline'!$C$9:$R$257,9,FALSE))</f>
        <v/>
      </c>
      <c r="K233" s="295" t="str">
        <f>IF(J233="","",VLOOKUP($B233,'F-1 Off-Site WaterC'' Baseline'!$C$9:$R$257,10,FALSE))</f>
        <v/>
      </c>
      <c r="L233" s="283" t="str">
        <f>IF(B233="","",VLOOKUP($B233,'F-1 Off-Site WaterC'' Baseline'!$C$9:$R$257,15,FALSE))</f>
        <v/>
      </c>
      <c r="M233" s="299" t="str">
        <f>IF(L233="","",VLOOKUP($B233,'F-1 Off-Site WaterC'' Baseline'!$C$9:$V$257,19,FALSE))</f>
        <v/>
      </c>
      <c r="N233" s="244"/>
      <c r="O233" s="275" t="str">
        <f t="shared" si="36"/>
        <v/>
      </c>
      <c r="P233" s="276" t="str">
        <f t="shared" si="37"/>
        <v/>
      </c>
      <c r="Q233" s="281" t="str">
        <f>IF(N233="","",VLOOKUP(B233,'F-1 Off-Site WaterC'' Baseline'!$C$10:$AF$257,23,FALSE))</f>
        <v/>
      </c>
      <c r="R233" s="275" t="str">
        <f>IF(N233="","",VLOOKUP(N233,'G-7 WaterC'' Data'!$B$2:$G$8,2,FALSE))</f>
        <v/>
      </c>
      <c r="S233" s="276" t="str">
        <f>IFERROR(VLOOKUP(R233,'G-7 WaterC'' Data'!$C$4:$D$8,2,FALSE),"")</f>
        <v/>
      </c>
      <c r="T233" s="101"/>
      <c r="U233" s="276" t="str">
        <f>IFERROR(INDEX('G-7 WaterC'' Data'!$H$4:$L$8,MATCH(N233,'G-7 WaterC'' Data'!$B$4:$B$8,0),MATCH(T233,'G-7 WaterC'' Data'!$H$3:$L$3,0)),"")</f>
        <v/>
      </c>
      <c r="V233" s="105"/>
      <c r="W233" s="295" t="str">
        <f>IF(V233="","",IF(VLOOKUP(V233,'G-7 WaterC'' Data'!$AK$4:$AM$6,2,FALSE)=0,"Spatial Data Missing ⚠",VLOOKUP(V233,'G-7 WaterC'' Data'!$AK$4:$AM$6,2,FALSE)))</f>
        <v/>
      </c>
      <c r="X233" s="299" t="str">
        <f>IF(V233="","",IF(VLOOKUP(V233,'G-7 WaterC'' Data'!$AK$4:$AM$6,3,FALSE)=0,"Spatial Data Missing ⚠",VLOOKUP(V233,'G-7 WaterC'' Data'!$AK$4:$AM$6,3,FALSE)))</f>
        <v/>
      </c>
      <c r="Y233" s="311" t="str">
        <f>IFERROR(IF(OR(LEFT(P233,5)="Error",LEFT(O233,5)="Error"),"Check Data ⚠",IF(F233&lt;S233,'G-7 WaterC'' Data'!$R$3,INDEX('G-7 WaterC'' Data'!$U$5:$Y$9,MATCH(G233,'G-7 WaterC'' Data'!$T$5:$T$9,0),MATCH(T233,'G-7 WaterC'' Data'!$U$4:$Y$4,0)))),"")</f>
        <v/>
      </c>
      <c r="Z233" s="138"/>
      <c r="AA233" s="138"/>
      <c r="AB233" s="308" t="str">
        <f t="shared" si="33"/>
        <v/>
      </c>
      <c r="AC233" s="296" t="str">
        <f t="shared" si="38"/>
        <v/>
      </c>
      <c r="AD233" s="334" t="str">
        <f>IFERROR(IF(AC233="Check Data ⚠","Check Data ⚠",VLOOKUP(AC233,'G-4 Temporal multipliers'!$A$4:$C$37,3,FALSE)),"")</f>
        <v/>
      </c>
      <c r="AE233" s="311" t="str">
        <f>IF(N233="","",VLOOKUP(N233,'G-7 WaterC'' Data'!$B$4:$G$8,5,FALSE))</f>
        <v/>
      </c>
      <c r="AF233" s="295" t="str">
        <f t="shared" si="34"/>
        <v/>
      </c>
      <c r="AG233" s="295" t="str">
        <f t="shared" si="39"/>
        <v/>
      </c>
      <c r="AH233" s="276" t="str">
        <f t="shared" si="35"/>
        <v/>
      </c>
      <c r="AI233" s="105"/>
      <c r="AJ233" s="276" t="str">
        <f>IF(AI233="","",(IF(AND(AI233="N/A - Culvert",N233&lt;&gt;"Culvert"),"Not possible ▲",IF(VLOOKUP(AI233,'G-7 WaterC'' Data'!$AA$4:$AB$7,2,FALSE)=0,"Spatial Data Missing ⚠",VLOOKUP(AI233,'G-7 WaterC'' Data'!$AA$4:$AB$7,2,FALSE)))))</f>
        <v/>
      </c>
      <c r="AK233" s="106"/>
      <c r="AL233" s="310" t="str">
        <f>IF(AK233="","",IF(AND(AK233="N/A - Culvert",N233&lt;&gt;"Culvert"),"Not possible ▲",IF(VLOOKUP(AK233,'G-7 WaterC'' Data'!$AD$4:$AE$14,2,FALSE)=0,"Spatial Data Missing ⚠",VLOOKUP(AK233,'G-7 WaterC'' Data'!$AD$4:$AE$14,2,FALSE))))</f>
        <v/>
      </c>
      <c r="AM233" s="275" t="str">
        <f>IF(B233="","",VLOOKUP($B233,'F-1 Off-Site WaterC'' Baseline'!$C$9:$Z$257,17,FALSE))</f>
        <v/>
      </c>
      <c r="AN233" s="276" t="str">
        <f>IF(AM233="","",IF(VLOOKUP(AM233,'G-7 WaterC'' Data'!$AO$4:$BO$7,2,FALSE)=0,"Spatial Data Missing ⚠",VLOOKUP(AM233,'G-7 WaterC'' Data'!$AO$4:$BO$7,2,FALSE)))</f>
        <v/>
      </c>
      <c r="AO233" s="317" t="str">
        <f t="shared" si="40"/>
        <v/>
      </c>
      <c r="AP233" s="317" t="str">
        <f t="shared" si="41"/>
        <v/>
      </c>
      <c r="AQ233" s="101"/>
      <c r="AR233" s="115"/>
      <c r="AS233" s="104"/>
      <c r="AT233" s="104"/>
      <c r="AW233" s="30" t="str">
        <f>IF(E233="","",VLOOKUP($B233,'F-1 Off-Site WaterC'' Baseline'!$C$9:$Z$257,12,FALSE))</f>
        <v/>
      </c>
      <c r="AX233" s="30" t="str">
        <f>IF(E233="","",VLOOKUP($B233,'F-1 Off-Site WaterC'' Baseline'!$C$9:$Z$257,14,FALSE))</f>
        <v/>
      </c>
      <c r="AY233" s="30" t="str">
        <f>IFERROR(INDEX('G-7 WaterC'' Data'!$AZ$3:$AZ$7,MATCH(N233,'G-7 WaterC'' Data'!$AY$3:$AY$7,0)),"")</f>
        <v/>
      </c>
      <c r="AZ233" s="30" t="str">
        <f>IF(B233="","",IF(ISNA(VLOOKUP($B233,'F-1 Off-Site WaterC'' Baseline'!$C$8:$AD$257,20,FALSE)),"",(VLOOKUP($B233,'F-1 Off-Site WaterC'' Baseline'!$C$8:$AD$257,20,FALSE))))</f>
        <v/>
      </c>
      <c r="BC233" s="30" t="str">
        <f>IF(B233="","",VLOOKUP($B233,'F-1 Off-Site WaterC'' Baseline'!$C$9:$AB$257,25,FALSE))</f>
        <v/>
      </c>
      <c r="BD233" s="30" t="str">
        <f t="shared" si="42"/>
        <v/>
      </c>
      <c r="BE233" s="30" t="str">
        <f>IF(B233="","",VLOOKUP($B233,'F-1 Off-Site WaterC'' Baseline'!$C$9:$AB$257,24,FALSE))</f>
        <v/>
      </c>
      <c r="BF233" s="30" t="str">
        <f>IF(B233="","",VLOOKUP($B233,'F-1 Off-Site WaterC'' Baseline'!$C$9:$AB$257,22,FALSE))</f>
        <v/>
      </c>
      <c r="BJ233" s="30" t="str">
        <f t="shared" si="43"/>
        <v>No</v>
      </c>
    </row>
    <row r="234" spans="2:62" ht="14">
      <c r="B234" s="305" t="str">
        <f>'F-1 Off-Site WaterC'' Baseline'!AS232</f>
        <v/>
      </c>
      <c r="C234" s="295" t="str">
        <f>IF(B234="","",VLOOKUP($B234,'F-1 Off-Site WaterC'' Baseline'!$C$9:$R$257,2,FALSE))</f>
        <v/>
      </c>
      <c r="D234" s="295" t="str">
        <f>IF(C234="","",VLOOKUP($B234,'F-1 Off-Site WaterC'' Baseline'!$C$9:$R$257,3,FALSE))</f>
        <v/>
      </c>
      <c r="E234" s="295" t="str">
        <f>IF(D234="","",VLOOKUP($B234,'F-1 Off-Site WaterC'' Baseline'!$C$9:$R$257,4,FALSE))</f>
        <v/>
      </c>
      <c r="F234" s="295" t="str">
        <f>IF(E234="","",VLOOKUP($B234,'F-1 Off-Site WaterC'' Baseline'!$C$9:$R$257,5,FALSE))</f>
        <v/>
      </c>
      <c r="G234" s="295" t="str">
        <f>IF(F234="","",VLOOKUP($B234,'F-1 Off-Site WaterC'' Baseline'!$C$9:$R$257,6,FALSE))</f>
        <v/>
      </c>
      <c r="H234" s="295" t="str">
        <f>IF(G234="","",VLOOKUP($B234,'F-1 Off-Site WaterC'' Baseline'!$C$9:$R$257,7,FALSE))</f>
        <v/>
      </c>
      <c r="I234" s="295" t="str">
        <f>IF(H234="","",VLOOKUP($B234,'F-1 Off-Site WaterC'' Baseline'!$C$9:$R$257,8,FALSE))</f>
        <v/>
      </c>
      <c r="J234" s="295" t="str">
        <f>IF(I234="","",VLOOKUP($B234,'F-1 Off-Site WaterC'' Baseline'!$C$9:$R$257,9,FALSE))</f>
        <v/>
      </c>
      <c r="K234" s="295" t="str">
        <f>IF(J234="","",VLOOKUP($B234,'F-1 Off-Site WaterC'' Baseline'!$C$9:$R$257,10,FALSE))</f>
        <v/>
      </c>
      <c r="L234" s="283" t="str">
        <f>IF(B234="","",VLOOKUP($B234,'F-1 Off-Site WaterC'' Baseline'!$C$9:$R$257,15,FALSE))</f>
        <v/>
      </c>
      <c r="M234" s="299" t="str">
        <f>IF(L234="","",VLOOKUP($B234,'F-1 Off-Site WaterC'' Baseline'!$C$9:$V$257,19,FALSE))</f>
        <v/>
      </c>
      <c r="N234" s="244"/>
      <c r="O234" s="275" t="str">
        <f t="shared" si="36"/>
        <v/>
      </c>
      <c r="P234" s="276" t="str">
        <f t="shared" si="37"/>
        <v/>
      </c>
      <c r="Q234" s="281" t="str">
        <f>IF(N234="","",VLOOKUP(B234,'F-1 Off-Site WaterC'' Baseline'!$C$10:$AF$257,23,FALSE))</f>
        <v/>
      </c>
      <c r="R234" s="275" t="str">
        <f>IF(N234="","",VLOOKUP(N234,'G-7 WaterC'' Data'!$B$2:$G$8,2,FALSE))</f>
        <v/>
      </c>
      <c r="S234" s="276" t="str">
        <f>IFERROR(VLOOKUP(R234,'G-7 WaterC'' Data'!$C$4:$D$8,2,FALSE),"")</f>
        <v/>
      </c>
      <c r="T234" s="101"/>
      <c r="U234" s="276" t="str">
        <f>IFERROR(INDEX('G-7 WaterC'' Data'!$H$4:$L$8,MATCH(N234,'G-7 WaterC'' Data'!$B$4:$B$8,0),MATCH(T234,'G-7 WaterC'' Data'!$H$3:$L$3,0)),"")</f>
        <v/>
      </c>
      <c r="V234" s="105"/>
      <c r="W234" s="295" t="str">
        <f>IF(V234="","",IF(VLOOKUP(V234,'G-7 WaterC'' Data'!$AK$4:$AM$6,2,FALSE)=0,"Spatial Data Missing ⚠",VLOOKUP(V234,'G-7 WaterC'' Data'!$AK$4:$AM$6,2,FALSE)))</f>
        <v/>
      </c>
      <c r="X234" s="299" t="str">
        <f>IF(V234="","",IF(VLOOKUP(V234,'G-7 WaterC'' Data'!$AK$4:$AM$6,3,FALSE)=0,"Spatial Data Missing ⚠",VLOOKUP(V234,'G-7 WaterC'' Data'!$AK$4:$AM$6,3,FALSE)))</f>
        <v/>
      </c>
      <c r="Y234" s="311" t="str">
        <f>IFERROR(IF(OR(LEFT(P234,5)="Error",LEFT(O234,5)="Error"),"Check Data ⚠",IF(F234&lt;S234,'G-7 WaterC'' Data'!$R$3,INDEX('G-7 WaterC'' Data'!$U$5:$Y$9,MATCH(G234,'G-7 WaterC'' Data'!$T$5:$T$9,0),MATCH(T234,'G-7 WaterC'' Data'!$U$4:$Y$4,0)))),"")</f>
        <v/>
      </c>
      <c r="Z234" s="138"/>
      <c r="AA234" s="138"/>
      <c r="AB234" s="308" t="str">
        <f t="shared" si="33"/>
        <v/>
      </c>
      <c r="AC234" s="296" t="str">
        <f t="shared" si="38"/>
        <v/>
      </c>
      <c r="AD234" s="334" t="str">
        <f>IFERROR(IF(AC234="Check Data ⚠","Check Data ⚠",VLOOKUP(AC234,'G-4 Temporal multipliers'!$A$4:$C$37,3,FALSE)),"")</f>
        <v/>
      </c>
      <c r="AE234" s="311" t="str">
        <f>IF(N234="","",VLOOKUP(N234,'G-7 WaterC'' Data'!$B$4:$G$8,5,FALSE))</f>
        <v/>
      </c>
      <c r="AF234" s="295" t="str">
        <f t="shared" si="34"/>
        <v/>
      </c>
      <c r="AG234" s="295" t="str">
        <f t="shared" si="39"/>
        <v/>
      </c>
      <c r="AH234" s="276" t="str">
        <f t="shared" si="35"/>
        <v/>
      </c>
      <c r="AI234" s="105"/>
      <c r="AJ234" s="276" t="str">
        <f>IF(AI234="","",(IF(AND(AI234="N/A - Culvert",N234&lt;&gt;"Culvert"),"Not possible ▲",IF(VLOOKUP(AI234,'G-7 WaterC'' Data'!$AA$4:$AB$7,2,FALSE)=0,"Spatial Data Missing ⚠",VLOOKUP(AI234,'G-7 WaterC'' Data'!$AA$4:$AB$7,2,FALSE)))))</f>
        <v/>
      </c>
      <c r="AK234" s="106"/>
      <c r="AL234" s="310" t="str">
        <f>IF(AK234="","",IF(AND(AK234="N/A - Culvert",N234&lt;&gt;"Culvert"),"Not possible ▲",IF(VLOOKUP(AK234,'G-7 WaterC'' Data'!$AD$4:$AE$14,2,FALSE)=0,"Spatial Data Missing ⚠",VLOOKUP(AK234,'G-7 WaterC'' Data'!$AD$4:$AE$14,2,FALSE))))</f>
        <v/>
      </c>
      <c r="AM234" s="275" t="str">
        <f>IF(B234="","",VLOOKUP($B234,'F-1 Off-Site WaterC'' Baseline'!$C$9:$Z$257,17,FALSE))</f>
        <v/>
      </c>
      <c r="AN234" s="276" t="str">
        <f>IF(AM234="","",IF(VLOOKUP(AM234,'G-7 WaterC'' Data'!$AO$4:$BO$7,2,FALSE)=0,"Spatial Data Missing ⚠",VLOOKUP(AM234,'G-7 WaterC'' Data'!$AO$4:$BO$7,2,FALSE)))</f>
        <v/>
      </c>
      <c r="AO234" s="317" t="str">
        <f t="shared" si="40"/>
        <v/>
      </c>
      <c r="AP234" s="317" t="str">
        <f t="shared" si="41"/>
        <v/>
      </c>
      <c r="AQ234" s="101"/>
      <c r="AR234" s="115"/>
      <c r="AS234" s="104"/>
      <c r="AT234" s="104"/>
      <c r="AW234" s="30" t="str">
        <f>IF(E234="","",VLOOKUP($B234,'F-1 Off-Site WaterC'' Baseline'!$C$9:$Z$257,12,FALSE))</f>
        <v/>
      </c>
      <c r="AX234" s="30" t="str">
        <f>IF(E234="","",VLOOKUP($B234,'F-1 Off-Site WaterC'' Baseline'!$C$9:$Z$257,14,FALSE))</f>
        <v/>
      </c>
      <c r="AY234" s="30" t="str">
        <f>IFERROR(INDEX('G-7 WaterC'' Data'!$AZ$3:$AZ$7,MATCH(N234,'G-7 WaterC'' Data'!$AY$3:$AY$7,0)),"")</f>
        <v/>
      </c>
      <c r="AZ234" s="30" t="str">
        <f>IF(B234="","",IF(ISNA(VLOOKUP($B234,'F-1 Off-Site WaterC'' Baseline'!$C$8:$AD$257,20,FALSE)),"",(VLOOKUP($B234,'F-1 Off-Site WaterC'' Baseline'!$C$8:$AD$257,20,FALSE))))</f>
        <v/>
      </c>
      <c r="BC234" s="30" t="str">
        <f>IF(B234="","",VLOOKUP($B234,'F-1 Off-Site WaterC'' Baseline'!$C$9:$AB$257,25,FALSE))</f>
        <v/>
      </c>
      <c r="BD234" s="30" t="str">
        <f t="shared" si="42"/>
        <v/>
      </c>
      <c r="BE234" s="30" t="str">
        <f>IF(B234="","",VLOOKUP($B234,'F-1 Off-Site WaterC'' Baseline'!$C$9:$AB$257,24,FALSE))</f>
        <v/>
      </c>
      <c r="BF234" s="30" t="str">
        <f>IF(B234="","",VLOOKUP($B234,'F-1 Off-Site WaterC'' Baseline'!$C$9:$AB$257,22,FALSE))</f>
        <v/>
      </c>
      <c r="BJ234" s="30" t="str">
        <f t="shared" si="43"/>
        <v>No</v>
      </c>
    </row>
    <row r="235" spans="2:62" ht="14">
      <c r="B235" s="305" t="str">
        <f>'F-1 Off-Site WaterC'' Baseline'!AS233</f>
        <v/>
      </c>
      <c r="C235" s="295" t="str">
        <f>IF(B235="","",VLOOKUP($B235,'F-1 Off-Site WaterC'' Baseline'!$C$9:$R$257,2,FALSE))</f>
        <v/>
      </c>
      <c r="D235" s="295" t="str">
        <f>IF(C235="","",VLOOKUP($B235,'F-1 Off-Site WaterC'' Baseline'!$C$9:$R$257,3,FALSE))</f>
        <v/>
      </c>
      <c r="E235" s="295" t="str">
        <f>IF(D235="","",VLOOKUP($B235,'F-1 Off-Site WaterC'' Baseline'!$C$9:$R$257,4,FALSE))</f>
        <v/>
      </c>
      <c r="F235" s="295" t="str">
        <f>IF(E235="","",VLOOKUP($B235,'F-1 Off-Site WaterC'' Baseline'!$C$9:$R$257,5,FALSE))</f>
        <v/>
      </c>
      <c r="G235" s="295" t="str">
        <f>IF(F235="","",VLOOKUP($B235,'F-1 Off-Site WaterC'' Baseline'!$C$9:$R$257,6,FALSE))</f>
        <v/>
      </c>
      <c r="H235" s="295" t="str">
        <f>IF(G235="","",VLOOKUP($B235,'F-1 Off-Site WaterC'' Baseline'!$C$9:$R$257,7,FALSE))</f>
        <v/>
      </c>
      <c r="I235" s="295" t="str">
        <f>IF(H235="","",VLOOKUP($B235,'F-1 Off-Site WaterC'' Baseline'!$C$9:$R$257,8,FALSE))</f>
        <v/>
      </c>
      <c r="J235" s="295" t="str">
        <f>IF(I235="","",VLOOKUP($B235,'F-1 Off-Site WaterC'' Baseline'!$C$9:$R$257,9,FALSE))</f>
        <v/>
      </c>
      <c r="K235" s="295" t="str">
        <f>IF(J235="","",VLOOKUP($B235,'F-1 Off-Site WaterC'' Baseline'!$C$9:$R$257,10,FALSE))</f>
        <v/>
      </c>
      <c r="L235" s="283" t="str">
        <f>IF(B235="","",VLOOKUP($B235,'F-1 Off-Site WaterC'' Baseline'!$C$9:$R$257,15,FALSE))</f>
        <v/>
      </c>
      <c r="M235" s="299" t="str">
        <f>IF(L235="","",VLOOKUP($B235,'F-1 Off-Site WaterC'' Baseline'!$C$9:$V$257,19,FALSE))</f>
        <v/>
      </c>
      <c r="N235" s="244"/>
      <c r="O235" s="275" t="str">
        <f t="shared" si="36"/>
        <v/>
      </c>
      <c r="P235" s="276" t="str">
        <f t="shared" si="37"/>
        <v/>
      </c>
      <c r="Q235" s="281" t="str">
        <f>IF(N235="","",VLOOKUP(B235,'F-1 Off-Site WaterC'' Baseline'!$C$10:$AF$257,23,FALSE))</f>
        <v/>
      </c>
      <c r="R235" s="275" t="str">
        <f>IF(N235="","",VLOOKUP(N235,'G-7 WaterC'' Data'!$B$2:$G$8,2,FALSE))</f>
        <v/>
      </c>
      <c r="S235" s="276" t="str">
        <f>IFERROR(VLOOKUP(R235,'G-7 WaterC'' Data'!$C$4:$D$8,2,FALSE),"")</f>
        <v/>
      </c>
      <c r="T235" s="101"/>
      <c r="U235" s="276" t="str">
        <f>IFERROR(INDEX('G-7 WaterC'' Data'!$H$4:$L$8,MATCH(N235,'G-7 WaterC'' Data'!$B$4:$B$8,0),MATCH(T235,'G-7 WaterC'' Data'!$H$3:$L$3,0)),"")</f>
        <v/>
      </c>
      <c r="V235" s="105"/>
      <c r="W235" s="295" t="str">
        <f>IF(V235="","",IF(VLOOKUP(V235,'G-7 WaterC'' Data'!$AK$4:$AM$6,2,FALSE)=0,"Spatial Data Missing ⚠",VLOOKUP(V235,'G-7 WaterC'' Data'!$AK$4:$AM$6,2,FALSE)))</f>
        <v/>
      </c>
      <c r="X235" s="299" t="str">
        <f>IF(V235="","",IF(VLOOKUP(V235,'G-7 WaterC'' Data'!$AK$4:$AM$6,3,FALSE)=0,"Spatial Data Missing ⚠",VLOOKUP(V235,'G-7 WaterC'' Data'!$AK$4:$AM$6,3,FALSE)))</f>
        <v/>
      </c>
      <c r="Y235" s="311" t="str">
        <f>IFERROR(IF(OR(LEFT(P235,5)="Error",LEFT(O235,5)="Error"),"Check Data ⚠",IF(F235&lt;S235,'G-7 WaterC'' Data'!$R$3,INDEX('G-7 WaterC'' Data'!$U$5:$Y$9,MATCH(G235,'G-7 WaterC'' Data'!$T$5:$T$9,0),MATCH(T235,'G-7 WaterC'' Data'!$U$4:$Y$4,0)))),"")</f>
        <v/>
      </c>
      <c r="Z235" s="138"/>
      <c r="AA235" s="138"/>
      <c r="AB235" s="308" t="str">
        <f t="shared" si="33"/>
        <v/>
      </c>
      <c r="AC235" s="296" t="str">
        <f t="shared" si="38"/>
        <v/>
      </c>
      <c r="AD235" s="334" t="str">
        <f>IFERROR(IF(AC235="Check Data ⚠","Check Data ⚠",VLOOKUP(AC235,'G-4 Temporal multipliers'!$A$4:$C$37,3,FALSE)),"")</f>
        <v/>
      </c>
      <c r="AE235" s="311" t="str">
        <f>IF(N235="","",VLOOKUP(N235,'G-7 WaterC'' Data'!$B$4:$G$8,5,FALSE))</f>
        <v/>
      </c>
      <c r="AF235" s="295" t="str">
        <f t="shared" si="34"/>
        <v/>
      </c>
      <c r="AG235" s="295" t="str">
        <f t="shared" si="39"/>
        <v/>
      </c>
      <c r="AH235" s="276" t="str">
        <f t="shared" si="35"/>
        <v/>
      </c>
      <c r="AI235" s="105"/>
      <c r="AJ235" s="276" t="str">
        <f>IF(AI235="","",(IF(AND(AI235="N/A - Culvert",N235&lt;&gt;"Culvert"),"Not possible ▲",IF(VLOOKUP(AI235,'G-7 WaterC'' Data'!$AA$4:$AB$7,2,FALSE)=0,"Spatial Data Missing ⚠",VLOOKUP(AI235,'G-7 WaterC'' Data'!$AA$4:$AB$7,2,FALSE)))))</f>
        <v/>
      </c>
      <c r="AK235" s="106"/>
      <c r="AL235" s="310" t="str">
        <f>IF(AK235="","",IF(AND(AK235="N/A - Culvert",N235&lt;&gt;"Culvert"),"Not possible ▲",IF(VLOOKUP(AK235,'G-7 WaterC'' Data'!$AD$4:$AE$14,2,FALSE)=0,"Spatial Data Missing ⚠",VLOOKUP(AK235,'G-7 WaterC'' Data'!$AD$4:$AE$14,2,FALSE))))</f>
        <v/>
      </c>
      <c r="AM235" s="275" t="str">
        <f>IF(B235="","",VLOOKUP($B235,'F-1 Off-Site WaterC'' Baseline'!$C$9:$Z$257,17,FALSE))</f>
        <v/>
      </c>
      <c r="AN235" s="276" t="str">
        <f>IF(AM235="","",IF(VLOOKUP(AM235,'G-7 WaterC'' Data'!$AO$4:$BO$7,2,FALSE)=0,"Spatial Data Missing ⚠",VLOOKUP(AM235,'G-7 WaterC'' Data'!$AO$4:$BO$7,2,FALSE)))</f>
        <v/>
      </c>
      <c r="AO235" s="317" t="str">
        <f t="shared" si="40"/>
        <v/>
      </c>
      <c r="AP235" s="317" t="str">
        <f t="shared" si="41"/>
        <v/>
      </c>
      <c r="AQ235" s="101"/>
      <c r="AR235" s="115"/>
      <c r="AS235" s="104"/>
      <c r="AT235" s="104"/>
      <c r="AW235" s="30" t="str">
        <f>IF(E235="","",VLOOKUP($B235,'F-1 Off-Site WaterC'' Baseline'!$C$9:$Z$257,12,FALSE))</f>
        <v/>
      </c>
      <c r="AX235" s="30" t="str">
        <f>IF(E235="","",VLOOKUP($B235,'F-1 Off-Site WaterC'' Baseline'!$C$9:$Z$257,14,FALSE))</f>
        <v/>
      </c>
      <c r="AY235" s="30" t="str">
        <f>IFERROR(INDEX('G-7 WaterC'' Data'!$AZ$3:$AZ$7,MATCH(N235,'G-7 WaterC'' Data'!$AY$3:$AY$7,0)),"")</f>
        <v/>
      </c>
      <c r="AZ235" s="30" t="str">
        <f>IF(B235="","",IF(ISNA(VLOOKUP($B235,'F-1 Off-Site WaterC'' Baseline'!$C$8:$AD$257,20,FALSE)),"",(VLOOKUP($B235,'F-1 Off-Site WaterC'' Baseline'!$C$8:$AD$257,20,FALSE))))</f>
        <v/>
      </c>
      <c r="BC235" s="30" t="str">
        <f>IF(B235="","",VLOOKUP($B235,'F-1 Off-Site WaterC'' Baseline'!$C$9:$AB$257,25,FALSE))</f>
        <v/>
      </c>
      <c r="BD235" s="30" t="str">
        <f t="shared" si="42"/>
        <v/>
      </c>
      <c r="BE235" s="30" t="str">
        <f>IF(B235="","",VLOOKUP($B235,'F-1 Off-Site WaterC'' Baseline'!$C$9:$AB$257,24,FALSE))</f>
        <v/>
      </c>
      <c r="BF235" s="30" t="str">
        <f>IF(B235="","",VLOOKUP($B235,'F-1 Off-Site WaterC'' Baseline'!$C$9:$AB$257,22,FALSE))</f>
        <v/>
      </c>
      <c r="BJ235" s="30" t="str">
        <f t="shared" si="43"/>
        <v>No</v>
      </c>
    </row>
    <row r="236" spans="2:62" ht="14">
      <c r="B236" s="305" t="str">
        <f>'F-1 Off-Site WaterC'' Baseline'!AS234</f>
        <v/>
      </c>
      <c r="C236" s="295" t="str">
        <f>IF(B236="","",VLOOKUP($B236,'F-1 Off-Site WaterC'' Baseline'!$C$9:$R$257,2,FALSE))</f>
        <v/>
      </c>
      <c r="D236" s="295" t="str">
        <f>IF(C236="","",VLOOKUP($B236,'F-1 Off-Site WaterC'' Baseline'!$C$9:$R$257,3,FALSE))</f>
        <v/>
      </c>
      <c r="E236" s="295" t="str">
        <f>IF(D236="","",VLOOKUP($B236,'F-1 Off-Site WaterC'' Baseline'!$C$9:$R$257,4,FALSE))</f>
        <v/>
      </c>
      <c r="F236" s="295" t="str">
        <f>IF(E236="","",VLOOKUP($B236,'F-1 Off-Site WaterC'' Baseline'!$C$9:$R$257,5,FALSE))</f>
        <v/>
      </c>
      <c r="G236" s="295" t="str">
        <f>IF(F236="","",VLOOKUP($B236,'F-1 Off-Site WaterC'' Baseline'!$C$9:$R$257,6,FALSE))</f>
        <v/>
      </c>
      <c r="H236" s="295" t="str">
        <f>IF(G236="","",VLOOKUP($B236,'F-1 Off-Site WaterC'' Baseline'!$C$9:$R$257,7,FALSE))</f>
        <v/>
      </c>
      <c r="I236" s="295" t="str">
        <f>IF(H236="","",VLOOKUP($B236,'F-1 Off-Site WaterC'' Baseline'!$C$9:$R$257,8,FALSE))</f>
        <v/>
      </c>
      <c r="J236" s="295" t="str">
        <f>IF(I236="","",VLOOKUP($B236,'F-1 Off-Site WaterC'' Baseline'!$C$9:$R$257,9,FALSE))</f>
        <v/>
      </c>
      <c r="K236" s="295" t="str">
        <f>IF(J236="","",VLOOKUP($B236,'F-1 Off-Site WaterC'' Baseline'!$C$9:$R$257,10,FALSE))</f>
        <v/>
      </c>
      <c r="L236" s="283" t="str">
        <f>IF(B236="","",VLOOKUP($B236,'F-1 Off-Site WaterC'' Baseline'!$C$9:$R$257,15,FALSE))</f>
        <v/>
      </c>
      <c r="M236" s="299" t="str">
        <f>IF(L236="","",VLOOKUP($B236,'F-1 Off-Site WaterC'' Baseline'!$C$9:$V$257,19,FALSE))</f>
        <v/>
      </c>
      <c r="N236" s="244"/>
      <c r="O236" s="275" t="str">
        <f t="shared" si="36"/>
        <v/>
      </c>
      <c r="P236" s="276" t="str">
        <f t="shared" si="37"/>
        <v/>
      </c>
      <c r="Q236" s="281" t="str">
        <f>IF(N236="","",VLOOKUP(B236,'F-1 Off-Site WaterC'' Baseline'!$C$10:$AF$257,23,FALSE))</f>
        <v/>
      </c>
      <c r="R236" s="275" t="str">
        <f>IF(N236="","",VLOOKUP(N236,'G-7 WaterC'' Data'!$B$2:$G$8,2,FALSE))</f>
        <v/>
      </c>
      <c r="S236" s="276" t="str">
        <f>IFERROR(VLOOKUP(R236,'G-7 WaterC'' Data'!$C$4:$D$8,2,FALSE),"")</f>
        <v/>
      </c>
      <c r="T236" s="101"/>
      <c r="U236" s="276" t="str">
        <f>IFERROR(INDEX('G-7 WaterC'' Data'!$H$4:$L$8,MATCH(N236,'G-7 WaterC'' Data'!$B$4:$B$8,0),MATCH(T236,'G-7 WaterC'' Data'!$H$3:$L$3,0)),"")</f>
        <v/>
      </c>
      <c r="V236" s="105"/>
      <c r="W236" s="295" t="str">
        <f>IF(V236="","",IF(VLOOKUP(V236,'G-7 WaterC'' Data'!$AK$4:$AM$6,2,FALSE)=0,"Spatial Data Missing ⚠",VLOOKUP(V236,'G-7 WaterC'' Data'!$AK$4:$AM$6,2,FALSE)))</f>
        <v/>
      </c>
      <c r="X236" s="299" t="str">
        <f>IF(V236="","",IF(VLOOKUP(V236,'G-7 WaterC'' Data'!$AK$4:$AM$6,3,FALSE)=0,"Spatial Data Missing ⚠",VLOOKUP(V236,'G-7 WaterC'' Data'!$AK$4:$AM$6,3,FALSE)))</f>
        <v/>
      </c>
      <c r="Y236" s="311" t="str">
        <f>IFERROR(IF(OR(LEFT(P236,5)="Error",LEFT(O236,5)="Error"),"Check Data ⚠",IF(F236&lt;S236,'G-7 WaterC'' Data'!$R$3,INDEX('G-7 WaterC'' Data'!$U$5:$Y$9,MATCH(G236,'G-7 WaterC'' Data'!$T$5:$T$9,0),MATCH(T236,'G-7 WaterC'' Data'!$U$4:$Y$4,0)))),"")</f>
        <v/>
      </c>
      <c r="Z236" s="138"/>
      <c r="AA236" s="138"/>
      <c r="AB236" s="308" t="str">
        <f t="shared" si="33"/>
        <v/>
      </c>
      <c r="AC236" s="296" t="str">
        <f t="shared" si="38"/>
        <v/>
      </c>
      <c r="AD236" s="334" t="str">
        <f>IFERROR(IF(AC236="Check Data ⚠","Check Data ⚠",VLOOKUP(AC236,'G-4 Temporal multipliers'!$A$4:$C$37,3,FALSE)),"")</f>
        <v/>
      </c>
      <c r="AE236" s="311" t="str">
        <f>IF(N236="","",VLOOKUP(N236,'G-7 WaterC'' Data'!$B$4:$G$8,5,FALSE))</f>
        <v/>
      </c>
      <c r="AF236" s="295" t="str">
        <f t="shared" si="34"/>
        <v/>
      </c>
      <c r="AG236" s="295" t="str">
        <f t="shared" si="39"/>
        <v/>
      </c>
      <c r="AH236" s="276" t="str">
        <f t="shared" si="35"/>
        <v/>
      </c>
      <c r="AI236" s="105"/>
      <c r="AJ236" s="276" t="str">
        <f>IF(AI236="","",(IF(AND(AI236="N/A - Culvert",N236&lt;&gt;"Culvert"),"Not possible ▲",IF(VLOOKUP(AI236,'G-7 WaterC'' Data'!$AA$4:$AB$7,2,FALSE)=0,"Spatial Data Missing ⚠",VLOOKUP(AI236,'G-7 WaterC'' Data'!$AA$4:$AB$7,2,FALSE)))))</f>
        <v/>
      </c>
      <c r="AK236" s="106"/>
      <c r="AL236" s="310" t="str">
        <f>IF(AK236="","",IF(AND(AK236="N/A - Culvert",N236&lt;&gt;"Culvert"),"Not possible ▲",IF(VLOOKUP(AK236,'G-7 WaterC'' Data'!$AD$4:$AE$14,2,FALSE)=0,"Spatial Data Missing ⚠",VLOOKUP(AK236,'G-7 WaterC'' Data'!$AD$4:$AE$14,2,FALSE))))</f>
        <v/>
      </c>
      <c r="AM236" s="275" t="str">
        <f>IF(B236="","",VLOOKUP($B236,'F-1 Off-Site WaterC'' Baseline'!$C$9:$Z$257,17,FALSE))</f>
        <v/>
      </c>
      <c r="AN236" s="276" t="str">
        <f>IF(AM236="","",IF(VLOOKUP(AM236,'G-7 WaterC'' Data'!$AO$4:$BO$7,2,FALSE)=0,"Spatial Data Missing ⚠",VLOOKUP(AM236,'G-7 WaterC'' Data'!$AO$4:$BO$7,2,FALSE)))</f>
        <v/>
      </c>
      <c r="AO236" s="317" t="str">
        <f t="shared" si="40"/>
        <v/>
      </c>
      <c r="AP236" s="317" t="str">
        <f t="shared" si="41"/>
        <v/>
      </c>
      <c r="AQ236" s="101"/>
      <c r="AR236" s="115"/>
      <c r="AS236" s="104"/>
      <c r="AT236" s="104"/>
      <c r="AW236" s="30" t="str">
        <f>IF(E236="","",VLOOKUP($B236,'F-1 Off-Site WaterC'' Baseline'!$C$9:$Z$257,12,FALSE))</f>
        <v/>
      </c>
      <c r="AX236" s="30" t="str">
        <f>IF(E236="","",VLOOKUP($B236,'F-1 Off-Site WaterC'' Baseline'!$C$9:$Z$257,14,FALSE))</f>
        <v/>
      </c>
      <c r="AY236" s="30" t="str">
        <f>IFERROR(INDEX('G-7 WaterC'' Data'!$AZ$3:$AZ$7,MATCH(N236,'G-7 WaterC'' Data'!$AY$3:$AY$7,0)),"")</f>
        <v/>
      </c>
      <c r="AZ236" s="30" t="str">
        <f>IF(B236="","",IF(ISNA(VLOOKUP($B236,'F-1 Off-Site WaterC'' Baseline'!$C$8:$AD$257,20,FALSE)),"",(VLOOKUP($B236,'F-1 Off-Site WaterC'' Baseline'!$C$8:$AD$257,20,FALSE))))</f>
        <v/>
      </c>
      <c r="BC236" s="30" t="str">
        <f>IF(B236="","",VLOOKUP($B236,'F-1 Off-Site WaterC'' Baseline'!$C$9:$AB$257,25,FALSE))</f>
        <v/>
      </c>
      <c r="BD236" s="30" t="str">
        <f t="shared" si="42"/>
        <v/>
      </c>
      <c r="BE236" s="30" t="str">
        <f>IF(B236="","",VLOOKUP($B236,'F-1 Off-Site WaterC'' Baseline'!$C$9:$AB$257,24,FALSE))</f>
        <v/>
      </c>
      <c r="BF236" s="30" t="str">
        <f>IF(B236="","",VLOOKUP($B236,'F-1 Off-Site WaterC'' Baseline'!$C$9:$AB$257,22,FALSE))</f>
        <v/>
      </c>
      <c r="BJ236" s="30" t="str">
        <f t="shared" si="43"/>
        <v>No</v>
      </c>
    </row>
    <row r="237" spans="2:62" ht="14">
      <c r="B237" s="305" t="str">
        <f>'F-1 Off-Site WaterC'' Baseline'!AS235</f>
        <v/>
      </c>
      <c r="C237" s="295" t="str">
        <f>IF(B237="","",VLOOKUP($B237,'F-1 Off-Site WaterC'' Baseline'!$C$9:$R$257,2,FALSE))</f>
        <v/>
      </c>
      <c r="D237" s="295" t="str">
        <f>IF(C237="","",VLOOKUP($B237,'F-1 Off-Site WaterC'' Baseline'!$C$9:$R$257,3,FALSE))</f>
        <v/>
      </c>
      <c r="E237" s="295" t="str">
        <f>IF(D237="","",VLOOKUP($B237,'F-1 Off-Site WaterC'' Baseline'!$C$9:$R$257,4,FALSE))</f>
        <v/>
      </c>
      <c r="F237" s="295" t="str">
        <f>IF(E237="","",VLOOKUP($B237,'F-1 Off-Site WaterC'' Baseline'!$C$9:$R$257,5,FALSE))</f>
        <v/>
      </c>
      <c r="G237" s="295" t="str">
        <f>IF(F237="","",VLOOKUP($B237,'F-1 Off-Site WaterC'' Baseline'!$C$9:$R$257,6,FALSE))</f>
        <v/>
      </c>
      <c r="H237" s="295" t="str">
        <f>IF(G237="","",VLOOKUP($B237,'F-1 Off-Site WaterC'' Baseline'!$C$9:$R$257,7,FALSE))</f>
        <v/>
      </c>
      <c r="I237" s="295" t="str">
        <f>IF(H237="","",VLOOKUP($B237,'F-1 Off-Site WaterC'' Baseline'!$C$9:$R$257,8,FALSE))</f>
        <v/>
      </c>
      <c r="J237" s="295" t="str">
        <f>IF(I237="","",VLOOKUP($B237,'F-1 Off-Site WaterC'' Baseline'!$C$9:$R$257,9,FALSE))</f>
        <v/>
      </c>
      <c r="K237" s="295" t="str">
        <f>IF(J237="","",VLOOKUP($B237,'F-1 Off-Site WaterC'' Baseline'!$C$9:$R$257,10,FALSE))</f>
        <v/>
      </c>
      <c r="L237" s="283" t="str">
        <f>IF(B237="","",VLOOKUP($B237,'F-1 Off-Site WaterC'' Baseline'!$C$9:$R$257,15,FALSE))</f>
        <v/>
      </c>
      <c r="M237" s="299" t="str">
        <f>IF(L237="","",VLOOKUP($B237,'F-1 Off-Site WaterC'' Baseline'!$C$9:$V$257,19,FALSE))</f>
        <v/>
      </c>
      <c r="N237" s="244"/>
      <c r="O237" s="275" t="str">
        <f t="shared" si="36"/>
        <v/>
      </c>
      <c r="P237" s="276" t="str">
        <f t="shared" si="37"/>
        <v/>
      </c>
      <c r="Q237" s="281" t="str">
        <f>IF(N237="","",VLOOKUP(B237,'F-1 Off-Site WaterC'' Baseline'!$C$10:$AF$257,23,FALSE))</f>
        <v/>
      </c>
      <c r="R237" s="275" t="str">
        <f>IF(N237="","",VLOOKUP(N237,'G-7 WaterC'' Data'!$B$2:$G$8,2,FALSE))</f>
        <v/>
      </c>
      <c r="S237" s="276" t="str">
        <f>IFERROR(VLOOKUP(R237,'G-7 WaterC'' Data'!$C$4:$D$8,2,FALSE),"")</f>
        <v/>
      </c>
      <c r="T237" s="101"/>
      <c r="U237" s="276" t="str">
        <f>IFERROR(INDEX('G-7 WaterC'' Data'!$H$4:$L$8,MATCH(N237,'G-7 WaterC'' Data'!$B$4:$B$8,0),MATCH(T237,'G-7 WaterC'' Data'!$H$3:$L$3,0)),"")</f>
        <v/>
      </c>
      <c r="V237" s="105"/>
      <c r="W237" s="295" t="str">
        <f>IF(V237="","",IF(VLOOKUP(V237,'G-7 WaterC'' Data'!$AK$4:$AM$6,2,FALSE)=0,"Spatial Data Missing ⚠",VLOOKUP(V237,'G-7 WaterC'' Data'!$AK$4:$AM$6,2,FALSE)))</f>
        <v/>
      </c>
      <c r="X237" s="299" t="str">
        <f>IF(V237="","",IF(VLOOKUP(V237,'G-7 WaterC'' Data'!$AK$4:$AM$6,3,FALSE)=0,"Spatial Data Missing ⚠",VLOOKUP(V237,'G-7 WaterC'' Data'!$AK$4:$AM$6,3,FALSE)))</f>
        <v/>
      </c>
      <c r="Y237" s="311" t="str">
        <f>IFERROR(IF(OR(LEFT(P237,5)="Error",LEFT(O237,5)="Error"),"Check Data ⚠",IF(F237&lt;S237,'G-7 WaterC'' Data'!$R$3,INDEX('G-7 WaterC'' Data'!$U$5:$Y$9,MATCH(G237,'G-7 WaterC'' Data'!$T$5:$T$9,0),MATCH(T237,'G-7 WaterC'' Data'!$U$4:$Y$4,0)))),"")</f>
        <v/>
      </c>
      <c r="Z237" s="138"/>
      <c r="AA237" s="138"/>
      <c r="AB237" s="308" t="str">
        <f t="shared" si="33"/>
        <v/>
      </c>
      <c r="AC237" s="296" t="str">
        <f t="shared" si="38"/>
        <v/>
      </c>
      <c r="AD237" s="334" t="str">
        <f>IFERROR(IF(AC237="Check Data ⚠","Check Data ⚠",VLOOKUP(AC237,'G-4 Temporal multipliers'!$A$4:$C$37,3,FALSE)),"")</f>
        <v/>
      </c>
      <c r="AE237" s="311" t="str">
        <f>IF(N237="","",VLOOKUP(N237,'G-7 WaterC'' Data'!$B$4:$G$8,5,FALSE))</f>
        <v/>
      </c>
      <c r="AF237" s="295" t="str">
        <f t="shared" si="34"/>
        <v/>
      </c>
      <c r="AG237" s="295" t="str">
        <f t="shared" si="39"/>
        <v/>
      </c>
      <c r="AH237" s="276" t="str">
        <f t="shared" si="35"/>
        <v/>
      </c>
      <c r="AI237" s="105"/>
      <c r="AJ237" s="276" t="str">
        <f>IF(AI237="","",(IF(AND(AI237="N/A - Culvert",N237&lt;&gt;"Culvert"),"Not possible ▲",IF(VLOOKUP(AI237,'G-7 WaterC'' Data'!$AA$4:$AB$7,2,FALSE)=0,"Spatial Data Missing ⚠",VLOOKUP(AI237,'G-7 WaterC'' Data'!$AA$4:$AB$7,2,FALSE)))))</f>
        <v/>
      </c>
      <c r="AK237" s="106"/>
      <c r="AL237" s="310" t="str">
        <f>IF(AK237="","",IF(AND(AK237="N/A - Culvert",N237&lt;&gt;"Culvert"),"Not possible ▲",IF(VLOOKUP(AK237,'G-7 WaterC'' Data'!$AD$4:$AE$14,2,FALSE)=0,"Spatial Data Missing ⚠",VLOOKUP(AK237,'G-7 WaterC'' Data'!$AD$4:$AE$14,2,FALSE))))</f>
        <v/>
      </c>
      <c r="AM237" s="275" t="str">
        <f>IF(B237="","",VLOOKUP($B237,'F-1 Off-Site WaterC'' Baseline'!$C$9:$Z$257,17,FALSE))</f>
        <v/>
      </c>
      <c r="AN237" s="276" t="str">
        <f>IF(AM237="","",IF(VLOOKUP(AM237,'G-7 WaterC'' Data'!$AO$4:$BO$7,2,FALSE)=0,"Spatial Data Missing ⚠",VLOOKUP(AM237,'G-7 WaterC'' Data'!$AO$4:$BO$7,2,FALSE)))</f>
        <v/>
      </c>
      <c r="AO237" s="317" t="str">
        <f t="shared" si="40"/>
        <v/>
      </c>
      <c r="AP237" s="317" t="str">
        <f t="shared" si="41"/>
        <v/>
      </c>
      <c r="AQ237" s="101"/>
      <c r="AR237" s="115"/>
      <c r="AS237" s="104"/>
      <c r="AT237" s="104"/>
      <c r="AW237" s="30" t="str">
        <f>IF(E237="","",VLOOKUP($B237,'F-1 Off-Site WaterC'' Baseline'!$C$9:$Z$257,12,FALSE))</f>
        <v/>
      </c>
      <c r="AX237" s="30" t="str">
        <f>IF(E237="","",VLOOKUP($B237,'F-1 Off-Site WaterC'' Baseline'!$C$9:$Z$257,14,FALSE))</f>
        <v/>
      </c>
      <c r="AY237" s="30" t="str">
        <f>IFERROR(INDEX('G-7 WaterC'' Data'!$AZ$3:$AZ$7,MATCH(N237,'G-7 WaterC'' Data'!$AY$3:$AY$7,0)),"")</f>
        <v/>
      </c>
      <c r="AZ237" s="30" t="str">
        <f>IF(B237="","",IF(ISNA(VLOOKUP($B237,'F-1 Off-Site WaterC'' Baseline'!$C$8:$AD$257,20,FALSE)),"",(VLOOKUP($B237,'F-1 Off-Site WaterC'' Baseline'!$C$8:$AD$257,20,FALSE))))</f>
        <v/>
      </c>
      <c r="BC237" s="30" t="str">
        <f>IF(B237="","",VLOOKUP($B237,'F-1 Off-Site WaterC'' Baseline'!$C$9:$AB$257,25,FALSE))</f>
        <v/>
      </c>
      <c r="BD237" s="30" t="str">
        <f t="shared" si="42"/>
        <v/>
      </c>
      <c r="BE237" s="30" t="str">
        <f>IF(B237="","",VLOOKUP($B237,'F-1 Off-Site WaterC'' Baseline'!$C$9:$AB$257,24,FALSE))</f>
        <v/>
      </c>
      <c r="BF237" s="30" t="str">
        <f>IF(B237="","",VLOOKUP($B237,'F-1 Off-Site WaterC'' Baseline'!$C$9:$AB$257,22,FALSE))</f>
        <v/>
      </c>
      <c r="BJ237" s="30" t="str">
        <f t="shared" si="43"/>
        <v>No</v>
      </c>
    </row>
    <row r="238" spans="2:62" ht="14">
      <c r="B238" s="305" t="str">
        <f>'F-1 Off-Site WaterC'' Baseline'!AS236</f>
        <v/>
      </c>
      <c r="C238" s="295" t="str">
        <f>IF(B238="","",VLOOKUP($B238,'F-1 Off-Site WaterC'' Baseline'!$C$9:$R$257,2,FALSE))</f>
        <v/>
      </c>
      <c r="D238" s="295" t="str">
        <f>IF(C238="","",VLOOKUP($B238,'F-1 Off-Site WaterC'' Baseline'!$C$9:$R$257,3,FALSE))</f>
        <v/>
      </c>
      <c r="E238" s="295" t="str">
        <f>IF(D238="","",VLOOKUP($B238,'F-1 Off-Site WaterC'' Baseline'!$C$9:$R$257,4,FALSE))</f>
        <v/>
      </c>
      <c r="F238" s="295" t="str">
        <f>IF(E238="","",VLOOKUP($B238,'F-1 Off-Site WaterC'' Baseline'!$C$9:$R$257,5,FALSE))</f>
        <v/>
      </c>
      <c r="G238" s="295" t="str">
        <f>IF(F238="","",VLOOKUP($B238,'F-1 Off-Site WaterC'' Baseline'!$C$9:$R$257,6,FALSE))</f>
        <v/>
      </c>
      <c r="H238" s="295" t="str">
        <f>IF(G238="","",VLOOKUP($B238,'F-1 Off-Site WaterC'' Baseline'!$C$9:$R$257,7,FALSE))</f>
        <v/>
      </c>
      <c r="I238" s="295" t="str">
        <f>IF(H238="","",VLOOKUP($B238,'F-1 Off-Site WaterC'' Baseline'!$C$9:$R$257,8,FALSE))</f>
        <v/>
      </c>
      <c r="J238" s="295" t="str">
        <f>IF(I238="","",VLOOKUP($B238,'F-1 Off-Site WaterC'' Baseline'!$C$9:$R$257,9,FALSE))</f>
        <v/>
      </c>
      <c r="K238" s="295" t="str">
        <f>IF(J238="","",VLOOKUP($B238,'F-1 Off-Site WaterC'' Baseline'!$C$9:$R$257,10,FALSE))</f>
        <v/>
      </c>
      <c r="L238" s="283" t="str">
        <f>IF(B238="","",VLOOKUP($B238,'F-1 Off-Site WaterC'' Baseline'!$C$9:$R$257,15,FALSE))</f>
        <v/>
      </c>
      <c r="M238" s="299" t="str">
        <f>IF(L238="","",VLOOKUP($B238,'F-1 Off-Site WaterC'' Baseline'!$C$9:$V$257,19,FALSE))</f>
        <v/>
      </c>
      <c r="N238" s="244"/>
      <c r="O238" s="275" t="str">
        <f t="shared" si="36"/>
        <v/>
      </c>
      <c r="P238" s="276" t="str">
        <f t="shared" si="37"/>
        <v/>
      </c>
      <c r="Q238" s="281" t="str">
        <f>IF(N238="","",VLOOKUP(B238,'F-1 Off-Site WaterC'' Baseline'!$C$10:$AF$257,23,FALSE))</f>
        <v/>
      </c>
      <c r="R238" s="275" t="str">
        <f>IF(N238="","",VLOOKUP(N238,'G-7 WaterC'' Data'!$B$2:$G$8,2,FALSE))</f>
        <v/>
      </c>
      <c r="S238" s="276" t="str">
        <f>IFERROR(VLOOKUP(R238,'G-7 WaterC'' Data'!$C$4:$D$8,2,FALSE),"")</f>
        <v/>
      </c>
      <c r="T238" s="101"/>
      <c r="U238" s="276" t="str">
        <f>IFERROR(INDEX('G-7 WaterC'' Data'!$H$4:$L$8,MATCH(N238,'G-7 WaterC'' Data'!$B$4:$B$8,0),MATCH(T238,'G-7 WaterC'' Data'!$H$3:$L$3,0)),"")</f>
        <v/>
      </c>
      <c r="V238" s="105"/>
      <c r="W238" s="295" t="str">
        <f>IF(V238="","",IF(VLOOKUP(V238,'G-7 WaterC'' Data'!$AK$4:$AM$6,2,FALSE)=0,"Spatial Data Missing ⚠",VLOOKUP(V238,'G-7 WaterC'' Data'!$AK$4:$AM$6,2,FALSE)))</f>
        <v/>
      </c>
      <c r="X238" s="299" t="str">
        <f>IF(V238="","",IF(VLOOKUP(V238,'G-7 WaterC'' Data'!$AK$4:$AM$6,3,FALSE)=0,"Spatial Data Missing ⚠",VLOOKUP(V238,'G-7 WaterC'' Data'!$AK$4:$AM$6,3,FALSE)))</f>
        <v/>
      </c>
      <c r="Y238" s="311" t="str">
        <f>IFERROR(IF(OR(LEFT(P238,5)="Error",LEFT(O238,5)="Error"),"Check Data ⚠",IF(F238&lt;S238,'G-7 WaterC'' Data'!$R$3,INDEX('G-7 WaterC'' Data'!$U$5:$Y$9,MATCH(G238,'G-7 WaterC'' Data'!$T$5:$T$9,0),MATCH(T238,'G-7 WaterC'' Data'!$U$4:$Y$4,0)))),"")</f>
        <v/>
      </c>
      <c r="Z238" s="138"/>
      <c r="AA238" s="138"/>
      <c r="AB238" s="308" t="str">
        <f t="shared" si="33"/>
        <v/>
      </c>
      <c r="AC238" s="296" t="str">
        <f t="shared" si="38"/>
        <v/>
      </c>
      <c r="AD238" s="334" t="str">
        <f>IFERROR(IF(AC238="Check Data ⚠","Check Data ⚠",VLOOKUP(AC238,'G-4 Temporal multipliers'!$A$4:$C$37,3,FALSE)),"")</f>
        <v/>
      </c>
      <c r="AE238" s="311" t="str">
        <f>IF(N238="","",VLOOKUP(N238,'G-7 WaterC'' Data'!$B$4:$G$8,5,FALSE))</f>
        <v/>
      </c>
      <c r="AF238" s="295" t="str">
        <f t="shared" si="34"/>
        <v/>
      </c>
      <c r="AG238" s="295" t="str">
        <f t="shared" si="39"/>
        <v/>
      </c>
      <c r="AH238" s="276" t="str">
        <f t="shared" si="35"/>
        <v/>
      </c>
      <c r="AI238" s="105"/>
      <c r="AJ238" s="276" t="str">
        <f>IF(AI238="","",(IF(AND(AI238="N/A - Culvert",N238&lt;&gt;"Culvert"),"Not possible ▲",IF(VLOOKUP(AI238,'G-7 WaterC'' Data'!$AA$4:$AB$7,2,FALSE)=0,"Spatial Data Missing ⚠",VLOOKUP(AI238,'G-7 WaterC'' Data'!$AA$4:$AB$7,2,FALSE)))))</f>
        <v/>
      </c>
      <c r="AK238" s="106"/>
      <c r="AL238" s="310" t="str">
        <f>IF(AK238="","",IF(AND(AK238="N/A - Culvert",N238&lt;&gt;"Culvert"),"Not possible ▲",IF(VLOOKUP(AK238,'G-7 WaterC'' Data'!$AD$4:$AE$14,2,FALSE)=0,"Spatial Data Missing ⚠",VLOOKUP(AK238,'G-7 WaterC'' Data'!$AD$4:$AE$14,2,FALSE))))</f>
        <v/>
      </c>
      <c r="AM238" s="275" t="str">
        <f>IF(B238="","",VLOOKUP($B238,'F-1 Off-Site WaterC'' Baseline'!$C$9:$Z$257,17,FALSE))</f>
        <v/>
      </c>
      <c r="AN238" s="276" t="str">
        <f>IF(AM238="","",IF(VLOOKUP(AM238,'G-7 WaterC'' Data'!$AO$4:$BO$7,2,FALSE)=0,"Spatial Data Missing ⚠",VLOOKUP(AM238,'G-7 WaterC'' Data'!$AO$4:$BO$7,2,FALSE)))</f>
        <v/>
      </c>
      <c r="AO238" s="317" t="str">
        <f t="shared" si="40"/>
        <v/>
      </c>
      <c r="AP238" s="317" t="str">
        <f t="shared" si="41"/>
        <v/>
      </c>
      <c r="AQ238" s="101"/>
      <c r="AR238" s="115"/>
      <c r="AS238" s="104"/>
      <c r="AT238" s="104"/>
      <c r="AW238" s="30" t="str">
        <f>IF(E238="","",VLOOKUP($B238,'F-1 Off-Site WaterC'' Baseline'!$C$9:$Z$257,12,FALSE))</f>
        <v/>
      </c>
      <c r="AX238" s="30" t="str">
        <f>IF(E238="","",VLOOKUP($B238,'F-1 Off-Site WaterC'' Baseline'!$C$9:$Z$257,14,FALSE))</f>
        <v/>
      </c>
      <c r="AY238" s="30" t="str">
        <f>IFERROR(INDEX('G-7 WaterC'' Data'!$AZ$3:$AZ$7,MATCH(N238,'G-7 WaterC'' Data'!$AY$3:$AY$7,0)),"")</f>
        <v/>
      </c>
      <c r="AZ238" s="30" t="str">
        <f>IF(B238="","",IF(ISNA(VLOOKUP($B238,'F-1 Off-Site WaterC'' Baseline'!$C$8:$AD$257,20,FALSE)),"",(VLOOKUP($B238,'F-1 Off-Site WaterC'' Baseline'!$C$8:$AD$257,20,FALSE))))</f>
        <v/>
      </c>
      <c r="BC238" s="30" t="str">
        <f>IF(B238="","",VLOOKUP($B238,'F-1 Off-Site WaterC'' Baseline'!$C$9:$AB$257,25,FALSE))</f>
        <v/>
      </c>
      <c r="BD238" s="30" t="str">
        <f t="shared" si="42"/>
        <v/>
      </c>
      <c r="BE238" s="30" t="str">
        <f>IF(B238="","",VLOOKUP($B238,'F-1 Off-Site WaterC'' Baseline'!$C$9:$AB$257,24,FALSE))</f>
        <v/>
      </c>
      <c r="BF238" s="30" t="str">
        <f>IF(B238="","",VLOOKUP($B238,'F-1 Off-Site WaterC'' Baseline'!$C$9:$AB$257,22,FALSE))</f>
        <v/>
      </c>
      <c r="BJ238" s="30" t="str">
        <f t="shared" si="43"/>
        <v>No</v>
      </c>
    </row>
    <row r="239" spans="2:62" ht="14">
      <c r="B239" s="305" t="str">
        <f>'F-1 Off-Site WaterC'' Baseline'!AS237</f>
        <v/>
      </c>
      <c r="C239" s="295" t="str">
        <f>IF(B239="","",VLOOKUP($B239,'F-1 Off-Site WaterC'' Baseline'!$C$9:$R$257,2,FALSE))</f>
        <v/>
      </c>
      <c r="D239" s="295" t="str">
        <f>IF(C239="","",VLOOKUP($B239,'F-1 Off-Site WaterC'' Baseline'!$C$9:$R$257,3,FALSE))</f>
        <v/>
      </c>
      <c r="E239" s="295" t="str">
        <f>IF(D239="","",VLOOKUP($B239,'F-1 Off-Site WaterC'' Baseline'!$C$9:$R$257,4,FALSE))</f>
        <v/>
      </c>
      <c r="F239" s="295" t="str">
        <f>IF(E239="","",VLOOKUP($B239,'F-1 Off-Site WaterC'' Baseline'!$C$9:$R$257,5,FALSE))</f>
        <v/>
      </c>
      <c r="G239" s="295" t="str">
        <f>IF(F239="","",VLOOKUP($B239,'F-1 Off-Site WaterC'' Baseline'!$C$9:$R$257,6,FALSE))</f>
        <v/>
      </c>
      <c r="H239" s="295" t="str">
        <f>IF(G239="","",VLOOKUP($B239,'F-1 Off-Site WaterC'' Baseline'!$C$9:$R$257,7,FALSE))</f>
        <v/>
      </c>
      <c r="I239" s="295" t="str">
        <f>IF(H239="","",VLOOKUP($B239,'F-1 Off-Site WaterC'' Baseline'!$C$9:$R$257,8,FALSE))</f>
        <v/>
      </c>
      <c r="J239" s="295" t="str">
        <f>IF(I239="","",VLOOKUP($B239,'F-1 Off-Site WaterC'' Baseline'!$C$9:$R$257,9,FALSE))</f>
        <v/>
      </c>
      <c r="K239" s="295" t="str">
        <f>IF(J239="","",VLOOKUP($B239,'F-1 Off-Site WaterC'' Baseline'!$C$9:$R$257,10,FALSE))</f>
        <v/>
      </c>
      <c r="L239" s="283" t="str">
        <f>IF(B239="","",VLOOKUP($B239,'F-1 Off-Site WaterC'' Baseline'!$C$9:$R$257,15,FALSE))</f>
        <v/>
      </c>
      <c r="M239" s="299" t="str">
        <f>IF(L239="","",VLOOKUP($B239,'F-1 Off-Site WaterC'' Baseline'!$C$9:$V$257,19,FALSE))</f>
        <v/>
      </c>
      <c r="N239" s="244"/>
      <c r="O239" s="275" t="str">
        <f t="shared" si="36"/>
        <v/>
      </c>
      <c r="P239" s="276" t="str">
        <f t="shared" si="37"/>
        <v/>
      </c>
      <c r="Q239" s="281" t="str">
        <f>IF(N239="","",VLOOKUP(B239,'F-1 Off-Site WaterC'' Baseline'!$C$10:$AF$257,23,FALSE))</f>
        <v/>
      </c>
      <c r="R239" s="275" t="str">
        <f>IF(N239="","",VLOOKUP(N239,'G-7 WaterC'' Data'!$B$2:$G$8,2,FALSE))</f>
        <v/>
      </c>
      <c r="S239" s="276" t="str">
        <f>IFERROR(VLOOKUP(R239,'G-7 WaterC'' Data'!$C$4:$D$8,2,FALSE),"")</f>
        <v/>
      </c>
      <c r="T239" s="101"/>
      <c r="U239" s="276" t="str">
        <f>IFERROR(INDEX('G-7 WaterC'' Data'!$H$4:$L$8,MATCH(N239,'G-7 WaterC'' Data'!$B$4:$B$8,0),MATCH(T239,'G-7 WaterC'' Data'!$H$3:$L$3,0)),"")</f>
        <v/>
      </c>
      <c r="V239" s="105"/>
      <c r="W239" s="295" t="str">
        <f>IF(V239="","",IF(VLOOKUP(V239,'G-7 WaterC'' Data'!$AK$4:$AM$6,2,FALSE)=0,"Spatial Data Missing ⚠",VLOOKUP(V239,'G-7 WaterC'' Data'!$AK$4:$AM$6,2,FALSE)))</f>
        <v/>
      </c>
      <c r="X239" s="299" t="str">
        <f>IF(V239="","",IF(VLOOKUP(V239,'G-7 WaterC'' Data'!$AK$4:$AM$6,3,FALSE)=0,"Spatial Data Missing ⚠",VLOOKUP(V239,'G-7 WaterC'' Data'!$AK$4:$AM$6,3,FALSE)))</f>
        <v/>
      </c>
      <c r="Y239" s="311" t="str">
        <f>IFERROR(IF(OR(LEFT(P239,5)="Error",LEFT(O239,5)="Error"),"Check Data ⚠",IF(F239&lt;S239,'G-7 WaterC'' Data'!$R$3,INDEX('G-7 WaterC'' Data'!$U$5:$Y$9,MATCH(G239,'G-7 WaterC'' Data'!$T$5:$T$9,0),MATCH(T239,'G-7 WaterC'' Data'!$U$4:$Y$4,0)))),"")</f>
        <v/>
      </c>
      <c r="Z239" s="138"/>
      <c r="AA239" s="138"/>
      <c r="AB239" s="308" t="str">
        <f t="shared" si="33"/>
        <v/>
      </c>
      <c r="AC239" s="296" t="str">
        <f t="shared" si="38"/>
        <v/>
      </c>
      <c r="AD239" s="334" t="str">
        <f>IFERROR(IF(AC239="Check Data ⚠","Check Data ⚠",VLOOKUP(AC239,'G-4 Temporal multipliers'!$A$4:$C$37,3,FALSE)),"")</f>
        <v/>
      </c>
      <c r="AE239" s="311" t="str">
        <f>IF(N239="","",VLOOKUP(N239,'G-7 WaterC'' Data'!$B$4:$G$8,5,FALSE))</f>
        <v/>
      </c>
      <c r="AF239" s="295" t="str">
        <f t="shared" si="34"/>
        <v/>
      </c>
      <c r="AG239" s="295" t="str">
        <f t="shared" si="39"/>
        <v/>
      </c>
      <c r="AH239" s="276" t="str">
        <f t="shared" si="35"/>
        <v/>
      </c>
      <c r="AI239" s="105"/>
      <c r="AJ239" s="276" t="str">
        <f>IF(AI239="","",(IF(AND(AI239="N/A - Culvert",N239&lt;&gt;"Culvert"),"Not possible ▲",IF(VLOOKUP(AI239,'G-7 WaterC'' Data'!$AA$4:$AB$7,2,FALSE)=0,"Spatial Data Missing ⚠",VLOOKUP(AI239,'G-7 WaterC'' Data'!$AA$4:$AB$7,2,FALSE)))))</f>
        <v/>
      </c>
      <c r="AK239" s="106"/>
      <c r="AL239" s="310" t="str">
        <f>IF(AK239="","",IF(AND(AK239="N/A - Culvert",N239&lt;&gt;"Culvert"),"Not possible ▲",IF(VLOOKUP(AK239,'G-7 WaterC'' Data'!$AD$4:$AE$14,2,FALSE)=0,"Spatial Data Missing ⚠",VLOOKUP(AK239,'G-7 WaterC'' Data'!$AD$4:$AE$14,2,FALSE))))</f>
        <v/>
      </c>
      <c r="AM239" s="275" t="str">
        <f>IF(B239="","",VLOOKUP($B239,'F-1 Off-Site WaterC'' Baseline'!$C$9:$Z$257,17,FALSE))</f>
        <v/>
      </c>
      <c r="AN239" s="276" t="str">
        <f>IF(AM239="","",IF(VLOOKUP(AM239,'G-7 WaterC'' Data'!$AO$4:$BO$7,2,FALSE)=0,"Spatial Data Missing ⚠",VLOOKUP(AM239,'G-7 WaterC'' Data'!$AO$4:$BO$7,2,FALSE)))</f>
        <v/>
      </c>
      <c r="AO239" s="317" t="str">
        <f t="shared" si="40"/>
        <v/>
      </c>
      <c r="AP239" s="317" t="str">
        <f t="shared" si="41"/>
        <v/>
      </c>
      <c r="AQ239" s="101"/>
      <c r="AR239" s="115"/>
      <c r="AS239" s="104"/>
      <c r="AT239" s="104"/>
      <c r="AW239" s="30" t="str">
        <f>IF(E239="","",VLOOKUP($B239,'F-1 Off-Site WaterC'' Baseline'!$C$9:$Z$257,12,FALSE))</f>
        <v/>
      </c>
      <c r="AX239" s="30" t="str">
        <f>IF(E239="","",VLOOKUP($B239,'F-1 Off-Site WaterC'' Baseline'!$C$9:$Z$257,14,FALSE))</f>
        <v/>
      </c>
      <c r="AY239" s="30" t="str">
        <f>IFERROR(INDEX('G-7 WaterC'' Data'!$AZ$3:$AZ$7,MATCH(N239,'G-7 WaterC'' Data'!$AY$3:$AY$7,0)),"")</f>
        <v/>
      </c>
      <c r="AZ239" s="30" t="str">
        <f>IF(B239="","",IF(ISNA(VLOOKUP($B239,'F-1 Off-Site WaterC'' Baseline'!$C$8:$AD$257,20,FALSE)),"",(VLOOKUP($B239,'F-1 Off-Site WaterC'' Baseline'!$C$8:$AD$257,20,FALSE))))</f>
        <v/>
      </c>
      <c r="BC239" s="30" t="str">
        <f>IF(B239="","",VLOOKUP($B239,'F-1 Off-Site WaterC'' Baseline'!$C$9:$AB$257,25,FALSE))</f>
        <v/>
      </c>
      <c r="BD239" s="30" t="str">
        <f t="shared" si="42"/>
        <v/>
      </c>
      <c r="BE239" s="30" t="str">
        <f>IF(B239="","",VLOOKUP($B239,'F-1 Off-Site WaterC'' Baseline'!$C$9:$AB$257,24,FALSE))</f>
        <v/>
      </c>
      <c r="BF239" s="30" t="str">
        <f>IF(B239="","",VLOOKUP($B239,'F-1 Off-Site WaterC'' Baseline'!$C$9:$AB$257,22,FALSE))</f>
        <v/>
      </c>
      <c r="BJ239" s="30" t="str">
        <f t="shared" si="43"/>
        <v>No</v>
      </c>
    </row>
    <row r="240" spans="2:62" ht="14">
      <c r="B240" s="305" t="str">
        <f>'F-1 Off-Site WaterC'' Baseline'!AS238</f>
        <v/>
      </c>
      <c r="C240" s="295" t="str">
        <f>IF(B240="","",VLOOKUP($B240,'F-1 Off-Site WaterC'' Baseline'!$C$9:$R$257,2,FALSE))</f>
        <v/>
      </c>
      <c r="D240" s="295" t="str">
        <f>IF(C240="","",VLOOKUP($B240,'F-1 Off-Site WaterC'' Baseline'!$C$9:$R$257,3,FALSE))</f>
        <v/>
      </c>
      <c r="E240" s="295" t="str">
        <f>IF(D240="","",VLOOKUP($B240,'F-1 Off-Site WaterC'' Baseline'!$C$9:$R$257,4,FALSE))</f>
        <v/>
      </c>
      <c r="F240" s="295" t="str">
        <f>IF(E240="","",VLOOKUP($B240,'F-1 Off-Site WaterC'' Baseline'!$C$9:$R$257,5,FALSE))</f>
        <v/>
      </c>
      <c r="G240" s="295" t="str">
        <f>IF(F240="","",VLOOKUP($B240,'F-1 Off-Site WaterC'' Baseline'!$C$9:$R$257,6,FALSE))</f>
        <v/>
      </c>
      <c r="H240" s="295" t="str">
        <f>IF(G240="","",VLOOKUP($B240,'F-1 Off-Site WaterC'' Baseline'!$C$9:$R$257,7,FALSE))</f>
        <v/>
      </c>
      <c r="I240" s="295" t="str">
        <f>IF(H240="","",VLOOKUP($B240,'F-1 Off-Site WaterC'' Baseline'!$C$9:$R$257,8,FALSE))</f>
        <v/>
      </c>
      <c r="J240" s="295" t="str">
        <f>IF(I240="","",VLOOKUP($B240,'F-1 Off-Site WaterC'' Baseline'!$C$9:$R$257,9,FALSE))</f>
        <v/>
      </c>
      <c r="K240" s="295" t="str">
        <f>IF(J240="","",VLOOKUP($B240,'F-1 Off-Site WaterC'' Baseline'!$C$9:$R$257,10,FALSE))</f>
        <v/>
      </c>
      <c r="L240" s="283" t="str">
        <f>IF(B240="","",VLOOKUP($B240,'F-1 Off-Site WaterC'' Baseline'!$C$9:$R$257,15,FALSE))</f>
        <v/>
      </c>
      <c r="M240" s="299" t="str">
        <f>IF(L240="","",VLOOKUP($B240,'F-1 Off-Site WaterC'' Baseline'!$C$9:$V$257,19,FALSE))</f>
        <v/>
      </c>
      <c r="N240" s="244"/>
      <c r="O240" s="275" t="str">
        <f t="shared" si="36"/>
        <v/>
      </c>
      <c r="P240" s="276" t="str">
        <f t="shared" si="37"/>
        <v/>
      </c>
      <c r="Q240" s="281" t="str">
        <f>IF(N240="","",VLOOKUP(B240,'F-1 Off-Site WaterC'' Baseline'!$C$10:$AF$257,23,FALSE))</f>
        <v/>
      </c>
      <c r="R240" s="275" t="str">
        <f>IF(N240="","",VLOOKUP(N240,'G-7 WaterC'' Data'!$B$2:$G$8,2,FALSE))</f>
        <v/>
      </c>
      <c r="S240" s="276" t="str">
        <f>IFERROR(VLOOKUP(R240,'G-7 WaterC'' Data'!$C$4:$D$8,2,FALSE),"")</f>
        <v/>
      </c>
      <c r="T240" s="101"/>
      <c r="U240" s="276" t="str">
        <f>IFERROR(INDEX('G-7 WaterC'' Data'!$H$4:$L$8,MATCH(N240,'G-7 WaterC'' Data'!$B$4:$B$8,0),MATCH(T240,'G-7 WaterC'' Data'!$H$3:$L$3,0)),"")</f>
        <v/>
      </c>
      <c r="V240" s="105"/>
      <c r="W240" s="295" t="str">
        <f>IF(V240="","",IF(VLOOKUP(V240,'G-7 WaterC'' Data'!$AK$4:$AM$6,2,FALSE)=0,"Spatial Data Missing ⚠",VLOOKUP(V240,'G-7 WaterC'' Data'!$AK$4:$AM$6,2,FALSE)))</f>
        <v/>
      </c>
      <c r="X240" s="299" t="str">
        <f>IF(V240="","",IF(VLOOKUP(V240,'G-7 WaterC'' Data'!$AK$4:$AM$6,3,FALSE)=0,"Spatial Data Missing ⚠",VLOOKUP(V240,'G-7 WaterC'' Data'!$AK$4:$AM$6,3,FALSE)))</f>
        <v/>
      </c>
      <c r="Y240" s="311" t="str">
        <f>IFERROR(IF(OR(LEFT(P240,5)="Error",LEFT(O240,5)="Error"),"Check Data ⚠",IF(F240&lt;S240,'G-7 WaterC'' Data'!$R$3,INDEX('G-7 WaterC'' Data'!$U$5:$Y$9,MATCH(G240,'G-7 WaterC'' Data'!$T$5:$T$9,0),MATCH(T240,'G-7 WaterC'' Data'!$U$4:$Y$4,0)))),"")</f>
        <v/>
      </c>
      <c r="Z240" s="138"/>
      <c r="AA240" s="138"/>
      <c r="AB240" s="308" t="str">
        <f t="shared" si="33"/>
        <v/>
      </c>
      <c r="AC240" s="296" t="str">
        <f t="shared" si="38"/>
        <v/>
      </c>
      <c r="AD240" s="334" t="str">
        <f>IFERROR(IF(AC240="Check Data ⚠","Check Data ⚠",VLOOKUP(AC240,'G-4 Temporal multipliers'!$A$4:$C$37,3,FALSE)),"")</f>
        <v/>
      </c>
      <c r="AE240" s="311" t="str">
        <f>IF(N240="","",VLOOKUP(N240,'G-7 WaterC'' Data'!$B$4:$G$8,5,FALSE))</f>
        <v/>
      </c>
      <c r="AF240" s="295" t="str">
        <f t="shared" si="34"/>
        <v/>
      </c>
      <c r="AG240" s="295" t="str">
        <f t="shared" si="39"/>
        <v/>
      </c>
      <c r="AH240" s="276" t="str">
        <f t="shared" si="35"/>
        <v/>
      </c>
      <c r="AI240" s="105"/>
      <c r="AJ240" s="276" t="str">
        <f>IF(AI240="","",(IF(AND(AI240="N/A - Culvert",N240&lt;&gt;"Culvert"),"Not possible ▲",IF(VLOOKUP(AI240,'G-7 WaterC'' Data'!$AA$4:$AB$7,2,FALSE)=0,"Spatial Data Missing ⚠",VLOOKUP(AI240,'G-7 WaterC'' Data'!$AA$4:$AB$7,2,FALSE)))))</f>
        <v/>
      </c>
      <c r="AK240" s="106"/>
      <c r="AL240" s="310" t="str">
        <f>IF(AK240="","",IF(AND(AK240="N/A - Culvert",N240&lt;&gt;"Culvert"),"Not possible ▲",IF(VLOOKUP(AK240,'G-7 WaterC'' Data'!$AD$4:$AE$14,2,FALSE)=0,"Spatial Data Missing ⚠",VLOOKUP(AK240,'G-7 WaterC'' Data'!$AD$4:$AE$14,2,FALSE))))</f>
        <v/>
      </c>
      <c r="AM240" s="275" t="str">
        <f>IF(B240="","",VLOOKUP($B240,'F-1 Off-Site WaterC'' Baseline'!$C$9:$Z$257,17,FALSE))</f>
        <v/>
      </c>
      <c r="AN240" s="276" t="str">
        <f>IF(AM240="","",IF(VLOOKUP(AM240,'G-7 WaterC'' Data'!$AO$4:$BO$7,2,FALSE)=0,"Spatial Data Missing ⚠",VLOOKUP(AM240,'G-7 WaterC'' Data'!$AO$4:$BO$7,2,FALSE)))</f>
        <v/>
      </c>
      <c r="AO240" s="317" t="str">
        <f t="shared" si="40"/>
        <v/>
      </c>
      <c r="AP240" s="317" t="str">
        <f t="shared" si="41"/>
        <v/>
      </c>
      <c r="AQ240" s="101"/>
      <c r="AR240" s="115"/>
      <c r="AS240" s="104"/>
      <c r="AT240" s="104"/>
      <c r="AW240" s="30" t="str">
        <f>IF(E240="","",VLOOKUP($B240,'F-1 Off-Site WaterC'' Baseline'!$C$9:$Z$257,12,FALSE))</f>
        <v/>
      </c>
      <c r="AX240" s="30" t="str">
        <f>IF(E240="","",VLOOKUP($B240,'F-1 Off-Site WaterC'' Baseline'!$C$9:$Z$257,14,FALSE))</f>
        <v/>
      </c>
      <c r="AY240" s="30" t="str">
        <f>IFERROR(INDEX('G-7 WaterC'' Data'!$AZ$3:$AZ$7,MATCH(N240,'G-7 WaterC'' Data'!$AY$3:$AY$7,0)),"")</f>
        <v/>
      </c>
      <c r="AZ240" s="30" t="str">
        <f>IF(B240="","",IF(ISNA(VLOOKUP($B240,'F-1 Off-Site WaterC'' Baseline'!$C$8:$AD$257,20,FALSE)),"",(VLOOKUP($B240,'F-1 Off-Site WaterC'' Baseline'!$C$8:$AD$257,20,FALSE))))</f>
        <v/>
      </c>
      <c r="BC240" s="30" t="str">
        <f>IF(B240="","",VLOOKUP($B240,'F-1 Off-Site WaterC'' Baseline'!$C$9:$AB$257,25,FALSE))</f>
        <v/>
      </c>
      <c r="BD240" s="30" t="str">
        <f t="shared" si="42"/>
        <v/>
      </c>
      <c r="BE240" s="30" t="str">
        <f>IF(B240="","",VLOOKUP($B240,'F-1 Off-Site WaterC'' Baseline'!$C$9:$AB$257,24,FALSE))</f>
        <v/>
      </c>
      <c r="BF240" s="30" t="str">
        <f>IF(B240="","",VLOOKUP($B240,'F-1 Off-Site WaterC'' Baseline'!$C$9:$AB$257,22,FALSE))</f>
        <v/>
      </c>
      <c r="BJ240" s="30" t="str">
        <f t="shared" si="43"/>
        <v>No</v>
      </c>
    </row>
    <row r="241" spans="2:62" ht="14">
      <c r="B241" s="305" t="str">
        <f>'F-1 Off-Site WaterC'' Baseline'!AS239</f>
        <v/>
      </c>
      <c r="C241" s="295" t="str">
        <f>IF(B241="","",VLOOKUP($B241,'F-1 Off-Site WaterC'' Baseline'!$C$9:$R$257,2,FALSE))</f>
        <v/>
      </c>
      <c r="D241" s="295" t="str">
        <f>IF(C241="","",VLOOKUP($B241,'F-1 Off-Site WaterC'' Baseline'!$C$9:$R$257,3,FALSE))</f>
        <v/>
      </c>
      <c r="E241" s="295" t="str">
        <f>IF(D241="","",VLOOKUP($B241,'F-1 Off-Site WaterC'' Baseline'!$C$9:$R$257,4,FALSE))</f>
        <v/>
      </c>
      <c r="F241" s="295" t="str">
        <f>IF(E241="","",VLOOKUP($B241,'F-1 Off-Site WaterC'' Baseline'!$C$9:$R$257,5,FALSE))</f>
        <v/>
      </c>
      <c r="G241" s="295" t="str">
        <f>IF(F241="","",VLOOKUP($B241,'F-1 Off-Site WaterC'' Baseline'!$C$9:$R$257,6,FALSE))</f>
        <v/>
      </c>
      <c r="H241" s="295" t="str">
        <f>IF(G241="","",VLOOKUP($B241,'F-1 Off-Site WaterC'' Baseline'!$C$9:$R$257,7,FALSE))</f>
        <v/>
      </c>
      <c r="I241" s="295" t="str">
        <f>IF(H241="","",VLOOKUP($B241,'F-1 Off-Site WaterC'' Baseline'!$C$9:$R$257,8,FALSE))</f>
        <v/>
      </c>
      <c r="J241" s="295" t="str">
        <f>IF(I241="","",VLOOKUP($B241,'F-1 Off-Site WaterC'' Baseline'!$C$9:$R$257,9,FALSE))</f>
        <v/>
      </c>
      <c r="K241" s="295" t="str">
        <f>IF(J241="","",VLOOKUP($B241,'F-1 Off-Site WaterC'' Baseline'!$C$9:$R$257,10,FALSE))</f>
        <v/>
      </c>
      <c r="L241" s="283" t="str">
        <f>IF(B241="","",VLOOKUP($B241,'F-1 Off-Site WaterC'' Baseline'!$C$9:$R$257,15,FALSE))</f>
        <v/>
      </c>
      <c r="M241" s="299" t="str">
        <f>IF(L241="","",VLOOKUP($B241,'F-1 Off-Site WaterC'' Baseline'!$C$9:$V$257,19,FALSE))</f>
        <v/>
      </c>
      <c r="N241" s="244"/>
      <c r="O241" s="275" t="str">
        <f t="shared" si="36"/>
        <v/>
      </c>
      <c r="P241" s="276" t="str">
        <f t="shared" si="37"/>
        <v/>
      </c>
      <c r="Q241" s="281" t="str">
        <f>IF(N241="","",VLOOKUP(B241,'F-1 Off-Site WaterC'' Baseline'!$C$10:$AF$257,23,FALSE))</f>
        <v/>
      </c>
      <c r="R241" s="275" t="str">
        <f>IF(N241="","",VLOOKUP(N241,'G-7 WaterC'' Data'!$B$2:$G$8,2,FALSE))</f>
        <v/>
      </c>
      <c r="S241" s="276" t="str">
        <f>IFERROR(VLOOKUP(R241,'G-7 WaterC'' Data'!$C$4:$D$8,2,FALSE),"")</f>
        <v/>
      </c>
      <c r="T241" s="101"/>
      <c r="U241" s="276" t="str">
        <f>IFERROR(INDEX('G-7 WaterC'' Data'!$H$4:$L$8,MATCH(N241,'G-7 WaterC'' Data'!$B$4:$B$8,0),MATCH(T241,'G-7 WaterC'' Data'!$H$3:$L$3,0)),"")</f>
        <v/>
      </c>
      <c r="V241" s="105"/>
      <c r="W241" s="295" t="str">
        <f>IF(V241="","",IF(VLOOKUP(V241,'G-7 WaterC'' Data'!$AK$4:$AM$6,2,FALSE)=0,"Spatial Data Missing ⚠",VLOOKUP(V241,'G-7 WaterC'' Data'!$AK$4:$AM$6,2,FALSE)))</f>
        <v/>
      </c>
      <c r="X241" s="299" t="str">
        <f>IF(V241="","",IF(VLOOKUP(V241,'G-7 WaterC'' Data'!$AK$4:$AM$6,3,FALSE)=0,"Spatial Data Missing ⚠",VLOOKUP(V241,'G-7 WaterC'' Data'!$AK$4:$AM$6,3,FALSE)))</f>
        <v/>
      </c>
      <c r="Y241" s="311" t="str">
        <f>IFERROR(IF(OR(LEFT(P241,5)="Error",LEFT(O241,5)="Error"),"Check Data ⚠",IF(F241&lt;S241,'G-7 WaterC'' Data'!$R$3,INDEX('G-7 WaterC'' Data'!$U$5:$Y$9,MATCH(G241,'G-7 WaterC'' Data'!$T$5:$T$9,0),MATCH(T241,'G-7 WaterC'' Data'!$U$4:$Y$4,0)))),"")</f>
        <v/>
      </c>
      <c r="Z241" s="138"/>
      <c r="AA241" s="138"/>
      <c r="AB241" s="308" t="str">
        <f t="shared" si="33"/>
        <v/>
      </c>
      <c r="AC241" s="296" t="str">
        <f t="shared" si="38"/>
        <v/>
      </c>
      <c r="AD241" s="334" t="str">
        <f>IFERROR(IF(AC241="Check Data ⚠","Check Data ⚠",VLOOKUP(AC241,'G-4 Temporal multipliers'!$A$4:$C$37,3,FALSE)),"")</f>
        <v/>
      </c>
      <c r="AE241" s="311" t="str">
        <f>IF(N241="","",VLOOKUP(N241,'G-7 WaterC'' Data'!$B$4:$G$8,5,FALSE))</f>
        <v/>
      </c>
      <c r="AF241" s="295" t="str">
        <f t="shared" si="34"/>
        <v/>
      </c>
      <c r="AG241" s="295" t="str">
        <f t="shared" si="39"/>
        <v/>
      </c>
      <c r="AH241" s="276" t="str">
        <f t="shared" si="35"/>
        <v/>
      </c>
      <c r="AI241" s="105"/>
      <c r="AJ241" s="276" t="str">
        <f>IF(AI241="","",(IF(AND(AI241="N/A - Culvert",N241&lt;&gt;"Culvert"),"Not possible ▲",IF(VLOOKUP(AI241,'G-7 WaterC'' Data'!$AA$4:$AB$7,2,FALSE)=0,"Spatial Data Missing ⚠",VLOOKUP(AI241,'G-7 WaterC'' Data'!$AA$4:$AB$7,2,FALSE)))))</f>
        <v/>
      </c>
      <c r="AK241" s="106"/>
      <c r="AL241" s="310" t="str">
        <f>IF(AK241="","",IF(AND(AK241="N/A - Culvert",N241&lt;&gt;"Culvert"),"Not possible ▲",IF(VLOOKUP(AK241,'G-7 WaterC'' Data'!$AD$4:$AE$14,2,FALSE)=0,"Spatial Data Missing ⚠",VLOOKUP(AK241,'G-7 WaterC'' Data'!$AD$4:$AE$14,2,FALSE))))</f>
        <v/>
      </c>
      <c r="AM241" s="275" t="str">
        <f>IF(B241="","",VLOOKUP($B241,'F-1 Off-Site WaterC'' Baseline'!$C$9:$Z$257,17,FALSE))</f>
        <v/>
      </c>
      <c r="AN241" s="276" t="str">
        <f>IF(AM241="","",IF(VLOOKUP(AM241,'G-7 WaterC'' Data'!$AO$4:$BO$7,2,FALSE)=0,"Spatial Data Missing ⚠",VLOOKUP(AM241,'G-7 WaterC'' Data'!$AO$4:$BO$7,2,FALSE)))</f>
        <v/>
      </c>
      <c r="AO241" s="317" t="str">
        <f t="shared" si="40"/>
        <v/>
      </c>
      <c r="AP241" s="317" t="str">
        <f t="shared" si="41"/>
        <v/>
      </c>
      <c r="AQ241" s="101"/>
      <c r="AR241" s="115"/>
      <c r="AS241" s="104"/>
      <c r="AT241" s="104"/>
      <c r="AW241" s="30" t="str">
        <f>IF(E241="","",VLOOKUP($B241,'F-1 Off-Site WaterC'' Baseline'!$C$9:$Z$257,12,FALSE))</f>
        <v/>
      </c>
      <c r="AX241" s="30" t="str">
        <f>IF(E241="","",VLOOKUP($B241,'F-1 Off-Site WaterC'' Baseline'!$C$9:$Z$257,14,FALSE))</f>
        <v/>
      </c>
      <c r="AY241" s="30" t="str">
        <f>IFERROR(INDEX('G-7 WaterC'' Data'!$AZ$3:$AZ$7,MATCH(N241,'G-7 WaterC'' Data'!$AY$3:$AY$7,0)),"")</f>
        <v/>
      </c>
      <c r="AZ241" s="30" t="str">
        <f>IF(B241="","",IF(ISNA(VLOOKUP($B241,'F-1 Off-Site WaterC'' Baseline'!$C$8:$AD$257,20,FALSE)),"",(VLOOKUP($B241,'F-1 Off-Site WaterC'' Baseline'!$C$8:$AD$257,20,FALSE))))</f>
        <v/>
      </c>
      <c r="BC241" s="30" t="str">
        <f>IF(B241="","",VLOOKUP($B241,'F-1 Off-Site WaterC'' Baseline'!$C$9:$AB$257,25,FALSE))</f>
        <v/>
      </c>
      <c r="BD241" s="30" t="str">
        <f t="shared" si="42"/>
        <v/>
      </c>
      <c r="BE241" s="30" t="str">
        <f>IF(B241="","",VLOOKUP($B241,'F-1 Off-Site WaterC'' Baseline'!$C$9:$AB$257,24,FALSE))</f>
        <v/>
      </c>
      <c r="BF241" s="30" t="str">
        <f>IF(B241="","",VLOOKUP($B241,'F-1 Off-Site WaterC'' Baseline'!$C$9:$AB$257,22,FALSE))</f>
        <v/>
      </c>
      <c r="BJ241" s="30" t="str">
        <f t="shared" si="43"/>
        <v>No</v>
      </c>
    </row>
    <row r="242" spans="2:62" ht="14">
      <c r="B242" s="305" t="str">
        <f>'F-1 Off-Site WaterC'' Baseline'!AS240</f>
        <v/>
      </c>
      <c r="C242" s="295" t="str">
        <f>IF(B242="","",VLOOKUP($B242,'F-1 Off-Site WaterC'' Baseline'!$C$9:$R$257,2,FALSE))</f>
        <v/>
      </c>
      <c r="D242" s="295" t="str">
        <f>IF(C242="","",VLOOKUP($B242,'F-1 Off-Site WaterC'' Baseline'!$C$9:$R$257,3,FALSE))</f>
        <v/>
      </c>
      <c r="E242" s="295" t="str">
        <f>IF(D242="","",VLOOKUP($B242,'F-1 Off-Site WaterC'' Baseline'!$C$9:$R$257,4,FALSE))</f>
        <v/>
      </c>
      <c r="F242" s="295" t="str">
        <f>IF(E242="","",VLOOKUP($B242,'F-1 Off-Site WaterC'' Baseline'!$C$9:$R$257,5,FALSE))</f>
        <v/>
      </c>
      <c r="G242" s="295" t="str">
        <f>IF(F242="","",VLOOKUP($B242,'F-1 Off-Site WaterC'' Baseline'!$C$9:$R$257,6,FALSE))</f>
        <v/>
      </c>
      <c r="H242" s="295" t="str">
        <f>IF(G242="","",VLOOKUP($B242,'F-1 Off-Site WaterC'' Baseline'!$C$9:$R$257,7,FALSE))</f>
        <v/>
      </c>
      <c r="I242" s="295" t="str">
        <f>IF(H242="","",VLOOKUP($B242,'F-1 Off-Site WaterC'' Baseline'!$C$9:$R$257,8,FALSE))</f>
        <v/>
      </c>
      <c r="J242" s="295" t="str">
        <f>IF(I242="","",VLOOKUP($B242,'F-1 Off-Site WaterC'' Baseline'!$C$9:$R$257,9,FALSE))</f>
        <v/>
      </c>
      <c r="K242" s="295" t="str">
        <f>IF(J242="","",VLOOKUP($B242,'F-1 Off-Site WaterC'' Baseline'!$C$9:$R$257,10,FALSE))</f>
        <v/>
      </c>
      <c r="L242" s="283" t="str">
        <f>IF(B242="","",VLOOKUP($B242,'F-1 Off-Site WaterC'' Baseline'!$C$9:$R$257,15,FALSE))</f>
        <v/>
      </c>
      <c r="M242" s="299" t="str">
        <f>IF(L242="","",VLOOKUP($B242,'F-1 Off-Site WaterC'' Baseline'!$C$9:$V$257,19,FALSE))</f>
        <v/>
      </c>
      <c r="N242" s="244"/>
      <c r="O242" s="275" t="str">
        <f t="shared" si="36"/>
        <v/>
      </c>
      <c r="P242" s="276" t="str">
        <f t="shared" si="37"/>
        <v/>
      </c>
      <c r="Q242" s="281" t="str">
        <f>IF(N242="","",VLOOKUP(B242,'F-1 Off-Site WaterC'' Baseline'!$C$10:$AF$257,23,FALSE))</f>
        <v/>
      </c>
      <c r="R242" s="275" t="str">
        <f>IF(N242="","",VLOOKUP(N242,'G-7 WaterC'' Data'!$B$2:$G$8,2,FALSE))</f>
        <v/>
      </c>
      <c r="S242" s="276" t="str">
        <f>IFERROR(VLOOKUP(R242,'G-7 WaterC'' Data'!$C$4:$D$8,2,FALSE),"")</f>
        <v/>
      </c>
      <c r="T242" s="101"/>
      <c r="U242" s="276" t="str">
        <f>IFERROR(INDEX('G-7 WaterC'' Data'!$H$4:$L$8,MATCH(N242,'G-7 WaterC'' Data'!$B$4:$B$8,0),MATCH(T242,'G-7 WaterC'' Data'!$H$3:$L$3,0)),"")</f>
        <v/>
      </c>
      <c r="V242" s="105"/>
      <c r="W242" s="295" t="str">
        <f>IF(V242="","",IF(VLOOKUP(V242,'G-7 WaterC'' Data'!$AK$4:$AM$6,2,FALSE)=0,"Spatial Data Missing ⚠",VLOOKUP(V242,'G-7 WaterC'' Data'!$AK$4:$AM$6,2,FALSE)))</f>
        <v/>
      </c>
      <c r="X242" s="299" t="str">
        <f>IF(V242="","",IF(VLOOKUP(V242,'G-7 WaterC'' Data'!$AK$4:$AM$6,3,FALSE)=0,"Spatial Data Missing ⚠",VLOOKUP(V242,'G-7 WaterC'' Data'!$AK$4:$AM$6,3,FALSE)))</f>
        <v/>
      </c>
      <c r="Y242" s="311" t="str">
        <f>IFERROR(IF(OR(LEFT(P242,5)="Error",LEFT(O242,5)="Error"),"Check Data ⚠",IF(F242&lt;S242,'G-7 WaterC'' Data'!$R$3,INDEX('G-7 WaterC'' Data'!$U$5:$Y$9,MATCH(G242,'G-7 WaterC'' Data'!$T$5:$T$9,0),MATCH(T242,'G-7 WaterC'' Data'!$U$4:$Y$4,0)))),"")</f>
        <v/>
      </c>
      <c r="Z242" s="138"/>
      <c r="AA242" s="138"/>
      <c r="AB242" s="308" t="str">
        <f t="shared" si="33"/>
        <v/>
      </c>
      <c r="AC242" s="296" t="str">
        <f t="shared" si="38"/>
        <v/>
      </c>
      <c r="AD242" s="334" t="str">
        <f>IFERROR(IF(AC242="Check Data ⚠","Check Data ⚠",VLOOKUP(AC242,'G-4 Temporal multipliers'!$A$4:$C$37,3,FALSE)),"")</f>
        <v/>
      </c>
      <c r="AE242" s="311" t="str">
        <f>IF(N242="","",VLOOKUP(N242,'G-7 WaterC'' Data'!$B$4:$G$8,5,FALSE))</f>
        <v/>
      </c>
      <c r="AF242" s="295" t="str">
        <f t="shared" si="34"/>
        <v/>
      </c>
      <c r="AG242" s="295" t="str">
        <f t="shared" si="39"/>
        <v/>
      </c>
      <c r="AH242" s="276" t="str">
        <f t="shared" si="35"/>
        <v/>
      </c>
      <c r="AI242" s="105"/>
      <c r="AJ242" s="276" t="str">
        <f>IF(AI242="","",(IF(AND(AI242="N/A - Culvert",N242&lt;&gt;"Culvert"),"Not possible ▲",IF(VLOOKUP(AI242,'G-7 WaterC'' Data'!$AA$4:$AB$7,2,FALSE)=0,"Spatial Data Missing ⚠",VLOOKUP(AI242,'G-7 WaterC'' Data'!$AA$4:$AB$7,2,FALSE)))))</f>
        <v/>
      </c>
      <c r="AK242" s="106"/>
      <c r="AL242" s="310" t="str">
        <f>IF(AK242="","",IF(AND(AK242="N/A - Culvert",N242&lt;&gt;"Culvert"),"Not possible ▲",IF(VLOOKUP(AK242,'G-7 WaterC'' Data'!$AD$4:$AE$14,2,FALSE)=0,"Spatial Data Missing ⚠",VLOOKUP(AK242,'G-7 WaterC'' Data'!$AD$4:$AE$14,2,FALSE))))</f>
        <v/>
      </c>
      <c r="AM242" s="275" t="str">
        <f>IF(B242="","",VLOOKUP($B242,'F-1 Off-Site WaterC'' Baseline'!$C$9:$Z$257,17,FALSE))</f>
        <v/>
      </c>
      <c r="AN242" s="276" t="str">
        <f>IF(AM242="","",IF(VLOOKUP(AM242,'G-7 WaterC'' Data'!$AO$4:$BO$7,2,FALSE)=0,"Spatial Data Missing ⚠",VLOOKUP(AM242,'G-7 WaterC'' Data'!$AO$4:$BO$7,2,FALSE)))</f>
        <v/>
      </c>
      <c r="AO242" s="317" t="str">
        <f t="shared" si="40"/>
        <v/>
      </c>
      <c r="AP242" s="317" t="str">
        <f t="shared" si="41"/>
        <v/>
      </c>
      <c r="AQ242" s="101"/>
      <c r="AR242" s="115"/>
      <c r="AS242" s="104"/>
      <c r="AT242" s="104"/>
      <c r="AW242" s="30" t="str">
        <f>IF(E242="","",VLOOKUP($B242,'F-1 Off-Site WaterC'' Baseline'!$C$9:$Z$257,12,FALSE))</f>
        <v/>
      </c>
      <c r="AX242" s="30" t="str">
        <f>IF(E242="","",VLOOKUP($B242,'F-1 Off-Site WaterC'' Baseline'!$C$9:$Z$257,14,FALSE))</f>
        <v/>
      </c>
      <c r="AY242" s="30" t="str">
        <f>IFERROR(INDEX('G-7 WaterC'' Data'!$AZ$3:$AZ$7,MATCH(N242,'G-7 WaterC'' Data'!$AY$3:$AY$7,0)),"")</f>
        <v/>
      </c>
      <c r="AZ242" s="30" t="str">
        <f>IF(B242="","",IF(ISNA(VLOOKUP($B242,'F-1 Off-Site WaterC'' Baseline'!$C$8:$AD$257,20,FALSE)),"",(VLOOKUP($B242,'F-1 Off-Site WaterC'' Baseline'!$C$8:$AD$257,20,FALSE))))</f>
        <v/>
      </c>
      <c r="BC242" s="30" t="str">
        <f>IF(B242="","",VLOOKUP($B242,'F-1 Off-Site WaterC'' Baseline'!$C$9:$AB$257,25,FALSE))</f>
        <v/>
      </c>
      <c r="BD242" s="30" t="str">
        <f t="shared" si="42"/>
        <v/>
      </c>
      <c r="BE242" s="30" t="str">
        <f>IF(B242="","",VLOOKUP($B242,'F-1 Off-Site WaterC'' Baseline'!$C$9:$AB$257,24,FALSE))</f>
        <v/>
      </c>
      <c r="BF242" s="30" t="str">
        <f>IF(B242="","",VLOOKUP($B242,'F-1 Off-Site WaterC'' Baseline'!$C$9:$AB$257,22,FALSE))</f>
        <v/>
      </c>
      <c r="BJ242" s="30" t="str">
        <f t="shared" si="43"/>
        <v>No</v>
      </c>
    </row>
    <row r="243" spans="2:62" ht="14">
      <c r="B243" s="305" t="str">
        <f>'F-1 Off-Site WaterC'' Baseline'!AS241</f>
        <v/>
      </c>
      <c r="C243" s="295" t="str">
        <f>IF(B243="","",VLOOKUP($B243,'F-1 Off-Site WaterC'' Baseline'!$C$9:$R$257,2,FALSE))</f>
        <v/>
      </c>
      <c r="D243" s="295" t="str">
        <f>IF(C243="","",VLOOKUP($B243,'F-1 Off-Site WaterC'' Baseline'!$C$9:$R$257,3,FALSE))</f>
        <v/>
      </c>
      <c r="E243" s="295" t="str">
        <f>IF(D243="","",VLOOKUP($B243,'F-1 Off-Site WaterC'' Baseline'!$C$9:$R$257,4,FALSE))</f>
        <v/>
      </c>
      <c r="F243" s="295" t="str">
        <f>IF(E243="","",VLOOKUP($B243,'F-1 Off-Site WaterC'' Baseline'!$C$9:$R$257,5,FALSE))</f>
        <v/>
      </c>
      <c r="G243" s="295" t="str">
        <f>IF(F243="","",VLOOKUP($B243,'F-1 Off-Site WaterC'' Baseline'!$C$9:$R$257,6,FALSE))</f>
        <v/>
      </c>
      <c r="H243" s="295" t="str">
        <f>IF(G243="","",VLOOKUP($B243,'F-1 Off-Site WaterC'' Baseline'!$C$9:$R$257,7,FALSE))</f>
        <v/>
      </c>
      <c r="I243" s="295" t="str">
        <f>IF(H243="","",VLOOKUP($B243,'F-1 Off-Site WaterC'' Baseline'!$C$9:$R$257,8,FALSE))</f>
        <v/>
      </c>
      <c r="J243" s="295" t="str">
        <f>IF(I243="","",VLOOKUP($B243,'F-1 Off-Site WaterC'' Baseline'!$C$9:$R$257,9,FALSE))</f>
        <v/>
      </c>
      <c r="K243" s="295" t="str">
        <f>IF(J243="","",VLOOKUP($B243,'F-1 Off-Site WaterC'' Baseline'!$C$9:$R$257,10,FALSE))</f>
        <v/>
      </c>
      <c r="L243" s="283" t="str">
        <f>IF(B243="","",VLOOKUP($B243,'F-1 Off-Site WaterC'' Baseline'!$C$9:$R$257,15,FALSE))</f>
        <v/>
      </c>
      <c r="M243" s="299" t="str">
        <f>IF(L243="","",VLOOKUP($B243,'F-1 Off-Site WaterC'' Baseline'!$C$9:$V$257,19,FALSE))</f>
        <v/>
      </c>
      <c r="N243" s="244"/>
      <c r="O243" s="275" t="str">
        <f t="shared" si="36"/>
        <v/>
      </c>
      <c r="P243" s="276" t="str">
        <f t="shared" si="37"/>
        <v/>
      </c>
      <c r="Q243" s="281" t="str">
        <f>IF(N243="","",VLOOKUP(B243,'F-1 Off-Site WaterC'' Baseline'!$C$10:$AF$257,23,FALSE))</f>
        <v/>
      </c>
      <c r="R243" s="275" t="str">
        <f>IF(N243="","",VLOOKUP(N243,'G-7 WaterC'' Data'!$B$2:$G$8,2,FALSE))</f>
        <v/>
      </c>
      <c r="S243" s="276" t="str">
        <f>IFERROR(VLOOKUP(R243,'G-7 WaterC'' Data'!$C$4:$D$8,2,FALSE),"")</f>
        <v/>
      </c>
      <c r="T243" s="101"/>
      <c r="U243" s="276" t="str">
        <f>IFERROR(INDEX('G-7 WaterC'' Data'!$H$4:$L$8,MATCH(N243,'G-7 WaterC'' Data'!$B$4:$B$8,0),MATCH(T243,'G-7 WaterC'' Data'!$H$3:$L$3,0)),"")</f>
        <v/>
      </c>
      <c r="V243" s="105"/>
      <c r="W243" s="295" t="str">
        <f>IF(V243="","",IF(VLOOKUP(V243,'G-7 WaterC'' Data'!$AK$4:$AM$6,2,FALSE)=0,"Spatial Data Missing ⚠",VLOOKUP(V243,'G-7 WaterC'' Data'!$AK$4:$AM$6,2,FALSE)))</f>
        <v/>
      </c>
      <c r="X243" s="299" t="str">
        <f>IF(V243="","",IF(VLOOKUP(V243,'G-7 WaterC'' Data'!$AK$4:$AM$6,3,FALSE)=0,"Spatial Data Missing ⚠",VLOOKUP(V243,'G-7 WaterC'' Data'!$AK$4:$AM$6,3,FALSE)))</f>
        <v/>
      </c>
      <c r="Y243" s="311" t="str">
        <f>IFERROR(IF(OR(LEFT(P243,5)="Error",LEFT(O243,5)="Error"),"Check Data ⚠",IF(F243&lt;S243,'G-7 WaterC'' Data'!$R$3,INDEX('G-7 WaterC'' Data'!$U$5:$Y$9,MATCH(G243,'G-7 WaterC'' Data'!$T$5:$T$9,0),MATCH(T243,'G-7 WaterC'' Data'!$U$4:$Y$4,0)))),"")</f>
        <v/>
      </c>
      <c r="Z243" s="138"/>
      <c r="AA243" s="138"/>
      <c r="AB243" s="308" t="str">
        <f t="shared" si="33"/>
        <v/>
      </c>
      <c r="AC243" s="296" t="str">
        <f t="shared" si="38"/>
        <v/>
      </c>
      <c r="AD243" s="334" t="str">
        <f>IFERROR(IF(AC243="Check Data ⚠","Check Data ⚠",VLOOKUP(AC243,'G-4 Temporal multipliers'!$A$4:$C$37,3,FALSE)),"")</f>
        <v/>
      </c>
      <c r="AE243" s="311" t="str">
        <f>IF(N243="","",VLOOKUP(N243,'G-7 WaterC'' Data'!$B$4:$G$8,5,FALSE))</f>
        <v/>
      </c>
      <c r="AF243" s="295" t="str">
        <f t="shared" si="34"/>
        <v/>
      </c>
      <c r="AG243" s="295" t="str">
        <f t="shared" si="39"/>
        <v/>
      </c>
      <c r="AH243" s="276" t="str">
        <f t="shared" si="35"/>
        <v/>
      </c>
      <c r="AI243" s="105"/>
      <c r="AJ243" s="276" t="str">
        <f>IF(AI243="","",(IF(AND(AI243="N/A - Culvert",N243&lt;&gt;"Culvert"),"Not possible ▲",IF(VLOOKUP(AI243,'G-7 WaterC'' Data'!$AA$4:$AB$7,2,FALSE)=0,"Spatial Data Missing ⚠",VLOOKUP(AI243,'G-7 WaterC'' Data'!$AA$4:$AB$7,2,FALSE)))))</f>
        <v/>
      </c>
      <c r="AK243" s="106"/>
      <c r="AL243" s="310" t="str">
        <f>IF(AK243="","",IF(AND(AK243="N/A - Culvert",N243&lt;&gt;"Culvert"),"Not possible ▲",IF(VLOOKUP(AK243,'G-7 WaterC'' Data'!$AD$4:$AE$14,2,FALSE)=0,"Spatial Data Missing ⚠",VLOOKUP(AK243,'G-7 WaterC'' Data'!$AD$4:$AE$14,2,FALSE))))</f>
        <v/>
      </c>
      <c r="AM243" s="275" t="str">
        <f>IF(B243="","",VLOOKUP($B243,'F-1 Off-Site WaterC'' Baseline'!$C$9:$Z$257,17,FALSE))</f>
        <v/>
      </c>
      <c r="AN243" s="276" t="str">
        <f>IF(AM243="","",IF(VLOOKUP(AM243,'G-7 WaterC'' Data'!$AO$4:$BO$7,2,FALSE)=0,"Spatial Data Missing ⚠",VLOOKUP(AM243,'G-7 WaterC'' Data'!$AO$4:$BO$7,2,FALSE)))</f>
        <v/>
      </c>
      <c r="AO243" s="317" t="str">
        <f t="shared" si="40"/>
        <v/>
      </c>
      <c r="AP243" s="317" t="str">
        <f t="shared" si="41"/>
        <v/>
      </c>
      <c r="AQ243" s="52"/>
      <c r="AR243" s="51"/>
      <c r="AS243" s="104"/>
      <c r="AT243" s="104"/>
      <c r="AW243" s="30" t="str">
        <f>IF(E243="","",VLOOKUP($B243,'F-1 Off-Site WaterC'' Baseline'!$C$9:$Z$257,12,FALSE))</f>
        <v/>
      </c>
      <c r="AX243" s="30" t="str">
        <f>IF(E243="","",VLOOKUP($B243,'F-1 Off-Site WaterC'' Baseline'!$C$9:$Z$257,14,FALSE))</f>
        <v/>
      </c>
      <c r="AY243" s="30" t="str">
        <f>IFERROR(INDEX('G-7 WaterC'' Data'!$AZ$3:$AZ$7,MATCH(N243,'G-7 WaterC'' Data'!$AY$3:$AY$7,0)),"")</f>
        <v/>
      </c>
      <c r="AZ243" s="30" t="str">
        <f>IF(B243="","",IF(ISNA(VLOOKUP($B243,'F-1 Off-Site WaterC'' Baseline'!$C$8:$AD$257,20,FALSE)),"",(VLOOKUP($B243,'F-1 Off-Site WaterC'' Baseline'!$C$8:$AD$257,20,FALSE))))</f>
        <v/>
      </c>
      <c r="BC243" s="30" t="str">
        <f>IF(B243="","",VLOOKUP($B243,'F-1 Off-Site WaterC'' Baseline'!$C$9:$AB$257,25,FALSE))</f>
        <v/>
      </c>
      <c r="BD243" s="30" t="str">
        <f t="shared" si="42"/>
        <v/>
      </c>
      <c r="BE243" s="30" t="str">
        <f>IF(B243="","",VLOOKUP($B243,'F-1 Off-Site WaterC'' Baseline'!$C$9:$AB$257,24,FALSE))</f>
        <v/>
      </c>
      <c r="BF243" s="30" t="str">
        <f>IF(B243="","",VLOOKUP($B243,'F-1 Off-Site WaterC'' Baseline'!$C$9:$AB$257,22,FALSE))</f>
        <v/>
      </c>
      <c r="BJ243" s="30" t="str">
        <f t="shared" si="43"/>
        <v>No</v>
      </c>
    </row>
    <row r="244" spans="2:62" ht="14">
      <c r="B244" s="305" t="str">
        <f>'F-1 Off-Site WaterC'' Baseline'!AS242</f>
        <v/>
      </c>
      <c r="C244" s="295" t="str">
        <f>IF(B244="","",VLOOKUP($B244,'F-1 Off-Site WaterC'' Baseline'!$C$9:$R$257,2,FALSE))</f>
        <v/>
      </c>
      <c r="D244" s="295" t="str">
        <f>IF(C244="","",VLOOKUP($B244,'F-1 Off-Site WaterC'' Baseline'!$C$9:$R$257,3,FALSE))</f>
        <v/>
      </c>
      <c r="E244" s="295" t="str">
        <f>IF(D244="","",VLOOKUP($B244,'F-1 Off-Site WaterC'' Baseline'!$C$9:$R$257,4,FALSE))</f>
        <v/>
      </c>
      <c r="F244" s="295" t="str">
        <f>IF(E244="","",VLOOKUP($B244,'F-1 Off-Site WaterC'' Baseline'!$C$9:$R$257,5,FALSE))</f>
        <v/>
      </c>
      <c r="G244" s="295" t="str">
        <f>IF(F244="","",VLOOKUP($B244,'F-1 Off-Site WaterC'' Baseline'!$C$9:$R$257,6,FALSE))</f>
        <v/>
      </c>
      <c r="H244" s="295" t="str">
        <f>IF(G244="","",VLOOKUP($B244,'F-1 Off-Site WaterC'' Baseline'!$C$9:$R$257,7,FALSE))</f>
        <v/>
      </c>
      <c r="I244" s="295" t="str">
        <f>IF(H244="","",VLOOKUP($B244,'F-1 Off-Site WaterC'' Baseline'!$C$9:$R$257,8,FALSE))</f>
        <v/>
      </c>
      <c r="J244" s="295" t="str">
        <f>IF(I244="","",VLOOKUP($B244,'F-1 Off-Site WaterC'' Baseline'!$C$9:$R$257,9,FALSE))</f>
        <v/>
      </c>
      <c r="K244" s="295" t="str">
        <f>IF(J244="","",VLOOKUP($B244,'F-1 Off-Site WaterC'' Baseline'!$C$9:$R$257,10,FALSE))</f>
        <v/>
      </c>
      <c r="L244" s="283" t="str">
        <f>IF(B244="","",VLOOKUP($B244,'F-1 Off-Site WaterC'' Baseline'!$C$9:$R$257,15,FALSE))</f>
        <v/>
      </c>
      <c r="M244" s="299" t="str">
        <f>IF(L244="","",VLOOKUP($B244,'F-1 Off-Site WaterC'' Baseline'!$C$9:$V$257,19,FALSE))</f>
        <v/>
      </c>
      <c r="N244" s="244"/>
      <c r="O244" s="275" t="str">
        <f t="shared" si="36"/>
        <v/>
      </c>
      <c r="P244" s="276" t="str">
        <f t="shared" si="37"/>
        <v/>
      </c>
      <c r="Q244" s="281" t="str">
        <f>IF(N244="","",VLOOKUP(B244,'F-1 Off-Site WaterC'' Baseline'!$C$10:$AF$257,23,FALSE))</f>
        <v/>
      </c>
      <c r="R244" s="275" t="str">
        <f>IF(N244="","",VLOOKUP(N244,'G-7 WaterC'' Data'!$B$2:$G$8,2,FALSE))</f>
        <v/>
      </c>
      <c r="S244" s="276" t="str">
        <f>IFERROR(VLOOKUP(R244,'G-7 WaterC'' Data'!$C$4:$D$8,2,FALSE),"")</f>
        <v/>
      </c>
      <c r="T244" s="101"/>
      <c r="U244" s="276" t="str">
        <f>IFERROR(INDEX('G-7 WaterC'' Data'!$H$4:$L$8,MATCH(N244,'G-7 WaterC'' Data'!$B$4:$B$8,0),MATCH(T244,'G-7 WaterC'' Data'!$H$3:$L$3,0)),"")</f>
        <v/>
      </c>
      <c r="V244" s="105"/>
      <c r="W244" s="295" t="str">
        <f>IF(V244="","",IF(VLOOKUP(V244,'G-7 WaterC'' Data'!$AK$4:$AM$6,2,FALSE)=0,"Spatial Data Missing ⚠",VLOOKUP(V244,'G-7 WaterC'' Data'!$AK$4:$AM$6,2,FALSE)))</f>
        <v/>
      </c>
      <c r="X244" s="299" t="str">
        <f>IF(V244="","",IF(VLOOKUP(V244,'G-7 WaterC'' Data'!$AK$4:$AM$6,3,FALSE)=0,"Spatial Data Missing ⚠",VLOOKUP(V244,'G-7 WaterC'' Data'!$AK$4:$AM$6,3,FALSE)))</f>
        <v/>
      </c>
      <c r="Y244" s="311" t="str">
        <f>IFERROR(IF(OR(LEFT(P244,5)="Error",LEFT(O244,5)="Error"),"Check Data ⚠",IF(F244&lt;S244,'G-7 WaterC'' Data'!$R$3,INDEX('G-7 WaterC'' Data'!$U$5:$Y$9,MATCH(G244,'G-7 WaterC'' Data'!$T$5:$T$9,0),MATCH(T244,'G-7 WaterC'' Data'!$U$4:$Y$4,0)))),"")</f>
        <v/>
      </c>
      <c r="Z244" s="138"/>
      <c r="AA244" s="138"/>
      <c r="AB244" s="308" t="str">
        <f t="shared" si="33"/>
        <v/>
      </c>
      <c r="AC244" s="296" t="str">
        <f t="shared" si="38"/>
        <v/>
      </c>
      <c r="AD244" s="334" t="str">
        <f>IFERROR(IF(AC244="Check Data ⚠","Check Data ⚠",VLOOKUP(AC244,'G-4 Temporal multipliers'!$A$4:$C$37,3,FALSE)),"")</f>
        <v/>
      </c>
      <c r="AE244" s="311" t="str">
        <f>IF(N244="","",VLOOKUP(N244,'G-7 WaterC'' Data'!$B$4:$G$8,5,FALSE))</f>
        <v/>
      </c>
      <c r="AF244" s="295" t="str">
        <f t="shared" si="34"/>
        <v/>
      </c>
      <c r="AG244" s="295" t="str">
        <f t="shared" si="39"/>
        <v/>
      </c>
      <c r="AH244" s="276" t="str">
        <f t="shared" si="35"/>
        <v/>
      </c>
      <c r="AI244" s="105"/>
      <c r="AJ244" s="276" t="str">
        <f>IF(AI244="","",(IF(AND(AI244="N/A - Culvert",N244&lt;&gt;"Culvert"),"Not possible ▲",IF(VLOOKUP(AI244,'G-7 WaterC'' Data'!$AA$4:$AB$7,2,FALSE)=0,"Spatial Data Missing ⚠",VLOOKUP(AI244,'G-7 WaterC'' Data'!$AA$4:$AB$7,2,FALSE)))))</f>
        <v/>
      </c>
      <c r="AK244" s="106"/>
      <c r="AL244" s="310" t="str">
        <f>IF(AK244="","",IF(AND(AK244="N/A - Culvert",N244&lt;&gt;"Culvert"),"Not possible ▲",IF(VLOOKUP(AK244,'G-7 WaterC'' Data'!$AD$4:$AE$14,2,FALSE)=0,"Spatial Data Missing ⚠",VLOOKUP(AK244,'G-7 WaterC'' Data'!$AD$4:$AE$14,2,FALSE))))</f>
        <v/>
      </c>
      <c r="AM244" s="275" t="str">
        <f>IF(B244="","",VLOOKUP($B244,'F-1 Off-Site WaterC'' Baseline'!$C$9:$Z$257,17,FALSE))</f>
        <v/>
      </c>
      <c r="AN244" s="276" t="str">
        <f>IF(AM244="","",IF(VLOOKUP(AM244,'G-7 WaterC'' Data'!$AO$4:$BO$7,2,FALSE)=0,"Spatial Data Missing ⚠",VLOOKUP(AM244,'G-7 WaterC'' Data'!$AO$4:$BO$7,2,FALSE)))</f>
        <v/>
      </c>
      <c r="AO244" s="317" t="str">
        <f t="shared" si="40"/>
        <v/>
      </c>
      <c r="AP244" s="317" t="str">
        <f t="shared" si="41"/>
        <v/>
      </c>
      <c r="AQ244" s="52"/>
      <c r="AR244" s="51"/>
      <c r="AS244" s="104"/>
      <c r="AT244" s="104"/>
      <c r="AW244" s="30" t="str">
        <f>IF(E244="","",VLOOKUP($B244,'F-1 Off-Site WaterC'' Baseline'!$C$9:$Z$257,12,FALSE))</f>
        <v/>
      </c>
      <c r="AX244" s="30" t="str">
        <f>IF(E244="","",VLOOKUP($B244,'F-1 Off-Site WaterC'' Baseline'!$C$9:$Z$257,14,FALSE))</f>
        <v/>
      </c>
      <c r="AY244" s="30" t="str">
        <f>IFERROR(INDEX('G-7 WaterC'' Data'!$AZ$3:$AZ$7,MATCH(N244,'G-7 WaterC'' Data'!$AY$3:$AY$7,0)),"")</f>
        <v/>
      </c>
      <c r="AZ244" s="30" t="str">
        <f>IF(B244="","",IF(ISNA(VLOOKUP($B244,'F-1 Off-Site WaterC'' Baseline'!$C$8:$AD$257,20,FALSE)),"",(VLOOKUP($B244,'F-1 Off-Site WaterC'' Baseline'!$C$8:$AD$257,20,FALSE))))</f>
        <v/>
      </c>
      <c r="BC244" s="30" t="str">
        <f>IF(B244="","",VLOOKUP($B244,'F-1 Off-Site WaterC'' Baseline'!$C$9:$AB$257,25,FALSE))</f>
        <v/>
      </c>
      <c r="BD244" s="30" t="str">
        <f t="shared" si="42"/>
        <v/>
      </c>
      <c r="BE244" s="30" t="str">
        <f>IF(B244="","",VLOOKUP($B244,'F-1 Off-Site WaterC'' Baseline'!$C$9:$AB$257,24,FALSE))</f>
        <v/>
      </c>
      <c r="BF244" s="30" t="str">
        <f>IF(B244="","",VLOOKUP($B244,'F-1 Off-Site WaterC'' Baseline'!$C$9:$AB$257,22,FALSE))</f>
        <v/>
      </c>
      <c r="BJ244" s="30" t="str">
        <f t="shared" si="43"/>
        <v>No</v>
      </c>
    </row>
    <row r="245" spans="2:62" ht="14">
      <c r="B245" s="305" t="str">
        <f>'F-1 Off-Site WaterC'' Baseline'!AS243</f>
        <v/>
      </c>
      <c r="C245" s="295" t="str">
        <f>IF(B245="","",VLOOKUP($B245,'F-1 Off-Site WaterC'' Baseline'!$C$9:$R$257,2,FALSE))</f>
        <v/>
      </c>
      <c r="D245" s="295" t="str">
        <f>IF(C245="","",VLOOKUP($B245,'F-1 Off-Site WaterC'' Baseline'!$C$9:$R$257,3,FALSE))</f>
        <v/>
      </c>
      <c r="E245" s="295" t="str">
        <f>IF(D245="","",VLOOKUP($B245,'F-1 Off-Site WaterC'' Baseline'!$C$9:$R$257,4,FALSE))</f>
        <v/>
      </c>
      <c r="F245" s="295" t="str">
        <f>IF(E245="","",VLOOKUP($B245,'F-1 Off-Site WaterC'' Baseline'!$C$9:$R$257,5,FALSE))</f>
        <v/>
      </c>
      <c r="G245" s="295" t="str">
        <f>IF(F245="","",VLOOKUP($B245,'F-1 Off-Site WaterC'' Baseline'!$C$9:$R$257,6,FALSE))</f>
        <v/>
      </c>
      <c r="H245" s="295" t="str">
        <f>IF(G245="","",VLOOKUP($B245,'F-1 Off-Site WaterC'' Baseline'!$C$9:$R$257,7,FALSE))</f>
        <v/>
      </c>
      <c r="I245" s="295" t="str">
        <f>IF(H245="","",VLOOKUP($B245,'F-1 Off-Site WaterC'' Baseline'!$C$9:$R$257,8,FALSE))</f>
        <v/>
      </c>
      <c r="J245" s="295" t="str">
        <f>IF(I245="","",VLOOKUP($B245,'F-1 Off-Site WaterC'' Baseline'!$C$9:$R$257,9,FALSE))</f>
        <v/>
      </c>
      <c r="K245" s="295" t="str">
        <f>IF(J245="","",VLOOKUP($B245,'F-1 Off-Site WaterC'' Baseline'!$C$9:$R$257,10,FALSE))</f>
        <v/>
      </c>
      <c r="L245" s="283" t="str">
        <f>IF(B245="","",VLOOKUP($B245,'F-1 Off-Site WaterC'' Baseline'!$C$9:$R$257,15,FALSE))</f>
        <v/>
      </c>
      <c r="M245" s="299" t="str">
        <f>IF(L245="","",VLOOKUP($B245,'F-1 Off-Site WaterC'' Baseline'!$C$9:$V$257,19,FALSE))</f>
        <v/>
      </c>
      <c r="N245" s="244"/>
      <c r="O245" s="275" t="str">
        <f t="shared" si="36"/>
        <v/>
      </c>
      <c r="P245" s="276" t="str">
        <f t="shared" si="37"/>
        <v/>
      </c>
      <c r="Q245" s="281" t="str">
        <f>IF(N245="","",VLOOKUP(B245,'F-1 Off-Site WaterC'' Baseline'!$C$10:$AF$257,23,FALSE))</f>
        <v/>
      </c>
      <c r="R245" s="275" t="str">
        <f>IF(N245="","",VLOOKUP(N245,'G-7 WaterC'' Data'!$B$2:$G$8,2,FALSE))</f>
        <v/>
      </c>
      <c r="S245" s="276" t="str">
        <f>IFERROR(VLOOKUP(R245,'G-7 WaterC'' Data'!$C$4:$D$8,2,FALSE),"")</f>
        <v/>
      </c>
      <c r="T245" s="101"/>
      <c r="U245" s="276" t="str">
        <f>IFERROR(INDEX('G-7 WaterC'' Data'!$H$4:$L$8,MATCH(N245,'G-7 WaterC'' Data'!$B$4:$B$8,0),MATCH(T245,'G-7 WaterC'' Data'!$H$3:$L$3,0)),"")</f>
        <v/>
      </c>
      <c r="V245" s="105"/>
      <c r="W245" s="295" t="str">
        <f>IF(V245="","",IF(VLOOKUP(V245,'G-7 WaterC'' Data'!$AK$4:$AM$6,2,FALSE)=0,"Spatial Data Missing ⚠",VLOOKUP(V245,'G-7 WaterC'' Data'!$AK$4:$AM$6,2,FALSE)))</f>
        <v/>
      </c>
      <c r="X245" s="299" t="str">
        <f>IF(V245="","",IF(VLOOKUP(V245,'G-7 WaterC'' Data'!$AK$4:$AM$6,3,FALSE)=0,"Spatial Data Missing ⚠",VLOOKUP(V245,'G-7 WaterC'' Data'!$AK$4:$AM$6,3,FALSE)))</f>
        <v/>
      </c>
      <c r="Y245" s="311" t="str">
        <f>IFERROR(IF(OR(LEFT(P245,5)="Error",LEFT(O245,5)="Error"),"Check Data ⚠",IF(F245&lt;S245,'G-7 WaterC'' Data'!$R$3,INDEX('G-7 WaterC'' Data'!$U$5:$Y$9,MATCH(G245,'G-7 WaterC'' Data'!$T$5:$T$9,0),MATCH(T245,'G-7 WaterC'' Data'!$U$4:$Y$4,0)))),"")</f>
        <v/>
      </c>
      <c r="Z245" s="138"/>
      <c r="AA245" s="138"/>
      <c r="AB245" s="308" t="str">
        <f t="shared" si="33"/>
        <v/>
      </c>
      <c r="AC245" s="296" t="str">
        <f t="shared" si="38"/>
        <v/>
      </c>
      <c r="AD245" s="334" t="str">
        <f>IFERROR(IF(AC245="Check Data ⚠","Check Data ⚠",VLOOKUP(AC245,'G-4 Temporal multipliers'!$A$4:$C$37,3,FALSE)),"")</f>
        <v/>
      </c>
      <c r="AE245" s="311" t="str">
        <f>IF(N245="","",VLOOKUP(N245,'G-7 WaterC'' Data'!$B$4:$G$8,5,FALSE))</f>
        <v/>
      </c>
      <c r="AF245" s="295" t="str">
        <f t="shared" si="34"/>
        <v/>
      </c>
      <c r="AG245" s="295" t="str">
        <f t="shared" si="39"/>
        <v/>
      </c>
      <c r="AH245" s="276" t="str">
        <f t="shared" si="35"/>
        <v/>
      </c>
      <c r="AI245" s="105"/>
      <c r="AJ245" s="276" t="str">
        <f>IF(AI245="","",(IF(AND(AI245="N/A - Culvert",N245&lt;&gt;"Culvert"),"Not possible ▲",IF(VLOOKUP(AI245,'G-7 WaterC'' Data'!$AA$4:$AB$7,2,FALSE)=0,"Spatial Data Missing ⚠",VLOOKUP(AI245,'G-7 WaterC'' Data'!$AA$4:$AB$7,2,FALSE)))))</f>
        <v/>
      </c>
      <c r="AK245" s="106"/>
      <c r="AL245" s="310" t="str">
        <f>IF(AK245="","",IF(AND(AK245="N/A - Culvert",N245&lt;&gt;"Culvert"),"Not possible ▲",IF(VLOOKUP(AK245,'G-7 WaterC'' Data'!$AD$4:$AE$14,2,FALSE)=0,"Spatial Data Missing ⚠",VLOOKUP(AK245,'G-7 WaterC'' Data'!$AD$4:$AE$14,2,FALSE))))</f>
        <v/>
      </c>
      <c r="AM245" s="275" t="str">
        <f>IF(B245="","",VLOOKUP($B245,'F-1 Off-Site WaterC'' Baseline'!$C$9:$Z$257,17,FALSE))</f>
        <v/>
      </c>
      <c r="AN245" s="276" t="str">
        <f>IF(AM245="","",IF(VLOOKUP(AM245,'G-7 WaterC'' Data'!$AO$4:$BO$7,2,FALSE)=0,"Spatial Data Missing ⚠",VLOOKUP(AM245,'G-7 WaterC'' Data'!$AO$4:$BO$7,2,FALSE)))</f>
        <v/>
      </c>
      <c r="AO245" s="317" t="str">
        <f t="shared" si="40"/>
        <v/>
      </c>
      <c r="AP245" s="317" t="str">
        <f t="shared" si="41"/>
        <v/>
      </c>
      <c r="AQ245" s="52"/>
      <c r="AR245" s="51"/>
      <c r="AS245" s="104"/>
      <c r="AT245" s="104"/>
      <c r="AW245" s="30" t="str">
        <f>IF(E245="","",VLOOKUP($B245,'F-1 Off-Site WaterC'' Baseline'!$C$9:$Z$257,12,FALSE))</f>
        <v/>
      </c>
      <c r="AX245" s="30" t="str">
        <f>IF(E245="","",VLOOKUP($B245,'F-1 Off-Site WaterC'' Baseline'!$C$9:$Z$257,14,FALSE))</f>
        <v/>
      </c>
      <c r="AY245" s="30" t="str">
        <f>IFERROR(INDEX('G-7 WaterC'' Data'!$AZ$3:$AZ$7,MATCH(N245,'G-7 WaterC'' Data'!$AY$3:$AY$7,0)),"")</f>
        <v/>
      </c>
      <c r="AZ245" s="30" t="str">
        <f>IF(B245="","",IF(ISNA(VLOOKUP($B245,'F-1 Off-Site WaterC'' Baseline'!$C$8:$AD$257,20,FALSE)),"",(VLOOKUP($B245,'F-1 Off-Site WaterC'' Baseline'!$C$8:$AD$257,20,FALSE))))</f>
        <v/>
      </c>
      <c r="BC245" s="30" t="str">
        <f>IF(B245="","",VLOOKUP($B245,'F-1 Off-Site WaterC'' Baseline'!$C$9:$AB$257,25,FALSE))</f>
        <v/>
      </c>
      <c r="BD245" s="30" t="str">
        <f t="shared" si="42"/>
        <v/>
      </c>
      <c r="BE245" s="30" t="str">
        <f>IF(B245="","",VLOOKUP($B245,'F-1 Off-Site WaterC'' Baseline'!$C$9:$AB$257,24,FALSE))</f>
        <v/>
      </c>
      <c r="BF245" s="30" t="str">
        <f>IF(B245="","",VLOOKUP($B245,'F-1 Off-Site WaterC'' Baseline'!$C$9:$AB$257,22,FALSE))</f>
        <v/>
      </c>
      <c r="BJ245" s="30" t="str">
        <f t="shared" si="43"/>
        <v>No</v>
      </c>
    </row>
    <row r="246" spans="2:62" ht="14">
      <c r="B246" s="305" t="str">
        <f>'F-1 Off-Site WaterC'' Baseline'!AS244</f>
        <v/>
      </c>
      <c r="C246" s="295" t="str">
        <f>IF(B246="","",VLOOKUP($B246,'F-1 Off-Site WaterC'' Baseline'!$C$9:$R$257,2,FALSE))</f>
        <v/>
      </c>
      <c r="D246" s="295" t="str">
        <f>IF(C246="","",VLOOKUP($B246,'F-1 Off-Site WaterC'' Baseline'!$C$9:$R$257,3,FALSE))</f>
        <v/>
      </c>
      <c r="E246" s="295" t="str">
        <f>IF(D246="","",VLOOKUP($B246,'F-1 Off-Site WaterC'' Baseline'!$C$9:$R$257,4,FALSE))</f>
        <v/>
      </c>
      <c r="F246" s="295" t="str">
        <f>IF(E246="","",VLOOKUP($B246,'F-1 Off-Site WaterC'' Baseline'!$C$9:$R$257,5,FALSE))</f>
        <v/>
      </c>
      <c r="G246" s="295" t="str">
        <f>IF(F246="","",VLOOKUP($B246,'F-1 Off-Site WaterC'' Baseline'!$C$9:$R$257,6,FALSE))</f>
        <v/>
      </c>
      <c r="H246" s="295" t="str">
        <f>IF(G246="","",VLOOKUP($B246,'F-1 Off-Site WaterC'' Baseline'!$C$9:$R$257,7,FALSE))</f>
        <v/>
      </c>
      <c r="I246" s="295" t="str">
        <f>IF(H246="","",VLOOKUP($B246,'F-1 Off-Site WaterC'' Baseline'!$C$9:$R$257,8,FALSE))</f>
        <v/>
      </c>
      <c r="J246" s="295" t="str">
        <f>IF(I246="","",VLOOKUP($B246,'F-1 Off-Site WaterC'' Baseline'!$C$9:$R$257,9,FALSE))</f>
        <v/>
      </c>
      <c r="K246" s="295" t="str">
        <f>IF(J246="","",VLOOKUP($B246,'F-1 Off-Site WaterC'' Baseline'!$C$9:$R$257,10,FALSE))</f>
        <v/>
      </c>
      <c r="L246" s="283" t="str">
        <f>IF(B246="","",VLOOKUP($B246,'F-1 Off-Site WaterC'' Baseline'!$C$9:$R$257,15,FALSE))</f>
        <v/>
      </c>
      <c r="M246" s="299" t="str">
        <f>IF(L246="","",VLOOKUP($B246,'F-1 Off-Site WaterC'' Baseline'!$C$9:$V$257,19,FALSE))</f>
        <v/>
      </c>
      <c r="N246" s="244"/>
      <c r="O246" s="275" t="str">
        <f t="shared" si="36"/>
        <v/>
      </c>
      <c r="P246" s="276" t="str">
        <f t="shared" si="37"/>
        <v/>
      </c>
      <c r="Q246" s="281" t="str">
        <f>IF(N246="","",VLOOKUP(B246,'F-1 Off-Site WaterC'' Baseline'!$C$10:$AF$257,23,FALSE))</f>
        <v/>
      </c>
      <c r="R246" s="275" t="str">
        <f>IF(N246="","",VLOOKUP(N246,'G-7 WaterC'' Data'!$B$2:$G$8,2,FALSE))</f>
        <v/>
      </c>
      <c r="S246" s="276" t="str">
        <f>IFERROR(VLOOKUP(R246,'G-7 WaterC'' Data'!$C$4:$D$8,2,FALSE),"")</f>
        <v/>
      </c>
      <c r="T246" s="101"/>
      <c r="U246" s="276" t="str">
        <f>IFERROR(INDEX('G-7 WaterC'' Data'!$H$4:$L$8,MATCH(N246,'G-7 WaterC'' Data'!$B$4:$B$8,0),MATCH(T246,'G-7 WaterC'' Data'!$H$3:$L$3,0)),"")</f>
        <v/>
      </c>
      <c r="V246" s="105"/>
      <c r="W246" s="295" t="str">
        <f>IF(V246="","",IF(VLOOKUP(V246,'G-7 WaterC'' Data'!$AK$4:$AM$6,2,FALSE)=0,"Spatial Data Missing ⚠",VLOOKUP(V246,'G-7 WaterC'' Data'!$AK$4:$AM$6,2,FALSE)))</f>
        <v/>
      </c>
      <c r="X246" s="299" t="str">
        <f>IF(V246="","",IF(VLOOKUP(V246,'G-7 WaterC'' Data'!$AK$4:$AM$6,3,FALSE)=0,"Spatial Data Missing ⚠",VLOOKUP(V246,'G-7 WaterC'' Data'!$AK$4:$AM$6,3,FALSE)))</f>
        <v/>
      </c>
      <c r="Y246" s="311" t="str">
        <f>IFERROR(IF(OR(LEFT(P246,5)="Error",LEFT(O246,5)="Error"),"Check Data ⚠",IF(F246&lt;S246,'G-7 WaterC'' Data'!$R$3,INDEX('G-7 WaterC'' Data'!$U$5:$Y$9,MATCH(G246,'G-7 WaterC'' Data'!$T$5:$T$9,0),MATCH(T246,'G-7 WaterC'' Data'!$U$4:$Y$4,0)))),"")</f>
        <v/>
      </c>
      <c r="Z246" s="138"/>
      <c r="AA246" s="138"/>
      <c r="AB246" s="308" t="str">
        <f t="shared" si="33"/>
        <v/>
      </c>
      <c r="AC246" s="296" t="str">
        <f t="shared" si="38"/>
        <v/>
      </c>
      <c r="AD246" s="334" t="str">
        <f>IFERROR(IF(AC246="Check Data ⚠","Check Data ⚠",VLOOKUP(AC246,'G-4 Temporal multipliers'!$A$4:$C$37,3,FALSE)),"")</f>
        <v/>
      </c>
      <c r="AE246" s="311" t="str">
        <f>IF(N246="","",VLOOKUP(N246,'G-7 WaterC'' Data'!$B$4:$G$8,5,FALSE))</f>
        <v/>
      </c>
      <c r="AF246" s="295" t="str">
        <f t="shared" si="34"/>
        <v/>
      </c>
      <c r="AG246" s="295" t="str">
        <f t="shared" si="39"/>
        <v/>
      </c>
      <c r="AH246" s="276" t="str">
        <f t="shared" si="35"/>
        <v/>
      </c>
      <c r="AI246" s="105"/>
      <c r="AJ246" s="276" t="str">
        <f>IF(AI246="","",(IF(AND(AI246="N/A - Culvert",N246&lt;&gt;"Culvert"),"Not possible ▲",IF(VLOOKUP(AI246,'G-7 WaterC'' Data'!$AA$4:$AB$7,2,FALSE)=0,"Spatial Data Missing ⚠",VLOOKUP(AI246,'G-7 WaterC'' Data'!$AA$4:$AB$7,2,FALSE)))))</f>
        <v/>
      </c>
      <c r="AK246" s="106"/>
      <c r="AL246" s="310" t="str">
        <f>IF(AK246="","",IF(AND(AK246="N/A - Culvert",N246&lt;&gt;"Culvert"),"Not possible ▲",IF(VLOOKUP(AK246,'G-7 WaterC'' Data'!$AD$4:$AE$14,2,FALSE)=0,"Spatial Data Missing ⚠",VLOOKUP(AK246,'G-7 WaterC'' Data'!$AD$4:$AE$14,2,FALSE))))</f>
        <v/>
      </c>
      <c r="AM246" s="275" t="str">
        <f>IF(B246="","",VLOOKUP($B246,'F-1 Off-Site WaterC'' Baseline'!$C$9:$Z$257,17,FALSE))</f>
        <v/>
      </c>
      <c r="AN246" s="276" t="str">
        <f>IF(AM246="","",IF(VLOOKUP(AM246,'G-7 WaterC'' Data'!$AO$4:$BO$7,2,FALSE)=0,"Spatial Data Missing ⚠",VLOOKUP(AM246,'G-7 WaterC'' Data'!$AO$4:$BO$7,2,FALSE)))</f>
        <v/>
      </c>
      <c r="AO246" s="317" t="str">
        <f t="shared" si="40"/>
        <v/>
      </c>
      <c r="AP246" s="317" t="str">
        <f t="shared" si="41"/>
        <v/>
      </c>
      <c r="AQ246" s="52"/>
      <c r="AR246" s="51"/>
      <c r="AS246" s="104"/>
      <c r="AT246" s="104"/>
      <c r="AW246" s="30" t="str">
        <f>IF(E246="","",VLOOKUP($B246,'F-1 Off-Site WaterC'' Baseline'!$C$9:$Z$257,12,FALSE))</f>
        <v/>
      </c>
      <c r="AX246" s="30" t="str">
        <f>IF(E246="","",VLOOKUP($B246,'F-1 Off-Site WaterC'' Baseline'!$C$9:$Z$257,14,FALSE))</f>
        <v/>
      </c>
      <c r="AY246" s="30" t="str">
        <f>IFERROR(INDEX('G-7 WaterC'' Data'!$AZ$3:$AZ$7,MATCH(N246,'G-7 WaterC'' Data'!$AY$3:$AY$7,0)),"")</f>
        <v/>
      </c>
      <c r="AZ246" s="30" t="str">
        <f>IF(B246="","",IF(ISNA(VLOOKUP($B246,'F-1 Off-Site WaterC'' Baseline'!$C$8:$AD$257,20,FALSE)),"",(VLOOKUP($B246,'F-1 Off-Site WaterC'' Baseline'!$C$8:$AD$257,20,FALSE))))</f>
        <v/>
      </c>
      <c r="BC246" s="30" t="str">
        <f>IF(B246="","",VLOOKUP($B246,'F-1 Off-Site WaterC'' Baseline'!$C$9:$AB$257,25,FALSE))</f>
        <v/>
      </c>
      <c r="BD246" s="30" t="str">
        <f t="shared" si="42"/>
        <v/>
      </c>
      <c r="BE246" s="30" t="str">
        <f>IF(B246="","",VLOOKUP($B246,'F-1 Off-Site WaterC'' Baseline'!$C$9:$AB$257,24,FALSE))</f>
        <v/>
      </c>
      <c r="BF246" s="30" t="str">
        <f>IF(B246="","",VLOOKUP($B246,'F-1 Off-Site WaterC'' Baseline'!$C$9:$AB$257,22,FALSE))</f>
        <v/>
      </c>
      <c r="BJ246" s="30" t="str">
        <f t="shared" si="43"/>
        <v>No</v>
      </c>
    </row>
    <row r="247" spans="2:62" ht="14">
      <c r="B247" s="305" t="str">
        <f>'F-1 Off-Site WaterC'' Baseline'!AS245</f>
        <v/>
      </c>
      <c r="C247" s="295" t="str">
        <f>IF(B247="","",VLOOKUP($B247,'F-1 Off-Site WaterC'' Baseline'!$C$9:$R$257,2,FALSE))</f>
        <v/>
      </c>
      <c r="D247" s="295" t="str">
        <f>IF(C247="","",VLOOKUP($B247,'F-1 Off-Site WaterC'' Baseline'!$C$9:$R$257,3,FALSE))</f>
        <v/>
      </c>
      <c r="E247" s="295" t="str">
        <f>IF(D247="","",VLOOKUP($B247,'F-1 Off-Site WaterC'' Baseline'!$C$9:$R$257,4,FALSE))</f>
        <v/>
      </c>
      <c r="F247" s="295" t="str">
        <f>IF(E247="","",VLOOKUP($B247,'F-1 Off-Site WaterC'' Baseline'!$C$9:$R$257,5,FALSE))</f>
        <v/>
      </c>
      <c r="G247" s="295" t="str">
        <f>IF(F247="","",VLOOKUP($B247,'F-1 Off-Site WaterC'' Baseline'!$C$9:$R$257,6,FALSE))</f>
        <v/>
      </c>
      <c r="H247" s="295" t="str">
        <f>IF(G247="","",VLOOKUP($B247,'F-1 Off-Site WaterC'' Baseline'!$C$9:$R$257,7,FALSE))</f>
        <v/>
      </c>
      <c r="I247" s="295" t="str">
        <f>IF(H247="","",VLOOKUP($B247,'F-1 Off-Site WaterC'' Baseline'!$C$9:$R$257,8,FALSE))</f>
        <v/>
      </c>
      <c r="J247" s="295" t="str">
        <f>IF(I247="","",VLOOKUP($B247,'F-1 Off-Site WaterC'' Baseline'!$C$9:$R$257,9,FALSE))</f>
        <v/>
      </c>
      <c r="K247" s="295" t="str">
        <f>IF(J247="","",VLOOKUP($B247,'F-1 Off-Site WaterC'' Baseline'!$C$9:$R$257,10,FALSE))</f>
        <v/>
      </c>
      <c r="L247" s="283" t="str">
        <f>IF(B247="","",VLOOKUP($B247,'F-1 Off-Site WaterC'' Baseline'!$C$9:$R$257,15,FALSE))</f>
        <v/>
      </c>
      <c r="M247" s="299" t="str">
        <f>IF(L247="","",VLOOKUP($B247,'F-1 Off-Site WaterC'' Baseline'!$C$9:$V$257,19,FALSE))</f>
        <v/>
      </c>
      <c r="N247" s="244"/>
      <c r="O247" s="275" t="str">
        <f t="shared" si="36"/>
        <v/>
      </c>
      <c r="P247" s="276" t="str">
        <f t="shared" si="37"/>
        <v/>
      </c>
      <c r="Q247" s="281" t="str">
        <f>IF(N247="","",VLOOKUP(B247,'F-1 Off-Site WaterC'' Baseline'!$C$10:$AF$257,23,FALSE))</f>
        <v/>
      </c>
      <c r="R247" s="275" t="str">
        <f>IF(N247="","",VLOOKUP(N247,'G-7 WaterC'' Data'!$B$2:$G$8,2,FALSE))</f>
        <v/>
      </c>
      <c r="S247" s="276" t="str">
        <f>IFERROR(VLOOKUP(R247,'G-7 WaterC'' Data'!$C$4:$D$8,2,FALSE),"")</f>
        <v/>
      </c>
      <c r="T247" s="101"/>
      <c r="U247" s="276" t="str">
        <f>IFERROR(INDEX('G-7 WaterC'' Data'!$H$4:$L$8,MATCH(N247,'G-7 WaterC'' Data'!$B$4:$B$8,0),MATCH(T247,'G-7 WaterC'' Data'!$H$3:$L$3,0)),"")</f>
        <v/>
      </c>
      <c r="V247" s="105"/>
      <c r="W247" s="295" t="str">
        <f>IF(V247="","",IF(VLOOKUP(V247,'G-7 WaterC'' Data'!$AK$4:$AM$6,2,FALSE)=0,"Spatial Data Missing ⚠",VLOOKUP(V247,'G-7 WaterC'' Data'!$AK$4:$AM$6,2,FALSE)))</f>
        <v/>
      </c>
      <c r="X247" s="299" t="str">
        <f>IF(V247="","",IF(VLOOKUP(V247,'G-7 WaterC'' Data'!$AK$4:$AM$6,3,FALSE)=0,"Spatial Data Missing ⚠",VLOOKUP(V247,'G-7 WaterC'' Data'!$AK$4:$AM$6,3,FALSE)))</f>
        <v/>
      </c>
      <c r="Y247" s="311" t="str">
        <f>IFERROR(IF(OR(LEFT(P247,5)="Error",LEFT(O247,5)="Error"),"Check Data ⚠",IF(F247&lt;S247,'G-7 WaterC'' Data'!$R$3,INDEX('G-7 WaterC'' Data'!$U$5:$Y$9,MATCH(G247,'G-7 WaterC'' Data'!$T$5:$T$9,0),MATCH(T247,'G-7 WaterC'' Data'!$U$4:$Y$4,0)))),"")</f>
        <v/>
      </c>
      <c r="Z247" s="138"/>
      <c r="AA247" s="138"/>
      <c r="AB247" s="308" t="str">
        <f t="shared" si="33"/>
        <v/>
      </c>
      <c r="AC247" s="296" t="str">
        <f t="shared" si="38"/>
        <v/>
      </c>
      <c r="AD247" s="334" t="str">
        <f>IFERROR(IF(AC247="Check Data ⚠","Check Data ⚠",VLOOKUP(AC247,'G-4 Temporal multipliers'!$A$4:$C$37,3,FALSE)),"")</f>
        <v/>
      </c>
      <c r="AE247" s="311" t="str">
        <f>IF(N247="","",VLOOKUP(N247,'G-7 WaterC'' Data'!$B$4:$G$8,5,FALSE))</f>
        <v/>
      </c>
      <c r="AF247" s="295" t="str">
        <f t="shared" si="34"/>
        <v/>
      </c>
      <c r="AG247" s="295" t="str">
        <f t="shared" si="39"/>
        <v/>
      </c>
      <c r="AH247" s="276" t="str">
        <f t="shared" si="35"/>
        <v/>
      </c>
      <c r="AI247" s="105"/>
      <c r="AJ247" s="276" t="str">
        <f>IF(AI247="","",(IF(AND(AI247="N/A - Culvert",N247&lt;&gt;"Culvert"),"Not possible ▲",IF(VLOOKUP(AI247,'G-7 WaterC'' Data'!$AA$4:$AB$7,2,FALSE)=0,"Spatial Data Missing ⚠",VLOOKUP(AI247,'G-7 WaterC'' Data'!$AA$4:$AB$7,2,FALSE)))))</f>
        <v/>
      </c>
      <c r="AK247" s="106"/>
      <c r="AL247" s="310" t="str">
        <f>IF(AK247="","",IF(AND(AK247="N/A - Culvert",N247&lt;&gt;"Culvert"),"Not possible ▲",IF(VLOOKUP(AK247,'G-7 WaterC'' Data'!$AD$4:$AE$14,2,FALSE)=0,"Spatial Data Missing ⚠",VLOOKUP(AK247,'G-7 WaterC'' Data'!$AD$4:$AE$14,2,FALSE))))</f>
        <v/>
      </c>
      <c r="AM247" s="275" t="str">
        <f>IF(B247="","",VLOOKUP($B247,'F-1 Off-Site WaterC'' Baseline'!$C$9:$Z$257,17,FALSE))</f>
        <v/>
      </c>
      <c r="AN247" s="276" t="str">
        <f>IF(AM247="","",IF(VLOOKUP(AM247,'G-7 WaterC'' Data'!$AO$4:$BO$7,2,FALSE)=0,"Spatial Data Missing ⚠",VLOOKUP(AM247,'G-7 WaterC'' Data'!$AO$4:$BO$7,2,FALSE)))</f>
        <v/>
      </c>
      <c r="AO247" s="317" t="str">
        <f t="shared" si="40"/>
        <v/>
      </c>
      <c r="AP247" s="317" t="str">
        <f t="shared" si="41"/>
        <v/>
      </c>
      <c r="AQ247" s="52"/>
      <c r="AR247" s="51"/>
      <c r="AS247" s="104"/>
      <c r="AT247" s="104"/>
      <c r="AW247" s="30" t="str">
        <f>IF(E247="","",VLOOKUP($B247,'F-1 Off-Site WaterC'' Baseline'!$C$9:$Z$257,12,FALSE))</f>
        <v/>
      </c>
      <c r="AX247" s="30" t="str">
        <f>IF(E247="","",VLOOKUP($B247,'F-1 Off-Site WaterC'' Baseline'!$C$9:$Z$257,14,FALSE))</f>
        <v/>
      </c>
      <c r="AY247" s="30" t="str">
        <f>IFERROR(INDEX('G-7 WaterC'' Data'!$AZ$3:$AZ$7,MATCH(N247,'G-7 WaterC'' Data'!$AY$3:$AY$7,0)),"")</f>
        <v/>
      </c>
      <c r="AZ247" s="30" t="str">
        <f>IF(B247="","",IF(ISNA(VLOOKUP($B247,'F-1 Off-Site WaterC'' Baseline'!$C$8:$AD$257,20,FALSE)),"",(VLOOKUP($B247,'F-1 Off-Site WaterC'' Baseline'!$C$8:$AD$257,20,FALSE))))</f>
        <v/>
      </c>
      <c r="BC247" s="30" t="str">
        <f>IF(B247="","",VLOOKUP($B247,'F-1 Off-Site WaterC'' Baseline'!$C$9:$AB$257,25,FALSE))</f>
        <v/>
      </c>
      <c r="BD247" s="30" t="str">
        <f t="shared" si="42"/>
        <v/>
      </c>
      <c r="BE247" s="30" t="str">
        <f>IF(B247="","",VLOOKUP($B247,'F-1 Off-Site WaterC'' Baseline'!$C$9:$AB$257,24,FALSE))</f>
        <v/>
      </c>
      <c r="BF247" s="30" t="str">
        <f>IF(B247="","",VLOOKUP($B247,'F-1 Off-Site WaterC'' Baseline'!$C$9:$AB$257,22,FALSE))</f>
        <v/>
      </c>
      <c r="BJ247" s="30" t="str">
        <f t="shared" si="43"/>
        <v>No</v>
      </c>
    </row>
    <row r="248" spans="2:62" ht="14">
      <c r="B248" s="305" t="str">
        <f>'F-1 Off-Site WaterC'' Baseline'!AS246</f>
        <v/>
      </c>
      <c r="C248" s="295" t="str">
        <f>IF(B248="","",VLOOKUP($B248,'F-1 Off-Site WaterC'' Baseline'!$C$9:$R$257,2,FALSE))</f>
        <v/>
      </c>
      <c r="D248" s="295" t="str">
        <f>IF(C248="","",VLOOKUP($B248,'F-1 Off-Site WaterC'' Baseline'!$C$9:$R$257,3,FALSE))</f>
        <v/>
      </c>
      <c r="E248" s="295" t="str">
        <f>IF(D248="","",VLOOKUP($B248,'F-1 Off-Site WaterC'' Baseline'!$C$9:$R$257,4,FALSE))</f>
        <v/>
      </c>
      <c r="F248" s="295" t="str">
        <f>IF(E248="","",VLOOKUP($B248,'F-1 Off-Site WaterC'' Baseline'!$C$9:$R$257,5,FALSE))</f>
        <v/>
      </c>
      <c r="G248" s="295" t="str">
        <f>IF(F248="","",VLOOKUP($B248,'F-1 Off-Site WaterC'' Baseline'!$C$9:$R$257,6,FALSE))</f>
        <v/>
      </c>
      <c r="H248" s="295" t="str">
        <f>IF(G248="","",VLOOKUP($B248,'F-1 Off-Site WaterC'' Baseline'!$C$9:$R$257,7,FALSE))</f>
        <v/>
      </c>
      <c r="I248" s="295" t="str">
        <f>IF(H248="","",VLOOKUP($B248,'F-1 Off-Site WaterC'' Baseline'!$C$9:$R$257,8,FALSE))</f>
        <v/>
      </c>
      <c r="J248" s="295" t="str">
        <f>IF(I248="","",VLOOKUP($B248,'F-1 Off-Site WaterC'' Baseline'!$C$9:$R$257,9,FALSE))</f>
        <v/>
      </c>
      <c r="K248" s="295" t="str">
        <f>IF(J248="","",VLOOKUP($B248,'F-1 Off-Site WaterC'' Baseline'!$C$9:$R$257,10,FALSE))</f>
        <v/>
      </c>
      <c r="L248" s="283" t="str">
        <f>IF(B248="","",VLOOKUP($B248,'F-1 Off-Site WaterC'' Baseline'!$C$9:$R$257,15,FALSE))</f>
        <v/>
      </c>
      <c r="M248" s="299" t="str">
        <f>IF(L248="","",VLOOKUP($B248,'F-1 Off-Site WaterC'' Baseline'!$C$9:$V$257,19,FALSE))</f>
        <v/>
      </c>
      <c r="N248" s="244"/>
      <c r="O248" s="275" t="str">
        <f t="shared" si="36"/>
        <v/>
      </c>
      <c r="P248" s="276" t="str">
        <f t="shared" si="37"/>
        <v/>
      </c>
      <c r="Q248" s="281" t="str">
        <f>IF(N248="","",VLOOKUP(B248,'F-1 Off-Site WaterC'' Baseline'!$C$10:$AF$257,23,FALSE))</f>
        <v/>
      </c>
      <c r="R248" s="275" t="str">
        <f>IF(N248="","",VLOOKUP(N248,'G-7 WaterC'' Data'!$B$2:$G$8,2,FALSE))</f>
        <v/>
      </c>
      <c r="S248" s="276" t="str">
        <f>IFERROR(VLOOKUP(R248,'G-7 WaterC'' Data'!$C$4:$D$8,2,FALSE),"")</f>
        <v/>
      </c>
      <c r="T248" s="101"/>
      <c r="U248" s="276" t="str">
        <f>IFERROR(INDEX('G-7 WaterC'' Data'!$H$4:$L$8,MATCH(N248,'G-7 WaterC'' Data'!$B$4:$B$8,0),MATCH(T248,'G-7 WaterC'' Data'!$H$3:$L$3,0)),"")</f>
        <v/>
      </c>
      <c r="V248" s="105"/>
      <c r="W248" s="295" t="str">
        <f>IF(V248="","",IF(VLOOKUP(V248,'G-7 WaterC'' Data'!$AK$4:$AM$6,2,FALSE)=0,"Spatial Data Missing ⚠",VLOOKUP(V248,'G-7 WaterC'' Data'!$AK$4:$AM$6,2,FALSE)))</f>
        <v/>
      </c>
      <c r="X248" s="299" t="str">
        <f>IF(V248="","",IF(VLOOKUP(V248,'G-7 WaterC'' Data'!$AK$4:$AM$6,3,FALSE)=0,"Spatial Data Missing ⚠",VLOOKUP(V248,'G-7 WaterC'' Data'!$AK$4:$AM$6,3,FALSE)))</f>
        <v/>
      </c>
      <c r="Y248" s="311" t="str">
        <f>IFERROR(IF(OR(LEFT(P248,5)="Error",LEFT(O248,5)="Error"),"Check Data ⚠",IF(F248&lt;S248,'G-7 WaterC'' Data'!$R$3,INDEX('G-7 WaterC'' Data'!$U$5:$Y$9,MATCH(G248,'G-7 WaterC'' Data'!$T$5:$T$9,0),MATCH(T248,'G-7 WaterC'' Data'!$U$4:$Y$4,0)))),"")</f>
        <v/>
      </c>
      <c r="Z248" s="138"/>
      <c r="AA248" s="138"/>
      <c r="AB248" s="308" t="str">
        <f t="shared" si="33"/>
        <v/>
      </c>
      <c r="AC248" s="296" t="str">
        <f t="shared" si="38"/>
        <v/>
      </c>
      <c r="AD248" s="334" t="str">
        <f>IFERROR(IF(AC248="Check Data ⚠","Check Data ⚠",VLOOKUP(AC248,'G-4 Temporal multipliers'!$A$4:$C$37,3,FALSE)),"")</f>
        <v/>
      </c>
      <c r="AE248" s="311" t="str">
        <f>IF(N248="","",VLOOKUP(N248,'G-7 WaterC'' Data'!$B$4:$G$8,5,FALSE))</f>
        <v/>
      </c>
      <c r="AF248" s="295" t="str">
        <f t="shared" si="34"/>
        <v/>
      </c>
      <c r="AG248" s="295" t="str">
        <f t="shared" si="39"/>
        <v/>
      </c>
      <c r="AH248" s="276" t="str">
        <f t="shared" si="35"/>
        <v/>
      </c>
      <c r="AI248" s="105"/>
      <c r="AJ248" s="276" t="str">
        <f>IF(AI248="","",(IF(AND(AI248="N/A - Culvert",N248&lt;&gt;"Culvert"),"Not possible ▲",IF(VLOOKUP(AI248,'G-7 WaterC'' Data'!$AA$4:$AB$7,2,FALSE)=0,"Spatial Data Missing ⚠",VLOOKUP(AI248,'G-7 WaterC'' Data'!$AA$4:$AB$7,2,FALSE)))))</f>
        <v/>
      </c>
      <c r="AK248" s="106"/>
      <c r="AL248" s="310" t="str">
        <f>IF(AK248="","",IF(AND(AK248="N/A - Culvert",N248&lt;&gt;"Culvert"),"Not possible ▲",IF(VLOOKUP(AK248,'G-7 WaterC'' Data'!$AD$4:$AE$14,2,FALSE)=0,"Spatial Data Missing ⚠",VLOOKUP(AK248,'G-7 WaterC'' Data'!$AD$4:$AE$14,2,FALSE))))</f>
        <v/>
      </c>
      <c r="AM248" s="275" t="str">
        <f>IF(B248="","",VLOOKUP($B248,'F-1 Off-Site WaterC'' Baseline'!$C$9:$Z$257,17,FALSE))</f>
        <v/>
      </c>
      <c r="AN248" s="276" t="str">
        <f>IF(AM248="","",IF(VLOOKUP(AM248,'G-7 WaterC'' Data'!$AO$4:$BO$7,2,FALSE)=0,"Spatial Data Missing ⚠",VLOOKUP(AM248,'G-7 WaterC'' Data'!$AO$4:$BO$7,2,FALSE)))</f>
        <v/>
      </c>
      <c r="AO248" s="317" t="str">
        <f t="shared" si="40"/>
        <v/>
      </c>
      <c r="AP248" s="317" t="str">
        <f t="shared" si="41"/>
        <v/>
      </c>
      <c r="AQ248" s="52"/>
      <c r="AR248" s="51"/>
      <c r="AS248" s="104"/>
      <c r="AT248" s="104"/>
      <c r="AW248" s="30" t="str">
        <f>IF(E248="","",VLOOKUP($B248,'F-1 Off-Site WaterC'' Baseline'!$C$9:$Z$257,12,FALSE))</f>
        <v/>
      </c>
      <c r="AX248" s="30" t="str">
        <f>IF(E248="","",VLOOKUP($B248,'F-1 Off-Site WaterC'' Baseline'!$C$9:$Z$257,14,FALSE))</f>
        <v/>
      </c>
      <c r="AY248" s="30" t="str">
        <f>IFERROR(INDEX('G-7 WaterC'' Data'!$AZ$3:$AZ$7,MATCH(N248,'G-7 WaterC'' Data'!$AY$3:$AY$7,0)),"")</f>
        <v/>
      </c>
      <c r="AZ248" s="30" t="str">
        <f>IF(B248="","",IF(ISNA(VLOOKUP($B248,'F-1 Off-Site WaterC'' Baseline'!$C$8:$AD$257,20,FALSE)),"",(VLOOKUP($B248,'F-1 Off-Site WaterC'' Baseline'!$C$8:$AD$257,20,FALSE))))</f>
        <v/>
      </c>
      <c r="BC248" s="30" t="str">
        <f>IF(B248="","",VLOOKUP($B248,'F-1 Off-Site WaterC'' Baseline'!$C$9:$AB$257,25,FALSE))</f>
        <v/>
      </c>
      <c r="BD248" s="30" t="str">
        <f t="shared" si="42"/>
        <v/>
      </c>
      <c r="BE248" s="30" t="str">
        <f>IF(B248="","",VLOOKUP($B248,'F-1 Off-Site WaterC'' Baseline'!$C$9:$AB$257,24,FALSE))</f>
        <v/>
      </c>
      <c r="BF248" s="30" t="str">
        <f>IF(B248="","",VLOOKUP($B248,'F-1 Off-Site WaterC'' Baseline'!$C$9:$AB$257,22,FALSE))</f>
        <v/>
      </c>
      <c r="BJ248" s="30" t="str">
        <f t="shared" si="43"/>
        <v>No</v>
      </c>
    </row>
    <row r="249" spans="2:62" ht="14">
      <c r="B249" s="305" t="str">
        <f>'F-1 Off-Site WaterC'' Baseline'!AS247</f>
        <v/>
      </c>
      <c r="C249" s="295" t="str">
        <f>IF(B249="","",VLOOKUP($B249,'F-1 Off-Site WaterC'' Baseline'!$C$9:$R$257,2,FALSE))</f>
        <v/>
      </c>
      <c r="D249" s="295" t="str">
        <f>IF(C249="","",VLOOKUP($B249,'F-1 Off-Site WaterC'' Baseline'!$C$9:$R$257,3,FALSE))</f>
        <v/>
      </c>
      <c r="E249" s="295" t="str">
        <f>IF(D249="","",VLOOKUP($B249,'F-1 Off-Site WaterC'' Baseline'!$C$9:$R$257,4,FALSE))</f>
        <v/>
      </c>
      <c r="F249" s="295" t="str">
        <f>IF(E249="","",VLOOKUP($B249,'F-1 Off-Site WaterC'' Baseline'!$C$9:$R$257,5,FALSE))</f>
        <v/>
      </c>
      <c r="G249" s="295" t="str">
        <f>IF(F249="","",VLOOKUP($B249,'F-1 Off-Site WaterC'' Baseline'!$C$9:$R$257,6,FALSE))</f>
        <v/>
      </c>
      <c r="H249" s="295" t="str">
        <f>IF(G249="","",VLOOKUP($B249,'F-1 Off-Site WaterC'' Baseline'!$C$9:$R$257,7,FALSE))</f>
        <v/>
      </c>
      <c r="I249" s="295" t="str">
        <f>IF(H249="","",VLOOKUP($B249,'F-1 Off-Site WaterC'' Baseline'!$C$9:$R$257,8,FALSE))</f>
        <v/>
      </c>
      <c r="J249" s="295" t="str">
        <f>IF(I249="","",VLOOKUP($B249,'F-1 Off-Site WaterC'' Baseline'!$C$9:$R$257,9,FALSE))</f>
        <v/>
      </c>
      <c r="K249" s="295" t="str">
        <f>IF(J249="","",VLOOKUP($B249,'F-1 Off-Site WaterC'' Baseline'!$C$9:$R$257,10,FALSE))</f>
        <v/>
      </c>
      <c r="L249" s="283" t="str">
        <f>IF(B249="","",VLOOKUP($B249,'F-1 Off-Site WaterC'' Baseline'!$C$9:$R$257,15,FALSE))</f>
        <v/>
      </c>
      <c r="M249" s="299" t="str">
        <f>IF(L249="","",VLOOKUP($B249,'F-1 Off-Site WaterC'' Baseline'!$C$9:$V$257,19,FALSE))</f>
        <v/>
      </c>
      <c r="N249" s="244"/>
      <c r="O249" s="275" t="str">
        <f t="shared" si="36"/>
        <v/>
      </c>
      <c r="P249" s="276" t="str">
        <f t="shared" si="37"/>
        <v/>
      </c>
      <c r="Q249" s="281" t="str">
        <f>IF(N249="","",VLOOKUP(B249,'F-1 Off-Site WaterC'' Baseline'!$C$10:$AF$257,23,FALSE))</f>
        <v/>
      </c>
      <c r="R249" s="275" t="str">
        <f>IF(N249="","",VLOOKUP(N249,'G-7 WaterC'' Data'!$B$2:$G$8,2,FALSE))</f>
        <v/>
      </c>
      <c r="S249" s="276" t="str">
        <f>IFERROR(VLOOKUP(R249,'G-7 WaterC'' Data'!$C$4:$D$8,2,FALSE),"")</f>
        <v/>
      </c>
      <c r="T249" s="101"/>
      <c r="U249" s="276" t="str">
        <f>IFERROR(INDEX('G-7 WaterC'' Data'!$H$4:$L$8,MATCH(N249,'G-7 WaterC'' Data'!$B$4:$B$8,0),MATCH(T249,'G-7 WaterC'' Data'!$H$3:$L$3,0)),"")</f>
        <v/>
      </c>
      <c r="V249" s="105"/>
      <c r="W249" s="295" t="str">
        <f>IF(V249="","",IF(VLOOKUP(V249,'G-7 WaterC'' Data'!$AK$4:$AM$6,2,FALSE)=0,"Spatial Data Missing ⚠",VLOOKUP(V249,'G-7 WaterC'' Data'!$AK$4:$AM$6,2,FALSE)))</f>
        <v/>
      </c>
      <c r="X249" s="299" t="str">
        <f>IF(V249="","",IF(VLOOKUP(V249,'G-7 WaterC'' Data'!$AK$4:$AM$6,3,FALSE)=0,"Spatial Data Missing ⚠",VLOOKUP(V249,'G-7 WaterC'' Data'!$AK$4:$AM$6,3,FALSE)))</f>
        <v/>
      </c>
      <c r="Y249" s="311" t="str">
        <f>IFERROR(IF(OR(LEFT(P249,5)="Error",LEFT(O249,5)="Error"),"Check Data ⚠",IF(F249&lt;S249,'G-7 WaterC'' Data'!$R$3,INDEX('G-7 WaterC'' Data'!$U$5:$Y$9,MATCH(G249,'G-7 WaterC'' Data'!$T$5:$T$9,0),MATCH(T249,'G-7 WaterC'' Data'!$U$4:$Y$4,0)))),"")</f>
        <v/>
      </c>
      <c r="Z249" s="138"/>
      <c r="AA249" s="138"/>
      <c r="AB249" s="308" t="str">
        <f t="shared" si="33"/>
        <v/>
      </c>
      <c r="AC249" s="296" t="str">
        <f t="shared" si="38"/>
        <v/>
      </c>
      <c r="AD249" s="334" t="str">
        <f>IFERROR(IF(AC249="Check Data ⚠","Check Data ⚠",VLOOKUP(AC249,'G-4 Temporal multipliers'!$A$4:$C$37,3,FALSE)),"")</f>
        <v/>
      </c>
      <c r="AE249" s="311" t="str">
        <f>IF(N249="","",VLOOKUP(N249,'G-7 WaterC'' Data'!$B$4:$G$8,5,FALSE))</f>
        <v/>
      </c>
      <c r="AF249" s="295" t="str">
        <f t="shared" si="34"/>
        <v/>
      </c>
      <c r="AG249" s="295" t="str">
        <f t="shared" si="39"/>
        <v/>
      </c>
      <c r="AH249" s="276" t="str">
        <f t="shared" si="35"/>
        <v/>
      </c>
      <c r="AI249" s="105"/>
      <c r="AJ249" s="276" t="str">
        <f>IF(AI249="","",(IF(AND(AI249="N/A - Culvert",N249&lt;&gt;"Culvert"),"Not possible ▲",IF(VLOOKUP(AI249,'G-7 WaterC'' Data'!$AA$4:$AB$7,2,FALSE)=0,"Spatial Data Missing ⚠",VLOOKUP(AI249,'G-7 WaterC'' Data'!$AA$4:$AB$7,2,FALSE)))))</f>
        <v/>
      </c>
      <c r="AK249" s="106"/>
      <c r="AL249" s="310" t="str">
        <f>IF(AK249="","",IF(AND(AK249="N/A - Culvert",N249&lt;&gt;"Culvert"),"Not possible ▲",IF(VLOOKUP(AK249,'G-7 WaterC'' Data'!$AD$4:$AE$14,2,FALSE)=0,"Spatial Data Missing ⚠",VLOOKUP(AK249,'G-7 WaterC'' Data'!$AD$4:$AE$14,2,FALSE))))</f>
        <v/>
      </c>
      <c r="AM249" s="275" t="str">
        <f>IF(B249="","",VLOOKUP($B249,'F-1 Off-Site WaterC'' Baseline'!$C$9:$Z$257,17,FALSE))</f>
        <v/>
      </c>
      <c r="AN249" s="276" t="str">
        <f>IF(AM249="","",IF(VLOOKUP(AM249,'G-7 WaterC'' Data'!$AO$4:$BO$7,2,FALSE)=0,"Spatial Data Missing ⚠",VLOOKUP(AM249,'G-7 WaterC'' Data'!$AO$4:$BO$7,2,FALSE)))</f>
        <v/>
      </c>
      <c r="AO249" s="317" t="str">
        <f t="shared" si="40"/>
        <v/>
      </c>
      <c r="AP249" s="317" t="str">
        <f t="shared" si="41"/>
        <v/>
      </c>
      <c r="AQ249" s="52"/>
      <c r="AR249" s="51"/>
      <c r="AS249" s="104"/>
      <c r="AT249" s="104"/>
      <c r="AW249" s="30" t="str">
        <f>IF(E249="","",VLOOKUP($B249,'F-1 Off-Site WaterC'' Baseline'!$C$9:$Z$257,12,FALSE))</f>
        <v/>
      </c>
      <c r="AX249" s="30" t="str">
        <f>IF(E249="","",VLOOKUP($B249,'F-1 Off-Site WaterC'' Baseline'!$C$9:$Z$257,14,FALSE))</f>
        <v/>
      </c>
      <c r="AY249" s="30" t="str">
        <f>IFERROR(INDEX('G-7 WaterC'' Data'!$AZ$3:$AZ$7,MATCH(N249,'G-7 WaterC'' Data'!$AY$3:$AY$7,0)),"")</f>
        <v/>
      </c>
      <c r="AZ249" s="30" t="str">
        <f>IF(B249="","",IF(ISNA(VLOOKUP($B249,'F-1 Off-Site WaterC'' Baseline'!$C$8:$AD$257,20,FALSE)),"",(VLOOKUP($B249,'F-1 Off-Site WaterC'' Baseline'!$C$8:$AD$257,20,FALSE))))</f>
        <v/>
      </c>
      <c r="BC249" s="30" t="str">
        <f>IF(B249="","",VLOOKUP($B249,'F-1 Off-Site WaterC'' Baseline'!$C$9:$AB$257,25,FALSE))</f>
        <v/>
      </c>
      <c r="BD249" s="30" t="str">
        <f t="shared" si="42"/>
        <v/>
      </c>
      <c r="BE249" s="30" t="str">
        <f>IF(B249="","",VLOOKUP($B249,'F-1 Off-Site WaterC'' Baseline'!$C$9:$AB$257,24,FALSE))</f>
        <v/>
      </c>
      <c r="BF249" s="30" t="str">
        <f>IF(B249="","",VLOOKUP($B249,'F-1 Off-Site WaterC'' Baseline'!$C$9:$AB$257,22,FALSE))</f>
        <v/>
      </c>
      <c r="BJ249" s="30" t="str">
        <f t="shared" si="43"/>
        <v>No</v>
      </c>
    </row>
    <row r="250" spans="2:62" ht="14">
      <c r="B250" s="305" t="str">
        <f>'F-1 Off-Site WaterC'' Baseline'!AS248</f>
        <v/>
      </c>
      <c r="C250" s="295" t="str">
        <f>IF(B250="","",VLOOKUP($B250,'F-1 Off-Site WaterC'' Baseline'!$C$9:$R$257,2,FALSE))</f>
        <v/>
      </c>
      <c r="D250" s="295" t="str">
        <f>IF(C250="","",VLOOKUP($B250,'F-1 Off-Site WaterC'' Baseline'!$C$9:$R$257,3,FALSE))</f>
        <v/>
      </c>
      <c r="E250" s="295" t="str">
        <f>IF(D250="","",VLOOKUP($B250,'F-1 Off-Site WaterC'' Baseline'!$C$9:$R$257,4,FALSE))</f>
        <v/>
      </c>
      <c r="F250" s="295" t="str">
        <f>IF(E250="","",VLOOKUP($B250,'F-1 Off-Site WaterC'' Baseline'!$C$9:$R$257,5,FALSE))</f>
        <v/>
      </c>
      <c r="G250" s="295" t="str">
        <f>IF(F250="","",VLOOKUP($B250,'F-1 Off-Site WaterC'' Baseline'!$C$9:$R$257,6,FALSE))</f>
        <v/>
      </c>
      <c r="H250" s="295" t="str">
        <f>IF(G250="","",VLOOKUP($B250,'F-1 Off-Site WaterC'' Baseline'!$C$9:$R$257,7,FALSE))</f>
        <v/>
      </c>
      <c r="I250" s="295" t="str">
        <f>IF(H250="","",VLOOKUP($B250,'F-1 Off-Site WaterC'' Baseline'!$C$9:$R$257,8,FALSE))</f>
        <v/>
      </c>
      <c r="J250" s="295" t="str">
        <f>IF(I250="","",VLOOKUP($B250,'F-1 Off-Site WaterC'' Baseline'!$C$9:$R$257,9,FALSE))</f>
        <v/>
      </c>
      <c r="K250" s="295" t="str">
        <f>IF(J250="","",VLOOKUP($B250,'F-1 Off-Site WaterC'' Baseline'!$C$9:$R$257,10,FALSE))</f>
        <v/>
      </c>
      <c r="L250" s="283" t="str">
        <f>IF(B250="","",VLOOKUP($B250,'F-1 Off-Site WaterC'' Baseline'!$C$9:$R$257,15,FALSE))</f>
        <v/>
      </c>
      <c r="M250" s="299" t="str">
        <f>IF(L250="","",VLOOKUP($B250,'F-1 Off-Site WaterC'' Baseline'!$C$9:$V$257,19,FALSE))</f>
        <v/>
      </c>
      <c r="N250" s="244"/>
      <c r="O250" s="275" t="str">
        <f t="shared" si="36"/>
        <v/>
      </c>
      <c r="P250" s="276" t="str">
        <f t="shared" si="37"/>
        <v/>
      </c>
      <c r="Q250" s="281" t="str">
        <f>IF(N250="","",VLOOKUP(B250,'F-1 Off-Site WaterC'' Baseline'!$C$10:$AF$257,23,FALSE))</f>
        <v/>
      </c>
      <c r="R250" s="275" t="str">
        <f>IF(N250="","",VLOOKUP(N250,'G-7 WaterC'' Data'!$B$2:$G$8,2,FALSE))</f>
        <v/>
      </c>
      <c r="S250" s="276" t="str">
        <f>IFERROR(VLOOKUP(R250,'G-7 WaterC'' Data'!$C$4:$D$8,2,FALSE),"")</f>
        <v/>
      </c>
      <c r="T250" s="101"/>
      <c r="U250" s="276" t="str">
        <f>IFERROR(INDEX('G-7 WaterC'' Data'!$H$4:$L$8,MATCH(N250,'G-7 WaterC'' Data'!$B$4:$B$8,0),MATCH(T250,'G-7 WaterC'' Data'!$H$3:$L$3,0)),"")</f>
        <v/>
      </c>
      <c r="V250" s="105"/>
      <c r="W250" s="295" t="str">
        <f>IF(V250="","",IF(VLOOKUP(V250,'G-7 WaterC'' Data'!$AK$4:$AM$6,2,FALSE)=0,"Spatial Data Missing ⚠",VLOOKUP(V250,'G-7 WaterC'' Data'!$AK$4:$AM$6,2,FALSE)))</f>
        <v/>
      </c>
      <c r="X250" s="299" t="str">
        <f>IF(V250="","",IF(VLOOKUP(V250,'G-7 WaterC'' Data'!$AK$4:$AM$6,3,FALSE)=0,"Spatial Data Missing ⚠",VLOOKUP(V250,'G-7 WaterC'' Data'!$AK$4:$AM$6,3,FALSE)))</f>
        <v/>
      </c>
      <c r="Y250" s="311" t="str">
        <f>IFERROR(IF(OR(LEFT(P250,5)="Error",LEFT(O250,5)="Error"),"Check Data ⚠",IF(F250&lt;S250,'G-7 WaterC'' Data'!$R$3,INDEX('G-7 WaterC'' Data'!$U$5:$Y$9,MATCH(G250,'G-7 WaterC'' Data'!$T$5:$T$9,0),MATCH(T250,'G-7 WaterC'' Data'!$U$4:$Y$4,0)))),"")</f>
        <v/>
      </c>
      <c r="Z250" s="138"/>
      <c r="AA250" s="138"/>
      <c r="AB250" s="308" t="str">
        <f t="shared" si="33"/>
        <v/>
      </c>
      <c r="AC250" s="296" t="str">
        <f t="shared" si="38"/>
        <v/>
      </c>
      <c r="AD250" s="334" t="str">
        <f>IFERROR(IF(AC250="Check Data ⚠","Check Data ⚠",VLOOKUP(AC250,'G-4 Temporal multipliers'!$A$4:$C$37,3,FALSE)),"")</f>
        <v/>
      </c>
      <c r="AE250" s="311" t="str">
        <f>IF(N250="","",VLOOKUP(N250,'G-7 WaterC'' Data'!$B$4:$G$8,5,FALSE))</f>
        <v/>
      </c>
      <c r="AF250" s="295" t="str">
        <f t="shared" si="34"/>
        <v/>
      </c>
      <c r="AG250" s="295" t="str">
        <f t="shared" si="39"/>
        <v/>
      </c>
      <c r="AH250" s="276" t="str">
        <f t="shared" si="35"/>
        <v/>
      </c>
      <c r="AI250" s="105"/>
      <c r="AJ250" s="276" t="str">
        <f>IF(AI250="","",(IF(AND(AI250="N/A - Culvert",N250&lt;&gt;"Culvert"),"Not possible ▲",IF(VLOOKUP(AI250,'G-7 WaterC'' Data'!$AA$4:$AB$7,2,FALSE)=0,"Spatial Data Missing ⚠",VLOOKUP(AI250,'G-7 WaterC'' Data'!$AA$4:$AB$7,2,FALSE)))))</f>
        <v/>
      </c>
      <c r="AK250" s="106"/>
      <c r="AL250" s="310" t="str">
        <f>IF(AK250="","",IF(AND(AK250="N/A - Culvert",N250&lt;&gt;"Culvert"),"Not possible ▲",IF(VLOOKUP(AK250,'G-7 WaterC'' Data'!$AD$4:$AE$14,2,FALSE)=0,"Spatial Data Missing ⚠",VLOOKUP(AK250,'G-7 WaterC'' Data'!$AD$4:$AE$14,2,FALSE))))</f>
        <v/>
      </c>
      <c r="AM250" s="275" t="str">
        <f>IF(B250="","",VLOOKUP($B250,'F-1 Off-Site WaterC'' Baseline'!$C$9:$Z$257,17,FALSE))</f>
        <v/>
      </c>
      <c r="AN250" s="276" t="str">
        <f>IF(AM250="","",IF(VLOOKUP(AM250,'G-7 WaterC'' Data'!$AO$4:$BO$7,2,FALSE)=0,"Spatial Data Missing ⚠",VLOOKUP(AM250,'G-7 WaterC'' Data'!$AO$4:$BO$7,2,FALSE)))</f>
        <v/>
      </c>
      <c r="AO250" s="317" t="str">
        <f t="shared" si="40"/>
        <v/>
      </c>
      <c r="AP250" s="317" t="str">
        <f t="shared" si="41"/>
        <v/>
      </c>
      <c r="AQ250" s="52"/>
      <c r="AR250" s="51"/>
      <c r="AS250" s="104"/>
      <c r="AT250" s="104"/>
      <c r="AW250" s="30" t="str">
        <f>IF(E250="","",VLOOKUP($B250,'F-1 Off-Site WaterC'' Baseline'!$C$9:$Z$257,12,FALSE))</f>
        <v/>
      </c>
      <c r="AX250" s="30" t="str">
        <f>IF(E250="","",VLOOKUP($B250,'F-1 Off-Site WaterC'' Baseline'!$C$9:$Z$257,14,FALSE))</f>
        <v/>
      </c>
      <c r="AY250" s="30" t="str">
        <f>IFERROR(INDEX('G-7 WaterC'' Data'!$AZ$3:$AZ$7,MATCH(N250,'G-7 WaterC'' Data'!$AY$3:$AY$7,0)),"")</f>
        <v/>
      </c>
      <c r="AZ250" s="30" t="str">
        <f>IF(B250="","",IF(ISNA(VLOOKUP($B250,'F-1 Off-Site WaterC'' Baseline'!$C$8:$AD$257,20,FALSE)),"",(VLOOKUP($B250,'F-1 Off-Site WaterC'' Baseline'!$C$8:$AD$257,20,FALSE))))</f>
        <v/>
      </c>
      <c r="BC250" s="30" t="str">
        <f>IF(B250="","",VLOOKUP($B250,'F-1 Off-Site WaterC'' Baseline'!$C$9:$AB$257,25,FALSE))</f>
        <v/>
      </c>
      <c r="BD250" s="30" t="str">
        <f t="shared" si="42"/>
        <v/>
      </c>
      <c r="BE250" s="30" t="str">
        <f>IF(B250="","",VLOOKUP($B250,'F-1 Off-Site WaterC'' Baseline'!$C$9:$AB$257,24,FALSE))</f>
        <v/>
      </c>
      <c r="BF250" s="30" t="str">
        <f>IF(B250="","",VLOOKUP($B250,'F-1 Off-Site WaterC'' Baseline'!$C$9:$AB$257,22,FALSE))</f>
        <v/>
      </c>
      <c r="BJ250" s="30" t="str">
        <f t="shared" si="43"/>
        <v>No</v>
      </c>
    </row>
    <row r="251" spans="2:62" ht="14">
      <c r="B251" s="305" t="str">
        <f>'F-1 Off-Site WaterC'' Baseline'!AS249</f>
        <v/>
      </c>
      <c r="C251" s="295" t="str">
        <f>IF(B251="","",VLOOKUP($B251,'F-1 Off-Site WaterC'' Baseline'!$C$9:$R$257,2,FALSE))</f>
        <v/>
      </c>
      <c r="D251" s="295" t="str">
        <f>IF(C251="","",VLOOKUP($B251,'F-1 Off-Site WaterC'' Baseline'!$C$9:$R$257,3,FALSE))</f>
        <v/>
      </c>
      <c r="E251" s="295" t="str">
        <f>IF(D251="","",VLOOKUP($B251,'F-1 Off-Site WaterC'' Baseline'!$C$9:$R$257,4,FALSE))</f>
        <v/>
      </c>
      <c r="F251" s="295" t="str">
        <f>IF(E251="","",VLOOKUP($B251,'F-1 Off-Site WaterC'' Baseline'!$C$9:$R$257,5,FALSE))</f>
        <v/>
      </c>
      <c r="G251" s="295" t="str">
        <f>IF(F251="","",VLOOKUP($B251,'F-1 Off-Site WaterC'' Baseline'!$C$9:$R$257,6,FALSE))</f>
        <v/>
      </c>
      <c r="H251" s="295" t="str">
        <f>IF(G251="","",VLOOKUP($B251,'F-1 Off-Site WaterC'' Baseline'!$C$9:$R$257,7,FALSE))</f>
        <v/>
      </c>
      <c r="I251" s="295" t="str">
        <f>IF(H251="","",VLOOKUP($B251,'F-1 Off-Site WaterC'' Baseline'!$C$9:$R$257,8,FALSE))</f>
        <v/>
      </c>
      <c r="J251" s="295" t="str">
        <f>IF(I251="","",VLOOKUP($B251,'F-1 Off-Site WaterC'' Baseline'!$C$9:$R$257,9,FALSE))</f>
        <v/>
      </c>
      <c r="K251" s="295" t="str">
        <f>IF(J251="","",VLOOKUP($B251,'F-1 Off-Site WaterC'' Baseline'!$C$9:$R$257,10,FALSE))</f>
        <v/>
      </c>
      <c r="L251" s="283" t="str">
        <f>IF(B251="","",VLOOKUP($B251,'F-1 Off-Site WaterC'' Baseline'!$C$9:$R$257,15,FALSE))</f>
        <v/>
      </c>
      <c r="M251" s="299" t="str">
        <f>IF(L251="","",VLOOKUP($B251,'F-1 Off-Site WaterC'' Baseline'!$C$9:$V$257,19,FALSE))</f>
        <v/>
      </c>
      <c r="N251" s="244"/>
      <c r="O251" s="275" t="str">
        <f t="shared" si="36"/>
        <v/>
      </c>
      <c r="P251" s="276" t="str">
        <f t="shared" si="37"/>
        <v/>
      </c>
      <c r="Q251" s="281" t="str">
        <f>IF(N251="","",VLOOKUP(B251,'F-1 Off-Site WaterC'' Baseline'!$C$10:$AF$257,23,FALSE))</f>
        <v/>
      </c>
      <c r="R251" s="275" t="str">
        <f>IF(N251="","",VLOOKUP(N251,'G-7 WaterC'' Data'!$B$2:$G$8,2,FALSE))</f>
        <v/>
      </c>
      <c r="S251" s="276" t="str">
        <f>IFERROR(VLOOKUP(R251,'G-7 WaterC'' Data'!$C$4:$D$8,2,FALSE),"")</f>
        <v/>
      </c>
      <c r="T251" s="101"/>
      <c r="U251" s="276" t="str">
        <f>IFERROR(INDEX('G-7 WaterC'' Data'!$H$4:$L$8,MATCH(N251,'G-7 WaterC'' Data'!$B$4:$B$8,0),MATCH(T251,'G-7 WaterC'' Data'!$H$3:$L$3,0)),"")</f>
        <v/>
      </c>
      <c r="V251" s="105"/>
      <c r="W251" s="295" t="str">
        <f>IF(V251="","",IF(VLOOKUP(V251,'G-7 WaterC'' Data'!$AK$4:$AM$6,2,FALSE)=0,"Spatial Data Missing ⚠",VLOOKUP(V251,'G-7 WaterC'' Data'!$AK$4:$AM$6,2,FALSE)))</f>
        <v/>
      </c>
      <c r="X251" s="299" t="str">
        <f>IF(V251="","",IF(VLOOKUP(V251,'G-7 WaterC'' Data'!$AK$4:$AM$6,3,FALSE)=0,"Spatial Data Missing ⚠",VLOOKUP(V251,'G-7 WaterC'' Data'!$AK$4:$AM$6,3,FALSE)))</f>
        <v/>
      </c>
      <c r="Y251" s="311" t="str">
        <f>IFERROR(IF(OR(LEFT(P251,5)="Error",LEFT(O251,5)="Error"),"Check Data ⚠",IF(F251&lt;S251,'G-7 WaterC'' Data'!$R$3,INDEX('G-7 WaterC'' Data'!$U$5:$Y$9,MATCH(G251,'G-7 WaterC'' Data'!$T$5:$T$9,0),MATCH(T251,'G-7 WaterC'' Data'!$U$4:$Y$4,0)))),"")</f>
        <v/>
      </c>
      <c r="Z251" s="138"/>
      <c r="AA251" s="138"/>
      <c r="AB251" s="308" t="str">
        <f t="shared" si="33"/>
        <v/>
      </c>
      <c r="AC251" s="296" t="str">
        <f t="shared" si="38"/>
        <v/>
      </c>
      <c r="AD251" s="334" t="str">
        <f>IFERROR(IF(AC251="Check Data ⚠","Check Data ⚠",VLOOKUP(AC251,'G-4 Temporal multipliers'!$A$4:$C$37,3,FALSE)),"")</f>
        <v/>
      </c>
      <c r="AE251" s="311" t="str">
        <f>IF(N251="","",VLOOKUP(N251,'G-7 WaterC'' Data'!$B$4:$G$8,5,FALSE))</f>
        <v/>
      </c>
      <c r="AF251" s="295" t="str">
        <f t="shared" si="34"/>
        <v/>
      </c>
      <c r="AG251" s="295" t="str">
        <f t="shared" si="39"/>
        <v/>
      </c>
      <c r="AH251" s="276" t="str">
        <f t="shared" si="35"/>
        <v/>
      </c>
      <c r="AI251" s="105"/>
      <c r="AJ251" s="276" t="str">
        <f>IF(AI251="","",(IF(AND(AI251="N/A - Culvert",N251&lt;&gt;"Culvert"),"Not possible ▲",IF(VLOOKUP(AI251,'G-7 WaterC'' Data'!$AA$4:$AB$7,2,FALSE)=0,"Spatial Data Missing ⚠",VLOOKUP(AI251,'G-7 WaterC'' Data'!$AA$4:$AB$7,2,FALSE)))))</f>
        <v/>
      </c>
      <c r="AK251" s="106"/>
      <c r="AL251" s="310" t="str">
        <f>IF(AK251="","",IF(AND(AK251="N/A - Culvert",N251&lt;&gt;"Culvert"),"Not possible ▲",IF(VLOOKUP(AK251,'G-7 WaterC'' Data'!$AD$4:$AE$14,2,FALSE)=0,"Spatial Data Missing ⚠",VLOOKUP(AK251,'G-7 WaterC'' Data'!$AD$4:$AE$14,2,FALSE))))</f>
        <v/>
      </c>
      <c r="AM251" s="275" t="str">
        <f>IF(B251="","",VLOOKUP($B251,'F-1 Off-Site WaterC'' Baseline'!$C$9:$Z$257,17,FALSE))</f>
        <v/>
      </c>
      <c r="AN251" s="276" t="str">
        <f>IF(AM251="","",IF(VLOOKUP(AM251,'G-7 WaterC'' Data'!$AO$4:$BO$7,2,FALSE)=0,"Spatial Data Missing ⚠",VLOOKUP(AM251,'G-7 WaterC'' Data'!$AO$4:$BO$7,2,FALSE)))</f>
        <v/>
      </c>
      <c r="AO251" s="317" t="str">
        <f t="shared" si="40"/>
        <v/>
      </c>
      <c r="AP251" s="317" t="str">
        <f t="shared" si="41"/>
        <v/>
      </c>
      <c r="AQ251" s="52"/>
      <c r="AR251" s="51"/>
      <c r="AS251" s="104"/>
      <c r="AT251" s="104"/>
      <c r="AW251" s="30" t="str">
        <f>IF(E251="","",VLOOKUP($B251,'F-1 Off-Site WaterC'' Baseline'!$C$9:$Z$257,12,FALSE))</f>
        <v/>
      </c>
      <c r="AX251" s="30" t="str">
        <f>IF(E251="","",VLOOKUP($B251,'F-1 Off-Site WaterC'' Baseline'!$C$9:$Z$257,14,FALSE))</f>
        <v/>
      </c>
      <c r="AY251" s="30" t="str">
        <f>IFERROR(INDEX('G-7 WaterC'' Data'!$AZ$3:$AZ$7,MATCH(N251,'G-7 WaterC'' Data'!$AY$3:$AY$7,0)),"")</f>
        <v/>
      </c>
      <c r="AZ251" s="30" t="str">
        <f>IF(B251="","",IF(ISNA(VLOOKUP($B251,'F-1 Off-Site WaterC'' Baseline'!$C$8:$AD$257,20,FALSE)),"",(VLOOKUP($B251,'F-1 Off-Site WaterC'' Baseline'!$C$8:$AD$257,20,FALSE))))</f>
        <v/>
      </c>
      <c r="BC251" s="30" t="str">
        <f>IF(B251="","",VLOOKUP($B251,'F-1 Off-Site WaterC'' Baseline'!$C$9:$AB$257,25,FALSE))</f>
        <v/>
      </c>
      <c r="BD251" s="30" t="str">
        <f t="shared" si="42"/>
        <v/>
      </c>
      <c r="BE251" s="30" t="str">
        <f>IF(B251="","",VLOOKUP($B251,'F-1 Off-Site WaterC'' Baseline'!$C$9:$AB$257,24,FALSE))</f>
        <v/>
      </c>
      <c r="BF251" s="30" t="str">
        <f>IF(B251="","",VLOOKUP($B251,'F-1 Off-Site WaterC'' Baseline'!$C$9:$AB$257,22,FALSE))</f>
        <v/>
      </c>
      <c r="BJ251" s="30" t="str">
        <f t="shared" si="43"/>
        <v>No</v>
      </c>
    </row>
    <row r="252" spans="2:62" ht="14">
      <c r="B252" s="305" t="str">
        <f>'F-1 Off-Site WaterC'' Baseline'!AS250</f>
        <v/>
      </c>
      <c r="C252" s="295" t="str">
        <f>IF(B252="","",VLOOKUP($B252,'F-1 Off-Site WaterC'' Baseline'!$C$9:$R$257,2,FALSE))</f>
        <v/>
      </c>
      <c r="D252" s="295" t="str">
        <f>IF(C252="","",VLOOKUP($B252,'F-1 Off-Site WaterC'' Baseline'!$C$9:$R$257,3,FALSE))</f>
        <v/>
      </c>
      <c r="E252" s="295" t="str">
        <f>IF(D252="","",VLOOKUP($B252,'F-1 Off-Site WaterC'' Baseline'!$C$9:$R$257,4,FALSE))</f>
        <v/>
      </c>
      <c r="F252" s="295" t="str">
        <f>IF(E252="","",VLOOKUP($B252,'F-1 Off-Site WaterC'' Baseline'!$C$9:$R$257,5,FALSE))</f>
        <v/>
      </c>
      <c r="G252" s="295" t="str">
        <f>IF(F252="","",VLOOKUP($B252,'F-1 Off-Site WaterC'' Baseline'!$C$9:$R$257,6,FALSE))</f>
        <v/>
      </c>
      <c r="H252" s="295" t="str">
        <f>IF(G252="","",VLOOKUP($B252,'F-1 Off-Site WaterC'' Baseline'!$C$9:$R$257,7,FALSE))</f>
        <v/>
      </c>
      <c r="I252" s="295" t="str">
        <f>IF(H252="","",VLOOKUP($B252,'F-1 Off-Site WaterC'' Baseline'!$C$9:$R$257,8,FALSE))</f>
        <v/>
      </c>
      <c r="J252" s="295" t="str">
        <f>IF(I252="","",VLOOKUP($B252,'F-1 Off-Site WaterC'' Baseline'!$C$9:$R$257,9,FALSE))</f>
        <v/>
      </c>
      <c r="K252" s="295" t="str">
        <f>IF(J252="","",VLOOKUP($B252,'F-1 Off-Site WaterC'' Baseline'!$C$9:$R$257,10,FALSE))</f>
        <v/>
      </c>
      <c r="L252" s="283" t="str">
        <f>IF(B252="","",VLOOKUP($B252,'F-1 Off-Site WaterC'' Baseline'!$C$9:$R$257,15,FALSE))</f>
        <v/>
      </c>
      <c r="M252" s="299" t="str">
        <f>IF(L252="","",VLOOKUP($B252,'F-1 Off-Site WaterC'' Baseline'!$C$9:$V$257,19,FALSE))</f>
        <v/>
      </c>
      <c r="N252" s="244"/>
      <c r="O252" s="275" t="str">
        <f t="shared" si="36"/>
        <v/>
      </c>
      <c r="P252" s="276" t="str">
        <f t="shared" si="37"/>
        <v/>
      </c>
      <c r="Q252" s="281" t="str">
        <f>IF(N252="","",VLOOKUP(B252,'F-1 Off-Site WaterC'' Baseline'!$C$10:$AF$257,23,FALSE))</f>
        <v/>
      </c>
      <c r="R252" s="275" t="str">
        <f>IF(N252="","",VLOOKUP(N252,'G-7 WaterC'' Data'!$B$2:$G$8,2,FALSE))</f>
        <v/>
      </c>
      <c r="S252" s="276" t="str">
        <f>IFERROR(VLOOKUP(R252,'G-7 WaterC'' Data'!$C$4:$D$8,2,FALSE),"")</f>
        <v/>
      </c>
      <c r="T252" s="101"/>
      <c r="U252" s="276" t="str">
        <f>IFERROR(INDEX('G-7 WaterC'' Data'!$H$4:$L$8,MATCH(N252,'G-7 WaterC'' Data'!$B$4:$B$8,0),MATCH(T252,'G-7 WaterC'' Data'!$H$3:$L$3,0)),"")</f>
        <v/>
      </c>
      <c r="V252" s="105"/>
      <c r="W252" s="295" t="str">
        <f>IF(V252="","",IF(VLOOKUP(V252,'G-7 WaterC'' Data'!$AK$4:$AM$6,2,FALSE)=0,"Spatial Data Missing ⚠",VLOOKUP(V252,'G-7 WaterC'' Data'!$AK$4:$AM$6,2,FALSE)))</f>
        <v/>
      </c>
      <c r="X252" s="299" t="str">
        <f>IF(V252="","",IF(VLOOKUP(V252,'G-7 WaterC'' Data'!$AK$4:$AM$6,3,FALSE)=0,"Spatial Data Missing ⚠",VLOOKUP(V252,'G-7 WaterC'' Data'!$AK$4:$AM$6,3,FALSE)))</f>
        <v/>
      </c>
      <c r="Y252" s="311" t="str">
        <f>IFERROR(IF(OR(LEFT(P252,5)="Error",LEFT(O252,5)="Error"),"Check Data ⚠",IF(F252&lt;S252,'G-7 WaterC'' Data'!$R$3,INDEX('G-7 WaterC'' Data'!$U$5:$Y$9,MATCH(G252,'G-7 WaterC'' Data'!$T$5:$T$9,0),MATCH(T252,'G-7 WaterC'' Data'!$U$4:$Y$4,0)))),"")</f>
        <v/>
      </c>
      <c r="Z252" s="138"/>
      <c r="AA252" s="138"/>
      <c r="AB252" s="308" t="str">
        <f t="shared" si="33"/>
        <v/>
      </c>
      <c r="AC252" s="296" t="str">
        <f t="shared" si="38"/>
        <v/>
      </c>
      <c r="AD252" s="334" t="str">
        <f>IFERROR(IF(AC252="Check Data ⚠","Check Data ⚠",VLOOKUP(AC252,'G-4 Temporal multipliers'!$A$4:$C$37,3,FALSE)),"")</f>
        <v/>
      </c>
      <c r="AE252" s="311" t="str">
        <f>IF(N252="","",VLOOKUP(N252,'G-7 WaterC'' Data'!$B$4:$G$8,5,FALSE))</f>
        <v/>
      </c>
      <c r="AF252" s="295" t="str">
        <f t="shared" si="34"/>
        <v/>
      </c>
      <c r="AG252" s="295" t="str">
        <f t="shared" si="39"/>
        <v/>
      </c>
      <c r="AH252" s="276" t="str">
        <f t="shared" si="35"/>
        <v/>
      </c>
      <c r="AI252" s="105"/>
      <c r="AJ252" s="276" t="str">
        <f>IF(AI252="","",(IF(AND(AI252="N/A - Culvert",N252&lt;&gt;"Culvert"),"Not possible ▲",IF(VLOOKUP(AI252,'G-7 WaterC'' Data'!$AA$4:$AB$7,2,FALSE)=0,"Spatial Data Missing ⚠",VLOOKUP(AI252,'G-7 WaterC'' Data'!$AA$4:$AB$7,2,FALSE)))))</f>
        <v/>
      </c>
      <c r="AK252" s="106"/>
      <c r="AL252" s="310" t="str">
        <f>IF(AK252="","",IF(AND(AK252="N/A - Culvert",N252&lt;&gt;"Culvert"),"Not possible ▲",IF(VLOOKUP(AK252,'G-7 WaterC'' Data'!$AD$4:$AE$14,2,FALSE)=0,"Spatial Data Missing ⚠",VLOOKUP(AK252,'G-7 WaterC'' Data'!$AD$4:$AE$14,2,FALSE))))</f>
        <v/>
      </c>
      <c r="AM252" s="275" t="str">
        <f>IF(B252="","",VLOOKUP($B252,'F-1 Off-Site WaterC'' Baseline'!$C$9:$Z$257,17,FALSE))</f>
        <v/>
      </c>
      <c r="AN252" s="276" t="str">
        <f>IF(AM252="","",IF(VLOOKUP(AM252,'G-7 WaterC'' Data'!$AO$4:$BO$7,2,FALSE)=0,"Spatial Data Missing ⚠",VLOOKUP(AM252,'G-7 WaterC'' Data'!$AO$4:$BO$7,2,FALSE)))</f>
        <v/>
      </c>
      <c r="AO252" s="317" t="str">
        <f t="shared" si="40"/>
        <v/>
      </c>
      <c r="AP252" s="317" t="str">
        <f t="shared" si="41"/>
        <v/>
      </c>
      <c r="AQ252" s="52"/>
      <c r="AR252" s="51"/>
      <c r="AS252" s="104"/>
      <c r="AT252" s="104"/>
      <c r="AW252" s="30" t="str">
        <f>IF(E252="","",VLOOKUP($B252,'F-1 Off-Site WaterC'' Baseline'!$C$9:$Z$257,12,FALSE))</f>
        <v/>
      </c>
      <c r="AX252" s="30" t="str">
        <f>IF(E252="","",VLOOKUP($B252,'F-1 Off-Site WaterC'' Baseline'!$C$9:$Z$257,14,FALSE))</f>
        <v/>
      </c>
      <c r="AY252" s="30" t="str">
        <f>IFERROR(INDEX('G-7 WaterC'' Data'!$AZ$3:$AZ$7,MATCH(N252,'G-7 WaterC'' Data'!$AY$3:$AY$7,0)),"")</f>
        <v/>
      </c>
      <c r="AZ252" s="30" t="str">
        <f>IF(B252="","",IF(ISNA(VLOOKUP($B252,'F-1 Off-Site WaterC'' Baseline'!$C$8:$AD$257,20,FALSE)),"",(VLOOKUP($B252,'F-1 Off-Site WaterC'' Baseline'!$C$8:$AD$257,20,FALSE))))</f>
        <v/>
      </c>
      <c r="BC252" s="30" t="str">
        <f>IF(B252="","",VLOOKUP($B252,'F-1 Off-Site WaterC'' Baseline'!$C$9:$AB$257,25,FALSE))</f>
        <v/>
      </c>
      <c r="BD252" s="30" t="str">
        <f t="shared" si="42"/>
        <v/>
      </c>
      <c r="BE252" s="30" t="str">
        <f>IF(B252="","",VLOOKUP($B252,'F-1 Off-Site WaterC'' Baseline'!$C$9:$AB$257,24,FALSE))</f>
        <v/>
      </c>
      <c r="BF252" s="30" t="str">
        <f>IF(B252="","",VLOOKUP($B252,'F-1 Off-Site WaterC'' Baseline'!$C$9:$AB$257,22,FALSE))</f>
        <v/>
      </c>
      <c r="BJ252" s="30" t="str">
        <f t="shared" si="43"/>
        <v>No</v>
      </c>
    </row>
    <row r="253" spans="2:62" ht="14">
      <c r="B253" s="305" t="str">
        <f>'F-1 Off-Site WaterC'' Baseline'!AS251</f>
        <v/>
      </c>
      <c r="C253" s="295" t="str">
        <f>IF(B253="","",VLOOKUP($B253,'F-1 Off-Site WaterC'' Baseline'!$C$9:$R$257,2,FALSE))</f>
        <v/>
      </c>
      <c r="D253" s="295" t="str">
        <f>IF(C253="","",VLOOKUP($B253,'F-1 Off-Site WaterC'' Baseline'!$C$9:$R$257,3,FALSE))</f>
        <v/>
      </c>
      <c r="E253" s="295" t="str">
        <f>IF(D253="","",VLOOKUP($B253,'F-1 Off-Site WaterC'' Baseline'!$C$9:$R$257,4,FALSE))</f>
        <v/>
      </c>
      <c r="F253" s="295" t="str">
        <f>IF(E253="","",VLOOKUP($B253,'F-1 Off-Site WaterC'' Baseline'!$C$9:$R$257,5,FALSE))</f>
        <v/>
      </c>
      <c r="G253" s="295" t="str">
        <f>IF(F253="","",VLOOKUP($B253,'F-1 Off-Site WaterC'' Baseline'!$C$9:$R$257,6,FALSE))</f>
        <v/>
      </c>
      <c r="H253" s="295" t="str">
        <f>IF(G253="","",VLOOKUP($B253,'F-1 Off-Site WaterC'' Baseline'!$C$9:$R$257,7,FALSE))</f>
        <v/>
      </c>
      <c r="I253" s="295" t="str">
        <f>IF(H253="","",VLOOKUP($B253,'F-1 Off-Site WaterC'' Baseline'!$C$9:$R$257,8,FALSE))</f>
        <v/>
      </c>
      <c r="J253" s="295" t="str">
        <f>IF(I253="","",VLOOKUP($B253,'F-1 Off-Site WaterC'' Baseline'!$C$9:$R$257,9,FALSE))</f>
        <v/>
      </c>
      <c r="K253" s="295" t="str">
        <f>IF(J253="","",VLOOKUP($B253,'F-1 Off-Site WaterC'' Baseline'!$C$9:$R$257,10,FALSE))</f>
        <v/>
      </c>
      <c r="L253" s="283" t="str">
        <f>IF(B253="","",VLOOKUP($B253,'F-1 Off-Site WaterC'' Baseline'!$C$9:$R$257,15,FALSE))</f>
        <v/>
      </c>
      <c r="M253" s="299" t="str">
        <f>IF(L253="","",VLOOKUP($B253,'F-1 Off-Site WaterC'' Baseline'!$C$9:$V$257,19,FALSE))</f>
        <v/>
      </c>
      <c r="N253" s="244"/>
      <c r="O253" s="275" t="str">
        <f t="shared" si="36"/>
        <v/>
      </c>
      <c r="P253" s="276" t="str">
        <f t="shared" si="37"/>
        <v/>
      </c>
      <c r="Q253" s="281" t="str">
        <f>IF(N253="","",VLOOKUP(B253,'F-1 Off-Site WaterC'' Baseline'!$C$10:$AF$257,23,FALSE))</f>
        <v/>
      </c>
      <c r="R253" s="275" t="str">
        <f>IF(N253="","",VLOOKUP(N253,'G-7 WaterC'' Data'!$B$2:$G$8,2,FALSE))</f>
        <v/>
      </c>
      <c r="S253" s="276" t="str">
        <f>IFERROR(VLOOKUP(R253,'G-7 WaterC'' Data'!$C$4:$D$8,2,FALSE),"")</f>
        <v/>
      </c>
      <c r="T253" s="101"/>
      <c r="U253" s="276" t="str">
        <f>IFERROR(INDEX('G-7 WaterC'' Data'!$H$4:$L$8,MATCH(N253,'G-7 WaterC'' Data'!$B$4:$B$8,0),MATCH(T253,'G-7 WaterC'' Data'!$H$3:$L$3,0)),"")</f>
        <v/>
      </c>
      <c r="V253" s="105"/>
      <c r="W253" s="295" t="str">
        <f>IF(V253="","",IF(VLOOKUP(V253,'G-7 WaterC'' Data'!$AK$4:$AM$6,2,FALSE)=0,"Spatial Data Missing ⚠",VLOOKUP(V253,'G-7 WaterC'' Data'!$AK$4:$AM$6,2,FALSE)))</f>
        <v/>
      </c>
      <c r="X253" s="299" t="str">
        <f>IF(V253="","",IF(VLOOKUP(V253,'G-7 WaterC'' Data'!$AK$4:$AM$6,3,FALSE)=0,"Spatial Data Missing ⚠",VLOOKUP(V253,'G-7 WaterC'' Data'!$AK$4:$AM$6,3,FALSE)))</f>
        <v/>
      </c>
      <c r="Y253" s="311" t="str">
        <f>IFERROR(IF(OR(LEFT(P253,5)="Error",LEFT(O253,5)="Error"),"Check Data ⚠",IF(F253&lt;S253,'G-7 WaterC'' Data'!$R$3,INDEX('G-7 WaterC'' Data'!$U$5:$Y$9,MATCH(G253,'G-7 WaterC'' Data'!$T$5:$T$9,0),MATCH(T253,'G-7 WaterC'' Data'!$U$4:$Y$4,0)))),"")</f>
        <v/>
      </c>
      <c r="Z253" s="138"/>
      <c r="AA253" s="138"/>
      <c r="AB253" s="308" t="str">
        <f t="shared" si="33"/>
        <v/>
      </c>
      <c r="AC253" s="296" t="str">
        <f t="shared" si="38"/>
        <v/>
      </c>
      <c r="AD253" s="334" t="str">
        <f>IFERROR(IF(AC253="Check Data ⚠","Check Data ⚠",VLOOKUP(AC253,'G-4 Temporal multipliers'!$A$4:$C$37,3,FALSE)),"")</f>
        <v/>
      </c>
      <c r="AE253" s="311" t="str">
        <f>IF(N253="","",VLOOKUP(N253,'G-7 WaterC'' Data'!$B$4:$G$8,5,FALSE))</f>
        <v/>
      </c>
      <c r="AF253" s="295" t="str">
        <f t="shared" si="34"/>
        <v/>
      </c>
      <c r="AG253" s="295" t="str">
        <f t="shared" si="39"/>
        <v/>
      </c>
      <c r="AH253" s="276" t="str">
        <f t="shared" si="35"/>
        <v/>
      </c>
      <c r="AI253" s="105"/>
      <c r="AJ253" s="276" t="str">
        <f>IF(AI253="","",(IF(AND(AI253="N/A - Culvert",N253&lt;&gt;"Culvert"),"Not possible ▲",IF(VLOOKUP(AI253,'G-7 WaterC'' Data'!$AA$4:$AB$7,2,FALSE)=0,"Spatial Data Missing ⚠",VLOOKUP(AI253,'G-7 WaterC'' Data'!$AA$4:$AB$7,2,FALSE)))))</f>
        <v/>
      </c>
      <c r="AK253" s="106"/>
      <c r="AL253" s="310" t="str">
        <f>IF(AK253="","",IF(AND(AK253="N/A - Culvert",N253&lt;&gt;"Culvert"),"Not possible ▲",IF(VLOOKUP(AK253,'G-7 WaterC'' Data'!$AD$4:$AE$14,2,FALSE)=0,"Spatial Data Missing ⚠",VLOOKUP(AK253,'G-7 WaterC'' Data'!$AD$4:$AE$14,2,FALSE))))</f>
        <v/>
      </c>
      <c r="AM253" s="275" t="str">
        <f>IF(B253="","",VLOOKUP($B253,'F-1 Off-Site WaterC'' Baseline'!$C$9:$Z$257,17,FALSE))</f>
        <v/>
      </c>
      <c r="AN253" s="276" t="str">
        <f>IF(AM253="","",IF(VLOOKUP(AM253,'G-7 WaterC'' Data'!$AO$4:$BO$7,2,FALSE)=0,"Spatial Data Missing ⚠",VLOOKUP(AM253,'G-7 WaterC'' Data'!$AO$4:$BO$7,2,FALSE)))</f>
        <v/>
      </c>
      <c r="AO253" s="317" t="str">
        <f t="shared" si="40"/>
        <v/>
      </c>
      <c r="AP253" s="317" t="str">
        <f t="shared" si="41"/>
        <v/>
      </c>
      <c r="AQ253" s="52"/>
      <c r="AR253" s="51"/>
      <c r="AS253" s="104"/>
      <c r="AT253" s="104"/>
      <c r="AW253" s="30" t="str">
        <f>IF(E253="","",VLOOKUP($B253,'F-1 Off-Site WaterC'' Baseline'!$C$9:$Z$257,12,FALSE))</f>
        <v/>
      </c>
      <c r="AX253" s="30" t="str">
        <f>IF(E253="","",VLOOKUP($B253,'F-1 Off-Site WaterC'' Baseline'!$C$9:$Z$257,14,FALSE))</f>
        <v/>
      </c>
      <c r="AY253" s="30" t="str">
        <f>IFERROR(INDEX('G-7 WaterC'' Data'!$AZ$3:$AZ$7,MATCH(N253,'G-7 WaterC'' Data'!$AY$3:$AY$7,0)),"")</f>
        <v/>
      </c>
      <c r="AZ253" s="30" t="str">
        <f>IF(B253="","",IF(ISNA(VLOOKUP($B253,'F-1 Off-Site WaterC'' Baseline'!$C$8:$AD$257,20,FALSE)),"",(VLOOKUP($B253,'F-1 Off-Site WaterC'' Baseline'!$C$8:$AD$257,20,FALSE))))</f>
        <v/>
      </c>
      <c r="BC253" s="30" t="str">
        <f>IF(B253="","",VLOOKUP($B253,'F-1 Off-Site WaterC'' Baseline'!$C$9:$AB$257,25,FALSE))</f>
        <v/>
      </c>
      <c r="BD253" s="30" t="str">
        <f t="shared" si="42"/>
        <v/>
      </c>
      <c r="BE253" s="30" t="str">
        <f>IF(B253="","",VLOOKUP($B253,'F-1 Off-Site WaterC'' Baseline'!$C$9:$AB$257,24,FALSE))</f>
        <v/>
      </c>
      <c r="BF253" s="30" t="str">
        <f>IF(B253="","",VLOOKUP($B253,'F-1 Off-Site WaterC'' Baseline'!$C$9:$AB$257,22,FALSE))</f>
        <v/>
      </c>
      <c r="BJ253" s="30" t="str">
        <f t="shared" si="43"/>
        <v>No</v>
      </c>
    </row>
    <row r="254" spans="2:62" ht="14">
      <c r="B254" s="305" t="str">
        <f>'F-1 Off-Site WaterC'' Baseline'!AS252</f>
        <v/>
      </c>
      <c r="C254" s="295" t="str">
        <f>IF(B254="","",VLOOKUP($B254,'F-1 Off-Site WaterC'' Baseline'!$C$9:$R$257,2,FALSE))</f>
        <v/>
      </c>
      <c r="D254" s="295" t="str">
        <f>IF(C254="","",VLOOKUP($B254,'F-1 Off-Site WaterC'' Baseline'!$C$9:$R$257,3,FALSE))</f>
        <v/>
      </c>
      <c r="E254" s="295" t="str">
        <f>IF(D254="","",VLOOKUP($B254,'F-1 Off-Site WaterC'' Baseline'!$C$9:$R$257,4,FALSE))</f>
        <v/>
      </c>
      <c r="F254" s="295" t="str">
        <f>IF(E254="","",VLOOKUP($B254,'F-1 Off-Site WaterC'' Baseline'!$C$9:$R$257,5,FALSE))</f>
        <v/>
      </c>
      <c r="G254" s="295" t="str">
        <f>IF(F254="","",VLOOKUP($B254,'F-1 Off-Site WaterC'' Baseline'!$C$9:$R$257,6,FALSE))</f>
        <v/>
      </c>
      <c r="H254" s="295" t="str">
        <f>IF(G254="","",VLOOKUP($B254,'F-1 Off-Site WaterC'' Baseline'!$C$9:$R$257,7,FALSE))</f>
        <v/>
      </c>
      <c r="I254" s="295" t="str">
        <f>IF(H254="","",VLOOKUP($B254,'F-1 Off-Site WaterC'' Baseline'!$C$9:$R$257,8,FALSE))</f>
        <v/>
      </c>
      <c r="J254" s="295" t="str">
        <f>IF(I254="","",VLOOKUP($B254,'F-1 Off-Site WaterC'' Baseline'!$C$9:$R$257,9,FALSE))</f>
        <v/>
      </c>
      <c r="K254" s="295" t="str">
        <f>IF(J254="","",VLOOKUP($B254,'F-1 Off-Site WaterC'' Baseline'!$C$9:$R$257,10,FALSE))</f>
        <v/>
      </c>
      <c r="L254" s="283" t="str">
        <f>IF(B254="","",VLOOKUP($B254,'F-1 Off-Site WaterC'' Baseline'!$C$9:$R$257,15,FALSE))</f>
        <v/>
      </c>
      <c r="M254" s="299" t="str">
        <f>IF(L254="","",VLOOKUP($B254,'F-1 Off-Site WaterC'' Baseline'!$C$9:$V$257,19,FALSE))</f>
        <v/>
      </c>
      <c r="N254" s="244"/>
      <c r="O254" s="275" t="str">
        <f t="shared" si="36"/>
        <v/>
      </c>
      <c r="P254" s="276" t="str">
        <f t="shared" si="37"/>
        <v/>
      </c>
      <c r="Q254" s="281" t="str">
        <f>IF(N254="","",VLOOKUP(B254,'F-1 Off-Site WaterC'' Baseline'!$C$10:$AF$257,23,FALSE))</f>
        <v/>
      </c>
      <c r="R254" s="275" t="str">
        <f>IF(N254="","",VLOOKUP(N254,'G-7 WaterC'' Data'!$B$2:$G$8,2,FALSE))</f>
        <v/>
      </c>
      <c r="S254" s="276" t="str">
        <f>IFERROR(VLOOKUP(R254,'G-7 WaterC'' Data'!$C$4:$D$8,2,FALSE),"")</f>
        <v/>
      </c>
      <c r="T254" s="101"/>
      <c r="U254" s="276" t="str">
        <f>IFERROR(INDEX('G-7 WaterC'' Data'!$H$4:$L$8,MATCH(N254,'G-7 WaterC'' Data'!$B$4:$B$8,0),MATCH(T254,'G-7 WaterC'' Data'!$H$3:$L$3,0)),"")</f>
        <v/>
      </c>
      <c r="V254" s="105"/>
      <c r="W254" s="295" t="str">
        <f>IF(V254="","",IF(VLOOKUP(V254,'G-7 WaterC'' Data'!$AK$4:$AM$6,2,FALSE)=0,"Spatial Data Missing ⚠",VLOOKUP(V254,'G-7 WaterC'' Data'!$AK$4:$AM$6,2,FALSE)))</f>
        <v/>
      </c>
      <c r="X254" s="299" t="str">
        <f>IF(V254="","",IF(VLOOKUP(V254,'G-7 WaterC'' Data'!$AK$4:$AM$6,3,FALSE)=0,"Spatial Data Missing ⚠",VLOOKUP(V254,'G-7 WaterC'' Data'!$AK$4:$AM$6,3,FALSE)))</f>
        <v/>
      </c>
      <c r="Y254" s="311" t="str">
        <f>IFERROR(IF(OR(LEFT(P254,5)="Error",LEFT(O254,5)="Error"),"Check Data ⚠",IF(F254&lt;S254,'G-7 WaterC'' Data'!$R$3,INDEX('G-7 WaterC'' Data'!$U$5:$Y$9,MATCH(G254,'G-7 WaterC'' Data'!$T$5:$T$9,0),MATCH(T254,'G-7 WaterC'' Data'!$U$4:$Y$4,0)))),"")</f>
        <v/>
      </c>
      <c r="Z254" s="138"/>
      <c r="AA254" s="138"/>
      <c r="AB254" s="308" t="str">
        <f t="shared" si="33"/>
        <v/>
      </c>
      <c r="AC254" s="296" t="str">
        <f t="shared" si="38"/>
        <v/>
      </c>
      <c r="AD254" s="334" t="str">
        <f>IFERROR(IF(AC254="Check Data ⚠","Check Data ⚠",VLOOKUP(AC254,'G-4 Temporal multipliers'!$A$4:$C$37,3,FALSE)),"")</f>
        <v/>
      </c>
      <c r="AE254" s="311" t="str">
        <f>IF(N254="","",VLOOKUP(N254,'G-7 WaterC'' Data'!$B$4:$G$8,5,FALSE))</f>
        <v/>
      </c>
      <c r="AF254" s="295" t="str">
        <f t="shared" si="34"/>
        <v/>
      </c>
      <c r="AG254" s="295" t="str">
        <f t="shared" si="39"/>
        <v/>
      </c>
      <c r="AH254" s="276" t="str">
        <f t="shared" si="35"/>
        <v/>
      </c>
      <c r="AI254" s="105"/>
      <c r="AJ254" s="276" t="str">
        <f>IF(AI254="","",(IF(AND(AI254="N/A - Culvert",N254&lt;&gt;"Culvert"),"Not possible ▲",IF(VLOOKUP(AI254,'G-7 WaterC'' Data'!$AA$4:$AB$7,2,FALSE)=0,"Spatial Data Missing ⚠",VLOOKUP(AI254,'G-7 WaterC'' Data'!$AA$4:$AB$7,2,FALSE)))))</f>
        <v/>
      </c>
      <c r="AK254" s="106"/>
      <c r="AL254" s="310" t="str">
        <f>IF(AK254="","",IF(AND(AK254="N/A - Culvert",N254&lt;&gt;"Culvert"),"Not possible ▲",IF(VLOOKUP(AK254,'G-7 WaterC'' Data'!$AD$4:$AE$14,2,FALSE)=0,"Spatial Data Missing ⚠",VLOOKUP(AK254,'G-7 WaterC'' Data'!$AD$4:$AE$14,2,FALSE))))</f>
        <v/>
      </c>
      <c r="AM254" s="275" t="str">
        <f>IF(B254="","",VLOOKUP($B254,'F-1 Off-Site WaterC'' Baseline'!$C$9:$Z$257,17,FALSE))</f>
        <v/>
      </c>
      <c r="AN254" s="276" t="str">
        <f>IF(AM254="","",IF(VLOOKUP(AM254,'G-7 WaterC'' Data'!$AO$4:$BO$7,2,FALSE)=0,"Spatial Data Missing ⚠",VLOOKUP(AM254,'G-7 WaterC'' Data'!$AO$4:$BO$7,2,FALSE)))</f>
        <v/>
      </c>
      <c r="AO254" s="317" t="str">
        <f t="shared" si="40"/>
        <v/>
      </c>
      <c r="AP254" s="317" t="str">
        <f t="shared" si="41"/>
        <v/>
      </c>
      <c r="AQ254" s="52"/>
      <c r="AR254" s="51"/>
      <c r="AS254" s="104"/>
      <c r="AT254" s="104"/>
      <c r="AW254" s="30" t="str">
        <f>IF(E254="","",VLOOKUP($B254,'F-1 Off-Site WaterC'' Baseline'!$C$9:$Z$257,12,FALSE))</f>
        <v/>
      </c>
      <c r="AX254" s="30" t="str">
        <f>IF(E254="","",VLOOKUP($B254,'F-1 Off-Site WaterC'' Baseline'!$C$9:$Z$257,14,FALSE))</f>
        <v/>
      </c>
      <c r="AY254" s="30" t="str">
        <f>IFERROR(INDEX('G-7 WaterC'' Data'!$AZ$3:$AZ$7,MATCH(N254,'G-7 WaterC'' Data'!$AY$3:$AY$7,0)),"")</f>
        <v/>
      </c>
      <c r="AZ254" s="30" t="str">
        <f>IF(B254="","",IF(ISNA(VLOOKUP($B254,'F-1 Off-Site WaterC'' Baseline'!$C$8:$AD$257,20,FALSE)),"",(VLOOKUP($B254,'F-1 Off-Site WaterC'' Baseline'!$C$8:$AD$257,20,FALSE))))</f>
        <v/>
      </c>
      <c r="BC254" s="30" t="str">
        <f>IF(B254="","",VLOOKUP($B254,'F-1 Off-Site WaterC'' Baseline'!$C$9:$AB$257,25,FALSE))</f>
        <v/>
      </c>
      <c r="BD254" s="30" t="str">
        <f t="shared" si="42"/>
        <v/>
      </c>
      <c r="BE254" s="30" t="str">
        <f>IF(B254="","",VLOOKUP($B254,'F-1 Off-Site WaterC'' Baseline'!$C$9:$AB$257,24,FALSE))</f>
        <v/>
      </c>
      <c r="BF254" s="30" t="str">
        <f>IF(B254="","",VLOOKUP($B254,'F-1 Off-Site WaterC'' Baseline'!$C$9:$AB$257,22,FALSE))</f>
        <v/>
      </c>
      <c r="BJ254" s="30" t="str">
        <f t="shared" si="43"/>
        <v>No</v>
      </c>
    </row>
    <row r="255" spans="2:62" ht="14">
      <c r="B255" s="305" t="str">
        <f>'F-1 Off-Site WaterC'' Baseline'!AS253</f>
        <v/>
      </c>
      <c r="C255" s="295" t="str">
        <f>IF(B255="","",VLOOKUP($B255,'F-1 Off-Site WaterC'' Baseline'!$C$9:$R$257,2,FALSE))</f>
        <v/>
      </c>
      <c r="D255" s="295" t="str">
        <f>IF(C255="","",VLOOKUP($B255,'F-1 Off-Site WaterC'' Baseline'!$C$9:$R$257,3,FALSE))</f>
        <v/>
      </c>
      <c r="E255" s="295" t="str">
        <f>IF(D255="","",VLOOKUP($B255,'F-1 Off-Site WaterC'' Baseline'!$C$9:$R$257,4,FALSE))</f>
        <v/>
      </c>
      <c r="F255" s="295" t="str">
        <f>IF(E255="","",VLOOKUP($B255,'F-1 Off-Site WaterC'' Baseline'!$C$9:$R$257,5,FALSE))</f>
        <v/>
      </c>
      <c r="G255" s="295" t="str">
        <f>IF(F255="","",VLOOKUP($B255,'F-1 Off-Site WaterC'' Baseline'!$C$9:$R$257,6,FALSE))</f>
        <v/>
      </c>
      <c r="H255" s="295" t="str">
        <f>IF(G255="","",VLOOKUP($B255,'F-1 Off-Site WaterC'' Baseline'!$C$9:$R$257,7,FALSE))</f>
        <v/>
      </c>
      <c r="I255" s="295" t="str">
        <f>IF(H255="","",VLOOKUP($B255,'F-1 Off-Site WaterC'' Baseline'!$C$9:$R$257,8,FALSE))</f>
        <v/>
      </c>
      <c r="J255" s="295" t="str">
        <f>IF(I255="","",VLOOKUP($B255,'F-1 Off-Site WaterC'' Baseline'!$C$9:$R$257,9,FALSE))</f>
        <v/>
      </c>
      <c r="K255" s="295" t="str">
        <f>IF(J255="","",VLOOKUP($B255,'F-1 Off-Site WaterC'' Baseline'!$C$9:$R$257,10,FALSE))</f>
        <v/>
      </c>
      <c r="L255" s="283" t="str">
        <f>IF(B255="","",VLOOKUP($B255,'F-1 Off-Site WaterC'' Baseline'!$C$9:$R$257,15,FALSE))</f>
        <v/>
      </c>
      <c r="M255" s="299" t="str">
        <f>IF(L255="","",VLOOKUP($B255,'F-1 Off-Site WaterC'' Baseline'!$C$9:$V$257,19,FALSE))</f>
        <v/>
      </c>
      <c r="N255" s="244"/>
      <c r="O255" s="275" t="str">
        <f t="shared" si="36"/>
        <v/>
      </c>
      <c r="P255" s="276" t="str">
        <f t="shared" si="37"/>
        <v/>
      </c>
      <c r="Q255" s="281" t="str">
        <f>IF(N255="","",VLOOKUP(B255,'F-1 Off-Site WaterC'' Baseline'!$C$10:$AF$257,23,FALSE))</f>
        <v/>
      </c>
      <c r="R255" s="275" t="str">
        <f>IF(N255="","",VLOOKUP(N255,'G-7 WaterC'' Data'!$B$2:$G$8,2,FALSE))</f>
        <v/>
      </c>
      <c r="S255" s="276" t="str">
        <f>IFERROR(VLOOKUP(R255,'G-7 WaterC'' Data'!$C$4:$D$8,2,FALSE),"")</f>
        <v/>
      </c>
      <c r="T255" s="101"/>
      <c r="U255" s="276" t="str">
        <f>IFERROR(INDEX('G-7 WaterC'' Data'!$H$4:$L$8,MATCH(N255,'G-7 WaterC'' Data'!$B$4:$B$8,0),MATCH(T255,'G-7 WaterC'' Data'!$H$3:$L$3,0)),"")</f>
        <v/>
      </c>
      <c r="V255" s="105"/>
      <c r="W255" s="295" t="str">
        <f>IF(V255="","",IF(VLOOKUP(V255,'G-7 WaterC'' Data'!$AK$4:$AM$6,2,FALSE)=0,"Spatial Data Missing ⚠",VLOOKUP(V255,'G-7 WaterC'' Data'!$AK$4:$AM$6,2,FALSE)))</f>
        <v/>
      </c>
      <c r="X255" s="299" t="str">
        <f>IF(V255="","",IF(VLOOKUP(V255,'G-7 WaterC'' Data'!$AK$4:$AM$6,3,FALSE)=0,"Spatial Data Missing ⚠",VLOOKUP(V255,'G-7 WaterC'' Data'!$AK$4:$AM$6,3,FALSE)))</f>
        <v/>
      </c>
      <c r="Y255" s="311" t="str">
        <f>IFERROR(IF(OR(LEFT(P255,5)="Error",LEFT(O255,5)="Error"),"Check Data ⚠",IF(F255&lt;S255,'G-7 WaterC'' Data'!$R$3,INDEX('G-7 WaterC'' Data'!$U$5:$Y$9,MATCH(G255,'G-7 WaterC'' Data'!$T$5:$T$9,0),MATCH(T255,'G-7 WaterC'' Data'!$U$4:$Y$4,0)))),"")</f>
        <v/>
      </c>
      <c r="Z255" s="138"/>
      <c r="AA255" s="138"/>
      <c r="AB255" s="308" t="str">
        <f t="shared" si="33"/>
        <v/>
      </c>
      <c r="AC255" s="296" t="str">
        <f t="shared" si="38"/>
        <v/>
      </c>
      <c r="AD255" s="334" t="str">
        <f>IFERROR(IF(AC255="Check Data ⚠","Check Data ⚠",VLOOKUP(AC255,'G-4 Temporal multipliers'!$A$4:$C$37,3,FALSE)),"")</f>
        <v/>
      </c>
      <c r="AE255" s="311" t="str">
        <f>IF(N255="","",VLOOKUP(N255,'G-7 WaterC'' Data'!$B$4:$G$8,5,FALSE))</f>
        <v/>
      </c>
      <c r="AF255" s="295" t="str">
        <f t="shared" si="34"/>
        <v/>
      </c>
      <c r="AG255" s="295" t="str">
        <f t="shared" si="39"/>
        <v/>
      </c>
      <c r="AH255" s="276" t="str">
        <f t="shared" si="35"/>
        <v/>
      </c>
      <c r="AI255" s="105"/>
      <c r="AJ255" s="276" t="str">
        <f>IF(AI255="","",(IF(AND(AI255="N/A - Culvert",N255&lt;&gt;"Culvert"),"Not possible ▲",IF(VLOOKUP(AI255,'G-7 WaterC'' Data'!$AA$4:$AB$7,2,FALSE)=0,"Spatial Data Missing ⚠",VLOOKUP(AI255,'G-7 WaterC'' Data'!$AA$4:$AB$7,2,FALSE)))))</f>
        <v/>
      </c>
      <c r="AK255" s="106"/>
      <c r="AL255" s="310" t="str">
        <f>IF(AK255="","",IF(AND(AK255="N/A - Culvert",N255&lt;&gt;"Culvert"),"Not possible ▲",IF(VLOOKUP(AK255,'G-7 WaterC'' Data'!$AD$4:$AE$14,2,FALSE)=0,"Spatial Data Missing ⚠",VLOOKUP(AK255,'G-7 WaterC'' Data'!$AD$4:$AE$14,2,FALSE))))</f>
        <v/>
      </c>
      <c r="AM255" s="275" t="str">
        <f>IF(B255="","",VLOOKUP($B255,'F-1 Off-Site WaterC'' Baseline'!$C$9:$Z$257,17,FALSE))</f>
        <v/>
      </c>
      <c r="AN255" s="276" t="str">
        <f>IF(AM255="","",IF(VLOOKUP(AM255,'G-7 WaterC'' Data'!$AO$4:$BO$7,2,FALSE)=0,"Spatial Data Missing ⚠",VLOOKUP(AM255,'G-7 WaterC'' Data'!$AO$4:$BO$7,2,FALSE)))</f>
        <v/>
      </c>
      <c r="AO255" s="317" t="str">
        <f t="shared" si="40"/>
        <v/>
      </c>
      <c r="AP255" s="317" t="str">
        <f t="shared" si="41"/>
        <v/>
      </c>
      <c r="AQ255" s="52"/>
      <c r="AR255" s="51"/>
      <c r="AS255" s="104"/>
      <c r="AT255" s="104"/>
      <c r="AW255" s="30" t="str">
        <f>IF(E255="","",VLOOKUP($B255,'F-1 Off-Site WaterC'' Baseline'!$C$9:$Z$257,12,FALSE))</f>
        <v/>
      </c>
      <c r="AX255" s="30" t="str">
        <f>IF(E255="","",VLOOKUP($B255,'F-1 Off-Site WaterC'' Baseline'!$C$9:$Z$257,14,FALSE))</f>
        <v/>
      </c>
      <c r="AY255" s="30" t="str">
        <f>IFERROR(INDEX('G-7 WaterC'' Data'!$AZ$3:$AZ$7,MATCH(N255,'G-7 WaterC'' Data'!$AY$3:$AY$7,0)),"")</f>
        <v/>
      </c>
      <c r="AZ255" s="30" t="str">
        <f>IF(B255="","",IF(ISNA(VLOOKUP($B255,'F-1 Off-Site WaterC'' Baseline'!$C$8:$AD$257,20,FALSE)),"",(VLOOKUP($B255,'F-1 Off-Site WaterC'' Baseline'!$C$8:$AD$257,20,FALSE))))</f>
        <v/>
      </c>
      <c r="BC255" s="30" t="str">
        <f>IF(B255="","",VLOOKUP($B255,'F-1 Off-Site WaterC'' Baseline'!$C$9:$AB$257,25,FALSE))</f>
        <v/>
      </c>
      <c r="BD255" s="30" t="str">
        <f t="shared" si="42"/>
        <v/>
      </c>
      <c r="BE255" s="30" t="str">
        <f>IF(B255="","",VLOOKUP($B255,'F-1 Off-Site WaterC'' Baseline'!$C$9:$AB$257,24,FALSE))</f>
        <v/>
      </c>
      <c r="BF255" s="30" t="str">
        <f>IF(B255="","",VLOOKUP($B255,'F-1 Off-Site WaterC'' Baseline'!$C$9:$AB$257,22,FALSE))</f>
        <v/>
      </c>
      <c r="BJ255" s="30" t="str">
        <f t="shared" si="43"/>
        <v>No</v>
      </c>
    </row>
    <row r="256" spans="2:62" ht="14">
      <c r="B256" s="305" t="str">
        <f>'F-1 Off-Site WaterC'' Baseline'!AS254</f>
        <v/>
      </c>
      <c r="C256" s="295" t="str">
        <f>IF(B256="","",VLOOKUP($B256,'F-1 Off-Site WaterC'' Baseline'!$C$9:$R$257,2,FALSE))</f>
        <v/>
      </c>
      <c r="D256" s="295" t="str">
        <f>IF(C256="","",VLOOKUP($B256,'F-1 Off-Site WaterC'' Baseline'!$C$9:$R$257,3,FALSE))</f>
        <v/>
      </c>
      <c r="E256" s="295" t="str">
        <f>IF(D256="","",VLOOKUP($B256,'F-1 Off-Site WaterC'' Baseline'!$C$9:$R$257,4,FALSE))</f>
        <v/>
      </c>
      <c r="F256" s="295" t="str">
        <f>IF(E256="","",VLOOKUP($B256,'F-1 Off-Site WaterC'' Baseline'!$C$9:$R$257,5,FALSE))</f>
        <v/>
      </c>
      <c r="G256" s="295" t="str">
        <f>IF(F256="","",VLOOKUP($B256,'F-1 Off-Site WaterC'' Baseline'!$C$9:$R$257,6,FALSE))</f>
        <v/>
      </c>
      <c r="H256" s="295" t="str">
        <f>IF(G256="","",VLOOKUP($B256,'F-1 Off-Site WaterC'' Baseline'!$C$9:$R$257,7,FALSE))</f>
        <v/>
      </c>
      <c r="I256" s="295" t="str">
        <f>IF(H256="","",VLOOKUP($B256,'F-1 Off-Site WaterC'' Baseline'!$C$9:$R$257,8,FALSE))</f>
        <v/>
      </c>
      <c r="J256" s="295" t="str">
        <f>IF(I256="","",VLOOKUP($B256,'F-1 Off-Site WaterC'' Baseline'!$C$9:$R$257,9,FALSE))</f>
        <v/>
      </c>
      <c r="K256" s="295" t="str">
        <f>IF(J256="","",VLOOKUP($B256,'F-1 Off-Site WaterC'' Baseline'!$C$9:$R$257,10,FALSE))</f>
        <v/>
      </c>
      <c r="L256" s="283" t="str">
        <f>IF(B256="","",VLOOKUP($B256,'F-1 Off-Site WaterC'' Baseline'!$C$9:$R$257,15,FALSE))</f>
        <v/>
      </c>
      <c r="M256" s="299" t="str">
        <f>IF(L256="","",VLOOKUP($B256,'F-1 Off-Site WaterC'' Baseline'!$C$9:$V$257,19,FALSE))</f>
        <v/>
      </c>
      <c r="N256" s="244"/>
      <c r="O256" s="275" t="str">
        <f t="shared" si="36"/>
        <v/>
      </c>
      <c r="P256" s="276" t="str">
        <f t="shared" si="37"/>
        <v/>
      </c>
      <c r="Q256" s="281" t="str">
        <f>IF(N256="","",VLOOKUP(B256,'F-1 Off-Site WaterC'' Baseline'!$C$10:$AF$257,23,FALSE))</f>
        <v/>
      </c>
      <c r="R256" s="275" t="str">
        <f>IF(N256="","",VLOOKUP(N256,'G-7 WaterC'' Data'!$B$2:$G$8,2,FALSE))</f>
        <v/>
      </c>
      <c r="S256" s="276" t="str">
        <f>IFERROR(VLOOKUP(R256,'G-7 WaterC'' Data'!$C$4:$D$8,2,FALSE),"")</f>
        <v/>
      </c>
      <c r="T256" s="101"/>
      <c r="U256" s="276" t="str">
        <f>IFERROR(INDEX('G-7 WaterC'' Data'!$H$4:$L$8,MATCH(N256,'G-7 WaterC'' Data'!$B$4:$B$8,0),MATCH(T256,'G-7 WaterC'' Data'!$H$3:$L$3,0)),"")</f>
        <v/>
      </c>
      <c r="V256" s="105"/>
      <c r="W256" s="295" t="str">
        <f>IF(V256="","",IF(VLOOKUP(V256,'G-7 WaterC'' Data'!$AK$4:$AM$6,2,FALSE)=0,"Spatial Data Missing ⚠",VLOOKUP(V256,'G-7 WaterC'' Data'!$AK$4:$AM$6,2,FALSE)))</f>
        <v/>
      </c>
      <c r="X256" s="299" t="str">
        <f>IF(V256="","",IF(VLOOKUP(V256,'G-7 WaterC'' Data'!$AK$4:$AM$6,3,FALSE)=0,"Spatial Data Missing ⚠",VLOOKUP(V256,'G-7 WaterC'' Data'!$AK$4:$AM$6,3,FALSE)))</f>
        <v/>
      </c>
      <c r="Y256" s="311" t="str">
        <f>IFERROR(IF(OR(LEFT(P256,5)="Error",LEFT(O256,5)="Error"),"Check Data ⚠",IF(F256&lt;S256,'G-7 WaterC'' Data'!$R$3,INDEX('G-7 WaterC'' Data'!$U$5:$Y$9,MATCH(G256,'G-7 WaterC'' Data'!$T$5:$T$9,0),MATCH(T256,'G-7 WaterC'' Data'!$U$4:$Y$4,0)))),"")</f>
        <v/>
      </c>
      <c r="Z256" s="138"/>
      <c r="AA256" s="138"/>
      <c r="AB256" s="308" t="str">
        <f t="shared" si="33"/>
        <v/>
      </c>
      <c r="AC256" s="296" t="str">
        <f t="shared" si="38"/>
        <v/>
      </c>
      <c r="AD256" s="334" t="str">
        <f>IFERROR(IF(AC256="Check Data ⚠","Check Data ⚠",VLOOKUP(AC256,'G-4 Temporal multipliers'!$A$4:$C$37,3,FALSE)),"")</f>
        <v/>
      </c>
      <c r="AE256" s="311" t="str">
        <f>IF(N256="","",VLOOKUP(N256,'G-7 WaterC'' Data'!$B$4:$G$8,5,FALSE))</f>
        <v/>
      </c>
      <c r="AF256" s="295" t="str">
        <f t="shared" si="34"/>
        <v/>
      </c>
      <c r="AG256" s="295" t="str">
        <f t="shared" si="39"/>
        <v/>
      </c>
      <c r="AH256" s="276" t="str">
        <f t="shared" si="35"/>
        <v/>
      </c>
      <c r="AI256" s="105"/>
      <c r="AJ256" s="276" t="str">
        <f>IF(AI256="","",(IF(AND(AI256="N/A - Culvert",N256&lt;&gt;"Culvert"),"Not possible ▲",IF(VLOOKUP(AI256,'G-7 WaterC'' Data'!$AA$4:$AB$7,2,FALSE)=0,"Spatial Data Missing ⚠",VLOOKUP(AI256,'G-7 WaterC'' Data'!$AA$4:$AB$7,2,FALSE)))))</f>
        <v/>
      </c>
      <c r="AK256" s="106"/>
      <c r="AL256" s="310" t="str">
        <f>IF(AK256="","",IF(AND(AK256="N/A - Culvert",N256&lt;&gt;"Culvert"),"Not possible ▲",IF(VLOOKUP(AK256,'G-7 WaterC'' Data'!$AD$4:$AE$14,2,FALSE)=0,"Spatial Data Missing ⚠",VLOOKUP(AK256,'G-7 WaterC'' Data'!$AD$4:$AE$14,2,FALSE))))</f>
        <v/>
      </c>
      <c r="AM256" s="275" t="str">
        <f>IF(B256="","",VLOOKUP($B256,'F-1 Off-Site WaterC'' Baseline'!$C$9:$Z$257,17,FALSE))</f>
        <v/>
      </c>
      <c r="AN256" s="276" t="str">
        <f>IF(AM256="","",IF(VLOOKUP(AM256,'G-7 WaterC'' Data'!$AO$4:$BO$7,2,FALSE)=0,"Spatial Data Missing ⚠",VLOOKUP(AM256,'G-7 WaterC'' Data'!$AO$4:$BO$7,2,FALSE)))</f>
        <v/>
      </c>
      <c r="AO256" s="317" t="str">
        <f t="shared" si="40"/>
        <v/>
      </c>
      <c r="AP256" s="317" t="str">
        <f t="shared" si="41"/>
        <v/>
      </c>
      <c r="AQ256" s="52"/>
      <c r="AR256" s="51"/>
      <c r="AS256" s="104"/>
      <c r="AT256" s="104"/>
      <c r="AW256" s="30" t="str">
        <f>IF(E256="","",VLOOKUP($B256,'F-1 Off-Site WaterC'' Baseline'!$C$9:$Z$257,12,FALSE))</f>
        <v/>
      </c>
      <c r="AX256" s="30" t="str">
        <f>IF(E256="","",VLOOKUP($B256,'F-1 Off-Site WaterC'' Baseline'!$C$9:$Z$257,14,FALSE))</f>
        <v/>
      </c>
      <c r="AY256" s="30" t="str">
        <f>IFERROR(INDEX('G-7 WaterC'' Data'!$AZ$3:$AZ$7,MATCH(N256,'G-7 WaterC'' Data'!$AY$3:$AY$7,0)),"")</f>
        <v/>
      </c>
      <c r="AZ256" s="30" t="str">
        <f>IF(B256="","",IF(ISNA(VLOOKUP($B256,'F-1 Off-Site WaterC'' Baseline'!$C$8:$AD$257,20,FALSE)),"",(VLOOKUP($B256,'F-1 Off-Site WaterC'' Baseline'!$C$8:$AD$257,20,FALSE))))</f>
        <v/>
      </c>
      <c r="BC256" s="30" t="str">
        <f>IF(B256="","",VLOOKUP($B256,'F-1 Off-Site WaterC'' Baseline'!$C$9:$AB$257,25,FALSE))</f>
        <v/>
      </c>
      <c r="BD256" s="30" t="str">
        <f t="shared" si="42"/>
        <v/>
      </c>
      <c r="BE256" s="30" t="str">
        <f>IF(B256="","",VLOOKUP($B256,'F-1 Off-Site WaterC'' Baseline'!$C$9:$AB$257,24,FALSE))</f>
        <v/>
      </c>
      <c r="BF256" s="30" t="str">
        <f>IF(B256="","",VLOOKUP($B256,'F-1 Off-Site WaterC'' Baseline'!$C$9:$AB$257,22,FALSE))</f>
        <v/>
      </c>
      <c r="BJ256" s="30" t="str">
        <f t="shared" si="43"/>
        <v>No</v>
      </c>
    </row>
    <row r="257" spans="2:62" ht="14.5" thickBot="1">
      <c r="B257" s="307" t="str">
        <f>'F-1 Off-Site WaterC'' Baseline'!AS255</f>
        <v/>
      </c>
      <c r="C257" s="308" t="str">
        <f>IF(B257="","",VLOOKUP($B257,'F-1 Off-Site WaterC'' Baseline'!$C$9:$R$257,2,FALSE))</f>
        <v/>
      </c>
      <c r="D257" s="308" t="str">
        <f>IF(C257="","",VLOOKUP($B257,'F-1 Off-Site WaterC'' Baseline'!$C$9:$R$257,3,FALSE))</f>
        <v/>
      </c>
      <c r="E257" s="308" t="str">
        <f>IF(D257="","",VLOOKUP($B257,'F-1 Off-Site WaterC'' Baseline'!$C$9:$R$257,4,FALSE))</f>
        <v/>
      </c>
      <c r="F257" s="308" t="str">
        <f>IF(E257="","",VLOOKUP($B257,'F-1 Off-Site WaterC'' Baseline'!$C$9:$R$257,5,FALSE))</f>
        <v/>
      </c>
      <c r="G257" s="308" t="str">
        <f>IF(F257="","",VLOOKUP($B257,'F-1 Off-Site WaterC'' Baseline'!$C$9:$R$257,6,FALSE))</f>
        <v/>
      </c>
      <c r="H257" s="308" t="str">
        <f>IF(G257="","",VLOOKUP($B257,'F-1 Off-Site WaterC'' Baseline'!$C$9:$R$257,7,FALSE))</f>
        <v/>
      </c>
      <c r="I257" s="308" t="str">
        <f>IF(H257="","",VLOOKUP($B257,'F-1 Off-Site WaterC'' Baseline'!$C$9:$R$257,8,FALSE))</f>
        <v/>
      </c>
      <c r="J257" s="308" t="str">
        <f>IF(I257="","",VLOOKUP($B257,'F-1 Off-Site WaterC'' Baseline'!$C$9:$R$257,9,FALSE))</f>
        <v/>
      </c>
      <c r="K257" s="308" t="str">
        <f>IF(J257="","",VLOOKUP($B257,'F-1 Off-Site WaterC'' Baseline'!$C$9:$R$257,10,FALSE))</f>
        <v/>
      </c>
      <c r="L257" s="283" t="str">
        <f>IF(B257="","",VLOOKUP($B257,'F-1 Off-Site WaterC'' Baseline'!$C$9:$R$257,15,FALSE))</f>
        <v/>
      </c>
      <c r="M257" s="310" t="str">
        <f>IF(L257="","",VLOOKUP($B257,'F-1 Off-Site WaterC'' Baseline'!$C$9:$V$257,19,FALSE))</f>
        <v/>
      </c>
      <c r="N257" s="244"/>
      <c r="O257" s="275" t="str">
        <f t="shared" si="36"/>
        <v/>
      </c>
      <c r="P257" s="276" t="str">
        <f t="shared" si="37"/>
        <v/>
      </c>
      <c r="Q257" s="281" t="str">
        <f>IF(N257="","",VLOOKUP(B257,'F-1 Off-Site WaterC'' Baseline'!$C$10:$AF$257,23,FALSE))</f>
        <v/>
      </c>
      <c r="R257" s="312" t="str">
        <f>IF(N257="","",VLOOKUP(N257,'G-7 WaterC'' Data'!$B$2:$G$8,2,FALSE))</f>
        <v/>
      </c>
      <c r="S257" s="310" t="str">
        <f>IFERROR(VLOOKUP(R257,'G-7 WaterC'' Data'!$C$4:$D$8,2,FALSE),"")</f>
        <v/>
      </c>
      <c r="T257" s="101"/>
      <c r="U257" s="276" t="str">
        <f>IFERROR(INDEX('G-7 WaterC'' Data'!$H$4:$L$8,MATCH(N257,'G-7 WaterC'' Data'!$B$4:$B$8,0),MATCH(T257,'G-7 WaterC'' Data'!$H$3:$L$3,0)),"")</f>
        <v/>
      </c>
      <c r="V257" s="105"/>
      <c r="W257" s="295" t="str">
        <f>IF(V257="","",IF(VLOOKUP(V257,'G-7 WaterC'' Data'!$AK$4:$AM$6,2,FALSE)=0,"Spatial Data Missing ⚠",VLOOKUP(V257,'G-7 WaterC'' Data'!$AK$4:$AM$6,2,FALSE)))</f>
        <v/>
      </c>
      <c r="X257" s="299" t="str">
        <f>IF(V257="","",IF(VLOOKUP(V257,'G-7 WaterC'' Data'!$AK$4:$AM$6,3,FALSE)=0,"Spatial Data Missing ⚠",VLOOKUP(V257,'G-7 WaterC'' Data'!$AK$4:$AM$6,3,FALSE)))</f>
        <v/>
      </c>
      <c r="Y257" s="311" t="str">
        <f>IFERROR(IF(OR(LEFT(P257,5)="Error",LEFT(O257,5)="Error"),"Check Data ⚠",IF(F257&lt;S257,'G-7 WaterC'' Data'!$R$3,INDEX('G-7 WaterC'' Data'!$U$5:$Y$9,MATCH(G257,'G-7 WaterC'' Data'!$T$5:$T$9,0),MATCH(T257,'G-7 WaterC'' Data'!$U$4:$Y$4,0)))),"")</f>
        <v/>
      </c>
      <c r="Z257" s="138"/>
      <c r="AA257" s="144"/>
      <c r="AB257" s="308"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296" t="str">
        <f t="shared" si="38"/>
        <v/>
      </c>
      <c r="AD257" s="334" t="str">
        <f>IFERROR(IF(AC257="Check Data ⚠","Check Data ⚠",VLOOKUP(AC257,'G-4 Temporal multipliers'!$A$4:$C$37,3,FALSE)),"")</f>
        <v/>
      </c>
      <c r="AE257" s="312" t="str">
        <f>IF(N257="","",VLOOKUP(N257,'G-7 WaterC'' Data'!$B$4:$G$8,5,FALSE))</f>
        <v/>
      </c>
      <c r="AF257" s="295" t="str">
        <f>IF(N257="","",IF(AC257="Check Data ⚠","Check Data ⚠",IF(T257="","",IF($AB257="Check details - Is there evidence that habitat has reached target condition? ⚠","Low Difficulty - only applicable if all habitat created before losses ⚠","Standard difficulty applied"))))</f>
        <v/>
      </c>
      <c r="AG257" s="295" t="str">
        <f t="shared" si="39"/>
        <v/>
      </c>
      <c r="AH257" s="276" t="str">
        <f t="shared" si="35"/>
        <v/>
      </c>
      <c r="AI257" s="105"/>
      <c r="AJ257" s="276" t="str">
        <f>IF(AI257="","",(IF(AND(AI257="N/A - Culvert",N257&lt;&gt;"Culvert"),"Not possible ▲",IF(VLOOKUP(AI257,'G-7 WaterC'' Data'!$AA$4:$AB$7,2,FALSE)=0,"Spatial Data Missing ⚠",VLOOKUP(AI257,'G-7 WaterC'' Data'!$AA$4:$AB$7,2,FALSE)))))</f>
        <v/>
      </c>
      <c r="AK257" s="106"/>
      <c r="AL257" s="310" t="str">
        <f>IF(AK257="","",IF(AND(AK257="N/A - Culvert",N257&lt;&gt;"Culvert"),"Not possible ▲",IF(VLOOKUP(AK257,'G-7 WaterC'' Data'!$AD$4:$AE$14,2,FALSE)=0,"Spatial Data Missing ⚠",VLOOKUP(AK257,'G-7 WaterC'' Data'!$AD$4:$AE$14,2,FALSE))))</f>
        <v/>
      </c>
      <c r="AM257" s="275" t="str">
        <f>IF(B257="","",VLOOKUP($B257,'F-1 Off-Site WaterC'' Baseline'!$C$9:$Z$257,17,FALSE))</f>
        <v/>
      </c>
      <c r="AN257" s="276" t="str">
        <f>IF(AM257="","",IF(VLOOKUP(AM257,'G-7 WaterC'' Data'!$AO$4:$BO$7,2,FALSE)=0,"Spatial Data Missing ⚠",VLOOKUP(AM257,'G-7 WaterC'' Data'!$AO$4:$BO$7,2,FALSE)))</f>
        <v/>
      </c>
      <c r="AO257" s="317" t="str">
        <f t="shared" si="40"/>
        <v/>
      </c>
      <c r="AP257" s="317" t="str">
        <f t="shared" si="41"/>
        <v/>
      </c>
      <c r="AQ257" s="228"/>
      <c r="AR257" s="944"/>
      <c r="AS257" s="929"/>
      <c r="AT257" s="110"/>
      <c r="AW257" s="30" t="str">
        <f>IF(E257="","",VLOOKUP($B257,'F-1 Off-Site WaterC'' Baseline'!$C$9:$Z$257,12,FALSE))</f>
        <v/>
      </c>
      <c r="AX257" s="30" t="str">
        <f>IF(E257="","",VLOOKUP($B257,'F-1 Off-Site WaterC'' Baseline'!$C$9:$Z$257,14,FALSE))</f>
        <v/>
      </c>
      <c r="AY257" s="30" t="str">
        <f>IFERROR(INDEX('G-7 WaterC'' Data'!$AZ$3:$AZ$7,MATCH(N257,'G-7 WaterC'' Data'!$AY$3:$AY$7,0)),"")</f>
        <v/>
      </c>
      <c r="AZ257" s="30" t="str">
        <f>IF(B257="","",IF(ISNA(VLOOKUP($B257,'F-1 Off-Site WaterC'' Baseline'!$C$8:$AD$257,20,FALSE)),"",(VLOOKUP($B257,'F-1 Off-Site WaterC'' Baseline'!$C$8:$AD$257,20,FALSE))))</f>
        <v/>
      </c>
      <c r="BC257" s="30" t="str">
        <f>IF(B257="","",VLOOKUP($B257,'F-1 Off-Site WaterC'' Baseline'!$C$9:$AB$257,25,FALSE))</f>
        <v/>
      </c>
      <c r="BD257" s="30" t="str">
        <f>IF(BC257&gt;M257,M257,BC257)</f>
        <v/>
      </c>
      <c r="BE257" s="30" t="str">
        <f>IF(B257="","",VLOOKUP($B257,'F-1 Off-Site WaterC'' Baseline'!$C$9:$AB$257,24,FALSE))</f>
        <v/>
      </c>
      <c r="BF257" s="30" t="str">
        <f>IF(B257="","",VLOOKUP($B257,'F-1 Off-Site WaterC'' Baseline'!$C$9:$AB$257,22,FALSE))</f>
        <v/>
      </c>
      <c r="BJ257" s="30" t="str">
        <f t="shared" si="43"/>
        <v>No</v>
      </c>
    </row>
    <row r="258" spans="2:62" ht="14.5" thickBot="1">
      <c r="B258" s="34"/>
      <c r="C258" s="178"/>
      <c r="D258" s="279">
        <f>SUM(D12:D257)</f>
        <v>0</v>
      </c>
      <c r="E258" s="178"/>
      <c r="F258" s="178"/>
      <c r="G258" s="178"/>
      <c r="H258" s="178"/>
      <c r="I258" s="178"/>
      <c r="J258" s="178"/>
      <c r="K258" s="178"/>
      <c r="L258" s="178"/>
      <c r="M258" s="178"/>
      <c r="N258" s="178"/>
      <c r="O258" s="178"/>
      <c r="P258" s="178"/>
      <c r="Q258" s="279">
        <f>SUM(Q12:Q257)</f>
        <v>0</v>
      </c>
      <c r="R258" s="34"/>
      <c r="S258" s="34"/>
      <c r="T258" s="34"/>
      <c r="U258" s="34"/>
      <c r="V258" s="34"/>
      <c r="W258" s="34"/>
      <c r="X258" s="34"/>
      <c r="Y258" s="34"/>
      <c r="Z258" s="34"/>
      <c r="AA258" s="34"/>
      <c r="AB258" s="34"/>
      <c r="AC258" s="34"/>
      <c r="AD258" s="34"/>
      <c r="AE258" s="34"/>
      <c r="AF258" s="34"/>
      <c r="AG258" s="34"/>
      <c r="AH258" s="34"/>
      <c r="AI258" s="34"/>
      <c r="AJ258" s="34" t="s">
        <v>1796</v>
      </c>
      <c r="AK258" s="34"/>
      <c r="AL258" s="34"/>
      <c r="AM258" s="1695"/>
      <c r="AN258" s="1695"/>
      <c r="AO258" s="338">
        <f>IFERROR(IF(AQ6="Error - No enhancement - units less than baseline ▲","Error  ▲",SUM(AO12:AO257)),"")</f>
        <v>0</v>
      </c>
      <c r="AP258" s="338">
        <f>IFERROR(IF(AQ6="Error - No enhancement - units less than baseline ▲","Error  ▲",SUM(AP12:AP257)),"")</f>
        <v>0</v>
      </c>
      <c r="AQ258" s="34"/>
      <c r="AR258" s="34"/>
      <c r="BJ258" s="30" t="str">
        <f t="shared" si="43"/>
        <v>No</v>
      </c>
    </row>
    <row r="259" spans="36:39" ht="14">
      <c r="AJ259" s="30" t="s">
        <v>1796</v>
      </c>
      <c r="AM259" s="32"/>
    </row>
    <row r="260" ht="14"/>
    <row r="261" ht="14"/>
    <row r="262" ht="14"/>
    <row r="263" ht="14"/>
    <row r="264" ht="14"/>
    <row r="265" ht="14"/>
    <row r="266" ht="14"/>
  </sheetData>
  <sheetProtection algorithmName="SHA-512" hashValue="hZ+wymfjcXiX2e7PWaxJxHucbbhc/cdMeUYkrIhsvLlnvX34b+NZwXhyBwKSXp7wtREeEbgwa9MhVbuOqYxtwA==" saltValue="riCNzNjveb2AxfxoeqFUhQ==" spinCount="100000" sheet="1" objects="1" scenarios="1"/>
  <customSheetViews>
    <customSheetView guid="{8bda793c-c9c5-4fc6-a0a5-f1109f6d4f22}" state="hidden" topLeftCell="A1">
      <pane ySplit="11" topLeftCell="A12" activePane="bottomLeft" state="frozen"/>
      <selection pane="bottomLeft" activeCell="D14" sqref="D14"/>
      <pageMargins left="0.75" right="0.75" top="1" bottom="1" header="0.5" footer="0.5"/>
    </customSheetView>
  </customSheetViews>
  <mergeCells count="24">
    <mergeCell ref="AQ6:AR6"/>
    <mergeCell ref="AP10:AP11"/>
    <mergeCell ref="AQ10:AT10"/>
    <mergeCell ref="AM258:AN258"/>
    <mergeCell ref="AO10:AO11"/>
    <mergeCell ref="AM10:AN10"/>
    <mergeCell ref="AE10:AH10"/>
    <mergeCell ref="AI10:AJ10"/>
    <mergeCell ref="AK10:AL10"/>
    <mergeCell ref="N9:AM9"/>
    <mergeCell ref="Y2:AD4"/>
    <mergeCell ref="B2:C2"/>
    <mergeCell ref="C10:M10"/>
    <mergeCell ref="V10:X10"/>
    <mergeCell ref="Y10:AD10"/>
    <mergeCell ref="N10:N11"/>
    <mergeCell ref="Q10:Q11"/>
    <mergeCell ref="R10:S10"/>
    <mergeCell ref="T10:U10"/>
    <mergeCell ref="O3:P3"/>
    <mergeCell ref="B3:C4"/>
    <mergeCell ref="O10:P10"/>
    <mergeCell ref="R3:X5"/>
    <mergeCell ref="D3:H5"/>
  </mergeCells>
  <conditionalFormatting sqref="L12:L257">
    <cfRule type="containsText" priority="49" dxfId="666" operator="containsText" text="Restore">
      <formula>NOT(ISERROR(SEARCH("Restore",L12)))</formula>
    </cfRule>
  </conditionalFormatting>
  <conditionalFormatting sqref="O12:AB257 AE12:AO257 AO258:AP258">
    <cfRule type="beginsWith" priority="44" dxfId="1267" operator="beginsWith" text="No - Low">
      <formula>LEFT(O12,LEN("No - Low"))="No - Low"</formula>
    </cfRule>
    <cfRule type="containsText" priority="45" dxfId="1267" operator="containsText" text="30+">
      <formula>NOT(ISERROR(SEARCH("30+",O12)))</formula>
    </cfRule>
    <cfRule type="containsText" priority="46" dxfId="1267" operator="containsText" text="Spatial">
      <formula>NOT(ISERROR(SEARCH("Spatial",O12)))</formula>
    </cfRule>
    <cfRule type="containsText" priority="47" dxfId="1267" operator="containsText" text="Check">
      <formula>NOT(ISERROR(SEARCH("Check",O12)))</formula>
    </cfRule>
    <cfRule type="containsText" priority="48" dxfId="1273" operator="containsText" text="Error">
      <formula>NOT(ISERROR(SEARCH("Error",O12)))</formula>
    </cfRule>
  </conditionalFormatting>
  <conditionalFormatting sqref="AC12:AD257">
    <cfRule type="containsText" priority="42" dxfId="1267" operator="containsText" text="Check">
      <formula>NOT(ISERROR(SEARCH("Check",AC12)))</formula>
    </cfRule>
    <cfRule type="beginsWith" priority="43" dxfId="1273" operator="beginsWith" text="Error">
      <formula>LEFT(AC12,LEN("Error"))="Error"</formula>
    </cfRule>
  </conditionalFormatting>
  <conditionalFormatting sqref="Y2">
    <cfRule type="containsText" priority="40" dxfId="1281" operator="containsText" text="Note">
      <formula>NOT(ISERROR(SEARCH("Note",Y2)))</formula>
    </cfRule>
  </conditionalFormatting>
  <conditionalFormatting sqref="P4">
    <cfRule type="containsText" priority="38" dxfId="1273" operator="containsText" text="Error">
      <formula>NOT(ISERROR(SEARCH("Error",P4)))</formula>
    </cfRule>
    <cfRule type="containsText" priority="39" dxfId="1267" operator="containsText" text="Check">
      <formula>NOT(ISERROR(SEARCH("Check",P4)))</formula>
    </cfRule>
  </conditionalFormatting>
  <conditionalFormatting sqref="P5">
    <cfRule type="containsText" priority="13" dxfId="397" operator="containsText" text="Error">
      <formula>NOT(ISERROR(SEARCH("Error",P5)))</formula>
    </cfRule>
    <cfRule type="cellIs" priority="23" dxfId="881" operator="equal">
      <formula>0</formula>
    </cfRule>
    <cfRule type="containsText" priority="24" dxfId="1267" operator="containsText" text="Check">
      <formula>NOT(ISERROR(SEARCH("Check",P5)))</formula>
    </cfRule>
    <cfRule type="cellIs" priority="473" dxfId="1273" operator="lessThan">
      <formula>0</formula>
    </cfRule>
  </conditionalFormatting>
  <conditionalFormatting sqref="R3:X5">
    <cfRule type="containsText" priority="33" dxfId="1281" operator="containsText" text="Check">
      <formula>NOT(ISERROR(SEARCH("Check",R3)))</formula>
    </cfRule>
  </conditionalFormatting>
  <conditionalFormatting sqref="P6">
    <cfRule type="containsText" priority="31" dxfId="1273" operator="containsText" text="No">
      <formula>NOT(ISERROR(SEARCH("No",P6)))</formula>
    </cfRule>
    <cfRule type="containsText" priority="32" dxfId="1253" operator="containsText" text="Yes">
      <formula>NOT(ISERROR(SEARCH("Yes",P6)))</formula>
    </cfRule>
  </conditionalFormatting>
  <conditionalFormatting sqref="U12:U257">
    <cfRule type="containsText" priority="30" dxfId="1273" operator="containsText" text="Not possible">
      <formula>NOT(ISERROR(SEARCH("Not possible",U12)))</formula>
    </cfRule>
  </conditionalFormatting>
  <conditionalFormatting sqref="AP12:AP257">
    <cfRule type="containsText" priority="4" dxfId="1273" operator="containsText" text="▲">
      <formula>NOT(ISERROR(SEARCH("▲",AP12)))</formula>
    </cfRule>
    <cfRule type="beginsWith" priority="9" dxfId="1267" operator="beginsWith" text="No - Low">
      <formula>LEFT(AP12,LEN("No - Low"))="No - Low"</formula>
    </cfRule>
    <cfRule type="containsText" priority="10" dxfId="1267" operator="containsText" text="30+">
      <formula>NOT(ISERROR(SEARCH("30+",AP12)))</formula>
    </cfRule>
    <cfRule type="containsText" priority="11" dxfId="1267" operator="containsText" text="Spatial">
      <formula>NOT(ISERROR(SEARCH("Spatial",AP12)))</formula>
    </cfRule>
    <cfRule type="containsText" priority="25" dxfId="1267" operator="containsText" text="Check">
      <formula>NOT(ISERROR(SEARCH("Check",AP12)))</formula>
    </cfRule>
    <cfRule type="containsText" priority="26" dxfId="1273" operator="containsText" text="Error">
      <formula>NOT(ISERROR(SEARCH("Error",AP12)))</formula>
    </cfRule>
    <cfRule type="containsBlanks" priority="27" dxfId="84">
      <formula>LEN(TRIM(AP12))=0</formula>
    </cfRule>
    <cfRule type="expression" priority="28" dxfId="1281">
      <formula>$AP12=$BD12</formula>
    </cfRule>
    <cfRule type="expression" priority="29" dxfId="1273">
      <formula>$AP12&lt;$BD12</formula>
    </cfRule>
  </conditionalFormatting>
  <conditionalFormatting sqref="P4:P6">
    <cfRule type="containsText" priority="22" dxfId="932" operator="containsText" text="N/A">
      <formula>NOT(ISERROR(SEARCH("N/A",P4)))</formula>
    </cfRule>
  </conditionalFormatting>
  <conditionalFormatting sqref="D3:H5">
    <cfRule type="containsText" priority="19" dxfId="877" operator="containsText" text="Enhanced">
      <formula>NOT(ISERROR(SEARCH("Enhanced",D3)))</formula>
    </cfRule>
  </conditionalFormatting>
  <conditionalFormatting sqref="M12:M257">
    <cfRule type="containsText" priority="18" dxfId="1273" operator="containsText" text="Check">
      <formula>NOT(ISERROR(SEARCH("Check",M12)))</formula>
    </cfRule>
  </conditionalFormatting>
  <conditionalFormatting sqref="L1:L1048576">
    <cfRule type="containsText" priority="1" dxfId="291" operator="containsText" text="Better">
      <formula>NOT(ISERROR(SEARCH("Better",L1)))</formula>
    </cfRule>
    <cfRule type="containsText" priority="5" dxfId="1281" operator="containsText" text=" ⚠">
      <formula>NOT(ISERROR(SEARCH(" ⚠",L1)))</formula>
    </cfRule>
    <cfRule type="containsText" priority="17" dxfId="1053" operator="containsText" text="Bespoke">
      <formula>NOT(ISERROR(SEARCH("Bespoke",L1)))</formula>
    </cfRule>
  </conditionalFormatting>
  <conditionalFormatting sqref="C12:C258">
    <cfRule type="expression" priority="16" dxfId="877">
      <formula>$AZ12="Yes"</formula>
    </cfRule>
  </conditionalFormatting>
  <conditionalFormatting sqref="AJ1:AJ8 AJ10:AJ1048576">
    <cfRule type="containsText" priority="15" dxfId="1273" operator="containsText" text="Not possible">
      <formula>NOT(ISERROR(SEARCH("Not possible",AJ1)))</formula>
    </cfRule>
  </conditionalFormatting>
  <conditionalFormatting sqref="AL1:AL8 AL10:AL1048576">
    <cfRule type="containsText" priority="14" dxfId="1273" operator="containsText" text="Not possible">
      <formula>NOT(ISERROR(SEARCH("Not possible",AL1)))</formula>
    </cfRule>
  </conditionalFormatting>
  <conditionalFormatting sqref="W12">
    <cfRule type="containsText" priority="12" dxfId="1273" operator="containsText" text="Possible">
      <formula>NOT(ISERROR(SEARCH("Possible",W12)))</formula>
    </cfRule>
  </conditionalFormatting>
  <conditionalFormatting sqref="AQ6:AR6">
    <cfRule type="containsText" priority="8" dxfId="1273" operator="containsText" text="Error">
      <formula>NOT(ISERROR(SEARCH("Error",AQ6)))</formula>
    </cfRule>
  </conditionalFormatting>
  <conditionalFormatting sqref="AF1:AF8 AF10:AF1048576">
    <cfRule type="containsText" priority="7" dxfId="1281" operator="containsText" text="⚠">
      <formula>NOT(ISERROR(SEARCH("⚠",AF1)))</formula>
    </cfRule>
  </conditionalFormatting>
  <conditionalFormatting sqref="H12:H257">
    <cfRule type="containsText" priority="6" dxfId="1273" operator="containsText" text="possible">
      <formula>NOT(ISERROR(SEARCH("possible",H12)))</formula>
    </cfRule>
  </conditionalFormatting>
  <conditionalFormatting sqref="AT12:AT257">
    <cfRule type="expression" priority="3" dxfId="1275">
      <formula>$AP12="Off-site reference required ▲"</formula>
    </cfRule>
  </conditionalFormatting>
  <conditionalFormatting sqref="AC1:AC1048576">
    <cfRule type="containsText" priority="2" dxfId="1281" operator="containsText" text="30+">
      <formula>NOT(ISERROR(SEARCH("30+",AC1)))</formula>
    </cfRule>
  </conditionalFormatting>
  <conditionalFormatting sqref="P5">
    <cfRule type="expression" priority="20" dxfId="1289">
      <formula>'Headline Results'!$H$10:$I$10=0</formula>
    </cfRule>
  </conditionalFormatting>
  <conditionalFormatting sqref="P5">
    <cfRule type="cellIs" priority="21" dxfId="1294" operator="lessThan">
      <formula>Start!$F$22</formula>
    </cfRule>
    <cfRule type="cellIs" priority="474" dxfId="1284" operator="greaterThan">
      <formula>Start!$F$22</formula>
    </cfRule>
  </conditionalFormatting>
  <dataValidations count="7">
    <dataValidation type="list" allowBlank="1" showInputMessage="1" showErrorMessage="1" sqref="T12:T257">
      <formula1>INDIRECT(AY12)</formula1>
    </dataValidation>
    <dataValidation type="list" allowBlank="1" showInputMessage="1" showErrorMessage="1" sqref="AI12:AI257">
      <formula1>IF(N12="Culvert",riparianencroachment2,riparianencroachment1)</formula1>
    </dataValidation>
    <dataValidation type="list" allowBlank="1" showInputMessage="1" showErrorMessage="1" sqref="AK12:AK257">
      <formula1>IF(N12="Culvert",Encroachment2,Encroachment1)</formula1>
    </dataValidation>
    <dataValidation type="list" allowBlank="1" showInputMessage="1" showErrorMessage="1" sqref="AI258:AI259">
      <formula1>#REF!</formula1>
    </dataValidation>
    <dataValidation type="list" allowBlank="1" showInputMessage="1" showErrorMessage="1" sqref="Z12:AA257">
      <formula1>'G-4 Temporal multipliers'!$A$42:$A$73</formula1>
    </dataValidation>
    <dataValidation type="list" allowBlank="1" showInputMessage="1" showErrorMessage="1" sqref="V12:V257">
      <formula1>'G-7 WaterC'' Data'!$AK$4:$AK$6</formula1>
    </dataValidation>
    <dataValidation type="list" allowBlank="1" showInputMessage="1" showErrorMessage="1" sqref="N12:N257">
      <formula1>'G-7 WaterC'' Data'!$B$4:$B$7</formula1>
    </dataValidation>
  </dataValidations>
  <pageMargins left="0.7" right="0.7" top="0.75" bottom="0.75" header="0.3" footer="0.3"/>
  <pageSetup horizontalDpi="90" verticalDpi="90" orientation="portrait" paperSize="9"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5502118-3D38-4EFA-9E67-C89D3F37F7A4}">
  <sheetPr codeName="Sheet2">
    <tabColor rgb="FFFFC000"/>
  </sheetPr>
  <dimension ref="A2:W177"/>
  <sheetViews>
    <sheetView zoomScale="80" zoomScaleNormal="80" workbookViewId="0" topLeftCell="A1"/>
  </sheetViews>
  <sheetFormatPr defaultColWidth="35.5442857142857" defaultRowHeight="14.5" zeroHeight="1"/>
  <cols>
    <col min="1" max="3" width="8.57142857142857" customWidth="1"/>
    <col min="4" max="4" width="23.4285714285714" customWidth="1"/>
    <col min="5" max="5" width="66.5714285714286" customWidth="1"/>
    <col min="6" max="6" width="25.5714285714286" customWidth="1"/>
    <col min="7" max="7" width="39.4285714285714" bestFit="1" customWidth="1"/>
    <col min="8" max="8" width="36.4285714285714" bestFit="1" customWidth="1"/>
    <col min="9" max="9" width="36.4285714285714" customWidth="1"/>
    <col min="10" max="11" width="36.4285714285714" bestFit="1" customWidth="1"/>
    <col min="12" max="12" width="13.4285714285714" customWidth="1"/>
    <col min="13" max="14" width="35.5714285714286" customWidth="1"/>
    <col min="15" max="16" width="35.5714285714286" hidden="1" customWidth="1"/>
    <col min="17" max="17" width="39.4285714285714" hidden="1" customWidth="1"/>
    <col min="18" max="18" width="45.5714285714286" hidden="1" customWidth="1"/>
    <col min="19" max="19" width="60.4285714285714" hidden="1" customWidth="1"/>
    <col min="20" max="20" width="35.5714285714286" hidden="1" customWidth="1"/>
    <col min="21" max="16382" width="0" style="1" hidden="1" customWidth="1"/>
    <col min="16383" max="16383" width="35.5714285714286" style="1"/>
    <col min="16384" max="16384" width="10.5714285714286" style="1" customWidth="1"/>
  </cols>
  <sheetData>
    <row r="1" s="1" customFormat="1" ht="15" thickBot="1"/>
    <row r="2" spans="4:8" s="1" customFormat="1" ht="15" thickBot="1">
      <c r="D2" s="725" t="s">
        <v>69</v>
      </c>
      <c r="E2" s="725" t="s">
        <v>70</v>
      </c>
      <c r="F2" s="861" t="s">
        <v>515</v>
      </c>
      <c r="G2" s="1463" t="s">
        <v>516</v>
      </c>
      <c r="H2" s="1465"/>
    </row>
    <row r="3" spans="2:8" s="1" customFormat="1" ht="14.5">
      <c r="B3" s="1807" t="s">
        <v>89</v>
      </c>
      <c r="C3" s="1808"/>
      <c r="D3" s="867">
        <f>Start!F22</f>
        <v>0.10</v>
      </c>
      <c r="E3" s="726">
        <f>'Headline Results'!$E$61</f>
        <v>20.029840000000007</v>
      </c>
      <c r="F3" s="726">
        <f>'Headline Results'!$F61</f>
        <v>22.03282400000001</v>
      </c>
      <c r="G3" s="864">
        <f>'Headline Results'!$H61</f>
        <v>0</v>
      </c>
      <c r="H3" s="862" t="str">
        <f t="shared" si="0" ref="H3:H4">IF(G3=0,"",IF(G3&gt;0,"▲","✓"))</f>
        <v/>
      </c>
    </row>
    <row r="4" spans="2:8" s="1" customFormat="1" ht="14.5">
      <c r="B4" s="1809" t="s">
        <v>78</v>
      </c>
      <c r="C4" s="1810"/>
      <c r="D4" s="868">
        <f>Start!F22</f>
        <v>0.10</v>
      </c>
      <c r="E4" s="727">
        <f>'Headline Results'!H9</f>
        <v>1.2694</v>
      </c>
      <c r="F4" s="729">
        <f>'Headline Results'!$F62</f>
        <v>1.3963400000000001</v>
      </c>
      <c r="G4" s="865">
        <f>'Headline Results'!$H62</f>
        <v>0</v>
      </c>
      <c r="H4" s="753" t="str">
        <f t="shared" si="0"/>
        <v/>
      </c>
    </row>
    <row r="5" spans="2:8" s="1" customFormat="1" ht="15" thickBot="1">
      <c r="B5" s="1811" t="s">
        <v>79</v>
      </c>
      <c r="C5" s="1812"/>
      <c r="D5" s="869">
        <f>Start!F22</f>
        <v>0.10</v>
      </c>
      <c r="E5" s="728">
        <f>'Headline Results'!H10</f>
        <v>0.06688</v>
      </c>
      <c r="F5" s="730">
        <f>'Headline Results'!$F63</f>
        <v>0.073568</v>
      </c>
      <c r="G5" s="866">
        <f>'Headline Results'!$H63</f>
        <v>0.0066879999999999995</v>
      </c>
      <c r="H5" s="863" t="str">
        <f>IF(G5=0,"",IF(G5&gt;0,"▲","✓"))</f>
        <v>▲</v>
      </c>
    </row>
    <row r="6" spans="5:9" s="1" customFormat="1" ht="14.5">
      <c r="E6" s="732"/>
      <c r="F6" s="732"/>
      <c r="G6" s="732"/>
      <c r="H6" s="733"/>
      <c r="I6" s="732"/>
    </row>
    <row r="7" spans="5:9" s="1" customFormat="1" ht="15" thickBot="1">
      <c r="E7" s="732"/>
      <c r="F7" s="732"/>
      <c r="G7" s="732"/>
      <c r="H7" s="733"/>
      <c r="I7" s="732"/>
    </row>
    <row r="8" spans="5:9" s="1" customFormat="1" ht="15" thickBot="1">
      <c r="E8" s="861" t="s">
        <v>240</v>
      </c>
      <c r="F8" s="731" t="s">
        <v>517</v>
      </c>
      <c r="G8" s="1640" t="s">
        <v>241</v>
      </c>
      <c r="H8" s="1641"/>
      <c r="I8" s="732"/>
    </row>
    <row r="9" spans="5:9" s="1" customFormat="1" ht="14.5">
      <c r="E9" s="892" t="s">
        <v>242</v>
      </c>
      <c r="F9" s="902">
        <f>IFERROR(IF(OR('Trading Summary Area Habitats'!$K$13&lt;0,'Trading Summary WaterC''s'!$I$13&lt;0),"ERROR",IF((F13+F12+F11+F10+((H65+M122+G138)*-1))&gt;=G3,((H65+M122+G138)*-1),IF((F13+F12+F11+F10+((H65+M122+G138)*-1))&gt;=(G3-(F3-E3)),(((H65+M122+G138)*-1)+(G3-(F13+F12+F11+F10+((H65+M122+G138)*-1)))),IF(G3&lt;=0,((H65+M122+G138)*-1),IF((F13+F12+F11+F10+((H65+M122+G138)*-1))&lt;G3,(G3-(F10+F11+F12+F13)),IF(G3&gt;=F3-E3,((H65+M122+G138)*-1)+(F3-E3),((H65+M122+G138)*-1)+G3)))))),"Error")</f>
        <v>0</v>
      </c>
      <c r="G9" s="898">
        <f t="shared" si="1" ref="G9:G13">IF(F9="ERROR","ERROR",F9*2)</f>
        <v>0</v>
      </c>
      <c r="H9" s="887" t="str">
        <f t="shared" si="2" ref="H9:H14">IF(G9=0,"",IF(G9&gt;0,"▲","✓"))</f>
        <v/>
      </c>
      <c r="I9" s="732"/>
    </row>
    <row r="10" spans="5:9" s="1" customFormat="1" ht="14.5">
      <c r="E10" s="893" t="s">
        <v>243</v>
      </c>
      <c r="F10" s="903">
        <f>IFERROR(IF(OR('Trading Summary Area Habitats'!$K$13&lt;0,'Trading Summary WaterC''s'!$I$13&lt;0),"ERROR",(H57+M127)*-1),"Error")</f>
        <v>0</v>
      </c>
      <c r="G10" s="899">
        <f t="shared" si="1"/>
        <v>0</v>
      </c>
      <c r="H10" s="888" t="str">
        <f t="shared" si="2"/>
        <v/>
      </c>
      <c r="I10" s="732"/>
    </row>
    <row r="11" spans="5:9" s="1" customFormat="1" ht="14.5">
      <c r="E11" s="893" t="s">
        <v>244</v>
      </c>
      <c r="F11" s="903">
        <f>IFERROR(IF(OR('Trading Summary Area Habitats'!$K$13&lt;0,'Trading Summary WaterC''s'!$I$13&lt;0),"ERROR",H47*-1),"Error")</f>
        <v>0</v>
      </c>
      <c r="G11" s="899">
        <f t="shared" si="1"/>
        <v>0</v>
      </c>
      <c r="H11" s="888" t="str">
        <f t="shared" si="2"/>
        <v/>
      </c>
      <c r="I11" s="732"/>
    </row>
    <row r="12" spans="5:11" s="1" customFormat="1" ht="14.5">
      <c r="E12" s="893" t="s">
        <v>245</v>
      </c>
      <c r="F12" s="903">
        <f>IFERROR(IF(OR('Trading Summary Area Habitats'!$K$13&lt;0,'Trading Summary WaterC''s'!$I$13&lt;0),"ERROR",(H27+M129)*-1),"Error")</f>
        <v>0</v>
      </c>
      <c r="G12" s="899">
        <f t="shared" si="1"/>
        <v>0</v>
      </c>
      <c r="H12" s="889" t="str">
        <f t="shared" si="2"/>
        <v/>
      </c>
      <c r="J12" s="733"/>
      <c r="K12" s="733"/>
    </row>
    <row r="13" spans="5:8" s="1" customFormat="1" ht="15" thickBot="1">
      <c r="E13" s="894" t="s">
        <v>246</v>
      </c>
      <c r="F13" s="904">
        <f>IFERROR(IF(OR('Trading Summary Area Habitats'!$K$13&lt;0,'Trading Summary WaterC''s'!$I$13&lt;0),"ERROR",(H21*-1)),"Error")</f>
        <v>0</v>
      </c>
      <c r="G13" s="900">
        <f t="shared" si="1"/>
        <v>0</v>
      </c>
      <c r="H13" s="895" t="str">
        <f t="shared" si="2"/>
        <v/>
      </c>
    </row>
    <row r="14" spans="5:8" s="1" customFormat="1" ht="15" thickBot="1">
      <c r="E14" s="896" t="s">
        <v>247</v>
      </c>
      <c r="F14" s="905">
        <f>IFERROR(IF(OR('Trading Summary Area Habitats'!$K$13&lt;0,'Trading Summary WaterC''s'!$I$13&lt;0),"ERROR",IF((G147*-1)&lt;G4,G4,IF(G4&lt;=0,(G147*-1),IF(G4&gt;=F4-E4,(G147*-1),(G147*-1)+G4)))),"Error")</f>
        <v>0</v>
      </c>
      <c r="G14" s="901">
        <f>IFERROR(IF(F14="ERROR","ERROR",F14*2),"Error")</f>
        <v>0</v>
      </c>
      <c r="H14" s="890" t="str">
        <f t="shared" si="2"/>
        <v/>
      </c>
    </row>
    <row r="15" spans="5:8" s="1" customFormat="1" ht="15" thickBot="1">
      <c r="E15" s="897" t="s">
        <v>248</v>
      </c>
      <c r="F15" s="905">
        <f>IF(OR('Trading Summary Area Habitats'!$K$13&lt;0,'Trading Summary WaterC''s'!$I$13&lt;0),"ERROR",IF((G157*-1)&lt;G5,G5,IF(G5&lt;=0,(G157*-1),IF(G5&gt;=F5-E5,(G157*-1),(G157*-1)+G5))))</f>
        <v>0.0066879999999999995</v>
      </c>
      <c r="G15" s="901">
        <f>IFERROR(IF(F15="ERROR","ERROR",F15*2),"Error")</f>
        <v>0.013375999999999999</v>
      </c>
      <c r="H15" s="890" t="str">
        <f>IF(G15=0,"",IF(G15&gt;0,"▲","✓"))</f>
        <v>▲</v>
      </c>
    </row>
    <row r="16" spans="5:8" s="1" customFormat="1" ht="29.15" customHeight="1" thickBot="1">
      <c r="E16" s="1806" t="str">
        <f>IF(OR('Trading Summary Area Habitats'!$K$13&lt;0,'Trading Summary WaterC''s'!$I$13&lt;0),"ERROR - This metric still includes losses of very high distinctiveness habitat. Losses of very high distinctiveness units must be compensated for through this metric or through bespoke compensation ▲"," ")</f>
        <v xml:space="preserve"> </v>
      </c>
      <c r="F16" s="1806"/>
      <c r="G16" s="1806"/>
      <c r="H16" s="1806"/>
    </row>
    <row r="17" spans="1:20" ht="19.5" customHeight="1" hidden="1" thickBot="1">
      <c r="A17" s="1"/>
      <c r="B17" s="1813" t="s">
        <v>518</v>
      </c>
      <c r="C17" s="1"/>
      <c r="D17" s="734" t="s">
        <v>240</v>
      </c>
      <c r="E17" s="891" t="s">
        <v>519</v>
      </c>
      <c r="F17" s="891" t="s">
        <v>520</v>
      </c>
      <c r="G17" s="891" t="s">
        <v>521</v>
      </c>
      <c r="H17" s="891" t="s">
        <v>522</v>
      </c>
      <c r="I17" s="1"/>
      <c r="J17" s="1"/>
      <c r="K17" s="1"/>
      <c r="L17" s="1"/>
      <c r="M17" s="1"/>
      <c r="N17" s="1"/>
      <c r="O17" s="1"/>
      <c r="P17" s="1"/>
      <c r="Q17" s="1"/>
      <c r="R17" s="1"/>
      <c r="S17" s="1"/>
      <c r="T17" s="1"/>
    </row>
    <row r="18" spans="1:20" ht="7.5" customHeight="1" hidden="1" thickBot="1">
      <c r="A18" s="1"/>
      <c r="B18" s="1814"/>
      <c r="C18" s="1"/>
      <c r="D18" s="809" t="s">
        <v>246</v>
      </c>
      <c r="E18" s="810" t="s">
        <v>523</v>
      </c>
      <c r="F18" s="810" t="s">
        <v>524</v>
      </c>
      <c r="G18" s="811">
        <f>'Trading Summary Area Habitats'!K12</f>
        <v>0</v>
      </c>
      <c r="H18" s="798">
        <f>'Trading Summary Area Habitats'!K13</f>
        <v>0</v>
      </c>
      <c r="I18" s="1"/>
      <c r="J18" s="1"/>
      <c r="K18" s="1"/>
      <c r="L18" s="1"/>
      <c r="M18" s="1"/>
      <c r="N18" s="1"/>
      <c r="O18" s="1"/>
      <c r="P18" s="1"/>
      <c r="Q18" s="1"/>
      <c r="R18" s="1"/>
      <c r="S18" s="1"/>
      <c r="T18" s="1"/>
    </row>
    <row r="19" spans="1:20" ht="15" thickBot="1">
      <c r="A19" s="1"/>
      <c r="B19" s="1"/>
      <c r="C19" s="1"/>
      <c r="D19" s="1"/>
      <c r="E19" s="732"/>
      <c r="F19" s="1"/>
      <c r="G19" s="1"/>
      <c r="H19" s="1"/>
      <c r="I19" s="1"/>
      <c r="J19" s="1"/>
      <c r="K19" s="1"/>
      <c r="L19" s="1"/>
      <c r="M19" s="1"/>
      <c r="N19" s="1"/>
      <c r="O19" s="1"/>
      <c r="P19" s="1"/>
      <c r="Q19" s="1"/>
      <c r="R19" s="1"/>
      <c r="S19" s="1"/>
      <c r="T19" s="1"/>
    </row>
    <row r="20" spans="1:23" ht="15" thickBot="1">
      <c r="A20" s="1"/>
      <c r="B20" s="1"/>
      <c r="C20" s="1"/>
      <c r="D20" s="731" t="s">
        <v>240</v>
      </c>
      <c r="E20" s="725" t="s">
        <v>519</v>
      </c>
      <c r="F20" s="725" t="s">
        <v>520</v>
      </c>
      <c r="G20" s="725" t="s">
        <v>525</v>
      </c>
      <c r="H20" s="734" t="s">
        <v>526</v>
      </c>
      <c r="I20" s="717"/>
      <c r="J20" s="732"/>
      <c r="K20" s="732"/>
      <c r="L20" s="732"/>
      <c r="M20" s="732"/>
      <c r="N20" s="732"/>
      <c r="O20" s="732"/>
      <c r="P20" s="732"/>
      <c r="Q20" s="732"/>
      <c r="R20" s="732"/>
      <c r="S20" s="861" t="s">
        <v>519</v>
      </c>
      <c r="T20" s="775" t="s">
        <v>527</v>
      </c>
      <c r="U20" s="732"/>
      <c r="V20" s="732"/>
      <c r="W20" s="732"/>
    </row>
    <row r="21" spans="1:23" ht="14.5">
      <c r="A21" s="1"/>
      <c r="B21" s="1813" t="s">
        <v>528</v>
      </c>
      <c r="C21" s="1"/>
      <c r="D21" s="1825" t="s">
        <v>246</v>
      </c>
      <c r="E21" s="220" t="s">
        <v>529</v>
      </c>
      <c r="F21" s="220" t="s">
        <v>108</v>
      </c>
      <c r="G21" s="806">
        <f>'G-2 Habitat groups'!$BE$39</f>
        <v>0</v>
      </c>
      <c r="H21" s="1822">
        <f>SUMIF(G21:G25,"&lt;0")</f>
        <v>0</v>
      </c>
      <c r="I21" s="438"/>
      <c r="J21" s="732"/>
      <c r="K21" s="732"/>
      <c r="L21" s="732"/>
      <c r="M21" s="732"/>
      <c r="N21" s="732"/>
      <c r="O21" s="732"/>
      <c r="P21" s="732"/>
      <c r="Q21" s="732"/>
      <c r="R21" s="732"/>
      <c r="S21" s="1025" t="s">
        <v>529</v>
      </c>
      <c r="T21" s="1027">
        <f>IF(G21&gt;0,(0),(-2*(G21)))</f>
        <v>0</v>
      </c>
      <c r="U21" s="732"/>
      <c r="V21" s="732"/>
      <c r="W21" s="732"/>
    </row>
    <row r="22" spans="1:23" ht="14.5">
      <c r="A22" s="1"/>
      <c r="B22" s="1815"/>
      <c r="C22" s="1"/>
      <c r="D22" s="1826"/>
      <c r="E22" s="216" t="s">
        <v>530</v>
      </c>
      <c r="F22" s="216" t="s">
        <v>108</v>
      </c>
      <c r="G22" s="807">
        <f>'G-2 Habitat groups'!$BE$40</f>
        <v>0</v>
      </c>
      <c r="H22" s="1823"/>
      <c r="I22" s="438"/>
      <c r="J22" s="732"/>
      <c r="K22" s="732"/>
      <c r="L22" s="732"/>
      <c r="M22" s="732"/>
      <c r="N22" s="732"/>
      <c r="O22" s="732"/>
      <c r="P22" s="732"/>
      <c r="Q22" s="732"/>
      <c r="R22" s="732"/>
      <c r="S22" s="1026" t="s">
        <v>530</v>
      </c>
      <c r="T22" s="1028">
        <f t="shared" si="3" ref="T22:T66">IF(G22&gt;0,(0),(-2*(G22)))</f>
        <v>0</v>
      </c>
      <c r="U22" s="732"/>
      <c r="V22" s="732"/>
      <c r="W22" s="732"/>
    </row>
    <row r="23" spans="1:23" ht="14.5">
      <c r="A23" s="1"/>
      <c r="B23" s="1815"/>
      <c r="C23" s="1"/>
      <c r="D23" s="1826"/>
      <c r="E23" s="216" t="s">
        <v>531</v>
      </c>
      <c r="F23" s="216" t="s">
        <v>108</v>
      </c>
      <c r="G23" s="807">
        <f>'G-2 Habitat groups'!$BE$41</f>
        <v>0</v>
      </c>
      <c r="H23" s="1823"/>
      <c r="I23" s="438"/>
      <c r="J23" s="732"/>
      <c r="K23" s="732"/>
      <c r="L23" s="732"/>
      <c r="M23" s="732"/>
      <c r="N23" s="732"/>
      <c r="O23" s="732"/>
      <c r="P23" s="732"/>
      <c r="Q23" s="732"/>
      <c r="R23" s="732"/>
      <c r="S23" s="1026" t="s">
        <v>531</v>
      </c>
      <c r="T23" s="1028">
        <f t="shared" si="3"/>
        <v>0</v>
      </c>
      <c r="U23" s="732"/>
      <c r="V23" s="732"/>
      <c r="W23" s="732"/>
    </row>
    <row r="24" spans="1:23" ht="14.5">
      <c r="A24" s="1"/>
      <c r="B24" s="1815"/>
      <c r="C24" s="1"/>
      <c r="D24" s="1826"/>
      <c r="E24" s="216" t="s">
        <v>532</v>
      </c>
      <c r="F24" s="216" t="s">
        <v>108</v>
      </c>
      <c r="G24" s="807">
        <f>'G-2 Habitat groups'!$BE$42</f>
        <v>0</v>
      </c>
      <c r="H24" s="1823"/>
      <c r="I24" s="438"/>
      <c r="J24" s="732"/>
      <c r="K24" s="732"/>
      <c r="L24" s="732"/>
      <c r="M24" s="732"/>
      <c r="N24" s="732"/>
      <c r="O24" s="732"/>
      <c r="P24" s="732"/>
      <c r="Q24" s="732"/>
      <c r="R24" s="732"/>
      <c r="S24" s="1026" t="s">
        <v>532</v>
      </c>
      <c r="T24" s="1028">
        <f t="shared" si="3"/>
        <v>0</v>
      </c>
      <c r="U24" s="732"/>
      <c r="V24" s="732"/>
      <c r="W24" s="732"/>
    </row>
    <row r="25" spans="1:23" ht="15" thickBot="1">
      <c r="A25" s="1"/>
      <c r="B25" s="1815"/>
      <c r="C25" s="1"/>
      <c r="D25" s="1827"/>
      <c r="E25" s="218" t="s">
        <v>533</v>
      </c>
      <c r="F25" s="218" t="s">
        <v>108</v>
      </c>
      <c r="G25" s="808">
        <f>'G-2 Habitat groups'!$BE$43</f>
        <v>0</v>
      </c>
      <c r="H25" s="1824"/>
      <c r="I25" s="438"/>
      <c r="J25" s="732"/>
      <c r="K25" s="732"/>
      <c r="L25" s="732"/>
      <c r="M25" s="732"/>
      <c r="N25" s="732"/>
      <c r="O25" s="732"/>
      <c r="P25" s="732"/>
      <c r="Q25" s="732"/>
      <c r="R25" s="732"/>
      <c r="S25" s="754" t="s">
        <v>533</v>
      </c>
      <c r="T25" s="1029">
        <f t="shared" si="3"/>
        <v>0</v>
      </c>
      <c r="U25" s="732"/>
      <c r="V25" s="732"/>
      <c r="W25" s="732"/>
    </row>
    <row r="26" spans="1:23" ht="15" thickBot="1">
      <c r="A26" s="1"/>
      <c r="B26" s="1815"/>
      <c r="C26" s="1"/>
      <c r="D26" s="1"/>
      <c r="E26" s="1"/>
      <c r="F26" s="732"/>
      <c r="G26" s="732"/>
      <c r="H26" s="732"/>
      <c r="I26" s="732"/>
      <c r="J26" s="732"/>
      <c r="K26" s="732"/>
      <c r="L26" s="732"/>
      <c r="M26" s="732"/>
      <c r="N26" s="732"/>
      <c r="O26" s="732"/>
      <c r="P26" s="732"/>
      <c r="Q26" s="732"/>
      <c r="R26" s="732"/>
      <c r="S26" s="1"/>
      <c r="T26" s="1030"/>
      <c r="U26" s="732"/>
      <c r="V26" s="732"/>
      <c r="W26" s="732"/>
    </row>
    <row r="27" spans="1:23" ht="14.5">
      <c r="A27" s="1"/>
      <c r="B27" s="1815"/>
      <c r="C27" s="1"/>
      <c r="D27" s="1816" t="s">
        <v>245</v>
      </c>
      <c r="E27" s="1048" t="s">
        <v>534</v>
      </c>
      <c r="F27" s="220" t="s">
        <v>106</v>
      </c>
      <c r="G27" s="270">
        <f>'G-2 Habitat groups'!BE31</f>
        <v>0</v>
      </c>
      <c r="H27" s="1819">
        <f>SUMIF(G27:G45,"&lt;0")</f>
        <v>0</v>
      </c>
      <c r="I27" s="438"/>
      <c r="J27" s="732"/>
      <c r="K27" s="732"/>
      <c r="L27" s="732"/>
      <c r="M27" s="732"/>
      <c r="N27" s="732"/>
      <c r="O27" s="732"/>
      <c r="P27" s="732"/>
      <c r="Q27" s="732"/>
      <c r="R27" s="732"/>
      <c r="S27" s="1024" t="s">
        <v>534</v>
      </c>
      <c r="T27" s="1027">
        <f t="shared" si="3"/>
        <v>0</v>
      </c>
      <c r="U27" s="732"/>
      <c r="V27" s="732"/>
      <c r="W27" s="732"/>
    </row>
    <row r="28" spans="1:23" ht="14.5">
      <c r="A28" s="1"/>
      <c r="B28" s="1815"/>
      <c r="C28" s="1"/>
      <c r="D28" s="1817"/>
      <c r="E28" s="1049" t="s">
        <v>535</v>
      </c>
      <c r="F28" s="216" t="s">
        <v>108</v>
      </c>
      <c r="G28" s="268">
        <f>'G-2 Habitat groups'!$BE$44</f>
        <v>0</v>
      </c>
      <c r="H28" s="1820"/>
      <c r="I28" s="438"/>
      <c r="J28" s="732"/>
      <c r="K28" s="732"/>
      <c r="L28" s="732"/>
      <c r="M28" s="732"/>
      <c r="N28" s="732"/>
      <c r="O28" s="732"/>
      <c r="P28" s="732"/>
      <c r="Q28" s="732"/>
      <c r="R28" s="732"/>
      <c r="S28" s="1023" t="s">
        <v>535</v>
      </c>
      <c r="T28" s="1028">
        <f t="shared" si="3"/>
        <v>0</v>
      </c>
      <c r="U28" s="732"/>
      <c r="V28" s="732"/>
      <c r="W28" s="732"/>
    </row>
    <row r="29" spans="1:23" ht="14.5">
      <c r="A29" s="1"/>
      <c r="B29" s="1815"/>
      <c r="C29" s="1"/>
      <c r="D29" s="1817"/>
      <c r="E29" s="1049" t="s">
        <v>536</v>
      </c>
      <c r="F29" s="216" t="s">
        <v>108</v>
      </c>
      <c r="G29" s="268">
        <f>'G-2 Habitat groups'!$BE$45</f>
        <v>0</v>
      </c>
      <c r="H29" s="1820"/>
      <c r="I29" s="438"/>
      <c r="J29" s="732"/>
      <c r="K29" s="732"/>
      <c r="L29" s="732"/>
      <c r="M29" s="732"/>
      <c r="N29" s="732"/>
      <c r="O29" s="732"/>
      <c r="P29" s="732"/>
      <c r="Q29" s="732"/>
      <c r="R29" s="732"/>
      <c r="S29" s="1023" t="s">
        <v>536</v>
      </c>
      <c r="T29" s="1028">
        <f t="shared" si="3"/>
        <v>0</v>
      </c>
      <c r="U29" s="732"/>
      <c r="V29" s="732"/>
      <c r="W29" s="732"/>
    </row>
    <row r="30" spans="1:23" ht="14.5">
      <c r="A30" s="1"/>
      <c r="B30" s="1815"/>
      <c r="C30" s="1"/>
      <c r="D30" s="1817"/>
      <c r="E30" s="1049" t="s">
        <v>537</v>
      </c>
      <c r="F30" s="216" t="s">
        <v>109</v>
      </c>
      <c r="G30" s="268">
        <f>'G-2 Habitat groups'!$BE$46</f>
        <v>0</v>
      </c>
      <c r="H30" s="1820"/>
      <c r="I30" s="438"/>
      <c r="J30" s="732"/>
      <c r="K30" s="732"/>
      <c r="L30" s="1"/>
      <c r="M30" s="1"/>
      <c r="N30" s="1"/>
      <c r="O30" s="1"/>
      <c r="P30" s="732"/>
      <c r="Q30" s="732"/>
      <c r="R30" s="732"/>
      <c r="S30" s="1023" t="s">
        <v>537</v>
      </c>
      <c r="T30" s="1028">
        <f t="shared" si="3"/>
        <v>0</v>
      </c>
      <c r="U30" s="732"/>
      <c r="V30" s="732"/>
      <c r="W30" s="732"/>
    </row>
    <row r="31" spans="1:23" ht="14.5">
      <c r="A31" s="1"/>
      <c r="B31" s="1815"/>
      <c r="C31" s="1"/>
      <c r="D31" s="1817"/>
      <c r="E31" s="1049" t="s">
        <v>538</v>
      </c>
      <c r="F31" s="216" t="s">
        <v>109</v>
      </c>
      <c r="G31" s="268">
        <f>'G-2 Habitat groups'!$BE$47</f>
        <v>0</v>
      </c>
      <c r="H31" s="1820"/>
      <c r="I31" s="438"/>
      <c r="J31" s="732"/>
      <c r="K31" s="732"/>
      <c r="L31" s="1"/>
      <c r="M31" s="1"/>
      <c r="N31" s="1"/>
      <c r="O31" s="1"/>
      <c r="P31" s="732"/>
      <c r="Q31" s="732"/>
      <c r="R31" s="732"/>
      <c r="S31" s="1023" t="s">
        <v>538</v>
      </c>
      <c r="T31" s="1028">
        <f t="shared" si="3"/>
        <v>0</v>
      </c>
      <c r="U31" s="732"/>
      <c r="V31" s="732"/>
      <c r="W31" s="732"/>
    </row>
    <row r="32" spans="1:23" ht="14.5">
      <c r="A32" s="1"/>
      <c r="B32" s="1815"/>
      <c r="C32" s="1"/>
      <c r="D32" s="1817"/>
      <c r="E32" s="1049" t="s">
        <v>539</v>
      </c>
      <c r="F32" s="216" t="s">
        <v>109</v>
      </c>
      <c r="G32" s="268">
        <f>'G-2 Habitat groups'!$BE$48</f>
        <v>0</v>
      </c>
      <c r="H32" s="1820"/>
      <c r="I32" s="438"/>
      <c r="J32" s="732"/>
      <c r="K32" s="732"/>
      <c r="L32" s="1"/>
      <c r="M32" s="1"/>
      <c r="N32" s="1"/>
      <c r="O32" s="1"/>
      <c r="P32" s="732"/>
      <c r="Q32" s="732"/>
      <c r="R32" s="732"/>
      <c r="S32" s="1023" t="s">
        <v>539</v>
      </c>
      <c r="T32" s="1028">
        <f t="shared" si="3"/>
        <v>0</v>
      </c>
      <c r="U32" s="732"/>
      <c r="V32" s="732"/>
      <c r="W32" s="732"/>
    </row>
    <row r="33" spans="1:23" ht="14.5">
      <c r="A33" s="1"/>
      <c r="B33" s="1815"/>
      <c r="C33" s="1"/>
      <c r="D33" s="1817"/>
      <c r="E33" s="1049" t="s">
        <v>540</v>
      </c>
      <c r="F33" s="216" t="s">
        <v>109</v>
      </c>
      <c r="G33" s="268">
        <f>'G-2 Habitat groups'!$BE$49</f>
        <v>0</v>
      </c>
      <c r="H33" s="1820"/>
      <c r="I33" s="438"/>
      <c r="J33" s="732"/>
      <c r="K33" s="732"/>
      <c r="L33" s="1"/>
      <c r="M33" s="1"/>
      <c r="N33" s="1"/>
      <c r="O33" s="1"/>
      <c r="P33" s="732"/>
      <c r="Q33" s="732"/>
      <c r="R33" s="732"/>
      <c r="S33" s="1023" t="s">
        <v>540</v>
      </c>
      <c r="T33" s="1028">
        <f t="shared" si="3"/>
        <v>0</v>
      </c>
      <c r="U33" s="732"/>
      <c r="V33" s="732"/>
      <c r="W33" s="732"/>
    </row>
    <row r="34" spans="1:23" ht="14.5">
      <c r="A34" s="1"/>
      <c r="B34" s="1815"/>
      <c r="C34" s="1"/>
      <c r="D34" s="1817"/>
      <c r="E34" s="1049" t="s">
        <v>541</v>
      </c>
      <c r="F34" s="216" t="s">
        <v>112</v>
      </c>
      <c r="G34" s="268">
        <f>'G-2 Habitat groups'!$BE$54</f>
        <v>0</v>
      </c>
      <c r="H34" s="1820"/>
      <c r="I34" s="438"/>
      <c r="J34" s="732"/>
      <c r="K34" s="732"/>
      <c r="L34" s="1"/>
      <c r="M34" s="1"/>
      <c r="N34" s="1"/>
      <c r="O34" s="1"/>
      <c r="P34" s="732"/>
      <c r="Q34" s="732"/>
      <c r="R34" s="732"/>
      <c r="S34" s="1023" t="s">
        <v>541</v>
      </c>
      <c r="T34" s="1028">
        <f t="shared" si="3"/>
        <v>0</v>
      </c>
      <c r="U34" s="732"/>
      <c r="V34" s="732"/>
      <c r="W34" s="732"/>
    </row>
    <row r="35" spans="1:23" ht="14.5">
      <c r="A35" s="1"/>
      <c r="B35" s="1815"/>
      <c r="C35" s="1"/>
      <c r="D35" s="1817"/>
      <c r="E35" s="1049" t="s">
        <v>542</v>
      </c>
      <c r="F35" s="216" t="s">
        <v>112</v>
      </c>
      <c r="G35" s="268">
        <f>'G-2 Habitat groups'!$BE$56</f>
        <v>0</v>
      </c>
      <c r="H35" s="1820"/>
      <c r="I35" s="438"/>
      <c r="J35" s="732"/>
      <c r="K35" s="732"/>
      <c r="L35" s="1"/>
      <c r="M35" s="1"/>
      <c r="N35" s="1"/>
      <c r="O35" s="1"/>
      <c r="P35" s="732"/>
      <c r="Q35" s="732"/>
      <c r="R35" s="732"/>
      <c r="S35" s="1023" t="s">
        <v>542</v>
      </c>
      <c r="T35" s="1028">
        <f t="shared" si="3"/>
        <v>0</v>
      </c>
      <c r="U35" s="732"/>
      <c r="V35" s="732"/>
      <c r="W35" s="732"/>
    </row>
    <row r="36" spans="1:23" ht="14.5">
      <c r="A36" s="1"/>
      <c r="B36" s="1815"/>
      <c r="C36" s="1"/>
      <c r="D36" s="1817"/>
      <c r="E36" s="1049" t="s">
        <v>543</v>
      </c>
      <c r="F36" s="216" t="s">
        <v>112</v>
      </c>
      <c r="G36" s="268">
        <f>'G-2 Habitat groups'!$BE$58</f>
        <v>0</v>
      </c>
      <c r="H36" s="1820"/>
      <c r="I36" s="438"/>
      <c r="J36" s="732"/>
      <c r="K36" s="732"/>
      <c r="L36" s="1"/>
      <c r="M36" s="1"/>
      <c r="N36" s="1"/>
      <c r="O36" s="1"/>
      <c r="P36" s="732"/>
      <c r="Q36" s="732"/>
      <c r="R36" s="732"/>
      <c r="S36" s="1023" t="s">
        <v>543</v>
      </c>
      <c r="T36" s="1028">
        <f>IF(G36&gt;0,(0),(-2*(G36)))</f>
        <v>0</v>
      </c>
      <c r="U36" s="732"/>
      <c r="V36" s="732"/>
      <c r="W36" s="732"/>
    </row>
    <row r="37" spans="1:23" ht="14.5">
      <c r="A37" s="1"/>
      <c r="B37" s="1815"/>
      <c r="C37" s="1"/>
      <c r="D37" s="1817"/>
      <c r="E37" s="1049" t="s">
        <v>544</v>
      </c>
      <c r="F37" s="216" t="s">
        <v>112</v>
      </c>
      <c r="G37" s="268">
        <f>'G-2 Habitat groups'!$BE$53</f>
        <v>0</v>
      </c>
      <c r="H37" s="1820"/>
      <c r="I37" s="438"/>
      <c r="J37" s="732"/>
      <c r="K37" s="732"/>
      <c r="L37" s="1"/>
      <c r="M37" s="1"/>
      <c r="N37" s="1"/>
      <c r="O37" s="1"/>
      <c r="P37" s="732"/>
      <c r="Q37" s="732"/>
      <c r="R37" s="732"/>
      <c r="S37" s="1023"/>
      <c r="T37" s="1028"/>
      <c r="U37" s="732"/>
      <c r="V37" s="732"/>
      <c r="W37" s="732"/>
    </row>
    <row r="38" spans="1:23" ht="14.5">
      <c r="A38" s="1"/>
      <c r="B38" s="1815"/>
      <c r="C38" s="1"/>
      <c r="D38" s="1817"/>
      <c r="E38" s="1049" t="s">
        <v>545</v>
      </c>
      <c r="F38" s="216" t="s">
        <v>112</v>
      </c>
      <c r="G38" s="268">
        <f>'G-2 Habitat groups'!$BE$59</f>
        <v>0</v>
      </c>
      <c r="H38" s="1820"/>
      <c r="I38" s="438"/>
      <c r="J38" s="732"/>
      <c r="K38" s="732"/>
      <c r="L38" s="1"/>
      <c r="M38" s="1"/>
      <c r="N38" s="1"/>
      <c r="O38" s="1"/>
      <c r="P38" s="732"/>
      <c r="Q38" s="732"/>
      <c r="R38" s="732"/>
      <c r="S38" s="1023" t="s">
        <v>545</v>
      </c>
      <c r="T38" s="1028">
        <f t="shared" si="3"/>
        <v>0</v>
      </c>
      <c r="U38" s="732"/>
      <c r="V38" s="732"/>
      <c r="W38" s="732"/>
    </row>
    <row r="39" spans="1:23" ht="14.5">
      <c r="A39" s="1"/>
      <c r="B39" s="1815"/>
      <c r="C39" s="1"/>
      <c r="D39" s="1817"/>
      <c r="E39" s="1049" t="s">
        <v>546</v>
      </c>
      <c r="F39" s="216" t="s">
        <v>116</v>
      </c>
      <c r="G39" s="268">
        <f>'G-2 Habitat groups'!$BE$61</f>
        <v>0</v>
      </c>
      <c r="H39" s="1820"/>
      <c r="I39" s="438"/>
      <c r="J39" s="732"/>
      <c r="K39" s="732"/>
      <c r="L39" s="1"/>
      <c r="M39" s="1"/>
      <c r="N39" s="1"/>
      <c r="O39" s="1"/>
      <c r="P39" s="732"/>
      <c r="Q39" s="732"/>
      <c r="R39" s="732"/>
      <c r="S39" s="1023" t="s">
        <v>546</v>
      </c>
      <c r="T39" s="1028">
        <f t="shared" si="3"/>
        <v>0</v>
      </c>
      <c r="U39" s="732"/>
      <c r="V39" s="732"/>
      <c r="W39" s="732"/>
    </row>
    <row r="40" spans="1:23" ht="14.5">
      <c r="A40" s="1"/>
      <c r="B40" s="1815"/>
      <c r="C40" s="1"/>
      <c r="D40" s="1817"/>
      <c r="E40" s="1049" t="s">
        <v>547</v>
      </c>
      <c r="F40" s="216" t="s">
        <v>548</v>
      </c>
      <c r="G40" s="268">
        <f>'G-2 Habitat groups'!$BE$62</f>
        <v>0</v>
      </c>
      <c r="H40" s="1820"/>
      <c r="I40" s="438"/>
      <c r="J40" s="732"/>
      <c r="K40" s="732"/>
      <c r="L40" s="1"/>
      <c r="M40" s="1"/>
      <c r="N40" s="1"/>
      <c r="O40" s="1"/>
      <c r="P40" s="732"/>
      <c r="Q40" s="732"/>
      <c r="R40" s="732"/>
      <c r="S40" s="1023" t="s">
        <v>547</v>
      </c>
      <c r="T40" s="1028">
        <f t="shared" si="3"/>
        <v>0</v>
      </c>
      <c r="U40" s="732"/>
      <c r="V40" s="732"/>
      <c r="W40" s="732"/>
    </row>
    <row r="41" spans="1:23" ht="14.5">
      <c r="A41" s="1"/>
      <c r="B41" s="1815"/>
      <c r="C41" s="1"/>
      <c r="D41" s="1817"/>
      <c r="E41" s="1049" t="s">
        <v>549</v>
      </c>
      <c r="F41" s="216" t="s">
        <v>548</v>
      </c>
      <c r="G41" s="268">
        <f>'G-2 Habitat groups'!$BE$63</f>
        <v>0</v>
      </c>
      <c r="H41" s="1820"/>
      <c r="I41" s="438"/>
      <c r="J41" s="732"/>
      <c r="K41" s="732"/>
      <c r="L41" s="1"/>
      <c r="M41" s="1"/>
      <c r="N41" s="1"/>
      <c r="O41" s="1"/>
      <c r="P41" s="732"/>
      <c r="Q41" s="732"/>
      <c r="R41" s="732"/>
      <c r="S41" s="1023" t="s">
        <v>549</v>
      </c>
      <c r="T41" s="1028">
        <f t="shared" si="3"/>
        <v>0</v>
      </c>
      <c r="U41" s="732"/>
      <c r="V41" s="732"/>
      <c r="W41" s="732"/>
    </row>
    <row r="42" spans="1:23" ht="14.5">
      <c r="A42" s="1"/>
      <c r="B42" s="1815"/>
      <c r="C42" s="1"/>
      <c r="D42" s="1817"/>
      <c r="E42" s="1049" t="s">
        <v>550</v>
      </c>
      <c r="F42" s="216" t="s">
        <v>548</v>
      </c>
      <c r="G42" s="268">
        <f>'G-2 Habitat groups'!$BE$64</f>
        <v>0</v>
      </c>
      <c r="H42" s="1820"/>
      <c r="I42" s="438"/>
      <c r="J42" s="732"/>
      <c r="K42" s="732"/>
      <c r="L42" s="1"/>
      <c r="M42" s="1"/>
      <c r="N42" s="1"/>
      <c r="O42" s="1"/>
      <c r="P42" s="732"/>
      <c r="Q42" s="732"/>
      <c r="R42" s="732"/>
      <c r="S42" s="1023" t="s">
        <v>550</v>
      </c>
      <c r="T42" s="1028">
        <f t="shared" si="3"/>
        <v>0</v>
      </c>
      <c r="U42" s="732"/>
      <c r="V42" s="732"/>
      <c r="W42" s="732"/>
    </row>
    <row r="43" spans="1:23" ht="14.5">
      <c r="A43" s="1"/>
      <c r="B43" s="1815"/>
      <c r="C43" s="1"/>
      <c r="D43" s="1817"/>
      <c r="E43" s="1049" t="s">
        <v>551</v>
      </c>
      <c r="F43" s="216" t="s">
        <v>548</v>
      </c>
      <c r="G43" s="268">
        <f>'G-2 Habitat groups'!$BE$65</f>
        <v>0</v>
      </c>
      <c r="H43" s="1820"/>
      <c r="I43" s="438"/>
      <c r="J43" s="732"/>
      <c r="K43" s="732"/>
      <c r="L43" s="732"/>
      <c r="M43" s="732"/>
      <c r="N43" s="732"/>
      <c r="O43" s="732"/>
      <c r="P43" s="732"/>
      <c r="Q43" s="732"/>
      <c r="R43" s="732"/>
      <c r="S43" s="1023" t="s">
        <v>551</v>
      </c>
      <c r="T43" s="1028">
        <f t="shared" si="3"/>
        <v>0</v>
      </c>
      <c r="U43" s="732"/>
      <c r="V43" s="732"/>
      <c r="W43" s="732"/>
    </row>
    <row r="44" spans="1:23" ht="14.5">
      <c r="A44" s="1"/>
      <c r="B44" s="1815"/>
      <c r="C44" s="1"/>
      <c r="D44" s="1817"/>
      <c r="E44" s="1049" t="s">
        <v>212</v>
      </c>
      <c r="F44" s="216" t="s">
        <v>113</v>
      </c>
      <c r="G44" s="880">
        <f>'G-2 Habitat groups'!$BE$73</f>
        <v>0</v>
      </c>
      <c r="H44" s="1820"/>
      <c r="I44" s="438"/>
      <c r="J44" s="732"/>
      <c r="K44" s="732"/>
      <c r="L44" s="732"/>
      <c r="M44" s="732"/>
      <c r="N44" s="732"/>
      <c r="O44" s="732"/>
      <c r="P44" s="732"/>
      <c r="Q44" s="732"/>
      <c r="R44" s="732"/>
      <c r="S44" s="1046"/>
      <c r="T44" s="1047"/>
      <c r="U44" s="732"/>
      <c r="V44" s="732"/>
      <c r="W44" s="732"/>
    </row>
    <row r="45" spans="1:23" ht="15" thickBot="1">
      <c r="A45" s="1"/>
      <c r="B45" s="1815"/>
      <c r="C45" s="1"/>
      <c r="D45" s="1818"/>
      <c r="E45" s="1050" t="s">
        <v>552</v>
      </c>
      <c r="F45" s="810" t="s">
        <v>553</v>
      </c>
      <c r="G45" s="271">
        <f>'G-2 Habitat groups'!$BE$68</f>
        <v>0</v>
      </c>
      <c r="H45" s="1821"/>
      <c r="I45" s="438"/>
      <c r="J45" s="732"/>
      <c r="K45" s="732"/>
      <c r="L45" s="732"/>
      <c r="M45" s="732"/>
      <c r="N45" s="732"/>
      <c r="O45" s="732"/>
      <c r="P45" s="732"/>
      <c r="Q45" s="732"/>
      <c r="R45" s="732"/>
      <c r="S45" s="756" t="s">
        <v>552</v>
      </c>
      <c r="T45" s="1029">
        <f t="shared" si="3"/>
        <v>0</v>
      </c>
      <c r="U45" s="732"/>
      <c r="V45" s="732"/>
      <c r="W45" s="732"/>
    </row>
    <row r="46" spans="1:23" ht="15" thickBot="1">
      <c r="A46" s="1"/>
      <c r="B46" s="1815"/>
      <c r="C46" s="1"/>
      <c r="D46" s="1"/>
      <c r="E46" s="1"/>
      <c r="F46" s="732"/>
      <c r="G46" s="732"/>
      <c r="H46" s="732"/>
      <c r="I46" s="732"/>
      <c r="J46" s="732"/>
      <c r="K46" s="732"/>
      <c r="L46" s="732"/>
      <c r="M46" s="732"/>
      <c r="N46" s="732"/>
      <c r="O46" s="732"/>
      <c r="P46" s="732"/>
      <c r="Q46" s="732"/>
      <c r="R46" s="732"/>
      <c r="S46" s="732"/>
      <c r="T46" s="1030"/>
      <c r="U46" s="732"/>
      <c r="V46" s="732"/>
      <c r="W46" s="732"/>
    </row>
    <row r="47" spans="1:23" ht="14.5">
      <c r="A47" s="1"/>
      <c r="B47" s="1815"/>
      <c r="C47" s="1"/>
      <c r="D47" s="1816" t="s">
        <v>244</v>
      </c>
      <c r="E47" s="219" t="s">
        <v>554</v>
      </c>
      <c r="F47" s="220" t="s">
        <v>112</v>
      </c>
      <c r="G47" s="270">
        <f>'G-2 Habitat groups'!$BE$52</f>
        <v>0</v>
      </c>
      <c r="H47" s="1819">
        <f>SUMIF(G47:G55,"&lt;0")</f>
        <v>0</v>
      </c>
      <c r="I47" s="438"/>
      <c r="J47" s="732"/>
      <c r="K47" s="732"/>
      <c r="L47" s="732"/>
      <c r="M47" s="732"/>
      <c r="N47" s="732"/>
      <c r="O47" s="732"/>
      <c r="P47" s="732"/>
      <c r="Q47" s="732"/>
      <c r="R47" s="732"/>
      <c r="S47" s="1024" t="s">
        <v>554</v>
      </c>
      <c r="T47" s="1027">
        <f t="shared" si="3"/>
        <v>0</v>
      </c>
      <c r="U47" s="732"/>
      <c r="V47" s="732"/>
      <c r="W47" s="732"/>
    </row>
    <row r="48" spans="1:23" ht="14.5">
      <c r="A48" s="1"/>
      <c r="B48" s="1815"/>
      <c r="C48" s="1"/>
      <c r="D48" s="1817"/>
      <c r="E48" s="215" t="s">
        <v>555</v>
      </c>
      <c r="F48" s="216" t="s">
        <v>112</v>
      </c>
      <c r="G48" s="268">
        <f>'G-2 Habitat groups'!$BE$57</f>
        <v>0</v>
      </c>
      <c r="H48" s="1820"/>
      <c r="I48" s="438"/>
      <c r="J48" s="732"/>
      <c r="K48" s="732"/>
      <c r="L48" s="732"/>
      <c r="M48" s="732"/>
      <c r="N48" s="732"/>
      <c r="O48" s="732"/>
      <c r="P48" s="732"/>
      <c r="Q48" s="732"/>
      <c r="R48" s="732"/>
      <c r="S48" s="1023" t="s">
        <v>555</v>
      </c>
      <c r="T48" s="1028">
        <f t="shared" si="3"/>
        <v>0</v>
      </c>
      <c r="U48" s="732"/>
      <c r="V48" s="732"/>
      <c r="W48" s="732"/>
    </row>
    <row r="49" spans="1:23" ht="14.5">
      <c r="A49" s="1"/>
      <c r="B49" s="1815"/>
      <c r="C49" s="1"/>
      <c r="D49" s="1817"/>
      <c r="E49" s="215" t="s">
        <v>556</v>
      </c>
      <c r="F49" s="216" t="s">
        <v>112</v>
      </c>
      <c r="G49" s="268">
        <f>'G-2 Habitat groups'!$BE$60</f>
        <v>0</v>
      </c>
      <c r="H49" s="1820"/>
      <c r="I49" s="438"/>
      <c r="J49" s="732"/>
      <c r="K49" s="732"/>
      <c r="L49" s="732"/>
      <c r="M49" s="732"/>
      <c r="N49" s="732"/>
      <c r="O49" s="732"/>
      <c r="P49" s="732"/>
      <c r="Q49" s="732"/>
      <c r="R49" s="732"/>
      <c r="S49" s="1023" t="s">
        <v>556</v>
      </c>
      <c r="T49" s="1028">
        <f t="shared" si="3"/>
        <v>0</v>
      </c>
      <c r="U49" s="732"/>
      <c r="V49" s="732"/>
      <c r="W49" s="732"/>
    </row>
    <row r="50" spans="1:23" ht="14.5">
      <c r="A50" s="1"/>
      <c r="B50" s="1815"/>
      <c r="C50" s="1"/>
      <c r="D50" s="1817"/>
      <c r="E50" s="215" t="s">
        <v>557</v>
      </c>
      <c r="F50" s="216" t="s">
        <v>113</v>
      </c>
      <c r="G50" s="268">
        <f>'G-2 Habitat groups'!$BE$66</f>
        <v>0</v>
      </c>
      <c r="H50" s="1820"/>
      <c r="I50" s="438"/>
      <c r="J50" s="732"/>
      <c r="K50" s="732"/>
      <c r="L50" s="732"/>
      <c r="M50" s="732"/>
      <c r="N50" s="732"/>
      <c r="O50" s="732"/>
      <c r="P50" s="732"/>
      <c r="Q50" s="732"/>
      <c r="R50" s="732"/>
      <c r="S50" s="1023" t="s">
        <v>557</v>
      </c>
      <c r="T50" s="1028">
        <f t="shared" si="3"/>
        <v>0</v>
      </c>
      <c r="U50" s="732"/>
      <c r="V50" s="732"/>
      <c r="W50" s="732"/>
    </row>
    <row r="51" spans="1:23" ht="14.5">
      <c r="A51" s="1"/>
      <c r="B51" s="1815"/>
      <c r="C51" s="1"/>
      <c r="D51" s="1817"/>
      <c r="E51" s="215" t="s">
        <v>558</v>
      </c>
      <c r="F51" s="216" t="s">
        <v>113</v>
      </c>
      <c r="G51" s="268">
        <f>'G-2 Habitat groups'!$BE$67</f>
        <v>0</v>
      </c>
      <c r="H51" s="1820"/>
      <c r="I51" s="438"/>
      <c r="J51" s="732"/>
      <c r="K51" s="732"/>
      <c r="L51" s="732"/>
      <c r="M51" s="732"/>
      <c r="N51" s="732"/>
      <c r="O51" s="732"/>
      <c r="P51" s="732"/>
      <c r="Q51" s="732"/>
      <c r="R51" s="732"/>
      <c r="S51" s="1023" t="s">
        <v>558</v>
      </c>
      <c r="T51" s="1028">
        <f t="shared" si="3"/>
        <v>0</v>
      </c>
      <c r="U51" s="732"/>
      <c r="V51" s="732"/>
      <c r="W51" s="732"/>
    </row>
    <row r="52" spans="1:23" ht="14.5">
      <c r="A52" s="1"/>
      <c r="B52" s="1815"/>
      <c r="C52" s="1"/>
      <c r="D52" s="1817"/>
      <c r="E52" s="215" t="s">
        <v>559</v>
      </c>
      <c r="F52" s="216" t="s">
        <v>113</v>
      </c>
      <c r="G52" s="268">
        <f>'G-2 Habitat groups'!$BE$69</f>
        <v>0</v>
      </c>
      <c r="H52" s="1820"/>
      <c r="I52" s="438"/>
      <c r="J52" s="732"/>
      <c r="K52" s="732"/>
      <c r="L52" s="732"/>
      <c r="M52" s="732"/>
      <c r="N52" s="732"/>
      <c r="O52" s="732"/>
      <c r="P52" s="732"/>
      <c r="Q52" s="732"/>
      <c r="R52" s="732"/>
      <c r="S52" s="1023" t="s">
        <v>559</v>
      </c>
      <c r="T52" s="1028">
        <f t="shared" si="3"/>
        <v>0</v>
      </c>
      <c r="U52" s="732"/>
      <c r="V52" s="732"/>
      <c r="W52" s="732"/>
    </row>
    <row r="53" spans="1:23" ht="14.5">
      <c r="A53" s="1"/>
      <c r="B53" s="1815"/>
      <c r="C53" s="1"/>
      <c r="D53" s="1817"/>
      <c r="E53" s="215" t="s">
        <v>560</v>
      </c>
      <c r="F53" s="216" t="s">
        <v>113</v>
      </c>
      <c r="G53" s="268">
        <f>'G-2 Habitat groups'!$BE$70</f>
        <v>0</v>
      </c>
      <c r="H53" s="1820"/>
      <c r="I53" s="438"/>
      <c r="J53" s="732"/>
      <c r="K53" s="732"/>
      <c r="L53" s="732"/>
      <c r="M53" s="732"/>
      <c r="N53" s="732"/>
      <c r="O53" s="732"/>
      <c r="P53" s="732"/>
      <c r="Q53" s="732"/>
      <c r="R53" s="732"/>
      <c r="S53" s="1023" t="s">
        <v>560</v>
      </c>
      <c r="T53" s="1028">
        <f t="shared" si="3"/>
        <v>0</v>
      </c>
      <c r="U53" s="732"/>
      <c r="V53" s="732"/>
      <c r="W53" s="732"/>
    </row>
    <row r="54" spans="1:23" ht="14.5">
      <c r="A54" s="1"/>
      <c r="B54" s="1815"/>
      <c r="C54" s="1"/>
      <c r="D54" s="1817"/>
      <c r="E54" s="215" t="s">
        <v>561</v>
      </c>
      <c r="F54" s="216" t="s">
        <v>113</v>
      </c>
      <c r="G54" s="268">
        <f>'G-2 Habitat groups'!$BE$71</f>
        <v>0</v>
      </c>
      <c r="H54" s="1820"/>
      <c r="I54" s="438"/>
      <c r="J54" s="732"/>
      <c r="K54" s="732"/>
      <c r="L54" s="732"/>
      <c r="M54" s="732"/>
      <c r="N54" s="732"/>
      <c r="O54" s="732"/>
      <c r="P54" s="732"/>
      <c r="Q54" s="732"/>
      <c r="R54" s="732"/>
      <c r="S54" s="1023" t="s">
        <v>561</v>
      </c>
      <c r="T54" s="1028">
        <f t="shared" si="3"/>
        <v>0</v>
      </c>
      <c r="U54" s="732"/>
      <c r="V54" s="732"/>
      <c r="W54" s="732"/>
    </row>
    <row r="55" spans="1:23" ht="15" thickBot="1">
      <c r="A55" s="1"/>
      <c r="B55" s="1815"/>
      <c r="C55" s="1"/>
      <c r="D55" s="1818"/>
      <c r="E55" s="217" t="s">
        <v>562</v>
      </c>
      <c r="F55" s="218" t="s">
        <v>113</v>
      </c>
      <c r="G55" s="271">
        <f>'G-2 Habitat groups'!$BE$72</f>
        <v>0</v>
      </c>
      <c r="H55" s="1821"/>
      <c r="I55" s="438"/>
      <c r="J55" s="732"/>
      <c r="K55" s="732"/>
      <c r="L55" s="732"/>
      <c r="M55" s="732"/>
      <c r="N55" s="732"/>
      <c r="O55" s="732"/>
      <c r="P55" s="732"/>
      <c r="Q55" s="732"/>
      <c r="R55" s="732"/>
      <c r="S55" s="1023" t="s">
        <v>562</v>
      </c>
      <c r="T55" s="1028">
        <f t="shared" si="3"/>
        <v>0</v>
      </c>
      <c r="U55" s="732"/>
      <c r="V55" s="732"/>
      <c r="W55" s="732"/>
    </row>
    <row r="56" spans="1:23" ht="15" thickBot="1">
      <c r="A56" s="1"/>
      <c r="B56" s="1815"/>
      <c r="C56" s="1"/>
      <c r="D56" s="1"/>
      <c r="E56" s="1"/>
      <c r="F56" s="732"/>
      <c r="G56" s="732"/>
      <c r="H56" s="732"/>
      <c r="I56" s="732"/>
      <c r="J56" s="732"/>
      <c r="K56" s="732"/>
      <c r="L56" s="732"/>
      <c r="M56" s="732"/>
      <c r="N56" s="732"/>
      <c r="O56" s="732"/>
      <c r="P56" s="732"/>
      <c r="Q56" s="732"/>
      <c r="R56" s="732"/>
      <c r="S56" s="732"/>
      <c r="T56" s="1030"/>
      <c r="U56" s="732"/>
      <c r="V56" s="732"/>
      <c r="W56" s="732"/>
    </row>
    <row r="57" spans="1:23" ht="14.5">
      <c r="A57" s="1"/>
      <c r="B57" s="1815"/>
      <c r="C57" s="1"/>
      <c r="D57" s="1816" t="s">
        <v>243</v>
      </c>
      <c r="E57" s="219" t="s">
        <v>563</v>
      </c>
      <c r="F57" s="220" t="s">
        <v>106</v>
      </c>
      <c r="G57" s="270">
        <f>'G-2 Habitat groups'!$BE$32</f>
        <v>0</v>
      </c>
      <c r="H57" s="1819">
        <f>SUMIF(G57:G63,"&lt;0")</f>
        <v>0</v>
      </c>
      <c r="I57" s="438"/>
      <c r="J57" s="732"/>
      <c r="K57" s="732"/>
      <c r="L57" s="732"/>
      <c r="M57" s="732"/>
      <c r="N57" s="732"/>
      <c r="O57" s="732"/>
      <c r="P57" s="732"/>
      <c r="Q57" s="732"/>
      <c r="R57" s="732"/>
      <c r="S57" s="1024" t="s">
        <v>563</v>
      </c>
      <c r="T57" s="1027">
        <f t="shared" si="3"/>
        <v>0</v>
      </c>
      <c r="U57" s="732"/>
      <c r="V57" s="732"/>
      <c r="W57" s="732"/>
    </row>
    <row r="58" spans="1:23" ht="14.5">
      <c r="A58" s="1"/>
      <c r="B58" s="1815"/>
      <c r="C58" s="1"/>
      <c r="D58" s="1817"/>
      <c r="E58" s="215" t="s">
        <v>564</v>
      </c>
      <c r="F58" s="216" t="s">
        <v>106</v>
      </c>
      <c r="G58" s="268">
        <f>'G-2 Habitat groups'!$BE$33</f>
        <v>0</v>
      </c>
      <c r="H58" s="1820"/>
      <c r="I58" s="438"/>
      <c r="J58" s="732"/>
      <c r="K58" s="732"/>
      <c r="L58" s="732"/>
      <c r="M58" s="732"/>
      <c r="N58" s="732"/>
      <c r="O58" s="732"/>
      <c r="P58" s="732"/>
      <c r="Q58" s="732"/>
      <c r="R58" s="732"/>
      <c r="S58" s="1023" t="s">
        <v>564</v>
      </c>
      <c r="T58" s="1028">
        <f t="shared" si="3"/>
        <v>0</v>
      </c>
      <c r="U58" s="732"/>
      <c r="V58" s="732"/>
      <c r="W58" s="732"/>
    </row>
    <row r="59" spans="1:23" ht="14.5">
      <c r="A59" s="1"/>
      <c r="B59" s="1815"/>
      <c r="C59" s="1"/>
      <c r="D59" s="1817"/>
      <c r="E59" s="215" t="s">
        <v>565</v>
      </c>
      <c r="F59" s="216" t="s">
        <v>106</v>
      </c>
      <c r="G59" s="268">
        <f>'G-2 Habitat groups'!$BE$34</f>
        <v>0</v>
      </c>
      <c r="H59" s="1820"/>
      <c r="I59" s="438"/>
      <c r="J59" s="732"/>
      <c r="K59" s="732"/>
      <c r="L59" s="732"/>
      <c r="M59" s="732"/>
      <c r="N59" s="732"/>
      <c r="O59" s="732"/>
      <c r="P59" s="732"/>
      <c r="Q59" s="732"/>
      <c r="R59" s="732"/>
      <c r="S59" s="1023" t="s">
        <v>565</v>
      </c>
      <c r="T59" s="1028">
        <f t="shared" si="3"/>
        <v>0</v>
      </c>
      <c r="U59" s="732"/>
      <c r="V59" s="732"/>
      <c r="W59" s="732"/>
    </row>
    <row r="60" spans="1:23" ht="14.5">
      <c r="A60" s="1"/>
      <c r="B60" s="1815"/>
      <c r="C60" s="1"/>
      <c r="D60" s="1817"/>
      <c r="E60" s="215" t="s">
        <v>566</v>
      </c>
      <c r="F60" s="216" t="s">
        <v>107</v>
      </c>
      <c r="G60" s="268">
        <f>'G-2 Habitat groups'!$BE$35</f>
        <v>0</v>
      </c>
      <c r="H60" s="1820"/>
      <c r="I60" s="438"/>
      <c r="J60" s="732"/>
      <c r="K60" s="732"/>
      <c r="L60" s="732"/>
      <c r="M60" s="732"/>
      <c r="N60" s="732"/>
      <c r="O60" s="732"/>
      <c r="P60" s="732"/>
      <c r="Q60" s="732"/>
      <c r="R60" s="732"/>
      <c r="S60" s="1023" t="s">
        <v>566</v>
      </c>
      <c r="T60" s="1028">
        <f t="shared" si="3"/>
        <v>0</v>
      </c>
      <c r="U60" s="732"/>
      <c r="V60" s="732"/>
      <c r="W60" s="732"/>
    </row>
    <row r="61" spans="1:23" ht="14.5">
      <c r="A61" s="1"/>
      <c r="B61" s="1815"/>
      <c r="C61" s="1"/>
      <c r="D61" s="1817"/>
      <c r="E61" s="215" t="s">
        <v>567</v>
      </c>
      <c r="F61" s="216" t="s">
        <v>107</v>
      </c>
      <c r="G61" s="268">
        <f>'G-2 Habitat groups'!$BE$36</f>
        <v>0</v>
      </c>
      <c r="H61" s="1820"/>
      <c r="I61" s="438"/>
      <c r="J61" s="732"/>
      <c r="K61" s="732"/>
      <c r="L61" s="732"/>
      <c r="M61" s="732"/>
      <c r="N61" s="732"/>
      <c r="O61" s="732"/>
      <c r="P61" s="732"/>
      <c r="Q61" s="732"/>
      <c r="R61" s="732"/>
      <c r="S61" s="1023" t="s">
        <v>567</v>
      </c>
      <c r="T61" s="1028">
        <f t="shared" si="3"/>
        <v>0</v>
      </c>
      <c r="U61" s="732"/>
      <c r="V61" s="732"/>
      <c r="W61" s="732"/>
    </row>
    <row r="62" spans="1:23" ht="14.5">
      <c r="A62" s="1"/>
      <c r="B62" s="1815"/>
      <c r="C62" s="1"/>
      <c r="D62" s="1817"/>
      <c r="E62" s="215" t="s">
        <v>568</v>
      </c>
      <c r="F62" s="216" t="s">
        <v>107</v>
      </c>
      <c r="G62" s="268">
        <f>'G-2 Habitat groups'!$BE$37</f>
        <v>0</v>
      </c>
      <c r="H62" s="1820"/>
      <c r="I62" s="438"/>
      <c r="J62" s="732"/>
      <c r="K62" s="732"/>
      <c r="L62" s="732"/>
      <c r="M62" s="732"/>
      <c r="N62" s="732"/>
      <c r="O62" s="732"/>
      <c r="P62" s="732"/>
      <c r="Q62" s="732"/>
      <c r="R62" s="732"/>
      <c r="S62" s="1023" t="s">
        <v>568</v>
      </c>
      <c r="T62" s="1028">
        <f t="shared" si="3"/>
        <v>0</v>
      </c>
      <c r="U62" s="732"/>
      <c r="V62" s="732"/>
      <c r="W62" s="732"/>
    </row>
    <row r="63" spans="1:23" ht="15" thickBot="1">
      <c r="A63" s="1"/>
      <c r="B63" s="1815"/>
      <c r="C63" s="1"/>
      <c r="D63" s="1818"/>
      <c r="E63" s="217" t="s">
        <v>569</v>
      </c>
      <c r="F63" s="218" t="s">
        <v>110</v>
      </c>
      <c r="G63" s="271">
        <f>'G-2 Habitat groups'!$BE$50</f>
        <v>0</v>
      </c>
      <c r="H63" s="1821"/>
      <c r="I63" s="438"/>
      <c r="J63" s="732"/>
      <c r="K63" s="732"/>
      <c r="L63" s="732"/>
      <c r="M63" s="732"/>
      <c r="N63" s="732"/>
      <c r="O63" s="732"/>
      <c r="P63" s="732"/>
      <c r="Q63" s="732"/>
      <c r="R63" s="732"/>
      <c r="S63" s="756" t="s">
        <v>569</v>
      </c>
      <c r="T63" s="1029">
        <f t="shared" si="3"/>
        <v>0</v>
      </c>
      <c r="U63" s="732"/>
      <c r="V63" s="732"/>
      <c r="W63" s="732"/>
    </row>
    <row r="64" spans="1:23" ht="15" thickBot="1">
      <c r="A64" s="1"/>
      <c r="B64" s="1815"/>
      <c r="C64" s="1"/>
      <c r="D64" s="493"/>
      <c r="E64" s="1"/>
      <c r="F64" s="732"/>
      <c r="G64" s="732"/>
      <c r="H64" s="732"/>
      <c r="I64" s="732"/>
      <c r="J64" s="732"/>
      <c r="K64" s="732"/>
      <c r="L64" s="732"/>
      <c r="M64" s="732"/>
      <c r="N64" s="732"/>
      <c r="O64" s="732"/>
      <c r="P64" s="732"/>
      <c r="Q64" s="732"/>
      <c r="R64" s="732"/>
      <c r="S64" s="1"/>
      <c r="T64" s="1030"/>
      <c r="U64" s="732"/>
      <c r="V64" s="732"/>
      <c r="W64" s="732"/>
    </row>
    <row r="65" spans="1:23" ht="14.5">
      <c r="A65" s="1"/>
      <c r="B65" s="1815"/>
      <c r="C65" s="1"/>
      <c r="D65" s="1816" t="s">
        <v>242</v>
      </c>
      <c r="E65" s="219" t="s">
        <v>570</v>
      </c>
      <c r="F65" s="220" t="s">
        <v>106</v>
      </c>
      <c r="G65" s="270">
        <f>'G-2 Habitat groups'!$BE$30</f>
        <v>0</v>
      </c>
      <c r="H65" s="1829">
        <f>SUMIF(G65:G66,"&lt;0")</f>
        <v>0</v>
      </c>
      <c r="I65" s="476"/>
      <c r="J65" s="732"/>
      <c r="K65" s="732"/>
      <c r="L65" s="732"/>
      <c r="M65" s="732"/>
      <c r="N65" s="732"/>
      <c r="O65" s="732"/>
      <c r="P65" s="732"/>
      <c r="Q65" s="732"/>
      <c r="R65" s="732"/>
      <c r="S65" s="1024" t="s">
        <v>570</v>
      </c>
      <c r="T65" s="1027">
        <f t="shared" si="3"/>
        <v>0</v>
      </c>
      <c r="U65" s="732"/>
      <c r="V65" s="732"/>
      <c r="W65" s="732"/>
    </row>
    <row r="66" spans="1:23" ht="15" thickBot="1">
      <c r="A66" s="1"/>
      <c r="B66" s="1814"/>
      <c r="C66" s="1"/>
      <c r="D66" s="1818"/>
      <c r="E66" s="217" t="s">
        <v>571</v>
      </c>
      <c r="F66" s="218" t="s">
        <v>111</v>
      </c>
      <c r="G66" s="271">
        <f>'G-2 Habitat groups'!$BE$51</f>
        <v>0</v>
      </c>
      <c r="H66" s="1830"/>
      <c r="I66" s="476"/>
      <c r="J66" s="732"/>
      <c r="K66" s="732"/>
      <c r="L66" s="732"/>
      <c r="M66" s="732"/>
      <c r="N66" s="732"/>
      <c r="O66" s="732"/>
      <c r="P66" s="732"/>
      <c r="Q66" s="732"/>
      <c r="R66" s="732"/>
      <c r="S66" s="756" t="s">
        <v>571</v>
      </c>
      <c r="T66" s="1029">
        <f t="shared" si="3"/>
        <v>0</v>
      </c>
      <c r="U66" s="732"/>
      <c r="V66" s="732"/>
      <c r="W66" s="732"/>
    </row>
    <row r="67" spans="1:23" ht="15" thickBot="1">
      <c r="A67" s="1"/>
      <c r="B67" s="1"/>
      <c r="C67" s="1"/>
      <c r="D67" s="1"/>
      <c r="E67" s="1"/>
      <c r="F67" s="732"/>
      <c r="G67" s="732"/>
      <c r="H67" s="732"/>
      <c r="I67" s="732"/>
      <c r="J67" s="732"/>
      <c r="K67" s="732"/>
      <c r="L67" s="732"/>
      <c r="M67" s="732"/>
      <c r="N67" s="732"/>
      <c r="O67" s="732"/>
      <c r="P67" s="732"/>
      <c r="Q67" s="732"/>
      <c r="R67" s="732"/>
      <c r="S67" s="732"/>
      <c r="T67" s="732"/>
      <c r="U67" s="732"/>
      <c r="V67" s="732"/>
      <c r="W67" s="732"/>
    </row>
    <row r="68" spans="1:23" ht="33.65" customHeight="1">
      <c r="A68" s="1"/>
      <c r="B68" s="1"/>
      <c r="C68" s="1"/>
      <c r="D68" s="1"/>
      <c r="E68" s="1"/>
      <c r="F68" s="732"/>
      <c r="G68" s="732"/>
      <c r="H68" s="732"/>
      <c r="I68" s="732"/>
      <c r="J68" s="779" t="s">
        <v>572</v>
      </c>
      <c r="K68" s="1831" t="s">
        <v>573</v>
      </c>
      <c r="L68" s="1832"/>
      <c r="M68" s="1833"/>
      <c r="N68" s="732"/>
      <c r="O68" s="732"/>
      <c r="P68" s="732"/>
      <c r="Q68" s="732"/>
      <c r="R68" s="732"/>
      <c r="S68" s="732"/>
      <c r="T68" s="732"/>
      <c r="U68" s="732"/>
      <c r="V68" s="732"/>
      <c r="W68" s="732"/>
    </row>
    <row r="69" spans="1:23" ht="28.4" customHeight="1">
      <c r="A69" s="1"/>
      <c r="B69" s="1"/>
      <c r="C69" s="1"/>
      <c r="D69" s="1"/>
      <c r="E69" s="1"/>
      <c r="F69" s="732"/>
      <c r="G69" s="732"/>
      <c r="H69" s="732"/>
      <c r="I69" s="732"/>
      <c r="J69" s="780" t="s">
        <v>574</v>
      </c>
      <c r="K69" s="1834" t="s">
        <v>575</v>
      </c>
      <c r="L69" s="1835"/>
      <c r="M69" s="1836"/>
      <c r="N69" s="732"/>
      <c r="O69" s="732"/>
      <c r="P69" s="732"/>
      <c r="Q69" s="732"/>
      <c r="R69" s="732"/>
      <c r="S69" s="732"/>
      <c r="T69" s="732"/>
      <c r="U69" s="732"/>
      <c r="V69" s="732"/>
      <c r="W69" s="732"/>
    </row>
    <row r="70" spans="1:23" ht="32.15" customHeight="1">
      <c r="A70" s="1"/>
      <c r="B70" s="1"/>
      <c r="C70" s="1"/>
      <c r="D70" s="1"/>
      <c r="E70" s="1"/>
      <c r="F70" s="732"/>
      <c r="G70" s="732"/>
      <c r="H70" s="732"/>
      <c r="I70" s="732"/>
      <c r="J70" s="780" t="s">
        <v>576</v>
      </c>
      <c r="K70" s="1834" t="s">
        <v>577</v>
      </c>
      <c r="L70" s="1835"/>
      <c r="M70" s="1836"/>
      <c r="N70" s="732"/>
      <c r="O70" s="732"/>
      <c r="P70" s="732"/>
      <c r="Q70" s="732"/>
      <c r="R70" s="732"/>
      <c r="S70" s="732"/>
      <c r="T70" s="732"/>
      <c r="U70" s="732"/>
      <c r="V70" s="732"/>
      <c r="W70" s="732"/>
    </row>
    <row r="71" spans="1:23" ht="32.15" customHeight="1">
      <c r="A71" s="1"/>
      <c r="B71" s="1"/>
      <c r="C71" s="1"/>
      <c r="D71" s="1"/>
      <c r="E71" s="1"/>
      <c r="F71" s="732"/>
      <c r="G71" s="732"/>
      <c r="H71" s="732"/>
      <c r="I71" s="732"/>
      <c r="J71" s="780" t="s">
        <v>578</v>
      </c>
      <c r="K71" s="1837" t="s">
        <v>579</v>
      </c>
      <c r="L71" s="1837"/>
      <c r="M71" s="1838"/>
      <c r="N71" s="732"/>
      <c r="O71" s="732"/>
      <c r="P71" s="732"/>
      <c r="Q71" s="732"/>
      <c r="R71" s="732"/>
      <c r="S71" s="732"/>
      <c r="T71" s="732"/>
      <c r="U71" s="732"/>
      <c r="V71" s="732"/>
      <c r="W71" s="732"/>
    </row>
    <row r="72" spans="1:23" ht="29.9" customHeight="1" thickBot="1">
      <c r="A72" s="1"/>
      <c r="B72" s="1"/>
      <c r="C72" s="1"/>
      <c r="D72" s="1"/>
      <c r="E72" s="1"/>
      <c r="F72" s="732"/>
      <c r="G72" s="732"/>
      <c r="H72" s="732"/>
      <c r="I72" s="732"/>
      <c r="J72" s="781" t="s">
        <v>580</v>
      </c>
      <c r="K72" s="1839" t="s">
        <v>581</v>
      </c>
      <c r="L72" s="1839"/>
      <c r="M72" s="1840"/>
      <c r="N72" s="732"/>
      <c r="O72" s="732"/>
      <c r="P72" s="732"/>
      <c r="Q72" s="732"/>
      <c r="R72" s="732"/>
      <c r="S72" s="732"/>
      <c r="T72" s="732"/>
      <c r="U72" s="732"/>
      <c r="V72" s="732"/>
      <c r="W72" s="732"/>
    </row>
    <row r="73" spans="1:23" ht="15.65" customHeight="1">
      <c r="A73" s="1"/>
      <c r="B73" s="1"/>
      <c r="C73" s="1"/>
      <c r="D73" s="1"/>
      <c r="E73" s="1"/>
      <c r="F73" s="732"/>
      <c r="G73" s="732"/>
      <c r="H73" s="732"/>
      <c r="I73" s="732"/>
      <c r="J73" s="732"/>
      <c r="K73" s="732"/>
      <c r="L73" s="732"/>
      <c r="M73" s="732"/>
      <c r="N73" s="732"/>
      <c r="O73" s="732"/>
      <c r="P73" s="732"/>
      <c r="Q73" s="732"/>
      <c r="R73" s="732"/>
      <c r="S73" s="732"/>
      <c r="T73" s="732"/>
      <c r="U73" s="732"/>
      <c r="V73" s="732"/>
      <c r="W73" s="732"/>
    </row>
    <row r="74" spans="1:23" ht="14.5">
      <c r="A74" s="1"/>
      <c r="B74" s="1"/>
      <c r="C74" s="1"/>
      <c r="D74" s="1"/>
      <c r="E74" s="1" t="s">
        <v>207</v>
      </c>
      <c r="F74" s="732"/>
      <c r="G74" s="732"/>
      <c r="H74" s="732"/>
      <c r="I74" s="732"/>
      <c r="J74" s="1841"/>
      <c r="K74" s="1841"/>
      <c r="L74" s="1841"/>
      <c r="M74" s="732"/>
      <c r="N74" s="732"/>
      <c r="O74" s="732"/>
      <c r="P74" s="732"/>
      <c r="Q74" s="732"/>
      <c r="R74" s="732"/>
      <c r="S74" s="732"/>
      <c r="T74" s="732"/>
      <c r="U74" s="732"/>
      <c r="V74" s="732"/>
      <c r="W74" s="732"/>
    </row>
    <row r="75" spans="1:23" ht="14.5" hidden="1">
      <c r="A75" s="1"/>
      <c r="B75" s="1"/>
      <c r="C75" s="1" t="s">
        <v>240</v>
      </c>
      <c r="D75" s="1"/>
      <c r="E75" s="732" t="s">
        <v>379</v>
      </c>
      <c r="F75" s="732" t="s">
        <v>520</v>
      </c>
      <c r="G75" s="732" t="s">
        <v>582</v>
      </c>
      <c r="H75" s="736"/>
      <c r="I75" s="736"/>
      <c r="J75" s="732"/>
      <c r="K75" s="732"/>
      <c r="L75" s="732"/>
      <c r="M75" s="732"/>
      <c r="N75" s="732"/>
      <c r="O75" s="732"/>
      <c r="P75" s="732"/>
      <c r="Q75" s="732"/>
      <c r="R75" s="732"/>
      <c r="S75" s="732"/>
      <c r="T75" s="732"/>
      <c r="U75" s="732"/>
      <c r="V75" s="732"/>
      <c r="W75" s="732"/>
    </row>
    <row r="76" spans="1:23" ht="14.5" hidden="1">
      <c r="A76" s="1"/>
      <c r="B76" s="1"/>
      <c r="C76" s="732" t="s">
        <v>242</v>
      </c>
      <c r="D76" s="732"/>
      <c r="E76" s="737" t="str">
        <f>'G-2 Habitat groups'!AU30</f>
        <v>Grassland - Traditional orchards</v>
      </c>
      <c r="F76" s="738" t="str">
        <f>'G-2 Habitat groups'!AV30</f>
        <v>Grassland</v>
      </c>
      <c r="G76" s="739">
        <f>'G-2 Habitat groups'!$BE$30</f>
        <v>0</v>
      </c>
      <c r="H76" s="1828"/>
      <c r="I76" s="740"/>
      <c r="J76" s="732"/>
      <c r="K76" s="732"/>
      <c r="L76" s="732"/>
      <c r="M76" s="1"/>
      <c r="N76" s="1"/>
      <c r="O76" s="1"/>
      <c r="P76" s="1"/>
      <c r="Q76" s="732"/>
      <c r="R76" s="732"/>
      <c r="S76" s="732"/>
      <c r="T76" s="732"/>
      <c r="U76" s="732"/>
      <c r="V76" s="732"/>
      <c r="W76" s="732"/>
    </row>
    <row r="77" spans="1:23" ht="14.5" hidden="1">
      <c r="A77" s="1"/>
      <c r="B77" s="1"/>
      <c r="C77" s="732" t="s">
        <v>245</v>
      </c>
      <c r="D77" s="732"/>
      <c r="E77" s="737" t="str">
        <f>'G-2 Habitat groups'!AU31</f>
        <v>Grassland - Floodplain wetland mosaic and CFGM</v>
      </c>
      <c r="F77" s="738" t="str">
        <f>'G-2 Habitat groups'!AV31</f>
        <v>Grassland</v>
      </c>
      <c r="G77" s="739">
        <f>'G-2 Habitat groups'!$BE$31</f>
        <v>0</v>
      </c>
      <c r="H77" s="1828"/>
      <c r="I77" s="740"/>
      <c r="J77" s="732"/>
      <c r="K77" s="732"/>
      <c r="L77" s="732"/>
      <c r="M77" s="1"/>
      <c r="N77" s="1"/>
      <c r="O77" s="1"/>
      <c r="P77" s="1"/>
      <c r="Q77" s="732"/>
      <c r="R77" s="732"/>
      <c r="S77" s="732"/>
      <c r="T77" s="732"/>
      <c r="U77" s="732"/>
      <c r="V77" s="732"/>
      <c r="W77" s="732"/>
    </row>
    <row r="78" spans="1:23" ht="14.5" hidden="1">
      <c r="A78" s="1"/>
      <c r="B78" s="1"/>
      <c r="C78" s="732" t="s">
        <v>243</v>
      </c>
      <c r="D78" s="732"/>
      <c r="E78" s="737" t="str">
        <f>'G-2 Habitat groups'!AU32</f>
        <v>Grassland - Lowland calcareous grassland</v>
      </c>
      <c r="F78" s="738" t="str">
        <f>'G-2 Habitat groups'!AV32</f>
        <v>Grassland</v>
      </c>
      <c r="G78" s="739">
        <f>'G-2 Habitat groups'!$BE$32</f>
        <v>0</v>
      </c>
      <c r="H78" s="1828"/>
      <c r="I78" s="740"/>
      <c r="J78" s="732"/>
      <c r="K78" s="732"/>
      <c r="L78" s="732"/>
      <c r="M78" s="1"/>
      <c r="N78" s="1"/>
      <c r="O78" s="1"/>
      <c r="P78" s="1"/>
      <c r="Q78" s="732"/>
      <c r="R78" s="732"/>
      <c r="S78" s="732"/>
      <c r="T78" s="732"/>
      <c r="U78" s="732"/>
      <c r="V78" s="732"/>
      <c r="W78" s="732"/>
    </row>
    <row r="79" spans="1:23" ht="14.5" hidden="1">
      <c r="A79" s="1"/>
      <c r="B79" s="1"/>
      <c r="C79" s="732" t="s">
        <v>243</v>
      </c>
      <c r="D79" s="732"/>
      <c r="E79" s="737" t="str">
        <f>'G-2 Habitat groups'!AU33</f>
        <v>Grassland - Tall herb communities (H6430)</v>
      </c>
      <c r="F79" s="738" t="str">
        <f>'G-2 Habitat groups'!AV33</f>
        <v>Grassland</v>
      </c>
      <c r="G79" s="739">
        <f>'G-2 Habitat groups'!$BE$33</f>
        <v>0</v>
      </c>
      <c r="H79" s="1828"/>
      <c r="I79" s="740"/>
      <c r="J79" s="732"/>
      <c r="K79" s="732"/>
      <c r="L79" s="732"/>
      <c r="M79" s="1"/>
      <c r="N79" s="1"/>
      <c r="O79" s="1"/>
      <c r="P79" s="1"/>
      <c r="Q79" s="732"/>
      <c r="R79" s="732"/>
      <c r="S79" s="732"/>
      <c r="T79" s="732"/>
      <c r="U79" s="732"/>
      <c r="V79" s="732"/>
      <c r="W79" s="732"/>
    </row>
    <row r="80" spans="1:23" ht="14.5" hidden="1">
      <c r="A80" s="1"/>
      <c r="B80" s="1"/>
      <c r="C80" s="732" t="s">
        <v>243</v>
      </c>
      <c r="D80" s="732"/>
      <c r="E80" s="737" t="str">
        <f>'G-2 Habitat groups'!AU34</f>
        <v>Grassland - Upland calcareous grassland</v>
      </c>
      <c r="F80" s="738" t="str">
        <f>'G-2 Habitat groups'!AV34</f>
        <v>Grassland</v>
      </c>
      <c r="G80" s="739">
        <f>'G-2 Habitat groups'!$BE$34</f>
        <v>0</v>
      </c>
      <c r="H80" s="1828"/>
      <c r="I80" s="740"/>
      <c r="J80" s="732"/>
      <c r="K80" s="732"/>
      <c r="L80" s="732"/>
      <c r="M80" s="1"/>
      <c r="N80" s="1"/>
      <c r="O80" s="1"/>
      <c r="P80" s="1"/>
      <c r="Q80" s="732"/>
      <c r="R80" s="732"/>
      <c r="S80" s="732"/>
      <c r="T80" s="732"/>
      <c r="U80" s="732"/>
      <c r="V80" s="732"/>
      <c r="W80" s="732"/>
    </row>
    <row r="81" spans="1:23" ht="14.5" hidden="1">
      <c r="A81" s="1"/>
      <c r="B81" s="1"/>
      <c r="C81" s="732" t="s">
        <v>243</v>
      </c>
      <c r="D81" s="732"/>
      <c r="E81" s="737" t="str">
        <f>'G-2 Habitat groups'!AU35</f>
        <v>Heathland and shrub - Lowland Heathland</v>
      </c>
      <c r="F81" s="738" t="str">
        <f>'G-2 Habitat groups'!AV35</f>
        <v>Heathland and shrub</v>
      </c>
      <c r="G81" s="739">
        <f>'G-2 Habitat groups'!$BE$35</f>
        <v>0</v>
      </c>
      <c r="H81" s="1828"/>
      <c r="I81" s="740"/>
      <c r="J81" s="732"/>
      <c r="K81" s="732"/>
      <c r="L81" s="732"/>
      <c r="M81" s="1"/>
      <c r="N81" s="1"/>
      <c r="O81" s="1"/>
      <c r="P81" s="1"/>
      <c r="Q81" s="732"/>
      <c r="R81" s="732"/>
      <c r="S81" s="732"/>
      <c r="T81" s="732"/>
      <c r="U81" s="732"/>
      <c r="V81" s="732"/>
      <c r="W81" s="732"/>
    </row>
    <row r="82" spans="1:23" ht="14.5" hidden="1">
      <c r="A82" s="1"/>
      <c r="B82" s="1"/>
      <c r="C82" s="732" t="s">
        <v>243</v>
      </c>
      <c r="D82" s="732"/>
      <c r="E82" s="737" t="str">
        <f>'G-2 Habitat groups'!AU36</f>
        <v>Heathland and shrub - Dunes with sea buckthorn (H2160)</v>
      </c>
      <c r="F82" s="738" t="str">
        <f>'G-2 Habitat groups'!AV36</f>
        <v>Heathland and shrub</v>
      </c>
      <c r="G82" s="739">
        <f>'G-2 Habitat groups'!$BE$36</f>
        <v>0</v>
      </c>
      <c r="H82" s="1828"/>
      <c r="I82" s="740"/>
      <c r="J82" s="732"/>
      <c r="K82" s="732"/>
      <c r="L82" s="732"/>
      <c r="M82" s="1"/>
      <c r="N82" s="1"/>
      <c r="O82" s="1"/>
      <c r="P82" s="1"/>
      <c r="Q82" s="732"/>
      <c r="R82" s="732"/>
      <c r="S82" s="732"/>
      <c r="T82" s="732"/>
      <c r="U82" s="732"/>
      <c r="V82" s="732"/>
      <c r="W82" s="732"/>
    </row>
    <row r="83" spans="1:23" ht="14.5" hidden="1">
      <c r="A83" s="1"/>
      <c r="B83" s="1"/>
      <c r="C83" s="732" t="s">
        <v>243</v>
      </c>
      <c r="D83" s="732"/>
      <c r="E83" s="737" t="str">
        <f>'G-2 Habitat groups'!AU37</f>
        <v>Heathland and shrub - Upland heathland</v>
      </c>
      <c r="F83" s="738" t="str">
        <f>'G-2 Habitat groups'!AV37</f>
        <v>Heathland and shrub</v>
      </c>
      <c r="G83" s="739">
        <f>'G-2 Habitat groups'!$BE$37</f>
        <v>0</v>
      </c>
      <c r="H83" s="1828"/>
      <c r="I83" s="740"/>
      <c r="J83" s="732"/>
      <c r="K83" s="732"/>
      <c r="L83" s="732"/>
      <c r="M83" s="1"/>
      <c r="N83" s="1"/>
      <c r="O83" s="1"/>
      <c r="P83" s="1"/>
      <c r="Q83" s="732"/>
      <c r="R83" s="732"/>
      <c r="S83" s="732"/>
      <c r="T83" s="732"/>
      <c r="U83" s="732"/>
      <c r="V83" s="732"/>
      <c r="W83" s="732"/>
    </row>
    <row r="84" spans="1:23" ht="14.5" hidden="1">
      <c r="A84" s="1"/>
      <c r="B84" s="1"/>
      <c r="C84" s="732" t="s">
        <v>246</v>
      </c>
      <c r="D84" s="732"/>
      <c r="E84" s="737" t="str">
        <f>'G-2 Habitat groups'!AU39</f>
        <v>Lakes - High alkalinity lakes</v>
      </c>
      <c r="F84" s="738" t="str">
        <f>'G-2 Habitat groups'!AV39</f>
        <v>Lakes</v>
      </c>
      <c r="G84" s="739">
        <f>'G-2 Habitat groups'!$BE$39</f>
        <v>0</v>
      </c>
      <c r="H84" s="1828"/>
      <c r="I84" s="740"/>
      <c r="J84" s="732"/>
      <c r="K84" s="732"/>
      <c r="L84" s="732"/>
      <c r="M84" s="1"/>
      <c r="N84" s="1"/>
      <c r="O84" s="1"/>
      <c r="P84" s="1"/>
      <c r="Q84" s="732"/>
      <c r="R84" s="732"/>
      <c r="S84" s="732"/>
      <c r="T84" s="732"/>
      <c r="U84" s="732"/>
      <c r="V84" s="732"/>
      <c r="W84" s="732"/>
    </row>
    <row r="85" spans="1:20" ht="14.5" hidden="1">
      <c r="A85" s="1"/>
      <c r="B85" s="1"/>
      <c r="C85" s="732" t="s">
        <v>246</v>
      </c>
      <c r="D85" s="732"/>
      <c r="E85" s="737" t="str">
        <f>'G-2 Habitat groups'!AU40</f>
        <v>Lakes - Low alkalinity lakes</v>
      </c>
      <c r="F85" s="738" t="str">
        <f>'G-2 Habitat groups'!AV40</f>
        <v>Lakes</v>
      </c>
      <c r="G85" s="739">
        <f>'G-2 Habitat groups'!$BE$40</f>
        <v>0</v>
      </c>
      <c r="H85" s="1828"/>
      <c r="I85" s="740"/>
      <c r="J85" s="1"/>
      <c r="K85" s="1"/>
      <c r="L85" s="1"/>
      <c r="M85" s="1"/>
      <c r="N85" s="1"/>
      <c r="O85" s="1"/>
      <c r="P85" s="1"/>
      <c r="Q85" s="1"/>
      <c r="R85" s="1"/>
      <c r="S85" s="1"/>
      <c r="T85" s="1"/>
    </row>
    <row r="86" spans="1:20" ht="14.5" hidden="1">
      <c r="A86" s="1"/>
      <c r="B86" s="1"/>
      <c r="C86" s="732" t="s">
        <v>246</v>
      </c>
      <c r="D86" s="732"/>
      <c r="E86" s="737" t="str">
        <f>'G-2 Habitat groups'!AU41</f>
        <v>Lakes - Marl lakes</v>
      </c>
      <c r="F86" s="738" t="str">
        <f>'G-2 Habitat groups'!AV41</f>
        <v>Lakes</v>
      </c>
      <c r="G86" s="739">
        <f>'G-2 Habitat groups'!$BE$41</f>
        <v>0</v>
      </c>
      <c r="H86" s="1828"/>
      <c r="I86" s="740"/>
      <c r="J86" s="1"/>
      <c r="K86" s="1"/>
      <c r="L86" s="1"/>
      <c r="M86" s="1"/>
      <c r="N86" s="1"/>
      <c r="O86" s="1"/>
      <c r="P86" s="1"/>
      <c r="Q86" s="1"/>
      <c r="R86" s="1"/>
      <c r="S86" s="1"/>
      <c r="T86" s="1"/>
    </row>
    <row r="87" spans="1:20" ht="14.5" hidden="1">
      <c r="A87" s="1"/>
      <c r="B87" s="1"/>
      <c r="C87" s="732" t="s">
        <v>246</v>
      </c>
      <c r="D87" s="732"/>
      <c r="E87" s="737" t="str">
        <f>'G-2 Habitat groups'!AU42</f>
        <v>Lakes - Moderate alkalinity lakes</v>
      </c>
      <c r="F87" s="738" t="str">
        <f>'G-2 Habitat groups'!AV42</f>
        <v>Lakes</v>
      </c>
      <c r="G87" s="739">
        <f>'G-2 Habitat groups'!$BE$42</f>
        <v>0</v>
      </c>
      <c r="H87" s="1828"/>
      <c r="I87" s="740"/>
      <c r="J87" s="1"/>
      <c r="K87" s="1"/>
      <c r="L87" s="1"/>
      <c r="M87" s="1"/>
      <c r="N87" s="1"/>
      <c r="O87" s="1"/>
      <c r="P87" s="1"/>
      <c r="Q87" s="1"/>
      <c r="R87" s="1"/>
      <c r="S87" s="1"/>
      <c r="T87" s="1"/>
    </row>
    <row r="88" spans="1:20" ht="14.5" hidden="1">
      <c r="A88" s="1"/>
      <c r="B88" s="1"/>
      <c r="C88" s="732" t="s">
        <v>246</v>
      </c>
      <c r="D88" s="732"/>
      <c r="E88" s="737" t="str">
        <f>'G-2 Habitat groups'!AU43</f>
        <v>Lakes - Peat lakes</v>
      </c>
      <c r="F88" s="738" t="str">
        <f>'G-2 Habitat groups'!AV43</f>
        <v>Lakes</v>
      </c>
      <c r="G88" s="739">
        <f>'G-2 Habitat groups'!$BE$43</f>
        <v>0</v>
      </c>
      <c r="H88" s="1828"/>
      <c r="I88" s="740"/>
      <c r="J88" s="1"/>
      <c r="K88" s="1"/>
      <c r="L88" s="1"/>
      <c r="M88" s="1"/>
      <c r="N88" s="1"/>
      <c r="O88" s="1"/>
      <c r="P88" s="1"/>
      <c r="Q88" s="1"/>
      <c r="R88" s="1"/>
      <c r="S88" s="1"/>
      <c r="T88" s="1"/>
    </row>
    <row r="89" spans="1:20" ht="14.5" hidden="1">
      <c r="A89" s="1"/>
      <c r="B89" s="1"/>
      <c r="C89" s="732" t="s">
        <v>245</v>
      </c>
      <c r="D89" s="732"/>
      <c r="E89" s="737" t="str">
        <f>'G-2 Habitat groups'!AU44</f>
        <v>Lakes - Ponds (priority habitat)</v>
      </c>
      <c r="F89" s="738" t="str">
        <f>'G-2 Habitat groups'!AV44</f>
        <v>Lakes</v>
      </c>
      <c r="G89" s="739">
        <f>'G-2 Habitat groups'!$BE$44</f>
        <v>0</v>
      </c>
      <c r="H89" s="1828"/>
      <c r="I89" s="740"/>
      <c r="J89" s="1"/>
      <c r="K89" s="1"/>
      <c r="L89" s="1"/>
      <c r="M89" s="1"/>
      <c r="N89" s="1"/>
      <c r="O89" s="1"/>
      <c r="P89" s="1"/>
      <c r="Q89" s="1"/>
      <c r="R89" s="1"/>
      <c r="S89" s="1"/>
      <c r="T89" s="1"/>
    </row>
    <row r="90" spans="1:20" ht="14.5" hidden="1">
      <c r="A90" s="1"/>
      <c r="B90" s="1"/>
      <c r="C90" s="732" t="s">
        <v>245</v>
      </c>
      <c r="D90" s="732"/>
      <c r="E90" s="737" t="str">
        <f>'G-2 Habitat groups'!AU45</f>
        <v>Lakes - Temporary lakes ponds and pools (H3170)</v>
      </c>
      <c r="F90" s="738" t="str">
        <f>'G-2 Habitat groups'!AV45</f>
        <v>Lakes</v>
      </c>
      <c r="G90" s="739">
        <f>'G-2 Habitat groups'!$BE$45</f>
        <v>0</v>
      </c>
      <c r="H90" s="1828"/>
      <c r="I90" s="740"/>
      <c r="J90" s="1"/>
      <c r="K90" s="1"/>
      <c r="L90" s="1"/>
      <c r="M90" s="1"/>
      <c r="N90" s="1"/>
      <c r="O90" s="1"/>
      <c r="P90" s="1"/>
      <c r="Q90" s="1"/>
      <c r="R90" s="1"/>
      <c r="S90" s="1"/>
      <c r="T90" s="1"/>
    </row>
    <row r="91" spans="1:20" ht="14.5" hidden="1">
      <c r="A91" s="1"/>
      <c r="B91" s="1"/>
      <c r="C91" s="732" t="s">
        <v>245</v>
      </c>
      <c r="D91" s="732"/>
      <c r="E91" s="737" t="str">
        <f>'G-2 Habitat groups'!AU46</f>
        <v>Sparsely vegetated land - Coastal sand dunes</v>
      </c>
      <c r="F91" s="738" t="str">
        <f>'G-2 Habitat groups'!AV46</f>
        <v>Sparsely vegetated land</v>
      </c>
      <c r="G91" s="739">
        <f>'G-2 Habitat groups'!$BE$46</f>
        <v>0</v>
      </c>
      <c r="H91" s="1828"/>
      <c r="I91" s="740"/>
      <c r="J91" s="1"/>
      <c r="K91" s="1"/>
      <c r="L91" s="1"/>
      <c r="M91" s="1"/>
      <c r="N91" s="1"/>
      <c r="O91" s="1"/>
      <c r="P91" s="1"/>
      <c r="Q91" s="1"/>
      <c r="R91" s="1"/>
      <c r="S91" s="1"/>
      <c r="T91" s="1"/>
    </row>
    <row r="92" spans="1:20" ht="14.5" hidden="1">
      <c r="A92" s="1"/>
      <c r="B92" s="1"/>
      <c r="C92" s="732" t="s">
        <v>245</v>
      </c>
      <c r="D92" s="732"/>
      <c r="E92" s="737" t="str">
        <f>'G-2 Habitat groups'!AU47</f>
        <v>Sparsely vegetated land - Coastal vegetated shingle</v>
      </c>
      <c r="F92" s="738" t="str">
        <f>'G-2 Habitat groups'!AV47</f>
        <v>Sparsely vegetated land</v>
      </c>
      <c r="G92" s="739">
        <f>'G-2 Habitat groups'!$BE$47</f>
        <v>0</v>
      </c>
      <c r="H92" s="1828"/>
      <c r="I92" s="740"/>
      <c r="J92" s="1"/>
      <c r="K92" s="1"/>
      <c r="L92" s="1"/>
      <c r="M92" s="1"/>
      <c r="N92" s="1"/>
      <c r="O92" s="1"/>
      <c r="P92" s="1"/>
      <c r="Q92" s="1"/>
      <c r="R92" s="1"/>
      <c r="S92" s="1"/>
      <c r="T92" s="1"/>
    </row>
    <row r="93" spans="1:20" ht="14.5" hidden="1">
      <c r="A93" s="1"/>
      <c r="B93" s="1"/>
      <c r="C93" s="732" t="s">
        <v>245</v>
      </c>
      <c r="D93" s="732"/>
      <c r="E93" s="737" t="str">
        <f>'G-2 Habitat groups'!AU48</f>
        <v>Sparsely vegetated land - Inland rock outcrop and scree habitats</v>
      </c>
      <c r="F93" s="738" t="str">
        <f>'G-2 Habitat groups'!AV48</f>
        <v>Sparsely vegetated land</v>
      </c>
      <c r="G93" s="739">
        <f>'G-2 Habitat groups'!$BE$48</f>
        <v>0</v>
      </c>
      <c r="H93" s="1828"/>
      <c r="I93" s="740"/>
      <c r="J93" s="1"/>
      <c r="K93" s="1"/>
      <c r="L93" s="1"/>
      <c r="M93" s="1"/>
      <c r="N93" s="1"/>
      <c r="O93" s="1"/>
      <c r="P93" s="1"/>
      <c r="Q93" s="1"/>
      <c r="R93" s="1"/>
      <c r="S93" s="1"/>
      <c r="T93" s="1"/>
    </row>
    <row r="94" spans="1:20" ht="14.5" hidden="1">
      <c r="A94" s="1"/>
      <c r="B94" s="1"/>
      <c r="C94" s="732" t="s">
        <v>245</v>
      </c>
      <c r="D94" s="732"/>
      <c r="E94" s="737" t="str">
        <f>'G-2 Habitat groups'!AU49</f>
        <v>Sparsely vegetated land - Maritime cliff and slopes</v>
      </c>
      <c r="F94" s="738" t="str">
        <f>'G-2 Habitat groups'!AV49</f>
        <v>Sparsely vegetated land</v>
      </c>
      <c r="G94" s="739">
        <f>'G-2 Habitat groups'!$BE$49</f>
        <v>0</v>
      </c>
      <c r="H94" s="1828"/>
      <c r="I94" s="740"/>
      <c r="J94" s="1"/>
      <c r="K94" s="1"/>
      <c r="L94" s="1"/>
      <c r="M94" s="1"/>
      <c r="N94" s="1"/>
      <c r="O94" s="1"/>
      <c r="P94" s="1"/>
      <c r="Q94" s="1"/>
      <c r="R94" s="1"/>
      <c r="S94" s="1"/>
      <c r="T94" s="1"/>
    </row>
    <row r="95" spans="1:20" ht="14.5" hidden="1">
      <c r="A95" s="1"/>
      <c r="B95" s="1"/>
      <c r="C95" s="732" t="s">
        <v>243</v>
      </c>
      <c r="D95" s="732"/>
      <c r="E95" s="737" t="str">
        <f>'G-2 Habitat groups'!AU50</f>
        <v>Urban - Open mosaic habitats on previously developed land</v>
      </c>
      <c r="F95" s="738" t="str">
        <f>'G-2 Habitat groups'!AV50</f>
        <v>Urban</v>
      </c>
      <c r="G95" s="739">
        <f>'G-2 Habitat groups'!$BE$50</f>
        <v>0</v>
      </c>
      <c r="H95" s="740"/>
      <c r="I95" s="740"/>
      <c r="J95" s="1"/>
      <c r="K95" s="1"/>
      <c r="L95" s="1"/>
      <c r="M95" s="1"/>
      <c r="N95" s="1"/>
      <c r="O95" s="1"/>
      <c r="P95" s="1"/>
      <c r="Q95" s="1"/>
      <c r="R95" s="1"/>
      <c r="S95" s="1"/>
      <c r="T95" s="1"/>
    </row>
    <row r="96" spans="1:20" ht="14.5" hidden="1">
      <c r="A96" s="1"/>
      <c r="B96" s="1"/>
      <c r="C96" s="732" t="s">
        <v>242</v>
      </c>
      <c r="D96" s="732"/>
      <c r="E96" s="737" t="str">
        <f>'G-2 Habitat groups'!AU51</f>
        <v>Wetland - Reedbeds</v>
      </c>
      <c r="F96" s="738" t="str">
        <f>'G-2 Habitat groups'!AV51</f>
        <v>Wetland</v>
      </c>
      <c r="G96" s="739">
        <f>'G-2 Habitat groups'!$BE$51</f>
        <v>0</v>
      </c>
      <c r="H96" s="740"/>
      <c r="I96" s="740"/>
      <c r="J96" s="1"/>
      <c r="K96" s="1"/>
      <c r="L96" s="1"/>
      <c r="M96" s="1"/>
      <c r="N96" s="1"/>
      <c r="O96" s="1"/>
      <c r="P96" s="1"/>
      <c r="Q96" s="1"/>
      <c r="R96" s="1"/>
      <c r="S96" s="1"/>
      <c r="T96" s="1"/>
    </row>
    <row r="97" spans="3:9" s="1" customFormat="1" ht="14.5" hidden="1">
      <c r="C97" s="732" t="s">
        <v>244</v>
      </c>
      <c r="D97" s="732"/>
      <c r="E97" s="737" t="s">
        <v>554</v>
      </c>
      <c r="F97" s="738" t="str">
        <f>'G-2 Habitat groups'!AV52</f>
        <v>Woodland and forest</v>
      </c>
      <c r="G97" s="739">
        <f>'G-2 Habitat groups'!$BE$52</f>
        <v>0</v>
      </c>
      <c r="H97" s="1828"/>
      <c r="I97" s="740"/>
    </row>
    <row r="98" spans="3:9" s="1" customFormat="1" ht="14.5" hidden="1">
      <c r="C98" s="732" t="s">
        <v>245</v>
      </c>
      <c r="D98" s="732"/>
      <c r="E98" s="737" t="str">
        <f>'G-2 Habitat groups'!AU53</f>
        <v>Woodland and forest - Lowland beech and yew woodland</v>
      </c>
      <c r="F98" s="738" t="str">
        <f>'G-2 Habitat groups'!AV53</f>
        <v>Woodland and forest</v>
      </c>
      <c r="G98" s="739">
        <f>'G-2 Habitat groups'!$BE$53</f>
        <v>0</v>
      </c>
      <c r="H98" s="1828"/>
      <c r="I98" s="740"/>
    </row>
    <row r="99" spans="3:9" s="1" customFormat="1" ht="14.5" hidden="1">
      <c r="C99" s="732" t="s">
        <v>245</v>
      </c>
      <c r="D99" s="732"/>
      <c r="E99" s="737" t="str">
        <f>'G-2 Habitat groups'!AU54</f>
        <v>Woodland and forest - Lowland mixed deciduous woodland</v>
      </c>
      <c r="F99" s="738" t="str">
        <f>'G-2 Habitat groups'!AV54</f>
        <v>Woodland and forest</v>
      </c>
      <c r="G99" s="739">
        <f>'G-2 Habitat groups'!$BE$54</f>
        <v>0</v>
      </c>
      <c r="H99" s="1828"/>
      <c r="I99" s="740"/>
    </row>
    <row r="100" spans="3:9" s="1" customFormat="1" ht="14.5" hidden="1">
      <c r="C100" s="732" t="s">
        <v>245</v>
      </c>
      <c r="D100" s="732"/>
      <c r="E100" s="737" t="str">
        <f>'G-2 Habitat groups'!AU56</f>
        <v>Woodland and forest - Native pine woodlands</v>
      </c>
      <c r="F100" s="738" t="str">
        <f>'G-2 Habitat groups'!AV56</f>
        <v>Woodland and forest</v>
      </c>
      <c r="G100" s="739">
        <f>'G-2 Habitat groups'!$BE$56</f>
        <v>0</v>
      </c>
      <c r="H100" s="1828"/>
      <c r="I100" s="740"/>
    </row>
    <row r="101" spans="3:9" s="1" customFormat="1" ht="14.5" hidden="1">
      <c r="C101" s="732" t="s">
        <v>244</v>
      </c>
      <c r="D101" s="732"/>
      <c r="E101" s="737" t="str">
        <f>'G-2 Habitat groups'!AU57</f>
        <v>Woodland and forest - Upland birchwoods</v>
      </c>
      <c r="F101" s="738" t="str">
        <f>'G-2 Habitat groups'!AV57</f>
        <v>Woodland and forest</v>
      </c>
      <c r="G101" s="739">
        <f>'G-2 Habitat groups'!$BE$57</f>
        <v>0</v>
      </c>
      <c r="H101" s="1828"/>
      <c r="I101" s="740"/>
    </row>
    <row r="102" spans="3:9" s="1" customFormat="1" ht="14.5" hidden="1">
      <c r="C102" s="732" t="s">
        <v>245</v>
      </c>
      <c r="D102" s="732"/>
      <c r="E102" s="737" t="str">
        <f>'G-2 Habitat groups'!AU58</f>
        <v>Woodland and forest - Upland mixed ashwoods</v>
      </c>
      <c r="F102" s="738" t="str">
        <f>'G-2 Habitat groups'!AV58</f>
        <v>Woodland and forest</v>
      </c>
      <c r="G102" s="739">
        <f>'G-2 Habitat groups'!$BE$58</f>
        <v>0</v>
      </c>
      <c r="H102" s="1828"/>
      <c r="I102" s="740"/>
    </row>
    <row r="103" spans="3:9" s="1" customFormat="1" ht="14.5" hidden="1">
      <c r="C103" s="732" t="s">
        <v>245</v>
      </c>
      <c r="D103" s="732"/>
      <c r="E103" s="737" t="str">
        <f>'G-2 Habitat groups'!AU59</f>
        <v>Woodland and forest - Upland oakwood</v>
      </c>
      <c r="F103" s="738" t="str">
        <f>'G-2 Habitat groups'!AV59</f>
        <v>Woodland and forest</v>
      </c>
      <c r="G103" s="739">
        <f>'G-2 Habitat groups'!$BE$59</f>
        <v>0</v>
      </c>
      <c r="H103" s="1828"/>
      <c r="I103" s="740"/>
    </row>
    <row r="104" spans="3:9" s="1" customFormat="1" ht="14.5" hidden="1">
      <c r="C104" s="732" t="s">
        <v>244</v>
      </c>
      <c r="D104" s="732"/>
      <c r="E104" s="737" t="str">
        <f>'G-2 Habitat groups'!AU60</f>
        <v>Woodland and forest - Wet woodland</v>
      </c>
      <c r="F104" s="738" t="str">
        <f>'G-2 Habitat groups'!AV60</f>
        <v>Woodland and forest</v>
      </c>
      <c r="G104" s="739">
        <f>'G-2 Habitat groups'!$BE$60</f>
        <v>0</v>
      </c>
      <c r="H104" s="1828"/>
      <c r="I104" s="740"/>
    </row>
    <row r="105" spans="3:9" s="1" customFormat="1" ht="14.5" hidden="1">
      <c r="C105" s="732" t="s">
        <v>245</v>
      </c>
      <c r="D105" s="732"/>
      <c r="E105" s="737" t="str">
        <f>'G-2 Habitat groups'!AU61</f>
        <v>Coastal lagoons - Coastal lagoons</v>
      </c>
      <c r="F105" s="738" t="str">
        <f>'G-2 Habitat groups'!AV61</f>
        <v>Coastal lagoons</v>
      </c>
      <c r="G105" s="739">
        <f>'G-2 Habitat groups'!$BE$61</f>
        <v>0</v>
      </c>
      <c r="H105" s="1828"/>
      <c r="I105" s="740"/>
    </row>
    <row r="106" spans="3:9" s="1" customFormat="1" ht="14.5" hidden="1">
      <c r="C106" s="732" t="s">
        <v>245</v>
      </c>
      <c r="D106" s="732"/>
      <c r="E106" s="737" t="str">
        <f>'G-2 Habitat groups'!AU62</f>
        <v>Rocky shore - High energy littoral rock</v>
      </c>
      <c r="F106" s="738" t="str">
        <f>'G-2 Habitat groups'!AV62</f>
        <v>Rocky shore</v>
      </c>
      <c r="G106" s="739">
        <f>'G-2 Habitat groups'!$BE$62</f>
        <v>0</v>
      </c>
      <c r="H106" s="1828"/>
      <c r="I106" s="740"/>
    </row>
    <row r="107" spans="3:9" s="1" customFormat="1" ht="14.5" hidden="1">
      <c r="C107" s="732" t="s">
        <v>245</v>
      </c>
      <c r="D107" s="732"/>
      <c r="E107" s="737" t="str">
        <f>'G-2 Habitat groups'!AU63</f>
        <v>Rocky shore - Moderate energy littoral rock</v>
      </c>
      <c r="F107" s="738" t="str">
        <f>'G-2 Habitat groups'!AV63</f>
        <v>Rocky shore</v>
      </c>
      <c r="G107" s="739">
        <f>'G-2 Habitat groups'!$BE$63</f>
        <v>0</v>
      </c>
      <c r="H107" s="1828"/>
      <c r="I107" s="740"/>
    </row>
    <row r="108" spans="3:9" s="1" customFormat="1" ht="14.5" hidden="1">
      <c r="C108" s="732" t="s">
        <v>245</v>
      </c>
      <c r="D108" s="732"/>
      <c r="E108" s="737" t="str">
        <f>'G-2 Habitat groups'!AU64</f>
        <v>Rocky shore - Low energy littoral rock</v>
      </c>
      <c r="F108" s="738" t="str">
        <f>'G-2 Habitat groups'!AV64</f>
        <v>Rocky shore</v>
      </c>
      <c r="G108" s="739">
        <f>'G-2 Habitat groups'!$BE$64</f>
        <v>0</v>
      </c>
      <c r="H108" s="1828"/>
      <c r="I108" s="740"/>
    </row>
    <row r="109" spans="3:9" s="1" customFormat="1" ht="14.5" hidden="1">
      <c r="C109" s="732" t="s">
        <v>245</v>
      </c>
      <c r="D109" s="732"/>
      <c r="E109" s="737" t="str">
        <f>'G-2 Habitat groups'!AU65</f>
        <v>Rocky shore - Features of littoral rock</v>
      </c>
      <c r="F109" s="738" t="str">
        <f>'G-2 Habitat groups'!AV65</f>
        <v>Rocky shore</v>
      </c>
      <c r="G109" s="739">
        <f>'G-2 Habitat groups'!$BE$65</f>
        <v>0</v>
      </c>
      <c r="H109" s="1828"/>
      <c r="I109" s="740"/>
    </row>
    <row r="110" spans="3:9" s="1" customFormat="1" ht="14.5" hidden="1">
      <c r="C110" s="732" t="s">
        <v>244</v>
      </c>
      <c r="D110" s="732"/>
      <c r="E110" s="737" t="str">
        <f>'G-2 Habitat groups'!AU66</f>
        <v>Intertidal sediment - Littoral mud</v>
      </c>
      <c r="F110" s="738" t="str">
        <f>'G-2 Habitat groups'!AV66</f>
        <v>Intertidal sediment</v>
      </c>
      <c r="G110" s="739">
        <f>'G-2 Habitat groups'!$BE$66</f>
        <v>0</v>
      </c>
      <c r="H110" s="1828"/>
      <c r="I110" s="740"/>
    </row>
    <row r="111" spans="3:9" s="1" customFormat="1" ht="14.5" hidden="1">
      <c r="C111" s="732" t="s">
        <v>244</v>
      </c>
      <c r="D111" s="732"/>
      <c r="E111" s="737" t="str">
        <f>'G-2 Habitat groups'!AU67</f>
        <v>Intertidal sediment - Littoral mixed sediments</v>
      </c>
      <c r="F111" s="738" t="str">
        <f>'G-2 Habitat groups'!AV67</f>
        <v>Intertidal sediment</v>
      </c>
      <c r="G111" s="739">
        <f>'G-2 Habitat groups'!$BE$67</f>
        <v>0</v>
      </c>
      <c r="H111" s="1828"/>
      <c r="I111" s="740"/>
    </row>
    <row r="112" spans="3:9" s="1" customFormat="1" ht="14.5" hidden="1">
      <c r="C112" s="732" t="s">
        <v>245</v>
      </c>
      <c r="D112" s="732"/>
      <c r="E112" s="737" t="str">
        <f>'G-2 Habitat groups'!AU68</f>
        <v>Coastal saltmarsh - Saltmarshes and saline reedbeds</v>
      </c>
      <c r="F112" s="738" t="str">
        <f>'G-2 Habitat groups'!AV68</f>
        <v>Coastal saltmarsh</v>
      </c>
      <c r="G112" s="739">
        <f>'G-2 Habitat groups'!$BE$68</f>
        <v>0</v>
      </c>
      <c r="H112" s="1828"/>
      <c r="I112" s="740"/>
    </row>
    <row r="113" spans="1:20" ht="14.5" hidden="1">
      <c r="A113" s="1"/>
      <c r="B113" s="1"/>
      <c r="C113" s="732" t="s">
        <v>244</v>
      </c>
      <c r="D113" s="732"/>
      <c r="E113" s="737" t="str">
        <f>'G-2 Habitat groups'!AU69</f>
        <v>Intertidal sediment - Littoral biogenic reefs - Mussels</v>
      </c>
      <c r="F113" s="738" t="str">
        <f>'G-2 Habitat groups'!AV69</f>
        <v>Intertidal sediment</v>
      </c>
      <c r="G113" s="739">
        <f>'G-2 Habitat groups'!$BE$69</f>
        <v>0</v>
      </c>
      <c r="H113" s="1828"/>
      <c r="I113" s="740"/>
      <c r="J113" s="1"/>
      <c r="K113" s="1"/>
      <c r="L113" s="1"/>
      <c r="M113" s="1"/>
      <c r="N113" s="1"/>
      <c r="O113" s="1"/>
      <c r="P113" s="1"/>
      <c r="Q113" s="1"/>
      <c r="R113" s="1"/>
      <c r="S113" s="1"/>
      <c r="T113" s="1"/>
    </row>
    <row r="114" spans="1:20" ht="14.5" hidden="1">
      <c r="A114" s="1"/>
      <c r="B114" s="1"/>
      <c r="C114" s="732" t="s">
        <v>244</v>
      </c>
      <c r="D114" s="732"/>
      <c r="E114" s="737" t="str">
        <f>'G-2 Habitat groups'!AU70</f>
        <v>Intertidal sediment - Littoral biogenic reefs - Sabellaria</v>
      </c>
      <c r="F114" s="738" t="str">
        <f>'G-2 Habitat groups'!AV70</f>
        <v>Intertidal sediment</v>
      </c>
      <c r="G114" s="739">
        <f>'G-2 Habitat groups'!$BE$70</f>
        <v>0</v>
      </c>
      <c r="H114" s="1828"/>
      <c r="I114" s="740"/>
      <c r="J114" s="1"/>
      <c r="K114" s="1"/>
      <c r="L114" s="1"/>
      <c r="M114" s="1"/>
      <c r="N114" s="1"/>
      <c r="O114" s="1"/>
      <c r="P114" s="1"/>
      <c r="Q114" s="1"/>
      <c r="R114" s="1"/>
      <c r="S114" s="1"/>
      <c r="T114" s="1"/>
    </row>
    <row r="115" spans="1:20" ht="14.5" hidden="1">
      <c r="A115" s="1"/>
      <c r="B115" s="1"/>
      <c r="C115" s="732" t="s">
        <v>244</v>
      </c>
      <c r="D115" s="732"/>
      <c r="E115" s="737" t="str">
        <f>'G-2 Habitat groups'!AU71</f>
        <v>Intertidal sediment - Features of littoral sediment</v>
      </c>
      <c r="F115" s="738" t="str">
        <f>'G-2 Habitat groups'!AV71</f>
        <v>Intertidal sediment</v>
      </c>
      <c r="G115" s="739">
        <f>'G-2 Habitat groups'!$BE$71</f>
        <v>0</v>
      </c>
      <c r="H115" s="1828"/>
      <c r="I115" s="740"/>
      <c r="J115" s="1"/>
      <c r="K115" s="1"/>
      <c r="L115" s="1"/>
      <c r="M115" s="1"/>
      <c r="N115" s="1"/>
      <c r="O115" s="1"/>
      <c r="P115" s="1"/>
      <c r="Q115" s="1"/>
      <c r="R115" s="1"/>
      <c r="S115" s="1"/>
      <c r="T115" s="1"/>
    </row>
    <row r="116" spans="1:20" ht="14.5" hidden="1">
      <c r="A116" s="1"/>
      <c r="B116" s="1"/>
      <c r="C116" s="732" t="s">
        <v>244</v>
      </c>
      <c r="D116" s="732"/>
      <c r="E116" s="737" t="str">
        <f>'G-2 Habitat groups'!AU72</f>
        <v>Intertidal sediment - Littoral muddy sand</v>
      </c>
      <c r="F116" s="738" t="str">
        <f>'G-2 Habitat groups'!AV72</f>
        <v>Intertidal sediment</v>
      </c>
      <c r="G116" s="739">
        <f>'G-2 Habitat groups'!$BE$72</f>
        <v>0</v>
      </c>
      <c r="H116" s="1828"/>
      <c r="I116" s="740"/>
      <c r="J116" s="1"/>
      <c r="K116" s="1"/>
      <c r="L116" s="1"/>
      <c r="M116" s="1"/>
      <c r="N116" s="1"/>
      <c r="O116" s="1"/>
      <c r="P116" s="1"/>
      <c r="Q116" s="1"/>
      <c r="R116" s="1"/>
      <c r="S116" s="1"/>
      <c r="T116" s="1"/>
    </row>
    <row r="117" spans="1:20" ht="15" hidden="1" thickBot="1">
      <c r="A117" s="1"/>
      <c r="B117" s="1"/>
      <c r="C117" s="732" t="s">
        <v>245</v>
      </c>
      <c r="D117" s="732"/>
      <c r="E117" s="741" t="s">
        <v>212</v>
      </c>
      <c r="F117" s="738" t="str">
        <f>'G-2 Habitat groups'!AV73</f>
        <v>Intertidal sediment</v>
      </c>
      <c r="G117" s="742">
        <f>'G-2 Habitat groups'!$BE$73</f>
        <v>0</v>
      </c>
      <c r="H117" s="1828"/>
      <c r="I117" s="740"/>
      <c r="J117" s="1"/>
      <c r="K117" s="1"/>
      <c r="L117" s="1"/>
      <c r="M117" s="1"/>
      <c r="N117" s="1"/>
      <c r="O117" s="1"/>
      <c r="P117" s="1"/>
      <c r="Q117" s="1"/>
      <c r="R117" s="1"/>
      <c r="S117" s="1"/>
      <c r="T117" s="1"/>
    </row>
    <row r="118" spans="1:20" ht="14.5">
      <c r="A118" s="1"/>
      <c r="B118" s="1"/>
      <c r="C118" s="1"/>
      <c r="D118" s="1"/>
      <c r="E118" s="1"/>
      <c r="F118" s="1"/>
      <c r="G118" s="1"/>
      <c r="H118" s="1"/>
      <c r="I118" s="1"/>
      <c r="J118" s="1"/>
      <c r="K118" s="1"/>
      <c r="L118" s="1"/>
      <c r="M118" s="1"/>
      <c r="N118" s="1"/>
      <c r="O118" s="1"/>
      <c r="P118" s="1"/>
      <c r="Q118" s="1"/>
      <c r="R118" s="1"/>
      <c r="S118" s="1"/>
      <c r="T118" s="1"/>
    </row>
    <row r="119" spans="1:20" ht="15" thickBot="1">
      <c r="A119" s="1"/>
      <c r="B119" s="1"/>
      <c r="C119" s="1"/>
      <c r="D119" s="1"/>
      <c r="E119" s="1"/>
      <c r="F119" s="1"/>
      <c r="G119" s="1"/>
      <c r="H119" s="1"/>
      <c r="I119" s="1"/>
      <c r="J119" s="1"/>
      <c r="K119" s="1"/>
      <c r="L119" s="1"/>
      <c r="M119" s="1"/>
      <c r="N119" s="1"/>
      <c r="O119" s="1"/>
      <c r="P119" s="1"/>
      <c r="Q119" s="1"/>
      <c r="R119" s="1"/>
      <c r="S119" s="1"/>
      <c r="T119" s="1"/>
    </row>
    <row r="120" spans="1:20" ht="15" customHeight="1" thickBot="1">
      <c r="A120" s="1"/>
      <c r="B120" s="1"/>
      <c r="C120" s="1"/>
      <c r="D120" s="1463" t="s">
        <v>583</v>
      </c>
      <c r="E120" s="1842"/>
      <c r="F120" s="1843" t="s">
        <v>584</v>
      </c>
      <c r="G120" s="1464"/>
      <c r="H120" s="731" t="s">
        <v>572</v>
      </c>
      <c r="I120" s="743" t="s">
        <v>574</v>
      </c>
      <c r="J120" s="743" t="s">
        <v>576</v>
      </c>
      <c r="K120" s="743" t="s">
        <v>578</v>
      </c>
      <c r="L120" s="743"/>
      <c r="M120" s="744" t="s">
        <v>585</v>
      </c>
      <c r="N120" s="1"/>
      <c r="O120" s="1871" t="s">
        <v>586</v>
      </c>
      <c r="P120" s="1872"/>
      <c r="Q120" s="1872"/>
      <c r="R120" s="1872"/>
      <c r="S120" s="1872"/>
      <c r="T120" s="1873"/>
    </row>
    <row r="121" spans="1:20" ht="57.65" customHeight="1" thickBot="1">
      <c r="A121" s="1"/>
      <c r="B121" s="745"/>
      <c r="C121" s="1"/>
      <c r="D121" s="735" t="s">
        <v>520</v>
      </c>
      <c r="E121" s="743" t="s">
        <v>587</v>
      </c>
      <c r="F121" s="743" t="s">
        <v>520</v>
      </c>
      <c r="G121" s="746" t="s">
        <v>588</v>
      </c>
      <c r="H121" s="734" t="s">
        <v>589</v>
      </c>
      <c r="I121" s="747" t="s">
        <v>590</v>
      </c>
      <c r="J121" s="747" t="s">
        <v>591</v>
      </c>
      <c r="K121" s="747" t="s">
        <v>592</v>
      </c>
      <c r="L121" s="747"/>
      <c r="M121" s="748"/>
      <c r="N121" s="1"/>
      <c r="O121" s="1021" t="s">
        <v>593</v>
      </c>
      <c r="P121" s="1021" t="s">
        <v>594</v>
      </c>
      <c r="Q121" s="1021" t="s">
        <v>595</v>
      </c>
      <c r="R121" s="1021" t="s">
        <v>596</v>
      </c>
      <c r="S121" s="1021" t="s">
        <v>520</v>
      </c>
      <c r="T121" s="1022" t="s">
        <v>597</v>
      </c>
    </row>
    <row r="122" spans="1:20" ht="23.15" customHeight="1" thickBot="1">
      <c r="A122" s="1"/>
      <c r="B122" s="1813" t="s">
        <v>598</v>
      </c>
      <c r="C122" s="1844" t="s">
        <v>242</v>
      </c>
      <c r="D122" s="749" t="s">
        <v>105</v>
      </c>
      <c r="E122" s="750">
        <v>0</v>
      </c>
      <c r="F122" s="751" t="s">
        <v>105</v>
      </c>
      <c r="G122" s="752">
        <f>IF('Trading Summary Area Habitats'!G89&lt;0,'Trading Summary Area Habitats'!G89,0)</f>
        <v>0</v>
      </c>
      <c r="H122" s="753">
        <f>E122+G122</f>
        <v>0</v>
      </c>
      <c r="I122" s="1856">
        <f>SUMIF(H122:H126,"&lt;0")</f>
        <v>0</v>
      </c>
      <c r="J122" s="1850">
        <f>SUMIF(I122,"&lt;0")</f>
        <v>0</v>
      </c>
      <c r="K122" s="1850">
        <f>J122+J133</f>
        <v>0</v>
      </c>
      <c r="L122" s="1664" t="s">
        <v>242</v>
      </c>
      <c r="M122" s="1852">
        <f>SUMIF(K122,"&lt;0")</f>
        <v>0</v>
      </c>
      <c r="N122" s="1"/>
      <c r="O122" s="1017">
        <f>IF(H122&lt;0,(H122),(0))</f>
        <v>0</v>
      </c>
      <c r="P122" s="1874">
        <f>SUM(O122:O126)</f>
        <v>0</v>
      </c>
      <c r="Q122" s="1874" t="str">
        <f>IFERROR(M122/P122,"0.00")</f>
        <v>0.00</v>
      </c>
      <c r="R122" s="1017">
        <f>IFERROR($Q$122*O122,"")</f>
        <v>0</v>
      </c>
      <c r="S122" s="1019" t="s">
        <v>105</v>
      </c>
      <c r="T122" s="1017">
        <f>IFERROR(-2*(R122),"")</f>
        <v>0</v>
      </c>
    </row>
    <row r="123" spans="1:20" ht="23.15" customHeight="1" thickBot="1">
      <c r="A123" s="1"/>
      <c r="B123" s="1815"/>
      <c r="C123" s="1845"/>
      <c r="D123" s="754" t="s">
        <v>106</v>
      </c>
      <c r="E123" s="755">
        <f>SUMIF(G76:G80,"&gt;0")+SUMIF('Trading Summary Area Habitats'!F13:F15,"&gt;0")</f>
        <v>0</v>
      </c>
      <c r="F123" s="756" t="s">
        <v>106</v>
      </c>
      <c r="G123" s="757">
        <f>IF('Trading Summary Area Habitats'!G93&lt;0,'Trading Summary Area Habitats'!G93,0)</f>
        <v>0</v>
      </c>
      <c r="H123" s="758">
        <f t="shared" si="4" ref="H123:H131">E123+G123</f>
        <v>0</v>
      </c>
      <c r="I123" s="1855"/>
      <c r="J123" s="1851"/>
      <c r="K123" s="1851"/>
      <c r="L123" s="1773"/>
      <c r="M123" s="1823"/>
      <c r="N123" s="1"/>
      <c r="O123" s="1017">
        <f t="shared" si="5" ref="O123:O131">IF(H123&lt;0,(H123),(0))</f>
        <v>0</v>
      </c>
      <c r="P123" s="1874"/>
      <c r="Q123" s="1874"/>
      <c r="R123" s="1017">
        <f t="shared" si="6" ref="R123:R126">IFERROR($Q$122*O123,"")</f>
        <v>0</v>
      </c>
      <c r="S123" s="1019" t="s">
        <v>106</v>
      </c>
      <c r="T123" s="1017">
        <f t="shared" si="7" ref="T123:T131">IFERROR(-2*(R123),"")</f>
        <v>0</v>
      </c>
    </row>
    <row r="124" spans="1:20" ht="23.15" customHeight="1" thickBot="1">
      <c r="A124" s="1"/>
      <c r="B124" s="1815"/>
      <c r="C124" s="1845"/>
      <c r="D124" s="754" t="s">
        <v>107</v>
      </c>
      <c r="E124" s="755">
        <f>SUMIF(G81:G83,"&gt;0")+SUMIF('Trading Summary Area Habitats'!F16,"&gt;0")</f>
        <v>0</v>
      </c>
      <c r="F124" s="756" t="s">
        <v>107</v>
      </c>
      <c r="G124" s="757">
        <f>IF('Trading Summary Area Habitats'!G96&lt;0,'Trading Summary Area Habitats'!G96,0)</f>
        <v>0</v>
      </c>
      <c r="H124" s="758">
        <f t="shared" si="4"/>
        <v>0</v>
      </c>
      <c r="I124" s="1855"/>
      <c r="J124" s="1851"/>
      <c r="K124" s="1851"/>
      <c r="L124" s="1773"/>
      <c r="M124" s="1823"/>
      <c r="N124" s="1"/>
      <c r="O124" s="1017">
        <f t="shared" si="5"/>
        <v>0</v>
      </c>
      <c r="P124" s="1874"/>
      <c r="Q124" s="1874"/>
      <c r="R124" s="1017">
        <f t="shared" si="6"/>
        <v>0</v>
      </c>
      <c r="S124" s="1019" t="s">
        <v>107</v>
      </c>
      <c r="T124" s="1017">
        <f t="shared" si="7"/>
        <v>0</v>
      </c>
    </row>
    <row r="125" spans="1:20" ht="23.15" customHeight="1" thickBot="1">
      <c r="A125" s="1"/>
      <c r="B125" s="1815"/>
      <c r="C125" s="1845"/>
      <c r="D125" s="754" t="s">
        <v>110</v>
      </c>
      <c r="E125" s="755">
        <f>SUMIF(G95,"&gt;0")</f>
        <v>0</v>
      </c>
      <c r="F125" s="756" t="s">
        <v>110</v>
      </c>
      <c r="G125" s="757">
        <f>IF('Trading Summary Area Habitats'!G106&lt;0,'Trading Summary Area Habitats'!G106,0)</f>
        <v>0</v>
      </c>
      <c r="H125" s="758">
        <f t="shared" si="4"/>
        <v>0</v>
      </c>
      <c r="I125" s="1855"/>
      <c r="J125" s="1851"/>
      <c r="K125" s="1851"/>
      <c r="L125" s="1773"/>
      <c r="M125" s="1823"/>
      <c r="N125" s="1"/>
      <c r="O125" s="1017">
        <f t="shared" si="5"/>
        <v>0</v>
      </c>
      <c r="P125" s="1874"/>
      <c r="Q125" s="1874"/>
      <c r="R125" s="1017">
        <f t="shared" si="6"/>
        <v>0</v>
      </c>
      <c r="S125" s="1019" t="s">
        <v>110</v>
      </c>
      <c r="T125" s="1017">
        <f t="shared" si="7"/>
        <v>0</v>
      </c>
    </row>
    <row r="126" spans="1:20" ht="23.15" customHeight="1" thickBot="1">
      <c r="A126" s="1"/>
      <c r="B126" s="1815"/>
      <c r="C126" s="1846"/>
      <c r="D126" s="754" t="s">
        <v>119</v>
      </c>
      <c r="E126" s="755">
        <v>0</v>
      </c>
      <c r="F126" s="756" t="s">
        <v>119</v>
      </c>
      <c r="G126" s="757">
        <f>IF('Trading Summary Area Habitats'!G108&lt;0,'Trading Summary Area Habitats'!G108,0)</f>
        <v>0</v>
      </c>
      <c r="H126" s="758">
        <f t="shared" si="4"/>
        <v>0</v>
      </c>
      <c r="I126" s="1855"/>
      <c r="J126" s="1851"/>
      <c r="K126" s="1851"/>
      <c r="L126" s="1773"/>
      <c r="M126" s="1823"/>
      <c r="N126" s="1"/>
      <c r="O126" s="1017">
        <f t="shared" si="5"/>
        <v>0</v>
      </c>
      <c r="P126" s="1874"/>
      <c r="Q126" s="1874"/>
      <c r="R126" s="1017">
        <f t="shared" si="6"/>
        <v>0</v>
      </c>
      <c r="S126" s="1019" t="s">
        <v>119</v>
      </c>
      <c r="T126" s="1017">
        <f t="shared" si="7"/>
        <v>0</v>
      </c>
    </row>
    <row r="127" spans="1:20" ht="23.15" customHeight="1" thickBot="1">
      <c r="A127" s="1"/>
      <c r="B127" s="1815"/>
      <c r="C127" s="1853" t="s">
        <v>243</v>
      </c>
      <c r="D127" s="749" t="s">
        <v>112</v>
      </c>
      <c r="E127" s="750">
        <f>SUMIF(G97:G104,"&gt;0")+SUMIF('Trading Summary Area Habitats'!F27,"&gt;0")</f>
        <v>0</v>
      </c>
      <c r="F127" s="751" t="s">
        <v>112</v>
      </c>
      <c r="G127" s="757">
        <f>IF('Trading Summary Area Habitats'!G110&lt;0,'Trading Summary Area Habitats'!G110,0)</f>
        <v>0</v>
      </c>
      <c r="H127" s="758">
        <f t="shared" si="4"/>
        <v>0</v>
      </c>
      <c r="I127" s="1855">
        <f>SUMIF(H127:H128,"&lt;0")</f>
        <v>0</v>
      </c>
      <c r="J127" s="1851">
        <f>I127+I133</f>
        <v>0</v>
      </c>
      <c r="K127" s="1851">
        <f>SUMIF(J127,"&lt;0")</f>
        <v>0</v>
      </c>
      <c r="L127" s="1773" t="s">
        <v>243</v>
      </c>
      <c r="M127" s="1823">
        <f>SUMIF(K127,"&lt;0")</f>
        <v>0</v>
      </c>
      <c r="N127" s="1"/>
      <c r="O127" s="1017">
        <f t="shared" si="5"/>
        <v>0</v>
      </c>
      <c r="P127" s="1874">
        <f>SUM(O127:O128)</f>
        <v>0</v>
      </c>
      <c r="Q127" s="1874" t="str">
        <f>IFERROR(M127/P127,"0.00")</f>
        <v>0.00</v>
      </c>
      <c r="R127" s="1017">
        <f>IFERROR($Q$127*O127,"")</f>
        <v>0</v>
      </c>
      <c r="S127" s="1019" t="s">
        <v>112</v>
      </c>
      <c r="T127" s="1017">
        <f t="shared" si="7"/>
        <v>0</v>
      </c>
    </row>
    <row r="128" spans="1:20" ht="23.15" customHeight="1" thickBot="1">
      <c r="A128" s="1"/>
      <c r="B128" s="1815"/>
      <c r="C128" s="1854"/>
      <c r="D128" s="754" t="s">
        <v>113</v>
      </c>
      <c r="E128" s="755">
        <f>SUMIF(G105:G117,"&gt;0")+SUMIF('Trading Summary Area Habitats'!F28:F32,"&gt;0")</f>
        <v>0</v>
      </c>
      <c r="F128" s="756" t="s">
        <v>113</v>
      </c>
      <c r="G128" s="757">
        <f>IF('Trading Summary Area Habitats'!G113&lt;0,'Trading Summary Area Habitats'!G113,0)</f>
        <v>0</v>
      </c>
      <c r="H128" s="758">
        <f t="shared" si="4"/>
        <v>0</v>
      </c>
      <c r="I128" s="1855"/>
      <c r="J128" s="1851"/>
      <c r="K128" s="1851"/>
      <c r="L128" s="1773"/>
      <c r="M128" s="1823"/>
      <c r="N128" s="1"/>
      <c r="O128" s="1017">
        <f t="shared" si="5"/>
        <v>0</v>
      </c>
      <c r="P128" s="1874"/>
      <c r="Q128" s="1874"/>
      <c r="R128" s="1017">
        <f>IFERROR($Q$127*O128,"")</f>
        <v>0</v>
      </c>
      <c r="S128" s="1019" t="s">
        <v>113</v>
      </c>
      <c r="T128" s="1017">
        <f t="shared" si="7"/>
        <v>0</v>
      </c>
    </row>
    <row r="129" spans="1:20" ht="23.15" customHeight="1" thickBot="1">
      <c r="A129" s="1"/>
      <c r="B129" s="1815"/>
      <c r="C129" s="1847" t="s">
        <v>245</v>
      </c>
      <c r="D129" s="754" t="s">
        <v>108</v>
      </c>
      <c r="E129" s="755">
        <f>SUMIF(G84:G90,"&gt;0")+SUMIF('Trading Summary Area Habitats'!F17,"&gt;0")</f>
        <v>0</v>
      </c>
      <c r="F129" s="756" t="s">
        <v>108</v>
      </c>
      <c r="G129" s="757">
        <f>IF('Trading Summary Area Habitats'!G103&lt;0,'Trading Summary Area Habitats'!G103,0)</f>
        <v>0</v>
      </c>
      <c r="H129" s="758">
        <f t="shared" si="4"/>
        <v>0</v>
      </c>
      <c r="I129" s="1855">
        <f>(SUMIF(H129:H131,"&lt;0"))+H133</f>
        <v>0</v>
      </c>
      <c r="J129" s="1851">
        <f>SUMIF(I129,"&lt;0")</f>
        <v>0</v>
      </c>
      <c r="K129" s="1851">
        <f>SUMIF(J129,"&lt;0")</f>
        <v>0</v>
      </c>
      <c r="L129" s="1773" t="s">
        <v>245</v>
      </c>
      <c r="M129" s="1823">
        <f>SUMIF(K129,"&lt;0")</f>
        <v>0</v>
      </c>
      <c r="N129" s="1"/>
      <c r="O129" s="1017">
        <f t="shared" si="5"/>
        <v>0</v>
      </c>
      <c r="P129" s="1874">
        <f>SUM(O129:O131)</f>
        <v>0</v>
      </c>
      <c r="Q129" s="1874" t="str">
        <f>IFERROR(M129/P129,"0.00")</f>
        <v>0.00</v>
      </c>
      <c r="R129" s="1017">
        <f>IFERROR($Q$129*O129,"")</f>
        <v>0</v>
      </c>
      <c r="S129" s="1019" t="s">
        <v>108</v>
      </c>
      <c r="T129" s="1017">
        <f t="shared" si="7"/>
        <v>0</v>
      </c>
    </row>
    <row r="130" spans="1:20" ht="23.15" customHeight="1" thickBot="1">
      <c r="A130" s="1"/>
      <c r="B130" s="1815"/>
      <c r="C130" s="1848"/>
      <c r="D130" s="754" t="s">
        <v>109</v>
      </c>
      <c r="E130" s="755">
        <f>SUMIF(G91:G94,"&gt;0")+SUMIF('Trading Summary Area Habitats'!F18:F19,"&gt;0")</f>
        <v>0</v>
      </c>
      <c r="F130" s="756" t="s">
        <v>109</v>
      </c>
      <c r="G130" s="757">
        <f>IF('Trading Summary Area Habitats'!G105&lt;0,'Trading Summary Area Habitats'!G105,0)</f>
        <v>0</v>
      </c>
      <c r="H130" s="758">
        <f t="shared" si="4"/>
        <v>0</v>
      </c>
      <c r="I130" s="1855"/>
      <c r="J130" s="1851"/>
      <c r="K130" s="1851"/>
      <c r="L130" s="1773"/>
      <c r="M130" s="1823"/>
      <c r="N130" s="1"/>
      <c r="O130" s="1017">
        <f t="shared" si="5"/>
        <v>0</v>
      </c>
      <c r="P130" s="1874"/>
      <c r="Q130" s="1874"/>
      <c r="R130" s="1017">
        <f t="shared" si="8" ref="R130:R131">IFERROR($Q$129*O130,"")</f>
        <v>0</v>
      </c>
      <c r="S130" s="1019" t="s">
        <v>109</v>
      </c>
      <c r="T130" s="1017">
        <f t="shared" si="7"/>
        <v>0</v>
      </c>
    </row>
    <row r="131" spans="1:20" ht="23.15" customHeight="1" thickBot="1">
      <c r="A131" s="1"/>
      <c r="B131" s="1814"/>
      <c r="C131" s="1849"/>
      <c r="D131" s="759" t="s">
        <v>111</v>
      </c>
      <c r="E131" s="755">
        <f>SUMIF(G96,"&gt;0")+SUMIF('Trading Summary Area Habitats'!F20:F26,"&gt;0")</f>
        <v>0</v>
      </c>
      <c r="F131" s="760" t="s">
        <v>111</v>
      </c>
      <c r="G131" s="761">
        <v>0</v>
      </c>
      <c r="H131" s="762">
        <f t="shared" si="4"/>
        <v>0</v>
      </c>
      <c r="I131" s="1858"/>
      <c r="J131" s="1857"/>
      <c r="K131" s="1857"/>
      <c r="L131" s="1750"/>
      <c r="M131" s="1824"/>
      <c r="N131" s="1"/>
      <c r="O131" s="1018">
        <f t="shared" si="5"/>
        <v>0</v>
      </c>
      <c r="P131" s="1875"/>
      <c r="Q131" s="1875"/>
      <c r="R131" s="1018">
        <f t="shared" si="8"/>
        <v>0</v>
      </c>
      <c r="S131" s="1020" t="s">
        <v>111</v>
      </c>
      <c r="T131" s="1018">
        <f t="shared" si="7"/>
        <v>0</v>
      </c>
    </row>
    <row r="132" spans="1:20" ht="15" thickBot="1">
      <c r="A132" s="1"/>
      <c r="B132" s="1"/>
      <c r="C132" s="1"/>
      <c r="D132" s="1"/>
      <c r="E132" s="1"/>
      <c r="F132" s="1"/>
      <c r="G132" s="1"/>
      <c r="H132" s="1"/>
      <c r="I132" s="1"/>
      <c r="J132" s="1"/>
      <c r="K132" s="1"/>
      <c r="L132" s="1"/>
      <c r="M132" s="1"/>
      <c r="N132" s="1"/>
      <c r="O132" s="732"/>
      <c r="P132" s="732"/>
      <c r="Q132" s="732"/>
      <c r="R132" s="732"/>
      <c r="S132" s="732"/>
      <c r="T132" s="732"/>
    </row>
    <row r="133" spans="1:20" ht="15" thickBot="1">
      <c r="A133" s="1"/>
      <c r="B133" s="1"/>
      <c r="C133" s="1"/>
      <c r="D133" s="1"/>
      <c r="E133" s="1"/>
      <c r="F133" s="1"/>
      <c r="G133" s="221" t="s">
        <v>599</v>
      </c>
      <c r="H133" s="272">
        <f>SUMIF(H122:H131,"&gt;0")</f>
        <v>0</v>
      </c>
      <c r="I133" s="272">
        <f>SUMIF(I122:I131,"&gt;0")</f>
        <v>0</v>
      </c>
      <c r="J133" s="272">
        <f>SUMIF(J122:J131,"&gt;0")</f>
        <v>0</v>
      </c>
      <c r="K133" s="273">
        <f>SUMIF(K122:K131,"&gt;0")</f>
        <v>0</v>
      </c>
      <c r="L133" s="1"/>
      <c r="M133" s="1"/>
      <c r="N133" s="1"/>
      <c r="O133" s="1"/>
      <c r="P133" s="1"/>
      <c r="Q133" s="1"/>
      <c r="R133" s="1"/>
      <c r="S133" s="1"/>
      <c r="T133" s="1"/>
    </row>
    <row r="134" spans="1:20" ht="14.5">
      <c r="A134" s="1"/>
      <c r="B134" s="1"/>
      <c r="C134" s="1"/>
      <c r="D134" s="1"/>
      <c r="E134" s="1"/>
      <c r="F134" s="1"/>
      <c r="G134" s="1"/>
      <c r="H134" s="1"/>
      <c r="I134" s="1"/>
      <c r="J134" s="1"/>
      <c r="K134" s="1"/>
      <c r="L134" s="1"/>
      <c r="M134" s="1"/>
      <c r="N134" s="1"/>
      <c r="O134" s="1"/>
      <c r="P134" s="1"/>
      <c r="Q134" s="1"/>
      <c r="R134" s="1"/>
      <c r="S134" s="1"/>
      <c r="T134" s="1"/>
    </row>
    <row r="135" spans="1:20" ht="14.5">
      <c r="A135" s="1"/>
      <c r="B135" s="1"/>
      <c r="C135" s="1"/>
      <c r="D135" s="1"/>
      <c r="E135" s="1"/>
      <c r="F135" s="1"/>
      <c r="G135" s="1"/>
      <c r="H135" s="1"/>
      <c r="I135" s="1"/>
      <c r="J135" s="1"/>
      <c r="K135" s="1"/>
      <c r="L135" s="1"/>
      <c r="M135" s="1"/>
      <c r="N135" s="1"/>
      <c r="O135" s="1"/>
      <c r="P135" s="1"/>
      <c r="Q135" s="1"/>
      <c r="R135" s="1"/>
      <c r="S135" s="1"/>
      <c r="T135" s="1"/>
    </row>
    <row r="136" spans="1:20" ht="15" thickBot="1">
      <c r="A136" s="1"/>
      <c r="B136" s="1"/>
      <c r="C136" s="1"/>
      <c r="D136" s="1"/>
      <c r="E136" s="1"/>
      <c r="F136" s="1"/>
      <c r="G136" s="1"/>
      <c r="H136" s="1"/>
      <c r="I136" s="1"/>
      <c r="J136" s="1"/>
      <c r="K136" s="1"/>
      <c r="L136" s="1"/>
      <c r="M136" s="1"/>
      <c r="N136" s="1"/>
      <c r="O136" s="1"/>
      <c r="P136" s="1"/>
      <c r="Q136" s="1"/>
      <c r="R136" s="1"/>
      <c r="S136" s="1"/>
      <c r="T136" s="1"/>
    </row>
    <row r="137" spans="1:20" ht="42.5" thickBot="1">
      <c r="A137" s="1"/>
      <c r="B137" s="1"/>
      <c r="C137" s="1"/>
      <c r="D137" s="224" t="s">
        <v>600</v>
      </c>
      <c r="E137" s="763" t="s">
        <v>601</v>
      </c>
      <c r="F137" s="227" t="s">
        <v>602</v>
      </c>
      <c r="G137" s="744" t="s">
        <v>585</v>
      </c>
      <c r="H137" s="1"/>
      <c r="I137" s="1"/>
      <c r="J137" s="1"/>
      <c r="K137" s="1"/>
      <c r="L137" s="1"/>
      <c r="M137" s="1"/>
      <c r="N137" s="1"/>
      <c r="O137" s="1"/>
      <c r="P137" s="1"/>
      <c r="Q137" s="1"/>
      <c r="R137" s="1"/>
      <c r="S137" s="1"/>
      <c r="T137" s="1"/>
    </row>
    <row r="138" spans="1:20" ht="51.65" customHeight="1" thickBot="1">
      <c r="A138" s="1"/>
      <c r="B138" s="792" t="s">
        <v>603</v>
      </c>
      <c r="C138" s="764" t="s">
        <v>242</v>
      </c>
      <c r="D138" s="765">
        <f>'Trading Summary Area Habitats'!K124</f>
        <v>-11.086609520150004</v>
      </c>
      <c r="E138" s="766">
        <f>SUMIF('Trading Summary Area Habitats'!K124,"&lt;0")+'Trading Summary Area Habitats'!K88</f>
        <v>6.22782400592248</v>
      </c>
      <c r="F138" s="272">
        <f>E138+K133</f>
        <v>6.22782400592248</v>
      </c>
      <c r="G138" s="273">
        <f>SUMIF(F138,"&lt;0")</f>
        <v>0</v>
      </c>
      <c r="H138" s="1"/>
      <c r="I138" s="1"/>
      <c r="J138" s="1"/>
      <c r="K138" s="1"/>
      <c r="L138" s="1"/>
      <c r="M138" s="1"/>
      <c r="N138" s="1"/>
      <c r="O138" s="1"/>
      <c r="P138" s="1"/>
      <c r="Q138" s="1"/>
      <c r="R138" s="1"/>
      <c r="S138" s="1"/>
      <c r="T138" s="1"/>
    </row>
    <row r="139" spans="1:20" ht="14.5">
      <c r="A139" s="1"/>
      <c r="B139" s="1"/>
      <c r="C139" s="1"/>
      <c r="D139" s="1"/>
      <c r="E139" s="1"/>
      <c r="F139" s="1"/>
      <c r="G139" s="1"/>
      <c r="H139" s="1"/>
      <c r="I139" s="1"/>
      <c r="J139" s="1"/>
      <c r="K139" s="1"/>
      <c r="L139" s="1"/>
      <c r="M139" s="1"/>
      <c r="N139" s="1"/>
      <c r="O139" s="1"/>
      <c r="P139" s="1"/>
      <c r="Q139" s="1"/>
      <c r="R139" s="1"/>
      <c r="S139" s="1"/>
      <c r="T139" s="1"/>
    </row>
    <row r="140" spans="1:20" ht="14.5">
      <c r="A140" s="1"/>
      <c r="B140" s="1"/>
      <c r="C140" s="1"/>
      <c r="D140" s="1"/>
      <c r="E140" s="1"/>
      <c r="F140" s="1"/>
      <c r="G140" s="1"/>
      <c r="H140" s="1"/>
      <c r="I140" s="1"/>
      <c r="J140" s="1"/>
      <c r="K140" s="1"/>
      <c r="L140" s="1"/>
      <c r="M140" s="1"/>
      <c r="N140" s="1"/>
      <c r="O140" s="1"/>
      <c r="P140" s="1"/>
      <c r="Q140" s="1"/>
      <c r="R140" s="1"/>
      <c r="S140" s="1"/>
      <c r="T140" s="1"/>
    </row>
    <row r="141" spans="1:20" ht="14.5">
      <c r="A141" s="1"/>
      <c r="B141" s="1"/>
      <c r="C141" s="1"/>
      <c r="D141" s="1"/>
      <c r="E141" s="1"/>
      <c r="F141" s="1"/>
      <c r="G141" s="1"/>
      <c r="H141" s="1"/>
      <c r="I141" s="1"/>
      <c r="J141" s="1"/>
      <c r="K141" s="1"/>
      <c r="L141" s="1"/>
      <c r="M141" s="1"/>
      <c r="N141" s="1"/>
      <c r="O141" s="1"/>
      <c r="P141" s="1"/>
      <c r="Q141" s="1"/>
      <c r="R141" s="1"/>
      <c r="S141" s="1"/>
      <c r="T141" s="1"/>
    </row>
    <row r="142" spans="1:20" ht="14.5">
      <c r="A142" s="1"/>
      <c r="B142" s="1"/>
      <c r="C142" s="1"/>
      <c r="D142" s="1"/>
      <c r="E142" s="1"/>
      <c r="F142" s="1"/>
      <c r="G142" s="1"/>
      <c r="H142" s="1"/>
      <c r="I142" s="1"/>
      <c r="J142" s="1"/>
      <c r="K142" s="1"/>
      <c r="L142" s="1"/>
      <c r="M142" s="1"/>
      <c r="N142" s="1"/>
      <c r="O142" s="1"/>
      <c r="P142" s="1"/>
      <c r="Q142" s="1"/>
      <c r="R142" s="1"/>
      <c r="S142" s="1"/>
      <c r="T142" s="1"/>
    </row>
    <row r="143" spans="1:20" ht="14.5">
      <c r="A143" s="1"/>
      <c r="B143" s="1"/>
      <c r="C143" s="1"/>
      <c r="D143" s="1"/>
      <c r="E143" s="1"/>
      <c r="F143" s="1"/>
      <c r="G143" s="1"/>
      <c r="H143" s="1"/>
      <c r="I143" s="1"/>
      <c r="J143" s="1"/>
      <c r="K143" s="1"/>
      <c r="L143" s="1"/>
      <c r="M143" s="1"/>
      <c r="N143" s="1"/>
      <c r="O143" s="1"/>
      <c r="P143" s="1"/>
      <c r="Q143" s="1"/>
      <c r="R143" s="1"/>
      <c r="S143" s="1"/>
      <c r="T143" s="1"/>
    </row>
    <row r="144" spans="1:20" ht="14.5">
      <c r="A144" s="1"/>
      <c r="B144" s="1"/>
      <c r="C144" s="1"/>
      <c r="D144" s="1"/>
      <c r="E144" s="1"/>
      <c r="F144" s="1"/>
      <c r="G144" s="1"/>
      <c r="H144" s="1"/>
      <c r="I144" s="1"/>
      <c r="J144" s="1"/>
      <c r="K144" s="1"/>
      <c r="L144" s="1"/>
      <c r="M144" s="1"/>
      <c r="N144" s="1"/>
      <c r="O144" s="1"/>
      <c r="P144" s="1"/>
      <c r="Q144" s="1"/>
      <c r="R144" s="1"/>
      <c r="S144" s="1"/>
      <c r="T144" s="1"/>
    </row>
    <row r="145" s="1" customFormat="1" ht="15" thickBot="1"/>
    <row r="146" spans="4:7" s="1" customFormat="1" ht="15" thickBot="1">
      <c r="D146" s="1865" t="s">
        <v>78</v>
      </c>
      <c r="E146" s="1866"/>
      <c r="F146" s="775" t="s">
        <v>604</v>
      </c>
      <c r="G146" s="775" t="s">
        <v>605</v>
      </c>
    </row>
    <row r="147" spans="4:9" s="1" customFormat="1" ht="15" thickBot="1">
      <c r="D147" s="1862" t="s">
        <v>247</v>
      </c>
      <c r="E147" s="374" t="s">
        <v>606</v>
      </c>
      <c r="F147" s="767">
        <f>'Trading Summary Hedgerows'!I14</f>
        <v>0</v>
      </c>
      <c r="G147" s="1859">
        <f>SUMIF(F147:F151,"&lt;0")</f>
        <v>0</v>
      </c>
      <c r="H147" s="1" t="s">
        <v>607</v>
      </c>
      <c r="I147" s="1" t="s">
        <v>605</v>
      </c>
    </row>
    <row r="148" spans="4:7" s="1" customFormat="1" ht="15" thickBot="1">
      <c r="D148" s="1863"/>
      <c r="E148" s="374" t="s">
        <v>608</v>
      </c>
      <c r="F148" s="767">
        <f>'Trading Summary Hedgerows'!I23</f>
        <v>0.17882381695903993</v>
      </c>
      <c r="G148" s="1860"/>
    </row>
    <row r="149" spans="4:7" s="1" customFormat="1" ht="15" thickBot="1">
      <c r="D149" s="1863"/>
      <c r="E149" s="374" t="s">
        <v>609</v>
      </c>
      <c r="F149" s="767">
        <f>'Trading Summary Hedgerows'!I33</f>
        <v>6.47512296027344</v>
      </c>
      <c r="G149" s="1860"/>
    </row>
    <row r="150" spans="4:7" s="1" customFormat="1" ht="15" thickBot="1">
      <c r="D150" s="1863"/>
      <c r="E150" s="374" t="s">
        <v>610</v>
      </c>
      <c r="F150" s="767">
        <f>'Trading Summary Hedgerows'!I44</f>
        <v>6.47512296027344</v>
      </c>
      <c r="G150" s="1860"/>
    </row>
    <row r="151" spans="4:7" s="1" customFormat="1" ht="15" thickBot="1">
      <c r="D151" s="1864"/>
      <c r="E151" s="125" t="s">
        <v>611</v>
      </c>
      <c r="F151" s="767">
        <f>'Trading Summary Hedgerows'!I54</f>
        <v>6.47512296027344</v>
      </c>
      <c r="G151" s="1861"/>
    </row>
    <row r="152" s="1" customFormat="1" ht="14.5"/>
    <row r="153" s="1" customFormat="1" ht="14.5"/>
    <row r="154" spans="5:5" s="1" customFormat="1" ht="14.5">
      <c r="E154" s="793"/>
    </row>
    <row r="155" s="1" customFormat="1" ht="15" thickBot="1"/>
    <row r="156" spans="4:7" s="1" customFormat="1" ht="15" thickBot="1">
      <c r="D156" s="1865" t="s">
        <v>79</v>
      </c>
      <c r="E156" s="1867"/>
      <c r="F156" s="775" t="s">
        <v>604</v>
      </c>
      <c r="G156" s="775" t="s">
        <v>605</v>
      </c>
    </row>
    <row r="157" spans="4:7" s="1" customFormat="1" ht="15" thickBot="1">
      <c r="D157" s="1868" t="s">
        <v>248</v>
      </c>
      <c r="E157" s="768" t="s">
        <v>606</v>
      </c>
      <c r="F157" s="767">
        <f>'Trading Summary WaterC''s'!I13</f>
        <v>0</v>
      </c>
      <c r="G157" s="1859">
        <f>SUMIF(F157:F160,"&lt;0")</f>
        <v>0</v>
      </c>
    </row>
    <row r="158" spans="4:7" s="1" customFormat="1" ht="15" thickBot="1">
      <c r="D158" s="1869"/>
      <c r="E158" s="768" t="s">
        <v>608</v>
      </c>
      <c r="F158" s="767">
        <f>'Trading Summary WaterC''s'!I22</f>
        <v>0</v>
      </c>
      <c r="G158" s="1860"/>
    </row>
    <row r="159" spans="4:7" s="1" customFormat="1" ht="15" thickBot="1">
      <c r="D159" s="1869"/>
      <c r="E159" s="768" t="s">
        <v>609</v>
      </c>
      <c r="F159" s="767">
        <f>'Trading Summary WaterC''s'!I30</f>
        <v>0</v>
      </c>
      <c r="G159" s="1860"/>
    </row>
    <row r="160" spans="4:7" s="1" customFormat="1" ht="15" thickBot="1">
      <c r="D160" s="1870"/>
      <c r="E160" s="774" t="s">
        <v>610</v>
      </c>
      <c r="F160" s="767">
        <f>'Trading Summary WaterC''s'!I42</f>
        <v>0</v>
      </c>
      <c r="G160" s="1861"/>
    </row>
    <row r="161" s="1" customFormat="1" ht="14.5"/>
    <row r="162" s="1" customFormat="1" ht="14.5"/>
    <row r="163" s="1" customFormat="1" ht="14.5"/>
    <row r="164" s="1" customFormat="1" ht="14.5"/>
    <row r="165" s="1" customFormat="1" ht="14.5"/>
    <row r="166" s="1" customFormat="1" ht="14.5"/>
    <row r="167" s="1" customFormat="1" ht="14.5"/>
    <row r="168" s="1" customFormat="1" ht="14.5"/>
    <row r="169" s="1" customFormat="1" ht="14.5"/>
    <row r="170" s="1" customFormat="1" ht="14.5"/>
    <row r="171" s="1" customFormat="1" ht="14.5"/>
    <row r="172" s="1" customFormat="1" ht="14.5"/>
    <row r="173" spans="4:7" s="1" customFormat="1" ht="14.5">
      <c r="D173" s="769"/>
      <c r="E173" s="770"/>
      <c r="F173" s="771"/>
      <c r="G173" s="772"/>
    </row>
    <row r="174" spans="4:7" s="1" customFormat="1" ht="14.5">
      <c r="D174" s="769"/>
      <c r="E174" s="770"/>
      <c r="F174" s="771"/>
      <c r="G174" s="772"/>
    </row>
    <row r="175" spans="4:7" s="1" customFormat="1" ht="14.5">
      <c r="D175" s="769"/>
      <c r="E175" s="770"/>
      <c r="F175" s="771"/>
      <c r="G175" s="772"/>
    </row>
    <row r="176" spans="4:7" s="1" customFormat="1" ht="14.5">
      <c r="D176" s="769"/>
      <c r="E176" s="770"/>
      <c r="F176" s="771"/>
      <c r="G176" s="772"/>
    </row>
    <row r="177" spans="1:19" ht="14.5" hidden="1">
      <c r="A177" s="1"/>
      <c r="B177" s="1"/>
      <c r="C177" s="1"/>
      <c r="D177" s="769"/>
      <c r="E177" s="770"/>
      <c r="F177" s="771"/>
      <c r="G177" s="772"/>
      <c r="H177" s="1"/>
      <c r="I177" s="1"/>
      <c r="J177" s="1"/>
      <c r="K177" s="1"/>
      <c r="L177" s="1"/>
      <c r="M177" s="1"/>
      <c r="N177" s="1"/>
      <c r="O177" s="1"/>
      <c r="P177" s="1"/>
      <c r="Q177" s="1"/>
      <c r="R177" s="1"/>
      <c r="S177" s="1"/>
    </row>
    <row r="178" ht="14.5"/>
    <row r="179" ht="14.5"/>
  </sheetData>
  <sheetProtection algorithmName="SHA-512" hashValue="XQdvVTBy3aDUyktVYdj8C8NzAQT4XfJmxNEMHmZFimt3uDFmLHYvSjR0HRY723oRqkmWHq6t2FfCfo0LIUT49w==" saltValue="XmwC6dtxilZxk80BKJTRBw==" spinCount="100000" sheet="1" objects="1" scenarios="1"/>
  <mergeCells count="64">
    <mergeCell ref="O120:T120"/>
    <mergeCell ref="P122:P126"/>
    <mergeCell ref="P127:P128"/>
    <mergeCell ref="P129:P131"/>
    <mergeCell ref="Q122:Q126"/>
    <mergeCell ref="Q127:Q128"/>
    <mergeCell ref="Q129:Q131"/>
    <mergeCell ref="G147:G151"/>
    <mergeCell ref="D147:D151"/>
    <mergeCell ref="D146:E146"/>
    <mergeCell ref="D156:E156"/>
    <mergeCell ref="G157:G160"/>
    <mergeCell ref="D157:D160"/>
    <mergeCell ref="J129:J131"/>
    <mergeCell ref="K129:K131"/>
    <mergeCell ref="L129:L131"/>
    <mergeCell ref="M129:M131"/>
    <mergeCell ref="I129:I131"/>
    <mergeCell ref="J122:J126"/>
    <mergeCell ref="K122:K126"/>
    <mergeCell ref="L122:L126"/>
    <mergeCell ref="M122:M126"/>
    <mergeCell ref="C127:C128"/>
    <mergeCell ref="I127:I128"/>
    <mergeCell ref="J127:J128"/>
    <mergeCell ref="K127:K128"/>
    <mergeCell ref="L127:L128"/>
    <mergeCell ref="M127:M128"/>
    <mergeCell ref="I122:I126"/>
    <mergeCell ref="H105:H117"/>
    <mergeCell ref="D120:E120"/>
    <mergeCell ref="F120:G120"/>
    <mergeCell ref="B122:B131"/>
    <mergeCell ref="C122:C126"/>
    <mergeCell ref="C129:C131"/>
    <mergeCell ref="H97:H104"/>
    <mergeCell ref="H65:H66"/>
    <mergeCell ref="K68:M68"/>
    <mergeCell ref="K69:M69"/>
    <mergeCell ref="K70:M70"/>
    <mergeCell ref="K71:M71"/>
    <mergeCell ref="K72:M72"/>
    <mergeCell ref="J74:L74"/>
    <mergeCell ref="H76:H80"/>
    <mergeCell ref="H81:H83"/>
    <mergeCell ref="H84:H90"/>
    <mergeCell ref="H91:H94"/>
    <mergeCell ref="B17:B18"/>
    <mergeCell ref="B21:B66"/>
    <mergeCell ref="D27:D45"/>
    <mergeCell ref="H27:H45"/>
    <mergeCell ref="D47:D55"/>
    <mergeCell ref="H47:H55"/>
    <mergeCell ref="D57:D63"/>
    <mergeCell ref="H57:H63"/>
    <mergeCell ref="D65:D66"/>
    <mergeCell ref="H21:H25"/>
    <mergeCell ref="D21:D25"/>
    <mergeCell ref="E16:H16"/>
    <mergeCell ref="G8:H8"/>
    <mergeCell ref="G2:H2"/>
    <mergeCell ref="B3:C3"/>
    <mergeCell ref="B4:C4"/>
    <mergeCell ref="B5:C5"/>
  </mergeCells>
  <conditionalFormatting sqref="A19:O21 A22:C25 E22:G25 I22:O25 A26:O136 S47:S55 A137:C138 D137 F137:O137 E138:O138 A139:O144 D147">
    <cfRule type="cellIs" priority="75" dxfId="1281" operator="lessThan">
      <formula>0</formula>
    </cfRule>
  </conditionalFormatting>
  <conditionalFormatting sqref="G21:H21 G22:G25 G47:H66 E138:G138">
    <cfRule type="cellIs" priority="74" dxfId="1282" operator="greaterThan">
      <formula>0</formula>
    </cfRule>
  </conditionalFormatting>
  <conditionalFormatting sqref="G27:H45">
    <cfRule type="cellIs" priority="73" dxfId="1282" operator="greaterThan">
      <formula>0</formula>
    </cfRule>
  </conditionalFormatting>
  <conditionalFormatting sqref="E122:E131">
    <cfRule type="cellIs" priority="71" dxfId="1282" operator="greaterThan">
      <formula>0</formula>
    </cfRule>
  </conditionalFormatting>
  <conditionalFormatting sqref="G122:K131">
    <cfRule type="cellIs" priority="70" dxfId="1282" operator="greaterThan">
      <formula>0</formula>
    </cfRule>
  </conditionalFormatting>
  <conditionalFormatting sqref="H133:K133">
    <cfRule type="cellIs" priority="69" dxfId="1282" operator="greaterThan">
      <formula>0</formula>
    </cfRule>
  </conditionalFormatting>
  <conditionalFormatting sqref="G3:G5 F9:G15">
    <cfRule type="cellIs" priority="67" dxfId="1273" operator="greaterThan">
      <formula>0</formula>
    </cfRule>
    <cfRule type="cellIs" priority="68" dxfId="1282" operator="lessThan">
      <formula>0</formula>
    </cfRule>
  </conditionalFormatting>
  <conditionalFormatting sqref="D138">
    <cfRule type="cellIs" priority="65" dxfId="1282" operator="greaterThan">
      <formula>0</formula>
    </cfRule>
    <cfRule type="cellIs" priority="66" dxfId="1281" operator="lessThan">
      <formula>0</formula>
    </cfRule>
  </conditionalFormatting>
  <conditionalFormatting sqref="E173:E176 F173:F175">
    <cfRule type="cellIs" priority="61" dxfId="1281" operator="lessThan">
      <formula>0</formula>
    </cfRule>
  </conditionalFormatting>
  <conditionalFormatting sqref="F173:F175">
    <cfRule type="cellIs" priority="60" dxfId="1282" operator="greaterThan">
      <formula>0</formula>
    </cfRule>
  </conditionalFormatting>
  <conditionalFormatting sqref="H147:I151 E152:I155 H158:I160">
    <cfRule type="cellIs" priority="46" dxfId="1281" operator="lessThan">
      <formula>0</formula>
    </cfRule>
  </conditionalFormatting>
  <conditionalFormatting sqref="D152:D155">
    <cfRule type="cellIs" priority="45" dxfId="1281" operator="lessThan">
      <formula>0</formula>
    </cfRule>
  </conditionalFormatting>
  <conditionalFormatting sqref="E147">
    <cfRule type="cellIs" priority="44" dxfId="1281" operator="lessThan">
      <formula>0</formula>
    </cfRule>
  </conditionalFormatting>
  <conditionalFormatting sqref="E148">
    <cfRule type="cellIs" priority="43" dxfId="1281" operator="lessThan">
      <formula>0</formula>
    </cfRule>
  </conditionalFormatting>
  <conditionalFormatting sqref="F147:F149">
    <cfRule type="cellIs" priority="42" dxfId="1281" operator="lessThan">
      <formula>0</formula>
    </cfRule>
  </conditionalFormatting>
  <conditionalFormatting sqref="F147:F149">
    <cfRule type="cellIs" priority="41" dxfId="1282" operator="greaterThan">
      <formula>0</formula>
    </cfRule>
  </conditionalFormatting>
  <conditionalFormatting sqref="G147">
    <cfRule type="cellIs" priority="40" dxfId="1281" operator="lessThan">
      <formula>0</formula>
    </cfRule>
  </conditionalFormatting>
  <conditionalFormatting sqref="G147">
    <cfRule type="cellIs" priority="39" dxfId="1282" operator="greaterThan">
      <formula>0</formula>
    </cfRule>
  </conditionalFormatting>
  <conditionalFormatting sqref="H146:I146">
    <cfRule type="cellIs" priority="38" dxfId="1281" operator="lessThan">
      <formula>0</formula>
    </cfRule>
  </conditionalFormatting>
  <conditionalFormatting sqref="D157">
    <cfRule type="cellIs" priority="37" dxfId="1281" operator="lessThan">
      <formula>0</formula>
    </cfRule>
  </conditionalFormatting>
  <conditionalFormatting sqref="E157:E158">
    <cfRule type="cellIs" priority="35" dxfId="1281" operator="lessThan">
      <formula>0</formula>
    </cfRule>
  </conditionalFormatting>
  <conditionalFormatting sqref="F157:F159">
    <cfRule type="cellIs" priority="34" dxfId="1281" operator="lessThan">
      <formula>0</formula>
    </cfRule>
  </conditionalFormatting>
  <conditionalFormatting sqref="F157:F159">
    <cfRule type="cellIs" priority="33" dxfId="1282" operator="greaterThan">
      <formula>0</formula>
    </cfRule>
  </conditionalFormatting>
  <conditionalFormatting sqref="E160">
    <cfRule type="cellIs" priority="32" dxfId="1281" operator="lessThan">
      <formula>0</formula>
    </cfRule>
  </conditionalFormatting>
  <conditionalFormatting sqref="E159">
    <cfRule type="cellIs" priority="31" dxfId="1281" operator="lessThan">
      <formula>0</formula>
    </cfRule>
  </conditionalFormatting>
  <conditionalFormatting sqref="F160">
    <cfRule type="cellIs" priority="30" dxfId="1281" operator="lessThan">
      <formula>0</formula>
    </cfRule>
  </conditionalFormatting>
  <conditionalFormatting sqref="F160">
    <cfRule type="cellIs" priority="29" dxfId="1282" operator="greaterThan">
      <formula>0</formula>
    </cfRule>
  </conditionalFormatting>
  <conditionalFormatting sqref="G157">
    <cfRule type="cellIs" priority="28" dxfId="1281" operator="lessThan">
      <formula>0</formula>
    </cfRule>
  </conditionalFormatting>
  <conditionalFormatting sqref="G157">
    <cfRule type="cellIs" priority="27" dxfId="1282" operator="greaterThan">
      <formula>0</formula>
    </cfRule>
  </conditionalFormatting>
  <conditionalFormatting sqref="E149">
    <cfRule type="cellIs" priority="26" dxfId="1281" operator="lessThan">
      <formula>0</formula>
    </cfRule>
  </conditionalFormatting>
  <conditionalFormatting sqref="E150">
    <cfRule type="cellIs" priority="25" dxfId="1281" operator="lessThan">
      <formula>0</formula>
    </cfRule>
  </conditionalFormatting>
  <conditionalFormatting sqref="E151">
    <cfRule type="cellIs" priority="24" dxfId="1281" operator="lessThan">
      <formula>0</formula>
    </cfRule>
  </conditionalFormatting>
  <conditionalFormatting sqref="F150">
    <cfRule type="cellIs" priority="23" dxfId="1281" operator="lessThan">
      <formula>0</formula>
    </cfRule>
  </conditionalFormatting>
  <conditionalFormatting sqref="F150">
    <cfRule type="cellIs" priority="22" dxfId="1282" operator="greaterThan">
      <formula>0</formula>
    </cfRule>
  </conditionalFormatting>
  <conditionalFormatting sqref="F151">
    <cfRule type="cellIs" priority="21" dxfId="1281" operator="lessThan">
      <formula>0</formula>
    </cfRule>
  </conditionalFormatting>
  <conditionalFormatting sqref="F151">
    <cfRule type="cellIs" priority="20" dxfId="1282" operator="greaterThan">
      <formula>0</formula>
    </cfRule>
  </conditionalFormatting>
  <conditionalFormatting sqref="E18:G18">
    <cfRule type="cellIs" priority="19" dxfId="1281" operator="lessThan">
      <formula>0</formula>
    </cfRule>
  </conditionalFormatting>
  <conditionalFormatting sqref="G18">
    <cfRule type="cellIs" priority="18" dxfId="1282" operator="greaterThan">
      <formula>0</formula>
    </cfRule>
  </conditionalFormatting>
  <conditionalFormatting sqref="H18">
    <cfRule type="cellIs" priority="17" dxfId="1281" operator="lessThan">
      <formula>0</formula>
    </cfRule>
  </conditionalFormatting>
  <conditionalFormatting sqref="H18">
    <cfRule type="cellIs" priority="16" dxfId="1282" operator="greaterThan">
      <formula>0</formula>
    </cfRule>
  </conditionalFormatting>
  <conditionalFormatting sqref="D17:H17">
    <cfRule type="cellIs" priority="15" dxfId="1281" operator="lessThan">
      <formula>0</formula>
    </cfRule>
  </conditionalFormatting>
  <conditionalFormatting sqref="H3:H5">
    <cfRule type="containsText" priority="13" dxfId="1282" operator="containsText" text="✓">
      <formula>NOT(ISERROR(SEARCH("✓",H3)))</formula>
    </cfRule>
    <cfRule type="containsText" priority="14" dxfId="1273" operator="containsText" text="▲">
      <formula>NOT(ISERROR(SEARCH("▲",H3)))</formula>
    </cfRule>
  </conditionalFormatting>
  <conditionalFormatting sqref="H9:H15">
    <cfRule type="containsText" priority="11" dxfId="1108" operator="containsText" text="✓">
      <formula>NOT(ISERROR(SEARCH("✓",H9)))</formula>
    </cfRule>
    <cfRule type="containsText" priority="12" dxfId="1273" operator="containsText" text="▲">
      <formula>NOT(ISERROR(SEARCH("▲",H9)))</formula>
    </cfRule>
  </conditionalFormatting>
  <conditionalFormatting sqref="E16:H16">
    <cfRule type="containsText" priority="10" dxfId="1188" operator="containsText" text="▲">
      <formula>NOT(ISERROR(SEARCH("▲",E16)))</formula>
    </cfRule>
  </conditionalFormatting>
  <conditionalFormatting sqref="S122:S131">
    <cfRule type="cellIs" priority="9" dxfId="1281" operator="lessThan">
      <formula>0</formula>
    </cfRule>
  </conditionalFormatting>
  <conditionalFormatting sqref="R122:R131">
    <cfRule type="cellIs" priority="7" dxfId="1106" operator="equal">
      <formula>0</formula>
    </cfRule>
    <cfRule type="cellIs" priority="8" dxfId="1282" operator="greaterThan">
      <formula>0</formula>
    </cfRule>
    <cfRule type="cellIs" priority="76" dxfId="1281" operator="lessThan">
      <formula>0</formula>
    </cfRule>
  </conditionalFormatting>
  <conditionalFormatting sqref="S33:S45">
    <cfRule type="cellIs" priority="5" dxfId="1281" operator="lessThan">
      <formula>0</formula>
    </cfRule>
  </conditionalFormatting>
  <conditionalFormatting sqref="S57:S66">
    <cfRule type="cellIs" priority="3" dxfId="1281" operator="lessThan">
      <formula>0</formula>
    </cfRule>
  </conditionalFormatting>
  <conditionalFormatting sqref="S20:S31">
    <cfRule type="cellIs" priority="2" dxfId="1281" operator="lessThan">
      <formula>0</formula>
    </cfRule>
  </conditionalFormatting>
  <conditionalFormatting sqref="S32">
    <cfRule type="cellIs" priority="1" dxfId="1281" operator="lessThan">
      <formula>0</formula>
    </cfRule>
  </conditionalFormatting>
  <pageMargins left="0.7" right="0.7" top="0.75" bottom="0.75" header="0.3" footer="0.3"/>
  <pageSetup orientation="portrait" paperSize="9"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D135"/>
  <sheetViews>
    <sheetView zoomScale="80" zoomScaleNormal="80" workbookViewId="0" topLeftCell="A1">
      <pane xSplit="2" ySplit="2" topLeftCell="C3" activePane="bottomRight" state="frozen"/>
      <selection pane="topLeft" activeCell="A1" sqref="A1"/>
      <selection pane="bottomLeft" activeCell="A3" sqref="A3"/>
      <selection pane="topRight" activeCell="C1" sqref="C1"/>
      <selection pane="bottomRight" activeCell="H96" sqref="H96"/>
    </sheetView>
  </sheetViews>
  <sheetFormatPr defaultColWidth="12.0042857142857" defaultRowHeight="14.25" customHeight="1"/>
  <cols>
    <col min="1" max="1" width="5.42857142857143" style="33" hidden="1" customWidth="1"/>
    <col min="2" max="2" width="72.4285714285714" style="1068" bestFit="1" customWidth="1"/>
    <col min="3" max="3" width="37.5714285714286" style="30" bestFit="1" customWidth="1"/>
    <col min="4" max="4" width="12.5714285714286" style="30" bestFit="1" customWidth="1"/>
    <col min="5" max="5" width="17.5714285714286" style="30" bestFit="1" customWidth="1"/>
    <col min="6" max="6" width="24.5714285714286" style="30" bestFit="1" customWidth="1"/>
    <col min="7" max="7" width="17.5714285714286" style="30" bestFit="1" customWidth="1"/>
    <col min="8" max="8" width="74.5714285714286" style="30" bestFit="1" customWidth="1"/>
    <col min="9" max="9" width="17.5714285714286" style="30" bestFit="1" customWidth="1"/>
    <col min="10" max="10" width="70.5714285714286" style="30" bestFit="1" customWidth="1"/>
    <col min="11" max="11" width="35.5714285714286" style="30" bestFit="1" customWidth="1"/>
    <col min="12" max="12" width="31.4285714285714" style="30" bestFit="1" customWidth="1"/>
    <col min="13" max="13" width="61.4285714285714" style="30" bestFit="1" customWidth="1"/>
    <col min="14" max="14" width="40.4285714285714" style="30" bestFit="1" customWidth="1"/>
    <col min="15" max="15" width="13.5714285714286" style="30" bestFit="1" customWidth="1"/>
    <col min="16" max="16" width="46.5714285714286" style="30" bestFit="1" customWidth="1"/>
    <col min="17" max="17" width="13.5714285714286" style="30" bestFit="1" customWidth="1"/>
    <col min="18" max="18" width="27.5714285714286" style="33" bestFit="1" customWidth="1"/>
    <col min="19" max="19" width="40.5714285714286" style="30" bestFit="1" customWidth="1"/>
    <col min="20" max="20" width="19.4285714285714" style="30" bestFit="1" customWidth="1"/>
    <col min="21" max="21" width="26.4285714285714" style="30" customWidth="1"/>
    <col min="22" max="22" width="35.4285714285714" style="30" bestFit="1" customWidth="1"/>
    <col min="23" max="23" width="31.4285714285714" style="30" bestFit="1" customWidth="1"/>
    <col min="24" max="24" width="71.4285714285714" style="30" bestFit="1" customWidth="1"/>
    <col min="25" max="25" width="26.4285714285714" style="30" customWidth="1"/>
    <col min="26" max="26" width="27.4285714285714" style="30" bestFit="1" customWidth="1"/>
    <col min="27" max="27" width="40.5714285714286" style="30" bestFit="1" customWidth="1"/>
    <col min="28" max="29" width="31.4285714285714" style="30" customWidth="1"/>
    <col min="30" max="30" width="73.5714285714286" style="30" bestFit="1" customWidth="1"/>
    <col min="31" max="31" width="31.4285714285714" style="30" customWidth="1"/>
    <col min="32" max="32" width="23.5714285714286" style="30" bestFit="1" customWidth="1"/>
    <col min="33" max="33" width="43.5714285714286" style="30" bestFit="1" customWidth="1"/>
    <col min="34" max="34" width="12" style="30" customWidth="1"/>
    <col min="35" max="16381" width="0" style="30" hidden="1" customWidth="1"/>
    <col min="16382" max="16384" width="12" style="30"/>
  </cols>
  <sheetData>
    <row r="1" spans="3:33" ht="47.9" customHeight="1" thickBot="1">
      <c r="C1" s="33"/>
      <c r="D1" s="1877" t="s">
        <v>612</v>
      </c>
      <c r="E1" s="1877"/>
      <c r="F1" s="1877"/>
      <c r="G1" s="145"/>
      <c r="H1" s="433"/>
      <c r="I1" s="145"/>
      <c r="J1" s="145"/>
      <c r="V1" s="1878" t="s">
        <v>613</v>
      </c>
      <c r="W1" s="1880"/>
      <c r="X1" s="1879"/>
      <c r="Z1" s="1878" t="s">
        <v>614</v>
      </c>
      <c r="AA1" s="1879"/>
      <c r="AF1" s="1881" t="s">
        <v>615</v>
      </c>
      <c r="AG1" s="1881" t="s">
        <v>616</v>
      </c>
    </row>
    <row r="2" spans="1:35 16382:16384" s="77" customFormat="1" ht="14.25" customHeight="1" thickBot="1">
      <c r="A2" s="185"/>
      <c r="B2" s="1069" t="s">
        <v>617</v>
      </c>
      <c r="C2" s="906" t="s">
        <v>618</v>
      </c>
      <c r="D2" s="906" t="s">
        <v>619</v>
      </c>
      <c r="E2" s="906" t="s">
        <v>620</v>
      </c>
      <c r="F2" s="906" t="s">
        <v>621</v>
      </c>
      <c r="G2" s="906" t="s">
        <v>622</v>
      </c>
      <c r="H2" s="906" t="s">
        <v>623</v>
      </c>
      <c r="I2" s="906" t="s">
        <v>624</v>
      </c>
      <c r="J2" s="906" t="s">
        <v>625</v>
      </c>
      <c r="K2" s="906" t="s">
        <v>626</v>
      </c>
      <c r="L2" s="906" t="s">
        <v>627</v>
      </c>
      <c r="M2" s="906" t="s">
        <v>628</v>
      </c>
      <c r="N2" s="1034" t="s">
        <v>629</v>
      </c>
      <c r="O2" s="1034" t="s">
        <v>481</v>
      </c>
      <c r="P2" s="1034" t="s">
        <v>630</v>
      </c>
      <c r="Q2" s="1034" t="s">
        <v>481</v>
      </c>
      <c r="R2" s="1034" t="s">
        <v>631</v>
      </c>
      <c r="S2" s="1034" t="s">
        <v>632</v>
      </c>
      <c r="T2" s="1035" t="s">
        <v>633</v>
      </c>
      <c r="U2" s="30"/>
      <c r="V2" s="69" t="s">
        <v>634</v>
      </c>
      <c r="W2" s="69" t="s">
        <v>635</v>
      </c>
      <c r="X2" s="69" t="s">
        <v>636</v>
      </c>
      <c r="Y2" s="30"/>
      <c r="Z2" s="69" t="s">
        <v>637</v>
      </c>
      <c r="AA2" s="69" t="s">
        <v>638</v>
      </c>
      <c r="AB2" s="30"/>
      <c r="AC2" s="30"/>
      <c r="AD2" s="69" t="s">
        <v>639</v>
      </c>
      <c r="AE2" s="30"/>
      <c r="AF2" s="1876"/>
      <c r="AG2" s="1876"/>
      <c r="AH2" s="30"/>
      <c r="AI2" s="30"/>
      <c r="XFB2" s="35"/>
      <c r="XFC2" s="35"/>
      <c r="XFD2" s="35"/>
    </row>
    <row r="3" spans="1:33" ht="14.25" customHeight="1">
      <c r="A3" s="908" t="s">
        <v>640</v>
      </c>
      <c r="B3" s="1063" t="s">
        <v>641</v>
      </c>
      <c r="C3" s="349" t="s">
        <v>642</v>
      </c>
      <c r="D3" s="1036" t="s">
        <v>643</v>
      </c>
      <c r="E3" s="349" t="s">
        <v>644</v>
      </c>
      <c r="F3" s="568" t="s">
        <v>105</v>
      </c>
      <c r="G3" s="349" t="s">
        <v>645</v>
      </c>
      <c r="H3" s="782" t="s">
        <v>646</v>
      </c>
      <c r="I3" s="349" t="s">
        <v>647</v>
      </c>
      <c r="J3" s="349" t="s">
        <v>648</v>
      </c>
      <c r="K3" s="349" t="s">
        <v>46</v>
      </c>
      <c r="L3" s="349">
        <f t="shared" si="0" ref="L3:L8">IF($K3=$V$3,$W$3,IF($K3=$V$3,$W$3,IF($K3=$V$4,$W$4,IF($K3=$V$5,$W$5,IF($K3=$V$6,$W$6,IF($K3=$V$7,$W$7))))))</f>
        <v>4</v>
      </c>
      <c r="M3" s="783" t="str">
        <f>IF($K3=$V$3,$X$3,IF($K3=$V$4,$X$4,IF($K3=$V$5,$X$5,IF($K3=$V$6,$X$6,IF($K3=$V$7,$X$7)))))</f>
        <v>Same broad habitat or a higher distinctiveness habitat required (≥)</v>
      </c>
      <c r="N3" s="349" t="s">
        <v>197</v>
      </c>
      <c r="O3" s="349">
        <f t="shared" si="1" ref="O3:O33">VLOOKUP(N3,Difficulty,2,FALSE)</f>
        <v>1</v>
      </c>
      <c r="P3" s="349" t="s">
        <v>197</v>
      </c>
      <c r="Q3" s="349">
        <f t="shared" si="2" ref="Q3:Q33">VLOOKUP(P3,Difficulty,2,FALSE)</f>
        <v>1</v>
      </c>
      <c r="R3" s="280"/>
      <c r="S3" s="349"/>
      <c r="T3" s="347" t="s">
        <v>344</v>
      </c>
      <c r="V3" s="295" t="s">
        <v>649</v>
      </c>
      <c r="W3" s="316">
        <v>8</v>
      </c>
      <c r="X3" s="365" t="s">
        <v>193</v>
      </c>
      <c r="Z3" s="316" t="s">
        <v>44</v>
      </c>
      <c r="AA3" s="316">
        <v>3</v>
      </c>
      <c r="AD3" s="340" t="s">
        <v>348</v>
      </c>
      <c r="AF3" s="316" t="s">
        <v>105</v>
      </c>
      <c r="AG3" s="316" t="s">
        <v>105</v>
      </c>
    </row>
    <row r="4" spans="1:33" ht="14.25" customHeight="1">
      <c r="A4" s="908" t="s">
        <v>650</v>
      </c>
      <c r="B4" s="975" t="s">
        <v>651</v>
      </c>
      <c r="C4" s="316" t="s">
        <v>652</v>
      </c>
      <c r="D4" s="1037" t="s">
        <v>643</v>
      </c>
      <c r="E4" s="316" t="s">
        <v>644</v>
      </c>
      <c r="F4" s="298" t="s">
        <v>105</v>
      </c>
      <c r="G4" s="316" t="s">
        <v>645</v>
      </c>
      <c r="H4" s="397" t="s">
        <v>646</v>
      </c>
      <c r="I4" s="316" t="s">
        <v>647</v>
      </c>
      <c r="J4" s="316" t="s">
        <v>648</v>
      </c>
      <c r="K4" s="316" t="s">
        <v>46</v>
      </c>
      <c r="L4" s="316">
        <f t="shared" si="0"/>
        <v>4</v>
      </c>
      <c r="M4" s="394" t="str">
        <f t="shared" si="3" ref="M4:M73">IF($K4=$V$3,$X$3,IF($K4=$V$4,$X$4,IF($K4=$V$5,$X$5,IF($K4=$V$6,$X$6,IF($K4=$V$7,$X$7)))))</f>
        <v>Same broad habitat or a higher distinctiveness habitat required (≥)</v>
      </c>
      <c r="N4" s="316" t="s">
        <v>197</v>
      </c>
      <c r="O4" s="316">
        <f t="shared" si="1"/>
        <v>1</v>
      </c>
      <c r="P4" s="316" t="s">
        <v>197</v>
      </c>
      <c r="Q4" s="316">
        <f t="shared" si="2"/>
        <v>1</v>
      </c>
      <c r="R4" s="295"/>
      <c r="S4" s="316"/>
      <c r="T4" s="353" t="s">
        <v>344</v>
      </c>
      <c r="V4" s="316" t="s">
        <v>194</v>
      </c>
      <c r="W4" s="316">
        <v>6</v>
      </c>
      <c r="X4" s="365" t="s">
        <v>225</v>
      </c>
      <c r="Z4" s="316" t="s">
        <v>653</v>
      </c>
      <c r="AA4" s="316">
        <v>2.50</v>
      </c>
      <c r="AD4" s="316" t="s">
        <v>344</v>
      </c>
      <c r="AF4" s="316" t="s">
        <v>106</v>
      </c>
      <c r="AG4" s="316" t="s">
        <v>106</v>
      </c>
    </row>
    <row r="5" spans="1:33" ht="14.25" customHeight="1">
      <c r="A5" s="908" t="s">
        <v>654</v>
      </c>
      <c r="B5" s="975" t="s">
        <v>655</v>
      </c>
      <c r="C5" s="316" t="s">
        <v>656</v>
      </c>
      <c r="D5" s="1037" t="s">
        <v>643</v>
      </c>
      <c r="E5" s="316" t="s">
        <v>644</v>
      </c>
      <c r="F5" s="298" t="s">
        <v>105</v>
      </c>
      <c r="G5" s="316" t="s">
        <v>645</v>
      </c>
      <c r="H5" s="397" t="s">
        <v>646</v>
      </c>
      <c r="I5" s="316" t="s">
        <v>647</v>
      </c>
      <c r="J5" s="316" t="s">
        <v>648</v>
      </c>
      <c r="K5" s="316" t="s">
        <v>46</v>
      </c>
      <c r="L5" s="316">
        <f t="shared" si="0"/>
        <v>4</v>
      </c>
      <c r="M5" s="394" t="str">
        <f t="shared" si="3"/>
        <v>Same broad habitat or a higher distinctiveness habitat required (≥)</v>
      </c>
      <c r="N5" s="316" t="s">
        <v>197</v>
      </c>
      <c r="O5" s="316">
        <f t="shared" si="1"/>
        <v>1</v>
      </c>
      <c r="P5" s="316" t="s">
        <v>197</v>
      </c>
      <c r="Q5" s="316">
        <f t="shared" si="2"/>
        <v>1</v>
      </c>
      <c r="R5" s="295"/>
      <c r="S5" s="316"/>
      <c r="T5" s="353" t="s">
        <v>344</v>
      </c>
      <c r="V5" s="316" t="s">
        <v>46</v>
      </c>
      <c r="W5" s="316">
        <v>4</v>
      </c>
      <c r="X5" s="366" t="s">
        <v>196</v>
      </c>
      <c r="Z5" s="316" t="s">
        <v>43</v>
      </c>
      <c r="AA5" s="316">
        <v>2</v>
      </c>
      <c r="AD5" s="316" t="s">
        <v>657</v>
      </c>
      <c r="AF5" s="316" t="s">
        <v>107</v>
      </c>
      <c r="AG5" s="316" t="s">
        <v>658</v>
      </c>
    </row>
    <row r="6" spans="1:33" ht="14.25" customHeight="1">
      <c r="A6" s="908" t="s">
        <v>659</v>
      </c>
      <c r="B6" s="975" t="s">
        <v>660</v>
      </c>
      <c r="C6" s="316" t="s">
        <v>661</v>
      </c>
      <c r="D6" s="1037" t="s">
        <v>643</v>
      </c>
      <c r="E6" s="316" t="s">
        <v>644</v>
      </c>
      <c r="F6" s="298" t="s">
        <v>105</v>
      </c>
      <c r="G6" s="316" t="s">
        <v>645</v>
      </c>
      <c r="H6" s="397" t="s">
        <v>646</v>
      </c>
      <c r="I6" s="316" t="s">
        <v>647</v>
      </c>
      <c r="J6" s="316" t="s">
        <v>648</v>
      </c>
      <c r="K6" s="316" t="s">
        <v>46</v>
      </c>
      <c r="L6" s="316">
        <f t="shared" si="0"/>
        <v>4</v>
      </c>
      <c r="M6" s="394" t="str">
        <f t="shared" si="3"/>
        <v>Same broad habitat or a higher distinctiveness habitat required (≥)</v>
      </c>
      <c r="N6" s="316" t="s">
        <v>197</v>
      </c>
      <c r="O6" s="316">
        <f t="shared" si="1"/>
        <v>1</v>
      </c>
      <c r="P6" s="316" t="s">
        <v>197</v>
      </c>
      <c r="Q6" s="316">
        <f t="shared" si="2"/>
        <v>1</v>
      </c>
      <c r="R6" s="295"/>
      <c r="S6" s="316"/>
      <c r="T6" s="353" t="s">
        <v>344</v>
      </c>
      <c r="V6" s="316" t="s">
        <v>197</v>
      </c>
      <c r="W6" s="316">
        <v>2</v>
      </c>
      <c r="X6" s="367" t="s">
        <v>198</v>
      </c>
      <c r="Z6" s="316" t="s">
        <v>662</v>
      </c>
      <c r="AA6" s="316">
        <v>1.50</v>
      </c>
      <c r="AF6" s="316" t="s">
        <v>108</v>
      </c>
      <c r="AG6" s="316" t="s">
        <v>108</v>
      </c>
    </row>
    <row r="7" spans="1:33" ht="14.25" customHeight="1">
      <c r="A7" s="908" t="s">
        <v>663</v>
      </c>
      <c r="B7" s="975" t="s">
        <v>664</v>
      </c>
      <c r="C7" s="316" t="s">
        <v>665</v>
      </c>
      <c r="D7" s="1037" t="s">
        <v>643</v>
      </c>
      <c r="E7" s="316" t="s">
        <v>644</v>
      </c>
      <c r="F7" s="298" t="s">
        <v>105</v>
      </c>
      <c r="G7" s="316" t="s">
        <v>645</v>
      </c>
      <c r="H7" s="397" t="s">
        <v>646</v>
      </c>
      <c r="I7" s="316" t="s">
        <v>665</v>
      </c>
      <c r="J7" s="316" t="s">
        <v>663</v>
      </c>
      <c r="K7" s="316" t="s">
        <v>197</v>
      </c>
      <c r="L7" s="316">
        <f t="shared" si="0"/>
        <v>2</v>
      </c>
      <c r="M7" s="394" t="str">
        <f t="shared" si="3"/>
        <v>Same distinctiveness or better habitat required ≥</v>
      </c>
      <c r="N7" s="316" t="s">
        <v>197</v>
      </c>
      <c r="O7" s="316">
        <f t="shared" si="1"/>
        <v>1</v>
      </c>
      <c r="P7" s="316" t="s">
        <v>197</v>
      </c>
      <c r="Q7" s="316">
        <f t="shared" si="2"/>
        <v>1</v>
      </c>
      <c r="R7" s="295"/>
      <c r="S7" s="316"/>
      <c r="T7" s="353" t="s">
        <v>344</v>
      </c>
      <c r="V7" s="805" t="s">
        <v>666</v>
      </c>
      <c r="W7" s="805">
        <v>0</v>
      </c>
      <c r="X7" s="817" t="s">
        <v>667</v>
      </c>
      <c r="Z7" s="316" t="s">
        <v>345</v>
      </c>
      <c r="AA7" s="316">
        <v>1</v>
      </c>
      <c r="AF7" s="316" t="s">
        <v>109</v>
      </c>
      <c r="AG7" s="316" t="s">
        <v>668</v>
      </c>
    </row>
    <row r="8" spans="1:33" ht="14.25" customHeight="1">
      <c r="A8" s="908" t="s">
        <v>669</v>
      </c>
      <c r="B8" s="975" t="s">
        <v>670</v>
      </c>
      <c r="C8" s="316" t="s">
        <v>671</v>
      </c>
      <c r="D8" s="1037" t="s">
        <v>643</v>
      </c>
      <c r="E8" s="316" t="s">
        <v>644</v>
      </c>
      <c r="F8" s="298" t="s">
        <v>105</v>
      </c>
      <c r="G8" s="316" t="s">
        <v>645</v>
      </c>
      <c r="H8" s="397" t="s">
        <v>646</v>
      </c>
      <c r="I8" s="316" t="s">
        <v>665</v>
      </c>
      <c r="J8" s="316" t="s">
        <v>663</v>
      </c>
      <c r="K8" s="316" t="s">
        <v>197</v>
      </c>
      <c r="L8" s="316">
        <f t="shared" si="0"/>
        <v>2</v>
      </c>
      <c r="M8" s="394" t="str">
        <f t="shared" si="3"/>
        <v>Same distinctiveness or better habitat required ≥</v>
      </c>
      <c r="N8" s="316" t="s">
        <v>197</v>
      </c>
      <c r="O8" s="316">
        <f t="shared" si="1"/>
        <v>1</v>
      </c>
      <c r="P8" s="316" t="s">
        <v>197</v>
      </c>
      <c r="Q8" s="316">
        <f t="shared" si="2"/>
        <v>1</v>
      </c>
      <c r="R8" s="295"/>
      <c r="S8" s="316"/>
      <c r="T8" s="353" t="s">
        <v>344</v>
      </c>
      <c r="V8" s="812"/>
      <c r="W8" s="812"/>
      <c r="X8" s="815"/>
      <c r="Z8" s="316" t="s">
        <v>445</v>
      </c>
      <c r="AA8" s="316">
        <v>1</v>
      </c>
      <c r="AF8" s="339" t="s">
        <v>110</v>
      </c>
      <c r="AG8" s="339" t="s">
        <v>110</v>
      </c>
    </row>
    <row r="9" spans="1:33" ht="14.25" customHeight="1">
      <c r="A9" s="908" t="s">
        <v>672</v>
      </c>
      <c r="B9" s="975" t="s">
        <v>673</v>
      </c>
      <c r="C9" s="316" t="s">
        <v>674</v>
      </c>
      <c r="D9" s="1037" t="s">
        <v>643</v>
      </c>
      <c r="E9" s="316" t="s">
        <v>644</v>
      </c>
      <c r="F9" s="298" t="s">
        <v>105</v>
      </c>
      <c r="G9" s="316" t="s">
        <v>645</v>
      </c>
      <c r="H9" s="397" t="s">
        <v>646</v>
      </c>
      <c r="I9" s="316" t="s">
        <v>674</v>
      </c>
      <c r="J9" s="316" t="s">
        <v>672</v>
      </c>
      <c r="K9" s="316" t="s">
        <v>197</v>
      </c>
      <c r="L9" s="316">
        <f t="shared" si="4" ref="L9:L49">IF(K9=$V$3,$W$3,IF(K9=$V$3,$W$3,IF(K9=$V$4,$W$4,IF(K9=$V$5,$W$5,IF(K9=$V$6,$W$6,IF(K9=$V$7,$W$7))))))</f>
        <v>2</v>
      </c>
      <c r="M9" s="394" t="str">
        <f t="shared" si="3"/>
        <v>Same distinctiveness or better habitat required ≥</v>
      </c>
      <c r="N9" s="316" t="s">
        <v>197</v>
      </c>
      <c r="O9" s="316">
        <f t="shared" si="1"/>
        <v>1</v>
      </c>
      <c r="P9" s="316" t="s">
        <v>197</v>
      </c>
      <c r="Q9" s="316">
        <f t="shared" si="2"/>
        <v>1</v>
      </c>
      <c r="R9" s="295"/>
      <c r="S9" s="316"/>
      <c r="T9" s="353" t="s">
        <v>344</v>
      </c>
      <c r="V9" s="814" t="s">
        <v>675</v>
      </c>
      <c r="W9" s="813"/>
      <c r="X9" s="816" t="s">
        <v>676</v>
      </c>
      <c r="Z9" s="316" t="s">
        <v>362</v>
      </c>
      <c r="AA9" s="316">
        <v>0</v>
      </c>
      <c r="AF9" s="316" t="s">
        <v>111</v>
      </c>
      <c r="AG9" s="316" t="s">
        <v>111</v>
      </c>
    </row>
    <row r="10" spans="1:33" ht="14.25" customHeight="1">
      <c r="A10" s="908" t="s">
        <v>677</v>
      </c>
      <c r="B10" s="975" t="s">
        <v>678</v>
      </c>
      <c r="C10" s="316" t="s">
        <v>679</v>
      </c>
      <c r="D10" s="1037" t="s">
        <v>643</v>
      </c>
      <c r="E10" s="316" t="s">
        <v>644</v>
      </c>
      <c r="F10" s="298" t="s">
        <v>105</v>
      </c>
      <c r="G10" s="316" t="s">
        <v>645</v>
      </c>
      <c r="H10" s="397" t="s">
        <v>646</v>
      </c>
      <c r="I10" s="316" t="s">
        <v>679</v>
      </c>
      <c r="J10" s="316" t="s">
        <v>677</v>
      </c>
      <c r="K10" s="316" t="s">
        <v>197</v>
      </c>
      <c r="L10" s="316">
        <f t="shared" si="4"/>
        <v>2</v>
      </c>
      <c r="M10" s="394" t="str">
        <f t="shared" si="3"/>
        <v>Same distinctiveness or better habitat required ≥</v>
      </c>
      <c r="N10" s="316" t="s">
        <v>197</v>
      </c>
      <c r="O10" s="316">
        <f t="shared" si="1"/>
        <v>1</v>
      </c>
      <c r="P10" s="316" t="s">
        <v>197</v>
      </c>
      <c r="Q10" s="316">
        <f t="shared" si="2"/>
        <v>1</v>
      </c>
      <c r="R10" s="295"/>
      <c r="S10" s="316"/>
      <c r="T10" s="353" t="s">
        <v>344</v>
      </c>
      <c r="AF10" s="316" t="s">
        <v>112</v>
      </c>
      <c r="AG10" s="316" t="s">
        <v>680</v>
      </c>
    </row>
    <row r="11" spans="1:33" ht="14.25" customHeight="1">
      <c r="A11" s="908" t="s">
        <v>681</v>
      </c>
      <c r="B11" s="975" t="s">
        <v>682</v>
      </c>
      <c r="C11" s="316" t="s">
        <v>683</v>
      </c>
      <c r="D11" s="1037" t="s">
        <v>643</v>
      </c>
      <c r="E11" s="316" t="s">
        <v>644</v>
      </c>
      <c r="F11" s="298" t="s">
        <v>105</v>
      </c>
      <c r="G11" s="316" t="s">
        <v>645</v>
      </c>
      <c r="H11" s="397" t="s">
        <v>646</v>
      </c>
      <c r="I11" s="316" t="s">
        <v>683</v>
      </c>
      <c r="J11" s="316" t="s">
        <v>681</v>
      </c>
      <c r="K11" s="316" t="s">
        <v>197</v>
      </c>
      <c r="L11" s="316">
        <f t="shared" si="4"/>
        <v>2</v>
      </c>
      <c r="M11" s="394" t="str">
        <f t="shared" si="3"/>
        <v>Same distinctiveness or better habitat required ≥</v>
      </c>
      <c r="N11" s="316" t="s">
        <v>197</v>
      </c>
      <c r="O11" s="316">
        <f t="shared" si="1"/>
        <v>1</v>
      </c>
      <c r="P11" s="316" t="s">
        <v>197</v>
      </c>
      <c r="Q11" s="316">
        <f t="shared" si="2"/>
        <v>1</v>
      </c>
      <c r="R11" s="295"/>
      <c r="S11" s="316"/>
      <c r="T11" s="353" t="s">
        <v>344</v>
      </c>
      <c r="AF11" s="316" t="s">
        <v>116</v>
      </c>
      <c r="AG11" s="316" t="s">
        <v>684</v>
      </c>
    </row>
    <row r="12" spans="1:33" ht="14.25" customHeight="1" thickBot="1">
      <c r="A12" s="908" t="s">
        <v>685</v>
      </c>
      <c r="B12" s="976" t="s">
        <v>686</v>
      </c>
      <c r="C12" s="301" t="s">
        <v>687</v>
      </c>
      <c r="D12" s="1039" t="s">
        <v>643</v>
      </c>
      <c r="E12" s="301" t="s">
        <v>644</v>
      </c>
      <c r="F12" s="302" t="s">
        <v>105</v>
      </c>
      <c r="G12" s="301" t="s">
        <v>645</v>
      </c>
      <c r="H12" s="398" t="s">
        <v>646</v>
      </c>
      <c r="I12" s="301" t="s">
        <v>687</v>
      </c>
      <c r="J12" s="301" t="s">
        <v>685</v>
      </c>
      <c r="K12" s="301" t="s">
        <v>197</v>
      </c>
      <c r="L12" s="301">
        <f t="shared" si="4"/>
        <v>2</v>
      </c>
      <c r="M12" s="395" t="str">
        <f t="shared" si="3"/>
        <v>Same distinctiveness or better habitat required ≥</v>
      </c>
      <c r="N12" s="301" t="s">
        <v>197</v>
      </c>
      <c r="O12" s="301">
        <f t="shared" si="1"/>
        <v>1</v>
      </c>
      <c r="P12" s="301" t="s">
        <v>197</v>
      </c>
      <c r="Q12" s="301">
        <f t="shared" si="2"/>
        <v>1</v>
      </c>
      <c r="R12" s="284"/>
      <c r="S12" s="301"/>
      <c r="T12" s="345" t="s">
        <v>344</v>
      </c>
      <c r="AF12" s="316" t="s">
        <v>548</v>
      </c>
      <c r="AG12" s="316" t="s">
        <v>688</v>
      </c>
    </row>
    <row r="13" spans="1:33" ht="14.25" customHeight="1">
      <c r="A13" s="908" t="s">
        <v>689</v>
      </c>
      <c r="B13" s="1064" t="s">
        <v>570</v>
      </c>
      <c r="C13" s="296">
        <v>27</v>
      </c>
      <c r="D13" s="296" t="s">
        <v>643</v>
      </c>
      <c r="E13" s="296" t="s">
        <v>524</v>
      </c>
      <c r="F13" s="283"/>
      <c r="G13" s="296"/>
      <c r="H13" s="1042"/>
      <c r="I13" s="296"/>
      <c r="J13" s="296"/>
      <c r="K13" s="296" t="s">
        <v>194</v>
      </c>
      <c r="L13" s="296">
        <f t="shared" si="4"/>
        <v>6</v>
      </c>
      <c r="M13" s="1043" t="str">
        <f t="shared" si="3"/>
        <v>Same habitat required =</v>
      </c>
      <c r="N13" s="296" t="s">
        <v>197</v>
      </c>
      <c r="O13" s="296">
        <f t="shared" si="1"/>
        <v>1</v>
      </c>
      <c r="P13" s="296" t="s">
        <v>46</v>
      </c>
      <c r="Q13" s="296">
        <f t="shared" si="2"/>
        <v>0.67</v>
      </c>
      <c r="R13" s="283"/>
      <c r="S13" s="296"/>
      <c r="T13" s="377" t="s">
        <v>344</v>
      </c>
      <c r="AF13" s="316" t="s">
        <v>553</v>
      </c>
      <c r="AG13" s="316" t="s">
        <v>690</v>
      </c>
    </row>
    <row r="14" spans="1:33" ht="14.25" customHeight="1">
      <c r="A14" s="908" t="s">
        <v>691</v>
      </c>
      <c r="B14" s="975" t="s">
        <v>692</v>
      </c>
      <c r="C14" s="316" t="s">
        <v>693</v>
      </c>
      <c r="D14" s="316" t="s">
        <v>643</v>
      </c>
      <c r="E14" s="316" t="s">
        <v>694</v>
      </c>
      <c r="F14" s="295" t="s">
        <v>106</v>
      </c>
      <c r="G14" s="316" t="s">
        <v>695</v>
      </c>
      <c r="H14" s="397" t="s">
        <v>696</v>
      </c>
      <c r="I14" s="316" t="s">
        <v>693</v>
      </c>
      <c r="J14" s="316" t="s">
        <v>691</v>
      </c>
      <c r="K14" s="316" t="s">
        <v>197</v>
      </c>
      <c r="L14" s="316">
        <f t="shared" si="4"/>
        <v>2</v>
      </c>
      <c r="M14" s="394" t="str">
        <f t="shared" si="3"/>
        <v>Same distinctiveness or better habitat required ≥</v>
      </c>
      <c r="N14" s="316" t="s">
        <v>197</v>
      </c>
      <c r="O14" s="316">
        <f t="shared" si="1"/>
        <v>1</v>
      </c>
      <c r="P14" s="316" t="s">
        <v>197</v>
      </c>
      <c r="Q14" s="316">
        <f t="shared" si="2"/>
        <v>1</v>
      </c>
      <c r="R14" s="295"/>
      <c r="S14" s="316"/>
      <c r="T14" s="353" t="s">
        <v>344</v>
      </c>
      <c r="AF14" s="316" t="s">
        <v>113</v>
      </c>
      <c r="AG14" s="316" t="s">
        <v>697</v>
      </c>
    </row>
    <row r="15" spans="1:33" ht="14.25" customHeight="1">
      <c r="A15" s="908" t="s">
        <v>698</v>
      </c>
      <c r="B15" s="975" t="s">
        <v>534</v>
      </c>
      <c r="C15" s="316">
        <v>19</v>
      </c>
      <c r="D15" s="316" t="s">
        <v>643</v>
      </c>
      <c r="E15" s="316" t="s">
        <v>524</v>
      </c>
      <c r="F15" s="295"/>
      <c r="G15" s="316"/>
      <c r="H15" s="397"/>
      <c r="I15" s="316"/>
      <c r="J15" s="316"/>
      <c r="K15" s="316" t="s">
        <v>194</v>
      </c>
      <c r="L15" s="316">
        <f t="shared" si="4"/>
        <v>6</v>
      </c>
      <c r="M15" s="394" t="str">
        <f t="shared" si="3"/>
        <v>Same habitat required =</v>
      </c>
      <c r="N15" s="316" t="s">
        <v>194</v>
      </c>
      <c r="O15" s="316">
        <f t="shared" si="1"/>
        <v>0.33</v>
      </c>
      <c r="P15" s="316" t="s">
        <v>46</v>
      </c>
      <c r="Q15" s="316">
        <f t="shared" si="2"/>
        <v>0.67</v>
      </c>
      <c r="R15" s="295"/>
      <c r="S15" s="316"/>
      <c r="T15" s="353" t="s">
        <v>344</v>
      </c>
      <c r="AF15" s="316" t="s">
        <v>117</v>
      </c>
      <c r="AG15" s="316" t="s">
        <v>699</v>
      </c>
    </row>
    <row r="16" spans="1:33" ht="14.25" customHeight="1">
      <c r="A16" s="908" t="s">
        <v>700</v>
      </c>
      <c r="B16" s="975" t="s">
        <v>563</v>
      </c>
      <c r="C16" s="316" t="s">
        <v>701</v>
      </c>
      <c r="D16" s="316" t="s">
        <v>643</v>
      </c>
      <c r="E16" s="316" t="s">
        <v>694</v>
      </c>
      <c r="F16" s="295" t="s">
        <v>106</v>
      </c>
      <c r="G16" s="316" t="s">
        <v>702</v>
      </c>
      <c r="H16" s="397" t="s">
        <v>703</v>
      </c>
      <c r="I16" s="316" t="s">
        <v>701</v>
      </c>
      <c r="J16" s="316" t="s">
        <v>700</v>
      </c>
      <c r="K16" s="316" t="s">
        <v>194</v>
      </c>
      <c r="L16" s="316">
        <f t="shared" si="4"/>
        <v>6</v>
      </c>
      <c r="M16" s="394" t="str">
        <f t="shared" si="3"/>
        <v>Same habitat required =</v>
      </c>
      <c r="N16" s="316" t="s">
        <v>194</v>
      </c>
      <c r="O16" s="316">
        <f t="shared" si="1"/>
        <v>0.33</v>
      </c>
      <c r="P16" s="316" t="s">
        <v>194</v>
      </c>
      <c r="Q16" s="316">
        <f t="shared" si="2"/>
        <v>0.33</v>
      </c>
      <c r="R16" s="295"/>
      <c r="S16" s="316"/>
      <c r="T16" s="353" t="s">
        <v>344</v>
      </c>
      <c r="AF16" s="316" t="s">
        <v>118</v>
      </c>
      <c r="AG16" s="316" t="s">
        <v>704</v>
      </c>
    </row>
    <row r="17" spans="1:33" ht="14.25" customHeight="1">
      <c r="A17" s="908" t="s">
        <v>705</v>
      </c>
      <c r="B17" s="975" t="s">
        <v>706</v>
      </c>
      <c r="C17" s="316" t="s">
        <v>707</v>
      </c>
      <c r="D17" s="316" t="s">
        <v>643</v>
      </c>
      <c r="E17" s="316" t="s">
        <v>694</v>
      </c>
      <c r="F17" s="295" t="s">
        <v>106</v>
      </c>
      <c r="G17" s="316" t="s">
        <v>695</v>
      </c>
      <c r="H17" s="397" t="s">
        <v>696</v>
      </c>
      <c r="I17" s="316" t="s">
        <v>707</v>
      </c>
      <c r="J17" s="316" t="s">
        <v>705</v>
      </c>
      <c r="K17" s="316" t="s">
        <v>649</v>
      </c>
      <c r="L17" s="316">
        <f t="shared" si="4"/>
        <v>8</v>
      </c>
      <c r="M17" s="394" t="str">
        <f t="shared" si="3"/>
        <v>Same habitat required – bespoke compensation option ⚠</v>
      </c>
      <c r="N17" s="316" t="s">
        <v>194</v>
      </c>
      <c r="O17" s="316">
        <f t="shared" si="1"/>
        <v>0.33</v>
      </c>
      <c r="P17" s="316" t="s">
        <v>194</v>
      </c>
      <c r="Q17" s="316">
        <f t="shared" si="2"/>
        <v>0.33</v>
      </c>
      <c r="R17" s="295"/>
      <c r="S17" s="316"/>
      <c r="T17" s="353" t="s">
        <v>344</v>
      </c>
      <c r="AF17" s="316" t="s">
        <v>119</v>
      </c>
      <c r="AG17" s="316" t="s">
        <v>708</v>
      </c>
    </row>
    <row r="18" spans="1:20" ht="14.25" customHeight="1">
      <c r="A18" s="908" t="s">
        <v>709</v>
      </c>
      <c r="B18" s="975" t="s">
        <v>710</v>
      </c>
      <c r="C18" s="316" t="s">
        <v>711</v>
      </c>
      <c r="D18" s="316" t="s">
        <v>643</v>
      </c>
      <c r="E18" s="316" t="s">
        <v>694</v>
      </c>
      <c r="F18" s="295" t="s">
        <v>106</v>
      </c>
      <c r="G18" s="316" t="s">
        <v>712</v>
      </c>
      <c r="H18" s="397" t="s">
        <v>713</v>
      </c>
      <c r="I18" s="316" t="s">
        <v>711</v>
      </c>
      <c r="J18" s="316" t="s">
        <v>709</v>
      </c>
      <c r="K18" s="316" t="s">
        <v>649</v>
      </c>
      <c r="L18" s="316">
        <f t="shared" si="4"/>
        <v>8</v>
      </c>
      <c r="M18" s="394" t="str">
        <f t="shared" si="3"/>
        <v>Same habitat required – bespoke compensation option ⚠</v>
      </c>
      <c r="N18" s="316" t="s">
        <v>194</v>
      </c>
      <c r="O18" s="316">
        <f t="shared" si="1"/>
        <v>0.33</v>
      </c>
      <c r="P18" s="316" t="s">
        <v>46</v>
      </c>
      <c r="Q18" s="316">
        <f t="shared" si="2"/>
        <v>0.67</v>
      </c>
      <c r="R18" s="295"/>
      <c r="S18" s="316"/>
      <c r="T18" s="353" t="s">
        <v>344</v>
      </c>
    </row>
    <row r="19" spans="1:20" ht="14.25" customHeight="1">
      <c r="A19" s="908" t="s">
        <v>343</v>
      </c>
      <c r="B19" s="975" t="s">
        <v>714</v>
      </c>
      <c r="C19" s="316" t="s">
        <v>715</v>
      </c>
      <c r="D19" s="316" t="s">
        <v>643</v>
      </c>
      <c r="E19" s="316" t="s">
        <v>694</v>
      </c>
      <c r="F19" s="295" t="s">
        <v>106</v>
      </c>
      <c r="G19" s="316" t="s">
        <v>715</v>
      </c>
      <c r="H19" s="397" t="s">
        <v>343</v>
      </c>
      <c r="I19" s="295" t="s">
        <v>716</v>
      </c>
      <c r="J19" s="295" t="s">
        <v>343</v>
      </c>
      <c r="K19" s="316" t="s">
        <v>197</v>
      </c>
      <c r="L19" s="316">
        <f t="shared" si="4"/>
        <v>2</v>
      </c>
      <c r="M19" s="394" t="str">
        <f t="shared" si="3"/>
        <v>Same distinctiveness or better habitat required ≥</v>
      </c>
      <c r="N19" s="316" t="s">
        <v>197</v>
      </c>
      <c r="O19" s="316">
        <f t="shared" si="1"/>
        <v>1</v>
      </c>
      <c r="P19" s="316" t="s">
        <v>197</v>
      </c>
      <c r="Q19" s="316">
        <f t="shared" si="2"/>
        <v>1</v>
      </c>
      <c r="R19" s="295"/>
      <c r="S19" s="316"/>
      <c r="T19" s="353" t="s">
        <v>344</v>
      </c>
    </row>
    <row r="20" spans="1:20" ht="14.25" customHeight="1">
      <c r="A20" s="908" t="s">
        <v>717</v>
      </c>
      <c r="B20" s="975" t="s">
        <v>718</v>
      </c>
      <c r="C20" s="316" t="s">
        <v>719</v>
      </c>
      <c r="D20" s="316" t="s">
        <v>643</v>
      </c>
      <c r="E20" s="316" t="s">
        <v>694</v>
      </c>
      <c r="F20" s="295" t="s">
        <v>106</v>
      </c>
      <c r="G20" s="316" t="s">
        <v>695</v>
      </c>
      <c r="H20" s="397" t="s">
        <v>696</v>
      </c>
      <c r="I20" s="316" t="s">
        <v>719</v>
      </c>
      <c r="J20" s="316" t="s">
        <v>717</v>
      </c>
      <c r="K20" s="316" t="s">
        <v>46</v>
      </c>
      <c r="L20" s="316">
        <f t="shared" si="4"/>
        <v>4</v>
      </c>
      <c r="M20" s="394" t="str">
        <f t="shared" si="3"/>
        <v>Same broad habitat or a higher distinctiveness habitat required (≥)</v>
      </c>
      <c r="N20" s="316" t="s">
        <v>197</v>
      </c>
      <c r="O20" s="316">
        <f t="shared" si="1"/>
        <v>1</v>
      </c>
      <c r="P20" s="316" t="s">
        <v>197</v>
      </c>
      <c r="Q20" s="316">
        <f t="shared" si="2"/>
        <v>1</v>
      </c>
      <c r="R20" s="295"/>
      <c r="S20" s="316"/>
      <c r="T20" s="353" t="s">
        <v>344</v>
      </c>
    </row>
    <row r="21" spans="1:20" ht="14.25" customHeight="1">
      <c r="A21" s="908" t="s">
        <v>350</v>
      </c>
      <c r="B21" s="975" t="s">
        <v>720</v>
      </c>
      <c r="C21" s="316" t="s">
        <v>721</v>
      </c>
      <c r="D21" s="316" t="s">
        <v>643</v>
      </c>
      <c r="E21" s="316" t="s">
        <v>694</v>
      </c>
      <c r="F21" s="295" t="s">
        <v>106</v>
      </c>
      <c r="G21" s="316" t="s">
        <v>712</v>
      </c>
      <c r="H21" s="397" t="s">
        <v>713</v>
      </c>
      <c r="I21" s="316" t="s">
        <v>721</v>
      </c>
      <c r="J21" s="316" t="s">
        <v>350</v>
      </c>
      <c r="K21" s="316" t="s">
        <v>46</v>
      </c>
      <c r="L21" s="316">
        <f t="shared" si="4"/>
        <v>4</v>
      </c>
      <c r="M21" s="394" t="str">
        <f t="shared" si="3"/>
        <v>Same broad habitat or a higher distinctiveness habitat required (≥)</v>
      </c>
      <c r="N21" s="316" t="s">
        <v>197</v>
      </c>
      <c r="O21" s="316">
        <f t="shared" si="1"/>
        <v>1</v>
      </c>
      <c r="P21" s="316" t="s">
        <v>197</v>
      </c>
      <c r="Q21" s="316">
        <f t="shared" si="2"/>
        <v>1</v>
      </c>
      <c r="R21" s="295"/>
      <c r="S21" s="316"/>
      <c r="T21" s="353" t="s">
        <v>344</v>
      </c>
    </row>
    <row r="22" spans="1:20" ht="14.25" customHeight="1">
      <c r="A22" s="908" t="s">
        <v>722</v>
      </c>
      <c r="B22" s="975" t="s">
        <v>564</v>
      </c>
      <c r="C22" s="316" t="s">
        <v>723</v>
      </c>
      <c r="D22" s="316" t="s">
        <v>643</v>
      </c>
      <c r="E22" s="316" t="s">
        <v>724</v>
      </c>
      <c r="F22" s="295" t="s">
        <v>109</v>
      </c>
      <c r="G22" s="316" t="s">
        <v>725</v>
      </c>
      <c r="H22" s="397" t="s">
        <v>726</v>
      </c>
      <c r="I22" s="295" t="s">
        <v>727</v>
      </c>
      <c r="J22" s="316" t="s">
        <v>728</v>
      </c>
      <c r="K22" s="316" t="s">
        <v>194</v>
      </c>
      <c r="L22" s="316">
        <f t="shared" si="4"/>
        <v>6</v>
      </c>
      <c r="M22" s="394" t="str">
        <f t="shared" si="3"/>
        <v>Same habitat required =</v>
      </c>
      <c r="N22" s="316" t="s">
        <v>194</v>
      </c>
      <c r="O22" s="316">
        <f t="shared" si="1"/>
        <v>0.33</v>
      </c>
      <c r="P22" s="316" t="s">
        <v>194</v>
      </c>
      <c r="Q22" s="316">
        <f t="shared" si="2"/>
        <v>0.33</v>
      </c>
      <c r="R22" s="295"/>
      <c r="S22" s="316"/>
      <c r="T22" s="353" t="s">
        <v>344</v>
      </c>
    </row>
    <row r="23" spans="1:33" ht="14.25" customHeight="1">
      <c r="A23" s="908" t="s">
        <v>729</v>
      </c>
      <c r="B23" s="975" t="s">
        <v>730</v>
      </c>
      <c r="C23" s="316" t="s">
        <v>731</v>
      </c>
      <c r="D23" s="316" t="s">
        <v>643</v>
      </c>
      <c r="E23" s="316" t="s">
        <v>694</v>
      </c>
      <c r="F23" s="295" t="s">
        <v>106</v>
      </c>
      <c r="G23" s="316" t="s">
        <v>695</v>
      </c>
      <c r="H23" s="397" t="s">
        <v>696</v>
      </c>
      <c r="I23" s="316" t="s">
        <v>731</v>
      </c>
      <c r="J23" s="316" t="s">
        <v>729</v>
      </c>
      <c r="K23" s="316" t="s">
        <v>46</v>
      </c>
      <c r="L23" s="316">
        <f t="shared" si="4"/>
        <v>4</v>
      </c>
      <c r="M23" s="394" t="str">
        <f t="shared" si="3"/>
        <v>Same broad habitat or a higher distinctiveness habitat required (≥)</v>
      </c>
      <c r="N23" s="316" t="s">
        <v>197</v>
      </c>
      <c r="O23" s="316">
        <f t="shared" si="1"/>
        <v>1</v>
      </c>
      <c r="P23" s="316" t="s">
        <v>197</v>
      </c>
      <c r="Q23" s="316">
        <f t="shared" si="2"/>
        <v>1</v>
      </c>
      <c r="R23" s="295"/>
      <c r="S23" s="316"/>
      <c r="T23" s="353" t="s">
        <v>344</v>
      </c>
      <c r="AF23" s="1773" t="s">
        <v>732</v>
      </c>
      <c r="AG23" s="1773"/>
    </row>
    <row r="24" spans="1:33" ht="14.25" customHeight="1">
      <c r="A24" s="908" t="s">
        <v>733</v>
      </c>
      <c r="B24" s="975" t="s">
        <v>565</v>
      </c>
      <c r="C24" s="316" t="s">
        <v>734</v>
      </c>
      <c r="D24" s="316" t="s">
        <v>643</v>
      </c>
      <c r="E24" s="316" t="s">
        <v>694</v>
      </c>
      <c r="F24" s="295" t="s">
        <v>106</v>
      </c>
      <c r="G24" s="316" t="s">
        <v>702</v>
      </c>
      <c r="H24" s="397" t="s">
        <v>703</v>
      </c>
      <c r="I24" s="316" t="s">
        <v>734</v>
      </c>
      <c r="J24" s="316" t="s">
        <v>733</v>
      </c>
      <c r="K24" s="316" t="s">
        <v>194</v>
      </c>
      <c r="L24" s="316">
        <f t="shared" si="4"/>
        <v>6</v>
      </c>
      <c r="M24" s="394" t="str">
        <f t="shared" si="3"/>
        <v>Same habitat required =</v>
      </c>
      <c r="N24" s="316" t="s">
        <v>194</v>
      </c>
      <c r="O24" s="316">
        <f t="shared" si="1"/>
        <v>0.33</v>
      </c>
      <c r="P24" s="316" t="s">
        <v>194</v>
      </c>
      <c r="Q24" s="316">
        <f t="shared" si="2"/>
        <v>0.33</v>
      </c>
      <c r="R24" s="295"/>
      <c r="S24" s="316"/>
      <c r="T24" s="353" t="s">
        <v>344</v>
      </c>
      <c r="AF24" s="1773"/>
      <c r="AG24" s="1773"/>
    </row>
    <row r="25" spans="1:33" ht="14.25" customHeight="1" thickBot="1">
      <c r="A25" s="908" t="s">
        <v>735</v>
      </c>
      <c r="B25" s="1065" t="s">
        <v>736</v>
      </c>
      <c r="C25" s="805" t="s">
        <v>737</v>
      </c>
      <c r="D25" s="805" t="s">
        <v>643</v>
      </c>
      <c r="E25" s="805" t="s">
        <v>694</v>
      </c>
      <c r="F25" s="308" t="s">
        <v>106</v>
      </c>
      <c r="G25" s="805" t="s">
        <v>712</v>
      </c>
      <c r="H25" s="415" t="s">
        <v>713</v>
      </c>
      <c r="I25" s="805" t="s">
        <v>737</v>
      </c>
      <c r="J25" s="805" t="s">
        <v>735</v>
      </c>
      <c r="K25" s="805" t="s">
        <v>649</v>
      </c>
      <c r="L25" s="805">
        <f t="shared" si="4"/>
        <v>8</v>
      </c>
      <c r="M25" s="416" t="str">
        <f t="shared" si="3"/>
        <v>Same habitat required – bespoke compensation option ⚠</v>
      </c>
      <c r="N25" s="805" t="s">
        <v>194</v>
      </c>
      <c r="O25" s="805">
        <f t="shared" si="1"/>
        <v>0.33</v>
      </c>
      <c r="P25" s="805" t="s">
        <v>46</v>
      </c>
      <c r="Q25" s="805">
        <f t="shared" si="2"/>
        <v>0.67</v>
      </c>
      <c r="R25" s="308"/>
      <c r="S25" s="805"/>
      <c r="T25" s="1041" t="s">
        <v>344</v>
      </c>
      <c r="AF25" s="1753" t="s">
        <v>615</v>
      </c>
      <c r="AG25" s="1753" t="s">
        <v>616</v>
      </c>
    </row>
    <row r="26" spans="1:33" ht="14.25" customHeight="1">
      <c r="A26" s="908" t="s">
        <v>738</v>
      </c>
      <c r="B26" s="1063" t="s">
        <v>739</v>
      </c>
      <c r="C26" s="349" t="s">
        <v>740</v>
      </c>
      <c r="D26" s="1036" t="s">
        <v>643</v>
      </c>
      <c r="E26" s="349" t="s">
        <v>741</v>
      </c>
      <c r="F26" s="568" t="s">
        <v>107</v>
      </c>
      <c r="G26" s="349" t="s">
        <v>742</v>
      </c>
      <c r="H26" s="782" t="s">
        <v>743</v>
      </c>
      <c r="I26" s="349" t="s">
        <v>740</v>
      </c>
      <c r="J26" s="349" t="s">
        <v>738</v>
      </c>
      <c r="K26" s="349" t="s">
        <v>46</v>
      </c>
      <c r="L26" s="349">
        <f t="shared" si="4"/>
        <v>4</v>
      </c>
      <c r="M26" s="783" t="str">
        <f t="shared" si="3"/>
        <v>Same broad habitat or a higher distinctiveness habitat required (≥)</v>
      </c>
      <c r="N26" s="349" t="s">
        <v>197</v>
      </c>
      <c r="O26" s="349">
        <f t="shared" si="1"/>
        <v>1</v>
      </c>
      <c r="P26" s="349" t="s">
        <v>197</v>
      </c>
      <c r="Q26" s="349">
        <f t="shared" si="2"/>
        <v>1</v>
      </c>
      <c r="R26" s="280"/>
      <c r="S26" s="349"/>
      <c r="T26" s="347" t="s">
        <v>344</v>
      </c>
      <c r="AF26" s="1876"/>
      <c r="AG26" s="1876"/>
    </row>
    <row r="27" spans="1:33" ht="14.25" customHeight="1">
      <c r="A27" s="908" t="s">
        <v>744</v>
      </c>
      <c r="B27" s="975" t="s">
        <v>745</v>
      </c>
      <c r="C27" s="316" t="s">
        <v>746</v>
      </c>
      <c r="D27" s="1037" t="s">
        <v>643</v>
      </c>
      <c r="E27" s="316" t="s">
        <v>741</v>
      </c>
      <c r="F27" s="298" t="s">
        <v>107</v>
      </c>
      <c r="G27" s="316" t="s">
        <v>742</v>
      </c>
      <c r="H27" s="397" t="s">
        <v>743</v>
      </c>
      <c r="I27" s="316" t="s">
        <v>746</v>
      </c>
      <c r="J27" s="316" t="s">
        <v>744</v>
      </c>
      <c r="K27" s="316" t="s">
        <v>46</v>
      </c>
      <c r="L27" s="316">
        <f t="shared" si="4"/>
        <v>4</v>
      </c>
      <c r="M27" s="394" t="str">
        <f t="shared" si="3"/>
        <v>Same broad habitat or a higher distinctiveness habitat required (≥)</v>
      </c>
      <c r="N27" s="316" t="s">
        <v>197</v>
      </c>
      <c r="O27" s="316">
        <f t="shared" si="1"/>
        <v>1</v>
      </c>
      <c r="P27" s="316" t="s">
        <v>197</v>
      </c>
      <c r="Q27" s="316">
        <f t="shared" si="2"/>
        <v>1</v>
      </c>
      <c r="R27" s="295"/>
      <c r="S27" s="316"/>
      <c r="T27" s="353" t="s">
        <v>344</v>
      </c>
      <c r="AF27" s="316" t="s">
        <v>105</v>
      </c>
      <c r="AG27" s="316" t="s">
        <v>105</v>
      </c>
    </row>
    <row r="28" spans="1:33" ht="14.25" customHeight="1">
      <c r="A28" s="908" t="s">
        <v>747</v>
      </c>
      <c r="B28" s="975" t="s">
        <v>748</v>
      </c>
      <c r="C28" s="316" t="s">
        <v>749</v>
      </c>
      <c r="D28" s="1037" t="s">
        <v>643</v>
      </c>
      <c r="E28" s="316" t="s">
        <v>741</v>
      </c>
      <c r="F28" s="298" t="s">
        <v>107</v>
      </c>
      <c r="G28" s="316" t="s">
        <v>742</v>
      </c>
      <c r="H28" s="397" t="s">
        <v>743</v>
      </c>
      <c r="I28" s="316" t="s">
        <v>749</v>
      </c>
      <c r="J28" s="316" t="s">
        <v>747</v>
      </c>
      <c r="K28" s="316" t="s">
        <v>46</v>
      </c>
      <c r="L28" s="316">
        <f t="shared" si="4"/>
        <v>4</v>
      </c>
      <c r="M28" s="394" t="str">
        <f t="shared" si="3"/>
        <v>Same broad habitat or a higher distinctiveness habitat required (≥)</v>
      </c>
      <c r="N28" s="316" t="s">
        <v>197</v>
      </c>
      <c r="O28" s="316">
        <f t="shared" si="1"/>
        <v>1</v>
      </c>
      <c r="P28" s="316" t="s">
        <v>197</v>
      </c>
      <c r="Q28" s="316">
        <f t="shared" si="2"/>
        <v>1</v>
      </c>
      <c r="R28" s="295"/>
      <c r="S28" s="316"/>
      <c r="T28" s="353" t="s">
        <v>344</v>
      </c>
      <c r="AF28" s="316" t="s">
        <v>106</v>
      </c>
      <c r="AG28" s="316" t="s">
        <v>106</v>
      </c>
    </row>
    <row r="29" spans="1:33" ht="14.25" customHeight="1">
      <c r="A29" s="908" t="s">
        <v>750</v>
      </c>
      <c r="B29" s="975" t="s">
        <v>751</v>
      </c>
      <c r="C29" s="316" t="s">
        <v>752</v>
      </c>
      <c r="D29" s="1037" t="s">
        <v>643</v>
      </c>
      <c r="E29" s="316" t="s">
        <v>741</v>
      </c>
      <c r="F29" s="298" t="s">
        <v>107</v>
      </c>
      <c r="G29" s="316" t="s">
        <v>742</v>
      </c>
      <c r="H29" s="397" t="s">
        <v>743</v>
      </c>
      <c r="I29" s="316" t="s">
        <v>752</v>
      </c>
      <c r="J29" s="316" t="s">
        <v>750</v>
      </c>
      <c r="K29" s="316" t="s">
        <v>46</v>
      </c>
      <c r="L29" s="316">
        <f t="shared" si="4"/>
        <v>4</v>
      </c>
      <c r="M29" s="394" t="str">
        <f t="shared" si="3"/>
        <v>Same broad habitat or a higher distinctiveness habitat required (≥)</v>
      </c>
      <c r="N29" s="316" t="s">
        <v>197</v>
      </c>
      <c r="O29" s="316">
        <f t="shared" si="1"/>
        <v>1</v>
      </c>
      <c r="P29" s="316" t="s">
        <v>197</v>
      </c>
      <c r="Q29" s="316">
        <f t="shared" si="2"/>
        <v>1</v>
      </c>
      <c r="R29" s="295"/>
      <c r="S29" s="316"/>
      <c r="T29" s="353" t="s">
        <v>344</v>
      </c>
      <c r="AF29" s="316" t="s">
        <v>107</v>
      </c>
      <c r="AG29" s="316" t="s">
        <v>658</v>
      </c>
    </row>
    <row r="30" spans="1:33" ht="14.25" customHeight="1">
      <c r="A30" s="908" t="s">
        <v>753</v>
      </c>
      <c r="B30" s="975" t="s">
        <v>754</v>
      </c>
      <c r="C30" s="316" t="s">
        <v>755</v>
      </c>
      <c r="D30" s="1037" t="s">
        <v>643</v>
      </c>
      <c r="E30" s="316" t="s">
        <v>741</v>
      </c>
      <c r="F30" s="298" t="s">
        <v>107</v>
      </c>
      <c r="G30" s="316" t="s">
        <v>742</v>
      </c>
      <c r="H30" s="397" t="s">
        <v>743</v>
      </c>
      <c r="I30" s="316" t="s">
        <v>755</v>
      </c>
      <c r="J30" s="316" t="s">
        <v>753</v>
      </c>
      <c r="K30" s="316" t="s">
        <v>46</v>
      </c>
      <c r="L30" s="316">
        <f t="shared" si="4"/>
        <v>4</v>
      </c>
      <c r="M30" s="394" t="str">
        <f t="shared" si="3"/>
        <v>Same broad habitat or a higher distinctiveness habitat required (≥)</v>
      </c>
      <c r="N30" s="316" t="s">
        <v>46</v>
      </c>
      <c r="O30" s="316">
        <f t="shared" si="1"/>
        <v>0.67</v>
      </c>
      <c r="P30" s="316" t="s">
        <v>197</v>
      </c>
      <c r="Q30" s="316">
        <f t="shared" si="2"/>
        <v>1</v>
      </c>
      <c r="R30" s="295"/>
      <c r="S30" s="316"/>
      <c r="T30" s="353" t="s">
        <v>344</v>
      </c>
      <c r="AF30" s="316" t="s">
        <v>108</v>
      </c>
      <c r="AG30" s="316" t="s">
        <v>108</v>
      </c>
    </row>
    <row r="31" spans="1:33" ht="14.25" customHeight="1">
      <c r="A31" s="908" t="s">
        <v>756</v>
      </c>
      <c r="B31" s="975" t="s">
        <v>757</v>
      </c>
      <c r="C31" s="316" t="s">
        <v>758</v>
      </c>
      <c r="D31" s="1037" t="s">
        <v>643</v>
      </c>
      <c r="E31" s="316" t="s">
        <v>741</v>
      </c>
      <c r="F31" s="298" t="s">
        <v>107</v>
      </c>
      <c r="G31" s="316" t="s">
        <v>759</v>
      </c>
      <c r="H31" s="397" t="s">
        <v>760</v>
      </c>
      <c r="I31" s="316" t="s">
        <v>758</v>
      </c>
      <c r="J31" s="316" t="s">
        <v>756</v>
      </c>
      <c r="K31" s="316" t="s">
        <v>194</v>
      </c>
      <c r="L31" s="316">
        <f t="shared" si="4"/>
        <v>6</v>
      </c>
      <c r="M31" s="394" t="str">
        <f t="shared" si="3"/>
        <v>Same habitat required =</v>
      </c>
      <c r="N31" s="316" t="s">
        <v>194</v>
      </c>
      <c r="O31" s="316">
        <f t="shared" si="1"/>
        <v>0.33</v>
      </c>
      <c r="P31" s="316" t="s">
        <v>46</v>
      </c>
      <c r="Q31" s="316">
        <f t="shared" si="2"/>
        <v>0.67</v>
      </c>
      <c r="R31" s="295"/>
      <c r="S31" s="316"/>
      <c r="T31" s="353" t="s">
        <v>344</v>
      </c>
      <c r="AF31" s="316" t="s">
        <v>109</v>
      </c>
      <c r="AG31" s="316" t="s">
        <v>668</v>
      </c>
    </row>
    <row r="32" spans="1:33" ht="14.25" customHeight="1">
      <c r="A32" s="908" t="s">
        <v>761</v>
      </c>
      <c r="B32" s="975" t="s">
        <v>762</v>
      </c>
      <c r="C32" s="316" t="s">
        <v>763</v>
      </c>
      <c r="D32" s="1037" t="s">
        <v>643</v>
      </c>
      <c r="E32" s="316" t="s">
        <v>741</v>
      </c>
      <c r="F32" s="298" t="s">
        <v>107</v>
      </c>
      <c r="G32" s="316" t="s">
        <v>742</v>
      </c>
      <c r="H32" s="397" t="s">
        <v>743</v>
      </c>
      <c r="I32" s="316" t="s">
        <v>763</v>
      </c>
      <c r="J32" s="316" t="s">
        <v>761</v>
      </c>
      <c r="K32" s="316" t="s">
        <v>46</v>
      </c>
      <c r="L32" s="316">
        <f t="shared" si="4"/>
        <v>4</v>
      </c>
      <c r="M32" s="394" t="str">
        <f t="shared" si="3"/>
        <v>Same broad habitat or a higher distinctiveness habitat required (≥)</v>
      </c>
      <c r="N32" s="316" t="s">
        <v>197</v>
      </c>
      <c r="O32" s="316">
        <f t="shared" si="1"/>
        <v>1</v>
      </c>
      <c r="P32" s="316" t="s">
        <v>197</v>
      </c>
      <c r="Q32" s="316">
        <f t="shared" si="2"/>
        <v>1</v>
      </c>
      <c r="R32" s="295"/>
      <c r="S32" s="316"/>
      <c r="T32" s="353" t="s">
        <v>344</v>
      </c>
      <c r="AF32" s="339" t="s">
        <v>110</v>
      </c>
      <c r="AG32" s="339" t="s">
        <v>110</v>
      </c>
    </row>
    <row r="33" spans="1:33" ht="14.25" customHeight="1">
      <c r="A33" s="908" t="s">
        <v>764</v>
      </c>
      <c r="B33" s="975" t="s">
        <v>765</v>
      </c>
      <c r="C33" s="316" t="s">
        <v>766</v>
      </c>
      <c r="D33" s="1037" t="s">
        <v>643</v>
      </c>
      <c r="E33" s="316" t="s">
        <v>741</v>
      </c>
      <c r="F33" s="298" t="s">
        <v>107</v>
      </c>
      <c r="G33" s="316" t="s">
        <v>759</v>
      </c>
      <c r="H33" s="397" t="s">
        <v>760</v>
      </c>
      <c r="I33" s="316" t="s">
        <v>766</v>
      </c>
      <c r="J33" s="316" t="s">
        <v>764</v>
      </c>
      <c r="K33" s="316" t="s">
        <v>649</v>
      </c>
      <c r="L33" s="316">
        <f t="shared" si="4"/>
        <v>8</v>
      </c>
      <c r="M33" s="394" t="str">
        <f t="shared" si="3"/>
        <v>Same habitat required – bespoke compensation option ⚠</v>
      </c>
      <c r="N33" s="316" t="s">
        <v>194</v>
      </c>
      <c r="O33" s="316">
        <f t="shared" si="1"/>
        <v>0.33</v>
      </c>
      <c r="P33" s="316" t="s">
        <v>194</v>
      </c>
      <c r="Q33" s="316">
        <f t="shared" si="2"/>
        <v>0.33</v>
      </c>
      <c r="R33" s="295"/>
      <c r="S33" s="316"/>
      <c r="T33" s="353" t="s">
        <v>344</v>
      </c>
      <c r="AF33" s="316" t="s">
        <v>111</v>
      </c>
      <c r="AG33" s="316" t="s">
        <v>111</v>
      </c>
    </row>
    <row r="34" spans="1:33" ht="14.25" customHeight="1">
      <c r="A34" s="908" t="s">
        <v>767</v>
      </c>
      <c r="B34" s="975" t="s">
        <v>768</v>
      </c>
      <c r="C34" s="316" t="s">
        <v>769</v>
      </c>
      <c r="D34" s="1037" t="s">
        <v>643</v>
      </c>
      <c r="E34" s="316" t="s">
        <v>741</v>
      </c>
      <c r="F34" s="298" t="s">
        <v>107</v>
      </c>
      <c r="G34" s="316" t="s">
        <v>742</v>
      </c>
      <c r="H34" s="397" t="s">
        <v>743</v>
      </c>
      <c r="I34" s="316" t="s">
        <v>769</v>
      </c>
      <c r="J34" s="316" t="s">
        <v>767</v>
      </c>
      <c r="K34" s="316" t="s">
        <v>197</v>
      </c>
      <c r="L34" s="316">
        <f t="shared" si="4"/>
        <v>2</v>
      </c>
      <c r="M34" s="394" t="str">
        <f t="shared" si="3"/>
        <v>Same distinctiveness or better habitat required ≥</v>
      </c>
      <c r="N34" s="316" t="s">
        <v>197</v>
      </c>
      <c r="O34" s="316">
        <f t="shared" si="5" ref="O34:O66">VLOOKUP(N34,Difficulty,2,FALSE)</f>
        <v>1</v>
      </c>
      <c r="P34" s="316" t="s">
        <v>197</v>
      </c>
      <c r="Q34" s="316">
        <f t="shared" si="6" ref="Q34:Q66">VLOOKUP(P34,Difficulty,2,FALSE)</f>
        <v>1</v>
      </c>
      <c r="R34" s="295"/>
      <c r="S34" s="316"/>
      <c r="T34" s="353" t="s">
        <v>344</v>
      </c>
      <c r="AF34" s="316" t="s">
        <v>112</v>
      </c>
      <c r="AG34" s="316" t="s">
        <v>770</v>
      </c>
    </row>
    <row r="35" spans="1:33" ht="14.15" customHeight="1">
      <c r="A35" s="908" t="s">
        <v>771</v>
      </c>
      <c r="B35" s="975" t="s">
        <v>567</v>
      </c>
      <c r="C35" s="316" t="s">
        <v>772</v>
      </c>
      <c r="D35" s="1037" t="s">
        <v>643</v>
      </c>
      <c r="E35" s="316" t="s">
        <v>741</v>
      </c>
      <c r="F35" s="298" t="s">
        <v>107</v>
      </c>
      <c r="G35" s="316" t="s">
        <v>742</v>
      </c>
      <c r="H35" s="397" t="s">
        <v>743</v>
      </c>
      <c r="I35" s="316" t="s">
        <v>773</v>
      </c>
      <c r="J35" s="316" t="s">
        <v>774</v>
      </c>
      <c r="K35" s="316" t="s">
        <v>194</v>
      </c>
      <c r="L35" s="316">
        <f t="shared" si="4"/>
        <v>6</v>
      </c>
      <c r="M35" s="394" t="str">
        <f t="shared" si="3"/>
        <v>Same habitat required =</v>
      </c>
      <c r="N35" s="316" t="s">
        <v>46</v>
      </c>
      <c r="O35" s="316">
        <f t="shared" si="5"/>
        <v>0.67</v>
      </c>
      <c r="P35" s="316" t="s">
        <v>197</v>
      </c>
      <c r="Q35" s="316">
        <f t="shared" si="6"/>
        <v>1</v>
      </c>
      <c r="R35" s="295"/>
      <c r="S35" s="316"/>
      <c r="T35" s="353" t="s">
        <v>344</v>
      </c>
      <c r="AF35" s="316" t="s">
        <v>116</v>
      </c>
      <c r="AG35" s="316" t="s">
        <v>684</v>
      </c>
    </row>
    <row r="36" spans="1:33" ht="14.25" customHeight="1">
      <c r="A36" s="908" t="s">
        <v>775</v>
      </c>
      <c r="B36" s="975" t="s">
        <v>776</v>
      </c>
      <c r="C36" s="316" t="s">
        <v>777</v>
      </c>
      <c r="D36" s="1037" t="s">
        <v>643</v>
      </c>
      <c r="E36" s="316" t="s">
        <v>741</v>
      </c>
      <c r="F36" s="298" t="s">
        <v>107</v>
      </c>
      <c r="G36" s="316" t="s">
        <v>742</v>
      </c>
      <c r="H36" s="397" t="s">
        <v>743</v>
      </c>
      <c r="I36" s="316" t="s">
        <v>773</v>
      </c>
      <c r="J36" s="316" t="s">
        <v>774</v>
      </c>
      <c r="K36" s="316" t="s">
        <v>197</v>
      </c>
      <c r="L36" s="316">
        <f>IF(K36=$V$3,$W$3,IF(K36=$V$3,$W$3,IF(K36=$V$4,$W$4,IF(K36=$V$5,$W$5,IF(K36=$V$6,$W$6,IF(K36=$V$7,$W$7))))))</f>
        <v>2</v>
      </c>
      <c r="M36" s="394" t="str">
        <f t="shared" si="3"/>
        <v>Same distinctiveness or better habitat required ≥</v>
      </c>
      <c r="N36" s="316" t="s">
        <v>197</v>
      </c>
      <c r="O36" s="316">
        <f t="shared" si="5"/>
        <v>1</v>
      </c>
      <c r="P36" s="316" t="s">
        <v>197</v>
      </c>
      <c r="Q36" s="316">
        <f t="shared" si="6"/>
        <v>1</v>
      </c>
      <c r="R36" s="295"/>
      <c r="S36" s="316"/>
      <c r="T36" s="353" t="s">
        <v>344</v>
      </c>
      <c r="AF36" s="316" t="s">
        <v>548</v>
      </c>
      <c r="AG36" s="316" t="s">
        <v>688</v>
      </c>
    </row>
    <row r="37" spans="1:33" ht="14.25" customHeight="1">
      <c r="A37" s="908" t="s">
        <v>778</v>
      </c>
      <c r="B37" s="1065" t="s">
        <v>779</v>
      </c>
      <c r="C37" s="805" t="s">
        <v>780</v>
      </c>
      <c r="D37" s="1038" t="s">
        <v>643</v>
      </c>
      <c r="E37" s="316" t="s">
        <v>741</v>
      </c>
      <c r="F37" s="1040" t="s">
        <v>107</v>
      </c>
      <c r="G37" s="805" t="s">
        <v>742</v>
      </c>
      <c r="H37" s="415" t="s">
        <v>743</v>
      </c>
      <c r="I37" s="805" t="s">
        <v>780</v>
      </c>
      <c r="J37" s="805" t="s">
        <v>778</v>
      </c>
      <c r="K37" s="805" t="s">
        <v>46</v>
      </c>
      <c r="L37" s="805">
        <v>4</v>
      </c>
      <c r="M37" s="416" t="s">
        <v>196</v>
      </c>
      <c r="N37" s="805" t="s">
        <v>46</v>
      </c>
      <c r="O37" s="805">
        <v>0.67</v>
      </c>
      <c r="P37" s="805" t="s">
        <v>197</v>
      </c>
      <c r="Q37" s="805">
        <v>1</v>
      </c>
      <c r="R37" s="308"/>
      <c r="S37" s="805"/>
      <c r="T37" s="353" t="s">
        <v>344</v>
      </c>
      <c r="AF37" s="316" t="s">
        <v>553</v>
      </c>
      <c r="AG37" s="316" t="s">
        <v>690</v>
      </c>
    </row>
    <row r="38" spans="1:33" ht="14.25" customHeight="1" thickBot="1">
      <c r="A38" s="908" t="s">
        <v>781</v>
      </c>
      <c r="B38" s="1065" t="s">
        <v>568</v>
      </c>
      <c r="C38" s="805" t="s">
        <v>782</v>
      </c>
      <c r="D38" s="1038" t="s">
        <v>643</v>
      </c>
      <c r="E38" s="805" t="s">
        <v>741</v>
      </c>
      <c r="F38" s="1040" t="s">
        <v>107</v>
      </c>
      <c r="G38" s="805" t="s">
        <v>759</v>
      </c>
      <c r="H38" s="415" t="s">
        <v>760</v>
      </c>
      <c r="I38" s="805" t="s">
        <v>782</v>
      </c>
      <c r="J38" s="805" t="s">
        <v>781</v>
      </c>
      <c r="K38" s="805" t="s">
        <v>194</v>
      </c>
      <c r="L38" s="805">
        <f t="shared" si="4"/>
        <v>6</v>
      </c>
      <c r="M38" s="416" t="str">
        <f t="shared" si="3"/>
        <v>Same habitat required =</v>
      </c>
      <c r="N38" s="805" t="s">
        <v>46</v>
      </c>
      <c r="O38" s="805">
        <f t="shared" si="5"/>
        <v>0.67</v>
      </c>
      <c r="P38" s="805" t="s">
        <v>46</v>
      </c>
      <c r="Q38" s="805">
        <f t="shared" si="6"/>
        <v>0.67</v>
      </c>
      <c r="R38" s="308"/>
      <c r="S38" s="805"/>
      <c r="T38" s="1041" t="s">
        <v>344</v>
      </c>
      <c r="AF38" s="316" t="s">
        <v>113</v>
      </c>
      <c r="AG38" s="316" t="s">
        <v>697</v>
      </c>
    </row>
    <row r="39" spans="1:33" ht="14.25" customHeight="1">
      <c r="A39" s="908" t="s">
        <v>783</v>
      </c>
      <c r="B39" s="1063" t="s">
        <v>784</v>
      </c>
      <c r="C39" s="349" t="s">
        <v>785</v>
      </c>
      <c r="D39" s="349" t="s">
        <v>786</v>
      </c>
      <c r="E39" s="349" t="s">
        <v>787</v>
      </c>
      <c r="F39" s="280" t="s">
        <v>788</v>
      </c>
      <c r="G39" s="349" t="s">
        <v>789</v>
      </c>
      <c r="H39" s="782" t="s">
        <v>790</v>
      </c>
      <c r="I39" s="349" t="s">
        <v>785</v>
      </c>
      <c r="J39" s="349" t="s">
        <v>783</v>
      </c>
      <c r="K39" s="349" t="s">
        <v>649</v>
      </c>
      <c r="L39" s="349">
        <f t="shared" si="4"/>
        <v>8</v>
      </c>
      <c r="M39" s="783" t="str">
        <f t="shared" si="3"/>
        <v>Same habitat required – bespoke compensation option ⚠</v>
      </c>
      <c r="N39" s="349" t="s">
        <v>192</v>
      </c>
      <c r="O39" s="349">
        <f t="shared" si="5"/>
        <v>0.10</v>
      </c>
      <c r="P39" s="349" t="s">
        <v>194</v>
      </c>
      <c r="Q39" s="349">
        <f t="shared" si="6"/>
        <v>0.33</v>
      </c>
      <c r="R39" s="280"/>
      <c r="S39" s="349"/>
      <c r="T39" s="347" t="s">
        <v>344</v>
      </c>
      <c r="AF39" s="316" t="s">
        <v>117</v>
      </c>
      <c r="AG39" s="316" t="s">
        <v>699</v>
      </c>
    </row>
    <row r="40" spans="1:33" ht="14.25" customHeight="1">
      <c r="A40" s="908" t="s">
        <v>791</v>
      </c>
      <c r="B40" s="975" t="s">
        <v>792</v>
      </c>
      <c r="C40" s="316">
        <v>46</v>
      </c>
      <c r="D40" s="316" t="s">
        <v>786</v>
      </c>
      <c r="E40" s="316" t="s">
        <v>787</v>
      </c>
      <c r="F40" s="283" t="s">
        <v>788</v>
      </c>
      <c r="G40" s="316" t="s">
        <v>789</v>
      </c>
      <c r="H40" s="1042" t="s">
        <v>790</v>
      </c>
      <c r="I40" s="316"/>
      <c r="J40" s="316"/>
      <c r="K40" s="316" t="s">
        <v>197</v>
      </c>
      <c r="L40" s="316">
        <f>IF(K40=$V$3,$W$3,IF(K40=$V$3,$W$3,IF(K40=$V$4,$W$4,IF(K40=$V$5,$W$5,IF(K40=$V$6,$W$6,IF(K40=$V$7,$W$7))))))</f>
        <v>2</v>
      </c>
      <c r="M40" s="394" t="str">
        <f>IF($K40=$V$3,$X$3,IF($K40=$V$4,$X$4,IF($K40=$V$5,$X$5,IF($K40=$V$6,$X$6,IF($K40=$V$7,$X$7)))))</f>
        <v>Same distinctiveness or better habitat required ≥</v>
      </c>
      <c r="N40" s="316" t="s">
        <v>197</v>
      </c>
      <c r="O40" s="316">
        <f>VLOOKUP(N40,Difficulty,2,FALSE)</f>
        <v>1</v>
      </c>
      <c r="P40" s="316" t="s">
        <v>194</v>
      </c>
      <c r="Q40" s="316">
        <f>VLOOKUP(P40,Difficulty,2,FALSE)</f>
        <v>0.33</v>
      </c>
      <c r="R40" s="295"/>
      <c r="S40" s="316"/>
      <c r="T40" s="353" t="s">
        <v>344</v>
      </c>
      <c r="AF40" s="316" t="s">
        <v>118</v>
      </c>
      <c r="AG40" s="316" t="s">
        <v>704</v>
      </c>
    </row>
    <row r="41" spans="1:33" ht="14.25" customHeight="1">
      <c r="A41" s="908" t="s">
        <v>793</v>
      </c>
      <c r="B41" s="975" t="s">
        <v>529</v>
      </c>
      <c r="C41" s="316" t="s">
        <v>794</v>
      </c>
      <c r="D41" s="316" t="s">
        <v>786</v>
      </c>
      <c r="E41" s="316"/>
      <c r="F41" s="295"/>
      <c r="G41" s="316"/>
      <c r="H41" s="397"/>
      <c r="I41" s="316"/>
      <c r="J41" s="316"/>
      <c r="K41" s="316" t="s">
        <v>194</v>
      </c>
      <c r="L41" s="316">
        <f t="shared" si="7" ref="L41:L46">IF(K41=$V$3,$W$3,IF(K41=$V$3,$W$3,IF(K41=$V$4,$W$4,IF(K41=$V$5,$W$5,IF(K41=$V$6,$W$6,IF(K41=$V$7,$W$7))))))</f>
        <v>6</v>
      </c>
      <c r="M41" s="394" t="str">
        <f t="shared" si="3"/>
        <v>Same habitat required =</v>
      </c>
      <c r="N41" s="316" t="s">
        <v>194</v>
      </c>
      <c r="O41" s="316">
        <f t="shared" si="5"/>
        <v>0.33</v>
      </c>
      <c r="P41" s="316" t="s">
        <v>194</v>
      </c>
      <c r="Q41" s="316">
        <f t="shared" si="6"/>
        <v>0.33</v>
      </c>
      <c r="R41" s="295"/>
      <c r="S41" s="316"/>
      <c r="T41" s="353" t="s">
        <v>344</v>
      </c>
      <c r="AF41" s="316" t="s">
        <v>119</v>
      </c>
      <c r="AG41" s="316" t="s">
        <v>708</v>
      </c>
    </row>
    <row r="42" spans="1:20" ht="14.25" customHeight="1">
      <c r="A42" s="908" t="s">
        <v>795</v>
      </c>
      <c r="B42" s="975" t="s">
        <v>530</v>
      </c>
      <c r="C42" s="316" t="s">
        <v>794</v>
      </c>
      <c r="D42" s="316" t="s">
        <v>786</v>
      </c>
      <c r="E42" s="316"/>
      <c r="F42" s="295"/>
      <c r="G42" s="316"/>
      <c r="H42" s="397"/>
      <c r="I42" s="316"/>
      <c r="J42" s="316"/>
      <c r="K42" s="316" t="s">
        <v>194</v>
      </c>
      <c r="L42" s="316">
        <f t="shared" si="7"/>
        <v>6</v>
      </c>
      <c r="M42" s="394" t="str">
        <f t="shared" si="3"/>
        <v>Same habitat required =</v>
      </c>
      <c r="N42" s="316" t="s">
        <v>194</v>
      </c>
      <c r="O42" s="316">
        <f t="shared" si="5"/>
        <v>0.33</v>
      </c>
      <c r="P42" s="316" t="s">
        <v>46</v>
      </c>
      <c r="Q42" s="316">
        <f t="shared" si="6"/>
        <v>0.67</v>
      </c>
      <c r="R42" s="295"/>
      <c r="S42" s="316"/>
      <c r="T42" s="353" t="s">
        <v>344</v>
      </c>
    </row>
    <row r="43" spans="1:20" ht="14.25" customHeight="1">
      <c r="A43" s="908" t="s">
        <v>796</v>
      </c>
      <c r="B43" s="975" t="s">
        <v>531</v>
      </c>
      <c r="C43" s="316" t="s">
        <v>794</v>
      </c>
      <c r="D43" s="316" t="s">
        <v>786</v>
      </c>
      <c r="E43" s="316"/>
      <c r="F43" s="295"/>
      <c r="G43" s="316"/>
      <c r="H43" s="397"/>
      <c r="I43" s="316"/>
      <c r="J43" s="316"/>
      <c r="K43" s="316" t="s">
        <v>194</v>
      </c>
      <c r="L43" s="316">
        <f t="shared" si="7"/>
        <v>6</v>
      </c>
      <c r="M43" s="394" t="str">
        <f t="shared" si="3"/>
        <v>Same habitat required =</v>
      </c>
      <c r="N43" s="316" t="s">
        <v>194</v>
      </c>
      <c r="O43" s="316">
        <f t="shared" si="5"/>
        <v>0.33</v>
      </c>
      <c r="P43" s="316" t="s">
        <v>194</v>
      </c>
      <c r="Q43" s="316">
        <f t="shared" si="6"/>
        <v>0.33</v>
      </c>
      <c r="R43" s="295"/>
      <c r="S43" s="316"/>
      <c r="T43" s="353" t="s">
        <v>344</v>
      </c>
    </row>
    <row r="44" spans="1:20" ht="14.25" customHeight="1">
      <c r="A44" s="908" t="s">
        <v>797</v>
      </c>
      <c r="B44" s="975" t="s">
        <v>532</v>
      </c>
      <c r="C44" s="316" t="s">
        <v>794</v>
      </c>
      <c r="D44" s="316" t="s">
        <v>786</v>
      </c>
      <c r="E44" s="316"/>
      <c r="F44" s="295"/>
      <c r="G44" s="316"/>
      <c r="H44" s="397"/>
      <c r="I44" s="316"/>
      <c r="J44" s="316"/>
      <c r="K44" s="316" t="s">
        <v>194</v>
      </c>
      <c r="L44" s="316">
        <f t="shared" si="7"/>
        <v>6</v>
      </c>
      <c r="M44" s="394" t="str">
        <f t="shared" si="3"/>
        <v>Same habitat required =</v>
      </c>
      <c r="N44" s="316" t="s">
        <v>194</v>
      </c>
      <c r="O44" s="316">
        <f t="shared" si="5"/>
        <v>0.33</v>
      </c>
      <c r="P44" s="316" t="s">
        <v>194</v>
      </c>
      <c r="Q44" s="316">
        <f t="shared" si="6"/>
        <v>0.33</v>
      </c>
      <c r="R44" s="295"/>
      <c r="S44" s="316"/>
      <c r="T44" s="353" t="s">
        <v>344</v>
      </c>
    </row>
    <row r="45" spans="1:33" ht="14.25" customHeight="1">
      <c r="A45" s="908" t="s">
        <v>798</v>
      </c>
      <c r="B45" s="975" t="s">
        <v>533</v>
      </c>
      <c r="C45" s="316" t="s">
        <v>794</v>
      </c>
      <c r="D45" s="316" t="s">
        <v>786</v>
      </c>
      <c r="E45" s="316"/>
      <c r="F45" s="295"/>
      <c r="G45" s="316"/>
      <c r="H45" s="397"/>
      <c r="I45" s="316"/>
      <c r="J45" s="316"/>
      <c r="K45" s="316" t="s">
        <v>194</v>
      </c>
      <c r="L45" s="316">
        <f t="shared" si="7"/>
        <v>6</v>
      </c>
      <c r="M45" s="394" t="str">
        <f t="shared" si="3"/>
        <v>Same habitat required =</v>
      </c>
      <c r="N45" s="316" t="s">
        <v>194</v>
      </c>
      <c r="O45" s="316">
        <f t="shared" si="5"/>
        <v>0.33</v>
      </c>
      <c r="P45" s="316" t="s">
        <v>194</v>
      </c>
      <c r="Q45" s="316">
        <f t="shared" si="6"/>
        <v>0.33</v>
      </c>
      <c r="R45" s="295"/>
      <c r="S45" s="316"/>
      <c r="T45" s="353" t="s">
        <v>344</v>
      </c>
      <c r="AF45" s="1773" t="s">
        <v>799</v>
      </c>
      <c r="AG45" s="1773"/>
    </row>
    <row r="46" spans="1:33" ht="14.15" customHeight="1">
      <c r="A46" s="908" t="s">
        <v>800</v>
      </c>
      <c r="B46" s="975" t="s">
        <v>535</v>
      </c>
      <c r="C46" s="316">
        <v>40</v>
      </c>
      <c r="D46" s="316" t="s">
        <v>786</v>
      </c>
      <c r="E46" s="316" t="s">
        <v>787</v>
      </c>
      <c r="F46" s="283" t="s">
        <v>788</v>
      </c>
      <c r="G46" s="316" t="s">
        <v>789</v>
      </c>
      <c r="H46" s="397" t="s">
        <v>790</v>
      </c>
      <c r="I46" s="316"/>
      <c r="J46" s="316"/>
      <c r="K46" s="316" t="s">
        <v>194</v>
      </c>
      <c r="L46" s="316">
        <f t="shared" si="7"/>
        <v>6</v>
      </c>
      <c r="M46" s="394" t="str">
        <f t="shared" si="3"/>
        <v>Same habitat required =</v>
      </c>
      <c r="N46" s="316" t="s">
        <v>46</v>
      </c>
      <c r="O46" s="316">
        <f t="shared" si="5"/>
        <v>0.67</v>
      </c>
      <c r="P46" s="316" t="s">
        <v>46</v>
      </c>
      <c r="Q46" s="316">
        <f t="shared" si="6"/>
        <v>0.67</v>
      </c>
      <c r="R46" s="295"/>
      <c r="S46" s="316"/>
      <c r="T46" s="353" t="s">
        <v>344</v>
      </c>
      <c r="AF46" s="1773"/>
      <c r="AG46" s="1773"/>
    </row>
    <row r="47" spans="1:33" ht="14.25" customHeight="1">
      <c r="A47" s="908" t="s">
        <v>801</v>
      </c>
      <c r="B47" s="975" t="s">
        <v>802</v>
      </c>
      <c r="C47" s="316">
        <v>41</v>
      </c>
      <c r="D47" s="316" t="s">
        <v>786</v>
      </c>
      <c r="E47" s="316" t="s">
        <v>787</v>
      </c>
      <c r="F47" s="283" t="s">
        <v>788</v>
      </c>
      <c r="G47" s="316" t="s">
        <v>789</v>
      </c>
      <c r="H47" s="397" t="s">
        <v>790</v>
      </c>
      <c r="I47" s="316"/>
      <c r="J47" s="316"/>
      <c r="K47" s="316" t="s">
        <v>46</v>
      </c>
      <c r="L47" s="316">
        <f t="shared" si="4"/>
        <v>4</v>
      </c>
      <c r="M47" s="394" t="str">
        <f t="shared" si="3"/>
        <v>Same broad habitat or a higher distinctiveness habitat required (≥)</v>
      </c>
      <c r="N47" s="316" t="s">
        <v>197</v>
      </c>
      <c r="O47" s="316">
        <f t="shared" si="5"/>
        <v>1</v>
      </c>
      <c r="P47" s="316" t="s">
        <v>46</v>
      </c>
      <c r="Q47" s="316">
        <f t="shared" si="6"/>
        <v>0.67</v>
      </c>
      <c r="R47" s="295"/>
      <c r="S47" s="316"/>
      <c r="T47" s="353" t="s">
        <v>344</v>
      </c>
      <c r="AF47" s="1753" t="s">
        <v>615</v>
      </c>
      <c r="AG47" s="1753" t="s">
        <v>616</v>
      </c>
    </row>
    <row r="48" spans="1:33" ht="14.25" customHeight="1">
      <c r="A48" s="908" t="s">
        <v>803</v>
      </c>
      <c r="B48" s="975" t="s">
        <v>804</v>
      </c>
      <c r="C48" s="316">
        <v>45</v>
      </c>
      <c r="D48" s="316" t="s">
        <v>786</v>
      </c>
      <c r="E48" s="316" t="s">
        <v>787</v>
      </c>
      <c r="F48" s="283" t="s">
        <v>788</v>
      </c>
      <c r="G48" s="316" t="s">
        <v>789</v>
      </c>
      <c r="H48" s="1042" t="s">
        <v>790</v>
      </c>
      <c r="I48" s="316"/>
      <c r="J48" s="316"/>
      <c r="K48" s="316" t="s">
        <v>46</v>
      </c>
      <c r="L48" s="316">
        <f t="shared" si="4"/>
        <v>4</v>
      </c>
      <c r="M48" s="394" t="str">
        <f t="shared" si="3"/>
        <v>Same broad habitat or a higher distinctiveness habitat required (≥)</v>
      </c>
      <c r="N48" s="316" t="s">
        <v>46</v>
      </c>
      <c r="O48" s="316">
        <f t="shared" si="5"/>
        <v>0.67</v>
      </c>
      <c r="P48" s="316" t="s">
        <v>46</v>
      </c>
      <c r="Q48" s="316">
        <f t="shared" si="6"/>
        <v>0.67</v>
      </c>
      <c r="R48" s="295"/>
      <c r="S48" s="316"/>
      <c r="T48" s="353" t="s">
        <v>344</v>
      </c>
      <c r="AF48" s="1876"/>
      <c r="AG48" s="1876"/>
    </row>
    <row r="49" spans="1:33" ht="14.25" customHeight="1" thickBot="1">
      <c r="A49" s="908" t="s">
        <v>805</v>
      </c>
      <c r="B49" s="1065" t="s">
        <v>536</v>
      </c>
      <c r="C49" s="805" t="s">
        <v>806</v>
      </c>
      <c r="D49" s="805" t="s">
        <v>786</v>
      </c>
      <c r="E49" s="805" t="s">
        <v>787</v>
      </c>
      <c r="F49" s="364" t="s">
        <v>788</v>
      </c>
      <c r="G49" s="805" t="s">
        <v>789</v>
      </c>
      <c r="H49" s="1053" t="s">
        <v>790</v>
      </c>
      <c r="I49" s="805" t="s">
        <v>807</v>
      </c>
      <c r="J49" s="805" t="s">
        <v>808</v>
      </c>
      <c r="K49" s="805" t="s">
        <v>194</v>
      </c>
      <c r="L49" s="805">
        <f t="shared" si="4"/>
        <v>6</v>
      </c>
      <c r="M49" s="416" t="str">
        <f t="shared" si="3"/>
        <v>Same habitat required =</v>
      </c>
      <c r="N49" s="805" t="s">
        <v>46</v>
      </c>
      <c r="O49" s="805">
        <f t="shared" si="5"/>
        <v>0.67</v>
      </c>
      <c r="P49" s="805" t="s">
        <v>46</v>
      </c>
      <c r="Q49" s="805">
        <f t="shared" si="6"/>
        <v>0.67</v>
      </c>
      <c r="R49" s="308"/>
      <c r="S49" s="805"/>
      <c r="T49" s="1041" t="s">
        <v>344</v>
      </c>
      <c r="AF49" s="316" t="s">
        <v>105</v>
      </c>
      <c r="AG49" s="316" t="s">
        <v>105</v>
      </c>
    </row>
    <row r="50" spans="1:33" ht="14.25" customHeight="1">
      <c r="A50" s="908" t="s">
        <v>809</v>
      </c>
      <c r="B50" s="1063" t="s">
        <v>810</v>
      </c>
      <c r="C50" s="349" t="s">
        <v>811</v>
      </c>
      <c r="D50" s="349" t="s">
        <v>643</v>
      </c>
      <c r="E50" s="349" t="s">
        <v>724</v>
      </c>
      <c r="F50" s="596" t="s">
        <v>109</v>
      </c>
      <c r="G50" s="349" t="s">
        <v>725</v>
      </c>
      <c r="H50" s="1052" t="s">
        <v>726</v>
      </c>
      <c r="I50" s="349" t="s">
        <v>811</v>
      </c>
      <c r="J50" s="349" t="s">
        <v>809</v>
      </c>
      <c r="K50" s="349" t="s">
        <v>649</v>
      </c>
      <c r="L50" s="349">
        <f t="shared" si="8" ref="L50:L78">IF(K50=$V$3,$W$3,IF(K50=$V$3,$W$3,IF(K50=$V$4,$W$4,IF(K50=$V$5,$W$5,IF(K50=$V$6,$W$6,IF(K50=$V$7,$W$7))))))</f>
        <v>8</v>
      </c>
      <c r="M50" s="783" t="str">
        <f t="shared" si="3"/>
        <v>Same habitat required – bespoke compensation option ⚠</v>
      </c>
      <c r="N50" s="349" t="s">
        <v>192</v>
      </c>
      <c r="O50" s="349">
        <f t="shared" si="5"/>
        <v>0.10</v>
      </c>
      <c r="P50" s="349" t="s">
        <v>46</v>
      </c>
      <c r="Q50" s="349">
        <f t="shared" si="6"/>
        <v>0.67</v>
      </c>
      <c r="R50" s="280"/>
      <c r="S50" s="349"/>
      <c r="T50" s="347" t="s">
        <v>344</v>
      </c>
      <c r="AF50" s="316" t="s">
        <v>106</v>
      </c>
      <c r="AG50" s="316" t="s">
        <v>106</v>
      </c>
    </row>
    <row r="51" spans="1:33" ht="14.25" customHeight="1">
      <c r="A51" s="908" t="s">
        <v>812</v>
      </c>
      <c r="B51" s="975" t="s">
        <v>537</v>
      </c>
      <c r="C51" s="316" t="s">
        <v>813</v>
      </c>
      <c r="D51" s="316" t="s">
        <v>643</v>
      </c>
      <c r="E51" s="316" t="s">
        <v>724</v>
      </c>
      <c r="F51" s="295" t="s">
        <v>109</v>
      </c>
      <c r="G51" s="296" t="s">
        <v>814</v>
      </c>
      <c r="H51" s="397" t="s">
        <v>815</v>
      </c>
      <c r="I51" s="316" t="s">
        <v>813</v>
      </c>
      <c r="J51" s="316" t="s">
        <v>816</v>
      </c>
      <c r="K51" s="316" t="s">
        <v>194</v>
      </c>
      <c r="L51" s="316">
        <f t="shared" si="8"/>
        <v>6</v>
      </c>
      <c r="M51" s="394" t="str">
        <f t="shared" si="3"/>
        <v>Same habitat required =</v>
      </c>
      <c r="N51" s="316" t="s">
        <v>192</v>
      </c>
      <c r="O51" s="316">
        <f t="shared" si="5"/>
        <v>0.10</v>
      </c>
      <c r="P51" s="316" t="s">
        <v>46</v>
      </c>
      <c r="Q51" s="316">
        <f t="shared" si="6"/>
        <v>0.67</v>
      </c>
      <c r="R51" s="295"/>
      <c r="S51" s="316"/>
      <c r="T51" s="353" t="s">
        <v>348</v>
      </c>
      <c r="AF51" s="316" t="s">
        <v>107</v>
      </c>
      <c r="AG51" s="316" t="s">
        <v>658</v>
      </c>
    </row>
    <row r="52" spans="1:33" ht="14.25" customHeight="1">
      <c r="A52" s="908" t="s">
        <v>817</v>
      </c>
      <c r="B52" s="975" t="s">
        <v>538</v>
      </c>
      <c r="C52" s="316" t="s">
        <v>818</v>
      </c>
      <c r="D52" s="316" t="s">
        <v>643</v>
      </c>
      <c r="E52" s="316" t="s">
        <v>724</v>
      </c>
      <c r="F52" s="295" t="s">
        <v>109</v>
      </c>
      <c r="G52" s="316" t="s">
        <v>814</v>
      </c>
      <c r="H52" s="397" t="s">
        <v>815</v>
      </c>
      <c r="I52" s="316" t="s">
        <v>818</v>
      </c>
      <c r="J52" s="316" t="s">
        <v>817</v>
      </c>
      <c r="K52" s="316" t="s">
        <v>194</v>
      </c>
      <c r="L52" s="316">
        <f t="shared" si="8"/>
        <v>6</v>
      </c>
      <c r="M52" s="394" t="str">
        <f t="shared" si="3"/>
        <v>Same habitat required =</v>
      </c>
      <c r="N52" s="316" t="s">
        <v>192</v>
      </c>
      <c r="O52" s="316">
        <f t="shared" si="5"/>
        <v>0.10</v>
      </c>
      <c r="P52" s="316" t="s">
        <v>46</v>
      </c>
      <c r="Q52" s="316">
        <f t="shared" si="6"/>
        <v>0.67</v>
      </c>
      <c r="R52" s="295"/>
      <c r="S52" s="316"/>
      <c r="T52" s="353" t="s">
        <v>344</v>
      </c>
      <c r="AF52" s="316" t="s">
        <v>108</v>
      </c>
      <c r="AG52" s="316" t="s">
        <v>108</v>
      </c>
    </row>
    <row r="53" spans="1:33" ht="14.25" customHeight="1">
      <c r="A53" s="908" t="s">
        <v>819</v>
      </c>
      <c r="B53" s="975" t="s">
        <v>820</v>
      </c>
      <c r="C53" s="316">
        <v>81</v>
      </c>
      <c r="D53" s="316" t="s">
        <v>643</v>
      </c>
      <c r="E53" s="316" t="s">
        <v>524</v>
      </c>
      <c r="F53" s="295"/>
      <c r="G53" s="316"/>
      <c r="H53" s="397"/>
      <c r="I53" s="316"/>
      <c r="J53" s="316"/>
      <c r="K53" s="316" t="s">
        <v>197</v>
      </c>
      <c r="L53" s="316">
        <f t="shared" si="8"/>
        <v>2</v>
      </c>
      <c r="M53" s="394" t="str">
        <f t="shared" si="3"/>
        <v>Same distinctiveness or better habitat required ≥</v>
      </c>
      <c r="N53" s="316" t="s">
        <v>197</v>
      </c>
      <c r="O53" s="316">
        <f t="shared" si="5"/>
        <v>1</v>
      </c>
      <c r="P53" s="316" t="s">
        <v>46</v>
      </c>
      <c r="Q53" s="316">
        <f t="shared" si="6"/>
        <v>0.67</v>
      </c>
      <c r="R53" s="295"/>
      <c r="S53" s="316"/>
      <c r="T53" s="353" t="s">
        <v>344</v>
      </c>
      <c r="AF53" s="316" t="s">
        <v>109</v>
      </c>
      <c r="AG53" s="316" t="s">
        <v>668</v>
      </c>
    </row>
    <row r="54" spans="1:33" ht="14.25" customHeight="1">
      <c r="A54" s="908" t="s">
        <v>821</v>
      </c>
      <c r="B54" s="975" t="s">
        <v>822</v>
      </c>
      <c r="C54" s="316">
        <v>16</v>
      </c>
      <c r="D54" s="316" t="s">
        <v>643</v>
      </c>
      <c r="E54" s="316" t="s">
        <v>694</v>
      </c>
      <c r="F54" s="295" t="s">
        <v>106</v>
      </c>
      <c r="G54" s="316"/>
      <c r="H54" s="397"/>
      <c r="I54" s="316"/>
      <c r="J54" s="316"/>
      <c r="K54" s="316" t="s">
        <v>197</v>
      </c>
      <c r="L54" s="316">
        <v>2</v>
      </c>
      <c r="M54" s="394" t="str">
        <f t="shared" si="3"/>
        <v>Same distinctiveness or better habitat required ≥</v>
      </c>
      <c r="N54" s="316" t="s">
        <v>197</v>
      </c>
      <c r="O54" s="316">
        <v>1</v>
      </c>
      <c r="P54" s="316" t="s">
        <v>46</v>
      </c>
      <c r="Q54" s="316">
        <v>0.67</v>
      </c>
      <c r="R54" s="295"/>
      <c r="S54" s="316"/>
      <c r="T54" s="353" t="s">
        <v>344</v>
      </c>
      <c r="AF54" s="339" t="s">
        <v>110</v>
      </c>
      <c r="AG54" s="339" t="s">
        <v>110</v>
      </c>
    </row>
    <row r="55" spans="1:33" ht="14.25" customHeight="1">
      <c r="A55" s="908" t="s">
        <v>728</v>
      </c>
      <c r="B55" s="975" t="s">
        <v>539</v>
      </c>
      <c r="C55" s="316" t="s">
        <v>727</v>
      </c>
      <c r="D55" s="316" t="s">
        <v>643</v>
      </c>
      <c r="E55" s="316" t="s">
        <v>724</v>
      </c>
      <c r="F55" s="295" t="s">
        <v>109</v>
      </c>
      <c r="G55" s="316" t="s">
        <v>725</v>
      </c>
      <c r="H55" s="397" t="s">
        <v>726</v>
      </c>
      <c r="I55" s="316" t="s">
        <v>727</v>
      </c>
      <c r="J55" s="316" t="s">
        <v>728</v>
      </c>
      <c r="K55" s="316" t="s">
        <v>194</v>
      </c>
      <c r="L55" s="316">
        <f t="shared" si="8"/>
        <v>6</v>
      </c>
      <c r="M55" s="394" t="str">
        <f t="shared" si="3"/>
        <v>Same habitat required =</v>
      </c>
      <c r="N55" s="316" t="s">
        <v>194</v>
      </c>
      <c r="O55" s="316">
        <f t="shared" si="5"/>
        <v>0.33</v>
      </c>
      <c r="P55" s="316" t="s">
        <v>197</v>
      </c>
      <c r="Q55" s="316">
        <f t="shared" si="6"/>
        <v>1</v>
      </c>
      <c r="R55" s="295"/>
      <c r="S55" s="316"/>
      <c r="T55" s="353" t="s">
        <v>344</v>
      </c>
      <c r="AF55" s="316" t="s">
        <v>111</v>
      </c>
      <c r="AG55" s="316" t="s">
        <v>111</v>
      </c>
    </row>
    <row r="56" spans="1:33" ht="14.25" customHeight="1">
      <c r="A56" s="908" t="s">
        <v>823</v>
      </c>
      <c r="B56" s="975" t="s">
        <v>824</v>
      </c>
      <c r="C56" s="316" t="s">
        <v>825</v>
      </c>
      <c r="D56" s="316" t="s">
        <v>643</v>
      </c>
      <c r="E56" s="316" t="s">
        <v>724</v>
      </c>
      <c r="F56" s="295" t="s">
        <v>109</v>
      </c>
      <c r="G56" s="316" t="s">
        <v>725</v>
      </c>
      <c r="H56" s="397" t="s">
        <v>726</v>
      </c>
      <c r="I56" s="316" t="s">
        <v>825</v>
      </c>
      <c r="J56" s="316" t="s">
        <v>823</v>
      </c>
      <c r="K56" s="316" t="s">
        <v>649</v>
      </c>
      <c r="L56" s="316">
        <f t="shared" si="8"/>
        <v>8</v>
      </c>
      <c r="M56" s="394" t="str">
        <f t="shared" si="3"/>
        <v>Same habitat required – bespoke compensation option ⚠</v>
      </c>
      <c r="N56" s="316" t="s">
        <v>192</v>
      </c>
      <c r="O56" s="316">
        <f t="shared" si="5"/>
        <v>0.10</v>
      </c>
      <c r="P56" s="316" t="s">
        <v>46</v>
      </c>
      <c r="Q56" s="316">
        <f t="shared" si="6"/>
        <v>0.67</v>
      </c>
      <c r="R56" s="295"/>
      <c r="S56" s="316"/>
      <c r="T56" s="353" t="s">
        <v>348</v>
      </c>
      <c r="AF56" s="316" t="s">
        <v>112</v>
      </c>
      <c r="AG56" s="316" t="s">
        <v>826</v>
      </c>
    </row>
    <row r="57" spans="1:33" ht="14.25" customHeight="1">
      <c r="A57" s="908" t="s">
        <v>827</v>
      </c>
      <c r="B57" s="975" t="s">
        <v>540</v>
      </c>
      <c r="C57" s="316" t="s">
        <v>828</v>
      </c>
      <c r="D57" s="316" t="s">
        <v>643</v>
      </c>
      <c r="E57" s="316" t="s">
        <v>724</v>
      </c>
      <c r="F57" s="295" t="s">
        <v>109</v>
      </c>
      <c r="G57" s="316" t="s">
        <v>829</v>
      </c>
      <c r="H57" s="397" t="s">
        <v>830</v>
      </c>
      <c r="I57" s="316" t="s">
        <v>828</v>
      </c>
      <c r="J57" s="316" t="s">
        <v>827</v>
      </c>
      <c r="K57" s="316" t="s">
        <v>194</v>
      </c>
      <c r="L57" s="316">
        <f t="shared" si="8"/>
        <v>6</v>
      </c>
      <c r="M57" s="394" t="str">
        <f t="shared" si="3"/>
        <v>Same habitat required =</v>
      </c>
      <c r="N57" s="316" t="s">
        <v>194</v>
      </c>
      <c r="O57" s="316">
        <f t="shared" si="5"/>
        <v>0.33</v>
      </c>
      <c r="P57" s="316" t="s">
        <v>46</v>
      </c>
      <c r="Q57" s="316">
        <f t="shared" si="6"/>
        <v>0.67</v>
      </c>
      <c r="R57" s="295"/>
      <c r="S57" s="316"/>
      <c r="T57" s="353" t="s">
        <v>344</v>
      </c>
      <c r="AF57" s="316" t="s">
        <v>116</v>
      </c>
      <c r="AG57" s="316" t="s">
        <v>684</v>
      </c>
    </row>
    <row r="58" spans="1:33" ht="14.25" customHeight="1" thickBot="1">
      <c r="A58" s="908" t="s">
        <v>831</v>
      </c>
      <c r="B58" s="976" t="s">
        <v>832</v>
      </c>
      <c r="C58" s="301" t="s">
        <v>833</v>
      </c>
      <c r="D58" s="301" t="s">
        <v>643</v>
      </c>
      <c r="E58" s="301" t="s">
        <v>724</v>
      </c>
      <c r="F58" s="284" t="s">
        <v>109</v>
      </c>
      <c r="G58" s="301" t="s">
        <v>725</v>
      </c>
      <c r="H58" s="398" t="s">
        <v>726</v>
      </c>
      <c r="I58" s="301" t="s">
        <v>833</v>
      </c>
      <c r="J58" s="301" t="s">
        <v>831</v>
      </c>
      <c r="K58" s="301" t="s">
        <v>46</v>
      </c>
      <c r="L58" s="301">
        <f t="shared" si="8"/>
        <v>4</v>
      </c>
      <c r="M58" s="395" t="str">
        <f t="shared" si="3"/>
        <v>Same broad habitat or a higher distinctiveness habitat required (≥)</v>
      </c>
      <c r="N58" s="301" t="s">
        <v>46</v>
      </c>
      <c r="O58" s="301">
        <f t="shared" si="5"/>
        <v>0.67</v>
      </c>
      <c r="P58" s="301" t="s">
        <v>46</v>
      </c>
      <c r="Q58" s="301">
        <f t="shared" si="6"/>
        <v>0.67</v>
      </c>
      <c r="R58" s="284"/>
      <c r="S58" s="301"/>
      <c r="T58" s="345" t="s">
        <v>344</v>
      </c>
      <c r="AF58" s="316" t="s">
        <v>548</v>
      </c>
      <c r="AG58" s="316" t="s">
        <v>688</v>
      </c>
    </row>
    <row r="59" spans="1:33" ht="14.25" customHeight="1">
      <c r="A59" s="908" t="s">
        <v>834</v>
      </c>
      <c r="B59" s="1063" t="s">
        <v>835</v>
      </c>
      <c r="C59" s="349">
        <v>616</v>
      </c>
      <c r="D59" s="349" t="s">
        <v>643</v>
      </c>
      <c r="E59" s="349" t="s">
        <v>644</v>
      </c>
      <c r="F59" s="568" t="s">
        <v>105</v>
      </c>
      <c r="G59" s="349"/>
      <c r="H59" s="782"/>
      <c r="I59" s="349"/>
      <c r="J59" s="349"/>
      <c r="K59" s="349" t="s">
        <v>197</v>
      </c>
      <c r="L59" s="349">
        <f t="shared" si="8"/>
        <v>2</v>
      </c>
      <c r="M59" s="783" t="str">
        <f t="shared" si="3"/>
        <v>Same distinctiveness or better habitat required ≥</v>
      </c>
      <c r="N59" s="349" t="s">
        <v>197</v>
      </c>
      <c r="O59" s="349">
        <f t="shared" si="5"/>
        <v>1</v>
      </c>
      <c r="P59" s="349" t="s">
        <v>197</v>
      </c>
      <c r="Q59" s="349">
        <f t="shared" si="6"/>
        <v>1</v>
      </c>
      <c r="R59" s="280"/>
      <c r="S59" s="349"/>
      <c r="T59" s="347" t="s">
        <v>344</v>
      </c>
      <c r="AF59" s="316" t="s">
        <v>553</v>
      </c>
      <c r="AG59" s="316" t="s">
        <v>690</v>
      </c>
    </row>
    <row r="60" spans="1:33" ht="14.25" customHeight="1">
      <c r="A60" s="908" t="s">
        <v>441</v>
      </c>
      <c r="B60" s="975" t="s">
        <v>836</v>
      </c>
      <c r="C60" s="316" t="s">
        <v>837</v>
      </c>
      <c r="D60" s="316" t="s">
        <v>643</v>
      </c>
      <c r="E60" s="316" t="s">
        <v>838</v>
      </c>
      <c r="F60" s="295" t="s">
        <v>110</v>
      </c>
      <c r="G60" s="316" t="s">
        <v>839</v>
      </c>
      <c r="H60" s="397" t="s">
        <v>840</v>
      </c>
      <c r="I60" s="316" t="s">
        <v>837</v>
      </c>
      <c r="J60" s="316" t="s">
        <v>441</v>
      </c>
      <c r="K60" s="316" t="s">
        <v>666</v>
      </c>
      <c r="L60" s="316">
        <f t="shared" si="8"/>
        <v>0</v>
      </c>
      <c r="M60" s="394" t="str">
        <f t="shared" si="3"/>
        <v>Compensation Not Required</v>
      </c>
      <c r="N60" s="316" t="s">
        <v>197</v>
      </c>
      <c r="O60" s="316">
        <f t="shared" si="5"/>
        <v>1</v>
      </c>
      <c r="P60" s="316" t="s">
        <v>197</v>
      </c>
      <c r="Q60" s="316">
        <f t="shared" si="6"/>
        <v>1</v>
      </c>
      <c r="R60" s="295"/>
      <c r="S60" s="316"/>
      <c r="T60" s="353" t="s">
        <v>344</v>
      </c>
      <c r="AF60" s="316" t="s">
        <v>113</v>
      </c>
      <c r="AG60" s="316" t="s">
        <v>697</v>
      </c>
    </row>
    <row r="61" spans="1:33" ht="14.25" customHeight="1">
      <c r="A61" s="908" t="s">
        <v>841</v>
      </c>
      <c r="B61" s="975" t="s">
        <v>842</v>
      </c>
      <c r="C61" s="316">
        <v>849</v>
      </c>
      <c r="D61" s="316" t="s">
        <v>643</v>
      </c>
      <c r="E61" s="316" t="s">
        <v>524</v>
      </c>
      <c r="F61" s="295"/>
      <c r="G61" s="316"/>
      <c r="H61" s="397"/>
      <c r="I61" s="316"/>
      <c r="J61" s="316"/>
      <c r="K61" s="316" t="s">
        <v>197</v>
      </c>
      <c r="L61" s="316">
        <f t="shared" si="8"/>
        <v>2</v>
      </c>
      <c r="M61" s="394" t="str">
        <f t="shared" si="3"/>
        <v>Same distinctiveness or better habitat required ≥</v>
      </c>
      <c r="N61" s="316" t="s">
        <v>46</v>
      </c>
      <c r="O61" s="316">
        <f t="shared" si="5"/>
        <v>0.67</v>
      </c>
      <c r="P61" s="316" t="s">
        <v>197</v>
      </c>
      <c r="Q61" s="316">
        <f t="shared" si="6"/>
        <v>1</v>
      </c>
      <c r="R61" s="295"/>
      <c r="S61" s="316"/>
      <c r="T61" s="353" t="s">
        <v>344</v>
      </c>
      <c r="AF61" s="316" t="s">
        <v>117</v>
      </c>
      <c r="AG61" s="316" t="s">
        <v>699</v>
      </c>
    </row>
    <row r="62" spans="1:33" ht="14.25" customHeight="1">
      <c r="A62" s="908" t="s">
        <v>843</v>
      </c>
      <c r="B62" s="975" t="s">
        <v>844</v>
      </c>
      <c r="C62" s="316">
        <v>88</v>
      </c>
      <c r="D62" s="316" t="s">
        <v>643</v>
      </c>
      <c r="E62" s="316" t="s">
        <v>838</v>
      </c>
      <c r="F62" s="295" t="s">
        <v>110</v>
      </c>
      <c r="G62" s="316" t="s">
        <v>839</v>
      </c>
      <c r="H62" s="397" t="s">
        <v>840</v>
      </c>
      <c r="I62" s="316" t="s">
        <v>845</v>
      </c>
      <c r="J62" s="316" t="s">
        <v>361</v>
      </c>
      <c r="K62" s="316" t="s">
        <v>197</v>
      </c>
      <c r="L62" s="316">
        <f t="shared" si="8"/>
        <v>2</v>
      </c>
      <c r="M62" s="394" t="str">
        <f t="shared" si="3"/>
        <v>Same distinctiveness or better habitat required ≥</v>
      </c>
      <c r="N62" s="316" t="s">
        <v>197</v>
      </c>
      <c r="O62" s="316">
        <f t="shared" si="5"/>
        <v>1</v>
      </c>
      <c r="P62" s="316" t="s">
        <v>197</v>
      </c>
      <c r="Q62" s="316">
        <f t="shared" si="6"/>
        <v>1</v>
      </c>
      <c r="R62" s="295"/>
      <c r="S62" s="316"/>
      <c r="T62" s="353" t="s">
        <v>344</v>
      </c>
      <c r="AF62" s="316" t="s">
        <v>118</v>
      </c>
      <c r="AG62" s="316" t="s">
        <v>704</v>
      </c>
    </row>
    <row r="63" spans="1:33" ht="14.25" customHeight="1">
      <c r="A63" s="908" t="s">
        <v>846</v>
      </c>
      <c r="B63" s="975" t="s">
        <v>847</v>
      </c>
      <c r="C63" s="316" t="s">
        <v>848</v>
      </c>
      <c r="D63" s="316" t="s">
        <v>643</v>
      </c>
      <c r="E63" s="316" t="s">
        <v>838</v>
      </c>
      <c r="F63" s="295" t="s">
        <v>110</v>
      </c>
      <c r="G63" s="316" t="s">
        <v>839</v>
      </c>
      <c r="H63" s="397" t="s">
        <v>840</v>
      </c>
      <c r="I63" s="316" t="s">
        <v>848</v>
      </c>
      <c r="J63" s="316" t="s">
        <v>846</v>
      </c>
      <c r="K63" s="316" t="s">
        <v>666</v>
      </c>
      <c r="L63" s="316">
        <f t="shared" si="8"/>
        <v>0</v>
      </c>
      <c r="M63" s="394" t="str">
        <f t="shared" si="3"/>
        <v>Compensation Not Required</v>
      </c>
      <c r="N63" s="316" t="s">
        <v>197</v>
      </c>
      <c r="O63" s="316">
        <f t="shared" si="5"/>
        <v>1</v>
      </c>
      <c r="P63" s="316" t="s">
        <v>197</v>
      </c>
      <c r="Q63" s="316">
        <f t="shared" si="6"/>
        <v>1</v>
      </c>
      <c r="R63" s="295"/>
      <c r="S63" s="316"/>
      <c r="T63" s="353" t="s">
        <v>344</v>
      </c>
      <c r="AF63" s="316" t="s">
        <v>119</v>
      </c>
      <c r="AG63" s="316" t="s">
        <v>708</v>
      </c>
    </row>
    <row r="64" spans="1:20" ht="14.25" customHeight="1">
      <c r="A64" s="908" t="s">
        <v>849</v>
      </c>
      <c r="B64" s="975" t="s">
        <v>850</v>
      </c>
      <c r="C64" s="316">
        <v>90</v>
      </c>
      <c r="D64" s="316" t="s">
        <v>643</v>
      </c>
      <c r="E64" s="316" t="s">
        <v>524</v>
      </c>
      <c r="F64" s="295"/>
      <c r="G64" s="316"/>
      <c r="H64" s="397"/>
      <c r="I64" s="316"/>
      <c r="J64" s="316"/>
      <c r="K64" s="316" t="s">
        <v>46</v>
      </c>
      <c r="L64" s="316">
        <f t="shared" si="8"/>
        <v>4</v>
      </c>
      <c r="M64" s="394" t="str">
        <f t="shared" si="3"/>
        <v>Same broad habitat or a higher distinctiveness habitat required (≥)</v>
      </c>
      <c r="N64" s="316" t="s">
        <v>46</v>
      </c>
      <c r="O64" s="316">
        <f t="shared" si="5"/>
        <v>0.67</v>
      </c>
      <c r="P64" s="316" t="s">
        <v>197</v>
      </c>
      <c r="Q64" s="316">
        <f t="shared" si="6"/>
        <v>1</v>
      </c>
      <c r="R64" s="295"/>
      <c r="S64" s="316"/>
      <c r="T64" s="353" t="s">
        <v>344</v>
      </c>
    </row>
    <row r="65" spans="1:20" ht="14.25" customHeight="1">
      <c r="A65" s="908" t="s">
        <v>361</v>
      </c>
      <c r="B65" s="975" t="s">
        <v>851</v>
      </c>
      <c r="C65" s="316" t="s">
        <v>845</v>
      </c>
      <c r="D65" s="316" t="s">
        <v>643</v>
      </c>
      <c r="E65" s="316" t="s">
        <v>838</v>
      </c>
      <c r="F65" s="295" t="s">
        <v>110</v>
      </c>
      <c r="G65" s="316" t="s">
        <v>839</v>
      </c>
      <c r="H65" s="397" t="s">
        <v>840</v>
      </c>
      <c r="I65" s="316" t="s">
        <v>845</v>
      </c>
      <c r="J65" s="316" t="s">
        <v>361</v>
      </c>
      <c r="K65" s="316" t="s">
        <v>666</v>
      </c>
      <c r="L65" s="316">
        <f t="shared" si="8"/>
        <v>0</v>
      </c>
      <c r="M65" s="394" t="str">
        <f t="shared" si="3"/>
        <v>Compensation Not Required</v>
      </c>
      <c r="N65" s="316" t="s">
        <v>197</v>
      </c>
      <c r="O65" s="316">
        <f t="shared" si="5"/>
        <v>1</v>
      </c>
      <c r="P65" s="316" t="s">
        <v>197</v>
      </c>
      <c r="Q65" s="316">
        <f>VLOOKUP(P65,Difficulty,2,FALSE)</f>
        <v>1</v>
      </c>
      <c r="R65" s="295"/>
      <c r="S65" s="316"/>
      <c r="T65" s="353" t="s">
        <v>344</v>
      </c>
    </row>
    <row r="66" spans="1:20" ht="14.25" customHeight="1">
      <c r="A66" s="908" t="s">
        <v>852</v>
      </c>
      <c r="B66" s="975" t="s">
        <v>853</v>
      </c>
      <c r="C66" s="316">
        <v>89</v>
      </c>
      <c r="D66" s="316" t="s">
        <v>643</v>
      </c>
      <c r="E66" s="316" t="s">
        <v>838</v>
      </c>
      <c r="F66" s="295" t="s">
        <v>110</v>
      </c>
      <c r="G66" s="316" t="s">
        <v>839</v>
      </c>
      <c r="H66" s="397" t="s">
        <v>840</v>
      </c>
      <c r="I66" s="316" t="s">
        <v>845</v>
      </c>
      <c r="J66" s="316" t="s">
        <v>361</v>
      </c>
      <c r="K66" s="316" t="s">
        <v>197</v>
      </c>
      <c r="L66" s="316">
        <f t="shared" si="8"/>
        <v>2</v>
      </c>
      <c r="M66" s="394" t="str">
        <f t="shared" si="3"/>
        <v>Same distinctiveness or better habitat required ≥</v>
      </c>
      <c r="N66" s="316" t="s">
        <v>197</v>
      </c>
      <c r="O66" s="316">
        <f t="shared" si="5"/>
        <v>1</v>
      </c>
      <c r="P66" s="316" t="s">
        <v>197</v>
      </c>
      <c r="Q66" s="316">
        <f t="shared" si="6"/>
        <v>1</v>
      </c>
      <c r="R66" s="295"/>
      <c r="S66" s="316"/>
      <c r="T66" s="353" t="s">
        <v>344</v>
      </c>
    </row>
    <row r="67" spans="1:20" ht="14.25" customHeight="1">
      <c r="A67" s="908" t="s">
        <v>854</v>
      </c>
      <c r="B67" s="975" t="s">
        <v>855</v>
      </c>
      <c r="C67" s="316">
        <v>843</v>
      </c>
      <c r="D67" s="316" t="s">
        <v>643</v>
      </c>
      <c r="E67" s="316" t="s">
        <v>838</v>
      </c>
      <c r="F67" s="295" t="s">
        <v>110</v>
      </c>
      <c r="G67" s="316" t="s">
        <v>839</v>
      </c>
      <c r="H67" s="397" t="s">
        <v>840</v>
      </c>
      <c r="I67" s="316" t="s">
        <v>845</v>
      </c>
      <c r="J67" s="316" t="s">
        <v>361</v>
      </c>
      <c r="K67" s="316" t="s">
        <v>197</v>
      </c>
      <c r="L67" s="316">
        <f t="shared" si="8"/>
        <v>2</v>
      </c>
      <c r="M67" s="394" t="str">
        <f t="shared" si="3"/>
        <v>Same distinctiveness or better habitat required ≥</v>
      </c>
      <c r="N67" s="316" t="s">
        <v>46</v>
      </c>
      <c r="O67" s="316">
        <f t="shared" si="9" ref="O67:O96">VLOOKUP(N67,Difficulty,2,FALSE)</f>
        <v>0.67</v>
      </c>
      <c r="P67" s="316" t="s">
        <v>46</v>
      </c>
      <c r="Q67" s="316">
        <f t="shared" si="10" ref="Q67:Q96">VLOOKUP(P67,Difficulty,2,FALSE)</f>
        <v>0.67</v>
      </c>
      <c r="R67" s="295"/>
      <c r="S67" s="316"/>
      <c r="T67" s="353" t="s">
        <v>344</v>
      </c>
    </row>
    <row r="68" spans="1:20" ht="14.25" customHeight="1">
      <c r="A68" s="908" t="s">
        <v>856</v>
      </c>
      <c r="B68" s="975" t="s">
        <v>857</v>
      </c>
      <c r="C68" s="316">
        <v>842</v>
      </c>
      <c r="D68" s="316" t="s">
        <v>643</v>
      </c>
      <c r="E68" s="316" t="s">
        <v>838</v>
      </c>
      <c r="F68" s="295" t="s">
        <v>110</v>
      </c>
      <c r="G68" s="316" t="s">
        <v>839</v>
      </c>
      <c r="H68" s="397" t="s">
        <v>840</v>
      </c>
      <c r="I68" s="316" t="s">
        <v>845</v>
      </c>
      <c r="J68" s="316" t="s">
        <v>361</v>
      </c>
      <c r="K68" s="316" t="s">
        <v>197</v>
      </c>
      <c r="L68" s="316">
        <f t="shared" si="8"/>
        <v>2</v>
      </c>
      <c r="M68" s="394" t="str">
        <f t="shared" si="3"/>
        <v>Same distinctiveness or better habitat required ≥</v>
      </c>
      <c r="N68" s="316" t="s">
        <v>46</v>
      </c>
      <c r="O68" s="316">
        <f t="shared" si="9"/>
        <v>0.67</v>
      </c>
      <c r="P68" s="316" t="s">
        <v>46</v>
      </c>
      <c r="Q68" s="316">
        <f t="shared" si="10"/>
        <v>0.67</v>
      </c>
      <c r="R68" s="295"/>
      <c r="S68" s="316"/>
      <c r="T68" s="353" t="s">
        <v>344</v>
      </c>
    </row>
    <row r="69" spans="1:20" ht="14.25" customHeight="1">
      <c r="A69" s="908" t="s">
        <v>858</v>
      </c>
      <c r="B69" s="975" t="s">
        <v>859</v>
      </c>
      <c r="C69" s="316">
        <v>845</v>
      </c>
      <c r="D69" s="316" t="s">
        <v>643</v>
      </c>
      <c r="E69" s="316" t="s">
        <v>838</v>
      </c>
      <c r="F69" s="295" t="s">
        <v>110</v>
      </c>
      <c r="G69" s="316" t="s">
        <v>839</v>
      </c>
      <c r="H69" s="397" t="s">
        <v>840</v>
      </c>
      <c r="I69" s="316"/>
      <c r="J69" s="316"/>
      <c r="K69" s="316" t="s">
        <v>197</v>
      </c>
      <c r="L69" s="316">
        <f t="shared" si="8"/>
        <v>2</v>
      </c>
      <c r="M69" s="394" t="str">
        <f t="shared" si="3"/>
        <v>Same distinctiveness or better habitat required ≥</v>
      </c>
      <c r="N69" s="316" t="s">
        <v>197</v>
      </c>
      <c r="O69" s="316">
        <f t="shared" si="9"/>
        <v>1</v>
      </c>
      <c r="P69" s="316" t="s">
        <v>197</v>
      </c>
      <c r="Q69" s="316">
        <f t="shared" si="10"/>
        <v>1</v>
      </c>
      <c r="R69" s="295"/>
      <c r="S69" s="316"/>
      <c r="T69" s="353" t="s">
        <v>344</v>
      </c>
    </row>
    <row r="70" spans="1:20" ht="14.25" customHeight="1">
      <c r="A70" s="908" t="s">
        <v>860</v>
      </c>
      <c r="B70" s="975" t="s">
        <v>861</v>
      </c>
      <c r="C70" s="316">
        <v>87</v>
      </c>
      <c r="D70" s="316" t="s">
        <v>643</v>
      </c>
      <c r="E70" s="316" t="s">
        <v>838</v>
      </c>
      <c r="F70" s="295" t="s">
        <v>110</v>
      </c>
      <c r="G70" s="316" t="s">
        <v>839</v>
      </c>
      <c r="H70" s="397" t="s">
        <v>840</v>
      </c>
      <c r="I70" s="316" t="s">
        <v>845</v>
      </c>
      <c r="J70" s="316" t="s">
        <v>361</v>
      </c>
      <c r="K70" s="316" t="s">
        <v>46</v>
      </c>
      <c r="L70" s="316">
        <f t="shared" si="8"/>
        <v>4</v>
      </c>
      <c r="M70" s="394" t="str">
        <f t="shared" si="3"/>
        <v>Same broad habitat or a higher distinctiveness habitat required (≥)</v>
      </c>
      <c r="N70" s="316" t="s">
        <v>46</v>
      </c>
      <c r="O70" s="316">
        <f t="shared" si="9"/>
        <v>0.67</v>
      </c>
      <c r="P70" s="316" t="s">
        <v>46</v>
      </c>
      <c r="Q70" s="316">
        <f t="shared" si="10"/>
        <v>0.67</v>
      </c>
      <c r="R70" s="295"/>
      <c r="S70" s="316"/>
      <c r="T70" s="353" t="s">
        <v>344</v>
      </c>
    </row>
    <row r="71" spans="1:20" ht="14.25" customHeight="1">
      <c r="A71" s="908" t="s">
        <v>862</v>
      </c>
      <c r="B71" s="975" t="s">
        <v>863</v>
      </c>
      <c r="C71" s="316">
        <v>847</v>
      </c>
      <c r="D71" s="316" t="s">
        <v>643</v>
      </c>
      <c r="E71" s="316" t="s">
        <v>838</v>
      </c>
      <c r="F71" s="295" t="s">
        <v>110</v>
      </c>
      <c r="G71" s="316" t="s">
        <v>839</v>
      </c>
      <c r="H71" s="397" t="s">
        <v>840</v>
      </c>
      <c r="I71" s="316"/>
      <c r="J71" s="316"/>
      <c r="K71" s="316" t="s">
        <v>197</v>
      </c>
      <c r="L71" s="316">
        <f t="shared" si="8"/>
        <v>2</v>
      </c>
      <c r="M71" s="394" t="str">
        <f t="shared" si="3"/>
        <v>Same distinctiveness or better habitat required ≥</v>
      </c>
      <c r="N71" s="316" t="s">
        <v>197</v>
      </c>
      <c r="O71" s="316">
        <f t="shared" si="9"/>
        <v>1</v>
      </c>
      <c r="P71" s="316" t="s">
        <v>197</v>
      </c>
      <c r="Q71" s="316">
        <f t="shared" si="10"/>
        <v>1</v>
      </c>
      <c r="R71" s="295"/>
      <c r="S71" s="316"/>
      <c r="T71" s="353" t="s">
        <v>344</v>
      </c>
    </row>
    <row r="72" spans="1:20" ht="14.25" customHeight="1">
      <c r="A72" s="908" t="s">
        <v>864</v>
      </c>
      <c r="B72" s="975" t="s">
        <v>569</v>
      </c>
      <c r="C72" s="316">
        <v>80</v>
      </c>
      <c r="D72" s="316" t="s">
        <v>643</v>
      </c>
      <c r="E72" s="316" t="s">
        <v>524</v>
      </c>
      <c r="F72" s="295"/>
      <c r="G72" s="316"/>
      <c r="H72" s="397"/>
      <c r="I72" s="316"/>
      <c r="J72" s="316"/>
      <c r="K72" s="316" t="s">
        <v>194</v>
      </c>
      <c r="L72" s="316">
        <f t="shared" si="8"/>
        <v>6</v>
      </c>
      <c r="M72" s="394" t="str">
        <f t="shared" si="3"/>
        <v>Same habitat required =</v>
      </c>
      <c r="N72" s="316" t="s">
        <v>46</v>
      </c>
      <c r="O72" s="316">
        <f t="shared" si="9"/>
        <v>0.67</v>
      </c>
      <c r="P72" s="316" t="s">
        <v>46</v>
      </c>
      <c r="Q72" s="316">
        <f t="shared" si="10"/>
        <v>0.67</v>
      </c>
      <c r="R72" s="295"/>
      <c r="S72" s="316"/>
      <c r="T72" s="353" t="s">
        <v>344</v>
      </c>
    </row>
    <row r="73" spans="1:20" ht="14.25" customHeight="1">
      <c r="A73" s="908" t="s">
        <v>865</v>
      </c>
      <c r="B73" s="975" t="s">
        <v>866</v>
      </c>
      <c r="C73" s="316">
        <v>850</v>
      </c>
      <c r="D73" s="316" t="s">
        <v>643</v>
      </c>
      <c r="E73" s="316" t="s">
        <v>524</v>
      </c>
      <c r="F73" s="295"/>
      <c r="G73" s="316"/>
      <c r="H73" s="397"/>
      <c r="I73" s="316"/>
      <c r="J73" s="316"/>
      <c r="K73" s="316" t="s">
        <v>197</v>
      </c>
      <c r="L73" s="316">
        <f t="shared" si="8"/>
        <v>2</v>
      </c>
      <c r="M73" s="394" t="str">
        <f t="shared" si="3"/>
        <v>Same distinctiveness or better habitat required ≥</v>
      </c>
      <c r="N73" s="316" t="s">
        <v>197</v>
      </c>
      <c r="O73" s="316">
        <f t="shared" si="9"/>
        <v>1</v>
      </c>
      <c r="P73" s="316" t="s">
        <v>197</v>
      </c>
      <c r="Q73" s="316">
        <f t="shared" si="10"/>
        <v>1</v>
      </c>
      <c r="R73" s="295"/>
      <c r="S73" s="316"/>
      <c r="T73" s="353" t="s">
        <v>344</v>
      </c>
    </row>
    <row r="74" spans="1:20" ht="14.25" customHeight="1">
      <c r="A74" s="908" t="s">
        <v>867</v>
      </c>
      <c r="B74" s="975" t="s">
        <v>868</v>
      </c>
      <c r="C74" s="316">
        <v>85</v>
      </c>
      <c r="D74" s="316" t="s">
        <v>643</v>
      </c>
      <c r="E74" s="316" t="s">
        <v>524</v>
      </c>
      <c r="F74" s="295"/>
      <c r="G74" s="316"/>
      <c r="H74" s="397"/>
      <c r="I74" s="316"/>
      <c r="J74" s="316"/>
      <c r="K74" s="316" t="s">
        <v>197</v>
      </c>
      <c r="L74" s="316">
        <f t="shared" si="8"/>
        <v>2</v>
      </c>
      <c r="M74" s="394" t="str">
        <f t="shared" si="11" ref="M74:M131">IF($K74=$V$3,$X$3,IF($K74=$V$4,$X$4,IF($K74=$V$5,$X$5,IF($K74=$V$6,$X$6,IF($K74=$V$7,$X$7)))))</f>
        <v>Same distinctiveness or better habitat required ≥</v>
      </c>
      <c r="N74" s="316" t="s">
        <v>46</v>
      </c>
      <c r="O74" s="316">
        <f t="shared" si="9"/>
        <v>0.67</v>
      </c>
      <c r="P74" s="316" t="s">
        <v>197</v>
      </c>
      <c r="Q74" s="316">
        <f t="shared" si="10"/>
        <v>1</v>
      </c>
      <c r="R74" s="295"/>
      <c r="S74" s="316"/>
      <c r="T74" s="353" t="s">
        <v>344</v>
      </c>
    </row>
    <row r="75" spans="1:20" ht="14.25" customHeight="1">
      <c r="A75" s="908" t="s">
        <v>438</v>
      </c>
      <c r="B75" s="975" t="s">
        <v>869</v>
      </c>
      <c r="C75" s="316">
        <v>848</v>
      </c>
      <c r="D75" s="316" t="s">
        <v>643</v>
      </c>
      <c r="E75" s="316" t="s">
        <v>524</v>
      </c>
      <c r="F75" s="295"/>
      <c r="G75" s="316"/>
      <c r="H75" s="397"/>
      <c r="I75" s="316"/>
      <c r="J75" s="316"/>
      <c r="K75" s="316" t="s">
        <v>197</v>
      </c>
      <c r="L75" s="316">
        <f t="shared" si="8"/>
        <v>2</v>
      </c>
      <c r="M75" s="394" t="str">
        <f t="shared" si="11"/>
        <v>Same distinctiveness or better habitat required ≥</v>
      </c>
      <c r="N75" s="316" t="s">
        <v>46</v>
      </c>
      <c r="O75" s="316">
        <f t="shared" si="9"/>
        <v>0.67</v>
      </c>
      <c r="P75" s="316" t="s">
        <v>46</v>
      </c>
      <c r="Q75" s="316">
        <f t="shared" si="10"/>
        <v>0.67</v>
      </c>
      <c r="R75" s="295"/>
      <c r="S75" s="316"/>
      <c r="T75" s="353" t="s">
        <v>344</v>
      </c>
    </row>
    <row r="76" spans="1:20" ht="14.25" customHeight="1">
      <c r="A76" s="908" t="s">
        <v>870</v>
      </c>
      <c r="B76" s="975" t="s">
        <v>871</v>
      </c>
      <c r="C76" s="316">
        <v>829</v>
      </c>
      <c r="D76" s="316" t="s">
        <v>643</v>
      </c>
      <c r="E76" s="316" t="s">
        <v>838</v>
      </c>
      <c r="F76" s="295" t="s">
        <v>110</v>
      </c>
      <c r="G76" s="316" t="s">
        <v>839</v>
      </c>
      <c r="H76" s="397" t="s">
        <v>840</v>
      </c>
      <c r="I76" s="316"/>
      <c r="J76" s="316"/>
      <c r="K76" s="316" t="s">
        <v>666</v>
      </c>
      <c r="L76" s="316">
        <f t="shared" si="8"/>
        <v>0</v>
      </c>
      <c r="M76" s="394" t="str">
        <f t="shared" si="11"/>
        <v>Compensation Not Required</v>
      </c>
      <c r="N76" s="316" t="s">
        <v>197</v>
      </c>
      <c r="O76" s="316">
        <f t="shared" si="9"/>
        <v>1</v>
      </c>
      <c r="P76" s="316" t="s">
        <v>197</v>
      </c>
      <c r="Q76" s="316">
        <f t="shared" si="10"/>
        <v>1</v>
      </c>
      <c r="R76" s="295"/>
      <c r="S76" s="316"/>
      <c r="T76" s="353" t="s">
        <v>344</v>
      </c>
    </row>
    <row r="77" spans="1:20" ht="14.25" customHeight="1">
      <c r="A77" s="908" t="s">
        <v>872</v>
      </c>
      <c r="B77" s="975" t="s">
        <v>873</v>
      </c>
      <c r="C77" s="316">
        <v>82</v>
      </c>
      <c r="D77" s="316" t="s">
        <v>643</v>
      </c>
      <c r="E77" s="316" t="s">
        <v>524</v>
      </c>
      <c r="F77" s="295"/>
      <c r="G77" s="316"/>
      <c r="H77" s="397"/>
      <c r="I77" s="316"/>
      <c r="J77" s="316"/>
      <c r="K77" s="316" t="s">
        <v>197</v>
      </c>
      <c r="L77" s="316">
        <f t="shared" si="8"/>
        <v>2</v>
      </c>
      <c r="M77" s="394" t="str">
        <f t="shared" si="11"/>
        <v>Same distinctiveness or better habitat required ≥</v>
      </c>
      <c r="N77" s="316" t="s">
        <v>197</v>
      </c>
      <c r="O77" s="316">
        <f t="shared" si="9"/>
        <v>1</v>
      </c>
      <c r="P77" s="316" t="s">
        <v>197</v>
      </c>
      <c r="Q77" s="316">
        <f t="shared" si="10"/>
        <v>1</v>
      </c>
      <c r="R77" s="295" t="s">
        <v>874</v>
      </c>
      <c r="S77" s="316"/>
      <c r="T77" s="353" t="s">
        <v>344</v>
      </c>
    </row>
    <row r="78" spans="1:20" ht="14.25" customHeight="1">
      <c r="A78" s="908" t="s">
        <v>875</v>
      </c>
      <c r="B78" s="1065" t="s">
        <v>876</v>
      </c>
      <c r="C78" s="805">
        <v>510</v>
      </c>
      <c r="D78" s="805" t="s">
        <v>643</v>
      </c>
      <c r="E78" s="316" t="s">
        <v>524</v>
      </c>
      <c r="F78" s="308"/>
      <c r="G78" s="805"/>
      <c r="H78" s="415"/>
      <c r="I78" s="805"/>
      <c r="J78" s="805"/>
      <c r="K78" s="805" t="s">
        <v>197</v>
      </c>
      <c r="L78" s="805">
        <f t="shared" si="8"/>
        <v>2</v>
      </c>
      <c r="M78" s="416" t="str">
        <f t="shared" si="11"/>
        <v>Same distinctiveness or better habitat required ≥</v>
      </c>
      <c r="N78" s="805" t="s">
        <v>197</v>
      </c>
      <c r="O78" s="805">
        <v>1</v>
      </c>
      <c r="P78" s="805" t="s">
        <v>197</v>
      </c>
      <c r="Q78" s="805">
        <v>1</v>
      </c>
      <c r="R78" s="295" t="s">
        <v>874</v>
      </c>
      <c r="S78" s="805"/>
      <c r="T78" s="353" t="s">
        <v>344</v>
      </c>
    </row>
    <row r="79" spans="1:20" ht="14.25" customHeight="1" thickBot="1">
      <c r="A79" s="916" t="s">
        <v>444</v>
      </c>
      <c r="B79" s="976" t="s">
        <v>877</v>
      </c>
      <c r="C79" s="301">
        <v>828</v>
      </c>
      <c r="D79" s="301" t="s">
        <v>643</v>
      </c>
      <c r="E79" s="301" t="s">
        <v>524</v>
      </c>
      <c r="F79" s="284"/>
      <c r="G79" s="301"/>
      <c r="H79" s="398"/>
      <c r="I79" s="301"/>
      <c r="J79" s="301"/>
      <c r="K79" s="301" t="s">
        <v>197</v>
      </c>
      <c r="L79" s="301">
        <f t="shared" si="12" ref="L79:L102">IF(K79=$V$3,$W$3,IF(K79=$V$3,$W$3,IF(K79=$V$4,$W$4,IF(K79=$V$5,$W$5,IF(K79=$V$6,$W$6,IF(K79=$V$7,$W$7))))))</f>
        <v>2</v>
      </c>
      <c r="M79" s="395" t="str">
        <f t="shared" si="11"/>
        <v>Same distinctiveness or better habitat required ≥</v>
      </c>
      <c r="N79" s="301" t="s">
        <v>197</v>
      </c>
      <c r="O79" s="301">
        <f t="shared" si="9"/>
        <v>1</v>
      </c>
      <c r="P79" s="301" t="s">
        <v>197</v>
      </c>
      <c r="Q79" s="301">
        <f t="shared" si="10"/>
        <v>1</v>
      </c>
      <c r="R79" s="284"/>
      <c r="S79" s="301"/>
      <c r="T79" s="345" t="s">
        <v>344</v>
      </c>
    </row>
    <row r="80" spans="1:36" s="107" customFormat="1" ht="14.25" customHeight="1">
      <c r="A80" s="908" t="s">
        <v>878</v>
      </c>
      <c r="B80" s="1063" t="s">
        <v>879</v>
      </c>
      <c r="C80" s="349" t="s">
        <v>880</v>
      </c>
      <c r="D80" s="349" t="s">
        <v>643</v>
      </c>
      <c r="E80" s="349"/>
      <c r="F80" s="280"/>
      <c r="G80" s="349"/>
      <c r="H80" s="782"/>
      <c r="I80" s="349"/>
      <c r="J80" s="349"/>
      <c r="K80" s="349" t="s">
        <v>46</v>
      </c>
      <c r="L80" s="349">
        <f>IF(K80=$V$3,$W$3,IF(K80=$V$3,$W$3,IF(K80=$V$4,$W$4,IF(K80=$V$5,$W$5,IF(K80=$V$6,$W$6,IF(K80=$V$7,$W$7))))))</f>
        <v>4</v>
      </c>
      <c r="M80" s="783" t="str">
        <f>IF($K80=$V$3,$X$3,IF($K80=$V$4,$X$4,IF($K80=$V$5,$X$5,IF($K80=$V$6,$X$6,IF($K80=$V$7,$X$7)))))</f>
        <v>Same broad habitat or a higher distinctiveness habitat required (≥)</v>
      </c>
      <c r="N80" s="349" t="s">
        <v>197</v>
      </c>
      <c r="O80" s="349">
        <f>VLOOKUP(N80,Difficulty,2,FALSE)</f>
        <v>1</v>
      </c>
      <c r="P80" s="349" t="s">
        <v>197</v>
      </c>
      <c r="Q80" s="349">
        <f>VLOOKUP(P80,Difficulty,2,FALSE)</f>
        <v>1</v>
      </c>
      <c r="R80" s="280"/>
      <c r="S80" s="349"/>
      <c r="T80" s="347" t="s">
        <v>881</v>
      </c>
      <c r="U80" s="30"/>
      <c r="V80" s="30"/>
      <c r="W80" s="30"/>
      <c r="X80" s="30"/>
      <c r="Y80" s="30"/>
      <c r="Z80" s="30"/>
      <c r="AA80" s="30"/>
      <c r="AB80" s="30"/>
      <c r="AC80" s="30"/>
      <c r="AD80" s="30"/>
      <c r="AE80" s="30"/>
      <c r="AF80" s="30"/>
      <c r="AG80" s="30"/>
      <c r="AH80" s="30"/>
      <c r="AI80" s="30"/>
      <c r="AJ80" s="630"/>
    </row>
    <row r="81" spans="1:36" s="107" customFormat="1" ht="14.25" customHeight="1" thickBot="1">
      <c r="A81" s="909" t="s">
        <v>353</v>
      </c>
      <c r="B81" s="1070" t="s">
        <v>882</v>
      </c>
      <c r="C81" s="301" t="s">
        <v>883</v>
      </c>
      <c r="D81" s="301" t="s">
        <v>643</v>
      </c>
      <c r="E81" s="301"/>
      <c r="F81" s="284"/>
      <c r="G81" s="301"/>
      <c r="H81" s="301"/>
      <c r="I81" s="301"/>
      <c r="J81" s="301"/>
      <c r="K81" s="301" t="s">
        <v>46</v>
      </c>
      <c r="L81" s="301">
        <f>IF(K81=$V$3,$W$3,IF(K81=$V$3,$W$3,IF(K81=$V$4,$W$4,IF(K81=$V$5,$W$5,IF(K81=$V$6,$W$6,IF(K81=$V$7,$W$7))))))</f>
        <v>4</v>
      </c>
      <c r="M81" s="395" t="str">
        <f>IF($K81=$V$3,$X$3,IF($K81=$V$4,$X$4,IF($K81=$V$5,$X$5,IF($K81=$V$6,$X$6,IF($K81=$V$7,$X$7)))))</f>
        <v>Same broad habitat or a higher distinctiveness habitat required (≥)</v>
      </c>
      <c r="N81" s="301" t="s">
        <v>197</v>
      </c>
      <c r="O81" s="301">
        <f>VLOOKUP(N81,Difficulty,2,FALSE)</f>
        <v>1</v>
      </c>
      <c r="P81" s="301" t="s">
        <v>197</v>
      </c>
      <c r="Q81" s="301">
        <f>VLOOKUP(P81,Difficulty,2,FALSE)</f>
        <v>1</v>
      </c>
      <c r="R81" s="284"/>
      <c r="S81" s="301"/>
      <c r="T81" s="345" t="s">
        <v>881</v>
      </c>
      <c r="U81" s="30"/>
      <c r="V81" s="30"/>
      <c r="W81" s="30"/>
      <c r="X81" s="30"/>
      <c r="Y81" s="30"/>
      <c r="Z81" s="30"/>
      <c r="AA81" s="30"/>
      <c r="AB81" s="30"/>
      <c r="AC81" s="30"/>
      <c r="AD81" s="30"/>
      <c r="AE81" s="30"/>
      <c r="AF81" s="30"/>
      <c r="AG81" s="30"/>
      <c r="AH81" s="30"/>
      <c r="AI81" s="30"/>
      <c r="AJ81" s="630"/>
    </row>
    <row r="82" spans="1:20" ht="14.25" customHeight="1">
      <c r="A82" s="913" t="s">
        <v>884</v>
      </c>
      <c r="B82" s="1063" t="s">
        <v>885</v>
      </c>
      <c r="C82" s="349" t="s">
        <v>886</v>
      </c>
      <c r="D82" s="349" t="s">
        <v>643</v>
      </c>
      <c r="E82" s="349" t="s">
        <v>887</v>
      </c>
      <c r="F82" s="280" t="s">
        <v>111</v>
      </c>
      <c r="G82" s="349" t="s">
        <v>888</v>
      </c>
      <c r="H82" s="782" t="s">
        <v>889</v>
      </c>
      <c r="I82" s="349" t="s">
        <v>886</v>
      </c>
      <c r="J82" s="349" t="s">
        <v>884</v>
      </c>
      <c r="K82" s="349" t="s">
        <v>649</v>
      </c>
      <c r="L82" s="349">
        <f t="shared" si="12"/>
        <v>8</v>
      </c>
      <c r="M82" s="783" t="str">
        <f t="shared" si="11"/>
        <v>Same habitat required – bespoke compensation option ⚠</v>
      </c>
      <c r="N82" s="349" t="s">
        <v>192</v>
      </c>
      <c r="O82" s="349">
        <f t="shared" si="9"/>
        <v>0.10</v>
      </c>
      <c r="P82" s="349" t="s">
        <v>194</v>
      </c>
      <c r="Q82" s="349">
        <f t="shared" si="10"/>
        <v>0.33</v>
      </c>
      <c r="R82" s="280"/>
      <c r="S82" s="349"/>
      <c r="T82" s="347" t="s">
        <v>348</v>
      </c>
    </row>
    <row r="83" spans="1:20" ht="14.25" customHeight="1">
      <c r="A83" s="908" t="s">
        <v>890</v>
      </c>
      <c r="B83" s="975" t="s">
        <v>891</v>
      </c>
      <c r="C83" s="316">
        <v>56</v>
      </c>
      <c r="D83" s="316" t="s">
        <v>643</v>
      </c>
      <c r="E83" s="316" t="s">
        <v>524</v>
      </c>
      <c r="F83" s="295"/>
      <c r="G83" s="316"/>
      <c r="H83" s="397"/>
      <c r="I83" s="316"/>
      <c r="J83" s="316"/>
      <c r="K83" s="316" t="s">
        <v>649</v>
      </c>
      <c r="L83" s="316">
        <f t="shared" si="12"/>
        <v>8</v>
      </c>
      <c r="M83" s="394" t="str">
        <f t="shared" si="11"/>
        <v>Same habitat required – bespoke compensation option ⚠</v>
      </c>
      <c r="N83" s="316" t="s">
        <v>192</v>
      </c>
      <c r="O83" s="316">
        <f t="shared" si="9"/>
        <v>0.10</v>
      </c>
      <c r="P83" s="316" t="s">
        <v>194</v>
      </c>
      <c r="Q83" s="316">
        <f t="shared" si="10"/>
        <v>0.33</v>
      </c>
      <c r="R83" s="295"/>
      <c r="S83" s="316"/>
      <c r="T83" s="353" t="s">
        <v>344</v>
      </c>
    </row>
    <row r="84" spans="1:20" ht="14.25" customHeight="1">
      <c r="A84" s="908" t="s">
        <v>892</v>
      </c>
      <c r="B84" s="975" t="s">
        <v>893</v>
      </c>
      <c r="C84" s="316" t="s">
        <v>894</v>
      </c>
      <c r="D84" s="316" t="s">
        <v>643</v>
      </c>
      <c r="E84" s="316" t="s">
        <v>887</v>
      </c>
      <c r="F84" s="295" t="s">
        <v>111</v>
      </c>
      <c r="G84" s="316" t="s">
        <v>895</v>
      </c>
      <c r="H84" s="397" t="s">
        <v>896</v>
      </c>
      <c r="I84" s="316" t="s">
        <v>524</v>
      </c>
      <c r="J84" s="316" t="s">
        <v>897</v>
      </c>
      <c r="K84" s="316" t="s">
        <v>649</v>
      </c>
      <c r="L84" s="316">
        <f t="shared" si="12"/>
        <v>8</v>
      </c>
      <c r="M84" s="394" t="str">
        <f t="shared" si="11"/>
        <v>Same habitat required – bespoke compensation option ⚠</v>
      </c>
      <c r="N84" s="316" t="s">
        <v>194</v>
      </c>
      <c r="O84" s="316">
        <f t="shared" si="9"/>
        <v>0.33</v>
      </c>
      <c r="P84" s="316" t="s">
        <v>194</v>
      </c>
      <c r="Q84" s="316">
        <f t="shared" si="10"/>
        <v>0.33</v>
      </c>
      <c r="R84" s="295"/>
      <c r="S84" s="316"/>
      <c r="T84" s="353" t="s">
        <v>881</v>
      </c>
    </row>
    <row r="85" spans="1:20" ht="14.25" customHeight="1">
      <c r="A85" s="908" t="s">
        <v>898</v>
      </c>
      <c r="B85" s="975" t="s">
        <v>899</v>
      </c>
      <c r="C85" s="316" t="s">
        <v>900</v>
      </c>
      <c r="D85" s="316" t="s">
        <v>643</v>
      </c>
      <c r="E85" s="316" t="s">
        <v>887</v>
      </c>
      <c r="F85" s="295" t="s">
        <v>111</v>
      </c>
      <c r="G85" s="316" t="s">
        <v>888</v>
      </c>
      <c r="H85" s="397" t="s">
        <v>889</v>
      </c>
      <c r="I85" s="316" t="s">
        <v>900</v>
      </c>
      <c r="J85" s="316" t="s">
        <v>898</v>
      </c>
      <c r="K85" s="316" t="s">
        <v>649</v>
      </c>
      <c r="L85" s="316">
        <f t="shared" si="12"/>
        <v>8</v>
      </c>
      <c r="M85" s="394" t="str">
        <f t="shared" si="11"/>
        <v>Same habitat required – bespoke compensation option ⚠</v>
      </c>
      <c r="N85" s="316" t="s">
        <v>192</v>
      </c>
      <c r="O85" s="316">
        <f t="shared" si="9"/>
        <v>0.10</v>
      </c>
      <c r="P85" s="316" t="s">
        <v>194</v>
      </c>
      <c r="Q85" s="316">
        <f t="shared" si="10"/>
        <v>0.33</v>
      </c>
      <c r="R85" s="295"/>
      <c r="S85" s="316"/>
      <c r="T85" s="353" t="s">
        <v>881</v>
      </c>
    </row>
    <row r="86" spans="1:20" ht="14.25" customHeight="1">
      <c r="A86" s="908" t="s">
        <v>901</v>
      </c>
      <c r="B86" s="975" t="s">
        <v>902</v>
      </c>
      <c r="C86" s="316" t="s">
        <v>903</v>
      </c>
      <c r="D86" s="316" t="s">
        <v>643</v>
      </c>
      <c r="E86" s="316"/>
      <c r="F86" s="295"/>
      <c r="G86" s="316"/>
      <c r="H86" s="397"/>
      <c r="I86" s="316"/>
      <c r="J86" s="316"/>
      <c r="K86" s="316" t="s">
        <v>649</v>
      </c>
      <c r="L86" s="316">
        <f t="shared" si="12"/>
        <v>8</v>
      </c>
      <c r="M86" s="394" t="str">
        <f t="shared" si="11"/>
        <v>Same habitat required – bespoke compensation option ⚠</v>
      </c>
      <c r="N86" s="316" t="s">
        <v>192</v>
      </c>
      <c r="O86" s="316">
        <f t="shared" si="9"/>
        <v>0.10</v>
      </c>
      <c r="P86" s="316" t="s">
        <v>194</v>
      </c>
      <c r="Q86" s="316">
        <f t="shared" si="10"/>
        <v>0.33</v>
      </c>
      <c r="R86" s="295"/>
      <c r="S86" s="316"/>
      <c r="T86" s="353" t="s">
        <v>344</v>
      </c>
    </row>
    <row r="87" spans="1:20" ht="14.25" customHeight="1">
      <c r="A87" s="908" t="s">
        <v>904</v>
      </c>
      <c r="B87" s="975" t="s">
        <v>905</v>
      </c>
      <c r="C87" s="316" t="s">
        <v>906</v>
      </c>
      <c r="D87" s="316" t="s">
        <v>643</v>
      </c>
      <c r="E87" s="316" t="s">
        <v>887</v>
      </c>
      <c r="F87" s="295" t="s">
        <v>111</v>
      </c>
      <c r="G87" s="316" t="s">
        <v>895</v>
      </c>
      <c r="H87" s="397" t="s">
        <v>896</v>
      </c>
      <c r="I87" s="316" t="s">
        <v>906</v>
      </c>
      <c r="J87" s="316" t="s">
        <v>904</v>
      </c>
      <c r="K87" s="316" t="s">
        <v>649</v>
      </c>
      <c r="L87" s="316">
        <f t="shared" si="12"/>
        <v>8</v>
      </c>
      <c r="M87" s="394" t="str">
        <f t="shared" si="11"/>
        <v>Same habitat required – bespoke compensation option ⚠</v>
      </c>
      <c r="N87" s="316" t="s">
        <v>194</v>
      </c>
      <c r="O87" s="316">
        <f t="shared" si="9"/>
        <v>0.33</v>
      </c>
      <c r="P87" s="316" t="s">
        <v>194</v>
      </c>
      <c r="Q87" s="316">
        <f t="shared" si="10"/>
        <v>0.33</v>
      </c>
      <c r="R87" s="295"/>
      <c r="S87" s="316"/>
      <c r="T87" s="353" t="s">
        <v>344</v>
      </c>
    </row>
    <row r="88" spans="1:20" ht="14.25" customHeight="1">
      <c r="A88" s="908" t="s">
        <v>907</v>
      </c>
      <c r="B88" s="975" t="s">
        <v>571</v>
      </c>
      <c r="C88" s="316" t="s">
        <v>908</v>
      </c>
      <c r="D88" s="316" t="s">
        <v>643</v>
      </c>
      <c r="E88" s="316" t="s">
        <v>887</v>
      </c>
      <c r="F88" s="295" t="s">
        <v>111</v>
      </c>
      <c r="G88" s="316" t="s">
        <v>895</v>
      </c>
      <c r="H88" s="397" t="s">
        <v>896</v>
      </c>
      <c r="I88" s="316" t="s">
        <v>908</v>
      </c>
      <c r="J88" s="316" t="s">
        <v>907</v>
      </c>
      <c r="K88" s="316" t="s">
        <v>194</v>
      </c>
      <c r="L88" s="316">
        <f t="shared" si="12"/>
        <v>6</v>
      </c>
      <c r="M88" s="394" t="str">
        <f t="shared" si="11"/>
        <v>Same habitat required =</v>
      </c>
      <c r="N88" s="316" t="s">
        <v>46</v>
      </c>
      <c r="O88" s="316">
        <f t="shared" si="9"/>
        <v>0.67</v>
      </c>
      <c r="P88" s="316" t="s">
        <v>46</v>
      </c>
      <c r="Q88" s="316">
        <f t="shared" si="10"/>
        <v>0.67</v>
      </c>
      <c r="R88" s="295"/>
      <c r="S88" s="316"/>
      <c r="T88" s="353" t="s">
        <v>344</v>
      </c>
    </row>
    <row r="89" spans="1:20" ht="14.25" customHeight="1" thickBot="1">
      <c r="A89" s="908" t="s">
        <v>909</v>
      </c>
      <c r="B89" s="976" t="s">
        <v>910</v>
      </c>
      <c r="C89" s="301" t="s">
        <v>911</v>
      </c>
      <c r="D89" s="301" t="s">
        <v>643</v>
      </c>
      <c r="E89" s="301" t="s">
        <v>887</v>
      </c>
      <c r="F89" s="284" t="s">
        <v>111</v>
      </c>
      <c r="G89" s="301" t="s">
        <v>895</v>
      </c>
      <c r="H89" s="398" t="s">
        <v>896</v>
      </c>
      <c r="I89" s="301" t="s">
        <v>524</v>
      </c>
      <c r="J89" s="301" t="s">
        <v>912</v>
      </c>
      <c r="K89" s="301" t="s">
        <v>649</v>
      </c>
      <c r="L89" s="301">
        <f t="shared" si="12"/>
        <v>8</v>
      </c>
      <c r="M89" s="395" t="str">
        <f t="shared" si="11"/>
        <v>Same habitat required – bespoke compensation option ⚠</v>
      </c>
      <c r="N89" s="301" t="s">
        <v>192</v>
      </c>
      <c r="O89" s="301">
        <f t="shared" si="9"/>
        <v>0.10</v>
      </c>
      <c r="P89" s="301" t="s">
        <v>194</v>
      </c>
      <c r="Q89" s="301">
        <f t="shared" si="10"/>
        <v>0.33</v>
      </c>
      <c r="R89" s="284"/>
      <c r="S89" s="301"/>
      <c r="T89" s="345" t="s">
        <v>344</v>
      </c>
    </row>
    <row r="90" spans="1:20" ht="14.25" customHeight="1">
      <c r="A90" s="908" t="s">
        <v>913</v>
      </c>
      <c r="B90" s="1063" t="s">
        <v>914</v>
      </c>
      <c r="C90" s="349">
        <v>206</v>
      </c>
      <c r="D90" s="349" t="s">
        <v>643</v>
      </c>
      <c r="E90" s="316" t="s">
        <v>524</v>
      </c>
      <c r="F90" s="280"/>
      <c r="G90" s="349"/>
      <c r="H90" s="782"/>
      <c r="I90" s="349"/>
      <c r="J90" s="349"/>
      <c r="K90" s="349" t="s">
        <v>194</v>
      </c>
      <c r="L90" s="349">
        <f t="shared" si="12"/>
        <v>6</v>
      </c>
      <c r="M90" s="783" t="str">
        <f t="shared" si="11"/>
        <v>Same habitat required =</v>
      </c>
      <c r="N90" s="349" t="s">
        <v>194</v>
      </c>
      <c r="O90" s="349">
        <f t="shared" si="9"/>
        <v>0.33</v>
      </c>
      <c r="P90" s="349" t="s">
        <v>197</v>
      </c>
      <c r="Q90" s="349">
        <f t="shared" si="10"/>
        <v>1</v>
      </c>
      <c r="R90" s="280"/>
      <c r="S90" s="349"/>
      <c r="T90" s="347" t="s">
        <v>881</v>
      </c>
    </row>
    <row r="91" spans="1:20" ht="14.25" customHeight="1">
      <c r="A91" s="908" t="s">
        <v>915</v>
      </c>
      <c r="B91" s="975" t="s">
        <v>544</v>
      </c>
      <c r="C91" s="316" t="s">
        <v>916</v>
      </c>
      <c r="D91" s="316" t="s">
        <v>643</v>
      </c>
      <c r="E91" s="316" t="s">
        <v>917</v>
      </c>
      <c r="F91" s="295" t="s">
        <v>112</v>
      </c>
      <c r="G91" s="316" t="s">
        <v>918</v>
      </c>
      <c r="H91" s="397" t="s">
        <v>919</v>
      </c>
      <c r="I91" s="316" t="s">
        <v>916</v>
      </c>
      <c r="J91" s="316" t="s">
        <v>915</v>
      </c>
      <c r="K91" s="316" t="s">
        <v>194</v>
      </c>
      <c r="L91" s="316">
        <f t="shared" si="12"/>
        <v>6</v>
      </c>
      <c r="M91" s="394" t="str">
        <f t="shared" si="11"/>
        <v>Same habitat required =</v>
      </c>
      <c r="N91" s="316" t="s">
        <v>194</v>
      </c>
      <c r="O91" s="316">
        <f t="shared" si="9"/>
        <v>0.33</v>
      </c>
      <c r="P91" s="316" t="s">
        <v>194</v>
      </c>
      <c r="Q91" s="316">
        <f t="shared" si="10"/>
        <v>0.33</v>
      </c>
      <c r="R91" s="295"/>
      <c r="S91" s="316"/>
      <c r="T91" s="377" t="s">
        <v>881</v>
      </c>
    </row>
    <row r="92" spans="1:20" ht="14.25" customHeight="1">
      <c r="A92" s="908" t="s">
        <v>920</v>
      </c>
      <c r="B92" s="975" t="s">
        <v>541</v>
      </c>
      <c r="C92" s="316" t="s">
        <v>921</v>
      </c>
      <c r="D92" s="316" t="s">
        <v>643</v>
      </c>
      <c r="E92" s="316" t="s">
        <v>917</v>
      </c>
      <c r="F92" s="295" t="s">
        <v>112</v>
      </c>
      <c r="G92" s="316" t="s">
        <v>918</v>
      </c>
      <c r="H92" s="397" t="s">
        <v>919</v>
      </c>
      <c r="I92" s="316" t="s">
        <v>921</v>
      </c>
      <c r="J92" s="316" t="s">
        <v>920</v>
      </c>
      <c r="K92" s="316" t="s">
        <v>194</v>
      </c>
      <c r="L92" s="316">
        <f t="shared" si="12"/>
        <v>6</v>
      </c>
      <c r="M92" s="394" t="str">
        <f t="shared" si="11"/>
        <v>Same habitat required =</v>
      </c>
      <c r="N92" s="316" t="s">
        <v>194</v>
      </c>
      <c r="O92" s="316">
        <f t="shared" si="9"/>
        <v>0.33</v>
      </c>
      <c r="P92" s="316" t="s">
        <v>194</v>
      </c>
      <c r="Q92" s="316">
        <f t="shared" si="10"/>
        <v>0.33</v>
      </c>
      <c r="R92" s="295"/>
      <c r="S92" s="316"/>
      <c r="T92" s="377" t="s">
        <v>881</v>
      </c>
    </row>
    <row r="93" spans="1:20" ht="14.25" customHeight="1">
      <c r="A93" s="908" t="s">
        <v>922</v>
      </c>
      <c r="B93" s="975" t="s">
        <v>542</v>
      </c>
      <c r="C93" s="316" t="s">
        <v>923</v>
      </c>
      <c r="D93" s="316" t="s">
        <v>643</v>
      </c>
      <c r="E93" s="316" t="s">
        <v>917</v>
      </c>
      <c r="F93" s="295" t="s">
        <v>112</v>
      </c>
      <c r="G93" s="316" t="s">
        <v>924</v>
      </c>
      <c r="H93" s="397" t="s">
        <v>925</v>
      </c>
      <c r="I93" s="316" t="s">
        <v>923</v>
      </c>
      <c r="J93" s="316" t="s">
        <v>922</v>
      </c>
      <c r="K93" s="316" t="s">
        <v>194</v>
      </c>
      <c r="L93" s="316">
        <f t="shared" si="12"/>
        <v>6</v>
      </c>
      <c r="M93" s="394" t="str">
        <f t="shared" si="11"/>
        <v>Same habitat required =</v>
      </c>
      <c r="N93" s="316" t="s">
        <v>194</v>
      </c>
      <c r="O93" s="316">
        <f t="shared" si="9"/>
        <v>0.33</v>
      </c>
      <c r="P93" s="316" t="s">
        <v>194</v>
      </c>
      <c r="Q93" s="316">
        <f t="shared" si="10"/>
        <v>0.33</v>
      </c>
      <c r="R93" s="295"/>
      <c r="S93" s="316"/>
      <c r="T93" s="377" t="s">
        <v>881</v>
      </c>
    </row>
    <row r="94" spans="1:20" ht="14.25" customHeight="1">
      <c r="A94" s="908" t="s">
        <v>926</v>
      </c>
      <c r="B94" s="975" t="s">
        <v>927</v>
      </c>
      <c r="C94" s="316" t="s">
        <v>928</v>
      </c>
      <c r="D94" s="316" t="s">
        <v>643</v>
      </c>
      <c r="E94" s="316" t="s">
        <v>917</v>
      </c>
      <c r="F94" s="295" t="s">
        <v>112</v>
      </c>
      <c r="G94" s="316" t="s">
        <v>924</v>
      </c>
      <c r="H94" s="397" t="s">
        <v>925</v>
      </c>
      <c r="I94" s="316" t="s">
        <v>928</v>
      </c>
      <c r="J94" s="316" t="s">
        <v>926</v>
      </c>
      <c r="K94" s="316" t="s">
        <v>197</v>
      </c>
      <c r="L94" s="316">
        <f t="shared" si="12"/>
        <v>2</v>
      </c>
      <c r="M94" s="394" t="str">
        <f t="shared" si="11"/>
        <v>Same distinctiveness or better habitat required ≥</v>
      </c>
      <c r="N94" s="316" t="s">
        <v>197</v>
      </c>
      <c r="O94" s="316">
        <f t="shared" si="9"/>
        <v>1</v>
      </c>
      <c r="P94" s="316" t="s">
        <v>197</v>
      </c>
      <c r="Q94" s="316">
        <f t="shared" si="10"/>
        <v>1</v>
      </c>
      <c r="R94" s="295"/>
      <c r="S94" s="316"/>
      <c r="T94" s="377" t="s">
        <v>881</v>
      </c>
    </row>
    <row r="95" spans="1:20" ht="14.25" customHeight="1">
      <c r="A95" s="908" t="s">
        <v>929</v>
      </c>
      <c r="B95" s="975" t="s">
        <v>930</v>
      </c>
      <c r="C95" s="316" t="s">
        <v>931</v>
      </c>
      <c r="D95" s="316" t="s">
        <v>643</v>
      </c>
      <c r="E95" s="316" t="s">
        <v>917</v>
      </c>
      <c r="F95" s="295" t="s">
        <v>112</v>
      </c>
      <c r="G95" s="316" t="s">
        <v>924</v>
      </c>
      <c r="H95" s="397" t="s">
        <v>925</v>
      </c>
      <c r="I95" s="316" t="s">
        <v>931</v>
      </c>
      <c r="J95" s="316" t="s">
        <v>929</v>
      </c>
      <c r="K95" s="316" t="s">
        <v>46</v>
      </c>
      <c r="L95" s="316">
        <f t="shared" si="12"/>
        <v>4</v>
      </c>
      <c r="M95" s="394" t="str">
        <f t="shared" si="11"/>
        <v>Same broad habitat or a higher distinctiveness habitat required (≥)</v>
      </c>
      <c r="N95" s="316" t="s">
        <v>46</v>
      </c>
      <c r="O95" s="316">
        <f t="shared" si="9"/>
        <v>0.67</v>
      </c>
      <c r="P95" s="316" t="s">
        <v>46</v>
      </c>
      <c r="Q95" s="316">
        <f t="shared" si="10"/>
        <v>0.67</v>
      </c>
      <c r="R95" s="295"/>
      <c r="S95" s="316"/>
      <c r="T95" s="377" t="s">
        <v>881</v>
      </c>
    </row>
    <row r="96" spans="1:20" ht="14.25" customHeight="1">
      <c r="A96" s="908" t="s">
        <v>932</v>
      </c>
      <c r="B96" s="975" t="s">
        <v>933</v>
      </c>
      <c r="C96" s="316" t="s">
        <v>934</v>
      </c>
      <c r="D96" s="316" t="s">
        <v>643</v>
      </c>
      <c r="E96" s="316" t="s">
        <v>917</v>
      </c>
      <c r="F96" s="295" t="s">
        <v>112</v>
      </c>
      <c r="G96" s="316" t="s">
        <v>918</v>
      </c>
      <c r="H96" s="397" t="s">
        <v>919</v>
      </c>
      <c r="I96" s="316" t="s">
        <v>934</v>
      </c>
      <c r="J96" s="316" t="s">
        <v>932</v>
      </c>
      <c r="K96" s="316" t="s">
        <v>46</v>
      </c>
      <c r="L96" s="316">
        <f t="shared" si="12"/>
        <v>4</v>
      </c>
      <c r="M96" s="394" t="str">
        <f t="shared" si="11"/>
        <v>Same broad habitat or a higher distinctiveness habitat required (≥)</v>
      </c>
      <c r="N96" s="316" t="s">
        <v>197</v>
      </c>
      <c r="O96" s="316">
        <f t="shared" si="9"/>
        <v>1</v>
      </c>
      <c r="P96" s="316" t="s">
        <v>197</v>
      </c>
      <c r="Q96" s="316">
        <f t="shared" si="10"/>
        <v>1</v>
      </c>
      <c r="R96" s="295"/>
      <c r="S96" s="316"/>
      <c r="T96" s="377" t="s">
        <v>881</v>
      </c>
    </row>
    <row r="97" spans="1:20" ht="14.25" customHeight="1">
      <c r="A97" s="908" t="s">
        <v>935</v>
      </c>
      <c r="B97" s="975" t="s">
        <v>936</v>
      </c>
      <c r="C97" s="316" t="s">
        <v>937</v>
      </c>
      <c r="D97" s="316" t="s">
        <v>643</v>
      </c>
      <c r="E97" s="316" t="s">
        <v>917</v>
      </c>
      <c r="F97" s="295" t="s">
        <v>112</v>
      </c>
      <c r="G97" s="316" t="s">
        <v>918</v>
      </c>
      <c r="H97" s="397" t="s">
        <v>919</v>
      </c>
      <c r="I97" s="316" t="s">
        <v>937</v>
      </c>
      <c r="J97" s="316" t="s">
        <v>935</v>
      </c>
      <c r="K97" s="316" t="s">
        <v>46</v>
      </c>
      <c r="L97" s="316">
        <f t="shared" si="12"/>
        <v>4</v>
      </c>
      <c r="M97" s="394" t="str">
        <f t="shared" si="11"/>
        <v>Same broad habitat or a higher distinctiveness habitat required (≥)</v>
      </c>
      <c r="N97" s="316" t="s">
        <v>197</v>
      </c>
      <c r="O97" s="316">
        <f t="shared" si="13" ref="O97:O103">VLOOKUP(N97,Difficulty,2,FALSE)</f>
        <v>1</v>
      </c>
      <c r="P97" s="316" t="s">
        <v>197</v>
      </c>
      <c r="Q97" s="316">
        <f t="shared" si="14" ref="Q97:Q103">VLOOKUP(P97,Difficulty,2,FALSE)</f>
        <v>1</v>
      </c>
      <c r="R97" s="295"/>
      <c r="S97" s="316"/>
      <c r="T97" s="377" t="s">
        <v>881</v>
      </c>
    </row>
    <row r="98" spans="1:20" ht="14.25" customHeight="1">
      <c r="A98" s="908" t="s">
        <v>938</v>
      </c>
      <c r="B98" s="975" t="s">
        <v>555</v>
      </c>
      <c r="C98" s="316" t="s">
        <v>939</v>
      </c>
      <c r="D98" s="316" t="s">
        <v>643</v>
      </c>
      <c r="E98" s="316" t="s">
        <v>917</v>
      </c>
      <c r="F98" s="295" t="s">
        <v>112</v>
      </c>
      <c r="G98" s="316" t="s">
        <v>918</v>
      </c>
      <c r="H98" s="397" t="s">
        <v>919</v>
      </c>
      <c r="I98" s="316" t="s">
        <v>939</v>
      </c>
      <c r="J98" s="316" t="s">
        <v>938</v>
      </c>
      <c r="K98" s="316" t="s">
        <v>194</v>
      </c>
      <c r="L98" s="316">
        <f t="shared" si="12"/>
        <v>6</v>
      </c>
      <c r="M98" s="394" t="str">
        <f t="shared" si="11"/>
        <v>Same habitat required =</v>
      </c>
      <c r="N98" s="316" t="s">
        <v>46</v>
      </c>
      <c r="O98" s="316">
        <f t="shared" si="13"/>
        <v>0.67</v>
      </c>
      <c r="P98" s="316" t="s">
        <v>46</v>
      </c>
      <c r="Q98" s="316">
        <f t="shared" si="14"/>
        <v>0.67</v>
      </c>
      <c r="R98" s="295"/>
      <c r="S98" s="316"/>
      <c r="T98" s="377" t="s">
        <v>881</v>
      </c>
    </row>
    <row r="99" spans="1:20" ht="14.25" customHeight="1">
      <c r="A99" s="908" t="s">
        <v>940</v>
      </c>
      <c r="B99" s="975" t="s">
        <v>543</v>
      </c>
      <c r="C99" s="316" t="s">
        <v>941</v>
      </c>
      <c r="D99" s="316" t="s">
        <v>643</v>
      </c>
      <c r="E99" s="316" t="s">
        <v>917</v>
      </c>
      <c r="F99" s="295" t="s">
        <v>112</v>
      </c>
      <c r="G99" s="316" t="s">
        <v>918</v>
      </c>
      <c r="H99" s="397" t="s">
        <v>919</v>
      </c>
      <c r="I99" s="316" t="s">
        <v>941</v>
      </c>
      <c r="J99" s="316" t="s">
        <v>940</v>
      </c>
      <c r="K99" s="316" t="s">
        <v>194</v>
      </c>
      <c r="L99" s="316">
        <f t="shared" si="12"/>
        <v>6</v>
      </c>
      <c r="M99" s="394" t="str">
        <f t="shared" si="11"/>
        <v>Same habitat required =</v>
      </c>
      <c r="N99" s="316" t="s">
        <v>194</v>
      </c>
      <c r="O99" s="316">
        <f t="shared" si="13"/>
        <v>0.33</v>
      </c>
      <c r="P99" s="316" t="s">
        <v>194</v>
      </c>
      <c r="Q99" s="316">
        <f t="shared" si="14"/>
        <v>0.33</v>
      </c>
      <c r="R99" s="295"/>
      <c r="S99" s="316"/>
      <c r="T99" s="377" t="s">
        <v>881</v>
      </c>
    </row>
    <row r="100" spans="1:20" ht="14.25" customHeight="1">
      <c r="A100" s="908" t="s">
        <v>942</v>
      </c>
      <c r="B100" s="975" t="s">
        <v>545</v>
      </c>
      <c r="C100" s="316" t="s">
        <v>943</v>
      </c>
      <c r="D100" s="316" t="s">
        <v>643</v>
      </c>
      <c r="E100" s="316" t="s">
        <v>917</v>
      </c>
      <c r="F100" s="295" t="s">
        <v>112</v>
      </c>
      <c r="G100" s="316" t="s">
        <v>918</v>
      </c>
      <c r="H100" s="397" t="s">
        <v>919</v>
      </c>
      <c r="I100" s="316" t="s">
        <v>943</v>
      </c>
      <c r="J100" s="316" t="s">
        <v>942</v>
      </c>
      <c r="K100" s="316" t="s">
        <v>194</v>
      </c>
      <c r="L100" s="316">
        <f t="shared" si="12"/>
        <v>6</v>
      </c>
      <c r="M100" s="394" t="str">
        <f t="shared" si="11"/>
        <v>Same habitat required =</v>
      </c>
      <c r="N100" s="316" t="s">
        <v>194</v>
      </c>
      <c r="O100" s="316">
        <f t="shared" si="13"/>
        <v>0.33</v>
      </c>
      <c r="P100" s="316" t="s">
        <v>194</v>
      </c>
      <c r="Q100" s="316">
        <f t="shared" si="14"/>
        <v>0.33</v>
      </c>
      <c r="R100" s="295"/>
      <c r="S100" s="316"/>
      <c r="T100" s="377" t="s">
        <v>881</v>
      </c>
    </row>
    <row r="101" spans="1:20" ht="14.25" customHeight="1">
      <c r="A101" s="908" t="s">
        <v>944</v>
      </c>
      <c r="B101" s="975" t="s">
        <v>556</v>
      </c>
      <c r="C101" s="316" t="s">
        <v>945</v>
      </c>
      <c r="D101" s="316" t="s">
        <v>643</v>
      </c>
      <c r="E101" s="316" t="s">
        <v>917</v>
      </c>
      <c r="F101" s="295" t="s">
        <v>112</v>
      </c>
      <c r="G101" s="316" t="s">
        <v>918</v>
      </c>
      <c r="H101" s="397" t="s">
        <v>919</v>
      </c>
      <c r="I101" s="316" t="s">
        <v>945</v>
      </c>
      <c r="J101" s="316" t="s">
        <v>944</v>
      </c>
      <c r="K101" s="316" t="s">
        <v>194</v>
      </c>
      <c r="L101" s="316">
        <f t="shared" si="12"/>
        <v>6</v>
      </c>
      <c r="M101" s="394" t="str">
        <f t="shared" si="11"/>
        <v>Same habitat required =</v>
      </c>
      <c r="N101" s="316" t="s">
        <v>46</v>
      </c>
      <c r="O101" s="316">
        <f t="shared" si="13"/>
        <v>0.67</v>
      </c>
      <c r="P101" s="316" t="s">
        <v>46</v>
      </c>
      <c r="Q101" s="316">
        <f t="shared" si="14"/>
        <v>0.67</v>
      </c>
      <c r="R101" s="295"/>
      <c r="S101" s="316"/>
      <c r="T101" s="377" t="s">
        <v>881</v>
      </c>
    </row>
    <row r="102" spans="1:20" ht="14.25" customHeight="1">
      <c r="A102" s="908" t="s">
        <v>946</v>
      </c>
      <c r="B102" s="975" t="s">
        <v>947</v>
      </c>
      <c r="C102" s="316">
        <v>26</v>
      </c>
      <c r="D102" s="316" t="s">
        <v>643</v>
      </c>
      <c r="E102" s="316" t="s">
        <v>524</v>
      </c>
      <c r="F102" s="295"/>
      <c r="G102" s="316"/>
      <c r="H102" s="397"/>
      <c r="I102" s="316"/>
      <c r="J102" s="316"/>
      <c r="K102" s="316" t="s">
        <v>649</v>
      </c>
      <c r="L102" s="316">
        <f t="shared" si="12"/>
        <v>8</v>
      </c>
      <c r="M102" s="394" t="str">
        <f t="shared" si="11"/>
        <v>Same habitat required – bespoke compensation option ⚠</v>
      </c>
      <c r="N102" s="316" t="s">
        <v>192</v>
      </c>
      <c r="O102" s="316">
        <f t="shared" si="13"/>
        <v>0.10</v>
      </c>
      <c r="P102" s="316" t="s">
        <v>194</v>
      </c>
      <c r="Q102" s="316">
        <f t="shared" si="14"/>
        <v>0.33</v>
      </c>
      <c r="R102" s="295"/>
      <c r="S102" s="316"/>
      <c r="T102" s="377" t="s">
        <v>881</v>
      </c>
    </row>
    <row r="103" spans="1:20" ht="14.25" customHeight="1" thickBot="1">
      <c r="A103" s="913" t="s">
        <v>948</v>
      </c>
      <c r="B103" s="1066" t="s">
        <v>914</v>
      </c>
      <c r="C103" s="572">
        <v>206</v>
      </c>
      <c r="D103" s="572" t="s">
        <v>643</v>
      </c>
      <c r="E103" s="301" t="s">
        <v>524</v>
      </c>
      <c r="F103" s="551"/>
      <c r="G103" s="572"/>
      <c r="H103" s="914"/>
      <c r="I103" s="572"/>
      <c r="J103" s="572"/>
      <c r="K103" s="572" t="s">
        <v>194</v>
      </c>
      <c r="L103" s="572">
        <f>IF(K103=$V$3,$W$3,IF(K103=$V$3,$W$3,IF(K103=$V$4,$W$4,IF(K103=$V$5,$W$5,IF(K103=$V$6,$W$6,IF(K103=$V$7,$W$7))))))</f>
        <v>6</v>
      </c>
      <c r="M103" s="911" t="str">
        <f t="shared" si="11"/>
        <v>Same habitat required =</v>
      </c>
      <c r="N103" s="572" t="s">
        <v>194</v>
      </c>
      <c r="O103" s="572">
        <f t="shared" si="13"/>
        <v>0.33</v>
      </c>
      <c r="P103" s="572" t="s">
        <v>197</v>
      </c>
      <c r="Q103" s="572">
        <f t="shared" si="14"/>
        <v>1</v>
      </c>
      <c r="R103" s="551"/>
      <c r="S103" s="572"/>
      <c r="T103" s="915" t="s">
        <v>881</v>
      </c>
    </row>
    <row r="104" spans="1:20" ht="14.25" customHeight="1" thickBot="1">
      <c r="A104" s="908" t="s">
        <v>116</v>
      </c>
      <c r="B104" s="1067" t="s">
        <v>546</v>
      </c>
      <c r="C104" s="341" t="s">
        <v>949</v>
      </c>
      <c r="D104" s="341" t="s">
        <v>950</v>
      </c>
      <c r="E104" s="341" t="s">
        <v>951</v>
      </c>
      <c r="F104" s="341" t="s">
        <v>116</v>
      </c>
      <c r="G104" s="341"/>
      <c r="H104" s="396" t="s">
        <v>116</v>
      </c>
      <c r="I104" s="341"/>
      <c r="J104" s="341"/>
      <c r="K104" s="341" t="s">
        <v>194</v>
      </c>
      <c r="L104" s="341">
        <f>IF(K104=$V$3,$W$3,IF(K104=$V$3,$W$3,IF(K104=$V$4,$W$4,IF(K104=$V$5,$W$5,IF(K104=$V$6,$W$6,IF(K104=$V$7,$W$7))))))</f>
        <v>6</v>
      </c>
      <c r="M104" s="396" t="str">
        <f t="shared" si="11"/>
        <v>Same habitat required =</v>
      </c>
      <c r="N104" s="341" t="s">
        <v>46</v>
      </c>
      <c r="O104" s="341">
        <f>VLOOKUP(N104,Difficulty,2,FALSE)</f>
        <v>0.67</v>
      </c>
      <c r="P104" s="341" t="s">
        <v>46</v>
      </c>
      <c r="Q104" s="341">
        <f>VLOOKUP(P104,Difficulty,2,FALSE)</f>
        <v>0.67</v>
      </c>
      <c r="R104" s="342"/>
      <c r="S104" s="341"/>
      <c r="T104" s="912" t="s">
        <v>344</v>
      </c>
    </row>
    <row r="105" spans="1:20" ht="14.25" customHeight="1">
      <c r="A105" s="908" t="s">
        <v>952</v>
      </c>
      <c r="B105" s="1063" t="s">
        <v>547</v>
      </c>
      <c r="C105" s="349" t="s">
        <v>953</v>
      </c>
      <c r="D105" s="349" t="s">
        <v>950</v>
      </c>
      <c r="E105" s="349" t="s">
        <v>242</v>
      </c>
      <c r="F105" s="349" t="s">
        <v>548</v>
      </c>
      <c r="G105" s="349"/>
      <c r="H105" s="783" t="s">
        <v>952</v>
      </c>
      <c r="I105" s="349"/>
      <c r="J105" s="349"/>
      <c r="K105" s="349" t="s">
        <v>194</v>
      </c>
      <c r="L105" s="349">
        <f t="shared" si="15" ref="L105:L129">IF(K105=$V$3,$W$3,IF(K105=$V$3,$W$3,IF(K105=$V$4,$W$4,IF(K105=$V$5,$W$5,IF(K105=$V$6,$W$6,IF(K105=$V$7,$W$7))))))</f>
        <v>6</v>
      </c>
      <c r="M105" s="783" t="str">
        <f t="shared" si="11"/>
        <v>Same habitat required =</v>
      </c>
      <c r="N105" s="349" t="s">
        <v>194</v>
      </c>
      <c r="O105" s="349">
        <f t="shared" si="16" ref="O105:O129">VLOOKUP(N105,Difficulty,2,FALSE)</f>
        <v>0.33</v>
      </c>
      <c r="P105" s="349" t="s">
        <v>46</v>
      </c>
      <c r="Q105" s="349">
        <f t="shared" si="17" ref="Q105:Q129">VLOOKUP(P105,Difficulty,2,FALSE)</f>
        <v>0.67</v>
      </c>
      <c r="R105" s="280"/>
      <c r="S105" s="349"/>
      <c r="T105" s="347" t="s">
        <v>344</v>
      </c>
    </row>
    <row r="106" spans="1:20" ht="14.25" customHeight="1">
      <c r="A106" s="908" t="s">
        <v>954</v>
      </c>
      <c r="B106" s="975" t="s">
        <v>955</v>
      </c>
      <c r="C106" s="296" t="s">
        <v>956</v>
      </c>
      <c r="D106" s="316" t="s">
        <v>950</v>
      </c>
      <c r="E106" s="316" t="s">
        <v>242</v>
      </c>
      <c r="F106" s="316" t="s">
        <v>548</v>
      </c>
      <c r="G106" s="316"/>
      <c r="H106" s="394" t="s">
        <v>957</v>
      </c>
      <c r="I106" s="316"/>
      <c r="J106" s="316"/>
      <c r="K106" s="316" t="s">
        <v>649</v>
      </c>
      <c r="L106" s="316">
        <f t="shared" si="15"/>
        <v>8</v>
      </c>
      <c r="M106" s="394" t="str">
        <f t="shared" si="11"/>
        <v>Same habitat required – bespoke compensation option ⚠</v>
      </c>
      <c r="N106" s="316" t="s">
        <v>192</v>
      </c>
      <c r="O106" s="316">
        <f t="shared" si="16"/>
        <v>0.10</v>
      </c>
      <c r="P106" s="316" t="s">
        <v>46</v>
      </c>
      <c r="Q106" s="316">
        <f t="shared" si="17"/>
        <v>0.67</v>
      </c>
      <c r="R106" s="295"/>
      <c r="S106" s="316"/>
      <c r="T106" s="353" t="s">
        <v>344</v>
      </c>
    </row>
    <row r="107" spans="1:20" ht="14.25" customHeight="1">
      <c r="A107" s="908" t="s">
        <v>958</v>
      </c>
      <c r="B107" s="975" t="s">
        <v>549</v>
      </c>
      <c r="C107" s="316" t="s">
        <v>959</v>
      </c>
      <c r="D107" s="316" t="s">
        <v>950</v>
      </c>
      <c r="E107" s="316" t="s">
        <v>242</v>
      </c>
      <c r="F107" s="316" t="s">
        <v>548</v>
      </c>
      <c r="G107" s="316"/>
      <c r="H107" s="394" t="s">
        <v>958</v>
      </c>
      <c r="I107" s="316"/>
      <c r="J107" s="316"/>
      <c r="K107" s="316" t="s">
        <v>194</v>
      </c>
      <c r="L107" s="316">
        <f t="shared" si="15"/>
        <v>6</v>
      </c>
      <c r="M107" s="394" t="str">
        <f t="shared" si="11"/>
        <v>Same habitat required =</v>
      </c>
      <c r="N107" s="316" t="s">
        <v>194</v>
      </c>
      <c r="O107" s="316">
        <f t="shared" si="16"/>
        <v>0.33</v>
      </c>
      <c r="P107" s="316" t="s">
        <v>46</v>
      </c>
      <c r="Q107" s="316">
        <f t="shared" si="17"/>
        <v>0.67</v>
      </c>
      <c r="R107" s="295"/>
      <c r="S107" s="316"/>
      <c r="T107" s="353" t="s">
        <v>344</v>
      </c>
    </row>
    <row r="108" spans="1:20" ht="14.25" customHeight="1">
      <c r="A108" s="908" t="s">
        <v>960</v>
      </c>
      <c r="B108" s="975" t="s">
        <v>961</v>
      </c>
      <c r="C108" s="316" t="s">
        <v>962</v>
      </c>
      <c r="D108" s="316" t="s">
        <v>950</v>
      </c>
      <c r="E108" s="316" t="s">
        <v>242</v>
      </c>
      <c r="F108" s="316" t="s">
        <v>548</v>
      </c>
      <c r="G108" s="316"/>
      <c r="H108" s="394" t="s">
        <v>963</v>
      </c>
      <c r="I108" s="316"/>
      <c r="J108" s="316"/>
      <c r="K108" s="316" t="s">
        <v>649</v>
      </c>
      <c r="L108" s="316">
        <f t="shared" si="15"/>
        <v>8</v>
      </c>
      <c r="M108" s="394" t="str">
        <f t="shared" si="11"/>
        <v>Same habitat required – bespoke compensation option ⚠</v>
      </c>
      <c r="N108" s="316" t="s">
        <v>192</v>
      </c>
      <c r="O108" s="316">
        <f t="shared" si="16"/>
        <v>0.10</v>
      </c>
      <c r="P108" s="316" t="s">
        <v>46</v>
      </c>
      <c r="Q108" s="316">
        <f t="shared" si="17"/>
        <v>0.67</v>
      </c>
      <c r="R108" s="295"/>
      <c r="S108" s="316"/>
      <c r="T108" s="353" t="s">
        <v>344</v>
      </c>
    </row>
    <row r="109" spans="1:20" ht="14.25" customHeight="1">
      <c r="A109" s="908" t="s">
        <v>964</v>
      </c>
      <c r="B109" s="975" t="s">
        <v>550</v>
      </c>
      <c r="C109" s="316" t="s">
        <v>965</v>
      </c>
      <c r="D109" s="316" t="s">
        <v>950</v>
      </c>
      <c r="E109" s="316" t="s">
        <v>242</v>
      </c>
      <c r="F109" s="316" t="s">
        <v>548</v>
      </c>
      <c r="G109" s="316"/>
      <c r="H109" s="394" t="s">
        <v>964</v>
      </c>
      <c r="I109" s="316"/>
      <c r="J109" s="316"/>
      <c r="K109" s="316" t="s">
        <v>194</v>
      </c>
      <c r="L109" s="316">
        <f t="shared" si="15"/>
        <v>6</v>
      </c>
      <c r="M109" s="394" t="str">
        <f t="shared" si="11"/>
        <v>Same habitat required =</v>
      </c>
      <c r="N109" s="316" t="s">
        <v>194</v>
      </c>
      <c r="O109" s="316">
        <f t="shared" si="16"/>
        <v>0.33</v>
      </c>
      <c r="P109" s="316" t="s">
        <v>46</v>
      </c>
      <c r="Q109" s="316">
        <f t="shared" si="17"/>
        <v>0.67</v>
      </c>
      <c r="R109" s="295"/>
      <c r="S109" s="316"/>
      <c r="T109" s="353" t="s">
        <v>344</v>
      </c>
    </row>
    <row r="110" spans="1:20" ht="14.25" customHeight="1">
      <c r="A110" s="908" t="s">
        <v>966</v>
      </c>
      <c r="B110" s="975" t="s">
        <v>967</v>
      </c>
      <c r="C110" s="316" t="s">
        <v>968</v>
      </c>
      <c r="D110" s="316" t="s">
        <v>950</v>
      </c>
      <c r="E110" s="316" t="s">
        <v>242</v>
      </c>
      <c r="F110" s="316" t="s">
        <v>548</v>
      </c>
      <c r="G110" s="316"/>
      <c r="H110" s="394" t="s">
        <v>969</v>
      </c>
      <c r="I110" s="316"/>
      <c r="J110" s="316"/>
      <c r="K110" s="316" t="s">
        <v>649</v>
      </c>
      <c r="L110" s="316">
        <f t="shared" si="15"/>
        <v>8</v>
      </c>
      <c r="M110" s="394" t="str">
        <f t="shared" si="11"/>
        <v>Same habitat required – bespoke compensation option ⚠</v>
      </c>
      <c r="N110" s="316" t="s">
        <v>192</v>
      </c>
      <c r="O110" s="316">
        <f t="shared" si="16"/>
        <v>0.10</v>
      </c>
      <c r="P110" s="316" t="s">
        <v>46</v>
      </c>
      <c r="Q110" s="316">
        <f t="shared" si="17"/>
        <v>0.67</v>
      </c>
      <c r="R110" s="295"/>
      <c r="S110" s="316"/>
      <c r="T110" s="353" t="s">
        <v>344</v>
      </c>
    </row>
    <row r="111" spans="1:20" ht="14.25" customHeight="1">
      <c r="A111" s="908" t="s">
        <v>970</v>
      </c>
      <c r="B111" s="975" t="s">
        <v>551</v>
      </c>
      <c r="C111" s="316" t="s">
        <v>971</v>
      </c>
      <c r="D111" s="316" t="s">
        <v>950</v>
      </c>
      <c r="E111" s="316" t="s">
        <v>242</v>
      </c>
      <c r="F111" s="316" t="s">
        <v>548</v>
      </c>
      <c r="G111" s="316"/>
      <c r="H111" s="394" t="s">
        <v>970</v>
      </c>
      <c r="I111" s="316"/>
      <c r="J111" s="316"/>
      <c r="K111" s="316" t="s">
        <v>194</v>
      </c>
      <c r="L111" s="316">
        <f t="shared" si="15"/>
        <v>6</v>
      </c>
      <c r="M111" s="394" t="str">
        <f t="shared" si="11"/>
        <v>Same habitat required =</v>
      </c>
      <c r="N111" s="316" t="s">
        <v>194</v>
      </c>
      <c r="O111" s="316">
        <f t="shared" si="16"/>
        <v>0.33</v>
      </c>
      <c r="P111" s="316" t="s">
        <v>46</v>
      </c>
      <c r="Q111" s="316">
        <f t="shared" si="17"/>
        <v>0.67</v>
      </c>
      <c r="R111" s="295"/>
      <c r="S111" s="316"/>
      <c r="T111" s="353" t="s">
        <v>344</v>
      </c>
    </row>
    <row r="112" spans="1:20" ht="14.25" customHeight="1" thickBot="1">
      <c r="A112" s="908" t="s">
        <v>972</v>
      </c>
      <c r="B112" s="976" t="s">
        <v>973</v>
      </c>
      <c r="C112" s="301" t="s">
        <v>974</v>
      </c>
      <c r="D112" s="301" t="s">
        <v>950</v>
      </c>
      <c r="E112" s="301" t="s">
        <v>242</v>
      </c>
      <c r="F112" s="301" t="s">
        <v>548</v>
      </c>
      <c r="G112" s="301"/>
      <c r="H112" s="395" t="s">
        <v>975</v>
      </c>
      <c r="I112" s="301"/>
      <c r="J112" s="301"/>
      <c r="K112" s="301" t="s">
        <v>649</v>
      </c>
      <c r="L112" s="301">
        <f t="shared" si="15"/>
        <v>8</v>
      </c>
      <c r="M112" s="395" t="str">
        <f t="shared" si="11"/>
        <v>Same habitat required – bespoke compensation option ⚠</v>
      </c>
      <c r="N112" s="301" t="s">
        <v>192</v>
      </c>
      <c r="O112" s="301">
        <f t="shared" si="16"/>
        <v>0.10</v>
      </c>
      <c r="P112" s="301" t="s">
        <v>46</v>
      </c>
      <c r="Q112" s="301">
        <f t="shared" si="17"/>
        <v>0.67</v>
      </c>
      <c r="R112" s="284"/>
      <c r="S112" s="301"/>
      <c r="T112" s="345" t="s">
        <v>344</v>
      </c>
    </row>
    <row r="113" spans="1:20" ht="14.25" customHeight="1">
      <c r="A113" s="908" t="s">
        <v>976</v>
      </c>
      <c r="B113" s="1063" t="s">
        <v>552</v>
      </c>
      <c r="C113" s="349" t="s">
        <v>977</v>
      </c>
      <c r="D113" s="349" t="s">
        <v>950</v>
      </c>
      <c r="E113" s="349" t="s">
        <v>243</v>
      </c>
      <c r="F113" s="349" t="s">
        <v>553</v>
      </c>
      <c r="G113" s="349"/>
      <c r="H113" s="783" t="s">
        <v>978</v>
      </c>
      <c r="I113" s="349"/>
      <c r="J113" s="349"/>
      <c r="K113" s="349" t="s">
        <v>194</v>
      </c>
      <c r="L113" s="349">
        <f>IF(K113=$V$3,$W$3,IF(K113=$V$3,$W$3,IF(K113=$V$4,$W$4,IF(K113=$V$5,$W$5,IF(K113=$V$6,$W$6,IF(K113=$V$7,$W$7))))))</f>
        <v>6</v>
      </c>
      <c r="M113" s="783" t="str">
        <f>IF($K113=$V$3,$X$3,IF($K113=$V$4,$X$4,IF($K113=$V$5,$X$5,IF($K113=$V$6,$X$6,IF($K113=$V$7,$X$7)))))</f>
        <v>Same habitat required =</v>
      </c>
      <c r="N113" s="349" t="s">
        <v>194</v>
      </c>
      <c r="O113" s="349">
        <f>VLOOKUP(N113,Difficulty,2,FALSE)</f>
        <v>0.33</v>
      </c>
      <c r="P113" s="349" t="s">
        <v>46</v>
      </c>
      <c r="Q113" s="349">
        <f>VLOOKUP(P113,Difficulty,2,FALSE)</f>
        <v>0.67</v>
      </c>
      <c r="R113" s="280"/>
      <c r="S113" s="349"/>
      <c r="T113" s="347" t="s">
        <v>881</v>
      </c>
    </row>
    <row r="114" spans="1:20" ht="14.25" customHeight="1" thickBot="1">
      <c r="A114" s="908" t="s">
        <v>979</v>
      </c>
      <c r="B114" s="976" t="s">
        <v>980</v>
      </c>
      <c r="C114" s="301" t="s">
        <v>981</v>
      </c>
      <c r="D114" s="301" t="s">
        <v>950</v>
      </c>
      <c r="E114" s="301"/>
      <c r="F114" s="301" t="s">
        <v>553</v>
      </c>
      <c r="G114" s="301"/>
      <c r="H114" s="395" t="s">
        <v>979</v>
      </c>
      <c r="I114" s="301"/>
      <c r="J114" s="301"/>
      <c r="K114" s="301" t="s">
        <v>197</v>
      </c>
      <c r="L114" s="301">
        <f>IF(K114=$V$3,$W$3,IF(K114=$V$3,$W$3,IF(K114=$V$4,$W$4,IF(K114=$V$5,$W$5,IF(K114=$V$6,$W$6,IF(K114=$V$7,$W$7))))))</f>
        <v>2</v>
      </c>
      <c r="M114" s="395" t="str">
        <f>IF($K114=$V$3,$X$3,IF($K114=$V$4,$X$4,IF($K114=$V$5,$X$5,IF($K114=$V$6,$X$6,IF($K114=$V$7,$X$7)))))</f>
        <v>Same distinctiveness or better habitat required ≥</v>
      </c>
      <c r="N114" s="301" t="s">
        <v>194</v>
      </c>
      <c r="O114" s="301">
        <f>VLOOKUP(N114,Difficulty,2,FALSE)</f>
        <v>0.33</v>
      </c>
      <c r="P114" s="301" t="s">
        <v>46</v>
      </c>
      <c r="Q114" s="301">
        <f>VLOOKUP(P114,Difficulty,2,FALSE)</f>
        <v>0.67</v>
      </c>
      <c r="R114" s="284" t="s">
        <v>982</v>
      </c>
      <c r="S114" s="301"/>
      <c r="T114" s="345" t="s">
        <v>881</v>
      </c>
    </row>
    <row r="115" spans="1:20" ht="14.25" customHeight="1">
      <c r="A115" s="908" t="s">
        <v>983</v>
      </c>
      <c r="B115" s="1063" t="s">
        <v>984</v>
      </c>
      <c r="C115" s="349" t="s">
        <v>985</v>
      </c>
      <c r="D115" s="349" t="s">
        <v>950</v>
      </c>
      <c r="E115" s="349" t="s">
        <v>243</v>
      </c>
      <c r="F115" s="349" t="s">
        <v>113</v>
      </c>
      <c r="G115" s="349"/>
      <c r="H115" s="783" t="s">
        <v>983</v>
      </c>
      <c r="I115" s="349"/>
      <c r="J115" s="349"/>
      <c r="K115" s="349" t="s">
        <v>46</v>
      </c>
      <c r="L115" s="349">
        <f t="shared" si="15"/>
        <v>4</v>
      </c>
      <c r="M115" s="783" t="str">
        <f t="shared" si="11"/>
        <v>Same broad habitat or a higher distinctiveness habitat required (≥)</v>
      </c>
      <c r="N115" s="349" t="s">
        <v>46</v>
      </c>
      <c r="O115" s="349">
        <f t="shared" si="16"/>
        <v>0.67</v>
      </c>
      <c r="P115" s="349" t="s">
        <v>46</v>
      </c>
      <c r="Q115" s="349">
        <f t="shared" si="17"/>
        <v>0.67</v>
      </c>
      <c r="R115" s="280"/>
      <c r="S115" s="349"/>
      <c r="T115" s="347" t="s">
        <v>344</v>
      </c>
    </row>
    <row r="116" spans="1:20" ht="14.25" customHeight="1">
      <c r="A116" s="908" t="s">
        <v>986</v>
      </c>
      <c r="B116" s="975" t="s">
        <v>557</v>
      </c>
      <c r="C116" s="316" t="s">
        <v>987</v>
      </c>
      <c r="D116" s="316" t="s">
        <v>950</v>
      </c>
      <c r="E116" s="316" t="s">
        <v>243</v>
      </c>
      <c r="F116" s="316" t="s">
        <v>113</v>
      </c>
      <c r="G116" s="316"/>
      <c r="H116" s="394" t="s">
        <v>986</v>
      </c>
      <c r="I116" s="316"/>
      <c r="J116" s="316"/>
      <c r="K116" s="316" t="s">
        <v>194</v>
      </c>
      <c r="L116" s="316">
        <f t="shared" si="15"/>
        <v>6</v>
      </c>
      <c r="M116" s="394" t="str">
        <f t="shared" si="11"/>
        <v>Same habitat required =</v>
      </c>
      <c r="N116" s="316" t="s">
        <v>194</v>
      </c>
      <c r="O116" s="316">
        <f t="shared" si="16"/>
        <v>0.33</v>
      </c>
      <c r="P116" s="316" t="s">
        <v>46</v>
      </c>
      <c r="Q116" s="316">
        <f t="shared" si="17"/>
        <v>0.67</v>
      </c>
      <c r="R116" s="295"/>
      <c r="S116" s="316"/>
      <c r="T116" s="353" t="s">
        <v>344</v>
      </c>
    </row>
    <row r="117" spans="1:20" ht="14.25" customHeight="1">
      <c r="A117" s="908" t="s">
        <v>988</v>
      </c>
      <c r="B117" s="975" t="s">
        <v>558</v>
      </c>
      <c r="C117" s="316" t="s">
        <v>989</v>
      </c>
      <c r="D117" s="316" t="s">
        <v>950</v>
      </c>
      <c r="E117" s="316" t="s">
        <v>243</v>
      </c>
      <c r="F117" s="316" t="s">
        <v>113</v>
      </c>
      <c r="G117" s="316"/>
      <c r="H117" s="394" t="s">
        <v>988</v>
      </c>
      <c r="I117" s="316"/>
      <c r="J117" s="316"/>
      <c r="K117" s="316" t="s">
        <v>194</v>
      </c>
      <c r="L117" s="316">
        <f t="shared" si="15"/>
        <v>6</v>
      </c>
      <c r="M117" s="394" t="str">
        <f t="shared" si="11"/>
        <v>Same habitat required =</v>
      </c>
      <c r="N117" s="316" t="s">
        <v>194</v>
      </c>
      <c r="O117" s="316">
        <f t="shared" si="16"/>
        <v>0.33</v>
      </c>
      <c r="P117" s="316" t="s">
        <v>46</v>
      </c>
      <c r="Q117" s="316">
        <f t="shared" si="17"/>
        <v>0.67</v>
      </c>
      <c r="R117" s="295"/>
      <c r="S117" s="316"/>
      <c r="T117" s="353" t="s">
        <v>344</v>
      </c>
    </row>
    <row r="118" spans="1:20" ht="14.25" customHeight="1">
      <c r="A118" s="908" t="s">
        <v>990</v>
      </c>
      <c r="B118" s="975" t="s">
        <v>212</v>
      </c>
      <c r="C118" s="316" t="s">
        <v>991</v>
      </c>
      <c r="D118" s="316" t="s">
        <v>950</v>
      </c>
      <c r="E118" s="316" t="s">
        <v>243</v>
      </c>
      <c r="F118" s="316" t="s">
        <v>113</v>
      </c>
      <c r="G118" s="316"/>
      <c r="H118" s="394" t="s">
        <v>992</v>
      </c>
      <c r="I118" s="316"/>
      <c r="J118" s="316"/>
      <c r="K118" s="316" t="s">
        <v>194</v>
      </c>
      <c r="L118" s="316">
        <f t="shared" si="15"/>
        <v>6</v>
      </c>
      <c r="M118" s="394" t="str">
        <f t="shared" si="11"/>
        <v>Same habitat required =</v>
      </c>
      <c r="N118" s="316" t="s">
        <v>194</v>
      </c>
      <c r="O118" s="316">
        <f t="shared" si="16"/>
        <v>0.33</v>
      </c>
      <c r="P118" s="316" t="s">
        <v>194</v>
      </c>
      <c r="Q118" s="316">
        <f t="shared" si="17"/>
        <v>0.33</v>
      </c>
      <c r="R118" s="295"/>
      <c r="S118" s="316"/>
      <c r="T118" s="353" t="s">
        <v>344</v>
      </c>
    </row>
    <row r="119" spans="1:20" ht="14.25" customHeight="1">
      <c r="A119" s="908" t="s">
        <v>993</v>
      </c>
      <c r="B119" s="975" t="s">
        <v>994</v>
      </c>
      <c r="C119" s="316" t="s">
        <v>995</v>
      </c>
      <c r="D119" s="316" t="s">
        <v>950</v>
      </c>
      <c r="E119" s="316" t="s">
        <v>243</v>
      </c>
      <c r="F119" s="316" t="s">
        <v>113</v>
      </c>
      <c r="G119" s="316"/>
      <c r="H119" s="394" t="s">
        <v>996</v>
      </c>
      <c r="I119" s="316"/>
      <c r="J119" s="316"/>
      <c r="K119" s="316" t="s">
        <v>649</v>
      </c>
      <c r="L119" s="316">
        <f t="shared" si="15"/>
        <v>8</v>
      </c>
      <c r="M119" s="394" t="str">
        <f t="shared" si="11"/>
        <v>Same habitat required – bespoke compensation option ⚠</v>
      </c>
      <c r="N119" s="316" t="s">
        <v>192</v>
      </c>
      <c r="O119" s="316">
        <f t="shared" si="16"/>
        <v>0.10</v>
      </c>
      <c r="P119" s="316" t="s">
        <v>194</v>
      </c>
      <c r="Q119" s="316">
        <f t="shared" si="17"/>
        <v>0.33</v>
      </c>
      <c r="R119" s="295"/>
      <c r="S119" s="316"/>
      <c r="T119" s="353" t="s">
        <v>344</v>
      </c>
    </row>
    <row r="120" spans="1:20" ht="14.25" customHeight="1">
      <c r="A120" s="908" t="s">
        <v>997</v>
      </c>
      <c r="B120" s="975" t="s">
        <v>559</v>
      </c>
      <c r="C120" s="316" t="s">
        <v>998</v>
      </c>
      <c r="D120" s="316" t="s">
        <v>950</v>
      </c>
      <c r="E120" s="316"/>
      <c r="F120" s="316" t="s">
        <v>113</v>
      </c>
      <c r="G120" s="316"/>
      <c r="H120" s="394" t="s">
        <v>999</v>
      </c>
      <c r="I120" s="316"/>
      <c r="J120" s="316"/>
      <c r="K120" s="316" t="s">
        <v>194</v>
      </c>
      <c r="L120" s="316">
        <f t="shared" si="15"/>
        <v>6</v>
      </c>
      <c r="M120" s="394" t="str">
        <f t="shared" si="11"/>
        <v>Same habitat required =</v>
      </c>
      <c r="N120" s="316" t="s">
        <v>194</v>
      </c>
      <c r="O120" s="316">
        <f t="shared" si="16"/>
        <v>0.33</v>
      </c>
      <c r="P120" s="316" t="s">
        <v>46</v>
      </c>
      <c r="Q120" s="316">
        <f t="shared" si="17"/>
        <v>0.67</v>
      </c>
      <c r="R120" s="295"/>
      <c r="S120" s="316"/>
      <c r="T120" s="353" t="s">
        <v>344</v>
      </c>
    </row>
    <row r="121" spans="1:20" ht="14.25" customHeight="1">
      <c r="A121" s="908" t="s">
        <v>1000</v>
      </c>
      <c r="B121" s="975" t="s">
        <v>560</v>
      </c>
      <c r="C121" s="316" t="s">
        <v>1001</v>
      </c>
      <c r="D121" s="316" t="s">
        <v>950</v>
      </c>
      <c r="E121" s="316" t="s">
        <v>243</v>
      </c>
      <c r="F121" s="316" t="s">
        <v>113</v>
      </c>
      <c r="G121" s="316"/>
      <c r="H121" s="394" t="s">
        <v>1000</v>
      </c>
      <c r="I121" s="316"/>
      <c r="J121" s="316"/>
      <c r="K121" s="316" t="s">
        <v>194</v>
      </c>
      <c r="L121" s="316">
        <f t="shared" si="15"/>
        <v>6</v>
      </c>
      <c r="M121" s="394" t="str">
        <f t="shared" si="11"/>
        <v>Same habitat required =</v>
      </c>
      <c r="N121" s="316" t="s">
        <v>194</v>
      </c>
      <c r="O121" s="316">
        <f t="shared" si="16"/>
        <v>0.33</v>
      </c>
      <c r="P121" s="316" t="s">
        <v>46</v>
      </c>
      <c r="Q121" s="316">
        <f t="shared" si="17"/>
        <v>0.67</v>
      </c>
      <c r="R121" s="295"/>
      <c r="S121" s="316"/>
      <c r="T121" s="353" t="s">
        <v>344</v>
      </c>
    </row>
    <row r="122" spans="1:20" ht="14.25" customHeight="1">
      <c r="A122" s="908" t="s">
        <v>1002</v>
      </c>
      <c r="B122" s="975" t="s">
        <v>561</v>
      </c>
      <c r="C122" s="316" t="s">
        <v>1003</v>
      </c>
      <c r="D122" s="316" t="s">
        <v>950</v>
      </c>
      <c r="E122" s="316" t="s">
        <v>243</v>
      </c>
      <c r="F122" s="316" t="s">
        <v>113</v>
      </c>
      <c r="G122" s="316"/>
      <c r="H122" s="394" t="s">
        <v>1002</v>
      </c>
      <c r="I122" s="316"/>
      <c r="J122" s="316"/>
      <c r="K122" s="316" t="s">
        <v>194</v>
      </c>
      <c r="L122" s="316">
        <f t="shared" si="15"/>
        <v>6</v>
      </c>
      <c r="M122" s="394" t="str">
        <f t="shared" si="11"/>
        <v>Same habitat required =</v>
      </c>
      <c r="N122" s="316" t="s">
        <v>194</v>
      </c>
      <c r="O122" s="316">
        <f t="shared" si="16"/>
        <v>0.33</v>
      </c>
      <c r="P122" s="316" t="s">
        <v>46</v>
      </c>
      <c r="Q122" s="316">
        <f t="shared" si="17"/>
        <v>0.67</v>
      </c>
      <c r="R122" s="295"/>
      <c r="S122" s="316"/>
      <c r="T122" s="353" t="s">
        <v>344</v>
      </c>
    </row>
    <row r="123" spans="1:20" ht="14.25" customHeight="1">
      <c r="A123" s="908" t="s">
        <v>1004</v>
      </c>
      <c r="B123" s="975" t="s">
        <v>1005</v>
      </c>
      <c r="C123" s="316" t="s">
        <v>1006</v>
      </c>
      <c r="D123" s="316" t="s">
        <v>950</v>
      </c>
      <c r="E123" s="316" t="s">
        <v>243</v>
      </c>
      <c r="F123" s="316" t="s">
        <v>113</v>
      </c>
      <c r="G123" s="316"/>
      <c r="H123" s="394" t="s">
        <v>1004</v>
      </c>
      <c r="I123" s="316"/>
      <c r="J123" s="316"/>
      <c r="K123" s="316" t="s">
        <v>197</v>
      </c>
      <c r="L123" s="316">
        <f t="shared" si="15"/>
        <v>2</v>
      </c>
      <c r="M123" s="394" t="str">
        <f t="shared" si="11"/>
        <v>Same distinctiveness or better habitat required ≥</v>
      </c>
      <c r="N123" s="316" t="s">
        <v>46</v>
      </c>
      <c r="O123" s="316">
        <f t="shared" si="16"/>
        <v>0.67</v>
      </c>
      <c r="P123" s="316" t="s">
        <v>46</v>
      </c>
      <c r="Q123" s="316">
        <f t="shared" si="17"/>
        <v>0.67</v>
      </c>
      <c r="R123" s="295" t="s">
        <v>1007</v>
      </c>
      <c r="S123" s="316"/>
      <c r="T123" s="353" t="s">
        <v>344</v>
      </c>
    </row>
    <row r="124" spans="1:20" ht="14.25" customHeight="1">
      <c r="A124" s="908" t="s">
        <v>1008</v>
      </c>
      <c r="B124" s="975" t="s">
        <v>1009</v>
      </c>
      <c r="C124" s="316" t="s">
        <v>1010</v>
      </c>
      <c r="D124" s="316" t="s">
        <v>950</v>
      </c>
      <c r="E124" s="316"/>
      <c r="F124" s="316" t="s">
        <v>113</v>
      </c>
      <c r="G124" s="316"/>
      <c r="H124" s="394" t="s">
        <v>1008</v>
      </c>
      <c r="I124" s="316"/>
      <c r="J124" s="316"/>
      <c r="K124" s="316" t="s">
        <v>197</v>
      </c>
      <c r="L124" s="316">
        <f t="shared" si="15"/>
        <v>2</v>
      </c>
      <c r="M124" s="394" t="str">
        <f t="shared" si="11"/>
        <v>Same distinctiveness or better habitat required ≥</v>
      </c>
      <c r="N124" s="316" t="s">
        <v>194</v>
      </c>
      <c r="O124" s="316">
        <f t="shared" si="16"/>
        <v>0.33</v>
      </c>
      <c r="P124" s="316" t="s">
        <v>46</v>
      </c>
      <c r="Q124" s="316">
        <f t="shared" si="17"/>
        <v>0.67</v>
      </c>
      <c r="R124" s="295" t="s">
        <v>1011</v>
      </c>
      <c r="S124" s="316"/>
      <c r="T124" s="353" t="s">
        <v>344</v>
      </c>
    </row>
    <row r="125" spans="1:20" ht="14.25" customHeight="1">
      <c r="A125" s="908" t="s">
        <v>1012</v>
      </c>
      <c r="B125" s="975" t="s">
        <v>1013</v>
      </c>
      <c r="C125" s="316" t="s">
        <v>1014</v>
      </c>
      <c r="D125" s="316" t="s">
        <v>950</v>
      </c>
      <c r="E125" s="316"/>
      <c r="F125" s="316" t="s">
        <v>113</v>
      </c>
      <c r="G125" s="316"/>
      <c r="H125" s="394" t="s">
        <v>1012</v>
      </c>
      <c r="I125" s="316"/>
      <c r="J125" s="316"/>
      <c r="K125" s="316" t="s">
        <v>197</v>
      </c>
      <c r="L125" s="316">
        <f t="shared" si="15"/>
        <v>2</v>
      </c>
      <c r="M125" s="394" t="str">
        <f t="shared" si="11"/>
        <v>Same distinctiveness or better habitat required ≥</v>
      </c>
      <c r="N125" s="316" t="s">
        <v>46</v>
      </c>
      <c r="O125" s="316">
        <f t="shared" si="16"/>
        <v>0.67</v>
      </c>
      <c r="P125" s="316" t="s">
        <v>46</v>
      </c>
      <c r="Q125" s="316">
        <f t="shared" si="17"/>
        <v>0.67</v>
      </c>
      <c r="R125" s="295" t="s">
        <v>1011</v>
      </c>
      <c r="S125" s="316"/>
      <c r="T125" s="353" t="s">
        <v>344</v>
      </c>
    </row>
    <row r="126" spans="1:20" ht="14.25" customHeight="1">
      <c r="A126" s="908" t="s">
        <v>1015</v>
      </c>
      <c r="B126" s="975" t="s">
        <v>1016</v>
      </c>
      <c r="C126" s="316" t="s">
        <v>1017</v>
      </c>
      <c r="D126" s="316" t="s">
        <v>950</v>
      </c>
      <c r="E126" s="316" t="s">
        <v>243</v>
      </c>
      <c r="F126" s="316" t="s">
        <v>113</v>
      </c>
      <c r="G126" s="316"/>
      <c r="H126" s="394" t="s">
        <v>1008</v>
      </c>
      <c r="I126" s="316"/>
      <c r="J126" s="316"/>
      <c r="K126" s="316" t="s">
        <v>197</v>
      </c>
      <c r="L126" s="316">
        <f t="shared" si="15"/>
        <v>2</v>
      </c>
      <c r="M126" s="394" t="str">
        <f t="shared" si="11"/>
        <v>Same distinctiveness or better habitat required ≥</v>
      </c>
      <c r="N126" s="316" t="s">
        <v>194</v>
      </c>
      <c r="O126" s="316">
        <f t="shared" si="16"/>
        <v>0.33</v>
      </c>
      <c r="P126" s="316" t="s">
        <v>46</v>
      </c>
      <c r="Q126" s="316">
        <f t="shared" si="17"/>
        <v>0.67</v>
      </c>
      <c r="R126" s="295" t="s">
        <v>1011</v>
      </c>
      <c r="S126" s="316"/>
      <c r="T126" s="353" t="s">
        <v>344</v>
      </c>
    </row>
    <row r="127" spans="1:20" ht="14.25" customHeight="1">
      <c r="A127" s="908" t="s">
        <v>1018</v>
      </c>
      <c r="B127" s="975" t="s">
        <v>1019</v>
      </c>
      <c r="C127" s="316" t="s">
        <v>1020</v>
      </c>
      <c r="D127" s="316" t="s">
        <v>950</v>
      </c>
      <c r="E127" s="316" t="s">
        <v>243</v>
      </c>
      <c r="F127" s="316" t="s">
        <v>113</v>
      </c>
      <c r="G127" s="316"/>
      <c r="H127" s="394" t="s">
        <v>1018</v>
      </c>
      <c r="I127" s="316"/>
      <c r="J127" s="316"/>
      <c r="K127" s="316" t="s">
        <v>197</v>
      </c>
      <c r="L127" s="316">
        <f t="shared" si="15"/>
        <v>2</v>
      </c>
      <c r="M127" s="394" t="str">
        <f t="shared" si="11"/>
        <v>Same distinctiveness or better habitat required ≥</v>
      </c>
      <c r="N127" s="316" t="s">
        <v>194</v>
      </c>
      <c r="O127" s="316">
        <f t="shared" si="16"/>
        <v>0.33</v>
      </c>
      <c r="P127" s="316" t="s">
        <v>46</v>
      </c>
      <c r="Q127" s="316">
        <f t="shared" si="17"/>
        <v>0.67</v>
      </c>
      <c r="R127" s="295" t="s">
        <v>1011</v>
      </c>
      <c r="S127" s="316"/>
      <c r="T127" s="353" t="s">
        <v>344</v>
      </c>
    </row>
    <row r="128" spans="1:20" ht="14.25" customHeight="1">
      <c r="A128" s="908" t="s">
        <v>1021</v>
      </c>
      <c r="B128" s="975" t="s">
        <v>1022</v>
      </c>
      <c r="C128" s="316" t="s">
        <v>1023</v>
      </c>
      <c r="D128" s="316" t="s">
        <v>950</v>
      </c>
      <c r="E128" s="316" t="s">
        <v>243</v>
      </c>
      <c r="F128" s="316" t="s">
        <v>113</v>
      </c>
      <c r="G128" s="316"/>
      <c r="H128" s="394" t="s">
        <v>1021</v>
      </c>
      <c r="I128" s="316"/>
      <c r="J128" s="316"/>
      <c r="K128" s="316" t="s">
        <v>197</v>
      </c>
      <c r="L128" s="316">
        <f t="shared" si="15"/>
        <v>2</v>
      </c>
      <c r="M128" s="394" t="str">
        <f t="shared" si="11"/>
        <v>Same distinctiveness or better habitat required ≥</v>
      </c>
      <c r="N128" s="316" t="s">
        <v>194</v>
      </c>
      <c r="O128" s="316">
        <f t="shared" si="16"/>
        <v>0.33</v>
      </c>
      <c r="P128" s="316" t="s">
        <v>194</v>
      </c>
      <c r="Q128" s="316">
        <f t="shared" si="17"/>
        <v>0.33</v>
      </c>
      <c r="R128" s="295" t="s">
        <v>1024</v>
      </c>
      <c r="S128" s="316"/>
      <c r="T128" s="353" t="s">
        <v>344</v>
      </c>
    </row>
    <row r="129" spans="1:20" ht="14.25" customHeight="1">
      <c r="A129" s="908" t="s">
        <v>1025</v>
      </c>
      <c r="B129" s="975" t="s">
        <v>1026</v>
      </c>
      <c r="C129" s="316" t="s">
        <v>1027</v>
      </c>
      <c r="D129" s="316" t="s">
        <v>950</v>
      </c>
      <c r="E129" s="316" t="s">
        <v>243</v>
      </c>
      <c r="F129" s="316" t="s">
        <v>113</v>
      </c>
      <c r="G129" s="316"/>
      <c r="H129" s="394" t="s">
        <v>1025</v>
      </c>
      <c r="I129" s="316"/>
      <c r="J129" s="316"/>
      <c r="K129" s="316" t="s">
        <v>197</v>
      </c>
      <c r="L129" s="316">
        <f t="shared" si="15"/>
        <v>2</v>
      </c>
      <c r="M129" s="394" t="str">
        <f t="shared" si="11"/>
        <v>Same distinctiveness or better habitat required ≥</v>
      </c>
      <c r="N129" s="316" t="s">
        <v>194</v>
      </c>
      <c r="O129" s="316">
        <f t="shared" si="16"/>
        <v>0.33</v>
      </c>
      <c r="P129" s="316" t="s">
        <v>46</v>
      </c>
      <c r="Q129" s="316">
        <f t="shared" si="17"/>
        <v>0.67</v>
      </c>
      <c r="R129" s="295" t="s">
        <v>1024</v>
      </c>
      <c r="S129" s="316"/>
      <c r="T129" s="353" t="s">
        <v>344</v>
      </c>
    </row>
    <row r="130" spans="1:20" ht="14.25" customHeight="1">
      <c r="A130" s="909" t="s">
        <v>1028</v>
      </c>
      <c r="B130" s="1071" t="s">
        <v>1029</v>
      </c>
      <c r="C130" s="316" t="s">
        <v>1030</v>
      </c>
      <c r="D130" s="316" t="s">
        <v>950</v>
      </c>
      <c r="E130" s="316"/>
      <c r="F130" s="316" t="s">
        <v>113</v>
      </c>
      <c r="G130" s="316"/>
      <c r="H130" s="397" t="s">
        <v>1028</v>
      </c>
      <c r="I130" s="316"/>
      <c r="J130" s="316"/>
      <c r="K130" s="316" t="s">
        <v>46</v>
      </c>
      <c r="L130" s="316">
        <f t="shared" si="18" ref="L130:L135">IF(K130=$V$3,$W$3,IF(K130=$V$3,$W$3,IF(K130=$V$4,$W$4,IF(K130=$V$5,$W$5,IF(K130=$V$6,$W$6,IF(K130=$V$7,$W$7))))))</f>
        <v>4</v>
      </c>
      <c r="M130" s="394" t="str">
        <f t="shared" si="11"/>
        <v>Same broad habitat or a higher distinctiveness habitat required (≥)</v>
      </c>
      <c r="N130" s="316" t="s">
        <v>46</v>
      </c>
      <c r="O130" s="316">
        <f t="shared" si="19" ref="O130:O135">VLOOKUP(N130,Difficulty,2,FALSE)</f>
        <v>0.67</v>
      </c>
      <c r="P130" s="316" t="s">
        <v>46</v>
      </c>
      <c r="Q130" s="316">
        <f t="shared" si="20" ref="Q130:Q135">VLOOKUP(P130,Difficulty,2,FALSE)</f>
        <v>0.67</v>
      </c>
      <c r="R130" s="295"/>
      <c r="S130" s="316"/>
      <c r="T130" s="353" t="s">
        <v>344</v>
      </c>
    </row>
    <row r="131" spans="1:20" ht="14.25" customHeight="1" thickBot="1">
      <c r="A131" s="909" t="s">
        <v>1031</v>
      </c>
      <c r="B131" s="1070" t="s">
        <v>562</v>
      </c>
      <c r="C131" s="301" t="s">
        <v>1032</v>
      </c>
      <c r="D131" s="301" t="s">
        <v>950</v>
      </c>
      <c r="E131" s="301"/>
      <c r="F131" s="301" t="s">
        <v>113</v>
      </c>
      <c r="G131" s="301"/>
      <c r="H131" s="398" t="s">
        <v>1031</v>
      </c>
      <c r="I131" s="301"/>
      <c r="J131" s="301"/>
      <c r="K131" s="301" t="s">
        <v>194</v>
      </c>
      <c r="L131" s="301">
        <f t="shared" si="18"/>
        <v>6</v>
      </c>
      <c r="M131" s="395" t="str">
        <f t="shared" si="11"/>
        <v>Same habitat required =</v>
      </c>
      <c r="N131" s="301" t="s">
        <v>194</v>
      </c>
      <c r="O131" s="301">
        <f t="shared" si="19"/>
        <v>0.33</v>
      </c>
      <c r="P131" s="301" t="s">
        <v>46</v>
      </c>
      <c r="Q131" s="301">
        <f t="shared" si="20"/>
        <v>0.67</v>
      </c>
      <c r="R131" s="284"/>
      <c r="S131" s="301"/>
      <c r="T131" s="345" t="s">
        <v>344</v>
      </c>
    </row>
    <row r="132" spans="1:20" ht="14.25" customHeight="1">
      <c r="A132" s="909" t="s">
        <v>1033</v>
      </c>
      <c r="B132" s="1072" t="s">
        <v>1034</v>
      </c>
      <c r="C132" s="349" t="s">
        <v>1035</v>
      </c>
      <c r="D132" s="349" t="s">
        <v>950</v>
      </c>
      <c r="E132" s="349"/>
      <c r="F132" s="349" t="s">
        <v>117</v>
      </c>
      <c r="G132" s="349"/>
      <c r="H132" s="782" t="s">
        <v>1033</v>
      </c>
      <c r="I132" s="349"/>
      <c r="J132" s="349"/>
      <c r="K132" s="349" t="s">
        <v>197</v>
      </c>
      <c r="L132" s="349">
        <f t="shared" si="18"/>
        <v>2</v>
      </c>
      <c r="M132" s="783" t="str">
        <f>IF($K132=$V$3,$X$3,IF($K132=$V$4,$X$4,IF($K132=$V$5,$X$5,IF($K132=$V$6,$X$6,IF($K132=$V$7,$X$7)))))</f>
        <v>Same distinctiveness or better habitat required ≥</v>
      </c>
      <c r="N132" s="349" t="s">
        <v>46</v>
      </c>
      <c r="O132" s="349">
        <f t="shared" si="19"/>
        <v>0.67</v>
      </c>
      <c r="P132" s="349" t="s">
        <v>46</v>
      </c>
      <c r="Q132" s="349">
        <f t="shared" si="20"/>
        <v>0.67</v>
      </c>
      <c r="R132" s="280" t="s">
        <v>1036</v>
      </c>
      <c r="S132" s="349"/>
      <c r="T132" s="347" t="s">
        <v>344</v>
      </c>
    </row>
    <row r="133" spans="1:20" ht="14.25" customHeight="1">
      <c r="A133" s="909" t="s">
        <v>1037</v>
      </c>
      <c r="B133" s="1071" t="s">
        <v>1038</v>
      </c>
      <c r="C133" s="316" t="s">
        <v>1039</v>
      </c>
      <c r="D133" s="316" t="s">
        <v>950</v>
      </c>
      <c r="E133" s="316"/>
      <c r="F133" s="296" t="s">
        <v>117</v>
      </c>
      <c r="G133" s="316"/>
      <c r="H133" s="397" t="s">
        <v>1037</v>
      </c>
      <c r="I133" s="316"/>
      <c r="J133" s="316"/>
      <c r="K133" s="296" t="s">
        <v>197</v>
      </c>
      <c r="L133" s="316">
        <f t="shared" si="18"/>
        <v>2</v>
      </c>
      <c r="M133" s="394" t="str">
        <f>IF($K133=$V$3,$X$3,IF($K133=$V$4,$X$4,IF($K133=$V$5,$X$5,IF($K133=$V$6,$X$6,IF($K133=$V$7,$X$7)))))</f>
        <v>Same distinctiveness or better habitat required ≥</v>
      </c>
      <c r="N133" s="316" t="s">
        <v>46</v>
      </c>
      <c r="O133" s="316">
        <f t="shared" si="19"/>
        <v>0.67</v>
      </c>
      <c r="P133" s="316" t="s">
        <v>46</v>
      </c>
      <c r="Q133" s="316">
        <f t="shared" si="20"/>
        <v>0.67</v>
      </c>
      <c r="R133" s="295" t="s">
        <v>1040</v>
      </c>
      <c r="S133" s="316"/>
      <c r="T133" s="353" t="s">
        <v>344</v>
      </c>
    </row>
    <row r="134" spans="1:20" ht="14.25" customHeight="1" thickBot="1">
      <c r="A134" s="910" t="s">
        <v>1041</v>
      </c>
      <c r="B134" s="1070" t="s">
        <v>1042</v>
      </c>
      <c r="C134" s="301" t="s">
        <v>1043</v>
      </c>
      <c r="D134" s="301" t="s">
        <v>950</v>
      </c>
      <c r="E134" s="301"/>
      <c r="F134" s="572" t="s">
        <v>117</v>
      </c>
      <c r="G134" s="301"/>
      <c r="H134" s="398" t="s">
        <v>1044</v>
      </c>
      <c r="I134" s="301"/>
      <c r="J134" s="301"/>
      <c r="K134" s="301" t="s">
        <v>46</v>
      </c>
      <c r="L134" s="301">
        <f t="shared" si="18"/>
        <v>4</v>
      </c>
      <c r="M134" s="395" t="str">
        <f>IF($K134=$V$3,$X$3,IF($K134=$V$4,$X$4,IF($K134=$V$5,$X$5,IF($K134=$V$6,$X$6,IF($K134=$V$7,$X$7)))))</f>
        <v>Same broad habitat or a higher distinctiveness habitat required (≥)</v>
      </c>
      <c r="N134" s="301" t="s">
        <v>46</v>
      </c>
      <c r="O134" s="301">
        <f t="shared" si="19"/>
        <v>0.67</v>
      </c>
      <c r="P134" s="301" t="s">
        <v>46</v>
      </c>
      <c r="Q134" s="301">
        <f t="shared" si="20"/>
        <v>0.67</v>
      </c>
      <c r="R134" s="284" t="s">
        <v>1045</v>
      </c>
      <c r="S134" s="301"/>
      <c r="T134" s="345" t="s">
        <v>344</v>
      </c>
    </row>
    <row r="135" spans="1:20" ht="14.25" customHeight="1" thickBot="1">
      <c r="A135" s="909" t="s">
        <v>118</v>
      </c>
      <c r="B135" s="1073" t="s">
        <v>1046</v>
      </c>
      <c r="C135" s="341" t="s">
        <v>1047</v>
      </c>
      <c r="D135" s="342" t="s">
        <v>118</v>
      </c>
      <c r="E135" s="341"/>
      <c r="F135" s="341"/>
      <c r="G135" s="341"/>
      <c r="H135" s="396"/>
      <c r="I135" s="341"/>
      <c r="J135" s="341"/>
      <c r="K135" s="341" t="s">
        <v>1048</v>
      </c>
      <c r="L135" s="341">
        <f t="shared" si="18"/>
        <v>0</v>
      </c>
      <c r="M135" s="396" t="str">
        <f>IF($K135=$V$3,$X$3,IF($K135=$V$4,$X$4,IF($K135=$V$5,$X$5,IF($K135=$V$6,$X$6,IF($K135=$V$7,$X$7)))))</f>
        <v>Compensation Not Required</v>
      </c>
      <c r="N135" s="341" t="s">
        <v>197</v>
      </c>
      <c r="O135" s="341">
        <f t="shared" si="19"/>
        <v>1</v>
      </c>
      <c r="P135" s="341" t="s">
        <v>197</v>
      </c>
      <c r="Q135" s="341">
        <f t="shared" si="20"/>
        <v>1</v>
      </c>
      <c r="R135" s="342" t="s">
        <v>1049</v>
      </c>
      <c r="S135" s="341"/>
      <c r="T135" s="912" t="s">
        <v>344</v>
      </c>
    </row>
  </sheetData>
  <sheetProtection algorithmName="SHA-512" hashValue="tWdmZmH9F3DuNt1UZULNCmVhhXIbnXZGV0rT8U7r6hXn1aJMCUG68HWK+KxkEhnHaIX957kFumDay6ddrs+Ixg==" saltValue="Wkyoo63T162bLSs5h+RqGQ==" spinCount="100000" sheet="1" objects="1" scenarios="1"/>
  <customSheetViews>
    <customSheetView guid="{8bda793c-c9c5-4fc6-a0a5-f1109f6d4f22}" scale="80" state="hidden" topLeftCell="A1">
      <pane xSplit="2" ySplit="2" topLeftCell="C3" activePane="bottomRight" state="frozen"/>
      <selection pane="bottomRight" activeCell="D14" sqref="D14"/>
      <pageMargins left="0.75" right="0.75" top="1" bottom="1" header="0.5" footer="0.5"/>
    </customSheetView>
  </customSheetViews>
  <mergeCells count="11">
    <mergeCell ref="AF45:AG46"/>
    <mergeCell ref="AF47:AF48"/>
    <mergeCell ref="AG47:AG48"/>
    <mergeCell ref="D1:F1"/>
    <mergeCell ref="AF23:AG24"/>
    <mergeCell ref="AF25:AF26"/>
    <mergeCell ref="AG25:AG26"/>
    <mergeCell ref="Z1:AA1"/>
    <mergeCell ref="V1:X1"/>
    <mergeCell ref="AF1:AF2"/>
    <mergeCell ref="AG1:AG2"/>
  </mergeCells>
  <conditionalFormatting sqref="X3">
    <cfRule type="containsText" priority="1" dxfId="1281" operator="containsText" text="⚠">
      <formula>NOT(ISERROR(SEARCH("⚠",X3)))</formula>
    </cfRule>
  </conditionalFormatting>
  <dataValidations count="2">
    <dataValidation type="list" allowBlank="1" showInputMessage="1" showErrorMessage="1" sqref="K3:K135">
      <formula1>$V$3:$V$7</formula1>
    </dataValidation>
    <dataValidation type="list" allowBlank="1" showInputMessage="1" showErrorMessage="1" sqref="N3:N135 P3:P135">
      <formula1>'G-3 Multipliers'!$P$3:$P$6</formula1>
    </dataValidation>
  </dataValidations>
  <pageMargins left="0.7" right="0.7" top="0.75" bottom="0.75" header="0.3" footer="0.3"/>
  <pageSetup orientation="portrait" paperSize="9"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zoomScale="80" zoomScaleNormal="80" workbookViewId="0" topLeftCell="A1">
      <selection pane="topLeft" activeCell="A1" sqref="A1:AF1"/>
    </sheetView>
  </sheetViews>
  <sheetFormatPr defaultColWidth="16.4542857142857" defaultRowHeight="14"/>
  <cols>
    <col min="1" max="1" width="88.5714285714286" style="1068" bestFit="1" customWidth="1"/>
    <col min="2" max="2" width="23.5714285714286" style="1068" customWidth="1"/>
    <col min="3" max="3" width="21.4285714285714" style="1068" customWidth="1"/>
    <col min="4" max="4" width="62.5714285714286" style="1068" bestFit="1" customWidth="1"/>
    <col min="5" max="35" width="16.4285714285714" style="30"/>
    <col min="36" max="36" width="23.5714285714286" style="30" customWidth="1"/>
    <col min="37" max="38" width="16.4285714285714" style="30"/>
    <col min="39" max="39" width="24.5714285714286" style="30" customWidth="1"/>
    <col min="40" max="40" width="25.5714285714286" style="30" customWidth="1"/>
    <col min="41" max="41" width="23.4285714285714" style="30" customWidth="1"/>
    <col min="42" max="42" width="23.5714285714286" style="30" customWidth="1"/>
    <col min="43" max="46" width="16.4285714285714" style="30"/>
    <col min="47" max="47" width="78.4285714285714" style="30" customWidth="1"/>
    <col min="48" max="48" width="24.4285714285714" style="30" bestFit="1" customWidth="1"/>
    <col min="49" max="49" width="16.5714285714286" style="30" bestFit="1" customWidth="1"/>
    <col min="50" max="50" width="23.5714285714286" style="30" bestFit="1" customWidth="1"/>
    <col min="51" max="51" width="28.4285714285714" style="30" customWidth="1"/>
    <col min="52" max="52" width="29.4285714285714" style="30" bestFit="1" customWidth="1"/>
    <col min="53" max="53" width="26.4285714285714" style="30" bestFit="1" customWidth="1"/>
    <col min="54" max="54" width="25.5714285714286" style="30" bestFit="1" customWidth="1"/>
    <col min="55" max="55" width="28.4285714285714" style="30" bestFit="1" customWidth="1"/>
    <col min="56" max="57" width="34.5714285714286" style="30" bestFit="1" customWidth="1"/>
    <col min="58" max="58" width="27.4285714285714" style="30" bestFit="1" customWidth="1"/>
    <col min="59" max="59" width="9.42857142857143" style="30" hidden="1" customWidth="1"/>
    <col min="60" max="16384" width="16.4285714285714" style="30"/>
  </cols>
  <sheetData>
    <row r="1" spans="1:59" ht="51.65" customHeight="1">
      <c r="A1" s="1889" t="s">
        <v>1050</v>
      </c>
      <c r="B1" s="1889"/>
      <c r="C1" s="1889"/>
      <c r="D1" s="1889"/>
      <c r="E1" s="1889"/>
      <c r="F1" s="1889"/>
      <c r="G1" s="1889"/>
      <c r="H1" s="1889"/>
      <c r="I1" s="1889"/>
      <c r="J1" s="1889"/>
      <c r="K1" s="1889"/>
      <c r="L1" s="1889"/>
      <c r="M1" s="1889"/>
      <c r="N1" s="1889"/>
      <c r="O1" s="1889"/>
      <c r="P1" s="1889"/>
      <c r="Q1" s="1889"/>
      <c r="R1" s="1889"/>
      <c r="S1" s="1889"/>
      <c r="T1" s="1889"/>
      <c r="U1" s="1889"/>
      <c r="V1" s="1889"/>
      <c r="W1" s="1889"/>
      <c r="X1" s="1889"/>
      <c r="Y1" s="1889"/>
      <c r="Z1" s="1889"/>
      <c r="AA1" s="1889"/>
      <c r="AB1" s="1889"/>
      <c r="AC1" s="1889"/>
      <c r="AD1" s="1889"/>
      <c r="AE1" s="1889"/>
      <c r="AF1" s="1889"/>
      <c r="AG1" s="83"/>
      <c r="AJ1" s="1883" t="s">
        <v>1051</v>
      </c>
      <c r="AK1" s="1884"/>
      <c r="AL1" s="1884"/>
      <c r="AM1" s="1884"/>
      <c r="AN1" s="1884"/>
      <c r="AO1" s="1884"/>
      <c r="AP1" s="1885"/>
      <c r="AU1" s="1886" t="s">
        <v>1052</v>
      </c>
      <c r="AV1" s="1887"/>
      <c r="AW1" s="1887"/>
      <c r="AX1" s="1887"/>
      <c r="AY1" s="1887"/>
      <c r="AZ1" s="1887"/>
      <c r="BA1" s="1887"/>
      <c r="BB1" s="1887"/>
      <c r="BC1" s="1887"/>
      <c r="BD1" s="1887"/>
      <c r="BE1" s="1887"/>
      <c r="BF1" s="1887"/>
      <c r="BG1" s="1888"/>
    </row>
    <row r="2" spans="1:32" ht="22.5">
      <c r="A2" s="1074">
        <v>1</v>
      </c>
      <c r="B2" s="1074">
        <v>2</v>
      </c>
      <c r="C2" s="1074">
        <v>2</v>
      </c>
      <c r="D2" s="1074">
        <v>3</v>
      </c>
      <c r="E2" s="68">
        <v>4</v>
      </c>
      <c r="F2" s="68">
        <v>5</v>
      </c>
      <c r="G2" s="68">
        <v>6</v>
      </c>
      <c r="H2" s="68">
        <v>7</v>
      </c>
      <c r="I2" s="68">
        <v>8</v>
      </c>
      <c r="J2" s="68">
        <v>9</v>
      </c>
      <c r="K2" s="68">
        <v>10</v>
      </c>
      <c r="L2" s="68">
        <v>11</v>
      </c>
      <c r="M2" s="68">
        <v>12</v>
      </c>
      <c r="N2" s="68">
        <v>13</v>
      </c>
      <c r="O2" s="68">
        <v>14</v>
      </c>
      <c r="P2" s="68">
        <v>15</v>
      </c>
      <c r="Q2" s="68">
        <v>16</v>
      </c>
      <c r="R2" s="68">
        <f>Q2+1</f>
        <v>17</v>
      </c>
      <c r="S2" s="68">
        <f t="shared" si="0" ref="S2:AF2">R2+1</f>
        <v>18</v>
      </c>
      <c r="T2" s="68">
        <f t="shared" si="0"/>
        <v>19</v>
      </c>
      <c r="U2" s="68">
        <f t="shared" si="0"/>
        <v>20</v>
      </c>
      <c r="V2" s="68">
        <f t="shared" si="0"/>
        <v>21</v>
      </c>
      <c r="W2" s="68">
        <f t="shared" si="0"/>
        <v>22</v>
      </c>
      <c r="X2" s="68">
        <f t="shared" si="0"/>
        <v>23</v>
      </c>
      <c r="Y2" s="68">
        <f t="shared" si="0"/>
        <v>24</v>
      </c>
      <c r="Z2" s="68">
        <f t="shared" si="0"/>
        <v>25</v>
      </c>
      <c r="AA2" s="68">
        <f t="shared" si="0"/>
        <v>26</v>
      </c>
      <c r="AB2" s="68">
        <f t="shared" si="0"/>
        <v>27</v>
      </c>
      <c r="AC2" s="68">
        <f t="shared" si="0"/>
        <v>28</v>
      </c>
      <c r="AD2" s="68">
        <f t="shared" si="0"/>
        <v>29</v>
      </c>
      <c r="AE2" s="68">
        <f t="shared" si="0"/>
        <v>30</v>
      </c>
      <c r="AF2" s="68">
        <f t="shared" si="0"/>
        <v>31</v>
      </c>
    </row>
    <row r="3" spans="1:59" ht="107.9" customHeight="1">
      <c r="A3" s="69" t="s">
        <v>1053</v>
      </c>
      <c r="B3" s="69" t="s">
        <v>201</v>
      </c>
      <c r="C3" s="69" t="s">
        <v>312</v>
      </c>
      <c r="D3" s="69" t="s">
        <v>1054</v>
      </c>
      <c r="E3" s="69" t="s">
        <v>1055</v>
      </c>
      <c r="F3" s="69" t="s">
        <v>1056</v>
      </c>
      <c r="G3" s="69" t="s">
        <v>1057</v>
      </c>
      <c r="H3" s="69" t="s">
        <v>1058</v>
      </c>
      <c r="I3" s="69" t="s">
        <v>1059</v>
      </c>
      <c r="J3" s="69" t="s">
        <v>1060</v>
      </c>
      <c r="K3" s="69" t="s">
        <v>1061</v>
      </c>
      <c r="L3" s="69" t="s">
        <v>1062</v>
      </c>
      <c r="M3" s="69" t="s">
        <v>1063</v>
      </c>
      <c r="N3" s="69" t="s">
        <v>1064</v>
      </c>
      <c r="O3" s="69" t="s">
        <v>1065</v>
      </c>
      <c r="P3" s="69" t="s">
        <v>1066</v>
      </c>
      <c r="Q3" s="69" t="s">
        <v>1067</v>
      </c>
      <c r="R3" s="69" t="s">
        <v>1068</v>
      </c>
      <c r="S3" s="69" t="s">
        <v>1069</v>
      </c>
      <c r="T3" s="69" t="s">
        <v>1070</v>
      </c>
      <c r="U3" s="69" t="s">
        <v>1071</v>
      </c>
      <c r="V3" s="69" t="s">
        <v>1072</v>
      </c>
      <c r="W3" s="69" t="s">
        <v>1073</v>
      </c>
      <c r="X3" s="69" t="s">
        <v>1074</v>
      </c>
      <c r="Y3" s="69" t="s">
        <v>1075</v>
      </c>
      <c r="Z3" s="69" t="s">
        <v>1076</v>
      </c>
      <c r="AA3" s="69" t="s">
        <v>1077</v>
      </c>
      <c r="AB3" s="69" t="s">
        <v>1078</v>
      </c>
      <c r="AC3" s="69" t="s">
        <v>1079</v>
      </c>
      <c r="AD3" s="69" t="s">
        <v>1080</v>
      </c>
      <c r="AE3" s="69" t="s">
        <v>1081</v>
      </c>
      <c r="AF3" s="69" t="s">
        <v>1082</v>
      </c>
      <c r="AJ3" s="69" t="s">
        <v>1083</v>
      </c>
      <c r="AK3" s="504" t="s">
        <v>1084</v>
      </c>
      <c r="AL3" s="504" t="s">
        <v>1085</v>
      </c>
      <c r="AM3" s="504" t="s">
        <v>1086</v>
      </c>
      <c r="AN3" s="504" t="s">
        <v>1087</v>
      </c>
      <c r="AO3" s="504" t="s">
        <v>100</v>
      </c>
      <c r="AP3" s="504" t="s">
        <v>101</v>
      </c>
      <c r="AU3" s="74" t="s">
        <v>192</v>
      </c>
      <c r="AV3" s="75"/>
      <c r="AW3" s="76"/>
      <c r="AX3" s="76"/>
      <c r="AY3" s="76"/>
      <c r="AZ3" s="76"/>
      <c r="BA3" s="76"/>
      <c r="BB3" s="76"/>
      <c r="BC3" s="76"/>
      <c r="BD3" s="76"/>
      <c r="BE3" s="76"/>
      <c r="BF3" s="76"/>
      <c r="BG3" s="76"/>
    </row>
    <row r="4" spans="1:59" ht="30">
      <c r="A4" s="72" t="str">
        <f>'G-1 All Habitats'!B3</f>
        <v>Cropland - Arable field margins cultivated annually</v>
      </c>
      <c r="B4" s="72" t="s">
        <v>105</v>
      </c>
      <c r="C4" s="72" t="str">
        <f>'G-1 All Habitats'!K3</f>
        <v>Medium</v>
      </c>
      <c r="D4" s="72" t="str">
        <f>'G-1 All Habitats'!M3</f>
        <v>Same broad habitat or a higher distinctiveness habitat required (≥)</v>
      </c>
      <c r="E4" s="1056">
        <f>SUMIF('A-1 On-Site Habitat Baseline'!$AV$11:$AV$258,'G-2 Habitat groups'!A4,'A-1 On-Site Habitat Baseline'!$H$11:$H$258)</f>
        <v>0</v>
      </c>
      <c r="F4" s="1056">
        <f>SUMIF('A-1 On-Site Habitat Baseline'!$AV$11:$AV$258,'G-2 Habitat groups'!A4,'A-1 On-Site Habitat Baseline'!$Q$11:$Q$258)</f>
        <v>0</v>
      </c>
      <c r="G4" s="1056">
        <f>SUMIF('A-1 On-Site Habitat Baseline'!$AV$11:$AV$258,'G-2 Habitat groups'!A4,'A-1 On-Site Habitat Baseline'!$S$11:$S$258)</f>
        <v>0</v>
      </c>
      <c r="H4" s="1056">
        <f>SUMIF('A-1 On-Site Habitat Baseline'!$AV$11:$AV$258,'G-2 Habitat groups'!A4,'A-1 On-Site Habitat Baseline'!$U$11:$U$258)+SUMIF('A-1 On-Site Habitat Baseline'!$AV$11:$AV$258,'G-2 Habitat groups'!A4,'A-1 On-Site Habitat Baseline'!$AT$11:$AT$258)</f>
        <v>0</v>
      </c>
      <c r="I4" s="1056">
        <f>SUMIF('A-1 On-Site Habitat Baseline'!$AV$11:$AV$258,'G-2 Habitat groups'!A4,'A-1 On-Site Habitat Baseline'!$W$11:$W$258)</f>
        <v>0</v>
      </c>
      <c r="J4" s="1056">
        <f>SUMIF('A-1 On-Site Habitat Baseline'!$AV$11:$AV$258,'G-2 Habitat groups'!A4,'A-1 On-Site Habitat Baseline'!$X$11:$X$258)</f>
        <v>0</v>
      </c>
      <c r="K4" s="1056">
        <f>SUMIF('A-2 On-Site Habitat Creation'!$F$11:$F$256,'G-2 Habitat groups'!A4,'A-2 On-Site Habitat Creation'!$G$11:$G$256)</f>
        <v>0</v>
      </c>
      <c r="L4" s="1056">
        <f>SUMIF('A-2 On-Site Habitat Creation'!$F$11:$F$256,'G-2 Habitat groups'!A4,'A-2 On-Site Habitat Creation'!$Y$11:$Y$256)</f>
        <v>0</v>
      </c>
      <c r="M4" s="1056">
        <f>SUMIF('A-3 On-Site Habitat Enhancement'!$S$12:$S$257,'G-2 Habitat groups'!A4,'A-3 On-Site Habitat Enhancement'!$V$12:$V$257)</f>
        <v>0</v>
      </c>
      <c r="N4" s="1056">
        <f>SUMIF('A-3 On-Site Habitat Enhancement'!$S$12:$S$257,'G-2 Habitat groups'!A4,'A-3 On-Site Habitat Enhancement'!$AN$12:$AN$257)</f>
        <v>0</v>
      </c>
      <c r="O4" s="1056">
        <f t="shared" si="1" ref="O4:O34">G4+K4+M4</f>
        <v>0</v>
      </c>
      <c r="P4" s="1056">
        <f t="shared" si="2" ref="P4:P34">H4+L4+N4</f>
        <v>0</v>
      </c>
      <c r="Q4" s="1056">
        <f t="shared" si="3" ref="Q4:Q34">O4-E4</f>
        <v>0</v>
      </c>
      <c r="R4" s="1056">
        <f t="shared" si="4" ref="R4:R34">P4-F4</f>
        <v>0</v>
      </c>
      <c r="S4" s="1056">
        <f>SUMIF('D-1 Off-Site Habitat Baseline'!$AV$11:$AV$258,'G-2 Habitat groups'!A4,'D-1 Off-Site Habitat Baseline'!$H$11:$H$258)</f>
        <v>0</v>
      </c>
      <c r="T4" s="1056">
        <f>SUMIF('D-1 Off-Site Habitat Baseline'!$AV$11:$AV$258,'G-2 Habitat groups'!A4,'D-1 Off-Site Habitat Baseline'!$T$11:$T$258)</f>
        <v>0</v>
      </c>
      <c r="U4" s="1056">
        <f>SUMIF('D-1 Off-Site Habitat Baseline'!$AV$11:$AV$258,'G-2 Habitat groups'!A4,'D-1 Off-Site Habitat Baseline'!$V$11:$V$258)</f>
        <v>0</v>
      </c>
      <c r="V4" s="1056">
        <f>SUMIF('D-1 Off-Site Habitat Baseline'!$AV$11:$AV$258,'G-2 Habitat groups'!A4,'D-1 Off-Site Habitat Baseline'!$X$11:$X$258)+SUMIF('D-1 Off-Site Habitat Baseline'!$AV$11:$AV$258,'G-2 Habitat groups'!A4,'D-1 Off-Site Habitat Baseline'!$AS$11:$AS$258)</f>
        <v>0</v>
      </c>
      <c r="W4" s="1056">
        <f>SUMIF('D-2 Off-Site Habitat Creation'!$F$9:$F$255,'G-2 Habitat groups'!A4,'D-2 Off-Site Habitat Creation'!$G$9:$G$255)</f>
        <v>0</v>
      </c>
      <c r="X4" s="1056">
        <f>SUMIF('D-2 Off-Site Habitat Creation'!$F$9:$F$255,'G-2 Habitat groups'!A4,'D-2 Off-Site Habitat Creation'!$AB$9:$AB$255)</f>
        <v>0</v>
      </c>
      <c r="Y4" s="1056">
        <f>SUMIF('D-3 Off-Site Habitat Enhancment'!$S$12:$S$491,'G-2 Habitat groups'!A4,'D-3 Off-Site Habitat Enhancment'!$V$12:$V$491)</f>
        <v>0</v>
      </c>
      <c r="Z4" s="1056">
        <f>SUMIF('D-3 Off-Site Habitat Enhancment'!$S$12:$S$491,'G-2 Habitat groups'!A4,'D-3 Off-Site Habitat Enhancment'!$AQ$12:$AQ$491)</f>
        <v>0</v>
      </c>
      <c r="AA4" s="1056">
        <f t="shared" si="5" ref="AA4:AA34">U4+W4+Y4</f>
        <v>0</v>
      </c>
      <c r="AB4" s="1056">
        <f>V4+X4+Z4</f>
        <v>0</v>
      </c>
      <c r="AC4" s="1056">
        <f t="shared" si="6" ref="AC4:AC34">AA4-S4</f>
        <v>0</v>
      </c>
      <c r="AD4" s="1056">
        <f>AB4-T4</f>
        <v>0</v>
      </c>
      <c r="AE4" s="1056">
        <f t="shared" si="7" ref="AE4:AE34">Q4+AC4</f>
        <v>0</v>
      </c>
      <c r="AF4" s="1056">
        <f>R4+AD4</f>
        <v>0</v>
      </c>
      <c r="AJ4" s="1058" t="s">
        <v>105</v>
      </c>
      <c r="AK4" s="1055">
        <f t="shared" si="8" ref="AK4:AK16">SUMIF($B:$B,$AJ4,E:E)</f>
        <v>0</v>
      </c>
      <c r="AL4" s="1055">
        <f t="shared" si="9" ref="AL4:AL18">SUMIF($B:$B,$AJ4,F:F)</f>
        <v>0</v>
      </c>
      <c r="AM4" s="1055">
        <f t="shared" si="10" ref="AM4:AM18">SUMIF($B:$B,$AJ4,O:O)</f>
        <v>0</v>
      </c>
      <c r="AN4" s="1055">
        <f t="shared" si="11" ref="AN4:AN18">SUMIF($B:$B,$AJ4,P:P)</f>
        <v>0</v>
      </c>
      <c r="AO4" s="1055">
        <f t="shared" si="12" ref="AO4:AO18">SUMIF($B:$B,$AJ4,Q:Q)</f>
        <v>0</v>
      </c>
      <c r="AP4" s="1055">
        <f t="shared" si="13" ref="AP4:AP18">SUMIF($B:$B,$AJ4,R:R)</f>
        <v>0</v>
      </c>
      <c r="AU4" s="81" t="s">
        <v>520</v>
      </c>
      <c r="AV4" s="84" t="s">
        <v>201</v>
      </c>
      <c r="AW4" s="84" t="s">
        <v>1088</v>
      </c>
      <c r="AX4" s="84" t="s">
        <v>1089</v>
      </c>
      <c r="AY4" s="84" t="s">
        <v>1090</v>
      </c>
      <c r="AZ4" s="84" t="s">
        <v>1091</v>
      </c>
      <c r="BA4" s="84" t="s">
        <v>1092</v>
      </c>
      <c r="BB4" s="84" t="s">
        <v>1093</v>
      </c>
      <c r="BC4" s="84" t="s">
        <v>1094</v>
      </c>
      <c r="BD4" s="84" t="s">
        <v>1095</v>
      </c>
      <c r="BE4" s="84" t="s">
        <v>1096</v>
      </c>
      <c r="BF4" s="84" t="s">
        <v>1097</v>
      </c>
      <c r="BG4" s="84" t="s">
        <v>1098</v>
      </c>
    </row>
    <row r="5" spans="1:59" ht="14.9" customHeight="1">
      <c r="A5" s="72" t="str">
        <f>'G-1 All Habitats'!B4</f>
        <v>Cropland - Arable field margins game bird mix</v>
      </c>
      <c r="B5" s="72" t="s">
        <v>105</v>
      </c>
      <c r="C5" s="72" t="str">
        <f>'G-1 All Habitats'!K4</f>
        <v>Medium</v>
      </c>
      <c r="D5" s="72" t="str">
        <f>'G-1 All Habitats'!M4</f>
        <v>Same broad habitat or a higher distinctiveness habitat required (≥)</v>
      </c>
      <c r="E5" s="1056">
        <f>SUMIF('A-1 On-Site Habitat Baseline'!$AV$11:$AV$258,'G-2 Habitat groups'!A5,'A-1 On-Site Habitat Baseline'!$H$11:$H$258)</f>
        <v>0</v>
      </c>
      <c r="F5" s="1056">
        <f>SUMIF('A-1 On-Site Habitat Baseline'!$AV$11:$AV$258,'G-2 Habitat groups'!A5,'A-1 On-Site Habitat Baseline'!$Q$11:$Q$258)</f>
        <v>0</v>
      </c>
      <c r="G5" s="1056">
        <f>SUMIF('A-1 On-Site Habitat Baseline'!$AV$11:$AV$258,'G-2 Habitat groups'!A5,'A-1 On-Site Habitat Baseline'!$S$11:$S$258)</f>
        <v>0</v>
      </c>
      <c r="H5" s="1056">
        <f>SUMIF('A-1 On-Site Habitat Baseline'!$AV$11:$AV$258,'G-2 Habitat groups'!A5,'A-1 On-Site Habitat Baseline'!$U$11:$U$258)+SUMIF('A-1 On-Site Habitat Baseline'!$AV$11:$AV$258,'G-2 Habitat groups'!A5,'A-1 On-Site Habitat Baseline'!$AT$11:$AT$258)</f>
        <v>0</v>
      </c>
      <c r="I5" s="1056">
        <f>SUMIF('A-1 On-Site Habitat Baseline'!$AV$11:$AV$258,'G-2 Habitat groups'!A5,'A-1 On-Site Habitat Baseline'!$W$11:$W$258)</f>
        <v>0</v>
      </c>
      <c r="J5" s="1056">
        <f>SUMIF('A-1 On-Site Habitat Baseline'!$AV$11:$AV$258,'G-2 Habitat groups'!A5,'A-1 On-Site Habitat Baseline'!$X$11:$X$258)</f>
        <v>0</v>
      </c>
      <c r="K5" s="1056">
        <f>SUMIF('A-2 On-Site Habitat Creation'!$F$11:$F$256,'G-2 Habitat groups'!A5,'A-2 On-Site Habitat Creation'!$G$11:$G$256)</f>
        <v>0</v>
      </c>
      <c r="L5" s="1056">
        <f>SUMIF('A-2 On-Site Habitat Creation'!$F$11:$F$256,'G-2 Habitat groups'!A5,'A-2 On-Site Habitat Creation'!$Y$11:$Y$256)</f>
        <v>0</v>
      </c>
      <c r="M5" s="1056">
        <f>SUMIF('A-3 On-Site Habitat Enhancement'!$S$12:$S$257,'G-2 Habitat groups'!A5,'A-3 On-Site Habitat Enhancement'!$V$12:$V$257)</f>
        <v>0</v>
      </c>
      <c r="N5" s="1056">
        <f>SUMIF('A-3 On-Site Habitat Enhancement'!$S$12:$S$257,'G-2 Habitat groups'!A5,'A-3 On-Site Habitat Enhancement'!$AN$12:$AN$257)</f>
        <v>0</v>
      </c>
      <c r="O5" s="1056">
        <f t="shared" si="1"/>
        <v>0</v>
      </c>
      <c r="P5" s="1056">
        <f t="shared" si="2"/>
        <v>0</v>
      </c>
      <c r="Q5" s="1056">
        <f t="shared" si="3"/>
        <v>0</v>
      </c>
      <c r="R5" s="1056">
        <f t="shared" si="4"/>
        <v>0</v>
      </c>
      <c r="S5" s="1056">
        <f>SUMIF('D-1 Off-Site Habitat Baseline'!$AV$11:$AV$258,'G-2 Habitat groups'!A5,'D-1 Off-Site Habitat Baseline'!$H$11:$H$258)</f>
        <v>0</v>
      </c>
      <c r="T5" s="1056">
        <f>SUMIF('D-1 Off-Site Habitat Baseline'!$AV$11:$AV$258,'G-2 Habitat groups'!A5,'D-1 Off-Site Habitat Baseline'!$T$11:$T$258)</f>
        <v>0</v>
      </c>
      <c r="U5" s="1056">
        <f>SUMIF('D-1 Off-Site Habitat Baseline'!$AV$11:$AV$258,'G-2 Habitat groups'!A5,'D-1 Off-Site Habitat Baseline'!$V$11:$V$258)</f>
        <v>0</v>
      </c>
      <c r="V5" s="1056">
        <f>SUMIF('D-1 Off-Site Habitat Baseline'!$AV$11:$AV$258,'G-2 Habitat groups'!A5,'D-1 Off-Site Habitat Baseline'!$X$11:$X$258)+SUMIF('D-1 Off-Site Habitat Baseline'!$AV$11:$AV$258,'G-2 Habitat groups'!A5,'D-1 Off-Site Habitat Baseline'!$AS$11:$AS$258)</f>
        <v>0</v>
      </c>
      <c r="W5" s="1056">
        <f>SUMIF('D-2 Off-Site Habitat Creation'!$F$9:$F$255,'G-2 Habitat groups'!A5,'D-2 Off-Site Habitat Creation'!$G$9:$G$255)</f>
        <v>0</v>
      </c>
      <c r="X5" s="1056">
        <f>SUMIF('D-2 Off-Site Habitat Creation'!$F$9:$F$255,'G-2 Habitat groups'!A5,'D-2 Off-Site Habitat Creation'!$AB$9:$AB$255)</f>
        <v>0</v>
      </c>
      <c r="Y5" s="1056">
        <f>SUMIF('D-3 Off-Site Habitat Enhancment'!$S$12:$S$491,'G-2 Habitat groups'!A5,'D-3 Off-Site Habitat Enhancment'!$V$12:$V$491)</f>
        <v>0</v>
      </c>
      <c r="Z5" s="1056">
        <f>SUMIF('D-3 Off-Site Habitat Enhancment'!$S$12:$S$491,'G-2 Habitat groups'!A5,'D-3 Off-Site Habitat Enhancment'!$AQ$12:$AQ$491)</f>
        <v>0</v>
      </c>
      <c r="AA5" s="1056">
        <f t="shared" si="5"/>
        <v>0</v>
      </c>
      <c r="AB5" s="1056">
        <f t="shared" si="14" ref="AB5:AB34">V5+X5+Z5</f>
        <v>0</v>
      </c>
      <c r="AC5" s="1056">
        <f t="shared" si="6"/>
        <v>0</v>
      </c>
      <c r="AD5" s="1056">
        <f t="shared" si="15" ref="AD5:AD34">AB5-T5</f>
        <v>0</v>
      </c>
      <c r="AE5" s="1056">
        <f t="shared" si="7"/>
        <v>0</v>
      </c>
      <c r="AF5" s="1056">
        <f t="shared" si="16" ref="AF5:AF34">R5+AD5</f>
        <v>0</v>
      </c>
      <c r="AJ5" s="1058" t="s">
        <v>106</v>
      </c>
      <c r="AK5" s="1054">
        <f t="shared" si="8"/>
        <v>8.806000000000003</v>
      </c>
      <c r="AL5" s="1054">
        <f t="shared" si="9"/>
        <v>19.472800000000003</v>
      </c>
      <c r="AM5" s="1054">
        <f t="shared" si="10"/>
        <v>3.044</v>
      </c>
      <c r="AN5" s="1054">
        <f t="shared" si="11"/>
        <v>20.546157528408003</v>
      </c>
      <c r="AO5" s="1055">
        <f t="shared" si="12"/>
        <v>-5.762000000000002</v>
      </c>
      <c r="AP5" s="1055">
        <f t="shared" si="13"/>
        <v>1.0733575284079997</v>
      </c>
      <c r="AU5" s="78" t="s">
        <v>706</v>
      </c>
      <c r="AV5" s="62" t="s">
        <v>106</v>
      </c>
      <c r="AW5" s="274">
        <f>VLOOKUP($AU5,AllHabsSummaryData,5,FALSE)</f>
        <v>0</v>
      </c>
      <c r="AX5" s="274">
        <f>VLOOKUP($AU5,AllHabsSummaryData,10,FALSE)</f>
        <v>0</v>
      </c>
      <c r="AY5" s="274">
        <f>VLOOKUP($AU5,AllHabsSummaryData,15,FALSE)</f>
        <v>0</v>
      </c>
      <c r="AZ5" s="274">
        <f>VLOOKUP($AU5,AllHabsSummaryData,16,FALSE)</f>
        <v>0</v>
      </c>
      <c r="BA5" s="274">
        <f>VLOOKUP($AU5,AllHabsSummaryData,17,FALSE)</f>
        <v>0</v>
      </c>
      <c r="BB5" s="274">
        <f>VLOOKUP($AU5,AllHabsSummaryData,18,FALSE)</f>
        <v>0</v>
      </c>
      <c r="BC5" s="274">
        <f>VLOOKUP($AU5,AllHabsSummaryData,27,FALSE)</f>
        <v>0</v>
      </c>
      <c r="BD5" s="274">
        <f>VLOOKUP($AU5,AllHabsSummaryData,30,FALSE)</f>
        <v>0</v>
      </c>
      <c r="BE5" s="274">
        <f>BB5+BD5</f>
        <v>0</v>
      </c>
      <c r="BF5" s="274" t="str">
        <f>IF(BE5&lt;0,BE5,"")</f>
        <v/>
      </c>
      <c r="BG5" s="274">
        <f t="shared" si="17" ref="BG5:BG24">VLOOKUP($AU5,AllHabsSummaryData,9,FALSE)</f>
        <v>0</v>
      </c>
    </row>
    <row r="6" spans="1:59" ht="14.9" customHeight="1">
      <c r="A6" s="72" t="str">
        <f>'G-1 All Habitats'!B5</f>
        <v>Cropland - Arable field margins pollen and nectar</v>
      </c>
      <c r="B6" s="72" t="s">
        <v>105</v>
      </c>
      <c r="C6" s="72" t="str">
        <f>'G-1 All Habitats'!K5</f>
        <v>Medium</v>
      </c>
      <c r="D6" s="72" t="str">
        <f>'G-1 All Habitats'!M5</f>
        <v>Same broad habitat or a higher distinctiveness habitat required (≥)</v>
      </c>
      <c r="E6" s="1056">
        <f>SUMIF('A-1 On-Site Habitat Baseline'!$AV$11:$AV$258,'G-2 Habitat groups'!A6,'A-1 On-Site Habitat Baseline'!$H$11:$H$258)</f>
        <v>0</v>
      </c>
      <c r="F6" s="1056">
        <f>SUMIF('A-1 On-Site Habitat Baseline'!$AV$11:$AV$258,'G-2 Habitat groups'!A6,'A-1 On-Site Habitat Baseline'!$Q$11:$Q$258)</f>
        <v>0</v>
      </c>
      <c r="G6" s="1056">
        <f>SUMIF('A-1 On-Site Habitat Baseline'!$AV$11:$AV$258,'G-2 Habitat groups'!A6,'A-1 On-Site Habitat Baseline'!$S$11:$S$258)</f>
        <v>0</v>
      </c>
      <c r="H6" s="1056">
        <f>SUMIF('A-1 On-Site Habitat Baseline'!$AV$11:$AV$258,'G-2 Habitat groups'!A6,'A-1 On-Site Habitat Baseline'!$U$11:$U$258)+SUMIF('A-1 On-Site Habitat Baseline'!$AV$11:$AV$258,'G-2 Habitat groups'!A6,'A-1 On-Site Habitat Baseline'!$AT$11:$AT$258)</f>
        <v>0</v>
      </c>
      <c r="I6" s="1056">
        <f>SUMIF('A-1 On-Site Habitat Baseline'!$AV$11:$AV$258,'G-2 Habitat groups'!A6,'A-1 On-Site Habitat Baseline'!$W$11:$W$258)</f>
        <v>0</v>
      </c>
      <c r="J6" s="1056">
        <f>SUMIF('A-1 On-Site Habitat Baseline'!$AV$11:$AV$258,'G-2 Habitat groups'!A6,'A-1 On-Site Habitat Baseline'!$X$11:$X$258)</f>
        <v>0</v>
      </c>
      <c r="K6" s="1056">
        <f>SUMIF('A-2 On-Site Habitat Creation'!$F$11:$F$256,'G-2 Habitat groups'!A6,'A-2 On-Site Habitat Creation'!$G$11:$G$256)</f>
        <v>0</v>
      </c>
      <c r="L6" s="1056">
        <f>SUMIF('A-2 On-Site Habitat Creation'!$F$11:$F$256,'G-2 Habitat groups'!A6,'A-2 On-Site Habitat Creation'!$Y$11:$Y$256)</f>
        <v>0</v>
      </c>
      <c r="M6" s="1056">
        <f>SUMIF('A-3 On-Site Habitat Enhancement'!$S$12:$S$257,'G-2 Habitat groups'!A6,'A-3 On-Site Habitat Enhancement'!$V$12:$V$257)</f>
        <v>0</v>
      </c>
      <c r="N6" s="1056">
        <f>SUMIF('A-3 On-Site Habitat Enhancement'!$S$12:$S$257,'G-2 Habitat groups'!A6,'A-3 On-Site Habitat Enhancement'!$AN$12:$AN$257)</f>
        <v>0</v>
      </c>
      <c r="O6" s="1056">
        <f t="shared" si="1"/>
        <v>0</v>
      </c>
      <c r="P6" s="1056">
        <f t="shared" si="2"/>
        <v>0</v>
      </c>
      <c r="Q6" s="1056">
        <f t="shared" si="3"/>
        <v>0</v>
      </c>
      <c r="R6" s="1056">
        <f t="shared" si="4"/>
        <v>0</v>
      </c>
      <c r="S6" s="1056">
        <f>SUMIF('D-1 Off-Site Habitat Baseline'!$AV$11:$AV$258,'G-2 Habitat groups'!A6,'D-1 Off-Site Habitat Baseline'!$H$11:$H$258)</f>
        <v>0</v>
      </c>
      <c r="T6" s="1056">
        <f>SUMIF('D-1 Off-Site Habitat Baseline'!$AV$11:$AV$258,'G-2 Habitat groups'!A6,'D-1 Off-Site Habitat Baseline'!$T$11:$T$258)</f>
        <v>0</v>
      </c>
      <c r="U6" s="1056">
        <f>SUMIF('D-1 Off-Site Habitat Baseline'!$AV$11:$AV$258,'G-2 Habitat groups'!A6,'D-1 Off-Site Habitat Baseline'!$V$11:$V$258)</f>
        <v>0</v>
      </c>
      <c r="V6" s="1056">
        <f>SUMIF('D-1 Off-Site Habitat Baseline'!$AV$11:$AV$258,'G-2 Habitat groups'!A6,'D-1 Off-Site Habitat Baseline'!$X$11:$X$258)+SUMIF('D-1 Off-Site Habitat Baseline'!$AV$11:$AV$258,'G-2 Habitat groups'!A6,'D-1 Off-Site Habitat Baseline'!$AS$11:$AS$258)</f>
        <v>0</v>
      </c>
      <c r="W6" s="1056">
        <f>SUMIF('D-2 Off-Site Habitat Creation'!$F$9:$F$255,'G-2 Habitat groups'!A6,'D-2 Off-Site Habitat Creation'!$G$9:$G$255)</f>
        <v>0</v>
      </c>
      <c r="X6" s="1056">
        <f>SUMIF('D-2 Off-Site Habitat Creation'!$F$9:$F$255,'G-2 Habitat groups'!A6,'D-2 Off-Site Habitat Creation'!$AB$9:$AB$255)</f>
        <v>0</v>
      </c>
      <c r="Y6" s="1056">
        <f>SUMIF('D-3 Off-Site Habitat Enhancment'!$S$12:$S$491,'G-2 Habitat groups'!A6,'D-3 Off-Site Habitat Enhancment'!$V$12:$V$491)</f>
        <v>0</v>
      </c>
      <c r="Z6" s="1056">
        <f>SUMIF('D-3 Off-Site Habitat Enhancment'!$S$12:$S$491,'G-2 Habitat groups'!A6,'D-3 Off-Site Habitat Enhancment'!$AQ$12:$AQ$491)</f>
        <v>0</v>
      </c>
      <c r="AA6" s="1056">
        <f t="shared" si="5"/>
        <v>0</v>
      </c>
      <c r="AB6" s="1056">
        <f t="shared" si="14"/>
        <v>0</v>
      </c>
      <c r="AC6" s="1056">
        <f t="shared" si="6"/>
        <v>0</v>
      </c>
      <c r="AD6" s="1056">
        <f t="shared" si="15"/>
        <v>0</v>
      </c>
      <c r="AE6" s="1056">
        <f t="shared" si="7"/>
        <v>0</v>
      </c>
      <c r="AF6" s="1056">
        <f t="shared" si="16"/>
        <v>0</v>
      </c>
      <c r="AJ6" s="1058" t="s">
        <v>107</v>
      </c>
      <c r="AK6" s="1054">
        <f t="shared" si="8"/>
        <v>0</v>
      </c>
      <c r="AL6" s="1054">
        <f t="shared" si="9"/>
        <v>0</v>
      </c>
      <c r="AM6" s="1054">
        <f t="shared" si="10"/>
        <v>0</v>
      </c>
      <c r="AN6" s="1054">
        <f t="shared" si="11"/>
        <v>0</v>
      </c>
      <c r="AO6" s="1055">
        <f t="shared" si="12"/>
        <v>0</v>
      </c>
      <c r="AP6" s="1055">
        <f t="shared" si="13"/>
        <v>0</v>
      </c>
      <c r="AU6" s="78" t="s">
        <v>710</v>
      </c>
      <c r="AV6" s="62" t="s">
        <v>106</v>
      </c>
      <c r="AW6" s="274">
        <f>VLOOKUP($AU6,AllHabsSummaryData,5,FALSE)</f>
        <v>0</v>
      </c>
      <c r="AX6" s="274">
        <f>VLOOKUP($AU6,AllHabsSummaryData,10,FALSE)</f>
        <v>0</v>
      </c>
      <c r="AY6" s="274">
        <f>VLOOKUP($AU6,AllHabsSummaryData,15,FALSE)</f>
        <v>0</v>
      </c>
      <c r="AZ6" s="274">
        <f>VLOOKUP($AU6,AllHabsSummaryData,16,FALSE)</f>
        <v>0</v>
      </c>
      <c r="BA6" s="274">
        <f>VLOOKUP($AU6,AllHabsSummaryData,17,FALSE)</f>
        <v>0</v>
      </c>
      <c r="BB6" s="274">
        <f>VLOOKUP($AU6,AllHabsSummaryData,18,FALSE)</f>
        <v>0</v>
      </c>
      <c r="BC6" s="274">
        <f>VLOOKUP($AU6,AllHabsSummaryData,27,FALSE)</f>
        <v>0</v>
      </c>
      <c r="BD6" s="274">
        <f>VLOOKUP($AU6,AllHabsSummaryData,30,FALSE)</f>
        <v>0</v>
      </c>
      <c r="BE6" s="274">
        <f>BB6+BD6</f>
        <v>0</v>
      </c>
      <c r="BF6" s="274" t="str">
        <f>IF(BE6&lt;0,BE6,"")</f>
        <v/>
      </c>
      <c r="BG6" s="274">
        <f t="shared" si="17"/>
        <v>0</v>
      </c>
    </row>
    <row r="7" spans="1:59" ht="14.9" customHeight="1">
      <c r="A7" s="72" t="str">
        <f>'G-1 All Habitats'!B6</f>
        <v>Cropland - Arable field margins tussocky</v>
      </c>
      <c r="B7" s="72" t="s">
        <v>105</v>
      </c>
      <c r="C7" s="72" t="str">
        <f>'G-1 All Habitats'!K6</f>
        <v>Medium</v>
      </c>
      <c r="D7" s="72" t="str">
        <f>'G-1 All Habitats'!M6</f>
        <v>Same broad habitat or a higher distinctiveness habitat required (≥)</v>
      </c>
      <c r="E7" s="1056">
        <f>SUMIF('A-1 On-Site Habitat Baseline'!$AV$11:$AV$258,'G-2 Habitat groups'!A7,'A-1 On-Site Habitat Baseline'!$H$11:$H$258)</f>
        <v>0</v>
      </c>
      <c r="F7" s="1056">
        <f>SUMIF('A-1 On-Site Habitat Baseline'!$AV$11:$AV$258,'G-2 Habitat groups'!A7,'A-1 On-Site Habitat Baseline'!$Q$11:$Q$258)</f>
        <v>0</v>
      </c>
      <c r="G7" s="1056">
        <f>SUMIF('A-1 On-Site Habitat Baseline'!$AV$11:$AV$258,'G-2 Habitat groups'!A7,'A-1 On-Site Habitat Baseline'!$S$11:$S$258)</f>
        <v>0</v>
      </c>
      <c r="H7" s="1056">
        <f>SUMIF('A-1 On-Site Habitat Baseline'!$AV$11:$AV$258,'G-2 Habitat groups'!A7,'A-1 On-Site Habitat Baseline'!$U$11:$U$258)+SUMIF('A-1 On-Site Habitat Baseline'!$AV$11:$AV$258,'G-2 Habitat groups'!A7,'A-1 On-Site Habitat Baseline'!$AT$11:$AT$258)</f>
        <v>0</v>
      </c>
      <c r="I7" s="1056">
        <f>SUMIF('A-1 On-Site Habitat Baseline'!$AV$11:$AV$258,'G-2 Habitat groups'!A7,'A-1 On-Site Habitat Baseline'!$W$11:$W$258)</f>
        <v>0</v>
      </c>
      <c r="J7" s="1056">
        <f>SUMIF('A-1 On-Site Habitat Baseline'!$AV$11:$AV$258,'G-2 Habitat groups'!A7,'A-1 On-Site Habitat Baseline'!$X$11:$X$258)</f>
        <v>0</v>
      </c>
      <c r="K7" s="1056">
        <f>SUMIF('A-2 On-Site Habitat Creation'!$F$11:$F$256,'G-2 Habitat groups'!A7,'A-2 On-Site Habitat Creation'!$G$11:$G$256)</f>
        <v>0</v>
      </c>
      <c r="L7" s="1056">
        <f>SUMIF('A-2 On-Site Habitat Creation'!$F$11:$F$256,'G-2 Habitat groups'!A7,'A-2 On-Site Habitat Creation'!$Y$11:$Y$256)</f>
        <v>0</v>
      </c>
      <c r="M7" s="1056">
        <f>SUMIF('A-3 On-Site Habitat Enhancement'!$S$12:$S$257,'G-2 Habitat groups'!A7,'A-3 On-Site Habitat Enhancement'!$V$12:$V$257)</f>
        <v>0</v>
      </c>
      <c r="N7" s="1056">
        <f>SUMIF('A-3 On-Site Habitat Enhancement'!$S$12:$S$257,'G-2 Habitat groups'!A7,'A-3 On-Site Habitat Enhancement'!$AN$12:$AN$257)</f>
        <v>0</v>
      </c>
      <c r="O7" s="1056">
        <f t="shared" si="1"/>
        <v>0</v>
      </c>
      <c r="P7" s="1056">
        <f t="shared" si="2"/>
        <v>0</v>
      </c>
      <c r="Q7" s="1056">
        <f t="shared" si="3"/>
        <v>0</v>
      </c>
      <c r="R7" s="1056">
        <f t="shared" si="4"/>
        <v>0</v>
      </c>
      <c r="S7" s="1056">
        <f>SUMIF('D-1 Off-Site Habitat Baseline'!$AV$11:$AV$258,'G-2 Habitat groups'!A7,'D-1 Off-Site Habitat Baseline'!$H$11:$H$258)</f>
        <v>0</v>
      </c>
      <c r="T7" s="1056">
        <f>SUMIF('D-1 Off-Site Habitat Baseline'!$AV$11:$AV$258,'G-2 Habitat groups'!A7,'D-1 Off-Site Habitat Baseline'!$T$11:$T$258)</f>
        <v>0</v>
      </c>
      <c r="U7" s="1056">
        <f>SUMIF('D-1 Off-Site Habitat Baseline'!$AV$11:$AV$258,'G-2 Habitat groups'!A7,'D-1 Off-Site Habitat Baseline'!$V$11:$V$258)</f>
        <v>0</v>
      </c>
      <c r="V7" s="1056">
        <f>SUMIF('D-1 Off-Site Habitat Baseline'!$AV$11:$AV$258,'G-2 Habitat groups'!A7,'D-1 Off-Site Habitat Baseline'!$X$11:$X$258)+SUMIF('D-1 Off-Site Habitat Baseline'!$AV$11:$AV$258,'G-2 Habitat groups'!A7,'D-1 Off-Site Habitat Baseline'!$AS$11:$AS$258)</f>
        <v>0</v>
      </c>
      <c r="W7" s="1056">
        <f>SUMIF('D-2 Off-Site Habitat Creation'!$F$9:$F$255,'G-2 Habitat groups'!A7,'D-2 Off-Site Habitat Creation'!$G$9:$G$255)</f>
        <v>0</v>
      </c>
      <c r="X7" s="1056">
        <f>SUMIF('D-2 Off-Site Habitat Creation'!$F$9:$F$255,'G-2 Habitat groups'!A7,'D-2 Off-Site Habitat Creation'!$AB$9:$AB$255)</f>
        <v>0</v>
      </c>
      <c r="Y7" s="1056">
        <f>SUMIF('D-3 Off-Site Habitat Enhancment'!$S$12:$S$491,'G-2 Habitat groups'!A7,'D-3 Off-Site Habitat Enhancment'!$V$12:$V$491)</f>
        <v>0</v>
      </c>
      <c r="Z7" s="1056">
        <f>SUMIF('D-3 Off-Site Habitat Enhancment'!$S$12:$S$491,'G-2 Habitat groups'!A7,'D-3 Off-Site Habitat Enhancment'!$AQ$12:$AQ$491)</f>
        <v>0</v>
      </c>
      <c r="AA7" s="1056">
        <f t="shared" si="5"/>
        <v>0</v>
      </c>
      <c r="AB7" s="1056">
        <f t="shared" si="14"/>
        <v>0</v>
      </c>
      <c r="AC7" s="1056">
        <f t="shared" si="6"/>
        <v>0</v>
      </c>
      <c r="AD7" s="1056">
        <f t="shared" si="15"/>
        <v>0</v>
      </c>
      <c r="AE7" s="1056">
        <f t="shared" si="7"/>
        <v>0</v>
      </c>
      <c r="AF7" s="1056">
        <f t="shared" si="16"/>
        <v>0</v>
      </c>
      <c r="AJ7" s="1058" t="s">
        <v>108</v>
      </c>
      <c r="AK7" s="1054">
        <f t="shared" si="8"/>
        <v>0</v>
      </c>
      <c r="AL7" s="1054">
        <f t="shared" si="9"/>
        <v>0</v>
      </c>
      <c r="AM7" s="1054">
        <f t="shared" si="10"/>
        <v>0</v>
      </c>
      <c r="AN7" s="1054">
        <f t="shared" si="11"/>
        <v>0</v>
      </c>
      <c r="AO7" s="1055">
        <f t="shared" si="12"/>
        <v>0</v>
      </c>
      <c r="AP7" s="1055">
        <f t="shared" si="13"/>
        <v>0</v>
      </c>
      <c r="AU7" s="78" t="s">
        <v>736</v>
      </c>
      <c r="AV7" s="62" t="s">
        <v>106</v>
      </c>
      <c r="AW7" s="274">
        <f>VLOOKUP($AU7,AllHabsSummaryData,5,FALSE)</f>
        <v>0</v>
      </c>
      <c r="AX7" s="274">
        <f>VLOOKUP($AU7,AllHabsSummaryData,10,FALSE)</f>
        <v>0</v>
      </c>
      <c r="AY7" s="274">
        <f>VLOOKUP($AU7,AllHabsSummaryData,15,FALSE)</f>
        <v>0</v>
      </c>
      <c r="AZ7" s="274">
        <f>VLOOKUP($AU7,AllHabsSummaryData,16,FALSE)</f>
        <v>0</v>
      </c>
      <c r="BA7" s="274">
        <f>VLOOKUP($AU7,AllHabsSummaryData,17,FALSE)</f>
        <v>0</v>
      </c>
      <c r="BB7" s="274">
        <f>VLOOKUP($AU7,AllHabsSummaryData,18,FALSE)</f>
        <v>0</v>
      </c>
      <c r="BC7" s="274">
        <f>VLOOKUP($AU7,AllHabsSummaryData,27,FALSE)</f>
        <v>0</v>
      </c>
      <c r="BD7" s="274">
        <f>VLOOKUP($AU7,AllHabsSummaryData,30,FALSE)</f>
        <v>0</v>
      </c>
      <c r="BE7" s="274">
        <f>BB7+BD7</f>
        <v>0</v>
      </c>
      <c r="BF7" s="274" t="str">
        <f>IF(BE7&lt;0,BE7,"")</f>
        <v/>
      </c>
      <c r="BG7" s="274">
        <f t="shared" si="17"/>
        <v>0</v>
      </c>
    </row>
    <row r="8" spans="1:59" ht="14.9" customHeight="1">
      <c r="A8" s="72" t="str">
        <f>'G-1 All Habitats'!B7</f>
        <v>Cropland - Cereal crops</v>
      </c>
      <c r="B8" s="72" t="s">
        <v>105</v>
      </c>
      <c r="C8" s="72" t="str">
        <f>'G-1 All Habitats'!K7</f>
        <v>Low</v>
      </c>
      <c r="D8" s="72" t="str">
        <f>'G-1 All Habitats'!M7</f>
        <v>Same distinctiveness or better habitat required ≥</v>
      </c>
      <c r="E8" s="1056">
        <f>SUMIF('A-1 On-Site Habitat Baseline'!$AV$11:$AV$258,'G-2 Habitat groups'!A8,'A-1 On-Site Habitat Baseline'!$H$11:$H$258)</f>
        <v>0</v>
      </c>
      <c r="F8" s="1056">
        <f>SUMIF('A-1 On-Site Habitat Baseline'!$AV$11:$AV$258,'G-2 Habitat groups'!A8,'A-1 On-Site Habitat Baseline'!$Q$11:$Q$258)</f>
        <v>0</v>
      </c>
      <c r="G8" s="1056">
        <f>SUMIF('A-1 On-Site Habitat Baseline'!$AV$11:$AV$258,'G-2 Habitat groups'!A8,'A-1 On-Site Habitat Baseline'!$S$11:$S$258)</f>
        <v>0</v>
      </c>
      <c r="H8" s="1056">
        <f>SUMIF('A-1 On-Site Habitat Baseline'!$AV$11:$AV$258,'G-2 Habitat groups'!A8,'A-1 On-Site Habitat Baseline'!$U$11:$U$258)+SUMIF('A-1 On-Site Habitat Baseline'!$AV$11:$AV$258,'G-2 Habitat groups'!A8,'A-1 On-Site Habitat Baseline'!$AT$11:$AT$258)</f>
        <v>0</v>
      </c>
      <c r="I8" s="1056">
        <f>SUMIF('A-1 On-Site Habitat Baseline'!$AV$11:$AV$258,'G-2 Habitat groups'!A8,'A-1 On-Site Habitat Baseline'!$W$11:$W$258)</f>
        <v>0</v>
      </c>
      <c r="J8" s="1056">
        <f>SUMIF('A-1 On-Site Habitat Baseline'!$AV$11:$AV$258,'G-2 Habitat groups'!A8,'A-1 On-Site Habitat Baseline'!$X$11:$X$258)</f>
        <v>0</v>
      </c>
      <c r="K8" s="1056">
        <f>SUMIF('A-2 On-Site Habitat Creation'!$F$11:$F$256,'G-2 Habitat groups'!A8,'A-2 On-Site Habitat Creation'!$G$11:$G$256)</f>
        <v>0</v>
      </c>
      <c r="L8" s="1056">
        <f>SUMIF('A-2 On-Site Habitat Creation'!$F$11:$F$256,'G-2 Habitat groups'!A8,'A-2 On-Site Habitat Creation'!$Y$11:$Y$256)</f>
        <v>0</v>
      </c>
      <c r="M8" s="1056">
        <f>SUMIF('A-3 On-Site Habitat Enhancement'!$S$12:$S$257,'G-2 Habitat groups'!A8,'A-3 On-Site Habitat Enhancement'!$V$12:$V$257)</f>
        <v>0</v>
      </c>
      <c r="N8" s="1056">
        <f>SUMIF('A-3 On-Site Habitat Enhancement'!$S$12:$S$257,'G-2 Habitat groups'!A8,'A-3 On-Site Habitat Enhancement'!$AN$12:$AN$257)</f>
        <v>0</v>
      </c>
      <c r="O8" s="1056">
        <f t="shared" si="1"/>
        <v>0</v>
      </c>
      <c r="P8" s="1056">
        <f t="shared" si="2"/>
        <v>0</v>
      </c>
      <c r="Q8" s="1056">
        <f t="shared" si="3"/>
        <v>0</v>
      </c>
      <c r="R8" s="1056">
        <f t="shared" si="4"/>
        <v>0</v>
      </c>
      <c r="S8" s="1056">
        <f>SUMIF('D-1 Off-Site Habitat Baseline'!$AV$11:$AV$258,'G-2 Habitat groups'!A8,'D-1 Off-Site Habitat Baseline'!$H$11:$H$258)</f>
        <v>0</v>
      </c>
      <c r="T8" s="1056">
        <f>SUMIF('D-1 Off-Site Habitat Baseline'!$AV$11:$AV$258,'G-2 Habitat groups'!A8,'D-1 Off-Site Habitat Baseline'!$T$11:$T$258)</f>
        <v>0</v>
      </c>
      <c r="U8" s="1056">
        <f>SUMIF('D-1 Off-Site Habitat Baseline'!$AV$11:$AV$258,'G-2 Habitat groups'!A8,'D-1 Off-Site Habitat Baseline'!$V$11:$V$258)</f>
        <v>0</v>
      </c>
      <c r="V8" s="1056">
        <f>SUMIF('D-1 Off-Site Habitat Baseline'!$AV$11:$AV$258,'G-2 Habitat groups'!A8,'D-1 Off-Site Habitat Baseline'!$X$11:$X$258)+SUMIF('D-1 Off-Site Habitat Baseline'!$AV$11:$AV$258,'G-2 Habitat groups'!A8,'D-1 Off-Site Habitat Baseline'!$AS$11:$AS$258)</f>
        <v>0</v>
      </c>
      <c r="W8" s="1056">
        <f>SUMIF('D-2 Off-Site Habitat Creation'!$F$9:$F$255,'G-2 Habitat groups'!A8,'D-2 Off-Site Habitat Creation'!$G$9:$G$255)</f>
        <v>0</v>
      </c>
      <c r="X8" s="1056">
        <f>SUMIF('D-2 Off-Site Habitat Creation'!$F$9:$F$255,'G-2 Habitat groups'!A8,'D-2 Off-Site Habitat Creation'!$AB$9:$AB$255)</f>
        <v>0</v>
      </c>
      <c r="Y8" s="1056">
        <f>SUMIF('D-3 Off-Site Habitat Enhancment'!$S$12:$S$491,'G-2 Habitat groups'!A8,'D-3 Off-Site Habitat Enhancment'!$V$12:$V$491)</f>
        <v>0</v>
      </c>
      <c r="Z8" s="1056">
        <f>SUMIF('D-3 Off-Site Habitat Enhancment'!$S$12:$S$491,'G-2 Habitat groups'!A8,'D-3 Off-Site Habitat Enhancment'!$AQ$12:$AQ$491)</f>
        <v>0</v>
      </c>
      <c r="AA8" s="1056">
        <f t="shared" si="5"/>
        <v>0</v>
      </c>
      <c r="AB8" s="1056">
        <f t="shared" si="14"/>
        <v>0</v>
      </c>
      <c r="AC8" s="1056">
        <f t="shared" si="6"/>
        <v>0</v>
      </c>
      <c r="AD8" s="1056">
        <f t="shared" si="15"/>
        <v>0</v>
      </c>
      <c r="AE8" s="1056">
        <f t="shared" si="7"/>
        <v>0</v>
      </c>
      <c r="AF8" s="1056">
        <f t="shared" si="16"/>
        <v>0</v>
      </c>
      <c r="AJ8" s="1059" t="s">
        <v>109</v>
      </c>
      <c r="AK8" s="1054">
        <f t="shared" si="8"/>
        <v>0</v>
      </c>
      <c r="AL8" s="1054">
        <f t="shared" si="9"/>
        <v>0</v>
      </c>
      <c r="AM8" s="1054">
        <f t="shared" si="10"/>
        <v>0</v>
      </c>
      <c r="AN8" s="1054">
        <f t="shared" si="11"/>
        <v>0</v>
      </c>
      <c r="AO8" s="1055">
        <f t="shared" si="12"/>
        <v>0</v>
      </c>
      <c r="AP8" s="1055">
        <f t="shared" si="13"/>
        <v>0</v>
      </c>
      <c r="AU8" s="78" t="s">
        <v>765</v>
      </c>
      <c r="AV8" s="62" t="s">
        <v>107</v>
      </c>
      <c r="AW8" s="274">
        <f>VLOOKUP($AU8,AllHabsSummaryData,5,FALSE)</f>
        <v>0</v>
      </c>
      <c r="AX8" s="274">
        <f>VLOOKUP($AU8,AllHabsSummaryData,10,FALSE)</f>
        <v>0</v>
      </c>
      <c r="AY8" s="274">
        <f>VLOOKUP($AU8,AllHabsSummaryData,15,FALSE)</f>
        <v>0</v>
      </c>
      <c r="AZ8" s="274">
        <f>VLOOKUP($AU8,AllHabsSummaryData,16,FALSE)</f>
        <v>0</v>
      </c>
      <c r="BA8" s="274">
        <f>VLOOKUP($AU8,AllHabsSummaryData,17,FALSE)</f>
        <v>0</v>
      </c>
      <c r="BB8" s="274">
        <f>VLOOKUP($AU8,AllHabsSummaryData,18,FALSE)</f>
        <v>0</v>
      </c>
      <c r="BC8" s="274">
        <f>VLOOKUP($AU8,AllHabsSummaryData,27,FALSE)</f>
        <v>0</v>
      </c>
      <c r="BD8" s="274">
        <f>VLOOKUP($AU8,AllHabsSummaryData,30,FALSE)</f>
        <v>0</v>
      </c>
      <c r="BE8" s="274">
        <f>BB8+BD8</f>
        <v>0</v>
      </c>
      <c r="BF8" s="274" t="str">
        <f>IF(BE8&lt;0,BE8,"")</f>
        <v/>
      </c>
      <c r="BG8" s="274">
        <f t="shared" si="17"/>
        <v>0</v>
      </c>
    </row>
    <row r="9" spans="1:59" ht="14.9" customHeight="1">
      <c r="A9" s="72" t="str">
        <f>'G-1 All Habitats'!B8</f>
        <v>Cropland - Winter stubble</v>
      </c>
      <c r="B9" s="72" t="s">
        <v>105</v>
      </c>
      <c r="C9" s="72" t="str">
        <f>'G-1 All Habitats'!K8</f>
        <v>Low</v>
      </c>
      <c r="D9" s="72" t="str">
        <f>'G-1 All Habitats'!M8</f>
        <v>Same distinctiveness or better habitat required ≥</v>
      </c>
      <c r="E9" s="1056">
        <f>SUMIF('A-1 On-Site Habitat Baseline'!$AV$11:$AV$258,'G-2 Habitat groups'!A9,'A-1 On-Site Habitat Baseline'!$H$11:$H$258)</f>
        <v>0</v>
      </c>
      <c r="F9" s="1056">
        <f>SUMIF('A-1 On-Site Habitat Baseline'!$AV$11:$AV$258,'G-2 Habitat groups'!A9,'A-1 On-Site Habitat Baseline'!$Q$11:$Q$258)</f>
        <v>0</v>
      </c>
      <c r="G9" s="1056">
        <f>SUMIF('A-1 On-Site Habitat Baseline'!$AV$11:$AV$258,'G-2 Habitat groups'!A9,'A-1 On-Site Habitat Baseline'!$S$11:$S$258)</f>
        <v>0</v>
      </c>
      <c r="H9" s="1056">
        <f>SUMIF('A-1 On-Site Habitat Baseline'!$AV$11:$AV$258,'G-2 Habitat groups'!A9,'A-1 On-Site Habitat Baseline'!$U$11:$U$258)+SUMIF('A-1 On-Site Habitat Baseline'!$AV$11:$AV$258,'G-2 Habitat groups'!A9,'A-1 On-Site Habitat Baseline'!$AT$11:$AT$258)</f>
        <v>0</v>
      </c>
      <c r="I9" s="1056">
        <f>SUMIF('A-1 On-Site Habitat Baseline'!$AV$11:$AV$258,'G-2 Habitat groups'!A9,'A-1 On-Site Habitat Baseline'!$W$11:$W$258)</f>
        <v>0</v>
      </c>
      <c r="J9" s="1056">
        <f>SUMIF('A-1 On-Site Habitat Baseline'!$AV$11:$AV$258,'G-2 Habitat groups'!A9,'A-1 On-Site Habitat Baseline'!$X$11:$X$258)</f>
        <v>0</v>
      </c>
      <c r="K9" s="1056">
        <f>SUMIF('A-2 On-Site Habitat Creation'!$F$11:$F$256,'G-2 Habitat groups'!A9,'A-2 On-Site Habitat Creation'!$G$11:$G$256)</f>
        <v>0</v>
      </c>
      <c r="L9" s="1056">
        <f>SUMIF('A-2 On-Site Habitat Creation'!$F$11:$F$256,'G-2 Habitat groups'!A9,'A-2 On-Site Habitat Creation'!$Y$11:$Y$256)</f>
        <v>0</v>
      </c>
      <c r="M9" s="1056">
        <f>SUMIF('A-3 On-Site Habitat Enhancement'!$S$12:$S$257,'G-2 Habitat groups'!A9,'A-3 On-Site Habitat Enhancement'!$V$12:$V$257)</f>
        <v>0</v>
      </c>
      <c r="N9" s="1056">
        <f>SUMIF('A-3 On-Site Habitat Enhancement'!$S$12:$S$257,'G-2 Habitat groups'!A9,'A-3 On-Site Habitat Enhancement'!$AN$12:$AN$257)</f>
        <v>0</v>
      </c>
      <c r="O9" s="1056">
        <f t="shared" si="1"/>
        <v>0</v>
      </c>
      <c r="P9" s="1056">
        <f t="shared" si="2"/>
        <v>0</v>
      </c>
      <c r="Q9" s="1056">
        <f t="shared" si="3"/>
        <v>0</v>
      </c>
      <c r="R9" s="1056">
        <f t="shared" si="4"/>
        <v>0</v>
      </c>
      <c r="S9" s="1056">
        <f>SUMIF('D-1 Off-Site Habitat Baseline'!$AV$11:$AV$258,'G-2 Habitat groups'!A9,'D-1 Off-Site Habitat Baseline'!$H$11:$H$258)</f>
        <v>0</v>
      </c>
      <c r="T9" s="1056">
        <f>SUMIF('D-1 Off-Site Habitat Baseline'!$AV$11:$AV$258,'G-2 Habitat groups'!A9,'D-1 Off-Site Habitat Baseline'!$T$11:$T$258)</f>
        <v>0</v>
      </c>
      <c r="U9" s="1056">
        <f>SUMIF('D-1 Off-Site Habitat Baseline'!$AV$11:$AV$258,'G-2 Habitat groups'!A9,'D-1 Off-Site Habitat Baseline'!$V$11:$V$258)</f>
        <v>0</v>
      </c>
      <c r="V9" s="1056">
        <f>SUMIF('D-1 Off-Site Habitat Baseline'!$AV$11:$AV$258,'G-2 Habitat groups'!A9,'D-1 Off-Site Habitat Baseline'!$X$11:$X$258)+SUMIF('D-1 Off-Site Habitat Baseline'!$AV$11:$AV$258,'G-2 Habitat groups'!A9,'D-1 Off-Site Habitat Baseline'!$AS$11:$AS$258)</f>
        <v>0</v>
      </c>
      <c r="W9" s="1056">
        <f>SUMIF('D-2 Off-Site Habitat Creation'!$F$9:$F$255,'G-2 Habitat groups'!A9,'D-2 Off-Site Habitat Creation'!$G$9:$G$255)</f>
        <v>0</v>
      </c>
      <c r="X9" s="1056">
        <f>SUMIF('D-2 Off-Site Habitat Creation'!$F$9:$F$255,'G-2 Habitat groups'!A9,'D-2 Off-Site Habitat Creation'!$AB$9:$AB$255)</f>
        <v>0</v>
      </c>
      <c r="Y9" s="1056">
        <f>SUMIF('D-3 Off-Site Habitat Enhancment'!$S$12:$S$491,'G-2 Habitat groups'!A9,'D-3 Off-Site Habitat Enhancment'!$V$12:$V$491)</f>
        <v>0</v>
      </c>
      <c r="Z9" s="1056">
        <f>SUMIF('D-3 Off-Site Habitat Enhancment'!$S$12:$S$491,'G-2 Habitat groups'!A9,'D-3 Off-Site Habitat Enhancment'!$AQ$12:$AQ$491)</f>
        <v>0</v>
      </c>
      <c r="AA9" s="1056">
        <f t="shared" si="5"/>
        <v>0</v>
      </c>
      <c r="AB9" s="1056">
        <f t="shared" si="14"/>
        <v>0</v>
      </c>
      <c r="AC9" s="1056">
        <f t="shared" si="6"/>
        <v>0</v>
      </c>
      <c r="AD9" s="1056">
        <f t="shared" si="15"/>
        <v>0</v>
      </c>
      <c r="AE9" s="1056">
        <f t="shared" si="7"/>
        <v>0</v>
      </c>
      <c r="AF9" s="1056">
        <f t="shared" si="16"/>
        <v>0</v>
      </c>
      <c r="AJ9" s="1058" t="s">
        <v>110</v>
      </c>
      <c r="AK9" s="1054">
        <f>SUMIF($B:$B,$AJ9,E:E)</f>
        <v>0.005</v>
      </c>
      <c r="AL9" s="1054">
        <f t="shared" si="9"/>
        <v>0</v>
      </c>
      <c r="AM9" s="1054">
        <f t="shared" si="10"/>
        <v>5.759</v>
      </c>
      <c r="AN9" s="1054">
        <f t="shared" si="11"/>
        <v>5.14565047985</v>
      </c>
      <c r="AO9" s="1055">
        <f t="shared" si="12"/>
        <v>5.754</v>
      </c>
      <c r="AP9" s="1055">
        <f t="shared" si="13"/>
        <v>5.14565047985</v>
      </c>
      <c r="AU9" s="78" t="s">
        <v>784</v>
      </c>
      <c r="AV9" s="62" t="s">
        <v>108</v>
      </c>
      <c r="AW9" s="274">
        <f t="shared" si="18" ref="AW9:AW24">VLOOKUP($AU9,AllHabsSummaryData,5,FALSE)</f>
        <v>0</v>
      </c>
      <c r="AX9" s="274">
        <f t="shared" si="19" ref="AX9:AX24">VLOOKUP($AU9,AllHabsSummaryData,10,FALSE)</f>
        <v>0</v>
      </c>
      <c r="AY9" s="274">
        <f t="shared" si="20" ref="AY9:AY24">VLOOKUP($AU9,AllHabsSummaryData,15,FALSE)</f>
        <v>0</v>
      </c>
      <c r="AZ9" s="274">
        <f t="shared" si="21" ref="AZ9:AZ24">VLOOKUP($AU9,AllHabsSummaryData,16,FALSE)</f>
        <v>0</v>
      </c>
      <c r="BA9" s="274">
        <f t="shared" si="22" ref="BA9:BA24">VLOOKUP($AU9,AllHabsSummaryData,17,FALSE)</f>
        <v>0</v>
      </c>
      <c r="BB9" s="274">
        <f t="shared" si="23" ref="BB9:BB24">VLOOKUP($AU9,AllHabsSummaryData,18,FALSE)</f>
        <v>0</v>
      </c>
      <c r="BC9" s="274">
        <f t="shared" si="24" ref="BC9:BC24">VLOOKUP($AU9,AllHabsSummaryData,27,FALSE)</f>
        <v>0</v>
      </c>
      <c r="BD9" s="274">
        <f t="shared" si="25" ref="BD9:BD24">VLOOKUP($AU9,AllHabsSummaryData,30,FALSE)</f>
        <v>0</v>
      </c>
      <c r="BE9" s="274">
        <f t="shared" si="26" ref="BE9:BE24">BB9+BD9</f>
        <v>0</v>
      </c>
      <c r="BF9" s="274" t="str">
        <f t="shared" si="27" ref="BF9:BF24">IF(BE9&lt;0,BE9,"")</f>
        <v/>
      </c>
      <c r="BG9" s="274">
        <f t="shared" si="17"/>
        <v>0</v>
      </c>
    </row>
    <row r="10" spans="1:59" ht="15" customHeight="1">
      <c r="A10" s="72" t="str">
        <f>'G-1 All Habitats'!B9</f>
        <v>Cropland - Horticulture</v>
      </c>
      <c r="B10" s="72" t="s">
        <v>105</v>
      </c>
      <c r="C10" s="72" t="str">
        <f>'G-1 All Habitats'!K9</f>
        <v>Low</v>
      </c>
      <c r="D10" s="72" t="str">
        <f>'G-1 All Habitats'!M9</f>
        <v>Same distinctiveness or better habitat required ≥</v>
      </c>
      <c r="E10" s="1056">
        <f>SUMIF('A-1 On-Site Habitat Baseline'!$AV$11:$AV$258,'G-2 Habitat groups'!A10,'A-1 On-Site Habitat Baseline'!$H$11:$H$258)</f>
        <v>0</v>
      </c>
      <c r="F10" s="1056">
        <f>SUMIF('A-1 On-Site Habitat Baseline'!$AV$11:$AV$258,'G-2 Habitat groups'!A10,'A-1 On-Site Habitat Baseline'!$Q$11:$Q$258)</f>
        <v>0</v>
      </c>
      <c r="G10" s="1056">
        <f>SUMIF('A-1 On-Site Habitat Baseline'!$AV$11:$AV$258,'G-2 Habitat groups'!A10,'A-1 On-Site Habitat Baseline'!$S$11:$S$258)</f>
        <v>0</v>
      </c>
      <c r="H10" s="1056">
        <f>SUMIF('A-1 On-Site Habitat Baseline'!$AV$11:$AV$258,'G-2 Habitat groups'!A10,'A-1 On-Site Habitat Baseline'!$U$11:$U$258)+SUMIF('A-1 On-Site Habitat Baseline'!$AV$11:$AV$258,'G-2 Habitat groups'!A10,'A-1 On-Site Habitat Baseline'!$AT$11:$AT$258)</f>
        <v>0</v>
      </c>
      <c r="I10" s="1056">
        <f>SUMIF('A-1 On-Site Habitat Baseline'!$AV$11:$AV$258,'G-2 Habitat groups'!A10,'A-1 On-Site Habitat Baseline'!$W$11:$W$258)</f>
        <v>0</v>
      </c>
      <c r="J10" s="1056">
        <f>SUMIF('A-1 On-Site Habitat Baseline'!$AV$11:$AV$258,'G-2 Habitat groups'!A10,'A-1 On-Site Habitat Baseline'!$X$11:$X$258)</f>
        <v>0</v>
      </c>
      <c r="K10" s="1056">
        <f>SUMIF('A-2 On-Site Habitat Creation'!$F$11:$F$256,'G-2 Habitat groups'!A10,'A-2 On-Site Habitat Creation'!$G$11:$G$256)</f>
        <v>0</v>
      </c>
      <c r="L10" s="1056">
        <f>SUMIF('A-2 On-Site Habitat Creation'!$F$11:$F$256,'G-2 Habitat groups'!A10,'A-2 On-Site Habitat Creation'!$Y$11:$Y$256)</f>
        <v>0</v>
      </c>
      <c r="M10" s="1056">
        <f>SUMIF('A-3 On-Site Habitat Enhancement'!$S$12:$S$257,'G-2 Habitat groups'!A10,'A-3 On-Site Habitat Enhancement'!$V$12:$V$257)</f>
        <v>0</v>
      </c>
      <c r="N10" s="1056">
        <f>SUMIF('A-3 On-Site Habitat Enhancement'!$S$12:$S$257,'G-2 Habitat groups'!A10,'A-3 On-Site Habitat Enhancement'!$AN$12:$AN$257)</f>
        <v>0</v>
      </c>
      <c r="O10" s="1056">
        <f t="shared" si="1"/>
        <v>0</v>
      </c>
      <c r="P10" s="1056">
        <f t="shared" si="2"/>
        <v>0</v>
      </c>
      <c r="Q10" s="1056">
        <f t="shared" si="3"/>
        <v>0</v>
      </c>
      <c r="R10" s="1056">
        <f t="shared" si="4"/>
        <v>0</v>
      </c>
      <c r="S10" s="1056">
        <f>SUMIF('D-1 Off-Site Habitat Baseline'!$AV$11:$AV$258,'G-2 Habitat groups'!A10,'D-1 Off-Site Habitat Baseline'!$H$11:$H$258)</f>
        <v>0</v>
      </c>
      <c r="T10" s="1056">
        <f>SUMIF('D-1 Off-Site Habitat Baseline'!$AV$11:$AV$258,'G-2 Habitat groups'!A10,'D-1 Off-Site Habitat Baseline'!$T$11:$T$258)</f>
        <v>0</v>
      </c>
      <c r="U10" s="1056">
        <f>SUMIF('D-1 Off-Site Habitat Baseline'!$AV$11:$AV$258,'G-2 Habitat groups'!A10,'D-1 Off-Site Habitat Baseline'!$V$11:$V$258)</f>
        <v>0</v>
      </c>
      <c r="V10" s="1056">
        <f>SUMIF('D-1 Off-Site Habitat Baseline'!$AV$11:$AV$258,'G-2 Habitat groups'!A10,'D-1 Off-Site Habitat Baseline'!$X$11:$X$258)+SUMIF('D-1 Off-Site Habitat Baseline'!$AV$11:$AV$258,'G-2 Habitat groups'!A10,'D-1 Off-Site Habitat Baseline'!$AS$11:$AS$258)</f>
        <v>0</v>
      </c>
      <c r="W10" s="1056">
        <f>SUMIF('D-2 Off-Site Habitat Creation'!$F$9:$F$255,'G-2 Habitat groups'!A10,'D-2 Off-Site Habitat Creation'!$G$9:$G$255)</f>
        <v>0</v>
      </c>
      <c r="X10" s="1056">
        <f>SUMIF('D-2 Off-Site Habitat Creation'!$F$9:$F$255,'G-2 Habitat groups'!A10,'D-2 Off-Site Habitat Creation'!$AB$9:$AB$255)</f>
        <v>0</v>
      </c>
      <c r="Y10" s="1056">
        <f>SUMIF('D-3 Off-Site Habitat Enhancment'!$S$12:$S$491,'G-2 Habitat groups'!A10,'D-3 Off-Site Habitat Enhancment'!$V$12:$V$491)</f>
        <v>0</v>
      </c>
      <c r="Z10" s="1056">
        <f>SUMIF('D-3 Off-Site Habitat Enhancment'!$S$12:$S$491,'G-2 Habitat groups'!A10,'D-3 Off-Site Habitat Enhancment'!$AQ$12:$AQ$491)</f>
        <v>0</v>
      </c>
      <c r="AA10" s="1056">
        <f t="shared" si="5"/>
        <v>0</v>
      </c>
      <c r="AB10" s="1056">
        <f t="shared" si="14"/>
        <v>0</v>
      </c>
      <c r="AC10" s="1056">
        <f t="shared" si="6"/>
        <v>0</v>
      </c>
      <c r="AD10" s="1056">
        <f t="shared" si="15"/>
        <v>0</v>
      </c>
      <c r="AE10" s="1056">
        <f t="shared" si="7"/>
        <v>0</v>
      </c>
      <c r="AF10" s="1056">
        <f t="shared" si="16"/>
        <v>0</v>
      </c>
      <c r="AJ10" s="1058" t="s">
        <v>111</v>
      </c>
      <c r="AK10" s="1054">
        <f t="shared" si="8"/>
        <v>0</v>
      </c>
      <c r="AL10" s="1054">
        <f t="shared" si="9"/>
        <v>0</v>
      </c>
      <c r="AM10" s="1054">
        <f t="shared" si="10"/>
        <v>0</v>
      </c>
      <c r="AN10" s="1054">
        <f t="shared" si="11"/>
        <v>0</v>
      </c>
      <c r="AO10" s="1055">
        <f t="shared" si="12"/>
        <v>0</v>
      </c>
      <c r="AP10" s="1055">
        <f t="shared" si="13"/>
        <v>0</v>
      </c>
      <c r="AU10" s="78" t="s">
        <v>810</v>
      </c>
      <c r="AV10" s="62" t="s">
        <v>109</v>
      </c>
      <c r="AW10" s="274">
        <f t="shared" si="18"/>
        <v>0</v>
      </c>
      <c r="AX10" s="274">
        <f t="shared" si="19"/>
        <v>0</v>
      </c>
      <c r="AY10" s="274">
        <f t="shared" si="20"/>
        <v>0</v>
      </c>
      <c r="AZ10" s="274">
        <f t="shared" si="21"/>
        <v>0</v>
      </c>
      <c r="BA10" s="274">
        <f t="shared" si="22"/>
        <v>0</v>
      </c>
      <c r="BB10" s="274">
        <f t="shared" si="23"/>
        <v>0</v>
      </c>
      <c r="BC10" s="274">
        <f t="shared" si="24"/>
        <v>0</v>
      </c>
      <c r="BD10" s="274">
        <f t="shared" si="25"/>
        <v>0</v>
      </c>
      <c r="BE10" s="274">
        <f t="shared" si="26"/>
        <v>0</v>
      </c>
      <c r="BF10" s="274" t="str">
        <f t="shared" si="27"/>
        <v/>
      </c>
      <c r="BG10" s="274">
        <f t="shared" si="17"/>
        <v>0</v>
      </c>
    </row>
    <row r="11" spans="1:59" ht="14.9" customHeight="1">
      <c r="A11" s="72" t="str">
        <f>'G-1 All Habitats'!B10</f>
        <v>Cropland - Intensive orchards</v>
      </c>
      <c r="B11" s="72" t="s">
        <v>105</v>
      </c>
      <c r="C11" s="72" t="str">
        <f>'G-1 All Habitats'!K10</f>
        <v>Low</v>
      </c>
      <c r="D11" s="72" t="str">
        <f>'G-1 All Habitats'!M10</f>
        <v>Same distinctiveness or better habitat required ≥</v>
      </c>
      <c r="E11" s="1056">
        <f>SUMIF('A-1 On-Site Habitat Baseline'!$AV$11:$AV$258,'G-2 Habitat groups'!A11,'A-1 On-Site Habitat Baseline'!$H$11:$H$258)</f>
        <v>0</v>
      </c>
      <c r="F11" s="1056">
        <f>SUMIF('A-1 On-Site Habitat Baseline'!$AV$11:$AV$258,'G-2 Habitat groups'!A11,'A-1 On-Site Habitat Baseline'!$Q$11:$Q$258)</f>
        <v>0</v>
      </c>
      <c r="G11" s="1056">
        <f>SUMIF('A-1 On-Site Habitat Baseline'!$AV$11:$AV$258,'G-2 Habitat groups'!A11,'A-1 On-Site Habitat Baseline'!$S$11:$S$258)</f>
        <v>0</v>
      </c>
      <c r="H11" s="1056">
        <f>SUMIF('A-1 On-Site Habitat Baseline'!$AV$11:$AV$258,'G-2 Habitat groups'!A11,'A-1 On-Site Habitat Baseline'!$U$11:$U$258)+SUMIF('A-1 On-Site Habitat Baseline'!$AV$11:$AV$258,'G-2 Habitat groups'!A11,'A-1 On-Site Habitat Baseline'!$AT$11:$AT$258)</f>
        <v>0</v>
      </c>
      <c r="I11" s="1056">
        <f>SUMIF('A-1 On-Site Habitat Baseline'!$AV$11:$AV$258,'G-2 Habitat groups'!A11,'A-1 On-Site Habitat Baseline'!$W$11:$W$258)</f>
        <v>0</v>
      </c>
      <c r="J11" s="1056">
        <f>SUMIF('A-1 On-Site Habitat Baseline'!$AV$11:$AV$258,'G-2 Habitat groups'!A11,'A-1 On-Site Habitat Baseline'!$X$11:$X$258)</f>
        <v>0</v>
      </c>
      <c r="K11" s="1056">
        <f>SUMIF('A-2 On-Site Habitat Creation'!$F$11:$F$256,'G-2 Habitat groups'!A11,'A-2 On-Site Habitat Creation'!$G$11:$G$256)</f>
        <v>0</v>
      </c>
      <c r="L11" s="1056">
        <f>SUMIF('A-2 On-Site Habitat Creation'!$F$11:$F$256,'G-2 Habitat groups'!A11,'A-2 On-Site Habitat Creation'!$Y$11:$Y$256)</f>
        <v>0</v>
      </c>
      <c r="M11" s="1056">
        <f>SUMIF('A-3 On-Site Habitat Enhancement'!$S$12:$S$257,'G-2 Habitat groups'!A11,'A-3 On-Site Habitat Enhancement'!$V$12:$V$257)</f>
        <v>0</v>
      </c>
      <c r="N11" s="1056">
        <f>SUMIF('A-3 On-Site Habitat Enhancement'!$S$12:$S$257,'G-2 Habitat groups'!A11,'A-3 On-Site Habitat Enhancement'!$AN$12:$AN$257)</f>
        <v>0</v>
      </c>
      <c r="O11" s="1056">
        <f t="shared" si="1"/>
        <v>0</v>
      </c>
      <c r="P11" s="1056">
        <f t="shared" si="2"/>
        <v>0</v>
      </c>
      <c r="Q11" s="1056">
        <f t="shared" si="3"/>
        <v>0</v>
      </c>
      <c r="R11" s="1056">
        <f t="shared" si="4"/>
        <v>0</v>
      </c>
      <c r="S11" s="1056">
        <f>SUMIF('D-1 Off-Site Habitat Baseline'!$AV$11:$AV$258,'G-2 Habitat groups'!A11,'D-1 Off-Site Habitat Baseline'!$H$11:$H$258)</f>
        <v>0</v>
      </c>
      <c r="T11" s="1056">
        <f>SUMIF('D-1 Off-Site Habitat Baseline'!$AV$11:$AV$258,'G-2 Habitat groups'!A11,'D-1 Off-Site Habitat Baseline'!$T$11:$T$258)</f>
        <v>0</v>
      </c>
      <c r="U11" s="1056">
        <f>SUMIF('D-1 Off-Site Habitat Baseline'!$AV$11:$AV$258,'G-2 Habitat groups'!A11,'D-1 Off-Site Habitat Baseline'!$V$11:$V$258)</f>
        <v>0</v>
      </c>
      <c r="V11" s="1056">
        <f>SUMIF('D-1 Off-Site Habitat Baseline'!$AV$11:$AV$258,'G-2 Habitat groups'!A11,'D-1 Off-Site Habitat Baseline'!$X$11:$X$258)+SUMIF('D-1 Off-Site Habitat Baseline'!$AV$11:$AV$258,'G-2 Habitat groups'!A11,'D-1 Off-Site Habitat Baseline'!$AS$11:$AS$258)</f>
        <v>0</v>
      </c>
      <c r="W11" s="1056">
        <f>SUMIF('D-2 Off-Site Habitat Creation'!$F$9:$F$255,'G-2 Habitat groups'!A11,'D-2 Off-Site Habitat Creation'!$G$9:$G$255)</f>
        <v>0</v>
      </c>
      <c r="X11" s="1056">
        <f>SUMIF('D-2 Off-Site Habitat Creation'!$F$9:$F$255,'G-2 Habitat groups'!A11,'D-2 Off-Site Habitat Creation'!$AB$9:$AB$255)</f>
        <v>0</v>
      </c>
      <c r="Y11" s="1056">
        <f>SUMIF('D-3 Off-Site Habitat Enhancment'!$S$12:$S$491,'G-2 Habitat groups'!A11,'D-3 Off-Site Habitat Enhancment'!$V$12:$V$491)</f>
        <v>0</v>
      </c>
      <c r="Z11" s="1056">
        <f>SUMIF('D-3 Off-Site Habitat Enhancment'!$S$12:$S$491,'G-2 Habitat groups'!A11,'D-3 Off-Site Habitat Enhancment'!$AQ$12:$AQ$491)</f>
        <v>0</v>
      </c>
      <c r="AA11" s="1056">
        <f t="shared" si="5"/>
        <v>0</v>
      </c>
      <c r="AB11" s="1056">
        <f t="shared" si="14"/>
        <v>0</v>
      </c>
      <c r="AC11" s="1056">
        <f t="shared" si="6"/>
        <v>0</v>
      </c>
      <c r="AD11" s="1056">
        <f t="shared" si="15"/>
        <v>0</v>
      </c>
      <c r="AE11" s="1056">
        <f t="shared" si="7"/>
        <v>0</v>
      </c>
      <c r="AF11" s="1056">
        <f t="shared" si="16"/>
        <v>0</v>
      </c>
      <c r="AJ11" s="1060" t="s">
        <v>112</v>
      </c>
      <c r="AK11" s="1054">
        <f t="shared" si="8"/>
        <v>0</v>
      </c>
      <c r="AL11" s="1054">
        <f t="shared" si="9"/>
        <v>0</v>
      </c>
      <c r="AM11" s="1054">
        <f t="shared" si="10"/>
        <v>0</v>
      </c>
      <c r="AN11" s="1054">
        <f t="shared" si="11"/>
        <v>0</v>
      </c>
      <c r="AO11" s="1055">
        <f t="shared" si="12"/>
        <v>0</v>
      </c>
      <c r="AP11" s="1055">
        <f t="shared" si="13"/>
        <v>0</v>
      </c>
      <c r="AU11" s="78" t="s">
        <v>824</v>
      </c>
      <c r="AV11" s="62" t="s">
        <v>109</v>
      </c>
      <c r="AW11" s="274">
        <f t="shared" si="18"/>
        <v>0</v>
      </c>
      <c r="AX11" s="274">
        <f t="shared" si="19"/>
        <v>0</v>
      </c>
      <c r="AY11" s="274">
        <f t="shared" si="20"/>
        <v>0</v>
      </c>
      <c r="AZ11" s="274">
        <f t="shared" si="21"/>
        <v>0</v>
      </c>
      <c r="BA11" s="274">
        <f t="shared" si="22"/>
        <v>0</v>
      </c>
      <c r="BB11" s="274">
        <f t="shared" si="23"/>
        <v>0</v>
      </c>
      <c r="BC11" s="274">
        <f t="shared" si="24"/>
        <v>0</v>
      </c>
      <c r="BD11" s="274">
        <f t="shared" si="25"/>
        <v>0</v>
      </c>
      <c r="BE11" s="274">
        <f t="shared" si="26"/>
        <v>0</v>
      </c>
      <c r="BF11" s="274" t="str">
        <f t="shared" si="27"/>
        <v/>
      </c>
      <c r="BG11" s="274">
        <f t="shared" si="17"/>
        <v>0</v>
      </c>
    </row>
    <row r="12" spans="1:59" ht="14.9" customHeight="1">
      <c r="A12" s="72" t="str">
        <f>'G-1 All Habitats'!B11</f>
        <v>Cropland - Non-cereal crops</v>
      </c>
      <c r="B12" s="72" t="s">
        <v>105</v>
      </c>
      <c r="C12" s="72" t="str">
        <f>'G-1 All Habitats'!K11</f>
        <v>Low</v>
      </c>
      <c r="D12" s="72" t="str">
        <f>'G-1 All Habitats'!M11</f>
        <v>Same distinctiveness or better habitat required ≥</v>
      </c>
      <c r="E12" s="1056">
        <f>SUMIF('A-1 On-Site Habitat Baseline'!$AV$11:$AV$258,'G-2 Habitat groups'!A12,'A-1 On-Site Habitat Baseline'!$H$11:$H$258)</f>
        <v>0</v>
      </c>
      <c r="F12" s="1056">
        <f>SUMIF('A-1 On-Site Habitat Baseline'!$AV$11:$AV$258,'G-2 Habitat groups'!A12,'A-1 On-Site Habitat Baseline'!$Q$11:$Q$258)</f>
        <v>0</v>
      </c>
      <c r="G12" s="1056">
        <f>SUMIF('A-1 On-Site Habitat Baseline'!$AV$11:$AV$258,'G-2 Habitat groups'!A12,'A-1 On-Site Habitat Baseline'!$S$11:$S$258)</f>
        <v>0</v>
      </c>
      <c r="H12" s="1056">
        <f>SUMIF('A-1 On-Site Habitat Baseline'!$AV$11:$AV$258,'G-2 Habitat groups'!A12,'A-1 On-Site Habitat Baseline'!$U$11:$U$258)+SUMIF('A-1 On-Site Habitat Baseline'!$AV$11:$AV$258,'G-2 Habitat groups'!A12,'A-1 On-Site Habitat Baseline'!$AT$11:$AT$258)</f>
        <v>0</v>
      </c>
      <c r="I12" s="1056">
        <f>SUMIF('A-1 On-Site Habitat Baseline'!$AV$11:$AV$258,'G-2 Habitat groups'!A12,'A-1 On-Site Habitat Baseline'!$W$11:$W$258)</f>
        <v>0</v>
      </c>
      <c r="J12" s="1056">
        <f>SUMIF('A-1 On-Site Habitat Baseline'!$AV$11:$AV$258,'G-2 Habitat groups'!A12,'A-1 On-Site Habitat Baseline'!$X$11:$X$258)</f>
        <v>0</v>
      </c>
      <c r="K12" s="1056">
        <f>SUMIF('A-2 On-Site Habitat Creation'!$F$11:$F$256,'G-2 Habitat groups'!A12,'A-2 On-Site Habitat Creation'!$G$11:$G$256)</f>
        <v>0</v>
      </c>
      <c r="L12" s="1056">
        <f>SUMIF('A-2 On-Site Habitat Creation'!$F$11:$F$256,'G-2 Habitat groups'!A12,'A-2 On-Site Habitat Creation'!$Y$11:$Y$256)</f>
        <v>0</v>
      </c>
      <c r="M12" s="1056">
        <f>SUMIF('A-3 On-Site Habitat Enhancement'!$S$12:$S$257,'G-2 Habitat groups'!A12,'A-3 On-Site Habitat Enhancement'!$V$12:$V$257)</f>
        <v>0</v>
      </c>
      <c r="N12" s="1056">
        <f>SUMIF('A-3 On-Site Habitat Enhancement'!$S$12:$S$257,'G-2 Habitat groups'!A12,'A-3 On-Site Habitat Enhancement'!$AN$12:$AN$257)</f>
        <v>0</v>
      </c>
      <c r="O12" s="1056">
        <f t="shared" si="1"/>
        <v>0</v>
      </c>
      <c r="P12" s="1056">
        <f t="shared" si="2"/>
        <v>0</v>
      </c>
      <c r="Q12" s="1056">
        <f t="shared" si="3"/>
        <v>0</v>
      </c>
      <c r="R12" s="1056">
        <f t="shared" si="4"/>
        <v>0</v>
      </c>
      <c r="S12" s="1056">
        <f>SUMIF('D-1 Off-Site Habitat Baseline'!$AV$11:$AV$258,'G-2 Habitat groups'!A12,'D-1 Off-Site Habitat Baseline'!$H$11:$H$258)</f>
        <v>0</v>
      </c>
      <c r="T12" s="1056">
        <f>SUMIF('D-1 Off-Site Habitat Baseline'!$AV$11:$AV$258,'G-2 Habitat groups'!A12,'D-1 Off-Site Habitat Baseline'!$T$11:$T$258)</f>
        <v>0</v>
      </c>
      <c r="U12" s="1056">
        <f>SUMIF('D-1 Off-Site Habitat Baseline'!$AV$11:$AV$258,'G-2 Habitat groups'!A12,'D-1 Off-Site Habitat Baseline'!$V$11:$V$258)</f>
        <v>0</v>
      </c>
      <c r="V12" s="1056">
        <f>SUMIF('D-1 Off-Site Habitat Baseline'!$AV$11:$AV$258,'G-2 Habitat groups'!A12,'D-1 Off-Site Habitat Baseline'!$X$11:$X$258)+SUMIF('D-1 Off-Site Habitat Baseline'!$AV$11:$AV$258,'G-2 Habitat groups'!A12,'D-1 Off-Site Habitat Baseline'!$AS$11:$AS$258)</f>
        <v>0</v>
      </c>
      <c r="W12" s="1056">
        <f>SUMIF('D-2 Off-Site Habitat Creation'!$F$9:$F$255,'G-2 Habitat groups'!A12,'D-2 Off-Site Habitat Creation'!$G$9:$G$255)</f>
        <v>0</v>
      </c>
      <c r="X12" s="1056">
        <f>SUMIF('D-2 Off-Site Habitat Creation'!$F$9:$F$255,'G-2 Habitat groups'!A12,'D-2 Off-Site Habitat Creation'!$AB$9:$AB$255)</f>
        <v>0</v>
      </c>
      <c r="Y12" s="1056">
        <f>SUMIF('D-3 Off-Site Habitat Enhancment'!$S$12:$S$491,'G-2 Habitat groups'!A12,'D-3 Off-Site Habitat Enhancment'!$V$12:$V$491)</f>
        <v>0</v>
      </c>
      <c r="Z12" s="1056">
        <f>SUMIF('D-3 Off-Site Habitat Enhancment'!$S$12:$S$491,'G-2 Habitat groups'!A12,'D-3 Off-Site Habitat Enhancment'!$AQ$12:$AQ$491)</f>
        <v>0</v>
      </c>
      <c r="AA12" s="1056">
        <f t="shared" si="5"/>
        <v>0</v>
      </c>
      <c r="AB12" s="1056">
        <f t="shared" si="14"/>
        <v>0</v>
      </c>
      <c r="AC12" s="1056">
        <f t="shared" si="6"/>
        <v>0</v>
      </c>
      <c r="AD12" s="1056">
        <f t="shared" si="15"/>
        <v>0</v>
      </c>
      <c r="AE12" s="1056">
        <f t="shared" si="7"/>
        <v>0</v>
      </c>
      <c r="AF12" s="1056">
        <f t="shared" si="16"/>
        <v>0</v>
      </c>
      <c r="AJ12" s="1060" t="s">
        <v>113</v>
      </c>
      <c r="AK12" s="1054">
        <f t="shared" si="8"/>
        <v>0</v>
      </c>
      <c r="AL12" s="1054">
        <f t="shared" si="9"/>
        <v>0</v>
      </c>
      <c r="AM12" s="1054">
        <f t="shared" si="10"/>
        <v>0</v>
      </c>
      <c r="AN12" s="1054">
        <f t="shared" si="11"/>
        <v>0</v>
      </c>
      <c r="AO12" s="1055">
        <f t="shared" si="12"/>
        <v>0</v>
      </c>
      <c r="AP12" s="1055">
        <f t="shared" si="13"/>
        <v>0</v>
      </c>
      <c r="AU12" s="78" t="s">
        <v>885</v>
      </c>
      <c r="AV12" s="62" t="s">
        <v>111</v>
      </c>
      <c r="AW12" s="274">
        <f t="shared" si="18"/>
        <v>0</v>
      </c>
      <c r="AX12" s="274">
        <f t="shared" si="19"/>
        <v>0</v>
      </c>
      <c r="AY12" s="274">
        <f t="shared" si="20"/>
        <v>0</v>
      </c>
      <c r="AZ12" s="274">
        <f t="shared" si="21"/>
        <v>0</v>
      </c>
      <c r="BA12" s="274">
        <f t="shared" si="22"/>
        <v>0</v>
      </c>
      <c r="BB12" s="274">
        <f t="shared" si="23"/>
        <v>0</v>
      </c>
      <c r="BC12" s="274">
        <f t="shared" si="24"/>
        <v>0</v>
      </c>
      <c r="BD12" s="274">
        <f t="shared" si="25"/>
        <v>0</v>
      </c>
      <c r="BE12" s="274">
        <f t="shared" si="26"/>
        <v>0</v>
      </c>
      <c r="BF12" s="274" t="str">
        <f t="shared" si="27"/>
        <v/>
      </c>
      <c r="BG12" s="274">
        <f t="shared" si="17"/>
        <v>0</v>
      </c>
    </row>
    <row r="13" spans="1:59" ht="14.9" customHeight="1">
      <c r="A13" s="72" t="str">
        <f>'G-1 All Habitats'!B12</f>
        <v>Cropland - Temporary grass and clover leys</v>
      </c>
      <c r="B13" s="72" t="s">
        <v>105</v>
      </c>
      <c r="C13" s="72" t="str">
        <f>'G-1 All Habitats'!K12</f>
        <v>Low</v>
      </c>
      <c r="D13" s="72" t="str">
        <f>'G-1 All Habitats'!M12</f>
        <v>Same distinctiveness or better habitat required ≥</v>
      </c>
      <c r="E13" s="1056">
        <f>SUMIF('A-1 On-Site Habitat Baseline'!$AV$11:$AV$258,'G-2 Habitat groups'!A13,'A-1 On-Site Habitat Baseline'!$H$11:$H$258)</f>
        <v>0</v>
      </c>
      <c r="F13" s="1056">
        <f>SUMIF('A-1 On-Site Habitat Baseline'!$AV$11:$AV$258,'G-2 Habitat groups'!A13,'A-1 On-Site Habitat Baseline'!$Q$11:$Q$258)</f>
        <v>0</v>
      </c>
      <c r="G13" s="1056">
        <f>SUMIF('A-1 On-Site Habitat Baseline'!$AV$11:$AV$258,'G-2 Habitat groups'!A13,'A-1 On-Site Habitat Baseline'!$S$11:$S$258)</f>
        <v>0</v>
      </c>
      <c r="H13" s="1056">
        <f>SUMIF('A-1 On-Site Habitat Baseline'!$AV$11:$AV$258,'G-2 Habitat groups'!A13,'A-1 On-Site Habitat Baseline'!$U$11:$U$258)+SUMIF('A-1 On-Site Habitat Baseline'!$AV$11:$AV$258,'G-2 Habitat groups'!A13,'A-1 On-Site Habitat Baseline'!$AT$11:$AT$258)</f>
        <v>0</v>
      </c>
      <c r="I13" s="1056">
        <f>SUMIF('A-1 On-Site Habitat Baseline'!$AV$11:$AV$258,'G-2 Habitat groups'!A13,'A-1 On-Site Habitat Baseline'!$W$11:$W$258)</f>
        <v>0</v>
      </c>
      <c r="J13" s="1056">
        <f>SUMIF('A-1 On-Site Habitat Baseline'!$AV$11:$AV$258,'G-2 Habitat groups'!A13,'A-1 On-Site Habitat Baseline'!$X$11:$X$258)</f>
        <v>0</v>
      </c>
      <c r="K13" s="1056">
        <f>SUMIF('A-2 On-Site Habitat Creation'!$F$11:$F$256,'G-2 Habitat groups'!A13,'A-2 On-Site Habitat Creation'!$G$11:$G$256)</f>
        <v>0</v>
      </c>
      <c r="L13" s="1056">
        <f>SUMIF('A-2 On-Site Habitat Creation'!$F$11:$F$256,'G-2 Habitat groups'!A13,'A-2 On-Site Habitat Creation'!$Y$11:$Y$256)</f>
        <v>0</v>
      </c>
      <c r="M13" s="1056">
        <f>SUMIF('A-3 On-Site Habitat Enhancement'!$S$12:$S$257,'G-2 Habitat groups'!A13,'A-3 On-Site Habitat Enhancement'!$V$12:$V$257)</f>
        <v>0</v>
      </c>
      <c r="N13" s="1056">
        <f>SUMIF('A-3 On-Site Habitat Enhancement'!$S$12:$S$257,'G-2 Habitat groups'!A13,'A-3 On-Site Habitat Enhancement'!$AN$12:$AN$257)</f>
        <v>0</v>
      </c>
      <c r="O13" s="1056">
        <f t="shared" si="1"/>
        <v>0</v>
      </c>
      <c r="P13" s="1056">
        <f t="shared" si="2"/>
        <v>0</v>
      </c>
      <c r="Q13" s="1056">
        <f t="shared" si="3"/>
        <v>0</v>
      </c>
      <c r="R13" s="1056">
        <f t="shared" si="4"/>
        <v>0</v>
      </c>
      <c r="S13" s="1056">
        <f>SUMIF('D-1 Off-Site Habitat Baseline'!$AV$11:$AV$258,'G-2 Habitat groups'!A13,'D-1 Off-Site Habitat Baseline'!$H$11:$H$258)</f>
        <v>0</v>
      </c>
      <c r="T13" s="1056">
        <f>SUMIF('D-1 Off-Site Habitat Baseline'!$AV$11:$AV$258,'G-2 Habitat groups'!A13,'D-1 Off-Site Habitat Baseline'!$T$11:$T$258)</f>
        <v>0</v>
      </c>
      <c r="U13" s="1056">
        <f>SUMIF('D-1 Off-Site Habitat Baseline'!$AV$11:$AV$258,'G-2 Habitat groups'!A13,'D-1 Off-Site Habitat Baseline'!$V$11:$V$258)</f>
        <v>0</v>
      </c>
      <c r="V13" s="1056">
        <f>SUMIF('D-1 Off-Site Habitat Baseline'!$AV$11:$AV$258,'G-2 Habitat groups'!A13,'D-1 Off-Site Habitat Baseline'!$X$11:$X$258)+SUMIF('D-1 Off-Site Habitat Baseline'!$AV$11:$AV$258,'G-2 Habitat groups'!A13,'D-1 Off-Site Habitat Baseline'!$AS$11:$AS$258)</f>
        <v>0</v>
      </c>
      <c r="W13" s="1056">
        <f>SUMIF('D-2 Off-Site Habitat Creation'!$F$9:$F$255,'G-2 Habitat groups'!A13,'D-2 Off-Site Habitat Creation'!$G$9:$G$255)</f>
        <v>0</v>
      </c>
      <c r="X13" s="1056">
        <f>SUMIF('D-2 Off-Site Habitat Creation'!$F$9:$F$255,'G-2 Habitat groups'!A13,'D-2 Off-Site Habitat Creation'!$AB$9:$AB$255)</f>
        <v>0</v>
      </c>
      <c r="Y13" s="1056">
        <f>SUMIF('D-3 Off-Site Habitat Enhancment'!$S$12:$S$491,'G-2 Habitat groups'!A13,'D-3 Off-Site Habitat Enhancment'!$V$12:$V$491)</f>
        <v>0</v>
      </c>
      <c r="Z13" s="1056">
        <f>SUMIF('D-3 Off-Site Habitat Enhancment'!$S$12:$S$491,'G-2 Habitat groups'!A13,'D-3 Off-Site Habitat Enhancment'!$AQ$12:$AQ$491)</f>
        <v>0</v>
      </c>
      <c r="AA13" s="1056">
        <f t="shared" si="5"/>
        <v>0</v>
      </c>
      <c r="AB13" s="1056">
        <f t="shared" si="14"/>
        <v>0</v>
      </c>
      <c r="AC13" s="1056">
        <f t="shared" si="6"/>
        <v>0</v>
      </c>
      <c r="AD13" s="1056">
        <f t="shared" si="15"/>
        <v>0</v>
      </c>
      <c r="AE13" s="1056">
        <f t="shared" si="7"/>
        <v>0</v>
      </c>
      <c r="AF13" s="1056">
        <f t="shared" si="16"/>
        <v>0</v>
      </c>
      <c r="AJ13" s="1060" t="s">
        <v>553</v>
      </c>
      <c r="AK13" s="1054">
        <f t="shared" si="8"/>
        <v>0</v>
      </c>
      <c r="AL13" s="1054">
        <f t="shared" si="9"/>
        <v>0</v>
      </c>
      <c r="AM13" s="1054">
        <f t="shared" si="10"/>
        <v>0</v>
      </c>
      <c r="AN13" s="1054">
        <f t="shared" si="11"/>
        <v>0</v>
      </c>
      <c r="AO13" s="1055">
        <f t="shared" si="12"/>
        <v>0</v>
      </c>
      <c r="AP13" s="1055">
        <f t="shared" si="13"/>
        <v>0</v>
      </c>
      <c r="AU13" s="78" t="s">
        <v>891</v>
      </c>
      <c r="AV13" s="62" t="s">
        <v>111</v>
      </c>
      <c r="AW13" s="274">
        <f t="shared" si="18"/>
        <v>0</v>
      </c>
      <c r="AX13" s="274">
        <f t="shared" si="19"/>
        <v>0</v>
      </c>
      <c r="AY13" s="274">
        <f t="shared" si="20"/>
        <v>0</v>
      </c>
      <c r="AZ13" s="274">
        <f t="shared" si="21"/>
        <v>0</v>
      </c>
      <c r="BA13" s="274">
        <f t="shared" si="22"/>
        <v>0</v>
      </c>
      <c r="BB13" s="274">
        <f t="shared" si="23"/>
        <v>0</v>
      </c>
      <c r="BC13" s="274">
        <f t="shared" si="24"/>
        <v>0</v>
      </c>
      <c r="BD13" s="274">
        <f t="shared" si="25"/>
        <v>0</v>
      </c>
      <c r="BE13" s="274">
        <f t="shared" si="26"/>
        <v>0</v>
      </c>
      <c r="BF13" s="274" t="str">
        <f t="shared" si="27"/>
        <v/>
      </c>
      <c r="BG13" s="274">
        <f t="shared" si="17"/>
        <v>0</v>
      </c>
    </row>
    <row r="14" spans="1:59" ht="14.9" customHeight="1">
      <c r="A14" s="72" t="str">
        <f>'G-1 All Habitats'!B13</f>
        <v>Grassland - Traditional orchards</v>
      </c>
      <c r="B14" s="72" t="s">
        <v>106</v>
      </c>
      <c r="C14" s="72" t="str">
        <f>'G-1 All Habitats'!K13</f>
        <v>High</v>
      </c>
      <c r="D14" s="72" t="str">
        <f>'G-1 All Habitats'!M13</f>
        <v>Same habitat required =</v>
      </c>
      <c r="E14" s="1056">
        <f>SUMIF('A-1 On-Site Habitat Baseline'!$AV$11:$AV$258,'G-2 Habitat groups'!A14,'A-1 On-Site Habitat Baseline'!$H$11:$H$258)</f>
        <v>0</v>
      </c>
      <c r="F14" s="1056">
        <f>SUMIF('A-1 On-Site Habitat Baseline'!$AV$11:$AV$258,'G-2 Habitat groups'!A14,'A-1 On-Site Habitat Baseline'!$Q$11:$Q$258)</f>
        <v>0</v>
      </c>
      <c r="G14" s="1056">
        <f>SUMIF('A-1 On-Site Habitat Baseline'!$AV$11:$AV$258,'G-2 Habitat groups'!A14,'A-1 On-Site Habitat Baseline'!$S$11:$S$258)</f>
        <v>0</v>
      </c>
      <c r="H14" s="1056">
        <f>SUMIF('A-1 On-Site Habitat Baseline'!$AV$11:$AV$258,'G-2 Habitat groups'!A14,'A-1 On-Site Habitat Baseline'!$U$11:$U$258)+SUMIF('A-1 On-Site Habitat Baseline'!$AV$11:$AV$258,'G-2 Habitat groups'!A14,'A-1 On-Site Habitat Baseline'!$AT$11:$AT$258)</f>
        <v>0</v>
      </c>
      <c r="I14" s="1056">
        <f>SUMIF('A-1 On-Site Habitat Baseline'!$AV$11:$AV$258,'G-2 Habitat groups'!A14,'A-1 On-Site Habitat Baseline'!$W$11:$W$258)</f>
        <v>0</v>
      </c>
      <c r="J14" s="1056">
        <f>SUMIF('A-1 On-Site Habitat Baseline'!$AV$11:$AV$258,'G-2 Habitat groups'!A14,'A-1 On-Site Habitat Baseline'!$X$11:$X$258)</f>
        <v>0</v>
      </c>
      <c r="K14" s="1056">
        <f>SUMIF('A-2 On-Site Habitat Creation'!$F$11:$F$256,'G-2 Habitat groups'!A14,'A-2 On-Site Habitat Creation'!$G$11:$G$256)</f>
        <v>0</v>
      </c>
      <c r="L14" s="1056">
        <f>SUMIF('A-2 On-Site Habitat Creation'!$F$11:$F$256,'G-2 Habitat groups'!A14,'A-2 On-Site Habitat Creation'!$Y$11:$Y$256)</f>
        <v>0</v>
      </c>
      <c r="M14" s="1056">
        <f>SUMIF('A-3 On-Site Habitat Enhancement'!$S$12:$S$257,'G-2 Habitat groups'!A14,'A-3 On-Site Habitat Enhancement'!$V$12:$V$257)</f>
        <v>0</v>
      </c>
      <c r="N14" s="1056">
        <f>SUMIF('A-3 On-Site Habitat Enhancement'!$S$12:$S$257,'G-2 Habitat groups'!A14,'A-3 On-Site Habitat Enhancement'!$AN$12:$AN$257)</f>
        <v>0</v>
      </c>
      <c r="O14" s="1056">
        <f t="shared" si="1"/>
        <v>0</v>
      </c>
      <c r="P14" s="1056">
        <f t="shared" si="2"/>
        <v>0</v>
      </c>
      <c r="Q14" s="1056">
        <f t="shared" si="3"/>
        <v>0</v>
      </c>
      <c r="R14" s="1056">
        <f t="shared" si="4"/>
        <v>0</v>
      </c>
      <c r="S14" s="1056">
        <f>SUMIF('D-1 Off-Site Habitat Baseline'!$AV$11:$AV$258,'G-2 Habitat groups'!A14,'D-1 Off-Site Habitat Baseline'!$H$11:$H$258)</f>
        <v>0</v>
      </c>
      <c r="T14" s="1056">
        <f>SUMIF('D-1 Off-Site Habitat Baseline'!$AV$11:$AV$258,'G-2 Habitat groups'!A14,'D-1 Off-Site Habitat Baseline'!$T$11:$T$258)</f>
        <v>0</v>
      </c>
      <c r="U14" s="1056">
        <f>SUMIF('D-1 Off-Site Habitat Baseline'!$AV$11:$AV$258,'G-2 Habitat groups'!A14,'D-1 Off-Site Habitat Baseline'!$V$11:$V$258)</f>
        <v>0</v>
      </c>
      <c r="V14" s="1056">
        <f>SUMIF('D-1 Off-Site Habitat Baseline'!$AV$11:$AV$258,'G-2 Habitat groups'!A14,'D-1 Off-Site Habitat Baseline'!$X$11:$X$258)+SUMIF('D-1 Off-Site Habitat Baseline'!$AV$11:$AV$258,'G-2 Habitat groups'!A14,'D-1 Off-Site Habitat Baseline'!$AS$11:$AS$258)</f>
        <v>0</v>
      </c>
      <c r="W14" s="1056">
        <f>SUMIF('D-2 Off-Site Habitat Creation'!$F$9:$F$255,'G-2 Habitat groups'!A14,'D-2 Off-Site Habitat Creation'!$G$9:$G$255)</f>
        <v>0</v>
      </c>
      <c r="X14" s="1056">
        <f>SUMIF('D-2 Off-Site Habitat Creation'!$F$9:$F$255,'G-2 Habitat groups'!A14,'D-2 Off-Site Habitat Creation'!$AB$9:$AB$255)</f>
        <v>0</v>
      </c>
      <c r="Y14" s="1056">
        <f>SUMIF('D-3 Off-Site Habitat Enhancment'!$S$12:$S$491,'G-2 Habitat groups'!A14,'D-3 Off-Site Habitat Enhancment'!$V$12:$V$491)</f>
        <v>0</v>
      </c>
      <c r="Z14" s="1056">
        <f>SUMIF('D-3 Off-Site Habitat Enhancment'!$S$12:$S$491,'G-2 Habitat groups'!A14,'D-3 Off-Site Habitat Enhancment'!$AQ$12:$AQ$491)</f>
        <v>0</v>
      </c>
      <c r="AA14" s="1056">
        <f t="shared" si="5"/>
        <v>0</v>
      </c>
      <c r="AB14" s="1056">
        <f t="shared" si="14"/>
        <v>0</v>
      </c>
      <c r="AC14" s="1056">
        <f t="shared" si="6"/>
        <v>0</v>
      </c>
      <c r="AD14" s="1056">
        <f t="shared" si="15"/>
        <v>0</v>
      </c>
      <c r="AE14" s="1056">
        <f t="shared" si="7"/>
        <v>0</v>
      </c>
      <c r="AF14" s="1056">
        <f t="shared" si="16"/>
        <v>0</v>
      </c>
      <c r="AJ14" s="1060" t="s">
        <v>548</v>
      </c>
      <c r="AK14" s="1054">
        <f t="shared" si="8"/>
        <v>0</v>
      </c>
      <c r="AL14" s="1054">
        <f t="shared" si="9"/>
        <v>0</v>
      </c>
      <c r="AM14" s="1054">
        <f t="shared" si="10"/>
        <v>0</v>
      </c>
      <c r="AN14" s="1054">
        <f t="shared" si="11"/>
        <v>0</v>
      </c>
      <c r="AO14" s="1055">
        <f t="shared" si="12"/>
        <v>0</v>
      </c>
      <c r="AP14" s="1055">
        <f t="shared" si="13"/>
        <v>0</v>
      </c>
      <c r="AU14" s="78" t="s">
        <v>893</v>
      </c>
      <c r="AV14" s="62" t="s">
        <v>111</v>
      </c>
      <c r="AW14" s="274">
        <f t="shared" si="18"/>
        <v>0</v>
      </c>
      <c r="AX14" s="274">
        <f t="shared" si="19"/>
        <v>0</v>
      </c>
      <c r="AY14" s="274">
        <f t="shared" si="20"/>
        <v>0</v>
      </c>
      <c r="AZ14" s="274">
        <f t="shared" si="21"/>
        <v>0</v>
      </c>
      <c r="BA14" s="274">
        <f t="shared" si="22"/>
        <v>0</v>
      </c>
      <c r="BB14" s="274">
        <f t="shared" si="23"/>
        <v>0</v>
      </c>
      <c r="BC14" s="274">
        <f t="shared" si="24"/>
        <v>0</v>
      </c>
      <c r="BD14" s="274">
        <f t="shared" si="25"/>
        <v>0</v>
      </c>
      <c r="BE14" s="274">
        <f t="shared" si="26"/>
        <v>0</v>
      </c>
      <c r="BF14" s="274" t="str">
        <f t="shared" si="27"/>
        <v/>
      </c>
      <c r="BG14" s="274">
        <f t="shared" si="17"/>
        <v>0</v>
      </c>
    </row>
    <row r="15" spans="1:59" ht="14">
      <c r="A15" s="72" t="str">
        <f>'G-1 All Habitats'!B14</f>
        <v>Grassland - Bracken</v>
      </c>
      <c r="B15" s="72" t="s">
        <v>106</v>
      </c>
      <c r="C15" s="72" t="str">
        <f>'G-1 All Habitats'!K14</f>
        <v>Low</v>
      </c>
      <c r="D15" s="72" t="str">
        <f>'G-1 All Habitats'!M14</f>
        <v>Same distinctiveness or better habitat required ≥</v>
      </c>
      <c r="E15" s="1056">
        <f>SUMIF('A-1 On-Site Habitat Baseline'!$AV$11:$AV$258,'G-2 Habitat groups'!A15,'A-1 On-Site Habitat Baseline'!$H$11:$H$258)</f>
        <v>0</v>
      </c>
      <c r="F15" s="1056">
        <f>SUMIF('A-1 On-Site Habitat Baseline'!$AV$11:$AV$258,'G-2 Habitat groups'!A15,'A-1 On-Site Habitat Baseline'!$Q$11:$Q$258)</f>
        <v>0</v>
      </c>
      <c r="G15" s="1056">
        <f>SUMIF('A-1 On-Site Habitat Baseline'!$AV$11:$AV$258,'G-2 Habitat groups'!A15,'A-1 On-Site Habitat Baseline'!$S$11:$S$258)</f>
        <v>0</v>
      </c>
      <c r="H15" s="1056">
        <f>SUMIF('A-1 On-Site Habitat Baseline'!$AV$11:$AV$258,'G-2 Habitat groups'!A15,'A-1 On-Site Habitat Baseline'!$U$11:$U$258)+SUMIF('A-1 On-Site Habitat Baseline'!$AV$11:$AV$258,'G-2 Habitat groups'!A15,'A-1 On-Site Habitat Baseline'!$AT$11:$AT$258)</f>
        <v>0</v>
      </c>
      <c r="I15" s="1056">
        <f>SUMIF('A-1 On-Site Habitat Baseline'!$AV$11:$AV$258,'G-2 Habitat groups'!A15,'A-1 On-Site Habitat Baseline'!$W$11:$W$258)</f>
        <v>0</v>
      </c>
      <c r="J15" s="1056">
        <f>SUMIF('A-1 On-Site Habitat Baseline'!$AV$11:$AV$258,'G-2 Habitat groups'!A15,'A-1 On-Site Habitat Baseline'!$X$11:$X$258)</f>
        <v>0</v>
      </c>
      <c r="K15" s="1056">
        <f>SUMIF('A-2 On-Site Habitat Creation'!$F$11:$F$256,'G-2 Habitat groups'!A15,'A-2 On-Site Habitat Creation'!$G$11:$G$256)</f>
        <v>0</v>
      </c>
      <c r="L15" s="1056">
        <f>SUMIF('A-2 On-Site Habitat Creation'!$F$11:$F$256,'G-2 Habitat groups'!A15,'A-2 On-Site Habitat Creation'!$Y$11:$Y$256)</f>
        <v>0</v>
      </c>
      <c r="M15" s="1056">
        <f>SUMIF('A-3 On-Site Habitat Enhancement'!$S$12:$S$257,'G-2 Habitat groups'!A15,'A-3 On-Site Habitat Enhancement'!$V$12:$V$257)</f>
        <v>0</v>
      </c>
      <c r="N15" s="1056">
        <f>SUMIF('A-3 On-Site Habitat Enhancement'!$S$12:$S$257,'G-2 Habitat groups'!A15,'A-3 On-Site Habitat Enhancement'!$AN$12:$AN$257)</f>
        <v>0</v>
      </c>
      <c r="O15" s="1056">
        <f t="shared" si="1"/>
        <v>0</v>
      </c>
      <c r="P15" s="1056">
        <f t="shared" si="2"/>
        <v>0</v>
      </c>
      <c r="Q15" s="1056">
        <f t="shared" si="3"/>
        <v>0</v>
      </c>
      <c r="R15" s="1056">
        <f t="shared" si="4"/>
        <v>0</v>
      </c>
      <c r="S15" s="1056">
        <f>SUMIF('D-1 Off-Site Habitat Baseline'!$AV$11:$AV$258,'G-2 Habitat groups'!A15,'D-1 Off-Site Habitat Baseline'!$H$11:$H$258)</f>
        <v>0</v>
      </c>
      <c r="T15" s="1056">
        <f>SUMIF('D-1 Off-Site Habitat Baseline'!$AV$11:$AV$258,'G-2 Habitat groups'!A15,'D-1 Off-Site Habitat Baseline'!$T$11:$T$258)</f>
        <v>0</v>
      </c>
      <c r="U15" s="1056">
        <f>SUMIF('D-1 Off-Site Habitat Baseline'!$AV$11:$AV$258,'G-2 Habitat groups'!A15,'D-1 Off-Site Habitat Baseline'!$V$11:$V$258)</f>
        <v>0</v>
      </c>
      <c r="V15" s="1056">
        <f>SUMIF('D-1 Off-Site Habitat Baseline'!$AV$11:$AV$258,'G-2 Habitat groups'!A15,'D-1 Off-Site Habitat Baseline'!$X$11:$X$258)+SUMIF('D-1 Off-Site Habitat Baseline'!$AV$11:$AV$258,'G-2 Habitat groups'!A15,'D-1 Off-Site Habitat Baseline'!$AS$11:$AS$258)</f>
        <v>0</v>
      </c>
      <c r="W15" s="1056">
        <f>SUMIF('D-2 Off-Site Habitat Creation'!$F$9:$F$255,'G-2 Habitat groups'!A15,'D-2 Off-Site Habitat Creation'!$G$9:$G$255)</f>
        <v>0</v>
      </c>
      <c r="X15" s="1056">
        <f>SUMIF('D-2 Off-Site Habitat Creation'!$F$9:$F$255,'G-2 Habitat groups'!A15,'D-2 Off-Site Habitat Creation'!$AB$9:$AB$255)</f>
        <v>0</v>
      </c>
      <c r="Y15" s="1056">
        <f>SUMIF('D-3 Off-Site Habitat Enhancment'!$S$12:$S$491,'G-2 Habitat groups'!A15,'D-3 Off-Site Habitat Enhancment'!$V$12:$V$491)</f>
        <v>0</v>
      </c>
      <c r="Z15" s="1056">
        <f>SUMIF('D-3 Off-Site Habitat Enhancment'!$S$12:$S$491,'G-2 Habitat groups'!A15,'D-3 Off-Site Habitat Enhancment'!$AQ$12:$AQ$491)</f>
        <v>0</v>
      </c>
      <c r="AA15" s="1056">
        <f t="shared" si="5"/>
        <v>0</v>
      </c>
      <c r="AB15" s="1056">
        <f t="shared" si="14"/>
        <v>0</v>
      </c>
      <c r="AC15" s="1056">
        <f t="shared" si="6"/>
        <v>0</v>
      </c>
      <c r="AD15" s="1056">
        <f t="shared" si="15"/>
        <v>0</v>
      </c>
      <c r="AE15" s="1056">
        <f t="shared" si="7"/>
        <v>0</v>
      </c>
      <c r="AF15" s="1056">
        <f t="shared" si="16"/>
        <v>0</v>
      </c>
      <c r="AJ15" s="1060" t="s">
        <v>116</v>
      </c>
      <c r="AK15" s="1054">
        <f t="shared" si="8"/>
        <v>0</v>
      </c>
      <c r="AL15" s="1054">
        <f t="shared" si="9"/>
        <v>0</v>
      </c>
      <c r="AM15" s="1054">
        <f t="shared" si="10"/>
        <v>0</v>
      </c>
      <c r="AN15" s="1054">
        <f t="shared" si="11"/>
        <v>0</v>
      </c>
      <c r="AO15" s="1055">
        <f t="shared" si="12"/>
        <v>0</v>
      </c>
      <c r="AP15" s="1055">
        <f t="shared" si="13"/>
        <v>0</v>
      </c>
      <c r="AU15" s="78" t="s">
        <v>899</v>
      </c>
      <c r="AV15" s="62" t="s">
        <v>111</v>
      </c>
      <c r="AW15" s="274">
        <f t="shared" si="18"/>
        <v>0</v>
      </c>
      <c r="AX15" s="274">
        <f t="shared" si="19"/>
        <v>0</v>
      </c>
      <c r="AY15" s="274">
        <f t="shared" si="20"/>
        <v>0</v>
      </c>
      <c r="AZ15" s="274">
        <f t="shared" si="21"/>
        <v>0</v>
      </c>
      <c r="BA15" s="274">
        <f t="shared" si="22"/>
        <v>0</v>
      </c>
      <c r="BB15" s="274">
        <f t="shared" si="23"/>
        <v>0</v>
      </c>
      <c r="BC15" s="274">
        <f t="shared" si="24"/>
        <v>0</v>
      </c>
      <c r="BD15" s="274">
        <f t="shared" si="25"/>
        <v>0</v>
      </c>
      <c r="BE15" s="274">
        <f t="shared" si="26"/>
        <v>0</v>
      </c>
      <c r="BF15" s="274" t="str">
        <f t="shared" si="27"/>
        <v/>
      </c>
      <c r="BG15" s="274">
        <f t="shared" si="17"/>
        <v>0</v>
      </c>
    </row>
    <row r="16" spans="1:59" ht="14">
      <c r="A16" s="72" t="str">
        <f>'G-1 All Habitats'!B15</f>
        <v>Grassland - Floodplain wetland mosaic and CFGM</v>
      </c>
      <c r="B16" s="72" t="s">
        <v>106</v>
      </c>
      <c r="C16" s="72" t="str">
        <f>'G-1 All Habitats'!K15</f>
        <v>High</v>
      </c>
      <c r="D16" s="72" t="str">
        <f>'G-1 All Habitats'!M15</f>
        <v>Same habitat required =</v>
      </c>
      <c r="E16" s="1056">
        <f>SUMIF('A-1 On-Site Habitat Baseline'!$AV$11:$AV$258,'G-2 Habitat groups'!A16,'A-1 On-Site Habitat Baseline'!$H$11:$H$258)</f>
        <v>0</v>
      </c>
      <c r="F16" s="1056">
        <f>SUMIF('A-1 On-Site Habitat Baseline'!$AV$11:$AV$258,'G-2 Habitat groups'!A16,'A-1 On-Site Habitat Baseline'!$Q$11:$Q$258)</f>
        <v>0</v>
      </c>
      <c r="G16" s="1056">
        <f>SUMIF('A-1 On-Site Habitat Baseline'!$AV$11:$AV$258,'G-2 Habitat groups'!A16,'A-1 On-Site Habitat Baseline'!$S$11:$S$258)</f>
        <v>0</v>
      </c>
      <c r="H16" s="1056">
        <f>SUMIF('A-1 On-Site Habitat Baseline'!$AV$11:$AV$258,'G-2 Habitat groups'!A16,'A-1 On-Site Habitat Baseline'!$U$11:$U$258)+SUMIF('A-1 On-Site Habitat Baseline'!$AV$11:$AV$258,'G-2 Habitat groups'!A16,'A-1 On-Site Habitat Baseline'!$AT$11:$AT$258)</f>
        <v>0</v>
      </c>
      <c r="I16" s="1056">
        <f>SUMIF('A-1 On-Site Habitat Baseline'!$AV$11:$AV$258,'G-2 Habitat groups'!A16,'A-1 On-Site Habitat Baseline'!$W$11:$W$258)</f>
        <v>0</v>
      </c>
      <c r="J16" s="1056">
        <f>SUMIF('A-1 On-Site Habitat Baseline'!$AV$11:$AV$258,'G-2 Habitat groups'!A16,'A-1 On-Site Habitat Baseline'!$X$11:$X$258)</f>
        <v>0</v>
      </c>
      <c r="K16" s="1056">
        <f>SUMIF('A-2 On-Site Habitat Creation'!$F$11:$F$256,'G-2 Habitat groups'!A16,'A-2 On-Site Habitat Creation'!$G$11:$G$256)</f>
        <v>0</v>
      </c>
      <c r="L16" s="1056">
        <f>SUMIF('A-2 On-Site Habitat Creation'!$F$11:$F$256,'G-2 Habitat groups'!A16,'A-2 On-Site Habitat Creation'!$Y$11:$Y$256)</f>
        <v>0</v>
      </c>
      <c r="M16" s="1056">
        <f>SUMIF('A-3 On-Site Habitat Enhancement'!$S$12:$S$257,'G-2 Habitat groups'!A16,'A-3 On-Site Habitat Enhancement'!$V$12:$V$257)</f>
        <v>0</v>
      </c>
      <c r="N16" s="1056">
        <f>SUMIF('A-3 On-Site Habitat Enhancement'!$S$12:$S$257,'G-2 Habitat groups'!A16,'A-3 On-Site Habitat Enhancement'!$AN$12:$AN$257)</f>
        <v>0</v>
      </c>
      <c r="O16" s="1056">
        <f t="shared" si="1"/>
        <v>0</v>
      </c>
      <c r="P16" s="1056">
        <f t="shared" si="2"/>
        <v>0</v>
      </c>
      <c r="Q16" s="1056">
        <f t="shared" si="3"/>
        <v>0</v>
      </c>
      <c r="R16" s="1056">
        <f t="shared" si="4"/>
        <v>0</v>
      </c>
      <c r="S16" s="1056">
        <f>SUMIF('D-1 Off-Site Habitat Baseline'!$AV$11:$AV$258,'G-2 Habitat groups'!A16,'D-1 Off-Site Habitat Baseline'!$H$11:$H$258)</f>
        <v>0</v>
      </c>
      <c r="T16" s="1056">
        <f>SUMIF('D-1 Off-Site Habitat Baseline'!$AV$11:$AV$258,'G-2 Habitat groups'!A16,'D-1 Off-Site Habitat Baseline'!$T$11:$T$258)</f>
        <v>0</v>
      </c>
      <c r="U16" s="1056">
        <f>SUMIF('D-1 Off-Site Habitat Baseline'!$AV$11:$AV$258,'G-2 Habitat groups'!A16,'D-1 Off-Site Habitat Baseline'!$V$11:$V$258)</f>
        <v>0</v>
      </c>
      <c r="V16" s="1056">
        <f>SUMIF('D-1 Off-Site Habitat Baseline'!$AV$11:$AV$258,'G-2 Habitat groups'!A16,'D-1 Off-Site Habitat Baseline'!$X$11:$X$258)+SUMIF('D-1 Off-Site Habitat Baseline'!$AV$11:$AV$258,'G-2 Habitat groups'!A16,'D-1 Off-Site Habitat Baseline'!$AS$11:$AS$258)</f>
        <v>0</v>
      </c>
      <c r="W16" s="1056">
        <f>SUMIF('D-2 Off-Site Habitat Creation'!$F$9:$F$255,'G-2 Habitat groups'!A16,'D-2 Off-Site Habitat Creation'!$G$9:$G$255)</f>
        <v>0</v>
      </c>
      <c r="X16" s="1056">
        <f>SUMIF('D-2 Off-Site Habitat Creation'!$F$9:$F$255,'G-2 Habitat groups'!A16,'D-2 Off-Site Habitat Creation'!$AB$9:$AB$255)</f>
        <v>0</v>
      </c>
      <c r="Y16" s="1056">
        <f>SUMIF('D-3 Off-Site Habitat Enhancment'!$S$12:$S$491,'G-2 Habitat groups'!A16,'D-3 Off-Site Habitat Enhancment'!$V$12:$V$491)</f>
        <v>0</v>
      </c>
      <c r="Z16" s="1056">
        <f>SUMIF('D-3 Off-Site Habitat Enhancment'!$S$12:$S$491,'G-2 Habitat groups'!A16,'D-3 Off-Site Habitat Enhancment'!$AQ$12:$AQ$491)</f>
        <v>0</v>
      </c>
      <c r="AA16" s="1056">
        <f t="shared" si="5"/>
        <v>0</v>
      </c>
      <c r="AB16" s="1056">
        <f t="shared" si="14"/>
        <v>0</v>
      </c>
      <c r="AC16" s="1056">
        <f t="shared" si="6"/>
        <v>0</v>
      </c>
      <c r="AD16" s="1056">
        <f t="shared" si="15"/>
        <v>0</v>
      </c>
      <c r="AE16" s="1056">
        <f t="shared" si="7"/>
        <v>0</v>
      </c>
      <c r="AF16" s="1056">
        <f t="shared" si="16"/>
        <v>0</v>
      </c>
      <c r="AJ16" s="1060" t="s">
        <v>117</v>
      </c>
      <c r="AK16" s="1054">
        <f t="shared" si="8"/>
        <v>0</v>
      </c>
      <c r="AL16" s="1054">
        <f t="shared" si="9"/>
        <v>0</v>
      </c>
      <c r="AM16" s="1054">
        <f t="shared" si="10"/>
        <v>0</v>
      </c>
      <c r="AN16" s="1054">
        <f t="shared" si="11"/>
        <v>0</v>
      </c>
      <c r="AO16" s="1055">
        <f t="shared" si="12"/>
        <v>0</v>
      </c>
      <c r="AP16" s="1055">
        <f t="shared" si="13"/>
        <v>0</v>
      </c>
      <c r="AU16" s="78" t="s">
        <v>902</v>
      </c>
      <c r="AV16" s="62" t="s">
        <v>111</v>
      </c>
      <c r="AW16" s="274">
        <f t="shared" si="18"/>
        <v>0</v>
      </c>
      <c r="AX16" s="274">
        <f t="shared" si="19"/>
        <v>0</v>
      </c>
      <c r="AY16" s="274">
        <f t="shared" si="20"/>
        <v>0</v>
      </c>
      <c r="AZ16" s="274">
        <f t="shared" si="21"/>
        <v>0</v>
      </c>
      <c r="BA16" s="274">
        <f t="shared" si="22"/>
        <v>0</v>
      </c>
      <c r="BB16" s="274">
        <f t="shared" si="23"/>
        <v>0</v>
      </c>
      <c r="BC16" s="274">
        <f t="shared" si="24"/>
        <v>0</v>
      </c>
      <c r="BD16" s="274">
        <f t="shared" si="25"/>
        <v>0</v>
      </c>
      <c r="BE16" s="274">
        <f t="shared" si="26"/>
        <v>0</v>
      </c>
      <c r="BF16" s="274" t="str">
        <f t="shared" si="27"/>
        <v/>
      </c>
      <c r="BG16" s="274">
        <f t="shared" si="17"/>
        <v>0</v>
      </c>
    </row>
    <row r="17" spans="1:59" ht="14">
      <c r="A17" s="72" t="str">
        <f>'G-1 All Habitats'!B16</f>
        <v>Grassland - Lowland calcareous grassland</v>
      </c>
      <c r="B17" s="72" t="s">
        <v>106</v>
      </c>
      <c r="C17" s="72" t="str">
        <f>'G-1 All Habitats'!K16</f>
        <v>High</v>
      </c>
      <c r="D17" s="72" t="str">
        <f>'G-1 All Habitats'!M16</f>
        <v>Same habitat required =</v>
      </c>
      <c r="E17" s="1056">
        <f>SUMIF('A-1 On-Site Habitat Baseline'!$AV$11:$AV$258,'G-2 Habitat groups'!A17,'A-1 On-Site Habitat Baseline'!$H$11:$H$258)</f>
        <v>0</v>
      </c>
      <c r="F17" s="1056">
        <f>SUMIF('A-1 On-Site Habitat Baseline'!$AV$11:$AV$258,'G-2 Habitat groups'!A17,'A-1 On-Site Habitat Baseline'!$Q$11:$Q$258)</f>
        <v>0</v>
      </c>
      <c r="G17" s="1056">
        <f>SUMIF('A-1 On-Site Habitat Baseline'!$AV$11:$AV$258,'G-2 Habitat groups'!A17,'A-1 On-Site Habitat Baseline'!$S$11:$S$258)</f>
        <v>0</v>
      </c>
      <c r="H17" s="1056">
        <f>SUMIF('A-1 On-Site Habitat Baseline'!$AV$11:$AV$258,'G-2 Habitat groups'!A17,'A-1 On-Site Habitat Baseline'!$U$11:$U$258)+SUMIF('A-1 On-Site Habitat Baseline'!$AV$11:$AV$258,'G-2 Habitat groups'!A17,'A-1 On-Site Habitat Baseline'!$AT$11:$AT$258)</f>
        <v>0</v>
      </c>
      <c r="I17" s="1056">
        <f>SUMIF('A-1 On-Site Habitat Baseline'!$AV$11:$AV$258,'G-2 Habitat groups'!A17,'A-1 On-Site Habitat Baseline'!$W$11:$W$258)</f>
        <v>0</v>
      </c>
      <c r="J17" s="1056">
        <f>SUMIF('A-1 On-Site Habitat Baseline'!$AV$11:$AV$258,'G-2 Habitat groups'!A17,'A-1 On-Site Habitat Baseline'!$X$11:$X$258)</f>
        <v>0</v>
      </c>
      <c r="K17" s="1056">
        <f>SUMIF('A-2 On-Site Habitat Creation'!$F$11:$F$256,'G-2 Habitat groups'!A17,'A-2 On-Site Habitat Creation'!$G$11:$G$256)</f>
        <v>0</v>
      </c>
      <c r="L17" s="1056">
        <f>SUMIF('A-2 On-Site Habitat Creation'!$F$11:$F$256,'G-2 Habitat groups'!A17,'A-2 On-Site Habitat Creation'!$Y$11:$Y$256)</f>
        <v>0</v>
      </c>
      <c r="M17" s="1056">
        <f>SUMIF('A-3 On-Site Habitat Enhancement'!$S$12:$S$257,'G-2 Habitat groups'!A17,'A-3 On-Site Habitat Enhancement'!$V$12:$V$257)</f>
        <v>0</v>
      </c>
      <c r="N17" s="1056">
        <f>SUMIF('A-3 On-Site Habitat Enhancement'!$S$12:$S$257,'G-2 Habitat groups'!A17,'A-3 On-Site Habitat Enhancement'!$AN$12:$AN$257)</f>
        <v>0</v>
      </c>
      <c r="O17" s="1056">
        <f t="shared" si="1"/>
        <v>0</v>
      </c>
      <c r="P17" s="1056">
        <f t="shared" si="2"/>
        <v>0</v>
      </c>
      <c r="Q17" s="1056">
        <f t="shared" si="3"/>
        <v>0</v>
      </c>
      <c r="R17" s="1056">
        <f t="shared" si="4"/>
        <v>0</v>
      </c>
      <c r="S17" s="1056">
        <f>SUMIF('D-1 Off-Site Habitat Baseline'!$AV$11:$AV$258,'G-2 Habitat groups'!A17,'D-1 Off-Site Habitat Baseline'!$H$11:$H$258)</f>
        <v>0</v>
      </c>
      <c r="T17" s="1056">
        <f>SUMIF('D-1 Off-Site Habitat Baseline'!$AV$11:$AV$258,'G-2 Habitat groups'!A17,'D-1 Off-Site Habitat Baseline'!$T$11:$T$258)</f>
        <v>0</v>
      </c>
      <c r="U17" s="1056">
        <f>SUMIF('D-1 Off-Site Habitat Baseline'!$AV$11:$AV$258,'G-2 Habitat groups'!A17,'D-1 Off-Site Habitat Baseline'!$V$11:$V$258)</f>
        <v>0</v>
      </c>
      <c r="V17" s="1056">
        <f>SUMIF('D-1 Off-Site Habitat Baseline'!$AV$11:$AV$258,'G-2 Habitat groups'!A17,'D-1 Off-Site Habitat Baseline'!$X$11:$X$258)+SUMIF('D-1 Off-Site Habitat Baseline'!$AV$11:$AV$258,'G-2 Habitat groups'!A17,'D-1 Off-Site Habitat Baseline'!$AS$11:$AS$258)</f>
        <v>0</v>
      </c>
      <c r="W17" s="1056">
        <f>SUMIF('D-2 Off-Site Habitat Creation'!$F$9:$F$255,'G-2 Habitat groups'!A17,'D-2 Off-Site Habitat Creation'!$G$9:$G$255)</f>
        <v>0</v>
      </c>
      <c r="X17" s="1056">
        <f>SUMIF('D-2 Off-Site Habitat Creation'!$F$9:$F$255,'G-2 Habitat groups'!A17,'D-2 Off-Site Habitat Creation'!$AB$9:$AB$255)</f>
        <v>0</v>
      </c>
      <c r="Y17" s="1056">
        <f>SUMIF('D-3 Off-Site Habitat Enhancment'!$S$12:$S$491,'G-2 Habitat groups'!A17,'D-3 Off-Site Habitat Enhancment'!$V$12:$V$491)</f>
        <v>0</v>
      </c>
      <c r="Z17" s="1056">
        <f>SUMIF('D-3 Off-Site Habitat Enhancment'!$S$12:$S$491,'G-2 Habitat groups'!A17,'D-3 Off-Site Habitat Enhancment'!$AQ$12:$AQ$491)</f>
        <v>0</v>
      </c>
      <c r="AA17" s="1056">
        <f t="shared" si="5"/>
        <v>0</v>
      </c>
      <c r="AB17" s="1056">
        <f t="shared" si="14"/>
        <v>0</v>
      </c>
      <c r="AC17" s="1056">
        <f t="shared" si="6"/>
        <v>0</v>
      </c>
      <c r="AD17" s="1056">
        <f t="shared" si="15"/>
        <v>0</v>
      </c>
      <c r="AE17" s="1056">
        <f t="shared" si="7"/>
        <v>0</v>
      </c>
      <c r="AF17" s="1056">
        <f t="shared" si="16"/>
        <v>0</v>
      </c>
      <c r="AJ17" s="1061" t="s">
        <v>119</v>
      </c>
      <c r="AK17" s="1054">
        <f>SUMIF($B:$B,$AJ17,E:E)</f>
        <v>0.049</v>
      </c>
      <c r="AL17" s="1054">
        <f t="shared" si="9"/>
        <v>0.55704</v>
      </c>
      <c r="AM17" s="1054">
        <f t="shared" si="10"/>
        <v>0.06129999999999999</v>
      </c>
      <c r="AN17" s="1054">
        <f t="shared" si="11"/>
        <v>0.56585599766448</v>
      </c>
      <c r="AO17" s="1054">
        <f t="shared" si="12"/>
        <v>0.012299999999999991</v>
      </c>
      <c r="AP17" s="1054">
        <f t="shared" si="13"/>
        <v>0.008815997664480046</v>
      </c>
      <c r="AU17" s="78" t="s">
        <v>905</v>
      </c>
      <c r="AV17" s="62" t="s">
        <v>111</v>
      </c>
      <c r="AW17" s="274">
        <f t="shared" si="18"/>
        <v>0</v>
      </c>
      <c r="AX17" s="274">
        <f t="shared" si="19"/>
        <v>0</v>
      </c>
      <c r="AY17" s="274">
        <f t="shared" si="20"/>
        <v>0</v>
      </c>
      <c r="AZ17" s="274">
        <f t="shared" si="21"/>
        <v>0</v>
      </c>
      <c r="BA17" s="274">
        <f t="shared" si="22"/>
        <v>0</v>
      </c>
      <c r="BB17" s="274">
        <f t="shared" si="23"/>
        <v>0</v>
      </c>
      <c r="BC17" s="274">
        <f t="shared" si="24"/>
        <v>0</v>
      </c>
      <c r="BD17" s="274">
        <f t="shared" si="25"/>
        <v>0</v>
      </c>
      <c r="BE17" s="274">
        <f t="shared" si="26"/>
        <v>0</v>
      </c>
      <c r="BF17" s="274" t="str">
        <f t="shared" si="27"/>
        <v/>
      </c>
      <c r="BG17" s="274">
        <f t="shared" si="17"/>
        <v>0</v>
      </c>
    </row>
    <row r="18" spans="1:59" ht="14">
      <c r="A18" s="72" t="str">
        <f>'G-1 All Habitats'!B17</f>
        <v>Grassland - Lowland dry acid grassland</v>
      </c>
      <c r="B18" s="72" t="s">
        <v>106</v>
      </c>
      <c r="C18" s="72" t="str">
        <f>'G-1 All Habitats'!K17</f>
        <v>V.High</v>
      </c>
      <c r="D18" s="72" t="str">
        <f>'G-1 All Habitats'!M17</f>
        <v>Same habitat required – bespoke compensation option ⚠</v>
      </c>
      <c r="E18" s="1056">
        <f>SUMIF('A-1 On-Site Habitat Baseline'!$AV$11:$AV$258,'G-2 Habitat groups'!A18,'A-1 On-Site Habitat Baseline'!$H$11:$H$258)</f>
        <v>0</v>
      </c>
      <c r="F18" s="1056">
        <f>SUMIF('A-1 On-Site Habitat Baseline'!$AV$11:$AV$258,'G-2 Habitat groups'!A18,'A-1 On-Site Habitat Baseline'!$Q$11:$Q$258)</f>
        <v>0</v>
      </c>
      <c r="G18" s="1056">
        <f>SUMIF('A-1 On-Site Habitat Baseline'!$AV$11:$AV$258,'G-2 Habitat groups'!A18,'A-1 On-Site Habitat Baseline'!$S$11:$S$258)</f>
        <v>0</v>
      </c>
      <c r="H18" s="1056">
        <f>SUMIF('A-1 On-Site Habitat Baseline'!$AV$11:$AV$258,'G-2 Habitat groups'!A18,'A-1 On-Site Habitat Baseline'!$U$11:$U$258)+SUMIF('A-1 On-Site Habitat Baseline'!$AV$11:$AV$258,'G-2 Habitat groups'!A18,'A-1 On-Site Habitat Baseline'!$AT$11:$AT$258)</f>
        <v>0</v>
      </c>
      <c r="I18" s="1056">
        <f>SUMIF('A-1 On-Site Habitat Baseline'!$AV$11:$AV$258,'G-2 Habitat groups'!A18,'A-1 On-Site Habitat Baseline'!$W$11:$W$258)</f>
        <v>0</v>
      </c>
      <c r="J18" s="1056">
        <f>SUMIF('A-1 On-Site Habitat Baseline'!$AV$11:$AV$258,'G-2 Habitat groups'!A18,'A-1 On-Site Habitat Baseline'!$X$11:$X$258)</f>
        <v>0</v>
      </c>
      <c r="K18" s="1056">
        <f>SUMIF('A-2 On-Site Habitat Creation'!$F$11:$F$256,'G-2 Habitat groups'!A18,'A-2 On-Site Habitat Creation'!$G$11:$G$256)</f>
        <v>0</v>
      </c>
      <c r="L18" s="1056">
        <f>SUMIF('A-2 On-Site Habitat Creation'!$F$11:$F$256,'G-2 Habitat groups'!A18,'A-2 On-Site Habitat Creation'!$Y$11:$Y$256)</f>
        <v>0</v>
      </c>
      <c r="M18" s="1056">
        <f>SUMIF('A-3 On-Site Habitat Enhancement'!$S$12:$S$257,'G-2 Habitat groups'!A18,'A-3 On-Site Habitat Enhancement'!$V$12:$V$257)</f>
        <v>0</v>
      </c>
      <c r="N18" s="1056">
        <f>SUMIF('A-3 On-Site Habitat Enhancement'!$S$12:$S$257,'G-2 Habitat groups'!A18,'A-3 On-Site Habitat Enhancement'!$AN$12:$AN$257)</f>
        <v>0</v>
      </c>
      <c r="O18" s="1056">
        <f t="shared" si="1"/>
        <v>0</v>
      </c>
      <c r="P18" s="1056">
        <f t="shared" si="2"/>
        <v>0</v>
      </c>
      <c r="Q18" s="1056">
        <f t="shared" si="3"/>
        <v>0</v>
      </c>
      <c r="R18" s="1056">
        <f t="shared" si="4"/>
        <v>0</v>
      </c>
      <c r="S18" s="1056">
        <f>SUMIF('D-1 Off-Site Habitat Baseline'!$AV$11:$AV$258,'G-2 Habitat groups'!A18,'D-1 Off-Site Habitat Baseline'!$H$11:$H$258)</f>
        <v>0</v>
      </c>
      <c r="T18" s="1056">
        <f>SUMIF('D-1 Off-Site Habitat Baseline'!$AV$11:$AV$258,'G-2 Habitat groups'!A18,'D-1 Off-Site Habitat Baseline'!$T$11:$T$258)</f>
        <v>0</v>
      </c>
      <c r="U18" s="1056">
        <f>SUMIF('D-1 Off-Site Habitat Baseline'!$AV$11:$AV$258,'G-2 Habitat groups'!A18,'D-1 Off-Site Habitat Baseline'!$V$11:$V$258)</f>
        <v>0</v>
      </c>
      <c r="V18" s="1056">
        <f>SUMIF('D-1 Off-Site Habitat Baseline'!$AV$11:$AV$258,'G-2 Habitat groups'!A18,'D-1 Off-Site Habitat Baseline'!$X$11:$X$258)+SUMIF('D-1 Off-Site Habitat Baseline'!$AV$11:$AV$258,'G-2 Habitat groups'!A18,'D-1 Off-Site Habitat Baseline'!$AS$11:$AS$258)</f>
        <v>0</v>
      </c>
      <c r="W18" s="1056">
        <f>SUMIF('D-2 Off-Site Habitat Creation'!$F$9:$F$255,'G-2 Habitat groups'!A18,'D-2 Off-Site Habitat Creation'!$G$9:$G$255)</f>
        <v>0</v>
      </c>
      <c r="X18" s="1056">
        <f>SUMIF('D-2 Off-Site Habitat Creation'!$F$9:$F$255,'G-2 Habitat groups'!A18,'D-2 Off-Site Habitat Creation'!$AB$9:$AB$255)</f>
        <v>0</v>
      </c>
      <c r="Y18" s="1056">
        <f>SUMIF('D-3 Off-Site Habitat Enhancment'!$S$12:$S$491,'G-2 Habitat groups'!A18,'D-3 Off-Site Habitat Enhancment'!$V$12:$V$491)</f>
        <v>0</v>
      </c>
      <c r="Z18" s="1056">
        <f>SUMIF('D-3 Off-Site Habitat Enhancment'!$S$12:$S$491,'G-2 Habitat groups'!A18,'D-3 Off-Site Habitat Enhancment'!$AQ$12:$AQ$491)</f>
        <v>0</v>
      </c>
      <c r="AA18" s="1056">
        <f t="shared" si="5"/>
        <v>0</v>
      </c>
      <c r="AB18" s="1056">
        <f t="shared" si="14"/>
        <v>0</v>
      </c>
      <c r="AC18" s="1056">
        <f t="shared" si="6"/>
        <v>0</v>
      </c>
      <c r="AD18" s="1056">
        <f t="shared" si="15"/>
        <v>0</v>
      </c>
      <c r="AE18" s="1056">
        <f t="shared" si="7"/>
        <v>0</v>
      </c>
      <c r="AF18" s="1056">
        <f t="shared" si="16"/>
        <v>0</v>
      </c>
      <c r="AJ18" s="1061" t="s">
        <v>118</v>
      </c>
      <c r="AK18" s="1054">
        <f>SUMIF($B:$B,$AJ18,E:E)</f>
        <v>0</v>
      </c>
      <c r="AL18" s="1054">
        <f t="shared" si="9"/>
        <v>0</v>
      </c>
      <c r="AM18" s="1054">
        <f t="shared" si="10"/>
        <v>0</v>
      </c>
      <c r="AN18" s="1054">
        <f t="shared" si="11"/>
        <v>0</v>
      </c>
      <c r="AO18" s="1054">
        <f t="shared" si="12"/>
        <v>0</v>
      </c>
      <c r="AP18" s="1054">
        <f t="shared" si="13"/>
        <v>0</v>
      </c>
      <c r="AU18" s="78" t="s">
        <v>910</v>
      </c>
      <c r="AV18" s="62" t="s">
        <v>111</v>
      </c>
      <c r="AW18" s="274">
        <f t="shared" si="18"/>
        <v>0</v>
      </c>
      <c r="AX18" s="274">
        <f t="shared" si="19"/>
        <v>0</v>
      </c>
      <c r="AY18" s="274">
        <f t="shared" si="20"/>
        <v>0</v>
      </c>
      <c r="AZ18" s="274">
        <f t="shared" si="21"/>
        <v>0</v>
      </c>
      <c r="BA18" s="274">
        <f t="shared" si="22"/>
        <v>0</v>
      </c>
      <c r="BB18" s="274">
        <f t="shared" si="23"/>
        <v>0</v>
      </c>
      <c r="BC18" s="274">
        <f t="shared" si="24"/>
        <v>0</v>
      </c>
      <c r="BD18" s="274">
        <f t="shared" si="25"/>
        <v>0</v>
      </c>
      <c r="BE18" s="274">
        <f t="shared" si="26"/>
        <v>0</v>
      </c>
      <c r="BF18" s="274" t="str">
        <f t="shared" si="27"/>
        <v/>
      </c>
      <c r="BG18" s="274">
        <f t="shared" si="17"/>
        <v>0</v>
      </c>
    </row>
    <row r="19" spans="1:59" ht="14">
      <c r="A19" s="72" t="str">
        <f>'G-1 All Habitats'!B18</f>
        <v>Grassland - Lowland meadows</v>
      </c>
      <c r="B19" s="72" t="s">
        <v>106</v>
      </c>
      <c r="C19" s="72" t="str">
        <f>'G-1 All Habitats'!K18</f>
        <v>V.High</v>
      </c>
      <c r="D19" s="72" t="str">
        <f>'G-1 All Habitats'!M18</f>
        <v>Same habitat required – bespoke compensation option ⚠</v>
      </c>
      <c r="E19" s="1056">
        <f>SUMIF('A-1 On-Site Habitat Baseline'!$AV$11:$AV$258,'G-2 Habitat groups'!A19,'A-1 On-Site Habitat Baseline'!$H$11:$H$258)</f>
        <v>0</v>
      </c>
      <c r="F19" s="1056">
        <f>SUMIF('A-1 On-Site Habitat Baseline'!$AV$11:$AV$258,'G-2 Habitat groups'!A19,'A-1 On-Site Habitat Baseline'!$Q$11:$Q$258)</f>
        <v>0</v>
      </c>
      <c r="G19" s="1056">
        <f>SUMIF('A-1 On-Site Habitat Baseline'!$AV$11:$AV$258,'G-2 Habitat groups'!A19,'A-1 On-Site Habitat Baseline'!$S$11:$S$258)</f>
        <v>0</v>
      </c>
      <c r="H19" s="1056">
        <f>SUMIF('A-1 On-Site Habitat Baseline'!$AV$11:$AV$258,'G-2 Habitat groups'!A19,'A-1 On-Site Habitat Baseline'!$U$11:$U$258)+SUMIF('A-1 On-Site Habitat Baseline'!$AV$11:$AV$258,'G-2 Habitat groups'!A19,'A-1 On-Site Habitat Baseline'!$AT$11:$AT$258)</f>
        <v>0</v>
      </c>
      <c r="I19" s="1056">
        <f>SUMIF('A-1 On-Site Habitat Baseline'!$AV$11:$AV$258,'G-2 Habitat groups'!A19,'A-1 On-Site Habitat Baseline'!$W$11:$W$258)</f>
        <v>0</v>
      </c>
      <c r="J19" s="1056">
        <f>SUMIF('A-1 On-Site Habitat Baseline'!$AV$11:$AV$258,'G-2 Habitat groups'!A19,'A-1 On-Site Habitat Baseline'!$X$11:$X$258)</f>
        <v>0</v>
      </c>
      <c r="K19" s="1056">
        <f>SUMIF('A-2 On-Site Habitat Creation'!$F$11:$F$256,'G-2 Habitat groups'!A19,'A-2 On-Site Habitat Creation'!$G$11:$G$256)</f>
        <v>0</v>
      </c>
      <c r="L19" s="1056">
        <f>SUMIF('A-2 On-Site Habitat Creation'!$F$11:$F$256,'G-2 Habitat groups'!A19,'A-2 On-Site Habitat Creation'!$Y$11:$Y$256)</f>
        <v>0</v>
      </c>
      <c r="M19" s="1056">
        <f>SUMIF('A-3 On-Site Habitat Enhancement'!$S$12:$S$257,'G-2 Habitat groups'!A19,'A-3 On-Site Habitat Enhancement'!$V$12:$V$257)</f>
        <v>0</v>
      </c>
      <c r="N19" s="1056">
        <f>SUMIF('A-3 On-Site Habitat Enhancement'!$S$12:$S$257,'G-2 Habitat groups'!A19,'A-3 On-Site Habitat Enhancement'!$AN$12:$AN$257)</f>
        <v>0</v>
      </c>
      <c r="O19" s="1056">
        <f t="shared" si="1"/>
        <v>0</v>
      </c>
      <c r="P19" s="1056">
        <f t="shared" si="2"/>
        <v>0</v>
      </c>
      <c r="Q19" s="1056">
        <f t="shared" si="3"/>
        <v>0</v>
      </c>
      <c r="R19" s="1056">
        <f t="shared" si="4"/>
        <v>0</v>
      </c>
      <c r="S19" s="1056">
        <f>SUMIF('D-1 Off-Site Habitat Baseline'!$AV$11:$AV$258,'G-2 Habitat groups'!A19,'D-1 Off-Site Habitat Baseline'!$H$11:$H$258)</f>
        <v>0</v>
      </c>
      <c r="T19" s="1056">
        <f>SUMIF('D-1 Off-Site Habitat Baseline'!$AV$11:$AV$258,'G-2 Habitat groups'!A19,'D-1 Off-Site Habitat Baseline'!$T$11:$T$258)</f>
        <v>0</v>
      </c>
      <c r="U19" s="1056">
        <f>SUMIF('D-1 Off-Site Habitat Baseline'!$AV$11:$AV$258,'G-2 Habitat groups'!A19,'D-1 Off-Site Habitat Baseline'!$V$11:$V$258)</f>
        <v>0</v>
      </c>
      <c r="V19" s="1056">
        <f>SUMIF('D-1 Off-Site Habitat Baseline'!$AV$11:$AV$258,'G-2 Habitat groups'!A19,'D-1 Off-Site Habitat Baseline'!$X$11:$X$258)+SUMIF('D-1 Off-Site Habitat Baseline'!$AV$11:$AV$258,'G-2 Habitat groups'!A19,'D-1 Off-Site Habitat Baseline'!$AS$11:$AS$258)</f>
        <v>0</v>
      </c>
      <c r="W19" s="1056">
        <f>SUMIF('D-2 Off-Site Habitat Creation'!$F$9:$F$255,'G-2 Habitat groups'!A19,'D-2 Off-Site Habitat Creation'!$G$9:$G$255)</f>
        <v>0</v>
      </c>
      <c r="X19" s="1056">
        <f>SUMIF('D-2 Off-Site Habitat Creation'!$F$9:$F$255,'G-2 Habitat groups'!A19,'D-2 Off-Site Habitat Creation'!$AB$9:$AB$255)</f>
        <v>0</v>
      </c>
      <c r="Y19" s="1056">
        <f>SUMIF('D-3 Off-Site Habitat Enhancment'!$S$12:$S$491,'G-2 Habitat groups'!A19,'D-3 Off-Site Habitat Enhancment'!$V$12:$V$491)</f>
        <v>0</v>
      </c>
      <c r="Z19" s="1056">
        <f>SUMIF('D-3 Off-Site Habitat Enhancment'!$S$12:$S$491,'G-2 Habitat groups'!A19,'D-3 Off-Site Habitat Enhancment'!$AQ$12:$AQ$491)</f>
        <v>0</v>
      </c>
      <c r="AA19" s="1056">
        <f t="shared" si="5"/>
        <v>0</v>
      </c>
      <c r="AB19" s="1056">
        <f t="shared" si="14"/>
        <v>0</v>
      </c>
      <c r="AC19" s="1056">
        <f t="shared" si="6"/>
        <v>0</v>
      </c>
      <c r="AD19" s="1056">
        <f t="shared" si="15"/>
        <v>0</v>
      </c>
      <c r="AE19" s="1056">
        <f t="shared" si="7"/>
        <v>0</v>
      </c>
      <c r="AF19" s="1056">
        <f t="shared" si="16"/>
        <v>0</v>
      </c>
      <c r="AU19" s="78" t="s">
        <v>947</v>
      </c>
      <c r="AV19" s="78" t="s">
        <v>112</v>
      </c>
      <c r="AW19" s="343">
        <f t="shared" si="18"/>
        <v>0</v>
      </c>
      <c r="AX19" s="343">
        <f t="shared" si="19"/>
        <v>0</v>
      </c>
      <c r="AY19" s="343">
        <f t="shared" si="20"/>
        <v>0</v>
      </c>
      <c r="AZ19" s="343">
        <f t="shared" si="21"/>
        <v>0</v>
      </c>
      <c r="BA19" s="343">
        <f t="shared" si="22"/>
        <v>0</v>
      </c>
      <c r="BB19" s="343">
        <f t="shared" si="23"/>
        <v>0</v>
      </c>
      <c r="BC19" s="343">
        <f t="shared" si="24"/>
        <v>0</v>
      </c>
      <c r="BD19" s="343">
        <f t="shared" si="25"/>
        <v>0</v>
      </c>
      <c r="BE19" s="343">
        <f t="shared" si="26"/>
        <v>0</v>
      </c>
      <c r="BF19" s="343" t="str">
        <f t="shared" si="27"/>
        <v/>
      </c>
      <c r="BG19" s="274">
        <f t="shared" si="17"/>
        <v>0</v>
      </c>
    </row>
    <row r="20" spans="1:59" ht="30">
      <c r="A20" s="72" t="str">
        <f>'G-1 All Habitats'!B19</f>
        <v>Grassland - Modified grassland</v>
      </c>
      <c r="B20" s="72" t="s">
        <v>106</v>
      </c>
      <c r="C20" s="72" t="str">
        <f>'G-1 All Habitats'!K19</f>
        <v>Low</v>
      </c>
      <c r="D20" s="72" t="str">
        <f>'G-1 All Habitats'!M19</f>
        <v>Same distinctiveness or better habitat required ≥</v>
      </c>
      <c r="E20" s="1056">
        <f>SUMIF('A-1 On-Site Habitat Baseline'!$AV$11:$AV$258,'G-2 Habitat groups'!A20,'A-1 On-Site Habitat Baseline'!$H$11:$H$258)</f>
        <v>8.800000000000002</v>
      </c>
      <c r="F20" s="1056">
        <f>SUMIF('A-1 On-Site Habitat Baseline'!$AV$11:$AV$258,'G-2 Habitat groups'!A20,'A-1 On-Site Habitat Baseline'!$Q$11:$Q$258)</f>
        <v>19.42</v>
      </c>
      <c r="G20" s="1056">
        <f>SUMIF('A-1 On-Site Habitat Baseline'!$AV$11:$AV$258,'G-2 Habitat groups'!A20,'A-1 On-Site Habitat Baseline'!$S$11:$S$258)</f>
        <v>0.5700000000000001</v>
      </c>
      <c r="H20" s="1056">
        <f>SUMIF('A-1 On-Site Habitat Baseline'!$AV$11:$AV$258,'G-2 Habitat groups'!A20,'A-1 On-Site Habitat Baseline'!$U$11:$U$258)+SUMIF('A-1 On-Site Habitat Baseline'!$AV$11:$AV$258,'G-2 Habitat groups'!A20,'A-1 On-Site Habitat Baseline'!$AT$11:$AT$258)</f>
        <v>2.96</v>
      </c>
      <c r="I20" s="1056">
        <f>SUMIF('A-1 On-Site Habitat Baseline'!$AV$11:$AV$258,'G-2 Habitat groups'!A20,'A-1 On-Site Habitat Baseline'!$W$11:$W$258)</f>
        <v>8.23</v>
      </c>
      <c r="J20" s="1056">
        <f>SUMIF('A-1 On-Site Habitat Baseline'!$AV$11:$AV$258,'G-2 Habitat groups'!A20,'A-1 On-Site Habitat Baseline'!$X$11:$X$258)</f>
        <v>16.46</v>
      </c>
      <c r="K20" s="1056">
        <f>SUMIF('A-2 On-Site Habitat Creation'!$F$11:$F$256,'G-2 Habitat groups'!A20,'A-2 On-Site Habitat Creation'!$G$11:$G$256)</f>
        <v>0.118</v>
      </c>
      <c r="L20" s="1056">
        <f>SUMIF('A-2 On-Site Habitat Creation'!$F$11:$F$256,'G-2 Habitat groups'!A20,'A-2 On-Site Habitat Creation'!$Y$11:$Y$256)</f>
        <v>0.22773999999999997</v>
      </c>
      <c r="M20" s="1056">
        <f>SUMIF('A-3 On-Site Habitat Enhancement'!$S$12:$S$257,'G-2 Habitat groups'!A20,'A-3 On-Site Habitat Enhancement'!$V$12:$V$257)</f>
        <v>0</v>
      </c>
      <c r="N20" s="1056">
        <f>SUMIF('A-3 On-Site Habitat Enhancement'!$S$12:$S$257,'G-2 Habitat groups'!A20,'A-3 On-Site Habitat Enhancement'!$AN$12:$AN$257)</f>
        <v>0</v>
      </c>
      <c r="O20" s="1056">
        <f t="shared" si="1"/>
        <v>0.6880000000000001</v>
      </c>
      <c r="P20" s="1056">
        <f t="shared" si="2"/>
        <v>3.18774</v>
      </c>
      <c r="Q20" s="1056">
        <f t="shared" si="3"/>
        <v>-8.112000000000002</v>
      </c>
      <c r="R20" s="1056">
        <f t="shared" si="4"/>
        <v>-16.232260000000004</v>
      </c>
      <c r="S20" s="1056">
        <f>SUMIF('D-1 Off-Site Habitat Baseline'!$AV$11:$AV$258,'G-2 Habitat groups'!A20,'D-1 Off-Site Habitat Baseline'!$H$11:$H$258)</f>
        <v>0</v>
      </c>
      <c r="T20" s="1056">
        <f>SUMIF('D-1 Off-Site Habitat Baseline'!$AV$11:$AV$258,'G-2 Habitat groups'!A20,'D-1 Off-Site Habitat Baseline'!$T$11:$T$258)</f>
        <v>0</v>
      </c>
      <c r="U20" s="1056">
        <f>SUMIF('D-1 Off-Site Habitat Baseline'!$AV$11:$AV$258,'G-2 Habitat groups'!A20,'D-1 Off-Site Habitat Baseline'!$V$11:$V$258)</f>
        <v>0</v>
      </c>
      <c r="V20" s="1056">
        <f>SUMIF('D-1 Off-Site Habitat Baseline'!$AV$11:$AV$258,'G-2 Habitat groups'!A20,'D-1 Off-Site Habitat Baseline'!$X$11:$X$258)+SUMIF('D-1 Off-Site Habitat Baseline'!$AV$11:$AV$258,'G-2 Habitat groups'!A20,'D-1 Off-Site Habitat Baseline'!$AS$11:$AS$258)</f>
        <v>0</v>
      </c>
      <c r="W20" s="1056">
        <f>SUMIF('D-2 Off-Site Habitat Creation'!$F$9:$F$255,'G-2 Habitat groups'!A20,'D-2 Off-Site Habitat Creation'!$G$9:$G$255)</f>
        <v>0</v>
      </c>
      <c r="X20" s="1056">
        <f>SUMIF('D-2 Off-Site Habitat Creation'!$F$9:$F$255,'G-2 Habitat groups'!A20,'D-2 Off-Site Habitat Creation'!$AB$9:$AB$255)</f>
        <v>0</v>
      </c>
      <c r="Y20" s="1056">
        <f>SUMIF('D-3 Off-Site Habitat Enhancment'!$S$12:$S$491,'G-2 Habitat groups'!A20,'D-3 Off-Site Habitat Enhancment'!$V$12:$V$491)</f>
        <v>0</v>
      </c>
      <c r="Z20" s="1056">
        <f>SUMIF('D-3 Off-Site Habitat Enhancment'!$S$12:$S$491,'G-2 Habitat groups'!A20,'D-3 Off-Site Habitat Enhancment'!$AQ$12:$AQ$491)</f>
        <v>0</v>
      </c>
      <c r="AA20" s="1056">
        <f t="shared" si="5"/>
        <v>0</v>
      </c>
      <c r="AB20" s="1056">
        <f t="shared" si="14"/>
        <v>0</v>
      </c>
      <c r="AC20" s="1056">
        <f t="shared" si="6"/>
        <v>0</v>
      </c>
      <c r="AD20" s="1056">
        <f t="shared" si="15"/>
        <v>0</v>
      </c>
      <c r="AE20" s="1056">
        <f t="shared" si="7"/>
        <v>-8.112000000000002</v>
      </c>
      <c r="AF20" s="1056">
        <f t="shared" si="16"/>
        <v>-16.232260000000004</v>
      </c>
      <c r="AJ20" s="504" t="s">
        <v>1099</v>
      </c>
      <c r="AK20" s="504" t="s">
        <v>1084</v>
      </c>
      <c r="AL20" s="504" t="s">
        <v>1085</v>
      </c>
      <c r="AM20" s="504" t="s">
        <v>1100</v>
      </c>
      <c r="AN20" s="504" t="s">
        <v>1101</v>
      </c>
      <c r="AO20" s="504" t="s">
        <v>127</v>
      </c>
      <c r="AP20" s="504" t="s">
        <v>1102</v>
      </c>
      <c r="AU20" s="78" t="s">
        <v>955</v>
      </c>
      <c r="AV20" s="62" t="s">
        <v>548</v>
      </c>
      <c r="AW20" s="274">
        <f t="shared" si="18"/>
        <v>0</v>
      </c>
      <c r="AX20" s="274">
        <f t="shared" si="19"/>
        <v>0</v>
      </c>
      <c r="AY20" s="274">
        <f t="shared" si="20"/>
        <v>0</v>
      </c>
      <c r="AZ20" s="274">
        <f t="shared" si="21"/>
        <v>0</v>
      </c>
      <c r="BA20" s="274">
        <f t="shared" si="22"/>
        <v>0</v>
      </c>
      <c r="BB20" s="274">
        <f t="shared" si="23"/>
        <v>0</v>
      </c>
      <c r="BC20" s="274">
        <f t="shared" si="24"/>
        <v>0</v>
      </c>
      <c r="BD20" s="274">
        <f t="shared" si="25"/>
        <v>0</v>
      </c>
      <c r="BE20" s="274">
        <f t="shared" si="26"/>
        <v>0</v>
      </c>
      <c r="BF20" s="274" t="str">
        <f t="shared" si="27"/>
        <v/>
      </c>
      <c r="BG20" s="274">
        <f t="shared" si="17"/>
        <v>0</v>
      </c>
    </row>
    <row r="21" spans="1:59" ht="14">
      <c r="A21" s="72" t="str">
        <f>'G-1 All Habitats'!B20</f>
        <v>Grassland - Other lowland acid grassland</v>
      </c>
      <c r="B21" s="72" t="s">
        <v>106</v>
      </c>
      <c r="C21" s="72" t="str">
        <f>'G-1 All Habitats'!K20</f>
        <v>Medium</v>
      </c>
      <c r="D21" s="72" t="str">
        <f>'G-1 All Habitats'!M20</f>
        <v>Same broad habitat or a higher distinctiveness habitat required (≥)</v>
      </c>
      <c r="E21" s="1056">
        <f>SUMIF('A-1 On-Site Habitat Baseline'!$AV$11:$AV$258,'G-2 Habitat groups'!A21,'A-1 On-Site Habitat Baseline'!$H$11:$H$258)</f>
        <v>0</v>
      </c>
      <c r="F21" s="1056">
        <f>SUMIF('A-1 On-Site Habitat Baseline'!$AV$11:$AV$258,'G-2 Habitat groups'!A21,'A-1 On-Site Habitat Baseline'!$Q$11:$Q$258)</f>
        <v>0</v>
      </c>
      <c r="G21" s="1056">
        <f>SUMIF('A-1 On-Site Habitat Baseline'!$AV$11:$AV$258,'G-2 Habitat groups'!A21,'A-1 On-Site Habitat Baseline'!$S$11:$S$258)</f>
        <v>0</v>
      </c>
      <c r="H21" s="1056">
        <f>SUMIF('A-1 On-Site Habitat Baseline'!$AV$11:$AV$258,'G-2 Habitat groups'!A21,'A-1 On-Site Habitat Baseline'!$U$11:$U$258)+SUMIF('A-1 On-Site Habitat Baseline'!$AV$11:$AV$258,'G-2 Habitat groups'!A21,'A-1 On-Site Habitat Baseline'!$AT$11:$AT$258)</f>
        <v>0</v>
      </c>
      <c r="I21" s="1056">
        <f>SUMIF('A-1 On-Site Habitat Baseline'!$AV$11:$AV$258,'G-2 Habitat groups'!A21,'A-1 On-Site Habitat Baseline'!$W$11:$W$258)</f>
        <v>0</v>
      </c>
      <c r="J21" s="1056">
        <f>SUMIF('A-1 On-Site Habitat Baseline'!$AV$11:$AV$258,'G-2 Habitat groups'!A21,'A-1 On-Site Habitat Baseline'!$X$11:$X$258)</f>
        <v>0</v>
      </c>
      <c r="K21" s="1056">
        <f>SUMIF('A-2 On-Site Habitat Creation'!$F$11:$F$256,'G-2 Habitat groups'!A21,'A-2 On-Site Habitat Creation'!$G$11:$G$256)</f>
        <v>0</v>
      </c>
      <c r="L21" s="1056">
        <f>SUMIF('A-2 On-Site Habitat Creation'!$F$11:$F$256,'G-2 Habitat groups'!A21,'A-2 On-Site Habitat Creation'!$Y$11:$Y$256)</f>
        <v>0</v>
      </c>
      <c r="M21" s="1056">
        <f>SUMIF('A-3 On-Site Habitat Enhancement'!$S$12:$S$257,'G-2 Habitat groups'!A21,'A-3 On-Site Habitat Enhancement'!$V$12:$V$257)</f>
        <v>0</v>
      </c>
      <c r="N21" s="1056">
        <f>SUMIF('A-3 On-Site Habitat Enhancement'!$S$12:$S$257,'G-2 Habitat groups'!A21,'A-3 On-Site Habitat Enhancement'!$AN$12:$AN$257)</f>
        <v>0</v>
      </c>
      <c r="O21" s="1056">
        <f t="shared" si="1"/>
        <v>0</v>
      </c>
      <c r="P21" s="1056">
        <f t="shared" si="2"/>
        <v>0</v>
      </c>
      <c r="Q21" s="1056">
        <f t="shared" si="3"/>
        <v>0</v>
      </c>
      <c r="R21" s="1056">
        <f t="shared" si="4"/>
        <v>0</v>
      </c>
      <c r="S21" s="1056">
        <f>SUMIF('D-1 Off-Site Habitat Baseline'!$AV$11:$AV$258,'G-2 Habitat groups'!A21,'D-1 Off-Site Habitat Baseline'!$H$11:$H$258)</f>
        <v>0</v>
      </c>
      <c r="T21" s="1056">
        <f>SUMIF('D-1 Off-Site Habitat Baseline'!$AV$11:$AV$258,'G-2 Habitat groups'!A21,'D-1 Off-Site Habitat Baseline'!$T$11:$T$258)</f>
        <v>0</v>
      </c>
      <c r="U21" s="1056">
        <f>SUMIF('D-1 Off-Site Habitat Baseline'!$AV$11:$AV$258,'G-2 Habitat groups'!A21,'D-1 Off-Site Habitat Baseline'!$V$11:$V$258)</f>
        <v>0</v>
      </c>
      <c r="V21" s="1056">
        <f>SUMIF('D-1 Off-Site Habitat Baseline'!$AV$11:$AV$258,'G-2 Habitat groups'!A21,'D-1 Off-Site Habitat Baseline'!$X$11:$X$258)+SUMIF('D-1 Off-Site Habitat Baseline'!$AV$11:$AV$258,'G-2 Habitat groups'!A21,'D-1 Off-Site Habitat Baseline'!$AS$11:$AS$258)</f>
        <v>0</v>
      </c>
      <c r="W21" s="1056">
        <f>SUMIF('D-2 Off-Site Habitat Creation'!$F$9:$F$255,'G-2 Habitat groups'!A21,'D-2 Off-Site Habitat Creation'!$G$9:$G$255)</f>
        <v>0</v>
      </c>
      <c r="X21" s="1056">
        <f>SUMIF('D-2 Off-Site Habitat Creation'!$F$9:$F$255,'G-2 Habitat groups'!A21,'D-2 Off-Site Habitat Creation'!$AB$9:$AB$255)</f>
        <v>0</v>
      </c>
      <c r="Y21" s="1056">
        <f>SUMIF('D-3 Off-Site Habitat Enhancment'!$S$12:$S$491,'G-2 Habitat groups'!A21,'D-3 Off-Site Habitat Enhancment'!$V$12:$V$491)</f>
        <v>0</v>
      </c>
      <c r="Z21" s="1056">
        <f>SUMIF('D-3 Off-Site Habitat Enhancment'!$S$12:$S$491,'G-2 Habitat groups'!A21,'D-3 Off-Site Habitat Enhancment'!$AQ$12:$AQ$491)</f>
        <v>0</v>
      </c>
      <c r="AA21" s="1056">
        <f t="shared" si="5"/>
        <v>0</v>
      </c>
      <c r="AB21" s="1056">
        <f t="shared" si="14"/>
        <v>0</v>
      </c>
      <c r="AC21" s="1056">
        <f t="shared" si="6"/>
        <v>0</v>
      </c>
      <c r="AD21" s="1056">
        <f t="shared" si="15"/>
        <v>0</v>
      </c>
      <c r="AE21" s="1056">
        <f t="shared" si="7"/>
        <v>0</v>
      </c>
      <c r="AF21" s="1056">
        <f t="shared" si="16"/>
        <v>0</v>
      </c>
      <c r="AJ21" s="1062" t="s">
        <v>105</v>
      </c>
      <c r="AK21" s="1055">
        <f t="shared" si="28" ref="AK21:AK35">SUMIF($B:$B,$AJ21,S:S)</f>
        <v>0</v>
      </c>
      <c r="AL21" s="1055">
        <f t="shared" si="29" ref="AL21:AL35">SUMIF($B:$B,$AJ21,T:T)</f>
        <v>0</v>
      </c>
      <c r="AM21" s="1055">
        <f t="shared" si="30" ref="AM21:AM35">SUMIF($B:$B,$AJ21,AA:AA)</f>
        <v>0</v>
      </c>
      <c r="AN21" s="1055">
        <f t="shared" si="31" ref="AN21:AN35">SUMIF($B:$B,$AJ21,AB:AB)</f>
        <v>0</v>
      </c>
      <c r="AO21" s="1055">
        <f t="shared" si="32" ref="AO21:AO35">SUMIF($B:$B,$AJ21,AC:AC)</f>
        <v>0</v>
      </c>
      <c r="AP21" s="1055">
        <f t="shared" si="33" ref="AP21:AP35">SUMIF($B:$B,$AJ21,AD:AD)</f>
        <v>0</v>
      </c>
      <c r="AU21" s="78" t="s">
        <v>961</v>
      </c>
      <c r="AV21" s="62" t="s">
        <v>548</v>
      </c>
      <c r="AW21" s="274">
        <f t="shared" si="18"/>
        <v>0</v>
      </c>
      <c r="AX21" s="274">
        <f t="shared" si="19"/>
        <v>0</v>
      </c>
      <c r="AY21" s="274">
        <f t="shared" si="20"/>
        <v>0</v>
      </c>
      <c r="AZ21" s="274">
        <f t="shared" si="21"/>
        <v>0</v>
      </c>
      <c r="BA21" s="274">
        <f t="shared" si="22"/>
        <v>0</v>
      </c>
      <c r="BB21" s="274">
        <f t="shared" si="23"/>
        <v>0</v>
      </c>
      <c r="BC21" s="274">
        <f t="shared" si="24"/>
        <v>0</v>
      </c>
      <c r="BD21" s="274">
        <f t="shared" si="25"/>
        <v>0</v>
      </c>
      <c r="BE21" s="274">
        <f t="shared" si="26"/>
        <v>0</v>
      </c>
      <c r="BF21" s="274" t="str">
        <f t="shared" si="27"/>
        <v/>
      </c>
      <c r="BG21" s="274">
        <f t="shared" si="17"/>
        <v>0</v>
      </c>
    </row>
    <row r="22" spans="1:59" ht="14">
      <c r="A22" s="72" t="str">
        <f>'G-1 All Habitats'!B21</f>
        <v>Grassland - Other neutral grassland</v>
      </c>
      <c r="B22" s="72" t="s">
        <v>106</v>
      </c>
      <c r="C22" s="72" t="str">
        <f>'G-1 All Habitats'!K21</f>
        <v>Medium</v>
      </c>
      <c r="D22" s="72" t="str">
        <f>'G-1 All Habitats'!M21</f>
        <v>Same broad habitat or a higher distinctiveness habitat required (≥)</v>
      </c>
      <c r="E22" s="1056">
        <f>SUMIF('A-1 On-Site Habitat Baseline'!$AV$11:$AV$258,'G-2 Habitat groups'!A22,'A-1 On-Site Habitat Baseline'!$H$11:$H$258)</f>
        <v>0.006</v>
      </c>
      <c r="F22" s="1056">
        <f>SUMIF('A-1 On-Site Habitat Baseline'!$AV$11:$AV$258,'G-2 Habitat groups'!A22,'A-1 On-Site Habitat Baseline'!$Q$11:$Q$258)</f>
        <v>0.05280000000000001</v>
      </c>
      <c r="G22" s="1056">
        <f>SUMIF('A-1 On-Site Habitat Baseline'!$AV$11:$AV$258,'G-2 Habitat groups'!A22,'A-1 On-Site Habitat Baseline'!$S$11:$S$258)</f>
        <v>0.006</v>
      </c>
      <c r="H22" s="1056">
        <f>SUMIF('A-1 On-Site Habitat Baseline'!$AV$11:$AV$258,'G-2 Habitat groups'!A22,'A-1 On-Site Habitat Baseline'!$U$11:$U$258)+SUMIF('A-1 On-Site Habitat Baseline'!$AV$11:$AV$258,'G-2 Habitat groups'!A22,'A-1 On-Site Habitat Baseline'!$AT$11:$AT$258)</f>
        <v>0.05280000000000001</v>
      </c>
      <c r="I22" s="1056">
        <f>SUMIF('A-1 On-Site Habitat Baseline'!$AV$11:$AV$258,'G-2 Habitat groups'!A22,'A-1 On-Site Habitat Baseline'!$W$11:$W$258)</f>
        <v>0</v>
      </c>
      <c r="J22" s="1056">
        <f>SUMIF('A-1 On-Site Habitat Baseline'!$AV$11:$AV$258,'G-2 Habitat groups'!A22,'A-1 On-Site Habitat Baseline'!$X$11:$X$258)</f>
        <v>0</v>
      </c>
      <c r="K22" s="1056">
        <f>SUMIF('A-2 On-Site Habitat Creation'!$F$11:$F$256,'G-2 Habitat groups'!A22,'A-2 On-Site Habitat Creation'!$G$11:$G$256)</f>
        <v>2.35</v>
      </c>
      <c r="L22" s="1056">
        <f>SUMIF('A-2 On-Site Habitat Creation'!$F$11:$F$256,'G-2 Habitat groups'!A22,'A-2 On-Site Habitat Creation'!$Y$11:$Y$256)</f>
        <v>17.305617528408003</v>
      </c>
      <c r="M22" s="1056">
        <f>SUMIF('A-3 On-Site Habitat Enhancement'!$S$12:$S$257,'G-2 Habitat groups'!A22,'A-3 On-Site Habitat Enhancement'!$V$12:$V$257)</f>
        <v>0</v>
      </c>
      <c r="N22" s="1056">
        <f>SUMIF('A-3 On-Site Habitat Enhancement'!$S$12:$S$257,'G-2 Habitat groups'!A22,'A-3 On-Site Habitat Enhancement'!$AN$12:$AN$257)</f>
        <v>0</v>
      </c>
      <c r="O22" s="1056">
        <f t="shared" si="1"/>
        <v>2.356</v>
      </c>
      <c r="P22" s="1056">
        <f t="shared" si="2"/>
        <v>17.358417528408005</v>
      </c>
      <c r="Q22" s="1056">
        <f t="shared" si="3"/>
        <v>2.35</v>
      </c>
      <c r="R22" s="1056">
        <f t="shared" si="4"/>
        <v>17.305617528408003</v>
      </c>
      <c r="S22" s="1056">
        <f>SUMIF('D-1 Off-Site Habitat Baseline'!$AV$11:$AV$258,'G-2 Habitat groups'!A22,'D-1 Off-Site Habitat Baseline'!$H$11:$H$258)</f>
        <v>0</v>
      </c>
      <c r="T22" s="1056">
        <f>SUMIF('D-1 Off-Site Habitat Baseline'!$AV$11:$AV$258,'G-2 Habitat groups'!A22,'D-1 Off-Site Habitat Baseline'!$T$11:$T$258)</f>
        <v>0</v>
      </c>
      <c r="U22" s="1056">
        <f>SUMIF('D-1 Off-Site Habitat Baseline'!$AV$11:$AV$258,'G-2 Habitat groups'!A22,'D-1 Off-Site Habitat Baseline'!$V$11:$V$258)</f>
        <v>0</v>
      </c>
      <c r="V22" s="1056">
        <f>SUMIF('D-1 Off-Site Habitat Baseline'!$AV$11:$AV$258,'G-2 Habitat groups'!A22,'D-1 Off-Site Habitat Baseline'!$X$11:$X$258)+SUMIF('D-1 Off-Site Habitat Baseline'!$AV$11:$AV$258,'G-2 Habitat groups'!A22,'D-1 Off-Site Habitat Baseline'!$AS$11:$AS$258)</f>
        <v>0</v>
      </c>
      <c r="W22" s="1056">
        <f>SUMIF('D-2 Off-Site Habitat Creation'!$F$9:$F$255,'G-2 Habitat groups'!A22,'D-2 Off-Site Habitat Creation'!$G$9:$G$255)</f>
        <v>0</v>
      </c>
      <c r="X22" s="1056">
        <f>SUMIF('D-2 Off-Site Habitat Creation'!$F$9:$F$255,'G-2 Habitat groups'!A22,'D-2 Off-Site Habitat Creation'!$AB$9:$AB$255)</f>
        <v>0</v>
      </c>
      <c r="Y22" s="1056">
        <f>SUMIF('D-3 Off-Site Habitat Enhancment'!$S$12:$S$491,'G-2 Habitat groups'!A22,'D-3 Off-Site Habitat Enhancment'!$V$12:$V$491)</f>
        <v>0</v>
      </c>
      <c r="Z22" s="1056">
        <f>SUMIF('D-3 Off-Site Habitat Enhancment'!$S$12:$S$491,'G-2 Habitat groups'!A22,'D-3 Off-Site Habitat Enhancment'!$AQ$12:$AQ$491)</f>
        <v>0</v>
      </c>
      <c r="AA22" s="1056">
        <f t="shared" si="5"/>
        <v>0</v>
      </c>
      <c r="AB22" s="1056">
        <f t="shared" si="14"/>
        <v>0</v>
      </c>
      <c r="AC22" s="1056">
        <f t="shared" si="6"/>
        <v>0</v>
      </c>
      <c r="AD22" s="1056">
        <f t="shared" si="15"/>
        <v>0</v>
      </c>
      <c r="AE22" s="1056">
        <f t="shared" si="7"/>
        <v>2.35</v>
      </c>
      <c r="AF22" s="1056">
        <f t="shared" si="16"/>
        <v>17.305617528408003</v>
      </c>
      <c r="AJ22" s="1062" t="s">
        <v>106</v>
      </c>
      <c r="AK22" s="1055">
        <f t="shared" si="28"/>
        <v>0</v>
      </c>
      <c r="AL22" s="1055">
        <f t="shared" si="29"/>
        <v>0</v>
      </c>
      <c r="AM22" s="1055">
        <f t="shared" si="30"/>
        <v>0</v>
      </c>
      <c r="AN22" s="1055">
        <f t="shared" si="31"/>
        <v>0</v>
      </c>
      <c r="AO22" s="1055">
        <f t="shared" si="32"/>
        <v>0</v>
      </c>
      <c r="AP22" s="1055">
        <f t="shared" si="33"/>
        <v>0</v>
      </c>
      <c r="AU22" s="78" t="s">
        <v>967</v>
      </c>
      <c r="AV22" s="62" t="s">
        <v>548</v>
      </c>
      <c r="AW22" s="274">
        <f t="shared" si="18"/>
        <v>0</v>
      </c>
      <c r="AX22" s="274">
        <f t="shared" si="19"/>
        <v>0</v>
      </c>
      <c r="AY22" s="274">
        <f t="shared" si="20"/>
        <v>0</v>
      </c>
      <c r="AZ22" s="274">
        <f t="shared" si="21"/>
        <v>0</v>
      </c>
      <c r="BA22" s="274">
        <f t="shared" si="22"/>
        <v>0</v>
      </c>
      <c r="BB22" s="274">
        <f t="shared" si="23"/>
        <v>0</v>
      </c>
      <c r="BC22" s="274">
        <f t="shared" si="24"/>
        <v>0</v>
      </c>
      <c r="BD22" s="274">
        <f t="shared" si="25"/>
        <v>0</v>
      </c>
      <c r="BE22" s="274">
        <f t="shared" si="26"/>
        <v>0</v>
      </c>
      <c r="BF22" s="274" t="str">
        <f t="shared" si="27"/>
        <v/>
      </c>
      <c r="BG22" s="274">
        <f t="shared" si="17"/>
        <v>0</v>
      </c>
    </row>
    <row r="23" spans="1:59" ht="18.65" customHeight="1">
      <c r="A23" s="72" t="str">
        <f>'G-1 All Habitats'!B22</f>
        <v>Grassland - Tall herb communities (H6430)</v>
      </c>
      <c r="B23" s="72" t="s">
        <v>106</v>
      </c>
      <c r="C23" s="72" t="str">
        <f>'G-1 All Habitats'!K22</f>
        <v>High</v>
      </c>
      <c r="D23" s="72" t="str">
        <f>'G-1 All Habitats'!M22</f>
        <v>Same habitat required =</v>
      </c>
      <c r="E23" s="1056">
        <f>SUMIF('A-1 On-Site Habitat Baseline'!$AV$11:$AV$258,'G-2 Habitat groups'!A23,'A-1 On-Site Habitat Baseline'!$H$11:$H$258)</f>
        <v>0</v>
      </c>
      <c r="F23" s="1056">
        <f>SUMIF('A-1 On-Site Habitat Baseline'!$AV$11:$AV$258,'G-2 Habitat groups'!A23,'A-1 On-Site Habitat Baseline'!$Q$11:$Q$258)</f>
        <v>0</v>
      </c>
      <c r="G23" s="1056">
        <f>SUMIF('A-1 On-Site Habitat Baseline'!$AV$11:$AV$258,'G-2 Habitat groups'!A23,'A-1 On-Site Habitat Baseline'!$S$11:$S$258)</f>
        <v>0</v>
      </c>
      <c r="H23" s="1056">
        <f>SUMIF('A-1 On-Site Habitat Baseline'!$AV$11:$AV$258,'G-2 Habitat groups'!A23,'A-1 On-Site Habitat Baseline'!$U$11:$U$258)+SUMIF('A-1 On-Site Habitat Baseline'!$AV$11:$AV$258,'G-2 Habitat groups'!A23,'A-1 On-Site Habitat Baseline'!$AT$11:$AT$258)</f>
        <v>0</v>
      </c>
      <c r="I23" s="1056">
        <f>SUMIF('A-1 On-Site Habitat Baseline'!$AV$11:$AV$258,'G-2 Habitat groups'!A23,'A-1 On-Site Habitat Baseline'!$W$11:$W$258)</f>
        <v>0</v>
      </c>
      <c r="J23" s="1056">
        <f>SUMIF('A-1 On-Site Habitat Baseline'!$AV$11:$AV$258,'G-2 Habitat groups'!A23,'A-1 On-Site Habitat Baseline'!$X$11:$X$258)</f>
        <v>0</v>
      </c>
      <c r="K23" s="1056">
        <f>SUMIF('A-2 On-Site Habitat Creation'!$F$11:$F$256,'G-2 Habitat groups'!A23,'A-2 On-Site Habitat Creation'!$G$11:$G$256)</f>
        <v>0</v>
      </c>
      <c r="L23" s="1056">
        <f>SUMIF('A-2 On-Site Habitat Creation'!$F$11:$F$256,'G-2 Habitat groups'!A23,'A-2 On-Site Habitat Creation'!$Y$11:$Y$256)</f>
        <v>0</v>
      </c>
      <c r="M23" s="1056">
        <f>SUMIF('A-3 On-Site Habitat Enhancement'!$S$12:$S$257,'G-2 Habitat groups'!A23,'A-3 On-Site Habitat Enhancement'!$V$12:$V$257)</f>
        <v>0</v>
      </c>
      <c r="N23" s="1056">
        <f>SUMIF('A-3 On-Site Habitat Enhancement'!$S$12:$S$257,'G-2 Habitat groups'!A23,'A-3 On-Site Habitat Enhancement'!$AN$12:$AN$257)</f>
        <v>0</v>
      </c>
      <c r="O23" s="1056">
        <f t="shared" si="1"/>
        <v>0</v>
      </c>
      <c r="P23" s="1056">
        <f t="shared" si="2"/>
        <v>0</v>
      </c>
      <c r="Q23" s="1056">
        <f t="shared" si="3"/>
        <v>0</v>
      </c>
      <c r="R23" s="1056">
        <f t="shared" si="4"/>
        <v>0</v>
      </c>
      <c r="S23" s="1056">
        <f>SUMIF('D-1 Off-Site Habitat Baseline'!$AV$11:$AV$258,'G-2 Habitat groups'!A23,'D-1 Off-Site Habitat Baseline'!$H$11:$H$258)</f>
        <v>0</v>
      </c>
      <c r="T23" s="1056">
        <f>SUMIF('D-1 Off-Site Habitat Baseline'!$AV$11:$AV$258,'G-2 Habitat groups'!A23,'D-1 Off-Site Habitat Baseline'!$T$11:$T$258)</f>
        <v>0</v>
      </c>
      <c r="U23" s="1056">
        <f>SUMIF('D-1 Off-Site Habitat Baseline'!$AV$11:$AV$258,'G-2 Habitat groups'!A23,'D-1 Off-Site Habitat Baseline'!$V$11:$V$258)</f>
        <v>0</v>
      </c>
      <c r="V23" s="1056">
        <f>SUMIF('D-1 Off-Site Habitat Baseline'!$AV$11:$AV$258,'G-2 Habitat groups'!A23,'D-1 Off-Site Habitat Baseline'!$X$11:$X$258)+SUMIF('D-1 Off-Site Habitat Baseline'!$AV$11:$AV$258,'G-2 Habitat groups'!A23,'D-1 Off-Site Habitat Baseline'!$AS$11:$AS$258)</f>
        <v>0</v>
      </c>
      <c r="W23" s="1056">
        <f>SUMIF('D-2 Off-Site Habitat Creation'!$F$9:$F$255,'G-2 Habitat groups'!A23,'D-2 Off-Site Habitat Creation'!$G$9:$G$255)</f>
        <v>0</v>
      </c>
      <c r="X23" s="1056">
        <f>SUMIF('D-2 Off-Site Habitat Creation'!$F$9:$F$255,'G-2 Habitat groups'!A23,'D-2 Off-Site Habitat Creation'!$AB$9:$AB$255)</f>
        <v>0</v>
      </c>
      <c r="Y23" s="1056">
        <f>SUMIF('D-3 Off-Site Habitat Enhancment'!$S$12:$S$491,'G-2 Habitat groups'!A23,'D-3 Off-Site Habitat Enhancment'!$V$12:$V$491)</f>
        <v>0</v>
      </c>
      <c r="Z23" s="1056">
        <f>SUMIF('D-3 Off-Site Habitat Enhancment'!$S$12:$S$491,'G-2 Habitat groups'!A23,'D-3 Off-Site Habitat Enhancment'!$AQ$12:$AQ$491)</f>
        <v>0</v>
      </c>
      <c r="AA23" s="1056">
        <f t="shared" si="5"/>
        <v>0</v>
      </c>
      <c r="AB23" s="1056">
        <f t="shared" si="14"/>
        <v>0</v>
      </c>
      <c r="AC23" s="1056">
        <f t="shared" si="6"/>
        <v>0</v>
      </c>
      <c r="AD23" s="1056">
        <f t="shared" si="15"/>
        <v>0</v>
      </c>
      <c r="AE23" s="1056">
        <f t="shared" si="7"/>
        <v>0</v>
      </c>
      <c r="AF23" s="1056">
        <f t="shared" si="16"/>
        <v>0</v>
      </c>
      <c r="AJ23" s="1062" t="s">
        <v>107</v>
      </c>
      <c r="AK23" s="1055">
        <f t="shared" si="28"/>
        <v>0</v>
      </c>
      <c r="AL23" s="1055">
        <f t="shared" si="29"/>
        <v>0</v>
      </c>
      <c r="AM23" s="1055">
        <f t="shared" si="30"/>
        <v>0</v>
      </c>
      <c r="AN23" s="1055">
        <f t="shared" si="31"/>
        <v>0</v>
      </c>
      <c r="AO23" s="1055">
        <f t="shared" si="32"/>
        <v>0</v>
      </c>
      <c r="AP23" s="1055">
        <f t="shared" si="33"/>
        <v>0</v>
      </c>
      <c r="AU23" s="78" t="s">
        <v>973</v>
      </c>
      <c r="AV23" s="62" t="s">
        <v>548</v>
      </c>
      <c r="AW23" s="274">
        <f t="shared" si="18"/>
        <v>0</v>
      </c>
      <c r="AX23" s="274">
        <f t="shared" si="19"/>
        <v>0</v>
      </c>
      <c r="AY23" s="274">
        <f t="shared" si="20"/>
        <v>0</v>
      </c>
      <c r="AZ23" s="274">
        <f t="shared" si="21"/>
        <v>0</v>
      </c>
      <c r="BA23" s="274">
        <f t="shared" si="22"/>
        <v>0</v>
      </c>
      <c r="BB23" s="274">
        <f t="shared" si="23"/>
        <v>0</v>
      </c>
      <c r="BC23" s="274">
        <f t="shared" si="24"/>
        <v>0</v>
      </c>
      <c r="BD23" s="274">
        <f t="shared" si="25"/>
        <v>0</v>
      </c>
      <c r="BE23" s="274">
        <f t="shared" si="26"/>
        <v>0</v>
      </c>
      <c r="BF23" s="274" t="str">
        <f t="shared" si="27"/>
        <v/>
      </c>
      <c r="BG23" s="274">
        <f t="shared" si="17"/>
        <v>0</v>
      </c>
    </row>
    <row r="24" spans="1:59" ht="18" customHeight="1">
      <c r="A24" s="72" t="str">
        <f>'G-1 All Habitats'!B23</f>
        <v>Grassland - Upland acid grassland</v>
      </c>
      <c r="B24" s="72" t="s">
        <v>106</v>
      </c>
      <c r="C24" s="72" t="str">
        <f>'G-1 All Habitats'!K23</f>
        <v>Medium</v>
      </c>
      <c r="D24" s="72" t="str">
        <f>'G-1 All Habitats'!M23</f>
        <v>Same broad habitat or a higher distinctiveness habitat required (≥)</v>
      </c>
      <c r="E24" s="1056">
        <f>SUMIF('A-1 On-Site Habitat Baseline'!$AV$11:$AV$258,'G-2 Habitat groups'!A24,'A-1 On-Site Habitat Baseline'!$H$11:$H$258)</f>
        <v>0</v>
      </c>
      <c r="F24" s="1056">
        <f>SUMIF('A-1 On-Site Habitat Baseline'!$AV$11:$AV$258,'G-2 Habitat groups'!A24,'A-1 On-Site Habitat Baseline'!$Q$11:$Q$258)</f>
        <v>0</v>
      </c>
      <c r="G24" s="1056">
        <f>SUMIF('A-1 On-Site Habitat Baseline'!$AV$11:$AV$258,'G-2 Habitat groups'!A24,'A-1 On-Site Habitat Baseline'!$S$11:$S$258)</f>
        <v>0</v>
      </c>
      <c r="H24" s="1056">
        <f>SUMIF('A-1 On-Site Habitat Baseline'!$AV$11:$AV$258,'G-2 Habitat groups'!A24,'A-1 On-Site Habitat Baseline'!$U$11:$U$258)+SUMIF('A-1 On-Site Habitat Baseline'!$AV$11:$AV$258,'G-2 Habitat groups'!A24,'A-1 On-Site Habitat Baseline'!$AT$11:$AT$258)</f>
        <v>0</v>
      </c>
      <c r="I24" s="1056">
        <f>SUMIF('A-1 On-Site Habitat Baseline'!$AV$11:$AV$258,'G-2 Habitat groups'!A24,'A-1 On-Site Habitat Baseline'!$W$11:$W$258)</f>
        <v>0</v>
      </c>
      <c r="J24" s="1056">
        <f>SUMIF('A-1 On-Site Habitat Baseline'!$AV$11:$AV$258,'G-2 Habitat groups'!A24,'A-1 On-Site Habitat Baseline'!$X$11:$X$258)</f>
        <v>0</v>
      </c>
      <c r="K24" s="1056">
        <f>SUMIF('A-2 On-Site Habitat Creation'!$F$11:$F$256,'G-2 Habitat groups'!A24,'A-2 On-Site Habitat Creation'!$G$11:$G$256)</f>
        <v>0</v>
      </c>
      <c r="L24" s="1056">
        <f>SUMIF('A-2 On-Site Habitat Creation'!$F$11:$F$256,'G-2 Habitat groups'!A24,'A-2 On-Site Habitat Creation'!$Y$11:$Y$256)</f>
        <v>0</v>
      </c>
      <c r="M24" s="1056">
        <f>SUMIF('A-3 On-Site Habitat Enhancement'!$S$12:$S$257,'G-2 Habitat groups'!A24,'A-3 On-Site Habitat Enhancement'!$V$12:$V$257)</f>
        <v>0</v>
      </c>
      <c r="N24" s="1056">
        <f>SUMIF('A-3 On-Site Habitat Enhancement'!$S$12:$S$257,'G-2 Habitat groups'!A24,'A-3 On-Site Habitat Enhancement'!$AN$12:$AN$257)</f>
        <v>0</v>
      </c>
      <c r="O24" s="1056">
        <f t="shared" si="1"/>
        <v>0</v>
      </c>
      <c r="P24" s="1056">
        <f t="shared" si="2"/>
        <v>0</v>
      </c>
      <c r="Q24" s="1056">
        <f t="shared" si="3"/>
        <v>0</v>
      </c>
      <c r="R24" s="1056">
        <f t="shared" si="4"/>
        <v>0</v>
      </c>
      <c r="S24" s="1056">
        <f>SUMIF('D-1 Off-Site Habitat Baseline'!$AV$11:$AV$258,'G-2 Habitat groups'!A24,'D-1 Off-Site Habitat Baseline'!$H$11:$H$258)</f>
        <v>0</v>
      </c>
      <c r="T24" s="1056">
        <f>SUMIF('D-1 Off-Site Habitat Baseline'!$AV$11:$AV$258,'G-2 Habitat groups'!A24,'D-1 Off-Site Habitat Baseline'!$T$11:$T$258)</f>
        <v>0</v>
      </c>
      <c r="U24" s="1056">
        <f>SUMIF('D-1 Off-Site Habitat Baseline'!$AV$11:$AV$258,'G-2 Habitat groups'!A24,'D-1 Off-Site Habitat Baseline'!$V$11:$V$258)</f>
        <v>0</v>
      </c>
      <c r="V24" s="1056">
        <f>SUMIF('D-1 Off-Site Habitat Baseline'!$AV$11:$AV$258,'G-2 Habitat groups'!A24,'D-1 Off-Site Habitat Baseline'!$X$11:$X$258)+SUMIF('D-1 Off-Site Habitat Baseline'!$AV$11:$AV$258,'G-2 Habitat groups'!A24,'D-1 Off-Site Habitat Baseline'!$AS$11:$AS$258)</f>
        <v>0</v>
      </c>
      <c r="W24" s="1056">
        <f>SUMIF('D-2 Off-Site Habitat Creation'!$F$9:$F$255,'G-2 Habitat groups'!A24,'D-2 Off-Site Habitat Creation'!$G$9:$G$255)</f>
        <v>0</v>
      </c>
      <c r="X24" s="1056">
        <f>SUMIF('D-2 Off-Site Habitat Creation'!$F$9:$F$255,'G-2 Habitat groups'!A24,'D-2 Off-Site Habitat Creation'!$AB$9:$AB$255)</f>
        <v>0</v>
      </c>
      <c r="Y24" s="1056">
        <f>SUMIF('D-3 Off-Site Habitat Enhancment'!$S$12:$S$491,'G-2 Habitat groups'!A24,'D-3 Off-Site Habitat Enhancment'!$V$12:$V$491)</f>
        <v>0</v>
      </c>
      <c r="Z24" s="1056">
        <f>SUMIF('D-3 Off-Site Habitat Enhancment'!$S$12:$S$491,'G-2 Habitat groups'!A24,'D-3 Off-Site Habitat Enhancment'!$AQ$12:$AQ$491)</f>
        <v>0</v>
      </c>
      <c r="AA24" s="1056">
        <f t="shared" si="5"/>
        <v>0</v>
      </c>
      <c r="AB24" s="1056">
        <f t="shared" si="14"/>
        <v>0</v>
      </c>
      <c r="AC24" s="1056">
        <f t="shared" si="6"/>
        <v>0</v>
      </c>
      <c r="AD24" s="1056">
        <f t="shared" si="15"/>
        <v>0</v>
      </c>
      <c r="AE24" s="1056">
        <f t="shared" si="7"/>
        <v>0</v>
      </c>
      <c r="AF24" s="1056">
        <f t="shared" si="16"/>
        <v>0</v>
      </c>
      <c r="AJ24" s="1062" t="s">
        <v>108</v>
      </c>
      <c r="AK24" s="1055">
        <f t="shared" si="28"/>
        <v>0</v>
      </c>
      <c r="AL24" s="1055">
        <f t="shared" si="29"/>
        <v>0</v>
      </c>
      <c r="AM24" s="1055">
        <f t="shared" si="30"/>
        <v>0</v>
      </c>
      <c r="AN24" s="1055">
        <f t="shared" si="31"/>
        <v>0</v>
      </c>
      <c r="AO24" s="1055">
        <f t="shared" si="32"/>
        <v>0</v>
      </c>
      <c r="AP24" s="1055">
        <f t="shared" si="33"/>
        <v>0</v>
      </c>
      <c r="AU24" s="78" t="s">
        <v>994</v>
      </c>
      <c r="AV24" s="62" t="s">
        <v>113</v>
      </c>
      <c r="AW24" s="274">
        <f t="shared" si="18"/>
        <v>0</v>
      </c>
      <c r="AX24" s="274">
        <f t="shared" si="19"/>
        <v>0</v>
      </c>
      <c r="AY24" s="274">
        <f t="shared" si="20"/>
        <v>0</v>
      </c>
      <c r="AZ24" s="274">
        <f t="shared" si="21"/>
        <v>0</v>
      </c>
      <c r="BA24" s="274">
        <f t="shared" si="22"/>
        <v>0</v>
      </c>
      <c r="BB24" s="274">
        <f t="shared" si="23"/>
        <v>0</v>
      </c>
      <c r="BC24" s="274">
        <f t="shared" si="24"/>
        <v>0</v>
      </c>
      <c r="BD24" s="274">
        <f t="shared" si="25"/>
        <v>0</v>
      </c>
      <c r="BE24" s="274">
        <f t="shared" si="26"/>
        <v>0</v>
      </c>
      <c r="BF24" s="274" t="str">
        <f t="shared" si="27"/>
        <v/>
      </c>
      <c r="BG24" s="274">
        <f t="shared" si="17"/>
        <v>0</v>
      </c>
    </row>
    <row r="25" spans="1:42" ht="14">
      <c r="A25" s="72" t="str">
        <f>'G-1 All Habitats'!B24</f>
        <v>Grassland - Upland calcareous grassland</v>
      </c>
      <c r="B25" s="72" t="s">
        <v>106</v>
      </c>
      <c r="C25" s="72" t="str">
        <f>'G-1 All Habitats'!K24</f>
        <v>High</v>
      </c>
      <c r="D25" s="72" t="str">
        <f>'G-1 All Habitats'!M24</f>
        <v>Same habitat required =</v>
      </c>
      <c r="E25" s="1056">
        <f>SUMIF('A-1 On-Site Habitat Baseline'!$AV$11:$AV$258,'G-2 Habitat groups'!A25,'A-1 On-Site Habitat Baseline'!$H$11:$H$258)</f>
        <v>0</v>
      </c>
      <c r="F25" s="1056">
        <f>SUMIF('A-1 On-Site Habitat Baseline'!$AV$11:$AV$258,'G-2 Habitat groups'!A25,'A-1 On-Site Habitat Baseline'!$Q$11:$Q$258)</f>
        <v>0</v>
      </c>
      <c r="G25" s="1056">
        <f>SUMIF('A-1 On-Site Habitat Baseline'!$AV$11:$AV$258,'G-2 Habitat groups'!A25,'A-1 On-Site Habitat Baseline'!$S$11:$S$258)</f>
        <v>0</v>
      </c>
      <c r="H25" s="1056">
        <f>SUMIF('A-1 On-Site Habitat Baseline'!$AV$11:$AV$258,'G-2 Habitat groups'!A25,'A-1 On-Site Habitat Baseline'!$U$11:$U$258)+SUMIF('A-1 On-Site Habitat Baseline'!$AV$11:$AV$258,'G-2 Habitat groups'!A25,'A-1 On-Site Habitat Baseline'!$AT$11:$AT$258)</f>
        <v>0</v>
      </c>
      <c r="I25" s="1056">
        <f>SUMIF('A-1 On-Site Habitat Baseline'!$AV$11:$AV$258,'G-2 Habitat groups'!A25,'A-1 On-Site Habitat Baseline'!$W$11:$W$258)</f>
        <v>0</v>
      </c>
      <c r="J25" s="1056">
        <f>SUMIF('A-1 On-Site Habitat Baseline'!$AV$11:$AV$258,'G-2 Habitat groups'!A25,'A-1 On-Site Habitat Baseline'!$X$11:$X$258)</f>
        <v>0</v>
      </c>
      <c r="K25" s="1056">
        <f>SUMIF('A-2 On-Site Habitat Creation'!$F$11:$F$256,'G-2 Habitat groups'!A25,'A-2 On-Site Habitat Creation'!$G$11:$G$256)</f>
        <v>0</v>
      </c>
      <c r="L25" s="1056">
        <f>SUMIF('A-2 On-Site Habitat Creation'!$F$11:$F$256,'G-2 Habitat groups'!A25,'A-2 On-Site Habitat Creation'!$Y$11:$Y$256)</f>
        <v>0</v>
      </c>
      <c r="M25" s="1056">
        <f>SUMIF('A-3 On-Site Habitat Enhancement'!$S$12:$S$257,'G-2 Habitat groups'!A25,'A-3 On-Site Habitat Enhancement'!$V$12:$V$257)</f>
        <v>0</v>
      </c>
      <c r="N25" s="1056">
        <f>SUMIF('A-3 On-Site Habitat Enhancement'!$S$12:$S$257,'G-2 Habitat groups'!A25,'A-3 On-Site Habitat Enhancement'!$AN$12:$AN$257)</f>
        <v>0</v>
      </c>
      <c r="O25" s="1056">
        <f t="shared" si="1"/>
        <v>0</v>
      </c>
      <c r="P25" s="1056">
        <f t="shared" si="2"/>
        <v>0</v>
      </c>
      <c r="Q25" s="1056">
        <f t="shared" si="3"/>
        <v>0</v>
      </c>
      <c r="R25" s="1056">
        <f t="shared" si="4"/>
        <v>0</v>
      </c>
      <c r="S25" s="1056">
        <f>SUMIF('D-1 Off-Site Habitat Baseline'!$AV$11:$AV$258,'G-2 Habitat groups'!A25,'D-1 Off-Site Habitat Baseline'!$H$11:$H$258)</f>
        <v>0</v>
      </c>
      <c r="T25" s="1056">
        <f>SUMIF('D-1 Off-Site Habitat Baseline'!$AV$11:$AV$258,'G-2 Habitat groups'!A25,'D-1 Off-Site Habitat Baseline'!$T$11:$T$258)</f>
        <v>0</v>
      </c>
      <c r="U25" s="1056">
        <f>SUMIF('D-1 Off-Site Habitat Baseline'!$AV$11:$AV$258,'G-2 Habitat groups'!A25,'D-1 Off-Site Habitat Baseline'!$V$11:$V$258)</f>
        <v>0</v>
      </c>
      <c r="V25" s="1056">
        <f>SUMIF('D-1 Off-Site Habitat Baseline'!$AV$11:$AV$258,'G-2 Habitat groups'!A25,'D-1 Off-Site Habitat Baseline'!$X$11:$X$258)+SUMIF('D-1 Off-Site Habitat Baseline'!$AV$11:$AV$258,'G-2 Habitat groups'!A25,'D-1 Off-Site Habitat Baseline'!$AS$11:$AS$258)</f>
        <v>0</v>
      </c>
      <c r="W25" s="1056">
        <f>SUMIF('D-2 Off-Site Habitat Creation'!$F$9:$F$255,'G-2 Habitat groups'!A25,'D-2 Off-Site Habitat Creation'!$G$9:$G$255)</f>
        <v>0</v>
      </c>
      <c r="X25" s="1056">
        <f>SUMIF('D-2 Off-Site Habitat Creation'!$F$9:$F$255,'G-2 Habitat groups'!A25,'D-2 Off-Site Habitat Creation'!$AB$9:$AB$255)</f>
        <v>0</v>
      </c>
      <c r="Y25" s="1056">
        <f>SUMIF('D-3 Off-Site Habitat Enhancment'!$S$12:$S$491,'G-2 Habitat groups'!A25,'D-3 Off-Site Habitat Enhancment'!$V$12:$V$491)</f>
        <v>0</v>
      </c>
      <c r="Z25" s="1056">
        <f>SUMIF('D-3 Off-Site Habitat Enhancment'!$S$12:$S$491,'G-2 Habitat groups'!A25,'D-3 Off-Site Habitat Enhancment'!$AQ$12:$AQ$491)</f>
        <v>0</v>
      </c>
      <c r="AA25" s="1056">
        <f t="shared" si="5"/>
        <v>0</v>
      </c>
      <c r="AB25" s="1056">
        <f t="shared" si="14"/>
        <v>0</v>
      </c>
      <c r="AC25" s="1056">
        <f t="shared" si="6"/>
        <v>0</v>
      </c>
      <c r="AD25" s="1056">
        <f t="shared" si="15"/>
        <v>0</v>
      </c>
      <c r="AE25" s="1056">
        <f t="shared" si="7"/>
        <v>0</v>
      </c>
      <c r="AF25" s="1056">
        <f t="shared" si="16"/>
        <v>0</v>
      </c>
      <c r="AJ25" s="1060" t="s">
        <v>109</v>
      </c>
      <c r="AK25" s="1055">
        <f t="shared" si="28"/>
        <v>0</v>
      </c>
      <c r="AL25" s="1055">
        <f t="shared" si="29"/>
        <v>0</v>
      </c>
      <c r="AM25" s="1055">
        <f t="shared" si="30"/>
        <v>0</v>
      </c>
      <c r="AN25" s="1055">
        <f t="shared" si="31"/>
        <v>0</v>
      </c>
      <c r="AO25" s="1055">
        <f t="shared" si="32"/>
        <v>0</v>
      </c>
      <c r="AP25" s="1055">
        <f t="shared" si="33"/>
        <v>0</v>
      </c>
    </row>
    <row r="26" spans="1:42" ht="14">
      <c r="A26" s="72" t="str">
        <f>'G-1 All Habitats'!B25</f>
        <v>Grassland - Upland hay meadows</v>
      </c>
      <c r="B26" s="72" t="s">
        <v>106</v>
      </c>
      <c r="C26" s="72" t="str">
        <f>'G-1 All Habitats'!K25</f>
        <v>V.High</v>
      </c>
      <c r="D26" s="72" t="str">
        <f>'G-1 All Habitats'!M25</f>
        <v>Same habitat required – bespoke compensation option ⚠</v>
      </c>
      <c r="E26" s="1056">
        <f>SUMIF('A-1 On-Site Habitat Baseline'!$AV$11:$AV$258,'G-2 Habitat groups'!A26,'A-1 On-Site Habitat Baseline'!$H$11:$H$258)</f>
        <v>0</v>
      </c>
      <c r="F26" s="1056">
        <f>SUMIF('A-1 On-Site Habitat Baseline'!$AV$11:$AV$258,'G-2 Habitat groups'!A26,'A-1 On-Site Habitat Baseline'!$Q$11:$Q$258)</f>
        <v>0</v>
      </c>
      <c r="G26" s="1056">
        <f>SUMIF('A-1 On-Site Habitat Baseline'!$AV$11:$AV$258,'G-2 Habitat groups'!A26,'A-1 On-Site Habitat Baseline'!$S$11:$S$258)</f>
        <v>0</v>
      </c>
      <c r="H26" s="1056">
        <f>SUMIF('A-1 On-Site Habitat Baseline'!$AV$11:$AV$258,'G-2 Habitat groups'!A26,'A-1 On-Site Habitat Baseline'!$U$11:$U$258)+SUMIF('A-1 On-Site Habitat Baseline'!$AV$11:$AV$258,'G-2 Habitat groups'!A26,'A-1 On-Site Habitat Baseline'!$AT$11:$AT$258)</f>
        <v>0</v>
      </c>
      <c r="I26" s="1056">
        <f>SUMIF('A-1 On-Site Habitat Baseline'!$AV$11:$AV$258,'G-2 Habitat groups'!A26,'A-1 On-Site Habitat Baseline'!$W$11:$W$258)</f>
        <v>0</v>
      </c>
      <c r="J26" s="1056">
        <f>SUMIF('A-1 On-Site Habitat Baseline'!$AV$11:$AV$258,'G-2 Habitat groups'!A26,'A-1 On-Site Habitat Baseline'!$X$11:$X$258)</f>
        <v>0</v>
      </c>
      <c r="K26" s="1056">
        <f>SUMIF('A-2 On-Site Habitat Creation'!$F$11:$F$256,'G-2 Habitat groups'!A26,'A-2 On-Site Habitat Creation'!$G$11:$G$256)</f>
        <v>0</v>
      </c>
      <c r="L26" s="1056">
        <f>SUMIF('A-2 On-Site Habitat Creation'!$F$11:$F$256,'G-2 Habitat groups'!A26,'A-2 On-Site Habitat Creation'!$Y$11:$Y$256)</f>
        <v>0</v>
      </c>
      <c r="M26" s="1056">
        <f>SUMIF('A-3 On-Site Habitat Enhancement'!$S$12:$S$257,'G-2 Habitat groups'!A26,'A-3 On-Site Habitat Enhancement'!$V$12:$V$257)</f>
        <v>0</v>
      </c>
      <c r="N26" s="1056">
        <f>SUMIF('A-3 On-Site Habitat Enhancement'!$S$12:$S$257,'G-2 Habitat groups'!A26,'A-3 On-Site Habitat Enhancement'!$AN$12:$AN$257)</f>
        <v>0</v>
      </c>
      <c r="O26" s="1056">
        <f t="shared" si="1"/>
        <v>0</v>
      </c>
      <c r="P26" s="1056">
        <f t="shared" si="2"/>
        <v>0</v>
      </c>
      <c r="Q26" s="1056">
        <f t="shared" si="3"/>
        <v>0</v>
      </c>
      <c r="R26" s="1056">
        <f t="shared" si="4"/>
        <v>0</v>
      </c>
      <c r="S26" s="1056">
        <f>SUMIF('D-1 Off-Site Habitat Baseline'!$AV$11:$AV$258,'G-2 Habitat groups'!A26,'D-1 Off-Site Habitat Baseline'!$H$11:$H$258)</f>
        <v>0</v>
      </c>
      <c r="T26" s="1056">
        <f>SUMIF('D-1 Off-Site Habitat Baseline'!$AV$11:$AV$258,'G-2 Habitat groups'!A26,'D-1 Off-Site Habitat Baseline'!$T$11:$T$258)</f>
        <v>0</v>
      </c>
      <c r="U26" s="1056">
        <f>SUMIF('D-1 Off-Site Habitat Baseline'!$AV$11:$AV$258,'G-2 Habitat groups'!A26,'D-1 Off-Site Habitat Baseline'!$V$11:$V$258)</f>
        <v>0</v>
      </c>
      <c r="V26" s="1056">
        <f>SUMIF('D-1 Off-Site Habitat Baseline'!$AV$11:$AV$258,'G-2 Habitat groups'!A26,'D-1 Off-Site Habitat Baseline'!$X$11:$X$258)+SUMIF('D-1 Off-Site Habitat Baseline'!$AV$11:$AV$258,'G-2 Habitat groups'!A26,'D-1 Off-Site Habitat Baseline'!$AS$11:$AS$258)</f>
        <v>0</v>
      </c>
      <c r="W26" s="1056">
        <f>SUMIF('D-2 Off-Site Habitat Creation'!$F$9:$F$255,'G-2 Habitat groups'!A26,'D-2 Off-Site Habitat Creation'!$G$9:$G$255)</f>
        <v>0</v>
      </c>
      <c r="X26" s="1056">
        <f>SUMIF('D-2 Off-Site Habitat Creation'!$F$9:$F$255,'G-2 Habitat groups'!A26,'D-2 Off-Site Habitat Creation'!$AB$9:$AB$255)</f>
        <v>0</v>
      </c>
      <c r="Y26" s="1056">
        <f>SUMIF('D-3 Off-Site Habitat Enhancment'!$S$12:$S$491,'G-2 Habitat groups'!A26,'D-3 Off-Site Habitat Enhancment'!$V$12:$V$491)</f>
        <v>0</v>
      </c>
      <c r="Z26" s="1056">
        <f>SUMIF('D-3 Off-Site Habitat Enhancment'!$S$12:$S$491,'G-2 Habitat groups'!A26,'D-3 Off-Site Habitat Enhancment'!$AQ$12:$AQ$491)</f>
        <v>0</v>
      </c>
      <c r="AA26" s="1056">
        <f t="shared" si="5"/>
        <v>0</v>
      </c>
      <c r="AB26" s="1056">
        <f t="shared" si="14"/>
        <v>0</v>
      </c>
      <c r="AC26" s="1056">
        <f t="shared" si="6"/>
        <v>0</v>
      </c>
      <c r="AD26" s="1056">
        <f t="shared" si="15"/>
        <v>0</v>
      </c>
      <c r="AE26" s="1056">
        <f t="shared" si="7"/>
        <v>0</v>
      </c>
      <c r="AF26" s="1056">
        <f t="shared" si="16"/>
        <v>0</v>
      </c>
      <c r="AJ26" s="1062" t="s">
        <v>110</v>
      </c>
      <c r="AK26" s="1055">
        <f>SUMIF($B:$B,$AJ26,S:S)</f>
        <v>0</v>
      </c>
      <c r="AL26" s="1055">
        <f t="shared" si="29"/>
        <v>0</v>
      </c>
      <c r="AM26" s="1055">
        <f t="shared" si="30"/>
        <v>0</v>
      </c>
      <c r="AN26" s="1055">
        <f t="shared" si="31"/>
        <v>0</v>
      </c>
      <c r="AO26" s="1055">
        <f t="shared" si="32"/>
        <v>0</v>
      </c>
      <c r="AP26" s="1055">
        <f t="shared" si="33"/>
        <v>0</v>
      </c>
    </row>
    <row r="27" spans="1:47" ht="15.65" customHeight="1">
      <c r="A27" s="72" t="str">
        <f>'G-1 All Habitats'!B26</f>
        <v>Heathland and shrub - Blackthorn scrub</v>
      </c>
      <c r="B27" s="72" t="s">
        <v>107</v>
      </c>
      <c r="C27" s="72" t="str">
        <f>'G-1 All Habitats'!K26</f>
        <v>Medium</v>
      </c>
      <c r="D27" s="72" t="str">
        <f>'G-1 All Habitats'!M26</f>
        <v>Same broad habitat or a higher distinctiveness habitat required (≥)</v>
      </c>
      <c r="E27" s="1056">
        <f>SUMIF('A-1 On-Site Habitat Baseline'!$AV$11:$AV$258,'G-2 Habitat groups'!A27,'A-1 On-Site Habitat Baseline'!$H$11:$H$258)</f>
        <v>0</v>
      </c>
      <c r="F27" s="1056">
        <f>SUMIF('A-1 On-Site Habitat Baseline'!$AV$11:$AV$258,'G-2 Habitat groups'!A27,'A-1 On-Site Habitat Baseline'!$Q$11:$Q$258)</f>
        <v>0</v>
      </c>
      <c r="G27" s="1056">
        <f>SUMIF('A-1 On-Site Habitat Baseline'!$AV$11:$AV$258,'G-2 Habitat groups'!A27,'A-1 On-Site Habitat Baseline'!$S$11:$S$258)</f>
        <v>0</v>
      </c>
      <c r="H27" s="1056">
        <f>SUMIF('A-1 On-Site Habitat Baseline'!$AV$11:$AV$258,'G-2 Habitat groups'!A27,'A-1 On-Site Habitat Baseline'!$U$11:$U$258)+SUMIF('A-1 On-Site Habitat Baseline'!$AV$11:$AV$258,'G-2 Habitat groups'!A27,'A-1 On-Site Habitat Baseline'!$AT$11:$AT$258)</f>
        <v>0</v>
      </c>
      <c r="I27" s="1056">
        <f>SUMIF('A-1 On-Site Habitat Baseline'!$AV$11:$AV$258,'G-2 Habitat groups'!A27,'A-1 On-Site Habitat Baseline'!$W$11:$W$258)</f>
        <v>0</v>
      </c>
      <c r="J27" s="1056">
        <f>SUMIF('A-1 On-Site Habitat Baseline'!$AV$11:$AV$258,'G-2 Habitat groups'!A27,'A-1 On-Site Habitat Baseline'!$X$11:$X$258)</f>
        <v>0</v>
      </c>
      <c r="K27" s="1056">
        <f>SUMIF('A-2 On-Site Habitat Creation'!$F$11:$F$256,'G-2 Habitat groups'!A27,'A-2 On-Site Habitat Creation'!$G$11:$G$256)</f>
        <v>0</v>
      </c>
      <c r="L27" s="1056">
        <f>SUMIF('A-2 On-Site Habitat Creation'!$F$11:$F$256,'G-2 Habitat groups'!A27,'A-2 On-Site Habitat Creation'!$Y$11:$Y$256)</f>
        <v>0</v>
      </c>
      <c r="M27" s="1056">
        <f>SUMIF('A-3 On-Site Habitat Enhancement'!$S$12:$S$257,'G-2 Habitat groups'!A27,'A-3 On-Site Habitat Enhancement'!$V$12:$V$257)</f>
        <v>0</v>
      </c>
      <c r="N27" s="1056">
        <f>SUMIF('A-3 On-Site Habitat Enhancement'!$S$12:$S$257,'G-2 Habitat groups'!A27,'A-3 On-Site Habitat Enhancement'!$AN$12:$AN$257)</f>
        <v>0</v>
      </c>
      <c r="O27" s="1056">
        <f t="shared" si="1"/>
        <v>0</v>
      </c>
      <c r="P27" s="1056">
        <f t="shared" si="2"/>
        <v>0</v>
      </c>
      <c r="Q27" s="1056">
        <f t="shared" si="3"/>
        <v>0</v>
      </c>
      <c r="R27" s="1056">
        <f t="shared" si="4"/>
        <v>0</v>
      </c>
      <c r="S27" s="1056">
        <f>SUMIF('D-1 Off-Site Habitat Baseline'!$AV$11:$AV$258,'G-2 Habitat groups'!A27,'D-1 Off-Site Habitat Baseline'!$H$11:$H$258)</f>
        <v>0</v>
      </c>
      <c r="T27" s="1056">
        <f>SUMIF('D-1 Off-Site Habitat Baseline'!$AV$11:$AV$258,'G-2 Habitat groups'!A27,'D-1 Off-Site Habitat Baseline'!$T$11:$T$258)</f>
        <v>0</v>
      </c>
      <c r="U27" s="1056">
        <f>SUMIF('D-1 Off-Site Habitat Baseline'!$AV$11:$AV$258,'G-2 Habitat groups'!A27,'D-1 Off-Site Habitat Baseline'!$V$11:$V$258)</f>
        <v>0</v>
      </c>
      <c r="V27" s="1056">
        <f>SUMIF('D-1 Off-Site Habitat Baseline'!$AV$11:$AV$258,'G-2 Habitat groups'!A27,'D-1 Off-Site Habitat Baseline'!$X$11:$X$258)+SUMIF('D-1 Off-Site Habitat Baseline'!$AV$11:$AV$258,'G-2 Habitat groups'!A27,'D-1 Off-Site Habitat Baseline'!$AS$11:$AS$258)</f>
        <v>0</v>
      </c>
      <c r="W27" s="1056">
        <f>SUMIF('D-2 Off-Site Habitat Creation'!$F$9:$F$255,'G-2 Habitat groups'!A27,'D-2 Off-Site Habitat Creation'!$G$9:$G$255)</f>
        <v>0</v>
      </c>
      <c r="X27" s="1056">
        <f>SUMIF('D-2 Off-Site Habitat Creation'!$F$9:$F$255,'G-2 Habitat groups'!A27,'D-2 Off-Site Habitat Creation'!$AB$9:$AB$255)</f>
        <v>0</v>
      </c>
      <c r="Y27" s="1056">
        <f>SUMIF('D-3 Off-Site Habitat Enhancment'!$S$12:$S$491,'G-2 Habitat groups'!A27,'D-3 Off-Site Habitat Enhancment'!$V$12:$V$491)</f>
        <v>0</v>
      </c>
      <c r="Z27" s="1056">
        <f>SUMIF('D-3 Off-Site Habitat Enhancment'!$S$12:$S$491,'G-2 Habitat groups'!A27,'D-3 Off-Site Habitat Enhancment'!$AQ$12:$AQ$491)</f>
        <v>0</v>
      </c>
      <c r="AA27" s="1056">
        <f t="shared" si="5"/>
        <v>0</v>
      </c>
      <c r="AB27" s="1056">
        <f t="shared" si="14"/>
        <v>0</v>
      </c>
      <c r="AC27" s="1056">
        <f t="shared" si="6"/>
        <v>0</v>
      </c>
      <c r="AD27" s="1056">
        <f t="shared" si="15"/>
        <v>0</v>
      </c>
      <c r="AE27" s="1056">
        <f t="shared" si="7"/>
        <v>0</v>
      </c>
      <c r="AF27" s="1056">
        <f t="shared" si="16"/>
        <v>0</v>
      </c>
      <c r="AJ27" s="1062" t="s">
        <v>111</v>
      </c>
      <c r="AK27" s="1055">
        <f t="shared" si="28"/>
        <v>0</v>
      </c>
      <c r="AL27" s="1055">
        <f t="shared" si="29"/>
        <v>0</v>
      </c>
      <c r="AM27" s="1055">
        <f t="shared" si="30"/>
        <v>0</v>
      </c>
      <c r="AN27" s="1055">
        <f t="shared" si="31"/>
        <v>0</v>
      </c>
      <c r="AO27" s="1055">
        <f t="shared" si="32"/>
        <v>0</v>
      </c>
      <c r="AP27" s="1055">
        <f t="shared" si="33"/>
        <v>0</v>
      </c>
      <c r="AU27" s="1882" t="s">
        <v>194</v>
      </c>
    </row>
    <row r="28" spans="1:58" ht="15.65" customHeight="1">
      <c r="A28" s="72" t="str">
        <f>'G-1 All Habitats'!B27</f>
        <v>Heathland and shrub - Bramble scrub</v>
      </c>
      <c r="B28" s="72" t="s">
        <v>107</v>
      </c>
      <c r="C28" s="72" t="str">
        <f>'G-1 All Habitats'!K27</f>
        <v>Medium</v>
      </c>
      <c r="D28" s="72" t="str">
        <f>'G-1 All Habitats'!M27</f>
        <v>Same broad habitat or a higher distinctiveness habitat required (≥)</v>
      </c>
      <c r="E28" s="1056">
        <f>SUMIF('A-1 On-Site Habitat Baseline'!$AV$11:$AV$258,'G-2 Habitat groups'!A28,'A-1 On-Site Habitat Baseline'!$H$11:$H$258)</f>
        <v>0</v>
      </c>
      <c r="F28" s="1056">
        <f>SUMIF('A-1 On-Site Habitat Baseline'!$AV$11:$AV$258,'G-2 Habitat groups'!A28,'A-1 On-Site Habitat Baseline'!$Q$11:$Q$258)</f>
        <v>0</v>
      </c>
      <c r="G28" s="1056">
        <f>SUMIF('A-1 On-Site Habitat Baseline'!$AV$11:$AV$258,'G-2 Habitat groups'!A28,'A-1 On-Site Habitat Baseline'!$S$11:$S$258)</f>
        <v>0</v>
      </c>
      <c r="H28" s="1056">
        <f>SUMIF('A-1 On-Site Habitat Baseline'!$AV$11:$AV$258,'G-2 Habitat groups'!A28,'A-1 On-Site Habitat Baseline'!$U$11:$U$258)+SUMIF('A-1 On-Site Habitat Baseline'!$AV$11:$AV$258,'G-2 Habitat groups'!A28,'A-1 On-Site Habitat Baseline'!$AT$11:$AT$258)</f>
        <v>0</v>
      </c>
      <c r="I28" s="1056">
        <f>SUMIF('A-1 On-Site Habitat Baseline'!$AV$11:$AV$258,'G-2 Habitat groups'!A28,'A-1 On-Site Habitat Baseline'!$W$11:$W$258)</f>
        <v>0</v>
      </c>
      <c r="J28" s="1056">
        <f>SUMIF('A-1 On-Site Habitat Baseline'!$AV$11:$AV$258,'G-2 Habitat groups'!A28,'A-1 On-Site Habitat Baseline'!$X$11:$X$258)</f>
        <v>0</v>
      </c>
      <c r="K28" s="1056">
        <f>SUMIF('A-2 On-Site Habitat Creation'!$F$11:$F$256,'G-2 Habitat groups'!A28,'A-2 On-Site Habitat Creation'!$G$11:$G$256)</f>
        <v>0</v>
      </c>
      <c r="L28" s="1056">
        <f>SUMIF('A-2 On-Site Habitat Creation'!$F$11:$F$256,'G-2 Habitat groups'!A28,'A-2 On-Site Habitat Creation'!$Y$11:$Y$256)</f>
        <v>0</v>
      </c>
      <c r="M28" s="1056">
        <f>SUMIF('A-3 On-Site Habitat Enhancement'!$S$12:$S$257,'G-2 Habitat groups'!A28,'A-3 On-Site Habitat Enhancement'!$V$12:$V$257)</f>
        <v>0</v>
      </c>
      <c r="N28" s="1056">
        <f>SUMIF('A-3 On-Site Habitat Enhancement'!$S$12:$S$257,'G-2 Habitat groups'!A28,'A-3 On-Site Habitat Enhancement'!$AN$12:$AN$257)</f>
        <v>0</v>
      </c>
      <c r="O28" s="1056">
        <f t="shared" si="1"/>
        <v>0</v>
      </c>
      <c r="P28" s="1056">
        <f t="shared" si="2"/>
        <v>0</v>
      </c>
      <c r="Q28" s="1056">
        <f t="shared" si="3"/>
        <v>0</v>
      </c>
      <c r="R28" s="1056">
        <f t="shared" si="4"/>
        <v>0</v>
      </c>
      <c r="S28" s="1056">
        <f>SUMIF('D-1 Off-Site Habitat Baseline'!$AV$11:$AV$258,'G-2 Habitat groups'!A28,'D-1 Off-Site Habitat Baseline'!$H$11:$H$258)</f>
        <v>0</v>
      </c>
      <c r="T28" s="1056">
        <f>SUMIF('D-1 Off-Site Habitat Baseline'!$AV$11:$AV$258,'G-2 Habitat groups'!A28,'D-1 Off-Site Habitat Baseline'!$T$11:$T$258)</f>
        <v>0</v>
      </c>
      <c r="U28" s="1056">
        <f>SUMIF('D-1 Off-Site Habitat Baseline'!$AV$11:$AV$258,'G-2 Habitat groups'!A28,'D-1 Off-Site Habitat Baseline'!$V$11:$V$258)</f>
        <v>0</v>
      </c>
      <c r="V28" s="1056">
        <f>SUMIF('D-1 Off-Site Habitat Baseline'!$AV$11:$AV$258,'G-2 Habitat groups'!A28,'D-1 Off-Site Habitat Baseline'!$X$11:$X$258)+SUMIF('D-1 Off-Site Habitat Baseline'!$AV$11:$AV$258,'G-2 Habitat groups'!A28,'D-1 Off-Site Habitat Baseline'!$AS$11:$AS$258)</f>
        <v>0</v>
      </c>
      <c r="W28" s="1056">
        <f>SUMIF('D-2 Off-Site Habitat Creation'!$F$9:$F$255,'G-2 Habitat groups'!A28,'D-2 Off-Site Habitat Creation'!$G$9:$G$255)</f>
        <v>0</v>
      </c>
      <c r="X28" s="1056">
        <f>SUMIF('D-2 Off-Site Habitat Creation'!$F$9:$F$255,'G-2 Habitat groups'!A28,'D-2 Off-Site Habitat Creation'!$AB$9:$AB$255)</f>
        <v>0</v>
      </c>
      <c r="Y28" s="1056">
        <f>SUMIF('D-3 Off-Site Habitat Enhancment'!$S$12:$S$491,'G-2 Habitat groups'!A28,'D-3 Off-Site Habitat Enhancment'!$V$12:$V$491)</f>
        <v>0</v>
      </c>
      <c r="Z28" s="1056">
        <f>SUMIF('D-3 Off-Site Habitat Enhancment'!$S$12:$S$491,'G-2 Habitat groups'!A28,'D-3 Off-Site Habitat Enhancment'!$AQ$12:$AQ$491)</f>
        <v>0</v>
      </c>
      <c r="AA28" s="1056">
        <f t="shared" si="5"/>
        <v>0</v>
      </c>
      <c r="AB28" s="1056">
        <f t="shared" si="14"/>
        <v>0</v>
      </c>
      <c r="AC28" s="1056">
        <f t="shared" si="6"/>
        <v>0</v>
      </c>
      <c r="AD28" s="1056">
        <f t="shared" si="15"/>
        <v>0</v>
      </c>
      <c r="AE28" s="1056">
        <f t="shared" si="7"/>
        <v>0</v>
      </c>
      <c r="AF28" s="1056">
        <f t="shared" si="16"/>
        <v>0</v>
      </c>
      <c r="AJ28" s="1060" t="s">
        <v>112</v>
      </c>
      <c r="AK28" s="1055">
        <f t="shared" si="28"/>
        <v>0</v>
      </c>
      <c r="AL28" s="1055">
        <f t="shared" si="29"/>
        <v>0</v>
      </c>
      <c r="AM28" s="1055">
        <f t="shared" si="30"/>
        <v>0</v>
      </c>
      <c r="AN28" s="1055">
        <f t="shared" si="31"/>
        <v>0</v>
      </c>
      <c r="AO28" s="1055">
        <f t="shared" si="32"/>
        <v>0</v>
      </c>
      <c r="AP28" s="1055">
        <f t="shared" si="33"/>
        <v>0</v>
      </c>
      <c r="AU28" s="1882"/>
      <c r="AV28" s="66"/>
      <c r="AW28" s="66"/>
      <c r="AX28" s="66"/>
      <c r="AY28" s="66"/>
      <c r="AZ28" s="66"/>
      <c r="BA28" s="66"/>
      <c r="BB28" s="66"/>
      <c r="BC28" s="66"/>
      <c r="BD28" s="66"/>
      <c r="BE28" s="66"/>
      <c r="BF28" s="66"/>
    </row>
    <row r="29" spans="1:58" ht="32.25" customHeight="1">
      <c r="A29" s="72" t="str">
        <f>'G-1 All Habitats'!B28</f>
        <v>Heathland and shrub - Gorse scrub</v>
      </c>
      <c r="B29" s="72" t="s">
        <v>107</v>
      </c>
      <c r="C29" s="72" t="str">
        <f>'G-1 All Habitats'!K28</f>
        <v>Medium</v>
      </c>
      <c r="D29" s="72" t="str">
        <f>'G-1 All Habitats'!M28</f>
        <v>Same broad habitat or a higher distinctiveness habitat required (≥)</v>
      </c>
      <c r="E29" s="1056">
        <f>SUMIF('A-1 On-Site Habitat Baseline'!$AV$11:$AV$258,'G-2 Habitat groups'!A29,'A-1 On-Site Habitat Baseline'!$H$11:$H$258)</f>
        <v>0</v>
      </c>
      <c r="F29" s="1056">
        <f>SUMIF('A-1 On-Site Habitat Baseline'!$AV$11:$AV$258,'G-2 Habitat groups'!A29,'A-1 On-Site Habitat Baseline'!$Q$11:$Q$258)</f>
        <v>0</v>
      </c>
      <c r="G29" s="1056">
        <f>SUMIF('A-1 On-Site Habitat Baseline'!$AV$11:$AV$258,'G-2 Habitat groups'!A29,'A-1 On-Site Habitat Baseline'!$S$11:$S$258)</f>
        <v>0</v>
      </c>
      <c r="H29" s="1056">
        <f>SUMIF('A-1 On-Site Habitat Baseline'!$AV$11:$AV$258,'G-2 Habitat groups'!A29,'A-1 On-Site Habitat Baseline'!$U$11:$U$258)+SUMIF('A-1 On-Site Habitat Baseline'!$AV$11:$AV$258,'G-2 Habitat groups'!A29,'A-1 On-Site Habitat Baseline'!$AT$11:$AT$258)</f>
        <v>0</v>
      </c>
      <c r="I29" s="1056">
        <f>SUMIF('A-1 On-Site Habitat Baseline'!$AV$11:$AV$258,'G-2 Habitat groups'!A29,'A-1 On-Site Habitat Baseline'!$W$11:$W$258)</f>
        <v>0</v>
      </c>
      <c r="J29" s="1056">
        <f>SUMIF('A-1 On-Site Habitat Baseline'!$AV$11:$AV$258,'G-2 Habitat groups'!A29,'A-1 On-Site Habitat Baseline'!$X$11:$X$258)</f>
        <v>0</v>
      </c>
      <c r="K29" s="1056">
        <f>SUMIF('A-2 On-Site Habitat Creation'!$F$11:$F$256,'G-2 Habitat groups'!A29,'A-2 On-Site Habitat Creation'!$G$11:$G$256)</f>
        <v>0</v>
      </c>
      <c r="L29" s="1056">
        <f>SUMIF('A-2 On-Site Habitat Creation'!$F$11:$F$256,'G-2 Habitat groups'!A29,'A-2 On-Site Habitat Creation'!$Y$11:$Y$256)</f>
        <v>0</v>
      </c>
      <c r="M29" s="1056">
        <f>SUMIF('A-3 On-Site Habitat Enhancement'!$S$12:$S$257,'G-2 Habitat groups'!A29,'A-3 On-Site Habitat Enhancement'!$V$12:$V$257)</f>
        <v>0</v>
      </c>
      <c r="N29" s="1056">
        <f>SUMIF('A-3 On-Site Habitat Enhancement'!$S$12:$S$257,'G-2 Habitat groups'!A29,'A-3 On-Site Habitat Enhancement'!$AN$12:$AN$257)</f>
        <v>0</v>
      </c>
      <c r="O29" s="1056">
        <f t="shared" si="1"/>
        <v>0</v>
      </c>
      <c r="P29" s="1056">
        <f t="shared" si="2"/>
        <v>0</v>
      </c>
      <c r="Q29" s="1056">
        <f t="shared" si="3"/>
        <v>0</v>
      </c>
      <c r="R29" s="1056">
        <f t="shared" si="4"/>
        <v>0</v>
      </c>
      <c r="S29" s="1056">
        <f>SUMIF('D-1 Off-Site Habitat Baseline'!$AV$11:$AV$258,'G-2 Habitat groups'!A29,'D-1 Off-Site Habitat Baseline'!$H$11:$H$258)</f>
        <v>0</v>
      </c>
      <c r="T29" s="1056">
        <f>SUMIF('D-1 Off-Site Habitat Baseline'!$AV$11:$AV$258,'G-2 Habitat groups'!A29,'D-1 Off-Site Habitat Baseline'!$T$11:$T$258)</f>
        <v>0</v>
      </c>
      <c r="U29" s="1056">
        <f>SUMIF('D-1 Off-Site Habitat Baseline'!$AV$11:$AV$258,'G-2 Habitat groups'!A29,'D-1 Off-Site Habitat Baseline'!$V$11:$V$258)</f>
        <v>0</v>
      </c>
      <c r="V29" s="1056">
        <f>SUMIF('D-1 Off-Site Habitat Baseline'!$AV$11:$AV$258,'G-2 Habitat groups'!A29,'D-1 Off-Site Habitat Baseline'!$X$11:$X$258)+SUMIF('D-1 Off-Site Habitat Baseline'!$AV$11:$AV$258,'G-2 Habitat groups'!A29,'D-1 Off-Site Habitat Baseline'!$AS$11:$AS$258)</f>
        <v>0</v>
      </c>
      <c r="W29" s="1056">
        <f>SUMIF('D-2 Off-Site Habitat Creation'!$F$9:$F$255,'G-2 Habitat groups'!A29,'D-2 Off-Site Habitat Creation'!$G$9:$G$255)</f>
        <v>0</v>
      </c>
      <c r="X29" s="1056">
        <f>SUMIF('D-2 Off-Site Habitat Creation'!$F$9:$F$255,'G-2 Habitat groups'!A29,'D-2 Off-Site Habitat Creation'!$AB$9:$AB$255)</f>
        <v>0</v>
      </c>
      <c r="Y29" s="1056">
        <f>SUMIF('D-3 Off-Site Habitat Enhancment'!$S$12:$S$491,'G-2 Habitat groups'!A29,'D-3 Off-Site Habitat Enhancment'!$V$12:$V$491)</f>
        <v>0</v>
      </c>
      <c r="Z29" s="1056">
        <f>SUMIF('D-3 Off-Site Habitat Enhancment'!$S$12:$S$491,'G-2 Habitat groups'!A29,'D-3 Off-Site Habitat Enhancment'!$AQ$12:$AQ$491)</f>
        <v>0</v>
      </c>
      <c r="AA29" s="1056">
        <f t="shared" si="5"/>
        <v>0</v>
      </c>
      <c r="AB29" s="1056">
        <f t="shared" si="14"/>
        <v>0</v>
      </c>
      <c r="AC29" s="1056">
        <f t="shared" si="6"/>
        <v>0</v>
      </c>
      <c r="AD29" s="1056">
        <f t="shared" si="15"/>
        <v>0</v>
      </c>
      <c r="AE29" s="1056">
        <f t="shared" si="7"/>
        <v>0</v>
      </c>
      <c r="AF29" s="1056">
        <f t="shared" si="16"/>
        <v>0</v>
      </c>
      <c r="AJ29" s="1060" t="s">
        <v>113</v>
      </c>
      <c r="AK29" s="1055">
        <f t="shared" si="28"/>
        <v>0</v>
      </c>
      <c r="AL29" s="1055">
        <f t="shared" si="29"/>
        <v>0</v>
      </c>
      <c r="AM29" s="1055">
        <f t="shared" si="30"/>
        <v>0</v>
      </c>
      <c r="AN29" s="1055">
        <f t="shared" si="31"/>
        <v>0</v>
      </c>
      <c r="AO29" s="1055">
        <f t="shared" si="32"/>
        <v>0</v>
      </c>
      <c r="AP29" s="1055">
        <f t="shared" si="33"/>
        <v>0</v>
      </c>
      <c r="AU29" s="81" t="s">
        <v>520</v>
      </c>
      <c r="AV29" s="84" t="s">
        <v>201</v>
      </c>
      <c r="AW29" s="84" t="s">
        <v>1088</v>
      </c>
      <c r="AX29" s="84" t="s">
        <v>1089</v>
      </c>
      <c r="AY29" s="84" t="s">
        <v>1090</v>
      </c>
      <c r="AZ29" s="84" t="s">
        <v>1091</v>
      </c>
      <c r="BA29" s="84" t="s">
        <v>1092</v>
      </c>
      <c r="BB29" s="84" t="s">
        <v>1103</v>
      </c>
      <c r="BC29" s="84" t="s">
        <v>1094</v>
      </c>
      <c r="BD29" s="84" t="s">
        <v>1095</v>
      </c>
      <c r="BE29" s="84" t="s">
        <v>1096</v>
      </c>
      <c r="BF29" s="84" t="s">
        <v>1097</v>
      </c>
    </row>
    <row r="30" spans="1:58" ht="14">
      <c r="A30" s="72" t="str">
        <f>'G-1 All Habitats'!B29</f>
        <v>Heathland and shrub - Hawthorn scrub</v>
      </c>
      <c r="B30" s="72" t="s">
        <v>107</v>
      </c>
      <c r="C30" s="72" t="str">
        <f>'G-1 All Habitats'!K29</f>
        <v>Medium</v>
      </c>
      <c r="D30" s="72" t="str">
        <f>'G-1 All Habitats'!M29</f>
        <v>Same broad habitat or a higher distinctiveness habitat required (≥)</v>
      </c>
      <c r="E30" s="1056">
        <f>SUMIF('A-1 On-Site Habitat Baseline'!$AV$11:$AV$258,'G-2 Habitat groups'!A30,'A-1 On-Site Habitat Baseline'!$H$11:$H$258)</f>
        <v>0</v>
      </c>
      <c r="F30" s="1056">
        <f>SUMIF('A-1 On-Site Habitat Baseline'!$AV$11:$AV$258,'G-2 Habitat groups'!A30,'A-1 On-Site Habitat Baseline'!$Q$11:$Q$258)</f>
        <v>0</v>
      </c>
      <c r="G30" s="1056">
        <f>SUMIF('A-1 On-Site Habitat Baseline'!$AV$11:$AV$258,'G-2 Habitat groups'!A30,'A-1 On-Site Habitat Baseline'!$S$11:$S$258)</f>
        <v>0</v>
      </c>
      <c r="H30" s="1056">
        <f>SUMIF('A-1 On-Site Habitat Baseline'!$AV$11:$AV$258,'G-2 Habitat groups'!A30,'A-1 On-Site Habitat Baseline'!$U$11:$U$258)+SUMIF('A-1 On-Site Habitat Baseline'!$AV$11:$AV$258,'G-2 Habitat groups'!A30,'A-1 On-Site Habitat Baseline'!$AT$11:$AT$258)</f>
        <v>0</v>
      </c>
      <c r="I30" s="1056">
        <f>SUMIF('A-1 On-Site Habitat Baseline'!$AV$11:$AV$258,'G-2 Habitat groups'!A30,'A-1 On-Site Habitat Baseline'!$W$11:$W$258)</f>
        <v>0</v>
      </c>
      <c r="J30" s="1056">
        <f>SUMIF('A-1 On-Site Habitat Baseline'!$AV$11:$AV$258,'G-2 Habitat groups'!A30,'A-1 On-Site Habitat Baseline'!$X$11:$X$258)</f>
        <v>0</v>
      </c>
      <c r="K30" s="1056">
        <f>SUMIF('A-2 On-Site Habitat Creation'!$F$11:$F$256,'G-2 Habitat groups'!A30,'A-2 On-Site Habitat Creation'!$G$11:$G$256)</f>
        <v>0</v>
      </c>
      <c r="L30" s="1056">
        <f>SUMIF('A-2 On-Site Habitat Creation'!$F$11:$F$256,'G-2 Habitat groups'!A30,'A-2 On-Site Habitat Creation'!$Y$11:$Y$256)</f>
        <v>0</v>
      </c>
      <c r="M30" s="1056">
        <f>SUMIF('A-3 On-Site Habitat Enhancement'!$S$12:$S$257,'G-2 Habitat groups'!A30,'A-3 On-Site Habitat Enhancement'!$V$12:$V$257)</f>
        <v>0</v>
      </c>
      <c r="N30" s="1056">
        <f>SUMIF('A-3 On-Site Habitat Enhancement'!$S$12:$S$257,'G-2 Habitat groups'!A30,'A-3 On-Site Habitat Enhancement'!$AN$12:$AN$257)</f>
        <v>0</v>
      </c>
      <c r="O30" s="1056">
        <f t="shared" si="1"/>
        <v>0</v>
      </c>
      <c r="P30" s="1056">
        <f t="shared" si="2"/>
        <v>0</v>
      </c>
      <c r="Q30" s="1056">
        <f t="shared" si="3"/>
        <v>0</v>
      </c>
      <c r="R30" s="1056">
        <f t="shared" si="4"/>
        <v>0</v>
      </c>
      <c r="S30" s="1056">
        <f>SUMIF('D-1 Off-Site Habitat Baseline'!$AV$11:$AV$258,'G-2 Habitat groups'!A30,'D-1 Off-Site Habitat Baseline'!$H$11:$H$258)</f>
        <v>0</v>
      </c>
      <c r="T30" s="1056">
        <f>SUMIF('D-1 Off-Site Habitat Baseline'!$AV$11:$AV$258,'G-2 Habitat groups'!A30,'D-1 Off-Site Habitat Baseline'!$T$11:$T$258)</f>
        <v>0</v>
      </c>
      <c r="U30" s="1056">
        <f>SUMIF('D-1 Off-Site Habitat Baseline'!$AV$11:$AV$258,'G-2 Habitat groups'!A30,'D-1 Off-Site Habitat Baseline'!$V$11:$V$258)</f>
        <v>0</v>
      </c>
      <c r="V30" s="1056">
        <f>SUMIF('D-1 Off-Site Habitat Baseline'!$AV$11:$AV$258,'G-2 Habitat groups'!A30,'D-1 Off-Site Habitat Baseline'!$X$11:$X$258)+SUMIF('D-1 Off-Site Habitat Baseline'!$AV$11:$AV$258,'G-2 Habitat groups'!A30,'D-1 Off-Site Habitat Baseline'!$AS$11:$AS$258)</f>
        <v>0</v>
      </c>
      <c r="W30" s="1056">
        <f>SUMIF('D-2 Off-Site Habitat Creation'!$F$9:$F$255,'G-2 Habitat groups'!A30,'D-2 Off-Site Habitat Creation'!$G$9:$G$255)</f>
        <v>0</v>
      </c>
      <c r="X30" s="1056">
        <f>SUMIF('D-2 Off-Site Habitat Creation'!$F$9:$F$255,'G-2 Habitat groups'!A30,'D-2 Off-Site Habitat Creation'!$AB$9:$AB$255)</f>
        <v>0</v>
      </c>
      <c r="Y30" s="1056">
        <f>SUMIF('D-3 Off-Site Habitat Enhancment'!$S$12:$S$491,'G-2 Habitat groups'!A30,'D-3 Off-Site Habitat Enhancment'!$V$12:$V$491)</f>
        <v>0</v>
      </c>
      <c r="Z30" s="1056">
        <f>SUMIF('D-3 Off-Site Habitat Enhancment'!$S$12:$S$491,'G-2 Habitat groups'!A30,'D-3 Off-Site Habitat Enhancment'!$AQ$12:$AQ$491)</f>
        <v>0</v>
      </c>
      <c r="AA30" s="1056">
        <f t="shared" si="5"/>
        <v>0</v>
      </c>
      <c r="AB30" s="1056">
        <f t="shared" si="14"/>
        <v>0</v>
      </c>
      <c r="AC30" s="1056">
        <f t="shared" si="6"/>
        <v>0</v>
      </c>
      <c r="AD30" s="1056">
        <f t="shared" si="15"/>
        <v>0</v>
      </c>
      <c r="AE30" s="1056">
        <f t="shared" si="7"/>
        <v>0</v>
      </c>
      <c r="AF30" s="1056">
        <f t="shared" si="16"/>
        <v>0</v>
      </c>
      <c r="AJ30" s="1060" t="s">
        <v>553</v>
      </c>
      <c r="AK30" s="1055">
        <f t="shared" si="28"/>
        <v>0</v>
      </c>
      <c r="AL30" s="1055">
        <f t="shared" si="29"/>
        <v>0</v>
      </c>
      <c r="AM30" s="1055">
        <f t="shared" si="30"/>
        <v>0</v>
      </c>
      <c r="AN30" s="1055">
        <f t="shared" si="31"/>
        <v>0</v>
      </c>
      <c r="AO30" s="1055">
        <f t="shared" si="32"/>
        <v>0</v>
      </c>
      <c r="AP30" s="1055">
        <f t="shared" si="33"/>
        <v>0</v>
      </c>
      <c r="AU30" s="73" t="s">
        <v>570</v>
      </c>
      <c r="AV30" s="62" t="s">
        <v>106</v>
      </c>
      <c r="AW30" s="274">
        <f t="shared" si="34" ref="AW30:AW73">VLOOKUP($AU30,AllHabsSummaryData,5,FALSE)</f>
        <v>0</v>
      </c>
      <c r="AX30" s="274">
        <f t="shared" si="35" ref="AX30:AX73">VLOOKUP($AU30,AllHabsSummaryData,10,FALSE)</f>
        <v>0</v>
      </c>
      <c r="AY30" s="274">
        <f t="shared" si="36" ref="AY30:AY73">VLOOKUP($AU30,AllHabsSummaryData,15,FALSE)</f>
        <v>0</v>
      </c>
      <c r="AZ30" s="274">
        <f t="shared" si="37" ref="AZ30:AZ73">VLOOKUP($AU30,AllHabsSummaryData,16,FALSE)</f>
        <v>0</v>
      </c>
      <c r="BA30" s="274">
        <f t="shared" si="38" ref="BA30:BA73">VLOOKUP($AU30,AllHabsSummaryData,17,FALSE)</f>
        <v>0</v>
      </c>
      <c r="BB30" s="274">
        <f t="shared" si="39" ref="BB30:BB73">VLOOKUP($AU30,AllHabsSummaryData,18,FALSE)</f>
        <v>0</v>
      </c>
      <c r="BC30" s="274">
        <f t="shared" si="40" ref="BC30:BC73">VLOOKUP($AU30,AllHabsSummaryData,27,FALSE)</f>
        <v>0</v>
      </c>
      <c r="BD30" s="274">
        <f t="shared" si="41" ref="BD30:BD73">VLOOKUP($AU30,AllHabsSummaryData,30,FALSE)</f>
        <v>0</v>
      </c>
      <c r="BE30" s="274">
        <f t="shared" si="42" ref="BE30:BE73">BB30+BD30</f>
        <v>0</v>
      </c>
      <c r="BF30" s="274" t="str">
        <f t="shared" si="43" ref="BF30:BF73">IF(BE30&lt;0,BE30,"")</f>
        <v/>
      </c>
    </row>
    <row r="31" spans="1:58" ht="14">
      <c r="A31" s="72" t="str">
        <f>'G-1 All Habitats'!B30</f>
        <v>Heathland and shrub - Hazel scrub</v>
      </c>
      <c r="B31" s="72" t="s">
        <v>107</v>
      </c>
      <c r="C31" s="72" t="str">
        <f>'G-1 All Habitats'!K30</f>
        <v>Medium</v>
      </c>
      <c r="D31" s="72" t="str">
        <f>'G-1 All Habitats'!M30</f>
        <v>Same broad habitat or a higher distinctiveness habitat required (≥)</v>
      </c>
      <c r="E31" s="1056">
        <f>SUMIF('A-1 On-Site Habitat Baseline'!$AV$11:$AV$258,'G-2 Habitat groups'!A31,'A-1 On-Site Habitat Baseline'!$H$11:$H$258)</f>
        <v>0</v>
      </c>
      <c r="F31" s="1056">
        <f>SUMIF('A-1 On-Site Habitat Baseline'!$AV$11:$AV$258,'G-2 Habitat groups'!A31,'A-1 On-Site Habitat Baseline'!$Q$11:$Q$258)</f>
        <v>0</v>
      </c>
      <c r="G31" s="1056">
        <f>SUMIF('A-1 On-Site Habitat Baseline'!$AV$11:$AV$258,'G-2 Habitat groups'!A31,'A-1 On-Site Habitat Baseline'!$S$11:$S$258)</f>
        <v>0</v>
      </c>
      <c r="H31" s="1056">
        <f>SUMIF('A-1 On-Site Habitat Baseline'!$AV$11:$AV$258,'G-2 Habitat groups'!A31,'A-1 On-Site Habitat Baseline'!$U$11:$U$258)+SUMIF('A-1 On-Site Habitat Baseline'!$AV$11:$AV$258,'G-2 Habitat groups'!A31,'A-1 On-Site Habitat Baseline'!$AT$11:$AT$258)</f>
        <v>0</v>
      </c>
      <c r="I31" s="1056">
        <f>SUMIF('A-1 On-Site Habitat Baseline'!$AV$11:$AV$258,'G-2 Habitat groups'!A31,'A-1 On-Site Habitat Baseline'!$W$11:$W$258)</f>
        <v>0</v>
      </c>
      <c r="J31" s="1056">
        <f>SUMIF('A-1 On-Site Habitat Baseline'!$AV$11:$AV$258,'G-2 Habitat groups'!A31,'A-1 On-Site Habitat Baseline'!$X$11:$X$258)</f>
        <v>0</v>
      </c>
      <c r="K31" s="1056">
        <f>SUMIF('A-2 On-Site Habitat Creation'!$F$11:$F$256,'G-2 Habitat groups'!A31,'A-2 On-Site Habitat Creation'!$G$11:$G$256)</f>
        <v>0</v>
      </c>
      <c r="L31" s="1056">
        <f>SUMIF('A-2 On-Site Habitat Creation'!$F$11:$F$256,'G-2 Habitat groups'!A31,'A-2 On-Site Habitat Creation'!$Y$11:$Y$256)</f>
        <v>0</v>
      </c>
      <c r="M31" s="1056">
        <f>SUMIF('A-3 On-Site Habitat Enhancement'!$S$12:$S$257,'G-2 Habitat groups'!A31,'A-3 On-Site Habitat Enhancement'!$V$12:$V$257)</f>
        <v>0</v>
      </c>
      <c r="N31" s="1056">
        <f>SUMIF('A-3 On-Site Habitat Enhancement'!$S$12:$S$257,'G-2 Habitat groups'!A31,'A-3 On-Site Habitat Enhancement'!$AN$12:$AN$257)</f>
        <v>0</v>
      </c>
      <c r="O31" s="1056">
        <f t="shared" si="1"/>
        <v>0</v>
      </c>
      <c r="P31" s="1056">
        <f t="shared" si="2"/>
        <v>0</v>
      </c>
      <c r="Q31" s="1056">
        <f t="shared" si="3"/>
        <v>0</v>
      </c>
      <c r="R31" s="1056">
        <f t="shared" si="4"/>
        <v>0</v>
      </c>
      <c r="S31" s="1056">
        <f>SUMIF('D-1 Off-Site Habitat Baseline'!$AV$11:$AV$258,'G-2 Habitat groups'!A31,'D-1 Off-Site Habitat Baseline'!$H$11:$H$258)</f>
        <v>0</v>
      </c>
      <c r="T31" s="1056">
        <f>SUMIF('D-1 Off-Site Habitat Baseline'!$AV$11:$AV$258,'G-2 Habitat groups'!A31,'D-1 Off-Site Habitat Baseline'!$T$11:$T$258)</f>
        <v>0</v>
      </c>
      <c r="U31" s="1056">
        <f>SUMIF('D-1 Off-Site Habitat Baseline'!$AV$11:$AV$258,'G-2 Habitat groups'!A31,'D-1 Off-Site Habitat Baseline'!$V$11:$V$258)</f>
        <v>0</v>
      </c>
      <c r="V31" s="1056">
        <f>SUMIF('D-1 Off-Site Habitat Baseline'!$AV$11:$AV$258,'G-2 Habitat groups'!A31,'D-1 Off-Site Habitat Baseline'!$X$11:$X$258)+SUMIF('D-1 Off-Site Habitat Baseline'!$AV$11:$AV$258,'G-2 Habitat groups'!A31,'D-1 Off-Site Habitat Baseline'!$AS$11:$AS$258)</f>
        <v>0</v>
      </c>
      <c r="W31" s="1056">
        <f>SUMIF('D-2 Off-Site Habitat Creation'!$F$9:$F$255,'G-2 Habitat groups'!A31,'D-2 Off-Site Habitat Creation'!$G$9:$G$255)</f>
        <v>0</v>
      </c>
      <c r="X31" s="1056">
        <f>SUMIF('D-2 Off-Site Habitat Creation'!$F$9:$F$255,'G-2 Habitat groups'!A31,'D-2 Off-Site Habitat Creation'!$AB$9:$AB$255)</f>
        <v>0</v>
      </c>
      <c r="Y31" s="1056">
        <f>SUMIF('D-3 Off-Site Habitat Enhancment'!$S$12:$S$491,'G-2 Habitat groups'!A31,'D-3 Off-Site Habitat Enhancment'!$V$12:$V$491)</f>
        <v>0</v>
      </c>
      <c r="Z31" s="1056">
        <f>SUMIF('D-3 Off-Site Habitat Enhancment'!$S$12:$S$491,'G-2 Habitat groups'!A31,'D-3 Off-Site Habitat Enhancment'!$AQ$12:$AQ$491)</f>
        <v>0</v>
      </c>
      <c r="AA31" s="1056">
        <f t="shared" si="5"/>
        <v>0</v>
      </c>
      <c r="AB31" s="1056">
        <f t="shared" si="14"/>
        <v>0</v>
      </c>
      <c r="AC31" s="1056">
        <f t="shared" si="6"/>
        <v>0</v>
      </c>
      <c r="AD31" s="1056">
        <f t="shared" si="15"/>
        <v>0</v>
      </c>
      <c r="AE31" s="1056">
        <f t="shared" si="7"/>
        <v>0</v>
      </c>
      <c r="AF31" s="1056">
        <f t="shared" si="16"/>
        <v>0</v>
      </c>
      <c r="AJ31" s="1060" t="s">
        <v>548</v>
      </c>
      <c r="AK31" s="1055">
        <f t="shared" si="28"/>
        <v>0</v>
      </c>
      <c r="AL31" s="1055">
        <f t="shared" si="29"/>
        <v>0</v>
      </c>
      <c r="AM31" s="1055">
        <f t="shared" si="30"/>
        <v>0</v>
      </c>
      <c r="AN31" s="1055">
        <f t="shared" si="31"/>
        <v>0</v>
      </c>
      <c r="AO31" s="1055">
        <f t="shared" si="32"/>
        <v>0</v>
      </c>
      <c r="AP31" s="1055">
        <f t="shared" si="33"/>
        <v>0</v>
      </c>
      <c r="AU31" s="73" t="s">
        <v>534</v>
      </c>
      <c r="AV31" s="62" t="s">
        <v>106</v>
      </c>
      <c r="AW31" s="274">
        <f t="shared" si="34"/>
        <v>0</v>
      </c>
      <c r="AX31" s="274">
        <f t="shared" si="35"/>
        <v>0</v>
      </c>
      <c r="AY31" s="274">
        <f t="shared" si="36"/>
        <v>0</v>
      </c>
      <c r="AZ31" s="274">
        <f t="shared" si="37"/>
        <v>0</v>
      </c>
      <c r="BA31" s="274">
        <f t="shared" si="38"/>
        <v>0</v>
      </c>
      <c r="BB31" s="274">
        <f t="shared" si="39"/>
        <v>0</v>
      </c>
      <c r="BC31" s="274">
        <f t="shared" si="40"/>
        <v>0</v>
      </c>
      <c r="BD31" s="274">
        <f t="shared" si="41"/>
        <v>0</v>
      </c>
      <c r="BE31" s="274">
        <f t="shared" si="42"/>
        <v>0</v>
      </c>
      <c r="BF31" s="274" t="str">
        <f t="shared" si="43"/>
        <v/>
      </c>
    </row>
    <row r="32" spans="1:58" ht="14">
      <c r="A32" s="72" t="str">
        <f>'G-1 All Habitats'!B31</f>
        <v>Heathland and shrub - Lowland heathland</v>
      </c>
      <c r="B32" s="72" t="s">
        <v>107</v>
      </c>
      <c r="C32" s="72" t="str">
        <f>'G-1 All Habitats'!K31</f>
        <v>High</v>
      </c>
      <c r="D32" s="72" t="str">
        <f>'G-1 All Habitats'!M31</f>
        <v>Same habitat required =</v>
      </c>
      <c r="E32" s="1056">
        <f>SUMIF('A-1 On-Site Habitat Baseline'!$AV$11:$AV$258,'G-2 Habitat groups'!A32,'A-1 On-Site Habitat Baseline'!$H$11:$H$258)</f>
        <v>0</v>
      </c>
      <c r="F32" s="1056">
        <f>SUMIF('A-1 On-Site Habitat Baseline'!$AV$11:$AV$258,'G-2 Habitat groups'!A32,'A-1 On-Site Habitat Baseline'!$Q$11:$Q$258)</f>
        <v>0</v>
      </c>
      <c r="G32" s="1056">
        <f>SUMIF('A-1 On-Site Habitat Baseline'!$AV$11:$AV$258,'G-2 Habitat groups'!A32,'A-1 On-Site Habitat Baseline'!$S$11:$S$258)</f>
        <v>0</v>
      </c>
      <c r="H32" s="1056">
        <f>SUMIF('A-1 On-Site Habitat Baseline'!$AV$11:$AV$258,'G-2 Habitat groups'!A32,'A-1 On-Site Habitat Baseline'!$U$11:$U$258)+SUMIF('A-1 On-Site Habitat Baseline'!$AV$11:$AV$258,'G-2 Habitat groups'!A32,'A-1 On-Site Habitat Baseline'!$AT$11:$AT$258)</f>
        <v>0</v>
      </c>
      <c r="I32" s="1056">
        <f>SUMIF('A-1 On-Site Habitat Baseline'!$AV$11:$AV$258,'G-2 Habitat groups'!A32,'A-1 On-Site Habitat Baseline'!$W$11:$W$258)</f>
        <v>0</v>
      </c>
      <c r="J32" s="1056">
        <f>SUMIF('A-1 On-Site Habitat Baseline'!$AV$11:$AV$258,'G-2 Habitat groups'!A32,'A-1 On-Site Habitat Baseline'!$X$11:$X$258)</f>
        <v>0</v>
      </c>
      <c r="K32" s="1056">
        <f>SUMIF('A-2 On-Site Habitat Creation'!$F$11:$F$256,'G-2 Habitat groups'!A32,'A-2 On-Site Habitat Creation'!$G$11:$G$256)</f>
        <v>0</v>
      </c>
      <c r="L32" s="1056">
        <f>SUMIF('A-2 On-Site Habitat Creation'!$F$11:$F$256,'G-2 Habitat groups'!A32,'A-2 On-Site Habitat Creation'!$Y$11:$Y$256)</f>
        <v>0</v>
      </c>
      <c r="M32" s="1056">
        <f>SUMIF('A-3 On-Site Habitat Enhancement'!$S$12:$S$257,'G-2 Habitat groups'!A32,'A-3 On-Site Habitat Enhancement'!$V$12:$V$257)</f>
        <v>0</v>
      </c>
      <c r="N32" s="1056">
        <f>SUMIF('A-3 On-Site Habitat Enhancement'!$S$12:$S$257,'G-2 Habitat groups'!A32,'A-3 On-Site Habitat Enhancement'!$AN$12:$AN$257)</f>
        <v>0</v>
      </c>
      <c r="O32" s="1056">
        <f t="shared" si="1"/>
        <v>0</v>
      </c>
      <c r="P32" s="1056">
        <f t="shared" si="2"/>
        <v>0</v>
      </c>
      <c r="Q32" s="1056">
        <f t="shared" si="3"/>
        <v>0</v>
      </c>
      <c r="R32" s="1056">
        <f t="shared" si="4"/>
        <v>0</v>
      </c>
      <c r="S32" s="1056">
        <f>SUMIF('D-1 Off-Site Habitat Baseline'!$AV$11:$AV$258,'G-2 Habitat groups'!A32,'D-1 Off-Site Habitat Baseline'!$H$11:$H$258)</f>
        <v>0</v>
      </c>
      <c r="T32" s="1056">
        <f>SUMIF('D-1 Off-Site Habitat Baseline'!$AV$11:$AV$258,'G-2 Habitat groups'!A32,'D-1 Off-Site Habitat Baseline'!$T$11:$T$258)</f>
        <v>0</v>
      </c>
      <c r="U32" s="1056">
        <f>SUMIF('D-1 Off-Site Habitat Baseline'!$AV$11:$AV$258,'G-2 Habitat groups'!A32,'D-1 Off-Site Habitat Baseline'!$V$11:$V$258)</f>
        <v>0</v>
      </c>
      <c r="V32" s="1056">
        <f>SUMIF('D-1 Off-Site Habitat Baseline'!$AV$11:$AV$258,'G-2 Habitat groups'!A32,'D-1 Off-Site Habitat Baseline'!$X$11:$X$258)+SUMIF('D-1 Off-Site Habitat Baseline'!$AV$11:$AV$258,'G-2 Habitat groups'!A32,'D-1 Off-Site Habitat Baseline'!$AS$11:$AS$258)</f>
        <v>0</v>
      </c>
      <c r="W32" s="1056">
        <f>SUMIF('D-2 Off-Site Habitat Creation'!$F$9:$F$255,'G-2 Habitat groups'!A32,'D-2 Off-Site Habitat Creation'!$G$9:$G$255)</f>
        <v>0</v>
      </c>
      <c r="X32" s="1056">
        <f>SUMIF('D-2 Off-Site Habitat Creation'!$F$9:$F$255,'G-2 Habitat groups'!A32,'D-2 Off-Site Habitat Creation'!$AB$9:$AB$255)</f>
        <v>0</v>
      </c>
      <c r="Y32" s="1056">
        <f>SUMIF('D-3 Off-Site Habitat Enhancment'!$S$12:$S$491,'G-2 Habitat groups'!A32,'D-3 Off-Site Habitat Enhancment'!$V$12:$V$491)</f>
        <v>0</v>
      </c>
      <c r="Z32" s="1056">
        <f>SUMIF('D-3 Off-Site Habitat Enhancment'!$S$12:$S$491,'G-2 Habitat groups'!A32,'D-3 Off-Site Habitat Enhancment'!$AQ$12:$AQ$491)</f>
        <v>0</v>
      </c>
      <c r="AA32" s="1056">
        <f t="shared" si="5"/>
        <v>0</v>
      </c>
      <c r="AB32" s="1056">
        <f t="shared" si="14"/>
        <v>0</v>
      </c>
      <c r="AC32" s="1056">
        <f t="shared" si="6"/>
        <v>0</v>
      </c>
      <c r="AD32" s="1056">
        <f t="shared" si="15"/>
        <v>0</v>
      </c>
      <c r="AE32" s="1056">
        <f t="shared" si="7"/>
        <v>0</v>
      </c>
      <c r="AF32" s="1056">
        <f t="shared" si="16"/>
        <v>0</v>
      </c>
      <c r="AJ32" s="1060" t="s">
        <v>116</v>
      </c>
      <c r="AK32" s="1055">
        <f t="shared" si="28"/>
        <v>0</v>
      </c>
      <c r="AL32" s="1055">
        <f t="shared" si="29"/>
        <v>0</v>
      </c>
      <c r="AM32" s="1055">
        <f t="shared" si="30"/>
        <v>0</v>
      </c>
      <c r="AN32" s="1055">
        <f t="shared" si="31"/>
        <v>0</v>
      </c>
      <c r="AO32" s="1055">
        <f t="shared" si="32"/>
        <v>0</v>
      </c>
      <c r="AP32" s="1055">
        <f t="shared" si="33"/>
        <v>0</v>
      </c>
      <c r="AU32" s="73" t="s">
        <v>563</v>
      </c>
      <c r="AV32" s="62" t="s">
        <v>106</v>
      </c>
      <c r="AW32" s="274">
        <f t="shared" si="34"/>
        <v>0</v>
      </c>
      <c r="AX32" s="274">
        <f t="shared" si="35"/>
        <v>0</v>
      </c>
      <c r="AY32" s="274">
        <f t="shared" si="36"/>
        <v>0</v>
      </c>
      <c r="AZ32" s="274">
        <f t="shared" si="37"/>
        <v>0</v>
      </c>
      <c r="BA32" s="274">
        <f t="shared" si="38"/>
        <v>0</v>
      </c>
      <c r="BB32" s="274">
        <f t="shared" si="39"/>
        <v>0</v>
      </c>
      <c r="BC32" s="274">
        <f t="shared" si="40"/>
        <v>0</v>
      </c>
      <c r="BD32" s="274">
        <f t="shared" si="41"/>
        <v>0</v>
      </c>
      <c r="BE32" s="274">
        <f t="shared" si="42"/>
        <v>0</v>
      </c>
      <c r="BF32" s="274" t="str">
        <f t="shared" si="43"/>
        <v/>
      </c>
    </row>
    <row r="33" spans="1:58" ht="14">
      <c r="A33" s="72" t="str">
        <f>'G-1 All Habitats'!B32</f>
        <v>Heathland and shrub - Mixed scrub</v>
      </c>
      <c r="B33" s="72" t="s">
        <v>107</v>
      </c>
      <c r="C33" s="72" t="str">
        <f>'G-1 All Habitats'!K32</f>
        <v>Medium</v>
      </c>
      <c r="D33" s="72" t="str">
        <f>'G-1 All Habitats'!M32</f>
        <v>Same broad habitat or a higher distinctiveness habitat required (≥)</v>
      </c>
      <c r="E33" s="1056">
        <f>SUMIF('A-1 On-Site Habitat Baseline'!$AV$11:$AV$258,'G-2 Habitat groups'!A33,'A-1 On-Site Habitat Baseline'!$H$11:$H$258)</f>
        <v>0</v>
      </c>
      <c r="F33" s="1056">
        <f>SUMIF('A-1 On-Site Habitat Baseline'!$AV$11:$AV$258,'G-2 Habitat groups'!A33,'A-1 On-Site Habitat Baseline'!$Q$11:$Q$258)</f>
        <v>0</v>
      </c>
      <c r="G33" s="1056">
        <f>SUMIF('A-1 On-Site Habitat Baseline'!$AV$11:$AV$258,'G-2 Habitat groups'!A33,'A-1 On-Site Habitat Baseline'!$S$11:$S$258)</f>
        <v>0</v>
      </c>
      <c r="H33" s="1056">
        <f>SUMIF('A-1 On-Site Habitat Baseline'!$AV$11:$AV$258,'G-2 Habitat groups'!A33,'A-1 On-Site Habitat Baseline'!$U$11:$U$258)+SUMIF('A-1 On-Site Habitat Baseline'!$AV$11:$AV$258,'G-2 Habitat groups'!A33,'A-1 On-Site Habitat Baseline'!$AT$11:$AT$258)</f>
        <v>0</v>
      </c>
      <c r="I33" s="1056">
        <f>SUMIF('A-1 On-Site Habitat Baseline'!$AV$11:$AV$258,'G-2 Habitat groups'!A33,'A-1 On-Site Habitat Baseline'!$W$11:$W$258)</f>
        <v>0</v>
      </c>
      <c r="J33" s="1056">
        <f>SUMIF('A-1 On-Site Habitat Baseline'!$AV$11:$AV$258,'G-2 Habitat groups'!A33,'A-1 On-Site Habitat Baseline'!$X$11:$X$258)</f>
        <v>0</v>
      </c>
      <c r="K33" s="1056">
        <f>SUMIF('A-2 On-Site Habitat Creation'!$F$11:$F$256,'G-2 Habitat groups'!A33,'A-2 On-Site Habitat Creation'!$G$11:$G$256)</f>
        <v>0</v>
      </c>
      <c r="L33" s="1056">
        <f>SUMIF('A-2 On-Site Habitat Creation'!$F$11:$F$256,'G-2 Habitat groups'!A33,'A-2 On-Site Habitat Creation'!$Y$11:$Y$256)</f>
        <v>0</v>
      </c>
      <c r="M33" s="1056">
        <f>SUMIF('A-3 On-Site Habitat Enhancement'!$S$12:$S$257,'G-2 Habitat groups'!A33,'A-3 On-Site Habitat Enhancement'!$V$12:$V$257)</f>
        <v>0</v>
      </c>
      <c r="N33" s="1056">
        <f>SUMIF('A-3 On-Site Habitat Enhancement'!$S$12:$S$257,'G-2 Habitat groups'!A33,'A-3 On-Site Habitat Enhancement'!$AN$12:$AN$257)</f>
        <v>0</v>
      </c>
      <c r="O33" s="1056">
        <f t="shared" si="1"/>
        <v>0</v>
      </c>
      <c r="P33" s="1056">
        <f t="shared" si="2"/>
        <v>0</v>
      </c>
      <c r="Q33" s="1056">
        <f t="shared" si="3"/>
        <v>0</v>
      </c>
      <c r="R33" s="1056">
        <f t="shared" si="4"/>
        <v>0</v>
      </c>
      <c r="S33" s="1056">
        <f>SUMIF('D-1 Off-Site Habitat Baseline'!$AV$11:$AV$258,'G-2 Habitat groups'!A33,'D-1 Off-Site Habitat Baseline'!$H$11:$H$258)</f>
        <v>0</v>
      </c>
      <c r="T33" s="1056">
        <f>SUMIF('D-1 Off-Site Habitat Baseline'!$AV$11:$AV$258,'G-2 Habitat groups'!A33,'D-1 Off-Site Habitat Baseline'!$T$11:$T$258)</f>
        <v>0</v>
      </c>
      <c r="U33" s="1056">
        <f>SUMIF('D-1 Off-Site Habitat Baseline'!$AV$11:$AV$258,'G-2 Habitat groups'!A33,'D-1 Off-Site Habitat Baseline'!$V$11:$V$258)</f>
        <v>0</v>
      </c>
      <c r="V33" s="1056">
        <f>SUMIF('D-1 Off-Site Habitat Baseline'!$AV$11:$AV$258,'G-2 Habitat groups'!A33,'D-1 Off-Site Habitat Baseline'!$X$11:$X$258)+SUMIF('D-1 Off-Site Habitat Baseline'!$AV$11:$AV$258,'G-2 Habitat groups'!A33,'D-1 Off-Site Habitat Baseline'!$AS$11:$AS$258)</f>
        <v>0</v>
      </c>
      <c r="W33" s="1056">
        <f>SUMIF('D-2 Off-Site Habitat Creation'!$F$9:$F$255,'G-2 Habitat groups'!A33,'D-2 Off-Site Habitat Creation'!$G$9:$G$255)</f>
        <v>0</v>
      </c>
      <c r="X33" s="1056">
        <f>SUMIF('D-2 Off-Site Habitat Creation'!$F$9:$F$255,'G-2 Habitat groups'!A33,'D-2 Off-Site Habitat Creation'!$AB$9:$AB$255)</f>
        <v>0</v>
      </c>
      <c r="Y33" s="1056">
        <f>SUMIF('D-3 Off-Site Habitat Enhancment'!$S$12:$S$491,'G-2 Habitat groups'!A33,'D-3 Off-Site Habitat Enhancment'!$V$12:$V$491)</f>
        <v>0</v>
      </c>
      <c r="Z33" s="1056">
        <f>SUMIF('D-3 Off-Site Habitat Enhancment'!$S$12:$S$491,'G-2 Habitat groups'!A33,'D-3 Off-Site Habitat Enhancment'!$AQ$12:$AQ$491)</f>
        <v>0</v>
      </c>
      <c r="AA33" s="1056">
        <f t="shared" si="5"/>
        <v>0</v>
      </c>
      <c r="AB33" s="1056">
        <f t="shared" si="14"/>
        <v>0</v>
      </c>
      <c r="AC33" s="1056">
        <f t="shared" si="6"/>
        <v>0</v>
      </c>
      <c r="AD33" s="1056">
        <f t="shared" si="15"/>
        <v>0</v>
      </c>
      <c r="AE33" s="1056">
        <f t="shared" si="7"/>
        <v>0</v>
      </c>
      <c r="AF33" s="1056">
        <f t="shared" si="16"/>
        <v>0</v>
      </c>
      <c r="AJ33" s="1060" t="s">
        <v>117</v>
      </c>
      <c r="AK33" s="1055">
        <f t="shared" si="28"/>
        <v>0</v>
      </c>
      <c r="AL33" s="1055">
        <f t="shared" si="29"/>
        <v>0</v>
      </c>
      <c r="AM33" s="1055">
        <f t="shared" si="30"/>
        <v>0</v>
      </c>
      <c r="AN33" s="1055">
        <f t="shared" si="31"/>
        <v>0</v>
      </c>
      <c r="AO33" s="1055">
        <f t="shared" si="32"/>
        <v>0</v>
      </c>
      <c r="AP33" s="1055">
        <f t="shared" si="33"/>
        <v>0</v>
      </c>
      <c r="AU33" s="73" t="s">
        <v>564</v>
      </c>
      <c r="AV33" s="62" t="s">
        <v>106</v>
      </c>
      <c r="AW33" s="274">
        <f t="shared" si="34"/>
        <v>0</v>
      </c>
      <c r="AX33" s="274">
        <f t="shared" si="35"/>
        <v>0</v>
      </c>
      <c r="AY33" s="274">
        <f t="shared" si="36"/>
        <v>0</v>
      </c>
      <c r="AZ33" s="274">
        <f t="shared" si="37"/>
        <v>0</v>
      </c>
      <c r="BA33" s="274">
        <f t="shared" si="38"/>
        <v>0</v>
      </c>
      <c r="BB33" s="274">
        <f t="shared" si="39"/>
        <v>0</v>
      </c>
      <c r="BC33" s="274">
        <f t="shared" si="40"/>
        <v>0</v>
      </c>
      <c r="BD33" s="274">
        <f t="shared" si="41"/>
        <v>0</v>
      </c>
      <c r="BE33" s="274">
        <f t="shared" si="42"/>
        <v>0</v>
      </c>
      <c r="BF33" s="274" t="str">
        <f t="shared" si="43"/>
        <v/>
      </c>
    </row>
    <row r="34" spans="1:58" ht="14">
      <c r="A34" s="72" t="str">
        <f>'G-1 All Habitats'!B33</f>
        <v>Heathland and shrub - Mountain heaths and willow scrub</v>
      </c>
      <c r="B34" s="72" t="s">
        <v>107</v>
      </c>
      <c r="C34" s="72" t="str">
        <f>'G-1 All Habitats'!K33</f>
        <v>V.High</v>
      </c>
      <c r="D34" s="72" t="str">
        <f>'G-1 All Habitats'!M33</f>
        <v>Same habitat required – bespoke compensation option ⚠</v>
      </c>
      <c r="E34" s="1056">
        <f>SUMIF('A-1 On-Site Habitat Baseline'!$AV$11:$AV$258,'G-2 Habitat groups'!A34,'A-1 On-Site Habitat Baseline'!$H$11:$H$258)</f>
        <v>0</v>
      </c>
      <c r="F34" s="1056">
        <f>SUMIF('A-1 On-Site Habitat Baseline'!$AV$11:$AV$258,'G-2 Habitat groups'!A34,'A-1 On-Site Habitat Baseline'!$Q$11:$Q$258)</f>
        <v>0</v>
      </c>
      <c r="G34" s="1056">
        <f>SUMIF('A-1 On-Site Habitat Baseline'!$AV$11:$AV$258,'G-2 Habitat groups'!A34,'A-1 On-Site Habitat Baseline'!$S$11:$S$258)</f>
        <v>0</v>
      </c>
      <c r="H34" s="1056">
        <f>SUMIF('A-1 On-Site Habitat Baseline'!$AV$11:$AV$258,'G-2 Habitat groups'!A34,'A-1 On-Site Habitat Baseline'!$U$11:$U$258)+SUMIF('A-1 On-Site Habitat Baseline'!$AV$11:$AV$258,'G-2 Habitat groups'!A34,'A-1 On-Site Habitat Baseline'!$AT$11:$AT$258)</f>
        <v>0</v>
      </c>
      <c r="I34" s="1056">
        <f>SUMIF('A-1 On-Site Habitat Baseline'!$AV$11:$AV$258,'G-2 Habitat groups'!A34,'A-1 On-Site Habitat Baseline'!$W$11:$W$258)</f>
        <v>0</v>
      </c>
      <c r="J34" s="1056">
        <f>SUMIF('A-1 On-Site Habitat Baseline'!$AV$11:$AV$258,'G-2 Habitat groups'!A34,'A-1 On-Site Habitat Baseline'!$X$11:$X$258)</f>
        <v>0</v>
      </c>
      <c r="K34" s="1056">
        <f>SUMIF('A-2 On-Site Habitat Creation'!$F$11:$F$256,'G-2 Habitat groups'!A34,'A-2 On-Site Habitat Creation'!$G$11:$G$256)</f>
        <v>0</v>
      </c>
      <c r="L34" s="1056">
        <f>SUMIF('A-2 On-Site Habitat Creation'!$F$11:$F$256,'G-2 Habitat groups'!A34,'A-2 On-Site Habitat Creation'!$Y$11:$Y$256)</f>
        <v>0</v>
      </c>
      <c r="M34" s="1056">
        <f>SUMIF('A-3 On-Site Habitat Enhancement'!$S$12:$S$257,'G-2 Habitat groups'!A34,'A-3 On-Site Habitat Enhancement'!$V$12:$V$257)</f>
        <v>0</v>
      </c>
      <c r="N34" s="1056">
        <f>SUMIF('A-3 On-Site Habitat Enhancement'!$S$12:$S$257,'G-2 Habitat groups'!A34,'A-3 On-Site Habitat Enhancement'!$AN$12:$AN$257)</f>
        <v>0</v>
      </c>
      <c r="O34" s="1056">
        <f t="shared" si="1"/>
        <v>0</v>
      </c>
      <c r="P34" s="1056">
        <f t="shared" si="2"/>
        <v>0</v>
      </c>
      <c r="Q34" s="1056">
        <f t="shared" si="3"/>
        <v>0</v>
      </c>
      <c r="R34" s="1056">
        <f t="shared" si="4"/>
        <v>0</v>
      </c>
      <c r="S34" s="1056">
        <f>SUMIF('D-1 Off-Site Habitat Baseline'!$AV$11:$AV$258,'G-2 Habitat groups'!A34,'D-1 Off-Site Habitat Baseline'!$H$11:$H$258)</f>
        <v>0</v>
      </c>
      <c r="T34" s="1056">
        <f>SUMIF('D-1 Off-Site Habitat Baseline'!$AV$11:$AV$258,'G-2 Habitat groups'!A34,'D-1 Off-Site Habitat Baseline'!$T$11:$T$258)</f>
        <v>0</v>
      </c>
      <c r="U34" s="1056">
        <f>SUMIF('D-1 Off-Site Habitat Baseline'!$AV$11:$AV$258,'G-2 Habitat groups'!A34,'D-1 Off-Site Habitat Baseline'!$V$11:$V$258)</f>
        <v>0</v>
      </c>
      <c r="V34" s="1056">
        <f>SUMIF('D-1 Off-Site Habitat Baseline'!$AV$11:$AV$258,'G-2 Habitat groups'!A34,'D-1 Off-Site Habitat Baseline'!$X$11:$X$258)+SUMIF('D-1 Off-Site Habitat Baseline'!$AV$11:$AV$258,'G-2 Habitat groups'!A34,'D-1 Off-Site Habitat Baseline'!$AS$11:$AS$258)</f>
        <v>0</v>
      </c>
      <c r="W34" s="1056">
        <f>SUMIF('D-2 Off-Site Habitat Creation'!$F$9:$F$255,'G-2 Habitat groups'!A34,'D-2 Off-Site Habitat Creation'!$G$9:$G$255)</f>
        <v>0</v>
      </c>
      <c r="X34" s="1056">
        <f>SUMIF('D-2 Off-Site Habitat Creation'!$F$9:$F$255,'G-2 Habitat groups'!A34,'D-2 Off-Site Habitat Creation'!$AB$9:$AB$255)</f>
        <v>0</v>
      </c>
      <c r="Y34" s="1056">
        <f>SUMIF('D-3 Off-Site Habitat Enhancment'!$S$12:$S$491,'G-2 Habitat groups'!A34,'D-3 Off-Site Habitat Enhancment'!$V$12:$V$491)</f>
        <v>0</v>
      </c>
      <c r="Z34" s="1056">
        <f>SUMIF('D-3 Off-Site Habitat Enhancment'!$S$12:$S$491,'G-2 Habitat groups'!A34,'D-3 Off-Site Habitat Enhancment'!$AQ$12:$AQ$491)</f>
        <v>0</v>
      </c>
      <c r="AA34" s="1056">
        <f t="shared" si="5"/>
        <v>0</v>
      </c>
      <c r="AB34" s="1056">
        <f t="shared" si="14"/>
        <v>0</v>
      </c>
      <c r="AC34" s="1056">
        <f t="shared" si="6"/>
        <v>0</v>
      </c>
      <c r="AD34" s="1056">
        <f t="shared" si="15"/>
        <v>0</v>
      </c>
      <c r="AE34" s="1056">
        <f t="shared" si="7"/>
        <v>0</v>
      </c>
      <c r="AF34" s="1056">
        <f t="shared" si="16"/>
        <v>0</v>
      </c>
      <c r="AJ34" s="216" t="s">
        <v>119</v>
      </c>
      <c r="AK34" s="1055">
        <f>SUMIF($B:$B,$AJ34,S:S)</f>
        <v>0</v>
      </c>
      <c r="AL34" s="1055">
        <f t="shared" si="29"/>
        <v>0</v>
      </c>
      <c r="AM34" s="1055">
        <f t="shared" si="30"/>
        <v>0</v>
      </c>
      <c r="AN34" s="1055">
        <f t="shared" si="31"/>
        <v>0</v>
      </c>
      <c r="AO34" s="1055">
        <f t="shared" si="32"/>
        <v>0</v>
      </c>
      <c r="AP34" s="1055">
        <f t="shared" si="33"/>
        <v>0</v>
      </c>
      <c r="AU34" s="73" t="s">
        <v>565</v>
      </c>
      <c r="AV34" s="62" t="s">
        <v>106</v>
      </c>
      <c r="AW34" s="274">
        <f t="shared" si="34"/>
        <v>0</v>
      </c>
      <c r="AX34" s="274">
        <f t="shared" si="35"/>
        <v>0</v>
      </c>
      <c r="AY34" s="274">
        <f t="shared" si="36"/>
        <v>0</v>
      </c>
      <c r="AZ34" s="274">
        <f t="shared" si="37"/>
        <v>0</v>
      </c>
      <c r="BA34" s="274">
        <f t="shared" si="38"/>
        <v>0</v>
      </c>
      <c r="BB34" s="274">
        <f t="shared" si="39"/>
        <v>0</v>
      </c>
      <c r="BC34" s="274">
        <f t="shared" si="40"/>
        <v>0</v>
      </c>
      <c r="BD34" s="274">
        <f t="shared" si="41"/>
        <v>0</v>
      </c>
      <c r="BE34" s="274">
        <f t="shared" si="42"/>
        <v>0</v>
      </c>
      <c r="BF34" s="274" t="str">
        <f t="shared" si="43"/>
        <v/>
      </c>
    </row>
    <row r="35" spans="1:58" ht="14">
      <c r="A35" s="72" t="str">
        <f>'G-1 All Habitats'!B34</f>
        <v>Heathland and shrub - Rhododendron scrub</v>
      </c>
      <c r="B35" s="72" t="s">
        <v>107</v>
      </c>
      <c r="C35" s="72" t="str">
        <f>'G-1 All Habitats'!K34</f>
        <v>Low</v>
      </c>
      <c r="D35" s="72" t="str">
        <f>'G-1 All Habitats'!M34</f>
        <v>Same distinctiveness or better habitat required ≥</v>
      </c>
      <c r="E35" s="1056">
        <f>SUMIF('A-1 On-Site Habitat Baseline'!$AV$11:$AV$258,'G-2 Habitat groups'!A35,'A-1 On-Site Habitat Baseline'!$H$11:$H$258)</f>
        <v>0</v>
      </c>
      <c r="F35" s="1056">
        <f>SUMIF('A-1 On-Site Habitat Baseline'!$AV$11:$AV$258,'G-2 Habitat groups'!A35,'A-1 On-Site Habitat Baseline'!$Q$11:$Q$258)</f>
        <v>0</v>
      </c>
      <c r="G35" s="1056">
        <f>SUMIF('A-1 On-Site Habitat Baseline'!$AV$11:$AV$258,'G-2 Habitat groups'!A35,'A-1 On-Site Habitat Baseline'!$S$11:$S$258)</f>
        <v>0</v>
      </c>
      <c r="H35" s="1056">
        <f>SUMIF('A-1 On-Site Habitat Baseline'!$AV$11:$AV$258,'G-2 Habitat groups'!A35,'A-1 On-Site Habitat Baseline'!$U$11:$U$258)+SUMIF('A-1 On-Site Habitat Baseline'!$AV$11:$AV$258,'G-2 Habitat groups'!A35,'A-1 On-Site Habitat Baseline'!$AT$11:$AT$258)</f>
        <v>0</v>
      </c>
      <c r="I35" s="1056">
        <f>SUMIF('A-1 On-Site Habitat Baseline'!$AV$11:$AV$258,'G-2 Habitat groups'!A35,'A-1 On-Site Habitat Baseline'!$W$11:$W$258)</f>
        <v>0</v>
      </c>
      <c r="J35" s="1056">
        <f>SUMIF('A-1 On-Site Habitat Baseline'!$AV$11:$AV$258,'G-2 Habitat groups'!A35,'A-1 On-Site Habitat Baseline'!$X$11:$X$258)</f>
        <v>0</v>
      </c>
      <c r="K35" s="1056">
        <f>SUMIF('A-2 On-Site Habitat Creation'!$F$11:$F$256,'G-2 Habitat groups'!A35,'A-2 On-Site Habitat Creation'!$G$11:$G$256)</f>
        <v>0</v>
      </c>
      <c r="L35" s="1056">
        <f>SUMIF('A-2 On-Site Habitat Creation'!$F$11:$F$256,'G-2 Habitat groups'!A35,'A-2 On-Site Habitat Creation'!$Y$11:$Y$256)</f>
        <v>0</v>
      </c>
      <c r="M35" s="1056">
        <f>SUMIF('A-3 On-Site Habitat Enhancement'!$S$12:$S$257,'G-2 Habitat groups'!A35,'A-3 On-Site Habitat Enhancement'!$V$12:$V$257)</f>
        <v>0</v>
      </c>
      <c r="N35" s="1056">
        <f>SUMIF('A-3 On-Site Habitat Enhancement'!$S$12:$S$257,'G-2 Habitat groups'!A35,'A-3 On-Site Habitat Enhancement'!$AN$12:$AN$257)</f>
        <v>0</v>
      </c>
      <c r="O35" s="1056">
        <f t="shared" si="44" ref="O35:O68">G35+K35+M35</f>
        <v>0</v>
      </c>
      <c r="P35" s="1056">
        <f t="shared" si="45" ref="P35:P68">H35+L35+N35</f>
        <v>0</v>
      </c>
      <c r="Q35" s="1056">
        <f t="shared" si="46" ref="Q35:Q68">O35-E35</f>
        <v>0</v>
      </c>
      <c r="R35" s="1056">
        <f t="shared" si="47" ref="R35:R68">P35-F35</f>
        <v>0</v>
      </c>
      <c r="S35" s="1056">
        <f>SUMIF('D-1 Off-Site Habitat Baseline'!$AV$11:$AV$258,'G-2 Habitat groups'!A35,'D-1 Off-Site Habitat Baseline'!$H$11:$H$258)</f>
        <v>0</v>
      </c>
      <c r="T35" s="1056">
        <f>SUMIF('D-1 Off-Site Habitat Baseline'!$AV$11:$AV$258,'G-2 Habitat groups'!A35,'D-1 Off-Site Habitat Baseline'!$T$11:$T$258)</f>
        <v>0</v>
      </c>
      <c r="U35" s="1056">
        <f>SUMIF('D-1 Off-Site Habitat Baseline'!$AV$11:$AV$258,'G-2 Habitat groups'!A35,'D-1 Off-Site Habitat Baseline'!$V$11:$V$258)</f>
        <v>0</v>
      </c>
      <c r="V35" s="1056">
        <f>SUMIF('D-1 Off-Site Habitat Baseline'!$AV$11:$AV$258,'G-2 Habitat groups'!A35,'D-1 Off-Site Habitat Baseline'!$X$11:$X$258)+SUMIF('D-1 Off-Site Habitat Baseline'!$AV$11:$AV$258,'G-2 Habitat groups'!A35,'D-1 Off-Site Habitat Baseline'!$AS$11:$AS$258)</f>
        <v>0</v>
      </c>
      <c r="W35" s="1056">
        <f>SUMIF('D-2 Off-Site Habitat Creation'!$F$9:$F$255,'G-2 Habitat groups'!A35,'D-2 Off-Site Habitat Creation'!$G$9:$G$255)</f>
        <v>0</v>
      </c>
      <c r="X35" s="1056">
        <f>SUMIF('D-2 Off-Site Habitat Creation'!$F$9:$F$255,'G-2 Habitat groups'!A35,'D-2 Off-Site Habitat Creation'!$AB$9:$AB$255)</f>
        <v>0</v>
      </c>
      <c r="Y35" s="1056">
        <f>SUMIF('D-3 Off-Site Habitat Enhancment'!$S$12:$S$491,'G-2 Habitat groups'!A35,'D-3 Off-Site Habitat Enhancment'!$V$12:$V$491)</f>
        <v>0</v>
      </c>
      <c r="Z35" s="1056">
        <f>SUMIF('D-3 Off-Site Habitat Enhancment'!$S$12:$S$491,'G-2 Habitat groups'!A35,'D-3 Off-Site Habitat Enhancment'!$AQ$12:$AQ$491)</f>
        <v>0</v>
      </c>
      <c r="AA35" s="1056">
        <f t="shared" si="48" ref="AA35:AA68">U35+W35+Y35</f>
        <v>0</v>
      </c>
      <c r="AB35" s="1056">
        <f t="shared" si="49" ref="AB35:AB68">V35+X35+Z35</f>
        <v>0</v>
      </c>
      <c r="AC35" s="1056">
        <f t="shared" si="50" ref="AC35:AC68">AA35-S35</f>
        <v>0</v>
      </c>
      <c r="AD35" s="1056">
        <f t="shared" si="51" ref="AD35:AD68">AB35-T35</f>
        <v>0</v>
      </c>
      <c r="AE35" s="1056">
        <f t="shared" si="52" ref="AE35:AE68">Q35+AC35</f>
        <v>0</v>
      </c>
      <c r="AF35" s="1056">
        <f t="shared" si="53" ref="AF35:AF68">R35+AD35</f>
        <v>0</v>
      </c>
      <c r="AJ35" s="216" t="s">
        <v>118</v>
      </c>
      <c r="AK35" s="1055">
        <f t="shared" si="28"/>
        <v>0</v>
      </c>
      <c r="AL35" s="1055">
        <f t="shared" si="29"/>
        <v>0</v>
      </c>
      <c r="AM35" s="1055">
        <f t="shared" si="30"/>
        <v>0</v>
      </c>
      <c r="AN35" s="1055">
        <f t="shared" si="31"/>
        <v>0</v>
      </c>
      <c r="AO35" s="1055">
        <f t="shared" si="32"/>
        <v>0</v>
      </c>
      <c r="AP35" s="1055">
        <f t="shared" si="33"/>
        <v>0</v>
      </c>
      <c r="AU35" s="73" t="s">
        <v>566</v>
      </c>
      <c r="AV35" s="62" t="s">
        <v>107</v>
      </c>
      <c r="AW35" s="274">
        <f t="shared" si="34"/>
        <v>0</v>
      </c>
      <c r="AX35" s="274">
        <f t="shared" si="35"/>
        <v>0</v>
      </c>
      <c r="AY35" s="274">
        <f t="shared" si="36"/>
        <v>0</v>
      </c>
      <c r="AZ35" s="274">
        <f t="shared" si="37"/>
        <v>0</v>
      </c>
      <c r="BA35" s="274">
        <f t="shared" si="38"/>
        <v>0</v>
      </c>
      <c r="BB35" s="274">
        <f t="shared" si="39"/>
        <v>0</v>
      </c>
      <c r="BC35" s="274">
        <f t="shared" si="40"/>
        <v>0</v>
      </c>
      <c r="BD35" s="274">
        <f t="shared" si="41"/>
        <v>0</v>
      </c>
      <c r="BE35" s="274">
        <f t="shared" si="42"/>
        <v>0</v>
      </c>
      <c r="BF35" s="274" t="str">
        <f t="shared" si="43"/>
        <v/>
      </c>
    </row>
    <row r="36" spans="1:58" ht="14">
      <c r="A36" s="72" t="str">
        <f>'G-1 All Habitats'!B35</f>
        <v>Heathland and shrub - Dunes with sea buckthorn (H2160)</v>
      </c>
      <c r="B36" s="72" t="s">
        <v>107</v>
      </c>
      <c r="C36" s="72" t="str">
        <f>'G-1 All Habitats'!K35</f>
        <v>High</v>
      </c>
      <c r="D36" s="72" t="str">
        <f>'G-1 All Habitats'!M35</f>
        <v>Same habitat required =</v>
      </c>
      <c r="E36" s="1056">
        <f>SUMIF('A-1 On-Site Habitat Baseline'!$AV$11:$AV$258,'G-2 Habitat groups'!A36,'A-1 On-Site Habitat Baseline'!$H$11:$H$258)</f>
        <v>0</v>
      </c>
      <c r="F36" s="1056">
        <f>SUMIF('A-1 On-Site Habitat Baseline'!$AV$11:$AV$258,'G-2 Habitat groups'!A36,'A-1 On-Site Habitat Baseline'!$Q$11:$Q$258)</f>
        <v>0</v>
      </c>
      <c r="G36" s="1056">
        <f>SUMIF('A-1 On-Site Habitat Baseline'!$AV$11:$AV$258,'G-2 Habitat groups'!A36,'A-1 On-Site Habitat Baseline'!$S$11:$S$258)</f>
        <v>0</v>
      </c>
      <c r="H36" s="1056">
        <f>SUMIF('A-1 On-Site Habitat Baseline'!$AV$11:$AV$258,'G-2 Habitat groups'!A36,'A-1 On-Site Habitat Baseline'!$U$11:$U$258)+SUMIF('A-1 On-Site Habitat Baseline'!$AV$11:$AV$258,'G-2 Habitat groups'!A36,'A-1 On-Site Habitat Baseline'!$AT$11:$AT$258)</f>
        <v>0</v>
      </c>
      <c r="I36" s="1056">
        <f>SUMIF('A-1 On-Site Habitat Baseline'!$AV$11:$AV$258,'G-2 Habitat groups'!A36,'A-1 On-Site Habitat Baseline'!$W$11:$W$258)</f>
        <v>0</v>
      </c>
      <c r="J36" s="1056">
        <f>SUMIF('A-1 On-Site Habitat Baseline'!$AV$11:$AV$258,'G-2 Habitat groups'!A36,'A-1 On-Site Habitat Baseline'!$X$11:$X$258)</f>
        <v>0</v>
      </c>
      <c r="K36" s="1056">
        <f>SUMIF('A-2 On-Site Habitat Creation'!$F$11:$F$256,'G-2 Habitat groups'!A36,'A-2 On-Site Habitat Creation'!$G$11:$G$256)</f>
        <v>0</v>
      </c>
      <c r="L36" s="1056">
        <f>SUMIF('A-2 On-Site Habitat Creation'!$F$11:$F$256,'G-2 Habitat groups'!A36,'A-2 On-Site Habitat Creation'!$Y$11:$Y$256)</f>
        <v>0</v>
      </c>
      <c r="M36" s="1056">
        <f>SUMIF('A-3 On-Site Habitat Enhancement'!$S$12:$S$257,'G-2 Habitat groups'!A36,'A-3 On-Site Habitat Enhancement'!$V$12:$V$257)</f>
        <v>0</v>
      </c>
      <c r="N36" s="1056">
        <f>SUMIF('A-3 On-Site Habitat Enhancement'!$S$12:$S$257,'G-2 Habitat groups'!A36,'A-3 On-Site Habitat Enhancement'!$AN$12:$AN$257)</f>
        <v>0</v>
      </c>
      <c r="O36" s="1056">
        <f t="shared" si="44"/>
        <v>0</v>
      </c>
      <c r="P36" s="1056">
        <f t="shared" si="45"/>
        <v>0</v>
      </c>
      <c r="Q36" s="1056">
        <f t="shared" si="46"/>
        <v>0</v>
      </c>
      <c r="R36" s="1056">
        <f t="shared" si="47"/>
        <v>0</v>
      </c>
      <c r="S36" s="1056">
        <f>SUMIF('D-1 Off-Site Habitat Baseline'!$AV$11:$AV$258,'G-2 Habitat groups'!A36,'D-1 Off-Site Habitat Baseline'!$H$11:$H$258)</f>
        <v>0</v>
      </c>
      <c r="T36" s="1056">
        <f>SUMIF('D-1 Off-Site Habitat Baseline'!$AV$11:$AV$258,'G-2 Habitat groups'!A36,'D-1 Off-Site Habitat Baseline'!$T$11:$T$258)</f>
        <v>0</v>
      </c>
      <c r="U36" s="1056">
        <f>SUMIF('D-1 Off-Site Habitat Baseline'!$AV$11:$AV$258,'G-2 Habitat groups'!A36,'D-1 Off-Site Habitat Baseline'!$V$11:$V$258)</f>
        <v>0</v>
      </c>
      <c r="V36" s="1056">
        <f>SUMIF('D-1 Off-Site Habitat Baseline'!$AV$11:$AV$258,'G-2 Habitat groups'!A36,'D-1 Off-Site Habitat Baseline'!$X$11:$X$258)+SUMIF('D-1 Off-Site Habitat Baseline'!$AV$11:$AV$258,'G-2 Habitat groups'!A36,'D-1 Off-Site Habitat Baseline'!$AS$11:$AS$258)</f>
        <v>0</v>
      </c>
      <c r="W36" s="1056">
        <f>SUMIF('D-2 Off-Site Habitat Creation'!$F$9:$F$255,'G-2 Habitat groups'!A36,'D-2 Off-Site Habitat Creation'!$G$9:$G$255)</f>
        <v>0</v>
      </c>
      <c r="X36" s="1056">
        <f>SUMIF('D-2 Off-Site Habitat Creation'!$F$9:$F$255,'G-2 Habitat groups'!A36,'D-2 Off-Site Habitat Creation'!$AB$9:$AB$255)</f>
        <v>0</v>
      </c>
      <c r="Y36" s="1056">
        <f>SUMIF('D-3 Off-Site Habitat Enhancment'!$S$12:$S$491,'G-2 Habitat groups'!A36,'D-3 Off-Site Habitat Enhancment'!$V$12:$V$491)</f>
        <v>0</v>
      </c>
      <c r="Z36" s="1056">
        <f>SUMIF('D-3 Off-Site Habitat Enhancment'!$S$12:$S$491,'G-2 Habitat groups'!A36,'D-3 Off-Site Habitat Enhancment'!$AQ$12:$AQ$491)</f>
        <v>0</v>
      </c>
      <c r="AA36" s="1056">
        <f t="shared" si="48"/>
        <v>0</v>
      </c>
      <c r="AB36" s="1056">
        <f t="shared" si="49"/>
        <v>0</v>
      </c>
      <c r="AC36" s="1056">
        <f t="shared" si="50"/>
        <v>0</v>
      </c>
      <c r="AD36" s="1056">
        <f t="shared" si="51"/>
        <v>0</v>
      </c>
      <c r="AE36" s="1056">
        <f t="shared" si="52"/>
        <v>0</v>
      </c>
      <c r="AF36" s="1056">
        <f t="shared" si="53"/>
        <v>0</v>
      </c>
      <c r="AU36" s="73" t="s">
        <v>567</v>
      </c>
      <c r="AV36" s="62" t="s">
        <v>107</v>
      </c>
      <c r="AW36" s="274">
        <f t="shared" si="34"/>
        <v>0</v>
      </c>
      <c r="AX36" s="274">
        <f t="shared" si="35"/>
        <v>0</v>
      </c>
      <c r="AY36" s="274">
        <f t="shared" si="36"/>
        <v>0</v>
      </c>
      <c r="AZ36" s="274">
        <f t="shared" si="37"/>
        <v>0</v>
      </c>
      <c r="BA36" s="274">
        <f t="shared" si="38"/>
        <v>0</v>
      </c>
      <c r="BB36" s="274">
        <f t="shared" si="39"/>
        <v>0</v>
      </c>
      <c r="BC36" s="274">
        <f t="shared" si="40"/>
        <v>0</v>
      </c>
      <c r="BD36" s="274">
        <f t="shared" si="41"/>
        <v>0</v>
      </c>
      <c r="BE36" s="274">
        <f t="shared" si="42"/>
        <v>0</v>
      </c>
      <c r="BF36" s="274" t="str">
        <f t="shared" si="43"/>
        <v/>
      </c>
    </row>
    <row r="37" spans="1:58" ht="14">
      <c r="A37" s="72" t="str">
        <f>'G-1 All Habitats'!B36</f>
        <v>Heathland and shrub - Other sea buckthorn scrub</v>
      </c>
      <c r="B37" s="72" t="s">
        <v>107</v>
      </c>
      <c r="C37" s="72" t="str">
        <f>'G-1 All Habitats'!K36</f>
        <v>Low</v>
      </c>
      <c r="D37" s="72" t="str">
        <f>'G-1 All Habitats'!M36</f>
        <v>Same distinctiveness or better habitat required ≥</v>
      </c>
      <c r="E37" s="1056">
        <f>SUMIF('A-1 On-Site Habitat Baseline'!$AV$11:$AV$258,'G-2 Habitat groups'!A37,'A-1 On-Site Habitat Baseline'!$H$11:$H$258)</f>
        <v>0</v>
      </c>
      <c r="F37" s="1056">
        <f>SUMIF('A-1 On-Site Habitat Baseline'!$AV$11:$AV$258,'G-2 Habitat groups'!A37,'A-1 On-Site Habitat Baseline'!$Q$11:$Q$258)</f>
        <v>0</v>
      </c>
      <c r="G37" s="1056">
        <f>SUMIF('A-1 On-Site Habitat Baseline'!$AV$11:$AV$258,'G-2 Habitat groups'!A37,'A-1 On-Site Habitat Baseline'!$S$11:$S$258)</f>
        <v>0</v>
      </c>
      <c r="H37" s="1056">
        <f>SUMIF('A-1 On-Site Habitat Baseline'!$AV$11:$AV$258,'G-2 Habitat groups'!A37,'A-1 On-Site Habitat Baseline'!$U$11:$U$258)+SUMIF('A-1 On-Site Habitat Baseline'!$AV$11:$AV$258,'G-2 Habitat groups'!A37,'A-1 On-Site Habitat Baseline'!$AT$11:$AT$258)</f>
        <v>0</v>
      </c>
      <c r="I37" s="1056">
        <f>SUMIF('A-1 On-Site Habitat Baseline'!$AV$11:$AV$258,'G-2 Habitat groups'!A37,'A-1 On-Site Habitat Baseline'!$W$11:$W$258)</f>
        <v>0</v>
      </c>
      <c r="J37" s="1056">
        <f>SUMIF('A-1 On-Site Habitat Baseline'!$AV$11:$AV$258,'G-2 Habitat groups'!A37,'A-1 On-Site Habitat Baseline'!$X$11:$X$258)</f>
        <v>0</v>
      </c>
      <c r="K37" s="1056">
        <f>SUMIF('A-2 On-Site Habitat Creation'!$F$11:$F$256,'G-2 Habitat groups'!A37,'A-2 On-Site Habitat Creation'!$G$11:$G$256)</f>
        <v>0</v>
      </c>
      <c r="L37" s="1056">
        <f>SUMIF('A-2 On-Site Habitat Creation'!$F$11:$F$256,'G-2 Habitat groups'!A37,'A-2 On-Site Habitat Creation'!$Y$11:$Y$256)</f>
        <v>0</v>
      </c>
      <c r="M37" s="1056">
        <f>SUMIF('A-3 On-Site Habitat Enhancement'!$S$12:$S$257,'G-2 Habitat groups'!A37,'A-3 On-Site Habitat Enhancement'!$V$12:$V$257)</f>
        <v>0</v>
      </c>
      <c r="N37" s="1056">
        <f>SUMIF('A-3 On-Site Habitat Enhancement'!$S$12:$S$257,'G-2 Habitat groups'!A37,'A-3 On-Site Habitat Enhancement'!$AN$12:$AN$257)</f>
        <v>0</v>
      </c>
      <c r="O37" s="1056">
        <f t="shared" si="44"/>
        <v>0</v>
      </c>
      <c r="P37" s="1056">
        <f t="shared" si="45"/>
        <v>0</v>
      </c>
      <c r="Q37" s="1056">
        <f t="shared" si="46"/>
        <v>0</v>
      </c>
      <c r="R37" s="1056">
        <f t="shared" si="47"/>
        <v>0</v>
      </c>
      <c r="S37" s="1056">
        <f>SUMIF('D-1 Off-Site Habitat Baseline'!$AV$11:$AV$258,'G-2 Habitat groups'!A37,'D-1 Off-Site Habitat Baseline'!$H$11:$H$258)</f>
        <v>0</v>
      </c>
      <c r="T37" s="1056">
        <f>SUMIF('D-1 Off-Site Habitat Baseline'!$AV$11:$AV$258,'G-2 Habitat groups'!A37,'D-1 Off-Site Habitat Baseline'!$T$11:$T$258)</f>
        <v>0</v>
      </c>
      <c r="U37" s="1056">
        <f>SUMIF('D-1 Off-Site Habitat Baseline'!$AV$11:$AV$258,'G-2 Habitat groups'!A37,'D-1 Off-Site Habitat Baseline'!$V$11:$V$258)</f>
        <v>0</v>
      </c>
      <c r="V37" s="1056">
        <f>SUMIF('D-1 Off-Site Habitat Baseline'!$AV$11:$AV$258,'G-2 Habitat groups'!A37,'D-1 Off-Site Habitat Baseline'!$X$11:$X$258)+SUMIF('D-1 Off-Site Habitat Baseline'!$AV$11:$AV$258,'G-2 Habitat groups'!A37,'D-1 Off-Site Habitat Baseline'!$AS$11:$AS$258)</f>
        <v>0</v>
      </c>
      <c r="W37" s="1056">
        <f>SUMIF('D-2 Off-Site Habitat Creation'!$F$9:$F$255,'G-2 Habitat groups'!A37,'D-2 Off-Site Habitat Creation'!$G$9:$G$255)</f>
        <v>0</v>
      </c>
      <c r="X37" s="1056">
        <f>SUMIF('D-2 Off-Site Habitat Creation'!$F$9:$F$255,'G-2 Habitat groups'!A37,'D-2 Off-Site Habitat Creation'!$AB$9:$AB$255)</f>
        <v>0</v>
      </c>
      <c r="Y37" s="1056">
        <f>SUMIF('D-3 Off-Site Habitat Enhancment'!$S$12:$S$491,'G-2 Habitat groups'!A37,'D-3 Off-Site Habitat Enhancment'!$V$12:$V$491)</f>
        <v>0</v>
      </c>
      <c r="Z37" s="1056">
        <f>SUMIF('D-3 Off-Site Habitat Enhancment'!$S$12:$S$491,'G-2 Habitat groups'!A37,'D-3 Off-Site Habitat Enhancment'!$AQ$12:$AQ$491)</f>
        <v>0</v>
      </c>
      <c r="AA37" s="1056">
        <f t="shared" si="48"/>
        <v>0</v>
      </c>
      <c r="AB37" s="1056">
        <f t="shared" si="49"/>
        <v>0</v>
      </c>
      <c r="AC37" s="1056">
        <f t="shared" si="50"/>
        <v>0</v>
      </c>
      <c r="AD37" s="1056">
        <f t="shared" si="51"/>
        <v>0</v>
      </c>
      <c r="AE37" s="1056">
        <f t="shared" si="52"/>
        <v>0</v>
      </c>
      <c r="AF37" s="1056">
        <f t="shared" si="53"/>
        <v>0</v>
      </c>
      <c r="AU37" s="73" t="s">
        <v>568</v>
      </c>
      <c r="AV37" s="62" t="s">
        <v>107</v>
      </c>
      <c r="AW37" s="274">
        <f t="shared" si="34"/>
        <v>0</v>
      </c>
      <c r="AX37" s="274">
        <f t="shared" si="35"/>
        <v>0</v>
      </c>
      <c r="AY37" s="274">
        <f t="shared" si="36"/>
        <v>0</v>
      </c>
      <c r="AZ37" s="274">
        <f t="shared" si="37"/>
        <v>0</v>
      </c>
      <c r="BA37" s="274">
        <f t="shared" si="38"/>
        <v>0</v>
      </c>
      <c r="BB37" s="274">
        <f t="shared" si="39"/>
        <v>0</v>
      </c>
      <c r="BC37" s="274">
        <f t="shared" si="40"/>
        <v>0</v>
      </c>
      <c r="BD37" s="274">
        <f t="shared" si="41"/>
        <v>0</v>
      </c>
      <c r="BE37" s="274">
        <f t="shared" si="42"/>
        <v>0</v>
      </c>
      <c r="BF37" s="274" t="str">
        <f t="shared" si="43"/>
        <v/>
      </c>
    </row>
    <row r="38" spans="1:58" ht="14">
      <c r="A38" s="72" t="s">
        <v>779</v>
      </c>
      <c r="B38" s="72" t="s">
        <v>107</v>
      </c>
      <c r="C38" s="72" t="s">
        <v>46</v>
      </c>
      <c r="D38" s="72" t="s">
        <v>196</v>
      </c>
      <c r="E38" s="1056">
        <f>SUMIF('A-1 On-Site Habitat Baseline'!$AV$11:$AV$258,'G-2 Habitat groups'!A38,'A-1 On-Site Habitat Baseline'!$H$11:$H$258)</f>
        <v>0</v>
      </c>
      <c r="F38" s="1056">
        <f>SUMIF('A-1 On-Site Habitat Baseline'!$AV$11:$AV$258,'G-2 Habitat groups'!A38,'A-1 On-Site Habitat Baseline'!$Q$11:$Q$258)</f>
        <v>0</v>
      </c>
      <c r="G38" s="1056">
        <f>SUMIF('A-1 On-Site Habitat Baseline'!$AV$11:$AV$258,'G-2 Habitat groups'!A38,'A-1 On-Site Habitat Baseline'!$S$11:$S$258)</f>
        <v>0</v>
      </c>
      <c r="H38" s="1056">
        <f>SUMIF('A-1 On-Site Habitat Baseline'!$AV$11:$AV$258,'G-2 Habitat groups'!A38,'A-1 On-Site Habitat Baseline'!$U$11:$U$258)+SUMIF('A-1 On-Site Habitat Baseline'!$AV$11:$AV$258,'G-2 Habitat groups'!A38,'A-1 On-Site Habitat Baseline'!$AT$11:$AT$258)</f>
        <v>0</v>
      </c>
      <c r="I38" s="1056">
        <f>SUMIF('A-1 On-Site Habitat Baseline'!$AV$11:$AV$258,'G-2 Habitat groups'!A38,'A-1 On-Site Habitat Baseline'!$W$11:$W$258)</f>
        <v>0</v>
      </c>
      <c r="J38" s="1056">
        <f>SUMIF('A-1 On-Site Habitat Baseline'!$AV$11:$AV$258,'G-2 Habitat groups'!A38,'A-1 On-Site Habitat Baseline'!$X$11:$X$258)</f>
        <v>0</v>
      </c>
      <c r="K38" s="1056">
        <f>SUMIF('A-2 On-Site Habitat Creation'!$F$11:$F$256,'G-2 Habitat groups'!A38,'A-2 On-Site Habitat Creation'!$G$11:$G$256)</f>
        <v>0</v>
      </c>
      <c r="L38" s="1056">
        <f>SUMIF('A-2 On-Site Habitat Creation'!$F$11:$F$256,'G-2 Habitat groups'!A38,'A-2 On-Site Habitat Creation'!$Y$11:$Y$256)</f>
        <v>0</v>
      </c>
      <c r="M38" s="1056">
        <f>SUMIF('A-3 On-Site Habitat Enhancement'!$S$12:$S$257,'G-2 Habitat groups'!A38,'A-3 On-Site Habitat Enhancement'!$V$12:$V$257)</f>
        <v>0</v>
      </c>
      <c r="N38" s="1056">
        <f>SUMIF('A-3 On-Site Habitat Enhancement'!$S$12:$S$257,'G-2 Habitat groups'!A38,'A-3 On-Site Habitat Enhancement'!$AN$12:$AN$257)</f>
        <v>0</v>
      </c>
      <c r="O38" s="1056">
        <f t="shared" si="44"/>
        <v>0</v>
      </c>
      <c r="P38" s="1056">
        <f t="shared" si="45"/>
        <v>0</v>
      </c>
      <c r="Q38" s="1056">
        <f t="shared" si="46"/>
        <v>0</v>
      </c>
      <c r="R38" s="1056">
        <f t="shared" si="47"/>
        <v>0</v>
      </c>
      <c r="S38" s="1056">
        <f>SUMIF('D-1 Off-Site Habitat Baseline'!$AV$11:$AV$258,'G-2 Habitat groups'!A38,'D-1 Off-Site Habitat Baseline'!$H$11:$H$258)</f>
        <v>0</v>
      </c>
      <c r="T38" s="1056">
        <f>SUMIF('D-1 Off-Site Habitat Baseline'!$AV$11:$AV$258,'G-2 Habitat groups'!A38,'D-1 Off-Site Habitat Baseline'!$T$11:$T$258)</f>
        <v>0</v>
      </c>
      <c r="U38" s="1056">
        <f>SUMIF('D-1 Off-Site Habitat Baseline'!$AV$11:$AV$258,'G-2 Habitat groups'!A38,'D-1 Off-Site Habitat Baseline'!$V$11:$V$258)</f>
        <v>0</v>
      </c>
      <c r="V38" s="1056">
        <f>SUMIF('D-1 Off-Site Habitat Baseline'!$AV$11:$AV$258,'G-2 Habitat groups'!A38,'D-1 Off-Site Habitat Baseline'!$X$11:$X$258)+SUMIF('D-1 Off-Site Habitat Baseline'!$AV$11:$AV$258,'G-2 Habitat groups'!A38,'D-1 Off-Site Habitat Baseline'!$AS$11:$AS$258)</f>
        <v>0</v>
      </c>
      <c r="W38" s="1056">
        <f>SUMIF('D-2 Off-Site Habitat Creation'!$F$9:$F$255,'G-2 Habitat groups'!A38,'D-2 Off-Site Habitat Creation'!$G$9:$G$255)</f>
        <v>0</v>
      </c>
      <c r="X38" s="1056">
        <f>SUMIF('D-2 Off-Site Habitat Creation'!$F$9:$F$255,'G-2 Habitat groups'!A38,'D-2 Off-Site Habitat Creation'!$AB$9:$AB$255)</f>
        <v>0</v>
      </c>
      <c r="Y38" s="1056">
        <f>SUMIF('D-3 Off-Site Habitat Enhancment'!$S$12:$S$491,'G-2 Habitat groups'!A38,'D-3 Off-Site Habitat Enhancment'!$V$12:$V$491)</f>
        <v>0</v>
      </c>
      <c r="Z38" s="1056">
        <f>SUMIF('D-3 Off-Site Habitat Enhancment'!$S$12:$S$491,'G-2 Habitat groups'!A38,'D-3 Off-Site Habitat Enhancment'!$AQ$12:$AQ$491)</f>
        <v>0</v>
      </c>
      <c r="AA38" s="1056">
        <f t="shared" si="48"/>
        <v>0</v>
      </c>
      <c r="AB38" s="1056">
        <f t="shared" si="49"/>
        <v>0</v>
      </c>
      <c r="AC38" s="1056">
        <f t="shared" si="50"/>
        <v>0</v>
      </c>
      <c r="AD38" s="1056">
        <f t="shared" si="51"/>
        <v>0</v>
      </c>
      <c r="AE38" s="1056">
        <f t="shared" si="52"/>
        <v>0</v>
      </c>
      <c r="AF38" s="1056">
        <f t="shared" si="53"/>
        <v>0</v>
      </c>
      <c r="AU38" s="73"/>
      <c r="AV38" s="62"/>
      <c r="AW38" s="274"/>
      <c r="AX38" s="274"/>
      <c r="AY38" s="274"/>
      <c r="AZ38" s="274"/>
      <c r="BA38" s="274"/>
      <c r="BB38" s="274"/>
      <c r="BC38" s="274"/>
      <c r="BD38" s="274"/>
      <c r="BE38" s="274"/>
      <c r="BF38" s="274"/>
    </row>
    <row r="39" spans="1:58" ht="14">
      <c r="A39" s="72" t="str">
        <f>'G-1 All Habitats'!B38</f>
        <v>Heathland and shrub - Upland heathland</v>
      </c>
      <c r="B39" s="72" t="s">
        <v>107</v>
      </c>
      <c r="C39" s="72" t="str">
        <f>'G-1 All Habitats'!K38</f>
        <v>High</v>
      </c>
      <c r="D39" s="72" t="str">
        <f>'G-1 All Habitats'!M38</f>
        <v>Same habitat required =</v>
      </c>
      <c r="E39" s="1056">
        <f>SUMIF('A-1 On-Site Habitat Baseline'!$AV$11:$AV$258,'G-2 Habitat groups'!A39,'A-1 On-Site Habitat Baseline'!$H$11:$H$258)</f>
        <v>0</v>
      </c>
      <c r="F39" s="1056">
        <f>SUMIF('A-1 On-Site Habitat Baseline'!$AV$11:$AV$258,'G-2 Habitat groups'!A39,'A-1 On-Site Habitat Baseline'!$Q$11:$Q$258)</f>
        <v>0</v>
      </c>
      <c r="G39" s="1056">
        <f>SUMIF('A-1 On-Site Habitat Baseline'!$AV$11:$AV$258,'G-2 Habitat groups'!A39,'A-1 On-Site Habitat Baseline'!$S$11:$S$258)</f>
        <v>0</v>
      </c>
      <c r="H39" s="1056">
        <f>SUMIF('A-1 On-Site Habitat Baseline'!$AV$11:$AV$258,'G-2 Habitat groups'!A39,'A-1 On-Site Habitat Baseline'!$U$11:$U$258)+SUMIF('A-1 On-Site Habitat Baseline'!$AV$11:$AV$258,'G-2 Habitat groups'!A39,'A-1 On-Site Habitat Baseline'!$AT$11:$AT$258)</f>
        <v>0</v>
      </c>
      <c r="I39" s="1056">
        <f>SUMIF('A-1 On-Site Habitat Baseline'!$AV$11:$AV$258,'G-2 Habitat groups'!A39,'A-1 On-Site Habitat Baseline'!$W$11:$W$258)</f>
        <v>0</v>
      </c>
      <c r="J39" s="1056">
        <f>SUMIF('A-1 On-Site Habitat Baseline'!$AV$11:$AV$258,'G-2 Habitat groups'!A39,'A-1 On-Site Habitat Baseline'!$X$11:$X$258)</f>
        <v>0</v>
      </c>
      <c r="K39" s="1056">
        <f>SUMIF('A-2 On-Site Habitat Creation'!$F$11:$F$256,'G-2 Habitat groups'!A39,'A-2 On-Site Habitat Creation'!$G$11:$G$256)</f>
        <v>0</v>
      </c>
      <c r="L39" s="1056">
        <f>SUMIF('A-2 On-Site Habitat Creation'!$F$11:$F$256,'G-2 Habitat groups'!A39,'A-2 On-Site Habitat Creation'!$Y$11:$Y$256)</f>
        <v>0</v>
      </c>
      <c r="M39" s="1056">
        <f>SUMIF('A-3 On-Site Habitat Enhancement'!$S$12:$S$257,'G-2 Habitat groups'!A39,'A-3 On-Site Habitat Enhancement'!$V$12:$V$257)</f>
        <v>0</v>
      </c>
      <c r="N39" s="1056">
        <f>SUMIF('A-3 On-Site Habitat Enhancement'!$S$12:$S$257,'G-2 Habitat groups'!A39,'A-3 On-Site Habitat Enhancement'!$AN$12:$AN$257)</f>
        <v>0</v>
      </c>
      <c r="O39" s="1056">
        <f t="shared" si="44"/>
        <v>0</v>
      </c>
      <c r="P39" s="1056">
        <f t="shared" si="45"/>
        <v>0</v>
      </c>
      <c r="Q39" s="1056">
        <f t="shared" si="46"/>
        <v>0</v>
      </c>
      <c r="R39" s="1056">
        <f t="shared" si="47"/>
        <v>0</v>
      </c>
      <c r="S39" s="1056">
        <f>SUMIF('D-1 Off-Site Habitat Baseline'!$AV$11:$AV$258,'G-2 Habitat groups'!A39,'D-1 Off-Site Habitat Baseline'!$H$11:$H$258)</f>
        <v>0</v>
      </c>
      <c r="T39" s="1056">
        <f>SUMIF('D-1 Off-Site Habitat Baseline'!$AV$11:$AV$258,'G-2 Habitat groups'!A39,'D-1 Off-Site Habitat Baseline'!$T$11:$T$258)</f>
        <v>0</v>
      </c>
      <c r="U39" s="1056">
        <f>SUMIF('D-1 Off-Site Habitat Baseline'!$AV$11:$AV$258,'G-2 Habitat groups'!A39,'D-1 Off-Site Habitat Baseline'!$V$11:$V$258)</f>
        <v>0</v>
      </c>
      <c r="V39" s="1056">
        <f>SUMIF('D-1 Off-Site Habitat Baseline'!$AV$11:$AV$258,'G-2 Habitat groups'!A39,'D-1 Off-Site Habitat Baseline'!$X$11:$X$258)+SUMIF('D-1 Off-Site Habitat Baseline'!$AV$11:$AV$258,'G-2 Habitat groups'!A39,'D-1 Off-Site Habitat Baseline'!$AS$11:$AS$258)</f>
        <v>0</v>
      </c>
      <c r="W39" s="1056">
        <f>SUMIF('D-2 Off-Site Habitat Creation'!$F$9:$F$255,'G-2 Habitat groups'!A39,'D-2 Off-Site Habitat Creation'!$G$9:$G$255)</f>
        <v>0</v>
      </c>
      <c r="X39" s="1056">
        <f>SUMIF('D-2 Off-Site Habitat Creation'!$F$9:$F$255,'G-2 Habitat groups'!A39,'D-2 Off-Site Habitat Creation'!$AB$9:$AB$255)</f>
        <v>0</v>
      </c>
      <c r="Y39" s="1056">
        <f>SUMIF('D-3 Off-Site Habitat Enhancment'!$S$12:$S$491,'G-2 Habitat groups'!A39,'D-3 Off-Site Habitat Enhancment'!$V$12:$V$491)</f>
        <v>0</v>
      </c>
      <c r="Z39" s="1056">
        <f>SUMIF('D-3 Off-Site Habitat Enhancment'!$S$12:$S$491,'G-2 Habitat groups'!A39,'D-3 Off-Site Habitat Enhancment'!$AQ$12:$AQ$491)</f>
        <v>0</v>
      </c>
      <c r="AA39" s="1056">
        <f t="shared" si="48"/>
        <v>0</v>
      </c>
      <c r="AB39" s="1056">
        <f t="shared" si="49"/>
        <v>0</v>
      </c>
      <c r="AC39" s="1056">
        <f t="shared" si="50"/>
        <v>0</v>
      </c>
      <c r="AD39" s="1056">
        <f t="shared" si="51"/>
        <v>0</v>
      </c>
      <c r="AE39" s="1056">
        <f t="shared" si="52"/>
        <v>0</v>
      </c>
      <c r="AF39" s="1056">
        <f t="shared" si="53"/>
        <v>0</v>
      </c>
      <c r="AU39" s="73" t="s">
        <v>529</v>
      </c>
      <c r="AV39" s="62" t="s">
        <v>108</v>
      </c>
      <c r="AW39" s="274">
        <f t="shared" si="34"/>
        <v>0</v>
      </c>
      <c r="AX39" s="274">
        <f t="shared" si="35"/>
        <v>0</v>
      </c>
      <c r="AY39" s="274">
        <f t="shared" si="36"/>
        <v>0</v>
      </c>
      <c r="AZ39" s="274">
        <f t="shared" si="37"/>
        <v>0</v>
      </c>
      <c r="BA39" s="274">
        <f t="shared" si="38"/>
        <v>0</v>
      </c>
      <c r="BB39" s="274">
        <f t="shared" si="39"/>
        <v>0</v>
      </c>
      <c r="BC39" s="274">
        <f t="shared" si="40"/>
        <v>0</v>
      </c>
      <c r="BD39" s="274">
        <f t="shared" si="41"/>
        <v>0</v>
      </c>
      <c r="BE39" s="274">
        <f t="shared" si="42"/>
        <v>0</v>
      </c>
      <c r="BF39" s="274" t="str">
        <f t="shared" si="43"/>
        <v/>
      </c>
    </row>
    <row r="40" spans="1:58" ht="14">
      <c r="A40" s="72" t="str">
        <f>'G-1 All Habitats'!B39</f>
        <v>Lakes - Aquifer fed naturally fluctuating water bodies</v>
      </c>
      <c r="B40" s="72" t="s">
        <v>108</v>
      </c>
      <c r="C40" s="72" t="str">
        <f>'G-1 All Habitats'!K39</f>
        <v>V.High</v>
      </c>
      <c r="D40" s="72" t="str">
        <f>'G-1 All Habitats'!M39</f>
        <v>Same habitat required – bespoke compensation option ⚠</v>
      </c>
      <c r="E40" s="1056">
        <f>SUMIF('A-1 On-Site Habitat Baseline'!$AV$11:$AV$258,'G-2 Habitat groups'!A40,'A-1 On-Site Habitat Baseline'!$H$11:$H$258)</f>
        <v>0</v>
      </c>
      <c r="F40" s="1056">
        <f>SUMIF('A-1 On-Site Habitat Baseline'!$AV$11:$AV$258,'G-2 Habitat groups'!A40,'A-1 On-Site Habitat Baseline'!$Q$11:$Q$258)</f>
        <v>0</v>
      </c>
      <c r="G40" s="1056">
        <f>SUMIF('A-1 On-Site Habitat Baseline'!$AV$11:$AV$258,'G-2 Habitat groups'!A40,'A-1 On-Site Habitat Baseline'!$S$11:$S$258)</f>
        <v>0</v>
      </c>
      <c r="H40" s="1056">
        <f>SUMIF('A-1 On-Site Habitat Baseline'!$AV$11:$AV$258,'G-2 Habitat groups'!A40,'A-1 On-Site Habitat Baseline'!$U$11:$U$258)+SUMIF('A-1 On-Site Habitat Baseline'!$AV$11:$AV$258,'G-2 Habitat groups'!A40,'A-1 On-Site Habitat Baseline'!$AT$11:$AT$258)</f>
        <v>0</v>
      </c>
      <c r="I40" s="1056">
        <f>SUMIF('A-1 On-Site Habitat Baseline'!$AV$11:$AV$258,'G-2 Habitat groups'!A40,'A-1 On-Site Habitat Baseline'!$W$11:$W$258)</f>
        <v>0</v>
      </c>
      <c r="J40" s="1056">
        <f>SUMIF('A-1 On-Site Habitat Baseline'!$AV$11:$AV$258,'G-2 Habitat groups'!A40,'A-1 On-Site Habitat Baseline'!$X$11:$X$258)</f>
        <v>0</v>
      </c>
      <c r="K40" s="1056">
        <f>SUMIF('A-2 On-Site Habitat Creation'!$F$11:$F$256,'G-2 Habitat groups'!A40,'A-2 On-Site Habitat Creation'!$G$11:$G$256)</f>
        <v>0</v>
      </c>
      <c r="L40" s="1056">
        <f>SUMIF('A-2 On-Site Habitat Creation'!$F$11:$F$256,'G-2 Habitat groups'!A40,'A-2 On-Site Habitat Creation'!$Y$11:$Y$256)</f>
        <v>0</v>
      </c>
      <c r="M40" s="1056">
        <f>SUMIF('A-3 On-Site Habitat Enhancement'!$S$12:$S$257,'G-2 Habitat groups'!A40,'A-3 On-Site Habitat Enhancement'!$V$12:$V$257)</f>
        <v>0</v>
      </c>
      <c r="N40" s="1056">
        <f>SUMIF('A-3 On-Site Habitat Enhancement'!$S$12:$S$257,'G-2 Habitat groups'!A40,'A-3 On-Site Habitat Enhancement'!$AN$12:$AN$257)</f>
        <v>0</v>
      </c>
      <c r="O40" s="1056">
        <f t="shared" si="44"/>
        <v>0</v>
      </c>
      <c r="P40" s="1056">
        <f t="shared" si="45"/>
        <v>0</v>
      </c>
      <c r="Q40" s="1056">
        <f t="shared" si="46"/>
        <v>0</v>
      </c>
      <c r="R40" s="1056">
        <f t="shared" si="47"/>
        <v>0</v>
      </c>
      <c r="S40" s="1056">
        <f>SUMIF('D-1 Off-Site Habitat Baseline'!$AV$11:$AV$258,'G-2 Habitat groups'!A40,'D-1 Off-Site Habitat Baseline'!$H$11:$H$258)</f>
        <v>0</v>
      </c>
      <c r="T40" s="1056">
        <f>SUMIF('D-1 Off-Site Habitat Baseline'!$AV$11:$AV$258,'G-2 Habitat groups'!A40,'D-1 Off-Site Habitat Baseline'!$T$11:$T$258)</f>
        <v>0</v>
      </c>
      <c r="U40" s="1056">
        <f>SUMIF('D-1 Off-Site Habitat Baseline'!$AV$11:$AV$258,'G-2 Habitat groups'!A40,'D-1 Off-Site Habitat Baseline'!$V$11:$V$258)</f>
        <v>0</v>
      </c>
      <c r="V40" s="1056">
        <f>SUMIF('D-1 Off-Site Habitat Baseline'!$AV$11:$AV$258,'G-2 Habitat groups'!A40,'D-1 Off-Site Habitat Baseline'!$X$11:$X$258)+SUMIF('D-1 Off-Site Habitat Baseline'!$AV$11:$AV$258,'G-2 Habitat groups'!A40,'D-1 Off-Site Habitat Baseline'!$AS$11:$AS$258)</f>
        <v>0</v>
      </c>
      <c r="W40" s="1056">
        <f>SUMIF('D-2 Off-Site Habitat Creation'!$F$9:$F$255,'G-2 Habitat groups'!A40,'D-2 Off-Site Habitat Creation'!$G$9:$G$255)</f>
        <v>0</v>
      </c>
      <c r="X40" s="1056">
        <f>SUMIF('D-2 Off-Site Habitat Creation'!$F$9:$F$255,'G-2 Habitat groups'!A40,'D-2 Off-Site Habitat Creation'!$AB$9:$AB$255)</f>
        <v>0</v>
      </c>
      <c r="Y40" s="1056">
        <f>SUMIF('D-3 Off-Site Habitat Enhancment'!$S$12:$S$491,'G-2 Habitat groups'!A40,'D-3 Off-Site Habitat Enhancment'!$V$12:$V$491)</f>
        <v>0</v>
      </c>
      <c r="Z40" s="1056">
        <f>SUMIF('D-3 Off-Site Habitat Enhancment'!$S$12:$S$491,'G-2 Habitat groups'!A40,'D-3 Off-Site Habitat Enhancment'!$AQ$12:$AQ$491)</f>
        <v>0</v>
      </c>
      <c r="AA40" s="1056">
        <f t="shared" si="48"/>
        <v>0</v>
      </c>
      <c r="AB40" s="1056">
        <f t="shared" si="49"/>
        <v>0</v>
      </c>
      <c r="AC40" s="1056">
        <f t="shared" si="50"/>
        <v>0</v>
      </c>
      <c r="AD40" s="1056">
        <f t="shared" si="51"/>
        <v>0</v>
      </c>
      <c r="AE40" s="1056">
        <f t="shared" si="52"/>
        <v>0</v>
      </c>
      <c r="AF40" s="1056">
        <f t="shared" si="53"/>
        <v>0</v>
      </c>
      <c r="AU40" s="73" t="s">
        <v>530</v>
      </c>
      <c r="AV40" s="62" t="s">
        <v>108</v>
      </c>
      <c r="AW40" s="274">
        <f t="shared" si="34"/>
        <v>0</v>
      </c>
      <c r="AX40" s="274">
        <f t="shared" si="35"/>
        <v>0</v>
      </c>
      <c r="AY40" s="274">
        <f t="shared" si="36"/>
        <v>0</v>
      </c>
      <c r="AZ40" s="274">
        <f t="shared" si="37"/>
        <v>0</v>
      </c>
      <c r="BA40" s="274">
        <f t="shared" si="38"/>
        <v>0</v>
      </c>
      <c r="BB40" s="274">
        <f t="shared" si="39"/>
        <v>0</v>
      </c>
      <c r="BC40" s="274">
        <f t="shared" si="40"/>
        <v>0</v>
      </c>
      <c r="BD40" s="274">
        <f t="shared" si="41"/>
        <v>0</v>
      </c>
      <c r="BE40" s="274">
        <f t="shared" si="42"/>
        <v>0</v>
      </c>
      <c r="BF40" s="274" t="str">
        <f t="shared" si="43"/>
        <v/>
      </c>
    </row>
    <row r="41" spans="1:58" ht="14">
      <c r="A41" s="72" t="str">
        <f>'G-1 All Habitats'!B40</f>
        <v>Lakes - Ornamental lake or pond</v>
      </c>
      <c r="B41" s="72" t="s">
        <v>108</v>
      </c>
      <c r="C41" s="72" t="str">
        <f>'G-1 All Habitats'!K40</f>
        <v>Low</v>
      </c>
      <c r="D41" s="72" t="str">
        <f>'G-1 All Habitats'!M40</f>
        <v>Same distinctiveness or better habitat required ≥</v>
      </c>
      <c r="E41" s="1056">
        <f>SUMIF('A-1 On-Site Habitat Baseline'!$AV$11:$AV$258,'G-2 Habitat groups'!A41,'A-1 On-Site Habitat Baseline'!$H$11:$H$258)</f>
        <v>0</v>
      </c>
      <c r="F41" s="1056">
        <f>SUMIF('A-1 On-Site Habitat Baseline'!$AV$11:$AV$258,'G-2 Habitat groups'!A41,'A-1 On-Site Habitat Baseline'!$Q$11:$Q$258)</f>
        <v>0</v>
      </c>
      <c r="G41" s="1056">
        <f>SUMIF('A-1 On-Site Habitat Baseline'!$AV$11:$AV$258,'G-2 Habitat groups'!A41,'A-1 On-Site Habitat Baseline'!$S$11:$S$258)</f>
        <v>0</v>
      </c>
      <c r="H41" s="1056">
        <f>SUMIF('A-1 On-Site Habitat Baseline'!$AV$11:$AV$258,'G-2 Habitat groups'!A41,'A-1 On-Site Habitat Baseline'!$U$11:$U$258)+SUMIF('A-1 On-Site Habitat Baseline'!$AV$11:$AV$258,'G-2 Habitat groups'!A41,'A-1 On-Site Habitat Baseline'!$AT$11:$AT$258)</f>
        <v>0</v>
      </c>
      <c r="I41" s="1056">
        <f>SUMIF('A-1 On-Site Habitat Baseline'!$AV$11:$AV$258,'G-2 Habitat groups'!A41,'A-1 On-Site Habitat Baseline'!$W$11:$W$258)</f>
        <v>0</v>
      </c>
      <c r="J41" s="1056">
        <f>SUMIF('A-1 On-Site Habitat Baseline'!$AV$11:$AV$258,'G-2 Habitat groups'!A41,'A-1 On-Site Habitat Baseline'!$X$11:$X$258)</f>
        <v>0</v>
      </c>
      <c r="K41" s="1056">
        <f>SUMIF('A-2 On-Site Habitat Creation'!$F$11:$F$256,'G-2 Habitat groups'!A41,'A-2 On-Site Habitat Creation'!$G$11:$G$256)</f>
        <v>0</v>
      </c>
      <c r="L41" s="1056">
        <f>SUMIF('A-2 On-Site Habitat Creation'!$F$11:$F$256,'G-2 Habitat groups'!A41,'A-2 On-Site Habitat Creation'!$Y$11:$Y$256)</f>
        <v>0</v>
      </c>
      <c r="M41" s="1056">
        <f>SUMIF('A-3 On-Site Habitat Enhancement'!$S$12:$S$257,'G-2 Habitat groups'!A41,'A-3 On-Site Habitat Enhancement'!$V$12:$V$257)</f>
        <v>0</v>
      </c>
      <c r="N41" s="1056">
        <f>SUMIF('A-3 On-Site Habitat Enhancement'!$S$12:$S$257,'G-2 Habitat groups'!A41,'A-3 On-Site Habitat Enhancement'!$AN$12:$AN$257)</f>
        <v>0</v>
      </c>
      <c r="O41" s="1056">
        <f t="shared" si="44"/>
        <v>0</v>
      </c>
      <c r="P41" s="1056">
        <f t="shared" si="45"/>
        <v>0</v>
      </c>
      <c r="Q41" s="1056">
        <f t="shared" si="46"/>
        <v>0</v>
      </c>
      <c r="R41" s="1056">
        <f t="shared" si="47"/>
        <v>0</v>
      </c>
      <c r="S41" s="1056">
        <f>SUMIF('D-1 Off-Site Habitat Baseline'!$AV$11:$AV$258,'G-2 Habitat groups'!A41,'D-1 Off-Site Habitat Baseline'!$H$11:$H$258)</f>
        <v>0</v>
      </c>
      <c r="T41" s="1056">
        <f>SUMIF('D-1 Off-Site Habitat Baseline'!$AV$11:$AV$258,'G-2 Habitat groups'!A41,'D-1 Off-Site Habitat Baseline'!$T$11:$T$258)</f>
        <v>0</v>
      </c>
      <c r="U41" s="1056">
        <f>SUMIF('D-1 Off-Site Habitat Baseline'!$AV$11:$AV$258,'G-2 Habitat groups'!A41,'D-1 Off-Site Habitat Baseline'!$V$11:$V$258)</f>
        <v>0</v>
      </c>
      <c r="V41" s="1056">
        <f>SUMIF('D-1 Off-Site Habitat Baseline'!$AV$11:$AV$258,'G-2 Habitat groups'!A41,'D-1 Off-Site Habitat Baseline'!$X$11:$X$258)+SUMIF('D-1 Off-Site Habitat Baseline'!$AV$11:$AV$258,'G-2 Habitat groups'!A41,'D-1 Off-Site Habitat Baseline'!$AS$11:$AS$258)</f>
        <v>0</v>
      </c>
      <c r="W41" s="1056">
        <f>SUMIF('D-2 Off-Site Habitat Creation'!$F$9:$F$255,'G-2 Habitat groups'!A41,'D-2 Off-Site Habitat Creation'!$G$9:$G$255)</f>
        <v>0</v>
      </c>
      <c r="X41" s="1056">
        <f>SUMIF('D-2 Off-Site Habitat Creation'!$F$9:$F$255,'G-2 Habitat groups'!A41,'D-2 Off-Site Habitat Creation'!$AB$9:$AB$255)</f>
        <v>0</v>
      </c>
      <c r="Y41" s="1056">
        <f>SUMIF('D-3 Off-Site Habitat Enhancment'!$S$12:$S$491,'G-2 Habitat groups'!A41,'D-3 Off-Site Habitat Enhancment'!$V$12:$V$491)</f>
        <v>0</v>
      </c>
      <c r="Z41" s="1056">
        <f>SUMIF('D-3 Off-Site Habitat Enhancment'!$S$12:$S$491,'G-2 Habitat groups'!A41,'D-3 Off-Site Habitat Enhancment'!$AQ$12:$AQ$491)</f>
        <v>0</v>
      </c>
      <c r="AA41" s="1056">
        <f t="shared" si="48"/>
        <v>0</v>
      </c>
      <c r="AB41" s="1056">
        <f t="shared" si="49"/>
        <v>0</v>
      </c>
      <c r="AC41" s="1056">
        <f t="shared" si="50"/>
        <v>0</v>
      </c>
      <c r="AD41" s="1056">
        <f t="shared" si="51"/>
        <v>0</v>
      </c>
      <c r="AE41" s="1056">
        <f t="shared" si="52"/>
        <v>0</v>
      </c>
      <c r="AF41" s="1056">
        <f t="shared" si="53"/>
        <v>0</v>
      </c>
      <c r="AU41" s="73" t="s">
        <v>531</v>
      </c>
      <c r="AV41" s="62" t="s">
        <v>108</v>
      </c>
      <c r="AW41" s="274">
        <f t="shared" si="34"/>
        <v>0</v>
      </c>
      <c r="AX41" s="274">
        <f t="shared" si="35"/>
        <v>0</v>
      </c>
      <c r="AY41" s="274">
        <f t="shared" si="36"/>
        <v>0</v>
      </c>
      <c r="AZ41" s="274">
        <f t="shared" si="37"/>
        <v>0</v>
      </c>
      <c r="BA41" s="274">
        <f t="shared" si="38"/>
        <v>0</v>
      </c>
      <c r="BB41" s="274">
        <f t="shared" si="39"/>
        <v>0</v>
      </c>
      <c r="BC41" s="274">
        <f t="shared" si="40"/>
        <v>0</v>
      </c>
      <c r="BD41" s="274">
        <f t="shared" si="41"/>
        <v>0</v>
      </c>
      <c r="BE41" s="274">
        <f t="shared" si="42"/>
        <v>0</v>
      </c>
      <c r="BF41" s="274" t="str">
        <f t="shared" si="43"/>
        <v/>
      </c>
    </row>
    <row r="42" spans="1:58" ht="14">
      <c r="A42" s="72" t="str">
        <f>'G-1 All Habitats'!B41</f>
        <v>Lakes - High alkalinity lakes</v>
      </c>
      <c r="B42" s="72" t="s">
        <v>108</v>
      </c>
      <c r="C42" s="72" t="str">
        <f>'G-1 All Habitats'!K41</f>
        <v>High</v>
      </c>
      <c r="D42" s="72" t="str">
        <f>'G-1 All Habitats'!M41</f>
        <v>Same habitat required =</v>
      </c>
      <c r="E42" s="1056">
        <f>SUMIF('A-1 On-Site Habitat Baseline'!$AV$11:$AV$258,'G-2 Habitat groups'!A42,'A-1 On-Site Habitat Baseline'!$H$11:$H$258)</f>
        <v>0</v>
      </c>
      <c r="F42" s="1056">
        <f>SUMIF('A-1 On-Site Habitat Baseline'!$AV$11:$AV$258,'G-2 Habitat groups'!A42,'A-1 On-Site Habitat Baseline'!$Q$11:$Q$258)</f>
        <v>0</v>
      </c>
      <c r="G42" s="1056">
        <f>SUMIF('A-1 On-Site Habitat Baseline'!$AV$11:$AV$258,'G-2 Habitat groups'!A42,'A-1 On-Site Habitat Baseline'!$S$11:$S$258)</f>
        <v>0</v>
      </c>
      <c r="H42" s="1056">
        <f>SUMIF('A-1 On-Site Habitat Baseline'!$AV$11:$AV$258,'G-2 Habitat groups'!A42,'A-1 On-Site Habitat Baseline'!$U$11:$U$258)+SUMIF('A-1 On-Site Habitat Baseline'!$AV$11:$AV$258,'G-2 Habitat groups'!A42,'A-1 On-Site Habitat Baseline'!$AT$11:$AT$258)</f>
        <v>0</v>
      </c>
      <c r="I42" s="1056">
        <f>SUMIF('A-1 On-Site Habitat Baseline'!$AV$11:$AV$258,'G-2 Habitat groups'!A42,'A-1 On-Site Habitat Baseline'!$W$11:$W$258)</f>
        <v>0</v>
      </c>
      <c r="J42" s="1056">
        <f>SUMIF('A-1 On-Site Habitat Baseline'!$AV$11:$AV$258,'G-2 Habitat groups'!A42,'A-1 On-Site Habitat Baseline'!$X$11:$X$258)</f>
        <v>0</v>
      </c>
      <c r="K42" s="1056">
        <f>SUMIF('A-2 On-Site Habitat Creation'!$F$11:$F$256,'G-2 Habitat groups'!A42,'A-2 On-Site Habitat Creation'!$G$11:$G$256)</f>
        <v>0</v>
      </c>
      <c r="L42" s="1056">
        <f>SUMIF('A-2 On-Site Habitat Creation'!$F$11:$F$256,'G-2 Habitat groups'!A42,'A-2 On-Site Habitat Creation'!$Y$11:$Y$256)</f>
        <v>0</v>
      </c>
      <c r="M42" s="1056">
        <f>SUMIF('A-3 On-Site Habitat Enhancement'!$S$12:$S$257,'G-2 Habitat groups'!A42,'A-3 On-Site Habitat Enhancement'!$V$12:$V$257)</f>
        <v>0</v>
      </c>
      <c r="N42" s="1056">
        <f>SUMIF('A-3 On-Site Habitat Enhancement'!$S$12:$S$257,'G-2 Habitat groups'!A42,'A-3 On-Site Habitat Enhancement'!$AN$12:$AN$257)</f>
        <v>0</v>
      </c>
      <c r="O42" s="1056">
        <f t="shared" si="44"/>
        <v>0</v>
      </c>
      <c r="P42" s="1056">
        <f t="shared" si="45"/>
        <v>0</v>
      </c>
      <c r="Q42" s="1056">
        <f t="shared" si="46"/>
        <v>0</v>
      </c>
      <c r="R42" s="1056">
        <f t="shared" si="47"/>
        <v>0</v>
      </c>
      <c r="S42" s="1056">
        <f>SUMIF('D-1 Off-Site Habitat Baseline'!$AV$11:$AV$258,'G-2 Habitat groups'!A42,'D-1 Off-Site Habitat Baseline'!$H$11:$H$258)</f>
        <v>0</v>
      </c>
      <c r="T42" s="1056">
        <f>SUMIF('D-1 Off-Site Habitat Baseline'!$AV$11:$AV$258,'G-2 Habitat groups'!A42,'D-1 Off-Site Habitat Baseline'!$T$11:$T$258)</f>
        <v>0</v>
      </c>
      <c r="U42" s="1056">
        <f>SUMIF('D-1 Off-Site Habitat Baseline'!$AV$11:$AV$258,'G-2 Habitat groups'!A42,'D-1 Off-Site Habitat Baseline'!$V$11:$V$258)</f>
        <v>0</v>
      </c>
      <c r="V42" s="1056">
        <f>SUMIF('D-1 Off-Site Habitat Baseline'!$AV$11:$AV$258,'G-2 Habitat groups'!A42,'D-1 Off-Site Habitat Baseline'!$X$11:$X$258)+SUMIF('D-1 Off-Site Habitat Baseline'!$AV$11:$AV$258,'G-2 Habitat groups'!A42,'D-1 Off-Site Habitat Baseline'!$AS$11:$AS$258)</f>
        <v>0</v>
      </c>
      <c r="W42" s="1056">
        <f>SUMIF('D-2 Off-Site Habitat Creation'!$F$9:$F$255,'G-2 Habitat groups'!A42,'D-2 Off-Site Habitat Creation'!$G$9:$G$255)</f>
        <v>0</v>
      </c>
      <c r="X42" s="1056">
        <f>SUMIF('D-2 Off-Site Habitat Creation'!$F$9:$F$255,'G-2 Habitat groups'!A42,'D-2 Off-Site Habitat Creation'!$AB$9:$AB$255)</f>
        <v>0</v>
      </c>
      <c r="Y42" s="1056">
        <f>SUMIF('D-3 Off-Site Habitat Enhancment'!$S$12:$S$491,'G-2 Habitat groups'!A42,'D-3 Off-Site Habitat Enhancment'!$V$12:$V$491)</f>
        <v>0</v>
      </c>
      <c r="Z42" s="1056">
        <f>SUMIF('D-3 Off-Site Habitat Enhancment'!$S$12:$S$491,'G-2 Habitat groups'!A42,'D-3 Off-Site Habitat Enhancment'!$AQ$12:$AQ$491)</f>
        <v>0</v>
      </c>
      <c r="AA42" s="1056">
        <f t="shared" si="48"/>
        <v>0</v>
      </c>
      <c r="AB42" s="1056">
        <f t="shared" si="49"/>
        <v>0</v>
      </c>
      <c r="AC42" s="1056">
        <f t="shared" si="50"/>
        <v>0</v>
      </c>
      <c r="AD42" s="1056">
        <f t="shared" si="51"/>
        <v>0</v>
      </c>
      <c r="AE42" s="1056">
        <f t="shared" si="52"/>
        <v>0</v>
      </c>
      <c r="AF42" s="1056">
        <f t="shared" si="53"/>
        <v>0</v>
      </c>
      <c r="AU42" s="73" t="s">
        <v>532</v>
      </c>
      <c r="AV42" s="62" t="s">
        <v>108</v>
      </c>
      <c r="AW42" s="274">
        <f t="shared" si="34"/>
        <v>0</v>
      </c>
      <c r="AX42" s="274">
        <f t="shared" si="35"/>
        <v>0</v>
      </c>
      <c r="AY42" s="274">
        <f t="shared" si="36"/>
        <v>0</v>
      </c>
      <c r="AZ42" s="274">
        <f t="shared" si="37"/>
        <v>0</v>
      </c>
      <c r="BA42" s="274">
        <f t="shared" si="38"/>
        <v>0</v>
      </c>
      <c r="BB42" s="274">
        <f t="shared" si="39"/>
        <v>0</v>
      </c>
      <c r="BC42" s="274">
        <f t="shared" si="40"/>
        <v>0</v>
      </c>
      <c r="BD42" s="274">
        <f t="shared" si="41"/>
        <v>0</v>
      </c>
      <c r="BE42" s="274">
        <f t="shared" si="42"/>
        <v>0</v>
      </c>
      <c r="BF42" s="274" t="str">
        <f t="shared" si="43"/>
        <v/>
      </c>
    </row>
    <row r="43" spans="1:58" ht="14">
      <c r="A43" s="72" t="str">
        <f>'G-1 All Habitats'!B42</f>
        <v>Lakes - Low alkalinity lakes</v>
      </c>
      <c r="B43" s="72" t="s">
        <v>108</v>
      </c>
      <c r="C43" s="72" t="str">
        <f>'G-1 All Habitats'!K42</f>
        <v>High</v>
      </c>
      <c r="D43" s="72" t="str">
        <f>'G-1 All Habitats'!M42</f>
        <v>Same habitat required =</v>
      </c>
      <c r="E43" s="1056">
        <f>SUMIF('A-1 On-Site Habitat Baseline'!$AV$11:$AV$258,'G-2 Habitat groups'!A43,'A-1 On-Site Habitat Baseline'!$H$11:$H$258)</f>
        <v>0</v>
      </c>
      <c r="F43" s="1056">
        <f>SUMIF('A-1 On-Site Habitat Baseline'!$AV$11:$AV$258,'G-2 Habitat groups'!A43,'A-1 On-Site Habitat Baseline'!$Q$11:$Q$258)</f>
        <v>0</v>
      </c>
      <c r="G43" s="1056">
        <f>SUMIF('A-1 On-Site Habitat Baseline'!$AV$11:$AV$258,'G-2 Habitat groups'!A43,'A-1 On-Site Habitat Baseline'!$S$11:$S$258)</f>
        <v>0</v>
      </c>
      <c r="H43" s="1056">
        <f>SUMIF('A-1 On-Site Habitat Baseline'!$AV$11:$AV$258,'G-2 Habitat groups'!A43,'A-1 On-Site Habitat Baseline'!$U$11:$U$258)+SUMIF('A-1 On-Site Habitat Baseline'!$AV$11:$AV$258,'G-2 Habitat groups'!A43,'A-1 On-Site Habitat Baseline'!$AT$11:$AT$258)</f>
        <v>0</v>
      </c>
      <c r="I43" s="1056">
        <f>SUMIF('A-1 On-Site Habitat Baseline'!$AV$11:$AV$258,'G-2 Habitat groups'!A43,'A-1 On-Site Habitat Baseline'!$W$11:$W$258)</f>
        <v>0</v>
      </c>
      <c r="J43" s="1056">
        <f>SUMIF('A-1 On-Site Habitat Baseline'!$AV$11:$AV$258,'G-2 Habitat groups'!A43,'A-1 On-Site Habitat Baseline'!$X$11:$X$258)</f>
        <v>0</v>
      </c>
      <c r="K43" s="1056">
        <f>SUMIF('A-2 On-Site Habitat Creation'!$F$11:$F$256,'G-2 Habitat groups'!A43,'A-2 On-Site Habitat Creation'!$G$11:$G$256)</f>
        <v>0</v>
      </c>
      <c r="L43" s="1056">
        <f>SUMIF('A-2 On-Site Habitat Creation'!$F$11:$F$256,'G-2 Habitat groups'!A43,'A-2 On-Site Habitat Creation'!$Y$11:$Y$256)</f>
        <v>0</v>
      </c>
      <c r="M43" s="1056">
        <f>SUMIF('A-3 On-Site Habitat Enhancement'!$S$12:$S$257,'G-2 Habitat groups'!A43,'A-3 On-Site Habitat Enhancement'!$V$12:$V$257)</f>
        <v>0</v>
      </c>
      <c r="N43" s="1056">
        <f>SUMIF('A-3 On-Site Habitat Enhancement'!$S$12:$S$257,'G-2 Habitat groups'!A43,'A-3 On-Site Habitat Enhancement'!$AN$12:$AN$257)</f>
        <v>0</v>
      </c>
      <c r="O43" s="1056">
        <f t="shared" si="44"/>
        <v>0</v>
      </c>
      <c r="P43" s="1056">
        <f t="shared" si="45"/>
        <v>0</v>
      </c>
      <c r="Q43" s="1056">
        <f t="shared" si="46"/>
        <v>0</v>
      </c>
      <c r="R43" s="1056">
        <f t="shared" si="47"/>
        <v>0</v>
      </c>
      <c r="S43" s="1056">
        <f>SUMIF('D-1 Off-Site Habitat Baseline'!$AV$11:$AV$258,'G-2 Habitat groups'!A43,'D-1 Off-Site Habitat Baseline'!$H$11:$H$258)</f>
        <v>0</v>
      </c>
      <c r="T43" s="1056">
        <f>SUMIF('D-1 Off-Site Habitat Baseline'!$AV$11:$AV$258,'G-2 Habitat groups'!A43,'D-1 Off-Site Habitat Baseline'!$T$11:$T$258)</f>
        <v>0</v>
      </c>
      <c r="U43" s="1056">
        <f>SUMIF('D-1 Off-Site Habitat Baseline'!$AV$11:$AV$258,'G-2 Habitat groups'!A43,'D-1 Off-Site Habitat Baseline'!$V$11:$V$258)</f>
        <v>0</v>
      </c>
      <c r="V43" s="1056">
        <f>SUMIF('D-1 Off-Site Habitat Baseline'!$AV$11:$AV$258,'G-2 Habitat groups'!A43,'D-1 Off-Site Habitat Baseline'!$X$11:$X$258)+SUMIF('D-1 Off-Site Habitat Baseline'!$AV$11:$AV$258,'G-2 Habitat groups'!A43,'D-1 Off-Site Habitat Baseline'!$AS$11:$AS$258)</f>
        <v>0</v>
      </c>
      <c r="W43" s="1056">
        <f>SUMIF('D-2 Off-Site Habitat Creation'!$F$9:$F$255,'G-2 Habitat groups'!A43,'D-2 Off-Site Habitat Creation'!$G$9:$G$255)</f>
        <v>0</v>
      </c>
      <c r="X43" s="1056">
        <f>SUMIF('D-2 Off-Site Habitat Creation'!$F$9:$F$255,'G-2 Habitat groups'!A43,'D-2 Off-Site Habitat Creation'!$AB$9:$AB$255)</f>
        <v>0</v>
      </c>
      <c r="Y43" s="1056">
        <f>SUMIF('D-3 Off-Site Habitat Enhancment'!$S$12:$S$491,'G-2 Habitat groups'!A43,'D-3 Off-Site Habitat Enhancment'!$V$12:$V$491)</f>
        <v>0</v>
      </c>
      <c r="Z43" s="1056">
        <f>SUMIF('D-3 Off-Site Habitat Enhancment'!$S$12:$S$491,'G-2 Habitat groups'!A43,'D-3 Off-Site Habitat Enhancment'!$AQ$12:$AQ$491)</f>
        <v>0</v>
      </c>
      <c r="AA43" s="1056">
        <f t="shared" si="48"/>
        <v>0</v>
      </c>
      <c r="AB43" s="1056">
        <f t="shared" si="49"/>
        <v>0</v>
      </c>
      <c r="AC43" s="1056">
        <f t="shared" si="50"/>
        <v>0</v>
      </c>
      <c r="AD43" s="1056">
        <f t="shared" si="51"/>
        <v>0</v>
      </c>
      <c r="AE43" s="1056">
        <f t="shared" si="52"/>
        <v>0</v>
      </c>
      <c r="AF43" s="1056">
        <f t="shared" si="53"/>
        <v>0</v>
      </c>
      <c r="AU43" s="73" t="s">
        <v>533</v>
      </c>
      <c r="AV43" s="62" t="s">
        <v>108</v>
      </c>
      <c r="AW43" s="274">
        <f t="shared" si="34"/>
        <v>0</v>
      </c>
      <c r="AX43" s="274">
        <f t="shared" si="35"/>
        <v>0</v>
      </c>
      <c r="AY43" s="274">
        <f t="shared" si="36"/>
        <v>0</v>
      </c>
      <c r="AZ43" s="274">
        <f t="shared" si="37"/>
        <v>0</v>
      </c>
      <c r="BA43" s="274">
        <f t="shared" si="38"/>
        <v>0</v>
      </c>
      <c r="BB43" s="274">
        <f t="shared" si="39"/>
        <v>0</v>
      </c>
      <c r="BC43" s="274">
        <f t="shared" si="40"/>
        <v>0</v>
      </c>
      <c r="BD43" s="274">
        <f t="shared" si="41"/>
        <v>0</v>
      </c>
      <c r="BE43" s="274">
        <f t="shared" si="42"/>
        <v>0</v>
      </c>
      <c r="BF43" s="274" t="str">
        <f t="shared" si="43"/>
        <v/>
      </c>
    </row>
    <row r="44" spans="1:58" ht="14">
      <c r="A44" s="72" t="str">
        <f>'G-1 All Habitats'!B43</f>
        <v>Lakes - Marl lakes</v>
      </c>
      <c r="B44" s="72" t="s">
        <v>108</v>
      </c>
      <c r="C44" s="72" t="str">
        <f>'G-1 All Habitats'!K43</f>
        <v>High</v>
      </c>
      <c r="D44" s="72" t="str">
        <f>'G-1 All Habitats'!M43</f>
        <v>Same habitat required =</v>
      </c>
      <c r="E44" s="1056">
        <f>SUMIF('A-1 On-Site Habitat Baseline'!$AV$11:$AV$258,'G-2 Habitat groups'!A44,'A-1 On-Site Habitat Baseline'!$H$11:$H$258)</f>
        <v>0</v>
      </c>
      <c r="F44" s="1056">
        <f>SUMIF('A-1 On-Site Habitat Baseline'!$AV$11:$AV$258,'G-2 Habitat groups'!A44,'A-1 On-Site Habitat Baseline'!$Q$11:$Q$258)</f>
        <v>0</v>
      </c>
      <c r="G44" s="1056">
        <f>SUMIF('A-1 On-Site Habitat Baseline'!$AV$11:$AV$258,'G-2 Habitat groups'!A44,'A-1 On-Site Habitat Baseline'!$S$11:$S$258)</f>
        <v>0</v>
      </c>
      <c r="H44" s="1056">
        <f>SUMIF('A-1 On-Site Habitat Baseline'!$AV$11:$AV$258,'G-2 Habitat groups'!A44,'A-1 On-Site Habitat Baseline'!$U$11:$U$258)+SUMIF('A-1 On-Site Habitat Baseline'!$AV$11:$AV$258,'G-2 Habitat groups'!A44,'A-1 On-Site Habitat Baseline'!$AT$11:$AT$258)</f>
        <v>0</v>
      </c>
      <c r="I44" s="1056">
        <f>SUMIF('A-1 On-Site Habitat Baseline'!$AV$11:$AV$258,'G-2 Habitat groups'!A44,'A-1 On-Site Habitat Baseline'!$W$11:$W$258)</f>
        <v>0</v>
      </c>
      <c r="J44" s="1056">
        <f>SUMIF('A-1 On-Site Habitat Baseline'!$AV$11:$AV$258,'G-2 Habitat groups'!A44,'A-1 On-Site Habitat Baseline'!$X$11:$X$258)</f>
        <v>0</v>
      </c>
      <c r="K44" s="1056">
        <f>SUMIF('A-2 On-Site Habitat Creation'!$F$11:$F$256,'G-2 Habitat groups'!A44,'A-2 On-Site Habitat Creation'!$G$11:$G$256)</f>
        <v>0</v>
      </c>
      <c r="L44" s="1056">
        <f>SUMIF('A-2 On-Site Habitat Creation'!$F$11:$F$256,'G-2 Habitat groups'!A44,'A-2 On-Site Habitat Creation'!$Y$11:$Y$256)</f>
        <v>0</v>
      </c>
      <c r="M44" s="1056">
        <f>SUMIF('A-3 On-Site Habitat Enhancement'!$S$12:$S$257,'G-2 Habitat groups'!A44,'A-3 On-Site Habitat Enhancement'!$V$12:$V$257)</f>
        <v>0</v>
      </c>
      <c r="N44" s="1056">
        <f>SUMIF('A-3 On-Site Habitat Enhancement'!$S$12:$S$257,'G-2 Habitat groups'!A44,'A-3 On-Site Habitat Enhancement'!$AN$12:$AN$257)</f>
        <v>0</v>
      </c>
      <c r="O44" s="1056">
        <f t="shared" si="44"/>
        <v>0</v>
      </c>
      <c r="P44" s="1056">
        <f t="shared" si="45"/>
        <v>0</v>
      </c>
      <c r="Q44" s="1056">
        <f t="shared" si="46"/>
        <v>0</v>
      </c>
      <c r="R44" s="1056">
        <f t="shared" si="47"/>
        <v>0</v>
      </c>
      <c r="S44" s="1056">
        <f>SUMIF('D-1 Off-Site Habitat Baseline'!$AV$11:$AV$258,'G-2 Habitat groups'!A44,'D-1 Off-Site Habitat Baseline'!$H$11:$H$258)</f>
        <v>0</v>
      </c>
      <c r="T44" s="1056">
        <f>SUMIF('D-1 Off-Site Habitat Baseline'!$AV$11:$AV$258,'G-2 Habitat groups'!A44,'D-1 Off-Site Habitat Baseline'!$T$11:$T$258)</f>
        <v>0</v>
      </c>
      <c r="U44" s="1056">
        <f>SUMIF('D-1 Off-Site Habitat Baseline'!$AV$11:$AV$258,'G-2 Habitat groups'!A44,'D-1 Off-Site Habitat Baseline'!$V$11:$V$258)</f>
        <v>0</v>
      </c>
      <c r="V44" s="1056">
        <f>SUMIF('D-1 Off-Site Habitat Baseline'!$AV$11:$AV$258,'G-2 Habitat groups'!A44,'D-1 Off-Site Habitat Baseline'!$X$11:$X$258)+SUMIF('D-1 Off-Site Habitat Baseline'!$AV$11:$AV$258,'G-2 Habitat groups'!A44,'D-1 Off-Site Habitat Baseline'!$AS$11:$AS$258)</f>
        <v>0</v>
      </c>
      <c r="W44" s="1056">
        <f>SUMIF('D-2 Off-Site Habitat Creation'!$F$9:$F$255,'G-2 Habitat groups'!A44,'D-2 Off-Site Habitat Creation'!$G$9:$G$255)</f>
        <v>0</v>
      </c>
      <c r="X44" s="1056">
        <f>SUMIF('D-2 Off-Site Habitat Creation'!$F$9:$F$255,'G-2 Habitat groups'!A44,'D-2 Off-Site Habitat Creation'!$AB$9:$AB$255)</f>
        <v>0</v>
      </c>
      <c r="Y44" s="1056">
        <f>SUMIF('D-3 Off-Site Habitat Enhancment'!$S$12:$S$491,'G-2 Habitat groups'!A44,'D-3 Off-Site Habitat Enhancment'!$V$12:$V$491)</f>
        <v>0</v>
      </c>
      <c r="Z44" s="1056">
        <f>SUMIF('D-3 Off-Site Habitat Enhancment'!$S$12:$S$491,'G-2 Habitat groups'!A44,'D-3 Off-Site Habitat Enhancment'!$AQ$12:$AQ$491)</f>
        <v>0</v>
      </c>
      <c r="AA44" s="1056">
        <f t="shared" si="48"/>
        <v>0</v>
      </c>
      <c r="AB44" s="1056">
        <f t="shared" si="49"/>
        <v>0</v>
      </c>
      <c r="AC44" s="1056">
        <f t="shared" si="50"/>
        <v>0</v>
      </c>
      <c r="AD44" s="1056">
        <f t="shared" si="51"/>
        <v>0</v>
      </c>
      <c r="AE44" s="1056">
        <f t="shared" si="52"/>
        <v>0</v>
      </c>
      <c r="AF44" s="1056">
        <f t="shared" si="53"/>
        <v>0</v>
      </c>
      <c r="AU44" s="72" t="s">
        <v>535</v>
      </c>
      <c r="AV44" s="62" t="s">
        <v>108</v>
      </c>
      <c r="AW44" s="274">
        <f t="shared" si="34"/>
        <v>0</v>
      </c>
      <c r="AX44" s="274">
        <f t="shared" si="35"/>
        <v>0</v>
      </c>
      <c r="AY44" s="274">
        <f t="shared" si="36"/>
        <v>0</v>
      </c>
      <c r="AZ44" s="274">
        <f t="shared" si="37"/>
        <v>0</v>
      </c>
      <c r="BA44" s="274">
        <f t="shared" si="38"/>
        <v>0</v>
      </c>
      <c r="BB44" s="274">
        <f t="shared" si="39"/>
        <v>0</v>
      </c>
      <c r="BC44" s="274">
        <f t="shared" si="40"/>
        <v>0</v>
      </c>
      <c r="BD44" s="274">
        <f t="shared" si="41"/>
        <v>0</v>
      </c>
      <c r="BE44" s="274">
        <f t="shared" si="42"/>
        <v>0</v>
      </c>
      <c r="BF44" s="274" t="str">
        <f t="shared" si="43"/>
        <v/>
      </c>
    </row>
    <row r="45" spans="1:58" ht="14">
      <c r="A45" s="72" t="str">
        <f>'G-1 All Habitats'!B44</f>
        <v>Lakes - Moderate alkalinity lakes</v>
      </c>
      <c r="B45" s="72" t="s">
        <v>108</v>
      </c>
      <c r="C45" s="72" t="str">
        <f>'G-1 All Habitats'!K44</f>
        <v>High</v>
      </c>
      <c r="D45" s="72" t="str">
        <f>'G-1 All Habitats'!M44</f>
        <v>Same habitat required =</v>
      </c>
      <c r="E45" s="1056">
        <f>SUMIF('A-1 On-Site Habitat Baseline'!$AV$11:$AV$258,'G-2 Habitat groups'!A45,'A-1 On-Site Habitat Baseline'!$H$11:$H$258)</f>
        <v>0</v>
      </c>
      <c r="F45" s="1056">
        <f>SUMIF('A-1 On-Site Habitat Baseline'!$AV$11:$AV$258,'G-2 Habitat groups'!A45,'A-1 On-Site Habitat Baseline'!$Q$11:$Q$258)</f>
        <v>0</v>
      </c>
      <c r="G45" s="1056">
        <f>SUMIF('A-1 On-Site Habitat Baseline'!$AV$11:$AV$258,'G-2 Habitat groups'!A45,'A-1 On-Site Habitat Baseline'!$S$11:$S$258)</f>
        <v>0</v>
      </c>
      <c r="H45" s="1056">
        <f>SUMIF('A-1 On-Site Habitat Baseline'!$AV$11:$AV$258,'G-2 Habitat groups'!A45,'A-1 On-Site Habitat Baseline'!$U$11:$U$258)+SUMIF('A-1 On-Site Habitat Baseline'!$AV$11:$AV$258,'G-2 Habitat groups'!A45,'A-1 On-Site Habitat Baseline'!$AT$11:$AT$258)</f>
        <v>0</v>
      </c>
      <c r="I45" s="1056">
        <f>SUMIF('A-1 On-Site Habitat Baseline'!$AV$11:$AV$258,'G-2 Habitat groups'!A45,'A-1 On-Site Habitat Baseline'!$W$11:$W$258)</f>
        <v>0</v>
      </c>
      <c r="J45" s="1056">
        <f>SUMIF('A-1 On-Site Habitat Baseline'!$AV$11:$AV$258,'G-2 Habitat groups'!A45,'A-1 On-Site Habitat Baseline'!$X$11:$X$258)</f>
        <v>0</v>
      </c>
      <c r="K45" s="1056">
        <f>SUMIF('A-2 On-Site Habitat Creation'!$F$11:$F$256,'G-2 Habitat groups'!A45,'A-2 On-Site Habitat Creation'!$G$11:$G$256)</f>
        <v>0</v>
      </c>
      <c r="L45" s="1056">
        <f>SUMIF('A-2 On-Site Habitat Creation'!$F$11:$F$256,'G-2 Habitat groups'!A45,'A-2 On-Site Habitat Creation'!$Y$11:$Y$256)</f>
        <v>0</v>
      </c>
      <c r="M45" s="1056">
        <f>SUMIF('A-3 On-Site Habitat Enhancement'!$S$12:$S$257,'G-2 Habitat groups'!A45,'A-3 On-Site Habitat Enhancement'!$V$12:$V$257)</f>
        <v>0</v>
      </c>
      <c r="N45" s="1056">
        <f>SUMIF('A-3 On-Site Habitat Enhancement'!$S$12:$S$257,'G-2 Habitat groups'!A45,'A-3 On-Site Habitat Enhancement'!$AN$12:$AN$257)</f>
        <v>0</v>
      </c>
      <c r="O45" s="1056">
        <f t="shared" si="44"/>
        <v>0</v>
      </c>
      <c r="P45" s="1056">
        <f t="shared" si="45"/>
        <v>0</v>
      </c>
      <c r="Q45" s="1056">
        <f t="shared" si="46"/>
        <v>0</v>
      </c>
      <c r="R45" s="1056">
        <f t="shared" si="47"/>
        <v>0</v>
      </c>
      <c r="S45" s="1056">
        <f>SUMIF('D-1 Off-Site Habitat Baseline'!$AV$11:$AV$258,'G-2 Habitat groups'!A45,'D-1 Off-Site Habitat Baseline'!$H$11:$H$258)</f>
        <v>0</v>
      </c>
      <c r="T45" s="1056">
        <f>SUMIF('D-1 Off-Site Habitat Baseline'!$AV$11:$AV$258,'G-2 Habitat groups'!A45,'D-1 Off-Site Habitat Baseline'!$T$11:$T$258)</f>
        <v>0</v>
      </c>
      <c r="U45" s="1056">
        <f>SUMIF('D-1 Off-Site Habitat Baseline'!$AV$11:$AV$258,'G-2 Habitat groups'!A45,'D-1 Off-Site Habitat Baseline'!$V$11:$V$258)</f>
        <v>0</v>
      </c>
      <c r="V45" s="1056">
        <f>SUMIF('D-1 Off-Site Habitat Baseline'!$AV$11:$AV$258,'G-2 Habitat groups'!A45,'D-1 Off-Site Habitat Baseline'!$X$11:$X$258)+SUMIF('D-1 Off-Site Habitat Baseline'!$AV$11:$AV$258,'G-2 Habitat groups'!A45,'D-1 Off-Site Habitat Baseline'!$AS$11:$AS$258)</f>
        <v>0</v>
      </c>
      <c r="W45" s="1056">
        <f>SUMIF('D-2 Off-Site Habitat Creation'!$F$9:$F$255,'G-2 Habitat groups'!A45,'D-2 Off-Site Habitat Creation'!$G$9:$G$255)</f>
        <v>0</v>
      </c>
      <c r="X45" s="1056">
        <f>SUMIF('D-2 Off-Site Habitat Creation'!$F$9:$F$255,'G-2 Habitat groups'!A45,'D-2 Off-Site Habitat Creation'!$AB$9:$AB$255)</f>
        <v>0</v>
      </c>
      <c r="Y45" s="1056">
        <f>SUMIF('D-3 Off-Site Habitat Enhancment'!$S$12:$S$491,'G-2 Habitat groups'!A45,'D-3 Off-Site Habitat Enhancment'!$V$12:$V$491)</f>
        <v>0</v>
      </c>
      <c r="Z45" s="1056">
        <f>SUMIF('D-3 Off-Site Habitat Enhancment'!$S$12:$S$491,'G-2 Habitat groups'!A45,'D-3 Off-Site Habitat Enhancment'!$AQ$12:$AQ$491)</f>
        <v>0</v>
      </c>
      <c r="AA45" s="1056">
        <f t="shared" si="48"/>
        <v>0</v>
      </c>
      <c r="AB45" s="1056">
        <f t="shared" si="49"/>
        <v>0</v>
      </c>
      <c r="AC45" s="1056">
        <f t="shared" si="50"/>
        <v>0</v>
      </c>
      <c r="AD45" s="1056">
        <f t="shared" si="51"/>
        <v>0</v>
      </c>
      <c r="AE45" s="1056">
        <f t="shared" si="52"/>
        <v>0</v>
      </c>
      <c r="AF45" s="1056">
        <f t="shared" si="53"/>
        <v>0</v>
      </c>
      <c r="AU45" s="73" t="s">
        <v>536</v>
      </c>
      <c r="AV45" s="62" t="s">
        <v>108</v>
      </c>
      <c r="AW45" s="274">
        <f t="shared" si="34"/>
        <v>0</v>
      </c>
      <c r="AX45" s="274">
        <f t="shared" si="35"/>
        <v>0</v>
      </c>
      <c r="AY45" s="274">
        <f t="shared" si="36"/>
        <v>0</v>
      </c>
      <c r="AZ45" s="274">
        <f t="shared" si="37"/>
        <v>0</v>
      </c>
      <c r="BA45" s="274">
        <f t="shared" si="38"/>
        <v>0</v>
      </c>
      <c r="BB45" s="274">
        <f t="shared" si="39"/>
        <v>0</v>
      </c>
      <c r="BC45" s="274">
        <f t="shared" si="40"/>
        <v>0</v>
      </c>
      <c r="BD45" s="274">
        <f t="shared" si="41"/>
        <v>0</v>
      </c>
      <c r="BE45" s="274">
        <f t="shared" si="42"/>
        <v>0</v>
      </c>
      <c r="BF45" s="274" t="str">
        <f t="shared" si="43"/>
        <v/>
      </c>
    </row>
    <row r="46" spans="1:58" ht="14">
      <c r="A46" s="72" t="str">
        <f>'G-1 All Habitats'!B45</f>
        <v>Lakes - Peat lakes</v>
      </c>
      <c r="B46" s="72" t="s">
        <v>108</v>
      </c>
      <c r="C46" s="72" t="str">
        <f>'G-1 All Habitats'!K45</f>
        <v>High</v>
      </c>
      <c r="D46" s="72" t="str">
        <f>'G-1 All Habitats'!M45</f>
        <v>Same habitat required =</v>
      </c>
      <c r="E46" s="1056">
        <f>SUMIF('A-1 On-Site Habitat Baseline'!$AV$11:$AV$258,'G-2 Habitat groups'!A46,'A-1 On-Site Habitat Baseline'!$H$11:$H$258)</f>
        <v>0</v>
      </c>
      <c r="F46" s="1056">
        <f>SUMIF('A-1 On-Site Habitat Baseline'!$AV$11:$AV$258,'G-2 Habitat groups'!A46,'A-1 On-Site Habitat Baseline'!$Q$11:$Q$258)</f>
        <v>0</v>
      </c>
      <c r="G46" s="1056">
        <f>SUMIF('A-1 On-Site Habitat Baseline'!$AV$11:$AV$258,'G-2 Habitat groups'!A46,'A-1 On-Site Habitat Baseline'!$S$11:$S$258)</f>
        <v>0</v>
      </c>
      <c r="H46" s="1056">
        <f>SUMIF('A-1 On-Site Habitat Baseline'!$AV$11:$AV$258,'G-2 Habitat groups'!A46,'A-1 On-Site Habitat Baseline'!$U$11:$U$258)+SUMIF('A-1 On-Site Habitat Baseline'!$AV$11:$AV$258,'G-2 Habitat groups'!A46,'A-1 On-Site Habitat Baseline'!$AT$11:$AT$258)</f>
        <v>0</v>
      </c>
      <c r="I46" s="1056">
        <f>SUMIF('A-1 On-Site Habitat Baseline'!$AV$11:$AV$258,'G-2 Habitat groups'!A46,'A-1 On-Site Habitat Baseline'!$W$11:$W$258)</f>
        <v>0</v>
      </c>
      <c r="J46" s="1056">
        <f>SUMIF('A-1 On-Site Habitat Baseline'!$AV$11:$AV$258,'G-2 Habitat groups'!A46,'A-1 On-Site Habitat Baseline'!$X$11:$X$258)</f>
        <v>0</v>
      </c>
      <c r="K46" s="1056">
        <f>SUMIF('A-2 On-Site Habitat Creation'!$F$11:$F$256,'G-2 Habitat groups'!A46,'A-2 On-Site Habitat Creation'!$G$11:$G$256)</f>
        <v>0</v>
      </c>
      <c r="L46" s="1056">
        <f>SUMIF('A-2 On-Site Habitat Creation'!$F$11:$F$256,'G-2 Habitat groups'!A46,'A-2 On-Site Habitat Creation'!$Y$11:$Y$256)</f>
        <v>0</v>
      </c>
      <c r="M46" s="1056">
        <f>SUMIF('A-3 On-Site Habitat Enhancement'!$S$12:$S$257,'G-2 Habitat groups'!A46,'A-3 On-Site Habitat Enhancement'!$V$12:$V$257)</f>
        <v>0</v>
      </c>
      <c r="N46" s="1056">
        <f>SUMIF('A-3 On-Site Habitat Enhancement'!$S$12:$S$257,'G-2 Habitat groups'!A46,'A-3 On-Site Habitat Enhancement'!$AN$12:$AN$257)</f>
        <v>0</v>
      </c>
      <c r="O46" s="1056">
        <f t="shared" si="44"/>
        <v>0</v>
      </c>
      <c r="P46" s="1056">
        <f t="shared" si="45"/>
        <v>0</v>
      </c>
      <c r="Q46" s="1056">
        <f t="shared" si="46"/>
        <v>0</v>
      </c>
      <c r="R46" s="1056">
        <f t="shared" si="47"/>
        <v>0</v>
      </c>
      <c r="S46" s="1056">
        <f>SUMIF('D-1 Off-Site Habitat Baseline'!$AV$11:$AV$258,'G-2 Habitat groups'!A46,'D-1 Off-Site Habitat Baseline'!$H$11:$H$258)</f>
        <v>0</v>
      </c>
      <c r="T46" s="1056">
        <f>SUMIF('D-1 Off-Site Habitat Baseline'!$AV$11:$AV$258,'G-2 Habitat groups'!A46,'D-1 Off-Site Habitat Baseline'!$T$11:$T$258)</f>
        <v>0</v>
      </c>
      <c r="U46" s="1056">
        <f>SUMIF('D-1 Off-Site Habitat Baseline'!$AV$11:$AV$258,'G-2 Habitat groups'!A46,'D-1 Off-Site Habitat Baseline'!$V$11:$V$258)</f>
        <v>0</v>
      </c>
      <c r="V46" s="1056">
        <f>SUMIF('D-1 Off-Site Habitat Baseline'!$AV$11:$AV$258,'G-2 Habitat groups'!A46,'D-1 Off-Site Habitat Baseline'!$X$11:$X$258)+SUMIF('D-1 Off-Site Habitat Baseline'!$AV$11:$AV$258,'G-2 Habitat groups'!A46,'D-1 Off-Site Habitat Baseline'!$AS$11:$AS$258)</f>
        <v>0</v>
      </c>
      <c r="W46" s="1056">
        <f>SUMIF('D-2 Off-Site Habitat Creation'!$F$9:$F$255,'G-2 Habitat groups'!A46,'D-2 Off-Site Habitat Creation'!$G$9:$G$255)</f>
        <v>0</v>
      </c>
      <c r="X46" s="1056">
        <f>SUMIF('D-2 Off-Site Habitat Creation'!$F$9:$F$255,'G-2 Habitat groups'!A46,'D-2 Off-Site Habitat Creation'!$AB$9:$AB$255)</f>
        <v>0</v>
      </c>
      <c r="Y46" s="1056">
        <f>SUMIF('D-3 Off-Site Habitat Enhancment'!$S$12:$S$491,'G-2 Habitat groups'!A46,'D-3 Off-Site Habitat Enhancment'!$V$12:$V$491)</f>
        <v>0</v>
      </c>
      <c r="Z46" s="1056">
        <f>SUMIF('D-3 Off-Site Habitat Enhancment'!$S$12:$S$491,'G-2 Habitat groups'!A46,'D-3 Off-Site Habitat Enhancment'!$AQ$12:$AQ$491)</f>
        <v>0</v>
      </c>
      <c r="AA46" s="1056">
        <f t="shared" si="48"/>
        <v>0</v>
      </c>
      <c r="AB46" s="1056">
        <f t="shared" si="49"/>
        <v>0</v>
      </c>
      <c r="AC46" s="1056">
        <f t="shared" si="50"/>
        <v>0</v>
      </c>
      <c r="AD46" s="1056">
        <f t="shared" si="51"/>
        <v>0</v>
      </c>
      <c r="AE46" s="1056">
        <f t="shared" si="52"/>
        <v>0</v>
      </c>
      <c r="AF46" s="1056">
        <f t="shared" si="53"/>
        <v>0</v>
      </c>
      <c r="AU46" s="73" t="s">
        <v>537</v>
      </c>
      <c r="AV46" s="62" t="s">
        <v>109</v>
      </c>
      <c r="AW46" s="274">
        <f t="shared" si="34"/>
        <v>0</v>
      </c>
      <c r="AX46" s="274">
        <f t="shared" si="35"/>
        <v>0</v>
      </c>
      <c r="AY46" s="274">
        <f t="shared" si="36"/>
        <v>0</v>
      </c>
      <c r="AZ46" s="274">
        <f t="shared" si="37"/>
        <v>0</v>
      </c>
      <c r="BA46" s="274">
        <f t="shared" si="38"/>
        <v>0</v>
      </c>
      <c r="BB46" s="274">
        <f t="shared" si="39"/>
        <v>0</v>
      </c>
      <c r="BC46" s="274">
        <f t="shared" si="40"/>
        <v>0</v>
      </c>
      <c r="BD46" s="274">
        <f t="shared" si="41"/>
        <v>0</v>
      </c>
      <c r="BE46" s="274">
        <f t="shared" si="42"/>
        <v>0</v>
      </c>
      <c r="BF46" s="274" t="str">
        <f t="shared" si="43"/>
        <v/>
      </c>
    </row>
    <row r="47" spans="1:58" ht="14">
      <c r="A47" s="72" t="str">
        <f>'G-1 All Habitats'!B46</f>
        <v>Lakes - Ponds (priority habitat)</v>
      </c>
      <c r="B47" s="72" t="s">
        <v>108</v>
      </c>
      <c r="C47" s="72" t="str">
        <f>'G-1 All Habitats'!K46</f>
        <v>High</v>
      </c>
      <c r="D47" s="72" t="str">
        <f>'G-1 All Habitats'!M46</f>
        <v>Same habitat required =</v>
      </c>
      <c r="E47" s="1056">
        <f>SUMIF('A-1 On-Site Habitat Baseline'!$AV$11:$AV$258,'G-2 Habitat groups'!A47,'A-1 On-Site Habitat Baseline'!$H$11:$H$258)</f>
        <v>0</v>
      </c>
      <c r="F47" s="1056">
        <f>SUMIF('A-1 On-Site Habitat Baseline'!$AV$11:$AV$258,'G-2 Habitat groups'!A47,'A-1 On-Site Habitat Baseline'!$Q$11:$Q$258)</f>
        <v>0</v>
      </c>
      <c r="G47" s="1056">
        <f>SUMIF('A-1 On-Site Habitat Baseline'!$AV$11:$AV$258,'G-2 Habitat groups'!A47,'A-1 On-Site Habitat Baseline'!$S$11:$S$258)</f>
        <v>0</v>
      </c>
      <c r="H47" s="1056">
        <f>SUMIF('A-1 On-Site Habitat Baseline'!$AV$11:$AV$258,'G-2 Habitat groups'!A47,'A-1 On-Site Habitat Baseline'!$U$11:$U$258)+SUMIF('A-1 On-Site Habitat Baseline'!$AV$11:$AV$258,'G-2 Habitat groups'!A47,'A-1 On-Site Habitat Baseline'!$AT$11:$AT$258)</f>
        <v>0</v>
      </c>
      <c r="I47" s="1056">
        <f>SUMIF('A-1 On-Site Habitat Baseline'!$AV$11:$AV$258,'G-2 Habitat groups'!A47,'A-1 On-Site Habitat Baseline'!$W$11:$W$258)</f>
        <v>0</v>
      </c>
      <c r="J47" s="1056">
        <f>SUMIF('A-1 On-Site Habitat Baseline'!$AV$11:$AV$258,'G-2 Habitat groups'!A47,'A-1 On-Site Habitat Baseline'!$X$11:$X$258)</f>
        <v>0</v>
      </c>
      <c r="K47" s="1056">
        <f>SUMIF('A-2 On-Site Habitat Creation'!$F$11:$F$256,'G-2 Habitat groups'!A47,'A-2 On-Site Habitat Creation'!$G$11:$G$256)</f>
        <v>0</v>
      </c>
      <c r="L47" s="1056">
        <f>SUMIF('A-2 On-Site Habitat Creation'!$F$11:$F$256,'G-2 Habitat groups'!A47,'A-2 On-Site Habitat Creation'!$Y$11:$Y$256)</f>
        <v>0</v>
      </c>
      <c r="M47" s="1056">
        <f>SUMIF('A-3 On-Site Habitat Enhancement'!$S$12:$S$257,'G-2 Habitat groups'!A47,'A-3 On-Site Habitat Enhancement'!$V$12:$V$257)</f>
        <v>0</v>
      </c>
      <c r="N47" s="1056">
        <f>SUMIF('A-3 On-Site Habitat Enhancement'!$S$12:$S$257,'G-2 Habitat groups'!A47,'A-3 On-Site Habitat Enhancement'!$AN$12:$AN$257)</f>
        <v>0</v>
      </c>
      <c r="O47" s="1056">
        <f t="shared" si="44"/>
        <v>0</v>
      </c>
      <c r="P47" s="1056">
        <f t="shared" si="45"/>
        <v>0</v>
      </c>
      <c r="Q47" s="1056">
        <f t="shared" si="46"/>
        <v>0</v>
      </c>
      <c r="R47" s="1056">
        <f t="shared" si="47"/>
        <v>0</v>
      </c>
      <c r="S47" s="1056">
        <f>SUMIF('D-1 Off-Site Habitat Baseline'!$AV$11:$AV$258,'G-2 Habitat groups'!A47,'D-1 Off-Site Habitat Baseline'!$H$11:$H$258)</f>
        <v>0</v>
      </c>
      <c r="T47" s="1056">
        <f>SUMIF('D-1 Off-Site Habitat Baseline'!$AV$11:$AV$258,'G-2 Habitat groups'!A47,'D-1 Off-Site Habitat Baseline'!$T$11:$T$258)</f>
        <v>0</v>
      </c>
      <c r="U47" s="1056">
        <f>SUMIF('D-1 Off-Site Habitat Baseline'!$AV$11:$AV$258,'G-2 Habitat groups'!A47,'D-1 Off-Site Habitat Baseline'!$V$11:$V$258)</f>
        <v>0</v>
      </c>
      <c r="V47" s="1056">
        <f>SUMIF('D-1 Off-Site Habitat Baseline'!$AV$11:$AV$258,'G-2 Habitat groups'!A47,'D-1 Off-Site Habitat Baseline'!$X$11:$X$258)+SUMIF('D-1 Off-Site Habitat Baseline'!$AV$11:$AV$258,'G-2 Habitat groups'!A47,'D-1 Off-Site Habitat Baseline'!$AS$11:$AS$258)</f>
        <v>0</v>
      </c>
      <c r="W47" s="1056">
        <f>SUMIF('D-2 Off-Site Habitat Creation'!$F$9:$F$255,'G-2 Habitat groups'!A47,'D-2 Off-Site Habitat Creation'!$G$9:$G$255)</f>
        <v>0</v>
      </c>
      <c r="X47" s="1056">
        <f>SUMIF('D-2 Off-Site Habitat Creation'!$F$9:$F$255,'G-2 Habitat groups'!A47,'D-2 Off-Site Habitat Creation'!$AB$9:$AB$255)</f>
        <v>0</v>
      </c>
      <c r="Y47" s="1056">
        <f>SUMIF('D-3 Off-Site Habitat Enhancment'!$S$12:$S$491,'G-2 Habitat groups'!A47,'D-3 Off-Site Habitat Enhancment'!$V$12:$V$491)</f>
        <v>0</v>
      </c>
      <c r="Z47" s="1056">
        <f>SUMIF('D-3 Off-Site Habitat Enhancment'!$S$12:$S$491,'G-2 Habitat groups'!A47,'D-3 Off-Site Habitat Enhancment'!$AQ$12:$AQ$491)</f>
        <v>0</v>
      </c>
      <c r="AA47" s="1056">
        <f t="shared" si="48"/>
        <v>0</v>
      </c>
      <c r="AB47" s="1056">
        <f t="shared" si="49"/>
        <v>0</v>
      </c>
      <c r="AC47" s="1056">
        <f t="shared" si="50"/>
        <v>0</v>
      </c>
      <c r="AD47" s="1056">
        <f t="shared" si="51"/>
        <v>0</v>
      </c>
      <c r="AE47" s="1056">
        <f t="shared" si="52"/>
        <v>0</v>
      </c>
      <c r="AF47" s="1056">
        <f t="shared" si="53"/>
        <v>0</v>
      </c>
      <c r="AU47" s="73" t="s">
        <v>538</v>
      </c>
      <c r="AV47" s="62" t="s">
        <v>109</v>
      </c>
      <c r="AW47" s="274">
        <f t="shared" si="34"/>
        <v>0</v>
      </c>
      <c r="AX47" s="274">
        <f t="shared" si="35"/>
        <v>0</v>
      </c>
      <c r="AY47" s="274">
        <f t="shared" si="36"/>
        <v>0</v>
      </c>
      <c r="AZ47" s="274">
        <f t="shared" si="37"/>
        <v>0</v>
      </c>
      <c r="BA47" s="274">
        <f t="shared" si="38"/>
        <v>0</v>
      </c>
      <c r="BB47" s="274">
        <f t="shared" si="39"/>
        <v>0</v>
      </c>
      <c r="BC47" s="274">
        <f t="shared" si="40"/>
        <v>0</v>
      </c>
      <c r="BD47" s="274">
        <f t="shared" si="41"/>
        <v>0</v>
      </c>
      <c r="BE47" s="274">
        <f t="shared" si="42"/>
        <v>0</v>
      </c>
      <c r="BF47" s="274" t="str">
        <f t="shared" si="43"/>
        <v/>
      </c>
    </row>
    <row r="48" spans="1:58" ht="14">
      <c r="A48" s="72" t="str">
        <f>'G-1 All Habitats'!B47</f>
        <v>Lakes - Ponds (non-priority habitat)</v>
      </c>
      <c r="B48" s="72" t="s">
        <v>108</v>
      </c>
      <c r="C48" s="72" t="str">
        <f>'G-1 All Habitats'!K47</f>
        <v>Medium</v>
      </c>
      <c r="D48" s="72" t="str">
        <f>'G-1 All Habitats'!M47</f>
        <v>Same broad habitat or a higher distinctiveness habitat required (≥)</v>
      </c>
      <c r="E48" s="1056">
        <f>SUMIF('A-1 On-Site Habitat Baseline'!$AV$11:$AV$258,'G-2 Habitat groups'!A48,'A-1 On-Site Habitat Baseline'!$H$11:$H$258)</f>
        <v>0</v>
      </c>
      <c r="F48" s="1056">
        <f>SUMIF('A-1 On-Site Habitat Baseline'!$AV$11:$AV$258,'G-2 Habitat groups'!A48,'A-1 On-Site Habitat Baseline'!$Q$11:$Q$258)</f>
        <v>0</v>
      </c>
      <c r="G48" s="1056">
        <f>SUMIF('A-1 On-Site Habitat Baseline'!$AV$11:$AV$258,'G-2 Habitat groups'!A48,'A-1 On-Site Habitat Baseline'!$S$11:$S$258)</f>
        <v>0</v>
      </c>
      <c r="H48" s="1056">
        <f>SUMIF('A-1 On-Site Habitat Baseline'!$AV$11:$AV$258,'G-2 Habitat groups'!A48,'A-1 On-Site Habitat Baseline'!$U$11:$U$258)+SUMIF('A-1 On-Site Habitat Baseline'!$AV$11:$AV$258,'G-2 Habitat groups'!A48,'A-1 On-Site Habitat Baseline'!$AT$11:$AT$258)</f>
        <v>0</v>
      </c>
      <c r="I48" s="1056">
        <f>SUMIF('A-1 On-Site Habitat Baseline'!$AV$11:$AV$258,'G-2 Habitat groups'!A48,'A-1 On-Site Habitat Baseline'!$W$11:$W$258)</f>
        <v>0</v>
      </c>
      <c r="J48" s="1056">
        <f>SUMIF('A-1 On-Site Habitat Baseline'!$AV$11:$AV$258,'G-2 Habitat groups'!A48,'A-1 On-Site Habitat Baseline'!$X$11:$X$258)</f>
        <v>0</v>
      </c>
      <c r="K48" s="1056">
        <f>SUMIF('A-2 On-Site Habitat Creation'!$F$11:$F$256,'G-2 Habitat groups'!A48,'A-2 On-Site Habitat Creation'!$G$11:$G$256)</f>
        <v>0</v>
      </c>
      <c r="L48" s="1056">
        <f>SUMIF('A-2 On-Site Habitat Creation'!$F$11:$F$256,'G-2 Habitat groups'!A48,'A-2 On-Site Habitat Creation'!$Y$11:$Y$256)</f>
        <v>0</v>
      </c>
      <c r="M48" s="1056">
        <f>SUMIF('A-3 On-Site Habitat Enhancement'!$S$12:$S$257,'G-2 Habitat groups'!A48,'A-3 On-Site Habitat Enhancement'!$V$12:$V$257)</f>
        <v>0</v>
      </c>
      <c r="N48" s="1056">
        <f>SUMIF('A-3 On-Site Habitat Enhancement'!$S$12:$S$257,'G-2 Habitat groups'!A48,'A-3 On-Site Habitat Enhancement'!$AN$12:$AN$257)</f>
        <v>0</v>
      </c>
      <c r="O48" s="1056">
        <f t="shared" si="44"/>
        <v>0</v>
      </c>
      <c r="P48" s="1056">
        <f t="shared" si="45"/>
        <v>0</v>
      </c>
      <c r="Q48" s="1056">
        <f t="shared" si="46"/>
        <v>0</v>
      </c>
      <c r="R48" s="1056">
        <f t="shared" si="47"/>
        <v>0</v>
      </c>
      <c r="S48" s="1056">
        <f>SUMIF('D-1 Off-Site Habitat Baseline'!$AV$11:$AV$258,'G-2 Habitat groups'!A48,'D-1 Off-Site Habitat Baseline'!$H$11:$H$258)</f>
        <v>0</v>
      </c>
      <c r="T48" s="1056">
        <f>SUMIF('D-1 Off-Site Habitat Baseline'!$AV$11:$AV$258,'G-2 Habitat groups'!A48,'D-1 Off-Site Habitat Baseline'!$T$11:$T$258)</f>
        <v>0</v>
      </c>
      <c r="U48" s="1056">
        <f>SUMIF('D-1 Off-Site Habitat Baseline'!$AV$11:$AV$258,'G-2 Habitat groups'!A48,'D-1 Off-Site Habitat Baseline'!$V$11:$V$258)</f>
        <v>0</v>
      </c>
      <c r="V48" s="1056">
        <f>SUMIF('D-1 Off-Site Habitat Baseline'!$AV$11:$AV$258,'G-2 Habitat groups'!A48,'D-1 Off-Site Habitat Baseline'!$X$11:$X$258)+SUMIF('D-1 Off-Site Habitat Baseline'!$AV$11:$AV$258,'G-2 Habitat groups'!A48,'D-1 Off-Site Habitat Baseline'!$AS$11:$AS$258)</f>
        <v>0</v>
      </c>
      <c r="W48" s="1056">
        <f>SUMIF('D-2 Off-Site Habitat Creation'!$F$9:$F$255,'G-2 Habitat groups'!A48,'D-2 Off-Site Habitat Creation'!$G$9:$G$255)</f>
        <v>0</v>
      </c>
      <c r="X48" s="1056">
        <f>SUMIF('D-2 Off-Site Habitat Creation'!$F$9:$F$255,'G-2 Habitat groups'!A48,'D-2 Off-Site Habitat Creation'!$AB$9:$AB$255)</f>
        <v>0</v>
      </c>
      <c r="Y48" s="1056">
        <f>SUMIF('D-3 Off-Site Habitat Enhancment'!$S$12:$S$491,'G-2 Habitat groups'!A48,'D-3 Off-Site Habitat Enhancment'!$V$12:$V$491)</f>
        <v>0</v>
      </c>
      <c r="Z48" s="1056">
        <f>SUMIF('D-3 Off-Site Habitat Enhancment'!$S$12:$S$491,'G-2 Habitat groups'!A48,'D-3 Off-Site Habitat Enhancment'!$AQ$12:$AQ$491)</f>
        <v>0</v>
      </c>
      <c r="AA48" s="1056">
        <f t="shared" si="48"/>
        <v>0</v>
      </c>
      <c r="AB48" s="1056">
        <f t="shared" si="49"/>
        <v>0</v>
      </c>
      <c r="AC48" s="1056">
        <f t="shared" si="50"/>
        <v>0</v>
      </c>
      <c r="AD48" s="1056">
        <f t="shared" si="51"/>
        <v>0</v>
      </c>
      <c r="AE48" s="1056">
        <f t="shared" si="52"/>
        <v>0</v>
      </c>
      <c r="AF48" s="1056">
        <f t="shared" si="53"/>
        <v>0</v>
      </c>
      <c r="AU48" s="73" t="s">
        <v>539</v>
      </c>
      <c r="AV48" s="62" t="s">
        <v>109</v>
      </c>
      <c r="AW48" s="274">
        <f t="shared" si="34"/>
        <v>0</v>
      </c>
      <c r="AX48" s="274">
        <f t="shared" si="35"/>
        <v>0</v>
      </c>
      <c r="AY48" s="274">
        <f t="shared" si="36"/>
        <v>0</v>
      </c>
      <c r="AZ48" s="274">
        <f t="shared" si="37"/>
        <v>0</v>
      </c>
      <c r="BA48" s="274">
        <f t="shared" si="38"/>
        <v>0</v>
      </c>
      <c r="BB48" s="274">
        <f t="shared" si="39"/>
        <v>0</v>
      </c>
      <c r="BC48" s="274">
        <f t="shared" si="40"/>
        <v>0</v>
      </c>
      <c r="BD48" s="274">
        <f t="shared" si="41"/>
        <v>0</v>
      </c>
      <c r="BE48" s="274">
        <f t="shared" si="42"/>
        <v>0</v>
      </c>
      <c r="BF48" s="274" t="str">
        <f t="shared" si="43"/>
        <v/>
      </c>
    </row>
    <row r="49" spans="1:58" ht="14">
      <c r="A49" s="72" t="str">
        <f>'G-1 All Habitats'!B48</f>
        <v>Lakes - Reservoirs</v>
      </c>
      <c r="B49" s="72" t="s">
        <v>108</v>
      </c>
      <c r="C49" s="72" t="str">
        <f>'G-1 All Habitats'!K48</f>
        <v>Medium</v>
      </c>
      <c r="D49" s="72" t="str">
        <f>'G-1 All Habitats'!M48</f>
        <v>Same broad habitat or a higher distinctiveness habitat required (≥)</v>
      </c>
      <c r="E49" s="1056">
        <f>SUMIF('A-1 On-Site Habitat Baseline'!$AV$11:$AV$258,'G-2 Habitat groups'!A49,'A-1 On-Site Habitat Baseline'!$H$11:$H$258)</f>
        <v>0</v>
      </c>
      <c r="F49" s="1056">
        <f>SUMIF('A-1 On-Site Habitat Baseline'!$AV$11:$AV$258,'G-2 Habitat groups'!A49,'A-1 On-Site Habitat Baseline'!$Q$11:$Q$258)</f>
        <v>0</v>
      </c>
      <c r="G49" s="1056">
        <f>SUMIF('A-1 On-Site Habitat Baseline'!$AV$11:$AV$258,'G-2 Habitat groups'!A49,'A-1 On-Site Habitat Baseline'!$S$11:$S$258)</f>
        <v>0</v>
      </c>
      <c r="H49" s="1056">
        <f>SUMIF('A-1 On-Site Habitat Baseline'!$AV$11:$AV$258,'G-2 Habitat groups'!A49,'A-1 On-Site Habitat Baseline'!$U$11:$U$258)+SUMIF('A-1 On-Site Habitat Baseline'!$AV$11:$AV$258,'G-2 Habitat groups'!A49,'A-1 On-Site Habitat Baseline'!$AT$11:$AT$258)</f>
        <v>0</v>
      </c>
      <c r="I49" s="1056">
        <f>SUMIF('A-1 On-Site Habitat Baseline'!$AV$11:$AV$258,'G-2 Habitat groups'!A49,'A-1 On-Site Habitat Baseline'!$W$11:$W$258)</f>
        <v>0</v>
      </c>
      <c r="J49" s="1056">
        <f>SUMIF('A-1 On-Site Habitat Baseline'!$AV$11:$AV$258,'G-2 Habitat groups'!A49,'A-1 On-Site Habitat Baseline'!$X$11:$X$258)</f>
        <v>0</v>
      </c>
      <c r="K49" s="1056">
        <f>SUMIF('A-2 On-Site Habitat Creation'!$F$11:$F$256,'G-2 Habitat groups'!A49,'A-2 On-Site Habitat Creation'!$G$11:$G$256)</f>
        <v>0</v>
      </c>
      <c r="L49" s="1056">
        <f>SUMIF('A-2 On-Site Habitat Creation'!$F$11:$F$256,'G-2 Habitat groups'!A49,'A-2 On-Site Habitat Creation'!$Y$11:$Y$256)</f>
        <v>0</v>
      </c>
      <c r="M49" s="1056">
        <f>SUMIF('A-3 On-Site Habitat Enhancement'!$S$12:$S$257,'G-2 Habitat groups'!A49,'A-3 On-Site Habitat Enhancement'!$V$12:$V$257)</f>
        <v>0</v>
      </c>
      <c r="N49" s="1056">
        <f>SUMIF('A-3 On-Site Habitat Enhancement'!$S$12:$S$257,'G-2 Habitat groups'!A49,'A-3 On-Site Habitat Enhancement'!$AN$12:$AN$257)</f>
        <v>0</v>
      </c>
      <c r="O49" s="1056">
        <f t="shared" si="44"/>
        <v>0</v>
      </c>
      <c r="P49" s="1056">
        <f t="shared" si="45"/>
        <v>0</v>
      </c>
      <c r="Q49" s="1056">
        <f t="shared" si="46"/>
        <v>0</v>
      </c>
      <c r="R49" s="1056">
        <f t="shared" si="47"/>
        <v>0</v>
      </c>
      <c r="S49" s="1056">
        <f>SUMIF('D-1 Off-Site Habitat Baseline'!$AV$11:$AV$258,'G-2 Habitat groups'!A49,'D-1 Off-Site Habitat Baseline'!$H$11:$H$258)</f>
        <v>0</v>
      </c>
      <c r="T49" s="1056">
        <f>SUMIF('D-1 Off-Site Habitat Baseline'!$AV$11:$AV$258,'G-2 Habitat groups'!A49,'D-1 Off-Site Habitat Baseline'!$T$11:$T$258)</f>
        <v>0</v>
      </c>
      <c r="U49" s="1056">
        <f>SUMIF('D-1 Off-Site Habitat Baseline'!$AV$11:$AV$258,'G-2 Habitat groups'!A49,'D-1 Off-Site Habitat Baseline'!$V$11:$V$258)</f>
        <v>0</v>
      </c>
      <c r="V49" s="1056">
        <f>SUMIF('D-1 Off-Site Habitat Baseline'!$AV$11:$AV$258,'G-2 Habitat groups'!A49,'D-1 Off-Site Habitat Baseline'!$X$11:$X$258)+SUMIF('D-1 Off-Site Habitat Baseline'!$AV$11:$AV$258,'G-2 Habitat groups'!A49,'D-1 Off-Site Habitat Baseline'!$AS$11:$AS$258)</f>
        <v>0</v>
      </c>
      <c r="W49" s="1056">
        <f>SUMIF('D-2 Off-Site Habitat Creation'!$F$9:$F$255,'G-2 Habitat groups'!A49,'D-2 Off-Site Habitat Creation'!$G$9:$G$255)</f>
        <v>0</v>
      </c>
      <c r="X49" s="1056">
        <f>SUMIF('D-2 Off-Site Habitat Creation'!$F$9:$F$255,'G-2 Habitat groups'!A49,'D-2 Off-Site Habitat Creation'!$AB$9:$AB$255)</f>
        <v>0</v>
      </c>
      <c r="Y49" s="1056">
        <f>SUMIF('D-3 Off-Site Habitat Enhancment'!$S$12:$S$491,'G-2 Habitat groups'!A49,'D-3 Off-Site Habitat Enhancment'!$V$12:$V$491)</f>
        <v>0</v>
      </c>
      <c r="Z49" s="1056">
        <f>SUMIF('D-3 Off-Site Habitat Enhancment'!$S$12:$S$491,'G-2 Habitat groups'!A49,'D-3 Off-Site Habitat Enhancment'!$AQ$12:$AQ$491)</f>
        <v>0</v>
      </c>
      <c r="AA49" s="1056">
        <f t="shared" si="48"/>
        <v>0</v>
      </c>
      <c r="AB49" s="1056">
        <f t="shared" si="49"/>
        <v>0</v>
      </c>
      <c r="AC49" s="1056">
        <f t="shared" si="50"/>
        <v>0</v>
      </c>
      <c r="AD49" s="1056">
        <f t="shared" si="51"/>
        <v>0</v>
      </c>
      <c r="AE49" s="1056">
        <f t="shared" si="52"/>
        <v>0</v>
      </c>
      <c r="AF49" s="1056">
        <f t="shared" si="53"/>
        <v>0</v>
      </c>
      <c r="AU49" s="73" t="s">
        <v>540</v>
      </c>
      <c r="AV49" s="62" t="s">
        <v>109</v>
      </c>
      <c r="AW49" s="274">
        <f t="shared" si="34"/>
        <v>0</v>
      </c>
      <c r="AX49" s="274">
        <f t="shared" si="35"/>
        <v>0</v>
      </c>
      <c r="AY49" s="274">
        <f t="shared" si="36"/>
        <v>0</v>
      </c>
      <c r="AZ49" s="274">
        <f t="shared" si="37"/>
        <v>0</v>
      </c>
      <c r="BA49" s="274">
        <f t="shared" si="38"/>
        <v>0</v>
      </c>
      <c r="BB49" s="274">
        <f t="shared" si="39"/>
        <v>0</v>
      </c>
      <c r="BC49" s="274">
        <f t="shared" si="40"/>
        <v>0</v>
      </c>
      <c r="BD49" s="274">
        <f t="shared" si="41"/>
        <v>0</v>
      </c>
      <c r="BE49" s="274">
        <f t="shared" si="42"/>
        <v>0</v>
      </c>
      <c r="BF49" s="274" t="str">
        <f t="shared" si="43"/>
        <v/>
      </c>
    </row>
    <row r="50" spans="1:58" ht="14">
      <c r="A50" s="72" t="str">
        <f>'G-1 All Habitats'!B49</f>
        <v>Lakes - Temporary lakes ponds and pools (H3170)</v>
      </c>
      <c r="B50" s="72" t="s">
        <v>108</v>
      </c>
      <c r="C50" s="72" t="str">
        <f>'G-1 All Habitats'!K49</f>
        <v>High</v>
      </c>
      <c r="D50" s="72" t="str">
        <f>'G-1 All Habitats'!M49</f>
        <v>Same habitat required =</v>
      </c>
      <c r="E50" s="1056">
        <f>SUMIF('A-1 On-Site Habitat Baseline'!$AV$11:$AV$258,'G-2 Habitat groups'!A50,'A-1 On-Site Habitat Baseline'!$H$11:$H$258)</f>
        <v>0</v>
      </c>
      <c r="F50" s="1056">
        <f>SUMIF('A-1 On-Site Habitat Baseline'!$AV$11:$AV$258,'G-2 Habitat groups'!A50,'A-1 On-Site Habitat Baseline'!$Q$11:$Q$258)</f>
        <v>0</v>
      </c>
      <c r="G50" s="1056">
        <f>SUMIF('A-1 On-Site Habitat Baseline'!$AV$11:$AV$258,'G-2 Habitat groups'!A50,'A-1 On-Site Habitat Baseline'!$S$11:$S$258)</f>
        <v>0</v>
      </c>
      <c r="H50" s="1056">
        <f>SUMIF('A-1 On-Site Habitat Baseline'!$AV$11:$AV$258,'G-2 Habitat groups'!A50,'A-1 On-Site Habitat Baseline'!$U$11:$U$258)+SUMIF('A-1 On-Site Habitat Baseline'!$AV$11:$AV$258,'G-2 Habitat groups'!A50,'A-1 On-Site Habitat Baseline'!$AT$11:$AT$258)</f>
        <v>0</v>
      </c>
      <c r="I50" s="1056">
        <f>SUMIF('A-1 On-Site Habitat Baseline'!$AV$11:$AV$258,'G-2 Habitat groups'!A50,'A-1 On-Site Habitat Baseline'!$W$11:$W$258)</f>
        <v>0</v>
      </c>
      <c r="J50" s="1056">
        <f>SUMIF('A-1 On-Site Habitat Baseline'!$AV$11:$AV$258,'G-2 Habitat groups'!A50,'A-1 On-Site Habitat Baseline'!$X$11:$X$258)</f>
        <v>0</v>
      </c>
      <c r="K50" s="1056">
        <f>SUMIF('A-2 On-Site Habitat Creation'!$F$11:$F$256,'G-2 Habitat groups'!A50,'A-2 On-Site Habitat Creation'!$G$11:$G$256)</f>
        <v>0</v>
      </c>
      <c r="L50" s="1056">
        <f>SUMIF('A-2 On-Site Habitat Creation'!$F$11:$F$256,'G-2 Habitat groups'!A50,'A-2 On-Site Habitat Creation'!$Y$11:$Y$256)</f>
        <v>0</v>
      </c>
      <c r="M50" s="1056">
        <f>SUMIF('A-3 On-Site Habitat Enhancement'!$S$12:$S$257,'G-2 Habitat groups'!A50,'A-3 On-Site Habitat Enhancement'!$V$12:$V$257)</f>
        <v>0</v>
      </c>
      <c r="N50" s="1056">
        <f>SUMIF('A-3 On-Site Habitat Enhancement'!$S$12:$S$257,'G-2 Habitat groups'!A50,'A-3 On-Site Habitat Enhancement'!$AN$12:$AN$257)</f>
        <v>0</v>
      </c>
      <c r="O50" s="1056">
        <f t="shared" si="44"/>
        <v>0</v>
      </c>
      <c r="P50" s="1056">
        <f t="shared" si="45"/>
        <v>0</v>
      </c>
      <c r="Q50" s="1056">
        <f t="shared" si="46"/>
        <v>0</v>
      </c>
      <c r="R50" s="1056">
        <f t="shared" si="47"/>
        <v>0</v>
      </c>
      <c r="S50" s="1056">
        <f>SUMIF('D-1 Off-Site Habitat Baseline'!$AV$11:$AV$258,'G-2 Habitat groups'!A50,'D-1 Off-Site Habitat Baseline'!$H$11:$H$258)</f>
        <v>0</v>
      </c>
      <c r="T50" s="1056">
        <f>SUMIF('D-1 Off-Site Habitat Baseline'!$AV$11:$AV$258,'G-2 Habitat groups'!A50,'D-1 Off-Site Habitat Baseline'!$T$11:$T$258)</f>
        <v>0</v>
      </c>
      <c r="U50" s="1056">
        <f>SUMIF('D-1 Off-Site Habitat Baseline'!$AV$11:$AV$258,'G-2 Habitat groups'!A50,'D-1 Off-Site Habitat Baseline'!$V$11:$V$258)</f>
        <v>0</v>
      </c>
      <c r="V50" s="1056">
        <f>SUMIF('D-1 Off-Site Habitat Baseline'!$AV$11:$AV$258,'G-2 Habitat groups'!A50,'D-1 Off-Site Habitat Baseline'!$X$11:$X$258)+SUMIF('D-1 Off-Site Habitat Baseline'!$AV$11:$AV$258,'G-2 Habitat groups'!A50,'D-1 Off-Site Habitat Baseline'!$AS$11:$AS$258)</f>
        <v>0</v>
      </c>
      <c r="W50" s="1056">
        <f>SUMIF('D-2 Off-Site Habitat Creation'!$F$9:$F$255,'G-2 Habitat groups'!A50,'D-2 Off-Site Habitat Creation'!$G$9:$G$255)</f>
        <v>0</v>
      </c>
      <c r="X50" s="1056">
        <f>SUMIF('D-2 Off-Site Habitat Creation'!$F$9:$F$255,'G-2 Habitat groups'!A50,'D-2 Off-Site Habitat Creation'!$AB$9:$AB$255)</f>
        <v>0</v>
      </c>
      <c r="Y50" s="1056">
        <f>SUMIF('D-3 Off-Site Habitat Enhancment'!$S$12:$S$491,'G-2 Habitat groups'!A50,'D-3 Off-Site Habitat Enhancment'!$V$12:$V$491)</f>
        <v>0</v>
      </c>
      <c r="Z50" s="1056">
        <f>SUMIF('D-3 Off-Site Habitat Enhancment'!$S$12:$S$491,'G-2 Habitat groups'!A50,'D-3 Off-Site Habitat Enhancment'!$AQ$12:$AQ$491)</f>
        <v>0</v>
      </c>
      <c r="AA50" s="1056">
        <f t="shared" si="48"/>
        <v>0</v>
      </c>
      <c r="AB50" s="1056">
        <f t="shared" si="49"/>
        <v>0</v>
      </c>
      <c r="AC50" s="1056">
        <f t="shared" si="50"/>
        <v>0</v>
      </c>
      <c r="AD50" s="1056">
        <f t="shared" si="51"/>
        <v>0</v>
      </c>
      <c r="AE50" s="1056">
        <f t="shared" si="52"/>
        <v>0</v>
      </c>
      <c r="AF50" s="1056">
        <f t="shared" si="53"/>
        <v>0</v>
      </c>
      <c r="AU50" s="73" t="s">
        <v>569</v>
      </c>
      <c r="AV50" s="62" t="s">
        <v>110</v>
      </c>
      <c r="AW50" s="274">
        <f t="shared" si="34"/>
        <v>0</v>
      </c>
      <c r="AX50" s="274">
        <f t="shared" si="35"/>
        <v>0</v>
      </c>
      <c r="AY50" s="274">
        <f t="shared" si="36"/>
        <v>0</v>
      </c>
      <c r="AZ50" s="274">
        <f t="shared" si="37"/>
        <v>0</v>
      </c>
      <c r="BA50" s="274">
        <f t="shared" si="38"/>
        <v>0</v>
      </c>
      <c r="BB50" s="274">
        <f t="shared" si="39"/>
        <v>0</v>
      </c>
      <c r="BC50" s="274">
        <f t="shared" si="40"/>
        <v>0</v>
      </c>
      <c r="BD50" s="274">
        <f t="shared" si="41"/>
        <v>0</v>
      </c>
      <c r="BE50" s="274">
        <f t="shared" si="42"/>
        <v>0</v>
      </c>
      <c r="BF50" s="274" t="str">
        <f t="shared" si="43"/>
        <v/>
      </c>
    </row>
    <row r="51" spans="1:58" ht="14">
      <c r="A51" s="72" t="str">
        <f>'G-1 All Habitats'!B50</f>
        <v>Sparsely vegetated land - Calaminarian grasslands</v>
      </c>
      <c r="B51" s="72" t="s">
        <v>109</v>
      </c>
      <c r="C51" s="72" t="str">
        <f>'G-1 All Habitats'!K50</f>
        <v>V.High</v>
      </c>
      <c r="D51" s="72" t="str">
        <f>'G-1 All Habitats'!M50</f>
        <v>Same habitat required – bespoke compensation option ⚠</v>
      </c>
      <c r="E51" s="1056">
        <f>SUMIF('A-1 On-Site Habitat Baseline'!$AV$11:$AV$258,'G-2 Habitat groups'!A51,'A-1 On-Site Habitat Baseline'!$H$11:$H$258)</f>
        <v>0</v>
      </c>
      <c r="F51" s="1056">
        <f>SUMIF('A-1 On-Site Habitat Baseline'!$AV$11:$AV$258,'G-2 Habitat groups'!A51,'A-1 On-Site Habitat Baseline'!$Q$11:$Q$258)</f>
        <v>0</v>
      </c>
      <c r="G51" s="1056">
        <f>SUMIF('A-1 On-Site Habitat Baseline'!$AV$11:$AV$258,'G-2 Habitat groups'!A51,'A-1 On-Site Habitat Baseline'!$S$11:$S$258)</f>
        <v>0</v>
      </c>
      <c r="H51" s="1056">
        <f>SUMIF('A-1 On-Site Habitat Baseline'!$AV$11:$AV$258,'G-2 Habitat groups'!A51,'A-1 On-Site Habitat Baseline'!$U$11:$U$258)+SUMIF('A-1 On-Site Habitat Baseline'!$AV$11:$AV$258,'G-2 Habitat groups'!A51,'A-1 On-Site Habitat Baseline'!$AT$11:$AT$258)</f>
        <v>0</v>
      </c>
      <c r="I51" s="1056">
        <f>SUMIF('A-1 On-Site Habitat Baseline'!$AV$11:$AV$258,'G-2 Habitat groups'!A51,'A-1 On-Site Habitat Baseline'!$W$11:$W$258)</f>
        <v>0</v>
      </c>
      <c r="J51" s="1056">
        <f>SUMIF('A-1 On-Site Habitat Baseline'!$AV$11:$AV$258,'G-2 Habitat groups'!A51,'A-1 On-Site Habitat Baseline'!$X$11:$X$258)</f>
        <v>0</v>
      </c>
      <c r="K51" s="1056">
        <f>SUMIF('A-2 On-Site Habitat Creation'!$F$11:$F$256,'G-2 Habitat groups'!A51,'A-2 On-Site Habitat Creation'!$G$11:$G$256)</f>
        <v>0</v>
      </c>
      <c r="L51" s="1056">
        <f>SUMIF('A-2 On-Site Habitat Creation'!$F$11:$F$256,'G-2 Habitat groups'!A51,'A-2 On-Site Habitat Creation'!$Y$11:$Y$256)</f>
        <v>0</v>
      </c>
      <c r="M51" s="1056">
        <f>SUMIF('A-3 On-Site Habitat Enhancement'!$S$12:$S$257,'G-2 Habitat groups'!A51,'A-3 On-Site Habitat Enhancement'!$V$12:$V$257)</f>
        <v>0</v>
      </c>
      <c r="N51" s="1056">
        <f>SUMIF('A-3 On-Site Habitat Enhancement'!$S$12:$S$257,'G-2 Habitat groups'!A51,'A-3 On-Site Habitat Enhancement'!$AN$12:$AN$257)</f>
        <v>0</v>
      </c>
      <c r="O51" s="1056">
        <f t="shared" si="44"/>
        <v>0</v>
      </c>
      <c r="P51" s="1056">
        <f t="shared" si="45"/>
        <v>0</v>
      </c>
      <c r="Q51" s="1056">
        <f t="shared" si="46"/>
        <v>0</v>
      </c>
      <c r="R51" s="1056">
        <f t="shared" si="47"/>
        <v>0</v>
      </c>
      <c r="S51" s="1056">
        <f>SUMIF('D-1 Off-Site Habitat Baseline'!$AV$11:$AV$258,'G-2 Habitat groups'!A51,'D-1 Off-Site Habitat Baseline'!$H$11:$H$258)</f>
        <v>0</v>
      </c>
      <c r="T51" s="1056">
        <f>SUMIF('D-1 Off-Site Habitat Baseline'!$AV$11:$AV$258,'G-2 Habitat groups'!A51,'D-1 Off-Site Habitat Baseline'!$T$11:$T$258)</f>
        <v>0</v>
      </c>
      <c r="U51" s="1056">
        <f>SUMIF('D-1 Off-Site Habitat Baseline'!$AV$11:$AV$258,'G-2 Habitat groups'!A51,'D-1 Off-Site Habitat Baseline'!$V$11:$V$258)</f>
        <v>0</v>
      </c>
      <c r="V51" s="1056">
        <f>SUMIF('D-1 Off-Site Habitat Baseline'!$AV$11:$AV$258,'G-2 Habitat groups'!A51,'D-1 Off-Site Habitat Baseline'!$X$11:$X$258)+SUMIF('D-1 Off-Site Habitat Baseline'!$AV$11:$AV$258,'G-2 Habitat groups'!A51,'D-1 Off-Site Habitat Baseline'!$AS$11:$AS$258)</f>
        <v>0</v>
      </c>
      <c r="W51" s="1056">
        <f>SUMIF('D-2 Off-Site Habitat Creation'!$F$9:$F$255,'G-2 Habitat groups'!A51,'D-2 Off-Site Habitat Creation'!$G$9:$G$255)</f>
        <v>0</v>
      </c>
      <c r="X51" s="1056">
        <f>SUMIF('D-2 Off-Site Habitat Creation'!$F$9:$F$255,'G-2 Habitat groups'!A51,'D-2 Off-Site Habitat Creation'!$AB$9:$AB$255)</f>
        <v>0</v>
      </c>
      <c r="Y51" s="1056">
        <f>SUMIF('D-3 Off-Site Habitat Enhancment'!$S$12:$S$491,'G-2 Habitat groups'!A51,'D-3 Off-Site Habitat Enhancment'!$V$12:$V$491)</f>
        <v>0</v>
      </c>
      <c r="Z51" s="1056">
        <f>SUMIF('D-3 Off-Site Habitat Enhancment'!$S$12:$S$491,'G-2 Habitat groups'!A51,'D-3 Off-Site Habitat Enhancment'!$AQ$12:$AQ$491)</f>
        <v>0</v>
      </c>
      <c r="AA51" s="1056">
        <f t="shared" si="48"/>
        <v>0</v>
      </c>
      <c r="AB51" s="1056">
        <f t="shared" si="49"/>
        <v>0</v>
      </c>
      <c r="AC51" s="1056">
        <f t="shared" si="50"/>
        <v>0</v>
      </c>
      <c r="AD51" s="1056">
        <f t="shared" si="51"/>
        <v>0</v>
      </c>
      <c r="AE51" s="1056">
        <f t="shared" si="52"/>
        <v>0</v>
      </c>
      <c r="AF51" s="1056">
        <f t="shared" si="53"/>
        <v>0</v>
      </c>
      <c r="AU51" s="73" t="s">
        <v>571</v>
      </c>
      <c r="AV51" s="62" t="s">
        <v>111</v>
      </c>
      <c r="AW51" s="274">
        <f t="shared" si="34"/>
        <v>0</v>
      </c>
      <c r="AX51" s="274">
        <f t="shared" si="35"/>
        <v>0</v>
      </c>
      <c r="AY51" s="274">
        <f t="shared" si="36"/>
        <v>0</v>
      </c>
      <c r="AZ51" s="274">
        <f t="shared" si="37"/>
        <v>0</v>
      </c>
      <c r="BA51" s="274">
        <f t="shared" si="38"/>
        <v>0</v>
      </c>
      <c r="BB51" s="274">
        <f t="shared" si="39"/>
        <v>0</v>
      </c>
      <c r="BC51" s="274">
        <f t="shared" si="40"/>
        <v>0</v>
      </c>
      <c r="BD51" s="274">
        <f t="shared" si="41"/>
        <v>0</v>
      </c>
      <c r="BE51" s="274">
        <f t="shared" si="42"/>
        <v>0</v>
      </c>
      <c r="BF51" s="274" t="str">
        <f t="shared" si="43"/>
        <v/>
      </c>
    </row>
    <row r="52" spans="1:58" ht="14">
      <c r="A52" s="72" t="str">
        <f>'G-1 All Habitats'!B51</f>
        <v>Sparsely vegetated land - Coastal sand dunes</v>
      </c>
      <c r="B52" s="72" t="s">
        <v>109</v>
      </c>
      <c r="C52" s="72" t="str">
        <f>'G-1 All Habitats'!K51</f>
        <v>High</v>
      </c>
      <c r="D52" s="72" t="str">
        <f>'G-1 All Habitats'!M51</f>
        <v>Same habitat required =</v>
      </c>
      <c r="E52" s="1056">
        <f>SUMIF('A-1 On-Site Habitat Baseline'!$AV$11:$AV$258,'G-2 Habitat groups'!A52,'A-1 On-Site Habitat Baseline'!$H$11:$H$258)</f>
        <v>0</v>
      </c>
      <c r="F52" s="1056">
        <f>SUMIF('A-1 On-Site Habitat Baseline'!$AV$11:$AV$258,'G-2 Habitat groups'!A52,'A-1 On-Site Habitat Baseline'!$Q$11:$Q$258)</f>
        <v>0</v>
      </c>
      <c r="G52" s="1056">
        <f>SUMIF('A-1 On-Site Habitat Baseline'!$AV$11:$AV$258,'G-2 Habitat groups'!A52,'A-1 On-Site Habitat Baseline'!$S$11:$S$258)</f>
        <v>0</v>
      </c>
      <c r="H52" s="1056">
        <f>SUMIF('A-1 On-Site Habitat Baseline'!$AV$11:$AV$258,'G-2 Habitat groups'!A52,'A-1 On-Site Habitat Baseline'!$U$11:$U$258)+SUMIF('A-1 On-Site Habitat Baseline'!$AV$11:$AV$258,'G-2 Habitat groups'!A52,'A-1 On-Site Habitat Baseline'!$AT$11:$AT$258)</f>
        <v>0</v>
      </c>
      <c r="I52" s="1056">
        <f>SUMIF('A-1 On-Site Habitat Baseline'!$AV$11:$AV$258,'G-2 Habitat groups'!A52,'A-1 On-Site Habitat Baseline'!$W$11:$W$258)</f>
        <v>0</v>
      </c>
      <c r="J52" s="1056">
        <f>SUMIF('A-1 On-Site Habitat Baseline'!$AV$11:$AV$258,'G-2 Habitat groups'!A52,'A-1 On-Site Habitat Baseline'!$X$11:$X$258)</f>
        <v>0</v>
      </c>
      <c r="K52" s="1056">
        <f>SUMIF('A-2 On-Site Habitat Creation'!$F$11:$F$256,'G-2 Habitat groups'!A52,'A-2 On-Site Habitat Creation'!$G$11:$G$256)</f>
        <v>0</v>
      </c>
      <c r="L52" s="1056">
        <f>SUMIF('A-2 On-Site Habitat Creation'!$F$11:$F$256,'G-2 Habitat groups'!A52,'A-2 On-Site Habitat Creation'!$Y$11:$Y$256)</f>
        <v>0</v>
      </c>
      <c r="M52" s="1056">
        <f>SUMIF('A-3 On-Site Habitat Enhancement'!$S$12:$S$257,'G-2 Habitat groups'!A52,'A-3 On-Site Habitat Enhancement'!$V$12:$V$257)</f>
        <v>0</v>
      </c>
      <c r="N52" s="1056">
        <f>SUMIF('A-3 On-Site Habitat Enhancement'!$S$12:$S$257,'G-2 Habitat groups'!A52,'A-3 On-Site Habitat Enhancement'!$AN$12:$AN$257)</f>
        <v>0</v>
      </c>
      <c r="O52" s="1056">
        <f t="shared" si="44"/>
        <v>0</v>
      </c>
      <c r="P52" s="1056">
        <f t="shared" si="45"/>
        <v>0</v>
      </c>
      <c r="Q52" s="1056">
        <f t="shared" si="46"/>
        <v>0</v>
      </c>
      <c r="R52" s="1056">
        <f t="shared" si="47"/>
        <v>0</v>
      </c>
      <c r="S52" s="1056">
        <f>SUMIF('D-1 Off-Site Habitat Baseline'!$AV$11:$AV$258,'G-2 Habitat groups'!A52,'D-1 Off-Site Habitat Baseline'!$H$11:$H$258)</f>
        <v>0</v>
      </c>
      <c r="T52" s="1056">
        <f>SUMIF('D-1 Off-Site Habitat Baseline'!$AV$11:$AV$258,'G-2 Habitat groups'!A52,'D-1 Off-Site Habitat Baseline'!$T$11:$T$258)</f>
        <v>0</v>
      </c>
      <c r="U52" s="1056">
        <f>SUMIF('D-1 Off-Site Habitat Baseline'!$AV$11:$AV$258,'G-2 Habitat groups'!A52,'D-1 Off-Site Habitat Baseline'!$V$11:$V$258)</f>
        <v>0</v>
      </c>
      <c r="V52" s="1056">
        <f>SUMIF('D-1 Off-Site Habitat Baseline'!$AV$11:$AV$258,'G-2 Habitat groups'!A52,'D-1 Off-Site Habitat Baseline'!$X$11:$X$258)+SUMIF('D-1 Off-Site Habitat Baseline'!$AV$11:$AV$258,'G-2 Habitat groups'!A52,'D-1 Off-Site Habitat Baseline'!$AS$11:$AS$258)</f>
        <v>0</v>
      </c>
      <c r="W52" s="1056">
        <f>SUMIF('D-2 Off-Site Habitat Creation'!$F$9:$F$255,'G-2 Habitat groups'!A52,'D-2 Off-Site Habitat Creation'!$G$9:$G$255)</f>
        <v>0</v>
      </c>
      <c r="X52" s="1056">
        <f>SUMIF('D-2 Off-Site Habitat Creation'!$F$9:$F$255,'G-2 Habitat groups'!A52,'D-2 Off-Site Habitat Creation'!$AB$9:$AB$255)</f>
        <v>0</v>
      </c>
      <c r="Y52" s="1056">
        <f>SUMIF('D-3 Off-Site Habitat Enhancment'!$S$12:$S$491,'G-2 Habitat groups'!A52,'D-3 Off-Site Habitat Enhancment'!$V$12:$V$491)</f>
        <v>0</v>
      </c>
      <c r="Z52" s="1056">
        <f>SUMIF('D-3 Off-Site Habitat Enhancment'!$S$12:$S$491,'G-2 Habitat groups'!A52,'D-3 Off-Site Habitat Enhancment'!$AQ$12:$AQ$491)</f>
        <v>0</v>
      </c>
      <c r="AA52" s="1056">
        <f t="shared" si="48"/>
        <v>0</v>
      </c>
      <c r="AB52" s="1056">
        <f t="shared" si="49"/>
        <v>0</v>
      </c>
      <c r="AC52" s="1056">
        <f t="shared" si="50"/>
        <v>0</v>
      </c>
      <c r="AD52" s="1056">
        <f t="shared" si="51"/>
        <v>0</v>
      </c>
      <c r="AE52" s="1056">
        <f t="shared" si="52"/>
        <v>0</v>
      </c>
      <c r="AF52" s="1056">
        <f t="shared" si="53"/>
        <v>0</v>
      </c>
      <c r="AU52" s="62" t="s">
        <v>914</v>
      </c>
      <c r="AV52" s="62" t="s">
        <v>112</v>
      </c>
      <c r="AW52" s="274">
        <f t="shared" si="34"/>
        <v>0</v>
      </c>
      <c r="AX52" s="274">
        <f t="shared" si="35"/>
        <v>0</v>
      </c>
      <c r="AY52" s="274">
        <f t="shared" si="36"/>
        <v>0</v>
      </c>
      <c r="AZ52" s="274">
        <f t="shared" si="37"/>
        <v>0</v>
      </c>
      <c r="BA52" s="274">
        <f t="shared" si="38"/>
        <v>0</v>
      </c>
      <c r="BB52" s="274">
        <f t="shared" si="39"/>
        <v>0</v>
      </c>
      <c r="BC52" s="274">
        <f t="shared" si="40"/>
        <v>0</v>
      </c>
      <c r="BD52" s="274">
        <f t="shared" si="41"/>
        <v>0</v>
      </c>
      <c r="BE52" s="274">
        <f t="shared" si="42"/>
        <v>0</v>
      </c>
      <c r="BF52" s="274" t="str">
        <f t="shared" si="43"/>
        <v/>
      </c>
    </row>
    <row r="53" spans="1:58" ht="14">
      <c r="A53" s="72" t="str">
        <f>'G-1 All Habitats'!B52</f>
        <v>Sparsely vegetated land - Coastal vegetated shingle</v>
      </c>
      <c r="B53" s="72" t="s">
        <v>109</v>
      </c>
      <c r="C53" s="72" t="str">
        <f>'G-1 All Habitats'!K52</f>
        <v>High</v>
      </c>
      <c r="D53" s="72" t="str">
        <f>'G-1 All Habitats'!M52</f>
        <v>Same habitat required =</v>
      </c>
      <c r="E53" s="1056">
        <f>SUMIF('A-1 On-Site Habitat Baseline'!$AV$11:$AV$258,'G-2 Habitat groups'!A53,'A-1 On-Site Habitat Baseline'!$H$11:$H$258)</f>
        <v>0</v>
      </c>
      <c r="F53" s="1056">
        <f>SUMIF('A-1 On-Site Habitat Baseline'!$AV$11:$AV$258,'G-2 Habitat groups'!A53,'A-1 On-Site Habitat Baseline'!$Q$11:$Q$258)</f>
        <v>0</v>
      </c>
      <c r="G53" s="1056">
        <f>SUMIF('A-1 On-Site Habitat Baseline'!$AV$11:$AV$258,'G-2 Habitat groups'!A53,'A-1 On-Site Habitat Baseline'!$S$11:$S$258)</f>
        <v>0</v>
      </c>
      <c r="H53" s="1056">
        <f>SUMIF('A-1 On-Site Habitat Baseline'!$AV$11:$AV$258,'G-2 Habitat groups'!A53,'A-1 On-Site Habitat Baseline'!$U$11:$U$258)+SUMIF('A-1 On-Site Habitat Baseline'!$AV$11:$AV$258,'G-2 Habitat groups'!A53,'A-1 On-Site Habitat Baseline'!$AT$11:$AT$258)</f>
        <v>0</v>
      </c>
      <c r="I53" s="1056">
        <f>SUMIF('A-1 On-Site Habitat Baseline'!$AV$11:$AV$258,'G-2 Habitat groups'!A53,'A-1 On-Site Habitat Baseline'!$W$11:$W$258)</f>
        <v>0</v>
      </c>
      <c r="J53" s="1056">
        <f>SUMIF('A-1 On-Site Habitat Baseline'!$AV$11:$AV$258,'G-2 Habitat groups'!A53,'A-1 On-Site Habitat Baseline'!$X$11:$X$258)</f>
        <v>0</v>
      </c>
      <c r="K53" s="1056">
        <f>SUMIF('A-2 On-Site Habitat Creation'!$F$11:$F$256,'G-2 Habitat groups'!A53,'A-2 On-Site Habitat Creation'!$G$11:$G$256)</f>
        <v>0</v>
      </c>
      <c r="L53" s="1056">
        <f>SUMIF('A-2 On-Site Habitat Creation'!$F$11:$F$256,'G-2 Habitat groups'!A53,'A-2 On-Site Habitat Creation'!$Y$11:$Y$256)</f>
        <v>0</v>
      </c>
      <c r="M53" s="1056">
        <f>SUMIF('A-3 On-Site Habitat Enhancement'!$S$12:$S$257,'G-2 Habitat groups'!A53,'A-3 On-Site Habitat Enhancement'!$V$12:$V$257)</f>
        <v>0</v>
      </c>
      <c r="N53" s="1056">
        <f>SUMIF('A-3 On-Site Habitat Enhancement'!$S$12:$S$257,'G-2 Habitat groups'!A53,'A-3 On-Site Habitat Enhancement'!$AN$12:$AN$257)</f>
        <v>0</v>
      </c>
      <c r="O53" s="1056">
        <f t="shared" si="44"/>
        <v>0</v>
      </c>
      <c r="P53" s="1056">
        <f t="shared" si="45"/>
        <v>0</v>
      </c>
      <c r="Q53" s="1056">
        <f t="shared" si="46"/>
        <v>0</v>
      </c>
      <c r="R53" s="1056">
        <f t="shared" si="47"/>
        <v>0</v>
      </c>
      <c r="S53" s="1056">
        <f>SUMIF('D-1 Off-Site Habitat Baseline'!$AV$11:$AV$258,'G-2 Habitat groups'!A53,'D-1 Off-Site Habitat Baseline'!$H$11:$H$258)</f>
        <v>0</v>
      </c>
      <c r="T53" s="1056">
        <f>SUMIF('D-1 Off-Site Habitat Baseline'!$AV$11:$AV$258,'G-2 Habitat groups'!A53,'D-1 Off-Site Habitat Baseline'!$T$11:$T$258)</f>
        <v>0</v>
      </c>
      <c r="U53" s="1056">
        <f>SUMIF('D-1 Off-Site Habitat Baseline'!$AV$11:$AV$258,'G-2 Habitat groups'!A53,'D-1 Off-Site Habitat Baseline'!$V$11:$V$258)</f>
        <v>0</v>
      </c>
      <c r="V53" s="1056">
        <f>SUMIF('D-1 Off-Site Habitat Baseline'!$AV$11:$AV$258,'G-2 Habitat groups'!A53,'D-1 Off-Site Habitat Baseline'!$X$11:$X$258)+SUMIF('D-1 Off-Site Habitat Baseline'!$AV$11:$AV$258,'G-2 Habitat groups'!A53,'D-1 Off-Site Habitat Baseline'!$AS$11:$AS$258)</f>
        <v>0</v>
      </c>
      <c r="W53" s="1056">
        <f>SUMIF('D-2 Off-Site Habitat Creation'!$F$9:$F$255,'G-2 Habitat groups'!A53,'D-2 Off-Site Habitat Creation'!$G$9:$G$255)</f>
        <v>0</v>
      </c>
      <c r="X53" s="1056">
        <f>SUMIF('D-2 Off-Site Habitat Creation'!$F$9:$F$255,'G-2 Habitat groups'!A53,'D-2 Off-Site Habitat Creation'!$AB$9:$AB$255)</f>
        <v>0</v>
      </c>
      <c r="Y53" s="1056">
        <f>SUMIF('D-3 Off-Site Habitat Enhancment'!$S$12:$S$491,'G-2 Habitat groups'!A53,'D-3 Off-Site Habitat Enhancment'!$V$12:$V$491)</f>
        <v>0</v>
      </c>
      <c r="Z53" s="1056">
        <f>SUMIF('D-3 Off-Site Habitat Enhancment'!$S$12:$S$491,'G-2 Habitat groups'!A53,'D-3 Off-Site Habitat Enhancment'!$AQ$12:$AQ$491)</f>
        <v>0</v>
      </c>
      <c r="AA53" s="1056">
        <f t="shared" si="48"/>
        <v>0</v>
      </c>
      <c r="AB53" s="1056">
        <f t="shared" si="49"/>
        <v>0</v>
      </c>
      <c r="AC53" s="1056">
        <f t="shared" si="50"/>
        <v>0</v>
      </c>
      <c r="AD53" s="1056">
        <f t="shared" si="51"/>
        <v>0</v>
      </c>
      <c r="AE53" s="1056">
        <f t="shared" si="52"/>
        <v>0</v>
      </c>
      <c r="AF53" s="1056">
        <f t="shared" si="53"/>
        <v>0</v>
      </c>
      <c r="AU53" s="73" t="s">
        <v>544</v>
      </c>
      <c r="AV53" s="62" t="s">
        <v>112</v>
      </c>
      <c r="AW53" s="274">
        <f t="shared" si="34"/>
        <v>0</v>
      </c>
      <c r="AX53" s="274">
        <f t="shared" si="35"/>
        <v>0</v>
      </c>
      <c r="AY53" s="274">
        <f t="shared" si="36"/>
        <v>0</v>
      </c>
      <c r="AZ53" s="274">
        <f t="shared" si="37"/>
        <v>0</v>
      </c>
      <c r="BA53" s="274">
        <f t="shared" si="38"/>
        <v>0</v>
      </c>
      <c r="BB53" s="274">
        <f t="shared" si="39"/>
        <v>0</v>
      </c>
      <c r="BC53" s="274">
        <f t="shared" si="40"/>
        <v>0</v>
      </c>
      <c r="BD53" s="274">
        <f t="shared" si="41"/>
        <v>0</v>
      </c>
      <c r="BE53" s="274">
        <f t="shared" si="42"/>
        <v>0</v>
      </c>
      <c r="BF53" s="274" t="str">
        <f t="shared" si="43"/>
        <v/>
      </c>
    </row>
    <row r="54" spans="1:58" ht="14">
      <c r="A54" s="72" t="str">
        <f>'G-1 All Habitats'!B53</f>
        <v>Sparsely vegetated land - Ruderal/Ephemeral</v>
      </c>
      <c r="B54" s="72" t="s">
        <v>109</v>
      </c>
      <c r="C54" s="72" t="str">
        <f>'G-1 All Habitats'!K53</f>
        <v>Low</v>
      </c>
      <c r="D54" s="72" t="str">
        <f>'G-1 All Habitats'!M53</f>
        <v>Same distinctiveness or better habitat required ≥</v>
      </c>
      <c r="E54" s="1056">
        <f>SUMIF('A-1 On-Site Habitat Baseline'!$AV$11:$AV$258,'G-2 Habitat groups'!A54,'A-1 On-Site Habitat Baseline'!$H$11:$H$258)</f>
        <v>0</v>
      </c>
      <c r="F54" s="1056">
        <f>SUMIF('A-1 On-Site Habitat Baseline'!$AV$11:$AV$258,'G-2 Habitat groups'!A54,'A-1 On-Site Habitat Baseline'!$Q$11:$Q$258)</f>
        <v>0</v>
      </c>
      <c r="G54" s="1056">
        <f>SUMIF('A-1 On-Site Habitat Baseline'!$AV$11:$AV$258,'G-2 Habitat groups'!A54,'A-1 On-Site Habitat Baseline'!$S$11:$S$258)</f>
        <v>0</v>
      </c>
      <c r="H54" s="1056">
        <f>SUMIF('A-1 On-Site Habitat Baseline'!$AV$11:$AV$258,'G-2 Habitat groups'!A54,'A-1 On-Site Habitat Baseline'!$U$11:$U$258)+SUMIF('A-1 On-Site Habitat Baseline'!$AV$11:$AV$258,'G-2 Habitat groups'!A54,'A-1 On-Site Habitat Baseline'!$AT$11:$AT$258)</f>
        <v>0</v>
      </c>
      <c r="I54" s="1056">
        <f>SUMIF('A-1 On-Site Habitat Baseline'!$AV$11:$AV$258,'G-2 Habitat groups'!A54,'A-1 On-Site Habitat Baseline'!$W$11:$W$258)</f>
        <v>0</v>
      </c>
      <c r="J54" s="1056">
        <f>SUMIF('A-1 On-Site Habitat Baseline'!$AV$11:$AV$258,'G-2 Habitat groups'!A54,'A-1 On-Site Habitat Baseline'!$X$11:$X$258)</f>
        <v>0</v>
      </c>
      <c r="K54" s="1056">
        <f>SUMIF('A-2 On-Site Habitat Creation'!$F$11:$F$256,'G-2 Habitat groups'!A54,'A-2 On-Site Habitat Creation'!$G$11:$G$256)</f>
        <v>0</v>
      </c>
      <c r="L54" s="1056">
        <f>SUMIF('A-2 On-Site Habitat Creation'!$F$11:$F$256,'G-2 Habitat groups'!A54,'A-2 On-Site Habitat Creation'!$Y$11:$Y$256)</f>
        <v>0</v>
      </c>
      <c r="M54" s="1056">
        <f>SUMIF('A-3 On-Site Habitat Enhancement'!$S$12:$S$257,'G-2 Habitat groups'!A54,'A-3 On-Site Habitat Enhancement'!$V$12:$V$257)</f>
        <v>0</v>
      </c>
      <c r="N54" s="1056">
        <f>SUMIF('A-3 On-Site Habitat Enhancement'!$S$12:$S$257,'G-2 Habitat groups'!A54,'A-3 On-Site Habitat Enhancement'!$AN$12:$AN$257)</f>
        <v>0</v>
      </c>
      <c r="O54" s="1056">
        <f t="shared" si="44"/>
        <v>0</v>
      </c>
      <c r="P54" s="1056">
        <f t="shared" si="45"/>
        <v>0</v>
      </c>
      <c r="Q54" s="1056">
        <f t="shared" si="46"/>
        <v>0</v>
      </c>
      <c r="R54" s="1056">
        <f t="shared" si="47"/>
        <v>0</v>
      </c>
      <c r="S54" s="1056">
        <f>SUMIF('D-1 Off-Site Habitat Baseline'!$AV$11:$AV$258,'G-2 Habitat groups'!A54,'D-1 Off-Site Habitat Baseline'!$H$11:$H$258)</f>
        <v>0</v>
      </c>
      <c r="T54" s="1056">
        <f>SUMIF('D-1 Off-Site Habitat Baseline'!$AV$11:$AV$258,'G-2 Habitat groups'!A54,'D-1 Off-Site Habitat Baseline'!$T$11:$T$258)</f>
        <v>0</v>
      </c>
      <c r="U54" s="1056">
        <f>SUMIF('D-1 Off-Site Habitat Baseline'!$AV$11:$AV$258,'G-2 Habitat groups'!A54,'D-1 Off-Site Habitat Baseline'!$V$11:$V$258)</f>
        <v>0</v>
      </c>
      <c r="V54" s="1056">
        <f>SUMIF('D-1 Off-Site Habitat Baseline'!$AV$11:$AV$258,'G-2 Habitat groups'!A54,'D-1 Off-Site Habitat Baseline'!$X$11:$X$258)+SUMIF('D-1 Off-Site Habitat Baseline'!$AV$11:$AV$258,'G-2 Habitat groups'!A54,'D-1 Off-Site Habitat Baseline'!$AS$11:$AS$258)</f>
        <v>0</v>
      </c>
      <c r="W54" s="1056">
        <f>SUMIF('D-2 Off-Site Habitat Creation'!$F$9:$F$255,'G-2 Habitat groups'!A54,'D-2 Off-Site Habitat Creation'!$G$9:$G$255)</f>
        <v>0</v>
      </c>
      <c r="X54" s="1056">
        <f>SUMIF('D-2 Off-Site Habitat Creation'!$F$9:$F$255,'G-2 Habitat groups'!A54,'D-2 Off-Site Habitat Creation'!$AB$9:$AB$255)</f>
        <v>0</v>
      </c>
      <c r="Y54" s="1056">
        <f>SUMIF('D-3 Off-Site Habitat Enhancment'!$S$12:$S$491,'G-2 Habitat groups'!A54,'D-3 Off-Site Habitat Enhancment'!$V$12:$V$491)</f>
        <v>0</v>
      </c>
      <c r="Z54" s="1056">
        <f>SUMIF('D-3 Off-Site Habitat Enhancment'!$S$12:$S$491,'G-2 Habitat groups'!A54,'D-3 Off-Site Habitat Enhancment'!$AQ$12:$AQ$491)</f>
        <v>0</v>
      </c>
      <c r="AA54" s="1056">
        <f t="shared" si="48"/>
        <v>0</v>
      </c>
      <c r="AB54" s="1056">
        <f t="shared" si="49"/>
        <v>0</v>
      </c>
      <c r="AC54" s="1056">
        <f t="shared" si="50"/>
        <v>0</v>
      </c>
      <c r="AD54" s="1056">
        <f t="shared" si="51"/>
        <v>0</v>
      </c>
      <c r="AE54" s="1056">
        <f t="shared" si="52"/>
        <v>0</v>
      </c>
      <c r="AF54" s="1056">
        <f t="shared" si="53"/>
        <v>0</v>
      </c>
      <c r="AU54" s="73" t="s">
        <v>541</v>
      </c>
      <c r="AV54" s="62" t="s">
        <v>112</v>
      </c>
      <c r="AW54" s="274">
        <f t="shared" si="34"/>
        <v>0</v>
      </c>
      <c r="AX54" s="274">
        <f t="shared" si="35"/>
        <v>0</v>
      </c>
      <c r="AY54" s="274">
        <f t="shared" si="36"/>
        <v>0</v>
      </c>
      <c r="AZ54" s="274">
        <f t="shared" si="37"/>
        <v>0</v>
      </c>
      <c r="BA54" s="274">
        <f t="shared" si="38"/>
        <v>0</v>
      </c>
      <c r="BB54" s="274">
        <f t="shared" si="39"/>
        <v>0</v>
      </c>
      <c r="BC54" s="274">
        <f t="shared" si="40"/>
        <v>0</v>
      </c>
      <c r="BD54" s="274">
        <f t="shared" si="41"/>
        <v>0</v>
      </c>
      <c r="BE54" s="274">
        <f t="shared" si="42"/>
        <v>0</v>
      </c>
      <c r="BF54" s="274" t="str">
        <f t="shared" si="43"/>
        <v/>
      </c>
    </row>
    <row r="55" spans="1:58" ht="14">
      <c r="A55" s="72" t="s">
        <v>822</v>
      </c>
      <c r="B55" s="72" t="s">
        <v>109</v>
      </c>
      <c r="C55" s="72" t="s">
        <v>197</v>
      </c>
      <c r="D55" s="72" t="s">
        <v>198</v>
      </c>
      <c r="E55" s="1056">
        <f>SUMIF('A-1 On-Site Habitat Baseline'!$AV$11:$AV$258,'G-2 Habitat groups'!A55,'A-1 On-Site Habitat Baseline'!$H$11:$H$258)</f>
        <v>0</v>
      </c>
      <c r="F55" s="1056">
        <f>SUMIF('A-1 On-Site Habitat Baseline'!$AV$11:$AV$258,'G-2 Habitat groups'!A55,'A-1 On-Site Habitat Baseline'!$Q$11:$Q$258)</f>
        <v>0</v>
      </c>
      <c r="G55" s="1056">
        <f>SUMIF('A-1 On-Site Habitat Baseline'!$AV$11:$AV$258,'G-2 Habitat groups'!A55,'A-1 On-Site Habitat Baseline'!$S$11:$S$258)</f>
        <v>0</v>
      </c>
      <c r="H55" s="1056">
        <f>SUMIF('A-1 On-Site Habitat Baseline'!$AV$11:$AV$258,'G-2 Habitat groups'!A55,'A-1 On-Site Habitat Baseline'!$U$11:$U$258)+SUMIF('A-1 On-Site Habitat Baseline'!$AV$11:$AV$258,'G-2 Habitat groups'!A55,'A-1 On-Site Habitat Baseline'!$AT$11:$AT$258)</f>
        <v>0</v>
      </c>
      <c r="I55" s="1056">
        <f>SUMIF('A-1 On-Site Habitat Baseline'!$AV$11:$AV$258,'G-2 Habitat groups'!A55,'A-1 On-Site Habitat Baseline'!$W$11:$W$258)</f>
        <v>0</v>
      </c>
      <c r="J55" s="1056">
        <f>SUMIF('A-1 On-Site Habitat Baseline'!$AV$11:$AV$258,'G-2 Habitat groups'!A55,'A-1 On-Site Habitat Baseline'!$X$11:$X$258)</f>
        <v>0</v>
      </c>
      <c r="K55" s="1056">
        <f>SUMIF('A-2 On-Site Habitat Creation'!$F$11:$F$256,'G-2 Habitat groups'!A55,'A-2 On-Site Habitat Creation'!$G$11:$G$256)</f>
        <v>0</v>
      </c>
      <c r="L55" s="1056">
        <f>SUMIF('A-2 On-Site Habitat Creation'!$F$11:$F$256,'G-2 Habitat groups'!A55,'A-2 On-Site Habitat Creation'!$Y$11:$Y$256)</f>
        <v>0</v>
      </c>
      <c r="M55" s="1056">
        <f>SUMIF('A-3 On-Site Habitat Enhancement'!$S$12:$S$257,'G-2 Habitat groups'!A55,'A-3 On-Site Habitat Enhancement'!$V$12:$V$257)</f>
        <v>0</v>
      </c>
      <c r="N55" s="1056">
        <f>SUMIF('A-3 On-Site Habitat Enhancement'!$S$12:$S$257,'G-2 Habitat groups'!A55,'A-3 On-Site Habitat Enhancement'!$AN$12:$AN$257)</f>
        <v>0</v>
      </c>
      <c r="O55" s="1056">
        <f t="shared" si="44"/>
        <v>0</v>
      </c>
      <c r="P55" s="1056">
        <f t="shared" si="45"/>
        <v>0</v>
      </c>
      <c r="Q55" s="1056">
        <f t="shared" si="46"/>
        <v>0</v>
      </c>
      <c r="R55" s="1056">
        <f t="shared" si="47"/>
        <v>0</v>
      </c>
      <c r="S55" s="1056">
        <f>SUMIF('D-1 Off-Site Habitat Baseline'!$AV$11:$AV$258,'G-2 Habitat groups'!A55,'D-1 Off-Site Habitat Baseline'!$H$11:$H$258)</f>
        <v>0</v>
      </c>
      <c r="T55" s="1056">
        <f>SUMIF('D-1 Off-Site Habitat Baseline'!$AV$11:$AV$258,'G-2 Habitat groups'!A55,'D-1 Off-Site Habitat Baseline'!$T$11:$T$258)</f>
        <v>0</v>
      </c>
      <c r="U55" s="1056">
        <f>SUMIF('D-1 Off-Site Habitat Baseline'!$AV$11:$AV$258,'G-2 Habitat groups'!A55,'D-1 Off-Site Habitat Baseline'!$V$11:$V$258)</f>
        <v>0</v>
      </c>
      <c r="V55" s="1056">
        <f>SUMIF('D-1 Off-Site Habitat Baseline'!$AV$11:$AV$258,'G-2 Habitat groups'!A55,'D-1 Off-Site Habitat Baseline'!$X$11:$X$258)+SUMIF('D-1 Off-Site Habitat Baseline'!$AV$11:$AV$258,'G-2 Habitat groups'!A55,'D-1 Off-Site Habitat Baseline'!$AS$11:$AS$258)</f>
        <v>0</v>
      </c>
      <c r="W55" s="1056">
        <f>SUMIF('D-2 Off-Site Habitat Creation'!$F$9:$F$255,'G-2 Habitat groups'!A55,'D-2 Off-Site Habitat Creation'!$G$9:$G$255)</f>
        <v>0</v>
      </c>
      <c r="X55" s="1056">
        <f>SUMIF('D-2 Off-Site Habitat Creation'!$F$9:$F$255,'G-2 Habitat groups'!A55,'D-2 Off-Site Habitat Creation'!$AB$9:$AB$255)</f>
        <v>0</v>
      </c>
      <c r="Y55" s="1056">
        <f>SUMIF('D-3 Off-Site Habitat Enhancment'!$S$12:$S$491,'G-2 Habitat groups'!A55,'D-3 Off-Site Habitat Enhancment'!$V$12:$V$491)</f>
        <v>0</v>
      </c>
      <c r="Z55" s="1056">
        <f>SUMIF('D-3 Off-Site Habitat Enhancment'!$S$12:$S$491,'G-2 Habitat groups'!A55,'D-3 Off-Site Habitat Enhancment'!$AQ$12:$AQ$491)</f>
        <v>0</v>
      </c>
      <c r="AA55" s="1056">
        <f t="shared" si="48"/>
        <v>0</v>
      </c>
      <c r="AB55" s="1056">
        <f t="shared" si="49"/>
        <v>0</v>
      </c>
      <c r="AC55" s="1056">
        <f t="shared" si="50"/>
        <v>0</v>
      </c>
      <c r="AD55" s="1056">
        <f t="shared" si="51"/>
        <v>0</v>
      </c>
      <c r="AE55" s="1056">
        <f t="shared" si="52"/>
        <v>0</v>
      </c>
      <c r="AF55" s="1056">
        <f t="shared" si="53"/>
        <v>0</v>
      </c>
      <c r="AU55" s="73"/>
      <c r="AV55" s="62"/>
      <c r="AW55" s="274"/>
      <c r="AX55" s="274"/>
      <c r="AY55" s="274"/>
      <c r="AZ55" s="274"/>
      <c r="BA55" s="274"/>
      <c r="BB55" s="274"/>
      <c r="BC55" s="274"/>
      <c r="BD55" s="274"/>
      <c r="BE55" s="274"/>
      <c r="BF55" s="274"/>
    </row>
    <row r="56" spans="1:58" ht="14">
      <c r="A56" s="72" t="str">
        <f>'G-1 All Habitats'!B55</f>
        <v>Sparsely vegetated land - Inland rock outcrop and scree habitats</v>
      </c>
      <c r="B56" s="72" t="s">
        <v>109</v>
      </c>
      <c r="C56" s="72" t="str">
        <f>'G-1 All Habitats'!K55</f>
        <v>High</v>
      </c>
      <c r="D56" s="72" t="str">
        <f>'G-1 All Habitats'!M55</f>
        <v>Same habitat required =</v>
      </c>
      <c r="E56" s="1056">
        <f>SUMIF('A-1 On-Site Habitat Baseline'!$AV$11:$AV$258,'G-2 Habitat groups'!A56,'A-1 On-Site Habitat Baseline'!$H$11:$H$258)</f>
        <v>0</v>
      </c>
      <c r="F56" s="1056">
        <f>SUMIF('A-1 On-Site Habitat Baseline'!$AV$11:$AV$258,'G-2 Habitat groups'!A56,'A-1 On-Site Habitat Baseline'!$Q$11:$Q$258)</f>
        <v>0</v>
      </c>
      <c r="G56" s="1056">
        <f>SUMIF('A-1 On-Site Habitat Baseline'!$AV$11:$AV$258,'G-2 Habitat groups'!A56,'A-1 On-Site Habitat Baseline'!$S$11:$S$258)</f>
        <v>0</v>
      </c>
      <c r="H56" s="1056">
        <f>SUMIF('A-1 On-Site Habitat Baseline'!$AV$11:$AV$258,'G-2 Habitat groups'!A56,'A-1 On-Site Habitat Baseline'!$U$11:$U$258)+SUMIF('A-1 On-Site Habitat Baseline'!$AV$11:$AV$258,'G-2 Habitat groups'!A56,'A-1 On-Site Habitat Baseline'!$AT$11:$AT$258)</f>
        <v>0</v>
      </c>
      <c r="I56" s="1056">
        <f>SUMIF('A-1 On-Site Habitat Baseline'!$AV$11:$AV$258,'G-2 Habitat groups'!A56,'A-1 On-Site Habitat Baseline'!$W$11:$W$258)</f>
        <v>0</v>
      </c>
      <c r="J56" s="1056">
        <f>SUMIF('A-1 On-Site Habitat Baseline'!$AV$11:$AV$258,'G-2 Habitat groups'!A56,'A-1 On-Site Habitat Baseline'!$X$11:$X$258)</f>
        <v>0</v>
      </c>
      <c r="K56" s="1056">
        <f>SUMIF('A-2 On-Site Habitat Creation'!$F$11:$F$256,'G-2 Habitat groups'!A56,'A-2 On-Site Habitat Creation'!$G$11:$G$256)</f>
        <v>0</v>
      </c>
      <c r="L56" s="1056">
        <f>SUMIF('A-2 On-Site Habitat Creation'!$F$11:$F$256,'G-2 Habitat groups'!A56,'A-2 On-Site Habitat Creation'!$Y$11:$Y$256)</f>
        <v>0</v>
      </c>
      <c r="M56" s="1056">
        <f>SUMIF('A-3 On-Site Habitat Enhancement'!$S$12:$S$257,'G-2 Habitat groups'!A56,'A-3 On-Site Habitat Enhancement'!$V$12:$V$257)</f>
        <v>0</v>
      </c>
      <c r="N56" s="1056">
        <f>SUMIF('A-3 On-Site Habitat Enhancement'!$S$12:$S$257,'G-2 Habitat groups'!A56,'A-3 On-Site Habitat Enhancement'!$AN$12:$AN$257)</f>
        <v>0</v>
      </c>
      <c r="O56" s="1056">
        <f t="shared" si="44"/>
        <v>0</v>
      </c>
      <c r="P56" s="1056">
        <f t="shared" si="45"/>
        <v>0</v>
      </c>
      <c r="Q56" s="1056">
        <f t="shared" si="46"/>
        <v>0</v>
      </c>
      <c r="R56" s="1056">
        <f t="shared" si="47"/>
        <v>0</v>
      </c>
      <c r="S56" s="1056">
        <f>SUMIF('D-1 Off-Site Habitat Baseline'!$AV$11:$AV$258,'G-2 Habitat groups'!A56,'D-1 Off-Site Habitat Baseline'!$H$11:$H$258)</f>
        <v>0</v>
      </c>
      <c r="T56" s="1056">
        <f>SUMIF('D-1 Off-Site Habitat Baseline'!$AV$11:$AV$258,'G-2 Habitat groups'!A56,'D-1 Off-Site Habitat Baseline'!$T$11:$T$258)</f>
        <v>0</v>
      </c>
      <c r="U56" s="1056">
        <f>SUMIF('D-1 Off-Site Habitat Baseline'!$AV$11:$AV$258,'G-2 Habitat groups'!A56,'D-1 Off-Site Habitat Baseline'!$V$11:$V$258)</f>
        <v>0</v>
      </c>
      <c r="V56" s="1056">
        <f>SUMIF('D-1 Off-Site Habitat Baseline'!$AV$11:$AV$258,'G-2 Habitat groups'!A56,'D-1 Off-Site Habitat Baseline'!$X$11:$X$258)+SUMIF('D-1 Off-Site Habitat Baseline'!$AV$11:$AV$258,'G-2 Habitat groups'!A56,'D-1 Off-Site Habitat Baseline'!$AS$11:$AS$258)</f>
        <v>0</v>
      </c>
      <c r="W56" s="1056">
        <f>SUMIF('D-2 Off-Site Habitat Creation'!$F$9:$F$255,'G-2 Habitat groups'!A56,'D-2 Off-Site Habitat Creation'!$G$9:$G$255)</f>
        <v>0</v>
      </c>
      <c r="X56" s="1056">
        <f>SUMIF('D-2 Off-Site Habitat Creation'!$F$9:$F$255,'G-2 Habitat groups'!A56,'D-2 Off-Site Habitat Creation'!$AB$9:$AB$255)</f>
        <v>0</v>
      </c>
      <c r="Y56" s="1056">
        <f>SUMIF('D-3 Off-Site Habitat Enhancment'!$S$12:$S$491,'G-2 Habitat groups'!A56,'D-3 Off-Site Habitat Enhancment'!$V$12:$V$491)</f>
        <v>0</v>
      </c>
      <c r="Z56" s="1056">
        <f>SUMIF('D-3 Off-Site Habitat Enhancment'!$S$12:$S$491,'G-2 Habitat groups'!A56,'D-3 Off-Site Habitat Enhancment'!$AQ$12:$AQ$491)</f>
        <v>0</v>
      </c>
      <c r="AA56" s="1056">
        <f t="shared" si="48"/>
        <v>0</v>
      </c>
      <c r="AB56" s="1056">
        <f t="shared" si="49"/>
        <v>0</v>
      </c>
      <c r="AC56" s="1056">
        <f t="shared" si="50"/>
        <v>0</v>
      </c>
      <c r="AD56" s="1056">
        <f t="shared" si="51"/>
        <v>0</v>
      </c>
      <c r="AE56" s="1056">
        <f t="shared" si="52"/>
        <v>0</v>
      </c>
      <c r="AF56" s="1056">
        <f t="shared" si="53"/>
        <v>0</v>
      </c>
      <c r="AU56" s="73" t="s">
        <v>542</v>
      </c>
      <c r="AV56" s="62" t="s">
        <v>112</v>
      </c>
      <c r="AW56" s="274">
        <f t="shared" si="34"/>
        <v>0</v>
      </c>
      <c r="AX56" s="274">
        <f t="shared" si="35"/>
        <v>0</v>
      </c>
      <c r="AY56" s="274">
        <f t="shared" si="36"/>
        <v>0</v>
      </c>
      <c r="AZ56" s="274">
        <f t="shared" si="37"/>
        <v>0</v>
      </c>
      <c r="BA56" s="274">
        <f t="shared" si="38"/>
        <v>0</v>
      </c>
      <c r="BB56" s="274">
        <f t="shared" si="39"/>
        <v>0</v>
      </c>
      <c r="BC56" s="274">
        <f t="shared" si="40"/>
        <v>0</v>
      </c>
      <c r="BD56" s="274">
        <f t="shared" si="41"/>
        <v>0</v>
      </c>
      <c r="BE56" s="274">
        <f t="shared" si="42"/>
        <v>0</v>
      </c>
      <c r="BF56" s="274" t="str">
        <f t="shared" si="43"/>
        <v/>
      </c>
    </row>
    <row r="57" spans="1:58" ht="14">
      <c r="A57" s="72" t="str">
        <f>'G-1 All Habitats'!B56</f>
        <v>Sparsely vegetated land - Limestone pavement</v>
      </c>
      <c r="B57" s="72" t="s">
        <v>109</v>
      </c>
      <c r="C57" s="72" t="str">
        <f>'G-1 All Habitats'!K56</f>
        <v>V.High</v>
      </c>
      <c r="D57" s="72" t="str">
        <f>'G-1 All Habitats'!M56</f>
        <v>Same habitat required – bespoke compensation option ⚠</v>
      </c>
      <c r="E57" s="1056">
        <f>SUMIF('A-1 On-Site Habitat Baseline'!$AV$11:$AV$258,'G-2 Habitat groups'!A57,'A-1 On-Site Habitat Baseline'!$H$11:$H$258)</f>
        <v>0</v>
      </c>
      <c r="F57" s="1056">
        <f>SUMIF('A-1 On-Site Habitat Baseline'!$AV$11:$AV$258,'G-2 Habitat groups'!A57,'A-1 On-Site Habitat Baseline'!$Q$11:$Q$258)</f>
        <v>0</v>
      </c>
      <c r="G57" s="1056">
        <f>SUMIF('A-1 On-Site Habitat Baseline'!$AV$11:$AV$258,'G-2 Habitat groups'!A57,'A-1 On-Site Habitat Baseline'!$S$11:$S$258)</f>
        <v>0</v>
      </c>
      <c r="H57" s="1056">
        <f>SUMIF('A-1 On-Site Habitat Baseline'!$AV$11:$AV$258,'G-2 Habitat groups'!A57,'A-1 On-Site Habitat Baseline'!$U$11:$U$258)+SUMIF('A-1 On-Site Habitat Baseline'!$AV$11:$AV$258,'G-2 Habitat groups'!A57,'A-1 On-Site Habitat Baseline'!$AT$11:$AT$258)</f>
        <v>0</v>
      </c>
      <c r="I57" s="1056">
        <f>SUMIF('A-1 On-Site Habitat Baseline'!$AV$11:$AV$258,'G-2 Habitat groups'!A57,'A-1 On-Site Habitat Baseline'!$W$11:$W$258)</f>
        <v>0</v>
      </c>
      <c r="J57" s="1056">
        <f>SUMIF('A-1 On-Site Habitat Baseline'!$AV$11:$AV$258,'G-2 Habitat groups'!A57,'A-1 On-Site Habitat Baseline'!$X$11:$X$258)</f>
        <v>0</v>
      </c>
      <c r="K57" s="1056">
        <f>SUMIF('A-2 On-Site Habitat Creation'!$F$11:$F$256,'G-2 Habitat groups'!A57,'A-2 On-Site Habitat Creation'!$G$11:$G$256)</f>
        <v>0</v>
      </c>
      <c r="L57" s="1056">
        <f>SUMIF('A-2 On-Site Habitat Creation'!$F$11:$F$256,'G-2 Habitat groups'!A57,'A-2 On-Site Habitat Creation'!$Y$11:$Y$256)</f>
        <v>0</v>
      </c>
      <c r="M57" s="1056">
        <f>SUMIF('A-3 On-Site Habitat Enhancement'!$S$12:$S$257,'G-2 Habitat groups'!A57,'A-3 On-Site Habitat Enhancement'!$V$12:$V$257)</f>
        <v>0</v>
      </c>
      <c r="N57" s="1056">
        <f>SUMIF('A-3 On-Site Habitat Enhancement'!$S$12:$S$257,'G-2 Habitat groups'!A57,'A-3 On-Site Habitat Enhancement'!$AN$12:$AN$257)</f>
        <v>0</v>
      </c>
      <c r="O57" s="1056">
        <f t="shared" si="44"/>
        <v>0</v>
      </c>
      <c r="P57" s="1056">
        <f t="shared" si="45"/>
        <v>0</v>
      </c>
      <c r="Q57" s="1056">
        <f t="shared" si="46"/>
        <v>0</v>
      </c>
      <c r="R57" s="1056">
        <f t="shared" si="47"/>
        <v>0</v>
      </c>
      <c r="S57" s="1056">
        <f>SUMIF('D-1 Off-Site Habitat Baseline'!$AV$11:$AV$258,'G-2 Habitat groups'!A57,'D-1 Off-Site Habitat Baseline'!$H$11:$H$258)</f>
        <v>0</v>
      </c>
      <c r="T57" s="1056">
        <f>SUMIF('D-1 Off-Site Habitat Baseline'!$AV$11:$AV$258,'G-2 Habitat groups'!A57,'D-1 Off-Site Habitat Baseline'!$T$11:$T$258)</f>
        <v>0</v>
      </c>
      <c r="U57" s="1056">
        <f>SUMIF('D-1 Off-Site Habitat Baseline'!$AV$11:$AV$258,'G-2 Habitat groups'!A57,'D-1 Off-Site Habitat Baseline'!$V$11:$V$258)</f>
        <v>0</v>
      </c>
      <c r="V57" s="1056">
        <f>SUMIF('D-1 Off-Site Habitat Baseline'!$AV$11:$AV$258,'G-2 Habitat groups'!A57,'D-1 Off-Site Habitat Baseline'!$X$11:$X$258)+SUMIF('D-1 Off-Site Habitat Baseline'!$AV$11:$AV$258,'G-2 Habitat groups'!A57,'D-1 Off-Site Habitat Baseline'!$AS$11:$AS$258)</f>
        <v>0</v>
      </c>
      <c r="W57" s="1056">
        <f>SUMIF('D-2 Off-Site Habitat Creation'!$F$9:$F$255,'G-2 Habitat groups'!A57,'D-2 Off-Site Habitat Creation'!$G$9:$G$255)</f>
        <v>0</v>
      </c>
      <c r="X57" s="1056">
        <f>SUMIF('D-2 Off-Site Habitat Creation'!$F$9:$F$255,'G-2 Habitat groups'!A57,'D-2 Off-Site Habitat Creation'!$AB$9:$AB$255)</f>
        <v>0</v>
      </c>
      <c r="Y57" s="1056">
        <f>SUMIF('D-3 Off-Site Habitat Enhancment'!$S$12:$S$491,'G-2 Habitat groups'!A57,'D-3 Off-Site Habitat Enhancment'!$V$12:$V$491)</f>
        <v>0</v>
      </c>
      <c r="Z57" s="1056">
        <f>SUMIF('D-3 Off-Site Habitat Enhancment'!$S$12:$S$491,'G-2 Habitat groups'!A57,'D-3 Off-Site Habitat Enhancment'!$AQ$12:$AQ$491)</f>
        <v>0</v>
      </c>
      <c r="AA57" s="1056">
        <f t="shared" si="48"/>
        <v>0</v>
      </c>
      <c r="AB57" s="1056">
        <f t="shared" si="49"/>
        <v>0</v>
      </c>
      <c r="AC57" s="1056">
        <f t="shared" si="50"/>
        <v>0</v>
      </c>
      <c r="AD57" s="1056">
        <f t="shared" si="51"/>
        <v>0</v>
      </c>
      <c r="AE57" s="1056">
        <f t="shared" si="52"/>
        <v>0</v>
      </c>
      <c r="AF57" s="1056">
        <f t="shared" si="53"/>
        <v>0</v>
      </c>
      <c r="AU57" s="73" t="s">
        <v>555</v>
      </c>
      <c r="AV57" s="62" t="s">
        <v>112</v>
      </c>
      <c r="AW57" s="274">
        <f t="shared" si="34"/>
        <v>0</v>
      </c>
      <c r="AX57" s="274">
        <f t="shared" si="35"/>
        <v>0</v>
      </c>
      <c r="AY57" s="274">
        <f t="shared" si="36"/>
        <v>0</v>
      </c>
      <c r="AZ57" s="274">
        <f t="shared" si="37"/>
        <v>0</v>
      </c>
      <c r="BA57" s="274">
        <f t="shared" si="38"/>
        <v>0</v>
      </c>
      <c r="BB57" s="274">
        <f t="shared" si="39"/>
        <v>0</v>
      </c>
      <c r="BC57" s="274">
        <f t="shared" si="40"/>
        <v>0</v>
      </c>
      <c r="BD57" s="274">
        <f t="shared" si="41"/>
        <v>0</v>
      </c>
      <c r="BE57" s="274">
        <f t="shared" si="42"/>
        <v>0</v>
      </c>
      <c r="BF57" s="274" t="str">
        <f t="shared" si="43"/>
        <v/>
      </c>
    </row>
    <row r="58" spans="1:58" ht="14">
      <c r="A58" s="72" t="str">
        <f>'G-1 All Habitats'!B57</f>
        <v>Sparsely vegetated land - Maritime cliff and slopes</v>
      </c>
      <c r="B58" s="72" t="s">
        <v>109</v>
      </c>
      <c r="C58" s="72" t="str">
        <f>'G-1 All Habitats'!K57</f>
        <v>High</v>
      </c>
      <c r="D58" s="72" t="str">
        <f>'G-1 All Habitats'!M57</f>
        <v>Same habitat required =</v>
      </c>
      <c r="E58" s="1056">
        <f>SUMIF('A-1 On-Site Habitat Baseline'!$AV$11:$AV$258,'G-2 Habitat groups'!A58,'A-1 On-Site Habitat Baseline'!$H$11:$H$258)</f>
        <v>0</v>
      </c>
      <c r="F58" s="1056">
        <f>SUMIF('A-1 On-Site Habitat Baseline'!$AV$11:$AV$258,'G-2 Habitat groups'!A58,'A-1 On-Site Habitat Baseline'!$Q$11:$Q$258)</f>
        <v>0</v>
      </c>
      <c r="G58" s="1056">
        <f>SUMIF('A-1 On-Site Habitat Baseline'!$AV$11:$AV$258,'G-2 Habitat groups'!A58,'A-1 On-Site Habitat Baseline'!$S$11:$S$258)</f>
        <v>0</v>
      </c>
      <c r="H58" s="1056">
        <f>SUMIF('A-1 On-Site Habitat Baseline'!$AV$11:$AV$258,'G-2 Habitat groups'!A58,'A-1 On-Site Habitat Baseline'!$U$11:$U$258)+SUMIF('A-1 On-Site Habitat Baseline'!$AV$11:$AV$258,'G-2 Habitat groups'!A58,'A-1 On-Site Habitat Baseline'!$AT$11:$AT$258)</f>
        <v>0</v>
      </c>
      <c r="I58" s="1056">
        <f>SUMIF('A-1 On-Site Habitat Baseline'!$AV$11:$AV$258,'G-2 Habitat groups'!A58,'A-1 On-Site Habitat Baseline'!$W$11:$W$258)</f>
        <v>0</v>
      </c>
      <c r="J58" s="1056">
        <f>SUMIF('A-1 On-Site Habitat Baseline'!$AV$11:$AV$258,'G-2 Habitat groups'!A58,'A-1 On-Site Habitat Baseline'!$X$11:$X$258)</f>
        <v>0</v>
      </c>
      <c r="K58" s="1056">
        <f>SUMIF('A-2 On-Site Habitat Creation'!$F$11:$F$256,'G-2 Habitat groups'!A58,'A-2 On-Site Habitat Creation'!$G$11:$G$256)</f>
        <v>0</v>
      </c>
      <c r="L58" s="1056">
        <f>SUMIF('A-2 On-Site Habitat Creation'!$F$11:$F$256,'G-2 Habitat groups'!A58,'A-2 On-Site Habitat Creation'!$Y$11:$Y$256)</f>
        <v>0</v>
      </c>
      <c r="M58" s="1056">
        <f>SUMIF('A-3 On-Site Habitat Enhancement'!$S$12:$S$257,'G-2 Habitat groups'!A58,'A-3 On-Site Habitat Enhancement'!$V$12:$V$257)</f>
        <v>0</v>
      </c>
      <c r="N58" s="1056">
        <f>SUMIF('A-3 On-Site Habitat Enhancement'!$S$12:$S$257,'G-2 Habitat groups'!A58,'A-3 On-Site Habitat Enhancement'!$AN$12:$AN$257)</f>
        <v>0</v>
      </c>
      <c r="O58" s="1056">
        <f t="shared" si="44"/>
        <v>0</v>
      </c>
      <c r="P58" s="1056">
        <f t="shared" si="45"/>
        <v>0</v>
      </c>
      <c r="Q58" s="1056">
        <f t="shared" si="46"/>
        <v>0</v>
      </c>
      <c r="R58" s="1056">
        <f t="shared" si="47"/>
        <v>0</v>
      </c>
      <c r="S58" s="1056">
        <f>SUMIF('D-1 Off-Site Habitat Baseline'!$AV$11:$AV$258,'G-2 Habitat groups'!A58,'D-1 Off-Site Habitat Baseline'!$H$11:$H$258)</f>
        <v>0</v>
      </c>
      <c r="T58" s="1056">
        <f>SUMIF('D-1 Off-Site Habitat Baseline'!$AV$11:$AV$258,'G-2 Habitat groups'!A58,'D-1 Off-Site Habitat Baseline'!$T$11:$T$258)</f>
        <v>0</v>
      </c>
      <c r="U58" s="1056">
        <f>SUMIF('D-1 Off-Site Habitat Baseline'!$AV$11:$AV$258,'G-2 Habitat groups'!A58,'D-1 Off-Site Habitat Baseline'!$V$11:$V$258)</f>
        <v>0</v>
      </c>
      <c r="V58" s="1056">
        <f>SUMIF('D-1 Off-Site Habitat Baseline'!$AV$11:$AV$258,'G-2 Habitat groups'!A58,'D-1 Off-Site Habitat Baseline'!$X$11:$X$258)+SUMIF('D-1 Off-Site Habitat Baseline'!$AV$11:$AV$258,'G-2 Habitat groups'!A58,'D-1 Off-Site Habitat Baseline'!$AS$11:$AS$258)</f>
        <v>0</v>
      </c>
      <c r="W58" s="1056">
        <f>SUMIF('D-2 Off-Site Habitat Creation'!$F$9:$F$255,'G-2 Habitat groups'!A58,'D-2 Off-Site Habitat Creation'!$G$9:$G$255)</f>
        <v>0</v>
      </c>
      <c r="X58" s="1056">
        <f>SUMIF('D-2 Off-Site Habitat Creation'!$F$9:$F$255,'G-2 Habitat groups'!A58,'D-2 Off-Site Habitat Creation'!$AB$9:$AB$255)</f>
        <v>0</v>
      </c>
      <c r="Y58" s="1056">
        <f>SUMIF('D-3 Off-Site Habitat Enhancment'!$S$12:$S$491,'G-2 Habitat groups'!A58,'D-3 Off-Site Habitat Enhancment'!$V$12:$V$491)</f>
        <v>0</v>
      </c>
      <c r="Z58" s="1056">
        <f>SUMIF('D-3 Off-Site Habitat Enhancment'!$S$12:$S$491,'G-2 Habitat groups'!A58,'D-3 Off-Site Habitat Enhancment'!$AQ$12:$AQ$491)</f>
        <v>0</v>
      </c>
      <c r="AA58" s="1056">
        <f t="shared" si="48"/>
        <v>0</v>
      </c>
      <c r="AB58" s="1056">
        <f t="shared" si="49"/>
        <v>0</v>
      </c>
      <c r="AC58" s="1056">
        <f t="shared" si="50"/>
        <v>0</v>
      </c>
      <c r="AD58" s="1056">
        <f t="shared" si="51"/>
        <v>0</v>
      </c>
      <c r="AE58" s="1056">
        <f t="shared" si="52"/>
        <v>0</v>
      </c>
      <c r="AF58" s="1056">
        <f t="shared" si="53"/>
        <v>0</v>
      </c>
      <c r="AU58" s="73" t="s">
        <v>543</v>
      </c>
      <c r="AV58" s="62" t="s">
        <v>112</v>
      </c>
      <c r="AW58" s="274">
        <f t="shared" si="34"/>
        <v>0</v>
      </c>
      <c r="AX58" s="274">
        <f t="shared" si="35"/>
        <v>0</v>
      </c>
      <c r="AY58" s="274">
        <f t="shared" si="36"/>
        <v>0</v>
      </c>
      <c r="AZ58" s="274">
        <f t="shared" si="37"/>
        <v>0</v>
      </c>
      <c r="BA58" s="274">
        <f t="shared" si="38"/>
        <v>0</v>
      </c>
      <c r="BB58" s="274">
        <f t="shared" si="39"/>
        <v>0</v>
      </c>
      <c r="BC58" s="274">
        <f t="shared" si="40"/>
        <v>0</v>
      </c>
      <c r="BD58" s="274">
        <f t="shared" si="41"/>
        <v>0</v>
      </c>
      <c r="BE58" s="274">
        <f t="shared" si="42"/>
        <v>0</v>
      </c>
      <c r="BF58" s="274" t="str">
        <f t="shared" si="43"/>
        <v/>
      </c>
    </row>
    <row r="59" spans="1:58" ht="14">
      <c r="A59" s="72" t="str">
        <f>'G-1 All Habitats'!B58</f>
        <v>Sparsely vegetated land - Other inland rock and scree</v>
      </c>
      <c r="B59" s="72" t="s">
        <v>109</v>
      </c>
      <c r="C59" s="72" t="str">
        <f>'G-1 All Habitats'!K58</f>
        <v>Medium</v>
      </c>
      <c r="D59" s="72" t="str">
        <f>'G-1 All Habitats'!M58</f>
        <v>Same broad habitat or a higher distinctiveness habitat required (≥)</v>
      </c>
      <c r="E59" s="1056">
        <f>SUMIF('A-1 On-Site Habitat Baseline'!$AV$11:$AV$258,'G-2 Habitat groups'!A59,'A-1 On-Site Habitat Baseline'!$H$11:$H$258)</f>
        <v>0</v>
      </c>
      <c r="F59" s="1056">
        <f>SUMIF('A-1 On-Site Habitat Baseline'!$AV$11:$AV$258,'G-2 Habitat groups'!A59,'A-1 On-Site Habitat Baseline'!$Q$11:$Q$258)</f>
        <v>0</v>
      </c>
      <c r="G59" s="1056">
        <f>SUMIF('A-1 On-Site Habitat Baseline'!$AV$11:$AV$258,'G-2 Habitat groups'!A59,'A-1 On-Site Habitat Baseline'!$S$11:$S$258)</f>
        <v>0</v>
      </c>
      <c r="H59" s="1056">
        <f>SUMIF('A-1 On-Site Habitat Baseline'!$AV$11:$AV$258,'G-2 Habitat groups'!A59,'A-1 On-Site Habitat Baseline'!$U$11:$U$258)+SUMIF('A-1 On-Site Habitat Baseline'!$AV$11:$AV$258,'G-2 Habitat groups'!A59,'A-1 On-Site Habitat Baseline'!$AT$11:$AT$258)</f>
        <v>0</v>
      </c>
      <c r="I59" s="1056">
        <f>SUMIF('A-1 On-Site Habitat Baseline'!$AV$11:$AV$258,'G-2 Habitat groups'!A59,'A-1 On-Site Habitat Baseline'!$W$11:$W$258)</f>
        <v>0</v>
      </c>
      <c r="J59" s="1056">
        <f>SUMIF('A-1 On-Site Habitat Baseline'!$AV$11:$AV$258,'G-2 Habitat groups'!A59,'A-1 On-Site Habitat Baseline'!$X$11:$X$258)</f>
        <v>0</v>
      </c>
      <c r="K59" s="1056">
        <f>SUMIF('A-2 On-Site Habitat Creation'!$F$11:$F$256,'G-2 Habitat groups'!A59,'A-2 On-Site Habitat Creation'!$G$11:$G$256)</f>
        <v>0</v>
      </c>
      <c r="L59" s="1056">
        <f>SUMIF('A-2 On-Site Habitat Creation'!$F$11:$F$256,'G-2 Habitat groups'!A59,'A-2 On-Site Habitat Creation'!$Y$11:$Y$256)</f>
        <v>0</v>
      </c>
      <c r="M59" s="1056">
        <f>SUMIF('A-3 On-Site Habitat Enhancement'!$S$12:$S$257,'G-2 Habitat groups'!A59,'A-3 On-Site Habitat Enhancement'!$V$12:$V$257)</f>
        <v>0</v>
      </c>
      <c r="N59" s="1056">
        <f>SUMIF('A-3 On-Site Habitat Enhancement'!$S$12:$S$257,'G-2 Habitat groups'!A59,'A-3 On-Site Habitat Enhancement'!$AN$12:$AN$257)</f>
        <v>0</v>
      </c>
      <c r="O59" s="1056">
        <f t="shared" si="44"/>
        <v>0</v>
      </c>
      <c r="P59" s="1056">
        <f t="shared" si="45"/>
        <v>0</v>
      </c>
      <c r="Q59" s="1056">
        <f t="shared" si="46"/>
        <v>0</v>
      </c>
      <c r="R59" s="1056">
        <f t="shared" si="47"/>
        <v>0</v>
      </c>
      <c r="S59" s="1056">
        <f>SUMIF('D-1 Off-Site Habitat Baseline'!$AV$11:$AV$258,'G-2 Habitat groups'!A59,'D-1 Off-Site Habitat Baseline'!$H$11:$H$258)</f>
        <v>0</v>
      </c>
      <c r="T59" s="1056">
        <f>SUMIF('D-1 Off-Site Habitat Baseline'!$AV$11:$AV$258,'G-2 Habitat groups'!A59,'D-1 Off-Site Habitat Baseline'!$T$11:$T$258)</f>
        <v>0</v>
      </c>
      <c r="U59" s="1056">
        <f>SUMIF('D-1 Off-Site Habitat Baseline'!$AV$11:$AV$258,'G-2 Habitat groups'!A59,'D-1 Off-Site Habitat Baseline'!$V$11:$V$258)</f>
        <v>0</v>
      </c>
      <c r="V59" s="1056">
        <f>SUMIF('D-1 Off-Site Habitat Baseline'!$AV$11:$AV$258,'G-2 Habitat groups'!A59,'D-1 Off-Site Habitat Baseline'!$X$11:$X$258)+SUMIF('D-1 Off-Site Habitat Baseline'!$AV$11:$AV$258,'G-2 Habitat groups'!A59,'D-1 Off-Site Habitat Baseline'!$AS$11:$AS$258)</f>
        <v>0</v>
      </c>
      <c r="W59" s="1056">
        <f>SUMIF('D-2 Off-Site Habitat Creation'!$F$9:$F$255,'G-2 Habitat groups'!A59,'D-2 Off-Site Habitat Creation'!$G$9:$G$255)</f>
        <v>0</v>
      </c>
      <c r="X59" s="1056">
        <f>SUMIF('D-2 Off-Site Habitat Creation'!$F$9:$F$255,'G-2 Habitat groups'!A59,'D-2 Off-Site Habitat Creation'!$AB$9:$AB$255)</f>
        <v>0</v>
      </c>
      <c r="Y59" s="1056">
        <f>SUMIF('D-3 Off-Site Habitat Enhancment'!$S$12:$S$491,'G-2 Habitat groups'!A59,'D-3 Off-Site Habitat Enhancment'!$V$12:$V$491)</f>
        <v>0</v>
      </c>
      <c r="Z59" s="1056">
        <f>SUMIF('D-3 Off-Site Habitat Enhancment'!$S$12:$S$491,'G-2 Habitat groups'!A59,'D-3 Off-Site Habitat Enhancment'!$AQ$12:$AQ$491)</f>
        <v>0</v>
      </c>
      <c r="AA59" s="1056">
        <f t="shared" si="48"/>
        <v>0</v>
      </c>
      <c r="AB59" s="1056">
        <f t="shared" si="49"/>
        <v>0</v>
      </c>
      <c r="AC59" s="1056">
        <f t="shared" si="50"/>
        <v>0</v>
      </c>
      <c r="AD59" s="1056">
        <f t="shared" si="51"/>
        <v>0</v>
      </c>
      <c r="AE59" s="1056">
        <f t="shared" si="52"/>
        <v>0</v>
      </c>
      <c r="AF59" s="1056">
        <f t="shared" si="53"/>
        <v>0</v>
      </c>
      <c r="AU59" s="73" t="s">
        <v>545</v>
      </c>
      <c r="AV59" s="62" t="s">
        <v>112</v>
      </c>
      <c r="AW59" s="274">
        <f t="shared" si="34"/>
        <v>0</v>
      </c>
      <c r="AX59" s="274">
        <f t="shared" si="35"/>
        <v>0</v>
      </c>
      <c r="AY59" s="274">
        <f t="shared" si="36"/>
        <v>0</v>
      </c>
      <c r="AZ59" s="274">
        <f t="shared" si="37"/>
        <v>0</v>
      </c>
      <c r="BA59" s="274">
        <f t="shared" si="38"/>
        <v>0</v>
      </c>
      <c r="BB59" s="274">
        <f t="shared" si="39"/>
        <v>0</v>
      </c>
      <c r="BC59" s="274">
        <f t="shared" si="40"/>
        <v>0</v>
      </c>
      <c r="BD59" s="274">
        <f t="shared" si="41"/>
        <v>0</v>
      </c>
      <c r="BE59" s="274">
        <f t="shared" si="42"/>
        <v>0</v>
      </c>
      <c r="BF59" s="274" t="str">
        <f t="shared" si="43"/>
        <v/>
      </c>
    </row>
    <row r="60" spans="1:58" ht="14">
      <c r="A60" s="72" t="str">
        <f>'G-1 All Habitats'!B59</f>
        <v>Urban - Allotments</v>
      </c>
      <c r="B60" s="72" t="s">
        <v>110</v>
      </c>
      <c r="C60" s="72" t="str">
        <f>'G-1 All Habitats'!K59</f>
        <v>Low</v>
      </c>
      <c r="D60" s="72" t="str">
        <f>'G-1 All Habitats'!M59</f>
        <v>Same distinctiveness or better habitat required ≥</v>
      </c>
      <c r="E60" s="1056">
        <f>SUMIF('A-1 On-Site Habitat Baseline'!$AV$11:$AV$258,'G-2 Habitat groups'!A60,'A-1 On-Site Habitat Baseline'!$H$11:$H$258)</f>
        <v>0</v>
      </c>
      <c r="F60" s="1056">
        <f>SUMIF('A-1 On-Site Habitat Baseline'!$AV$11:$AV$258,'G-2 Habitat groups'!A60,'A-1 On-Site Habitat Baseline'!$Q$11:$Q$258)</f>
        <v>0</v>
      </c>
      <c r="G60" s="1056">
        <f>SUMIF('A-1 On-Site Habitat Baseline'!$AV$11:$AV$258,'G-2 Habitat groups'!A60,'A-1 On-Site Habitat Baseline'!$S$11:$S$258)</f>
        <v>0</v>
      </c>
      <c r="H60" s="1056">
        <f>SUMIF('A-1 On-Site Habitat Baseline'!$AV$11:$AV$258,'G-2 Habitat groups'!A60,'A-1 On-Site Habitat Baseline'!$U$11:$U$258)+SUMIF('A-1 On-Site Habitat Baseline'!$AV$11:$AV$258,'G-2 Habitat groups'!A60,'A-1 On-Site Habitat Baseline'!$AT$11:$AT$258)</f>
        <v>0</v>
      </c>
      <c r="I60" s="1056">
        <f>SUMIF('A-1 On-Site Habitat Baseline'!$AV$11:$AV$258,'G-2 Habitat groups'!A60,'A-1 On-Site Habitat Baseline'!$W$11:$W$258)</f>
        <v>0</v>
      </c>
      <c r="J60" s="1056">
        <f>SUMIF('A-1 On-Site Habitat Baseline'!$AV$11:$AV$258,'G-2 Habitat groups'!A60,'A-1 On-Site Habitat Baseline'!$X$11:$X$258)</f>
        <v>0</v>
      </c>
      <c r="K60" s="1056">
        <f>SUMIF('A-2 On-Site Habitat Creation'!$F$11:$F$256,'G-2 Habitat groups'!A60,'A-2 On-Site Habitat Creation'!$G$11:$G$256)</f>
        <v>0</v>
      </c>
      <c r="L60" s="1056">
        <f>SUMIF('A-2 On-Site Habitat Creation'!$F$11:$F$256,'G-2 Habitat groups'!A60,'A-2 On-Site Habitat Creation'!$Y$11:$Y$256)</f>
        <v>0</v>
      </c>
      <c r="M60" s="1056">
        <f>SUMIF('A-3 On-Site Habitat Enhancement'!$S$12:$S$257,'G-2 Habitat groups'!A60,'A-3 On-Site Habitat Enhancement'!$V$12:$V$257)</f>
        <v>0</v>
      </c>
      <c r="N60" s="1056">
        <f>SUMIF('A-3 On-Site Habitat Enhancement'!$S$12:$S$257,'G-2 Habitat groups'!A60,'A-3 On-Site Habitat Enhancement'!$AN$12:$AN$257)</f>
        <v>0</v>
      </c>
      <c r="O60" s="1056">
        <f t="shared" si="44"/>
        <v>0</v>
      </c>
      <c r="P60" s="1056">
        <f t="shared" si="45"/>
        <v>0</v>
      </c>
      <c r="Q60" s="1056">
        <f t="shared" si="46"/>
        <v>0</v>
      </c>
      <c r="R60" s="1056">
        <f t="shared" si="47"/>
        <v>0</v>
      </c>
      <c r="S60" s="1056">
        <f>SUMIF('D-1 Off-Site Habitat Baseline'!$AV$11:$AV$258,'G-2 Habitat groups'!A60,'D-1 Off-Site Habitat Baseline'!$H$11:$H$258)</f>
        <v>0</v>
      </c>
      <c r="T60" s="1056">
        <f>SUMIF('D-1 Off-Site Habitat Baseline'!$AV$11:$AV$258,'G-2 Habitat groups'!A60,'D-1 Off-Site Habitat Baseline'!$T$11:$T$258)</f>
        <v>0</v>
      </c>
      <c r="U60" s="1056">
        <f>SUMIF('D-1 Off-Site Habitat Baseline'!$AV$11:$AV$258,'G-2 Habitat groups'!A60,'D-1 Off-Site Habitat Baseline'!$V$11:$V$258)</f>
        <v>0</v>
      </c>
      <c r="V60" s="1056">
        <f>SUMIF('D-1 Off-Site Habitat Baseline'!$AV$11:$AV$258,'G-2 Habitat groups'!A60,'D-1 Off-Site Habitat Baseline'!$X$11:$X$258)+SUMIF('D-1 Off-Site Habitat Baseline'!$AV$11:$AV$258,'G-2 Habitat groups'!A60,'D-1 Off-Site Habitat Baseline'!$AS$11:$AS$258)</f>
        <v>0</v>
      </c>
      <c r="W60" s="1056">
        <f>SUMIF('D-2 Off-Site Habitat Creation'!$F$9:$F$255,'G-2 Habitat groups'!A60,'D-2 Off-Site Habitat Creation'!$G$9:$G$255)</f>
        <v>0</v>
      </c>
      <c r="X60" s="1056">
        <f>SUMIF('D-2 Off-Site Habitat Creation'!$F$9:$F$255,'G-2 Habitat groups'!A60,'D-2 Off-Site Habitat Creation'!$AB$9:$AB$255)</f>
        <v>0</v>
      </c>
      <c r="Y60" s="1056">
        <f>SUMIF('D-3 Off-Site Habitat Enhancment'!$S$12:$S$491,'G-2 Habitat groups'!A60,'D-3 Off-Site Habitat Enhancment'!$V$12:$V$491)</f>
        <v>0</v>
      </c>
      <c r="Z60" s="1056">
        <f>SUMIF('D-3 Off-Site Habitat Enhancment'!$S$12:$S$491,'G-2 Habitat groups'!A60,'D-3 Off-Site Habitat Enhancment'!$AQ$12:$AQ$491)</f>
        <v>0</v>
      </c>
      <c r="AA60" s="1056">
        <f t="shared" si="48"/>
        <v>0</v>
      </c>
      <c r="AB60" s="1056">
        <f t="shared" si="49"/>
        <v>0</v>
      </c>
      <c r="AC60" s="1056">
        <f t="shared" si="50"/>
        <v>0</v>
      </c>
      <c r="AD60" s="1056">
        <f t="shared" si="51"/>
        <v>0</v>
      </c>
      <c r="AE60" s="1056">
        <f t="shared" si="52"/>
        <v>0</v>
      </c>
      <c r="AF60" s="1056">
        <f t="shared" si="53"/>
        <v>0</v>
      </c>
      <c r="AU60" s="73" t="s">
        <v>556</v>
      </c>
      <c r="AV60" s="62" t="s">
        <v>112</v>
      </c>
      <c r="AW60" s="274">
        <f t="shared" si="34"/>
        <v>0</v>
      </c>
      <c r="AX60" s="274">
        <f t="shared" si="35"/>
        <v>0</v>
      </c>
      <c r="AY60" s="274">
        <f t="shared" si="36"/>
        <v>0</v>
      </c>
      <c r="AZ60" s="274">
        <f t="shared" si="37"/>
        <v>0</v>
      </c>
      <c r="BA60" s="274">
        <f t="shared" si="38"/>
        <v>0</v>
      </c>
      <c r="BB60" s="274">
        <f t="shared" si="39"/>
        <v>0</v>
      </c>
      <c r="BC60" s="274">
        <f t="shared" si="40"/>
        <v>0</v>
      </c>
      <c r="BD60" s="274">
        <f t="shared" si="41"/>
        <v>0</v>
      </c>
      <c r="BE60" s="274">
        <f t="shared" si="42"/>
        <v>0</v>
      </c>
      <c r="BF60" s="274" t="str">
        <f t="shared" si="43"/>
        <v/>
      </c>
    </row>
    <row r="61" spans="1:58" ht="14">
      <c r="A61" s="72" t="str">
        <f>'G-1 All Habitats'!B60</f>
        <v>Urban - Artificial unvegetated, unsealed surface</v>
      </c>
      <c r="B61" s="72" t="s">
        <v>110</v>
      </c>
      <c r="C61" s="72" t="str">
        <f>'G-1 All Habitats'!K60</f>
        <v>V.Low</v>
      </c>
      <c r="D61" s="72" t="str">
        <f>'G-1 All Habitats'!M60</f>
        <v>Compensation Not Required</v>
      </c>
      <c r="E61" s="1056">
        <f>SUMIF('A-1 On-Site Habitat Baseline'!$AV$11:$AV$258,'G-2 Habitat groups'!A61,'A-1 On-Site Habitat Baseline'!$H$11:$H$258)</f>
        <v>0</v>
      </c>
      <c r="F61" s="1056">
        <f>SUMIF('A-1 On-Site Habitat Baseline'!$AV$11:$AV$258,'G-2 Habitat groups'!A61,'A-1 On-Site Habitat Baseline'!$Q$11:$Q$258)</f>
        <v>0</v>
      </c>
      <c r="G61" s="1056">
        <f>SUMIF('A-1 On-Site Habitat Baseline'!$AV$11:$AV$258,'G-2 Habitat groups'!A61,'A-1 On-Site Habitat Baseline'!$S$11:$S$258)</f>
        <v>0</v>
      </c>
      <c r="H61" s="1056">
        <f>SUMIF('A-1 On-Site Habitat Baseline'!$AV$11:$AV$258,'G-2 Habitat groups'!A61,'A-1 On-Site Habitat Baseline'!$U$11:$U$258)+SUMIF('A-1 On-Site Habitat Baseline'!$AV$11:$AV$258,'G-2 Habitat groups'!A61,'A-1 On-Site Habitat Baseline'!$AT$11:$AT$258)</f>
        <v>0</v>
      </c>
      <c r="I61" s="1056">
        <f>SUMIF('A-1 On-Site Habitat Baseline'!$AV$11:$AV$258,'G-2 Habitat groups'!A61,'A-1 On-Site Habitat Baseline'!$W$11:$W$258)</f>
        <v>0</v>
      </c>
      <c r="J61" s="1056">
        <f>SUMIF('A-1 On-Site Habitat Baseline'!$AV$11:$AV$258,'G-2 Habitat groups'!A61,'A-1 On-Site Habitat Baseline'!$X$11:$X$258)</f>
        <v>0</v>
      </c>
      <c r="K61" s="1056">
        <f>SUMIF('A-2 On-Site Habitat Creation'!$F$11:$F$256,'G-2 Habitat groups'!A61,'A-2 On-Site Habitat Creation'!$G$11:$G$256)</f>
        <v>0.201</v>
      </c>
      <c r="L61" s="1056">
        <f>SUMIF('A-2 On-Site Habitat Creation'!$F$11:$F$256,'G-2 Habitat groups'!A61,'A-2 On-Site Habitat Creation'!$Y$11:$Y$256)</f>
        <v>0</v>
      </c>
      <c r="M61" s="1056">
        <f>SUMIF('A-3 On-Site Habitat Enhancement'!$S$12:$S$257,'G-2 Habitat groups'!A61,'A-3 On-Site Habitat Enhancement'!$V$12:$V$257)</f>
        <v>0</v>
      </c>
      <c r="N61" s="1056">
        <f>SUMIF('A-3 On-Site Habitat Enhancement'!$S$12:$S$257,'G-2 Habitat groups'!A61,'A-3 On-Site Habitat Enhancement'!$AN$12:$AN$257)</f>
        <v>0</v>
      </c>
      <c r="O61" s="1056">
        <f t="shared" si="44"/>
        <v>0.201</v>
      </c>
      <c r="P61" s="1056">
        <f t="shared" si="45"/>
        <v>0</v>
      </c>
      <c r="Q61" s="1056">
        <f t="shared" si="46"/>
        <v>0.201</v>
      </c>
      <c r="R61" s="1056">
        <f t="shared" si="47"/>
        <v>0</v>
      </c>
      <c r="S61" s="1056">
        <f>SUMIF('D-1 Off-Site Habitat Baseline'!$AV$11:$AV$258,'G-2 Habitat groups'!A61,'D-1 Off-Site Habitat Baseline'!$H$11:$H$258)</f>
        <v>0</v>
      </c>
      <c r="T61" s="1056">
        <f>SUMIF('D-1 Off-Site Habitat Baseline'!$AV$11:$AV$258,'G-2 Habitat groups'!A61,'D-1 Off-Site Habitat Baseline'!$T$11:$T$258)</f>
        <v>0</v>
      </c>
      <c r="U61" s="1056">
        <f>SUMIF('D-1 Off-Site Habitat Baseline'!$AV$11:$AV$258,'G-2 Habitat groups'!A61,'D-1 Off-Site Habitat Baseline'!$V$11:$V$258)</f>
        <v>0</v>
      </c>
      <c r="V61" s="1056">
        <f>SUMIF('D-1 Off-Site Habitat Baseline'!$AV$11:$AV$258,'G-2 Habitat groups'!A61,'D-1 Off-Site Habitat Baseline'!$X$11:$X$258)+SUMIF('D-1 Off-Site Habitat Baseline'!$AV$11:$AV$258,'G-2 Habitat groups'!A61,'D-1 Off-Site Habitat Baseline'!$AS$11:$AS$258)</f>
        <v>0</v>
      </c>
      <c r="W61" s="1056">
        <f>SUMIF('D-2 Off-Site Habitat Creation'!$F$9:$F$255,'G-2 Habitat groups'!A61,'D-2 Off-Site Habitat Creation'!$G$9:$G$255)</f>
        <v>0</v>
      </c>
      <c r="X61" s="1056">
        <f>SUMIF('D-2 Off-Site Habitat Creation'!$F$9:$F$255,'G-2 Habitat groups'!A61,'D-2 Off-Site Habitat Creation'!$AB$9:$AB$255)</f>
        <v>0</v>
      </c>
      <c r="Y61" s="1056">
        <f>SUMIF('D-3 Off-Site Habitat Enhancment'!$S$12:$S$491,'G-2 Habitat groups'!A61,'D-3 Off-Site Habitat Enhancment'!$V$12:$V$491)</f>
        <v>0</v>
      </c>
      <c r="Z61" s="1056">
        <f>SUMIF('D-3 Off-Site Habitat Enhancment'!$S$12:$S$491,'G-2 Habitat groups'!A61,'D-3 Off-Site Habitat Enhancment'!$AQ$12:$AQ$491)</f>
        <v>0</v>
      </c>
      <c r="AA61" s="1056">
        <f t="shared" si="48"/>
        <v>0</v>
      </c>
      <c r="AB61" s="1056">
        <f t="shared" si="49"/>
        <v>0</v>
      </c>
      <c r="AC61" s="1056">
        <f t="shared" si="50"/>
        <v>0</v>
      </c>
      <c r="AD61" s="1056">
        <f t="shared" si="51"/>
        <v>0</v>
      </c>
      <c r="AE61" s="1056">
        <f t="shared" si="52"/>
        <v>0.201</v>
      </c>
      <c r="AF61" s="1056">
        <f t="shared" si="53"/>
        <v>0</v>
      </c>
      <c r="AU61" s="73" t="s">
        <v>546</v>
      </c>
      <c r="AV61" s="62" t="s">
        <v>116</v>
      </c>
      <c r="AW61" s="274">
        <f t="shared" si="34"/>
        <v>0</v>
      </c>
      <c r="AX61" s="274">
        <f t="shared" si="35"/>
        <v>0</v>
      </c>
      <c r="AY61" s="274">
        <f t="shared" si="36"/>
        <v>0</v>
      </c>
      <c r="AZ61" s="274">
        <f t="shared" si="37"/>
        <v>0</v>
      </c>
      <c r="BA61" s="274">
        <f t="shared" si="38"/>
        <v>0</v>
      </c>
      <c r="BB61" s="274">
        <f t="shared" si="39"/>
        <v>0</v>
      </c>
      <c r="BC61" s="274">
        <f t="shared" si="40"/>
        <v>0</v>
      </c>
      <c r="BD61" s="274">
        <f t="shared" si="41"/>
        <v>0</v>
      </c>
      <c r="BE61" s="274">
        <f t="shared" si="42"/>
        <v>0</v>
      </c>
      <c r="BF61" s="274" t="str">
        <f t="shared" si="43"/>
        <v/>
      </c>
    </row>
    <row r="62" spans="1:58" ht="14">
      <c r="A62" s="72" t="str">
        <f>'G-1 All Habitats'!B61</f>
        <v>Urban - Bioswale</v>
      </c>
      <c r="B62" s="72" t="s">
        <v>110</v>
      </c>
      <c r="C62" s="72" t="str">
        <f>'G-1 All Habitats'!K61</f>
        <v>Low</v>
      </c>
      <c r="D62" s="72" t="str">
        <f>'G-1 All Habitats'!M61</f>
        <v>Same distinctiveness or better habitat required ≥</v>
      </c>
      <c r="E62" s="1056">
        <f>SUMIF('A-1 On-Site Habitat Baseline'!$AV$11:$AV$258,'G-2 Habitat groups'!A62,'A-1 On-Site Habitat Baseline'!$H$11:$H$258)</f>
        <v>0</v>
      </c>
      <c r="F62" s="1056">
        <f>SUMIF('A-1 On-Site Habitat Baseline'!$AV$11:$AV$258,'G-2 Habitat groups'!A62,'A-1 On-Site Habitat Baseline'!$Q$11:$Q$258)</f>
        <v>0</v>
      </c>
      <c r="G62" s="1056">
        <f>SUMIF('A-1 On-Site Habitat Baseline'!$AV$11:$AV$258,'G-2 Habitat groups'!A62,'A-1 On-Site Habitat Baseline'!$S$11:$S$258)</f>
        <v>0</v>
      </c>
      <c r="H62" s="1056">
        <f>SUMIF('A-1 On-Site Habitat Baseline'!$AV$11:$AV$258,'G-2 Habitat groups'!A62,'A-1 On-Site Habitat Baseline'!$U$11:$U$258)+SUMIF('A-1 On-Site Habitat Baseline'!$AV$11:$AV$258,'G-2 Habitat groups'!A62,'A-1 On-Site Habitat Baseline'!$AT$11:$AT$258)</f>
        <v>0</v>
      </c>
      <c r="I62" s="1056">
        <f>SUMIF('A-1 On-Site Habitat Baseline'!$AV$11:$AV$258,'G-2 Habitat groups'!A62,'A-1 On-Site Habitat Baseline'!$W$11:$W$258)</f>
        <v>0</v>
      </c>
      <c r="J62" s="1056">
        <f>SUMIF('A-1 On-Site Habitat Baseline'!$AV$11:$AV$258,'G-2 Habitat groups'!A62,'A-1 On-Site Habitat Baseline'!$X$11:$X$258)</f>
        <v>0</v>
      </c>
      <c r="K62" s="1056">
        <f>SUMIF('A-2 On-Site Habitat Creation'!$F$11:$F$256,'G-2 Habitat groups'!A62,'A-2 On-Site Habitat Creation'!$G$11:$G$256)</f>
        <v>0</v>
      </c>
      <c r="L62" s="1056">
        <f>SUMIF('A-2 On-Site Habitat Creation'!$F$11:$F$256,'G-2 Habitat groups'!A62,'A-2 On-Site Habitat Creation'!$Y$11:$Y$256)</f>
        <v>0</v>
      </c>
      <c r="M62" s="1056">
        <f>SUMIF('A-3 On-Site Habitat Enhancement'!$S$12:$S$257,'G-2 Habitat groups'!A62,'A-3 On-Site Habitat Enhancement'!$V$12:$V$257)</f>
        <v>0</v>
      </c>
      <c r="N62" s="1056">
        <f>SUMIF('A-3 On-Site Habitat Enhancement'!$S$12:$S$257,'G-2 Habitat groups'!A62,'A-3 On-Site Habitat Enhancement'!$AN$12:$AN$257)</f>
        <v>0</v>
      </c>
      <c r="O62" s="1056">
        <f t="shared" si="44"/>
        <v>0</v>
      </c>
      <c r="P62" s="1056">
        <f t="shared" si="45"/>
        <v>0</v>
      </c>
      <c r="Q62" s="1056">
        <f t="shared" si="46"/>
        <v>0</v>
      </c>
      <c r="R62" s="1056">
        <f t="shared" si="47"/>
        <v>0</v>
      </c>
      <c r="S62" s="1056">
        <f>SUMIF('D-1 Off-Site Habitat Baseline'!$AV$11:$AV$258,'G-2 Habitat groups'!A62,'D-1 Off-Site Habitat Baseline'!$H$11:$H$258)</f>
        <v>0</v>
      </c>
      <c r="T62" s="1056">
        <f>SUMIF('D-1 Off-Site Habitat Baseline'!$AV$11:$AV$258,'G-2 Habitat groups'!A62,'D-1 Off-Site Habitat Baseline'!$T$11:$T$258)</f>
        <v>0</v>
      </c>
      <c r="U62" s="1056">
        <f>SUMIF('D-1 Off-Site Habitat Baseline'!$AV$11:$AV$258,'G-2 Habitat groups'!A62,'D-1 Off-Site Habitat Baseline'!$V$11:$V$258)</f>
        <v>0</v>
      </c>
      <c r="V62" s="1056">
        <f>SUMIF('D-1 Off-Site Habitat Baseline'!$AV$11:$AV$258,'G-2 Habitat groups'!A62,'D-1 Off-Site Habitat Baseline'!$X$11:$X$258)+SUMIF('D-1 Off-Site Habitat Baseline'!$AV$11:$AV$258,'G-2 Habitat groups'!A62,'D-1 Off-Site Habitat Baseline'!$AS$11:$AS$258)</f>
        <v>0</v>
      </c>
      <c r="W62" s="1056">
        <f>SUMIF('D-2 Off-Site Habitat Creation'!$F$9:$F$255,'G-2 Habitat groups'!A62,'D-2 Off-Site Habitat Creation'!$G$9:$G$255)</f>
        <v>0</v>
      </c>
      <c r="X62" s="1056">
        <f>SUMIF('D-2 Off-Site Habitat Creation'!$F$9:$F$255,'G-2 Habitat groups'!A62,'D-2 Off-Site Habitat Creation'!$AB$9:$AB$255)</f>
        <v>0</v>
      </c>
      <c r="Y62" s="1056">
        <f>SUMIF('D-3 Off-Site Habitat Enhancment'!$S$12:$S$491,'G-2 Habitat groups'!A62,'D-3 Off-Site Habitat Enhancment'!$V$12:$V$491)</f>
        <v>0</v>
      </c>
      <c r="Z62" s="1056">
        <f>SUMIF('D-3 Off-Site Habitat Enhancment'!$S$12:$S$491,'G-2 Habitat groups'!A62,'D-3 Off-Site Habitat Enhancment'!$AQ$12:$AQ$491)</f>
        <v>0</v>
      </c>
      <c r="AA62" s="1056">
        <f t="shared" si="48"/>
        <v>0</v>
      </c>
      <c r="AB62" s="1056">
        <f t="shared" si="49"/>
        <v>0</v>
      </c>
      <c r="AC62" s="1056">
        <f t="shared" si="50"/>
        <v>0</v>
      </c>
      <c r="AD62" s="1056">
        <f t="shared" si="51"/>
        <v>0</v>
      </c>
      <c r="AE62" s="1056">
        <f t="shared" si="52"/>
        <v>0</v>
      </c>
      <c r="AF62" s="1056">
        <f t="shared" si="53"/>
        <v>0</v>
      </c>
      <c r="AU62" s="62" t="s">
        <v>547</v>
      </c>
      <c r="AV62" s="62" t="s">
        <v>548</v>
      </c>
      <c r="AW62" s="274">
        <f t="shared" si="34"/>
        <v>0</v>
      </c>
      <c r="AX62" s="274">
        <f t="shared" si="35"/>
        <v>0</v>
      </c>
      <c r="AY62" s="274">
        <f t="shared" si="36"/>
        <v>0</v>
      </c>
      <c r="AZ62" s="274">
        <f t="shared" si="37"/>
        <v>0</v>
      </c>
      <c r="BA62" s="274">
        <f t="shared" si="38"/>
        <v>0</v>
      </c>
      <c r="BB62" s="274">
        <f t="shared" si="39"/>
        <v>0</v>
      </c>
      <c r="BC62" s="274">
        <f t="shared" si="40"/>
        <v>0</v>
      </c>
      <c r="BD62" s="274">
        <f t="shared" si="41"/>
        <v>0</v>
      </c>
      <c r="BE62" s="274">
        <f t="shared" si="42"/>
        <v>0</v>
      </c>
      <c r="BF62" s="274" t="str">
        <f t="shared" si="43"/>
        <v/>
      </c>
    </row>
    <row r="63" spans="1:58" ht="14">
      <c r="A63" s="72" t="str">
        <f>'G-1 All Habitats'!B62</f>
        <v>Urban - Intensive green roof</v>
      </c>
      <c r="B63" s="72" t="s">
        <v>110</v>
      </c>
      <c r="C63" s="72" t="str">
        <f>'G-1 All Habitats'!K62</f>
        <v>Low</v>
      </c>
      <c r="D63" s="72" t="str">
        <f>'G-1 All Habitats'!M62</f>
        <v>Same distinctiveness or better habitat required ≥</v>
      </c>
      <c r="E63" s="1056">
        <f>SUMIF('A-1 On-Site Habitat Baseline'!$AV$11:$AV$258,'G-2 Habitat groups'!A63,'A-1 On-Site Habitat Baseline'!$H$11:$H$258)</f>
        <v>0</v>
      </c>
      <c r="F63" s="1056">
        <f>SUMIF('A-1 On-Site Habitat Baseline'!$AV$11:$AV$258,'G-2 Habitat groups'!A63,'A-1 On-Site Habitat Baseline'!$Q$11:$Q$258)</f>
        <v>0</v>
      </c>
      <c r="G63" s="1056">
        <f>SUMIF('A-1 On-Site Habitat Baseline'!$AV$11:$AV$258,'G-2 Habitat groups'!A63,'A-1 On-Site Habitat Baseline'!$S$11:$S$258)</f>
        <v>0</v>
      </c>
      <c r="H63" s="1056">
        <f>SUMIF('A-1 On-Site Habitat Baseline'!$AV$11:$AV$258,'G-2 Habitat groups'!A63,'A-1 On-Site Habitat Baseline'!$U$11:$U$258)+SUMIF('A-1 On-Site Habitat Baseline'!$AV$11:$AV$258,'G-2 Habitat groups'!A63,'A-1 On-Site Habitat Baseline'!$AT$11:$AT$258)</f>
        <v>0</v>
      </c>
      <c r="I63" s="1056">
        <f>SUMIF('A-1 On-Site Habitat Baseline'!$AV$11:$AV$258,'G-2 Habitat groups'!A63,'A-1 On-Site Habitat Baseline'!$W$11:$W$258)</f>
        <v>0</v>
      </c>
      <c r="J63" s="1056">
        <f>SUMIF('A-1 On-Site Habitat Baseline'!$AV$11:$AV$258,'G-2 Habitat groups'!A63,'A-1 On-Site Habitat Baseline'!$X$11:$X$258)</f>
        <v>0</v>
      </c>
      <c r="K63" s="1056">
        <f>SUMIF('A-2 On-Site Habitat Creation'!$F$11:$F$256,'G-2 Habitat groups'!A63,'A-2 On-Site Habitat Creation'!$G$11:$G$256)</f>
        <v>0</v>
      </c>
      <c r="L63" s="1056">
        <f>SUMIF('A-2 On-Site Habitat Creation'!$F$11:$F$256,'G-2 Habitat groups'!A63,'A-2 On-Site Habitat Creation'!$Y$11:$Y$256)</f>
        <v>0</v>
      </c>
      <c r="M63" s="1056">
        <f>SUMIF('A-3 On-Site Habitat Enhancement'!$S$12:$S$257,'G-2 Habitat groups'!A63,'A-3 On-Site Habitat Enhancement'!$V$12:$V$257)</f>
        <v>0</v>
      </c>
      <c r="N63" s="1056">
        <f>SUMIF('A-3 On-Site Habitat Enhancement'!$S$12:$S$257,'G-2 Habitat groups'!A63,'A-3 On-Site Habitat Enhancement'!$AN$12:$AN$257)</f>
        <v>0</v>
      </c>
      <c r="O63" s="1056">
        <f t="shared" si="44"/>
        <v>0</v>
      </c>
      <c r="P63" s="1056">
        <f t="shared" si="45"/>
        <v>0</v>
      </c>
      <c r="Q63" s="1056">
        <f t="shared" si="46"/>
        <v>0</v>
      </c>
      <c r="R63" s="1056">
        <f t="shared" si="47"/>
        <v>0</v>
      </c>
      <c r="S63" s="1056">
        <f>SUMIF('D-1 Off-Site Habitat Baseline'!$AV$11:$AV$258,'G-2 Habitat groups'!A63,'D-1 Off-Site Habitat Baseline'!$H$11:$H$258)</f>
        <v>0</v>
      </c>
      <c r="T63" s="1056">
        <f>SUMIF('D-1 Off-Site Habitat Baseline'!$AV$11:$AV$258,'G-2 Habitat groups'!A63,'D-1 Off-Site Habitat Baseline'!$T$11:$T$258)</f>
        <v>0</v>
      </c>
      <c r="U63" s="1056">
        <f>SUMIF('D-1 Off-Site Habitat Baseline'!$AV$11:$AV$258,'G-2 Habitat groups'!A63,'D-1 Off-Site Habitat Baseline'!$V$11:$V$258)</f>
        <v>0</v>
      </c>
      <c r="V63" s="1056">
        <f>SUMIF('D-1 Off-Site Habitat Baseline'!$AV$11:$AV$258,'G-2 Habitat groups'!A63,'D-1 Off-Site Habitat Baseline'!$X$11:$X$258)+SUMIF('D-1 Off-Site Habitat Baseline'!$AV$11:$AV$258,'G-2 Habitat groups'!A63,'D-1 Off-Site Habitat Baseline'!$AS$11:$AS$258)</f>
        <v>0</v>
      </c>
      <c r="W63" s="1056">
        <f>SUMIF('D-2 Off-Site Habitat Creation'!$F$9:$F$255,'G-2 Habitat groups'!A63,'D-2 Off-Site Habitat Creation'!$G$9:$G$255)</f>
        <v>0</v>
      </c>
      <c r="X63" s="1056">
        <f>SUMIF('D-2 Off-Site Habitat Creation'!$F$9:$F$255,'G-2 Habitat groups'!A63,'D-2 Off-Site Habitat Creation'!$AB$9:$AB$255)</f>
        <v>0</v>
      </c>
      <c r="Y63" s="1056">
        <f>SUMIF('D-3 Off-Site Habitat Enhancment'!$S$12:$S$491,'G-2 Habitat groups'!A63,'D-3 Off-Site Habitat Enhancment'!$V$12:$V$491)</f>
        <v>0</v>
      </c>
      <c r="Z63" s="1056">
        <f>SUMIF('D-3 Off-Site Habitat Enhancment'!$S$12:$S$491,'G-2 Habitat groups'!A63,'D-3 Off-Site Habitat Enhancment'!$AQ$12:$AQ$491)</f>
        <v>0</v>
      </c>
      <c r="AA63" s="1056">
        <f t="shared" si="48"/>
        <v>0</v>
      </c>
      <c r="AB63" s="1056">
        <f t="shared" si="49"/>
        <v>0</v>
      </c>
      <c r="AC63" s="1056">
        <f t="shared" si="50"/>
        <v>0</v>
      </c>
      <c r="AD63" s="1056">
        <f t="shared" si="51"/>
        <v>0</v>
      </c>
      <c r="AE63" s="1056">
        <f t="shared" si="52"/>
        <v>0</v>
      </c>
      <c r="AF63" s="1056">
        <f t="shared" si="53"/>
        <v>0</v>
      </c>
      <c r="AU63" s="62" t="s">
        <v>549</v>
      </c>
      <c r="AV63" s="62" t="s">
        <v>548</v>
      </c>
      <c r="AW63" s="274">
        <f t="shared" si="34"/>
        <v>0</v>
      </c>
      <c r="AX63" s="274">
        <f t="shared" si="35"/>
        <v>0</v>
      </c>
      <c r="AY63" s="274">
        <f t="shared" si="36"/>
        <v>0</v>
      </c>
      <c r="AZ63" s="274">
        <f t="shared" si="37"/>
        <v>0</v>
      </c>
      <c r="BA63" s="274">
        <f t="shared" si="38"/>
        <v>0</v>
      </c>
      <c r="BB63" s="274">
        <f t="shared" si="39"/>
        <v>0</v>
      </c>
      <c r="BC63" s="274">
        <f t="shared" si="40"/>
        <v>0</v>
      </c>
      <c r="BD63" s="274">
        <f t="shared" si="41"/>
        <v>0</v>
      </c>
      <c r="BE63" s="274">
        <f t="shared" si="42"/>
        <v>0</v>
      </c>
      <c r="BF63" s="274" t="str">
        <f t="shared" si="43"/>
        <v/>
      </c>
    </row>
    <row r="64" spans="1:58" ht="14">
      <c r="A64" s="72" t="str">
        <f>'G-1 All Habitats'!B63</f>
        <v>Urban - Built linear features</v>
      </c>
      <c r="B64" s="72" t="s">
        <v>110</v>
      </c>
      <c r="C64" s="72" t="str">
        <f>'G-1 All Habitats'!K63</f>
        <v>V.Low</v>
      </c>
      <c r="D64" s="72" t="str">
        <f>'G-1 All Habitats'!M63</f>
        <v>Compensation Not Required</v>
      </c>
      <c r="E64" s="1056">
        <f>SUMIF('A-1 On-Site Habitat Baseline'!$AV$11:$AV$258,'G-2 Habitat groups'!A64,'A-1 On-Site Habitat Baseline'!$H$11:$H$258)</f>
        <v>0</v>
      </c>
      <c r="F64" s="1056">
        <f>SUMIF('A-1 On-Site Habitat Baseline'!$AV$11:$AV$258,'G-2 Habitat groups'!A64,'A-1 On-Site Habitat Baseline'!$Q$11:$Q$258)</f>
        <v>0</v>
      </c>
      <c r="G64" s="1056">
        <f>SUMIF('A-1 On-Site Habitat Baseline'!$AV$11:$AV$258,'G-2 Habitat groups'!A64,'A-1 On-Site Habitat Baseline'!$S$11:$S$258)</f>
        <v>0</v>
      </c>
      <c r="H64" s="1056">
        <f>SUMIF('A-1 On-Site Habitat Baseline'!$AV$11:$AV$258,'G-2 Habitat groups'!A64,'A-1 On-Site Habitat Baseline'!$U$11:$U$258)+SUMIF('A-1 On-Site Habitat Baseline'!$AV$11:$AV$258,'G-2 Habitat groups'!A64,'A-1 On-Site Habitat Baseline'!$AT$11:$AT$258)</f>
        <v>0</v>
      </c>
      <c r="I64" s="1056">
        <f>SUMIF('A-1 On-Site Habitat Baseline'!$AV$11:$AV$258,'G-2 Habitat groups'!A64,'A-1 On-Site Habitat Baseline'!$W$11:$W$258)</f>
        <v>0</v>
      </c>
      <c r="J64" s="1056">
        <f>SUMIF('A-1 On-Site Habitat Baseline'!$AV$11:$AV$258,'G-2 Habitat groups'!A64,'A-1 On-Site Habitat Baseline'!$X$11:$X$258)</f>
        <v>0</v>
      </c>
      <c r="K64" s="1056">
        <f>SUMIF('A-2 On-Site Habitat Creation'!$F$11:$F$256,'G-2 Habitat groups'!A64,'A-2 On-Site Habitat Creation'!$G$11:$G$256)</f>
        <v>0</v>
      </c>
      <c r="L64" s="1056">
        <f>SUMIF('A-2 On-Site Habitat Creation'!$F$11:$F$256,'G-2 Habitat groups'!A64,'A-2 On-Site Habitat Creation'!$Y$11:$Y$256)</f>
        <v>0</v>
      </c>
      <c r="M64" s="1056">
        <f>SUMIF('A-3 On-Site Habitat Enhancement'!$S$12:$S$257,'G-2 Habitat groups'!A64,'A-3 On-Site Habitat Enhancement'!$V$12:$V$257)</f>
        <v>0</v>
      </c>
      <c r="N64" s="1056">
        <f>SUMIF('A-3 On-Site Habitat Enhancement'!$S$12:$S$257,'G-2 Habitat groups'!A64,'A-3 On-Site Habitat Enhancement'!$AN$12:$AN$257)</f>
        <v>0</v>
      </c>
      <c r="O64" s="1056">
        <f t="shared" si="44"/>
        <v>0</v>
      </c>
      <c r="P64" s="1056">
        <f t="shared" si="45"/>
        <v>0</v>
      </c>
      <c r="Q64" s="1056">
        <f t="shared" si="46"/>
        <v>0</v>
      </c>
      <c r="R64" s="1056">
        <f t="shared" si="47"/>
        <v>0</v>
      </c>
      <c r="S64" s="1056">
        <f>SUMIF('D-1 Off-Site Habitat Baseline'!$AV$11:$AV$258,'G-2 Habitat groups'!A64,'D-1 Off-Site Habitat Baseline'!$H$11:$H$258)</f>
        <v>0</v>
      </c>
      <c r="T64" s="1056">
        <f>SUMIF('D-1 Off-Site Habitat Baseline'!$AV$11:$AV$258,'G-2 Habitat groups'!A64,'D-1 Off-Site Habitat Baseline'!$T$11:$T$258)</f>
        <v>0</v>
      </c>
      <c r="U64" s="1056">
        <f>SUMIF('D-1 Off-Site Habitat Baseline'!$AV$11:$AV$258,'G-2 Habitat groups'!A64,'D-1 Off-Site Habitat Baseline'!$V$11:$V$258)</f>
        <v>0</v>
      </c>
      <c r="V64" s="1056">
        <f>SUMIF('D-1 Off-Site Habitat Baseline'!$AV$11:$AV$258,'G-2 Habitat groups'!A64,'D-1 Off-Site Habitat Baseline'!$X$11:$X$258)+SUMIF('D-1 Off-Site Habitat Baseline'!$AV$11:$AV$258,'G-2 Habitat groups'!A64,'D-1 Off-Site Habitat Baseline'!$AS$11:$AS$258)</f>
        <v>0</v>
      </c>
      <c r="W64" s="1056">
        <f>SUMIF('D-2 Off-Site Habitat Creation'!$F$9:$F$255,'G-2 Habitat groups'!A64,'D-2 Off-Site Habitat Creation'!$G$9:$G$255)</f>
        <v>0</v>
      </c>
      <c r="X64" s="1056">
        <f>SUMIF('D-2 Off-Site Habitat Creation'!$F$9:$F$255,'G-2 Habitat groups'!A64,'D-2 Off-Site Habitat Creation'!$AB$9:$AB$255)</f>
        <v>0</v>
      </c>
      <c r="Y64" s="1056">
        <f>SUMIF('D-3 Off-Site Habitat Enhancment'!$S$12:$S$491,'G-2 Habitat groups'!A64,'D-3 Off-Site Habitat Enhancment'!$V$12:$V$491)</f>
        <v>0</v>
      </c>
      <c r="Z64" s="1056">
        <f>SUMIF('D-3 Off-Site Habitat Enhancment'!$S$12:$S$491,'G-2 Habitat groups'!A64,'D-3 Off-Site Habitat Enhancment'!$AQ$12:$AQ$491)</f>
        <v>0</v>
      </c>
      <c r="AA64" s="1056">
        <f t="shared" si="48"/>
        <v>0</v>
      </c>
      <c r="AB64" s="1056">
        <f t="shared" si="49"/>
        <v>0</v>
      </c>
      <c r="AC64" s="1056">
        <f t="shared" si="50"/>
        <v>0</v>
      </c>
      <c r="AD64" s="1056">
        <f t="shared" si="51"/>
        <v>0</v>
      </c>
      <c r="AE64" s="1056">
        <f t="shared" si="52"/>
        <v>0</v>
      </c>
      <c r="AF64" s="1056">
        <f t="shared" si="53"/>
        <v>0</v>
      </c>
      <c r="AU64" s="62" t="s">
        <v>550</v>
      </c>
      <c r="AV64" s="62" t="s">
        <v>548</v>
      </c>
      <c r="AW64" s="274">
        <f t="shared" si="34"/>
        <v>0</v>
      </c>
      <c r="AX64" s="274">
        <f t="shared" si="35"/>
        <v>0</v>
      </c>
      <c r="AY64" s="274">
        <f t="shared" si="36"/>
        <v>0</v>
      </c>
      <c r="AZ64" s="274">
        <f t="shared" si="37"/>
        <v>0</v>
      </c>
      <c r="BA64" s="274">
        <f t="shared" si="38"/>
        <v>0</v>
      </c>
      <c r="BB64" s="274">
        <f t="shared" si="39"/>
        <v>0</v>
      </c>
      <c r="BC64" s="274">
        <f t="shared" si="40"/>
        <v>0</v>
      </c>
      <c r="BD64" s="274">
        <f t="shared" si="41"/>
        <v>0</v>
      </c>
      <c r="BE64" s="274">
        <f t="shared" si="42"/>
        <v>0</v>
      </c>
      <c r="BF64" s="274" t="str">
        <f t="shared" si="43"/>
        <v/>
      </c>
    </row>
    <row r="65" spans="1:58" ht="14">
      <c r="A65" s="72" t="str">
        <f>'G-1 All Habitats'!B64</f>
        <v>Urban - Cemeteries and churchyards</v>
      </c>
      <c r="B65" s="72" t="s">
        <v>110</v>
      </c>
      <c r="C65" s="72" t="str">
        <f>'G-1 All Habitats'!K64</f>
        <v>Medium</v>
      </c>
      <c r="D65" s="72" t="str">
        <f>'G-1 All Habitats'!M64</f>
        <v>Same broad habitat or a higher distinctiveness habitat required (≥)</v>
      </c>
      <c r="E65" s="1056">
        <f>SUMIF('A-1 On-Site Habitat Baseline'!$AV$11:$AV$258,'G-2 Habitat groups'!A65,'A-1 On-Site Habitat Baseline'!$H$11:$H$258)</f>
        <v>0</v>
      </c>
      <c r="F65" s="1056">
        <f>SUMIF('A-1 On-Site Habitat Baseline'!$AV$11:$AV$258,'G-2 Habitat groups'!A65,'A-1 On-Site Habitat Baseline'!$Q$11:$Q$258)</f>
        <v>0</v>
      </c>
      <c r="G65" s="1056">
        <f>SUMIF('A-1 On-Site Habitat Baseline'!$AV$11:$AV$258,'G-2 Habitat groups'!A65,'A-1 On-Site Habitat Baseline'!$S$11:$S$258)</f>
        <v>0</v>
      </c>
      <c r="H65" s="1056">
        <f>SUMIF('A-1 On-Site Habitat Baseline'!$AV$11:$AV$258,'G-2 Habitat groups'!A65,'A-1 On-Site Habitat Baseline'!$U$11:$U$258)+SUMIF('A-1 On-Site Habitat Baseline'!$AV$11:$AV$258,'G-2 Habitat groups'!A65,'A-1 On-Site Habitat Baseline'!$AT$11:$AT$258)</f>
        <v>0</v>
      </c>
      <c r="I65" s="1056">
        <f>SUMIF('A-1 On-Site Habitat Baseline'!$AV$11:$AV$258,'G-2 Habitat groups'!A65,'A-1 On-Site Habitat Baseline'!$W$11:$W$258)</f>
        <v>0</v>
      </c>
      <c r="J65" s="1056">
        <f>SUMIF('A-1 On-Site Habitat Baseline'!$AV$11:$AV$258,'G-2 Habitat groups'!A65,'A-1 On-Site Habitat Baseline'!$X$11:$X$258)</f>
        <v>0</v>
      </c>
      <c r="K65" s="1056">
        <f>SUMIF('A-2 On-Site Habitat Creation'!$F$11:$F$256,'G-2 Habitat groups'!A65,'A-2 On-Site Habitat Creation'!$G$11:$G$256)</f>
        <v>0</v>
      </c>
      <c r="L65" s="1056">
        <f>SUMIF('A-2 On-Site Habitat Creation'!$F$11:$F$256,'G-2 Habitat groups'!A65,'A-2 On-Site Habitat Creation'!$Y$11:$Y$256)</f>
        <v>0</v>
      </c>
      <c r="M65" s="1056">
        <f>SUMIF('A-3 On-Site Habitat Enhancement'!$S$12:$S$257,'G-2 Habitat groups'!A65,'A-3 On-Site Habitat Enhancement'!$V$12:$V$257)</f>
        <v>0</v>
      </c>
      <c r="N65" s="1056">
        <f>SUMIF('A-3 On-Site Habitat Enhancement'!$S$12:$S$257,'G-2 Habitat groups'!A65,'A-3 On-Site Habitat Enhancement'!$AN$12:$AN$257)</f>
        <v>0</v>
      </c>
      <c r="O65" s="1056">
        <f t="shared" si="44"/>
        <v>0</v>
      </c>
      <c r="P65" s="1056">
        <f t="shared" si="45"/>
        <v>0</v>
      </c>
      <c r="Q65" s="1056">
        <f t="shared" si="46"/>
        <v>0</v>
      </c>
      <c r="R65" s="1056">
        <f t="shared" si="47"/>
        <v>0</v>
      </c>
      <c r="S65" s="1056">
        <f>SUMIF('D-1 Off-Site Habitat Baseline'!$AV$11:$AV$258,'G-2 Habitat groups'!A65,'D-1 Off-Site Habitat Baseline'!$H$11:$H$258)</f>
        <v>0</v>
      </c>
      <c r="T65" s="1056">
        <f>SUMIF('D-1 Off-Site Habitat Baseline'!$AV$11:$AV$258,'G-2 Habitat groups'!A65,'D-1 Off-Site Habitat Baseline'!$T$11:$T$258)</f>
        <v>0</v>
      </c>
      <c r="U65" s="1056">
        <f>SUMIF('D-1 Off-Site Habitat Baseline'!$AV$11:$AV$258,'G-2 Habitat groups'!A65,'D-1 Off-Site Habitat Baseline'!$V$11:$V$258)</f>
        <v>0</v>
      </c>
      <c r="V65" s="1056">
        <f>SUMIF('D-1 Off-Site Habitat Baseline'!$AV$11:$AV$258,'G-2 Habitat groups'!A65,'D-1 Off-Site Habitat Baseline'!$X$11:$X$258)+SUMIF('D-1 Off-Site Habitat Baseline'!$AV$11:$AV$258,'G-2 Habitat groups'!A65,'D-1 Off-Site Habitat Baseline'!$AS$11:$AS$258)</f>
        <v>0</v>
      </c>
      <c r="W65" s="1056">
        <f>SUMIF('D-2 Off-Site Habitat Creation'!$F$9:$F$255,'G-2 Habitat groups'!A65,'D-2 Off-Site Habitat Creation'!$G$9:$G$255)</f>
        <v>0</v>
      </c>
      <c r="X65" s="1056">
        <f>SUMIF('D-2 Off-Site Habitat Creation'!$F$9:$F$255,'G-2 Habitat groups'!A65,'D-2 Off-Site Habitat Creation'!$AB$9:$AB$255)</f>
        <v>0</v>
      </c>
      <c r="Y65" s="1056">
        <f>SUMIF('D-3 Off-Site Habitat Enhancment'!$S$12:$S$491,'G-2 Habitat groups'!A65,'D-3 Off-Site Habitat Enhancment'!$V$12:$V$491)</f>
        <v>0</v>
      </c>
      <c r="Z65" s="1056">
        <f>SUMIF('D-3 Off-Site Habitat Enhancment'!$S$12:$S$491,'G-2 Habitat groups'!A65,'D-3 Off-Site Habitat Enhancment'!$AQ$12:$AQ$491)</f>
        <v>0</v>
      </c>
      <c r="AA65" s="1056">
        <f t="shared" si="48"/>
        <v>0</v>
      </c>
      <c r="AB65" s="1056">
        <f t="shared" si="49"/>
        <v>0</v>
      </c>
      <c r="AC65" s="1056">
        <f t="shared" si="50"/>
        <v>0</v>
      </c>
      <c r="AD65" s="1056">
        <f t="shared" si="51"/>
        <v>0</v>
      </c>
      <c r="AE65" s="1056">
        <f t="shared" si="52"/>
        <v>0</v>
      </c>
      <c r="AF65" s="1056">
        <f t="shared" si="53"/>
        <v>0</v>
      </c>
      <c r="AU65" s="62" t="s">
        <v>551</v>
      </c>
      <c r="AV65" s="62" t="s">
        <v>548</v>
      </c>
      <c r="AW65" s="274">
        <f t="shared" si="34"/>
        <v>0</v>
      </c>
      <c r="AX65" s="274">
        <f t="shared" si="35"/>
        <v>0</v>
      </c>
      <c r="AY65" s="274">
        <f t="shared" si="36"/>
        <v>0</v>
      </c>
      <c r="AZ65" s="274">
        <f t="shared" si="37"/>
        <v>0</v>
      </c>
      <c r="BA65" s="274">
        <f t="shared" si="38"/>
        <v>0</v>
      </c>
      <c r="BB65" s="274">
        <f t="shared" si="39"/>
        <v>0</v>
      </c>
      <c r="BC65" s="274">
        <f t="shared" si="40"/>
        <v>0</v>
      </c>
      <c r="BD65" s="274">
        <f t="shared" si="41"/>
        <v>0</v>
      </c>
      <c r="BE65" s="274">
        <f t="shared" si="42"/>
        <v>0</v>
      </c>
      <c r="BF65" s="274" t="str">
        <f t="shared" si="43"/>
        <v/>
      </c>
    </row>
    <row r="66" spans="1:58" ht="14">
      <c r="A66" s="72" t="str">
        <f>'G-1 All Habitats'!B65</f>
        <v>Urban - Developed land; sealed surface</v>
      </c>
      <c r="B66" s="72" t="s">
        <v>110</v>
      </c>
      <c r="C66" s="72" t="str">
        <f>'G-1 All Habitats'!K65</f>
        <v>V.Low</v>
      </c>
      <c r="D66" s="72" t="str">
        <f>'G-1 All Habitats'!M65</f>
        <v>Compensation Not Required</v>
      </c>
      <c r="E66" s="1056">
        <f>SUMIF('A-1 On-Site Habitat Baseline'!$AV$11:$AV$258,'G-2 Habitat groups'!A66,'A-1 On-Site Habitat Baseline'!$H$11:$H$258)</f>
        <v>0.005</v>
      </c>
      <c r="F66" s="1056">
        <f>SUMIF('A-1 On-Site Habitat Baseline'!$AV$11:$AV$258,'G-2 Habitat groups'!A66,'A-1 On-Site Habitat Baseline'!$Q$11:$Q$258)</f>
        <v>0</v>
      </c>
      <c r="G66" s="1056">
        <f>SUMIF('A-1 On-Site Habitat Baseline'!$AV$11:$AV$258,'G-2 Habitat groups'!A66,'A-1 On-Site Habitat Baseline'!$S$11:$S$258)</f>
        <v>0.005</v>
      </c>
      <c r="H66" s="1056">
        <f>SUMIF('A-1 On-Site Habitat Baseline'!$AV$11:$AV$258,'G-2 Habitat groups'!A66,'A-1 On-Site Habitat Baseline'!$U$11:$U$258)+SUMIF('A-1 On-Site Habitat Baseline'!$AV$11:$AV$258,'G-2 Habitat groups'!A66,'A-1 On-Site Habitat Baseline'!$AT$11:$AT$258)</f>
        <v>0</v>
      </c>
      <c r="I66" s="1056">
        <f>SUMIF('A-1 On-Site Habitat Baseline'!$AV$11:$AV$258,'G-2 Habitat groups'!A66,'A-1 On-Site Habitat Baseline'!$W$11:$W$258)</f>
        <v>0</v>
      </c>
      <c r="J66" s="1056">
        <f>SUMIF('A-1 On-Site Habitat Baseline'!$AV$11:$AV$258,'G-2 Habitat groups'!A66,'A-1 On-Site Habitat Baseline'!$X$11:$X$258)</f>
        <v>0</v>
      </c>
      <c r="K66" s="1056">
        <f>SUMIF('A-2 On-Site Habitat Creation'!$F$11:$F$256,'G-2 Habitat groups'!A66,'A-2 On-Site Habitat Creation'!$G$11:$G$256)</f>
        <v>3.043</v>
      </c>
      <c r="L66" s="1056">
        <f>SUMIF('A-2 On-Site Habitat Creation'!$F$11:$F$256,'G-2 Habitat groups'!A66,'A-2 On-Site Habitat Creation'!$Y$11:$Y$256)</f>
        <v>0</v>
      </c>
      <c r="M66" s="1056">
        <f>SUMIF('A-3 On-Site Habitat Enhancement'!$S$12:$S$257,'G-2 Habitat groups'!A66,'A-3 On-Site Habitat Enhancement'!$V$12:$V$257)</f>
        <v>0</v>
      </c>
      <c r="N66" s="1056">
        <f>SUMIF('A-3 On-Site Habitat Enhancement'!$S$12:$S$257,'G-2 Habitat groups'!A66,'A-3 On-Site Habitat Enhancement'!$AN$12:$AN$257)</f>
        <v>0</v>
      </c>
      <c r="O66" s="1056">
        <f t="shared" si="44"/>
        <v>3.048</v>
      </c>
      <c r="P66" s="1056">
        <f t="shared" si="45"/>
        <v>0</v>
      </c>
      <c r="Q66" s="1056">
        <f t="shared" si="46"/>
        <v>3.043</v>
      </c>
      <c r="R66" s="1056">
        <f t="shared" si="47"/>
        <v>0</v>
      </c>
      <c r="S66" s="1056">
        <f>SUMIF('D-1 Off-Site Habitat Baseline'!$AV$11:$AV$258,'G-2 Habitat groups'!A66,'D-1 Off-Site Habitat Baseline'!$H$11:$H$258)</f>
        <v>0</v>
      </c>
      <c r="T66" s="1056">
        <f>SUMIF('D-1 Off-Site Habitat Baseline'!$AV$11:$AV$258,'G-2 Habitat groups'!A66,'D-1 Off-Site Habitat Baseline'!$T$11:$T$258)</f>
        <v>0</v>
      </c>
      <c r="U66" s="1056">
        <f>SUMIF('D-1 Off-Site Habitat Baseline'!$AV$11:$AV$258,'G-2 Habitat groups'!A66,'D-1 Off-Site Habitat Baseline'!$V$11:$V$258)</f>
        <v>0</v>
      </c>
      <c r="V66" s="1056">
        <f>SUMIF('D-1 Off-Site Habitat Baseline'!$AV$11:$AV$258,'G-2 Habitat groups'!A66,'D-1 Off-Site Habitat Baseline'!$X$11:$X$258)+SUMIF('D-1 Off-Site Habitat Baseline'!$AV$11:$AV$258,'G-2 Habitat groups'!A66,'D-1 Off-Site Habitat Baseline'!$AS$11:$AS$258)</f>
        <v>0</v>
      </c>
      <c r="W66" s="1056">
        <f>SUMIF('D-2 Off-Site Habitat Creation'!$F$9:$F$255,'G-2 Habitat groups'!A66,'D-2 Off-Site Habitat Creation'!$G$9:$G$255)</f>
        <v>0</v>
      </c>
      <c r="X66" s="1056">
        <f>SUMIF('D-2 Off-Site Habitat Creation'!$F$9:$F$255,'G-2 Habitat groups'!A66,'D-2 Off-Site Habitat Creation'!$AB$9:$AB$255)</f>
        <v>0</v>
      </c>
      <c r="Y66" s="1056">
        <f>SUMIF('D-3 Off-Site Habitat Enhancment'!$S$12:$S$491,'G-2 Habitat groups'!A66,'D-3 Off-Site Habitat Enhancment'!$V$12:$V$491)</f>
        <v>0</v>
      </c>
      <c r="Z66" s="1056">
        <f>SUMIF('D-3 Off-Site Habitat Enhancment'!$S$12:$S$491,'G-2 Habitat groups'!A66,'D-3 Off-Site Habitat Enhancment'!$AQ$12:$AQ$491)</f>
        <v>0</v>
      </c>
      <c r="AA66" s="1056">
        <f t="shared" si="48"/>
        <v>0</v>
      </c>
      <c r="AB66" s="1056">
        <f t="shared" si="49"/>
        <v>0</v>
      </c>
      <c r="AC66" s="1056">
        <f t="shared" si="50"/>
        <v>0</v>
      </c>
      <c r="AD66" s="1056">
        <f t="shared" si="51"/>
        <v>0</v>
      </c>
      <c r="AE66" s="1056">
        <f t="shared" si="52"/>
        <v>3.043</v>
      </c>
      <c r="AF66" s="1056">
        <f t="shared" si="53"/>
        <v>0</v>
      </c>
      <c r="AU66" s="62" t="s">
        <v>557</v>
      </c>
      <c r="AV66" s="62" t="s">
        <v>113</v>
      </c>
      <c r="AW66" s="274">
        <f t="shared" si="34"/>
        <v>0</v>
      </c>
      <c r="AX66" s="274">
        <f t="shared" si="35"/>
        <v>0</v>
      </c>
      <c r="AY66" s="274">
        <f t="shared" si="36"/>
        <v>0</v>
      </c>
      <c r="AZ66" s="274">
        <f t="shared" si="37"/>
        <v>0</v>
      </c>
      <c r="BA66" s="274">
        <f t="shared" si="38"/>
        <v>0</v>
      </c>
      <c r="BB66" s="274">
        <f t="shared" si="39"/>
        <v>0</v>
      </c>
      <c r="BC66" s="274">
        <f t="shared" si="40"/>
        <v>0</v>
      </c>
      <c r="BD66" s="274">
        <f t="shared" si="41"/>
        <v>0</v>
      </c>
      <c r="BE66" s="274">
        <f t="shared" si="42"/>
        <v>0</v>
      </c>
      <c r="BF66" s="274" t="str">
        <f t="shared" si="43"/>
        <v/>
      </c>
    </row>
    <row r="67" spans="1:58" ht="14">
      <c r="A67" s="72" t="str">
        <f>'G-1 All Habitats'!B66</f>
        <v>Urban - Other green roof</v>
      </c>
      <c r="B67" s="72" t="s">
        <v>110</v>
      </c>
      <c r="C67" s="72" t="str">
        <f>'G-1 All Habitats'!K66</f>
        <v>Low</v>
      </c>
      <c r="D67" s="72" t="str">
        <f>'G-1 All Habitats'!M66</f>
        <v>Same distinctiveness or better habitat required ≥</v>
      </c>
      <c r="E67" s="1056">
        <f>SUMIF('A-1 On-Site Habitat Baseline'!$AV$11:$AV$258,'G-2 Habitat groups'!A67,'A-1 On-Site Habitat Baseline'!$H$11:$H$258)</f>
        <v>0</v>
      </c>
      <c r="F67" s="1056">
        <f>SUMIF('A-1 On-Site Habitat Baseline'!$AV$11:$AV$258,'G-2 Habitat groups'!A67,'A-1 On-Site Habitat Baseline'!$Q$11:$Q$258)</f>
        <v>0</v>
      </c>
      <c r="G67" s="1056">
        <f>SUMIF('A-1 On-Site Habitat Baseline'!$AV$11:$AV$258,'G-2 Habitat groups'!A67,'A-1 On-Site Habitat Baseline'!$S$11:$S$258)</f>
        <v>0</v>
      </c>
      <c r="H67" s="1056">
        <f>SUMIF('A-1 On-Site Habitat Baseline'!$AV$11:$AV$258,'G-2 Habitat groups'!A67,'A-1 On-Site Habitat Baseline'!$U$11:$U$258)+SUMIF('A-1 On-Site Habitat Baseline'!$AV$11:$AV$258,'G-2 Habitat groups'!A67,'A-1 On-Site Habitat Baseline'!$AT$11:$AT$258)</f>
        <v>0</v>
      </c>
      <c r="I67" s="1056">
        <f>SUMIF('A-1 On-Site Habitat Baseline'!$AV$11:$AV$258,'G-2 Habitat groups'!A67,'A-1 On-Site Habitat Baseline'!$W$11:$W$258)</f>
        <v>0</v>
      </c>
      <c r="J67" s="1056">
        <f>SUMIF('A-1 On-Site Habitat Baseline'!$AV$11:$AV$258,'G-2 Habitat groups'!A67,'A-1 On-Site Habitat Baseline'!$X$11:$X$258)</f>
        <v>0</v>
      </c>
      <c r="K67" s="1056">
        <f>SUMIF('A-2 On-Site Habitat Creation'!$F$11:$F$256,'G-2 Habitat groups'!A67,'A-2 On-Site Habitat Creation'!$G$11:$G$256)</f>
        <v>0</v>
      </c>
      <c r="L67" s="1056">
        <f>SUMIF('A-2 On-Site Habitat Creation'!$F$11:$F$256,'G-2 Habitat groups'!A67,'A-2 On-Site Habitat Creation'!$Y$11:$Y$256)</f>
        <v>0</v>
      </c>
      <c r="M67" s="1056">
        <f>SUMIF('A-3 On-Site Habitat Enhancement'!$S$12:$S$257,'G-2 Habitat groups'!A67,'A-3 On-Site Habitat Enhancement'!$V$12:$V$257)</f>
        <v>0</v>
      </c>
      <c r="N67" s="1056">
        <f>SUMIF('A-3 On-Site Habitat Enhancement'!$S$12:$S$257,'G-2 Habitat groups'!A67,'A-3 On-Site Habitat Enhancement'!$AN$12:$AN$257)</f>
        <v>0</v>
      </c>
      <c r="O67" s="1056">
        <f t="shared" si="44"/>
        <v>0</v>
      </c>
      <c r="P67" s="1056">
        <f t="shared" si="45"/>
        <v>0</v>
      </c>
      <c r="Q67" s="1056">
        <f t="shared" si="46"/>
        <v>0</v>
      </c>
      <c r="R67" s="1056">
        <f t="shared" si="47"/>
        <v>0</v>
      </c>
      <c r="S67" s="1056">
        <f>SUMIF('D-1 Off-Site Habitat Baseline'!$AV$11:$AV$258,'G-2 Habitat groups'!A67,'D-1 Off-Site Habitat Baseline'!$H$11:$H$258)</f>
        <v>0</v>
      </c>
      <c r="T67" s="1056">
        <f>SUMIF('D-1 Off-Site Habitat Baseline'!$AV$11:$AV$258,'G-2 Habitat groups'!A67,'D-1 Off-Site Habitat Baseline'!$T$11:$T$258)</f>
        <v>0</v>
      </c>
      <c r="U67" s="1056">
        <f>SUMIF('D-1 Off-Site Habitat Baseline'!$AV$11:$AV$258,'G-2 Habitat groups'!A67,'D-1 Off-Site Habitat Baseline'!$V$11:$V$258)</f>
        <v>0</v>
      </c>
      <c r="V67" s="1056">
        <f>SUMIF('D-1 Off-Site Habitat Baseline'!$AV$11:$AV$258,'G-2 Habitat groups'!A67,'D-1 Off-Site Habitat Baseline'!$X$11:$X$258)+SUMIF('D-1 Off-Site Habitat Baseline'!$AV$11:$AV$258,'G-2 Habitat groups'!A67,'D-1 Off-Site Habitat Baseline'!$AS$11:$AS$258)</f>
        <v>0</v>
      </c>
      <c r="W67" s="1056">
        <f>SUMIF('D-2 Off-Site Habitat Creation'!$F$9:$F$255,'G-2 Habitat groups'!A67,'D-2 Off-Site Habitat Creation'!$G$9:$G$255)</f>
        <v>0</v>
      </c>
      <c r="X67" s="1056">
        <f>SUMIF('D-2 Off-Site Habitat Creation'!$F$9:$F$255,'G-2 Habitat groups'!A67,'D-2 Off-Site Habitat Creation'!$AB$9:$AB$255)</f>
        <v>0</v>
      </c>
      <c r="Y67" s="1056">
        <f>SUMIF('D-3 Off-Site Habitat Enhancment'!$S$12:$S$491,'G-2 Habitat groups'!A67,'D-3 Off-Site Habitat Enhancment'!$V$12:$V$491)</f>
        <v>0</v>
      </c>
      <c r="Z67" s="1056">
        <f>SUMIF('D-3 Off-Site Habitat Enhancment'!$S$12:$S$491,'G-2 Habitat groups'!A67,'D-3 Off-Site Habitat Enhancment'!$AQ$12:$AQ$491)</f>
        <v>0</v>
      </c>
      <c r="AA67" s="1056">
        <f t="shared" si="48"/>
        <v>0</v>
      </c>
      <c r="AB67" s="1056">
        <f t="shared" si="49"/>
        <v>0</v>
      </c>
      <c r="AC67" s="1056">
        <f t="shared" si="50"/>
        <v>0</v>
      </c>
      <c r="AD67" s="1056">
        <f t="shared" si="51"/>
        <v>0</v>
      </c>
      <c r="AE67" s="1056">
        <f t="shared" si="52"/>
        <v>0</v>
      </c>
      <c r="AF67" s="1056">
        <f t="shared" si="53"/>
        <v>0</v>
      </c>
      <c r="AU67" s="62" t="s">
        <v>558</v>
      </c>
      <c r="AV67" s="62" t="s">
        <v>113</v>
      </c>
      <c r="AW67" s="274">
        <f t="shared" si="34"/>
        <v>0</v>
      </c>
      <c r="AX67" s="274">
        <f t="shared" si="35"/>
        <v>0</v>
      </c>
      <c r="AY67" s="274">
        <f t="shared" si="36"/>
        <v>0</v>
      </c>
      <c r="AZ67" s="274">
        <f t="shared" si="37"/>
        <v>0</v>
      </c>
      <c r="BA67" s="274">
        <f t="shared" si="38"/>
        <v>0</v>
      </c>
      <c r="BB67" s="274">
        <f t="shared" si="39"/>
        <v>0</v>
      </c>
      <c r="BC67" s="274">
        <f t="shared" si="40"/>
        <v>0</v>
      </c>
      <c r="BD67" s="274">
        <f t="shared" si="41"/>
        <v>0</v>
      </c>
      <c r="BE67" s="274">
        <f t="shared" si="42"/>
        <v>0</v>
      </c>
      <c r="BF67" s="274" t="str">
        <f t="shared" si="43"/>
        <v/>
      </c>
    </row>
    <row r="68" spans="1:58" ht="14">
      <c r="A68" s="72" t="str">
        <f>'G-1 All Habitats'!B67</f>
        <v>Urban - Facade-bound green wall</v>
      </c>
      <c r="B68" s="72" t="s">
        <v>110</v>
      </c>
      <c r="C68" s="72" t="str">
        <f>'G-1 All Habitats'!K67</f>
        <v>Low</v>
      </c>
      <c r="D68" s="72" t="str">
        <f>'G-1 All Habitats'!M67</f>
        <v>Same distinctiveness or better habitat required ≥</v>
      </c>
      <c r="E68" s="1056">
        <f>SUMIF('A-1 On-Site Habitat Baseline'!$AV$11:$AV$258,'G-2 Habitat groups'!A68,'A-1 On-Site Habitat Baseline'!$H$11:$H$258)</f>
        <v>0</v>
      </c>
      <c r="F68" s="1056">
        <f>SUMIF('A-1 On-Site Habitat Baseline'!$AV$11:$AV$258,'G-2 Habitat groups'!A68,'A-1 On-Site Habitat Baseline'!$Q$11:$Q$258)</f>
        <v>0</v>
      </c>
      <c r="G68" s="1056">
        <f>SUMIF('A-1 On-Site Habitat Baseline'!$AV$11:$AV$258,'G-2 Habitat groups'!A68,'A-1 On-Site Habitat Baseline'!$S$11:$S$258)</f>
        <v>0</v>
      </c>
      <c r="H68" s="1056">
        <f>SUMIF('A-1 On-Site Habitat Baseline'!$AV$11:$AV$258,'G-2 Habitat groups'!A68,'A-1 On-Site Habitat Baseline'!$U$11:$U$258)+SUMIF('A-1 On-Site Habitat Baseline'!$AV$11:$AV$258,'G-2 Habitat groups'!A68,'A-1 On-Site Habitat Baseline'!$AT$11:$AT$258)</f>
        <v>0</v>
      </c>
      <c r="I68" s="1056">
        <f>SUMIF('A-1 On-Site Habitat Baseline'!$AV$11:$AV$258,'G-2 Habitat groups'!A68,'A-1 On-Site Habitat Baseline'!$W$11:$W$258)</f>
        <v>0</v>
      </c>
      <c r="J68" s="1056">
        <f>SUMIF('A-1 On-Site Habitat Baseline'!$AV$11:$AV$258,'G-2 Habitat groups'!A68,'A-1 On-Site Habitat Baseline'!$X$11:$X$258)</f>
        <v>0</v>
      </c>
      <c r="K68" s="1056">
        <f>SUMIF('A-2 On-Site Habitat Creation'!$F$11:$F$256,'G-2 Habitat groups'!A68,'A-2 On-Site Habitat Creation'!$G$11:$G$256)</f>
        <v>0</v>
      </c>
      <c r="L68" s="1056">
        <f>SUMIF('A-2 On-Site Habitat Creation'!$F$11:$F$256,'G-2 Habitat groups'!A68,'A-2 On-Site Habitat Creation'!$Y$11:$Y$256)</f>
        <v>0</v>
      </c>
      <c r="M68" s="1056">
        <f>SUMIF('A-3 On-Site Habitat Enhancement'!$S$12:$S$257,'G-2 Habitat groups'!A68,'A-3 On-Site Habitat Enhancement'!$V$12:$V$257)</f>
        <v>0</v>
      </c>
      <c r="N68" s="1056">
        <f>SUMIF('A-3 On-Site Habitat Enhancement'!$S$12:$S$257,'G-2 Habitat groups'!A68,'A-3 On-Site Habitat Enhancement'!$AN$12:$AN$257)</f>
        <v>0</v>
      </c>
      <c r="O68" s="1056">
        <f t="shared" si="44"/>
        <v>0</v>
      </c>
      <c r="P68" s="1056">
        <f t="shared" si="45"/>
        <v>0</v>
      </c>
      <c r="Q68" s="1056">
        <f t="shared" si="46"/>
        <v>0</v>
      </c>
      <c r="R68" s="1056">
        <f t="shared" si="47"/>
        <v>0</v>
      </c>
      <c r="S68" s="1056">
        <f>SUMIF('D-1 Off-Site Habitat Baseline'!$AV$11:$AV$258,'G-2 Habitat groups'!A68,'D-1 Off-Site Habitat Baseline'!$H$11:$H$258)</f>
        <v>0</v>
      </c>
      <c r="T68" s="1056">
        <f>SUMIF('D-1 Off-Site Habitat Baseline'!$AV$11:$AV$258,'G-2 Habitat groups'!A68,'D-1 Off-Site Habitat Baseline'!$T$11:$T$258)</f>
        <v>0</v>
      </c>
      <c r="U68" s="1056">
        <f>SUMIF('D-1 Off-Site Habitat Baseline'!$AV$11:$AV$258,'G-2 Habitat groups'!A68,'D-1 Off-Site Habitat Baseline'!$V$11:$V$258)</f>
        <v>0</v>
      </c>
      <c r="V68" s="1056">
        <f>SUMIF('D-1 Off-Site Habitat Baseline'!$AV$11:$AV$258,'G-2 Habitat groups'!A68,'D-1 Off-Site Habitat Baseline'!$X$11:$X$258)+SUMIF('D-1 Off-Site Habitat Baseline'!$AV$11:$AV$258,'G-2 Habitat groups'!A68,'D-1 Off-Site Habitat Baseline'!$AS$11:$AS$258)</f>
        <v>0</v>
      </c>
      <c r="W68" s="1056">
        <f>SUMIF('D-2 Off-Site Habitat Creation'!$F$9:$F$255,'G-2 Habitat groups'!A68,'D-2 Off-Site Habitat Creation'!$G$9:$G$255)</f>
        <v>0</v>
      </c>
      <c r="X68" s="1056">
        <f>SUMIF('D-2 Off-Site Habitat Creation'!$F$9:$F$255,'G-2 Habitat groups'!A68,'D-2 Off-Site Habitat Creation'!$AB$9:$AB$255)</f>
        <v>0</v>
      </c>
      <c r="Y68" s="1056">
        <f>SUMIF('D-3 Off-Site Habitat Enhancment'!$S$12:$S$491,'G-2 Habitat groups'!A68,'D-3 Off-Site Habitat Enhancment'!$V$12:$V$491)</f>
        <v>0</v>
      </c>
      <c r="Z68" s="1056">
        <f>SUMIF('D-3 Off-Site Habitat Enhancment'!$S$12:$S$491,'G-2 Habitat groups'!A68,'D-3 Off-Site Habitat Enhancment'!$AQ$12:$AQ$491)</f>
        <v>0</v>
      </c>
      <c r="AA68" s="1056">
        <f t="shared" si="48"/>
        <v>0</v>
      </c>
      <c r="AB68" s="1056">
        <f t="shared" si="49"/>
        <v>0</v>
      </c>
      <c r="AC68" s="1056">
        <f t="shared" si="50"/>
        <v>0</v>
      </c>
      <c r="AD68" s="1056">
        <f t="shared" si="51"/>
        <v>0</v>
      </c>
      <c r="AE68" s="1056">
        <f t="shared" si="52"/>
        <v>0</v>
      </c>
      <c r="AF68" s="1056">
        <f t="shared" si="53"/>
        <v>0</v>
      </c>
      <c r="AU68" s="62" t="s">
        <v>552</v>
      </c>
      <c r="AV68" s="62" t="s">
        <v>553</v>
      </c>
      <c r="AW68" s="274">
        <f t="shared" si="34"/>
        <v>0</v>
      </c>
      <c r="AX68" s="274">
        <f t="shared" si="35"/>
        <v>0</v>
      </c>
      <c r="AY68" s="274">
        <f t="shared" si="36"/>
        <v>0</v>
      </c>
      <c r="AZ68" s="274">
        <f t="shared" si="37"/>
        <v>0</v>
      </c>
      <c r="BA68" s="274">
        <f t="shared" si="38"/>
        <v>0</v>
      </c>
      <c r="BB68" s="274">
        <f t="shared" si="39"/>
        <v>0</v>
      </c>
      <c r="BC68" s="274">
        <f t="shared" si="40"/>
        <v>0</v>
      </c>
      <c r="BD68" s="274">
        <f t="shared" si="41"/>
        <v>0</v>
      </c>
      <c r="BE68" s="274">
        <f t="shared" si="42"/>
        <v>0</v>
      </c>
      <c r="BF68" s="274" t="str">
        <f t="shared" si="43"/>
        <v/>
      </c>
    </row>
    <row r="69" spans="1:58" ht="14">
      <c r="A69" s="72" t="str">
        <f>'G-1 All Habitats'!B68</f>
        <v>Urban - Ground based green wall</v>
      </c>
      <c r="B69" s="72" t="s">
        <v>110</v>
      </c>
      <c r="C69" s="72" t="str">
        <f>'G-1 All Habitats'!K68</f>
        <v>Low</v>
      </c>
      <c r="D69" s="72" t="str">
        <f>'G-1 All Habitats'!M68</f>
        <v>Same distinctiveness or better habitat required ≥</v>
      </c>
      <c r="E69" s="1056">
        <f>SUMIF('A-1 On-Site Habitat Baseline'!$AV$11:$AV$258,'G-2 Habitat groups'!A69,'A-1 On-Site Habitat Baseline'!$H$11:$H$258)</f>
        <v>0</v>
      </c>
      <c r="F69" s="1056">
        <f>SUMIF('A-1 On-Site Habitat Baseline'!$AV$11:$AV$258,'G-2 Habitat groups'!A69,'A-1 On-Site Habitat Baseline'!$Q$11:$Q$258)</f>
        <v>0</v>
      </c>
      <c r="G69" s="1056">
        <f>SUMIF('A-1 On-Site Habitat Baseline'!$AV$11:$AV$258,'G-2 Habitat groups'!A69,'A-1 On-Site Habitat Baseline'!$S$11:$S$258)</f>
        <v>0</v>
      </c>
      <c r="H69" s="1056">
        <f>SUMIF('A-1 On-Site Habitat Baseline'!$AV$11:$AV$258,'G-2 Habitat groups'!A69,'A-1 On-Site Habitat Baseline'!$U$11:$U$258)+SUMIF('A-1 On-Site Habitat Baseline'!$AV$11:$AV$258,'G-2 Habitat groups'!A69,'A-1 On-Site Habitat Baseline'!$AT$11:$AT$258)</f>
        <v>0</v>
      </c>
      <c r="I69" s="1056">
        <f>SUMIF('A-1 On-Site Habitat Baseline'!$AV$11:$AV$258,'G-2 Habitat groups'!A69,'A-1 On-Site Habitat Baseline'!$W$11:$W$258)</f>
        <v>0</v>
      </c>
      <c r="J69" s="1056">
        <f>SUMIF('A-1 On-Site Habitat Baseline'!$AV$11:$AV$258,'G-2 Habitat groups'!A69,'A-1 On-Site Habitat Baseline'!$X$11:$X$258)</f>
        <v>0</v>
      </c>
      <c r="K69" s="1056">
        <f>SUMIF('A-2 On-Site Habitat Creation'!$F$11:$F$256,'G-2 Habitat groups'!A69,'A-2 On-Site Habitat Creation'!$G$11:$G$256)</f>
        <v>0</v>
      </c>
      <c r="L69" s="1056">
        <f>SUMIF('A-2 On-Site Habitat Creation'!$F$11:$F$256,'G-2 Habitat groups'!A69,'A-2 On-Site Habitat Creation'!$Y$11:$Y$256)</f>
        <v>0</v>
      </c>
      <c r="M69" s="1056">
        <f>SUMIF('A-3 On-Site Habitat Enhancement'!$S$12:$S$257,'G-2 Habitat groups'!A69,'A-3 On-Site Habitat Enhancement'!$V$12:$V$257)</f>
        <v>0</v>
      </c>
      <c r="N69" s="1056">
        <f>SUMIF('A-3 On-Site Habitat Enhancement'!$S$12:$S$257,'G-2 Habitat groups'!A69,'A-3 On-Site Habitat Enhancement'!$AN$12:$AN$257)</f>
        <v>0</v>
      </c>
      <c r="O69" s="1056">
        <f t="shared" si="54" ref="O69:O101">G69+K69+M69</f>
        <v>0</v>
      </c>
      <c r="P69" s="1056">
        <f t="shared" si="55" ref="P69:P101">H69+L69+N69</f>
        <v>0</v>
      </c>
      <c r="Q69" s="1056">
        <f t="shared" si="56" ref="Q69:Q101">O69-E69</f>
        <v>0</v>
      </c>
      <c r="R69" s="1056">
        <f t="shared" si="57" ref="R69:R101">P69-F69</f>
        <v>0</v>
      </c>
      <c r="S69" s="1056">
        <f>SUMIF('D-1 Off-Site Habitat Baseline'!$AV$11:$AV$258,'G-2 Habitat groups'!A69,'D-1 Off-Site Habitat Baseline'!$H$11:$H$258)</f>
        <v>0</v>
      </c>
      <c r="T69" s="1056">
        <f>SUMIF('D-1 Off-Site Habitat Baseline'!$AV$11:$AV$258,'G-2 Habitat groups'!A69,'D-1 Off-Site Habitat Baseline'!$T$11:$T$258)</f>
        <v>0</v>
      </c>
      <c r="U69" s="1056">
        <f>SUMIF('D-1 Off-Site Habitat Baseline'!$AV$11:$AV$258,'G-2 Habitat groups'!A69,'D-1 Off-Site Habitat Baseline'!$V$11:$V$258)</f>
        <v>0</v>
      </c>
      <c r="V69" s="1056">
        <f>SUMIF('D-1 Off-Site Habitat Baseline'!$AV$11:$AV$258,'G-2 Habitat groups'!A69,'D-1 Off-Site Habitat Baseline'!$X$11:$X$258)+SUMIF('D-1 Off-Site Habitat Baseline'!$AV$11:$AV$258,'G-2 Habitat groups'!A69,'D-1 Off-Site Habitat Baseline'!$AS$11:$AS$258)</f>
        <v>0</v>
      </c>
      <c r="W69" s="1056">
        <f>SUMIF('D-2 Off-Site Habitat Creation'!$F$9:$F$255,'G-2 Habitat groups'!A69,'D-2 Off-Site Habitat Creation'!$G$9:$G$255)</f>
        <v>0</v>
      </c>
      <c r="X69" s="1056">
        <f>SUMIF('D-2 Off-Site Habitat Creation'!$F$9:$F$255,'G-2 Habitat groups'!A69,'D-2 Off-Site Habitat Creation'!$AB$9:$AB$255)</f>
        <v>0</v>
      </c>
      <c r="Y69" s="1056">
        <f>SUMIF('D-3 Off-Site Habitat Enhancment'!$S$12:$S$491,'G-2 Habitat groups'!A69,'D-3 Off-Site Habitat Enhancment'!$V$12:$V$491)</f>
        <v>0</v>
      </c>
      <c r="Z69" s="1056">
        <f>SUMIF('D-3 Off-Site Habitat Enhancment'!$S$12:$S$491,'G-2 Habitat groups'!A69,'D-3 Off-Site Habitat Enhancment'!$AQ$12:$AQ$491)</f>
        <v>0</v>
      </c>
      <c r="AA69" s="1056">
        <f t="shared" si="58" ref="AA69:AA101">U69+W69+Y69</f>
        <v>0</v>
      </c>
      <c r="AB69" s="1056">
        <f t="shared" si="59" ref="AB69:AB101">V69+X69+Z69</f>
        <v>0</v>
      </c>
      <c r="AC69" s="1056">
        <f t="shared" si="60" ref="AC69:AC101">AA69-S69</f>
        <v>0</v>
      </c>
      <c r="AD69" s="1056">
        <f t="shared" si="61" ref="AD69:AD101">AB69-T69</f>
        <v>0</v>
      </c>
      <c r="AE69" s="1056">
        <f t="shared" si="62" ref="AE69:AE101">Q69+AC69</f>
        <v>0</v>
      </c>
      <c r="AF69" s="1056">
        <f t="shared" si="63" ref="AF69:AF101">R69+AD69</f>
        <v>0</v>
      </c>
      <c r="AU69" s="78" t="s">
        <v>559</v>
      </c>
      <c r="AV69" s="62" t="s">
        <v>113</v>
      </c>
      <c r="AW69" s="274">
        <f t="shared" si="34"/>
        <v>0</v>
      </c>
      <c r="AX69" s="274">
        <f t="shared" si="35"/>
        <v>0</v>
      </c>
      <c r="AY69" s="274">
        <f t="shared" si="36"/>
        <v>0</v>
      </c>
      <c r="AZ69" s="274">
        <f t="shared" si="37"/>
        <v>0</v>
      </c>
      <c r="BA69" s="274">
        <f t="shared" si="38"/>
        <v>0</v>
      </c>
      <c r="BB69" s="274">
        <f t="shared" si="39"/>
        <v>0</v>
      </c>
      <c r="BC69" s="274">
        <f t="shared" si="40"/>
        <v>0</v>
      </c>
      <c r="BD69" s="274">
        <f t="shared" si="41"/>
        <v>0</v>
      </c>
      <c r="BE69" s="274">
        <f t="shared" si="42"/>
        <v>0</v>
      </c>
      <c r="BF69" s="274" t="str">
        <f t="shared" si="43"/>
        <v/>
      </c>
    </row>
    <row r="70" spans="1:58" ht="14">
      <c r="A70" s="72" t="str">
        <f>'G-1 All Habitats'!B69</f>
        <v>Urban - Ground level planters</v>
      </c>
      <c r="B70" s="72" t="s">
        <v>110</v>
      </c>
      <c r="C70" s="72" t="str">
        <f>'G-1 All Habitats'!K69</f>
        <v>Low</v>
      </c>
      <c r="D70" s="72" t="str">
        <f>'G-1 All Habitats'!M69</f>
        <v>Same distinctiveness or better habitat required ≥</v>
      </c>
      <c r="E70" s="1056">
        <f>SUMIF('A-1 On-Site Habitat Baseline'!$AV$11:$AV$258,'G-2 Habitat groups'!A70,'A-1 On-Site Habitat Baseline'!$H$11:$H$258)</f>
        <v>0</v>
      </c>
      <c r="F70" s="1056">
        <f>SUMIF('A-1 On-Site Habitat Baseline'!$AV$11:$AV$258,'G-2 Habitat groups'!A70,'A-1 On-Site Habitat Baseline'!$Q$11:$Q$258)</f>
        <v>0</v>
      </c>
      <c r="G70" s="1056">
        <f>SUMIF('A-1 On-Site Habitat Baseline'!$AV$11:$AV$258,'G-2 Habitat groups'!A70,'A-1 On-Site Habitat Baseline'!$S$11:$S$258)</f>
        <v>0</v>
      </c>
      <c r="H70" s="1056">
        <f>SUMIF('A-1 On-Site Habitat Baseline'!$AV$11:$AV$258,'G-2 Habitat groups'!A70,'A-1 On-Site Habitat Baseline'!$U$11:$U$258)+SUMIF('A-1 On-Site Habitat Baseline'!$AV$11:$AV$258,'G-2 Habitat groups'!A70,'A-1 On-Site Habitat Baseline'!$AT$11:$AT$258)</f>
        <v>0</v>
      </c>
      <c r="I70" s="1056">
        <f>SUMIF('A-1 On-Site Habitat Baseline'!$AV$11:$AV$258,'G-2 Habitat groups'!A70,'A-1 On-Site Habitat Baseline'!$W$11:$W$258)</f>
        <v>0</v>
      </c>
      <c r="J70" s="1056">
        <f>SUMIF('A-1 On-Site Habitat Baseline'!$AV$11:$AV$258,'G-2 Habitat groups'!A70,'A-1 On-Site Habitat Baseline'!$X$11:$X$258)</f>
        <v>0</v>
      </c>
      <c r="K70" s="1056">
        <f>SUMIF('A-2 On-Site Habitat Creation'!$F$11:$F$256,'G-2 Habitat groups'!A70,'A-2 On-Site Habitat Creation'!$G$11:$G$256)</f>
        <v>0</v>
      </c>
      <c r="L70" s="1056">
        <f>SUMIF('A-2 On-Site Habitat Creation'!$F$11:$F$256,'G-2 Habitat groups'!A70,'A-2 On-Site Habitat Creation'!$Y$11:$Y$256)</f>
        <v>0</v>
      </c>
      <c r="M70" s="1056">
        <f>SUMIF('A-3 On-Site Habitat Enhancement'!$S$12:$S$257,'G-2 Habitat groups'!A70,'A-3 On-Site Habitat Enhancement'!$V$12:$V$257)</f>
        <v>0</v>
      </c>
      <c r="N70" s="1056">
        <f>SUMIF('A-3 On-Site Habitat Enhancement'!$S$12:$S$257,'G-2 Habitat groups'!A70,'A-3 On-Site Habitat Enhancement'!$AN$12:$AN$257)</f>
        <v>0</v>
      </c>
      <c r="O70" s="1056">
        <f t="shared" si="54"/>
        <v>0</v>
      </c>
      <c r="P70" s="1056">
        <f t="shared" si="55"/>
        <v>0</v>
      </c>
      <c r="Q70" s="1056">
        <f t="shared" si="56"/>
        <v>0</v>
      </c>
      <c r="R70" s="1056">
        <f t="shared" si="57"/>
        <v>0</v>
      </c>
      <c r="S70" s="1056">
        <f>SUMIF('D-1 Off-Site Habitat Baseline'!$AV$11:$AV$258,'G-2 Habitat groups'!A70,'D-1 Off-Site Habitat Baseline'!$H$11:$H$258)</f>
        <v>0</v>
      </c>
      <c r="T70" s="1056">
        <f>SUMIF('D-1 Off-Site Habitat Baseline'!$AV$11:$AV$258,'G-2 Habitat groups'!A70,'D-1 Off-Site Habitat Baseline'!$T$11:$T$258)</f>
        <v>0</v>
      </c>
      <c r="U70" s="1056">
        <f>SUMIF('D-1 Off-Site Habitat Baseline'!$AV$11:$AV$258,'G-2 Habitat groups'!A70,'D-1 Off-Site Habitat Baseline'!$V$11:$V$258)</f>
        <v>0</v>
      </c>
      <c r="V70" s="1056">
        <f>SUMIF('D-1 Off-Site Habitat Baseline'!$AV$11:$AV$258,'G-2 Habitat groups'!A70,'D-1 Off-Site Habitat Baseline'!$X$11:$X$258)+SUMIF('D-1 Off-Site Habitat Baseline'!$AV$11:$AV$258,'G-2 Habitat groups'!A70,'D-1 Off-Site Habitat Baseline'!$AS$11:$AS$258)</f>
        <v>0</v>
      </c>
      <c r="W70" s="1056">
        <f>SUMIF('D-2 Off-Site Habitat Creation'!$F$9:$F$255,'G-2 Habitat groups'!A70,'D-2 Off-Site Habitat Creation'!$G$9:$G$255)</f>
        <v>0</v>
      </c>
      <c r="X70" s="1056">
        <f>SUMIF('D-2 Off-Site Habitat Creation'!$F$9:$F$255,'G-2 Habitat groups'!A70,'D-2 Off-Site Habitat Creation'!$AB$9:$AB$255)</f>
        <v>0</v>
      </c>
      <c r="Y70" s="1056">
        <f>SUMIF('D-3 Off-Site Habitat Enhancment'!$S$12:$S$491,'G-2 Habitat groups'!A70,'D-3 Off-Site Habitat Enhancment'!$V$12:$V$491)</f>
        <v>0</v>
      </c>
      <c r="Z70" s="1056">
        <f>SUMIF('D-3 Off-Site Habitat Enhancment'!$S$12:$S$491,'G-2 Habitat groups'!A70,'D-3 Off-Site Habitat Enhancment'!$AQ$12:$AQ$491)</f>
        <v>0</v>
      </c>
      <c r="AA70" s="1056">
        <f t="shared" si="58"/>
        <v>0</v>
      </c>
      <c r="AB70" s="1056">
        <f t="shared" si="59"/>
        <v>0</v>
      </c>
      <c r="AC70" s="1056">
        <f t="shared" si="60"/>
        <v>0</v>
      </c>
      <c r="AD70" s="1056">
        <f t="shared" si="61"/>
        <v>0</v>
      </c>
      <c r="AE70" s="1056">
        <f t="shared" si="62"/>
        <v>0</v>
      </c>
      <c r="AF70" s="1056">
        <f t="shared" si="63"/>
        <v>0</v>
      </c>
      <c r="AU70" s="78" t="s">
        <v>560</v>
      </c>
      <c r="AV70" s="62" t="s">
        <v>113</v>
      </c>
      <c r="AW70" s="274">
        <f t="shared" si="34"/>
        <v>0</v>
      </c>
      <c r="AX70" s="274">
        <f t="shared" si="35"/>
        <v>0</v>
      </c>
      <c r="AY70" s="274">
        <f t="shared" si="36"/>
        <v>0</v>
      </c>
      <c r="AZ70" s="274">
        <f t="shared" si="37"/>
        <v>0</v>
      </c>
      <c r="BA70" s="274">
        <f t="shared" si="38"/>
        <v>0</v>
      </c>
      <c r="BB70" s="274">
        <f t="shared" si="39"/>
        <v>0</v>
      </c>
      <c r="BC70" s="274">
        <f t="shared" si="40"/>
        <v>0</v>
      </c>
      <c r="BD70" s="274">
        <f t="shared" si="41"/>
        <v>0</v>
      </c>
      <c r="BE70" s="274">
        <f t="shared" si="42"/>
        <v>0</v>
      </c>
      <c r="BF70" s="274" t="str">
        <f t="shared" si="43"/>
        <v/>
      </c>
    </row>
    <row r="71" spans="1:58" ht="14">
      <c r="A71" s="72" t="str">
        <f>'G-1 All Habitats'!B70</f>
        <v>Urban - Biodiverse green roof</v>
      </c>
      <c r="B71" s="72" t="s">
        <v>110</v>
      </c>
      <c r="C71" s="72" t="str">
        <f>'G-1 All Habitats'!K70</f>
        <v>Medium</v>
      </c>
      <c r="D71" s="72" t="str">
        <f>'G-1 All Habitats'!M70</f>
        <v>Same broad habitat or a higher distinctiveness habitat required (≥)</v>
      </c>
      <c r="E71" s="1056">
        <f>SUMIF('A-1 On-Site Habitat Baseline'!$AV$11:$AV$258,'G-2 Habitat groups'!A71,'A-1 On-Site Habitat Baseline'!$H$11:$H$258)</f>
        <v>0</v>
      </c>
      <c r="F71" s="1056">
        <f>SUMIF('A-1 On-Site Habitat Baseline'!$AV$11:$AV$258,'G-2 Habitat groups'!A71,'A-1 On-Site Habitat Baseline'!$Q$11:$Q$258)</f>
        <v>0</v>
      </c>
      <c r="G71" s="1056">
        <f>SUMIF('A-1 On-Site Habitat Baseline'!$AV$11:$AV$258,'G-2 Habitat groups'!A71,'A-1 On-Site Habitat Baseline'!$S$11:$S$258)</f>
        <v>0</v>
      </c>
      <c r="H71" s="1056">
        <f>SUMIF('A-1 On-Site Habitat Baseline'!$AV$11:$AV$258,'G-2 Habitat groups'!A71,'A-1 On-Site Habitat Baseline'!$U$11:$U$258)+SUMIF('A-1 On-Site Habitat Baseline'!$AV$11:$AV$258,'G-2 Habitat groups'!A71,'A-1 On-Site Habitat Baseline'!$AT$11:$AT$258)</f>
        <v>0</v>
      </c>
      <c r="I71" s="1056">
        <f>SUMIF('A-1 On-Site Habitat Baseline'!$AV$11:$AV$258,'G-2 Habitat groups'!A71,'A-1 On-Site Habitat Baseline'!$W$11:$W$258)</f>
        <v>0</v>
      </c>
      <c r="J71" s="1056">
        <f>SUMIF('A-1 On-Site Habitat Baseline'!$AV$11:$AV$258,'G-2 Habitat groups'!A71,'A-1 On-Site Habitat Baseline'!$X$11:$X$258)</f>
        <v>0</v>
      </c>
      <c r="K71" s="1056">
        <f>SUMIF('A-2 On-Site Habitat Creation'!$F$11:$F$256,'G-2 Habitat groups'!A71,'A-2 On-Site Habitat Creation'!$G$11:$G$256)</f>
        <v>0</v>
      </c>
      <c r="L71" s="1056">
        <f>SUMIF('A-2 On-Site Habitat Creation'!$F$11:$F$256,'G-2 Habitat groups'!A71,'A-2 On-Site Habitat Creation'!$Y$11:$Y$256)</f>
        <v>0</v>
      </c>
      <c r="M71" s="1056">
        <f>SUMIF('A-3 On-Site Habitat Enhancement'!$S$12:$S$257,'G-2 Habitat groups'!A71,'A-3 On-Site Habitat Enhancement'!$V$12:$V$257)</f>
        <v>0</v>
      </c>
      <c r="N71" s="1056">
        <f>SUMIF('A-3 On-Site Habitat Enhancement'!$S$12:$S$257,'G-2 Habitat groups'!A71,'A-3 On-Site Habitat Enhancement'!$AN$12:$AN$257)</f>
        <v>0</v>
      </c>
      <c r="O71" s="1056">
        <f t="shared" si="54"/>
        <v>0</v>
      </c>
      <c r="P71" s="1056">
        <f t="shared" si="55"/>
        <v>0</v>
      </c>
      <c r="Q71" s="1056">
        <f t="shared" si="56"/>
        <v>0</v>
      </c>
      <c r="R71" s="1056">
        <f t="shared" si="57"/>
        <v>0</v>
      </c>
      <c r="S71" s="1056">
        <f>SUMIF('D-1 Off-Site Habitat Baseline'!$AV$11:$AV$258,'G-2 Habitat groups'!A71,'D-1 Off-Site Habitat Baseline'!$H$11:$H$258)</f>
        <v>0</v>
      </c>
      <c r="T71" s="1056">
        <f>SUMIF('D-1 Off-Site Habitat Baseline'!$AV$11:$AV$258,'G-2 Habitat groups'!A71,'D-1 Off-Site Habitat Baseline'!$T$11:$T$258)</f>
        <v>0</v>
      </c>
      <c r="U71" s="1056">
        <f>SUMIF('D-1 Off-Site Habitat Baseline'!$AV$11:$AV$258,'G-2 Habitat groups'!A71,'D-1 Off-Site Habitat Baseline'!$V$11:$V$258)</f>
        <v>0</v>
      </c>
      <c r="V71" s="1056">
        <f>SUMIF('D-1 Off-Site Habitat Baseline'!$AV$11:$AV$258,'G-2 Habitat groups'!A71,'D-1 Off-Site Habitat Baseline'!$X$11:$X$258)+SUMIF('D-1 Off-Site Habitat Baseline'!$AV$11:$AV$258,'G-2 Habitat groups'!A71,'D-1 Off-Site Habitat Baseline'!$AS$11:$AS$258)</f>
        <v>0</v>
      </c>
      <c r="W71" s="1056">
        <f>SUMIF('D-2 Off-Site Habitat Creation'!$F$9:$F$255,'G-2 Habitat groups'!A71,'D-2 Off-Site Habitat Creation'!$G$9:$G$255)</f>
        <v>0</v>
      </c>
      <c r="X71" s="1056">
        <f>SUMIF('D-2 Off-Site Habitat Creation'!$F$9:$F$255,'G-2 Habitat groups'!A71,'D-2 Off-Site Habitat Creation'!$AB$9:$AB$255)</f>
        <v>0</v>
      </c>
      <c r="Y71" s="1056">
        <f>SUMIF('D-3 Off-Site Habitat Enhancment'!$S$12:$S$491,'G-2 Habitat groups'!A71,'D-3 Off-Site Habitat Enhancment'!$V$12:$V$491)</f>
        <v>0</v>
      </c>
      <c r="Z71" s="1056">
        <f>SUMIF('D-3 Off-Site Habitat Enhancment'!$S$12:$S$491,'G-2 Habitat groups'!A71,'D-3 Off-Site Habitat Enhancment'!$AQ$12:$AQ$491)</f>
        <v>0</v>
      </c>
      <c r="AA71" s="1056">
        <f t="shared" si="58"/>
        <v>0</v>
      </c>
      <c r="AB71" s="1056">
        <f t="shared" si="59"/>
        <v>0</v>
      </c>
      <c r="AC71" s="1056">
        <f t="shared" si="60"/>
        <v>0</v>
      </c>
      <c r="AD71" s="1056">
        <f t="shared" si="61"/>
        <v>0</v>
      </c>
      <c r="AE71" s="1056">
        <f t="shared" si="62"/>
        <v>0</v>
      </c>
      <c r="AF71" s="1056">
        <f t="shared" si="63"/>
        <v>0</v>
      </c>
      <c r="AU71" s="62" t="s">
        <v>561</v>
      </c>
      <c r="AV71" s="62" t="s">
        <v>113</v>
      </c>
      <c r="AW71" s="274">
        <f t="shared" si="34"/>
        <v>0</v>
      </c>
      <c r="AX71" s="274">
        <f t="shared" si="35"/>
        <v>0</v>
      </c>
      <c r="AY71" s="274">
        <f t="shared" si="36"/>
        <v>0</v>
      </c>
      <c r="AZ71" s="274">
        <f t="shared" si="37"/>
        <v>0</v>
      </c>
      <c r="BA71" s="274">
        <f t="shared" si="38"/>
        <v>0</v>
      </c>
      <c r="BB71" s="274">
        <f t="shared" si="39"/>
        <v>0</v>
      </c>
      <c r="BC71" s="274">
        <f t="shared" si="40"/>
        <v>0</v>
      </c>
      <c r="BD71" s="274">
        <f t="shared" si="41"/>
        <v>0</v>
      </c>
      <c r="BE71" s="274">
        <f t="shared" si="42"/>
        <v>0</v>
      </c>
      <c r="BF71" s="274" t="str">
        <f t="shared" si="43"/>
        <v/>
      </c>
    </row>
    <row r="72" spans="1:58" ht="14">
      <c r="A72" s="72" t="str">
        <f>'G-1 All Habitats'!B71</f>
        <v>Urban - Introduced shrub</v>
      </c>
      <c r="B72" s="72" t="s">
        <v>110</v>
      </c>
      <c r="C72" s="72" t="str">
        <f>'G-1 All Habitats'!K71</f>
        <v>Low</v>
      </c>
      <c r="D72" s="72" t="str">
        <f>'G-1 All Habitats'!M71</f>
        <v>Same distinctiveness or better habitat required ≥</v>
      </c>
      <c r="E72" s="1056">
        <f>SUMIF('A-1 On-Site Habitat Baseline'!$AV$11:$AV$258,'G-2 Habitat groups'!A72,'A-1 On-Site Habitat Baseline'!$H$11:$H$258)</f>
        <v>0</v>
      </c>
      <c r="F72" s="1056">
        <f>SUMIF('A-1 On-Site Habitat Baseline'!$AV$11:$AV$258,'G-2 Habitat groups'!A72,'A-1 On-Site Habitat Baseline'!$Q$11:$Q$258)</f>
        <v>0</v>
      </c>
      <c r="G72" s="1056">
        <f>SUMIF('A-1 On-Site Habitat Baseline'!$AV$11:$AV$258,'G-2 Habitat groups'!A72,'A-1 On-Site Habitat Baseline'!$S$11:$S$258)</f>
        <v>0</v>
      </c>
      <c r="H72" s="1056">
        <f>SUMIF('A-1 On-Site Habitat Baseline'!$AV$11:$AV$258,'G-2 Habitat groups'!A72,'A-1 On-Site Habitat Baseline'!$U$11:$U$258)+SUMIF('A-1 On-Site Habitat Baseline'!$AV$11:$AV$258,'G-2 Habitat groups'!A72,'A-1 On-Site Habitat Baseline'!$AT$11:$AT$258)</f>
        <v>0</v>
      </c>
      <c r="I72" s="1056">
        <f>SUMIF('A-1 On-Site Habitat Baseline'!$AV$11:$AV$258,'G-2 Habitat groups'!A72,'A-1 On-Site Habitat Baseline'!$W$11:$W$258)</f>
        <v>0</v>
      </c>
      <c r="J72" s="1056">
        <f>SUMIF('A-1 On-Site Habitat Baseline'!$AV$11:$AV$258,'G-2 Habitat groups'!A72,'A-1 On-Site Habitat Baseline'!$X$11:$X$258)</f>
        <v>0</v>
      </c>
      <c r="K72" s="1056">
        <f>SUMIF('A-2 On-Site Habitat Creation'!$F$11:$F$256,'G-2 Habitat groups'!A72,'A-2 On-Site Habitat Creation'!$G$11:$G$256)</f>
        <v>0</v>
      </c>
      <c r="L72" s="1056">
        <f>SUMIF('A-2 On-Site Habitat Creation'!$F$11:$F$256,'G-2 Habitat groups'!A72,'A-2 On-Site Habitat Creation'!$Y$11:$Y$256)</f>
        <v>0</v>
      </c>
      <c r="M72" s="1056">
        <f>SUMIF('A-3 On-Site Habitat Enhancement'!$S$12:$S$257,'G-2 Habitat groups'!A72,'A-3 On-Site Habitat Enhancement'!$V$12:$V$257)</f>
        <v>0</v>
      </c>
      <c r="N72" s="1056">
        <f>SUMIF('A-3 On-Site Habitat Enhancement'!$S$12:$S$257,'G-2 Habitat groups'!A72,'A-3 On-Site Habitat Enhancement'!$AN$12:$AN$257)</f>
        <v>0</v>
      </c>
      <c r="O72" s="1056">
        <f t="shared" si="54"/>
        <v>0</v>
      </c>
      <c r="P72" s="1056">
        <f t="shared" si="55"/>
        <v>0</v>
      </c>
      <c r="Q72" s="1056">
        <f t="shared" si="56"/>
        <v>0</v>
      </c>
      <c r="R72" s="1056">
        <f t="shared" si="57"/>
        <v>0</v>
      </c>
      <c r="S72" s="1056">
        <f>SUMIF('D-1 Off-Site Habitat Baseline'!$AV$11:$AV$258,'G-2 Habitat groups'!A72,'D-1 Off-Site Habitat Baseline'!$H$11:$H$258)</f>
        <v>0</v>
      </c>
      <c r="T72" s="1056">
        <f>SUMIF('D-1 Off-Site Habitat Baseline'!$AV$11:$AV$258,'G-2 Habitat groups'!A72,'D-1 Off-Site Habitat Baseline'!$T$11:$T$258)</f>
        <v>0</v>
      </c>
      <c r="U72" s="1056">
        <f>SUMIF('D-1 Off-Site Habitat Baseline'!$AV$11:$AV$258,'G-2 Habitat groups'!A72,'D-1 Off-Site Habitat Baseline'!$V$11:$V$258)</f>
        <v>0</v>
      </c>
      <c r="V72" s="1056">
        <f>SUMIF('D-1 Off-Site Habitat Baseline'!$AV$11:$AV$258,'G-2 Habitat groups'!A72,'D-1 Off-Site Habitat Baseline'!$X$11:$X$258)+SUMIF('D-1 Off-Site Habitat Baseline'!$AV$11:$AV$258,'G-2 Habitat groups'!A72,'D-1 Off-Site Habitat Baseline'!$AS$11:$AS$258)</f>
        <v>0</v>
      </c>
      <c r="W72" s="1056">
        <f>SUMIF('D-2 Off-Site Habitat Creation'!$F$9:$F$255,'G-2 Habitat groups'!A72,'D-2 Off-Site Habitat Creation'!$G$9:$G$255)</f>
        <v>0</v>
      </c>
      <c r="X72" s="1056">
        <f>SUMIF('D-2 Off-Site Habitat Creation'!$F$9:$F$255,'G-2 Habitat groups'!A72,'D-2 Off-Site Habitat Creation'!$AB$9:$AB$255)</f>
        <v>0</v>
      </c>
      <c r="Y72" s="1056">
        <f>SUMIF('D-3 Off-Site Habitat Enhancment'!$S$12:$S$491,'G-2 Habitat groups'!A72,'D-3 Off-Site Habitat Enhancment'!$V$12:$V$491)</f>
        <v>0</v>
      </c>
      <c r="Z72" s="1056">
        <f>SUMIF('D-3 Off-Site Habitat Enhancment'!$S$12:$S$491,'G-2 Habitat groups'!A72,'D-3 Off-Site Habitat Enhancment'!$AQ$12:$AQ$491)</f>
        <v>0</v>
      </c>
      <c r="AA72" s="1056">
        <f t="shared" si="58"/>
        <v>0</v>
      </c>
      <c r="AB72" s="1056">
        <f t="shared" si="59"/>
        <v>0</v>
      </c>
      <c r="AC72" s="1056">
        <f t="shared" si="60"/>
        <v>0</v>
      </c>
      <c r="AD72" s="1056">
        <f t="shared" si="61"/>
        <v>0</v>
      </c>
      <c r="AE72" s="1056">
        <f t="shared" si="62"/>
        <v>0</v>
      </c>
      <c r="AF72" s="1056">
        <f t="shared" si="63"/>
        <v>0</v>
      </c>
      <c r="AU72" s="71" t="s">
        <v>562</v>
      </c>
      <c r="AV72" s="62" t="s">
        <v>113</v>
      </c>
      <c r="AW72" s="274">
        <f t="shared" si="34"/>
        <v>0</v>
      </c>
      <c r="AX72" s="274">
        <f t="shared" si="35"/>
        <v>0</v>
      </c>
      <c r="AY72" s="274">
        <f t="shared" si="36"/>
        <v>0</v>
      </c>
      <c r="AZ72" s="274">
        <f t="shared" si="37"/>
        <v>0</v>
      </c>
      <c r="BA72" s="274">
        <f t="shared" si="38"/>
        <v>0</v>
      </c>
      <c r="BB72" s="274">
        <f t="shared" si="39"/>
        <v>0</v>
      </c>
      <c r="BC72" s="274">
        <f t="shared" si="40"/>
        <v>0</v>
      </c>
      <c r="BD72" s="274">
        <f t="shared" si="41"/>
        <v>0</v>
      </c>
      <c r="BE72" s="274">
        <f t="shared" si="42"/>
        <v>0</v>
      </c>
      <c r="BF72" s="274" t="str">
        <f t="shared" si="43"/>
        <v/>
      </c>
    </row>
    <row r="73" spans="1:58" ht="14">
      <c r="A73" s="72" t="str">
        <f>'G-1 All Habitats'!B72</f>
        <v>Urban - Open mosaic habitats on previously developed land</v>
      </c>
      <c r="B73" s="72" t="s">
        <v>110</v>
      </c>
      <c r="C73" s="72" t="str">
        <f>'G-1 All Habitats'!K72</f>
        <v>High</v>
      </c>
      <c r="D73" s="72" t="str">
        <f>'G-1 All Habitats'!M72</f>
        <v>Same habitat required =</v>
      </c>
      <c r="E73" s="1056">
        <f>SUMIF('A-1 On-Site Habitat Baseline'!$AV$11:$AV$258,'G-2 Habitat groups'!A73,'A-1 On-Site Habitat Baseline'!$H$11:$H$258)</f>
        <v>0</v>
      </c>
      <c r="F73" s="1056">
        <f>SUMIF('A-1 On-Site Habitat Baseline'!$AV$11:$AV$258,'G-2 Habitat groups'!A73,'A-1 On-Site Habitat Baseline'!$Q$11:$Q$258)</f>
        <v>0</v>
      </c>
      <c r="G73" s="1056">
        <f>SUMIF('A-1 On-Site Habitat Baseline'!$AV$11:$AV$258,'G-2 Habitat groups'!A73,'A-1 On-Site Habitat Baseline'!$S$11:$S$258)</f>
        <v>0</v>
      </c>
      <c r="H73" s="1056">
        <f>SUMIF('A-1 On-Site Habitat Baseline'!$AV$11:$AV$258,'G-2 Habitat groups'!A73,'A-1 On-Site Habitat Baseline'!$U$11:$U$258)+SUMIF('A-1 On-Site Habitat Baseline'!$AV$11:$AV$258,'G-2 Habitat groups'!A73,'A-1 On-Site Habitat Baseline'!$AT$11:$AT$258)</f>
        <v>0</v>
      </c>
      <c r="I73" s="1056">
        <f>SUMIF('A-1 On-Site Habitat Baseline'!$AV$11:$AV$258,'G-2 Habitat groups'!A73,'A-1 On-Site Habitat Baseline'!$W$11:$W$258)</f>
        <v>0</v>
      </c>
      <c r="J73" s="1056">
        <f>SUMIF('A-1 On-Site Habitat Baseline'!$AV$11:$AV$258,'G-2 Habitat groups'!A73,'A-1 On-Site Habitat Baseline'!$X$11:$X$258)</f>
        <v>0</v>
      </c>
      <c r="K73" s="1056">
        <f>SUMIF('A-2 On-Site Habitat Creation'!$F$11:$F$256,'G-2 Habitat groups'!A73,'A-2 On-Site Habitat Creation'!$G$11:$G$256)</f>
        <v>0</v>
      </c>
      <c r="L73" s="1056">
        <f>SUMIF('A-2 On-Site Habitat Creation'!$F$11:$F$256,'G-2 Habitat groups'!A73,'A-2 On-Site Habitat Creation'!$Y$11:$Y$256)</f>
        <v>0</v>
      </c>
      <c r="M73" s="1056">
        <f>SUMIF('A-3 On-Site Habitat Enhancement'!$S$12:$S$257,'G-2 Habitat groups'!A73,'A-3 On-Site Habitat Enhancement'!$V$12:$V$257)</f>
        <v>0</v>
      </c>
      <c r="N73" s="1056">
        <f>SUMIF('A-3 On-Site Habitat Enhancement'!$S$12:$S$257,'G-2 Habitat groups'!A73,'A-3 On-Site Habitat Enhancement'!$AN$12:$AN$257)</f>
        <v>0</v>
      </c>
      <c r="O73" s="1056">
        <f t="shared" si="54"/>
        <v>0</v>
      </c>
      <c r="P73" s="1056">
        <f t="shared" si="55"/>
        <v>0</v>
      </c>
      <c r="Q73" s="1056">
        <f t="shared" si="56"/>
        <v>0</v>
      </c>
      <c r="R73" s="1056">
        <f t="shared" si="57"/>
        <v>0</v>
      </c>
      <c r="S73" s="1056">
        <f>SUMIF('D-1 Off-Site Habitat Baseline'!$AV$11:$AV$258,'G-2 Habitat groups'!A73,'D-1 Off-Site Habitat Baseline'!$H$11:$H$258)</f>
        <v>0</v>
      </c>
      <c r="T73" s="1056">
        <f>SUMIF('D-1 Off-Site Habitat Baseline'!$AV$11:$AV$258,'G-2 Habitat groups'!A73,'D-1 Off-Site Habitat Baseline'!$T$11:$T$258)</f>
        <v>0</v>
      </c>
      <c r="U73" s="1056">
        <f>SUMIF('D-1 Off-Site Habitat Baseline'!$AV$11:$AV$258,'G-2 Habitat groups'!A73,'D-1 Off-Site Habitat Baseline'!$V$11:$V$258)</f>
        <v>0</v>
      </c>
      <c r="V73" s="1056">
        <f>SUMIF('D-1 Off-Site Habitat Baseline'!$AV$11:$AV$258,'G-2 Habitat groups'!A73,'D-1 Off-Site Habitat Baseline'!$X$11:$X$258)+SUMIF('D-1 Off-Site Habitat Baseline'!$AV$11:$AV$258,'G-2 Habitat groups'!A73,'D-1 Off-Site Habitat Baseline'!$AS$11:$AS$258)</f>
        <v>0</v>
      </c>
      <c r="W73" s="1056">
        <f>SUMIF('D-2 Off-Site Habitat Creation'!$F$9:$F$255,'G-2 Habitat groups'!A73,'D-2 Off-Site Habitat Creation'!$G$9:$G$255)</f>
        <v>0</v>
      </c>
      <c r="X73" s="1056">
        <f>SUMIF('D-2 Off-Site Habitat Creation'!$F$9:$F$255,'G-2 Habitat groups'!A73,'D-2 Off-Site Habitat Creation'!$AB$9:$AB$255)</f>
        <v>0</v>
      </c>
      <c r="Y73" s="1056">
        <f>SUMIF('D-3 Off-Site Habitat Enhancment'!$S$12:$S$491,'G-2 Habitat groups'!A73,'D-3 Off-Site Habitat Enhancment'!$V$12:$V$491)</f>
        <v>0</v>
      </c>
      <c r="Z73" s="1056">
        <f>SUMIF('D-3 Off-Site Habitat Enhancment'!$S$12:$S$491,'G-2 Habitat groups'!A73,'D-3 Off-Site Habitat Enhancment'!$AQ$12:$AQ$491)</f>
        <v>0</v>
      </c>
      <c r="AA73" s="1056">
        <f t="shared" si="58"/>
        <v>0</v>
      </c>
      <c r="AB73" s="1056">
        <f t="shared" si="59"/>
        <v>0</v>
      </c>
      <c r="AC73" s="1056">
        <f t="shared" si="60"/>
        <v>0</v>
      </c>
      <c r="AD73" s="1056">
        <f t="shared" si="61"/>
        <v>0</v>
      </c>
      <c r="AE73" s="1056">
        <f t="shared" si="62"/>
        <v>0</v>
      </c>
      <c r="AF73" s="1056">
        <f t="shared" si="63"/>
        <v>0</v>
      </c>
      <c r="AU73" s="477" t="s">
        <v>212</v>
      </c>
      <c r="AV73" s="477" t="s">
        <v>113</v>
      </c>
      <c r="AW73" s="274">
        <f t="shared" si="34"/>
        <v>0</v>
      </c>
      <c r="AX73" s="274">
        <f t="shared" si="35"/>
        <v>0</v>
      </c>
      <c r="AY73" s="274">
        <f t="shared" si="36"/>
        <v>0</v>
      </c>
      <c r="AZ73" s="274">
        <f t="shared" si="37"/>
        <v>0</v>
      </c>
      <c r="BA73" s="274">
        <f t="shared" si="38"/>
        <v>0</v>
      </c>
      <c r="BB73" s="274">
        <f t="shared" si="39"/>
        <v>0</v>
      </c>
      <c r="BC73" s="274">
        <f t="shared" si="40"/>
        <v>0</v>
      </c>
      <c r="BD73" s="274">
        <f t="shared" si="41"/>
        <v>0</v>
      </c>
      <c r="BE73" s="274">
        <f t="shared" si="42"/>
        <v>0</v>
      </c>
      <c r="BF73" s="274" t="str">
        <f t="shared" si="43"/>
        <v/>
      </c>
    </row>
    <row r="74" spans="1:32" ht="14">
      <c r="A74" s="72" t="str">
        <f>'G-1 All Habitats'!B73</f>
        <v>Urban - Rain garden</v>
      </c>
      <c r="B74" s="72" t="s">
        <v>110</v>
      </c>
      <c r="C74" s="72" t="str">
        <f>'G-1 All Habitats'!K73</f>
        <v>Low</v>
      </c>
      <c r="D74" s="72" t="str">
        <f>'G-1 All Habitats'!M73</f>
        <v>Same distinctiveness or better habitat required ≥</v>
      </c>
      <c r="E74" s="1056">
        <f>SUMIF('A-1 On-Site Habitat Baseline'!$AV$11:$AV$258,'G-2 Habitat groups'!A74,'A-1 On-Site Habitat Baseline'!$H$11:$H$258)</f>
        <v>0</v>
      </c>
      <c r="F74" s="1056">
        <f>SUMIF('A-1 On-Site Habitat Baseline'!$AV$11:$AV$258,'G-2 Habitat groups'!A74,'A-1 On-Site Habitat Baseline'!$Q$11:$Q$258)</f>
        <v>0</v>
      </c>
      <c r="G74" s="1056">
        <f>SUMIF('A-1 On-Site Habitat Baseline'!$AV$11:$AV$258,'G-2 Habitat groups'!A74,'A-1 On-Site Habitat Baseline'!$S$11:$S$258)</f>
        <v>0</v>
      </c>
      <c r="H74" s="1056">
        <f>SUMIF('A-1 On-Site Habitat Baseline'!$AV$11:$AV$258,'G-2 Habitat groups'!A74,'A-1 On-Site Habitat Baseline'!$U$11:$U$258)+SUMIF('A-1 On-Site Habitat Baseline'!$AV$11:$AV$258,'G-2 Habitat groups'!A74,'A-1 On-Site Habitat Baseline'!$AT$11:$AT$258)</f>
        <v>0</v>
      </c>
      <c r="I74" s="1056">
        <f>SUMIF('A-1 On-Site Habitat Baseline'!$AV$11:$AV$258,'G-2 Habitat groups'!A74,'A-1 On-Site Habitat Baseline'!$W$11:$W$258)</f>
        <v>0</v>
      </c>
      <c r="J74" s="1056">
        <f>SUMIF('A-1 On-Site Habitat Baseline'!$AV$11:$AV$258,'G-2 Habitat groups'!A74,'A-1 On-Site Habitat Baseline'!$X$11:$X$258)</f>
        <v>0</v>
      </c>
      <c r="K74" s="1056">
        <f>SUMIF('A-2 On-Site Habitat Creation'!$F$11:$F$256,'G-2 Habitat groups'!A74,'A-2 On-Site Habitat Creation'!$G$11:$G$256)</f>
        <v>0</v>
      </c>
      <c r="L74" s="1056">
        <f>SUMIF('A-2 On-Site Habitat Creation'!$F$11:$F$256,'G-2 Habitat groups'!A74,'A-2 On-Site Habitat Creation'!$Y$11:$Y$256)</f>
        <v>0</v>
      </c>
      <c r="M74" s="1056">
        <f>SUMIF('A-3 On-Site Habitat Enhancement'!$S$12:$S$257,'G-2 Habitat groups'!A74,'A-3 On-Site Habitat Enhancement'!$V$12:$V$257)</f>
        <v>0</v>
      </c>
      <c r="N74" s="1056">
        <f>SUMIF('A-3 On-Site Habitat Enhancement'!$S$12:$S$257,'G-2 Habitat groups'!A74,'A-3 On-Site Habitat Enhancement'!$AN$12:$AN$257)</f>
        <v>0</v>
      </c>
      <c r="O74" s="1056">
        <f t="shared" si="54"/>
        <v>0</v>
      </c>
      <c r="P74" s="1056">
        <f t="shared" si="55"/>
        <v>0</v>
      </c>
      <c r="Q74" s="1056">
        <f t="shared" si="56"/>
        <v>0</v>
      </c>
      <c r="R74" s="1056">
        <f t="shared" si="57"/>
        <v>0</v>
      </c>
      <c r="S74" s="1056">
        <f>SUMIF('D-1 Off-Site Habitat Baseline'!$AV$11:$AV$258,'G-2 Habitat groups'!A74,'D-1 Off-Site Habitat Baseline'!$H$11:$H$258)</f>
        <v>0</v>
      </c>
      <c r="T74" s="1056">
        <f>SUMIF('D-1 Off-Site Habitat Baseline'!$AV$11:$AV$258,'G-2 Habitat groups'!A74,'D-1 Off-Site Habitat Baseline'!$T$11:$T$258)</f>
        <v>0</v>
      </c>
      <c r="U74" s="1056">
        <f>SUMIF('D-1 Off-Site Habitat Baseline'!$AV$11:$AV$258,'G-2 Habitat groups'!A74,'D-1 Off-Site Habitat Baseline'!$V$11:$V$258)</f>
        <v>0</v>
      </c>
      <c r="V74" s="1056">
        <f>SUMIF('D-1 Off-Site Habitat Baseline'!$AV$11:$AV$258,'G-2 Habitat groups'!A74,'D-1 Off-Site Habitat Baseline'!$X$11:$X$258)+SUMIF('D-1 Off-Site Habitat Baseline'!$AV$11:$AV$258,'G-2 Habitat groups'!A74,'D-1 Off-Site Habitat Baseline'!$AS$11:$AS$258)</f>
        <v>0</v>
      </c>
      <c r="W74" s="1056">
        <f>SUMIF('D-2 Off-Site Habitat Creation'!$F$9:$F$255,'G-2 Habitat groups'!A74,'D-2 Off-Site Habitat Creation'!$G$9:$G$255)</f>
        <v>0</v>
      </c>
      <c r="X74" s="1056">
        <f>SUMIF('D-2 Off-Site Habitat Creation'!$F$9:$F$255,'G-2 Habitat groups'!A74,'D-2 Off-Site Habitat Creation'!$AB$9:$AB$255)</f>
        <v>0</v>
      </c>
      <c r="Y74" s="1056">
        <f>SUMIF('D-3 Off-Site Habitat Enhancment'!$S$12:$S$491,'G-2 Habitat groups'!A74,'D-3 Off-Site Habitat Enhancment'!$V$12:$V$491)</f>
        <v>0</v>
      </c>
      <c r="Z74" s="1056">
        <f>SUMIF('D-3 Off-Site Habitat Enhancment'!$S$12:$S$491,'G-2 Habitat groups'!A74,'D-3 Off-Site Habitat Enhancment'!$AQ$12:$AQ$491)</f>
        <v>0</v>
      </c>
      <c r="AA74" s="1056">
        <f t="shared" si="58"/>
        <v>0</v>
      </c>
      <c r="AB74" s="1056">
        <f t="shared" si="59"/>
        <v>0</v>
      </c>
      <c r="AC74" s="1056">
        <f t="shared" si="60"/>
        <v>0</v>
      </c>
      <c r="AD74" s="1056">
        <f t="shared" si="61"/>
        <v>0</v>
      </c>
      <c r="AE74" s="1056">
        <f t="shared" si="62"/>
        <v>0</v>
      </c>
      <c r="AF74" s="1056">
        <f t="shared" si="63"/>
        <v>0</v>
      </c>
    </row>
    <row r="75" spans="1:32" ht="14">
      <c r="A75" s="72" t="str">
        <f>'G-1 All Habitats'!B74</f>
        <v>Urban - Actively worked sand pit quarry or open cast mine</v>
      </c>
      <c r="B75" s="72" t="s">
        <v>110</v>
      </c>
      <c r="C75" s="72" t="str">
        <f>'G-1 All Habitats'!K74</f>
        <v>Low</v>
      </c>
      <c r="D75" s="72" t="str">
        <f>'G-1 All Habitats'!M74</f>
        <v>Same distinctiveness or better habitat required ≥</v>
      </c>
      <c r="E75" s="1056">
        <f>SUMIF('A-1 On-Site Habitat Baseline'!$AV$11:$AV$258,'G-2 Habitat groups'!A75,'A-1 On-Site Habitat Baseline'!$H$11:$H$258)</f>
        <v>0</v>
      </c>
      <c r="F75" s="1056">
        <f>SUMIF('A-1 On-Site Habitat Baseline'!$AV$11:$AV$258,'G-2 Habitat groups'!A75,'A-1 On-Site Habitat Baseline'!$Q$11:$Q$258)</f>
        <v>0</v>
      </c>
      <c r="G75" s="1056">
        <f>SUMIF('A-1 On-Site Habitat Baseline'!$AV$11:$AV$258,'G-2 Habitat groups'!A75,'A-1 On-Site Habitat Baseline'!$S$11:$S$258)</f>
        <v>0</v>
      </c>
      <c r="H75" s="1056">
        <f>SUMIF('A-1 On-Site Habitat Baseline'!$AV$11:$AV$258,'G-2 Habitat groups'!A75,'A-1 On-Site Habitat Baseline'!$U$11:$U$258)+SUMIF('A-1 On-Site Habitat Baseline'!$AV$11:$AV$258,'G-2 Habitat groups'!A75,'A-1 On-Site Habitat Baseline'!$AT$11:$AT$258)</f>
        <v>0</v>
      </c>
      <c r="I75" s="1056">
        <f>SUMIF('A-1 On-Site Habitat Baseline'!$AV$11:$AV$258,'G-2 Habitat groups'!A75,'A-1 On-Site Habitat Baseline'!$W$11:$W$258)</f>
        <v>0</v>
      </c>
      <c r="J75" s="1056">
        <f>SUMIF('A-1 On-Site Habitat Baseline'!$AV$11:$AV$258,'G-2 Habitat groups'!A75,'A-1 On-Site Habitat Baseline'!$X$11:$X$258)</f>
        <v>0</v>
      </c>
      <c r="K75" s="1056">
        <f>SUMIF('A-2 On-Site Habitat Creation'!$F$11:$F$256,'G-2 Habitat groups'!A75,'A-2 On-Site Habitat Creation'!$G$11:$G$256)</f>
        <v>0</v>
      </c>
      <c r="L75" s="1056">
        <f>SUMIF('A-2 On-Site Habitat Creation'!$F$11:$F$256,'G-2 Habitat groups'!A75,'A-2 On-Site Habitat Creation'!$Y$11:$Y$256)</f>
        <v>0</v>
      </c>
      <c r="M75" s="1056">
        <f>SUMIF('A-3 On-Site Habitat Enhancement'!$S$12:$S$257,'G-2 Habitat groups'!A75,'A-3 On-Site Habitat Enhancement'!$V$12:$V$257)</f>
        <v>0</v>
      </c>
      <c r="N75" s="1056">
        <f>SUMIF('A-3 On-Site Habitat Enhancement'!$S$12:$S$257,'G-2 Habitat groups'!A75,'A-3 On-Site Habitat Enhancement'!$AN$12:$AN$257)</f>
        <v>0</v>
      </c>
      <c r="O75" s="1056">
        <f t="shared" si="54"/>
        <v>0</v>
      </c>
      <c r="P75" s="1056">
        <f t="shared" si="55"/>
        <v>0</v>
      </c>
      <c r="Q75" s="1056">
        <f t="shared" si="56"/>
        <v>0</v>
      </c>
      <c r="R75" s="1056">
        <f t="shared" si="57"/>
        <v>0</v>
      </c>
      <c r="S75" s="1056">
        <f>SUMIF('D-1 Off-Site Habitat Baseline'!$AV$11:$AV$258,'G-2 Habitat groups'!A75,'D-1 Off-Site Habitat Baseline'!$H$11:$H$258)</f>
        <v>0</v>
      </c>
      <c r="T75" s="1056">
        <f>SUMIF('D-1 Off-Site Habitat Baseline'!$AV$11:$AV$258,'G-2 Habitat groups'!A75,'D-1 Off-Site Habitat Baseline'!$T$11:$T$258)</f>
        <v>0</v>
      </c>
      <c r="U75" s="1056">
        <f>SUMIF('D-1 Off-Site Habitat Baseline'!$AV$11:$AV$258,'G-2 Habitat groups'!A75,'D-1 Off-Site Habitat Baseline'!$V$11:$V$258)</f>
        <v>0</v>
      </c>
      <c r="V75" s="1056">
        <f>SUMIF('D-1 Off-Site Habitat Baseline'!$AV$11:$AV$258,'G-2 Habitat groups'!A75,'D-1 Off-Site Habitat Baseline'!$X$11:$X$258)+SUMIF('D-1 Off-Site Habitat Baseline'!$AV$11:$AV$258,'G-2 Habitat groups'!A75,'D-1 Off-Site Habitat Baseline'!$AS$11:$AS$258)</f>
        <v>0</v>
      </c>
      <c r="W75" s="1056">
        <f>SUMIF('D-2 Off-Site Habitat Creation'!$F$9:$F$255,'G-2 Habitat groups'!A75,'D-2 Off-Site Habitat Creation'!$G$9:$G$255)</f>
        <v>0</v>
      </c>
      <c r="X75" s="1056">
        <f>SUMIF('D-2 Off-Site Habitat Creation'!$F$9:$F$255,'G-2 Habitat groups'!A75,'D-2 Off-Site Habitat Creation'!$AB$9:$AB$255)</f>
        <v>0</v>
      </c>
      <c r="Y75" s="1056">
        <f>SUMIF('D-3 Off-Site Habitat Enhancment'!$S$12:$S$491,'G-2 Habitat groups'!A75,'D-3 Off-Site Habitat Enhancment'!$V$12:$V$491)</f>
        <v>0</v>
      </c>
      <c r="Z75" s="1056">
        <f>SUMIF('D-3 Off-Site Habitat Enhancment'!$S$12:$S$491,'G-2 Habitat groups'!A75,'D-3 Off-Site Habitat Enhancment'!$AQ$12:$AQ$491)</f>
        <v>0</v>
      </c>
      <c r="AA75" s="1056">
        <f t="shared" si="58"/>
        <v>0</v>
      </c>
      <c r="AB75" s="1056">
        <f t="shared" si="59"/>
        <v>0</v>
      </c>
      <c r="AC75" s="1056">
        <f t="shared" si="60"/>
        <v>0</v>
      </c>
      <c r="AD75" s="1056">
        <f t="shared" si="61"/>
        <v>0</v>
      </c>
      <c r="AE75" s="1056">
        <f t="shared" si="62"/>
        <v>0</v>
      </c>
      <c r="AF75" s="1056">
        <f t="shared" si="63"/>
        <v>0</v>
      </c>
    </row>
    <row r="76" spans="1:32" ht="14">
      <c r="A76" s="72" t="str">
        <f>'G-1 All Habitats'!B80</f>
        <v>Individual trees - Urban tree</v>
      </c>
      <c r="B76" s="72" t="s">
        <v>119</v>
      </c>
      <c r="C76" s="72" t="str">
        <f>'G-1 All Habitats'!K80</f>
        <v>Medium</v>
      </c>
      <c r="D76" s="72" t="str">
        <f>'G-1 All Habitats'!M80</f>
        <v>Same broad habitat or a higher distinctiveness habitat required (≥)</v>
      </c>
      <c r="E76" s="1056">
        <f>SUMIF('A-1 On-Site Habitat Baseline'!$AV$11:$AV$258,'G-2 Habitat groups'!A76,'A-1 On-Site Habitat Baseline'!$H$11:$H$258)</f>
        <v>0</v>
      </c>
      <c r="F76" s="1056">
        <f>SUMIF('A-1 On-Site Habitat Baseline'!$AV$11:$AV$258,'G-2 Habitat groups'!A76,'A-1 On-Site Habitat Baseline'!$Q$11:$Q$258)</f>
        <v>0</v>
      </c>
      <c r="G76" s="1056">
        <f>SUMIF('A-1 On-Site Habitat Baseline'!$AV$11:$AV$258,'G-2 Habitat groups'!A76,'A-1 On-Site Habitat Baseline'!$S$11:$S$258)</f>
        <v>0</v>
      </c>
      <c r="H76" s="1056">
        <f>SUMIF('A-1 On-Site Habitat Baseline'!$AV$11:$AV$258,'G-2 Habitat groups'!A76,'A-1 On-Site Habitat Baseline'!$U$11:$U$258)+SUMIF('A-1 On-Site Habitat Baseline'!$AV$11:$AV$258,'G-2 Habitat groups'!A76,'A-1 On-Site Habitat Baseline'!$AT$11:$AT$258)</f>
        <v>0</v>
      </c>
      <c r="I76" s="1056">
        <f>SUMIF('A-1 On-Site Habitat Baseline'!$AV$11:$AV$258,'G-2 Habitat groups'!A76,'A-1 On-Site Habitat Baseline'!$W$11:$W$258)</f>
        <v>0</v>
      </c>
      <c r="J76" s="1056">
        <f>SUMIF('A-1 On-Site Habitat Baseline'!$AV$11:$AV$258,'G-2 Habitat groups'!A76,'A-1 On-Site Habitat Baseline'!$X$11:$X$258)</f>
        <v>0</v>
      </c>
      <c r="K76" s="1056">
        <f>SUMIF('A-2 On-Site Habitat Creation'!$F$11:$F$256,'G-2 Habitat groups'!A76,'A-2 On-Site Habitat Creation'!$G$11:$G$256)</f>
        <v>0</v>
      </c>
      <c r="L76" s="1056">
        <f>SUMIF('A-2 On-Site Habitat Creation'!$F$11:$F$256,'G-2 Habitat groups'!A76,'A-2 On-Site Habitat Creation'!$Y$11:$Y$256)</f>
        <v>0</v>
      </c>
      <c r="M76" s="1056">
        <f>SUMIF('A-3 On-Site Habitat Enhancement'!$S$12:$S$257,'G-2 Habitat groups'!A76,'A-3 On-Site Habitat Enhancement'!$V$12:$V$257)</f>
        <v>0</v>
      </c>
      <c r="N76" s="1056">
        <f>SUMIF('A-3 On-Site Habitat Enhancement'!$S$12:$S$257,'G-2 Habitat groups'!A76,'A-3 On-Site Habitat Enhancement'!$AN$12:$AN$257)</f>
        <v>0</v>
      </c>
      <c r="O76" s="1056">
        <f t="shared" si="54"/>
        <v>0</v>
      </c>
      <c r="P76" s="1056">
        <f t="shared" si="55"/>
        <v>0</v>
      </c>
      <c r="Q76" s="1056">
        <f t="shared" si="56"/>
        <v>0</v>
      </c>
      <c r="R76" s="1056">
        <f t="shared" si="57"/>
        <v>0</v>
      </c>
      <c r="S76" s="1056">
        <f>SUMIF('D-1 Off-Site Habitat Baseline'!$AV$11:$AV$258,'G-2 Habitat groups'!A76,'D-1 Off-Site Habitat Baseline'!$H$11:$H$258)</f>
        <v>0</v>
      </c>
      <c r="T76" s="1056">
        <f>SUMIF('D-1 Off-Site Habitat Baseline'!$AV$11:$AV$258,'G-2 Habitat groups'!A76,'D-1 Off-Site Habitat Baseline'!$T$11:$T$258)</f>
        <v>0</v>
      </c>
      <c r="U76" s="1056">
        <f>SUMIF('D-1 Off-Site Habitat Baseline'!$AV$11:$AV$258,'G-2 Habitat groups'!A76,'D-1 Off-Site Habitat Baseline'!$V$11:$V$258)</f>
        <v>0</v>
      </c>
      <c r="V76" s="1056">
        <f>SUMIF('D-1 Off-Site Habitat Baseline'!$AV$11:$AV$258,'G-2 Habitat groups'!A76,'D-1 Off-Site Habitat Baseline'!$X$11:$X$258)+SUMIF('D-1 Off-Site Habitat Baseline'!$AV$11:$AV$258,'G-2 Habitat groups'!A76,'D-1 Off-Site Habitat Baseline'!$AS$11:$AS$258)</f>
        <v>0</v>
      </c>
      <c r="W76" s="1056">
        <f>SUMIF('D-2 Off-Site Habitat Creation'!$F$9:$F$255,'G-2 Habitat groups'!A76,'D-2 Off-Site Habitat Creation'!$G$9:$G$255)</f>
        <v>0</v>
      </c>
      <c r="X76" s="1056">
        <f>SUMIF('D-2 Off-Site Habitat Creation'!$F$9:$F$255,'G-2 Habitat groups'!A76,'D-2 Off-Site Habitat Creation'!$AB$9:$AB$255)</f>
        <v>0</v>
      </c>
      <c r="Y76" s="1056">
        <f>SUMIF('D-3 Off-Site Habitat Enhancment'!$S$12:$S$491,'G-2 Habitat groups'!A76,'D-3 Off-Site Habitat Enhancment'!$V$12:$V$491)</f>
        <v>0</v>
      </c>
      <c r="Z76" s="1056">
        <f>SUMIF('D-3 Off-Site Habitat Enhancment'!$S$12:$S$491,'G-2 Habitat groups'!A76,'D-3 Off-Site Habitat Enhancment'!$AQ$12:$AQ$491)</f>
        <v>0</v>
      </c>
      <c r="AA76" s="1056">
        <f t="shared" si="58"/>
        <v>0</v>
      </c>
      <c r="AB76" s="1056">
        <f t="shared" si="59"/>
        <v>0</v>
      </c>
      <c r="AC76" s="1056">
        <f t="shared" si="60"/>
        <v>0</v>
      </c>
      <c r="AD76" s="1056">
        <f t="shared" si="61"/>
        <v>0</v>
      </c>
      <c r="AE76" s="1056">
        <f t="shared" si="62"/>
        <v>0</v>
      </c>
      <c r="AF76" s="1056">
        <f t="shared" si="63"/>
        <v>0</v>
      </c>
    </row>
    <row r="77" spans="1:59" ht="35">
      <c r="A77" s="72" t="str">
        <f>'G-1 All Habitats'!B75</f>
        <v>Urban - Sustainable drainage system</v>
      </c>
      <c r="B77" s="72" t="s">
        <v>110</v>
      </c>
      <c r="C77" s="72" t="str">
        <f>'G-1 All Habitats'!K75</f>
        <v>Low</v>
      </c>
      <c r="D77" s="72" t="str">
        <f>'G-1 All Habitats'!M75</f>
        <v>Same distinctiveness or better habitat required ≥</v>
      </c>
      <c r="E77" s="1056">
        <f>SUMIF('A-1 On-Site Habitat Baseline'!$AV$11:$AV$258,'G-2 Habitat groups'!A77,'A-1 On-Site Habitat Baseline'!$H$11:$H$258)</f>
        <v>0</v>
      </c>
      <c r="F77" s="1056">
        <f>SUMIF('A-1 On-Site Habitat Baseline'!$AV$11:$AV$258,'G-2 Habitat groups'!A77,'A-1 On-Site Habitat Baseline'!$Q$11:$Q$258)</f>
        <v>0</v>
      </c>
      <c r="G77" s="1056">
        <f>SUMIF('A-1 On-Site Habitat Baseline'!$AV$11:$AV$258,'G-2 Habitat groups'!A77,'A-1 On-Site Habitat Baseline'!$S$11:$S$258)</f>
        <v>0</v>
      </c>
      <c r="H77" s="1056">
        <f>SUMIF('A-1 On-Site Habitat Baseline'!$AV$11:$AV$258,'G-2 Habitat groups'!A77,'A-1 On-Site Habitat Baseline'!$U$11:$U$258)+SUMIF('A-1 On-Site Habitat Baseline'!$AV$11:$AV$258,'G-2 Habitat groups'!A77,'A-1 On-Site Habitat Baseline'!$AT$11:$AT$258)</f>
        <v>0</v>
      </c>
      <c r="I77" s="1056">
        <f>SUMIF('A-1 On-Site Habitat Baseline'!$AV$11:$AV$258,'G-2 Habitat groups'!A77,'A-1 On-Site Habitat Baseline'!$W$11:$W$258)</f>
        <v>0</v>
      </c>
      <c r="J77" s="1056">
        <f>SUMIF('A-1 On-Site Habitat Baseline'!$AV$11:$AV$258,'G-2 Habitat groups'!A77,'A-1 On-Site Habitat Baseline'!$X$11:$X$258)</f>
        <v>0</v>
      </c>
      <c r="K77" s="1056">
        <f>SUMIF('A-2 On-Site Habitat Creation'!$F$11:$F$256,'G-2 Habitat groups'!A77,'A-2 On-Site Habitat Creation'!$G$11:$G$256)</f>
        <v>0.63</v>
      </c>
      <c r="L77" s="1056">
        <f>SUMIF('A-2 On-Site Habitat Creation'!$F$11:$F$256,'G-2 Habitat groups'!A77,'A-2 On-Site Habitat Creation'!$Y$11:$Y$256)</f>
        <v>1.5172504798500002</v>
      </c>
      <c r="M77" s="1056">
        <f>SUMIF('A-3 On-Site Habitat Enhancement'!$S$12:$S$257,'G-2 Habitat groups'!A77,'A-3 On-Site Habitat Enhancement'!$V$12:$V$257)</f>
        <v>0</v>
      </c>
      <c r="N77" s="1056">
        <f>SUMIF('A-3 On-Site Habitat Enhancement'!$S$12:$S$257,'G-2 Habitat groups'!A77,'A-3 On-Site Habitat Enhancement'!$AN$12:$AN$257)</f>
        <v>0</v>
      </c>
      <c r="O77" s="1056">
        <f t="shared" si="54"/>
        <v>0.63</v>
      </c>
      <c r="P77" s="1056">
        <f t="shared" si="55"/>
        <v>1.5172504798500002</v>
      </c>
      <c r="Q77" s="1056">
        <f t="shared" si="56"/>
        <v>0.63</v>
      </c>
      <c r="R77" s="1056">
        <f t="shared" si="57"/>
        <v>1.5172504798500002</v>
      </c>
      <c r="S77" s="1056">
        <f>SUMIF('D-1 Off-Site Habitat Baseline'!$AV$11:$AV$258,'G-2 Habitat groups'!A77,'D-1 Off-Site Habitat Baseline'!$H$11:$H$258)</f>
        <v>0</v>
      </c>
      <c r="T77" s="1056">
        <f>SUMIF('D-1 Off-Site Habitat Baseline'!$AV$11:$AV$258,'G-2 Habitat groups'!A77,'D-1 Off-Site Habitat Baseline'!$T$11:$T$258)</f>
        <v>0</v>
      </c>
      <c r="U77" s="1056">
        <f>SUMIF('D-1 Off-Site Habitat Baseline'!$AV$11:$AV$258,'G-2 Habitat groups'!A77,'D-1 Off-Site Habitat Baseline'!$V$11:$V$258)</f>
        <v>0</v>
      </c>
      <c r="V77" s="1056">
        <f>SUMIF('D-1 Off-Site Habitat Baseline'!$AV$11:$AV$258,'G-2 Habitat groups'!A77,'D-1 Off-Site Habitat Baseline'!$X$11:$X$258)+SUMIF('D-1 Off-Site Habitat Baseline'!$AV$11:$AV$258,'G-2 Habitat groups'!A77,'D-1 Off-Site Habitat Baseline'!$AS$11:$AS$258)</f>
        <v>0</v>
      </c>
      <c r="W77" s="1056">
        <f>SUMIF('D-2 Off-Site Habitat Creation'!$F$9:$F$255,'G-2 Habitat groups'!A77,'D-2 Off-Site Habitat Creation'!$G$9:$G$255)</f>
        <v>0</v>
      </c>
      <c r="X77" s="1056">
        <f>SUMIF('D-2 Off-Site Habitat Creation'!$F$9:$F$255,'G-2 Habitat groups'!A77,'D-2 Off-Site Habitat Creation'!$AB$9:$AB$255)</f>
        <v>0</v>
      </c>
      <c r="Y77" s="1056">
        <f>SUMIF('D-3 Off-Site Habitat Enhancment'!$S$12:$S$491,'G-2 Habitat groups'!A77,'D-3 Off-Site Habitat Enhancment'!$V$12:$V$491)</f>
        <v>0</v>
      </c>
      <c r="Z77" s="1056">
        <f>SUMIF('D-3 Off-Site Habitat Enhancment'!$S$12:$S$491,'G-2 Habitat groups'!A77,'D-3 Off-Site Habitat Enhancment'!$AQ$12:$AQ$491)</f>
        <v>0</v>
      </c>
      <c r="AA77" s="1056">
        <f t="shared" si="58"/>
        <v>0</v>
      </c>
      <c r="AB77" s="1056">
        <f t="shared" si="59"/>
        <v>0</v>
      </c>
      <c r="AC77" s="1056">
        <f t="shared" si="60"/>
        <v>0</v>
      </c>
      <c r="AD77" s="1056">
        <f t="shared" si="61"/>
        <v>0</v>
      </c>
      <c r="AE77" s="1056">
        <f t="shared" si="62"/>
        <v>0.63</v>
      </c>
      <c r="AF77" s="1056">
        <f t="shared" si="63"/>
        <v>1.5172504798500002</v>
      </c>
      <c r="AU77" s="223" t="s">
        <v>46</v>
      </c>
      <c r="AV77" s="67"/>
      <c r="AW77" s="67"/>
      <c r="AX77" s="67"/>
      <c r="AY77" s="67"/>
      <c r="AZ77" s="67"/>
      <c r="BA77" s="67"/>
      <c r="BB77" s="67"/>
      <c r="BC77" s="67"/>
      <c r="BD77" s="67"/>
      <c r="BE77" s="67"/>
      <c r="BF77" s="67"/>
      <c r="BG77" s="79"/>
    </row>
    <row r="78" spans="1:59" ht="33.75" customHeight="1">
      <c r="A78" s="72" t="str">
        <f>'G-1 All Habitats'!B76</f>
        <v>Urban - Unvegetated garden</v>
      </c>
      <c r="B78" s="72" t="s">
        <v>110</v>
      </c>
      <c r="C78" s="72" t="str">
        <f>'G-1 All Habitats'!K76</f>
        <v>V.Low</v>
      </c>
      <c r="D78" s="72" t="str">
        <f>'G-1 All Habitats'!M76</f>
        <v>Compensation Not Required</v>
      </c>
      <c r="E78" s="1056">
        <f>SUMIF('A-1 On-Site Habitat Baseline'!$AV$11:$AV$258,'G-2 Habitat groups'!A78,'A-1 On-Site Habitat Baseline'!$H$11:$H$258)</f>
        <v>0</v>
      </c>
      <c r="F78" s="1056">
        <f>SUMIF('A-1 On-Site Habitat Baseline'!$AV$11:$AV$258,'G-2 Habitat groups'!A78,'A-1 On-Site Habitat Baseline'!$Q$11:$Q$258)</f>
        <v>0</v>
      </c>
      <c r="G78" s="1056">
        <f>SUMIF('A-1 On-Site Habitat Baseline'!$AV$11:$AV$258,'G-2 Habitat groups'!A78,'A-1 On-Site Habitat Baseline'!$S$11:$S$258)</f>
        <v>0</v>
      </c>
      <c r="H78" s="1056">
        <f>SUMIF('A-1 On-Site Habitat Baseline'!$AV$11:$AV$258,'G-2 Habitat groups'!A78,'A-1 On-Site Habitat Baseline'!$U$11:$U$258)+SUMIF('A-1 On-Site Habitat Baseline'!$AV$11:$AV$258,'G-2 Habitat groups'!A78,'A-1 On-Site Habitat Baseline'!$AT$11:$AT$258)</f>
        <v>0</v>
      </c>
      <c r="I78" s="1056">
        <f>SUMIF('A-1 On-Site Habitat Baseline'!$AV$11:$AV$258,'G-2 Habitat groups'!A78,'A-1 On-Site Habitat Baseline'!$W$11:$W$258)</f>
        <v>0</v>
      </c>
      <c r="J78" s="1056">
        <f>SUMIF('A-1 On-Site Habitat Baseline'!$AV$11:$AV$258,'G-2 Habitat groups'!A78,'A-1 On-Site Habitat Baseline'!$X$11:$X$258)</f>
        <v>0</v>
      </c>
      <c r="K78" s="1056">
        <f>SUMIF('A-2 On-Site Habitat Creation'!$F$11:$F$256,'G-2 Habitat groups'!A78,'A-2 On-Site Habitat Creation'!$G$11:$G$256)</f>
        <v>0</v>
      </c>
      <c r="L78" s="1056">
        <f>SUMIF('A-2 On-Site Habitat Creation'!$F$11:$F$256,'G-2 Habitat groups'!A78,'A-2 On-Site Habitat Creation'!$Y$11:$Y$256)</f>
        <v>0</v>
      </c>
      <c r="M78" s="1056">
        <f>SUMIF('A-3 On-Site Habitat Enhancement'!$S$12:$S$257,'G-2 Habitat groups'!A78,'A-3 On-Site Habitat Enhancement'!$V$12:$V$257)</f>
        <v>0</v>
      </c>
      <c r="N78" s="1056">
        <f>SUMIF('A-3 On-Site Habitat Enhancement'!$S$12:$S$257,'G-2 Habitat groups'!A78,'A-3 On-Site Habitat Enhancement'!$AN$12:$AN$257)</f>
        <v>0</v>
      </c>
      <c r="O78" s="1056">
        <f t="shared" si="54"/>
        <v>0</v>
      </c>
      <c r="P78" s="1056">
        <f t="shared" si="55"/>
        <v>0</v>
      </c>
      <c r="Q78" s="1056">
        <f t="shared" si="56"/>
        <v>0</v>
      </c>
      <c r="R78" s="1056">
        <f t="shared" si="57"/>
        <v>0</v>
      </c>
      <c r="S78" s="1056">
        <f>SUMIF('D-1 Off-Site Habitat Baseline'!$AV$11:$AV$258,'G-2 Habitat groups'!A78,'D-1 Off-Site Habitat Baseline'!$H$11:$H$258)</f>
        <v>0</v>
      </c>
      <c r="T78" s="1056">
        <f>SUMIF('D-1 Off-Site Habitat Baseline'!$AV$11:$AV$258,'G-2 Habitat groups'!A78,'D-1 Off-Site Habitat Baseline'!$T$11:$T$258)</f>
        <v>0</v>
      </c>
      <c r="U78" s="1056">
        <f>SUMIF('D-1 Off-Site Habitat Baseline'!$AV$11:$AV$258,'G-2 Habitat groups'!A78,'D-1 Off-Site Habitat Baseline'!$V$11:$V$258)</f>
        <v>0</v>
      </c>
      <c r="V78" s="1056">
        <f>SUMIF('D-1 Off-Site Habitat Baseline'!$AV$11:$AV$258,'G-2 Habitat groups'!A78,'D-1 Off-Site Habitat Baseline'!$X$11:$X$258)+SUMIF('D-1 Off-Site Habitat Baseline'!$AV$11:$AV$258,'G-2 Habitat groups'!A78,'D-1 Off-Site Habitat Baseline'!$AS$11:$AS$258)</f>
        <v>0</v>
      </c>
      <c r="W78" s="1056">
        <f>SUMIF('D-2 Off-Site Habitat Creation'!$F$9:$F$255,'G-2 Habitat groups'!A78,'D-2 Off-Site Habitat Creation'!$G$9:$G$255)</f>
        <v>0</v>
      </c>
      <c r="X78" s="1056">
        <f>SUMIF('D-2 Off-Site Habitat Creation'!$F$9:$F$255,'G-2 Habitat groups'!A78,'D-2 Off-Site Habitat Creation'!$AB$9:$AB$255)</f>
        <v>0</v>
      </c>
      <c r="Y78" s="1056">
        <f>SUMIF('D-3 Off-Site Habitat Enhancment'!$S$12:$S$491,'G-2 Habitat groups'!A78,'D-3 Off-Site Habitat Enhancment'!$V$12:$V$491)</f>
        <v>0</v>
      </c>
      <c r="Z78" s="1056">
        <f>SUMIF('D-3 Off-Site Habitat Enhancment'!$S$12:$S$491,'G-2 Habitat groups'!A78,'D-3 Off-Site Habitat Enhancment'!$AQ$12:$AQ$491)</f>
        <v>0</v>
      </c>
      <c r="AA78" s="1056">
        <f t="shared" si="58"/>
        <v>0</v>
      </c>
      <c r="AB78" s="1056">
        <f t="shared" si="59"/>
        <v>0</v>
      </c>
      <c r="AC78" s="1056">
        <f t="shared" si="60"/>
        <v>0</v>
      </c>
      <c r="AD78" s="1056">
        <f t="shared" si="61"/>
        <v>0</v>
      </c>
      <c r="AE78" s="1056">
        <f t="shared" si="62"/>
        <v>0</v>
      </c>
      <c r="AF78" s="1056">
        <f t="shared" si="63"/>
        <v>0</v>
      </c>
      <c r="AU78" s="81" t="s">
        <v>520</v>
      </c>
      <c r="AV78" s="84" t="s">
        <v>201</v>
      </c>
      <c r="AW78" s="85" t="s">
        <v>1088</v>
      </c>
      <c r="AX78" s="85" t="s">
        <v>1089</v>
      </c>
      <c r="AY78" s="85" t="s">
        <v>1090</v>
      </c>
      <c r="AZ78" s="85" t="s">
        <v>1091</v>
      </c>
      <c r="BA78" s="85" t="s">
        <v>1092</v>
      </c>
      <c r="BB78" s="85" t="s">
        <v>1093</v>
      </c>
      <c r="BC78" s="85" t="s">
        <v>1094</v>
      </c>
      <c r="BD78" s="84" t="s">
        <v>1095</v>
      </c>
      <c r="BE78" s="85" t="s">
        <v>1096</v>
      </c>
      <c r="BF78" s="85" t="s">
        <v>1104</v>
      </c>
      <c r="BG78" s="80"/>
    </row>
    <row r="79" spans="1:58" ht="14">
      <c r="A79" s="72" t="str">
        <f>'G-1 All Habitats'!B77</f>
        <v>Urban - Vacant or derelict land</v>
      </c>
      <c r="B79" s="72" t="s">
        <v>110</v>
      </c>
      <c r="C79" s="72" t="str">
        <f>'G-1 All Habitats'!K77</f>
        <v>Low</v>
      </c>
      <c r="D79" s="72" t="str">
        <f>'G-1 All Habitats'!M77</f>
        <v>Same distinctiveness or better habitat required ≥</v>
      </c>
      <c r="E79" s="1056">
        <f>SUMIF('A-1 On-Site Habitat Baseline'!$AV$11:$AV$258,'G-2 Habitat groups'!A79,'A-1 On-Site Habitat Baseline'!$H$11:$H$258)</f>
        <v>0</v>
      </c>
      <c r="F79" s="1056">
        <f>SUMIF('A-1 On-Site Habitat Baseline'!$AV$11:$AV$258,'G-2 Habitat groups'!A79,'A-1 On-Site Habitat Baseline'!$Q$11:$Q$258)</f>
        <v>0</v>
      </c>
      <c r="G79" s="1056">
        <f>SUMIF('A-1 On-Site Habitat Baseline'!$AV$11:$AV$258,'G-2 Habitat groups'!A79,'A-1 On-Site Habitat Baseline'!$S$11:$S$258)</f>
        <v>0</v>
      </c>
      <c r="H79" s="1056">
        <f>SUMIF('A-1 On-Site Habitat Baseline'!$AV$11:$AV$258,'G-2 Habitat groups'!A79,'A-1 On-Site Habitat Baseline'!$U$11:$U$258)+SUMIF('A-1 On-Site Habitat Baseline'!$AV$11:$AV$258,'G-2 Habitat groups'!A79,'A-1 On-Site Habitat Baseline'!$AT$11:$AT$258)</f>
        <v>0</v>
      </c>
      <c r="I79" s="1056">
        <f>SUMIF('A-1 On-Site Habitat Baseline'!$AV$11:$AV$258,'G-2 Habitat groups'!A79,'A-1 On-Site Habitat Baseline'!$W$11:$W$258)</f>
        <v>0</v>
      </c>
      <c r="J79" s="1056">
        <f>SUMIF('A-1 On-Site Habitat Baseline'!$AV$11:$AV$258,'G-2 Habitat groups'!A79,'A-1 On-Site Habitat Baseline'!$X$11:$X$258)</f>
        <v>0</v>
      </c>
      <c r="K79" s="1056">
        <f>SUMIF('A-2 On-Site Habitat Creation'!$F$11:$F$256,'G-2 Habitat groups'!A79,'A-2 On-Site Habitat Creation'!$G$11:$G$256)</f>
        <v>0</v>
      </c>
      <c r="L79" s="1056">
        <f>SUMIF('A-2 On-Site Habitat Creation'!$F$11:$F$256,'G-2 Habitat groups'!A79,'A-2 On-Site Habitat Creation'!$Y$11:$Y$256)</f>
        <v>0</v>
      </c>
      <c r="M79" s="1056">
        <f>SUMIF('A-3 On-Site Habitat Enhancement'!$S$12:$S$257,'G-2 Habitat groups'!A79,'A-3 On-Site Habitat Enhancement'!$V$12:$V$257)</f>
        <v>0</v>
      </c>
      <c r="N79" s="1056">
        <f>SUMIF('A-3 On-Site Habitat Enhancement'!$S$12:$S$257,'G-2 Habitat groups'!A79,'A-3 On-Site Habitat Enhancement'!$AN$12:$AN$257)</f>
        <v>0</v>
      </c>
      <c r="O79" s="1056">
        <f t="shared" si="54"/>
        <v>0</v>
      </c>
      <c r="P79" s="1056">
        <f t="shared" si="55"/>
        <v>0</v>
      </c>
      <c r="Q79" s="1056">
        <f t="shared" si="56"/>
        <v>0</v>
      </c>
      <c r="R79" s="1056">
        <f t="shared" si="57"/>
        <v>0</v>
      </c>
      <c r="S79" s="1056">
        <f>SUMIF('D-1 Off-Site Habitat Baseline'!$AV$11:$AV$258,'G-2 Habitat groups'!A79,'D-1 Off-Site Habitat Baseline'!$H$11:$H$258)</f>
        <v>0</v>
      </c>
      <c r="T79" s="1056">
        <f>SUMIF('D-1 Off-Site Habitat Baseline'!$AV$11:$AV$258,'G-2 Habitat groups'!A79,'D-1 Off-Site Habitat Baseline'!$T$11:$T$258)</f>
        <v>0</v>
      </c>
      <c r="U79" s="1056">
        <f>SUMIF('D-1 Off-Site Habitat Baseline'!$AV$11:$AV$258,'G-2 Habitat groups'!A79,'D-1 Off-Site Habitat Baseline'!$V$11:$V$258)</f>
        <v>0</v>
      </c>
      <c r="V79" s="1056">
        <f>SUMIF('D-1 Off-Site Habitat Baseline'!$AV$11:$AV$258,'G-2 Habitat groups'!A79,'D-1 Off-Site Habitat Baseline'!$X$11:$X$258)+SUMIF('D-1 Off-Site Habitat Baseline'!$AV$11:$AV$258,'G-2 Habitat groups'!A79,'D-1 Off-Site Habitat Baseline'!$AS$11:$AS$258)</f>
        <v>0</v>
      </c>
      <c r="W79" s="1056">
        <f>SUMIF('D-2 Off-Site Habitat Creation'!$F$9:$F$255,'G-2 Habitat groups'!A79,'D-2 Off-Site Habitat Creation'!$G$9:$G$255)</f>
        <v>0</v>
      </c>
      <c r="X79" s="1056">
        <f>SUMIF('D-2 Off-Site Habitat Creation'!$F$9:$F$255,'G-2 Habitat groups'!A79,'D-2 Off-Site Habitat Creation'!$AB$9:$AB$255)</f>
        <v>0</v>
      </c>
      <c r="Y79" s="1056">
        <f>SUMIF('D-3 Off-Site Habitat Enhancment'!$S$12:$S$491,'G-2 Habitat groups'!A79,'D-3 Off-Site Habitat Enhancment'!$V$12:$V$491)</f>
        <v>0</v>
      </c>
      <c r="Z79" s="1056">
        <f>SUMIF('D-3 Off-Site Habitat Enhancment'!$S$12:$S$491,'G-2 Habitat groups'!A79,'D-3 Off-Site Habitat Enhancment'!$AQ$12:$AQ$491)</f>
        <v>0</v>
      </c>
      <c r="AA79" s="1056">
        <f t="shared" si="58"/>
        <v>0</v>
      </c>
      <c r="AB79" s="1056">
        <f t="shared" si="59"/>
        <v>0</v>
      </c>
      <c r="AC79" s="1056">
        <f t="shared" si="60"/>
        <v>0</v>
      </c>
      <c r="AD79" s="1056">
        <f t="shared" si="61"/>
        <v>0</v>
      </c>
      <c r="AE79" s="1056">
        <f t="shared" si="62"/>
        <v>0</v>
      </c>
      <c r="AF79" s="1056">
        <f t="shared" si="63"/>
        <v>0</v>
      </c>
      <c r="AU79" s="70" t="s">
        <v>641</v>
      </c>
      <c r="AV79" s="62" t="s">
        <v>105</v>
      </c>
      <c r="AW79" s="274">
        <f>VLOOKUP($AU79,AllHabsSummaryData,5,FALSE)</f>
        <v>0</v>
      </c>
      <c r="AX79" s="274">
        <f>VLOOKUP($AU79,AllHabsSummaryData,10,FALSE)</f>
        <v>0</v>
      </c>
      <c r="AY79" s="274">
        <f>VLOOKUP($AU79,AllHabsSummaryData,15,FALSE)</f>
        <v>0</v>
      </c>
      <c r="AZ79" s="274">
        <f>VLOOKUP($AU79,AllHabsSummaryData,16,FALSE)</f>
        <v>0</v>
      </c>
      <c r="BA79" s="274">
        <f>VLOOKUP($AU79,AllHabsSummaryData,17,FALSE)</f>
        <v>0</v>
      </c>
      <c r="BB79" s="274">
        <f>VLOOKUP($AU79,AllHabsSummaryData,18,FALSE)</f>
        <v>0</v>
      </c>
      <c r="BC79" s="274">
        <f>VLOOKUP($AU79,AllHabsSummaryData,27,FALSE)</f>
        <v>0</v>
      </c>
      <c r="BD79" s="274">
        <f>VLOOKUP($AU79,AllHabsSummaryData,30,FALSE)</f>
        <v>0</v>
      </c>
      <c r="BE79" s="274">
        <f>BB79+BD79</f>
        <v>0</v>
      </c>
      <c r="BF79" s="274" t="str">
        <f>IF(BE79&lt;0,BE79,"")</f>
        <v/>
      </c>
    </row>
    <row r="80" spans="1:58" ht="14">
      <c r="A80" s="72" t="s">
        <v>876</v>
      </c>
      <c r="B80" s="72" t="s">
        <v>110</v>
      </c>
      <c r="C80" s="72" t="s">
        <v>197</v>
      </c>
      <c r="D80" s="72" t="s">
        <v>198</v>
      </c>
      <c r="E80" s="1056">
        <f>SUMIF('A-1 On-Site Habitat Baseline'!$AV$11:$AV$258,'G-2 Habitat groups'!A80,'A-1 On-Site Habitat Baseline'!$H$11:$H$258)</f>
        <v>0</v>
      </c>
      <c r="F80" s="1056">
        <f>SUMIF('A-1 On-Site Habitat Baseline'!$AV$11:$AV$258,'G-2 Habitat groups'!A80,'A-1 On-Site Habitat Baseline'!$Q$11:$Q$258)</f>
        <v>0</v>
      </c>
      <c r="G80" s="1056">
        <f>SUMIF('A-1 On-Site Habitat Baseline'!$AV$11:$AV$258,'G-2 Habitat groups'!A80,'A-1 On-Site Habitat Baseline'!$S$11:$S$258)</f>
        <v>0</v>
      </c>
      <c r="H80" s="1056">
        <f>SUMIF('A-1 On-Site Habitat Baseline'!$AV$11:$AV$258,'G-2 Habitat groups'!A80,'A-1 On-Site Habitat Baseline'!$U$11:$U$258)+SUMIF('A-1 On-Site Habitat Baseline'!$AV$11:$AV$258,'G-2 Habitat groups'!A80,'A-1 On-Site Habitat Baseline'!$AT$11:$AT$258)</f>
        <v>0</v>
      </c>
      <c r="I80" s="1056">
        <f>SUMIF('A-1 On-Site Habitat Baseline'!$AV$11:$AV$258,'G-2 Habitat groups'!A80,'A-1 On-Site Habitat Baseline'!$W$11:$W$258)</f>
        <v>0</v>
      </c>
      <c r="J80" s="1056">
        <f>SUMIF('A-1 On-Site Habitat Baseline'!$AV$11:$AV$258,'G-2 Habitat groups'!A80,'A-1 On-Site Habitat Baseline'!$X$11:$X$258)</f>
        <v>0</v>
      </c>
      <c r="K80" s="1056">
        <f>SUMIF('A-2 On-Site Habitat Creation'!$F$11:$F$256,'G-2 Habitat groups'!A80,'A-2 On-Site Habitat Creation'!$G$11:$G$256)</f>
        <v>0</v>
      </c>
      <c r="L80" s="1056">
        <f>SUMIF('A-2 On-Site Habitat Creation'!$F$11:$F$256,'G-2 Habitat groups'!A80,'A-2 On-Site Habitat Creation'!$Y$11:$Y$256)</f>
        <v>0</v>
      </c>
      <c r="M80" s="1056">
        <f>SUMIF('A-3 On-Site Habitat Enhancement'!$S$12:$S$257,'G-2 Habitat groups'!A80,'A-3 On-Site Habitat Enhancement'!$V$12:$V$257)</f>
        <v>0</v>
      </c>
      <c r="N80" s="1056">
        <f>SUMIF('A-3 On-Site Habitat Enhancement'!$S$12:$S$257,'G-2 Habitat groups'!A80,'A-3 On-Site Habitat Enhancement'!$AN$12:$AN$257)</f>
        <v>0</v>
      </c>
      <c r="O80" s="1056">
        <f t="shared" si="54"/>
        <v>0</v>
      </c>
      <c r="P80" s="1056">
        <f t="shared" si="55"/>
        <v>0</v>
      </c>
      <c r="Q80" s="1056">
        <f t="shared" si="56"/>
        <v>0</v>
      </c>
      <c r="R80" s="1056">
        <f t="shared" si="57"/>
        <v>0</v>
      </c>
      <c r="S80" s="1056">
        <f>SUMIF('D-1 Off-Site Habitat Baseline'!$AV$11:$AV$258,'G-2 Habitat groups'!A80,'D-1 Off-Site Habitat Baseline'!$H$11:$H$258)</f>
        <v>0</v>
      </c>
      <c r="T80" s="1056">
        <f>SUMIF('D-1 Off-Site Habitat Baseline'!$AV$11:$AV$258,'G-2 Habitat groups'!A80,'D-1 Off-Site Habitat Baseline'!$T$11:$T$258)</f>
        <v>0</v>
      </c>
      <c r="U80" s="1056">
        <f>SUMIF('D-1 Off-Site Habitat Baseline'!$AV$11:$AV$258,'G-2 Habitat groups'!A80,'D-1 Off-Site Habitat Baseline'!$V$11:$V$258)</f>
        <v>0</v>
      </c>
      <c r="V80" s="1056">
        <f>SUMIF('D-1 Off-Site Habitat Baseline'!$AV$11:$AV$258,'G-2 Habitat groups'!A80,'D-1 Off-Site Habitat Baseline'!$X$11:$X$258)+SUMIF('D-1 Off-Site Habitat Baseline'!$AV$11:$AV$258,'G-2 Habitat groups'!A80,'D-1 Off-Site Habitat Baseline'!$AS$11:$AS$258)</f>
        <v>0</v>
      </c>
      <c r="W80" s="1056">
        <f>SUMIF('D-2 Off-Site Habitat Creation'!$F$9:$F$255,'G-2 Habitat groups'!A80,'D-2 Off-Site Habitat Creation'!$G$9:$G$255)</f>
        <v>0</v>
      </c>
      <c r="X80" s="1056">
        <f>SUMIF('D-2 Off-Site Habitat Creation'!$F$9:$F$255,'G-2 Habitat groups'!A80,'D-2 Off-Site Habitat Creation'!$AB$9:$AB$255)</f>
        <v>0</v>
      </c>
      <c r="Y80" s="1056">
        <f>SUMIF('D-3 Off-Site Habitat Enhancment'!$S$12:$S$491,'G-2 Habitat groups'!A80,'D-3 Off-Site Habitat Enhancment'!$V$12:$V$491)</f>
        <v>0</v>
      </c>
      <c r="Z80" s="1056">
        <f>SUMIF('D-3 Off-Site Habitat Enhancment'!$S$12:$S$491,'G-2 Habitat groups'!A80,'D-3 Off-Site Habitat Enhancment'!$AQ$12:$AQ$491)</f>
        <v>0</v>
      </c>
      <c r="AA80" s="1056">
        <f t="shared" si="58"/>
        <v>0</v>
      </c>
      <c r="AB80" s="1056">
        <f t="shared" si="59"/>
        <v>0</v>
      </c>
      <c r="AC80" s="1056">
        <f t="shared" si="60"/>
        <v>0</v>
      </c>
      <c r="AD80" s="1056">
        <f t="shared" si="61"/>
        <v>0</v>
      </c>
      <c r="AE80" s="1056">
        <f t="shared" si="62"/>
        <v>0</v>
      </c>
      <c r="AF80" s="1056">
        <f t="shared" si="63"/>
        <v>0</v>
      </c>
      <c r="AU80" s="70" t="s">
        <v>882</v>
      </c>
      <c r="AV80" s="62" t="s">
        <v>119</v>
      </c>
      <c r="AW80" s="274">
        <f>VLOOKUP($AU80,AllHabsSummaryData,5,FALSE)</f>
        <v>0.049</v>
      </c>
      <c r="AX80" s="274">
        <f>VLOOKUP($AU80,AllHabsSummaryData,10,FALSE)</f>
        <v>0.054120000000000015</v>
      </c>
      <c r="AY80" s="274">
        <f>VLOOKUP($AU80,AllHabsSummaryData,15,FALSE)</f>
        <v>0.06129999999999999</v>
      </c>
      <c r="AZ80" s="274">
        <f>VLOOKUP($AU80,AllHabsSummaryData,16,FALSE)</f>
        <v>0.56585599766448</v>
      </c>
      <c r="BA80" s="274">
        <f>VLOOKUP($AU80,AllHabsSummaryData,17,FALSE)</f>
        <v>0.012299999999999991</v>
      </c>
      <c r="BB80" s="274">
        <f>VLOOKUP($AU80,AllHabsSummaryData,18,FALSE)</f>
        <v>0.008815997664480046</v>
      </c>
      <c r="BC80" s="274">
        <f>VLOOKUP($AU80,AllHabsSummaryData,27,FALSE)</f>
        <v>0</v>
      </c>
      <c r="BD80" s="274">
        <f>VLOOKUP($AU80,AllHabsSummaryData,30,FALSE)</f>
        <v>0</v>
      </c>
      <c r="BE80" s="274">
        <f>BB80+BD80</f>
        <v>0.008815997664480046</v>
      </c>
      <c r="BF80" s="274" t="str">
        <f>IF(BE80&lt;0,BE80,"")</f>
        <v/>
      </c>
    </row>
    <row r="81" spans="1:58" ht="14">
      <c r="A81" s="72" t="str">
        <f>'G-1 All Habitats'!B79</f>
        <v>Urban - Vegetated garden</v>
      </c>
      <c r="B81" s="72" t="s">
        <v>110</v>
      </c>
      <c r="C81" s="72" t="str">
        <f>'G-1 All Habitats'!K79</f>
        <v>Low</v>
      </c>
      <c r="D81" s="72" t="str">
        <f>'G-1 All Habitats'!M79</f>
        <v>Same distinctiveness or better habitat required ≥</v>
      </c>
      <c r="E81" s="1056">
        <f>SUMIF('A-1 On-Site Habitat Baseline'!$AV$11:$AV$258,'G-2 Habitat groups'!A81,'A-1 On-Site Habitat Baseline'!$H$11:$H$258)</f>
        <v>0</v>
      </c>
      <c r="F81" s="1056">
        <f>SUMIF('A-1 On-Site Habitat Baseline'!$AV$11:$AV$258,'G-2 Habitat groups'!A81,'A-1 On-Site Habitat Baseline'!$Q$11:$Q$258)</f>
        <v>0</v>
      </c>
      <c r="G81" s="1056">
        <f>SUMIF('A-1 On-Site Habitat Baseline'!$AV$11:$AV$258,'G-2 Habitat groups'!A81,'A-1 On-Site Habitat Baseline'!$S$11:$S$258)</f>
        <v>0</v>
      </c>
      <c r="H81" s="1056">
        <f>SUMIF('A-1 On-Site Habitat Baseline'!$AV$11:$AV$258,'G-2 Habitat groups'!A81,'A-1 On-Site Habitat Baseline'!$U$11:$U$258)+SUMIF('A-1 On-Site Habitat Baseline'!$AV$11:$AV$258,'G-2 Habitat groups'!A81,'A-1 On-Site Habitat Baseline'!$AT$11:$AT$258)</f>
        <v>0</v>
      </c>
      <c r="I81" s="1056">
        <f>SUMIF('A-1 On-Site Habitat Baseline'!$AV$11:$AV$258,'G-2 Habitat groups'!A81,'A-1 On-Site Habitat Baseline'!$W$11:$W$258)</f>
        <v>0</v>
      </c>
      <c r="J81" s="1056">
        <f>SUMIF('A-1 On-Site Habitat Baseline'!$AV$11:$AV$258,'G-2 Habitat groups'!A81,'A-1 On-Site Habitat Baseline'!$X$11:$X$258)</f>
        <v>0</v>
      </c>
      <c r="K81" s="1056">
        <f>SUMIF('A-2 On-Site Habitat Creation'!$F$11:$F$256,'G-2 Habitat groups'!A81,'A-2 On-Site Habitat Creation'!$G$11:$G$256)</f>
        <v>1.88</v>
      </c>
      <c r="L81" s="1056">
        <f>SUMIF('A-2 On-Site Habitat Creation'!$F$11:$F$256,'G-2 Habitat groups'!A81,'A-2 On-Site Habitat Creation'!$Y$11:$Y$256)</f>
        <v>3.6283999999999996</v>
      </c>
      <c r="M81" s="1056">
        <f>SUMIF('A-3 On-Site Habitat Enhancement'!$S$12:$S$257,'G-2 Habitat groups'!A81,'A-3 On-Site Habitat Enhancement'!$V$12:$V$257)</f>
        <v>0</v>
      </c>
      <c r="N81" s="1056">
        <f>SUMIF('A-3 On-Site Habitat Enhancement'!$S$12:$S$257,'G-2 Habitat groups'!A81,'A-3 On-Site Habitat Enhancement'!$AN$12:$AN$257)</f>
        <v>0</v>
      </c>
      <c r="O81" s="1056">
        <f t="shared" si="54"/>
        <v>1.88</v>
      </c>
      <c r="P81" s="1056">
        <f t="shared" si="55"/>
        <v>3.6283999999999996</v>
      </c>
      <c r="Q81" s="1056">
        <f t="shared" si="56"/>
        <v>1.88</v>
      </c>
      <c r="R81" s="1056">
        <f t="shared" si="57"/>
        <v>3.6283999999999996</v>
      </c>
      <c r="S81" s="1056">
        <f>SUMIF('D-1 Off-Site Habitat Baseline'!$AV$11:$AV$258,'G-2 Habitat groups'!A81,'D-1 Off-Site Habitat Baseline'!$H$11:$H$258)</f>
        <v>0</v>
      </c>
      <c r="T81" s="1056">
        <f>SUMIF('D-1 Off-Site Habitat Baseline'!$AV$11:$AV$258,'G-2 Habitat groups'!A81,'D-1 Off-Site Habitat Baseline'!$T$11:$T$258)</f>
        <v>0</v>
      </c>
      <c r="U81" s="1056">
        <f>SUMIF('D-1 Off-Site Habitat Baseline'!$AV$11:$AV$258,'G-2 Habitat groups'!A81,'D-1 Off-Site Habitat Baseline'!$V$11:$V$258)</f>
        <v>0</v>
      </c>
      <c r="V81" s="1056">
        <f>SUMIF('D-1 Off-Site Habitat Baseline'!$AV$11:$AV$258,'G-2 Habitat groups'!A81,'D-1 Off-Site Habitat Baseline'!$X$11:$X$258)+SUMIF('D-1 Off-Site Habitat Baseline'!$AV$11:$AV$258,'G-2 Habitat groups'!A81,'D-1 Off-Site Habitat Baseline'!$AS$11:$AS$258)</f>
        <v>0</v>
      </c>
      <c r="W81" s="1056">
        <f>SUMIF('D-2 Off-Site Habitat Creation'!$F$9:$F$255,'G-2 Habitat groups'!A81,'D-2 Off-Site Habitat Creation'!$G$9:$G$255)</f>
        <v>0</v>
      </c>
      <c r="X81" s="1056">
        <f>SUMIF('D-2 Off-Site Habitat Creation'!$F$9:$F$255,'G-2 Habitat groups'!A81,'D-2 Off-Site Habitat Creation'!$AB$9:$AB$255)</f>
        <v>0</v>
      </c>
      <c r="Y81" s="1056">
        <f>SUMIF('D-3 Off-Site Habitat Enhancment'!$S$12:$S$491,'G-2 Habitat groups'!A81,'D-3 Off-Site Habitat Enhancment'!$V$12:$V$491)</f>
        <v>0</v>
      </c>
      <c r="Z81" s="1056">
        <f>SUMIF('D-3 Off-Site Habitat Enhancment'!$S$12:$S$491,'G-2 Habitat groups'!A81,'D-3 Off-Site Habitat Enhancment'!$AQ$12:$AQ$491)</f>
        <v>0</v>
      </c>
      <c r="AA81" s="1056">
        <f t="shared" si="58"/>
        <v>0</v>
      </c>
      <c r="AB81" s="1056">
        <f t="shared" si="59"/>
        <v>0</v>
      </c>
      <c r="AC81" s="1056">
        <f t="shared" si="60"/>
        <v>0</v>
      </c>
      <c r="AD81" s="1056">
        <f t="shared" si="61"/>
        <v>0</v>
      </c>
      <c r="AE81" s="1056">
        <f t="shared" si="62"/>
        <v>1.88</v>
      </c>
      <c r="AF81" s="1056">
        <f t="shared" si="63"/>
        <v>3.6283999999999996</v>
      </c>
      <c r="AU81" s="70" t="s">
        <v>651</v>
      </c>
      <c r="AV81" s="62" t="s">
        <v>105</v>
      </c>
      <c r="AW81" s="274">
        <f>VLOOKUP($AU81,AllHabsSummaryData,5,FALSE)</f>
        <v>0</v>
      </c>
      <c r="AX81" s="274">
        <f>VLOOKUP($AU81,AllHabsSummaryData,10,FALSE)</f>
        <v>0</v>
      </c>
      <c r="AY81" s="274">
        <f>VLOOKUP($AU81,AllHabsSummaryData,15,FALSE)</f>
        <v>0</v>
      </c>
      <c r="AZ81" s="274">
        <f>VLOOKUP($AU81,AllHabsSummaryData,16,FALSE)</f>
        <v>0</v>
      </c>
      <c r="BA81" s="274">
        <f>VLOOKUP($AU81,AllHabsSummaryData,17,FALSE)</f>
        <v>0</v>
      </c>
      <c r="BB81" s="274">
        <f>VLOOKUP($AU81,AllHabsSummaryData,18,FALSE)</f>
        <v>0</v>
      </c>
      <c r="BC81" s="274">
        <f>VLOOKUP($AU81,AllHabsSummaryData,27,FALSE)</f>
        <v>0</v>
      </c>
      <c r="BD81" s="274">
        <f>VLOOKUP($AU81,AllHabsSummaryData,30,FALSE)</f>
        <v>0</v>
      </c>
      <c r="BE81" s="274">
        <f>BB81+BD81</f>
        <v>0</v>
      </c>
      <c r="BF81" s="274" t="str">
        <f>IF(BE81&lt;0,BE81,"")</f>
        <v/>
      </c>
    </row>
    <row r="82" spans="1:58" ht="14">
      <c r="A82" s="72" t="str">
        <f>'G-1 All Habitats'!B82</f>
        <v>Wetland - Blanket bog</v>
      </c>
      <c r="B82" s="72" t="s">
        <v>111</v>
      </c>
      <c r="C82" s="72" t="str">
        <f>'G-1 All Habitats'!K82</f>
        <v>V.High</v>
      </c>
      <c r="D82" s="72" t="str">
        <f>'G-1 All Habitats'!M82</f>
        <v>Same habitat required – bespoke compensation option ⚠</v>
      </c>
      <c r="E82" s="1056">
        <f>SUMIF('A-1 On-Site Habitat Baseline'!$AV$11:$AV$258,'G-2 Habitat groups'!A82,'A-1 On-Site Habitat Baseline'!$H$11:$H$258)</f>
        <v>0</v>
      </c>
      <c r="F82" s="1056">
        <f>SUMIF('A-1 On-Site Habitat Baseline'!$AV$11:$AV$258,'G-2 Habitat groups'!A82,'A-1 On-Site Habitat Baseline'!$Q$11:$Q$258)</f>
        <v>0</v>
      </c>
      <c r="G82" s="1056">
        <f>SUMIF('A-1 On-Site Habitat Baseline'!$AV$11:$AV$258,'G-2 Habitat groups'!A82,'A-1 On-Site Habitat Baseline'!$S$11:$S$258)</f>
        <v>0</v>
      </c>
      <c r="H82" s="1056">
        <f>SUMIF('A-1 On-Site Habitat Baseline'!$AV$11:$AV$258,'G-2 Habitat groups'!A82,'A-1 On-Site Habitat Baseline'!$U$11:$U$258)+SUMIF('A-1 On-Site Habitat Baseline'!$AV$11:$AV$258,'G-2 Habitat groups'!A82,'A-1 On-Site Habitat Baseline'!$AT$11:$AT$258)</f>
        <v>0</v>
      </c>
      <c r="I82" s="1056">
        <f>SUMIF('A-1 On-Site Habitat Baseline'!$AV$11:$AV$258,'G-2 Habitat groups'!A82,'A-1 On-Site Habitat Baseline'!$W$11:$W$258)</f>
        <v>0</v>
      </c>
      <c r="J82" s="1056">
        <f>SUMIF('A-1 On-Site Habitat Baseline'!$AV$11:$AV$258,'G-2 Habitat groups'!A82,'A-1 On-Site Habitat Baseline'!$X$11:$X$258)</f>
        <v>0</v>
      </c>
      <c r="K82" s="1056">
        <f>SUMIF('A-2 On-Site Habitat Creation'!$F$11:$F$256,'G-2 Habitat groups'!A82,'A-2 On-Site Habitat Creation'!$G$11:$G$256)</f>
        <v>0</v>
      </c>
      <c r="L82" s="1056">
        <f>SUMIF('A-2 On-Site Habitat Creation'!$F$11:$F$256,'G-2 Habitat groups'!A82,'A-2 On-Site Habitat Creation'!$Y$11:$Y$256)</f>
        <v>0</v>
      </c>
      <c r="M82" s="1056">
        <f>SUMIF('A-3 On-Site Habitat Enhancement'!$S$12:$S$257,'G-2 Habitat groups'!A82,'A-3 On-Site Habitat Enhancement'!$V$12:$V$257)</f>
        <v>0</v>
      </c>
      <c r="N82" s="1056">
        <f>SUMIF('A-3 On-Site Habitat Enhancement'!$S$12:$S$257,'G-2 Habitat groups'!A82,'A-3 On-Site Habitat Enhancement'!$AN$12:$AN$257)</f>
        <v>0</v>
      </c>
      <c r="O82" s="1056">
        <f t="shared" si="54"/>
        <v>0</v>
      </c>
      <c r="P82" s="1056">
        <f t="shared" si="55"/>
        <v>0</v>
      </c>
      <c r="Q82" s="1056">
        <f t="shared" si="56"/>
        <v>0</v>
      </c>
      <c r="R82" s="1056">
        <f t="shared" si="57"/>
        <v>0</v>
      </c>
      <c r="S82" s="1056">
        <f>SUMIF('D-1 Off-Site Habitat Baseline'!$AV$11:$AV$258,'G-2 Habitat groups'!A82,'D-1 Off-Site Habitat Baseline'!$H$11:$H$258)</f>
        <v>0</v>
      </c>
      <c r="T82" s="1056">
        <f>SUMIF('D-1 Off-Site Habitat Baseline'!$AV$11:$AV$258,'G-2 Habitat groups'!A82,'D-1 Off-Site Habitat Baseline'!$T$11:$T$258)</f>
        <v>0</v>
      </c>
      <c r="U82" s="1056">
        <f>SUMIF('D-1 Off-Site Habitat Baseline'!$AV$11:$AV$258,'G-2 Habitat groups'!A82,'D-1 Off-Site Habitat Baseline'!$V$11:$V$258)</f>
        <v>0</v>
      </c>
      <c r="V82" s="1056">
        <f>SUMIF('D-1 Off-Site Habitat Baseline'!$AV$11:$AV$258,'G-2 Habitat groups'!A82,'D-1 Off-Site Habitat Baseline'!$X$11:$X$258)+SUMIF('D-1 Off-Site Habitat Baseline'!$AV$11:$AV$258,'G-2 Habitat groups'!A82,'D-1 Off-Site Habitat Baseline'!$AS$11:$AS$258)</f>
        <v>0</v>
      </c>
      <c r="W82" s="1056">
        <f>SUMIF('D-2 Off-Site Habitat Creation'!$F$9:$F$255,'G-2 Habitat groups'!A82,'D-2 Off-Site Habitat Creation'!$G$9:$G$255)</f>
        <v>0</v>
      </c>
      <c r="X82" s="1056">
        <f>SUMIF('D-2 Off-Site Habitat Creation'!$F$9:$F$255,'G-2 Habitat groups'!A82,'D-2 Off-Site Habitat Creation'!$AB$9:$AB$255)</f>
        <v>0</v>
      </c>
      <c r="Y82" s="1056">
        <f>SUMIF('D-3 Off-Site Habitat Enhancment'!$S$12:$S$491,'G-2 Habitat groups'!A82,'D-3 Off-Site Habitat Enhancment'!$V$12:$V$491)</f>
        <v>0</v>
      </c>
      <c r="Z82" s="1056">
        <f>SUMIF('D-3 Off-Site Habitat Enhancment'!$S$12:$S$491,'G-2 Habitat groups'!A82,'D-3 Off-Site Habitat Enhancment'!$AQ$12:$AQ$491)</f>
        <v>0</v>
      </c>
      <c r="AA82" s="1056">
        <f t="shared" si="58"/>
        <v>0</v>
      </c>
      <c r="AB82" s="1056">
        <f t="shared" si="59"/>
        <v>0</v>
      </c>
      <c r="AC82" s="1056">
        <f t="shared" si="60"/>
        <v>0</v>
      </c>
      <c r="AD82" s="1056">
        <f t="shared" si="61"/>
        <v>0</v>
      </c>
      <c r="AE82" s="1056">
        <f t="shared" si="62"/>
        <v>0</v>
      </c>
      <c r="AF82" s="1056">
        <f t="shared" si="63"/>
        <v>0</v>
      </c>
      <c r="AU82" s="212" t="s">
        <v>655</v>
      </c>
      <c r="AV82" s="62" t="s">
        <v>105</v>
      </c>
      <c r="AW82" s="274">
        <f>VLOOKUP($AU82,AllHabsSummaryData,5,FALSE)</f>
        <v>0</v>
      </c>
      <c r="AX82" s="274">
        <f>VLOOKUP($AU82,AllHabsSummaryData,10,FALSE)</f>
        <v>0</v>
      </c>
      <c r="AY82" s="274">
        <f>VLOOKUP($AU82,AllHabsSummaryData,15,FALSE)</f>
        <v>0</v>
      </c>
      <c r="AZ82" s="274">
        <f>VLOOKUP($AU82,AllHabsSummaryData,16,FALSE)</f>
        <v>0</v>
      </c>
      <c r="BA82" s="274">
        <f>VLOOKUP($AU82,AllHabsSummaryData,17,FALSE)</f>
        <v>0</v>
      </c>
      <c r="BB82" s="274">
        <f>VLOOKUP($AU82,AllHabsSummaryData,18,FALSE)</f>
        <v>0</v>
      </c>
      <c r="BC82" s="274">
        <f>VLOOKUP($AU82,AllHabsSummaryData,27,FALSE)</f>
        <v>0</v>
      </c>
      <c r="BD82" s="274">
        <f>VLOOKUP($AU82,AllHabsSummaryData,30,FALSE)</f>
        <v>0</v>
      </c>
      <c r="BE82" s="274">
        <f>BB82+BD82</f>
        <v>0</v>
      </c>
      <c r="BF82" s="274" t="str">
        <f>IF(BE82&lt;0,BE82,"")</f>
        <v/>
      </c>
    </row>
    <row r="83" spans="1:58" ht="14">
      <c r="A83" s="72" t="str">
        <f>'G-1 All Habitats'!B83</f>
        <v>Wetland - Depressions on peat substrates (H7150)</v>
      </c>
      <c r="B83" s="72" t="s">
        <v>111</v>
      </c>
      <c r="C83" s="72" t="str">
        <f>'G-1 All Habitats'!K83</f>
        <v>V.High</v>
      </c>
      <c r="D83" s="72" t="str">
        <f>'G-1 All Habitats'!M83</f>
        <v>Same habitat required – bespoke compensation option ⚠</v>
      </c>
      <c r="E83" s="1056">
        <f>SUMIF('A-1 On-Site Habitat Baseline'!$AV$11:$AV$258,'G-2 Habitat groups'!A83,'A-1 On-Site Habitat Baseline'!$H$11:$H$258)</f>
        <v>0</v>
      </c>
      <c r="F83" s="1056">
        <f>SUMIF('A-1 On-Site Habitat Baseline'!$AV$11:$AV$258,'G-2 Habitat groups'!A83,'A-1 On-Site Habitat Baseline'!$Q$11:$Q$258)</f>
        <v>0</v>
      </c>
      <c r="G83" s="1056">
        <f>SUMIF('A-1 On-Site Habitat Baseline'!$AV$11:$AV$258,'G-2 Habitat groups'!A83,'A-1 On-Site Habitat Baseline'!$S$11:$S$258)</f>
        <v>0</v>
      </c>
      <c r="H83" s="1056">
        <f>SUMIF('A-1 On-Site Habitat Baseline'!$AV$11:$AV$258,'G-2 Habitat groups'!A83,'A-1 On-Site Habitat Baseline'!$U$11:$U$258)+SUMIF('A-1 On-Site Habitat Baseline'!$AV$11:$AV$258,'G-2 Habitat groups'!A83,'A-1 On-Site Habitat Baseline'!$AT$11:$AT$258)</f>
        <v>0</v>
      </c>
      <c r="I83" s="1056">
        <f>SUMIF('A-1 On-Site Habitat Baseline'!$AV$11:$AV$258,'G-2 Habitat groups'!A83,'A-1 On-Site Habitat Baseline'!$W$11:$W$258)</f>
        <v>0</v>
      </c>
      <c r="J83" s="1056">
        <f>SUMIF('A-1 On-Site Habitat Baseline'!$AV$11:$AV$258,'G-2 Habitat groups'!A83,'A-1 On-Site Habitat Baseline'!$X$11:$X$258)</f>
        <v>0</v>
      </c>
      <c r="K83" s="1056">
        <f>SUMIF('A-2 On-Site Habitat Creation'!$F$11:$F$256,'G-2 Habitat groups'!A83,'A-2 On-Site Habitat Creation'!$G$11:$G$256)</f>
        <v>0</v>
      </c>
      <c r="L83" s="1056">
        <f>SUMIF('A-2 On-Site Habitat Creation'!$F$11:$F$256,'G-2 Habitat groups'!A83,'A-2 On-Site Habitat Creation'!$Y$11:$Y$256)</f>
        <v>0</v>
      </c>
      <c r="M83" s="1056">
        <f>SUMIF('A-3 On-Site Habitat Enhancement'!$S$12:$S$257,'G-2 Habitat groups'!A83,'A-3 On-Site Habitat Enhancement'!$V$12:$V$257)</f>
        <v>0</v>
      </c>
      <c r="N83" s="1056">
        <f>SUMIF('A-3 On-Site Habitat Enhancement'!$S$12:$S$257,'G-2 Habitat groups'!A83,'A-3 On-Site Habitat Enhancement'!$AN$12:$AN$257)</f>
        <v>0</v>
      </c>
      <c r="O83" s="1056">
        <f t="shared" si="54"/>
        <v>0</v>
      </c>
      <c r="P83" s="1056">
        <f t="shared" si="55"/>
        <v>0</v>
      </c>
      <c r="Q83" s="1056">
        <f t="shared" si="56"/>
        <v>0</v>
      </c>
      <c r="R83" s="1056">
        <f t="shared" si="57"/>
        <v>0</v>
      </c>
      <c r="S83" s="1056">
        <f>SUMIF('D-1 Off-Site Habitat Baseline'!$AV$11:$AV$258,'G-2 Habitat groups'!A83,'D-1 Off-Site Habitat Baseline'!$H$11:$H$258)</f>
        <v>0</v>
      </c>
      <c r="T83" s="1056">
        <f>SUMIF('D-1 Off-Site Habitat Baseline'!$AV$11:$AV$258,'G-2 Habitat groups'!A83,'D-1 Off-Site Habitat Baseline'!$T$11:$T$258)</f>
        <v>0</v>
      </c>
      <c r="U83" s="1056">
        <f>SUMIF('D-1 Off-Site Habitat Baseline'!$AV$11:$AV$258,'G-2 Habitat groups'!A83,'D-1 Off-Site Habitat Baseline'!$V$11:$V$258)</f>
        <v>0</v>
      </c>
      <c r="V83" s="1056">
        <f>SUMIF('D-1 Off-Site Habitat Baseline'!$AV$11:$AV$258,'G-2 Habitat groups'!A83,'D-1 Off-Site Habitat Baseline'!$X$11:$X$258)+SUMIF('D-1 Off-Site Habitat Baseline'!$AV$11:$AV$258,'G-2 Habitat groups'!A83,'D-1 Off-Site Habitat Baseline'!$AS$11:$AS$258)</f>
        <v>0</v>
      </c>
      <c r="W83" s="1056">
        <f>SUMIF('D-2 Off-Site Habitat Creation'!$F$9:$F$255,'G-2 Habitat groups'!A83,'D-2 Off-Site Habitat Creation'!$G$9:$G$255)</f>
        <v>0</v>
      </c>
      <c r="X83" s="1056">
        <f>SUMIF('D-2 Off-Site Habitat Creation'!$F$9:$F$255,'G-2 Habitat groups'!A83,'D-2 Off-Site Habitat Creation'!$AB$9:$AB$255)</f>
        <v>0</v>
      </c>
      <c r="Y83" s="1056">
        <f>SUMIF('D-3 Off-Site Habitat Enhancment'!$S$12:$S$491,'G-2 Habitat groups'!A83,'D-3 Off-Site Habitat Enhancment'!$V$12:$V$491)</f>
        <v>0</v>
      </c>
      <c r="Z83" s="1056">
        <f>SUMIF('D-3 Off-Site Habitat Enhancment'!$S$12:$S$491,'G-2 Habitat groups'!A83,'D-3 Off-Site Habitat Enhancment'!$AQ$12:$AQ$491)</f>
        <v>0</v>
      </c>
      <c r="AA83" s="1056">
        <f t="shared" si="58"/>
        <v>0</v>
      </c>
      <c r="AB83" s="1056">
        <f t="shared" si="59"/>
        <v>0</v>
      </c>
      <c r="AC83" s="1056">
        <f t="shared" si="60"/>
        <v>0</v>
      </c>
      <c r="AD83" s="1056">
        <f t="shared" si="61"/>
        <v>0</v>
      </c>
      <c r="AE83" s="1056">
        <f t="shared" si="62"/>
        <v>0</v>
      </c>
      <c r="AF83" s="1056">
        <f t="shared" si="63"/>
        <v>0</v>
      </c>
      <c r="AU83" s="70" t="s">
        <v>660</v>
      </c>
      <c r="AV83" s="62" t="s">
        <v>105</v>
      </c>
      <c r="AW83" s="274">
        <f>VLOOKUP($AU83,AllHabsSummaryData,5,FALSE)</f>
        <v>0</v>
      </c>
      <c r="AX83" s="274">
        <f>VLOOKUP($AU83,AllHabsSummaryData,10,FALSE)</f>
        <v>0</v>
      </c>
      <c r="AY83" s="274">
        <f>VLOOKUP($AU83,AllHabsSummaryData,15,FALSE)</f>
        <v>0</v>
      </c>
      <c r="AZ83" s="274">
        <f>VLOOKUP($AU83,AllHabsSummaryData,16,FALSE)</f>
        <v>0</v>
      </c>
      <c r="BA83" s="274">
        <f>VLOOKUP($AU83,AllHabsSummaryData,17,FALSE)</f>
        <v>0</v>
      </c>
      <c r="BB83" s="274">
        <f>VLOOKUP($AU83,AllHabsSummaryData,18,FALSE)</f>
        <v>0</v>
      </c>
      <c r="BC83" s="274">
        <f>VLOOKUP($AU83,AllHabsSummaryData,27,FALSE)</f>
        <v>0</v>
      </c>
      <c r="BD83" s="274">
        <f>VLOOKUP($AU83,AllHabsSummaryData,30,FALSE)</f>
        <v>0</v>
      </c>
      <c r="BE83" s="274">
        <f>BB83+BD83</f>
        <v>0</v>
      </c>
      <c r="BF83" s="274" t="str">
        <f>IF(BE83&lt;0,BE83,"")</f>
        <v/>
      </c>
    </row>
    <row r="84" spans="1:58" ht="14">
      <c r="A84" s="72" t="str">
        <f>'G-1 All Habitats'!B84</f>
        <v>Wetland - Fens (upland and lowland)</v>
      </c>
      <c r="B84" s="72" t="s">
        <v>111</v>
      </c>
      <c r="C84" s="72" t="str">
        <f>'G-1 All Habitats'!K84</f>
        <v>V.High</v>
      </c>
      <c r="D84" s="72" t="str">
        <f>'G-1 All Habitats'!M84</f>
        <v>Same habitat required – bespoke compensation option ⚠</v>
      </c>
      <c r="E84" s="1056">
        <f>SUMIF('A-1 On-Site Habitat Baseline'!$AV$11:$AV$258,'G-2 Habitat groups'!A84,'A-1 On-Site Habitat Baseline'!$H$11:$H$258)</f>
        <v>0</v>
      </c>
      <c r="F84" s="1056">
        <f>SUMIF('A-1 On-Site Habitat Baseline'!$AV$11:$AV$258,'G-2 Habitat groups'!A84,'A-1 On-Site Habitat Baseline'!$Q$11:$Q$258)</f>
        <v>0</v>
      </c>
      <c r="G84" s="1056">
        <f>SUMIF('A-1 On-Site Habitat Baseline'!$AV$11:$AV$258,'G-2 Habitat groups'!A84,'A-1 On-Site Habitat Baseline'!$S$11:$S$258)</f>
        <v>0</v>
      </c>
      <c r="H84" s="1056">
        <f>SUMIF('A-1 On-Site Habitat Baseline'!$AV$11:$AV$258,'G-2 Habitat groups'!A84,'A-1 On-Site Habitat Baseline'!$U$11:$U$258)+SUMIF('A-1 On-Site Habitat Baseline'!$AV$11:$AV$258,'G-2 Habitat groups'!A84,'A-1 On-Site Habitat Baseline'!$AT$11:$AT$258)</f>
        <v>0</v>
      </c>
      <c r="I84" s="1056">
        <f>SUMIF('A-1 On-Site Habitat Baseline'!$AV$11:$AV$258,'G-2 Habitat groups'!A84,'A-1 On-Site Habitat Baseline'!$W$11:$W$258)</f>
        <v>0</v>
      </c>
      <c r="J84" s="1056">
        <f>SUMIF('A-1 On-Site Habitat Baseline'!$AV$11:$AV$258,'G-2 Habitat groups'!A84,'A-1 On-Site Habitat Baseline'!$X$11:$X$258)</f>
        <v>0</v>
      </c>
      <c r="K84" s="1056">
        <f>SUMIF('A-2 On-Site Habitat Creation'!$F$11:$F$256,'G-2 Habitat groups'!A84,'A-2 On-Site Habitat Creation'!$G$11:$G$256)</f>
        <v>0</v>
      </c>
      <c r="L84" s="1056">
        <f>SUMIF('A-2 On-Site Habitat Creation'!$F$11:$F$256,'G-2 Habitat groups'!A84,'A-2 On-Site Habitat Creation'!$Y$11:$Y$256)</f>
        <v>0</v>
      </c>
      <c r="M84" s="1056">
        <f>SUMIF('A-3 On-Site Habitat Enhancement'!$S$12:$S$257,'G-2 Habitat groups'!A84,'A-3 On-Site Habitat Enhancement'!$V$12:$V$257)</f>
        <v>0</v>
      </c>
      <c r="N84" s="1056">
        <f>SUMIF('A-3 On-Site Habitat Enhancement'!$S$12:$S$257,'G-2 Habitat groups'!A84,'A-3 On-Site Habitat Enhancement'!$AN$12:$AN$257)</f>
        <v>0</v>
      </c>
      <c r="O84" s="1056">
        <f t="shared" si="54"/>
        <v>0</v>
      </c>
      <c r="P84" s="1056">
        <f t="shared" si="55"/>
        <v>0</v>
      </c>
      <c r="Q84" s="1056">
        <f t="shared" si="56"/>
        <v>0</v>
      </c>
      <c r="R84" s="1056">
        <f t="shared" si="57"/>
        <v>0</v>
      </c>
      <c r="S84" s="1056">
        <f>SUMIF('D-1 Off-Site Habitat Baseline'!$AV$11:$AV$258,'G-2 Habitat groups'!A84,'D-1 Off-Site Habitat Baseline'!$H$11:$H$258)</f>
        <v>0</v>
      </c>
      <c r="T84" s="1056">
        <f>SUMIF('D-1 Off-Site Habitat Baseline'!$AV$11:$AV$258,'G-2 Habitat groups'!A84,'D-1 Off-Site Habitat Baseline'!$T$11:$T$258)</f>
        <v>0</v>
      </c>
      <c r="U84" s="1056">
        <f>SUMIF('D-1 Off-Site Habitat Baseline'!$AV$11:$AV$258,'G-2 Habitat groups'!A84,'D-1 Off-Site Habitat Baseline'!$V$11:$V$258)</f>
        <v>0</v>
      </c>
      <c r="V84" s="1056">
        <f>SUMIF('D-1 Off-Site Habitat Baseline'!$AV$11:$AV$258,'G-2 Habitat groups'!A84,'D-1 Off-Site Habitat Baseline'!$X$11:$X$258)+SUMIF('D-1 Off-Site Habitat Baseline'!$AV$11:$AV$258,'G-2 Habitat groups'!A84,'D-1 Off-Site Habitat Baseline'!$AS$11:$AS$258)</f>
        <v>0</v>
      </c>
      <c r="W84" s="1056">
        <f>SUMIF('D-2 Off-Site Habitat Creation'!$F$9:$F$255,'G-2 Habitat groups'!A84,'D-2 Off-Site Habitat Creation'!$G$9:$G$255)</f>
        <v>0</v>
      </c>
      <c r="X84" s="1056">
        <f>SUMIF('D-2 Off-Site Habitat Creation'!$F$9:$F$255,'G-2 Habitat groups'!A84,'D-2 Off-Site Habitat Creation'!$AB$9:$AB$255)</f>
        <v>0</v>
      </c>
      <c r="Y84" s="1056">
        <f>SUMIF('D-3 Off-Site Habitat Enhancment'!$S$12:$S$491,'G-2 Habitat groups'!A84,'D-3 Off-Site Habitat Enhancment'!$V$12:$V$491)</f>
        <v>0</v>
      </c>
      <c r="Z84" s="1056">
        <f>SUMIF('D-3 Off-Site Habitat Enhancment'!$S$12:$S$491,'G-2 Habitat groups'!A84,'D-3 Off-Site Habitat Enhancment'!$AQ$12:$AQ$491)</f>
        <v>0</v>
      </c>
      <c r="AA84" s="1056">
        <f t="shared" si="58"/>
        <v>0</v>
      </c>
      <c r="AB84" s="1056">
        <f t="shared" si="59"/>
        <v>0</v>
      </c>
      <c r="AC84" s="1056">
        <f t="shared" si="60"/>
        <v>0</v>
      </c>
      <c r="AD84" s="1056">
        <f t="shared" si="61"/>
        <v>0</v>
      </c>
      <c r="AE84" s="1056">
        <f t="shared" si="62"/>
        <v>0</v>
      </c>
      <c r="AF84" s="1056">
        <f t="shared" si="63"/>
        <v>0</v>
      </c>
      <c r="AU84" s="70" t="s">
        <v>718</v>
      </c>
      <c r="AV84" s="62" t="s">
        <v>106</v>
      </c>
      <c r="AW84" s="274">
        <f t="shared" si="64" ref="AW84:AW103">VLOOKUP($AU84,AllHabsSummaryData,5,FALSE)</f>
        <v>0</v>
      </c>
      <c r="AX84" s="274">
        <f t="shared" si="65" ref="AX84:AX104">VLOOKUP($AU84,AllHabsSummaryData,10,FALSE)</f>
        <v>0</v>
      </c>
      <c r="AY84" s="274">
        <f t="shared" si="66" ref="AY84:AY104">VLOOKUP($AU84,AllHabsSummaryData,15,FALSE)</f>
        <v>0</v>
      </c>
      <c r="AZ84" s="274">
        <f t="shared" si="67" ref="AZ84:AZ104">VLOOKUP($AU84,AllHabsSummaryData,16,FALSE)</f>
        <v>0</v>
      </c>
      <c r="BA84" s="274">
        <f t="shared" si="68" ref="BA84:BA104">VLOOKUP($AU84,AllHabsSummaryData,17,FALSE)</f>
        <v>0</v>
      </c>
      <c r="BB84" s="274">
        <f t="shared" si="69" ref="BB84:BB104">VLOOKUP($AU84,AllHabsSummaryData,18,FALSE)</f>
        <v>0</v>
      </c>
      <c r="BC84" s="274">
        <f t="shared" si="70" ref="BC84:BC104">VLOOKUP($AU84,AllHabsSummaryData,27,FALSE)</f>
        <v>0</v>
      </c>
      <c r="BD84" s="274">
        <f t="shared" si="71" ref="BD84:BD104">VLOOKUP($AU84,AllHabsSummaryData,30,FALSE)</f>
        <v>0</v>
      </c>
      <c r="BE84" s="274">
        <f t="shared" si="72" ref="BE84:BE92">BB84+BD84</f>
        <v>0</v>
      </c>
      <c r="BF84" s="274" t="str">
        <f t="shared" si="73" ref="BF84:BF92">IF(BE84&lt;0,BE84,"")</f>
        <v/>
      </c>
    </row>
    <row r="85" spans="1:58" ht="14">
      <c r="A85" s="72" t="str">
        <f>'G-1 All Habitats'!B85</f>
        <v>Wetland - Lowland raised bog</v>
      </c>
      <c r="B85" s="72" t="s">
        <v>111</v>
      </c>
      <c r="C85" s="72" t="str">
        <f>'G-1 All Habitats'!K85</f>
        <v>V.High</v>
      </c>
      <c r="D85" s="72" t="str">
        <f>'G-1 All Habitats'!M85</f>
        <v>Same habitat required – bespoke compensation option ⚠</v>
      </c>
      <c r="E85" s="1056">
        <f>SUMIF('A-1 On-Site Habitat Baseline'!$AV$11:$AV$258,'G-2 Habitat groups'!A85,'A-1 On-Site Habitat Baseline'!$H$11:$H$258)</f>
        <v>0</v>
      </c>
      <c r="F85" s="1056">
        <f>SUMIF('A-1 On-Site Habitat Baseline'!$AV$11:$AV$258,'G-2 Habitat groups'!A85,'A-1 On-Site Habitat Baseline'!$Q$11:$Q$258)</f>
        <v>0</v>
      </c>
      <c r="G85" s="1056">
        <f>SUMIF('A-1 On-Site Habitat Baseline'!$AV$11:$AV$258,'G-2 Habitat groups'!A85,'A-1 On-Site Habitat Baseline'!$S$11:$S$258)</f>
        <v>0</v>
      </c>
      <c r="H85" s="1056">
        <f>SUMIF('A-1 On-Site Habitat Baseline'!$AV$11:$AV$258,'G-2 Habitat groups'!A85,'A-1 On-Site Habitat Baseline'!$U$11:$U$258)+SUMIF('A-1 On-Site Habitat Baseline'!$AV$11:$AV$258,'G-2 Habitat groups'!A85,'A-1 On-Site Habitat Baseline'!$AT$11:$AT$258)</f>
        <v>0</v>
      </c>
      <c r="I85" s="1056">
        <f>SUMIF('A-1 On-Site Habitat Baseline'!$AV$11:$AV$258,'G-2 Habitat groups'!A85,'A-1 On-Site Habitat Baseline'!$W$11:$W$258)</f>
        <v>0</v>
      </c>
      <c r="J85" s="1056">
        <f>SUMIF('A-1 On-Site Habitat Baseline'!$AV$11:$AV$258,'G-2 Habitat groups'!A85,'A-1 On-Site Habitat Baseline'!$X$11:$X$258)</f>
        <v>0</v>
      </c>
      <c r="K85" s="1056">
        <f>SUMIF('A-2 On-Site Habitat Creation'!$F$11:$F$256,'G-2 Habitat groups'!A85,'A-2 On-Site Habitat Creation'!$G$11:$G$256)</f>
        <v>0</v>
      </c>
      <c r="L85" s="1056">
        <f>SUMIF('A-2 On-Site Habitat Creation'!$F$11:$F$256,'G-2 Habitat groups'!A85,'A-2 On-Site Habitat Creation'!$Y$11:$Y$256)</f>
        <v>0</v>
      </c>
      <c r="M85" s="1056">
        <f>SUMIF('A-3 On-Site Habitat Enhancement'!$S$12:$S$257,'G-2 Habitat groups'!A85,'A-3 On-Site Habitat Enhancement'!$V$12:$V$257)</f>
        <v>0</v>
      </c>
      <c r="N85" s="1056">
        <f>SUMIF('A-3 On-Site Habitat Enhancement'!$S$12:$S$257,'G-2 Habitat groups'!A85,'A-3 On-Site Habitat Enhancement'!$AN$12:$AN$257)</f>
        <v>0</v>
      </c>
      <c r="O85" s="1056">
        <f t="shared" si="54"/>
        <v>0</v>
      </c>
      <c r="P85" s="1056">
        <f t="shared" si="55"/>
        <v>0</v>
      </c>
      <c r="Q85" s="1056">
        <f t="shared" si="56"/>
        <v>0</v>
      </c>
      <c r="R85" s="1056">
        <f t="shared" si="57"/>
        <v>0</v>
      </c>
      <c r="S85" s="1056">
        <f>SUMIF('D-1 Off-Site Habitat Baseline'!$AV$11:$AV$258,'G-2 Habitat groups'!A85,'D-1 Off-Site Habitat Baseline'!$H$11:$H$258)</f>
        <v>0</v>
      </c>
      <c r="T85" s="1056">
        <f>SUMIF('D-1 Off-Site Habitat Baseline'!$AV$11:$AV$258,'G-2 Habitat groups'!A85,'D-1 Off-Site Habitat Baseline'!$T$11:$T$258)</f>
        <v>0</v>
      </c>
      <c r="U85" s="1056">
        <f>SUMIF('D-1 Off-Site Habitat Baseline'!$AV$11:$AV$258,'G-2 Habitat groups'!A85,'D-1 Off-Site Habitat Baseline'!$V$11:$V$258)</f>
        <v>0</v>
      </c>
      <c r="V85" s="1056">
        <f>SUMIF('D-1 Off-Site Habitat Baseline'!$AV$11:$AV$258,'G-2 Habitat groups'!A85,'D-1 Off-Site Habitat Baseline'!$X$11:$X$258)+SUMIF('D-1 Off-Site Habitat Baseline'!$AV$11:$AV$258,'G-2 Habitat groups'!A85,'D-1 Off-Site Habitat Baseline'!$AS$11:$AS$258)</f>
        <v>0</v>
      </c>
      <c r="W85" s="1056">
        <f>SUMIF('D-2 Off-Site Habitat Creation'!$F$9:$F$255,'G-2 Habitat groups'!A85,'D-2 Off-Site Habitat Creation'!$G$9:$G$255)</f>
        <v>0</v>
      </c>
      <c r="X85" s="1056">
        <f>SUMIF('D-2 Off-Site Habitat Creation'!$F$9:$F$255,'G-2 Habitat groups'!A85,'D-2 Off-Site Habitat Creation'!$AB$9:$AB$255)</f>
        <v>0</v>
      </c>
      <c r="Y85" s="1056">
        <f>SUMIF('D-3 Off-Site Habitat Enhancment'!$S$12:$S$491,'G-2 Habitat groups'!A85,'D-3 Off-Site Habitat Enhancment'!$V$12:$V$491)</f>
        <v>0</v>
      </c>
      <c r="Z85" s="1056">
        <f>SUMIF('D-3 Off-Site Habitat Enhancment'!$S$12:$S$491,'G-2 Habitat groups'!A85,'D-3 Off-Site Habitat Enhancment'!$AQ$12:$AQ$491)</f>
        <v>0</v>
      </c>
      <c r="AA85" s="1056">
        <f t="shared" si="58"/>
        <v>0</v>
      </c>
      <c r="AB85" s="1056">
        <f t="shared" si="59"/>
        <v>0</v>
      </c>
      <c r="AC85" s="1056">
        <f t="shared" si="60"/>
        <v>0</v>
      </c>
      <c r="AD85" s="1056">
        <f t="shared" si="61"/>
        <v>0</v>
      </c>
      <c r="AE85" s="1056">
        <f t="shared" si="62"/>
        <v>0</v>
      </c>
      <c r="AF85" s="1056">
        <f t="shared" si="63"/>
        <v>0</v>
      </c>
      <c r="AU85" s="70" t="s">
        <v>720</v>
      </c>
      <c r="AV85" s="62" t="s">
        <v>106</v>
      </c>
      <c r="AW85" s="274">
        <f t="shared" si="64"/>
        <v>0.006</v>
      </c>
      <c r="AX85" s="274">
        <f t="shared" si="65"/>
        <v>0</v>
      </c>
      <c r="AY85" s="274">
        <f t="shared" si="66"/>
        <v>2.356</v>
      </c>
      <c r="AZ85" s="274">
        <f t="shared" si="67"/>
        <v>17.358417528408005</v>
      </c>
      <c r="BA85" s="274">
        <f t="shared" si="68"/>
        <v>2.35</v>
      </c>
      <c r="BB85" s="274">
        <f t="shared" si="69"/>
        <v>17.305617528408003</v>
      </c>
      <c r="BC85" s="274">
        <f t="shared" si="70"/>
        <v>0</v>
      </c>
      <c r="BD85" s="274">
        <f t="shared" si="71"/>
        <v>0</v>
      </c>
      <c r="BE85" s="274">
        <f t="shared" si="72"/>
        <v>17.305617528408003</v>
      </c>
      <c r="BF85" s="274" t="str">
        <f t="shared" si="73"/>
        <v/>
      </c>
    </row>
    <row r="86" spans="1:58" ht="14">
      <c r="A86" s="72" t="str">
        <f>'G-1 All Habitats'!B86</f>
        <v>Wetland - Oceanic valley mire[1] (D2.1)</v>
      </c>
      <c r="B86" s="72" t="s">
        <v>111</v>
      </c>
      <c r="C86" s="72" t="str">
        <f>'G-1 All Habitats'!K86</f>
        <v>V.High</v>
      </c>
      <c r="D86" s="72" t="str">
        <f>'G-1 All Habitats'!M86</f>
        <v>Same habitat required – bespoke compensation option ⚠</v>
      </c>
      <c r="E86" s="1056">
        <f>SUMIF('A-1 On-Site Habitat Baseline'!$AV$11:$AV$258,'G-2 Habitat groups'!A86,'A-1 On-Site Habitat Baseline'!$H$11:$H$258)</f>
        <v>0</v>
      </c>
      <c r="F86" s="1056">
        <f>SUMIF('A-1 On-Site Habitat Baseline'!$AV$11:$AV$258,'G-2 Habitat groups'!A86,'A-1 On-Site Habitat Baseline'!$Q$11:$Q$258)</f>
        <v>0</v>
      </c>
      <c r="G86" s="1056">
        <f>SUMIF('A-1 On-Site Habitat Baseline'!$AV$11:$AV$258,'G-2 Habitat groups'!A86,'A-1 On-Site Habitat Baseline'!$S$11:$S$258)</f>
        <v>0</v>
      </c>
      <c r="H86" s="1056">
        <f>SUMIF('A-1 On-Site Habitat Baseline'!$AV$11:$AV$258,'G-2 Habitat groups'!A86,'A-1 On-Site Habitat Baseline'!$U$11:$U$258)+SUMIF('A-1 On-Site Habitat Baseline'!$AV$11:$AV$258,'G-2 Habitat groups'!A86,'A-1 On-Site Habitat Baseline'!$AT$11:$AT$258)</f>
        <v>0</v>
      </c>
      <c r="I86" s="1056">
        <f>SUMIF('A-1 On-Site Habitat Baseline'!$AV$11:$AV$258,'G-2 Habitat groups'!A86,'A-1 On-Site Habitat Baseline'!$W$11:$W$258)</f>
        <v>0</v>
      </c>
      <c r="J86" s="1056">
        <f>SUMIF('A-1 On-Site Habitat Baseline'!$AV$11:$AV$258,'G-2 Habitat groups'!A86,'A-1 On-Site Habitat Baseline'!$X$11:$X$258)</f>
        <v>0</v>
      </c>
      <c r="K86" s="1056">
        <f>SUMIF('A-2 On-Site Habitat Creation'!$F$11:$F$256,'G-2 Habitat groups'!A86,'A-2 On-Site Habitat Creation'!$G$11:$G$256)</f>
        <v>0</v>
      </c>
      <c r="L86" s="1056">
        <f>SUMIF('A-2 On-Site Habitat Creation'!$F$11:$F$256,'G-2 Habitat groups'!A86,'A-2 On-Site Habitat Creation'!$Y$11:$Y$256)</f>
        <v>0</v>
      </c>
      <c r="M86" s="1056">
        <f>SUMIF('A-3 On-Site Habitat Enhancement'!$S$12:$S$257,'G-2 Habitat groups'!A86,'A-3 On-Site Habitat Enhancement'!$V$12:$V$257)</f>
        <v>0</v>
      </c>
      <c r="N86" s="1056">
        <f>SUMIF('A-3 On-Site Habitat Enhancement'!$S$12:$S$257,'G-2 Habitat groups'!A86,'A-3 On-Site Habitat Enhancement'!$AN$12:$AN$257)</f>
        <v>0</v>
      </c>
      <c r="O86" s="1056">
        <f t="shared" si="54"/>
        <v>0</v>
      </c>
      <c r="P86" s="1056">
        <f t="shared" si="55"/>
        <v>0</v>
      </c>
      <c r="Q86" s="1056">
        <f t="shared" si="56"/>
        <v>0</v>
      </c>
      <c r="R86" s="1056">
        <f t="shared" si="57"/>
        <v>0</v>
      </c>
      <c r="S86" s="1056">
        <f>SUMIF('D-1 Off-Site Habitat Baseline'!$AV$11:$AV$258,'G-2 Habitat groups'!A86,'D-1 Off-Site Habitat Baseline'!$H$11:$H$258)</f>
        <v>0</v>
      </c>
      <c r="T86" s="1056">
        <f>SUMIF('D-1 Off-Site Habitat Baseline'!$AV$11:$AV$258,'G-2 Habitat groups'!A86,'D-1 Off-Site Habitat Baseline'!$T$11:$T$258)</f>
        <v>0</v>
      </c>
      <c r="U86" s="1056">
        <f>SUMIF('D-1 Off-Site Habitat Baseline'!$AV$11:$AV$258,'G-2 Habitat groups'!A86,'D-1 Off-Site Habitat Baseline'!$V$11:$V$258)</f>
        <v>0</v>
      </c>
      <c r="V86" s="1056">
        <f>SUMIF('D-1 Off-Site Habitat Baseline'!$AV$11:$AV$258,'G-2 Habitat groups'!A86,'D-1 Off-Site Habitat Baseline'!$X$11:$X$258)+SUMIF('D-1 Off-Site Habitat Baseline'!$AV$11:$AV$258,'G-2 Habitat groups'!A86,'D-1 Off-Site Habitat Baseline'!$AS$11:$AS$258)</f>
        <v>0</v>
      </c>
      <c r="W86" s="1056">
        <f>SUMIF('D-2 Off-Site Habitat Creation'!$F$9:$F$255,'G-2 Habitat groups'!A86,'D-2 Off-Site Habitat Creation'!$G$9:$G$255)</f>
        <v>0</v>
      </c>
      <c r="X86" s="1056">
        <f>SUMIF('D-2 Off-Site Habitat Creation'!$F$9:$F$255,'G-2 Habitat groups'!A86,'D-2 Off-Site Habitat Creation'!$AB$9:$AB$255)</f>
        <v>0</v>
      </c>
      <c r="Y86" s="1056">
        <f>SUMIF('D-3 Off-Site Habitat Enhancment'!$S$12:$S$491,'G-2 Habitat groups'!A86,'D-3 Off-Site Habitat Enhancment'!$V$12:$V$491)</f>
        <v>0</v>
      </c>
      <c r="Z86" s="1056">
        <f>SUMIF('D-3 Off-Site Habitat Enhancment'!$S$12:$S$491,'G-2 Habitat groups'!A86,'D-3 Off-Site Habitat Enhancment'!$AQ$12:$AQ$491)</f>
        <v>0</v>
      </c>
      <c r="AA86" s="1056">
        <f t="shared" si="58"/>
        <v>0</v>
      </c>
      <c r="AB86" s="1056">
        <f t="shared" si="59"/>
        <v>0</v>
      </c>
      <c r="AC86" s="1056">
        <f t="shared" si="60"/>
        <v>0</v>
      </c>
      <c r="AD86" s="1056">
        <f t="shared" si="61"/>
        <v>0</v>
      </c>
      <c r="AE86" s="1056">
        <f t="shared" si="62"/>
        <v>0</v>
      </c>
      <c r="AF86" s="1056">
        <f t="shared" si="63"/>
        <v>0</v>
      </c>
      <c r="AU86" s="70" t="s">
        <v>730</v>
      </c>
      <c r="AV86" s="62" t="s">
        <v>106</v>
      </c>
      <c r="AW86" s="274">
        <f t="shared" si="64"/>
        <v>0</v>
      </c>
      <c r="AX86" s="274">
        <f t="shared" si="65"/>
        <v>0</v>
      </c>
      <c r="AY86" s="274">
        <f t="shared" si="66"/>
        <v>0</v>
      </c>
      <c r="AZ86" s="274">
        <f t="shared" si="67"/>
        <v>0</v>
      </c>
      <c r="BA86" s="274">
        <f t="shared" si="68"/>
        <v>0</v>
      </c>
      <c r="BB86" s="274">
        <f t="shared" si="69"/>
        <v>0</v>
      </c>
      <c r="BC86" s="274">
        <f t="shared" si="70"/>
        <v>0</v>
      </c>
      <c r="BD86" s="274">
        <f t="shared" si="71"/>
        <v>0</v>
      </c>
      <c r="BE86" s="274">
        <f t="shared" si="72"/>
        <v>0</v>
      </c>
      <c r="BF86" s="274" t="str">
        <f t="shared" si="73"/>
        <v/>
      </c>
    </row>
    <row r="87" spans="1:58" ht="14">
      <c r="A87" s="72" t="str">
        <f>'G-1 All Habitats'!B87</f>
        <v>Wetland - Purple moor grass and rush pastures</v>
      </c>
      <c r="B87" s="72" t="s">
        <v>111</v>
      </c>
      <c r="C87" s="72" t="str">
        <f>'G-1 All Habitats'!K87</f>
        <v>V.High</v>
      </c>
      <c r="D87" s="72" t="str">
        <f>'G-1 All Habitats'!M87</f>
        <v>Same habitat required – bespoke compensation option ⚠</v>
      </c>
      <c r="E87" s="1056">
        <f>SUMIF('A-1 On-Site Habitat Baseline'!$AV$11:$AV$258,'G-2 Habitat groups'!A87,'A-1 On-Site Habitat Baseline'!$H$11:$H$258)</f>
        <v>0</v>
      </c>
      <c r="F87" s="1056">
        <f>SUMIF('A-1 On-Site Habitat Baseline'!$AV$11:$AV$258,'G-2 Habitat groups'!A87,'A-1 On-Site Habitat Baseline'!$Q$11:$Q$258)</f>
        <v>0</v>
      </c>
      <c r="G87" s="1056">
        <f>SUMIF('A-1 On-Site Habitat Baseline'!$AV$11:$AV$258,'G-2 Habitat groups'!A87,'A-1 On-Site Habitat Baseline'!$S$11:$S$258)</f>
        <v>0</v>
      </c>
      <c r="H87" s="1056">
        <f>SUMIF('A-1 On-Site Habitat Baseline'!$AV$11:$AV$258,'G-2 Habitat groups'!A87,'A-1 On-Site Habitat Baseline'!$U$11:$U$258)+SUMIF('A-1 On-Site Habitat Baseline'!$AV$11:$AV$258,'G-2 Habitat groups'!A87,'A-1 On-Site Habitat Baseline'!$AT$11:$AT$258)</f>
        <v>0</v>
      </c>
      <c r="I87" s="1056">
        <f>SUMIF('A-1 On-Site Habitat Baseline'!$AV$11:$AV$258,'G-2 Habitat groups'!A87,'A-1 On-Site Habitat Baseline'!$W$11:$W$258)</f>
        <v>0</v>
      </c>
      <c r="J87" s="1056">
        <f>SUMIF('A-1 On-Site Habitat Baseline'!$AV$11:$AV$258,'G-2 Habitat groups'!A87,'A-1 On-Site Habitat Baseline'!$X$11:$X$258)</f>
        <v>0</v>
      </c>
      <c r="K87" s="1056">
        <f>SUMIF('A-2 On-Site Habitat Creation'!$F$11:$F$256,'G-2 Habitat groups'!A87,'A-2 On-Site Habitat Creation'!$G$11:$G$256)</f>
        <v>0</v>
      </c>
      <c r="L87" s="1056">
        <f>SUMIF('A-2 On-Site Habitat Creation'!$F$11:$F$256,'G-2 Habitat groups'!A87,'A-2 On-Site Habitat Creation'!$Y$11:$Y$256)</f>
        <v>0</v>
      </c>
      <c r="M87" s="1056">
        <f>SUMIF('A-3 On-Site Habitat Enhancement'!$S$12:$S$257,'G-2 Habitat groups'!A87,'A-3 On-Site Habitat Enhancement'!$V$12:$V$257)</f>
        <v>0</v>
      </c>
      <c r="N87" s="1056">
        <f>SUMIF('A-3 On-Site Habitat Enhancement'!$S$12:$S$257,'G-2 Habitat groups'!A87,'A-3 On-Site Habitat Enhancement'!$AN$12:$AN$257)</f>
        <v>0</v>
      </c>
      <c r="O87" s="1056">
        <f t="shared" si="54"/>
        <v>0</v>
      </c>
      <c r="P87" s="1056">
        <f t="shared" si="55"/>
        <v>0</v>
      </c>
      <c r="Q87" s="1056">
        <f t="shared" si="56"/>
        <v>0</v>
      </c>
      <c r="R87" s="1056">
        <f t="shared" si="57"/>
        <v>0</v>
      </c>
      <c r="S87" s="1056">
        <f>SUMIF('D-1 Off-Site Habitat Baseline'!$AV$11:$AV$258,'G-2 Habitat groups'!A87,'D-1 Off-Site Habitat Baseline'!$H$11:$H$258)</f>
        <v>0</v>
      </c>
      <c r="T87" s="1056">
        <f>SUMIF('D-1 Off-Site Habitat Baseline'!$AV$11:$AV$258,'G-2 Habitat groups'!A87,'D-1 Off-Site Habitat Baseline'!$T$11:$T$258)</f>
        <v>0</v>
      </c>
      <c r="U87" s="1056">
        <f>SUMIF('D-1 Off-Site Habitat Baseline'!$AV$11:$AV$258,'G-2 Habitat groups'!A87,'D-1 Off-Site Habitat Baseline'!$V$11:$V$258)</f>
        <v>0</v>
      </c>
      <c r="V87" s="1056">
        <f>SUMIF('D-1 Off-Site Habitat Baseline'!$AV$11:$AV$258,'G-2 Habitat groups'!A87,'D-1 Off-Site Habitat Baseline'!$X$11:$X$258)+SUMIF('D-1 Off-Site Habitat Baseline'!$AV$11:$AV$258,'G-2 Habitat groups'!A87,'D-1 Off-Site Habitat Baseline'!$AS$11:$AS$258)</f>
        <v>0</v>
      </c>
      <c r="W87" s="1056">
        <f>SUMIF('D-2 Off-Site Habitat Creation'!$F$9:$F$255,'G-2 Habitat groups'!A87,'D-2 Off-Site Habitat Creation'!$G$9:$G$255)</f>
        <v>0</v>
      </c>
      <c r="X87" s="1056">
        <f>SUMIF('D-2 Off-Site Habitat Creation'!$F$9:$F$255,'G-2 Habitat groups'!A87,'D-2 Off-Site Habitat Creation'!$AB$9:$AB$255)</f>
        <v>0</v>
      </c>
      <c r="Y87" s="1056">
        <f>SUMIF('D-3 Off-Site Habitat Enhancment'!$S$12:$S$491,'G-2 Habitat groups'!A87,'D-3 Off-Site Habitat Enhancment'!$V$12:$V$491)</f>
        <v>0</v>
      </c>
      <c r="Z87" s="1056">
        <f>SUMIF('D-3 Off-Site Habitat Enhancment'!$S$12:$S$491,'G-2 Habitat groups'!A87,'D-3 Off-Site Habitat Enhancment'!$AQ$12:$AQ$491)</f>
        <v>0</v>
      </c>
      <c r="AA87" s="1056">
        <f t="shared" si="58"/>
        <v>0</v>
      </c>
      <c r="AB87" s="1056">
        <f t="shared" si="59"/>
        <v>0</v>
      </c>
      <c r="AC87" s="1056">
        <f t="shared" si="60"/>
        <v>0</v>
      </c>
      <c r="AD87" s="1056">
        <f t="shared" si="61"/>
        <v>0</v>
      </c>
      <c r="AE87" s="1056">
        <f t="shared" si="62"/>
        <v>0</v>
      </c>
      <c r="AF87" s="1056">
        <f t="shared" si="63"/>
        <v>0</v>
      </c>
      <c r="AU87" s="70" t="s">
        <v>739</v>
      </c>
      <c r="AV87" s="62" t="s">
        <v>107</v>
      </c>
      <c r="AW87" s="274">
        <f t="shared" si="64"/>
        <v>0</v>
      </c>
      <c r="AX87" s="274">
        <f t="shared" si="65"/>
        <v>0</v>
      </c>
      <c r="AY87" s="274">
        <f t="shared" si="66"/>
        <v>0</v>
      </c>
      <c r="AZ87" s="274">
        <f t="shared" si="67"/>
        <v>0</v>
      </c>
      <c r="BA87" s="274">
        <f t="shared" si="68"/>
        <v>0</v>
      </c>
      <c r="BB87" s="274">
        <f t="shared" si="69"/>
        <v>0</v>
      </c>
      <c r="BC87" s="274">
        <f t="shared" si="70"/>
        <v>0</v>
      </c>
      <c r="BD87" s="274">
        <f t="shared" si="71"/>
        <v>0</v>
      </c>
      <c r="BE87" s="274">
        <f t="shared" si="72"/>
        <v>0</v>
      </c>
      <c r="BF87" s="274" t="str">
        <f t="shared" si="73"/>
        <v/>
      </c>
    </row>
    <row r="88" spans="1:58" ht="14">
      <c r="A88" s="72" t="str">
        <f>'G-1 All Habitats'!B88</f>
        <v>Wetland - Reedbeds</v>
      </c>
      <c r="B88" s="72" t="s">
        <v>111</v>
      </c>
      <c r="C88" s="72" t="str">
        <f>'G-1 All Habitats'!K88</f>
        <v>High</v>
      </c>
      <c r="D88" s="72" t="str">
        <f>'G-1 All Habitats'!M88</f>
        <v>Same habitat required =</v>
      </c>
      <c r="E88" s="1056">
        <f>SUMIF('A-1 On-Site Habitat Baseline'!$AV$11:$AV$258,'G-2 Habitat groups'!A88,'A-1 On-Site Habitat Baseline'!$H$11:$H$258)</f>
        <v>0</v>
      </c>
      <c r="F88" s="1056">
        <f>SUMIF('A-1 On-Site Habitat Baseline'!$AV$11:$AV$258,'G-2 Habitat groups'!A88,'A-1 On-Site Habitat Baseline'!$Q$11:$Q$258)</f>
        <v>0</v>
      </c>
      <c r="G88" s="1056">
        <f>SUMIF('A-1 On-Site Habitat Baseline'!$AV$11:$AV$258,'G-2 Habitat groups'!A88,'A-1 On-Site Habitat Baseline'!$S$11:$S$258)</f>
        <v>0</v>
      </c>
      <c r="H88" s="1056">
        <f>SUMIF('A-1 On-Site Habitat Baseline'!$AV$11:$AV$258,'G-2 Habitat groups'!A88,'A-1 On-Site Habitat Baseline'!$U$11:$U$258)+SUMIF('A-1 On-Site Habitat Baseline'!$AV$11:$AV$258,'G-2 Habitat groups'!A88,'A-1 On-Site Habitat Baseline'!$AT$11:$AT$258)</f>
        <v>0</v>
      </c>
      <c r="I88" s="1056">
        <f>SUMIF('A-1 On-Site Habitat Baseline'!$AV$11:$AV$258,'G-2 Habitat groups'!A88,'A-1 On-Site Habitat Baseline'!$W$11:$W$258)</f>
        <v>0</v>
      </c>
      <c r="J88" s="1056">
        <f>SUMIF('A-1 On-Site Habitat Baseline'!$AV$11:$AV$258,'G-2 Habitat groups'!A88,'A-1 On-Site Habitat Baseline'!$X$11:$X$258)</f>
        <v>0</v>
      </c>
      <c r="K88" s="1056">
        <f>SUMIF('A-2 On-Site Habitat Creation'!$F$11:$F$256,'G-2 Habitat groups'!A88,'A-2 On-Site Habitat Creation'!$G$11:$G$256)</f>
        <v>0</v>
      </c>
      <c r="L88" s="1056">
        <f>SUMIF('A-2 On-Site Habitat Creation'!$F$11:$F$256,'G-2 Habitat groups'!A88,'A-2 On-Site Habitat Creation'!$Y$11:$Y$256)</f>
        <v>0</v>
      </c>
      <c r="M88" s="1056">
        <f>SUMIF('A-3 On-Site Habitat Enhancement'!$S$12:$S$257,'G-2 Habitat groups'!A88,'A-3 On-Site Habitat Enhancement'!$V$12:$V$257)</f>
        <v>0</v>
      </c>
      <c r="N88" s="1056">
        <f>SUMIF('A-3 On-Site Habitat Enhancement'!$S$12:$S$257,'G-2 Habitat groups'!A88,'A-3 On-Site Habitat Enhancement'!$AN$12:$AN$257)</f>
        <v>0</v>
      </c>
      <c r="O88" s="1056">
        <f t="shared" si="54"/>
        <v>0</v>
      </c>
      <c r="P88" s="1056">
        <f t="shared" si="55"/>
        <v>0</v>
      </c>
      <c r="Q88" s="1056">
        <f t="shared" si="56"/>
        <v>0</v>
      </c>
      <c r="R88" s="1056">
        <f t="shared" si="57"/>
        <v>0</v>
      </c>
      <c r="S88" s="1056">
        <f>SUMIF('D-1 Off-Site Habitat Baseline'!$AV$11:$AV$258,'G-2 Habitat groups'!A88,'D-1 Off-Site Habitat Baseline'!$H$11:$H$258)</f>
        <v>0</v>
      </c>
      <c r="T88" s="1056">
        <f>SUMIF('D-1 Off-Site Habitat Baseline'!$AV$11:$AV$258,'G-2 Habitat groups'!A88,'D-1 Off-Site Habitat Baseline'!$T$11:$T$258)</f>
        <v>0</v>
      </c>
      <c r="U88" s="1056">
        <f>SUMIF('D-1 Off-Site Habitat Baseline'!$AV$11:$AV$258,'G-2 Habitat groups'!A88,'D-1 Off-Site Habitat Baseline'!$V$11:$V$258)</f>
        <v>0</v>
      </c>
      <c r="V88" s="1056">
        <f>SUMIF('D-1 Off-Site Habitat Baseline'!$AV$11:$AV$258,'G-2 Habitat groups'!A88,'D-1 Off-Site Habitat Baseline'!$X$11:$X$258)+SUMIF('D-1 Off-Site Habitat Baseline'!$AV$11:$AV$258,'G-2 Habitat groups'!A88,'D-1 Off-Site Habitat Baseline'!$AS$11:$AS$258)</f>
        <v>0</v>
      </c>
      <c r="W88" s="1056">
        <f>SUMIF('D-2 Off-Site Habitat Creation'!$F$9:$F$255,'G-2 Habitat groups'!A88,'D-2 Off-Site Habitat Creation'!$G$9:$G$255)</f>
        <v>0</v>
      </c>
      <c r="X88" s="1056">
        <f>SUMIF('D-2 Off-Site Habitat Creation'!$F$9:$F$255,'G-2 Habitat groups'!A88,'D-2 Off-Site Habitat Creation'!$AB$9:$AB$255)</f>
        <v>0</v>
      </c>
      <c r="Y88" s="1056">
        <f>SUMIF('D-3 Off-Site Habitat Enhancment'!$S$12:$S$491,'G-2 Habitat groups'!A88,'D-3 Off-Site Habitat Enhancment'!$V$12:$V$491)</f>
        <v>0</v>
      </c>
      <c r="Z88" s="1056">
        <f>SUMIF('D-3 Off-Site Habitat Enhancment'!$S$12:$S$491,'G-2 Habitat groups'!A88,'D-3 Off-Site Habitat Enhancment'!$AQ$12:$AQ$491)</f>
        <v>0</v>
      </c>
      <c r="AA88" s="1056">
        <f t="shared" si="58"/>
        <v>0</v>
      </c>
      <c r="AB88" s="1056">
        <f t="shared" si="59"/>
        <v>0</v>
      </c>
      <c r="AC88" s="1056">
        <f t="shared" si="60"/>
        <v>0</v>
      </c>
      <c r="AD88" s="1056">
        <f t="shared" si="61"/>
        <v>0</v>
      </c>
      <c r="AE88" s="1056">
        <f t="shared" si="62"/>
        <v>0</v>
      </c>
      <c r="AF88" s="1056">
        <f t="shared" si="63"/>
        <v>0</v>
      </c>
      <c r="AU88" s="70" t="s">
        <v>745</v>
      </c>
      <c r="AV88" s="62" t="s">
        <v>107</v>
      </c>
      <c r="AW88" s="274">
        <f t="shared" si="64"/>
        <v>0</v>
      </c>
      <c r="AX88" s="274">
        <f t="shared" si="65"/>
        <v>0</v>
      </c>
      <c r="AY88" s="274">
        <f t="shared" si="66"/>
        <v>0</v>
      </c>
      <c r="AZ88" s="274">
        <f t="shared" si="67"/>
        <v>0</v>
      </c>
      <c r="BA88" s="274">
        <f t="shared" si="68"/>
        <v>0</v>
      </c>
      <c r="BB88" s="274">
        <f t="shared" si="69"/>
        <v>0</v>
      </c>
      <c r="BC88" s="274">
        <f t="shared" si="70"/>
        <v>0</v>
      </c>
      <c r="BD88" s="274">
        <f t="shared" si="71"/>
        <v>0</v>
      </c>
      <c r="BE88" s="274">
        <f t="shared" si="72"/>
        <v>0</v>
      </c>
      <c r="BF88" s="274" t="str">
        <f t="shared" si="73"/>
        <v/>
      </c>
    </row>
    <row r="89" spans="1:58" ht="14">
      <c r="A89" s="72" t="str">
        <f>'G-1 All Habitats'!B89</f>
        <v>Wetland - Transition mires and quaking bogs (H7140)</v>
      </c>
      <c r="B89" s="72" t="s">
        <v>111</v>
      </c>
      <c r="C89" s="72" t="str">
        <f>'G-1 All Habitats'!K89</f>
        <v>V.High</v>
      </c>
      <c r="D89" s="72" t="str">
        <f>'G-1 All Habitats'!M89</f>
        <v>Same habitat required – bespoke compensation option ⚠</v>
      </c>
      <c r="E89" s="1056">
        <f>SUMIF('A-1 On-Site Habitat Baseline'!$AV$11:$AV$258,'G-2 Habitat groups'!A89,'A-1 On-Site Habitat Baseline'!$H$11:$H$258)</f>
        <v>0</v>
      </c>
      <c r="F89" s="1056">
        <f>SUMIF('A-1 On-Site Habitat Baseline'!$AV$11:$AV$258,'G-2 Habitat groups'!A89,'A-1 On-Site Habitat Baseline'!$Q$11:$Q$258)</f>
        <v>0</v>
      </c>
      <c r="G89" s="1056">
        <f>SUMIF('A-1 On-Site Habitat Baseline'!$AV$11:$AV$258,'G-2 Habitat groups'!A89,'A-1 On-Site Habitat Baseline'!$S$11:$S$258)</f>
        <v>0</v>
      </c>
      <c r="H89" s="1056">
        <f>SUMIF('A-1 On-Site Habitat Baseline'!$AV$11:$AV$258,'G-2 Habitat groups'!A89,'A-1 On-Site Habitat Baseline'!$U$11:$U$258)+SUMIF('A-1 On-Site Habitat Baseline'!$AV$11:$AV$258,'G-2 Habitat groups'!A89,'A-1 On-Site Habitat Baseline'!$AT$11:$AT$258)</f>
        <v>0</v>
      </c>
      <c r="I89" s="1056">
        <f>SUMIF('A-1 On-Site Habitat Baseline'!$AV$11:$AV$258,'G-2 Habitat groups'!A89,'A-1 On-Site Habitat Baseline'!$W$11:$W$258)</f>
        <v>0</v>
      </c>
      <c r="J89" s="1056">
        <f>SUMIF('A-1 On-Site Habitat Baseline'!$AV$11:$AV$258,'G-2 Habitat groups'!A89,'A-1 On-Site Habitat Baseline'!$X$11:$X$258)</f>
        <v>0</v>
      </c>
      <c r="K89" s="1056">
        <f>SUMIF('A-2 On-Site Habitat Creation'!$F$11:$F$256,'G-2 Habitat groups'!A89,'A-2 On-Site Habitat Creation'!$G$11:$G$256)</f>
        <v>0</v>
      </c>
      <c r="L89" s="1056">
        <f>SUMIF('A-2 On-Site Habitat Creation'!$F$11:$F$256,'G-2 Habitat groups'!A89,'A-2 On-Site Habitat Creation'!$Y$11:$Y$256)</f>
        <v>0</v>
      </c>
      <c r="M89" s="1056">
        <f>SUMIF('A-3 On-Site Habitat Enhancement'!$S$12:$S$257,'G-2 Habitat groups'!A89,'A-3 On-Site Habitat Enhancement'!$V$12:$V$257)</f>
        <v>0</v>
      </c>
      <c r="N89" s="1056">
        <f>SUMIF('A-3 On-Site Habitat Enhancement'!$S$12:$S$257,'G-2 Habitat groups'!A89,'A-3 On-Site Habitat Enhancement'!$AN$12:$AN$257)</f>
        <v>0</v>
      </c>
      <c r="O89" s="1056">
        <f t="shared" si="54"/>
        <v>0</v>
      </c>
      <c r="P89" s="1056">
        <f t="shared" si="55"/>
        <v>0</v>
      </c>
      <c r="Q89" s="1056">
        <f t="shared" si="56"/>
        <v>0</v>
      </c>
      <c r="R89" s="1056">
        <f t="shared" si="57"/>
        <v>0</v>
      </c>
      <c r="S89" s="1056">
        <f>SUMIF('D-1 Off-Site Habitat Baseline'!$AV$11:$AV$258,'G-2 Habitat groups'!A89,'D-1 Off-Site Habitat Baseline'!$H$11:$H$258)</f>
        <v>0</v>
      </c>
      <c r="T89" s="1056">
        <f>SUMIF('D-1 Off-Site Habitat Baseline'!$AV$11:$AV$258,'G-2 Habitat groups'!A89,'D-1 Off-Site Habitat Baseline'!$T$11:$T$258)</f>
        <v>0</v>
      </c>
      <c r="U89" s="1056">
        <f>SUMIF('D-1 Off-Site Habitat Baseline'!$AV$11:$AV$258,'G-2 Habitat groups'!A89,'D-1 Off-Site Habitat Baseline'!$V$11:$V$258)</f>
        <v>0</v>
      </c>
      <c r="V89" s="1056">
        <f>SUMIF('D-1 Off-Site Habitat Baseline'!$AV$11:$AV$258,'G-2 Habitat groups'!A89,'D-1 Off-Site Habitat Baseline'!$X$11:$X$258)+SUMIF('D-1 Off-Site Habitat Baseline'!$AV$11:$AV$258,'G-2 Habitat groups'!A89,'D-1 Off-Site Habitat Baseline'!$AS$11:$AS$258)</f>
        <v>0</v>
      </c>
      <c r="W89" s="1056">
        <f>SUMIF('D-2 Off-Site Habitat Creation'!$F$9:$F$255,'G-2 Habitat groups'!A89,'D-2 Off-Site Habitat Creation'!$G$9:$G$255)</f>
        <v>0</v>
      </c>
      <c r="X89" s="1056">
        <f>SUMIF('D-2 Off-Site Habitat Creation'!$F$9:$F$255,'G-2 Habitat groups'!A89,'D-2 Off-Site Habitat Creation'!$AB$9:$AB$255)</f>
        <v>0</v>
      </c>
      <c r="Y89" s="1056">
        <f>SUMIF('D-3 Off-Site Habitat Enhancment'!$S$12:$S$491,'G-2 Habitat groups'!A89,'D-3 Off-Site Habitat Enhancment'!$V$12:$V$491)</f>
        <v>0</v>
      </c>
      <c r="Z89" s="1056">
        <f>SUMIF('D-3 Off-Site Habitat Enhancment'!$S$12:$S$491,'G-2 Habitat groups'!A89,'D-3 Off-Site Habitat Enhancment'!$AQ$12:$AQ$491)</f>
        <v>0</v>
      </c>
      <c r="AA89" s="1056">
        <f t="shared" si="58"/>
        <v>0</v>
      </c>
      <c r="AB89" s="1056">
        <f t="shared" si="59"/>
        <v>0</v>
      </c>
      <c r="AC89" s="1056">
        <f t="shared" si="60"/>
        <v>0</v>
      </c>
      <c r="AD89" s="1056">
        <f t="shared" si="61"/>
        <v>0</v>
      </c>
      <c r="AE89" s="1056">
        <f t="shared" si="62"/>
        <v>0</v>
      </c>
      <c r="AF89" s="1056">
        <f t="shared" si="63"/>
        <v>0</v>
      </c>
      <c r="AU89" s="70" t="s">
        <v>748</v>
      </c>
      <c r="AV89" s="62" t="s">
        <v>107</v>
      </c>
      <c r="AW89" s="274">
        <f t="shared" si="64"/>
        <v>0</v>
      </c>
      <c r="AX89" s="274">
        <f t="shared" si="65"/>
        <v>0</v>
      </c>
      <c r="AY89" s="274">
        <f t="shared" si="66"/>
        <v>0</v>
      </c>
      <c r="AZ89" s="274">
        <f t="shared" si="67"/>
        <v>0</v>
      </c>
      <c r="BA89" s="274">
        <f t="shared" si="68"/>
        <v>0</v>
      </c>
      <c r="BB89" s="274">
        <f t="shared" si="69"/>
        <v>0</v>
      </c>
      <c r="BC89" s="274">
        <f t="shared" si="70"/>
        <v>0</v>
      </c>
      <c r="BD89" s="274">
        <f t="shared" si="71"/>
        <v>0</v>
      </c>
      <c r="BE89" s="274">
        <f t="shared" si="72"/>
        <v>0</v>
      </c>
      <c r="BF89" s="274" t="str">
        <f t="shared" si="73"/>
        <v/>
      </c>
    </row>
    <row r="90" spans="1:58" ht="14">
      <c r="A90" s="72" t="str">
        <f>'G-1 All Habitats'!B90</f>
        <v>Woodland and forest - Felled</v>
      </c>
      <c r="B90" s="72" t="s">
        <v>112</v>
      </c>
      <c r="C90" s="72" t="str">
        <f>'G-1 All Habitats'!K90</f>
        <v>High</v>
      </c>
      <c r="D90" s="72" t="str">
        <f>'G-1 All Habitats'!M90</f>
        <v>Same habitat required =</v>
      </c>
      <c r="E90" s="1056">
        <f>SUMIF('A-1 On-Site Habitat Baseline'!$AV$11:$AV$258,'G-2 Habitat groups'!A90,'A-1 On-Site Habitat Baseline'!$H$11:$H$258)</f>
        <v>0</v>
      </c>
      <c r="F90" s="1056">
        <f>SUMIF('A-1 On-Site Habitat Baseline'!$AV$11:$AV$258,'G-2 Habitat groups'!A90,'A-1 On-Site Habitat Baseline'!$Q$11:$Q$258)</f>
        <v>0</v>
      </c>
      <c r="G90" s="1056">
        <f>SUMIF('A-1 On-Site Habitat Baseline'!$AV$11:$AV$258,'G-2 Habitat groups'!A90,'A-1 On-Site Habitat Baseline'!$S$11:$S$258)</f>
        <v>0</v>
      </c>
      <c r="H90" s="1056">
        <f>SUMIF('A-1 On-Site Habitat Baseline'!$AV$11:$AV$258,'G-2 Habitat groups'!A90,'A-1 On-Site Habitat Baseline'!$U$11:$U$258)+SUMIF('A-1 On-Site Habitat Baseline'!$AV$11:$AV$258,'G-2 Habitat groups'!A90,'A-1 On-Site Habitat Baseline'!$AT$11:$AT$258)</f>
        <v>0</v>
      </c>
      <c r="I90" s="1056">
        <f>SUMIF('A-1 On-Site Habitat Baseline'!$AV$11:$AV$258,'G-2 Habitat groups'!A90,'A-1 On-Site Habitat Baseline'!$W$11:$W$258)</f>
        <v>0</v>
      </c>
      <c r="J90" s="1056">
        <f>SUMIF('A-1 On-Site Habitat Baseline'!$AV$11:$AV$258,'G-2 Habitat groups'!A90,'A-1 On-Site Habitat Baseline'!$X$11:$X$258)</f>
        <v>0</v>
      </c>
      <c r="K90" s="1056">
        <f>SUMIF('A-2 On-Site Habitat Creation'!$F$11:$F$256,'G-2 Habitat groups'!A90,'A-2 On-Site Habitat Creation'!$G$11:$G$256)</f>
        <v>0</v>
      </c>
      <c r="L90" s="1056">
        <f>SUMIF('A-2 On-Site Habitat Creation'!$F$11:$F$256,'G-2 Habitat groups'!A90,'A-2 On-Site Habitat Creation'!$Y$11:$Y$256)</f>
        <v>0</v>
      </c>
      <c r="M90" s="1056">
        <f>SUMIF('A-3 On-Site Habitat Enhancement'!$S$12:$S$257,'G-2 Habitat groups'!A90,'A-3 On-Site Habitat Enhancement'!$V$12:$V$257)</f>
        <v>0</v>
      </c>
      <c r="N90" s="1056">
        <f>SUMIF('A-3 On-Site Habitat Enhancement'!$S$12:$S$257,'G-2 Habitat groups'!A90,'A-3 On-Site Habitat Enhancement'!$AN$12:$AN$257)</f>
        <v>0</v>
      </c>
      <c r="O90" s="1056">
        <f t="shared" si="54"/>
        <v>0</v>
      </c>
      <c r="P90" s="1056">
        <f t="shared" si="55"/>
        <v>0</v>
      </c>
      <c r="Q90" s="1056">
        <f t="shared" si="56"/>
        <v>0</v>
      </c>
      <c r="R90" s="1056">
        <f t="shared" si="57"/>
        <v>0</v>
      </c>
      <c r="S90" s="1056">
        <f>SUMIF('D-1 Off-Site Habitat Baseline'!$AV$11:$AV$258,'G-2 Habitat groups'!A90,'D-1 Off-Site Habitat Baseline'!$H$11:$H$258)</f>
        <v>0</v>
      </c>
      <c r="T90" s="1056">
        <f>SUMIF('D-1 Off-Site Habitat Baseline'!$AV$11:$AV$258,'G-2 Habitat groups'!A90,'D-1 Off-Site Habitat Baseline'!$T$11:$T$258)</f>
        <v>0</v>
      </c>
      <c r="U90" s="1056">
        <f>SUMIF('D-1 Off-Site Habitat Baseline'!$AV$11:$AV$258,'G-2 Habitat groups'!A90,'D-1 Off-Site Habitat Baseline'!$V$11:$V$258)</f>
        <v>0</v>
      </c>
      <c r="V90" s="1056">
        <f>SUMIF('D-1 Off-Site Habitat Baseline'!$AV$11:$AV$258,'G-2 Habitat groups'!A90,'D-1 Off-Site Habitat Baseline'!$X$11:$X$258)+SUMIF('D-1 Off-Site Habitat Baseline'!$AV$11:$AV$258,'G-2 Habitat groups'!A90,'D-1 Off-Site Habitat Baseline'!$AS$11:$AS$258)</f>
        <v>0</v>
      </c>
      <c r="W90" s="1056">
        <f>SUMIF('D-2 Off-Site Habitat Creation'!$F$9:$F$255,'G-2 Habitat groups'!A90,'D-2 Off-Site Habitat Creation'!$G$9:$G$255)</f>
        <v>0</v>
      </c>
      <c r="X90" s="1056">
        <f>SUMIF('D-2 Off-Site Habitat Creation'!$F$9:$F$255,'G-2 Habitat groups'!A90,'D-2 Off-Site Habitat Creation'!$AB$9:$AB$255)</f>
        <v>0</v>
      </c>
      <c r="Y90" s="1056">
        <f>SUMIF('D-3 Off-Site Habitat Enhancment'!$S$12:$S$491,'G-2 Habitat groups'!A90,'D-3 Off-Site Habitat Enhancment'!$V$12:$V$491)</f>
        <v>0</v>
      </c>
      <c r="Z90" s="1056">
        <f>SUMIF('D-3 Off-Site Habitat Enhancment'!$S$12:$S$491,'G-2 Habitat groups'!A90,'D-3 Off-Site Habitat Enhancment'!$AQ$12:$AQ$491)</f>
        <v>0</v>
      </c>
      <c r="AA90" s="1056">
        <f t="shared" si="58"/>
        <v>0</v>
      </c>
      <c r="AB90" s="1056">
        <f t="shared" si="59"/>
        <v>0</v>
      </c>
      <c r="AC90" s="1056">
        <f t="shared" si="60"/>
        <v>0</v>
      </c>
      <c r="AD90" s="1056">
        <f t="shared" si="61"/>
        <v>0</v>
      </c>
      <c r="AE90" s="1056">
        <f t="shared" si="62"/>
        <v>0</v>
      </c>
      <c r="AF90" s="1056">
        <f t="shared" si="63"/>
        <v>0</v>
      </c>
      <c r="AU90" s="70" t="s">
        <v>751</v>
      </c>
      <c r="AV90" s="62" t="s">
        <v>107</v>
      </c>
      <c r="AW90" s="274">
        <f t="shared" si="64"/>
        <v>0</v>
      </c>
      <c r="AX90" s="274">
        <f t="shared" si="65"/>
        <v>0</v>
      </c>
      <c r="AY90" s="274">
        <f t="shared" si="66"/>
        <v>0</v>
      </c>
      <c r="AZ90" s="274">
        <f t="shared" si="67"/>
        <v>0</v>
      </c>
      <c r="BA90" s="274">
        <f t="shared" si="68"/>
        <v>0</v>
      </c>
      <c r="BB90" s="274">
        <f t="shared" si="69"/>
        <v>0</v>
      </c>
      <c r="BC90" s="274">
        <f t="shared" si="70"/>
        <v>0</v>
      </c>
      <c r="BD90" s="274">
        <f t="shared" si="71"/>
        <v>0</v>
      </c>
      <c r="BE90" s="274">
        <f t="shared" si="72"/>
        <v>0</v>
      </c>
      <c r="BF90" s="274" t="str">
        <f t="shared" si="73"/>
        <v/>
      </c>
    </row>
    <row r="91" spans="1:58" ht="14">
      <c r="A91" s="72" t="str">
        <f>'G-1 All Habitats'!B91</f>
        <v>Woodland and forest - Lowland beech and yew woodland</v>
      </c>
      <c r="B91" s="72" t="s">
        <v>112</v>
      </c>
      <c r="C91" s="72" t="str">
        <f>'G-1 All Habitats'!K91</f>
        <v>High</v>
      </c>
      <c r="D91" s="72" t="str">
        <f>'G-1 All Habitats'!M91</f>
        <v>Same habitat required =</v>
      </c>
      <c r="E91" s="1056">
        <f>SUMIF('A-1 On-Site Habitat Baseline'!$AV$11:$AV$258,'G-2 Habitat groups'!A91,'A-1 On-Site Habitat Baseline'!$H$11:$H$258)</f>
        <v>0</v>
      </c>
      <c r="F91" s="1056">
        <f>SUMIF('A-1 On-Site Habitat Baseline'!$AV$11:$AV$258,'G-2 Habitat groups'!A91,'A-1 On-Site Habitat Baseline'!$Q$11:$Q$258)</f>
        <v>0</v>
      </c>
      <c r="G91" s="1056">
        <f>SUMIF('A-1 On-Site Habitat Baseline'!$AV$11:$AV$258,'G-2 Habitat groups'!A91,'A-1 On-Site Habitat Baseline'!$S$11:$S$258)</f>
        <v>0</v>
      </c>
      <c r="H91" s="1056">
        <f>SUMIF('A-1 On-Site Habitat Baseline'!$AV$11:$AV$258,'G-2 Habitat groups'!A91,'A-1 On-Site Habitat Baseline'!$U$11:$U$258)+SUMIF('A-1 On-Site Habitat Baseline'!$AV$11:$AV$258,'G-2 Habitat groups'!A91,'A-1 On-Site Habitat Baseline'!$AT$11:$AT$258)</f>
        <v>0</v>
      </c>
      <c r="I91" s="1056">
        <f>SUMIF('A-1 On-Site Habitat Baseline'!$AV$11:$AV$258,'G-2 Habitat groups'!A91,'A-1 On-Site Habitat Baseline'!$W$11:$W$258)</f>
        <v>0</v>
      </c>
      <c r="J91" s="1056">
        <f>SUMIF('A-1 On-Site Habitat Baseline'!$AV$11:$AV$258,'G-2 Habitat groups'!A91,'A-1 On-Site Habitat Baseline'!$X$11:$X$258)</f>
        <v>0</v>
      </c>
      <c r="K91" s="1056">
        <f>SUMIF('A-2 On-Site Habitat Creation'!$F$11:$F$256,'G-2 Habitat groups'!A91,'A-2 On-Site Habitat Creation'!$G$11:$G$256)</f>
        <v>0</v>
      </c>
      <c r="L91" s="1056">
        <f>SUMIF('A-2 On-Site Habitat Creation'!$F$11:$F$256,'G-2 Habitat groups'!A91,'A-2 On-Site Habitat Creation'!$Y$11:$Y$256)</f>
        <v>0</v>
      </c>
      <c r="M91" s="1056">
        <f>SUMIF('A-3 On-Site Habitat Enhancement'!$S$12:$S$257,'G-2 Habitat groups'!A91,'A-3 On-Site Habitat Enhancement'!$V$12:$V$257)</f>
        <v>0</v>
      </c>
      <c r="N91" s="1056">
        <f>SUMIF('A-3 On-Site Habitat Enhancement'!$S$12:$S$257,'G-2 Habitat groups'!A91,'A-3 On-Site Habitat Enhancement'!$AN$12:$AN$257)</f>
        <v>0</v>
      </c>
      <c r="O91" s="1056">
        <f t="shared" si="54"/>
        <v>0</v>
      </c>
      <c r="P91" s="1056">
        <f t="shared" si="55"/>
        <v>0</v>
      </c>
      <c r="Q91" s="1056">
        <f t="shared" si="56"/>
        <v>0</v>
      </c>
      <c r="R91" s="1056">
        <f t="shared" si="57"/>
        <v>0</v>
      </c>
      <c r="S91" s="1056">
        <f>SUMIF('D-1 Off-Site Habitat Baseline'!$AV$11:$AV$258,'G-2 Habitat groups'!A91,'D-1 Off-Site Habitat Baseline'!$H$11:$H$258)</f>
        <v>0</v>
      </c>
      <c r="T91" s="1056">
        <f>SUMIF('D-1 Off-Site Habitat Baseline'!$AV$11:$AV$258,'G-2 Habitat groups'!A91,'D-1 Off-Site Habitat Baseline'!$T$11:$T$258)</f>
        <v>0</v>
      </c>
      <c r="U91" s="1056">
        <f>SUMIF('D-1 Off-Site Habitat Baseline'!$AV$11:$AV$258,'G-2 Habitat groups'!A91,'D-1 Off-Site Habitat Baseline'!$V$11:$V$258)</f>
        <v>0</v>
      </c>
      <c r="V91" s="1056">
        <f>SUMIF('D-1 Off-Site Habitat Baseline'!$AV$11:$AV$258,'G-2 Habitat groups'!A91,'D-1 Off-Site Habitat Baseline'!$X$11:$X$258)+SUMIF('D-1 Off-Site Habitat Baseline'!$AV$11:$AV$258,'G-2 Habitat groups'!A91,'D-1 Off-Site Habitat Baseline'!$AS$11:$AS$258)</f>
        <v>0</v>
      </c>
      <c r="W91" s="1056">
        <f>SUMIF('D-2 Off-Site Habitat Creation'!$F$9:$F$255,'G-2 Habitat groups'!A91,'D-2 Off-Site Habitat Creation'!$G$9:$G$255)</f>
        <v>0</v>
      </c>
      <c r="X91" s="1056">
        <f>SUMIF('D-2 Off-Site Habitat Creation'!$F$9:$F$255,'G-2 Habitat groups'!A91,'D-2 Off-Site Habitat Creation'!$AB$9:$AB$255)</f>
        <v>0</v>
      </c>
      <c r="Y91" s="1056">
        <f>SUMIF('D-3 Off-Site Habitat Enhancment'!$S$12:$S$491,'G-2 Habitat groups'!A91,'D-3 Off-Site Habitat Enhancment'!$V$12:$V$491)</f>
        <v>0</v>
      </c>
      <c r="Z91" s="1056">
        <f>SUMIF('D-3 Off-Site Habitat Enhancment'!$S$12:$S$491,'G-2 Habitat groups'!A91,'D-3 Off-Site Habitat Enhancment'!$AQ$12:$AQ$491)</f>
        <v>0</v>
      </c>
      <c r="AA91" s="1056">
        <f t="shared" si="58"/>
        <v>0</v>
      </c>
      <c r="AB91" s="1056">
        <f t="shared" si="59"/>
        <v>0</v>
      </c>
      <c r="AC91" s="1056">
        <f t="shared" si="60"/>
        <v>0</v>
      </c>
      <c r="AD91" s="1056">
        <f t="shared" si="61"/>
        <v>0</v>
      </c>
      <c r="AE91" s="1056">
        <f t="shared" si="62"/>
        <v>0</v>
      </c>
      <c r="AF91" s="1056">
        <f t="shared" si="63"/>
        <v>0</v>
      </c>
      <c r="AU91" s="70" t="s">
        <v>754</v>
      </c>
      <c r="AV91" s="62" t="s">
        <v>107</v>
      </c>
      <c r="AW91" s="274">
        <f t="shared" si="64"/>
        <v>0</v>
      </c>
      <c r="AX91" s="274">
        <f t="shared" si="65"/>
        <v>0</v>
      </c>
      <c r="AY91" s="274">
        <f t="shared" si="66"/>
        <v>0</v>
      </c>
      <c r="AZ91" s="274">
        <f t="shared" si="67"/>
        <v>0</v>
      </c>
      <c r="BA91" s="274">
        <f t="shared" si="68"/>
        <v>0</v>
      </c>
      <c r="BB91" s="274">
        <f t="shared" si="69"/>
        <v>0</v>
      </c>
      <c r="BC91" s="274">
        <f t="shared" si="70"/>
        <v>0</v>
      </c>
      <c r="BD91" s="274">
        <f t="shared" si="71"/>
        <v>0</v>
      </c>
      <c r="BE91" s="274">
        <f t="shared" si="72"/>
        <v>0</v>
      </c>
      <c r="BF91" s="274" t="str">
        <f t="shared" si="73"/>
        <v/>
      </c>
    </row>
    <row r="92" spans="1:58" ht="14">
      <c r="A92" s="72" t="str">
        <f>'G-1 All Habitats'!B92</f>
        <v>Woodland and forest - Lowland mixed deciduous woodland</v>
      </c>
      <c r="B92" s="72" t="s">
        <v>112</v>
      </c>
      <c r="C92" s="72" t="str">
        <f>'G-1 All Habitats'!K92</f>
        <v>High</v>
      </c>
      <c r="D92" s="72" t="str">
        <f>'G-1 All Habitats'!M92</f>
        <v>Same habitat required =</v>
      </c>
      <c r="E92" s="1056">
        <f>SUMIF('A-1 On-Site Habitat Baseline'!$AV$11:$AV$258,'G-2 Habitat groups'!A92,'A-1 On-Site Habitat Baseline'!$H$11:$H$258)</f>
        <v>0</v>
      </c>
      <c r="F92" s="1056">
        <f>SUMIF('A-1 On-Site Habitat Baseline'!$AV$11:$AV$258,'G-2 Habitat groups'!A92,'A-1 On-Site Habitat Baseline'!$Q$11:$Q$258)</f>
        <v>0</v>
      </c>
      <c r="G92" s="1056">
        <f>SUMIF('A-1 On-Site Habitat Baseline'!$AV$11:$AV$258,'G-2 Habitat groups'!A92,'A-1 On-Site Habitat Baseline'!$S$11:$S$258)</f>
        <v>0</v>
      </c>
      <c r="H92" s="1056">
        <f>SUMIF('A-1 On-Site Habitat Baseline'!$AV$11:$AV$258,'G-2 Habitat groups'!A92,'A-1 On-Site Habitat Baseline'!$U$11:$U$258)+SUMIF('A-1 On-Site Habitat Baseline'!$AV$11:$AV$258,'G-2 Habitat groups'!A92,'A-1 On-Site Habitat Baseline'!$AT$11:$AT$258)</f>
        <v>0</v>
      </c>
      <c r="I92" s="1056">
        <f>SUMIF('A-1 On-Site Habitat Baseline'!$AV$11:$AV$258,'G-2 Habitat groups'!A92,'A-1 On-Site Habitat Baseline'!$W$11:$W$258)</f>
        <v>0</v>
      </c>
      <c r="J92" s="1056">
        <f>SUMIF('A-1 On-Site Habitat Baseline'!$AV$11:$AV$258,'G-2 Habitat groups'!A92,'A-1 On-Site Habitat Baseline'!$X$11:$X$258)</f>
        <v>0</v>
      </c>
      <c r="K92" s="1056">
        <f>SUMIF('A-2 On-Site Habitat Creation'!$F$11:$F$256,'G-2 Habitat groups'!A92,'A-2 On-Site Habitat Creation'!$G$11:$G$256)</f>
        <v>0</v>
      </c>
      <c r="L92" s="1056">
        <f>SUMIF('A-2 On-Site Habitat Creation'!$F$11:$F$256,'G-2 Habitat groups'!A92,'A-2 On-Site Habitat Creation'!$Y$11:$Y$256)</f>
        <v>0</v>
      </c>
      <c r="M92" s="1056">
        <f>SUMIF('A-3 On-Site Habitat Enhancement'!$S$12:$S$257,'G-2 Habitat groups'!A92,'A-3 On-Site Habitat Enhancement'!$V$12:$V$257)</f>
        <v>0</v>
      </c>
      <c r="N92" s="1056">
        <f>SUMIF('A-3 On-Site Habitat Enhancement'!$S$12:$S$257,'G-2 Habitat groups'!A92,'A-3 On-Site Habitat Enhancement'!$AN$12:$AN$257)</f>
        <v>0</v>
      </c>
      <c r="O92" s="1056">
        <f t="shared" si="54"/>
        <v>0</v>
      </c>
      <c r="P92" s="1056">
        <f t="shared" si="55"/>
        <v>0</v>
      </c>
      <c r="Q92" s="1056">
        <f t="shared" si="56"/>
        <v>0</v>
      </c>
      <c r="R92" s="1056">
        <f t="shared" si="57"/>
        <v>0</v>
      </c>
      <c r="S92" s="1056">
        <f>SUMIF('D-1 Off-Site Habitat Baseline'!$AV$11:$AV$258,'G-2 Habitat groups'!A92,'D-1 Off-Site Habitat Baseline'!$H$11:$H$258)</f>
        <v>0</v>
      </c>
      <c r="T92" s="1056">
        <f>SUMIF('D-1 Off-Site Habitat Baseline'!$AV$11:$AV$258,'G-2 Habitat groups'!A92,'D-1 Off-Site Habitat Baseline'!$T$11:$T$258)</f>
        <v>0</v>
      </c>
      <c r="U92" s="1056">
        <f>SUMIF('D-1 Off-Site Habitat Baseline'!$AV$11:$AV$258,'G-2 Habitat groups'!A92,'D-1 Off-Site Habitat Baseline'!$V$11:$V$258)</f>
        <v>0</v>
      </c>
      <c r="V92" s="1056">
        <f>SUMIF('D-1 Off-Site Habitat Baseline'!$AV$11:$AV$258,'G-2 Habitat groups'!A92,'D-1 Off-Site Habitat Baseline'!$X$11:$X$258)+SUMIF('D-1 Off-Site Habitat Baseline'!$AV$11:$AV$258,'G-2 Habitat groups'!A92,'D-1 Off-Site Habitat Baseline'!$AS$11:$AS$258)</f>
        <v>0</v>
      </c>
      <c r="W92" s="1056">
        <f>SUMIF('D-2 Off-Site Habitat Creation'!$F$9:$F$255,'G-2 Habitat groups'!A92,'D-2 Off-Site Habitat Creation'!$G$9:$G$255)</f>
        <v>0</v>
      </c>
      <c r="X92" s="1056">
        <f>SUMIF('D-2 Off-Site Habitat Creation'!$F$9:$F$255,'G-2 Habitat groups'!A92,'D-2 Off-Site Habitat Creation'!$AB$9:$AB$255)</f>
        <v>0</v>
      </c>
      <c r="Y92" s="1056">
        <f>SUMIF('D-3 Off-Site Habitat Enhancment'!$S$12:$S$491,'G-2 Habitat groups'!A92,'D-3 Off-Site Habitat Enhancment'!$V$12:$V$491)</f>
        <v>0</v>
      </c>
      <c r="Z92" s="1056">
        <f>SUMIF('D-3 Off-Site Habitat Enhancment'!$S$12:$S$491,'G-2 Habitat groups'!A92,'D-3 Off-Site Habitat Enhancment'!$AQ$12:$AQ$491)</f>
        <v>0</v>
      </c>
      <c r="AA92" s="1056">
        <f t="shared" si="58"/>
        <v>0</v>
      </c>
      <c r="AB92" s="1056">
        <f t="shared" si="59"/>
        <v>0</v>
      </c>
      <c r="AC92" s="1056">
        <f t="shared" si="60"/>
        <v>0</v>
      </c>
      <c r="AD92" s="1056">
        <f t="shared" si="61"/>
        <v>0</v>
      </c>
      <c r="AE92" s="1056">
        <f t="shared" si="62"/>
        <v>0</v>
      </c>
      <c r="AF92" s="1056">
        <f t="shared" si="63"/>
        <v>0</v>
      </c>
      <c r="AU92" s="70" t="s">
        <v>762</v>
      </c>
      <c r="AV92" s="62" t="s">
        <v>107</v>
      </c>
      <c r="AW92" s="274">
        <f t="shared" si="64"/>
        <v>0</v>
      </c>
      <c r="AX92" s="274">
        <f t="shared" si="65"/>
        <v>0</v>
      </c>
      <c r="AY92" s="274">
        <f t="shared" si="66"/>
        <v>0</v>
      </c>
      <c r="AZ92" s="274">
        <f t="shared" si="67"/>
        <v>0</v>
      </c>
      <c r="BA92" s="274">
        <f t="shared" si="68"/>
        <v>0</v>
      </c>
      <c r="BB92" s="274">
        <f t="shared" si="69"/>
        <v>0</v>
      </c>
      <c r="BC92" s="274">
        <f t="shared" si="70"/>
        <v>0</v>
      </c>
      <c r="BD92" s="274">
        <f t="shared" si="71"/>
        <v>0</v>
      </c>
      <c r="BE92" s="274">
        <f t="shared" si="72"/>
        <v>0</v>
      </c>
      <c r="BF92" s="274" t="str">
        <f t="shared" si="73"/>
        <v/>
      </c>
    </row>
    <row r="93" spans="1:58" ht="14">
      <c r="A93" s="72" t="str">
        <f>'G-1 All Habitats'!B93</f>
        <v>Woodland and forest - Native pine woodlands</v>
      </c>
      <c r="B93" s="72" t="s">
        <v>112</v>
      </c>
      <c r="C93" s="72" t="str">
        <f>'G-1 All Habitats'!K93</f>
        <v>High</v>
      </c>
      <c r="D93" s="72" t="str">
        <f>'G-1 All Habitats'!M93</f>
        <v>Same habitat required =</v>
      </c>
      <c r="E93" s="1056">
        <f>SUMIF('A-1 On-Site Habitat Baseline'!$AV$11:$AV$258,'G-2 Habitat groups'!A93,'A-1 On-Site Habitat Baseline'!$H$11:$H$258)</f>
        <v>0</v>
      </c>
      <c r="F93" s="1056">
        <f>SUMIF('A-1 On-Site Habitat Baseline'!$AV$11:$AV$258,'G-2 Habitat groups'!A93,'A-1 On-Site Habitat Baseline'!$Q$11:$Q$258)</f>
        <v>0</v>
      </c>
      <c r="G93" s="1056">
        <f>SUMIF('A-1 On-Site Habitat Baseline'!$AV$11:$AV$258,'G-2 Habitat groups'!A93,'A-1 On-Site Habitat Baseline'!$S$11:$S$258)</f>
        <v>0</v>
      </c>
      <c r="H93" s="1056">
        <f>SUMIF('A-1 On-Site Habitat Baseline'!$AV$11:$AV$258,'G-2 Habitat groups'!A93,'A-1 On-Site Habitat Baseline'!$U$11:$U$258)+SUMIF('A-1 On-Site Habitat Baseline'!$AV$11:$AV$258,'G-2 Habitat groups'!A93,'A-1 On-Site Habitat Baseline'!$AT$11:$AT$258)</f>
        <v>0</v>
      </c>
      <c r="I93" s="1056">
        <f>SUMIF('A-1 On-Site Habitat Baseline'!$AV$11:$AV$258,'G-2 Habitat groups'!A93,'A-1 On-Site Habitat Baseline'!$W$11:$W$258)</f>
        <v>0</v>
      </c>
      <c r="J93" s="1056">
        <f>SUMIF('A-1 On-Site Habitat Baseline'!$AV$11:$AV$258,'G-2 Habitat groups'!A93,'A-1 On-Site Habitat Baseline'!$X$11:$X$258)</f>
        <v>0</v>
      </c>
      <c r="K93" s="1056">
        <f>SUMIF('A-2 On-Site Habitat Creation'!$F$11:$F$256,'G-2 Habitat groups'!A93,'A-2 On-Site Habitat Creation'!$G$11:$G$256)</f>
        <v>0</v>
      </c>
      <c r="L93" s="1056">
        <f>SUMIF('A-2 On-Site Habitat Creation'!$F$11:$F$256,'G-2 Habitat groups'!A93,'A-2 On-Site Habitat Creation'!$Y$11:$Y$256)</f>
        <v>0</v>
      </c>
      <c r="M93" s="1056">
        <f>SUMIF('A-3 On-Site Habitat Enhancement'!$S$12:$S$257,'G-2 Habitat groups'!A93,'A-3 On-Site Habitat Enhancement'!$V$12:$V$257)</f>
        <v>0</v>
      </c>
      <c r="N93" s="1056">
        <f>SUMIF('A-3 On-Site Habitat Enhancement'!$S$12:$S$257,'G-2 Habitat groups'!A93,'A-3 On-Site Habitat Enhancement'!$AN$12:$AN$257)</f>
        <v>0</v>
      </c>
      <c r="O93" s="1056">
        <f t="shared" si="54"/>
        <v>0</v>
      </c>
      <c r="P93" s="1056">
        <f t="shared" si="55"/>
        <v>0</v>
      </c>
      <c r="Q93" s="1056">
        <f t="shared" si="56"/>
        <v>0</v>
      </c>
      <c r="R93" s="1056">
        <f t="shared" si="57"/>
        <v>0</v>
      </c>
      <c r="S93" s="1056">
        <f>SUMIF('D-1 Off-Site Habitat Baseline'!$AV$11:$AV$258,'G-2 Habitat groups'!A93,'D-1 Off-Site Habitat Baseline'!$H$11:$H$258)</f>
        <v>0</v>
      </c>
      <c r="T93" s="1056">
        <f>SUMIF('D-1 Off-Site Habitat Baseline'!$AV$11:$AV$258,'G-2 Habitat groups'!A93,'D-1 Off-Site Habitat Baseline'!$T$11:$T$258)</f>
        <v>0</v>
      </c>
      <c r="U93" s="1056">
        <f>SUMIF('D-1 Off-Site Habitat Baseline'!$AV$11:$AV$258,'G-2 Habitat groups'!A93,'D-1 Off-Site Habitat Baseline'!$V$11:$V$258)</f>
        <v>0</v>
      </c>
      <c r="V93" s="1056">
        <f>SUMIF('D-1 Off-Site Habitat Baseline'!$AV$11:$AV$258,'G-2 Habitat groups'!A93,'D-1 Off-Site Habitat Baseline'!$X$11:$X$258)+SUMIF('D-1 Off-Site Habitat Baseline'!$AV$11:$AV$258,'G-2 Habitat groups'!A93,'D-1 Off-Site Habitat Baseline'!$AS$11:$AS$258)</f>
        <v>0</v>
      </c>
      <c r="W93" s="1056">
        <f>SUMIF('D-2 Off-Site Habitat Creation'!$F$9:$F$255,'G-2 Habitat groups'!A93,'D-2 Off-Site Habitat Creation'!$G$9:$G$255)</f>
        <v>0</v>
      </c>
      <c r="X93" s="1056">
        <f>SUMIF('D-2 Off-Site Habitat Creation'!$F$9:$F$255,'G-2 Habitat groups'!A93,'D-2 Off-Site Habitat Creation'!$AB$9:$AB$255)</f>
        <v>0</v>
      </c>
      <c r="Y93" s="1056">
        <f>SUMIF('D-3 Off-Site Habitat Enhancment'!$S$12:$S$491,'G-2 Habitat groups'!A93,'D-3 Off-Site Habitat Enhancment'!$V$12:$V$491)</f>
        <v>0</v>
      </c>
      <c r="Z93" s="1056">
        <f>SUMIF('D-3 Off-Site Habitat Enhancment'!$S$12:$S$491,'G-2 Habitat groups'!A93,'D-3 Off-Site Habitat Enhancment'!$AQ$12:$AQ$491)</f>
        <v>0</v>
      </c>
      <c r="AA93" s="1056">
        <f t="shared" si="58"/>
        <v>0</v>
      </c>
      <c r="AB93" s="1056">
        <f t="shared" si="59"/>
        <v>0</v>
      </c>
      <c r="AC93" s="1056">
        <f t="shared" si="60"/>
        <v>0</v>
      </c>
      <c r="AD93" s="1056">
        <f t="shared" si="61"/>
        <v>0</v>
      </c>
      <c r="AE93" s="1056">
        <f t="shared" si="62"/>
        <v>0</v>
      </c>
      <c r="AF93" s="1056">
        <f t="shared" si="63"/>
        <v>0</v>
      </c>
      <c r="AU93" s="212" t="s">
        <v>802</v>
      </c>
      <c r="AV93" s="62" t="s">
        <v>108</v>
      </c>
      <c r="AW93" s="274">
        <f t="shared" si="64"/>
        <v>0</v>
      </c>
      <c r="AX93" s="274">
        <f t="shared" si="65"/>
        <v>0</v>
      </c>
      <c r="AY93" s="274">
        <f t="shared" si="66"/>
        <v>0</v>
      </c>
      <c r="AZ93" s="274">
        <f t="shared" si="67"/>
        <v>0</v>
      </c>
      <c r="BA93" s="274">
        <f t="shared" si="68"/>
        <v>0</v>
      </c>
      <c r="BB93" s="274">
        <f t="shared" si="69"/>
        <v>0</v>
      </c>
      <c r="BC93" s="274">
        <f t="shared" si="70"/>
        <v>0</v>
      </c>
      <c r="BD93" s="274">
        <f t="shared" si="71"/>
        <v>0</v>
      </c>
      <c r="BE93" s="274">
        <f t="shared" si="74" ref="BE93:BE104">BB93+BD93</f>
        <v>0</v>
      </c>
      <c r="BF93" s="274" t="str">
        <f t="shared" si="75" ref="BF93:BF104">IF(BE93&lt;0,BE93,"")</f>
        <v/>
      </c>
    </row>
    <row r="94" spans="1:58" ht="14">
      <c r="A94" s="72" t="str">
        <f>'G-1 All Habitats'!B94</f>
        <v>Woodland and forest - Other coniferous woodland</v>
      </c>
      <c r="B94" s="72" t="s">
        <v>112</v>
      </c>
      <c r="C94" s="72" t="str">
        <f>'G-1 All Habitats'!K94</f>
        <v>Low</v>
      </c>
      <c r="D94" s="72" t="str">
        <f>'G-1 All Habitats'!M94</f>
        <v>Same distinctiveness or better habitat required ≥</v>
      </c>
      <c r="E94" s="1056">
        <f>SUMIF('A-1 On-Site Habitat Baseline'!$AV$11:$AV$258,'G-2 Habitat groups'!A94,'A-1 On-Site Habitat Baseline'!$H$11:$H$258)</f>
        <v>0</v>
      </c>
      <c r="F94" s="1056">
        <f>SUMIF('A-1 On-Site Habitat Baseline'!$AV$11:$AV$258,'G-2 Habitat groups'!A94,'A-1 On-Site Habitat Baseline'!$Q$11:$Q$258)</f>
        <v>0</v>
      </c>
      <c r="G94" s="1056">
        <f>SUMIF('A-1 On-Site Habitat Baseline'!$AV$11:$AV$258,'G-2 Habitat groups'!A94,'A-1 On-Site Habitat Baseline'!$S$11:$S$258)</f>
        <v>0</v>
      </c>
      <c r="H94" s="1056">
        <f>SUMIF('A-1 On-Site Habitat Baseline'!$AV$11:$AV$258,'G-2 Habitat groups'!A94,'A-1 On-Site Habitat Baseline'!$U$11:$U$258)+SUMIF('A-1 On-Site Habitat Baseline'!$AV$11:$AV$258,'G-2 Habitat groups'!A94,'A-1 On-Site Habitat Baseline'!$AT$11:$AT$258)</f>
        <v>0</v>
      </c>
      <c r="I94" s="1056">
        <f>SUMIF('A-1 On-Site Habitat Baseline'!$AV$11:$AV$258,'G-2 Habitat groups'!A94,'A-1 On-Site Habitat Baseline'!$W$11:$W$258)</f>
        <v>0</v>
      </c>
      <c r="J94" s="1056">
        <f>SUMIF('A-1 On-Site Habitat Baseline'!$AV$11:$AV$258,'G-2 Habitat groups'!A94,'A-1 On-Site Habitat Baseline'!$X$11:$X$258)</f>
        <v>0</v>
      </c>
      <c r="K94" s="1056">
        <f>SUMIF('A-2 On-Site Habitat Creation'!$F$11:$F$256,'G-2 Habitat groups'!A94,'A-2 On-Site Habitat Creation'!$G$11:$G$256)</f>
        <v>0</v>
      </c>
      <c r="L94" s="1056">
        <f>SUMIF('A-2 On-Site Habitat Creation'!$F$11:$F$256,'G-2 Habitat groups'!A94,'A-2 On-Site Habitat Creation'!$Y$11:$Y$256)</f>
        <v>0</v>
      </c>
      <c r="M94" s="1056">
        <f>SUMIF('A-3 On-Site Habitat Enhancement'!$S$12:$S$257,'G-2 Habitat groups'!A94,'A-3 On-Site Habitat Enhancement'!$V$12:$V$257)</f>
        <v>0</v>
      </c>
      <c r="N94" s="1056">
        <f>SUMIF('A-3 On-Site Habitat Enhancement'!$S$12:$S$257,'G-2 Habitat groups'!A94,'A-3 On-Site Habitat Enhancement'!$AN$12:$AN$257)</f>
        <v>0</v>
      </c>
      <c r="O94" s="1056">
        <f t="shared" si="54"/>
        <v>0</v>
      </c>
      <c r="P94" s="1056">
        <f t="shared" si="55"/>
        <v>0</v>
      </c>
      <c r="Q94" s="1056">
        <f t="shared" si="56"/>
        <v>0</v>
      </c>
      <c r="R94" s="1056">
        <f t="shared" si="57"/>
        <v>0</v>
      </c>
      <c r="S94" s="1056">
        <f>SUMIF('D-1 Off-Site Habitat Baseline'!$AV$11:$AV$258,'G-2 Habitat groups'!A94,'D-1 Off-Site Habitat Baseline'!$H$11:$H$258)</f>
        <v>0</v>
      </c>
      <c r="T94" s="1056">
        <f>SUMIF('D-1 Off-Site Habitat Baseline'!$AV$11:$AV$258,'G-2 Habitat groups'!A94,'D-1 Off-Site Habitat Baseline'!$T$11:$T$258)</f>
        <v>0</v>
      </c>
      <c r="U94" s="1056">
        <f>SUMIF('D-1 Off-Site Habitat Baseline'!$AV$11:$AV$258,'G-2 Habitat groups'!A94,'D-1 Off-Site Habitat Baseline'!$V$11:$V$258)</f>
        <v>0</v>
      </c>
      <c r="V94" s="1056">
        <f>SUMIF('D-1 Off-Site Habitat Baseline'!$AV$11:$AV$258,'G-2 Habitat groups'!A94,'D-1 Off-Site Habitat Baseline'!$X$11:$X$258)+SUMIF('D-1 Off-Site Habitat Baseline'!$AV$11:$AV$258,'G-2 Habitat groups'!A94,'D-1 Off-Site Habitat Baseline'!$AS$11:$AS$258)</f>
        <v>0</v>
      </c>
      <c r="W94" s="1056">
        <f>SUMIF('D-2 Off-Site Habitat Creation'!$F$9:$F$255,'G-2 Habitat groups'!A94,'D-2 Off-Site Habitat Creation'!$G$9:$G$255)</f>
        <v>0</v>
      </c>
      <c r="X94" s="1056">
        <f>SUMIF('D-2 Off-Site Habitat Creation'!$F$9:$F$255,'G-2 Habitat groups'!A94,'D-2 Off-Site Habitat Creation'!$AB$9:$AB$255)</f>
        <v>0</v>
      </c>
      <c r="Y94" s="1056">
        <f>SUMIF('D-3 Off-Site Habitat Enhancment'!$S$12:$S$491,'G-2 Habitat groups'!A94,'D-3 Off-Site Habitat Enhancment'!$V$12:$V$491)</f>
        <v>0</v>
      </c>
      <c r="Z94" s="1056">
        <f>SUMIF('D-3 Off-Site Habitat Enhancment'!$S$12:$S$491,'G-2 Habitat groups'!A94,'D-3 Off-Site Habitat Enhancment'!$AQ$12:$AQ$491)</f>
        <v>0</v>
      </c>
      <c r="AA94" s="1056">
        <f t="shared" si="58"/>
        <v>0</v>
      </c>
      <c r="AB94" s="1056">
        <f t="shared" si="59"/>
        <v>0</v>
      </c>
      <c r="AC94" s="1056">
        <f t="shared" si="60"/>
        <v>0</v>
      </c>
      <c r="AD94" s="1056">
        <f t="shared" si="61"/>
        <v>0</v>
      </c>
      <c r="AE94" s="1056">
        <f t="shared" si="62"/>
        <v>0</v>
      </c>
      <c r="AF94" s="1056">
        <f t="shared" si="63"/>
        <v>0</v>
      </c>
      <c r="AU94" s="70" t="s">
        <v>804</v>
      </c>
      <c r="AV94" s="62" t="s">
        <v>108</v>
      </c>
      <c r="AW94" s="274">
        <f t="shared" si="64"/>
        <v>0</v>
      </c>
      <c r="AX94" s="274">
        <f t="shared" si="65"/>
        <v>0</v>
      </c>
      <c r="AY94" s="274">
        <f t="shared" si="66"/>
        <v>0</v>
      </c>
      <c r="AZ94" s="274">
        <f t="shared" si="67"/>
        <v>0</v>
      </c>
      <c r="BA94" s="274">
        <f t="shared" si="68"/>
        <v>0</v>
      </c>
      <c r="BB94" s="274">
        <f t="shared" si="69"/>
        <v>0</v>
      </c>
      <c r="BC94" s="274">
        <f t="shared" si="70"/>
        <v>0</v>
      </c>
      <c r="BD94" s="274">
        <f t="shared" si="71"/>
        <v>0</v>
      </c>
      <c r="BE94" s="274">
        <f t="shared" si="74"/>
        <v>0</v>
      </c>
      <c r="BF94" s="274" t="str">
        <f t="shared" si="75"/>
        <v/>
      </c>
    </row>
    <row r="95" spans="1:58" ht="14">
      <c r="A95" s="72" t="str">
        <f>'G-1 All Habitats'!B95</f>
        <v>Woodland and forest - Other Scot's pine woodland</v>
      </c>
      <c r="B95" s="72" t="s">
        <v>112</v>
      </c>
      <c r="C95" s="72" t="str">
        <f>'G-1 All Habitats'!K95</f>
        <v>Medium</v>
      </c>
      <c r="D95" s="72" t="str">
        <f>'G-1 All Habitats'!M95</f>
        <v>Same broad habitat or a higher distinctiveness habitat required (≥)</v>
      </c>
      <c r="E95" s="1056">
        <f>SUMIF('A-1 On-Site Habitat Baseline'!$AV$11:$AV$258,'G-2 Habitat groups'!A95,'A-1 On-Site Habitat Baseline'!$H$11:$H$258)</f>
        <v>0</v>
      </c>
      <c r="F95" s="1056">
        <f>SUMIF('A-1 On-Site Habitat Baseline'!$AV$11:$AV$258,'G-2 Habitat groups'!A95,'A-1 On-Site Habitat Baseline'!$Q$11:$Q$258)</f>
        <v>0</v>
      </c>
      <c r="G95" s="1056">
        <f>SUMIF('A-1 On-Site Habitat Baseline'!$AV$11:$AV$258,'G-2 Habitat groups'!A95,'A-1 On-Site Habitat Baseline'!$S$11:$S$258)</f>
        <v>0</v>
      </c>
      <c r="H95" s="1056">
        <f>SUMIF('A-1 On-Site Habitat Baseline'!$AV$11:$AV$258,'G-2 Habitat groups'!A95,'A-1 On-Site Habitat Baseline'!$U$11:$U$258)+SUMIF('A-1 On-Site Habitat Baseline'!$AV$11:$AV$258,'G-2 Habitat groups'!A95,'A-1 On-Site Habitat Baseline'!$AT$11:$AT$258)</f>
        <v>0</v>
      </c>
      <c r="I95" s="1056">
        <f>SUMIF('A-1 On-Site Habitat Baseline'!$AV$11:$AV$258,'G-2 Habitat groups'!A95,'A-1 On-Site Habitat Baseline'!$W$11:$W$258)</f>
        <v>0</v>
      </c>
      <c r="J95" s="1056">
        <f>SUMIF('A-1 On-Site Habitat Baseline'!$AV$11:$AV$258,'G-2 Habitat groups'!A95,'A-1 On-Site Habitat Baseline'!$X$11:$X$258)</f>
        <v>0</v>
      </c>
      <c r="K95" s="1056">
        <f>SUMIF('A-2 On-Site Habitat Creation'!$F$11:$F$256,'G-2 Habitat groups'!A95,'A-2 On-Site Habitat Creation'!$G$11:$G$256)</f>
        <v>0</v>
      </c>
      <c r="L95" s="1056">
        <f>SUMIF('A-2 On-Site Habitat Creation'!$F$11:$F$256,'G-2 Habitat groups'!A95,'A-2 On-Site Habitat Creation'!$Y$11:$Y$256)</f>
        <v>0</v>
      </c>
      <c r="M95" s="1056">
        <f>SUMIF('A-3 On-Site Habitat Enhancement'!$S$12:$S$257,'G-2 Habitat groups'!A95,'A-3 On-Site Habitat Enhancement'!$V$12:$V$257)</f>
        <v>0</v>
      </c>
      <c r="N95" s="1056">
        <f>SUMIF('A-3 On-Site Habitat Enhancement'!$S$12:$S$257,'G-2 Habitat groups'!A95,'A-3 On-Site Habitat Enhancement'!$AN$12:$AN$257)</f>
        <v>0</v>
      </c>
      <c r="O95" s="1056">
        <f t="shared" si="54"/>
        <v>0</v>
      </c>
      <c r="P95" s="1056">
        <f t="shared" si="55"/>
        <v>0</v>
      </c>
      <c r="Q95" s="1056">
        <f t="shared" si="56"/>
        <v>0</v>
      </c>
      <c r="R95" s="1056">
        <f t="shared" si="57"/>
        <v>0</v>
      </c>
      <c r="S95" s="1056">
        <f>SUMIF('D-1 Off-Site Habitat Baseline'!$AV$11:$AV$258,'G-2 Habitat groups'!A95,'D-1 Off-Site Habitat Baseline'!$H$11:$H$258)</f>
        <v>0</v>
      </c>
      <c r="T95" s="1056">
        <f>SUMIF('D-1 Off-Site Habitat Baseline'!$AV$11:$AV$258,'G-2 Habitat groups'!A95,'D-1 Off-Site Habitat Baseline'!$T$11:$T$258)</f>
        <v>0</v>
      </c>
      <c r="U95" s="1056">
        <f>SUMIF('D-1 Off-Site Habitat Baseline'!$AV$11:$AV$258,'G-2 Habitat groups'!A95,'D-1 Off-Site Habitat Baseline'!$V$11:$V$258)</f>
        <v>0</v>
      </c>
      <c r="V95" s="1056">
        <f>SUMIF('D-1 Off-Site Habitat Baseline'!$AV$11:$AV$258,'G-2 Habitat groups'!A95,'D-1 Off-Site Habitat Baseline'!$X$11:$X$258)+SUMIF('D-1 Off-Site Habitat Baseline'!$AV$11:$AV$258,'G-2 Habitat groups'!A95,'D-1 Off-Site Habitat Baseline'!$AS$11:$AS$258)</f>
        <v>0</v>
      </c>
      <c r="W95" s="1056">
        <f>SUMIF('D-2 Off-Site Habitat Creation'!$F$9:$F$255,'G-2 Habitat groups'!A95,'D-2 Off-Site Habitat Creation'!$G$9:$G$255)</f>
        <v>0</v>
      </c>
      <c r="X95" s="1056">
        <f>SUMIF('D-2 Off-Site Habitat Creation'!$F$9:$F$255,'G-2 Habitat groups'!A95,'D-2 Off-Site Habitat Creation'!$AB$9:$AB$255)</f>
        <v>0</v>
      </c>
      <c r="Y95" s="1056">
        <f>SUMIF('D-3 Off-Site Habitat Enhancment'!$S$12:$S$491,'G-2 Habitat groups'!A95,'D-3 Off-Site Habitat Enhancment'!$V$12:$V$491)</f>
        <v>0</v>
      </c>
      <c r="Z95" s="1056">
        <f>SUMIF('D-3 Off-Site Habitat Enhancment'!$S$12:$S$491,'G-2 Habitat groups'!A95,'D-3 Off-Site Habitat Enhancment'!$AQ$12:$AQ$491)</f>
        <v>0</v>
      </c>
      <c r="AA95" s="1056">
        <f t="shared" si="58"/>
        <v>0</v>
      </c>
      <c r="AB95" s="1056">
        <f t="shared" si="59"/>
        <v>0</v>
      </c>
      <c r="AC95" s="1056">
        <f t="shared" si="60"/>
        <v>0</v>
      </c>
      <c r="AD95" s="1056">
        <f t="shared" si="61"/>
        <v>0</v>
      </c>
      <c r="AE95" s="1056">
        <f t="shared" si="62"/>
        <v>0</v>
      </c>
      <c r="AF95" s="1056">
        <f t="shared" si="63"/>
        <v>0</v>
      </c>
      <c r="AU95" s="70" t="s">
        <v>832</v>
      </c>
      <c r="AV95" s="62" t="s">
        <v>109</v>
      </c>
      <c r="AW95" s="274">
        <f t="shared" si="64"/>
        <v>0</v>
      </c>
      <c r="AX95" s="274">
        <f t="shared" si="65"/>
        <v>0</v>
      </c>
      <c r="AY95" s="274">
        <f t="shared" si="66"/>
        <v>0</v>
      </c>
      <c r="AZ95" s="274">
        <f t="shared" si="67"/>
        <v>0</v>
      </c>
      <c r="BA95" s="274">
        <f t="shared" si="68"/>
        <v>0</v>
      </c>
      <c r="BB95" s="274">
        <f t="shared" si="69"/>
        <v>0</v>
      </c>
      <c r="BC95" s="274">
        <f t="shared" si="70"/>
        <v>0</v>
      </c>
      <c r="BD95" s="274">
        <f t="shared" si="71"/>
        <v>0</v>
      </c>
      <c r="BE95" s="274">
        <f t="shared" si="74"/>
        <v>0</v>
      </c>
      <c r="BF95" s="274" t="str">
        <f t="shared" si="75"/>
        <v/>
      </c>
    </row>
    <row r="96" spans="1:58" ht="14">
      <c r="A96" s="72" t="str">
        <f>'G-1 All Habitats'!B96</f>
        <v>Woodland and forest - Other woodland; broadleaved</v>
      </c>
      <c r="B96" s="72" t="s">
        <v>112</v>
      </c>
      <c r="C96" s="72" t="str">
        <f>'G-1 All Habitats'!K96</f>
        <v>Medium</v>
      </c>
      <c r="D96" s="72" t="str">
        <f>'G-1 All Habitats'!M96</f>
        <v>Same broad habitat or a higher distinctiveness habitat required (≥)</v>
      </c>
      <c r="E96" s="1056">
        <f>SUMIF('A-1 On-Site Habitat Baseline'!$AV$11:$AV$258,'G-2 Habitat groups'!A96,'A-1 On-Site Habitat Baseline'!$H$11:$H$258)</f>
        <v>0</v>
      </c>
      <c r="F96" s="1056">
        <f>SUMIF('A-1 On-Site Habitat Baseline'!$AV$11:$AV$258,'G-2 Habitat groups'!A96,'A-1 On-Site Habitat Baseline'!$Q$11:$Q$258)</f>
        <v>0</v>
      </c>
      <c r="G96" s="1056">
        <f>SUMIF('A-1 On-Site Habitat Baseline'!$AV$11:$AV$258,'G-2 Habitat groups'!A96,'A-1 On-Site Habitat Baseline'!$S$11:$S$258)</f>
        <v>0</v>
      </c>
      <c r="H96" s="1056">
        <f>SUMIF('A-1 On-Site Habitat Baseline'!$AV$11:$AV$258,'G-2 Habitat groups'!A96,'A-1 On-Site Habitat Baseline'!$U$11:$U$258)+SUMIF('A-1 On-Site Habitat Baseline'!$AV$11:$AV$258,'G-2 Habitat groups'!A96,'A-1 On-Site Habitat Baseline'!$AT$11:$AT$258)</f>
        <v>0</v>
      </c>
      <c r="I96" s="1056">
        <f>SUMIF('A-1 On-Site Habitat Baseline'!$AV$11:$AV$258,'G-2 Habitat groups'!A96,'A-1 On-Site Habitat Baseline'!$W$11:$W$258)</f>
        <v>0</v>
      </c>
      <c r="J96" s="1056">
        <f>SUMIF('A-1 On-Site Habitat Baseline'!$AV$11:$AV$258,'G-2 Habitat groups'!A96,'A-1 On-Site Habitat Baseline'!$X$11:$X$258)</f>
        <v>0</v>
      </c>
      <c r="K96" s="1056">
        <f>SUMIF('A-2 On-Site Habitat Creation'!$F$11:$F$256,'G-2 Habitat groups'!A96,'A-2 On-Site Habitat Creation'!$G$11:$G$256)</f>
        <v>0</v>
      </c>
      <c r="L96" s="1056">
        <f>SUMIF('A-2 On-Site Habitat Creation'!$F$11:$F$256,'G-2 Habitat groups'!A96,'A-2 On-Site Habitat Creation'!$Y$11:$Y$256)</f>
        <v>0</v>
      </c>
      <c r="M96" s="1056">
        <f>SUMIF('A-3 On-Site Habitat Enhancement'!$S$12:$S$257,'G-2 Habitat groups'!A96,'A-3 On-Site Habitat Enhancement'!$V$12:$V$257)</f>
        <v>0</v>
      </c>
      <c r="N96" s="1056">
        <f>SUMIF('A-3 On-Site Habitat Enhancement'!$S$12:$S$257,'G-2 Habitat groups'!A96,'A-3 On-Site Habitat Enhancement'!$AN$12:$AN$257)</f>
        <v>0</v>
      </c>
      <c r="O96" s="1056">
        <f t="shared" si="54"/>
        <v>0</v>
      </c>
      <c r="P96" s="1056">
        <f t="shared" si="55"/>
        <v>0</v>
      </c>
      <c r="Q96" s="1056">
        <f t="shared" si="56"/>
        <v>0</v>
      </c>
      <c r="R96" s="1056">
        <f t="shared" si="57"/>
        <v>0</v>
      </c>
      <c r="S96" s="1056">
        <f>SUMIF('D-1 Off-Site Habitat Baseline'!$AV$11:$AV$258,'G-2 Habitat groups'!A96,'D-1 Off-Site Habitat Baseline'!$H$11:$H$258)</f>
        <v>0</v>
      </c>
      <c r="T96" s="1056">
        <f>SUMIF('D-1 Off-Site Habitat Baseline'!$AV$11:$AV$258,'G-2 Habitat groups'!A96,'D-1 Off-Site Habitat Baseline'!$T$11:$T$258)</f>
        <v>0</v>
      </c>
      <c r="U96" s="1056">
        <f>SUMIF('D-1 Off-Site Habitat Baseline'!$AV$11:$AV$258,'G-2 Habitat groups'!A96,'D-1 Off-Site Habitat Baseline'!$V$11:$V$258)</f>
        <v>0</v>
      </c>
      <c r="V96" s="1056">
        <f>SUMIF('D-1 Off-Site Habitat Baseline'!$AV$11:$AV$258,'G-2 Habitat groups'!A96,'D-1 Off-Site Habitat Baseline'!$X$11:$X$258)+SUMIF('D-1 Off-Site Habitat Baseline'!$AV$11:$AV$258,'G-2 Habitat groups'!A96,'D-1 Off-Site Habitat Baseline'!$AS$11:$AS$258)</f>
        <v>0</v>
      </c>
      <c r="W96" s="1056">
        <f>SUMIF('D-2 Off-Site Habitat Creation'!$F$9:$F$255,'G-2 Habitat groups'!A96,'D-2 Off-Site Habitat Creation'!$G$9:$G$255)</f>
        <v>0</v>
      </c>
      <c r="X96" s="1056">
        <f>SUMIF('D-2 Off-Site Habitat Creation'!$F$9:$F$255,'G-2 Habitat groups'!A96,'D-2 Off-Site Habitat Creation'!$AB$9:$AB$255)</f>
        <v>0</v>
      </c>
      <c r="Y96" s="1056">
        <f>SUMIF('D-3 Off-Site Habitat Enhancment'!$S$12:$S$491,'G-2 Habitat groups'!A96,'D-3 Off-Site Habitat Enhancment'!$V$12:$V$491)</f>
        <v>0</v>
      </c>
      <c r="Z96" s="1056">
        <f>SUMIF('D-3 Off-Site Habitat Enhancment'!$S$12:$S$491,'G-2 Habitat groups'!A96,'D-3 Off-Site Habitat Enhancment'!$AQ$12:$AQ$491)</f>
        <v>0</v>
      </c>
      <c r="AA96" s="1056">
        <f t="shared" si="58"/>
        <v>0</v>
      </c>
      <c r="AB96" s="1056">
        <f t="shared" si="59"/>
        <v>0</v>
      </c>
      <c r="AC96" s="1056">
        <f t="shared" si="60"/>
        <v>0</v>
      </c>
      <c r="AD96" s="1056">
        <f t="shared" si="61"/>
        <v>0</v>
      </c>
      <c r="AE96" s="1056">
        <f t="shared" si="62"/>
        <v>0</v>
      </c>
      <c r="AF96" s="1056">
        <f t="shared" si="63"/>
        <v>0</v>
      </c>
      <c r="AU96" s="70" t="s">
        <v>850</v>
      </c>
      <c r="AV96" s="62" t="s">
        <v>110</v>
      </c>
      <c r="AW96" s="274">
        <f t="shared" si="64"/>
        <v>0</v>
      </c>
      <c r="AX96" s="274">
        <f t="shared" si="65"/>
        <v>0</v>
      </c>
      <c r="AY96" s="274">
        <f t="shared" si="66"/>
        <v>0</v>
      </c>
      <c r="AZ96" s="274">
        <f t="shared" si="67"/>
        <v>0</v>
      </c>
      <c r="BA96" s="274">
        <f t="shared" si="68"/>
        <v>0</v>
      </c>
      <c r="BB96" s="274">
        <f t="shared" si="69"/>
        <v>0</v>
      </c>
      <c r="BC96" s="274">
        <f t="shared" si="70"/>
        <v>0</v>
      </c>
      <c r="BD96" s="274">
        <f t="shared" si="71"/>
        <v>0</v>
      </c>
      <c r="BE96" s="274">
        <f t="shared" si="74"/>
        <v>0</v>
      </c>
      <c r="BF96" s="274" t="str">
        <f t="shared" si="75"/>
        <v/>
      </c>
    </row>
    <row r="97" spans="1:58" ht="14">
      <c r="A97" s="72" t="str">
        <f>'G-1 All Habitats'!B97</f>
        <v>Woodland and forest - Other woodland; mixed</v>
      </c>
      <c r="B97" s="72" t="s">
        <v>112</v>
      </c>
      <c r="C97" s="72" t="str">
        <f>'G-1 All Habitats'!K97</f>
        <v>Medium</v>
      </c>
      <c r="D97" s="72" t="str">
        <f>'G-1 All Habitats'!M97</f>
        <v>Same broad habitat or a higher distinctiveness habitat required (≥)</v>
      </c>
      <c r="E97" s="1056">
        <f>SUMIF('A-1 On-Site Habitat Baseline'!$AV$11:$AV$258,'G-2 Habitat groups'!A97,'A-1 On-Site Habitat Baseline'!$H$11:$H$258)</f>
        <v>0</v>
      </c>
      <c r="F97" s="1056">
        <f>SUMIF('A-1 On-Site Habitat Baseline'!$AV$11:$AV$258,'G-2 Habitat groups'!A97,'A-1 On-Site Habitat Baseline'!$Q$11:$Q$258)</f>
        <v>0</v>
      </c>
      <c r="G97" s="1056">
        <f>SUMIF('A-1 On-Site Habitat Baseline'!$AV$11:$AV$258,'G-2 Habitat groups'!A97,'A-1 On-Site Habitat Baseline'!$S$11:$S$258)</f>
        <v>0</v>
      </c>
      <c r="H97" s="1056">
        <f>SUMIF('A-1 On-Site Habitat Baseline'!$AV$11:$AV$258,'G-2 Habitat groups'!A97,'A-1 On-Site Habitat Baseline'!$U$11:$U$258)+SUMIF('A-1 On-Site Habitat Baseline'!$AV$11:$AV$258,'G-2 Habitat groups'!A97,'A-1 On-Site Habitat Baseline'!$AT$11:$AT$258)</f>
        <v>0</v>
      </c>
      <c r="I97" s="1056">
        <f>SUMIF('A-1 On-Site Habitat Baseline'!$AV$11:$AV$258,'G-2 Habitat groups'!A97,'A-1 On-Site Habitat Baseline'!$W$11:$W$258)</f>
        <v>0</v>
      </c>
      <c r="J97" s="1056">
        <f>SUMIF('A-1 On-Site Habitat Baseline'!$AV$11:$AV$258,'G-2 Habitat groups'!A97,'A-1 On-Site Habitat Baseline'!$X$11:$X$258)</f>
        <v>0</v>
      </c>
      <c r="K97" s="1056">
        <f>SUMIF('A-2 On-Site Habitat Creation'!$F$11:$F$256,'G-2 Habitat groups'!A97,'A-2 On-Site Habitat Creation'!$G$11:$G$256)</f>
        <v>0</v>
      </c>
      <c r="L97" s="1056">
        <f>SUMIF('A-2 On-Site Habitat Creation'!$F$11:$F$256,'G-2 Habitat groups'!A97,'A-2 On-Site Habitat Creation'!$Y$11:$Y$256)</f>
        <v>0</v>
      </c>
      <c r="M97" s="1056">
        <f>SUMIF('A-3 On-Site Habitat Enhancement'!$S$12:$S$257,'G-2 Habitat groups'!A97,'A-3 On-Site Habitat Enhancement'!$V$12:$V$257)</f>
        <v>0</v>
      </c>
      <c r="N97" s="1056">
        <f>SUMIF('A-3 On-Site Habitat Enhancement'!$S$12:$S$257,'G-2 Habitat groups'!A97,'A-3 On-Site Habitat Enhancement'!$AN$12:$AN$257)</f>
        <v>0</v>
      </c>
      <c r="O97" s="1056">
        <f t="shared" si="54"/>
        <v>0</v>
      </c>
      <c r="P97" s="1056">
        <f t="shared" si="55"/>
        <v>0</v>
      </c>
      <c r="Q97" s="1056">
        <f t="shared" si="56"/>
        <v>0</v>
      </c>
      <c r="R97" s="1056">
        <f t="shared" si="57"/>
        <v>0</v>
      </c>
      <c r="S97" s="1056">
        <f>SUMIF('D-1 Off-Site Habitat Baseline'!$AV$11:$AV$258,'G-2 Habitat groups'!A97,'D-1 Off-Site Habitat Baseline'!$H$11:$H$258)</f>
        <v>0</v>
      </c>
      <c r="T97" s="1056">
        <f>SUMIF('D-1 Off-Site Habitat Baseline'!$AV$11:$AV$258,'G-2 Habitat groups'!A97,'D-1 Off-Site Habitat Baseline'!$T$11:$T$258)</f>
        <v>0</v>
      </c>
      <c r="U97" s="1056">
        <f>SUMIF('D-1 Off-Site Habitat Baseline'!$AV$11:$AV$258,'G-2 Habitat groups'!A97,'D-1 Off-Site Habitat Baseline'!$V$11:$V$258)</f>
        <v>0</v>
      </c>
      <c r="V97" s="1056">
        <f>SUMIF('D-1 Off-Site Habitat Baseline'!$AV$11:$AV$258,'G-2 Habitat groups'!A97,'D-1 Off-Site Habitat Baseline'!$X$11:$X$258)+SUMIF('D-1 Off-Site Habitat Baseline'!$AV$11:$AV$258,'G-2 Habitat groups'!A97,'D-1 Off-Site Habitat Baseline'!$AS$11:$AS$258)</f>
        <v>0</v>
      </c>
      <c r="W97" s="1056">
        <f>SUMIF('D-2 Off-Site Habitat Creation'!$F$9:$F$255,'G-2 Habitat groups'!A97,'D-2 Off-Site Habitat Creation'!$G$9:$G$255)</f>
        <v>0</v>
      </c>
      <c r="X97" s="1056">
        <f>SUMIF('D-2 Off-Site Habitat Creation'!$F$9:$F$255,'G-2 Habitat groups'!A97,'D-2 Off-Site Habitat Creation'!$AB$9:$AB$255)</f>
        <v>0</v>
      </c>
      <c r="Y97" s="1056">
        <f>SUMIF('D-3 Off-Site Habitat Enhancment'!$S$12:$S$491,'G-2 Habitat groups'!A97,'D-3 Off-Site Habitat Enhancment'!$V$12:$V$491)</f>
        <v>0</v>
      </c>
      <c r="Z97" s="1056">
        <f>SUMIF('D-3 Off-Site Habitat Enhancment'!$S$12:$S$491,'G-2 Habitat groups'!A97,'D-3 Off-Site Habitat Enhancment'!$AQ$12:$AQ$491)</f>
        <v>0</v>
      </c>
      <c r="AA97" s="1056">
        <f t="shared" si="58"/>
        <v>0</v>
      </c>
      <c r="AB97" s="1056">
        <f t="shared" si="59"/>
        <v>0</v>
      </c>
      <c r="AC97" s="1056">
        <f t="shared" si="60"/>
        <v>0</v>
      </c>
      <c r="AD97" s="1056">
        <f t="shared" si="61"/>
        <v>0</v>
      </c>
      <c r="AE97" s="1056">
        <f t="shared" si="62"/>
        <v>0</v>
      </c>
      <c r="AF97" s="1056">
        <f t="shared" si="63"/>
        <v>0</v>
      </c>
      <c r="AU97" s="70" t="s">
        <v>861</v>
      </c>
      <c r="AV97" s="62" t="s">
        <v>110</v>
      </c>
      <c r="AW97" s="274">
        <f t="shared" si="64"/>
        <v>0</v>
      </c>
      <c r="AX97" s="274">
        <f t="shared" si="65"/>
        <v>0</v>
      </c>
      <c r="AY97" s="274">
        <f t="shared" si="66"/>
        <v>0</v>
      </c>
      <c r="AZ97" s="274">
        <f t="shared" si="67"/>
        <v>0</v>
      </c>
      <c r="BA97" s="274">
        <f t="shared" si="68"/>
        <v>0</v>
      </c>
      <c r="BB97" s="274">
        <f t="shared" si="69"/>
        <v>0</v>
      </c>
      <c r="BC97" s="274">
        <f t="shared" si="70"/>
        <v>0</v>
      </c>
      <c r="BD97" s="274">
        <f t="shared" si="71"/>
        <v>0</v>
      </c>
      <c r="BE97" s="274">
        <f t="shared" si="74"/>
        <v>0</v>
      </c>
      <c r="BF97" s="274" t="str">
        <f t="shared" si="75"/>
        <v/>
      </c>
    </row>
    <row r="98" spans="1:58" ht="14">
      <c r="A98" s="72" t="str">
        <f>'G-1 All Habitats'!B98</f>
        <v>Woodland and forest - Upland birchwoods</v>
      </c>
      <c r="B98" s="72" t="s">
        <v>112</v>
      </c>
      <c r="C98" s="72" t="str">
        <f>'G-1 All Habitats'!K98</f>
        <v>High</v>
      </c>
      <c r="D98" s="72" t="str">
        <f>'G-1 All Habitats'!M98</f>
        <v>Same habitat required =</v>
      </c>
      <c r="E98" s="1056">
        <f>SUMIF('A-1 On-Site Habitat Baseline'!$AV$11:$AV$258,'G-2 Habitat groups'!A98,'A-1 On-Site Habitat Baseline'!$H$11:$H$258)</f>
        <v>0</v>
      </c>
      <c r="F98" s="1056">
        <f>SUMIF('A-1 On-Site Habitat Baseline'!$AV$11:$AV$258,'G-2 Habitat groups'!A98,'A-1 On-Site Habitat Baseline'!$Q$11:$Q$258)</f>
        <v>0</v>
      </c>
      <c r="G98" s="1056">
        <f>SUMIF('A-1 On-Site Habitat Baseline'!$AV$11:$AV$258,'G-2 Habitat groups'!A98,'A-1 On-Site Habitat Baseline'!$S$11:$S$258)</f>
        <v>0</v>
      </c>
      <c r="H98" s="1056">
        <f>SUMIF('A-1 On-Site Habitat Baseline'!$AV$11:$AV$258,'G-2 Habitat groups'!A98,'A-1 On-Site Habitat Baseline'!$U$11:$U$258)+SUMIF('A-1 On-Site Habitat Baseline'!$AV$11:$AV$258,'G-2 Habitat groups'!A98,'A-1 On-Site Habitat Baseline'!$AT$11:$AT$258)</f>
        <v>0</v>
      </c>
      <c r="I98" s="1056">
        <f>SUMIF('A-1 On-Site Habitat Baseline'!$AV$11:$AV$258,'G-2 Habitat groups'!A98,'A-1 On-Site Habitat Baseline'!$W$11:$W$258)</f>
        <v>0</v>
      </c>
      <c r="J98" s="1056">
        <f>SUMIF('A-1 On-Site Habitat Baseline'!$AV$11:$AV$258,'G-2 Habitat groups'!A98,'A-1 On-Site Habitat Baseline'!$X$11:$X$258)</f>
        <v>0</v>
      </c>
      <c r="K98" s="1056">
        <f>SUMIF('A-2 On-Site Habitat Creation'!$F$11:$F$256,'G-2 Habitat groups'!A98,'A-2 On-Site Habitat Creation'!$G$11:$G$256)</f>
        <v>0</v>
      </c>
      <c r="L98" s="1056">
        <f>SUMIF('A-2 On-Site Habitat Creation'!$F$11:$F$256,'G-2 Habitat groups'!A98,'A-2 On-Site Habitat Creation'!$Y$11:$Y$256)</f>
        <v>0</v>
      </c>
      <c r="M98" s="1056">
        <f>SUMIF('A-3 On-Site Habitat Enhancement'!$S$12:$S$257,'G-2 Habitat groups'!A98,'A-3 On-Site Habitat Enhancement'!$V$12:$V$257)</f>
        <v>0</v>
      </c>
      <c r="N98" s="1056">
        <f>SUMIF('A-3 On-Site Habitat Enhancement'!$S$12:$S$257,'G-2 Habitat groups'!A98,'A-3 On-Site Habitat Enhancement'!$AN$12:$AN$257)</f>
        <v>0</v>
      </c>
      <c r="O98" s="1056">
        <f t="shared" si="54"/>
        <v>0</v>
      </c>
      <c r="P98" s="1056">
        <f t="shared" si="55"/>
        <v>0</v>
      </c>
      <c r="Q98" s="1056">
        <f t="shared" si="56"/>
        <v>0</v>
      </c>
      <c r="R98" s="1056">
        <f t="shared" si="57"/>
        <v>0</v>
      </c>
      <c r="S98" s="1056">
        <f>SUMIF('D-1 Off-Site Habitat Baseline'!$AV$11:$AV$258,'G-2 Habitat groups'!A98,'D-1 Off-Site Habitat Baseline'!$H$11:$H$258)</f>
        <v>0</v>
      </c>
      <c r="T98" s="1056">
        <f>SUMIF('D-1 Off-Site Habitat Baseline'!$AV$11:$AV$258,'G-2 Habitat groups'!A98,'D-1 Off-Site Habitat Baseline'!$T$11:$T$258)</f>
        <v>0</v>
      </c>
      <c r="U98" s="1056">
        <f>SUMIF('D-1 Off-Site Habitat Baseline'!$AV$11:$AV$258,'G-2 Habitat groups'!A98,'D-1 Off-Site Habitat Baseline'!$V$11:$V$258)</f>
        <v>0</v>
      </c>
      <c r="V98" s="1056">
        <f>SUMIF('D-1 Off-Site Habitat Baseline'!$AV$11:$AV$258,'G-2 Habitat groups'!A98,'D-1 Off-Site Habitat Baseline'!$X$11:$X$258)+SUMIF('D-1 Off-Site Habitat Baseline'!$AV$11:$AV$258,'G-2 Habitat groups'!A98,'D-1 Off-Site Habitat Baseline'!$AS$11:$AS$258)</f>
        <v>0</v>
      </c>
      <c r="W98" s="1056">
        <f>SUMIF('D-2 Off-Site Habitat Creation'!$F$9:$F$255,'G-2 Habitat groups'!A98,'D-2 Off-Site Habitat Creation'!$G$9:$G$255)</f>
        <v>0</v>
      </c>
      <c r="X98" s="1056">
        <f>SUMIF('D-2 Off-Site Habitat Creation'!$F$9:$F$255,'G-2 Habitat groups'!A98,'D-2 Off-Site Habitat Creation'!$AB$9:$AB$255)</f>
        <v>0</v>
      </c>
      <c r="Y98" s="1056">
        <f>SUMIF('D-3 Off-Site Habitat Enhancment'!$S$12:$S$491,'G-2 Habitat groups'!A98,'D-3 Off-Site Habitat Enhancment'!$V$12:$V$491)</f>
        <v>0</v>
      </c>
      <c r="Z98" s="1056">
        <f>SUMIF('D-3 Off-Site Habitat Enhancment'!$S$12:$S$491,'G-2 Habitat groups'!A98,'D-3 Off-Site Habitat Enhancment'!$AQ$12:$AQ$491)</f>
        <v>0</v>
      </c>
      <c r="AA98" s="1056">
        <f t="shared" si="58"/>
        <v>0</v>
      </c>
      <c r="AB98" s="1056">
        <f t="shared" si="59"/>
        <v>0</v>
      </c>
      <c r="AC98" s="1056">
        <f t="shared" si="60"/>
        <v>0</v>
      </c>
      <c r="AD98" s="1056">
        <f t="shared" si="61"/>
        <v>0</v>
      </c>
      <c r="AE98" s="1056">
        <f t="shared" si="62"/>
        <v>0</v>
      </c>
      <c r="AF98" s="1056">
        <f t="shared" si="63"/>
        <v>0</v>
      </c>
      <c r="AU98" s="70" t="s">
        <v>930</v>
      </c>
      <c r="AV98" s="62" t="s">
        <v>112</v>
      </c>
      <c r="AW98" s="274">
        <f t="shared" si="64"/>
        <v>0</v>
      </c>
      <c r="AX98" s="274">
        <f t="shared" si="65"/>
        <v>0</v>
      </c>
      <c r="AY98" s="274">
        <f t="shared" si="66"/>
        <v>0</v>
      </c>
      <c r="AZ98" s="274">
        <f t="shared" si="67"/>
        <v>0</v>
      </c>
      <c r="BA98" s="274">
        <f t="shared" si="68"/>
        <v>0</v>
      </c>
      <c r="BB98" s="274">
        <f t="shared" si="69"/>
        <v>0</v>
      </c>
      <c r="BC98" s="274">
        <f t="shared" si="70"/>
        <v>0</v>
      </c>
      <c r="BD98" s="274">
        <f t="shared" si="71"/>
        <v>0</v>
      </c>
      <c r="BE98" s="274">
        <f t="shared" si="74"/>
        <v>0</v>
      </c>
      <c r="BF98" s="274" t="str">
        <f t="shared" si="75"/>
        <v/>
      </c>
    </row>
    <row r="99" spans="1:58" ht="14">
      <c r="A99" s="72" t="str">
        <f>'G-1 All Habitats'!B99</f>
        <v>Woodland and forest - Upland mixed ashwoods</v>
      </c>
      <c r="B99" s="72" t="s">
        <v>112</v>
      </c>
      <c r="C99" s="72" t="str">
        <f>'G-1 All Habitats'!K99</f>
        <v>High</v>
      </c>
      <c r="D99" s="72" t="str">
        <f>'G-1 All Habitats'!M99</f>
        <v>Same habitat required =</v>
      </c>
      <c r="E99" s="1056">
        <f>SUMIF('A-1 On-Site Habitat Baseline'!$AV$11:$AV$258,'G-2 Habitat groups'!A99,'A-1 On-Site Habitat Baseline'!$H$11:$H$258)</f>
        <v>0</v>
      </c>
      <c r="F99" s="1056">
        <f>SUMIF('A-1 On-Site Habitat Baseline'!$AV$11:$AV$258,'G-2 Habitat groups'!A99,'A-1 On-Site Habitat Baseline'!$Q$11:$Q$258)</f>
        <v>0</v>
      </c>
      <c r="G99" s="1056">
        <f>SUMIF('A-1 On-Site Habitat Baseline'!$AV$11:$AV$258,'G-2 Habitat groups'!A99,'A-1 On-Site Habitat Baseline'!$S$11:$S$258)</f>
        <v>0</v>
      </c>
      <c r="H99" s="1056">
        <f>SUMIF('A-1 On-Site Habitat Baseline'!$AV$11:$AV$258,'G-2 Habitat groups'!A99,'A-1 On-Site Habitat Baseline'!$U$11:$U$258)+SUMIF('A-1 On-Site Habitat Baseline'!$AV$11:$AV$258,'G-2 Habitat groups'!A99,'A-1 On-Site Habitat Baseline'!$AT$11:$AT$258)</f>
        <v>0</v>
      </c>
      <c r="I99" s="1056">
        <f>SUMIF('A-1 On-Site Habitat Baseline'!$AV$11:$AV$258,'G-2 Habitat groups'!A99,'A-1 On-Site Habitat Baseline'!$W$11:$W$258)</f>
        <v>0</v>
      </c>
      <c r="J99" s="1056">
        <f>SUMIF('A-1 On-Site Habitat Baseline'!$AV$11:$AV$258,'G-2 Habitat groups'!A99,'A-1 On-Site Habitat Baseline'!$X$11:$X$258)</f>
        <v>0</v>
      </c>
      <c r="K99" s="1056">
        <f>SUMIF('A-2 On-Site Habitat Creation'!$F$11:$F$256,'G-2 Habitat groups'!A99,'A-2 On-Site Habitat Creation'!$G$11:$G$256)</f>
        <v>0</v>
      </c>
      <c r="L99" s="1056">
        <f>SUMIF('A-2 On-Site Habitat Creation'!$F$11:$F$256,'G-2 Habitat groups'!A99,'A-2 On-Site Habitat Creation'!$Y$11:$Y$256)</f>
        <v>0</v>
      </c>
      <c r="M99" s="1056">
        <f>SUMIF('A-3 On-Site Habitat Enhancement'!$S$12:$S$257,'G-2 Habitat groups'!A99,'A-3 On-Site Habitat Enhancement'!$V$12:$V$257)</f>
        <v>0</v>
      </c>
      <c r="N99" s="1056">
        <f>SUMIF('A-3 On-Site Habitat Enhancement'!$S$12:$S$257,'G-2 Habitat groups'!A99,'A-3 On-Site Habitat Enhancement'!$AN$12:$AN$257)</f>
        <v>0</v>
      </c>
      <c r="O99" s="1056">
        <f t="shared" si="54"/>
        <v>0</v>
      </c>
      <c r="P99" s="1056">
        <f t="shared" si="55"/>
        <v>0</v>
      </c>
      <c r="Q99" s="1056">
        <f t="shared" si="56"/>
        <v>0</v>
      </c>
      <c r="R99" s="1056">
        <f t="shared" si="57"/>
        <v>0</v>
      </c>
      <c r="S99" s="1056">
        <f>SUMIF('D-1 Off-Site Habitat Baseline'!$AV$11:$AV$258,'G-2 Habitat groups'!A99,'D-1 Off-Site Habitat Baseline'!$H$11:$H$258)</f>
        <v>0</v>
      </c>
      <c r="T99" s="1056">
        <f>SUMIF('D-1 Off-Site Habitat Baseline'!$AV$11:$AV$258,'G-2 Habitat groups'!A99,'D-1 Off-Site Habitat Baseline'!$T$11:$T$258)</f>
        <v>0</v>
      </c>
      <c r="U99" s="1056">
        <f>SUMIF('D-1 Off-Site Habitat Baseline'!$AV$11:$AV$258,'G-2 Habitat groups'!A99,'D-1 Off-Site Habitat Baseline'!$V$11:$V$258)</f>
        <v>0</v>
      </c>
      <c r="V99" s="1056">
        <f>SUMIF('D-1 Off-Site Habitat Baseline'!$AV$11:$AV$258,'G-2 Habitat groups'!A99,'D-1 Off-Site Habitat Baseline'!$X$11:$X$258)+SUMIF('D-1 Off-Site Habitat Baseline'!$AV$11:$AV$258,'G-2 Habitat groups'!A99,'D-1 Off-Site Habitat Baseline'!$AS$11:$AS$258)</f>
        <v>0</v>
      </c>
      <c r="W99" s="1056">
        <f>SUMIF('D-2 Off-Site Habitat Creation'!$F$9:$F$255,'G-2 Habitat groups'!A99,'D-2 Off-Site Habitat Creation'!$G$9:$G$255)</f>
        <v>0</v>
      </c>
      <c r="X99" s="1056">
        <f>SUMIF('D-2 Off-Site Habitat Creation'!$F$9:$F$255,'G-2 Habitat groups'!A99,'D-2 Off-Site Habitat Creation'!$AB$9:$AB$255)</f>
        <v>0</v>
      </c>
      <c r="Y99" s="1056">
        <f>SUMIF('D-3 Off-Site Habitat Enhancment'!$S$12:$S$491,'G-2 Habitat groups'!A99,'D-3 Off-Site Habitat Enhancment'!$V$12:$V$491)</f>
        <v>0</v>
      </c>
      <c r="Z99" s="1056">
        <f>SUMIF('D-3 Off-Site Habitat Enhancment'!$S$12:$S$491,'G-2 Habitat groups'!A99,'D-3 Off-Site Habitat Enhancment'!$AQ$12:$AQ$491)</f>
        <v>0</v>
      </c>
      <c r="AA99" s="1056">
        <f t="shared" si="58"/>
        <v>0</v>
      </c>
      <c r="AB99" s="1056">
        <f t="shared" si="59"/>
        <v>0</v>
      </c>
      <c r="AC99" s="1056">
        <f t="shared" si="60"/>
        <v>0</v>
      </c>
      <c r="AD99" s="1056">
        <f t="shared" si="61"/>
        <v>0</v>
      </c>
      <c r="AE99" s="1056">
        <f t="shared" si="62"/>
        <v>0</v>
      </c>
      <c r="AF99" s="1056">
        <f t="shared" si="63"/>
        <v>0</v>
      </c>
      <c r="AU99" s="70" t="s">
        <v>933</v>
      </c>
      <c r="AV99" s="62" t="s">
        <v>112</v>
      </c>
      <c r="AW99" s="274">
        <f t="shared" si="64"/>
        <v>0</v>
      </c>
      <c r="AX99" s="274">
        <f t="shared" si="65"/>
        <v>0</v>
      </c>
      <c r="AY99" s="274">
        <f t="shared" si="66"/>
        <v>0</v>
      </c>
      <c r="AZ99" s="274">
        <f t="shared" si="67"/>
        <v>0</v>
      </c>
      <c r="BA99" s="274">
        <f t="shared" si="68"/>
        <v>0</v>
      </c>
      <c r="BB99" s="274">
        <f t="shared" si="69"/>
        <v>0</v>
      </c>
      <c r="BC99" s="274">
        <f t="shared" si="70"/>
        <v>0</v>
      </c>
      <c r="BD99" s="274">
        <f t="shared" si="71"/>
        <v>0</v>
      </c>
      <c r="BE99" s="274">
        <f t="shared" si="74"/>
        <v>0</v>
      </c>
      <c r="BF99" s="274" t="str">
        <f t="shared" si="75"/>
        <v/>
      </c>
    </row>
    <row r="100" spans="1:58" ht="14">
      <c r="A100" s="72" t="str">
        <f>'G-1 All Habitats'!B100</f>
        <v>Woodland and forest - Upland oakwood</v>
      </c>
      <c r="B100" s="72" t="s">
        <v>112</v>
      </c>
      <c r="C100" s="72" t="str">
        <f>'G-1 All Habitats'!K100</f>
        <v>High</v>
      </c>
      <c r="D100" s="72" t="str">
        <f>'G-1 All Habitats'!M100</f>
        <v>Same habitat required =</v>
      </c>
      <c r="E100" s="1056">
        <f>SUMIF('A-1 On-Site Habitat Baseline'!$AV$11:$AV$258,'G-2 Habitat groups'!A100,'A-1 On-Site Habitat Baseline'!$H$11:$H$258)</f>
        <v>0</v>
      </c>
      <c r="F100" s="1056">
        <f>SUMIF('A-1 On-Site Habitat Baseline'!$AV$11:$AV$258,'G-2 Habitat groups'!A100,'A-1 On-Site Habitat Baseline'!$Q$11:$Q$258)</f>
        <v>0</v>
      </c>
      <c r="G100" s="1056">
        <f>SUMIF('A-1 On-Site Habitat Baseline'!$AV$11:$AV$258,'G-2 Habitat groups'!A100,'A-1 On-Site Habitat Baseline'!$S$11:$S$258)</f>
        <v>0</v>
      </c>
      <c r="H100" s="1056">
        <f>SUMIF('A-1 On-Site Habitat Baseline'!$AV$11:$AV$258,'G-2 Habitat groups'!A100,'A-1 On-Site Habitat Baseline'!$U$11:$U$258)+SUMIF('A-1 On-Site Habitat Baseline'!$AV$11:$AV$258,'G-2 Habitat groups'!A100,'A-1 On-Site Habitat Baseline'!$AT$11:$AT$258)</f>
        <v>0</v>
      </c>
      <c r="I100" s="1056">
        <f>SUMIF('A-1 On-Site Habitat Baseline'!$AV$11:$AV$258,'G-2 Habitat groups'!A100,'A-1 On-Site Habitat Baseline'!$W$11:$W$258)</f>
        <v>0</v>
      </c>
      <c r="J100" s="1056">
        <f>SUMIF('A-1 On-Site Habitat Baseline'!$AV$11:$AV$258,'G-2 Habitat groups'!A100,'A-1 On-Site Habitat Baseline'!$X$11:$X$258)</f>
        <v>0</v>
      </c>
      <c r="K100" s="1056">
        <f>SUMIF('A-2 On-Site Habitat Creation'!$F$11:$F$256,'G-2 Habitat groups'!A100,'A-2 On-Site Habitat Creation'!$G$11:$G$256)</f>
        <v>0</v>
      </c>
      <c r="L100" s="1056">
        <f>SUMIF('A-2 On-Site Habitat Creation'!$F$11:$F$256,'G-2 Habitat groups'!A100,'A-2 On-Site Habitat Creation'!$Y$11:$Y$256)</f>
        <v>0</v>
      </c>
      <c r="M100" s="1056">
        <f>SUMIF('A-3 On-Site Habitat Enhancement'!$S$12:$S$257,'G-2 Habitat groups'!A100,'A-3 On-Site Habitat Enhancement'!$V$12:$V$257)</f>
        <v>0</v>
      </c>
      <c r="N100" s="1056">
        <f>SUMIF('A-3 On-Site Habitat Enhancement'!$S$12:$S$257,'G-2 Habitat groups'!A100,'A-3 On-Site Habitat Enhancement'!$AN$12:$AN$257)</f>
        <v>0</v>
      </c>
      <c r="O100" s="1056">
        <f t="shared" si="54"/>
        <v>0</v>
      </c>
      <c r="P100" s="1056">
        <f t="shared" si="55"/>
        <v>0</v>
      </c>
      <c r="Q100" s="1056">
        <f t="shared" si="56"/>
        <v>0</v>
      </c>
      <c r="R100" s="1056">
        <f t="shared" si="57"/>
        <v>0</v>
      </c>
      <c r="S100" s="1056">
        <f>SUMIF('D-1 Off-Site Habitat Baseline'!$AV$11:$AV$258,'G-2 Habitat groups'!A100,'D-1 Off-Site Habitat Baseline'!$H$11:$H$258)</f>
        <v>0</v>
      </c>
      <c r="T100" s="1056">
        <f>SUMIF('D-1 Off-Site Habitat Baseline'!$AV$11:$AV$258,'G-2 Habitat groups'!A100,'D-1 Off-Site Habitat Baseline'!$T$11:$T$258)</f>
        <v>0</v>
      </c>
      <c r="U100" s="1056">
        <f>SUMIF('D-1 Off-Site Habitat Baseline'!$AV$11:$AV$258,'G-2 Habitat groups'!A100,'D-1 Off-Site Habitat Baseline'!$V$11:$V$258)</f>
        <v>0</v>
      </c>
      <c r="V100" s="1056">
        <f>SUMIF('D-1 Off-Site Habitat Baseline'!$AV$11:$AV$258,'G-2 Habitat groups'!A100,'D-1 Off-Site Habitat Baseline'!$X$11:$X$258)+SUMIF('D-1 Off-Site Habitat Baseline'!$AV$11:$AV$258,'G-2 Habitat groups'!A100,'D-1 Off-Site Habitat Baseline'!$AS$11:$AS$258)</f>
        <v>0</v>
      </c>
      <c r="W100" s="1056">
        <f>SUMIF('D-2 Off-Site Habitat Creation'!$F$9:$F$255,'G-2 Habitat groups'!A100,'D-2 Off-Site Habitat Creation'!$G$9:$G$255)</f>
        <v>0</v>
      </c>
      <c r="X100" s="1056">
        <f>SUMIF('D-2 Off-Site Habitat Creation'!$F$9:$F$255,'G-2 Habitat groups'!A100,'D-2 Off-Site Habitat Creation'!$AB$9:$AB$255)</f>
        <v>0</v>
      </c>
      <c r="Y100" s="1056">
        <f>SUMIF('D-3 Off-Site Habitat Enhancment'!$S$12:$S$491,'G-2 Habitat groups'!A100,'D-3 Off-Site Habitat Enhancment'!$V$12:$V$491)</f>
        <v>0</v>
      </c>
      <c r="Z100" s="1056">
        <f>SUMIF('D-3 Off-Site Habitat Enhancment'!$S$12:$S$491,'G-2 Habitat groups'!A100,'D-3 Off-Site Habitat Enhancment'!$AQ$12:$AQ$491)</f>
        <v>0</v>
      </c>
      <c r="AA100" s="1056">
        <f t="shared" si="58"/>
        <v>0</v>
      </c>
      <c r="AB100" s="1056">
        <f t="shared" si="59"/>
        <v>0</v>
      </c>
      <c r="AC100" s="1056">
        <f t="shared" si="60"/>
        <v>0</v>
      </c>
      <c r="AD100" s="1056">
        <f t="shared" si="61"/>
        <v>0</v>
      </c>
      <c r="AE100" s="1056">
        <f t="shared" si="62"/>
        <v>0</v>
      </c>
      <c r="AF100" s="1056">
        <f t="shared" si="63"/>
        <v>0</v>
      </c>
      <c r="AU100" s="70" t="s">
        <v>936</v>
      </c>
      <c r="AV100" s="62" t="s">
        <v>112</v>
      </c>
      <c r="AW100" s="274">
        <f t="shared" si="64"/>
        <v>0</v>
      </c>
      <c r="AX100" s="274">
        <f t="shared" si="65"/>
        <v>0</v>
      </c>
      <c r="AY100" s="274">
        <f t="shared" si="66"/>
        <v>0</v>
      </c>
      <c r="AZ100" s="274">
        <f t="shared" si="67"/>
        <v>0</v>
      </c>
      <c r="BA100" s="274">
        <f t="shared" si="68"/>
        <v>0</v>
      </c>
      <c r="BB100" s="274">
        <f t="shared" si="69"/>
        <v>0</v>
      </c>
      <c r="BC100" s="274">
        <f t="shared" si="70"/>
        <v>0</v>
      </c>
      <c r="BD100" s="274">
        <f t="shared" si="71"/>
        <v>0</v>
      </c>
      <c r="BE100" s="274">
        <f t="shared" si="74"/>
        <v>0</v>
      </c>
      <c r="BF100" s="274" t="str">
        <f t="shared" si="75"/>
        <v/>
      </c>
    </row>
    <row r="101" spans="1:58" ht="14">
      <c r="A101" s="72" t="str">
        <f>'G-1 All Habitats'!B101</f>
        <v>Woodland and forest - Wet woodland</v>
      </c>
      <c r="B101" s="72" t="s">
        <v>112</v>
      </c>
      <c r="C101" s="72" t="str">
        <f>'G-1 All Habitats'!K101</f>
        <v>High</v>
      </c>
      <c r="D101" s="72" t="str">
        <f>'G-1 All Habitats'!M101</f>
        <v>Same habitat required =</v>
      </c>
      <c r="E101" s="1056">
        <f>SUMIF('A-1 On-Site Habitat Baseline'!$AV$11:$AV$258,'G-2 Habitat groups'!A101,'A-1 On-Site Habitat Baseline'!$H$11:$H$258)</f>
        <v>0</v>
      </c>
      <c r="F101" s="1056">
        <f>SUMIF('A-1 On-Site Habitat Baseline'!$AV$11:$AV$258,'G-2 Habitat groups'!A101,'A-1 On-Site Habitat Baseline'!$Q$11:$Q$258)</f>
        <v>0</v>
      </c>
      <c r="G101" s="1056">
        <f>SUMIF('A-1 On-Site Habitat Baseline'!$AV$11:$AV$258,'G-2 Habitat groups'!A101,'A-1 On-Site Habitat Baseline'!$S$11:$S$258)</f>
        <v>0</v>
      </c>
      <c r="H101" s="1056">
        <f>SUMIF('A-1 On-Site Habitat Baseline'!$AV$11:$AV$258,'G-2 Habitat groups'!A101,'A-1 On-Site Habitat Baseline'!$U$11:$U$258)+SUMIF('A-1 On-Site Habitat Baseline'!$AV$11:$AV$258,'G-2 Habitat groups'!A101,'A-1 On-Site Habitat Baseline'!$AT$11:$AT$258)</f>
        <v>0</v>
      </c>
      <c r="I101" s="1056">
        <f>SUMIF('A-1 On-Site Habitat Baseline'!$AV$11:$AV$258,'G-2 Habitat groups'!A101,'A-1 On-Site Habitat Baseline'!$W$11:$W$258)</f>
        <v>0</v>
      </c>
      <c r="J101" s="1056">
        <f>SUMIF('A-1 On-Site Habitat Baseline'!$AV$11:$AV$258,'G-2 Habitat groups'!A101,'A-1 On-Site Habitat Baseline'!$X$11:$X$258)</f>
        <v>0</v>
      </c>
      <c r="K101" s="1056">
        <f>SUMIF('A-2 On-Site Habitat Creation'!$F$11:$F$256,'G-2 Habitat groups'!A101,'A-2 On-Site Habitat Creation'!$G$11:$G$256)</f>
        <v>0</v>
      </c>
      <c r="L101" s="1056">
        <f>SUMIF('A-2 On-Site Habitat Creation'!$F$11:$F$256,'G-2 Habitat groups'!A101,'A-2 On-Site Habitat Creation'!$Y$11:$Y$256)</f>
        <v>0</v>
      </c>
      <c r="M101" s="1056">
        <f>SUMIF('A-3 On-Site Habitat Enhancement'!$S$12:$S$257,'G-2 Habitat groups'!A101,'A-3 On-Site Habitat Enhancement'!$V$12:$V$257)</f>
        <v>0</v>
      </c>
      <c r="N101" s="1056">
        <f>SUMIF('A-3 On-Site Habitat Enhancement'!$S$12:$S$257,'G-2 Habitat groups'!A101,'A-3 On-Site Habitat Enhancement'!$AN$12:$AN$257)</f>
        <v>0</v>
      </c>
      <c r="O101" s="1056">
        <f t="shared" si="54"/>
        <v>0</v>
      </c>
      <c r="P101" s="1056">
        <f t="shared" si="55"/>
        <v>0</v>
      </c>
      <c r="Q101" s="1056">
        <f t="shared" si="56"/>
        <v>0</v>
      </c>
      <c r="R101" s="1056">
        <f t="shared" si="57"/>
        <v>0</v>
      </c>
      <c r="S101" s="1056">
        <f>SUMIF('D-1 Off-Site Habitat Baseline'!$AV$11:$AV$258,'G-2 Habitat groups'!A101,'D-1 Off-Site Habitat Baseline'!$H$11:$H$258)</f>
        <v>0</v>
      </c>
      <c r="T101" s="1056">
        <f>SUMIF('D-1 Off-Site Habitat Baseline'!$AV$11:$AV$258,'G-2 Habitat groups'!A101,'D-1 Off-Site Habitat Baseline'!$T$11:$T$258)</f>
        <v>0</v>
      </c>
      <c r="U101" s="1056">
        <f>SUMIF('D-1 Off-Site Habitat Baseline'!$AV$11:$AV$258,'G-2 Habitat groups'!A101,'D-1 Off-Site Habitat Baseline'!$V$11:$V$258)</f>
        <v>0</v>
      </c>
      <c r="V101" s="1056">
        <f>SUMIF('D-1 Off-Site Habitat Baseline'!$AV$11:$AV$258,'G-2 Habitat groups'!A101,'D-1 Off-Site Habitat Baseline'!$X$11:$X$258)+SUMIF('D-1 Off-Site Habitat Baseline'!$AV$11:$AV$258,'G-2 Habitat groups'!A101,'D-1 Off-Site Habitat Baseline'!$AS$11:$AS$258)</f>
        <v>0</v>
      </c>
      <c r="W101" s="1056">
        <f>SUMIF('D-2 Off-Site Habitat Creation'!$F$9:$F$255,'G-2 Habitat groups'!A101,'D-2 Off-Site Habitat Creation'!$G$9:$G$255)</f>
        <v>0</v>
      </c>
      <c r="X101" s="1056">
        <f>SUMIF('D-2 Off-Site Habitat Creation'!$F$9:$F$255,'G-2 Habitat groups'!A101,'D-2 Off-Site Habitat Creation'!$AB$9:$AB$255)</f>
        <v>0</v>
      </c>
      <c r="Y101" s="1056">
        <f>SUMIF('D-3 Off-Site Habitat Enhancment'!$S$12:$S$491,'G-2 Habitat groups'!A101,'D-3 Off-Site Habitat Enhancment'!$V$12:$V$491)</f>
        <v>0</v>
      </c>
      <c r="Z101" s="1056">
        <f>SUMIF('D-3 Off-Site Habitat Enhancment'!$S$12:$S$491,'G-2 Habitat groups'!A101,'D-3 Off-Site Habitat Enhancment'!$AQ$12:$AQ$491)</f>
        <v>0</v>
      </c>
      <c r="AA101" s="1056">
        <f t="shared" si="58"/>
        <v>0</v>
      </c>
      <c r="AB101" s="1056">
        <f t="shared" si="59"/>
        <v>0</v>
      </c>
      <c r="AC101" s="1056">
        <f t="shared" si="60"/>
        <v>0</v>
      </c>
      <c r="AD101" s="1056">
        <f t="shared" si="61"/>
        <v>0</v>
      </c>
      <c r="AE101" s="1056">
        <f t="shared" si="62"/>
        <v>0</v>
      </c>
      <c r="AF101" s="1056">
        <f t="shared" si="63"/>
        <v>0</v>
      </c>
      <c r="AU101" s="70" t="s">
        <v>984</v>
      </c>
      <c r="AV101" s="62" t="s">
        <v>113</v>
      </c>
      <c r="AW101" s="274">
        <f t="shared" si="64"/>
        <v>0</v>
      </c>
      <c r="AX101" s="274">
        <f t="shared" si="65"/>
        <v>0</v>
      </c>
      <c r="AY101" s="274">
        <f t="shared" si="66"/>
        <v>0</v>
      </c>
      <c r="AZ101" s="274">
        <f t="shared" si="67"/>
        <v>0</v>
      </c>
      <c r="BA101" s="274">
        <f t="shared" si="68"/>
        <v>0</v>
      </c>
      <c r="BB101" s="274">
        <f t="shared" si="69"/>
        <v>0</v>
      </c>
      <c r="BC101" s="274">
        <f t="shared" si="70"/>
        <v>0</v>
      </c>
      <c r="BD101" s="274">
        <f t="shared" si="71"/>
        <v>0</v>
      </c>
      <c r="BE101" s="274">
        <f t="shared" si="74"/>
        <v>0</v>
      </c>
      <c r="BF101" s="274" t="str">
        <f t="shared" si="75"/>
        <v/>
      </c>
    </row>
    <row r="102" spans="1:58" ht="14">
      <c r="A102" s="72" t="str">
        <f>'G-1 All Habitats'!B102</f>
        <v>Woodland and forest - Wood-pasture and parkland</v>
      </c>
      <c r="B102" s="72" t="s">
        <v>112</v>
      </c>
      <c r="C102" s="72" t="str">
        <f>'G-1 All Habitats'!K102</f>
        <v>V.High</v>
      </c>
      <c r="D102" s="72" t="str">
        <f>'G-1 All Habitats'!M102</f>
        <v>Same habitat required – bespoke compensation option ⚠</v>
      </c>
      <c r="E102" s="1056">
        <f>SUMIF('A-1 On-Site Habitat Baseline'!$AV$11:$AV$258,'G-2 Habitat groups'!A102,'A-1 On-Site Habitat Baseline'!$H$11:$H$258)</f>
        <v>0</v>
      </c>
      <c r="F102" s="1056">
        <f>SUMIF('A-1 On-Site Habitat Baseline'!$AV$11:$AV$258,'G-2 Habitat groups'!A102,'A-1 On-Site Habitat Baseline'!$Q$11:$Q$258)</f>
        <v>0</v>
      </c>
      <c r="G102" s="1056">
        <f>SUMIF('A-1 On-Site Habitat Baseline'!$AV$11:$AV$258,'G-2 Habitat groups'!A102,'A-1 On-Site Habitat Baseline'!$S$11:$S$258)</f>
        <v>0</v>
      </c>
      <c r="H102" s="1056">
        <f>SUMIF('A-1 On-Site Habitat Baseline'!$AV$11:$AV$258,'G-2 Habitat groups'!A102,'A-1 On-Site Habitat Baseline'!$U$11:$U$258)+SUMIF('A-1 On-Site Habitat Baseline'!$AV$11:$AV$258,'G-2 Habitat groups'!A102,'A-1 On-Site Habitat Baseline'!$AT$11:$AT$258)</f>
        <v>0</v>
      </c>
      <c r="I102" s="1056">
        <f>SUMIF('A-1 On-Site Habitat Baseline'!$AV$11:$AV$258,'G-2 Habitat groups'!A102,'A-1 On-Site Habitat Baseline'!$W$11:$W$258)</f>
        <v>0</v>
      </c>
      <c r="J102" s="1056">
        <f>SUMIF('A-1 On-Site Habitat Baseline'!$AV$11:$AV$258,'G-2 Habitat groups'!A102,'A-1 On-Site Habitat Baseline'!$X$11:$X$258)</f>
        <v>0</v>
      </c>
      <c r="K102" s="1056">
        <f>SUMIF('A-2 On-Site Habitat Creation'!$F$11:$F$256,'G-2 Habitat groups'!A102,'A-2 On-Site Habitat Creation'!$G$11:$G$256)</f>
        <v>0</v>
      </c>
      <c r="L102" s="1056">
        <f>SUMIF('A-2 On-Site Habitat Creation'!$F$11:$F$256,'G-2 Habitat groups'!A102,'A-2 On-Site Habitat Creation'!$Y$11:$Y$256)</f>
        <v>0</v>
      </c>
      <c r="M102" s="1056">
        <f>SUMIF('A-3 On-Site Habitat Enhancement'!$S$12:$S$257,'G-2 Habitat groups'!A102,'A-3 On-Site Habitat Enhancement'!$V$12:$V$257)</f>
        <v>0</v>
      </c>
      <c r="N102" s="1056">
        <f>SUMIF('A-3 On-Site Habitat Enhancement'!$S$12:$S$257,'G-2 Habitat groups'!A102,'A-3 On-Site Habitat Enhancement'!$AN$12:$AN$257)</f>
        <v>0</v>
      </c>
      <c r="O102" s="1056">
        <f t="shared" si="76" ref="O102:O134">G102+K102+M102</f>
        <v>0</v>
      </c>
      <c r="P102" s="1056">
        <f t="shared" si="77" ref="P102:P134">H102+L102+N102</f>
        <v>0</v>
      </c>
      <c r="Q102" s="1056">
        <f t="shared" si="78" ref="Q102:Q134">O102-E102</f>
        <v>0</v>
      </c>
      <c r="R102" s="1056">
        <f t="shared" si="79" ref="R102:R134">P102-F102</f>
        <v>0</v>
      </c>
      <c r="S102" s="1056">
        <f>SUMIF('D-1 Off-Site Habitat Baseline'!$AV$11:$AV$258,'G-2 Habitat groups'!A102,'D-1 Off-Site Habitat Baseline'!$H$11:$H$258)</f>
        <v>0</v>
      </c>
      <c r="T102" s="1056">
        <f>SUMIF('D-1 Off-Site Habitat Baseline'!$AV$11:$AV$258,'G-2 Habitat groups'!A102,'D-1 Off-Site Habitat Baseline'!$T$11:$T$258)</f>
        <v>0</v>
      </c>
      <c r="U102" s="1056">
        <f>SUMIF('D-1 Off-Site Habitat Baseline'!$AV$11:$AV$258,'G-2 Habitat groups'!A102,'D-1 Off-Site Habitat Baseline'!$V$11:$V$258)</f>
        <v>0</v>
      </c>
      <c r="V102" s="1056">
        <f>SUMIF('D-1 Off-Site Habitat Baseline'!$AV$11:$AV$258,'G-2 Habitat groups'!A102,'D-1 Off-Site Habitat Baseline'!$X$11:$X$258)+SUMIF('D-1 Off-Site Habitat Baseline'!$AV$11:$AV$258,'G-2 Habitat groups'!A102,'D-1 Off-Site Habitat Baseline'!$AS$11:$AS$258)</f>
        <v>0</v>
      </c>
      <c r="W102" s="1056">
        <f>SUMIF('D-2 Off-Site Habitat Creation'!$F$9:$F$255,'G-2 Habitat groups'!A102,'D-2 Off-Site Habitat Creation'!$G$9:$G$255)</f>
        <v>0</v>
      </c>
      <c r="X102" s="1056">
        <f>SUMIF('D-2 Off-Site Habitat Creation'!$F$9:$F$255,'G-2 Habitat groups'!A102,'D-2 Off-Site Habitat Creation'!$AB$9:$AB$255)</f>
        <v>0</v>
      </c>
      <c r="Y102" s="1056">
        <f>SUMIF('D-3 Off-Site Habitat Enhancment'!$S$12:$S$491,'G-2 Habitat groups'!A102,'D-3 Off-Site Habitat Enhancment'!$V$12:$V$491)</f>
        <v>0</v>
      </c>
      <c r="Z102" s="1056">
        <f>SUMIF('D-3 Off-Site Habitat Enhancment'!$S$12:$S$491,'G-2 Habitat groups'!A102,'D-3 Off-Site Habitat Enhancment'!$AQ$12:$AQ$491)</f>
        <v>0</v>
      </c>
      <c r="AA102" s="1056">
        <f t="shared" si="80" ref="AA102:AA135">U102+W102+Y102</f>
        <v>0</v>
      </c>
      <c r="AB102" s="1056">
        <f t="shared" si="81" ref="AB102:AB135">V102+X102+Z102</f>
        <v>0</v>
      </c>
      <c r="AC102" s="1056">
        <f t="shared" si="82" ref="AC102:AC134">AA102-S102</f>
        <v>0</v>
      </c>
      <c r="AD102" s="1056">
        <f t="shared" si="83" ref="AD102:AD134">AB102-T102</f>
        <v>0</v>
      </c>
      <c r="AE102" s="1056">
        <f t="shared" si="84" ref="AE102:AE134">Q102+AC102</f>
        <v>0</v>
      </c>
      <c r="AF102" s="1056">
        <f t="shared" si="85" ref="AF102:AF134">R102+AD102</f>
        <v>0</v>
      </c>
      <c r="AU102" s="87" t="s">
        <v>1029</v>
      </c>
      <c r="AV102" s="62" t="s">
        <v>113</v>
      </c>
      <c r="AW102" s="274">
        <f t="shared" si="64"/>
        <v>0</v>
      </c>
      <c r="AX102" s="274">
        <f t="shared" si="65"/>
        <v>0</v>
      </c>
      <c r="AY102" s="274">
        <f t="shared" si="66"/>
        <v>0</v>
      </c>
      <c r="AZ102" s="274">
        <f t="shared" si="67"/>
        <v>0</v>
      </c>
      <c r="BA102" s="274">
        <f t="shared" si="68"/>
        <v>0</v>
      </c>
      <c r="BB102" s="274">
        <f t="shared" si="69"/>
        <v>0</v>
      </c>
      <c r="BC102" s="274">
        <f t="shared" si="70"/>
        <v>0</v>
      </c>
      <c r="BD102" s="274">
        <f t="shared" si="71"/>
        <v>0</v>
      </c>
      <c r="BE102" s="274">
        <f t="shared" si="74"/>
        <v>0</v>
      </c>
      <c r="BF102" s="274" t="str">
        <f t="shared" si="75"/>
        <v/>
      </c>
    </row>
    <row r="103" spans="1:58" ht="28">
      <c r="A103" s="72" t="str">
        <f>'G-1 All Habitats'!B104</f>
        <v>Coastal lagoons - Coastal lagoons</v>
      </c>
      <c r="B103" s="72" t="s">
        <v>116</v>
      </c>
      <c r="C103" s="72" t="str">
        <f>'G-1 All Habitats'!K104</f>
        <v>High</v>
      </c>
      <c r="D103" s="72" t="str">
        <f>'G-1 All Habitats'!M104</f>
        <v>Same habitat required =</v>
      </c>
      <c r="E103" s="1056">
        <f>SUMIF('A-1 On-Site Habitat Baseline'!$AV$11:$AV$258,'G-2 Habitat groups'!A103,'A-1 On-Site Habitat Baseline'!$H$11:$H$258)</f>
        <v>0</v>
      </c>
      <c r="F103" s="1056">
        <f>SUMIF('A-1 On-Site Habitat Baseline'!$AV$11:$AV$258,'G-2 Habitat groups'!A103,'A-1 On-Site Habitat Baseline'!$Q$11:$Q$258)</f>
        <v>0</v>
      </c>
      <c r="G103" s="1056">
        <f>SUMIF('A-1 On-Site Habitat Baseline'!$AV$11:$AV$258,'G-2 Habitat groups'!A103,'A-1 On-Site Habitat Baseline'!$S$11:$S$258)</f>
        <v>0</v>
      </c>
      <c r="H103" s="1056">
        <f>SUMIF('A-1 On-Site Habitat Baseline'!$AV$11:$AV$258,'G-2 Habitat groups'!A103,'A-1 On-Site Habitat Baseline'!$U$11:$U$258)+SUMIF('A-1 On-Site Habitat Baseline'!$AV$11:$AV$258,'G-2 Habitat groups'!A103,'A-1 On-Site Habitat Baseline'!$AT$11:$AT$258)</f>
        <v>0</v>
      </c>
      <c r="I103" s="1056">
        <f>SUMIF('A-1 On-Site Habitat Baseline'!$AV$11:$AV$258,'G-2 Habitat groups'!A103,'A-1 On-Site Habitat Baseline'!$W$11:$W$258)</f>
        <v>0</v>
      </c>
      <c r="J103" s="1056">
        <f>SUMIF('A-1 On-Site Habitat Baseline'!$AV$11:$AV$258,'G-2 Habitat groups'!A103,'A-1 On-Site Habitat Baseline'!$X$11:$X$258)</f>
        <v>0</v>
      </c>
      <c r="K103" s="1056">
        <f>SUMIF('A-2 On-Site Habitat Creation'!$F$11:$F$256,'G-2 Habitat groups'!A103,'A-2 On-Site Habitat Creation'!$G$11:$G$256)</f>
        <v>0</v>
      </c>
      <c r="L103" s="1056">
        <f>SUMIF('A-2 On-Site Habitat Creation'!$F$11:$F$256,'G-2 Habitat groups'!A103,'A-2 On-Site Habitat Creation'!$Y$11:$Y$256)</f>
        <v>0</v>
      </c>
      <c r="M103" s="1056">
        <f>SUMIF('A-3 On-Site Habitat Enhancement'!$S$12:$S$257,'G-2 Habitat groups'!A103,'A-3 On-Site Habitat Enhancement'!$V$12:$V$257)</f>
        <v>0</v>
      </c>
      <c r="N103" s="1056">
        <f>SUMIF('A-3 On-Site Habitat Enhancement'!$S$12:$S$257,'G-2 Habitat groups'!A103,'A-3 On-Site Habitat Enhancement'!$AN$12:$AN$257)</f>
        <v>0</v>
      </c>
      <c r="O103" s="1056">
        <f t="shared" si="76"/>
        <v>0</v>
      </c>
      <c r="P103" s="1056">
        <f t="shared" si="77"/>
        <v>0</v>
      </c>
      <c r="Q103" s="1056">
        <f t="shared" si="78"/>
        <v>0</v>
      </c>
      <c r="R103" s="1056">
        <f t="shared" si="79"/>
        <v>0</v>
      </c>
      <c r="S103" s="1056">
        <f>SUMIF('D-1 Off-Site Habitat Baseline'!$AV$11:$AV$258,'G-2 Habitat groups'!A103,'D-1 Off-Site Habitat Baseline'!$H$11:$H$258)</f>
        <v>0</v>
      </c>
      <c r="T103" s="1056">
        <f>SUMIF('D-1 Off-Site Habitat Baseline'!$AV$11:$AV$258,'G-2 Habitat groups'!A103,'D-1 Off-Site Habitat Baseline'!$T$11:$T$258)</f>
        <v>0</v>
      </c>
      <c r="U103" s="1056">
        <f>SUMIF('D-1 Off-Site Habitat Baseline'!$AV$11:$AV$258,'G-2 Habitat groups'!A103,'D-1 Off-Site Habitat Baseline'!$V$11:$V$258)</f>
        <v>0</v>
      </c>
      <c r="V103" s="1056">
        <f>SUMIF('D-1 Off-Site Habitat Baseline'!$AV$11:$AV$258,'G-2 Habitat groups'!A103,'D-1 Off-Site Habitat Baseline'!$X$11:$X$258)+SUMIF('D-1 Off-Site Habitat Baseline'!$AV$11:$AV$258,'G-2 Habitat groups'!A103,'D-1 Off-Site Habitat Baseline'!$AS$11:$AS$258)</f>
        <v>0</v>
      </c>
      <c r="W103" s="1056">
        <f>SUMIF('D-2 Off-Site Habitat Creation'!$F$9:$F$255,'G-2 Habitat groups'!A103,'D-2 Off-Site Habitat Creation'!$G$9:$G$255)</f>
        <v>0</v>
      </c>
      <c r="X103" s="1056">
        <f>SUMIF('D-2 Off-Site Habitat Creation'!$F$9:$F$255,'G-2 Habitat groups'!A103,'D-2 Off-Site Habitat Creation'!$AB$9:$AB$255)</f>
        <v>0</v>
      </c>
      <c r="Y103" s="1056">
        <f>SUMIF('D-3 Off-Site Habitat Enhancment'!$S$12:$S$491,'G-2 Habitat groups'!A103,'D-3 Off-Site Habitat Enhancment'!$V$12:$V$491)</f>
        <v>0</v>
      </c>
      <c r="Z103" s="1056">
        <f>SUMIF('D-3 Off-Site Habitat Enhancment'!$S$12:$S$491,'G-2 Habitat groups'!A103,'D-3 Off-Site Habitat Enhancment'!$AQ$12:$AQ$491)</f>
        <v>0</v>
      </c>
      <c r="AA103" s="1056">
        <f t="shared" si="80"/>
        <v>0</v>
      </c>
      <c r="AB103" s="1056">
        <f t="shared" si="81"/>
        <v>0</v>
      </c>
      <c r="AC103" s="1056">
        <f t="shared" si="82"/>
        <v>0</v>
      </c>
      <c r="AD103" s="1056">
        <f t="shared" si="83"/>
        <v>0</v>
      </c>
      <c r="AE103" s="1056">
        <f t="shared" si="84"/>
        <v>0</v>
      </c>
      <c r="AF103" s="1056">
        <f t="shared" si="85"/>
        <v>0</v>
      </c>
      <c r="AU103" s="87" t="s">
        <v>1042</v>
      </c>
      <c r="AV103" s="209" t="s">
        <v>117</v>
      </c>
      <c r="AW103" s="343">
        <f t="shared" si="64"/>
        <v>0</v>
      </c>
      <c r="AX103" s="343">
        <f t="shared" si="65"/>
        <v>0</v>
      </c>
      <c r="AY103" s="343">
        <f t="shared" si="66"/>
        <v>0</v>
      </c>
      <c r="AZ103" s="343">
        <f t="shared" si="67"/>
        <v>0</v>
      </c>
      <c r="BA103" s="343">
        <f t="shared" si="68"/>
        <v>0</v>
      </c>
      <c r="BB103" s="343">
        <f t="shared" si="69"/>
        <v>0</v>
      </c>
      <c r="BC103" s="343">
        <f t="shared" si="70"/>
        <v>0</v>
      </c>
      <c r="BD103" s="343">
        <f t="shared" si="71"/>
        <v>0</v>
      </c>
      <c r="BE103" s="343">
        <f t="shared" si="74"/>
        <v>0</v>
      </c>
      <c r="BF103" s="343" t="str">
        <f t="shared" si="75"/>
        <v/>
      </c>
    </row>
    <row r="104" spans="1:58" ht="14">
      <c r="A104" s="72" t="str">
        <f>'G-1 All Habitats'!B105</f>
        <v>Rocky shore - High energy littoral rock</v>
      </c>
      <c r="B104" s="72" t="s">
        <v>548</v>
      </c>
      <c r="C104" s="72" t="str">
        <f>'G-1 All Habitats'!K105</f>
        <v>High</v>
      </c>
      <c r="D104" s="72" t="str">
        <f>'G-1 All Habitats'!M105</f>
        <v>Same habitat required =</v>
      </c>
      <c r="E104" s="1056">
        <f>SUMIF('A-1 On-Site Habitat Baseline'!$AV$11:$AV$258,'G-2 Habitat groups'!A104,'A-1 On-Site Habitat Baseline'!$H$11:$H$258)</f>
        <v>0</v>
      </c>
      <c r="F104" s="1056">
        <f>SUMIF('A-1 On-Site Habitat Baseline'!$AV$11:$AV$258,'G-2 Habitat groups'!A104,'A-1 On-Site Habitat Baseline'!$Q$11:$Q$258)</f>
        <v>0</v>
      </c>
      <c r="G104" s="1056">
        <f>SUMIF('A-1 On-Site Habitat Baseline'!$AV$11:$AV$258,'G-2 Habitat groups'!A104,'A-1 On-Site Habitat Baseline'!$S$11:$S$258)</f>
        <v>0</v>
      </c>
      <c r="H104" s="1056">
        <f>SUMIF('A-1 On-Site Habitat Baseline'!$AV$11:$AV$258,'G-2 Habitat groups'!A104,'A-1 On-Site Habitat Baseline'!$U$11:$U$258)+SUMIF('A-1 On-Site Habitat Baseline'!$AV$11:$AV$258,'G-2 Habitat groups'!A104,'A-1 On-Site Habitat Baseline'!$AT$11:$AT$258)</f>
        <v>0</v>
      </c>
      <c r="I104" s="1056">
        <f>SUMIF('A-1 On-Site Habitat Baseline'!$AV$11:$AV$258,'G-2 Habitat groups'!A104,'A-1 On-Site Habitat Baseline'!$W$11:$W$258)</f>
        <v>0</v>
      </c>
      <c r="J104" s="1056">
        <f>SUMIF('A-1 On-Site Habitat Baseline'!$AV$11:$AV$258,'G-2 Habitat groups'!A104,'A-1 On-Site Habitat Baseline'!$X$11:$X$258)</f>
        <v>0</v>
      </c>
      <c r="K104" s="1056">
        <f>SUMIF('A-2 On-Site Habitat Creation'!$F$11:$F$256,'G-2 Habitat groups'!A104,'A-2 On-Site Habitat Creation'!$G$11:$G$256)</f>
        <v>0</v>
      </c>
      <c r="L104" s="1056">
        <f>SUMIF('A-2 On-Site Habitat Creation'!$F$11:$F$256,'G-2 Habitat groups'!A104,'A-2 On-Site Habitat Creation'!$Y$11:$Y$256)</f>
        <v>0</v>
      </c>
      <c r="M104" s="1056">
        <f>SUMIF('A-3 On-Site Habitat Enhancement'!$S$12:$S$257,'G-2 Habitat groups'!A104,'A-3 On-Site Habitat Enhancement'!$V$12:$V$257)</f>
        <v>0</v>
      </c>
      <c r="N104" s="1056">
        <f>SUMIF('A-3 On-Site Habitat Enhancement'!$S$12:$S$257,'G-2 Habitat groups'!A104,'A-3 On-Site Habitat Enhancement'!$AN$12:$AN$257)</f>
        <v>0</v>
      </c>
      <c r="O104" s="1056">
        <f t="shared" si="76"/>
        <v>0</v>
      </c>
      <c r="P104" s="1056">
        <f t="shared" si="77"/>
        <v>0</v>
      </c>
      <c r="Q104" s="1056">
        <f t="shared" si="78"/>
        <v>0</v>
      </c>
      <c r="R104" s="1056">
        <f t="shared" si="79"/>
        <v>0</v>
      </c>
      <c r="S104" s="1056">
        <f>SUMIF('D-1 Off-Site Habitat Baseline'!$AV$11:$AV$258,'G-2 Habitat groups'!A104,'D-1 Off-Site Habitat Baseline'!$H$11:$H$258)</f>
        <v>0</v>
      </c>
      <c r="T104" s="1056">
        <f>SUMIF('D-1 Off-Site Habitat Baseline'!$AV$11:$AV$258,'G-2 Habitat groups'!A104,'D-1 Off-Site Habitat Baseline'!$T$11:$T$258)</f>
        <v>0</v>
      </c>
      <c r="U104" s="1056">
        <f>SUMIF('D-1 Off-Site Habitat Baseline'!$AV$11:$AV$258,'G-2 Habitat groups'!A104,'D-1 Off-Site Habitat Baseline'!$V$11:$V$258)</f>
        <v>0</v>
      </c>
      <c r="V104" s="1056">
        <f>SUMIF('D-1 Off-Site Habitat Baseline'!$AV$11:$AV$258,'G-2 Habitat groups'!A104,'D-1 Off-Site Habitat Baseline'!$X$11:$X$258)+SUMIF('D-1 Off-Site Habitat Baseline'!$AV$11:$AV$258,'G-2 Habitat groups'!A104,'D-1 Off-Site Habitat Baseline'!$AS$11:$AS$258)</f>
        <v>0</v>
      </c>
      <c r="W104" s="1056">
        <f>SUMIF('D-2 Off-Site Habitat Creation'!$F$9:$F$255,'G-2 Habitat groups'!A104,'D-2 Off-Site Habitat Creation'!$G$9:$G$255)</f>
        <v>0</v>
      </c>
      <c r="X104" s="1056">
        <f>SUMIF('D-2 Off-Site Habitat Creation'!$F$9:$F$255,'G-2 Habitat groups'!A104,'D-2 Off-Site Habitat Creation'!$AB$9:$AB$255)</f>
        <v>0</v>
      </c>
      <c r="Y104" s="1056">
        <f>SUMIF('D-3 Off-Site Habitat Enhancment'!$S$12:$S$491,'G-2 Habitat groups'!A104,'D-3 Off-Site Habitat Enhancment'!$V$12:$V$491)</f>
        <v>0</v>
      </c>
      <c r="Z104" s="1056">
        <f>SUMIF('D-3 Off-Site Habitat Enhancment'!$S$12:$S$491,'G-2 Habitat groups'!A104,'D-3 Off-Site Habitat Enhancment'!$AQ$12:$AQ$491)</f>
        <v>0</v>
      </c>
      <c r="AA104" s="1056">
        <f t="shared" si="80"/>
        <v>0</v>
      </c>
      <c r="AB104" s="1056">
        <f t="shared" si="81"/>
        <v>0</v>
      </c>
      <c r="AC104" s="1056">
        <f t="shared" si="82"/>
        <v>0</v>
      </c>
      <c r="AD104" s="1056">
        <f t="shared" si="83"/>
        <v>0</v>
      </c>
      <c r="AE104" s="1056">
        <f t="shared" si="84"/>
        <v>0</v>
      </c>
      <c r="AF104" s="1056">
        <f t="shared" si="85"/>
        <v>0</v>
      </c>
      <c r="AU104" s="70" t="s">
        <v>779</v>
      </c>
      <c r="AV104" s="62" t="s">
        <v>107</v>
      </c>
      <c r="AW104" s="343">
        <f>VLOOKUP($AU104,AllHabsSummaryData,5,FALSE)</f>
        <v>0</v>
      </c>
      <c r="AX104" s="343">
        <f t="shared" si="65"/>
        <v>0</v>
      </c>
      <c r="AY104" s="343">
        <f t="shared" si="66"/>
        <v>0</v>
      </c>
      <c r="AZ104" s="343">
        <f t="shared" si="67"/>
        <v>0</v>
      </c>
      <c r="BA104" s="343">
        <f t="shared" si="68"/>
        <v>0</v>
      </c>
      <c r="BB104" s="343">
        <f t="shared" si="69"/>
        <v>0</v>
      </c>
      <c r="BC104" s="343">
        <f t="shared" si="70"/>
        <v>0</v>
      </c>
      <c r="BD104" s="343">
        <f t="shared" si="71"/>
        <v>0</v>
      </c>
      <c r="BE104" s="343">
        <f t="shared" si="74"/>
        <v>0</v>
      </c>
      <c r="BF104" s="343" t="str">
        <f t="shared" si="75"/>
        <v/>
      </c>
    </row>
    <row r="105" spans="1:58" ht="14">
      <c r="A105" s="72" t="str">
        <f>'G-1 All Habitats'!B106</f>
        <v>Rocky shore - High energy littoral rock - on peat, clay or chalk</v>
      </c>
      <c r="B105" s="72" t="s">
        <v>548</v>
      </c>
      <c r="C105" s="72" t="str">
        <f>'G-1 All Habitats'!K106</f>
        <v>V.High</v>
      </c>
      <c r="D105" s="72" t="str">
        <f>'G-1 All Habitats'!M106</f>
        <v>Same habitat required – bespoke compensation option ⚠</v>
      </c>
      <c r="E105" s="1056">
        <f>SUMIF('A-1 On-Site Habitat Baseline'!$AV$11:$AV$258,'G-2 Habitat groups'!A105,'A-1 On-Site Habitat Baseline'!$H$11:$H$258)</f>
        <v>0</v>
      </c>
      <c r="F105" s="1056">
        <f>SUMIF('A-1 On-Site Habitat Baseline'!$AV$11:$AV$258,'G-2 Habitat groups'!A105,'A-1 On-Site Habitat Baseline'!$Q$11:$Q$258)</f>
        <v>0</v>
      </c>
      <c r="G105" s="1056">
        <f>SUMIF('A-1 On-Site Habitat Baseline'!$AV$11:$AV$258,'G-2 Habitat groups'!A105,'A-1 On-Site Habitat Baseline'!$S$11:$S$258)</f>
        <v>0</v>
      </c>
      <c r="H105" s="1056">
        <f>SUMIF('A-1 On-Site Habitat Baseline'!$AV$11:$AV$258,'G-2 Habitat groups'!A105,'A-1 On-Site Habitat Baseline'!$U$11:$U$258)+SUMIF('A-1 On-Site Habitat Baseline'!$AV$11:$AV$258,'G-2 Habitat groups'!A105,'A-1 On-Site Habitat Baseline'!$AT$11:$AT$258)</f>
        <v>0</v>
      </c>
      <c r="I105" s="1056">
        <f>SUMIF('A-1 On-Site Habitat Baseline'!$AV$11:$AV$258,'G-2 Habitat groups'!A105,'A-1 On-Site Habitat Baseline'!$W$11:$W$258)</f>
        <v>0</v>
      </c>
      <c r="J105" s="1056">
        <f>SUMIF('A-1 On-Site Habitat Baseline'!$AV$11:$AV$258,'G-2 Habitat groups'!A105,'A-1 On-Site Habitat Baseline'!$X$11:$X$258)</f>
        <v>0</v>
      </c>
      <c r="K105" s="1056">
        <f>SUMIF('A-2 On-Site Habitat Creation'!$F$11:$F$256,'G-2 Habitat groups'!A105,'A-2 On-Site Habitat Creation'!$G$11:$G$256)</f>
        <v>0</v>
      </c>
      <c r="L105" s="1056">
        <f>SUMIF('A-2 On-Site Habitat Creation'!$F$11:$F$256,'G-2 Habitat groups'!A105,'A-2 On-Site Habitat Creation'!$Y$11:$Y$256)</f>
        <v>0</v>
      </c>
      <c r="M105" s="1056">
        <f>SUMIF('A-3 On-Site Habitat Enhancement'!$S$12:$S$257,'G-2 Habitat groups'!A105,'A-3 On-Site Habitat Enhancement'!$V$12:$V$257)</f>
        <v>0</v>
      </c>
      <c r="N105" s="1056">
        <f>SUMIF('A-3 On-Site Habitat Enhancement'!$S$12:$S$257,'G-2 Habitat groups'!A105,'A-3 On-Site Habitat Enhancement'!$AN$12:$AN$257)</f>
        <v>0</v>
      </c>
      <c r="O105" s="1056">
        <f t="shared" si="76"/>
        <v>0</v>
      </c>
      <c r="P105" s="1056">
        <f t="shared" si="77"/>
        <v>0</v>
      </c>
      <c r="Q105" s="1056">
        <f t="shared" si="78"/>
        <v>0</v>
      </c>
      <c r="R105" s="1056">
        <f t="shared" si="79"/>
        <v>0</v>
      </c>
      <c r="S105" s="1056">
        <f>SUMIF('D-1 Off-Site Habitat Baseline'!$AV$11:$AV$258,'G-2 Habitat groups'!A105,'D-1 Off-Site Habitat Baseline'!$H$11:$H$258)</f>
        <v>0</v>
      </c>
      <c r="T105" s="1056">
        <f>SUMIF('D-1 Off-Site Habitat Baseline'!$AV$11:$AV$258,'G-2 Habitat groups'!A105,'D-1 Off-Site Habitat Baseline'!$T$11:$T$258)</f>
        <v>0</v>
      </c>
      <c r="U105" s="1056">
        <f>SUMIF('D-1 Off-Site Habitat Baseline'!$AV$11:$AV$258,'G-2 Habitat groups'!A105,'D-1 Off-Site Habitat Baseline'!$V$11:$V$258)</f>
        <v>0</v>
      </c>
      <c r="V105" s="1056">
        <f>SUMIF('D-1 Off-Site Habitat Baseline'!$AV$11:$AV$258,'G-2 Habitat groups'!A105,'D-1 Off-Site Habitat Baseline'!$X$11:$X$258)+SUMIF('D-1 Off-Site Habitat Baseline'!$AV$11:$AV$258,'G-2 Habitat groups'!A105,'D-1 Off-Site Habitat Baseline'!$AS$11:$AS$258)</f>
        <v>0</v>
      </c>
      <c r="W105" s="1056">
        <f>SUMIF('D-2 Off-Site Habitat Creation'!$F$9:$F$255,'G-2 Habitat groups'!A105,'D-2 Off-Site Habitat Creation'!$G$9:$G$255)</f>
        <v>0</v>
      </c>
      <c r="X105" s="1056">
        <f>SUMIF('D-2 Off-Site Habitat Creation'!$F$9:$F$255,'G-2 Habitat groups'!A105,'D-2 Off-Site Habitat Creation'!$AB$9:$AB$255)</f>
        <v>0</v>
      </c>
      <c r="Y105" s="1056">
        <f>SUMIF('D-3 Off-Site Habitat Enhancment'!$S$12:$S$491,'G-2 Habitat groups'!A105,'D-3 Off-Site Habitat Enhancment'!$V$12:$V$491)</f>
        <v>0</v>
      </c>
      <c r="Z105" s="1056">
        <f>SUMIF('D-3 Off-Site Habitat Enhancment'!$S$12:$S$491,'G-2 Habitat groups'!A105,'D-3 Off-Site Habitat Enhancment'!$AQ$12:$AQ$491)</f>
        <v>0</v>
      </c>
      <c r="AA105" s="1056">
        <f t="shared" si="80"/>
        <v>0</v>
      </c>
      <c r="AB105" s="1056">
        <f t="shared" si="81"/>
        <v>0</v>
      </c>
      <c r="AC105" s="1056">
        <f t="shared" si="82"/>
        <v>0</v>
      </c>
      <c r="AD105" s="1056">
        <f t="shared" si="83"/>
        <v>0</v>
      </c>
      <c r="AE105" s="1056">
        <f t="shared" si="84"/>
        <v>0</v>
      </c>
      <c r="AF105" s="1056">
        <f t="shared" si="85"/>
        <v>0</v>
      </c>
      <c r="AU105" s="70" t="s">
        <v>879</v>
      </c>
      <c r="AV105" s="62" t="s">
        <v>119</v>
      </c>
      <c r="AW105" s="343">
        <f>VLOOKUP($AU105,AllHabsSummaryData,5,FALSE)</f>
        <v>0</v>
      </c>
      <c r="AX105" s="343">
        <f>VLOOKUP($AU105,AllHabsSummaryData,10,FALSE)</f>
        <v>0</v>
      </c>
      <c r="AY105" s="343">
        <f>VLOOKUP($AU105,AllHabsSummaryData,15,FALSE)</f>
        <v>0</v>
      </c>
      <c r="AZ105" s="343">
        <f>VLOOKUP($AU105,AllHabsSummaryData,16,FALSE)</f>
        <v>0</v>
      </c>
      <c r="BA105" s="343">
        <f>VLOOKUP($AU105,AllHabsSummaryData,17,FALSE)</f>
        <v>0</v>
      </c>
      <c r="BB105" s="343">
        <f>VLOOKUP($AU105,AllHabsSummaryData,18,FALSE)</f>
        <v>0</v>
      </c>
      <c r="BC105" s="343">
        <f>VLOOKUP($AU105,AllHabsSummaryData,27,FALSE)</f>
        <v>0</v>
      </c>
      <c r="BD105" s="343">
        <f>VLOOKUP($AU105,AllHabsSummaryData,30,FALSE)</f>
        <v>0</v>
      </c>
      <c r="BE105" s="343">
        <f>BB105+BD105</f>
        <v>0</v>
      </c>
      <c r="BF105" s="343" t="str">
        <f>IF(BE105&lt;0,BE105,"")</f>
        <v/>
      </c>
    </row>
    <row r="106" spans="1:32" ht="14">
      <c r="A106" s="72" t="str">
        <f>'G-1 All Habitats'!B107</f>
        <v>Rocky shore - Moderate energy littoral rock</v>
      </c>
      <c r="B106" s="72" t="s">
        <v>548</v>
      </c>
      <c r="C106" s="72" t="str">
        <f>'G-1 All Habitats'!K107</f>
        <v>High</v>
      </c>
      <c r="D106" s="72" t="str">
        <f>'G-1 All Habitats'!M107</f>
        <v>Same habitat required =</v>
      </c>
      <c r="E106" s="1056">
        <f>SUMIF('A-1 On-Site Habitat Baseline'!$AV$11:$AV$258,'G-2 Habitat groups'!A106,'A-1 On-Site Habitat Baseline'!$H$11:$H$258)</f>
        <v>0</v>
      </c>
      <c r="F106" s="1056">
        <f>SUMIF('A-1 On-Site Habitat Baseline'!$AV$11:$AV$258,'G-2 Habitat groups'!A106,'A-1 On-Site Habitat Baseline'!$Q$11:$Q$258)</f>
        <v>0</v>
      </c>
      <c r="G106" s="1056">
        <f>SUMIF('A-1 On-Site Habitat Baseline'!$AV$11:$AV$258,'G-2 Habitat groups'!A106,'A-1 On-Site Habitat Baseline'!$S$11:$S$258)</f>
        <v>0</v>
      </c>
      <c r="H106" s="1056">
        <f>SUMIF('A-1 On-Site Habitat Baseline'!$AV$11:$AV$258,'G-2 Habitat groups'!A106,'A-1 On-Site Habitat Baseline'!$U$11:$U$258)+SUMIF('A-1 On-Site Habitat Baseline'!$AV$11:$AV$258,'G-2 Habitat groups'!A106,'A-1 On-Site Habitat Baseline'!$AT$11:$AT$258)</f>
        <v>0</v>
      </c>
      <c r="I106" s="1056">
        <f>SUMIF('A-1 On-Site Habitat Baseline'!$AV$11:$AV$258,'G-2 Habitat groups'!A106,'A-1 On-Site Habitat Baseline'!$W$11:$W$258)</f>
        <v>0</v>
      </c>
      <c r="J106" s="1056">
        <f>SUMIF('A-1 On-Site Habitat Baseline'!$AV$11:$AV$258,'G-2 Habitat groups'!A106,'A-1 On-Site Habitat Baseline'!$X$11:$X$258)</f>
        <v>0</v>
      </c>
      <c r="K106" s="1056">
        <f>SUMIF('A-2 On-Site Habitat Creation'!$F$11:$F$256,'G-2 Habitat groups'!A106,'A-2 On-Site Habitat Creation'!$G$11:$G$256)</f>
        <v>0</v>
      </c>
      <c r="L106" s="1056">
        <f>SUMIF('A-2 On-Site Habitat Creation'!$F$11:$F$256,'G-2 Habitat groups'!A106,'A-2 On-Site Habitat Creation'!$Y$11:$Y$256)</f>
        <v>0</v>
      </c>
      <c r="M106" s="1056">
        <f>SUMIF('A-3 On-Site Habitat Enhancement'!$S$12:$S$257,'G-2 Habitat groups'!A106,'A-3 On-Site Habitat Enhancement'!$V$12:$V$257)</f>
        <v>0</v>
      </c>
      <c r="N106" s="1056">
        <f>SUMIF('A-3 On-Site Habitat Enhancement'!$S$12:$S$257,'G-2 Habitat groups'!A106,'A-3 On-Site Habitat Enhancement'!$AN$12:$AN$257)</f>
        <v>0</v>
      </c>
      <c r="O106" s="1056">
        <f t="shared" si="76"/>
        <v>0</v>
      </c>
      <c r="P106" s="1056">
        <f t="shared" si="77"/>
        <v>0</v>
      </c>
      <c r="Q106" s="1056">
        <f t="shared" si="78"/>
        <v>0</v>
      </c>
      <c r="R106" s="1056">
        <f t="shared" si="79"/>
        <v>0</v>
      </c>
      <c r="S106" s="1056">
        <f>SUMIF('D-1 Off-Site Habitat Baseline'!$AV$11:$AV$258,'G-2 Habitat groups'!A106,'D-1 Off-Site Habitat Baseline'!$H$11:$H$258)</f>
        <v>0</v>
      </c>
      <c r="T106" s="1056">
        <f>SUMIF('D-1 Off-Site Habitat Baseline'!$AV$11:$AV$258,'G-2 Habitat groups'!A106,'D-1 Off-Site Habitat Baseline'!$T$11:$T$258)</f>
        <v>0</v>
      </c>
      <c r="U106" s="1056">
        <f>SUMIF('D-1 Off-Site Habitat Baseline'!$AV$11:$AV$258,'G-2 Habitat groups'!A106,'D-1 Off-Site Habitat Baseline'!$V$11:$V$258)</f>
        <v>0</v>
      </c>
      <c r="V106" s="1056">
        <f>SUMIF('D-1 Off-Site Habitat Baseline'!$AV$11:$AV$258,'G-2 Habitat groups'!A106,'D-1 Off-Site Habitat Baseline'!$X$11:$X$258)+SUMIF('D-1 Off-Site Habitat Baseline'!$AV$11:$AV$258,'G-2 Habitat groups'!A106,'D-1 Off-Site Habitat Baseline'!$AS$11:$AS$258)</f>
        <v>0</v>
      </c>
      <c r="W106" s="1056">
        <f>SUMIF('D-2 Off-Site Habitat Creation'!$F$9:$F$255,'G-2 Habitat groups'!A106,'D-2 Off-Site Habitat Creation'!$G$9:$G$255)</f>
        <v>0</v>
      </c>
      <c r="X106" s="1056">
        <f>SUMIF('D-2 Off-Site Habitat Creation'!$F$9:$F$255,'G-2 Habitat groups'!A106,'D-2 Off-Site Habitat Creation'!$AB$9:$AB$255)</f>
        <v>0</v>
      </c>
      <c r="Y106" s="1056">
        <f>SUMIF('D-3 Off-Site Habitat Enhancment'!$S$12:$S$491,'G-2 Habitat groups'!A106,'D-3 Off-Site Habitat Enhancment'!$V$12:$V$491)</f>
        <v>0</v>
      </c>
      <c r="Z106" s="1056">
        <f>SUMIF('D-3 Off-Site Habitat Enhancment'!$S$12:$S$491,'G-2 Habitat groups'!A106,'D-3 Off-Site Habitat Enhancment'!$AQ$12:$AQ$491)</f>
        <v>0</v>
      </c>
      <c r="AA106" s="1056">
        <f t="shared" si="80"/>
        <v>0</v>
      </c>
      <c r="AB106" s="1056">
        <f t="shared" si="81"/>
        <v>0</v>
      </c>
      <c r="AC106" s="1056">
        <f t="shared" si="82"/>
        <v>0</v>
      </c>
      <c r="AD106" s="1056">
        <f t="shared" si="83"/>
        <v>0</v>
      </c>
      <c r="AE106" s="1056">
        <f t="shared" si="84"/>
        <v>0</v>
      </c>
      <c r="AF106" s="1056">
        <f t="shared" si="85"/>
        <v>0</v>
      </c>
    </row>
    <row r="107" spans="1:32" ht="14">
      <c r="A107" s="72" t="str">
        <f>'G-1 All Habitats'!B108</f>
        <v>Rocky shore - Moderate energy littoral rock - on peat, clay or chalk</v>
      </c>
      <c r="B107" s="72" t="s">
        <v>548</v>
      </c>
      <c r="C107" s="72" t="str">
        <f>'G-1 All Habitats'!K108</f>
        <v>V.High</v>
      </c>
      <c r="D107" s="72" t="str">
        <f>'G-1 All Habitats'!M108</f>
        <v>Same habitat required – bespoke compensation option ⚠</v>
      </c>
      <c r="E107" s="1056">
        <f>SUMIF('A-1 On-Site Habitat Baseline'!$AV$11:$AV$258,'G-2 Habitat groups'!A107,'A-1 On-Site Habitat Baseline'!$H$11:$H$258)</f>
        <v>0</v>
      </c>
      <c r="F107" s="1056">
        <f>SUMIF('A-1 On-Site Habitat Baseline'!$AV$11:$AV$258,'G-2 Habitat groups'!A107,'A-1 On-Site Habitat Baseline'!$Q$11:$Q$258)</f>
        <v>0</v>
      </c>
      <c r="G107" s="1056">
        <f>SUMIF('A-1 On-Site Habitat Baseline'!$AV$11:$AV$258,'G-2 Habitat groups'!A107,'A-1 On-Site Habitat Baseline'!$S$11:$S$258)</f>
        <v>0</v>
      </c>
      <c r="H107" s="1056">
        <f>SUMIF('A-1 On-Site Habitat Baseline'!$AV$11:$AV$258,'G-2 Habitat groups'!A107,'A-1 On-Site Habitat Baseline'!$U$11:$U$258)+SUMIF('A-1 On-Site Habitat Baseline'!$AV$11:$AV$258,'G-2 Habitat groups'!A107,'A-1 On-Site Habitat Baseline'!$AT$11:$AT$258)</f>
        <v>0</v>
      </c>
      <c r="I107" s="1056">
        <f>SUMIF('A-1 On-Site Habitat Baseline'!$AV$11:$AV$258,'G-2 Habitat groups'!A107,'A-1 On-Site Habitat Baseline'!$W$11:$W$258)</f>
        <v>0</v>
      </c>
      <c r="J107" s="1056">
        <f>SUMIF('A-1 On-Site Habitat Baseline'!$AV$11:$AV$258,'G-2 Habitat groups'!A107,'A-1 On-Site Habitat Baseline'!$X$11:$X$258)</f>
        <v>0</v>
      </c>
      <c r="K107" s="1056">
        <f>SUMIF('A-2 On-Site Habitat Creation'!$F$11:$F$256,'G-2 Habitat groups'!A107,'A-2 On-Site Habitat Creation'!$G$11:$G$256)</f>
        <v>0</v>
      </c>
      <c r="L107" s="1056">
        <f>SUMIF('A-2 On-Site Habitat Creation'!$F$11:$F$256,'G-2 Habitat groups'!A107,'A-2 On-Site Habitat Creation'!$Y$11:$Y$256)</f>
        <v>0</v>
      </c>
      <c r="M107" s="1056">
        <f>SUMIF('A-3 On-Site Habitat Enhancement'!$S$12:$S$257,'G-2 Habitat groups'!A107,'A-3 On-Site Habitat Enhancement'!$V$12:$V$257)</f>
        <v>0</v>
      </c>
      <c r="N107" s="1056">
        <f>SUMIF('A-3 On-Site Habitat Enhancement'!$S$12:$S$257,'G-2 Habitat groups'!A107,'A-3 On-Site Habitat Enhancement'!$AN$12:$AN$257)</f>
        <v>0</v>
      </c>
      <c r="O107" s="1056">
        <f t="shared" si="76"/>
        <v>0</v>
      </c>
      <c r="P107" s="1056">
        <f t="shared" si="77"/>
        <v>0</v>
      </c>
      <c r="Q107" s="1056">
        <f t="shared" si="78"/>
        <v>0</v>
      </c>
      <c r="R107" s="1056">
        <f t="shared" si="79"/>
        <v>0</v>
      </c>
      <c r="S107" s="1056">
        <f>SUMIF('D-1 Off-Site Habitat Baseline'!$AV$11:$AV$258,'G-2 Habitat groups'!A107,'D-1 Off-Site Habitat Baseline'!$H$11:$H$258)</f>
        <v>0</v>
      </c>
      <c r="T107" s="1056">
        <f>SUMIF('D-1 Off-Site Habitat Baseline'!$AV$11:$AV$258,'G-2 Habitat groups'!A107,'D-1 Off-Site Habitat Baseline'!$T$11:$T$258)</f>
        <v>0</v>
      </c>
      <c r="U107" s="1056">
        <f>SUMIF('D-1 Off-Site Habitat Baseline'!$AV$11:$AV$258,'G-2 Habitat groups'!A107,'D-1 Off-Site Habitat Baseline'!$V$11:$V$258)</f>
        <v>0</v>
      </c>
      <c r="V107" s="1056">
        <f>SUMIF('D-1 Off-Site Habitat Baseline'!$AV$11:$AV$258,'G-2 Habitat groups'!A107,'D-1 Off-Site Habitat Baseline'!$X$11:$X$258)+SUMIF('D-1 Off-Site Habitat Baseline'!$AV$11:$AV$258,'G-2 Habitat groups'!A107,'D-1 Off-Site Habitat Baseline'!$AS$11:$AS$258)</f>
        <v>0</v>
      </c>
      <c r="W107" s="1056">
        <f>SUMIF('D-2 Off-Site Habitat Creation'!$F$9:$F$255,'G-2 Habitat groups'!A107,'D-2 Off-Site Habitat Creation'!$G$9:$G$255)</f>
        <v>0</v>
      </c>
      <c r="X107" s="1056">
        <f>SUMIF('D-2 Off-Site Habitat Creation'!$F$9:$F$255,'G-2 Habitat groups'!A107,'D-2 Off-Site Habitat Creation'!$AB$9:$AB$255)</f>
        <v>0</v>
      </c>
      <c r="Y107" s="1056">
        <f>SUMIF('D-3 Off-Site Habitat Enhancment'!$S$12:$S$491,'G-2 Habitat groups'!A107,'D-3 Off-Site Habitat Enhancment'!$V$12:$V$491)</f>
        <v>0</v>
      </c>
      <c r="Z107" s="1056">
        <f>SUMIF('D-3 Off-Site Habitat Enhancment'!$S$12:$S$491,'G-2 Habitat groups'!A107,'D-3 Off-Site Habitat Enhancment'!$AQ$12:$AQ$491)</f>
        <v>0</v>
      </c>
      <c r="AA107" s="1056">
        <f t="shared" si="80"/>
        <v>0</v>
      </c>
      <c r="AB107" s="1056">
        <f t="shared" si="81"/>
        <v>0</v>
      </c>
      <c r="AC107" s="1056">
        <f t="shared" si="82"/>
        <v>0</v>
      </c>
      <c r="AD107" s="1056">
        <f t="shared" si="83"/>
        <v>0</v>
      </c>
      <c r="AE107" s="1056">
        <f t="shared" si="84"/>
        <v>0</v>
      </c>
      <c r="AF107" s="1056">
        <f t="shared" si="85"/>
        <v>0</v>
      </c>
    </row>
    <row r="108" spans="1:32" ht="14">
      <c r="A108" s="72" t="str">
        <f>'G-1 All Habitats'!B109</f>
        <v>Rocky shore - Low energy littoral rock</v>
      </c>
      <c r="B108" s="72" t="s">
        <v>548</v>
      </c>
      <c r="C108" s="72" t="str">
        <f>'G-1 All Habitats'!K109</f>
        <v>High</v>
      </c>
      <c r="D108" s="72" t="str">
        <f>'G-1 All Habitats'!M109</f>
        <v>Same habitat required =</v>
      </c>
      <c r="E108" s="1056">
        <f>SUMIF('A-1 On-Site Habitat Baseline'!$AV$11:$AV$258,'G-2 Habitat groups'!A108,'A-1 On-Site Habitat Baseline'!$H$11:$H$258)</f>
        <v>0</v>
      </c>
      <c r="F108" s="1056">
        <f>SUMIF('A-1 On-Site Habitat Baseline'!$AV$11:$AV$258,'G-2 Habitat groups'!A108,'A-1 On-Site Habitat Baseline'!$Q$11:$Q$258)</f>
        <v>0</v>
      </c>
      <c r="G108" s="1056">
        <f>SUMIF('A-1 On-Site Habitat Baseline'!$AV$11:$AV$258,'G-2 Habitat groups'!A108,'A-1 On-Site Habitat Baseline'!$S$11:$S$258)</f>
        <v>0</v>
      </c>
      <c r="H108" s="1056">
        <f>SUMIF('A-1 On-Site Habitat Baseline'!$AV$11:$AV$258,'G-2 Habitat groups'!A108,'A-1 On-Site Habitat Baseline'!$U$11:$U$258)+SUMIF('A-1 On-Site Habitat Baseline'!$AV$11:$AV$258,'G-2 Habitat groups'!A108,'A-1 On-Site Habitat Baseline'!$AT$11:$AT$258)</f>
        <v>0</v>
      </c>
      <c r="I108" s="1056">
        <f>SUMIF('A-1 On-Site Habitat Baseline'!$AV$11:$AV$258,'G-2 Habitat groups'!A108,'A-1 On-Site Habitat Baseline'!$W$11:$W$258)</f>
        <v>0</v>
      </c>
      <c r="J108" s="1056">
        <f>SUMIF('A-1 On-Site Habitat Baseline'!$AV$11:$AV$258,'G-2 Habitat groups'!A108,'A-1 On-Site Habitat Baseline'!$X$11:$X$258)</f>
        <v>0</v>
      </c>
      <c r="K108" s="1056">
        <f>SUMIF('A-2 On-Site Habitat Creation'!$F$11:$F$256,'G-2 Habitat groups'!A108,'A-2 On-Site Habitat Creation'!$G$11:$G$256)</f>
        <v>0</v>
      </c>
      <c r="L108" s="1056">
        <f>SUMIF('A-2 On-Site Habitat Creation'!$F$11:$F$256,'G-2 Habitat groups'!A108,'A-2 On-Site Habitat Creation'!$Y$11:$Y$256)</f>
        <v>0</v>
      </c>
      <c r="M108" s="1056">
        <f>SUMIF('A-3 On-Site Habitat Enhancement'!$S$12:$S$257,'G-2 Habitat groups'!A108,'A-3 On-Site Habitat Enhancement'!$V$12:$V$257)</f>
        <v>0</v>
      </c>
      <c r="N108" s="1056">
        <f>SUMIF('A-3 On-Site Habitat Enhancement'!$S$12:$S$257,'G-2 Habitat groups'!A108,'A-3 On-Site Habitat Enhancement'!$AN$12:$AN$257)</f>
        <v>0</v>
      </c>
      <c r="O108" s="1056">
        <f t="shared" si="76"/>
        <v>0</v>
      </c>
      <c r="P108" s="1056">
        <f t="shared" si="77"/>
        <v>0</v>
      </c>
      <c r="Q108" s="1056">
        <f t="shared" si="78"/>
        <v>0</v>
      </c>
      <c r="R108" s="1056">
        <f t="shared" si="79"/>
        <v>0</v>
      </c>
      <c r="S108" s="1056">
        <f>SUMIF('D-1 Off-Site Habitat Baseline'!$AV$11:$AV$258,'G-2 Habitat groups'!A108,'D-1 Off-Site Habitat Baseline'!$H$11:$H$258)</f>
        <v>0</v>
      </c>
      <c r="T108" s="1056">
        <f>SUMIF('D-1 Off-Site Habitat Baseline'!$AV$11:$AV$258,'G-2 Habitat groups'!A108,'D-1 Off-Site Habitat Baseline'!$T$11:$T$258)</f>
        <v>0</v>
      </c>
      <c r="U108" s="1056">
        <f>SUMIF('D-1 Off-Site Habitat Baseline'!$AV$11:$AV$258,'G-2 Habitat groups'!A108,'D-1 Off-Site Habitat Baseline'!$V$11:$V$258)</f>
        <v>0</v>
      </c>
      <c r="V108" s="1056">
        <f>SUMIF('D-1 Off-Site Habitat Baseline'!$AV$11:$AV$258,'G-2 Habitat groups'!A108,'D-1 Off-Site Habitat Baseline'!$X$11:$X$258)+SUMIF('D-1 Off-Site Habitat Baseline'!$AV$11:$AV$258,'G-2 Habitat groups'!A108,'D-1 Off-Site Habitat Baseline'!$AS$11:$AS$258)</f>
        <v>0</v>
      </c>
      <c r="W108" s="1056">
        <f>SUMIF('D-2 Off-Site Habitat Creation'!$F$9:$F$255,'G-2 Habitat groups'!A108,'D-2 Off-Site Habitat Creation'!$G$9:$G$255)</f>
        <v>0</v>
      </c>
      <c r="X108" s="1056">
        <f>SUMIF('D-2 Off-Site Habitat Creation'!$F$9:$F$255,'G-2 Habitat groups'!A108,'D-2 Off-Site Habitat Creation'!$AB$9:$AB$255)</f>
        <v>0</v>
      </c>
      <c r="Y108" s="1056">
        <f>SUMIF('D-3 Off-Site Habitat Enhancment'!$S$12:$S$491,'G-2 Habitat groups'!A108,'D-3 Off-Site Habitat Enhancment'!$V$12:$V$491)</f>
        <v>0</v>
      </c>
      <c r="Z108" s="1056">
        <f>SUMIF('D-3 Off-Site Habitat Enhancment'!$S$12:$S$491,'G-2 Habitat groups'!A108,'D-3 Off-Site Habitat Enhancment'!$AQ$12:$AQ$491)</f>
        <v>0</v>
      </c>
      <c r="AA108" s="1056">
        <f t="shared" si="80"/>
        <v>0</v>
      </c>
      <c r="AB108" s="1056">
        <f t="shared" si="81"/>
        <v>0</v>
      </c>
      <c r="AC108" s="1056">
        <f t="shared" si="82"/>
        <v>0</v>
      </c>
      <c r="AD108" s="1056">
        <f t="shared" si="83"/>
        <v>0</v>
      </c>
      <c r="AE108" s="1056">
        <f t="shared" si="84"/>
        <v>0</v>
      </c>
      <c r="AF108" s="1056">
        <f t="shared" si="85"/>
        <v>0</v>
      </c>
    </row>
    <row r="109" spans="1:32" ht="14">
      <c r="A109" s="72" t="str">
        <f>'G-1 All Habitats'!B110</f>
        <v>Rocky shore - Low energy littoral rock - on peat, clay or chalk</v>
      </c>
      <c r="B109" s="72" t="s">
        <v>548</v>
      </c>
      <c r="C109" s="72" t="str">
        <f>'G-1 All Habitats'!K110</f>
        <v>V.High</v>
      </c>
      <c r="D109" s="72" t="str">
        <f>'G-1 All Habitats'!M110</f>
        <v>Same habitat required – bespoke compensation option ⚠</v>
      </c>
      <c r="E109" s="1056">
        <f>SUMIF('A-1 On-Site Habitat Baseline'!$AV$11:$AV$258,'G-2 Habitat groups'!A109,'A-1 On-Site Habitat Baseline'!$H$11:$H$258)</f>
        <v>0</v>
      </c>
      <c r="F109" s="1056">
        <f>SUMIF('A-1 On-Site Habitat Baseline'!$AV$11:$AV$258,'G-2 Habitat groups'!A109,'A-1 On-Site Habitat Baseline'!$Q$11:$Q$258)</f>
        <v>0</v>
      </c>
      <c r="G109" s="1056">
        <f>SUMIF('A-1 On-Site Habitat Baseline'!$AV$11:$AV$258,'G-2 Habitat groups'!A109,'A-1 On-Site Habitat Baseline'!$S$11:$S$258)</f>
        <v>0</v>
      </c>
      <c r="H109" s="1056">
        <f>SUMIF('A-1 On-Site Habitat Baseline'!$AV$11:$AV$258,'G-2 Habitat groups'!A109,'A-1 On-Site Habitat Baseline'!$U$11:$U$258)+SUMIF('A-1 On-Site Habitat Baseline'!$AV$11:$AV$258,'G-2 Habitat groups'!A109,'A-1 On-Site Habitat Baseline'!$AT$11:$AT$258)</f>
        <v>0</v>
      </c>
      <c r="I109" s="1056">
        <f>SUMIF('A-1 On-Site Habitat Baseline'!$AV$11:$AV$258,'G-2 Habitat groups'!A109,'A-1 On-Site Habitat Baseline'!$W$11:$W$258)</f>
        <v>0</v>
      </c>
      <c r="J109" s="1056">
        <f>SUMIF('A-1 On-Site Habitat Baseline'!$AV$11:$AV$258,'G-2 Habitat groups'!A109,'A-1 On-Site Habitat Baseline'!$X$11:$X$258)</f>
        <v>0</v>
      </c>
      <c r="K109" s="1056">
        <f>SUMIF('A-2 On-Site Habitat Creation'!$F$11:$F$256,'G-2 Habitat groups'!A109,'A-2 On-Site Habitat Creation'!$G$11:$G$256)</f>
        <v>0</v>
      </c>
      <c r="L109" s="1056">
        <f>SUMIF('A-2 On-Site Habitat Creation'!$F$11:$F$256,'G-2 Habitat groups'!A109,'A-2 On-Site Habitat Creation'!$Y$11:$Y$256)</f>
        <v>0</v>
      </c>
      <c r="M109" s="1056">
        <f>SUMIF('A-3 On-Site Habitat Enhancement'!$S$12:$S$257,'G-2 Habitat groups'!A109,'A-3 On-Site Habitat Enhancement'!$V$12:$V$257)</f>
        <v>0</v>
      </c>
      <c r="N109" s="1056">
        <f>SUMIF('A-3 On-Site Habitat Enhancement'!$S$12:$S$257,'G-2 Habitat groups'!A109,'A-3 On-Site Habitat Enhancement'!$AN$12:$AN$257)</f>
        <v>0</v>
      </c>
      <c r="O109" s="1056">
        <f t="shared" si="76"/>
        <v>0</v>
      </c>
      <c r="P109" s="1056">
        <f t="shared" si="77"/>
        <v>0</v>
      </c>
      <c r="Q109" s="1056">
        <f t="shared" si="78"/>
        <v>0</v>
      </c>
      <c r="R109" s="1056">
        <f t="shared" si="79"/>
        <v>0</v>
      </c>
      <c r="S109" s="1056">
        <f>SUMIF('D-1 Off-Site Habitat Baseline'!$AV$11:$AV$258,'G-2 Habitat groups'!A109,'D-1 Off-Site Habitat Baseline'!$H$11:$H$258)</f>
        <v>0</v>
      </c>
      <c r="T109" s="1056">
        <f>SUMIF('D-1 Off-Site Habitat Baseline'!$AV$11:$AV$258,'G-2 Habitat groups'!A109,'D-1 Off-Site Habitat Baseline'!$T$11:$T$258)</f>
        <v>0</v>
      </c>
      <c r="U109" s="1056">
        <f>SUMIF('D-1 Off-Site Habitat Baseline'!$AV$11:$AV$258,'G-2 Habitat groups'!A109,'D-1 Off-Site Habitat Baseline'!$V$11:$V$258)</f>
        <v>0</v>
      </c>
      <c r="V109" s="1056">
        <f>SUMIF('D-1 Off-Site Habitat Baseline'!$AV$11:$AV$258,'G-2 Habitat groups'!A109,'D-1 Off-Site Habitat Baseline'!$X$11:$X$258)+SUMIF('D-1 Off-Site Habitat Baseline'!$AV$11:$AV$258,'G-2 Habitat groups'!A109,'D-1 Off-Site Habitat Baseline'!$AS$11:$AS$258)</f>
        <v>0</v>
      </c>
      <c r="W109" s="1056">
        <f>SUMIF('D-2 Off-Site Habitat Creation'!$F$9:$F$255,'G-2 Habitat groups'!A109,'D-2 Off-Site Habitat Creation'!$G$9:$G$255)</f>
        <v>0</v>
      </c>
      <c r="X109" s="1056">
        <f>SUMIF('D-2 Off-Site Habitat Creation'!$F$9:$F$255,'G-2 Habitat groups'!A109,'D-2 Off-Site Habitat Creation'!$AB$9:$AB$255)</f>
        <v>0</v>
      </c>
      <c r="Y109" s="1056">
        <f>SUMIF('D-3 Off-Site Habitat Enhancment'!$S$12:$S$491,'G-2 Habitat groups'!A109,'D-3 Off-Site Habitat Enhancment'!$V$12:$V$491)</f>
        <v>0</v>
      </c>
      <c r="Z109" s="1056">
        <f>SUMIF('D-3 Off-Site Habitat Enhancment'!$S$12:$S$491,'G-2 Habitat groups'!A109,'D-3 Off-Site Habitat Enhancment'!$AQ$12:$AQ$491)</f>
        <v>0</v>
      </c>
      <c r="AA109" s="1056">
        <f t="shared" si="80"/>
        <v>0</v>
      </c>
      <c r="AB109" s="1056">
        <f t="shared" si="81"/>
        <v>0</v>
      </c>
      <c r="AC109" s="1056">
        <f t="shared" si="82"/>
        <v>0</v>
      </c>
      <c r="AD109" s="1056">
        <f t="shared" si="83"/>
        <v>0</v>
      </c>
      <c r="AE109" s="1056">
        <f t="shared" si="84"/>
        <v>0</v>
      </c>
      <c r="AF109" s="1056">
        <f t="shared" si="85"/>
        <v>0</v>
      </c>
    </row>
    <row r="110" spans="1:32" ht="14">
      <c r="A110" s="72" t="str">
        <f>'G-1 All Habitats'!B111</f>
        <v>Rocky shore - Features of littoral rock</v>
      </c>
      <c r="B110" s="72" t="s">
        <v>548</v>
      </c>
      <c r="C110" s="72" t="str">
        <f>'G-1 All Habitats'!K111</f>
        <v>High</v>
      </c>
      <c r="D110" s="72" t="str">
        <f>'G-1 All Habitats'!M111</f>
        <v>Same habitat required =</v>
      </c>
      <c r="E110" s="1056">
        <f>SUMIF('A-1 On-Site Habitat Baseline'!$AV$11:$AV$258,'G-2 Habitat groups'!A110,'A-1 On-Site Habitat Baseline'!$H$11:$H$258)</f>
        <v>0</v>
      </c>
      <c r="F110" s="1056">
        <f>SUMIF('A-1 On-Site Habitat Baseline'!$AV$11:$AV$258,'G-2 Habitat groups'!A110,'A-1 On-Site Habitat Baseline'!$Q$11:$Q$258)</f>
        <v>0</v>
      </c>
      <c r="G110" s="1056">
        <f>SUMIF('A-1 On-Site Habitat Baseline'!$AV$11:$AV$258,'G-2 Habitat groups'!A110,'A-1 On-Site Habitat Baseline'!$S$11:$S$258)</f>
        <v>0</v>
      </c>
      <c r="H110" s="1056">
        <f>SUMIF('A-1 On-Site Habitat Baseline'!$AV$11:$AV$258,'G-2 Habitat groups'!A110,'A-1 On-Site Habitat Baseline'!$U$11:$U$258)+SUMIF('A-1 On-Site Habitat Baseline'!$AV$11:$AV$258,'G-2 Habitat groups'!A110,'A-1 On-Site Habitat Baseline'!$AT$11:$AT$258)</f>
        <v>0</v>
      </c>
      <c r="I110" s="1056">
        <f>SUMIF('A-1 On-Site Habitat Baseline'!$AV$11:$AV$258,'G-2 Habitat groups'!A110,'A-1 On-Site Habitat Baseline'!$W$11:$W$258)</f>
        <v>0</v>
      </c>
      <c r="J110" s="1056">
        <f>SUMIF('A-1 On-Site Habitat Baseline'!$AV$11:$AV$258,'G-2 Habitat groups'!A110,'A-1 On-Site Habitat Baseline'!$X$11:$X$258)</f>
        <v>0</v>
      </c>
      <c r="K110" s="1056">
        <f>SUMIF('A-2 On-Site Habitat Creation'!$F$11:$F$256,'G-2 Habitat groups'!A110,'A-2 On-Site Habitat Creation'!$G$11:$G$256)</f>
        <v>0</v>
      </c>
      <c r="L110" s="1056">
        <f>SUMIF('A-2 On-Site Habitat Creation'!$F$11:$F$256,'G-2 Habitat groups'!A110,'A-2 On-Site Habitat Creation'!$Y$11:$Y$256)</f>
        <v>0</v>
      </c>
      <c r="M110" s="1056">
        <f>SUMIF('A-3 On-Site Habitat Enhancement'!$S$12:$S$257,'G-2 Habitat groups'!A110,'A-3 On-Site Habitat Enhancement'!$V$12:$V$257)</f>
        <v>0</v>
      </c>
      <c r="N110" s="1056">
        <f>SUMIF('A-3 On-Site Habitat Enhancement'!$S$12:$S$257,'G-2 Habitat groups'!A110,'A-3 On-Site Habitat Enhancement'!$AN$12:$AN$257)</f>
        <v>0</v>
      </c>
      <c r="O110" s="1056">
        <f t="shared" si="76"/>
        <v>0</v>
      </c>
      <c r="P110" s="1056">
        <f t="shared" si="77"/>
        <v>0</v>
      </c>
      <c r="Q110" s="1056">
        <f t="shared" si="78"/>
        <v>0</v>
      </c>
      <c r="R110" s="1056">
        <f t="shared" si="79"/>
        <v>0</v>
      </c>
      <c r="S110" s="1056">
        <f>SUMIF('D-1 Off-Site Habitat Baseline'!$AV$11:$AV$258,'G-2 Habitat groups'!A110,'D-1 Off-Site Habitat Baseline'!$H$11:$H$258)</f>
        <v>0</v>
      </c>
      <c r="T110" s="1056">
        <f>SUMIF('D-1 Off-Site Habitat Baseline'!$AV$11:$AV$258,'G-2 Habitat groups'!A110,'D-1 Off-Site Habitat Baseline'!$T$11:$T$258)</f>
        <v>0</v>
      </c>
      <c r="U110" s="1056">
        <f>SUMIF('D-1 Off-Site Habitat Baseline'!$AV$11:$AV$258,'G-2 Habitat groups'!A110,'D-1 Off-Site Habitat Baseline'!$V$11:$V$258)</f>
        <v>0</v>
      </c>
      <c r="V110" s="1056">
        <f>SUMIF('D-1 Off-Site Habitat Baseline'!$AV$11:$AV$258,'G-2 Habitat groups'!A110,'D-1 Off-Site Habitat Baseline'!$X$11:$X$258)+SUMIF('D-1 Off-Site Habitat Baseline'!$AV$11:$AV$258,'G-2 Habitat groups'!A110,'D-1 Off-Site Habitat Baseline'!$AS$11:$AS$258)</f>
        <v>0</v>
      </c>
      <c r="W110" s="1056">
        <f>SUMIF('D-2 Off-Site Habitat Creation'!$F$9:$F$255,'G-2 Habitat groups'!A110,'D-2 Off-Site Habitat Creation'!$G$9:$G$255)</f>
        <v>0</v>
      </c>
      <c r="X110" s="1056">
        <f>SUMIF('D-2 Off-Site Habitat Creation'!$F$9:$F$255,'G-2 Habitat groups'!A110,'D-2 Off-Site Habitat Creation'!$AB$9:$AB$255)</f>
        <v>0</v>
      </c>
      <c r="Y110" s="1056">
        <f>SUMIF('D-3 Off-Site Habitat Enhancment'!$S$12:$S$491,'G-2 Habitat groups'!A110,'D-3 Off-Site Habitat Enhancment'!$V$12:$V$491)</f>
        <v>0</v>
      </c>
      <c r="Z110" s="1056">
        <f>SUMIF('D-3 Off-Site Habitat Enhancment'!$S$12:$S$491,'G-2 Habitat groups'!A110,'D-3 Off-Site Habitat Enhancment'!$AQ$12:$AQ$491)</f>
        <v>0</v>
      </c>
      <c r="AA110" s="1056">
        <f t="shared" si="80"/>
        <v>0</v>
      </c>
      <c r="AB110" s="1056">
        <f t="shared" si="81"/>
        <v>0</v>
      </c>
      <c r="AC110" s="1056">
        <f t="shared" si="82"/>
        <v>0</v>
      </c>
      <c r="AD110" s="1056">
        <f t="shared" si="83"/>
        <v>0</v>
      </c>
      <c r="AE110" s="1056">
        <f t="shared" si="84"/>
        <v>0</v>
      </c>
      <c r="AF110" s="1056">
        <f t="shared" si="85"/>
        <v>0</v>
      </c>
    </row>
    <row r="111" spans="1:47" ht="35">
      <c r="A111" s="72" t="str">
        <f>'G-1 All Habitats'!B112</f>
        <v>Rocky shore - Features of littoral rock - on peat, clay or chalk</v>
      </c>
      <c r="B111" s="72" t="s">
        <v>548</v>
      </c>
      <c r="C111" s="72" t="str">
        <f>'G-1 All Habitats'!K112</f>
        <v>V.High</v>
      </c>
      <c r="D111" s="72" t="str">
        <f>'G-1 All Habitats'!M112</f>
        <v>Same habitat required – bespoke compensation option ⚠</v>
      </c>
      <c r="E111" s="1056">
        <f>SUMIF('A-1 On-Site Habitat Baseline'!$AV$11:$AV$258,'G-2 Habitat groups'!A111,'A-1 On-Site Habitat Baseline'!$H$11:$H$258)</f>
        <v>0</v>
      </c>
      <c r="F111" s="1056">
        <f>SUMIF('A-1 On-Site Habitat Baseline'!$AV$11:$AV$258,'G-2 Habitat groups'!A111,'A-1 On-Site Habitat Baseline'!$Q$11:$Q$258)</f>
        <v>0</v>
      </c>
      <c r="G111" s="1056">
        <f>SUMIF('A-1 On-Site Habitat Baseline'!$AV$11:$AV$258,'G-2 Habitat groups'!A111,'A-1 On-Site Habitat Baseline'!$S$11:$S$258)</f>
        <v>0</v>
      </c>
      <c r="H111" s="1056">
        <f>SUMIF('A-1 On-Site Habitat Baseline'!$AV$11:$AV$258,'G-2 Habitat groups'!A111,'A-1 On-Site Habitat Baseline'!$U$11:$U$258)+SUMIF('A-1 On-Site Habitat Baseline'!$AV$11:$AV$258,'G-2 Habitat groups'!A111,'A-1 On-Site Habitat Baseline'!$AT$11:$AT$258)</f>
        <v>0</v>
      </c>
      <c r="I111" s="1056">
        <f>SUMIF('A-1 On-Site Habitat Baseline'!$AV$11:$AV$258,'G-2 Habitat groups'!A111,'A-1 On-Site Habitat Baseline'!$W$11:$W$258)</f>
        <v>0</v>
      </c>
      <c r="J111" s="1056">
        <f>SUMIF('A-1 On-Site Habitat Baseline'!$AV$11:$AV$258,'G-2 Habitat groups'!A111,'A-1 On-Site Habitat Baseline'!$X$11:$X$258)</f>
        <v>0</v>
      </c>
      <c r="K111" s="1056">
        <f>SUMIF('A-2 On-Site Habitat Creation'!$F$11:$F$256,'G-2 Habitat groups'!A111,'A-2 On-Site Habitat Creation'!$G$11:$G$256)</f>
        <v>0</v>
      </c>
      <c r="L111" s="1056">
        <f>SUMIF('A-2 On-Site Habitat Creation'!$F$11:$F$256,'G-2 Habitat groups'!A111,'A-2 On-Site Habitat Creation'!$Y$11:$Y$256)</f>
        <v>0</v>
      </c>
      <c r="M111" s="1056">
        <f>SUMIF('A-3 On-Site Habitat Enhancement'!$S$12:$S$257,'G-2 Habitat groups'!A111,'A-3 On-Site Habitat Enhancement'!$V$12:$V$257)</f>
        <v>0</v>
      </c>
      <c r="N111" s="1056">
        <f>SUMIF('A-3 On-Site Habitat Enhancement'!$S$12:$S$257,'G-2 Habitat groups'!A111,'A-3 On-Site Habitat Enhancement'!$AN$12:$AN$257)</f>
        <v>0</v>
      </c>
      <c r="O111" s="1056">
        <f t="shared" si="76"/>
        <v>0</v>
      </c>
      <c r="P111" s="1056">
        <f t="shared" si="77"/>
        <v>0</v>
      </c>
      <c r="Q111" s="1056">
        <f t="shared" si="78"/>
        <v>0</v>
      </c>
      <c r="R111" s="1056">
        <f t="shared" si="79"/>
        <v>0</v>
      </c>
      <c r="S111" s="1056">
        <f>SUMIF('D-1 Off-Site Habitat Baseline'!$AV$11:$AV$258,'G-2 Habitat groups'!A111,'D-1 Off-Site Habitat Baseline'!$H$11:$H$258)</f>
        <v>0</v>
      </c>
      <c r="T111" s="1056">
        <f>SUMIF('D-1 Off-Site Habitat Baseline'!$AV$11:$AV$258,'G-2 Habitat groups'!A111,'D-1 Off-Site Habitat Baseline'!$T$11:$T$258)</f>
        <v>0</v>
      </c>
      <c r="U111" s="1056">
        <f>SUMIF('D-1 Off-Site Habitat Baseline'!$AV$11:$AV$258,'G-2 Habitat groups'!A111,'D-1 Off-Site Habitat Baseline'!$V$11:$V$258)</f>
        <v>0</v>
      </c>
      <c r="V111" s="1056">
        <f>SUMIF('D-1 Off-Site Habitat Baseline'!$AV$11:$AV$258,'G-2 Habitat groups'!A111,'D-1 Off-Site Habitat Baseline'!$X$11:$X$258)+SUMIF('D-1 Off-Site Habitat Baseline'!$AV$11:$AV$258,'G-2 Habitat groups'!A111,'D-1 Off-Site Habitat Baseline'!$AS$11:$AS$258)</f>
        <v>0</v>
      </c>
      <c r="W111" s="1056">
        <f>SUMIF('D-2 Off-Site Habitat Creation'!$F$9:$F$255,'G-2 Habitat groups'!A111,'D-2 Off-Site Habitat Creation'!$G$9:$G$255)</f>
        <v>0</v>
      </c>
      <c r="X111" s="1056">
        <f>SUMIF('D-2 Off-Site Habitat Creation'!$F$9:$F$255,'G-2 Habitat groups'!A111,'D-2 Off-Site Habitat Creation'!$AB$9:$AB$255)</f>
        <v>0</v>
      </c>
      <c r="Y111" s="1056">
        <f>SUMIF('D-3 Off-Site Habitat Enhancment'!$S$12:$S$491,'G-2 Habitat groups'!A111,'D-3 Off-Site Habitat Enhancment'!$V$12:$V$491)</f>
        <v>0</v>
      </c>
      <c r="Z111" s="1056">
        <f>SUMIF('D-3 Off-Site Habitat Enhancment'!$S$12:$S$491,'G-2 Habitat groups'!A111,'D-3 Off-Site Habitat Enhancment'!$AQ$12:$AQ$491)</f>
        <v>0</v>
      </c>
      <c r="AA111" s="1056">
        <f t="shared" si="80"/>
        <v>0</v>
      </c>
      <c r="AB111" s="1056">
        <f t="shared" si="81"/>
        <v>0</v>
      </c>
      <c r="AC111" s="1056">
        <f t="shared" si="82"/>
        <v>0</v>
      </c>
      <c r="AD111" s="1056">
        <f t="shared" si="83"/>
        <v>0</v>
      </c>
      <c r="AE111" s="1056">
        <f t="shared" si="84"/>
        <v>0</v>
      </c>
      <c r="AF111" s="1056">
        <f t="shared" si="85"/>
        <v>0</v>
      </c>
      <c r="AU111" s="223" t="s">
        <v>197</v>
      </c>
    </row>
    <row r="112" spans="1:59" ht="33" customHeight="1">
      <c r="A112" s="72" t="str">
        <f>'G-1 All Habitats'!B115</f>
        <v>Intertidal sediment - Littoral coarse sediment</v>
      </c>
      <c r="B112" s="72" t="s">
        <v>113</v>
      </c>
      <c r="C112" s="72" t="str">
        <f>'G-1 All Habitats'!K115</f>
        <v>Medium</v>
      </c>
      <c r="D112" s="72" t="str">
        <f>'G-1 All Habitats'!M115</f>
        <v>Same broad habitat or a higher distinctiveness habitat required (≥)</v>
      </c>
      <c r="E112" s="1056">
        <f>SUMIF('A-1 On-Site Habitat Baseline'!$AV$11:$AV$258,'G-2 Habitat groups'!A112,'A-1 On-Site Habitat Baseline'!$H$11:$H$258)</f>
        <v>0</v>
      </c>
      <c r="F112" s="1056">
        <f>SUMIF('A-1 On-Site Habitat Baseline'!$AV$11:$AV$258,'G-2 Habitat groups'!A112,'A-1 On-Site Habitat Baseline'!$Q$11:$Q$258)</f>
        <v>0</v>
      </c>
      <c r="G112" s="1056">
        <f>SUMIF('A-1 On-Site Habitat Baseline'!$AV$11:$AV$258,'G-2 Habitat groups'!A112,'A-1 On-Site Habitat Baseline'!$S$11:$S$258)</f>
        <v>0</v>
      </c>
      <c r="H112" s="1056">
        <f>SUMIF('A-1 On-Site Habitat Baseline'!$AV$11:$AV$258,'G-2 Habitat groups'!A112,'A-1 On-Site Habitat Baseline'!$U$11:$U$258)+SUMIF('A-1 On-Site Habitat Baseline'!$AV$11:$AV$258,'G-2 Habitat groups'!A112,'A-1 On-Site Habitat Baseline'!$AT$11:$AT$258)</f>
        <v>0</v>
      </c>
      <c r="I112" s="1056">
        <f>SUMIF('A-1 On-Site Habitat Baseline'!$AV$11:$AV$258,'G-2 Habitat groups'!A112,'A-1 On-Site Habitat Baseline'!$W$11:$W$258)</f>
        <v>0</v>
      </c>
      <c r="J112" s="1056">
        <f>SUMIF('A-1 On-Site Habitat Baseline'!$AV$11:$AV$258,'G-2 Habitat groups'!A112,'A-1 On-Site Habitat Baseline'!$X$11:$X$258)</f>
        <v>0</v>
      </c>
      <c r="K112" s="1056">
        <f>SUMIF('A-2 On-Site Habitat Creation'!$F$11:$F$256,'G-2 Habitat groups'!A112,'A-2 On-Site Habitat Creation'!$G$11:$G$256)</f>
        <v>0</v>
      </c>
      <c r="L112" s="1056">
        <f>SUMIF('A-2 On-Site Habitat Creation'!$F$11:$F$256,'G-2 Habitat groups'!A112,'A-2 On-Site Habitat Creation'!$Y$11:$Y$256)</f>
        <v>0</v>
      </c>
      <c r="M112" s="1056">
        <f>SUMIF('A-3 On-Site Habitat Enhancement'!$S$12:$S$257,'G-2 Habitat groups'!A112,'A-3 On-Site Habitat Enhancement'!$V$12:$V$257)</f>
        <v>0</v>
      </c>
      <c r="N112" s="1056">
        <f>SUMIF('A-3 On-Site Habitat Enhancement'!$S$12:$S$257,'G-2 Habitat groups'!A112,'A-3 On-Site Habitat Enhancement'!$AN$12:$AN$257)</f>
        <v>0</v>
      </c>
      <c r="O112" s="1056">
        <f t="shared" si="76"/>
        <v>0</v>
      </c>
      <c r="P112" s="1056">
        <f t="shared" si="77"/>
        <v>0</v>
      </c>
      <c r="Q112" s="1056">
        <f t="shared" si="78"/>
        <v>0</v>
      </c>
      <c r="R112" s="1056">
        <f t="shared" si="79"/>
        <v>0</v>
      </c>
      <c r="S112" s="1056">
        <f>SUMIF('D-1 Off-Site Habitat Baseline'!$AV$11:$AV$258,'G-2 Habitat groups'!A112,'D-1 Off-Site Habitat Baseline'!$H$11:$H$258)</f>
        <v>0</v>
      </c>
      <c r="T112" s="1056">
        <f>SUMIF('D-1 Off-Site Habitat Baseline'!$AV$11:$AV$258,'G-2 Habitat groups'!A112,'D-1 Off-Site Habitat Baseline'!$T$11:$T$258)</f>
        <v>0</v>
      </c>
      <c r="U112" s="1056">
        <f>SUMIF('D-1 Off-Site Habitat Baseline'!$AV$11:$AV$258,'G-2 Habitat groups'!A112,'D-1 Off-Site Habitat Baseline'!$V$11:$V$258)</f>
        <v>0</v>
      </c>
      <c r="V112" s="1056">
        <f>SUMIF('D-1 Off-Site Habitat Baseline'!$AV$11:$AV$258,'G-2 Habitat groups'!A112,'D-1 Off-Site Habitat Baseline'!$X$11:$X$258)+SUMIF('D-1 Off-Site Habitat Baseline'!$AV$11:$AV$258,'G-2 Habitat groups'!A112,'D-1 Off-Site Habitat Baseline'!$AS$11:$AS$258)</f>
        <v>0</v>
      </c>
      <c r="W112" s="1056">
        <f>SUMIF('D-2 Off-Site Habitat Creation'!$F$9:$F$255,'G-2 Habitat groups'!A112,'D-2 Off-Site Habitat Creation'!$G$9:$G$255)</f>
        <v>0</v>
      </c>
      <c r="X112" s="1056">
        <f>SUMIF('D-2 Off-Site Habitat Creation'!$F$9:$F$255,'G-2 Habitat groups'!A112,'D-2 Off-Site Habitat Creation'!$AB$9:$AB$255)</f>
        <v>0</v>
      </c>
      <c r="Y112" s="1056">
        <f>SUMIF('D-3 Off-Site Habitat Enhancment'!$S$12:$S$491,'G-2 Habitat groups'!A112,'D-3 Off-Site Habitat Enhancment'!$V$12:$V$491)</f>
        <v>0</v>
      </c>
      <c r="Z112" s="1056">
        <f>SUMIF('D-3 Off-Site Habitat Enhancment'!$S$12:$S$491,'G-2 Habitat groups'!A112,'D-3 Off-Site Habitat Enhancment'!$AQ$12:$AQ$491)</f>
        <v>0</v>
      </c>
      <c r="AA112" s="1056">
        <f t="shared" si="80"/>
        <v>0</v>
      </c>
      <c r="AB112" s="1056">
        <f t="shared" si="81"/>
        <v>0</v>
      </c>
      <c r="AC112" s="1056">
        <f t="shared" si="82"/>
        <v>0</v>
      </c>
      <c r="AD112" s="1056">
        <f t="shared" si="83"/>
        <v>0</v>
      </c>
      <c r="AE112" s="1056">
        <f t="shared" si="84"/>
        <v>0</v>
      </c>
      <c r="AF112" s="1056">
        <f t="shared" si="85"/>
        <v>0</v>
      </c>
      <c r="AU112" s="81" t="s">
        <v>520</v>
      </c>
      <c r="AV112" s="84" t="s">
        <v>201</v>
      </c>
      <c r="AW112" s="85" t="s">
        <v>1088</v>
      </c>
      <c r="AX112" s="85" t="s">
        <v>1089</v>
      </c>
      <c r="AY112" s="85" t="s">
        <v>1090</v>
      </c>
      <c r="AZ112" s="85" t="s">
        <v>1091</v>
      </c>
      <c r="BA112" s="85" t="s">
        <v>1092</v>
      </c>
      <c r="BB112" s="85" t="s">
        <v>1093</v>
      </c>
      <c r="BC112" s="85" t="s">
        <v>1094</v>
      </c>
      <c r="BD112" s="85" t="s">
        <v>1095</v>
      </c>
      <c r="BE112" s="85" t="s">
        <v>1096</v>
      </c>
      <c r="BF112" s="85" t="s">
        <v>1104</v>
      </c>
      <c r="BG112" s="31"/>
    </row>
    <row r="113" spans="1:58" ht="14">
      <c r="A113" s="72" t="str">
        <f>'G-1 All Habitats'!B116</f>
        <v>Intertidal sediment - Littoral mud</v>
      </c>
      <c r="B113" s="72" t="s">
        <v>113</v>
      </c>
      <c r="C113" s="72" t="str">
        <f>'G-1 All Habitats'!K116</f>
        <v>High</v>
      </c>
      <c r="D113" s="72" t="str">
        <f>'G-1 All Habitats'!M116</f>
        <v>Same habitat required =</v>
      </c>
      <c r="E113" s="1056">
        <f>SUMIF('A-1 On-Site Habitat Baseline'!$AV$11:$AV$258,'G-2 Habitat groups'!A113,'A-1 On-Site Habitat Baseline'!$H$11:$H$258)</f>
        <v>0</v>
      </c>
      <c r="F113" s="1056">
        <f>SUMIF('A-1 On-Site Habitat Baseline'!$AV$11:$AV$258,'G-2 Habitat groups'!A113,'A-1 On-Site Habitat Baseline'!$Q$11:$Q$258)</f>
        <v>0</v>
      </c>
      <c r="G113" s="1056">
        <f>SUMIF('A-1 On-Site Habitat Baseline'!$AV$11:$AV$258,'G-2 Habitat groups'!A113,'A-1 On-Site Habitat Baseline'!$S$11:$S$258)</f>
        <v>0</v>
      </c>
      <c r="H113" s="1056">
        <f>SUMIF('A-1 On-Site Habitat Baseline'!$AV$11:$AV$258,'G-2 Habitat groups'!A113,'A-1 On-Site Habitat Baseline'!$U$11:$U$258)+SUMIF('A-1 On-Site Habitat Baseline'!$AV$11:$AV$258,'G-2 Habitat groups'!A113,'A-1 On-Site Habitat Baseline'!$AT$11:$AT$258)</f>
        <v>0</v>
      </c>
      <c r="I113" s="1056">
        <f>SUMIF('A-1 On-Site Habitat Baseline'!$AV$11:$AV$258,'G-2 Habitat groups'!A113,'A-1 On-Site Habitat Baseline'!$W$11:$W$258)</f>
        <v>0</v>
      </c>
      <c r="J113" s="1056">
        <f>SUMIF('A-1 On-Site Habitat Baseline'!$AV$11:$AV$258,'G-2 Habitat groups'!A113,'A-1 On-Site Habitat Baseline'!$X$11:$X$258)</f>
        <v>0</v>
      </c>
      <c r="K113" s="1056">
        <f>SUMIF('A-2 On-Site Habitat Creation'!$F$11:$F$256,'G-2 Habitat groups'!A113,'A-2 On-Site Habitat Creation'!$G$11:$G$256)</f>
        <v>0</v>
      </c>
      <c r="L113" s="1056">
        <f>SUMIF('A-2 On-Site Habitat Creation'!$F$11:$F$256,'G-2 Habitat groups'!A113,'A-2 On-Site Habitat Creation'!$Y$11:$Y$256)</f>
        <v>0</v>
      </c>
      <c r="M113" s="1056">
        <f>SUMIF('A-3 On-Site Habitat Enhancement'!$S$12:$S$257,'G-2 Habitat groups'!A113,'A-3 On-Site Habitat Enhancement'!$V$12:$V$257)</f>
        <v>0</v>
      </c>
      <c r="N113" s="1056">
        <f>SUMIF('A-3 On-Site Habitat Enhancement'!$S$12:$S$257,'G-2 Habitat groups'!A113,'A-3 On-Site Habitat Enhancement'!$AN$12:$AN$257)</f>
        <v>0</v>
      </c>
      <c r="O113" s="1056">
        <f t="shared" si="76"/>
        <v>0</v>
      </c>
      <c r="P113" s="1056">
        <f t="shared" si="77"/>
        <v>0</v>
      </c>
      <c r="Q113" s="1056">
        <f t="shared" si="78"/>
        <v>0</v>
      </c>
      <c r="R113" s="1056">
        <f t="shared" si="79"/>
        <v>0</v>
      </c>
      <c r="S113" s="1056">
        <f>SUMIF('D-1 Off-Site Habitat Baseline'!$AV$11:$AV$258,'G-2 Habitat groups'!A113,'D-1 Off-Site Habitat Baseline'!$H$11:$H$258)</f>
        <v>0</v>
      </c>
      <c r="T113" s="1056">
        <f>SUMIF('D-1 Off-Site Habitat Baseline'!$AV$11:$AV$258,'G-2 Habitat groups'!A113,'D-1 Off-Site Habitat Baseline'!$T$11:$T$258)</f>
        <v>0</v>
      </c>
      <c r="U113" s="1056">
        <f>SUMIF('D-1 Off-Site Habitat Baseline'!$AV$11:$AV$258,'G-2 Habitat groups'!A113,'D-1 Off-Site Habitat Baseline'!$V$11:$V$258)</f>
        <v>0</v>
      </c>
      <c r="V113" s="1056">
        <f>SUMIF('D-1 Off-Site Habitat Baseline'!$AV$11:$AV$258,'G-2 Habitat groups'!A113,'D-1 Off-Site Habitat Baseline'!$X$11:$X$258)+SUMIF('D-1 Off-Site Habitat Baseline'!$AV$11:$AV$258,'G-2 Habitat groups'!A113,'D-1 Off-Site Habitat Baseline'!$AS$11:$AS$258)</f>
        <v>0</v>
      </c>
      <c r="W113" s="1056">
        <f>SUMIF('D-2 Off-Site Habitat Creation'!$F$9:$F$255,'G-2 Habitat groups'!A113,'D-2 Off-Site Habitat Creation'!$G$9:$G$255)</f>
        <v>0</v>
      </c>
      <c r="X113" s="1056">
        <f>SUMIF('D-2 Off-Site Habitat Creation'!$F$9:$F$255,'G-2 Habitat groups'!A113,'D-2 Off-Site Habitat Creation'!$AB$9:$AB$255)</f>
        <v>0</v>
      </c>
      <c r="Y113" s="1056">
        <f>SUMIF('D-3 Off-Site Habitat Enhancment'!$S$12:$S$491,'G-2 Habitat groups'!A113,'D-3 Off-Site Habitat Enhancment'!$V$12:$V$491)</f>
        <v>0</v>
      </c>
      <c r="Z113" s="1056">
        <f>SUMIF('D-3 Off-Site Habitat Enhancment'!$S$12:$S$491,'G-2 Habitat groups'!A113,'D-3 Off-Site Habitat Enhancment'!$AQ$12:$AQ$491)</f>
        <v>0</v>
      </c>
      <c r="AA113" s="1056">
        <f t="shared" si="80"/>
        <v>0</v>
      </c>
      <c r="AB113" s="1056">
        <f t="shared" si="81"/>
        <v>0</v>
      </c>
      <c r="AC113" s="1056">
        <f t="shared" si="82"/>
        <v>0</v>
      </c>
      <c r="AD113" s="1056">
        <f t="shared" si="83"/>
        <v>0</v>
      </c>
      <c r="AE113" s="1056">
        <f t="shared" si="84"/>
        <v>0</v>
      </c>
      <c r="AF113" s="1056">
        <f t="shared" si="85"/>
        <v>0</v>
      </c>
      <c r="AU113" s="70" t="s">
        <v>664</v>
      </c>
      <c r="AV113" s="62" t="s">
        <v>105</v>
      </c>
      <c r="AW113" s="274">
        <f t="shared" si="86" ref="AW113:AW121">VLOOKUP($AU113,AllHabsSummaryData,5,FALSE)</f>
        <v>0</v>
      </c>
      <c r="AX113" s="274">
        <f>VLOOKUP($AU113,AllHabsSummaryData,10,FALSE)</f>
        <v>0</v>
      </c>
      <c r="AY113" s="274">
        <f>VLOOKUP($AU113,AllHabsSummaryData,15,FALSE)</f>
        <v>0</v>
      </c>
      <c r="AZ113" s="274">
        <f>VLOOKUP($AU113,AllHabsSummaryData,16,FALSE)</f>
        <v>0</v>
      </c>
      <c r="BA113" s="274">
        <f>VLOOKUP($AU113,AllHabsSummaryData,17,FALSE)</f>
        <v>0</v>
      </c>
      <c r="BB113" s="274">
        <f>VLOOKUP($AU113,AllHabsSummaryData,18,FALSE)</f>
        <v>0</v>
      </c>
      <c r="BC113" s="274">
        <f>VLOOKUP($AU113,AllHabsSummaryData,27,FALSE)</f>
        <v>0</v>
      </c>
      <c r="BD113" s="274">
        <f>VLOOKUP($AU113,AllHabsSummaryData,30,FALSE)</f>
        <v>0</v>
      </c>
      <c r="BE113" s="274">
        <f t="shared" si="87" ref="BE113:BE151">BB113+BD113</f>
        <v>0</v>
      </c>
      <c r="BF113" s="274" t="str">
        <f t="shared" si="88" ref="BF113:BF151">IF(BE113&lt;0,BE113,"")</f>
        <v/>
      </c>
    </row>
    <row r="114" spans="1:58" ht="14">
      <c r="A114" s="72" t="str">
        <f>'G-1 All Habitats'!B117</f>
        <v>Intertidal sediment - Littoral mixed sediments</v>
      </c>
      <c r="B114" s="72" t="s">
        <v>113</v>
      </c>
      <c r="C114" s="72" t="str">
        <f>'G-1 All Habitats'!K117</f>
        <v>High</v>
      </c>
      <c r="D114" s="72" t="str">
        <f>'G-1 All Habitats'!M117</f>
        <v>Same habitat required =</v>
      </c>
      <c r="E114" s="1056">
        <f>SUMIF('A-1 On-Site Habitat Baseline'!$AV$11:$AV$258,'G-2 Habitat groups'!A114,'A-1 On-Site Habitat Baseline'!$H$11:$H$258)</f>
        <v>0</v>
      </c>
      <c r="F114" s="1056">
        <f>SUMIF('A-1 On-Site Habitat Baseline'!$AV$11:$AV$258,'G-2 Habitat groups'!A114,'A-1 On-Site Habitat Baseline'!$Q$11:$Q$258)</f>
        <v>0</v>
      </c>
      <c r="G114" s="1056">
        <f>SUMIF('A-1 On-Site Habitat Baseline'!$AV$11:$AV$258,'G-2 Habitat groups'!A114,'A-1 On-Site Habitat Baseline'!$S$11:$S$258)</f>
        <v>0</v>
      </c>
      <c r="H114" s="1056">
        <f>SUMIF('A-1 On-Site Habitat Baseline'!$AV$11:$AV$258,'G-2 Habitat groups'!A114,'A-1 On-Site Habitat Baseline'!$U$11:$U$258)+SUMIF('A-1 On-Site Habitat Baseline'!$AV$11:$AV$258,'G-2 Habitat groups'!A114,'A-1 On-Site Habitat Baseline'!$AT$11:$AT$258)</f>
        <v>0</v>
      </c>
      <c r="I114" s="1056">
        <f>SUMIF('A-1 On-Site Habitat Baseline'!$AV$11:$AV$258,'G-2 Habitat groups'!A114,'A-1 On-Site Habitat Baseline'!$W$11:$W$258)</f>
        <v>0</v>
      </c>
      <c r="J114" s="1056">
        <f>SUMIF('A-1 On-Site Habitat Baseline'!$AV$11:$AV$258,'G-2 Habitat groups'!A114,'A-1 On-Site Habitat Baseline'!$X$11:$X$258)</f>
        <v>0</v>
      </c>
      <c r="K114" s="1056">
        <f>SUMIF('A-2 On-Site Habitat Creation'!$F$11:$F$256,'G-2 Habitat groups'!A114,'A-2 On-Site Habitat Creation'!$G$11:$G$256)</f>
        <v>0</v>
      </c>
      <c r="L114" s="1056">
        <f>SUMIF('A-2 On-Site Habitat Creation'!$F$11:$F$256,'G-2 Habitat groups'!A114,'A-2 On-Site Habitat Creation'!$Y$11:$Y$256)</f>
        <v>0</v>
      </c>
      <c r="M114" s="1056">
        <f>SUMIF('A-3 On-Site Habitat Enhancement'!$S$12:$S$257,'G-2 Habitat groups'!A114,'A-3 On-Site Habitat Enhancement'!$V$12:$V$257)</f>
        <v>0</v>
      </c>
      <c r="N114" s="1056">
        <f>SUMIF('A-3 On-Site Habitat Enhancement'!$S$12:$S$257,'G-2 Habitat groups'!A114,'A-3 On-Site Habitat Enhancement'!$AN$12:$AN$257)</f>
        <v>0</v>
      </c>
      <c r="O114" s="1056">
        <f t="shared" si="76"/>
        <v>0</v>
      </c>
      <c r="P114" s="1056">
        <f t="shared" si="77"/>
        <v>0</v>
      </c>
      <c r="Q114" s="1056">
        <f t="shared" si="78"/>
        <v>0</v>
      </c>
      <c r="R114" s="1056">
        <f t="shared" si="79"/>
        <v>0</v>
      </c>
      <c r="S114" s="1056">
        <f>SUMIF('D-1 Off-Site Habitat Baseline'!$AV$11:$AV$258,'G-2 Habitat groups'!A114,'D-1 Off-Site Habitat Baseline'!$H$11:$H$258)</f>
        <v>0</v>
      </c>
      <c r="T114" s="1056">
        <f>SUMIF('D-1 Off-Site Habitat Baseline'!$AV$11:$AV$258,'G-2 Habitat groups'!A114,'D-1 Off-Site Habitat Baseline'!$T$11:$T$258)</f>
        <v>0</v>
      </c>
      <c r="U114" s="1056">
        <f>SUMIF('D-1 Off-Site Habitat Baseline'!$AV$11:$AV$258,'G-2 Habitat groups'!A114,'D-1 Off-Site Habitat Baseline'!$V$11:$V$258)</f>
        <v>0</v>
      </c>
      <c r="V114" s="1056">
        <f>SUMIF('D-1 Off-Site Habitat Baseline'!$AV$11:$AV$258,'G-2 Habitat groups'!A114,'D-1 Off-Site Habitat Baseline'!$X$11:$X$258)+SUMIF('D-1 Off-Site Habitat Baseline'!$AV$11:$AV$258,'G-2 Habitat groups'!A114,'D-1 Off-Site Habitat Baseline'!$AS$11:$AS$258)</f>
        <v>0</v>
      </c>
      <c r="W114" s="1056">
        <f>SUMIF('D-2 Off-Site Habitat Creation'!$F$9:$F$255,'G-2 Habitat groups'!A114,'D-2 Off-Site Habitat Creation'!$G$9:$G$255)</f>
        <v>0</v>
      </c>
      <c r="X114" s="1056">
        <f>SUMIF('D-2 Off-Site Habitat Creation'!$F$9:$F$255,'G-2 Habitat groups'!A114,'D-2 Off-Site Habitat Creation'!$AB$9:$AB$255)</f>
        <v>0</v>
      </c>
      <c r="Y114" s="1056">
        <f>SUMIF('D-3 Off-Site Habitat Enhancment'!$S$12:$S$491,'G-2 Habitat groups'!A114,'D-3 Off-Site Habitat Enhancment'!$V$12:$V$491)</f>
        <v>0</v>
      </c>
      <c r="Z114" s="1056">
        <f>SUMIF('D-3 Off-Site Habitat Enhancment'!$S$12:$S$491,'G-2 Habitat groups'!A114,'D-3 Off-Site Habitat Enhancment'!$AQ$12:$AQ$491)</f>
        <v>0</v>
      </c>
      <c r="AA114" s="1056">
        <f t="shared" si="80"/>
        <v>0</v>
      </c>
      <c r="AB114" s="1056">
        <f t="shared" si="81"/>
        <v>0</v>
      </c>
      <c r="AC114" s="1056">
        <f t="shared" si="82"/>
        <v>0</v>
      </c>
      <c r="AD114" s="1056">
        <f t="shared" si="83"/>
        <v>0</v>
      </c>
      <c r="AE114" s="1056">
        <f t="shared" si="84"/>
        <v>0</v>
      </c>
      <c r="AF114" s="1056">
        <f t="shared" si="85"/>
        <v>0</v>
      </c>
      <c r="AU114" s="70" t="s">
        <v>673</v>
      </c>
      <c r="AV114" s="62" t="s">
        <v>105</v>
      </c>
      <c r="AW114" s="274">
        <f t="shared" si="86"/>
        <v>0</v>
      </c>
      <c r="AX114" s="274">
        <f t="shared" si="89" ref="AX114:AX151">VLOOKUP($AU114,AllHabsSummaryData,10,FALSE)</f>
        <v>0</v>
      </c>
      <c r="AY114" s="274">
        <f t="shared" si="90" ref="AY114:AY151">VLOOKUP($AU114,AllHabsSummaryData,15,FALSE)</f>
        <v>0</v>
      </c>
      <c r="AZ114" s="274">
        <f t="shared" si="91" ref="AZ114:AZ151">VLOOKUP($AU114,AllHabsSummaryData,16,FALSE)</f>
        <v>0</v>
      </c>
      <c r="BA114" s="274">
        <f t="shared" si="92" ref="BA114:BA151">VLOOKUP($AU114,AllHabsSummaryData,17,FALSE)</f>
        <v>0</v>
      </c>
      <c r="BB114" s="274">
        <f t="shared" si="93" ref="BB114:BB151">VLOOKUP($AU114,AllHabsSummaryData,18,FALSE)</f>
        <v>0</v>
      </c>
      <c r="BC114" s="274">
        <f t="shared" si="94" ref="BC114:BC151">VLOOKUP($AU114,AllHabsSummaryData,27,FALSE)</f>
        <v>0</v>
      </c>
      <c r="BD114" s="274">
        <f t="shared" si="95" ref="BD114:BD151">VLOOKUP($AU114,AllHabsSummaryData,30,FALSE)</f>
        <v>0</v>
      </c>
      <c r="BE114" s="274">
        <f t="shared" si="87"/>
        <v>0</v>
      </c>
      <c r="BF114" s="274" t="str">
        <f t="shared" si="88"/>
        <v/>
      </c>
    </row>
    <row r="115" spans="1:58" ht="14">
      <c r="A115" s="72" t="str">
        <f>'G-1 All Habitats'!B113</f>
        <v>Coastal saltmarsh - Saltmarshes and saline reedbeds</v>
      </c>
      <c r="B115" s="72" t="s">
        <v>553</v>
      </c>
      <c r="C115" s="72" t="str">
        <f>'G-1 All Habitats'!K113</f>
        <v>High</v>
      </c>
      <c r="D115" s="72" t="str">
        <f>'G-1 All Habitats'!M113</f>
        <v>Same habitat required =</v>
      </c>
      <c r="E115" s="1056">
        <f>SUMIF('A-1 On-Site Habitat Baseline'!$AV$11:$AV$258,'G-2 Habitat groups'!A115,'A-1 On-Site Habitat Baseline'!$H$11:$H$258)</f>
        <v>0</v>
      </c>
      <c r="F115" s="1056">
        <f>SUMIF('A-1 On-Site Habitat Baseline'!$AV$11:$AV$258,'G-2 Habitat groups'!A115,'A-1 On-Site Habitat Baseline'!$Q$11:$Q$258)</f>
        <v>0</v>
      </c>
      <c r="G115" s="1056">
        <f>SUMIF('A-1 On-Site Habitat Baseline'!$AV$11:$AV$258,'G-2 Habitat groups'!A115,'A-1 On-Site Habitat Baseline'!$S$11:$S$258)</f>
        <v>0</v>
      </c>
      <c r="H115" s="1056">
        <f>SUMIF('A-1 On-Site Habitat Baseline'!$AV$11:$AV$258,'G-2 Habitat groups'!A115,'A-1 On-Site Habitat Baseline'!$U$11:$U$258)+SUMIF('A-1 On-Site Habitat Baseline'!$AV$11:$AV$258,'G-2 Habitat groups'!A115,'A-1 On-Site Habitat Baseline'!$AT$11:$AT$258)</f>
        <v>0</v>
      </c>
      <c r="I115" s="1056">
        <f>SUMIF('A-1 On-Site Habitat Baseline'!$AV$11:$AV$258,'G-2 Habitat groups'!A115,'A-1 On-Site Habitat Baseline'!$W$11:$W$258)</f>
        <v>0</v>
      </c>
      <c r="J115" s="1056">
        <f>SUMIF('A-1 On-Site Habitat Baseline'!$AV$11:$AV$258,'G-2 Habitat groups'!A115,'A-1 On-Site Habitat Baseline'!$X$11:$X$258)</f>
        <v>0</v>
      </c>
      <c r="K115" s="1056">
        <f>SUMIF('A-2 On-Site Habitat Creation'!$F$11:$F$256,'G-2 Habitat groups'!A115,'A-2 On-Site Habitat Creation'!$G$11:$G$256)</f>
        <v>0</v>
      </c>
      <c r="L115" s="1056">
        <f>SUMIF('A-2 On-Site Habitat Creation'!$F$11:$F$256,'G-2 Habitat groups'!A115,'A-2 On-Site Habitat Creation'!$Y$11:$Y$256)</f>
        <v>0</v>
      </c>
      <c r="M115" s="1056">
        <f>SUMIF('A-3 On-Site Habitat Enhancement'!$S$12:$S$257,'G-2 Habitat groups'!A115,'A-3 On-Site Habitat Enhancement'!$V$12:$V$257)</f>
        <v>0</v>
      </c>
      <c r="N115" s="1056">
        <f>SUMIF('A-3 On-Site Habitat Enhancement'!$S$12:$S$257,'G-2 Habitat groups'!A115,'A-3 On-Site Habitat Enhancement'!$AN$12:$AN$257)</f>
        <v>0</v>
      </c>
      <c r="O115" s="1056">
        <f t="shared" si="76"/>
        <v>0</v>
      </c>
      <c r="P115" s="1056">
        <f t="shared" si="77"/>
        <v>0</v>
      </c>
      <c r="Q115" s="1056">
        <f t="shared" si="78"/>
        <v>0</v>
      </c>
      <c r="R115" s="1056">
        <f t="shared" si="79"/>
        <v>0</v>
      </c>
      <c r="S115" s="1056">
        <f>SUMIF('D-1 Off-Site Habitat Baseline'!$AV$11:$AV$258,'G-2 Habitat groups'!A115,'D-1 Off-Site Habitat Baseline'!$H$11:$H$258)</f>
        <v>0</v>
      </c>
      <c r="T115" s="1056">
        <f>SUMIF('D-1 Off-Site Habitat Baseline'!$AV$11:$AV$258,'G-2 Habitat groups'!A115,'D-1 Off-Site Habitat Baseline'!$T$11:$T$258)</f>
        <v>0</v>
      </c>
      <c r="U115" s="1056">
        <f>SUMIF('D-1 Off-Site Habitat Baseline'!$AV$11:$AV$258,'G-2 Habitat groups'!A115,'D-1 Off-Site Habitat Baseline'!$V$11:$V$258)</f>
        <v>0</v>
      </c>
      <c r="V115" s="1056">
        <f>SUMIF('D-1 Off-Site Habitat Baseline'!$AV$11:$AV$258,'G-2 Habitat groups'!A115,'D-1 Off-Site Habitat Baseline'!$X$11:$X$258)+SUMIF('D-1 Off-Site Habitat Baseline'!$AV$11:$AV$258,'G-2 Habitat groups'!A115,'D-1 Off-Site Habitat Baseline'!$AS$11:$AS$258)</f>
        <v>0</v>
      </c>
      <c r="W115" s="1056">
        <f>SUMIF('D-2 Off-Site Habitat Creation'!$F$9:$F$255,'G-2 Habitat groups'!A115,'D-2 Off-Site Habitat Creation'!$G$9:$G$255)</f>
        <v>0</v>
      </c>
      <c r="X115" s="1056">
        <f>SUMIF('D-2 Off-Site Habitat Creation'!$F$9:$F$255,'G-2 Habitat groups'!A115,'D-2 Off-Site Habitat Creation'!$AB$9:$AB$255)</f>
        <v>0</v>
      </c>
      <c r="Y115" s="1056">
        <f>SUMIF('D-3 Off-Site Habitat Enhancment'!$S$12:$S$491,'G-2 Habitat groups'!A115,'D-3 Off-Site Habitat Enhancment'!$V$12:$V$491)</f>
        <v>0</v>
      </c>
      <c r="Z115" s="1056">
        <f>SUMIF('D-3 Off-Site Habitat Enhancment'!$S$12:$S$491,'G-2 Habitat groups'!A115,'D-3 Off-Site Habitat Enhancment'!$AQ$12:$AQ$491)</f>
        <v>0</v>
      </c>
      <c r="AA115" s="1056">
        <f t="shared" si="80"/>
        <v>0</v>
      </c>
      <c r="AB115" s="1056">
        <f t="shared" si="81"/>
        <v>0</v>
      </c>
      <c r="AC115" s="1056">
        <f t="shared" si="82"/>
        <v>0</v>
      </c>
      <c r="AD115" s="1056">
        <f t="shared" si="83"/>
        <v>0</v>
      </c>
      <c r="AE115" s="1056">
        <f t="shared" si="84"/>
        <v>0</v>
      </c>
      <c r="AF115" s="1056">
        <f t="shared" si="85"/>
        <v>0</v>
      </c>
      <c r="AU115" s="70" t="s">
        <v>678</v>
      </c>
      <c r="AV115" s="62" t="s">
        <v>105</v>
      </c>
      <c r="AW115" s="274">
        <f t="shared" si="86"/>
        <v>0</v>
      </c>
      <c r="AX115" s="274">
        <f t="shared" si="89"/>
        <v>0</v>
      </c>
      <c r="AY115" s="274">
        <f t="shared" si="90"/>
        <v>0</v>
      </c>
      <c r="AZ115" s="274">
        <f t="shared" si="91"/>
        <v>0</v>
      </c>
      <c r="BA115" s="274">
        <f t="shared" si="92"/>
        <v>0</v>
      </c>
      <c r="BB115" s="274">
        <f t="shared" si="93"/>
        <v>0</v>
      </c>
      <c r="BC115" s="274">
        <f t="shared" si="94"/>
        <v>0</v>
      </c>
      <c r="BD115" s="274">
        <f t="shared" si="95"/>
        <v>0</v>
      </c>
      <c r="BE115" s="274">
        <f t="shared" si="87"/>
        <v>0</v>
      </c>
      <c r="BF115" s="274" t="str">
        <f t="shared" si="88"/>
        <v/>
      </c>
    </row>
    <row r="116" spans="1:58" ht="14">
      <c r="A116" s="72" t="str">
        <f>'G-1 All Habitats'!B114</f>
        <v>Coastal saltmarsh - Artificial saltmarshes and saline reedbeds</v>
      </c>
      <c r="B116" s="72" t="s">
        <v>553</v>
      </c>
      <c r="C116" s="72" t="str">
        <f>'G-1 All Habitats'!K114</f>
        <v>Low</v>
      </c>
      <c r="D116" s="72" t="str">
        <f>'G-1 All Habitats'!M114</f>
        <v>Same distinctiveness or better habitat required ≥</v>
      </c>
      <c r="E116" s="1056">
        <f>SUMIF('A-1 On-Site Habitat Baseline'!$AV$11:$AV$258,'G-2 Habitat groups'!A116,'A-1 On-Site Habitat Baseline'!$H$11:$H$258)</f>
        <v>0</v>
      </c>
      <c r="F116" s="1056">
        <f>SUMIF('A-1 On-Site Habitat Baseline'!$AV$11:$AV$258,'G-2 Habitat groups'!A116,'A-1 On-Site Habitat Baseline'!$Q$11:$Q$258)</f>
        <v>0</v>
      </c>
      <c r="G116" s="1056">
        <f>SUMIF('A-1 On-Site Habitat Baseline'!$AV$11:$AV$258,'G-2 Habitat groups'!A116,'A-1 On-Site Habitat Baseline'!$S$11:$S$258)</f>
        <v>0</v>
      </c>
      <c r="H116" s="1056">
        <f>SUMIF('A-1 On-Site Habitat Baseline'!$AV$11:$AV$258,'G-2 Habitat groups'!A116,'A-1 On-Site Habitat Baseline'!$U$11:$U$258)+SUMIF('A-1 On-Site Habitat Baseline'!$AV$11:$AV$258,'G-2 Habitat groups'!A116,'A-1 On-Site Habitat Baseline'!$AT$11:$AT$258)</f>
        <v>0</v>
      </c>
      <c r="I116" s="1056">
        <f>SUMIF('A-1 On-Site Habitat Baseline'!$AV$11:$AV$258,'G-2 Habitat groups'!A116,'A-1 On-Site Habitat Baseline'!$W$11:$W$258)</f>
        <v>0</v>
      </c>
      <c r="J116" s="1056">
        <f>SUMIF('A-1 On-Site Habitat Baseline'!$AV$11:$AV$258,'G-2 Habitat groups'!A116,'A-1 On-Site Habitat Baseline'!$X$11:$X$258)</f>
        <v>0</v>
      </c>
      <c r="K116" s="1056">
        <f>SUMIF('A-2 On-Site Habitat Creation'!$F$11:$F$256,'G-2 Habitat groups'!A116,'A-2 On-Site Habitat Creation'!$G$11:$G$256)</f>
        <v>0</v>
      </c>
      <c r="L116" s="1056">
        <f>SUMIF('A-2 On-Site Habitat Creation'!$F$11:$F$256,'G-2 Habitat groups'!A116,'A-2 On-Site Habitat Creation'!$Y$11:$Y$256)</f>
        <v>0</v>
      </c>
      <c r="M116" s="1056">
        <f>SUMIF('A-3 On-Site Habitat Enhancement'!$S$12:$S$257,'G-2 Habitat groups'!A116,'A-3 On-Site Habitat Enhancement'!$V$12:$V$257)</f>
        <v>0</v>
      </c>
      <c r="N116" s="1056">
        <f>SUMIF('A-3 On-Site Habitat Enhancement'!$S$12:$S$257,'G-2 Habitat groups'!A116,'A-3 On-Site Habitat Enhancement'!$AN$12:$AN$257)</f>
        <v>0</v>
      </c>
      <c r="O116" s="1056">
        <f t="shared" si="76"/>
        <v>0</v>
      </c>
      <c r="P116" s="1056">
        <f t="shared" si="77"/>
        <v>0</v>
      </c>
      <c r="Q116" s="1056">
        <f t="shared" si="78"/>
        <v>0</v>
      </c>
      <c r="R116" s="1056">
        <f t="shared" si="79"/>
        <v>0</v>
      </c>
      <c r="S116" s="1056">
        <f>SUMIF('D-1 Off-Site Habitat Baseline'!$AV$11:$AV$258,'G-2 Habitat groups'!A116,'D-1 Off-Site Habitat Baseline'!$H$11:$H$258)</f>
        <v>0</v>
      </c>
      <c r="T116" s="1056">
        <f>SUMIF('D-1 Off-Site Habitat Baseline'!$AV$11:$AV$258,'G-2 Habitat groups'!A116,'D-1 Off-Site Habitat Baseline'!$T$11:$T$258)</f>
        <v>0</v>
      </c>
      <c r="U116" s="1056">
        <f>SUMIF('D-1 Off-Site Habitat Baseline'!$AV$11:$AV$258,'G-2 Habitat groups'!A116,'D-1 Off-Site Habitat Baseline'!$V$11:$V$258)</f>
        <v>0</v>
      </c>
      <c r="V116" s="1056">
        <f>SUMIF('D-1 Off-Site Habitat Baseline'!$AV$11:$AV$258,'G-2 Habitat groups'!A116,'D-1 Off-Site Habitat Baseline'!$X$11:$X$258)+SUMIF('D-1 Off-Site Habitat Baseline'!$AV$11:$AV$258,'G-2 Habitat groups'!A116,'D-1 Off-Site Habitat Baseline'!$AS$11:$AS$258)</f>
        <v>0</v>
      </c>
      <c r="W116" s="1056">
        <f>SUMIF('D-2 Off-Site Habitat Creation'!$F$9:$F$255,'G-2 Habitat groups'!A116,'D-2 Off-Site Habitat Creation'!$G$9:$G$255)</f>
        <v>0</v>
      </c>
      <c r="X116" s="1056">
        <f>SUMIF('D-2 Off-Site Habitat Creation'!$F$9:$F$255,'G-2 Habitat groups'!A116,'D-2 Off-Site Habitat Creation'!$AB$9:$AB$255)</f>
        <v>0</v>
      </c>
      <c r="Y116" s="1056">
        <f>SUMIF('D-3 Off-Site Habitat Enhancment'!$S$12:$S$491,'G-2 Habitat groups'!A116,'D-3 Off-Site Habitat Enhancment'!$V$12:$V$491)</f>
        <v>0</v>
      </c>
      <c r="Z116" s="1056">
        <f>SUMIF('D-3 Off-Site Habitat Enhancment'!$S$12:$S$491,'G-2 Habitat groups'!A116,'D-3 Off-Site Habitat Enhancment'!$AQ$12:$AQ$491)</f>
        <v>0</v>
      </c>
      <c r="AA116" s="1056">
        <f t="shared" si="80"/>
        <v>0</v>
      </c>
      <c r="AB116" s="1056">
        <f t="shared" si="81"/>
        <v>0</v>
      </c>
      <c r="AC116" s="1056">
        <f t="shared" si="82"/>
        <v>0</v>
      </c>
      <c r="AD116" s="1056">
        <f t="shared" si="83"/>
        <v>0</v>
      </c>
      <c r="AE116" s="1056">
        <f t="shared" si="84"/>
        <v>0</v>
      </c>
      <c r="AF116" s="1056">
        <f t="shared" si="85"/>
        <v>0</v>
      </c>
      <c r="AU116" s="70" t="s">
        <v>682</v>
      </c>
      <c r="AV116" s="62" t="s">
        <v>105</v>
      </c>
      <c r="AW116" s="274">
        <f t="shared" si="86"/>
        <v>0</v>
      </c>
      <c r="AX116" s="274">
        <f t="shared" si="89"/>
        <v>0</v>
      </c>
      <c r="AY116" s="274">
        <f t="shared" si="90"/>
        <v>0</v>
      </c>
      <c r="AZ116" s="274">
        <f t="shared" si="91"/>
        <v>0</v>
      </c>
      <c r="BA116" s="274">
        <f t="shared" si="92"/>
        <v>0</v>
      </c>
      <c r="BB116" s="274">
        <f t="shared" si="93"/>
        <v>0</v>
      </c>
      <c r="BC116" s="274">
        <f t="shared" si="94"/>
        <v>0</v>
      </c>
      <c r="BD116" s="274">
        <f t="shared" si="95"/>
        <v>0</v>
      </c>
      <c r="BE116" s="274">
        <f t="shared" si="87"/>
        <v>0</v>
      </c>
      <c r="BF116" s="274" t="str">
        <f t="shared" si="88"/>
        <v/>
      </c>
    </row>
    <row r="117" spans="1:58" ht="14">
      <c r="A117" s="72" t="str">
        <f>'G-1 All Habitats'!B118</f>
        <v>Intertidal sediment - Littoral seagrass</v>
      </c>
      <c r="B117" s="72" t="s">
        <v>113</v>
      </c>
      <c r="C117" s="72" t="str">
        <f>'G-1 All Habitats'!K118</f>
        <v>High</v>
      </c>
      <c r="D117" s="72" t="str">
        <f>'G-1 All Habitats'!M118</f>
        <v>Same habitat required =</v>
      </c>
      <c r="E117" s="1056">
        <f>SUMIF('A-1 On-Site Habitat Baseline'!$AV$11:$AV$258,'G-2 Habitat groups'!A117,'A-1 On-Site Habitat Baseline'!$H$11:$H$258)</f>
        <v>0</v>
      </c>
      <c r="F117" s="1056">
        <f>SUMIF('A-1 On-Site Habitat Baseline'!$AV$11:$AV$258,'G-2 Habitat groups'!A117,'A-1 On-Site Habitat Baseline'!$Q$11:$Q$258)</f>
        <v>0</v>
      </c>
      <c r="G117" s="1056">
        <f>SUMIF('A-1 On-Site Habitat Baseline'!$AV$11:$AV$258,'G-2 Habitat groups'!A117,'A-1 On-Site Habitat Baseline'!$S$11:$S$258)</f>
        <v>0</v>
      </c>
      <c r="H117" s="1056">
        <f>SUMIF('A-1 On-Site Habitat Baseline'!$AV$11:$AV$258,'G-2 Habitat groups'!A117,'A-1 On-Site Habitat Baseline'!$U$11:$U$258)+SUMIF('A-1 On-Site Habitat Baseline'!$AV$11:$AV$258,'G-2 Habitat groups'!A117,'A-1 On-Site Habitat Baseline'!$AT$11:$AT$258)</f>
        <v>0</v>
      </c>
      <c r="I117" s="1056">
        <f>SUMIF('A-1 On-Site Habitat Baseline'!$AV$11:$AV$258,'G-2 Habitat groups'!A117,'A-1 On-Site Habitat Baseline'!$W$11:$W$258)</f>
        <v>0</v>
      </c>
      <c r="J117" s="1056">
        <f>SUMIF('A-1 On-Site Habitat Baseline'!$AV$11:$AV$258,'G-2 Habitat groups'!A117,'A-1 On-Site Habitat Baseline'!$X$11:$X$258)</f>
        <v>0</v>
      </c>
      <c r="K117" s="1056">
        <f>SUMIF('A-2 On-Site Habitat Creation'!$F$11:$F$256,'G-2 Habitat groups'!A117,'A-2 On-Site Habitat Creation'!$G$11:$G$256)</f>
        <v>0</v>
      </c>
      <c r="L117" s="1056">
        <f>SUMIF('A-2 On-Site Habitat Creation'!$F$11:$F$256,'G-2 Habitat groups'!A117,'A-2 On-Site Habitat Creation'!$Y$11:$Y$256)</f>
        <v>0</v>
      </c>
      <c r="M117" s="1056">
        <f>SUMIF('A-3 On-Site Habitat Enhancement'!$S$12:$S$257,'G-2 Habitat groups'!A117,'A-3 On-Site Habitat Enhancement'!$V$12:$V$257)</f>
        <v>0</v>
      </c>
      <c r="N117" s="1056">
        <f>SUMIF('A-3 On-Site Habitat Enhancement'!$S$12:$S$257,'G-2 Habitat groups'!A117,'A-3 On-Site Habitat Enhancement'!$AN$12:$AN$257)</f>
        <v>0</v>
      </c>
      <c r="O117" s="1056">
        <f t="shared" si="76"/>
        <v>0</v>
      </c>
      <c r="P117" s="1056">
        <f t="shared" si="77"/>
        <v>0</v>
      </c>
      <c r="Q117" s="1056">
        <f t="shared" si="78"/>
        <v>0</v>
      </c>
      <c r="R117" s="1056">
        <f t="shared" si="79"/>
        <v>0</v>
      </c>
      <c r="S117" s="1056">
        <f>SUMIF('D-1 Off-Site Habitat Baseline'!$AV$11:$AV$258,'G-2 Habitat groups'!A117,'D-1 Off-Site Habitat Baseline'!$H$11:$H$258)</f>
        <v>0</v>
      </c>
      <c r="T117" s="1056">
        <f>SUMIF('D-1 Off-Site Habitat Baseline'!$AV$11:$AV$258,'G-2 Habitat groups'!A117,'D-1 Off-Site Habitat Baseline'!$T$11:$T$258)</f>
        <v>0</v>
      </c>
      <c r="U117" s="1056">
        <f>SUMIF('D-1 Off-Site Habitat Baseline'!$AV$11:$AV$258,'G-2 Habitat groups'!A117,'D-1 Off-Site Habitat Baseline'!$V$11:$V$258)</f>
        <v>0</v>
      </c>
      <c r="V117" s="1056">
        <f>SUMIF('D-1 Off-Site Habitat Baseline'!$AV$11:$AV$258,'G-2 Habitat groups'!A117,'D-1 Off-Site Habitat Baseline'!$X$11:$X$258)+SUMIF('D-1 Off-Site Habitat Baseline'!$AV$11:$AV$258,'G-2 Habitat groups'!A117,'D-1 Off-Site Habitat Baseline'!$AS$11:$AS$258)</f>
        <v>0</v>
      </c>
      <c r="W117" s="1056">
        <f>SUMIF('D-2 Off-Site Habitat Creation'!$F$9:$F$255,'G-2 Habitat groups'!A117,'D-2 Off-Site Habitat Creation'!$G$9:$G$255)</f>
        <v>0</v>
      </c>
      <c r="X117" s="1056">
        <f>SUMIF('D-2 Off-Site Habitat Creation'!$F$9:$F$255,'G-2 Habitat groups'!A117,'D-2 Off-Site Habitat Creation'!$AB$9:$AB$255)</f>
        <v>0</v>
      </c>
      <c r="Y117" s="1056">
        <f>SUMIF('D-3 Off-Site Habitat Enhancment'!$S$12:$S$491,'G-2 Habitat groups'!A117,'D-3 Off-Site Habitat Enhancment'!$V$12:$V$491)</f>
        <v>0</v>
      </c>
      <c r="Z117" s="1056">
        <f>SUMIF('D-3 Off-Site Habitat Enhancment'!$S$12:$S$491,'G-2 Habitat groups'!A117,'D-3 Off-Site Habitat Enhancment'!$AQ$12:$AQ$491)</f>
        <v>0</v>
      </c>
      <c r="AA117" s="1056">
        <f t="shared" si="80"/>
        <v>0</v>
      </c>
      <c r="AB117" s="1056">
        <f t="shared" si="81"/>
        <v>0</v>
      </c>
      <c r="AC117" s="1056">
        <f t="shared" si="82"/>
        <v>0</v>
      </c>
      <c r="AD117" s="1056">
        <f t="shared" si="83"/>
        <v>0</v>
      </c>
      <c r="AE117" s="1056">
        <f t="shared" si="84"/>
        <v>0</v>
      </c>
      <c r="AF117" s="1056">
        <f t="shared" si="85"/>
        <v>0</v>
      </c>
      <c r="AU117" s="70" t="s">
        <v>686</v>
      </c>
      <c r="AV117" s="62" t="s">
        <v>105</v>
      </c>
      <c r="AW117" s="274">
        <f t="shared" si="86"/>
        <v>0</v>
      </c>
      <c r="AX117" s="274">
        <f t="shared" si="89"/>
        <v>0</v>
      </c>
      <c r="AY117" s="274">
        <f t="shared" si="90"/>
        <v>0</v>
      </c>
      <c r="AZ117" s="274">
        <f t="shared" si="91"/>
        <v>0</v>
      </c>
      <c r="BA117" s="274">
        <f t="shared" si="92"/>
        <v>0</v>
      </c>
      <c r="BB117" s="274">
        <f t="shared" si="93"/>
        <v>0</v>
      </c>
      <c r="BC117" s="274">
        <f t="shared" si="94"/>
        <v>0</v>
      </c>
      <c r="BD117" s="274">
        <f t="shared" si="95"/>
        <v>0</v>
      </c>
      <c r="BE117" s="274">
        <f t="shared" si="87"/>
        <v>0</v>
      </c>
      <c r="BF117" s="274" t="str">
        <f t="shared" si="88"/>
        <v/>
      </c>
    </row>
    <row r="118" spans="1:58" ht="14">
      <c r="A118" s="72" t="str">
        <f>'G-1 All Habitats'!B119</f>
        <v>Intertidal sediment - Littoral seagrass on peat, clay or chalk</v>
      </c>
      <c r="B118" s="72" t="s">
        <v>113</v>
      </c>
      <c r="C118" s="72" t="str">
        <f>'G-1 All Habitats'!K119</f>
        <v>V.High</v>
      </c>
      <c r="D118" s="72" t="str">
        <f>'G-1 All Habitats'!M119</f>
        <v>Same habitat required – bespoke compensation option ⚠</v>
      </c>
      <c r="E118" s="1056">
        <f>SUMIF('A-1 On-Site Habitat Baseline'!$AV$11:$AV$258,'G-2 Habitat groups'!A118,'A-1 On-Site Habitat Baseline'!$H$11:$H$258)</f>
        <v>0</v>
      </c>
      <c r="F118" s="1056">
        <f>SUMIF('A-1 On-Site Habitat Baseline'!$AV$11:$AV$258,'G-2 Habitat groups'!A118,'A-1 On-Site Habitat Baseline'!$Q$11:$Q$258)</f>
        <v>0</v>
      </c>
      <c r="G118" s="1056">
        <f>SUMIF('A-1 On-Site Habitat Baseline'!$AV$11:$AV$258,'G-2 Habitat groups'!A118,'A-1 On-Site Habitat Baseline'!$S$11:$S$258)</f>
        <v>0</v>
      </c>
      <c r="H118" s="1056">
        <f>SUMIF('A-1 On-Site Habitat Baseline'!$AV$11:$AV$258,'G-2 Habitat groups'!A118,'A-1 On-Site Habitat Baseline'!$U$11:$U$258)+SUMIF('A-1 On-Site Habitat Baseline'!$AV$11:$AV$258,'G-2 Habitat groups'!A118,'A-1 On-Site Habitat Baseline'!$AT$11:$AT$258)</f>
        <v>0</v>
      </c>
      <c r="I118" s="1056">
        <f>SUMIF('A-1 On-Site Habitat Baseline'!$AV$11:$AV$258,'G-2 Habitat groups'!A118,'A-1 On-Site Habitat Baseline'!$W$11:$W$258)</f>
        <v>0</v>
      </c>
      <c r="J118" s="1056">
        <f>SUMIF('A-1 On-Site Habitat Baseline'!$AV$11:$AV$258,'G-2 Habitat groups'!A118,'A-1 On-Site Habitat Baseline'!$X$11:$X$258)</f>
        <v>0</v>
      </c>
      <c r="K118" s="1056">
        <f>SUMIF('A-2 On-Site Habitat Creation'!$F$11:$F$256,'G-2 Habitat groups'!A118,'A-2 On-Site Habitat Creation'!$G$11:$G$256)</f>
        <v>0</v>
      </c>
      <c r="L118" s="1056">
        <f>SUMIF('A-2 On-Site Habitat Creation'!$F$11:$F$256,'G-2 Habitat groups'!A118,'A-2 On-Site Habitat Creation'!$Y$11:$Y$256)</f>
        <v>0</v>
      </c>
      <c r="M118" s="1056">
        <f>SUMIF('A-3 On-Site Habitat Enhancement'!$S$12:$S$257,'G-2 Habitat groups'!A118,'A-3 On-Site Habitat Enhancement'!$V$12:$V$257)</f>
        <v>0</v>
      </c>
      <c r="N118" s="1056">
        <f>SUMIF('A-3 On-Site Habitat Enhancement'!$S$12:$S$257,'G-2 Habitat groups'!A118,'A-3 On-Site Habitat Enhancement'!$AN$12:$AN$257)</f>
        <v>0</v>
      </c>
      <c r="O118" s="1056">
        <f t="shared" si="76"/>
        <v>0</v>
      </c>
      <c r="P118" s="1056">
        <f t="shared" si="77"/>
        <v>0</v>
      </c>
      <c r="Q118" s="1056">
        <f t="shared" si="78"/>
        <v>0</v>
      </c>
      <c r="R118" s="1056">
        <f t="shared" si="79"/>
        <v>0</v>
      </c>
      <c r="S118" s="1056">
        <f>SUMIF('D-1 Off-Site Habitat Baseline'!$AV$11:$AV$258,'G-2 Habitat groups'!A118,'D-1 Off-Site Habitat Baseline'!$H$11:$H$258)</f>
        <v>0</v>
      </c>
      <c r="T118" s="1056">
        <f>SUMIF('D-1 Off-Site Habitat Baseline'!$AV$11:$AV$258,'G-2 Habitat groups'!A118,'D-1 Off-Site Habitat Baseline'!$T$11:$T$258)</f>
        <v>0</v>
      </c>
      <c r="U118" s="1056">
        <f>SUMIF('D-1 Off-Site Habitat Baseline'!$AV$11:$AV$258,'G-2 Habitat groups'!A118,'D-1 Off-Site Habitat Baseline'!$V$11:$V$258)</f>
        <v>0</v>
      </c>
      <c r="V118" s="1056">
        <f>SUMIF('D-1 Off-Site Habitat Baseline'!$AV$11:$AV$258,'G-2 Habitat groups'!A118,'D-1 Off-Site Habitat Baseline'!$X$11:$X$258)+SUMIF('D-1 Off-Site Habitat Baseline'!$AV$11:$AV$258,'G-2 Habitat groups'!A118,'D-1 Off-Site Habitat Baseline'!$AS$11:$AS$258)</f>
        <v>0</v>
      </c>
      <c r="W118" s="1056">
        <f>SUMIF('D-2 Off-Site Habitat Creation'!$F$9:$F$255,'G-2 Habitat groups'!A118,'D-2 Off-Site Habitat Creation'!$G$9:$G$255)</f>
        <v>0</v>
      </c>
      <c r="X118" s="1056">
        <f>SUMIF('D-2 Off-Site Habitat Creation'!$F$9:$F$255,'G-2 Habitat groups'!A118,'D-2 Off-Site Habitat Creation'!$AB$9:$AB$255)</f>
        <v>0</v>
      </c>
      <c r="Y118" s="1056">
        <f>SUMIF('D-3 Off-Site Habitat Enhancment'!$S$12:$S$491,'G-2 Habitat groups'!A118,'D-3 Off-Site Habitat Enhancment'!$V$12:$V$491)</f>
        <v>0</v>
      </c>
      <c r="Z118" s="1056">
        <f>SUMIF('D-3 Off-Site Habitat Enhancment'!$S$12:$S$491,'G-2 Habitat groups'!A118,'D-3 Off-Site Habitat Enhancment'!$AQ$12:$AQ$491)</f>
        <v>0</v>
      </c>
      <c r="AA118" s="1056">
        <f t="shared" si="80"/>
        <v>0</v>
      </c>
      <c r="AB118" s="1056">
        <f t="shared" si="81"/>
        <v>0</v>
      </c>
      <c r="AC118" s="1056">
        <f t="shared" si="82"/>
        <v>0</v>
      </c>
      <c r="AD118" s="1056">
        <f t="shared" si="83"/>
        <v>0</v>
      </c>
      <c r="AE118" s="1056">
        <f t="shared" si="84"/>
        <v>0</v>
      </c>
      <c r="AF118" s="1056">
        <f t="shared" si="85"/>
        <v>0</v>
      </c>
      <c r="AU118" s="70" t="s">
        <v>670</v>
      </c>
      <c r="AV118" s="62" t="s">
        <v>105</v>
      </c>
      <c r="AW118" s="274">
        <f t="shared" si="86"/>
        <v>0</v>
      </c>
      <c r="AX118" s="274">
        <f t="shared" si="89"/>
        <v>0</v>
      </c>
      <c r="AY118" s="274">
        <f t="shared" si="90"/>
        <v>0</v>
      </c>
      <c r="AZ118" s="274">
        <f t="shared" si="91"/>
        <v>0</v>
      </c>
      <c r="BA118" s="274">
        <f t="shared" si="92"/>
        <v>0</v>
      </c>
      <c r="BB118" s="274">
        <f t="shared" si="93"/>
        <v>0</v>
      </c>
      <c r="BC118" s="274">
        <f t="shared" si="94"/>
        <v>0</v>
      </c>
      <c r="BD118" s="274">
        <f t="shared" si="95"/>
        <v>0</v>
      </c>
      <c r="BE118" s="274">
        <f t="shared" si="87"/>
        <v>0</v>
      </c>
      <c r="BF118" s="274" t="str">
        <f t="shared" si="88"/>
        <v/>
      </c>
    </row>
    <row r="119" spans="1:58" ht="14">
      <c r="A119" s="72" t="str">
        <f>'G-1 All Habitats'!B120</f>
        <v>Intertidal sediment - Littoral biogenic reefs - Mussels</v>
      </c>
      <c r="B119" s="72" t="s">
        <v>113</v>
      </c>
      <c r="C119" s="72" t="str">
        <f>'G-1 All Habitats'!K120</f>
        <v>High</v>
      </c>
      <c r="D119" s="72" t="str">
        <f>'G-1 All Habitats'!M120</f>
        <v>Same habitat required =</v>
      </c>
      <c r="E119" s="1056">
        <f>SUMIF('A-1 On-Site Habitat Baseline'!$AV$11:$AV$258,'G-2 Habitat groups'!A119,'A-1 On-Site Habitat Baseline'!$H$11:$H$258)</f>
        <v>0</v>
      </c>
      <c r="F119" s="1056">
        <f>SUMIF('A-1 On-Site Habitat Baseline'!$AV$11:$AV$258,'G-2 Habitat groups'!A119,'A-1 On-Site Habitat Baseline'!$Q$11:$Q$258)</f>
        <v>0</v>
      </c>
      <c r="G119" s="1056">
        <f>SUMIF('A-1 On-Site Habitat Baseline'!$AV$11:$AV$258,'G-2 Habitat groups'!A119,'A-1 On-Site Habitat Baseline'!$S$11:$S$258)</f>
        <v>0</v>
      </c>
      <c r="H119" s="1056">
        <f>SUMIF('A-1 On-Site Habitat Baseline'!$AV$11:$AV$258,'G-2 Habitat groups'!A119,'A-1 On-Site Habitat Baseline'!$U$11:$U$258)+SUMIF('A-1 On-Site Habitat Baseline'!$AV$11:$AV$258,'G-2 Habitat groups'!A119,'A-1 On-Site Habitat Baseline'!$AT$11:$AT$258)</f>
        <v>0</v>
      </c>
      <c r="I119" s="1056">
        <f>SUMIF('A-1 On-Site Habitat Baseline'!$AV$11:$AV$258,'G-2 Habitat groups'!A119,'A-1 On-Site Habitat Baseline'!$W$11:$W$258)</f>
        <v>0</v>
      </c>
      <c r="J119" s="1056">
        <f>SUMIF('A-1 On-Site Habitat Baseline'!$AV$11:$AV$258,'G-2 Habitat groups'!A119,'A-1 On-Site Habitat Baseline'!$X$11:$X$258)</f>
        <v>0</v>
      </c>
      <c r="K119" s="1056">
        <f>SUMIF('A-2 On-Site Habitat Creation'!$F$11:$F$256,'G-2 Habitat groups'!A119,'A-2 On-Site Habitat Creation'!$G$11:$G$256)</f>
        <v>0</v>
      </c>
      <c r="L119" s="1056">
        <f>SUMIF('A-2 On-Site Habitat Creation'!$F$11:$F$256,'G-2 Habitat groups'!A119,'A-2 On-Site Habitat Creation'!$Y$11:$Y$256)</f>
        <v>0</v>
      </c>
      <c r="M119" s="1056">
        <f>SUMIF('A-3 On-Site Habitat Enhancement'!$S$12:$S$257,'G-2 Habitat groups'!A119,'A-3 On-Site Habitat Enhancement'!$V$12:$V$257)</f>
        <v>0</v>
      </c>
      <c r="N119" s="1056">
        <f>SUMIF('A-3 On-Site Habitat Enhancement'!$S$12:$S$257,'G-2 Habitat groups'!A119,'A-3 On-Site Habitat Enhancement'!$AN$12:$AN$257)</f>
        <v>0</v>
      </c>
      <c r="O119" s="1056">
        <f t="shared" si="76"/>
        <v>0</v>
      </c>
      <c r="P119" s="1056">
        <f t="shared" si="77"/>
        <v>0</v>
      </c>
      <c r="Q119" s="1056">
        <f t="shared" si="78"/>
        <v>0</v>
      </c>
      <c r="R119" s="1056">
        <f t="shared" si="79"/>
        <v>0</v>
      </c>
      <c r="S119" s="1056">
        <f>SUMIF('D-1 Off-Site Habitat Baseline'!$AV$11:$AV$258,'G-2 Habitat groups'!A119,'D-1 Off-Site Habitat Baseline'!$H$11:$H$258)</f>
        <v>0</v>
      </c>
      <c r="T119" s="1056">
        <f>SUMIF('D-1 Off-Site Habitat Baseline'!$AV$11:$AV$258,'G-2 Habitat groups'!A119,'D-1 Off-Site Habitat Baseline'!$T$11:$T$258)</f>
        <v>0</v>
      </c>
      <c r="U119" s="1056">
        <f>SUMIF('D-1 Off-Site Habitat Baseline'!$AV$11:$AV$258,'G-2 Habitat groups'!A119,'D-1 Off-Site Habitat Baseline'!$V$11:$V$258)</f>
        <v>0</v>
      </c>
      <c r="V119" s="1056">
        <f>SUMIF('D-1 Off-Site Habitat Baseline'!$AV$11:$AV$258,'G-2 Habitat groups'!A119,'D-1 Off-Site Habitat Baseline'!$X$11:$X$258)+SUMIF('D-1 Off-Site Habitat Baseline'!$AV$11:$AV$258,'G-2 Habitat groups'!A119,'D-1 Off-Site Habitat Baseline'!$AS$11:$AS$258)</f>
        <v>0</v>
      </c>
      <c r="W119" s="1056">
        <f>SUMIF('D-2 Off-Site Habitat Creation'!$F$9:$F$255,'G-2 Habitat groups'!A119,'D-2 Off-Site Habitat Creation'!$G$9:$G$255)</f>
        <v>0</v>
      </c>
      <c r="X119" s="1056">
        <f>SUMIF('D-2 Off-Site Habitat Creation'!$F$9:$F$255,'G-2 Habitat groups'!A119,'D-2 Off-Site Habitat Creation'!$AB$9:$AB$255)</f>
        <v>0</v>
      </c>
      <c r="Y119" s="1056">
        <f>SUMIF('D-3 Off-Site Habitat Enhancment'!$S$12:$S$491,'G-2 Habitat groups'!A119,'D-3 Off-Site Habitat Enhancment'!$V$12:$V$491)</f>
        <v>0</v>
      </c>
      <c r="Z119" s="1056">
        <f>SUMIF('D-3 Off-Site Habitat Enhancment'!$S$12:$S$491,'G-2 Habitat groups'!A119,'D-3 Off-Site Habitat Enhancment'!$AQ$12:$AQ$491)</f>
        <v>0</v>
      </c>
      <c r="AA119" s="1056">
        <f t="shared" si="80"/>
        <v>0</v>
      </c>
      <c r="AB119" s="1056">
        <f t="shared" si="81"/>
        <v>0</v>
      </c>
      <c r="AC119" s="1056">
        <f t="shared" si="82"/>
        <v>0</v>
      </c>
      <c r="AD119" s="1056">
        <f t="shared" si="83"/>
        <v>0</v>
      </c>
      <c r="AE119" s="1056">
        <f t="shared" si="84"/>
        <v>0</v>
      </c>
      <c r="AF119" s="1056">
        <f t="shared" si="85"/>
        <v>0</v>
      </c>
      <c r="AU119" s="70" t="s">
        <v>714</v>
      </c>
      <c r="AV119" s="62" t="s">
        <v>106</v>
      </c>
      <c r="AW119" s="274">
        <f t="shared" si="86"/>
        <v>8.800000000000002</v>
      </c>
      <c r="AX119" s="274">
        <f t="shared" si="89"/>
        <v>16.46</v>
      </c>
      <c r="AY119" s="274">
        <f t="shared" si="90"/>
        <v>0.6880000000000001</v>
      </c>
      <c r="AZ119" s="274">
        <f t="shared" si="91"/>
        <v>3.18774</v>
      </c>
      <c r="BA119" s="274">
        <f t="shared" si="92"/>
        <v>-8.112000000000002</v>
      </c>
      <c r="BB119" s="274">
        <f t="shared" si="93"/>
        <v>-16.232260000000004</v>
      </c>
      <c r="BC119" s="274">
        <f t="shared" si="94"/>
        <v>0</v>
      </c>
      <c r="BD119" s="274">
        <f t="shared" si="95"/>
        <v>0</v>
      </c>
      <c r="BE119" s="274">
        <f t="shared" si="87"/>
        <v>-16.232260000000004</v>
      </c>
      <c r="BF119" s="274">
        <f t="shared" si="88"/>
        <v>-16.232260000000004</v>
      </c>
    </row>
    <row r="120" spans="1:58" ht="14">
      <c r="A120" s="72" t="str">
        <f>'G-1 All Habitats'!B121</f>
        <v>Intertidal sediment - Littoral biogenic reefs - Sabellaria</v>
      </c>
      <c r="B120" s="72" t="s">
        <v>113</v>
      </c>
      <c r="C120" s="72" t="str">
        <f>'G-1 All Habitats'!K121</f>
        <v>High</v>
      </c>
      <c r="D120" s="72" t="str">
        <f>'G-1 All Habitats'!M121</f>
        <v>Same habitat required =</v>
      </c>
      <c r="E120" s="1056">
        <f>SUMIF('A-1 On-Site Habitat Baseline'!$AV$11:$AV$258,'G-2 Habitat groups'!A120,'A-1 On-Site Habitat Baseline'!$H$11:$H$258)</f>
        <v>0</v>
      </c>
      <c r="F120" s="1056">
        <f>SUMIF('A-1 On-Site Habitat Baseline'!$AV$11:$AV$258,'G-2 Habitat groups'!A120,'A-1 On-Site Habitat Baseline'!$Q$11:$Q$258)</f>
        <v>0</v>
      </c>
      <c r="G120" s="1056">
        <f>SUMIF('A-1 On-Site Habitat Baseline'!$AV$11:$AV$258,'G-2 Habitat groups'!A120,'A-1 On-Site Habitat Baseline'!$S$11:$S$258)</f>
        <v>0</v>
      </c>
      <c r="H120" s="1056">
        <f>SUMIF('A-1 On-Site Habitat Baseline'!$AV$11:$AV$258,'G-2 Habitat groups'!A120,'A-1 On-Site Habitat Baseline'!$U$11:$U$258)+SUMIF('A-1 On-Site Habitat Baseline'!$AV$11:$AV$258,'G-2 Habitat groups'!A120,'A-1 On-Site Habitat Baseline'!$AT$11:$AT$258)</f>
        <v>0</v>
      </c>
      <c r="I120" s="1056">
        <f>SUMIF('A-1 On-Site Habitat Baseline'!$AV$11:$AV$258,'G-2 Habitat groups'!A120,'A-1 On-Site Habitat Baseline'!$W$11:$W$258)</f>
        <v>0</v>
      </c>
      <c r="J120" s="1056">
        <f>SUMIF('A-1 On-Site Habitat Baseline'!$AV$11:$AV$258,'G-2 Habitat groups'!A120,'A-1 On-Site Habitat Baseline'!$X$11:$X$258)</f>
        <v>0</v>
      </c>
      <c r="K120" s="1056">
        <f>SUMIF('A-2 On-Site Habitat Creation'!$F$11:$F$256,'G-2 Habitat groups'!A120,'A-2 On-Site Habitat Creation'!$G$11:$G$256)</f>
        <v>0</v>
      </c>
      <c r="L120" s="1056">
        <f>SUMIF('A-2 On-Site Habitat Creation'!$F$11:$F$256,'G-2 Habitat groups'!A120,'A-2 On-Site Habitat Creation'!$Y$11:$Y$256)</f>
        <v>0</v>
      </c>
      <c r="M120" s="1056">
        <f>SUMIF('A-3 On-Site Habitat Enhancement'!$S$12:$S$257,'G-2 Habitat groups'!A120,'A-3 On-Site Habitat Enhancement'!$V$12:$V$257)</f>
        <v>0</v>
      </c>
      <c r="N120" s="1056">
        <f>SUMIF('A-3 On-Site Habitat Enhancement'!$S$12:$S$257,'G-2 Habitat groups'!A120,'A-3 On-Site Habitat Enhancement'!$AN$12:$AN$257)</f>
        <v>0</v>
      </c>
      <c r="O120" s="1056">
        <f t="shared" si="76"/>
        <v>0</v>
      </c>
      <c r="P120" s="1056">
        <f t="shared" si="77"/>
        <v>0</v>
      </c>
      <c r="Q120" s="1056">
        <f t="shared" si="78"/>
        <v>0</v>
      </c>
      <c r="R120" s="1056">
        <f t="shared" si="79"/>
        <v>0</v>
      </c>
      <c r="S120" s="1056">
        <f>SUMIF('D-1 Off-Site Habitat Baseline'!$AV$11:$AV$258,'G-2 Habitat groups'!A120,'D-1 Off-Site Habitat Baseline'!$H$11:$H$258)</f>
        <v>0</v>
      </c>
      <c r="T120" s="1056">
        <f>SUMIF('D-1 Off-Site Habitat Baseline'!$AV$11:$AV$258,'G-2 Habitat groups'!A120,'D-1 Off-Site Habitat Baseline'!$T$11:$T$258)</f>
        <v>0</v>
      </c>
      <c r="U120" s="1056">
        <f>SUMIF('D-1 Off-Site Habitat Baseline'!$AV$11:$AV$258,'G-2 Habitat groups'!A120,'D-1 Off-Site Habitat Baseline'!$V$11:$V$258)</f>
        <v>0</v>
      </c>
      <c r="V120" s="1056">
        <f>SUMIF('D-1 Off-Site Habitat Baseline'!$AV$11:$AV$258,'G-2 Habitat groups'!A120,'D-1 Off-Site Habitat Baseline'!$X$11:$X$258)+SUMIF('D-1 Off-Site Habitat Baseline'!$AV$11:$AV$258,'G-2 Habitat groups'!A120,'D-1 Off-Site Habitat Baseline'!$AS$11:$AS$258)</f>
        <v>0</v>
      </c>
      <c r="W120" s="1056">
        <f>SUMIF('D-2 Off-Site Habitat Creation'!$F$9:$F$255,'G-2 Habitat groups'!A120,'D-2 Off-Site Habitat Creation'!$G$9:$G$255)</f>
        <v>0</v>
      </c>
      <c r="X120" s="1056">
        <f>SUMIF('D-2 Off-Site Habitat Creation'!$F$9:$F$255,'G-2 Habitat groups'!A120,'D-2 Off-Site Habitat Creation'!$AB$9:$AB$255)</f>
        <v>0</v>
      </c>
      <c r="Y120" s="1056">
        <f>SUMIF('D-3 Off-Site Habitat Enhancment'!$S$12:$S$491,'G-2 Habitat groups'!A120,'D-3 Off-Site Habitat Enhancment'!$V$12:$V$491)</f>
        <v>0</v>
      </c>
      <c r="Z120" s="1056">
        <f>SUMIF('D-3 Off-Site Habitat Enhancment'!$S$12:$S$491,'G-2 Habitat groups'!A120,'D-3 Off-Site Habitat Enhancment'!$AQ$12:$AQ$491)</f>
        <v>0</v>
      </c>
      <c r="AA120" s="1056">
        <f t="shared" si="80"/>
        <v>0</v>
      </c>
      <c r="AB120" s="1056">
        <f t="shared" si="81"/>
        <v>0</v>
      </c>
      <c r="AC120" s="1056">
        <f t="shared" si="82"/>
        <v>0</v>
      </c>
      <c r="AD120" s="1056">
        <f t="shared" si="83"/>
        <v>0</v>
      </c>
      <c r="AE120" s="1056">
        <f t="shared" si="84"/>
        <v>0</v>
      </c>
      <c r="AF120" s="1056">
        <f t="shared" si="85"/>
        <v>0</v>
      </c>
      <c r="AU120" s="70" t="s">
        <v>692</v>
      </c>
      <c r="AV120" s="62" t="s">
        <v>106</v>
      </c>
      <c r="AW120" s="274">
        <f t="shared" si="86"/>
        <v>0</v>
      </c>
      <c r="AX120" s="274">
        <f t="shared" si="89"/>
        <v>0</v>
      </c>
      <c r="AY120" s="274">
        <f t="shared" si="90"/>
        <v>0</v>
      </c>
      <c r="AZ120" s="274">
        <f t="shared" si="91"/>
        <v>0</v>
      </c>
      <c r="BA120" s="274">
        <f t="shared" si="92"/>
        <v>0</v>
      </c>
      <c r="BB120" s="274">
        <f t="shared" si="93"/>
        <v>0</v>
      </c>
      <c r="BC120" s="274">
        <f t="shared" si="94"/>
        <v>0</v>
      </c>
      <c r="BD120" s="274">
        <f t="shared" si="95"/>
        <v>0</v>
      </c>
      <c r="BE120" s="274">
        <f t="shared" si="87"/>
        <v>0</v>
      </c>
      <c r="BF120" s="274" t="str">
        <f t="shared" si="88"/>
        <v/>
      </c>
    </row>
    <row r="121" spans="1:58" ht="14">
      <c r="A121" s="72" t="str">
        <f>'G-1 All Habitats'!B122</f>
        <v>Intertidal sediment - Features of littoral sediment</v>
      </c>
      <c r="B121" s="72" t="s">
        <v>113</v>
      </c>
      <c r="C121" s="72" t="str">
        <f>'G-1 All Habitats'!K122</f>
        <v>High</v>
      </c>
      <c r="D121" s="72" t="str">
        <f>'G-1 All Habitats'!M122</f>
        <v>Same habitat required =</v>
      </c>
      <c r="E121" s="1056">
        <f>SUMIF('A-1 On-Site Habitat Baseline'!$AV$11:$AV$258,'G-2 Habitat groups'!A121,'A-1 On-Site Habitat Baseline'!$H$11:$H$258)</f>
        <v>0</v>
      </c>
      <c r="F121" s="1056">
        <f>SUMIF('A-1 On-Site Habitat Baseline'!$AV$11:$AV$258,'G-2 Habitat groups'!A121,'A-1 On-Site Habitat Baseline'!$Q$11:$Q$258)</f>
        <v>0</v>
      </c>
      <c r="G121" s="1056">
        <f>SUMIF('A-1 On-Site Habitat Baseline'!$AV$11:$AV$258,'G-2 Habitat groups'!A121,'A-1 On-Site Habitat Baseline'!$S$11:$S$258)</f>
        <v>0</v>
      </c>
      <c r="H121" s="1056">
        <f>SUMIF('A-1 On-Site Habitat Baseline'!$AV$11:$AV$258,'G-2 Habitat groups'!A121,'A-1 On-Site Habitat Baseline'!$U$11:$U$258)+SUMIF('A-1 On-Site Habitat Baseline'!$AV$11:$AV$258,'G-2 Habitat groups'!A121,'A-1 On-Site Habitat Baseline'!$AT$11:$AT$258)</f>
        <v>0</v>
      </c>
      <c r="I121" s="1056">
        <f>SUMIF('A-1 On-Site Habitat Baseline'!$AV$11:$AV$258,'G-2 Habitat groups'!A121,'A-1 On-Site Habitat Baseline'!$W$11:$W$258)</f>
        <v>0</v>
      </c>
      <c r="J121" s="1056">
        <f>SUMIF('A-1 On-Site Habitat Baseline'!$AV$11:$AV$258,'G-2 Habitat groups'!A121,'A-1 On-Site Habitat Baseline'!$X$11:$X$258)</f>
        <v>0</v>
      </c>
      <c r="K121" s="1056">
        <f>SUMIF('A-2 On-Site Habitat Creation'!$F$11:$F$256,'G-2 Habitat groups'!A121,'A-2 On-Site Habitat Creation'!$G$11:$G$256)</f>
        <v>0</v>
      </c>
      <c r="L121" s="1056">
        <f>SUMIF('A-2 On-Site Habitat Creation'!$F$11:$F$256,'G-2 Habitat groups'!A121,'A-2 On-Site Habitat Creation'!$Y$11:$Y$256)</f>
        <v>0</v>
      </c>
      <c r="M121" s="1056">
        <f>SUMIF('A-3 On-Site Habitat Enhancement'!$S$12:$S$257,'G-2 Habitat groups'!A121,'A-3 On-Site Habitat Enhancement'!$V$12:$V$257)</f>
        <v>0</v>
      </c>
      <c r="N121" s="1056">
        <f>SUMIF('A-3 On-Site Habitat Enhancement'!$S$12:$S$257,'G-2 Habitat groups'!A121,'A-3 On-Site Habitat Enhancement'!$AN$12:$AN$257)</f>
        <v>0</v>
      </c>
      <c r="O121" s="1056">
        <f t="shared" si="76"/>
        <v>0</v>
      </c>
      <c r="P121" s="1056">
        <f t="shared" si="77"/>
        <v>0</v>
      </c>
      <c r="Q121" s="1056">
        <f t="shared" si="78"/>
        <v>0</v>
      </c>
      <c r="R121" s="1056">
        <f t="shared" si="79"/>
        <v>0</v>
      </c>
      <c r="S121" s="1056">
        <f>SUMIF('D-1 Off-Site Habitat Baseline'!$AV$11:$AV$258,'G-2 Habitat groups'!A121,'D-1 Off-Site Habitat Baseline'!$H$11:$H$258)</f>
        <v>0</v>
      </c>
      <c r="T121" s="1056">
        <f>SUMIF('D-1 Off-Site Habitat Baseline'!$AV$11:$AV$258,'G-2 Habitat groups'!A121,'D-1 Off-Site Habitat Baseline'!$T$11:$T$258)</f>
        <v>0</v>
      </c>
      <c r="U121" s="1056">
        <f>SUMIF('D-1 Off-Site Habitat Baseline'!$AV$11:$AV$258,'G-2 Habitat groups'!A121,'D-1 Off-Site Habitat Baseline'!$V$11:$V$258)</f>
        <v>0</v>
      </c>
      <c r="V121" s="1056">
        <f>SUMIF('D-1 Off-Site Habitat Baseline'!$AV$11:$AV$258,'G-2 Habitat groups'!A121,'D-1 Off-Site Habitat Baseline'!$X$11:$X$258)+SUMIF('D-1 Off-Site Habitat Baseline'!$AV$11:$AV$258,'G-2 Habitat groups'!A121,'D-1 Off-Site Habitat Baseline'!$AS$11:$AS$258)</f>
        <v>0</v>
      </c>
      <c r="W121" s="1056">
        <f>SUMIF('D-2 Off-Site Habitat Creation'!$F$9:$F$255,'G-2 Habitat groups'!A121,'D-2 Off-Site Habitat Creation'!$G$9:$G$255)</f>
        <v>0</v>
      </c>
      <c r="X121" s="1056">
        <f>SUMIF('D-2 Off-Site Habitat Creation'!$F$9:$F$255,'G-2 Habitat groups'!A121,'D-2 Off-Site Habitat Creation'!$AB$9:$AB$255)</f>
        <v>0</v>
      </c>
      <c r="Y121" s="1056">
        <f>SUMIF('D-3 Off-Site Habitat Enhancment'!$S$12:$S$491,'G-2 Habitat groups'!A121,'D-3 Off-Site Habitat Enhancment'!$V$12:$V$491)</f>
        <v>0</v>
      </c>
      <c r="Z121" s="1056">
        <f>SUMIF('D-3 Off-Site Habitat Enhancment'!$S$12:$S$491,'G-2 Habitat groups'!A121,'D-3 Off-Site Habitat Enhancment'!$AQ$12:$AQ$491)</f>
        <v>0</v>
      </c>
      <c r="AA121" s="1056">
        <f t="shared" si="80"/>
        <v>0</v>
      </c>
      <c r="AB121" s="1056">
        <f t="shared" si="81"/>
        <v>0</v>
      </c>
      <c r="AC121" s="1056">
        <f t="shared" si="82"/>
        <v>0</v>
      </c>
      <c r="AD121" s="1056">
        <f t="shared" si="83"/>
        <v>0</v>
      </c>
      <c r="AE121" s="1056">
        <f t="shared" si="84"/>
        <v>0</v>
      </c>
      <c r="AF121" s="1056">
        <f t="shared" si="85"/>
        <v>0</v>
      </c>
      <c r="AU121" s="70" t="s">
        <v>768</v>
      </c>
      <c r="AV121" s="62" t="s">
        <v>107</v>
      </c>
      <c r="AW121" s="274">
        <f t="shared" si="86"/>
        <v>0</v>
      </c>
      <c r="AX121" s="274">
        <f t="shared" si="89"/>
        <v>0</v>
      </c>
      <c r="AY121" s="274">
        <f t="shared" si="90"/>
        <v>0</v>
      </c>
      <c r="AZ121" s="274">
        <f t="shared" si="91"/>
        <v>0</v>
      </c>
      <c r="BA121" s="274">
        <f t="shared" si="92"/>
        <v>0</v>
      </c>
      <c r="BB121" s="274">
        <f t="shared" si="93"/>
        <v>0</v>
      </c>
      <c r="BC121" s="274">
        <f t="shared" si="94"/>
        <v>0</v>
      </c>
      <c r="BD121" s="274">
        <f t="shared" si="95"/>
        <v>0</v>
      </c>
      <c r="BE121" s="274">
        <f t="shared" si="87"/>
        <v>0</v>
      </c>
      <c r="BF121" s="274" t="str">
        <f t="shared" si="88"/>
        <v/>
      </c>
    </row>
    <row r="122" spans="1:58" ht="14">
      <c r="A122" s="72" t="str">
        <f>'G-1 All Habitats'!B123</f>
        <v>Intertidal sediment - Artificial littoral coarse sediment</v>
      </c>
      <c r="B122" s="72" t="s">
        <v>113</v>
      </c>
      <c r="C122" s="72" t="str">
        <f>'G-1 All Habitats'!K123</f>
        <v>Low</v>
      </c>
      <c r="D122" s="72" t="str">
        <f>'G-1 All Habitats'!M123</f>
        <v>Same distinctiveness or better habitat required ≥</v>
      </c>
      <c r="E122" s="1056">
        <f>SUMIF('A-1 On-Site Habitat Baseline'!$AV$11:$AV$258,'G-2 Habitat groups'!A122,'A-1 On-Site Habitat Baseline'!$H$11:$H$258)</f>
        <v>0</v>
      </c>
      <c r="F122" s="1056">
        <f>SUMIF('A-1 On-Site Habitat Baseline'!$AV$11:$AV$258,'G-2 Habitat groups'!A122,'A-1 On-Site Habitat Baseline'!$Q$11:$Q$258)</f>
        <v>0</v>
      </c>
      <c r="G122" s="1056">
        <f>SUMIF('A-1 On-Site Habitat Baseline'!$AV$11:$AV$258,'G-2 Habitat groups'!A122,'A-1 On-Site Habitat Baseline'!$S$11:$S$258)</f>
        <v>0</v>
      </c>
      <c r="H122" s="1056">
        <f>SUMIF('A-1 On-Site Habitat Baseline'!$AV$11:$AV$258,'G-2 Habitat groups'!A122,'A-1 On-Site Habitat Baseline'!$U$11:$U$258)+SUMIF('A-1 On-Site Habitat Baseline'!$AV$11:$AV$258,'G-2 Habitat groups'!A122,'A-1 On-Site Habitat Baseline'!$AT$11:$AT$258)</f>
        <v>0</v>
      </c>
      <c r="I122" s="1056">
        <f>SUMIF('A-1 On-Site Habitat Baseline'!$AV$11:$AV$258,'G-2 Habitat groups'!A122,'A-1 On-Site Habitat Baseline'!$W$11:$W$258)</f>
        <v>0</v>
      </c>
      <c r="J122" s="1056">
        <f>SUMIF('A-1 On-Site Habitat Baseline'!$AV$11:$AV$258,'G-2 Habitat groups'!A122,'A-1 On-Site Habitat Baseline'!$X$11:$X$258)</f>
        <v>0</v>
      </c>
      <c r="K122" s="1056">
        <f>SUMIF('A-2 On-Site Habitat Creation'!$F$11:$F$256,'G-2 Habitat groups'!A122,'A-2 On-Site Habitat Creation'!$G$11:$G$256)</f>
        <v>0</v>
      </c>
      <c r="L122" s="1056">
        <f>SUMIF('A-2 On-Site Habitat Creation'!$F$11:$F$256,'G-2 Habitat groups'!A122,'A-2 On-Site Habitat Creation'!$Y$11:$Y$256)</f>
        <v>0</v>
      </c>
      <c r="M122" s="1056">
        <f>SUMIF('A-3 On-Site Habitat Enhancement'!$S$12:$S$257,'G-2 Habitat groups'!A122,'A-3 On-Site Habitat Enhancement'!$V$12:$V$257)</f>
        <v>0</v>
      </c>
      <c r="N122" s="1056">
        <f>SUMIF('A-3 On-Site Habitat Enhancement'!$S$12:$S$257,'G-2 Habitat groups'!A122,'A-3 On-Site Habitat Enhancement'!$AN$12:$AN$257)</f>
        <v>0</v>
      </c>
      <c r="O122" s="1056">
        <f t="shared" si="76"/>
        <v>0</v>
      </c>
      <c r="P122" s="1056">
        <f t="shared" si="77"/>
        <v>0</v>
      </c>
      <c r="Q122" s="1056">
        <f t="shared" si="78"/>
        <v>0</v>
      </c>
      <c r="R122" s="1056">
        <f t="shared" si="79"/>
        <v>0</v>
      </c>
      <c r="S122" s="1056">
        <f>SUMIF('D-1 Off-Site Habitat Baseline'!$AV$11:$AV$258,'G-2 Habitat groups'!A122,'D-1 Off-Site Habitat Baseline'!$H$11:$H$258)</f>
        <v>0</v>
      </c>
      <c r="T122" s="1056">
        <f>SUMIF('D-1 Off-Site Habitat Baseline'!$AV$11:$AV$258,'G-2 Habitat groups'!A122,'D-1 Off-Site Habitat Baseline'!$T$11:$T$258)</f>
        <v>0</v>
      </c>
      <c r="U122" s="1056">
        <f>SUMIF('D-1 Off-Site Habitat Baseline'!$AV$11:$AV$258,'G-2 Habitat groups'!A122,'D-1 Off-Site Habitat Baseline'!$V$11:$V$258)</f>
        <v>0</v>
      </c>
      <c r="V122" s="1056">
        <f>SUMIF('D-1 Off-Site Habitat Baseline'!$AV$11:$AV$258,'G-2 Habitat groups'!A122,'D-1 Off-Site Habitat Baseline'!$X$11:$X$258)+SUMIF('D-1 Off-Site Habitat Baseline'!$AV$11:$AV$258,'G-2 Habitat groups'!A122,'D-1 Off-Site Habitat Baseline'!$AS$11:$AS$258)</f>
        <v>0</v>
      </c>
      <c r="W122" s="1056">
        <f>SUMIF('D-2 Off-Site Habitat Creation'!$F$9:$F$255,'G-2 Habitat groups'!A122,'D-2 Off-Site Habitat Creation'!$G$9:$G$255)</f>
        <v>0</v>
      </c>
      <c r="X122" s="1056">
        <f>SUMIF('D-2 Off-Site Habitat Creation'!$F$9:$F$255,'G-2 Habitat groups'!A122,'D-2 Off-Site Habitat Creation'!$AB$9:$AB$255)</f>
        <v>0</v>
      </c>
      <c r="Y122" s="1056">
        <f>SUMIF('D-3 Off-Site Habitat Enhancment'!$S$12:$S$491,'G-2 Habitat groups'!A122,'D-3 Off-Site Habitat Enhancment'!$V$12:$V$491)</f>
        <v>0</v>
      </c>
      <c r="Z122" s="1056">
        <f>SUMIF('D-3 Off-Site Habitat Enhancment'!$S$12:$S$491,'G-2 Habitat groups'!A122,'D-3 Off-Site Habitat Enhancment'!$AQ$12:$AQ$491)</f>
        <v>0</v>
      </c>
      <c r="AA122" s="1056">
        <f t="shared" si="80"/>
        <v>0</v>
      </c>
      <c r="AB122" s="1056">
        <f t="shared" si="81"/>
        <v>0</v>
      </c>
      <c r="AC122" s="1056">
        <f t="shared" si="82"/>
        <v>0</v>
      </c>
      <c r="AD122" s="1056">
        <f t="shared" si="83"/>
        <v>0</v>
      </c>
      <c r="AE122" s="1056">
        <f t="shared" si="84"/>
        <v>0</v>
      </c>
      <c r="AF122" s="1056">
        <f t="shared" si="85"/>
        <v>0</v>
      </c>
      <c r="AU122" s="70" t="s">
        <v>792</v>
      </c>
      <c r="AV122" s="62" t="s">
        <v>108</v>
      </c>
      <c r="AW122" s="274">
        <f>VLOOKUP($AU122,AllHabsSummaryData,5,FALSE)</f>
        <v>0</v>
      </c>
      <c r="AX122" s="274">
        <f t="shared" si="89"/>
        <v>0</v>
      </c>
      <c r="AY122" s="274">
        <f t="shared" si="90"/>
        <v>0</v>
      </c>
      <c r="AZ122" s="274">
        <f t="shared" si="91"/>
        <v>0</v>
      </c>
      <c r="BA122" s="274">
        <f t="shared" si="92"/>
        <v>0</v>
      </c>
      <c r="BB122" s="274">
        <f t="shared" si="93"/>
        <v>0</v>
      </c>
      <c r="BC122" s="274">
        <f t="shared" si="94"/>
        <v>0</v>
      </c>
      <c r="BD122" s="274">
        <f t="shared" si="95"/>
        <v>0</v>
      </c>
      <c r="BE122" s="274">
        <f t="shared" si="87"/>
        <v>0</v>
      </c>
      <c r="BF122" s="274" t="str">
        <f t="shared" si="88"/>
        <v/>
      </c>
    </row>
    <row r="123" spans="1:58" ht="14">
      <c r="A123" s="72" t="str">
        <f>'G-1 All Habitats'!B124</f>
        <v>Intertidal sediment - Artificial littoral mud</v>
      </c>
      <c r="B123" s="72" t="s">
        <v>113</v>
      </c>
      <c r="C123" s="72" t="str">
        <f>'G-1 All Habitats'!K124</f>
        <v>Low</v>
      </c>
      <c r="D123" s="72" t="str">
        <f>'G-1 All Habitats'!M124</f>
        <v>Same distinctiveness or better habitat required ≥</v>
      </c>
      <c r="E123" s="1056">
        <f>SUMIF('A-1 On-Site Habitat Baseline'!$AV$11:$AV$258,'G-2 Habitat groups'!A123,'A-1 On-Site Habitat Baseline'!$H$11:$H$258)</f>
        <v>0</v>
      </c>
      <c r="F123" s="1056">
        <f>SUMIF('A-1 On-Site Habitat Baseline'!$AV$11:$AV$258,'G-2 Habitat groups'!A123,'A-1 On-Site Habitat Baseline'!$Q$11:$Q$258)</f>
        <v>0</v>
      </c>
      <c r="G123" s="1056">
        <f>SUMIF('A-1 On-Site Habitat Baseline'!$AV$11:$AV$258,'G-2 Habitat groups'!A123,'A-1 On-Site Habitat Baseline'!$S$11:$S$258)</f>
        <v>0</v>
      </c>
      <c r="H123" s="1056">
        <f>SUMIF('A-1 On-Site Habitat Baseline'!$AV$11:$AV$258,'G-2 Habitat groups'!A123,'A-1 On-Site Habitat Baseline'!$U$11:$U$258)+SUMIF('A-1 On-Site Habitat Baseline'!$AV$11:$AV$258,'G-2 Habitat groups'!A123,'A-1 On-Site Habitat Baseline'!$AT$11:$AT$258)</f>
        <v>0</v>
      </c>
      <c r="I123" s="1056">
        <f>SUMIF('A-1 On-Site Habitat Baseline'!$AV$11:$AV$258,'G-2 Habitat groups'!A123,'A-1 On-Site Habitat Baseline'!$W$11:$W$258)</f>
        <v>0</v>
      </c>
      <c r="J123" s="1056">
        <f>SUMIF('A-1 On-Site Habitat Baseline'!$AV$11:$AV$258,'G-2 Habitat groups'!A123,'A-1 On-Site Habitat Baseline'!$X$11:$X$258)</f>
        <v>0</v>
      </c>
      <c r="K123" s="1056">
        <f>SUMIF('A-2 On-Site Habitat Creation'!$F$11:$F$256,'G-2 Habitat groups'!A123,'A-2 On-Site Habitat Creation'!$G$11:$G$256)</f>
        <v>0</v>
      </c>
      <c r="L123" s="1056">
        <f>SUMIF('A-2 On-Site Habitat Creation'!$F$11:$F$256,'G-2 Habitat groups'!A123,'A-2 On-Site Habitat Creation'!$Y$11:$Y$256)</f>
        <v>0</v>
      </c>
      <c r="M123" s="1056">
        <f>SUMIF('A-3 On-Site Habitat Enhancement'!$S$12:$S$257,'G-2 Habitat groups'!A123,'A-3 On-Site Habitat Enhancement'!$V$12:$V$257)</f>
        <v>0</v>
      </c>
      <c r="N123" s="1056">
        <f>SUMIF('A-3 On-Site Habitat Enhancement'!$S$12:$S$257,'G-2 Habitat groups'!A123,'A-3 On-Site Habitat Enhancement'!$AN$12:$AN$257)</f>
        <v>0</v>
      </c>
      <c r="O123" s="1056">
        <f t="shared" si="76"/>
        <v>0</v>
      </c>
      <c r="P123" s="1056">
        <f t="shared" si="77"/>
        <v>0</v>
      </c>
      <c r="Q123" s="1056">
        <f t="shared" si="78"/>
        <v>0</v>
      </c>
      <c r="R123" s="1056">
        <f t="shared" si="79"/>
        <v>0</v>
      </c>
      <c r="S123" s="1056">
        <f>SUMIF('D-1 Off-Site Habitat Baseline'!$AV$11:$AV$258,'G-2 Habitat groups'!A123,'D-1 Off-Site Habitat Baseline'!$H$11:$H$258)</f>
        <v>0</v>
      </c>
      <c r="T123" s="1056">
        <f>SUMIF('D-1 Off-Site Habitat Baseline'!$AV$11:$AV$258,'G-2 Habitat groups'!A123,'D-1 Off-Site Habitat Baseline'!$T$11:$T$258)</f>
        <v>0</v>
      </c>
      <c r="U123" s="1056">
        <f>SUMIF('D-1 Off-Site Habitat Baseline'!$AV$11:$AV$258,'G-2 Habitat groups'!A123,'D-1 Off-Site Habitat Baseline'!$V$11:$V$258)</f>
        <v>0</v>
      </c>
      <c r="V123" s="1056">
        <f>SUMIF('D-1 Off-Site Habitat Baseline'!$AV$11:$AV$258,'G-2 Habitat groups'!A123,'D-1 Off-Site Habitat Baseline'!$X$11:$X$258)+SUMIF('D-1 Off-Site Habitat Baseline'!$AV$11:$AV$258,'G-2 Habitat groups'!A123,'D-1 Off-Site Habitat Baseline'!$AS$11:$AS$258)</f>
        <v>0</v>
      </c>
      <c r="W123" s="1056">
        <f>SUMIF('D-2 Off-Site Habitat Creation'!$F$9:$F$255,'G-2 Habitat groups'!A123,'D-2 Off-Site Habitat Creation'!$G$9:$G$255)</f>
        <v>0</v>
      </c>
      <c r="X123" s="1056">
        <f>SUMIF('D-2 Off-Site Habitat Creation'!$F$9:$F$255,'G-2 Habitat groups'!A123,'D-2 Off-Site Habitat Creation'!$AB$9:$AB$255)</f>
        <v>0</v>
      </c>
      <c r="Y123" s="1056">
        <f>SUMIF('D-3 Off-Site Habitat Enhancment'!$S$12:$S$491,'G-2 Habitat groups'!A123,'D-3 Off-Site Habitat Enhancment'!$V$12:$V$491)</f>
        <v>0</v>
      </c>
      <c r="Z123" s="1056">
        <f>SUMIF('D-3 Off-Site Habitat Enhancment'!$S$12:$S$491,'G-2 Habitat groups'!A123,'D-3 Off-Site Habitat Enhancment'!$AQ$12:$AQ$491)</f>
        <v>0</v>
      </c>
      <c r="AA123" s="1056">
        <f t="shared" si="80"/>
        <v>0</v>
      </c>
      <c r="AB123" s="1056">
        <f t="shared" si="81"/>
        <v>0</v>
      </c>
      <c r="AC123" s="1056">
        <f t="shared" si="82"/>
        <v>0</v>
      </c>
      <c r="AD123" s="1056">
        <f t="shared" si="83"/>
        <v>0</v>
      </c>
      <c r="AE123" s="1056">
        <f t="shared" si="84"/>
        <v>0</v>
      </c>
      <c r="AF123" s="1056">
        <f t="shared" si="85"/>
        <v>0</v>
      </c>
      <c r="AU123" s="70" t="s">
        <v>1105</v>
      </c>
      <c r="AV123" s="62" t="s">
        <v>109</v>
      </c>
      <c r="AW123" s="274">
        <f>VLOOKUP($AU123,AllHabsSummaryData,5,FALSE)</f>
        <v>0</v>
      </c>
      <c r="AX123" s="274">
        <f t="shared" si="89"/>
        <v>0</v>
      </c>
      <c r="AY123" s="274">
        <f t="shared" si="90"/>
        <v>0</v>
      </c>
      <c r="AZ123" s="274">
        <f t="shared" si="91"/>
        <v>0</v>
      </c>
      <c r="BA123" s="274">
        <f t="shared" si="92"/>
        <v>0</v>
      </c>
      <c r="BB123" s="274">
        <f t="shared" si="93"/>
        <v>0</v>
      </c>
      <c r="BC123" s="274">
        <f t="shared" si="94"/>
        <v>0</v>
      </c>
      <c r="BD123" s="274">
        <f t="shared" si="95"/>
        <v>0</v>
      </c>
      <c r="BE123" s="274">
        <f t="shared" si="87"/>
        <v>0</v>
      </c>
      <c r="BF123" s="274" t="str">
        <f t="shared" si="88"/>
        <v/>
      </c>
    </row>
    <row r="124" spans="1:58" ht="14">
      <c r="A124" s="72" t="str">
        <f>'G-1 All Habitats'!B125</f>
        <v>Intertidal sediment - Artificial littoral sand</v>
      </c>
      <c r="B124" s="72" t="s">
        <v>113</v>
      </c>
      <c r="C124" s="72" t="str">
        <f>'G-1 All Habitats'!K125</f>
        <v>Low</v>
      </c>
      <c r="D124" s="72" t="str">
        <f>'G-1 All Habitats'!M125</f>
        <v>Same distinctiveness or better habitat required ≥</v>
      </c>
      <c r="E124" s="1056">
        <f>SUMIF('A-1 On-Site Habitat Baseline'!$AV$11:$AV$258,'G-2 Habitat groups'!A124,'A-1 On-Site Habitat Baseline'!$H$11:$H$258)</f>
        <v>0</v>
      </c>
      <c r="F124" s="1056">
        <f>SUMIF('A-1 On-Site Habitat Baseline'!$AV$11:$AV$258,'G-2 Habitat groups'!A124,'A-1 On-Site Habitat Baseline'!$Q$11:$Q$258)</f>
        <v>0</v>
      </c>
      <c r="G124" s="1056">
        <f>SUMIF('A-1 On-Site Habitat Baseline'!$AV$11:$AV$258,'G-2 Habitat groups'!A124,'A-1 On-Site Habitat Baseline'!$S$11:$S$258)</f>
        <v>0</v>
      </c>
      <c r="H124" s="1056">
        <f>SUMIF('A-1 On-Site Habitat Baseline'!$AV$11:$AV$258,'G-2 Habitat groups'!A124,'A-1 On-Site Habitat Baseline'!$U$11:$U$258)+SUMIF('A-1 On-Site Habitat Baseline'!$AV$11:$AV$258,'G-2 Habitat groups'!A124,'A-1 On-Site Habitat Baseline'!$AT$11:$AT$258)</f>
        <v>0</v>
      </c>
      <c r="I124" s="1056">
        <f>SUMIF('A-1 On-Site Habitat Baseline'!$AV$11:$AV$258,'G-2 Habitat groups'!A124,'A-1 On-Site Habitat Baseline'!$W$11:$W$258)</f>
        <v>0</v>
      </c>
      <c r="J124" s="1056">
        <f>SUMIF('A-1 On-Site Habitat Baseline'!$AV$11:$AV$258,'G-2 Habitat groups'!A124,'A-1 On-Site Habitat Baseline'!$X$11:$X$258)</f>
        <v>0</v>
      </c>
      <c r="K124" s="1056">
        <f>SUMIF('A-2 On-Site Habitat Creation'!$F$11:$F$256,'G-2 Habitat groups'!A124,'A-2 On-Site Habitat Creation'!$G$11:$G$256)</f>
        <v>0</v>
      </c>
      <c r="L124" s="1056">
        <f>SUMIF('A-2 On-Site Habitat Creation'!$F$11:$F$256,'G-2 Habitat groups'!A124,'A-2 On-Site Habitat Creation'!$Y$11:$Y$256)</f>
        <v>0</v>
      </c>
      <c r="M124" s="1056">
        <f>SUMIF('A-3 On-Site Habitat Enhancement'!$S$12:$S$257,'G-2 Habitat groups'!A124,'A-3 On-Site Habitat Enhancement'!$V$12:$V$257)</f>
        <v>0</v>
      </c>
      <c r="N124" s="1056">
        <f>SUMIF('A-3 On-Site Habitat Enhancement'!$S$12:$S$257,'G-2 Habitat groups'!A124,'A-3 On-Site Habitat Enhancement'!$AN$12:$AN$257)</f>
        <v>0</v>
      </c>
      <c r="O124" s="1056">
        <f t="shared" si="76"/>
        <v>0</v>
      </c>
      <c r="P124" s="1056">
        <f t="shared" si="77"/>
        <v>0</v>
      </c>
      <c r="Q124" s="1056">
        <f t="shared" si="78"/>
        <v>0</v>
      </c>
      <c r="R124" s="1056">
        <f t="shared" si="79"/>
        <v>0</v>
      </c>
      <c r="S124" s="1056">
        <f>SUMIF('D-1 Off-Site Habitat Baseline'!$AV$11:$AV$258,'G-2 Habitat groups'!A124,'D-1 Off-Site Habitat Baseline'!$H$11:$H$258)</f>
        <v>0</v>
      </c>
      <c r="T124" s="1056">
        <f>SUMIF('D-1 Off-Site Habitat Baseline'!$AV$11:$AV$258,'G-2 Habitat groups'!A124,'D-1 Off-Site Habitat Baseline'!$T$11:$T$258)</f>
        <v>0</v>
      </c>
      <c r="U124" s="1056">
        <f>SUMIF('D-1 Off-Site Habitat Baseline'!$AV$11:$AV$258,'G-2 Habitat groups'!A124,'D-1 Off-Site Habitat Baseline'!$V$11:$V$258)</f>
        <v>0</v>
      </c>
      <c r="V124" s="1056">
        <f>SUMIF('D-1 Off-Site Habitat Baseline'!$AV$11:$AV$258,'G-2 Habitat groups'!A124,'D-1 Off-Site Habitat Baseline'!$X$11:$X$258)+SUMIF('D-1 Off-Site Habitat Baseline'!$AV$11:$AV$258,'G-2 Habitat groups'!A124,'D-1 Off-Site Habitat Baseline'!$AS$11:$AS$258)</f>
        <v>0</v>
      </c>
      <c r="W124" s="1056">
        <f>SUMIF('D-2 Off-Site Habitat Creation'!$F$9:$F$255,'G-2 Habitat groups'!A124,'D-2 Off-Site Habitat Creation'!$G$9:$G$255)</f>
        <v>0</v>
      </c>
      <c r="X124" s="1056">
        <f>SUMIF('D-2 Off-Site Habitat Creation'!$F$9:$F$255,'G-2 Habitat groups'!A124,'D-2 Off-Site Habitat Creation'!$AB$9:$AB$255)</f>
        <v>0</v>
      </c>
      <c r="Y124" s="1056">
        <f>SUMIF('D-3 Off-Site Habitat Enhancment'!$S$12:$S$491,'G-2 Habitat groups'!A124,'D-3 Off-Site Habitat Enhancment'!$V$12:$V$491)</f>
        <v>0</v>
      </c>
      <c r="Z124" s="1056">
        <f>SUMIF('D-3 Off-Site Habitat Enhancment'!$S$12:$S$491,'G-2 Habitat groups'!A124,'D-3 Off-Site Habitat Enhancment'!$AQ$12:$AQ$491)</f>
        <v>0</v>
      </c>
      <c r="AA124" s="1056">
        <f t="shared" si="80"/>
        <v>0</v>
      </c>
      <c r="AB124" s="1056">
        <f t="shared" si="81"/>
        <v>0</v>
      </c>
      <c r="AC124" s="1056">
        <f t="shared" si="82"/>
        <v>0</v>
      </c>
      <c r="AD124" s="1056">
        <f t="shared" si="83"/>
        <v>0</v>
      </c>
      <c r="AE124" s="1056">
        <f t="shared" si="84"/>
        <v>0</v>
      </c>
      <c r="AF124" s="1056">
        <f t="shared" si="85"/>
        <v>0</v>
      </c>
      <c r="AU124" s="70" t="s">
        <v>842</v>
      </c>
      <c r="AV124" s="62" t="s">
        <v>110</v>
      </c>
      <c r="AW124" s="274">
        <f t="shared" si="96" ref="AW124:AW151">VLOOKUP($AU124,AllHabsSummaryData,5,FALSE)</f>
        <v>0</v>
      </c>
      <c r="AX124" s="274">
        <f t="shared" si="89"/>
        <v>0</v>
      </c>
      <c r="AY124" s="274">
        <f t="shared" si="90"/>
        <v>0</v>
      </c>
      <c r="AZ124" s="274">
        <f t="shared" si="91"/>
        <v>0</v>
      </c>
      <c r="BA124" s="274">
        <f t="shared" si="92"/>
        <v>0</v>
      </c>
      <c r="BB124" s="274">
        <f t="shared" si="93"/>
        <v>0</v>
      </c>
      <c r="BC124" s="274">
        <f t="shared" si="94"/>
        <v>0</v>
      </c>
      <c r="BD124" s="274">
        <f t="shared" si="95"/>
        <v>0</v>
      </c>
      <c r="BE124" s="274">
        <f t="shared" si="87"/>
        <v>0</v>
      </c>
      <c r="BF124" s="274" t="str">
        <f t="shared" si="88"/>
        <v/>
      </c>
    </row>
    <row r="125" spans="1:58" ht="14">
      <c r="A125" s="72" t="str">
        <f>'G-1 All Habitats'!B126</f>
        <v>Intertidal sediment - Artificial littoral muddy sand</v>
      </c>
      <c r="B125" s="72" t="s">
        <v>113</v>
      </c>
      <c r="C125" s="72" t="str">
        <f>'G-1 All Habitats'!K126</f>
        <v>Low</v>
      </c>
      <c r="D125" s="72" t="str">
        <f>'G-1 All Habitats'!M126</f>
        <v>Same distinctiveness or better habitat required ≥</v>
      </c>
      <c r="E125" s="1056">
        <f>SUMIF('A-1 On-Site Habitat Baseline'!$AV$11:$AV$258,'G-2 Habitat groups'!A125,'A-1 On-Site Habitat Baseline'!$H$11:$H$258)</f>
        <v>0</v>
      </c>
      <c r="F125" s="1056">
        <f>SUMIF('A-1 On-Site Habitat Baseline'!$AV$11:$AV$258,'G-2 Habitat groups'!A125,'A-1 On-Site Habitat Baseline'!$Q$11:$Q$258)</f>
        <v>0</v>
      </c>
      <c r="G125" s="1056">
        <f>SUMIF('A-1 On-Site Habitat Baseline'!$AV$11:$AV$258,'G-2 Habitat groups'!A125,'A-1 On-Site Habitat Baseline'!$S$11:$S$258)</f>
        <v>0</v>
      </c>
      <c r="H125" s="1056">
        <f>SUMIF('A-1 On-Site Habitat Baseline'!$AV$11:$AV$258,'G-2 Habitat groups'!A125,'A-1 On-Site Habitat Baseline'!$U$11:$U$258)+SUMIF('A-1 On-Site Habitat Baseline'!$AV$11:$AV$258,'G-2 Habitat groups'!A125,'A-1 On-Site Habitat Baseline'!$AT$11:$AT$258)</f>
        <v>0</v>
      </c>
      <c r="I125" s="1056">
        <f>SUMIF('A-1 On-Site Habitat Baseline'!$AV$11:$AV$258,'G-2 Habitat groups'!A125,'A-1 On-Site Habitat Baseline'!$W$11:$W$258)</f>
        <v>0</v>
      </c>
      <c r="J125" s="1056">
        <f>SUMIF('A-1 On-Site Habitat Baseline'!$AV$11:$AV$258,'G-2 Habitat groups'!A125,'A-1 On-Site Habitat Baseline'!$X$11:$X$258)</f>
        <v>0</v>
      </c>
      <c r="K125" s="1056">
        <f>SUMIF('A-2 On-Site Habitat Creation'!$F$11:$F$256,'G-2 Habitat groups'!A125,'A-2 On-Site Habitat Creation'!$G$11:$G$256)</f>
        <v>0</v>
      </c>
      <c r="L125" s="1056">
        <f>SUMIF('A-2 On-Site Habitat Creation'!$F$11:$F$256,'G-2 Habitat groups'!A125,'A-2 On-Site Habitat Creation'!$Y$11:$Y$256)</f>
        <v>0</v>
      </c>
      <c r="M125" s="1056">
        <f>SUMIF('A-3 On-Site Habitat Enhancement'!$S$12:$S$257,'G-2 Habitat groups'!A125,'A-3 On-Site Habitat Enhancement'!$V$12:$V$257)</f>
        <v>0</v>
      </c>
      <c r="N125" s="1056">
        <f>SUMIF('A-3 On-Site Habitat Enhancement'!$S$12:$S$257,'G-2 Habitat groups'!A125,'A-3 On-Site Habitat Enhancement'!$AN$12:$AN$257)</f>
        <v>0</v>
      </c>
      <c r="O125" s="1056">
        <f t="shared" si="76"/>
        <v>0</v>
      </c>
      <c r="P125" s="1056">
        <f t="shared" si="77"/>
        <v>0</v>
      </c>
      <c r="Q125" s="1056">
        <f t="shared" si="78"/>
        <v>0</v>
      </c>
      <c r="R125" s="1056">
        <f t="shared" si="79"/>
        <v>0</v>
      </c>
      <c r="S125" s="1056">
        <f>SUMIF('D-1 Off-Site Habitat Baseline'!$AV$11:$AV$258,'G-2 Habitat groups'!A125,'D-1 Off-Site Habitat Baseline'!$H$11:$H$258)</f>
        <v>0</v>
      </c>
      <c r="T125" s="1056">
        <f>SUMIF('D-1 Off-Site Habitat Baseline'!$AV$11:$AV$258,'G-2 Habitat groups'!A125,'D-1 Off-Site Habitat Baseline'!$T$11:$T$258)</f>
        <v>0</v>
      </c>
      <c r="U125" s="1056">
        <f>SUMIF('D-1 Off-Site Habitat Baseline'!$AV$11:$AV$258,'G-2 Habitat groups'!A125,'D-1 Off-Site Habitat Baseline'!$V$11:$V$258)</f>
        <v>0</v>
      </c>
      <c r="V125" s="1056">
        <f>SUMIF('D-1 Off-Site Habitat Baseline'!$AV$11:$AV$258,'G-2 Habitat groups'!A125,'D-1 Off-Site Habitat Baseline'!$X$11:$X$258)+SUMIF('D-1 Off-Site Habitat Baseline'!$AV$11:$AV$258,'G-2 Habitat groups'!A125,'D-1 Off-Site Habitat Baseline'!$AS$11:$AS$258)</f>
        <v>0</v>
      </c>
      <c r="W125" s="1056">
        <f>SUMIF('D-2 Off-Site Habitat Creation'!$F$9:$F$255,'G-2 Habitat groups'!A125,'D-2 Off-Site Habitat Creation'!$G$9:$G$255)</f>
        <v>0</v>
      </c>
      <c r="X125" s="1056">
        <f>SUMIF('D-2 Off-Site Habitat Creation'!$F$9:$F$255,'G-2 Habitat groups'!A125,'D-2 Off-Site Habitat Creation'!$AB$9:$AB$255)</f>
        <v>0</v>
      </c>
      <c r="Y125" s="1056">
        <f>SUMIF('D-3 Off-Site Habitat Enhancment'!$S$12:$S$491,'G-2 Habitat groups'!A125,'D-3 Off-Site Habitat Enhancment'!$V$12:$V$491)</f>
        <v>0</v>
      </c>
      <c r="Z125" s="1056">
        <f>SUMIF('D-3 Off-Site Habitat Enhancment'!$S$12:$S$491,'G-2 Habitat groups'!A125,'D-3 Off-Site Habitat Enhancment'!$AQ$12:$AQ$491)</f>
        <v>0</v>
      </c>
      <c r="AA125" s="1056">
        <f t="shared" si="80"/>
        <v>0</v>
      </c>
      <c r="AB125" s="1056">
        <f t="shared" si="81"/>
        <v>0</v>
      </c>
      <c r="AC125" s="1056">
        <f t="shared" si="82"/>
        <v>0</v>
      </c>
      <c r="AD125" s="1056">
        <f t="shared" si="83"/>
        <v>0</v>
      </c>
      <c r="AE125" s="1056">
        <f t="shared" si="84"/>
        <v>0</v>
      </c>
      <c r="AF125" s="1056">
        <f t="shared" si="85"/>
        <v>0</v>
      </c>
      <c r="AU125" s="70" t="s">
        <v>835</v>
      </c>
      <c r="AV125" s="62" t="s">
        <v>110</v>
      </c>
      <c r="AW125" s="274">
        <f t="shared" si="96"/>
        <v>0</v>
      </c>
      <c r="AX125" s="274">
        <f t="shared" si="89"/>
        <v>0</v>
      </c>
      <c r="AY125" s="274">
        <f t="shared" si="90"/>
        <v>0</v>
      </c>
      <c r="AZ125" s="274">
        <f t="shared" si="91"/>
        <v>0</v>
      </c>
      <c r="BA125" s="274">
        <f t="shared" si="92"/>
        <v>0</v>
      </c>
      <c r="BB125" s="274">
        <f t="shared" si="93"/>
        <v>0</v>
      </c>
      <c r="BC125" s="274">
        <f t="shared" si="94"/>
        <v>0</v>
      </c>
      <c r="BD125" s="274">
        <f t="shared" si="95"/>
        <v>0</v>
      </c>
      <c r="BE125" s="274">
        <f t="shared" si="87"/>
        <v>0</v>
      </c>
      <c r="BF125" s="274" t="str">
        <f t="shared" si="88"/>
        <v/>
      </c>
    </row>
    <row r="126" spans="1:58" ht="14">
      <c r="A126" s="72" t="str">
        <f>'G-1 All Habitats'!B127</f>
        <v>Intertidal sediment - Artificial littoral mixed sediments</v>
      </c>
      <c r="B126" s="72" t="s">
        <v>113</v>
      </c>
      <c r="C126" s="72" t="str">
        <f>'G-1 All Habitats'!K127</f>
        <v>Low</v>
      </c>
      <c r="D126" s="72" t="str">
        <f>'G-1 All Habitats'!M127</f>
        <v>Same distinctiveness or better habitat required ≥</v>
      </c>
      <c r="E126" s="1056">
        <f>SUMIF('A-1 On-Site Habitat Baseline'!$AV$11:$AV$258,'G-2 Habitat groups'!A126,'A-1 On-Site Habitat Baseline'!$H$11:$H$258)</f>
        <v>0</v>
      </c>
      <c r="F126" s="1056">
        <f>SUMIF('A-1 On-Site Habitat Baseline'!$AV$11:$AV$258,'G-2 Habitat groups'!A126,'A-1 On-Site Habitat Baseline'!$Q$11:$Q$258)</f>
        <v>0</v>
      </c>
      <c r="G126" s="1056">
        <f>SUMIF('A-1 On-Site Habitat Baseline'!$AV$11:$AV$258,'G-2 Habitat groups'!A126,'A-1 On-Site Habitat Baseline'!$S$11:$S$258)</f>
        <v>0</v>
      </c>
      <c r="H126" s="1056">
        <f>SUMIF('A-1 On-Site Habitat Baseline'!$AV$11:$AV$258,'G-2 Habitat groups'!A126,'A-1 On-Site Habitat Baseline'!$U$11:$U$258)+SUMIF('A-1 On-Site Habitat Baseline'!$AV$11:$AV$258,'G-2 Habitat groups'!A126,'A-1 On-Site Habitat Baseline'!$AT$11:$AT$258)</f>
        <v>0</v>
      </c>
      <c r="I126" s="1056">
        <f>SUMIF('A-1 On-Site Habitat Baseline'!$AV$11:$AV$258,'G-2 Habitat groups'!A126,'A-1 On-Site Habitat Baseline'!$W$11:$W$258)</f>
        <v>0</v>
      </c>
      <c r="J126" s="1056">
        <f>SUMIF('A-1 On-Site Habitat Baseline'!$AV$11:$AV$258,'G-2 Habitat groups'!A126,'A-1 On-Site Habitat Baseline'!$X$11:$X$258)</f>
        <v>0</v>
      </c>
      <c r="K126" s="1056">
        <f>SUMIF('A-2 On-Site Habitat Creation'!$F$11:$F$256,'G-2 Habitat groups'!A126,'A-2 On-Site Habitat Creation'!$G$11:$G$256)</f>
        <v>0</v>
      </c>
      <c r="L126" s="1056">
        <f>SUMIF('A-2 On-Site Habitat Creation'!$F$11:$F$256,'G-2 Habitat groups'!A126,'A-2 On-Site Habitat Creation'!$Y$11:$Y$256)</f>
        <v>0</v>
      </c>
      <c r="M126" s="1056">
        <f>SUMIF('A-3 On-Site Habitat Enhancement'!$S$12:$S$257,'G-2 Habitat groups'!A126,'A-3 On-Site Habitat Enhancement'!$V$12:$V$257)</f>
        <v>0</v>
      </c>
      <c r="N126" s="1056">
        <f>SUMIF('A-3 On-Site Habitat Enhancement'!$S$12:$S$257,'G-2 Habitat groups'!A126,'A-3 On-Site Habitat Enhancement'!$AN$12:$AN$257)</f>
        <v>0</v>
      </c>
      <c r="O126" s="1056">
        <f t="shared" si="76"/>
        <v>0</v>
      </c>
      <c r="P126" s="1056">
        <f t="shared" si="77"/>
        <v>0</v>
      </c>
      <c r="Q126" s="1056">
        <f t="shared" si="78"/>
        <v>0</v>
      </c>
      <c r="R126" s="1056">
        <f t="shared" si="79"/>
        <v>0</v>
      </c>
      <c r="S126" s="1056">
        <f>SUMIF('D-1 Off-Site Habitat Baseline'!$AV$11:$AV$258,'G-2 Habitat groups'!A126,'D-1 Off-Site Habitat Baseline'!$H$11:$H$258)</f>
        <v>0</v>
      </c>
      <c r="T126" s="1056">
        <f>SUMIF('D-1 Off-Site Habitat Baseline'!$AV$11:$AV$258,'G-2 Habitat groups'!A126,'D-1 Off-Site Habitat Baseline'!$T$11:$T$258)</f>
        <v>0</v>
      </c>
      <c r="U126" s="1056">
        <f>SUMIF('D-1 Off-Site Habitat Baseline'!$AV$11:$AV$258,'G-2 Habitat groups'!A126,'D-1 Off-Site Habitat Baseline'!$V$11:$V$258)</f>
        <v>0</v>
      </c>
      <c r="V126" s="1056">
        <f>SUMIF('D-1 Off-Site Habitat Baseline'!$AV$11:$AV$258,'G-2 Habitat groups'!A126,'D-1 Off-Site Habitat Baseline'!$X$11:$X$258)+SUMIF('D-1 Off-Site Habitat Baseline'!$AV$11:$AV$258,'G-2 Habitat groups'!A126,'D-1 Off-Site Habitat Baseline'!$AS$11:$AS$258)</f>
        <v>0</v>
      </c>
      <c r="W126" s="1056">
        <f>SUMIF('D-2 Off-Site Habitat Creation'!$F$9:$F$255,'G-2 Habitat groups'!A126,'D-2 Off-Site Habitat Creation'!$G$9:$G$255)</f>
        <v>0</v>
      </c>
      <c r="X126" s="1056">
        <f>SUMIF('D-2 Off-Site Habitat Creation'!$F$9:$F$255,'G-2 Habitat groups'!A126,'D-2 Off-Site Habitat Creation'!$AB$9:$AB$255)</f>
        <v>0</v>
      </c>
      <c r="Y126" s="1056">
        <f>SUMIF('D-3 Off-Site Habitat Enhancment'!$S$12:$S$491,'G-2 Habitat groups'!A126,'D-3 Off-Site Habitat Enhancment'!$V$12:$V$491)</f>
        <v>0</v>
      </c>
      <c r="Z126" s="1056">
        <f>SUMIF('D-3 Off-Site Habitat Enhancment'!$S$12:$S$491,'G-2 Habitat groups'!A126,'D-3 Off-Site Habitat Enhancment'!$AQ$12:$AQ$491)</f>
        <v>0</v>
      </c>
      <c r="AA126" s="1056">
        <f t="shared" si="80"/>
        <v>0</v>
      </c>
      <c r="AB126" s="1056">
        <f t="shared" si="81"/>
        <v>0</v>
      </c>
      <c r="AC126" s="1056">
        <f t="shared" si="82"/>
        <v>0</v>
      </c>
      <c r="AD126" s="1056">
        <f t="shared" si="83"/>
        <v>0</v>
      </c>
      <c r="AE126" s="1056">
        <f t="shared" si="84"/>
        <v>0</v>
      </c>
      <c r="AF126" s="1056">
        <f t="shared" si="85"/>
        <v>0</v>
      </c>
      <c r="AU126" s="70" t="s">
        <v>855</v>
      </c>
      <c r="AV126" s="62" t="s">
        <v>110</v>
      </c>
      <c r="AW126" s="274">
        <f t="shared" si="96"/>
        <v>0</v>
      </c>
      <c r="AX126" s="274">
        <f t="shared" si="89"/>
        <v>0</v>
      </c>
      <c r="AY126" s="274">
        <f t="shared" si="90"/>
        <v>0</v>
      </c>
      <c r="AZ126" s="274">
        <f t="shared" si="91"/>
        <v>0</v>
      </c>
      <c r="BA126" s="274">
        <f t="shared" si="92"/>
        <v>0</v>
      </c>
      <c r="BB126" s="274">
        <f t="shared" si="93"/>
        <v>0</v>
      </c>
      <c r="BC126" s="274">
        <f t="shared" si="94"/>
        <v>0</v>
      </c>
      <c r="BD126" s="274">
        <f t="shared" si="95"/>
        <v>0</v>
      </c>
      <c r="BE126" s="274">
        <f t="shared" si="87"/>
        <v>0</v>
      </c>
      <c r="BF126" s="274" t="str">
        <f t="shared" si="88"/>
        <v/>
      </c>
    </row>
    <row r="127" spans="1:58" ht="14">
      <c r="A127" s="72" t="str">
        <f>'G-1 All Habitats'!B128</f>
        <v>Intertidal sediment - Artificial littoral seagrass</v>
      </c>
      <c r="B127" s="72" t="s">
        <v>113</v>
      </c>
      <c r="C127" s="72" t="str">
        <f>'G-1 All Habitats'!K128</f>
        <v>Low</v>
      </c>
      <c r="D127" s="72" t="str">
        <f>'G-1 All Habitats'!M128</f>
        <v>Same distinctiveness or better habitat required ≥</v>
      </c>
      <c r="E127" s="1056">
        <f>SUMIF('A-1 On-Site Habitat Baseline'!$AV$11:$AV$258,'G-2 Habitat groups'!A127,'A-1 On-Site Habitat Baseline'!$H$11:$H$258)</f>
        <v>0</v>
      </c>
      <c r="F127" s="1056">
        <f>SUMIF('A-1 On-Site Habitat Baseline'!$AV$11:$AV$258,'G-2 Habitat groups'!A127,'A-1 On-Site Habitat Baseline'!$Q$11:$Q$258)</f>
        <v>0</v>
      </c>
      <c r="G127" s="1056">
        <f>SUMIF('A-1 On-Site Habitat Baseline'!$AV$11:$AV$258,'G-2 Habitat groups'!A127,'A-1 On-Site Habitat Baseline'!$S$11:$S$258)</f>
        <v>0</v>
      </c>
      <c r="H127" s="1056">
        <f>SUMIF('A-1 On-Site Habitat Baseline'!$AV$11:$AV$258,'G-2 Habitat groups'!A127,'A-1 On-Site Habitat Baseline'!$U$11:$U$258)+SUMIF('A-1 On-Site Habitat Baseline'!$AV$11:$AV$258,'G-2 Habitat groups'!A127,'A-1 On-Site Habitat Baseline'!$AT$11:$AT$258)</f>
        <v>0</v>
      </c>
      <c r="I127" s="1056">
        <f>SUMIF('A-1 On-Site Habitat Baseline'!$AV$11:$AV$258,'G-2 Habitat groups'!A127,'A-1 On-Site Habitat Baseline'!$W$11:$W$258)</f>
        <v>0</v>
      </c>
      <c r="J127" s="1056">
        <f>SUMIF('A-1 On-Site Habitat Baseline'!$AV$11:$AV$258,'G-2 Habitat groups'!A127,'A-1 On-Site Habitat Baseline'!$X$11:$X$258)</f>
        <v>0</v>
      </c>
      <c r="K127" s="1056">
        <f>SUMIF('A-2 On-Site Habitat Creation'!$F$11:$F$256,'G-2 Habitat groups'!A127,'A-2 On-Site Habitat Creation'!$G$11:$G$256)</f>
        <v>0</v>
      </c>
      <c r="L127" s="1056">
        <f>SUMIF('A-2 On-Site Habitat Creation'!$F$11:$F$256,'G-2 Habitat groups'!A127,'A-2 On-Site Habitat Creation'!$Y$11:$Y$256)</f>
        <v>0</v>
      </c>
      <c r="M127" s="1056">
        <f>SUMIF('A-3 On-Site Habitat Enhancement'!$S$12:$S$257,'G-2 Habitat groups'!A127,'A-3 On-Site Habitat Enhancement'!$V$12:$V$257)</f>
        <v>0</v>
      </c>
      <c r="N127" s="1056">
        <f>SUMIF('A-3 On-Site Habitat Enhancement'!$S$12:$S$257,'G-2 Habitat groups'!A127,'A-3 On-Site Habitat Enhancement'!$AN$12:$AN$257)</f>
        <v>0</v>
      </c>
      <c r="O127" s="1056">
        <f t="shared" si="76"/>
        <v>0</v>
      </c>
      <c r="P127" s="1056">
        <f t="shared" si="77"/>
        <v>0</v>
      </c>
      <c r="Q127" s="1056">
        <f t="shared" si="78"/>
        <v>0</v>
      </c>
      <c r="R127" s="1056">
        <f t="shared" si="79"/>
        <v>0</v>
      </c>
      <c r="S127" s="1056">
        <f>SUMIF('D-1 Off-Site Habitat Baseline'!$AV$11:$AV$258,'G-2 Habitat groups'!A127,'D-1 Off-Site Habitat Baseline'!$H$11:$H$258)</f>
        <v>0</v>
      </c>
      <c r="T127" s="1056">
        <f>SUMIF('D-1 Off-Site Habitat Baseline'!$AV$11:$AV$258,'G-2 Habitat groups'!A127,'D-1 Off-Site Habitat Baseline'!$T$11:$T$258)</f>
        <v>0</v>
      </c>
      <c r="U127" s="1056">
        <f>SUMIF('D-1 Off-Site Habitat Baseline'!$AV$11:$AV$258,'G-2 Habitat groups'!A127,'D-1 Off-Site Habitat Baseline'!$V$11:$V$258)</f>
        <v>0</v>
      </c>
      <c r="V127" s="1056">
        <f>SUMIF('D-1 Off-Site Habitat Baseline'!$AV$11:$AV$258,'G-2 Habitat groups'!A127,'D-1 Off-Site Habitat Baseline'!$X$11:$X$258)+SUMIF('D-1 Off-Site Habitat Baseline'!$AV$11:$AV$258,'G-2 Habitat groups'!A127,'D-1 Off-Site Habitat Baseline'!$AS$11:$AS$258)</f>
        <v>0</v>
      </c>
      <c r="W127" s="1056">
        <f>SUMIF('D-2 Off-Site Habitat Creation'!$F$9:$F$255,'G-2 Habitat groups'!A127,'D-2 Off-Site Habitat Creation'!$G$9:$G$255)</f>
        <v>0</v>
      </c>
      <c r="X127" s="1056">
        <f>SUMIF('D-2 Off-Site Habitat Creation'!$F$9:$F$255,'G-2 Habitat groups'!A127,'D-2 Off-Site Habitat Creation'!$AB$9:$AB$255)</f>
        <v>0</v>
      </c>
      <c r="Y127" s="1056">
        <f>SUMIF('D-3 Off-Site Habitat Enhancment'!$S$12:$S$491,'G-2 Habitat groups'!A127,'D-3 Off-Site Habitat Enhancment'!$V$12:$V$491)</f>
        <v>0</v>
      </c>
      <c r="Z127" s="1056">
        <f>SUMIF('D-3 Off-Site Habitat Enhancment'!$S$12:$S$491,'G-2 Habitat groups'!A127,'D-3 Off-Site Habitat Enhancment'!$AQ$12:$AQ$491)</f>
        <v>0</v>
      </c>
      <c r="AA127" s="1056">
        <f t="shared" si="80"/>
        <v>0</v>
      </c>
      <c r="AB127" s="1056">
        <f t="shared" si="81"/>
        <v>0</v>
      </c>
      <c r="AC127" s="1056">
        <f t="shared" si="82"/>
        <v>0</v>
      </c>
      <c r="AD127" s="1056">
        <f t="shared" si="83"/>
        <v>0</v>
      </c>
      <c r="AE127" s="1056">
        <f t="shared" si="84"/>
        <v>0</v>
      </c>
      <c r="AF127" s="1056">
        <f t="shared" si="85"/>
        <v>0</v>
      </c>
      <c r="AU127" s="70" t="s">
        <v>857</v>
      </c>
      <c r="AV127" s="62" t="s">
        <v>110</v>
      </c>
      <c r="AW127" s="274">
        <f t="shared" si="96"/>
        <v>0</v>
      </c>
      <c r="AX127" s="274">
        <f t="shared" si="89"/>
        <v>0</v>
      </c>
      <c r="AY127" s="274">
        <f t="shared" si="90"/>
        <v>0</v>
      </c>
      <c r="AZ127" s="274">
        <f t="shared" si="91"/>
        <v>0</v>
      </c>
      <c r="BA127" s="274">
        <f t="shared" si="92"/>
        <v>0</v>
      </c>
      <c r="BB127" s="274">
        <f t="shared" si="93"/>
        <v>0</v>
      </c>
      <c r="BC127" s="274">
        <f t="shared" si="94"/>
        <v>0</v>
      </c>
      <c r="BD127" s="274">
        <f t="shared" si="95"/>
        <v>0</v>
      </c>
      <c r="BE127" s="274">
        <f t="shared" si="87"/>
        <v>0</v>
      </c>
      <c r="BF127" s="274" t="str">
        <f t="shared" si="88"/>
        <v/>
      </c>
    </row>
    <row r="128" spans="1:58" ht="14">
      <c r="A128" s="72" t="str">
        <f>'G-1 All Habitats'!B129</f>
        <v>Intertidal sediment - Artificial littoral biogenic reefs</v>
      </c>
      <c r="B128" s="72" t="s">
        <v>113</v>
      </c>
      <c r="C128" s="72" t="str">
        <f>'G-1 All Habitats'!K129</f>
        <v>Low</v>
      </c>
      <c r="D128" s="72" t="str">
        <f>'G-1 All Habitats'!M129</f>
        <v>Same distinctiveness or better habitat required ≥</v>
      </c>
      <c r="E128" s="1056">
        <f>SUMIF('A-1 On-Site Habitat Baseline'!$AV$11:$AV$258,'G-2 Habitat groups'!A128,'A-1 On-Site Habitat Baseline'!$H$11:$H$258)</f>
        <v>0</v>
      </c>
      <c r="F128" s="1056">
        <f>SUMIF('A-1 On-Site Habitat Baseline'!$AV$11:$AV$258,'G-2 Habitat groups'!A128,'A-1 On-Site Habitat Baseline'!$Q$11:$Q$258)</f>
        <v>0</v>
      </c>
      <c r="G128" s="1056">
        <f>SUMIF('A-1 On-Site Habitat Baseline'!$AV$11:$AV$258,'G-2 Habitat groups'!A128,'A-1 On-Site Habitat Baseline'!$S$11:$S$258)</f>
        <v>0</v>
      </c>
      <c r="H128" s="1056">
        <f>SUMIF('A-1 On-Site Habitat Baseline'!$AV$11:$AV$258,'G-2 Habitat groups'!A128,'A-1 On-Site Habitat Baseline'!$U$11:$U$258)+SUMIF('A-1 On-Site Habitat Baseline'!$AV$11:$AV$258,'G-2 Habitat groups'!A128,'A-1 On-Site Habitat Baseline'!$AT$11:$AT$258)</f>
        <v>0</v>
      </c>
      <c r="I128" s="1056">
        <f>SUMIF('A-1 On-Site Habitat Baseline'!$AV$11:$AV$258,'G-2 Habitat groups'!A128,'A-1 On-Site Habitat Baseline'!$W$11:$W$258)</f>
        <v>0</v>
      </c>
      <c r="J128" s="1056">
        <f>SUMIF('A-1 On-Site Habitat Baseline'!$AV$11:$AV$258,'G-2 Habitat groups'!A128,'A-1 On-Site Habitat Baseline'!$X$11:$X$258)</f>
        <v>0</v>
      </c>
      <c r="K128" s="1056">
        <f>SUMIF('A-2 On-Site Habitat Creation'!$F$11:$F$256,'G-2 Habitat groups'!A128,'A-2 On-Site Habitat Creation'!$G$11:$G$256)</f>
        <v>0</v>
      </c>
      <c r="L128" s="1056">
        <f>SUMIF('A-2 On-Site Habitat Creation'!$F$11:$F$256,'G-2 Habitat groups'!A128,'A-2 On-Site Habitat Creation'!$Y$11:$Y$256)</f>
        <v>0</v>
      </c>
      <c r="M128" s="1056">
        <f>SUMIF('A-3 On-Site Habitat Enhancement'!$S$12:$S$257,'G-2 Habitat groups'!A128,'A-3 On-Site Habitat Enhancement'!$V$12:$V$257)</f>
        <v>0</v>
      </c>
      <c r="N128" s="1056">
        <f>SUMIF('A-3 On-Site Habitat Enhancement'!$S$12:$S$257,'G-2 Habitat groups'!A128,'A-3 On-Site Habitat Enhancement'!$AN$12:$AN$257)</f>
        <v>0</v>
      </c>
      <c r="O128" s="1056">
        <f t="shared" si="76"/>
        <v>0</v>
      </c>
      <c r="P128" s="1056">
        <f t="shared" si="77"/>
        <v>0</v>
      </c>
      <c r="Q128" s="1056">
        <f t="shared" si="78"/>
        <v>0</v>
      </c>
      <c r="R128" s="1056">
        <f t="shared" si="79"/>
        <v>0</v>
      </c>
      <c r="S128" s="1056">
        <f>SUMIF('D-1 Off-Site Habitat Baseline'!$AV$11:$AV$258,'G-2 Habitat groups'!A128,'D-1 Off-Site Habitat Baseline'!$H$11:$H$258)</f>
        <v>0</v>
      </c>
      <c r="T128" s="1056">
        <f>SUMIF('D-1 Off-Site Habitat Baseline'!$AV$11:$AV$258,'G-2 Habitat groups'!A128,'D-1 Off-Site Habitat Baseline'!$T$11:$T$258)</f>
        <v>0</v>
      </c>
      <c r="U128" s="1056">
        <f>SUMIF('D-1 Off-Site Habitat Baseline'!$AV$11:$AV$258,'G-2 Habitat groups'!A128,'D-1 Off-Site Habitat Baseline'!$V$11:$V$258)</f>
        <v>0</v>
      </c>
      <c r="V128" s="1056">
        <f>SUMIF('D-1 Off-Site Habitat Baseline'!$AV$11:$AV$258,'G-2 Habitat groups'!A128,'D-1 Off-Site Habitat Baseline'!$X$11:$X$258)+SUMIF('D-1 Off-Site Habitat Baseline'!$AV$11:$AV$258,'G-2 Habitat groups'!A128,'D-1 Off-Site Habitat Baseline'!$AS$11:$AS$258)</f>
        <v>0</v>
      </c>
      <c r="W128" s="1056">
        <f>SUMIF('D-2 Off-Site Habitat Creation'!$F$9:$F$255,'G-2 Habitat groups'!A128,'D-2 Off-Site Habitat Creation'!$G$9:$G$255)</f>
        <v>0</v>
      </c>
      <c r="X128" s="1056">
        <f>SUMIF('D-2 Off-Site Habitat Creation'!$F$9:$F$255,'G-2 Habitat groups'!A128,'D-2 Off-Site Habitat Creation'!$AB$9:$AB$255)</f>
        <v>0</v>
      </c>
      <c r="Y128" s="1056">
        <f>SUMIF('D-3 Off-Site Habitat Enhancment'!$S$12:$S$491,'G-2 Habitat groups'!A128,'D-3 Off-Site Habitat Enhancment'!$V$12:$V$491)</f>
        <v>0</v>
      </c>
      <c r="Z128" s="1056">
        <f>SUMIF('D-3 Off-Site Habitat Enhancment'!$S$12:$S$491,'G-2 Habitat groups'!A128,'D-3 Off-Site Habitat Enhancment'!$AQ$12:$AQ$491)</f>
        <v>0</v>
      </c>
      <c r="AA128" s="1056">
        <f t="shared" si="80"/>
        <v>0</v>
      </c>
      <c r="AB128" s="1056">
        <f t="shared" si="81"/>
        <v>0</v>
      </c>
      <c r="AC128" s="1056">
        <f t="shared" si="82"/>
        <v>0</v>
      </c>
      <c r="AD128" s="1056">
        <f t="shared" si="83"/>
        <v>0</v>
      </c>
      <c r="AE128" s="1056">
        <f t="shared" si="84"/>
        <v>0</v>
      </c>
      <c r="AF128" s="1056">
        <f t="shared" si="85"/>
        <v>0</v>
      </c>
      <c r="AU128" s="70" t="s">
        <v>859</v>
      </c>
      <c r="AV128" s="62" t="s">
        <v>110</v>
      </c>
      <c r="AW128" s="274">
        <f t="shared" si="96"/>
        <v>0</v>
      </c>
      <c r="AX128" s="274">
        <f t="shared" si="89"/>
        <v>0</v>
      </c>
      <c r="AY128" s="274">
        <f t="shared" si="90"/>
        <v>0</v>
      </c>
      <c r="AZ128" s="274">
        <f t="shared" si="91"/>
        <v>0</v>
      </c>
      <c r="BA128" s="274">
        <f t="shared" si="92"/>
        <v>0</v>
      </c>
      <c r="BB128" s="274">
        <f t="shared" si="93"/>
        <v>0</v>
      </c>
      <c r="BC128" s="274">
        <f t="shared" si="94"/>
        <v>0</v>
      </c>
      <c r="BD128" s="274">
        <f t="shared" si="95"/>
        <v>0</v>
      </c>
      <c r="BE128" s="274">
        <f t="shared" si="87"/>
        <v>0</v>
      </c>
      <c r="BF128" s="274" t="str">
        <f t="shared" si="88"/>
        <v/>
      </c>
    </row>
    <row r="129" spans="1:58" ht="14">
      <c r="A129" s="72" t="str">
        <f>'G-1 All Habitats'!B130</f>
        <v>Intertidal sediment - Littoral sand</v>
      </c>
      <c r="B129" s="72" t="s">
        <v>113</v>
      </c>
      <c r="C129" s="72" t="str">
        <f>'G-1 All Habitats'!K130</f>
        <v>Medium</v>
      </c>
      <c r="D129" s="72" t="str">
        <f>'G-1 All Habitats'!M130</f>
        <v>Same broad habitat or a higher distinctiveness habitat required (≥)</v>
      </c>
      <c r="E129" s="1056">
        <f>SUMIF('A-1 On-Site Habitat Baseline'!$AV$11:$AV$258,'G-2 Habitat groups'!A129,'A-1 On-Site Habitat Baseline'!$H$11:$H$258)</f>
        <v>0</v>
      </c>
      <c r="F129" s="1056">
        <f>SUMIF('A-1 On-Site Habitat Baseline'!$AV$11:$AV$258,'G-2 Habitat groups'!A129,'A-1 On-Site Habitat Baseline'!$Q$11:$Q$258)</f>
        <v>0</v>
      </c>
      <c r="G129" s="1056">
        <f>SUMIF('A-1 On-Site Habitat Baseline'!$AV$11:$AV$258,'G-2 Habitat groups'!A129,'A-1 On-Site Habitat Baseline'!$S$11:$S$258)</f>
        <v>0</v>
      </c>
      <c r="H129" s="1056">
        <f>SUMIF('A-1 On-Site Habitat Baseline'!$AV$11:$AV$258,'G-2 Habitat groups'!A129,'A-1 On-Site Habitat Baseline'!$U$11:$U$258)+SUMIF('A-1 On-Site Habitat Baseline'!$AV$11:$AV$258,'G-2 Habitat groups'!A129,'A-1 On-Site Habitat Baseline'!$AT$11:$AT$258)</f>
        <v>0</v>
      </c>
      <c r="I129" s="1056">
        <f>SUMIF('A-1 On-Site Habitat Baseline'!$AV$11:$AV$258,'G-2 Habitat groups'!A129,'A-1 On-Site Habitat Baseline'!$W$11:$W$258)</f>
        <v>0</v>
      </c>
      <c r="J129" s="1056">
        <f>SUMIF('A-1 On-Site Habitat Baseline'!$AV$11:$AV$258,'G-2 Habitat groups'!A129,'A-1 On-Site Habitat Baseline'!$X$11:$X$258)</f>
        <v>0</v>
      </c>
      <c r="K129" s="1056">
        <f>SUMIF('A-2 On-Site Habitat Creation'!$F$11:$F$256,'G-2 Habitat groups'!A129,'A-2 On-Site Habitat Creation'!$G$11:$G$256)</f>
        <v>0</v>
      </c>
      <c r="L129" s="1056">
        <f>SUMIF('A-2 On-Site Habitat Creation'!$F$11:$F$256,'G-2 Habitat groups'!A129,'A-2 On-Site Habitat Creation'!$Y$11:$Y$256)</f>
        <v>0</v>
      </c>
      <c r="M129" s="1056">
        <f>SUMIF('A-3 On-Site Habitat Enhancement'!$S$12:$S$257,'G-2 Habitat groups'!A129,'A-3 On-Site Habitat Enhancement'!$V$12:$V$257)</f>
        <v>0</v>
      </c>
      <c r="N129" s="1056">
        <f>SUMIF('A-3 On-Site Habitat Enhancement'!$S$12:$S$257,'G-2 Habitat groups'!A129,'A-3 On-Site Habitat Enhancement'!$AN$12:$AN$257)</f>
        <v>0</v>
      </c>
      <c r="O129" s="1056">
        <f t="shared" si="76"/>
        <v>0</v>
      </c>
      <c r="P129" s="1056">
        <f t="shared" si="77"/>
        <v>0</v>
      </c>
      <c r="Q129" s="1056">
        <f t="shared" si="78"/>
        <v>0</v>
      </c>
      <c r="R129" s="1056">
        <f t="shared" si="79"/>
        <v>0</v>
      </c>
      <c r="S129" s="1056">
        <f>SUMIF('D-1 Off-Site Habitat Baseline'!$AV$11:$AV$258,'G-2 Habitat groups'!A129,'D-1 Off-Site Habitat Baseline'!$H$11:$H$258)</f>
        <v>0</v>
      </c>
      <c r="T129" s="1056">
        <f>SUMIF('D-1 Off-Site Habitat Baseline'!$AV$11:$AV$258,'G-2 Habitat groups'!A129,'D-1 Off-Site Habitat Baseline'!$T$11:$T$258)</f>
        <v>0</v>
      </c>
      <c r="U129" s="1056">
        <f>SUMIF('D-1 Off-Site Habitat Baseline'!$AV$11:$AV$258,'G-2 Habitat groups'!A129,'D-1 Off-Site Habitat Baseline'!$V$11:$V$258)</f>
        <v>0</v>
      </c>
      <c r="V129" s="1056">
        <f>SUMIF('D-1 Off-Site Habitat Baseline'!$AV$11:$AV$258,'G-2 Habitat groups'!A129,'D-1 Off-Site Habitat Baseline'!$X$11:$X$258)+SUMIF('D-1 Off-Site Habitat Baseline'!$AV$11:$AV$258,'G-2 Habitat groups'!A129,'D-1 Off-Site Habitat Baseline'!$AS$11:$AS$258)</f>
        <v>0</v>
      </c>
      <c r="W129" s="1056">
        <f>SUMIF('D-2 Off-Site Habitat Creation'!$F$9:$F$255,'G-2 Habitat groups'!A129,'D-2 Off-Site Habitat Creation'!$G$9:$G$255)</f>
        <v>0</v>
      </c>
      <c r="X129" s="1056">
        <f>SUMIF('D-2 Off-Site Habitat Creation'!$F$9:$F$255,'G-2 Habitat groups'!A129,'D-2 Off-Site Habitat Creation'!$AB$9:$AB$255)</f>
        <v>0</v>
      </c>
      <c r="Y129" s="1056">
        <f>SUMIF('D-3 Off-Site Habitat Enhancment'!$S$12:$S$491,'G-2 Habitat groups'!A129,'D-3 Off-Site Habitat Enhancment'!$V$12:$V$491)</f>
        <v>0</v>
      </c>
      <c r="Z129" s="1056">
        <f>SUMIF('D-3 Off-Site Habitat Enhancment'!$S$12:$S$491,'G-2 Habitat groups'!A129,'D-3 Off-Site Habitat Enhancment'!$AQ$12:$AQ$491)</f>
        <v>0</v>
      </c>
      <c r="AA129" s="1056">
        <f t="shared" si="80"/>
        <v>0</v>
      </c>
      <c r="AB129" s="1056">
        <f t="shared" si="81"/>
        <v>0</v>
      </c>
      <c r="AC129" s="1056">
        <f t="shared" si="82"/>
        <v>0</v>
      </c>
      <c r="AD129" s="1056">
        <f t="shared" si="83"/>
        <v>0</v>
      </c>
      <c r="AE129" s="1056">
        <f t="shared" si="84"/>
        <v>0</v>
      </c>
      <c r="AF129" s="1056">
        <f t="shared" si="85"/>
        <v>0</v>
      </c>
      <c r="AU129" s="70" t="s">
        <v>853</v>
      </c>
      <c r="AV129" s="62" t="s">
        <v>110</v>
      </c>
      <c r="AW129" s="274">
        <f t="shared" si="96"/>
        <v>0</v>
      </c>
      <c r="AX129" s="274">
        <f t="shared" si="89"/>
        <v>0</v>
      </c>
      <c r="AY129" s="274">
        <f t="shared" si="90"/>
        <v>0</v>
      </c>
      <c r="AZ129" s="274">
        <f t="shared" si="91"/>
        <v>0</v>
      </c>
      <c r="BA129" s="274">
        <f t="shared" si="92"/>
        <v>0</v>
      </c>
      <c r="BB129" s="274">
        <f t="shared" si="93"/>
        <v>0</v>
      </c>
      <c r="BC129" s="274">
        <f t="shared" si="94"/>
        <v>0</v>
      </c>
      <c r="BD129" s="274">
        <f t="shared" si="95"/>
        <v>0</v>
      </c>
      <c r="BE129" s="274">
        <f t="shared" si="87"/>
        <v>0</v>
      </c>
      <c r="BF129" s="274" t="str">
        <f t="shared" si="88"/>
        <v/>
      </c>
    </row>
    <row r="130" spans="1:58" ht="14">
      <c r="A130" s="72" t="str">
        <f>'G-1 All Habitats'!B131</f>
        <v>Intertidal sediment - Littoral muddy sand</v>
      </c>
      <c r="B130" s="72" t="s">
        <v>113</v>
      </c>
      <c r="C130" s="72" t="str">
        <f>'G-1 All Habitats'!K131</f>
        <v>High</v>
      </c>
      <c r="D130" s="72" t="str">
        <f>'G-1 All Habitats'!M131</f>
        <v>Same habitat required =</v>
      </c>
      <c r="E130" s="1056">
        <f>SUMIF('A-1 On-Site Habitat Baseline'!$AV$11:$AV$258,'G-2 Habitat groups'!A130,'A-1 On-Site Habitat Baseline'!$H$11:$H$258)</f>
        <v>0</v>
      </c>
      <c r="F130" s="1056">
        <f>SUMIF('A-1 On-Site Habitat Baseline'!$AV$11:$AV$258,'G-2 Habitat groups'!A130,'A-1 On-Site Habitat Baseline'!$Q$11:$Q$258)</f>
        <v>0</v>
      </c>
      <c r="G130" s="1056">
        <f>SUMIF('A-1 On-Site Habitat Baseline'!$AV$11:$AV$258,'G-2 Habitat groups'!A130,'A-1 On-Site Habitat Baseline'!$S$11:$S$258)</f>
        <v>0</v>
      </c>
      <c r="H130" s="1056">
        <f>SUMIF('A-1 On-Site Habitat Baseline'!$AV$11:$AV$258,'G-2 Habitat groups'!A130,'A-1 On-Site Habitat Baseline'!$U$11:$U$258)+SUMIF('A-1 On-Site Habitat Baseline'!$AV$11:$AV$258,'G-2 Habitat groups'!A130,'A-1 On-Site Habitat Baseline'!$AT$11:$AT$258)</f>
        <v>0</v>
      </c>
      <c r="I130" s="1056">
        <f>SUMIF('A-1 On-Site Habitat Baseline'!$AV$11:$AV$258,'G-2 Habitat groups'!A130,'A-1 On-Site Habitat Baseline'!$W$11:$W$258)</f>
        <v>0</v>
      </c>
      <c r="J130" s="1056">
        <f>SUMIF('A-1 On-Site Habitat Baseline'!$AV$11:$AV$258,'G-2 Habitat groups'!A130,'A-1 On-Site Habitat Baseline'!$X$11:$X$258)</f>
        <v>0</v>
      </c>
      <c r="K130" s="1056">
        <f>SUMIF('A-2 On-Site Habitat Creation'!$F$11:$F$256,'G-2 Habitat groups'!A130,'A-2 On-Site Habitat Creation'!$G$11:$G$256)</f>
        <v>0</v>
      </c>
      <c r="L130" s="1056">
        <f>SUMIF('A-2 On-Site Habitat Creation'!$F$11:$F$256,'G-2 Habitat groups'!A130,'A-2 On-Site Habitat Creation'!$Y$11:$Y$256)</f>
        <v>0</v>
      </c>
      <c r="M130" s="1056">
        <f>SUMIF('A-3 On-Site Habitat Enhancement'!$S$12:$S$257,'G-2 Habitat groups'!A130,'A-3 On-Site Habitat Enhancement'!$V$12:$V$257)</f>
        <v>0</v>
      </c>
      <c r="N130" s="1056">
        <f>SUMIF('A-3 On-Site Habitat Enhancement'!$S$12:$S$257,'G-2 Habitat groups'!A130,'A-3 On-Site Habitat Enhancement'!$AN$12:$AN$257)</f>
        <v>0</v>
      </c>
      <c r="O130" s="1056">
        <f t="shared" si="76"/>
        <v>0</v>
      </c>
      <c r="P130" s="1056">
        <f t="shared" si="77"/>
        <v>0</v>
      </c>
      <c r="Q130" s="1056">
        <f t="shared" si="78"/>
        <v>0</v>
      </c>
      <c r="R130" s="1056">
        <f t="shared" si="79"/>
        <v>0</v>
      </c>
      <c r="S130" s="1056">
        <f>SUMIF('D-1 Off-Site Habitat Baseline'!$AV$11:$AV$258,'G-2 Habitat groups'!A130,'D-1 Off-Site Habitat Baseline'!$H$11:$H$258)</f>
        <v>0</v>
      </c>
      <c r="T130" s="1056">
        <f>SUMIF('D-1 Off-Site Habitat Baseline'!$AV$11:$AV$258,'G-2 Habitat groups'!A130,'D-1 Off-Site Habitat Baseline'!$T$11:$T$258)</f>
        <v>0</v>
      </c>
      <c r="U130" s="1056">
        <f>SUMIF('D-1 Off-Site Habitat Baseline'!$AV$11:$AV$258,'G-2 Habitat groups'!A130,'D-1 Off-Site Habitat Baseline'!$V$11:$V$258)</f>
        <v>0</v>
      </c>
      <c r="V130" s="1056">
        <f>SUMIF('D-1 Off-Site Habitat Baseline'!$AV$11:$AV$258,'G-2 Habitat groups'!A130,'D-1 Off-Site Habitat Baseline'!$X$11:$X$258)+SUMIF('D-1 Off-Site Habitat Baseline'!$AV$11:$AV$258,'G-2 Habitat groups'!A130,'D-1 Off-Site Habitat Baseline'!$AS$11:$AS$258)</f>
        <v>0</v>
      </c>
      <c r="W130" s="1056">
        <f>SUMIF('D-2 Off-Site Habitat Creation'!$F$9:$F$255,'G-2 Habitat groups'!A130,'D-2 Off-Site Habitat Creation'!$G$9:$G$255)</f>
        <v>0</v>
      </c>
      <c r="X130" s="1056">
        <f>SUMIF('D-2 Off-Site Habitat Creation'!$F$9:$F$255,'G-2 Habitat groups'!A130,'D-2 Off-Site Habitat Creation'!$AB$9:$AB$255)</f>
        <v>0</v>
      </c>
      <c r="Y130" s="1056">
        <f>SUMIF('D-3 Off-Site Habitat Enhancment'!$S$12:$S$491,'G-2 Habitat groups'!A130,'D-3 Off-Site Habitat Enhancment'!$V$12:$V$491)</f>
        <v>0</v>
      </c>
      <c r="Z130" s="1056">
        <f>SUMIF('D-3 Off-Site Habitat Enhancment'!$S$12:$S$491,'G-2 Habitat groups'!A130,'D-3 Off-Site Habitat Enhancment'!$AQ$12:$AQ$491)</f>
        <v>0</v>
      </c>
      <c r="AA130" s="1056">
        <f t="shared" si="80"/>
        <v>0</v>
      </c>
      <c r="AB130" s="1056">
        <f t="shared" si="81"/>
        <v>0</v>
      </c>
      <c r="AC130" s="1056">
        <f t="shared" si="82"/>
        <v>0</v>
      </c>
      <c r="AD130" s="1056">
        <f t="shared" si="83"/>
        <v>0</v>
      </c>
      <c r="AE130" s="1056">
        <f t="shared" si="84"/>
        <v>0</v>
      </c>
      <c r="AF130" s="1056">
        <f t="shared" si="85"/>
        <v>0</v>
      </c>
      <c r="AU130" s="70" t="s">
        <v>863</v>
      </c>
      <c r="AV130" s="62" t="s">
        <v>110</v>
      </c>
      <c r="AW130" s="274">
        <f t="shared" si="96"/>
        <v>0</v>
      </c>
      <c r="AX130" s="274">
        <f t="shared" si="89"/>
        <v>0</v>
      </c>
      <c r="AY130" s="274">
        <f t="shared" si="90"/>
        <v>0</v>
      </c>
      <c r="AZ130" s="274">
        <f t="shared" si="91"/>
        <v>0</v>
      </c>
      <c r="BA130" s="274">
        <f t="shared" si="92"/>
        <v>0</v>
      </c>
      <c r="BB130" s="274">
        <f t="shared" si="93"/>
        <v>0</v>
      </c>
      <c r="BC130" s="274">
        <f t="shared" si="94"/>
        <v>0</v>
      </c>
      <c r="BD130" s="274">
        <f t="shared" si="95"/>
        <v>0</v>
      </c>
      <c r="BE130" s="274">
        <f t="shared" si="87"/>
        <v>0</v>
      </c>
      <c r="BF130" s="274" t="str">
        <f t="shared" si="88"/>
        <v/>
      </c>
    </row>
    <row r="131" spans="1:58" ht="14">
      <c r="A131" s="72" t="str">
        <f>'G-1 All Habitats'!B132</f>
        <v>Intertidal hard structures - Artificial hard structures</v>
      </c>
      <c r="B131" s="72" t="s">
        <v>117</v>
      </c>
      <c r="C131" s="72" t="str">
        <f>'G-1 All Habitats'!K132</f>
        <v>Low</v>
      </c>
      <c r="D131" s="72" t="str">
        <f>'G-1 All Habitats'!M132</f>
        <v>Same distinctiveness or better habitat required ≥</v>
      </c>
      <c r="E131" s="1056">
        <f>SUMIF('A-1 On-Site Habitat Baseline'!$AV$11:$AV$258,'G-2 Habitat groups'!A131,'A-1 On-Site Habitat Baseline'!$H$11:$H$258)</f>
        <v>0</v>
      </c>
      <c r="F131" s="1056">
        <f>SUMIF('A-1 On-Site Habitat Baseline'!$AV$11:$AV$258,'G-2 Habitat groups'!A131,'A-1 On-Site Habitat Baseline'!$Q$11:$Q$258)</f>
        <v>0</v>
      </c>
      <c r="G131" s="1056">
        <f>SUMIF('A-1 On-Site Habitat Baseline'!$AV$11:$AV$258,'G-2 Habitat groups'!A131,'A-1 On-Site Habitat Baseline'!$S$11:$S$258)</f>
        <v>0</v>
      </c>
      <c r="H131" s="1056">
        <f>SUMIF('A-1 On-Site Habitat Baseline'!$AV$11:$AV$258,'G-2 Habitat groups'!A131,'A-1 On-Site Habitat Baseline'!$U$11:$U$258)+SUMIF('A-1 On-Site Habitat Baseline'!$AV$11:$AV$258,'G-2 Habitat groups'!A131,'A-1 On-Site Habitat Baseline'!$AT$11:$AT$258)</f>
        <v>0</v>
      </c>
      <c r="I131" s="1056">
        <f>SUMIF('A-1 On-Site Habitat Baseline'!$AV$11:$AV$258,'G-2 Habitat groups'!A131,'A-1 On-Site Habitat Baseline'!$W$11:$W$258)</f>
        <v>0</v>
      </c>
      <c r="J131" s="1056">
        <f>SUMIF('A-1 On-Site Habitat Baseline'!$AV$11:$AV$258,'G-2 Habitat groups'!A131,'A-1 On-Site Habitat Baseline'!$X$11:$X$258)</f>
        <v>0</v>
      </c>
      <c r="K131" s="1056">
        <f>SUMIF('A-2 On-Site Habitat Creation'!$F$11:$F$256,'G-2 Habitat groups'!A131,'A-2 On-Site Habitat Creation'!$G$11:$G$256)</f>
        <v>0</v>
      </c>
      <c r="L131" s="1056">
        <f>SUMIF('A-2 On-Site Habitat Creation'!$F$11:$F$256,'G-2 Habitat groups'!A131,'A-2 On-Site Habitat Creation'!$Y$11:$Y$256)</f>
        <v>0</v>
      </c>
      <c r="M131" s="1056">
        <f>SUMIF('A-3 On-Site Habitat Enhancement'!$S$12:$S$257,'G-2 Habitat groups'!A131,'A-3 On-Site Habitat Enhancement'!$V$12:$V$257)</f>
        <v>0</v>
      </c>
      <c r="N131" s="1056">
        <f>SUMIF('A-3 On-Site Habitat Enhancement'!$S$12:$S$257,'G-2 Habitat groups'!A131,'A-3 On-Site Habitat Enhancement'!$AN$12:$AN$257)</f>
        <v>0</v>
      </c>
      <c r="O131" s="1056">
        <f t="shared" si="76"/>
        <v>0</v>
      </c>
      <c r="P131" s="1056">
        <f t="shared" si="77"/>
        <v>0</v>
      </c>
      <c r="Q131" s="1056">
        <f t="shared" si="78"/>
        <v>0</v>
      </c>
      <c r="R131" s="1056">
        <f t="shared" si="79"/>
        <v>0</v>
      </c>
      <c r="S131" s="1056">
        <f>SUMIF('D-1 Off-Site Habitat Baseline'!$AV$11:$AV$258,'G-2 Habitat groups'!A131,'D-1 Off-Site Habitat Baseline'!$H$11:$H$258)</f>
        <v>0</v>
      </c>
      <c r="T131" s="1056">
        <f>SUMIF('D-1 Off-Site Habitat Baseline'!$AV$11:$AV$258,'G-2 Habitat groups'!A131,'D-1 Off-Site Habitat Baseline'!$T$11:$T$258)</f>
        <v>0</v>
      </c>
      <c r="U131" s="1056">
        <f>SUMIF('D-1 Off-Site Habitat Baseline'!$AV$11:$AV$258,'G-2 Habitat groups'!A131,'D-1 Off-Site Habitat Baseline'!$V$11:$V$258)</f>
        <v>0</v>
      </c>
      <c r="V131" s="1056">
        <f>SUMIF('D-1 Off-Site Habitat Baseline'!$AV$11:$AV$258,'G-2 Habitat groups'!A131,'D-1 Off-Site Habitat Baseline'!$X$11:$X$258)+SUMIF('D-1 Off-Site Habitat Baseline'!$AV$11:$AV$258,'G-2 Habitat groups'!A131,'D-1 Off-Site Habitat Baseline'!$AS$11:$AS$258)</f>
        <v>0</v>
      </c>
      <c r="W131" s="1056">
        <f>SUMIF('D-2 Off-Site Habitat Creation'!$F$9:$F$255,'G-2 Habitat groups'!A131,'D-2 Off-Site Habitat Creation'!$G$9:$G$255)</f>
        <v>0</v>
      </c>
      <c r="X131" s="1056">
        <f>SUMIF('D-2 Off-Site Habitat Creation'!$F$9:$F$255,'G-2 Habitat groups'!A131,'D-2 Off-Site Habitat Creation'!$AB$9:$AB$255)</f>
        <v>0</v>
      </c>
      <c r="Y131" s="1056">
        <f>SUMIF('D-3 Off-Site Habitat Enhancment'!$S$12:$S$491,'G-2 Habitat groups'!A131,'D-3 Off-Site Habitat Enhancment'!$V$12:$V$491)</f>
        <v>0</v>
      </c>
      <c r="Z131" s="1056">
        <f>SUMIF('D-3 Off-Site Habitat Enhancment'!$S$12:$S$491,'G-2 Habitat groups'!A131,'D-3 Off-Site Habitat Enhancment'!$AQ$12:$AQ$491)</f>
        <v>0</v>
      </c>
      <c r="AA131" s="1056">
        <f t="shared" si="80"/>
        <v>0</v>
      </c>
      <c r="AB131" s="1056">
        <f t="shared" si="81"/>
        <v>0</v>
      </c>
      <c r="AC131" s="1056">
        <f t="shared" si="82"/>
        <v>0</v>
      </c>
      <c r="AD131" s="1056">
        <f t="shared" si="83"/>
        <v>0</v>
      </c>
      <c r="AE131" s="1056">
        <f t="shared" si="84"/>
        <v>0</v>
      </c>
      <c r="AF131" s="1056">
        <f t="shared" si="85"/>
        <v>0</v>
      </c>
      <c r="AU131" s="70" t="s">
        <v>866</v>
      </c>
      <c r="AV131" s="62" t="s">
        <v>110</v>
      </c>
      <c r="AW131" s="274">
        <f t="shared" si="96"/>
        <v>0</v>
      </c>
      <c r="AX131" s="274">
        <f t="shared" si="89"/>
        <v>0</v>
      </c>
      <c r="AY131" s="274">
        <f t="shared" si="90"/>
        <v>0</v>
      </c>
      <c r="AZ131" s="274">
        <f t="shared" si="91"/>
        <v>0</v>
      </c>
      <c r="BA131" s="274">
        <f t="shared" si="92"/>
        <v>0</v>
      </c>
      <c r="BB131" s="274">
        <f t="shared" si="93"/>
        <v>0</v>
      </c>
      <c r="BC131" s="274">
        <f t="shared" si="94"/>
        <v>0</v>
      </c>
      <c r="BD131" s="274">
        <f t="shared" si="95"/>
        <v>0</v>
      </c>
      <c r="BE131" s="274">
        <f t="shared" si="87"/>
        <v>0</v>
      </c>
      <c r="BF131" s="274" t="str">
        <f t="shared" si="88"/>
        <v/>
      </c>
    </row>
    <row r="132" spans="1:58" ht="14">
      <c r="A132" s="72" t="str">
        <f>'G-1 All Habitats'!B133</f>
        <v>Intertidal hard structures - Artificial features of hard structures</v>
      </c>
      <c r="B132" s="72" t="s">
        <v>117</v>
      </c>
      <c r="C132" s="72" t="str">
        <f>'G-1 All Habitats'!K133</f>
        <v>Low</v>
      </c>
      <c r="D132" s="72" t="str">
        <f>'G-1 All Habitats'!M133</f>
        <v>Same distinctiveness or better habitat required ≥</v>
      </c>
      <c r="E132" s="1056">
        <f>SUMIF('A-1 On-Site Habitat Baseline'!$AV$11:$AV$258,'G-2 Habitat groups'!A132,'A-1 On-Site Habitat Baseline'!$H$11:$H$258)</f>
        <v>0</v>
      </c>
      <c r="F132" s="1056">
        <f>SUMIF('A-1 On-Site Habitat Baseline'!$AV$11:$AV$258,'G-2 Habitat groups'!A132,'A-1 On-Site Habitat Baseline'!$Q$11:$Q$258)</f>
        <v>0</v>
      </c>
      <c r="G132" s="1056">
        <f>SUMIF('A-1 On-Site Habitat Baseline'!$AV$11:$AV$258,'G-2 Habitat groups'!A132,'A-1 On-Site Habitat Baseline'!$S$11:$S$258)</f>
        <v>0</v>
      </c>
      <c r="H132" s="1056">
        <f>SUMIF('A-1 On-Site Habitat Baseline'!$AV$11:$AV$258,'G-2 Habitat groups'!A132,'A-1 On-Site Habitat Baseline'!$U$11:$U$258)+SUMIF('A-1 On-Site Habitat Baseline'!$AV$11:$AV$258,'G-2 Habitat groups'!A132,'A-1 On-Site Habitat Baseline'!$AT$11:$AT$258)</f>
        <v>0</v>
      </c>
      <c r="I132" s="1056">
        <f>SUMIF('A-1 On-Site Habitat Baseline'!$AV$11:$AV$258,'G-2 Habitat groups'!A132,'A-1 On-Site Habitat Baseline'!$W$11:$W$258)</f>
        <v>0</v>
      </c>
      <c r="J132" s="1056">
        <f>SUMIF('A-1 On-Site Habitat Baseline'!$AV$11:$AV$258,'G-2 Habitat groups'!A132,'A-1 On-Site Habitat Baseline'!$X$11:$X$258)</f>
        <v>0</v>
      </c>
      <c r="K132" s="1056">
        <f>SUMIF('A-2 On-Site Habitat Creation'!$F$11:$F$256,'G-2 Habitat groups'!A132,'A-2 On-Site Habitat Creation'!$G$11:$G$256)</f>
        <v>0</v>
      </c>
      <c r="L132" s="1056">
        <f>SUMIF('A-2 On-Site Habitat Creation'!$F$11:$F$256,'G-2 Habitat groups'!A132,'A-2 On-Site Habitat Creation'!$Y$11:$Y$256)</f>
        <v>0</v>
      </c>
      <c r="M132" s="1056">
        <f>SUMIF('A-3 On-Site Habitat Enhancement'!$S$12:$S$257,'G-2 Habitat groups'!A132,'A-3 On-Site Habitat Enhancement'!$V$12:$V$257)</f>
        <v>0</v>
      </c>
      <c r="N132" s="1056">
        <f>SUMIF('A-3 On-Site Habitat Enhancement'!$S$12:$S$257,'G-2 Habitat groups'!A132,'A-3 On-Site Habitat Enhancement'!$AN$12:$AN$257)</f>
        <v>0</v>
      </c>
      <c r="O132" s="1056">
        <f t="shared" si="76"/>
        <v>0</v>
      </c>
      <c r="P132" s="1056">
        <f t="shared" si="77"/>
        <v>0</v>
      </c>
      <c r="Q132" s="1056">
        <f t="shared" si="78"/>
        <v>0</v>
      </c>
      <c r="R132" s="1056">
        <f t="shared" si="79"/>
        <v>0</v>
      </c>
      <c r="S132" s="1056">
        <f>SUMIF('D-1 Off-Site Habitat Baseline'!$AV$11:$AV$258,'G-2 Habitat groups'!A132,'D-1 Off-Site Habitat Baseline'!$H$11:$H$258)</f>
        <v>0</v>
      </c>
      <c r="T132" s="1056">
        <f>SUMIF('D-1 Off-Site Habitat Baseline'!$AV$11:$AV$258,'G-2 Habitat groups'!A132,'D-1 Off-Site Habitat Baseline'!$T$11:$T$258)</f>
        <v>0</v>
      </c>
      <c r="U132" s="1056">
        <f>SUMIF('D-1 Off-Site Habitat Baseline'!$AV$11:$AV$258,'G-2 Habitat groups'!A132,'D-1 Off-Site Habitat Baseline'!$V$11:$V$258)</f>
        <v>0</v>
      </c>
      <c r="V132" s="1056">
        <f>SUMIF('D-1 Off-Site Habitat Baseline'!$AV$11:$AV$258,'G-2 Habitat groups'!A132,'D-1 Off-Site Habitat Baseline'!$X$11:$X$258)+SUMIF('D-1 Off-Site Habitat Baseline'!$AV$11:$AV$258,'G-2 Habitat groups'!A132,'D-1 Off-Site Habitat Baseline'!$AS$11:$AS$258)</f>
        <v>0</v>
      </c>
      <c r="W132" s="1056">
        <f>SUMIF('D-2 Off-Site Habitat Creation'!$F$9:$F$255,'G-2 Habitat groups'!A132,'D-2 Off-Site Habitat Creation'!$G$9:$G$255)</f>
        <v>0</v>
      </c>
      <c r="X132" s="1056">
        <f>SUMIF('D-2 Off-Site Habitat Creation'!$F$9:$F$255,'G-2 Habitat groups'!A132,'D-2 Off-Site Habitat Creation'!$AB$9:$AB$255)</f>
        <v>0</v>
      </c>
      <c r="Y132" s="1056">
        <f>SUMIF('D-3 Off-Site Habitat Enhancment'!$S$12:$S$491,'G-2 Habitat groups'!A132,'D-3 Off-Site Habitat Enhancment'!$V$12:$V$491)</f>
        <v>0</v>
      </c>
      <c r="Z132" s="1056">
        <f>SUMIF('D-3 Off-Site Habitat Enhancment'!$S$12:$S$491,'G-2 Habitat groups'!A132,'D-3 Off-Site Habitat Enhancment'!$AQ$12:$AQ$491)</f>
        <v>0</v>
      </c>
      <c r="AA132" s="1056">
        <f t="shared" si="80"/>
        <v>0</v>
      </c>
      <c r="AB132" s="1056">
        <f t="shared" si="81"/>
        <v>0</v>
      </c>
      <c r="AC132" s="1056">
        <f t="shared" si="82"/>
        <v>0</v>
      </c>
      <c r="AD132" s="1056">
        <f t="shared" si="83"/>
        <v>0</v>
      </c>
      <c r="AE132" s="1056">
        <f t="shared" si="84"/>
        <v>0</v>
      </c>
      <c r="AF132" s="1056">
        <f t="shared" si="85"/>
        <v>0</v>
      </c>
      <c r="AU132" s="70" t="s">
        <v>868</v>
      </c>
      <c r="AV132" s="62" t="s">
        <v>110</v>
      </c>
      <c r="AW132" s="274">
        <f t="shared" si="96"/>
        <v>0</v>
      </c>
      <c r="AX132" s="274">
        <f t="shared" si="89"/>
        <v>0</v>
      </c>
      <c r="AY132" s="274">
        <f t="shared" si="90"/>
        <v>0</v>
      </c>
      <c r="AZ132" s="274">
        <f t="shared" si="91"/>
        <v>0</v>
      </c>
      <c r="BA132" s="274">
        <f t="shared" si="92"/>
        <v>0</v>
      </c>
      <c r="BB132" s="274">
        <f t="shared" si="93"/>
        <v>0</v>
      </c>
      <c r="BC132" s="274">
        <f t="shared" si="94"/>
        <v>0</v>
      </c>
      <c r="BD132" s="274">
        <f t="shared" si="95"/>
        <v>0</v>
      </c>
      <c r="BE132" s="274">
        <f t="shared" si="87"/>
        <v>0</v>
      </c>
      <c r="BF132" s="274" t="str">
        <f t="shared" si="88"/>
        <v/>
      </c>
    </row>
    <row r="133" spans="1:58" ht="14">
      <c r="A133" s="72" t="str">
        <f>'G-1 All Habitats'!B134</f>
        <v>Intertidal hard structures - Artificial hard structures with integrated greening of grey infrastructure (IGGI)</v>
      </c>
      <c r="B133" s="72" t="s">
        <v>117</v>
      </c>
      <c r="C133" s="72" t="str">
        <f>'G-1 All Habitats'!K134</f>
        <v>Medium</v>
      </c>
      <c r="D133" s="72" t="str">
        <f>'G-1 All Habitats'!M134</f>
        <v>Same broad habitat or a higher distinctiveness habitat required (≥)</v>
      </c>
      <c r="E133" s="1056">
        <f>SUMIF('A-1 On-Site Habitat Baseline'!$AV$11:$AV$258,'G-2 Habitat groups'!A133,'A-1 On-Site Habitat Baseline'!$H$11:$H$258)</f>
        <v>0</v>
      </c>
      <c r="F133" s="1056">
        <f>SUMIF('A-1 On-Site Habitat Baseline'!$AV$11:$AV$258,'G-2 Habitat groups'!A133,'A-1 On-Site Habitat Baseline'!$Q$11:$Q$258)</f>
        <v>0</v>
      </c>
      <c r="G133" s="1056">
        <f>SUMIF('A-1 On-Site Habitat Baseline'!$AV$11:$AV$258,'G-2 Habitat groups'!A133,'A-1 On-Site Habitat Baseline'!$S$11:$S$258)</f>
        <v>0</v>
      </c>
      <c r="H133" s="1056">
        <f>SUMIF('A-1 On-Site Habitat Baseline'!$AV$11:$AV$258,'G-2 Habitat groups'!A133,'A-1 On-Site Habitat Baseline'!$U$11:$U$258)+SUMIF('A-1 On-Site Habitat Baseline'!$AV$11:$AV$258,'G-2 Habitat groups'!A133,'A-1 On-Site Habitat Baseline'!$AT$11:$AT$258)</f>
        <v>0</v>
      </c>
      <c r="I133" s="1056">
        <f>SUMIF('A-1 On-Site Habitat Baseline'!$AV$11:$AV$258,'G-2 Habitat groups'!A133,'A-1 On-Site Habitat Baseline'!$W$11:$W$258)</f>
        <v>0</v>
      </c>
      <c r="J133" s="1056">
        <f>SUMIF('A-1 On-Site Habitat Baseline'!$AV$11:$AV$258,'G-2 Habitat groups'!A133,'A-1 On-Site Habitat Baseline'!$X$11:$X$258)</f>
        <v>0</v>
      </c>
      <c r="K133" s="1056">
        <f>SUMIF('A-2 On-Site Habitat Creation'!$F$11:$F$256,'G-2 Habitat groups'!A133,'A-2 On-Site Habitat Creation'!$G$11:$G$256)</f>
        <v>0</v>
      </c>
      <c r="L133" s="1056">
        <f>SUMIF('A-2 On-Site Habitat Creation'!$F$11:$F$256,'G-2 Habitat groups'!A133,'A-2 On-Site Habitat Creation'!$Y$11:$Y$256)</f>
        <v>0</v>
      </c>
      <c r="M133" s="1056">
        <f>SUMIF('A-3 On-Site Habitat Enhancement'!$S$12:$S$257,'G-2 Habitat groups'!A133,'A-3 On-Site Habitat Enhancement'!$V$12:$V$257)</f>
        <v>0</v>
      </c>
      <c r="N133" s="1056">
        <f>SUMIF('A-3 On-Site Habitat Enhancement'!$S$12:$S$257,'G-2 Habitat groups'!A133,'A-3 On-Site Habitat Enhancement'!$AN$12:$AN$257)</f>
        <v>0</v>
      </c>
      <c r="O133" s="1056">
        <f t="shared" si="76"/>
        <v>0</v>
      </c>
      <c r="P133" s="1056">
        <f t="shared" si="77"/>
        <v>0</v>
      </c>
      <c r="Q133" s="1056">
        <f t="shared" si="78"/>
        <v>0</v>
      </c>
      <c r="R133" s="1056">
        <f t="shared" si="79"/>
        <v>0</v>
      </c>
      <c r="S133" s="1056">
        <f>SUMIF('D-1 Off-Site Habitat Baseline'!$AV$11:$AV$258,'G-2 Habitat groups'!A133,'D-1 Off-Site Habitat Baseline'!$H$11:$H$258)</f>
        <v>0</v>
      </c>
      <c r="T133" s="1056">
        <f>SUMIF('D-1 Off-Site Habitat Baseline'!$AV$11:$AV$258,'G-2 Habitat groups'!A133,'D-1 Off-Site Habitat Baseline'!$T$11:$T$258)</f>
        <v>0</v>
      </c>
      <c r="U133" s="1056">
        <f>SUMIF('D-1 Off-Site Habitat Baseline'!$AV$11:$AV$258,'G-2 Habitat groups'!A133,'D-1 Off-Site Habitat Baseline'!$V$11:$V$258)</f>
        <v>0</v>
      </c>
      <c r="V133" s="1056">
        <f>SUMIF('D-1 Off-Site Habitat Baseline'!$AV$11:$AV$258,'G-2 Habitat groups'!A133,'D-1 Off-Site Habitat Baseline'!$X$11:$X$258)+SUMIF('D-1 Off-Site Habitat Baseline'!$AV$11:$AV$258,'G-2 Habitat groups'!A133,'D-1 Off-Site Habitat Baseline'!$AS$11:$AS$258)</f>
        <v>0</v>
      </c>
      <c r="W133" s="1056">
        <f>SUMIF('D-2 Off-Site Habitat Creation'!$F$9:$F$255,'G-2 Habitat groups'!A133,'D-2 Off-Site Habitat Creation'!$G$9:$G$255)</f>
        <v>0</v>
      </c>
      <c r="X133" s="1056">
        <f>SUMIF('D-2 Off-Site Habitat Creation'!$F$9:$F$255,'G-2 Habitat groups'!A133,'D-2 Off-Site Habitat Creation'!$AB$9:$AB$255)</f>
        <v>0</v>
      </c>
      <c r="Y133" s="1056">
        <f>SUMIF('D-3 Off-Site Habitat Enhancment'!$S$12:$S$491,'G-2 Habitat groups'!A133,'D-3 Off-Site Habitat Enhancment'!$V$12:$V$491)</f>
        <v>0</v>
      </c>
      <c r="Z133" s="1056">
        <f>SUMIF('D-3 Off-Site Habitat Enhancment'!$S$12:$S$491,'G-2 Habitat groups'!A133,'D-3 Off-Site Habitat Enhancment'!$AQ$12:$AQ$491)</f>
        <v>0</v>
      </c>
      <c r="AA133" s="1056">
        <f t="shared" si="80"/>
        <v>0</v>
      </c>
      <c r="AB133" s="1056">
        <f t="shared" si="81"/>
        <v>0</v>
      </c>
      <c r="AC133" s="1056">
        <f t="shared" si="82"/>
        <v>0</v>
      </c>
      <c r="AD133" s="1056">
        <f t="shared" si="83"/>
        <v>0</v>
      </c>
      <c r="AE133" s="1056">
        <f t="shared" si="84"/>
        <v>0</v>
      </c>
      <c r="AF133" s="1056">
        <f t="shared" si="85"/>
        <v>0</v>
      </c>
      <c r="AU133" s="70"/>
      <c r="AV133" s="62"/>
      <c r="AW133" s="274"/>
      <c r="AX133" s="274"/>
      <c r="AY133" s="274"/>
      <c r="AZ133" s="274"/>
      <c r="BA133" s="274"/>
      <c r="BB133" s="274"/>
      <c r="BC133" s="274"/>
      <c r="BD133" s="274"/>
      <c r="BE133" s="274"/>
      <c r="BF133" s="274"/>
    </row>
    <row r="134" spans="1:58" ht="14">
      <c r="A134" s="72" t="s">
        <v>1046</v>
      </c>
      <c r="B134" s="72" t="s">
        <v>118</v>
      </c>
      <c r="C134" s="72" t="s">
        <v>666</v>
      </c>
      <c r="D134" s="72" t="str">
        <f>'G-1 All Habitats'!M135</f>
        <v>Compensation Not Required</v>
      </c>
      <c r="E134" s="1056">
        <f>SUMIF('A-1 On-Site Habitat Baseline'!$AV$11:$AV$258,'G-2 Habitat groups'!A134,'A-1 On-Site Habitat Baseline'!$H$11:$H$258)</f>
        <v>0</v>
      </c>
      <c r="F134" s="1056">
        <f>SUMIF('A-1 On-Site Habitat Baseline'!$AV$11:$AV$258,'G-2 Habitat groups'!A134,'A-1 On-Site Habitat Baseline'!$Q$11:$Q$258)</f>
        <v>0</v>
      </c>
      <c r="G134" s="1056">
        <f>SUMIF('A-1 On-Site Habitat Baseline'!$AV$11:$AV$258,'G-2 Habitat groups'!A134,'A-1 On-Site Habitat Baseline'!$S$11:$S$258)</f>
        <v>0</v>
      </c>
      <c r="H134" s="1056">
        <f>SUMIF('A-1 On-Site Habitat Baseline'!$AV$11:$AV$258,'G-2 Habitat groups'!A134,'A-1 On-Site Habitat Baseline'!$U$11:$U$258)+SUMIF('A-1 On-Site Habitat Baseline'!$AV$11:$AV$258,'G-2 Habitat groups'!A134,'A-1 On-Site Habitat Baseline'!$AT$11:$AT$258)</f>
        <v>0</v>
      </c>
      <c r="I134" s="1056">
        <f>SUMIF('A-1 On-Site Habitat Baseline'!$AV$11:$AV$258,'G-2 Habitat groups'!A134,'A-1 On-Site Habitat Baseline'!$W$11:$W$258)</f>
        <v>0</v>
      </c>
      <c r="J134" s="1056">
        <f>SUMIF('A-1 On-Site Habitat Baseline'!$AV$11:$AV$258,'G-2 Habitat groups'!A134,'A-1 On-Site Habitat Baseline'!$X$11:$X$258)</f>
        <v>0</v>
      </c>
      <c r="K134" s="1056">
        <f>SUMIF('A-2 On-Site Habitat Creation'!$F$11:$F$256,'G-2 Habitat groups'!A134,'A-2 On-Site Habitat Creation'!$G$11:$G$256)</f>
        <v>0</v>
      </c>
      <c r="L134" s="1056">
        <f>SUMIF('A-2 On-Site Habitat Creation'!$F$11:$F$256,'G-2 Habitat groups'!A134,'A-2 On-Site Habitat Creation'!$Y$11:$Y$256)</f>
        <v>0</v>
      </c>
      <c r="M134" s="1056">
        <f>SUMIF('A-3 On-Site Habitat Enhancement'!$S$12:$S$257,'G-2 Habitat groups'!A134,'A-3 On-Site Habitat Enhancement'!$V$12:$V$257)</f>
        <v>0</v>
      </c>
      <c r="N134" s="1056">
        <f>SUMIF('A-3 On-Site Habitat Enhancement'!$S$12:$S$257,'G-2 Habitat groups'!A134,'A-3 On-Site Habitat Enhancement'!$AN$12:$AN$257)</f>
        <v>0</v>
      </c>
      <c r="O134" s="1056">
        <f t="shared" si="76"/>
        <v>0</v>
      </c>
      <c r="P134" s="1056">
        <f t="shared" si="77"/>
        <v>0</v>
      </c>
      <c r="Q134" s="1056">
        <f t="shared" si="78"/>
        <v>0</v>
      </c>
      <c r="R134" s="1056">
        <f t="shared" si="79"/>
        <v>0</v>
      </c>
      <c r="S134" s="1056">
        <f>SUMIF('D-1 Off-Site Habitat Baseline'!$AV$11:$AV$258,'G-2 Habitat groups'!A134,'D-1 Off-Site Habitat Baseline'!$H$11:$H$258)</f>
        <v>0</v>
      </c>
      <c r="T134" s="1056">
        <f>SUMIF('D-1 Off-Site Habitat Baseline'!$AV$11:$AV$258,'G-2 Habitat groups'!A134,'D-1 Off-Site Habitat Baseline'!$T$11:$T$258)</f>
        <v>0</v>
      </c>
      <c r="U134" s="1056">
        <f>SUMIF('D-1 Off-Site Habitat Baseline'!$AV$11:$AV$258,'G-2 Habitat groups'!A134,'D-1 Off-Site Habitat Baseline'!$V$11:$V$258)</f>
        <v>0</v>
      </c>
      <c r="V134" s="1056">
        <f>SUMIF('D-1 Off-Site Habitat Baseline'!$AV$11:$AV$258,'G-2 Habitat groups'!A134,'D-1 Off-Site Habitat Baseline'!$X$11:$X$258)+SUMIF('D-1 Off-Site Habitat Baseline'!$AV$11:$AV$258,'G-2 Habitat groups'!A134,'D-1 Off-Site Habitat Baseline'!$AS$11:$AS$258)</f>
        <v>0</v>
      </c>
      <c r="W134" s="1056">
        <f>SUMIF('D-2 Off-Site Habitat Creation'!$F$9:$F$255,'G-2 Habitat groups'!A134,'D-2 Off-Site Habitat Creation'!$G$9:$G$255)</f>
        <v>0</v>
      </c>
      <c r="X134" s="1056">
        <f>SUMIF('D-2 Off-Site Habitat Creation'!$F$9:$F$255,'G-2 Habitat groups'!A134,'D-2 Off-Site Habitat Creation'!$AB$9:$AB$255)</f>
        <v>0</v>
      </c>
      <c r="Y134" s="1056">
        <f>SUMIF('D-3 Off-Site Habitat Enhancment'!$S$12:$S$491,'G-2 Habitat groups'!A134,'D-3 Off-Site Habitat Enhancment'!$V$12:$V$491)</f>
        <v>0</v>
      </c>
      <c r="Z134" s="1056">
        <f>SUMIF('D-3 Off-Site Habitat Enhancment'!$S$12:$S$491,'G-2 Habitat groups'!A134,'D-3 Off-Site Habitat Enhancment'!$AQ$12:$AQ$491)</f>
        <v>0</v>
      </c>
      <c r="AA134" s="1056">
        <f t="shared" si="80"/>
        <v>0</v>
      </c>
      <c r="AB134" s="1056">
        <f t="shared" si="81"/>
        <v>0</v>
      </c>
      <c r="AC134" s="1056">
        <f t="shared" si="82"/>
        <v>0</v>
      </c>
      <c r="AD134" s="1056">
        <f t="shared" si="83"/>
        <v>0</v>
      </c>
      <c r="AE134" s="1056">
        <f t="shared" si="84"/>
        <v>0</v>
      </c>
      <c r="AF134" s="1056">
        <f t="shared" si="85"/>
        <v>0</v>
      </c>
      <c r="AU134" s="70" t="s">
        <v>876</v>
      </c>
      <c r="AV134" s="62" t="s">
        <v>110</v>
      </c>
      <c r="AW134" s="274">
        <f t="shared" si="96"/>
        <v>0</v>
      </c>
      <c r="AX134" s="274">
        <f t="shared" si="89"/>
        <v>0</v>
      </c>
      <c r="AY134" s="274">
        <f t="shared" si="90"/>
        <v>0</v>
      </c>
      <c r="AZ134" s="274">
        <f t="shared" si="91"/>
        <v>0</v>
      </c>
      <c r="BA134" s="274">
        <f t="shared" si="92"/>
        <v>0</v>
      </c>
      <c r="BB134" s="274">
        <f t="shared" si="93"/>
        <v>0</v>
      </c>
      <c r="BC134" s="274">
        <f t="shared" si="94"/>
        <v>0</v>
      </c>
      <c r="BD134" s="274">
        <f t="shared" si="95"/>
        <v>0</v>
      </c>
      <c r="BE134" s="274">
        <f t="shared" si="87"/>
        <v>0</v>
      </c>
      <c r="BF134" s="274" t="str">
        <f t="shared" si="88"/>
        <v/>
      </c>
    </row>
    <row r="135" spans="1:58" ht="14">
      <c r="A135" s="72" t="s">
        <v>882</v>
      </c>
      <c r="B135" s="72" t="s">
        <v>119</v>
      </c>
      <c r="C135" s="72" t="str">
        <f>'G-1 All Habitats'!K81</f>
        <v>Medium</v>
      </c>
      <c r="D135" s="72" t="str">
        <f>'G-1 All Habitats'!M81</f>
        <v>Same broad habitat or a higher distinctiveness habitat required (≥)</v>
      </c>
      <c r="E135" s="1056">
        <f>SUMIF('A-1 On-Site Habitat Baseline'!$AV$11:$AV$258,'G-2 Habitat groups'!A135,'A-1 On-Site Habitat Baseline'!$H$11:$H$258)</f>
        <v>0.049</v>
      </c>
      <c r="F135" s="1056">
        <f>SUMIF('A-1 On-Site Habitat Baseline'!$AV$11:$AV$258,'G-2 Habitat groups'!A135,'A-1 On-Site Habitat Baseline'!$Q$11:$Q$258)</f>
        <v>0.55704</v>
      </c>
      <c r="G135" s="1056">
        <f>SUMIF('A-1 On-Site Habitat Baseline'!$AV$11:$AV$258,'G-2 Habitat groups'!A135,'A-1 On-Site Habitat Baseline'!$S$11:$S$258)</f>
        <v>0.044899999999999995</v>
      </c>
      <c r="H135" s="1056">
        <f>SUMIF('A-1 On-Site Habitat Baseline'!$AV$11:$AV$258,'G-2 Habitat groups'!A135,'A-1 On-Site Habitat Baseline'!$U$11:$U$258)+SUMIF('A-1 On-Site Habitat Baseline'!$AV$11:$AV$258,'G-2 Habitat groups'!A135,'A-1 On-Site Habitat Baseline'!$AT$11:$AT$258)</f>
        <v>0.50292</v>
      </c>
      <c r="I135" s="1056">
        <f>SUMIF('A-1 On-Site Habitat Baseline'!$AV$11:$AV$258,'G-2 Habitat groups'!A135,'A-1 On-Site Habitat Baseline'!$W$11:$W$258)</f>
        <v>0.0041</v>
      </c>
      <c r="J135" s="1056">
        <f>SUMIF('A-1 On-Site Habitat Baseline'!$AV$11:$AV$258,'G-2 Habitat groups'!A135,'A-1 On-Site Habitat Baseline'!$X$11:$X$258)</f>
        <v>0.054120000000000015</v>
      </c>
      <c r="K135" s="1056">
        <f>SUMIF('A-2 On-Site Habitat Creation'!$F$11:$F$256,'G-2 Habitat groups'!A135,'A-2 On-Site Habitat Creation'!$G$11:$G$256)</f>
        <v>0.0164</v>
      </c>
      <c r="L135" s="1056">
        <f>SUMIF('A-2 On-Site Habitat Creation'!$F$11:$F$256,'G-2 Habitat groups'!A135,'A-2 On-Site Habitat Creation'!$Y$11:$Y$256)</f>
        <v>0.06293599766448</v>
      </c>
      <c r="M135" s="1056">
        <f>SUMIF('A-3 On-Site Habitat Enhancement'!$S$12:$S$257,'G-2 Habitat groups'!A135,'A-3 On-Site Habitat Enhancement'!$V$12:$V$257)</f>
        <v>0</v>
      </c>
      <c r="N135" s="1056">
        <f>SUMIF('A-3 On-Site Habitat Enhancement'!$S$12:$S$257,'G-2 Habitat groups'!A135,'A-3 On-Site Habitat Enhancement'!$AN$12:$AN$257)</f>
        <v>0</v>
      </c>
      <c r="O135" s="1056">
        <f t="shared" si="97" ref="O135:O140">G135+K135+M135</f>
        <v>0.06129999999999999</v>
      </c>
      <c r="P135" s="1056">
        <f t="shared" si="98" ref="P135:P140">H135+L135+N135</f>
        <v>0.56585599766448</v>
      </c>
      <c r="Q135" s="1056">
        <f t="shared" si="99" ref="Q135:Q140">O135-E135</f>
        <v>0.012299999999999991</v>
      </c>
      <c r="R135" s="1056">
        <f t="shared" si="100" ref="R135:R140">P135-F135</f>
        <v>0.008815997664480046</v>
      </c>
      <c r="S135" s="1056">
        <f>SUMIF('D-1 Off-Site Habitat Baseline'!$AV$11:$AV$258,'G-2 Habitat groups'!A135,'D-1 Off-Site Habitat Baseline'!$H$11:$H$258)</f>
        <v>0</v>
      </c>
      <c r="T135" s="1056">
        <f>SUMIF('D-1 Off-Site Habitat Baseline'!$AV$11:$AV$258,'G-2 Habitat groups'!A135,'D-1 Off-Site Habitat Baseline'!$T$11:$T$258)</f>
        <v>0</v>
      </c>
      <c r="U135" s="1056">
        <f>SUMIF('D-1 Off-Site Habitat Baseline'!$AV$11:$AV$258,'G-2 Habitat groups'!A135,'D-1 Off-Site Habitat Baseline'!$V$11:$V$258)</f>
        <v>0</v>
      </c>
      <c r="V135" s="1056">
        <f>SUMIF('D-1 Off-Site Habitat Baseline'!$AV$11:$AV$258,'G-2 Habitat groups'!A135,'D-1 Off-Site Habitat Baseline'!$X$11:$X$258)+SUMIF('D-1 Off-Site Habitat Baseline'!$AV$11:$AV$258,'G-2 Habitat groups'!A135,'D-1 Off-Site Habitat Baseline'!$AS$11:$AS$258)</f>
        <v>0</v>
      </c>
      <c r="W135" s="1056">
        <f>SUMIF('D-2 Off-Site Habitat Creation'!$F$9:$F$255,'G-2 Habitat groups'!A135,'D-2 Off-Site Habitat Creation'!$G$9:$G$255)</f>
        <v>0</v>
      </c>
      <c r="X135" s="1056">
        <f>SUMIF('D-2 Off-Site Habitat Creation'!$F$9:$F$255,'G-2 Habitat groups'!A135,'D-2 Off-Site Habitat Creation'!$AB$9:$AB$255)</f>
        <v>0</v>
      </c>
      <c r="Y135" s="1056">
        <f>SUMIF('D-3 Off-Site Habitat Enhancment'!$S$12:$S$491,'G-2 Habitat groups'!A135,'D-3 Off-Site Habitat Enhancment'!$V$12:$V$491)</f>
        <v>0</v>
      </c>
      <c r="Z135" s="1056">
        <f>SUMIF('D-3 Off-Site Habitat Enhancment'!$S$12:$S$491,'G-2 Habitat groups'!A135,'D-3 Off-Site Habitat Enhancment'!$AQ$12:$AQ$491)</f>
        <v>0</v>
      </c>
      <c r="AA135" s="1056">
        <f t="shared" si="80"/>
        <v>0</v>
      </c>
      <c r="AB135" s="1056">
        <f t="shared" si="81"/>
        <v>0</v>
      </c>
      <c r="AC135" s="1056">
        <f t="shared" si="101" ref="AC135:AC140">AA135-S135</f>
        <v>0</v>
      </c>
      <c r="AD135" s="1056">
        <f t="shared" si="102" ref="AD135:AD140">AB135-T135</f>
        <v>0</v>
      </c>
      <c r="AE135" s="1056">
        <f t="shared" si="103" ref="AE135:AE140">Q135+AC135</f>
        <v>0.012299999999999991</v>
      </c>
      <c r="AF135" s="1056">
        <f t="shared" si="104" ref="AF135:AF140">R135+AD135</f>
        <v>0.008815997664480046</v>
      </c>
      <c r="AU135" s="70" t="s">
        <v>869</v>
      </c>
      <c r="AV135" s="62" t="s">
        <v>110</v>
      </c>
      <c r="AW135" s="274">
        <f t="shared" si="96"/>
        <v>0</v>
      </c>
      <c r="AX135" s="274">
        <f t="shared" si="89"/>
        <v>0</v>
      </c>
      <c r="AY135" s="274">
        <f t="shared" si="90"/>
        <v>0.63</v>
      </c>
      <c r="AZ135" s="274">
        <f t="shared" si="91"/>
        <v>1.5172504798500002</v>
      </c>
      <c r="BA135" s="274">
        <f t="shared" si="92"/>
        <v>0.63</v>
      </c>
      <c r="BB135" s="274">
        <f t="shared" si="93"/>
        <v>1.5172504798500002</v>
      </c>
      <c r="BC135" s="274">
        <f t="shared" si="94"/>
        <v>0</v>
      </c>
      <c r="BD135" s="274">
        <f t="shared" si="95"/>
        <v>0</v>
      </c>
      <c r="BE135" s="274">
        <f t="shared" si="87"/>
        <v>1.5172504798500002</v>
      </c>
      <c r="BF135" s="274" t="str">
        <f t="shared" si="88"/>
        <v/>
      </c>
    </row>
    <row r="136" spans="1:58" ht="14">
      <c r="A136" s="72">
        <f>'G-1 All Habitats'!B142</f>
        <v>0</v>
      </c>
      <c r="B136" s="72">
        <f>'G-1 All Habitats'!F136</f>
        <v>0</v>
      </c>
      <c r="C136" s="72">
        <f>'G-1 All Habitats'!K136</f>
        <v>0</v>
      </c>
      <c r="D136" s="72">
        <f>'G-1 All Habitats'!M136</f>
        <v>0</v>
      </c>
      <c r="E136" s="1056">
        <f>SUMIF('A-1 On-Site Habitat Baseline'!$AV$11:$AV$258,'G-2 Habitat groups'!A136,'A-1 On-Site Habitat Baseline'!$H$11:$H$258)</f>
        <v>0</v>
      </c>
      <c r="F136" s="1056">
        <f>SUMIF('A-1 On-Site Habitat Baseline'!$AV$11:$AV$258,'G-2 Habitat groups'!A136,'A-1 On-Site Habitat Baseline'!$Q$11:$Q$258)</f>
        <v>0</v>
      </c>
      <c r="G136" s="1056">
        <f>SUMIF('A-1 On-Site Habitat Baseline'!$AV$11:$AV$258,'G-2 Habitat groups'!A136,'A-1 On-Site Habitat Baseline'!$S$11:$S$258)</f>
        <v>0</v>
      </c>
      <c r="H136" s="1056">
        <f>SUMIF('A-1 On-Site Habitat Baseline'!$AV$11:$AV$258,'G-2 Habitat groups'!A136,'A-1 On-Site Habitat Baseline'!$U$11:$U$258)+SUMIF('A-1 On-Site Habitat Baseline'!$AV$11:$AV$258,'G-2 Habitat groups'!A136,'A-1 On-Site Habitat Baseline'!$AT$11:$AT$258)</f>
        <v>0</v>
      </c>
      <c r="I136" s="1056">
        <f>SUMIF('A-1 On-Site Habitat Baseline'!$AV$11:$AV$258,'G-2 Habitat groups'!A136,'A-1 On-Site Habitat Baseline'!$W$11:$W$258)</f>
        <v>0</v>
      </c>
      <c r="J136" s="1056">
        <f>SUMIF('A-1 On-Site Habitat Baseline'!$AV$11:$AV$258,'G-2 Habitat groups'!A136,'A-1 On-Site Habitat Baseline'!$X$11:$X$258)</f>
        <v>0</v>
      </c>
      <c r="K136" s="1056">
        <f>SUMIF('A-2 On-Site Habitat Creation'!$F$11:$F$256,'G-2 Habitat groups'!A136,'A-2 On-Site Habitat Creation'!$G$11:$G$256)</f>
        <v>0</v>
      </c>
      <c r="L136" s="1056">
        <f>SUMIF('A-2 On-Site Habitat Creation'!$F$11:$F$256,'G-2 Habitat groups'!A136,'A-2 On-Site Habitat Creation'!$Y$11:$Y$256)</f>
        <v>0</v>
      </c>
      <c r="M136" s="1056">
        <f>SUMIF('A-3 On-Site Habitat Enhancement'!$S$12:$S$257,'G-2 Habitat groups'!A136,'A-3 On-Site Habitat Enhancement'!$V$12:$V$257)</f>
        <v>0</v>
      </c>
      <c r="N136" s="1056">
        <f>SUMIF('A-3 On-Site Habitat Enhancement'!$S$12:$S$257,'G-2 Habitat groups'!A136,'A-3 On-Site Habitat Enhancement'!$AN$12:$AN$257)</f>
        <v>0</v>
      </c>
      <c r="O136" s="1056">
        <f t="shared" si="97"/>
        <v>0</v>
      </c>
      <c r="P136" s="1056">
        <f t="shared" si="98"/>
        <v>0</v>
      </c>
      <c r="Q136" s="1056">
        <f t="shared" si="99"/>
        <v>0</v>
      </c>
      <c r="R136" s="1056">
        <f t="shared" si="100"/>
        <v>0</v>
      </c>
      <c r="S136" s="1056">
        <f>SUMIF('D-1 Off-Site Habitat Baseline'!$AV$11:$AV$258,'G-2 Habitat groups'!A136,'D-1 Off-Site Habitat Baseline'!$H$11:$H$258)</f>
        <v>0</v>
      </c>
      <c r="T136" s="1056">
        <f>SUMIF('D-1 Off-Site Habitat Baseline'!$AV$11:$AV$258,'G-2 Habitat groups'!A136,'D-1 Off-Site Habitat Baseline'!$T$11:$T$258)</f>
        <v>0</v>
      </c>
      <c r="U136" s="1056">
        <f>SUMIF('D-1 Off-Site Habitat Baseline'!$AV$11:$AV$258,'G-2 Habitat groups'!A136,'D-1 Off-Site Habitat Baseline'!$V$11:$V$258)</f>
        <v>0</v>
      </c>
      <c r="V136" s="1056">
        <f>SUMIF('D-1 Off-Site Habitat Baseline'!$AV$11:$AV$258,'G-2 Habitat groups'!A136,'D-1 Off-Site Habitat Baseline'!$X$11:$X$258)+SUMIF('D-1 Off-Site Habitat Baseline'!$AV$11:$AV$258,'G-2 Habitat groups'!A136,'D-1 Off-Site Habitat Baseline'!$AS$11:$AS$258)</f>
        <v>0</v>
      </c>
      <c r="W136" s="1056">
        <f>SUMIF('D-2 Off-Site Habitat Creation'!$F$9:$F$255,'G-2 Habitat groups'!A136,'D-2 Off-Site Habitat Creation'!$G$9:$G$255)</f>
        <v>0</v>
      </c>
      <c r="X136" s="1056">
        <f>SUMIF('D-2 Off-Site Habitat Creation'!$F$9:$F$255,'G-2 Habitat groups'!A136,'D-2 Off-Site Habitat Creation'!$AB$9:$AB$255)</f>
        <v>0</v>
      </c>
      <c r="Y136" s="1056">
        <f>SUMIF('D-3 Off-Site Habitat Enhancment'!$S$12:$S$491,'G-2 Habitat groups'!A136,'D-3 Off-Site Habitat Enhancment'!$V$12:$V$491)</f>
        <v>0</v>
      </c>
      <c r="Z136" s="1056">
        <f>SUMIF('D-3 Off-Site Habitat Enhancment'!$S$12:$S$491,'G-2 Habitat groups'!A136,'D-3 Off-Site Habitat Enhancment'!$AQ$12:$AQ$491)</f>
        <v>0</v>
      </c>
      <c r="AA136" s="1056">
        <f t="shared" si="105" ref="AA136:AB140">U136+W136+Y136</f>
        <v>0</v>
      </c>
      <c r="AB136" s="1056">
        <f t="shared" si="105"/>
        <v>0</v>
      </c>
      <c r="AC136" s="1056">
        <f t="shared" si="101"/>
        <v>0</v>
      </c>
      <c r="AD136" s="1056">
        <f t="shared" si="102"/>
        <v>0</v>
      </c>
      <c r="AE136" s="1056">
        <f t="shared" si="103"/>
        <v>0</v>
      </c>
      <c r="AF136" s="1056">
        <f t="shared" si="104"/>
        <v>0</v>
      </c>
      <c r="AU136" s="70" t="s">
        <v>873</v>
      </c>
      <c r="AV136" s="62" t="s">
        <v>110</v>
      </c>
      <c r="AW136" s="274">
        <f t="shared" si="96"/>
        <v>0</v>
      </c>
      <c r="AX136" s="274">
        <f t="shared" si="89"/>
        <v>0</v>
      </c>
      <c r="AY136" s="274">
        <f t="shared" si="90"/>
        <v>0</v>
      </c>
      <c r="AZ136" s="274">
        <f t="shared" si="91"/>
        <v>0</v>
      </c>
      <c r="BA136" s="274">
        <f t="shared" si="92"/>
        <v>0</v>
      </c>
      <c r="BB136" s="274">
        <f t="shared" si="93"/>
        <v>0</v>
      </c>
      <c r="BC136" s="274">
        <f t="shared" si="94"/>
        <v>0</v>
      </c>
      <c r="BD136" s="274">
        <f t="shared" si="95"/>
        <v>0</v>
      </c>
      <c r="BE136" s="274">
        <f t="shared" si="87"/>
        <v>0</v>
      </c>
      <c r="BF136" s="274" t="str">
        <f t="shared" si="88"/>
        <v/>
      </c>
    </row>
    <row r="137" spans="1:58" ht="14">
      <c r="A137" s="72">
        <f>'G-1 All Habitats'!B143</f>
        <v>0</v>
      </c>
      <c r="B137" s="72">
        <f>'G-1 All Habitats'!F137</f>
        <v>0</v>
      </c>
      <c r="C137" s="72">
        <f>'G-1 All Habitats'!K137</f>
        <v>0</v>
      </c>
      <c r="D137" s="72">
        <f>'G-1 All Habitats'!M137</f>
        <v>0</v>
      </c>
      <c r="E137" s="1056">
        <f>SUMIF('A-1 On-Site Habitat Baseline'!$AV$11:$AV$258,'G-2 Habitat groups'!A137,'A-1 On-Site Habitat Baseline'!$H$11:$H$258)</f>
        <v>0</v>
      </c>
      <c r="F137" s="1056">
        <f>SUMIF('A-1 On-Site Habitat Baseline'!$AV$11:$AV$258,'G-2 Habitat groups'!A137,'A-1 On-Site Habitat Baseline'!$Q$11:$Q$258)</f>
        <v>0</v>
      </c>
      <c r="G137" s="1056">
        <f>SUMIF('A-1 On-Site Habitat Baseline'!$AV$11:$AV$258,'G-2 Habitat groups'!A137,'A-1 On-Site Habitat Baseline'!$S$11:$S$258)</f>
        <v>0</v>
      </c>
      <c r="H137" s="1056">
        <f>SUMIF('A-1 On-Site Habitat Baseline'!$AV$11:$AV$258,'G-2 Habitat groups'!A137,'A-1 On-Site Habitat Baseline'!$U$11:$U$258)+SUMIF('A-1 On-Site Habitat Baseline'!$AV$11:$AV$258,'G-2 Habitat groups'!A137,'A-1 On-Site Habitat Baseline'!$AT$11:$AT$258)</f>
        <v>0</v>
      </c>
      <c r="I137" s="1056">
        <f>SUMIF('A-1 On-Site Habitat Baseline'!$AV$11:$AV$258,'G-2 Habitat groups'!A137,'A-1 On-Site Habitat Baseline'!$W$11:$W$258)</f>
        <v>0</v>
      </c>
      <c r="J137" s="1056">
        <f>SUMIF('A-1 On-Site Habitat Baseline'!$AV$11:$AV$258,'G-2 Habitat groups'!A137,'A-1 On-Site Habitat Baseline'!$X$11:$X$258)</f>
        <v>0</v>
      </c>
      <c r="K137" s="1056">
        <f>SUMIF('A-2 On-Site Habitat Creation'!$F$11:$F$256,'G-2 Habitat groups'!A137,'A-2 On-Site Habitat Creation'!$G$11:$G$256)</f>
        <v>0</v>
      </c>
      <c r="L137" s="1056">
        <f>SUMIF('A-2 On-Site Habitat Creation'!$F$11:$F$256,'G-2 Habitat groups'!A137,'A-2 On-Site Habitat Creation'!$Y$11:$Y$256)</f>
        <v>0</v>
      </c>
      <c r="M137" s="1056">
        <f>SUMIF('A-3 On-Site Habitat Enhancement'!$S$12:$S$257,'G-2 Habitat groups'!A137,'A-3 On-Site Habitat Enhancement'!$V$12:$V$257)</f>
        <v>0</v>
      </c>
      <c r="N137" s="1056">
        <f>SUMIF('A-3 On-Site Habitat Enhancement'!$S$12:$S$257,'G-2 Habitat groups'!A137,'A-3 On-Site Habitat Enhancement'!$AN$12:$AN$257)</f>
        <v>0</v>
      </c>
      <c r="O137" s="1056">
        <f t="shared" si="97"/>
        <v>0</v>
      </c>
      <c r="P137" s="1056">
        <f t="shared" si="98"/>
        <v>0</v>
      </c>
      <c r="Q137" s="1056">
        <f t="shared" si="99"/>
        <v>0</v>
      </c>
      <c r="R137" s="1056">
        <f t="shared" si="100"/>
        <v>0</v>
      </c>
      <c r="S137" s="1056">
        <f>SUMIF('D-1 Off-Site Habitat Baseline'!$AV$11:$AV$258,'G-2 Habitat groups'!A137,'D-1 Off-Site Habitat Baseline'!$H$11:$H$258)</f>
        <v>0</v>
      </c>
      <c r="T137" s="1056">
        <f>SUMIF('D-1 Off-Site Habitat Baseline'!$AV$11:$AV$258,'G-2 Habitat groups'!A137,'D-1 Off-Site Habitat Baseline'!$T$11:$T$258)</f>
        <v>0</v>
      </c>
      <c r="U137" s="1056">
        <f>SUMIF('D-1 Off-Site Habitat Baseline'!$AV$11:$AV$258,'G-2 Habitat groups'!A137,'D-1 Off-Site Habitat Baseline'!$V$11:$V$258)</f>
        <v>0</v>
      </c>
      <c r="V137" s="1056">
        <f>SUMIF('D-1 Off-Site Habitat Baseline'!$AV$11:$AV$258,'G-2 Habitat groups'!A137,'D-1 Off-Site Habitat Baseline'!$X$11:$X$258)+SUMIF('D-1 Off-Site Habitat Baseline'!$AV$11:$AV$258,'G-2 Habitat groups'!A137,'D-1 Off-Site Habitat Baseline'!$AS$11:$AS$258)</f>
        <v>0</v>
      </c>
      <c r="W137" s="1056">
        <f>SUMIF('D-2 Off-Site Habitat Creation'!$F$9:$F$255,'G-2 Habitat groups'!A137,'D-2 Off-Site Habitat Creation'!$G$9:$G$255)</f>
        <v>0</v>
      </c>
      <c r="X137" s="1056">
        <f>SUMIF('D-2 Off-Site Habitat Creation'!$F$9:$F$255,'G-2 Habitat groups'!A137,'D-2 Off-Site Habitat Creation'!$AB$9:$AB$255)</f>
        <v>0</v>
      </c>
      <c r="Y137" s="1056">
        <f>SUMIF('D-3 Off-Site Habitat Enhancment'!$S$12:$S$491,'G-2 Habitat groups'!A137,'D-3 Off-Site Habitat Enhancment'!$V$12:$V$491)</f>
        <v>0</v>
      </c>
      <c r="Z137" s="1056">
        <f>SUMIF('D-3 Off-Site Habitat Enhancment'!$S$12:$S$491,'G-2 Habitat groups'!A137,'D-3 Off-Site Habitat Enhancment'!$AQ$12:$AQ$491)</f>
        <v>0</v>
      </c>
      <c r="AA137" s="1056">
        <f t="shared" si="105"/>
        <v>0</v>
      </c>
      <c r="AB137" s="1056">
        <f t="shared" si="105"/>
        <v>0</v>
      </c>
      <c r="AC137" s="1056">
        <f t="shared" si="101"/>
        <v>0</v>
      </c>
      <c r="AD137" s="1056">
        <f t="shared" si="102"/>
        <v>0</v>
      </c>
      <c r="AE137" s="1056">
        <f t="shared" si="103"/>
        <v>0</v>
      </c>
      <c r="AF137" s="1056">
        <f t="shared" si="104"/>
        <v>0</v>
      </c>
      <c r="AU137" s="70" t="s">
        <v>877</v>
      </c>
      <c r="AV137" s="62" t="s">
        <v>110</v>
      </c>
      <c r="AW137" s="274">
        <f t="shared" si="96"/>
        <v>0</v>
      </c>
      <c r="AX137" s="274">
        <f t="shared" si="89"/>
        <v>0</v>
      </c>
      <c r="AY137" s="274">
        <f t="shared" si="90"/>
        <v>1.88</v>
      </c>
      <c r="AZ137" s="274">
        <f t="shared" si="91"/>
        <v>3.6283999999999996</v>
      </c>
      <c r="BA137" s="274">
        <f t="shared" si="92"/>
        <v>1.88</v>
      </c>
      <c r="BB137" s="274">
        <f t="shared" si="93"/>
        <v>3.6283999999999996</v>
      </c>
      <c r="BC137" s="274">
        <f t="shared" si="94"/>
        <v>0</v>
      </c>
      <c r="BD137" s="274">
        <f t="shared" si="95"/>
        <v>0</v>
      </c>
      <c r="BE137" s="274">
        <f t="shared" si="87"/>
        <v>3.6283999999999996</v>
      </c>
      <c r="BF137" s="274" t="str">
        <f t="shared" si="88"/>
        <v/>
      </c>
    </row>
    <row r="138" spans="1:58" ht="14">
      <c r="A138" s="72">
        <f>'G-1 All Habitats'!B144</f>
        <v>0</v>
      </c>
      <c r="B138" s="72">
        <f>'G-1 All Habitats'!F138</f>
        <v>0</v>
      </c>
      <c r="C138" s="72">
        <f>'G-1 All Habitats'!K138</f>
        <v>0</v>
      </c>
      <c r="D138" s="72">
        <f>'G-1 All Habitats'!M138</f>
        <v>0</v>
      </c>
      <c r="E138" s="1056">
        <f>SUMIF('A-1 On-Site Habitat Baseline'!$AV$11:$AV$258,'G-2 Habitat groups'!A138,'A-1 On-Site Habitat Baseline'!$H$11:$H$258)</f>
        <v>0</v>
      </c>
      <c r="F138" s="1056">
        <f>SUMIF('A-1 On-Site Habitat Baseline'!$AV$11:$AV$258,'G-2 Habitat groups'!A138,'A-1 On-Site Habitat Baseline'!$Q$11:$Q$258)</f>
        <v>0</v>
      </c>
      <c r="G138" s="1056">
        <f>SUMIF('A-1 On-Site Habitat Baseline'!$AV$11:$AV$258,'G-2 Habitat groups'!A138,'A-1 On-Site Habitat Baseline'!$S$11:$S$258)</f>
        <v>0</v>
      </c>
      <c r="H138" s="1056">
        <f>SUMIF('A-1 On-Site Habitat Baseline'!$AV$11:$AV$258,'G-2 Habitat groups'!A138,'A-1 On-Site Habitat Baseline'!$U$11:$U$258)+SUMIF('A-1 On-Site Habitat Baseline'!$AV$11:$AV$258,'G-2 Habitat groups'!A138,'A-1 On-Site Habitat Baseline'!$AT$11:$AT$258)</f>
        <v>0</v>
      </c>
      <c r="I138" s="1056">
        <f>SUMIF('A-1 On-Site Habitat Baseline'!$AV$11:$AV$258,'G-2 Habitat groups'!A138,'A-1 On-Site Habitat Baseline'!$W$11:$W$258)</f>
        <v>0</v>
      </c>
      <c r="J138" s="1056">
        <f>SUMIF('A-1 On-Site Habitat Baseline'!$AV$11:$AV$258,'G-2 Habitat groups'!A138,'A-1 On-Site Habitat Baseline'!$X$11:$X$258)</f>
        <v>0</v>
      </c>
      <c r="K138" s="1056">
        <f>SUMIF('A-2 On-Site Habitat Creation'!$F$11:$F$256,'G-2 Habitat groups'!A138,'A-2 On-Site Habitat Creation'!$G$11:$G$256)</f>
        <v>0</v>
      </c>
      <c r="L138" s="1056">
        <f>SUMIF('A-2 On-Site Habitat Creation'!$F$11:$F$256,'G-2 Habitat groups'!A138,'A-2 On-Site Habitat Creation'!$Y$11:$Y$256)</f>
        <v>0</v>
      </c>
      <c r="M138" s="1056">
        <f>SUMIF('A-3 On-Site Habitat Enhancement'!$S$12:$S$257,'G-2 Habitat groups'!A138,'A-3 On-Site Habitat Enhancement'!$V$12:$V$257)</f>
        <v>0</v>
      </c>
      <c r="N138" s="1056">
        <f>SUMIF('A-3 On-Site Habitat Enhancement'!$S$12:$S$257,'G-2 Habitat groups'!A138,'A-3 On-Site Habitat Enhancement'!$AN$12:$AN$257)</f>
        <v>0</v>
      </c>
      <c r="O138" s="1056">
        <f t="shared" si="97"/>
        <v>0</v>
      </c>
      <c r="P138" s="1056">
        <f t="shared" si="98"/>
        <v>0</v>
      </c>
      <c r="Q138" s="1056">
        <f t="shared" si="99"/>
        <v>0</v>
      </c>
      <c r="R138" s="1056">
        <f t="shared" si="100"/>
        <v>0</v>
      </c>
      <c r="S138" s="1056">
        <f>SUMIF('D-1 Off-Site Habitat Baseline'!$AV$11:$AV$258,'G-2 Habitat groups'!A138,'D-1 Off-Site Habitat Baseline'!$H$11:$H$258)</f>
        <v>0</v>
      </c>
      <c r="T138" s="1056">
        <f>SUMIF('D-1 Off-Site Habitat Baseline'!$AV$11:$AV$258,'G-2 Habitat groups'!A138,'D-1 Off-Site Habitat Baseline'!$T$11:$T$258)</f>
        <v>0</v>
      </c>
      <c r="U138" s="1056">
        <f>SUMIF('D-1 Off-Site Habitat Baseline'!$AV$11:$AV$258,'G-2 Habitat groups'!A138,'D-1 Off-Site Habitat Baseline'!$V$11:$V$258)</f>
        <v>0</v>
      </c>
      <c r="V138" s="1056">
        <f>SUMIF('D-1 Off-Site Habitat Baseline'!$AV$11:$AV$258,'G-2 Habitat groups'!A138,'D-1 Off-Site Habitat Baseline'!$X$11:$X$258)+SUMIF('D-1 Off-Site Habitat Baseline'!$AV$11:$AV$258,'G-2 Habitat groups'!A138,'D-1 Off-Site Habitat Baseline'!$AS$11:$AS$258)</f>
        <v>0</v>
      </c>
      <c r="W138" s="1056">
        <f>SUMIF('D-2 Off-Site Habitat Creation'!$F$9:$F$255,'G-2 Habitat groups'!A138,'D-2 Off-Site Habitat Creation'!$G$9:$G$255)</f>
        <v>0</v>
      </c>
      <c r="X138" s="1056">
        <f>SUMIF('D-2 Off-Site Habitat Creation'!$F$9:$F$255,'G-2 Habitat groups'!A138,'D-2 Off-Site Habitat Creation'!$AB$9:$AB$255)</f>
        <v>0</v>
      </c>
      <c r="Y138" s="1056">
        <f>SUMIF('D-3 Off-Site Habitat Enhancment'!$S$12:$S$491,'G-2 Habitat groups'!A138,'D-3 Off-Site Habitat Enhancment'!$V$12:$V$491)</f>
        <v>0</v>
      </c>
      <c r="Z138" s="1056">
        <f>SUMIF('D-3 Off-Site Habitat Enhancment'!$S$12:$S$491,'G-2 Habitat groups'!A138,'D-3 Off-Site Habitat Enhancment'!$AQ$12:$AQ$491)</f>
        <v>0</v>
      </c>
      <c r="AA138" s="1056">
        <f t="shared" si="105"/>
        <v>0</v>
      </c>
      <c r="AB138" s="1056">
        <f t="shared" si="105"/>
        <v>0</v>
      </c>
      <c r="AC138" s="1056">
        <f t="shared" si="101"/>
        <v>0</v>
      </c>
      <c r="AD138" s="1056">
        <f t="shared" si="102"/>
        <v>0</v>
      </c>
      <c r="AE138" s="1056">
        <f t="shared" si="103"/>
        <v>0</v>
      </c>
      <c r="AF138" s="1056">
        <f t="shared" si="104"/>
        <v>0</v>
      </c>
      <c r="AU138" s="82" t="s">
        <v>927</v>
      </c>
      <c r="AV138" s="62" t="s">
        <v>112</v>
      </c>
      <c r="AW138" s="274">
        <f t="shared" si="96"/>
        <v>0</v>
      </c>
      <c r="AX138" s="274">
        <f t="shared" si="89"/>
        <v>0</v>
      </c>
      <c r="AY138" s="274">
        <f t="shared" si="90"/>
        <v>0</v>
      </c>
      <c r="AZ138" s="274">
        <f t="shared" si="91"/>
        <v>0</v>
      </c>
      <c r="BA138" s="274">
        <f t="shared" si="92"/>
        <v>0</v>
      </c>
      <c r="BB138" s="274">
        <f t="shared" si="93"/>
        <v>0</v>
      </c>
      <c r="BC138" s="274">
        <f t="shared" si="94"/>
        <v>0</v>
      </c>
      <c r="BD138" s="274">
        <f t="shared" si="95"/>
        <v>0</v>
      </c>
      <c r="BE138" s="274">
        <f t="shared" si="87"/>
        <v>0</v>
      </c>
      <c r="BF138" s="274" t="str">
        <f t="shared" si="88"/>
        <v/>
      </c>
    </row>
    <row r="139" spans="1:58" ht="14">
      <c r="A139" s="72">
        <f>'G-1 All Habitats'!B145</f>
        <v>0</v>
      </c>
      <c r="B139" s="72">
        <f>'G-1 All Habitats'!F139</f>
        <v>0</v>
      </c>
      <c r="C139" s="72">
        <f>'G-1 All Habitats'!K139</f>
        <v>0</v>
      </c>
      <c r="D139" s="72">
        <f>'G-1 All Habitats'!M139</f>
        <v>0</v>
      </c>
      <c r="E139" s="1056">
        <f>SUMIF('A-1 On-Site Habitat Baseline'!$AV$11:$AV$258,'G-2 Habitat groups'!A139,'A-1 On-Site Habitat Baseline'!$H$11:$H$258)</f>
        <v>0</v>
      </c>
      <c r="F139" s="1056">
        <f>SUMIF('A-1 On-Site Habitat Baseline'!$AV$11:$AV$258,'G-2 Habitat groups'!A139,'A-1 On-Site Habitat Baseline'!$Q$11:$Q$258)</f>
        <v>0</v>
      </c>
      <c r="G139" s="1056">
        <f>SUMIF('A-1 On-Site Habitat Baseline'!$AV$11:$AV$258,'G-2 Habitat groups'!A139,'A-1 On-Site Habitat Baseline'!$S$11:$S$258)</f>
        <v>0</v>
      </c>
      <c r="H139" s="1056">
        <f>SUMIF('A-1 On-Site Habitat Baseline'!$AV$11:$AV$258,'G-2 Habitat groups'!A139,'A-1 On-Site Habitat Baseline'!$U$11:$U$258)+SUMIF('A-1 On-Site Habitat Baseline'!$AV$11:$AV$258,'G-2 Habitat groups'!A139,'A-1 On-Site Habitat Baseline'!$AT$11:$AT$258)</f>
        <v>0</v>
      </c>
      <c r="I139" s="1056">
        <f>SUMIF('A-1 On-Site Habitat Baseline'!$AV$11:$AV$258,'G-2 Habitat groups'!A139,'A-1 On-Site Habitat Baseline'!$W$11:$W$258)</f>
        <v>0</v>
      </c>
      <c r="J139" s="1056">
        <f>SUMIF('A-1 On-Site Habitat Baseline'!$AV$11:$AV$258,'G-2 Habitat groups'!A139,'A-1 On-Site Habitat Baseline'!$X$11:$X$258)</f>
        <v>0</v>
      </c>
      <c r="K139" s="1056">
        <f>SUMIF('A-2 On-Site Habitat Creation'!$F$11:$F$256,'G-2 Habitat groups'!A139,'A-2 On-Site Habitat Creation'!$G$11:$G$256)</f>
        <v>0</v>
      </c>
      <c r="L139" s="1056">
        <f>SUMIF('A-2 On-Site Habitat Creation'!$F$11:$F$256,'G-2 Habitat groups'!A139,'A-2 On-Site Habitat Creation'!$Y$11:$Y$256)</f>
        <v>0</v>
      </c>
      <c r="M139" s="1056">
        <f>SUMIF('A-3 On-Site Habitat Enhancement'!$S$12:$S$257,'G-2 Habitat groups'!A139,'A-3 On-Site Habitat Enhancement'!$V$12:$V$257)</f>
        <v>0</v>
      </c>
      <c r="N139" s="1056">
        <f>SUMIF('A-3 On-Site Habitat Enhancement'!$S$12:$S$257,'G-2 Habitat groups'!A139,'A-3 On-Site Habitat Enhancement'!$AN$12:$AN$257)</f>
        <v>0</v>
      </c>
      <c r="O139" s="1056">
        <f t="shared" si="97"/>
        <v>0</v>
      </c>
      <c r="P139" s="1056">
        <f t="shared" si="98"/>
        <v>0</v>
      </c>
      <c r="Q139" s="1056">
        <f t="shared" si="99"/>
        <v>0</v>
      </c>
      <c r="R139" s="1056">
        <f t="shared" si="100"/>
        <v>0</v>
      </c>
      <c r="S139" s="1056">
        <f>SUMIF('D-1 Off-Site Habitat Baseline'!$AV$11:$AV$258,'G-2 Habitat groups'!A139,'D-1 Off-Site Habitat Baseline'!$H$11:$H$258)</f>
        <v>0</v>
      </c>
      <c r="T139" s="1056">
        <f>SUMIF('D-1 Off-Site Habitat Baseline'!$AV$11:$AV$258,'G-2 Habitat groups'!A139,'D-1 Off-Site Habitat Baseline'!$T$11:$T$258)</f>
        <v>0</v>
      </c>
      <c r="U139" s="1056">
        <f>SUMIF('D-1 Off-Site Habitat Baseline'!$AV$11:$AV$258,'G-2 Habitat groups'!A139,'D-1 Off-Site Habitat Baseline'!$V$11:$V$258)</f>
        <v>0</v>
      </c>
      <c r="V139" s="1056">
        <f>SUMIF('D-1 Off-Site Habitat Baseline'!$AV$11:$AV$258,'G-2 Habitat groups'!A139,'D-1 Off-Site Habitat Baseline'!$X$11:$X$258)+SUMIF('D-1 Off-Site Habitat Baseline'!$AV$11:$AV$258,'G-2 Habitat groups'!A139,'D-1 Off-Site Habitat Baseline'!$AS$11:$AS$258)</f>
        <v>0</v>
      </c>
      <c r="W139" s="1056">
        <f>SUMIF('D-2 Off-Site Habitat Creation'!$F$9:$F$255,'G-2 Habitat groups'!A139,'D-2 Off-Site Habitat Creation'!$G$9:$G$255)</f>
        <v>0</v>
      </c>
      <c r="X139" s="1056">
        <f>SUMIF('D-2 Off-Site Habitat Creation'!$F$9:$F$255,'G-2 Habitat groups'!A139,'D-2 Off-Site Habitat Creation'!$AB$9:$AB$255)</f>
        <v>0</v>
      </c>
      <c r="Y139" s="1056">
        <f>SUMIF('D-3 Off-Site Habitat Enhancment'!$S$12:$S$491,'G-2 Habitat groups'!A139,'D-3 Off-Site Habitat Enhancment'!$V$12:$V$491)</f>
        <v>0</v>
      </c>
      <c r="Z139" s="1056">
        <f>SUMIF('D-3 Off-Site Habitat Enhancment'!$S$12:$S$491,'G-2 Habitat groups'!A139,'D-3 Off-Site Habitat Enhancment'!$AQ$12:$AQ$491)</f>
        <v>0</v>
      </c>
      <c r="AA139" s="1056">
        <f t="shared" si="105"/>
        <v>0</v>
      </c>
      <c r="AB139" s="1056">
        <f t="shared" si="105"/>
        <v>0</v>
      </c>
      <c r="AC139" s="1056">
        <f t="shared" si="101"/>
        <v>0</v>
      </c>
      <c r="AD139" s="1056">
        <f t="shared" si="102"/>
        <v>0</v>
      </c>
      <c r="AE139" s="1056">
        <f t="shared" si="103"/>
        <v>0</v>
      </c>
      <c r="AF139" s="1056">
        <f t="shared" si="104"/>
        <v>0</v>
      </c>
      <c r="AU139" s="70" t="s">
        <v>980</v>
      </c>
      <c r="AV139" s="78" t="s">
        <v>114</v>
      </c>
      <c r="AW139" s="274">
        <f t="shared" si="96"/>
        <v>0</v>
      </c>
      <c r="AX139" s="274">
        <f t="shared" si="89"/>
        <v>0</v>
      </c>
      <c r="AY139" s="274">
        <f t="shared" si="90"/>
        <v>0</v>
      </c>
      <c r="AZ139" s="274">
        <f t="shared" si="91"/>
        <v>0</v>
      </c>
      <c r="BA139" s="274">
        <f t="shared" si="92"/>
        <v>0</v>
      </c>
      <c r="BB139" s="274">
        <f t="shared" si="93"/>
        <v>0</v>
      </c>
      <c r="BC139" s="274">
        <f t="shared" si="94"/>
        <v>0</v>
      </c>
      <c r="BD139" s="274">
        <f t="shared" si="95"/>
        <v>0</v>
      </c>
      <c r="BE139" s="274">
        <f t="shared" si="87"/>
        <v>0</v>
      </c>
      <c r="BF139" s="274" t="str">
        <f t="shared" si="88"/>
        <v/>
      </c>
    </row>
    <row r="140" spans="1:58" ht="14">
      <c r="A140" s="72">
        <f>'G-1 All Habitats'!B146</f>
        <v>0</v>
      </c>
      <c r="B140" s="72">
        <f>'G-1 All Habitats'!F140</f>
        <v>0</v>
      </c>
      <c r="C140" s="72">
        <f>'G-1 All Habitats'!K140</f>
        <v>0</v>
      </c>
      <c r="D140" s="72">
        <f>'G-1 All Habitats'!M140</f>
        <v>0</v>
      </c>
      <c r="E140" s="1056">
        <f>SUMIF('A-1 On-Site Habitat Baseline'!$AV$11:$AV$258,'G-2 Habitat groups'!A140,'A-1 On-Site Habitat Baseline'!$H$11:$H$258)</f>
        <v>0</v>
      </c>
      <c r="F140" s="1056">
        <f>SUMIF('A-1 On-Site Habitat Baseline'!$AV$11:$AV$258,'G-2 Habitat groups'!A140,'A-1 On-Site Habitat Baseline'!$Q$11:$Q$258)</f>
        <v>0</v>
      </c>
      <c r="G140" s="1056">
        <f>SUMIF('A-1 On-Site Habitat Baseline'!$AV$11:$AV$258,'G-2 Habitat groups'!A140,'A-1 On-Site Habitat Baseline'!$S$11:$S$258)</f>
        <v>0</v>
      </c>
      <c r="H140" s="1056">
        <f>SUMIF('A-1 On-Site Habitat Baseline'!$AV$11:$AV$258,'G-2 Habitat groups'!A140,'A-1 On-Site Habitat Baseline'!$U$11:$U$258)+SUMIF('A-1 On-Site Habitat Baseline'!$AV$11:$AV$258,'G-2 Habitat groups'!A140,'A-1 On-Site Habitat Baseline'!$AT$11:$AT$258)</f>
        <v>0</v>
      </c>
      <c r="I140" s="1056">
        <f>SUMIF('A-1 On-Site Habitat Baseline'!$AV$11:$AV$258,'G-2 Habitat groups'!A140,'A-1 On-Site Habitat Baseline'!$W$11:$W$258)</f>
        <v>0</v>
      </c>
      <c r="J140" s="1056">
        <f>SUMIF('A-1 On-Site Habitat Baseline'!$AV$11:$AV$258,'G-2 Habitat groups'!A140,'A-1 On-Site Habitat Baseline'!$X$11:$X$258)</f>
        <v>0</v>
      </c>
      <c r="K140" s="1056">
        <f>SUMIF('A-2 On-Site Habitat Creation'!$F$11:$F$256,'G-2 Habitat groups'!A140,'A-2 On-Site Habitat Creation'!$G$11:$G$256)</f>
        <v>0</v>
      </c>
      <c r="L140" s="1056">
        <f>SUMIF('A-2 On-Site Habitat Creation'!$F$11:$F$256,'G-2 Habitat groups'!A140,'A-2 On-Site Habitat Creation'!$Y$11:$Y$256)</f>
        <v>0</v>
      </c>
      <c r="M140" s="1056">
        <f>SUMIF('A-3 On-Site Habitat Enhancement'!$S$12:$S$257,'G-2 Habitat groups'!A140,'A-3 On-Site Habitat Enhancement'!$V$12:$V$257)</f>
        <v>0</v>
      </c>
      <c r="N140" s="1056">
        <f>SUMIF('A-3 On-Site Habitat Enhancement'!$S$12:$S$257,'G-2 Habitat groups'!A140,'A-3 On-Site Habitat Enhancement'!$AN$12:$AN$257)</f>
        <v>0</v>
      </c>
      <c r="O140" s="1056">
        <f t="shared" si="97"/>
        <v>0</v>
      </c>
      <c r="P140" s="1056">
        <f t="shared" si="98"/>
        <v>0</v>
      </c>
      <c r="Q140" s="1056">
        <f t="shared" si="99"/>
        <v>0</v>
      </c>
      <c r="R140" s="1056">
        <f t="shared" si="100"/>
        <v>0</v>
      </c>
      <c r="S140" s="1056">
        <f>SUMIF('D-1 Off-Site Habitat Baseline'!$AV$11:$AV$258,'G-2 Habitat groups'!A140,'D-1 Off-Site Habitat Baseline'!$H$11:$H$258)</f>
        <v>0</v>
      </c>
      <c r="T140" s="1056">
        <f>SUMIF('D-1 Off-Site Habitat Baseline'!$AV$11:$AV$258,'G-2 Habitat groups'!A140,'D-1 Off-Site Habitat Baseline'!$T$11:$T$258)</f>
        <v>0</v>
      </c>
      <c r="U140" s="1056">
        <f>SUMIF('D-1 Off-Site Habitat Baseline'!$AV$11:$AV$258,'G-2 Habitat groups'!A140,'D-1 Off-Site Habitat Baseline'!$V$11:$V$258)</f>
        <v>0</v>
      </c>
      <c r="V140" s="1056">
        <f>SUMIF('D-1 Off-Site Habitat Baseline'!$AV$11:$AV$258,'G-2 Habitat groups'!A140,'D-1 Off-Site Habitat Baseline'!$X$11:$X$258)+SUMIF('D-1 Off-Site Habitat Baseline'!$AV$11:$AV$258,'G-2 Habitat groups'!A140,'D-1 Off-Site Habitat Baseline'!$AS$11:$AS$258)</f>
        <v>0</v>
      </c>
      <c r="W140" s="1056">
        <f>SUMIF('D-2 Off-Site Habitat Creation'!$F$9:$F$255,'G-2 Habitat groups'!A140,'D-2 Off-Site Habitat Creation'!$G$9:$G$255)</f>
        <v>0</v>
      </c>
      <c r="X140" s="1056">
        <f>SUMIF('D-2 Off-Site Habitat Creation'!$F$9:$F$255,'G-2 Habitat groups'!A140,'D-2 Off-Site Habitat Creation'!$AB$9:$AB$255)</f>
        <v>0</v>
      </c>
      <c r="Y140" s="1056">
        <f>SUMIF('D-3 Off-Site Habitat Enhancment'!$S$12:$S$491,'G-2 Habitat groups'!A140,'D-3 Off-Site Habitat Enhancment'!$V$12:$V$491)</f>
        <v>0</v>
      </c>
      <c r="Z140" s="1056">
        <f>SUMIF('D-3 Off-Site Habitat Enhancment'!$S$12:$S$491,'G-2 Habitat groups'!A140,'D-3 Off-Site Habitat Enhancment'!$AQ$12:$AQ$491)</f>
        <v>0</v>
      </c>
      <c r="AA140" s="1056">
        <f t="shared" si="105"/>
        <v>0</v>
      </c>
      <c r="AB140" s="1056">
        <f t="shared" si="105"/>
        <v>0</v>
      </c>
      <c r="AC140" s="1056">
        <f t="shared" si="101"/>
        <v>0</v>
      </c>
      <c r="AD140" s="1056">
        <f t="shared" si="102"/>
        <v>0</v>
      </c>
      <c r="AE140" s="1056">
        <f t="shared" si="103"/>
        <v>0</v>
      </c>
      <c r="AF140" s="1056">
        <f t="shared" si="104"/>
        <v>0</v>
      </c>
      <c r="AU140" s="70" t="s">
        <v>1005</v>
      </c>
      <c r="AV140" s="62" t="s">
        <v>113</v>
      </c>
      <c r="AW140" s="274">
        <f t="shared" si="96"/>
        <v>0</v>
      </c>
      <c r="AX140" s="274">
        <f t="shared" si="89"/>
        <v>0</v>
      </c>
      <c r="AY140" s="274">
        <f t="shared" si="90"/>
        <v>0</v>
      </c>
      <c r="AZ140" s="274">
        <f t="shared" si="91"/>
        <v>0</v>
      </c>
      <c r="BA140" s="274">
        <f t="shared" si="92"/>
        <v>0</v>
      </c>
      <c r="BB140" s="274">
        <f t="shared" si="93"/>
        <v>0</v>
      </c>
      <c r="BC140" s="274">
        <f t="shared" si="94"/>
        <v>0</v>
      </c>
      <c r="BD140" s="274">
        <f t="shared" si="95"/>
        <v>0</v>
      </c>
      <c r="BE140" s="274">
        <f t="shared" si="87"/>
        <v>0</v>
      </c>
      <c r="BF140" s="274" t="str">
        <f t="shared" si="88"/>
        <v/>
      </c>
    </row>
    <row r="141" spans="47:58" ht="14">
      <c r="AU141" s="70" t="s">
        <v>1009</v>
      </c>
      <c r="AV141" s="62" t="s">
        <v>113</v>
      </c>
      <c r="AW141" s="274">
        <f t="shared" si="96"/>
        <v>0</v>
      </c>
      <c r="AX141" s="274">
        <f t="shared" si="89"/>
        <v>0</v>
      </c>
      <c r="AY141" s="274">
        <f t="shared" si="90"/>
        <v>0</v>
      </c>
      <c r="AZ141" s="274">
        <f t="shared" si="91"/>
        <v>0</v>
      </c>
      <c r="BA141" s="274">
        <f t="shared" si="92"/>
        <v>0</v>
      </c>
      <c r="BB141" s="274">
        <f t="shared" si="93"/>
        <v>0</v>
      </c>
      <c r="BC141" s="274">
        <f t="shared" si="94"/>
        <v>0</v>
      </c>
      <c r="BD141" s="274">
        <f t="shared" si="95"/>
        <v>0</v>
      </c>
      <c r="BE141" s="274">
        <f t="shared" si="87"/>
        <v>0</v>
      </c>
      <c r="BF141" s="274" t="str">
        <f t="shared" si="88"/>
        <v/>
      </c>
    </row>
    <row r="142" spans="47:58" ht="14">
      <c r="AU142" s="70" t="s">
        <v>1013</v>
      </c>
      <c r="AV142" s="62" t="s">
        <v>113</v>
      </c>
      <c r="AW142" s="274">
        <f t="shared" si="96"/>
        <v>0</v>
      </c>
      <c r="AX142" s="274">
        <f t="shared" si="89"/>
        <v>0</v>
      </c>
      <c r="AY142" s="274">
        <f t="shared" si="90"/>
        <v>0</v>
      </c>
      <c r="AZ142" s="274">
        <f t="shared" si="91"/>
        <v>0</v>
      </c>
      <c r="BA142" s="274">
        <f t="shared" si="92"/>
        <v>0</v>
      </c>
      <c r="BB142" s="274">
        <f t="shared" si="93"/>
        <v>0</v>
      </c>
      <c r="BC142" s="274">
        <f t="shared" si="94"/>
        <v>0</v>
      </c>
      <c r="BD142" s="274">
        <f t="shared" si="95"/>
        <v>0</v>
      </c>
      <c r="BE142" s="274">
        <f t="shared" si="87"/>
        <v>0</v>
      </c>
      <c r="BF142" s="274" t="str">
        <f t="shared" si="88"/>
        <v/>
      </c>
    </row>
    <row r="143" spans="47:58" ht="14">
      <c r="AU143" s="70" t="s">
        <v>1016</v>
      </c>
      <c r="AV143" s="62" t="s">
        <v>113</v>
      </c>
      <c r="AW143" s="274">
        <f t="shared" si="96"/>
        <v>0</v>
      </c>
      <c r="AX143" s="274">
        <f t="shared" si="89"/>
        <v>0</v>
      </c>
      <c r="AY143" s="274">
        <f t="shared" si="90"/>
        <v>0</v>
      </c>
      <c r="AZ143" s="274">
        <f t="shared" si="91"/>
        <v>0</v>
      </c>
      <c r="BA143" s="274">
        <f t="shared" si="92"/>
        <v>0</v>
      </c>
      <c r="BB143" s="274">
        <f t="shared" si="93"/>
        <v>0</v>
      </c>
      <c r="BC143" s="274">
        <f t="shared" si="94"/>
        <v>0</v>
      </c>
      <c r="BD143" s="274">
        <f t="shared" si="95"/>
        <v>0</v>
      </c>
      <c r="BE143" s="274">
        <f t="shared" si="87"/>
        <v>0</v>
      </c>
      <c r="BF143" s="274" t="str">
        <f t="shared" si="88"/>
        <v/>
      </c>
    </row>
    <row r="144" spans="47:58" ht="14">
      <c r="AU144" s="70" t="s">
        <v>1019</v>
      </c>
      <c r="AV144" s="62" t="s">
        <v>113</v>
      </c>
      <c r="AW144" s="274">
        <f t="shared" si="96"/>
        <v>0</v>
      </c>
      <c r="AX144" s="274">
        <f t="shared" si="89"/>
        <v>0</v>
      </c>
      <c r="AY144" s="274">
        <f t="shared" si="90"/>
        <v>0</v>
      </c>
      <c r="AZ144" s="274">
        <f t="shared" si="91"/>
        <v>0</v>
      </c>
      <c r="BA144" s="274">
        <f t="shared" si="92"/>
        <v>0</v>
      </c>
      <c r="BB144" s="274">
        <f t="shared" si="93"/>
        <v>0</v>
      </c>
      <c r="BC144" s="274">
        <f t="shared" si="94"/>
        <v>0</v>
      </c>
      <c r="BD144" s="274">
        <f t="shared" si="95"/>
        <v>0</v>
      </c>
      <c r="BE144" s="274">
        <f t="shared" si="87"/>
        <v>0</v>
      </c>
      <c r="BF144" s="274" t="str">
        <f t="shared" si="88"/>
        <v/>
      </c>
    </row>
    <row r="145" spans="1:1 47:58" ht="27.5">
      <c r="A145" s="1075" t="s">
        <v>139</v>
      </c>
      <c r="AU145" s="70" t="s">
        <v>1022</v>
      </c>
      <c r="AV145" s="62" t="s">
        <v>113</v>
      </c>
      <c r="AW145" s="274">
        <f t="shared" si="96"/>
        <v>0</v>
      </c>
      <c r="AX145" s="274">
        <f t="shared" si="89"/>
        <v>0</v>
      </c>
      <c r="AY145" s="274">
        <f t="shared" si="90"/>
        <v>0</v>
      </c>
      <c r="AZ145" s="274">
        <f t="shared" si="91"/>
        <v>0</v>
      </c>
      <c r="BA145" s="274">
        <f t="shared" si="92"/>
        <v>0</v>
      </c>
      <c r="BB145" s="274">
        <f t="shared" si="93"/>
        <v>0</v>
      </c>
      <c r="BC145" s="274">
        <f t="shared" si="94"/>
        <v>0</v>
      </c>
      <c r="BD145" s="274">
        <f t="shared" si="95"/>
        <v>0</v>
      </c>
      <c r="BE145" s="274">
        <f t="shared" si="87"/>
        <v>0</v>
      </c>
      <c r="BF145" s="274" t="str">
        <f t="shared" si="88"/>
        <v/>
      </c>
    </row>
    <row r="146" spans="47:58" ht="14">
      <c r="AU146" s="70" t="s">
        <v>1026</v>
      </c>
      <c r="AV146" s="62" t="s">
        <v>113</v>
      </c>
      <c r="AW146" s="274">
        <f t="shared" si="96"/>
        <v>0</v>
      </c>
      <c r="AX146" s="274">
        <f t="shared" si="89"/>
        <v>0</v>
      </c>
      <c r="AY146" s="274">
        <f t="shared" si="90"/>
        <v>0</v>
      </c>
      <c r="AZ146" s="274">
        <f t="shared" si="91"/>
        <v>0</v>
      </c>
      <c r="BA146" s="274">
        <f t="shared" si="92"/>
        <v>0</v>
      </c>
      <c r="BB146" s="274">
        <f t="shared" si="93"/>
        <v>0</v>
      </c>
      <c r="BC146" s="274">
        <f t="shared" si="94"/>
        <v>0</v>
      </c>
      <c r="BD146" s="274">
        <f t="shared" si="95"/>
        <v>0</v>
      </c>
      <c r="BE146" s="274">
        <f t="shared" si="87"/>
        <v>0</v>
      </c>
      <c r="BF146" s="274" t="str">
        <f t="shared" si="88"/>
        <v/>
      </c>
    </row>
    <row r="147" spans="47:58" ht="14">
      <c r="AU147" s="87" t="s">
        <v>1034</v>
      </c>
      <c r="AV147" s="78" t="s">
        <v>117</v>
      </c>
      <c r="AW147" s="274">
        <f t="shared" si="96"/>
        <v>0</v>
      </c>
      <c r="AX147" s="274">
        <f t="shared" si="89"/>
        <v>0</v>
      </c>
      <c r="AY147" s="274">
        <f t="shared" si="90"/>
        <v>0</v>
      </c>
      <c r="AZ147" s="274">
        <f t="shared" si="91"/>
        <v>0</v>
      </c>
      <c r="BA147" s="274">
        <f t="shared" si="92"/>
        <v>0</v>
      </c>
      <c r="BB147" s="274">
        <f t="shared" si="93"/>
        <v>0</v>
      </c>
      <c r="BC147" s="274">
        <f t="shared" si="94"/>
        <v>0</v>
      </c>
      <c r="BD147" s="274">
        <f t="shared" si="95"/>
        <v>0</v>
      </c>
      <c r="BE147" s="274">
        <f t="shared" si="87"/>
        <v>0</v>
      </c>
      <c r="BF147" s="274" t="str">
        <f t="shared" si="88"/>
        <v/>
      </c>
    </row>
    <row r="148" spans="1:58" ht="22.5">
      <c r="A148" s="1074">
        <v>1</v>
      </c>
      <c r="B148" s="1074">
        <v>2</v>
      </c>
      <c r="C148" s="1074">
        <v>3</v>
      </c>
      <c r="D148" s="1074">
        <v>4</v>
      </c>
      <c r="E148" s="68">
        <v>5</v>
      </c>
      <c r="F148" s="68">
        <v>6</v>
      </c>
      <c r="G148" s="68">
        <v>7</v>
      </c>
      <c r="H148" s="68">
        <v>8</v>
      </c>
      <c r="I148" s="68">
        <v>9</v>
      </c>
      <c r="J148" s="68">
        <v>10</v>
      </c>
      <c r="K148" s="68">
        <v>11</v>
      </c>
      <c r="L148" s="68">
        <v>12</v>
      </c>
      <c r="M148" s="68">
        <v>13</v>
      </c>
      <c r="N148" s="68">
        <v>14</v>
      </c>
      <c r="O148" s="68">
        <v>15</v>
      </c>
      <c r="P148" s="68">
        <v>16</v>
      </c>
      <c r="Q148" s="68">
        <v>17</v>
      </c>
      <c r="R148" s="68">
        <v>18</v>
      </c>
      <c r="S148" s="68">
        <v>19</v>
      </c>
      <c r="T148" s="68">
        <v>20</v>
      </c>
      <c r="U148" s="68">
        <v>21</v>
      </c>
      <c r="V148" s="68">
        <v>22</v>
      </c>
      <c r="W148" s="68">
        <v>23</v>
      </c>
      <c r="X148" s="68">
        <v>24</v>
      </c>
      <c r="Y148" s="68">
        <v>25</v>
      </c>
      <c r="Z148" s="68">
        <v>26</v>
      </c>
      <c r="AA148" s="68">
        <v>27</v>
      </c>
      <c r="AB148" s="68">
        <v>28</v>
      </c>
      <c r="AC148" s="68">
        <v>29</v>
      </c>
      <c r="AD148" s="68">
        <v>30</v>
      </c>
      <c r="AE148" s="68">
        <v>31</v>
      </c>
      <c r="AF148" s="68">
        <v>32</v>
      </c>
      <c r="AU148" s="87" t="s">
        <v>1038</v>
      </c>
      <c r="AV148" s="78" t="s">
        <v>117</v>
      </c>
      <c r="AW148" s="274">
        <f t="shared" si="96"/>
        <v>0</v>
      </c>
      <c r="AX148" s="274">
        <f t="shared" si="89"/>
        <v>0</v>
      </c>
      <c r="AY148" s="274">
        <f t="shared" si="90"/>
        <v>0</v>
      </c>
      <c r="AZ148" s="274">
        <f t="shared" si="91"/>
        <v>0</v>
      </c>
      <c r="BA148" s="274">
        <f t="shared" si="92"/>
        <v>0</v>
      </c>
      <c r="BB148" s="274">
        <f t="shared" si="93"/>
        <v>0</v>
      </c>
      <c r="BC148" s="274">
        <f t="shared" si="94"/>
        <v>0</v>
      </c>
      <c r="BD148" s="274">
        <f t="shared" si="95"/>
        <v>0</v>
      </c>
      <c r="BE148" s="274">
        <f t="shared" si="87"/>
        <v>0</v>
      </c>
      <c r="BF148" s="274" t="str">
        <f t="shared" si="88"/>
        <v/>
      </c>
    </row>
    <row r="149" spans="1:58" ht="70">
      <c r="A149" s="1057" t="s">
        <v>1106</v>
      </c>
      <c r="B149" s="1057" t="s">
        <v>201</v>
      </c>
      <c r="C149" s="1057" t="s">
        <v>312</v>
      </c>
      <c r="D149" s="1057" t="s">
        <v>1054</v>
      </c>
      <c r="E149" s="69" t="s">
        <v>1107</v>
      </c>
      <c r="F149" s="69" t="s">
        <v>1056</v>
      </c>
      <c r="G149" s="69" t="s">
        <v>1108</v>
      </c>
      <c r="H149" s="69" t="s">
        <v>1109</v>
      </c>
      <c r="I149" s="69" t="s">
        <v>1110</v>
      </c>
      <c r="J149" s="69" t="s">
        <v>1060</v>
      </c>
      <c r="K149" s="69" t="s">
        <v>1111</v>
      </c>
      <c r="L149" s="69" t="s">
        <v>1062</v>
      </c>
      <c r="M149" s="69" t="s">
        <v>1112</v>
      </c>
      <c r="N149" s="69" t="s">
        <v>1064</v>
      </c>
      <c r="O149" s="69" t="s">
        <v>1113</v>
      </c>
      <c r="P149" s="69" t="s">
        <v>1066</v>
      </c>
      <c r="Q149" s="69" t="s">
        <v>1114</v>
      </c>
      <c r="R149" s="69" t="s">
        <v>1068</v>
      </c>
      <c r="S149" s="69" t="s">
        <v>1115</v>
      </c>
      <c r="T149" s="69" t="s">
        <v>1070</v>
      </c>
      <c r="U149" s="69" t="s">
        <v>1116</v>
      </c>
      <c r="V149" s="69" t="s">
        <v>1072</v>
      </c>
      <c r="W149" s="69" t="s">
        <v>1117</v>
      </c>
      <c r="X149" s="69" t="s">
        <v>1074</v>
      </c>
      <c r="Y149" s="69" t="s">
        <v>1118</v>
      </c>
      <c r="Z149" s="69" t="s">
        <v>1119</v>
      </c>
      <c r="AA149" s="69" t="s">
        <v>1120</v>
      </c>
      <c r="AB149" s="69" t="s">
        <v>1078</v>
      </c>
      <c r="AC149" s="69" t="s">
        <v>1121</v>
      </c>
      <c r="AD149" s="69" t="s">
        <v>1080</v>
      </c>
      <c r="AE149" s="69" t="s">
        <v>1122</v>
      </c>
      <c r="AF149" s="69" t="s">
        <v>1082</v>
      </c>
      <c r="AU149" s="208" t="s">
        <v>776</v>
      </c>
      <c r="AV149" s="209" t="s">
        <v>107</v>
      </c>
      <c r="AW149" s="1056">
        <f t="shared" si="96"/>
        <v>0</v>
      </c>
      <c r="AX149" s="1056">
        <f t="shared" si="89"/>
        <v>0</v>
      </c>
      <c r="AY149" s="1056">
        <f t="shared" si="90"/>
        <v>0</v>
      </c>
      <c r="AZ149" s="1056">
        <f t="shared" si="91"/>
        <v>0</v>
      </c>
      <c r="BA149" s="1056">
        <f t="shared" si="92"/>
        <v>0</v>
      </c>
      <c r="BB149" s="1056">
        <f t="shared" si="93"/>
        <v>0</v>
      </c>
      <c r="BC149" s="1056">
        <f t="shared" si="94"/>
        <v>0</v>
      </c>
      <c r="BD149" s="1056">
        <f t="shared" si="95"/>
        <v>0</v>
      </c>
      <c r="BE149" s="1056">
        <f t="shared" si="87"/>
        <v>0</v>
      </c>
      <c r="BF149" s="343" t="str">
        <f t="shared" si="88"/>
        <v/>
      </c>
    </row>
    <row r="150" spans="1:58" ht="14">
      <c r="A150" s="72" t="str">
        <f>'G-6 Hedgerow Data'!B3</f>
        <v>Species-rich native hedgerow with trees - associated with bank or ditch</v>
      </c>
      <c r="B150" s="72" t="s">
        <v>1123</v>
      </c>
      <c r="C150" s="72" t="str">
        <f>'G-6 Hedgerow Data'!C3</f>
        <v>V.High</v>
      </c>
      <c r="D150" s="72" t="str">
        <f>'G-6 Hedgerow Data'!AH3</f>
        <v>Like for like</v>
      </c>
      <c r="E150" s="1056">
        <f>SUMIF('B-1 On-Site Hedge Baseline'!$D$10:$D$257,'G-2 Habitat groups'!A150,'B-1 On-Site Hedge Baseline'!$E$10:$E$257)</f>
        <v>0</v>
      </c>
      <c r="F150" s="1056">
        <f>SUMIF('B-1 On-Site Hedge Baseline'!$D$10:$D$257,'G-2 Habitat groups'!A150,'B-1 On-Site Hedge Baseline'!$N$10:$N$257)</f>
        <v>0</v>
      </c>
      <c r="G150" s="1056">
        <f>SUMIF('B-1 On-Site Hedge Baseline'!$D$10:$D$257,'G-2 Habitat groups'!A150,'B-1 On-Site Hedge Baseline'!$P$10:$P$257)</f>
        <v>0</v>
      </c>
      <c r="H150" s="1056">
        <f>SUMIF('B-1 On-Site Hedge Baseline'!$D$10:$D$257,'G-2 Habitat groups'!A150,'B-1 On-Site Hedge Baseline'!$R$10:$R$257)</f>
        <v>0</v>
      </c>
      <c r="I150" s="1056">
        <f>SUMIF('B-1 On-Site Hedge Baseline'!$D$10:$D$257,'G-2 Habitat groups'!A150,'B-1 On-Site Hedge Baseline'!$T$10:$T$257)</f>
        <v>0</v>
      </c>
      <c r="J150" s="1056">
        <f>SUMIF('B-1 On-Site Hedge Baseline'!$D$10:$D$257,'G-2 Habitat groups'!A150,'B-1 On-Site Hedge Baseline'!$U$10:$U$257)</f>
        <v>0</v>
      </c>
      <c r="K150" s="1056">
        <f>SUMIF('B-2 On-Site Hedge Creation'!$D$12:$D$259,'G-2 Habitat groups'!A150,'B-2 On-Site Hedge Creation'!$E$12:$E$259)</f>
        <v>0.037</v>
      </c>
      <c r="L150" s="1056">
        <f>SUMIF('B-2 On-Site Hedge Creation'!$D$12:$D$259,'G-2 Habitat groups'!A150,'B-2 On-Site Hedge Creation'!$W$12:$W$259)</f>
        <v>0.45602381695903993</v>
      </c>
      <c r="M150" s="1056">
        <f>SUMIF('B-3 On-Site Hedge Enhancement'!$M$12:$M$257,'G-2 Habitat groups'!A150,'B-3 On-Site Hedge Enhancement'!$P$12:$P$257)</f>
        <v>0</v>
      </c>
      <c r="N150" s="1056">
        <f>SUMIF('B-3 On-Site Hedge Enhancement'!$M$12:$M$257,'G-2 Habitat groups'!A150,'B-3 On-Site Hedge Enhancement'!$AH$12:$AH$257)</f>
        <v>0</v>
      </c>
      <c r="O150" s="1056">
        <f t="shared" si="106" ref="O150:O162">G150+K150+M150</f>
        <v>0.037</v>
      </c>
      <c r="P150" s="1056">
        <f t="shared" si="107" ref="P150:P162">H150+L150+N150</f>
        <v>0.45602381695903993</v>
      </c>
      <c r="Q150" s="1056">
        <f t="shared" si="108" ref="Q150:Q162">O150-E150</f>
        <v>0.037</v>
      </c>
      <c r="R150" s="1056">
        <f t="shared" si="109" ref="R150:R162">P150-F150</f>
        <v>0.45602381695903993</v>
      </c>
      <c r="S150" s="1056">
        <f>SUMIF('E-1 Off-Site Hedge Baseline'!$D$10:$D$257,'G-2 Habitat groups'!A150,'E-1 Off-Site Hedge Baseline'!$E$10:$E$257)</f>
        <v>0</v>
      </c>
      <c r="T150" s="1056">
        <f>SUMIF('E-1 Off-Site Hedge Baseline'!$D$10:$D$257,'G-2 Habitat groups'!A150,'E-1 Off-Site Hedge Baseline'!$Q$10:$Q$257)</f>
        <v>0</v>
      </c>
      <c r="U150" s="1056">
        <f>SUMIF('E-1 Off-Site Hedge Baseline'!$D$10:$D$257,'G-2 Habitat groups'!A150,'E-1 Off-Site Hedge Baseline'!$S$10:$S$257)</f>
        <v>0</v>
      </c>
      <c r="V150" s="1056">
        <f>SUMIF('E-1 Off-Site Hedge Baseline'!$D$10:$D$257,'G-2 Habitat groups'!A150,'E-1 Off-Site Hedge Baseline'!$U$10:$U$257)</f>
        <v>0</v>
      </c>
      <c r="W150" s="1056">
        <f>SUMIF('E-2 Off-Site Hedge Creation'!$D$12:$D$259,'G-2 Habitat groups'!A150,'E-2 Off-Site Hedge Creation'!$E$12:$E$259)</f>
        <v>0</v>
      </c>
      <c r="X150" s="1056">
        <f>SUMIF('E-2 Off-Site Hedge Creation'!$D$12:$D$259,'G-2 Habitat groups'!A150,'E-2 Off-Site Hedge Creation'!$Z$12:$Z$259)</f>
        <v>0</v>
      </c>
      <c r="Y150" s="1056">
        <f>SUMIF('E-3 Off-Site Hedge Enhancement'!$M$12:$M$259,'G-2 Habitat groups'!A150,'E-3 Off-Site Hedge Enhancement'!$P$12:$P$259)</f>
        <v>0</v>
      </c>
      <c r="Z150" s="1056">
        <f>SUMIF('E-3 Off-Site Hedge Enhancement'!$M$12:$M$259,'G-2 Habitat groups'!A150,'E-3 Off-Site Hedge Enhancement'!$AK$12:$AK$259)</f>
        <v>0</v>
      </c>
      <c r="AA150" s="1056">
        <f>U150+W150+Y150</f>
        <v>0</v>
      </c>
      <c r="AB150" s="1056">
        <f>V150+X150+Z150</f>
        <v>0</v>
      </c>
      <c r="AC150" s="1056">
        <f t="shared" si="110" ref="AC150:AC162">AA150-S150</f>
        <v>0</v>
      </c>
      <c r="AD150" s="1056">
        <f t="shared" si="111" ref="AD150:AD162">AB150-T150</f>
        <v>0</v>
      </c>
      <c r="AE150" s="1056">
        <f t="shared" si="112" ref="AE150:AE162">Q150+AC150</f>
        <v>0.037</v>
      </c>
      <c r="AF150" s="1056">
        <f t="shared" si="113" ref="AF150:AF162">R150+AD150</f>
        <v>0.45602381695903993</v>
      </c>
      <c r="AU150" s="208" t="s">
        <v>844</v>
      </c>
      <c r="AV150" s="209" t="s">
        <v>110</v>
      </c>
      <c r="AW150" s="343">
        <f t="shared" si="96"/>
        <v>0</v>
      </c>
      <c r="AX150" s="343">
        <f t="shared" si="89"/>
        <v>0</v>
      </c>
      <c r="AY150" s="343">
        <f t="shared" si="90"/>
        <v>0</v>
      </c>
      <c r="AZ150" s="343">
        <f t="shared" si="91"/>
        <v>0</v>
      </c>
      <c r="BA150" s="343">
        <f t="shared" si="92"/>
        <v>0</v>
      </c>
      <c r="BB150" s="343">
        <f t="shared" si="93"/>
        <v>0</v>
      </c>
      <c r="BC150" s="343">
        <f t="shared" si="94"/>
        <v>0</v>
      </c>
      <c r="BD150" s="343">
        <f t="shared" si="95"/>
        <v>0</v>
      </c>
      <c r="BE150" s="343">
        <f t="shared" si="87"/>
        <v>0</v>
      </c>
      <c r="BF150" s="343" t="str">
        <f t="shared" si="88"/>
        <v/>
      </c>
    </row>
    <row r="151" spans="1:58" ht="14">
      <c r="A151" s="72" t="str">
        <f>'G-6 Hedgerow Data'!B4</f>
        <v>Species-rich native hedgerow with trees</v>
      </c>
      <c r="B151" s="72" t="s">
        <v>1123</v>
      </c>
      <c r="C151" s="72" t="str">
        <f>'G-6 Hedgerow Data'!C4</f>
        <v>High</v>
      </c>
      <c r="D151" s="72" t="str">
        <f>'G-6 Hedgerow Data'!AH4</f>
        <v>Like for like or better</v>
      </c>
      <c r="E151" s="1056">
        <f>SUMIF('B-1 On-Site Hedge Baseline'!$D$10:$D$257,'G-2 Habitat groups'!A151,'B-1 On-Site Hedge Baseline'!$E$10:$E$257)</f>
        <v>0</v>
      </c>
      <c r="F151" s="1056">
        <f>SUMIF('B-1 On-Site Hedge Baseline'!$D$10:$D$257,'G-2 Habitat groups'!A151,'B-1 On-Site Hedge Baseline'!$N$10:$N$257)</f>
        <v>0</v>
      </c>
      <c r="G151" s="1056">
        <f>SUMIF('B-1 On-Site Hedge Baseline'!$D$10:$D$257,'G-2 Habitat groups'!A151,'B-1 On-Site Hedge Baseline'!$P$10:$P$257)</f>
        <v>0</v>
      </c>
      <c r="H151" s="1056">
        <f>SUMIF('B-1 On-Site Hedge Baseline'!$D$10:$D$257,'G-2 Habitat groups'!A151,'B-1 On-Site Hedge Baseline'!$R$10:$R$257)</f>
        <v>0</v>
      </c>
      <c r="I151" s="1056">
        <f>SUMIF('B-1 On-Site Hedge Baseline'!$D$10:$D$257,'G-2 Habitat groups'!A151,'B-1 On-Site Hedge Baseline'!$T$10:$T$257)</f>
        <v>0</v>
      </c>
      <c r="J151" s="1056">
        <f>SUMIF('B-1 On-Site Hedge Baseline'!$D$10:$D$257,'G-2 Habitat groups'!A151,'B-1 On-Site Hedge Baseline'!$U$10:$U$257)</f>
        <v>0</v>
      </c>
      <c r="K151" s="1056">
        <f>SUMIF('B-2 On-Site Hedge Creation'!$D$12:$D$259,'G-2 Habitat groups'!A151,'B-2 On-Site Hedge Creation'!$E$12:$E$259)</f>
        <v>0</v>
      </c>
      <c r="L151" s="1056">
        <f>SUMIF('B-2 On-Site Hedge Creation'!$D$12:$D$259,'G-2 Habitat groups'!A151,'B-2 On-Site Hedge Creation'!$W$12:$W$259)</f>
        <v>0</v>
      </c>
      <c r="M151" s="1056">
        <f>SUMIF('B-3 On-Site Hedge Enhancement'!$M$12:$M$257,'G-2 Habitat groups'!A151,'B-3 On-Site Hedge Enhancement'!$P$12:$P$257)</f>
        <v>0</v>
      </c>
      <c r="N151" s="1056">
        <f>SUMIF('B-3 On-Site Hedge Enhancement'!$M$12:$M$257,'G-2 Habitat groups'!A151,'B-3 On-Site Hedge Enhancement'!$AH$12:$AH$257)</f>
        <v>0</v>
      </c>
      <c r="O151" s="1056">
        <f t="shared" si="106"/>
        <v>0</v>
      </c>
      <c r="P151" s="1056">
        <f t="shared" si="107"/>
        <v>0</v>
      </c>
      <c r="Q151" s="1056">
        <f t="shared" si="108"/>
        <v>0</v>
      </c>
      <c r="R151" s="1056">
        <f t="shared" si="109"/>
        <v>0</v>
      </c>
      <c r="S151" s="1056">
        <f>SUMIF('E-1 Off-Site Hedge Baseline'!$D$10:$D$257,'G-2 Habitat groups'!A151,'E-1 Off-Site Hedge Baseline'!$E$10:$E$257)</f>
        <v>0</v>
      </c>
      <c r="T151" s="1056">
        <f>SUMIF('E-1 Off-Site Hedge Baseline'!$D$10:$D$257,'G-2 Habitat groups'!A151,'E-1 Off-Site Hedge Baseline'!$Q$10:$Q$257)</f>
        <v>0</v>
      </c>
      <c r="U151" s="1056">
        <f>SUMIF('E-1 Off-Site Hedge Baseline'!$D$10:$D$257,'G-2 Habitat groups'!A151,'E-1 Off-Site Hedge Baseline'!$S$10:$S$257)</f>
        <v>0</v>
      </c>
      <c r="V151" s="1056">
        <f>SUMIF('E-1 Off-Site Hedge Baseline'!$D$10:$D$257,'G-2 Habitat groups'!A151,'E-1 Off-Site Hedge Baseline'!$U$10:$U$257)</f>
        <v>0</v>
      </c>
      <c r="W151" s="1056">
        <f>SUMIF('E-2 Off-Site Hedge Creation'!$D$12:$D$259,'G-2 Habitat groups'!A151,'E-2 Off-Site Hedge Creation'!$E$12:$E$259)</f>
        <v>0</v>
      </c>
      <c r="X151" s="1056">
        <f>SUMIF('E-2 Off-Site Hedge Creation'!$D$12:$D$259,'G-2 Habitat groups'!A151,'E-2 Off-Site Hedge Creation'!$Z$12:$Z$259)</f>
        <v>0</v>
      </c>
      <c r="Y151" s="1056">
        <f>SUMIF('E-3 Off-Site Hedge Enhancement'!$M$12:$M$259,'G-2 Habitat groups'!A151,'E-3 Off-Site Hedge Enhancement'!$P$12:$P$259)</f>
        <v>0</v>
      </c>
      <c r="Z151" s="1056">
        <f>SUMIF('E-3 Off-Site Hedge Enhancement'!$M$12:$M$259,'G-2 Habitat groups'!A151,'E-3 Off-Site Hedge Enhancement'!$AK$12:$AK$259)</f>
        <v>0</v>
      </c>
      <c r="AA151" s="1056">
        <f t="shared" si="114" ref="AA151:AA162">U151+W151+Y151</f>
        <v>0</v>
      </c>
      <c r="AB151" s="1056">
        <f t="shared" si="115" ref="AB151:AB162">V151+X151+Z151</f>
        <v>0</v>
      </c>
      <c r="AC151" s="1056">
        <f t="shared" si="110"/>
        <v>0</v>
      </c>
      <c r="AD151" s="1056">
        <f t="shared" si="111"/>
        <v>0</v>
      </c>
      <c r="AE151" s="1056">
        <f t="shared" si="112"/>
        <v>0</v>
      </c>
      <c r="AF151" s="1056">
        <f t="shared" si="113"/>
        <v>0</v>
      </c>
      <c r="AU151" s="70" t="s">
        <v>822</v>
      </c>
      <c r="AV151" s="62" t="s">
        <v>109</v>
      </c>
      <c r="AW151" s="343">
        <f t="shared" si="96"/>
        <v>0</v>
      </c>
      <c r="AX151" s="343">
        <f t="shared" si="89"/>
        <v>0</v>
      </c>
      <c r="AY151" s="343">
        <f t="shared" si="90"/>
        <v>0</v>
      </c>
      <c r="AZ151" s="343">
        <f t="shared" si="91"/>
        <v>0</v>
      </c>
      <c r="BA151" s="343">
        <f t="shared" si="92"/>
        <v>0</v>
      </c>
      <c r="BB151" s="343">
        <f t="shared" si="93"/>
        <v>0</v>
      </c>
      <c r="BC151" s="343">
        <f t="shared" si="94"/>
        <v>0</v>
      </c>
      <c r="BD151" s="343">
        <f t="shared" si="95"/>
        <v>0</v>
      </c>
      <c r="BE151" s="343">
        <f t="shared" si="87"/>
        <v>0</v>
      </c>
      <c r="BF151" s="343" t="str">
        <f t="shared" si="88"/>
        <v/>
      </c>
    </row>
    <row r="152" spans="1:32" ht="14">
      <c r="A152" s="72" t="str">
        <f>'G-6 Hedgerow Data'!B5</f>
        <v>Species-rich native hedgerow - associated with bank or ditch</v>
      </c>
      <c r="B152" s="72" t="s">
        <v>1123</v>
      </c>
      <c r="C152" s="72" t="str">
        <f>'G-6 Hedgerow Data'!C5</f>
        <v>High</v>
      </c>
      <c r="D152" s="72" t="str">
        <f>'G-6 Hedgerow Data'!AH5</f>
        <v>Like for like or better</v>
      </c>
      <c r="E152" s="1056">
        <f>SUMIF('B-1 On-Site Hedge Baseline'!$D$10:$D$257,'G-2 Habitat groups'!A152,'B-1 On-Site Hedge Baseline'!$E$10:$E$257)</f>
        <v>0.017</v>
      </c>
      <c r="F152" s="1056">
        <f>SUMIF('B-1 On-Site Hedge Baseline'!$D$10:$D$257,'G-2 Habitat groups'!A152,'B-1 On-Site Hedge Baseline'!$N$10:$N$257)</f>
        <v>0.33660000000000007</v>
      </c>
      <c r="G152" s="1056">
        <f>SUMIF('B-1 On-Site Hedge Baseline'!$D$10:$D$257,'G-2 Habitat groups'!A152,'B-1 On-Site Hedge Baseline'!$P$10:$P$257)</f>
        <v>0.017</v>
      </c>
      <c r="H152" s="1056">
        <f>SUMIF('B-1 On-Site Hedge Baseline'!$D$10:$D$257,'G-2 Habitat groups'!A152,'B-1 On-Site Hedge Baseline'!$R$10:$R$257)</f>
        <v>0.33660000000000007</v>
      </c>
      <c r="I152" s="1056">
        <f>SUMIF('B-1 On-Site Hedge Baseline'!$D$10:$D$257,'G-2 Habitat groups'!A152,'B-1 On-Site Hedge Baseline'!$T$10:$T$257)</f>
        <v>0</v>
      </c>
      <c r="J152" s="1056">
        <f>SUMIF('B-1 On-Site Hedge Baseline'!$D$10:$D$257,'G-2 Habitat groups'!A152,'B-1 On-Site Hedge Baseline'!$U$10:$U$257)</f>
        <v>0</v>
      </c>
      <c r="K152" s="1056">
        <f>SUMIF('B-2 On-Site Hedge Creation'!$D$12:$D$259,'G-2 Habitat groups'!A152,'B-2 On-Site Hedge Creation'!$E$12:$E$259)</f>
        <v>0</v>
      </c>
      <c r="L152" s="1056">
        <f>SUMIF('B-2 On-Site Hedge Creation'!$D$12:$D$259,'G-2 Habitat groups'!A152,'B-2 On-Site Hedge Creation'!$W$12:$W$259)</f>
        <v>0</v>
      </c>
      <c r="M152" s="1056">
        <f>SUMIF('B-3 On-Site Hedge Enhancement'!$M$12:$M$257,'G-2 Habitat groups'!A152,'B-3 On-Site Hedge Enhancement'!$P$12:$P$257)</f>
        <v>0</v>
      </c>
      <c r="N152" s="1056">
        <f>SUMIF('B-3 On-Site Hedge Enhancement'!$M$12:$M$257,'G-2 Habitat groups'!A152,'B-3 On-Site Hedge Enhancement'!$AH$12:$AH$257)</f>
        <v>0</v>
      </c>
      <c r="O152" s="1056">
        <f t="shared" si="106"/>
        <v>0.017</v>
      </c>
      <c r="P152" s="1056">
        <f t="shared" si="107"/>
        <v>0.33660000000000007</v>
      </c>
      <c r="Q152" s="1056">
        <f t="shared" si="108"/>
        <v>0</v>
      </c>
      <c r="R152" s="1056">
        <f t="shared" si="109"/>
        <v>0</v>
      </c>
      <c r="S152" s="1056">
        <f>SUMIF('E-1 Off-Site Hedge Baseline'!$D$10:$D$257,'G-2 Habitat groups'!A152,'E-1 Off-Site Hedge Baseline'!$E$10:$E$257)</f>
        <v>0</v>
      </c>
      <c r="T152" s="1056">
        <f>SUMIF('E-1 Off-Site Hedge Baseline'!$D$10:$D$257,'G-2 Habitat groups'!A152,'E-1 Off-Site Hedge Baseline'!$Q$10:$Q$257)</f>
        <v>0</v>
      </c>
      <c r="U152" s="1056">
        <f>SUMIF('E-1 Off-Site Hedge Baseline'!$D$10:$D$257,'G-2 Habitat groups'!A152,'E-1 Off-Site Hedge Baseline'!$S$10:$S$257)</f>
        <v>0</v>
      </c>
      <c r="V152" s="1056">
        <f>SUMIF('E-1 Off-Site Hedge Baseline'!$D$10:$D$257,'G-2 Habitat groups'!A152,'E-1 Off-Site Hedge Baseline'!$U$10:$U$257)</f>
        <v>0</v>
      </c>
      <c r="W152" s="1056">
        <f>SUMIF('E-2 Off-Site Hedge Creation'!$D$12:$D$259,'G-2 Habitat groups'!A152,'E-2 Off-Site Hedge Creation'!$E$12:$E$259)</f>
        <v>0</v>
      </c>
      <c r="X152" s="1056">
        <f>SUMIF('E-2 Off-Site Hedge Creation'!$D$12:$D$259,'G-2 Habitat groups'!A152,'E-2 Off-Site Hedge Creation'!$Z$12:$Z$259)</f>
        <v>0</v>
      </c>
      <c r="Y152" s="1056">
        <f>SUMIF('E-3 Off-Site Hedge Enhancement'!$M$12:$M$259,'G-2 Habitat groups'!A152,'E-3 Off-Site Hedge Enhancement'!$P$12:$P$259)</f>
        <v>0</v>
      </c>
      <c r="Z152" s="1056">
        <f>SUMIF('E-3 Off-Site Hedge Enhancement'!$M$12:$M$259,'G-2 Habitat groups'!A152,'E-3 Off-Site Hedge Enhancement'!$AK$12:$AK$259)</f>
        <v>0</v>
      </c>
      <c r="AA152" s="1056">
        <f t="shared" si="114"/>
        <v>0</v>
      </c>
      <c r="AB152" s="1056">
        <f t="shared" si="115"/>
        <v>0</v>
      </c>
      <c r="AC152" s="1056">
        <f t="shared" si="110"/>
        <v>0</v>
      </c>
      <c r="AD152" s="1056">
        <f t="shared" si="111"/>
        <v>0</v>
      </c>
      <c r="AE152" s="1056">
        <f t="shared" si="112"/>
        <v>0</v>
      </c>
      <c r="AF152" s="1056">
        <f t="shared" si="113"/>
        <v>0</v>
      </c>
    </row>
    <row r="153" spans="1:32" ht="14">
      <c r="A153" s="72" t="str">
        <f>'G-6 Hedgerow Data'!B6</f>
        <v>Native hedgerow with trees - associated with bank or ditch</v>
      </c>
      <c r="B153" s="72" t="s">
        <v>1123</v>
      </c>
      <c r="C153" s="72" t="str">
        <f>'G-6 Hedgerow Data'!C6</f>
        <v>High</v>
      </c>
      <c r="D153" s="72" t="str">
        <f>'G-6 Hedgerow Data'!AH6</f>
        <v>Like for like or better</v>
      </c>
      <c r="E153" s="1056">
        <f>SUMIF('B-1 On-Site Hedge Baseline'!$D$10:$D$257,'G-2 Habitat groups'!A153,'B-1 On-Site Hedge Baseline'!$E$10:$E$257)</f>
        <v>0.065</v>
      </c>
      <c r="F153" s="1056">
        <f>SUMIF('B-1 On-Site Hedge Baseline'!$D$10:$D$257,'G-2 Habitat groups'!A153,'B-1 On-Site Hedge Baseline'!$N$10:$N$257)</f>
        <v>0.8580000000000001</v>
      </c>
      <c r="G153" s="1056">
        <f>SUMIF('B-1 On-Site Hedge Baseline'!$D$10:$D$257,'G-2 Habitat groups'!A153,'B-1 On-Site Hedge Baseline'!$P$10:$P$257)</f>
        <v>0.044</v>
      </c>
      <c r="H153" s="1056">
        <f>SUMIF('B-1 On-Site Hedge Baseline'!$D$10:$D$257,'G-2 Habitat groups'!A153,'B-1 On-Site Hedge Baseline'!$R$10:$R$257)</f>
        <v>0.5808000000000001</v>
      </c>
      <c r="I153" s="1056">
        <f>SUMIF('B-1 On-Site Hedge Baseline'!$D$10:$D$257,'G-2 Habitat groups'!A153,'B-1 On-Site Hedge Baseline'!$T$10:$T$257)</f>
        <v>0.021000000000000005</v>
      </c>
      <c r="J153" s="1056">
        <f>SUMIF('B-1 On-Site Hedge Baseline'!$D$10:$D$257,'G-2 Habitat groups'!A153,'B-1 On-Site Hedge Baseline'!$U$10:$U$257)</f>
        <v>0.2772</v>
      </c>
      <c r="K153" s="1056">
        <f>SUMIF('B-2 On-Site Hedge Creation'!$D$12:$D$259,'G-2 Habitat groups'!A153,'B-2 On-Site Hedge Creation'!$E$12:$E$259)</f>
        <v>0</v>
      </c>
      <c r="L153" s="1056">
        <f>SUMIF('B-2 On-Site Hedge Creation'!$D$12:$D$259,'G-2 Habitat groups'!A153,'B-2 On-Site Hedge Creation'!$W$12:$W$259)</f>
        <v>0</v>
      </c>
      <c r="M153" s="1056">
        <f>SUMIF('B-3 On-Site Hedge Enhancement'!$M$12:$M$257,'G-2 Habitat groups'!A153,'B-3 On-Site Hedge Enhancement'!$P$12:$P$257)</f>
        <v>0</v>
      </c>
      <c r="N153" s="1056">
        <f>SUMIF('B-3 On-Site Hedge Enhancement'!$M$12:$M$257,'G-2 Habitat groups'!A153,'B-3 On-Site Hedge Enhancement'!$AH$12:$AH$257)</f>
        <v>0</v>
      </c>
      <c r="O153" s="1056">
        <f t="shared" si="106"/>
        <v>0.044</v>
      </c>
      <c r="P153" s="1056">
        <f t="shared" si="107"/>
        <v>0.5808000000000001</v>
      </c>
      <c r="Q153" s="1056">
        <f t="shared" si="108"/>
        <v>-0.021000000000000005</v>
      </c>
      <c r="R153" s="1056">
        <f t="shared" si="109"/>
        <v>-0.2772</v>
      </c>
      <c r="S153" s="1056">
        <f>SUMIF('E-1 Off-Site Hedge Baseline'!$D$10:$D$257,'G-2 Habitat groups'!A153,'E-1 Off-Site Hedge Baseline'!$E$10:$E$257)</f>
        <v>0</v>
      </c>
      <c r="T153" s="1056">
        <f>SUMIF('E-1 Off-Site Hedge Baseline'!$D$10:$D$257,'G-2 Habitat groups'!A153,'E-1 Off-Site Hedge Baseline'!$Q$10:$Q$257)</f>
        <v>0</v>
      </c>
      <c r="U153" s="1056">
        <f>SUMIF('E-1 Off-Site Hedge Baseline'!$D$10:$D$257,'G-2 Habitat groups'!A153,'E-1 Off-Site Hedge Baseline'!$S$10:$S$257)</f>
        <v>0</v>
      </c>
      <c r="V153" s="1056">
        <f>SUMIF('E-1 Off-Site Hedge Baseline'!$D$10:$D$257,'G-2 Habitat groups'!A153,'E-1 Off-Site Hedge Baseline'!$U$10:$U$257)</f>
        <v>0</v>
      </c>
      <c r="W153" s="1056">
        <f>SUMIF('E-2 Off-Site Hedge Creation'!$D$12:$D$259,'G-2 Habitat groups'!A153,'E-2 Off-Site Hedge Creation'!$E$12:$E$259)</f>
        <v>0</v>
      </c>
      <c r="X153" s="1056">
        <f>SUMIF('E-2 Off-Site Hedge Creation'!$D$12:$D$259,'G-2 Habitat groups'!A153,'E-2 Off-Site Hedge Creation'!$Z$12:$Z$259)</f>
        <v>0</v>
      </c>
      <c r="Y153" s="1056">
        <f>SUMIF('E-3 Off-Site Hedge Enhancement'!$M$12:$M$259,'G-2 Habitat groups'!A153,'E-3 Off-Site Hedge Enhancement'!$P$12:$P$259)</f>
        <v>0</v>
      </c>
      <c r="Z153" s="1056">
        <f>SUMIF('E-3 Off-Site Hedge Enhancement'!$M$12:$M$259,'G-2 Habitat groups'!A153,'E-3 Off-Site Hedge Enhancement'!$AK$12:$AK$259)</f>
        <v>0</v>
      </c>
      <c r="AA153" s="1056">
        <f t="shared" si="114"/>
        <v>0</v>
      </c>
      <c r="AB153" s="1056">
        <f t="shared" si="115"/>
        <v>0</v>
      </c>
      <c r="AC153" s="1056">
        <f t="shared" si="110"/>
        <v>0</v>
      </c>
      <c r="AD153" s="1056">
        <f t="shared" si="111"/>
        <v>0</v>
      </c>
      <c r="AE153" s="1056">
        <f t="shared" si="112"/>
        <v>-0.021000000000000005</v>
      </c>
      <c r="AF153" s="1056">
        <f t="shared" si="113"/>
        <v>-0.2772</v>
      </c>
    </row>
    <row r="154" spans="1:59" ht="35">
      <c r="A154" s="72" t="str">
        <f>'G-6 Hedgerow Data'!B7</f>
        <v>Species-rich native hedgerow</v>
      </c>
      <c r="B154" s="72" t="s">
        <v>1123</v>
      </c>
      <c r="C154" s="72" t="str">
        <f>'G-6 Hedgerow Data'!C7</f>
        <v>Medium</v>
      </c>
      <c r="D154" s="72" t="str">
        <f>'G-6 Hedgerow Data'!AH7</f>
        <v>Same distinctiveness band or better</v>
      </c>
      <c r="E154" s="1056">
        <f>SUMIF('B-1 On-Site Hedge Baseline'!$D$10:$D$257,'G-2 Habitat groups'!A154,'B-1 On-Site Hedge Baseline'!$E$10:$E$257)</f>
        <v>0.004</v>
      </c>
      <c r="F154" s="1056">
        <f>SUMIF('B-1 On-Site Hedge Baseline'!$D$10:$D$257,'G-2 Habitat groups'!A154,'B-1 On-Site Hedge Baseline'!$N$10:$N$257)</f>
        <v>0.05280000000000001</v>
      </c>
      <c r="G154" s="1056">
        <f>SUMIF('B-1 On-Site Hedge Baseline'!$D$10:$D$257,'G-2 Habitat groups'!A154,'B-1 On-Site Hedge Baseline'!$P$10:$P$257)</f>
        <v>0.004</v>
      </c>
      <c r="H154" s="1056">
        <f>SUMIF('B-1 On-Site Hedge Baseline'!$D$10:$D$257,'G-2 Habitat groups'!A154,'B-1 On-Site Hedge Baseline'!$R$10:$R$257)</f>
        <v>0.05280000000000001</v>
      </c>
      <c r="I154" s="1056">
        <f>SUMIF('B-1 On-Site Hedge Baseline'!$D$10:$D$257,'G-2 Habitat groups'!A154,'B-1 On-Site Hedge Baseline'!$T$10:$T$257)</f>
        <v>0</v>
      </c>
      <c r="J154" s="1056">
        <f>SUMIF('B-1 On-Site Hedge Baseline'!$D$10:$D$257,'G-2 Habitat groups'!A154,'B-1 On-Site Hedge Baseline'!$U$10:$U$257)</f>
        <v>0</v>
      </c>
      <c r="K154" s="1056">
        <f>SUMIF('B-2 On-Site Hedge Creation'!$D$12:$D$259,'G-2 Habitat groups'!A154,'B-2 On-Site Hedge Creation'!$E$12:$E$259)</f>
        <v>0.855</v>
      </c>
      <c r="L154" s="1056">
        <f>SUMIF('B-2 On-Site Hedge Creation'!$D$12:$D$259,'G-2 Habitat groups'!A154,'B-2 On-Site Hedge Creation'!$W$12:$W$259)</f>
        <v>6.296299143314401</v>
      </c>
      <c r="M154" s="1056">
        <f>SUMIF('B-3 On-Site Hedge Enhancement'!$M$12:$M$257,'G-2 Habitat groups'!A154,'B-3 On-Site Hedge Enhancement'!$P$12:$P$257)</f>
        <v>0</v>
      </c>
      <c r="N154" s="1056">
        <f>SUMIF('B-3 On-Site Hedge Enhancement'!$M$12:$M$257,'G-2 Habitat groups'!A154,'B-3 On-Site Hedge Enhancement'!$AH$12:$AH$257)</f>
        <v>0</v>
      </c>
      <c r="O154" s="1056">
        <f t="shared" si="106"/>
        <v>0.859</v>
      </c>
      <c r="P154" s="1056">
        <f t="shared" si="107"/>
        <v>6.349099143314401</v>
      </c>
      <c r="Q154" s="1056">
        <f t="shared" si="108"/>
        <v>0.855</v>
      </c>
      <c r="R154" s="1056">
        <f t="shared" si="109"/>
        <v>6.296299143314401</v>
      </c>
      <c r="S154" s="1056">
        <f>SUMIF('E-1 Off-Site Hedge Baseline'!$D$10:$D$257,'G-2 Habitat groups'!A154,'E-1 Off-Site Hedge Baseline'!$E$10:$E$257)</f>
        <v>0</v>
      </c>
      <c r="T154" s="1056">
        <f>SUMIF('E-1 Off-Site Hedge Baseline'!$D$10:$D$257,'G-2 Habitat groups'!A154,'E-1 Off-Site Hedge Baseline'!$Q$10:$Q$257)</f>
        <v>0</v>
      </c>
      <c r="U154" s="1056">
        <f>SUMIF('E-1 Off-Site Hedge Baseline'!$D$10:$D$257,'G-2 Habitat groups'!A154,'E-1 Off-Site Hedge Baseline'!$S$10:$S$257)</f>
        <v>0</v>
      </c>
      <c r="V154" s="1056">
        <f>SUMIF('E-1 Off-Site Hedge Baseline'!$D$10:$D$257,'G-2 Habitat groups'!A154,'E-1 Off-Site Hedge Baseline'!$U$10:$U$257)</f>
        <v>0</v>
      </c>
      <c r="W154" s="1056">
        <f>SUMIF('E-2 Off-Site Hedge Creation'!$D$12:$D$259,'G-2 Habitat groups'!A154,'E-2 Off-Site Hedge Creation'!$E$12:$E$259)</f>
        <v>0</v>
      </c>
      <c r="X154" s="1056">
        <f>SUMIF('E-2 Off-Site Hedge Creation'!$D$12:$D$259,'G-2 Habitat groups'!A154,'E-2 Off-Site Hedge Creation'!$Z$12:$Z$259)</f>
        <v>0</v>
      </c>
      <c r="Y154" s="1056">
        <f>SUMIF('E-3 Off-Site Hedge Enhancement'!$M$12:$M$259,'G-2 Habitat groups'!A154,'E-3 Off-Site Hedge Enhancement'!$P$12:$P$259)</f>
        <v>0</v>
      </c>
      <c r="Z154" s="1056">
        <f>SUMIF('E-3 Off-Site Hedge Enhancement'!$M$12:$M$259,'G-2 Habitat groups'!A154,'E-3 Off-Site Hedge Enhancement'!$AK$12:$AK$259)</f>
        <v>0</v>
      </c>
      <c r="AA154" s="1056">
        <f t="shared" si="114"/>
        <v>0</v>
      </c>
      <c r="AB154" s="1056">
        <f t="shared" si="115"/>
        <v>0</v>
      </c>
      <c r="AC154" s="1056">
        <f t="shared" si="110"/>
        <v>0</v>
      </c>
      <c r="AD154" s="1056">
        <f t="shared" si="111"/>
        <v>0</v>
      </c>
      <c r="AE154" s="1056">
        <f t="shared" si="112"/>
        <v>0.855</v>
      </c>
      <c r="AF154" s="1056">
        <f t="shared" si="113"/>
        <v>6.296299143314401</v>
      </c>
      <c r="AU154" s="223" t="s">
        <v>228</v>
      </c>
      <c r="AV154" s="67"/>
      <c r="AW154" s="67"/>
      <c r="AX154" s="67"/>
      <c r="AY154" s="67"/>
      <c r="AZ154" s="67"/>
      <c r="BA154" s="67"/>
      <c r="BB154" s="67"/>
      <c r="BC154" s="67"/>
      <c r="BD154" s="67"/>
      <c r="BE154" s="67"/>
      <c r="BF154" s="67"/>
      <c r="BG154" s="79"/>
    </row>
    <row r="155" spans="1:58" ht="30">
      <c r="A155" s="72" t="str">
        <f>'G-6 Hedgerow Data'!B8</f>
        <v>Native hedgerow - associated with bank or ditch</v>
      </c>
      <c r="B155" s="72" t="s">
        <v>1123</v>
      </c>
      <c r="C155" s="72" t="str">
        <f>'G-6 Hedgerow Data'!C8</f>
        <v>Medium</v>
      </c>
      <c r="D155" s="72" t="str">
        <f>'G-6 Hedgerow Data'!AH8</f>
        <v>Same distinctiveness band or better</v>
      </c>
      <c r="E155" s="1056">
        <f>SUMIF('B-1 On-Site Hedge Baseline'!$D$10:$D$257,'G-2 Habitat groups'!A155,'B-1 On-Site Hedge Baseline'!$E$10:$E$257)</f>
        <v>0</v>
      </c>
      <c r="F155" s="1056">
        <f>SUMIF('B-1 On-Site Hedge Baseline'!$D$10:$D$257,'G-2 Habitat groups'!A155,'B-1 On-Site Hedge Baseline'!$N$10:$N$257)</f>
        <v>0</v>
      </c>
      <c r="G155" s="1056">
        <f>SUMIF('B-1 On-Site Hedge Baseline'!$D$10:$D$257,'G-2 Habitat groups'!A155,'B-1 On-Site Hedge Baseline'!$P$10:$P$257)</f>
        <v>0</v>
      </c>
      <c r="H155" s="1056">
        <f>SUMIF('B-1 On-Site Hedge Baseline'!$D$10:$D$257,'G-2 Habitat groups'!A155,'B-1 On-Site Hedge Baseline'!$R$10:$R$257)</f>
        <v>0</v>
      </c>
      <c r="I155" s="1056">
        <f>SUMIF('B-1 On-Site Hedge Baseline'!$D$10:$D$257,'G-2 Habitat groups'!A155,'B-1 On-Site Hedge Baseline'!$T$10:$T$257)</f>
        <v>0</v>
      </c>
      <c r="J155" s="1056">
        <f>SUMIF('B-1 On-Site Hedge Baseline'!$D$10:$D$257,'G-2 Habitat groups'!A155,'B-1 On-Site Hedge Baseline'!$U$10:$U$257)</f>
        <v>0</v>
      </c>
      <c r="K155" s="1056">
        <f>SUMIF('B-2 On-Site Hedge Creation'!$D$12:$D$259,'G-2 Habitat groups'!A155,'B-2 On-Site Hedge Creation'!$E$12:$E$259)</f>
        <v>0</v>
      </c>
      <c r="L155" s="1056">
        <f>SUMIF('B-2 On-Site Hedge Creation'!$D$12:$D$259,'G-2 Habitat groups'!A155,'B-2 On-Site Hedge Creation'!$W$12:$W$259)</f>
        <v>0</v>
      </c>
      <c r="M155" s="1056">
        <f>SUMIF('B-3 On-Site Hedge Enhancement'!$M$12:$M$257,'G-2 Habitat groups'!A155,'B-3 On-Site Hedge Enhancement'!$P$12:$P$257)</f>
        <v>0</v>
      </c>
      <c r="N155" s="1056">
        <f>SUMIF('B-3 On-Site Hedge Enhancement'!$M$12:$M$257,'G-2 Habitat groups'!A155,'B-3 On-Site Hedge Enhancement'!$AH$12:$AH$257)</f>
        <v>0</v>
      </c>
      <c r="O155" s="1056">
        <f t="shared" si="106"/>
        <v>0</v>
      </c>
      <c r="P155" s="1056">
        <f t="shared" si="107"/>
        <v>0</v>
      </c>
      <c r="Q155" s="1056">
        <f t="shared" si="108"/>
        <v>0</v>
      </c>
      <c r="R155" s="1056">
        <f t="shared" si="109"/>
        <v>0</v>
      </c>
      <c r="S155" s="1056">
        <f>SUMIF('E-1 Off-Site Hedge Baseline'!$D$10:$D$257,'G-2 Habitat groups'!A155,'E-1 Off-Site Hedge Baseline'!$E$10:$E$257)</f>
        <v>0</v>
      </c>
      <c r="T155" s="1056">
        <f>SUMIF('E-1 Off-Site Hedge Baseline'!$D$10:$D$257,'G-2 Habitat groups'!A155,'E-1 Off-Site Hedge Baseline'!$Q$10:$Q$257)</f>
        <v>0</v>
      </c>
      <c r="U155" s="1056">
        <f>SUMIF('E-1 Off-Site Hedge Baseline'!$D$10:$D$257,'G-2 Habitat groups'!A155,'E-1 Off-Site Hedge Baseline'!$S$10:$S$257)</f>
        <v>0</v>
      </c>
      <c r="V155" s="1056">
        <f>SUMIF('E-1 Off-Site Hedge Baseline'!$D$10:$D$257,'G-2 Habitat groups'!A155,'E-1 Off-Site Hedge Baseline'!$U$10:$U$257)</f>
        <v>0</v>
      </c>
      <c r="W155" s="1056">
        <f>SUMIF('E-2 Off-Site Hedge Creation'!$D$12:$D$259,'G-2 Habitat groups'!A155,'E-2 Off-Site Hedge Creation'!$E$12:$E$259)</f>
        <v>0</v>
      </c>
      <c r="X155" s="1056">
        <f>SUMIF('E-2 Off-Site Hedge Creation'!$D$12:$D$259,'G-2 Habitat groups'!A155,'E-2 Off-Site Hedge Creation'!$Z$12:$Z$259)</f>
        <v>0</v>
      </c>
      <c r="Y155" s="1056">
        <f>SUMIF('E-3 Off-Site Hedge Enhancement'!$M$12:$M$259,'G-2 Habitat groups'!A155,'E-3 Off-Site Hedge Enhancement'!$P$12:$P$259)</f>
        <v>0</v>
      </c>
      <c r="Z155" s="1056">
        <f>SUMIF('E-3 Off-Site Hedge Enhancement'!$M$12:$M$259,'G-2 Habitat groups'!A155,'E-3 Off-Site Hedge Enhancement'!$AK$12:$AK$259)</f>
        <v>0</v>
      </c>
      <c r="AA155" s="1056">
        <f t="shared" si="114"/>
        <v>0</v>
      </c>
      <c r="AB155" s="1056">
        <f t="shared" si="115"/>
        <v>0</v>
      </c>
      <c r="AC155" s="1056">
        <f t="shared" si="110"/>
        <v>0</v>
      </c>
      <c r="AD155" s="1056">
        <f t="shared" si="111"/>
        <v>0</v>
      </c>
      <c r="AE155" s="1056">
        <f t="shared" si="112"/>
        <v>0</v>
      </c>
      <c r="AF155" s="1056">
        <f t="shared" si="113"/>
        <v>0</v>
      </c>
      <c r="AU155" s="184" t="s">
        <v>520</v>
      </c>
      <c r="AV155" s="184" t="s">
        <v>201</v>
      </c>
      <c r="AW155" s="405" t="s">
        <v>1088</v>
      </c>
      <c r="AX155" s="405" t="s">
        <v>1089</v>
      </c>
      <c r="AY155" s="405" t="s">
        <v>1090</v>
      </c>
      <c r="AZ155" s="405" t="s">
        <v>1091</v>
      </c>
      <c r="BA155" s="405" t="s">
        <v>1092</v>
      </c>
      <c r="BB155" s="405" t="s">
        <v>1093</v>
      </c>
      <c r="BC155" s="405" t="s">
        <v>1094</v>
      </c>
      <c r="BD155" s="85" t="s">
        <v>1095</v>
      </c>
      <c r="BE155" s="405" t="s">
        <v>1096</v>
      </c>
      <c r="BF155" s="85" t="s">
        <v>1104</v>
      </c>
    </row>
    <row r="156" spans="1:58" ht="14">
      <c r="A156" s="72" t="str">
        <f>'G-6 Hedgerow Data'!B9</f>
        <v>Native hedgerow with trees</v>
      </c>
      <c r="B156" s="72" t="s">
        <v>1123</v>
      </c>
      <c r="C156" s="72" t="str">
        <f>'G-6 Hedgerow Data'!C9</f>
        <v>Medium</v>
      </c>
      <c r="D156" s="72" t="str">
        <f>'G-6 Hedgerow Data'!AH9</f>
        <v>Same distinctiveness band or better</v>
      </c>
      <c r="E156" s="1056">
        <f>SUMIF('B-1 On-Site Hedge Baseline'!$D$10:$D$257,'G-2 Habitat groups'!A156,'B-1 On-Site Hedge Baseline'!$E$10:$E$257)</f>
        <v>0</v>
      </c>
      <c r="F156" s="1056">
        <f>SUMIF('B-1 On-Site Hedge Baseline'!$D$10:$D$257,'G-2 Habitat groups'!A156,'B-1 On-Site Hedge Baseline'!$N$10:$N$257)</f>
        <v>0</v>
      </c>
      <c r="G156" s="1056">
        <f>SUMIF('B-1 On-Site Hedge Baseline'!$D$10:$D$257,'G-2 Habitat groups'!A156,'B-1 On-Site Hedge Baseline'!$P$10:$P$257)</f>
        <v>0</v>
      </c>
      <c r="H156" s="1056">
        <f>SUMIF('B-1 On-Site Hedge Baseline'!$D$10:$D$257,'G-2 Habitat groups'!A156,'B-1 On-Site Hedge Baseline'!$R$10:$R$257)</f>
        <v>0</v>
      </c>
      <c r="I156" s="1056">
        <f>SUMIF('B-1 On-Site Hedge Baseline'!$D$10:$D$257,'G-2 Habitat groups'!A156,'B-1 On-Site Hedge Baseline'!$T$10:$T$257)</f>
        <v>0</v>
      </c>
      <c r="J156" s="1056">
        <f>SUMIF('B-1 On-Site Hedge Baseline'!$D$10:$D$257,'G-2 Habitat groups'!A156,'B-1 On-Site Hedge Baseline'!$U$10:$U$257)</f>
        <v>0</v>
      </c>
      <c r="K156" s="1056">
        <f>SUMIF('B-2 On-Site Hedge Creation'!$D$12:$D$259,'G-2 Habitat groups'!A156,'B-2 On-Site Hedge Creation'!$E$12:$E$259)</f>
        <v>0</v>
      </c>
      <c r="L156" s="1056">
        <f>SUMIF('B-2 On-Site Hedge Creation'!$D$12:$D$259,'G-2 Habitat groups'!A156,'B-2 On-Site Hedge Creation'!$W$12:$W$259)</f>
        <v>0</v>
      </c>
      <c r="M156" s="1056">
        <f>SUMIF('B-3 On-Site Hedge Enhancement'!$M$12:$M$257,'G-2 Habitat groups'!A156,'B-3 On-Site Hedge Enhancement'!$P$12:$P$257)</f>
        <v>0</v>
      </c>
      <c r="N156" s="1056">
        <f>SUMIF('B-3 On-Site Hedge Enhancement'!$M$12:$M$257,'G-2 Habitat groups'!A156,'B-3 On-Site Hedge Enhancement'!$AH$12:$AH$257)</f>
        <v>0</v>
      </c>
      <c r="O156" s="1056">
        <f t="shared" si="106"/>
        <v>0</v>
      </c>
      <c r="P156" s="1056">
        <f t="shared" si="107"/>
        <v>0</v>
      </c>
      <c r="Q156" s="1056">
        <f t="shared" si="108"/>
        <v>0</v>
      </c>
      <c r="R156" s="1056">
        <f t="shared" si="109"/>
        <v>0</v>
      </c>
      <c r="S156" s="1056">
        <f>SUMIF('E-1 Off-Site Hedge Baseline'!$D$10:$D$257,'G-2 Habitat groups'!A156,'E-1 Off-Site Hedge Baseline'!$E$10:$E$257)</f>
        <v>0</v>
      </c>
      <c r="T156" s="1056">
        <f>SUMIF('E-1 Off-Site Hedge Baseline'!$D$10:$D$257,'G-2 Habitat groups'!A156,'E-1 Off-Site Hedge Baseline'!$Q$10:$Q$257)</f>
        <v>0</v>
      </c>
      <c r="U156" s="1056">
        <f>SUMIF('E-1 Off-Site Hedge Baseline'!$D$10:$D$257,'G-2 Habitat groups'!A156,'E-1 Off-Site Hedge Baseline'!$S$10:$S$257)</f>
        <v>0</v>
      </c>
      <c r="V156" s="1056">
        <f>SUMIF('E-1 Off-Site Hedge Baseline'!$D$10:$D$257,'G-2 Habitat groups'!A156,'E-1 Off-Site Hedge Baseline'!$U$10:$U$257)</f>
        <v>0</v>
      </c>
      <c r="W156" s="1056">
        <f>SUMIF('E-2 Off-Site Hedge Creation'!$D$12:$D$259,'G-2 Habitat groups'!A156,'E-2 Off-Site Hedge Creation'!$E$12:$E$259)</f>
        <v>0</v>
      </c>
      <c r="X156" s="1056">
        <f>SUMIF('E-2 Off-Site Hedge Creation'!$D$12:$D$259,'G-2 Habitat groups'!A156,'E-2 Off-Site Hedge Creation'!$Z$12:$Z$259)</f>
        <v>0</v>
      </c>
      <c r="Y156" s="1056">
        <f>SUMIF('E-3 Off-Site Hedge Enhancement'!$M$12:$M$259,'G-2 Habitat groups'!A156,'E-3 Off-Site Hedge Enhancement'!$P$12:$P$259)</f>
        <v>0</v>
      </c>
      <c r="Z156" s="1056">
        <f>SUMIF('E-3 Off-Site Hedge Enhancement'!$M$12:$M$259,'G-2 Habitat groups'!A156,'E-3 Off-Site Hedge Enhancement'!$AK$12:$AK$259)</f>
        <v>0</v>
      </c>
      <c r="AA156" s="1056">
        <f t="shared" si="114"/>
        <v>0</v>
      </c>
      <c r="AB156" s="1056">
        <f t="shared" si="115"/>
        <v>0</v>
      </c>
      <c r="AC156" s="1056">
        <f t="shared" si="110"/>
        <v>0</v>
      </c>
      <c r="AD156" s="1056">
        <f t="shared" si="111"/>
        <v>0</v>
      </c>
      <c r="AE156" s="1056">
        <f t="shared" si="112"/>
        <v>0</v>
      </c>
      <c r="AF156" s="1056">
        <f t="shared" si="113"/>
        <v>0</v>
      </c>
      <c r="AU156" s="70" t="s">
        <v>836</v>
      </c>
      <c r="AV156" s="62" t="s">
        <v>110</v>
      </c>
      <c r="AW156" s="274">
        <f>VLOOKUP($AU156,AllHabsSummaryData,5,FALSE)</f>
        <v>0</v>
      </c>
      <c r="AX156" s="274">
        <f>VLOOKUP($AU156,AllHabsSummaryData,10,FALSE)</f>
        <v>0</v>
      </c>
      <c r="AY156" s="274">
        <f>VLOOKUP($AU156,AllHabsSummaryData,15,FALSE)</f>
        <v>0.201</v>
      </c>
      <c r="AZ156" s="274">
        <f>VLOOKUP($AU156,AllHabsSummaryData,16,FALSE)</f>
        <v>0</v>
      </c>
      <c r="BA156" s="274">
        <f>VLOOKUP($AU156,AllHabsSummaryData,17,FALSE)</f>
        <v>0.201</v>
      </c>
      <c r="BB156" s="274">
        <f>VLOOKUP($AU156,AllHabsSummaryData,18,FALSE)</f>
        <v>0</v>
      </c>
      <c r="BC156" s="274">
        <f>VLOOKUP($AU156,AllHabsSummaryData,27,FALSE)</f>
        <v>0</v>
      </c>
      <c r="BD156" s="274">
        <f>VLOOKUP($AU156,AllHabsSummaryData,30,FALSE)</f>
        <v>0</v>
      </c>
      <c r="BE156" s="274">
        <f>BB156+BD156</f>
        <v>0</v>
      </c>
      <c r="BF156" s="274" t="str">
        <f>IF(BE156&lt;0,BE156,"")</f>
        <v/>
      </c>
    </row>
    <row r="157" spans="1:58" ht="14">
      <c r="A157" s="72" t="str">
        <f>'G-6 Hedgerow Data'!B10</f>
        <v>Ecologically valuable line of trees</v>
      </c>
      <c r="B157" s="72" t="s">
        <v>1123</v>
      </c>
      <c r="C157" s="72" t="str">
        <f>'G-6 Hedgerow Data'!C10</f>
        <v>Medium</v>
      </c>
      <c r="D157" s="72" t="str">
        <f>'G-6 Hedgerow Data'!AH10</f>
        <v>Same distinctiveness band or better</v>
      </c>
      <c r="E157" s="1056">
        <f>SUMIF('B-1 On-Site Hedge Baseline'!$D$10:$D$257,'G-2 Habitat groups'!A157,'B-1 On-Site Hedge Baseline'!$E$10:$E$257)</f>
        <v>0</v>
      </c>
      <c r="F157" s="1056">
        <f>SUMIF('B-1 On-Site Hedge Baseline'!$D$10:$D$257,'G-2 Habitat groups'!A157,'B-1 On-Site Hedge Baseline'!$N$10:$N$257)</f>
        <v>0</v>
      </c>
      <c r="G157" s="1056">
        <f>SUMIF('B-1 On-Site Hedge Baseline'!$D$10:$D$257,'G-2 Habitat groups'!A157,'B-1 On-Site Hedge Baseline'!$P$10:$P$257)</f>
        <v>0</v>
      </c>
      <c r="H157" s="1056">
        <f>SUMIF('B-1 On-Site Hedge Baseline'!$D$10:$D$257,'G-2 Habitat groups'!A157,'B-1 On-Site Hedge Baseline'!$R$10:$R$257)</f>
        <v>0</v>
      </c>
      <c r="I157" s="1056">
        <f>SUMIF('B-1 On-Site Hedge Baseline'!$D$10:$D$257,'G-2 Habitat groups'!A157,'B-1 On-Site Hedge Baseline'!$T$10:$T$257)</f>
        <v>0</v>
      </c>
      <c r="J157" s="1056">
        <f>SUMIF('B-1 On-Site Hedge Baseline'!$D$10:$D$257,'G-2 Habitat groups'!A157,'B-1 On-Site Hedge Baseline'!$U$10:$U$257)</f>
        <v>0</v>
      </c>
      <c r="K157" s="1056">
        <f>SUMIF('B-2 On-Site Hedge Creation'!$D$12:$D$259,'G-2 Habitat groups'!A157,'B-2 On-Site Hedge Creation'!$E$12:$E$259)</f>
        <v>0</v>
      </c>
      <c r="L157" s="1056">
        <f>SUMIF('B-2 On-Site Hedge Creation'!$D$12:$D$259,'G-2 Habitat groups'!A157,'B-2 On-Site Hedge Creation'!$W$12:$W$259)</f>
        <v>0</v>
      </c>
      <c r="M157" s="1056">
        <f>SUMIF('B-3 On-Site Hedge Enhancement'!$M$12:$M$257,'G-2 Habitat groups'!A157,'B-3 On-Site Hedge Enhancement'!$P$12:$P$257)</f>
        <v>0</v>
      </c>
      <c r="N157" s="1056">
        <f>SUMIF('B-3 On-Site Hedge Enhancement'!$M$12:$M$257,'G-2 Habitat groups'!A157,'B-3 On-Site Hedge Enhancement'!$AH$12:$AH$257)</f>
        <v>0</v>
      </c>
      <c r="O157" s="1056">
        <f t="shared" si="106"/>
        <v>0</v>
      </c>
      <c r="P157" s="1056">
        <f t="shared" si="107"/>
        <v>0</v>
      </c>
      <c r="Q157" s="1056">
        <f t="shared" si="108"/>
        <v>0</v>
      </c>
      <c r="R157" s="1056">
        <f t="shared" si="109"/>
        <v>0</v>
      </c>
      <c r="S157" s="1056">
        <f>SUMIF('E-1 Off-Site Hedge Baseline'!$D$10:$D$257,'G-2 Habitat groups'!A157,'E-1 Off-Site Hedge Baseline'!$E$10:$E$257)</f>
        <v>0</v>
      </c>
      <c r="T157" s="1056">
        <f>SUMIF('E-1 Off-Site Hedge Baseline'!$D$10:$D$257,'G-2 Habitat groups'!A157,'E-1 Off-Site Hedge Baseline'!$Q$10:$Q$257)</f>
        <v>0</v>
      </c>
      <c r="U157" s="1056">
        <f>SUMIF('E-1 Off-Site Hedge Baseline'!$D$10:$D$257,'G-2 Habitat groups'!A157,'E-1 Off-Site Hedge Baseline'!$S$10:$S$257)</f>
        <v>0</v>
      </c>
      <c r="V157" s="1056">
        <f>SUMIF('E-1 Off-Site Hedge Baseline'!$D$10:$D$257,'G-2 Habitat groups'!A157,'E-1 Off-Site Hedge Baseline'!$U$10:$U$257)</f>
        <v>0</v>
      </c>
      <c r="W157" s="1056">
        <f>SUMIF('E-2 Off-Site Hedge Creation'!$D$12:$D$259,'G-2 Habitat groups'!A157,'E-2 Off-Site Hedge Creation'!$E$12:$E$259)</f>
        <v>0</v>
      </c>
      <c r="X157" s="1056">
        <f>SUMIF('E-2 Off-Site Hedge Creation'!$D$12:$D$259,'G-2 Habitat groups'!A157,'E-2 Off-Site Hedge Creation'!$Z$12:$Z$259)</f>
        <v>0</v>
      </c>
      <c r="Y157" s="1056">
        <f>SUMIF('E-3 Off-Site Hedge Enhancement'!$M$12:$M$259,'G-2 Habitat groups'!A157,'E-3 Off-Site Hedge Enhancement'!$P$12:$P$259)</f>
        <v>0</v>
      </c>
      <c r="Z157" s="1056">
        <f>SUMIF('E-3 Off-Site Hedge Enhancement'!$M$12:$M$259,'G-2 Habitat groups'!A157,'E-3 Off-Site Hedge Enhancement'!$AK$12:$AK$259)</f>
        <v>0</v>
      </c>
      <c r="AA157" s="1056">
        <f t="shared" si="114"/>
        <v>0</v>
      </c>
      <c r="AB157" s="1056">
        <f t="shared" si="115"/>
        <v>0</v>
      </c>
      <c r="AC157" s="1056">
        <f t="shared" si="110"/>
        <v>0</v>
      </c>
      <c r="AD157" s="1056">
        <f t="shared" si="111"/>
        <v>0</v>
      </c>
      <c r="AE157" s="1056">
        <f t="shared" si="112"/>
        <v>0</v>
      </c>
      <c r="AF157" s="1056">
        <f t="shared" si="113"/>
        <v>0</v>
      </c>
      <c r="AU157" s="70" t="s">
        <v>847</v>
      </c>
      <c r="AV157" s="62" t="s">
        <v>110</v>
      </c>
      <c r="AW157" s="274">
        <f>VLOOKUP($AU157,AllHabsSummaryData,5,FALSE)</f>
        <v>0</v>
      </c>
      <c r="AX157" s="274">
        <f>VLOOKUP($AU157,AllHabsSummaryData,10,FALSE)</f>
        <v>0</v>
      </c>
      <c r="AY157" s="274">
        <f>VLOOKUP($AU157,AllHabsSummaryData,15,FALSE)</f>
        <v>0</v>
      </c>
      <c r="AZ157" s="274">
        <f>VLOOKUP($AU157,AllHabsSummaryData,16,FALSE)</f>
        <v>0</v>
      </c>
      <c r="BA157" s="274">
        <f>VLOOKUP($AU157,AllHabsSummaryData,17,FALSE)</f>
        <v>0</v>
      </c>
      <c r="BB157" s="274">
        <f>VLOOKUP($AU157,AllHabsSummaryData,18,FALSE)</f>
        <v>0</v>
      </c>
      <c r="BC157" s="274">
        <f>VLOOKUP($AU157,AllHabsSummaryData,27,FALSE)</f>
        <v>0</v>
      </c>
      <c r="BD157" s="274">
        <f>VLOOKUP($AU157,AllHabsSummaryData,30,FALSE)</f>
        <v>0</v>
      </c>
      <c r="BE157" s="274">
        <f>BB157+BD157</f>
        <v>0</v>
      </c>
      <c r="BF157" s="274" t="str">
        <f>IF(BE157&lt;0,BE157,"")</f>
        <v/>
      </c>
    </row>
    <row r="158" spans="1:58" ht="14">
      <c r="A158" s="72" t="str">
        <f>'G-6 Hedgerow Data'!B11</f>
        <v>Ecologically valuable line of trees - associated with bank or ditch</v>
      </c>
      <c r="B158" s="72" t="s">
        <v>1123</v>
      </c>
      <c r="C158" s="72" t="str">
        <f>'G-6 Hedgerow Data'!C11</f>
        <v>Medium</v>
      </c>
      <c r="D158" s="72" t="str">
        <f>'G-6 Hedgerow Data'!AH11</f>
        <v>Same distinctiveness band or better</v>
      </c>
      <c r="E158" s="1056">
        <f>SUMIF('B-1 On-Site Hedge Baseline'!$D$10:$D$257,'G-2 Habitat groups'!A158,'B-1 On-Site Hedge Baseline'!$E$10:$E$257)</f>
        <v>0</v>
      </c>
      <c r="F158" s="1056">
        <f>SUMIF('B-1 On-Site Hedge Baseline'!$D$10:$D$257,'G-2 Habitat groups'!A158,'B-1 On-Site Hedge Baseline'!$N$10:$N$257)</f>
        <v>0</v>
      </c>
      <c r="G158" s="1056">
        <f>SUMIF('B-1 On-Site Hedge Baseline'!$D$10:$D$257,'G-2 Habitat groups'!A158,'B-1 On-Site Hedge Baseline'!$P$10:$P$257)</f>
        <v>0</v>
      </c>
      <c r="H158" s="1056">
        <f>SUMIF('B-1 On-Site Hedge Baseline'!$D$10:$D$257,'G-2 Habitat groups'!A158,'B-1 On-Site Hedge Baseline'!$R$10:$R$257)</f>
        <v>0</v>
      </c>
      <c r="I158" s="1056">
        <f>SUMIF('B-1 On-Site Hedge Baseline'!$D$10:$D$257,'G-2 Habitat groups'!A158,'B-1 On-Site Hedge Baseline'!$T$10:$T$257)</f>
        <v>0</v>
      </c>
      <c r="J158" s="1056">
        <f>SUMIF('B-1 On-Site Hedge Baseline'!$D$10:$D$257,'G-2 Habitat groups'!A158,'B-1 On-Site Hedge Baseline'!$U$10:$U$257)</f>
        <v>0</v>
      </c>
      <c r="K158" s="1056">
        <f>SUMIF('B-2 On-Site Hedge Creation'!$D$12:$D$259,'G-2 Habitat groups'!A158,'B-2 On-Site Hedge Creation'!$E$12:$E$259)</f>
        <v>0</v>
      </c>
      <c r="L158" s="1056">
        <f>SUMIF('B-2 On-Site Hedge Creation'!$D$12:$D$259,'G-2 Habitat groups'!A158,'B-2 On-Site Hedge Creation'!$W$12:$W$259)</f>
        <v>0</v>
      </c>
      <c r="M158" s="1056">
        <f>SUMIF('B-3 On-Site Hedge Enhancement'!$M$12:$M$257,'G-2 Habitat groups'!A158,'B-3 On-Site Hedge Enhancement'!$P$12:$P$257)</f>
        <v>0</v>
      </c>
      <c r="N158" s="1056">
        <f>SUMIF('B-3 On-Site Hedge Enhancement'!$M$12:$M$257,'G-2 Habitat groups'!A158,'B-3 On-Site Hedge Enhancement'!$AH$12:$AH$257)</f>
        <v>0</v>
      </c>
      <c r="O158" s="1056">
        <f t="shared" si="106"/>
        <v>0</v>
      </c>
      <c r="P158" s="1056">
        <f t="shared" si="107"/>
        <v>0</v>
      </c>
      <c r="Q158" s="1056">
        <f t="shared" si="108"/>
        <v>0</v>
      </c>
      <c r="R158" s="1056">
        <f t="shared" si="109"/>
        <v>0</v>
      </c>
      <c r="S158" s="1056">
        <f>SUMIF('E-1 Off-Site Hedge Baseline'!$D$10:$D$257,'G-2 Habitat groups'!A158,'E-1 Off-Site Hedge Baseline'!$E$10:$E$257)</f>
        <v>0</v>
      </c>
      <c r="T158" s="1056">
        <f>SUMIF('E-1 Off-Site Hedge Baseline'!$D$10:$D$257,'G-2 Habitat groups'!A158,'E-1 Off-Site Hedge Baseline'!$Q$10:$Q$257)</f>
        <v>0</v>
      </c>
      <c r="U158" s="1056">
        <f>SUMIF('E-1 Off-Site Hedge Baseline'!$D$10:$D$257,'G-2 Habitat groups'!A158,'E-1 Off-Site Hedge Baseline'!$S$10:$S$257)</f>
        <v>0</v>
      </c>
      <c r="V158" s="1056">
        <f>SUMIF('E-1 Off-Site Hedge Baseline'!$D$10:$D$257,'G-2 Habitat groups'!A158,'E-1 Off-Site Hedge Baseline'!$U$10:$U$257)</f>
        <v>0</v>
      </c>
      <c r="W158" s="1056">
        <f>SUMIF('E-2 Off-Site Hedge Creation'!$D$12:$D$259,'G-2 Habitat groups'!A158,'E-2 Off-Site Hedge Creation'!$E$12:$E$259)</f>
        <v>0</v>
      </c>
      <c r="X158" s="1056">
        <f>SUMIF('E-2 Off-Site Hedge Creation'!$D$12:$D$259,'G-2 Habitat groups'!A158,'E-2 Off-Site Hedge Creation'!$Z$12:$Z$259)</f>
        <v>0</v>
      </c>
      <c r="Y158" s="1056">
        <f>SUMIF('E-3 Off-Site Hedge Enhancement'!$M$12:$M$259,'G-2 Habitat groups'!A158,'E-3 Off-Site Hedge Enhancement'!$P$12:$P$259)</f>
        <v>0</v>
      </c>
      <c r="Z158" s="1056">
        <f>SUMIF('E-3 Off-Site Hedge Enhancement'!$M$12:$M$259,'G-2 Habitat groups'!A158,'E-3 Off-Site Hedge Enhancement'!$AK$12:$AK$259)</f>
        <v>0</v>
      </c>
      <c r="AA158" s="1056">
        <f t="shared" si="114"/>
        <v>0</v>
      </c>
      <c r="AB158" s="1056">
        <f t="shared" si="115"/>
        <v>0</v>
      </c>
      <c r="AC158" s="1056">
        <f t="shared" si="110"/>
        <v>0</v>
      </c>
      <c r="AD158" s="1056">
        <f t="shared" si="111"/>
        <v>0</v>
      </c>
      <c r="AE158" s="1056">
        <f t="shared" si="112"/>
        <v>0</v>
      </c>
      <c r="AF158" s="1056">
        <f t="shared" si="113"/>
        <v>0</v>
      </c>
      <c r="AU158" s="70" t="s">
        <v>851</v>
      </c>
      <c r="AV158" s="62" t="s">
        <v>110</v>
      </c>
      <c r="AW158" s="274">
        <f>VLOOKUP($AU158,AllHabsSummaryData,5,FALSE)</f>
        <v>0.005</v>
      </c>
      <c r="AX158" s="274">
        <f>VLOOKUP($AU158,AllHabsSummaryData,10,FALSE)</f>
        <v>0</v>
      </c>
      <c r="AY158" s="274">
        <f>VLOOKUP($AU158,AllHabsSummaryData,15,FALSE)</f>
        <v>3.048</v>
      </c>
      <c r="AZ158" s="274">
        <f>VLOOKUP($AU158,AllHabsSummaryData,16,FALSE)</f>
        <v>0</v>
      </c>
      <c r="BA158" s="274">
        <f>VLOOKUP($AU158,AllHabsSummaryData,17,FALSE)</f>
        <v>3.043</v>
      </c>
      <c r="BB158" s="274">
        <f>VLOOKUP($AU158,AllHabsSummaryData,18,FALSE)</f>
        <v>0</v>
      </c>
      <c r="BC158" s="274">
        <f>VLOOKUP($AU158,AllHabsSummaryData,27,FALSE)</f>
        <v>0</v>
      </c>
      <c r="BD158" s="274">
        <f>VLOOKUP($AU158,AllHabsSummaryData,30,FALSE)</f>
        <v>0</v>
      </c>
      <c r="BE158" s="274">
        <f>BB158+BD158</f>
        <v>0</v>
      </c>
      <c r="BF158" s="274" t="str">
        <f>IF(BE158&lt;0,BE158,"")</f>
        <v/>
      </c>
    </row>
    <row r="159" spans="1:58" ht="14">
      <c r="A159" s="72" t="str">
        <f>'G-6 Hedgerow Data'!B12</f>
        <v>Native hedgerow</v>
      </c>
      <c r="B159" s="72" t="s">
        <v>1123</v>
      </c>
      <c r="C159" s="72" t="str">
        <f>'G-6 Hedgerow Data'!C12</f>
        <v>Low</v>
      </c>
      <c r="D159" s="72" t="str">
        <f>'G-6 Hedgerow Data'!AH12</f>
        <v>Same distinctiveness band or better</v>
      </c>
      <c r="E159" s="1056">
        <f>SUMIF('B-1 On-Site Hedge Baseline'!$D$10:$D$257,'G-2 Habitat groups'!A159,'B-1 On-Site Hedge Baseline'!$E$10:$E$257)</f>
        <v>0.01</v>
      </c>
      <c r="F159" s="1056">
        <f>SUMIF('B-1 On-Site Hedge Baseline'!$D$10:$D$257,'G-2 Habitat groups'!A159,'B-1 On-Site Hedge Baseline'!$N$10:$N$257)</f>
        <v>0.022000000000000002</v>
      </c>
      <c r="G159" s="1056">
        <f>SUMIF('B-1 On-Site Hedge Baseline'!$D$10:$D$257,'G-2 Habitat groups'!A159,'B-1 On-Site Hedge Baseline'!$P$10:$P$257)</f>
        <v>0.01</v>
      </c>
      <c r="H159" s="1056">
        <f>SUMIF('B-1 On-Site Hedge Baseline'!$D$10:$D$257,'G-2 Habitat groups'!A159,'B-1 On-Site Hedge Baseline'!$R$10:$R$257)</f>
        <v>0.022000000000000002</v>
      </c>
      <c r="I159" s="1056">
        <f>SUMIF('B-1 On-Site Hedge Baseline'!$D$10:$D$257,'G-2 Habitat groups'!A159,'B-1 On-Site Hedge Baseline'!$T$10:$T$257)</f>
        <v>0</v>
      </c>
      <c r="J159" s="1056">
        <f>SUMIF('B-1 On-Site Hedge Baseline'!$D$10:$D$257,'G-2 Habitat groups'!A159,'B-1 On-Site Hedge Baseline'!$U$10:$U$257)</f>
        <v>0</v>
      </c>
      <c r="K159" s="1056">
        <f>SUMIF('B-2 On-Site Hedge Creation'!$D$12:$D$259,'G-2 Habitat groups'!A159,'B-2 On-Site Hedge Creation'!$E$12:$E$259)</f>
        <v>0</v>
      </c>
      <c r="L159" s="1056">
        <f>SUMIF('B-2 On-Site Hedge Creation'!$D$12:$D$259,'G-2 Habitat groups'!A159,'B-2 On-Site Hedge Creation'!$W$12:$W$259)</f>
        <v>0</v>
      </c>
      <c r="M159" s="1056">
        <f>SUMIF('B-3 On-Site Hedge Enhancement'!$M$12:$M$257,'G-2 Habitat groups'!A159,'B-3 On-Site Hedge Enhancement'!$P$12:$P$257)</f>
        <v>0</v>
      </c>
      <c r="N159" s="1056">
        <f>SUMIF('B-3 On-Site Hedge Enhancement'!$M$12:$M$257,'G-2 Habitat groups'!A159,'B-3 On-Site Hedge Enhancement'!$AH$12:$AH$257)</f>
        <v>0</v>
      </c>
      <c r="O159" s="1056">
        <f t="shared" si="106"/>
        <v>0.01</v>
      </c>
      <c r="P159" s="1056">
        <f t="shared" si="107"/>
        <v>0.022000000000000002</v>
      </c>
      <c r="Q159" s="1056">
        <f t="shared" si="108"/>
        <v>0</v>
      </c>
      <c r="R159" s="1056">
        <f t="shared" si="109"/>
        <v>0</v>
      </c>
      <c r="S159" s="1056">
        <f>SUMIF('E-1 Off-Site Hedge Baseline'!$D$10:$D$257,'G-2 Habitat groups'!A159,'E-1 Off-Site Hedge Baseline'!$E$10:$E$257)</f>
        <v>0</v>
      </c>
      <c r="T159" s="1056">
        <f>SUMIF('E-1 Off-Site Hedge Baseline'!$D$10:$D$257,'G-2 Habitat groups'!A159,'E-1 Off-Site Hedge Baseline'!$Q$10:$Q$257)</f>
        <v>0</v>
      </c>
      <c r="U159" s="1056">
        <f>SUMIF('E-1 Off-Site Hedge Baseline'!$D$10:$D$257,'G-2 Habitat groups'!A159,'E-1 Off-Site Hedge Baseline'!$S$10:$S$257)</f>
        <v>0</v>
      </c>
      <c r="V159" s="1056">
        <f>SUMIF('E-1 Off-Site Hedge Baseline'!$D$10:$D$257,'G-2 Habitat groups'!A159,'E-1 Off-Site Hedge Baseline'!$U$10:$U$257)</f>
        <v>0</v>
      </c>
      <c r="W159" s="1056">
        <f>SUMIF('E-2 Off-Site Hedge Creation'!$D$12:$D$259,'G-2 Habitat groups'!A159,'E-2 Off-Site Hedge Creation'!$E$12:$E$259)</f>
        <v>0</v>
      </c>
      <c r="X159" s="1056">
        <f>SUMIF('E-2 Off-Site Hedge Creation'!$D$12:$D$259,'G-2 Habitat groups'!A159,'E-2 Off-Site Hedge Creation'!$Z$12:$Z$259)</f>
        <v>0</v>
      </c>
      <c r="Y159" s="1056">
        <f>SUMIF('E-3 Off-Site Hedge Enhancement'!$M$12:$M$259,'G-2 Habitat groups'!A159,'E-3 Off-Site Hedge Enhancement'!$P$12:$P$259)</f>
        <v>0</v>
      </c>
      <c r="Z159" s="1056">
        <f>SUMIF('E-3 Off-Site Hedge Enhancement'!$M$12:$M$259,'G-2 Habitat groups'!A159,'E-3 Off-Site Hedge Enhancement'!$AK$12:$AK$259)</f>
        <v>0</v>
      </c>
      <c r="AA159" s="1056">
        <f t="shared" si="114"/>
        <v>0</v>
      </c>
      <c r="AB159" s="1056">
        <f t="shared" si="115"/>
        <v>0</v>
      </c>
      <c r="AC159" s="1056">
        <f t="shared" si="110"/>
        <v>0</v>
      </c>
      <c r="AD159" s="1056">
        <f t="shared" si="111"/>
        <v>0</v>
      </c>
      <c r="AE159" s="1056">
        <f t="shared" si="112"/>
        <v>0</v>
      </c>
      <c r="AF159" s="1056">
        <f t="shared" si="113"/>
        <v>0</v>
      </c>
      <c r="AU159" s="70" t="s">
        <v>871</v>
      </c>
      <c r="AV159" s="62" t="s">
        <v>110</v>
      </c>
      <c r="AW159" s="274">
        <f>VLOOKUP($AU159,AllHabsSummaryData,5,FALSE)</f>
        <v>0</v>
      </c>
      <c r="AX159" s="274">
        <f>VLOOKUP($AU159,AllHabsSummaryData,10,FALSE)</f>
        <v>0</v>
      </c>
      <c r="AY159" s="274">
        <f>VLOOKUP($AU159,AllHabsSummaryData,15,FALSE)</f>
        <v>0</v>
      </c>
      <c r="AZ159" s="274">
        <f>VLOOKUP($AU159,AllHabsSummaryData,16,FALSE)</f>
        <v>0</v>
      </c>
      <c r="BA159" s="274">
        <f>VLOOKUP($AU159,AllHabsSummaryData,17,FALSE)</f>
        <v>0</v>
      </c>
      <c r="BB159" s="274">
        <f>VLOOKUP($AU159,AllHabsSummaryData,18,FALSE)</f>
        <v>0</v>
      </c>
      <c r="BC159" s="274">
        <f>VLOOKUP($AU159,AllHabsSummaryData,27,FALSE)</f>
        <v>0</v>
      </c>
      <c r="BD159" s="274">
        <f>VLOOKUP($AU159,AllHabsSummaryData,30,FALSE)</f>
        <v>0</v>
      </c>
      <c r="BE159" s="274">
        <f>BB159+BD159</f>
        <v>0</v>
      </c>
      <c r="BF159" s="274" t="str">
        <f>IF(BE159&lt;0,BE159,"")</f>
        <v/>
      </c>
    </row>
    <row r="160" spans="1:32" ht="14">
      <c r="A160" s="72" t="str">
        <f>'G-6 Hedgerow Data'!B13</f>
        <v>Line of trees</v>
      </c>
      <c r="B160" s="72" t="s">
        <v>1123</v>
      </c>
      <c r="C160" s="72" t="str">
        <f>'G-6 Hedgerow Data'!C13</f>
        <v>Low</v>
      </c>
      <c r="D160" s="72" t="str">
        <f>'G-6 Hedgerow Data'!AH13</f>
        <v>Same distinctiveness band or better</v>
      </c>
      <c r="E160" s="1056">
        <f>SUMIF('B-1 On-Site Hedge Baseline'!$D$10:$D$257,'G-2 Habitat groups'!A160,'B-1 On-Site Hedge Baseline'!$E$10:$E$257)</f>
        <v>0</v>
      </c>
      <c r="F160" s="1056">
        <f>SUMIF('B-1 On-Site Hedge Baseline'!$D$10:$D$257,'G-2 Habitat groups'!A160,'B-1 On-Site Hedge Baseline'!$N$10:$N$257)</f>
        <v>0</v>
      </c>
      <c r="G160" s="1056">
        <f>SUMIF('B-1 On-Site Hedge Baseline'!$D$10:$D$257,'G-2 Habitat groups'!A160,'B-1 On-Site Hedge Baseline'!$P$10:$P$257)</f>
        <v>0</v>
      </c>
      <c r="H160" s="1056">
        <f>SUMIF('B-1 On-Site Hedge Baseline'!$D$10:$D$257,'G-2 Habitat groups'!A160,'B-1 On-Site Hedge Baseline'!$R$10:$R$257)</f>
        <v>0</v>
      </c>
      <c r="I160" s="1056">
        <f>SUMIF('B-1 On-Site Hedge Baseline'!$D$10:$D$257,'G-2 Habitat groups'!A160,'B-1 On-Site Hedge Baseline'!$T$10:$T$257)</f>
        <v>0</v>
      </c>
      <c r="J160" s="1056">
        <f>SUMIF('B-1 On-Site Hedge Baseline'!$D$10:$D$257,'G-2 Habitat groups'!A160,'B-1 On-Site Hedge Baseline'!$U$10:$U$257)</f>
        <v>0</v>
      </c>
      <c r="K160" s="1056">
        <f>SUMIF('B-2 On-Site Hedge Creation'!$D$12:$D$259,'G-2 Habitat groups'!A160,'B-2 On-Site Hedge Creation'!$E$12:$E$259)</f>
        <v>0</v>
      </c>
      <c r="L160" s="1056">
        <f>SUMIF('B-2 On-Site Hedge Creation'!$D$12:$D$259,'G-2 Habitat groups'!A160,'B-2 On-Site Hedge Creation'!$W$12:$W$259)</f>
        <v>0</v>
      </c>
      <c r="M160" s="1056">
        <f>SUMIF('B-3 On-Site Hedge Enhancement'!$M$12:$M$257,'G-2 Habitat groups'!A160,'B-3 On-Site Hedge Enhancement'!$P$12:$P$257)</f>
        <v>0</v>
      </c>
      <c r="N160" s="1056">
        <f>SUMIF('B-3 On-Site Hedge Enhancement'!$M$12:$M$257,'G-2 Habitat groups'!A160,'B-3 On-Site Hedge Enhancement'!$AH$12:$AH$257)</f>
        <v>0</v>
      </c>
      <c r="O160" s="1056">
        <f t="shared" si="106"/>
        <v>0</v>
      </c>
      <c r="P160" s="1056">
        <f t="shared" si="107"/>
        <v>0</v>
      </c>
      <c r="Q160" s="1056">
        <f t="shared" si="108"/>
        <v>0</v>
      </c>
      <c r="R160" s="1056">
        <f t="shared" si="109"/>
        <v>0</v>
      </c>
      <c r="S160" s="1056">
        <f>SUMIF('E-1 Off-Site Hedge Baseline'!$D$10:$D$257,'G-2 Habitat groups'!A160,'E-1 Off-Site Hedge Baseline'!$E$10:$E$257)</f>
        <v>0</v>
      </c>
      <c r="T160" s="1056">
        <f>SUMIF('E-1 Off-Site Hedge Baseline'!$D$10:$D$257,'G-2 Habitat groups'!A160,'E-1 Off-Site Hedge Baseline'!$Q$10:$Q$257)</f>
        <v>0</v>
      </c>
      <c r="U160" s="1056">
        <f>SUMIF('E-1 Off-Site Hedge Baseline'!$D$10:$D$257,'G-2 Habitat groups'!A160,'E-1 Off-Site Hedge Baseline'!$S$10:$S$257)</f>
        <v>0</v>
      </c>
      <c r="V160" s="1056">
        <f>SUMIF('E-1 Off-Site Hedge Baseline'!$D$10:$D$257,'G-2 Habitat groups'!A160,'E-1 Off-Site Hedge Baseline'!$U$10:$U$257)</f>
        <v>0</v>
      </c>
      <c r="W160" s="1056">
        <f>SUMIF('E-2 Off-Site Hedge Creation'!$D$12:$D$259,'G-2 Habitat groups'!A160,'E-2 Off-Site Hedge Creation'!$E$12:$E$259)</f>
        <v>0</v>
      </c>
      <c r="X160" s="1056">
        <f>SUMIF('E-2 Off-Site Hedge Creation'!$D$12:$D$259,'G-2 Habitat groups'!A160,'E-2 Off-Site Hedge Creation'!$Z$12:$Z$259)</f>
        <v>0</v>
      </c>
      <c r="Y160" s="1056">
        <f>SUMIF('E-3 Off-Site Hedge Enhancement'!$M$12:$M$259,'G-2 Habitat groups'!A160,'E-3 Off-Site Hedge Enhancement'!$P$12:$P$259)</f>
        <v>0</v>
      </c>
      <c r="Z160" s="1056">
        <f>SUMIF('E-3 Off-Site Hedge Enhancement'!$M$12:$M$259,'G-2 Habitat groups'!A160,'E-3 Off-Site Hedge Enhancement'!$AK$12:$AK$259)</f>
        <v>0</v>
      </c>
      <c r="AA160" s="1056">
        <f t="shared" si="114"/>
        <v>0</v>
      </c>
      <c r="AB160" s="1056">
        <f t="shared" si="115"/>
        <v>0</v>
      </c>
      <c r="AC160" s="1056">
        <f t="shared" si="110"/>
        <v>0</v>
      </c>
      <c r="AD160" s="1056">
        <f t="shared" si="111"/>
        <v>0</v>
      </c>
      <c r="AE160" s="1056">
        <f t="shared" si="112"/>
        <v>0</v>
      </c>
      <c r="AF160" s="1056">
        <f t="shared" si="113"/>
        <v>0</v>
      </c>
    </row>
    <row r="161" spans="1:32" ht="14">
      <c r="A161" s="72" t="str">
        <f>'G-6 Hedgerow Data'!B14</f>
        <v>Line of trees - associated with bank or ditch</v>
      </c>
      <c r="B161" s="72" t="s">
        <v>1123</v>
      </c>
      <c r="C161" s="72" t="str">
        <f>'G-6 Hedgerow Data'!C14</f>
        <v>Low</v>
      </c>
      <c r="D161" s="72" t="str">
        <f>'G-6 Hedgerow Data'!AH14</f>
        <v>Same distinctiveness band or better</v>
      </c>
      <c r="E161" s="1056">
        <f>SUMIF('B-1 On-Site Hedge Baseline'!$D$10:$D$257,'G-2 Habitat groups'!A161,'B-1 On-Site Hedge Baseline'!$E$10:$E$257)</f>
        <v>0</v>
      </c>
      <c r="F161" s="1056">
        <f>SUMIF('B-1 On-Site Hedge Baseline'!$D$10:$D$257,'G-2 Habitat groups'!A161,'B-1 On-Site Hedge Baseline'!$N$10:$N$257)</f>
        <v>0</v>
      </c>
      <c r="G161" s="1056">
        <f>SUMIF('B-1 On-Site Hedge Baseline'!$D$10:$D$257,'G-2 Habitat groups'!A161,'B-1 On-Site Hedge Baseline'!$P$10:$P$257)</f>
        <v>0</v>
      </c>
      <c r="H161" s="1056">
        <f>SUMIF('B-1 On-Site Hedge Baseline'!$D$10:$D$257,'G-2 Habitat groups'!A161,'B-1 On-Site Hedge Baseline'!$R$10:$R$257)</f>
        <v>0</v>
      </c>
      <c r="I161" s="1056">
        <f>SUMIF('B-1 On-Site Hedge Baseline'!$D$10:$D$257,'G-2 Habitat groups'!A161,'B-1 On-Site Hedge Baseline'!$T$10:$T$257)</f>
        <v>0</v>
      </c>
      <c r="J161" s="1056">
        <f>SUMIF('B-1 On-Site Hedge Baseline'!$D$10:$D$257,'G-2 Habitat groups'!A161,'B-1 On-Site Hedge Baseline'!$U$10:$U$257)</f>
        <v>0</v>
      </c>
      <c r="K161" s="1056">
        <f>SUMIF('B-2 On-Site Hedge Creation'!$D$12:$D$259,'G-2 Habitat groups'!A161,'B-2 On-Site Hedge Creation'!$E$12:$E$259)</f>
        <v>0</v>
      </c>
      <c r="L161" s="1056">
        <f>SUMIF('B-2 On-Site Hedge Creation'!$D$12:$D$259,'G-2 Habitat groups'!A161,'B-2 On-Site Hedge Creation'!$W$12:$W$259)</f>
        <v>0</v>
      </c>
      <c r="M161" s="1056">
        <f>SUMIF('B-3 On-Site Hedge Enhancement'!$M$12:$M$257,'G-2 Habitat groups'!A161,'B-3 On-Site Hedge Enhancement'!$P$12:$P$257)</f>
        <v>0</v>
      </c>
      <c r="N161" s="1056">
        <f>SUMIF('B-3 On-Site Hedge Enhancement'!$M$12:$M$257,'G-2 Habitat groups'!A161,'B-3 On-Site Hedge Enhancement'!$AH$12:$AH$257)</f>
        <v>0</v>
      </c>
      <c r="O161" s="1056">
        <f t="shared" si="106"/>
        <v>0</v>
      </c>
      <c r="P161" s="1056">
        <f t="shared" si="107"/>
        <v>0</v>
      </c>
      <c r="Q161" s="1056">
        <f t="shared" si="108"/>
        <v>0</v>
      </c>
      <c r="R161" s="1056">
        <f t="shared" si="109"/>
        <v>0</v>
      </c>
      <c r="S161" s="1056">
        <f>SUMIF('E-1 Off-Site Hedge Baseline'!$D$10:$D$257,'G-2 Habitat groups'!A161,'E-1 Off-Site Hedge Baseline'!$E$10:$E$257)</f>
        <v>0</v>
      </c>
      <c r="T161" s="1056">
        <f>SUMIF('E-1 Off-Site Hedge Baseline'!$D$10:$D$257,'G-2 Habitat groups'!A161,'E-1 Off-Site Hedge Baseline'!$Q$10:$Q$257)</f>
        <v>0</v>
      </c>
      <c r="U161" s="1056">
        <f>SUMIF('E-1 Off-Site Hedge Baseline'!$D$10:$D$257,'G-2 Habitat groups'!A161,'E-1 Off-Site Hedge Baseline'!$S$10:$S$257)</f>
        <v>0</v>
      </c>
      <c r="V161" s="1056">
        <f>SUMIF('E-1 Off-Site Hedge Baseline'!$D$10:$D$257,'G-2 Habitat groups'!A161,'E-1 Off-Site Hedge Baseline'!$U$10:$U$257)</f>
        <v>0</v>
      </c>
      <c r="W161" s="1056">
        <f>SUMIF('E-2 Off-Site Hedge Creation'!$D$12:$D$259,'G-2 Habitat groups'!A161,'E-2 Off-Site Hedge Creation'!$E$12:$E$259)</f>
        <v>0</v>
      </c>
      <c r="X161" s="1056">
        <f>SUMIF('E-2 Off-Site Hedge Creation'!$D$12:$D$259,'G-2 Habitat groups'!A161,'E-2 Off-Site Hedge Creation'!$Z$12:$Z$259)</f>
        <v>0</v>
      </c>
      <c r="Y161" s="1056">
        <f>SUMIF('E-3 Off-Site Hedge Enhancement'!$M$12:$M$259,'G-2 Habitat groups'!A161,'E-3 Off-Site Hedge Enhancement'!$P$12:$P$259)</f>
        <v>0</v>
      </c>
      <c r="Z161" s="1056">
        <f>SUMIF('E-3 Off-Site Hedge Enhancement'!$M$12:$M$259,'G-2 Habitat groups'!A161,'E-3 Off-Site Hedge Enhancement'!$AK$12:$AK$259)</f>
        <v>0</v>
      </c>
      <c r="AA161" s="1056">
        <f t="shared" si="114"/>
        <v>0</v>
      </c>
      <c r="AB161" s="1056">
        <f t="shared" si="115"/>
        <v>0</v>
      </c>
      <c r="AC161" s="1056">
        <f t="shared" si="110"/>
        <v>0</v>
      </c>
      <c r="AD161" s="1056">
        <f t="shared" si="111"/>
        <v>0</v>
      </c>
      <c r="AE161" s="1056">
        <f t="shared" si="112"/>
        <v>0</v>
      </c>
      <c r="AF161" s="1056">
        <f t="shared" si="113"/>
        <v>0</v>
      </c>
    </row>
    <row r="162" spans="1:32" ht="14">
      <c r="A162" s="72" t="str">
        <f>'G-6 Hedgerow Data'!B15</f>
        <v>Non-native and ornamental hedgerow</v>
      </c>
      <c r="B162" s="72" t="s">
        <v>1123</v>
      </c>
      <c r="C162" s="72" t="str">
        <f>'G-6 Hedgerow Data'!C15</f>
        <v>V.Low</v>
      </c>
      <c r="D162" s="72" t="str">
        <f>'G-6 Hedgerow Data'!AH15</f>
        <v>Same distinctiveness band or better</v>
      </c>
      <c r="E162" s="1056">
        <f>SUMIF('B-1 On-Site Hedge Baseline'!$D$10:$D$257,'G-2 Habitat groups'!A162,'B-1 On-Site Hedge Baseline'!$E$10:$E$257)</f>
        <v>0</v>
      </c>
      <c r="F162" s="1056">
        <f>SUMIF('B-1 On-Site Hedge Baseline'!$D$10:$D$257,'G-2 Habitat groups'!A162,'B-1 On-Site Hedge Baseline'!$N$10:$N$257)</f>
        <v>0</v>
      </c>
      <c r="G162" s="1056">
        <f>SUMIF('B-1 On-Site Hedge Baseline'!$D$10:$D$257,'G-2 Habitat groups'!A162,'B-1 On-Site Hedge Baseline'!$P$10:$P$257)</f>
        <v>0</v>
      </c>
      <c r="H162" s="1056">
        <f>SUMIF('B-1 On-Site Hedge Baseline'!$D$10:$D$257,'G-2 Habitat groups'!A162,'B-1 On-Site Hedge Baseline'!$R$10:$R$257)</f>
        <v>0</v>
      </c>
      <c r="I162" s="1056">
        <f>SUMIF('B-1 On-Site Hedge Baseline'!$D$10:$D$257,'G-2 Habitat groups'!A162,'B-1 On-Site Hedge Baseline'!$T$10:$T$257)</f>
        <v>0</v>
      </c>
      <c r="J162" s="1056">
        <f>SUMIF('B-1 On-Site Hedge Baseline'!$D$10:$D$257,'G-2 Habitat groups'!A162,'B-1 On-Site Hedge Baseline'!$U$10:$U$257)</f>
        <v>0</v>
      </c>
      <c r="K162" s="1056">
        <f>SUMIF('B-2 On-Site Hedge Creation'!$D$12:$D$259,'G-2 Habitat groups'!A162,'B-2 On-Site Hedge Creation'!$E$12:$E$259)</f>
        <v>0</v>
      </c>
      <c r="L162" s="1056">
        <f>SUMIF('B-2 On-Site Hedge Creation'!$D$12:$D$259,'G-2 Habitat groups'!A162,'B-2 On-Site Hedge Creation'!$W$12:$W$259)</f>
        <v>0</v>
      </c>
      <c r="M162" s="1056">
        <f>SUMIF('B-3 On-Site Hedge Enhancement'!$M$12:$M$257,'G-2 Habitat groups'!A162,'B-3 On-Site Hedge Enhancement'!$P$12:$P$257)</f>
        <v>0</v>
      </c>
      <c r="N162" s="1056">
        <f>SUMIF('B-3 On-Site Hedge Enhancement'!$M$12:$M$257,'G-2 Habitat groups'!A162,'B-3 On-Site Hedge Enhancement'!$AH$12:$AH$257)</f>
        <v>0</v>
      </c>
      <c r="O162" s="1056">
        <f t="shared" si="106"/>
        <v>0</v>
      </c>
      <c r="P162" s="1056">
        <f t="shared" si="107"/>
        <v>0</v>
      </c>
      <c r="Q162" s="1056">
        <f t="shared" si="108"/>
        <v>0</v>
      </c>
      <c r="R162" s="1056">
        <f t="shared" si="109"/>
        <v>0</v>
      </c>
      <c r="S162" s="1056">
        <f>SUMIF('E-1 Off-Site Hedge Baseline'!$D$10:$D$257,'G-2 Habitat groups'!A162,'E-1 Off-Site Hedge Baseline'!$E$10:$E$257)</f>
        <v>0</v>
      </c>
      <c r="T162" s="1056">
        <f>SUMIF('E-1 Off-Site Hedge Baseline'!$D$10:$D$257,'G-2 Habitat groups'!A162,'E-1 Off-Site Hedge Baseline'!$Q$10:$Q$257)</f>
        <v>0</v>
      </c>
      <c r="U162" s="1056">
        <f>SUMIF('E-1 Off-Site Hedge Baseline'!$D$10:$D$257,'G-2 Habitat groups'!A162,'E-1 Off-Site Hedge Baseline'!$S$10:$S$257)</f>
        <v>0</v>
      </c>
      <c r="V162" s="1056">
        <f>SUMIF('E-1 Off-Site Hedge Baseline'!$D$10:$D$257,'G-2 Habitat groups'!A162,'E-1 Off-Site Hedge Baseline'!$U$10:$U$257)</f>
        <v>0</v>
      </c>
      <c r="W162" s="1056">
        <f>SUMIF('E-2 Off-Site Hedge Creation'!$D$12:$D$259,'G-2 Habitat groups'!A162,'E-2 Off-Site Hedge Creation'!$E$12:$E$259)</f>
        <v>0</v>
      </c>
      <c r="X162" s="1056">
        <f>SUMIF('E-2 Off-Site Hedge Creation'!$D$12:$D$259,'G-2 Habitat groups'!A162,'E-2 Off-Site Hedge Creation'!$Z$12:$Z$259)</f>
        <v>0</v>
      </c>
      <c r="Y162" s="1056">
        <f>SUMIF('E-3 Off-Site Hedge Enhancement'!$M$12:$M$259,'G-2 Habitat groups'!A162,'E-3 Off-Site Hedge Enhancement'!$P$12:$P$259)</f>
        <v>0</v>
      </c>
      <c r="Z162" s="1056">
        <f>SUMIF('E-3 Off-Site Hedge Enhancement'!$M$12:$M$259,'G-2 Habitat groups'!A162,'E-3 Off-Site Hedge Enhancement'!$AK$12:$AK$259)</f>
        <v>0</v>
      </c>
      <c r="AA162" s="1056">
        <f t="shared" si="114"/>
        <v>0</v>
      </c>
      <c r="AB162" s="1056">
        <f t="shared" si="115"/>
        <v>0</v>
      </c>
      <c r="AC162" s="1056">
        <f t="shared" si="110"/>
        <v>0</v>
      </c>
      <c r="AD162" s="1056">
        <f t="shared" si="111"/>
        <v>0</v>
      </c>
      <c r="AE162" s="1056">
        <f t="shared" si="112"/>
        <v>0</v>
      </c>
      <c r="AF162" s="1056">
        <f t="shared" si="113"/>
        <v>0</v>
      </c>
    </row>
    <row r="167" spans="1:1" ht="27.5">
      <c r="A167" s="1075" t="s">
        <v>79</v>
      </c>
    </row>
    <row r="170" spans="1:32" ht="22.5">
      <c r="A170" s="1074">
        <v>1</v>
      </c>
      <c r="B170" s="1074">
        <v>2</v>
      </c>
      <c r="C170" s="1074">
        <v>3</v>
      </c>
      <c r="D170" s="1074">
        <v>4</v>
      </c>
      <c r="E170" s="68">
        <v>5</v>
      </c>
      <c r="F170" s="68">
        <v>6</v>
      </c>
      <c r="G170" s="68">
        <v>7</v>
      </c>
      <c r="H170" s="68">
        <v>8</v>
      </c>
      <c r="I170" s="68">
        <v>9</v>
      </c>
      <c r="J170" s="68">
        <v>10</v>
      </c>
      <c r="K170" s="68">
        <v>11</v>
      </c>
      <c r="L170" s="68">
        <v>12</v>
      </c>
      <c r="M170" s="68">
        <v>13</v>
      </c>
      <c r="N170" s="68">
        <v>14</v>
      </c>
      <c r="O170" s="68">
        <v>15</v>
      </c>
      <c r="P170" s="68">
        <v>16</v>
      </c>
      <c r="Q170" s="68">
        <v>17</v>
      </c>
      <c r="R170" s="68">
        <v>18</v>
      </c>
      <c r="S170" s="68">
        <v>19</v>
      </c>
      <c r="T170" s="68">
        <v>20</v>
      </c>
      <c r="U170" s="68">
        <v>21</v>
      </c>
      <c r="V170" s="68">
        <v>22</v>
      </c>
      <c r="W170" s="68">
        <v>23</v>
      </c>
      <c r="X170" s="68">
        <v>24</v>
      </c>
      <c r="Y170" s="68">
        <v>25</v>
      </c>
      <c r="Z170" s="68">
        <v>26</v>
      </c>
      <c r="AA170" s="68">
        <v>27</v>
      </c>
      <c r="AB170" s="68">
        <v>28</v>
      </c>
      <c r="AC170" s="68">
        <v>29</v>
      </c>
      <c r="AD170" s="68">
        <v>30</v>
      </c>
      <c r="AE170" s="68">
        <v>31</v>
      </c>
      <c r="AF170" s="68">
        <v>32</v>
      </c>
    </row>
    <row r="171" spans="1:32" ht="70">
      <c r="A171" s="1057" t="s">
        <v>1124</v>
      </c>
      <c r="B171" s="1057" t="s">
        <v>201</v>
      </c>
      <c r="C171" s="1057" t="s">
        <v>312</v>
      </c>
      <c r="D171" s="1057" t="s">
        <v>1054</v>
      </c>
      <c r="E171" s="69" t="s">
        <v>1107</v>
      </c>
      <c r="F171" s="69" t="s">
        <v>1056</v>
      </c>
      <c r="G171" s="69" t="s">
        <v>1108</v>
      </c>
      <c r="H171" s="69" t="s">
        <v>1109</v>
      </c>
      <c r="I171" s="69" t="s">
        <v>1125</v>
      </c>
      <c r="J171" s="69" t="s">
        <v>1126</v>
      </c>
      <c r="K171" s="69" t="s">
        <v>1111</v>
      </c>
      <c r="L171" s="69" t="s">
        <v>1062</v>
      </c>
      <c r="M171" s="69" t="s">
        <v>1112</v>
      </c>
      <c r="N171" s="69" t="s">
        <v>1064</v>
      </c>
      <c r="O171" s="69" t="s">
        <v>1113</v>
      </c>
      <c r="P171" s="69" t="s">
        <v>1066</v>
      </c>
      <c r="Q171" s="69" t="s">
        <v>1114</v>
      </c>
      <c r="R171" s="69" t="s">
        <v>1068</v>
      </c>
      <c r="S171" s="69" t="s">
        <v>1115</v>
      </c>
      <c r="T171" s="69" t="s">
        <v>1070</v>
      </c>
      <c r="U171" s="69" t="s">
        <v>1116</v>
      </c>
      <c r="V171" s="69" t="s">
        <v>1072</v>
      </c>
      <c r="W171" s="69" t="s">
        <v>1117</v>
      </c>
      <c r="X171" s="69" t="s">
        <v>1074</v>
      </c>
      <c r="Y171" s="69" t="s">
        <v>1118</v>
      </c>
      <c r="Z171" s="69" t="s">
        <v>1119</v>
      </c>
      <c r="AA171" s="69" t="s">
        <v>1120</v>
      </c>
      <c r="AB171" s="69" t="s">
        <v>1078</v>
      </c>
      <c r="AC171" s="69" t="s">
        <v>1121</v>
      </c>
      <c r="AD171" s="69" t="s">
        <v>1080</v>
      </c>
      <c r="AE171" s="69" t="s">
        <v>1122</v>
      </c>
      <c r="AF171" s="69" t="s">
        <v>1082</v>
      </c>
    </row>
    <row r="172" spans="1:32" ht="14">
      <c r="A172" s="72" t="str">
        <f>'G-7 WaterC'' Data'!B4</f>
        <v>Priority habitat</v>
      </c>
      <c r="B172" s="72" t="s">
        <v>79</v>
      </c>
      <c r="C172" s="72" t="str">
        <f>'G-7 WaterC'' Data'!C4</f>
        <v>V.High</v>
      </c>
      <c r="D172" s="72" t="str">
        <f>'G-7 WaterC'' Data'!AU4</f>
        <v>Loss Unacceptable</v>
      </c>
      <c r="E172" s="274">
        <f>SUMIF('C-1 On-Site WaterC'' Baseline'!$D$10:$D$257,'G-2 Habitat groups'!A172,'C-1 On-Site WaterC'' Baseline'!$E$10:$E$257)</f>
        <v>0</v>
      </c>
      <c r="F172" s="274">
        <f>SUMIF('C-1 On-Site WaterC'' Baseline'!$D$10:$D$257,'G-2 Habitat groups'!A172,'C-1 On-Site WaterC'' Baseline'!$R$10:$R$257)</f>
        <v>0</v>
      </c>
      <c r="G172" s="274">
        <f>SUMIF('C-1 On-Site WaterC'' Baseline'!$D$10:$D$257,'G-2 Habitat groups'!A172,'C-1 On-Site WaterC'' Baseline'!$U$10:$U$257)</f>
        <v>0</v>
      </c>
      <c r="H172" s="274">
        <f>SUMIF('C-1 On-Site WaterC'' Baseline'!$D$10:$D$257,'G-2 Habitat groups'!A172,'C-1 On-Site WaterC'' Baseline'!$W$10:$W$257)+SUMIF('C-1 On-Site WaterC'' Baseline'!$D$10:$D$257,'G-2 Habitat groups'!A172,'C-1 On-Site WaterC'' Baseline'!$AT$10:$AT$257)</f>
        <v>0</v>
      </c>
      <c r="I172" s="274">
        <f>SUMIF('C-1 On-Site WaterC'' Baseline'!$D$10:$D$257,'G-2 Habitat groups'!A172,'C-1 On-Site WaterC'' Baseline'!$Y$10:$Y$257)</f>
        <v>0</v>
      </c>
      <c r="J172" s="274">
        <f>SUMIF('C-1 On-Site WaterC'' Baseline'!$D$10:$D$257,'G-2 Habitat groups'!A172,'C-1 On-Site WaterC'' Baseline'!$Z$10:$Z$257)</f>
        <v>0</v>
      </c>
      <c r="K172" s="274">
        <f>SUMIF('C-2 On-Site WaterC'' Creation'!$C$10:$C$257,'G-2 Habitat groups'!A172,'C-2 On-Site WaterC'' Creation'!$D$10:$D$257)</f>
        <v>0</v>
      </c>
      <c r="L172" s="274">
        <f>SUMIF('C-2 On-Site WaterC'' Creation'!$C$10:$C$257,'G-2 Habitat groups'!A172,'C-2 On-Site WaterC'' Creation'!$Z$10:$Z$257)</f>
        <v>0</v>
      </c>
      <c r="M172" s="274">
        <f>SUMIF('C-3 On-Site WaterC'' Enhancement'!$N$12:$N$257,'G-2 Habitat groups'!A172,'C-3 On-Site WaterC'' Enhancement'!$Q$12:$Q$257)</f>
        <v>0</v>
      </c>
      <c r="N172" s="274">
        <f>SUMIF('C-3 On-Site WaterC'' Enhancement'!$N$12:$N$257,'G-2 Habitat groups'!A172,'C-3 On-Site WaterC'' Enhancement'!$AM$12:$AM$257)</f>
        <v>0</v>
      </c>
      <c r="O172" s="274">
        <f t="shared" si="116" ref="O172:P176">G172+K172+M172</f>
        <v>0</v>
      </c>
      <c r="P172" s="274">
        <f t="shared" si="116"/>
        <v>0</v>
      </c>
      <c r="Q172" s="274">
        <f t="shared" si="117" ref="Q172:R176">O172-E172</f>
        <v>0</v>
      </c>
      <c r="R172" s="274">
        <f t="shared" si="117"/>
        <v>0</v>
      </c>
      <c r="S172" s="274">
        <f>SUMIF('F-1 Off-Site WaterC'' Baseline'!$D$10:$D$257,'G-2 Habitat groups'!A172,'F-1 Off-Site WaterC'' Baseline'!$E$10:$E$257)</f>
        <v>0</v>
      </c>
      <c r="T172" s="274">
        <f>SUMIF('F-1 Off-Site WaterC'' Baseline'!$D$10:$D$257,'G-2 Habitat groups'!A172,'F-1 Off-Site WaterC'' Baseline'!$U$10:$U$257)</f>
        <v>0</v>
      </c>
      <c r="U172" s="274">
        <f>SUMIF('F-1 Off-Site WaterC'' Baseline'!$D$10:$D$257,'G-2 Habitat groups'!A172,'F-1 Off-Site WaterC'' Baseline'!$X$10:$X$257)</f>
        <v>0</v>
      </c>
      <c r="V172" s="274">
        <f>SUMIF('F-1 Off-Site WaterC'' Baseline'!$D$10:$D$257,'G-2 Habitat groups'!A172,'F-1 Off-Site WaterC'' Baseline'!$Z$10:$Z$257)+SUMIF('F-1 Off-Site WaterC'' Baseline'!$D$10:$D$257,'G-2 Habitat groups'!A172,'F-1 Off-Site WaterC'' Baseline'!$AT$10:$AT$257)</f>
        <v>0</v>
      </c>
      <c r="W172" s="274">
        <f>SUMIF('F-2 Off-Site WaterC'' Creation'!$C$12:$C$259,'G-2 Habitat groups'!A172,'F-2 Off-Site WaterC'' Creation'!$D$12:$D$259)</f>
        <v>0</v>
      </c>
      <c r="X172" s="274">
        <f>SUMIF('F-2 Off-Site WaterC'' Creation'!$C$12:$C$259,'G-2 Habitat groups'!A172,'F-2 Off-Site WaterC'' Creation'!$AC$12:$AC$259)</f>
        <v>0</v>
      </c>
      <c r="Y172" s="274">
        <f>SUMIF('F-3 Off-Site WaterC Enhancement'!$N$12:$N$259,'G-2 Habitat groups'!A172,'F-3 Off-Site WaterC Enhancement'!$Q$12:$Q$259)</f>
        <v>0</v>
      </c>
      <c r="Z172" s="274">
        <f>SUMIF('F-3 Off-Site WaterC Enhancement'!$N$12:$N$259,'G-2 Habitat groups'!A172,'F-3 Off-Site WaterC Enhancement'!$AP$12:$AP$259)</f>
        <v>0</v>
      </c>
      <c r="AA172" s="274">
        <f t="shared" si="118" ref="AA172:AB176">U172+W172+Y172</f>
        <v>0</v>
      </c>
      <c r="AB172" s="274">
        <f t="shared" si="118"/>
        <v>0</v>
      </c>
      <c r="AC172" s="274">
        <f t="shared" si="119" ref="AC172:AD176">AA172-S172</f>
        <v>0</v>
      </c>
      <c r="AD172" s="274">
        <f t="shared" si="119"/>
        <v>0</v>
      </c>
      <c r="AE172" s="274">
        <f t="shared" si="120" ref="AE172:AF176">Q172+AC172</f>
        <v>0</v>
      </c>
      <c r="AF172" s="274">
        <f t="shared" si="120"/>
        <v>0</v>
      </c>
    </row>
    <row r="173" spans="1:32" ht="14">
      <c r="A173" s="72" t="str">
        <f>'G-7 WaterC'' Data'!B5</f>
        <v>Other rivers and streams</v>
      </c>
      <c r="B173" s="72" t="s">
        <v>79</v>
      </c>
      <c r="C173" s="72" t="str">
        <f>'G-7 WaterC'' Data'!C5</f>
        <v>High</v>
      </c>
      <c r="D173" s="72" t="str">
        <f>'G-7 WaterC'' Data'!AU5</f>
        <v>Avoid</v>
      </c>
      <c r="E173" s="274">
        <f>SUMIF('C-1 On-Site WaterC'' Baseline'!$D$10:$D$257,'G-2 Habitat groups'!A173,'C-1 On-Site WaterC'' Baseline'!$E$10:$E$257)</f>
        <v>0</v>
      </c>
      <c r="F173" s="274">
        <f>SUMIF('C-1 On-Site WaterC'' Baseline'!$D$10:$D$257,'G-2 Habitat groups'!A173,'C-1 On-Site WaterC'' Baseline'!$R$10:$R$257)</f>
        <v>0</v>
      </c>
      <c r="G173" s="274">
        <f>SUMIF('C-1 On-Site WaterC'' Baseline'!$D$10:$D$257,'G-2 Habitat groups'!A173,'C-1 On-Site WaterC'' Baseline'!$U$10:$U$257)</f>
        <v>0</v>
      </c>
      <c r="H173" s="274">
        <f>SUMIF('C-1 On-Site WaterC'' Baseline'!$D$10:$D$257,'G-2 Habitat groups'!A173,'C-1 On-Site WaterC'' Baseline'!$W$10:$W$257)</f>
        <v>0</v>
      </c>
      <c r="I173" s="274">
        <f>SUMIF('C-1 On-Site WaterC'' Baseline'!$D$10:$D$257,'G-2 Habitat groups'!A173,'C-1 On-Site WaterC'' Baseline'!$Y$10:$Y$257)</f>
        <v>0</v>
      </c>
      <c r="J173" s="274">
        <f>SUMIF('C-1 On-Site WaterC'' Baseline'!$D$10:$D$257,'G-2 Habitat groups'!A173,'C-1 On-Site WaterC'' Baseline'!$Z$10:$Z$257)</f>
        <v>0</v>
      </c>
      <c r="K173" s="274">
        <f>SUMIF('C-2 On-Site WaterC'' Creation'!$C$10:$C$257,'G-2 Habitat groups'!A173,'C-2 On-Site WaterC'' Creation'!$D$10:$D$257)</f>
        <v>0</v>
      </c>
      <c r="L173" s="274">
        <f>SUMIF('C-2 On-Site WaterC'' Creation'!$C$10:$C$257,'G-2 Habitat groups'!A173,'C-2 On-Site WaterC'' Creation'!$Z$10:$Z$257)</f>
        <v>0</v>
      </c>
      <c r="M173" s="274">
        <f>SUMIF('C-3 On-Site WaterC'' Enhancement'!$N$12:$N$257,'G-2 Habitat groups'!A173,'C-3 On-Site WaterC'' Enhancement'!$Q$12:$Q$257)</f>
        <v>0</v>
      </c>
      <c r="N173" s="274">
        <f>SUMIF('C-3 On-Site WaterC'' Enhancement'!$N$12:$N$257,'G-2 Habitat groups'!A173,'C-3 On-Site WaterC'' Enhancement'!$AM$12:$AM$257)</f>
        <v>0</v>
      </c>
      <c r="O173" s="274">
        <f t="shared" si="116"/>
        <v>0</v>
      </c>
      <c r="P173" s="274">
        <f t="shared" si="116"/>
        <v>0</v>
      </c>
      <c r="Q173" s="274">
        <f t="shared" si="117"/>
        <v>0</v>
      </c>
      <c r="R173" s="274">
        <f t="shared" si="117"/>
        <v>0</v>
      </c>
      <c r="S173" s="274">
        <f>SUMIF('F-1 Off-Site WaterC'' Baseline'!$D$10:$D$257,'G-2 Habitat groups'!A173,'F-1 Off-Site WaterC'' Baseline'!$E$10:$E$257)</f>
        <v>0</v>
      </c>
      <c r="T173" s="274">
        <f>SUMIF('F-1 Off-Site WaterC'' Baseline'!$D$10:$D$257,'G-2 Habitat groups'!A173,'F-1 Off-Site WaterC'' Baseline'!$U$10:$U$257)</f>
        <v>0</v>
      </c>
      <c r="U173" s="274">
        <f>SUMIF('F-1 Off-Site WaterC'' Baseline'!$D$10:$D$257,'G-2 Habitat groups'!A173,'F-1 Off-Site WaterC'' Baseline'!$X$10:$X$257)</f>
        <v>0</v>
      </c>
      <c r="V173" s="274">
        <f>SUMIF('F-1 Off-Site WaterC'' Baseline'!$D$10:$D$257,'G-2 Habitat groups'!A173,'F-1 Off-Site WaterC'' Baseline'!$Z$10:$Z$257)</f>
        <v>0</v>
      </c>
      <c r="W173" s="274">
        <f>SUMIF('F-2 Off-Site WaterC'' Creation'!$C$12:$C$259,'G-2 Habitat groups'!A173,'F-2 Off-Site WaterC'' Creation'!$D$12:$D$259)</f>
        <v>0</v>
      </c>
      <c r="X173" s="274">
        <f>SUMIF('F-2 Off-Site WaterC'' Creation'!$C$12:$C$259,'G-2 Habitat groups'!A173,'F-2 Off-Site WaterC'' Creation'!$AC$12:$AC$259)</f>
        <v>0</v>
      </c>
      <c r="Y173" s="274">
        <f>SUMIF('F-3 Off-Site WaterC Enhancement'!$N$12:$N$259,'G-2 Habitat groups'!A173,'F-3 Off-Site WaterC Enhancement'!$Q$12:$Q$259)</f>
        <v>0</v>
      </c>
      <c r="Z173" s="274">
        <f>SUMIF('F-3 Off-Site WaterC Enhancement'!$N$12:$N$259,'G-2 Habitat groups'!A173,'F-3 Off-Site WaterC Enhancement'!$AP$12:$AP$259)</f>
        <v>0</v>
      </c>
      <c r="AA173" s="274">
        <f t="shared" si="118"/>
        <v>0</v>
      </c>
      <c r="AB173" s="274">
        <f t="shared" si="118"/>
        <v>0</v>
      </c>
      <c r="AC173" s="274">
        <f t="shared" si="119"/>
        <v>0</v>
      </c>
      <c r="AD173" s="274">
        <f t="shared" si="119"/>
        <v>0</v>
      </c>
      <c r="AE173" s="274">
        <f t="shared" si="120"/>
        <v>0</v>
      </c>
      <c r="AF173" s="274">
        <f t="shared" si="120"/>
        <v>0</v>
      </c>
    </row>
    <row r="174" spans="1:32" ht="14">
      <c r="A174" s="72" t="str">
        <f>'G-7 WaterC'' Data'!B6</f>
        <v>Ditches</v>
      </c>
      <c r="B174" s="72" t="s">
        <v>79</v>
      </c>
      <c r="C174" s="72" t="str">
        <f>'G-7 WaterC'' Data'!C6</f>
        <v>Medium</v>
      </c>
      <c r="D174" s="72" t="str">
        <f>'G-7 WaterC'' Data'!AU6</f>
        <v>Avoid, Mitigate or Compensate</v>
      </c>
      <c r="E174" s="274">
        <f>SUMIF('C-1 On-Site WaterC'' Baseline'!$D$10:$D$257,'G-2 Habitat groups'!A174,'C-1 On-Site WaterC'' Baseline'!$E$10:$E$257)</f>
        <v>0.01</v>
      </c>
      <c r="F174" s="274">
        <f>SUMIF('C-1 On-Site WaterC'' Baseline'!$D$10:$D$257,'G-2 Habitat groups'!A174,'C-1 On-Site WaterC'' Baseline'!$R$10:$R$257)</f>
        <v>0.06688</v>
      </c>
      <c r="G174" s="274">
        <f>SUMIF('C-1 On-Site WaterC'' Baseline'!$D$10:$D$257,'G-2 Habitat groups'!A174,'C-1 On-Site WaterC'' Baseline'!$U$10:$U$257)</f>
        <v>0.01</v>
      </c>
      <c r="H174" s="274">
        <f>SUMIF('C-1 On-Site WaterC'' Baseline'!$D$10:$D$257,'G-2 Habitat groups'!A174,'C-1 On-Site WaterC'' Baseline'!$W$10:$W$257)</f>
        <v>0.06688</v>
      </c>
      <c r="I174" s="274">
        <f>SUMIF('C-1 On-Site WaterC'' Baseline'!$D$10:$D$257,'G-2 Habitat groups'!A174,'C-1 On-Site WaterC'' Baseline'!$Y$10:$Y$257)</f>
        <v>0</v>
      </c>
      <c r="J174" s="274">
        <f>SUMIF('C-1 On-Site WaterC'' Baseline'!$D$10:$D$257,'G-2 Habitat groups'!A174,'C-1 On-Site WaterC'' Baseline'!$Z$10:$Z$257)</f>
        <v>0</v>
      </c>
      <c r="K174" s="274">
        <f>SUMIF('C-2 On-Site WaterC'' Creation'!$C$10:$C$257,'G-2 Habitat groups'!A174,'C-2 On-Site WaterC'' Creation'!$D$10:$D$257)</f>
        <v>0</v>
      </c>
      <c r="L174" s="274">
        <f>SUMIF('C-2 On-Site WaterC'' Creation'!$C$10:$C$257,'G-2 Habitat groups'!A174,'C-2 On-Site WaterC'' Creation'!$Z$10:$Z$257)</f>
        <v>0</v>
      </c>
      <c r="M174" s="274">
        <f>SUMIF('C-3 On-Site WaterC'' Enhancement'!$N$12:$N$257,'G-2 Habitat groups'!A174,'C-3 On-Site WaterC'' Enhancement'!$Q$12:$Q$257)</f>
        <v>0</v>
      </c>
      <c r="N174" s="274">
        <f>SUMIF('C-3 On-Site WaterC'' Enhancement'!$N$12:$N$257,'G-2 Habitat groups'!A174,'C-3 On-Site WaterC'' Enhancement'!$AM$12:$AM$257)</f>
        <v>0</v>
      </c>
      <c r="O174" s="274">
        <f t="shared" si="116"/>
        <v>0.01</v>
      </c>
      <c r="P174" s="274">
        <f t="shared" si="116"/>
        <v>0.06688</v>
      </c>
      <c r="Q174" s="274">
        <f t="shared" si="117"/>
        <v>0</v>
      </c>
      <c r="R174" s="274">
        <f t="shared" si="117"/>
        <v>0</v>
      </c>
      <c r="S174" s="274">
        <f>SUMIF('F-1 Off-Site WaterC'' Baseline'!$D$10:$D$257,'G-2 Habitat groups'!A174,'F-1 Off-Site WaterC'' Baseline'!$E$10:$E$257)</f>
        <v>0</v>
      </c>
      <c r="T174" s="274">
        <f>SUMIF('F-1 Off-Site WaterC'' Baseline'!$D$10:$D$257,'G-2 Habitat groups'!A174,'F-1 Off-Site WaterC'' Baseline'!$U$10:$U$257)</f>
        <v>0</v>
      </c>
      <c r="U174" s="274">
        <f>SUMIF('F-1 Off-Site WaterC'' Baseline'!$D$10:$D$257,'G-2 Habitat groups'!A174,'F-1 Off-Site WaterC'' Baseline'!$X$10:$X$257)</f>
        <v>0</v>
      </c>
      <c r="V174" s="274">
        <f>SUMIF('F-1 Off-Site WaterC'' Baseline'!$D$10:$D$257,'G-2 Habitat groups'!A174,'F-1 Off-Site WaterC'' Baseline'!$Z$10:$Z$257)</f>
        <v>0</v>
      </c>
      <c r="W174" s="274">
        <f>SUMIF('F-2 Off-Site WaterC'' Creation'!$C$12:$C$259,'G-2 Habitat groups'!A174,'F-2 Off-Site WaterC'' Creation'!$D$12:$D$259)</f>
        <v>0</v>
      </c>
      <c r="X174" s="274">
        <f>SUMIF('F-2 Off-Site WaterC'' Creation'!$C$12:$C$259,'G-2 Habitat groups'!A174,'F-2 Off-Site WaterC'' Creation'!$AC$12:$AC$259)</f>
        <v>0</v>
      </c>
      <c r="Y174" s="274">
        <f>SUMIF('F-3 Off-Site WaterC Enhancement'!$N$12:$N$259,'G-2 Habitat groups'!A174,'F-3 Off-Site WaterC Enhancement'!$Q$12:$Q$259)</f>
        <v>0</v>
      </c>
      <c r="Z174" s="274">
        <f>SUMIF('F-3 Off-Site WaterC Enhancement'!$N$12:$N$259,'G-2 Habitat groups'!A174,'F-3 Off-Site WaterC Enhancement'!$AP$12:$AP$259)</f>
        <v>0</v>
      </c>
      <c r="AA174" s="274">
        <f t="shared" si="118"/>
        <v>0</v>
      </c>
      <c r="AB174" s="274">
        <f t="shared" si="118"/>
        <v>0</v>
      </c>
      <c r="AC174" s="274">
        <f t="shared" si="119"/>
        <v>0</v>
      </c>
      <c r="AD174" s="274">
        <f t="shared" si="119"/>
        <v>0</v>
      </c>
      <c r="AE174" s="274">
        <f t="shared" si="120"/>
        <v>0</v>
      </c>
      <c r="AF174" s="274">
        <f t="shared" si="120"/>
        <v>0</v>
      </c>
    </row>
    <row r="175" spans="1:32" ht="14">
      <c r="A175" s="72" t="str">
        <f>'G-7 WaterC'' Data'!B7</f>
        <v>Canals</v>
      </c>
      <c r="B175" s="72" t="s">
        <v>79</v>
      </c>
      <c r="C175" s="72" t="str">
        <f>'G-7 WaterC'' Data'!C7</f>
        <v>Medium</v>
      </c>
      <c r="D175" s="72" t="str">
        <f>'G-7 WaterC'' Data'!AU6</f>
        <v>Avoid, Mitigate or Compensate</v>
      </c>
      <c r="E175" s="274">
        <f>SUMIF('C-1 On-Site WaterC'' Baseline'!$D$10:$D$257,'G-2 Habitat groups'!A175,'C-1 On-Site WaterC'' Baseline'!$E$10:$E$257)</f>
        <v>0</v>
      </c>
      <c r="F175" s="274">
        <f>SUMIF('C-1 On-Site WaterC'' Baseline'!$D$10:$D$257,'G-2 Habitat groups'!A175,'C-1 On-Site WaterC'' Baseline'!$R$10:$R$257)</f>
        <v>0</v>
      </c>
      <c r="G175" s="274">
        <f>SUMIF('C-1 On-Site WaterC'' Baseline'!$D$10:$D$257,'G-2 Habitat groups'!A175,'C-1 On-Site WaterC'' Baseline'!$U$10:$U$257)</f>
        <v>0</v>
      </c>
      <c r="H175" s="274">
        <f>SUMIF('C-1 On-Site WaterC'' Baseline'!$D$10:$D$257,'G-2 Habitat groups'!A175,'C-1 On-Site WaterC'' Baseline'!$W$10:$W$257)</f>
        <v>0</v>
      </c>
      <c r="I175" s="274">
        <f>SUMIF('C-1 On-Site WaterC'' Baseline'!$D$10:$D$257,'G-2 Habitat groups'!A175,'C-1 On-Site WaterC'' Baseline'!$Y$10:$Y$257)</f>
        <v>0</v>
      </c>
      <c r="J175" s="274">
        <f>SUMIF('C-1 On-Site WaterC'' Baseline'!$D$10:$D$257,'G-2 Habitat groups'!A175,'C-1 On-Site WaterC'' Baseline'!$Z$10:$Z$257)</f>
        <v>0</v>
      </c>
      <c r="K175" s="274">
        <f>SUMIF('C-2 On-Site WaterC'' Creation'!$C$10:$C$257,'G-2 Habitat groups'!A175,'C-2 On-Site WaterC'' Creation'!$D$10:$D$257)</f>
        <v>0</v>
      </c>
      <c r="L175" s="274">
        <f>SUMIF('C-2 On-Site WaterC'' Creation'!$C$10:$C$257,'G-2 Habitat groups'!A175,'C-2 On-Site WaterC'' Creation'!$Z$10:$Z$257)</f>
        <v>0</v>
      </c>
      <c r="M175" s="274">
        <f>SUMIF('C-3 On-Site WaterC'' Enhancement'!$N$12:$N$257,'G-2 Habitat groups'!A175,'C-3 On-Site WaterC'' Enhancement'!$Q$12:$Q$257)</f>
        <v>0</v>
      </c>
      <c r="N175" s="274">
        <f>SUMIF('C-3 On-Site WaterC'' Enhancement'!$N$12:$N$257,'G-2 Habitat groups'!A175,'C-3 On-Site WaterC'' Enhancement'!$AM$12:$AM$257)</f>
        <v>0</v>
      </c>
      <c r="O175" s="274">
        <f t="shared" si="116"/>
        <v>0</v>
      </c>
      <c r="P175" s="274">
        <f t="shared" si="116"/>
        <v>0</v>
      </c>
      <c r="Q175" s="274">
        <f t="shared" si="117"/>
        <v>0</v>
      </c>
      <c r="R175" s="274">
        <f t="shared" si="117"/>
        <v>0</v>
      </c>
      <c r="S175" s="274">
        <f>SUMIF('F-1 Off-Site WaterC'' Baseline'!$D$10:$D$257,'G-2 Habitat groups'!A175,'F-1 Off-Site WaterC'' Baseline'!$E$10:$E$257)</f>
        <v>0</v>
      </c>
      <c r="T175" s="274">
        <f>SUMIF('F-1 Off-Site WaterC'' Baseline'!$D$10:$D$257,'G-2 Habitat groups'!A175,'F-1 Off-Site WaterC'' Baseline'!$U$10:$U$257)</f>
        <v>0</v>
      </c>
      <c r="U175" s="274">
        <f>SUMIF('F-1 Off-Site WaterC'' Baseline'!$D$10:$D$257,'G-2 Habitat groups'!A175,'F-1 Off-Site WaterC'' Baseline'!$X$10:$X$257)</f>
        <v>0</v>
      </c>
      <c r="V175" s="274">
        <f>SUMIF('F-1 Off-Site WaterC'' Baseline'!$D$10:$D$257,'G-2 Habitat groups'!A175,'F-1 Off-Site WaterC'' Baseline'!$Z$10:$Z$257)</f>
        <v>0</v>
      </c>
      <c r="W175" s="274">
        <f>SUMIF('F-2 Off-Site WaterC'' Creation'!$C$12:$C$259,'G-2 Habitat groups'!A175,'F-2 Off-Site WaterC'' Creation'!$D$12:$D$259)</f>
        <v>0</v>
      </c>
      <c r="X175" s="274">
        <f>SUMIF('F-2 Off-Site WaterC'' Creation'!$C$12:$C$259,'G-2 Habitat groups'!A175,'F-2 Off-Site WaterC'' Creation'!$AC$12:$AC$259)</f>
        <v>0</v>
      </c>
      <c r="Y175" s="274">
        <f>SUMIF('F-3 Off-Site WaterC Enhancement'!$N$12:$N$259,'G-2 Habitat groups'!A175,'F-3 Off-Site WaterC Enhancement'!$Q$12:$Q$259)</f>
        <v>0</v>
      </c>
      <c r="Z175" s="274">
        <f>SUMIF('F-3 Off-Site WaterC Enhancement'!$N$12:$N$259,'G-2 Habitat groups'!A175,'F-3 Off-Site WaterC Enhancement'!$AP$12:$AP$259)</f>
        <v>0</v>
      </c>
      <c r="AA175" s="274">
        <f t="shared" si="118"/>
        <v>0</v>
      </c>
      <c r="AB175" s="274">
        <f t="shared" si="118"/>
        <v>0</v>
      </c>
      <c r="AC175" s="274">
        <f t="shared" si="119"/>
        <v>0</v>
      </c>
      <c r="AD175" s="274">
        <f t="shared" si="119"/>
        <v>0</v>
      </c>
      <c r="AE175" s="274">
        <f t="shared" si="120"/>
        <v>0</v>
      </c>
      <c r="AF175" s="274">
        <f t="shared" si="120"/>
        <v>0</v>
      </c>
    </row>
    <row r="176" spans="1:32" ht="14">
      <c r="A176" s="72" t="str">
        <f>'G-7 WaterC'' Data'!B8</f>
        <v>Culvert</v>
      </c>
      <c r="B176" s="72" t="s">
        <v>79</v>
      </c>
      <c r="C176" s="72" t="str">
        <f>'G-7 WaterC'' Data'!C8</f>
        <v>Low</v>
      </c>
      <c r="D176" s="72" t="str">
        <f>'G-7 WaterC'' Data'!AU7</f>
        <v>Mitigate or Compensate</v>
      </c>
      <c r="E176" s="274">
        <f>SUMIF('C-1 On-Site WaterC'' Baseline'!$D$10:$D$257,'G-2 Habitat groups'!A176,'C-1 On-Site WaterC'' Baseline'!$E$10:$E$257)</f>
        <v>0</v>
      </c>
      <c r="F176" s="274">
        <f>SUMIF('C-1 On-Site WaterC'' Baseline'!$D$10:$D$257,'G-2 Habitat groups'!A176,'C-1 On-Site WaterC'' Baseline'!$R$10:$R$257)</f>
        <v>0</v>
      </c>
      <c r="G176" s="274">
        <f>SUMIF('C-1 On-Site WaterC'' Baseline'!$D$10:$D$257,'G-2 Habitat groups'!A176,'C-1 On-Site WaterC'' Baseline'!$U$10:$U$257)</f>
        <v>0</v>
      </c>
      <c r="H176" s="274">
        <f>SUMIF('C-1 On-Site WaterC'' Baseline'!$D$10:$D$257,'G-2 Habitat groups'!A176,'C-1 On-Site WaterC'' Baseline'!$W$10:$W$257)</f>
        <v>0</v>
      </c>
      <c r="I176" s="274">
        <f>SUMIF('C-1 On-Site WaterC'' Baseline'!$D$10:$D$257,'G-2 Habitat groups'!A176,'C-1 On-Site WaterC'' Baseline'!$Y$10:$Y$257)</f>
        <v>0</v>
      </c>
      <c r="J176" s="274">
        <f>SUMIF('C-1 On-Site WaterC'' Baseline'!$D$10:$D$257,'G-2 Habitat groups'!A176,'C-1 On-Site WaterC'' Baseline'!$Z$10:$Z$257)</f>
        <v>0</v>
      </c>
      <c r="K176" s="274">
        <f>SUMIF('C-2 On-Site WaterC'' Creation'!$C$10:$C$257,'G-2 Habitat groups'!A176,'C-2 On-Site WaterC'' Creation'!$D$10:$D$257)</f>
        <v>0</v>
      </c>
      <c r="L176" s="274">
        <f>SUMIF('C-2 On-Site WaterC'' Creation'!$C$10:$C$257,'G-2 Habitat groups'!A176,'C-2 On-Site WaterC'' Creation'!$Z$10:$Z$257)</f>
        <v>0</v>
      </c>
      <c r="M176" s="274">
        <f>SUMIF('C-3 On-Site WaterC'' Enhancement'!$N$12:$N$257,'G-2 Habitat groups'!A176,'C-3 On-Site WaterC'' Enhancement'!$Q$12:$Q$257)</f>
        <v>0</v>
      </c>
      <c r="N176" s="274">
        <f>SUMIF('C-3 On-Site WaterC'' Enhancement'!$N$12:$N$257,'G-2 Habitat groups'!A176,'C-3 On-Site WaterC'' Enhancement'!$AM$12:$AM$257)</f>
        <v>0</v>
      </c>
      <c r="O176" s="343">
        <f t="shared" si="116"/>
        <v>0</v>
      </c>
      <c r="P176" s="343">
        <f t="shared" si="116"/>
        <v>0</v>
      </c>
      <c r="Q176" s="343">
        <f t="shared" si="117"/>
        <v>0</v>
      </c>
      <c r="R176" s="343">
        <f t="shared" si="117"/>
        <v>0</v>
      </c>
      <c r="S176" s="274">
        <f>SUMIF('F-1 Off-Site WaterC'' Baseline'!$D$10:$D$257,'G-2 Habitat groups'!A176,'F-1 Off-Site WaterC'' Baseline'!$E$10:$E$257)</f>
        <v>0</v>
      </c>
      <c r="T176" s="274">
        <f>SUMIF('F-1 Off-Site WaterC'' Baseline'!$D$10:$D$257,'G-2 Habitat groups'!A176,'F-1 Off-Site WaterC'' Baseline'!$U$10:$U$257)</f>
        <v>0</v>
      </c>
      <c r="U176" s="274">
        <f>SUMIF('F-1 Off-Site WaterC'' Baseline'!$D$10:$D$257,'G-2 Habitat groups'!A176,'F-1 Off-Site WaterC'' Baseline'!$X$10:$X$257)</f>
        <v>0</v>
      </c>
      <c r="V176" s="274">
        <f>SUMIF('F-1 Off-Site WaterC'' Baseline'!$D$10:$D$257,'G-2 Habitat groups'!A176,'F-1 Off-Site WaterC'' Baseline'!$Z$10:$Z$257)</f>
        <v>0</v>
      </c>
      <c r="W176" s="274">
        <f>SUMIF('F-2 Off-Site WaterC'' Creation'!$C$12:$C$259,'G-2 Habitat groups'!A176,'F-2 Off-Site WaterC'' Creation'!$D$12:$D$259)</f>
        <v>0</v>
      </c>
      <c r="X176" s="274">
        <f>SUMIF('F-2 Off-Site WaterC'' Creation'!$C$12:$C$259,'G-2 Habitat groups'!A176,'F-2 Off-Site WaterC'' Creation'!$AC$12:$AC$259)</f>
        <v>0</v>
      </c>
      <c r="Y176" s="274">
        <f>SUMIF('F-3 Off-Site WaterC Enhancement'!$N$12:$N$259,'G-2 Habitat groups'!A176,'F-3 Off-Site WaterC Enhancement'!$Q$12:$Q$259)</f>
        <v>0</v>
      </c>
      <c r="Z176" s="274">
        <f>SUMIF('F-3 Off-Site WaterC Enhancement'!$N$12:$N$259,'G-2 Habitat groups'!A176,'F-3 Off-Site WaterC Enhancement'!$AP$12:$AP$259)</f>
        <v>0</v>
      </c>
      <c r="AA176" s="343">
        <f t="shared" si="118"/>
        <v>0</v>
      </c>
      <c r="AB176" s="343">
        <f t="shared" si="118"/>
        <v>0</v>
      </c>
      <c r="AC176" s="343">
        <f t="shared" si="119"/>
        <v>0</v>
      </c>
      <c r="AD176" s="343">
        <f t="shared" si="119"/>
        <v>0</v>
      </c>
      <c r="AE176" s="343">
        <f t="shared" si="120"/>
        <v>0</v>
      </c>
      <c r="AF176" s="343">
        <f t="shared" si="120"/>
        <v>0</v>
      </c>
    </row>
  </sheetData>
  <sheetProtection algorithmName="SHA-512" hashValue="499Ve5/49im6zFuKbFBw2mcm8vdtaMQpTJ+Mb9Vw6HURsNrO4cMfgdJbQV3nE/OA0tgGQCJRd4MrZ7zxdBEH7A==" saltValue="dRpEibVfHP4CLf68iCnTAQ==" spinCount="100000" sheet="1" objects="1" scenarios="1"/>
  <customSheetViews>
    <customSheetView guid="{8bda793c-c9c5-4fc6-a0a5-f1109f6d4f22}" state="hidden" topLeftCell="AS84">
      <selection pane="topLeft" activeCell="D14" sqref="D14"/>
      <pageMargins left="0.75" right="0.75" top="1" bottom="1" header="0.5" footer="0.5"/>
    </customSheetView>
  </customSheetViews>
  <mergeCells count="4">
    <mergeCell ref="AU27:AU28"/>
    <mergeCell ref="AJ1:AP1"/>
    <mergeCell ref="AU1:BG1"/>
    <mergeCell ref="A1:AF1"/>
  </mergeCells>
  <conditionalFormatting sqref="R4:R140 AD4:AF140">
    <cfRule type="cellIs" priority="16" dxfId="1271" operator="lessThan">
      <formula>0</formula>
    </cfRule>
  </conditionalFormatting>
  <conditionalFormatting sqref="R150:R162">
    <cfRule type="cellIs" priority="6" dxfId="1271" operator="lessThan">
      <formula>0</formula>
    </cfRule>
  </conditionalFormatting>
  <conditionalFormatting sqref="AD150:AD162">
    <cfRule type="cellIs" priority="5" dxfId="1271" operator="lessThan">
      <formula>0</formula>
    </cfRule>
  </conditionalFormatting>
  <conditionalFormatting sqref="AE150:AF162">
    <cfRule type="cellIs" priority="4" dxfId="1271" operator="lessThan">
      <formula>0</formula>
    </cfRule>
  </conditionalFormatting>
  <conditionalFormatting sqref="AE172:AF176">
    <cfRule type="cellIs" priority="1" dxfId="1271" operator="lessThan">
      <formula>0</formula>
    </cfRule>
  </conditionalFormatting>
  <conditionalFormatting sqref="R172:R176">
    <cfRule type="cellIs" priority="3" dxfId="1271" operator="lessThan">
      <formula>0</formula>
    </cfRule>
  </conditionalFormatting>
  <conditionalFormatting sqref="AD172:AD176">
    <cfRule type="cellIs" priority="2" dxfId="1271" operator="lessThan">
      <formula>0</formula>
    </cfRule>
  </conditionalFormatting>
  <pageMargins left="0.7" right="0.7" top="0.75" bottom="0.75" header="0.3" footer="0.3"/>
  <pageSetup orientation="portrait" paperSize="9"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Z134"/>
  <sheetViews>
    <sheetView zoomScale="80" zoomScaleNormal="80" workbookViewId="0" topLeftCell="A1">
      <selection pane="topLeft" activeCell="A1" sqref="A1:E1"/>
    </sheetView>
  </sheetViews>
  <sheetFormatPr defaultColWidth="15.4542857142857" defaultRowHeight="14" zeroHeight="1"/>
  <cols>
    <col min="1" max="1" width="76.4285714285714" style="30" customWidth="1"/>
    <col min="2" max="2" width="28.5714285714286" style="30" bestFit="1" customWidth="1"/>
    <col min="3" max="3" width="18.5714285714286" style="30" bestFit="1" customWidth="1"/>
    <col min="4" max="4" width="30.5714285714286" style="30" bestFit="1" customWidth="1"/>
    <col min="5" max="5" width="18.5714285714286" style="30" bestFit="1" customWidth="1"/>
    <col min="6" max="7" width="9.42857142857143" style="30" customWidth="1"/>
    <col min="8" max="8" width="16.4285714285714" style="30" hidden="1" customWidth="1"/>
    <col min="9" max="9" width="32.5714285714286" style="30" hidden="1" customWidth="1"/>
    <col min="10" max="10" width="8.42857142857143" style="30" hidden="1" customWidth="1"/>
    <col min="11" max="11" width="9.42857142857143" style="30" customWidth="1"/>
    <col min="12" max="12" width="38.5714285714286" style="30" customWidth="1"/>
    <col min="13" max="13" width="26.4285714285714" style="30" customWidth="1"/>
    <col min="14" max="14" width="12" style="30" bestFit="1" customWidth="1"/>
    <col min="15" max="15" width="9.42857142857143" style="30" customWidth="1"/>
    <col min="16" max="16" width="11.5714285714286" style="30" bestFit="1" customWidth="1"/>
    <col min="17" max="17" width="9.42857142857143" style="30" customWidth="1"/>
    <col min="18" max="18" width="18.5714285714286" style="30" customWidth="1"/>
    <col min="19" max="19" width="40" style="30" customWidth="1"/>
    <col min="20" max="20" width="19.4285714285714" style="30" customWidth="1"/>
    <col min="21" max="21" width="9.42857142857143" style="30" customWidth="1"/>
    <col min="22" max="22" width="11.4285714285714" style="30" customWidth="1"/>
    <col min="23" max="23" width="12" style="30" bestFit="1" customWidth="1"/>
    <col min="24" max="24" width="14.4285714285714" style="30" hidden="1" customWidth="1"/>
    <col min="25" max="25" width="17.5714285714286" style="30" bestFit="1" customWidth="1"/>
    <col min="26" max="26" width="10.4285714285714" style="30" bestFit="1" customWidth="1"/>
    <col min="27" max="27" width="9.42857142857143" style="30" customWidth="1"/>
    <col min="28" max="16380" width="0" style="30" hidden="1" customWidth="1"/>
    <col min="16381" max="16384" width="15.4285714285714" style="30"/>
  </cols>
  <sheetData>
    <row r="1" spans="1:17" ht="36.65" customHeight="1" thickBot="1">
      <c r="A1" s="1890" t="s">
        <v>1127</v>
      </c>
      <c r="B1" s="1891"/>
      <c r="C1" s="1891"/>
      <c r="D1" s="1891"/>
      <c r="E1" s="1892"/>
      <c r="J1" s="187"/>
      <c r="L1" s="1890" t="s">
        <v>1128</v>
      </c>
      <c r="M1" s="1891"/>
      <c r="N1" s="1892"/>
      <c r="P1" s="1890" t="s">
        <v>435</v>
      </c>
      <c r="Q1" s="1892"/>
    </row>
    <row r="2" spans="1:26" ht="42" customHeight="1" thickBot="1">
      <c r="A2" s="966" t="s">
        <v>1053</v>
      </c>
      <c r="B2" s="92" t="s">
        <v>629</v>
      </c>
      <c r="C2" s="92" t="s">
        <v>481</v>
      </c>
      <c r="D2" s="92" t="s">
        <v>630</v>
      </c>
      <c r="E2" s="967" t="s">
        <v>481</v>
      </c>
      <c r="H2" s="1896" t="s">
        <v>1129</v>
      </c>
      <c r="I2" s="1897"/>
      <c r="J2" s="1898"/>
      <c r="L2" s="1893" t="s">
        <v>1130</v>
      </c>
      <c r="M2" s="1894"/>
      <c r="N2" s="1895"/>
      <c r="P2" s="966" t="s">
        <v>102</v>
      </c>
      <c r="Q2" s="967" t="s">
        <v>1131</v>
      </c>
      <c r="S2" s="1416" t="s">
        <v>1132</v>
      </c>
      <c r="T2" s="1418"/>
      <c r="W2" s="1890" t="s">
        <v>119</v>
      </c>
      <c r="X2" s="1891"/>
      <c r="Y2" s="1891"/>
      <c r="Z2" s="1892"/>
    </row>
    <row r="3" spans="1:26" ht="14">
      <c r="A3" s="975" t="str">
        <f>'G-1 All Habitats'!B104</f>
        <v>Coastal lagoons - Coastal lagoons</v>
      </c>
      <c r="B3" s="316" t="str">
        <f>'G-1 All Habitats'!N104</f>
        <v>Medium</v>
      </c>
      <c r="C3" s="316">
        <f>'G-1 All Habitats'!O104</f>
        <v>0.67</v>
      </c>
      <c r="D3" s="316" t="str">
        <f>'G-1 All Habitats'!P104</f>
        <v>Medium</v>
      </c>
      <c r="E3" s="353">
        <f>'G-1 All Habitats'!Q104</f>
        <v>0.67</v>
      </c>
      <c r="H3" s="69" t="s">
        <v>328</v>
      </c>
      <c r="I3" s="181" t="s">
        <v>1133</v>
      </c>
      <c r="J3" s="181" t="s">
        <v>1134</v>
      </c>
      <c r="L3" s="973" t="s">
        <v>1133</v>
      </c>
      <c r="M3" s="69" t="s">
        <v>314</v>
      </c>
      <c r="N3" s="974" t="s">
        <v>481</v>
      </c>
      <c r="P3" s="86" t="s">
        <v>197</v>
      </c>
      <c r="Q3" s="353">
        <v>1</v>
      </c>
      <c r="S3" s="966" t="s">
        <v>102</v>
      </c>
      <c r="T3" s="967" t="s">
        <v>481</v>
      </c>
      <c r="W3" s="966" t="s">
        <v>39</v>
      </c>
      <c r="X3" s="970" t="s">
        <v>1135</v>
      </c>
      <c r="Y3" s="970" t="s">
        <v>1136</v>
      </c>
      <c r="Z3" s="967" t="s">
        <v>1137</v>
      </c>
    </row>
    <row r="4" spans="1:26" ht="28">
      <c r="A4" s="975" t="str">
        <f>'G-1 All Habitats'!B113</f>
        <v>Coastal saltmarsh - Saltmarshes and saline reedbeds</v>
      </c>
      <c r="B4" s="316" t="str">
        <f>'G-1 All Habitats'!N113</f>
        <v>High</v>
      </c>
      <c r="C4" s="316">
        <f>'G-1 All Habitats'!O113</f>
        <v>0.33</v>
      </c>
      <c r="D4" s="316" t="str">
        <f>'G-1 All Habitats'!P113</f>
        <v>Medium</v>
      </c>
      <c r="E4" s="353">
        <f>'G-1 All Habitats'!Q113</f>
        <v>0.67</v>
      </c>
      <c r="H4" s="87" t="s">
        <v>194</v>
      </c>
      <c r="I4" s="103" t="s">
        <v>1138</v>
      </c>
      <c r="J4" s="129">
        <v>1.15</v>
      </c>
      <c r="L4" s="86" t="s">
        <v>1139</v>
      </c>
      <c r="M4" s="295" t="s">
        <v>1140</v>
      </c>
      <c r="N4" s="353">
        <v>1.15</v>
      </c>
      <c r="P4" s="86" t="s">
        <v>46</v>
      </c>
      <c r="Q4" s="353">
        <v>0.67</v>
      </c>
      <c r="S4" s="86" t="s">
        <v>1141</v>
      </c>
      <c r="T4" s="299">
        <v>1</v>
      </c>
      <c r="W4" s="170" t="s">
        <v>45</v>
      </c>
      <c r="X4" s="316">
        <v>0.30</v>
      </c>
      <c r="Y4" s="316">
        <f>X4*12</f>
        <v>3.5999999999999996</v>
      </c>
      <c r="Z4" s="971">
        <f>3.14159265358979*(Y4*Y4)/10000</f>
        <v>0.004071504079052367</v>
      </c>
    </row>
    <row r="5" spans="1:26" ht="47.9" customHeight="1">
      <c r="A5" s="975" t="str">
        <f>'G-1 All Habitats'!B3</f>
        <v>Cropland - Arable field margins cultivated annually</v>
      </c>
      <c r="B5" s="316" t="str">
        <f>'G-1 All Habitats'!N3</f>
        <v>Low</v>
      </c>
      <c r="C5" s="316">
        <f>'G-1 All Habitats'!O3</f>
        <v>1</v>
      </c>
      <c r="D5" s="316" t="str">
        <f>'G-1 All Habitats'!P3</f>
        <v>Low</v>
      </c>
      <c r="E5" s="353">
        <f>'G-1 All Habitats'!Q3</f>
        <v>1</v>
      </c>
      <c r="H5" s="87" t="s">
        <v>46</v>
      </c>
      <c r="I5" s="103" t="s">
        <v>1142</v>
      </c>
      <c r="J5" s="129">
        <v>1.1</v>
      </c>
      <c r="L5" s="86" t="s">
        <v>351</v>
      </c>
      <c r="M5" s="295" t="s">
        <v>1143</v>
      </c>
      <c r="N5" s="353">
        <v>1.1</v>
      </c>
      <c r="P5" s="86" t="s">
        <v>194</v>
      </c>
      <c r="Q5" s="353">
        <v>0.33</v>
      </c>
      <c r="S5" s="86" t="s">
        <v>1144</v>
      </c>
      <c r="T5" s="299">
        <v>0.75</v>
      </c>
      <c r="W5" s="170" t="s">
        <v>46</v>
      </c>
      <c r="X5" s="316">
        <v>0.60</v>
      </c>
      <c r="Y5" s="316">
        <f>X5*12</f>
        <v>7.199999999999999</v>
      </c>
      <c r="Z5" s="971">
        <f>3.14159265358979*(Y5*Y5)/10000</f>
        <v>0.01628601631620947</v>
      </c>
    </row>
    <row r="6" spans="1:26" ht="28.5" thickBot="1">
      <c r="A6" s="975" t="str">
        <f>'G-1 All Habitats'!B4</f>
        <v>Cropland - Arable field margins game bird mix</v>
      </c>
      <c r="B6" s="316" t="str">
        <f>'G-1 All Habitats'!N4</f>
        <v>Low</v>
      </c>
      <c r="C6" s="316">
        <f>'G-1 All Habitats'!O4</f>
        <v>1</v>
      </c>
      <c r="D6" s="316" t="str">
        <f>'G-1 All Habitats'!P4</f>
        <v>Low</v>
      </c>
      <c r="E6" s="353">
        <f>'G-1 All Habitats'!Q4</f>
        <v>1</v>
      </c>
      <c r="H6" s="188" t="s">
        <v>197</v>
      </c>
      <c r="I6" s="103" t="s">
        <v>1145</v>
      </c>
      <c r="J6" s="129">
        <v>1</v>
      </c>
      <c r="L6" s="65" t="s">
        <v>346</v>
      </c>
      <c r="M6" s="284" t="s">
        <v>1146</v>
      </c>
      <c r="N6" s="345">
        <v>1</v>
      </c>
      <c r="P6" s="65" t="s">
        <v>192</v>
      </c>
      <c r="Q6" s="345">
        <v>0.10</v>
      </c>
      <c r="S6" s="968" t="s">
        <v>1147</v>
      </c>
      <c r="T6" s="299">
        <v>0.50</v>
      </c>
      <c r="W6" s="170" t="s">
        <v>47</v>
      </c>
      <c r="X6" s="316">
        <v>0.90</v>
      </c>
      <c r="Y6" s="316">
        <f>X6*12</f>
        <v>10.80</v>
      </c>
      <c r="Z6" s="971">
        <f>3.14159265358979*(Y6*Y6)/10000</f>
        <v>0.03664353671147131</v>
      </c>
    </row>
    <row r="7" spans="1:26" ht="50.15" customHeight="1" thickBot="1">
      <c r="A7" s="975" t="str">
        <f>'G-1 All Habitats'!B5</f>
        <v>Cropland - Arable field margins pollen and nectar</v>
      </c>
      <c r="B7" s="316" t="str">
        <f>'G-1 All Habitats'!N5</f>
        <v>Low</v>
      </c>
      <c r="C7" s="316">
        <f>'G-1 All Habitats'!O5</f>
        <v>1</v>
      </c>
      <c r="D7" s="316" t="str">
        <f>'G-1 All Habitats'!P5</f>
        <v>Low</v>
      </c>
      <c r="E7" s="353">
        <f>'G-1 All Habitats'!Q5</f>
        <v>1</v>
      </c>
      <c r="H7" s="188" t="s">
        <v>1148</v>
      </c>
      <c r="I7" s="103" t="s">
        <v>1149</v>
      </c>
      <c r="J7" s="129">
        <v>1</v>
      </c>
      <c r="S7" s="968" t="s">
        <v>1150</v>
      </c>
      <c r="T7" s="353">
        <v>1</v>
      </c>
      <c r="W7" s="217" t="s">
        <v>48</v>
      </c>
      <c r="X7" s="301">
        <v>1.30</v>
      </c>
      <c r="Y7" s="301">
        <f>X7*12</f>
        <v>15.60</v>
      </c>
      <c r="Z7" s="972">
        <f>3.14159265358979*(Y7*Y7)/10000</f>
        <v>0.07645379881776114</v>
      </c>
    </row>
    <row r="8" spans="1:20" ht="50.15" customHeight="1">
      <c r="A8" s="975" t="str">
        <f>'G-1 All Habitats'!B6</f>
        <v>Cropland - Arable field margins tussocky</v>
      </c>
      <c r="B8" s="316" t="str">
        <f>'G-1 All Habitats'!N6</f>
        <v>Low</v>
      </c>
      <c r="C8" s="316">
        <f>'G-1 All Habitats'!O6</f>
        <v>1</v>
      </c>
      <c r="D8" s="316" t="str">
        <f>'G-1 All Habitats'!P6</f>
        <v>Low</v>
      </c>
      <c r="E8" s="353">
        <f>'G-1 All Habitats'!Q6</f>
        <v>1</v>
      </c>
      <c r="S8" s="968" t="s">
        <v>1151</v>
      </c>
      <c r="T8" s="299">
        <v>1</v>
      </c>
    </row>
    <row r="9" spans="1:20" ht="50.15" customHeight="1">
      <c r="A9" s="975" t="str">
        <f>'G-1 All Habitats'!B7</f>
        <v>Cropland - Cereal crops</v>
      </c>
      <c r="B9" s="316" t="str">
        <f>'G-1 All Habitats'!N7</f>
        <v>Low</v>
      </c>
      <c r="C9" s="316">
        <f>'G-1 All Habitats'!O7</f>
        <v>1</v>
      </c>
      <c r="D9" s="316" t="str">
        <f>'G-1 All Habitats'!P7</f>
        <v>Low</v>
      </c>
      <c r="E9" s="353">
        <f>'G-1 All Habitats'!Q7</f>
        <v>1</v>
      </c>
      <c r="S9" s="968" t="s">
        <v>1152</v>
      </c>
      <c r="T9" s="299">
        <v>0.75</v>
      </c>
    </row>
    <row r="10" spans="1:20" ht="42.5" thickBot="1">
      <c r="A10" s="975" t="str">
        <f>'G-1 All Habitats'!B8</f>
        <v>Cropland - Winter stubble</v>
      </c>
      <c r="B10" s="316" t="str">
        <f>'G-1 All Habitats'!N8</f>
        <v>Low</v>
      </c>
      <c r="C10" s="316">
        <f>'G-1 All Habitats'!O8</f>
        <v>1</v>
      </c>
      <c r="D10" s="316" t="str">
        <f>'G-1 All Habitats'!P8</f>
        <v>Low</v>
      </c>
      <c r="E10" s="353">
        <f>'G-1 All Habitats'!Q8</f>
        <v>1</v>
      </c>
      <c r="S10" s="969" t="s">
        <v>1153</v>
      </c>
      <c r="T10" s="278">
        <v>0.50</v>
      </c>
    </row>
    <row r="11" spans="1:5" ht="14">
      <c r="A11" s="975" t="str">
        <f>'G-1 All Habitats'!B9</f>
        <v>Cropland - Horticulture</v>
      </c>
      <c r="B11" s="316" t="str">
        <f>'G-1 All Habitats'!N9</f>
        <v>Low</v>
      </c>
      <c r="C11" s="316">
        <f>'G-1 All Habitats'!O9</f>
        <v>1</v>
      </c>
      <c r="D11" s="316" t="str">
        <f>'G-1 All Habitats'!P9</f>
        <v>Low</v>
      </c>
      <c r="E11" s="353">
        <f>'G-1 All Habitats'!Q9</f>
        <v>1</v>
      </c>
    </row>
    <row r="12" spans="1:5" ht="14">
      <c r="A12" s="975" t="str">
        <f>'G-1 All Habitats'!B10</f>
        <v>Cropland - Intensive orchards</v>
      </c>
      <c r="B12" s="316" t="str">
        <f>'G-1 All Habitats'!N10</f>
        <v>Low</v>
      </c>
      <c r="C12" s="316">
        <f>'G-1 All Habitats'!O10</f>
        <v>1</v>
      </c>
      <c r="D12" s="316" t="str">
        <f>'G-1 All Habitats'!P10</f>
        <v>Low</v>
      </c>
      <c r="E12" s="353">
        <f>'G-1 All Habitats'!Q10</f>
        <v>1</v>
      </c>
    </row>
    <row r="13" spans="1:5" ht="14">
      <c r="A13" s="975" t="str">
        <f>'G-1 All Habitats'!B11</f>
        <v>Cropland - Non-cereal crops</v>
      </c>
      <c r="B13" s="316" t="str">
        <f>'G-1 All Habitats'!N11</f>
        <v>Low</v>
      </c>
      <c r="C13" s="316">
        <f>'G-1 All Habitats'!O11</f>
        <v>1</v>
      </c>
      <c r="D13" s="316" t="str">
        <f>'G-1 All Habitats'!P11</f>
        <v>Low</v>
      </c>
      <c r="E13" s="353">
        <f>'G-1 All Habitats'!Q11</f>
        <v>1</v>
      </c>
    </row>
    <row r="14" spans="1:5" ht="14">
      <c r="A14" s="975" t="str">
        <f>'G-1 All Habitats'!B12</f>
        <v>Cropland - Temporary grass and clover leys</v>
      </c>
      <c r="B14" s="316" t="str">
        <f>'G-1 All Habitats'!N12</f>
        <v>Low</v>
      </c>
      <c r="C14" s="316">
        <f>'G-1 All Habitats'!O12</f>
        <v>1</v>
      </c>
      <c r="D14" s="316" t="str">
        <f>'G-1 All Habitats'!P12</f>
        <v>Low</v>
      </c>
      <c r="E14" s="353">
        <f>'G-1 All Habitats'!Q12</f>
        <v>1</v>
      </c>
    </row>
    <row r="15" spans="1:5" ht="14">
      <c r="A15" s="975" t="str">
        <f>'G-1 All Habitats'!B13</f>
        <v>Grassland - Traditional orchards</v>
      </c>
      <c r="B15" s="316" t="str">
        <f>'G-1 All Habitats'!N13</f>
        <v>Low</v>
      </c>
      <c r="C15" s="316">
        <f>'G-1 All Habitats'!O13</f>
        <v>1</v>
      </c>
      <c r="D15" s="316" t="str">
        <f>'G-1 All Habitats'!P13</f>
        <v>Medium</v>
      </c>
      <c r="E15" s="353">
        <f>'G-1 All Habitats'!Q13</f>
        <v>0.67</v>
      </c>
    </row>
    <row r="16" spans="1:5" ht="14">
      <c r="A16" s="975" t="str">
        <f>'G-1 All Habitats'!B14</f>
        <v>Grassland - Bracken</v>
      </c>
      <c r="B16" s="316" t="str">
        <f>'G-1 All Habitats'!N14</f>
        <v>Low</v>
      </c>
      <c r="C16" s="316">
        <f>'G-1 All Habitats'!O14</f>
        <v>1</v>
      </c>
      <c r="D16" s="316" t="str">
        <f>'G-1 All Habitats'!P14</f>
        <v>Low</v>
      </c>
      <c r="E16" s="353">
        <f>'G-1 All Habitats'!Q14</f>
        <v>1</v>
      </c>
    </row>
    <row r="17" spans="1:5" ht="14">
      <c r="A17" s="975" t="str">
        <f>'G-1 All Habitats'!B15</f>
        <v>Grassland - Floodplain wetland mosaic and CFGM</v>
      </c>
      <c r="B17" s="316" t="str">
        <f>'G-1 All Habitats'!N15</f>
        <v>High</v>
      </c>
      <c r="C17" s="316">
        <f>'G-1 All Habitats'!O15</f>
        <v>0.33</v>
      </c>
      <c r="D17" s="316" t="str">
        <f>'G-1 All Habitats'!P15</f>
        <v>Medium</v>
      </c>
      <c r="E17" s="353">
        <f>'G-1 All Habitats'!Q15</f>
        <v>0.67</v>
      </c>
    </row>
    <row r="18" spans="1:5" ht="14">
      <c r="A18" s="975" t="str">
        <f>'G-1 All Habitats'!B16</f>
        <v>Grassland - Lowland calcareous grassland</v>
      </c>
      <c r="B18" s="316" t="str">
        <f>'G-1 All Habitats'!N16</f>
        <v>High</v>
      </c>
      <c r="C18" s="316">
        <f>'G-1 All Habitats'!O16</f>
        <v>0.33</v>
      </c>
      <c r="D18" s="316" t="str">
        <f>'G-1 All Habitats'!P16</f>
        <v>High</v>
      </c>
      <c r="E18" s="353">
        <f>'G-1 All Habitats'!Q16</f>
        <v>0.33</v>
      </c>
    </row>
    <row r="19" spans="1:5" ht="14">
      <c r="A19" s="975" t="str">
        <f>'G-1 All Habitats'!B17</f>
        <v>Grassland - Lowland dry acid grassland</v>
      </c>
      <c r="B19" s="316" t="str">
        <f>'G-1 All Habitats'!N17</f>
        <v>High</v>
      </c>
      <c r="C19" s="316">
        <f>'G-1 All Habitats'!O17</f>
        <v>0.33</v>
      </c>
      <c r="D19" s="316" t="str">
        <f>'G-1 All Habitats'!P17</f>
        <v>High</v>
      </c>
      <c r="E19" s="353">
        <f>'G-1 All Habitats'!Q17</f>
        <v>0.33</v>
      </c>
    </row>
    <row r="20" spans="1:5" ht="14">
      <c r="A20" s="975" t="str">
        <f>'G-1 All Habitats'!B18</f>
        <v>Grassland - Lowland meadows</v>
      </c>
      <c r="B20" s="316" t="str">
        <f>'G-1 All Habitats'!N18</f>
        <v>High</v>
      </c>
      <c r="C20" s="316">
        <f>'G-1 All Habitats'!O18</f>
        <v>0.33</v>
      </c>
      <c r="D20" s="316" t="str">
        <f>'G-1 All Habitats'!P18</f>
        <v>Medium</v>
      </c>
      <c r="E20" s="353">
        <f>'G-1 All Habitats'!Q18</f>
        <v>0.67</v>
      </c>
    </row>
    <row r="21" spans="1:5" ht="14">
      <c r="A21" s="975" t="str">
        <f>'G-1 All Habitats'!B19</f>
        <v>Grassland - Modified grassland</v>
      </c>
      <c r="B21" s="316" t="str">
        <f>'G-1 All Habitats'!N19</f>
        <v>Low</v>
      </c>
      <c r="C21" s="316">
        <f>'G-1 All Habitats'!O19</f>
        <v>1</v>
      </c>
      <c r="D21" s="316" t="str">
        <f>'G-1 All Habitats'!P19</f>
        <v>Low</v>
      </c>
      <c r="E21" s="353">
        <f>'G-1 All Habitats'!Q19</f>
        <v>1</v>
      </c>
    </row>
    <row r="22" spans="1:5" ht="14">
      <c r="A22" s="975" t="str">
        <f>'G-1 All Habitats'!B20</f>
        <v>Grassland - Other lowland acid grassland</v>
      </c>
      <c r="B22" s="316" t="str">
        <f>'G-1 All Habitats'!N20</f>
        <v>Low</v>
      </c>
      <c r="C22" s="316">
        <f>'G-1 All Habitats'!O20</f>
        <v>1</v>
      </c>
      <c r="D22" s="316" t="str">
        <f>'G-1 All Habitats'!P20</f>
        <v>Low</v>
      </c>
      <c r="E22" s="353">
        <f>'G-1 All Habitats'!Q20</f>
        <v>1</v>
      </c>
    </row>
    <row r="23" spans="1:5" ht="14">
      <c r="A23" s="975" t="str">
        <f>'G-1 All Habitats'!B21</f>
        <v>Grassland - Other neutral grassland</v>
      </c>
      <c r="B23" s="316" t="str">
        <f>'G-1 All Habitats'!N21</f>
        <v>Low</v>
      </c>
      <c r="C23" s="316">
        <f>'G-1 All Habitats'!O21</f>
        <v>1</v>
      </c>
      <c r="D23" s="316" t="str">
        <f>'G-1 All Habitats'!P21</f>
        <v>Low</v>
      </c>
      <c r="E23" s="353">
        <f>'G-1 All Habitats'!Q21</f>
        <v>1</v>
      </c>
    </row>
    <row r="24" spans="1:5" ht="14">
      <c r="A24" s="975" t="str">
        <f>'G-1 All Habitats'!B22</f>
        <v>Grassland - Tall herb communities (H6430)</v>
      </c>
      <c r="B24" s="316" t="str">
        <f>'G-1 All Habitats'!N22</f>
        <v>High</v>
      </c>
      <c r="C24" s="316">
        <f>'G-1 All Habitats'!O22</f>
        <v>0.33</v>
      </c>
      <c r="D24" s="316" t="str">
        <f>'G-1 All Habitats'!P22</f>
        <v>High</v>
      </c>
      <c r="E24" s="353">
        <f>'G-1 All Habitats'!Q22</f>
        <v>0.33</v>
      </c>
    </row>
    <row r="25" spans="1:5" ht="14">
      <c r="A25" s="975" t="str">
        <f>'G-1 All Habitats'!B23</f>
        <v>Grassland - Upland acid grassland</v>
      </c>
      <c r="B25" s="316" t="str">
        <f>'G-1 All Habitats'!N23</f>
        <v>Low</v>
      </c>
      <c r="C25" s="316">
        <f>'G-1 All Habitats'!O23</f>
        <v>1</v>
      </c>
      <c r="D25" s="316" t="str">
        <f>'G-1 All Habitats'!P23</f>
        <v>Low</v>
      </c>
      <c r="E25" s="353">
        <f>'G-1 All Habitats'!Q23</f>
        <v>1</v>
      </c>
    </row>
    <row r="26" spans="1:5" ht="14">
      <c r="A26" s="975" t="str">
        <f>'G-1 All Habitats'!B24</f>
        <v>Grassland - Upland calcareous grassland</v>
      </c>
      <c r="B26" s="316" t="str">
        <f>'G-1 All Habitats'!N24</f>
        <v>High</v>
      </c>
      <c r="C26" s="316">
        <f>'G-1 All Habitats'!O24</f>
        <v>0.33</v>
      </c>
      <c r="D26" s="316" t="str">
        <f>'G-1 All Habitats'!P24</f>
        <v>High</v>
      </c>
      <c r="E26" s="353">
        <f>'G-1 All Habitats'!Q24</f>
        <v>0.33</v>
      </c>
    </row>
    <row r="27" spans="1:5" ht="14">
      <c r="A27" s="975" t="str">
        <f>'G-1 All Habitats'!B25</f>
        <v>Grassland - Upland hay meadows</v>
      </c>
      <c r="B27" s="316" t="str">
        <f>'G-1 All Habitats'!N25</f>
        <v>High</v>
      </c>
      <c r="C27" s="316">
        <f>'G-1 All Habitats'!O25</f>
        <v>0.33</v>
      </c>
      <c r="D27" s="316" t="str">
        <f>'G-1 All Habitats'!P25</f>
        <v>Medium</v>
      </c>
      <c r="E27" s="353">
        <f>'G-1 All Habitats'!Q25</f>
        <v>0.67</v>
      </c>
    </row>
    <row r="28" spans="1:5" ht="14">
      <c r="A28" s="975" t="str">
        <f>'G-1 All Habitats'!B26</f>
        <v>Heathland and shrub - Blackthorn scrub</v>
      </c>
      <c r="B28" s="316" t="str">
        <f>'G-1 All Habitats'!N26</f>
        <v>Low</v>
      </c>
      <c r="C28" s="316">
        <f>'G-1 All Habitats'!O26</f>
        <v>1</v>
      </c>
      <c r="D28" s="316" t="str">
        <f>'G-1 All Habitats'!P26</f>
        <v>Low</v>
      </c>
      <c r="E28" s="353">
        <f>'G-1 All Habitats'!Q26</f>
        <v>1</v>
      </c>
    </row>
    <row r="29" spans="1:5" ht="14">
      <c r="A29" s="975" t="str">
        <f>'G-1 All Habitats'!B27</f>
        <v>Heathland and shrub - Bramble scrub</v>
      </c>
      <c r="B29" s="316" t="str">
        <f>'G-1 All Habitats'!N27</f>
        <v>Low</v>
      </c>
      <c r="C29" s="316">
        <f>'G-1 All Habitats'!O27</f>
        <v>1</v>
      </c>
      <c r="D29" s="316" t="str">
        <f>'G-1 All Habitats'!P27</f>
        <v>Low</v>
      </c>
      <c r="E29" s="353">
        <f>'G-1 All Habitats'!Q27</f>
        <v>1</v>
      </c>
    </row>
    <row r="30" spans="1:5" ht="14">
      <c r="A30" s="975" t="str">
        <f>'G-1 All Habitats'!B28</f>
        <v>Heathland and shrub - Gorse scrub</v>
      </c>
      <c r="B30" s="316" t="str">
        <f>'G-1 All Habitats'!N28</f>
        <v>Low</v>
      </c>
      <c r="C30" s="316">
        <f>'G-1 All Habitats'!O28</f>
        <v>1</v>
      </c>
      <c r="D30" s="316" t="str">
        <f>'G-1 All Habitats'!P28</f>
        <v>Low</v>
      </c>
      <c r="E30" s="353">
        <f>'G-1 All Habitats'!Q28</f>
        <v>1</v>
      </c>
    </row>
    <row r="31" spans="1:5" ht="14">
      <c r="A31" s="975" t="str">
        <f>'G-1 All Habitats'!B29</f>
        <v>Heathland and shrub - Hawthorn scrub</v>
      </c>
      <c r="B31" s="316" t="str">
        <f>'G-1 All Habitats'!N29</f>
        <v>Low</v>
      </c>
      <c r="C31" s="316">
        <f>'G-1 All Habitats'!O29</f>
        <v>1</v>
      </c>
      <c r="D31" s="316" t="str">
        <f>'G-1 All Habitats'!P29</f>
        <v>Low</v>
      </c>
      <c r="E31" s="353">
        <f>'G-1 All Habitats'!Q29</f>
        <v>1</v>
      </c>
    </row>
    <row r="32" spans="1:5" ht="14">
      <c r="A32" s="975" t="str">
        <f>'G-1 All Habitats'!B30</f>
        <v>Heathland and shrub - Hazel scrub</v>
      </c>
      <c r="B32" s="316" t="s">
        <v>46</v>
      </c>
      <c r="C32" s="316">
        <f>'G-1 All Habitats'!O30</f>
        <v>0.67</v>
      </c>
      <c r="D32" s="316" t="s">
        <v>197</v>
      </c>
      <c r="E32" s="353">
        <f>'G-1 All Habitats'!Q30</f>
        <v>1</v>
      </c>
    </row>
    <row r="33" spans="1:5" ht="14">
      <c r="A33" s="975" t="s">
        <v>779</v>
      </c>
      <c r="B33" s="316" t="s">
        <v>46</v>
      </c>
      <c r="C33" s="316">
        <v>0.67</v>
      </c>
      <c r="D33" s="316" t="s">
        <v>197</v>
      </c>
      <c r="E33" s="353">
        <v>1</v>
      </c>
    </row>
    <row r="34" spans="1:5" ht="14">
      <c r="A34" s="975" t="str">
        <f>'G-1 All Habitats'!B31</f>
        <v>Heathland and shrub - Lowland heathland</v>
      </c>
      <c r="B34" s="316" t="str">
        <f>'G-1 All Habitats'!N31</f>
        <v>High</v>
      </c>
      <c r="C34" s="316">
        <f>'G-1 All Habitats'!O31</f>
        <v>0.33</v>
      </c>
      <c r="D34" s="316" t="str">
        <f>'G-1 All Habitats'!P31</f>
        <v>Medium</v>
      </c>
      <c r="E34" s="353">
        <f>'G-1 All Habitats'!Q31</f>
        <v>0.67</v>
      </c>
    </row>
    <row r="35" spans="1:5" ht="14">
      <c r="A35" s="975" t="str">
        <f>'G-1 All Habitats'!B32</f>
        <v>Heathland and shrub - Mixed scrub</v>
      </c>
      <c r="B35" s="316" t="str">
        <f>'G-1 All Habitats'!N32</f>
        <v>Low</v>
      </c>
      <c r="C35" s="316">
        <f>'G-1 All Habitats'!O32</f>
        <v>1</v>
      </c>
      <c r="D35" s="316" t="str">
        <f>'G-1 All Habitats'!P32</f>
        <v>Low</v>
      </c>
      <c r="E35" s="353">
        <f>'G-1 All Habitats'!Q32</f>
        <v>1</v>
      </c>
    </row>
    <row r="36" spans="1:5" ht="14">
      <c r="A36" s="975" t="str">
        <f>'G-1 All Habitats'!B33</f>
        <v>Heathland and shrub - Mountain heaths and willow scrub</v>
      </c>
      <c r="B36" s="316" t="str">
        <f>'G-1 All Habitats'!N33</f>
        <v>High</v>
      </c>
      <c r="C36" s="316">
        <f>'G-1 All Habitats'!O33</f>
        <v>0.33</v>
      </c>
      <c r="D36" s="316" t="str">
        <f>'G-1 All Habitats'!P33</f>
        <v>High</v>
      </c>
      <c r="E36" s="353">
        <f>'G-1 All Habitats'!Q33</f>
        <v>0.33</v>
      </c>
    </row>
    <row r="37" spans="1:5" ht="14">
      <c r="A37" s="975" t="str">
        <f>'G-1 All Habitats'!B34</f>
        <v>Heathland and shrub - Rhododendron scrub</v>
      </c>
      <c r="B37" s="316" t="str">
        <f>'G-1 All Habitats'!N34</f>
        <v>Low</v>
      </c>
      <c r="C37" s="316">
        <f>'G-1 All Habitats'!O34</f>
        <v>1</v>
      </c>
      <c r="D37" s="316" t="str">
        <f>'G-1 All Habitats'!P34</f>
        <v>Low</v>
      </c>
      <c r="E37" s="353">
        <f>'G-1 All Habitats'!Q34</f>
        <v>1</v>
      </c>
    </row>
    <row r="38" spans="1:5" ht="14">
      <c r="A38" s="975" t="str">
        <f>'G-1 All Habitats'!B35</f>
        <v>Heathland and shrub - Dunes with sea buckthorn (H2160)</v>
      </c>
      <c r="B38" s="316" t="str">
        <f>'G-1 All Habitats'!N35</f>
        <v>Medium</v>
      </c>
      <c r="C38" s="316">
        <f>'G-1 All Habitats'!O35</f>
        <v>0.67</v>
      </c>
      <c r="D38" s="316" t="str">
        <f>'G-1 All Habitats'!P35</f>
        <v>Low</v>
      </c>
      <c r="E38" s="353">
        <f>'G-1 All Habitats'!Q35</f>
        <v>1</v>
      </c>
    </row>
    <row r="39" spans="1:5" ht="14">
      <c r="A39" s="975" t="str">
        <f>'G-1 All Habitats'!B36</f>
        <v>Heathland and shrub - Other sea buckthorn scrub</v>
      </c>
      <c r="B39" s="316" t="str">
        <f>'G-1 All Habitats'!N36</f>
        <v>Low</v>
      </c>
      <c r="C39" s="316">
        <f>'G-1 All Habitats'!O36</f>
        <v>1</v>
      </c>
      <c r="D39" s="316" t="str">
        <f>'G-1 All Habitats'!P36</f>
        <v>Low</v>
      </c>
      <c r="E39" s="353">
        <f>'G-1 All Habitats'!Q36</f>
        <v>1</v>
      </c>
    </row>
    <row r="40" spans="1:5" ht="14">
      <c r="A40" s="975" t="str">
        <f>'G-1 All Habitats'!B38</f>
        <v>Heathland and shrub - Upland heathland</v>
      </c>
      <c r="B40" s="316" t="str">
        <f>'G-1 All Habitats'!N38</f>
        <v>Medium</v>
      </c>
      <c r="C40" s="316">
        <f>'G-1 All Habitats'!O38</f>
        <v>0.67</v>
      </c>
      <c r="D40" s="316" t="str">
        <f>'G-1 All Habitats'!P38</f>
        <v>Medium</v>
      </c>
      <c r="E40" s="353">
        <f>'G-1 All Habitats'!Q38</f>
        <v>0.67</v>
      </c>
    </row>
    <row r="41" spans="1:5" ht="14">
      <c r="A41" s="975" t="str">
        <f>'G-1 All Habitats'!B129</f>
        <v>Intertidal sediment - Artificial littoral biogenic reefs</v>
      </c>
      <c r="B41" s="316" t="str">
        <f>'G-1 All Habitats'!N129</f>
        <v>High</v>
      </c>
      <c r="C41" s="316">
        <f>'G-1 All Habitats'!O129</f>
        <v>0.33</v>
      </c>
      <c r="D41" s="316" t="str">
        <f>'G-1 All Habitats'!P129</f>
        <v>Medium</v>
      </c>
      <c r="E41" s="353">
        <f>'G-1 All Habitats'!Q129</f>
        <v>0.67</v>
      </c>
    </row>
    <row r="42" spans="1:5" ht="14">
      <c r="A42" s="975" t="str">
        <f>'G-1 All Habitats'!B123</f>
        <v>Intertidal sediment - Artificial littoral coarse sediment</v>
      </c>
      <c r="B42" s="316" t="str">
        <f>'G-1 All Habitats'!N123</f>
        <v>Medium</v>
      </c>
      <c r="C42" s="316">
        <f>'G-1 All Habitats'!O123</f>
        <v>0.67</v>
      </c>
      <c r="D42" s="316" t="str">
        <f>'G-1 All Habitats'!P123</f>
        <v>Medium</v>
      </c>
      <c r="E42" s="353">
        <f>'G-1 All Habitats'!Q123</f>
        <v>0.67</v>
      </c>
    </row>
    <row r="43" spans="1:5" ht="14">
      <c r="A43" s="975" t="str">
        <f>'G-1 All Habitats'!B127</f>
        <v>Intertidal sediment - Artificial littoral mixed sediments</v>
      </c>
      <c r="B43" s="316" t="str">
        <f>'G-1 All Habitats'!N127</f>
        <v>High</v>
      </c>
      <c r="C43" s="316">
        <f>'G-1 All Habitats'!O127</f>
        <v>0.33</v>
      </c>
      <c r="D43" s="316" t="str">
        <f>'G-1 All Habitats'!P127</f>
        <v>Medium</v>
      </c>
      <c r="E43" s="353">
        <f>'G-1 All Habitats'!Q127</f>
        <v>0.67</v>
      </c>
    </row>
    <row r="44" spans="1:5" ht="14">
      <c r="A44" s="975" t="str">
        <f>'G-1 All Habitats'!B126</f>
        <v>Intertidal sediment - Artificial littoral muddy sand</v>
      </c>
      <c r="B44" s="316" t="str">
        <f>'G-1 All Habitats'!N126</f>
        <v>High</v>
      </c>
      <c r="C44" s="316">
        <f>'G-1 All Habitats'!O126</f>
        <v>0.33</v>
      </c>
      <c r="D44" s="316" t="str">
        <f>'G-1 All Habitats'!P126</f>
        <v>Medium</v>
      </c>
      <c r="E44" s="353">
        <f>'G-1 All Habitats'!Q126</f>
        <v>0.67</v>
      </c>
    </row>
    <row r="45" spans="1:5" ht="14">
      <c r="A45" s="975" t="str">
        <f>'G-1 All Habitats'!B128</f>
        <v>Intertidal sediment - Artificial littoral seagrass</v>
      </c>
      <c r="B45" s="316" t="str">
        <f>'G-1 All Habitats'!N128</f>
        <v>High</v>
      </c>
      <c r="C45" s="316">
        <f>'G-1 All Habitats'!O128</f>
        <v>0.33</v>
      </c>
      <c r="D45" s="316" t="str">
        <f>'G-1 All Habitats'!P128</f>
        <v>High</v>
      </c>
      <c r="E45" s="353">
        <f>'G-1 All Habitats'!Q128</f>
        <v>0.33</v>
      </c>
    </row>
    <row r="46" spans="1:5" ht="14">
      <c r="A46" s="975" t="str">
        <f>'G-1 All Habitats'!B122</f>
        <v>Intertidal sediment - Features of littoral sediment</v>
      </c>
      <c r="B46" s="316" t="str">
        <f>'G-1 All Habitats'!N122</f>
        <v>High</v>
      </c>
      <c r="C46" s="316">
        <f>'G-1 All Habitats'!O122</f>
        <v>0.33</v>
      </c>
      <c r="D46" s="316" t="str">
        <f>'G-1 All Habitats'!P122</f>
        <v>Medium</v>
      </c>
      <c r="E46" s="353">
        <f>'G-1 All Habitats'!Q122</f>
        <v>0.67</v>
      </c>
    </row>
    <row r="47" spans="1:5" ht="14">
      <c r="A47" s="975" t="str">
        <f>'G-1 All Habitats'!B121</f>
        <v>Intertidal sediment - Littoral biogenic reefs - Sabellaria</v>
      </c>
      <c r="B47" s="316" t="str">
        <f>'G-1 All Habitats'!N121</f>
        <v>High</v>
      </c>
      <c r="C47" s="316">
        <f>'G-1 All Habitats'!O121</f>
        <v>0.33</v>
      </c>
      <c r="D47" s="316" t="str">
        <f>'G-1 All Habitats'!P121</f>
        <v>Medium</v>
      </c>
      <c r="E47" s="353">
        <f>'G-1 All Habitats'!Q121</f>
        <v>0.67</v>
      </c>
    </row>
    <row r="48" spans="1:5" ht="14">
      <c r="A48" s="975" t="str">
        <f>'G-1 All Habitats'!B115</f>
        <v>Intertidal sediment - Littoral coarse sediment</v>
      </c>
      <c r="B48" s="316" t="str">
        <f>'G-1 All Habitats'!N115</f>
        <v>Medium</v>
      </c>
      <c r="C48" s="316">
        <f>'G-1 All Habitats'!O115</f>
        <v>0.67</v>
      </c>
      <c r="D48" s="316" t="str">
        <f>'G-1 All Habitats'!P115</f>
        <v>Medium</v>
      </c>
      <c r="E48" s="353">
        <f>'G-1 All Habitats'!Q115</f>
        <v>0.67</v>
      </c>
    </row>
    <row r="49" spans="1:5" ht="14">
      <c r="A49" s="975" t="str">
        <f>'G-1 All Habitats'!B117</f>
        <v>Intertidal sediment - Littoral mixed sediments</v>
      </c>
      <c r="B49" s="316" t="str">
        <f>'G-1 All Habitats'!N117</f>
        <v>High</v>
      </c>
      <c r="C49" s="316">
        <f>'G-1 All Habitats'!O117</f>
        <v>0.33</v>
      </c>
      <c r="D49" s="316" t="str">
        <f>'G-1 All Habitats'!P117</f>
        <v>Medium</v>
      </c>
      <c r="E49" s="353">
        <f>'G-1 All Habitats'!Q117</f>
        <v>0.67</v>
      </c>
    </row>
    <row r="50" spans="1:5" ht="14">
      <c r="A50" s="975" t="str">
        <f>'G-1 All Habitats'!B116</f>
        <v>Intertidal sediment - Littoral mud</v>
      </c>
      <c r="B50" s="316" t="str">
        <f>'G-1 All Habitats'!N116</f>
        <v>High</v>
      </c>
      <c r="C50" s="316">
        <f>'G-1 All Habitats'!O116</f>
        <v>0.33</v>
      </c>
      <c r="D50" s="316" t="str">
        <f>'G-1 All Habitats'!P116</f>
        <v>Medium</v>
      </c>
      <c r="E50" s="353">
        <f>'G-1 All Habitats'!Q116</f>
        <v>0.67</v>
      </c>
    </row>
    <row r="51" spans="1:5" ht="14">
      <c r="A51" s="975" t="str">
        <f>'G-1 All Habitats'!B118</f>
        <v>Intertidal sediment - Littoral seagrass</v>
      </c>
      <c r="B51" s="316" t="str">
        <f>'G-1 All Habitats'!N118</f>
        <v>High</v>
      </c>
      <c r="C51" s="316">
        <f>'G-1 All Habitats'!O118</f>
        <v>0.33</v>
      </c>
      <c r="D51" s="316" t="str">
        <f>'G-1 All Habitats'!P118</f>
        <v>High</v>
      </c>
      <c r="E51" s="353">
        <f>'G-1 All Habitats'!Q118</f>
        <v>0.33</v>
      </c>
    </row>
    <row r="52" spans="1:5" ht="14">
      <c r="A52" s="975" t="str">
        <f>'G-1 All Habitats'!B119</f>
        <v>Intertidal sediment - Littoral seagrass on peat, clay or chalk</v>
      </c>
      <c r="B52" s="316" t="str">
        <f>'G-1 All Habitats'!N119</f>
        <v>Very High</v>
      </c>
      <c r="C52" s="316">
        <f>'G-1 All Habitats'!O119</f>
        <v>0.10</v>
      </c>
      <c r="D52" s="316" t="str">
        <f>'G-1 All Habitats'!P119</f>
        <v>High</v>
      </c>
      <c r="E52" s="353">
        <f>'G-1 All Habitats'!Q119</f>
        <v>0.33</v>
      </c>
    </row>
    <row r="53" spans="1:5" ht="14">
      <c r="A53" s="975" t="str">
        <f>'G-1 All Habitats'!B39</f>
        <v>Lakes - Aquifer fed naturally fluctuating water bodies</v>
      </c>
      <c r="B53" s="316" t="str">
        <f>'G-1 All Habitats'!N39</f>
        <v>Very High</v>
      </c>
      <c r="C53" s="316">
        <f>'G-1 All Habitats'!O39</f>
        <v>0.10</v>
      </c>
      <c r="D53" s="316" t="str">
        <f>'G-1 All Habitats'!P39</f>
        <v>High</v>
      </c>
      <c r="E53" s="353">
        <f>'G-1 All Habitats'!Q39</f>
        <v>0.33</v>
      </c>
    </row>
    <row r="54" spans="1:5" ht="14">
      <c r="A54" s="975" t="str">
        <f>'G-1 All Habitats'!B40</f>
        <v>Lakes - Ornamental lake or pond</v>
      </c>
      <c r="B54" s="316" t="str">
        <f>'G-1 All Habitats'!N40</f>
        <v>Low</v>
      </c>
      <c r="C54" s="316">
        <f>'G-1 All Habitats'!O40</f>
        <v>1</v>
      </c>
      <c r="D54" s="316" t="str">
        <f>'G-1 All Habitats'!P40</f>
        <v>High</v>
      </c>
      <c r="E54" s="353">
        <f>'G-1 All Habitats'!Q40</f>
        <v>0.33</v>
      </c>
    </row>
    <row r="55" spans="1:5" ht="14">
      <c r="A55" s="975" t="str">
        <f>'G-1 All Habitats'!B41</f>
        <v>Lakes - High alkalinity lakes</v>
      </c>
      <c r="B55" s="316" t="str">
        <f>'G-1 All Habitats'!N41</f>
        <v>High</v>
      </c>
      <c r="C55" s="316">
        <f>'G-1 All Habitats'!O41</f>
        <v>0.33</v>
      </c>
      <c r="D55" s="316" t="str">
        <f>'G-1 All Habitats'!P41</f>
        <v>High</v>
      </c>
      <c r="E55" s="353">
        <f>'G-1 All Habitats'!Q41</f>
        <v>0.33</v>
      </c>
    </row>
    <row r="56" spans="1:5" ht="14">
      <c r="A56" s="975" t="str">
        <f>'G-1 All Habitats'!B42</f>
        <v>Lakes - Low alkalinity lakes</v>
      </c>
      <c r="B56" s="316" t="str">
        <f>'G-1 All Habitats'!N42</f>
        <v>High</v>
      </c>
      <c r="C56" s="316">
        <f>'G-1 All Habitats'!O42</f>
        <v>0.33</v>
      </c>
      <c r="D56" s="316" t="str">
        <f>'G-1 All Habitats'!P42</f>
        <v>Medium</v>
      </c>
      <c r="E56" s="353">
        <f>'G-1 All Habitats'!Q42</f>
        <v>0.67</v>
      </c>
    </row>
    <row r="57" spans="1:5" ht="14">
      <c r="A57" s="975" t="str">
        <f>'G-1 All Habitats'!B43</f>
        <v>Lakes - Marl lakes</v>
      </c>
      <c r="B57" s="316" t="str">
        <f>'G-1 All Habitats'!N43</f>
        <v>High</v>
      </c>
      <c r="C57" s="316">
        <f>'G-1 All Habitats'!O43</f>
        <v>0.33</v>
      </c>
      <c r="D57" s="316" t="str">
        <f>'G-1 All Habitats'!P43</f>
        <v>High</v>
      </c>
      <c r="E57" s="353">
        <f>'G-1 All Habitats'!Q43</f>
        <v>0.33</v>
      </c>
    </row>
    <row r="58" spans="1:5" ht="14">
      <c r="A58" s="975" t="str">
        <f>'G-1 All Habitats'!B44</f>
        <v>Lakes - Moderate alkalinity lakes</v>
      </c>
      <c r="B58" s="316" t="str">
        <f>'G-1 All Habitats'!N44</f>
        <v>High</v>
      </c>
      <c r="C58" s="316">
        <f>'G-1 All Habitats'!O44</f>
        <v>0.33</v>
      </c>
      <c r="D58" s="316" t="str">
        <f>'G-1 All Habitats'!P44</f>
        <v>High</v>
      </c>
      <c r="E58" s="353">
        <f>'G-1 All Habitats'!Q44</f>
        <v>0.33</v>
      </c>
    </row>
    <row r="59" spans="1:5" ht="14">
      <c r="A59" s="975" t="str">
        <f>'G-1 All Habitats'!B45</f>
        <v>Lakes - Peat lakes</v>
      </c>
      <c r="B59" s="316" t="str">
        <f>'G-1 All Habitats'!N45</f>
        <v>High</v>
      </c>
      <c r="C59" s="316">
        <f>'G-1 All Habitats'!O45</f>
        <v>0.33</v>
      </c>
      <c r="D59" s="316" t="str">
        <f>'G-1 All Habitats'!P45</f>
        <v>High</v>
      </c>
      <c r="E59" s="353">
        <f>'G-1 All Habitats'!Q45</f>
        <v>0.33</v>
      </c>
    </row>
    <row r="60" spans="1:5" ht="14">
      <c r="A60" s="975" t="str">
        <f>'G-1 All Habitats'!B47</f>
        <v>Lakes - Ponds (non-priority habitat)</v>
      </c>
      <c r="B60" s="316" t="str">
        <f>'G-1 All Habitats'!N47</f>
        <v>Low</v>
      </c>
      <c r="C60" s="316">
        <f>'G-1 All Habitats'!O47</f>
        <v>1</v>
      </c>
      <c r="D60" s="316" t="str">
        <f>'G-1 All Habitats'!P47</f>
        <v>Medium</v>
      </c>
      <c r="E60" s="353">
        <f>'G-1 All Habitats'!Q47</f>
        <v>0.67</v>
      </c>
    </row>
    <row r="61" spans="1:5" ht="14">
      <c r="A61" s="975" t="str">
        <f>'G-1 All Habitats'!B46</f>
        <v>Lakes - Ponds (priority habitat)</v>
      </c>
      <c r="B61" s="316" t="str">
        <f>'G-1 All Habitats'!N46</f>
        <v>Medium</v>
      </c>
      <c r="C61" s="316">
        <f>'G-1 All Habitats'!O46</f>
        <v>0.67</v>
      </c>
      <c r="D61" s="316" t="str">
        <f>'G-1 All Habitats'!P46</f>
        <v>Medium</v>
      </c>
      <c r="E61" s="353">
        <f>'G-1 All Habitats'!Q46</f>
        <v>0.67</v>
      </c>
    </row>
    <row r="62" spans="1:5" ht="14">
      <c r="A62" s="975" t="str">
        <f>'G-1 All Habitats'!B48</f>
        <v>Lakes - Reservoirs</v>
      </c>
      <c r="B62" s="316" t="str">
        <f>'G-1 All Habitats'!N48</f>
        <v>Medium</v>
      </c>
      <c r="C62" s="316">
        <f>'G-1 All Habitats'!O48</f>
        <v>0.67</v>
      </c>
      <c r="D62" s="316" t="str">
        <f>'G-1 All Habitats'!P48</f>
        <v>Medium</v>
      </c>
      <c r="E62" s="353">
        <f>'G-1 All Habitats'!Q48</f>
        <v>0.67</v>
      </c>
    </row>
    <row r="63" spans="1:5" ht="14">
      <c r="A63" s="975" t="str">
        <f>'G-1 All Habitats'!B49</f>
        <v>Lakes - Temporary lakes ponds and pools (H3170)</v>
      </c>
      <c r="B63" s="316" t="str">
        <f>'G-1 All Habitats'!N49</f>
        <v>Medium</v>
      </c>
      <c r="C63" s="316">
        <f>'G-1 All Habitats'!O49</f>
        <v>0.67</v>
      </c>
      <c r="D63" s="316" t="str">
        <f>'G-1 All Habitats'!P49</f>
        <v>Medium</v>
      </c>
      <c r="E63" s="353">
        <f>'G-1 All Habitats'!Q49</f>
        <v>0.67</v>
      </c>
    </row>
    <row r="64" spans="1:5" ht="14">
      <c r="A64" s="975" t="str">
        <f>'G-1 All Habitats'!B111</f>
        <v>Rocky shore - Features of littoral rock</v>
      </c>
      <c r="B64" s="316" t="str">
        <f>'G-1 All Habitats'!N111</f>
        <v>High</v>
      </c>
      <c r="C64" s="316">
        <f>'G-1 All Habitats'!O111</f>
        <v>0.33</v>
      </c>
      <c r="D64" s="316" t="str">
        <f>'G-1 All Habitats'!P111</f>
        <v>Medium</v>
      </c>
      <c r="E64" s="353">
        <f>'G-1 All Habitats'!Q111</f>
        <v>0.67</v>
      </c>
    </row>
    <row r="65" spans="1:5" ht="14">
      <c r="A65" s="975" t="str">
        <f>'G-1 All Habitats'!B112</f>
        <v>Rocky shore - Features of littoral rock - on peat, clay or chalk</v>
      </c>
      <c r="B65" s="316" t="str">
        <f>'G-1 All Habitats'!N112</f>
        <v>Very High</v>
      </c>
      <c r="C65" s="316">
        <f>'G-1 All Habitats'!O112</f>
        <v>0.10</v>
      </c>
      <c r="D65" s="316" t="str">
        <f>'G-1 All Habitats'!P112</f>
        <v>Medium</v>
      </c>
      <c r="E65" s="353">
        <f>'G-1 All Habitats'!Q112</f>
        <v>0.67</v>
      </c>
    </row>
    <row r="66" spans="1:5" ht="14">
      <c r="A66" s="975" t="str">
        <f>'G-1 All Habitats'!B105</f>
        <v>Rocky shore - High energy littoral rock</v>
      </c>
      <c r="B66" s="316" t="str">
        <f>'G-1 All Habitats'!N105</f>
        <v>High</v>
      </c>
      <c r="C66" s="316">
        <f>'G-1 All Habitats'!O105</f>
        <v>0.33</v>
      </c>
      <c r="D66" s="316" t="str">
        <f>'G-1 All Habitats'!P105</f>
        <v>Medium</v>
      </c>
      <c r="E66" s="353">
        <f>'G-1 All Habitats'!Q105</f>
        <v>0.67</v>
      </c>
    </row>
    <row r="67" spans="1:5" ht="14">
      <c r="A67" s="975" t="str">
        <f>'G-1 All Habitats'!B106</f>
        <v>Rocky shore - High energy littoral rock - on peat, clay or chalk</v>
      </c>
      <c r="B67" s="316" t="str">
        <f>'G-1 All Habitats'!N106</f>
        <v>Very High</v>
      </c>
      <c r="C67" s="316">
        <f>'G-1 All Habitats'!O106</f>
        <v>0.10</v>
      </c>
      <c r="D67" s="316" t="str">
        <f>'G-1 All Habitats'!P106</f>
        <v>Medium</v>
      </c>
      <c r="E67" s="353">
        <f>'G-1 All Habitats'!Q106</f>
        <v>0.67</v>
      </c>
    </row>
    <row r="68" spans="1:5" ht="14">
      <c r="A68" s="975" t="str">
        <f>'G-1 All Habitats'!B109</f>
        <v>Rocky shore - Low energy littoral rock</v>
      </c>
      <c r="B68" s="316" t="str">
        <f>'G-1 All Habitats'!N109</f>
        <v>High</v>
      </c>
      <c r="C68" s="316">
        <f>'G-1 All Habitats'!O109</f>
        <v>0.33</v>
      </c>
      <c r="D68" s="316" t="str">
        <f>'G-1 All Habitats'!P109</f>
        <v>Medium</v>
      </c>
      <c r="E68" s="353">
        <f>'G-1 All Habitats'!Q109</f>
        <v>0.67</v>
      </c>
    </row>
    <row r="69" spans="1:5" ht="14">
      <c r="A69" s="975" t="str">
        <f>'G-1 All Habitats'!B110</f>
        <v>Rocky shore - Low energy littoral rock - on peat, clay or chalk</v>
      </c>
      <c r="B69" s="316" t="str">
        <f>'G-1 All Habitats'!N110</f>
        <v>Very High</v>
      </c>
      <c r="C69" s="316">
        <f>'G-1 All Habitats'!O110</f>
        <v>0.10</v>
      </c>
      <c r="D69" s="316" t="str">
        <f>'G-1 All Habitats'!P110</f>
        <v>Medium</v>
      </c>
      <c r="E69" s="353">
        <f>'G-1 All Habitats'!Q110</f>
        <v>0.67</v>
      </c>
    </row>
    <row r="70" spans="1:5" ht="14">
      <c r="A70" s="975" t="str">
        <f>'G-1 All Habitats'!B107</f>
        <v>Rocky shore - Moderate energy littoral rock</v>
      </c>
      <c r="B70" s="316" t="str">
        <f>'G-1 All Habitats'!N107</f>
        <v>High</v>
      </c>
      <c r="C70" s="316">
        <f>'G-1 All Habitats'!O107</f>
        <v>0.33</v>
      </c>
      <c r="D70" s="316" t="str">
        <f>'G-1 All Habitats'!P107</f>
        <v>Medium</v>
      </c>
      <c r="E70" s="353">
        <f>'G-1 All Habitats'!Q107</f>
        <v>0.67</v>
      </c>
    </row>
    <row r="71" spans="1:5" ht="14">
      <c r="A71" s="975" t="str">
        <f>'G-1 All Habitats'!B108</f>
        <v>Rocky shore - Moderate energy littoral rock - on peat, clay or chalk</v>
      </c>
      <c r="B71" s="316" t="str">
        <f>'G-1 All Habitats'!N108</f>
        <v>Very High</v>
      </c>
      <c r="C71" s="316">
        <f>'G-1 All Habitats'!O108</f>
        <v>0.10</v>
      </c>
      <c r="D71" s="316" t="str">
        <f>'G-1 All Habitats'!P108</f>
        <v>Medium</v>
      </c>
      <c r="E71" s="353">
        <f>'G-1 All Habitats'!Q108</f>
        <v>0.67</v>
      </c>
    </row>
    <row r="72" spans="1:5" ht="14">
      <c r="A72" s="975" t="str">
        <f>'G-1 All Habitats'!B50</f>
        <v>Sparsely vegetated land - Calaminarian grasslands</v>
      </c>
      <c r="B72" s="316" t="str">
        <f>'G-1 All Habitats'!N50</f>
        <v>Very High</v>
      </c>
      <c r="C72" s="316">
        <f>'G-1 All Habitats'!O50</f>
        <v>0.10</v>
      </c>
      <c r="D72" s="316" t="str">
        <f>'G-1 All Habitats'!P50</f>
        <v>Medium</v>
      </c>
      <c r="E72" s="353">
        <f>'G-1 All Habitats'!Q50</f>
        <v>0.67</v>
      </c>
    </row>
    <row r="73" spans="1:5" ht="14">
      <c r="A73" s="975" t="str">
        <f>'G-1 All Habitats'!B51</f>
        <v>Sparsely vegetated land - Coastal sand dunes</v>
      </c>
      <c r="B73" s="316" t="str">
        <f>'G-1 All Habitats'!N51</f>
        <v>Very High</v>
      </c>
      <c r="C73" s="316">
        <f>'G-1 All Habitats'!O51</f>
        <v>0.10</v>
      </c>
      <c r="D73" s="316" t="str">
        <f>'G-1 All Habitats'!P51</f>
        <v>Medium</v>
      </c>
      <c r="E73" s="353">
        <f>'G-1 All Habitats'!Q51</f>
        <v>0.67</v>
      </c>
    </row>
    <row r="74" spans="1:5" ht="14">
      <c r="A74" s="975" t="str">
        <f>'G-1 All Habitats'!B52</f>
        <v>Sparsely vegetated land - Coastal vegetated shingle</v>
      </c>
      <c r="B74" s="316" t="str">
        <f>'G-1 All Habitats'!N52</f>
        <v>Very High</v>
      </c>
      <c r="C74" s="316">
        <f>'G-1 All Habitats'!O52</f>
        <v>0.10</v>
      </c>
      <c r="D74" s="316" t="str">
        <f>'G-1 All Habitats'!P52</f>
        <v>Medium</v>
      </c>
      <c r="E74" s="353">
        <f>'G-1 All Habitats'!Q52</f>
        <v>0.67</v>
      </c>
    </row>
    <row r="75" spans="1:5" ht="14">
      <c r="A75" s="975" t="str">
        <f>'G-1 All Habitats'!B55</f>
        <v>Sparsely vegetated land - Inland rock outcrop and scree habitats</v>
      </c>
      <c r="B75" s="316" t="str">
        <f>'G-1 All Habitats'!N55</f>
        <v>High</v>
      </c>
      <c r="C75" s="316">
        <f>'G-1 All Habitats'!O55</f>
        <v>0.33</v>
      </c>
      <c r="D75" s="316" t="str">
        <f>'G-1 All Habitats'!P55</f>
        <v>Low</v>
      </c>
      <c r="E75" s="353">
        <f>'G-1 All Habitats'!Q55</f>
        <v>1</v>
      </c>
    </row>
    <row r="76" spans="1:5" ht="14">
      <c r="A76" s="975" t="str">
        <f>'G-1 All Habitats'!B56</f>
        <v>Sparsely vegetated land - Limestone pavement</v>
      </c>
      <c r="B76" s="316" t="str">
        <f>'G-1 All Habitats'!N56</f>
        <v>Very High</v>
      </c>
      <c r="C76" s="316">
        <f>'G-1 All Habitats'!O56</f>
        <v>0.10</v>
      </c>
      <c r="D76" s="316" t="str">
        <f>'G-1 All Habitats'!P56</f>
        <v>Medium</v>
      </c>
      <c r="E76" s="353">
        <f>'G-1 All Habitats'!Q56</f>
        <v>0.67</v>
      </c>
    </row>
    <row r="77" spans="1:5" ht="14">
      <c r="A77" s="975" t="str">
        <f>'G-1 All Habitats'!B57</f>
        <v>Sparsely vegetated land - Maritime cliff and slopes</v>
      </c>
      <c r="B77" s="316" t="str">
        <f>'G-1 All Habitats'!N57</f>
        <v>High</v>
      </c>
      <c r="C77" s="316">
        <f>'G-1 All Habitats'!O57</f>
        <v>0.33</v>
      </c>
      <c r="D77" s="316" t="str">
        <f>'G-1 All Habitats'!P57</f>
        <v>Medium</v>
      </c>
      <c r="E77" s="353">
        <f>'G-1 All Habitats'!Q57</f>
        <v>0.67</v>
      </c>
    </row>
    <row r="78" spans="1:5" ht="14">
      <c r="A78" s="975" t="str">
        <f>'G-1 All Habitats'!B58</f>
        <v>Sparsely vegetated land - Other inland rock and scree</v>
      </c>
      <c r="B78" s="316" t="str">
        <f>'G-1 All Habitats'!N58</f>
        <v>Medium</v>
      </c>
      <c r="C78" s="316">
        <f>'G-1 All Habitats'!O58</f>
        <v>0.67</v>
      </c>
      <c r="D78" s="316" t="str">
        <f>'G-1 All Habitats'!P58</f>
        <v>Medium</v>
      </c>
      <c r="E78" s="353">
        <f>'G-1 All Habitats'!Q58</f>
        <v>0.67</v>
      </c>
    </row>
    <row r="79" spans="1:5" ht="14">
      <c r="A79" s="975" t="str">
        <f>'G-1 All Habitats'!B53</f>
        <v>Sparsely vegetated land - Ruderal/Ephemeral</v>
      </c>
      <c r="B79" s="316" t="str">
        <f>'G-1 All Habitats'!N53</f>
        <v>Low</v>
      </c>
      <c r="C79" s="316">
        <f>'G-1 All Habitats'!O53</f>
        <v>1</v>
      </c>
      <c r="D79" s="316" t="str">
        <f>'G-1 All Habitats'!P53</f>
        <v>Medium</v>
      </c>
      <c r="E79" s="353">
        <f>'G-1 All Habitats'!Q53</f>
        <v>0.67</v>
      </c>
    </row>
    <row r="80" spans="1:5" ht="14">
      <c r="A80" s="975" t="str">
        <f>'G-1 All Habitats'!B54</f>
        <v>Sparsely vegetated land - Tall forbs</v>
      </c>
      <c r="B80" s="316" t="str">
        <f>'G-1 All Habitats'!N54</f>
        <v>Low</v>
      </c>
      <c r="C80" s="316">
        <f>'G-1 All Habitats'!O54</f>
        <v>1</v>
      </c>
      <c r="D80" s="316" t="str">
        <f>'G-1 All Habitats'!P54</f>
        <v>Medium</v>
      </c>
      <c r="E80" s="353">
        <f>'G-1 All Habitats'!Q54</f>
        <v>0.67</v>
      </c>
    </row>
    <row r="81" spans="1:5" ht="14">
      <c r="A81" s="975" t="str">
        <f>'G-1 All Habitats'!B77</f>
        <v>Urban - Vacant or derelict land</v>
      </c>
      <c r="B81" s="316" t="str">
        <f>'G-1 All Habitats'!N77</f>
        <v>Low</v>
      </c>
      <c r="C81" s="316">
        <f>'G-1 All Habitats'!O77</f>
        <v>1</v>
      </c>
      <c r="D81" s="316" t="str">
        <f>'G-1 All Habitats'!P77</f>
        <v>Low</v>
      </c>
      <c r="E81" s="353">
        <f>'G-1 All Habitats'!Q77</f>
        <v>1</v>
      </c>
    </row>
    <row r="82" spans="1:5" ht="14">
      <c r="A82" s="975" t="s">
        <v>876</v>
      </c>
      <c r="B82" s="316" t="s">
        <v>197</v>
      </c>
      <c r="C82" s="316">
        <v>1</v>
      </c>
      <c r="D82" s="316" t="s">
        <v>197</v>
      </c>
      <c r="E82" s="353">
        <v>1</v>
      </c>
    </row>
    <row r="83" spans="1:5" ht="14">
      <c r="A83" s="975" t="str">
        <f>'G-1 All Habitats'!B59</f>
        <v>Urban - Allotments</v>
      </c>
      <c r="B83" s="316" t="str">
        <f>'G-1 All Habitats'!N59</f>
        <v>Low</v>
      </c>
      <c r="C83" s="316">
        <f>'G-1 All Habitats'!O59</f>
        <v>1</v>
      </c>
      <c r="D83" s="316" t="str">
        <f>'G-1 All Habitats'!P59</f>
        <v>Low</v>
      </c>
      <c r="E83" s="353">
        <f>'G-1 All Habitats'!Q59</f>
        <v>1</v>
      </c>
    </row>
    <row r="84" spans="1:5" ht="14">
      <c r="A84" s="975" t="str">
        <f>'G-1 All Habitats'!B60</f>
        <v>Urban - Artificial unvegetated, unsealed surface</v>
      </c>
      <c r="B84" s="316" t="str">
        <f>'G-1 All Habitats'!N60</f>
        <v>Low</v>
      </c>
      <c r="C84" s="316">
        <f>'G-1 All Habitats'!O60</f>
        <v>1</v>
      </c>
      <c r="D84" s="316" t="str">
        <f>'G-1 All Habitats'!P60</f>
        <v>Low</v>
      </c>
      <c r="E84" s="353">
        <f>'G-1 All Habitats'!Q60</f>
        <v>1</v>
      </c>
    </row>
    <row r="85" spans="1:5" ht="14">
      <c r="A85" s="975" t="str">
        <f>'G-1 All Habitats'!B61</f>
        <v>Urban - Bioswale</v>
      </c>
      <c r="B85" s="316" t="str">
        <f>'G-1 All Habitats'!N61</f>
        <v>Medium</v>
      </c>
      <c r="C85" s="316">
        <f>'G-1 All Habitats'!O61</f>
        <v>0.67</v>
      </c>
      <c r="D85" s="316" t="str">
        <f>'G-1 All Habitats'!P61</f>
        <v>Low</v>
      </c>
      <c r="E85" s="353">
        <f>'G-1 All Habitats'!Q61</f>
        <v>1</v>
      </c>
    </row>
    <row r="86" spans="1:5" ht="14">
      <c r="A86" s="975" t="str">
        <f>'G-1 All Habitats'!B62</f>
        <v>Urban - Intensive green roof</v>
      </c>
      <c r="B86" s="316" t="str">
        <f>'G-1 All Habitats'!N62</f>
        <v>Low</v>
      </c>
      <c r="C86" s="316">
        <f>'G-1 All Habitats'!O62</f>
        <v>1</v>
      </c>
      <c r="D86" s="316" t="str">
        <f>'G-1 All Habitats'!P62</f>
        <v>Low</v>
      </c>
      <c r="E86" s="353">
        <f>'G-1 All Habitats'!Q62</f>
        <v>1</v>
      </c>
    </row>
    <row r="87" spans="1:5" ht="14">
      <c r="A87" s="975" t="str">
        <f>'G-1 All Habitats'!B63</f>
        <v>Urban - Built linear features</v>
      </c>
      <c r="B87" s="316" t="str">
        <f>'G-1 All Habitats'!N63</f>
        <v>Low</v>
      </c>
      <c r="C87" s="316">
        <f>'G-1 All Habitats'!O63</f>
        <v>1</v>
      </c>
      <c r="D87" s="316" t="str">
        <f>'G-1 All Habitats'!P63</f>
        <v>Low</v>
      </c>
      <c r="E87" s="353">
        <f>'G-1 All Habitats'!Q63</f>
        <v>1</v>
      </c>
    </row>
    <row r="88" spans="1:5" ht="14">
      <c r="A88" s="975" t="str">
        <f>'G-1 All Habitats'!B64</f>
        <v>Urban - Cemeteries and churchyards</v>
      </c>
      <c r="B88" s="316" t="str">
        <f>'G-1 All Habitats'!N64</f>
        <v>Medium</v>
      </c>
      <c r="C88" s="316">
        <f>'G-1 All Habitats'!O64</f>
        <v>0.67</v>
      </c>
      <c r="D88" s="316" t="str">
        <f>'G-1 All Habitats'!P64</f>
        <v>Low</v>
      </c>
      <c r="E88" s="353">
        <f>'G-1 All Habitats'!Q64</f>
        <v>1</v>
      </c>
    </row>
    <row r="89" spans="1:5" ht="14">
      <c r="A89" s="975" t="str">
        <f>'G-1 All Habitats'!B65</f>
        <v>Urban - Developed land; sealed surface</v>
      </c>
      <c r="B89" s="316" t="str">
        <f>'G-1 All Habitats'!N65</f>
        <v>Low</v>
      </c>
      <c r="C89" s="316">
        <f>'G-1 All Habitats'!O65</f>
        <v>1</v>
      </c>
      <c r="D89" s="316" t="str">
        <f>'G-1 All Habitats'!P65</f>
        <v>Low</v>
      </c>
      <c r="E89" s="353">
        <f>'G-1 All Habitats'!Q65</f>
        <v>1</v>
      </c>
    </row>
    <row r="90" spans="1:5" ht="14">
      <c r="A90" s="975" t="str">
        <f>'G-1 All Habitats'!B66</f>
        <v>Urban - Other green roof</v>
      </c>
      <c r="B90" s="316" t="str">
        <f>'G-1 All Habitats'!N66</f>
        <v>Low</v>
      </c>
      <c r="C90" s="316">
        <f>'G-1 All Habitats'!O66</f>
        <v>1</v>
      </c>
      <c r="D90" s="316" t="str">
        <f>'G-1 All Habitats'!P66</f>
        <v>Low</v>
      </c>
      <c r="E90" s="353">
        <f>'G-1 All Habitats'!Q66</f>
        <v>1</v>
      </c>
    </row>
    <row r="91" spans="1:5" ht="14">
      <c r="A91" s="975" t="str">
        <f>'G-1 All Habitats'!B67</f>
        <v>Urban - Facade-bound green wall</v>
      </c>
      <c r="B91" s="316" t="str">
        <f>'G-1 All Habitats'!N67</f>
        <v>Medium</v>
      </c>
      <c r="C91" s="316">
        <f>'G-1 All Habitats'!O67</f>
        <v>0.67</v>
      </c>
      <c r="D91" s="316" t="str">
        <f>'G-1 All Habitats'!P67</f>
        <v>Medium</v>
      </c>
      <c r="E91" s="353">
        <f>'G-1 All Habitats'!Q67</f>
        <v>0.67</v>
      </c>
    </row>
    <row r="92" spans="1:5" ht="14">
      <c r="A92" s="975" t="str">
        <f>'G-1 All Habitats'!B68</f>
        <v>Urban - Ground based green wall</v>
      </c>
      <c r="B92" s="316" t="str">
        <f>'G-1 All Habitats'!N68</f>
        <v>Medium</v>
      </c>
      <c r="C92" s="316">
        <f>'G-1 All Habitats'!O68</f>
        <v>0.67</v>
      </c>
      <c r="D92" s="316" t="str">
        <f>'G-1 All Habitats'!P68</f>
        <v>Medium</v>
      </c>
      <c r="E92" s="353">
        <f>'G-1 All Habitats'!Q68</f>
        <v>0.67</v>
      </c>
    </row>
    <row r="93" spans="1:5" ht="14">
      <c r="A93" s="975" t="str">
        <f>'G-1 All Habitats'!B69</f>
        <v>Urban - Ground level planters</v>
      </c>
      <c r="B93" s="316" t="str">
        <f>'G-1 All Habitats'!N69</f>
        <v>Low</v>
      </c>
      <c r="C93" s="316">
        <f>'G-1 All Habitats'!O69</f>
        <v>1</v>
      </c>
      <c r="D93" s="316" t="str">
        <f>'G-1 All Habitats'!P69</f>
        <v>Low</v>
      </c>
      <c r="E93" s="353">
        <f>'G-1 All Habitats'!Q69</f>
        <v>1</v>
      </c>
    </row>
    <row r="94" spans="1:5" ht="14">
      <c r="A94" s="975" t="str">
        <f>'G-1 All Habitats'!B70</f>
        <v>Urban - Biodiverse green roof</v>
      </c>
      <c r="B94" s="316" t="str">
        <f>'G-1 All Habitats'!N70</f>
        <v>Medium</v>
      </c>
      <c r="C94" s="316">
        <f>'G-1 All Habitats'!O70</f>
        <v>0.67</v>
      </c>
      <c r="D94" s="316" t="str">
        <f>'G-1 All Habitats'!P70</f>
        <v>Medium</v>
      </c>
      <c r="E94" s="353">
        <f>'G-1 All Habitats'!Q70</f>
        <v>0.67</v>
      </c>
    </row>
    <row r="95" spans="1:5" ht="14">
      <c r="A95" s="975" t="str">
        <f>'G-1 All Habitats'!B71</f>
        <v>Urban - Introduced shrub</v>
      </c>
      <c r="B95" s="316" t="str">
        <f>'G-1 All Habitats'!N71</f>
        <v>Low</v>
      </c>
      <c r="C95" s="316">
        <f>'G-1 All Habitats'!O71</f>
        <v>1</v>
      </c>
      <c r="D95" s="316" t="str">
        <f>'G-1 All Habitats'!P71</f>
        <v>Low</v>
      </c>
      <c r="E95" s="353">
        <f>'G-1 All Habitats'!Q71</f>
        <v>1</v>
      </c>
    </row>
    <row r="96" spans="1:5" ht="14">
      <c r="A96" s="975" t="str">
        <f>'G-1 All Habitats'!B72</f>
        <v>Urban - Open mosaic habitats on previously developed land</v>
      </c>
      <c r="B96" s="316" t="str">
        <f>'G-1 All Habitats'!N72</f>
        <v>Medium</v>
      </c>
      <c r="C96" s="316">
        <f>'G-1 All Habitats'!O72</f>
        <v>0.67</v>
      </c>
      <c r="D96" s="316" t="str">
        <f>'G-1 All Habitats'!P72</f>
        <v>Medium</v>
      </c>
      <c r="E96" s="353">
        <f>'G-1 All Habitats'!Q72</f>
        <v>0.67</v>
      </c>
    </row>
    <row r="97" spans="1:5" ht="14">
      <c r="A97" s="975" t="str">
        <f>'G-1 All Habitats'!B73</f>
        <v>Urban - Rain garden</v>
      </c>
      <c r="B97" s="316" t="str">
        <f>'G-1 All Habitats'!N73</f>
        <v>Low</v>
      </c>
      <c r="C97" s="316">
        <f>'G-1 All Habitats'!O73</f>
        <v>1</v>
      </c>
      <c r="D97" s="316" t="str">
        <f>'G-1 All Habitats'!P73</f>
        <v>Low</v>
      </c>
      <c r="E97" s="353">
        <f>'G-1 All Habitats'!Q73</f>
        <v>1</v>
      </c>
    </row>
    <row r="98" spans="1:5" ht="14">
      <c r="A98" s="975" t="str">
        <f>'G-1 All Habitats'!B74</f>
        <v>Urban - Actively worked sand pit quarry or open cast mine</v>
      </c>
      <c r="B98" s="316" t="str">
        <f>'G-1 All Habitats'!N74</f>
        <v>Medium</v>
      </c>
      <c r="C98" s="316">
        <f>'G-1 All Habitats'!O74</f>
        <v>0.67</v>
      </c>
      <c r="D98" s="316" t="str">
        <f>'G-1 All Habitats'!P74</f>
        <v>Low</v>
      </c>
      <c r="E98" s="353">
        <f>'G-1 All Habitats'!Q74</f>
        <v>1</v>
      </c>
    </row>
    <row r="99" spans="1:5" ht="14">
      <c r="A99" s="975" t="str">
        <f>'G-1 All Habitats'!B80</f>
        <v>Individual trees - Urban tree</v>
      </c>
      <c r="B99" s="316" t="str">
        <f>'G-1 All Habitats'!N80</f>
        <v>Low</v>
      </c>
      <c r="C99" s="316">
        <f>'G-1 All Habitats'!O80</f>
        <v>1</v>
      </c>
      <c r="D99" s="316" t="str">
        <f>'G-1 All Habitats'!P80</f>
        <v>Low</v>
      </c>
      <c r="E99" s="353">
        <f>'G-1 All Habitats'!Q80</f>
        <v>1</v>
      </c>
    </row>
    <row r="100" spans="1:5" ht="14">
      <c r="A100" s="975" t="str">
        <f>'G-1 All Habitats'!B75</f>
        <v>Urban - Sustainable drainage system</v>
      </c>
      <c r="B100" s="316" t="str">
        <f>'G-1 All Habitats'!N75</f>
        <v>Medium</v>
      </c>
      <c r="C100" s="316">
        <f>'G-1 All Habitats'!O75</f>
        <v>0.67</v>
      </c>
      <c r="D100" s="316" t="str">
        <f>'G-1 All Habitats'!P75</f>
        <v>Medium</v>
      </c>
      <c r="E100" s="353">
        <f>'G-1 All Habitats'!Q75</f>
        <v>0.67</v>
      </c>
    </row>
    <row r="101" spans="1:5" ht="14">
      <c r="A101" s="975" t="str">
        <f>'G-1 All Habitats'!B76</f>
        <v>Urban - Unvegetated garden</v>
      </c>
      <c r="B101" s="316" t="str">
        <f>'G-1 All Habitats'!N76</f>
        <v>Low</v>
      </c>
      <c r="C101" s="316">
        <f>'G-1 All Habitats'!O76</f>
        <v>1</v>
      </c>
      <c r="D101" s="316" t="str">
        <f>'G-1 All Habitats'!P76</f>
        <v>Low</v>
      </c>
      <c r="E101" s="353">
        <f>'G-1 All Habitats'!Q76</f>
        <v>1</v>
      </c>
    </row>
    <row r="102" spans="1:5" ht="14">
      <c r="A102" s="975" t="str">
        <f>'G-1 All Habitats'!B79</f>
        <v>Urban - Vegetated garden</v>
      </c>
      <c r="B102" s="316" t="str">
        <f>'G-1 All Habitats'!N79</f>
        <v>Low</v>
      </c>
      <c r="C102" s="316">
        <f>'G-1 All Habitats'!O79</f>
        <v>1</v>
      </c>
      <c r="D102" s="316" t="str">
        <f>'G-1 All Habitats'!P79</f>
        <v>Low</v>
      </c>
      <c r="E102" s="353">
        <f>'G-1 All Habitats'!Q79</f>
        <v>1</v>
      </c>
    </row>
    <row r="103" spans="1:5" ht="14">
      <c r="A103" s="975" t="str">
        <f>'G-1 All Habitats'!B82</f>
        <v>Wetland - Blanket bog</v>
      </c>
      <c r="B103" s="316" t="str">
        <f>'G-1 All Habitats'!N82</f>
        <v>Very High</v>
      </c>
      <c r="C103" s="316">
        <f>'G-1 All Habitats'!O82</f>
        <v>0.10</v>
      </c>
      <c r="D103" s="316" t="str">
        <f>'G-1 All Habitats'!P82</f>
        <v>High</v>
      </c>
      <c r="E103" s="353">
        <f>'G-1 All Habitats'!Q82</f>
        <v>0.33</v>
      </c>
    </row>
    <row r="104" spans="1:5" ht="14">
      <c r="A104" s="975" t="str">
        <f>'G-1 All Habitats'!B83</f>
        <v>Wetland - Depressions on peat substrates (H7150)</v>
      </c>
      <c r="B104" s="316" t="str">
        <f>'G-1 All Habitats'!N83</f>
        <v>Very High</v>
      </c>
      <c r="C104" s="316">
        <f>'G-1 All Habitats'!O83</f>
        <v>0.10</v>
      </c>
      <c r="D104" s="316" t="str">
        <f>'G-1 All Habitats'!P83</f>
        <v>High</v>
      </c>
      <c r="E104" s="353">
        <f>'G-1 All Habitats'!Q83</f>
        <v>0.33</v>
      </c>
    </row>
    <row r="105" spans="1:5" ht="14">
      <c r="A105" s="975" t="str">
        <f>'G-1 All Habitats'!B84</f>
        <v>Wetland - Fens (upland and lowland)</v>
      </c>
      <c r="B105" s="316" t="str">
        <f>'G-1 All Habitats'!N84</f>
        <v>High</v>
      </c>
      <c r="C105" s="316">
        <f>'G-1 All Habitats'!O84</f>
        <v>0.33</v>
      </c>
      <c r="D105" s="316" t="str">
        <f>'G-1 All Habitats'!P84</f>
        <v>High</v>
      </c>
      <c r="E105" s="353">
        <f>'G-1 All Habitats'!Q84</f>
        <v>0.33</v>
      </c>
    </row>
    <row r="106" spans="1:5" ht="14">
      <c r="A106" s="975" t="str">
        <f>'G-1 All Habitats'!B85</f>
        <v>Wetland - Lowland raised bog</v>
      </c>
      <c r="B106" s="316" t="str">
        <f>'G-1 All Habitats'!N85</f>
        <v>Very High</v>
      </c>
      <c r="C106" s="316">
        <f>'G-1 All Habitats'!O85</f>
        <v>0.10</v>
      </c>
      <c r="D106" s="316" t="str">
        <f>'G-1 All Habitats'!P85</f>
        <v>High</v>
      </c>
      <c r="E106" s="353">
        <f>'G-1 All Habitats'!Q85</f>
        <v>0.33</v>
      </c>
    </row>
    <row r="107" spans="1:5" ht="14">
      <c r="A107" s="975" t="str">
        <f>'G-1 All Habitats'!B86</f>
        <v>Wetland - Oceanic valley mire[1] (D2.1)</v>
      </c>
      <c r="B107" s="316" t="str">
        <f>'G-1 All Habitats'!N86</f>
        <v>Very High</v>
      </c>
      <c r="C107" s="316">
        <f>'G-1 All Habitats'!O86</f>
        <v>0.10</v>
      </c>
      <c r="D107" s="316" t="str">
        <f>'G-1 All Habitats'!P86</f>
        <v>High</v>
      </c>
      <c r="E107" s="353">
        <f>'G-1 All Habitats'!Q86</f>
        <v>0.33</v>
      </c>
    </row>
    <row r="108" spans="1:5" ht="14">
      <c r="A108" s="975" t="str">
        <f>'G-1 All Habitats'!B87</f>
        <v>Wetland - Purple moor grass and rush pastures</v>
      </c>
      <c r="B108" s="316" t="str">
        <f>'G-1 All Habitats'!N87</f>
        <v>High</v>
      </c>
      <c r="C108" s="316">
        <f>'G-1 All Habitats'!O87</f>
        <v>0.33</v>
      </c>
      <c r="D108" s="316" t="str">
        <f>'G-1 All Habitats'!P87</f>
        <v>High</v>
      </c>
      <c r="E108" s="353">
        <f>'G-1 All Habitats'!Q87</f>
        <v>0.33</v>
      </c>
    </row>
    <row r="109" spans="1:5" ht="14">
      <c r="A109" s="975" t="str">
        <f>'G-1 All Habitats'!B88</f>
        <v>Wetland - Reedbeds</v>
      </c>
      <c r="B109" s="316" t="str">
        <f>'G-1 All Habitats'!N88</f>
        <v>Medium</v>
      </c>
      <c r="C109" s="316">
        <f>'G-1 All Habitats'!O88</f>
        <v>0.67</v>
      </c>
      <c r="D109" s="316" t="str">
        <f>'G-1 All Habitats'!P88</f>
        <v>Medium</v>
      </c>
      <c r="E109" s="353">
        <f>'G-1 All Habitats'!Q88</f>
        <v>0.67</v>
      </c>
    </row>
    <row r="110" spans="1:5" ht="14">
      <c r="A110" s="975" t="str">
        <f>'G-1 All Habitats'!B89</f>
        <v>Wetland - Transition mires and quaking bogs (H7140)</v>
      </c>
      <c r="B110" s="316" t="str">
        <f>'G-1 All Habitats'!N89</f>
        <v>Very High</v>
      </c>
      <c r="C110" s="316">
        <f>'G-1 All Habitats'!O89</f>
        <v>0.10</v>
      </c>
      <c r="D110" s="316" t="str">
        <f>'G-1 All Habitats'!P89</f>
        <v>High</v>
      </c>
      <c r="E110" s="353">
        <f>'G-1 All Habitats'!Q89</f>
        <v>0.33</v>
      </c>
    </row>
    <row r="111" spans="1:5" ht="14">
      <c r="A111" s="975" t="str">
        <f>'G-1 All Habitats'!B90</f>
        <v>Woodland and forest - Felled</v>
      </c>
      <c r="B111" s="316" t="s">
        <v>194</v>
      </c>
      <c r="C111" s="316">
        <f>'G-1 All Habitats'!O90</f>
        <v>0.33</v>
      </c>
      <c r="D111" s="316" t="str">
        <f>'G-1 All Habitats'!P90</f>
        <v>Low</v>
      </c>
      <c r="E111" s="353">
        <f>'G-1 All Habitats'!Q90</f>
        <v>1</v>
      </c>
    </row>
    <row r="112" spans="1:5" ht="14">
      <c r="A112" s="975" t="str">
        <f>'G-1 All Habitats'!B91</f>
        <v>Woodland and forest - Lowland beech and yew woodland</v>
      </c>
      <c r="B112" s="316" t="str">
        <f>'G-1 All Habitats'!N91</f>
        <v>High</v>
      </c>
      <c r="C112" s="316">
        <f>'G-1 All Habitats'!O91</f>
        <v>0.33</v>
      </c>
      <c r="D112" s="316" t="str">
        <f>'G-1 All Habitats'!P91</f>
        <v>High</v>
      </c>
      <c r="E112" s="353">
        <f>'G-1 All Habitats'!Q91</f>
        <v>0.33</v>
      </c>
    </row>
    <row r="113" spans="1:5" ht="14">
      <c r="A113" s="975" t="str">
        <f>'G-1 All Habitats'!B92</f>
        <v>Woodland and forest - Lowland mixed deciduous woodland</v>
      </c>
      <c r="B113" s="316" t="str">
        <f>'G-1 All Habitats'!N92</f>
        <v>High</v>
      </c>
      <c r="C113" s="316">
        <f>'G-1 All Habitats'!O92</f>
        <v>0.33</v>
      </c>
      <c r="D113" s="316" t="str">
        <f>'G-1 All Habitats'!P92</f>
        <v>High</v>
      </c>
      <c r="E113" s="353">
        <f>'G-1 All Habitats'!Q92</f>
        <v>0.33</v>
      </c>
    </row>
    <row r="114" spans="1:5" ht="14">
      <c r="A114" s="975" t="str">
        <f>'G-1 All Habitats'!B93</f>
        <v>Woodland and forest - Native pine woodlands</v>
      </c>
      <c r="B114" s="316" t="str">
        <f>'G-1 All Habitats'!N93</f>
        <v>High</v>
      </c>
      <c r="C114" s="316">
        <f>'G-1 All Habitats'!O93</f>
        <v>0.33</v>
      </c>
      <c r="D114" s="316" t="str">
        <f>'G-1 All Habitats'!P93</f>
        <v>High</v>
      </c>
      <c r="E114" s="353">
        <f>'G-1 All Habitats'!Q93</f>
        <v>0.33</v>
      </c>
    </row>
    <row r="115" spans="1:5" ht="14">
      <c r="A115" s="975" t="str">
        <f>'G-1 All Habitats'!B94</f>
        <v>Woodland and forest - Other coniferous woodland</v>
      </c>
      <c r="B115" s="316" t="str">
        <f>'G-1 All Habitats'!N94</f>
        <v>Low</v>
      </c>
      <c r="C115" s="316">
        <f>'G-1 All Habitats'!O94</f>
        <v>1</v>
      </c>
      <c r="D115" s="316" t="str">
        <f>'G-1 All Habitats'!P94</f>
        <v>Low</v>
      </c>
      <c r="E115" s="353">
        <f>'G-1 All Habitats'!Q94</f>
        <v>1</v>
      </c>
    </row>
    <row r="116" spans="1:5" ht="14">
      <c r="A116" s="975" t="str">
        <f>'G-1 All Habitats'!B95</f>
        <v>Woodland and forest - Other Scot's pine woodland</v>
      </c>
      <c r="B116" s="316" t="str">
        <f>'G-1 All Habitats'!N95</f>
        <v>Medium</v>
      </c>
      <c r="C116" s="316">
        <f>'G-1 All Habitats'!O95</f>
        <v>0.67</v>
      </c>
      <c r="D116" s="316" t="str">
        <f>'G-1 All Habitats'!P95</f>
        <v>Medium</v>
      </c>
      <c r="E116" s="353">
        <f>'G-1 All Habitats'!Q95</f>
        <v>0.67</v>
      </c>
    </row>
    <row r="117" spans="1:5" ht="14">
      <c r="A117" s="975" t="str">
        <f>'G-1 All Habitats'!B96</f>
        <v>Woodland and forest - Other woodland; broadleaved</v>
      </c>
      <c r="B117" s="316" t="str">
        <f>'G-1 All Habitats'!N96</f>
        <v>Low</v>
      </c>
      <c r="C117" s="316">
        <f>'G-1 All Habitats'!O96</f>
        <v>1</v>
      </c>
      <c r="D117" s="316" t="str">
        <f>'G-1 All Habitats'!P96</f>
        <v>Low</v>
      </c>
      <c r="E117" s="353">
        <f>'G-1 All Habitats'!Q96</f>
        <v>1</v>
      </c>
    </row>
    <row r="118" spans="1:5" ht="14">
      <c r="A118" s="975" t="str">
        <f>'G-1 All Habitats'!B97</f>
        <v>Woodland and forest - Other woodland; mixed</v>
      </c>
      <c r="B118" s="316" t="str">
        <f>'G-1 All Habitats'!N97</f>
        <v>Low</v>
      </c>
      <c r="C118" s="316">
        <f>'G-1 All Habitats'!O97</f>
        <v>1</v>
      </c>
      <c r="D118" s="316" t="str">
        <f>'G-1 All Habitats'!P97</f>
        <v>Low</v>
      </c>
      <c r="E118" s="353">
        <f>'G-1 All Habitats'!Q97</f>
        <v>1</v>
      </c>
    </row>
    <row r="119" spans="1:5" ht="14">
      <c r="A119" s="975" t="str">
        <f>'G-1 All Habitats'!B98</f>
        <v>Woodland and forest - Upland birchwoods</v>
      </c>
      <c r="B119" s="316" t="str">
        <f>'G-1 All Habitats'!N98</f>
        <v>Medium</v>
      </c>
      <c r="C119" s="316">
        <f>'G-1 All Habitats'!O98</f>
        <v>0.67</v>
      </c>
      <c r="D119" s="316" t="str">
        <f>'G-1 All Habitats'!P98</f>
        <v>Medium</v>
      </c>
      <c r="E119" s="353">
        <f>'G-1 All Habitats'!Q98</f>
        <v>0.67</v>
      </c>
    </row>
    <row r="120" spans="1:5" ht="14">
      <c r="A120" s="975" t="str">
        <f>'G-1 All Habitats'!B99</f>
        <v>Woodland and forest - Upland mixed ashwoods</v>
      </c>
      <c r="B120" s="316" t="str">
        <f>'G-1 All Habitats'!N99</f>
        <v>High</v>
      </c>
      <c r="C120" s="316">
        <f>'G-1 All Habitats'!O99</f>
        <v>0.33</v>
      </c>
      <c r="D120" s="316" t="str">
        <f>'G-1 All Habitats'!P99</f>
        <v>High</v>
      </c>
      <c r="E120" s="353">
        <f>'G-1 All Habitats'!Q99</f>
        <v>0.33</v>
      </c>
    </row>
    <row r="121" spans="1:5" ht="14">
      <c r="A121" s="975" t="str">
        <f>'G-1 All Habitats'!B100</f>
        <v>Woodland and forest - Upland oakwood</v>
      </c>
      <c r="B121" s="316" t="str">
        <f>'G-1 All Habitats'!N100</f>
        <v>High</v>
      </c>
      <c r="C121" s="316">
        <f>'G-1 All Habitats'!O100</f>
        <v>0.33</v>
      </c>
      <c r="D121" s="316" t="str">
        <f>'G-1 All Habitats'!P100</f>
        <v>High</v>
      </c>
      <c r="E121" s="353">
        <f>'G-1 All Habitats'!Q100</f>
        <v>0.33</v>
      </c>
    </row>
    <row r="122" spans="1:5" ht="14">
      <c r="A122" s="975" t="str">
        <f>'G-1 All Habitats'!B101</f>
        <v>Woodland and forest - Wet woodland</v>
      </c>
      <c r="B122" s="316" t="str">
        <f>'G-1 All Habitats'!N101</f>
        <v>Medium</v>
      </c>
      <c r="C122" s="316">
        <f>'G-1 All Habitats'!O101</f>
        <v>0.67</v>
      </c>
      <c r="D122" s="316" t="str">
        <f>'G-1 All Habitats'!P101</f>
        <v>Medium</v>
      </c>
      <c r="E122" s="353">
        <f>'G-1 All Habitats'!Q101</f>
        <v>0.67</v>
      </c>
    </row>
    <row r="123" spans="1:5" ht="14">
      <c r="A123" s="975" t="str">
        <f>'G-1 All Habitats'!B102</f>
        <v>Woodland and forest - Wood-pasture and parkland</v>
      </c>
      <c r="B123" s="316" t="str">
        <f>'G-1 All Habitats'!N102</f>
        <v>Very High</v>
      </c>
      <c r="C123" s="316">
        <f>'G-1 All Habitats'!O102</f>
        <v>0.10</v>
      </c>
      <c r="D123" s="316" t="str">
        <f>'G-1 All Habitats'!P102</f>
        <v>High</v>
      </c>
      <c r="E123" s="353">
        <f>'G-1 All Habitats'!Q102</f>
        <v>0.33</v>
      </c>
    </row>
    <row r="124" spans="1:5" ht="14">
      <c r="A124" s="975" t="str">
        <f>'G-1 All Habitats'!B130</f>
        <v>Intertidal sediment - Littoral sand</v>
      </c>
      <c r="B124" s="316" t="str">
        <f>'G-1 All Habitats'!N130</f>
        <v>Medium</v>
      </c>
      <c r="C124" s="316">
        <f>'G-1 All Habitats'!O130</f>
        <v>0.67</v>
      </c>
      <c r="D124" s="316" t="str">
        <f>'G-1 All Habitats'!P130</f>
        <v>Medium</v>
      </c>
      <c r="E124" s="353">
        <f>'G-1 All Habitats'!Q130</f>
        <v>0.67</v>
      </c>
    </row>
    <row r="125" spans="1:5" ht="14">
      <c r="A125" s="975" t="str">
        <f>'G-1 All Habitats'!B131</f>
        <v>Intertidal sediment - Littoral muddy sand</v>
      </c>
      <c r="B125" s="316" t="str">
        <f>'G-1 All Habitats'!N131</f>
        <v>High</v>
      </c>
      <c r="C125" s="316">
        <f>'G-1 All Habitats'!O131</f>
        <v>0.33</v>
      </c>
      <c r="D125" s="316" t="str">
        <f>'G-1 All Habitats'!P131</f>
        <v>Medium</v>
      </c>
      <c r="E125" s="353">
        <f>'G-1 All Habitats'!Q131</f>
        <v>0.67</v>
      </c>
    </row>
    <row r="126" spans="1:5" ht="14">
      <c r="A126" s="975" t="str">
        <f>'G-1 All Habitats'!B132</f>
        <v>Intertidal hard structures - Artificial hard structures</v>
      </c>
      <c r="B126" s="316" t="str">
        <f>'G-1 All Habitats'!N132</f>
        <v>Medium</v>
      </c>
      <c r="C126" s="316">
        <f>'G-1 All Habitats'!O132</f>
        <v>0.67</v>
      </c>
      <c r="D126" s="316" t="str">
        <f>'G-1 All Habitats'!P132</f>
        <v>Medium</v>
      </c>
      <c r="E126" s="353">
        <f>'G-1 All Habitats'!Q132</f>
        <v>0.67</v>
      </c>
    </row>
    <row r="127" spans="1:5" ht="14">
      <c r="A127" s="975" t="str">
        <f>'G-1 All Habitats'!B133</f>
        <v>Intertidal hard structures - Artificial features of hard structures</v>
      </c>
      <c r="B127" s="316" t="str">
        <f>'G-1 All Habitats'!N133</f>
        <v>Medium</v>
      </c>
      <c r="C127" s="316">
        <f>'G-1 All Habitats'!O133</f>
        <v>0.67</v>
      </c>
      <c r="D127" s="316" t="str">
        <f>'G-1 All Habitats'!P133</f>
        <v>Medium</v>
      </c>
      <c r="E127" s="353">
        <f>'G-1 All Habitats'!Q133</f>
        <v>0.67</v>
      </c>
    </row>
    <row r="128" spans="1:5" ht="14">
      <c r="A128" s="975" t="str">
        <f>'G-1 All Habitats'!B134</f>
        <v>Intertidal hard structures - Artificial hard structures with integrated greening of grey infrastructure (IGGI)</v>
      </c>
      <c r="B128" s="316" t="str">
        <f>'G-1 All Habitats'!N134</f>
        <v>Medium</v>
      </c>
      <c r="C128" s="316">
        <f>'G-1 All Habitats'!O134</f>
        <v>0.67</v>
      </c>
      <c r="D128" s="316" t="str">
        <f>'G-1 All Habitats'!P134</f>
        <v>Medium</v>
      </c>
      <c r="E128" s="353">
        <f>'G-1 All Habitats'!Q134</f>
        <v>0.67</v>
      </c>
    </row>
    <row r="129" spans="1:5" ht="14">
      <c r="A129" s="975" t="str">
        <f>'G-1 All Habitats'!B114</f>
        <v>Coastal saltmarsh - Artificial saltmarshes and saline reedbeds</v>
      </c>
      <c r="B129" s="316" t="str">
        <f>'G-1 All Habitats'!N114</f>
        <v>High</v>
      </c>
      <c r="C129" s="316">
        <f>'G-1 All Habitats'!O114</f>
        <v>0.33</v>
      </c>
      <c r="D129" s="316" t="str">
        <f>'G-1 All Habitats'!P114</f>
        <v>Medium</v>
      </c>
      <c r="E129" s="353">
        <f>'G-1 All Habitats'!Q114</f>
        <v>0.67</v>
      </c>
    </row>
    <row r="130" spans="1:5" ht="14">
      <c r="A130" s="975" t="str">
        <f>'G-1 All Habitats'!B120</f>
        <v>Intertidal sediment - Littoral biogenic reefs - Mussels</v>
      </c>
      <c r="B130" s="316" t="str">
        <f>'G-1 All Habitats'!N120</f>
        <v>High</v>
      </c>
      <c r="C130" s="316">
        <f>'G-1 All Habitats'!O120</f>
        <v>0.33</v>
      </c>
      <c r="D130" s="316" t="str">
        <f>'G-1 All Habitats'!P120</f>
        <v>Medium</v>
      </c>
      <c r="E130" s="353">
        <f>'G-1 All Habitats'!Q120</f>
        <v>0.67</v>
      </c>
    </row>
    <row r="131" spans="1:5" ht="14">
      <c r="A131" s="975" t="str">
        <f>'G-1 All Habitats'!B124</f>
        <v>Intertidal sediment - Artificial littoral mud</v>
      </c>
      <c r="B131" s="316" t="str">
        <f>'G-1 All Habitats'!N124</f>
        <v>High</v>
      </c>
      <c r="C131" s="316">
        <f>'G-1 All Habitats'!O124</f>
        <v>0.33</v>
      </c>
      <c r="D131" s="316" t="str">
        <f>'G-1 All Habitats'!P124</f>
        <v>Medium</v>
      </c>
      <c r="E131" s="353">
        <f>'G-1 All Habitats'!Q124</f>
        <v>0.67</v>
      </c>
    </row>
    <row r="132" spans="1:5" ht="14">
      <c r="A132" s="975" t="str">
        <f>'G-1 All Habitats'!B125</f>
        <v>Intertidal sediment - Artificial littoral sand</v>
      </c>
      <c r="B132" s="316" t="str">
        <f>'G-1 All Habitats'!N125</f>
        <v>Medium</v>
      </c>
      <c r="C132" s="316">
        <f>'G-1 All Habitats'!O125</f>
        <v>0.67</v>
      </c>
      <c r="D132" s="316" t="str">
        <f>'G-1 All Habitats'!P125</f>
        <v>Medium</v>
      </c>
      <c r="E132" s="353">
        <f>'G-1 All Habitats'!Q125</f>
        <v>0.67</v>
      </c>
    </row>
    <row r="133" spans="1:5" ht="14">
      <c r="A133" s="975" t="s">
        <v>1046</v>
      </c>
      <c r="B133" s="316" t="s">
        <v>197</v>
      </c>
      <c r="C133" s="316">
        <v>1</v>
      </c>
      <c r="D133" s="316" t="s">
        <v>197</v>
      </c>
      <c r="E133" s="353">
        <v>1</v>
      </c>
    </row>
    <row r="134" spans="1:5" ht="14.5" thickBot="1">
      <c r="A134" s="976" t="str">
        <f>'G-1 All Habitats'!B81</f>
        <v>Individual trees - Rural tree</v>
      </c>
      <c r="B134" s="301" t="str">
        <f>'G-1 All Habitats'!N81</f>
        <v>Low</v>
      </c>
      <c r="C134" s="301">
        <f>'G-1 All Habitats'!O81</f>
        <v>1</v>
      </c>
      <c r="D134" s="301" t="str">
        <f>'G-1 All Habitats'!P81</f>
        <v>Low</v>
      </c>
      <c r="E134" s="345">
        <f>'G-1 All Habitats'!Q81</f>
        <v>1</v>
      </c>
    </row>
    <row r="135" ht="14"/>
    <row r="136" ht="14"/>
    <row r="137" ht="14"/>
    <row r="138" ht="14"/>
    <row r="139" ht="14"/>
    <row r="140" ht="14"/>
    <row r="141" ht="14"/>
    <row r="142" ht="14"/>
    <row r="143" ht="14"/>
    <row r="144" ht="14"/>
    <row r="145" ht="14"/>
    <row r="146" ht="14"/>
  </sheetData>
  <sheetProtection algorithmName="SHA-512" hashValue="M9zSl3/ELiYr/qmTW3Y8xQbaOwg02N1h5eLXEd9MzxZq+ntB5Os5Rgb+SlLnQin6qL404AEkhKHE+7l2WI6j1w==" saltValue="0NW1Rcgb4tHAccw4q98MlA==" spinCount="100000" sheet="1" objects="1" scenarios="1"/>
  <customSheetViews>
    <customSheetView guid="{8bda793c-c9c5-4fc6-a0a5-f1109f6d4f22}" state="hidden" topLeftCell="A1">
      <selection pane="topLeft" activeCell="D14" sqref="D14"/>
      <pageMargins left="0.75" right="0.75" top="1" bottom="1" header="0.5" footer="0.5"/>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formula1>$P$3:$P$6</formula1>
    </dataValidation>
    <dataValidation type="list" allowBlank="1" showInputMessage="1" showErrorMessage="1" sqref="C3:C134">
      <formula1>$Q$3:$Q$6</formula1>
    </dataValidation>
  </dataValidations>
  <pageMargins left="0.7" right="0.7" top="0.75" bottom="0.75" header="0.3" footer="0.3"/>
  <pageSetup orientation="portrait" paperSize="9"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M135"/>
  <sheetViews>
    <sheetView zoomScale="80" zoomScaleNormal="80" workbookViewId="0" topLeftCell="A1">
      <pane xSplit="6" ySplit="3" topLeftCell="G4" activePane="bottomRight" state="frozen"/>
      <selection pane="topLeft" activeCell="A1" sqref="A1"/>
      <selection pane="bottomLeft" activeCell="A4" sqref="A4"/>
      <selection pane="topRight" activeCell="G1" sqref="G1"/>
      <selection pane="bottomRight" activeCell="A1" sqref="A1:C1"/>
    </sheetView>
  </sheetViews>
  <sheetFormatPr defaultColWidth="0" defaultRowHeight="14" zeroHeight="1"/>
  <cols>
    <col min="1" max="1" width="14.5714285714286" style="30" hidden="1" customWidth="1"/>
    <col min="2" max="2" width="16.5714285714286" style="30" hidden="1" customWidth="1"/>
    <col min="3" max="3" width="16.4285714285714" style="30" hidden="1" customWidth="1"/>
    <col min="4" max="4" width="3" style="30" customWidth="1"/>
    <col min="5" max="5" width="4.42857142857143" style="30" customWidth="1"/>
    <col min="6" max="6" width="88.5714285714286" style="30" bestFit="1" customWidth="1"/>
    <col min="7" max="7" width="16.4285714285714" style="30" customWidth="1"/>
    <col min="8" max="8" width="18.5714285714286" style="30" bestFit="1" customWidth="1"/>
    <col min="9" max="9" width="16.5714285714286" style="30" bestFit="1" customWidth="1"/>
    <col min="10" max="10" width="17.5714285714286" style="30" bestFit="1" customWidth="1"/>
    <col min="11" max="11" width="16" style="30" customWidth="1"/>
    <col min="12" max="12" width="23.5714285714286" style="30" bestFit="1" customWidth="1"/>
    <col min="13" max="13" width="18.5714285714286" style="30" bestFit="1" customWidth="1"/>
    <col min="14" max="14" width="9.42857142857143" style="30" customWidth="1"/>
    <col min="15" max="16" width="12.4285714285714" style="30" hidden="1" customWidth="1"/>
    <col min="17" max="17" width="12.5714285714286" style="30" hidden="1" customWidth="1"/>
    <col min="18" max="18" width="11.4285714285714" style="30" hidden="1" customWidth="1"/>
    <col min="19" max="29" width="9.42857142857143" style="30" hidden="1" customWidth="1"/>
    <col min="30" max="32" width="9.42857142857143" style="30" customWidth="1"/>
    <col min="33" max="16384" width="13.5714285714286" style="30" hidden="1"/>
  </cols>
  <sheetData>
    <row r="1" spans="1:13" ht="55.4" customHeight="1">
      <c r="A1" s="1805"/>
      <c r="B1" s="1805"/>
      <c r="C1" s="1805"/>
      <c r="F1" s="182"/>
      <c r="G1" s="182"/>
      <c r="H1" s="182"/>
      <c r="I1" s="182"/>
      <c r="J1" s="182"/>
      <c r="K1" s="182"/>
      <c r="L1" s="182"/>
      <c r="M1" s="182"/>
    </row>
    <row r="2" spans="1:13" ht="29.9" customHeight="1">
      <c r="A2" s="1899" t="s">
        <v>1154</v>
      </c>
      <c r="B2" s="1899"/>
      <c r="C2" s="1899"/>
      <c r="F2" s="183"/>
      <c r="G2" s="1900" t="s">
        <v>732</v>
      </c>
      <c r="H2" s="1900"/>
      <c r="I2" s="1900"/>
      <c r="J2" s="1900"/>
      <c r="K2" s="1900"/>
      <c r="L2" s="1900"/>
      <c r="M2" s="1901"/>
    </row>
    <row r="3" spans="1:13" ht="28">
      <c r="A3" s="69" t="s">
        <v>1155</v>
      </c>
      <c r="B3" s="69" t="s">
        <v>1156</v>
      </c>
      <c r="C3" s="69" t="s">
        <v>1157</v>
      </c>
      <c r="F3" s="184" t="s">
        <v>1053</v>
      </c>
      <c r="G3" s="70" t="s">
        <v>44</v>
      </c>
      <c r="H3" s="70" t="s">
        <v>653</v>
      </c>
      <c r="I3" s="70" t="s">
        <v>43</v>
      </c>
      <c r="J3" s="70" t="s">
        <v>662</v>
      </c>
      <c r="K3" s="87" t="s">
        <v>345</v>
      </c>
      <c r="L3" s="87" t="s">
        <v>445</v>
      </c>
      <c r="M3" s="70" t="s">
        <v>362</v>
      </c>
    </row>
    <row r="4" spans="1:13" ht="14">
      <c r="A4" s="70">
        <v>0</v>
      </c>
      <c r="B4" s="316">
        <v>100</v>
      </c>
      <c r="C4" s="379">
        <v>1</v>
      </c>
      <c r="F4" s="62" t="str">
        <f>'G-1 All Habitats'!B3</f>
        <v>Cropland - Arable field margins cultivated annually</v>
      </c>
      <c r="G4" s="316" t="s">
        <v>1158</v>
      </c>
      <c r="H4" s="316" t="s">
        <v>1158</v>
      </c>
      <c r="I4" s="316" t="s">
        <v>1158</v>
      </c>
      <c r="J4" s="316" t="s">
        <v>1158</v>
      </c>
      <c r="K4" s="316" t="s">
        <v>1158</v>
      </c>
      <c r="L4" s="316">
        <v>1</v>
      </c>
      <c r="M4" s="316" t="s">
        <v>1158</v>
      </c>
    </row>
    <row r="5" spans="1:13" ht="14">
      <c r="A5" s="70">
        <v>1</v>
      </c>
      <c r="B5" s="316">
        <v>96.50</v>
      </c>
      <c r="C5" s="379">
        <v>0.965</v>
      </c>
      <c r="F5" s="62" t="str">
        <f>'G-1 All Habitats'!B4</f>
        <v>Cropland - Arable field margins game bird mix</v>
      </c>
      <c r="G5" s="316" t="s">
        <v>1158</v>
      </c>
      <c r="H5" s="316" t="s">
        <v>1158</v>
      </c>
      <c r="I5" s="316" t="s">
        <v>1158</v>
      </c>
      <c r="J5" s="316" t="s">
        <v>1158</v>
      </c>
      <c r="K5" s="316" t="s">
        <v>1158</v>
      </c>
      <c r="L5" s="316">
        <v>1</v>
      </c>
      <c r="M5" s="316" t="s">
        <v>1158</v>
      </c>
    </row>
    <row r="6" spans="1:13" ht="14">
      <c r="A6" s="70">
        <v>2</v>
      </c>
      <c r="B6" s="316">
        <v>93.1225</v>
      </c>
      <c r="C6" s="379">
        <v>0.931225</v>
      </c>
      <c r="F6" s="62" t="str">
        <f>'G-1 All Habitats'!B5</f>
        <v>Cropland - Arable field margins pollen and nectar</v>
      </c>
      <c r="G6" s="316" t="s">
        <v>1158</v>
      </c>
      <c r="H6" s="316" t="s">
        <v>1158</v>
      </c>
      <c r="I6" s="316" t="s">
        <v>1158</v>
      </c>
      <c r="J6" s="316" t="s">
        <v>1158</v>
      </c>
      <c r="K6" s="316" t="s">
        <v>1158</v>
      </c>
      <c r="L6" s="316">
        <v>1</v>
      </c>
      <c r="M6" s="316" t="s">
        <v>1158</v>
      </c>
    </row>
    <row r="7" spans="1:13" ht="14">
      <c r="A7" s="70">
        <v>3</v>
      </c>
      <c r="B7" s="316">
        <v>89.8632125</v>
      </c>
      <c r="C7" s="379">
        <v>0.898632125</v>
      </c>
      <c r="F7" s="62" t="str">
        <f>'G-1 All Habitats'!B6</f>
        <v>Cropland - Arable field margins tussocky</v>
      </c>
      <c r="G7" s="316" t="s">
        <v>1158</v>
      </c>
      <c r="H7" s="316" t="s">
        <v>1158</v>
      </c>
      <c r="I7" s="316" t="s">
        <v>1158</v>
      </c>
      <c r="J7" s="316" t="s">
        <v>1158</v>
      </c>
      <c r="K7" s="316" t="s">
        <v>1158</v>
      </c>
      <c r="L7" s="316">
        <v>1</v>
      </c>
      <c r="M7" s="316" t="s">
        <v>1158</v>
      </c>
    </row>
    <row r="8" spans="1:13" ht="14">
      <c r="A8" s="70">
        <v>4</v>
      </c>
      <c r="B8" s="316">
        <v>86.71800006</v>
      </c>
      <c r="C8" s="379">
        <v>0.8671800005999999</v>
      </c>
      <c r="F8" s="62" t="str">
        <f>'G-1 All Habitats'!B7</f>
        <v>Cropland - Cereal crops</v>
      </c>
      <c r="G8" s="316" t="s">
        <v>1158</v>
      </c>
      <c r="H8" s="316" t="s">
        <v>1158</v>
      </c>
      <c r="I8" s="316" t="s">
        <v>1158</v>
      </c>
      <c r="J8" s="316" t="s">
        <v>1158</v>
      </c>
      <c r="K8" s="316" t="s">
        <v>1158</v>
      </c>
      <c r="L8" s="316">
        <v>1</v>
      </c>
      <c r="M8" s="316" t="s">
        <v>1158</v>
      </c>
    </row>
    <row r="9" spans="1:13" ht="14">
      <c r="A9" s="70">
        <v>5</v>
      </c>
      <c r="B9" s="316">
        <v>83.68287006</v>
      </c>
      <c r="C9" s="379">
        <v>0.8368287006</v>
      </c>
      <c r="F9" s="62" t="str">
        <f>'G-1 All Habitats'!B8</f>
        <v>Cropland - Winter stubble</v>
      </c>
      <c r="G9" s="316" t="s">
        <v>1158</v>
      </c>
      <c r="H9" s="316" t="s">
        <v>1158</v>
      </c>
      <c r="I9" s="316" t="s">
        <v>1158</v>
      </c>
      <c r="J9" s="316" t="s">
        <v>1158</v>
      </c>
      <c r="K9" s="316" t="s">
        <v>1158</v>
      </c>
      <c r="L9" s="316">
        <v>1</v>
      </c>
      <c r="M9" s="316" t="s">
        <v>1158</v>
      </c>
    </row>
    <row r="10" spans="1:13" ht="14">
      <c r="A10" s="70">
        <v>6</v>
      </c>
      <c r="B10" s="316">
        <v>80.75396961</v>
      </c>
      <c r="C10" s="379">
        <v>0.8075396961</v>
      </c>
      <c r="F10" s="62" t="str">
        <f>'G-1 All Habitats'!B9</f>
        <v>Cropland - Horticulture</v>
      </c>
      <c r="G10" s="316" t="s">
        <v>1158</v>
      </c>
      <c r="H10" s="316" t="s">
        <v>1158</v>
      </c>
      <c r="I10" s="316" t="s">
        <v>1158</v>
      </c>
      <c r="J10" s="316" t="s">
        <v>1158</v>
      </c>
      <c r="K10" s="316" t="s">
        <v>1158</v>
      </c>
      <c r="L10" s="316">
        <v>1</v>
      </c>
      <c r="M10" s="316" t="s">
        <v>1158</v>
      </c>
    </row>
    <row r="11" spans="1:13" ht="14">
      <c r="A11" s="70">
        <v>7</v>
      </c>
      <c r="B11" s="316">
        <v>77.92758067</v>
      </c>
      <c r="C11" s="379">
        <v>0.7792758067</v>
      </c>
      <c r="F11" s="62" t="str">
        <f>'G-1 All Habitats'!B10</f>
        <v>Cropland - Intensive orchards</v>
      </c>
      <c r="G11" s="316" t="s">
        <v>1158</v>
      </c>
      <c r="H11" s="316" t="s">
        <v>1158</v>
      </c>
      <c r="I11" s="316" t="s">
        <v>1158</v>
      </c>
      <c r="J11" s="316" t="s">
        <v>1158</v>
      </c>
      <c r="K11" s="316" t="s">
        <v>1158</v>
      </c>
      <c r="L11" s="316">
        <v>1</v>
      </c>
      <c r="M11" s="316" t="s">
        <v>1158</v>
      </c>
    </row>
    <row r="12" spans="1:13" ht="14">
      <c r="A12" s="70">
        <v>8</v>
      </c>
      <c r="B12" s="316">
        <v>75.20011535</v>
      </c>
      <c r="C12" s="379">
        <v>0.7520011535000001</v>
      </c>
      <c r="F12" s="62" t="str">
        <f>'G-1 All Habitats'!B11</f>
        <v>Cropland - Non-cereal crops</v>
      </c>
      <c r="G12" s="316" t="s">
        <v>1158</v>
      </c>
      <c r="H12" s="316" t="s">
        <v>1158</v>
      </c>
      <c r="I12" s="316" t="s">
        <v>1158</v>
      </c>
      <c r="J12" s="316" t="s">
        <v>1158</v>
      </c>
      <c r="K12" s="316" t="s">
        <v>1158</v>
      </c>
      <c r="L12" s="316">
        <v>1</v>
      </c>
      <c r="M12" s="316" t="s">
        <v>1158</v>
      </c>
    </row>
    <row r="13" spans="1:13" ht="14">
      <c r="A13" s="70">
        <v>9</v>
      </c>
      <c r="B13" s="316">
        <v>72.56811131</v>
      </c>
      <c r="C13" s="379">
        <v>0.7256811131</v>
      </c>
      <c r="F13" s="62" t="str">
        <f>'G-1 All Habitats'!B12</f>
        <v>Cropland - Temporary grass and clover leys</v>
      </c>
      <c r="G13" s="316" t="s">
        <v>1158</v>
      </c>
      <c r="H13" s="316" t="s">
        <v>1158</v>
      </c>
      <c r="I13" s="316" t="s">
        <v>1158</v>
      </c>
      <c r="J13" s="316" t="s">
        <v>1158</v>
      </c>
      <c r="K13" s="316" t="s">
        <v>1158</v>
      </c>
      <c r="L13" s="316">
        <v>1</v>
      </c>
      <c r="M13" s="316" t="s">
        <v>1158</v>
      </c>
    </row>
    <row r="14" spans="1:13" ht="14">
      <c r="A14" s="70">
        <v>10</v>
      </c>
      <c r="B14" s="316">
        <v>70.02822742</v>
      </c>
      <c r="C14" s="379">
        <v>0.7002822741999999</v>
      </c>
      <c r="F14" s="62" t="str">
        <f>'G-1 All Habitats'!B13</f>
        <v>Grassland - Traditional orchards</v>
      </c>
      <c r="G14" s="316">
        <v>30</v>
      </c>
      <c r="H14" s="316">
        <v>25</v>
      </c>
      <c r="I14" s="316">
        <v>20</v>
      </c>
      <c r="J14" s="316">
        <v>10</v>
      </c>
      <c r="K14" s="316">
        <v>5</v>
      </c>
      <c r="L14" s="316" t="s">
        <v>1158</v>
      </c>
      <c r="M14" s="316" t="s">
        <v>1158</v>
      </c>
    </row>
    <row r="15" spans="1:13" ht="14">
      <c r="A15" s="70">
        <v>11</v>
      </c>
      <c r="B15" s="316">
        <v>67.57723946</v>
      </c>
      <c r="C15" s="379">
        <v>0.6757723946</v>
      </c>
      <c r="F15" s="62" t="str">
        <f>'G-1 All Habitats'!B14</f>
        <v>Grassland - Bracken</v>
      </c>
      <c r="G15" s="316" t="s">
        <v>1158</v>
      </c>
      <c r="H15" s="316" t="s">
        <v>1158</v>
      </c>
      <c r="I15" s="316" t="s">
        <v>1158</v>
      </c>
      <c r="J15" s="316" t="s">
        <v>1158</v>
      </c>
      <c r="K15" s="316" t="s">
        <v>1158</v>
      </c>
      <c r="L15" s="316">
        <v>1</v>
      </c>
      <c r="M15" s="316" t="s">
        <v>1158</v>
      </c>
    </row>
    <row r="16" spans="1:13" ht="14">
      <c r="A16" s="70">
        <v>12</v>
      </c>
      <c r="B16" s="316">
        <v>65.21203607</v>
      </c>
      <c r="C16" s="379">
        <v>0.6521203607</v>
      </c>
      <c r="F16" s="62" t="str">
        <f>'G-1 All Habitats'!B15</f>
        <v>Grassland - Floodplain wetland mosaic and CFGM</v>
      </c>
      <c r="G16" s="316">
        <v>20</v>
      </c>
      <c r="H16" s="316">
        <v>15</v>
      </c>
      <c r="I16" s="316">
        <v>10</v>
      </c>
      <c r="J16" s="316">
        <v>8</v>
      </c>
      <c r="K16" s="316">
        <v>5</v>
      </c>
      <c r="L16" s="316" t="s">
        <v>1158</v>
      </c>
      <c r="M16" s="316" t="s">
        <v>1158</v>
      </c>
    </row>
    <row r="17" spans="1:13" ht="14">
      <c r="A17" s="70">
        <v>13</v>
      </c>
      <c r="B17" s="316">
        <v>62.92961481</v>
      </c>
      <c r="C17" s="379">
        <v>0.6292961481</v>
      </c>
      <c r="F17" s="62" t="str">
        <f>'G-1 All Habitats'!B16</f>
        <v>Grassland - Lowland calcareous grassland</v>
      </c>
      <c r="G17" s="316">
        <v>20</v>
      </c>
      <c r="H17" s="316">
        <v>15</v>
      </c>
      <c r="I17" s="316">
        <v>10</v>
      </c>
      <c r="J17" s="316">
        <v>8</v>
      </c>
      <c r="K17" s="316">
        <v>5</v>
      </c>
      <c r="L17" s="316" t="s">
        <v>1158</v>
      </c>
      <c r="M17" s="316" t="s">
        <v>1158</v>
      </c>
    </row>
    <row r="18" spans="1:13" ht="14">
      <c r="A18" s="70">
        <v>14</v>
      </c>
      <c r="B18" s="316">
        <v>60.72707829</v>
      </c>
      <c r="C18" s="379">
        <v>0.6072707829</v>
      </c>
      <c r="F18" s="62" t="str">
        <f>'G-1 All Habitats'!B17</f>
        <v>Grassland - Lowland dry acid grassland</v>
      </c>
      <c r="G18" s="316" t="s">
        <v>1159</v>
      </c>
      <c r="H18" s="316">
        <v>25</v>
      </c>
      <c r="I18" s="316">
        <v>20</v>
      </c>
      <c r="J18" s="316">
        <v>15</v>
      </c>
      <c r="K18" s="316">
        <v>10</v>
      </c>
      <c r="L18" s="316" t="s">
        <v>1158</v>
      </c>
      <c r="M18" s="316" t="s">
        <v>1158</v>
      </c>
    </row>
    <row r="19" spans="1:13" ht="14">
      <c r="A19" s="70">
        <v>15</v>
      </c>
      <c r="B19" s="316">
        <v>58.60163055</v>
      </c>
      <c r="C19" s="379">
        <v>0.5860163055000001</v>
      </c>
      <c r="F19" s="62" t="str">
        <f>'G-1 All Habitats'!B18</f>
        <v>Grassland - Lowland meadows</v>
      </c>
      <c r="G19" s="316">
        <v>15</v>
      </c>
      <c r="H19" s="316">
        <v>12</v>
      </c>
      <c r="I19" s="316">
        <v>10</v>
      </c>
      <c r="J19" s="316">
        <v>8</v>
      </c>
      <c r="K19" s="316">
        <v>5</v>
      </c>
      <c r="L19" s="316" t="s">
        <v>1158</v>
      </c>
      <c r="M19" s="316" t="s">
        <v>1158</v>
      </c>
    </row>
    <row r="20" spans="1:13" ht="14">
      <c r="A20" s="70">
        <v>16</v>
      </c>
      <c r="B20" s="316">
        <v>56.55057348</v>
      </c>
      <c r="C20" s="379">
        <v>0.5655057348</v>
      </c>
      <c r="F20" s="62" t="str">
        <f>'G-1 All Habitats'!B19</f>
        <v>Grassland - Modified grassland</v>
      </c>
      <c r="G20" s="316">
        <v>7</v>
      </c>
      <c r="H20" s="316">
        <v>5</v>
      </c>
      <c r="I20" s="316">
        <v>4</v>
      </c>
      <c r="J20" s="316">
        <v>2</v>
      </c>
      <c r="K20" s="316">
        <v>1</v>
      </c>
      <c r="L20" s="316" t="s">
        <v>1158</v>
      </c>
      <c r="M20" s="316" t="s">
        <v>1158</v>
      </c>
    </row>
    <row r="21" spans="1:13" ht="15" customHeight="1">
      <c r="A21" s="70">
        <v>17</v>
      </c>
      <c r="B21" s="316">
        <v>54.57130341</v>
      </c>
      <c r="C21" s="379">
        <v>0.5457130340999999</v>
      </c>
      <c r="F21" s="62" t="str">
        <f>'G-1 All Habitats'!B20</f>
        <v>Grassland - Other lowland acid grassland</v>
      </c>
      <c r="G21" s="316">
        <v>15</v>
      </c>
      <c r="H21" s="316">
        <v>12</v>
      </c>
      <c r="I21" s="316">
        <v>10</v>
      </c>
      <c r="J21" s="316">
        <v>5</v>
      </c>
      <c r="K21" s="316">
        <v>1</v>
      </c>
      <c r="L21" s="316" t="s">
        <v>1158</v>
      </c>
      <c r="M21" s="316" t="s">
        <v>1158</v>
      </c>
    </row>
    <row r="22" spans="1:13" ht="15" customHeight="1">
      <c r="A22" s="70">
        <v>18</v>
      </c>
      <c r="B22" s="316">
        <v>52.66130779</v>
      </c>
      <c r="C22" s="379">
        <v>0.5266130779</v>
      </c>
      <c r="F22" s="62" t="str">
        <f>'G-1 All Habitats'!B21</f>
        <v>Grassland - Other neutral grassland</v>
      </c>
      <c r="G22" s="316">
        <v>10</v>
      </c>
      <c r="H22" s="316">
        <v>7</v>
      </c>
      <c r="I22" s="316">
        <v>5</v>
      </c>
      <c r="J22" s="316">
        <v>3</v>
      </c>
      <c r="K22" s="316">
        <v>2</v>
      </c>
      <c r="L22" s="316" t="s">
        <v>1158</v>
      </c>
      <c r="M22" s="316" t="s">
        <v>1158</v>
      </c>
    </row>
    <row r="23" spans="1:13" ht="15" customHeight="1">
      <c r="A23" s="70">
        <v>19</v>
      </c>
      <c r="B23" s="316">
        <v>50.81816202</v>
      </c>
      <c r="C23" s="379">
        <v>0.5081816202</v>
      </c>
      <c r="F23" s="62" t="str">
        <f>'G-1 All Habitats'!B22</f>
        <v>Grassland - Tall herb communities (H6430)</v>
      </c>
      <c r="G23" s="316">
        <v>30</v>
      </c>
      <c r="H23" s="316">
        <v>25</v>
      </c>
      <c r="I23" s="316">
        <v>20</v>
      </c>
      <c r="J23" s="316">
        <v>15</v>
      </c>
      <c r="K23" s="316">
        <v>10</v>
      </c>
      <c r="L23" s="316" t="s">
        <v>1158</v>
      </c>
      <c r="M23" s="316" t="s">
        <v>1158</v>
      </c>
    </row>
    <row r="24" spans="1:13" ht="15" customHeight="1">
      <c r="A24" s="70">
        <v>20</v>
      </c>
      <c r="B24" s="316">
        <v>49.03952635</v>
      </c>
      <c r="C24" s="379">
        <v>0.4903952635</v>
      </c>
      <c r="F24" s="62" t="str">
        <f>'G-1 All Habitats'!B23</f>
        <v>Grassland - Upland acid grassland</v>
      </c>
      <c r="G24" s="316">
        <v>15</v>
      </c>
      <c r="H24" s="316">
        <v>12</v>
      </c>
      <c r="I24" s="316">
        <v>10</v>
      </c>
      <c r="J24" s="316">
        <v>5</v>
      </c>
      <c r="K24" s="316">
        <v>1</v>
      </c>
      <c r="L24" s="316" t="s">
        <v>1158</v>
      </c>
      <c r="M24" s="316" t="s">
        <v>1158</v>
      </c>
    </row>
    <row r="25" spans="1:13" ht="15" customHeight="1">
      <c r="A25" s="70">
        <v>21</v>
      </c>
      <c r="B25" s="316">
        <v>47.32314293</v>
      </c>
      <c r="C25" s="379">
        <v>0.4732314293</v>
      </c>
      <c r="F25" s="62" t="str">
        <f>'G-1 All Habitats'!B24</f>
        <v>Grassland - Upland calcareous grassland</v>
      </c>
      <c r="G25" s="316">
        <v>25</v>
      </c>
      <c r="H25" s="316">
        <v>20</v>
      </c>
      <c r="I25" s="316">
        <v>15</v>
      </c>
      <c r="J25" s="316">
        <v>12</v>
      </c>
      <c r="K25" s="316">
        <v>10</v>
      </c>
      <c r="L25" s="316" t="s">
        <v>1158</v>
      </c>
      <c r="M25" s="316" t="s">
        <v>1158</v>
      </c>
    </row>
    <row r="26" spans="1:13" ht="15" customHeight="1">
      <c r="A26" s="70">
        <v>22</v>
      </c>
      <c r="B26" s="316">
        <v>45.66683292</v>
      </c>
      <c r="C26" s="379">
        <v>0.4566683292</v>
      </c>
      <c r="F26" s="62" t="str">
        <f>'G-1 All Habitats'!B25</f>
        <v>Grassland - Upland hay meadows</v>
      </c>
      <c r="G26" s="316">
        <v>20</v>
      </c>
      <c r="H26" s="316">
        <v>18</v>
      </c>
      <c r="I26" s="316">
        <v>15</v>
      </c>
      <c r="J26" s="316">
        <v>12</v>
      </c>
      <c r="K26" s="316">
        <v>10</v>
      </c>
      <c r="L26" s="316" t="s">
        <v>1158</v>
      </c>
      <c r="M26" s="316" t="s">
        <v>1158</v>
      </c>
    </row>
    <row r="27" spans="1:13" ht="14">
      <c r="A27" s="70">
        <v>23</v>
      </c>
      <c r="B27" s="316">
        <v>44.06849377</v>
      </c>
      <c r="C27" s="379">
        <v>0.44068493770000006</v>
      </c>
      <c r="F27" s="62" t="str">
        <f>'G-1 All Habitats'!B26</f>
        <v>Heathland and shrub - Blackthorn scrub</v>
      </c>
      <c r="G27" s="316">
        <v>10</v>
      </c>
      <c r="H27" s="316">
        <v>7</v>
      </c>
      <c r="I27" s="316">
        <v>5</v>
      </c>
      <c r="J27" s="316">
        <v>3</v>
      </c>
      <c r="K27" s="316">
        <v>1</v>
      </c>
      <c r="L27" s="316" t="s">
        <v>1158</v>
      </c>
      <c r="M27" s="316" t="s">
        <v>1158</v>
      </c>
    </row>
    <row r="28" spans="1:13" ht="14">
      <c r="A28" s="70">
        <v>24</v>
      </c>
      <c r="B28" s="316">
        <v>42.52609649</v>
      </c>
      <c r="C28" s="379">
        <v>0.4252609649</v>
      </c>
      <c r="F28" s="62" t="str">
        <f>'G-1 All Habitats'!B27</f>
        <v>Heathland and shrub - Bramble scrub</v>
      </c>
      <c r="G28" s="316" t="s">
        <v>1158</v>
      </c>
      <c r="H28" s="316" t="s">
        <v>1158</v>
      </c>
      <c r="I28" s="316" t="s">
        <v>1158</v>
      </c>
      <c r="J28" s="316" t="s">
        <v>1158</v>
      </c>
      <c r="K28" s="316" t="s">
        <v>1158</v>
      </c>
      <c r="L28" s="316">
        <v>1</v>
      </c>
      <c r="M28" s="316" t="s">
        <v>1158</v>
      </c>
    </row>
    <row r="29" spans="1:13" ht="14">
      <c r="A29" s="70">
        <v>25</v>
      </c>
      <c r="B29" s="316">
        <v>41.03768311</v>
      </c>
      <c r="C29" s="379">
        <v>0.4103768311</v>
      </c>
      <c r="F29" s="62" t="str">
        <f>'G-1 All Habitats'!B28</f>
        <v>Heathland and shrub - Gorse scrub</v>
      </c>
      <c r="G29" s="316">
        <v>10</v>
      </c>
      <c r="H29" s="316">
        <v>7</v>
      </c>
      <c r="I29" s="316">
        <v>5</v>
      </c>
      <c r="J29" s="316">
        <v>3</v>
      </c>
      <c r="K29" s="316">
        <v>1</v>
      </c>
      <c r="L29" s="316" t="s">
        <v>1158</v>
      </c>
      <c r="M29" s="316" t="s">
        <v>1158</v>
      </c>
    </row>
    <row r="30" spans="1:13" ht="14">
      <c r="A30" s="70">
        <v>26</v>
      </c>
      <c r="B30" s="316">
        <v>39.6013642</v>
      </c>
      <c r="C30" s="379">
        <v>0.396013642</v>
      </c>
      <c r="F30" s="62" t="str">
        <f>'G-1 All Habitats'!B29</f>
        <v>Heathland and shrub - Hawthorn scrub</v>
      </c>
      <c r="G30" s="316">
        <v>10</v>
      </c>
      <c r="H30" s="316">
        <v>7</v>
      </c>
      <c r="I30" s="316">
        <v>5</v>
      </c>
      <c r="J30" s="316">
        <v>3</v>
      </c>
      <c r="K30" s="316">
        <v>1</v>
      </c>
      <c r="L30" s="316" t="s">
        <v>1158</v>
      </c>
      <c r="M30" s="316" t="s">
        <v>1158</v>
      </c>
    </row>
    <row r="31" spans="1:13" ht="14">
      <c r="A31" s="70">
        <v>27</v>
      </c>
      <c r="B31" s="316">
        <v>38.21531646</v>
      </c>
      <c r="C31" s="379">
        <v>0.3821531646</v>
      </c>
      <c r="F31" s="62" t="str">
        <f>'G-1 All Habitats'!B30</f>
        <v>Heathland and shrub - Hazel scrub</v>
      </c>
      <c r="G31" s="316">
        <v>15</v>
      </c>
      <c r="H31" s="316">
        <v>12</v>
      </c>
      <c r="I31" s="316">
        <v>10</v>
      </c>
      <c r="J31" s="316">
        <v>7</v>
      </c>
      <c r="K31" s="316">
        <v>5</v>
      </c>
      <c r="L31" s="316" t="s">
        <v>1158</v>
      </c>
      <c r="M31" s="316" t="s">
        <v>1158</v>
      </c>
    </row>
    <row r="32" spans="1:13" ht="14">
      <c r="A32" s="70">
        <v>28</v>
      </c>
      <c r="B32" s="316">
        <v>36.87778038</v>
      </c>
      <c r="C32" s="379">
        <v>0.36877780379999997</v>
      </c>
      <c r="F32" s="62" t="s">
        <v>779</v>
      </c>
      <c r="G32" s="316">
        <v>15</v>
      </c>
      <c r="H32" s="316">
        <v>12</v>
      </c>
      <c r="I32" s="316">
        <v>10</v>
      </c>
      <c r="J32" s="316">
        <v>7</v>
      </c>
      <c r="K32" s="316">
        <v>5</v>
      </c>
      <c r="L32" s="316" t="s">
        <v>1158</v>
      </c>
      <c r="M32" s="316" t="s">
        <v>1158</v>
      </c>
    </row>
    <row r="33" spans="1:13" ht="14">
      <c r="A33" s="70">
        <v>29</v>
      </c>
      <c r="B33" s="316">
        <v>35.58705807</v>
      </c>
      <c r="C33" s="379">
        <v>0.3558705807</v>
      </c>
      <c r="F33" s="62" t="str">
        <f>'G-1 All Habitats'!B31</f>
        <v>Heathland and shrub - Lowland heathland</v>
      </c>
      <c r="G33" s="316" t="s">
        <v>1159</v>
      </c>
      <c r="H33" s="316">
        <v>25</v>
      </c>
      <c r="I33" s="316">
        <v>20</v>
      </c>
      <c r="J33" s="316">
        <v>15</v>
      </c>
      <c r="K33" s="316">
        <v>10</v>
      </c>
      <c r="L33" s="316" t="s">
        <v>1158</v>
      </c>
      <c r="M33" s="316" t="s">
        <v>1158</v>
      </c>
    </row>
    <row r="34" spans="1:13" ht="14">
      <c r="A34" s="70">
        <v>30</v>
      </c>
      <c r="B34" s="316">
        <v>34.34151104</v>
      </c>
      <c r="C34" s="379">
        <v>0.3434151104</v>
      </c>
      <c r="F34" s="62" t="str">
        <f>'G-1 All Habitats'!B32</f>
        <v>Heathland and shrub - Mixed scrub</v>
      </c>
      <c r="G34" s="316">
        <v>10</v>
      </c>
      <c r="H34" s="316">
        <v>7</v>
      </c>
      <c r="I34" s="316">
        <v>5</v>
      </c>
      <c r="J34" s="316">
        <v>3</v>
      </c>
      <c r="K34" s="316">
        <v>1</v>
      </c>
      <c r="L34" s="316" t="s">
        <v>1158</v>
      </c>
      <c r="M34" s="316" t="s">
        <v>1158</v>
      </c>
    </row>
    <row r="35" spans="1:13" ht="14">
      <c r="A35" s="70">
        <v>31</v>
      </c>
      <c r="B35" s="316">
        <v>33.13955815</v>
      </c>
      <c r="C35" s="379">
        <v>0.3313955815</v>
      </c>
      <c r="F35" s="62" t="str">
        <f>'G-1 All Habitats'!B33</f>
        <v>Heathland and shrub - Mountain heaths and willow scrub</v>
      </c>
      <c r="G35" s="316" t="s">
        <v>1159</v>
      </c>
      <c r="H35" s="316" t="s">
        <v>1159</v>
      </c>
      <c r="I35" s="316">
        <v>25</v>
      </c>
      <c r="J35" s="316">
        <v>23</v>
      </c>
      <c r="K35" s="316">
        <v>15</v>
      </c>
      <c r="L35" s="316" t="s">
        <v>1158</v>
      </c>
      <c r="M35" s="316" t="s">
        <v>1158</v>
      </c>
    </row>
    <row r="36" spans="1:13" ht="14">
      <c r="A36" s="70" t="s">
        <v>1159</v>
      </c>
      <c r="B36" s="917">
        <v>31.97967361</v>
      </c>
      <c r="C36" s="379">
        <v>0.3197967361</v>
      </c>
      <c r="F36" s="62" t="str">
        <f>'G-1 All Habitats'!B34</f>
        <v>Heathland and shrub - Rhododendron scrub</v>
      </c>
      <c r="G36" s="316" t="s">
        <v>1158</v>
      </c>
      <c r="H36" s="316" t="s">
        <v>1158</v>
      </c>
      <c r="I36" s="316" t="s">
        <v>1158</v>
      </c>
      <c r="J36" s="316" t="s">
        <v>1158</v>
      </c>
      <c r="K36" s="316" t="s">
        <v>1158</v>
      </c>
      <c r="L36" s="316">
        <v>1</v>
      </c>
      <c r="M36" s="316" t="s">
        <v>1158</v>
      </c>
    </row>
    <row r="37" spans="1:13" ht="28">
      <c r="A37" s="71" t="s">
        <v>1158</v>
      </c>
      <c r="B37" s="917" t="s">
        <v>1148</v>
      </c>
      <c r="C37" s="917" t="s">
        <v>1148</v>
      </c>
      <c r="F37" s="62" t="str">
        <f>'G-1 All Habitats'!B35</f>
        <v>Heathland and shrub - Dunes with sea buckthorn (H2160)</v>
      </c>
      <c r="G37" s="316">
        <v>10</v>
      </c>
      <c r="H37" s="316">
        <v>7</v>
      </c>
      <c r="I37" s="316">
        <v>5</v>
      </c>
      <c r="J37" s="316">
        <v>3</v>
      </c>
      <c r="K37" s="316">
        <v>1</v>
      </c>
      <c r="L37" s="316" t="s">
        <v>1158</v>
      </c>
      <c r="M37" s="316" t="s">
        <v>1158</v>
      </c>
    </row>
    <row r="38" spans="6:13" ht="14">
      <c r="F38" s="62" t="str">
        <f>'G-1 All Habitats'!B36</f>
        <v>Heathland and shrub - Other sea buckthorn scrub</v>
      </c>
      <c r="G38" s="316" t="s">
        <v>1158</v>
      </c>
      <c r="H38" s="316" t="s">
        <v>1158</v>
      </c>
      <c r="I38" s="316" t="s">
        <v>1158</v>
      </c>
      <c r="J38" s="316" t="s">
        <v>1158</v>
      </c>
      <c r="K38" s="316" t="s">
        <v>1158</v>
      </c>
      <c r="L38" s="316">
        <v>1</v>
      </c>
      <c r="M38" s="316" t="s">
        <v>1158</v>
      </c>
    </row>
    <row r="39" spans="1:13" ht="14">
      <c r="A39" s="33"/>
      <c r="B39" s="33"/>
      <c r="C39" s="33"/>
      <c r="F39" s="62" t="str">
        <f>'G-1 All Habitats'!B38</f>
        <v>Heathland and shrub - Upland heathland</v>
      </c>
      <c r="G39" s="316">
        <v>30</v>
      </c>
      <c r="H39" s="316">
        <v>25</v>
      </c>
      <c r="I39" s="316">
        <v>20</v>
      </c>
      <c r="J39" s="316">
        <v>15</v>
      </c>
      <c r="K39" s="316">
        <v>10</v>
      </c>
      <c r="L39" s="316" t="s">
        <v>1158</v>
      </c>
      <c r="M39" s="316" t="s">
        <v>1158</v>
      </c>
    </row>
    <row r="40" spans="1:13" ht="56">
      <c r="A40" s="186" t="s">
        <v>1160</v>
      </c>
      <c r="B40" s="33"/>
      <c r="C40" s="33"/>
      <c r="F40" s="62" t="str">
        <f>'G-1 All Habitats'!B39</f>
        <v>Lakes - Aquifer fed naturally fluctuating water bodies</v>
      </c>
      <c r="G40" s="316">
        <v>30</v>
      </c>
      <c r="H40" s="316">
        <v>20</v>
      </c>
      <c r="I40" s="316">
        <v>15</v>
      </c>
      <c r="J40" s="316">
        <v>10</v>
      </c>
      <c r="K40" s="316">
        <v>1</v>
      </c>
      <c r="L40" s="316" t="s">
        <v>1158</v>
      </c>
      <c r="M40" s="316" t="s">
        <v>1158</v>
      </c>
    </row>
    <row r="41" spans="1:13" ht="14">
      <c r="A41" s="69" t="s">
        <v>1155</v>
      </c>
      <c r="B41" s="33"/>
      <c r="C41" s="33"/>
      <c r="F41" s="62" t="str">
        <f>'G-1 All Habitats'!B41</f>
        <v>Lakes - High alkalinity lakes</v>
      </c>
      <c r="G41" s="316">
        <v>30</v>
      </c>
      <c r="H41" s="316">
        <v>20</v>
      </c>
      <c r="I41" s="316">
        <v>10</v>
      </c>
      <c r="J41" s="316">
        <v>7</v>
      </c>
      <c r="K41" s="316">
        <v>5</v>
      </c>
      <c r="L41" s="316" t="s">
        <v>1158</v>
      </c>
      <c r="M41" s="316" t="s">
        <v>1158</v>
      </c>
    </row>
    <row r="42" spans="1:13" ht="14">
      <c r="A42" s="316">
        <v>0</v>
      </c>
      <c r="B42" s="33"/>
      <c r="C42" s="33"/>
      <c r="F42" s="62" t="str">
        <f>'G-1 All Habitats'!B42</f>
        <v>Lakes - Low alkalinity lakes</v>
      </c>
      <c r="G42" s="316">
        <v>30</v>
      </c>
      <c r="H42" s="316">
        <v>20</v>
      </c>
      <c r="I42" s="316">
        <v>10</v>
      </c>
      <c r="J42" s="316">
        <v>7</v>
      </c>
      <c r="K42" s="316">
        <v>5</v>
      </c>
      <c r="L42" s="316" t="s">
        <v>1158</v>
      </c>
      <c r="M42" s="316" t="s">
        <v>1158</v>
      </c>
    </row>
    <row r="43" spans="1:13" ht="14">
      <c r="A43" s="316">
        <v>1</v>
      </c>
      <c r="B43" s="33"/>
      <c r="C43" s="33"/>
      <c r="F43" s="62" t="str">
        <f>'G-1 All Habitats'!B43</f>
        <v>Lakes - Marl lakes</v>
      </c>
      <c r="G43" s="316">
        <v>30</v>
      </c>
      <c r="H43" s="316">
        <v>20</v>
      </c>
      <c r="I43" s="316">
        <v>10</v>
      </c>
      <c r="J43" s="316">
        <v>7</v>
      </c>
      <c r="K43" s="316">
        <v>5</v>
      </c>
      <c r="L43" s="316" t="s">
        <v>1158</v>
      </c>
      <c r="M43" s="316" t="s">
        <v>1158</v>
      </c>
    </row>
    <row r="44" spans="1:13" ht="14">
      <c r="A44" s="316">
        <v>2</v>
      </c>
      <c r="B44" s="33"/>
      <c r="C44" s="33"/>
      <c r="F44" s="62" t="str">
        <f>'G-1 All Habitats'!B44</f>
        <v>Lakes - Moderate alkalinity lakes</v>
      </c>
      <c r="G44" s="316">
        <v>30</v>
      </c>
      <c r="H44" s="316">
        <v>20</v>
      </c>
      <c r="I44" s="316">
        <v>10</v>
      </c>
      <c r="J44" s="316">
        <v>7</v>
      </c>
      <c r="K44" s="316">
        <v>5</v>
      </c>
      <c r="L44" s="316" t="s">
        <v>1158</v>
      </c>
      <c r="M44" s="316" t="s">
        <v>1158</v>
      </c>
    </row>
    <row r="45" spans="1:13" ht="14">
      <c r="A45" s="316">
        <v>3</v>
      </c>
      <c r="B45" s="33"/>
      <c r="C45" s="33"/>
      <c r="F45" s="62" t="str">
        <f>'G-1 All Habitats'!B45</f>
        <v>Lakes - Peat lakes</v>
      </c>
      <c r="G45" s="316">
        <v>30</v>
      </c>
      <c r="H45" s="316">
        <v>20</v>
      </c>
      <c r="I45" s="316">
        <v>10</v>
      </c>
      <c r="J45" s="316">
        <v>7</v>
      </c>
      <c r="K45" s="316">
        <v>5</v>
      </c>
      <c r="L45" s="316" t="s">
        <v>1158</v>
      </c>
      <c r="M45" s="316" t="s">
        <v>1158</v>
      </c>
    </row>
    <row r="46" spans="1:13" ht="14">
      <c r="A46" s="316">
        <v>4</v>
      </c>
      <c r="B46" s="33"/>
      <c r="C46" s="33"/>
      <c r="F46" s="62" t="str">
        <f>'G-1 All Habitats'!B46</f>
        <v>Lakes - Ponds (priority habitat)</v>
      </c>
      <c r="G46" s="316">
        <v>5</v>
      </c>
      <c r="H46" s="316">
        <v>4</v>
      </c>
      <c r="I46" s="316">
        <v>3</v>
      </c>
      <c r="J46" s="316">
        <v>2</v>
      </c>
      <c r="K46" s="316">
        <v>1</v>
      </c>
      <c r="L46" s="316" t="s">
        <v>1158</v>
      </c>
      <c r="M46" s="316" t="s">
        <v>1158</v>
      </c>
    </row>
    <row r="47" spans="1:13" ht="14">
      <c r="A47" s="316">
        <v>5</v>
      </c>
      <c r="B47" s="33"/>
      <c r="C47" s="33"/>
      <c r="F47" s="62" t="str">
        <f>'G-1 All Habitats'!B47</f>
        <v>Lakes - Ponds (non-priority habitat)</v>
      </c>
      <c r="G47" s="316">
        <v>5</v>
      </c>
      <c r="H47" s="316">
        <v>4</v>
      </c>
      <c r="I47" s="316">
        <v>3</v>
      </c>
      <c r="J47" s="316">
        <v>2</v>
      </c>
      <c r="K47" s="316">
        <v>1</v>
      </c>
      <c r="L47" s="316" t="s">
        <v>1158</v>
      </c>
      <c r="M47" s="316" t="s">
        <v>1158</v>
      </c>
    </row>
    <row r="48" spans="1:13" ht="14">
      <c r="A48" s="316">
        <v>6</v>
      </c>
      <c r="B48" s="33"/>
      <c r="C48" s="33"/>
      <c r="F48" s="62" t="str">
        <f>'G-1 All Habitats'!B48</f>
        <v>Lakes - Reservoirs</v>
      </c>
      <c r="G48" s="316">
        <v>10</v>
      </c>
      <c r="H48" s="316">
        <v>7</v>
      </c>
      <c r="I48" s="316">
        <v>5</v>
      </c>
      <c r="J48" s="316">
        <v>3</v>
      </c>
      <c r="K48" s="316">
        <v>1</v>
      </c>
      <c r="L48" s="316" t="s">
        <v>1158</v>
      </c>
      <c r="M48" s="316" t="s">
        <v>1158</v>
      </c>
    </row>
    <row r="49" spans="1:13" ht="14">
      <c r="A49" s="316">
        <v>7</v>
      </c>
      <c r="B49" s="33"/>
      <c r="C49" s="33"/>
      <c r="F49" s="62" t="str">
        <f>'G-1 All Habitats'!B49</f>
        <v>Lakes - Temporary lakes ponds and pools (H3170)</v>
      </c>
      <c r="G49" s="316">
        <v>5</v>
      </c>
      <c r="H49" s="316">
        <v>4</v>
      </c>
      <c r="I49" s="316">
        <v>3</v>
      </c>
      <c r="J49" s="316">
        <v>2</v>
      </c>
      <c r="K49" s="316">
        <v>1</v>
      </c>
      <c r="L49" s="316" t="s">
        <v>1158</v>
      </c>
      <c r="M49" s="316" t="s">
        <v>1158</v>
      </c>
    </row>
    <row r="50" spans="1:13" ht="14">
      <c r="A50" s="316">
        <v>8</v>
      </c>
      <c r="B50" s="33"/>
      <c r="C50" s="33"/>
      <c r="F50" s="62" t="str">
        <f>'G-1 All Habitats'!B50</f>
        <v>Sparsely vegetated land - Calaminarian grasslands</v>
      </c>
      <c r="G50" s="316">
        <v>10</v>
      </c>
      <c r="H50" s="316">
        <v>7</v>
      </c>
      <c r="I50" s="316">
        <v>5</v>
      </c>
      <c r="J50" s="316">
        <v>3</v>
      </c>
      <c r="K50" s="316">
        <v>2</v>
      </c>
      <c r="L50" s="316" t="s">
        <v>1158</v>
      </c>
      <c r="M50" s="316" t="s">
        <v>1158</v>
      </c>
    </row>
    <row r="51" spans="1:13" ht="14">
      <c r="A51" s="316">
        <v>9</v>
      </c>
      <c r="B51" s="33"/>
      <c r="C51" s="33"/>
      <c r="F51" s="62" t="str">
        <f>'G-1 All Habitats'!B51</f>
        <v>Sparsely vegetated land - Coastal sand dunes</v>
      </c>
      <c r="G51" s="316">
        <v>20</v>
      </c>
      <c r="H51" s="316">
        <v>15</v>
      </c>
      <c r="I51" s="316">
        <v>10</v>
      </c>
      <c r="J51" s="316">
        <v>7</v>
      </c>
      <c r="K51" s="316">
        <v>5</v>
      </c>
      <c r="L51" s="316" t="s">
        <v>1158</v>
      </c>
      <c r="M51" s="316" t="s">
        <v>1158</v>
      </c>
    </row>
    <row r="52" spans="1:13" ht="14">
      <c r="A52" s="316">
        <v>10</v>
      </c>
      <c r="B52" s="33"/>
      <c r="C52" s="33"/>
      <c r="F52" s="62" t="str">
        <f>'G-1 All Habitats'!B52</f>
        <v>Sparsely vegetated land - Coastal vegetated shingle</v>
      </c>
      <c r="G52" s="316">
        <v>20</v>
      </c>
      <c r="H52" s="316">
        <v>15</v>
      </c>
      <c r="I52" s="316">
        <v>10</v>
      </c>
      <c r="J52" s="316">
        <v>7</v>
      </c>
      <c r="K52" s="316">
        <v>5</v>
      </c>
      <c r="L52" s="316" t="s">
        <v>1158</v>
      </c>
      <c r="M52" s="316" t="s">
        <v>1158</v>
      </c>
    </row>
    <row r="53" spans="1:13" ht="14">
      <c r="A53" s="316">
        <v>11</v>
      </c>
      <c r="B53" s="33"/>
      <c r="C53" s="33"/>
      <c r="F53" s="62" t="str">
        <f>'G-1 All Habitats'!B53</f>
        <v>Sparsely vegetated land - Ruderal/Ephemeral</v>
      </c>
      <c r="G53" s="316">
        <v>5</v>
      </c>
      <c r="H53" s="316">
        <v>4</v>
      </c>
      <c r="I53" s="316">
        <v>3</v>
      </c>
      <c r="J53" s="316">
        <v>2</v>
      </c>
      <c r="K53" s="316">
        <v>1</v>
      </c>
      <c r="L53" s="316" t="s">
        <v>1158</v>
      </c>
      <c r="M53" s="316" t="s">
        <v>1158</v>
      </c>
    </row>
    <row r="54" spans="1:13" ht="14">
      <c r="A54" s="316">
        <v>12</v>
      </c>
      <c r="B54" s="33"/>
      <c r="C54" s="33"/>
      <c r="F54" s="62" t="s">
        <v>822</v>
      </c>
      <c r="G54" s="316">
        <v>5</v>
      </c>
      <c r="H54" s="316">
        <v>4</v>
      </c>
      <c r="I54" s="316">
        <v>3</v>
      </c>
      <c r="J54" s="316">
        <v>2</v>
      </c>
      <c r="K54" s="316">
        <v>1</v>
      </c>
      <c r="L54" s="316" t="s">
        <v>1158</v>
      </c>
      <c r="M54" s="316" t="s">
        <v>1158</v>
      </c>
    </row>
    <row r="55" spans="1:13" ht="14">
      <c r="A55" s="316">
        <v>13</v>
      </c>
      <c r="B55" s="33"/>
      <c r="C55" s="33"/>
      <c r="F55" s="62" t="str">
        <f>'G-1 All Habitats'!B55</f>
        <v>Sparsely vegetated land - Inland rock outcrop and scree habitats</v>
      </c>
      <c r="G55" s="316" t="s">
        <v>1159</v>
      </c>
      <c r="H55" s="316">
        <v>25</v>
      </c>
      <c r="I55" s="316">
        <v>20</v>
      </c>
      <c r="J55" s="316">
        <v>15</v>
      </c>
      <c r="K55" s="316">
        <v>10</v>
      </c>
      <c r="L55" s="316" t="s">
        <v>1158</v>
      </c>
      <c r="M55" s="316" t="s">
        <v>1158</v>
      </c>
    </row>
    <row r="56" spans="1:13" ht="14">
      <c r="A56" s="316">
        <v>14</v>
      </c>
      <c r="B56" s="33"/>
      <c r="C56" s="33"/>
      <c r="F56" s="62" t="str">
        <f>'G-1 All Habitats'!B56</f>
        <v>Sparsely vegetated land - Limestone pavement</v>
      </c>
      <c r="G56" s="316" t="s">
        <v>1159</v>
      </c>
      <c r="H56" s="316" t="s">
        <v>1159</v>
      </c>
      <c r="I56" s="316" t="s">
        <v>1159</v>
      </c>
      <c r="J56" s="316" t="s">
        <v>1159</v>
      </c>
      <c r="K56" s="316" t="s">
        <v>1159</v>
      </c>
      <c r="L56" s="316" t="s">
        <v>1158</v>
      </c>
      <c r="M56" s="316" t="s">
        <v>1158</v>
      </c>
    </row>
    <row r="57" spans="1:13" ht="14">
      <c r="A57" s="316">
        <v>15</v>
      </c>
      <c r="B57" s="33"/>
      <c r="C57" s="33"/>
      <c r="F57" s="62" t="str">
        <f>'G-1 All Habitats'!B57</f>
        <v>Sparsely vegetated land - Maritime cliff and slopes</v>
      </c>
      <c r="G57" s="316">
        <v>20</v>
      </c>
      <c r="H57" s="316">
        <v>15</v>
      </c>
      <c r="I57" s="316">
        <v>10</v>
      </c>
      <c r="J57" s="316">
        <v>7</v>
      </c>
      <c r="K57" s="316">
        <v>5</v>
      </c>
      <c r="L57" s="316" t="s">
        <v>1158</v>
      </c>
      <c r="M57" s="316" t="s">
        <v>1158</v>
      </c>
    </row>
    <row r="58" spans="1:13" ht="14">
      <c r="A58" s="316">
        <v>16</v>
      </c>
      <c r="B58" s="33"/>
      <c r="C58" s="33"/>
      <c r="F58" s="62" t="str">
        <f>'G-1 All Habitats'!B58</f>
        <v>Sparsely vegetated land - Other inland rock and scree</v>
      </c>
      <c r="G58" s="316">
        <v>20</v>
      </c>
      <c r="H58" s="316">
        <v>15</v>
      </c>
      <c r="I58" s="316">
        <v>10</v>
      </c>
      <c r="J58" s="316">
        <v>7</v>
      </c>
      <c r="K58" s="316">
        <v>5</v>
      </c>
      <c r="L58" s="316" t="s">
        <v>1158</v>
      </c>
      <c r="M58" s="316" t="s">
        <v>1158</v>
      </c>
    </row>
    <row r="59" spans="1:13" ht="14">
      <c r="A59" s="316">
        <v>17</v>
      </c>
      <c r="B59" s="33"/>
      <c r="C59" s="33"/>
      <c r="F59" s="62" t="str">
        <f>'G-1 All Habitats'!B59</f>
        <v>Urban - Allotments</v>
      </c>
      <c r="G59" s="316">
        <v>1</v>
      </c>
      <c r="H59" s="316">
        <v>1</v>
      </c>
      <c r="I59" s="316">
        <v>1</v>
      </c>
      <c r="J59" s="316">
        <v>1</v>
      </c>
      <c r="K59" s="316">
        <v>1</v>
      </c>
      <c r="L59" s="316" t="s">
        <v>1158</v>
      </c>
      <c r="M59" s="316" t="s">
        <v>1158</v>
      </c>
    </row>
    <row r="60" spans="1:13" ht="14">
      <c r="A60" s="316">
        <v>18</v>
      </c>
      <c r="B60" s="33"/>
      <c r="C60" s="33"/>
      <c r="F60" s="62" t="str">
        <f>'G-1 All Habitats'!B40</f>
        <v>Lakes - Ornamental lake or pond</v>
      </c>
      <c r="G60" s="316">
        <v>5</v>
      </c>
      <c r="H60" s="316">
        <v>4</v>
      </c>
      <c r="I60" s="316">
        <v>3</v>
      </c>
      <c r="J60" s="316">
        <v>2</v>
      </c>
      <c r="K60" s="316">
        <v>1</v>
      </c>
      <c r="L60" s="316" t="s">
        <v>1158</v>
      </c>
      <c r="M60" s="316" t="s">
        <v>1158</v>
      </c>
    </row>
    <row r="61" spans="1:13" ht="14">
      <c r="A61" s="316">
        <v>19</v>
      </c>
      <c r="B61" s="33"/>
      <c r="C61" s="33"/>
      <c r="F61" s="62" t="str">
        <f>'G-1 All Habitats'!B60</f>
        <v>Urban - Artificial unvegetated, unsealed surface</v>
      </c>
      <c r="G61" s="316" t="s">
        <v>1158</v>
      </c>
      <c r="H61" s="316" t="s">
        <v>1158</v>
      </c>
      <c r="I61" s="316" t="s">
        <v>1158</v>
      </c>
      <c r="J61" s="316" t="s">
        <v>1158</v>
      </c>
      <c r="K61" s="316" t="s">
        <v>1158</v>
      </c>
      <c r="L61" s="316" t="s">
        <v>1158</v>
      </c>
      <c r="M61" s="316">
        <v>0</v>
      </c>
    </row>
    <row r="62" spans="1:13" ht="14">
      <c r="A62" s="316">
        <v>20</v>
      </c>
      <c r="B62" s="33"/>
      <c r="C62" s="33"/>
      <c r="F62" s="62" t="str">
        <f>'G-1 All Habitats'!B61</f>
        <v>Urban - Bioswale</v>
      </c>
      <c r="G62" s="316">
        <v>3</v>
      </c>
      <c r="H62" s="316">
        <v>2</v>
      </c>
      <c r="I62" s="316">
        <v>1</v>
      </c>
      <c r="J62" s="316">
        <v>1</v>
      </c>
      <c r="K62" s="316">
        <v>1</v>
      </c>
      <c r="L62" s="316" t="s">
        <v>1158</v>
      </c>
      <c r="M62" s="316" t="s">
        <v>1158</v>
      </c>
    </row>
    <row r="63" spans="1:13" ht="14">
      <c r="A63" s="316">
        <v>21</v>
      </c>
      <c r="B63" s="33"/>
      <c r="C63" s="33"/>
      <c r="F63" s="62" t="str">
        <f>'G-1 All Habitats'!B62</f>
        <v>Urban - Intensive green roof</v>
      </c>
      <c r="G63" s="316">
        <v>5</v>
      </c>
      <c r="H63" s="316">
        <v>4</v>
      </c>
      <c r="I63" s="316">
        <v>3</v>
      </c>
      <c r="J63" s="316">
        <v>2</v>
      </c>
      <c r="K63" s="316">
        <v>1</v>
      </c>
      <c r="L63" s="316" t="s">
        <v>1158</v>
      </c>
      <c r="M63" s="316" t="s">
        <v>1158</v>
      </c>
    </row>
    <row r="64" spans="1:13" ht="14">
      <c r="A64" s="316">
        <v>22</v>
      </c>
      <c r="B64" s="33"/>
      <c r="C64" s="33"/>
      <c r="F64" s="62" t="str">
        <f>'G-1 All Habitats'!B63</f>
        <v>Urban - Built linear features</v>
      </c>
      <c r="G64" s="316" t="s">
        <v>1158</v>
      </c>
      <c r="H64" s="316" t="s">
        <v>1158</v>
      </c>
      <c r="I64" s="316" t="s">
        <v>1158</v>
      </c>
      <c r="J64" s="316" t="s">
        <v>1158</v>
      </c>
      <c r="K64" s="316" t="s">
        <v>1158</v>
      </c>
      <c r="L64" s="316" t="s">
        <v>1158</v>
      </c>
      <c r="M64" s="316">
        <v>0</v>
      </c>
    </row>
    <row r="65" spans="1:13" ht="14">
      <c r="A65" s="316">
        <v>23</v>
      </c>
      <c r="B65" s="33"/>
      <c r="C65" s="33"/>
      <c r="F65" s="62" t="str">
        <f>'G-1 All Habitats'!B64</f>
        <v>Urban - Cemeteries and churchyards</v>
      </c>
      <c r="G65" s="316">
        <v>20</v>
      </c>
      <c r="H65" s="316">
        <v>17</v>
      </c>
      <c r="I65" s="316">
        <v>15</v>
      </c>
      <c r="J65" s="316">
        <v>12</v>
      </c>
      <c r="K65" s="316">
        <v>10</v>
      </c>
      <c r="L65" s="316" t="s">
        <v>1158</v>
      </c>
      <c r="M65" s="316" t="s">
        <v>1158</v>
      </c>
    </row>
    <row r="66" spans="1:13" ht="14">
      <c r="A66" s="316">
        <v>24</v>
      </c>
      <c r="B66" s="33"/>
      <c r="C66" s="33"/>
      <c r="F66" s="62" t="str">
        <f>'G-1 All Habitats'!B65</f>
        <v>Urban - Developed land; sealed surface</v>
      </c>
      <c r="G66" s="316" t="s">
        <v>1158</v>
      </c>
      <c r="H66" s="316" t="s">
        <v>1158</v>
      </c>
      <c r="I66" s="316" t="s">
        <v>1158</v>
      </c>
      <c r="J66" s="316" t="s">
        <v>1158</v>
      </c>
      <c r="K66" s="316" t="s">
        <v>1158</v>
      </c>
      <c r="L66" s="316" t="s">
        <v>1158</v>
      </c>
      <c r="M66" s="316">
        <v>0</v>
      </c>
    </row>
    <row r="67" spans="1:13" ht="14">
      <c r="A67" s="316">
        <v>25</v>
      </c>
      <c r="B67" s="33"/>
      <c r="C67" s="33"/>
      <c r="F67" s="62" t="str">
        <f>'G-1 All Habitats'!B66</f>
        <v>Urban - Other green roof</v>
      </c>
      <c r="G67" s="316" t="s">
        <v>1158</v>
      </c>
      <c r="H67" s="316" t="s">
        <v>1158</v>
      </c>
      <c r="I67" s="316" t="s">
        <v>1158</v>
      </c>
      <c r="J67" s="316" t="s">
        <v>1158</v>
      </c>
      <c r="K67" s="316" t="s">
        <v>1158</v>
      </c>
      <c r="L67" s="316">
        <v>1</v>
      </c>
      <c r="M67" s="316" t="s">
        <v>1158</v>
      </c>
    </row>
    <row r="68" spans="1:13" ht="14">
      <c r="A68" s="316">
        <v>26</v>
      </c>
      <c r="B68" s="33"/>
      <c r="C68" s="33"/>
      <c r="F68" s="62" t="str">
        <f>'G-1 All Habitats'!B67</f>
        <v>Urban - Facade-bound green wall</v>
      </c>
      <c r="G68" s="316">
        <v>5</v>
      </c>
      <c r="H68" s="316">
        <v>4</v>
      </c>
      <c r="I68" s="316">
        <v>3</v>
      </c>
      <c r="J68" s="316">
        <v>2</v>
      </c>
      <c r="K68" s="316">
        <v>1</v>
      </c>
      <c r="L68" s="316" t="s">
        <v>1158</v>
      </c>
      <c r="M68" s="316" t="s">
        <v>1158</v>
      </c>
    </row>
    <row r="69" spans="1:13" ht="14">
      <c r="A69" s="316">
        <v>27</v>
      </c>
      <c r="B69" s="33"/>
      <c r="C69" s="33"/>
      <c r="F69" s="62" t="str">
        <f>'G-1 All Habitats'!B68</f>
        <v>Urban - Ground based green wall</v>
      </c>
      <c r="G69" s="316">
        <v>5</v>
      </c>
      <c r="H69" s="316">
        <v>4</v>
      </c>
      <c r="I69" s="316">
        <v>3</v>
      </c>
      <c r="J69" s="316">
        <v>2</v>
      </c>
      <c r="K69" s="316">
        <v>1</v>
      </c>
      <c r="L69" s="316" t="s">
        <v>1158</v>
      </c>
      <c r="M69" s="316" t="s">
        <v>1158</v>
      </c>
    </row>
    <row r="70" spans="1:13" ht="14">
      <c r="A70" s="316">
        <v>28</v>
      </c>
      <c r="B70" s="33"/>
      <c r="C70" s="33"/>
      <c r="F70" s="62" t="str">
        <f>'G-1 All Habitats'!B69</f>
        <v>Urban - Ground level planters</v>
      </c>
      <c r="G70" s="316" t="s">
        <v>1158</v>
      </c>
      <c r="H70" s="316" t="s">
        <v>1158</v>
      </c>
      <c r="I70" s="316" t="s">
        <v>1158</v>
      </c>
      <c r="J70" s="316" t="s">
        <v>1158</v>
      </c>
      <c r="K70" s="316" t="s">
        <v>1158</v>
      </c>
      <c r="L70" s="316">
        <v>1</v>
      </c>
      <c r="M70" s="316" t="s">
        <v>1158</v>
      </c>
    </row>
    <row r="71" spans="1:13" ht="14">
      <c r="A71" s="316">
        <v>29</v>
      </c>
      <c r="B71" s="33"/>
      <c r="C71" s="33"/>
      <c r="F71" s="62" t="str">
        <f>'G-1 All Habitats'!B70</f>
        <v>Urban - Biodiverse green roof</v>
      </c>
      <c r="G71" s="316">
        <v>10</v>
      </c>
      <c r="H71" s="316">
        <v>8</v>
      </c>
      <c r="I71" s="316">
        <v>5</v>
      </c>
      <c r="J71" s="316">
        <v>3</v>
      </c>
      <c r="K71" s="316">
        <v>1</v>
      </c>
      <c r="L71" s="316" t="s">
        <v>1158</v>
      </c>
      <c r="M71" s="316" t="s">
        <v>1158</v>
      </c>
    </row>
    <row r="72" spans="1:13" ht="14">
      <c r="A72" s="316">
        <v>30</v>
      </c>
      <c r="B72" s="33"/>
      <c r="C72" s="33"/>
      <c r="F72" s="62" t="str">
        <f>'G-1 All Habitats'!B71</f>
        <v>Urban - Introduced shrub</v>
      </c>
      <c r="G72" s="316" t="s">
        <v>1158</v>
      </c>
      <c r="H72" s="316" t="s">
        <v>1158</v>
      </c>
      <c r="I72" s="316" t="s">
        <v>1158</v>
      </c>
      <c r="J72" s="316" t="s">
        <v>1158</v>
      </c>
      <c r="K72" s="316" t="s">
        <v>1158</v>
      </c>
      <c r="L72" s="316">
        <v>1</v>
      </c>
      <c r="M72" s="316" t="s">
        <v>1158</v>
      </c>
    </row>
    <row r="73" spans="1:13" ht="14">
      <c r="A73" s="316" t="s">
        <v>1159</v>
      </c>
      <c r="B73" s="33"/>
      <c r="C73" s="33"/>
      <c r="F73" s="62" t="str">
        <f>'G-1 All Habitats'!B72</f>
        <v>Urban - Open mosaic habitats on previously developed land</v>
      </c>
      <c r="G73" s="316">
        <v>10</v>
      </c>
      <c r="H73" s="316">
        <v>7</v>
      </c>
      <c r="I73" s="316">
        <v>4</v>
      </c>
      <c r="J73" s="316">
        <v>2</v>
      </c>
      <c r="K73" s="316">
        <v>0</v>
      </c>
      <c r="L73" s="316" t="s">
        <v>1158</v>
      </c>
      <c r="M73" s="316" t="s">
        <v>1158</v>
      </c>
    </row>
    <row r="74" spans="2:13" ht="14">
      <c r="B74" s="33"/>
      <c r="C74" s="33"/>
      <c r="F74" s="62" t="str">
        <f>'G-1 All Habitats'!B73</f>
        <v>Urban - Rain garden</v>
      </c>
      <c r="G74" s="316">
        <v>5</v>
      </c>
      <c r="H74" s="316">
        <v>4</v>
      </c>
      <c r="I74" s="316">
        <v>3</v>
      </c>
      <c r="J74" s="316">
        <v>2</v>
      </c>
      <c r="K74" s="316">
        <v>1</v>
      </c>
      <c r="L74" s="316" t="s">
        <v>1158</v>
      </c>
      <c r="M74" s="316" t="s">
        <v>1158</v>
      </c>
    </row>
    <row r="75" spans="1:13" ht="14">
      <c r="A75" s="33"/>
      <c r="B75" s="33"/>
      <c r="C75" s="33"/>
      <c r="F75" s="62" t="str">
        <f>'G-1 All Habitats'!B74</f>
        <v>Urban - Actively worked sand pit quarry or open cast mine</v>
      </c>
      <c r="G75" s="316" t="s">
        <v>1158</v>
      </c>
      <c r="H75" s="316" t="s">
        <v>1158</v>
      </c>
      <c r="I75" s="316" t="s">
        <v>1158</v>
      </c>
      <c r="J75" s="316" t="s">
        <v>1158</v>
      </c>
      <c r="K75" s="316" t="s">
        <v>1158</v>
      </c>
      <c r="L75" s="316">
        <v>1</v>
      </c>
      <c r="M75" s="316" t="s">
        <v>1158</v>
      </c>
    </row>
    <row r="76" spans="1:13" ht="14">
      <c r="A76" s="33"/>
      <c r="B76" s="33"/>
      <c r="C76" s="33"/>
      <c r="F76" s="62" t="str">
        <f>'G-1 All Habitats'!B80</f>
        <v>Individual trees - Urban tree</v>
      </c>
      <c r="G76" s="316" t="s">
        <v>1159</v>
      </c>
      <c r="H76" s="316" t="s">
        <v>1159</v>
      </c>
      <c r="I76" s="316">
        <v>27</v>
      </c>
      <c r="J76" s="316">
        <v>19</v>
      </c>
      <c r="K76" s="316">
        <v>10</v>
      </c>
      <c r="L76" s="316" t="s">
        <v>1158</v>
      </c>
      <c r="M76" s="316" t="s">
        <v>1158</v>
      </c>
    </row>
    <row r="77" spans="1:13" ht="14">
      <c r="A77" s="33"/>
      <c r="B77" s="33"/>
      <c r="C77" s="33"/>
      <c r="F77" s="62" t="str">
        <f>'G-1 All Habitats'!B75</f>
        <v>Urban - Sustainable drainage system</v>
      </c>
      <c r="G77" s="316">
        <v>5</v>
      </c>
      <c r="H77" s="316">
        <v>4</v>
      </c>
      <c r="I77" s="316">
        <v>3</v>
      </c>
      <c r="J77" s="316">
        <v>2</v>
      </c>
      <c r="K77" s="316">
        <v>1</v>
      </c>
      <c r="L77" s="316" t="s">
        <v>1158</v>
      </c>
      <c r="M77" s="316" t="s">
        <v>1158</v>
      </c>
    </row>
    <row r="78" spans="1:13" ht="14">
      <c r="A78" s="33"/>
      <c r="B78" s="33"/>
      <c r="C78" s="33"/>
      <c r="F78" s="62" t="str">
        <f>'G-1 All Habitats'!B76</f>
        <v>Urban - Unvegetated garden</v>
      </c>
      <c r="G78" s="316" t="s">
        <v>1158</v>
      </c>
      <c r="H78" s="316" t="s">
        <v>1158</v>
      </c>
      <c r="I78" s="316" t="s">
        <v>1158</v>
      </c>
      <c r="J78" s="316" t="s">
        <v>1158</v>
      </c>
      <c r="K78" s="316" t="s">
        <v>1158</v>
      </c>
      <c r="L78" s="316" t="s">
        <v>1158</v>
      </c>
      <c r="M78" s="316">
        <v>0</v>
      </c>
    </row>
    <row r="79" spans="1:13" ht="14">
      <c r="A79" s="33"/>
      <c r="B79" s="33"/>
      <c r="C79" s="33"/>
      <c r="F79" s="62" t="str">
        <f>'G-1 All Habitats'!B77</f>
        <v>Urban - Vacant or derelict land</v>
      </c>
      <c r="G79" s="316">
        <v>5</v>
      </c>
      <c r="H79" s="316">
        <v>4</v>
      </c>
      <c r="I79" s="316">
        <v>3</v>
      </c>
      <c r="J79" s="316">
        <v>2</v>
      </c>
      <c r="K79" s="316">
        <v>1</v>
      </c>
      <c r="L79" s="316" t="s">
        <v>1158</v>
      </c>
      <c r="M79" s="316" t="s">
        <v>1158</v>
      </c>
    </row>
    <row r="80" spans="1:13" ht="14">
      <c r="A80" s="33"/>
      <c r="B80" s="33"/>
      <c r="C80" s="33"/>
      <c r="F80" s="62" t="s">
        <v>876</v>
      </c>
      <c r="G80" s="316">
        <v>5</v>
      </c>
      <c r="H80" s="316">
        <v>4</v>
      </c>
      <c r="I80" s="316">
        <v>3</v>
      </c>
      <c r="J80" s="316">
        <v>2</v>
      </c>
      <c r="K80" s="316">
        <v>1</v>
      </c>
      <c r="L80" s="316" t="s">
        <v>1158</v>
      </c>
      <c r="M80" s="316" t="s">
        <v>1158</v>
      </c>
    </row>
    <row r="81" spans="1:13" ht="14">
      <c r="A81" s="33"/>
      <c r="B81" s="33"/>
      <c r="C81" s="33"/>
      <c r="F81" s="62" t="str">
        <f>'G-1 All Habitats'!B79</f>
        <v>Urban - Vegetated garden</v>
      </c>
      <c r="G81" s="316" t="s">
        <v>1158</v>
      </c>
      <c r="H81" s="316" t="s">
        <v>1158</v>
      </c>
      <c r="I81" s="316" t="s">
        <v>1158</v>
      </c>
      <c r="J81" s="316" t="s">
        <v>1158</v>
      </c>
      <c r="K81" s="316" t="s">
        <v>1158</v>
      </c>
      <c r="L81" s="316">
        <v>1</v>
      </c>
      <c r="M81" s="316" t="s">
        <v>1158</v>
      </c>
    </row>
    <row r="82" spans="1:13" ht="14">
      <c r="A82" s="33"/>
      <c r="B82" s="33"/>
      <c r="C82" s="33"/>
      <c r="F82" s="62" t="str">
        <f>'G-1 All Habitats'!B82</f>
        <v>Wetland - Blanket bog</v>
      </c>
      <c r="G82" s="316" t="s">
        <v>1159</v>
      </c>
      <c r="H82" s="316" t="s">
        <v>1159</v>
      </c>
      <c r="I82" s="316" t="s">
        <v>1159</v>
      </c>
      <c r="J82" s="316" t="s">
        <v>1159</v>
      </c>
      <c r="K82" s="316" t="s">
        <v>1159</v>
      </c>
      <c r="L82" s="316" t="s">
        <v>1158</v>
      </c>
      <c r="M82" s="316" t="s">
        <v>1158</v>
      </c>
    </row>
    <row r="83" spans="1:13" ht="14">
      <c r="A83" s="33"/>
      <c r="B83" s="33"/>
      <c r="C83" s="33"/>
      <c r="F83" s="62" t="str">
        <f>'G-1 All Habitats'!B83</f>
        <v>Wetland - Depressions on peat substrates (H7150)</v>
      </c>
      <c r="G83" s="316" t="s">
        <v>1159</v>
      </c>
      <c r="H83" s="316" t="s">
        <v>1159</v>
      </c>
      <c r="I83" s="316">
        <v>30</v>
      </c>
      <c r="J83" s="316">
        <v>25</v>
      </c>
      <c r="K83" s="316">
        <v>15</v>
      </c>
      <c r="L83" s="316" t="s">
        <v>1158</v>
      </c>
      <c r="M83" s="316" t="s">
        <v>1158</v>
      </c>
    </row>
    <row r="84" spans="1:13" ht="14">
      <c r="A84" s="33"/>
      <c r="B84" s="33"/>
      <c r="C84" s="33"/>
      <c r="F84" s="62" t="str">
        <f>'G-1 All Habitats'!B84</f>
        <v>Wetland - Fens (upland and lowland)</v>
      </c>
      <c r="G84" s="316">
        <v>30</v>
      </c>
      <c r="H84" s="316">
        <v>25</v>
      </c>
      <c r="I84" s="316">
        <v>20</v>
      </c>
      <c r="J84" s="316">
        <v>15</v>
      </c>
      <c r="K84" s="316">
        <v>10</v>
      </c>
      <c r="L84" s="316" t="s">
        <v>1158</v>
      </c>
      <c r="M84" s="316" t="s">
        <v>1158</v>
      </c>
    </row>
    <row r="85" spans="1:13" ht="14">
      <c r="A85" s="33"/>
      <c r="B85" s="33"/>
      <c r="C85" s="33"/>
      <c r="F85" s="62" t="str">
        <f>'G-1 All Habitats'!B85</f>
        <v>Wetland - Lowland raised bog</v>
      </c>
      <c r="G85" s="316" t="s">
        <v>1159</v>
      </c>
      <c r="H85" s="316" t="s">
        <v>1159</v>
      </c>
      <c r="I85" s="316">
        <v>30</v>
      </c>
      <c r="J85" s="316">
        <v>20</v>
      </c>
      <c r="K85" s="316">
        <v>15</v>
      </c>
      <c r="L85" s="316" t="s">
        <v>1158</v>
      </c>
      <c r="M85" s="316" t="s">
        <v>1158</v>
      </c>
    </row>
    <row r="86" spans="1:13" ht="14">
      <c r="A86" s="33"/>
      <c r="B86" s="33"/>
      <c r="C86" s="33"/>
      <c r="F86" s="62" t="str">
        <f>'G-1 All Habitats'!B86</f>
        <v>Wetland - Oceanic valley mire[1] (D2.1)</v>
      </c>
      <c r="G86" s="316" t="s">
        <v>1159</v>
      </c>
      <c r="H86" s="316" t="s">
        <v>1159</v>
      </c>
      <c r="I86" s="316">
        <v>30</v>
      </c>
      <c r="J86" s="316">
        <v>20</v>
      </c>
      <c r="K86" s="316">
        <v>15</v>
      </c>
      <c r="L86" s="316" t="s">
        <v>1158</v>
      </c>
      <c r="M86" s="316" t="s">
        <v>1158</v>
      </c>
    </row>
    <row r="87" spans="1:13" ht="14">
      <c r="A87" s="33"/>
      <c r="B87" s="33"/>
      <c r="C87" s="33"/>
      <c r="F87" s="62" t="str">
        <f>'G-1 All Habitats'!B87</f>
        <v>Wetland - Purple moor grass and rush pastures</v>
      </c>
      <c r="G87" s="316">
        <v>30</v>
      </c>
      <c r="H87" s="316">
        <v>25</v>
      </c>
      <c r="I87" s="316">
        <v>20</v>
      </c>
      <c r="J87" s="316">
        <v>15</v>
      </c>
      <c r="K87" s="316">
        <v>10</v>
      </c>
      <c r="L87" s="316" t="s">
        <v>1158</v>
      </c>
      <c r="M87" s="316" t="s">
        <v>1158</v>
      </c>
    </row>
    <row r="88" spans="1:13" ht="14">
      <c r="A88" s="33"/>
      <c r="B88" s="33"/>
      <c r="C88" s="33"/>
      <c r="F88" s="62" t="str">
        <f>'G-1 All Habitats'!B88</f>
        <v>Wetland - Reedbeds</v>
      </c>
      <c r="G88" s="316">
        <v>12</v>
      </c>
      <c r="H88" s="316">
        <v>10</v>
      </c>
      <c r="I88" s="316">
        <v>7</v>
      </c>
      <c r="J88" s="316">
        <v>5</v>
      </c>
      <c r="K88" s="316">
        <v>3</v>
      </c>
      <c r="L88" s="316" t="s">
        <v>1158</v>
      </c>
      <c r="M88" s="316" t="s">
        <v>1158</v>
      </c>
    </row>
    <row r="89" spans="1:13" ht="14">
      <c r="A89" s="33"/>
      <c r="B89" s="33"/>
      <c r="C89" s="33"/>
      <c r="F89" s="62" t="str">
        <f>'G-1 All Habitats'!B89</f>
        <v>Wetland - Transition mires and quaking bogs (H7140)</v>
      </c>
      <c r="G89" s="316" t="s">
        <v>1159</v>
      </c>
      <c r="H89" s="316" t="s">
        <v>1159</v>
      </c>
      <c r="I89" s="316">
        <v>30</v>
      </c>
      <c r="J89" s="316">
        <v>25</v>
      </c>
      <c r="K89" s="316">
        <v>15</v>
      </c>
      <c r="L89" s="316" t="s">
        <v>1158</v>
      </c>
      <c r="M89" s="316" t="s">
        <v>1158</v>
      </c>
    </row>
    <row r="90" spans="1:13" ht="14">
      <c r="A90" s="33"/>
      <c r="B90" s="33"/>
      <c r="C90" s="33"/>
      <c r="F90" s="62" t="str">
        <f>'G-1 All Habitats'!B90</f>
        <v>Woodland and forest - Felled</v>
      </c>
      <c r="G90" s="316" t="s">
        <v>1159</v>
      </c>
      <c r="H90" s="316" t="s">
        <v>1158</v>
      </c>
      <c r="I90" s="316" t="s">
        <v>1158</v>
      </c>
      <c r="J90" s="316" t="s">
        <v>1158</v>
      </c>
      <c r="K90" s="316" t="s">
        <v>1158</v>
      </c>
      <c r="L90" s="316" t="s">
        <v>1158</v>
      </c>
      <c r="M90" s="316" t="s">
        <v>1158</v>
      </c>
    </row>
    <row r="91" spans="1:13" ht="14">
      <c r="A91" s="33"/>
      <c r="B91" s="33"/>
      <c r="C91" s="33"/>
      <c r="F91" s="62" t="str">
        <f>'G-1 All Habitats'!B91</f>
        <v>Woodland and forest - Lowland beech and yew woodland</v>
      </c>
      <c r="G91" s="316" t="s">
        <v>1159</v>
      </c>
      <c r="H91" s="316" t="s">
        <v>1159</v>
      </c>
      <c r="I91" s="316" t="s">
        <v>1159</v>
      </c>
      <c r="J91" s="316">
        <v>25</v>
      </c>
      <c r="K91" s="316">
        <v>10</v>
      </c>
      <c r="L91" s="316" t="s">
        <v>1158</v>
      </c>
      <c r="M91" s="316" t="s">
        <v>1158</v>
      </c>
    </row>
    <row r="92" spans="1:13" ht="14">
      <c r="A92" s="33"/>
      <c r="B92" s="33"/>
      <c r="C92" s="33"/>
      <c r="F92" s="62" t="str">
        <f>'G-1 All Habitats'!B92</f>
        <v>Woodland and forest - Lowland mixed deciduous woodland</v>
      </c>
      <c r="G92" s="316" t="s">
        <v>1159</v>
      </c>
      <c r="H92" s="316" t="s">
        <v>1159</v>
      </c>
      <c r="I92" s="316" t="s">
        <v>1159</v>
      </c>
      <c r="J92" s="316">
        <v>25</v>
      </c>
      <c r="K92" s="316">
        <v>10</v>
      </c>
      <c r="L92" s="316" t="s">
        <v>1158</v>
      </c>
      <c r="M92" s="316" t="s">
        <v>1158</v>
      </c>
    </row>
    <row r="93" spans="1:13" ht="14">
      <c r="A93" s="33"/>
      <c r="B93" s="33"/>
      <c r="C93" s="33"/>
      <c r="F93" s="62" t="str">
        <f>'G-1 All Habitats'!B93</f>
        <v>Woodland and forest - Native pine woodlands</v>
      </c>
      <c r="G93" s="316" t="s">
        <v>1159</v>
      </c>
      <c r="H93" s="316" t="s">
        <v>1159</v>
      </c>
      <c r="I93" s="316" t="s">
        <v>1159</v>
      </c>
      <c r="J93" s="316">
        <v>25</v>
      </c>
      <c r="K93" s="316">
        <v>10</v>
      </c>
      <c r="L93" s="316" t="s">
        <v>1158</v>
      </c>
      <c r="M93" s="316" t="s">
        <v>1158</v>
      </c>
    </row>
    <row r="94" spans="1:13" ht="14">
      <c r="A94" s="33"/>
      <c r="B94" s="33"/>
      <c r="C94" s="33"/>
      <c r="F94" s="62" t="str">
        <f>'G-1 All Habitats'!B94</f>
        <v>Woodland and forest - Other coniferous woodland</v>
      </c>
      <c r="G94" s="316" t="s">
        <v>1159</v>
      </c>
      <c r="H94" s="316" t="s">
        <v>1159</v>
      </c>
      <c r="I94" s="316">
        <v>30</v>
      </c>
      <c r="J94" s="316">
        <v>10</v>
      </c>
      <c r="K94" s="316">
        <v>5</v>
      </c>
      <c r="L94" s="316" t="s">
        <v>1158</v>
      </c>
      <c r="M94" s="316" t="s">
        <v>1158</v>
      </c>
    </row>
    <row r="95" spans="1:13" ht="14">
      <c r="A95" s="33"/>
      <c r="B95" s="33"/>
      <c r="C95" s="33"/>
      <c r="F95" s="62" t="str">
        <f>'G-1 All Habitats'!B95</f>
        <v>Woodland and forest - Other Scot's pine woodland</v>
      </c>
      <c r="G95" s="316" t="s">
        <v>1159</v>
      </c>
      <c r="H95" s="316" t="s">
        <v>1159</v>
      </c>
      <c r="I95" s="316" t="s">
        <v>1159</v>
      </c>
      <c r="J95" s="316">
        <v>25</v>
      </c>
      <c r="K95" s="316">
        <v>10</v>
      </c>
      <c r="L95" s="316" t="s">
        <v>1158</v>
      </c>
      <c r="M95" s="316" t="s">
        <v>1158</v>
      </c>
    </row>
    <row r="96" spans="1:13" ht="14">
      <c r="A96" s="33"/>
      <c r="B96" s="33"/>
      <c r="C96" s="33"/>
      <c r="F96" s="62" t="str">
        <f>'G-1 All Habitats'!B96</f>
        <v>Woodland and forest - Other woodland; broadleaved</v>
      </c>
      <c r="G96" s="316" t="s">
        <v>1159</v>
      </c>
      <c r="H96" s="316">
        <v>25</v>
      </c>
      <c r="I96" s="316">
        <v>15</v>
      </c>
      <c r="J96" s="316">
        <v>7</v>
      </c>
      <c r="K96" s="316">
        <v>5</v>
      </c>
      <c r="L96" s="316" t="s">
        <v>1158</v>
      </c>
      <c r="M96" s="316" t="s">
        <v>1158</v>
      </c>
    </row>
    <row r="97" spans="1:13" ht="14">
      <c r="A97" s="33"/>
      <c r="B97" s="33"/>
      <c r="C97" s="33"/>
      <c r="F97" s="62" t="str">
        <f>'G-1 All Habitats'!B97</f>
        <v>Woodland and forest - Other woodland; mixed</v>
      </c>
      <c r="G97" s="316" t="s">
        <v>1159</v>
      </c>
      <c r="H97" s="316" t="s">
        <v>1159</v>
      </c>
      <c r="I97" s="316">
        <v>30</v>
      </c>
      <c r="J97" s="316">
        <v>10</v>
      </c>
      <c r="K97" s="316">
        <v>5</v>
      </c>
      <c r="L97" s="316" t="s">
        <v>1158</v>
      </c>
      <c r="M97" s="316" t="s">
        <v>1158</v>
      </c>
    </row>
    <row r="98" spans="1:13" ht="14">
      <c r="A98" s="33"/>
      <c r="B98" s="33"/>
      <c r="C98" s="33"/>
      <c r="F98" s="62" t="str">
        <f>'G-1 All Habitats'!B98</f>
        <v>Woodland and forest - Upland birchwoods</v>
      </c>
      <c r="G98" s="316" t="s">
        <v>1159</v>
      </c>
      <c r="H98" s="316">
        <v>30</v>
      </c>
      <c r="I98" s="316">
        <v>25</v>
      </c>
      <c r="J98" s="316">
        <v>20</v>
      </c>
      <c r="K98" s="316">
        <v>10</v>
      </c>
      <c r="L98" s="316" t="s">
        <v>1158</v>
      </c>
      <c r="M98" s="316" t="s">
        <v>1158</v>
      </c>
    </row>
    <row r="99" spans="1:13" ht="14">
      <c r="A99" s="33"/>
      <c r="B99" s="33"/>
      <c r="C99" s="33"/>
      <c r="F99" s="62" t="str">
        <f>'G-1 All Habitats'!B99</f>
        <v>Woodland and forest - Upland mixed ashwoods</v>
      </c>
      <c r="G99" s="316" t="s">
        <v>1159</v>
      </c>
      <c r="H99" s="316" t="s">
        <v>1159</v>
      </c>
      <c r="I99" s="316" t="s">
        <v>1159</v>
      </c>
      <c r="J99" s="316">
        <v>25</v>
      </c>
      <c r="K99" s="316">
        <v>10</v>
      </c>
      <c r="L99" s="316" t="s">
        <v>1158</v>
      </c>
      <c r="M99" s="316" t="s">
        <v>1158</v>
      </c>
    </row>
    <row r="100" spans="1:13" ht="14">
      <c r="A100" s="33"/>
      <c r="B100" s="33"/>
      <c r="C100" s="33"/>
      <c r="F100" s="62" t="str">
        <f>'G-1 All Habitats'!B100</f>
        <v>Woodland and forest - Upland oakwood</v>
      </c>
      <c r="G100" s="316" t="s">
        <v>1159</v>
      </c>
      <c r="H100" s="316" t="s">
        <v>1159</v>
      </c>
      <c r="I100" s="316" t="s">
        <v>1159</v>
      </c>
      <c r="J100" s="316">
        <v>25</v>
      </c>
      <c r="K100" s="316">
        <v>10</v>
      </c>
      <c r="L100" s="316" t="s">
        <v>1158</v>
      </c>
      <c r="M100" s="316" t="s">
        <v>1158</v>
      </c>
    </row>
    <row r="101" spans="1:13" ht="14">
      <c r="A101" s="33"/>
      <c r="B101" s="33"/>
      <c r="C101" s="33"/>
      <c r="F101" s="62" t="str">
        <f>'G-1 All Habitats'!B101</f>
        <v>Woodland and forest - Wet woodland</v>
      </c>
      <c r="G101" s="316" t="s">
        <v>1159</v>
      </c>
      <c r="H101" s="316">
        <v>30</v>
      </c>
      <c r="I101" s="316">
        <v>15</v>
      </c>
      <c r="J101" s="316">
        <v>10</v>
      </c>
      <c r="K101" s="316">
        <v>5</v>
      </c>
      <c r="L101" s="316" t="s">
        <v>1158</v>
      </c>
      <c r="M101" s="316" t="s">
        <v>1158</v>
      </c>
    </row>
    <row r="102" spans="6:13" ht="14">
      <c r="F102" s="62" t="str">
        <f>'G-1 All Habitats'!B102</f>
        <v>Woodland and forest - Wood-pasture and parkland</v>
      </c>
      <c r="G102" s="316" t="s">
        <v>1159</v>
      </c>
      <c r="H102" s="316" t="s">
        <v>1159</v>
      </c>
      <c r="I102" s="316" t="s">
        <v>1159</v>
      </c>
      <c r="J102" s="316">
        <v>25</v>
      </c>
      <c r="K102" s="316">
        <v>10</v>
      </c>
      <c r="L102" s="316" t="s">
        <v>1158</v>
      </c>
      <c r="M102" s="316" t="s">
        <v>1158</v>
      </c>
    </row>
    <row r="103" spans="6:13" ht="14">
      <c r="F103" s="62" t="str">
        <f>'G-1 All Habitats'!B104</f>
        <v>Coastal lagoons - Coastal lagoons</v>
      </c>
      <c r="G103" s="316">
        <v>10</v>
      </c>
      <c r="H103" s="316">
        <v>8</v>
      </c>
      <c r="I103" s="316">
        <v>5</v>
      </c>
      <c r="J103" s="316">
        <v>3</v>
      </c>
      <c r="K103" s="316">
        <v>1</v>
      </c>
      <c r="L103" s="316" t="s">
        <v>1158</v>
      </c>
      <c r="M103" s="316" t="s">
        <v>1158</v>
      </c>
    </row>
    <row r="104" spans="6:13" ht="14">
      <c r="F104" s="62" t="str">
        <f>'G-1 All Habitats'!B105</f>
        <v>Rocky shore - High energy littoral rock</v>
      </c>
      <c r="G104" s="316">
        <v>10</v>
      </c>
      <c r="H104" s="316">
        <v>7</v>
      </c>
      <c r="I104" s="316">
        <v>4</v>
      </c>
      <c r="J104" s="316">
        <v>2</v>
      </c>
      <c r="K104" s="316">
        <v>1</v>
      </c>
      <c r="L104" s="316" t="s">
        <v>1158</v>
      </c>
      <c r="M104" s="316" t="s">
        <v>1158</v>
      </c>
    </row>
    <row r="105" spans="6:13" ht="14">
      <c r="F105" s="62" t="str">
        <f>'G-1 All Habitats'!B106</f>
        <v>Rocky shore - High energy littoral rock - on peat, clay or chalk</v>
      </c>
      <c r="G105" s="316" t="s">
        <v>1159</v>
      </c>
      <c r="H105" s="316" t="s">
        <v>1159</v>
      </c>
      <c r="I105" s="316" t="s">
        <v>1159</v>
      </c>
      <c r="J105" s="316" t="s">
        <v>1159</v>
      </c>
      <c r="K105" s="316" t="s">
        <v>1159</v>
      </c>
      <c r="L105" s="316" t="s">
        <v>1158</v>
      </c>
      <c r="M105" s="316" t="s">
        <v>1158</v>
      </c>
    </row>
    <row r="106" spans="6:13" ht="14">
      <c r="F106" s="62" t="str">
        <f>'G-1 All Habitats'!B107</f>
        <v>Rocky shore - Moderate energy littoral rock</v>
      </c>
      <c r="G106" s="316">
        <v>13</v>
      </c>
      <c r="H106" s="316">
        <v>8</v>
      </c>
      <c r="I106" s="316">
        <v>4</v>
      </c>
      <c r="J106" s="316">
        <v>2</v>
      </c>
      <c r="K106" s="316">
        <v>1</v>
      </c>
      <c r="L106" s="316" t="s">
        <v>1158</v>
      </c>
      <c r="M106" s="316" t="s">
        <v>1158</v>
      </c>
    </row>
    <row r="107" spans="6:13" ht="14">
      <c r="F107" s="62" t="str">
        <f>'G-1 All Habitats'!B108</f>
        <v>Rocky shore - Moderate energy littoral rock - on peat, clay or chalk</v>
      </c>
      <c r="G107" s="316" t="s">
        <v>1159</v>
      </c>
      <c r="H107" s="316" t="s">
        <v>1159</v>
      </c>
      <c r="I107" s="316" t="s">
        <v>1159</v>
      </c>
      <c r="J107" s="316" t="s">
        <v>1159</v>
      </c>
      <c r="K107" s="316" t="s">
        <v>1159</v>
      </c>
      <c r="L107" s="316" t="s">
        <v>1158</v>
      </c>
      <c r="M107" s="316" t="s">
        <v>1158</v>
      </c>
    </row>
    <row r="108" spans="6:13" ht="14">
      <c r="F108" s="62" t="str">
        <f>'G-1 All Habitats'!B109</f>
        <v>Rocky shore - Low energy littoral rock</v>
      </c>
      <c r="G108" s="316">
        <v>15</v>
      </c>
      <c r="H108" s="316">
        <v>10</v>
      </c>
      <c r="I108" s="316">
        <v>5</v>
      </c>
      <c r="J108" s="316">
        <v>1</v>
      </c>
      <c r="K108" s="316">
        <v>1</v>
      </c>
      <c r="L108" s="316" t="s">
        <v>1158</v>
      </c>
      <c r="M108" s="316" t="s">
        <v>1158</v>
      </c>
    </row>
    <row r="109" spans="6:13" ht="14">
      <c r="F109" s="62" t="str">
        <f>'G-1 All Habitats'!B110</f>
        <v>Rocky shore - Low energy littoral rock - on peat, clay or chalk</v>
      </c>
      <c r="G109" s="316" t="s">
        <v>1159</v>
      </c>
      <c r="H109" s="316" t="s">
        <v>1159</v>
      </c>
      <c r="I109" s="316" t="s">
        <v>1159</v>
      </c>
      <c r="J109" s="316" t="s">
        <v>1159</v>
      </c>
      <c r="K109" s="316" t="s">
        <v>1159</v>
      </c>
      <c r="L109" s="316" t="s">
        <v>1158</v>
      </c>
      <c r="M109" s="316" t="s">
        <v>1158</v>
      </c>
    </row>
    <row r="110" spans="6:13" ht="14">
      <c r="F110" s="62" t="str">
        <f>'G-1 All Habitats'!B111</f>
        <v>Rocky shore - Features of littoral rock</v>
      </c>
      <c r="G110" s="316">
        <v>13</v>
      </c>
      <c r="H110" s="316">
        <v>8</v>
      </c>
      <c r="I110" s="316">
        <v>4</v>
      </c>
      <c r="J110" s="316">
        <v>2</v>
      </c>
      <c r="K110" s="316">
        <v>1</v>
      </c>
      <c r="L110" s="316" t="s">
        <v>1158</v>
      </c>
      <c r="M110" s="316" t="s">
        <v>1158</v>
      </c>
    </row>
    <row r="111" spans="6:13" ht="14">
      <c r="F111" s="62" t="str">
        <f>'G-1 All Habitats'!B112</f>
        <v>Rocky shore - Features of littoral rock - on peat, clay or chalk</v>
      </c>
      <c r="G111" s="316" t="s">
        <v>1159</v>
      </c>
      <c r="H111" s="316" t="s">
        <v>1159</v>
      </c>
      <c r="I111" s="316" t="s">
        <v>1159</v>
      </c>
      <c r="J111" s="316" t="s">
        <v>1159</v>
      </c>
      <c r="K111" s="316" t="s">
        <v>1159</v>
      </c>
      <c r="L111" s="316" t="s">
        <v>1158</v>
      </c>
      <c r="M111" s="316" t="s">
        <v>1158</v>
      </c>
    </row>
    <row r="112" spans="6:13" ht="14">
      <c r="F112" s="62" t="str">
        <f>'G-1 All Habitats'!B115</f>
        <v>Intertidal sediment - Littoral coarse sediment</v>
      </c>
      <c r="G112" s="316">
        <v>3</v>
      </c>
      <c r="H112" s="316">
        <v>2</v>
      </c>
      <c r="I112" s="316">
        <v>1</v>
      </c>
      <c r="J112" s="316">
        <v>1</v>
      </c>
      <c r="K112" s="316">
        <v>1</v>
      </c>
      <c r="L112" s="316" t="s">
        <v>1158</v>
      </c>
      <c r="M112" s="316" t="s">
        <v>1158</v>
      </c>
    </row>
    <row r="113" spans="6:13" ht="14">
      <c r="F113" s="62" t="str">
        <f>'G-1 All Habitats'!B116</f>
        <v>Intertidal sediment - Littoral mud</v>
      </c>
      <c r="G113" s="316">
        <v>6</v>
      </c>
      <c r="H113" s="316">
        <v>4</v>
      </c>
      <c r="I113" s="316">
        <v>3</v>
      </c>
      <c r="J113" s="316">
        <v>2</v>
      </c>
      <c r="K113" s="316">
        <v>1</v>
      </c>
      <c r="L113" s="316" t="s">
        <v>1158</v>
      </c>
      <c r="M113" s="316" t="s">
        <v>1158</v>
      </c>
    </row>
    <row r="114" spans="6:13" ht="14">
      <c r="F114" s="62" t="str">
        <f>'G-1 All Habitats'!B117</f>
        <v>Intertidal sediment - Littoral mixed sediments</v>
      </c>
      <c r="G114" s="316">
        <v>5</v>
      </c>
      <c r="H114" s="316">
        <v>4</v>
      </c>
      <c r="I114" s="316">
        <v>3</v>
      </c>
      <c r="J114" s="316">
        <v>2</v>
      </c>
      <c r="K114" s="316">
        <v>1</v>
      </c>
      <c r="L114" s="316" t="s">
        <v>1158</v>
      </c>
      <c r="M114" s="316" t="s">
        <v>1158</v>
      </c>
    </row>
    <row r="115" spans="6:13" ht="14">
      <c r="F115" s="62" t="str">
        <f>'G-1 All Habitats'!B113</f>
        <v>Coastal saltmarsh - Saltmarshes and saline reedbeds</v>
      </c>
      <c r="G115" s="316">
        <v>15</v>
      </c>
      <c r="H115" s="316">
        <v>10</v>
      </c>
      <c r="I115" s="316">
        <v>7</v>
      </c>
      <c r="J115" s="316">
        <v>3</v>
      </c>
      <c r="K115" s="316">
        <v>1</v>
      </c>
      <c r="L115" s="316" t="s">
        <v>1158</v>
      </c>
      <c r="M115" s="316" t="s">
        <v>1158</v>
      </c>
    </row>
    <row r="116" spans="6:13" ht="14">
      <c r="F116" s="62" t="str">
        <f>'G-1 All Habitats'!B114</f>
        <v>Coastal saltmarsh - Artificial saltmarshes and saline reedbeds</v>
      </c>
      <c r="G116" s="316">
        <v>15</v>
      </c>
      <c r="H116" s="316">
        <v>10</v>
      </c>
      <c r="I116" s="316">
        <v>7</v>
      </c>
      <c r="J116" s="316">
        <v>3</v>
      </c>
      <c r="K116" s="316">
        <v>1</v>
      </c>
      <c r="L116" s="316" t="s">
        <v>1158</v>
      </c>
      <c r="M116" s="316" t="s">
        <v>1158</v>
      </c>
    </row>
    <row r="117" spans="6:13" ht="14">
      <c r="F117" s="62" t="str">
        <f>'G-1 All Habitats'!B118</f>
        <v>Intertidal sediment - Littoral seagrass</v>
      </c>
      <c r="G117" s="316">
        <v>20</v>
      </c>
      <c r="H117" s="316">
        <v>15</v>
      </c>
      <c r="I117" s="316">
        <v>10</v>
      </c>
      <c r="J117" s="316">
        <v>5</v>
      </c>
      <c r="K117" s="316">
        <v>2</v>
      </c>
      <c r="L117" s="316" t="s">
        <v>1158</v>
      </c>
      <c r="M117" s="316" t="s">
        <v>1158</v>
      </c>
    </row>
    <row r="118" spans="6:13" ht="14">
      <c r="F118" s="62" t="str">
        <f>'G-1 All Habitats'!B119</f>
        <v>Intertidal sediment - Littoral seagrass on peat, clay or chalk</v>
      </c>
      <c r="G118" s="316" t="s">
        <v>1159</v>
      </c>
      <c r="H118" s="316" t="s">
        <v>1159</v>
      </c>
      <c r="I118" s="316" t="s">
        <v>1159</v>
      </c>
      <c r="J118" s="316" t="s">
        <v>1159</v>
      </c>
      <c r="K118" s="316" t="s">
        <v>1159</v>
      </c>
      <c r="L118" s="316" t="s">
        <v>1158</v>
      </c>
      <c r="M118" s="316" t="s">
        <v>1158</v>
      </c>
    </row>
    <row r="119" spans="6:13" ht="14">
      <c r="F119" s="62" t="str">
        <f>'G-1 All Habitats'!B120</f>
        <v>Intertidal sediment - Littoral biogenic reefs - Mussels</v>
      </c>
      <c r="G119" s="316">
        <v>15</v>
      </c>
      <c r="H119" s="316">
        <v>10</v>
      </c>
      <c r="I119" s="316">
        <v>5</v>
      </c>
      <c r="J119" s="316">
        <v>3</v>
      </c>
      <c r="K119" s="316">
        <v>3</v>
      </c>
      <c r="L119" s="316" t="s">
        <v>1158</v>
      </c>
      <c r="M119" s="316" t="s">
        <v>1158</v>
      </c>
    </row>
    <row r="120" spans="6:13" ht="14">
      <c r="F120" s="62" t="str">
        <f>'G-1 All Habitats'!B121</f>
        <v>Intertidal sediment - Littoral biogenic reefs - Sabellaria</v>
      </c>
      <c r="G120" s="316">
        <v>15</v>
      </c>
      <c r="H120" s="316">
        <v>10</v>
      </c>
      <c r="I120" s="316">
        <v>5</v>
      </c>
      <c r="J120" s="316">
        <v>3</v>
      </c>
      <c r="K120" s="316">
        <v>3</v>
      </c>
      <c r="L120" s="316" t="s">
        <v>1158</v>
      </c>
      <c r="M120" s="316" t="s">
        <v>1158</v>
      </c>
    </row>
    <row r="121" spans="6:13" ht="14">
      <c r="F121" s="62" t="str">
        <f>'G-1 All Habitats'!B122</f>
        <v>Intertidal sediment - Features of littoral sediment</v>
      </c>
      <c r="G121" s="316">
        <v>10</v>
      </c>
      <c r="H121" s="316">
        <v>7</v>
      </c>
      <c r="I121" s="316">
        <v>5</v>
      </c>
      <c r="J121" s="316">
        <v>3</v>
      </c>
      <c r="K121" s="316">
        <v>3</v>
      </c>
      <c r="L121" s="316" t="s">
        <v>1158</v>
      </c>
      <c r="M121" s="316" t="s">
        <v>1158</v>
      </c>
    </row>
    <row r="122" spans="6:13" ht="14">
      <c r="F122" s="62" t="str">
        <f>'G-1 All Habitats'!B123</f>
        <v>Intertidal sediment - Artificial littoral coarse sediment</v>
      </c>
      <c r="G122" s="316">
        <v>3</v>
      </c>
      <c r="H122" s="316">
        <v>2</v>
      </c>
      <c r="I122" s="316">
        <v>1</v>
      </c>
      <c r="J122" s="316">
        <v>1</v>
      </c>
      <c r="K122" s="316">
        <v>1</v>
      </c>
      <c r="L122" s="316" t="s">
        <v>1158</v>
      </c>
      <c r="M122" s="316" t="s">
        <v>1158</v>
      </c>
    </row>
    <row r="123" spans="6:13" ht="14">
      <c r="F123" s="62" t="str">
        <f>'G-1 All Habitats'!B124</f>
        <v>Intertidal sediment - Artificial littoral mud</v>
      </c>
      <c r="G123" s="316">
        <v>6</v>
      </c>
      <c r="H123" s="316">
        <v>4</v>
      </c>
      <c r="I123" s="316">
        <v>3</v>
      </c>
      <c r="J123" s="316">
        <v>2</v>
      </c>
      <c r="K123" s="316">
        <v>1</v>
      </c>
      <c r="L123" s="316" t="s">
        <v>1158</v>
      </c>
      <c r="M123" s="316" t="s">
        <v>1158</v>
      </c>
    </row>
    <row r="124" spans="6:13" ht="14">
      <c r="F124" s="62" t="str">
        <f>'G-1 All Habitats'!B125</f>
        <v>Intertidal sediment - Artificial littoral sand</v>
      </c>
      <c r="G124" s="316">
        <v>4</v>
      </c>
      <c r="H124" s="316">
        <v>2</v>
      </c>
      <c r="I124" s="316">
        <v>1</v>
      </c>
      <c r="J124" s="316">
        <v>1</v>
      </c>
      <c r="K124" s="316">
        <v>1</v>
      </c>
      <c r="L124" s="316" t="s">
        <v>1158</v>
      </c>
      <c r="M124" s="316" t="s">
        <v>1158</v>
      </c>
    </row>
    <row r="125" spans="6:13" ht="14">
      <c r="F125" s="62" t="str">
        <f>'G-1 All Habitats'!B126</f>
        <v>Intertidal sediment - Artificial littoral muddy sand</v>
      </c>
      <c r="G125" s="316">
        <v>5</v>
      </c>
      <c r="H125" s="316">
        <v>4</v>
      </c>
      <c r="I125" s="316">
        <v>3</v>
      </c>
      <c r="J125" s="316">
        <v>2</v>
      </c>
      <c r="K125" s="316">
        <v>1</v>
      </c>
      <c r="L125" s="316" t="s">
        <v>1158</v>
      </c>
      <c r="M125" s="316" t="s">
        <v>1158</v>
      </c>
    </row>
    <row r="126" spans="6:13" ht="14">
      <c r="F126" s="62" t="str">
        <f>'G-1 All Habitats'!B127</f>
        <v>Intertidal sediment - Artificial littoral mixed sediments</v>
      </c>
      <c r="G126" s="316">
        <v>5</v>
      </c>
      <c r="H126" s="316">
        <v>4</v>
      </c>
      <c r="I126" s="316">
        <v>3</v>
      </c>
      <c r="J126" s="316">
        <v>2</v>
      </c>
      <c r="K126" s="316">
        <v>1</v>
      </c>
      <c r="L126" s="316" t="s">
        <v>1158</v>
      </c>
      <c r="M126" s="316" t="s">
        <v>1158</v>
      </c>
    </row>
    <row r="127" spans="6:13" ht="14">
      <c r="F127" s="62" t="str">
        <f>'G-1 All Habitats'!B128</f>
        <v>Intertidal sediment - Artificial littoral seagrass</v>
      </c>
      <c r="G127" s="316">
        <v>20</v>
      </c>
      <c r="H127" s="316">
        <v>15</v>
      </c>
      <c r="I127" s="316">
        <v>10</v>
      </c>
      <c r="J127" s="316">
        <v>5</v>
      </c>
      <c r="K127" s="316">
        <v>2</v>
      </c>
      <c r="L127" s="316" t="s">
        <v>1158</v>
      </c>
      <c r="M127" s="316" t="s">
        <v>1158</v>
      </c>
    </row>
    <row r="128" spans="6:13" ht="14">
      <c r="F128" s="62" t="str">
        <f>'G-1 All Habitats'!B129</f>
        <v>Intertidal sediment - Artificial littoral biogenic reefs</v>
      </c>
      <c r="G128" s="316">
        <v>15</v>
      </c>
      <c r="H128" s="316">
        <v>10</v>
      </c>
      <c r="I128" s="316">
        <v>5</v>
      </c>
      <c r="J128" s="316">
        <v>3</v>
      </c>
      <c r="K128" s="316">
        <v>3</v>
      </c>
      <c r="L128" s="316" t="s">
        <v>1158</v>
      </c>
      <c r="M128" s="316" t="s">
        <v>1158</v>
      </c>
    </row>
    <row r="129" spans="6:13" ht="14">
      <c r="F129" s="62" t="str">
        <f>'G-1 All Habitats'!B130</f>
        <v>Intertidal sediment - Littoral sand</v>
      </c>
      <c r="G129" s="316">
        <v>4</v>
      </c>
      <c r="H129" s="316">
        <v>2</v>
      </c>
      <c r="I129" s="316">
        <v>1</v>
      </c>
      <c r="J129" s="316">
        <v>1</v>
      </c>
      <c r="K129" s="316">
        <v>1</v>
      </c>
      <c r="L129" s="316" t="s">
        <v>1158</v>
      </c>
      <c r="M129" s="316" t="s">
        <v>1158</v>
      </c>
    </row>
    <row r="130" spans="6:13" ht="14">
      <c r="F130" s="62" t="str">
        <f>'G-1 All Habitats'!B131</f>
        <v>Intertidal sediment - Littoral muddy sand</v>
      </c>
      <c r="G130" s="316">
        <v>5</v>
      </c>
      <c r="H130" s="316">
        <v>4</v>
      </c>
      <c r="I130" s="316">
        <v>3</v>
      </c>
      <c r="J130" s="316">
        <v>2</v>
      </c>
      <c r="K130" s="316">
        <v>1</v>
      </c>
      <c r="L130" s="316" t="s">
        <v>1158</v>
      </c>
      <c r="M130" s="316" t="s">
        <v>1158</v>
      </c>
    </row>
    <row r="131" spans="6:13" ht="14">
      <c r="F131" s="62" t="str">
        <f>'G-1 All Habitats'!B132</f>
        <v>Intertidal hard structures - Artificial hard structures</v>
      </c>
      <c r="G131" s="316">
        <v>15</v>
      </c>
      <c r="H131" s="316">
        <v>10</v>
      </c>
      <c r="I131" s="316">
        <v>5</v>
      </c>
      <c r="J131" s="316">
        <v>2</v>
      </c>
      <c r="K131" s="316">
        <v>1</v>
      </c>
      <c r="L131" s="316" t="s">
        <v>1158</v>
      </c>
      <c r="M131" s="316" t="s">
        <v>1158</v>
      </c>
    </row>
    <row r="132" spans="6:13" ht="14">
      <c r="F132" s="62" t="str">
        <f>'G-1 All Habitats'!B133</f>
        <v>Intertidal hard structures - Artificial features of hard structures</v>
      </c>
      <c r="G132" s="316">
        <v>13</v>
      </c>
      <c r="H132" s="316">
        <v>8</v>
      </c>
      <c r="I132" s="316">
        <v>4</v>
      </c>
      <c r="J132" s="316">
        <v>2</v>
      </c>
      <c r="K132" s="316">
        <v>1</v>
      </c>
      <c r="L132" s="316" t="s">
        <v>1158</v>
      </c>
      <c r="M132" s="316" t="s">
        <v>1158</v>
      </c>
    </row>
    <row r="133" spans="6:13" ht="14">
      <c r="F133" s="62" t="str">
        <f>'G-1 All Habitats'!B134</f>
        <v>Intertidal hard structures - Artificial hard structures with integrated greening of grey infrastructure (IGGI)</v>
      </c>
      <c r="G133" s="316">
        <v>13</v>
      </c>
      <c r="H133" s="316">
        <v>8</v>
      </c>
      <c r="I133" s="316">
        <v>4</v>
      </c>
      <c r="J133" s="316">
        <v>2</v>
      </c>
      <c r="K133" s="316">
        <v>1</v>
      </c>
      <c r="L133" s="316" t="s">
        <v>1158</v>
      </c>
      <c r="M133" s="316" t="s">
        <v>1158</v>
      </c>
    </row>
    <row r="134" spans="6:13" ht="14">
      <c r="F134" s="62" t="str">
        <f>'G-1 All Habitats'!B135</f>
        <v>Watercourse footprint - Watercourse footprint</v>
      </c>
      <c r="G134" s="316" t="s">
        <v>1158</v>
      </c>
      <c r="H134" s="316" t="s">
        <v>1158</v>
      </c>
      <c r="I134" s="316" t="s">
        <v>1158</v>
      </c>
      <c r="J134" s="316" t="s">
        <v>1158</v>
      </c>
      <c r="K134" s="316" t="s">
        <v>1158</v>
      </c>
      <c r="L134" s="316" t="s">
        <v>1158</v>
      </c>
      <c r="M134" s="316">
        <v>0</v>
      </c>
    </row>
    <row r="135" spans="6:13" ht="14">
      <c r="F135" s="62" t="str">
        <f>'G-1 All Habitats'!B81</f>
        <v>Individual trees - Rural tree</v>
      </c>
      <c r="G135" s="316" t="s">
        <v>1159</v>
      </c>
      <c r="H135" s="316" t="s">
        <v>1159</v>
      </c>
      <c r="I135" s="316">
        <v>27</v>
      </c>
      <c r="J135" s="316">
        <v>19</v>
      </c>
      <c r="K135" s="316">
        <v>10</v>
      </c>
      <c r="L135" s="316" t="s">
        <v>1158</v>
      </c>
      <c r="M135" s="316" t="s">
        <v>1158</v>
      </c>
    </row>
    <row r="136" ht="14"/>
    <row r="137" ht="14"/>
    <row r="138" ht="14"/>
    <row r="139" ht="14"/>
    <row r="140" ht="14"/>
    <row r="141" ht="14"/>
    <row r="142" ht="14"/>
    <row r="143" ht="14"/>
    <row r="144" ht="14"/>
    <row r="145" ht="14"/>
    <row r="146" ht="14"/>
    <row r="147" ht="14"/>
    <row r="148" ht="14"/>
    <row r="149" ht="14"/>
    <row r="150" ht="14"/>
    <row r="151" ht="14"/>
    <row r="152" ht="14"/>
    <row r="153" ht="14" thickBot="1"/>
  </sheetData>
  <sheetProtection algorithmName="SHA-512" hashValue="d2I2ZD+brzgzq524MpEV4WNRm8LvJWExMt7TYKO2hdRRngTavcSV8sLbKdgiyNVfRilEol8UwVw3uInYjUd9eg==" saltValue="eJ1RO8bGZ+LTiWa0Sok4tA==" spinCount="100000" sheet="1" objects="1" scenarios="1"/>
  <customSheetViews>
    <customSheetView guid="{8bda793c-c9c5-4fc6-a0a5-f1109f6d4f22}" scale="90" state="hidden" topLeftCell="A1">
      <pane xSplit="6" ySplit="3" topLeftCell="G45" activePane="bottomRight" state="frozen"/>
      <selection pane="bottomRight" activeCell="D14" sqref="D14"/>
      <pageMargins left="0.75" right="0.75" top="1" bottom="1" header="0.5" footer="0.5"/>
    </customSheetView>
  </customSheetViews>
  <mergeCells count="3">
    <mergeCell ref="A2:C2"/>
    <mergeCell ref="A1:C1"/>
    <mergeCell ref="G2:M2"/>
  </mergeCells>
  <dataValidations count="1">
    <dataValidation type="list" allowBlank="1" showInputMessage="1" showErrorMessage="1" sqref="G4:M135">
      <formula1>$A$4:$A$37</formula1>
    </dataValidation>
  </dataValidations>
  <pageMargins left="0.7" right="0.7" top="0.75" bottom="0.75" header="0.3" footer="0.3"/>
  <pageSetup fitToHeight="0" orientation="portrait" paperSize="9" scale="26"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C1:Y136"/>
  <sheetViews>
    <sheetView zoomScale="80" zoomScaleNormal="80" workbookViewId="0" topLeftCell="A1">
      <pane xSplit="3" ySplit="4" topLeftCell="D5" activePane="bottomRight" state="frozen"/>
      <selection pane="topLeft" activeCell="A1" sqref="A1"/>
      <selection pane="bottomLeft" activeCell="A5" sqref="A5"/>
      <selection pane="topRight" activeCell="D1" sqref="D1"/>
      <selection pane="bottomRight" activeCell="A1" sqref="A1"/>
    </sheetView>
  </sheetViews>
  <sheetFormatPr defaultColWidth="13.5442857142857" defaultRowHeight="14" zeroHeight="1"/>
  <cols>
    <col min="1" max="1" width="3.57142857142857" style="30" customWidth="1"/>
    <col min="2" max="2" width="3.42857142857143" style="30" customWidth="1"/>
    <col min="3" max="3" width="88.5714285714286" style="30" bestFit="1" customWidth="1"/>
    <col min="4" max="4" width="18" style="33" customWidth="1"/>
    <col min="5" max="5" width="21.5714285714286" style="33" customWidth="1"/>
    <col min="6" max="6" width="17.5714285714286" style="33" customWidth="1"/>
    <col min="7" max="8" width="18.5714285714286" style="33" customWidth="1"/>
    <col min="9" max="9" width="17.5714285714286" style="33" customWidth="1"/>
    <col min="10" max="14" width="17.4285714285714" style="33" customWidth="1"/>
    <col min="15" max="15" width="14.4285714285714" style="33" bestFit="1" customWidth="1"/>
    <col min="16" max="16" width="12.5714285714286" style="33" bestFit="1" customWidth="1"/>
    <col min="17" max="22" width="14.4285714285714" style="33" bestFit="1" customWidth="1"/>
    <col min="23" max="23" width="13.4285714285714" style="33" bestFit="1" customWidth="1"/>
    <col min="24" max="24" width="14.4285714285714" style="33" bestFit="1" customWidth="1"/>
    <col min="25" max="25" width="14.5714285714286" style="33" customWidth="1"/>
    <col min="26" max="26" width="11.5714285714286" style="33" customWidth="1"/>
    <col min="27" max="27" width="11.5714285714286" style="30" customWidth="1"/>
    <col min="28" max="29" width="11.5714285714286" style="30" hidden="1" customWidth="1"/>
    <col min="30" max="16382" width="0" style="30" hidden="1" customWidth="1"/>
    <col min="16383" max="16384" width="13.5714285714286" style="30"/>
  </cols>
  <sheetData>
    <row r="1" spans="4:25" ht="33.65" customHeight="1">
      <c r="D1" s="30"/>
      <c r="E1" s="30"/>
      <c r="F1" s="30"/>
      <c r="G1" s="30"/>
      <c r="H1" s="30"/>
      <c r="I1" s="30"/>
      <c r="J1" s="30"/>
      <c r="K1" s="30"/>
      <c r="L1" s="30"/>
      <c r="M1" s="30"/>
      <c r="N1" s="30"/>
      <c r="O1" s="30"/>
      <c r="P1" s="30"/>
      <c r="Q1" s="30"/>
      <c r="R1" s="30"/>
      <c r="S1" s="30"/>
      <c r="T1" s="30"/>
      <c r="U1" s="30"/>
      <c r="V1" s="30"/>
      <c r="W1" s="30"/>
      <c r="X1" s="30"/>
      <c r="Y1" s="30"/>
    </row>
    <row r="2" spans="3:25" ht="42">
      <c r="C2" s="181" t="s">
        <v>1161</v>
      </c>
      <c r="D2" s="71" t="s">
        <v>1162</v>
      </c>
      <c r="E2" s="71" t="s">
        <v>1162</v>
      </c>
      <c r="F2" s="71" t="s">
        <v>1162</v>
      </c>
      <c r="G2" s="71" t="s">
        <v>1162</v>
      </c>
      <c r="H2" s="71" t="s">
        <v>1162</v>
      </c>
      <c r="I2" s="71" t="s">
        <v>1162</v>
      </c>
      <c r="J2" s="71" t="s">
        <v>1162</v>
      </c>
      <c r="K2" s="71" t="s">
        <v>445</v>
      </c>
      <c r="L2" s="71" t="s">
        <v>445</v>
      </c>
      <c r="M2" s="71" t="s">
        <v>445</v>
      </c>
      <c r="N2" s="71" t="s">
        <v>445</v>
      </c>
      <c r="O2" s="71" t="s">
        <v>345</v>
      </c>
      <c r="P2" s="71" t="s">
        <v>345</v>
      </c>
      <c r="Q2" s="71" t="s">
        <v>345</v>
      </c>
      <c r="R2" s="71" t="s">
        <v>345</v>
      </c>
      <c r="S2" s="71" t="s">
        <v>662</v>
      </c>
      <c r="T2" s="71" t="s">
        <v>662</v>
      </c>
      <c r="U2" s="71" t="s">
        <v>662</v>
      </c>
      <c r="V2" s="71" t="s">
        <v>43</v>
      </c>
      <c r="W2" s="71" t="s">
        <v>43</v>
      </c>
      <c r="X2" s="71" t="s">
        <v>653</v>
      </c>
      <c r="Y2" s="71" t="s">
        <v>44</v>
      </c>
    </row>
    <row r="3" spans="3:25" ht="29.9" customHeight="1">
      <c r="C3" s="181" t="s">
        <v>1163</v>
      </c>
      <c r="D3" s="71" t="s">
        <v>362</v>
      </c>
      <c r="E3" s="71" t="s">
        <v>445</v>
      </c>
      <c r="F3" s="71" t="s">
        <v>345</v>
      </c>
      <c r="G3" s="71" t="s">
        <v>662</v>
      </c>
      <c r="H3" s="71" t="s">
        <v>43</v>
      </c>
      <c r="I3" s="71" t="s">
        <v>653</v>
      </c>
      <c r="J3" s="71" t="s">
        <v>44</v>
      </c>
      <c r="K3" s="71" t="s">
        <v>662</v>
      </c>
      <c r="L3" s="71" t="s">
        <v>43</v>
      </c>
      <c r="M3" s="71" t="s">
        <v>653</v>
      </c>
      <c r="N3" s="71" t="s">
        <v>44</v>
      </c>
      <c r="O3" s="71" t="s">
        <v>662</v>
      </c>
      <c r="P3" s="71" t="s">
        <v>43</v>
      </c>
      <c r="Q3" s="71" t="s">
        <v>653</v>
      </c>
      <c r="R3" s="71" t="s">
        <v>44</v>
      </c>
      <c r="S3" s="71" t="s">
        <v>43</v>
      </c>
      <c r="T3" s="71" t="s">
        <v>653</v>
      </c>
      <c r="U3" s="71" t="s">
        <v>44</v>
      </c>
      <c r="V3" s="71" t="s">
        <v>653</v>
      </c>
      <c r="W3" s="71" t="s">
        <v>44</v>
      </c>
      <c r="X3" s="71" t="s">
        <v>44</v>
      </c>
      <c r="Y3" s="71" t="s">
        <v>44</v>
      </c>
    </row>
    <row r="4" spans="3:25" ht="72" customHeight="1">
      <c r="C4" s="181" t="s">
        <v>379</v>
      </c>
      <c r="D4" s="69" t="s">
        <v>1164</v>
      </c>
      <c r="E4" s="69" t="s">
        <v>1165</v>
      </c>
      <c r="F4" s="69" t="s">
        <v>1166</v>
      </c>
      <c r="G4" s="69" t="s">
        <v>1167</v>
      </c>
      <c r="H4" s="69" t="s">
        <v>1168</v>
      </c>
      <c r="I4" s="69" t="s">
        <v>1169</v>
      </c>
      <c r="J4" s="69" t="s">
        <v>1170</v>
      </c>
      <c r="K4" s="69" t="s">
        <v>1171</v>
      </c>
      <c r="L4" s="69" t="s">
        <v>1172</v>
      </c>
      <c r="M4" s="69" t="s">
        <v>1173</v>
      </c>
      <c r="N4" s="69" t="s">
        <v>1174</v>
      </c>
      <c r="O4" s="69" t="s">
        <v>1175</v>
      </c>
      <c r="P4" s="69" t="s">
        <v>1176</v>
      </c>
      <c r="Q4" s="69" t="s">
        <v>1177</v>
      </c>
      <c r="R4" s="69" t="s">
        <v>1178</v>
      </c>
      <c r="S4" s="69" t="s">
        <v>1179</v>
      </c>
      <c r="T4" s="69" t="s">
        <v>1180</v>
      </c>
      <c r="U4" s="69" t="s">
        <v>1181</v>
      </c>
      <c r="V4" s="69" t="s">
        <v>1182</v>
      </c>
      <c r="W4" s="69" t="s">
        <v>1183</v>
      </c>
      <c r="X4" s="69" t="s">
        <v>1184</v>
      </c>
      <c r="Y4" s="69" t="s">
        <v>1185</v>
      </c>
    </row>
    <row r="5" spans="3:25" ht="14">
      <c r="C5" s="62" t="str">
        <f>'G-1 All Habitats'!B3</f>
        <v>Cropland - Arable field margins cultivated annually</v>
      </c>
      <c r="D5" s="316" t="s">
        <v>1158</v>
      </c>
      <c r="E5" s="316">
        <v>1</v>
      </c>
      <c r="F5" s="316" t="s">
        <v>1158</v>
      </c>
      <c r="G5" s="316" t="s">
        <v>1158</v>
      </c>
      <c r="H5" s="316" t="s">
        <v>1158</v>
      </c>
      <c r="I5" s="316" t="s">
        <v>1158</v>
      </c>
      <c r="J5" s="316" t="s">
        <v>1158</v>
      </c>
      <c r="K5" s="316" t="s">
        <v>1158</v>
      </c>
      <c r="L5" s="316" t="s">
        <v>1158</v>
      </c>
      <c r="M5" s="316" t="s">
        <v>1158</v>
      </c>
      <c r="N5" s="316" t="s">
        <v>1158</v>
      </c>
      <c r="O5" s="316" t="s">
        <v>1158</v>
      </c>
      <c r="P5" s="316" t="s">
        <v>1158</v>
      </c>
      <c r="Q5" s="316" t="s">
        <v>1158</v>
      </c>
      <c r="R5" s="316" t="s">
        <v>1158</v>
      </c>
      <c r="S5" s="316" t="s">
        <v>1158</v>
      </c>
      <c r="T5" s="316" t="s">
        <v>1158</v>
      </c>
      <c r="U5" s="316" t="s">
        <v>1158</v>
      </c>
      <c r="V5" s="316" t="s">
        <v>1158</v>
      </c>
      <c r="W5" s="316" t="s">
        <v>1158</v>
      </c>
      <c r="X5" s="316" t="s">
        <v>1158</v>
      </c>
      <c r="Y5" s="316" t="s">
        <v>1158</v>
      </c>
    </row>
    <row r="6" spans="3:25" ht="14">
      <c r="C6" s="62" t="str">
        <f>'G-1 All Habitats'!B4</f>
        <v>Cropland - Arable field margins game bird mix</v>
      </c>
      <c r="D6" s="316" t="s">
        <v>1158</v>
      </c>
      <c r="E6" s="316">
        <v>1</v>
      </c>
      <c r="F6" s="316" t="s">
        <v>1158</v>
      </c>
      <c r="G6" s="316" t="s">
        <v>1158</v>
      </c>
      <c r="H6" s="316" t="s">
        <v>1158</v>
      </c>
      <c r="I6" s="316" t="s">
        <v>1158</v>
      </c>
      <c r="J6" s="316" t="s">
        <v>1158</v>
      </c>
      <c r="K6" s="316" t="s">
        <v>1158</v>
      </c>
      <c r="L6" s="316" t="s">
        <v>1158</v>
      </c>
      <c r="M6" s="316" t="s">
        <v>1158</v>
      </c>
      <c r="N6" s="316" t="s">
        <v>1158</v>
      </c>
      <c r="O6" s="316" t="s">
        <v>1158</v>
      </c>
      <c r="P6" s="316" t="s">
        <v>1158</v>
      </c>
      <c r="Q6" s="316" t="s">
        <v>1158</v>
      </c>
      <c r="R6" s="316" t="s">
        <v>1158</v>
      </c>
      <c r="S6" s="316" t="s">
        <v>1158</v>
      </c>
      <c r="T6" s="316" t="s">
        <v>1158</v>
      </c>
      <c r="U6" s="316" t="s">
        <v>1158</v>
      </c>
      <c r="V6" s="316" t="s">
        <v>1158</v>
      </c>
      <c r="W6" s="316" t="s">
        <v>1158</v>
      </c>
      <c r="X6" s="316" t="s">
        <v>1158</v>
      </c>
      <c r="Y6" s="316" t="s">
        <v>1158</v>
      </c>
    </row>
    <row r="7" spans="3:25" ht="14">
      <c r="C7" s="62" t="str">
        <f>'G-1 All Habitats'!B5</f>
        <v>Cropland - Arable field margins pollen and nectar</v>
      </c>
      <c r="D7" s="316" t="s">
        <v>1158</v>
      </c>
      <c r="E7" s="316">
        <v>1</v>
      </c>
      <c r="F7" s="316" t="s">
        <v>1158</v>
      </c>
      <c r="G7" s="316" t="s">
        <v>1158</v>
      </c>
      <c r="H7" s="316" t="s">
        <v>1158</v>
      </c>
      <c r="I7" s="316" t="s">
        <v>1158</v>
      </c>
      <c r="J7" s="316" t="s">
        <v>1158</v>
      </c>
      <c r="K7" s="316" t="s">
        <v>1158</v>
      </c>
      <c r="L7" s="316" t="s">
        <v>1158</v>
      </c>
      <c r="M7" s="316" t="s">
        <v>1158</v>
      </c>
      <c r="N7" s="316" t="s">
        <v>1158</v>
      </c>
      <c r="O7" s="316" t="s">
        <v>1158</v>
      </c>
      <c r="P7" s="316" t="s">
        <v>1158</v>
      </c>
      <c r="Q7" s="316" t="s">
        <v>1158</v>
      </c>
      <c r="R7" s="316" t="s">
        <v>1158</v>
      </c>
      <c r="S7" s="316" t="s">
        <v>1158</v>
      </c>
      <c r="T7" s="316" t="s">
        <v>1158</v>
      </c>
      <c r="U7" s="316" t="s">
        <v>1158</v>
      </c>
      <c r="V7" s="316" t="s">
        <v>1158</v>
      </c>
      <c r="W7" s="316" t="s">
        <v>1158</v>
      </c>
      <c r="X7" s="316" t="s">
        <v>1158</v>
      </c>
      <c r="Y7" s="316" t="s">
        <v>1158</v>
      </c>
    </row>
    <row r="8" spans="3:25" ht="14">
      <c r="C8" s="62" t="str">
        <f>'G-1 All Habitats'!B6</f>
        <v>Cropland - Arable field margins tussocky</v>
      </c>
      <c r="D8" s="316" t="s">
        <v>1158</v>
      </c>
      <c r="E8" s="316">
        <v>1</v>
      </c>
      <c r="F8" s="316" t="s">
        <v>1158</v>
      </c>
      <c r="G8" s="316" t="s">
        <v>1158</v>
      </c>
      <c r="H8" s="316" t="s">
        <v>1158</v>
      </c>
      <c r="I8" s="316" t="s">
        <v>1158</v>
      </c>
      <c r="J8" s="316" t="s">
        <v>1158</v>
      </c>
      <c r="K8" s="316" t="s">
        <v>1158</v>
      </c>
      <c r="L8" s="316" t="s">
        <v>1158</v>
      </c>
      <c r="M8" s="316" t="s">
        <v>1158</v>
      </c>
      <c r="N8" s="316" t="s">
        <v>1158</v>
      </c>
      <c r="O8" s="316" t="s">
        <v>1158</v>
      </c>
      <c r="P8" s="316" t="s">
        <v>1158</v>
      </c>
      <c r="Q8" s="316" t="s">
        <v>1158</v>
      </c>
      <c r="R8" s="316" t="s">
        <v>1158</v>
      </c>
      <c r="S8" s="316" t="s">
        <v>1158</v>
      </c>
      <c r="T8" s="316" t="s">
        <v>1158</v>
      </c>
      <c r="U8" s="316" t="s">
        <v>1158</v>
      </c>
      <c r="V8" s="316" t="s">
        <v>1158</v>
      </c>
      <c r="W8" s="316" t="s">
        <v>1158</v>
      </c>
      <c r="X8" s="316" t="s">
        <v>1158</v>
      </c>
      <c r="Y8" s="316" t="s">
        <v>1158</v>
      </c>
    </row>
    <row r="9" spans="3:25" ht="14">
      <c r="C9" s="62" t="str">
        <f>'G-1 All Habitats'!B7</f>
        <v>Cropland - Cereal crops</v>
      </c>
      <c r="D9" s="316" t="s">
        <v>1158</v>
      </c>
      <c r="E9" s="316" t="s">
        <v>1158</v>
      </c>
      <c r="F9" s="316" t="s">
        <v>1158</v>
      </c>
      <c r="G9" s="316" t="s">
        <v>1158</v>
      </c>
      <c r="H9" s="316" t="s">
        <v>1158</v>
      </c>
      <c r="I9" s="316" t="s">
        <v>1158</v>
      </c>
      <c r="J9" s="316" t="s">
        <v>1158</v>
      </c>
      <c r="K9" s="316" t="s">
        <v>1158</v>
      </c>
      <c r="L9" s="316" t="s">
        <v>1158</v>
      </c>
      <c r="M9" s="316" t="s">
        <v>1158</v>
      </c>
      <c r="N9" s="316" t="s">
        <v>1158</v>
      </c>
      <c r="O9" s="316" t="s">
        <v>1158</v>
      </c>
      <c r="P9" s="316" t="s">
        <v>1158</v>
      </c>
      <c r="Q9" s="316" t="s">
        <v>1158</v>
      </c>
      <c r="R9" s="316" t="s">
        <v>1158</v>
      </c>
      <c r="S9" s="316" t="s">
        <v>1158</v>
      </c>
      <c r="T9" s="316" t="s">
        <v>1158</v>
      </c>
      <c r="U9" s="316" t="s">
        <v>1158</v>
      </c>
      <c r="V9" s="316" t="s">
        <v>1158</v>
      </c>
      <c r="W9" s="316" t="s">
        <v>1158</v>
      </c>
      <c r="X9" s="316" t="s">
        <v>1158</v>
      </c>
      <c r="Y9" s="316" t="s">
        <v>1158</v>
      </c>
    </row>
    <row r="10" spans="3:25" ht="14">
      <c r="C10" s="62" t="str">
        <f>'G-1 All Habitats'!B8</f>
        <v>Cropland - Winter stubble</v>
      </c>
      <c r="D10" s="316" t="s">
        <v>1158</v>
      </c>
      <c r="E10" s="316" t="s">
        <v>1158</v>
      </c>
      <c r="F10" s="316" t="s">
        <v>1158</v>
      </c>
      <c r="G10" s="316" t="s">
        <v>1158</v>
      </c>
      <c r="H10" s="316" t="s">
        <v>1158</v>
      </c>
      <c r="I10" s="316" t="s">
        <v>1158</v>
      </c>
      <c r="J10" s="316" t="s">
        <v>1158</v>
      </c>
      <c r="K10" s="316" t="s">
        <v>1158</v>
      </c>
      <c r="L10" s="316" t="s">
        <v>1158</v>
      </c>
      <c r="M10" s="316" t="s">
        <v>1158</v>
      </c>
      <c r="N10" s="316" t="s">
        <v>1158</v>
      </c>
      <c r="O10" s="316" t="s">
        <v>1158</v>
      </c>
      <c r="P10" s="316" t="s">
        <v>1158</v>
      </c>
      <c r="Q10" s="316" t="s">
        <v>1158</v>
      </c>
      <c r="R10" s="316" t="s">
        <v>1158</v>
      </c>
      <c r="S10" s="316" t="s">
        <v>1158</v>
      </c>
      <c r="T10" s="316" t="s">
        <v>1158</v>
      </c>
      <c r="U10" s="316" t="s">
        <v>1158</v>
      </c>
      <c r="V10" s="316" t="s">
        <v>1158</v>
      </c>
      <c r="W10" s="316" t="s">
        <v>1158</v>
      </c>
      <c r="X10" s="316" t="s">
        <v>1158</v>
      </c>
      <c r="Y10" s="316" t="s">
        <v>1158</v>
      </c>
    </row>
    <row r="11" spans="3:25" ht="14">
      <c r="C11" s="62" t="str">
        <f>'G-1 All Habitats'!B9</f>
        <v>Cropland - Horticulture</v>
      </c>
      <c r="D11" s="316" t="s">
        <v>1158</v>
      </c>
      <c r="E11" s="316" t="s">
        <v>1158</v>
      </c>
      <c r="F11" s="316" t="s">
        <v>1158</v>
      </c>
      <c r="G11" s="316" t="s">
        <v>1158</v>
      </c>
      <c r="H11" s="316" t="s">
        <v>1158</v>
      </c>
      <c r="I11" s="316" t="s">
        <v>1158</v>
      </c>
      <c r="J11" s="316" t="s">
        <v>1158</v>
      </c>
      <c r="K11" s="316" t="s">
        <v>1158</v>
      </c>
      <c r="L11" s="316" t="s">
        <v>1158</v>
      </c>
      <c r="M11" s="316" t="s">
        <v>1158</v>
      </c>
      <c r="N11" s="316" t="s">
        <v>1158</v>
      </c>
      <c r="O11" s="316" t="s">
        <v>1158</v>
      </c>
      <c r="P11" s="316" t="s">
        <v>1158</v>
      </c>
      <c r="Q11" s="316" t="s">
        <v>1158</v>
      </c>
      <c r="R11" s="316" t="s">
        <v>1158</v>
      </c>
      <c r="S11" s="316" t="s">
        <v>1158</v>
      </c>
      <c r="T11" s="316" t="s">
        <v>1158</v>
      </c>
      <c r="U11" s="316" t="s">
        <v>1158</v>
      </c>
      <c r="V11" s="316" t="s">
        <v>1158</v>
      </c>
      <c r="W11" s="316" t="s">
        <v>1158</v>
      </c>
      <c r="X11" s="316" t="s">
        <v>1158</v>
      </c>
      <c r="Y11" s="316" t="s">
        <v>1158</v>
      </c>
    </row>
    <row r="12" spans="3:25" ht="14">
      <c r="C12" s="62" t="str">
        <f>'G-1 All Habitats'!B10</f>
        <v>Cropland - Intensive orchards</v>
      </c>
      <c r="D12" s="316" t="s">
        <v>1158</v>
      </c>
      <c r="E12" s="316" t="s">
        <v>1158</v>
      </c>
      <c r="F12" s="316" t="s">
        <v>1158</v>
      </c>
      <c r="G12" s="316" t="s">
        <v>1158</v>
      </c>
      <c r="H12" s="316" t="s">
        <v>1158</v>
      </c>
      <c r="I12" s="316" t="s">
        <v>1158</v>
      </c>
      <c r="J12" s="316" t="s">
        <v>1158</v>
      </c>
      <c r="K12" s="316" t="s">
        <v>1158</v>
      </c>
      <c r="L12" s="316" t="s">
        <v>1158</v>
      </c>
      <c r="M12" s="316" t="s">
        <v>1158</v>
      </c>
      <c r="N12" s="316" t="s">
        <v>1158</v>
      </c>
      <c r="O12" s="316" t="s">
        <v>1158</v>
      </c>
      <c r="P12" s="316" t="s">
        <v>1158</v>
      </c>
      <c r="Q12" s="316" t="s">
        <v>1158</v>
      </c>
      <c r="R12" s="316" t="s">
        <v>1158</v>
      </c>
      <c r="S12" s="316" t="s">
        <v>1158</v>
      </c>
      <c r="T12" s="316" t="s">
        <v>1158</v>
      </c>
      <c r="U12" s="316" t="s">
        <v>1158</v>
      </c>
      <c r="V12" s="316" t="s">
        <v>1158</v>
      </c>
      <c r="W12" s="316" t="s">
        <v>1158</v>
      </c>
      <c r="X12" s="316" t="s">
        <v>1158</v>
      </c>
      <c r="Y12" s="316" t="s">
        <v>1158</v>
      </c>
    </row>
    <row r="13" spans="3:25" ht="14">
      <c r="C13" s="62" t="str">
        <f>'G-1 All Habitats'!B11</f>
        <v>Cropland - Non-cereal crops</v>
      </c>
      <c r="D13" s="316" t="s">
        <v>1158</v>
      </c>
      <c r="E13" s="316" t="s">
        <v>1158</v>
      </c>
      <c r="F13" s="316" t="s">
        <v>1158</v>
      </c>
      <c r="G13" s="316" t="s">
        <v>1158</v>
      </c>
      <c r="H13" s="316" t="s">
        <v>1158</v>
      </c>
      <c r="I13" s="316" t="s">
        <v>1158</v>
      </c>
      <c r="J13" s="316" t="s">
        <v>1158</v>
      </c>
      <c r="K13" s="316" t="s">
        <v>1158</v>
      </c>
      <c r="L13" s="316" t="s">
        <v>1158</v>
      </c>
      <c r="M13" s="316" t="s">
        <v>1158</v>
      </c>
      <c r="N13" s="316" t="s">
        <v>1158</v>
      </c>
      <c r="O13" s="316" t="s">
        <v>1158</v>
      </c>
      <c r="P13" s="316" t="s">
        <v>1158</v>
      </c>
      <c r="Q13" s="316" t="s">
        <v>1158</v>
      </c>
      <c r="R13" s="316" t="s">
        <v>1158</v>
      </c>
      <c r="S13" s="316" t="s">
        <v>1158</v>
      </c>
      <c r="T13" s="316" t="s">
        <v>1158</v>
      </c>
      <c r="U13" s="316" t="s">
        <v>1158</v>
      </c>
      <c r="V13" s="316" t="s">
        <v>1158</v>
      </c>
      <c r="W13" s="316" t="s">
        <v>1158</v>
      </c>
      <c r="X13" s="316" t="s">
        <v>1158</v>
      </c>
      <c r="Y13" s="316" t="s">
        <v>1158</v>
      </c>
    </row>
    <row r="14" spans="3:25" ht="14">
      <c r="C14" s="62" t="str">
        <f>'G-1 All Habitats'!B12</f>
        <v>Cropland - Temporary grass and clover leys</v>
      </c>
      <c r="D14" s="316" t="s">
        <v>1158</v>
      </c>
      <c r="E14" s="316" t="s">
        <v>1158</v>
      </c>
      <c r="F14" s="316" t="s">
        <v>1158</v>
      </c>
      <c r="G14" s="316" t="s">
        <v>1158</v>
      </c>
      <c r="H14" s="316" t="s">
        <v>1158</v>
      </c>
      <c r="I14" s="316" t="s">
        <v>1158</v>
      </c>
      <c r="J14" s="316" t="s">
        <v>1158</v>
      </c>
      <c r="K14" s="316" t="s">
        <v>1158</v>
      </c>
      <c r="L14" s="316" t="s">
        <v>1158</v>
      </c>
      <c r="M14" s="316" t="s">
        <v>1158</v>
      </c>
      <c r="N14" s="316" t="s">
        <v>1158</v>
      </c>
      <c r="O14" s="316" t="s">
        <v>1158</v>
      </c>
      <c r="P14" s="316" t="s">
        <v>1158</v>
      </c>
      <c r="Q14" s="316" t="s">
        <v>1158</v>
      </c>
      <c r="R14" s="316" t="s">
        <v>1158</v>
      </c>
      <c r="S14" s="316" t="s">
        <v>1158</v>
      </c>
      <c r="T14" s="316" t="s">
        <v>1158</v>
      </c>
      <c r="U14" s="316" t="s">
        <v>1158</v>
      </c>
      <c r="V14" s="316" t="s">
        <v>1158</v>
      </c>
      <c r="W14" s="316" t="s">
        <v>1158</v>
      </c>
      <c r="X14" s="316" t="s">
        <v>1158</v>
      </c>
      <c r="Y14" s="316" t="s">
        <v>1158</v>
      </c>
    </row>
    <row r="15" spans="3:25" ht="14">
      <c r="C15" s="62" t="str">
        <f>'G-1 All Habitats'!B13</f>
        <v>Grassland - Traditional orchards</v>
      </c>
      <c r="D15" s="316" t="s">
        <v>1158</v>
      </c>
      <c r="E15" s="316" t="s">
        <v>1158</v>
      </c>
      <c r="F15" s="316">
        <v>5</v>
      </c>
      <c r="G15" s="316">
        <v>10</v>
      </c>
      <c r="H15" s="316">
        <v>20</v>
      </c>
      <c r="I15" s="316">
        <v>25</v>
      </c>
      <c r="J15" s="316">
        <v>30</v>
      </c>
      <c r="K15" s="316" t="s">
        <v>1158</v>
      </c>
      <c r="L15" s="316" t="s">
        <v>1158</v>
      </c>
      <c r="M15" s="316" t="s">
        <v>1158</v>
      </c>
      <c r="N15" s="316" t="s">
        <v>1158</v>
      </c>
      <c r="O15" s="316">
        <v>5</v>
      </c>
      <c r="P15" s="316">
        <v>15</v>
      </c>
      <c r="Q15" s="316">
        <v>20</v>
      </c>
      <c r="R15" s="316">
        <v>25</v>
      </c>
      <c r="S15" s="316">
        <v>10</v>
      </c>
      <c r="T15" s="316">
        <v>15</v>
      </c>
      <c r="U15" s="316">
        <v>20</v>
      </c>
      <c r="V15" s="316">
        <v>5</v>
      </c>
      <c r="W15" s="316">
        <v>10</v>
      </c>
      <c r="X15" s="316">
        <v>5</v>
      </c>
      <c r="Y15" s="316" t="s">
        <v>1158</v>
      </c>
    </row>
    <row r="16" spans="3:25" ht="14">
      <c r="C16" s="62" t="str">
        <f>'G-1 All Habitats'!B14</f>
        <v>Grassland - Bracken</v>
      </c>
      <c r="D16" s="316" t="s">
        <v>1158</v>
      </c>
      <c r="E16" s="316" t="s">
        <v>1158</v>
      </c>
      <c r="F16" s="316" t="s">
        <v>1158</v>
      </c>
      <c r="G16" s="316" t="s">
        <v>1158</v>
      </c>
      <c r="H16" s="316" t="s">
        <v>1158</v>
      </c>
      <c r="I16" s="316" t="s">
        <v>1158</v>
      </c>
      <c r="J16" s="316" t="s">
        <v>1158</v>
      </c>
      <c r="K16" s="316" t="s">
        <v>1158</v>
      </c>
      <c r="L16" s="316" t="s">
        <v>1158</v>
      </c>
      <c r="M16" s="316" t="s">
        <v>1158</v>
      </c>
      <c r="N16" s="316" t="s">
        <v>1158</v>
      </c>
      <c r="O16" s="316" t="s">
        <v>1158</v>
      </c>
      <c r="P16" s="316" t="s">
        <v>1158</v>
      </c>
      <c r="Q16" s="316" t="s">
        <v>1158</v>
      </c>
      <c r="R16" s="316" t="s">
        <v>1158</v>
      </c>
      <c r="S16" s="316" t="s">
        <v>1158</v>
      </c>
      <c r="T16" s="316" t="s">
        <v>1158</v>
      </c>
      <c r="U16" s="316" t="s">
        <v>1158</v>
      </c>
      <c r="V16" s="316" t="s">
        <v>1158</v>
      </c>
      <c r="W16" s="316" t="s">
        <v>1158</v>
      </c>
      <c r="X16" s="316" t="s">
        <v>1158</v>
      </c>
      <c r="Y16" s="316" t="s">
        <v>1158</v>
      </c>
    </row>
    <row r="17" spans="3:25" ht="14">
      <c r="C17" s="62" t="str">
        <f>'G-1 All Habitats'!B15</f>
        <v>Grassland - Floodplain wetland mosaic and CFGM</v>
      </c>
      <c r="D17" s="316" t="s">
        <v>1158</v>
      </c>
      <c r="E17" s="316" t="s">
        <v>1158</v>
      </c>
      <c r="F17" s="316">
        <v>5</v>
      </c>
      <c r="G17" s="316">
        <v>8</v>
      </c>
      <c r="H17" s="316">
        <v>10</v>
      </c>
      <c r="I17" s="316">
        <v>12</v>
      </c>
      <c r="J17" s="316">
        <v>15</v>
      </c>
      <c r="K17" s="316" t="s">
        <v>1158</v>
      </c>
      <c r="L17" s="316" t="s">
        <v>1158</v>
      </c>
      <c r="M17" s="316" t="s">
        <v>1158</v>
      </c>
      <c r="N17" s="316" t="s">
        <v>1158</v>
      </c>
      <c r="O17" s="316">
        <v>8</v>
      </c>
      <c r="P17" s="316">
        <v>10</v>
      </c>
      <c r="Q17" s="316">
        <v>12</v>
      </c>
      <c r="R17" s="316">
        <v>15</v>
      </c>
      <c r="S17" s="316">
        <v>2</v>
      </c>
      <c r="T17" s="316">
        <v>4</v>
      </c>
      <c r="U17" s="316">
        <v>7</v>
      </c>
      <c r="V17" s="316">
        <v>2</v>
      </c>
      <c r="W17" s="316">
        <v>4</v>
      </c>
      <c r="X17" s="316">
        <v>3</v>
      </c>
      <c r="Y17" s="316" t="s">
        <v>1158</v>
      </c>
    </row>
    <row r="18" spans="3:25" ht="14">
      <c r="C18" s="62" t="str">
        <f>'G-1 All Habitats'!B16</f>
        <v>Grassland - Lowland calcareous grassland</v>
      </c>
      <c r="D18" s="316" t="s">
        <v>1158</v>
      </c>
      <c r="E18" s="316" t="s">
        <v>1158</v>
      </c>
      <c r="F18" s="316">
        <v>10</v>
      </c>
      <c r="G18" s="316">
        <v>15</v>
      </c>
      <c r="H18" s="316">
        <v>20</v>
      </c>
      <c r="I18" s="316">
        <v>25</v>
      </c>
      <c r="J18" s="316">
        <v>30</v>
      </c>
      <c r="K18" s="316" t="s">
        <v>1158</v>
      </c>
      <c r="L18" s="316" t="s">
        <v>1158</v>
      </c>
      <c r="M18" s="316" t="s">
        <v>1158</v>
      </c>
      <c r="N18" s="316" t="s">
        <v>1158</v>
      </c>
      <c r="O18" s="316">
        <v>5</v>
      </c>
      <c r="P18" s="316">
        <v>10</v>
      </c>
      <c r="Q18" s="316">
        <v>15</v>
      </c>
      <c r="R18" s="316">
        <v>20</v>
      </c>
      <c r="S18" s="316">
        <v>5</v>
      </c>
      <c r="T18" s="316">
        <v>10</v>
      </c>
      <c r="U18" s="316">
        <v>15</v>
      </c>
      <c r="V18" s="316">
        <v>5</v>
      </c>
      <c r="W18" s="316">
        <v>10</v>
      </c>
      <c r="X18" s="316">
        <v>5</v>
      </c>
      <c r="Y18" s="316" t="s">
        <v>1158</v>
      </c>
    </row>
    <row r="19" spans="3:25" ht="14">
      <c r="C19" s="62" t="str">
        <f>'G-1 All Habitats'!B17</f>
        <v>Grassland - Lowland dry acid grassland</v>
      </c>
      <c r="D19" s="316" t="s">
        <v>1158</v>
      </c>
      <c r="E19" s="316" t="s">
        <v>1158</v>
      </c>
      <c r="F19" s="316">
        <v>10</v>
      </c>
      <c r="G19" s="316">
        <v>15</v>
      </c>
      <c r="H19" s="316">
        <v>20</v>
      </c>
      <c r="I19" s="316">
        <v>25</v>
      </c>
      <c r="J19" s="316" t="s">
        <v>1159</v>
      </c>
      <c r="K19" s="316" t="s">
        <v>1158</v>
      </c>
      <c r="L19" s="316" t="s">
        <v>1158</v>
      </c>
      <c r="M19" s="316" t="s">
        <v>1158</v>
      </c>
      <c r="N19" s="316" t="s">
        <v>1158</v>
      </c>
      <c r="O19" s="316">
        <v>5</v>
      </c>
      <c r="P19" s="316">
        <v>15</v>
      </c>
      <c r="Q19" s="316">
        <v>20</v>
      </c>
      <c r="R19" s="316" t="s">
        <v>1159</v>
      </c>
      <c r="S19" s="316">
        <v>8</v>
      </c>
      <c r="T19" s="316">
        <v>15</v>
      </c>
      <c r="U19" s="316">
        <v>25</v>
      </c>
      <c r="V19" s="316">
        <v>10</v>
      </c>
      <c r="W19" s="316">
        <v>20</v>
      </c>
      <c r="X19" s="316">
        <v>10</v>
      </c>
      <c r="Y19" s="316" t="s">
        <v>1158</v>
      </c>
    </row>
    <row r="20" spans="3:25" ht="14">
      <c r="C20" s="62" t="str">
        <f>'G-1 All Habitats'!B18</f>
        <v>Grassland - Lowland meadows</v>
      </c>
      <c r="D20" s="316" t="s">
        <v>1158</v>
      </c>
      <c r="E20" s="316" t="s">
        <v>1158</v>
      </c>
      <c r="F20" s="316">
        <v>5</v>
      </c>
      <c r="G20" s="316">
        <v>8</v>
      </c>
      <c r="H20" s="316">
        <v>10</v>
      </c>
      <c r="I20" s="316">
        <v>12</v>
      </c>
      <c r="J20" s="316">
        <v>15</v>
      </c>
      <c r="K20" s="316" t="s">
        <v>1158</v>
      </c>
      <c r="L20" s="316" t="s">
        <v>1158</v>
      </c>
      <c r="M20" s="316" t="s">
        <v>1158</v>
      </c>
      <c r="N20" s="316" t="s">
        <v>1158</v>
      </c>
      <c r="O20" s="316">
        <v>4</v>
      </c>
      <c r="P20" s="316">
        <v>8</v>
      </c>
      <c r="Q20" s="316">
        <v>11</v>
      </c>
      <c r="R20" s="316">
        <v>15</v>
      </c>
      <c r="S20" s="316">
        <v>4</v>
      </c>
      <c r="T20" s="316">
        <v>8</v>
      </c>
      <c r="U20" s="316">
        <v>11</v>
      </c>
      <c r="V20" s="316">
        <v>4</v>
      </c>
      <c r="W20" s="316">
        <v>8</v>
      </c>
      <c r="X20" s="316">
        <v>4</v>
      </c>
      <c r="Y20" s="316" t="s">
        <v>1158</v>
      </c>
    </row>
    <row r="21" spans="3:25" ht="14">
      <c r="C21" s="62" t="str">
        <f>'G-1 All Habitats'!B19</f>
        <v>Grassland - Modified grassland</v>
      </c>
      <c r="D21" s="316" t="s">
        <v>1158</v>
      </c>
      <c r="E21" s="316" t="s">
        <v>1158</v>
      </c>
      <c r="F21" s="316">
        <v>1</v>
      </c>
      <c r="G21" s="316">
        <v>5</v>
      </c>
      <c r="H21" s="316">
        <v>10</v>
      </c>
      <c r="I21" s="316">
        <v>12</v>
      </c>
      <c r="J21" s="316">
        <v>15</v>
      </c>
      <c r="K21" s="316" t="s">
        <v>1158</v>
      </c>
      <c r="L21" s="316" t="s">
        <v>1158</v>
      </c>
      <c r="M21" s="316" t="s">
        <v>1158</v>
      </c>
      <c r="N21" s="316" t="s">
        <v>1158</v>
      </c>
      <c r="O21" s="316">
        <v>5</v>
      </c>
      <c r="P21" s="316">
        <v>10</v>
      </c>
      <c r="Q21" s="316">
        <v>12</v>
      </c>
      <c r="R21" s="316">
        <v>15</v>
      </c>
      <c r="S21" s="316">
        <v>8</v>
      </c>
      <c r="T21" s="316">
        <v>10</v>
      </c>
      <c r="U21" s="316">
        <v>12</v>
      </c>
      <c r="V21" s="316">
        <v>8</v>
      </c>
      <c r="W21" s="316">
        <v>10</v>
      </c>
      <c r="X21" s="316">
        <v>8</v>
      </c>
      <c r="Y21" s="316" t="s">
        <v>1158</v>
      </c>
    </row>
    <row r="22" spans="3:25" ht="14">
      <c r="C22" s="62" t="str">
        <f>'G-1 All Habitats'!B20</f>
        <v>Grassland - Other lowland acid grassland</v>
      </c>
      <c r="D22" s="316" t="s">
        <v>1158</v>
      </c>
      <c r="E22" s="316" t="s">
        <v>1158</v>
      </c>
      <c r="F22" s="316">
        <v>1</v>
      </c>
      <c r="G22" s="316">
        <v>5</v>
      </c>
      <c r="H22" s="316">
        <v>10</v>
      </c>
      <c r="I22" s="316">
        <v>12</v>
      </c>
      <c r="J22" s="316">
        <v>15</v>
      </c>
      <c r="K22" s="316" t="s">
        <v>1158</v>
      </c>
      <c r="L22" s="316" t="s">
        <v>1158</v>
      </c>
      <c r="M22" s="316" t="s">
        <v>1158</v>
      </c>
      <c r="N22" s="316" t="s">
        <v>1158</v>
      </c>
      <c r="O22" s="316">
        <v>5</v>
      </c>
      <c r="P22" s="316">
        <v>10</v>
      </c>
      <c r="Q22" s="316">
        <v>12</v>
      </c>
      <c r="R22" s="316">
        <v>15</v>
      </c>
      <c r="S22" s="316">
        <v>8</v>
      </c>
      <c r="T22" s="316">
        <v>10</v>
      </c>
      <c r="U22" s="316">
        <v>12</v>
      </c>
      <c r="V22" s="316">
        <v>8</v>
      </c>
      <c r="W22" s="316">
        <v>10</v>
      </c>
      <c r="X22" s="316">
        <v>8</v>
      </c>
      <c r="Y22" s="316" t="s">
        <v>1158</v>
      </c>
    </row>
    <row r="23" spans="3:25" ht="14">
      <c r="C23" s="62" t="str">
        <f>'G-1 All Habitats'!B21</f>
        <v>Grassland - Other neutral grassland</v>
      </c>
      <c r="D23" s="316" t="s">
        <v>1158</v>
      </c>
      <c r="E23" s="316" t="s">
        <v>1158</v>
      </c>
      <c r="F23" s="316">
        <v>1</v>
      </c>
      <c r="G23" s="316">
        <v>5</v>
      </c>
      <c r="H23" s="316">
        <v>10</v>
      </c>
      <c r="I23" s="316">
        <v>12</v>
      </c>
      <c r="J23" s="316">
        <v>15</v>
      </c>
      <c r="K23" s="316" t="s">
        <v>1158</v>
      </c>
      <c r="L23" s="316" t="s">
        <v>1158</v>
      </c>
      <c r="M23" s="316" t="s">
        <v>1158</v>
      </c>
      <c r="N23" s="316" t="s">
        <v>1158</v>
      </c>
      <c r="O23" s="316">
        <v>5</v>
      </c>
      <c r="P23" s="316">
        <v>10</v>
      </c>
      <c r="Q23" s="316">
        <v>12</v>
      </c>
      <c r="R23" s="316">
        <v>15</v>
      </c>
      <c r="S23" s="316">
        <v>8</v>
      </c>
      <c r="T23" s="316">
        <v>10</v>
      </c>
      <c r="U23" s="316">
        <v>12</v>
      </c>
      <c r="V23" s="316">
        <v>8</v>
      </c>
      <c r="W23" s="316">
        <v>10</v>
      </c>
      <c r="X23" s="316">
        <v>8</v>
      </c>
      <c r="Y23" s="316" t="s">
        <v>1158</v>
      </c>
    </row>
    <row r="24" spans="3:25" ht="14">
      <c r="C24" s="62" t="str">
        <f>'G-1 All Habitats'!B22</f>
        <v>Grassland - Tall herb communities (H6430)</v>
      </c>
      <c r="D24" s="316" t="s">
        <v>1158</v>
      </c>
      <c r="E24" s="316" t="s">
        <v>1158</v>
      </c>
      <c r="F24" s="316">
        <v>10</v>
      </c>
      <c r="G24" s="316">
        <v>15</v>
      </c>
      <c r="H24" s="316">
        <v>20</v>
      </c>
      <c r="I24" s="316">
        <v>25</v>
      </c>
      <c r="J24" s="316">
        <v>30</v>
      </c>
      <c r="K24" s="316" t="s">
        <v>1158</v>
      </c>
      <c r="L24" s="316" t="s">
        <v>1158</v>
      </c>
      <c r="M24" s="316" t="s">
        <v>1158</v>
      </c>
      <c r="N24" s="316" t="s">
        <v>1158</v>
      </c>
      <c r="O24" s="316">
        <v>10</v>
      </c>
      <c r="P24" s="316">
        <v>20</v>
      </c>
      <c r="Q24" s="316">
        <v>25</v>
      </c>
      <c r="R24" s="316">
        <v>30</v>
      </c>
      <c r="S24" s="316">
        <v>10</v>
      </c>
      <c r="T24" s="316">
        <v>10</v>
      </c>
      <c r="U24" s="316">
        <v>15</v>
      </c>
      <c r="V24" s="316">
        <v>5</v>
      </c>
      <c r="W24" s="316">
        <v>10</v>
      </c>
      <c r="X24" s="316">
        <v>5</v>
      </c>
      <c r="Y24" s="316" t="s">
        <v>1158</v>
      </c>
    </row>
    <row r="25" spans="3:25" ht="14">
      <c r="C25" s="62" t="str">
        <f>'G-1 All Habitats'!B23</f>
        <v>Grassland - Upland acid grassland</v>
      </c>
      <c r="D25" s="316" t="s">
        <v>1158</v>
      </c>
      <c r="E25" s="316" t="s">
        <v>1158</v>
      </c>
      <c r="F25" s="316">
        <v>1</v>
      </c>
      <c r="G25" s="316">
        <v>5</v>
      </c>
      <c r="H25" s="316">
        <v>10</v>
      </c>
      <c r="I25" s="316">
        <v>12</v>
      </c>
      <c r="J25" s="316">
        <v>15</v>
      </c>
      <c r="K25" s="316" t="s">
        <v>1158</v>
      </c>
      <c r="L25" s="316" t="s">
        <v>1158</v>
      </c>
      <c r="M25" s="316" t="s">
        <v>1158</v>
      </c>
      <c r="N25" s="316" t="s">
        <v>1158</v>
      </c>
      <c r="O25" s="316">
        <v>5</v>
      </c>
      <c r="P25" s="316">
        <v>10</v>
      </c>
      <c r="Q25" s="316">
        <v>12</v>
      </c>
      <c r="R25" s="316">
        <v>15</v>
      </c>
      <c r="S25" s="316">
        <v>8</v>
      </c>
      <c r="T25" s="316">
        <v>10</v>
      </c>
      <c r="U25" s="316">
        <v>12</v>
      </c>
      <c r="V25" s="316">
        <v>8</v>
      </c>
      <c r="W25" s="316">
        <v>10</v>
      </c>
      <c r="X25" s="316">
        <v>8</v>
      </c>
      <c r="Y25" s="316" t="s">
        <v>1158</v>
      </c>
    </row>
    <row r="26" spans="3:25" ht="14">
      <c r="C26" s="62" t="str">
        <f>'G-1 All Habitats'!B24</f>
        <v>Grassland - Upland calcareous grassland</v>
      </c>
      <c r="D26" s="316" t="s">
        <v>1158</v>
      </c>
      <c r="E26" s="316" t="s">
        <v>1158</v>
      </c>
      <c r="F26" s="316">
        <v>10</v>
      </c>
      <c r="G26" s="316">
        <v>12</v>
      </c>
      <c r="H26" s="316">
        <v>15</v>
      </c>
      <c r="I26" s="316">
        <v>20</v>
      </c>
      <c r="J26" s="316">
        <v>25</v>
      </c>
      <c r="K26" s="316" t="s">
        <v>1158</v>
      </c>
      <c r="L26" s="316" t="s">
        <v>1158</v>
      </c>
      <c r="M26" s="316" t="s">
        <v>1158</v>
      </c>
      <c r="N26" s="316" t="s">
        <v>1158</v>
      </c>
      <c r="O26" s="316">
        <v>10</v>
      </c>
      <c r="P26" s="316">
        <v>15</v>
      </c>
      <c r="Q26" s="316">
        <v>18</v>
      </c>
      <c r="R26" s="316">
        <v>20</v>
      </c>
      <c r="S26" s="316">
        <v>10</v>
      </c>
      <c r="T26" s="316">
        <v>15</v>
      </c>
      <c r="U26" s="316">
        <v>18</v>
      </c>
      <c r="V26" s="316">
        <v>10</v>
      </c>
      <c r="W26" s="316">
        <v>10</v>
      </c>
      <c r="X26" s="316">
        <v>10</v>
      </c>
      <c r="Y26" s="316" t="s">
        <v>1158</v>
      </c>
    </row>
    <row r="27" spans="3:25" ht="14">
      <c r="C27" s="62" t="str">
        <f>'G-1 All Habitats'!B25</f>
        <v>Grassland - Upland hay meadows</v>
      </c>
      <c r="D27" s="316" t="s">
        <v>1158</v>
      </c>
      <c r="E27" s="316" t="s">
        <v>1158</v>
      </c>
      <c r="F27" s="316">
        <v>10</v>
      </c>
      <c r="G27" s="316">
        <v>12</v>
      </c>
      <c r="H27" s="316">
        <v>15</v>
      </c>
      <c r="I27" s="316">
        <v>18</v>
      </c>
      <c r="J27" s="316">
        <v>20</v>
      </c>
      <c r="K27" s="316" t="s">
        <v>1158</v>
      </c>
      <c r="L27" s="316" t="s">
        <v>1158</v>
      </c>
      <c r="M27" s="316" t="s">
        <v>1158</v>
      </c>
      <c r="N27" s="316" t="s">
        <v>1158</v>
      </c>
      <c r="O27" s="316">
        <v>10</v>
      </c>
      <c r="P27" s="316">
        <v>15</v>
      </c>
      <c r="Q27" s="316">
        <v>18</v>
      </c>
      <c r="R27" s="316">
        <v>20</v>
      </c>
      <c r="S27" s="316">
        <v>10</v>
      </c>
      <c r="T27" s="316">
        <v>15</v>
      </c>
      <c r="U27" s="316">
        <v>18</v>
      </c>
      <c r="V27" s="316">
        <v>10</v>
      </c>
      <c r="W27" s="316">
        <v>15</v>
      </c>
      <c r="X27" s="316">
        <v>10</v>
      </c>
      <c r="Y27" s="316" t="s">
        <v>1158</v>
      </c>
    </row>
    <row r="28" spans="3:25" ht="14">
      <c r="C28" s="62" t="str">
        <f>'G-1 All Habitats'!B26</f>
        <v>Heathland and shrub - Blackthorn scrub</v>
      </c>
      <c r="D28" s="316" t="s">
        <v>1158</v>
      </c>
      <c r="E28" s="316" t="s">
        <v>1158</v>
      </c>
      <c r="F28" s="316">
        <v>1</v>
      </c>
      <c r="G28" s="316">
        <v>3</v>
      </c>
      <c r="H28" s="316">
        <v>5</v>
      </c>
      <c r="I28" s="316">
        <v>7</v>
      </c>
      <c r="J28" s="316">
        <v>10</v>
      </c>
      <c r="K28" s="316">
        <v>1</v>
      </c>
      <c r="L28" s="316">
        <v>5</v>
      </c>
      <c r="M28" s="316">
        <v>7</v>
      </c>
      <c r="N28" s="316">
        <v>10</v>
      </c>
      <c r="O28" s="316">
        <v>1</v>
      </c>
      <c r="P28" s="316">
        <v>5</v>
      </c>
      <c r="Q28" s="316">
        <v>7</v>
      </c>
      <c r="R28" s="316">
        <v>10</v>
      </c>
      <c r="S28" s="316">
        <v>3</v>
      </c>
      <c r="T28" s="316">
        <v>5</v>
      </c>
      <c r="U28" s="316">
        <v>3</v>
      </c>
      <c r="V28" s="316">
        <v>2</v>
      </c>
      <c r="W28" s="316">
        <v>3</v>
      </c>
      <c r="X28" s="316">
        <v>2</v>
      </c>
      <c r="Y28" s="316" t="s">
        <v>1158</v>
      </c>
    </row>
    <row r="29" spans="3:25" ht="14">
      <c r="C29" s="62" t="str">
        <f>'G-1 All Habitats'!B27</f>
        <v>Heathland and shrub - Bramble scrub</v>
      </c>
      <c r="D29" s="316" t="s">
        <v>1158</v>
      </c>
      <c r="E29" s="316" t="s">
        <v>1158</v>
      </c>
      <c r="F29" s="316" t="s">
        <v>1158</v>
      </c>
      <c r="G29" s="316" t="s">
        <v>1158</v>
      </c>
      <c r="H29" s="316" t="s">
        <v>1158</v>
      </c>
      <c r="I29" s="316" t="s">
        <v>1158</v>
      </c>
      <c r="J29" s="316" t="s">
        <v>1158</v>
      </c>
      <c r="K29" s="316" t="s">
        <v>1158</v>
      </c>
      <c r="L29" s="316" t="s">
        <v>1158</v>
      </c>
      <c r="M29" s="316" t="s">
        <v>1158</v>
      </c>
      <c r="N29" s="316" t="s">
        <v>1158</v>
      </c>
      <c r="O29" s="316" t="s">
        <v>1158</v>
      </c>
      <c r="P29" s="316" t="s">
        <v>1158</v>
      </c>
      <c r="Q29" s="316" t="s">
        <v>1158</v>
      </c>
      <c r="R29" s="316" t="s">
        <v>1158</v>
      </c>
      <c r="S29" s="316" t="s">
        <v>1158</v>
      </c>
      <c r="T29" s="316" t="s">
        <v>1158</v>
      </c>
      <c r="U29" s="316" t="s">
        <v>1158</v>
      </c>
      <c r="V29" s="316" t="s">
        <v>1158</v>
      </c>
      <c r="W29" s="316" t="s">
        <v>1158</v>
      </c>
      <c r="X29" s="316" t="s">
        <v>1158</v>
      </c>
      <c r="Y29" s="316" t="s">
        <v>1158</v>
      </c>
    </row>
    <row r="30" spans="3:25" ht="14">
      <c r="C30" s="62" t="str">
        <f>'G-1 All Habitats'!B28</f>
        <v>Heathland and shrub - Gorse scrub</v>
      </c>
      <c r="D30" s="316" t="s">
        <v>1158</v>
      </c>
      <c r="E30" s="316" t="s">
        <v>1158</v>
      </c>
      <c r="F30" s="316">
        <v>1</v>
      </c>
      <c r="G30" s="316">
        <v>3</v>
      </c>
      <c r="H30" s="316">
        <v>5</v>
      </c>
      <c r="I30" s="316">
        <v>7</v>
      </c>
      <c r="J30" s="316">
        <v>10</v>
      </c>
      <c r="K30" s="316">
        <v>1</v>
      </c>
      <c r="L30" s="316">
        <v>5</v>
      </c>
      <c r="M30" s="316">
        <v>7</v>
      </c>
      <c r="N30" s="316">
        <v>10</v>
      </c>
      <c r="O30" s="316">
        <v>1</v>
      </c>
      <c r="P30" s="316">
        <v>5</v>
      </c>
      <c r="Q30" s="316">
        <v>7</v>
      </c>
      <c r="R30" s="316">
        <v>10</v>
      </c>
      <c r="S30" s="316">
        <v>3</v>
      </c>
      <c r="T30" s="316">
        <v>5</v>
      </c>
      <c r="U30" s="316">
        <v>7</v>
      </c>
      <c r="V30" s="316">
        <v>2</v>
      </c>
      <c r="W30" s="316">
        <v>3</v>
      </c>
      <c r="X30" s="316">
        <v>2</v>
      </c>
      <c r="Y30" s="316" t="s">
        <v>1158</v>
      </c>
    </row>
    <row r="31" spans="3:25" ht="14">
      <c r="C31" s="62" t="str">
        <f>'G-1 All Habitats'!B29</f>
        <v>Heathland and shrub - Hawthorn scrub</v>
      </c>
      <c r="D31" s="316" t="s">
        <v>1158</v>
      </c>
      <c r="E31" s="316" t="s">
        <v>1158</v>
      </c>
      <c r="F31" s="316">
        <v>1</v>
      </c>
      <c r="G31" s="316">
        <v>3</v>
      </c>
      <c r="H31" s="316">
        <v>5</v>
      </c>
      <c r="I31" s="316">
        <v>7</v>
      </c>
      <c r="J31" s="316">
        <v>10</v>
      </c>
      <c r="K31" s="316">
        <v>1</v>
      </c>
      <c r="L31" s="316">
        <v>5</v>
      </c>
      <c r="M31" s="316">
        <v>7</v>
      </c>
      <c r="N31" s="316">
        <v>10</v>
      </c>
      <c r="O31" s="316">
        <v>1</v>
      </c>
      <c r="P31" s="316">
        <v>5</v>
      </c>
      <c r="Q31" s="316">
        <v>7</v>
      </c>
      <c r="R31" s="316">
        <v>10</v>
      </c>
      <c r="S31" s="316">
        <v>3</v>
      </c>
      <c r="T31" s="316">
        <v>5</v>
      </c>
      <c r="U31" s="316">
        <v>7</v>
      </c>
      <c r="V31" s="316">
        <v>2</v>
      </c>
      <c r="W31" s="316">
        <v>3</v>
      </c>
      <c r="X31" s="316">
        <v>2</v>
      </c>
      <c r="Y31" s="316" t="s">
        <v>1158</v>
      </c>
    </row>
    <row r="32" spans="3:25" ht="14">
      <c r="C32" s="62" t="str">
        <f>'G-1 All Habitats'!B30</f>
        <v>Heathland and shrub - Hazel scrub</v>
      </c>
      <c r="D32" s="316" t="s">
        <v>1158</v>
      </c>
      <c r="E32" s="316" t="s">
        <v>1158</v>
      </c>
      <c r="F32" s="316">
        <v>5</v>
      </c>
      <c r="G32" s="316">
        <v>7</v>
      </c>
      <c r="H32" s="316">
        <v>10</v>
      </c>
      <c r="I32" s="316">
        <v>12</v>
      </c>
      <c r="J32" s="316">
        <v>15</v>
      </c>
      <c r="K32" s="316">
        <v>5</v>
      </c>
      <c r="L32" s="316">
        <v>7</v>
      </c>
      <c r="M32" s="316">
        <v>12</v>
      </c>
      <c r="N32" s="316">
        <v>15</v>
      </c>
      <c r="O32" s="316">
        <v>5</v>
      </c>
      <c r="P32" s="316">
        <v>7</v>
      </c>
      <c r="Q32" s="316">
        <v>12</v>
      </c>
      <c r="R32" s="316">
        <v>15</v>
      </c>
      <c r="S32" s="316">
        <v>5</v>
      </c>
      <c r="T32" s="316">
        <v>8</v>
      </c>
      <c r="U32" s="316">
        <v>12</v>
      </c>
      <c r="V32" s="316">
        <v>5</v>
      </c>
      <c r="W32" s="316">
        <v>7</v>
      </c>
      <c r="X32" s="316">
        <v>5</v>
      </c>
      <c r="Y32" s="316" t="s">
        <v>1158</v>
      </c>
    </row>
    <row r="33" spans="3:25" ht="14">
      <c r="C33" s="62" t="s">
        <v>779</v>
      </c>
      <c r="D33" s="316" t="s">
        <v>1158</v>
      </c>
      <c r="E33" s="316" t="s">
        <v>1158</v>
      </c>
      <c r="F33" s="316">
        <v>5</v>
      </c>
      <c r="G33" s="316">
        <v>7</v>
      </c>
      <c r="H33" s="316">
        <v>10</v>
      </c>
      <c r="I33" s="316">
        <v>12</v>
      </c>
      <c r="J33" s="316">
        <v>15</v>
      </c>
      <c r="K33" s="316">
        <v>5</v>
      </c>
      <c r="L33" s="316">
        <v>7</v>
      </c>
      <c r="M33" s="316">
        <v>12</v>
      </c>
      <c r="N33" s="316">
        <v>15</v>
      </c>
      <c r="O33" s="316">
        <v>5</v>
      </c>
      <c r="P33" s="316">
        <v>7</v>
      </c>
      <c r="Q33" s="316">
        <v>12</v>
      </c>
      <c r="R33" s="316">
        <v>15</v>
      </c>
      <c r="S33" s="316">
        <v>5</v>
      </c>
      <c r="T33" s="316">
        <v>8</v>
      </c>
      <c r="U33" s="316">
        <v>12</v>
      </c>
      <c r="V33" s="316">
        <v>5</v>
      </c>
      <c r="W33" s="316">
        <v>7</v>
      </c>
      <c r="X33" s="316">
        <v>5</v>
      </c>
      <c r="Y33" s="316" t="s">
        <v>1158</v>
      </c>
    </row>
    <row r="34" spans="3:25" ht="14">
      <c r="C34" s="62" t="str">
        <f>'G-1 All Habitats'!B31</f>
        <v>Heathland and shrub - Lowland heathland</v>
      </c>
      <c r="D34" s="316" t="s">
        <v>1158</v>
      </c>
      <c r="E34" s="316" t="s">
        <v>1158</v>
      </c>
      <c r="F34" s="316">
        <v>10</v>
      </c>
      <c r="G34" s="316">
        <v>15</v>
      </c>
      <c r="H34" s="316">
        <v>20</v>
      </c>
      <c r="I34" s="316">
        <v>25</v>
      </c>
      <c r="J34" s="316" t="s">
        <v>1159</v>
      </c>
      <c r="K34" s="316">
        <v>5</v>
      </c>
      <c r="L34" s="316">
        <v>10</v>
      </c>
      <c r="M34" s="316">
        <v>15</v>
      </c>
      <c r="N34" s="316">
        <v>25</v>
      </c>
      <c r="O34" s="316">
        <v>5</v>
      </c>
      <c r="P34" s="316">
        <v>10</v>
      </c>
      <c r="Q34" s="316">
        <v>15</v>
      </c>
      <c r="R34" s="316">
        <v>25</v>
      </c>
      <c r="S34" s="316">
        <v>5</v>
      </c>
      <c r="T34" s="316">
        <v>10</v>
      </c>
      <c r="U34" s="316">
        <v>20</v>
      </c>
      <c r="V34" s="316">
        <v>5</v>
      </c>
      <c r="W34" s="316">
        <v>15</v>
      </c>
      <c r="X34" s="316">
        <v>10</v>
      </c>
      <c r="Y34" s="316" t="s">
        <v>1158</v>
      </c>
    </row>
    <row r="35" spans="3:25" ht="14">
      <c r="C35" s="62" t="str">
        <f>'G-1 All Habitats'!B32</f>
        <v>Heathland and shrub - Mixed scrub</v>
      </c>
      <c r="D35" s="316" t="s">
        <v>1158</v>
      </c>
      <c r="E35" s="316" t="s">
        <v>1158</v>
      </c>
      <c r="F35" s="316">
        <v>1</v>
      </c>
      <c r="G35" s="316">
        <v>3</v>
      </c>
      <c r="H35" s="316">
        <v>5</v>
      </c>
      <c r="I35" s="316">
        <v>7</v>
      </c>
      <c r="J35" s="316">
        <v>10</v>
      </c>
      <c r="K35" s="316">
        <v>1</v>
      </c>
      <c r="L35" s="316">
        <v>5</v>
      </c>
      <c r="M35" s="316">
        <v>7</v>
      </c>
      <c r="N35" s="316">
        <v>10</v>
      </c>
      <c r="O35" s="316">
        <v>1</v>
      </c>
      <c r="P35" s="316">
        <v>5</v>
      </c>
      <c r="Q35" s="316">
        <v>7</v>
      </c>
      <c r="R35" s="316">
        <v>10</v>
      </c>
      <c r="S35" s="316">
        <v>3</v>
      </c>
      <c r="T35" s="316">
        <v>5</v>
      </c>
      <c r="U35" s="316">
        <v>7</v>
      </c>
      <c r="V35" s="316">
        <v>2</v>
      </c>
      <c r="W35" s="316">
        <v>3</v>
      </c>
      <c r="X35" s="316">
        <v>2</v>
      </c>
      <c r="Y35" s="316" t="s">
        <v>1158</v>
      </c>
    </row>
    <row r="36" spans="3:25" ht="14">
      <c r="C36" s="62" t="str">
        <f>'G-1 All Habitats'!B33</f>
        <v>Heathland and shrub - Mountain heaths and willow scrub</v>
      </c>
      <c r="D36" s="316" t="s">
        <v>1158</v>
      </c>
      <c r="E36" s="316" t="s">
        <v>1158</v>
      </c>
      <c r="F36" s="316">
        <v>15</v>
      </c>
      <c r="G36" s="316">
        <v>23</v>
      </c>
      <c r="H36" s="316">
        <v>25</v>
      </c>
      <c r="I36" s="316" t="s">
        <v>1159</v>
      </c>
      <c r="J36" s="316" t="s">
        <v>1159</v>
      </c>
      <c r="K36" s="316">
        <v>20</v>
      </c>
      <c r="L36" s="316" t="s">
        <v>1159</v>
      </c>
      <c r="M36" s="316" t="s">
        <v>1159</v>
      </c>
      <c r="N36" s="316" t="s">
        <v>1159</v>
      </c>
      <c r="O36" s="316">
        <v>20</v>
      </c>
      <c r="P36" s="316" t="s">
        <v>1159</v>
      </c>
      <c r="Q36" s="316" t="s">
        <v>1159</v>
      </c>
      <c r="R36" s="316" t="s">
        <v>1159</v>
      </c>
      <c r="S36" s="316">
        <v>20</v>
      </c>
      <c r="T36" s="316" t="s">
        <v>1159</v>
      </c>
      <c r="U36" s="316" t="s">
        <v>1159</v>
      </c>
      <c r="V36" s="316">
        <v>20</v>
      </c>
      <c r="W36" s="316" t="s">
        <v>1159</v>
      </c>
      <c r="X36" s="316">
        <v>20</v>
      </c>
      <c r="Y36" s="316" t="s">
        <v>1158</v>
      </c>
    </row>
    <row r="37" spans="3:25" ht="14">
      <c r="C37" s="62" t="str">
        <f>'G-1 All Habitats'!B34</f>
        <v>Heathland and shrub - Rhododendron scrub</v>
      </c>
      <c r="D37" s="316" t="s">
        <v>1158</v>
      </c>
      <c r="E37" s="316" t="s">
        <v>1158</v>
      </c>
      <c r="F37" s="316" t="s">
        <v>1158</v>
      </c>
      <c r="G37" s="316" t="s">
        <v>1158</v>
      </c>
      <c r="H37" s="316" t="s">
        <v>1158</v>
      </c>
      <c r="I37" s="316" t="s">
        <v>1158</v>
      </c>
      <c r="J37" s="316" t="s">
        <v>1158</v>
      </c>
      <c r="K37" s="316" t="s">
        <v>1158</v>
      </c>
      <c r="L37" s="316" t="s">
        <v>1158</v>
      </c>
      <c r="M37" s="316" t="s">
        <v>1158</v>
      </c>
      <c r="N37" s="316" t="s">
        <v>1158</v>
      </c>
      <c r="O37" s="316" t="s">
        <v>1158</v>
      </c>
      <c r="P37" s="316" t="s">
        <v>1158</v>
      </c>
      <c r="Q37" s="316" t="s">
        <v>1158</v>
      </c>
      <c r="R37" s="316" t="s">
        <v>1158</v>
      </c>
      <c r="S37" s="316" t="s">
        <v>1158</v>
      </c>
      <c r="T37" s="316" t="s">
        <v>1158</v>
      </c>
      <c r="U37" s="316" t="s">
        <v>1158</v>
      </c>
      <c r="V37" s="316" t="s">
        <v>1158</v>
      </c>
      <c r="W37" s="316" t="s">
        <v>1158</v>
      </c>
      <c r="X37" s="316" t="s">
        <v>1158</v>
      </c>
      <c r="Y37" s="316" t="s">
        <v>1158</v>
      </c>
    </row>
    <row r="38" spans="3:25" ht="14">
      <c r="C38" s="62" t="str">
        <f>'G-1 All Habitats'!B35</f>
        <v>Heathland and shrub - Dunes with sea buckthorn (H2160)</v>
      </c>
      <c r="D38" s="316" t="s">
        <v>1158</v>
      </c>
      <c r="E38" s="316" t="s">
        <v>1158</v>
      </c>
      <c r="F38" s="316">
        <v>5</v>
      </c>
      <c r="G38" s="316">
        <v>7</v>
      </c>
      <c r="H38" s="316">
        <v>10</v>
      </c>
      <c r="I38" s="316">
        <v>12</v>
      </c>
      <c r="J38" s="316">
        <v>15</v>
      </c>
      <c r="K38" s="316">
        <v>5</v>
      </c>
      <c r="L38" s="316">
        <v>7</v>
      </c>
      <c r="M38" s="316">
        <v>10</v>
      </c>
      <c r="N38" s="316">
        <v>12</v>
      </c>
      <c r="O38" s="316">
        <v>5</v>
      </c>
      <c r="P38" s="316">
        <v>7</v>
      </c>
      <c r="Q38" s="316">
        <v>10</v>
      </c>
      <c r="R38" s="316">
        <v>12</v>
      </c>
      <c r="S38" s="316">
        <v>5</v>
      </c>
      <c r="T38" s="316">
        <v>7</v>
      </c>
      <c r="U38" s="316">
        <v>10</v>
      </c>
      <c r="V38" s="316">
        <v>5</v>
      </c>
      <c r="W38" s="316">
        <v>7</v>
      </c>
      <c r="X38" s="316">
        <v>5</v>
      </c>
      <c r="Y38" s="316" t="s">
        <v>1158</v>
      </c>
    </row>
    <row r="39" spans="3:25" ht="14">
      <c r="C39" s="62" t="str">
        <f>'G-1 All Habitats'!B36</f>
        <v>Heathland and shrub - Other sea buckthorn scrub</v>
      </c>
      <c r="D39" s="316" t="s">
        <v>1158</v>
      </c>
      <c r="E39" s="316" t="s">
        <v>1158</v>
      </c>
      <c r="F39" s="316" t="s">
        <v>1158</v>
      </c>
      <c r="G39" s="316" t="s">
        <v>1158</v>
      </c>
      <c r="H39" s="316" t="s">
        <v>1158</v>
      </c>
      <c r="I39" s="316" t="s">
        <v>1158</v>
      </c>
      <c r="J39" s="316" t="s">
        <v>1158</v>
      </c>
      <c r="K39" s="316" t="s">
        <v>1158</v>
      </c>
      <c r="L39" s="316" t="s">
        <v>1158</v>
      </c>
      <c r="M39" s="316" t="s">
        <v>1158</v>
      </c>
      <c r="N39" s="316" t="s">
        <v>1158</v>
      </c>
      <c r="O39" s="316" t="s">
        <v>1158</v>
      </c>
      <c r="P39" s="316" t="s">
        <v>1158</v>
      </c>
      <c r="Q39" s="316" t="s">
        <v>1158</v>
      </c>
      <c r="R39" s="316" t="s">
        <v>1158</v>
      </c>
      <c r="S39" s="316" t="s">
        <v>1158</v>
      </c>
      <c r="T39" s="316" t="s">
        <v>1158</v>
      </c>
      <c r="U39" s="316" t="s">
        <v>1158</v>
      </c>
      <c r="V39" s="316" t="s">
        <v>1158</v>
      </c>
      <c r="W39" s="316" t="s">
        <v>1158</v>
      </c>
      <c r="X39" s="316" t="s">
        <v>1158</v>
      </c>
      <c r="Y39" s="316" t="s">
        <v>1158</v>
      </c>
    </row>
    <row r="40" spans="3:25" ht="14">
      <c r="C40" s="62" t="str">
        <f>'G-1 All Habitats'!B38</f>
        <v>Heathland and shrub - Upland heathland</v>
      </c>
      <c r="D40" s="316" t="s">
        <v>1158</v>
      </c>
      <c r="E40" s="316" t="s">
        <v>1158</v>
      </c>
      <c r="F40" s="316">
        <v>10</v>
      </c>
      <c r="G40" s="316">
        <v>15</v>
      </c>
      <c r="H40" s="316">
        <v>20</v>
      </c>
      <c r="I40" s="316">
        <v>25</v>
      </c>
      <c r="J40" s="316">
        <v>30</v>
      </c>
      <c r="K40" s="316" t="s">
        <v>1158</v>
      </c>
      <c r="L40" s="316" t="s">
        <v>1158</v>
      </c>
      <c r="M40" s="316" t="s">
        <v>1158</v>
      </c>
      <c r="N40" s="316" t="s">
        <v>1158</v>
      </c>
      <c r="O40" s="316">
        <v>10</v>
      </c>
      <c r="P40" s="316">
        <v>20</v>
      </c>
      <c r="Q40" s="316">
        <v>30</v>
      </c>
      <c r="R40" s="316" t="s">
        <v>1159</v>
      </c>
      <c r="S40" s="316">
        <v>10</v>
      </c>
      <c r="T40" s="316">
        <v>20</v>
      </c>
      <c r="U40" s="316">
        <v>30</v>
      </c>
      <c r="V40" s="316">
        <v>10</v>
      </c>
      <c r="W40" s="316">
        <v>20</v>
      </c>
      <c r="X40" s="316">
        <v>10</v>
      </c>
      <c r="Y40" s="316" t="s">
        <v>1158</v>
      </c>
    </row>
    <row r="41" spans="3:25" ht="14">
      <c r="C41" s="62" t="str">
        <f>'G-1 All Habitats'!B39</f>
        <v>Lakes - Aquifer fed naturally fluctuating water bodies</v>
      </c>
      <c r="D41" s="316" t="s">
        <v>1158</v>
      </c>
      <c r="E41" s="316" t="s">
        <v>1158</v>
      </c>
      <c r="F41" s="316">
        <v>1</v>
      </c>
      <c r="G41" s="316">
        <v>10</v>
      </c>
      <c r="H41" s="316">
        <v>15</v>
      </c>
      <c r="I41" s="316">
        <v>20</v>
      </c>
      <c r="J41" s="316">
        <v>30</v>
      </c>
      <c r="K41" s="316" t="s">
        <v>1158</v>
      </c>
      <c r="L41" s="316" t="s">
        <v>1158</v>
      </c>
      <c r="M41" s="316" t="s">
        <v>1158</v>
      </c>
      <c r="N41" s="316" t="s">
        <v>1158</v>
      </c>
      <c r="O41" s="316">
        <v>5</v>
      </c>
      <c r="P41" s="316">
        <v>10</v>
      </c>
      <c r="Q41" s="316">
        <v>15</v>
      </c>
      <c r="R41" s="316">
        <v>30</v>
      </c>
      <c r="S41" s="316">
        <v>5</v>
      </c>
      <c r="T41" s="316">
        <v>15</v>
      </c>
      <c r="U41" s="316">
        <v>25</v>
      </c>
      <c r="V41" s="316">
        <v>5</v>
      </c>
      <c r="W41" s="316">
        <v>20</v>
      </c>
      <c r="X41" s="316">
        <v>5</v>
      </c>
      <c r="Y41" s="316" t="s">
        <v>1158</v>
      </c>
    </row>
    <row r="42" spans="3:25" ht="14">
      <c r="C42" s="62" t="str">
        <f>'G-1 All Habitats'!B41</f>
        <v>Lakes - High alkalinity lakes</v>
      </c>
      <c r="D42" s="316" t="s">
        <v>1158</v>
      </c>
      <c r="E42" s="316" t="s">
        <v>1158</v>
      </c>
      <c r="F42" s="316">
        <v>2</v>
      </c>
      <c r="G42" s="316">
        <v>3</v>
      </c>
      <c r="H42" s="316">
        <v>5</v>
      </c>
      <c r="I42" s="316">
        <v>7</v>
      </c>
      <c r="J42" s="316">
        <v>10</v>
      </c>
      <c r="K42" s="316" t="s">
        <v>1158</v>
      </c>
      <c r="L42" s="316" t="s">
        <v>1158</v>
      </c>
      <c r="M42" s="316" t="s">
        <v>1158</v>
      </c>
      <c r="N42" s="316" t="s">
        <v>1158</v>
      </c>
      <c r="O42" s="316">
        <v>5</v>
      </c>
      <c r="P42" s="316">
        <v>10</v>
      </c>
      <c r="Q42" s="316">
        <v>15</v>
      </c>
      <c r="R42" s="316">
        <v>30</v>
      </c>
      <c r="S42" s="316">
        <v>5</v>
      </c>
      <c r="T42" s="316">
        <v>15</v>
      </c>
      <c r="U42" s="316">
        <v>25</v>
      </c>
      <c r="V42" s="316">
        <v>10</v>
      </c>
      <c r="W42" s="316">
        <v>20</v>
      </c>
      <c r="X42" s="316">
        <v>10</v>
      </c>
      <c r="Y42" s="316" t="s">
        <v>1158</v>
      </c>
    </row>
    <row r="43" spans="3:25" ht="14">
      <c r="C43" s="62" t="str">
        <f>'G-1 All Habitats'!B42</f>
        <v>Lakes - Low alkalinity lakes</v>
      </c>
      <c r="D43" s="316" t="s">
        <v>1158</v>
      </c>
      <c r="E43" s="316" t="s">
        <v>1158</v>
      </c>
      <c r="F43" s="316">
        <v>5</v>
      </c>
      <c r="G43" s="316">
        <v>10</v>
      </c>
      <c r="H43" s="316">
        <v>15</v>
      </c>
      <c r="I43" s="316">
        <v>20</v>
      </c>
      <c r="J43" s="316">
        <v>30</v>
      </c>
      <c r="K43" s="316" t="s">
        <v>1158</v>
      </c>
      <c r="L43" s="316" t="s">
        <v>1158</v>
      </c>
      <c r="M43" s="316" t="s">
        <v>1158</v>
      </c>
      <c r="N43" s="316" t="s">
        <v>1158</v>
      </c>
      <c r="O43" s="316">
        <v>5</v>
      </c>
      <c r="P43" s="316">
        <v>10</v>
      </c>
      <c r="Q43" s="316">
        <v>15</v>
      </c>
      <c r="R43" s="316">
        <v>20</v>
      </c>
      <c r="S43" s="316">
        <v>5</v>
      </c>
      <c r="T43" s="316">
        <v>10</v>
      </c>
      <c r="U43" s="316">
        <v>15</v>
      </c>
      <c r="V43" s="316">
        <v>5</v>
      </c>
      <c r="W43" s="316">
        <v>10</v>
      </c>
      <c r="X43" s="316">
        <v>5</v>
      </c>
      <c r="Y43" s="316" t="s">
        <v>1158</v>
      </c>
    </row>
    <row r="44" spans="3:25" ht="14">
      <c r="C44" s="62" t="str">
        <f>'G-1 All Habitats'!B43</f>
        <v>Lakes - Marl lakes</v>
      </c>
      <c r="D44" s="316" t="s">
        <v>1158</v>
      </c>
      <c r="E44" s="316" t="s">
        <v>1158</v>
      </c>
      <c r="F44" s="316">
        <v>5</v>
      </c>
      <c r="G44" s="316">
        <v>7</v>
      </c>
      <c r="H44" s="316">
        <v>10</v>
      </c>
      <c r="I44" s="316">
        <v>15</v>
      </c>
      <c r="J44" s="316">
        <v>20</v>
      </c>
      <c r="K44" s="316" t="s">
        <v>1158</v>
      </c>
      <c r="L44" s="316" t="s">
        <v>1158</v>
      </c>
      <c r="M44" s="316" t="s">
        <v>1158</v>
      </c>
      <c r="N44" s="316" t="s">
        <v>1158</v>
      </c>
      <c r="O44" s="316">
        <v>5</v>
      </c>
      <c r="P44" s="316">
        <v>10</v>
      </c>
      <c r="Q44" s="316">
        <v>15</v>
      </c>
      <c r="R44" s="316">
        <v>30</v>
      </c>
      <c r="S44" s="316">
        <v>5</v>
      </c>
      <c r="T44" s="316">
        <v>15</v>
      </c>
      <c r="U44" s="316">
        <v>25</v>
      </c>
      <c r="V44" s="316">
        <v>10</v>
      </c>
      <c r="W44" s="316">
        <v>20</v>
      </c>
      <c r="X44" s="316">
        <v>10</v>
      </c>
      <c r="Y44" s="316" t="s">
        <v>1158</v>
      </c>
    </row>
    <row r="45" spans="3:25" ht="14">
      <c r="C45" s="62" t="str">
        <f>'G-1 All Habitats'!B44</f>
        <v>Lakes - Moderate alkalinity lakes</v>
      </c>
      <c r="D45" s="316" t="s">
        <v>1158</v>
      </c>
      <c r="E45" s="316" t="s">
        <v>1158</v>
      </c>
      <c r="F45" s="316">
        <v>5</v>
      </c>
      <c r="G45" s="316">
        <v>7</v>
      </c>
      <c r="H45" s="316">
        <v>10</v>
      </c>
      <c r="I45" s="316">
        <v>15</v>
      </c>
      <c r="J45" s="316">
        <v>20</v>
      </c>
      <c r="K45" s="316" t="s">
        <v>1158</v>
      </c>
      <c r="L45" s="316" t="s">
        <v>1158</v>
      </c>
      <c r="M45" s="316" t="s">
        <v>1158</v>
      </c>
      <c r="N45" s="316" t="s">
        <v>1158</v>
      </c>
      <c r="O45" s="316">
        <v>5</v>
      </c>
      <c r="P45" s="316">
        <v>10</v>
      </c>
      <c r="Q45" s="316">
        <v>15</v>
      </c>
      <c r="R45" s="316">
        <v>30</v>
      </c>
      <c r="S45" s="316">
        <v>5</v>
      </c>
      <c r="T45" s="316">
        <v>15</v>
      </c>
      <c r="U45" s="316">
        <v>25</v>
      </c>
      <c r="V45" s="316">
        <v>10</v>
      </c>
      <c r="W45" s="316">
        <v>20</v>
      </c>
      <c r="X45" s="316">
        <v>10</v>
      </c>
      <c r="Y45" s="316" t="s">
        <v>1158</v>
      </c>
    </row>
    <row r="46" spans="3:25" ht="14">
      <c r="C46" s="62" t="str">
        <f>'G-1 All Habitats'!B45</f>
        <v>Lakes - Peat lakes</v>
      </c>
      <c r="D46" s="316" t="s">
        <v>1158</v>
      </c>
      <c r="E46" s="316" t="s">
        <v>1158</v>
      </c>
      <c r="F46" s="316">
        <v>5</v>
      </c>
      <c r="G46" s="316">
        <v>10</v>
      </c>
      <c r="H46" s="316">
        <v>15</v>
      </c>
      <c r="I46" s="316">
        <v>20</v>
      </c>
      <c r="J46" s="316">
        <v>30</v>
      </c>
      <c r="K46" s="316" t="s">
        <v>1158</v>
      </c>
      <c r="L46" s="316" t="s">
        <v>1158</v>
      </c>
      <c r="M46" s="316" t="s">
        <v>1158</v>
      </c>
      <c r="N46" s="316" t="s">
        <v>1158</v>
      </c>
      <c r="O46" s="316">
        <v>5</v>
      </c>
      <c r="P46" s="316">
        <v>10</v>
      </c>
      <c r="Q46" s="316">
        <v>15</v>
      </c>
      <c r="R46" s="316">
        <v>30</v>
      </c>
      <c r="S46" s="316">
        <v>5</v>
      </c>
      <c r="T46" s="316">
        <v>15</v>
      </c>
      <c r="U46" s="316">
        <v>25</v>
      </c>
      <c r="V46" s="316">
        <v>10</v>
      </c>
      <c r="W46" s="316">
        <v>20</v>
      </c>
      <c r="X46" s="316">
        <v>10</v>
      </c>
      <c r="Y46" s="316" t="s">
        <v>1158</v>
      </c>
    </row>
    <row r="47" spans="3:25" ht="14">
      <c r="C47" s="62" t="str">
        <f>'G-1 All Habitats'!B46</f>
        <v>Lakes - Ponds (priority habitat)</v>
      </c>
      <c r="D47" s="316" t="s">
        <v>1158</v>
      </c>
      <c r="E47" s="316" t="s">
        <v>1158</v>
      </c>
      <c r="F47" s="316">
        <v>2</v>
      </c>
      <c r="G47" s="316">
        <v>3</v>
      </c>
      <c r="H47" s="316">
        <v>5</v>
      </c>
      <c r="I47" s="316">
        <v>7</v>
      </c>
      <c r="J47" s="316">
        <v>10</v>
      </c>
      <c r="K47" s="316" t="s">
        <v>1158</v>
      </c>
      <c r="L47" s="316" t="s">
        <v>1158</v>
      </c>
      <c r="M47" s="316" t="s">
        <v>1158</v>
      </c>
      <c r="N47" s="316" t="s">
        <v>1158</v>
      </c>
      <c r="O47" s="316">
        <v>2</v>
      </c>
      <c r="P47" s="316">
        <v>4</v>
      </c>
      <c r="Q47" s="316">
        <v>6</v>
      </c>
      <c r="R47" s="316">
        <v>8</v>
      </c>
      <c r="S47" s="316">
        <v>2</v>
      </c>
      <c r="T47" s="316">
        <v>4</v>
      </c>
      <c r="U47" s="316">
        <v>6</v>
      </c>
      <c r="V47" s="316">
        <v>2</v>
      </c>
      <c r="W47" s="316">
        <v>4</v>
      </c>
      <c r="X47" s="316">
        <v>2</v>
      </c>
      <c r="Y47" s="316" t="s">
        <v>1158</v>
      </c>
    </row>
    <row r="48" spans="3:25" ht="14">
      <c r="C48" s="62" t="str">
        <f>'G-1 All Habitats'!B47</f>
        <v>Lakes - Ponds (non-priority habitat)</v>
      </c>
      <c r="D48" s="316" t="s">
        <v>1158</v>
      </c>
      <c r="E48" s="316" t="s">
        <v>1158</v>
      </c>
      <c r="F48" s="316">
        <v>1</v>
      </c>
      <c r="G48" s="316">
        <v>2</v>
      </c>
      <c r="H48" s="316">
        <v>3</v>
      </c>
      <c r="I48" s="316">
        <v>4</v>
      </c>
      <c r="J48" s="316">
        <v>5</v>
      </c>
      <c r="K48" s="316" t="s">
        <v>1158</v>
      </c>
      <c r="L48" s="316" t="s">
        <v>1158</v>
      </c>
      <c r="M48" s="316" t="s">
        <v>1158</v>
      </c>
      <c r="N48" s="316" t="s">
        <v>1158</v>
      </c>
      <c r="O48" s="316">
        <v>2</v>
      </c>
      <c r="P48" s="316">
        <v>4</v>
      </c>
      <c r="Q48" s="316">
        <v>6</v>
      </c>
      <c r="R48" s="316">
        <v>8</v>
      </c>
      <c r="S48" s="316">
        <v>2</v>
      </c>
      <c r="T48" s="316">
        <v>4</v>
      </c>
      <c r="U48" s="316">
        <v>6</v>
      </c>
      <c r="V48" s="316">
        <v>2</v>
      </c>
      <c r="W48" s="316">
        <v>4</v>
      </c>
      <c r="X48" s="316">
        <v>2</v>
      </c>
      <c r="Y48" s="316" t="s">
        <v>1158</v>
      </c>
    </row>
    <row r="49" spans="3:25" ht="14">
      <c r="C49" s="62" t="str">
        <f>'G-1 All Habitats'!B48</f>
        <v>Lakes - Reservoirs</v>
      </c>
      <c r="D49" s="316" t="s">
        <v>1158</v>
      </c>
      <c r="E49" s="316" t="s">
        <v>1158</v>
      </c>
      <c r="F49" s="316">
        <v>1</v>
      </c>
      <c r="G49" s="316">
        <v>3</v>
      </c>
      <c r="H49" s="316">
        <v>5</v>
      </c>
      <c r="I49" s="316">
        <v>7</v>
      </c>
      <c r="J49" s="316">
        <v>10</v>
      </c>
      <c r="K49" s="316" t="s">
        <v>1158</v>
      </c>
      <c r="L49" s="316" t="s">
        <v>1158</v>
      </c>
      <c r="M49" s="316" t="s">
        <v>1158</v>
      </c>
      <c r="N49" s="316" t="s">
        <v>1158</v>
      </c>
      <c r="O49" s="316">
        <v>5</v>
      </c>
      <c r="P49" s="316">
        <v>10</v>
      </c>
      <c r="Q49" s="316">
        <v>15</v>
      </c>
      <c r="R49" s="316">
        <v>30</v>
      </c>
      <c r="S49" s="316">
        <v>5</v>
      </c>
      <c r="T49" s="316">
        <v>15</v>
      </c>
      <c r="U49" s="316">
        <v>25</v>
      </c>
      <c r="V49" s="316">
        <v>10</v>
      </c>
      <c r="W49" s="316">
        <v>20</v>
      </c>
      <c r="X49" s="316">
        <v>10</v>
      </c>
      <c r="Y49" s="316" t="s">
        <v>1158</v>
      </c>
    </row>
    <row r="50" spans="3:25" ht="14">
      <c r="C50" s="62" t="str">
        <f>'G-1 All Habitats'!B49</f>
        <v>Lakes - Temporary lakes ponds and pools (H3170)</v>
      </c>
      <c r="D50" s="316" t="s">
        <v>1158</v>
      </c>
      <c r="E50" s="316" t="s">
        <v>1158</v>
      </c>
      <c r="F50" s="316">
        <v>2</v>
      </c>
      <c r="G50" s="316">
        <v>3</v>
      </c>
      <c r="H50" s="316">
        <v>5</v>
      </c>
      <c r="I50" s="316">
        <v>7</v>
      </c>
      <c r="J50" s="316">
        <v>10</v>
      </c>
      <c r="K50" s="316" t="s">
        <v>1158</v>
      </c>
      <c r="L50" s="316" t="s">
        <v>1158</v>
      </c>
      <c r="M50" s="316" t="s">
        <v>1158</v>
      </c>
      <c r="N50" s="316" t="s">
        <v>1158</v>
      </c>
      <c r="O50" s="316">
        <v>2</v>
      </c>
      <c r="P50" s="316">
        <v>4</v>
      </c>
      <c r="Q50" s="316">
        <v>6</v>
      </c>
      <c r="R50" s="316">
        <v>8</v>
      </c>
      <c r="S50" s="316">
        <v>2</v>
      </c>
      <c r="T50" s="316">
        <v>4</v>
      </c>
      <c r="U50" s="316">
        <v>6</v>
      </c>
      <c r="V50" s="316">
        <v>2</v>
      </c>
      <c r="W50" s="316">
        <v>4</v>
      </c>
      <c r="X50" s="316">
        <v>2</v>
      </c>
      <c r="Y50" s="316" t="s">
        <v>1158</v>
      </c>
    </row>
    <row r="51" spans="3:25" ht="14">
      <c r="C51" s="62" t="str">
        <f>'G-1 All Habitats'!B50</f>
        <v>Sparsely vegetated land - Calaminarian grasslands</v>
      </c>
      <c r="D51" s="316" t="s">
        <v>1158</v>
      </c>
      <c r="E51" s="316" t="s">
        <v>1158</v>
      </c>
      <c r="F51" s="316">
        <v>2</v>
      </c>
      <c r="G51" s="316">
        <v>3</v>
      </c>
      <c r="H51" s="316">
        <v>5</v>
      </c>
      <c r="I51" s="316">
        <v>7</v>
      </c>
      <c r="J51" s="316">
        <v>10</v>
      </c>
      <c r="K51" s="316" t="s">
        <v>1158</v>
      </c>
      <c r="L51" s="316" t="s">
        <v>1158</v>
      </c>
      <c r="M51" s="316" t="s">
        <v>1158</v>
      </c>
      <c r="N51" s="316" t="s">
        <v>1158</v>
      </c>
      <c r="O51" s="316">
        <v>1</v>
      </c>
      <c r="P51" s="316">
        <v>3</v>
      </c>
      <c r="Q51" s="316">
        <v>5</v>
      </c>
      <c r="R51" s="316">
        <v>8</v>
      </c>
      <c r="S51" s="316">
        <v>1</v>
      </c>
      <c r="T51" s="316">
        <v>4</v>
      </c>
      <c r="U51" s="316">
        <v>7</v>
      </c>
      <c r="V51" s="316">
        <v>2</v>
      </c>
      <c r="W51" s="316">
        <v>5</v>
      </c>
      <c r="X51" s="316">
        <v>3</v>
      </c>
      <c r="Y51" s="316" t="s">
        <v>1158</v>
      </c>
    </row>
    <row r="52" spans="3:25" ht="14">
      <c r="C52" s="62" t="str">
        <f>'G-1 All Habitats'!B51</f>
        <v>Sparsely vegetated land - Coastal sand dunes</v>
      </c>
      <c r="D52" s="316" t="s">
        <v>1158</v>
      </c>
      <c r="E52" s="316" t="s">
        <v>1158</v>
      </c>
      <c r="F52" s="316">
        <v>5</v>
      </c>
      <c r="G52" s="316">
        <v>7</v>
      </c>
      <c r="H52" s="316">
        <v>10</v>
      </c>
      <c r="I52" s="316">
        <v>15</v>
      </c>
      <c r="J52" s="316">
        <v>20</v>
      </c>
      <c r="K52" s="316" t="s">
        <v>1158</v>
      </c>
      <c r="L52" s="316" t="s">
        <v>1158</v>
      </c>
      <c r="M52" s="316" t="s">
        <v>1158</v>
      </c>
      <c r="N52" s="316" t="s">
        <v>1158</v>
      </c>
      <c r="O52" s="316">
        <v>5</v>
      </c>
      <c r="P52" s="316">
        <v>8</v>
      </c>
      <c r="Q52" s="316">
        <v>15</v>
      </c>
      <c r="R52" s="316">
        <v>20</v>
      </c>
      <c r="S52" s="316">
        <v>5</v>
      </c>
      <c r="T52" s="316">
        <v>10</v>
      </c>
      <c r="U52" s="316">
        <v>18</v>
      </c>
      <c r="V52" s="316">
        <v>7</v>
      </c>
      <c r="W52" s="316">
        <v>12</v>
      </c>
      <c r="X52" s="316">
        <v>8</v>
      </c>
      <c r="Y52" s="316" t="s">
        <v>1158</v>
      </c>
    </row>
    <row r="53" spans="3:25" ht="14">
      <c r="C53" s="62" t="str">
        <f>'G-1 All Habitats'!B52</f>
        <v>Sparsely vegetated land - Coastal vegetated shingle</v>
      </c>
      <c r="D53" s="316" t="s">
        <v>1158</v>
      </c>
      <c r="E53" s="316" t="s">
        <v>1158</v>
      </c>
      <c r="F53" s="316">
        <v>5</v>
      </c>
      <c r="G53" s="316">
        <v>7</v>
      </c>
      <c r="H53" s="316">
        <v>10</v>
      </c>
      <c r="I53" s="316">
        <v>15</v>
      </c>
      <c r="J53" s="316">
        <v>20</v>
      </c>
      <c r="K53" s="316" t="s">
        <v>1158</v>
      </c>
      <c r="L53" s="316" t="s">
        <v>1158</v>
      </c>
      <c r="M53" s="316" t="s">
        <v>1158</v>
      </c>
      <c r="N53" s="316" t="s">
        <v>1158</v>
      </c>
      <c r="O53" s="316">
        <v>5</v>
      </c>
      <c r="P53" s="316">
        <v>8</v>
      </c>
      <c r="Q53" s="316">
        <v>15</v>
      </c>
      <c r="R53" s="316">
        <v>20</v>
      </c>
      <c r="S53" s="316">
        <v>5</v>
      </c>
      <c r="T53" s="316">
        <v>10</v>
      </c>
      <c r="U53" s="316">
        <v>18</v>
      </c>
      <c r="V53" s="316">
        <v>7</v>
      </c>
      <c r="W53" s="316">
        <v>12</v>
      </c>
      <c r="X53" s="316">
        <v>8</v>
      </c>
      <c r="Y53" s="316" t="s">
        <v>1158</v>
      </c>
    </row>
    <row r="54" spans="3:25" ht="14">
      <c r="C54" s="62" t="str">
        <f>'G-1 All Habitats'!B53</f>
        <v>Sparsely vegetated land - Ruderal/Ephemeral</v>
      </c>
      <c r="D54" s="316" t="s">
        <v>1158</v>
      </c>
      <c r="E54" s="316" t="s">
        <v>1158</v>
      </c>
      <c r="F54" s="316" t="s">
        <v>1158</v>
      </c>
      <c r="G54" s="316" t="s">
        <v>1158</v>
      </c>
      <c r="H54" s="316" t="s">
        <v>1158</v>
      </c>
      <c r="I54" s="316" t="s">
        <v>1158</v>
      </c>
      <c r="J54" s="316" t="s">
        <v>1158</v>
      </c>
      <c r="K54" s="316" t="s">
        <v>1158</v>
      </c>
      <c r="L54" s="316" t="s">
        <v>1158</v>
      </c>
      <c r="M54" s="316" t="s">
        <v>1158</v>
      </c>
      <c r="N54" s="316" t="s">
        <v>1158</v>
      </c>
      <c r="O54" s="316">
        <v>1</v>
      </c>
      <c r="P54" s="316">
        <v>2</v>
      </c>
      <c r="Q54" s="316">
        <v>3</v>
      </c>
      <c r="R54" s="316">
        <v>5</v>
      </c>
      <c r="S54" s="316">
        <v>1</v>
      </c>
      <c r="T54" s="316">
        <v>2</v>
      </c>
      <c r="U54" s="316">
        <v>3</v>
      </c>
      <c r="V54" s="316">
        <v>1</v>
      </c>
      <c r="W54" s="316">
        <v>2</v>
      </c>
      <c r="X54" s="316">
        <v>1</v>
      </c>
      <c r="Y54" s="316" t="s">
        <v>1158</v>
      </c>
    </row>
    <row r="55" spans="3:25" ht="14">
      <c r="C55" s="62" t="s">
        <v>822</v>
      </c>
      <c r="D55" s="316" t="s">
        <v>1158</v>
      </c>
      <c r="E55" s="316" t="s">
        <v>1158</v>
      </c>
      <c r="F55" s="316" t="s">
        <v>1158</v>
      </c>
      <c r="G55" s="316" t="s">
        <v>1158</v>
      </c>
      <c r="H55" s="316" t="s">
        <v>1158</v>
      </c>
      <c r="I55" s="316" t="s">
        <v>1158</v>
      </c>
      <c r="J55" s="316" t="s">
        <v>1158</v>
      </c>
      <c r="K55" s="316" t="s">
        <v>1158</v>
      </c>
      <c r="L55" s="316" t="s">
        <v>1158</v>
      </c>
      <c r="M55" s="316" t="s">
        <v>1158</v>
      </c>
      <c r="N55" s="316" t="s">
        <v>1158</v>
      </c>
      <c r="O55" s="316">
        <v>1</v>
      </c>
      <c r="P55" s="316">
        <v>2</v>
      </c>
      <c r="Q55" s="316">
        <v>3</v>
      </c>
      <c r="R55" s="316">
        <v>5</v>
      </c>
      <c r="S55" s="316">
        <v>1</v>
      </c>
      <c r="T55" s="316">
        <v>2</v>
      </c>
      <c r="U55" s="316">
        <v>3</v>
      </c>
      <c r="V55" s="316">
        <v>1</v>
      </c>
      <c r="W55" s="316">
        <v>2</v>
      </c>
      <c r="X55" s="316">
        <v>1</v>
      </c>
      <c r="Y55" s="316" t="s">
        <v>1158</v>
      </c>
    </row>
    <row r="56" spans="3:25" ht="14">
      <c r="C56" s="62" t="str">
        <f>'G-1 All Habitats'!B55</f>
        <v>Sparsely vegetated land - Inland rock outcrop and scree habitats</v>
      </c>
      <c r="D56" s="316" t="s">
        <v>1158</v>
      </c>
      <c r="E56" s="316" t="s">
        <v>1158</v>
      </c>
      <c r="F56" s="316">
        <v>10</v>
      </c>
      <c r="G56" s="316">
        <v>15</v>
      </c>
      <c r="H56" s="316">
        <v>20</v>
      </c>
      <c r="I56" s="316">
        <v>25</v>
      </c>
      <c r="J56" s="316" t="s">
        <v>1159</v>
      </c>
      <c r="K56" s="316" t="s">
        <v>1158</v>
      </c>
      <c r="L56" s="316" t="s">
        <v>1158</v>
      </c>
      <c r="M56" s="316" t="s">
        <v>1158</v>
      </c>
      <c r="N56" s="316" t="s">
        <v>1158</v>
      </c>
      <c r="O56" s="316">
        <v>10</v>
      </c>
      <c r="P56" s="316">
        <v>20</v>
      </c>
      <c r="Q56" s="316">
        <v>25</v>
      </c>
      <c r="R56" s="316" t="s">
        <v>1159</v>
      </c>
      <c r="S56" s="316">
        <v>15</v>
      </c>
      <c r="T56" s="316">
        <v>25</v>
      </c>
      <c r="U56" s="316">
        <v>27</v>
      </c>
      <c r="V56" s="316">
        <v>15</v>
      </c>
      <c r="W56" s="316">
        <v>20</v>
      </c>
      <c r="X56" s="316">
        <v>15</v>
      </c>
      <c r="Y56" s="316" t="s">
        <v>1158</v>
      </c>
    </row>
    <row r="57" spans="3:25" ht="14">
      <c r="C57" s="62" t="str">
        <f>'G-1 All Habitats'!B56</f>
        <v>Sparsely vegetated land - Limestone pavement</v>
      </c>
      <c r="D57" s="316" t="s">
        <v>1158</v>
      </c>
      <c r="E57" s="316" t="s">
        <v>1158</v>
      </c>
      <c r="F57" s="316" t="s">
        <v>1159</v>
      </c>
      <c r="G57" s="316" t="s">
        <v>1159</v>
      </c>
      <c r="H57" s="316" t="s">
        <v>1159</v>
      </c>
      <c r="I57" s="316" t="s">
        <v>1159</v>
      </c>
      <c r="J57" s="316" t="s">
        <v>1159</v>
      </c>
      <c r="K57" s="316" t="s">
        <v>1158</v>
      </c>
      <c r="L57" s="316" t="s">
        <v>1158</v>
      </c>
      <c r="M57" s="316" t="s">
        <v>1158</v>
      </c>
      <c r="N57" s="316" t="s">
        <v>1158</v>
      </c>
      <c r="O57" s="316">
        <v>5</v>
      </c>
      <c r="P57" s="316">
        <v>10</v>
      </c>
      <c r="Q57" s="316">
        <v>15</v>
      </c>
      <c r="R57" s="316">
        <v>20</v>
      </c>
      <c r="S57" s="316">
        <v>5</v>
      </c>
      <c r="T57" s="316">
        <v>10</v>
      </c>
      <c r="U57" s="316">
        <v>15</v>
      </c>
      <c r="V57" s="316">
        <v>5</v>
      </c>
      <c r="W57" s="316">
        <v>10</v>
      </c>
      <c r="X57" s="316">
        <v>5</v>
      </c>
      <c r="Y57" s="316" t="s">
        <v>1158</v>
      </c>
    </row>
    <row r="58" spans="3:25" ht="14">
      <c r="C58" s="62" t="str">
        <f>'G-1 All Habitats'!B57</f>
        <v>Sparsely vegetated land - Maritime cliff and slopes</v>
      </c>
      <c r="D58" s="316" t="s">
        <v>1158</v>
      </c>
      <c r="E58" s="316" t="s">
        <v>1158</v>
      </c>
      <c r="F58" s="316">
        <v>10</v>
      </c>
      <c r="G58" s="316">
        <v>15</v>
      </c>
      <c r="H58" s="316">
        <v>20</v>
      </c>
      <c r="I58" s="316">
        <v>25</v>
      </c>
      <c r="J58" s="316" t="s">
        <v>1159</v>
      </c>
      <c r="K58" s="316" t="s">
        <v>1158</v>
      </c>
      <c r="L58" s="316" t="s">
        <v>1158</v>
      </c>
      <c r="M58" s="316" t="s">
        <v>1158</v>
      </c>
      <c r="N58" s="316" t="s">
        <v>1158</v>
      </c>
      <c r="O58" s="316">
        <v>5</v>
      </c>
      <c r="P58" s="316">
        <v>8</v>
      </c>
      <c r="Q58" s="316">
        <v>15</v>
      </c>
      <c r="R58" s="316">
        <v>20</v>
      </c>
      <c r="S58" s="316">
        <v>5</v>
      </c>
      <c r="T58" s="316">
        <v>10</v>
      </c>
      <c r="U58" s="316">
        <v>18</v>
      </c>
      <c r="V58" s="316">
        <v>7</v>
      </c>
      <c r="W58" s="316">
        <v>12</v>
      </c>
      <c r="X58" s="316">
        <v>8</v>
      </c>
      <c r="Y58" s="316" t="s">
        <v>1158</v>
      </c>
    </row>
    <row r="59" spans="3:25" ht="14">
      <c r="C59" s="62" t="str">
        <f>'G-1 All Habitats'!B58</f>
        <v>Sparsely vegetated land - Other inland rock and scree</v>
      </c>
      <c r="D59" s="316" t="s">
        <v>1158</v>
      </c>
      <c r="E59" s="316" t="s">
        <v>1158</v>
      </c>
      <c r="F59" s="316">
        <v>3</v>
      </c>
      <c r="G59" s="316">
        <v>5</v>
      </c>
      <c r="H59" s="316">
        <v>10</v>
      </c>
      <c r="I59" s="316">
        <v>15</v>
      </c>
      <c r="J59" s="316">
        <v>20</v>
      </c>
      <c r="K59" s="316" t="s">
        <v>1158</v>
      </c>
      <c r="L59" s="316" t="s">
        <v>1158</v>
      </c>
      <c r="M59" s="316" t="s">
        <v>1158</v>
      </c>
      <c r="N59" s="316" t="s">
        <v>1158</v>
      </c>
      <c r="O59" s="316">
        <v>5</v>
      </c>
      <c r="P59" s="316">
        <v>10</v>
      </c>
      <c r="Q59" s="316">
        <v>15</v>
      </c>
      <c r="R59" s="316">
        <v>20</v>
      </c>
      <c r="S59" s="316">
        <v>5</v>
      </c>
      <c r="T59" s="316">
        <v>10</v>
      </c>
      <c r="U59" s="316">
        <v>15</v>
      </c>
      <c r="V59" s="316">
        <v>5</v>
      </c>
      <c r="W59" s="316">
        <v>10</v>
      </c>
      <c r="X59" s="316">
        <v>5</v>
      </c>
      <c r="Y59" s="316" t="s">
        <v>1158</v>
      </c>
    </row>
    <row r="60" spans="3:25" ht="14">
      <c r="C60" s="62" t="str">
        <f>'G-1 All Habitats'!B59</f>
        <v>Urban - Allotments</v>
      </c>
      <c r="D60" s="316" t="s">
        <v>1158</v>
      </c>
      <c r="E60" s="316" t="s">
        <v>1158</v>
      </c>
      <c r="F60" s="316">
        <v>1</v>
      </c>
      <c r="G60" s="316">
        <v>1</v>
      </c>
      <c r="H60" s="316">
        <v>1</v>
      </c>
      <c r="I60" s="316">
        <v>1</v>
      </c>
      <c r="J60" s="316">
        <v>1</v>
      </c>
      <c r="K60" s="316" t="s">
        <v>1158</v>
      </c>
      <c r="L60" s="316" t="s">
        <v>1158</v>
      </c>
      <c r="M60" s="316" t="s">
        <v>1158</v>
      </c>
      <c r="N60" s="316" t="s">
        <v>1158</v>
      </c>
      <c r="O60" s="316">
        <v>1</v>
      </c>
      <c r="P60" s="316">
        <v>1</v>
      </c>
      <c r="Q60" s="316">
        <v>1</v>
      </c>
      <c r="R60" s="316">
        <v>1</v>
      </c>
      <c r="S60" s="316">
        <v>1</v>
      </c>
      <c r="T60" s="316">
        <v>1</v>
      </c>
      <c r="U60" s="316">
        <v>1</v>
      </c>
      <c r="V60" s="316">
        <v>1</v>
      </c>
      <c r="W60" s="316">
        <v>1</v>
      </c>
      <c r="X60" s="316">
        <v>1</v>
      </c>
      <c r="Y60" s="316" t="s">
        <v>1158</v>
      </c>
    </row>
    <row r="61" spans="3:25" ht="14">
      <c r="C61" s="62" t="str">
        <f>'G-1 All Habitats'!B40</f>
        <v>Lakes - Ornamental lake or pond</v>
      </c>
      <c r="D61" s="316" t="s">
        <v>1158</v>
      </c>
      <c r="E61" s="316" t="s">
        <v>1158</v>
      </c>
      <c r="F61" s="316">
        <v>1</v>
      </c>
      <c r="G61" s="316">
        <v>2</v>
      </c>
      <c r="H61" s="316">
        <v>3</v>
      </c>
      <c r="I61" s="316">
        <v>4</v>
      </c>
      <c r="J61" s="316">
        <v>5</v>
      </c>
      <c r="K61" s="316" t="s">
        <v>1158</v>
      </c>
      <c r="L61" s="316" t="s">
        <v>1158</v>
      </c>
      <c r="M61" s="316" t="s">
        <v>1158</v>
      </c>
      <c r="N61" s="316" t="s">
        <v>1158</v>
      </c>
      <c r="O61" s="316">
        <v>2</v>
      </c>
      <c r="P61" s="316">
        <v>4</v>
      </c>
      <c r="Q61" s="316">
        <v>6</v>
      </c>
      <c r="R61" s="316">
        <v>8</v>
      </c>
      <c r="S61" s="316">
        <v>2</v>
      </c>
      <c r="T61" s="316">
        <v>4</v>
      </c>
      <c r="U61" s="316">
        <v>6</v>
      </c>
      <c r="V61" s="316">
        <v>2</v>
      </c>
      <c r="W61" s="316">
        <v>4</v>
      </c>
      <c r="X61" s="316">
        <v>2</v>
      </c>
      <c r="Y61" s="316" t="s">
        <v>1158</v>
      </c>
    </row>
    <row r="62" spans="3:25" ht="14">
      <c r="C62" s="62" t="str">
        <f>'G-1 All Habitats'!B60</f>
        <v>Urban - Artificial unvegetated, unsealed surface</v>
      </c>
      <c r="D62" s="316" t="s">
        <v>1158</v>
      </c>
      <c r="E62" s="316" t="s">
        <v>1158</v>
      </c>
      <c r="F62" s="316" t="s">
        <v>1158</v>
      </c>
      <c r="G62" s="316" t="s">
        <v>1158</v>
      </c>
      <c r="H62" s="316" t="s">
        <v>1158</v>
      </c>
      <c r="I62" s="316" t="s">
        <v>1158</v>
      </c>
      <c r="J62" s="316" t="s">
        <v>1158</v>
      </c>
      <c r="K62" s="316" t="s">
        <v>1158</v>
      </c>
      <c r="L62" s="316" t="s">
        <v>1158</v>
      </c>
      <c r="M62" s="316" t="s">
        <v>1158</v>
      </c>
      <c r="N62" s="316" t="s">
        <v>1158</v>
      </c>
      <c r="O62" s="316" t="s">
        <v>1158</v>
      </c>
      <c r="P62" s="316" t="s">
        <v>1158</v>
      </c>
      <c r="Q62" s="316" t="s">
        <v>1158</v>
      </c>
      <c r="R62" s="316" t="s">
        <v>1158</v>
      </c>
      <c r="S62" s="316" t="s">
        <v>1158</v>
      </c>
      <c r="T62" s="316" t="s">
        <v>1158</v>
      </c>
      <c r="U62" s="316" t="s">
        <v>1158</v>
      </c>
      <c r="V62" s="316" t="s">
        <v>1158</v>
      </c>
      <c r="W62" s="316" t="s">
        <v>1158</v>
      </c>
      <c r="X62" s="316" t="s">
        <v>1158</v>
      </c>
      <c r="Y62" s="316" t="s">
        <v>1158</v>
      </c>
    </row>
    <row r="63" spans="3:25" ht="14">
      <c r="C63" s="62" t="str">
        <f>'G-1 All Habitats'!B61</f>
        <v>Urban - Bioswale</v>
      </c>
      <c r="D63" s="316" t="s">
        <v>1158</v>
      </c>
      <c r="E63" s="316" t="s">
        <v>1158</v>
      </c>
      <c r="F63" s="316">
        <v>1</v>
      </c>
      <c r="G63" s="316">
        <v>1</v>
      </c>
      <c r="H63" s="316">
        <v>1</v>
      </c>
      <c r="I63" s="316">
        <v>2</v>
      </c>
      <c r="J63" s="316">
        <v>3</v>
      </c>
      <c r="K63" s="316" t="s">
        <v>1158</v>
      </c>
      <c r="L63" s="316" t="s">
        <v>1158</v>
      </c>
      <c r="M63" s="316" t="s">
        <v>1158</v>
      </c>
      <c r="N63" s="316" t="s">
        <v>1158</v>
      </c>
      <c r="O63" s="316">
        <v>1</v>
      </c>
      <c r="P63" s="316">
        <v>2</v>
      </c>
      <c r="Q63" s="316">
        <v>2</v>
      </c>
      <c r="R63" s="316">
        <v>3</v>
      </c>
      <c r="S63" s="316">
        <v>1</v>
      </c>
      <c r="T63" s="316">
        <v>2</v>
      </c>
      <c r="U63" s="316">
        <v>3</v>
      </c>
      <c r="V63" s="316">
        <v>2</v>
      </c>
      <c r="W63" s="316">
        <v>2</v>
      </c>
      <c r="X63" s="316">
        <v>2</v>
      </c>
      <c r="Y63" s="316" t="s">
        <v>1158</v>
      </c>
    </row>
    <row r="64" spans="3:25" ht="14">
      <c r="C64" s="62" t="str">
        <f>'G-1 All Habitats'!B62</f>
        <v>Urban - Intensive green roof</v>
      </c>
      <c r="D64" s="316" t="s">
        <v>1158</v>
      </c>
      <c r="E64" s="316" t="s">
        <v>1158</v>
      </c>
      <c r="F64" s="316">
        <v>1</v>
      </c>
      <c r="G64" s="316">
        <v>2</v>
      </c>
      <c r="H64" s="316">
        <v>3</v>
      </c>
      <c r="I64" s="316">
        <v>4</v>
      </c>
      <c r="J64" s="316">
        <v>5</v>
      </c>
      <c r="K64" s="316" t="s">
        <v>1158</v>
      </c>
      <c r="L64" s="316" t="s">
        <v>1158</v>
      </c>
      <c r="M64" s="316" t="s">
        <v>1158</v>
      </c>
      <c r="N64" s="316" t="s">
        <v>1158</v>
      </c>
      <c r="O64" s="316">
        <v>1</v>
      </c>
      <c r="P64" s="316">
        <v>2</v>
      </c>
      <c r="Q64" s="316">
        <v>3</v>
      </c>
      <c r="R64" s="316">
        <v>5</v>
      </c>
      <c r="S64" s="316">
        <v>1</v>
      </c>
      <c r="T64" s="316">
        <v>2</v>
      </c>
      <c r="U64" s="316">
        <v>3</v>
      </c>
      <c r="V64" s="316">
        <v>1</v>
      </c>
      <c r="W64" s="316">
        <v>2</v>
      </c>
      <c r="X64" s="316">
        <v>1</v>
      </c>
      <c r="Y64" s="316" t="s">
        <v>1158</v>
      </c>
    </row>
    <row r="65" spans="3:25" ht="14">
      <c r="C65" s="62" t="str">
        <f>'G-1 All Habitats'!B63</f>
        <v>Urban - Built linear features</v>
      </c>
      <c r="D65" s="316" t="s">
        <v>1158</v>
      </c>
      <c r="E65" s="316" t="s">
        <v>1158</v>
      </c>
      <c r="F65" s="316" t="s">
        <v>1158</v>
      </c>
      <c r="G65" s="316" t="s">
        <v>1158</v>
      </c>
      <c r="H65" s="316" t="s">
        <v>1158</v>
      </c>
      <c r="I65" s="316" t="s">
        <v>1158</v>
      </c>
      <c r="J65" s="316" t="s">
        <v>1158</v>
      </c>
      <c r="K65" s="316" t="s">
        <v>1158</v>
      </c>
      <c r="L65" s="316" t="s">
        <v>1158</v>
      </c>
      <c r="M65" s="316" t="s">
        <v>1158</v>
      </c>
      <c r="N65" s="316" t="s">
        <v>1158</v>
      </c>
      <c r="O65" s="316" t="s">
        <v>1158</v>
      </c>
      <c r="P65" s="316" t="s">
        <v>1158</v>
      </c>
      <c r="Q65" s="316" t="s">
        <v>1158</v>
      </c>
      <c r="R65" s="316" t="s">
        <v>1158</v>
      </c>
      <c r="S65" s="316" t="s">
        <v>1158</v>
      </c>
      <c r="T65" s="316" t="s">
        <v>1158</v>
      </c>
      <c r="U65" s="316" t="s">
        <v>1158</v>
      </c>
      <c r="V65" s="316" t="s">
        <v>1158</v>
      </c>
      <c r="W65" s="316" t="s">
        <v>1158</v>
      </c>
      <c r="X65" s="316" t="s">
        <v>1158</v>
      </c>
      <c r="Y65" s="316" t="s">
        <v>1158</v>
      </c>
    </row>
    <row r="66" spans="3:25" ht="14">
      <c r="C66" s="62" t="str">
        <f>'G-1 All Habitats'!B64</f>
        <v>Urban - Cemeteries and churchyards</v>
      </c>
      <c r="D66" s="316" t="s">
        <v>1158</v>
      </c>
      <c r="E66" s="316" t="s">
        <v>1158</v>
      </c>
      <c r="F66" s="316">
        <v>10</v>
      </c>
      <c r="G66" s="316">
        <v>12</v>
      </c>
      <c r="H66" s="316">
        <v>15</v>
      </c>
      <c r="I66" s="316">
        <v>17</v>
      </c>
      <c r="J66" s="316">
        <v>20</v>
      </c>
      <c r="K66" s="316" t="s">
        <v>1158</v>
      </c>
      <c r="L66" s="316" t="s">
        <v>1158</v>
      </c>
      <c r="M66" s="316" t="s">
        <v>1158</v>
      </c>
      <c r="N66" s="316" t="s">
        <v>1158</v>
      </c>
      <c r="O66" s="316">
        <v>5</v>
      </c>
      <c r="P66" s="316">
        <v>10</v>
      </c>
      <c r="Q66" s="316">
        <v>15</v>
      </c>
      <c r="R66" s="316">
        <v>20</v>
      </c>
      <c r="S66" s="316">
        <v>10</v>
      </c>
      <c r="T66" s="316">
        <v>15</v>
      </c>
      <c r="U66" s="316">
        <v>20</v>
      </c>
      <c r="V66" s="316">
        <v>10</v>
      </c>
      <c r="W66" s="316">
        <v>15</v>
      </c>
      <c r="X66" s="316">
        <v>5</v>
      </c>
      <c r="Y66" s="316" t="s">
        <v>1158</v>
      </c>
    </row>
    <row r="67" spans="3:25" ht="14">
      <c r="C67" s="62" t="str">
        <f>'G-1 All Habitats'!B65</f>
        <v>Urban - Developed land; sealed surface</v>
      </c>
      <c r="D67" s="316" t="s">
        <v>1158</v>
      </c>
      <c r="E67" s="316" t="s">
        <v>1158</v>
      </c>
      <c r="F67" s="316" t="s">
        <v>1158</v>
      </c>
      <c r="G67" s="316" t="s">
        <v>1158</v>
      </c>
      <c r="H67" s="316" t="s">
        <v>1158</v>
      </c>
      <c r="I67" s="316" t="s">
        <v>1158</v>
      </c>
      <c r="J67" s="316" t="s">
        <v>1158</v>
      </c>
      <c r="K67" s="316" t="s">
        <v>1158</v>
      </c>
      <c r="L67" s="316" t="s">
        <v>1158</v>
      </c>
      <c r="M67" s="316" t="s">
        <v>1158</v>
      </c>
      <c r="N67" s="316" t="s">
        <v>1158</v>
      </c>
      <c r="O67" s="316" t="s">
        <v>1158</v>
      </c>
      <c r="P67" s="316" t="s">
        <v>1158</v>
      </c>
      <c r="Q67" s="316" t="s">
        <v>1158</v>
      </c>
      <c r="R67" s="316" t="s">
        <v>1158</v>
      </c>
      <c r="S67" s="316" t="s">
        <v>1158</v>
      </c>
      <c r="T67" s="316" t="s">
        <v>1158</v>
      </c>
      <c r="U67" s="316" t="s">
        <v>1158</v>
      </c>
      <c r="V67" s="316" t="s">
        <v>1158</v>
      </c>
      <c r="W67" s="316" t="s">
        <v>1158</v>
      </c>
      <c r="X67" s="316" t="s">
        <v>1158</v>
      </c>
      <c r="Y67" s="316" t="s">
        <v>1158</v>
      </c>
    </row>
    <row r="68" spans="3:25" ht="14">
      <c r="C68" s="62" t="str">
        <f>'G-1 All Habitats'!B66</f>
        <v>Urban - Other green roof</v>
      </c>
      <c r="D68" s="316" t="s">
        <v>1158</v>
      </c>
      <c r="E68" s="316" t="s">
        <v>1158</v>
      </c>
      <c r="F68" s="316" t="s">
        <v>1158</v>
      </c>
      <c r="G68" s="316" t="s">
        <v>1158</v>
      </c>
      <c r="H68" s="316" t="s">
        <v>1158</v>
      </c>
      <c r="I68" s="316" t="s">
        <v>1158</v>
      </c>
      <c r="J68" s="316" t="s">
        <v>1158</v>
      </c>
      <c r="K68" s="316" t="s">
        <v>1158</v>
      </c>
      <c r="L68" s="316" t="s">
        <v>1158</v>
      </c>
      <c r="M68" s="316" t="s">
        <v>1158</v>
      </c>
      <c r="N68" s="316" t="s">
        <v>1158</v>
      </c>
      <c r="O68" s="316" t="s">
        <v>1158</v>
      </c>
      <c r="P68" s="316" t="s">
        <v>1158</v>
      </c>
      <c r="Q68" s="316" t="s">
        <v>1158</v>
      </c>
      <c r="R68" s="316" t="s">
        <v>1158</v>
      </c>
      <c r="S68" s="316" t="s">
        <v>1158</v>
      </c>
      <c r="T68" s="316" t="s">
        <v>1158</v>
      </c>
      <c r="U68" s="316" t="s">
        <v>1158</v>
      </c>
      <c r="V68" s="316" t="s">
        <v>1158</v>
      </c>
      <c r="W68" s="316" t="s">
        <v>1158</v>
      </c>
      <c r="X68" s="316" t="s">
        <v>1158</v>
      </c>
      <c r="Y68" s="316" t="s">
        <v>1158</v>
      </c>
    </row>
    <row r="69" spans="3:25" ht="14">
      <c r="C69" s="62" t="str">
        <f>'G-1 All Habitats'!B67</f>
        <v>Urban - Facade-bound green wall</v>
      </c>
      <c r="D69" s="316" t="s">
        <v>1158</v>
      </c>
      <c r="E69" s="316" t="s">
        <v>1158</v>
      </c>
      <c r="F69" s="316">
        <v>1</v>
      </c>
      <c r="G69" s="316">
        <v>2</v>
      </c>
      <c r="H69" s="316">
        <v>3</v>
      </c>
      <c r="I69" s="316">
        <v>4</v>
      </c>
      <c r="J69" s="316">
        <v>5</v>
      </c>
      <c r="K69" s="316" t="s">
        <v>1158</v>
      </c>
      <c r="L69" s="316" t="s">
        <v>1158</v>
      </c>
      <c r="M69" s="316" t="s">
        <v>1158</v>
      </c>
      <c r="N69" s="316" t="s">
        <v>1158</v>
      </c>
      <c r="O69" s="316">
        <v>1</v>
      </c>
      <c r="P69" s="316">
        <v>2</v>
      </c>
      <c r="Q69" s="316">
        <v>3</v>
      </c>
      <c r="R69" s="316">
        <v>5</v>
      </c>
      <c r="S69" s="316">
        <v>1</v>
      </c>
      <c r="T69" s="316">
        <v>2</v>
      </c>
      <c r="U69" s="316">
        <v>3</v>
      </c>
      <c r="V69" s="316">
        <v>1</v>
      </c>
      <c r="W69" s="316">
        <v>2</v>
      </c>
      <c r="X69" s="316">
        <v>1</v>
      </c>
      <c r="Y69" s="316" t="s">
        <v>1158</v>
      </c>
    </row>
    <row r="70" spans="3:25" ht="14">
      <c r="C70" s="62" t="str">
        <f>'G-1 All Habitats'!B68</f>
        <v>Urban - Ground based green wall</v>
      </c>
      <c r="D70" s="316" t="s">
        <v>1158</v>
      </c>
      <c r="E70" s="316" t="s">
        <v>1158</v>
      </c>
      <c r="F70" s="316">
        <v>1</v>
      </c>
      <c r="G70" s="316">
        <v>2</v>
      </c>
      <c r="H70" s="316">
        <v>3</v>
      </c>
      <c r="I70" s="316">
        <v>4</v>
      </c>
      <c r="J70" s="316">
        <v>5</v>
      </c>
      <c r="K70" s="316" t="s">
        <v>1158</v>
      </c>
      <c r="L70" s="316" t="s">
        <v>1158</v>
      </c>
      <c r="M70" s="316" t="s">
        <v>1158</v>
      </c>
      <c r="N70" s="316" t="s">
        <v>1158</v>
      </c>
      <c r="O70" s="316">
        <v>1</v>
      </c>
      <c r="P70" s="316">
        <v>2</v>
      </c>
      <c r="Q70" s="316">
        <v>3</v>
      </c>
      <c r="R70" s="316">
        <v>5</v>
      </c>
      <c r="S70" s="316">
        <v>1</v>
      </c>
      <c r="T70" s="316">
        <v>2</v>
      </c>
      <c r="U70" s="316">
        <v>3</v>
      </c>
      <c r="V70" s="316">
        <v>1</v>
      </c>
      <c r="W70" s="316">
        <v>2</v>
      </c>
      <c r="X70" s="316">
        <v>1</v>
      </c>
      <c r="Y70" s="316" t="s">
        <v>1158</v>
      </c>
    </row>
    <row r="71" spans="3:25" ht="14">
      <c r="C71" s="62" t="str">
        <f>'G-1 All Habitats'!B69</f>
        <v>Urban - Ground level planters</v>
      </c>
      <c r="D71" s="316" t="s">
        <v>1158</v>
      </c>
      <c r="E71" s="316" t="s">
        <v>1158</v>
      </c>
      <c r="F71" s="316" t="s">
        <v>1158</v>
      </c>
      <c r="G71" s="316" t="s">
        <v>1158</v>
      </c>
      <c r="H71" s="316" t="s">
        <v>1158</v>
      </c>
      <c r="I71" s="316" t="s">
        <v>1158</v>
      </c>
      <c r="J71" s="316" t="s">
        <v>1158</v>
      </c>
      <c r="K71" s="316" t="s">
        <v>1158</v>
      </c>
      <c r="L71" s="316" t="s">
        <v>1158</v>
      </c>
      <c r="M71" s="316" t="s">
        <v>1158</v>
      </c>
      <c r="N71" s="316" t="s">
        <v>1158</v>
      </c>
      <c r="O71" s="316" t="s">
        <v>1158</v>
      </c>
      <c r="P71" s="316" t="s">
        <v>1158</v>
      </c>
      <c r="Q71" s="316" t="s">
        <v>1158</v>
      </c>
      <c r="R71" s="316" t="s">
        <v>1158</v>
      </c>
      <c r="S71" s="316" t="s">
        <v>1158</v>
      </c>
      <c r="T71" s="316" t="s">
        <v>1158</v>
      </c>
      <c r="U71" s="316" t="s">
        <v>1158</v>
      </c>
      <c r="V71" s="316" t="s">
        <v>1158</v>
      </c>
      <c r="W71" s="316" t="s">
        <v>1158</v>
      </c>
      <c r="X71" s="316" t="s">
        <v>1158</v>
      </c>
      <c r="Y71" s="316" t="s">
        <v>1158</v>
      </c>
    </row>
    <row r="72" spans="3:25" ht="14">
      <c r="C72" s="62" t="str">
        <f>'G-1 All Habitats'!B70</f>
        <v>Urban - Biodiverse green roof</v>
      </c>
      <c r="D72" s="316" t="s">
        <v>1158</v>
      </c>
      <c r="E72" s="316" t="s">
        <v>1158</v>
      </c>
      <c r="F72" s="316">
        <v>1</v>
      </c>
      <c r="G72" s="316">
        <v>3</v>
      </c>
      <c r="H72" s="316">
        <v>5</v>
      </c>
      <c r="I72" s="316">
        <v>8</v>
      </c>
      <c r="J72" s="316">
        <v>10</v>
      </c>
      <c r="K72" s="316" t="s">
        <v>1158</v>
      </c>
      <c r="L72" s="316" t="s">
        <v>1158</v>
      </c>
      <c r="M72" s="316" t="s">
        <v>1158</v>
      </c>
      <c r="N72" s="316" t="s">
        <v>1158</v>
      </c>
      <c r="O72" s="316">
        <v>3</v>
      </c>
      <c r="P72" s="316">
        <v>5</v>
      </c>
      <c r="Q72" s="316">
        <v>8</v>
      </c>
      <c r="R72" s="316">
        <v>10</v>
      </c>
      <c r="S72" s="316">
        <v>3</v>
      </c>
      <c r="T72" s="316">
        <v>8</v>
      </c>
      <c r="U72" s="316">
        <v>8</v>
      </c>
      <c r="V72" s="316">
        <v>3</v>
      </c>
      <c r="W72" s="316">
        <v>5</v>
      </c>
      <c r="X72" s="316">
        <v>2</v>
      </c>
      <c r="Y72" s="316" t="s">
        <v>1158</v>
      </c>
    </row>
    <row r="73" spans="3:25" ht="14">
      <c r="C73" s="62" t="str">
        <f>'G-1 All Habitats'!B71</f>
        <v>Urban - Introduced shrub</v>
      </c>
      <c r="D73" s="316" t="s">
        <v>1158</v>
      </c>
      <c r="E73" s="316" t="s">
        <v>1158</v>
      </c>
      <c r="F73" s="316" t="s">
        <v>1158</v>
      </c>
      <c r="G73" s="316" t="s">
        <v>1158</v>
      </c>
      <c r="H73" s="316" t="s">
        <v>1158</v>
      </c>
      <c r="I73" s="316" t="s">
        <v>1158</v>
      </c>
      <c r="J73" s="316" t="s">
        <v>1158</v>
      </c>
      <c r="K73" s="316" t="s">
        <v>1158</v>
      </c>
      <c r="L73" s="316" t="s">
        <v>1158</v>
      </c>
      <c r="M73" s="316" t="s">
        <v>1158</v>
      </c>
      <c r="N73" s="316" t="s">
        <v>1158</v>
      </c>
      <c r="O73" s="316" t="s">
        <v>1158</v>
      </c>
      <c r="P73" s="316" t="s">
        <v>1158</v>
      </c>
      <c r="Q73" s="316" t="s">
        <v>1158</v>
      </c>
      <c r="R73" s="316" t="s">
        <v>1158</v>
      </c>
      <c r="S73" s="316" t="s">
        <v>1158</v>
      </c>
      <c r="T73" s="316" t="s">
        <v>1158</v>
      </c>
      <c r="U73" s="316" t="s">
        <v>1158</v>
      </c>
      <c r="V73" s="316" t="s">
        <v>1158</v>
      </c>
      <c r="W73" s="316" t="s">
        <v>1158</v>
      </c>
      <c r="X73" s="316" t="s">
        <v>1158</v>
      </c>
      <c r="Y73" s="316" t="s">
        <v>1158</v>
      </c>
    </row>
    <row r="74" spans="3:25" ht="14">
      <c r="C74" s="62" t="str">
        <f>'G-1 All Habitats'!B72</f>
        <v>Urban - Open mosaic habitats on previously developed land</v>
      </c>
      <c r="D74" s="316" t="s">
        <v>1158</v>
      </c>
      <c r="E74" s="316" t="s">
        <v>1158</v>
      </c>
      <c r="F74" s="316">
        <v>0</v>
      </c>
      <c r="G74" s="316">
        <v>2</v>
      </c>
      <c r="H74" s="316">
        <v>4</v>
      </c>
      <c r="I74" s="316">
        <v>7</v>
      </c>
      <c r="J74" s="316">
        <v>10</v>
      </c>
      <c r="K74" s="316" t="s">
        <v>1158</v>
      </c>
      <c r="L74" s="316" t="s">
        <v>1158</v>
      </c>
      <c r="M74" s="316" t="s">
        <v>1158</v>
      </c>
      <c r="N74" s="316" t="s">
        <v>1158</v>
      </c>
      <c r="O74" s="316">
        <v>2</v>
      </c>
      <c r="P74" s="316">
        <v>4</v>
      </c>
      <c r="Q74" s="316">
        <v>7</v>
      </c>
      <c r="R74" s="316">
        <v>10</v>
      </c>
      <c r="S74" s="316">
        <v>2</v>
      </c>
      <c r="T74" s="316">
        <v>5</v>
      </c>
      <c r="U74" s="316">
        <v>8</v>
      </c>
      <c r="V74" s="316">
        <v>3</v>
      </c>
      <c r="W74" s="316">
        <v>4</v>
      </c>
      <c r="X74" s="316">
        <v>3</v>
      </c>
      <c r="Y74" s="316" t="s">
        <v>1158</v>
      </c>
    </row>
    <row r="75" spans="3:25" ht="14">
      <c r="C75" s="62" t="str">
        <f>'G-1 All Habitats'!B73</f>
        <v>Urban - Rain garden</v>
      </c>
      <c r="D75" s="316" t="s">
        <v>1158</v>
      </c>
      <c r="E75" s="316" t="s">
        <v>1158</v>
      </c>
      <c r="F75" s="316">
        <v>1</v>
      </c>
      <c r="G75" s="316">
        <v>1</v>
      </c>
      <c r="H75" s="316">
        <v>1</v>
      </c>
      <c r="I75" s="316">
        <v>1</v>
      </c>
      <c r="J75" s="316">
        <v>1</v>
      </c>
      <c r="K75" s="316" t="s">
        <v>1158</v>
      </c>
      <c r="L75" s="316" t="s">
        <v>1158</v>
      </c>
      <c r="M75" s="316" t="s">
        <v>1158</v>
      </c>
      <c r="N75" s="316" t="s">
        <v>1158</v>
      </c>
      <c r="O75" s="316">
        <v>1</v>
      </c>
      <c r="P75" s="316">
        <v>1</v>
      </c>
      <c r="Q75" s="316">
        <v>1</v>
      </c>
      <c r="R75" s="316">
        <v>1</v>
      </c>
      <c r="S75" s="316">
        <v>1</v>
      </c>
      <c r="T75" s="316">
        <v>1</v>
      </c>
      <c r="U75" s="316">
        <v>1</v>
      </c>
      <c r="V75" s="316">
        <v>1</v>
      </c>
      <c r="W75" s="316">
        <v>1</v>
      </c>
      <c r="X75" s="316">
        <v>1</v>
      </c>
      <c r="Y75" s="316" t="s">
        <v>1158</v>
      </c>
    </row>
    <row r="76" spans="3:25" ht="14">
      <c r="C76" s="62" t="str">
        <f>'G-1 All Habitats'!B74</f>
        <v>Urban - Actively worked sand pit quarry or open cast mine</v>
      </c>
      <c r="D76" s="316" t="s">
        <v>1158</v>
      </c>
      <c r="E76" s="316" t="s">
        <v>1158</v>
      </c>
      <c r="F76" s="316" t="s">
        <v>1158</v>
      </c>
      <c r="G76" s="316" t="s">
        <v>1158</v>
      </c>
      <c r="H76" s="316" t="s">
        <v>1158</v>
      </c>
      <c r="I76" s="316" t="s">
        <v>1158</v>
      </c>
      <c r="J76" s="316" t="s">
        <v>1158</v>
      </c>
      <c r="K76" s="316" t="s">
        <v>1158</v>
      </c>
      <c r="L76" s="316" t="s">
        <v>1158</v>
      </c>
      <c r="M76" s="316" t="s">
        <v>1158</v>
      </c>
      <c r="N76" s="316" t="s">
        <v>1158</v>
      </c>
      <c r="O76" s="316" t="s">
        <v>1158</v>
      </c>
      <c r="P76" s="316" t="s">
        <v>1158</v>
      </c>
      <c r="Q76" s="316" t="s">
        <v>1158</v>
      </c>
      <c r="R76" s="316" t="s">
        <v>1158</v>
      </c>
      <c r="S76" s="316" t="s">
        <v>1158</v>
      </c>
      <c r="T76" s="316" t="s">
        <v>1158</v>
      </c>
      <c r="U76" s="316" t="s">
        <v>1158</v>
      </c>
      <c r="V76" s="316" t="s">
        <v>1158</v>
      </c>
      <c r="W76" s="316" t="s">
        <v>1158</v>
      </c>
      <c r="X76" s="316" t="s">
        <v>1158</v>
      </c>
      <c r="Y76" s="316" t="s">
        <v>1158</v>
      </c>
    </row>
    <row r="77" spans="3:25" ht="14">
      <c r="C77" s="62" t="str">
        <f>'G-1 All Habitats'!B80</f>
        <v>Individual trees - Urban tree</v>
      </c>
      <c r="D77" s="316" t="s">
        <v>1158</v>
      </c>
      <c r="E77" s="316" t="s">
        <v>1158</v>
      </c>
      <c r="F77" s="316" t="s">
        <v>1158</v>
      </c>
      <c r="G77" s="316" t="s">
        <v>1158</v>
      </c>
      <c r="H77" s="316" t="s">
        <v>1158</v>
      </c>
      <c r="I77" s="316" t="s">
        <v>1158</v>
      </c>
      <c r="J77" s="316" t="s">
        <v>1158</v>
      </c>
      <c r="K77" s="316" t="s">
        <v>1158</v>
      </c>
      <c r="L77" s="316" t="s">
        <v>1158</v>
      </c>
      <c r="M77" s="316" t="s">
        <v>1158</v>
      </c>
      <c r="N77" s="316" t="s">
        <v>1158</v>
      </c>
      <c r="O77" s="316">
        <v>8</v>
      </c>
      <c r="P77" s="316">
        <v>16</v>
      </c>
      <c r="Q77" s="316">
        <v>24</v>
      </c>
      <c r="R77" s="316" t="s">
        <v>1159</v>
      </c>
      <c r="S77" s="316">
        <v>8</v>
      </c>
      <c r="T77" s="316">
        <v>16</v>
      </c>
      <c r="U77" s="316">
        <v>24</v>
      </c>
      <c r="V77" s="316">
        <v>8</v>
      </c>
      <c r="W77" s="316">
        <v>16</v>
      </c>
      <c r="X77" s="316">
        <v>8</v>
      </c>
      <c r="Y77" s="316" t="s">
        <v>1158</v>
      </c>
    </row>
    <row r="78" spans="3:25" ht="14">
      <c r="C78" s="62" t="str">
        <f>'G-1 All Habitats'!B75</f>
        <v>Urban - Sustainable drainage system</v>
      </c>
      <c r="D78" s="316" t="s">
        <v>1158</v>
      </c>
      <c r="E78" s="316" t="s">
        <v>1158</v>
      </c>
      <c r="F78" s="316">
        <v>1</v>
      </c>
      <c r="G78" s="316">
        <v>2</v>
      </c>
      <c r="H78" s="316">
        <v>3</v>
      </c>
      <c r="I78" s="316">
        <v>4</v>
      </c>
      <c r="J78" s="316">
        <v>5</v>
      </c>
      <c r="K78" s="316" t="s">
        <v>1158</v>
      </c>
      <c r="L78" s="316" t="s">
        <v>1158</v>
      </c>
      <c r="M78" s="316" t="s">
        <v>1158</v>
      </c>
      <c r="N78" s="316" t="s">
        <v>1158</v>
      </c>
      <c r="O78" s="316">
        <v>1</v>
      </c>
      <c r="P78" s="316">
        <v>2</v>
      </c>
      <c r="Q78" s="316">
        <v>3</v>
      </c>
      <c r="R78" s="316">
        <v>5</v>
      </c>
      <c r="S78" s="316">
        <v>1</v>
      </c>
      <c r="T78" s="316">
        <v>2</v>
      </c>
      <c r="U78" s="316">
        <v>3</v>
      </c>
      <c r="V78" s="316">
        <v>1</v>
      </c>
      <c r="W78" s="316">
        <v>2</v>
      </c>
      <c r="X78" s="316">
        <v>1</v>
      </c>
      <c r="Y78" s="316" t="s">
        <v>1158</v>
      </c>
    </row>
    <row r="79" spans="3:25" ht="14">
      <c r="C79" s="62" t="str">
        <f>'G-1 All Habitats'!B76</f>
        <v>Urban - Unvegetated garden</v>
      </c>
      <c r="D79" s="316" t="s">
        <v>1158</v>
      </c>
      <c r="E79" s="316" t="s">
        <v>1158</v>
      </c>
      <c r="F79" s="316" t="s">
        <v>1158</v>
      </c>
      <c r="G79" s="316" t="s">
        <v>1158</v>
      </c>
      <c r="H79" s="316" t="s">
        <v>1158</v>
      </c>
      <c r="I79" s="316" t="s">
        <v>1158</v>
      </c>
      <c r="J79" s="316" t="s">
        <v>1158</v>
      </c>
      <c r="K79" s="316" t="s">
        <v>1158</v>
      </c>
      <c r="L79" s="316" t="s">
        <v>1158</v>
      </c>
      <c r="M79" s="316" t="s">
        <v>1158</v>
      </c>
      <c r="N79" s="316" t="s">
        <v>1158</v>
      </c>
      <c r="O79" s="316" t="s">
        <v>1158</v>
      </c>
      <c r="P79" s="316" t="s">
        <v>1158</v>
      </c>
      <c r="Q79" s="316" t="s">
        <v>1158</v>
      </c>
      <c r="R79" s="316" t="s">
        <v>1158</v>
      </c>
      <c r="S79" s="316" t="s">
        <v>1158</v>
      </c>
      <c r="T79" s="316" t="s">
        <v>1158</v>
      </c>
      <c r="U79" s="316" t="s">
        <v>1158</v>
      </c>
      <c r="V79" s="316" t="s">
        <v>1158</v>
      </c>
      <c r="W79" s="316" t="s">
        <v>1158</v>
      </c>
      <c r="X79" s="316" t="s">
        <v>1158</v>
      </c>
      <c r="Y79" s="316" t="s">
        <v>1158</v>
      </c>
    </row>
    <row r="80" spans="3:25" ht="14">
      <c r="C80" s="62" t="str">
        <f>'G-1 All Habitats'!B77</f>
        <v>Urban - Vacant or derelict land</v>
      </c>
      <c r="D80" s="316" t="s">
        <v>1158</v>
      </c>
      <c r="E80" s="316" t="s">
        <v>1158</v>
      </c>
      <c r="F80" s="316">
        <v>1</v>
      </c>
      <c r="G80" s="316">
        <v>1</v>
      </c>
      <c r="H80" s="316">
        <v>1</v>
      </c>
      <c r="I80" s="316">
        <v>1</v>
      </c>
      <c r="J80" s="316">
        <v>1</v>
      </c>
      <c r="K80" s="316" t="s">
        <v>1158</v>
      </c>
      <c r="L80" s="316" t="s">
        <v>1158</v>
      </c>
      <c r="M80" s="316" t="s">
        <v>1158</v>
      </c>
      <c r="N80" s="316" t="s">
        <v>1158</v>
      </c>
      <c r="O80" s="316">
        <v>1</v>
      </c>
      <c r="P80" s="316">
        <v>1</v>
      </c>
      <c r="Q80" s="316">
        <v>1</v>
      </c>
      <c r="R80" s="316">
        <v>1</v>
      </c>
      <c r="S80" s="316">
        <v>1</v>
      </c>
      <c r="T80" s="316">
        <v>1</v>
      </c>
      <c r="U80" s="316">
        <v>1</v>
      </c>
      <c r="V80" s="316">
        <v>1</v>
      </c>
      <c r="W80" s="316">
        <v>1</v>
      </c>
      <c r="X80" s="316">
        <v>1</v>
      </c>
      <c r="Y80" s="316" t="s">
        <v>1158</v>
      </c>
    </row>
    <row r="81" spans="3:25" ht="14">
      <c r="C81" s="62" t="s">
        <v>876</v>
      </c>
      <c r="D81" s="316" t="s">
        <v>1158</v>
      </c>
      <c r="E81" s="316" t="s">
        <v>1158</v>
      </c>
      <c r="F81" s="316">
        <v>1</v>
      </c>
      <c r="G81" s="316">
        <v>1</v>
      </c>
      <c r="H81" s="316">
        <v>1</v>
      </c>
      <c r="I81" s="316">
        <v>1</v>
      </c>
      <c r="J81" s="316">
        <v>1</v>
      </c>
      <c r="K81" s="316" t="s">
        <v>1158</v>
      </c>
      <c r="L81" s="316" t="s">
        <v>1158</v>
      </c>
      <c r="M81" s="316" t="s">
        <v>1158</v>
      </c>
      <c r="N81" s="316" t="s">
        <v>1158</v>
      </c>
      <c r="O81" s="316">
        <v>1</v>
      </c>
      <c r="P81" s="316">
        <v>1</v>
      </c>
      <c r="Q81" s="316">
        <v>1</v>
      </c>
      <c r="R81" s="316">
        <v>1</v>
      </c>
      <c r="S81" s="316">
        <v>1</v>
      </c>
      <c r="T81" s="316">
        <v>1</v>
      </c>
      <c r="U81" s="316">
        <v>1</v>
      </c>
      <c r="V81" s="316">
        <v>1</v>
      </c>
      <c r="W81" s="316">
        <v>1</v>
      </c>
      <c r="X81" s="316">
        <v>1</v>
      </c>
      <c r="Y81" s="316" t="s">
        <v>1158</v>
      </c>
    </row>
    <row r="82" spans="3:25" ht="14">
      <c r="C82" s="62" t="str">
        <f>'G-1 All Habitats'!B79</f>
        <v>Urban - Vegetated garden</v>
      </c>
      <c r="D82" s="316" t="s">
        <v>1158</v>
      </c>
      <c r="E82" s="316" t="s">
        <v>1158</v>
      </c>
      <c r="F82" s="316">
        <v>1</v>
      </c>
      <c r="G82" s="316">
        <v>2</v>
      </c>
      <c r="H82" s="316">
        <v>3</v>
      </c>
      <c r="I82" s="316">
        <v>4</v>
      </c>
      <c r="J82" s="316">
        <v>5</v>
      </c>
      <c r="K82" s="316" t="s">
        <v>1158</v>
      </c>
      <c r="L82" s="316" t="s">
        <v>1158</v>
      </c>
      <c r="M82" s="316" t="s">
        <v>1158</v>
      </c>
      <c r="N82" s="316" t="s">
        <v>1158</v>
      </c>
      <c r="O82" s="316">
        <v>1</v>
      </c>
      <c r="P82" s="316">
        <v>2</v>
      </c>
      <c r="Q82" s="316">
        <v>3</v>
      </c>
      <c r="R82" s="316">
        <v>5</v>
      </c>
      <c r="S82" s="316">
        <v>1</v>
      </c>
      <c r="T82" s="316">
        <v>2</v>
      </c>
      <c r="U82" s="316">
        <v>3</v>
      </c>
      <c r="V82" s="316">
        <v>1</v>
      </c>
      <c r="W82" s="316">
        <v>2</v>
      </c>
      <c r="X82" s="316">
        <v>1</v>
      </c>
      <c r="Y82" s="316" t="s">
        <v>1158</v>
      </c>
    </row>
    <row r="83" spans="3:25" ht="14">
      <c r="C83" s="62" t="str">
        <f>'G-1 All Habitats'!B82</f>
        <v>Wetland - Blanket bog</v>
      </c>
      <c r="D83" s="316" t="s">
        <v>1158</v>
      </c>
      <c r="E83" s="316" t="s">
        <v>1158</v>
      </c>
      <c r="F83" s="316">
        <v>15</v>
      </c>
      <c r="G83" s="316">
        <v>25</v>
      </c>
      <c r="H83" s="316">
        <v>30</v>
      </c>
      <c r="I83" s="316" t="s">
        <v>1159</v>
      </c>
      <c r="J83" s="316" t="s">
        <v>1159</v>
      </c>
      <c r="K83" s="316" t="s">
        <v>1158</v>
      </c>
      <c r="L83" s="316" t="s">
        <v>1158</v>
      </c>
      <c r="M83" s="316" t="s">
        <v>1158</v>
      </c>
      <c r="N83" s="316" t="s">
        <v>1158</v>
      </c>
      <c r="O83" s="316">
        <v>10</v>
      </c>
      <c r="P83" s="316">
        <v>20</v>
      </c>
      <c r="Q83" s="316" t="s">
        <v>1159</v>
      </c>
      <c r="R83" s="316" t="s">
        <v>1159</v>
      </c>
      <c r="S83" s="316">
        <v>10</v>
      </c>
      <c r="T83" s="316" t="s">
        <v>1159</v>
      </c>
      <c r="U83" s="316" t="s">
        <v>1159</v>
      </c>
      <c r="V83" s="316">
        <v>30</v>
      </c>
      <c r="W83" s="316" t="s">
        <v>1159</v>
      </c>
      <c r="X83" s="316">
        <v>30</v>
      </c>
      <c r="Y83" s="316" t="s">
        <v>1158</v>
      </c>
    </row>
    <row r="84" spans="3:25" ht="14">
      <c r="C84" s="62" t="str">
        <f>'G-1 All Habitats'!B83</f>
        <v>Wetland - Depressions on peat substrates (H7150)</v>
      </c>
      <c r="D84" s="316" t="s">
        <v>1158</v>
      </c>
      <c r="E84" s="316" t="s">
        <v>1158</v>
      </c>
      <c r="F84" s="316">
        <v>15</v>
      </c>
      <c r="G84" s="316">
        <v>25</v>
      </c>
      <c r="H84" s="316">
        <v>30</v>
      </c>
      <c r="I84" s="316" t="s">
        <v>1159</v>
      </c>
      <c r="J84" s="316" t="s">
        <v>1159</v>
      </c>
      <c r="K84" s="316" t="s">
        <v>1158</v>
      </c>
      <c r="L84" s="316" t="s">
        <v>1158</v>
      </c>
      <c r="M84" s="316" t="s">
        <v>1158</v>
      </c>
      <c r="N84" s="316" t="s">
        <v>1158</v>
      </c>
      <c r="O84" s="316">
        <v>10</v>
      </c>
      <c r="P84" s="316">
        <v>20</v>
      </c>
      <c r="Q84" s="316">
        <v>25</v>
      </c>
      <c r="R84" s="316">
        <v>30</v>
      </c>
      <c r="S84" s="316">
        <v>10</v>
      </c>
      <c r="T84" s="316">
        <v>20</v>
      </c>
      <c r="U84" s="316">
        <v>25</v>
      </c>
      <c r="V84" s="316">
        <v>10</v>
      </c>
      <c r="W84" s="316">
        <v>20</v>
      </c>
      <c r="X84" s="316">
        <v>10</v>
      </c>
      <c r="Y84" s="316" t="s">
        <v>1158</v>
      </c>
    </row>
    <row r="85" spans="3:25" ht="14">
      <c r="C85" s="62" t="str">
        <f>'G-1 All Habitats'!B84</f>
        <v>Wetland - Fens (upland and lowland)</v>
      </c>
      <c r="D85" s="316" t="s">
        <v>1158</v>
      </c>
      <c r="E85" s="316" t="s">
        <v>1158</v>
      </c>
      <c r="F85" s="316">
        <v>10</v>
      </c>
      <c r="G85" s="316">
        <v>12</v>
      </c>
      <c r="H85" s="316">
        <v>15</v>
      </c>
      <c r="I85" s="316">
        <v>25</v>
      </c>
      <c r="J85" s="316">
        <v>30</v>
      </c>
      <c r="K85" s="316" t="s">
        <v>1158</v>
      </c>
      <c r="L85" s="316" t="s">
        <v>1158</v>
      </c>
      <c r="M85" s="316" t="s">
        <v>1158</v>
      </c>
      <c r="N85" s="316" t="s">
        <v>1158</v>
      </c>
      <c r="O85" s="316">
        <v>10</v>
      </c>
      <c r="P85" s="316">
        <v>12</v>
      </c>
      <c r="Q85" s="316">
        <v>15</v>
      </c>
      <c r="R85" s="316">
        <v>18</v>
      </c>
      <c r="S85" s="316">
        <v>10</v>
      </c>
      <c r="T85" s="316">
        <v>12</v>
      </c>
      <c r="U85" s="316">
        <v>15</v>
      </c>
      <c r="V85" s="316">
        <v>10</v>
      </c>
      <c r="W85" s="316">
        <v>12</v>
      </c>
      <c r="X85" s="316">
        <v>10</v>
      </c>
      <c r="Y85" s="316" t="s">
        <v>1158</v>
      </c>
    </row>
    <row r="86" spans="3:25" ht="14">
      <c r="C86" s="62" t="str">
        <f>'G-1 All Habitats'!B85</f>
        <v>Wetland - Lowland raised bog</v>
      </c>
      <c r="D86" s="316" t="s">
        <v>1158</v>
      </c>
      <c r="E86" s="316" t="s">
        <v>1158</v>
      </c>
      <c r="F86" s="316">
        <v>15</v>
      </c>
      <c r="G86" s="316">
        <v>20</v>
      </c>
      <c r="H86" s="316">
        <v>30</v>
      </c>
      <c r="I86" s="316" t="s">
        <v>1159</v>
      </c>
      <c r="J86" s="316" t="s">
        <v>1159</v>
      </c>
      <c r="K86" s="316" t="s">
        <v>1158</v>
      </c>
      <c r="L86" s="316" t="s">
        <v>1158</v>
      </c>
      <c r="M86" s="316" t="s">
        <v>1158</v>
      </c>
      <c r="N86" s="316" t="s">
        <v>1158</v>
      </c>
      <c r="O86" s="316">
        <v>10</v>
      </c>
      <c r="P86" s="316">
        <v>20</v>
      </c>
      <c r="Q86" s="316">
        <v>25</v>
      </c>
      <c r="R86" s="316">
        <v>30</v>
      </c>
      <c r="S86" s="316">
        <v>10</v>
      </c>
      <c r="T86" s="316">
        <v>20</v>
      </c>
      <c r="U86" s="316">
        <v>20</v>
      </c>
      <c r="V86" s="316">
        <v>10</v>
      </c>
      <c r="W86" s="316">
        <v>15</v>
      </c>
      <c r="X86" s="316">
        <v>10</v>
      </c>
      <c r="Y86" s="316" t="s">
        <v>1158</v>
      </c>
    </row>
    <row r="87" spans="3:25" ht="14">
      <c r="C87" s="62" t="str">
        <f>'G-1 All Habitats'!B86</f>
        <v>Wetland - Oceanic valley mire[1] (D2.1)</v>
      </c>
      <c r="D87" s="316" t="s">
        <v>1158</v>
      </c>
      <c r="E87" s="316" t="s">
        <v>1158</v>
      </c>
      <c r="F87" s="316">
        <v>15</v>
      </c>
      <c r="G87" s="316">
        <v>20</v>
      </c>
      <c r="H87" s="316">
        <v>30</v>
      </c>
      <c r="I87" s="316" t="s">
        <v>1159</v>
      </c>
      <c r="J87" s="316" t="s">
        <v>1159</v>
      </c>
      <c r="K87" s="316" t="s">
        <v>1158</v>
      </c>
      <c r="L87" s="316" t="s">
        <v>1158</v>
      </c>
      <c r="M87" s="316" t="s">
        <v>1158</v>
      </c>
      <c r="N87" s="316" t="s">
        <v>1158</v>
      </c>
      <c r="O87" s="316">
        <v>10</v>
      </c>
      <c r="P87" s="316">
        <v>20</v>
      </c>
      <c r="Q87" s="316">
        <v>25</v>
      </c>
      <c r="R87" s="316">
        <v>30</v>
      </c>
      <c r="S87" s="316">
        <v>10</v>
      </c>
      <c r="T87" s="316">
        <v>20</v>
      </c>
      <c r="U87" s="316">
        <v>20</v>
      </c>
      <c r="V87" s="316">
        <v>10</v>
      </c>
      <c r="W87" s="316">
        <v>15</v>
      </c>
      <c r="X87" s="316">
        <v>10</v>
      </c>
      <c r="Y87" s="316" t="s">
        <v>1158</v>
      </c>
    </row>
    <row r="88" spans="3:25" ht="14">
      <c r="C88" s="62" t="str">
        <f>'G-1 All Habitats'!B87</f>
        <v>Wetland - Purple moor grass and rush pastures</v>
      </c>
      <c r="D88" s="316" t="s">
        <v>1158</v>
      </c>
      <c r="E88" s="316" t="s">
        <v>1158</v>
      </c>
      <c r="F88" s="316">
        <v>10</v>
      </c>
      <c r="G88" s="316">
        <v>12</v>
      </c>
      <c r="H88" s="316">
        <v>15</v>
      </c>
      <c r="I88" s="316">
        <v>17</v>
      </c>
      <c r="J88" s="316">
        <v>20</v>
      </c>
      <c r="K88" s="316" t="s">
        <v>1158</v>
      </c>
      <c r="L88" s="316" t="s">
        <v>1158</v>
      </c>
      <c r="M88" s="316" t="s">
        <v>1158</v>
      </c>
      <c r="N88" s="316" t="s">
        <v>1158</v>
      </c>
      <c r="O88" s="316">
        <v>10</v>
      </c>
      <c r="P88" s="316">
        <v>10</v>
      </c>
      <c r="Q88" s="316">
        <v>15</v>
      </c>
      <c r="R88" s="316">
        <v>20</v>
      </c>
      <c r="S88" s="316">
        <v>10</v>
      </c>
      <c r="T88" s="316">
        <v>15</v>
      </c>
      <c r="U88" s="316">
        <v>20</v>
      </c>
      <c r="V88" s="316">
        <v>10</v>
      </c>
      <c r="W88" s="316">
        <v>15</v>
      </c>
      <c r="X88" s="316">
        <v>10</v>
      </c>
      <c r="Y88" s="316" t="s">
        <v>1158</v>
      </c>
    </row>
    <row r="89" spans="3:25" ht="14">
      <c r="C89" s="62" t="str">
        <f>'G-1 All Habitats'!B88</f>
        <v>Wetland - Reedbeds</v>
      </c>
      <c r="D89" s="316" t="s">
        <v>1158</v>
      </c>
      <c r="E89" s="316" t="s">
        <v>1158</v>
      </c>
      <c r="F89" s="316">
        <v>5</v>
      </c>
      <c r="G89" s="316">
        <v>7</v>
      </c>
      <c r="H89" s="316">
        <v>10</v>
      </c>
      <c r="I89" s="316">
        <v>12</v>
      </c>
      <c r="J89" s="316">
        <v>15</v>
      </c>
      <c r="K89" s="316" t="s">
        <v>1158</v>
      </c>
      <c r="L89" s="316" t="s">
        <v>1158</v>
      </c>
      <c r="M89" s="316" t="s">
        <v>1158</v>
      </c>
      <c r="N89" s="316" t="s">
        <v>1158</v>
      </c>
      <c r="O89" s="316">
        <v>5</v>
      </c>
      <c r="P89" s="316">
        <v>7</v>
      </c>
      <c r="Q89" s="316">
        <v>10</v>
      </c>
      <c r="R89" s="316">
        <v>12</v>
      </c>
      <c r="S89" s="316">
        <v>5</v>
      </c>
      <c r="T89" s="316">
        <v>7</v>
      </c>
      <c r="U89" s="316">
        <v>10</v>
      </c>
      <c r="V89" s="316">
        <v>5</v>
      </c>
      <c r="W89" s="316">
        <v>7</v>
      </c>
      <c r="X89" s="316">
        <v>5</v>
      </c>
      <c r="Y89" s="316" t="s">
        <v>1158</v>
      </c>
    </row>
    <row r="90" spans="3:25" ht="14">
      <c r="C90" s="62" t="str">
        <f>'G-1 All Habitats'!B89</f>
        <v>Wetland - Transition mires and quaking bogs (H7140)</v>
      </c>
      <c r="D90" s="316" t="s">
        <v>1158</v>
      </c>
      <c r="E90" s="316" t="s">
        <v>1158</v>
      </c>
      <c r="F90" s="316">
        <v>15</v>
      </c>
      <c r="G90" s="316">
        <v>25</v>
      </c>
      <c r="H90" s="316">
        <v>30</v>
      </c>
      <c r="I90" s="316" t="s">
        <v>1159</v>
      </c>
      <c r="J90" s="316" t="s">
        <v>1159</v>
      </c>
      <c r="K90" s="316" t="s">
        <v>1158</v>
      </c>
      <c r="L90" s="316" t="s">
        <v>1158</v>
      </c>
      <c r="M90" s="316" t="s">
        <v>1158</v>
      </c>
      <c r="N90" s="316" t="s">
        <v>1158</v>
      </c>
      <c r="O90" s="316">
        <v>10</v>
      </c>
      <c r="P90" s="316">
        <v>20</v>
      </c>
      <c r="Q90" s="316">
        <v>25</v>
      </c>
      <c r="R90" s="316">
        <v>30</v>
      </c>
      <c r="S90" s="316">
        <v>10</v>
      </c>
      <c r="T90" s="316">
        <v>20</v>
      </c>
      <c r="U90" s="316">
        <v>20</v>
      </c>
      <c r="V90" s="316">
        <v>10</v>
      </c>
      <c r="W90" s="316">
        <v>15</v>
      </c>
      <c r="X90" s="316">
        <v>10</v>
      </c>
      <c r="Y90" s="316" t="s">
        <v>1158</v>
      </c>
    </row>
    <row r="91" spans="3:25" ht="14">
      <c r="C91" s="62" t="str">
        <f>'G-1 All Habitats'!B90</f>
        <v>Woodland and forest - Felled</v>
      </c>
      <c r="D91" s="316" t="s">
        <v>1158</v>
      </c>
      <c r="E91" s="316" t="s">
        <v>1158</v>
      </c>
      <c r="F91" s="316" t="s">
        <v>1158</v>
      </c>
      <c r="G91" s="316" t="s">
        <v>1158</v>
      </c>
      <c r="H91" s="316" t="s">
        <v>1158</v>
      </c>
      <c r="I91" s="316" t="s">
        <v>1158</v>
      </c>
      <c r="J91" s="316" t="s">
        <v>1158</v>
      </c>
      <c r="K91" s="316" t="s">
        <v>1158</v>
      </c>
      <c r="L91" s="316" t="s">
        <v>1158</v>
      </c>
      <c r="M91" s="316" t="s">
        <v>1158</v>
      </c>
      <c r="N91" s="316" t="s">
        <v>1158</v>
      </c>
      <c r="O91" s="316" t="s">
        <v>1158</v>
      </c>
      <c r="P91" s="316" t="s">
        <v>1158</v>
      </c>
      <c r="Q91" s="316" t="s">
        <v>1158</v>
      </c>
      <c r="R91" s="316" t="s">
        <v>1158</v>
      </c>
      <c r="S91" s="316" t="s">
        <v>1158</v>
      </c>
      <c r="T91" s="316" t="s">
        <v>1158</v>
      </c>
      <c r="U91" s="316" t="s">
        <v>1158</v>
      </c>
      <c r="V91" s="316" t="s">
        <v>1158</v>
      </c>
      <c r="W91" s="316" t="s">
        <v>1158</v>
      </c>
      <c r="X91" s="316" t="s">
        <v>1158</v>
      </c>
      <c r="Y91" s="316" t="s">
        <v>1158</v>
      </c>
    </row>
    <row r="92" spans="3:25" ht="14">
      <c r="C92" s="62" t="str">
        <f>'G-1 All Habitats'!B91</f>
        <v>Woodland and forest - Lowland beech and yew woodland</v>
      </c>
      <c r="D92" s="316" t="s">
        <v>1158</v>
      </c>
      <c r="E92" s="316" t="s">
        <v>1158</v>
      </c>
      <c r="F92" s="316">
        <v>10</v>
      </c>
      <c r="G92" s="316">
        <v>25</v>
      </c>
      <c r="H92" s="316" t="s">
        <v>1159</v>
      </c>
      <c r="I92" s="316" t="s">
        <v>1159</v>
      </c>
      <c r="J92" s="316" t="s">
        <v>1159</v>
      </c>
      <c r="K92" s="316" t="s">
        <v>1158</v>
      </c>
      <c r="L92" s="316" t="s">
        <v>1158</v>
      </c>
      <c r="M92" s="316" t="s">
        <v>1158</v>
      </c>
      <c r="N92" s="316" t="s">
        <v>1158</v>
      </c>
      <c r="O92" s="316">
        <v>25</v>
      </c>
      <c r="P92" s="316" t="s">
        <v>1159</v>
      </c>
      <c r="Q92" s="316" t="s">
        <v>1159</v>
      </c>
      <c r="R92" s="316" t="s">
        <v>1159</v>
      </c>
      <c r="S92" s="316" t="s">
        <v>1159</v>
      </c>
      <c r="T92" s="316" t="s">
        <v>1159</v>
      </c>
      <c r="U92" s="316" t="s">
        <v>1159</v>
      </c>
      <c r="V92" s="316" t="s">
        <v>1159</v>
      </c>
      <c r="W92" s="316" t="s">
        <v>1159</v>
      </c>
      <c r="X92" s="316" t="s">
        <v>1159</v>
      </c>
      <c r="Y92" s="316" t="s">
        <v>1158</v>
      </c>
    </row>
    <row r="93" spans="3:25" ht="14">
      <c r="C93" s="62" t="str">
        <f>'G-1 All Habitats'!B92</f>
        <v>Woodland and forest - Lowland mixed deciduous woodland</v>
      </c>
      <c r="D93" s="316" t="s">
        <v>1158</v>
      </c>
      <c r="E93" s="316" t="s">
        <v>1158</v>
      </c>
      <c r="F93" s="316">
        <v>10</v>
      </c>
      <c r="G93" s="316">
        <v>25</v>
      </c>
      <c r="H93" s="316" t="s">
        <v>1159</v>
      </c>
      <c r="I93" s="316" t="s">
        <v>1159</v>
      </c>
      <c r="J93" s="316" t="s">
        <v>1159</v>
      </c>
      <c r="K93" s="316" t="s">
        <v>1158</v>
      </c>
      <c r="L93" s="316" t="s">
        <v>1158</v>
      </c>
      <c r="M93" s="316" t="s">
        <v>1158</v>
      </c>
      <c r="N93" s="316" t="s">
        <v>1158</v>
      </c>
      <c r="O93" s="316">
        <v>10</v>
      </c>
      <c r="P93" s="316">
        <v>20</v>
      </c>
      <c r="Q93" s="316">
        <v>25</v>
      </c>
      <c r="R93" s="316" t="s">
        <v>1159</v>
      </c>
      <c r="S93" s="316">
        <v>10</v>
      </c>
      <c r="T93" s="316">
        <v>20</v>
      </c>
      <c r="U93" s="316">
        <v>25</v>
      </c>
      <c r="V93" s="316">
        <v>10</v>
      </c>
      <c r="W93" s="316">
        <v>20</v>
      </c>
      <c r="X93" s="316">
        <v>10</v>
      </c>
      <c r="Y93" s="316" t="s">
        <v>1158</v>
      </c>
    </row>
    <row r="94" spans="3:25" ht="14">
      <c r="C94" s="62" t="str">
        <f>'G-1 All Habitats'!B93</f>
        <v>Woodland and forest - Native pine woodlands</v>
      </c>
      <c r="D94" s="316" t="s">
        <v>1158</v>
      </c>
      <c r="E94" s="316" t="s">
        <v>1158</v>
      </c>
      <c r="F94" s="316">
        <v>25</v>
      </c>
      <c r="G94" s="316">
        <v>30</v>
      </c>
      <c r="H94" s="316" t="s">
        <v>1159</v>
      </c>
      <c r="I94" s="316" t="s">
        <v>1159</v>
      </c>
      <c r="J94" s="316" t="s">
        <v>1159</v>
      </c>
      <c r="K94" s="316" t="s">
        <v>1158</v>
      </c>
      <c r="L94" s="316" t="s">
        <v>1158</v>
      </c>
      <c r="M94" s="316" t="s">
        <v>1158</v>
      </c>
      <c r="N94" s="316" t="s">
        <v>1158</v>
      </c>
      <c r="O94" s="316">
        <v>10</v>
      </c>
      <c r="P94" s="316">
        <v>15</v>
      </c>
      <c r="Q94" s="316">
        <v>20</v>
      </c>
      <c r="R94" s="316" t="s">
        <v>1159</v>
      </c>
      <c r="S94" s="316">
        <v>15</v>
      </c>
      <c r="T94" s="316">
        <v>20</v>
      </c>
      <c r="U94" s="316">
        <v>25</v>
      </c>
      <c r="V94" s="316">
        <v>10</v>
      </c>
      <c r="W94" s="316">
        <v>15</v>
      </c>
      <c r="X94" s="316">
        <v>10</v>
      </c>
      <c r="Y94" s="316" t="s">
        <v>1158</v>
      </c>
    </row>
    <row r="95" spans="3:25" ht="14">
      <c r="C95" s="62" t="str">
        <f>'G-1 All Habitats'!B94</f>
        <v>Woodland and forest - Other coniferous woodland</v>
      </c>
      <c r="D95" s="316" t="s">
        <v>1158</v>
      </c>
      <c r="E95" s="316" t="s">
        <v>1158</v>
      </c>
      <c r="F95" s="316" t="s">
        <v>1158</v>
      </c>
      <c r="G95" s="316" t="s">
        <v>1158</v>
      </c>
      <c r="H95" s="316" t="s">
        <v>1158</v>
      </c>
      <c r="I95" s="316" t="s">
        <v>1158</v>
      </c>
      <c r="J95" s="316" t="s">
        <v>1158</v>
      </c>
      <c r="K95" s="316" t="s">
        <v>1158</v>
      </c>
      <c r="L95" s="316" t="s">
        <v>1158</v>
      </c>
      <c r="M95" s="316" t="s">
        <v>1158</v>
      </c>
      <c r="N95" s="316" t="s">
        <v>1158</v>
      </c>
      <c r="O95" s="316">
        <v>5</v>
      </c>
      <c r="P95" s="316">
        <v>25</v>
      </c>
      <c r="Q95" s="316" t="s">
        <v>1159</v>
      </c>
      <c r="R95" s="316" t="s">
        <v>1159</v>
      </c>
      <c r="S95" s="316">
        <v>20</v>
      </c>
      <c r="T95" s="316" t="s">
        <v>1159</v>
      </c>
      <c r="U95" s="316" t="s">
        <v>1159</v>
      </c>
      <c r="V95" s="316" t="s">
        <v>1159</v>
      </c>
      <c r="W95" s="316" t="s">
        <v>1159</v>
      </c>
      <c r="X95" s="316" t="s">
        <v>1159</v>
      </c>
      <c r="Y95" s="316" t="s">
        <v>1158</v>
      </c>
    </row>
    <row r="96" spans="3:25" ht="14">
      <c r="C96" s="62" t="str">
        <f>'G-1 All Habitats'!B95</f>
        <v>Woodland and forest - Other Scot's pine woodland</v>
      </c>
      <c r="D96" s="316" t="s">
        <v>1158</v>
      </c>
      <c r="E96" s="316" t="s">
        <v>1158</v>
      </c>
      <c r="F96" s="316">
        <v>20</v>
      </c>
      <c r="G96" s="316">
        <v>25</v>
      </c>
      <c r="H96" s="316" t="s">
        <v>1159</v>
      </c>
      <c r="I96" s="316" t="s">
        <v>1159</v>
      </c>
      <c r="J96" s="316" t="s">
        <v>1159</v>
      </c>
      <c r="K96" s="316" t="s">
        <v>1158</v>
      </c>
      <c r="L96" s="316" t="s">
        <v>1158</v>
      </c>
      <c r="M96" s="316" t="s">
        <v>1158</v>
      </c>
      <c r="N96" s="316" t="s">
        <v>1158</v>
      </c>
      <c r="O96" s="316">
        <v>10</v>
      </c>
      <c r="P96" s="316">
        <v>15</v>
      </c>
      <c r="Q96" s="316">
        <v>20</v>
      </c>
      <c r="R96" s="316" t="s">
        <v>1159</v>
      </c>
      <c r="S96" s="316">
        <v>15</v>
      </c>
      <c r="T96" s="316">
        <v>20</v>
      </c>
      <c r="U96" s="316">
        <v>25</v>
      </c>
      <c r="V96" s="316">
        <v>10</v>
      </c>
      <c r="W96" s="316">
        <v>15</v>
      </c>
      <c r="X96" s="316">
        <v>10</v>
      </c>
      <c r="Y96" s="316" t="s">
        <v>1158</v>
      </c>
    </row>
    <row r="97" spans="3:25" ht="14">
      <c r="C97" s="62" t="str">
        <f>'G-1 All Habitats'!B96</f>
        <v>Woodland and forest - Other woodland; broadleaved</v>
      </c>
      <c r="D97" s="316" t="s">
        <v>1158</v>
      </c>
      <c r="E97" s="316" t="s">
        <v>1158</v>
      </c>
      <c r="F97" s="316">
        <v>5</v>
      </c>
      <c r="G97" s="316">
        <v>10</v>
      </c>
      <c r="H97" s="316">
        <v>15</v>
      </c>
      <c r="I97" s="316">
        <v>20</v>
      </c>
      <c r="J97" s="316">
        <v>25</v>
      </c>
      <c r="K97" s="316" t="s">
        <v>1158</v>
      </c>
      <c r="L97" s="316" t="s">
        <v>1158</v>
      </c>
      <c r="M97" s="316" t="s">
        <v>1158</v>
      </c>
      <c r="N97" s="316" t="s">
        <v>1158</v>
      </c>
      <c r="O97" s="316">
        <v>5</v>
      </c>
      <c r="P97" s="316">
        <v>10</v>
      </c>
      <c r="Q97" s="316">
        <v>15</v>
      </c>
      <c r="R97" s="316">
        <v>20</v>
      </c>
      <c r="S97" s="316">
        <v>5</v>
      </c>
      <c r="T97" s="316">
        <v>10</v>
      </c>
      <c r="U97" s="316">
        <v>15</v>
      </c>
      <c r="V97" s="316">
        <v>5</v>
      </c>
      <c r="W97" s="316">
        <v>10</v>
      </c>
      <c r="X97" s="316">
        <v>5</v>
      </c>
      <c r="Y97" s="316" t="s">
        <v>1158</v>
      </c>
    </row>
    <row r="98" spans="3:25" ht="14">
      <c r="C98" s="62" t="str">
        <f>'G-1 All Habitats'!B97</f>
        <v>Woodland and forest - Other woodland; mixed</v>
      </c>
      <c r="D98" s="316" t="s">
        <v>1158</v>
      </c>
      <c r="E98" s="316" t="s">
        <v>1158</v>
      </c>
      <c r="F98" s="316">
        <v>5</v>
      </c>
      <c r="G98" s="316">
        <v>10</v>
      </c>
      <c r="H98" s="316">
        <v>15</v>
      </c>
      <c r="I98" s="316">
        <v>20</v>
      </c>
      <c r="J98" s="316">
        <v>25</v>
      </c>
      <c r="K98" s="316" t="s">
        <v>1158</v>
      </c>
      <c r="L98" s="316" t="s">
        <v>1158</v>
      </c>
      <c r="M98" s="316" t="s">
        <v>1158</v>
      </c>
      <c r="N98" s="316" t="s">
        <v>1158</v>
      </c>
      <c r="O98" s="316">
        <v>5</v>
      </c>
      <c r="P98" s="316">
        <v>10</v>
      </c>
      <c r="Q98" s="316">
        <v>15</v>
      </c>
      <c r="R98" s="316">
        <v>20</v>
      </c>
      <c r="S98" s="316">
        <v>5</v>
      </c>
      <c r="T98" s="316">
        <v>10</v>
      </c>
      <c r="U98" s="316">
        <v>15</v>
      </c>
      <c r="V98" s="316">
        <v>5</v>
      </c>
      <c r="W98" s="316">
        <v>10</v>
      </c>
      <c r="X98" s="316">
        <v>5</v>
      </c>
      <c r="Y98" s="316" t="s">
        <v>1158</v>
      </c>
    </row>
    <row r="99" spans="3:25" ht="14">
      <c r="C99" s="62" t="str">
        <f>'G-1 All Habitats'!B98</f>
        <v>Woodland and forest - Upland birchwoods</v>
      </c>
      <c r="D99" s="316" t="s">
        <v>1158</v>
      </c>
      <c r="E99" s="316" t="s">
        <v>1158</v>
      </c>
      <c r="F99" s="316">
        <v>10</v>
      </c>
      <c r="G99" s="316">
        <v>20</v>
      </c>
      <c r="H99" s="316">
        <v>25</v>
      </c>
      <c r="I99" s="316">
        <v>30</v>
      </c>
      <c r="J99" s="316" t="s">
        <v>1159</v>
      </c>
      <c r="K99" s="316" t="s">
        <v>1158</v>
      </c>
      <c r="L99" s="316" t="s">
        <v>1158</v>
      </c>
      <c r="M99" s="316" t="s">
        <v>1158</v>
      </c>
      <c r="N99" s="316" t="s">
        <v>1158</v>
      </c>
      <c r="O99" s="316">
        <v>10</v>
      </c>
      <c r="P99" s="316">
        <v>15</v>
      </c>
      <c r="Q99" s="316">
        <v>20</v>
      </c>
      <c r="R99" s="316" t="s">
        <v>1159</v>
      </c>
      <c r="S99" s="316">
        <v>15</v>
      </c>
      <c r="T99" s="316">
        <v>20</v>
      </c>
      <c r="U99" s="316">
        <v>25</v>
      </c>
      <c r="V99" s="316">
        <v>10</v>
      </c>
      <c r="W99" s="316">
        <v>15</v>
      </c>
      <c r="X99" s="316">
        <v>10</v>
      </c>
      <c r="Y99" s="316" t="s">
        <v>1158</v>
      </c>
    </row>
    <row r="100" spans="3:25" ht="14">
      <c r="C100" s="62" t="str">
        <f>'G-1 All Habitats'!B99</f>
        <v>Woodland and forest - Upland mixed ashwoods</v>
      </c>
      <c r="D100" s="316" t="s">
        <v>1158</v>
      </c>
      <c r="E100" s="316" t="s">
        <v>1158</v>
      </c>
      <c r="F100" s="316">
        <v>10</v>
      </c>
      <c r="G100" s="316">
        <v>25</v>
      </c>
      <c r="H100" s="316" t="s">
        <v>1159</v>
      </c>
      <c r="I100" s="316" t="s">
        <v>1159</v>
      </c>
      <c r="J100" s="316" t="s">
        <v>1159</v>
      </c>
      <c r="K100" s="316" t="s">
        <v>1158</v>
      </c>
      <c r="L100" s="316" t="s">
        <v>1158</v>
      </c>
      <c r="M100" s="316" t="s">
        <v>1158</v>
      </c>
      <c r="N100" s="316" t="s">
        <v>1158</v>
      </c>
      <c r="O100" s="316">
        <v>10</v>
      </c>
      <c r="P100" s="316">
        <v>15</v>
      </c>
      <c r="Q100" s="316">
        <v>20</v>
      </c>
      <c r="R100" s="316" t="s">
        <v>1159</v>
      </c>
      <c r="S100" s="316">
        <v>15</v>
      </c>
      <c r="T100" s="316">
        <v>20</v>
      </c>
      <c r="U100" s="316">
        <v>25</v>
      </c>
      <c r="V100" s="316">
        <v>10</v>
      </c>
      <c r="W100" s="316">
        <v>15</v>
      </c>
      <c r="X100" s="316">
        <v>10</v>
      </c>
      <c r="Y100" s="316" t="s">
        <v>1158</v>
      </c>
    </row>
    <row r="101" spans="3:25" ht="14">
      <c r="C101" s="62" t="str">
        <f>'G-1 All Habitats'!B100</f>
        <v>Woodland and forest - Upland oakwood</v>
      </c>
      <c r="D101" s="316" t="s">
        <v>1158</v>
      </c>
      <c r="E101" s="316" t="s">
        <v>1158</v>
      </c>
      <c r="F101" s="316">
        <v>10</v>
      </c>
      <c r="G101" s="316">
        <v>25</v>
      </c>
      <c r="H101" s="316" t="s">
        <v>1159</v>
      </c>
      <c r="I101" s="316" t="s">
        <v>1159</v>
      </c>
      <c r="J101" s="316" t="s">
        <v>1159</v>
      </c>
      <c r="K101" s="316" t="s">
        <v>1158</v>
      </c>
      <c r="L101" s="316" t="s">
        <v>1158</v>
      </c>
      <c r="M101" s="316" t="s">
        <v>1158</v>
      </c>
      <c r="N101" s="316" t="s">
        <v>1158</v>
      </c>
      <c r="O101" s="316">
        <v>25</v>
      </c>
      <c r="P101" s="316" t="s">
        <v>1159</v>
      </c>
      <c r="Q101" s="316" t="s">
        <v>1159</v>
      </c>
      <c r="R101" s="316" t="s">
        <v>1159</v>
      </c>
      <c r="S101" s="316" t="s">
        <v>1159</v>
      </c>
      <c r="T101" s="316" t="s">
        <v>1159</v>
      </c>
      <c r="U101" s="316" t="s">
        <v>1159</v>
      </c>
      <c r="V101" s="316" t="s">
        <v>1159</v>
      </c>
      <c r="W101" s="316" t="s">
        <v>1159</v>
      </c>
      <c r="X101" s="316" t="s">
        <v>1159</v>
      </c>
      <c r="Y101" s="316" t="s">
        <v>1158</v>
      </c>
    </row>
    <row r="102" spans="3:25" ht="14">
      <c r="C102" s="62" t="str">
        <f>'G-1 All Habitats'!B101</f>
        <v>Woodland and forest - Wet woodland</v>
      </c>
      <c r="D102" s="316" t="s">
        <v>1158</v>
      </c>
      <c r="E102" s="316" t="s">
        <v>1158</v>
      </c>
      <c r="F102" s="316">
        <v>10</v>
      </c>
      <c r="G102" s="316">
        <v>20</v>
      </c>
      <c r="H102" s="316">
        <v>25</v>
      </c>
      <c r="I102" s="316">
        <v>30</v>
      </c>
      <c r="J102" s="316" t="s">
        <v>1159</v>
      </c>
      <c r="K102" s="316" t="s">
        <v>1158</v>
      </c>
      <c r="L102" s="316" t="s">
        <v>1158</v>
      </c>
      <c r="M102" s="316" t="s">
        <v>1158</v>
      </c>
      <c r="N102" s="316" t="s">
        <v>1158</v>
      </c>
      <c r="O102" s="316">
        <v>5</v>
      </c>
      <c r="P102" s="316">
        <v>10</v>
      </c>
      <c r="Q102" s="316">
        <v>25</v>
      </c>
      <c r="R102" s="316" t="s">
        <v>1159</v>
      </c>
      <c r="S102" s="316">
        <v>5</v>
      </c>
      <c r="T102" s="316">
        <v>20</v>
      </c>
      <c r="U102" s="316" t="s">
        <v>1159</v>
      </c>
      <c r="V102" s="316">
        <v>15</v>
      </c>
      <c r="W102" s="316" t="s">
        <v>1159</v>
      </c>
      <c r="X102" s="316">
        <v>30</v>
      </c>
      <c r="Y102" s="316" t="s">
        <v>1158</v>
      </c>
    </row>
    <row r="103" spans="3:25" ht="14">
      <c r="C103" s="62" t="str">
        <f>'G-1 All Habitats'!B102</f>
        <v>Woodland and forest - Wood-pasture and parkland</v>
      </c>
      <c r="D103" s="316" t="s">
        <v>1158</v>
      </c>
      <c r="E103" s="316" t="s">
        <v>1158</v>
      </c>
      <c r="F103" s="316">
        <v>10</v>
      </c>
      <c r="G103" s="316">
        <v>25</v>
      </c>
      <c r="H103" s="316" t="s">
        <v>1159</v>
      </c>
      <c r="I103" s="316" t="s">
        <v>1159</v>
      </c>
      <c r="J103" s="316" t="s">
        <v>1159</v>
      </c>
      <c r="K103" s="316" t="s">
        <v>1158</v>
      </c>
      <c r="L103" s="316" t="s">
        <v>1158</v>
      </c>
      <c r="M103" s="316" t="s">
        <v>1158</v>
      </c>
      <c r="N103" s="316" t="s">
        <v>1158</v>
      </c>
      <c r="O103" s="316">
        <v>25</v>
      </c>
      <c r="P103" s="316" t="s">
        <v>1159</v>
      </c>
      <c r="Q103" s="316" t="s">
        <v>1159</v>
      </c>
      <c r="R103" s="316" t="s">
        <v>1159</v>
      </c>
      <c r="S103" s="316" t="s">
        <v>1159</v>
      </c>
      <c r="T103" s="316" t="s">
        <v>1159</v>
      </c>
      <c r="U103" s="316" t="s">
        <v>1159</v>
      </c>
      <c r="V103" s="316" t="s">
        <v>1159</v>
      </c>
      <c r="W103" s="316" t="s">
        <v>1159</v>
      </c>
      <c r="X103" s="316" t="s">
        <v>1159</v>
      </c>
      <c r="Y103" s="316" t="s">
        <v>1158</v>
      </c>
    </row>
    <row r="104" spans="3:25" ht="14">
      <c r="C104" s="62" t="str">
        <f>'G-1 All Habitats'!B104</f>
        <v>Coastal lagoons - Coastal lagoons</v>
      </c>
      <c r="D104" s="316" t="s">
        <v>1158</v>
      </c>
      <c r="E104" s="316" t="s">
        <v>1158</v>
      </c>
      <c r="F104" s="316" t="s">
        <v>1158</v>
      </c>
      <c r="G104" s="316" t="s">
        <v>1158</v>
      </c>
      <c r="H104" s="316" t="s">
        <v>1158</v>
      </c>
      <c r="I104" s="316" t="s">
        <v>1158</v>
      </c>
      <c r="J104" s="316" t="s">
        <v>1158</v>
      </c>
      <c r="K104" s="316" t="s">
        <v>1158</v>
      </c>
      <c r="L104" s="316" t="s">
        <v>1158</v>
      </c>
      <c r="M104" s="316" t="s">
        <v>1158</v>
      </c>
      <c r="N104" s="316" t="s">
        <v>1158</v>
      </c>
      <c r="O104" s="316">
        <v>1</v>
      </c>
      <c r="P104" s="316">
        <v>4</v>
      </c>
      <c r="Q104" s="316">
        <v>8</v>
      </c>
      <c r="R104" s="316">
        <v>12</v>
      </c>
      <c r="S104" s="316">
        <v>3</v>
      </c>
      <c r="T104" s="316">
        <v>7</v>
      </c>
      <c r="U104" s="316">
        <v>11</v>
      </c>
      <c r="V104" s="316">
        <v>4</v>
      </c>
      <c r="W104" s="316">
        <v>8</v>
      </c>
      <c r="X104" s="316">
        <v>4</v>
      </c>
      <c r="Y104" s="316" t="s">
        <v>1158</v>
      </c>
    </row>
    <row r="105" spans="3:25" ht="14">
      <c r="C105" s="62" t="str">
        <f>'G-1 All Habitats'!B105</f>
        <v>Rocky shore - High energy littoral rock</v>
      </c>
      <c r="D105" s="316" t="s">
        <v>1158</v>
      </c>
      <c r="E105" s="316" t="s">
        <v>1158</v>
      </c>
      <c r="F105" s="316" t="s">
        <v>1158</v>
      </c>
      <c r="G105" s="316" t="s">
        <v>1158</v>
      </c>
      <c r="H105" s="316" t="s">
        <v>1158</v>
      </c>
      <c r="I105" s="316" t="s">
        <v>1158</v>
      </c>
      <c r="J105" s="316" t="s">
        <v>1158</v>
      </c>
      <c r="K105" s="316" t="s">
        <v>1158</v>
      </c>
      <c r="L105" s="316" t="s">
        <v>1158</v>
      </c>
      <c r="M105" s="316" t="s">
        <v>1158</v>
      </c>
      <c r="N105" s="316" t="s">
        <v>1158</v>
      </c>
      <c r="O105" s="316">
        <v>2</v>
      </c>
      <c r="P105" s="316">
        <v>4</v>
      </c>
      <c r="Q105" s="316">
        <v>6</v>
      </c>
      <c r="R105" s="316">
        <v>10</v>
      </c>
      <c r="S105" s="316">
        <v>2</v>
      </c>
      <c r="T105" s="316">
        <v>4</v>
      </c>
      <c r="U105" s="316">
        <v>8</v>
      </c>
      <c r="V105" s="316">
        <v>2</v>
      </c>
      <c r="W105" s="316">
        <v>6</v>
      </c>
      <c r="X105" s="316">
        <v>4</v>
      </c>
      <c r="Y105" s="316" t="s">
        <v>1158</v>
      </c>
    </row>
    <row r="106" spans="3:25" ht="14">
      <c r="C106" s="62" t="str">
        <f>'G-1 All Habitats'!B106</f>
        <v>Rocky shore - High energy littoral rock - on peat, clay or chalk</v>
      </c>
      <c r="D106" s="316" t="s">
        <v>1158</v>
      </c>
      <c r="E106" s="316" t="s">
        <v>1158</v>
      </c>
      <c r="F106" s="316" t="s">
        <v>1158</v>
      </c>
      <c r="G106" s="316" t="s">
        <v>1158</v>
      </c>
      <c r="H106" s="316" t="s">
        <v>1158</v>
      </c>
      <c r="I106" s="316" t="s">
        <v>1158</v>
      </c>
      <c r="J106" s="316" t="s">
        <v>1158</v>
      </c>
      <c r="K106" s="316" t="s">
        <v>1158</v>
      </c>
      <c r="L106" s="316" t="s">
        <v>1158</v>
      </c>
      <c r="M106" s="316" t="s">
        <v>1158</v>
      </c>
      <c r="N106" s="316" t="s">
        <v>1158</v>
      </c>
      <c r="O106" s="316">
        <v>2</v>
      </c>
      <c r="P106" s="316">
        <v>4</v>
      </c>
      <c r="Q106" s="316">
        <v>6</v>
      </c>
      <c r="R106" s="316">
        <v>10</v>
      </c>
      <c r="S106" s="316">
        <v>2</v>
      </c>
      <c r="T106" s="316">
        <v>4</v>
      </c>
      <c r="U106" s="316">
        <v>8</v>
      </c>
      <c r="V106" s="316">
        <v>2</v>
      </c>
      <c r="W106" s="316">
        <v>6</v>
      </c>
      <c r="X106" s="316">
        <v>4</v>
      </c>
      <c r="Y106" s="316" t="s">
        <v>1158</v>
      </c>
    </row>
    <row r="107" spans="3:25" ht="14">
      <c r="C107" s="62" t="str">
        <f>'G-1 All Habitats'!B107</f>
        <v>Rocky shore - Moderate energy littoral rock</v>
      </c>
      <c r="D107" s="316" t="s">
        <v>1158</v>
      </c>
      <c r="E107" s="316" t="s">
        <v>1158</v>
      </c>
      <c r="F107" s="316" t="s">
        <v>1158</v>
      </c>
      <c r="G107" s="316" t="s">
        <v>1158</v>
      </c>
      <c r="H107" s="316" t="s">
        <v>1158</v>
      </c>
      <c r="I107" s="316" t="s">
        <v>1158</v>
      </c>
      <c r="J107" s="316" t="s">
        <v>1158</v>
      </c>
      <c r="K107" s="316" t="s">
        <v>1158</v>
      </c>
      <c r="L107" s="316" t="s">
        <v>1158</v>
      </c>
      <c r="M107" s="316" t="s">
        <v>1158</v>
      </c>
      <c r="N107" s="316" t="s">
        <v>1158</v>
      </c>
      <c r="O107" s="316">
        <v>2</v>
      </c>
      <c r="P107" s="316">
        <v>4</v>
      </c>
      <c r="Q107" s="316">
        <v>6</v>
      </c>
      <c r="R107" s="316">
        <v>11</v>
      </c>
      <c r="S107" s="316">
        <v>2</v>
      </c>
      <c r="T107" s="316">
        <v>4</v>
      </c>
      <c r="U107" s="316">
        <v>9</v>
      </c>
      <c r="V107" s="316">
        <v>2</v>
      </c>
      <c r="W107" s="316">
        <v>7</v>
      </c>
      <c r="X107" s="316">
        <v>5</v>
      </c>
      <c r="Y107" s="316" t="s">
        <v>1158</v>
      </c>
    </row>
    <row r="108" spans="3:25" ht="14">
      <c r="C108" s="62" t="str">
        <f>'G-1 All Habitats'!B108</f>
        <v>Rocky shore - Moderate energy littoral rock - on peat, clay or chalk</v>
      </c>
      <c r="D108" s="316" t="s">
        <v>1158</v>
      </c>
      <c r="E108" s="316" t="s">
        <v>1158</v>
      </c>
      <c r="F108" s="316" t="s">
        <v>1158</v>
      </c>
      <c r="G108" s="316" t="s">
        <v>1158</v>
      </c>
      <c r="H108" s="316" t="s">
        <v>1158</v>
      </c>
      <c r="I108" s="316" t="s">
        <v>1158</v>
      </c>
      <c r="J108" s="316" t="s">
        <v>1158</v>
      </c>
      <c r="K108" s="316" t="s">
        <v>1158</v>
      </c>
      <c r="L108" s="316" t="s">
        <v>1158</v>
      </c>
      <c r="M108" s="316" t="s">
        <v>1158</v>
      </c>
      <c r="N108" s="316" t="s">
        <v>1158</v>
      </c>
      <c r="O108" s="316">
        <v>2</v>
      </c>
      <c r="P108" s="316">
        <v>4</v>
      </c>
      <c r="Q108" s="316">
        <v>6</v>
      </c>
      <c r="R108" s="316">
        <v>11</v>
      </c>
      <c r="S108" s="316">
        <v>2</v>
      </c>
      <c r="T108" s="316">
        <v>4</v>
      </c>
      <c r="U108" s="316">
        <v>9</v>
      </c>
      <c r="V108" s="316">
        <v>2</v>
      </c>
      <c r="W108" s="316">
        <v>7</v>
      </c>
      <c r="X108" s="316">
        <v>5</v>
      </c>
      <c r="Y108" s="316" t="s">
        <v>1158</v>
      </c>
    </row>
    <row r="109" spans="3:25" ht="14">
      <c r="C109" s="62" t="str">
        <f>'G-1 All Habitats'!B109</f>
        <v>Rocky shore - Low energy littoral rock</v>
      </c>
      <c r="D109" s="316" t="s">
        <v>1158</v>
      </c>
      <c r="E109" s="316" t="s">
        <v>1158</v>
      </c>
      <c r="F109" s="316" t="s">
        <v>1158</v>
      </c>
      <c r="G109" s="316" t="s">
        <v>1158</v>
      </c>
      <c r="H109" s="316" t="s">
        <v>1158</v>
      </c>
      <c r="I109" s="316" t="s">
        <v>1158</v>
      </c>
      <c r="J109" s="316" t="s">
        <v>1158</v>
      </c>
      <c r="K109" s="316" t="s">
        <v>1158</v>
      </c>
      <c r="L109" s="316" t="s">
        <v>1158</v>
      </c>
      <c r="M109" s="316" t="s">
        <v>1158</v>
      </c>
      <c r="N109" s="316" t="s">
        <v>1158</v>
      </c>
      <c r="O109" s="316">
        <v>2</v>
      </c>
      <c r="P109" s="316">
        <v>4</v>
      </c>
      <c r="Q109" s="316">
        <v>6</v>
      </c>
      <c r="R109" s="316">
        <v>12</v>
      </c>
      <c r="S109" s="316">
        <v>2</v>
      </c>
      <c r="T109" s="316">
        <v>4</v>
      </c>
      <c r="U109" s="316">
        <v>10</v>
      </c>
      <c r="V109" s="316">
        <v>2</v>
      </c>
      <c r="W109" s="316">
        <v>8</v>
      </c>
      <c r="X109" s="316">
        <v>6</v>
      </c>
      <c r="Y109" s="316" t="s">
        <v>1158</v>
      </c>
    </row>
    <row r="110" spans="3:25" ht="14">
      <c r="C110" s="62" t="str">
        <f>'G-1 All Habitats'!B110</f>
        <v>Rocky shore - Low energy littoral rock - on peat, clay or chalk</v>
      </c>
      <c r="D110" s="316" t="s">
        <v>1158</v>
      </c>
      <c r="E110" s="316" t="s">
        <v>1158</v>
      </c>
      <c r="F110" s="316" t="s">
        <v>1158</v>
      </c>
      <c r="G110" s="316" t="s">
        <v>1158</v>
      </c>
      <c r="H110" s="316" t="s">
        <v>1158</v>
      </c>
      <c r="I110" s="316" t="s">
        <v>1158</v>
      </c>
      <c r="J110" s="316" t="s">
        <v>1158</v>
      </c>
      <c r="K110" s="316" t="s">
        <v>1158</v>
      </c>
      <c r="L110" s="316" t="s">
        <v>1158</v>
      </c>
      <c r="M110" s="316" t="s">
        <v>1158</v>
      </c>
      <c r="N110" s="316" t="s">
        <v>1158</v>
      </c>
      <c r="O110" s="316">
        <v>2</v>
      </c>
      <c r="P110" s="316">
        <v>4</v>
      </c>
      <c r="Q110" s="316">
        <v>6</v>
      </c>
      <c r="R110" s="316">
        <v>12</v>
      </c>
      <c r="S110" s="316">
        <v>2</v>
      </c>
      <c r="T110" s="316">
        <v>4</v>
      </c>
      <c r="U110" s="316">
        <v>10</v>
      </c>
      <c r="V110" s="316">
        <v>2</v>
      </c>
      <c r="W110" s="316">
        <v>8</v>
      </c>
      <c r="X110" s="316">
        <v>6</v>
      </c>
      <c r="Y110" s="316" t="s">
        <v>1158</v>
      </c>
    </row>
    <row r="111" spans="3:25" ht="14">
      <c r="C111" s="62" t="str">
        <f>'G-1 All Habitats'!B111</f>
        <v>Rocky shore - Features of littoral rock</v>
      </c>
      <c r="D111" s="316" t="s">
        <v>1158</v>
      </c>
      <c r="E111" s="316" t="s">
        <v>1158</v>
      </c>
      <c r="F111" s="316" t="s">
        <v>1158</v>
      </c>
      <c r="G111" s="316" t="s">
        <v>1158</v>
      </c>
      <c r="H111" s="316" t="s">
        <v>1158</v>
      </c>
      <c r="I111" s="316" t="s">
        <v>1158</v>
      </c>
      <c r="J111" s="316" t="s">
        <v>1158</v>
      </c>
      <c r="K111" s="316" t="s">
        <v>1158</v>
      </c>
      <c r="L111" s="316" t="s">
        <v>1158</v>
      </c>
      <c r="M111" s="316" t="s">
        <v>1158</v>
      </c>
      <c r="N111" s="316" t="s">
        <v>1158</v>
      </c>
      <c r="O111" s="316">
        <v>2</v>
      </c>
      <c r="P111" s="316">
        <v>4</v>
      </c>
      <c r="Q111" s="316">
        <v>6</v>
      </c>
      <c r="R111" s="316">
        <v>11</v>
      </c>
      <c r="S111" s="316">
        <v>2</v>
      </c>
      <c r="T111" s="316">
        <v>4</v>
      </c>
      <c r="U111" s="316">
        <v>9</v>
      </c>
      <c r="V111" s="316">
        <v>2</v>
      </c>
      <c r="W111" s="316">
        <v>7</v>
      </c>
      <c r="X111" s="316">
        <v>5</v>
      </c>
      <c r="Y111" s="316" t="s">
        <v>1158</v>
      </c>
    </row>
    <row r="112" spans="3:25" ht="14">
      <c r="C112" s="62" t="str">
        <f>'G-1 All Habitats'!B112</f>
        <v>Rocky shore - Features of littoral rock - on peat, clay or chalk</v>
      </c>
      <c r="D112" s="316" t="s">
        <v>1158</v>
      </c>
      <c r="E112" s="316" t="s">
        <v>1158</v>
      </c>
      <c r="F112" s="316" t="s">
        <v>1158</v>
      </c>
      <c r="G112" s="316" t="s">
        <v>1158</v>
      </c>
      <c r="H112" s="316" t="s">
        <v>1158</v>
      </c>
      <c r="I112" s="316" t="s">
        <v>1158</v>
      </c>
      <c r="J112" s="316" t="s">
        <v>1158</v>
      </c>
      <c r="K112" s="316" t="s">
        <v>1158</v>
      </c>
      <c r="L112" s="316" t="s">
        <v>1158</v>
      </c>
      <c r="M112" s="316" t="s">
        <v>1158</v>
      </c>
      <c r="N112" s="316" t="s">
        <v>1158</v>
      </c>
      <c r="O112" s="316">
        <v>2</v>
      </c>
      <c r="P112" s="316">
        <v>4</v>
      </c>
      <c r="Q112" s="316">
        <v>6</v>
      </c>
      <c r="R112" s="316">
        <v>11</v>
      </c>
      <c r="S112" s="316">
        <v>2</v>
      </c>
      <c r="T112" s="316">
        <v>4</v>
      </c>
      <c r="U112" s="316">
        <v>9</v>
      </c>
      <c r="V112" s="316">
        <v>2</v>
      </c>
      <c r="W112" s="316">
        <v>7</v>
      </c>
      <c r="X112" s="316">
        <v>5</v>
      </c>
      <c r="Y112" s="316" t="s">
        <v>1158</v>
      </c>
    </row>
    <row r="113" spans="3:25" ht="14">
      <c r="C113" s="62" t="str">
        <f>'G-1 All Habitats'!B115</f>
        <v>Intertidal sediment - Littoral coarse sediment</v>
      </c>
      <c r="D113" s="316" t="s">
        <v>1158</v>
      </c>
      <c r="E113" s="316" t="s">
        <v>1158</v>
      </c>
      <c r="F113" s="316" t="s">
        <v>1158</v>
      </c>
      <c r="G113" s="316" t="s">
        <v>1158</v>
      </c>
      <c r="H113" s="316" t="s">
        <v>1158</v>
      </c>
      <c r="I113" s="316" t="s">
        <v>1158</v>
      </c>
      <c r="J113" s="316" t="s">
        <v>1158</v>
      </c>
      <c r="K113" s="316" t="s">
        <v>1158</v>
      </c>
      <c r="L113" s="316" t="s">
        <v>1158</v>
      </c>
      <c r="M113" s="316" t="s">
        <v>1158</v>
      </c>
      <c r="N113" s="316" t="s">
        <v>1158</v>
      </c>
      <c r="O113" s="316">
        <v>1</v>
      </c>
      <c r="P113" s="316">
        <v>2</v>
      </c>
      <c r="Q113" s="316">
        <v>3</v>
      </c>
      <c r="R113" s="316">
        <v>4</v>
      </c>
      <c r="S113" s="316">
        <v>1</v>
      </c>
      <c r="T113" s="316">
        <v>2</v>
      </c>
      <c r="U113" s="316">
        <v>3</v>
      </c>
      <c r="V113" s="316">
        <v>1</v>
      </c>
      <c r="W113" s="316">
        <v>2</v>
      </c>
      <c r="X113" s="316">
        <v>1</v>
      </c>
      <c r="Y113" s="316" t="s">
        <v>1158</v>
      </c>
    </row>
    <row r="114" spans="3:25" ht="14">
      <c r="C114" s="62" t="str">
        <f>'G-1 All Habitats'!B116</f>
        <v>Intertidal sediment - Littoral mud</v>
      </c>
      <c r="D114" s="316" t="s">
        <v>1158</v>
      </c>
      <c r="E114" s="316" t="s">
        <v>1158</v>
      </c>
      <c r="F114" s="316" t="s">
        <v>1158</v>
      </c>
      <c r="G114" s="316" t="s">
        <v>1158</v>
      </c>
      <c r="H114" s="316" t="s">
        <v>1158</v>
      </c>
      <c r="I114" s="316" t="s">
        <v>1158</v>
      </c>
      <c r="J114" s="316" t="s">
        <v>1158</v>
      </c>
      <c r="K114" s="316" t="s">
        <v>1158</v>
      </c>
      <c r="L114" s="316" t="s">
        <v>1158</v>
      </c>
      <c r="M114" s="316" t="s">
        <v>1158</v>
      </c>
      <c r="N114" s="316" t="s">
        <v>1158</v>
      </c>
      <c r="O114" s="316">
        <v>2</v>
      </c>
      <c r="P114" s="316">
        <v>4</v>
      </c>
      <c r="Q114" s="316">
        <v>6</v>
      </c>
      <c r="R114" s="316">
        <v>8</v>
      </c>
      <c r="S114" s="316">
        <v>2</v>
      </c>
      <c r="T114" s="316">
        <v>4</v>
      </c>
      <c r="U114" s="316">
        <v>6</v>
      </c>
      <c r="V114" s="316">
        <v>2</v>
      </c>
      <c r="W114" s="316">
        <v>4</v>
      </c>
      <c r="X114" s="316">
        <v>2</v>
      </c>
      <c r="Y114" s="316" t="s">
        <v>1158</v>
      </c>
    </row>
    <row r="115" spans="3:25" ht="14">
      <c r="C115" s="62" t="str">
        <f>'G-1 All Habitats'!B117</f>
        <v>Intertidal sediment - Littoral mixed sediments</v>
      </c>
      <c r="D115" s="316" t="s">
        <v>1158</v>
      </c>
      <c r="E115" s="316" t="s">
        <v>1158</v>
      </c>
      <c r="F115" s="316" t="s">
        <v>1158</v>
      </c>
      <c r="G115" s="316" t="s">
        <v>1158</v>
      </c>
      <c r="H115" s="316" t="s">
        <v>1158</v>
      </c>
      <c r="I115" s="316" t="s">
        <v>1158</v>
      </c>
      <c r="J115" s="316" t="s">
        <v>1158</v>
      </c>
      <c r="K115" s="316" t="s">
        <v>1158</v>
      </c>
      <c r="L115" s="316" t="s">
        <v>1158</v>
      </c>
      <c r="M115" s="316" t="s">
        <v>1158</v>
      </c>
      <c r="N115" s="316" t="s">
        <v>1158</v>
      </c>
      <c r="O115" s="316">
        <v>1</v>
      </c>
      <c r="P115" s="316">
        <v>2</v>
      </c>
      <c r="Q115" s="316">
        <v>3</v>
      </c>
      <c r="R115" s="316">
        <v>4</v>
      </c>
      <c r="S115" s="316">
        <v>1</v>
      </c>
      <c r="T115" s="316">
        <v>2</v>
      </c>
      <c r="U115" s="316">
        <v>3</v>
      </c>
      <c r="V115" s="316">
        <v>1</v>
      </c>
      <c r="W115" s="316">
        <v>2</v>
      </c>
      <c r="X115" s="316">
        <v>1</v>
      </c>
      <c r="Y115" s="316" t="s">
        <v>1158</v>
      </c>
    </row>
    <row r="116" spans="3:25" ht="14">
      <c r="C116" s="62" t="str">
        <f>'G-1 All Habitats'!B113</f>
        <v>Coastal saltmarsh - Saltmarshes and saline reedbeds</v>
      </c>
      <c r="D116" s="316" t="s">
        <v>1158</v>
      </c>
      <c r="E116" s="316" t="s">
        <v>1158</v>
      </c>
      <c r="F116" s="316" t="s">
        <v>1158</v>
      </c>
      <c r="G116" s="316" t="s">
        <v>1158</v>
      </c>
      <c r="H116" s="316" t="s">
        <v>1158</v>
      </c>
      <c r="I116" s="316" t="s">
        <v>1158</v>
      </c>
      <c r="J116" s="316" t="s">
        <v>1158</v>
      </c>
      <c r="K116" s="316" t="s">
        <v>1158</v>
      </c>
      <c r="L116" s="316" t="s">
        <v>1158</v>
      </c>
      <c r="M116" s="316" t="s">
        <v>1158</v>
      </c>
      <c r="N116" s="316" t="s">
        <v>1158</v>
      </c>
      <c r="O116" s="316">
        <v>2</v>
      </c>
      <c r="P116" s="316">
        <v>6</v>
      </c>
      <c r="Q116" s="316">
        <v>10</v>
      </c>
      <c r="R116" s="316">
        <v>20</v>
      </c>
      <c r="S116" s="316">
        <v>4</v>
      </c>
      <c r="T116" s="316">
        <v>8</v>
      </c>
      <c r="U116" s="316">
        <v>18</v>
      </c>
      <c r="V116" s="316">
        <v>4</v>
      </c>
      <c r="W116" s="316">
        <v>14</v>
      </c>
      <c r="X116" s="316">
        <v>10</v>
      </c>
      <c r="Y116" s="316" t="s">
        <v>1158</v>
      </c>
    </row>
    <row r="117" spans="3:25" ht="14">
      <c r="C117" s="62" t="str">
        <f>'G-1 All Habitats'!B114</f>
        <v>Coastal saltmarsh - Artificial saltmarshes and saline reedbeds</v>
      </c>
      <c r="D117" s="316" t="s">
        <v>1158</v>
      </c>
      <c r="E117" s="316" t="s">
        <v>1158</v>
      </c>
      <c r="F117" s="316" t="s">
        <v>1158</v>
      </c>
      <c r="G117" s="316" t="s">
        <v>1158</v>
      </c>
      <c r="H117" s="316" t="s">
        <v>1158</v>
      </c>
      <c r="I117" s="316" t="s">
        <v>1158</v>
      </c>
      <c r="J117" s="316" t="s">
        <v>1158</v>
      </c>
      <c r="K117" s="316" t="s">
        <v>1158</v>
      </c>
      <c r="L117" s="316" t="s">
        <v>1158</v>
      </c>
      <c r="M117" s="316" t="s">
        <v>1158</v>
      </c>
      <c r="N117" s="316" t="s">
        <v>1158</v>
      </c>
      <c r="O117" s="316">
        <v>2</v>
      </c>
      <c r="P117" s="316">
        <v>6</v>
      </c>
      <c r="Q117" s="316">
        <v>10</v>
      </c>
      <c r="R117" s="316">
        <v>20</v>
      </c>
      <c r="S117" s="316">
        <v>4</v>
      </c>
      <c r="T117" s="316">
        <v>8</v>
      </c>
      <c r="U117" s="316">
        <v>18</v>
      </c>
      <c r="V117" s="316">
        <v>4</v>
      </c>
      <c r="W117" s="316">
        <v>14</v>
      </c>
      <c r="X117" s="316">
        <v>10</v>
      </c>
      <c r="Y117" s="316" t="s">
        <v>1158</v>
      </c>
    </row>
    <row r="118" spans="3:25" ht="14">
      <c r="C118" s="62" t="str">
        <f>'G-1 All Habitats'!B118</f>
        <v>Intertidal sediment - Littoral seagrass</v>
      </c>
      <c r="D118" s="316" t="s">
        <v>1158</v>
      </c>
      <c r="E118" s="316" t="s">
        <v>1158</v>
      </c>
      <c r="F118" s="316">
        <v>2</v>
      </c>
      <c r="G118" s="316">
        <v>5</v>
      </c>
      <c r="H118" s="316">
        <v>10</v>
      </c>
      <c r="I118" s="316">
        <v>15</v>
      </c>
      <c r="J118" s="316">
        <v>20</v>
      </c>
      <c r="K118" s="316" t="s">
        <v>1158</v>
      </c>
      <c r="L118" s="316" t="s">
        <v>1158</v>
      </c>
      <c r="M118" s="316" t="s">
        <v>1158</v>
      </c>
      <c r="N118" s="316" t="s">
        <v>1158</v>
      </c>
      <c r="O118" s="316">
        <v>3</v>
      </c>
      <c r="P118" s="316">
        <v>13</v>
      </c>
      <c r="Q118" s="316">
        <v>23</v>
      </c>
      <c r="R118" s="316" t="s">
        <v>1159</v>
      </c>
      <c r="S118" s="316">
        <v>10</v>
      </c>
      <c r="T118" s="316">
        <v>20</v>
      </c>
      <c r="U118" s="316">
        <v>30</v>
      </c>
      <c r="V118" s="316">
        <v>10</v>
      </c>
      <c r="W118" s="316">
        <v>20</v>
      </c>
      <c r="X118" s="316">
        <v>10</v>
      </c>
      <c r="Y118" s="316" t="s">
        <v>1158</v>
      </c>
    </row>
    <row r="119" spans="3:25" ht="14">
      <c r="C119" s="62" t="str">
        <f>'G-1 All Habitats'!B119</f>
        <v>Intertidal sediment - Littoral seagrass on peat, clay or chalk</v>
      </c>
      <c r="D119" s="316" t="s">
        <v>1158</v>
      </c>
      <c r="E119" s="316" t="s">
        <v>1158</v>
      </c>
      <c r="F119" s="316" t="s">
        <v>1158</v>
      </c>
      <c r="G119" s="316" t="s">
        <v>1158</v>
      </c>
      <c r="H119" s="316" t="s">
        <v>1158</v>
      </c>
      <c r="I119" s="316" t="s">
        <v>1158</v>
      </c>
      <c r="J119" s="316" t="s">
        <v>1158</v>
      </c>
      <c r="K119" s="316" t="s">
        <v>1158</v>
      </c>
      <c r="L119" s="316" t="s">
        <v>1158</v>
      </c>
      <c r="M119" s="316" t="s">
        <v>1158</v>
      </c>
      <c r="N119" s="316" t="s">
        <v>1158</v>
      </c>
      <c r="O119" s="316">
        <v>3</v>
      </c>
      <c r="P119" s="316">
        <v>13</v>
      </c>
      <c r="Q119" s="316">
        <v>23</v>
      </c>
      <c r="R119" s="316" t="s">
        <v>1159</v>
      </c>
      <c r="S119" s="316">
        <v>10</v>
      </c>
      <c r="T119" s="316">
        <v>20</v>
      </c>
      <c r="U119" s="316">
        <v>30</v>
      </c>
      <c r="V119" s="316">
        <v>10</v>
      </c>
      <c r="W119" s="316">
        <v>20</v>
      </c>
      <c r="X119" s="316">
        <v>10</v>
      </c>
      <c r="Y119" s="316" t="s">
        <v>1158</v>
      </c>
    </row>
    <row r="120" spans="3:25" ht="14">
      <c r="C120" s="62" t="str">
        <f>'G-1 All Habitats'!B120</f>
        <v>Intertidal sediment - Littoral biogenic reefs - Mussels</v>
      </c>
      <c r="D120" s="316" t="s">
        <v>1158</v>
      </c>
      <c r="E120" s="316" t="s">
        <v>1158</v>
      </c>
      <c r="F120" s="316" t="s">
        <v>1158</v>
      </c>
      <c r="G120" s="316" t="s">
        <v>1158</v>
      </c>
      <c r="H120" s="316" t="s">
        <v>1158</v>
      </c>
      <c r="I120" s="316" t="s">
        <v>1158</v>
      </c>
      <c r="J120" s="316" t="s">
        <v>1158</v>
      </c>
      <c r="K120" s="316" t="s">
        <v>1158</v>
      </c>
      <c r="L120" s="316" t="s">
        <v>1158</v>
      </c>
      <c r="M120" s="316" t="s">
        <v>1158</v>
      </c>
      <c r="N120" s="316" t="s">
        <v>1158</v>
      </c>
      <c r="O120" s="316">
        <v>2</v>
      </c>
      <c r="P120" s="316">
        <v>4</v>
      </c>
      <c r="Q120" s="316">
        <v>7</v>
      </c>
      <c r="R120" s="316">
        <v>10</v>
      </c>
      <c r="S120" s="316">
        <v>2</v>
      </c>
      <c r="T120" s="316">
        <v>3</v>
      </c>
      <c r="U120" s="316">
        <v>8</v>
      </c>
      <c r="V120" s="316">
        <v>3</v>
      </c>
      <c r="W120" s="316">
        <v>6</v>
      </c>
      <c r="X120" s="316">
        <v>3</v>
      </c>
      <c r="Y120" s="316" t="s">
        <v>1158</v>
      </c>
    </row>
    <row r="121" spans="3:25" ht="14">
      <c r="C121" s="62" t="str">
        <f>'G-1 All Habitats'!B121</f>
        <v>Intertidal sediment - Littoral biogenic reefs - Sabellaria</v>
      </c>
      <c r="D121" s="316" t="s">
        <v>1158</v>
      </c>
      <c r="E121" s="316" t="s">
        <v>1158</v>
      </c>
      <c r="F121" s="316" t="s">
        <v>1158</v>
      </c>
      <c r="G121" s="316" t="s">
        <v>1158</v>
      </c>
      <c r="H121" s="316" t="s">
        <v>1158</v>
      </c>
      <c r="I121" s="316" t="s">
        <v>1158</v>
      </c>
      <c r="J121" s="316" t="s">
        <v>1158</v>
      </c>
      <c r="K121" s="316" t="s">
        <v>1158</v>
      </c>
      <c r="L121" s="316" t="s">
        <v>1158</v>
      </c>
      <c r="M121" s="316" t="s">
        <v>1158</v>
      </c>
      <c r="N121" s="316" t="s">
        <v>1158</v>
      </c>
      <c r="O121" s="316">
        <v>2</v>
      </c>
      <c r="P121" s="316">
        <v>4</v>
      </c>
      <c r="Q121" s="316">
        <v>7</v>
      </c>
      <c r="R121" s="316">
        <v>10</v>
      </c>
      <c r="S121" s="316">
        <v>2</v>
      </c>
      <c r="T121" s="316">
        <v>3</v>
      </c>
      <c r="U121" s="316">
        <v>8</v>
      </c>
      <c r="V121" s="316">
        <v>3</v>
      </c>
      <c r="W121" s="316">
        <v>6</v>
      </c>
      <c r="X121" s="316">
        <v>3</v>
      </c>
      <c r="Y121" s="316" t="s">
        <v>1158</v>
      </c>
    </row>
    <row r="122" spans="3:25" ht="14">
      <c r="C122" s="62" t="str">
        <f>'G-1 All Habitats'!B122</f>
        <v>Intertidal sediment - Features of littoral sediment</v>
      </c>
      <c r="D122" s="316" t="s">
        <v>1158</v>
      </c>
      <c r="E122" s="316" t="s">
        <v>1158</v>
      </c>
      <c r="F122" s="316" t="s">
        <v>1158</v>
      </c>
      <c r="G122" s="316" t="s">
        <v>1158</v>
      </c>
      <c r="H122" s="316" t="s">
        <v>1158</v>
      </c>
      <c r="I122" s="316" t="s">
        <v>1158</v>
      </c>
      <c r="J122" s="316" t="s">
        <v>1158</v>
      </c>
      <c r="K122" s="316" t="s">
        <v>1158</v>
      </c>
      <c r="L122" s="316" t="s">
        <v>1158</v>
      </c>
      <c r="M122" s="316" t="s">
        <v>1158</v>
      </c>
      <c r="N122" s="316" t="s">
        <v>1158</v>
      </c>
      <c r="O122" s="316">
        <v>1</v>
      </c>
      <c r="P122" s="316">
        <v>2</v>
      </c>
      <c r="Q122" s="316">
        <v>3</v>
      </c>
      <c r="R122" s="316">
        <v>5</v>
      </c>
      <c r="S122" s="316">
        <v>1</v>
      </c>
      <c r="T122" s="316">
        <v>2</v>
      </c>
      <c r="U122" s="316">
        <v>4</v>
      </c>
      <c r="V122" s="316">
        <v>1</v>
      </c>
      <c r="W122" s="316">
        <v>3</v>
      </c>
      <c r="X122" s="316">
        <v>2</v>
      </c>
      <c r="Y122" s="316" t="s">
        <v>1158</v>
      </c>
    </row>
    <row r="123" spans="3:25" ht="14">
      <c r="C123" s="62" t="str">
        <f>'G-1 All Habitats'!B123</f>
        <v>Intertidal sediment - Artificial littoral coarse sediment</v>
      </c>
      <c r="D123" s="316" t="s">
        <v>1158</v>
      </c>
      <c r="E123" s="316" t="s">
        <v>1158</v>
      </c>
      <c r="F123" s="316" t="s">
        <v>1158</v>
      </c>
      <c r="G123" s="316" t="s">
        <v>1158</v>
      </c>
      <c r="H123" s="316" t="s">
        <v>1158</v>
      </c>
      <c r="I123" s="316" t="s">
        <v>1158</v>
      </c>
      <c r="J123" s="316" t="s">
        <v>1158</v>
      </c>
      <c r="K123" s="316" t="s">
        <v>1158</v>
      </c>
      <c r="L123" s="316" t="s">
        <v>1158</v>
      </c>
      <c r="M123" s="316" t="s">
        <v>1158</v>
      </c>
      <c r="N123" s="316" t="s">
        <v>1158</v>
      </c>
      <c r="O123" s="316">
        <v>1</v>
      </c>
      <c r="P123" s="316">
        <v>2</v>
      </c>
      <c r="Q123" s="316">
        <v>3</v>
      </c>
      <c r="R123" s="316">
        <v>4</v>
      </c>
      <c r="S123" s="316">
        <v>1</v>
      </c>
      <c r="T123" s="316">
        <v>2</v>
      </c>
      <c r="U123" s="316">
        <v>3</v>
      </c>
      <c r="V123" s="316">
        <v>1</v>
      </c>
      <c r="W123" s="316">
        <v>2</v>
      </c>
      <c r="X123" s="316">
        <v>1</v>
      </c>
      <c r="Y123" s="316" t="s">
        <v>1158</v>
      </c>
    </row>
    <row r="124" spans="3:25" ht="14">
      <c r="C124" s="62" t="str">
        <f>'G-1 All Habitats'!B124</f>
        <v>Intertidal sediment - Artificial littoral mud</v>
      </c>
      <c r="D124" s="316" t="s">
        <v>1158</v>
      </c>
      <c r="E124" s="316" t="s">
        <v>1158</v>
      </c>
      <c r="F124" s="316" t="s">
        <v>1158</v>
      </c>
      <c r="G124" s="316" t="s">
        <v>1158</v>
      </c>
      <c r="H124" s="316" t="s">
        <v>1158</v>
      </c>
      <c r="I124" s="316" t="s">
        <v>1158</v>
      </c>
      <c r="J124" s="316" t="s">
        <v>1158</v>
      </c>
      <c r="K124" s="316" t="s">
        <v>1158</v>
      </c>
      <c r="L124" s="316" t="s">
        <v>1158</v>
      </c>
      <c r="M124" s="316" t="s">
        <v>1158</v>
      </c>
      <c r="N124" s="316" t="s">
        <v>1158</v>
      </c>
      <c r="O124" s="316">
        <v>2</v>
      </c>
      <c r="P124" s="316">
        <v>4</v>
      </c>
      <c r="Q124" s="316">
        <v>6</v>
      </c>
      <c r="R124" s="316">
        <v>8</v>
      </c>
      <c r="S124" s="316">
        <v>2</v>
      </c>
      <c r="T124" s="316">
        <v>4</v>
      </c>
      <c r="U124" s="316">
        <v>6</v>
      </c>
      <c r="V124" s="316">
        <v>2</v>
      </c>
      <c r="W124" s="316">
        <v>4</v>
      </c>
      <c r="X124" s="316">
        <v>2</v>
      </c>
      <c r="Y124" s="316" t="s">
        <v>1158</v>
      </c>
    </row>
    <row r="125" spans="3:25" ht="14">
      <c r="C125" s="62" t="str">
        <f>'G-1 All Habitats'!B125</f>
        <v>Intertidal sediment - Artificial littoral sand</v>
      </c>
      <c r="D125" s="316" t="s">
        <v>1158</v>
      </c>
      <c r="E125" s="316" t="s">
        <v>1158</v>
      </c>
      <c r="F125" s="316" t="s">
        <v>1158</v>
      </c>
      <c r="G125" s="316" t="s">
        <v>1158</v>
      </c>
      <c r="H125" s="316" t="s">
        <v>1158</v>
      </c>
      <c r="I125" s="316" t="s">
        <v>1158</v>
      </c>
      <c r="J125" s="316" t="s">
        <v>1158</v>
      </c>
      <c r="K125" s="316" t="s">
        <v>1158</v>
      </c>
      <c r="L125" s="316" t="s">
        <v>1158</v>
      </c>
      <c r="M125" s="316" t="s">
        <v>1158</v>
      </c>
      <c r="N125" s="316" t="s">
        <v>1158</v>
      </c>
      <c r="O125" s="316">
        <v>2</v>
      </c>
      <c r="P125" s="316">
        <v>3</v>
      </c>
      <c r="Q125" s="316">
        <v>4</v>
      </c>
      <c r="R125" s="316">
        <v>6</v>
      </c>
      <c r="S125" s="316">
        <v>1</v>
      </c>
      <c r="T125" s="316">
        <v>2</v>
      </c>
      <c r="U125" s="316">
        <v>4</v>
      </c>
      <c r="V125" s="316">
        <v>1</v>
      </c>
      <c r="W125" s="316">
        <v>3</v>
      </c>
      <c r="X125" s="316">
        <v>2</v>
      </c>
      <c r="Y125" s="316" t="s">
        <v>1158</v>
      </c>
    </row>
    <row r="126" spans="3:25" ht="14">
      <c r="C126" s="62" t="str">
        <f>'G-1 All Habitats'!B126</f>
        <v>Intertidal sediment - Artificial littoral muddy sand</v>
      </c>
      <c r="D126" s="316" t="s">
        <v>1158</v>
      </c>
      <c r="E126" s="316" t="s">
        <v>1158</v>
      </c>
      <c r="F126" s="316" t="s">
        <v>1158</v>
      </c>
      <c r="G126" s="316" t="s">
        <v>1158</v>
      </c>
      <c r="H126" s="316" t="s">
        <v>1158</v>
      </c>
      <c r="I126" s="316" t="s">
        <v>1158</v>
      </c>
      <c r="J126" s="316" t="s">
        <v>1158</v>
      </c>
      <c r="K126" s="316" t="s">
        <v>1158</v>
      </c>
      <c r="L126" s="316" t="s">
        <v>1158</v>
      </c>
      <c r="M126" s="316" t="s">
        <v>1158</v>
      </c>
      <c r="N126" s="316" t="s">
        <v>1158</v>
      </c>
      <c r="O126" s="316">
        <v>2</v>
      </c>
      <c r="P126" s="316">
        <v>4</v>
      </c>
      <c r="Q126" s="316">
        <v>6</v>
      </c>
      <c r="R126" s="316">
        <v>8</v>
      </c>
      <c r="S126" s="316">
        <v>2</v>
      </c>
      <c r="T126" s="316">
        <v>4</v>
      </c>
      <c r="U126" s="316">
        <v>6</v>
      </c>
      <c r="V126" s="316">
        <v>2</v>
      </c>
      <c r="W126" s="316">
        <v>4</v>
      </c>
      <c r="X126" s="316">
        <v>2</v>
      </c>
      <c r="Y126" s="316" t="s">
        <v>1158</v>
      </c>
    </row>
    <row r="127" spans="3:25" ht="14">
      <c r="C127" s="62" t="str">
        <f>'G-1 All Habitats'!B127</f>
        <v>Intertidal sediment - Artificial littoral mixed sediments</v>
      </c>
      <c r="D127" s="316" t="s">
        <v>1158</v>
      </c>
      <c r="E127" s="316" t="s">
        <v>1158</v>
      </c>
      <c r="F127" s="316" t="s">
        <v>1158</v>
      </c>
      <c r="G127" s="316" t="s">
        <v>1158</v>
      </c>
      <c r="H127" s="316" t="s">
        <v>1158</v>
      </c>
      <c r="I127" s="316" t="s">
        <v>1158</v>
      </c>
      <c r="J127" s="316" t="s">
        <v>1158</v>
      </c>
      <c r="K127" s="316" t="s">
        <v>1158</v>
      </c>
      <c r="L127" s="316" t="s">
        <v>1158</v>
      </c>
      <c r="M127" s="316" t="s">
        <v>1158</v>
      </c>
      <c r="N127" s="316" t="s">
        <v>1158</v>
      </c>
      <c r="O127" s="316">
        <v>1</v>
      </c>
      <c r="P127" s="316">
        <v>2</v>
      </c>
      <c r="Q127" s="316">
        <v>3</v>
      </c>
      <c r="R127" s="316">
        <v>4</v>
      </c>
      <c r="S127" s="316">
        <v>1</v>
      </c>
      <c r="T127" s="316">
        <v>2</v>
      </c>
      <c r="U127" s="316">
        <v>3</v>
      </c>
      <c r="V127" s="316">
        <v>1</v>
      </c>
      <c r="W127" s="316">
        <v>2</v>
      </c>
      <c r="X127" s="316">
        <v>1</v>
      </c>
      <c r="Y127" s="316" t="s">
        <v>1158</v>
      </c>
    </row>
    <row r="128" spans="3:25" ht="14">
      <c r="C128" s="62" t="str">
        <f>'G-1 All Habitats'!B128</f>
        <v>Intertidal sediment - Artificial littoral seagrass</v>
      </c>
      <c r="D128" s="316" t="s">
        <v>1158</v>
      </c>
      <c r="E128" s="316" t="s">
        <v>1158</v>
      </c>
      <c r="F128" s="316" t="s">
        <v>1158</v>
      </c>
      <c r="G128" s="316" t="s">
        <v>1158</v>
      </c>
      <c r="H128" s="316" t="s">
        <v>1158</v>
      </c>
      <c r="I128" s="316" t="s">
        <v>1158</v>
      </c>
      <c r="J128" s="316" t="s">
        <v>1158</v>
      </c>
      <c r="K128" s="316" t="s">
        <v>1158</v>
      </c>
      <c r="L128" s="316" t="s">
        <v>1158</v>
      </c>
      <c r="M128" s="316" t="s">
        <v>1158</v>
      </c>
      <c r="N128" s="316" t="s">
        <v>1158</v>
      </c>
      <c r="O128" s="316">
        <v>3</v>
      </c>
      <c r="P128" s="316">
        <v>13</v>
      </c>
      <c r="Q128" s="316">
        <v>23</v>
      </c>
      <c r="R128" s="316" t="s">
        <v>1159</v>
      </c>
      <c r="S128" s="316">
        <v>10</v>
      </c>
      <c r="T128" s="316">
        <v>20</v>
      </c>
      <c r="U128" s="316">
        <v>30</v>
      </c>
      <c r="V128" s="316">
        <v>10</v>
      </c>
      <c r="W128" s="316">
        <v>20</v>
      </c>
      <c r="X128" s="316">
        <v>10</v>
      </c>
      <c r="Y128" s="316" t="s">
        <v>1158</v>
      </c>
    </row>
    <row r="129" spans="3:25" ht="14">
      <c r="C129" s="62" t="str">
        <f>'G-1 All Habitats'!B129</f>
        <v>Intertidal sediment - Artificial littoral biogenic reefs</v>
      </c>
      <c r="D129" s="316" t="s">
        <v>1158</v>
      </c>
      <c r="E129" s="316" t="s">
        <v>1158</v>
      </c>
      <c r="F129" s="316" t="s">
        <v>1158</v>
      </c>
      <c r="G129" s="316" t="s">
        <v>1158</v>
      </c>
      <c r="H129" s="316" t="s">
        <v>1158</v>
      </c>
      <c r="I129" s="316" t="s">
        <v>1158</v>
      </c>
      <c r="J129" s="316" t="s">
        <v>1158</v>
      </c>
      <c r="K129" s="316" t="s">
        <v>1158</v>
      </c>
      <c r="L129" s="316" t="s">
        <v>1158</v>
      </c>
      <c r="M129" s="316" t="s">
        <v>1158</v>
      </c>
      <c r="N129" s="316" t="s">
        <v>1158</v>
      </c>
      <c r="O129" s="316">
        <v>2</v>
      </c>
      <c r="P129" s="316">
        <v>4</v>
      </c>
      <c r="Q129" s="316">
        <v>7</v>
      </c>
      <c r="R129" s="316">
        <v>10</v>
      </c>
      <c r="S129" s="316">
        <v>2</v>
      </c>
      <c r="T129" s="316">
        <v>3</v>
      </c>
      <c r="U129" s="316">
        <v>8</v>
      </c>
      <c r="V129" s="316">
        <v>3</v>
      </c>
      <c r="W129" s="316">
        <v>6</v>
      </c>
      <c r="X129" s="316">
        <v>3</v>
      </c>
      <c r="Y129" s="316" t="s">
        <v>1158</v>
      </c>
    </row>
    <row r="130" spans="3:25" ht="14">
      <c r="C130" s="62" t="str">
        <f>'G-1 All Habitats'!B130</f>
        <v>Intertidal sediment - Littoral sand</v>
      </c>
      <c r="D130" s="316" t="s">
        <v>1158</v>
      </c>
      <c r="E130" s="316" t="s">
        <v>1158</v>
      </c>
      <c r="F130" s="316" t="s">
        <v>1158</v>
      </c>
      <c r="G130" s="316" t="s">
        <v>1158</v>
      </c>
      <c r="H130" s="316" t="s">
        <v>1158</v>
      </c>
      <c r="I130" s="316" t="s">
        <v>1158</v>
      </c>
      <c r="J130" s="316" t="s">
        <v>1158</v>
      </c>
      <c r="K130" s="316" t="s">
        <v>1158</v>
      </c>
      <c r="L130" s="316" t="s">
        <v>1158</v>
      </c>
      <c r="M130" s="316" t="s">
        <v>1158</v>
      </c>
      <c r="N130" s="316" t="s">
        <v>1158</v>
      </c>
      <c r="O130" s="316">
        <v>2</v>
      </c>
      <c r="P130" s="316">
        <v>3</v>
      </c>
      <c r="Q130" s="316">
        <v>4</v>
      </c>
      <c r="R130" s="316">
        <v>6</v>
      </c>
      <c r="S130" s="316">
        <v>1</v>
      </c>
      <c r="T130" s="316">
        <v>2</v>
      </c>
      <c r="U130" s="316">
        <v>4</v>
      </c>
      <c r="V130" s="316">
        <v>1</v>
      </c>
      <c r="W130" s="316">
        <v>3</v>
      </c>
      <c r="X130" s="316">
        <v>2</v>
      </c>
      <c r="Y130" s="316" t="s">
        <v>1158</v>
      </c>
    </row>
    <row r="131" spans="3:25" ht="14">
      <c r="C131" s="62" t="str">
        <f>'G-1 All Habitats'!B131</f>
        <v>Intertidal sediment - Littoral muddy sand</v>
      </c>
      <c r="D131" s="316" t="s">
        <v>1158</v>
      </c>
      <c r="E131" s="316" t="s">
        <v>1158</v>
      </c>
      <c r="F131" s="316" t="s">
        <v>1158</v>
      </c>
      <c r="G131" s="316" t="s">
        <v>1158</v>
      </c>
      <c r="H131" s="316" t="s">
        <v>1158</v>
      </c>
      <c r="I131" s="316" t="s">
        <v>1158</v>
      </c>
      <c r="J131" s="316" t="s">
        <v>1158</v>
      </c>
      <c r="K131" s="316" t="s">
        <v>1158</v>
      </c>
      <c r="L131" s="316" t="s">
        <v>1158</v>
      </c>
      <c r="M131" s="316" t="s">
        <v>1158</v>
      </c>
      <c r="N131" s="316" t="s">
        <v>1158</v>
      </c>
      <c r="O131" s="316">
        <v>2</v>
      </c>
      <c r="P131" s="316">
        <v>4</v>
      </c>
      <c r="Q131" s="316">
        <v>6</v>
      </c>
      <c r="R131" s="316">
        <v>8</v>
      </c>
      <c r="S131" s="316">
        <v>2</v>
      </c>
      <c r="T131" s="316">
        <v>4</v>
      </c>
      <c r="U131" s="316">
        <v>6</v>
      </c>
      <c r="V131" s="316">
        <v>2</v>
      </c>
      <c r="W131" s="316">
        <v>4</v>
      </c>
      <c r="X131" s="316">
        <v>2</v>
      </c>
      <c r="Y131" s="316" t="s">
        <v>1158</v>
      </c>
    </row>
    <row r="132" spans="3:25" ht="14">
      <c r="C132" s="62" t="str">
        <f>'G-1 All Habitats'!B132</f>
        <v>Intertidal hard structures - Artificial hard structures</v>
      </c>
      <c r="D132" s="316" t="s">
        <v>1158</v>
      </c>
      <c r="E132" s="316" t="s">
        <v>1158</v>
      </c>
      <c r="F132" s="316" t="s">
        <v>1158</v>
      </c>
      <c r="G132" s="316" t="s">
        <v>1158</v>
      </c>
      <c r="H132" s="316" t="s">
        <v>1158</v>
      </c>
      <c r="I132" s="316" t="s">
        <v>1158</v>
      </c>
      <c r="J132" s="316" t="s">
        <v>1158</v>
      </c>
      <c r="K132" s="316" t="s">
        <v>1158</v>
      </c>
      <c r="L132" s="316" t="s">
        <v>1158</v>
      </c>
      <c r="M132" s="316" t="s">
        <v>1158</v>
      </c>
      <c r="N132" s="316" t="s">
        <v>1158</v>
      </c>
      <c r="O132" s="316">
        <v>2</v>
      </c>
      <c r="P132" s="316">
        <v>4</v>
      </c>
      <c r="Q132" s="316">
        <v>6</v>
      </c>
      <c r="R132" s="316">
        <v>12</v>
      </c>
      <c r="S132" s="316">
        <v>2</v>
      </c>
      <c r="T132" s="316">
        <v>4</v>
      </c>
      <c r="U132" s="316">
        <v>10</v>
      </c>
      <c r="V132" s="316">
        <v>2</v>
      </c>
      <c r="W132" s="316">
        <v>8</v>
      </c>
      <c r="X132" s="316">
        <v>6</v>
      </c>
      <c r="Y132" s="316" t="s">
        <v>1158</v>
      </c>
    </row>
    <row r="133" spans="3:25" ht="14">
      <c r="C133" s="62" t="str">
        <f>'G-1 All Habitats'!B133</f>
        <v>Intertidal hard structures - Artificial features of hard structures</v>
      </c>
      <c r="D133" s="316" t="s">
        <v>1158</v>
      </c>
      <c r="E133" s="316" t="s">
        <v>1158</v>
      </c>
      <c r="F133" s="316" t="s">
        <v>1158</v>
      </c>
      <c r="G133" s="316" t="s">
        <v>1158</v>
      </c>
      <c r="H133" s="316" t="s">
        <v>1158</v>
      </c>
      <c r="I133" s="316" t="s">
        <v>1158</v>
      </c>
      <c r="J133" s="316" t="s">
        <v>1158</v>
      </c>
      <c r="K133" s="316" t="s">
        <v>1158</v>
      </c>
      <c r="L133" s="316" t="s">
        <v>1158</v>
      </c>
      <c r="M133" s="316" t="s">
        <v>1158</v>
      </c>
      <c r="N133" s="316" t="s">
        <v>1158</v>
      </c>
      <c r="O133" s="316">
        <v>2</v>
      </c>
      <c r="P133" s="316">
        <v>4</v>
      </c>
      <c r="Q133" s="316">
        <v>6</v>
      </c>
      <c r="R133" s="316">
        <v>11</v>
      </c>
      <c r="S133" s="316">
        <v>2</v>
      </c>
      <c r="T133" s="316">
        <v>4</v>
      </c>
      <c r="U133" s="316">
        <v>9</v>
      </c>
      <c r="V133" s="316">
        <v>2</v>
      </c>
      <c r="W133" s="316">
        <v>7</v>
      </c>
      <c r="X133" s="316">
        <v>5</v>
      </c>
      <c r="Y133" s="316" t="s">
        <v>1158</v>
      </c>
    </row>
    <row r="134" spans="3:25" ht="14">
      <c r="C134" s="62" t="str">
        <f>'G-1 All Habitats'!B134</f>
        <v>Intertidal hard structures - Artificial hard structures with integrated greening of grey infrastructure (IGGI)</v>
      </c>
      <c r="D134" s="316" t="s">
        <v>1158</v>
      </c>
      <c r="E134" s="316" t="s">
        <v>1158</v>
      </c>
      <c r="F134" s="316">
        <v>1</v>
      </c>
      <c r="G134" s="316">
        <v>2</v>
      </c>
      <c r="H134" s="316">
        <v>4</v>
      </c>
      <c r="I134" s="316">
        <v>8</v>
      </c>
      <c r="J134" s="316">
        <v>13</v>
      </c>
      <c r="K134" s="316" t="s">
        <v>1158</v>
      </c>
      <c r="L134" s="316" t="s">
        <v>1158</v>
      </c>
      <c r="M134" s="316" t="s">
        <v>1158</v>
      </c>
      <c r="N134" s="316" t="s">
        <v>1158</v>
      </c>
      <c r="O134" s="316">
        <v>2</v>
      </c>
      <c r="P134" s="316">
        <v>4</v>
      </c>
      <c r="Q134" s="316">
        <v>6</v>
      </c>
      <c r="R134" s="316">
        <v>11</v>
      </c>
      <c r="S134" s="316">
        <v>2</v>
      </c>
      <c r="T134" s="316">
        <v>4</v>
      </c>
      <c r="U134" s="316">
        <v>9</v>
      </c>
      <c r="V134" s="316">
        <v>2</v>
      </c>
      <c r="W134" s="316">
        <v>7</v>
      </c>
      <c r="X134" s="316">
        <v>5</v>
      </c>
      <c r="Y134" s="316" t="s">
        <v>1158</v>
      </c>
    </row>
    <row r="135" spans="3:25" ht="14">
      <c r="C135" s="62" t="str">
        <f>'G-1 All Habitats'!B135</f>
        <v>Watercourse footprint - Watercourse footprint</v>
      </c>
      <c r="D135" s="316" t="s">
        <v>1158</v>
      </c>
      <c r="E135" s="316" t="s">
        <v>1158</v>
      </c>
      <c r="F135" s="316" t="s">
        <v>1158</v>
      </c>
      <c r="G135" s="316" t="s">
        <v>1158</v>
      </c>
      <c r="H135" s="316" t="s">
        <v>1158</v>
      </c>
      <c r="I135" s="316" t="s">
        <v>1158</v>
      </c>
      <c r="J135" s="316" t="s">
        <v>1158</v>
      </c>
      <c r="K135" s="316" t="s">
        <v>1158</v>
      </c>
      <c r="L135" s="316" t="s">
        <v>1158</v>
      </c>
      <c r="M135" s="316" t="s">
        <v>1158</v>
      </c>
      <c r="N135" s="316" t="s">
        <v>1158</v>
      </c>
      <c r="O135" s="316" t="s">
        <v>1158</v>
      </c>
      <c r="P135" s="316" t="s">
        <v>1158</v>
      </c>
      <c r="Q135" s="316" t="s">
        <v>1158</v>
      </c>
      <c r="R135" s="316" t="s">
        <v>1158</v>
      </c>
      <c r="S135" s="316" t="s">
        <v>1158</v>
      </c>
      <c r="T135" s="316" t="s">
        <v>1158</v>
      </c>
      <c r="U135" s="316" t="s">
        <v>1158</v>
      </c>
      <c r="V135" s="316" t="s">
        <v>1158</v>
      </c>
      <c r="W135" s="316" t="s">
        <v>1158</v>
      </c>
      <c r="X135" s="316" t="s">
        <v>1158</v>
      </c>
      <c r="Y135" s="316" t="s">
        <v>1158</v>
      </c>
    </row>
    <row r="136" spans="3:25" ht="14">
      <c r="C136" s="62" t="str">
        <f>'G-1 All Habitats'!B81</f>
        <v>Individual trees - Rural tree</v>
      </c>
      <c r="D136" s="316" t="s">
        <v>1158</v>
      </c>
      <c r="E136" s="316" t="s">
        <v>1158</v>
      </c>
      <c r="F136" s="316" t="s">
        <v>1158</v>
      </c>
      <c r="G136" s="316" t="s">
        <v>1158</v>
      </c>
      <c r="H136" s="316" t="s">
        <v>1158</v>
      </c>
      <c r="I136" s="316" t="s">
        <v>1158</v>
      </c>
      <c r="J136" s="316" t="s">
        <v>1158</v>
      </c>
      <c r="K136" s="316" t="s">
        <v>1158</v>
      </c>
      <c r="L136" s="316" t="s">
        <v>1158</v>
      </c>
      <c r="M136" s="316" t="s">
        <v>1158</v>
      </c>
      <c r="N136" s="316" t="s">
        <v>1158</v>
      </c>
      <c r="O136" s="316">
        <v>8</v>
      </c>
      <c r="P136" s="316">
        <v>16</v>
      </c>
      <c r="Q136" s="316">
        <v>24</v>
      </c>
      <c r="R136" s="316" t="s">
        <v>1159</v>
      </c>
      <c r="S136" s="316">
        <v>8</v>
      </c>
      <c r="T136" s="316">
        <v>16</v>
      </c>
      <c r="U136" s="316">
        <v>24</v>
      </c>
      <c r="V136" s="316">
        <v>8</v>
      </c>
      <c r="W136" s="316">
        <v>16</v>
      </c>
      <c r="X136" s="316">
        <v>8</v>
      </c>
      <c r="Y136" s="316" t="s">
        <v>1158</v>
      </c>
    </row>
    <row r="147" ht="14"/>
    <row r="273" ht="14"/>
    <row r="274" ht="14"/>
    <row r="275" ht="14"/>
    <row r="279" ht="14"/>
    <row r="280" ht="14"/>
    <row r="281" ht="14"/>
    <row r="282" ht="14"/>
    <row r="283" ht="14"/>
    <row r="284" ht="14"/>
    <row r="285" ht="14"/>
    <row r="286" ht="14"/>
    <row r="287" ht="14"/>
    <row r="288" ht="14"/>
    <row r="289" ht="14"/>
    <row r="290" ht="14"/>
    <row r="291" ht="14"/>
    <row r="292" ht="14"/>
    <row r="293" ht="14"/>
    <row r="294" ht="14"/>
    <row r="295" ht="14"/>
  </sheetData>
  <sheetProtection algorithmName="SHA-512" hashValue="/9Z9NOYYN+QEdia5eJQiJpKwqDNW76cXqLi+MTOCaAnf2qUdTdi2DIgkOzg7+NZpg9sQSrnMqiqQwzTeb9ctjg==" saltValue="zEfV/A2ABsfgNtvmAc1ImQ==" spinCount="100000" sheet="1" objects="1" scenarios="1"/>
  <customSheetViews>
    <customSheetView guid="{8bda793c-c9c5-4fc6-a0a5-f1109f6d4f22}" state="hidden" topLeftCell="A1">
      <pane xSplit="3" ySplit="4" topLeftCell="D127" activePane="bottomRight" state="frozen"/>
      <selection pane="bottomRight" activeCell="D14" sqref="D14"/>
      <pageMargins left="0.75" right="0.75" top="1" bottom="1" header="0.5" footer="0.5"/>
    </customSheetView>
  </customSheetViews>
  <dataValidations count="1">
    <dataValidation type="list" allowBlank="1" showInputMessage="1" showErrorMessage="1" sqref="D5:Y136">
      <formula1>'G-4 Temporal multipliers'!$A$4:$A$37</formula1>
    </dataValidation>
  </dataValidations>
  <pageMargins left="0.7" right="0.7" top="0.75" bottom="0.75" header="0.3" footer="0.3"/>
  <pageSetup horizontalDpi="90" verticalDpi="90" orientation="portrait" paperSize="9"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L19"/>
  <sheetViews>
    <sheetView zoomScale="80" zoomScaleNormal="80" workbookViewId="0" topLeftCell="A1">
      <pane xSplit="2" ySplit="2" topLeftCell="C3" activePane="bottomRight" state="frozen"/>
      <selection pane="topLeft" activeCell="A1" sqref="A1"/>
      <selection pane="bottomLeft" activeCell="A3" sqref="A3"/>
      <selection pane="topRight" activeCell="C1" sqref="C1"/>
      <selection pane="bottomRight" activeCell="A1" sqref="A1:B1"/>
    </sheetView>
  </sheetViews>
  <sheetFormatPr defaultColWidth="15.4542857142857" defaultRowHeight="14" zeroHeight="1"/>
  <cols>
    <col min="1" max="1" width="8.42857142857143" style="30" customWidth="1"/>
    <col min="2" max="2" width="66.4285714285714" style="30" bestFit="1" customWidth="1"/>
    <col min="3" max="4" width="17.4285714285714" style="30" customWidth="1"/>
    <col min="5" max="5" width="10.4285714285714" style="30" customWidth="1"/>
    <col min="6" max="6" width="9.57142857142857" style="30" hidden="1" customWidth="1"/>
    <col min="7" max="7" width="13.5714285714286" style="30" customWidth="1"/>
    <col min="8" max="8" width="10" style="30" hidden="1" customWidth="1"/>
    <col min="9" max="9" width="13.5714285714286" style="30" customWidth="1"/>
    <col min="10" max="10" width="8.42857142857143" style="30" hidden="1" customWidth="1"/>
    <col min="11" max="11" width="16.4285714285714" style="30" customWidth="1"/>
    <col min="12" max="12" width="7.57142857142857" style="30" hidden="1" customWidth="1"/>
    <col min="13" max="13" width="14.5714285714286" style="30" customWidth="1"/>
    <col min="14" max="15" width="10.5714285714286" style="30" hidden="1" customWidth="1"/>
    <col min="16" max="16" width="4.42857142857143" style="30" hidden="1" customWidth="1"/>
    <col min="17" max="17" width="14.4285714285714" style="131" customWidth="1"/>
    <col min="18" max="18" width="4.42857142857143" style="30" hidden="1" customWidth="1"/>
    <col min="19" max="19" width="8.42857142857143" style="382" customWidth="1"/>
    <col min="20" max="31" width="5.42857142857143" style="382" bestFit="1" customWidth="1"/>
    <col min="32" max="32" width="12.5714285714286" style="30" customWidth="1"/>
    <col min="33" max="33" width="15.5714285714286" style="30" customWidth="1"/>
    <col min="34" max="34" width="32.4285714285714" style="30" customWidth="1"/>
    <col min="35" max="35" width="8.57142857142857" style="30" customWidth="1"/>
    <col min="36" max="37" width="14" style="30" customWidth="1"/>
    <col min="38" max="38" width="8.57142857142857" style="30" customWidth="1"/>
    <col min="39" max="39" width="66.4285714285714" style="30" bestFit="1" customWidth="1"/>
    <col min="40" max="40" width="14.5714285714286" style="30" bestFit="1" customWidth="1"/>
    <col min="41" max="43" width="16.5714285714286" style="30" bestFit="1" customWidth="1"/>
    <col min="44" max="52" width="16.5714285714286" style="382" bestFit="1" customWidth="1"/>
    <col min="53" max="53" width="8.57142857142857" style="30" customWidth="1"/>
    <col min="54" max="55" width="8.57142857142857" style="30" hidden="1" customWidth="1"/>
    <col min="56" max="61" width="15.4285714285714" style="30" hidden="1" customWidth="1"/>
    <col min="62" max="62" width="15.4285714285714" style="118" hidden="1" customWidth="1"/>
    <col min="63" max="16382" width="0" style="30" hidden="1" customWidth="1"/>
    <col min="16383" max="16384" width="15.4285714285714" style="30"/>
  </cols>
  <sheetData>
    <row r="1" spans="1:64" ht="86.15" customHeight="1" thickBot="1">
      <c r="A1" s="1805"/>
      <c r="B1" s="1902"/>
      <c r="C1" s="1906" t="s">
        <v>312</v>
      </c>
      <c r="D1" s="1907"/>
      <c r="E1" s="1903" t="s">
        <v>1186</v>
      </c>
      <c r="F1" s="1904"/>
      <c r="G1" s="1904"/>
      <c r="H1" s="1904"/>
      <c r="I1" s="1905"/>
      <c r="J1" s="1903" t="s">
        <v>1187</v>
      </c>
      <c r="K1" s="1904"/>
      <c r="L1" s="1904"/>
      <c r="M1" s="1904"/>
      <c r="N1" s="1904"/>
      <c r="O1" s="1904"/>
      <c r="P1" s="1904"/>
      <c r="Q1" s="1904"/>
      <c r="R1" s="1905"/>
      <c r="S1" s="1903" t="s">
        <v>1188</v>
      </c>
      <c r="T1" s="1904"/>
      <c r="U1" s="1904"/>
      <c r="V1" s="1904"/>
      <c r="W1" s="1904"/>
      <c r="X1" s="1904"/>
      <c r="Y1" s="1904"/>
      <c r="Z1" s="1904"/>
      <c r="AA1" s="1904"/>
      <c r="AB1" s="1904"/>
      <c r="AC1" s="1904"/>
      <c r="AD1" s="1904"/>
      <c r="AE1" s="1905"/>
      <c r="AF1" s="1906" t="s">
        <v>435</v>
      </c>
      <c r="AG1" s="1907"/>
      <c r="AH1" s="1692" t="s">
        <v>628</v>
      </c>
      <c r="AJ1" s="1906" t="s">
        <v>407</v>
      </c>
      <c r="AK1" s="1907"/>
      <c r="AM1" s="117" t="s">
        <v>1189</v>
      </c>
      <c r="AN1" s="1910" t="s">
        <v>1190</v>
      </c>
      <c r="AO1" s="1910"/>
      <c r="AP1" s="1910"/>
      <c r="AQ1" s="1910"/>
      <c r="AR1" s="1910"/>
      <c r="AS1" s="1910"/>
      <c r="AT1" s="1910"/>
      <c r="AU1" s="1910"/>
      <c r="AV1" s="1910"/>
      <c r="AW1" s="1910"/>
      <c r="AX1" s="1910"/>
      <c r="AY1" s="1910"/>
      <c r="AZ1" s="1910"/>
      <c r="BK1" s="1908" t="s">
        <v>1191</v>
      </c>
      <c r="BL1" s="1909"/>
    </row>
    <row r="2" spans="2:64" ht="182.25" customHeight="1" thickBot="1">
      <c r="B2" s="119" t="s">
        <v>1053</v>
      </c>
      <c r="C2" s="116" t="s">
        <v>626</v>
      </c>
      <c r="D2" s="120" t="s">
        <v>627</v>
      </c>
      <c r="E2" s="116" t="s">
        <v>345</v>
      </c>
      <c r="F2" s="121"/>
      <c r="G2" s="121" t="s">
        <v>43</v>
      </c>
      <c r="H2" s="121"/>
      <c r="I2" s="120" t="s">
        <v>44</v>
      </c>
      <c r="J2" s="116"/>
      <c r="K2" s="121" t="s">
        <v>1176</v>
      </c>
      <c r="L2" s="121"/>
      <c r="M2" s="121" t="s">
        <v>1178</v>
      </c>
      <c r="N2" s="121"/>
      <c r="O2" s="121"/>
      <c r="P2" s="121"/>
      <c r="Q2" s="120" t="s">
        <v>1183</v>
      </c>
      <c r="R2" s="122"/>
      <c r="S2" s="784" t="s">
        <v>148</v>
      </c>
      <c r="T2" s="785" t="s">
        <v>149</v>
      </c>
      <c r="U2" s="785" t="s">
        <v>150</v>
      </c>
      <c r="V2" s="785" t="s">
        <v>151</v>
      </c>
      <c r="W2" s="785" t="s">
        <v>152</v>
      </c>
      <c r="X2" s="785" t="s">
        <v>153</v>
      </c>
      <c r="Y2" s="785" t="s">
        <v>154</v>
      </c>
      <c r="Z2" s="785" t="s">
        <v>155</v>
      </c>
      <c r="AA2" s="785" t="s">
        <v>156</v>
      </c>
      <c r="AB2" s="785" t="s">
        <v>157</v>
      </c>
      <c r="AC2" s="785" t="s">
        <v>158</v>
      </c>
      <c r="AD2" s="785" t="s">
        <v>1192</v>
      </c>
      <c r="AE2" s="785" t="s">
        <v>160</v>
      </c>
      <c r="AF2" s="116" t="s">
        <v>629</v>
      </c>
      <c r="AG2" s="120" t="s">
        <v>630</v>
      </c>
      <c r="AH2" s="1742"/>
      <c r="AJ2" s="116" t="s">
        <v>1193</v>
      </c>
      <c r="AK2" s="120" t="s">
        <v>1194</v>
      </c>
      <c r="AM2" s="123" t="s">
        <v>1195</v>
      </c>
      <c r="AN2" s="112" t="s">
        <v>148</v>
      </c>
      <c r="AO2" s="112" t="s">
        <v>149</v>
      </c>
      <c r="AP2" s="112" t="s">
        <v>150</v>
      </c>
      <c r="AQ2" s="112" t="s">
        <v>151</v>
      </c>
      <c r="AR2" s="112" t="s">
        <v>152</v>
      </c>
      <c r="AS2" s="112" t="s">
        <v>153</v>
      </c>
      <c r="AT2" s="112" t="s">
        <v>154</v>
      </c>
      <c r="AU2" s="112" t="s">
        <v>155</v>
      </c>
      <c r="AV2" s="112" t="s">
        <v>156</v>
      </c>
      <c r="AW2" s="112" t="s">
        <v>157</v>
      </c>
      <c r="AX2" s="112" t="s">
        <v>158</v>
      </c>
      <c r="AY2" s="112" t="s">
        <v>1192</v>
      </c>
      <c r="AZ2" s="112" t="s">
        <v>160</v>
      </c>
      <c r="BK2" s="63" t="s">
        <v>1196</v>
      </c>
      <c r="BL2" s="63" t="s">
        <v>1197</v>
      </c>
    </row>
    <row r="3" spans="1:64" ht="30.75" customHeight="1" thickBot="1">
      <c r="A3" s="124"/>
      <c r="B3" s="374" t="s">
        <v>148</v>
      </c>
      <c r="C3" s="346" t="s">
        <v>649</v>
      </c>
      <c r="D3" s="347">
        <v>8</v>
      </c>
      <c r="E3" s="348">
        <v>1</v>
      </c>
      <c r="F3" s="349"/>
      <c r="G3" s="349">
        <v>10</v>
      </c>
      <c r="H3" s="349"/>
      <c r="I3" s="347">
        <v>20</v>
      </c>
      <c r="J3" s="348"/>
      <c r="K3" s="349">
        <v>6</v>
      </c>
      <c r="L3" s="349"/>
      <c r="M3" s="349">
        <v>10</v>
      </c>
      <c r="N3" s="349"/>
      <c r="O3" s="349"/>
      <c r="P3" s="349"/>
      <c r="Q3" s="347">
        <v>4</v>
      </c>
      <c r="R3" s="350"/>
      <c r="S3" s="786" t="s">
        <v>1198</v>
      </c>
      <c r="T3" s="362" t="s">
        <v>1198</v>
      </c>
      <c r="U3" s="362" t="s">
        <v>1198</v>
      </c>
      <c r="V3" s="362" t="s">
        <v>1198</v>
      </c>
      <c r="W3" s="362" t="s">
        <v>1198</v>
      </c>
      <c r="X3" s="362" t="s">
        <v>1198</v>
      </c>
      <c r="Y3" s="362" t="s">
        <v>1198</v>
      </c>
      <c r="Z3" s="362" t="s">
        <v>1198</v>
      </c>
      <c r="AA3" s="362" t="s">
        <v>1198</v>
      </c>
      <c r="AB3" s="362" t="s">
        <v>1198</v>
      </c>
      <c r="AC3" s="362" t="s">
        <v>1198</v>
      </c>
      <c r="AD3" s="362" t="s">
        <v>1198</v>
      </c>
      <c r="AE3" s="787" t="s">
        <v>1198</v>
      </c>
      <c r="AF3" s="352" t="s">
        <v>197</v>
      </c>
      <c r="AG3" s="353" t="s">
        <v>197</v>
      </c>
      <c r="AH3" s="354" t="s">
        <v>1199</v>
      </c>
      <c r="AJ3" s="126" t="s">
        <v>44</v>
      </c>
      <c r="AK3" s="359">
        <v>3</v>
      </c>
      <c r="AM3" s="125" t="s">
        <v>148</v>
      </c>
      <c r="AN3" s="351" t="s">
        <v>1200</v>
      </c>
      <c r="AO3" s="362" t="s">
        <v>1201</v>
      </c>
      <c r="AP3" s="351" t="s">
        <v>1201</v>
      </c>
      <c r="AQ3" s="362" t="s">
        <v>1201</v>
      </c>
      <c r="AR3" s="362" t="s">
        <v>1201</v>
      </c>
      <c r="AS3" s="362" t="s">
        <v>1201</v>
      </c>
      <c r="AT3" s="362" t="s">
        <v>1201</v>
      </c>
      <c r="AU3" s="362" t="s">
        <v>1201</v>
      </c>
      <c r="AV3" s="362" t="s">
        <v>1201</v>
      </c>
      <c r="AW3" s="362" t="s">
        <v>1201</v>
      </c>
      <c r="AX3" s="362" t="s">
        <v>1201</v>
      </c>
      <c r="AY3" s="362" t="s">
        <v>1201</v>
      </c>
      <c r="AZ3" s="362" t="s">
        <v>1201</v>
      </c>
      <c r="BJ3" s="118" t="s">
        <v>1196</v>
      </c>
      <c r="BK3" s="127" t="s">
        <v>44</v>
      </c>
      <c r="BL3" s="127" t="s">
        <v>345</v>
      </c>
    </row>
    <row r="4" spans="1:63" ht="54.65" customHeight="1" thickBot="1">
      <c r="A4" s="124"/>
      <c r="B4" s="375" t="s">
        <v>149</v>
      </c>
      <c r="C4" s="311" t="s">
        <v>194</v>
      </c>
      <c r="D4" s="353">
        <v>6</v>
      </c>
      <c r="E4" s="352">
        <v>1</v>
      </c>
      <c r="F4" s="316"/>
      <c r="G4" s="316">
        <v>10</v>
      </c>
      <c r="H4" s="316"/>
      <c r="I4" s="353">
        <v>20</v>
      </c>
      <c r="J4" s="352"/>
      <c r="K4" s="316">
        <v>6</v>
      </c>
      <c r="L4" s="316"/>
      <c r="M4" s="316">
        <v>10</v>
      </c>
      <c r="N4" s="316"/>
      <c r="O4" s="316"/>
      <c r="P4" s="316"/>
      <c r="Q4" s="353">
        <v>4</v>
      </c>
      <c r="R4" s="355"/>
      <c r="S4" s="352">
        <v>5</v>
      </c>
      <c r="T4" s="362" t="s">
        <v>1198</v>
      </c>
      <c r="U4" s="362" t="s">
        <v>1198</v>
      </c>
      <c r="V4" s="362" t="s">
        <v>1198</v>
      </c>
      <c r="W4" s="362" t="s">
        <v>1198</v>
      </c>
      <c r="X4" s="362" t="s">
        <v>1198</v>
      </c>
      <c r="Y4" s="362" t="s">
        <v>1198</v>
      </c>
      <c r="Z4" s="362" t="s">
        <v>1198</v>
      </c>
      <c r="AA4" s="362" t="s">
        <v>1198</v>
      </c>
      <c r="AB4" s="362" t="s">
        <v>1198</v>
      </c>
      <c r="AC4" s="362" t="s">
        <v>1198</v>
      </c>
      <c r="AD4" s="362" t="s">
        <v>1198</v>
      </c>
      <c r="AE4" s="787" t="s">
        <v>1198</v>
      </c>
      <c r="AF4" s="352" t="s">
        <v>197</v>
      </c>
      <c r="AG4" s="353" t="s">
        <v>197</v>
      </c>
      <c r="AH4" s="356" t="s">
        <v>226</v>
      </c>
      <c r="AJ4" s="61" t="s">
        <v>43</v>
      </c>
      <c r="AK4" s="360">
        <v>2</v>
      </c>
      <c r="AM4" s="125" t="s">
        <v>149</v>
      </c>
      <c r="AN4" s="295" t="s">
        <v>1202</v>
      </c>
      <c r="AO4" s="362" t="s">
        <v>1203</v>
      </c>
      <c r="AP4" s="295" t="s">
        <v>1204</v>
      </c>
      <c r="AQ4" s="295" t="s">
        <v>1204</v>
      </c>
      <c r="AR4" s="362" t="s">
        <v>1201</v>
      </c>
      <c r="AS4" s="362" t="s">
        <v>1201</v>
      </c>
      <c r="AT4" s="362" t="s">
        <v>1201</v>
      </c>
      <c r="AU4" s="362" t="s">
        <v>1201</v>
      </c>
      <c r="AV4" s="362" t="s">
        <v>1201</v>
      </c>
      <c r="AW4" s="362" t="s">
        <v>1201</v>
      </c>
      <c r="AX4" s="362" t="s">
        <v>1201</v>
      </c>
      <c r="AY4" s="362" t="s">
        <v>1201</v>
      </c>
      <c r="AZ4" s="362" t="s">
        <v>1201</v>
      </c>
      <c r="BJ4" s="118" t="s">
        <v>1196</v>
      </c>
      <c r="BK4" s="127" t="s">
        <v>43</v>
      </c>
    </row>
    <row r="5" spans="1:63" ht="51.65" customHeight="1" thickBot="1">
      <c r="A5" s="124"/>
      <c r="B5" s="375" t="s">
        <v>150</v>
      </c>
      <c r="C5" s="311" t="s">
        <v>194</v>
      </c>
      <c r="D5" s="353">
        <v>6</v>
      </c>
      <c r="E5" s="352">
        <v>1</v>
      </c>
      <c r="F5" s="316"/>
      <c r="G5" s="316">
        <v>5</v>
      </c>
      <c r="H5" s="316"/>
      <c r="I5" s="353">
        <v>12</v>
      </c>
      <c r="J5" s="352"/>
      <c r="K5" s="316">
        <v>3</v>
      </c>
      <c r="L5" s="316"/>
      <c r="M5" s="316">
        <v>5</v>
      </c>
      <c r="N5" s="316"/>
      <c r="O5" s="316"/>
      <c r="P5" s="316"/>
      <c r="Q5" s="353">
        <v>2</v>
      </c>
      <c r="R5" s="355"/>
      <c r="S5" s="352">
        <v>10</v>
      </c>
      <c r="T5" s="362" t="s">
        <v>1198</v>
      </c>
      <c r="U5" s="362" t="s">
        <v>1198</v>
      </c>
      <c r="V5" s="362" t="s">
        <v>1198</v>
      </c>
      <c r="W5" s="362" t="s">
        <v>1198</v>
      </c>
      <c r="X5" s="362" t="s">
        <v>1198</v>
      </c>
      <c r="Y5" s="362" t="s">
        <v>1198</v>
      </c>
      <c r="Z5" s="362" t="s">
        <v>1198</v>
      </c>
      <c r="AA5" s="362" t="s">
        <v>1198</v>
      </c>
      <c r="AB5" s="362" t="s">
        <v>1198</v>
      </c>
      <c r="AC5" s="362" t="s">
        <v>1198</v>
      </c>
      <c r="AD5" s="362" t="s">
        <v>1198</v>
      </c>
      <c r="AE5" s="787" t="s">
        <v>1198</v>
      </c>
      <c r="AF5" s="352" t="s">
        <v>197</v>
      </c>
      <c r="AG5" s="353" t="s">
        <v>197</v>
      </c>
      <c r="AH5" s="356" t="s">
        <v>226</v>
      </c>
      <c r="AJ5" s="63" t="s">
        <v>345</v>
      </c>
      <c r="AK5" s="361">
        <v>1</v>
      </c>
      <c r="AM5" s="125" t="s">
        <v>150</v>
      </c>
      <c r="AN5" s="351" t="s">
        <v>1202</v>
      </c>
      <c r="AO5" s="295" t="s">
        <v>1204</v>
      </c>
      <c r="AP5" s="295" t="s">
        <v>1203</v>
      </c>
      <c r="AQ5" s="295" t="s">
        <v>1204</v>
      </c>
      <c r="AR5" s="362" t="s">
        <v>1201</v>
      </c>
      <c r="AS5" s="362" t="s">
        <v>1201</v>
      </c>
      <c r="AT5" s="362" t="s">
        <v>1201</v>
      </c>
      <c r="AU5" s="362" t="s">
        <v>1201</v>
      </c>
      <c r="AV5" s="362" t="s">
        <v>1201</v>
      </c>
      <c r="AW5" s="362" t="s">
        <v>1201</v>
      </c>
      <c r="AX5" s="362" t="s">
        <v>1201</v>
      </c>
      <c r="AY5" s="362" t="s">
        <v>1201</v>
      </c>
      <c r="AZ5" s="362" t="s">
        <v>1201</v>
      </c>
      <c r="BJ5" s="118" t="s">
        <v>1196</v>
      </c>
      <c r="BK5" s="127" t="s">
        <v>345</v>
      </c>
    </row>
    <row r="6" spans="1:62" ht="55.5" customHeight="1" thickBot="1">
      <c r="A6" s="124"/>
      <c r="B6" s="375" t="s">
        <v>151</v>
      </c>
      <c r="C6" s="311" t="s">
        <v>194</v>
      </c>
      <c r="D6" s="353">
        <v>6</v>
      </c>
      <c r="E6" s="352">
        <v>1</v>
      </c>
      <c r="F6" s="316"/>
      <c r="G6" s="316">
        <v>10</v>
      </c>
      <c r="H6" s="316"/>
      <c r="I6" s="353">
        <v>20</v>
      </c>
      <c r="J6" s="352"/>
      <c r="K6" s="316">
        <v>6</v>
      </c>
      <c r="L6" s="316"/>
      <c r="M6" s="316">
        <v>10</v>
      </c>
      <c r="N6" s="316"/>
      <c r="O6" s="316"/>
      <c r="P6" s="316"/>
      <c r="Q6" s="353">
        <v>4</v>
      </c>
      <c r="R6" s="355"/>
      <c r="S6" s="352">
        <v>5</v>
      </c>
      <c r="T6" s="362" t="s">
        <v>1198</v>
      </c>
      <c r="U6" s="362" t="s">
        <v>1198</v>
      </c>
      <c r="V6" s="362" t="s">
        <v>1198</v>
      </c>
      <c r="W6" s="362" t="s">
        <v>1198</v>
      </c>
      <c r="X6" s="362" t="s">
        <v>1198</v>
      </c>
      <c r="Y6" s="362" t="s">
        <v>1198</v>
      </c>
      <c r="Z6" s="362" t="s">
        <v>1198</v>
      </c>
      <c r="AA6" s="362" t="s">
        <v>1198</v>
      </c>
      <c r="AB6" s="362" t="s">
        <v>1198</v>
      </c>
      <c r="AC6" s="362" t="s">
        <v>1198</v>
      </c>
      <c r="AD6" s="362" t="s">
        <v>1198</v>
      </c>
      <c r="AE6" s="787" t="s">
        <v>1198</v>
      </c>
      <c r="AF6" s="352" t="s">
        <v>197</v>
      </c>
      <c r="AG6" s="353" t="s">
        <v>197</v>
      </c>
      <c r="AH6" s="356" t="s">
        <v>226</v>
      </c>
      <c r="AM6" s="125" t="s">
        <v>151</v>
      </c>
      <c r="AN6" s="295" t="s">
        <v>1202</v>
      </c>
      <c r="AO6" s="295" t="s">
        <v>1204</v>
      </c>
      <c r="AP6" s="295" t="s">
        <v>1204</v>
      </c>
      <c r="AQ6" s="362" t="s">
        <v>1203</v>
      </c>
      <c r="AR6" s="362" t="s">
        <v>1201</v>
      </c>
      <c r="AS6" s="362" t="s">
        <v>1201</v>
      </c>
      <c r="AT6" s="362" t="s">
        <v>1201</v>
      </c>
      <c r="AU6" s="362" t="s">
        <v>1201</v>
      </c>
      <c r="AV6" s="362" t="s">
        <v>1201</v>
      </c>
      <c r="AW6" s="362" t="s">
        <v>1201</v>
      </c>
      <c r="AX6" s="362" t="s">
        <v>1201</v>
      </c>
      <c r="AY6" s="362" t="s">
        <v>1201</v>
      </c>
      <c r="AZ6" s="362" t="s">
        <v>1201</v>
      </c>
      <c r="BJ6" s="118" t="s">
        <v>1196</v>
      </c>
    </row>
    <row r="7" spans="1:62" ht="42.5" thickBot="1">
      <c r="A7" s="124"/>
      <c r="B7" s="375" t="s">
        <v>152</v>
      </c>
      <c r="C7" s="311" t="s">
        <v>46</v>
      </c>
      <c r="D7" s="353">
        <v>4</v>
      </c>
      <c r="E7" s="352">
        <v>1</v>
      </c>
      <c r="F7" s="316"/>
      <c r="G7" s="316">
        <v>5</v>
      </c>
      <c r="H7" s="316"/>
      <c r="I7" s="353">
        <v>12</v>
      </c>
      <c r="J7" s="352"/>
      <c r="K7" s="316">
        <v>3</v>
      </c>
      <c r="L7" s="316"/>
      <c r="M7" s="316">
        <v>5</v>
      </c>
      <c r="N7" s="316"/>
      <c r="O7" s="316"/>
      <c r="P7" s="316"/>
      <c r="Q7" s="353">
        <v>2</v>
      </c>
      <c r="R7" s="355"/>
      <c r="S7" s="352">
        <v>10</v>
      </c>
      <c r="T7" s="316">
        <v>10</v>
      </c>
      <c r="U7" s="316">
        <v>5</v>
      </c>
      <c r="V7" s="362" t="s">
        <v>1198</v>
      </c>
      <c r="W7" s="362" t="s">
        <v>1198</v>
      </c>
      <c r="X7" s="362" t="s">
        <v>1198</v>
      </c>
      <c r="Y7" s="362" t="s">
        <v>1198</v>
      </c>
      <c r="Z7" s="362" t="s">
        <v>1198</v>
      </c>
      <c r="AA7" s="362" t="s">
        <v>1198</v>
      </c>
      <c r="AB7" s="362" t="s">
        <v>1198</v>
      </c>
      <c r="AC7" s="362" t="s">
        <v>1198</v>
      </c>
      <c r="AD7" s="362" t="s">
        <v>1198</v>
      </c>
      <c r="AE7" s="787" t="s">
        <v>1198</v>
      </c>
      <c r="AF7" s="352" t="s">
        <v>197</v>
      </c>
      <c r="AG7" s="353" t="s">
        <v>197</v>
      </c>
      <c r="AH7" s="356" t="s">
        <v>1205</v>
      </c>
      <c r="AM7" s="125" t="s">
        <v>152</v>
      </c>
      <c r="AN7" s="362" t="s">
        <v>1206</v>
      </c>
      <c r="AO7" s="295" t="s">
        <v>1207</v>
      </c>
      <c r="AP7" s="295" t="s">
        <v>1207</v>
      </c>
      <c r="AQ7" s="295" t="s">
        <v>1204</v>
      </c>
      <c r="AR7" s="295" t="s">
        <v>1208</v>
      </c>
      <c r="AS7" s="295" t="s">
        <v>1204</v>
      </c>
      <c r="AT7" s="295" t="s">
        <v>1204</v>
      </c>
      <c r="AU7" s="295" t="s">
        <v>1204</v>
      </c>
      <c r="AV7" s="295" t="s">
        <v>1204</v>
      </c>
      <c r="AW7" s="362" t="s">
        <v>1201</v>
      </c>
      <c r="AX7" s="362" t="s">
        <v>1201</v>
      </c>
      <c r="AY7" s="362" t="s">
        <v>1201</v>
      </c>
      <c r="AZ7" s="362" t="s">
        <v>1201</v>
      </c>
      <c r="BJ7" s="118" t="s">
        <v>1196</v>
      </c>
    </row>
    <row r="8" spans="1:62" ht="42.5" thickBot="1">
      <c r="A8" s="124"/>
      <c r="B8" s="375" t="s">
        <v>153</v>
      </c>
      <c r="C8" s="311" t="s">
        <v>46</v>
      </c>
      <c r="D8" s="353">
        <v>4</v>
      </c>
      <c r="E8" s="352">
        <v>1</v>
      </c>
      <c r="F8" s="316"/>
      <c r="G8" s="316">
        <v>5</v>
      </c>
      <c r="H8" s="316"/>
      <c r="I8" s="353">
        <v>12</v>
      </c>
      <c r="J8" s="352"/>
      <c r="K8" s="316">
        <v>3</v>
      </c>
      <c r="L8" s="316"/>
      <c r="M8" s="316">
        <v>5</v>
      </c>
      <c r="N8" s="316"/>
      <c r="O8" s="316"/>
      <c r="P8" s="316"/>
      <c r="Q8" s="353">
        <v>2</v>
      </c>
      <c r="R8" s="355"/>
      <c r="S8" s="352">
        <v>10</v>
      </c>
      <c r="T8" s="362" t="s">
        <v>1198</v>
      </c>
      <c r="U8" s="316">
        <v>5</v>
      </c>
      <c r="V8" s="316">
        <v>10</v>
      </c>
      <c r="W8" s="362" t="s">
        <v>1198</v>
      </c>
      <c r="X8" s="362" t="s">
        <v>1198</v>
      </c>
      <c r="Y8" s="362" t="s">
        <v>1198</v>
      </c>
      <c r="Z8" s="362" t="s">
        <v>1198</v>
      </c>
      <c r="AA8" s="362" t="s">
        <v>1198</v>
      </c>
      <c r="AB8" s="362" t="s">
        <v>1198</v>
      </c>
      <c r="AC8" s="362" t="s">
        <v>1198</v>
      </c>
      <c r="AD8" s="362" t="s">
        <v>1198</v>
      </c>
      <c r="AE8" s="787" t="s">
        <v>1198</v>
      </c>
      <c r="AF8" s="352" t="s">
        <v>197</v>
      </c>
      <c r="AG8" s="353" t="s">
        <v>197</v>
      </c>
      <c r="AH8" s="356" t="s">
        <v>1205</v>
      </c>
      <c r="AM8" s="125" t="s">
        <v>153</v>
      </c>
      <c r="AN8" s="362" t="s">
        <v>1206</v>
      </c>
      <c r="AO8" s="295" t="s">
        <v>1204</v>
      </c>
      <c r="AP8" s="295" t="s">
        <v>1207</v>
      </c>
      <c r="AQ8" s="295" t="s">
        <v>1207</v>
      </c>
      <c r="AR8" s="295" t="s">
        <v>1204</v>
      </c>
      <c r="AS8" s="295" t="s">
        <v>1208</v>
      </c>
      <c r="AT8" s="295" t="s">
        <v>1204</v>
      </c>
      <c r="AU8" s="295" t="s">
        <v>1204</v>
      </c>
      <c r="AV8" s="295" t="s">
        <v>1204</v>
      </c>
      <c r="AW8" s="362" t="s">
        <v>1201</v>
      </c>
      <c r="AX8" s="362" t="s">
        <v>1201</v>
      </c>
      <c r="AY8" s="362" t="s">
        <v>1201</v>
      </c>
      <c r="AZ8" s="362" t="s">
        <v>1201</v>
      </c>
      <c r="BJ8" s="118" t="s">
        <v>1196</v>
      </c>
    </row>
    <row r="9" spans="2:62" ht="48.65" customHeight="1" thickBot="1">
      <c r="B9" s="375" t="s">
        <v>154</v>
      </c>
      <c r="C9" s="311" t="s">
        <v>46</v>
      </c>
      <c r="D9" s="353">
        <v>4</v>
      </c>
      <c r="E9" s="352">
        <v>1</v>
      </c>
      <c r="F9" s="316"/>
      <c r="G9" s="316">
        <v>10</v>
      </c>
      <c r="H9" s="316"/>
      <c r="I9" s="353">
        <v>20</v>
      </c>
      <c r="J9" s="352"/>
      <c r="K9" s="316">
        <v>6</v>
      </c>
      <c r="L9" s="316"/>
      <c r="M9" s="316">
        <v>10</v>
      </c>
      <c r="N9" s="316"/>
      <c r="O9" s="316"/>
      <c r="P9" s="316"/>
      <c r="Q9" s="353">
        <v>4</v>
      </c>
      <c r="R9" s="355"/>
      <c r="S9" s="352">
        <v>5</v>
      </c>
      <c r="T9" s="316">
        <v>5</v>
      </c>
      <c r="U9" s="316">
        <v>5</v>
      </c>
      <c r="V9" s="316">
        <v>5</v>
      </c>
      <c r="W9" s="362" t="s">
        <v>1198</v>
      </c>
      <c r="X9" s="362" t="s">
        <v>1198</v>
      </c>
      <c r="Y9" s="362" t="s">
        <v>1198</v>
      </c>
      <c r="Z9" s="362" t="s">
        <v>1198</v>
      </c>
      <c r="AA9" s="362" t="s">
        <v>1198</v>
      </c>
      <c r="AB9" s="362" t="s">
        <v>1198</v>
      </c>
      <c r="AC9" s="362" t="s">
        <v>1198</v>
      </c>
      <c r="AD9" s="362" t="s">
        <v>1198</v>
      </c>
      <c r="AE9" s="787" t="s">
        <v>1198</v>
      </c>
      <c r="AF9" s="352" t="s">
        <v>197</v>
      </c>
      <c r="AG9" s="353" t="s">
        <v>197</v>
      </c>
      <c r="AH9" s="356" t="s">
        <v>1205</v>
      </c>
      <c r="AM9" s="125" t="s">
        <v>154</v>
      </c>
      <c r="AN9" s="362" t="s">
        <v>1206</v>
      </c>
      <c r="AO9" s="295" t="s">
        <v>1207</v>
      </c>
      <c r="AP9" s="295" t="s">
        <v>1207</v>
      </c>
      <c r="AQ9" s="295" t="s">
        <v>1207</v>
      </c>
      <c r="AR9" s="295" t="s">
        <v>1204</v>
      </c>
      <c r="AS9" s="295" t="s">
        <v>1204</v>
      </c>
      <c r="AT9" s="295" t="s">
        <v>1208</v>
      </c>
      <c r="AU9" s="295" t="s">
        <v>1204</v>
      </c>
      <c r="AV9" s="295" t="s">
        <v>1204</v>
      </c>
      <c r="AW9" s="362" t="s">
        <v>1201</v>
      </c>
      <c r="AX9" s="362" t="s">
        <v>1201</v>
      </c>
      <c r="AY9" s="362" t="s">
        <v>1201</v>
      </c>
      <c r="AZ9" s="362" t="s">
        <v>1201</v>
      </c>
      <c r="BJ9" s="118" t="s">
        <v>1196</v>
      </c>
    </row>
    <row r="10" spans="2:62" ht="42.5" thickBot="1">
      <c r="B10" s="375" t="s">
        <v>155</v>
      </c>
      <c r="C10" s="311" t="s">
        <v>46</v>
      </c>
      <c r="D10" s="353">
        <v>4</v>
      </c>
      <c r="E10" s="352">
        <v>5</v>
      </c>
      <c r="F10" s="316"/>
      <c r="G10" s="316">
        <v>20</v>
      </c>
      <c r="H10" s="316"/>
      <c r="I10" s="353" t="s">
        <v>1159</v>
      </c>
      <c r="J10" s="352"/>
      <c r="K10" s="316">
        <v>20</v>
      </c>
      <c r="L10" s="316"/>
      <c r="M10" s="316">
        <v>30</v>
      </c>
      <c r="N10" s="316"/>
      <c r="O10" s="316"/>
      <c r="P10" s="316"/>
      <c r="Q10" s="353">
        <v>10</v>
      </c>
      <c r="R10" s="355"/>
      <c r="S10" s="352">
        <v>12</v>
      </c>
      <c r="T10" s="316">
        <v>12</v>
      </c>
      <c r="U10" s="362" t="s">
        <v>1198</v>
      </c>
      <c r="V10" s="316">
        <v>12</v>
      </c>
      <c r="W10" s="362" t="s">
        <v>1198</v>
      </c>
      <c r="X10" s="362" t="s">
        <v>1198</v>
      </c>
      <c r="Y10" s="362" t="s">
        <v>1198</v>
      </c>
      <c r="Z10" s="362" t="s">
        <v>1198</v>
      </c>
      <c r="AA10" s="362" t="s">
        <v>1198</v>
      </c>
      <c r="AB10" s="362" t="s">
        <v>1198</v>
      </c>
      <c r="AC10" s="362" t="s">
        <v>1198</v>
      </c>
      <c r="AD10" s="362" t="s">
        <v>1198</v>
      </c>
      <c r="AE10" s="787" t="s">
        <v>1198</v>
      </c>
      <c r="AF10" s="352" t="s">
        <v>197</v>
      </c>
      <c r="AG10" s="353" t="s">
        <v>197</v>
      </c>
      <c r="AH10" s="356" t="s">
        <v>1205</v>
      </c>
      <c r="AM10" s="125" t="s">
        <v>155</v>
      </c>
      <c r="AN10" s="362" t="s">
        <v>1206</v>
      </c>
      <c r="AO10" s="295" t="s">
        <v>1207</v>
      </c>
      <c r="AP10" s="295" t="s">
        <v>1204</v>
      </c>
      <c r="AQ10" s="295" t="s">
        <v>1207</v>
      </c>
      <c r="AR10" s="295" t="s">
        <v>1204</v>
      </c>
      <c r="AS10" s="295" t="s">
        <v>1204</v>
      </c>
      <c r="AT10" s="295" t="s">
        <v>1204</v>
      </c>
      <c r="AU10" s="295" t="s">
        <v>1208</v>
      </c>
      <c r="AV10" s="295" t="s">
        <v>1208</v>
      </c>
      <c r="AW10" s="362" t="s">
        <v>1201</v>
      </c>
      <c r="AX10" s="362" t="s">
        <v>1201</v>
      </c>
      <c r="AY10" s="362" t="s">
        <v>1201</v>
      </c>
      <c r="AZ10" s="362" t="s">
        <v>1201</v>
      </c>
      <c r="BJ10" s="118" t="s">
        <v>1196</v>
      </c>
    </row>
    <row r="11" spans="2:62" ht="42.5" thickBot="1">
      <c r="B11" s="375" t="s">
        <v>156</v>
      </c>
      <c r="C11" s="311" t="s">
        <v>46</v>
      </c>
      <c r="D11" s="353">
        <v>4</v>
      </c>
      <c r="E11" s="352">
        <v>5</v>
      </c>
      <c r="F11" s="316"/>
      <c r="G11" s="316">
        <v>20</v>
      </c>
      <c r="H11" s="316"/>
      <c r="I11" s="353" t="s">
        <v>1159</v>
      </c>
      <c r="J11" s="352"/>
      <c r="K11" s="316">
        <v>20</v>
      </c>
      <c r="L11" s="316"/>
      <c r="M11" s="316">
        <v>30</v>
      </c>
      <c r="N11" s="316"/>
      <c r="O11" s="316"/>
      <c r="P11" s="316"/>
      <c r="Q11" s="353">
        <v>10</v>
      </c>
      <c r="R11" s="355"/>
      <c r="S11" s="352">
        <v>12</v>
      </c>
      <c r="T11" s="362" t="s">
        <v>1198</v>
      </c>
      <c r="U11" s="362" t="s">
        <v>1198</v>
      </c>
      <c r="V11" s="316">
        <v>12</v>
      </c>
      <c r="W11" s="362" t="s">
        <v>1198</v>
      </c>
      <c r="X11" s="362" t="s">
        <v>1198</v>
      </c>
      <c r="Y11" s="362" t="s">
        <v>1198</v>
      </c>
      <c r="Z11" s="362" t="s">
        <v>1198</v>
      </c>
      <c r="AA11" s="362" t="s">
        <v>1198</v>
      </c>
      <c r="AB11" s="362" t="s">
        <v>1198</v>
      </c>
      <c r="AC11" s="362" t="s">
        <v>1198</v>
      </c>
      <c r="AD11" s="362" t="s">
        <v>1198</v>
      </c>
      <c r="AE11" s="787" t="s">
        <v>1198</v>
      </c>
      <c r="AF11" s="352" t="s">
        <v>197</v>
      </c>
      <c r="AG11" s="353" t="s">
        <v>197</v>
      </c>
      <c r="AH11" s="356" t="s">
        <v>1205</v>
      </c>
      <c r="AM11" s="125" t="s">
        <v>156</v>
      </c>
      <c r="AN11" s="362" t="s">
        <v>1206</v>
      </c>
      <c r="AO11" s="295" t="s">
        <v>1204</v>
      </c>
      <c r="AP11" s="295" t="s">
        <v>1204</v>
      </c>
      <c r="AQ11" s="295" t="s">
        <v>1207</v>
      </c>
      <c r="AR11" s="295" t="s">
        <v>1204</v>
      </c>
      <c r="AS11" s="295" t="s">
        <v>1204</v>
      </c>
      <c r="AT11" s="295" t="s">
        <v>1204</v>
      </c>
      <c r="AU11" s="295" t="s">
        <v>1204</v>
      </c>
      <c r="AV11" s="295" t="s">
        <v>1208</v>
      </c>
      <c r="AW11" s="362" t="s">
        <v>1201</v>
      </c>
      <c r="AX11" s="362" t="s">
        <v>1201</v>
      </c>
      <c r="AY11" s="362" t="s">
        <v>1201</v>
      </c>
      <c r="AZ11" s="362" t="s">
        <v>1201</v>
      </c>
      <c r="BJ11" s="118" t="s">
        <v>1196</v>
      </c>
    </row>
    <row r="12" spans="2:62" ht="42.5" thickBot="1">
      <c r="B12" s="375" t="s">
        <v>157</v>
      </c>
      <c r="C12" s="311" t="s">
        <v>197</v>
      </c>
      <c r="D12" s="353">
        <v>2</v>
      </c>
      <c r="E12" s="352">
        <v>1</v>
      </c>
      <c r="F12" s="316"/>
      <c r="G12" s="316">
        <v>5</v>
      </c>
      <c r="H12" s="316"/>
      <c r="I12" s="353">
        <v>12</v>
      </c>
      <c r="J12" s="352"/>
      <c r="K12" s="316">
        <v>3</v>
      </c>
      <c r="L12" s="316"/>
      <c r="M12" s="316">
        <v>5</v>
      </c>
      <c r="N12" s="316"/>
      <c r="O12" s="316"/>
      <c r="P12" s="316"/>
      <c r="Q12" s="353">
        <v>2</v>
      </c>
      <c r="R12" s="355"/>
      <c r="S12" s="352">
        <v>10</v>
      </c>
      <c r="T12" s="316">
        <v>10</v>
      </c>
      <c r="U12" s="316">
        <v>5</v>
      </c>
      <c r="V12" s="316">
        <v>10</v>
      </c>
      <c r="W12" s="316">
        <v>5</v>
      </c>
      <c r="X12" s="316">
        <v>6</v>
      </c>
      <c r="Y12" s="316">
        <v>10</v>
      </c>
      <c r="Z12" s="362" t="s">
        <v>1198</v>
      </c>
      <c r="AA12" s="362" t="s">
        <v>1198</v>
      </c>
      <c r="AB12" s="362" t="s">
        <v>1198</v>
      </c>
      <c r="AC12" s="362" t="s">
        <v>1198</v>
      </c>
      <c r="AD12" s="362" t="s">
        <v>1198</v>
      </c>
      <c r="AE12" s="787" t="s">
        <v>1198</v>
      </c>
      <c r="AF12" s="352" t="s">
        <v>197</v>
      </c>
      <c r="AG12" s="353" t="s">
        <v>197</v>
      </c>
      <c r="AH12" s="356" t="s">
        <v>1205</v>
      </c>
      <c r="AM12" s="125" t="s">
        <v>157</v>
      </c>
      <c r="AN12" s="362" t="s">
        <v>1209</v>
      </c>
      <c r="AO12" s="362" t="s">
        <v>1210</v>
      </c>
      <c r="AP12" s="362" t="s">
        <v>1210</v>
      </c>
      <c r="AQ12" s="362" t="s">
        <v>1210</v>
      </c>
      <c r="AR12" s="362" t="s">
        <v>1211</v>
      </c>
      <c r="AS12" s="362" t="s">
        <v>1211</v>
      </c>
      <c r="AT12" s="362" t="s">
        <v>1211</v>
      </c>
      <c r="AU12" s="295" t="s">
        <v>1204</v>
      </c>
      <c r="AV12" s="295" t="s">
        <v>1204</v>
      </c>
      <c r="AW12" s="295" t="s">
        <v>1212</v>
      </c>
      <c r="AX12" s="295" t="s">
        <v>1204</v>
      </c>
      <c r="AY12" s="295" t="s">
        <v>1204</v>
      </c>
      <c r="AZ12" s="362" t="s">
        <v>1201</v>
      </c>
      <c r="BJ12" s="118" t="s">
        <v>1196</v>
      </c>
    </row>
    <row r="13" spans="2:62" ht="42.5" thickBot="1">
      <c r="B13" s="375" t="s">
        <v>158</v>
      </c>
      <c r="C13" s="311" t="s">
        <v>197</v>
      </c>
      <c r="D13" s="353">
        <v>2</v>
      </c>
      <c r="E13" s="352">
        <v>5</v>
      </c>
      <c r="F13" s="316"/>
      <c r="G13" s="316">
        <v>20</v>
      </c>
      <c r="H13" s="316"/>
      <c r="I13" s="353" t="s">
        <v>1159</v>
      </c>
      <c r="J13" s="352"/>
      <c r="K13" s="316">
        <v>20</v>
      </c>
      <c r="L13" s="316"/>
      <c r="M13" s="316">
        <v>30</v>
      </c>
      <c r="N13" s="316"/>
      <c r="O13" s="316"/>
      <c r="P13" s="316"/>
      <c r="Q13" s="353">
        <v>10</v>
      </c>
      <c r="R13" s="355"/>
      <c r="S13" s="352">
        <v>12</v>
      </c>
      <c r="T13" s="316">
        <v>12</v>
      </c>
      <c r="U13" s="362" t="s">
        <v>1198</v>
      </c>
      <c r="V13" s="316">
        <v>12</v>
      </c>
      <c r="W13" s="362" t="s">
        <v>1198</v>
      </c>
      <c r="X13" s="362" t="s">
        <v>1198</v>
      </c>
      <c r="Y13" s="316">
        <v>12</v>
      </c>
      <c r="Z13" s="362" t="s">
        <v>1198</v>
      </c>
      <c r="AA13" s="362" t="s">
        <v>1198</v>
      </c>
      <c r="AB13" s="362" t="s">
        <v>1198</v>
      </c>
      <c r="AC13" s="362" t="s">
        <v>1198</v>
      </c>
      <c r="AD13" s="362" t="s">
        <v>1198</v>
      </c>
      <c r="AE13" s="787" t="s">
        <v>1198</v>
      </c>
      <c r="AF13" s="352" t="s">
        <v>197</v>
      </c>
      <c r="AG13" s="353" t="s">
        <v>197</v>
      </c>
      <c r="AH13" s="356" t="s">
        <v>1205</v>
      </c>
      <c r="AM13" s="125" t="s">
        <v>158</v>
      </c>
      <c r="AN13" s="362" t="s">
        <v>1209</v>
      </c>
      <c r="AO13" s="362" t="s">
        <v>1210</v>
      </c>
      <c r="AP13" s="295" t="s">
        <v>1204</v>
      </c>
      <c r="AQ13" s="362" t="s">
        <v>1210</v>
      </c>
      <c r="AR13" s="295" t="s">
        <v>1204</v>
      </c>
      <c r="AS13" s="295" t="s">
        <v>1204</v>
      </c>
      <c r="AT13" s="362" t="s">
        <v>1211</v>
      </c>
      <c r="AU13" s="295" t="s">
        <v>1204</v>
      </c>
      <c r="AV13" s="295" t="s">
        <v>1204</v>
      </c>
      <c r="AW13" s="295" t="s">
        <v>1204</v>
      </c>
      <c r="AX13" s="295" t="s">
        <v>1212</v>
      </c>
      <c r="AY13" s="295" t="s">
        <v>1212</v>
      </c>
      <c r="AZ13" s="362" t="s">
        <v>1201</v>
      </c>
      <c r="BJ13" s="118" t="s">
        <v>1196</v>
      </c>
    </row>
    <row r="14" spans="2:62" ht="42.5" thickBot="1">
      <c r="B14" s="375" t="s">
        <v>1192</v>
      </c>
      <c r="C14" s="311" t="s">
        <v>197</v>
      </c>
      <c r="D14" s="353">
        <v>2</v>
      </c>
      <c r="E14" s="352">
        <v>5</v>
      </c>
      <c r="F14" s="316"/>
      <c r="G14" s="316">
        <v>20</v>
      </c>
      <c r="H14" s="316"/>
      <c r="I14" s="353" t="s">
        <v>1159</v>
      </c>
      <c r="J14" s="352"/>
      <c r="K14" s="316">
        <v>20</v>
      </c>
      <c r="L14" s="316"/>
      <c r="M14" s="316">
        <v>30</v>
      </c>
      <c r="N14" s="316"/>
      <c r="O14" s="316"/>
      <c r="P14" s="316"/>
      <c r="Q14" s="353">
        <v>10</v>
      </c>
      <c r="R14" s="355"/>
      <c r="S14" s="352">
        <v>12</v>
      </c>
      <c r="T14" s="362" t="s">
        <v>1198</v>
      </c>
      <c r="U14" s="362" t="s">
        <v>1198</v>
      </c>
      <c r="V14" s="316">
        <v>12</v>
      </c>
      <c r="W14" s="362" t="s">
        <v>1198</v>
      </c>
      <c r="X14" s="362" t="s">
        <v>1198</v>
      </c>
      <c r="Y14" s="316">
        <v>12</v>
      </c>
      <c r="Z14" s="362" t="s">
        <v>1198</v>
      </c>
      <c r="AA14" s="362" t="s">
        <v>1198</v>
      </c>
      <c r="AB14" s="362" t="s">
        <v>1198</v>
      </c>
      <c r="AC14" s="362" t="s">
        <v>1198</v>
      </c>
      <c r="AD14" s="362" t="s">
        <v>1198</v>
      </c>
      <c r="AE14" s="787" t="s">
        <v>1198</v>
      </c>
      <c r="AF14" s="352" t="s">
        <v>197</v>
      </c>
      <c r="AG14" s="353" t="s">
        <v>197</v>
      </c>
      <c r="AH14" s="356" t="s">
        <v>1205</v>
      </c>
      <c r="AM14" s="125" t="s">
        <v>1192</v>
      </c>
      <c r="AN14" s="362" t="s">
        <v>1209</v>
      </c>
      <c r="AO14" s="295" t="s">
        <v>1204</v>
      </c>
      <c r="AP14" s="295" t="s">
        <v>1204</v>
      </c>
      <c r="AQ14" s="362" t="s">
        <v>1210</v>
      </c>
      <c r="AR14" s="295" t="s">
        <v>1204</v>
      </c>
      <c r="AS14" s="295" t="s">
        <v>1204</v>
      </c>
      <c r="AT14" s="295" t="s">
        <v>1204</v>
      </c>
      <c r="AU14" s="295" t="s">
        <v>1204</v>
      </c>
      <c r="AV14" s="295" t="s">
        <v>1204</v>
      </c>
      <c r="AW14" s="295" t="s">
        <v>1204</v>
      </c>
      <c r="AX14" s="295" t="s">
        <v>1204</v>
      </c>
      <c r="AY14" s="295" t="s">
        <v>1212</v>
      </c>
      <c r="AZ14" s="362" t="s">
        <v>1201</v>
      </c>
      <c r="BJ14" s="118" t="s">
        <v>1196</v>
      </c>
    </row>
    <row r="15" spans="2:62" ht="42.5" thickBot="1">
      <c r="B15" s="376" t="s">
        <v>160</v>
      </c>
      <c r="C15" s="277" t="s">
        <v>666</v>
      </c>
      <c r="D15" s="345">
        <v>1</v>
      </c>
      <c r="E15" s="357">
        <v>1</v>
      </c>
      <c r="F15" s="301"/>
      <c r="G15" s="301" t="s">
        <v>1213</v>
      </c>
      <c r="H15" s="301"/>
      <c r="I15" s="345" t="s">
        <v>1213</v>
      </c>
      <c r="J15" s="357"/>
      <c r="K15" s="301" t="s">
        <v>1213</v>
      </c>
      <c r="L15" s="301"/>
      <c r="M15" s="301" t="s">
        <v>1213</v>
      </c>
      <c r="N15" s="301"/>
      <c r="O15" s="301"/>
      <c r="P15" s="301"/>
      <c r="Q15" s="345" t="s">
        <v>1213</v>
      </c>
      <c r="R15" s="358"/>
      <c r="S15" s="788" t="s">
        <v>1198</v>
      </c>
      <c r="T15" s="789" t="s">
        <v>1198</v>
      </c>
      <c r="U15" s="789" t="s">
        <v>1198</v>
      </c>
      <c r="V15" s="789" t="s">
        <v>1198</v>
      </c>
      <c r="W15" s="789" t="s">
        <v>1198</v>
      </c>
      <c r="X15" s="789" t="s">
        <v>1198</v>
      </c>
      <c r="Y15" s="789" t="s">
        <v>1198</v>
      </c>
      <c r="Z15" s="789" t="s">
        <v>1198</v>
      </c>
      <c r="AA15" s="789" t="s">
        <v>1198</v>
      </c>
      <c r="AB15" s="789" t="s">
        <v>1198</v>
      </c>
      <c r="AC15" s="789" t="s">
        <v>1198</v>
      </c>
      <c r="AD15" s="789" t="s">
        <v>1198</v>
      </c>
      <c r="AE15" s="790" t="s">
        <v>1198</v>
      </c>
      <c r="AF15" s="357" t="s">
        <v>197</v>
      </c>
      <c r="AG15" s="345" t="s">
        <v>197</v>
      </c>
      <c r="AH15" s="337" t="s">
        <v>1205</v>
      </c>
      <c r="AM15" s="125" t="s">
        <v>160</v>
      </c>
      <c r="AN15" s="295" t="s">
        <v>1204</v>
      </c>
      <c r="AO15" s="295" t="s">
        <v>1204</v>
      </c>
      <c r="AP15" s="295" t="s">
        <v>1204</v>
      </c>
      <c r="AQ15" s="295" t="s">
        <v>1204</v>
      </c>
      <c r="AR15" s="295" t="s">
        <v>1204</v>
      </c>
      <c r="AS15" s="295" t="s">
        <v>1204</v>
      </c>
      <c r="AT15" s="295" t="s">
        <v>1204</v>
      </c>
      <c r="AU15" s="295" t="s">
        <v>1204</v>
      </c>
      <c r="AV15" s="295" t="s">
        <v>1204</v>
      </c>
      <c r="AW15" s="295" t="s">
        <v>1204</v>
      </c>
      <c r="AX15" s="295" t="s">
        <v>1204</v>
      </c>
      <c r="AY15" s="295" t="s">
        <v>1204</v>
      </c>
      <c r="AZ15" s="295" t="s">
        <v>1214</v>
      </c>
      <c r="BJ15" s="118" t="s">
        <v>1197</v>
      </c>
    </row>
    <row r="16" spans="17:17" ht="14">
      <c r="Q16" s="34"/>
    </row>
    <row r="17" spans="17:17" ht="14">
      <c r="Q17" s="30"/>
    </row>
    <row r="18" spans="17:17" ht="14">
      <c r="Q18" s="30"/>
    </row>
    <row r="19" spans="17:17" ht="14">
      <c r="Q19" s="30"/>
    </row>
    <row r="20" ht="184.5" customHeight="1" hidden="1"/>
  </sheetData>
  <sheetProtection algorithmName="SHA-512" hashValue="Qp5hKeZJ/x9oKTCXquwZlyFDW/ZH96HBV47l1ziwAJdaPzDYySkqCuSLotuxSafW6D/+qjnGLW09CLjuWqHunA==" saltValue="++Hxs2B/AFTwL4309sMS1A==" spinCount="100000" sheet="1" objects="1" scenarios="1"/>
  <customSheetViews>
    <customSheetView guid="{8bda793c-c9c5-4fc6-a0a5-f1109f6d4f22}" scale="110" state="hidden" topLeftCell="A1">
      <pane xSplit="2" ySplit="2" topLeftCell="S15" activePane="bottomRight" state="frozen"/>
      <selection pane="bottomRight" activeCell="D14" sqref="D14"/>
      <pageMargins left="0.75" right="0.75" top="1" bottom="1" header="0.5" footer="0.5"/>
    </customSheetView>
  </customSheetViews>
  <mergeCells count="10">
    <mergeCell ref="BK1:BL1"/>
    <mergeCell ref="AF1:AG1"/>
    <mergeCell ref="AH1:AH2"/>
    <mergeCell ref="AJ1:AK1"/>
    <mergeCell ref="AN1:AZ1"/>
    <mergeCell ref="A1:B1"/>
    <mergeCell ref="E1:I1"/>
    <mergeCell ref="C1:D1"/>
    <mergeCell ref="J1:R1"/>
    <mergeCell ref="S1:AE1"/>
  </mergeCells>
  <dataValidations count="3">
    <dataValidation type="list" allowBlank="1" showInputMessage="1" showErrorMessage="1" sqref="R3:R15">
      <formula1>$AR$16:$AR$43</formula1>
    </dataValidation>
    <dataValidation type="list" allowBlank="1" showInputMessage="1" showErrorMessage="1" sqref="AF3:AG15">
      <formula1>#REF!</formula1>
    </dataValidation>
    <dataValidation type="list" allowBlank="1" showInputMessage="1" showErrorMessage="1" sqref="C3:C15">
      <formula1>#REF!</formula1>
    </dataValidation>
  </dataValidations>
  <pageMargins left="0.7" right="0.7" top="0.75" bottom="0.75" header="0.3" footer="0.3"/>
  <pageSetup horizontalDpi="90" verticalDpi="90" orientation="portrait" paperSize="9"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C17"/>
  <sheetViews>
    <sheetView zoomScale="80" zoomScaleNormal="80" workbookViewId="0" topLeftCell="A1">
      <selection pane="topLeft" activeCell="A1" sqref="A1:B2"/>
    </sheetView>
  </sheetViews>
  <sheetFormatPr defaultColWidth="12.4542857142857" defaultRowHeight="14" zeroHeight="1" outlineLevelCol="1"/>
  <cols>
    <col min="1" max="1" width="9.42857142857143" style="30" customWidth="1"/>
    <col min="2" max="2" width="37.4285714285714" style="30" customWidth="1"/>
    <col min="3" max="4" width="17.5714285714286" style="30" customWidth="1"/>
    <col min="5" max="5" width="14.5714285714286" style="30" customWidth="1"/>
    <col min="6" max="6" width="15.5714285714286" style="30" customWidth="1"/>
    <col min="7" max="7" width="14.4285714285714" style="30" customWidth="1"/>
    <col min="8" max="8" width="13.5714285714286" style="30" customWidth="1"/>
    <col min="9" max="9" width="13.4285714285714" style="30" customWidth="1"/>
    <col min="10" max="10" width="13" style="30" customWidth="1"/>
    <col min="11" max="11" width="13.4285714285714" style="30" customWidth="1"/>
    <col min="12" max="12" width="11.5714285714286" style="30" customWidth="1"/>
    <col min="13" max="13" width="18.5714285714286" style="30" hidden="1" customWidth="1"/>
    <col min="14" max="14" width="14.4285714285714" style="30" customWidth="1"/>
    <col min="15" max="15" width="8.57142857142857" style="30" customWidth="1"/>
    <col min="16" max="16" width="10.5714285714286" style="30" customWidth="1"/>
    <col min="17" max="17" width="19" style="30" customWidth="1"/>
    <col min="18" max="18" width="16" style="30" customWidth="1"/>
    <col min="19" max="19" width="14.4285714285714" style="30" customWidth="1"/>
    <col min="20" max="22" width="15.5714285714286" style="30" customWidth="1"/>
    <col min="23" max="26" width="10.5714285714286" style="30" customWidth="1"/>
    <col min="27" max="27" width="18.5714285714286" style="30" bestFit="1" customWidth="1"/>
    <col min="28" max="28" width="13.4285714285714" style="30" customWidth="1"/>
    <col min="29" max="29" width="9.42857142857143" style="30" customWidth="1"/>
    <col min="30" max="30" width="18" style="30" customWidth="1"/>
    <col min="31" max="31" width="12.4285714285714" style="30" customWidth="1"/>
    <col min="32" max="32" width="9.42857142857143" style="30" customWidth="1"/>
    <col min="33" max="33" width="59.5714285714286" style="30" customWidth="1"/>
    <col min="34" max="34" width="24.5714285714286" style="30" customWidth="1"/>
    <col min="35" max="35" width="18.5714285714286" style="30" customWidth="1"/>
    <col min="36" max="36" width="9.42857142857143" style="30" customWidth="1"/>
    <col min="37" max="37" width="46.5714285714286" style="30" bestFit="1" customWidth="1"/>
    <col min="38" max="38" width="24.4285714285714" style="30" customWidth="1"/>
    <col min="39" max="39" width="13.5714285714286" style="30" customWidth="1"/>
    <col min="40" max="40" width="9.42857142857143" style="30" customWidth="1"/>
    <col min="41" max="41" width="28.4285714285714" style="30" customWidth="1"/>
    <col min="42" max="42" width="13" style="30" customWidth="1"/>
    <col min="43" max="44" width="9.42857142857143" style="30" customWidth="1"/>
    <col min="45" max="45" width="27.5714285714286" style="30" customWidth="1"/>
    <col min="46" max="46" width="25" style="30" customWidth="1"/>
    <col min="47" max="47" width="31.4285714285714" style="30" customWidth="1"/>
    <col min="48" max="48" width="12.4285714285714" style="30" customWidth="1"/>
    <col min="49" max="102" width="12.4285714285714" style="30" hidden="1" customWidth="1" outlineLevel="1"/>
    <col min="103" max="103" width="12.4285714285714" style="30" hidden="1" customWidth="1" outlineLevel="1" collapsed="1"/>
    <col min="104" max="104" width="0" style="30" hidden="1" customWidth="1" collapsed="1"/>
    <col min="105" max="16381" width="0" style="30" hidden="1" customWidth="1"/>
    <col min="16382" max="16384" width="12.4285714285714" style="30"/>
  </cols>
  <sheetData>
    <row r="1" spans="1:2" ht="14.5" thickBot="1">
      <c r="A1" s="1805"/>
      <c r="B1" s="1805"/>
    </row>
    <row r="2" spans="1:55" ht="31.5" customHeight="1" thickBot="1">
      <c r="A2" s="1805"/>
      <c r="B2" s="1805"/>
      <c r="C2" s="1913" t="s">
        <v>312</v>
      </c>
      <c r="D2" s="1914"/>
      <c r="E2" s="1903" t="s">
        <v>435</v>
      </c>
      <c r="F2" s="1904"/>
      <c r="G2" s="1904"/>
      <c r="H2" s="1903" t="s">
        <v>407</v>
      </c>
      <c r="I2" s="1904"/>
      <c r="J2" s="1904"/>
      <c r="K2" s="1904"/>
      <c r="L2" s="1905"/>
      <c r="M2" s="1606" t="s">
        <v>326</v>
      </c>
      <c r="N2" s="1915" t="s">
        <v>1215</v>
      </c>
      <c r="O2" s="1916"/>
      <c r="Q2" s="1911" t="s">
        <v>1216</v>
      </c>
      <c r="R2" s="1912"/>
      <c r="T2" s="1725" t="s">
        <v>1217</v>
      </c>
      <c r="U2" s="1436"/>
      <c r="V2" s="1436"/>
      <c r="W2" s="1436"/>
      <c r="X2" s="1436"/>
      <c r="Y2" s="1437"/>
      <c r="AA2" s="1918" t="s">
        <v>1218</v>
      </c>
      <c r="AB2" s="1919"/>
      <c r="AC2" s="89"/>
      <c r="AD2" s="1918" t="s">
        <v>1218</v>
      </c>
      <c r="AE2" s="1919"/>
      <c r="AG2" s="1918" t="s">
        <v>1219</v>
      </c>
      <c r="AH2" s="1920"/>
      <c r="AI2" s="1919"/>
      <c r="AK2" s="1918" t="s">
        <v>1219</v>
      </c>
      <c r="AL2" s="1920"/>
      <c r="AM2" s="1919"/>
      <c r="AO2" s="1728" t="s">
        <v>1219</v>
      </c>
      <c r="AP2" s="1730"/>
      <c r="AQ2" s="389"/>
      <c r="AS2" s="1725" t="s">
        <v>613</v>
      </c>
      <c r="AT2" s="1436"/>
      <c r="AU2" s="1429"/>
      <c r="AY2" s="189"/>
      <c r="AZ2" s="190" t="s">
        <v>322</v>
      </c>
      <c r="BB2" s="189" t="s">
        <v>1220</v>
      </c>
      <c r="BC2" s="190" t="s">
        <v>1221</v>
      </c>
    </row>
    <row r="3" spans="2:55" ht="42.5" thickBot="1">
      <c r="B3" s="119" t="s">
        <v>1053</v>
      </c>
      <c r="C3" s="116" t="s">
        <v>626</v>
      </c>
      <c r="D3" s="121" t="s">
        <v>627</v>
      </c>
      <c r="E3" s="949" t="s">
        <v>629</v>
      </c>
      <c r="F3" s="121" t="s">
        <v>630</v>
      </c>
      <c r="G3" s="949" t="s">
        <v>628</v>
      </c>
      <c r="H3" s="949" t="s">
        <v>44</v>
      </c>
      <c r="I3" s="121" t="s">
        <v>653</v>
      </c>
      <c r="J3" s="121" t="s">
        <v>43</v>
      </c>
      <c r="K3" s="121" t="s">
        <v>662</v>
      </c>
      <c r="L3" s="120" t="s">
        <v>345</v>
      </c>
      <c r="M3" s="1917"/>
      <c r="N3" s="64" t="s">
        <v>44</v>
      </c>
      <c r="O3" s="544">
        <v>10</v>
      </c>
      <c r="Q3" s="213" t="s">
        <v>1189</v>
      </c>
      <c r="R3" s="345">
        <v>10</v>
      </c>
      <c r="T3" s="1419" t="s">
        <v>1222</v>
      </c>
      <c r="U3" s="1458" t="s">
        <v>1223</v>
      </c>
      <c r="V3" s="1458"/>
      <c r="W3" s="1458"/>
      <c r="X3" s="1458"/>
      <c r="Y3" s="1459"/>
      <c r="AA3" s="91" t="s">
        <v>1224</v>
      </c>
      <c r="AB3" s="93" t="s">
        <v>1225</v>
      </c>
      <c r="AC3" s="89"/>
      <c r="AD3" s="907" t="s">
        <v>1226</v>
      </c>
      <c r="AE3" s="965" t="s">
        <v>1225</v>
      </c>
      <c r="AG3" s="91" t="s">
        <v>1227</v>
      </c>
      <c r="AH3" s="92" t="s">
        <v>102</v>
      </c>
      <c r="AI3" s="93" t="s">
        <v>1228</v>
      </c>
      <c r="AK3" s="91" t="s">
        <v>1227</v>
      </c>
      <c r="AL3" s="92" t="s">
        <v>102</v>
      </c>
      <c r="AM3" s="93" t="s">
        <v>1228</v>
      </c>
      <c r="AO3" s="91" t="s">
        <v>1227</v>
      </c>
      <c r="AP3" s="93" t="s">
        <v>1228</v>
      </c>
      <c r="AS3" s="584" t="s">
        <v>1229</v>
      </c>
      <c r="AT3" s="583" t="s">
        <v>627</v>
      </c>
      <c r="AU3" s="585" t="s">
        <v>1230</v>
      </c>
      <c r="AY3" s="191" t="s">
        <v>1231</v>
      </c>
      <c r="AZ3" s="192" t="s">
        <v>1220</v>
      </c>
      <c r="BB3" s="99" t="s">
        <v>44</v>
      </c>
      <c r="BC3" s="100" t="s">
        <v>345</v>
      </c>
    </row>
    <row r="4" spans="2:55" ht="70">
      <c r="B4" s="978" t="s">
        <v>178</v>
      </c>
      <c r="C4" s="349" t="s">
        <v>649</v>
      </c>
      <c r="D4" s="280">
        <v>8</v>
      </c>
      <c r="E4" s="349" t="s">
        <v>194</v>
      </c>
      <c r="F4" s="349" t="s">
        <v>46</v>
      </c>
      <c r="G4" s="280" t="s">
        <v>193</v>
      </c>
      <c r="H4" s="349">
        <v>3</v>
      </c>
      <c r="I4" s="349">
        <v>2.50</v>
      </c>
      <c r="J4" s="349">
        <v>2</v>
      </c>
      <c r="K4" s="349">
        <v>1.50</v>
      </c>
      <c r="L4" s="544">
        <v>1</v>
      </c>
      <c r="M4" s="979" t="s">
        <v>344</v>
      </c>
      <c r="N4" s="86" t="s">
        <v>653</v>
      </c>
      <c r="O4" s="299">
        <v>8</v>
      </c>
      <c r="T4" s="1385"/>
      <c r="U4" s="87" t="s">
        <v>345</v>
      </c>
      <c r="V4" s="87" t="s">
        <v>662</v>
      </c>
      <c r="W4" s="87" t="s">
        <v>43</v>
      </c>
      <c r="X4" s="87" t="s">
        <v>653</v>
      </c>
      <c r="Y4" s="981" t="s">
        <v>44</v>
      </c>
      <c r="AA4" s="170" t="s">
        <v>1232</v>
      </c>
      <c r="AB4" s="353">
        <v>1</v>
      </c>
      <c r="AC4" s="89"/>
      <c r="AD4" s="968" t="s">
        <v>1233</v>
      </c>
      <c r="AE4" s="353">
        <v>0.75</v>
      </c>
      <c r="AG4" s="170" t="s">
        <v>1234</v>
      </c>
      <c r="AH4" s="295" t="s">
        <v>1146</v>
      </c>
      <c r="AI4" s="353">
        <v>1</v>
      </c>
      <c r="AK4" s="86" t="s">
        <v>1139</v>
      </c>
      <c r="AL4" s="295" t="s">
        <v>1140</v>
      </c>
      <c r="AM4" s="353">
        <v>1.15</v>
      </c>
      <c r="AO4" s="968" t="s">
        <v>1150</v>
      </c>
      <c r="AP4" s="353">
        <v>1</v>
      </c>
      <c r="AS4" s="193" t="s">
        <v>649</v>
      </c>
      <c r="AT4" s="296">
        <v>8</v>
      </c>
      <c r="AU4" s="377" t="s">
        <v>1235</v>
      </c>
      <c r="AY4" s="61" t="s">
        <v>1236</v>
      </c>
      <c r="AZ4" s="192" t="s">
        <v>1220</v>
      </c>
      <c r="BB4" s="128" t="s">
        <v>653</v>
      </c>
      <c r="BC4" s="194"/>
    </row>
    <row r="5" spans="2:55" ht="28">
      <c r="B5" s="61" t="s">
        <v>179</v>
      </c>
      <c r="C5" s="316" t="s">
        <v>194</v>
      </c>
      <c r="D5" s="295">
        <v>6</v>
      </c>
      <c r="E5" s="316" t="s">
        <v>194</v>
      </c>
      <c r="F5" s="316" t="s">
        <v>46</v>
      </c>
      <c r="G5" s="295" t="s">
        <v>225</v>
      </c>
      <c r="H5" s="316">
        <v>3</v>
      </c>
      <c r="I5" s="316">
        <v>2.50</v>
      </c>
      <c r="J5" s="316">
        <v>2</v>
      </c>
      <c r="K5" s="316">
        <v>1.50</v>
      </c>
      <c r="L5" s="299">
        <v>1</v>
      </c>
      <c r="M5" s="979" t="s">
        <v>344</v>
      </c>
      <c r="N5" s="86" t="s">
        <v>43</v>
      </c>
      <c r="O5" s="299">
        <v>5</v>
      </c>
      <c r="T5" s="86" t="s">
        <v>345</v>
      </c>
      <c r="U5" s="316">
        <v>1</v>
      </c>
      <c r="V5" s="316">
        <v>2</v>
      </c>
      <c r="W5" s="316">
        <v>4</v>
      </c>
      <c r="X5" s="316">
        <v>6</v>
      </c>
      <c r="Y5" s="353">
        <v>8</v>
      </c>
      <c r="AA5" s="170" t="s">
        <v>490</v>
      </c>
      <c r="AB5" s="353">
        <v>0.80</v>
      </c>
      <c r="AC5" s="89"/>
      <c r="AD5" s="968" t="s">
        <v>1237</v>
      </c>
      <c r="AE5" s="353">
        <v>0.80</v>
      </c>
      <c r="AG5" s="170" t="s">
        <v>1238</v>
      </c>
      <c r="AH5" s="295" t="s">
        <v>1140</v>
      </c>
      <c r="AI5" s="353">
        <v>1.15</v>
      </c>
      <c r="AK5" s="86" t="s">
        <v>351</v>
      </c>
      <c r="AL5" s="295" t="s">
        <v>1143</v>
      </c>
      <c r="AM5" s="353">
        <v>1.1</v>
      </c>
      <c r="AO5" s="86" t="s">
        <v>1239</v>
      </c>
      <c r="AP5" s="353">
        <v>1</v>
      </c>
      <c r="AS5" s="170" t="s">
        <v>194</v>
      </c>
      <c r="AT5" s="316">
        <v>6</v>
      </c>
      <c r="AU5" s="299" t="s">
        <v>1240</v>
      </c>
      <c r="AY5" s="61" t="s">
        <v>180</v>
      </c>
      <c r="AZ5" s="192" t="s">
        <v>1220</v>
      </c>
      <c r="BB5" s="128" t="s">
        <v>43</v>
      </c>
      <c r="BC5" s="194"/>
    </row>
    <row r="6" spans="2:55" ht="46.4" customHeight="1" thickBot="1">
      <c r="B6" s="61" t="s">
        <v>180</v>
      </c>
      <c r="C6" s="316" t="s">
        <v>46</v>
      </c>
      <c r="D6" s="316">
        <v>4</v>
      </c>
      <c r="E6" s="316" t="s">
        <v>46</v>
      </c>
      <c r="F6" s="316" t="s">
        <v>197</v>
      </c>
      <c r="G6" s="295" t="s">
        <v>225</v>
      </c>
      <c r="H6" s="316">
        <v>3</v>
      </c>
      <c r="I6" s="316">
        <v>2.50</v>
      </c>
      <c r="J6" s="316">
        <v>2</v>
      </c>
      <c r="K6" s="316">
        <v>1.50</v>
      </c>
      <c r="L6" s="299">
        <v>1</v>
      </c>
      <c r="M6" s="979" t="s">
        <v>344</v>
      </c>
      <c r="N6" s="86" t="s">
        <v>662</v>
      </c>
      <c r="O6" s="299">
        <v>2</v>
      </c>
      <c r="T6" s="86" t="s">
        <v>662</v>
      </c>
      <c r="U6" s="316" t="s">
        <v>1148</v>
      </c>
      <c r="V6" s="316">
        <v>1</v>
      </c>
      <c r="W6" s="316">
        <v>2</v>
      </c>
      <c r="X6" s="316">
        <v>4</v>
      </c>
      <c r="Y6" s="353">
        <v>6</v>
      </c>
      <c r="AA6" s="170" t="s">
        <v>1241</v>
      </c>
      <c r="AB6" s="353">
        <v>0.50</v>
      </c>
      <c r="AC6" s="89"/>
      <c r="AD6" s="968" t="s">
        <v>1242</v>
      </c>
      <c r="AE6" s="353">
        <v>0.84</v>
      </c>
      <c r="AG6" s="170" t="s">
        <v>1243</v>
      </c>
      <c r="AH6" s="295" t="s">
        <v>1140</v>
      </c>
      <c r="AI6" s="353">
        <v>1.15</v>
      </c>
      <c r="AK6" s="65" t="s">
        <v>346</v>
      </c>
      <c r="AL6" s="284" t="s">
        <v>1146</v>
      </c>
      <c r="AM6" s="345">
        <v>1</v>
      </c>
      <c r="AO6" s="86" t="s">
        <v>1244</v>
      </c>
      <c r="AP6" s="353">
        <v>0.75</v>
      </c>
      <c r="AS6" s="170" t="s">
        <v>46</v>
      </c>
      <c r="AT6" s="316">
        <v>4</v>
      </c>
      <c r="AU6" s="299" t="s">
        <v>1245</v>
      </c>
      <c r="AY6" s="61" t="s">
        <v>181</v>
      </c>
      <c r="AZ6" s="192" t="s">
        <v>1220</v>
      </c>
      <c r="BB6" s="128" t="s">
        <v>662</v>
      </c>
      <c r="BC6" s="194"/>
    </row>
    <row r="7" spans="2:55" ht="28.5" thickBot="1">
      <c r="B7" s="61" t="s">
        <v>181</v>
      </c>
      <c r="C7" s="316" t="s">
        <v>46</v>
      </c>
      <c r="D7" s="316">
        <v>4</v>
      </c>
      <c r="E7" s="316" t="s">
        <v>46</v>
      </c>
      <c r="F7" s="316" t="s">
        <v>197</v>
      </c>
      <c r="G7" s="295" t="s">
        <v>225</v>
      </c>
      <c r="H7" s="316">
        <v>3</v>
      </c>
      <c r="I7" s="316">
        <v>2.50</v>
      </c>
      <c r="J7" s="316">
        <v>2</v>
      </c>
      <c r="K7" s="316">
        <v>1.50</v>
      </c>
      <c r="L7" s="299">
        <v>1</v>
      </c>
      <c r="M7" s="979" t="s">
        <v>344</v>
      </c>
      <c r="N7" s="65" t="s">
        <v>345</v>
      </c>
      <c r="O7" s="278">
        <v>1</v>
      </c>
      <c r="T7" s="86" t="s">
        <v>43</v>
      </c>
      <c r="U7" s="316" t="s">
        <v>1148</v>
      </c>
      <c r="V7" s="316" t="s">
        <v>1148</v>
      </c>
      <c r="W7" s="316">
        <v>1</v>
      </c>
      <c r="X7" s="316">
        <v>2</v>
      </c>
      <c r="Y7" s="353">
        <v>4</v>
      </c>
      <c r="AA7" s="169" t="s">
        <v>1246</v>
      </c>
      <c r="AB7" s="345">
        <v>0.68</v>
      </c>
      <c r="AC7" s="89"/>
      <c r="AD7" s="968" t="s">
        <v>1247</v>
      </c>
      <c r="AE7" s="353">
        <v>0.87</v>
      </c>
      <c r="AG7" s="170" t="s">
        <v>1248</v>
      </c>
      <c r="AH7" s="295" t="s">
        <v>1140</v>
      </c>
      <c r="AI7" s="353">
        <v>1.15</v>
      </c>
      <c r="AK7" s="36"/>
      <c r="AL7" s="38"/>
      <c r="AM7" s="36"/>
      <c r="AO7" s="65" t="s">
        <v>1249</v>
      </c>
      <c r="AP7" s="345">
        <v>0.50</v>
      </c>
      <c r="AS7" s="169" t="s">
        <v>197</v>
      </c>
      <c r="AT7" s="301">
        <v>2</v>
      </c>
      <c r="AU7" s="345" t="s">
        <v>1250</v>
      </c>
      <c r="AY7" s="63" t="s">
        <v>182</v>
      </c>
      <c r="AZ7" s="192" t="s">
        <v>1221</v>
      </c>
      <c r="BB7" s="130" t="s">
        <v>345</v>
      </c>
      <c r="BC7" s="195"/>
    </row>
    <row r="8" spans="2:39" ht="62.15" customHeight="1" thickBot="1">
      <c r="B8" s="976" t="s">
        <v>182</v>
      </c>
      <c r="C8" s="301" t="s">
        <v>197</v>
      </c>
      <c r="D8" s="301">
        <v>2</v>
      </c>
      <c r="E8" s="301" t="s">
        <v>46</v>
      </c>
      <c r="F8" s="301" t="s">
        <v>1148</v>
      </c>
      <c r="G8" s="284" t="s">
        <v>237</v>
      </c>
      <c r="H8" s="284" t="s">
        <v>1158</v>
      </c>
      <c r="I8" s="284" t="s">
        <v>1158</v>
      </c>
      <c r="J8" s="284" t="s">
        <v>1158</v>
      </c>
      <c r="K8" s="284" t="s">
        <v>1158</v>
      </c>
      <c r="L8" s="278">
        <v>1</v>
      </c>
      <c r="M8" s="977" t="s">
        <v>344</v>
      </c>
      <c r="T8" s="86" t="s">
        <v>653</v>
      </c>
      <c r="U8" s="316" t="s">
        <v>1148</v>
      </c>
      <c r="V8" s="316" t="s">
        <v>1148</v>
      </c>
      <c r="W8" s="316" t="s">
        <v>1148</v>
      </c>
      <c r="X8" s="316">
        <v>1</v>
      </c>
      <c r="Y8" s="353">
        <v>2</v>
      </c>
      <c r="AC8" s="89"/>
      <c r="AD8" s="968" t="s">
        <v>1251</v>
      </c>
      <c r="AE8" s="353">
        <v>0.85</v>
      </c>
      <c r="AG8" s="170" t="s">
        <v>1252</v>
      </c>
      <c r="AH8" s="295" t="s">
        <v>1140</v>
      </c>
      <c r="AI8" s="353">
        <v>1.15</v>
      </c>
      <c r="AK8" s="36"/>
      <c r="AL8" s="38"/>
      <c r="AM8" s="36"/>
    </row>
    <row r="9" spans="20:55" ht="33.65" customHeight="1" thickBot="1">
      <c r="T9" s="65" t="s">
        <v>44</v>
      </c>
      <c r="U9" s="301" t="s">
        <v>1148</v>
      </c>
      <c r="V9" s="301" t="s">
        <v>1148</v>
      </c>
      <c r="W9" s="301" t="s">
        <v>1148</v>
      </c>
      <c r="X9" s="301" t="s">
        <v>1148</v>
      </c>
      <c r="Y9" s="345">
        <v>1</v>
      </c>
      <c r="AD9" s="968" t="s">
        <v>1253</v>
      </c>
      <c r="AE9" s="353">
        <v>0.90</v>
      </c>
      <c r="AG9" s="169" t="s">
        <v>1254</v>
      </c>
      <c r="AH9" s="284" t="s">
        <v>1140</v>
      </c>
      <c r="AI9" s="345">
        <v>1.15</v>
      </c>
      <c r="AK9" s="36"/>
      <c r="AL9" s="38"/>
      <c r="AM9" s="36"/>
      <c r="AY9" s="35"/>
      <c r="AZ9" s="35"/>
      <c r="BA9" s="35"/>
      <c r="BB9" s="35"/>
      <c r="BC9" s="35"/>
    </row>
    <row r="10" spans="30:55" ht="28">
      <c r="AD10" s="968" t="s">
        <v>1255</v>
      </c>
      <c r="AE10" s="353">
        <v>0.92</v>
      </c>
      <c r="AF10" s="89"/>
      <c r="AY10" s="35"/>
      <c r="AZ10" s="35"/>
      <c r="BA10" s="35"/>
      <c r="BB10" s="38"/>
      <c r="BC10" s="38"/>
    </row>
    <row r="11" spans="30:55" ht="14">
      <c r="AD11" s="968" t="s">
        <v>491</v>
      </c>
      <c r="AE11" s="353">
        <v>0.95</v>
      </c>
      <c r="AF11" s="89"/>
      <c r="AY11" s="35"/>
      <c r="AZ11" s="35"/>
      <c r="BA11" s="35"/>
      <c r="BB11" s="38"/>
      <c r="BC11" s="35"/>
    </row>
    <row r="12" spans="2:7 30:32 51:55" ht="28">
      <c r="B12" s="41"/>
      <c r="C12" s="60"/>
      <c r="D12" s="60"/>
      <c r="E12" s="60"/>
      <c r="F12" s="60"/>
      <c r="G12" s="39"/>
      <c r="AD12" s="968" t="s">
        <v>1256</v>
      </c>
      <c r="AE12" s="353">
        <v>0.98</v>
      </c>
      <c r="AF12" s="89"/>
      <c r="AY12" s="35"/>
      <c r="AZ12" s="35"/>
      <c r="BA12" s="35"/>
      <c r="BB12" s="38"/>
      <c r="BC12" s="35"/>
    </row>
    <row r="13" spans="2:7 30:34 51:55" ht="42.65" customHeight="1">
      <c r="B13" s="35"/>
      <c r="C13" s="36"/>
      <c r="D13" s="38"/>
      <c r="E13" s="36"/>
      <c r="F13" s="36"/>
      <c r="G13" s="38"/>
      <c r="AD13" s="968" t="s">
        <v>1257</v>
      </c>
      <c r="AE13" s="353">
        <v>1</v>
      </c>
      <c r="AF13" s="89"/>
      <c r="AG13" s="89"/>
      <c r="AH13" s="89"/>
      <c r="AY13" s="35"/>
      <c r="AZ13" s="35"/>
      <c r="BA13" s="35"/>
      <c r="BB13" s="38"/>
      <c r="BC13" s="35"/>
    </row>
    <row r="14" spans="2:7 30:32 51:55" ht="14.5" thickBot="1">
      <c r="B14" s="35"/>
      <c r="C14" s="36"/>
      <c r="D14" s="38"/>
      <c r="E14" s="36"/>
      <c r="F14" s="36"/>
      <c r="G14" s="38"/>
      <c r="AD14" s="217" t="s">
        <v>1246</v>
      </c>
      <c r="AE14" s="345">
        <v>1</v>
      </c>
      <c r="AF14" s="89"/>
      <c r="AY14" s="35"/>
      <c r="AZ14" s="35"/>
      <c r="BA14" s="35"/>
      <c r="BB14" s="38"/>
      <c r="BC14" s="35"/>
    </row>
    <row r="15" spans="2:7" ht="14">
      <c r="B15" s="35"/>
      <c r="C15" s="36"/>
      <c r="D15" s="38"/>
      <c r="E15" s="36"/>
      <c r="F15" s="36"/>
      <c r="G15" s="38"/>
    </row>
    <row r="16" spans="2:7" ht="14">
      <c r="B16" s="35"/>
      <c r="C16" s="36"/>
      <c r="D16" s="38"/>
      <c r="E16" s="36"/>
      <c r="F16" s="36"/>
      <c r="G16" s="38"/>
    </row>
    <row r="17" spans="2:7" ht="14">
      <c r="B17" s="446"/>
      <c r="C17" s="36"/>
      <c r="D17" s="36"/>
      <c r="E17" s="36"/>
      <c r="F17" s="36"/>
      <c r="G17" s="38"/>
    </row>
    <row r="18" ht="14"/>
    <row r="19" ht="14"/>
    <row r="20" ht="14"/>
    <row r="21" ht="14"/>
    <row r="22" ht="14"/>
    <row r="23" ht="14"/>
    <row r="24" ht="14"/>
    <row r="25" ht="14"/>
    <row r="26" ht="14"/>
    <row r="27" ht="14"/>
    <row r="28" ht="14"/>
    <row r="29" ht="14"/>
    <row r="30" ht="14" thickBot="1"/>
  </sheetData>
  <sheetProtection algorithmName="SHA-512" hashValue="rA8UdNHDizn36fiwGLW+R+vW49GREQIdFIVN2jFxrJkdCPWVkrSx/7+ZDQcLEpgspKLSTdqIARwbvdaKVq4LyA==" saltValue="6TlYy0Xp3p8yP9HW2oopiQ==" spinCount="100000" sheet="1" objects="1" scenarios="1"/>
  <customSheetViews>
    <customSheetView guid="{8bda793c-c9c5-4fc6-a0a5-f1109f6d4f22}" state="hidden" topLeftCell="A1">
      <selection pane="topLeft" activeCell="D14" sqref="D14"/>
      <pageMargins left="0.75" right="0.75" top="1" bottom="1" header="0.5" footer="0.5"/>
    </customSheetView>
  </customSheetViews>
  <mergeCells count="16">
    <mergeCell ref="AO2:AP2"/>
    <mergeCell ref="AS2:AU2"/>
    <mergeCell ref="U3:Y3"/>
    <mergeCell ref="T2:Y2"/>
    <mergeCell ref="AA2:AB2"/>
    <mergeCell ref="AD2:AE2"/>
    <mergeCell ref="AG2:AI2"/>
    <mergeCell ref="AK2:AM2"/>
    <mergeCell ref="T3:T4"/>
    <mergeCell ref="Q2:R2"/>
    <mergeCell ref="A1:B2"/>
    <mergeCell ref="C2:D2"/>
    <mergeCell ref="E2:G2"/>
    <mergeCell ref="H2:L2"/>
    <mergeCell ref="N2:O2"/>
    <mergeCell ref="M2:M3"/>
  </mergeCells>
  <pageMargins left="0.7" right="0.7" top="0.75" bottom="0.75" header="0.3" footer="0.3"/>
  <pageSetup horizontalDpi="90" verticalDpi="90" orientation="portrait" paperSize="9"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N135"/>
  <sheetViews>
    <sheetView zoomScale="80" zoomScaleNormal="80" workbookViewId="0" topLeftCell="A1">
      <pane xSplit="1" ySplit="3" topLeftCell="B4" activePane="bottomRight" state="frozen"/>
      <selection pane="topLeft" activeCell="A1" sqref="A1"/>
      <selection pane="bottomLeft" activeCell="A4" sqref="A4"/>
      <selection pane="topRight" activeCell="B1" sqref="B1"/>
      <selection pane="bottomRight" activeCell="A1" sqref="A1:A2"/>
    </sheetView>
  </sheetViews>
  <sheetFormatPr defaultColWidth="0" defaultRowHeight="0" customHeight="1" zeroHeight="1"/>
  <cols>
    <col min="1" max="1" width="88.5714285714286" style="30" bestFit="1" customWidth="1"/>
    <col min="2" max="2" width="15.5714285714286" style="30" customWidth="1"/>
    <col min="3" max="3" width="18.4285714285714" style="30" customWidth="1"/>
    <col min="4" max="4" width="16.4285714285714" style="30" customWidth="1"/>
    <col min="5" max="5" width="17.4285714285714" style="30" customWidth="1"/>
    <col min="6" max="6" width="15.5714285714286" style="30" customWidth="1"/>
    <col min="7" max="7" width="22" style="30" bestFit="1" customWidth="1"/>
    <col min="8" max="8" width="18.4285714285714" style="30" customWidth="1"/>
    <col min="9" max="9" width="21.4285714285714" style="30" hidden="1" customWidth="1"/>
    <col min="10" max="10" width="21.5714285714286" style="30" hidden="1" customWidth="1"/>
    <col min="11" max="11" width="19.4285714285714" style="30" hidden="1" customWidth="1"/>
    <col min="12" max="12" width="21.4285714285714" style="30" hidden="1" customWidth="1"/>
    <col min="13" max="13" width="31.4285714285714" style="30" hidden="1" customWidth="1"/>
    <col min="14" max="14" width="40.4285714285714" style="30" hidden="1" customWidth="1"/>
    <col min="15" max="15" width="15.4285714285714" style="30" customWidth="1"/>
    <col min="16" max="17" width="9.42857142857143" style="30" customWidth="1"/>
    <col min="18" max="16384" width="9.42857142857143" style="30" hidden="1"/>
  </cols>
  <sheetData>
    <row r="1" spans="1:8" ht="29.15" customHeight="1">
      <c r="A1" s="1922"/>
      <c r="B1" s="182"/>
      <c r="C1" s="182"/>
      <c r="D1" s="182"/>
      <c r="E1" s="182"/>
      <c r="F1" s="182"/>
      <c r="G1" s="182"/>
      <c r="H1" s="197"/>
    </row>
    <row r="2" spans="1:8" ht="29.9" customHeight="1">
      <c r="A2" s="1923"/>
      <c r="B2" s="1921" t="s">
        <v>407</v>
      </c>
      <c r="C2" s="1921"/>
      <c r="D2" s="1921"/>
      <c r="E2" s="1921"/>
      <c r="F2" s="1921"/>
      <c r="G2" s="1921"/>
      <c r="H2" s="1921"/>
    </row>
    <row r="3" spans="1:13" ht="28">
      <c r="A3" s="184" t="s">
        <v>1053</v>
      </c>
      <c r="B3" s="982" t="s">
        <v>44</v>
      </c>
      <c r="C3" s="982" t="s">
        <v>653</v>
      </c>
      <c r="D3" s="982" t="s">
        <v>43</v>
      </c>
      <c r="E3" s="982" t="s">
        <v>662</v>
      </c>
      <c r="F3" s="980" t="s">
        <v>345</v>
      </c>
      <c r="G3" s="980" t="s">
        <v>445</v>
      </c>
      <c r="H3" s="982" t="s">
        <v>362</v>
      </c>
      <c r="I3" s="30" t="s">
        <v>322</v>
      </c>
      <c r="J3" s="1924" t="s">
        <v>1258</v>
      </c>
      <c r="K3" s="1925"/>
      <c r="L3" s="1925"/>
      <c r="M3" s="1926"/>
    </row>
    <row r="4" spans="1:14" ht="14">
      <c r="A4" s="62" t="str">
        <f>'G-1 All Habitats'!B3</f>
        <v>Cropland - Arable field margins cultivated annually</v>
      </c>
      <c r="B4" s="316" t="s">
        <v>1158</v>
      </c>
      <c r="C4" s="316" t="s">
        <v>1158</v>
      </c>
      <c r="D4" s="316" t="s">
        <v>1158</v>
      </c>
      <c r="E4" s="316" t="s">
        <v>1158</v>
      </c>
      <c r="F4" s="316" t="s">
        <v>1158</v>
      </c>
      <c r="G4" s="316">
        <v>1</v>
      </c>
      <c r="H4" s="316" t="s">
        <v>1158</v>
      </c>
      <c r="I4" s="30" t="str">
        <f>IF(G4=1,"Cond1",IF(H4=0,"Cond2",IF(AND(B4=3,C4=2.5,D4=2,E4=1.5,F4=1),"Cond4",IF(F4=1,"Cond3","Check"))))</f>
        <v>Cond1</v>
      </c>
      <c r="J4" s="196" t="s">
        <v>1259</v>
      </c>
      <c r="K4" s="196" t="s">
        <v>1260</v>
      </c>
      <c r="L4" s="196" t="s">
        <v>1261</v>
      </c>
      <c r="M4" s="196" t="s">
        <v>1262</v>
      </c>
      <c r="N4" s="30" t="s">
        <v>1263</v>
      </c>
    </row>
    <row r="5" spans="1:14" ht="14">
      <c r="A5" s="62" t="str">
        <f>'G-1 All Habitats'!B4</f>
        <v>Cropland - Arable field margins game bird mix</v>
      </c>
      <c r="B5" s="316" t="s">
        <v>1158</v>
      </c>
      <c r="C5" s="316" t="s">
        <v>1158</v>
      </c>
      <c r="D5" s="316" t="s">
        <v>1158</v>
      </c>
      <c r="E5" s="316" t="s">
        <v>1158</v>
      </c>
      <c r="F5" s="316" t="s">
        <v>1158</v>
      </c>
      <c r="G5" s="316">
        <v>1</v>
      </c>
      <c r="H5" s="316" t="s">
        <v>1158</v>
      </c>
      <c r="I5" s="30" t="str">
        <f>IF(G5=1,"Cond1",IF(H5=0,"Cond2",IF(AND(B5=3,C5=2.5,D5=2,E5=1.5,F5=1),"Cond4",IF(F5=1,"Cond3","Check"))))</f>
        <v>Cond1</v>
      </c>
      <c r="J5" s="146" t="s">
        <v>445</v>
      </c>
      <c r="K5" s="146" t="s">
        <v>362</v>
      </c>
      <c r="L5" s="179" t="s">
        <v>345</v>
      </c>
      <c r="M5" s="146" t="s">
        <v>44</v>
      </c>
      <c r="N5" s="30" t="s">
        <v>44</v>
      </c>
    </row>
    <row r="6" spans="1:13" ht="14">
      <c r="A6" s="62" t="str">
        <f>'G-1 All Habitats'!B5</f>
        <v>Cropland - Arable field margins pollen and nectar</v>
      </c>
      <c r="B6" s="316" t="s">
        <v>1158</v>
      </c>
      <c r="C6" s="316" t="s">
        <v>1158</v>
      </c>
      <c r="D6" s="316" t="s">
        <v>1158</v>
      </c>
      <c r="E6" s="316" t="s">
        <v>1158</v>
      </c>
      <c r="F6" s="316" t="s">
        <v>1158</v>
      </c>
      <c r="G6" s="316">
        <v>1</v>
      </c>
      <c r="H6" s="316" t="s">
        <v>1158</v>
      </c>
      <c r="I6" s="30" t="str">
        <f>IF(G6=1,"Cond1",IF(H6=0,"Cond2",IF(AND(B6=3,C6=2.5,D6=2,E6=1.5,F6=1),"Cond4",IF(F6=1,"Cond3","Check"))))</f>
        <v>Cond1</v>
      </c>
      <c r="M6" s="146" t="s">
        <v>653</v>
      </c>
    </row>
    <row r="7" spans="1:13" ht="14">
      <c r="A7" s="62" t="str">
        <f>'G-1 All Habitats'!B6</f>
        <v>Cropland - Arable field margins tussocky</v>
      </c>
      <c r="B7" s="316" t="s">
        <v>1158</v>
      </c>
      <c r="C7" s="316" t="s">
        <v>1158</v>
      </c>
      <c r="D7" s="316" t="s">
        <v>1158</v>
      </c>
      <c r="E7" s="316" t="s">
        <v>1158</v>
      </c>
      <c r="F7" s="316" t="s">
        <v>1158</v>
      </c>
      <c r="G7" s="316">
        <v>1</v>
      </c>
      <c r="H7" s="316" t="s">
        <v>1158</v>
      </c>
      <c r="I7" s="30" t="str">
        <f>IF(G7=1,"Cond1",IF(H7=0,"Cond2",IF(AND(B7=3,C7=2.5,D7=2,E7=1.5,F7=1),"Cond4",IF(F7=1,"Cond3","Check"))))</f>
        <v>Cond1</v>
      </c>
      <c r="M7" s="146" t="s">
        <v>43</v>
      </c>
    </row>
    <row r="8" spans="1:13" ht="14">
      <c r="A8" s="62" t="str">
        <f>'G-1 All Habitats'!B7</f>
        <v>Cropland - Cereal crops</v>
      </c>
      <c r="B8" s="316" t="s">
        <v>1158</v>
      </c>
      <c r="C8" s="316" t="s">
        <v>1158</v>
      </c>
      <c r="D8" s="316" t="s">
        <v>1158</v>
      </c>
      <c r="E8" s="316" t="s">
        <v>1158</v>
      </c>
      <c r="F8" s="316" t="s">
        <v>1158</v>
      </c>
      <c r="G8" s="316">
        <v>1</v>
      </c>
      <c r="H8" s="316" t="s">
        <v>1158</v>
      </c>
      <c r="I8" s="30" t="str">
        <f>IF(G8=1,"Cond1",IF(H8=0,"Cond2",IF(AND(B8=3,C8=2.5,D8=2,E8=1.5,F8=1),"Cond4",IF(F8=1,"Cond3","Check"))))</f>
        <v>Cond1</v>
      </c>
      <c r="M8" s="146" t="s">
        <v>662</v>
      </c>
    </row>
    <row r="9" spans="1:13" ht="14">
      <c r="A9" s="62" t="str">
        <f>'G-1 All Habitats'!B8</f>
        <v>Cropland - Winter stubble</v>
      </c>
      <c r="B9" s="316" t="s">
        <v>1158</v>
      </c>
      <c r="C9" s="316" t="s">
        <v>1158</v>
      </c>
      <c r="D9" s="316" t="s">
        <v>1158</v>
      </c>
      <c r="E9" s="316" t="s">
        <v>1158</v>
      </c>
      <c r="F9" s="316" t="s">
        <v>1158</v>
      </c>
      <c r="G9" s="316">
        <v>1</v>
      </c>
      <c r="H9" s="316" t="s">
        <v>1158</v>
      </c>
      <c r="I9" s="30" t="str">
        <f t="shared" si="0" ref="I9:I41">IF(G9=1,"Cond1",IF(H9=0,"Cond2",IF(AND(B9=3,C9=2.5,D9=2,E9=1.5,F9=1),"Cond4",IF(F9=1,"Cond3","Check"))))</f>
        <v>Cond1</v>
      </c>
      <c r="M9" s="179" t="s">
        <v>345</v>
      </c>
    </row>
    <row r="10" spans="1:9" ht="14">
      <c r="A10" s="62" t="str">
        <f>'G-1 All Habitats'!B9</f>
        <v>Cropland - Horticulture</v>
      </c>
      <c r="B10" s="316" t="s">
        <v>1158</v>
      </c>
      <c r="C10" s="316" t="s">
        <v>1158</v>
      </c>
      <c r="D10" s="316" t="s">
        <v>1158</v>
      </c>
      <c r="E10" s="316" t="s">
        <v>1158</v>
      </c>
      <c r="F10" s="316" t="s">
        <v>1158</v>
      </c>
      <c r="G10" s="316">
        <v>1</v>
      </c>
      <c r="H10" s="316" t="s">
        <v>1158</v>
      </c>
      <c r="I10" s="30" t="str">
        <f t="shared" si="0"/>
        <v>Cond1</v>
      </c>
    </row>
    <row r="11" spans="1:9" ht="14">
      <c r="A11" s="62" t="str">
        <f>'G-1 All Habitats'!B10</f>
        <v>Cropland - Intensive orchards</v>
      </c>
      <c r="B11" s="316" t="s">
        <v>1158</v>
      </c>
      <c r="C11" s="316" t="s">
        <v>1158</v>
      </c>
      <c r="D11" s="316" t="s">
        <v>1158</v>
      </c>
      <c r="E11" s="316" t="s">
        <v>1158</v>
      </c>
      <c r="F11" s="316" t="s">
        <v>1158</v>
      </c>
      <c r="G11" s="316">
        <v>1</v>
      </c>
      <c r="H11" s="316" t="s">
        <v>1158</v>
      </c>
      <c r="I11" s="30" t="str">
        <f t="shared" si="0"/>
        <v>Cond1</v>
      </c>
    </row>
    <row r="12" spans="1:9" ht="14">
      <c r="A12" s="62" t="str">
        <f>'G-1 All Habitats'!B11</f>
        <v>Cropland - Non-cereal crops</v>
      </c>
      <c r="B12" s="316" t="s">
        <v>1158</v>
      </c>
      <c r="C12" s="316" t="s">
        <v>1158</v>
      </c>
      <c r="D12" s="316" t="s">
        <v>1158</v>
      </c>
      <c r="E12" s="316" t="s">
        <v>1158</v>
      </c>
      <c r="F12" s="316" t="s">
        <v>1158</v>
      </c>
      <c r="G12" s="316">
        <v>1</v>
      </c>
      <c r="H12" s="316" t="s">
        <v>1158</v>
      </c>
      <c r="I12" s="30" t="str">
        <f t="shared" si="0"/>
        <v>Cond1</v>
      </c>
    </row>
    <row r="13" spans="1:9" ht="14">
      <c r="A13" s="62" t="str">
        <f>'G-1 All Habitats'!B12</f>
        <v>Cropland - Temporary grass and clover leys</v>
      </c>
      <c r="B13" s="316" t="s">
        <v>1158</v>
      </c>
      <c r="C13" s="316" t="s">
        <v>1158</v>
      </c>
      <c r="D13" s="316" t="s">
        <v>1158</v>
      </c>
      <c r="E13" s="316" t="s">
        <v>1158</v>
      </c>
      <c r="F13" s="316" t="s">
        <v>1158</v>
      </c>
      <c r="G13" s="316">
        <v>1</v>
      </c>
      <c r="H13" s="316" t="s">
        <v>1158</v>
      </c>
      <c r="I13" s="30" t="str">
        <f t="shared" si="0"/>
        <v>Cond1</v>
      </c>
    </row>
    <row r="14" spans="1:9" ht="14">
      <c r="A14" s="62" t="str">
        <f>'G-1 All Habitats'!B13</f>
        <v>Grassland - Traditional orchards</v>
      </c>
      <c r="B14" s="316">
        <v>3</v>
      </c>
      <c r="C14" s="316">
        <v>2.50</v>
      </c>
      <c r="D14" s="316">
        <v>2</v>
      </c>
      <c r="E14" s="316">
        <v>1.50</v>
      </c>
      <c r="F14" s="316">
        <v>1</v>
      </c>
      <c r="G14" s="316" t="s">
        <v>1158</v>
      </c>
      <c r="H14" s="316" t="s">
        <v>1158</v>
      </c>
      <c r="I14" s="30" t="str">
        <f t="shared" si="0"/>
        <v>Cond4</v>
      </c>
    </row>
    <row r="15" spans="1:9" ht="14">
      <c r="A15" s="62" t="str">
        <f>'G-1 All Habitats'!B14</f>
        <v>Grassland - Bracken</v>
      </c>
      <c r="B15" s="316" t="s">
        <v>1158</v>
      </c>
      <c r="C15" s="316" t="s">
        <v>1158</v>
      </c>
      <c r="D15" s="316" t="s">
        <v>1158</v>
      </c>
      <c r="E15" s="316" t="s">
        <v>1158</v>
      </c>
      <c r="F15" s="316" t="s">
        <v>1158</v>
      </c>
      <c r="G15" s="316">
        <v>1</v>
      </c>
      <c r="H15" s="316" t="s">
        <v>1158</v>
      </c>
      <c r="I15" s="30" t="str">
        <f t="shared" si="0"/>
        <v>Cond1</v>
      </c>
    </row>
    <row r="16" spans="1:9" ht="14">
      <c r="A16" s="62" t="str">
        <f>'G-1 All Habitats'!B15</f>
        <v>Grassland - Floodplain wetland mosaic and CFGM</v>
      </c>
      <c r="B16" s="316">
        <v>3</v>
      </c>
      <c r="C16" s="316">
        <v>2.50</v>
      </c>
      <c r="D16" s="316">
        <v>2</v>
      </c>
      <c r="E16" s="316">
        <v>1.50</v>
      </c>
      <c r="F16" s="316">
        <v>1</v>
      </c>
      <c r="G16" s="316" t="s">
        <v>1158</v>
      </c>
      <c r="H16" s="316" t="s">
        <v>1158</v>
      </c>
      <c r="I16" s="30" t="str">
        <f t="shared" si="0"/>
        <v>Cond4</v>
      </c>
    </row>
    <row r="17" spans="1:9" ht="14">
      <c r="A17" s="62" t="str">
        <f>'G-1 All Habitats'!B16</f>
        <v>Grassland - Lowland calcareous grassland</v>
      </c>
      <c r="B17" s="316">
        <v>3</v>
      </c>
      <c r="C17" s="316">
        <v>2.50</v>
      </c>
      <c r="D17" s="316">
        <v>2</v>
      </c>
      <c r="E17" s="316">
        <v>1.50</v>
      </c>
      <c r="F17" s="316">
        <v>1</v>
      </c>
      <c r="G17" s="316" t="s">
        <v>1158</v>
      </c>
      <c r="H17" s="316" t="s">
        <v>1158</v>
      </c>
      <c r="I17" s="30" t="str">
        <f t="shared" si="0"/>
        <v>Cond4</v>
      </c>
    </row>
    <row r="18" spans="1:9" ht="14">
      <c r="A18" s="62" t="str">
        <f>'G-1 All Habitats'!B17</f>
        <v>Grassland - Lowland dry acid grassland</v>
      </c>
      <c r="B18" s="316">
        <v>3</v>
      </c>
      <c r="C18" s="316">
        <v>2.50</v>
      </c>
      <c r="D18" s="316">
        <v>2</v>
      </c>
      <c r="E18" s="316">
        <v>1.50</v>
      </c>
      <c r="F18" s="316">
        <v>1</v>
      </c>
      <c r="G18" s="316" t="s">
        <v>1158</v>
      </c>
      <c r="H18" s="316" t="s">
        <v>1158</v>
      </c>
      <c r="I18" s="30" t="str">
        <f t="shared" si="0"/>
        <v>Cond4</v>
      </c>
    </row>
    <row r="19" spans="1:9" ht="14">
      <c r="A19" s="62" t="str">
        <f>'G-1 All Habitats'!B18</f>
        <v>Grassland - Lowland meadows</v>
      </c>
      <c r="B19" s="316">
        <v>3</v>
      </c>
      <c r="C19" s="316">
        <v>2.50</v>
      </c>
      <c r="D19" s="316">
        <v>2</v>
      </c>
      <c r="E19" s="316">
        <v>1.50</v>
      </c>
      <c r="F19" s="316">
        <v>1</v>
      </c>
      <c r="G19" s="316" t="s">
        <v>1158</v>
      </c>
      <c r="H19" s="316" t="s">
        <v>1158</v>
      </c>
      <c r="I19" s="30" t="str">
        <f t="shared" si="0"/>
        <v>Cond4</v>
      </c>
    </row>
    <row r="20" spans="1:9" ht="14">
      <c r="A20" s="62" t="str">
        <f>'G-1 All Habitats'!B19</f>
        <v>Grassland - Modified grassland</v>
      </c>
      <c r="B20" s="316">
        <v>3</v>
      </c>
      <c r="C20" s="316">
        <v>2.50</v>
      </c>
      <c r="D20" s="316">
        <v>2</v>
      </c>
      <c r="E20" s="316">
        <v>1.50</v>
      </c>
      <c r="F20" s="316">
        <v>1</v>
      </c>
      <c r="G20" s="316" t="s">
        <v>1158</v>
      </c>
      <c r="H20" s="316" t="s">
        <v>1158</v>
      </c>
      <c r="I20" s="30" t="str">
        <f t="shared" si="0"/>
        <v>Cond4</v>
      </c>
    </row>
    <row r="21" spans="1:9" ht="15" customHeight="1">
      <c r="A21" s="62" t="str">
        <f>'G-1 All Habitats'!B20</f>
        <v>Grassland - Other lowland acid grassland</v>
      </c>
      <c r="B21" s="316">
        <v>3</v>
      </c>
      <c r="C21" s="316">
        <v>2.50</v>
      </c>
      <c r="D21" s="316">
        <v>2</v>
      </c>
      <c r="E21" s="316">
        <v>1.50</v>
      </c>
      <c r="F21" s="316">
        <v>1</v>
      </c>
      <c r="G21" s="316" t="s">
        <v>1158</v>
      </c>
      <c r="H21" s="316" t="s">
        <v>1158</v>
      </c>
      <c r="I21" s="30" t="str">
        <f t="shared" si="0"/>
        <v>Cond4</v>
      </c>
    </row>
    <row r="22" spans="1:9" ht="15" customHeight="1">
      <c r="A22" s="62" t="str">
        <f>'G-1 All Habitats'!B21</f>
        <v>Grassland - Other neutral grassland</v>
      </c>
      <c r="B22" s="316">
        <v>3</v>
      </c>
      <c r="C22" s="316">
        <v>2.50</v>
      </c>
      <c r="D22" s="316">
        <v>2</v>
      </c>
      <c r="E22" s="316">
        <v>1.50</v>
      </c>
      <c r="F22" s="316">
        <v>1</v>
      </c>
      <c r="G22" s="316" t="s">
        <v>1158</v>
      </c>
      <c r="H22" s="316" t="s">
        <v>1158</v>
      </c>
      <c r="I22" s="30" t="str">
        <f t="shared" si="0"/>
        <v>Cond4</v>
      </c>
    </row>
    <row r="23" spans="1:9" ht="15" customHeight="1">
      <c r="A23" s="62" t="str">
        <f>'G-1 All Habitats'!B22</f>
        <v>Grassland - Tall herb communities (H6430)</v>
      </c>
      <c r="B23" s="316">
        <v>3</v>
      </c>
      <c r="C23" s="316">
        <v>2.50</v>
      </c>
      <c r="D23" s="316">
        <v>2</v>
      </c>
      <c r="E23" s="316">
        <v>1.50</v>
      </c>
      <c r="F23" s="316">
        <v>1</v>
      </c>
      <c r="G23" s="316" t="s">
        <v>1158</v>
      </c>
      <c r="H23" s="316" t="s">
        <v>1158</v>
      </c>
      <c r="I23" s="30" t="str">
        <f t="shared" si="0"/>
        <v>Cond4</v>
      </c>
    </row>
    <row r="24" spans="1:9" ht="15" customHeight="1">
      <c r="A24" s="62" t="str">
        <f>'G-1 All Habitats'!B23</f>
        <v>Grassland - Upland acid grassland</v>
      </c>
      <c r="B24" s="316">
        <v>3</v>
      </c>
      <c r="C24" s="316">
        <v>2.50</v>
      </c>
      <c r="D24" s="316">
        <v>2</v>
      </c>
      <c r="E24" s="316">
        <v>1.50</v>
      </c>
      <c r="F24" s="316">
        <v>1</v>
      </c>
      <c r="G24" s="316" t="s">
        <v>1158</v>
      </c>
      <c r="H24" s="316" t="s">
        <v>1158</v>
      </c>
      <c r="I24" s="30" t="str">
        <f t="shared" si="0"/>
        <v>Cond4</v>
      </c>
    </row>
    <row r="25" spans="1:9" ht="15" customHeight="1">
      <c r="A25" s="62" t="str">
        <f>'G-1 All Habitats'!B24</f>
        <v>Grassland - Upland calcareous grassland</v>
      </c>
      <c r="B25" s="316">
        <v>3</v>
      </c>
      <c r="C25" s="316">
        <v>2.50</v>
      </c>
      <c r="D25" s="316">
        <v>2</v>
      </c>
      <c r="E25" s="316">
        <v>1.50</v>
      </c>
      <c r="F25" s="316">
        <v>1</v>
      </c>
      <c r="G25" s="316" t="s">
        <v>1158</v>
      </c>
      <c r="H25" s="316" t="s">
        <v>1158</v>
      </c>
      <c r="I25" s="30" t="str">
        <f t="shared" si="0"/>
        <v>Cond4</v>
      </c>
    </row>
    <row r="26" spans="1:9" ht="15" customHeight="1">
      <c r="A26" s="62" t="str">
        <f>'G-1 All Habitats'!B25</f>
        <v>Grassland - Upland hay meadows</v>
      </c>
      <c r="B26" s="316">
        <v>3</v>
      </c>
      <c r="C26" s="316">
        <v>2.50</v>
      </c>
      <c r="D26" s="316">
        <v>2</v>
      </c>
      <c r="E26" s="316">
        <v>1.50</v>
      </c>
      <c r="F26" s="316">
        <v>1</v>
      </c>
      <c r="G26" s="316" t="s">
        <v>1158</v>
      </c>
      <c r="H26" s="316" t="s">
        <v>1158</v>
      </c>
      <c r="I26" s="30" t="str">
        <f t="shared" si="0"/>
        <v>Cond4</v>
      </c>
    </row>
    <row r="27" spans="1:9" ht="14">
      <c r="A27" s="62" t="str">
        <f>'G-1 All Habitats'!B26</f>
        <v>Heathland and shrub - Blackthorn scrub</v>
      </c>
      <c r="B27" s="316">
        <v>3</v>
      </c>
      <c r="C27" s="316">
        <v>2.50</v>
      </c>
      <c r="D27" s="316">
        <v>2</v>
      </c>
      <c r="E27" s="316">
        <v>1.50</v>
      </c>
      <c r="F27" s="316">
        <v>1</v>
      </c>
      <c r="G27" s="316" t="s">
        <v>1158</v>
      </c>
      <c r="H27" s="316" t="s">
        <v>1158</v>
      </c>
      <c r="I27" s="30" t="str">
        <f t="shared" si="0"/>
        <v>Cond4</v>
      </c>
    </row>
    <row r="28" spans="1:9" ht="14">
      <c r="A28" s="62" t="str">
        <f>'G-1 All Habitats'!B27</f>
        <v>Heathland and shrub - Bramble scrub</v>
      </c>
      <c r="B28" s="316" t="s">
        <v>1158</v>
      </c>
      <c r="C28" s="316" t="s">
        <v>1158</v>
      </c>
      <c r="D28" s="316" t="s">
        <v>1158</v>
      </c>
      <c r="E28" s="316" t="s">
        <v>1158</v>
      </c>
      <c r="F28" s="316" t="s">
        <v>1158</v>
      </c>
      <c r="G28" s="316">
        <v>1</v>
      </c>
      <c r="H28" s="316" t="s">
        <v>1158</v>
      </c>
      <c r="I28" s="30" t="str">
        <f t="shared" si="0"/>
        <v>Cond1</v>
      </c>
    </row>
    <row r="29" spans="1:9" ht="14">
      <c r="A29" s="62" t="str">
        <f>'G-1 All Habitats'!B28</f>
        <v>Heathland and shrub - Gorse scrub</v>
      </c>
      <c r="B29" s="316">
        <v>3</v>
      </c>
      <c r="C29" s="316">
        <v>2.50</v>
      </c>
      <c r="D29" s="316">
        <v>2</v>
      </c>
      <c r="E29" s="316">
        <v>1.50</v>
      </c>
      <c r="F29" s="316">
        <v>1</v>
      </c>
      <c r="G29" s="316" t="s">
        <v>1158</v>
      </c>
      <c r="H29" s="316" t="s">
        <v>1158</v>
      </c>
      <c r="I29" s="30" t="str">
        <f t="shared" si="0"/>
        <v>Cond4</v>
      </c>
    </row>
    <row r="30" spans="1:9" ht="14">
      <c r="A30" s="62" t="str">
        <f>'G-1 All Habitats'!B29</f>
        <v>Heathland and shrub - Hawthorn scrub</v>
      </c>
      <c r="B30" s="316">
        <v>3</v>
      </c>
      <c r="C30" s="316">
        <v>2.50</v>
      </c>
      <c r="D30" s="316">
        <v>2</v>
      </c>
      <c r="E30" s="316">
        <v>1.50</v>
      </c>
      <c r="F30" s="316">
        <v>1</v>
      </c>
      <c r="G30" s="316" t="s">
        <v>1158</v>
      </c>
      <c r="H30" s="316" t="s">
        <v>1158</v>
      </c>
      <c r="I30" s="30" t="str">
        <f t="shared" si="0"/>
        <v>Cond4</v>
      </c>
    </row>
    <row r="31" spans="1:9" ht="14">
      <c r="A31" s="62" t="str">
        <f>'G-1 All Habitats'!B30</f>
        <v>Heathland and shrub - Hazel scrub</v>
      </c>
      <c r="B31" s="316">
        <v>3</v>
      </c>
      <c r="C31" s="316">
        <v>2.50</v>
      </c>
      <c r="D31" s="316">
        <v>2</v>
      </c>
      <c r="E31" s="316">
        <v>1.50</v>
      </c>
      <c r="F31" s="316">
        <v>1</v>
      </c>
      <c r="G31" s="316" t="s">
        <v>1158</v>
      </c>
      <c r="H31" s="316" t="s">
        <v>1158</v>
      </c>
      <c r="I31" s="30" t="str">
        <f t="shared" si="0"/>
        <v>Cond4</v>
      </c>
    </row>
    <row r="32" spans="1:9" ht="14">
      <c r="A32" s="62" t="str">
        <f>'G-1 All Habitats'!B31</f>
        <v>Heathland and shrub - Lowland heathland</v>
      </c>
      <c r="B32" s="316">
        <v>3</v>
      </c>
      <c r="C32" s="316">
        <v>2.50</v>
      </c>
      <c r="D32" s="316">
        <v>2</v>
      </c>
      <c r="E32" s="316">
        <v>1.50</v>
      </c>
      <c r="F32" s="316">
        <v>1</v>
      </c>
      <c r="G32" s="316" t="s">
        <v>1158</v>
      </c>
      <c r="H32" s="316" t="s">
        <v>1158</v>
      </c>
      <c r="I32" s="30" t="str">
        <f t="shared" si="0"/>
        <v>Cond4</v>
      </c>
    </row>
    <row r="33" spans="1:9" ht="14">
      <c r="A33" s="62" t="str">
        <f>'G-1 All Habitats'!B32</f>
        <v>Heathland and shrub - Mixed scrub</v>
      </c>
      <c r="B33" s="316">
        <v>3</v>
      </c>
      <c r="C33" s="316">
        <v>2.50</v>
      </c>
      <c r="D33" s="316">
        <v>2</v>
      </c>
      <c r="E33" s="316">
        <v>1.50</v>
      </c>
      <c r="F33" s="316">
        <v>1</v>
      </c>
      <c r="G33" s="316" t="s">
        <v>1158</v>
      </c>
      <c r="H33" s="316" t="s">
        <v>1158</v>
      </c>
      <c r="I33" s="30" t="str">
        <f t="shared" si="0"/>
        <v>Cond4</v>
      </c>
    </row>
    <row r="34" spans="1:9" ht="14">
      <c r="A34" s="62" t="str">
        <f>'G-1 All Habitats'!B33</f>
        <v>Heathland and shrub - Mountain heaths and willow scrub</v>
      </c>
      <c r="B34" s="316">
        <v>3</v>
      </c>
      <c r="C34" s="316">
        <v>2.50</v>
      </c>
      <c r="D34" s="316">
        <v>2</v>
      </c>
      <c r="E34" s="316">
        <v>1.50</v>
      </c>
      <c r="F34" s="316">
        <v>1</v>
      </c>
      <c r="G34" s="316" t="s">
        <v>1158</v>
      </c>
      <c r="H34" s="316" t="s">
        <v>1158</v>
      </c>
      <c r="I34" s="30" t="str">
        <f t="shared" si="0"/>
        <v>Cond4</v>
      </c>
    </row>
    <row r="35" spans="1:9" ht="14">
      <c r="A35" s="62" t="str">
        <f>'G-1 All Habitats'!B34</f>
        <v>Heathland and shrub - Rhododendron scrub</v>
      </c>
      <c r="B35" s="316" t="s">
        <v>1158</v>
      </c>
      <c r="C35" s="316" t="s">
        <v>1158</v>
      </c>
      <c r="D35" s="316" t="s">
        <v>1158</v>
      </c>
      <c r="E35" s="316" t="s">
        <v>1158</v>
      </c>
      <c r="F35" s="316" t="s">
        <v>1158</v>
      </c>
      <c r="G35" s="316">
        <v>1</v>
      </c>
      <c r="H35" s="316" t="s">
        <v>1158</v>
      </c>
      <c r="I35" s="30" t="str">
        <f t="shared" si="0"/>
        <v>Cond1</v>
      </c>
    </row>
    <row r="36" spans="1:9" ht="14">
      <c r="A36" s="62" t="str">
        <f>'G-1 All Habitats'!B35</f>
        <v>Heathland and shrub - Dunes with sea buckthorn (H2160)</v>
      </c>
      <c r="B36" s="316">
        <v>3</v>
      </c>
      <c r="C36" s="316">
        <v>2.50</v>
      </c>
      <c r="D36" s="316">
        <v>2</v>
      </c>
      <c r="E36" s="316">
        <v>1.50</v>
      </c>
      <c r="F36" s="316">
        <v>1</v>
      </c>
      <c r="G36" s="316" t="s">
        <v>1158</v>
      </c>
      <c r="H36" s="316" t="s">
        <v>1158</v>
      </c>
      <c r="I36" s="30" t="str">
        <f t="shared" si="0"/>
        <v>Cond4</v>
      </c>
    </row>
    <row r="37" spans="1:9" ht="14">
      <c r="A37" s="62" t="str">
        <f>'G-1 All Habitats'!B36</f>
        <v>Heathland and shrub - Other sea buckthorn scrub</v>
      </c>
      <c r="B37" s="316" t="s">
        <v>1158</v>
      </c>
      <c r="C37" s="316" t="s">
        <v>1158</v>
      </c>
      <c r="D37" s="316" t="s">
        <v>1158</v>
      </c>
      <c r="E37" s="316" t="s">
        <v>1158</v>
      </c>
      <c r="F37" s="316" t="s">
        <v>1158</v>
      </c>
      <c r="G37" s="316">
        <v>1</v>
      </c>
      <c r="H37" s="316" t="s">
        <v>1158</v>
      </c>
      <c r="I37" s="30" t="str">
        <f t="shared" si="0"/>
        <v>Cond1</v>
      </c>
    </row>
    <row r="38" spans="1:9" ht="14">
      <c r="A38" s="62" t="s">
        <v>779</v>
      </c>
      <c r="B38" s="316">
        <v>3</v>
      </c>
      <c r="C38" s="316">
        <v>2.50</v>
      </c>
      <c r="D38" s="316">
        <v>2</v>
      </c>
      <c r="E38" s="316">
        <v>1.50</v>
      </c>
      <c r="F38" s="316">
        <v>1</v>
      </c>
      <c r="G38" s="316" t="s">
        <v>1158</v>
      </c>
      <c r="H38" s="316" t="s">
        <v>1158</v>
      </c>
      <c r="I38" s="30" t="str">
        <f t="shared" si="0"/>
        <v>Cond4</v>
      </c>
    </row>
    <row r="39" spans="1:9" ht="14">
      <c r="A39" s="62" t="str">
        <f>'G-1 All Habitats'!B38</f>
        <v>Heathland and shrub - Upland heathland</v>
      </c>
      <c r="B39" s="316">
        <v>3</v>
      </c>
      <c r="C39" s="316">
        <v>2.50</v>
      </c>
      <c r="D39" s="316">
        <v>2</v>
      </c>
      <c r="E39" s="316">
        <v>1.50</v>
      </c>
      <c r="F39" s="316">
        <v>1</v>
      </c>
      <c r="G39" s="316" t="s">
        <v>1158</v>
      </c>
      <c r="H39" s="316" t="s">
        <v>1158</v>
      </c>
      <c r="I39" s="30" t="str">
        <f t="shared" si="0"/>
        <v>Cond4</v>
      </c>
    </row>
    <row r="40" spans="1:9" ht="14">
      <c r="A40" s="62" t="str">
        <f>'G-1 All Habitats'!B39</f>
        <v>Lakes - Aquifer fed naturally fluctuating water bodies</v>
      </c>
      <c r="B40" s="316">
        <v>3</v>
      </c>
      <c r="C40" s="316">
        <v>2.50</v>
      </c>
      <c r="D40" s="316">
        <v>2</v>
      </c>
      <c r="E40" s="316">
        <v>1.50</v>
      </c>
      <c r="F40" s="316">
        <v>1</v>
      </c>
      <c r="G40" s="316" t="s">
        <v>1158</v>
      </c>
      <c r="H40" s="316" t="s">
        <v>1158</v>
      </c>
      <c r="I40" s="30" t="str">
        <f t="shared" si="0"/>
        <v>Cond4</v>
      </c>
    </row>
    <row r="41" spans="1:9" ht="14">
      <c r="A41" s="62" t="str">
        <f>'G-1 All Habitats'!B41</f>
        <v>Lakes - High alkalinity lakes</v>
      </c>
      <c r="B41" s="316">
        <v>3</v>
      </c>
      <c r="C41" s="316">
        <v>2.50</v>
      </c>
      <c r="D41" s="316">
        <v>2</v>
      </c>
      <c r="E41" s="316">
        <v>1.50</v>
      </c>
      <c r="F41" s="316">
        <v>1</v>
      </c>
      <c r="G41" s="316" t="s">
        <v>1158</v>
      </c>
      <c r="H41" s="316" t="s">
        <v>1158</v>
      </c>
      <c r="I41" s="30" t="str">
        <f t="shared" si="0"/>
        <v>Cond4</v>
      </c>
    </row>
    <row r="42" spans="1:9" ht="14">
      <c r="A42" s="62" t="str">
        <f>'G-1 All Habitats'!B42</f>
        <v>Lakes - Low alkalinity lakes</v>
      </c>
      <c r="B42" s="316">
        <v>3</v>
      </c>
      <c r="C42" s="316">
        <v>2.50</v>
      </c>
      <c r="D42" s="316">
        <v>2</v>
      </c>
      <c r="E42" s="316">
        <v>1.50</v>
      </c>
      <c r="F42" s="316">
        <v>1</v>
      </c>
      <c r="G42" s="316" t="s">
        <v>1158</v>
      </c>
      <c r="H42" s="316" t="s">
        <v>1158</v>
      </c>
      <c r="I42" s="30" t="str">
        <f t="shared" si="1" ref="I42:I74">IF(G42=1,"Cond1",IF(H42=0,"Cond2",IF(AND(B42=3,C42=2.5,D42=2,E42=1.5,F42=1),"Cond4",IF(F42=1,"Cond3","Check"))))</f>
        <v>Cond4</v>
      </c>
    </row>
    <row r="43" spans="1:9" ht="14">
      <c r="A43" s="62" t="str">
        <f>'G-1 All Habitats'!B43</f>
        <v>Lakes - Marl lakes</v>
      </c>
      <c r="B43" s="316">
        <v>3</v>
      </c>
      <c r="C43" s="316">
        <v>2.50</v>
      </c>
      <c r="D43" s="316">
        <v>2</v>
      </c>
      <c r="E43" s="316">
        <v>1.50</v>
      </c>
      <c r="F43" s="316">
        <v>1</v>
      </c>
      <c r="G43" s="316" t="s">
        <v>1158</v>
      </c>
      <c r="H43" s="316" t="s">
        <v>1158</v>
      </c>
      <c r="I43" s="30" t="str">
        <f t="shared" si="1"/>
        <v>Cond4</v>
      </c>
    </row>
    <row r="44" spans="1:9" ht="14">
      <c r="A44" s="62" t="str">
        <f>'G-1 All Habitats'!B44</f>
        <v>Lakes - Moderate alkalinity lakes</v>
      </c>
      <c r="B44" s="316">
        <v>3</v>
      </c>
      <c r="C44" s="316">
        <v>2.50</v>
      </c>
      <c r="D44" s="316">
        <v>2</v>
      </c>
      <c r="E44" s="316">
        <v>1.50</v>
      </c>
      <c r="F44" s="316">
        <v>1</v>
      </c>
      <c r="G44" s="316" t="s">
        <v>1158</v>
      </c>
      <c r="H44" s="316" t="s">
        <v>1158</v>
      </c>
      <c r="I44" s="30" t="str">
        <f t="shared" si="1"/>
        <v>Cond4</v>
      </c>
    </row>
    <row r="45" spans="1:9" ht="14">
      <c r="A45" s="62" t="str">
        <f>'G-1 All Habitats'!B45</f>
        <v>Lakes - Peat lakes</v>
      </c>
      <c r="B45" s="316">
        <v>3</v>
      </c>
      <c r="C45" s="316">
        <v>2.50</v>
      </c>
      <c r="D45" s="316">
        <v>2</v>
      </c>
      <c r="E45" s="316">
        <v>1.50</v>
      </c>
      <c r="F45" s="316">
        <v>1</v>
      </c>
      <c r="G45" s="316" t="s">
        <v>1158</v>
      </c>
      <c r="H45" s="316" t="s">
        <v>1158</v>
      </c>
      <c r="I45" s="30" t="str">
        <f t="shared" si="1"/>
        <v>Cond4</v>
      </c>
    </row>
    <row r="46" spans="1:9" ht="14">
      <c r="A46" s="62" t="str">
        <f>'G-1 All Habitats'!B46</f>
        <v>Lakes - Ponds (priority habitat)</v>
      </c>
      <c r="B46" s="316">
        <v>3</v>
      </c>
      <c r="C46" s="316">
        <v>2.50</v>
      </c>
      <c r="D46" s="316">
        <v>2</v>
      </c>
      <c r="E46" s="316">
        <v>1.50</v>
      </c>
      <c r="F46" s="316">
        <v>1</v>
      </c>
      <c r="G46" s="316" t="s">
        <v>1158</v>
      </c>
      <c r="H46" s="316" t="s">
        <v>1158</v>
      </c>
      <c r="I46" s="30" t="str">
        <f t="shared" si="1"/>
        <v>Cond4</v>
      </c>
    </row>
    <row r="47" spans="1:9" ht="14">
      <c r="A47" s="62" t="str">
        <f>'G-1 All Habitats'!B47</f>
        <v>Lakes - Ponds (non-priority habitat)</v>
      </c>
      <c r="B47" s="316">
        <v>3</v>
      </c>
      <c r="C47" s="316">
        <v>2.50</v>
      </c>
      <c r="D47" s="316">
        <v>2</v>
      </c>
      <c r="E47" s="316">
        <v>1.50</v>
      </c>
      <c r="F47" s="316">
        <v>1</v>
      </c>
      <c r="G47" s="316" t="s">
        <v>1158</v>
      </c>
      <c r="H47" s="316" t="s">
        <v>1158</v>
      </c>
      <c r="I47" s="30" t="str">
        <f t="shared" si="1"/>
        <v>Cond4</v>
      </c>
    </row>
    <row r="48" spans="1:9" ht="14">
      <c r="A48" s="62" t="str">
        <f>'G-1 All Habitats'!B48</f>
        <v>Lakes - Reservoirs</v>
      </c>
      <c r="B48" s="316">
        <v>3</v>
      </c>
      <c r="C48" s="316">
        <v>2.50</v>
      </c>
      <c r="D48" s="316">
        <v>2</v>
      </c>
      <c r="E48" s="316">
        <v>1.50</v>
      </c>
      <c r="F48" s="316">
        <v>1</v>
      </c>
      <c r="G48" s="316" t="s">
        <v>1158</v>
      </c>
      <c r="H48" s="316" t="s">
        <v>1158</v>
      </c>
      <c r="I48" s="30" t="str">
        <f t="shared" si="1"/>
        <v>Cond4</v>
      </c>
    </row>
    <row r="49" spans="1:9" ht="14">
      <c r="A49" s="62" t="str">
        <f>'G-1 All Habitats'!B49</f>
        <v>Lakes - Temporary lakes ponds and pools (H3170)</v>
      </c>
      <c r="B49" s="316">
        <v>3</v>
      </c>
      <c r="C49" s="316">
        <v>2.50</v>
      </c>
      <c r="D49" s="316">
        <v>2</v>
      </c>
      <c r="E49" s="316">
        <v>1.50</v>
      </c>
      <c r="F49" s="316">
        <v>1</v>
      </c>
      <c r="G49" s="316" t="s">
        <v>1158</v>
      </c>
      <c r="H49" s="316" t="s">
        <v>1158</v>
      </c>
      <c r="I49" s="30" t="str">
        <f t="shared" si="1"/>
        <v>Cond4</v>
      </c>
    </row>
    <row r="50" spans="1:9" ht="14">
      <c r="A50" s="62" t="str">
        <f>'G-1 All Habitats'!B50</f>
        <v>Sparsely vegetated land - Calaminarian grasslands</v>
      </c>
      <c r="B50" s="316">
        <v>3</v>
      </c>
      <c r="C50" s="316">
        <v>2.50</v>
      </c>
      <c r="D50" s="316">
        <v>2</v>
      </c>
      <c r="E50" s="316">
        <v>1.50</v>
      </c>
      <c r="F50" s="316">
        <v>1</v>
      </c>
      <c r="G50" s="316" t="s">
        <v>1158</v>
      </c>
      <c r="H50" s="316" t="s">
        <v>1158</v>
      </c>
      <c r="I50" s="30" t="str">
        <f t="shared" si="1"/>
        <v>Cond4</v>
      </c>
    </row>
    <row r="51" spans="1:9" ht="14">
      <c r="A51" s="62" t="str">
        <f>'G-1 All Habitats'!B51</f>
        <v>Sparsely vegetated land - Coastal sand dunes</v>
      </c>
      <c r="B51" s="316">
        <v>3</v>
      </c>
      <c r="C51" s="316">
        <v>2.50</v>
      </c>
      <c r="D51" s="316">
        <v>2</v>
      </c>
      <c r="E51" s="316">
        <v>1.50</v>
      </c>
      <c r="F51" s="316">
        <v>1</v>
      </c>
      <c r="G51" s="316" t="s">
        <v>1158</v>
      </c>
      <c r="H51" s="316" t="s">
        <v>1158</v>
      </c>
      <c r="I51" s="30" t="str">
        <f t="shared" si="1"/>
        <v>Cond4</v>
      </c>
    </row>
    <row r="52" spans="1:9" ht="14">
      <c r="A52" s="62" t="str">
        <f>'G-1 All Habitats'!B52</f>
        <v>Sparsely vegetated land - Coastal vegetated shingle</v>
      </c>
      <c r="B52" s="316">
        <v>3</v>
      </c>
      <c r="C52" s="316">
        <v>2.50</v>
      </c>
      <c r="D52" s="316">
        <v>2</v>
      </c>
      <c r="E52" s="316">
        <v>1.50</v>
      </c>
      <c r="F52" s="316">
        <v>1</v>
      </c>
      <c r="G52" s="316" t="s">
        <v>1158</v>
      </c>
      <c r="H52" s="316" t="s">
        <v>1158</v>
      </c>
      <c r="I52" s="30" t="str">
        <f t="shared" si="1"/>
        <v>Cond4</v>
      </c>
    </row>
    <row r="53" spans="1:9" ht="14">
      <c r="A53" s="62" t="str">
        <f>'G-1 All Habitats'!B53</f>
        <v>Sparsely vegetated land - Ruderal/Ephemeral</v>
      </c>
      <c r="B53" s="316">
        <v>3</v>
      </c>
      <c r="C53" s="316">
        <v>2.50</v>
      </c>
      <c r="D53" s="316">
        <v>2</v>
      </c>
      <c r="E53" s="316">
        <v>1.50</v>
      </c>
      <c r="F53" s="316">
        <v>1</v>
      </c>
      <c r="G53" s="316" t="s">
        <v>1158</v>
      </c>
      <c r="H53" s="316" t="s">
        <v>1158</v>
      </c>
      <c r="I53" s="30" t="str">
        <f t="shared" si="1"/>
        <v>Cond4</v>
      </c>
    </row>
    <row r="54" spans="1:9" ht="14">
      <c r="A54" s="62" t="s">
        <v>822</v>
      </c>
      <c r="B54" s="316">
        <v>3</v>
      </c>
      <c r="C54" s="316">
        <v>2.50</v>
      </c>
      <c r="D54" s="316">
        <v>2</v>
      </c>
      <c r="E54" s="316">
        <v>1.50</v>
      </c>
      <c r="F54" s="316">
        <v>1</v>
      </c>
      <c r="G54" s="316" t="s">
        <v>1158</v>
      </c>
      <c r="H54" s="316" t="s">
        <v>1158</v>
      </c>
      <c r="I54" s="30" t="str">
        <f t="shared" si="1"/>
        <v>Cond4</v>
      </c>
    </row>
    <row r="55" spans="1:9" ht="14">
      <c r="A55" s="62" t="str">
        <f>'G-1 All Habitats'!B55</f>
        <v>Sparsely vegetated land - Inland rock outcrop and scree habitats</v>
      </c>
      <c r="B55" s="316">
        <v>3</v>
      </c>
      <c r="C55" s="316">
        <v>2.50</v>
      </c>
      <c r="D55" s="316">
        <v>2</v>
      </c>
      <c r="E55" s="316">
        <v>1.50</v>
      </c>
      <c r="F55" s="316">
        <v>1</v>
      </c>
      <c r="G55" s="316" t="s">
        <v>1158</v>
      </c>
      <c r="H55" s="316" t="s">
        <v>1158</v>
      </c>
      <c r="I55" s="30" t="str">
        <f t="shared" si="1"/>
        <v>Cond4</v>
      </c>
    </row>
    <row r="56" spans="1:9" ht="14">
      <c r="A56" s="62" t="str">
        <f>'G-1 All Habitats'!B56</f>
        <v>Sparsely vegetated land - Limestone pavement</v>
      </c>
      <c r="B56" s="316">
        <v>3</v>
      </c>
      <c r="C56" s="316">
        <v>2.50</v>
      </c>
      <c r="D56" s="316">
        <v>2</v>
      </c>
      <c r="E56" s="316">
        <v>1.50</v>
      </c>
      <c r="F56" s="316">
        <v>1</v>
      </c>
      <c r="G56" s="316" t="s">
        <v>1158</v>
      </c>
      <c r="H56" s="316" t="s">
        <v>1158</v>
      </c>
      <c r="I56" s="30" t="str">
        <f t="shared" si="1"/>
        <v>Cond4</v>
      </c>
    </row>
    <row r="57" spans="1:9" ht="14">
      <c r="A57" s="62" t="str">
        <f>'G-1 All Habitats'!B57</f>
        <v>Sparsely vegetated land - Maritime cliff and slopes</v>
      </c>
      <c r="B57" s="316">
        <v>3</v>
      </c>
      <c r="C57" s="316">
        <v>2.50</v>
      </c>
      <c r="D57" s="316">
        <v>2</v>
      </c>
      <c r="E57" s="316">
        <v>1.50</v>
      </c>
      <c r="F57" s="316">
        <v>1</v>
      </c>
      <c r="G57" s="316" t="s">
        <v>1158</v>
      </c>
      <c r="H57" s="316" t="s">
        <v>1158</v>
      </c>
      <c r="I57" s="30" t="str">
        <f t="shared" si="1"/>
        <v>Cond4</v>
      </c>
    </row>
    <row r="58" spans="1:9" ht="14">
      <c r="A58" s="62" t="str">
        <f>'G-1 All Habitats'!B58</f>
        <v>Sparsely vegetated land - Other inland rock and scree</v>
      </c>
      <c r="B58" s="316">
        <v>3</v>
      </c>
      <c r="C58" s="316">
        <v>2.50</v>
      </c>
      <c r="D58" s="316">
        <v>2</v>
      </c>
      <c r="E58" s="316">
        <v>1.50</v>
      </c>
      <c r="F58" s="316">
        <v>1</v>
      </c>
      <c r="G58" s="316" t="s">
        <v>1158</v>
      </c>
      <c r="H58" s="316" t="s">
        <v>1158</v>
      </c>
      <c r="I58" s="30" t="str">
        <f t="shared" si="1"/>
        <v>Cond4</v>
      </c>
    </row>
    <row r="59" spans="1:9" ht="14">
      <c r="A59" s="62" t="str">
        <f>'G-1 All Habitats'!B59</f>
        <v>Urban - Allotments</v>
      </c>
      <c r="B59" s="316">
        <v>3</v>
      </c>
      <c r="C59" s="316">
        <v>2.50</v>
      </c>
      <c r="D59" s="316">
        <v>2</v>
      </c>
      <c r="E59" s="316">
        <v>1.50</v>
      </c>
      <c r="F59" s="316">
        <v>1</v>
      </c>
      <c r="G59" s="316" t="s">
        <v>1158</v>
      </c>
      <c r="H59" s="316" t="s">
        <v>1158</v>
      </c>
      <c r="I59" s="30" t="str">
        <f t="shared" si="1"/>
        <v>Cond4</v>
      </c>
    </row>
    <row r="60" spans="1:9" ht="14">
      <c r="A60" s="62" t="str">
        <f>'G-1 All Habitats'!B40</f>
        <v>Lakes - Ornamental lake or pond</v>
      </c>
      <c r="B60" s="316">
        <v>3</v>
      </c>
      <c r="C60" s="316">
        <v>2.50</v>
      </c>
      <c r="D60" s="316">
        <v>2</v>
      </c>
      <c r="E60" s="316">
        <v>1.50</v>
      </c>
      <c r="F60" s="316">
        <v>1</v>
      </c>
      <c r="G60" s="316" t="s">
        <v>1158</v>
      </c>
      <c r="H60" s="316" t="s">
        <v>1158</v>
      </c>
      <c r="I60" s="30" t="str">
        <f t="shared" si="1"/>
        <v>Cond4</v>
      </c>
    </row>
    <row r="61" spans="1:9" ht="14">
      <c r="A61" s="62" t="str">
        <f>'G-1 All Habitats'!B60</f>
        <v>Urban - Artificial unvegetated, unsealed surface</v>
      </c>
      <c r="B61" s="316" t="s">
        <v>1158</v>
      </c>
      <c r="C61" s="316" t="s">
        <v>1158</v>
      </c>
      <c r="D61" s="316" t="s">
        <v>1158</v>
      </c>
      <c r="E61" s="316" t="s">
        <v>1158</v>
      </c>
      <c r="F61" s="316" t="s">
        <v>1158</v>
      </c>
      <c r="G61" s="316" t="s">
        <v>1158</v>
      </c>
      <c r="H61" s="344">
        <v>0</v>
      </c>
      <c r="I61" s="30" t="str">
        <f t="shared" si="1"/>
        <v>Cond2</v>
      </c>
    </row>
    <row r="62" spans="1:9" ht="14">
      <c r="A62" s="62" t="str">
        <f>'G-1 All Habitats'!B61</f>
        <v>Urban - Bioswale</v>
      </c>
      <c r="B62" s="316">
        <v>3</v>
      </c>
      <c r="C62" s="316">
        <v>2.50</v>
      </c>
      <c r="D62" s="316">
        <v>2</v>
      </c>
      <c r="E62" s="316">
        <v>1.50</v>
      </c>
      <c r="F62" s="316">
        <v>1</v>
      </c>
      <c r="G62" s="316" t="s">
        <v>1158</v>
      </c>
      <c r="H62" s="316" t="s">
        <v>1158</v>
      </c>
      <c r="I62" s="30" t="str">
        <f t="shared" si="1"/>
        <v>Cond4</v>
      </c>
    </row>
    <row r="63" spans="1:9" ht="14">
      <c r="A63" s="62" t="str">
        <f>'G-1 All Habitats'!B62</f>
        <v>Urban - Intensive green roof</v>
      </c>
      <c r="B63" s="316">
        <v>3</v>
      </c>
      <c r="C63" s="316">
        <v>2.50</v>
      </c>
      <c r="D63" s="316">
        <v>2</v>
      </c>
      <c r="E63" s="316">
        <v>1.50</v>
      </c>
      <c r="F63" s="316">
        <v>1</v>
      </c>
      <c r="G63" s="316" t="s">
        <v>1158</v>
      </c>
      <c r="H63" s="316" t="s">
        <v>1158</v>
      </c>
      <c r="I63" s="30" t="str">
        <f t="shared" si="1"/>
        <v>Cond4</v>
      </c>
    </row>
    <row r="64" spans="1:9" ht="14">
      <c r="A64" s="62" t="str">
        <f>'G-1 All Habitats'!B63</f>
        <v>Urban - Built linear features</v>
      </c>
      <c r="B64" s="316" t="s">
        <v>1158</v>
      </c>
      <c r="C64" s="316" t="s">
        <v>1158</v>
      </c>
      <c r="D64" s="316" t="s">
        <v>1158</v>
      </c>
      <c r="E64" s="316" t="s">
        <v>1158</v>
      </c>
      <c r="F64" s="316" t="s">
        <v>1158</v>
      </c>
      <c r="G64" s="316" t="s">
        <v>1158</v>
      </c>
      <c r="H64" s="344">
        <v>0</v>
      </c>
      <c r="I64" s="30" t="str">
        <f t="shared" si="1"/>
        <v>Cond2</v>
      </c>
    </row>
    <row r="65" spans="1:9" ht="14">
      <c r="A65" s="62" t="str">
        <f>'G-1 All Habitats'!B64</f>
        <v>Urban - Cemeteries and churchyards</v>
      </c>
      <c r="B65" s="316">
        <v>3</v>
      </c>
      <c r="C65" s="316">
        <v>2.50</v>
      </c>
      <c r="D65" s="316">
        <v>2</v>
      </c>
      <c r="E65" s="316">
        <v>1.50</v>
      </c>
      <c r="F65" s="316">
        <v>1</v>
      </c>
      <c r="G65" s="316" t="s">
        <v>1158</v>
      </c>
      <c r="H65" s="316" t="s">
        <v>1158</v>
      </c>
      <c r="I65" s="30" t="str">
        <f t="shared" si="1"/>
        <v>Cond4</v>
      </c>
    </row>
    <row r="66" spans="1:9" ht="14">
      <c r="A66" s="62" t="str">
        <f>'G-1 All Habitats'!B65</f>
        <v>Urban - Developed land; sealed surface</v>
      </c>
      <c r="B66" s="316" t="s">
        <v>1158</v>
      </c>
      <c r="C66" s="316" t="s">
        <v>1158</v>
      </c>
      <c r="D66" s="316" t="s">
        <v>1158</v>
      </c>
      <c r="E66" s="316" t="s">
        <v>1158</v>
      </c>
      <c r="F66" s="316" t="s">
        <v>1158</v>
      </c>
      <c r="G66" s="316" t="s">
        <v>1158</v>
      </c>
      <c r="H66" s="344">
        <v>0</v>
      </c>
      <c r="I66" s="30" t="str">
        <f t="shared" si="1"/>
        <v>Cond2</v>
      </c>
    </row>
    <row r="67" spans="1:9" ht="14">
      <c r="A67" s="62" t="str">
        <f>'G-1 All Habitats'!B66</f>
        <v>Urban - Other green roof</v>
      </c>
      <c r="B67" s="316" t="s">
        <v>1158</v>
      </c>
      <c r="C67" s="316" t="s">
        <v>1158</v>
      </c>
      <c r="D67" s="316" t="s">
        <v>1158</v>
      </c>
      <c r="E67" s="316" t="s">
        <v>1158</v>
      </c>
      <c r="F67" s="316" t="s">
        <v>1158</v>
      </c>
      <c r="G67" s="316">
        <v>1</v>
      </c>
      <c r="H67" s="316" t="s">
        <v>1158</v>
      </c>
      <c r="I67" s="30" t="str">
        <f t="shared" si="1"/>
        <v>Cond1</v>
      </c>
    </row>
    <row r="68" spans="1:9" ht="14">
      <c r="A68" s="62" t="str">
        <f>'G-1 All Habitats'!B67</f>
        <v>Urban - Facade-bound green wall</v>
      </c>
      <c r="B68" s="316">
        <v>3</v>
      </c>
      <c r="C68" s="316">
        <v>2.50</v>
      </c>
      <c r="D68" s="316">
        <v>2</v>
      </c>
      <c r="E68" s="316">
        <v>1.50</v>
      </c>
      <c r="F68" s="316">
        <v>1</v>
      </c>
      <c r="G68" s="316" t="s">
        <v>1158</v>
      </c>
      <c r="H68" s="316" t="s">
        <v>1158</v>
      </c>
      <c r="I68" s="30" t="str">
        <f t="shared" si="1"/>
        <v>Cond4</v>
      </c>
    </row>
    <row r="69" spans="1:9" ht="14">
      <c r="A69" s="62" t="str">
        <f>'G-1 All Habitats'!B68</f>
        <v>Urban - Ground based green wall</v>
      </c>
      <c r="B69" s="316">
        <v>3</v>
      </c>
      <c r="C69" s="316">
        <v>2.50</v>
      </c>
      <c r="D69" s="316">
        <v>2</v>
      </c>
      <c r="E69" s="316">
        <v>1.50</v>
      </c>
      <c r="F69" s="316">
        <v>1</v>
      </c>
      <c r="G69" s="316" t="s">
        <v>1158</v>
      </c>
      <c r="H69" s="316" t="s">
        <v>1158</v>
      </c>
      <c r="I69" s="30" t="str">
        <f t="shared" si="1"/>
        <v>Cond4</v>
      </c>
    </row>
    <row r="70" spans="1:9" ht="14">
      <c r="A70" s="62" t="str">
        <f>'G-1 All Habitats'!B69</f>
        <v>Urban - Ground level planters</v>
      </c>
      <c r="B70" s="316" t="s">
        <v>1158</v>
      </c>
      <c r="C70" s="316" t="s">
        <v>1158</v>
      </c>
      <c r="D70" s="316" t="s">
        <v>1158</v>
      </c>
      <c r="E70" s="316" t="s">
        <v>1158</v>
      </c>
      <c r="F70" s="316" t="s">
        <v>1158</v>
      </c>
      <c r="G70" s="316">
        <v>1</v>
      </c>
      <c r="H70" s="316" t="s">
        <v>1158</v>
      </c>
      <c r="I70" s="30" t="str">
        <f t="shared" si="1"/>
        <v>Cond1</v>
      </c>
    </row>
    <row r="71" spans="1:9" ht="14">
      <c r="A71" s="62" t="str">
        <f>'G-1 All Habitats'!B70</f>
        <v>Urban - Biodiverse green roof</v>
      </c>
      <c r="B71" s="316">
        <v>3</v>
      </c>
      <c r="C71" s="316">
        <v>2.50</v>
      </c>
      <c r="D71" s="316">
        <v>2</v>
      </c>
      <c r="E71" s="316">
        <v>1.50</v>
      </c>
      <c r="F71" s="316">
        <v>1</v>
      </c>
      <c r="G71" s="316" t="s">
        <v>1158</v>
      </c>
      <c r="H71" s="316" t="s">
        <v>1158</v>
      </c>
      <c r="I71" s="30" t="str">
        <f t="shared" si="1"/>
        <v>Cond4</v>
      </c>
    </row>
    <row r="72" spans="1:9" ht="14">
      <c r="A72" s="62" t="str">
        <f>'G-1 All Habitats'!B71</f>
        <v>Urban - Introduced shrub</v>
      </c>
      <c r="B72" s="316" t="s">
        <v>1158</v>
      </c>
      <c r="C72" s="316" t="s">
        <v>1158</v>
      </c>
      <c r="D72" s="316" t="s">
        <v>1158</v>
      </c>
      <c r="E72" s="316" t="s">
        <v>1158</v>
      </c>
      <c r="F72" s="316" t="s">
        <v>1158</v>
      </c>
      <c r="G72" s="316">
        <v>1</v>
      </c>
      <c r="H72" s="316" t="s">
        <v>1158</v>
      </c>
      <c r="I72" s="30" t="str">
        <f t="shared" si="1"/>
        <v>Cond1</v>
      </c>
    </row>
    <row r="73" spans="1:9" ht="14">
      <c r="A73" s="62" t="str">
        <f>'G-1 All Habitats'!B72</f>
        <v>Urban - Open mosaic habitats on previously developed land</v>
      </c>
      <c r="B73" s="316">
        <v>3</v>
      </c>
      <c r="C73" s="316">
        <v>2.50</v>
      </c>
      <c r="D73" s="316">
        <v>2</v>
      </c>
      <c r="E73" s="316">
        <v>1.50</v>
      </c>
      <c r="F73" s="316">
        <v>1</v>
      </c>
      <c r="G73" s="316" t="s">
        <v>1158</v>
      </c>
      <c r="H73" s="316" t="s">
        <v>1158</v>
      </c>
      <c r="I73" s="30" t="str">
        <f t="shared" si="1"/>
        <v>Cond4</v>
      </c>
    </row>
    <row r="74" spans="1:9" ht="14">
      <c r="A74" s="62" t="str">
        <f>'G-1 All Habitats'!B73</f>
        <v>Urban - Rain garden</v>
      </c>
      <c r="B74" s="316">
        <v>3</v>
      </c>
      <c r="C74" s="316">
        <v>2.50</v>
      </c>
      <c r="D74" s="316">
        <v>2</v>
      </c>
      <c r="E74" s="316">
        <v>1.50</v>
      </c>
      <c r="F74" s="316">
        <v>1</v>
      </c>
      <c r="G74" s="316" t="s">
        <v>1158</v>
      </c>
      <c r="H74" s="316" t="s">
        <v>1158</v>
      </c>
      <c r="I74" s="30" t="str">
        <f t="shared" si="1"/>
        <v>Cond4</v>
      </c>
    </row>
    <row r="75" spans="1:9" ht="14">
      <c r="A75" s="62" t="str">
        <f>'G-1 All Habitats'!B74</f>
        <v>Urban - Actively worked sand pit quarry or open cast mine</v>
      </c>
      <c r="B75" s="316" t="s">
        <v>1158</v>
      </c>
      <c r="C75" s="316" t="s">
        <v>1158</v>
      </c>
      <c r="D75" s="316" t="s">
        <v>1158</v>
      </c>
      <c r="E75" s="316" t="s">
        <v>1158</v>
      </c>
      <c r="F75" s="316" t="s">
        <v>1158</v>
      </c>
      <c r="G75" s="316">
        <v>1</v>
      </c>
      <c r="H75" s="316" t="s">
        <v>1158</v>
      </c>
      <c r="I75" s="30" t="str">
        <f t="shared" si="2" ref="I75:I89">IF(G75=1,"Cond1",IF(H75=0,"Cond2",IF(AND(B75=3,C75=2.5,D75=2,E75=1.5,F75=1),"Cond4",IF(F75=1,"Cond3","Check"))))</f>
        <v>Cond1</v>
      </c>
    </row>
    <row r="76" spans="1:9" ht="14">
      <c r="A76" s="62" t="str">
        <f>'G-1 All Habitats'!B80</f>
        <v>Individual trees - Urban tree</v>
      </c>
      <c r="B76" s="316">
        <v>3</v>
      </c>
      <c r="C76" s="316">
        <v>2.50</v>
      </c>
      <c r="D76" s="316">
        <v>2</v>
      </c>
      <c r="E76" s="316">
        <v>1.50</v>
      </c>
      <c r="F76" s="316">
        <v>1</v>
      </c>
      <c r="G76" s="316" t="s">
        <v>1158</v>
      </c>
      <c r="H76" s="316" t="s">
        <v>1158</v>
      </c>
      <c r="I76" s="30" t="str">
        <f t="shared" si="2"/>
        <v>Cond4</v>
      </c>
    </row>
    <row r="77" spans="1:9" ht="14">
      <c r="A77" s="62" t="str">
        <f>'G-1 All Habitats'!B75</f>
        <v>Urban - Sustainable drainage system</v>
      </c>
      <c r="B77" s="316">
        <v>3</v>
      </c>
      <c r="C77" s="316">
        <v>2.50</v>
      </c>
      <c r="D77" s="316">
        <v>2</v>
      </c>
      <c r="E77" s="316">
        <v>1.50</v>
      </c>
      <c r="F77" s="316">
        <v>1</v>
      </c>
      <c r="G77" s="316" t="s">
        <v>1158</v>
      </c>
      <c r="H77" s="316" t="s">
        <v>1158</v>
      </c>
      <c r="I77" s="30" t="str">
        <f t="shared" si="2"/>
        <v>Cond4</v>
      </c>
    </row>
    <row r="78" spans="1:9" ht="14">
      <c r="A78" s="62" t="str">
        <f>'G-1 All Habitats'!B76</f>
        <v>Urban - Unvegetated garden</v>
      </c>
      <c r="B78" s="316" t="s">
        <v>1158</v>
      </c>
      <c r="C78" s="316" t="s">
        <v>1158</v>
      </c>
      <c r="D78" s="316" t="s">
        <v>1158</v>
      </c>
      <c r="E78" s="316" t="s">
        <v>1158</v>
      </c>
      <c r="F78" s="316" t="s">
        <v>1158</v>
      </c>
      <c r="G78" s="316" t="s">
        <v>1158</v>
      </c>
      <c r="H78" s="316">
        <v>0</v>
      </c>
      <c r="I78" s="30" t="str">
        <f t="shared" si="2"/>
        <v>Cond2</v>
      </c>
    </row>
    <row r="79" spans="1:9" ht="14">
      <c r="A79" s="62" t="str">
        <f>'G-1 All Habitats'!B77</f>
        <v>Urban - Vacant or derelict land</v>
      </c>
      <c r="B79" s="316">
        <v>3</v>
      </c>
      <c r="C79" s="316">
        <v>2.50</v>
      </c>
      <c r="D79" s="316">
        <v>2</v>
      </c>
      <c r="E79" s="316">
        <v>1.50</v>
      </c>
      <c r="F79" s="316">
        <v>1</v>
      </c>
      <c r="G79" s="316" t="s">
        <v>1158</v>
      </c>
      <c r="H79" s="316" t="s">
        <v>1158</v>
      </c>
      <c r="I79" s="30" t="str">
        <f t="shared" si="2"/>
        <v>Cond4</v>
      </c>
    </row>
    <row r="80" spans="1:9" ht="14">
      <c r="A80" s="62" t="s">
        <v>876</v>
      </c>
      <c r="B80" s="316">
        <v>3</v>
      </c>
      <c r="C80" s="316">
        <v>2.50</v>
      </c>
      <c r="D80" s="316">
        <v>2</v>
      </c>
      <c r="E80" s="316">
        <v>1.50</v>
      </c>
      <c r="F80" s="316">
        <v>1</v>
      </c>
      <c r="G80" s="316" t="s">
        <v>1158</v>
      </c>
      <c r="H80" s="316" t="s">
        <v>1158</v>
      </c>
      <c r="I80" s="30" t="str">
        <f t="shared" si="2"/>
        <v>Cond4</v>
      </c>
    </row>
    <row r="81" spans="1:9" ht="14">
      <c r="A81" s="62" t="str">
        <f>'G-1 All Habitats'!B79</f>
        <v>Urban - Vegetated garden</v>
      </c>
      <c r="B81" s="316" t="s">
        <v>1158</v>
      </c>
      <c r="C81" s="316" t="s">
        <v>1158</v>
      </c>
      <c r="D81" s="316" t="s">
        <v>1158</v>
      </c>
      <c r="E81" s="316" t="s">
        <v>1158</v>
      </c>
      <c r="F81" s="316" t="s">
        <v>1158</v>
      </c>
      <c r="G81" s="316">
        <v>1</v>
      </c>
      <c r="H81" s="316" t="s">
        <v>1158</v>
      </c>
      <c r="I81" s="30" t="str">
        <f t="shared" si="2"/>
        <v>Cond1</v>
      </c>
    </row>
    <row r="82" spans="1:9" ht="14">
      <c r="A82" s="62" t="str">
        <f>'G-1 All Habitats'!B82</f>
        <v>Wetland - Blanket bog</v>
      </c>
      <c r="B82" s="316">
        <v>3</v>
      </c>
      <c r="C82" s="316">
        <v>2.50</v>
      </c>
      <c r="D82" s="316">
        <v>2</v>
      </c>
      <c r="E82" s="316">
        <v>1.50</v>
      </c>
      <c r="F82" s="316">
        <v>1</v>
      </c>
      <c r="G82" s="316" t="s">
        <v>1158</v>
      </c>
      <c r="H82" s="316" t="s">
        <v>1158</v>
      </c>
      <c r="I82" s="30" t="str">
        <f t="shared" si="2"/>
        <v>Cond4</v>
      </c>
    </row>
    <row r="83" spans="1:9" ht="14">
      <c r="A83" s="62" t="str">
        <f>'G-1 All Habitats'!B83</f>
        <v>Wetland - Depressions on peat substrates (H7150)</v>
      </c>
      <c r="B83" s="316">
        <v>3</v>
      </c>
      <c r="C83" s="316">
        <v>2.50</v>
      </c>
      <c r="D83" s="316">
        <v>2</v>
      </c>
      <c r="E83" s="316">
        <v>1.50</v>
      </c>
      <c r="F83" s="316">
        <v>1</v>
      </c>
      <c r="G83" s="316" t="s">
        <v>1158</v>
      </c>
      <c r="H83" s="316" t="s">
        <v>1158</v>
      </c>
      <c r="I83" s="30" t="str">
        <f t="shared" si="2"/>
        <v>Cond4</v>
      </c>
    </row>
    <row r="84" spans="1:9" ht="14">
      <c r="A84" s="62" t="str">
        <f>'G-1 All Habitats'!B84</f>
        <v>Wetland - Fens (upland and lowland)</v>
      </c>
      <c r="B84" s="316">
        <v>3</v>
      </c>
      <c r="C84" s="316">
        <v>2.50</v>
      </c>
      <c r="D84" s="316">
        <v>2</v>
      </c>
      <c r="E84" s="316">
        <v>1.50</v>
      </c>
      <c r="F84" s="316">
        <v>1</v>
      </c>
      <c r="G84" s="316" t="s">
        <v>1158</v>
      </c>
      <c r="H84" s="316" t="s">
        <v>1158</v>
      </c>
      <c r="I84" s="30" t="str">
        <f t="shared" si="2"/>
        <v>Cond4</v>
      </c>
    </row>
    <row r="85" spans="1:9" ht="14">
      <c r="A85" s="62" t="str">
        <f>'G-1 All Habitats'!B85</f>
        <v>Wetland - Lowland raised bog</v>
      </c>
      <c r="B85" s="316">
        <v>3</v>
      </c>
      <c r="C85" s="316">
        <v>2.50</v>
      </c>
      <c r="D85" s="316">
        <v>2</v>
      </c>
      <c r="E85" s="316">
        <v>1.50</v>
      </c>
      <c r="F85" s="316">
        <v>1</v>
      </c>
      <c r="G85" s="316" t="s">
        <v>1158</v>
      </c>
      <c r="H85" s="316" t="s">
        <v>1158</v>
      </c>
      <c r="I85" s="30" t="str">
        <f t="shared" si="2"/>
        <v>Cond4</v>
      </c>
    </row>
    <row r="86" spans="1:9" ht="14">
      <c r="A86" s="62" t="str">
        <f>'G-1 All Habitats'!B86</f>
        <v>Wetland - Oceanic valley mire[1] (D2.1)</v>
      </c>
      <c r="B86" s="316">
        <v>3</v>
      </c>
      <c r="C86" s="316">
        <v>2.50</v>
      </c>
      <c r="D86" s="316">
        <v>2</v>
      </c>
      <c r="E86" s="316">
        <v>1.50</v>
      </c>
      <c r="F86" s="316">
        <v>1</v>
      </c>
      <c r="G86" s="316" t="s">
        <v>1158</v>
      </c>
      <c r="H86" s="316" t="s">
        <v>1158</v>
      </c>
      <c r="I86" s="30" t="str">
        <f t="shared" si="2"/>
        <v>Cond4</v>
      </c>
    </row>
    <row r="87" spans="1:9" ht="14">
      <c r="A87" s="62" t="str">
        <f>'G-1 All Habitats'!B87</f>
        <v>Wetland - Purple moor grass and rush pastures</v>
      </c>
      <c r="B87" s="316">
        <v>3</v>
      </c>
      <c r="C87" s="316">
        <v>2.50</v>
      </c>
      <c r="D87" s="316">
        <v>2</v>
      </c>
      <c r="E87" s="316">
        <v>1.50</v>
      </c>
      <c r="F87" s="316">
        <v>1</v>
      </c>
      <c r="G87" s="316" t="s">
        <v>1158</v>
      </c>
      <c r="H87" s="316" t="s">
        <v>1158</v>
      </c>
      <c r="I87" s="30" t="str">
        <f t="shared" si="2"/>
        <v>Cond4</v>
      </c>
    </row>
    <row r="88" spans="1:9" ht="14">
      <c r="A88" s="62" t="str">
        <f>'G-1 All Habitats'!B88</f>
        <v>Wetland - Reedbeds</v>
      </c>
      <c r="B88" s="316">
        <v>3</v>
      </c>
      <c r="C88" s="316">
        <v>2.50</v>
      </c>
      <c r="D88" s="316">
        <v>2</v>
      </c>
      <c r="E88" s="316">
        <v>1.50</v>
      </c>
      <c r="F88" s="316">
        <v>1</v>
      </c>
      <c r="G88" s="316" t="s">
        <v>1158</v>
      </c>
      <c r="H88" s="316" t="s">
        <v>1158</v>
      </c>
      <c r="I88" s="30" t="str">
        <f t="shared" si="2"/>
        <v>Cond4</v>
      </c>
    </row>
    <row r="89" spans="1:9" ht="14">
      <c r="A89" s="62" t="str">
        <f>'G-1 All Habitats'!B89</f>
        <v>Wetland - Transition mires and quaking bogs (H7140)</v>
      </c>
      <c r="B89" s="316">
        <v>3</v>
      </c>
      <c r="C89" s="316">
        <v>2.50</v>
      </c>
      <c r="D89" s="316">
        <v>2</v>
      </c>
      <c r="E89" s="316">
        <v>1.50</v>
      </c>
      <c r="F89" s="316">
        <v>1</v>
      </c>
      <c r="G89" s="316" t="s">
        <v>1158</v>
      </c>
      <c r="H89" s="316" t="s">
        <v>1158</v>
      </c>
      <c r="I89" s="30" t="str">
        <f t="shared" si="2"/>
        <v>Cond4</v>
      </c>
    </row>
    <row r="90" spans="1:9" ht="14">
      <c r="A90" s="62" t="str">
        <f>'G-1 All Habitats'!B90</f>
        <v>Woodland and forest - Felled</v>
      </c>
      <c r="B90" s="316">
        <v>3</v>
      </c>
      <c r="C90" s="316" t="s">
        <v>1158</v>
      </c>
      <c r="D90" s="316" t="s">
        <v>1158</v>
      </c>
      <c r="E90" s="316" t="s">
        <v>1158</v>
      </c>
      <c r="F90" s="316" t="s">
        <v>1158</v>
      </c>
      <c r="G90" s="316" t="s">
        <v>1158</v>
      </c>
      <c r="H90" s="316" t="s">
        <v>1158</v>
      </c>
      <c r="I90" s="30" t="s">
        <v>1263</v>
      </c>
    </row>
    <row r="91" spans="1:9" ht="14">
      <c r="A91" s="62" t="str">
        <f>'G-1 All Habitats'!B91</f>
        <v>Woodland and forest - Lowland beech and yew woodland</v>
      </c>
      <c r="B91" s="316">
        <v>3</v>
      </c>
      <c r="C91" s="316">
        <v>2.50</v>
      </c>
      <c r="D91" s="316">
        <v>2</v>
      </c>
      <c r="E91" s="316">
        <v>1.50</v>
      </c>
      <c r="F91" s="316">
        <v>1</v>
      </c>
      <c r="G91" s="316" t="s">
        <v>1158</v>
      </c>
      <c r="H91" s="316" t="s">
        <v>1158</v>
      </c>
      <c r="I91" s="30" t="str">
        <f t="shared" si="3" ref="I91:I135">IF(G91=1,"Cond1",IF(H91=0,"Cond2",IF(AND(B91=3,C91=2.5,D91=2,E91=1.5,F91=1),"Cond4",IF(F91=1,"Cond3","Check"))))</f>
        <v>Cond4</v>
      </c>
    </row>
    <row r="92" spans="1:9" ht="14">
      <c r="A92" s="62" t="str">
        <f>'G-1 All Habitats'!B92</f>
        <v>Woodland and forest - Lowland mixed deciduous woodland</v>
      </c>
      <c r="B92" s="316">
        <v>3</v>
      </c>
      <c r="C92" s="316">
        <v>2.50</v>
      </c>
      <c r="D92" s="316">
        <v>2</v>
      </c>
      <c r="E92" s="316">
        <v>1.50</v>
      </c>
      <c r="F92" s="316">
        <v>1</v>
      </c>
      <c r="G92" s="316" t="s">
        <v>1158</v>
      </c>
      <c r="H92" s="316" t="s">
        <v>1158</v>
      </c>
      <c r="I92" s="30" t="str">
        <f t="shared" si="3"/>
        <v>Cond4</v>
      </c>
    </row>
    <row r="93" spans="1:9" ht="14">
      <c r="A93" s="62" t="str">
        <f>'G-1 All Habitats'!B93</f>
        <v>Woodland and forest - Native pine woodlands</v>
      </c>
      <c r="B93" s="316">
        <v>3</v>
      </c>
      <c r="C93" s="316">
        <v>2.50</v>
      </c>
      <c r="D93" s="316">
        <v>2</v>
      </c>
      <c r="E93" s="316">
        <v>1.50</v>
      </c>
      <c r="F93" s="316">
        <v>1</v>
      </c>
      <c r="G93" s="316" t="s">
        <v>1158</v>
      </c>
      <c r="H93" s="316" t="s">
        <v>1158</v>
      </c>
      <c r="I93" s="30" t="str">
        <f t="shared" si="3"/>
        <v>Cond4</v>
      </c>
    </row>
    <row r="94" spans="1:9" ht="14">
      <c r="A94" s="62" t="str">
        <f>'G-1 All Habitats'!B94</f>
        <v>Woodland and forest - Other coniferous woodland</v>
      </c>
      <c r="B94" s="316">
        <v>3</v>
      </c>
      <c r="C94" s="316">
        <v>2.50</v>
      </c>
      <c r="D94" s="316">
        <v>2</v>
      </c>
      <c r="E94" s="316">
        <v>1.50</v>
      </c>
      <c r="F94" s="316">
        <v>1</v>
      </c>
      <c r="G94" s="316" t="s">
        <v>1158</v>
      </c>
      <c r="H94" s="316" t="s">
        <v>1158</v>
      </c>
      <c r="I94" s="30" t="str">
        <f t="shared" si="3"/>
        <v>Cond4</v>
      </c>
    </row>
    <row r="95" spans="1:9" ht="14">
      <c r="A95" s="62" t="str">
        <f>'G-1 All Habitats'!B95</f>
        <v>Woodland and forest - Other Scot's pine woodland</v>
      </c>
      <c r="B95" s="316">
        <v>3</v>
      </c>
      <c r="C95" s="316">
        <v>2.50</v>
      </c>
      <c r="D95" s="316">
        <v>2</v>
      </c>
      <c r="E95" s="316">
        <v>1.50</v>
      </c>
      <c r="F95" s="316">
        <v>1</v>
      </c>
      <c r="G95" s="316" t="s">
        <v>1158</v>
      </c>
      <c r="H95" s="316" t="s">
        <v>1158</v>
      </c>
      <c r="I95" s="30" t="str">
        <f t="shared" si="3"/>
        <v>Cond4</v>
      </c>
    </row>
    <row r="96" spans="1:9" ht="14">
      <c r="A96" s="62" t="str">
        <f>'G-1 All Habitats'!B96</f>
        <v>Woodland and forest - Other woodland; broadleaved</v>
      </c>
      <c r="B96" s="316">
        <v>3</v>
      </c>
      <c r="C96" s="316">
        <v>2.50</v>
      </c>
      <c r="D96" s="316">
        <v>2</v>
      </c>
      <c r="E96" s="316">
        <v>1.50</v>
      </c>
      <c r="F96" s="316">
        <v>1</v>
      </c>
      <c r="G96" s="316" t="s">
        <v>1158</v>
      </c>
      <c r="H96" s="316" t="s">
        <v>1158</v>
      </c>
      <c r="I96" s="30" t="str">
        <f t="shared" si="3"/>
        <v>Cond4</v>
      </c>
    </row>
    <row r="97" spans="1:9" ht="14">
      <c r="A97" s="62" t="str">
        <f>'G-1 All Habitats'!B97</f>
        <v>Woodland and forest - Other woodland; mixed</v>
      </c>
      <c r="B97" s="316">
        <v>3</v>
      </c>
      <c r="C97" s="316">
        <v>2.50</v>
      </c>
      <c r="D97" s="316">
        <v>2</v>
      </c>
      <c r="E97" s="316">
        <v>1.50</v>
      </c>
      <c r="F97" s="316">
        <v>1</v>
      </c>
      <c r="G97" s="316" t="s">
        <v>1158</v>
      </c>
      <c r="H97" s="316" t="s">
        <v>1158</v>
      </c>
      <c r="I97" s="30" t="str">
        <f t="shared" si="3"/>
        <v>Cond4</v>
      </c>
    </row>
    <row r="98" spans="1:9" ht="14">
      <c r="A98" s="62" t="str">
        <f>'G-1 All Habitats'!B98</f>
        <v>Woodland and forest - Upland birchwoods</v>
      </c>
      <c r="B98" s="316">
        <v>3</v>
      </c>
      <c r="C98" s="316">
        <v>2.50</v>
      </c>
      <c r="D98" s="316">
        <v>2</v>
      </c>
      <c r="E98" s="316">
        <v>1.50</v>
      </c>
      <c r="F98" s="316">
        <v>1</v>
      </c>
      <c r="G98" s="316" t="s">
        <v>1158</v>
      </c>
      <c r="H98" s="316" t="s">
        <v>1158</v>
      </c>
      <c r="I98" s="30" t="str">
        <f t="shared" si="3"/>
        <v>Cond4</v>
      </c>
    </row>
    <row r="99" spans="1:9" ht="14">
      <c r="A99" s="62" t="str">
        <f>'G-1 All Habitats'!B99</f>
        <v>Woodland and forest - Upland mixed ashwoods</v>
      </c>
      <c r="B99" s="316">
        <v>3</v>
      </c>
      <c r="C99" s="316">
        <v>2.50</v>
      </c>
      <c r="D99" s="316">
        <v>2</v>
      </c>
      <c r="E99" s="316">
        <v>1.50</v>
      </c>
      <c r="F99" s="316">
        <v>1</v>
      </c>
      <c r="G99" s="316" t="s">
        <v>1158</v>
      </c>
      <c r="H99" s="316" t="s">
        <v>1158</v>
      </c>
      <c r="I99" s="30" t="str">
        <f t="shared" si="3"/>
        <v>Cond4</v>
      </c>
    </row>
    <row r="100" spans="1:9" ht="14">
      <c r="A100" s="62" t="str">
        <f>'G-1 All Habitats'!B100</f>
        <v>Woodland and forest - Upland oakwood</v>
      </c>
      <c r="B100" s="316">
        <v>3</v>
      </c>
      <c r="C100" s="316">
        <v>2.50</v>
      </c>
      <c r="D100" s="316">
        <v>2</v>
      </c>
      <c r="E100" s="316">
        <v>1.50</v>
      </c>
      <c r="F100" s="316">
        <v>1</v>
      </c>
      <c r="G100" s="316" t="s">
        <v>1158</v>
      </c>
      <c r="H100" s="316" t="s">
        <v>1158</v>
      </c>
      <c r="I100" s="30" t="str">
        <f t="shared" si="3"/>
        <v>Cond4</v>
      </c>
    </row>
    <row r="101" spans="1:9" ht="14">
      <c r="A101" s="62" t="str">
        <f>'G-1 All Habitats'!B101</f>
        <v>Woodland and forest - Wet woodland</v>
      </c>
      <c r="B101" s="316">
        <v>3</v>
      </c>
      <c r="C101" s="316">
        <v>2.50</v>
      </c>
      <c r="D101" s="316">
        <v>2</v>
      </c>
      <c r="E101" s="316">
        <v>1.50</v>
      </c>
      <c r="F101" s="316">
        <v>1</v>
      </c>
      <c r="G101" s="316" t="s">
        <v>1158</v>
      </c>
      <c r="H101" s="316" t="s">
        <v>1158</v>
      </c>
      <c r="I101" s="30" t="str">
        <f t="shared" si="3"/>
        <v>Cond4</v>
      </c>
    </row>
    <row r="102" spans="1:9" ht="14">
      <c r="A102" s="62" t="str">
        <f>'G-1 All Habitats'!B102</f>
        <v>Woodland and forest - Wood-pasture and parkland</v>
      </c>
      <c r="B102" s="316">
        <v>3</v>
      </c>
      <c r="C102" s="316">
        <v>2.50</v>
      </c>
      <c r="D102" s="316">
        <v>2</v>
      </c>
      <c r="E102" s="316">
        <v>1.50</v>
      </c>
      <c r="F102" s="316">
        <v>1</v>
      </c>
      <c r="G102" s="316" t="s">
        <v>1158</v>
      </c>
      <c r="H102" s="316" t="s">
        <v>1158</v>
      </c>
      <c r="I102" s="30" t="str">
        <f t="shared" si="3"/>
        <v>Cond4</v>
      </c>
    </row>
    <row r="103" spans="1:9" ht="14">
      <c r="A103" s="62" t="str">
        <f>'G-1 All Habitats'!B104</f>
        <v>Coastal lagoons - Coastal lagoons</v>
      </c>
      <c r="B103" s="316">
        <v>3</v>
      </c>
      <c r="C103" s="316">
        <v>2.50</v>
      </c>
      <c r="D103" s="316">
        <v>2</v>
      </c>
      <c r="E103" s="316">
        <v>1.50</v>
      </c>
      <c r="F103" s="316">
        <v>1</v>
      </c>
      <c r="G103" s="316" t="s">
        <v>1158</v>
      </c>
      <c r="H103" s="316" t="s">
        <v>1158</v>
      </c>
      <c r="I103" s="30" t="str">
        <f t="shared" si="3"/>
        <v>Cond4</v>
      </c>
    </row>
    <row r="104" spans="1:9" ht="14">
      <c r="A104" s="62" t="str">
        <f>'G-1 All Habitats'!B105</f>
        <v>Rocky shore - High energy littoral rock</v>
      </c>
      <c r="B104" s="316">
        <v>3</v>
      </c>
      <c r="C104" s="316">
        <v>2.50</v>
      </c>
      <c r="D104" s="316">
        <v>2</v>
      </c>
      <c r="E104" s="316">
        <v>1.50</v>
      </c>
      <c r="F104" s="316">
        <v>1</v>
      </c>
      <c r="G104" s="316" t="s">
        <v>1158</v>
      </c>
      <c r="H104" s="316" t="s">
        <v>1158</v>
      </c>
      <c r="I104" s="30" t="str">
        <f t="shared" si="3"/>
        <v>Cond4</v>
      </c>
    </row>
    <row r="105" spans="1:9" ht="14">
      <c r="A105" s="62" t="str">
        <f>'G-1 All Habitats'!B106</f>
        <v>Rocky shore - High energy littoral rock - on peat, clay or chalk</v>
      </c>
      <c r="B105" s="316">
        <v>3</v>
      </c>
      <c r="C105" s="316">
        <v>2.50</v>
      </c>
      <c r="D105" s="316">
        <v>2</v>
      </c>
      <c r="E105" s="316">
        <v>1.50</v>
      </c>
      <c r="F105" s="316">
        <v>1</v>
      </c>
      <c r="G105" s="316" t="s">
        <v>1158</v>
      </c>
      <c r="H105" s="316" t="s">
        <v>1158</v>
      </c>
      <c r="I105" s="30" t="str">
        <f t="shared" si="3"/>
        <v>Cond4</v>
      </c>
    </row>
    <row r="106" spans="1:9" ht="14">
      <c r="A106" s="62" t="str">
        <f>'G-1 All Habitats'!B107</f>
        <v>Rocky shore - Moderate energy littoral rock</v>
      </c>
      <c r="B106" s="316">
        <v>3</v>
      </c>
      <c r="C106" s="316">
        <v>2.50</v>
      </c>
      <c r="D106" s="316">
        <v>2</v>
      </c>
      <c r="E106" s="316">
        <v>1.50</v>
      </c>
      <c r="F106" s="316">
        <v>1</v>
      </c>
      <c r="G106" s="316" t="s">
        <v>1158</v>
      </c>
      <c r="H106" s="316" t="s">
        <v>1158</v>
      </c>
      <c r="I106" s="30" t="str">
        <f t="shared" si="3"/>
        <v>Cond4</v>
      </c>
    </row>
    <row r="107" spans="1:9" ht="14">
      <c r="A107" s="62" t="str">
        <f>'G-1 All Habitats'!B108</f>
        <v>Rocky shore - Moderate energy littoral rock - on peat, clay or chalk</v>
      </c>
      <c r="B107" s="316">
        <v>3</v>
      </c>
      <c r="C107" s="316">
        <v>2.50</v>
      </c>
      <c r="D107" s="316">
        <v>2</v>
      </c>
      <c r="E107" s="316">
        <v>1.50</v>
      </c>
      <c r="F107" s="316">
        <v>1</v>
      </c>
      <c r="G107" s="316" t="s">
        <v>1158</v>
      </c>
      <c r="H107" s="316" t="s">
        <v>1158</v>
      </c>
      <c r="I107" s="30" t="str">
        <f t="shared" si="3"/>
        <v>Cond4</v>
      </c>
    </row>
    <row r="108" spans="1:9" ht="14">
      <c r="A108" s="62" t="str">
        <f>'G-1 All Habitats'!B109</f>
        <v>Rocky shore - Low energy littoral rock</v>
      </c>
      <c r="B108" s="316">
        <v>3</v>
      </c>
      <c r="C108" s="316">
        <v>2.50</v>
      </c>
      <c r="D108" s="316">
        <v>2</v>
      </c>
      <c r="E108" s="316">
        <v>1.50</v>
      </c>
      <c r="F108" s="316">
        <v>1</v>
      </c>
      <c r="G108" s="316" t="s">
        <v>1158</v>
      </c>
      <c r="H108" s="316" t="s">
        <v>1158</v>
      </c>
      <c r="I108" s="30" t="str">
        <f t="shared" si="3"/>
        <v>Cond4</v>
      </c>
    </row>
    <row r="109" spans="1:9" ht="14">
      <c r="A109" s="62" t="str">
        <f>'G-1 All Habitats'!B110</f>
        <v>Rocky shore - Low energy littoral rock - on peat, clay or chalk</v>
      </c>
      <c r="B109" s="316">
        <v>3</v>
      </c>
      <c r="C109" s="316">
        <v>2.50</v>
      </c>
      <c r="D109" s="316">
        <v>2</v>
      </c>
      <c r="E109" s="316">
        <v>1.50</v>
      </c>
      <c r="F109" s="316">
        <v>1</v>
      </c>
      <c r="G109" s="316" t="s">
        <v>1158</v>
      </c>
      <c r="H109" s="316" t="s">
        <v>1158</v>
      </c>
      <c r="I109" s="30" t="str">
        <f t="shared" si="3"/>
        <v>Cond4</v>
      </c>
    </row>
    <row r="110" spans="1:9" ht="14">
      <c r="A110" s="62" t="str">
        <f>'G-1 All Habitats'!B111</f>
        <v>Rocky shore - Features of littoral rock</v>
      </c>
      <c r="B110" s="316">
        <v>3</v>
      </c>
      <c r="C110" s="316">
        <v>2.50</v>
      </c>
      <c r="D110" s="316">
        <v>2</v>
      </c>
      <c r="E110" s="316">
        <v>1.50</v>
      </c>
      <c r="F110" s="316">
        <v>1</v>
      </c>
      <c r="G110" s="316" t="s">
        <v>1158</v>
      </c>
      <c r="H110" s="316" t="s">
        <v>1158</v>
      </c>
      <c r="I110" s="30" t="str">
        <f t="shared" si="3"/>
        <v>Cond4</v>
      </c>
    </row>
    <row r="111" spans="1:9" ht="14">
      <c r="A111" s="62" t="str">
        <f>'G-1 All Habitats'!B112</f>
        <v>Rocky shore - Features of littoral rock - on peat, clay or chalk</v>
      </c>
      <c r="B111" s="316">
        <v>3</v>
      </c>
      <c r="C111" s="316">
        <v>2.50</v>
      </c>
      <c r="D111" s="316">
        <v>2</v>
      </c>
      <c r="E111" s="316">
        <v>1.50</v>
      </c>
      <c r="F111" s="316">
        <v>1</v>
      </c>
      <c r="G111" s="316" t="s">
        <v>1158</v>
      </c>
      <c r="H111" s="316" t="s">
        <v>1158</v>
      </c>
      <c r="I111" s="30" t="str">
        <f t="shared" si="3"/>
        <v>Cond4</v>
      </c>
    </row>
    <row r="112" spans="1:9" ht="14">
      <c r="A112" s="62" t="str">
        <f>'G-1 All Habitats'!B115</f>
        <v>Intertidal sediment - Littoral coarse sediment</v>
      </c>
      <c r="B112" s="316">
        <v>3</v>
      </c>
      <c r="C112" s="316">
        <v>2.50</v>
      </c>
      <c r="D112" s="316">
        <v>2</v>
      </c>
      <c r="E112" s="316">
        <v>1.50</v>
      </c>
      <c r="F112" s="316">
        <v>1</v>
      </c>
      <c r="G112" s="316" t="s">
        <v>1158</v>
      </c>
      <c r="H112" s="316" t="s">
        <v>1158</v>
      </c>
      <c r="I112" s="30" t="str">
        <f t="shared" si="3"/>
        <v>Cond4</v>
      </c>
    </row>
    <row r="113" spans="1:9" ht="14">
      <c r="A113" s="62" t="str">
        <f>'G-1 All Habitats'!B116</f>
        <v>Intertidal sediment - Littoral mud</v>
      </c>
      <c r="B113" s="316">
        <v>3</v>
      </c>
      <c r="C113" s="316">
        <v>2.50</v>
      </c>
      <c r="D113" s="316">
        <v>2</v>
      </c>
      <c r="E113" s="316">
        <v>1.50</v>
      </c>
      <c r="F113" s="316">
        <v>1</v>
      </c>
      <c r="G113" s="316" t="s">
        <v>1158</v>
      </c>
      <c r="H113" s="316" t="s">
        <v>1158</v>
      </c>
      <c r="I113" s="30" t="str">
        <f t="shared" si="3"/>
        <v>Cond4</v>
      </c>
    </row>
    <row r="114" spans="1:9" ht="14">
      <c r="A114" s="62" t="str">
        <f>'G-1 All Habitats'!B117</f>
        <v>Intertidal sediment - Littoral mixed sediments</v>
      </c>
      <c r="B114" s="316">
        <v>3</v>
      </c>
      <c r="C114" s="316">
        <v>2.50</v>
      </c>
      <c r="D114" s="316">
        <v>2</v>
      </c>
      <c r="E114" s="316">
        <v>1.50</v>
      </c>
      <c r="F114" s="316">
        <v>1</v>
      </c>
      <c r="G114" s="316" t="s">
        <v>1158</v>
      </c>
      <c r="H114" s="316" t="s">
        <v>1158</v>
      </c>
      <c r="I114" s="30" t="str">
        <f t="shared" si="3"/>
        <v>Cond4</v>
      </c>
    </row>
    <row r="115" spans="1:9" ht="14">
      <c r="A115" s="62" t="str">
        <f>'G-1 All Habitats'!B113</f>
        <v>Coastal saltmarsh - Saltmarshes and saline reedbeds</v>
      </c>
      <c r="B115" s="316">
        <v>3</v>
      </c>
      <c r="C115" s="316">
        <v>2.50</v>
      </c>
      <c r="D115" s="316">
        <v>2</v>
      </c>
      <c r="E115" s="316">
        <v>1.50</v>
      </c>
      <c r="F115" s="316">
        <v>1</v>
      </c>
      <c r="G115" s="316" t="s">
        <v>1158</v>
      </c>
      <c r="H115" s="316" t="s">
        <v>1158</v>
      </c>
      <c r="I115" s="30" t="str">
        <f t="shared" si="3"/>
        <v>Cond4</v>
      </c>
    </row>
    <row r="116" spans="1:9" ht="14">
      <c r="A116" s="62" t="str">
        <f>'G-1 All Habitats'!B114</f>
        <v>Coastal saltmarsh - Artificial saltmarshes and saline reedbeds</v>
      </c>
      <c r="B116" s="316">
        <v>3</v>
      </c>
      <c r="C116" s="316">
        <v>2.50</v>
      </c>
      <c r="D116" s="316">
        <v>2</v>
      </c>
      <c r="E116" s="316">
        <v>1.50</v>
      </c>
      <c r="F116" s="316">
        <v>1</v>
      </c>
      <c r="G116" s="316" t="s">
        <v>1158</v>
      </c>
      <c r="H116" s="316" t="s">
        <v>1158</v>
      </c>
      <c r="I116" s="30" t="str">
        <f t="shared" si="3"/>
        <v>Cond4</v>
      </c>
    </row>
    <row r="117" spans="1:9" ht="14">
      <c r="A117" s="62" t="str">
        <f>'G-1 All Habitats'!B118</f>
        <v>Intertidal sediment - Littoral seagrass</v>
      </c>
      <c r="B117" s="316">
        <v>3</v>
      </c>
      <c r="C117" s="316">
        <v>2.50</v>
      </c>
      <c r="D117" s="316">
        <v>2</v>
      </c>
      <c r="E117" s="316">
        <v>1.50</v>
      </c>
      <c r="F117" s="316">
        <v>1</v>
      </c>
      <c r="G117" s="316" t="s">
        <v>1158</v>
      </c>
      <c r="H117" s="316" t="s">
        <v>1158</v>
      </c>
      <c r="I117" s="30" t="str">
        <f t="shared" si="3"/>
        <v>Cond4</v>
      </c>
    </row>
    <row r="118" spans="1:9" ht="14">
      <c r="A118" s="62" t="str">
        <f>'G-1 All Habitats'!B119</f>
        <v>Intertidal sediment - Littoral seagrass on peat, clay or chalk</v>
      </c>
      <c r="B118" s="316">
        <v>3</v>
      </c>
      <c r="C118" s="316">
        <v>2.50</v>
      </c>
      <c r="D118" s="316">
        <v>2</v>
      </c>
      <c r="E118" s="316">
        <v>1.50</v>
      </c>
      <c r="F118" s="316">
        <v>1</v>
      </c>
      <c r="G118" s="316" t="s">
        <v>1158</v>
      </c>
      <c r="H118" s="316" t="s">
        <v>1158</v>
      </c>
      <c r="I118" s="30" t="str">
        <f t="shared" si="3"/>
        <v>Cond4</v>
      </c>
    </row>
    <row r="119" spans="1:9" ht="14">
      <c r="A119" s="62" t="str">
        <f>'G-1 All Habitats'!B120</f>
        <v>Intertidal sediment - Littoral biogenic reefs - Mussels</v>
      </c>
      <c r="B119" s="316">
        <v>3</v>
      </c>
      <c r="C119" s="316">
        <v>2.50</v>
      </c>
      <c r="D119" s="316">
        <v>2</v>
      </c>
      <c r="E119" s="316">
        <v>1.50</v>
      </c>
      <c r="F119" s="316">
        <v>1</v>
      </c>
      <c r="G119" s="316" t="s">
        <v>1158</v>
      </c>
      <c r="H119" s="316" t="s">
        <v>1158</v>
      </c>
      <c r="I119" s="30" t="str">
        <f t="shared" si="3"/>
        <v>Cond4</v>
      </c>
    </row>
    <row r="120" spans="1:9" ht="14">
      <c r="A120" s="62" t="str">
        <f>'G-1 All Habitats'!B121</f>
        <v>Intertidal sediment - Littoral biogenic reefs - Sabellaria</v>
      </c>
      <c r="B120" s="316">
        <v>3</v>
      </c>
      <c r="C120" s="316">
        <v>2.50</v>
      </c>
      <c r="D120" s="316">
        <v>2</v>
      </c>
      <c r="E120" s="316">
        <v>1.50</v>
      </c>
      <c r="F120" s="316">
        <v>1</v>
      </c>
      <c r="G120" s="316" t="s">
        <v>1158</v>
      </c>
      <c r="H120" s="316" t="s">
        <v>1158</v>
      </c>
      <c r="I120" s="30" t="str">
        <f t="shared" si="3"/>
        <v>Cond4</v>
      </c>
    </row>
    <row r="121" spans="1:9" ht="14">
      <c r="A121" s="62" t="str">
        <f>'G-1 All Habitats'!B122</f>
        <v>Intertidal sediment - Features of littoral sediment</v>
      </c>
      <c r="B121" s="316">
        <v>3</v>
      </c>
      <c r="C121" s="316">
        <v>2.50</v>
      </c>
      <c r="D121" s="316">
        <v>2</v>
      </c>
      <c r="E121" s="316">
        <v>1.50</v>
      </c>
      <c r="F121" s="316">
        <v>1</v>
      </c>
      <c r="G121" s="316" t="s">
        <v>1158</v>
      </c>
      <c r="H121" s="316" t="s">
        <v>1158</v>
      </c>
      <c r="I121" s="30" t="str">
        <f t="shared" si="3"/>
        <v>Cond4</v>
      </c>
    </row>
    <row r="122" spans="1:9" ht="14">
      <c r="A122" s="62" t="str">
        <f>'G-1 All Habitats'!B123</f>
        <v>Intertidal sediment - Artificial littoral coarse sediment</v>
      </c>
      <c r="B122" s="316">
        <v>3</v>
      </c>
      <c r="C122" s="316">
        <v>2.50</v>
      </c>
      <c r="D122" s="316">
        <v>2</v>
      </c>
      <c r="E122" s="316">
        <v>1.50</v>
      </c>
      <c r="F122" s="316">
        <v>1</v>
      </c>
      <c r="G122" s="316" t="s">
        <v>1158</v>
      </c>
      <c r="H122" s="316" t="s">
        <v>1158</v>
      </c>
      <c r="I122" s="30" t="str">
        <f t="shared" si="3"/>
        <v>Cond4</v>
      </c>
    </row>
    <row r="123" spans="1:9" ht="14">
      <c r="A123" s="62" t="str">
        <f>'G-1 All Habitats'!B124</f>
        <v>Intertidal sediment - Artificial littoral mud</v>
      </c>
      <c r="B123" s="316">
        <v>3</v>
      </c>
      <c r="C123" s="316">
        <v>2.50</v>
      </c>
      <c r="D123" s="316">
        <v>2</v>
      </c>
      <c r="E123" s="316">
        <v>1.50</v>
      </c>
      <c r="F123" s="316">
        <v>1</v>
      </c>
      <c r="G123" s="316" t="s">
        <v>1158</v>
      </c>
      <c r="H123" s="316" t="s">
        <v>1158</v>
      </c>
      <c r="I123" s="30" t="str">
        <f t="shared" si="3"/>
        <v>Cond4</v>
      </c>
    </row>
    <row r="124" spans="1:9" ht="14">
      <c r="A124" s="62" t="str">
        <f>'G-1 All Habitats'!B125</f>
        <v>Intertidal sediment - Artificial littoral sand</v>
      </c>
      <c r="B124" s="316">
        <v>3</v>
      </c>
      <c r="C124" s="316">
        <v>2.50</v>
      </c>
      <c r="D124" s="316">
        <v>2</v>
      </c>
      <c r="E124" s="316">
        <v>1.50</v>
      </c>
      <c r="F124" s="316">
        <v>1</v>
      </c>
      <c r="G124" s="316" t="s">
        <v>1158</v>
      </c>
      <c r="H124" s="316" t="s">
        <v>1158</v>
      </c>
      <c r="I124" s="30" t="str">
        <f t="shared" si="3"/>
        <v>Cond4</v>
      </c>
    </row>
    <row r="125" spans="1:9" ht="14">
      <c r="A125" s="62" t="str">
        <f>'G-1 All Habitats'!B126</f>
        <v>Intertidal sediment - Artificial littoral muddy sand</v>
      </c>
      <c r="B125" s="316">
        <v>3</v>
      </c>
      <c r="C125" s="316">
        <v>2.50</v>
      </c>
      <c r="D125" s="316">
        <v>2</v>
      </c>
      <c r="E125" s="316">
        <v>1.50</v>
      </c>
      <c r="F125" s="316">
        <v>1</v>
      </c>
      <c r="G125" s="316" t="s">
        <v>1158</v>
      </c>
      <c r="H125" s="316" t="s">
        <v>1158</v>
      </c>
      <c r="I125" s="30" t="str">
        <f t="shared" si="3"/>
        <v>Cond4</v>
      </c>
    </row>
    <row r="126" spans="1:9" ht="14">
      <c r="A126" s="62" t="str">
        <f>'G-1 All Habitats'!B127</f>
        <v>Intertidal sediment - Artificial littoral mixed sediments</v>
      </c>
      <c r="B126" s="316">
        <v>3</v>
      </c>
      <c r="C126" s="316">
        <v>2.50</v>
      </c>
      <c r="D126" s="316">
        <v>2</v>
      </c>
      <c r="E126" s="316">
        <v>1.50</v>
      </c>
      <c r="F126" s="316">
        <v>1</v>
      </c>
      <c r="G126" s="316" t="s">
        <v>1158</v>
      </c>
      <c r="H126" s="316" t="s">
        <v>1158</v>
      </c>
      <c r="I126" s="30" t="str">
        <f t="shared" si="3"/>
        <v>Cond4</v>
      </c>
    </row>
    <row r="127" spans="1:9" ht="14">
      <c r="A127" s="62" t="str">
        <f>'G-1 All Habitats'!B128</f>
        <v>Intertidal sediment - Artificial littoral seagrass</v>
      </c>
      <c r="B127" s="316">
        <v>3</v>
      </c>
      <c r="C127" s="316">
        <v>2.50</v>
      </c>
      <c r="D127" s="316">
        <v>2</v>
      </c>
      <c r="E127" s="316">
        <v>1.50</v>
      </c>
      <c r="F127" s="316">
        <v>1</v>
      </c>
      <c r="G127" s="316" t="s">
        <v>1158</v>
      </c>
      <c r="H127" s="316" t="s">
        <v>1158</v>
      </c>
      <c r="I127" s="30" t="str">
        <f t="shared" si="3"/>
        <v>Cond4</v>
      </c>
    </row>
    <row r="128" spans="1:9" ht="14">
      <c r="A128" s="62" t="str">
        <f>'G-1 All Habitats'!B129</f>
        <v>Intertidal sediment - Artificial littoral biogenic reefs</v>
      </c>
      <c r="B128" s="316">
        <v>3</v>
      </c>
      <c r="C128" s="316">
        <v>2.50</v>
      </c>
      <c r="D128" s="316">
        <v>2</v>
      </c>
      <c r="E128" s="316">
        <v>1.50</v>
      </c>
      <c r="F128" s="316">
        <v>1</v>
      </c>
      <c r="G128" s="316" t="s">
        <v>1158</v>
      </c>
      <c r="H128" s="316" t="s">
        <v>1158</v>
      </c>
      <c r="I128" s="30" t="str">
        <f t="shared" si="3"/>
        <v>Cond4</v>
      </c>
    </row>
    <row r="129" spans="1:9" ht="14">
      <c r="A129" s="62" t="str">
        <f>'G-1 All Habitats'!B130</f>
        <v>Intertidal sediment - Littoral sand</v>
      </c>
      <c r="B129" s="316">
        <v>3</v>
      </c>
      <c r="C129" s="316">
        <v>2.50</v>
      </c>
      <c r="D129" s="316">
        <v>2</v>
      </c>
      <c r="E129" s="316">
        <v>1.50</v>
      </c>
      <c r="F129" s="316">
        <v>1</v>
      </c>
      <c r="G129" s="316" t="s">
        <v>1158</v>
      </c>
      <c r="H129" s="316" t="s">
        <v>1158</v>
      </c>
      <c r="I129" s="30" t="str">
        <f t="shared" si="3"/>
        <v>Cond4</v>
      </c>
    </row>
    <row r="130" spans="1:9" ht="14">
      <c r="A130" s="62" t="str">
        <f>'G-1 All Habitats'!B131</f>
        <v>Intertidal sediment - Littoral muddy sand</v>
      </c>
      <c r="B130" s="316">
        <v>3</v>
      </c>
      <c r="C130" s="316">
        <v>2.50</v>
      </c>
      <c r="D130" s="316">
        <v>2</v>
      </c>
      <c r="E130" s="316">
        <v>1.50</v>
      </c>
      <c r="F130" s="316">
        <v>1</v>
      </c>
      <c r="G130" s="316" t="s">
        <v>1158</v>
      </c>
      <c r="H130" s="316" t="s">
        <v>1158</v>
      </c>
      <c r="I130" s="30" t="str">
        <f t="shared" si="3"/>
        <v>Cond4</v>
      </c>
    </row>
    <row r="131" spans="1:9" ht="14">
      <c r="A131" s="62" t="str">
        <f>'G-1 All Habitats'!B132</f>
        <v>Intertidal hard structures - Artificial hard structures</v>
      </c>
      <c r="B131" s="316">
        <v>3</v>
      </c>
      <c r="C131" s="316">
        <v>2.50</v>
      </c>
      <c r="D131" s="316">
        <v>2</v>
      </c>
      <c r="E131" s="316">
        <v>1.50</v>
      </c>
      <c r="F131" s="316">
        <v>1</v>
      </c>
      <c r="G131" s="316" t="s">
        <v>1158</v>
      </c>
      <c r="H131" s="316" t="s">
        <v>1158</v>
      </c>
      <c r="I131" s="30" t="str">
        <f t="shared" si="3"/>
        <v>Cond4</v>
      </c>
    </row>
    <row r="132" spans="1:9" ht="14">
      <c r="A132" s="62" t="str">
        <f>'G-1 All Habitats'!B133</f>
        <v>Intertidal hard structures - Artificial features of hard structures</v>
      </c>
      <c r="B132" s="316">
        <v>3</v>
      </c>
      <c r="C132" s="316">
        <v>2.50</v>
      </c>
      <c r="D132" s="316">
        <v>2</v>
      </c>
      <c r="E132" s="316">
        <v>1.50</v>
      </c>
      <c r="F132" s="316">
        <v>1</v>
      </c>
      <c r="G132" s="316" t="s">
        <v>1158</v>
      </c>
      <c r="H132" s="316" t="s">
        <v>1158</v>
      </c>
      <c r="I132" s="30" t="str">
        <f t="shared" si="3"/>
        <v>Cond4</v>
      </c>
    </row>
    <row r="133" spans="1:9" ht="14">
      <c r="A133" s="62" t="str">
        <f>'G-1 All Habitats'!B134</f>
        <v>Intertidal hard structures - Artificial hard structures with integrated greening of grey infrastructure (IGGI)</v>
      </c>
      <c r="B133" s="316">
        <v>3</v>
      </c>
      <c r="C133" s="316">
        <v>2.50</v>
      </c>
      <c r="D133" s="316">
        <v>2</v>
      </c>
      <c r="E133" s="316">
        <v>1.50</v>
      </c>
      <c r="F133" s="316">
        <v>1</v>
      </c>
      <c r="G133" s="316" t="s">
        <v>1158</v>
      </c>
      <c r="H133" s="316" t="s">
        <v>1158</v>
      </c>
      <c r="I133" s="30" t="str">
        <f t="shared" si="3"/>
        <v>Cond4</v>
      </c>
    </row>
    <row r="134" spans="1:9" ht="14">
      <c r="A134" s="62" t="s">
        <v>1046</v>
      </c>
      <c r="B134" s="316" t="s">
        <v>1158</v>
      </c>
      <c r="C134" s="316" t="s">
        <v>1158</v>
      </c>
      <c r="D134" s="316" t="s">
        <v>1158</v>
      </c>
      <c r="E134" s="316" t="s">
        <v>1158</v>
      </c>
      <c r="F134" s="316" t="s">
        <v>1158</v>
      </c>
      <c r="G134" s="316" t="s">
        <v>1158</v>
      </c>
      <c r="H134" s="316">
        <v>0</v>
      </c>
      <c r="I134" s="30" t="str">
        <f t="shared" si="3"/>
        <v>Cond2</v>
      </c>
    </row>
    <row r="135" spans="1:9" ht="14">
      <c r="A135" s="62" t="s">
        <v>882</v>
      </c>
      <c r="B135" s="316">
        <v>3</v>
      </c>
      <c r="C135" s="316">
        <v>2.50</v>
      </c>
      <c r="D135" s="316">
        <v>2</v>
      </c>
      <c r="E135" s="316">
        <v>1.50</v>
      </c>
      <c r="F135" s="316">
        <v>1</v>
      </c>
      <c r="G135" s="316" t="s">
        <v>1158</v>
      </c>
      <c r="H135" s="316" t="s">
        <v>1158</v>
      </c>
      <c r="I135" s="30" t="str">
        <f t="shared" si="3"/>
        <v>Cond4</v>
      </c>
    </row>
    <row r="136" ht="14"/>
    <row r="137" ht="14.9" customHeight="1"/>
    <row r="138" ht="14.9" customHeight="1"/>
    <row r="139" ht="14.9" customHeight="1"/>
    <row r="140" ht="14.9" customHeight="1"/>
    <row r="141" ht="14.9" customHeight="1"/>
    <row r="142" ht="14.9" customHeight="1"/>
    <row r="143" ht="14.9" customHeight="1"/>
    <row r="144" ht="14.9" customHeight="1"/>
    <row r="145" ht="14.9" customHeight="1"/>
    <row r="146" ht="14.9" customHeight="1"/>
    <row r="147" ht="14.9" customHeight="1"/>
    <row r="148" ht="14.9" customHeight="1"/>
    <row r="149" ht="14.9" customHeight="1"/>
    <row r="150" ht="14.9" customHeight="1"/>
    <row r="151" ht="14.9" customHeight="1"/>
  </sheetData>
  <sheetProtection algorithmName="SHA-512" hashValue="27RxuTDZBBRguEIhEgfLjvSoeatC57mDBDMugOC+U/+rB8vTHKNdu6OooD5yedLUQJTwzhWhFfOfDHGaSRq+XA==" saltValue="nsNiN6pNmCb4gUe1+EtS9A==" spinCount="100000" sheet="1" objects="1" scenarios="1"/>
  <customSheetViews>
    <customSheetView guid="{8bda793c-c9c5-4fc6-a0a5-f1109f6d4f22}" state="hidden" topLeftCell="A1">
      <pane xSplit="1" ySplit="3" topLeftCell="B4" activePane="bottomRight" state="frozen"/>
      <selection pane="bottomRight" activeCell="D14" sqref="D14"/>
      <pageMargins left="0.75" right="0.75" top="1" bottom="1" header="0.5" footer="0.5"/>
    </customSheetView>
  </customSheetViews>
  <mergeCells count="3">
    <mergeCell ref="B2:H2"/>
    <mergeCell ref="A1:A2"/>
    <mergeCell ref="J3:M3"/>
  </mergeCells>
  <pageMargins left="0.7" right="0.7" top="0.75" bottom="0.75" header="0.3" footer="0.3"/>
  <pageSetup orientation="portrait" paperSize="9"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36E151F-D75D-431F-9AF7-B951DCC6E509}">
  <sheetPr codeName="Sheet41">
    <tabColor rgb="FFE0DCD3"/>
  </sheetPr>
  <dimension ref="B3:D14"/>
  <sheetViews>
    <sheetView workbookViewId="0" topLeftCell="A1">
      <selection pane="topLeft" activeCell="D18" sqref="D18"/>
    </sheetView>
  </sheetViews>
  <sheetFormatPr defaultColWidth="9.45428571428571" defaultRowHeight="14.5"/>
  <cols>
    <col min="1" max="1" width="9.42857142857143" style="1"/>
    <col min="2" max="2" width="39.5714285714286" style="1" customWidth="1"/>
    <col min="3" max="3" width="51.4285714285714" style="1" customWidth="1"/>
    <col min="4" max="4" width="41.4285714285714" style="1" customWidth="1"/>
    <col min="5" max="16384" width="9.42857142857143" style="1"/>
  </cols>
  <sheetData>
    <row r="2" ht="15" thickBot="1"/>
    <row r="3" spans="2:4" ht="16" thickBot="1">
      <c r="B3" s="1078" t="s">
        <v>1264</v>
      </c>
      <c r="C3" s="1079" t="s">
        <v>1265</v>
      </c>
      <c r="D3" s="1080" t="s">
        <v>1266</v>
      </c>
    </row>
    <row r="4" spans="2:4" ht="14.5">
      <c r="B4" s="1077" t="s">
        <v>1267</v>
      </c>
      <c r="C4" s="296" t="s">
        <v>1268</v>
      </c>
      <c r="D4" s="377" t="s">
        <v>1269</v>
      </c>
    </row>
    <row r="5" spans="2:4" ht="88.5" customHeight="1">
      <c r="B5" s="1014" t="s">
        <v>1270</v>
      </c>
      <c r="C5" s="295" t="s">
        <v>1271</v>
      </c>
      <c r="D5" s="353" t="s">
        <v>1272</v>
      </c>
    </row>
    <row r="6" spans="2:4" ht="28">
      <c r="B6" s="1014" t="s">
        <v>1273</v>
      </c>
      <c r="C6" s="295" t="s">
        <v>1274</v>
      </c>
      <c r="D6" s="353" t="s">
        <v>1275</v>
      </c>
    </row>
    <row r="7" spans="2:4" ht="52.4" customHeight="1">
      <c r="B7" s="1014" t="s">
        <v>1276</v>
      </c>
      <c r="C7" s="295" t="s">
        <v>1277</v>
      </c>
      <c r="D7" s="353" t="s">
        <v>1278</v>
      </c>
    </row>
    <row r="8" spans="2:4" ht="238.5" thickBot="1">
      <c r="B8" s="1076" t="s">
        <v>1279</v>
      </c>
      <c r="C8" s="284" t="s">
        <v>1280</v>
      </c>
      <c r="D8" s="345" t="s">
        <v>1281</v>
      </c>
    </row>
    <row r="9" spans="2:4" ht="14.5">
      <c r="B9" s="1013"/>
      <c r="C9" s="36"/>
      <c r="D9" s="36"/>
    </row>
    <row r="10" spans="2:4" ht="14.5">
      <c r="B10" s="1013"/>
      <c r="C10" s="36"/>
      <c r="D10" s="36"/>
    </row>
    <row r="11" spans="2:4" ht="14.5">
      <c r="B11" s="1013"/>
      <c r="C11" s="36"/>
      <c r="D11" s="36"/>
    </row>
    <row r="12" spans="2:4" ht="14.5">
      <c r="B12" s="1013"/>
      <c r="C12" s="36"/>
      <c r="D12" s="36"/>
    </row>
    <row r="13" spans="2:4" ht="14.5">
      <c r="B13" s="1013"/>
      <c r="C13" s="36"/>
      <c r="D13" s="36"/>
    </row>
    <row r="14" spans="2:4" ht="14.5">
      <c r="B14" s="1013"/>
      <c r="C14" s="36"/>
      <c r="D14" s="36"/>
    </row>
  </sheetData>
  <sheetProtection algorithmName="SHA-512" hashValue="OLNI+zbM/r6GBKIycnyuskwl0/UsxeUoSCjLrn2RSib/mKHHG+ZVZA302PmvQIErzOkfaIFDBBkYkRdzc9hc6A==" saltValue="4FMMIQ384zqoi/BHFDjd3A==" spinCount="100000" sheet="1" objects="1" scenarios="1"/>
  <pageMargins left="0.7" right="0.7" top="0.75" bottom="0.75" header="0.3" footer="0.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B2:D216"/>
  <sheetViews>
    <sheetView zoomScale="80" zoomScaleNormal="80" workbookViewId="0" topLeftCell="A1"/>
  </sheetViews>
  <sheetFormatPr defaultColWidth="0" defaultRowHeight="14.5" zeroHeight="1"/>
  <cols>
    <col min="1" max="1" width="9.42857142857143" style="175" customWidth="1"/>
    <col min="2" max="2" width="47" style="175" customWidth="1"/>
    <col min="3" max="3" width="60.5714285714286" style="175" customWidth="1"/>
    <col min="4" max="4" width="31.5714285714286" style="175" customWidth="1"/>
    <col min="5" max="19" width="9.42857142857143" style="175" customWidth="1"/>
    <col min="20" max="16384" width="9.42857142857143" style="175" hidden="1"/>
  </cols>
  <sheetData>
    <row r="1" ht="61.4" customHeight="1" thickBot="1"/>
    <row r="2" spans="2:4" ht="61.4" customHeight="1" thickBot="1">
      <c r="B2" s="1927" t="s">
        <v>1282</v>
      </c>
      <c r="C2" s="1928"/>
      <c r="D2" s="1929"/>
    </row>
    <row r="3" spans="2:4" ht="16" thickBot="1">
      <c r="B3" s="495" t="s">
        <v>1283</v>
      </c>
      <c r="C3" s="794" t="s">
        <v>1284</v>
      </c>
      <c r="D3" s="795" t="s">
        <v>1285</v>
      </c>
    </row>
    <row r="4" spans="2:4" ht="14.5">
      <c r="B4" s="496" t="s">
        <v>1286</v>
      </c>
      <c r="C4" s="349" t="s">
        <v>936</v>
      </c>
      <c r="D4" s="347" t="s">
        <v>46</v>
      </c>
    </row>
    <row r="5" spans="2:4" ht="14.5">
      <c r="B5" s="442" t="s">
        <v>1287</v>
      </c>
      <c r="C5" s="316" t="s">
        <v>933</v>
      </c>
      <c r="D5" s="353" t="s">
        <v>46</v>
      </c>
    </row>
    <row r="6" spans="2:4" ht="14.5">
      <c r="B6" s="442" t="s">
        <v>1288</v>
      </c>
      <c r="C6" s="316" t="s">
        <v>541</v>
      </c>
      <c r="D6" s="353" t="s">
        <v>194</v>
      </c>
    </row>
    <row r="7" spans="2:4" ht="14.5">
      <c r="B7" s="442" t="s">
        <v>1289</v>
      </c>
      <c r="C7" s="316" t="s">
        <v>933</v>
      </c>
      <c r="D7" s="353" t="s">
        <v>46</v>
      </c>
    </row>
    <row r="8" spans="2:4" ht="14.5">
      <c r="B8" s="442" t="s">
        <v>925</v>
      </c>
      <c r="C8" s="316" t="s">
        <v>927</v>
      </c>
      <c r="D8" s="353" t="s">
        <v>197</v>
      </c>
    </row>
    <row r="9" spans="2:4" ht="14.5">
      <c r="B9" s="442" t="s">
        <v>1290</v>
      </c>
      <c r="C9" s="316" t="s">
        <v>542</v>
      </c>
      <c r="D9" s="353" t="s">
        <v>194</v>
      </c>
    </row>
    <row r="10" spans="2:4" ht="14.5">
      <c r="B10" s="442" t="s">
        <v>1291</v>
      </c>
      <c r="C10" s="316" t="s">
        <v>927</v>
      </c>
      <c r="D10" s="353" t="s">
        <v>197</v>
      </c>
    </row>
    <row r="11" spans="2:4" ht="14.5">
      <c r="B11" s="442" t="s">
        <v>1292</v>
      </c>
      <c r="C11" s="316" t="s">
        <v>936</v>
      </c>
      <c r="D11" s="353" t="s">
        <v>46</v>
      </c>
    </row>
    <row r="12" spans="2:4" ht="14.5">
      <c r="B12" s="442" t="s">
        <v>1293</v>
      </c>
      <c r="C12" s="316" t="s">
        <v>541</v>
      </c>
      <c r="D12" s="353" t="s">
        <v>194</v>
      </c>
    </row>
    <row r="13" spans="2:4" ht="14.5">
      <c r="B13" s="442" t="s">
        <v>1294</v>
      </c>
      <c r="C13" s="316" t="s">
        <v>936</v>
      </c>
      <c r="D13" s="353" t="s">
        <v>46</v>
      </c>
    </row>
    <row r="14" spans="2:4" ht="14.5">
      <c r="B14" s="442" t="s">
        <v>1295</v>
      </c>
      <c r="C14" s="316" t="s">
        <v>762</v>
      </c>
      <c r="D14" s="353" t="s">
        <v>46</v>
      </c>
    </row>
    <row r="15" spans="2:4" ht="14.5">
      <c r="B15" s="442" t="s">
        <v>1296</v>
      </c>
      <c r="C15" s="316" t="s">
        <v>762</v>
      </c>
      <c r="D15" s="353" t="s">
        <v>46</v>
      </c>
    </row>
    <row r="16" spans="2:4" ht="14.5">
      <c r="B16" s="442" t="s">
        <v>1297</v>
      </c>
      <c r="C16" s="316" t="s">
        <v>762</v>
      </c>
      <c r="D16" s="353" t="s">
        <v>46</v>
      </c>
    </row>
    <row r="17" spans="2:4" ht="14.5">
      <c r="B17" s="442" t="s">
        <v>1298</v>
      </c>
      <c r="C17" s="316" t="s">
        <v>947</v>
      </c>
      <c r="D17" s="353" t="s">
        <v>649</v>
      </c>
    </row>
    <row r="18" spans="2:4" ht="14.5">
      <c r="B18" s="442" t="s">
        <v>1299</v>
      </c>
      <c r="C18" s="316" t="s">
        <v>947</v>
      </c>
      <c r="D18" s="353" t="s">
        <v>649</v>
      </c>
    </row>
    <row r="19" spans="2:4" ht="14.5">
      <c r="B19" s="442" t="s">
        <v>1300</v>
      </c>
      <c r="C19" s="316" t="s">
        <v>927</v>
      </c>
      <c r="D19" s="353" t="s">
        <v>197</v>
      </c>
    </row>
    <row r="20" spans="2:4" ht="14.5">
      <c r="B20" s="442" t="s">
        <v>1301</v>
      </c>
      <c r="C20" s="316" t="s">
        <v>947</v>
      </c>
      <c r="D20" s="353" t="s">
        <v>649</v>
      </c>
    </row>
    <row r="21" spans="2:4" ht="14.5">
      <c r="B21" s="442" t="s">
        <v>1302</v>
      </c>
      <c r="C21" s="316" t="s">
        <v>879</v>
      </c>
      <c r="D21" s="353" t="s">
        <v>46</v>
      </c>
    </row>
    <row r="22" spans="2:4" ht="14.5">
      <c r="B22" s="442" t="s">
        <v>1302</v>
      </c>
      <c r="C22" s="316" t="s">
        <v>882</v>
      </c>
      <c r="D22" s="353" t="s">
        <v>46</v>
      </c>
    </row>
    <row r="23" spans="2:4" ht="14.5">
      <c r="B23" s="442" t="s">
        <v>1303</v>
      </c>
      <c r="C23" s="316" t="s">
        <v>914</v>
      </c>
      <c r="D23" s="353" t="s">
        <v>194</v>
      </c>
    </row>
    <row r="24" spans="2:4" ht="14.5">
      <c r="B24" s="442" t="s">
        <v>1304</v>
      </c>
      <c r="C24" s="316" t="s">
        <v>914</v>
      </c>
      <c r="D24" s="353" t="s">
        <v>194</v>
      </c>
    </row>
    <row r="25" spans="2:4" ht="14.5">
      <c r="B25" s="442" t="s">
        <v>1305</v>
      </c>
      <c r="C25" s="316" t="s">
        <v>914</v>
      </c>
      <c r="D25" s="353" t="s">
        <v>194</v>
      </c>
    </row>
    <row r="26" spans="2:4" ht="14.5">
      <c r="B26" s="442" t="s">
        <v>1306</v>
      </c>
      <c r="C26" s="316" t="s">
        <v>914</v>
      </c>
      <c r="D26" s="353" t="s">
        <v>194</v>
      </c>
    </row>
    <row r="27" spans="2:4" ht="14.5">
      <c r="B27" s="442" t="s">
        <v>696</v>
      </c>
      <c r="C27" s="316" t="s">
        <v>718</v>
      </c>
      <c r="D27" s="353" t="s">
        <v>46</v>
      </c>
    </row>
    <row r="28" spans="2:4" ht="14.5">
      <c r="B28" s="442" t="s">
        <v>696</v>
      </c>
      <c r="C28" s="316" t="s">
        <v>730</v>
      </c>
      <c r="D28" s="353" t="s">
        <v>46</v>
      </c>
    </row>
    <row r="29" spans="2:4" ht="14.5">
      <c r="B29" s="442" t="s">
        <v>1307</v>
      </c>
      <c r="C29" s="316" t="s">
        <v>706</v>
      </c>
      <c r="D29" s="353" t="s">
        <v>649</v>
      </c>
    </row>
    <row r="30" spans="2:4" ht="14.5">
      <c r="B30" s="442" t="s">
        <v>1307</v>
      </c>
      <c r="C30" s="316" t="s">
        <v>736</v>
      </c>
      <c r="D30" s="353" t="s">
        <v>649</v>
      </c>
    </row>
    <row r="31" spans="2:4" ht="14.5">
      <c r="B31" s="442" t="s">
        <v>1308</v>
      </c>
      <c r="C31" s="316" t="s">
        <v>730</v>
      </c>
      <c r="D31" s="353" t="s">
        <v>46</v>
      </c>
    </row>
    <row r="32" spans="2:4" ht="14.5">
      <c r="B32" s="442" t="s">
        <v>1308</v>
      </c>
      <c r="C32" s="316" t="s">
        <v>718</v>
      </c>
      <c r="D32" s="353" t="s">
        <v>46</v>
      </c>
    </row>
    <row r="33" spans="2:4" ht="14.5">
      <c r="B33" s="442" t="s">
        <v>1309</v>
      </c>
      <c r="C33" s="316" t="s">
        <v>714</v>
      </c>
      <c r="D33" s="353" t="s">
        <v>197</v>
      </c>
    </row>
    <row r="34" spans="2:4" ht="14.5">
      <c r="B34" s="442" t="s">
        <v>713</v>
      </c>
      <c r="C34" s="316" t="s">
        <v>720</v>
      </c>
      <c r="D34" s="353" t="s">
        <v>46</v>
      </c>
    </row>
    <row r="35" spans="2:4" ht="14.5">
      <c r="B35" s="442" t="s">
        <v>1310</v>
      </c>
      <c r="C35" s="316" t="s">
        <v>710</v>
      </c>
      <c r="D35" s="353" t="s">
        <v>649</v>
      </c>
    </row>
    <row r="36" spans="2:4" ht="14.5">
      <c r="B36" s="443" t="s">
        <v>1311</v>
      </c>
      <c r="C36" s="339" t="s">
        <v>720</v>
      </c>
      <c r="D36" s="444" t="s">
        <v>46</v>
      </c>
    </row>
    <row r="37" spans="2:4" ht="14.5">
      <c r="B37" s="442" t="s">
        <v>1312</v>
      </c>
      <c r="C37" s="316" t="s">
        <v>714</v>
      </c>
      <c r="D37" s="353" t="s">
        <v>197</v>
      </c>
    </row>
    <row r="38" spans="2:4" ht="14.5">
      <c r="B38" s="442" t="s">
        <v>703</v>
      </c>
      <c r="C38" s="316" t="s">
        <v>565</v>
      </c>
      <c r="D38" s="353" t="s">
        <v>194</v>
      </c>
    </row>
    <row r="39" spans="2:4" ht="14.5">
      <c r="B39" s="442" t="s">
        <v>703</v>
      </c>
      <c r="C39" s="316" t="s">
        <v>563</v>
      </c>
      <c r="D39" s="353" t="s">
        <v>194</v>
      </c>
    </row>
    <row r="40" spans="2:4" ht="14.5">
      <c r="B40" s="442" t="s">
        <v>1313</v>
      </c>
      <c r="C40" s="316" t="s">
        <v>563</v>
      </c>
      <c r="D40" s="353" t="s">
        <v>194</v>
      </c>
    </row>
    <row r="41" spans="2:4" ht="14.5">
      <c r="B41" s="442" t="s">
        <v>1313</v>
      </c>
      <c r="C41" s="316" t="s">
        <v>565</v>
      </c>
      <c r="D41" s="353" t="s">
        <v>194</v>
      </c>
    </row>
    <row r="42" spans="2:4" ht="29.9" customHeight="1">
      <c r="B42" s="442" t="s">
        <v>1314</v>
      </c>
      <c r="C42" s="316" t="s">
        <v>565</v>
      </c>
      <c r="D42" s="353" t="s">
        <v>194</v>
      </c>
    </row>
    <row r="43" spans="2:4" ht="29.9" customHeight="1">
      <c r="B43" s="442" t="s">
        <v>1314</v>
      </c>
      <c r="C43" s="316" t="s">
        <v>563</v>
      </c>
      <c r="D43" s="353" t="s">
        <v>194</v>
      </c>
    </row>
    <row r="44" spans="2:4" ht="22.4" customHeight="1">
      <c r="B44" s="442" t="s">
        <v>1315</v>
      </c>
      <c r="C44" s="316" t="s">
        <v>714</v>
      </c>
      <c r="D44" s="353" t="s">
        <v>197</v>
      </c>
    </row>
    <row r="45" spans="2:4" ht="14.5">
      <c r="B45" s="442" t="s">
        <v>1316</v>
      </c>
      <c r="C45" s="316" t="s">
        <v>714</v>
      </c>
      <c r="D45" s="353" t="s">
        <v>197</v>
      </c>
    </row>
    <row r="46" spans="2:4" ht="14.5">
      <c r="B46" s="442" t="s">
        <v>1317</v>
      </c>
      <c r="C46" s="316" t="s">
        <v>905</v>
      </c>
      <c r="D46" s="353" t="s">
        <v>649</v>
      </c>
    </row>
    <row r="47" spans="2:4" ht="14.5">
      <c r="B47" s="442" t="s">
        <v>1317</v>
      </c>
      <c r="C47" s="316" t="s">
        <v>720</v>
      </c>
      <c r="D47" s="353" t="s">
        <v>46</v>
      </c>
    </row>
    <row r="48" spans="2:4" ht="14.5">
      <c r="B48" s="442" t="s">
        <v>1317</v>
      </c>
      <c r="C48" s="316" t="s">
        <v>714</v>
      </c>
      <c r="D48" s="353" t="s">
        <v>197</v>
      </c>
    </row>
    <row r="49" spans="2:4" ht="14.5">
      <c r="B49" s="442" t="s">
        <v>1318</v>
      </c>
      <c r="C49" s="316" t="s">
        <v>714</v>
      </c>
      <c r="D49" s="353" t="s">
        <v>197</v>
      </c>
    </row>
    <row r="50" spans="2:4" ht="14.5">
      <c r="B50" s="442" t="s">
        <v>1319</v>
      </c>
      <c r="C50" s="316" t="s">
        <v>538</v>
      </c>
      <c r="D50" s="353" t="s">
        <v>194</v>
      </c>
    </row>
    <row r="51" spans="2:4" ht="14.5">
      <c r="B51" s="442" t="s">
        <v>1320</v>
      </c>
      <c r="C51" s="316" t="s">
        <v>537</v>
      </c>
      <c r="D51" s="353" t="s">
        <v>194</v>
      </c>
    </row>
    <row r="52" spans="2:4" ht="14.5">
      <c r="B52" s="442" t="s">
        <v>1321</v>
      </c>
      <c r="C52" s="316" t="s">
        <v>537</v>
      </c>
      <c r="D52" s="353" t="s">
        <v>194</v>
      </c>
    </row>
    <row r="53" spans="2:4" ht="14.5">
      <c r="B53" s="442" t="s">
        <v>1322</v>
      </c>
      <c r="C53" s="316" t="s">
        <v>537</v>
      </c>
      <c r="D53" s="353" t="s">
        <v>194</v>
      </c>
    </row>
    <row r="54" spans="2:4" ht="14.5">
      <c r="B54" s="442" t="s">
        <v>1323</v>
      </c>
      <c r="C54" s="316" t="s">
        <v>537</v>
      </c>
      <c r="D54" s="353" t="s">
        <v>194</v>
      </c>
    </row>
    <row r="55" spans="2:4" ht="14.5">
      <c r="B55" s="442" t="s">
        <v>1324</v>
      </c>
      <c r="C55" s="316" t="s">
        <v>537</v>
      </c>
      <c r="D55" s="353" t="s">
        <v>194</v>
      </c>
    </row>
    <row r="56" spans="2:4" ht="14.5">
      <c r="B56" s="442" t="s">
        <v>1325</v>
      </c>
      <c r="C56" s="316" t="s">
        <v>537</v>
      </c>
      <c r="D56" s="353" t="s">
        <v>194</v>
      </c>
    </row>
    <row r="57" spans="2:4" ht="14.5">
      <c r="B57" s="442" t="s">
        <v>1326</v>
      </c>
      <c r="C57" s="316" t="s">
        <v>540</v>
      </c>
      <c r="D57" s="353" t="s">
        <v>194</v>
      </c>
    </row>
    <row r="58" spans="2:4" ht="14.5">
      <c r="B58" s="442" t="s">
        <v>1327</v>
      </c>
      <c r="C58" s="316" t="s">
        <v>540</v>
      </c>
      <c r="D58" s="353" t="s">
        <v>194</v>
      </c>
    </row>
    <row r="59" spans="2:4" ht="14.5">
      <c r="B59" s="442" t="s">
        <v>1328</v>
      </c>
      <c r="C59" s="316" t="s">
        <v>540</v>
      </c>
      <c r="D59" s="353" t="s">
        <v>194</v>
      </c>
    </row>
    <row r="60" spans="2:4" ht="14.5">
      <c r="B60" s="442" t="s">
        <v>1329</v>
      </c>
      <c r="C60" s="316" t="s">
        <v>540</v>
      </c>
      <c r="D60" s="353" t="s">
        <v>194</v>
      </c>
    </row>
    <row r="61" spans="2:4" ht="14.5">
      <c r="B61" s="442" t="s">
        <v>1329</v>
      </c>
      <c r="C61" s="316" t="s">
        <v>1330</v>
      </c>
      <c r="D61" s="353" t="s">
        <v>194</v>
      </c>
    </row>
    <row r="62" spans="2:4" ht="14.5">
      <c r="B62" s="442" t="s">
        <v>1331</v>
      </c>
      <c r="C62" s="316" t="s">
        <v>540</v>
      </c>
      <c r="D62" s="353" t="s">
        <v>194</v>
      </c>
    </row>
    <row r="63" spans="2:4" ht="14.5">
      <c r="B63" s="442" t="s">
        <v>1331</v>
      </c>
      <c r="C63" s="316" t="s">
        <v>710</v>
      </c>
      <c r="D63" s="353" t="s">
        <v>649</v>
      </c>
    </row>
    <row r="64" spans="2:4" ht="14.5">
      <c r="B64" s="442" t="s">
        <v>1331</v>
      </c>
      <c r="C64" s="316" t="s">
        <v>706</v>
      </c>
      <c r="D64" s="353" t="s">
        <v>649</v>
      </c>
    </row>
    <row r="65" spans="2:4" ht="14.5">
      <c r="B65" s="442" t="s">
        <v>1331</v>
      </c>
      <c r="C65" s="316" t="s">
        <v>718</v>
      </c>
      <c r="D65" s="353" t="s">
        <v>46</v>
      </c>
    </row>
    <row r="66" spans="2:4" ht="14.5">
      <c r="B66" s="442" t="s">
        <v>1332</v>
      </c>
      <c r="C66" s="316" t="s">
        <v>540</v>
      </c>
      <c r="D66" s="353" t="s">
        <v>194</v>
      </c>
    </row>
    <row r="67" spans="2:4" ht="14.5">
      <c r="B67" s="442" t="s">
        <v>1332</v>
      </c>
      <c r="C67" s="340" t="s">
        <v>757</v>
      </c>
      <c r="D67" s="353" t="s">
        <v>194</v>
      </c>
    </row>
    <row r="68" spans="2:4" ht="14.5">
      <c r="B68" s="442" t="s">
        <v>1333</v>
      </c>
      <c r="C68" s="316" t="s">
        <v>1334</v>
      </c>
      <c r="D68" s="353" t="s">
        <v>649</v>
      </c>
    </row>
    <row r="69" spans="2:4" ht="14.5">
      <c r="B69" s="442" t="s">
        <v>1333</v>
      </c>
      <c r="C69" s="316" t="s">
        <v>180</v>
      </c>
      <c r="D69" s="353" t="s">
        <v>46</v>
      </c>
    </row>
    <row r="70" spans="2:4" ht="14.5">
      <c r="B70" s="442" t="s">
        <v>1333</v>
      </c>
      <c r="C70" s="316" t="s">
        <v>529</v>
      </c>
      <c r="D70" s="353" t="s">
        <v>194</v>
      </c>
    </row>
    <row r="71" spans="2:4" ht="14.5">
      <c r="B71" s="442" t="s">
        <v>1333</v>
      </c>
      <c r="C71" s="316" t="s">
        <v>530</v>
      </c>
      <c r="D71" s="353" t="s">
        <v>194</v>
      </c>
    </row>
    <row r="72" spans="2:4" ht="14.5">
      <c r="B72" s="442" t="s">
        <v>1333</v>
      </c>
      <c r="C72" s="316" t="s">
        <v>531</v>
      </c>
      <c r="D72" s="353" t="s">
        <v>194</v>
      </c>
    </row>
    <row r="73" spans="2:4" ht="14.5">
      <c r="B73" s="442" t="s">
        <v>1333</v>
      </c>
      <c r="C73" s="316" t="s">
        <v>532</v>
      </c>
      <c r="D73" s="353" t="s">
        <v>194</v>
      </c>
    </row>
    <row r="74" spans="2:4" ht="14.5">
      <c r="B74" s="442" t="s">
        <v>1333</v>
      </c>
      <c r="C74" s="316" t="s">
        <v>1335</v>
      </c>
      <c r="D74" s="353" t="s">
        <v>194</v>
      </c>
    </row>
    <row r="75" spans="2:4" ht="14.5">
      <c r="B75" s="442" t="s">
        <v>1333</v>
      </c>
      <c r="C75" s="316" t="s">
        <v>1336</v>
      </c>
      <c r="D75" s="353" t="s">
        <v>194</v>
      </c>
    </row>
    <row r="76" spans="2:4" ht="14.5">
      <c r="B76" s="442" t="s">
        <v>1333</v>
      </c>
      <c r="C76" s="316" t="s">
        <v>1337</v>
      </c>
      <c r="D76" s="353" t="s">
        <v>46</v>
      </c>
    </row>
    <row r="77" spans="2:4" ht="14.5">
      <c r="B77" s="442" t="s">
        <v>1333</v>
      </c>
      <c r="C77" s="316" t="s">
        <v>1338</v>
      </c>
      <c r="D77" s="353" t="s">
        <v>46</v>
      </c>
    </row>
    <row r="78" spans="2:4" ht="14.5">
      <c r="B78" s="442" t="s">
        <v>1333</v>
      </c>
      <c r="C78" s="316" t="s">
        <v>1339</v>
      </c>
      <c r="D78" s="353" t="s">
        <v>194</v>
      </c>
    </row>
    <row r="79" spans="2:4" ht="14.5">
      <c r="B79" s="442" t="s">
        <v>1340</v>
      </c>
      <c r="C79" s="316" t="s">
        <v>757</v>
      </c>
      <c r="D79" s="353" t="s">
        <v>194</v>
      </c>
    </row>
    <row r="80" spans="2:4" ht="14.5">
      <c r="B80" s="442" t="s">
        <v>1340</v>
      </c>
      <c r="C80" s="316" t="s">
        <v>568</v>
      </c>
      <c r="D80" s="353" t="s">
        <v>194</v>
      </c>
    </row>
    <row r="81" spans="2:4" ht="14.5">
      <c r="B81" s="442" t="s">
        <v>1341</v>
      </c>
      <c r="C81" s="316" t="s">
        <v>757</v>
      </c>
      <c r="D81" s="353" t="s">
        <v>194</v>
      </c>
    </row>
    <row r="82" spans="2:4" ht="14.5">
      <c r="B82" s="442" t="s">
        <v>1341</v>
      </c>
      <c r="C82" s="316" t="s">
        <v>568</v>
      </c>
      <c r="D82" s="353" t="s">
        <v>194</v>
      </c>
    </row>
    <row r="83" spans="2:4" ht="14.5">
      <c r="B83" s="442" t="s">
        <v>1342</v>
      </c>
      <c r="C83" s="316" t="s">
        <v>757</v>
      </c>
      <c r="D83" s="353" t="s">
        <v>194</v>
      </c>
    </row>
    <row r="84" spans="2:4" ht="14.5">
      <c r="B84" s="442" t="s">
        <v>1342</v>
      </c>
      <c r="C84" s="316" t="s">
        <v>568</v>
      </c>
      <c r="D84" s="353" t="s">
        <v>194</v>
      </c>
    </row>
    <row r="85" spans="2:4" ht="14.5">
      <c r="B85" s="442" t="s">
        <v>1343</v>
      </c>
      <c r="C85" s="316" t="s">
        <v>757</v>
      </c>
      <c r="D85" s="353" t="s">
        <v>194</v>
      </c>
    </row>
    <row r="86" spans="2:4" ht="14.5">
      <c r="B86" s="442" t="s">
        <v>1343</v>
      </c>
      <c r="C86" s="316" t="s">
        <v>568</v>
      </c>
      <c r="D86" s="353" t="s">
        <v>194</v>
      </c>
    </row>
    <row r="87" spans="2:4" ht="14.5">
      <c r="B87" s="442" t="s">
        <v>1344</v>
      </c>
      <c r="C87" s="316" t="s">
        <v>757</v>
      </c>
      <c r="D87" s="353" t="s">
        <v>194</v>
      </c>
    </row>
    <row r="88" spans="2:4" ht="14.5">
      <c r="B88" s="442" t="s">
        <v>1344</v>
      </c>
      <c r="C88" s="316" t="s">
        <v>568</v>
      </c>
      <c r="D88" s="353" t="s">
        <v>194</v>
      </c>
    </row>
    <row r="89" spans="2:4" ht="14.5">
      <c r="B89" s="442" t="s">
        <v>1345</v>
      </c>
      <c r="C89" s="316" t="s">
        <v>765</v>
      </c>
      <c r="D89" s="353" t="s">
        <v>649</v>
      </c>
    </row>
    <row r="90" spans="2:4" ht="14.5">
      <c r="B90" s="442" t="s">
        <v>1346</v>
      </c>
      <c r="C90" s="316" t="s">
        <v>757</v>
      </c>
      <c r="D90" s="353" t="s">
        <v>194</v>
      </c>
    </row>
    <row r="91" spans="2:4" ht="14.5">
      <c r="B91" s="442" t="s">
        <v>1347</v>
      </c>
      <c r="C91" s="316" t="s">
        <v>757</v>
      </c>
      <c r="D91" s="353" t="s">
        <v>194</v>
      </c>
    </row>
    <row r="92" spans="2:4" ht="14.5">
      <c r="B92" s="442" t="s">
        <v>1346</v>
      </c>
      <c r="C92" s="316" t="s">
        <v>568</v>
      </c>
      <c r="D92" s="353" t="s">
        <v>194</v>
      </c>
    </row>
    <row r="93" spans="2:4" ht="14.5">
      <c r="B93" s="442" t="s">
        <v>1347</v>
      </c>
      <c r="C93" s="316" t="s">
        <v>568</v>
      </c>
      <c r="D93" s="353" t="s">
        <v>194</v>
      </c>
    </row>
    <row r="94" spans="2:4" ht="14.5">
      <c r="B94" s="442" t="s">
        <v>691</v>
      </c>
      <c r="C94" s="316" t="s">
        <v>692</v>
      </c>
      <c r="D94" s="353" t="s">
        <v>197</v>
      </c>
    </row>
    <row r="95" spans="2:4" ht="14.5">
      <c r="B95" s="442" t="s">
        <v>1348</v>
      </c>
      <c r="C95" s="316" t="s">
        <v>692</v>
      </c>
      <c r="D95" s="353" t="s">
        <v>197</v>
      </c>
    </row>
    <row r="96" spans="2:4" ht="14.5">
      <c r="B96" s="442" t="s">
        <v>1349</v>
      </c>
      <c r="C96" s="316" t="s">
        <v>692</v>
      </c>
      <c r="D96" s="353" t="s">
        <v>197</v>
      </c>
    </row>
    <row r="97" spans="2:4" ht="14.5">
      <c r="B97" s="442" t="s">
        <v>1350</v>
      </c>
      <c r="C97" s="340" t="s">
        <v>539</v>
      </c>
      <c r="D97" s="353" t="s">
        <v>194</v>
      </c>
    </row>
    <row r="98" spans="2:4" ht="14.5">
      <c r="B98" s="442" t="s">
        <v>1351</v>
      </c>
      <c r="C98" s="316" t="s">
        <v>692</v>
      </c>
      <c r="D98" s="353" t="s">
        <v>197</v>
      </c>
    </row>
    <row r="99" spans="2:4" ht="14.5">
      <c r="B99" s="442" t="s">
        <v>1352</v>
      </c>
      <c r="C99" s="340" t="s">
        <v>1105</v>
      </c>
      <c r="D99" s="353" t="s">
        <v>197</v>
      </c>
    </row>
    <row r="100" spans="2:4" ht="14.5">
      <c r="B100" s="442" t="s">
        <v>1352</v>
      </c>
      <c r="C100" s="340" t="s">
        <v>822</v>
      </c>
      <c r="D100" s="353" t="s">
        <v>197</v>
      </c>
    </row>
    <row r="101" spans="2:4" ht="14.5">
      <c r="B101" s="442" t="s">
        <v>1353</v>
      </c>
      <c r="C101" s="340" t="s">
        <v>1105</v>
      </c>
      <c r="D101" s="353" t="s">
        <v>197</v>
      </c>
    </row>
    <row r="102" spans="2:4" ht="14.5">
      <c r="B102" s="442" t="s">
        <v>889</v>
      </c>
      <c r="C102" s="316" t="s">
        <v>899</v>
      </c>
      <c r="D102" s="353" t="s">
        <v>649</v>
      </c>
    </row>
    <row r="103" spans="2:4" ht="14.5">
      <c r="B103" s="442" t="s">
        <v>1354</v>
      </c>
      <c r="C103" s="316" t="s">
        <v>899</v>
      </c>
      <c r="D103" s="353" t="s">
        <v>649</v>
      </c>
    </row>
    <row r="104" spans="2:4" ht="14.5">
      <c r="B104" s="442" t="s">
        <v>884</v>
      </c>
      <c r="C104" s="316" t="s">
        <v>885</v>
      </c>
      <c r="D104" s="353" t="s">
        <v>649</v>
      </c>
    </row>
    <row r="105" spans="2:4" ht="14.5">
      <c r="B105" s="442" t="s">
        <v>1355</v>
      </c>
      <c r="C105" s="316" t="s">
        <v>899</v>
      </c>
      <c r="D105" s="353" t="s">
        <v>649</v>
      </c>
    </row>
    <row r="106" spans="2:4" ht="14.5">
      <c r="B106" s="442" t="s">
        <v>1356</v>
      </c>
      <c r="C106" s="340" t="s">
        <v>910</v>
      </c>
      <c r="D106" s="353" t="s">
        <v>649</v>
      </c>
    </row>
    <row r="107" spans="2:4" ht="14.5">
      <c r="B107" s="442" t="s">
        <v>1357</v>
      </c>
      <c r="C107" s="316" t="s">
        <v>885</v>
      </c>
      <c r="D107" s="353" t="s">
        <v>649</v>
      </c>
    </row>
    <row r="108" spans="2:4" ht="14.5">
      <c r="B108" s="442" t="s">
        <v>1357</v>
      </c>
      <c r="C108" s="316" t="s">
        <v>899</v>
      </c>
      <c r="D108" s="353" t="s">
        <v>649</v>
      </c>
    </row>
    <row r="109" spans="2:4" ht="14.5">
      <c r="B109" s="442" t="s">
        <v>1358</v>
      </c>
      <c r="C109" s="316" t="s">
        <v>893</v>
      </c>
      <c r="D109" s="353" t="s">
        <v>649</v>
      </c>
    </row>
    <row r="110" spans="2:4" ht="14.5">
      <c r="B110" s="442" t="s">
        <v>1359</v>
      </c>
      <c r="C110" s="316" t="s">
        <v>893</v>
      </c>
      <c r="D110" s="353" t="s">
        <v>649</v>
      </c>
    </row>
    <row r="111" spans="2:4" ht="14.5">
      <c r="B111" s="442" t="s">
        <v>1360</v>
      </c>
      <c r="C111" s="316" t="s">
        <v>893</v>
      </c>
      <c r="D111" s="353" t="s">
        <v>649</v>
      </c>
    </row>
    <row r="112" spans="2:4" ht="14.5">
      <c r="B112" s="442" t="s">
        <v>1361</v>
      </c>
      <c r="C112" s="316" t="s">
        <v>893</v>
      </c>
      <c r="D112" s="353" t="s">
        <v>649</v>
      </c>
    </row>
    <row r="113" spans="2:4" ht="14.5">
      <c r="B113" s="442" t="s">
        <v>1362</v>
      </c>
      <c r="C113" s="316" t="s">
        <v>893</v>
      </c>
      <c r="D113" s="353" t="s">
        <v>649</v>
      </c>
    </row>
    <row r="114" spans="2:4" ht="14.5">
      <c r="B114" s="442" t="s">
        <v>1363</v>
      </c>
      <c r="C114" s="316" t="s">
        <v>1364</v>
      </c>
      <c r="D114" s="353" t="s">
        <v>649</v>
      </c>
    </row>
    <row r="115" spans="2:4" ht="14.5">
      <c r="B115" s="442" t="s">
        <v>1365</v>
      </c>
      <c r="C115" s="316" t="s">
        <v>1364</v>
      </c>
      <c r="D115" s="353" t="s">
        <v>649</v>
      </c>
    </row>
    <row r="116" spans="2:4" ht="14.5">
      <c r="B116" s="442" t="s">
        <v>1366</v>
      </c>
      <c r="C116" s="316" t="s">
        <v>1364</v>
      </c>
      <c r="D116" s="353" t="s">
        <v>649</v>
      </c>
    </row>
    <row r="117" spans="2:4" ht="14.5">
      <c r="B117" s="442" t="s">
        <v>1367</v>
      </c>
      <c r="C117" s="316" t="s">
        <v>891</v>
      </c>
      <c r="D117" s="353" t="s">
        <v>649</v>
      </c>
    </row>
    <row r="118" spans="2:4" ht="14.5">
      <c r="B118" s="442" t="s">
        <v>1368</v>
      </c>
      <c r="C118" s="316" t="s">
        <v>893</v>
      </c>
      <c r="D118" s="353" t="s">
        <v>649</v>
      </c>
    </row>
    <row r="119" spans="2:4" ht="14.5">
      <c r="B119" s="442" t="s">
        <v>1369</v>
      </c>
      <c r="C119" s="316" t="s">
        <v>893</v>
      </c>
      <c r="D119" s="353" t="s">
        <v>649</v>
      </c>
    </row>
    <row r="120" spans="2:4" ht="14.5">
      <c r="B120" s="442" t="s">
        <v>1369</v>
      </c>
      <c r="C120" s="340" t="s">
        <v>571</v>
      </c>
      <c r="D120" s="444" t="s">
        <v>194</v>
      </c>
    </row>
    <row r="121" spans="2:4" ht="14.5">
      <c r="B121" s="442" t="s">
        <v>1370</v>
      </c>
      <c r="C121" s="316" t="s">
        <v>1371</v>
      </c>
      <c r="D121" s="360"/>
    </row>
    <row r="122" spans="2:4" ht="14.5">
      <c r="B122" s="442" t="s">
        <v>1372</v>
      </c>
      <c r="C122" s="340" t="s">
        <v>571</v>
      </c>
      <c r="D122" s="444" t="s">
        <v>194</v>
      </c>
    </row>
    <row r="123" spans="2:4" ht="19.4" customHeight="1">
      <c r="B123" s="442" t="s">
        <v>1373</v>
      </c>
      <c r="C123" s="316" t="s">
        <v>539</v>
      </c>
      <c r="D123" s="353" t="s">
        <v>194</v>
      </c>
    </row>
    <row r="124" spans="2:4" ht="14.5">
      <c r="B124" s="442" t="s">
        <v>1374</v>
      </c>
      <c r="C124" s="340" t="s">
        <v>832</v>
      </c>
      <c r="D124" s="353" t="s">
        <v>46</v>
      </c>
    </row>
    <row r="125" spans="2:4" ht="14.5">
      <c r="B125" s="442" t="s">
        <v>1375</v>
      </c>
      <c r="C125" s="316" t="s">
        <v>539</v>
      </c>
      <c r="D125" s="353" t="s">
        <v>194</v>
      </c>
    </row>
    <row r="126" spans="2:4" ht="14.5">
      <c r="B126" s="442" t="s">
        <v>1376</v>
      </c>
      <c r="C126" s="340" t="s">
        <v>832</v>
      </c>
      <c r="D126" s="353" t="s">
        <v>46</v>
      </c>
    </row>
    <row r="127" spans="2:4" ht="14.5">
      <c r="B127" s="442" t="s">
        <v>1377</v>
      </c>
      <c r="C127" s="316" t="s">
        <v>539</v>
      </c>
      <c r="D127" s="353" t="s">
        <v>194</v>
      </c>
    </row>
    <row r="128" spans="2:4" ht="14.5">
      <c r="B128" s="442" t="s">
        <v>1378</v>
      </c>
      <c r="C128" s="316" t="s">
        <v>539</v>
      </c>
      <c r="D128" s="353" t="s">
        <v>194</v>
      </c>
    </row>
    <row r="129" spans="2:4" ht="14.5">
      <c r="B129" s="442" t="s">
        <v>1379</v>
      </c>
      <c r="C129" s="316" t="s">
        <v>539</v>
      </c>
      <c r="D129" s="353" t="s">
        <v>194</v>
      </c>
    </row>
    <row r="130" spans="2:4" ht="14.5">
      <c r="B130" s="442" t="s">
        <v>1380</v>
      </c>
      <c r="C130" s="316" t="s">
        <v>539</v>
      </c>
      <c r="D130" s="353" t="s">
        <v>194</v>
      </c>
    </row>
    <row r="131" spans="2:4" ht="14.5">
      <c r="B131" s="442" t="s">
        <v>1381</v>
      </c>
      <c r="C131" s="316" t="s">
        <v>539</v>
      </c>
      <c r="D131" s="353" t="s">
        <v>194</v>
      </c>
    </row>
    <row r="132" spans="2:4" ht="14.5">
      <c r="B132" s="442" t="s">
        <v>823</v>
      </c>
      <c r="C132" s="316" t="s">
        <v>824</v>
      </c>
      <c r="D132" s="353" t="s">
        <v>649</v>
      </c>
    </row>
    <row r="133" spans="2:4" ht="14.5">
      <c r="B133" s="442" t="s">
        <v>1382</v>
      </c>
      <c r="C133" s="316" t="s">
        <v>832</v>
      </c>
      <c r="D133" s="353" t="s">
        <v>46</v>
      </c>
    </row>
    <row r="134" spans="2:4" ht="14.5">
      <c r="B134" s="442" t="s">
        <v>1383</v>
      </c>
      <c r="C134" s="316" t="s">
        <v>832</v>
      </c>
      <c r="D134" s="353" t="s">
        <v>46</v>
      </c>
    </row>
    <row r="135" spans="2:4" ht="14.5">
      <c r="B135" s="442" t="s">
        <v>1384</v>
      </c>
      <c r="C135" s="316" t="s">
        <v>832</v>
      </c>
      <c r="D135" s="353" t="s">
        <v>46</v>
      </c>
    </row>
    <row r="136" spans="2:4" ht="14.5">
      <c r="B136" s="442" t="s">
        <v>1385</v>
      </c>
      <c r="C136" s="316" t="s">
        <v>832</v>
      </c>
      <c r="D136" s="353" t="s">
        <v>46</v>
      </c>
    </row>
    <row r="137" spans="2:4" ht="14.5">
      <c r="B137" s="442" t="s">
        <v>1385</v>
      </c>
      <c r="C137" s="316" t="s">
        <v>832</v>
      </c>
      <c r="D137" s="353" t="s">
        <v>46</v>
      </c>
    </row>
    <row r="138" spans="2:4" ht="14.5">
      <c r="B138" s="442" t="s">
        <v>1385</v>
      </c>
      <c r="C138" s="316" t="s">
        <v>832</v>
      </c>
      <c r="D138" s="353" t="s">
        <v>46</v>
      </c>
    </row>
    <row r="139" spans="2:4" ht="14.5">
      <c r="B139" s="442" t="s">
        <v>1385</v>
      </c>
      <c r="C139" s="316" t="s">
        <v>832</v>
      </c>
      <c r="D139" s="353" t="s">
        <v>46</v>
      </c>
    </row>
    <row r="140" spans="2:4" ht="14.5">
      <c r="B140" s="442" t="s">
        <v>1385</v>
      </c>
      <c r="C140" s="316" t="s">
        <v>832</v>
      </c>
      <c r="D140" s="353" t="s">
        <v>46</v>
      </c>
    </row>
    <row r="141" spans="2:4" ht="14.5">
      <c r="B141" s="442" t="s">
        <v>1385</v>
      </c>
      <c r="C141" s="316" t="s">
        <v>832</v>
      </c>
      <c r="D141" s="353" t="s">
        <v>46</v>
      </c>
    </row>
    <row r="142" spans="2:4" ht="14.5">
      <c r="B142" s="442" t="s">
        <v>1386</v>
      </c>
      <c r="C142" s="316" t="s">
        <v>1387</v>
      </c>
      <c r="D142" s="353" t="s">
        <v>197</v>
      </c>
    </row>
    <row r="143" spans="2:4" ht="14.5">
      <c r="B143" s="442" t="s">
        <v>1388</v>
      </c>
      <c r="C143" s="316" t="s">
        <v>1387</v>
      </c>
      <c r="D143" s="353" t="s">
        <v>197</v>
      </c>
    </row>
    <row r="144" spans="2:4" ht="14.5">
      <c r="B144" s="442" t="s">
        <v>1389</v>
      </c>
      <c r="C144" s="316" t="s">
        <v>1387</v>
      </c>
      <c r="D144" s="353" t="s">
        <v>197</v>
      </c>
    </row>
    <row r="145" spans="2:4" ht="14.5">
      <c r="B145" s="442" t="s">
        <v>1390</v>
      </c>
      <c r="C145" s="316" t="s">
        <v>836</v>
      </c>
      <c r="D145" s="353" t="s">
        <v>666</v>
      </c>
    </row>
    <row r="146" spans="2:4" ht="14.5">
      <c r="B146" s="442" t="s">
        <v>1391</v>
      </c>
      <c r="C146" s="316" t="s">
        <v>664</v>
      </c>
      <c r="D146" s="353" t="s">
        <v>197</v>
      </c>
    </row>
    <row r="147" spans="2:4" ht="36.65" customHeight="1">
      <c r="B147" s="442" t="s">
        <v>1392</v>
      </c>
      <c r="C147" s="295" t="s">
        <v>1393</v>
      </c>
      <c r="D147" s="353" t="s">
        <v>197</v>
      </c>
    </row>
    <row r="148" spans="2:4" ht="14.5">
      <c r="B148" s="442" t="s">
        <v>1394</v>
      </c>
      <c r="C148" s="316" t="s">
        <v>714</v>
      </c>
      <c r="D148" s="353" t="s">
        <v>197</v>
      </c>
    </row>
    <row r="149" spans="2:4" ht="14.5">
      <c r="B149" s="442" t="s">
        <v>1395</v>
      </c>
      <c r="C149" s="340" t="s">
        <v>1105</v>
      </c>
      <c r="D149" s="353" t="s">
        <v>197</v>
      </c>
    </row>
    <row r="150" spans="2:4" ht="14.5">
      <c r="B150" s="442" t="s">
        <v>862</v>
      </c>
      <c r="C150" s="316" t="s">
        <v>863</v>
      </c>
      <c r="D150" s="353" t="s">
        <v>197</v>
      </c>
    </row>
    <row r="151" spans="2:4" ht="14.5">
      <c r="B151" s="442" t="s">
        <v>1396</v>
      </c>
      <c r="C151" s="316" t="s">
        <v>847</v>
      </c>
      <c r="D151" s="353" t="s">
        <v>666</v>
      </c>
    </row>
    <row r="152" spans="2:4" ht="14.5">
      <c r="B152" s="442" t="s">
        <v>1397</v>
      </c>
      <c r="C152" s="316" t="s">
        <v>847</v>
      </c>
      <c r="D152" s="353" t="s">
        <v>666</v>
      </c>
    </row>
    <row r="153" spans="2:4" ht="14.5">
      <c r="B153" s="442" t="s">
        <v>1398</v>
      </c>
      <c r="C153" s="316" t="s">
        <v>851</v>
      </c>
      <c r="D153" s="353" t="s">
        <v>666</v>
      </c>
    </row>
    <row r="154" spans="2:4" ht="14.5">
      <c r="B154" s="442" t="s">
        <v>1399</v>
      </c>
      <c r="C154" s="316" t="s">
        <v>851</v>
      </c>
      <c r="D154" s="353" t="s">
        <v>666</v>
      </c>
    </row>
    <row r="155" spans="2:4" ht="14.5">
      <c r="B155" s="442" t="s">
        <v>1400</v>
      </c>
      <c r="C155" s="316" t="s">
        <v>851</v>
      </c>
      <c r="D155" s="353" t="s">
        <v>666</v>
      </c>
    </row>
    <row r="156" spans="2:4" ht="14.5">
      <c r="B156" s="442" t="s">
        <v>1401</v>
      </c>
      <c r="C156" s="316" t="s">
        <v>851</v>
      </c>
      <c r="D156" s="353" t="s">
        <v>666</v>
      </c>
    </row>
    <row r="157" spans="2:4" ht="14.5">
      <c r="B157" s="442" t="s">
        <v>875</v>
      </c>
      <c r="C157" s="316" t="s">
        <v>873</v>
      </c>
      <c r="D157" s="353" t="s">
        <v>197</v>
      </c>
    </row>
    <row r="158" spans="2:4" ht="15" thickBot="1">
      <c r="B158" s="445" t="s">
        <v>875</v>
      </c>
      <c r="C158" s="301" t="s">
        <v>876</v>
      </c>
      <c r="D158" s="345" t="s">
        <v>197</v>
      </c>
    </row>
    <row r="159" ht="14.5"/>
    <row r="160" ht="14.5"/>
    <row r="161" ht="14.5"/>
    <row r="162" ht="14.5"/>
    <row r="163" spans="2:2" ht="14.5">
      <c r="B163" s="198"/>
    </row>
    <row r="164" spans="2:2" ht="14.5">
      <c r="B164" s="198"/>
    </row>
    <row r="165" spans="2:2" ht="14.5">
      <c r="B165" s="198"/>
    </row>
    <row r="166" spans="2:2" ht="14.5">
      <c r="B166" s="198"/>
    </row>
    <row r="167" spans="2:2" ht="14.5">
      <c r="B167" s="198"/>
    </row>
    <row r="168" spans="2:2" ht="14.5">
      <c r="B168" s="198"/>
    </row>
    <row r="169" spans="2:2" ht="14.5" hidden="1">
      <c r="B169" s="198"/>
    </row>
    <row r="170" spans="2:2" ht="14.5" hidden="1">
      <c r="B170" s="198"/>
    </row>
    <row r="171" spans="2:2" ht="14.5" hidden="1">
      <c r="B171" s="198"/>
    </row>
    <row r="172" spans="2:2" ht="14.5" hidden="1">
      <c r="B172" s="198"/>
    </row>
    <row r="173" spans="2:2" ht="14.5" hidden="1">
      <c r="B173" s="198"/>
    </row>
    <row r="174" spans="2:2" ht="14.5" hidden="1">
      <c r="B174" s="198"/>
    </row>
    <row r="175" spans="2:2" ht="14.5" hidden="1">
      <c r="B175" s="198"/>
    </row>
    <row r="176" spans="2:2" ht="14.5" hidden="1">
      <c r="B176" s="198"/>
    </row>
    <row r="177" spans="2:2" ht="14.5" hidden="1">
      <c r="B177" s="198"/>
    </row>
    <row r="178" spans="2:2" ht="14.5" hidden="1">
      <c r="B178" s="198"/>
    </row>
    <row r="179" spans="2:2" ht="14.5" hidden="1">
      <c r="B179" s="198"/>
    </row>
    <row r="180" spans="2:2" ht="14.5" hidden="1">
      <c r="B180" s="198"/>
    </row>
    <row r="181" spans="2:2" ht="14.5" hidden="1">
      <c r="B181" s="198"/>
    </row>
    <row r="182" spans="2:2" ht="14.5" hidden="1">
      <c r="B182" s="198"/>
    </row>
    <row r="183" spans="2:2" ht="14.5" hidden="1">
      <c r="B183" s="198"/>
    </row>
    <row r="184" spans="2:2" ht="14.5" hidden="1">
      <c r="B184" s="198"/>
    </row>
    <row r="185" spans="2:2" ht="14.5" hidden="1">
      <c r="B185" s="198"/>
    </row>
    <row r="186" spans="2:2" ht="14.5" hidden="1">
      <c r="B186" s="198"/>
    </row>
    <row r="187" spans="2:2" ht="14.5" hidden="1">
      <c r="B187" s="198"/>
    </row>
    <row r="188" spans="2:2" ht="14.5" hidden="1">
      <c r="B188" s="198"/>
    </row>
    <row r="189" spans="2:2" ht="14.5" hidden="1">
      <c r="B189" s="198"/>
    </row>
    <row r="190" spans="2:2" ht="14.5" hidden="1">
      <c r="B190" s="198"/>
    </row>
    <row r="191" spans="2:2" ht="14.5" hidden="1">
      <c r="B191" s="198"/>
    </row>
    <row r="192" spans="2:2" ht="14.5" hidden="1">
      <c r="B192" s="198"/>
    </row>
    <row r="193" spans="2:2" ht="14.5" hidden="1">
      <c r="B193" s="198"/>
    </row>
    <row r="194" spans="2:2" ht="14.5" hidden="1">
      <c r="B194" s="198"/>
    </row>
    <row r="195" spans="2:2" ht="14.5" hidden="1">
      <c r="B195" s="198"/>
    </row>
    <row r="196" spans="2:2" ht="14.5" hidden="1">
      <c r="B196" s="198"/>
    </row>
    <row r="197" spans="2:2" ht="14.5" hidden="1">
      <c r="B197" s="198"/>
    </row>
    <row r="198" spans="2:2" ht="14.5" hidden="1">
      <c r="B198" s="198"/>
    </row>
    <row r="199" spans="2:2" ht="14.5" hidden="1">
      <c r="B199" s="198"/>
    </row>
    <row r="200" spans="2:2" ht="14.5" hidden="1">
      <c r="B200" s="198"/>
    </row>
    <row r="201" spans="2:2" ht="14.5" hidden="1">
      <c r="B201" s="198"/>
    </row>
    <row r="202" spans="2:2" ht="14.5" hidden="1">
      <c r="B202" s="198"/>
    </row>
    <row r="203" spans="2:2" ht="14.5" hidden="1">
      <c r="B203" s="198"/>
    </row>
    <row r="204" spans="2:2" ht="14.5" hidden="1">
      <c r="B204" s="198"/>
    </row>
    <row r="205" spans="2:2" ht="14.5" hidden="1">
      <c r="B205" s="198"/>
    </row>
    <row r="206" spans="2:2" ht="14.5" hidden="1">
      <c r="B206" s="198"/>
    </row>
    <row r="207" spans="2:2" ht="14.5" hidden="1">
      <c r="B207" s="198"/>
    </row>
    <row r="208" spans="2:2" ht="14.5" hidden="1">
      <c r="B208" s="198"/>
    </row>
    <row r="209" spans="2:2" ht="14.5" hidden="1">
      <c r="B209" s="198"/>
    </row>
    <row r="210" spans="2:2" ht="14.5" hidden="1">
      <c r="B210" s="198"/>
    </row>
    <row r="211" spans="2:2" ht="14.5" hidden="1">
      <c r="B211" s="198"/>
    </row>
    <row r="212" spans="2:2" ht="14.5" hidden="1">
      <c r="B212" s="198"/>
    </row>
    <row r="213" spans="2:2" ht="14.5" hidden="1">
      <c r="B213" s="198"/>
    </row>
    <row r="214" spans="2:2" ht="14.5" hidden="1">
      <c r="B214" s="198"/>
    </row>
    <row r="215" spans="2:2" ht="14.5" hidden="1">
      <c r="B215" s="198"/>
    </row>
    <row r="216" spans="2:2" ht="14.5" hidden="1">
      <c r="B216" s="199"/>
    </row>
  </sheetData>
  <sheetProtection algorithmName="SHA-512" hashValue="1HUCqSjGrZ+LCsU+b9zQKSueqS3BJf6u7lAeqdWt5KsrgULVN9ReFcT49MDctlVy8B/NeKrd6mLj0id8HvXtLg==" saltValue="j3cLXWsJkInWKZZo/tDiIw==" spinCount="100000" sheet="1" objects="1" scenarios="1"/>
  <customSheetViews>
    <customSheetView guid="{8bda793c-c9c5-4fc6-a0a5-f1109f6d4f22}" state="hidden" topLeftCell="A1">
      <selection pane="topLeft" activeCell="D14" sqref="D14"/>
      <pageMargins left="0.75" right="0.75" top="1" bottom="1" header="0.5" footer="0.5"/>
    </customSheetView>
  </customSheetViews>
  <mergeCells count="1">
    <mergeCell ref="B2:D2"/>
  </mergeCells>
  <pageMargins left="0.7" right="0.7" top="0.75" bottom="0.75" header="0.3" footer="0.3"/>
  <pageSetup orientation="portrait" paperSize="9"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0003962517"/>
  </sheetPr>
  <dimension ref="A1:R15"/>
  <sheetViews>
    <sheetView zoomScale="80" zoomScaleNormal="80" workbookViewId="0" topLeftCell="A1">
      <selection pane="topLeft" activeCell="O32" sqref="O32"/>
    </sheetView>
  </sheetViews>
  <sheetFormatPr defaultColWidth="9.45428571428571" defaultRowHeight="14.9" customHeight="1" zeroHeight="1"/>
  <cols>
    <col min="1" max="3" width="2.42857142857143" style="9" customWidth="1"/>
    <col min="4" max="4" width="18.5714285714286" style="9" customWidth="1"/>
    <col min="5" max="8" width="9.42857142857143" style="9" customWidth="1"/>
    <col min="9" max="9" width="7" style="9" customWidth="1"/>
    <col min="10" max="12" width="9.42857142857143" style="9" customWidth="1"/>
    <col min="13" max="13" width="12.4285714285714" style="9" customWidth="1"/>
    <col min="14" max="14" width="5.57142857142857" style="9" customWidth="1"/>
    <col min="15" max="15" width="9.42857142857143" style="9" customWidth="1"/>
    <col min="16" max="16" width="34.5714285714286" style="9" customWidth="1"/>
    <col min="17" max="17" width="13.5714285714286" style="9" bestFit="1" customWidth="1"/>
    <col min="18" max="18" width="19.4285714285714" style="9" customWidth="1"/>
    <col min="19" max="20" width="9.42857142857143" style="9" customWidth="1"/>
    <col min="21" max="16384" width="9.42857142857143" style="9"/>
  </cols>
  <sheetData>
    <row r="1" spans="2:15" ht="15.75" customHeight="1">
      <c r="B1" s="16"/>
      <c r="C1" s="16"/>
      <c r="E1" s="17"/>
      <c r="F1" s="1930"/>
      <c r="G1" s="1930"/>
      <c r="H1" s="1930"/>
      <c r="I1" s="1930"/>
      <c r="J1" s="1930"/>
      <c r="K1" s="1931"/>
      <c r="L1" s="1931"/>
      <c r="M1" s="1931"/>
      <c r="N1" s="1931"/>
      <c r="O1" s="1931"/>
    </row>
    <row r="2" spans="2:5" ht="15.75" customHeight="1">
      <c r="B2" s="16"/>
      <c r="C2" s="16"/>
      <c r="E2" s="17"/>
    </row>
    <row r="3" spans="1:16" ht="15.75" customHeight="1">
      <c r="A3" s="17"/>
      <c r="B3" s="17"/>
      <c r="C3" s="17"/>
      <c r="D3" s="17"/>
      <c r="E3" s="17"/>
      <c r="F3" s="18"/>
      <c r="G3" s="18"/>
      <c r="H3" s="18"/>
      <c r="I3" s="18"/>
      <c r="J3" s="18"/>
      <c r="K3" s="18"/>
      <c r="L3" s="18"/>
      <c r="M3" s="18"/>
      <c r="N3" s="18"/>
      <c r="O3" s="18"/>
      <c r="P3" s="18"/>
    </row>
    <row r="4" spans="1:16"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2:18" ht="16.5" customHeight="1">
      <c r="B6" s="16"/>
      <c r="C6" s="16"/>
      <c r="D6" s="17"/>
      <c r="E6" s="17"/>
      <c r="F6" s="19"/>
      <c r="G6" s="19"/>
      <c r="H6" s="19"/>
      <c r="I6" s="19"/>
      <c r="J6" s="19"/>
      <c r="K6" s="19"/>
      <c r="L6" s="19"/>
      <c r="M6" s="19"/>
      <c r="N6" s="19"/>
      <c r="O6" s="19"/>
      <c r="P6" s="19"/>
      <c r="Q6" s="19"/>
      <c r="R6" s="19"/>
    </row>
    <row r="7" spans="2:18" ht="16.5" customHeight="1">
      <c r="B7" s="16"/>
      <c r="C7" s="17"/>
      <c r="D7" s="17"/>
      <c r="E7" s="17"/>
      <c r="F7" s="19"/>
      <c r="G7" s="19"/>
      <c r="H7" s="19"/>
      <c r="I7" s="19"/>
      <c r="J7" s="19"/>
      <c r="K7" s="19"/>
      <c r="L7" s="19"/>
      <c r="M7" s="19"/>
      <c r="N7" s="19"/>
      <c r="O7" s="19"/>
      <c r="P7" s="19"/>
      <c r="Q7" s="19"/>
      <c r="R7" s="19"/>
    </row>
    <row r="8" spans="2:18" ht="16.5" customHeight="1">
      <c r="B8" s="16"/>
      <c r="C8" s="16"/>
      <c r="D8" s="17"/>
      <c r="E8" s="17"/>
      <c r="F8" s="19"/>
      <c r="G8" s="19"/>
      <c r="H8" s="19"/>
      <c r="I8" s="19"/>
      <c r="J8" s="19"/>
      <c r="K8" s="19"/>
      <c r="L8" s="19"/>
      <c r="M8" s="19"/>
      <c r="N8" s="19"/>
      <c r="O8" s="19"/>
      <c r="P8" s="19"/>
      <c r="Q8" s="19"/>
      <c r="R8" s="19"/>
    </row>
    <row r="9" spans="2:18" ht="16.5" customHeight="1">
      <c r="B9" s="16"/>
      <c r="C9" s="16"/>
      <c r="D9" s="20"/>
      <c r="E9" s="20"/>
      <c r="F9" s="19"/>
      <c r="G9" s="19"/>
      <c r="H9" s="19"/>
      <c r="I9" s="19"/>
      <c r="J9" s="19"/>
      <c r="K9" s="19"/>
      <c r="L9" s="19"/>
      <c r="M9" s="19"/>
      <c r="N9" s="19"/>
      <c r="O9" s="19"/>
      <c r="P9" s="19"/>
      <c r="Q9" s="19"/>
      <c r="R9" s="19"/>
    </row>
    <row r="10" spans="2:13" ht="30" customHeight="1">
      <c r="B10" s="16"/>
      <c r="C10" s="16"/>
      <c r="D10" s="1932"/>
      <c r="E10" s="1932"/>
      <c r="F10" s="1932"/>
      <c r="G10" s="1932"/>
      <c r="H10" s="1932"/>
      <c r="I10" s="1932"/>
      <c r="J10" s="1932"/>
      <c r="K10" s="1932"/>
      <c r="L10" s="1932"/>
      <c r="M10" s="1932"/>
    </row>
    <row r="11" spans="2:3" ht="16.5" customHeight="1">
      <c r="B11" s="16"/>
      <c r="C11" s="16"/>
    </row>
    <row r="12" spans="2:3" ht="16.5" customHeight="1">
      <c r="B12" s="16"/>
      <c r="C12" s="16"/>
    </row>
    <row r="13" spans="2:3" ht="16.5" customHeight="1">
      <c r="B13" s="16"/>
      <c r="C13" s="16"/>
    </row>
    <row r="14" spans="2:3" ht="16.5" customHeight="1">
      <c r="B14" s="16"/>
      <c r="C14" s="16"/>
    </row>
    <row r="15" spans="2:3" ht="16.5" customHeight="1">
      <c r="B15" s="16"/>
      <c r="C15" s="16"/>
    </row>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5"/>
    <row r="28" ht="14.5"/>
    <row r="29" ht="14.5"/>
    <row r="30" ht="14.5"/>
    <row r="31" ht="14.5"/>
    <row r="32" ht="14.5"/>
    <row r="33" ht="14.5"/>
    <row r="34" ht="14.5"/>
    <row r="35" ht="14.5"/>
    <row r="36" ht="14.5"/>
    <row r="37" ht="14.5"/>
    <row r="38" ht="14.5"/>
    <row r="39" ht="14.5"/>
    <row r="40" ht="14.5"/>
    <row r="41" ht="14.5"/>
    <row r="42" ht="14.5"/>
    <row r="43" ht="14.5"/>
    <row r="44" ht="14.5"/>
    <row r="45" ht="14.5"/>
    <row r="46" ht="14.5"/>
    <row r="47" ht="14.5"/>
    <row r="48" ht="14.5"/>
    <row r="49" ht="14.5"/>
    <row r="50" ht="14.5"/>
    <row r="51" ht="14.5"/>
    <row r="52" ht="14.5"/>
  </sheetData>
  <sheetProtection algorithmName="SHA-512" hashValue="PKqxfmCeIDg+TpkmShPDthVJShlqLM/ErlXZ6uRUoEXFMlR9xzFWkUr12QCWJS+/CsrsR4gZZwSsQdypG02GlA==" saltValue="UuLc944A6lVHagWIUNSV6Q==" spinCount="100000" sheet="1" objects="1" scenarios="1"/>
  <customSheetViews>
    <customSheetView guid="{8bda793c-c9c5-4fc6-a0a5-f1109f6d4f22}" state="hidden" topLeftCell="A1">
      <selection pane="topLeft" activeCell="D14" sqref="D14"/>
      <pageMargins left="0.75" right="0.75" top="1" bottom="1" header="0.5" footer="0.5"/>
    </customSheetView>
  </customSheetViews>
  <mergeCells count="3">
    <mergeCell ref="F1:J1"/>
    <mergeCell ref="K1:O1"/>
    <mergeCell ref="D10:M10"/>
  </mergeCells>
  <pageMargins left="0.7" right="0.7" top="0.75" bottom="0.75" header="0.3" footer="0.3"/>
  <pageSetup orientation="portrait" paperSize="9"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0003962517"/>
  </sheetPr>
  <dimension ref="A1:D378"/>
  <sheetViews>
    <sheetView zoomScale="80" zoomScaleNormal="80" workbookViewId="0" topLeftCell="A1">
      <selection pane="topLeft" activeCell="B30" sqref="B30"/>
    </sheetView>
  </sheetViews>
  <sheetFormatPr defaultColWidth="9.45428571428571" defaultRowHeight="14.5"/>
  <cols>
    <col min="1" max="1" width="41.4285714285714" style="175" customWidth="1"/>
    <col min="2" max="2" width="56.4285714285714" style="175" bestFit="1" customWidth="1"/>
    <col min="3" max="3" width="9.42857142857143" style="175"/>
    <col min="4" max="4" width="55.5714285714286" style="175" customWidth="1"/>
    <col min="5" max="16384" width="9.42857142857143" style="175"/>
  </cols>
  <sheetData>
    <row r="1" spans="1:4" s="176" customFormat="1" ht="14.5">
      <c r="A1" s="200" t="s">
        <v>1402</v>
      </c>
      <c r="B1" s="201" t="s">
        <v>1403</v>
      </c>
      <c r="D1" s="180" t="s">
        <v>1404</v>
      </c>
    </row>
    <row r="2" spans="1:4" ht="14.5">
      <c r="A2" s="380" t="s">
        <v>1405</v>
      </c>
      <c r="B2" s="381" t="s">
        <v>1406</v>
      </c>
      <c r="D2" s="380" t="str">
        <f>'G-1 All Habitats'!B3</f>
        <v>Cropland - Arable field margins cultivated annually</v>
      </c>
    </row>
    <row r="3" spans="1:4" ht="14.5">
      <c r="A3" s="380" t="s">
        <v>1407</v>
      </c>
      <c r="B3" s="381" t="s">
        <v>1408</v>
      </c>
      <c r="D3" s="380" t="str">
        <f>'G-1 All Habitats'!B4</f>
        <v>Cropland - Arable field margins game bird mix</v>
      </c>
    </row>
    <row r="4" spans="1:4" ht="14.5">
      <c r="A4" s="380" t="s">
        <v>1409</v>
      </c>
      <c r="B4" s="381" t="s">
        <v>1410</v>
      </c>
      <c r="D4" s="380" t="str">
        <f>'G-1 All Habitats'!B5</f>
        <v>Cropland - Arable field margins pollen and nectar</v>
      </c>
    </row>
    <row r="5" spans="1:4" ht="14.5">
      <c r="A5" s="380" t="s">
        <v>1411</v>
      </c>
      <c r="B5" s="381" t="s">
        <v>1412</v>
      </c>
      <c r="D5" s="380" t="str">
        <f>'G-1 All Habitats'!B6</f>
        <v>Cropland - Arable field margins tussocky</v>
      </c>
    </row>
    <row r="6" spans="1:4" ht="14.5">
      <c r="A6" s="380" t="s">
        <v>1413</v>
      </c>
      <c r="B6" s="381" t="s">
        <v>1414</v>
      </c>
      <c r="D6" s="380" t="str">
        <f>'G-1 All Habitats'!B7</f>
        <v>Cropland - Cereal crops</v>
      </c>
    </row>
    <row r="7" spans="1:4" ht="14.5">
      <c r="A7" s="380" t="s">
        <v>1415</v>
      </c>
      <c r="B7" s="381" t="s">
        <v>1416</v>
      </c>
      <c r="D7" s="380" t="str">
        <f>'G-1 All Habitats'!B8</f>
        <v>Cropland - Winter stubble</v>
      </c>
    </row>
    <row r="8" spans="1:4" ht="14.5">
      <c r="A8" s="380" t="s">
        <v>1417</v>
      </c>
      <c r="B8" s="381" t="s">
        <v>1418</v>
      </c>
      <c r="D8" s="380" t="str">
        <f>'G-1 All Habitats'!B9</f>
        <v>Cropland - Horticulture</v>
      </c>
    </row>
    <row r="9" spans="1:4" ht="14.5">
      <c r="A9" s="380" t="s">
        <v>1419</v>
      </c>
      <c r="B9" s="381" t="s">
        <v>1420</v>
      </c>
      <c r="D9" s="380" t="str">
        <f>'G-1 All Habitats'!B10</f>
        <v>Cropland - Intensive orchards</v>
      </c>
    </row>
    <row r="10" spans="1:4" ht="14.5">
      <c r="A10" s="380" t="s">
        <v>1421</v>
      </c>
      <c r="B10" s="381" t="s">
        <v>1422</v>
      </c>
      <c r="D10" s="380" t="str">
        <f>'G-1 All Habitats'!B11</f>
        <v>Cropland - Non-cereal crops</v>
      </c>
    </row>
    <row r="11" spans="1:4" ht="14.5">
      <c r="A11" s="380" t="s">
        <v>1423</v>
      </c>
      <c r="B11" s="381" t="s">
        <v>1424</v>
      </c>
      <c r="D11" s="380" t="str">
        <f>'G-1 All Habitats'!B12</f>
        <v>Cropland - Temporary grass and clover leys</v>
      </c>
    </row>
    <row r="12" spans="1:4" ht="14.5">
      <c r="A12" s="380" t="s">
        <v>1425</v>
      </c>
      <c r="B12" s="381" t="s">
        <v>1426</v>
      </c>
      <c r="D12" s="380" t="str">
        <f>'G-1 All Habitats'!B13</f>
        <v>Grassland - Traditional orchards</v>
      </c>
    </row>
    <row r="13" spans="1:4" ht="14.5">
      <c r="A13" s="380" t="s">
        <v>1427</v>
      </c>
      <c r="B13" s="381" t="s">
        <v>1428</v>
      </c>
      <c r="D13" s="380" t="str">
        <f>'G-1 All Habitats'!B14</f>
        <v>Grassland - Bracken</v>
      </c>
    </row>
    <row r="14" spans="1:4" ht="14.5">
      <c r="A14" s="380" t="s">
        <v>1429</v>
      </c>
      <c r="B14" s="381" t="s">
        <v>1430</v>
      </c>
      <c r="D14" s="380" t="str">
        <f>'G-1 All Habitats'!B15</f>
        <v>Grassland - Floodplain wetland mosaic and CFGM</v>
      </c>
    </row>
    <row r="15" spans="1:4" ht="14.5">
      <c r="A15" s="380" t="s">
        <v>1431</v>
      </c>
      <c r="B15" s="381" t="s">
        <v>1432</v>
      </c>
      <c r="D15" s="380" t="str">
        <f>'G-1 All Habitats'!B16</f>
        <v>Grassland - Lowland calcareous grassland</v>
      </c>
    </row>
    <row r="16" spans="1:4" ht="14.5">
      <c r="A16" s="380" t="s">
        <v>1433</v>
      </c>
      <c r="B16" s="381" t="s">
        <v>1434</v>
      </c>
      <c r="D16" s="380" t="str">
        <f>'G-1 All Habitats'!B17</f>
        <v>Grassland - Lowland dry acid grassland</v>
      </c>
    </row>
    <row r="17" spans="1:4" ht="14.5">
      <c r="A17" s="380" t="s">
        <v>1435</v>
      </c>
      <c r="D17" s="380" t="str">
        <f>'G-1 All Habitats'!B18</f>
        <v>Grassland - Lowland meadows</v>
      </c>
    </row>
    <row r="18" spans="1:4" ht="14.5">
      <c r="A18" s="380" t="s">
        <v>1436</v>
      </c>
      <c r="D18" s="380" t="str">
        <f>'G-1 All Habitats'!B19</f>
        <v>Grassland - Modified grassland</v>
      </c>
    </row>
    <row r="19" spans="1:4" ht="14.5">
      <c r="A19" s="380" t="s">
        <v>1437</v>
      </c>
      <c r="D19" s="380" t="str">
        <f>'G-1 All Habitats'!B20</f>
        <v>Grassland - Other lowland acid grassland</v>
      </c>
    </row>
    <row r="20" spans="1:4" ht="14.5">
      <c r="A20" s="380" t="s">
        <v>1438</v>
      </c>
      <c r="D20" s="380" t="str">
        <f>'G-1 All Habitats'!B21</f>
        <v>Grassland - Other neutral grassland</v>
      </c>
    </row>
    <row r="21" spans="1:4" ht="14.5">
      <c r="A21" s="380" t="s">
        <v>1439</v>
      </c>
      <c r="D21" s="380" t="str">
        <f>'G-1 All Habitats'!B22</f>
        <v>Grassland - Tall herb communities (H6430)</v>
      </c>
    </row>
    <row r="22" spans="1:4" ht="14.5">
      <c r="A22" s="380" t="s">
        <v>1440</v>
      </c>
      <c r="D22" s="380" t="str">
        <f>'G-1 All Habitats'!B23</f>
        <v>Grassland - Upland acid grassland</v>
      </c>
    </row>
    <row r="23" spans="1:4" ht="14.5">
      <c r="A23" s="380" t="s">
        <v>1441</v>
      </c>
      <c r="D23" s="380" t="str">
        <f>'G-1 All Habitats'!B24</f>
        <v>Grassland - Upland calcareous grassland</v>
      </c>
    </row>
    <row r="24" spans="1:4" ht="14.5">
      <c r="A24" s="380" t="s">
        <v>1442</v>
      </c>
      <c r="D24" s="380" t="str">
        <f>'G-1 All Habitats'!B25</f>
        <v>Grassland - Upland hay meadows</v>
      </c>
    </row>
    <row r="25" spans="1:4" ht="14.5">
      <c r="A25" s="380" t="s">
        <v>1443</v>
      </c>
      <c r="D25" s="380" t="str">
        <f>'G-1 All Habitats'!B26</f>
        <v>Heathland and shrub - Blackthorn scrub</v>
      </c>
    </row>
    <row r="26" spans="1:4" ht="14.5">
      <c r="A26" s="380" t="s">
        <v>1444</v>
      </c>
      <c r="D26" s="380" t="str">
        <f>'G-1 All Habitats'!B27</f>
        <v>Heathland and shrub - Bramble scrub</v>
      </c>
    </row>
    <row r="27" spans="1:4" ht="14.5">
      <c r="A27" s="380" t="s">
        <v>1445</v>
      </c>
      <c r="D27" s="380" t="str">
        <f>'G-1 All Habitats'!B28</f>
        <v>Heathland and shrub - Gorse scrub</v>
      </c>
    </row>
    <row r="28" spans="1:4" ht="14.5">
      <c r="A28" s="380" t="s">
        <v>1446</v>
      </c>
      <c r="D28" s="380" t="str">
        <f>'G-1 All Habitats'!B29</f>
        <v>Heathland and shrub - Hawthorn scrub</v>
      </c>
    </row>
    <row r="29" spans="1:4" ht="14.5">
      <c r="A29" s="380" t="s">
        <v>1447</v>
      </c>
      <c r="D29" s="380" t="str">
        <f>'G-1 All Habitats'!B30</f>
        <v>Heathland and shrub - Hazel scrub</v>
      </c>
    </row>
    <row r="30" spans="1:4" ht="14.5">
      <c r="A30" s="380" t="s">
        <v>1448</v>
      </c>
      <c r="D30" s="380" t="str">
        <f>'G-1 All Habitats'!B31</f>
        <v>Heathland and shrub - Lowland heathland</v>
      </c>
    </row>
    <row r="31" spans="1:4" ht="14.5">
      <c r="A31" s="380" t="s">
        <v>1449</v>
      </c>
      <c r="D31" s="380" t="str">
        <f>'G-1 All Habitats'!B32</f>
        <v>Heathland and shrub - Mixed scrub</v>
      </c>
    </row>
    <row r="32" spans="1:4" ht="14.5">
      <c r="A32" s="380" t="s">
        <v>1450</v>
      </c>
      <c r="D32" s="380" t="str">
        <f>'G-1 All Habitats'!B33</f>
        <v>Heathland and shrub - Mountain heaths and willow scrub</v>
      </c>
    </row>
    <row r="33" spans="1:4" ht="14.5">
      <c r="A33" s="380" t="s">
        <v>1451</v>
      </c>
      <c r="D33" s="380" t="str">
        <f>'G-1 All Habitats'!B34</f>
        <v>Heathland and shrub - Rhododendron scrub</v>
      </c>
    </row>
    <row r="34" spans="1:4" ht="14.5">
      <c r="A34" s="380" t="s">
        <v>1452</v>
      </c>
      <c r="D34" s="380" t="str">
        <f>'G-1 All Habitats'!B35</f>
        <v>Heathland and shrub - Dunes with sea buckthorn (H2160)</v>
      </c>
    </row>
    <row r="35" spans="1:4" ht="14.5">
      <c r="A35" s="380" t="s">
        <v>1453</v>
      </c>
      <c r="D35" s="380" t="str">
        <f>'G-1 All Habitats'!B36</f>
        <v>Heathland and shrub - Other sea buckthorn scrub</v>
      </c>
    </row>
    <row r="36" spans="1:4" ht="14.5">
      <c r="A36" s="380" t="s">
        <v>1454</v>
      </c>
      <c r="D36" s="380" t="str">
        <f>'G-1 All Habitats'!B38</f>
        <v>Heathland and shrub - Upland heathland</v>
      </c>
    </row>
    <row r="37" spans="1:4" ht="14.5">
      <c r="A37" s="380" t="s">
        <v>1455</v>
      </c>
      <c r="D37" s="380" t="str">
        <f>'G-1 All Habitats'!B39</f>
        <v>Lakes - Aquifer fed naturally fluctuating water bodies</v>
      </c>
    </row>
    <row r="38" spans="1:4" ht="14.5">
      <c r="A38" s="380" t="s">
        <v>1456</v>
      </c>
      <c r="D38" s="380" t="str">
        <f>'G-1 All Habitats'!B41</f>
        <v>Lakes - High alkalinity lakes</v>
      </c>
    </row>
    <row r="39" spans="1:4" ht="14.5">
      <c r="A39" s="380" t="s">
        <v>1457</v>
      </c>
      <c r="D39" s="380" t="str">
        <f>'G-1 All Habitats'!B42</f>
        <v>Lakes - Low alkalinity lakes</v>
      </c>
    </row>
    <row r="40" spans="1:4" ht="14.5">
      <c r="A40" s="380" t="s">
        <v>1458</v>
      </c>
      <c r="D40" s="380" t="str">
        <f>'G-1 All Habitats'!B43</f>
        <v>Lakes - Marl lakes</v>
      </c>
    </row>
    <row r="41" spans="1:4" ht="14.5">
      <c r="A41" s="380" t="s">
        <v>1459</v>
      </c>
      <c r="D41" s="380" t="str">
        <f>'G-1 All Habitats'!B44</f>
        <v>Lakes - Moderate alkalinity lakes</v>
      </c>
    </row>
    <row r="42" spans="1:4" ht="14.5">
      <c r="A42" s="380" t="s">
        <v>1460</v>
      </c>
      <c r="D42" s="380" t="str">
        <f>'G-1 All Habitats'!B45</f>
        <v>Lakes - Peat lakes</v>
      </c>
    </row>
    <row r="43" spans="1:4" ht="14.5">
      <c r="A43" s="380" t="s">
        <v>1461</v>
      </c>
      <c r="D43" s="380" t="str">
        <f>'G-1 All Habitats'!B46</f>
        <v>Lakes - Ponds (priority habitat)</v>
      </c>
    </row>
    <row r="44" spans="1:4" ht="14.5">
      <c r="A44" s="380" t="s">
        <v>1462</v>
      </c>
      <c r="D44" s="380" t="str">
        <f>'G-1 All Habitats'!B47</f>
        <v>Lakes - Ponds (non-priority habitat)</v>
      </c>
    </row>
    <row r="45" spans="1:4" ht="14.5">
      <c r="A45" s="380" t="s">
        <v>1463</v>
      </c>
      <c r="D45" s="380" t="str">
        <f>'G-1 All Habitats'!B48</f>
        <v>Lakes - Reservoirs</v>
      </c>
    </row>
    <row r="46" spans="1:4" ht="14.5">
      <c r="A46" s="380" t="s">
        <v>1464</v>
      </c>
      <c r="D46" s="380" t="str">
        <f>'G-1 All Habitats'!B49</f>
        <v>Lakes - Temporary lakes ponds and pools (H3170)</v>
      </c>
    </row>
    <row r="47" spans="1:4" ht="14.5">
      <c r="A47" s="380" t="s">
        <v>1465</v>
      </c>
      <c r="D47" s="380" t="str">
        <f>'G-1 All Habitats'!B50</f>
        <v>Sparsely vegetated land - Calaminarian grasslands</v>
      </c>
    </row>
    <row r="48" spans="1:4" ht="14.5">
      <c r="A48" s="380" t="s">
        <v>1466</v>
      </c>
      <c r="D48" s="380" t="str">
        <f>'G-1 All Habitats'!B51</f>
        <v>Sparsely vegetated land - Coastal sand dunes</v>
      </c>
    </row>
    <row r="49" spans="1:4" ht="14.5">
      <c r="A49" s="380" t="s">
        <v>1467</v>
      </c>
      <c r="D49" s="380" t="str">
        <f>'G-1 All Habitats'!B52</f>
        <v>Sparsely vegetated land - Coastal vegetated shingle</v>
      </c>
    </row>
    <row r="50" spans="1:4" ht="14.5">
      <c r="A50" s="380" t="s">
        <v>1468</v>
      </c>
      <c r="D50" s="380" t="str">
        <f>'G-1 All Habitats'!B53</f>
        <v>Sparsely vegetated land - Ruderal/Ephemeral</v>
      </c>
    </row>
    <row r="51" spans="1:4" ht="14.5">
      <c r="A51" s="380" t="s">
        <v>1469</v>
      </c>
      <c r="D51" s="380" t="str">
        <f>'G-1 All Habitats'!B55</f>
        <v>Sparsely vegetated land - Inland rock outcrop and scree habitats</v>
      </c>
    </row>
    <row r="52" spans="1:4" ht="14.5">
      <c r="A52" s="380" t="s">
        <v>1470</v>
      </c>
      <c r="D52" s="380" t="str">
        <f>'G-1 All Habitats'!B56</f>
        <v>Sparsely vegetated land - Limestone pavement</v>
      </c>
    </row>
    <row r="53" spans="1:4" ht="14.5">
      <c r="A53" s="380" t="s">
        <v>1471</v>
      </c>
      <c r="D53" s="380" t="str">
        <f>'G-1 All Habitats'!B57</f>
        <v>Sparsely vegetated land - Maritime cliff and slopes</v>
      </c>
    </row>
    <row r="54" spans="1:4" ht="14.5">
      <c r="A54" s="380" t="s">
        <v>1472</v>
      </c>
      <c r="D54" s="380" t="str">
        <f>'G-1 All Habitats'!B58</f>
        <v>Sparsely vegetated land - Other inland rock and scree</v>
      </c>
    </row>
    <row r="55" spans="1:4" ht="14.5">
      <c r="A55" s="380" t="s">
        <v>1473</v>
      </c>
      <c r="D55" s="380" t="str">
        <f>'G-1 All Habitats'!B59</f>
        <v>Urban - Allotments</v>
      </c>
    </row>
    <row r="56" spans="1:4" ht="14.5">
      <c r="A56" s="380" t="s">
        <v>1474</v>
      </c>
      <c r="D56" s="380" t="str">
        <f>'G-1 All Habitats'!B40</f>
        <v>Lakes - Ornamental lake or pond</v>
      </c>
    </row>
    <row r="57" spans="1:4" ht="14.5">
      <c r="A57" s="380" t="s">
        <v>1475</v>
      </c>
      <c r="D57" s="380" t="str">
        <f>'G-1 All Habitats'!B60</f>
        <v>Urban - Artificial unvegetated, unsealed surface</v>
      </c>
    </row>
    <row r="58" spans="1:4" ht="14.5">
      <c r="A58" s="380" t="s">
        <v>1476</v>
      </c>
      <c r="D58" s="380" t="str">
        <f>'G-1 All Habitats'!B61</f>
        <v>Urban - Bioswale</v>
      </c>
    </row>
    <row r="59" spans="1:4" ht="14.5">
      <c r="A59" s="380" t="s">
        <v>1477</v>
      </c>
      <c r="D59" s="380" t="str">
        <f>'G-1 All Habitats'!B62</f>
        <v>Urban - Intensive green roof</v>
      </c>
    </row>
    <row r="60" spans="1:4" ht="14.5">
      <c r="A60" s="380" t="s">
        <v>1478</v>
      </c>
      <c r="D60" s="380" t="str">
        <f>'G-1 All Habitats'!B63</f>
        <v>Urban - Built linear features</v>
      </c>
    </row>
    <row r="61" spans="1:4" ht="14.5">
      <c r="A61" s="380" t="s">
        <v>1479</v>
      </c>
      <c r="D61" s="380" t="str">
        <f>'G-1 All Habitats'!B64</f>
        <v>Urban - Cemeteries and churchyards</v>
      </c>
    </row>
    <row r="62" spans="1:4" ht="14.5">
      <c r="A62" s="380" t="s">
        <v>1480</v>
      </c>
      <c r="D62" s="380" t="str">
        <f>'G-1 All Habitats'!B65</f>
        <v>Urban - Developed land; sealed surface</v>
      </c>
    </row>
    <row r="63" spans="1:4" ht="14.5">
      <c r="A63" s="380" t="s">
        <v>1481</v>
      </c>
      <c r="D63" s="380" t="str">
        <f>'G-1 All Habitats'!B66</f>
        <v>Urban - Other green roof</v>
      </c>
    </row>
    <row r="64" spans="1:4" ht="14.5">
      <c r="A64" s="380" t="s">
        <v>1482</v>
      </c>
      <c r="D64" s="380" t="str">
        <f>'G-1 All Habitats'!B67</f>
        <v>Urban - Facade-bound green wall</v>
      </c>
    </row>
    <row r="65" spans="1:4" ht="14.5">
      <c r="A65" s="380" t="s">
        <v>1483</v>
      </c>
      <c r="D65" s="380" t="str">
        <f>'G-1 All Habitats'!B68</f>
        <v>Urban - Ground based green wall</v>
      </c>
    </row>
    <row r="66" spans="1:4" ht="14.5">
      <c r="A66" s="380" t="s">
        <v>1484</v>
      </c>
      <c r="D66" s="380" t="str">
        <f>'G-1 All Habitats'!B69</f>
        <v>Urban - Ground level planters</v>
      </c>
    </row>
    <row r="67" spans="1:4" ht="14.5">
      <c r="A67" s="380" t="s">
        <v>1485</v>
      </c>
      <c r="D67" s="380" t="str">
        <f>'G-1 All Habitats'!B70</f>
        <v>Urban - Biodiverse green roof</v>
      </c>
    </row>
    <row r="68" spans="1:4" ht="14.5">
      <c r="A68" s="380" t="s">
        <v>1486</v>
      </c>
      <c r="D68" s="380" t="str">
        <f>'G-1 All Habitats'!B71</f>
        <v>Urban - Introduced shrub</v>
      </c>
    </row>
    <row r="69" spans="1:4" ht="14.5">
      <c r="A69" s="380" t="s">
        <v>1487</v>
      </c>
      <c r="D69" s="380" t="str">
        <f>'G-1 All Habitats'!B72</f>
        <v>Urban - Open mosaic habitats on previously developed land</v>
      </c>
    </row>
    <row r="70" spans="1:4" ht="14.5">
      <c r="A70" s="380" t="s">
        <v>1488</v>
      </c>
      <c r="D70" s="380" t="str">
        <f>'G-1 All Habitats'!B73</f>
        <v>Urban - Rain garden</v>
      </c>
    </row>
    <row r="71" spans="1:4" ht="14.5">
      <c r="A71" s="380" t="s">
        <v>1489</v>
      </c>
      <c r="D71" s="380" t="str">
        <f>'G-1 All Habitats'!B74</f>
        <v>Urban - Actively worked sand pit quarry or open cast mine</v>
      </c>
    </row>
    <row r="72" spans="1:4" ht="14.5">
      <c r="A72" s="380" t="s">
        <v>1490</v>
      </c>
      <c r="D72" s="380" t="str">
        <f>'G-1 All Habitats'!B80</f>
        <v>Individual trees - Urban tree</v>
      </c>
    </row>
    <row r="73" spans="1:4" ht="14.5">
      <c r="A73" s="380" t="s">
        <v>1491</v>
      </c>
      <c r="D73" s="380" t="str">
        <f>'G-1 All Habitats'!B75</f>
        <v>Urban - Sustainable drainage system</v>
      </c>
    </row>
    <row r="74" spans="1:4" ht="14.5">
      <c r="A74" s="380" t="s">
        <v>1492</v>
      </c>
      <c r="D74" s="380" t="str">
        <f>'G-1 All Habitats'!B76</f>
        <v>Urban - Unvegetated garden</v>
      </c>
    </row>
    <row r="75" spans="1:4" ht="14.5">
      <c r="A75" s="380" t="s">
        <v>1493</v>
      </c>
      <c r="D75" s="380" t="str">
        <f>'G-1 All Habitats'!B77</f>
        <v>Urban - Vacant or derelict land</v>
      </c>
    </row>
    <row r="76" spans="1:4" ht="14.5">
      <c r="A76" s="380" t="s">
        <v>1494</v>
      </c>
      <c r="D76" s="380" t="str">
        <f>'G-1 All Habitats'!B79</f>
        <v>Urban - Vegetated garden</v>
      </c>
    </row>
    <row r="77" spans="1:4" ht="14.5">
      <c r="A77" s="380" t="s">
        <v>1495</v>
      </c>
      <c r="D77" s="380" t="str">
        <f>'G-1 All Habitats'!B82</f>
        <v>Wetland - Blanket bog</v>
      </c>
    </row>
    <row r="78" spans="1:4" ht="14.5">
      <c r="A78" s="380" t="s">
        <v>1496</v>
      </c>
      <c r="D78" s="380" t="str">
        <f>'G-1 All Habitats'!B83</f>
        <v>Wetland - Depressions on peat substrates (H7150)</v>
      </c>
    </row>
    <row r="79" spans="1:4" ht="14.5">
      <c r="A79" s="380" t="s">
        <v>1497</v>
      </c>
      <c r="D79" s="380" t="str">
        <f>'G-1 All Habitats'!B84</f>
        <v>Wetland - Fens (upland and lowland)</v>
      </c>
    </row>
    <row r="80" spans="1:4" ht="14.5">
      <c r="A80" s="380" t="s">
        <v>1498</v>
      </c>
      <c r="D80" s="380" t="str">
        <f>'G-1 All Habitats'!B85</f>
        <v>Wetland - Lowland raised bog</v>
      </c>
    </row>
    <row r="81" spans="1:4" ht="14.5">
      <c r="A81" s="380" t="s">
        <v>1499</v>
      </c>
      <c r="D81" s="380" t="str">
        <f>'G-1 All Habitats'!B86</f>
        <v>Wetland - Oceanic valley mire[1] (D2.1)</v>
      </c>
    </row>
    <row r="82" spans="1:4" ht="14.5">
      <c r="A82" s="380" t="s">
        <v>1500</v>
      </c>
      <c r="D82" s="380" t="str">
        <f>'G-1 All Habitats'!B87</f>
        <v>Wetland - Purple moor grass and rush pastures</v>
      </c>
    </row>
    <row r="83" spans="1:4" ht="14.5">
      <c r="A83" s="380" t="s">
        <v>1501</v>
      </c>
      <c r="D83" s="380" t="str">
        <f>'G-1 All Habitats'!B88</f>
        <v>Wetland - Reedbeds</v>
      </c>
    </row>
    <row r="84" spans="1:4" ht="14.5">
      <c r="A84" s="380" t="s">
        <v>1502</v>
      </c>
      <c r="D84" s="380" t="str">
        <f>'G-1 All Habitats'!B89</f>
        <v>Wetland - Transition mires and quaking bogs (H7140)</v>
      </c>
    </row>
    <row r="85" spans="1:4" ht="14.5">
      <c r="A85" s="380" t="s">
        <v>1503</v>
      </c>
      <c r="D85" s="380" t="str">
        <f>'G-1 All Habitats'!B90</f>
        <v>Woodland and forest - Felled</v>
      </c>
    </row>
    <row r="86" spans="1:4" ht="14.5">
      <c r="A86" s="380" t="s">
        <v>1504</v>
      </c>
      <c r="D86" s="380" t="str">
        <f>'G-1 All Habitats'!B91</f>
        <v>Woodland and forest - Lowland beech and yew woodland</v>
      </c>
    </row>
    <row r="87" spans="1:4" ht="14.5">
      <c r="A87" s="380" t="s">
        <v>1505</v>
      </c>
      <c r="D87" s="380" t="str">
        <f>'G-1 All Habitats'!B92</f>
        <v>Woodland and forest - Lowland mixed deciduous woodland</v>
      </c>
    </row>
    <row r="88" spans="1:4" ht="14.5">
      <c r="A88" s="380" t="s">
        <v>1506</v>
      </c>
      <c r="D88" s="380" t="str">
        <f>'G-1 All Habitats'!B93</f>
        <v>Woodland and forest - Native pine woodlands</v>
      </c>
    </row>
    <row r="89" spans="1:4" ht="14.5">
      <c r="A89" s="380" t="s">
        <v>1507</v>
      </c>
      <c r="D89" s="380" t="str">
        <f>'G-1 All Habitats'!B94</f>
        <v>Woodland and forest - Other coniferous woodland</v>
      </c>
    </row>
    <row r="90" spans="1:4" ht="14.5">
      <c r="A90" s="380" t="s">
        <v>1508</v>
      </c>
      <c r="D90" s="380" t="str">
        <f>'G-1 All Habitats'!B95</f>
        <v>Woodland and forest - Other Scot's pine woodland</v>
      </c>
    </row>
    <row r="91" spans="1:4" ht="14.5">
      <c r="A91" s="380" t="s">
        <v>1509</v>
      </c>
      <c r="D91" s="380" t="str">
        <f>'G-1 All Habitats'!B96</f>
        <v>Woodland and forest - Other woodland; broadleaved</v>
      </c>
    </row>
    <row r="92" spans="1:4" ht="14.5">
      <c r="A92" s="380" t="s">
        <v>1510</v>
      </c>
      <c r="D92" s="380" t="str">
        <f>'G-1 All Habitats'!B97</f>
        <v>Woodland and forest - Other woodland; mixed</v>
      </c>
    </row>
    <row r="93" spans="1:4" ht="14.5">
      <c r="A93" s="380" t="s">
        <v>1511</v>
      </c>
      <c r="D93" s="380" t="str">
        <f>'G-1 All Habitats'!B98</f>
        <v>Woodland and forest - Upland birchwoods</v>
      </c>
    </row>
    <row r="94" spans="1:4" ht="14.5">
      <c r="A94" s="380" t="s">
        <v>1512</v>
      </c>
      <c r="D94" s="380" t="str">
        <f>'G-1 All Habitats'!B99</f>
        <v>Woodland and forest - Upland mixed ashwoods</v>
      </c>
    </row>
    <row r="95" spans="1:4" ht="14.5">
      <c r="A95" s="380" t="s">
        <v>1513</v>
      </c>
      <c r="D95" s="380" t="str">
        <f>'G-1 All Habitats'!B100</f>
        <v>Woodland and forest - Upland oakwood</v>
      </c>
    </row>
    <row r="96" spans="1:4" ht="14.5">
      <c r="A96" s="380" t="s">
        <v>1514</v>
      </c>
      <c r="D96" s="380" t="str">
        <f>'G-1 All Habitats'!B101</f>
        <v>Woodland and forest - Wet woodland</v>
      </c>
    </row>
    <row r="97" spans="1:4" ht="14.5">
      <c r="A97" s="380" t="s">
        <v>1515</v>
      </c>
      <c r="D97" s="380" t="str">
        <f>'G-1 All Habitats'!B102</f>
        <v>Woodland and forest - Wood-pasture and parkland</v>
      </c>
    </row>
    <row r="98" spans="1:4" ht="14.5">
      <c r="A98" s="380" t="s">
        <v>1516</v>
      </c>
      <c r="D98" s="380" t="str">
        <f>'G-1 All Habitats'!B104</f>
        <v>Coastal lagoons - Coastal lagoons</v>
      </c>
    </row>
    <row r="99" spans="1:4" ht="14.5">
      <c r="A99" s="380" t="s">
        <v>1517</v>
      </c>
      <c r="D99" s="380" t="str">
        <f>'G-1 All Habitats'!B105</f>
        <v>Rocky shore - High energy littoral rock</v>
      </c>
    </row>
    <row r="100" spans="1:4" ht="14.5">
      <c r="A100" s="380" t="s">
        <v>1518</v>
      </c>
      <c r="D100" s="380" t="str">
        <f>'G-1 All Habitats'!B106</f>
        <v>Rocky shore - High energy littoral rock - on peat, clay or chalk</v>
      </c>
    </row>
    <row r="101" spans="1:4" ht="14.5">
      <c r="A101" s="380" t="s">
        <v>1519</v>
      </c>
      <c r="D101" s="380" t="str">
        <f>'G-1 All Habitats'!B107</f>
        <v>Rocky shore - Moderate energy littoral rock</v>
      </c>
    </row>
    <row r="102" spans="1:4" ht="14.5">
      <c r="A102" s="380" t="s">
        <v>1520</v>
      </c>
      <c r="D102" s="380" t="str">
        <f>'G-1 All Habitats'!B108</f>
        <v>Rocky shore - Moderate energy littoral rock - on peat, clay or chalk</v>
      </c>
    </row>
    <row r="103" spans="1:4" ht="14.5">
      <c r="A103" s="380" t="s">
        <v>1521</v>
      </c>
      <c r="D103" s="380" t="str">
        <f>'G-1 All Habitats'!B109</f>
        <v>Rocky shore - Low energy littoral rock</v>
      </c>
    </row>
    <row r="104" spans="1:4" ht="14.5">
      <c r="A104" s="380" t="s">
        <v>1522</v>
      </c>
      <c r="D104" s="380" t="str">
        <f>'G-1 All Habitats'!B110</f>
        <v>Rocky shore - Low energy littoral rock - on peat, clay or chalk</v>
      </c>
    </row>
    <row r="105" spans="1:4" ht="14.5">
      <c r="A105" s="380" t="s">
        <v>1523</v>
      </c>
      <c r="D105" s="380" t="str">
        <f>'G-1 All Habitats'!B111</f>
        <v>Rocky shore - Features of littoral rock</v>
      </c>
    </row>
    <row r="106" spans="1:4" ht="14.5">
      <c r="A106" s="380" t="s">
        <v>1524</v>
      </c>
      <c r="D106" s="380" t="str">
        <f>'G-1 All Habitats'!B112</f>
        <v>Rocky shore - Features of littoral rock - on peat, clay or chalk</v>
      </c>
    </row>
    <row r="107" spans="1:4" ht="14.5">
      <c r="A107" s="380" t="s">
        <v>1525</v>
      </c>
      <c r="D107" s="380" t="str">
        <f>'G-1 All Habitats'!B115</f>
        <v>Intertidal sediment - Littoral coarse sediment</v>
      </c>
    </row>
    <row r="108" spans="1:4" ht="14.5">
      <c r="A108" s="380" t="s">
        <v>1526</v>
      </c>
      <c r="D108" s="380" t="str">
        <f>'G-1 All Habitats'!B116</f>
        <v>Intertidal sediment - Littoral mud</v>
      </c>
    </row>
    <row r="109" spans="1:4" ht="14.5">
      <c r="A109" s="380" t="s">
        <v>1527</v>
      </c>
      <c r="D109" s="380" t="str">
        <f>'G-1 All Habitats'!B117</f>
        <v>Intertidal sediment - Littoral mixed sediments</v>
      </c>
    </row>
    <row r="110" spans="1:4" ht="14.5">
      <c r="A110" s="380" t="s">
        <v>1528</v>
      </c>
      <c r="D110" s="380" t="str">
        <f>'G-1 All Habitats'!B113</f>
        <v>Coastal saltmarsh - Saltmarshes and saline reedbeds</v>
      </c>
    </row>
    <row r="111" spans="1:4" ht="14.5">
      <c r="A111" s="380" t="s">
        <v>1529</v>
      </c>
      <c r="D111" s="380" t="str">
        <f>'G-1 All Habitats'!B118</f>
        <v>Intertidal sediment - Littoral seagrass</v>
      </c>
    </row>
    <row r="112" spans="1:4" ht="14.5">
      <c r="A112" s="380" t="s">
        <v>1530</v>
      </c>
      <c r="D112" s="380" t="str">
        <f>'G-1 All Habitats'!B119</f>
        <v>Intertidal sediment - Littoral seagrass on peat, clay or chalk</v>
      </c>
    </row>
    <row r="113" spans="1:4" ht="14.5">
      <c r="A113" s="380" t="s">
        <v>1531</v>
      </c>
      <c r="D113" s="380" t="str">
        <f>'G-1 All Habitats'!B121</f>
        <v>Intertidal sediment - Littoral biogenic reefs - Sabellaria</v>
      </c>
    </row>
    <row r="114" spans="1:4" ht="14.5">
      <c r="A114" s="380" t="s">
        <v>1532</v>
      </c>
      <c r="D114" s="380" t="str">
        <f>'G-1 All Habitats'!B122</f>
        <v>Intertidal sediment - Features of littoral sediment</v>
      </c>
    </row>
    <row r="115" spans="1:4" ht="14.5">
      <c r="A115" s="380" t="s">
        <v>1533</v>
      </c>
      <c r="D115" s="380" t="str">
        <f>'G-1 All Habitats'!B123</f>
        <v>Intertidal sediment - Artificial littoral coarse sediment</v>
      </c>
    </row>
    <row r="116" spans="1:4" ht="14.5">
      <c r="A116" s="380" t="s">
        <v>1534</v>
      </c>
      <c r="D116" s="380" t="str">
        <f>'G-1 All Habitats'!B126</f>
        <v>Intertidal sediment - Artificial littoral muddy sand</v>
      </c>
    </row>
    <row r="117" spans="1:4" ht="14.5">
      <c r="A117" s="380" t="s">
        <v>1535</v>
      </c>
      <c r="D117" s="380" t="str">
        <f>'G-1 All Habitats'!B127</f>
        <v>Intertidal sediment - Artificial littoral mixed sediments</v>
      </c>
    </row>
    <row r="118" spans="1:4" ht="14.5">
      <c r="A118" s="380" t="s">
        <v>1536</v>
      </c>
      <c r="D118" s="380" t="str">
        <f>'G-1 All Habitats'!B128</f>
        <v>Intertidal sediment - Artificial littoral seagrass</v>
      </c>
    </row>
    <row r="119" spans="1:4" ht="14.5">
      <c r="A119" s="380" t="s">
        <v>1537</v>
      </c>
      <c r="D119" s="380" t="str">
        <f>'G-1 All Habitats'!B129</f>
        <v>Intertidal sediment - Artificial littoral biogenic reefs</v>
      </c>
    </row>
    <row r="120" spans="1:4" ht="14.5">
      <c r="A120" s="380" t="s">
        <v>1538</v>
      </c>
      <c r="D120" s="380" t="str">
        <f>'G-1 All Habitats'!B81</f>
        <v>Individual trees - Rural tree</v>
      </c>
    </row>
    <row r="121" spans="1:4" ht="14.5">
      <c r="A121" s="380" t="s">
        <v>1539</v>
      </c>
      <c r="D121" s="380">
        <f>'G-1 All Habitats'!B136</f>
        <v>0</v>
      </c>
    </row>
    <row r="122" spans="1:4" ht="14.5">
      <c r="A122" s="380" t="s">
        <v>1540</v>
      </c>
      <c r="D122" s="380">
        <f>'G-1 All Habitats'!B137</f>
        <v>0</v>
      </c>
    </row>
    <row r="123" spans="1:4" ht="14.5">
      <c r="A123" s="380" t="s">
        <v>1541</v>
      </c>
      <c r="D123" s="380">
        <f>'G-1 All Habitats'!B138</f>
        <v>0</v>
      </c>
    </row>
    <row r="124" spans="1:4" ht="14.5">
      <c r="A124" s="380" t="s">
        <v>1542</v>
      </c>
      <c r="D124" s="380">
        <f>'G-1 All Habitats'!B139</f>
        <v>0</v>
      </c>
    </row>
    <row r="125" spans="1:4" ht="14.5">
      <c r="A125" s="380" t="s">
        <v>1543</v>
      </c>
      <c r="D125" s="380">
        <f>'G-1 All Habitats'!B140</f>
        <v>0</v>
      </c>
    </row>
    <row r="126" spans="1:4" ht="14.5">
      <c r="A126" s="380" t="s">
        <v>1544</v>
      </c>
      <c r="D126" s="380">
        <f>'G-1 All Habitats'!B141</f>
        <v>0</v>
      </c>
    </row>
    <row r="127" spans="1:4" ht="14.5">
      <c r="A127" s="380" t="s">
        <v>1545</v>
      </c>
      <c r="D127" s="380">
        <f>'G-1 All Habitats'!B142</f>
        <v>0</v>
      </c>
    </row>
    <row r="128" spans="1:4" ht="14.5">
      <c r="A128" s="380" t="s">
        <v>1546</v>
      </c>
      <c r="D128" s="380">
        <f>'G-1 All Habitats'!B143</f>
        <v>0</v>
      </c>
    </row>
    <row r="129" spans="1:4" ht="14.5">
      <c r="A129" s="380" t="s">
        <v>1547</v>
      </c>
      <c r="D129" s="380">
        <f>'G-1 All Habitats'!B144</f>
        <v>0</v>
      </c>
    </row>
    <row r="130" spans="1:4" ht="14.5">
      <c r="A130" s="380" t="s">
        <v>1548</v>
      </c>
      <c r="D130" s="380">
        <f>'G-1 All Habitats'!B145</f>
        <v>0</v>
      </c>
    </row>
    <row r="131" spans="1:4" ht="14.5">
      <c r="A131" s="380" t="s">
        <v>1549</v>
      </c>
      <c r="D131" s="380">
        <f>'G-1 All Habitats'!B146</f>
        <v>0</v>
      </c>
    </row>
    <row r="132" spans="1:4" ht="14.5">
      <c r="A132" s="380" t="s">
        <v>1550</v>
      </c>
      <c r="D132" s="380">
        <f>'G-1 All Habitats'!B147</f>
        <v>0</v>
      </c>
    </row>
    <row r="133" spans="1:4" ht="14.5">
      <c r="A133" s="380" t="s">
        <v>1551</v>
      </c>
      <c r="D133" s="380">
        <f>'G-1 All Habitats'!B148</f>
        <v>0</v>
      </c>
    </row>
    <row r="134" spans="1:4" ht="14.5">
      <c r="A134" s="380" t="s">
        <v>1552</v>
      </c>
      <c r="D134" s="380">
        <f>'G-1 All Habitats'!B149</f>
        <v>0</v>
      </c>
    </row>
    <row r="135" spans="1:4" ht="14.5">
      <c r="A135" s="380" t="s">
        <v>1553</v>
      </c>
      <c r="D135" s="380">
        <f>'G-1 All Habitats'!B150</f>
        <v>0</v>
      </c>
    </row>
    <row r="136" spans="1:4" ht="14.5">
      <c r="A136" s="380" t="s">
        <v>1554</v>
      </c>
      <c r="D136" s="380">
        <f>'G-1 All Habitats'!B151</f>
        <v>0</v>
      </c>
    </row>
    <row r="137" spans="1:4" ht="14.5">
      <c r="A137" s="380" t="s">
        <v>1555</v>
      </c>
      <c r="D137" s="380">
        <f>'G-1 All Habitats'!B152</f>
        <v>0</v>
      </c>
    </row>
    <row r="138" spans="1:4" ht="14.5">
      <c r="A138" s="380" t="s">
        <v>1556</v>
      </c>
      <c r="D138" s="380">
        <f>'G-1 All Habitats'!B153</f>
        <v>0</v>
      </c>
    </row>
    <row r="139" spans="1:4" ht="14.5">
      <c r="A139" s="380" t="s">
        <v>1557</v>
      </c>
      <c r="D139" s="380">
        <f>'G-1 All Habitats'!B154</f>
        <v>0</v>
      </c>
    </row>
    <row r="140" spans="1:4" ht="14.5">
      <c r="A140" s="380" t="s">
        <v>1558</v>
      </c>
      <c r="D140" s="380">
        <f>'G-1 All Habitats'!B155</f>
        <v>0</v>
      </c>
    </row>
    <row r="141" spans="1:1" ht="14.5">
      <c r="A141" s="380" t="s">
        <v>1559</v>
      </c>
    </row>
    <row r="142" spans="1:1" ht="14.5">
      <c r="A142" s="380" t="s">
        <v>1560</v>
      </c>
    </row>
    <row r="143" spans="1:1" ht="14.5">
      <c r="A143" s="380" t="s">
        <v>1561</v>
      </c>
    </row>
    <row r="144" spans="1:1" ht="14.5">
      <c r="A144" s="380" t="s">
        <v>1562</v>
      </c>
    </row>
    <row r="145" spans="1:1" ht="14.5">
      <c r="A145" s="380" t="s">
        <v>1563</v>
      </c>
    </row>
    <row r="146" spans="1:1" ht="14.5">
      <c r="A146" s="380" t="s">
        <v>1564</v>
      </c>
    </row>
    <row r="147" spans="1:1" ht="14.5">
      <c r="A147" s="380" t="s">
        <v>1565</v>
      </c>
    </row>
    <row r="148" spans="1:1" ht="14.5">
      <c r="A148" s="380" t="s">
        <v>1566</v>
      </c>
    </row>
    <row r="149" spans="1:1" ht="14.5">
      <c r="A149" s="380" t="s">
        <v>1567</v>
      </c>
    </row>
    <row r="150" spans="1:1" ht="14.5">
      <c r="A150" s="380" t="s">
        <v>1568</v>
      </c>
    </row>
    <row r="151" spans="1:1" ht="14.5">
      <c r="A151" s="380" t="s">
        <v>1569</v>
      </c>
    </row>
    <row r="152" spans="1:1" ht="14.5">
      <c r="A152" s="380" t="s">
        <v>1570</v>
      </c>
    </row>
    <row r="153" spans="1:1" ht="14.5">
      <c r="A153" s="380" t="s">
        <v>1571</v>
      </c>
    </row>
    <row r="154" spans="1:1" ht="14.5">
      <c r="A154" s="380" t="s">
        <v>1572</v>
      </c>
    </row>
    <row r="155" spans="1:1" ht="14.5">
      <c r="A155" s="380" t="s">
        <v>1573</v>
      </c>
    </row>
    <row r="156" spans="1:1" ht="14.5">
      <c r="A156" s="380" t="s">
        <v>1574</v>
      </c>
    </row>
    <row r="157" spans="1:1" ht="14.5">
      <c r="A157" s="380" t="s">
        <v>1575</v>
      </c>
    </row>
    <row r="158" spans="1:1" ht="14.5">
      <c r="A158" s="380" t="s">
        <v>1576</v>
      </c>
    </row>
    <row r="159" spans="1:1" ht="14.5">
      <c r="A159" s="380" t="s">
        <v>1577</v>
      </c>
    </row>
    <row r="160" spans="1:1" ht="14.5">
      <c r="A160" s="380" t="s">
        <v>1578</v>
      </c>
    </row>
    <row r="161" spans="1:1" ht="14.5">
      <c r="A161" s="380" t="s">
        <v>1579</v>
      </c>
    </row>
    <row r="162" spans="1:1" ht="14.5">
      <c r="A162" s="380" t="s">
        <v>1580</v>
      </c>
    </row>
    <row r="163" spans="1:1" ht="14.5">
      <c r="A163" s="380" t="s">
        <v>1581</v>
      </c>
    </row>
    <row r="164" spans="1:1" ht="14.5">
      <c r="A164" s="380" t="s">
        <v>1582</v>
      </c>
    </row>
    <row r="165" spans="1:1" ht="14.5">
      <c r="A165" s="380" t="s">
        <v>1583</v>
      </c>
    </row>
    <row r="166" spans="1:1" ht="14.5">
      <c r="A166" s="380" t="s">
        <v>1584</v>
      </c>
    </row>
    <row r="167" spans="1:1" ht="14.5">
      <c r="A167" s="380" t="s">
        <v>1585</v>
      </c>
    </row>
    <row r="168" spans="1:1" ht="14.5">
      <c r="A168" s="380" t="s">
        <v>1586</v>
      </c>
    </row>
    <row r="169" spans="1:1" ht="14.5">
      <c r="A169" s="380" t="s">
        <v>1587</v>
      </c>
    </row>
    <row r="170" spans="1:1" ht="14.5">
      <c r="A170" s="380" t="s">
        <v>1588</v>
      </c>
    </row>
    <row r="171" spans="1:1" ht="14.5">
      <c r="A171" s="380" t="s">
        <v>1589</v>
      </c>
    </row>
    <row r="172" spans="1:1" ht="14.5">
      <c r="A172" s="380" t="s">
        <v>1590</v>
      </c>
    </row>
    <row r="173" spans="1:1" ht="14.5">
      <c r="A173" s="380" t="s">
        <v>1591</v>
      </c>
    </row>
    <row r="174" spans="1:1" ht="14.5">
      <c r="A174" s="380" t="s">
        <v>1592</v>
      </c>
    </row>
    <row r="175" spans="1:1" ht="14.5">
      <c r="A175" s="380" t="s">
        <v>1593</v>
      </c>
    </row>
    <row r="176" spans="1:1" ht="14.5">
      <c r="A176" s="380" t="s">
        <v>1594</v>
      </c>
    </row>
    <row r="177" spans="1:1" ht="14.5">
      <c r="A177" s="380" t="s">
        <v>1595</v>
      </c>
    </row>
    <row r="178" spans="1:1" ht="14.5">
      <c r="A178" s="380" t="s">
        <v>1596</v>
      </c>
    </row>
    <row r="179" spans="1:1" ht="14.5">
      <c r="A179" s="380" t="s">
        <v>1597</v>
      </c>
    </row>
    <row r="180" spans="1:1" ht="14.5">
      <c r="A180" s="380" t="s">
        <v>1598</v>
      </c>
    </row>
    <row r="181" spans="1:1" ht="14.5">
      <c r="A181" s="380" t="s">
        <v>1599</v>
      </c>
    </row>
    <row r="182" spans="1:1" ht="14.5">
      <c r="A182" s="380" t="s">
        <v>1600</v>
      </c>
    </row>
    <row r="183" spans="1:1" ht="14.5">
      <c r="A183" s="380" t="s">
        <v>1601</v>
      </c>
    </row>
    <row r="184" spans="1:1" ht="14.5">
      <c r="A184" s="380" t="s">
        <v>1602</v>
      </c>
    </row>
    <row r="185" spans="1:1" ht="14.5">
      <c r="A185" s="380" t="s">
        <v>1603</v>
      </c>
    </row>
    <row r="186" spans="1:1" ht="14.5">
      <c r="A186" s="380" t="s">
        <v>1604</v>
      </c>
    </row>
    <row r="187" spans="1:1" ht="14.5">
      <c r="A187" s="380" t="s">
        <v>1605</v>
      </c>
    </row>
    <row r="188" spans="1:1" ht="14.5">
      <c r="A188" s="380" t="s">
        <v>1606</v>
      </c>
    </row>
    <row r="189" spans="1:1" ht="14.5">
      <c r="A189" s="380" t="s">
        <v>1607</v>
      </c>
    </row>
    <row r="190" spans="1:1" ht="14.5">
      <c r="A190" s="380" t="s">
        <v>1608</v>
      </c>
    </row>
    <row r="191" spans="1:1" ht="14.5">
      <c r="A191" s="380" t="s">
        <v>1609</v>
      </c>
    </row>
    <row r="192" spans="1:1" ht="14.5">
      <c r="A192" s="380" t="s">
        <v>1610</v>
      </c>
    </row>
    <row r="193" spans="1:1" ht="14.5">
      <c r="A193" s="380" t="s">
        <v>1611</v>
      </c>
    </row>
    <row r="194" spans="1:1" ht="14.5">
      <c r="A194" s="380" t="s">
        <v>1612</v>
      </c>
    </row>
    <row r="195" spans="1:1" ht="14.5">
      <c r="A195" s="380" t="s">
        <v>1613</v>
      </c>
    </row>
    <row r="196" spans="1:1" ht="14.5">
      <c r="A196" s="380" t="s">
        <v>1614</v>
      </c>
    </row>
    <row r="197" spans="1:1" ht="14.5">
      <c r="A197" s="380" t="s">
        <v>1615</v>
      </c>
    </row>
    <row r="198" spans="1:1" ht="14.5">
      <c r="A198" s="380" t="s">
        <v>1616</v>
      </c>
    </row>
    <row r="199" spans="1:1" ht="14.5">
      <c r="A199" s="380" t="s">
        <v>1617</v>
      </c>
    </row>
    <row r="200" spans="1:1" ht="14.5">
      <c r="A200" s="380" t="s">
        <v>1618</v>
      </c>
    </row>
    <row r="201" spans="1:1" ht="14.5">
      <c r="A201" s="380" t="s">
        <v>1619</v>
      </c>
    </row>
    <row r="202" spans="1:1" ht="14.5">
      <c r="A202" s="380" t="s">
        <v>1620</v>
      </c>
    </row>
    <row r="203" spans="1:1" ht="14.5">
      <c r="A203" s="380" t="s">
        <v>1621</v>
      </c>
    </row>
    <row r="204" spans="1:1" ht="14.5">
      <c r="A204" s="380" t="s">
        <v>1622</v>
      </c>
    </row>
    <row r="205" spans="1:1" ht="14.5">
      <c r="A205" s="380" t="s">
        <v>1623</v>
      </c>
    </row>
    <row r="206" spans="1:1" ht="14.5">
      <c r="A206" s="380" t="s">
        <v>1624</v>
      </c>
    </row>
    <row r="207" spans="1:1" ht="14.5">
      <c r="A207" s="380" t="s">
        <v>1625</v>
      </c>
    </row>
    <row r="208" spans="1:1" ht="14.5">
      <c r="A208" s="380" t="s">
        <v>1626</v>
      </c>
    </row>
    <row r="209" spans="1:1" ht="14.5">
      <c r="A209" s="380" t="s">
        <v>1627</v>
      </c>
    </row>
    <row r="210" spans="1:1" ht="14.5">
      <c r="A210" s="380" t="s">
        <v>1628</v>
      </c>
    </row>
    <row r="211" spans="1:1" ht="14.5">
      <c r="A211" s="380" t="s">
        <v>1629</v>
      </c>
    </row>
    <row r="212" spans="1:1" ht="14.5">
      <c r="A212" s="380" t="s">
        <v>1630</v>
      </c>
    </row>
    <row r="213" spans="1:1" ht="14.5">
      <c r="A213" s="380" t="s">
        <v>1631</v>
      </c>
    </row>
    <row r="214" spans="1:1" ht="14.5">
      <c r="A214" s="380" t="s">
        <v>1632</v>
      </c>
    </row>
    <row r="215" spans="1:1" ht="14.5">
      <c r="A215" s="380" t="s">
        <v>1633</v>
      </c>
    </row>
    <row r="216" spans="1:1" ht="14.5">
      <c r="A216" s="380" t="s">
        <v>1634</v>
      </c>
    </row>
    <row r="217" spans="1:1" ht="14.5">
      <c r="A217" s="380" t="s">
        <v>1635</v>
      </c>
    </row>
    <row r="218" spans="1:1" ht="14.5">
      <c r="A218" s="380" t="s">
        <v>1636</v>
      </c>
    </row>
    <row r="219" spans="1:1" ht="14.5">
      <c r="A219" s="380" t="s">
        <v>1637</v>
      </c>
    </row>
    <row r="220" spans="1:1" ht="14.5">
      <c r="A220" s="380" t="s">
        <v>1638</v>
      </c>
    </row>
    <row r="221" spans="1:1" ht="14.5">
      <c r="A221" s="380" t="s">
        <v>1639</v>
      </c>
    </row>
    <row r="222" spans="1:1" ht="14.5">
      <c r="A222" s="380" t="s">
        <v>1640</v>
      </c>
    </row>
    <row r="223" spans="1:1" ht="14.5">
      <c r="A223" s="380" t="s">
        <v>1641</v>
      </c>
    </row>
    <row r="224" spans="1:1" ht="14.5">
      <c r="A224" s="380" t="s">
        <v>1642</v>
      </c>
    </row>
    <row r="225" spans="1:1" ht="14.5">
      <c r="A225" s="380" t="s">
        <v>1643</v>
      </c>
    </row>
    <row r="226" spans="1:1" ht="14.5">
      <c r="A226" s="380" t="s">
        <v>1644</v>
      </c>
    </row>
    <row r="227" spans="1:1" ht="14.5">
      <c r="A227" s="380" t="s">
        <v>1645</v>
      </c>
    </row>
    <row r="228" spans="1:1" ht="14.5">
      <c r="A228" s="380" t="s">
        <v>1646</v>
      </c>
    </row>
    <row r="229" spans="1:1" ht="14.5">
      <c r="A229" s="380" t="s">
        <v>1647</v>
      </c>
    </row>
    <row r="230" spans="1:1" ht="14.5">
      <c r="A230" s="380" t="s">
        <v>1648</v>
      </c>
    </row>
    <row r="231" spans="1:1" ht="14.5">
      <c r="A231" s="380" t="s">
        <v>1649</v>
      </c>
    </row>
    <row r="232" spans="1:1" ht="14.5">
      <c r="A232" s="380" t="s">
        <v>1650</v>
      </c>
    </row>
    <row r="233" spans="1:1" ht="14.5">
      <c r="A233" s="380" t="s">
        <v>1651</v>
      </c>
    </row>
    <row r="234" spans="1:1" ht="14.5">
      <c r="A234" s="380" t="s">
        <v>1652</v>
      </c>
    </row>
    <row r="235" spans="1:1" ht="14.5">
      <c r="A235" s="380" t="s">
        <v>1653</v>
      </c>
    </row>
    <row r="236" spans="1:1" ht="14.5">
      <c r="A236" s="380" t="s">
        <v>1654</v>
      </c>
    </row>
    <row r="237" spans="1:1" ht="14.5">
      <c r="A237" s="380" t="s">
        <v>1655</v>
      </c>
    </row>
    <row r="238" spans="1:1" ht="14.5">
      <c r="A238" s="380" t="s">
        <v>1656</v>
      </c>
    </row>
    <row r="239" spans="1:1" ht="14.5">
      <c r="A239" s="380" t="s">
        <v>1657</v>
      </c>
    </row>
    <row r="240" spans="1:1" ht="14.5">
      <c r="A240" s="380" t="s">
        <v>1658</v>
      </c>
    </row>
    <row r="241" spans="1:1" ht="14.5">
      <c r="A241" s="380" t="s">
        <v>1659</v>
      </c>
    </row>
    <row r="242" spans="1:1" ht="14.5">
      <c r="A242" s="380" t="s">
        <v>1660</v>
      </c>
    </row>
    <row r="243" spans="1:1" ht="14.5">
      <c r="A243" s="380" t="s">
        <v>1661</v>
      </c>
    </row>
    <row r="244" spans="1:1" ht="14.5">
      <c r="A244" s="380" t="s">
        <v>1662</v>
      </c>
    </row>
    <row r="245" spans="1:1" ht="14.5">
      <c r="A245" s="380" t="s">
        <v>1663</v>
      </c>
    </row>
    <row r="246" spans="1:1" ht="14.5">
      <c r="A246" s="380" t="s">
        <v>1664</v>
      </c>
    </row>
    <row r="247" spans="1:1" ht="14.5">
      <c r="A247" s="380" t="s">
        <v>1665</v>
      </c>
    </row>
    <row r="248" spans="1:1" ht="14.5">
      <c r="A248" s="380" t="s">
        <v>1666</v>
      </c>
    </row>
    <row r="249" spans="1:1" ht="14.5">
      <c r="A249" s="380" t="s">
        <v>1667</v>
      </c>
    </row>
    <row r="250" spans="1:1" ht="14.5">
      <c r="A250" s="380" t="s">
        <v>1668</v>
      </c>
    </row>
    <row r="251" spans="1:1" ht="14.5">
      <c r="A251" s="380" t="s">
        <v>1669</v>
      </c>
    </row>
    <row r="252" spans="1:1" ht="14.5">
      <c r="A252" s="380" t="s">
        <v>1670</v>
      </c>
    </row>
    <row r="253" spans="1:1" ht="14.5">
      <c r="A253" s="380" t="s">
        <v>1671</v>
      </c>
    </row>
    <row r="254" spans="1:1" ht="14.5">
      <c r="A254" s="380" t="s">
        <v>1672</v>
      </c>
    </row>
    <row r="255" spans="1:1" ht="14.5">
      <c r="A255" s="380" t="s">
        <v>1673</v>
      </c>
    </row>
    <row r="256" spans="1:1" ht="14.5">
      <c r="A256" s="380" t="s">
        <v>1674</v>
      </c>
    </row>
    <row r="257" spans="1:1" ht="14.5">
      <c r="A257" s="380" t="s">
        <v>1675</v>
      </c>
    </row>
    <row r="258" spans="1:1" ht="14.5">
      <c r="A258" s="380" t="s">
        <v>1676</v>
      </c>
    </row>
    <row r="259" spans="1:1" ht="14.5">
      <c r="A259" s="380" t="s">
        <v>1677</v>
      </c>
    </row>
    <row r="260" spans="1:1" ht="14.5">
      <c r="A260" s="380" t="s">
        <v>1678</v>
      </c>
    </row>
    <row r="261" spans="1:1" ht="14.5">
      <c r="A261" s="380" t="s">
        <v>1679</v>
      </c>
    </row>
    <row r="262" spans="1:1" ht="14.5">
      <c r="A262" s="380" t="s">
        <v>1680</v>
      </c>
    </row>
    <row r="263" spans="1:1" ht="14.5">
      <c r="A263" s="380" t="s">
        <v>1681</v>
      </c>
    </row>
    <row r="264" spans="1:1" ht="14.5">
      <c r="A264" s="380" t="s">
        <v>1682</v>
      </c>
    </row>
    <row r="265" spans="1:1" ht="14.5">
      <c r="A265" s="380" t="s">
        <v>1683</v>
      </c>
    </row>
    <row r="266" spans="1:1" ht="14.5">
      <c r="A266" s="380" t="s">
        <v>1684</v>
      </c>
    </row>
    <row r="267" spans="1:1" ht="14.5">
      <c r="A267" s="380" t="s">
        <v>1685</v>
      </c>
    </row>
    <row r="268" spans="1:1" ht="14.5">
      <c r="A268" s="380" t="s">
        <v>1686</v>
      </c>
    </row>
    <row r="269" spans="1:1" ht="14.5">
      <c r="A269" s="380" t="s">
        <v>1687</v>
      </c>
    </row>
    <row r="270" spans="1:1" ht="14.5">
      <c r="A270" s="380" t="s">
        <v>1688</v>
      </c>
    </row>
    <row r="271" spans="1:1" ht="14.5">
      <c r="A271" s="380" t="s">
        <v>1689</v>
      </c>
    </row>
    <row r="272" spans="1:1" ht="14.5">
      <c r="A272" s="380" t="s">
        <v>1690</v>
      </c>
    </row>
    <row r="273" spans="1:1" ht="14.5">
      <c r="A273" s="380" t="s">
        <v>1691</v>
      </c>
    </row>
    <row r="274" spans="1:1" ht="14.5">
      <c r="A274" s="380" t="s">
        <v>1692</v>
      </c>
    </row>
    <row r="275" spans="1:1" ht="14.5">
      <c r="A275" s="380" t="s">
        <v>1693</v>
      </c>
    </row>
    <row r="276" spans="1:1" ht="14.5">
      <c r="A276" s="380" t="s">
        <v>1694</v>
      </c>
    </row>
    <row r="277" spans="1:1" ht="14.5">
      <c r="A277" s="380" t="s">
        <v>1695</v>
      </c>
    </row>
    <row r="278" spans="1:1" ht="14.5">
      <c r="A278" s="380" t="s">
        <v>1696</v>
      </c>
    </row>
    <row r="279" spans="1:1" ht="14.5">
      <c r="A279" s="380" t="s">
        <v>1697</v>
      </c>
    </row>
    <row r="280" spans="1:1" ht="14.5">
      <c r="A280" s="380" t="s">
        <v>1698</v>
      </c>
    </row>
    <row r="281" spans="1:1" ht="14.5">
      <c r="A281" s="380" t="s">
        <v>1699</v>
      </c>
    </row>
    <row r="282" spans="1:1" ht="14.5">
      <c r="A282" s="380" t="s">
        <v>1700</v>
      </c>
    </row>
    <row r="283" spans="1:1" ht="14.5">
      <c r="A283" s="380" t="s">
        <v>1701</v>
      </c>
    </row>
    <row r="284" spans="1:1" ht="14.5">
      <c r="A284" s="380" t="s">
        <v>1702</v>
      </c>
    </row>
    <row r="285" spans="1:1" ht="14.5">
      <c r="A285" s="380" t="s">
        <v>1703</v>
      </c>
    </row>
    <row r="286" spans="1:1" ht="14.5">
      <c r="A286" s="380" t="s">
        <v>1704</v>
      </c>
    </row>
    <row r="287" spans="1:1" ht="14.5">
      <c r="A287" s="380" t="s">
        <v>1705</v>
      </c>
    </row>
    <row r="288" spans="1:1" ht="14.5">
      <c r="A288" s="380" t="s">
        <v>1706</v>
      </c>
    </row>
    <row r="289" spans="1:1" ht="14.5">
      <c r="A289" s="380" t="s">
        <v>1707</v>
      </c>
    </row>
    <row r="290" spans="1:1" ht="14.5">
      <c r="A290" s="380" t="s">
        <v>1708</v>
      </c>
    </row>
    <row r="291" spans="1:1" ht="14.5">
      <c r="A291" s="380" t="s">
        <v>1709</v>
      </c>
    </row>
    <row r="292" spans="1:1" ht="14.5">
      <c r="A292" s="380" t="s">
        <v>1710</v>
      </c>
    </row>
    <row r="293" spans="1:1" ht="14.5">
      <c r="A293" s="380" t="s">
        <v>1711</v>
      </c>
    </row>
    <row r="294" spans="1:1" ht="14.5">
      <c r="A294" s="380" t="s">
        <v>1712</v>
      </c>
    </row>
    <row r="295" spans="1:1" ht="14.5">
      <c r="A295" s="380" t="s">
        <v>1713</v>
      </c>
    </row>
    <row r="296" spans="1:1" ht="14.5">
      <c r="A296" s="380" t="s">
        <v>1714</v>
      </c>
    </row>
    <row r="297" spans="1:1" ht="14.5">
      <c r="A297" s="380" t="s">
        <v>1715</v>
      </c>
    </row>
    <row r="298" spans="1:1" ht="14.5">
      <c r="A298" s="380" t="s">
        <v>1716</v>
      </c>
    </row>
    <row r="299" spans="1:1" ht="14.5">
      <c r="A299" s="380" t="s">
        <v>1717</v>
      </c>
    </row>
    <row r="300" spans="1:1" ht="14.5">
      <c r="A300" s="380" t="s">
        <v>1718</v>
      </c>
    </row>
    <row r="301" spans="1:1" ht="14.5">
      <c r="A301" s="380" t="s">
        <v>1719</v>
      </c>
    </row>
    <row r="302" spans="1:1" ht="14.5">
      <c r="A302" s="380" t="s">
        <v>1720</v>
      </c>
    </row>
    <row r="303" spans="1:1" ht="14.5">
      <c r="A303" s="380" t="s">
        <v>1721</v>
      </c>
    </row>
    <row r="304" spans="1:1" ht="14.5">
      <c r="A304" s="380" t="s">
        <v>1722</v>
      </c>
    </row>
    <row r="305" spans="1:1" ht="14.5">
      <c r="A305" s="380" t="s">
        <v>1723</v>
      </c>
    </row>
    <row r="306" spans="1:1" ht="14.5">
      <c r="A306" s="380" t="s">
        <v>1724</v>
      </c>
    </row>
    <row r="307" spans="1:1" ht="14.5">
      <c r="A307" s="380" t="s">
        <v>1725</v>
      </c>
    </row>
    <row r="308" spans="1:1" ht="14.5">
      <c r="A308" s="380" t="s">
        <v>1726</v>
      </c>
    </row>
    <row r="309" spans="1:1" ht="14.5">
      <c r="A309" s="380" t="s">
        <v>1727</v>
      </c>
    </row>
    <row r="310" spans="1:1" ht="14.5">
      <c r="A310" s="380" t="s">
        <v>1728</v>
      </c>
    </row>
    <row r="311" spans="1:1" ht="14.5">
      <c r="A311" s="380" t="s">
        <v>1729</v>
      </c>
    </row>
    <row r="312" spans="1:1" ht="14.5">
      <c r="A312" s="380" t="s">
        <v>1730</v>
      </c>
    </row>
    <row r="313" spans="1:1" ht="14.5">
      <c r="A313" s="380" t="s">
        <v>1731</v>
      </c>
    </row>
    <row r="314" spans="1:1" ht="14.5">
      <c r="A314" s="380" t="s">
        <v>1732</v>
      </c>
    </row>
    <row r="315" spans="1:1" ht="14.5">
      <c r="A315" s="380" t="s">
        <v>1733</v>
      </c>
    </row>
    <row r="316" spans="1:1" ht="14.5">
      <c r="A316" s="380" t="s">
        <v>1734</v>
      </c>
    </row>
    <row r="317" spans="1:1" ht="14.5">
      <c r="A317" s="380" t="s">
        <v>1735</v>
      </c>
    </row>
    <row r="318" spans="1:1" ht="14.5">
      <c r="A318" s="380" t="s">
        <v>1736</v>
      </c>
    </row>
    <row r="319" spans="1:1" ht="14.5">
      <c r="A319" s="380" t="s">
        <v>1737</v>
      </c>
    </row>
    <row r="320" spans="1:1" ht="14.5">
      <c r="A320" s="380" t="s">
        <v>1738</v>
      </c>
    </row>
    <row r="321" spans="1:1" ht="14.5">
      <c r="A321" s="380" t="s">
        <v>1739</v>
      </c>
    </row>
    <row r="322" spans="1:1" ht="14.5">
      <c r="A322" s="380" t="s">
        <v>1740</v>
      </c>
    </row>
    <row r="323" spans="1:1" ht="14.5">
      <c r="A323" s="380" t="s">
        <v>1741</v>
      </c>
    </row>
    <row r="324" spans="1:1" ht="14.5">
      <c r="A324" s="380" t="s">
        <v>1742</v>
      </c>
    </row>
    <row r="325" spans="1:1" ht="14.5">
      <c r="A325" s="380" t="s">
        <v>1743</v>
      </c>
    </row>
    <row r="326" spans="1:1" ht="14.5">
      <c r="A326" s="380" t="s">
        <v>1744</v>
      </c>
    </row>
    <row r="327" spans="1:1" ht="14.5">
      <c r="A327" s="380" t="s">
        <v>1745</v>
      </c>
    </row>
    <row r="328" spans="1:1" ht="14.5">
      <c r="A328" s="380" t="s">
        <v>1746</v>
      </c>
    </row>
    <row r="329" spans="1:1" ht="14.5">
      <c r="A329" s="380" t="s">
        <v>1747</v>
      </c>
    </row>
    <row r="330" spans="1:1" ht="14.5">
      <c r="A330" s="380" t="s">
        <v>1748</v>
      </c>
    </row>
    <row r="331" spans="1:1" ht="14.5">
      <c r="A331" s="380" t="s">
        <v>1749</v>
      </c>
    </row>
    <row r="332" spans="1:1" ht="14.5">
      <c r="A332" s="380" t="s">
        <v>1750</v>
      </c>
    </row>
    <row r="333" spans="1:1" ht="14.5">
      <c r="A333" s="380" t="s">
        <v>1751</v>
      </c>
    </row>
    <row r="334" spans="1:1" ht="14.5">
      <c r="A334" s="380" t="s">
        <v>1752</v>
      </c>
    </row>
    <row r="335" spans="1:1" ht="14.5">
      <c r="A335" s="380" t="s">
        <v>1753</v>
      </c>
    </row>
    <row r="336" spans="1:1" ht="14.5">
      <c r="A336" s="380" t="s">
        <v>1754</v>
      </c>
    </row>
    <row r="337" spans="1:1" ht="14.5">
      <c r="A337" s="380" t="s">
        <v>1755</v>
      </c>
    </row>
    <row r="338" spans="1:1" ht="14.5">
      <c r="A338" s="380" t="s">
        <v>1756</v>
      </c>
    </row>
    <row r="339" spans="1:1" ht="14.5">
      <c r="A339" s="380" t="s">
        <v>1757</v>
      </c>
    </row>
    <row r="340" spans="1:1" ht="14.5">
      <c r="A340" s="380" t="s">
        <v>1758</v>
      </c>
    </row>
    <row r="341" spans="1:1" ht="14.5">
      <c r="A341" s="380" t="s">
        <v>1759</v>
      </c>
    </row>
    <row r="342" spans="1:1" ht="14.5">
      <c r="A342" s="380" t="s">
        <v>1760</v>
      </c>
    </row>
    <row r="343" spans="1:1" ht="14.5">
      <c r="A343" s="380" t="s">
        <v>1761</v>
      </c>
    </row>
    <row r="344" spans="1:1" ht="14.5">
      <c r="A344" s="380" t="s">
        <v>1762</v>
      </c>
    </row>
    <row r="345" spans="1:1" ht="14.5">
      <c r="A345" s="380" t="s">
        <v>1763</v>
      </c>
    </row>
    <row r="346" spans="1:1" ht="14.5">
      <c r="A346" s="380" t="s">
        <v>1764</v>
      </c>
    </row>
    <row r="347" spans="1:1" ht="14.5">
      <c r="A347" s="380" t="s">
        <v>1765</v>
      </c>
    </row>
    <row r="348" spans="1:1" ht="14.5">
      <c r="A348" s="380" t="s">
        <v>1766</v>
      </c>
    </row>
    <row r="349" spans="1:1" ht="14.5">
      <c r="A349" s="380" t="s">
        <v>1767</v>
      </c>
    </row>
    <row r="350" spans="1:1" ht="14.5">
      <c r="A350" s="380" t="s">
        <v>1768</v>
      </c>
    </row>
    <row r="351" spans="1:1" ht="14.5">
      <c r="A351" s="380" t="s">
        <v>1769</v>
      </c>
    </row>
    <row r="352" spans="1:1" ht="14.5">
      <c r="A352" s="380" t="s">
        <v>1770</v>
      </c>
    </row>
    <row r="353" spans="1:1" ht="14.5">
      <c r="A353" s="380" t="s">
        <v>1771</v>
      </c>
    </row>
    <row r="354" spans="1:1" ht="14.5">
      <c r="A354" s="380" t="s">
        <v>1772</v>
      </c>
    </row>
    <row r="355" spans="1:1" ht="14.5">
      <c r="A355" s="380" t="s">
        <v>1773</v>
      </c>
    </row>
    <row r="356" spans="1:1" ht="14.5">
      <c r="A356" s="380" t="s">
        <v>1774</v>
      </c>
    </row>
    <row r="357" spans="1:1" ht="14.5">
      <c r="A357" s="380" t="s">
        <v>1775</v>
      </c>
    </row>
    <row r="358" spans="1:1" ht="14.5">
      <c r="A358" s="380" t="s">
        <v>1776</v>
      </c>
    </row>
    <row r="359" spans="1:1" ht="14.5">
      <c r="A359" s="380" t="s">
        <v>1777</v>
      </c>
    </row>
    <row r="360" spans="1:1" ht="14.5">
      <c r="A360" s="380" t="s">
        <v>1778</v>
      </c>
    </row>
    <row r="361" spans="1:1" ht="14.5">
      <c r="A361" s="380" t="s">
        <v>1779</v>
      </c>
    </row>
    <row r="362" spans="1:1" ht="14.5">
      <c r="A362" s="380" t="s">
        <v>1780</v>
      </c>
    </row>
    <row r="363" spans="1:1" ht="14.5">
      <c r="A363" s="380" t="s">
        <v>1781</v>
      </c>
    </row>
    <row r="364" spans="1:1" ht="14.5">
      <c r="A364" s="380" t="s">
        <v>1782</v>
      </c>
    </row>
    <row r="365" spans="1:1" ht="14.5">
      <c r="A365" s="380" t="s">
        <v>1783</v>
      </c>
    </row>
    <row r="366" spans="1:1" ht="14.5">
      <c r="A366" s="380" t="s">
        <v>2</v>
      </c>
    </row>
    <row r="367" spans="1:1" ht="14.5">
      <c r="A367" s="380" t="s">
        <v>1784</v>
      </c>
    </row>
    <row r="368" spans="1:1" ht="14.5">
      <c r="A368" s="380" t="s">
        <v>1785</v>
      </c>
    </row>
    <row r="369" spans="1:1" ht="14.5">
      <c r="A369" s="380" t="s">
        <v>1786</v>
      </c>
    </row>
    <row r="370" spans="1:1" ht="14.5">
      <c r="A370" s="380" t="s">
        <v>1787</v>
      </c>
    </row>
    <row r="371" spans="1:1" ht="14.5">
      <c r="A371" s="380" t="s">
        <v>1788</v>
      </c>
    </row>
    <row r="372" spans="1:1" ht="14.5">
      <c r="A372" s="380" t="s">
        <v>1789</v>
      </c>
    </row>
    <row r="373" spans="1:1" ht="14.5">
      <c r="A373" s="380" t="s">
        <v>1790</v>
      </c>
    </row>
    <row r="374" spans="1:1" ht="14.5">
      <c r="A374" s="380" t="s">
        <v>1791</v>
      </c>
    </row>
    <row r="375" spans="1:1" ht="14.5">
      <c r="A375" s="380" t="s">
        <v>1792</v>
      </c>
    </row>
    <row r="376" spans="1:1" ht="14.5">
      <c r="A376" s="380" t="s">
        <v>1793</v>
      </c>
    </row>
    <row r="377" spans="1:1" ht="14.5">
      <c r="A377" s="380" t="s">
        <v>1794</v>
      </c>
    </row>
    <row r="378" spans="1:1" ht="14.5">
      <c r="A378" s="380" t="s">
        <v>1795</v>
      </c>
    </row>
  </sheetData>
  <sheetProtection algorithmName="SHA-512" hashValue="adkI9EOftzkDSO7xD7PrW/plsinqjsqtKWddcnIMHF33EpR4zCIVGcGFe7M92toHefCC8XNBZNuz9+cBiSl4dA==" saltValue="VRM3v+a/9yq/VrRFUtzmyQ==" spinCount="100000" sheet="1" objects="1" scenarios="1"/>
  <customSheetViews>
    <customSheetView guid="{8bda793c-c9c5-4fc6-a0a5-f1109f6d4f22}" state="hidden" topLeftCell="B1">
      <selection pane="topLeft" activeCell="B7" sqref="B7"/>
      <pageMargins left="0.75" right="0.75" top="1" bottom="1" header="0.5" footer="0.5"/>
    </customSheetView>
  </customSheetViews>
  <pageMargins left="0.7" right="0.7" top="0.75" bottom="0.75" header="0.3" footer="0.3"/>
  <pageSetup orientation="portrait" paperSize="9"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88846c-50e8-42e0-8caa-4648b8c5e0f5" xsi:nil="true"/>
    <lcf76f155ced4ddcb4097134ff3c332f xmlns="2476b2b5-620a-4959-b70b-a68750a57eb2">
      <Terms xmlns="http://schemas.microsoft.com/office/infopath/2007/PartnerControls"/>
    </lcf76f155ced4ddcb4097134ff3c332f>
    <Lastedited xmlns="2476b2b5-620a-4959-b70b-a68750a57eb2">
      <UserInfo>
        <DisplayName/>
        <AccountId xsi:nil="true"/>
        <AccountType/>
      </UserInfo>
    </Lastedited>
    <Work_x0020_type xmlns="2476b2b5-620a-4959-b70b-a68750a57eb2">Surveys</Work_x0020_type>
    <TaxKeywordTaxHTField xmlns="c588846c-50e8-42e0-8caa-4648b8c5e0f5">
      <Terms xmlns="http://schemas.microsoft.com/office/infopath/2007/PartnerControls"/>
    </TaxKeywordTaxHTField>
    <datemade xmlns="2476b2b5-620a-4959-b70b-a68750a57eb2" xsi:nil="true"/>
    <StandAloneLibrary xmlns="2476b2b5-620a-4959-b70b-a68750a57eb2">false</StandAloneLibrary>
    <Habitat xmlns="2476b2b5-620a-4959-b70b-a68750a57eb2" xsi:nil="true"/>
    <Birds xmlns="2476b2b5-620a-4959-b70b-a68750a57eb2" xsi:nil="true"/>
    <DisplayTemplateJSTemplateHidden xmlns="http://schemas.microsoft.com/sharepoint/v3" xsi:nil="true"/>
    <DateandTime xmlns="2476b2b5-620a-4959-b70b-a68750a57eb2" xsi:nil="true"/>
    <DateTime xmlns="2476b2b5-620a-4959-b70b-a68750a57eb2">2025-09-03T16:20:44+00:00</DateTime>
    <Bats xmlns="2476b2b5-620a-4959-b70b-a68750a57eb2" xsi:nil="true"/>
    <_Flow_SignoffStatus xmlns="2476b2b5-620a-4959-b70b-a68750a57eb2" xsi:nil="true"/>
    <Species xmlns="2476b2b5-620a-4959-b70b-a68750a57eb2" xsi:nil="true"/>
    <_dlc_DocId xmlns="c588846c-50e8-42e0-8caa-4648b8c5e0f5">2EPEYVJ45FQA-1503068476-7414355</_dlc_DocId>
    <_dlc_DocIdUrl xmlns="c588846c-50e8-42e0-8caa-4648b8c5e0f5">
      <Url>https://rskgroup.sharepoint.com/sites/RSKBiocensus/_layouts/15/DocIdRedir.aspx?ID=2EPEYVJ45FQA-1503068476-7414355</Url>
      <Description>2EPEYVJ45FQA-1503068476-7414355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B664AC5B5476548B1282C48C68A4F8A" ma:contentTypeVersion="38" ma:contentTypeDescription="Create a new document." ma:contentTypeScope="" ma:versionID="8a734659113c2d7b34be3c185ab048f6">
  <xsd:schema xmlns:xsd="http://www.w3.org/2001/XMLSchema" xmlns:xs="http://www.w3.org/2001/XMLSchema" xmlns:p="http://schemas.microsoft.com/office/2006/metadata/properties" xmlns:ns1="http://schemas.microsoft.com/sharepoint/v3" xmlns:ns3="2476b2b5-620a-4959-b70b-a68750a57eb2" xmlns:ns4="c588846c-50e8-42e0-8caa-4648b8c5e0f5" targetNamespace="http://schemas.microsoft.com/office/2006/metadata/properties" ma:root="true" ma:fieldsID="fcb62ccbce88363aa79764053fffd2d3" ns1:_="" ns3:_="" ns4:_="">
    <xsd:import namespace="http://schemas.microsoft.com/sharepoint/v3"/>
    <xsd:import namespace="2476b2b5-620a-4959-b70b-a68750a57eb2"/>
    <xsd:import namespace="c588846c-50e8-42e0-8caa-4648b8c5e0f5"/>
    <xsd:element name="properties">
      <xsd:complexType>
        <xsd:sequence>
          <xsd:element name="documentManagement">
            <xsd:complexType>
              <xsd:all>
                <xsd:element ref="ns3:Bats" minOccurs="0"/>
                <xsd:element ref="ns3:Birds" minOccurs="0"/>
                <xsd:element ref="ns3:Species" minOccurs="0"/>
                <xsd:element ref="ns3:DateandTime" minOccurs="0"/>
                <xsd:element ref="ns3:DateTime" minOccurs="0"/>
                <xsd:element ref="ns3:StandAloneLibrary" minOccurs="0"/>
                <xsd:element ref="ns1:DisplayTemplateJSTemplateHidden" minOccurs="0"/>
                <xsd:element ref="ns3:datemade" minOccurs="0"/>
                <xsd:element ref="ns3:Habitat" minOccurs="0"/>
                <xsd:element ref="ns3:Work_x0020_type"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4:TaxKeywordTaxHTField" minOccurs="0"/>
                <xsd:element ref="ns4:TaxCatchAll" minOccurs="0"/>
                <xsd:element ref="ns3:lcf76f155ced4ddcb4097134ff3c332f" minOccurs="0"/>
                <xsd:element ref="ns3:MediaServiceObjectDetectorVersions" minOccurs="0"/>
                <xsd:element ref="ns3:MediaServiceSearchProperties" minOccurs="0"/>
                <xsd:element ref="ns3:Lastedited" minOccurs="0"/>
                <xsd:element ref="ns4:_dlc_DocId" minOccurs="0"/>
                <xsd:element ref="ns4:_dlc_DocIdUrl" minOccurs="0"/>
                <xsd:element ref="ns4:_dlc_DocIdPersistId"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isplayTemplateJSTemplateHidden" ma:index="9" nillable="true" ma:displayName="Hidden" ma:description="Hide this Display Template option when creating new views." ma:internalName="DisplayTemplateJSTemplateHidde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476b2b5-620a-4959-b70b-a68750a57eb2" elementFormDefault="qualified">
    <xsd:import namespace="http://schemas.microsoft.com/office/2006/documentManagement/types"/>
    <xsd:import namespace="http://schemas.microsoft.com/office/infopath/2007/PartnerControls"/>
    <xsd:element name="Bats" ma:index="2" nillable="true" ma:displayName="Bats" ma:internalName="Bats">
      <xsd:complexType>
        <xsd:complexContent>
          <xsd:extension base="dms:MultiChoiceFillIn">
            <xsd:sequence>
              <xsd:element name="Value" maxOccurs="unbounded" minOccurs="0" nillable="true">
                <xsd:simpleType>
                  <xsd:union memberTypes="dms:Text">
                    <xsd:simpleType>
                      <xsd:restriction base="dms:Choice">
                        <xsd:enumeration value="Emergence surveys"/>
                        <xsd:enumeration value="PRA (buildings/structures)"/>
                        <xsd:enumeration value="GLTA"/>
                        <xsd:enumeration value="Bat activity/statics/BTO AP"/>
                        <xsd:enumeration value="Trapping and tracking"/>
                        <xsd:enumeration value="Other (please specify)"/>
                      </xsd:restriction>
                    </xsd:simpleType>
                  </xsd:union>
                </xsd:simpleType>
              </xsd:element>
            </xsd:sequence>
          </xsd:extension>
        </xsd:complexContent>
      </xsd:complexType>
    </xsd:element>
    <xsd:element name="Birds" ma:index="3" nillable="true" ma:displayName="Birds" ma:internalName="Birds">
      <xsd:complexType>
        <xsd:complexContent>
          <xsd:extension base="dms:MultiChoiceFillIn">
            <xsd:sequence>
              <xsd:element name="Value" maxOccurs="unbounded" minOccurs="0" nillable="true">
                <xsd:simpleType>
                  <xsd:union memberTypes="dms:Text">
                    <xsd:simpleType>
                      <xsd:restriction base="dms:Choice">
                        <xsd:enumeration value="Wintering birds"/>
                        <xsd:enumeration value="Barn owls"/>
                        <xsd:enumeration value="Nesting birds"/>
                        <xsd:enumeration value="Peregrine falcon"/>
                        <xsd:enumeration value="Other (please specify)"/>
                      </xsd:restriction>
                    </xsd:simpleType>
                  </xsd:union>
                </xsd:simpleType>
              </xsd:element>
            </xsd:sequence>
          </xsd:extension>
        </xsd:complexContent>
      </xsd:complexType>
    </xsd:element>
    <xsd:element name="Species" ma:index="4" nillable="true" ma:displayName="Species" ma:internalName="Species">
      <xsd:complexType>
        <xsd:complexContent>
          <xsd:extension base="dms:MultiChoiceFillIn">
            <xsd:sequence>
              <xsd:element name="Value" maxOccurs="unbounded" minOccurs="0" nillable="true">
                <xsd:simpleType>
                  <xsd:union memberTypes="dms:Text">
                    <xsd:simpleType>
                      <xsd:restriction base="dms:Choice">
                        <xsd:enumeration value="Amphibians"/>
                        <xsd:enumeration value="Badgers"/>
                        <xsd:enumeration value="Bats"/>
                        <xsd:enumeration value="Birds"/>
                        <xsd:enumeration value="Dormouse"/>
                        <xsd:enumeration value="Invertebrates"/>
                        <xsd:enumeration value="Otter"/>
                        <xsd:enumeration value="Red squirrel"/>
                        <xsd:enumeration value="Reptiles"/>
                        <xsd:enumeration value="White-clawed crayfish"/>
                        <xsd:enumeration value="Water vole"/>
                        <xsd:enumeration value="Other (please specify)"/>
                      </xsd:restriction>
                    </xsd:simpleType>
                  </xsd:union>
                </xsd:simpleType>
              </xsd:element>
            </xsd:sequence>
          </xsd:extension>
        </xsd:complexContent>
      </xsd:complexType>
    </xsd:element>
    <xsd:element name="DateandTime" ma:index="5" nillable="true" ma:displayName="Date and Time" ma:format="DateOnly" ma:internalName="DateandTime">
      <xsd:simpleType>
        <xsd:restriction base="dms:DateTime"/>
      </xsd:simpleType>
    </xsd:element>
    <xsd:element name="DateTime" ma:index="6" nillable="true" ma:displayName="Date &amp; Time" ma:default="[today]" ma:format="DateTime" ma:internalName="DateTime">
      <xsd:simpleType>
        <xsd:restriction base="dms:DateTime"/>
      </xsd:simpleType>
    </xsd:element>
    <xsd:element name="StandAloneLibrary" ma:index="8" nillable="true" ma:displayName="Stand Alone Library" ma:default="0" ma:description="To stop TEG Libraries showing in main Document Library view" ma:format="Dropdown" ma:internalName="StandAloneLibrary">
      <xsd:simpleType>
        <xsd:restriction base="dms:Boolean"/>
      </xsd:simpleType>
    </xsd:element>
    <xsd:element name="datemade" ma:index="12" nillable="true" ma:displayName="date made" ma:format="DateOnly" ma:indexed="true" ma:internalName="datemade">
      <xsd:simpleType>
        <xsd:restriction base="dms:DateTime"/>
      </xsd:simpleType>
    </xsd:element>
    <xsd:element name="Habitat" ma:index="13" nillable="true" ma:displayName="Habitat" ma:internalName="Habitat">
      <xsd:complexType>
        <xsd:complexContent>
          <xsd:extension base="dms:MultiChoiceFillIn">
            <xsd:sequence>
              <xsd:element name="Value" maxOccurs="unbounded" minOccurs="0" nillable="true">
                <xsd:simpleType>
                  <xsd:union memberTypes="dms:Text">
                    <xsd:simpleType>
                      <xsd:restriction base="dms:Choice">
                        <xsd:enumeration value="Terrestrial"/>
                        <xsd:enumeration value="Aquatic"/>
                        <xsd:enumeration value="Both"/>
                      </xsd:restriction>
                    </xsd:simpleType>
                  </xsd:union>
                </xsd:simpleType>
              </xsd:element>
            </xsd:sequence>
          </xsd:extension>
        </xsd:complexContent>
      </xsd:complexType>
    </xsd:element>
    <xsd:element name="Work_x0020_type" ma:index="14" nillable="true" ma:displayName="Work type" ma:default="Surveys" ma:format="Dropdown" ma:internalName="Work_x0020_type">
      <xsd:simpleType>
        <xsd:restriction base="dms:Choice">
          <xsd:enumeration value="Surveys"/>
          <xsd:enumeration value="ECoW"/>
          <xsd:enumeration value="Mitigation"/>
          <xsd:enumeration value="Method statements"/>
          <xsd:enumeration value="Management plans"/>
          <xsd:enumeration value="EIA"/>
          <xsd:enumeration value="HRA"/>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element name="MediaServiceAutoTags" ma:index="25" nillable="true" ma:displayName="Tags" ma:description="" ma:indexed="true" ma:internalName="MediaServiceAutoTags" ma:readOnly="true">
      <xsd:simpleType>
        <xsd:restriction base="dms:Text"/>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internalName="MediaServiceLocation" ma:readOnly="true">
      <xsd:simpleType>
        <xsd:restriction base="dms:Text"/>
      </xsd:simpleType>
    </xsd:element>
    <xsd:element name="MediaLengthInSeconds" ma:index="30" nillable="true" ma:displayName="Length (seconds)"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Lastedited" ma:index="39" nillable="true" ma:displayName="Last edited" ma:format="Dropdown" ma:list="UserInfo" ma:SharePointGroup="0" ma:internalName="Lastedit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43" nillable="true" ma:displayName="Sign-off status" ma:internalName="_x0024_Resources_x003a_core_x002c_Signoff_Status">
      <xsd:simpleType>
        <xsd:restriction base="dms:Text"/>
      </xsd:simpleType>
    </xsd:element>
    <xsd:element name="MediaServiceBillingMetadata" ma:index="4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88846c-50e8-42e0-8caa-4648b8c5e0f5"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KeywordTaxHTField" ma:index="31" nillable="true" ma:taxonomy="true" ma:internalName="TaxKeywordTaxHTField" ma:taxonomyFieldName="TaxKeyword" ma:displayName="Enterprise Keywords" ma:fieldId="{23f27201-bee3-471e-b2e7-b64fd8b7ca38}" ma:taxonomyMulti="true" ma:sspId="2f2dd975-943e-4a2b-bd50-ee43505297e7" ma:termSetId="00000000-0000-0000-0000-000000000000" ma:anchorId="00000000-0000-0000-0000-000000000000" ma:open="true" ma:isKeyword="true">
      <xsd:complexType>
        <xsd:sequence>
          <xsd:element ref="pc:Terms" minOccurs="0" maxOccurs="1"/>
        </xsd:sequence>
      </xsd:complexType>
    </xsd:element>
    <xsd:element name="TaxCatchAll" ma:index="32" nillable="true" ma:displayName="Taxonomy Catch All Column" ma:hidden="true" ma:list="{330658b4-2c42-43be-92c6-aa497280b223}" ma:internalName="TaxCatchAll" ma:showField="CatchAllData" ma:web="c588846c-50e8-42e0-8caa-4648b8c5e0f5">
      <xsd:complexType>
        <xsd:complexContent>
          <xsd:extension base="dms:MultiChoiceLookup">
            <xsd:sequence>
              <xsd:element name="Value" type="dms:Lookup" maxOccurs="unbounded" minOccurs="0" nillable="true"/>
            </xsd:sequence>
          </xsd:extension>
        </xsd:complexContent>
      </xsd:complexType>
    </xsd:element>
    <xsd:element name="_dlc_DocId" ma:index="40" nillable="true" ma:displayName="Document ID Value" ma:description="The value of the document ID assigned to this item." ma:indexed="true" ma:internalName="_dlc_DocId" ma:readOnly="true">
      <xsd:simpleType>
        <xsd:restriction base="dms:Text"/>
      </xsd:simpleType>
    </xsd:element>
    <xsd:element name="_dlc_DocIdUrl" ma:index="4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4"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1"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D8E80E-3650-4921-9D0F-F779F71661B1}">
  <ds:schemaRefs>
    <ds:schemaRef ds:uri="http://purl.org/dc/terms/"/>
    <ds:schemaRef ds:uri="http://www.w3.org/XML/1998/namespace"/>
    <ds:schemaRef ds:uri="http://schemas.microsoft.com/office/2006/metadata/properties"/>
    <ds:schemaRef ds:uri="http://purl.org/dc/elements/1.1/"/>
    <ds:schemaRef ds:uri="2476b2b5-620a-4959-b70b-a68750a57eb2"/>
    <ds:schemaRef ds:uri="http://schemas.microsoft.com/sharepoint/v3"/>
    <ds:schemaRef ds:uri="http://schemas.microsoft.com/office/infopath/2007/PartnerControls"/>
    <ds:schemaRef ds:uri="http://schemas.microsoft.com/office/2006/documentManagement/types"/>
    <ds:schemaRef ds:uri="http://schemas.openxmlformats.org/package/2006/metadata/core-properties"/>
    <ds:schemaRef ds:uri="c588846c-50e8-42e0-8caa-4648b8c5e0f5"/>
    <ds:schemaRef ds:uri="http://purl.org/dc/dcmitype/"/>
  </ds:schemaRefs>
</ds:datastoreItem>
</file>

<file path=customXml/itemProps2.xml><?xml version="1.0" encoding="utf-8"?>
<ds:datastoreItem xmlns:ds="http://schemas.openxmlformats.org/officeDocument/2006/customXml" ds:itemID="{AECB23DC-6393-439F-9AE7-2683B0D272EF}">
  <ds:schemaRefs>
    <ds:schemaRef ds:uri="http://schemas.microsoft.com/sharepoint/events"/>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4.xml><?xml version="1.0" encoding="utf-8"?>
<ds:datastoreItem xmlns:ds="http://schemas.openxmlformats.org/officeDocument/2006/customXml" ds:itemID="{F0DAFFE2-8E23-4FA1-84DD-CB1764CFF3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476b2b5-620a-4959-b70b-a68750a57eb2"/>
    <ds:schemaRef ds:uri="c588846c-50e8-42e0-8caa-4648b8c5e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44</vt:i4>
      </vt:variant>
    </vt:vector>
  </HeadingPairs>
  <TitlesOfParts>
    <vt:vector size="44" baseType="lpstr">
      <vt:lpstr>Introduction</vt:lpstr>
      <vt:lpstr>Start</vt:lpstr>
      <vt:lpstr>Main Menu</vt:lpstr>
      <vt:lpstr>Results</vt:lpstr>
      <vt:lpstr>Headline Results</vt:lpstr>
      <vt:lpstr>Detailed Results</vt:lpstr>
      <vt:lpstr>Trading Summary Area Habitats</vt:lpstr>
      <vt:lpstr>Trading Summary Hedgerows</vt:lpstr>
      <vt:lpstr>Trading Summary WaterC's</vt:lpstr>
      <vt:lpstr>Credits Summary</vt:lpstr>
      <vt:lpstr>Off-site gain site summary</vt:lpstr>
      <vt:lpstr>Irreplaceable Habitats</vt:lpstr>
      <vt:lpstr>A-1 On-Site Habitat Baseline</vt:lpstr>
      <vt:lpstr>A-3 On-Site Habitat Enhancement</vt:lpstr>
      <vt:lpstr>D-1 Off-Site Habitat Baseline</vt:lpstr>
      <vt:lpstr>D-2 Off-Site Habitat Creation</vt:lpstr>
      <vt:lpstr>D-3 Off-Site Habitat Enhancment</vt:lpstr>
      <vt:lpstr>A-2 On-Site Habitat Creation</vt:lpstr>
      <vt:lpstr>B-1 On-Site Hedge Baseline</vt:lpstr>
      <vt:lpstr>B-2 On-Site Hedge Creation</vt:lpstr>
      <vt:lpstr>Sheet1</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Credits calculations</vt:lpstr>
      <vt:lpstr>G-1 All Habitats</vt:lpstr>
      <vt:lpstr>G-2 Habitat groups</vt:lpstr>
      <vt:lpstr>G-3 Multipliers</vt:lpstr>
      <vt:lpstr>G-4 Temporal multipliers</vt:lpstr>
      <vt:lpstr>G-5 Enhancement Temporal</vt:lpstr>
      <vt:lpstr>G-6 Hedgerow Data</vt:lpstr>
      <vt:lpstr>G-7 WaterC' Data</vt:lpstr>
      <vt:lpstr>G-8 Condition Look up</vt:lpstr>
      <vt:lpstr>Version History</vt:lpstr>
      <vt:lpstr>Phase 1 Translation Tool</vt:lpstr>
      <vt:lpstr>Technical Data</vt:lpstr>
      <vt:lpstr>Lists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Matthew Hull</cp:lastModifiedBy>
  <dcterms:created xsi:type="dcterms:W3CDTF">2018-04-09T09:41:18Z</dcterms:created>
  <dcterms:modified xsi:type="dcterms:W3CDTF">2026-01-28T16:13:49Z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0x010100EB664AC5B5476548B1282C48C68A4F8A</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_dlc_DocIdItemGuid">
    <vt:lpwstr>d7fe2393-ed80-4c7c-af26-372899c2a8d7</vt:lpwstr>
  </property>
  <property fmtid="{D5CDD505-2E9C-101B-9397-08002B2CF9AE}" pid="14" name="TaxKeyword">
    <vt:lpwstr/>
  </property>
</Properties>
</file>